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ustomProperty2.bin" ContentType="application/vnd.openxmlformats-officedocument.spreadsheetml.customProperty"/>
  <Override PartName="/xl/drawings/drawing3.xml" ContentType="application/vnd.openxmlformats-officedocument.drawing+xml"/>
  <Override PartName="/xl/customProperty3.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drawings/drawing7.xml" ContentType="application/vnd.openxmlformats-officedocument.drawing+xml"/>
  <Override PartName="/xl/customProperty10.bin" ContentType="application/vnd.openxmlformats-officedocument.spreadsheetml.customProperty"/>
  <Override PartName="/xl/drawings/drawing8.xml" ContentType="application/vnd.openxmlformats-officedocument.drawing+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drawings/drawing9.xml" ContentType="application/vnd.openxmlformats-officedocument.drawing+xml"/>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tables/table1.xml" ContentType="application/vnd.openxmlformats-officedocument.spreadsheetml.table+xml"/>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tables/table2.xml" ContentType="application/vnd.openxmlformats-officedocument.spreadsheetml.table+xml"/>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tables/table3.xml" ContentType="application/vnd.openxmlformats-officedocument.spreadsheetml.table+xml"/>
  <Override PartName="/xl/customProperty36.bin" ContentType="application/vnd.openxmlformats-officedocument.spreadsheetml.customProperty"/>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ustomProperty37.bin" ContentType="application/vnd.openxmlformats-officedocument.spreadsheetml.customProperty"/>
  <Override PartName="/xl/tables/table8.xml" ContentType="application/vnd.openxmlformats-officedocument.spreadsheetml.table+xml"/>
  <Override PartName="/xl/customProperty38.bin" ContentType="application/vnd.openxmlformats-officedocument.spreadsheetml.customProperty"/>
  <Override PartName="/xl/tables/table9.xml" ContentType="application/vnd.openxmlformats-officedocument.spreadsheetml.table+xml"/>
  <Override PartName="/xl/tables/table10.xml" ContentType="application/vnd.openxmlformats-officedocument.spreadsheetml.table+xml"/>
  <Override PartName="/xl/customProperty39.bin" ContentType="application/vnd.openxmlformats-officedocument.spreadsheetml.customProperty"/>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C:\Users\jimmi\Downloads\"/>
    </mc:Choice>
  </mc:AlternateContent>
  <xr:revisionPtr revIDLastSave="0" documentId="13_ncr:1_{9BA92DCE-5F67-44EB-BE94-9EB37F66D25F}" xr6:coauthVersionLast="47" xr6:coauthVersionMax="47" xr10:uidLastSave="{00000000-0000-0000-0000-000000000000}"/>
  <bookViews>
    <workbookView xWindow="51480" yWindow="-120" windowWidth="51840" windowHeight="21120" tabRatio="783" firstSheet="7" activeTab="7" xr2:uid="{00000000-000D-0000-FFFF-FFFF00000000}"/>
  </bookViews>
  <sheets>
    <sheet name="Model Wiz" sheetId="32" r:id="rId1"/>
    <sheet name="Cover" sheetId="5" r:id="rId2"/>
    <sheet name="Instructions" sheetId="6" r:id="rId3"/>
    <sheet name="KPI Dashboard" sheetId="7" r:id="rId4"/>
    <sheet name="ARR Dashboard" sheetId="25" r:id="rId5"/>
    <sheet name="Comparison" sheetId="33" r:id="rId6"/>
    <sheet name="Summary Financials" sheetId="8" r:id="rId7"/>
    <sheet name="Budget vs Actuals" sheetId="24" r:id="rId8"/>
    <sheet name="Income Statement" sheetId="9" r:id="rId9"/>
    <sheet name="Balance Sheet" sheetId="10" r:id="rId10"/>
    <sheet name="Cash Flows" sheetId="11" r:id="rId11"/>
    <sheet name="Drivers" sheetId="12" r:id="rId12"/>
    <sheet name="Headcount" sheetId="20" r:id="rId13"/>
    <sheet name="Deferred Revenue" sheetId="29" r:id="rId14"/>
    <sheet name="AP" sheetId="22" r:id="rId15"/>
    <sheet name="AR" sheetId="28" r:id="rId16"/>
    <sheet name="Fixed &amp; Intangibles" sheetId="31" r:id="rId17"/>
    <sheet name="Inventory" sheetId="30" r:id="rId18"/>
    <sheet name="Data Summary" sheetId="13" state="hidden" r:id="rId19"/>
    <sheet name="Revenue - Summary" sheetId="14" r:id="rId20"/>
    <sheet name="Revenue - Existing" sheetId="15" r:id="rId21"/>
    <sheet name="Revenue - Pipeline" sheetId="16" r:id="rId22"/>
    <sheet name="Revenue - New" sheetId="17" r:id="rId23"/>
    <sheet name="ExistingImport" sheetId="18" state="hidden" r:id="rId24"/>
    <sheet name="PBC Tables" sheetId="2" r:id="rId25"/>
    <sheet name="PipelineImport" sheetId="19" state="hidden" r:id="rId26"/>
    <sheet name="Lists" sheetId="3" state="hidden" r:id="rId27"/>
    <sheet name="Error Check" sheetId="4" r:id="rId28"/>
  </sheets>
  <definedNames>
    <definedName name="_xlnm._FilterDatabase" localSheetId="14" hidden="1">AP!$D$24:$E$24</definedName>
    <definedName name="_xlnm._FilterDatabase" localSheetId="15" hidden="1">AR!$D$24:$E$24</definedName>
    <definedName name="_xlnm._FilterDatabase" localSheetId="9" hidden="1">'Balance Sheet'!$B$8:$C$8</definedName>
    <definedName name="_xlnm._FilterDatabase" localSheetId="13" hidden="1">'Deferred Revenue'!$D$38:$E$38</definedName>
    <definedName name="_xlnm._FilterDatabase" localSheetId="11" hidden="1">Drivers!$D$8:$G$106</definedName>
    <definedName name="_xlnm._FilterDatabase" localSheetId="12" hidden="1">Headcount!$A$10:$AZ$17</definedName>
    <definedName name="_xlnm._FilterDatabase" localSheetId="17" hidden="1">Inventory!#REF!</definedName>
    <definedName name="_xlnm._FilterDatabase" localSheetId="20" hidden="1">'Revenue - Existing'!#REF!</definedName>
    <definedName name="_xlnm._FilterDatabase" localSheetId="22" hidden="1">'Revenue - New'!#REF!</definedName>
    <definedName name="_xlnm._FilterDatabase" localSheetId="21" hidden="1">'Revenue - Pipeline'!#REF!</definedName>
    <definedName name="_xlnm._FilterDatabase" localSheetId="19" hidden="1">'Revenue - Summary'!#REF!</definedName>
    <definedName name="_Order1" hidden="1">255</definedName>
    <definedName name="_Order2" hidden="1">255</definedName>
    <definedName name="_rm1" hidden="1">{#N/A,#N/A,TRUE,"Port Adelaide PC Report";#N/A,#N/A,TRUE,"Regional PC Report"}</definedName>
    <definedName name="_xlchart.v1.0" hidden="1">'ARR Dashboard'!$C$27:$C$32</definedName>
    <definedName name="_xlchart.v1.1" hidden="1">'ARR Dashboard'!$T$2:$T$7</definedName>
    <definedName name="a" hidden="1">{"summary",#N/A,FALSE,"PROFIT AND LOSS ACCOUNT";"detail",#N/A,FALSE,"PROFIT AND LOSS ACCOUNT";#N/A,#N/A,FALSE,"UK MARKETING";#N/A,#N/A,FALSE,"UK TRADING";#N/A,#N/A,FALSE,"GERMAN MARKETING";#N/A,#N/A,FALSE,"GERMAN TRADING";#N/A,#N/A,FALSE,"HOLLAND TRADING";#N/A,#N/A,FALSE,"SWITZERLAND TRADING";#N/A,#N/A,FALSE,"TRADING RESULT";#N/A,#N/A,FALSE,"DISTRIBUTION";#N/A,#N/A,FALSE,"ADMINISTRATIVE";#N/A,#N/A,FALSE,"OTHER OPERATING";"accounts",#N/A,FALSE,"6100";#N/A,#N/A,FALSE,"6100 LAST MONTH"}</definedName>
    <definedName name="aa" hidden="1">{#N/A,#N/A,TRUE,"UK assump";#N/A,#N/A,TRUE,"UK P&amp;L BS CF";#N/A,#N/A,TRUE,"Chart";#N/A,#N/A,TRUE,"Valuation";#N/A,#N/A,TRUE,"UK Overheads";#N/A,#N/A,TRUE,"UK Gross Profit";#N/A,#N/A,TRUE,"UK Fixed Assets"}</definedName>
    <definedName name="aaa" hidden="1">{"cfprint",#N/A,FALSE,"CF";"bsprint",#N/A,FALSE,"BS";"depprint",#N/A,FALSE,"Fixed A"}</definedName>
    <definedName name="aaaaaa" hidden="1">{"cfprint",#N/A,FALSE,"CF";"bsprint",#N/A,FALSE,"BS";"depprint",#N/A,FALSE,"Fixed A"}</definedName>
    <definedName name="b" hidden="1">{"summary",#N/A,FALSE,"PROFIT AND LOSS ACCOUNT";"detail",#N/A,FALSE,"PROFIT AND LOSS ACCOUNT";#N/A,#N/A,FALSE,"UK MARKETING";#N/A,#N/A,FALSE,"UK TRADING";#N/A,#N/A,FALSE,"GERMAN MARKETING";#N/A,#N/A,FALSE,"GERMAN TRADING";#N/A,#N/A,FALSE,"HOLLAND TRADING";#N/A,#N/A,FALSE,"SWITZERLAND TRADING";#N/A,#N/A,FALSE,"TRADING RESULT";#N/A,#N/A,FALSE,"DISTRIBUTION";#N/A,#N/A,FALSE,"ADMINISTRATIVE";#N/A,#N/A,FALSE,"OTHER OPERATING";"accounts",#N/A,FALSE,"6100";#N/A,#N/A,FALSE,"6100 LAST MONTH"}</definedName>
    <definedName name="BonusMonth">Headcount!$E$121</definedName>
    <definedName name="BSAcctIDs">Drivers!$L$71:$L$106</definedName>
    <definedName name="BSAccts">Drivers!$D$71:$D$106</definedName>
    <definedName name="BSAcctType">Drivers!$K$71:$K$106</definedName>
    <definedName name="BSDriverAssumptions">Drivers!$F$71:$F$106</definedName>
    <definedName name="BSDrivers">Drivers!$E$71:$E$106</definedName>
    <definedName name="bsg_DriverSection_Assets_insertedRange" localSheetId="5" hidden="1">Comparison!$63:$63</definedName>
    <definedName name="bsg_DriverSection_Assets_insertedRange" localSheetId="6" hidden="1">'Summary Financials'!$55:$60</definedName>
    <definedName name="bsg_DriverSection_Assets_templateRange" localSheetId="5" hidden="1">Comparison!$C$63</definedName>
    <definedName name="bsg_DriverSection_Assets_templateRange" localSheetId="6" hidden="1">'Summary Financials'!$C$55</definedName>
    <definedName name="bsg_DriverSection_COGS_insertedRange" localSheetId="5" hidden="1">Comparison!$21:$21</definedName>
    <definedName name="bsg_DriverSection_COGS_insertedRange" localSheetId="6" hidden="1">'Summary Financials'!$18:$19</definedName>
    <definedName name="bsg_DriverSection_COGS_templateRange" localSheetId="5" hidden="1">Comparison!$C$21</definedName>
    <definedName name="bsg_DriverSection_COGS_templateRange" localSheetId="6" hidden="1">'Summary Financials'!$C$18</definedName>
    <definedName name="bsg_DriverSection_Liabilities_insertedRange" localSheetId="5" hidden="1">Comparison!$69:$69</definedName>
    <definedName name="bsg_DriverSection_Liabilities_insertedRange" localSheetId="6" hidden="1">'Summary Financials'!$62:$66</definedName>
    <definedName name="bsg_DriverSection_Liabilities_templateRange" localSheetId="5" hidden="1">Comparison!$C$69</definedName>
    <definedName name="bsg_DriverSection_Liabilities_templateRange" localSheetId="6" hidden="1">'Summary Financials'!$C$62</definedName>
    <definedName name="bsg_DriverSection_Opex_insertedRange" localSheetId="5" hidden="1">Comparison!$31:$31</definedName>
    <definedName name="bsg_DriverSection_Opex_insertedRange" localSheetId="6" hidden="1">'Summary Financials'!$24:$29</definedName>
    <definedName name="bsg_DriverSection_Opex_templateRange" localSheetId="5" hidden="1">Comparison!$C$31</definedName>
    <definedName name="bsg_DriverSection_Opex_templateRange" localSheetId="6" hidden="1">'Summary Financials'!$C$24</definedName>
    <definedName name="bsg_DriverSection_Other_Expenses_insertedRange" localSheetId="5" hidden="1">Comparison!$43:$43</definedName>
    <definedName name="bsg_DriverSection_Other_Expenses_insertedRange" localSheetId="6" hidden="1">'Summary Financials'!$37:$39</definedName>
    <definedName name="bsg_DriverSection_Other_Expenses_templateRange" localSheetId="5" hidden="1">Comparison!$C$43</definedName>
    <definedName name="bsg_DriverSection_Other_Expenses_templateRange" localSheetId="6" hidden="1">'Summary Financials'!$C$37</definedName>
    <definedName name="bsg_DriverSection_Other_Income_insertedRange" localSheetId="5" hidden="1">Comparison!$38:$38</definedName>
    <definedName name="bsg_DriverSection_Other_Income_insertedRange" localSheetId="6" hidden="1">'Summary Financials'!$34:$35</definedName>
    <definedName name="bsg_DriverSection_Other_Income_templateRange" localSheetId="5" hidden="1">Comparison!$C$38</definedName>
    <definedName name="bsg_DriverSection_Other_Income_templateRange" localSheetId="6" hidden="1">'Summary Financials'!$C$34</definedName>
    <definedName name="bsg_DriverSection_Owners_Equity_insertedRange" localSheetId="5" hidden="1">Comparison!$74:$74</definedName>
    <definedName name="bsg_DriverSection_Owners_Equity_insertedRange" localSheetId="6" hidden="1">'Summary Financials'!$68:$70</definedName>
    <definedName name="bsg_DriverSection_Owners_Equity_templateRange" localSheetId="5" hidden="1">Comparison!$C$74</definedName>
    <definedName name="bsg_DriverSection_Owners_Equity_templateRange" localSheetId="6" hidden="1">'Summary Financials'!$C$68</definedName>
    <definedName name="bsg_DriverSection_Revenue_insertedRange" localSheetId="5" hidden="1">Comparison!$18:$18</definedName>
    <definedName name="bsg_DriverSection_Revenue_insertedRange" localSheetId="6" hidden="1">'Summary Financials'!$14:$16</definedName>
    <definedName name="bsg_DriverSection_Revenue_templateRange" localSheetId="5" hidden="1">Comparison!$C$18</definedName>
    <definedName name="bsg_DriverSection_Revenue_templateRange" localSheetId="6" hidden="1">'Summary Financials'!$C$14</definedName>
    <definedName name="bsg_MetaData_Drivers_Section" localSheetId="5" hidden="1">Comparison!$E$15</definedName>
    <definedName name="bsg_MetaData_Drivers_Section" localSheetId="6" hidden="1">'Summary Financials'!$E$11</definedName>
    <definedName name="bsg_MetaData_Summary_Grouping" localSheetId="5" hidden="1">Comparison!$D$15</definedName>
    <definedName name="bsg_MetaData_Summary_Grouping" localSheetId="6" hidden="1">'Summary Financials'!$D$11</definedName>
    <definedName name="BSSections">Drivers!$H$71:$H$106</definedName>
    <definedName name="BSSummarys">Drivers!$I$71:$I$106</definedName>
    <definedName name="BSSummarysCF">Drivers!$J$71:$J$106</definedName>
    <definedName name="ce" hidden="1">{"summary",#N/A,FALSE,"PROFIT AND LOSS ACCOUNT";"detail",#N/A,FALSE,"PROFIT AND LOSS ACCOUNT";#N/A,#N/A,FALSE,"UK MARKETING";#N/A,#N/A,FALSE,"UK TRADING";#N/A,#N/A,FALSE,"GERMAN MARKETING";#N/A,#N/A,FALSE,"GERMAN TRADING";#N/A,#N/A,FALSE,"HOLLAND TRADING";#N/A,#N/A,FALSE,"SWITZERLAND TRADING";#N/A,#N/A,FALSE,"TRADING RESULT";#N/A,#N/A,FALSE,"DISTRIBUTION";#N/A,#N/A,FALSE,"ADMINISTRATIVE";#N/A,#N/A,FALSE,"OTHER OPERATING";"accounts",#N/A,FALSE,"6100";#N/A,#N/A,FALSE,"6100 LAST MONTH"}</definedName>
    <definedName name="ceal" hidden="1">{"cfprint",#N/A,FALSE,"CF";"bsprint",#N/A,FALSE,"BS";"depprint",#N/A,FALSE,"Fixed A"}</definedName>
    <definedName name="ceala" hidden="1">{"cfprint",#N/A,FALSE,"CF";"bsprint",#N/A,FALSE,"BS";"depprint",#N/A,FALSE,"Fixed A"}</definedName>
    <definedName name="cee" hidden="1">{"summary",#N/A,FALSE,"PROFIT AND LOSS ACCOUNT";"detail",#N/A,FALSE,"PROFIT AND LOSS ACCOUNT";#N/A,#N/A,FALSE,"UK MARKETING";#N/A,#N/A,FALSE,"UK TRADING";#N/A,#N/A,FALSE,"GERMAN MARKETING";#N/A,#N/A,FALSE,"GERMAN TRADING";#N/A,#N/A,FALSE,"HOLLAND TRADING";#N/A,#N/A,FALSE,"SWITZERLAND TRADING";#N/A,#N/A,FALSE,"TRADING RESULT";#N/A,#N/A,FALSE,"DISTRIBUTION";#N/A,#N/A,FALSE,"ADMINISTRATIVE";#N/A,#N/A,FALSE,"OTHER OPERATING";"accounts",#N/A,FALSE,"6100";#N/A,#N/A,FALSE,"6100 LAST MONTH"}</definedName>
    <definedName name="cer" hidden="1">{"summary",#N/A,FALSE,"PROFIT AND LOSS ACCOUNT";"detail",#N/A,FALSE,"PROFIT AND LOSS ACCOUNT";#N/A,#N/A,FALSE,"UK MARKETING";#N/A,#N/A,FALSE,"UK TRADING";#N/A,#N/A,FALSE,"GERMAN MARKETING";#N/A,#N/A,FALSE,"GERMAN TRADING";#N/A,#N/A,FALSE,"HOLLAND TRADING";#N/A,#N/A,FALSE,"SWITZERLAND TRADING";#N/A,#N/A,FALSE,"TRADING RESULT";#N/A,#N/A,FALSE,"DISTRIBUTION";#N/A,#N/A,FALSE,"ADMINISTRATIVE";#N/A,#N/A,FALSE,"OTHER OPERATING";"accounts",#N/A,FALSE,"6100";#N/A,#N/A,FALSE,"6100 LAST MONTH"}</definedName>
    <definedName name="ciao" hidden="1">{#N/A,#N/A,TRUE,"SUMMARY";"page 1",#N/A,TRUE,"Citydiesel-position";"position page 2",#N/A,TRUE,"Citydiesel-position";#N/A,#N/A,TRUE,"Citypetrol-position";#N/A,#N/A,TRUE,"STOCK PROFILE"}</definedName>
    <definedName name="CIQWBGuid" hidden="1">"88d632af-040d-4c57-81de-335f2832288c"</definedName>
    <definedName name="Company_Name">"Model Wiz Demo *"</definedName>
    <definedName name="d" hidden="1">{"cfprint",#N/A,FALSE,"CF";"bsprint",#N/A,FALSE,"BS";"depprint",#N/A,FALSE,"Fixed A"}</definedName>
    <definedName name="dataGLBS">'Data Summary'!$M$77:$BH$105</definedName>
    <definedName name="dataGLBSAcctIDs">'Data Summary'!$I$77:$I$105</definedName>
    <definedName name="dataGLBSAccts">'Data Summary'!$D$77:$D$105</definedName>
    <definedName name="dataGLBSCF">'Data Summary'!$L$77:$BH$105</definedName>
    <definedName name="dataGLBSSections">'Data Summary'!$E$77:$E$105</definedName>
    <definedName name="dataGLBSSummarys">'Data Summary'!$F$77:$F$105</definedName>
    <definedName name="dataGLBSSummarysCF">'Data Summary'!$H$77:$H$105</definedName>
    <definedName name="dataGLPL">'Data Summary'!$M$38:$BH$74</definedName>
    <definedName name="dataGLPLAcctIDs">'Data Summary'!$I$38:$I$74</definedName>
    <definedName name="dataGLPLAccts">'Data Summary'!$D$38:$D$74</definedName>
    <definedName name="dataGLPLSections">'Data Summary'!$E$38:$E$74</definedName>
    <definedName name="dataGLPLSummarys">'Data Summary'!$F$38:$F$74</definedName>
    <definedName name="dataSummaryBS">'Data Summary'!$M$24:$BH$34</definedName>
    <definedName name="dataSummaryBSAcctIDs">'Data Summary'!$I$24:$I$34</definedName>
    <definedName name="dataSummaryBSAccts">'Data Summary'!$D$24:$D$34</definedName>
    <definedName name="dataSummaryBSCF">'Data Summary'!$L$24:$BH$34</definedName>
    <definedName name="dataSummaryBSSections">'Data Summary'!$E$24:$E$34</definedName>
    <definedName name="dataSummaryBSSummarys">'Data Summary'!$F$24:$F$34</definedName>
    <definedName name="dataSummaryPL">'Data Summary'!$M$12:$BH$21</definedName>
    <definedName name="dataSummaryPLAcctIDs">'Data Summary'!$I$12:$I$21</definedName>
    <definedName name="dataSummaryPLAccts">'Data Summary'!$D$12:$D$21</definedName>
    <definedName name="dataSummaryPLSections">'Data Summary'!$E$12:$E$21</definedName>
    <definedName name="dataSummaryPLSummarys">'Data Summary'!$F$12:$F$21</definedName>
    <definedName name="DATES_SECTION_1" localSheetId="6">'Summary Financials'!$I$5:$CG$11</definedName>
    <definedName name="DATES_SECTION_2" localSheetId="6">'Summary Financials'!$I$46:$CG$52</definedName>
    <definedName name="DATES_SECTION_3" localSheetId="6">'Summary Financials'!$I$72:$CG$78</definedName>
    <definedName name="dest" hidden="1">{"summary",#N/A,FALSE,"PROFIT AND LOSS ACCOUNT";"detail",#N/A,FALSE,"PROFIT AND LOSS ACCOUNT";#N/A,#N/A,FALSE,"UK MARKETING";#N/A,#N/A,FALSE,"UK TRADING";#N/A,#N/A,FALSE,"GERMAN MARKETING";#N/A,#N/A,FALSE,"GERMAN TRADING";#N/A,#N/A,FALSE,"HOLLAND TRADING";#N/A,#N/A,FALSE,"SWITZERLAND TRADING";#N/A,#N/A,FALSE,"TRADING RESULT";#N/A,#N/A,FALSE,"DISTRIBUTION";#N/A,#N/A,FALSE,"ADMINISTRATIVE";#N/A,#N/A,FALSE,"OTHER OPERATING";"accounts",#N/A,FALSE,"6100";#N/A,#N/A,FALSE,"6100 LAST MONTH"}</definedName>
    <definedName name="doc" hidden="1">{#N/A,#N/A,TRUE,"UK assump";#N/A,#N/A,TRUE,"UK P&amp;L BS CF";#N/A,#N/A,TRUE,"Chart";#N/A,#N/A,TRUE,"Valuation";#N/A,#N/A,TRUE,"UK Overheads";#N/A,#N/A,TRUE,"UK Gross Profit";#N/A,#N/A,TRUE,"UK Fixed Assets"}</definedName>
    <definedName name="Drivers_accountId">Drivers!$L:$L</definedName>
    <definedName name="Drivers_accountName">Drivers!$D:$D</definedName>
    <definedName name="Drivers_cashFlowSection">Drivers!$J:$J</definedName>
    <definedName name="Drivers_Driver">Drivers!$E:$E</definedName>
    <definedName name="Drivers_driverAccountType">Drivers!$K:$K</definedName>
    <definedName name="Drivers_DriverAssumption">Drivers!$F:$F</definedName>
    <definedName name="Drivers_driversSection">Drivers!$H:$H</definedName>
    <definedName name="Drivers_summaryGrouping">Drivers!$I:$I</definedName>
    <definedName name="DriversOwnersEquity" comment="Owners Equity Section on the Drivers tab, excluding the summation header row.">Drivers!$AN$100:$CJ$106</definedName>
    <definedName name="dse" hidden="1">{"cfprint",#N/A,FALSE,"CF";"bsprint",#N/A,FALSE,"BS";"depprint",#N/A,FALSE,"Fixed A"}</definedName>
    <definedName name="dsfsd" hidden="1">{"summary",#N/A,FALSE,"PROFIT AND LOSS ACCOUNT";"detail",#N/A,FALSE,"PROFIT AND LOSS ACCOUNT";#N/A,#N/A,FALSE,"UK MARKETING";#N/A,#N/A,FALSE,"UK TRADING";#N/A,#N/A,FALSE,"GERMAN MARKETING";#N/A,#N/A,FALSE,"GERMAN TRADING";#N/A,#N/A,FALSE,"HOLLAND TRADING";#N/A,#N/A,FALSE,"SWITZERLAND TRADING";#N/A,#N/A,FALSE,"TRADING RESULT";#N/A,#N/A,FALSE,"DISTRIBUTION";#N/A,#N/A,FALSE,"ADMINISTRATIVE";#N/A,#N/A,FALSE,"OTHER OPERATING";"accounts",#N/A,FALSE,"6100";#N/A,#N/A,FALSE,"6100 LAST MONTH"}</definedName>
    <definedName name="e" hidden="1">{#N/A,#N/A,TRUE,"UK assump";#N/A,#N/A,TRUE,"UK P&amp;L BS CF";#N/A,#N/A,TRUE,"Chart";#N/A,#N/A,TRUE,"Valuation";#N/A,#N/A,TRUE,"UK Overheads";#N/A,#N/A,TRUE,"UK Gross Profit";#N/A,#N/A,TRUE,"UK Fixed Assets"}</definedName>
    <definedName name="ee" hidden="1">{"summary",#N/A,FALSE,"PROFIT AND LOSS ACCOUNT";"detail",#N/A,FALSE,"PROFIT AND LOSS ACCOUNT";#N/A,#N/A,FALSE,"UK MARKETING";#N/A,#N/A,FALSE,"UK TRADING";#N/A,#N/A,FALSE,"GERMAN MARKETING";#N/A,#N/A,FALSE,"GERMAN TRADING";#N/A,#N/A,FALSE,"HOLLAND TRADING";#N/A,#N/A,FALSE,"SWITZERLAND TRADING";#N/A,#N/A,FALSE,"TRADING RESULT";#N/A,#N/A,FALSE,"DISTRIBUTION";#N/A,#N/A,FALSE,"ADMINISTRATIVE";#N/A,#N/A,FALSE,"OTHER OPERATING";"accounts",#N/A,FALSE,"6100";#N/A,#N/A,FALSE,"6100 LAST MONTH"}</definedName>
    <definedName name="eeee" hidden="1">{#N/A,#N/A,TRUE,"Port Adelaide PC Report";#N/A,#N/A,TRUE,"Regional PC Report"}</definedName>
    <definedName name="eeer" hidden="1">{#N/A,#N/A,TRUE,"Port Adelaide PC Report";#N/A,#N/A,TRUE,"Regional PC Report"}</definedName>
    <definedName name="End_Date" hidden="1">46387</definedName>
    <definedName name="endDates">'Data Summary'!$M$5:$BH$5</definedName>
    <definedName name="endDatesCF">'Data Summary'!$L$5:$BH$5</definedName>
    <definedName name="EOM_Start_Date" hidden="1">44957</definedName>
    <definedName name="Error_Check">'Error Check'!$D$20</definedName>
    <definedName name="Error_Range" localSheetId="9">'Balance Sheet'!$F$66:$BY$69</definedName>
    <definedName name="Error_Range" localSheetId="10">'Cash Flows'!$E$60:$BX$60</definedName>
    <definedName name="Error_Range" localSheetId="5">Comparison!$G$99:$O$107</definedName>
    <definedName name="Error_Range" localSheetId="18">'Data Summary'!$L$148:$BH$165</definedName>
    <definedName name="Error_Range" localSheetId="11">Drivers!$P$109:$CJ$119</definedName>
    <definedName name="Error_Range" localSheetId="8">'Income Statement'!$F$65:$BY$70</definedName>
    <definedName name="Error_Range" localSheetId="6">'Summary Financials'!$J$149:$CG$157</definedName>
    <definedName name="exc" hidden="1">{#N/A,#N/A,FALSE,"GMBH";#N/A,#N/A,FALSE,"GMBH INVOICES RAISED";#N/A,#N/A,FALSE,"GMBH STOCK RECONCILIATION"}</definedName>
    <definedName name="f" hidden="1">{#N/A,#N/A,TRUE,"UK assump";#N/A,#N/A,TRUE,"UK P&amp;L BS CF";#N/A,#N/A,TRUE,"Chart";#N/A,#N/A,TRUE,"Valuation";#N/A,#N/A,TRUE,"UK Overheads";#N/A,#N/A,TRUE,"UK Gross Profit";#N/A,#N/A,TRUE,"UK Fixed Assets"}</definedName>
    <definedName name="fafa" hidden="1">{"razones",#N/A,TRUE,"Razones";"balance",#N/A,TRUE,"Balance";"resultados",#N/A,TRUE,"Resultados";"flujo",#N/A,TRUE,"Flujo";"ingresos",#N/A,TRUE,"Ingresos";"costo",#N/A,TRUE,"Costo";"gastos",#N/A,TRUE,"Gastos";"datos",#N/A,TRUE,"Datos";"financieros",#N/A,TRUE,"Financieros"}</definedName>
    <definedName name="Fiscal_Offset" hidden="1">0</definedName>
    <definedName name="forecast" hidden="1">{#N/A,#N/A,TRUE,"Port Adelaide PC Report";#N/A,#N/A,TRUE,"Regional PC Report"}</definedName>
    <definedName name="Formats">_xlfn.ANCHORARRAY(Lists!$C$6)</definedName>
    <definedName name="fu" hidden="1">{"P&amp;L_Summary",#N/A,FALSE,"Grint P&amp;L";"BS_Summary",#N/A,FALSE,"Grint BS";"P&amp;L_Detail",#N/A,FALSE,"Grint P&amp;L";"BS_Detail",#N/A,FALSE,"Grint BS"}</definedName>
    <definedName name="fuck" hidden="1">{"summary",#N/A,FALSE,"PROFIT AND LOSS ACCOUNT";"detail",#N/A,FALSE,"PROFIT AND LOSS ACCOUNT";#N/A,#N/A,FALSE,"UK MARKETING";#N/A,#N/A,FALSE,"UK TRADING";#N/A,#N/A,FALSE,"GERMAN MARKETING";#N/A,#N/A,FALSE,"GERMAN TRADING";#N/A,#N/A,FALSE,"HOLLAND TRADING";#N/A,#N/A,FALSE,"SWITZERLAND TRADING";#N/A,#N/A,FALSE,"TRADING RESULT";#N/A,#N/A,FALSE,"DISTRIBUTION";#N/A,#N/A,FALSE,"ADMINISTRATIVE";#N/A,#N/A,FALSE,"OTHER OPERATING";"accounts",#N/A,FALSE,"6100";#N/A,#N/A,FALSE,"6100 LAST MONTH"}</definedName>
    <definedName name="g" hidden="1">{#N/A,#N/A,FALSE,"GMBH";#N/A,#N/A,FALSE,"GMBH INVOICES RAISED";#N/A,#N/A,FALSE,"GMBH STOCK RECONCILIATION"}</definedName>
    <definedName name="gf" hidden="1">{#N/A,#N/A,TRUE,"UK assump";#N/A,#N/A,TRUE,"UK P&amp;L BS CF";#N/A,#N/A,TRUE,"Chart";#N/A,#N/A,TRUE,"Valuation";#N/A,#N/A,TRUE,"UK Overheads";#N/A,#N/A,TRUE,"UK Gross Profit";#N/A,#N/A,TRUE,"UK Fixed Assets"}</definedName>
    <definedName name="h" hidden="1">{"P&amp;L_Summary",#N/A,FALSE,"Grint P&amp;L";"BS_Summary",#N/A,FALSE,"Grint BS";"P&amp;L_Detail",#N/A,FALSE,"Grint P&amp;L";"BS_Detail",#N/A,FALSE,"Grint BS"}</definedName>
    <definedName name="headcountData">'Data Summary'!$M$108:$BH$146</definedName>
    <definedName name="headcountDataDepts">'Data Summary'!$E$108:$E$146</definedName>
    <definedName name="headcountDataIDs">'Data Summary'!$F$108:$F$146</definedName>
    <definedName name="Health_Benefits" localSheetId="12">Headcount!$E$119</definedName>
    <definedName name="Holidays1" hidden="1">{#N/A,#N/A,TRUE,"SUMMARY";"page 1",#N/A,TRUE,"Citydiesel-position";"position page 2",#N/A,TRUE,"Citydiesel-position";#N/A,#N/A,TRUE,"Citypetrol-position";#N/A,#N/A,TRUE,"STOCK PROFILE"}</definedName>
    <definedName name="HTML1_1" hidden="1">"[TUPNL.xls]Summary!$A$40:$D$43"</definedName>
    <definedName name="HTML1_10" hidden="1">""</definedName>
    <definedName name="HTML1_11" hidden="1">1</definedName>
    <definedName name="HTML1_12" hidden="1">"H:\MyHTML.htm"</definedName>
    <definedName name="HTML1_2" hidden="1">1</definedName>
    <definedName name="HTML1_3" hidden="1">"TUPNL"</definedName>
    <definedName name="HTML1_4" hidden="1">"Summary"</definedName>
    <definedName name="HTML1_5" hidden="1">""</definedName>
    <definedName name="HTML1_6" hidden="1">-4146</definedName>
    <definedName name="HTML1_7" hidden="1">-4146</definedName>
    <definedName name="HTML1_8" hidden="1">"07/05/98"</definedName>
    <definedName name="HTML1_9" hidden="1">"Laurent Hatzopoulos"</definedName>
    <definedName name="HTML2_1" hidden="1">"[TUPNL.xls]Summary!$A$1:$N$42"</definedName>
    <definedName name="HTML2_10" hidden="1">""</definedName>
    <definedName name="HTML2_11" hidden="1">1</definedName>
    <definedName name="HTML2_12" hidden="1">"H:\MyHTML.htm"</definedName>
    <definedName name="HTML2_2" hidden="1">1</definedName>
    <definedName name="HTML2_3" hidden="1">"TUPNL"</definedName>
    <definedName name="HTML2_4" hidden="1">"Summary"</definedName>
    <definedName name="HTML2_5" hidden="1">""</definedName>
    <definedName name="HTML2_6" hidden="1">-4146</definedName>
    <definedName name="HTML2_7" hidden="1">-4146</definedName>
    <definedName name="HTML2_8" hidden="1">"07/05/98"</definedName>
    <definedName name="HTML2_9" hidden="1">"Laurent Hatzopoulos"</definedName>
    <definedName name="HTMLCount" hidden="1">2</definedName>
    <definedName name="hy" hidden="1">{#N/A,#N/A,TRUE,"UK assump";#N/A,#N/A,TRUE,"UK P&amp;L BS CF";#N/A,#N/A,TRUE,"Chart";#N/A,#N/A,TRUE,"Valuation";#N/A,#N/A,TRUE,"UK Overheads";#N/A,#N/A,TRUE,"UK Gross Profit";#N/A,#N/A,TRUE,"UK Fixed Assets"}</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"11/30/2016 09:36:58"</definedName>
    <definedName name="IQ_QTD" hidden="1">750000</definedName>
    <definedName name="IQ_TODAY" hidden="1">0</definedName>
    <definedName name="IQ_YTDMONTH" hidden="1">130000</definedName>
    <definedName name="j" hidden="1">{"summary",#N/A,FALSE,"PROFIT AND LOSS ACCOUNT";"detail",#N/A,FALSE,"PROFIT AND LOSS ACCOUNT";#N/A,#N/A,FALSE,"UK MARKETING";#N/A,#N/A,FALSE,"UK TRADING";#N/A,#N/A,FALSE,"GERMAN MARKETING";#N/A,#N/A,FALSE,"GERMAN TRADING";#N/A,#N/A,FALSE,"HOLLAND TRADING";#N/A,#N/A,FALSE,"SWITZERLAND TRADING";#N/A,#N/A,FALSE,"TRADING RESULT";#N/A,#N/A,FALSE,"DISTRIBUTION";#N/A,#N/A,FALSE,"ADMINISTRATIVE";#N/A,#N/A,FALSE,"OTHER OPERATING";"accounts",#N/A,FALSE,"6100";#N/A,#N/A,FALSE,"6100 LAST MONTH"}</definedName>
    <definedName name="june" hidden="1">{#N/A,#N/A,TRUE,"UK assump";#N/A,#N/A,TRUE,"UK P&amp;L BS CF";#N/A,#N/A,TRUE,"Chart";#N/A,#N/A,TRUE,"Valuation";#N/A,#N/A,TRUE,"UK Overheads";#N/A,#N/A,TRUE,"UK Gross Profit";#N/A,#N/A,TRUE,"UK Fixed Assets"}</definedName>
    <definedName name="k" hidden="1">{#N/A,#N/A,FALSE,"GMBH";#N/A,#N/A,FALSE,"GMBH INVOICES RAISED";#N/A,#N/A,FALSE,"GMBH STOCK RECONCILIATION"}</definedName>
    <definedName name="KATE" hidden="1">{"P&amp;L_Summary",#N/A,FALSE,"Grint P&amp;L";"BS_Summary",#N/A,FALSE,"Grint BS";"P&amp;L_Detail",#N/A,FALSE,"Grint P&amp;L";"BS_Detail",#N/A,FALSE,"Grint BS"}</definedName>
    <definedName name="KATES" hidden="1">{"summary",#N/A,FALSE,"PROFIT AND LOSS ACCOUNT";"detail",#N/A,FALSE,"PROFIT AND LOSS ACCOUNT";#N/A,#N/A,FALSE,"UK MARKETING";#N/A,#N/A,FALSE,"UK TRADING";#N/A,#N/A,FALSE,"GERMAN MARKETING";#N/A,#N/A,FALSE,"GERMAN TRADING";#N/A,#N/A,FALSE,"HOLLAND TRADING";#N/A,#N/A,FALSE,"SWITZERLAND TRADING";#N/A,#N/A,FALSE,"TRADING RESULT";#N/A,#N/A,FALSE,"DISTRIBUTION";#N/A,#N/A,FALSE,"ADMINISTRATIVE";#N/A,#N/A,FALSE,"OTHER OPERATING";"accounts",#N/A,FALSE,"6100";#N/A,#N/A,FALSE,"6100 LAST MONTH"}</definedName>
    <definedName name="l" hidden="1">{"P&amp;L_Summary",#N/A,FALSE,"Grint P&amp;L";"BS_Summary",#N/A,FALSE,"Grint BS";"P&amp;L_Detail",#N/A,FALSE,"Grint P&amp;L";"BS_Detail",#N/A,FALSE,"Grint BS"}</definedName>
    <definedName name="lar" hidden="1">{"cfprint",#N/A,FALSE,"CF";"bsprint",#N/A,FALSE,"BS";"depprint",#N/A,FALSE,"Fixed A"}</definedName>
    <definedName name="LatestMonthOfActuals">Drivers!$BW$8</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V_FinGlDesktopEntryPageDef_CurrencyCode" hidden="1">#REF!</definedName>
    <definedName name="LOV_FinGlDesktopEntryPageDef_HeaderAccountingPeriodList" hidden="1">#REF!</definedName>
    <definedName name="LOV_FinGlDesktopEntryPageDef_HeaderLedgerIdList" hidden="1">#REF!</definedName>
    <definedName name="LOV_FinGlDesktopEntryPageDef_HeaderReversalPeriodList" hidden="1">#REF!</definedName>
    <definedName name="LOV_FinGlDesktopEntryPageDef_HeaderSourceList" hidden="1">#REF!</definedName>
    <definedName name="LOV_FinGlDesktopEntryPageDef_UserCurrencyConversionType" hidden="1">#REF!</definedName>
    <definedName name="m" hidden="1">{"cfprint",#N/A,FALSE,"CF";"bsprint",#N/A,FALSE,"BS";"depprint",#N/A,FALSE,"Fixed A"}</definedName>
    <definedName name="may" hidden="1">{#N/A,#N/A,TRUE,"UK assump";#N/A,#N/A,TRUE,"UK P&amp;L BS CF";#N/A,#N/A,TRUE,"Chart";#N/A,#N/A,TRUE,"Valuation";#N/A,#N/A,TRUE,"UK Overheads";#N/A,#N/A,TRUE,"UK Gross Profit";#N/A,#N/A,TRUE,"UK Fixed Assets"}</definedName>
    <definedName name="n" hidden="1">{"cfprint",#N/A,FALSE,"CF";"bsprint",#N/A,FALSE,"BS";"depprint",#N/A,FALSE,"Fixed A"}</definedName>
    <definedName name="one" hidden="1">{"summary",#N/A,FALSE,"PROFIT AND LOSS ACCOUNT";"detail",#N/A,FALSE,"PROFIT AND LOSS ACCOUNT";#N/A,#N/A,FALSE,"UK MARKETING";#N/A,#N/A,FALSE,"UK TRADING";#N/A,#N/A,FALSE,"GERMAN MARKETING";#N/A,#N/A,FALSE,"GERMAN TRADING";#N/A,#N/A,FALSE,"HOLLAND TRADING";#N/A,#N/A,FALSE,"SWITZERLAND TRADING";#N/A,#N/A,FALSE,"TRADING RESULT";#N/A,#N/A,FALSE,"DISTRIBUTION";#N/A,#N/A,FALSE,"ADMINISTRATIVE";#N/A,#N/A,FALSE,"OTHER OPERATING";"accounts",#N/A,FALSE,"6100";#N/A,#N/A,FALSE,"6100 LAST MONTH"}</definedName>
    <definedName name="Payroll_Admin_Fees" localSheetId="12">Headcount!$E$120</definedName>
    <definedName name="Payroll_tax" localSheetId="12">Headcount!$E$118</definedName>
    <definedName name="pdf_range" localSheetId="1">Cover!$B$7:$AB$58</definedName>
    <definedName name="pdf_range" localSheetId="3">'KPI Dashboard'!$A$8:$Y$34</definedName>
    <definedName name="pdf_range_1" localSheetId="5">Comparison!$B$9:$P$49</definedName>
    <definedName name="pdf_range_1" localSheetId="6">'Summary Financials'!$B$4:$CH$44</definedName>
    <definedName name="pdf_range_2" localSheetId="5">Comparison!$B$50:$P$95</definedName>
    <definedName name="pdf_range_2" localSheetId="6">'Summary Financials'!$B$45:$CH$70</definedName>
    <definedName name="pdf_range_3" localSheetId="6">'Summary Financials'!$B$71:$CH$91</definedName>
    <definedName name="pella" hidden="1">{#N/A,#N/A,TRUE,"Port Adelaide PC Report";#N/A,#N/A,TRUE,"Regional PC Report"}</definedName>
    <definedName name="pella1" hidden="1">{#N/A,#N/A,TRUE,"Port Adelaide PC Report";#N/A,#N/A,TRUE,"Regional PC Report"}</definedName>
    <definedName name="pella2" hidden="1">{#N/A,#N/A,TRUE,"Port Adelaide PC Report";#N/A,#N/A,TRUE,"Regional PC Report"}</definedName>
    <definedName name="pellas" hidden="1">{#N/A,#N/A,TRUE,"Port Adelaide PC Report";#N/A,#N/A,TRUE,"Regional PC Report"}</definedName>
    <definedName name="PELLIZARI" hidden="1">{#N/A,#N/A,TRUE,"Port Adelaide PC Report";#N/A,#N/A,TRUE,"Regional PC Report"}</definedName>
    <definedName name="Periods">_xlfn.ANCHORARRAY(Lists!$B$6)</definedName>
    <definedName name="PLAcctIDs">Drivers!$L$10:$L$69</definedName>
    <definedName name="PLAccts">Drivers!$D$10:$D$69</definedName>
    <definedName name="PLAcctType">Drivers!$K$10:$K$69</definedName>
    <definedName name="PLDriverAssumptions">Drivers!$F$10:$F$69</definedName>
    <definedName name="PLDrivers">Drivers!$E$10:$E$69</definedName>
    <definedName name="PLSections">Drivers!$H$10:$H$69</definedName>
    <definedName name="PLSummarys">Drivers!$I$10:$I$69</definedName>
    <definedName name="PLSummarysCF">Drivers!$J$10:$J$69</definedName>
    <definedName name="PopCache_GL_INTERFACE_REFERENCE7" hidden="1">#REF!</definedName>
    <definedName name="pos" hidden="1">{#N/A,#N/A,FALSE,"GMBH";#N/A,#N/A,FALSE,"GMBH INVOICES RAISED";#N/A,#N/A,FALSE,"GMBH STOCK RECONCILIATION"}</definedName>
    <definedName name="position" hidden="1">{#N/A,#N/A,FALSE,"GMBH";#N/A,#N/A,FALSE,"GMBH INVOICES RAISED";#N/A,#N/A,FALSE,"GMBH STOCK RECONCILIATION"}</definedName>
    <definedName name="Prepayments" hidden="1">{#N/A,#N/A,TRUE,"UK assump";#N/A,#N/A,TRUE,"UK P&amp;L BS CF";#N/A,#N/A,TRUE,"Chart";#N/A,#N/A,TRUE,"Valuation";#N/A,#N/A,TRUE,"UK Overheads";#N/A,#N/A,TRUE,"UK Gross Profit";#N/A,#N/A,TRUE,"UK Fixed Assets"}</definedName>
    <definedName name="rc_RangeCopy__0_dest_0" localSheetId="5" hidden="1">Comparison!$I$17:$I$47</definedName>
    <definedName name="rc_RangeCopy__0_dest_1" localSheetId="5" hidden="1">Comparison!$M$17:$M$47</definedName>
    <definedName name="rc_RangeCopy__0_sourceRange" localSheetId="5" hidden="1">Comparison!$G$17:$G$47</definedName>
    <definedName name="rc_RangeCopy__1_dest_0" localSheetId="5" hidden="1">Comparison!$I$58:$I$74</definedName>
    <definedName name="rc_RangeCopy__1_dest_1" localSheetId="5" hidden="1">Comparison!$M$58:$M$74</definedName>
    <definedName name="rc_RangeCopy__1_sourceRange" localSheetId="5" hidden="1">Comparison!$G$58:$G$74</definedName>
    <definedName name="rc_RangeCopy__2_dest_0" localSheetId="5" hidden="1">Comparison!$I$84:$I$107</definedName>
    <definedName name="rc_RangeCopy__2_dest_1" localSheetId="5" hidden="1">Comparison!$M$84:$M$107</definedName>
    <definedName name="rc_RangeCopy__2_sourceRange" localSheetId="5" hidden="1">Comparison!$G$84:$G$107</definedName>
    <definedName name="Report_Period" localSheetId="5">Comparison!$H$3</definedName>
    <definedName name="Report_Period" localSheetId="1">Cover!$I$3</definedName>
    <definedName name="Report_Period" localSheetId="3">'KPI Dashboard'!$K$3</definedName>
    <definedName name="rrr" hidden="1">{#N/A,#N/A,TRUE,"Port Adelaide PC Report";#N/A,#N/A,TRUE,"Regional PC Report"}</definedName>
    <definedName name="rrrrrr" hidden="1">{#N/A,#N/A,TRUE,"Port Adelaide PC Report";#N/A,#N/A,TRUE,"Regional PC Report"}</definedName>
    <definedName name="sdf" hidden="1">{"summary",#N/A,FALSE,"PROFIT AND LOSS ACCOUNT";"detail",#N/A,FALSE,"PROFIT AND LOSS ACCOUNT";#N/A,#N/A,FALSE,"UK MARKETING";#N/A,#N/A,FALSE,"UK TRADING";#N/A,#N/A,FALSE,"GERMAN MARKETING";#N/A,#N/A,FALSE,"GERMAN TRADING";#N/A,#N/A,FALSE,"HOLLAND TRADING";#N/A,#N/A,FALSE,"SWITZERLAND TRADING";#N/A,#N/A,FALSE,"TRADING RESULT";#N/A,#N/A,FALSE,"DISTRIBUTION";#N/A,#N/A,FALSE,"ADMINISTRATIVE";#N/A,#N/A,FALSE,"OTHER OPERATING";"accounts",#N/A,FALSE,"6100";#N/A,#N/A,FALSE,"6100 LAST MONTH"}</definedName>
    <definedName name="sdfsdvfd" hidden="1">{"summary",#N/A,FALSE,"PROFIT AND LOSS ACCOUNT";"detail",#N/A,FALSE,"PROFIT AND LOSS ACCOUNT";#N/A,#N/A,FALSE,"UK MARKETING";#N/A,#N/A,FALSE,"UK TRADING";#N/A,#N/A,FALSE,"GERMAN MARKETING";#N/A,#N/A,FALSE,"GERMAN TRADING";#N/A,#N/A,FALSE,"HOLLAND TRADING";#N/A,#N/A,FALSE,"SWITZERLAND TRADING";#N/A,#N/A,FALSE,"TRADING RESULT";#N/A,#N/A,FALSE,"DISTRIBUTION";#N/A,#N/A,FALSE,"ADMINISTRATIVE";#N/A,#N/A,FALSE,"OTHER OPERATING";"accounts",#N/A,FALSE,"6100";#N/A,#N/A,FALSE,"6100 LAST MONTH"}</definedName>
    <definedName name="sept" hidden="1">{#N/A,#N/A,TRUE,"UK assump";#N/A,#N/A,TRUE,"UK P&amp;L BS CF";#N/A,#N/A,TRUE,"Chart";#N/A,#N/A,TRUE,"Valuation";#N/A,#N/A,TRUE,"UK Overheads";#N/A,#N/A,TRUE,"UK Gross Profit";#N/A,#N/A,TRUE,"UK Fixed Assets"}</definedName>
    <definedName name="ss" hidden="1">{"razones",#N/A,TRUE,"Razones";"balance",#N/A,TRUE,"Balance";"resultados",#N/A,TRUE,"Resultados";"flujo",#N/A,TRUE,"Flujo";"ingresos",#N/A,TRUE,"Ingresos";"costo",#N/A,TRUE,"Costo";"gastos",#N/A,TRUE,"Gastos";"datos",#N/A,TRUE,"Datos";"financieros",#N/A,TRUE,"Financieros"}</definedName>
    <definedName name="Start_Date" hidden="1">44927</definedName>
    <definedName name="StartDate">44227</definedName>
    <definedName name="startDates">'Data Summary'!$M$4:$BH$4</definedName>
    <definedName name="startDatesCF">'Data Summary'!$L$4:$BH$4</definedName>
    <definedName name="t" hidden="1">{"cfprint",#N/A,FALSE,"CF";"bsprint",#N/A,FALSE,"BS";"depprint",#N/A,FALSE,"Fixed A"}</definedName>
    <definedName name="temp" hidden="1">{#N/A,#N/A,TRUE,"SUMMARY";"page 1",#N/A,TRUE,"Citydiesel-position";"position page 2",#N/A,TRUE,"Citydiesel-position";#N/A,#N/A,TRUE,"Citypetrol-position";#N/A,#N/A,TRUE,"STOCK PROFILE"}</definedName>
    <definedName name="test" hidden="1">{#N/A,#N/A,TRUE,"Port Adelaide PC Report";#N/A,#N/A,TRUE,"Regional PC Report"}</definedName>
    <definedName name="test1123" hidden="1">{#N/A,#N/A,TRUE,"SUMMARY";"page 1",#N/A,TRUE,"Citydiesel-position";"position page 2",#N/A,TRUE,"Citydiesel-position";#N/A,#N/A,TRUE,"Citypetrol-position";#N/A,#N/A,TRUE,"STOCK PROFILE"}</definedName>
    <definedName name="test2" hidden="1">{#N/A,#N/A,TRUE,"Port Adelaide PC Report";#N/A,#N/A,TRUE,"Regional PC Report"}</definedName>
    <definedName name="wrn.Board._.Report." hidden="1">{#N/A,#N/A,TRUE,"Port Adelaide PC Report";#N/A,#N/A,TRUE,"Regional PC Report"}</definedName>
    <definedName name="wrn.David." hidden="1">{#N/A,#N/A,FALSE,"Specific trades";#N/A,#N/A,FALSE,"Gasoil summary to March";#N/A,#N/A,FALSE,"Gasoline summary to May"}</definedName>
    <definedName name="wrn.full._.position._.sheet." hidden="1">{#N/A,#N/A,TRUE,"SUMMARY";"page 1",#N/A,TRUE,"Citydiesel-position";"position page 2",#N/A,TRUE,"Citydiesel-position";#N/A,#N/A,TRUE,"Citypetrol-position";#N/A,#N/A,TRUE,"STOCK PROFILE"}</definedName>
    <definedName name="wrn.Future._.Forests." hidden="1">{#N/A,#N/A,TRUE,"UK assump";#N/A,#N/A,TRUE,"UK P&amp;L BS CF";#N/A,#N/A,TRUE,"Chart";#N/A,#N/A,TRUE,"Valuation";#N/A,#N/A,TRUE,"UK Overheads";#N/A,#N/A,TRUE,"UK Gross Profit";#N/A,#N/A,TRUE,"UK Fixed Assets"}</definedName>
    <definedName name="wrn.GMBH._.POSITION." hidden="1">{#N/A,#N/A,FALSE,"GMBH";#N/A,#N/A,FALSE,"GMBH INVOICES RAISED";#N/A,#N/A,FALSE,"GMBH STOCK RECONCILIATION"}</definedName>
    <definedName name="wrn.MGMT." hidden="1">{"P&amp;L_Summary",#N/A,FALSE,"Grint P&amp;L";"BS_Summary",#N/A,FALSE,"Grint BS";"P&amp;L_Detail",#N/A,FALSE,"Grint P&amp;L";"BS_Detail",#N/A,FALSE,"Grint BS"}</definedName>
    <definedName name="wrn.MONTHLY." hidden="1">{"summary",#N/A,FALSE,"PROFIT AND LOSS ACCOUNT";"detail",#N/A,FALSE,"PROFIT AND LOSS ACCOUNT";#N/A,#N/A,FALSE,"UK MARKETING";#N/A,#N/A,FALSE,"UK TRADING";#N/A,#N/A,FALSE,"GERMAN MARKETING";#N/A,#N/A,FALSE,"GERMAN TRADING";#N/A,#N/A,FALSE,"HOLLAND TRADING";#N/A,#N/A,FALSE,"SWITZERLAND TRADING";#N/A,#N/A,FALSE,"TRADING RESULT";#N/A,#N/A,FALSE,"DISTRIBUTION";#N/A,#N/A,FALSE,"ADMINISTRATIVE";#N/A,#N/A,FALSE,"OTHER OPERATING";"accounts",#N/A,FALSE,"6100";#N/A,#N/A,FALSE,"6100 LAST MONTH"}</definedName>
    <definedName name="wrn.OUK._.Total._.Plus._.GRL._.and._.Coryton." hidden="1">{#N/A,#N/A,FALSE,"OUK Total";#N/A,#N/A,FALSE,"Coryton";#N/A,#N/A,FALSE,"Grangemouth"}</definedName>
    <definedName name="wrn.OUKpnl." hidden="1">{"ouk1",#N/A,FALSE,"Summary";"ouk2",#N/A,FALSE,"COB";"ouk3",#N/A,FALSE,"Crude (Trading Book)";"ouk4",#N/A,FALSE,"Products (Trading Book)"}</definedName>
    <definedName name="wrn.print." hidden="1">{#N/A,#N/A,FALSE,"Summary";#N/A,#N/A,FALSE,"Crude (Trading Book)";#N/A,#N/A,FALSE,"Products (Trading Book)"}</definedName>
    <definedName name="wrn.Print._.All." hidden="1">{#N/A,#N/A,TRUE,"Summary";#N/A,#N/A,TRUE,"COB";#N/A,#N/A,TRUE,"Crude (Trading Book)";#N/A,#N/A,TRUE,"Products (Trading Book)";#N/A,#N/A,TRUE,"Lags"}</definedName>
    <definedName name="wrn.Print._.GRL._.Summary." hidden="1">{#N/A,#N/A,FALSE,"Summary";#N/A,#N/A,FALSE,"COB";#N/A,#N/A,FALSE,"Products (Trading Book)";#N/A,#N/A,FALSE,"Crude (Trading Book)";#N/A,#N/A,FALSE,"Other";#N/A,#N/A,FALSE,"Lags"}</definedName>
    <definedName name="wrn.Print._.Summary." hidden="1">{#N/A,#N/A,FALSE,"Summary";#N/A,#N/A,FALSE,"Crude (Trading Book)";#N/A,#N/A,FALSE,"COB";#N/A,#N/A,FALSE,"Products (Trading Book)";#N/A,#N/A,FALSE,"Crd P&amp;L Dtl";#N/A,#N/A,FALSE,"Prod P&amp;L Dtl"}</definedName>
    <definedName name="wrn.reporte." hidden="1">{"razones",#N/A,TRUE,"Razones";"balance",#N/A,TRUE,"Balance";"resultados",#N/A,TRUE,"Resultados";"flujo",#N/A,TRUE,"Flujo";"ingresos",#N/A,TRUE,"Ingresos";"costo",#N/A,TRUE,"Costo";"gastos",#N/A,TRUE,"Gastos";"datos",#N/A,TRUE,"Datos";"financieros",#N/A,TRUE,"Financieros"}</definedName>
    <definedName name="wrn.Zebra_Full_devt_Vers.." hidden="1">{"cfprint",#N/A,FALSE,"CF";"bsprint",#N/A,FALSE,"BS";"depprint",#N/A,FALSE,"Fixed A"}</definedName>
    <definedName name="www" hidden="1">{#N/A,#N/A,TRUE,"Port Adelaide PC Report";#N/A,#N/A,TRUE,"Regional PC Report"}</definedName>
    <definedName name="zebra" hidden="1">{"cfprint",#N/A,FALSE,"CF";"bsprint",#N/A,FALSE,"BS";"depprint",#N/A,FALSE,"Fixed A"}</definedName>
    <definedName name="zerbra" hidden="1">{"summary",#N/A,FALSE,"PROFIT AND LOSS ACCOUNT";"detail",#N/A,FALSE,"PROFIT AND LOSS ACCOUNT";#N/A,#N/A,FALSE,"UK MARKETING";#N/A,#N/A,FALSE,"UK TRADING";#N/A,#N/A,FALSE,"GERMAN MARKETING";#N/A,#N/A,FALSE,"GERMAN TRADING";#N/A,#N/A,FALSE,"HOLLAND TRADING";#N/A,#N/A,FALSE,"SWITZERLAND TRADING";#N/A,#N/A,FALSE,"TRADING RESULT";#N/A,#N/A,FALSE,"DISTRIBUTION";#N/A,#N/A,FALSE,"ADMINISTRATIVE";#N/A,#N/A,FALSE,"OTHER OPERATING";"accounts",#N/A,FALSE,"6100";#N/A,#N/A,FALSE,"6100 LAST MONTH"}</definedName>
    <definedName name="zz" hidden="1">{"cfprint",#N/A,FALSE,"CF";"bsprint",#N/A,FALSE,"BS";"depprint",#N/A,FALSE,"Fixed A"}</definedName>
    <definedName name="zzz" hidden="1">{"cfprint",#N/A,FALSE,"CF";"bsprint",#N/A,FALSE,"BS";"depprint",#N/A,FALSE,"Fixed A"}</definedName>
  </definedNames>
  <calcPr calcId="191028"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9" i="7" l="1"/>
  <c r="H29" i="7"/>
  <c r="N29" i="7"/>
  <c r="T29" i="7"/>
  <c r="T18" i="7"/>
  <c r="N18" i="7"/>
  <c r="H18" i="7"/>
  <c r="B18" i="7"/>
  <c r="BO290" i="31" l="1"/>
  <c r="BN290" i="31"/>
  <c r="BM290" i="31"/>
  <c r="BL290" i="31"/>
  <c r="BK290" i="31"/>
  <c r="BJ290" i="31"/>
  <c r="BI290" i="31"/>
  <c r="BH290" i="31"/>
  <c r="BG290" i="31"/>
  <c r="BF290" i="31"/>
  <c r="BE290" i="31"/>
  <c r="BD290" i="31"/>
  <c r="BC290" i="31"/>
  <c r="BB290" i="31"/>
  <c r="BA290" i="31"/>
  <c r="AZ290" i="31"/>
  <c r="AY290" i="31"/>
  <c r="AX290" i="31"/>
  <c r="AW290" i="31"/>
  <c r="AV290" i="31"/>
  <c r="AU290" i="31"/>
  <c r="AT290" i="31"/>
  <c r="AS290" i="31"/>
  <c r="AR290" i="31"/>
  <c r="AQ290" i="31"/>
  <c r="AP290" i="31"/>
  <c r="AO290" i="31"/>
  <c r="AN290" i="31"/>
  <c r="AM290" i="31"/>
  <c r="AL290" i="31"/>
  <c r="AK290" i="31"/>
  <c r="AJ290" i="31"/>
  <c r="AI290" i="31"/>
  <c r="AH290" i="31"/>
  <c r="BP290" i="31"/>
  <c r="BW75" i="12"/>
  <c r="D73" i="33"/>
  <c r="D66" i="33"/>
  <c r="D67" i="33"/>
  <c r="D68" i="33"/>
  <c r="D62" i="33"/>
  <c r="D61" i="33"/>
  <c r="D60" i="33"/>
  <c r="D59" i="33"/>
  <c r="D42" i="33"/>
  <c r="D30" i="33"/>
  <c r="D29" i="33"/>
  <c r="D28" i="33"/>
  <c r="D27" i="33"/>
  <c r="C3" i="33"/>
  <c r="D18" i="33"/>
  <c r="D21" i="33"/>
  <c r="D31" i="33"/>
  <c r="D38" i="33"/>
  <c r="D43" i="33"/>
  <c r="D63" i="33"/>
  <c r="D69" i="33"/>
  <c r="D74" i="33"/>
  <c r="D99" i="33"/>
  <c r="D100" i="33"/>
  <c r="D101" i="33"/>
  <c r="D102" i="33"/>
  <c r="D103" i="33"/>
  <c r="D104" i="33"/>
  <c r="D105" i="33"/>
  <c r="D106" i="33"/>
  <c r="D32" i="25" l="1"/>
  <c r="E27" i="25" s="1"/>
  <c r="E32" i="25" s="1"/>
  <c r="F27" i="25" s="1"/>
  <c r="F32" i="25" s="1"/>
  <c r="G27" i="25" s="1"/>
  <c r="G32" i="25" s="1"/>
  <c r="H27" i="25" s="1"/>
  <c r="H32" i="25" s="1"/>
  <c r="I27" i="25" s="1"/>
  <c r="I32" i="25" s="1"/>
  <c r="J27" i="25" s="1"/>
  <c r="J32" i="25" s="1"/>
  <c r="K27" i="25" s="1"/>
  <c r="K32" i="25" s="1"/>
  <c r="L27" i="25" s="1"/>
  <c r="L32" i="25" s="1"/>
  <c r="M27" i="25" s="1"/>
  <c r="M32" i="25" s="1"/>
  <c r="N27" i="25" s="1"/>
  <c r="N32" i="25" s="1"/>
  <c r="O27" i="25" s="1"/>
  <c r="O32" i="25" s="1"/>
  <c r="D15" i="8" l="1"/>
  <c r="AL96" i="8" a="1"/>
  <c r="AL96" i="8" s="1"/>
  <c r="T96" i="8"/>
  <c r="AL95" i="8"/>
  <c r="T95" i="8"/>
  <c r="N95" i="8"/>
  <c r="E141" i="13"/>
  <c r="E142" i="13" s="1"/>
  <c r="E143" i="13" s="1"/>
  <c r="E144" i="13" s="1"/>
  <c r="E145" i="13" s="1"/>
  <c r="E135" i="13"/>
  <c r="E136" i="13" s="1"/>
  <c r="E137" i="13" s="1"/>
  <c r="E138" i="13" s="1"/>
  <c r="E139" i="13" s="1"/>
  <c r="E129" i="13"/>
  <c r="E130" i="13" s="1"/>
  <c r="E131" i="13" s="1"/>
  <c r="E132" i="13" s="1"/>
  <c r="E133" i="13" s="1"/>
  <c r="E123" i="13"/>
  <c r="E124" i="13" s="1"/>
  <c r="E125" i="13" s="1"/>
  <c r="E126" i="13" s="1"/>
  <c r="E127" i="13" s="1"/>
  <c r="E117" i="13"/>
  <c r="E118" i="13" s="1"/>
  <c r="D141" i="13"/>
  <c r="D142" i="13" s="1"/>
  <c r="D143" i="13" s="1"/>
  <c r="D144" i="13" s="1"/>
  <c r="D145" i="13" s="1"/>
  <c r="D135" i="13"/>
  <c r="D136" i="13" s="1"/>
  <c r="D137" i="13" s="1"/>
  <c r="D138" i="13" s="1"/>
  <c r="D139" i="13" s="1"/>
  <c r="D129" i="13"/>
  <c r="D130" i="13" s="1"/>
  <c r="D131" i="13" s="1"/>
  <c r="D132" i="13" s="1"/>
  <c r="D133" i="13" s="1"/>
  <c r="D123" i="13"/>
  <c r="D124" i="13" s="1"/>
  <c r="D125" i="13" s="1"/>
  <c r="D126" i="13" s="1"/>
  <c r="D127" i="13" s="1"/>
  <c r="D117" i="13"/>
  <c r="D118" i="13" s="1"/>
  <c r="D119" i="13" s="1"/>
  <c r="D120" i="13" s="1"/>
  <c r="D121" i="13" s="1"/>
  <c r="C239" i="31" a="1"/>
  <c r="C239" i="31" s="1"/>
  <c r="C240" i="31" s="1"/>
  <c r="C188" i="31" a="1"/>
  <c r="C188" i="31" s="1"/>
  <c r="C189" i="31" s="1"/>
  <c r="C190" i="31" s="1"/>
  <c r="C191" i="31" s="1"/>
  <c r="C192" i="31" s="1"/>
  <c r="C193" i="31" s="1"/>
  <c r="C194" i="31" s="1"/>
  <c r="C195" i="31" s="1"/>
  <c r="C196" i="31" s="1"/>
  <c r="C197" i="31" s="1"/>
  <c r="C198" i="31" s="1"/>
  <c r="C199" i="31" s="1"/>
  <c r="C200" i="31" s="1"/>
  <c r="C201" i="31" s="1"/>
  <c r="C202" i="31" s="1"/>
  <c r="C203" i="31" s="1"/>
  <c r="C204" i="31" s="1"/>
  <c r="C205" i="31" s="1"/>
  <c r="C206" i="31" s="1"/>
  <c r="C207" i="31" s="1"/>
  <c r="C208" i="31" s="1"/>
  <c r="C209" i="31" s="1"/>
  <c r="C210" i="31" s="1"/>
  <c r="C211" i="31" s="1"/>
  <c r="C212" i="31" s="1"/>
  <c r="C213" i="31" s="1"/>
  <c r="C214" i="31" s="1"/>
  <c r="C215" i="31" s="1"/>
  <c r="C216" i="31" s="1"/>
  <c r="C217" i="31" s="1"/>
  <c r="C218" i="31" s="1"/>
  <c r="C219" i="31" s="1"/>
  <c r="C220" i="31" s="1"/>
  <c r="C221" i="31" s="1"/>
  <c r="C222" i="31" s="1"/>
  <c r="C223" i="31" s="1"/>
  <c r="C224" i="31" s="1"/>
  <c r="C225" i="31" s="1"/>
  <c r="C226" i="31" s="1"/>
  <c r="C227" i="31" s="1"/>
  <c r="C228" i="31" s="1"/>
  <c r="C229" i="31" s="1"/>
  <c r="C230" i="31" s="1"/>
  <c r="C231" i="31" s="1"/>
  <c r="C232" i="31" s="1"/>
  <c r="C233" i="31" s="1"/>
  <c r="C234" i="31" s="1"/>
  <c r="C235" i="31" s="1"/>
  <c r="C15" i="31" a="1"/>
  <c r="C15" i="31" s="1"/>
  <c r="C23" i="31" s="1"/>
  <c r="C14" i="31" a="1"/>
  <c r="C14" i="31" s="1"/>
  <c r="C22" i="31" s="1"/>
  <c r="C13" i="31" a="1"/>
  <c r="C13" i="31" s="1"/>
  <c r="C12" i="31" a="1"/>
  <c r="C12" i="31" s="1"/>
  <c r="C11" i="31" a="1"/>
  <c r="C11" i="31" s="1"/>
  <c r="C33" i="31" s="1"/>
  <c r="C293" i="31" a="1"/>
  <c r="C293" i="31" s="1"/>
  <c r="C290" i="31" a="1"/>
  <c r="C290" i="31" s="1"/>
  <c r="C86" i="31" a="1"/>
  <c r="C86" i="31" s="1"/>
  <c r="C87" i="31" s="1"/>
  <c r="C88" i="31" s="1"/>
  <c r="C89" i="31" s="1"/>
  <c r="C90" i="31" s="1"/>
  <c r="C91" i="31" s="1"/>
  <c r="C92" i="31" s="1"/>
  <c r="C93" i="31" s="1"/>
  <c r="C94" i="31" s="1"/>
  <c r="C95" i="31" s="1"/>
  <c r="C96" i="31" s="1"/>
  <c r="C97" i="31" s="1"/>
  <c r="C98" i="31" s="1"/>
  <c r="C99" i="31" s="1"/>
  <c r="C100" i="31" s="1"/>
  <c r="C101" i="31" s="1"/>
  <c r="C102" i="31" s="1"/>
  <c r="C103" i="31" s="1"/>
  <c r="C104" i="31" s="1"/>
  <c r="C105" i="31" s="1"/>
  <c r="C106" i="31" s="1"/>
  <c r="C107" i="31" s="1"/>
  <c r="C108" i="31" s="1"/>
  <c r="C109" i="31" s="1"/>
  <c r="C110" i="31" s="1"/>
  <c r="C111" i="31" s="1"/>
  <c r="C112" i="31" s="1"/>
  <c r="C113" i="31" s="1"/>
  <c r="C114" i="31" s="1"/>
  <c r="C115" i="31" s="1"/>
  <c r="C116" i="31" s="1"/>
  <c r="C117" i="31" s="1"/>
  <c r="C118" i="31" s="1"/>
  <c r="C119" i="31" s="1"/>
  <c r="C120" i="31" s="1"/>
  <c r="C121" i="31" s="1"/>
  <c r="C122" i="31" s="1"/>
  <c r="C123" i="31" s="1"/>
  <c r="C124" i="31" s="1"/>
  <c r="C125" i="31" s="1"/>
  <c r="C126" i="31" s="1"/>
  <c r="C127" i="31" s="1"/>
  <c r="C128" i="31" s="1"/>
  <c r="C129" i="31" s="1"/>
  <c r="C130" i="31" s="1"/>
  <c r="C131" i="31" s="1"/>
  <c r="C132" i="31" s="1"/>
  <c r="C133" i="31" s="1"/>
  <c r="C137" i="31" a="1"/>
  <c r="C137" i="31" s="1"/>
  <c r="C138" i="31" s="1"/>
  <c r="C139" i="31" s="1"/>
  <c r="C140" i="31" s="1"/>
  <c r="C141" i="31" s="1"/>
  <c r="C142" i="31" s="1"/>
  <c r="C143" i="31" s="1"/>
  <c r="C144" i="31" s="1"/>
  <c r="C145" i="31" s="1"/>
  <c r="C146" i="31" s="1"/>
  <c r="C147" i="31" s="1"/>
  <c r="C148" i="31" s="1"/>
  <c r="C149" i="31" s="1"/>
  <c r="C150" i="31" s="1"/>
  <c r="C151" i="31" s="1"/>
  <c r="C152" i="31" s="1"/>
  <c r="C153" i="31" s="1"/>
  <c r="C154" i="31" s="1"/>
  <c r="C155" i="31" s="1"/>
  <c r="C156" i="31" s="1"/>
  <c r="C157" i="31" s="1"/>
  <c r="C158" i="31" s="1"/>
  <c r="C159" i="31" s="1"/>
  <c r="C160" i="31" s="1"/>
  <c r="C161" i="31" s="1"/>
  <c r="C162" i="31" s="1"/>
  <c r="C163" i="31" s="1"/>
  <c r="C164" i="31" s="1"/>
  <c r="C165" i="31" s="1"/>
  <c r="C166" i="31" s="1"/>
  <c r="C167" i="31" s="1"/>
  <c r="C168" i="31" s="1"/>
  <c r="C169" i="31" s="1"/>
  <c r="C170" i="31" s="1"/>
  <c r="C171" i="31" s="1"/>
  <c r="C172" i="31" s="1"/>
  <c r="C173" i="31" s="1"/>
  <c r="C174" i="31" s="1"/>
  <c r="C175" i="31" s="1"/>
  <c r="C176" i="31" s="1"/>
  <c r="C177" i="31" s="1"/>
  <c r="C178" i="31" s="1"/>
  <c r="C179" i="31" s="1"/>
  <c r="C180" i="31" s="1"/>
  <c r="C181" i="31" s="1"/>
  <c r="C182" i="31" s="1"/>
  <c r="C183" i="31" s="1"/>
  <c r="C184" i="31" s="1"/>
  <c r="A2" i="31" a="1"/>
  <c r="A2" i="31" s="1"/>
  <c r="A1" i="31"/>
  <c r="J4" i="31"/>
  <c r="P4" i="31"/>
  <c r="AH4" i="31"/>
  <c r="P5" i="31"/>
  <c r="AH5" i="31" a="1"/>
  <c r="AH5" i="31" s="1"/>
  <c r="AH18" i="31"/>
  <c r="AI18" i="31"/>
  <c r="AJ18" i="31"/>
  <c r="AK18" i="31"/>
  <c r="AL18" i="31"/>
  <c r="AM18" i="31"/>
  <c r="AN18" i="31"/>
  <c r="AO18" i="31"/>
  <c r="AP18" i="31"/>
  <c r="AQ18" i="31"/>
  <c r="AR18" i="31"/>
  <c r="AS18" i="31"/>
  <c r="AT18" i="31"/>
  <c r="AU18" i="31"/>
  <c r="AV18" i="31"/>
  <c r="AW18" i="31"/>
  <c r="AX18" i="31"/>
  <c r="AY18" i="31"/>
  <c r="AZ18" i="31"/>
  <c r="BA18" i="31"/>
  <c r="BB18" i="31"/>
  <c r="BC18" i="31"/>
  <c r="BD18" i="31"/>
  <c r="BE18" i="31"/>
  <c r="BF18" i="31"/>
  <c r="BG18" i="31"/>
  <c r="BH18" i="31"/>
  <c r="BI18" i="31"/>
  <c r="BJ18" i="31"/>
  <c r="BK18" i="31"/>
  <c r="BL18" i="31"/>
  <c r="BM18" i="31"/>
  <c r="BN18" i="31"/>
  <c r="BO18" i="31"/>
  <c r="BP18" i="31"/>
  <c r="BQ18" i="31"/>
  <c r="BR18" i="31"/>
  <c r="BS18" i="31"/>
  <c r="BT18" i="31"/>
  <c r="BU18" i="31"/>
  <c r="BV18" i="31"/>
  <c r="BW18" i="31"/>
  <c r="BX18" i="31"/>
  <c r="BY18" i="31"/>
  <c r="BZ18" i="31"/>
  <c r="CA18" i="31"/>
  <c r="CB18" i="31"/>
  <c r="CC18" i="31"/>
  <c r="C35" i="31" a="1"/>
  <c r="C35" i="31" s="1"/>
  <c r="C36" i="31" s="1"/>
  <c r="T98" i="8" l="1"/>
  <c r="AL99" i="8"/>
  <c r="AM96" i="8"/>
  <c r="U95" i="8"/>
  <c r="T97" i="8"/>
  <c r="N96" i="8" s="1"/>
  <c r="AL97" i="8"/>
  <c r="AL98" i="8"/>
  <c r="E119" i="13"/>
  <c r="G22" i="31" a="1"/>
  <c r="G22" i="31" s="1"/>
  <c r="G23" i="31" a="1"/>
  <c r="G23" i="31" s="1"/>
  <c r="C84" i="31" a="1"/>
  <c r="C84" i="31" s="1"/>
  <c r="C135" i="31" s="1" a="1"/>
  <c r="C135" i="31" s="1"/>
  <c r="C241" i="31"/>
  <c r="E33" i="31" a="1"/>
  <c r="E33" i="31" s="1"/>
  <c r="F33" i="31" a="1"/>
  <c r="F33" i="31" s="1"/>
  <c r="C29" i="31"/>
  <c r="G33" i="31" a="1"/>
  <c r="G33" i="31" s="1"/>
  <c r="E22" i="31" a="1"/>
  <c r="E22" i="31" s="1"/>
  <c r="F22" i="31" a="1"/>
  <c r="F22" i="31" s="1"/>
  <c r="E23" i="31" a="1"/>
  <c r="E23" i="31" s="1"/>
  <c r="F23" i="31" a="1"/>
  <c r="F23" i="31" s="1"/>
  <c r="C30" i="31"/>
  <c r="C37" i="31"/>
  <c r="C20" i="31"/>
  <c r="C27" i="31"/>
  <c r="C21" i="31"/>
  <c r="C28" i="31"/>
  <c r="C26" i="31"/>
  <c r="C19" i="31"/>
  <c r="P6" i="31"/>
  <c r="J5" i="31" s="1"/>
  <c r="P7" i="31"/>
  <c r="Q4" i="31"/>
  <c r="AH8" i="31"/>
  <c r="AI5" i="31"/>
  <c r="AH6" i="31"/>
  <c r="AH7" i="31"/>
  <c r="A2" i="30" a="1"/>
  <c r="A2" i="30" s="1"/>
  <c r="A1" i="30"/>
  <c r="D33" i="30" a="1"/>
  <c r="D33" i="30" s="1"/>
  <c r="AF84" i="30"/>
  <c r="D12" i="30"/>
  <c r="D13" i="30" s="1"/>
  <c r="D14" i="30" s="1"/>
  <c r="D15" i="30" s="1"/>
  <c r="D16" i="30" s="1"/>
  <c r="D17" i="30" s="1"/>
  <c r="D18" i="30" s="1"/>
  <c r="D19" i="30" s="1"/>
  <c r="D20" i="30" s="1"/>
  <c r="D21" i="30" s="1"/>
  <c r="D22" i="30" s="1"/>
  <c r="D23" i="30" s="1"/>
  <c r="AF5" i="30" a="1"/>
  <c r="AF5" i="30" s="1"/>
  <c r="N5" i="30"/>
  <c r="AF4" i="30"/>
  <c r="N4" i="30"/>
  <c r="H4" i="30"/>
  <c r="E84" i="31" l="1" a="1"/>
  <c r="E84" i="31" s="1"/>
  <c r="AN96" i="8"/>
  <c r="AO96" i="8" s="1"/>
  <c r="N98" i="8"/>
  <c r="N97" i="8"/>
  <c r="N99" i="8" s="1"/>
  <c r="O95" i="8"/>
  <c r="AM98" i="8"/>
  <c r="AM99" i="8"/>
  <c r="AM97" i="8"/>
  <c r="AM95" i="8"/>
  <c r="O96" i="8"/>
  <c r="E120" i="13"/>
  <c r="F84" i="31" a="1"/>
  <c r="F84" i="31" s="1"/>
  <c r="G84" i="31" a="1"/>
  <c r="G84" i="31" s="1"/>
  <c r="AH87" i="31" a="1"/>
  <c r="AH87" i="31" s="1"/>
  <c r="AH88" i="31" a="1"/>
  <c r="AH88" i="31" s="1"/>
  <c r="AH37" i="31" a="1"/>
  <c r="AH37" i="31" s="1"/>
  <c r="AH36" i="31" a="1"/>
  <c r="AH36" i="31" s="1"/>
  <c r="C242" i="31"/>
  <c r="G30" i="31" a="1"/>
  <c r="G30" i="31" s="1"/>
  <c r="F30" i="31" a="1"/>
  <c r="F30" i="31" s="1"/>
  <c r="E30" i="31" a="1"/>
  <c r="E30" i="31" s="1"/>
  <c r="G20" i="31" a="1"/>
  <c r="G20" i="31" s="1"/>
  <c r="F20" i="31" a="1"/>
  <c r="F20" i="31" s="1"/>
  <c r="E20" i="31" a="1"/>
  <c r="E20" i="31" s="1"/>
  <c r="G29" i="31" a="1"/>
  <c r="G29" i="31" s="1"/>
  <c r="F29" i="31" a="1"/>
  <c r="F29" i="31" s="1"/>
  <c r="E29" i="31" a="1"/>
  <c r="E29" i="31" s="1"/>
  <c r="F26" i="31" a="1"/>
  <c r="F26" i="31" s="1"/>
  <c r="E26" i="31" a="1"/>
  <c r="E26" i="31" s="1"/>
  <c r="G26" i="31" a="1"/>
  <c r="G26" i="31" s="1"/>
  <c r="G28" i="31" a="1"/>
  <c r="G28" i="31" s="1"/>
  <c r="F28" i="31" a="1"/>
  <c r="F28" i="31" s="1"/>
  <c r="E28" i="31" a="1"/>
  <c r="E28" i="31" s="1"/>
  <c r="G21" i="31" a="1"/>
  <c r="G21" i="31" s="1"/>
  <c r="F21" i="31" a="1"/>
  <c r="F21" i="31" s="1"/>
  <c r="E21" i="31" a="1"/>
  <c r="E21" i="31" s="1"/>
  <c r="E19" i="31" a="1"/>
  <c r="E19" i="31" s="1"/>
  <c r="G19" i="31" a="1"/>
  <c r="G19" i="31" s="1"/>
  <c r="F19" i="31" a="1"/>
  <c r="F19" i="31" s="1"/>
  <c r="G27" i="31" a="1"/>
  <c r="G27" i="31" s="1"/>
  <c r="F27" i="31" a="1"/>
  <c r="F27" i="31" s="1"/>
  <c r="E27" i="31" a="1"/>
  <c r="E27" i="31" s="1"/>
  <c r="C186" i="31" a="1"/>
  <c r="C186" i="31" s="1"/>
  <c r="G135" i="31" a="1"/>
  <c r="G135" i="31" s="1"/>
  <c r="F135" i="31" a="1"/>
  <c r="F135" i="31" s="1"/>
  <c r="E135" i="31" a="1"/>
  <c r="E135" i="31" s="1"/>
  <c r="C38" i="31"/>
  <c r="AH38" i="31" s="1" a="1"/>
  <c r="AH38" i="31" s="1"/>
  <c r="P8" i="31"/>
  <c r="J6" i="31"/>
  <c r="J8" i="31" s="1"/>
  <c r="J7" i="31"/>
  <c r="K4" i="31"/>
  <c r="K5" i="31"/>
  <c r="Q5" i="31"/>
  <c r="AI8" i="31"/>
  <c r="AJ5" i="31"/>
  <c r="AI6" i="31"/>
  <c r="AI7" i="31"/>
  <c r="AI4" i="31"/>
  <c r="N84" i="30"/>
  <c r="H84" i="30"/>
  <c r="AF6" i="30"/>
  <c r="AG5" i="30"/>
  <c r="AF7" i="30"/>
  <c r="AF8" i="30"/>
  <c r="D34" i="30"/>
  <c r="N6" i="30"/>
  <c r="H5" i="30" s="1"/>
  <c r="N7" i="30"/>
  <c r="O4" i="30"/>
  <c r="AN99" i="8" l="1"/>
  <c r="AN97" i="8"/>
  <c r="AN98" i="8"/>
  <c r="AN95" i="8"/>
  <c r="P95" i="8"/>
  <c r="AO99" i="8"/>
  <c r="P96" i="8"/>
  <c r="O98" i="8"/>
  <c r="O97" i="8"/>
  <c r="O99" i="8" s="1"/>
  <c r="AO97" i="8"/>
  <c r="AO95" i="8"/>
  <c r="AP96" i="8"/>
  <c r="AP99" i="8" s="1"/>
  <c r="AO98" i="8"/>
  <c r="E121" i="13"/>
  <c r="AI38" i="31" a="1"/>
  <c r="AI38" i="31" s="1"/>
  <c r="AH89" i="31" a="1"/>
  <c r="AH89" i="31" s="1"/>
  <c r="AI140" i="31" a="1"/>
  <c r="AI140" i="31" s="1"/>
  <c r="AH138" i="31" a="1"/>
  <c r="AH138" i="31" s="1"/>
  <c r="AH140" i="31" a="1"/>
  <c r="AH140" i="31" s="1"/>
  <c r="AI139" i="31" a="1"/>
  <c r="AI139" i="31" s="1"/>
  <c r="AH139" i="31" a="1"/>
  <c r="AH139" i="31" s="1"/>
  <c r="AI37" i="31" a="1"/>
  <c r="AI37" i="31" s="1"/>
  <c r="AI89" i="31" a="1"/>
  <c r="AI89" i="31" s="1"/>
  <c r="AI88" i="31" a="1"/>
  <c r="AI88" i="31" s="1"/>
  <c r="C243" i="31"/>
  <c r="C237" i="31" a="1"/>
  <c r="C237" i="31" s="1"/>
  <c r="G186" i="31" a="1"/>
  <c r="G186" i="31" s="1"/>
  <c r="F186" i="31" a="1"/>
  <c r="F186" i="31" s="1"/>
  <c r="E186" i="31" a="1"/>
  <c r="E186" i="31" s="1"/>
  <c r="C39" i="31"/>
  <c r="AI90" i="31" s="1" a="1"/>
  <c r="AI90" i="31" s="1"/>
  <c r="Q6" i="31"/>
  <c r="R4" i="31"/>
  <c r="Q7" i="31"/>
  <c r="K6" i="31"/>
  <c r="K8" i="31" s="1"/>
  <c r="K7" i="31"/>
  <c r="L4" i="31"/>
  <c r="L5" i="31"/>
  <c r="AJ4" i="31"/>
  <c r="AJ7" i="31"/>
  <c r="AJ8" i="31"/>
  <c r="AK5" i="31"/>
  <c r="AJ6" i="31"/>
  <c r="N8" i="30"/>
  <c r="I5" i="30"/>
  <c r="I4" i="30"/>
  <c r="H7" i="30"/>
  <c r="H6" i="30"/>
  <c r="H8" i="30" s="1"/>
  <c r="O5" i="30"/>
  <c r="D35" i="30"/>
  <c r="AG6" i="30"/>
  <c r="AH5" i="30"/>
  <c r="AG8" i="30"/>
  <c r="AG4" i="30"/>
  <c r="AG7" i="30"/>
  <c r="AP95" i="8" l="1"/>
  <c r="Q95" i="8"/>
  <c r="AP98" i="8"/>
  <c r="P97" i="8"/>
  <c r="P99" i="8" s="1"/>
  <c r="Q96" i="8"/>
  <c r="Q97" i="8" s="1"/>
  <c r="Q99" i="8" s="1"/>
  <c r="P98" i="8"/>
  <c r="AQ96" i="8"/>
  <c r="AP97" i="8"/>
  <c r="AH39" i="31" a="1"/>
  <c r="AH39" i="31" s="1"/>
  <c r="AH141" i="31" a="1"/>
  <c r="AH141" i="31" s="1"/>
  <c r="AH90" i="31" a="1"/>
  <c r="AH90" i="31" s="1"/>
  <c r="AI39" i="31" a="1"/>
  <c r="AI39" i="31" s="1"/>
  <c r="AJ89" i="31" a="1"/>
  <c r="AJ89" i="31" s="1"/>
  <c r="AJ90" i="31" a="1"/>
  <c r="AJ90" i="31" s="1"/>
  <c r="AJ39" i="31" a="1"/>
  <c r="AJ39" i="31" s="1"/>
  <c r="AJ38" i="31" a="1"/>
  <c r="AJ38" i="31" s="1"/>
  <c r="AJ140" i="31" a="1"/>
  <c r="AJ140" i="31" s="1"/>
  <c r="AJ141" i="31" a="1"/>
  <c r="AJ141" i="31" s="1"/>
  <c r="AI141" i="31" a="1"/>
  <c r="AI141" i="31" s="1"/>
  <c r="AH191" i="31" a="1"/>
  <c r="AH191" i="31" s="1"/>
  <c r="AH189" i="31" a="1"/>
  <c r="AH189" i="31" s="1"/>
  <c r="AH193" i="31" a="1"/>
  <c r="AH193" i="31" s="1"/>
  <c r="AJ192" i="31" a="1"/>
  <c r="AJ192" i="31" s="1"/>
  <c r="AI192" i="31" a="1"/>
  <c r="AI192" i="31" s="1"/>
  <c r="AI190" i="31" a="1"/>
  <c r="AI190" i="31" s="1"/>
  <c r="AH192" i="31" a="1"/>
  <c r="AH192" i="31" s="1"/>
  <c r="AH190" i="31" a="1"/>
  <c r="AH190" i="31" s="1"/>
  <c r="AJ191" i="31" a="1"/>
  <c r="AJ191" i="31" s="1"/>
  <c r="AI191" i="31" a="1"/>
  <c r="AI191" i="31" s="1"/>
  <c r="C244" i="31"/>
  <c r="G237" i="31" a="1"/>
  <c r="G237" i="31" s="1"/>
  <c r="F237" i="31" a="1"/>
  <c r="F237" i="31" s="1"/>
  <c r="E237" i="31" a="1"/>
  <c r="E237" i="31" s="1"/>
  <c r="AI243" i="31" s="1" a="1"/>
  <c r="AI243" i="31" s="1"/>
  <c r="C40" i="31"/>
  <c r="AJ193" i="31" s="1" a="1"/>
  <c r="AJ193" i="31" s="1"/>
  <c r="Q8" i="31"/>
  <c r="R5" i="31"/>
  <c r="L6" i="31"/>
  <c r="L8" i="31" s="1"/>
  <c r="L7" i="31"/>
  <c r="M4" i="31"/>
  <c r="M5" i="31"/>
  <c r="AK4" i="31"/>
  <c r="AK7" i="31"/>
  <c r="AK8" i="31"/>
  <c r="AL5" i="31"/>
  <c r="AK6" i="31"/>
  <c r="O7" i="30"/>
  <c r="O6" i="30"/>
  <c r="P4" i="30"/>
  <c r="D36" i="30"/>
  <c r="AH6" i="30"/>
  <c r="AI5" i="30"/>
  <c r="AH4" i="30"/>
  <c r="AH8" i="30"/>
  <c r="AH7" i="30"/>
  <c r="J4" i="30"/>
  <c r="I7" i="30"/>
  <c r="I6" i="30"/>
  <c r="I8" i="30" s="1"/>
  <c r="J5" i="30"/>
  <c r="AJ243" i="31" l="1" a="1"/>
  <c r="AJ243" i="31" s="1"/>
  <c r="Q98" i="8"/>
  <c r="AK193" i="31" a="1"/>
  <c r="AK193" i="31" s="1"/>
  <c r="AR96" i="8"/>
  <c r="AS96" i="8" s="1"/>
  <c r="AQ98" i="8"/>
  <c r="AQ97" i="8"/>
  <c r="AQ95" i="8"/>
  <c r="AQ99" i="8"/>
  <c r="AI193" i="31" a="1"/>
  <c r="AI193" i="31" s="1"/>
  <c r="AH142" i="31" a="1"/>
  <c r="AH142" i="31" s="1"/>
  <c r="AI142" i="31" a="1"/>
  <c r="AI142" i="31" s="1"/>
  <c r="AK91" i="31" a="1"/>
  <c r="AK91" i="31" s="1"/>
  <c r="AK90" i="31" a="1"/>
  <c r="AK90" i="31" s="1"/>
  <c r="AK39" i="31" a="1"/>
  <c r="AK39" i="31" s="1"/>
  <c r="AK40" i="31" a="1"/>
  <c r="AK40" i="31" s="1"/>
  <c r="AK142" i="31" a="1"/>
  <c r="AK142" i="31" s="1"/>
  <c r="AK141" i="31" a="1"/>
  <c r="AK141" i="31" s="1"/>
  <c r="AK192" i="31" a="1"/>
  <c r="AK192" i="31" s="1"/>
  <c r="AJ91" i="31" a="1"/>
  <c r="AJ91" i="31" s="1"/>
  <c r="AH40" i="31" a="1"/>
  <c r="AH40" i="31" s="1"/>
  <c r="AI40" i="31" a="1"/>
  <c r="AI40" i="31" s="1"/>
  <c r="AH243" i="31" a="1"/>
  <c r="AH243" i="31" s="1"/>
  <c r="AK243" i="31" a="1"/>
  <c r="AK243" i="31" s="1"/>
  <c r="AH240" i="31" a="1"/>
  <c r="AH240" i="31" s="1"/>
  <c r="AH241" i="31" a="1"/>
  <c r="AH241" i="31" s="1"/>
  <c r="AI241" i="31" a="1"/>
  <c r="AI241" i="31" s="1"/>
  <c r="AI242" i="31" a="1"/>
  <c r="AI242" i="31" s="1"/>
  <c r="AH242" i="31" a="1"/>
  <c r="AH242" i="31" s="1"/>
  <c r="AJ242" i="31" a="1"/>
  <c r="AJ242" i="31" s="1"/>
  <c r="AJ142" i="31" a="1"/>
  <c r="AJ142" i="31" s="1"/>
  <c r="AJ40" i="31" a="1"/>
  <c r="AJ40" i="31" s="1"/>
  <c r="AI91" i="31" a="1"/>
  <c r="AI91" i="31" s="1"/>
  <c r="AH91" i="31" a="1"/>
  <c r="AH91" i="31" s="1"/>
  <c r="AH244" i="31" a="1"/>
  <c r="AH244" i="31" s="1"/>
  <c r="AK244" i="31" a="1"/>
  <c r="AK244" i="31" s="1"/>
  <c r="AI244" i="31" a="1"/>
  <c r="AI244" i="31" s="1"/>
  <c r="AJ244" i="31" a="1"/>
  <c r="AJ244" i="31" s="1"/>
  <c r="C245" i="31"/>
  <c r="C41" i="31"/>
  <c r="AL4" i="31"/>
  <c r="AL7" i="31"/>
  <c r="AL8" i="31"/>
  <c r="AL244" i="31" s="1" a="1"/>
  <c r="AL244" i="31" s="1"/>
  <c r="AM5" i="31"/>
  <c r="AL6" i="31"/>
  <c r="R6" i="31"/>
  <c r="R7" i="31"/>
  <c r="S4" i="31"/>
  <c r="M6" i="31"/>
  <c r="M8" i="31" s="1"/>
  <c r="M7" i="31"/>
  <c r="O8" i="30"/>
  <c r="D37" i="30"/>
  <c r="AJ5" i="30"/>
  <c r="AI8" i="30"/>
  <c r="AI7" i="30"/>
  <c r="AI4" i="30"/>
  <c r="AI6" i="30"/>
  <c r="P5" i="30"/>
  <c r="K4" i="30"/>
  <c r="J7" i="30"/>
  <c r="J6" i="30"/>
  <c r="J8" i="30" s="1"/>
  <c r="K5" i="30"/>
  <c r="AR97" i="8" l="1"/>
  <c r="AR99" i="8"/>
  <c r="AR95" i="8"/>
  <c r="AR98" i="8"/>
  <c r="AS99" i="8"/>
  <c r="AS95" i="8"/>
  <c r="AS97" i="8"/>
  <c r="AS98" i="8"/>
  <c r="AT96" i="8"/>
  <c r="AJ143" i="31" a="1"/>
  <c r="AJ143" i="31" s="1"/>
  <c r="AI194" i="31" a="1"/>
  <c r="AI194" i="31" s="1"/>
  <c r="AI92" i="31" a="1"/>
  <c r="AI92" i="31" s="1"/>
  <c r="AL92" i="31" a="1"/>
  <c r="AL92" i="31" s="1"/>
  <c r="AL91" i="31" a="1"/>
  <c r="AL91" i="31" s="1"/>
  <c r="AL41" i="31" a="1"/>
  <c r="AL41" i="31" s="1"/>
  <c r="AL40" i="31" a="1"/>
  <c r="AL40" i="31" s="1"/>
  <c r="AL142" i="31" a="1"/>
  <c r="AL142" i="31" s="1"/>
  <c r="AL143" i="31" a="1"/>
  <c r="AL143" i="31" s="1"/>
  <c r="AL194" i="31" a="1"/>
  <c r="AL194" i="31" s="1"/>
  <c r="AL193" i="31" a="1"/>
  <c r="AL193" i="31" s="1"/>
  <c r="AH92" i="31" a="1"/>
  <c r="AH92" i="31" s="1"/>
  <c r="AK194" i="31" a="1"/>
  <c r="AK194" i="31" s="1"/>
  <c r="AK92" i="31" a="1"/>
  <c r="AK92" i="31" s="1"/>
  <c r="AH41" i="31" a="1"/>
  <c r="AH41" i="31" s="1"/>
  <c r="AI41" i="31" a="1"/>
  <c r="AI41" i="31" s="1"/>
  <c r="AJ41" i="31" a="1"/>
  <c r="AJ41" i="31" s="1"/>
  <c r="AH143" i="31" a="1"/>
  <c r="AH143" i="31" s="1"/>
  <c r="AJ92" i="31" a="1"/>
  <c r="AJ92" i="31" s="1"/>
  <c r="AI143" i="31" a="1"/>
  <c r="AI143" i="31" s="1"/>
  <c r="AJ194" i="31" a="1"/>
  <c r="AJ194" i="31" s="1"/>
  <c r="AK143" i="31" a="1"/>
  <c r="AK143" i="31" s="1"/>
  <c r="AH194" i="31" a="1"/>
  <c r="AH194" i="31" s="1"/>
  <c r="AK41" i="31" a="1"/>
  <c r="AK41" i="31" s="1"/>
  <c r="AL245" i="31" a="1"/>
  <c r="AL245" i="31" s="1"/>
  <c r="AK245" i="31" a="1"/>
  <c r="AK245" i="31" s="1"/>
  <c r="AJ245" i="31" a="1"/>
  <c r="AJ245" i="31" s="1"/>
  <c r="AH245" i="31" a="1"/>
  <c r="AH245" i="31" s="1"/>
  <c r="AI245" i="31" a="1"/>
  <c r="AI245" i="31" s="1"/>
  <c r="C246" i="31"/>
  <c r="C42" i="31"/>
  <c r="S5" i="31"/>
  <c r="AM4" i="31"/>
  <c r="AM7" i="31"/>
  <c r="AM8" i="31"/>
  <c r="AM245" i="31" s="1" a="1"/>
  <c r="AM245" i="31" s="1"/>
  <c r="AN5" i="31"/>
  <c r="AM6" i="31"/>
  <c r="R8" i="31"/>
  <c r="D38" i="30"/>
  <c r="AJ4" i="30"/>
  <c r="AK5" i="30"/>
  <c r="AJ8" i="30"/>
  <c r="AJ6" i="30"/>
  <c r="AJ7" i="30"/>
  <c r="K6" i="30"/>
  <c r="K8" i="30" s="1"/>
  <c r="K7" i="30"/>
  <c r="P6" i="30"/>
  <c r="Q4" i="30"/>
  <c r="P7" i="30"/>
  <c r="AT97" i="8" l="1"/>
  <c r="AT98" i="8"/>
  <c r="AT95" i="8"/>
  <c r="AU96" i="8"/>
  <c r="AT99" i="8"/>
  <c r="AK195" i="31" a="1"/>
  <c r="AK195" i="31" s="1"/>
  <c r="AL195" i="31" a="1"/>
  <c r="AL195" i="31" s="1"/>
  <c r="AJ144" i="31" a="1"/>
  <c r="AJ144" i="31" s="1"/>
  <c r="AK93" i="31" a="1"/>
  <c r="AK93" i="31" s="1"/>
  <c r="AH195" i="31" a="1"/>
  <c r="AH195" i="31" s="1"/>
  <c r="AL144" i="31" a="1"/>
  <c r="AL144" i="31" s="1"/>
  <c r="AK144" i="31" a="1"/>
  <c r="AK144" i="31" s="1"/>
  <c r="AJ93" i="31" a="1"/>
  <c r="AJ93" i="31" s="1"/>
  <c r="AH144" i="31" a="1"/>
  <c r="AH144" i="31" s="1"/>
  <c r="AI195" i="31" a="1"/>
  <c r="AI195" i="31" s="1"/>
  <c r="AM92" i="31" a="1"/>
  <c r="AM92" i="31" s="1"/>
  <c r="AM93" i="31" a="1"/>
  <c r="AM93" i="31" s="1"/>
  <c r="AM42" i="31" a="1"/>
  <c r="AM42" i="31" s="1"/>
  <c r="AM41" i="31" a="1"/>
  <c r="AM41" i="31" s="1"/>
  <c r="AM143" i="31" a="1"/>
  <c r="AM143" i="31" s="1"/>
  <c r="AM144" i="31" a="1"/>
  <c r="AM144" i="31" s="1"/>
  <c r="AM194" i="31" a="1"/>
  <c r="AM194" i="31" s="1"/>
  <c r="AM195" i="31" a="1"/>
  <c r="AM195" i="31" s="1"/>
  <c r="AI93" i="31" a="1"/>
  <c r="AI93" i="31" s="1"/>
  <c r="AI144" i="31" a="1"/>
  <c r="AI144" i="31" s="1"/>
  <c r="AJ195" i="31" a="1"/>
  <c r="AJ195" i="31" s="1"/>
  <c r="AL42" i="31" a="1"/>
  <c r="AL42" i="31" s="1"/>
  <c r="AH42" i="31" a="1"/>
  <c r="AH42" i="31" s="1"/>
  <c r="AI42" i="31" a="1"/>
  <c r="AI42" i="31" s="1"/>
  <c r="AJ42" i="31" a="1"/>
  <c r="AJ42" i="31" s="1"/>
  <c r="AK42" i="31" a="1"/>
  <c r="AK42" i="31" s="1"/>
  <c r="AL93" i="31" a="1"/>
  <c r="AL93" i="31" s="1"/>
  <c r="AH246" i="31" a="1"/>
  <c r="AH246" i="31" s="1"/>
  <c r="AM246" i="31" a="1"/>
  <c r="AM246" i="31" s="1"/>
  <c r="AL246" i="31" a="1"/>
  <c r="AL246" i="31" s="1"/>
  <c r="AJ246" i="31" a="1"/>
  <c r="AJ246" i="31" s="1"/>
  <c r="AK246" i="31" a="1"/>
  <c r="AK246" i="31" s="1"/>
  <c r="AI246" i="31" a="1"/>
  <c r="AI246" i="31" s="1"/>
  <c r="C247" i="31"/>
  <c r="C43" i="31"/>
  <c r="AL145" i="31" s="1" a="1"/>
  <c r="AL145" i="31" s="1"/>
  <c r="AN4" i="31"/>
  <c r="AN7" i="31"/>
  <c r="AN8" i="31"/>
  <c r="AO5" i="31"/>
  <c r="AN6" i="31"/>
  <c r="S6" i="31"/>
  <c r="S7" i="31"/>
  <c r="T4" i="31"/>
  <c r="Q5" i="30"/>
  <c r="AK4" i="30"/>
  <c r="AL5" i="30"/>
  <c r="AK8" i="30"/>
  <c r="AK7" i="30"/>
  <c r="AK6" i="30"/>
  <c r="D39" i="30"/>
  <c r="P8" i="30"/>
  <c r="AH94" i="31" l="1" a="1"/>
  <c r="AH94" i="31" s="1"/>
  <c r="AJ145" i="31" a="1"/>
  <c r="AJ145" i="31" s="1"/>
  <c r="AK196" i="31" a="1"/>
  <c r="AK196" i="31" s="1"/>
  <c r="AM94" i="31" a="1"/>
  <c r="AM94" i="31" s="1"/>
  <c r="AM43" i="31" a="1"/>
  <c r="AM43" i="31" s="1"/>
  <c r="AI145" i="31" a="1"/>
  <c r="AI145" i="31" s="1"/>
  <c r="AK94" i="31" a="1"/>
  <c r="AK94" i="31" s="1"/>
  <c r="AU97" i="8"/>
  <c r="AU98" i="8"/>
  <c r="AV96" i="8"/>
  <c r="AU99" i="8"/>
  <c r="AU95" i="8"/>
  <c r="AM196" i="31" a="1"/>
  <c r="AM196" i="31" s="1"/>
  <c r="AL196" i="31" a="1"/>
  <c r="AL196" i="31" s="1"/>
  <c r="AL94" i="31" a="1"/>
  <c r="AL94" i="31" s="1"/>
  <c r="AN94" i="31" a="1"/>
  <c r="AN94" i="31" s="1"/>
  <c r="AN93" i="31" a="1"/>
  <c r="AN93" i="31" s="1"/>
  <c r="AN43" i="31" a="1"/>
  <c r="AN43" i="31" s="1"/>
  <c r="AN42" i="31" a="1"/>
  <c r="AN42" i="31" s="1"/>
  <c r="AN144" i="31" a="1"/>
  <c r="AN144" i="31" s="1"/>
  <c r="AN145" i="31" a="1"/>
  <c r="AN145" i="31" s="1"/>
  <c r="AN195" i="31" a="1"/>
  <c r="AN195" i="31" s="1"/>
  <c r="AN196" i="31" a="1"/>
  <c r="AN196" i="31" s="1"/>
  <c r="AN246" i="31" a="1"/>
  <c r="AN246" i="31" s="1"/>
  <c r="AJ94" i="31" a="1"/>
  <c r="AJ94" i="31" s="1"/>
  <c r="AI196" i="31" a="1"/>
  <c r="AI196" i="31" s="1"/>
  <c r="AH196" i="31" a="1"/>
  <c r="AH196" i="31" s="1"/>
  <c r="AH43" i="31" a="1"/>
  <c r="AH43" i="31" s="1"/>
  <c r="AI43" i="31" a="1"/>
  <c r="AI43" i="31" s="1"/>
  <c r="AJ43" i="31" a="1"/>
  <c r="AJ43" i="31" s="1"/>
  <c r="AK43" i="31" a="1"/>
  <c r="AK43" i="31" s="1"/>
  <c r="AL43" i="31" a="1"/>
  <c r="AL43" i="31" s="1"/>
  <c r="AK145" i="31" a="1"/>
  <c r="AK145" i="31" s="1"/>
  <c r="AJ196" i="31" a="1"/>
  <c r="AJ196" i="31" s="1"/>
  <c r="AM145" i="31" a="1"/>
  <c r="AM145" i="31" s="1"/>
  <c r="AL247" i="31" a="1"/>
  <c r="AL247" i="31" s="1"/>
  <c r="AK247" i="31" a="1"/>
  <c r="AK247" i="31" s="1"/>
  <c r="AJ247" i="31" a="1"/>
  <c r="AJ247" i="31" s="1"/>
  <c r="AI247" i="31" a="1"/>
  <c r="AI247" i="31" s="1"/>
  <c r="AN247" i="31" a="1"/>
  <c r="AN247" i="31" s="1"/>
  <c r="AM247" i="31" a="1"/>
  <c r="AM247" i="31" s="1"/>
  <c r="AH247" i="31" a="1"/>
  <c r="AH247" i="31" s="1"/>
  <c r="C248" i="31"/>
  <c r="S8" i="31"/>
  <c r="C44" i="31"/>
  <c r="AH197" i="31" s="1" a="1"/>
  <c r="AH197" i="31" s="1"/>
  <c r="AO6" i="31"/>
  <c r="AO4" i="31"/>
  <c r="AO7" i="31"/>
  <c r="AO8" i="31"/>
  <c r="AO247" i="31" s="1" a="1"/>
  <c r="AO247" i="31" s="1"/>
  <c r="AP5" i="31"/>
  <c r="T5" i="31"/>
  <c r="D40" i="30"/>
  <c r="AM5" i="30"/>
  <c r="AL8" i="30"/>
  <c r="AL4" i="30"/>
  <c r="AL6" i="30"/>
  <c r="AL7" i="30"/>
  <c r="Q6" i="30"/>
  <c r="R4" i="30"/>
  <c r="Q7" i="30"/>
  <c r="AK146" i="31" l="1" a="1"/>
  <c r="AK146" i="31" s="1"/>
  <c r="AV98" i="8"/>
  <c r="AW96" i="8"/>
  <c r="AV95" i="8"/>
  <c r="AV97" i="8"/>
  <c r="AV99" i="8"/>
  <c r="AM197" i="31" a="1"/>
  <c r="AM197" i="31" s="1"/>
  <c r="AL146" i="31" a="1"/>
  <c r="AL146" i="31" s="1"/>
  <c r="AL197" i="31" a="1"/>
  <c r="AL197" i="31" s="1"/>
  <c r="AN146" i="31" a="1"/>
  <c r="AN146" i="31" s="1"/>
  <c r="AN44" i="31" a="1"/>
  <c r="AN44" i="31" s="1"/>
  <c r="AN197" i="31" a="1"/>
  <c r="AN197" i="31" s="1"/>
  <c r="AN95" i="31" a="1"/>
  <c r="AN95" i="31" s="1"/>
  <c r="AM146" i="31" a="1"/>
  <c r="AM146" i="31" s="1"/>
  <c r="AH44" i="31" a="1"/>
  <c r="AH44" i="31" s="1"/>
  <c r="AI44" i="31" a="1"/>
  <c r="AI44" i="31" s="1"/>
  <c r="AJ44" i="31" a="1"/>
  <c r="AJ44" i="31" s="1"/>
  <c r="AK44" i="31" a="1"/>
  <c r="AK44" i="31" s="1"/>
  <c r="AL44" i="31" a="1"/>
  <c r="AL44" i="31" s="1"/>
  <c r="AK95" i="31" a="1"/>
  <c r="AK95" i="31" s="1"/>
  <c r="AM44" i="31" a="1"/>
  <c r="AM44" i="31" s="1"/>
  <c r="AO95" i="31" a="1"/>
  <c r="AO95" i="31" s="1"/>
  <c r="AO94" i="31" a="1"/>
  <c r="AO94" i="31" s="1"/>
  <c r="AO44" i="31" a="1"/>
  <c r="AO44" i="31" s="1"/>
  <c r="AO43" i="31" a="1"/>
  <c r="AO43" i="31" s="1"/>
  <c r="AO146" i="31" a="1"/>
  <c r="AO146" i="31" s="1"/>
  <c r="AO145" i="31" a="1"/>
  <c r="AO145" i="31" s="1"/>
  <c r="AO196" i="31" a="1"/>
  <c r="AO196" i="31" s="1"/>
  <c r="AO197" i="31" a="1"/>
  <c r="AO197" i="31" s="1"/>
  <c r="AL95" i="31" a="1"/>
  <c r="AL95" i="31" s="1"/>
  <c r="AJ197" i="31" a="1"/>
  <c r="AJ197" i="31" s="1"/>
  <c r="AM95" i="31" a="1"/>
  <c r="AM95" i="31" s="1"/>
  <c r="AO248" i="31" a="1"/>
  <c r="AO248" i="31" s="1"/>
  <c r="AH248" i="31" a="1"/>
  <c r="AH248" i="31" s="1"/>
  <c r="AN248" i="31" a="1"/>
  <c r="AN248" i="31" s="1"/>
  <c r="AM248" i="31" a="1"/>
  <c r="AM248" i="31" s="1"/>
  <c r="AL248" i="31" a="1"/>
  <c r="AL248" i="31" s="1"/>
  <c r="AK248" i="31" a="1"/>
  <c r="AK248" i="31" s="1"/>
  <c r="AJ248" i="31" a="1"/>
  <c r="AJ248" i="31" s="1"/>
  <c r="AI248" i="31" a="1"/>
  <c r="AI248" i="31" s="1"/>
  <c r="C249" i="31"/>
  <c r="Q8" i="30"/>
  <c r="C45" i="31"/>
  <c r="AL96" i="31" s="1" a="1"/>
  <c r="AL96" i="31" s="1"/>
  <c r="AP6" i="31"/>
  <c r="AP4" i="31"/>
  <c r="AP7" i="31"/>
  <c r="AQ5" i="31"/>
  <c r="AP8" i="31"/>
  <c r="T6" i="31"/>
  <c r="T7" i="31"/>
  <c r="U4" i="31"/>
  <c r="R5" i="30"/>
  <c r="D41" i="30"/>
  <c r="AM8" i="30"/>
  <c r="AM7" i="30"/>
  <c r="AM4" i="30"/>
  <c r="AM6" i="30"/>
  <c r="AN5" i="30"/>
  <c r="AO147" i="31" l="1" a="1"/>
  <c r="AO147" i="31" s="1"/>
  <c r="AN198" i="31" a="1"/>
  <c r="AN198" i="31" s="1"/>
  <c r="AL198" i="31" a="1"/>
  <c r="AL198" i="31" s="1"/>
  <c r="AN96" i="31" a="1"/>
  <c r="AN96" i="31" s="1"/>
  <c r="AW98" i="8"/>
  <c r="AW99" i="8"/>
  <c r="AW95" i="8"/>
  <c r="AX96" i="8"/>
  <c r="AW97" i="8"/>
  <c r="AP95" i="31" a="1"/>
  <c r="AP95" i="31" s="1"/>
  <c r="AP96" i="31" a="1"/>
  <c r="AP96" i="31" s="1"/>
  <c r="AP44" i="31" a="1"/>
  <c r="AP44" i="31" s="1"/>
  <c r="AP45" i="31" a="1"/>
  <c r="AP45" i="31" s="1"/>
  <c r="AP147" i="31" a="1"/>
  <c r="AP147" i="31" s="1"/>
  <c r="AP146" i="31" a="1"/>
  <c r="AP146" i="31" s="1"/>
  <c r="AP198" i="31" a="1"/>
  <c r="AP198" i="31" s="1"/>
  <c r="AP197" i="31" a="1"/>
  <c r="AP197" i="31" s="1"/>
  <c r="AN147" i="31" a="1"/>
  <c r="AN147" i="31" s="1"/>
  <c r="AM147" i="31" a="1"/>
  <c r="AM147" i="31" s="1"/>
  <c r="AM96" i="31" a="1"/>
  <c r="AM96" i="31" s="1"/>
  <c r="AL147" i="31" a="1"/>
  <c r="AL147" i="31" s="1"/>
  <c r="AH45" i="31" a="1"/>
  <c r="AH45" i="31" s="1"/>
  <c r="AI45" i="31" a="1"/>
  <c r="AI45" i="31" s="1"/>
  <c r="AJ45" i="31" a="1"/>
  <c r="AJ45" i="31" s="1"/>
  <c r="AK45" i="31" a="1"/>
  <c r="AK45" i="31" s="1"/>
  <c r="AL45" i="31" a="1"/>
  <c r="AL45" i="31" s="1"/>
  <c r="AM45" i="31" a="1"/>
  <c r="AM45" i="31" s="1"/>
  <c r="AJ198" i="31" a="1"/>
  <c r="AJ198" i="31" s="1"/>
  <c r="AN45" i="31" a="1"/>
  <c r="AN45" i="31" s="1"/>
  <c r="AM198" i="31" a="1"/>
  <c r="AM198" i="31" s="1"/>
  <c r="AP248" i="31" a="1"/>
  <c r="AP248" i="31" s="1"/>
  <c r="AO198" i="31" a="1"/>
  <c r="AO198" i="31" s="1"/>
  <c r="AO45" i="31" a="1"/>
  <c r="AO45" i="31" s="1"/>
  <c r="AO96" i="31" a="1"/>
  <c r="AO96" i="31" s="1"/>
  <c r="AL249" i="31" a="1"/>
  <c r="AL249" i="31" s="1"/>
  <c r="AK249" i="31" a="1"/>
  <c r="AK249" i="31" s="1"/>
  <c r="AJ249" i="31" a="1"/>
  <c r="AJ249" i="31" s="1"/>
  <c r="AP249" i="31" a="1"/>
  <c r="AP249" i="31" s="1"/>
  <c r="AI249" i="31" a="1"/>
  <c r="AI249" i="31" s="1"/>
  <c r="AO249" i="31" a="1"/>
  <c r="AO249" i="31" s="1"/>
  <c r="AH249" i="31" a="1"/>
  <c r="AH249" i="31" s="1"/>
  <c r="AN249" i="31" a="1"/>
  <c r="AN249" i="31" s="1"/>
  <c r="AM249" i="31" a="1"/>
  <c r="AM249" i="31" s="1"/>
  <c r="C250" i="31"/>
  <c r="C46" i="31"/>
  <c r="AL97" i="31" s="1" a="1"/>
  <c r="AL97" i="31" s="1"/>
  <c r="T8" i="31"/>
  <c r="U5" i="31"/>
  <c r="AQ6" i="31"/>
  <c r="AQ4" i="31"/>
  <c r="AQ7" i="31"/>
  <c r="AR5" i="31"/>
  <c r="AQ8" i="31"/>
  <c r="AQ249" i="31" s="1" a="1"/>
  <c r="AQ249" i="31" s="1"/>
  <c r="AN8" i="30"/>
  <c r="AO5" i="30"/>
  <c r="AN7" i="30"/>
  <c r="AN4" i="30"/>
  <c r="AN6" i="30"/>
  <c r="R6" i="30"/>
  <c r="S4" i="30"/>
  <c r="R7" i="30"/>
  <c r="D42" i="30"/>
  <c r="AL199" i="31" l="1" a="1"/>
  <c r="AL199" i="31" s="1"/>
  <c r="AY96" i="8"/>
  <c r="AX99" i="8"/>
  <c r="AX95" i="8"/>
  <c r="AX98" i="8"/>
  <c r="AX97" i="8"/>
  <c r="AP199" i="31" a="1"/>
  <c r="AP199" i="31" s="1"/>
  <c r="AN97" i="31" a="1"/>
  <c r="AN97" i="31" s="1"/>
  <c r="AP97" i="31" a="1"/>
  <c r="AP97" i="31" s="1"/>
  <c r="AH46" i="31" a="1"/>
  <c r="AH46" i="31" s="1"/>
  <c r="AI46" i="31" a="1"/>
  <c r="AI46" i="31" s="1"/>
  <c r="AJ46" i="31" a="1"/>
  <c r="AJ46" i="31" s="1"/>
  <c r="AK46" i="31" a="1"/>
  <c r="AK46" i="31" s="1"/>
  <c r="AL46" i="31" a="1"/>
  <c r="AL46" i="31" s="1"/>
  <c r="AM46" i="31" a="1"/>
  <c r="AM46" i="31" s="1"/>
  <c r="AN46" i="31" a="1"/>
  <c r="AN46" i="31" s="1"/>
  <c r="AO148" i="31" a="1"/>
  <c r="AO148" i="31" s="1"/>
  <c r="AN199" i="31" a="1"/>
  <c r="AN199" i="31" s="1"/>
  <c r="AO199" i="31" a="1"/>
  <c r="AO199" i="31" s="1"/>
  <c r="AO97" i="31" a="1"/>
  <c r="AO97" i="31" s="1"/>
  <c r="AO46" i="31" a="1"/>
  <c r="AO46" i="31" s="1"/>
  <c r="AM199" i="31" a="1"/>
  <c r="AM199" i="31" s="1"/>
  <c r="AN148" i="31" a="1"/>
  <c r="AN148" i="31" s="1"/>
  <c r="AQ97" i="31" a="1"/>
  <c r="AQ97" i="31" s="1"/>
  <c r="AQ96" i="31" a="1"/>
  <c r="AQ96" i="31" s="1"/>
  <c r="AQ46" i="31" a="1"/>
  <c r="AQ46" i="31" s="1"/>
  <c r="AQ45" i="31" a="1"/>
  <c r="AQ45" i="31" s="1"/>
  <c r="AQ148" i="31" a="1"/>
  <c r="AQ148" i="31" s="1"/>
  <c r="AQ147" i="31" a="1"/>
  <c r="AQ147" i="31" s="1"/>
  <c r="AQ198" i="31" a="1"/>
  <c r="AQ198" i="31" s="1"/>
  <c r="AQ199" i="31" a="1"/>
  <c r="AQ199" i="31" s="1"/>
  <c r="AP46" i="31" a="1"/>
  <c r="AP46" i="31" s="1"/>
  <c r="AP148" i="31" a="1"/>
  <c r="AP148" i="31" s="1"/>
  <c r="AM250" i="31" a="1"/>
  <c r="AM250" i="31" s="1"/>
  <c r="AL250" i="31" a="1"/>
  <c r="AL250" i="31" s="1"/>
  <c r="AK250" i="31" a="1"/>
  <c r="AK250" i="31" s="1"/>
  <c r="AJ250" i="31" a="1"/>
  <c r="AJ250" i="31" s="1"/>
  <c r="AQ250" i="31" a="1"/>
  <c r="AQ250" i="31" s="1"/>
  <c r="AI250" i="31" a="1"/>
  <c r="AI250" i="31" s="1"/>
  <c r="AP250" i="31" a="1"/>
  <c r="AP250" i="31" s="1"/>
  <c r="AO250" i="31" a="1"/>
  <c r="AO250" i="31" s="1"/>
  <c r="AH250" i="31" a="1"/>
  <c r="AH250" i="31" s="1"/>
  <c r="AN250" i="31" a="1"/>
  <c r="AN250" i="31" s="1"/>
  <c r="C251" i="31"/>
  <c r="C47" i="31"/>
  <c r="AR6" i="31"/>
  <c r="AR4" i="31"/>
  <c r="AR7" i="31"/>
  <c r="AS5" i="31"/>
  <c r="AR8" i="31"/>
  <c r="AR250" i="31" s="1" a="1"/>
  <c r="AR250" i="31" s="1"/>
  <c r="V4" i="31"/>
  <c r="U6" i="31"/>
  <c r="U7" i="31"/>
  <c r="D43" i="30"/>
  <c r="AP5" i="30"/>
  <c r="AO7" i="30"/>
  <c r="AO4" i="30"/>
  <c r="AO6" i="30"/>
  <c r="AO8" i="30"/>
  <c r="R8" i="30"/>
  <c r="S5" i="30"/>
  <c r="AZ96" i="8" l="1"/>
  <c r="AY99" i="8"/>
  <c r="AY95" i="8"/>
  <c r="AY97" i="8"/>
  <c r="AY98" i="8"/>
  <c r="AP200" i="31" a="1"/>
  <c r="AP200" i="31" s="1"/>
  <c r="AO200" i="31" a="1"/>
  <c r="AO200" i="31" s="1"/>
  <c r="AO149" i="31" a="1"/>
  <c r="AO149" i="31" s="1"/>
  <c r="AH47" i="31" a="1"/>
  <c r="AH47" i="31" s="1"/>
  <c r="AI47" i="31" a="1"/>
  <c r="AI47" i="31" s="1"/>
  <c r="AJ47" i="31" a="1"/>
  <c r="AJ47" i="31" s="1"/>
  <c r="AK47" i="31" a="1"/>
  <c r="AK47" i="31" s="1"/>
  <c r="AL47" i="31" a="1"/>
  <c r="AL47" i="31" s="1"/>
  <c r="AM47" i="31" a="1"/>
  <c r="AM47" i="31" s="1"/>
  <c r="AN47" i="31" a="1"/>
  <c r="AN47" i="31" s="1"/>
  <c r="AO47" i="31" a="1"/>
  <c r="AO47" i="31" s="1"/>
  <c r="AN200" i="31" a="1"/>
  <c r="AN200" i="31" s="1"/>
  <c r="AN149" i="31" a="1"/>
  <c r="AN149" i="31" s="1"/>
  <c r="AP47" i="31" a="1"/>
  <c r="AP47" i="31" s="1"/>
  <c r="AP98" i="31" a="1"/>
  <c r="AP98" i="31" s="1"/>
  <c r="AP149" i="31" a="1"/>
  <c r="AP149" i="31" s="1"/>
  <c r="AO98" i="31" a="1"/>
  <c r="AO98" i="31" s="1"/>
  <c r="AR98" i="31" a="1"/>
  <c r="AR98" i="31" s="1"/>
  <c r="AR46" i="31" a="1"/>
  <c r="AR46" i="31" s="1"/>
  <c r="AR97" i="31" a="1"/>
  <c r="AR97" i="31" s="1"/>
  <c r="AR47" i="31" a="1"/>
  <c r="AR47" i="31" s="1"/>
  <c r="AR149" i="31" a="1"/>
  <c r="AR149" i="31" s="1"/>
  <c r="AR148" i="31" a="1"/>
  <c r="AR148" i="31" s="1"/>
  <c r="AR200" i="31" a="1"/>
  <c r="AR200" i="31" s="1"/>
  <c r="AR199" i="31" a="1"/>
  <c r="AR199" i="31" s="1"/>
  <c r="AQ98" i="31" a="1"/>
  <c r="AQ98" i="31" s="1"/>
  <c r="AQ149" i="31" a="1"/>
  <c r="AQ149" i="31" s="1"/>
  <c r="AQ200" i="31" a="1"/>
  <c r="AQ200" i="31" s="1"/>
  <c r="AQ47" i="31" a="1"/>
  <c r="AQ47" i="31" s="1"/>
  <c r="AQ251" i="31" a="1"/>
  <c r="AQ251" i="31" s="1"/>
  <c r="AJ251" i="31" a="1"/>
  <c r="AJ251" i="31" s="1"/>
  <c r="AP251" i="31" a="1"/>
  <c r="AP251" i="31" s="1"/>
  <c r="AI251" i="31" a="1"/>
  <c r="AI251" i="31" s="1"/>
  <c r="AO251" i="31" a="1"/>
  <c r="AO251" i="31" s="1"/>
  <c r="AH251" i="31" a="1"/>
  <c r="AH251" i="31" s="1"/>
  <c r="AN251" i="31" a="1"/>
  <c r="AN251" i="31" s="1"/>
  <c r="AM251" i="31" a="1"/>
  <c r="AM251" i="31" s="1"/>
  <c r="AL251" i="31" a="1"/>
  <c r="AL251" i="31" s="1"/>
  <c r="AR251" i="31" a="1"/>
  <c r="AR251" i="31" s="1"/>
  <c r="AK251" i="31" a="1"/>
  <c r="AK251" i="31" s="1"/>
  <c r="C252" i="31"/>
  <c r="C48" i="31"/>
  <c r="AR48" i="31" s="1" a="1"/>
  <c r="AR48" i="31" s="1"/>
  <c r="U8" i="31"/>
  <c r="V5" i="31"/>
  <c r="AT5" i="31"/>
  <c r="AS6" i="31"/>
  <c r="AS4" i="31"/>
  <c r="AS7" i="31"/>
  <c r="AS8" i="31"/>
  <c r="S6" i="30"/>
  <c r="T4" i="30"/>
  <c r="S7" i="30"/>
  <c r="AQ5" i="30"/>
  <c r="AP7" i="30"/>
  <c r="AP4" i="30"/>
  <c r="AP6" i="30"/>
  <c r="AP8" i="30"/>
  <c r="D44" i="30"/>
  <c r="AQ99" i="31" l="1" a="1"/>
  <c r="AQ99" i="31" s="1"/>
  <c r="AN99" i="31" a="1"/>
  <c r="AN99" i="31" s="1"/>
  <c r="AQ201" i="31" a="1"/>
  <c r="AQ201" i="31" s="1"/>
  <c r="BA96" i="8"/>
  <c r="AZ99" i="8"/>
  <c r="AZ97" i="8"/>
  <c r="AZ95" i="8"/>
  <c r="AZ98" i="8"/>
  <c r="AP201" i="31" a="1"/>
  <c r="AP201" i="31" s="1"/>
  <c r="AP150" i="31" a="1"/>
  <c r="AP150" i="31" s="1"/>
  <c r="AR150" i="31" a="1"/>
  <c r="AR150" i="31" s="1"/>
  <c r="AO99" i="31" a="1"/>
  <c r="AO99" i="31" s="1"/>
  <c r="AO201" i="31" a="1"/>
  <c r="AO201" i="31" s="1"/>
  <c r="AH48" i="31" a="1"/>
  <c r="AH48" i="31" s="1"/>
  <c r="AI48" i="31" a="1"/>
  <c r="AI48" i="31" s="1"/>
  <c r="AJ48" i="31" a="1"/>
  <c r="AJ48" i="31" s="1"/>
  <c r="AK48" i="31" a="1"/>
  <c r="AK48" i="31" s="1"/>
  <c r="AL48" i="31" a="1"/>
  <c r="AL48" i="31" s="1"/>
  <c r="AM48" i="31" a="1"/>
  <c r="AM48" i="31" s="1"/>
  <c r="AN48" i="31" a="1"/>
  <c r="AN48" i="31" s="1"/>
  <c r="AO48" i="31" a="1"/>
  <c r="AO48" i="31" s="1"/>
  <c r="AP48" i="31" a="1"/>
  <c r="AP48" i="31" s="1"/>
  <c r="AQ48" i="31" a="1"/>
  <c r="AQ48" i="31" s="1"/>
  <c r="AR201" i="31" a="1"/>
  <c r="AR201" i="31" s="1"/>
  <c r="AR99" i="31" a="1"/>
  <c r="AR99" i="31" s="1"/>
  <c r="AO150" i="31" a="1"/>
  <c r="AO150" i="31" s="1"/>
  <c r="AS98" i="31" a="1"/>
  <c r="AS98" i="31" s="1"/>
  <c r="AS99" i="31" a="1"/>
  <c r="AS99" i="31" s="1"/>
  <c r="AS48" i="31" a="1"/>
  <c r="AS48" i="31" s="1"/>
  <c r="AS47" i="31" a="1"/>
  <c r="AS47" i="31" s="1"/>
  <c r="AS150" i="31" a="1"/>
  <c r="AS150" i="31" s="1"/>
  <c r="AS149" i="31" a="1"/>
  <c r="AS149" i="31" s="1"/>
  <c r="AS201" i="31" a="1"/>
  <c r="AS201" i="31" s="1"/>
  <c r="AS200" i="31" a="1"/>
  <c r="AS200" i="31" s="1"/>
  <c r="AP99" i="31" a="1"/>
  <c r="AP99" i="31" s="1"/>
  <c r="AQ150" i="31" a="1"/>
  <c r="AQ150" i="31" s="1"/>
  <c r="AS251" i="31" a="1"/>
  <c r="AS251" i="31" s="1"/>
  <c r="AL252" i="31" a="1"/>
  <c r="AL252" i="31" s="1"/>
  <c r="AS252" i="31" a="1"/>
  <c r="AS252" i="31" s="1"/>
  <c r="AK252" i="31" a="1"/>
  <c r="AK252" i="31" s="1"/>
  <c r="AR252" i="31" a="1"/>
  <c r="AR252" i="31" s="1"/>
  <c r="AJ252" i="31" a="1"/>
  <c r="AJ252" i="31" s="1"/>
  <c r="AQ252" i="31" a="1"/>
  <c r="AQ252" i="31" s="1"/>
  <c r="AI252" i="31" a="1"/>
  <c r="AI252" i="31" s="1"/>
  <c r="AP252" i="31" a="1"/>
  <c r="AP252" i="31" s="1"/>
  <c r="AO252" i="31" a="1"/>
  <c r="AO252" i="31" s="1"/>
  <c r="AH252" i="31" a="1"/>
  <c r="AH252" i="31" s="1"/>
  <c r="AN252" i="31" a="1"/>
  <c r="AN252" i="31" s="1"/>
  <c r="AM252" i="31" a="1"/>
  <c r="AM252" i="31" s="1"/>
  <c r="C253" i="31"/>
  <c r="S8" i="30"/>
  <c r="C49" i="31"/>
  <c r="AS100" i="31" s="1" a="1"/>
  <c r="AS100" i="31" s="1"/>
  <c r="V7" i="31"/>
  <c r="W4" i="31"/>
  <c r="V6" i="31"/>
  <c r="AU5" i="31"/>
  <c r="AT6" i="31"/>
  <c r="AT4" i="31"/>
  <c r="AT7" i="31"/>
  <c r="AT8" i="31"/>
  <c r="T5" i="30"/>
  <c r="AQ7" i="30"/>
  <c r="AQ4" i="30"/>
  <c r="AR5" i="30"/>
  <c r="AQ6" i="30"/>
  <c r="AQ8" i="30"/>
  <c r="D45" i="30"/>
  <c r="AQ151" i="31" l="1" a="1"/>
  <c r="AQ151" i="31" s="1"/>
  <c r="AR151" i="31" a="1"/>
  <c r="AR151" i="31" s="1"/>
  <c r="AQ202" i="31" a="1"/>
  <c r="AQ202" i="31" s="1"/>
  <c r="AO202" i="31" a="1"/>
  <c r="AO202" i="31" s="1"/>
  <c r="BA99" i="8"/>
  <c r="BA95" i="8"/>
  <c r="BA97" i="8"/>
  <c r="BA98" i="8"/>
  <c r="BB96" i="8"/>
  <c r="AR100" i="31" a="1"/>
  <c r="AR100" i="31" s="1"/>
  <c r="AS151" i="31" a="1"/>
  <c r="AS151" i="31" s="1"/>
  <c r="AS49" i="31" a="1"/>
  <c r="AS49" i="31" s="1"/>
  <c r="AT99" i="31" a="1"/>
  <c r="AT99" i="31" s="1"/>
  <c r="AT100" i="31" a="1"/>
  <c r="AT100" i="31" s="1"/>
  <c r="AT48" i="31" a="1"/>
  <c r="AT48" i="31" s="1"/>
  <c r="AT49" i="31" a="1"/>
  <c r="AT49" i="31" s="1"/>
  <c r="AT150" i="31" a="1"/>
  <c r="AT150" i="31" s="1"/>
  <c r="AT151" i="31" a="1"/>
  <c r="AT151" i="31" s="1"/>
  <c r="AT201" i="31" a="1"/>
  <c r="AT201" i="31" s="1"/>
  <c r="AT202" i="31" a="1"/>
  <c r="AT202" i="31" s="1"/>
  <c r="AH49" i="31" a="1"/>
  <c r="AH49" i="31" s="1"/>
  <c r="AI49" i="31" a="1"/>
  <c r="AI49" i="31" s="1"/>
  <c r="AJ49" i="31" a="1"/>
  <c r="AJ49" i="31" s="1"/>
  <c r="AK49" i="31" a="1"/>
  <c r="AK49" i="31" s="1"/>
  <c r="AL49" i="31" a="1"/>
  <c r="AL49" i="31" s="1"/>
  <c r="AM49" i="31" a="1"/>
  <c r="AM49" i="31" s="1"/>
  <c r="AN49" i="31" a="1"/>
  <c r="AN49" i="31" s="1"/>
  <c r="AO49" i="31" a="1"/>
  <c r="AO49" i="31" s="1"/>
  <c r="AP49" i="31" a="1"/>
  <c r="AP49" i="31" s="1"/>
  <c r="AQ49" i="31" a="1"/>
  <c r="AQ49" i="31" s="1"/>
  <c r="AR49" i="31" a="1"/>
  <c r="AR49" i="31" s="1"/>
  <c r="AQ100" i="31" a="1"/>
  <c r="AQ100" i="31" s="1"/>
  <c r="AP100" i="31" a="1"/>
  <c r="AP100" i="31" s="1"/>
  <c r="AT252" i="31" a="1"/>
  <c r="AT252" i="31" s="1"/>
  <c r="AS202" i="31" a="1"/>
  <c r="AS202" i="31" s="1"/>
  <c r="AR202" i="31" a="1"/>
  <c r="AR202" i="31" s="1"/>
  <c r="AM253" i="31" a="1"/>
  <c r="AM253" i="31" s="1"/>
  <c r="AN253" i="31" a="1"/>
  <c r="AN253" i="31" s="1"/>
  <c r="AT253" i="31" a="1"/>
  <c r="AT253" i="31" s="1"/>
  <c r="AL253" i="31" a="1"/>
  <c r="AL253" i="31" s="1"/>
  <c r="AS253" i="31" a="1"/>
  <c r="AS253" i="31" s="1"/>
  <c r="AK253" i="31" a="1"/>
  <c r="AK253" i="31" s="1"/>
  <c r="AR253" i="31" a="1"/>
  <c r="AR253" i="31" s="1"/>
  <c r="AJ253" i="31" a="1"/>
  <c r="AJ253" i="31" s="1"/>
  <c r="AQ253" i="31" a="1"/>
  <c r="AQ253" i="31" s="1"/>
  <c r="AI253" i="31" a="1"/>
  <c r="AI253" i="31" s="1"/>
  <c r="AP253" i="31" a="1"/>
  <c r="AP253" i="31" s="1"/>
  <c r="AH253" i="31" a="1"/>
  <c r="AH253" i="31" s="1"/>
  <c r="AO253" i="31" a="1"/>
  <c r="AO253" i="31" s="1"/>
  <c r="C254" i="31"/>
  <c r="C50" i="31"/>
  <c r="V8" i="31"/>
  <c r="W5" i="31"/>
  <c r="AU8" i="31"/>
  <c r="AU253" i="31" s="1" a="1"/>
  <c r="AU253" i="31" s="1"/>
  <c r="AV5" i="31"/>
  <c r="AU6" i="31"/>
  <c r="AU4" i="31"/>
  <c r="AU7" i="31"/>
  <c r="T6" i="30"/>
  <c r="U4" i="30"/>
  <c r="T7" i="30"/>
  <c r="D46" i="30"/>
  <c r="AR7" i="30"/>
  <c r="AR4" i="30"/>
  <c r="AR6" i="30"/>
  <c r="AS5" i="30"/>
  <c r="AR8" i="30"/>
  <c r="BB97" i="8" l="1"/>
  <c r="BB98" i="8"/>
  <c r="BB99" i="8"/>
  <c r="BC96" i="8"/>
  <c r="BB95" i="8"/>
  <c r="AR152" i="31" a="1"/>
  <c r="AR152" i="31" s="1"/>
  <c r="AS152" i="31" a="1"/>
  <c r="AS152" i="31" s="1"/>
  <c r="AR101" i="31" a="1"/>
  <c r="AR101" i="31" s="1"/>
  <c r="AT152" i="31" a="1"/>
  <c r="AT152" i="31" s="1"/>
  <c r="AS101" i="31" a="1"/>
  <c r="AS101" i="31" s="1"/>
  <c r="AT50" i="31" a="1"/>
  <c r="AT50" i="31" s="1"/>
  <c r="AR203" i="31" a="1"/>
  <c r="AR203" i="31" s="1"/>
  <c r="AS203" i="31" a="1"/>
  <c r="AS203" i="31" s="1"/>
  <c r="AH50" i="31" a="1"/>
  <c r="AH50" i="31" s="1"/>
  <c r="AI50" i="31" a="1"/>
  <c r="AI50" i="31" s="1"/>
  <c r="AJ50" i="31" a="1"/>
  <c r="AJ50" i="31" s="1"/>
  <c r="AK50" i="31" a="1"/>
  <c r="AK50" i="31" s="1"/>
  <c r="AL50" i="31" a="1"/>
  <c r="AL50" i="31" s="1"/>
  <c r="AM50" i="31" a="1"/>
  <c r="AM50" i="31" s="1"/>
  <c r="AN50" i="31" a="1"/>
  <c r="AN50" i="31" s="1"/>
  <c r="AO50" i="31" a="1"/>
  <c r="AO50" i="31" s="1"/>
  <c r="AP50" i="31" a="1"/>
  <c r="AP50" i="31" s="1"/>
  <c r="AQ50" i="31" a="1"/>
  <c r="AQ50" i="31" s="1"/>
  <c r="AR50" i="31" a="1"/>
  <c r="AR50" i="31" s="1"/>
  <c r="AS50" i="31" a="1"/>
  <c r="AS50" i="31" s="1"/>
  <c r="AQ203" i="31" a="1"/>
  <c r="AQ203" i="31" s="1"/>
  <c r="AU100" i="31" a="1"/>
  <c r="AU100" i="31" s="1"/>
  <c r="AU101" i="31" a="1"/>
  <c r="AU101" i="31" s="1"/>
  <c r="AU49" i="31" a="1"/>
  <c r="AU49" i="31" s="1"/>
  <c r="AU50" i="31" a="1"/>
  <c r="AU50" i="31" s="1"/>
  <c r="AU152" i="31" a="1"/>
  <c r="AU152" i="31" s="1"/>
  <c r="AU151" i="31" a="1"/>
  <c r="AU151" i="31" s="1"/>
  <c r="AU203" i="31" a="1"/>
  <c r="AU203" i="31" s="1"/>
  <c r="AU202" i="31" a="1"/>
  <c r="AU202" i="31" s="1"/>
  <c r="AQ101" i="31" a="1"/>
  <c r="AQ101" i="31" s="1"/>
  <c r="AT101" i="31" a="1"/>
  <c r="AT101" i="31" s="1"/>
  <c r="AT203" i="31" a="1"/>
  <c r="AT203" i="31" s="1"/>
  <c r="AN254" i="31" a="1"/>
  <c r="AN254" i="31" s="1"/>
  <c r="AH254" i="31" a="1"/>
  <c r="AH254" i="31" s="1"/>
  <c r="AT254" i="31" a="1"/>
  <c r="AT254" i="31" s="1"/>
  <c r="AP254" i="31" a="1"/>
  <c r="AP254" i="31" s="1"/>
  <c r="AO254" i="31" a="1"/>
  <c r="AO254" i="31" s="1"/>
  <c r="AM254" i="31" a="1"/>
  <c r="AM254" i="31" s="1"/>
  <c r="AL254" i="31" a="1"/>
  <c r="AL254" i="31" s="1"/>
  <c r="AU254" i="31" a="1"/>
  <c r="AU254" i="31" s="1"/>
  <c r="AK254" i="31" a="1"/>
  <c r="AK254" i="31" s="1"/>
  <c r="AS254" i="31" a="1"/>
  <c r="AS254" i="31" s="1"/>
  <c r="AJ254" i="31" a="1"/>
  <c r="AJ254" i="31" s="1"/>
  <c r="AR254" i="31" a="1"/>
  <c r="AR254" i="31" s="1"/>
  <c r="AI254" i="31" a="1"/>
  <c r="AI254" i="31" s="1"/>
  <c r="AQ254" i="31" a="1"/>
  <c r="AQ254" i="31" s="1"/>
  <c r="C255" i="31"/>
  <c r="C51" i="31"/>
  <c r="AT153" i="31" s="1" a="1"/>
  <c r="AT153" i="31" s="1"/>
  <c r="W7" i="31"/>
  <c r="X4" i="31"/>
  <c r="W6" i="31"/>
  <c r="AV8" i="31"/>
  <c r="AW5" i="31"/>
  <c r="AV6" i="31"/>
  <c r="AV4" i="31"/>
  <c r="AV7" i="31"/>
  <c r="D47" i="30"/>
  <c r="AS7" i="30"/>
  <c r="AS4" i="30"/>
  <c r="AT5" i="30"/>
  <c r="AS6" i="30"/>
  <c r="AS8" i="30"/>
  <c r="T8" i="30"/>
  <c r="U5" i="30"/>
  <c r="BC97" i="8" l="1"/>
  <c r="BC98" i="8"/>
  <c r="BD96" i="8"/>
  <c r="BC95" i="8"/>
  <c r="BC99" i="8"/>
  <c r="AS102" i="31" a="1"/>
  <c r="AS102" i="31" s="1"/>
  <c r="AR153" i="31" a="1"/>
  <c r="AR153" i="31" s="1"/>
  <c r="AU51" i="31" a="1"/>
  <c r="AU51" i="31" s="1"/>
  <c r="AR102" i="31" a="1"/>
  <c r="AR102" i="31" s="1"/>
  <c r="AU153" i="31" a="1"/>
  <c r="AU153" i="31" s="1"/>
  <c r="AU102" i="31" a="1"/>
  <c r="AU102" i="31" s="1"/>
  <c r="AT102" i="31" a="1"/>
  <c r="AT102" i="31" s="1"/>
  <c r="AT204" i="31" a="1"/>
  <c r="AT204" i="31" s="1"/>
  <c r="AV102" i="31" a="1"/>
  <c r="AV102" i="31" s="1"/>
  <c r="AV101" i="31" a="1"/>
  <c r="AV101" i="31" s="1"/>
  <c r="AV50" i="31" a="1"/>
  <c r="AV50" i="31" s="1"/>
  <c r="AV51" i="31" a="1"/>
  <c r="AV51" i="31" s="1"/>
  <c r="AV153" i="31" a="1"/>
  <c r="AV153" i="31" s="1"/>
  <c r="AV152" i="31" a="1"/>
  <c r="AV152" i="31" s="1"/>
  <c r="AV203" i="31" a="1"/>
  <c r="AV203" i="31" s="1"/>
  <c r="AV204" i="31" a="1"/>
  <c r="AV204" i="31" s="1"/>
  <c r="AS153" i="31" a="1"/>
  <c r="AS153" i="31" s="1"/>
  <c r="AH51" i="31" a="1"/>
  <c r="AH51" i="31" s="1"/>
  <c r="AI51" i="31" a="1"/>
  <c r="AI51" i="31" s="1"/>
  <c r="AJ51" i="31" a="1"/>
  <c r="AJ51" i="31" s="1"/>
  <c r="AK51" i="31" a="1"/>
  <c r="AK51" i="31" s="1"/>
  <c r="AL51" i="31" a="1"/>
  <c r="AL51" i="31" s="1"/>
  <c r="AM51" i="31" a="1"/>
  <c r="AM51" i="31" s="1"/>
  <c r="AN51" i="31" a="1"/>
  <c r="AN51" i="31" s="1"/>
  <c r="AO51" i="31" a="1"/>
  <c r="AO51" i="31" s="1"/>
  <c r="AP51" i="31" a="1"/>
  <c r="AP51" i="31" s="1"/>
  <c r="AQ51" i="31" a="1"/>
  <c r="AQ51" i="31" s="1"/>
  <c r="AR51" i="31" a="1"/>
  <c r="AR51" i="31" s="1"/>
  <c r="AS51" i="31" a="1"/>
  <c r="AS51" i="31" s="1"/>
  <c r="AT51" i="31" a="1"/>
  <c r="AT51" i="31" s="1"/>
  <c r="AV254" i="31" a="1"/>
  <c r="AV254" i="31" s="1"/>
  <c r="AU204" i="31" a="1"/>
  <c r="AU204" i="31" s="1"/>
  <c r="AS204" i="31" a="1"/>
  <c r="AS204" i="31" s="1"/>
  <c r="AQ255" i="31" a="1"/>
  <c r="AQ255" i="31" s="1"/>
  <c r="AJ255" i="31" a="1"/>
  <c r="AJ255" i="31" s="1"/>
  <c r="AV255" i="31" a="1"/>
  <c r="AV255" i="31" s="1"/>
  <c r="AO255" i="31" a="1"/>
  <c r="AO255" i="31" s="1"/>
  <c r="AH255" i="31" a="1"/>
  <c r="AH255" i="31" s="1"/>
  <c r="AP255" i="31" a="1"/>
  <c r="AP255" i="31" s="1"/>
  <c r="AN255" i="31" a="1"/>
  <c r="AN255" i="31" s="1"/>
  <c r="AM255" i="31" a="1"/>
  <c r="AM255" i="31" s="1"/>
  <c r="AU255" i="31" a="1"/>
  <c r="AU255" i="31" s="1"/>
  <c r="AL255" i="31" a="1"/>
  <c r="AL255" i="31" s="1"/>
  <c r="AT255" i="31" a="1"/>
  <c r="AT255" i="31" s="1"/>
  <c r="AK255" i="31" a="1"/>
  <c r="AK255" i="31" s="1"/>
  <c r="AS255" i="31" a="1"/>
  <c r="AS255" i="31" s="1"/>
  <c r="AI255" i="31" a="1"/>
  <c r="AI255" i="31" s="1"/>
  <c r="AR255" i="31" a="1"/>
  <c r="AR255" i="31" s="1"/>
  <c r="C256" i="31"/>
  <c r="C52" i="31"/>
  <c r="X5" i="31"/>
  <c r="AW8" i="31"/>
  <c r="AW255" i="31" s="1" a="1"/>
  <c r="AW255" i="31" s="1"/>
  <c r="AX5" i="31"/>
  <c r="AW6" i="31"/>
  <c r="AW4" i="31"/>
  <c r="AW7" i="31"/>
  <c r="W8" i="31"/>
  <c r="AT6" i="30"/>
  <c r="AU5" i="30"/>
  <c r="AT8" i="30"/>
  <c r="AT7" i="30"/>
  <c r="AT4" i="30"/>
  <c r="D48" i="30"/>
  <c r="V4" i="30"/>
  <c r="U7" i="30"/>
  <c r="U6" i="30"/>
  <c r="BD98" i="8" l="1"/>
  <c r="BE96" i="8"/>
  <c r="BD95" i="8"/>
  <c r="BD99" i="8"/>
  <c r="BD97" i="8"/>
  <c r="AT154" i="31" a="1"/>
  <c r="AT154" i="31" s="1"/>
  <c r="AH52" i="31" a="1"/>
  <c r="AH52" i="31" s="1"/>
  <c r="AI52" i="31" a="1"/>
  <c r="AI52" i="31" s="1"/>
  <c r="AJ52" i="31" a="1"/>
  <c r="AJ52" i="31" s="1"/>
  <c r="AK52" i="31" a="1"/>
  <c r="AK52" i="31" s="1"/>
  <c r="AL52" i="31" a="1"/>
  <c r="AL52" i="31" s="1"/>
  <c r="AM52" i="31" a="1"/>
  <c r="AM52" i="31" s="1"/>
  <c r="AN52" i="31" a="1"/>
  <c r="AN52" i="31" s="1"/>
  <c r="AO52" i="31" a="1"/>
  <c r="AO52" i="31" s="1"/>
  <c r="AP52" i="31" a="1"/>
  <c r="AP52" i="31" s="1"/>
  <c r="AQ52" i="31" a="1"/>
  <c r="AQ52" i="31" s="1"/>
  <c r="AR52" i="31" a="1"/>
  <c r="AR52" i="31" s="1"/>
  <c r="AS52" i="31" a="1"/>
  <c r="AS52" i="31" s="1"/>
  <c r="AT52" i="31" a="1"/>
  <c r="AT52" i="31" s="1"/>
  <c r="AS205" i="31" a="1"/>
  <c r="AS205" i="31" s="1"/>
  <c r="AU52" i="31" a="1"/>
  <c r="AU52" i="31" s="1"/>
  <c r="AU205" i="31" a="1"/>
  <c r="AU205" i="31" s="1"/>
  <c r="AU154" i="31" a="1"/>
  <c r="AU154" i="31" s="1"/>
  <c r="AV205" i="31" a="1"/>
  <c r="AV205" i="31" s="1"/>
  <c r="AV154" i="31" a="1"/>
  <c r="AV154" i="31" s="1"/>
  <c r="AV103" i="31" a="1"/>
  <c r="AV103" i="31" s="1"/>
  <c r="AS103" i="31" a="1"/>
  <c r="AS103" i="31" s="1"/>
  <c r="AT205" i="31" a="1"/>
  <c r="AT205" i="31" s="1"/>
  <c r="AW102" i="31" a="1"/>
  <c r="AW102" i="31" s="1"/>
  <c r="AW103" i="31" a="1"/>
  <c r="AW103" i="31" s="1"/>
  <c r="AW51" i="31" a="1"/>
  <c r="AW51" i="31" s="1"/>
  <c r="AW52" i="31" a="1"/>
  <c r="AW52" i="31" s="1"/>
  <c r="AW153" i="31" a="1"/>
  <c r="AW153" i="31" s="1"/>
  <c r="AW154" i="31" a="1"/>
  <c r="AW154" i="31" s="1"/>
  <c r="AW204" i="31" a="1"/>
  <c r="AW204" i="31" s="1"/>
  <c r="AW205" i="31" a="1"/>
  <c r="AW205" i="31" s="1"/>
  <c r="AU103" i="31" a="1"/>
  <c r="AU103" i="31" s="1"/>
  <c r="AT103" i="31" a="1"/>
  <c r="AT103" i="31" s="1"/>
  <c r="AV52" i="31" a="1"/>
  <c r="AV52" i="31" s="1"/>
  <c r="AR256" i="31" a="1"/>
  <c r="AR256" i="31" s="1"/>
  <c r="AL256" i="31" a="1"/>
  <c r="AL256" i="31" s="1"/>
  <c r="AV256" i="31" a="1"/>
  <c r="AV256" i="31" s="1"/>
  <c r="AJ256" i="31" a="1"/>
  <c r="AJ256" i="31" s="1"/>
  <c r="AW256" i="31" a="1"/>
  <c r="AW256" i="31" s="1"/>
  <c r="AO256" i="31" a="1"/>
  <c r="AO256" i="31" s="1"/>
  <c r="AU256" i="31" a="1"/>
  <c r="AU256" i="31" s="1"/>
  <c r="AN256" i="31" a="1"/>
  <c r="AN256" i="31" s="1"/>
  <c r="AM256" i="31" a="1"/>
  <c r="AM256" i="31" s="1"/>
  <c r="AT256" i="31" a="1"/>
  <c r="AT256" i="31" s="1"/>
  <c r="AK256" i="31" a="1"/>
  <c r="AK256" i="31" s="1"/>
  <c r="AS256" i="31" a="1"/>
  <c r="AS256" i="31" s="1"/>
  <c r="AI256" i="31" a="1"/>
  <c r="AI256" i="31" s="1"/>
  <c r="AQ256" i="31" a="1"/>
  <c r="AQ256" i="31" s="1"/>
  <c r="AP256" i="31" a="1"/>
  <c r="AP256" i="31" s="1"/>
  <c r="AH256" i="31" a="1"/>
  <c r="AH256" i="31" s="1"/>
  <c r="C257" i="31"/>
  <c r="C53" i="31"/>
  <c r="AX8" i="31"/>
  <c r="AX256" i="31" s="1" a="1"/>
  <c r="AX256" i="31" s="1"/>
  <c r="AY5" i="31"/>
  <c r="AX6" i="31"/>
  <c r="AX4" i="31"/>
  <c r="AX7" i="31"/>
  <c r="X7" i="31"/>
  <c r="Y4" i="31"/>
  <c r="X6" i="31"/>
  <c r="U8" i="30"/>
  <c r="D49" i="30"/>
  <c r="AU7" i="30"/>
  <c r="AU6" i="30"/>
  <c r="AV5" i="30"/>
  <c r="AU8" i="30"/>
  <c r="AU4" i="30"/>
  <c r="V5" i="30"/>
  <c r="BE98" i="8" l="1"/>
  <c r="BF96" i="8"/>
  <c r="BE99" i="8"/>
  <c r="BE95" i="8"/>
  <c r="BE97" i="8"/>
  <c r="AW206" i="31" a="1"/>
  <c r="AW206" i="31" s="1"/>
  <c r="AW53" i="31" a="1"/>
  <c r="AW53" i="31" s="1"/>
  <c r="AW155" i="31" a="1"/>
  <c r="AW155" i="31" s="1"/>
  <c r="AV206" i="31" a="1"/>
  <c r="AV206" i="31" s="1"/>
  <c r="AX103" i="31" a="1"/>
  <c r="AX103" i="31" s="1"/>
  <c r="AX53" i="31" a="1"/>
  <c r="AX53" i="31" s="1"/>
  <c r="AX52" i="31" a="1"/>
  <c r="AX52" i="31" s="1"/>
  <c r="AX104" i="31" a="1"/>
  <c r="AX104" i="31" s="1"/>
  <c r="AX154" i="31" a="1"/>
  <c r="AX154" i="31" s="1"/>
  <c r="AX155" i="31" a="1"/>
  <c r="AX155" i="31" s="1"/>
  <c r="AX205" i="31" a="1"/>
  <c r="AX205" i="31" s="1"/>
  <c r="AX206" i="31" a="1"/>
  <c r="AX206" i="31" s="1"/>
  <c r="AU155" i="31" a="1"/>
  <c r="AU155" i="31" s="1"/>
  <c r="AH53" i="31" a="1"/>
  <c r="AH53" i="31" s="1"/>
  <c r="AI53" i="31" a="1"/>
  <c r="AI53" i="31" s="1"/>
  <c r="AJ53" i="31" a="1"/>
  <c r="AJ53" i="31" s="1"/>
  <c r="AK53" i="31" a="1"/>
  <c r="AK53" i="31" s="1"/>
  <c r="AL53" i="31" a="1"/>
  <c r="AL53" i="31" s="1"/>
  <c r="AM53" i="31" a="1"/>
  <c r="AM53" i="31" s="1"/>
  <c r="AN53" i="31" a="1"/>
  <c r="AN53" i="31" s="1"/>
  <c r="AO53" i="31" a="1"/>
  <c r="AO53" i="31" s="1"/>
  <c r="AP53" i="31" a="1"/>
  <c r="AP53" i="31" s="1"/>
  <c r="AQ53" i="31" a="1"/>
  <c r="AQ53" i="31" s="1"/>
  <c r="AR53" i="31" a="1"/>
  <c r="AR53" i="31" s="1"/>
  <c r="AS53" i="31" a="1"/>
  <c r="AS53" i="31" s="1"/>
  <c r="AT53" i="31" a="1"/>
  <c r="AT53" i="31" s="1"/>
  <c r="AU53" i="31" a="1"/>
  <c r="AU53" i="31" s="1"/>
  <c r="AV53" i="31" a="1"/>
  <c r="AV53" i="31" s="1"/>
  <c r="AW104" i="31" a="1"/>
  <c r="AW104" i="31" s="1"/>
  <c r="AU206" i="31" a="1"/>
  <c r="AU206" i="31" s="1"/>
  <c r="AU104" i="31" a="1"/>
  <c r="AU104" i="31" s="1"/>
  <c r="AV104" i="31" a="1"/>
  <c r="AV104" i="31" s="1"/>
  <c r="AV155" i="31" a="1"/>
  <c r="AV155" i="31" s="1"/>
  <c r="AU257" i="31" a="1"/>
  <c r="AU257" i="31" s="1"/>
  <c r="AN257" i="31" a="1"/>
  <c r="AN257" i="31" s="1"/>
  <c r="AT257" i="31" a="1"/>
  <c r="AT257" i="31" s="1"/>
  <c r="AM257" i="31" a="1"/>
  <c r="AM257" i="31" s="1"/>
  <c r="AS257" i="31" a="1"/>
  <c r="AS257" i="31" s="1"/>
  <c r="AW257" i="31" a="1"/>
  <c r="AW257" i="31" s="1"/>
  <c r="AQ257" i="31" a="1"/>
  <c r="AQ257" i="31" s="1"/>
  <c r="AJ257" i="31" a="1"/>
  <c r="AJ257" i="31" s="1"/>
  <c r="AX257" i="31" a="1"/>
  <c r="AX257" i="31" s="1"/>
  <c r="AK257" i="31" a="1"/>
  <c r="AK257" i="31" s="1"/>
  <c r="AV257" i="31" a="1"/>
  <c r="AV257" i="31" s="1"/>
  <c r="AI257" i="31" a="1"/>
  <c r="AI257" i="31" s="1"/>
  <c r="AH257" i="31" a="1"/>
  <c r="AH257" i="31" s="1"/>
  <c r="AR257" i="31" a="1"/>
  <c r="AR257" i="31" s="1"/>
  <c r="AP257" i="31" a="1"/>
  <c r="AP257" i="31" s="1"/>
  <c r="AO257" i="31" a="1"/>
  <c r="AO257" i="31" s="1"/>
  <c r="AL257" i="31" a="1"/>
  <c r="AL257" i="31" s="1"/>
  <c r="C258" i="31"/>
  <c r="C54" i="31"/>
  <c r="AU105" i="31" s="1" a="1"/>
  <c r="AU105" i="31" s="1"/>
  <c r="AY8" i="31"/>
  <c r="AY257" i="31" s="1" a="1"/>
  <c r="AY257" i="31" s="1"/>
  <c r="AZ5" i="31"/>
  <c r="AY6" i="31"/>
  <c r="AY7" i="31"/>
  <c r="AY4" i="31"/>
  <c r="Y5" i="31"/>
  <c r="X8" i="31"/>
  <c r="D50" i="30"/>
  <c r="V6" i="30"/>
  <c r="W4" i="30"/>
  <c r="V7" i="30"/>
  <c r="AW5" i="30"/>
  <c r="AV7" i="30"/>
  <c r="AV6" i="30"/>
  <c r="AV4" i="30"/>
  <c r="AV8" i="30"/>
  <c r="V8" i="30" l="1"/>
  <c r="AX105" i="31" a="1"/>
  <c r="AX105" i="31" s="1"/>
  <c r="BG96" i="8"/>
  <c r="BF99" i="8"/>
  <c r="BF95" i="8"/>
  <c r="BF98" i="8"/>
  <c r="BF97" i="8"/>
  <c r="AV207" i="31" a="1"/>
  <c r="AV207" i="31" s="1"/>
  <c r="AW156" i="31" a="1"/>
  <c r="AW156" i="31" s="1"/>
  <c r="AY104" i="31" a="1"/>
  <c r="AY104" i="31" s="1"/>
  <c r="AY53" i="31" a="1"/>
  <c r="AY53" i="31" s="1"/>
  <c r="AY105" i="31" a="1"/>
  <c r="AY105" i="31" s="1"/>
  <c r="AY54" i="31" a="1"/>
  <c r="AY54" i="31" s="1"/>
  <c r="AY155" i="31" a="1"/>
  <c r="AY155" i="31" s="1"/>
  <c r="AY156" i="31" a="1"/>
  <c r="AY156" i="31" s="1"/>
  <c r="AY206" i="31" a="1"/>
  <c r="AY206" i="31" s="1"/>
  <c r="AY207" i="31" a="1"/>
  <c r="AY207" i="31" s="1"/>
  <c r="AH54" i="31" a="1"/>
  <c r="AH54" i="31" s="1"/>
  <c r="AI54" i="31" a="1"/>
  <c r="AI54" i="31" s="1"/>
  <c r="AJ54" i="31" a="1"/>
  <c r="AJ54" i="31" s="1"/>
  <c r="AK54" i="31" a="1"/>
  <c r="AK54" i="31" s="1"/>
  <c r="AL54" i="31" a="1"/>
  <c r="AL54" i="31" s="1"/>
  <c r="AM54" i="31" a="1"/>
  <c r="AM54" i="31" s="1"/>
  <c r="AN54" i="31" a="1"/>
  <c r="AN54" i="31" s="1"/>
  <c r="AO54" i="31" a="1"/>
  <c r="AO54" i="31" s="1"/>
  <c r="AP54" i="31" a="1"/>
  <c r="AP54" i="31" s="1"/>
  <c r="AQ54" i="31" a="1"/>
  <c r="AQ54" i="31" s="1"/>
  <c r="AR54" i="31" a="1"/>
  <c r="AR54" i="31" s="1"/>
  <c r="AS54" i="31" a="1"/>
  <c r="AS54" i="31" s="1"/>
  <c r="AT54" i="31" a="1"/>
  <c r="AT54" i="31" s="1"/>
  <c r="AU54" i="31" a="1"/>
  <c r="AU54" i="31" s="1"/>
  <c r="AV54" i="31" a="1"/>
  <c r="AV54" i="31" s="1"/>
  <c r="AW54" i="31" a="1"/>
  <c r="AW54" i="31" s="1"/>
  <c r="AW207" i="31" a="1"/>
  <c r="AW207" i="31" s="1"/>
  <c r="AW105" i="31" a="1"/>
  <c r="AW105" i="31" s="1"/>
  <c r="AV156" i="31" a="1"/>
  <c r="AV156" i="31" s="1"/>
  <c r="AX207" i="31" a="1"/>
  <c r="AX207" i="31" s="1"/>
  <c r="AV105" i="31" a="1"/>
  <c r="AV105" i="31" s="1"/>
  <c r="AX54" i="31" a="1"/>
  <c r="AX54" i="31" s="1"/>
  <c r="AX156" i="31" a="1"/>
  <c r="AX156" i="31" s="1"/>
  <c r="AY258" i="31" a="1"/>
  <c r="AY258" i="31" s="1"/>
  <c r="AS258" i="31" a="1"/>
  <c r="AS258" i="31" s="1"/>
  <c r="AL258" i="31" a="1"/>
  <c r="AL258" i="31" s="1"/>
  <c r="AX258" i="31" a="1"/>
  <c r="AX258" i="31" s="1"/>
  <c r="AR258" i="31" a="1"/>
  <c r="AR258" i="31" s="1"/>
  <c r="AW258" i="31" a="1"/>
  <c r="AW258" i="31" s="1"/>
  <c r="AK258" i="31" a="1"/>
  <c r="AK258" i="31" s="1"/>
  <c r="AV258" i="31" a="1"/>
  <c r="AV258" i="31" s="1"/>
  <c r="AQ258" i="31" a="1"/>
  <c r="AQ258" i="31" s="1"/>
  <c r="AJ258" i="31" a="1"/>
  <c r="AJ258" i="31" s="1"/>
  <c r="AU258" i="31" a="1"/>
  <c r="AU258" i="31" s="1"/>
  <c r="AO258" i="31" a="1"/>
  <c r="AO258" i="31" s="1"/>
  <c r="AH258" i="31" a="1"/>
  <c r="AH258" i="31" s="1"/>
  <c r="AT258" i="31" a="1"/>
  <c r="AT258" i="31" s="1"/>
  <c r="AP258" i="31" a="1"/>
  <c r="AP258" i="31" s="1"/>
  <c r="AN258" i="31" a="1"/>
  <c r="AN258" i="31" s="1"/>
  <c r="AM258" i="31" a="1"/>
  <c r="AM258" i="31" s="1"/>
  <c r="AI258" i="31" a="1"/>
  <c r="AI258" i="31" s="1"/>
  <c r="C259" i="31"/>
  <c r="C55" i="31"/>
  <c r="AU208" i="31" s="1" a="1"/>
  <c r="AU208" i="31" s="1"/>
  <c r="AZ4" i="31"/>
  <c r="AZ7" i="31"/>
  <c r="AZ8" i="31"/>
  <c r="AZ258" i="31" s="1" a="1"/>
  <c r="AZ258" i="31" s="1"/>
  <c r="BA5" i="31"/>
  <c r="AZ6" i="31"/>
  <c r="Y7" i="31"/>
  <c r="Z4" i="31"/>
  <c r="Y6" i="31"/>
  <c r="AW6" i="30"/>
  <c r="AX5" i="30"/>
  <c r="AW8" i="30"/>
  <c r="AW7" i="30"/>
  <c r="AW4" i="30"/>
  <c r="W5" i="30"/>
  <c r="D51" i="30"/>
  <c r="AV106" i="31" l="1" a="1"/>
  <c r="AV106" i="31" s="1"/>
  <c r="AW208" i="31" a="1"/>
  <c r="AW208" i="31" s="1"/>
  <c r="BH96" i="8"/>
  <c r="BG99" i="8"/>
  <c r="BG95" i="8"/>
  <c r="BG97" i="8"/>
  <c r="BG98" i="8"/>
  <c r="AX157" i="31" a="1"/>
  <c r="AX157" i="31" s="1"/>
  <c r="AY157" i="31" a="1"/>
  <c r="AY157" i="31" s="1"/>
  <c r="AY55" i="31" a="1"/>
  <c r="AY55" i="31" s="1"/>
  <c r="AX208" i="31" a="1"/>
  <c r="AX208" i="31" s="1"/>
  <c r="AY208" i="31" a="1"/>
  <c r="AY208" i="31" s="1"/>
  <c r="AX106" i="31" a="1"/>
  <c r="AX106" i="31" s="1"/>
  <c r="AY106" i="31" a="1"/>
  <c r="AY106" i="31" s="1"/>
  <c r="AZ106" i="31" a="1"/>
  <c r="AZ106" i="31" s="1"/>
  <c r="AZ54" i="31" a="1"/>
  <c r="AZ54" i="31" s="1"/>
  <c r="AZ105" i="31" a="1"/>
  <c r="AZ105" i="31" s="1"/>
  <c r="AZ55" i="31" a="1"/>
  <c r="AZ55" i="31" s="1"/>
  <c r="AZ157" i="31" a="1"/>
  <c r="AZ157" i="31" s="1"/>
  <c r="AZ156" i="31" a="1"/>
  <c r="AZ156" i="31" s="1"/>
  <c r="AZ208" i="31" a="1"/>
  <c r="AZ208" i="31" s="1"/>
  <c r="AZ207" i="31" a="1"/>
  <c r="AZ207" i="31" s="1"/>
  <c r="AH55" i="31" a="1"/>
  <c r="AH55" i="31" s="1"/>
  <c r="AI55" i="31" a="1"/>
  <c r="AI55" i="31" s="1"/>
  <c r="AJ55" i="31" a="1"/>
  <c r="AJ55" i="31" s="1"/>
  <c r="AK55" i="31" a="1"/>
  <c r="AK55" i="31" s="1"/>
  <c r="AL55" i="31" a="1"/>
  <c r="AL55" i="31" s="1"/>
  <c r="AM55" i="31" a="1"/>
  <c r="AM55" i="31" s="1"/>
  <c r="AN55" i="31" a="1"/>
  <c r="AN55" i="31" s="1"/>
  <c r="AO55" i="31" a="1"/>
  <c r="AO55" i="31" s="1"/>
  <c r="AP55" i="31" a="1"/>
  <c r="AP55" i="31" s="1"/>
  <c r="AQ55" i="31" a="1"/>
  <c r="AQ55" i="31" s="1"/>
  <c r="AR55" i="31" a="1"/>
  <c r="AR55" i="31" s="1"/>
  <c r="AS55" i="31" a="1"/>
  <c r="AS55" i="31" s="1"/>
  <c r="AT55" i="31" a="1"/>
  <c r="AT55" i="31" s="1"/>
  <c r="AU55" i="31" a="1"/>
  <c r="AU55" i="31" s="1"/>
  <c r="AV55" i="31" a="1"/>
  <c r="AV55" i="31" s="1"/>
  <c r="AW55" i="31" a="1"/>
  <c r="AW55" i="31" s="1"/>
  <c r="AV157" i="31" a="1"/>
  <c r="AV157" i="31" s="1"/>
  <c r="AW106" i="31" a="1"/>
  <c r="AW106" i="31" s="1"/>
  <c r="AX55" i="31" a="1"/>
  <c r="AX55" i="31" s="1"/>
  <c r="AW157" i="31" a="1"/>
  <c r="AW157" i="31" s="1"/>
  <c r="AW259" i="31" a="1"/>
  <c r="AW259" i="31" s="1"/>
  <c r="AQ259" i="31" a="1"/>
  <c r="AQ259" i="31" s="1"/>
  <c r="AJ259" i="31" a="1"/>
  <c r="AJ259" i="31" s="1"/>
  <c r="AV259" i="31" a="1"/>
  <c r="AV259" i="31" s="1"/>
  <c r="AP259" i="31" a="1"/>
  <c r="AP259" i="31" s="1"/>
  <c r="AI259" i="31" a="1"/>
  <c r="AI259" i="31" s="1"/>
  <c r="AO259" i="31" a="1"/>
  <c r="AO259" i="31" s="1"/>
  <c r="AH259" i="31" a="1"/>
  <c r="AH259" i="31" s="1"/>
  <c r="AU259" i="31" a="1"/>
  <c r="AU259" i="31" s="1"/>
  <c r="AN259" i="31" a="1"/>
  <c r="AN259" i="31" s="1"/>
  <c r="AT259" i="31" a="1"/>
  <c r="AT259" i="31" s="1"/>
  <c r="AM259" i="31" a="1"/>
  <c r="AM259" i="31" s="1"/>
  <c r="AZ259" i="31" a="1"/>
  <c r="AZ259" i="31" s="1"/>
  <c r="AL259" i="31" a="1"/>
  <c r="AL259" i="31" s="1"/>
  <c r="AK259" i="31" a="1"/>
  <c r="AK259" i="31" s="1"/>
  <c r="AY259" i="31" a="1"/>
  <c r="AY259" i="31" s="1"/>
  <c r="AX259" i="31" a="1"/>
  <c r="AX259" i="31" s="1"/>
  <c r="AS259" i="31" a="1"/>
  <c r="AS259" i="31" s="1"/>
  <c r="AR259" i="31" a="1"/>
  <c r="AR259" i="31" s="1"/>
  <c r="C260" i="31"/>
  <c r="C56" i="31"/>
  <c r="AY209" i="31" s="1" a="1"/>
  <c r="AY209" i="31" s="1"/>
  <c r="BA4" i="31"/>
  <c r="BA7" i="31"/>
  <c r="BA8" i="31"/>
  <c r="BA259" i="31" s="1" a="1"/>
  <c r="BA259" i="31" s="1"/>
  <c r="BB5" i="31"/>
  <c r="BA6" i="31"/>
  <c r="Z5" i="31"/>
  <c r="Y8" i="31"/>
  <c r="D52" i="30"/>
  <c r="AX6" i="30"/>
  <c r="AY5" i="30"/>
  <c r="AX4" i="30"/>
  <c r="AX8" i="30"/>
  <c r="AX7" i="30"/>
  <c r="X4" i="30"/>
  <c r="W7" i="30"/>
  <c r="W6" i="30"/>
  <c r="AW209" i="31" l="1" a="1"/>
  <c r="AW209" i="31" s="1"/>
  <c r="BI96" i="8"/>
  <c r="BH99" i="8"/>
  <c r="BH97" i="8"/>
  <c r="BH95" i="8"/>
  <c r="BH98" i="8"/>
  <c r="AZ56" i="31" a="1"/>
  <c r="AZ56" i="31" s="1"/>
  <c r="AY107" i="31" a="1"/>
  <c r="AY107" i="31" s="1"/>
  <c r="AX209" i="31" a="1"/>
  <c r="AX209" i="31" s="1"/>
  <c r="AZ107" i="31" a="1"/>
  <c r="AZ107" i="31" s="1"/>
  <c r="BA107" i="31" a="1"/>
  <c r="BA107" i="31" s="1"/>
  <c r="BA106" i="31" a="1"/>
  <c r="BA106" i="31" s="1"/>
  <c r="BA56" i="31" a="1"/>
  <c r="BA56" i="31" s="1"/>
  <c r="BA55" i="31" a="1"/>
  <c r="BA55" i="31" s="1"/>
  <c r="BA157" i="31" a="1"/>
  <c r="BA157" i="31" s="1"/>
  <c r="BA158" i="31" a="1"/>
  <c r="BA158" i="31" s="1"/>
  <c r="BA209" i="31" a="1"/>
  <c r="BA209" i="31" s="1"/>
  <c r="BA208" i="31" a="1"/>
  <c r="BA208" i="31" s="1"/>
  <c r="AX107" i="31" a="1"/>
  <c r="AX107" i="31" s="1"/>
  <c r="AZ158" i="31" a="1"/>
  <c r="AZ158" i="31" s="1"/>
  <c r="AH56" i="31" a="1"/>
  <c r="AH56" i="31" s="1"/>
  <c r="AI56" i="31" a="1"/>
  <c r="AI56" i="31" s="1"/>
  <c r="AJ56" i="31" a="1"/>
  <c r="AJ56" i="31" s="1"/>
  <c r="AK56" i="31" a="1"/>
  <c r="AK56" i="31" s="1"/>
  <c r="AL56" i="31" a="1"/>
  <c r="AL56" i="31" s="1"/>
  <c r="AM56" i="31" a="1"/>
  <c r="AM56" i="31" s="1"/>
  <c r="AN56" i="31" a="1"/>
  <c r="AN56" i="31" s="1"/>
  <c r="AO56" i="31" a="1"/>
  <c r="AO56" i="31" s="1"/>
  <c r="AP56" i="31" a="1"/>
  <c r="AP56" i="31" s="1"/>
  <c r="AQ56" i="31" a="1"/>
  <c r="AQ56" i="31" s="1"/>
  <c r="AR56" i="31" a="1"/>
  <c r="AR56" i="31" s="1"/>
  <c r="AS56" i="31" a="1"/>
  <c r="AS56" i="31" s="1"/>
  <c r="AT56" i="31" a="1"/>
  <c r="AT56" i="31" s="1"/>
  <c r="AU56" i="31" a="1"/>
  <c r="AU56" i="31" s="1"/>
  <c r="AV56" i="31" a="1"/>
  <c r="AV56" i="31" s="1"/>
  <c r="AW56" i="31" a="1"/>
  <c r="AW56" i="31" s="1"/>
  <c r="AX56" i="31" a="1"/>
  <c r="AX56" i="31" s="1"/>
  <c r="AW107" i="31" a="1"/>
  <c r="AW107" i="31" s="1"/>
  <c r="AY158" i="31" a="1"/>
  <c r="AY158" i="31" s="1"/>
  <c r="AX158" i="31" a="1"/>
  <c r="AX158" i="31" s="1"/>
  <c r="AY56" i="31" a="1"/>
  <c r="AY56" i="31" s="1"/>
  <c r="AZ209" i="31" a="1"/>
  <c r="AZ209" i="31" s="1"/>
  <c r="AU260" i="31" a="1"/>
  <c r="AU260" i="31" s="1"/>
  <c r="AO260" i="31" a="1"/>
  <c r="AO260" i="31" s="1"/>
  <c r="AH260" i="31" a="1"/>
  <c r="AH260" i="31" s="1"/>
  <c r="BA260" i="31" a="1"/>
  <c r="BA260" i="31" s="1"/>
  <c r="AT260" i="31" a="1"/>
  <c r="AT260" i="31" s="1"/>
  <c r="AN260" i="31" a="1"/>
  <c r="AN260" i="31" s="1"/>
  <c r="AZ260" i="31" a="1"/>
  <c r="AZ260" i="31" s="1"/>
  <c r="AM260" i="31" a="1"/>
  <c r="AM260" i="31" s="1"/>
  <c r="AY260" i="31" a="1"/>
  <c r="AY260" i="31" s="1"/>
  <c r="AS260" i="31" a="1"/>
  <c r="AS260" i="31" s="1"/>
  <c r="AL260" i="31" a="1"/>
  <c r="AL260" i="31" s="1"/>
  <c r="AX260" i="31" a="1"/>
  <c r="AX260" i="31" s="1"/>
  <c r="AR260" i="31" a="1"/>
  <c r="AR260" i="31" s="1"/>
  <c r="AW260" i="31" a="1"/>
  <c r="AW260" i="31" s="1"/>
  <c r="AQ260" i="31" a="1"/>
  <c r="AQ260" i="31" s="1"/>
  <c r="AK260" i="31" a="1"/>
  <c r="AK260" i="31" s="1"/>
  <c r="AJ260" i="31" a="1"/>
  <c r="AJ260" i="31" s="1"/>
  <c r="AI260" i="31" a="1"/>
  <c r="AI260" i="31" s="1"/>
  <c r="AV260" i="31" a="1"/>
  <c r="AV260" i="31" s="1"/>
  <c r="AP260" i="31" a="1"/>
  <c r="AP260" i="31" s="1"/>
  <c r="C261" i="31"/>
  <c r="C57" i="31"/>
  <c r="AY108" i="31" s="1" a="1"/>
  <c r="AY108" i="31" s="1"/>
  <c r="Z7" i="31"/>
  <c r="AA4" i="31"/>
  <c r="Z6" i="31"/>
  <c r="BB4" i="31"/>
  <c r="BB7" i="31"/>
  <c r="BB8" i="31"/>
  <c r="BB260" i="31" s="1" a="1"/>
  <c r="BB260" i="31" s="1"/>
  <c r="BC5" i="31"/>
  <c r="BB6" i="31"/>
  <c r="W8" i="30"/>
  <c r="D53" i="30"/>
  <c r="AZ5" i="30"/>
  <c r="AY8" i="30"/>
  <c r="AY7" i="30"/>
  <c r="AY4" i="30"/>
  <c r="AY6" i="30"/>
  <c r="X5" i="30"/>
  <c r="BI99" i="8" l="1"/>
  <c r="BI95" i="8"/>
  <c r="BI97" i="8"/>
  <c r="BI98" i="8"/>
  <c r="BJ96" i="8"/>
  <c r="AZ210" i="31" a="1"/>
  <c r="AZ210" i="31" s="1"/>
  <c r="BB108" i="31" a="1"/>
  <c r="BB108" i="31" s="1"/>
  <c r="BB107" i="31" a="1"/>
  <c r="BB107" i="31" s="1"/>
  <c r="BB57" i="31" a="1"/>
  <c r="BB57" i="31" s="1"/>
  <c r="BB56" i="31" a="1"/>
  <c r="BB56" i="31" s="1"/>
  <c r="BB159" i="31" a="1"/>
  <c r="BB159" i="31" s="1"/>
  <c r="BB158" i="31" a="1"/>
  <c r="BB158" i="31" s="1"/>
  <c r="BB209" i="31" a="1"/>
  <c r="BB209" i="31" s="1"/>
  <c r="BB210" i="31" a="1"/>
  <c r="BB210" i="31" s="1"/>
  <c r="BA108" i="31" a="1"/>
  <c r="BA108" i="31" s="1"/>
  <c r="BA57" i="31" a="1"/>
  <c r="BA57" i="31" s="1"/>
  <c r="AH57" i="31" a="1"/>
  <c r="AH57" i="31" s="1"/>
  <c r="AI57" i="31" a="1"/>
  <c r="AI57" i="31" s="1"/>
  <c r="AJ57" i="31" a="1"/>
  <c r="AJ57" i="31" s="1"/>
  <c r="AK57" i="31" a="1"/>
  <c r="AK57" i="31" s="1"/>
  <c r="AL57" i="31" a="1"/>
  <c r="AL57" i="31" s="1"/>
  <c r="AM57" i="31" a="1"/>
  <c r="AM57" i="31" s="1"/>
  <c r="AN57" i="31" a="1"/>
  <c r="AN57" i="31" s="1"/>
  <c r="AO57" i="31" a="1"/>
  <c r="AO57" i="31" s="1"/>
  <c r="AP57" i="31" a="1"/>
  <c r="AP57" i="31" s="1"/>
  <c r="AQ57" i="31" a="1"/>
  <c r="AQ57" i="31" s="1"/>
  <c r="AR57" i="31" a="1"/>
  <c r="AR57" i="31" s="1"/>
  <c r="AS57" i="31" a="1"/>
  <c r="AS57" i="31" s="1"/>
  <c r="AT57" i="31" a="1"/>
  <c r="AT57" i="31" s="1"/>
  <c r="AU57" i="31" a="1"/>
  <c r="AU57" i="31" s="1"/>
  <c r="AV57" i="31" a="1"/>
  <c r="AV57" i="31" s="1"/>
  <c r="AW57" i="31" a="1"/>
  <c r="AW57" i="31" s="1"/>
  <c r="AX57" i="31" a="1"/>
  <c r="AX57" i="31" s="1"/>
  <c r="AY57" i="31" a="1"/>
  <c r="AY57" i="31" s="1"/>
  <c r="AZ57" i="31" a="1"/>
  <c r="AZ57" i="31" s="1"/>
  <c r="AY159" i="31" a="1"/>
  <c r="AY159" i="31" s="1"/>
  <c r="AZ159" i="31" a="1"/>
  <c r="AZ159" i="31" s="1"/>
  <c r="AZ108" i="31" a="1"/>
  <c r="AZ108" i="31" s="1"/>
  <c r="AX210" i="31" a="1"/>
  <c r="AX210" i="31" s="1"/>
  <c r="BA210" i="31" a="1"/>
  <c r="BA210" i="31" s="1"/>
  <c r="BA159" i="31" a="1"/>
  <c r="BA159" i="31" s="1"/>
  <c r="AY210" i="31" a="1"/>
  <c r="AY210" i="31" s="1"/>
  <c r="AV261" i="31" a="1"/>
  <c r="AV261" i="31" s="1"/>
  <c r="AQ261" i="31" a="1"/>
  <c r="AQ261" i="31" s="1"/>
  <c r="AK261" i="31" a="1"/>
  <c r="AK261" i="31" s="1"/>
  <c r="BB261" i="31" a="1"/>
  <c r="BB261" i="31" s="1"/>
  <c r="AP261" i="31" a="1"/>
  <c r="AP261" i="31" s="1"/>
  <c r="AJ261" i="31" a="1"/>
  <c r="AJ261" i="31" s="1"/>
  <c r="AU261" i="31" a="1"/>
  <c r="AU261" i="31" s="1"/>
  <c r="AI261" i="31" a="1"/>
  <c r="AI261" i="31" s="1"/>
  <c r="BA261" i="31" a="1"/>
  <c r="BA261" i="31" s="1"/>
  <c r="AT261" i="31" a="1"/>
  <c r="AT261" i="31" s="1"/>
  <c r="AO261" i="31" a="1"/>
  <c r="AO261" i="31" s="1"/>
  <c r="AH261" i="31" a="1"/>
  <c r="AH261" i="31" s="1"/>
  <c r="AZ261" i="31" a="1"/>
  <c r="AZ261" i="31" s="1"/>
  <c r="AN261" i="31" a="1"/>
  <c r="AN261" i="31" s="1"/>
  <c r="AY261" i="31" a="1"/>
  <c r="AY261" i="31" s="1"/>
  <c r="AS261" i="31" a="1"/>
  <c r="AS261" i="31" s="1"/>
  <c r="AM261" i="31" a="1"/>
  <c r="AM261" i="31" s="1"/>
  <c r="AL261" i="31" a="1"/>
  <c r="AL261" i="31" s="1"/>
  <c r="AX261" i="31" a="1"/>
  <c r="AX261" i="31" s="1"/>
  <c r="AW261" i="31" a="1"/>
  <c r="AW261" i="31" s="1"/>
  <c r="AR261" i="31" a="1"/>
  <c r="AR261" i="31" s="1"/>
  <c r="C262" i="31"/>
  <c r="C58" i="31"/>
  <c r="AY160" i="31" s="1" a="1"/>
  <c r="AY160" i="31" s="1"/>
  <c r="AA5" i="31"/>
  <c r="Z8" i="31"/>
  <c r="BC4" i="31"/>
  <c r="BC7" i="31"/>
  <c r="BC8" i="31"/>
  <c r="BC261" i="31" s="1" a="1"/>
  <c r="BC261" i="31" s="1"/>
  <c r="BD5" i="31"/>
  <c r="BC6" i="31"/>
  <c r="BA5" i="30"/>
  <c r="AZ4" i="30"/>
  <c r="AZ8" i="30"/>
  <c r="AZ7" i="30"/>
  <c r="AZ6" i="30"/>
  <c r="D54" i="30"/>
  <c r="X6" i="30"/>
  <c r="Y4" i="30"/>
  <c r="X7" i="30"/>
  <c r="BJ97" i="8" l="1"/>
  <c r="BJ98" i="8"/>
  <c r="BJ99" i="8"/>
  <c r="BK96" i="8"/>
  <c r="BJ95" i="8"/>
  <c r="BC108" i="31" a="1"/>
  <c r="BC108" i="31" s="1"/>
  <c r="BC109" i="31" a="1"/>
  <c r="BC109" i="31" s="1"/>
  <c r="BC58" i="31" a="1"/>
  <c r="BC58" i="31" s="1"/>
  <c r="BC57" i="31" a="1"/>
  <c r="BC57" i="31" s="1"/>
  <c r="BC159" i="31" a="1"/>
  <c r="BC159" i="31" s="1"/>
  <c r="BC160" i="31" a="1"/>
  <c r="BC160" i="31" s="1"/>
  <c r="BC210" i="31" a="1"/>
  <c r="BC210" i="31" s="1"/>
  <c r="BC211" i="31" a="1"/>
  <c r="BC211" i="31" s="1"/>
  <c r="AZ160" i="31" a="1"/>
  <c r="AZ160" i="31" s="1"/>
  <c r="BB58" i="31" a="1"/>
  <c r="BB58" i="31" s="1"/>
  <c r="AZ211" i="31" a="1"/>
  <c r="AZ211" i="31" s="1"/>
  <c r="BB109" i="31" a="1"/>
  <c r="BB109" i="31" s="1"/>
  <c r="BB211" i="31" a="1"/>
  <c r="BB211" i="31" s="1"/>
  <c r="BB160" i="31" a="1"/>
  <c r="BB160" i="31" s="1"/>
  <c r="AH58" i="31" a="1"/>
  <c r="AH58" i="31" s="1"/>
  <c r="AI58" i="31" a="1"/>
  <c r="AI58" i="31" s="1"/>
  <c r="AJ58" i="31" a="1"/>
  <c r="AJ58" i="31" s="1"/>
  <c r="AK58" i="31" a="1"/>
  <c r="AK58" i="31" s="1"/>
  <c r="AL58" i="31" a="1"/>
  <c r="AL58" i="31" s="1"/>
  <c r="AM58" i="31" a="1"/>
  <c r="AM58" i="31" s="1"/>
  <c r="AN58" i="31" a="1"/>
  <c r="AN58" i="31" s="1"/>
  <c r="AO58" i="31" a="1"/>
  <c r="AO58" i="31" s="1"/>
  <c r="AP58" i="31" a="1"/>
  <c r="AP58" i="31" s="1"/>
  <c r="AQ58" i="31" a="1"/>
  <c r="AQ58" i="31" s="1"/>
  <c r="AR58" i="31" a="1"/>
  <c r="AR58" i="31" s="1"/>
  <c r="AS58" i="31" a="1"/>
  <c r="AS58" i="31" s="1"/>
  <c r="AT58" i="31" a="1"/>
  <c r="AT58" i="31" s="1"/>
  <c r="AU58" i="31" a="1"/>
  <c r="AU58" i="31" s="1"/>
  <c r="AV58" i="31" a="1"/>
  <c r="AV58" i="31" s="1"/>
  <c r="AW58" i="31" a="1"/>
  <c r="AW58" i="31" s="1"/>
  <c r="AX58" i="31" a="1"/>
  <c r="AX58" i="31" s="1"/>
  <c r="AY58" i="31" a="1"/>
  <c r="AY58" i="31" s="1"/>
  <c r="AZ58" i="31" a="1"/>
  <c r="AZ58" i="31" s="1"/>
  <c r="AY211" i="31" a="1"/>
  <c r="AY211" i="31" s="1"/>
  <c r="BA58" i="31" a="1"/>
  <c r="BA58" i="31" s="1"/>
  <c r="BA109" i="31" a="1"/>
  <c r="BA109" i="31" s="1"/>
  <c r="BA160" i="31" a="1"/>
  <c r="BA160" i="31" s="1"/>
  <c r="BA211" i="31" a="1"/>
  <c r="BA211" i="31" s="1"/>
  <c r="AZ109" i="31" a="1"/>
  <c r="AZ109" i="31" s="1"/>
  <c r="AZ262" i="31" a="1"/>
  <c r="AZ262" i="31" s="1"/>
  <c r="AM262" i="31" a="1"/>
  <c r="AM262" i="31" s="1"/>
  <c r="AY262" i="31" a="1"/>
  <c r="AY262" i="31" s="1"/>
  <c r="AS262" i="31" a="1"/>
  <c r="AS262" i="31" s="1"/>
  <c r="AL262" i="31" a="1"/>
  <c r="AL262" i="31" s="1"/>
  <c r="AX262" i="31" a="1"/>
  <c r="AX262" i="31" s="1"/>
  <c r="AR262" i="31" a="1"/>
  <c r="AR262" i="31" s="1"/>
  <c r="AW262" i="31" a="1"/>
  <c r="AW262" i="31" s="1"/>
  <c r="AQ262" i="31" a="1"/>
  <c r="AQ262" i="31" s="1"/>
  <c r="AK262" i="31" a="1"/>
  <c r="AK262" i="31" s="1"/>
  <c r="BC262" i="31" a="1"/>
  <c r="BC262" i="31" s="1"/>
  <c r="AV262" i="31" a="1"/>
  <c r="AV262" i="31" s="1"/>
  <c r="AP262" i="31" a="1"/>
  <c r="AP262" i="31" s="1"/>
  <c r="AJ262" i="31" a="1"/>
  <c r="AJ262" i="31" s="1"/>
  <c r="BB262" i="31" a="1"/>
  <c r="BB262" i="31" s="1"/>
  <c r="AI262" i="31" a="1"/>
  <c r="AI262" i="31" s="1"/>
  <c r="AU262" i="31" a="1"/>
  <c r="AU262" i="31" s="1"/>
  <c r="AO262" i="31" a="1"/>
  <c r="AO262" i="31" s="1"/>
  <c r="AH262" i="31" a="1"/>
  <c r="AH262" i="31" s="1"/>
  <c r="BA262" i="31" a="1"/>
  <c r="BA262" i="31" s="1"/>
  <c r="AT262" i="31" a="1"/>
  <c r="AT262" i="31" s="1"/>
  <c r="AN262" i="31" a="1"/>
  <c r="AN262" i="31" s="1"/>
  <c r="C263" i="31"/>
  <c r="C59" i="31"/>
  <c r="BD4" i="31"/>
  <c r="BD7" i="31"/>
  <c r="BD8" i="31"/>
  <c r="BD262" i="31" s="1" a="1"/>
  <c r="BD262" i="31" s="1"/>
  <c r="BE5" i="31"/>
  <c r="BD6" i="31"/>
  <c r="AA6" i="31"/>
  <c r="AA7" i="31"/>
  <c r="AB4" i="31"/>
  <c r="X8" i="30"/>
  <c r="BB5" i="30"/>
  <c r="BA8" i="30"/>
  <c r="BA7" i="30"/>
  <c r="BA4" i="30"/>
  <c r="BA6" i="30"/>
  <c r="Y5" i="30"/>
  <c r="D55" i="30"/>
  <c r="BK97" i="8" l="1"/>
  <c r="BK98" i="8"/>
  <c r="BL96" i="8"/>
  <c r="BK95" i="8"/>
  <c r="BK99" i="8"/>
  <c r="BC212" i="31" a="1"/>
  <c r="BC212" i="31" s="1"/>
  <c r="BD109" i="31" a="1"/>
  <c r="BD109" i="31" s="1"/>
  <c r="BD110" i="31" a="1"/>
  <c r="BD110" i="31" s="1"/>
  <c r="BD59" i="31" a="1"/>
  <c r="BD59" i="31" s="1"/>
  <c r="BD58" i="31" a="1"/>
  <c r="BD58" i="31" s="1"/>
  <c r="BD161" i="31" a="1"/>
  <c r="BD161" i="31" s="1"/>
  <c r="BD160" i="31" a="1"/>
  <c r="BD160" i="31" s="1"/>
  <c r="BD212" i="31" a="1"/>
  <c r="BD212" i="31" s="1"/>
  <c r="BD211" i="31" a="1"/>
  <c r="BD211" i="31" s="1"/>
  <c r="BB110" i="31" a="1"/>
  <c r="BB110" i="31" s="1"/>
  <c r="BB212" i="31" a="1"/>
  <c r="BB212" i="31" s="1"/>
  <c r="BC110" i="31" a="1"/>
  <c r="BC110" i="31" s="1"/>
  <c r="BA161" i="31" a="1"/>
  <c r="BA161" i="31" s="1"/>
  <c r="BA110" i="31" a="1"/>
  <c r="BA110" i="31" s="1"/>
  <c r="AH59" i="31" a="1"/>
  <c r="AH59" i="31" s="1"/>
  <c r="AI59" i="31" a="1"/>
  <c r="AI59" i="31" s="1"/>
  <c r="AJ59" i="31" a="1"/>
  <c r="AJ59" i="31" s="1"/>
  <c r="AK59" i="31" a="1"/>
  <c r="AK59" i="31" s="1"/>
  <c r="AL59" i="31" a="1"/>
  <c r="AL59" i="31" s="1"/>
  <c r="AM59" i="31" a="1"/>
  <c r="AM59" i="31" s="1"/>
  <c r="AN59" i="31" a="1"/>
  <c r="AN59" i="31" s="1"/>
  <c r="AO59" i="31" a="1"/>
  <c r="AO59" i="31" s="1"/>
  <c r="AP59" i="31" a="1"/>
  <c r="AP59" i="31" s="1"/>
  <c r="AQ59" i="31" a="1"/>
  <c r="AQ59" i="31" s="1"/>
  <c r="AR59" i="31" a="1"/>
  <c r="AR59" i="31" s="1"/>
  <c r="AS59" i="31" a="1"/>
  <c r="AS59" i="31" s="1"/>
  <c r="AT59" i="31" a="1"/>
  <c r="AT59" i="31" s="1"/>
  <c r="AU59" i="31" a="1"/>
  <c r="AU59" i="31" s="1"/>
  <c r="AV59" i="31" a="1"/>
  <c r="AV59" i="31" s="1"/>
  <c r="AW59" i="31" a="1"/>
  <c r="AW59" i="31" s="1"/>
  <c r="AX59" i="31" a="1"/>
  <c r="AX59" i="31" s="1"/>
  <c r="AY59" i="31" a="1"/>
  <c r="AY59" i="31" s="1"/>
  <c r="AZ59" i="31" a="1"/>
  <c r="AZ59" i="31" s="1"/>
  <c r="BA59" i="31" a="1"/>
  <c r="BA59" i="31" s="1"/>
  <c r="BB59" i="31" a="1"/>
  <c r="BB59" i="31" s="1"/>
  <c r="BA212" i="31" a="1"/>
  <c r="BA212" i="31" s="1"/>
  <c r="BB161" i="31" a="1"/>
  <c r="BB161" i="31" s="1"/>
  <c r="BC161" i="31" a="1"/>
  <c r="BC161" i="31" s="1"/>
  <c r="BC59" i="31" a="1"/>
  <c r="BC59" i="31" s="1"/>
  <c r="AU263" i="31" a="1"/>
  <c r="AU263" i="31" s="1"/>
  <c r="AI263" i="31" a="1"/>
  <c r="AI263" i="31" s="1"/>
  <c r="BA263" i="31" a="1"/>
  <c r="BA263" i="31" s="1"/>
  <c r="AT263" i="31" a="1"/>
  <c r="AT263" i="31" s="1"/>
  <c r="AO263" i="31" a="1"/>
  <c r="AO263" i="31" s="1"/>
  <c r="AH263" i="31" a="1"/>
  <c r="AH263" i="31" s="1"/>
  <c r="AZ263" i="31" a="1"/>
  <c r="AZ263" i="31" s="1"/>
  <c r="AN263" i="31" a="1"/>
  <c r="AN263" i="31" s="1"/>
  <c r="AY263" i="31" a="1"/>
  <c r="AY263" i="31" s="1"/>
  <c r="AS263" i="31" a="1"/>
  <c r="AS263" i="31" s="1"/>
  <c r="AM263" i="31" a="1"/>
  <c r="AM263" i="31" s="1"/>
  <c r="AX263" i="31" a="1"/>
  <c r="AX263" i="31" s="1"/>
  <c r="AR263" i="31" a="1"/>
  <c r="AR263" i="31" s="1"/>
  <c r="AL263" i="31" a="1"/>
  <c r="AL263" i="31" s="1"/>
  <c r="BD263" i="31" a="1"/>
  <c r="BD263" i="31" s="1"/>
  <c r="AW263" i="31" a="1"/>
  <c r="AW263" i="31" s="1"/>
  <c r="BC263" i="31" a="1"/>
  <c r="BC263" i="31" s="1"/>
  <c r="AV263" i="31" a="1"/>
  <c r="AV263" i="31" s="1"/>
  <c r="AQ263" i="31" a="1"/>
  <c r="AQ263" i="31" s="1"/>
  <c r="AK263" i="31" a="1"/>
  <c r="AK263" i="31" s="1"/>
  <c r="AJ263" i="31" a="1"/>
  <c r="AJ263" i="31" s="1"/>
  <c r="BB263" i="31" a="1"/>
  <c r="BB263" i="31" s="1"/>
  <c r="AP263" i="31" a="1"/>
  <c r="AP263" i="31" s="1"/>
  <c r="C264" i="31"/>
  <c r="C60" i="31"/>
  <c r="BB111" i="31" s="1" a="1"/>
  <c r="BB111" i="31" s="1"/>
  <c r="BE6" i="31"/>
  <c r="BE4" i="31"/>
  <c r="BE7" i="31"/>
  <c r="BE8" i="31"/>
  <c r="BF5" i="31"/>
  <c r="AB5" i="31"/>
  <c r="AA8" i="31"/>
  <c r="D56" i="30"/>
  <c r="Z4" i="30"/>
  <c r="Y7" i="30"/>
  <c r="Y6" i="30"/>
  <c r="BC5" i="30"/>
  <c r="BB8" i="30"/>
  <c r="BB4" i="30"/>
  <c r="BB6" i="30"/>
  <c r="BB7" i="30"/>
  <c r="BD60" i="31" l="1" a="1"/>
  <c r="BD60" i="31" s="1"/>
  <c r="BC162" i="31" a="1"/>
  <c r="BC162" i="31" s="1"/>
  <c r="BL98" i="8"/>
  <c r="BM96" i="8"/>
  <c r="BL97" i="8"/>
  <c r="BL95" i="8"/>
  <c r="BL99" i="8"/>
  <c r="BD162" i="31" a="1"/>
  <c r="BD162" i="31" s="1"/>
  <c r="AH60" i="31" a="1"/>
  <c r="AH60" i="31" s="1"/>
  <c r="AI60" i="31" a="1"/>
  <c r="AI60" i="31" s="1"/>
  <c r="AJ60" i="31" a="1"/>
  <c r="AJ60" i="31" s="1"/>
  <c r="AK60" i="31" a="1"/>
  <c r="AK60" i="31" s="1"/>
  <c r="AL60" i="31" a="1"/>
  <c r="AL60" i="31" s="1"/>
  <c r="AM60" i="31" a="1"/>
  <c r="AM60" i="31" s="1"/>
  <c r="AN60" i="31" a="1"/>
  <c r="AN60" i="31" s="1"/>
  <c r="AO60" i="31" a="1"/>
  <c r="AO60" i="31" s="1"/>
  <c r="AP60" i="31" a="1"/>
  <c r="AP60" i="31" s="1"/>
  <c r="AQ60" i="31" a="1"/>
  <c r="AQ60" i="31" s="1"/>
  <c r="AR60" i="31" a="1"/>
  <c r="AR60" i="31" s="1"/>
  <c r="AS60" i="31" a="1"/>
  <c r="AS60" i="31" s="1"/>
  <c r="AT60" i="31" a="1"/>
  <c r="AT60" i="31" s="1"/>
  <c r="AU60" i="31" a="1"/>
  <c r="AU60" i="31" s="1"/>
  <c r="AV60" i="31" a="1"/>
  <c r="AV60" i="31" s="1"/>
  <c r="AW60" i="31" a="1"/>
  <c r="AW60" i="31" s="1"/>
  <c r="AX60" i="31" a="1"/>
  <c r="AX60" i="31" s="1"/>
  <c r="AY60" i="31" a="1"/>
  <c r="AY60" i="31" s="1"/>
  <c r="AZ60" i="31" a="1"/>
  <c r="AZ60" i="31" s="1"/>
  <c r="BA60" i="31" a="1"/>
  <c r="BA60" i="31" s="1"/>
  <c r="BB60" i="31" a="1"/>
  <c r="BB60" i="31" s="1"/>
  <c r="BA162" i="31" a="1"/>
  <c r="BA162" i="31" s="1"/>
  <c r="BC60" i="31" a="1"/>
  <c r="BC60" i="31" s="1"/>
  <c r="BB213" i="31" a="1"/>
  <c r="BB213" i="31" s="1"/>
  <c r="BC213" i="31" a="1"/>
  <c r="BC213" i="31" s="1"/>
  <c r="BE111" i="31" a="1"/>
  <c r="BE111" i="31" s="1"/>
  <c r="BE110" i="31" a="1"/>
  <c r="BE110" i="31" s="1"/>
  <c r="BE60" i="31" a="1"/>
  <c r="BE60" i="31" s="1"/>
  <c r="BE59" i="31" a="1"/>
  <c r="BE59" i="31" s="1"/>
  <c r="BE162" i="31" a="1"/>
  <c r="BE162" i="31" s="1"/>
  <c r="BE161" i="31" a="1"/>
  <c r="BE161" i="31" s="1"/>
  <c r="BE213" i="31" a="1"/>
  <c r="BE213" i="31" s="1"/>
  <c r="BE212" i="31" a="1"/>
  <c r="BE212" i="31" s="1"/>
  <c r="BE263" i="31" a="1"/>
  <c r="BE263" i="31" s="1"/>
  <c r="BB162" i="31" a="1"/>
  <c r="BB162" i="31" s="1"/>
  <c r="BC111" i="31" a="1"/>
  <c r="BC111" i="31" s="1"/>
  <c r="BD111" i="31" a="1"/>
  <c r="BD111" i="31" s="1"/>
  <c r="BD213" i="31" a="1"/>
  <c r="BD213" i="31" s="1"/>
  <c r="BE264" i="31" a="1"/>
  <c r="BE264" i="31" s="1"/>
  <c r="AX264" i="31" a="1"/>
  <c r="AX264" i="31" s="1"/>
  <c r="AR264" i="31" a="1"/>
  <c r="AR264" i="31" s="1"/>
  <c r="AL264" i="31" a="1"/>
  <c r="AL264" i="31" s="1"/>
  <c r="BC264" i="31" a="1"/>
  <c r="BC264" i="31" s="1"/>
  <c r="AV264" i="31" a="1"/>
  <c r="AV264" i="31" s="1"/>
  <c r="AQ264" i="31" a="1"/>
  <c r="AQ264" i="31" s="1"/>
  <c r="AK264" i="31" a="1"/>
  <c r="AK264" i="31" s="1"/>
  <c r="AZ264" i="31" a="1"/>
  <c r="AZ264" i="31" s="1"/>
  <c r="AI264" i="31" a="1"/>
  <c r="AI264" i="31" s="1"/>
  <c r="AY264" i="31" a="1"/>
  <c r="AY264" i="31" s="1"/>
  <c r="AP264" i="31" a="1"/>
  <c r="AP264" i="31" s="1"/>
  <c r="AH264" i="31" a="1"/>
  <c r="AH264" i="31" s="1"/>
  <c r="AW264" i="31" a="1"/>
  <c r="AW264" i="31" s="1"/>
  <c r="AO264" i="31" a="1"/>
  <c r="AO264" i="31" s="1"/>
  <c r="BD264" i="31" a="1"/>
  <c r="BD264" i="31" s="1"/>
  <c r="AU264" i="31" a="1"/>
  <c r="AU264" i="31" s="1"/>
  <c r="AN264" i="31" a="1"/>
  <c r="AN264" i="31" s="1"/>
  <c r="BB264" i="31" a="1"/>
  <c r="BB264" i="31" s="1"/>
  <c r="AT264" i="31" a="1"/>
  <c r="AT264" i="31" s="1"/>
  <c r="AM264" i="31" a="1"/>
  <c r="AM264" i="31" s="1"/>
  <c r="AS264" i="31" a="1"/>
  <c r="AS264" i="31" s="1"/>
  <c r="AJ264" i="31" a="1"/>
  <c r="AJ264" i="31" s="1"/>
  <c r="BA264" i="31" a="1"/>
  <c r="BA264" i="31" s="1"/>
  <c r="C265" i="31"/>
  <c r="C61" i="31"/>
  <c r="BF6" i="31"/>
  <c r="BF4" i="31"/>
  <c r="BF7" i="31"/>
  <c r="BG5" i="31"/>
  <c r="BF8" i="31"/>
  <c r="AB6" i="31"/>
  <c r="AB7" i="31"/>
  <c r="AC4" i="31"/>
  <c r="Y8" i="30"/>
  <c r="BC8" i="30"/>
  <c r="BC4" i="30"/>
  <c r="BC7" i="30"/>
  <c r="BC6" i="30"/>
  <c r="BD5" i="30"/>
  <c r="Z5" i="30"/>
  <c r="D57" i="30"/>
  <c r="BM98" i="8" l="1"/>
  <c r="BM99" i="8"/>
  <c r="BM95" i="8"/>
  <c r="BN96" i="8"/>
  <c r="BM97" i="8"/>
  <c r="BC112" i="31" a="1"/>
  <c r="BC112" i="31" s="1"/>
  <c r="BF112" i="31" a="1"/>
  <c r="BF112" i="31" s="1"/>
  <c r="BF60" i="31" a="1"/>
  <c r="BF60" i="31" s="1"/>
  <c r="BF61" i="31" a="1"/>
  <c r="BF61" i="31" s="1"/>
  <c r="BF111" i="31" a="1"/>
  <c r="BF111" i="31" s="1"/>
  <c r="BF162" i="31" a="1"/>
  <c r="BF162" i="31" s="1"/>
  <c r="BF163" i="31" a="1"/>
  <c r="BF163" i="31" s="1"/>
  <c r="BF214" i="31" a="1"/>
  <c r="BF214" i="31" s="1"/>
  <c r="BF213" i="31" a="1"/>
  <c r="BF213" i="31" s="1"/>
  <c r="BD163" i="31" a="1"/>
  <c r="BD163" i="31" s="1"/>
  <c r="BF264" i="31" a="1"/>
  <c r="BF264" i="31" s="1"/>
  <c r="BE163" i="31" a="1"/>
  <c r="BE163" i="31" s="1"/>
  <c r="BD214" i="31" a="1"/>
  <c r="BD214" i="31" s="1"/>
  <c r="BE214" i="31" a="1"/>
  <c r="BE214" i="31" s="1"/>
  <c r="BE61" i="31" a="1"/>
  <c r="BE61" i="31" s="1"/>
  <c r="BE112" i="31" a="1"/>
  <c r="BE112" i="31" s="1"/>
  <c r="BC214" i="31" a="1"/>
  <c r="BC214" i="31" s="1"/>
  <c r="BD112" i="31" a="1"/>
  <c r="BD112" i="31" s="1"/>
  <c r="AH61" i="31" a="1"/>
  <c r="AH61" i="31" s="1"/>
  <c r="AI61" i="31" a="1"/>
  <c r="AI61" i="31" s="1"/>
  <c r="AJ61" i="31" a="1"/>
  <c r="AJ61" i="31" s="1"/>
  <c r="AK61" i="31" a="1"/>
  <c r="AK61" i="31" s="1"/>
  <c r="AL61" i="31" a="1"/>
  <c r="AL61" i="31" s="1"/>
  <c r="AM61" i="31" a="1"/>
  <c r="AM61" i="31" s="1"/>
  <c r="AN61" i="31" a="1"/>
  <c r="AN61" i="31" s="1"/>
  <c r="AO61" i="31" a="1"/>
  <c r="AO61" i="31" s="1"/>
  <c r="AP61" i="31" a="1"/>
  <c r="AP61" i="31" s="1"/>
  <c r="AQ61" i="31" a="1"/>
  <c r="AQ61" i="31" s="1"/>
  <c r="AR61" i="31" a="1"/>
  <c r="AR61" i="31" s="1"/>
  <c r="AS61" i="31" a="1"/>
  <c r="AS61" i="31" s="1"/>
  <c r="AT61" i="31" a="1"/>
  <c r="AT61" i="31" s="1"/>
  <c r="AU61" i="31" a="1"/>
  <c r="AU61" i="31" s="1"/>
  <c r="AV61" i="31" a="1"/>
  <c r="AV61" i="31" s="1"/>
  <c r="AW61" i="31" a="1"/>
  <c r="AW61" i="31" s="1"/>
  <c r="AX61" i="31" a="1"/>
  <c r="AX61" i="31" s="1"/>
  <c r="AY61" i="31" a="1"/>
  <c r="AY61" i="31" s="1"/>
  <c r="AZ61" i="31" a="1"/>
  <c r="AZ61" i="31" s="1"/>
  <c r="BA61" i="31" a="1"/>
  <c r="BA61" i="31" s="1"/>
  <c r="BB61" i="31" a="1"/>
  <c r="BB61" i="31" s="1"/>
  <c r="BC61" i="31" a="1"/>
  <c r="BC61" i="31" s="1"/>
  <c r="BC163" i="31" a="1"/>
  <c r="BC163" i="31" s="1"/>
  <c r="BD61" i="31" a="1"/>
  <c r="BD61" i="31" s="1"/>
  <c r="BB112" i="31" a="1"/>
  <c r="BB112" i="31" s="1"/>
  <c r="BE265" i="31" a="1"/>
  <c r="BE265" i="31" s="1"/>
  <c r="AX265" i="31" a="1"/>
  <c r="AX265" i="31" s="1"/>
  <c r="AU265" i="31" a="1"/>
  <c r="AU265" i="31" s="1"/>
  <c r="AO265" i="31" a="1"/>
  <c r="AO265" i="31" s="1"/>
  <c r="AH265" i="31" a="1"/>
  <c r="AH265" i="31" s="1"/>
  <c r="BF265" i="31" a="1"/>
  <c r="BF265" i="31" s="1"/>
  <c r="AZ265" i="31" a="1"/>
  <c r="AZ265" i="31" s="1"/>
  <c r="AM265" i="31" a="1"/>
  <c r="AM265" i="31" s="1"/>
  <c r="BD265" i="31" a="1"/>
  <c r="BD265" i="31" s="1"/>
  <c r="AT265" i="31" a="1"/>
  <c r="AT265" i="31" s="1"/>
  <c r="BC265" i="31" a="1"/>
  <c r="BC265" i="31" s="1"/>
  <c r="AS265" i="31" a="1"/>
  <c r="AS265" i="31" s="1"/>
  <c r="AK265" i="31" a="1"/>
  <c r="AK265" i="31" s="1"/>
  <c r="BB265" i="31" a="1"/>
  <c r="BB265" i="31" s="1"/>
  <c r="AR265" i="31" a="1"/>
  <c r="AR265" i="31" s="1"/>
  <c r="AJ265" i="31" a="1"/>
  <c r="AJ265" i="31" s="1"/>
  <c r="BA265" i="31" a="1"/>
  <c r="BA265" i="31" s="1"/>
  <c r="AQ265" i="31" a="1"/>
  <c r="AQ265" i="31" s="1"/>
  <c r="AI265" i="31" a="1"/>
  <c r="AI265" i="31" s="1"/>
  <c r="AY265" i="31" a="1"/>
  <c r="AY265" i="31" s="1"/>
  <c r="AP265" i="31" a="1"/>
  <c r="AP265" i="31" s="1"/>
  <c r="AW265" i="31" a="1"/>
  <c r="AW265" i="31" s="1"/>
  <c r="AV265" i="31" a="1"/>
  <c r="AV265" i="31" s="1"/>
  <c r="AN265" i="31" a="1"/>
  <c r="AN265" i="31" s="1"/>
  <c r="AL265" i="31" a="1"/>
  <c r="AL265" i="31" s="1"/>
  <c r="C266" i="31"/>
  <c r="C62" i="31"/>
  <c r="BF62" i="31" s="1" a="1"/>
  <c r="BF62" i="31" s="1"/>
  <c r="AC5" i="31"/>
  <c r="BG6" i="31"/>
  <c r="BG4" i="31"/>
  <c r="BG7" i="31"/>
  <c r="BH5" i="31"/>
  <c r="BG8" i="31"/>
  <c r="AB8" i="31"/>
  <c r="D58" i="30"/>
  <c r="BD8" i="30"/>
  <c r="BE5" i="30"/>
  <c r="BD7" i="30"/>
  <c r="BD4" i="30"/>
  <c r="BD6" i="30"/>
  <c r="AA4" i="30"/>
  <c r="Z7" i="30"/>
  <c r="Z6" i="30"/>
  <c r="BE215" i="31" l="1" a="1"/>
  <c r="BE215" i="31" s="1"/>
  <c r="BO96" i="8"/>
  <c r="BN99" i="8"/>
  <c r="BN95" i="8"/>
  <c r="BN98" i="8"/>
  <c r="BN97" i="8"/>
  <c r="BF113" i="31" a="1"/>
  <c r="BF113" i="31" s="1"/>
  <c r="AH62" i="31" a="1"/>
  <c r="AH62" i="31" s="1"/>
  <c r="AI62" i="31" a="1"/>
  <c r="AI62" i="31" s="1"/>
  <c r="AJ62" i="31" a="1"/>
  <c r="AJ62" i="31" s="1"/>
  <c r="AK62" i="31" a="1"/>
  <c r="AK62" i="31" s="1"/>
  <c r="AL62" i="31" a="1"/>
  <c r="AL62" i="31" s="1"/>
  <c r="AM62" i="31" a="1"/>
  <c r="AM62" i="31" s="1"/>
  <c r="AN62" i="31" a="1"/>
  <c r="AN62" i="31" s="1"/>
  <c r="AO62" i="31" a="1"/>
  <c r="AO62" i="31" s="1"/>
  <c r="AP62" i="31" a="1"/>
  <c r="AP62" i="31" s="1"/>
  <c r="AQ62" i="31" a="1"/>
  <c r="AQ62" i="31" s="1"/>
  <c r="AR62" i="31" a="1"/>
  <c r="AR62" i="31" s="1"/>
  <c r="AS62" i="31" a="1"/>
  <c r="AS62" i="31" s="1"/>
  <c r="AT62" i="31" a="1"/>
  <c r="AT62" i="31" s="1"/>
  <c r="AU62" i="31" a="1"/>
  <c r="AU62" i="31" s="1"/>
  <c r="AV62" i="31" a="1"/>
  <c r="AV62" i="31" s="1"/>
  <c r="AW62" i="31" a="1"/>
  <c r="AW62" i="31" s="1"/>
  <c r="AX62" i="31" a="1"/>
  <c r="AX62" i="31" s="1"/>
  <c r="AY62" i="31" a="1"/>
  <c r="AY62" i="31" s="1"/>
  <c r="AZ62" i="31" a="1"/>
  <c r="AZ62" i="31" s="1"/>
  <c r="BA62" i="31" a="1"/>
  <c r="BA62" i="31" s="1"/>
  <c r="BB62" i="31" a="1"/>
  <c r="BB62" i="31" s="1"/>
  <c r="BC62" i="31" a="1"/>
  <c r="BC62" i="31" s="1"/>
  <c r="BD62" i="31" a="1"/>
  <c r="BD62" i="31" s="1"/>
  <c r="BE62" i="31" a="1"/>
  <c r="BE62" i="31" s="1"/>
  <c r="BG112" i="31" a="1"/>
  <c r="BG112" i="31" s="1"/>
  <c r="BG113" i="31" a="1"/>
  <c r="BG113" i="31" s="1"/>
  <c r="BG61" i="31" a="1"/>
  <c r="BG61" i="31" s="1"/>
  <c r="BG62" i="31" a="1"/>
  <c r="BG62" i="31" s="1"/>
  <c r="BG163" i="31" a="1"/>
  <c r="BG163" i="31" s="1"/>
  <c r="BG164" i="31" a="1"/>
  <c r="BG164" i="31" s="1"/>
  <c r="BG215" i="31" a="1"/>
  <c r="BG215" i="31" s="1"/>
  <c r="BG214" i="31" a="1"/>
  <c r="BG214" i="31" s="1"/>
  <c r="BF215" i="31" a="1"/>
  <c r="BF215" i="31" s="1"/>
  <c r="BG265" i="31" a="1"/>
  <c r="BG265" i="31" s="1"/>
  <c r="BE113" i="31" a="1"/>
  <c r="BE113" i="31" s="1"/>
  <c r="BC164" i="31" a="1"/>
  <c r="BC164" i="31" s="1"/>
  <c r="BD164" i="31" a="1"/>
  <c r="BD164" i="31" s="1"/>
  <c r="BE164" i="31" a="1"/>
  <c r="BE164" i="31" s="1"/>
  <c r="BF164" i="31" a="1"/>
  <c r="BF164" i="31" s="1"/>
  <c r="BD215" i="31" a="1"/>
  <c r="BD215" i="31" s="1"/>
  <c r="BD113" i="31" a="1"/>
  <c r="BD113" i="31" s="1"/>
  <c r="BE266" i="31" a="1"/>
  <c r="BE266" i="31" s="1"/>
  <c r="AY266" i="31" a="1"/>
  <c r="AY266" i="31" s="1"/>
  <c r="AN266" i="31" a="1"/>
  <c r="AN266" i="31" s="1"/>
  <c r="AI266" i="31" a="1"/>
  <c r="AI266" i="31" s="1"/>
  <c r="BD266" i="31" a="1"/>
  <c r="BD266" i="31" s="1"/>
  <c r="AX266" i="31" a="1"/>
  <c r="AX266" i="31" s="1"/>
  <c r="AS266" i="31" a="1"/>
  <c r="AS266" i="31" s="1"/>
  <c r="AH266" i="31" a="1"/>
  <c r="AH266" i="31" s="1"/>
  <c r="BB266" i="31" a="1"/>
  <c r="BB266" i="31" s="1"/>
  <c r="AV266" i="31" a="1"/>
  <c r="AV266" i="31" s="1"/>
  <c r="AQ266" i="31" a="1"/>
  <c r="AQ266" i="31" s="1"/>
  <c r="AK266" i="31" a="1"/>
  <c r="AK266" i="31" s="1"/>
  <c r="BF266" i="31" a="1"/>
  <c r="BF266" i="31" s="1"/>
  <c r="BA266" i="31" a="1"/>
  <c r="BA266" i="31" s="1"/>
  <c r="AU266" i="31" a="1"/>
  <c r="AU266" i="31" s="1"/>
  <c r="AJ266" i="31" a="1"/>
  <c r="AJ266" i="31" s="1"/>
  <c r="AW266" i="31" a="1"/>
  <c r="AW266" i="31" s="1"/>
  <c r="AM266" i="31" a="1"/>
  <c r="AM266" i="31" s="1"/>
  <c r="AL266" i="31" a="1"/>
  <c r="AL266" i="31" s="1"/>
  <c r="BG266" i="31" a="1"/>
  <c r="BG266" i="31" s="1"/>
  <c r="AT266" i="31" a="1"/>
  <c r="AT266" i="31" s="1"/>
  <c r="BC266" i="31" a="1"/>
  <c r="BC266" i="31" s="1"/>
  <c r="AR266" i="31" a="1"/>
  <c r="AR266" i="31" s="1"/>
  <c r="AP266" i="31" a="1"/>
  <c r="AP266" i="31" s="1"/>
  <c r="AZ266" i="31" a="1"/>
  <c r="AZ266" i="31" s="1"/>
  <c r="AO266" i="31" a="1"/>
  <c r="AO266" i="31" s="1"/>
  <c r="C267" i="31"/>
  <c r="C63" i="31"/>
  <c r="BD216" i="31" s="1" a="1"/>
  <c r="BD216" i="31" s="1"/>
  <c r="AC6" i="31"/>
  <c r="AC7" i="31"/>
  <c r="AD4" i="31"/>
  <c r="BH6" i="31"/>
  <c r="BH4" i="31"/>
  <c r="BH7" i="31"/>
  <c r="BI5" i="31"/>
  <c r="BH8" i="31"/>
  <c r="Z8" i="30"/>
  <c r="D59" i="30"/>
  <c r="AA5" i="30"/>
  <c r="BE7" i="30"/>
  <c r="BE4" i="30"/>
  <c r="BF5" i="30"/>
  <c r="BE6" i="30"/>
  <c r="BE8" i="30"/>
  <c r="BP96" i="8" l="1"/>
  <c r="BO99" i="8"/>
  <c r="BO95" i="8"/>
  <c r="BO97" i="8"/>
  <c r="BO98" i="8"/>
  <c r="AH63" i="31" a="1"/>
  <c r="AH63" i="31" s="1"/>
  <c r="AI63" i="31" a="1"/>
  <c r="AI63" i="31" s="1"/>
  <c r="AJ63" i="31" a="1"/>
  <c r="AJ63" i="31" s="1"/>
  <c r="AK63" i="31" a="1"/>
  <c r="AK63" i="31" s="1"/>
  <c r="AL63" i="31" a="1"/>
  <c r="AL63" i="31" s="1"/>
  <c r="AM63" i="31" a="1"/>
  <c r="AM63" i="31" s="1"/>
  <c r="AN63" i="31" a="1"/>
  <c r="AN63" i="31" s="1"/>
  <c r="AO63" i="31" a="1"/>
  <c r="AO63" i="31" s="1"/>
  <c r="AP63" i="31" a="1"/>
  <c r="AP63" i="31" s="1"/>
  <c r="AQ63" i="31" a="1"/>
  <c r="AQ63" i="31" s="1"/>
  <c r="AR63" i="31" a="1"/>
  <c r="AR63" i="31" s="1"/>
  <c r="AS63" i="31" a="1"/>
  <c r="AS63" i="31" s="1"/>
  <c r="AT63" i="31" a="1"/>
  <c r="AT63" i="31" s="1"/>
  <c r="AU63" i="31" a="1"/>
  <c r="AU63" i="31" s="1"/>
  <c r="AV63" i="31" a="1"/>
  <c r="AV63" i="31" s="1"/>
  <c r="AW63" i="31" a="1"/>
  <c r="AW63" i="31" s="1"/>
  <c r="AX63" i="31" a="1"/>
  <c r="AX63" i="31" s="1"/>
  <c r="AY63" i="31" a="1"/>
  <c r="AY63" i="31" s="1"/>
  <c r="AZ63" i="31" a="1"/>
  <c r="AZ63" i="31" s="1"/>
  <c r="BA63" i="31" a="1"/>
  <c r="BA63" i="31" s="1"/>
  <c r="BB63" i="31" a="1"/>
  <c r="BB63" i="31" s="1"/>
  <c r="BC63" i="31" a="1"/>
  <c r="BC63" i="31" s="1"/>
  <c r="BD63" i="31" a="1"/>
  <c r="BD63" i="31" s="1"/>
  <c r="BE63" i="31" a="1"/>
  <c r="BE63" i="31" s="1"/>
  <c r="BF63" i="31" a="1"/>
  <c r="BF63" i="31" s="1"/>
  <c r="BE165" i="31" a="1"/>
  <c r="BE165" i="31" s="1"/>
  <c r="BF216" i="31" a="1"/>
  <c r="BF216" i="31" s="1"/>
  <c r="BE114" i="31" a="1"/>
  <c r="BE114" i="31" s="1"/>
  <c r="BF114" i="31" a="1"/>
  <c r="BF114" i="31" s="1"/>
  <c r="BG63" i="31" a="1"/>
  <c r="BG63" i="31" s="1"/>
  <c r="BG165" i="31" a="1"/>
  <c r="BG165" i="31" s="1"/>
  <c r="BH113" i="31" a="1"/>
  <c r="BH113" i="31" s="1"/>
  <c r="BH114" i="31" a="1"/>
  <c r="BH114" i="31" s="1"/>
  <c r="BH62" i="31" a="1"/>
  <c r="BH62" i="31" s="1"/>
  <c r="BH63" i="31" a="1"/>
  <c r="BH63" i="31" s="1"/>
  <c r="BH165" i="31" a="1"/>
  <c r="BH165" i="31" s="1"/>
  <c r="BH164" i="31" a="1"/>
  <c r="BH164" i="31" s="1"/>
  <c r="BH215" i="31" a="1"/>
  <c r="BH215" i="31" s="1"/>
  <c r="BH216" i="31" a="1"/>
  <c r="BH216" i="31" s="1"/>
  <c r="BH266" i="31" a="1"/>
  <c r="BH266" i="31" s="1"/>
  <c r="BG216" i="31" a="1"/>
  <c r="BG216" i="31" s="1"/>
  <c r="BG114" i="31" a="1"/>
  <c r="BG114" i="31" s="1"/>
  <c r="BF165" i="31" a="1"/>
  <c r="BF165" i="31" s="1"/>
  <c r="BD165" i="31" a="1"/>
  <c r="BD165" i="31" s="1"/>
  <c r="BE216" i="31" a="1"/>
  <c r="BE216" i="31" s="1"/>
  <c r="AZ267" i="31" a="1"/>
  <c r="AZ267" i="31" s="1"/>
  <c r="AT267" i="31" a="1"/>
  <c r="AT267" i="31" s="1"/>
  <c r="BE267" i="31" a="1"/>
  <c r="BE267" i="31" s="1"/>
  <c r="AS267" i="31" a="1"/>
  <c r="AS267" i="31" s="1"/>
  <c r="AN267" i="31" a="1"/>
  <c r="AN267" i="31" s="1"/>
  <c r="AI267" i="31" a="1"/>
  <c r="AI267" i="31" s="1"/>
  <c r="AX267" i="31" a="1"/>
  <c r="AX267" i="31" s="1"/>
  <c r="AM267" i="31" a="1"/>
  <c r="AM267" i="31" s="1"/>
  <c r="BC267" i="31" a="1"/>
  <c r="BC267" i="31" s="1"/>
  <c r="AW267" i="31" a="1"/>
  <c r="AW267" i="31" s="1"/>
  <c r="AQ267" i="31" a="1"/>
  <c r="AQ267" i="31" s="1"/>
  <c r="AL267" i="31" a="1"/>
  <c r="AL267" i="31" s="1"/>
  <c r="BG267" i="31" a="1"/>
  <c r="BG267" i="31" s="1"/>
  <c r="BA267" i="31" a="1"/>
  <c r="BA267" i="31" s="1"/>
  <c r="AV267" i="31" a="1"/>
  <c r="AV267" i="31" s="1"/>
  <c r="AK267" i="31" a="1"/>
  <c r="AK267" i="31" s="1"/>
  <c r="BD267" i="31" a="1"/>
  <c r="BD267" i="31" s="1"/>
  <c r="AO267" i="31" a="1"/>
  <c r="AO267" i="31" s="1"/>
  <c r="BB267" i="31" a="1"/>
  <c r="BB267" i="31" s="1"/>
  <c r="AY267" i="31" a="1"/>
  <c r="AY267" i="31" s="1"/>
  <c r="AJ267" i="31" a="1"/>
  <c r="AJ267" i="31" s="1"/>
  <c r="AH267" i="31" a="1"/>
  <c r="AH267" i="31" s="1"/>
  <c r="AU267" i="31" a="1"/>
  <c r="AU267" i="31" s="1"/>
  <c r="BH267" i="31" a="1"/>
  <c r="BH267" i="31" s="1"/>
  <c r="AR267" i="31" a="1"/>
  <c r="AR267" i="31" s="1"/>
  <c r="BF267" i="31" a="1"/>
  <c r="BF267" i="31" s="1"/>
  <c r="AP267" i="31" a="1"/>
  <c r="AP267" i="31" s="1"/>
  <c r="C268" i="31"/>
  <c r="C64" i="31"/>
  <c r="AC8" i="31"/>
  <c r="BJ5" i="31"/>
  <c r="BI6" i="31"/>
  <c r="BI4" i="31"/>
  <c r="BI7" i="31"/>
  <c r="BI8" i="31"/>
  <c r="AD5" i="31"/>
  <c r="D60" i="30"/>
  <c r="AB4" i="30"/>
  <c r="AA7" i="30"/>
  <c r="AA6" i="30"/>
  <c r="BF7" i="30"/>
  <c r="BF4" i="30"/>
  <c r="BF6" i="30"/>
  <c r="BG5" i="30"/>
  <c r="BF8" i="30"/>
  <c r="BQ96" i="8" l="1"/>
  <c r="BP99" i="8"/>
  <c r="BP97" i="8"/>
  <c r="BP95" i="8"/>
  <c r="BP98" i="8"/>
  <c r="BF166" i="31" a="1"/>
  <c r="BF166" i="31" s="1"/>
  <c r="BG115" i="31" a="1"/>
  <c r="BG115" i="31" s="1"/>
  <c r="BF217" i="31" a="1"/>
  <c r="BF217" i="31" s="1"/>
  <c r="BF115" i="31" a="1"/>
  <c r="BF115" i="31" s="1"/>
  <c r="BH64" i="31" a="1"/>
  <c r="BH64" i="31" s="1"/>
  <c r="BH115" i="31" a="1"/>
  <c r="BH115" i="31" s="1"/>
  <c r="AH64" i="31" a="1"/>
  <c r="AH64" i="31" s="1"/>
  <c r="AI64" i="31" a="1"/>
  <c r="AI64" i="31" s="1"/>
  <c r="AJ64" i="31" a="1"/>
  <c r="AJ64" i="31" s="1"/>
  <c r="AK64" i="31" a="1"/>
  <c r="AK64" i="31" s="1"/>
  <c r="AL64" i="31" a="1"/>
  <c r="AL64" i="31" s="1"/>
  <c r="AM64" i="31" a="1"/>
  <c r="AM64" i="31" s="1"/>
  <c r="AN64" i="31" a="1"/>
  <c r="AN64" i="31" s="1"/>
  <c r="AO64" i="31" a="1"/>
  <c r="AO64" i="31" s="1"/>
  <c r="AP64" i="31" a="1"/>
  <c r="AP64" i="31" s="1"/>
  <c r="AQ64" i="31" a="1"/>
  <c r="AQ64" i="31" s="1"/>
  <c r="AR64" i="31" a="1"/>
  <c r="AR64" i="31" s="1"/>
  <c r="AS64" i="31" a="1"/>
  <c r="AS64" i="31" s="1"/>
  <c r="AT64" i="31" a="1"/>
  <c r="AT64" i="31" s="1"/>
  <c r="AU64" i="31" a="1"/>
  <c r="AU64" i="31" s="1"/>
  <c r="AV64" i="31" a="1"/>
  <c r="AV64" i="31" s="1"/>
  <c r="AW64" i="31" a="1"/>
  <c r="AW64" i="31" s="1"/>
  <c r="AX64" i="31" a="1"/>
  <c r="AX64" i="31" s="1"/>
  <c r="AY64" i="31" a="1"/>
  <c r="AY64" i="31" s="1"/>
  <c r="AZ64" i="31" a="1"/>
  <c r="AZ64" i="31" s="1"/>
  <c r="BA64" i="31" a="1"/>
  <c r="BA64" i="31" s="1"/>
  <c r="BB64" i="31" a="1"/>
  <c r="BB64" i="31" s="1"/>
  <c r="BC64" i="31" a="1"/>
  <c r="BC64" i="31" s="1"/>
  <c r="BD64" i="31" a="1"/>
  <c r="BD64" i="31" s="1"/>
  <c r="BE64" i="31" a="1"/>
  <c r="BE64" i="31" s="1"/>
  <c r="BF64" i="31" a="1"/>
  <c r="BF64" i="31" s="1"/>
  <c r="BG64" i="31" a="1"/>
  <c r="BG64" i="31" s="1"/>
  <c r="BI114" i="31" a="1"/>
  <c r="BI114" i="31" s="1"/>
  <c r="BI115" i="31" a="1"/>
  <c r="BI115" i="31" s="1"/>
  <c r="BI64" i="31" a="1"/>
  <c r="BI64" i="31" s="1"/>
  <c r="BI63" i="31" a="1"/>
  <c r="BI63" i="31" s="1"/>
  <c r="BI166" i="31" a="1"/>
  <c r="BI166" i="31" s="1"/>
  <c r="BI165" i="31" a="1"/>
  <c r="BI165" i="31" s="1"/>
  <c r="BI216" i="31" a="1"/>
  <c r="BI216" i="31" s="1"/>
  <c r="BI217" i="31" a="1"/>
  <c r="BI217" i="31" s="1"/>
  <c r="BI267" i="31" a="1"/>
  <c r="BI267" i="31" s="1"/>
  <c r="BG166" i="31" a="1"/>
  <c r="BG166" i="31" s="1"/>
  <c r="BG217" i="31" a="1"/>
  <c r="BG217" i="31" s="1"/>
  <c r="BH217" i="31" a="1"/>
  <c r="BH217" i="31" s="1"/>
  <c r="BH166" i="31" a="1"/>
  <c r="BH166" i="31" s="1"/>
  <c r="BA268" i="31" a="1"/>
  <c r="BA268" i="31" s="1"/>
  <c r="AU268" i="31" a="1"/>
  <c r="AU268" i="31" s="1"/>
  <c r="AJ268" i="31" a="1"/>
  <c r="AJ268" i="31" s="1"/>
  <c r="BE268" i="31" a="1"/>
  <c r="BE268" i="31" s="1"/>
  <c r="AZ268" i="31" a="1"/>
  <c r="AZ268" i="31" s="1"/>
  <c r="AT268" i="31" a="1"/>
  <c r="AT268" i="31" s="1"/>
  <c r="AO268" i="31" a="1"/>
  <c r="AO268" i="31" s="1"/>
  <c r="BD268" i="31" a="1"/>
  <c r="BD268" i="31" s="1"/>
  <c r="AY268" i="31" a="1"/>
  <c r="AY268" i="31" s="1"/>
  <c r="AS268" i="31" a="1"/>
  <c r="AS268" i="31" s="1"/>
  <c r="AH268" i="31" a="1"/>
  <c r="AH268" i="31" s="1"/>
  <c r="BH268" i="31" a="1"/>
  <c r="BH268" i="31" s="1"/>
  <c r="AX268" i="31" a="1"/>
  <c r="AX268" i="31" s="1"/>
  <c r="AM268" i="31" a="1"/>
  <c r="AM268" i="31" s="1"/>
  <c r="BC268" i="31" a="1"/>
  <c r="BC268" i="31" s="1"/>
  <c r="AW268" i="31" a="1"/>
  <c r="AW268" i="31" s="1"/>
  <c r="AR268" i="31" a="1"/>
  <c r="AR268" i="31" s="1"/>
  <c r="AL268" i="31" a="1"/>
  <c r="AL268" i="31" s="1"/>
  <c r="BG268" i="31" a="1"/>
  <c r="BG268" i="31" s="1"/>
  <c r="BB268" i="31" a="1"/>
  <c r="BB268" i="31" s="1"/>
  <c r="AQ268" i="31" a="1"/>
  <c r="AQ268" i="31" s="1"/>
  <c r="AK268" i="31" a="1"/>
  <c r="AK268" i="31" s="1"/>
  <c r="BF268" i="31" a="1"/>
  <c r="BF268" i="31" s="1"/>
  <c r="AI268" i="31" a="1"/>
  <c r="AI268" i="31" s="1"/>
  <c r="AV268" i="31" a="1"/>
  <c r="AV268" i="31" s="1"/>
  <c r="AP268" i="31" a="1"/>
  <c r="AP268" i="31" s="1"/>
  <c r="BI268" i="31" a="1"/>
  <c r="BI268" i="31" s="1"/>
  <c r="AN268" i="31" a="1"/>
  <c r="AN268" i="31" s="1"/>
  <c r="C269" i="31"/>
  <c r="C65" i="31"/>
  <c r="BG218" i="31" s="1" a="1"/>
  <c r="BG218" i="31" s="1"/>
  <c r="AD6" i="31"/>
  <c r="AD7" i="31"/>
  <c r="AE4" i="31"/>
  <c r="BK5" i="31"/>
  <c r="BJ6" i="31"/>
  <c r="BJ4" i="31"/>
  <c r="BJ7" i="31"/>
  <c r="BJ8" i="31"/>
  <c r="BJ268" i="31" s="1" a="1"/>
  <c r="BJ268" i="31" s="1"/>
  <c r="AA8" i="30"/>
  <c r="AB5" i="30"/>
  <c r="D61" i="30"/>
  <c r="BH5" i="30"/>
  <c r="BG7" i="30"/>
  <c r="BG4" i="30"/>
  <c r="BG6" i="30"/>
  <c r="BG8" i="30"/>
  <c r="BQ99" i="8" l="1"/>
  <c r="BQ95" i="8"/>
  <c r="BQ97" i="8"/>
  <c r="BQ98" i="8"/>
  <c r="BR96" i="8"/>
  <c r="BH116" i="31" a="1"/>
  <c r="BH116" i="31" s="1"/>
  <c r="BH218" i="31" a="1"/>
  <c r="BH218" i="31" s="1"/>
  <c r="BI65" i="31" a="1"/>
  <c r="BI65" i="31" s="1"/>
  <c r="BI116" i="31" a="1"/>
  <c r="BI116" i="31" s="1"/>
  <c r="BF218" i="31" a="1"/>
  <c r="BF218" i="31" s="1"/>
  <c r="BJ115" i="31" a="1"/>
  <c r="BJ115" i="31" s="1"/>
  <c r="BJ116" i="31" a="1"/>
  <c r="BJ116" i="31" s="1"/>
  <c r="BJ64" i="31" a="1"/>
  <c r="BJ64" i="31" s="1"/>
  <c r="BJ65" i="31" a="1"/>
  <c r="BJ65" i="31" s="1"/>
  <c r="BJ167" i="31" a="1"/>
  <c r="BJ167" i="31" s="1"/>
  <c r="BJ166" i="31" a="1"/>
  <c r="BJ166" i="31" s="1"/>
  <c r="BJ218" i="31" a="1"/>
  <c r="BJ218" i="31" s="1"/>
  <c r="BJ217" i="31" a="1"/>
  <c r="BJ217" i="31" s="1"/>
  <c r="AH65" i="31" a="1"/>
  <c r="AH65" i="31" s="1"/>
  <c r="AI65" i="31" a="1"/>
  <c r="AI65" i="31" s="1"/>
  <c r="AJ65" i="31" a="1"/>
  <c r="AJ65" i="31" s="1"/>
  <c r="AK65" i="31" a="1"/>
  <c r="AK65" i="31" s="1"/>
  <c r="AL65" i="31" a="1"/>
  <c r="AL65" i="31" s="1"/>
  <c r="AM65" i="31" a="1"/>
  <c r="AM65" i="31" s="1"/>
  <c r="AN65" i="31" a="1"/>
  <c r="AN65" i="31" s="1"/>
  <c r="AO65" i="31" a="1"/>
  <c r="AO65" i="31" s="1"/>
  <c r="AP65" i="31" a="1"/>
  <c r="AP65" i="31" s="1"/>
  <c r="AQ65" i="31" a="1"/>
  <c r="AQ65" i="31" s="1"/>
  <c r="AR65" i="31" a="1"/>
  <c r="AR65" i="31" s="1"/>
  <c r="AS65" i="31" a="1"/>
  <c r="AS65" i="31" s="1"/>
  <c r="AT65" i="31" a="1"/>
  <c r="AT65" i="31" s="1"/>
  <c r="AU65" i="31" a="1"/>
  <c r="AU65" i="31" s="1"/>
  <c r="AV65" i="31" a="1"/>
  <c r="AV65" i="31" s="1"/>
  <c r="AW65" i="31" a="1"/>
  <c r="AW65" i="31" s="1"/>
  <c r="AX65" i="31" a="1"/>
  <c r="AX65" i="31" s="1"/>
  <c r="AY65" i="31" a="1"/>
  <c r="AY65" i="31" s="1"/>
  <c r="AZ65" i="31" a="1"/>
  <c r="AZ65" i="31" s="1"/>
  <c r="BA65" i="31" a="1"/>
  <c r="BA65" i="31" s="1"/>
  <c r="BB65" i="31" a="1"/>
  <c r="BB65" i="31" s="1"/>
  <c r="BC65" i="31" a="1"/>
  <c r="BC65" i="31" s="1"/>
  <c r="BD65" i="31" a="1"/>
  <c r="BD65" i="31" s="1"/>
  <c r="BE65" i="31" a="1"/>
  <c r="BE65" i="31" s="1"/>
  <c r="BF65" i="31" a="1"/>
  <c r="BF65" i="31" s="1"/>
  <c r="BG65" i="31" a="1"/>
  <c r="BG65" i="31" s="1"/>
  <c r="BG167" i="31" a="1"/>
  <c r="BG167" i="31" s="1"/>
  <c r="BH65" i="31" a="1"/>
  <c r="BH65" i="31" s="1"/>
  <c r="BI218" i="31" a="1"/>
  <c r="BI218" i="31" s="1"/>
  <c r="BI167" i="31" a="1"/>
  <c r="BI167" i="31" s="1"/>
  <c r="BG116" i="31" a="1"/>
  <c r="BG116" i="31" s="1"/>
  <c r="BH167" i="31" a="1"/>
  <c r="BH167" i="31" s="1"/>
  <c r="BC269" i="31" a="1"/>
  <c r="BC269" i="31" s="1"/>
  <c r="AX269" i="31" a="1"/>
  <c r="AX269" i="31" s="1"/>
  <c r="BI269" i="31" a="1"/>
  <c r="BI269" i="31" s="1"/>
  <c r="BB269" i="31" a="1"/>
  <c r="BB269" i="31" s="1"/>
  <c r="AW269" i="31" a="1"/>
  <c r="AW269" i="31" s="1"/>
  <c r="AQ269" i="31" a="1"/>
  <c r="AQ269" i="31" s="1"/>
  <c r="AK269" i="31" a="1"/>
  <c r="AK269" i="31" s="1"/>
  <c r="BH269" i="31" a="1"/>
  <c r="BH269" i="31" s="1"/>
  <c r="AP269" i="31" a="1"/>
  <c r="AP269" i="31" s="1"/>
  <c r="AJ269" i="31" a="1"/>
  <c r="AJ269" i="31" s="1"/>
  <c r="BF269" i="31" a="1"/>
  <c r="BF269" i="31" s="1"/>
  <c r="AU269" i="31" a="1"/>
  <c r="AU269" i="31" s="1"/>
  <c r="AO269" i="31" a="1"/>
  <c r="AO269" i="31" s="1"/>
  <c r="AH269" i="31" a="1"/>
  <c r="AH269" i="31" s="1"/>
  <c r="AZ269" i="31" a="1"/>
  <c r="AZ269" i="31" s="1"/>
  <c r="AT269" i="31" a="1"/>
  <c r="AT269" i="31" s="1"/>
  <c r="AN269" i="31" a="1"/>
  <c r="AN269" i="31" s="1"/>
  <c r="BE269" i="31" a="1"/>
  <c r="BE269" i="31" s="1"/>
  <c r="AS269" i="31" a="1"/>
  <c r="AS269" i="31" s="1"/>
  <c r="AM269" i="31" a="1"/>
  <c r="AM269" i="31" s="1"/>
  <c r="BJ269" i="31" a="1"/>
  <c r="BJ269" i="31" s="1"/>
  <c r="BD269" i="31" a="1"/>
  <c r="BD269" i="31" s="1"/>
  <c r="AY269" i="31" a="1"/>
  <c r="AY269" i="31" s="1"/>
  <c r="AR269" i="31" a="1"/>
  <c r="AR269" i="31" s="1"/>
  <c r="AL269" i="31" a="1"/>
  <c r="AL269" i="31" s="1"/>
  <c r="BA269" i="31" a="1"/>
  <c r="BA269" i="31" s="1"/>
  <c r="AV269" i="31" a="1"/>
  <c r="AV269" i="31" s="1"/>
  <c r="BG269" i="31" a="1"/>
  <c r="BG269" i="31" s="1"/>
  <c r="AI269" i="31" a="1"/>
  <c r="AI269" i="31" s="1"/>
  <c r="C270" i="31"/>
  <c r="C66" i="31"/>
  <c r="BF219" i="31" s="1" a="1"/>
  <c r="BF219" i="31" s="1"/>
  <c r="BK8" i="31"/>
  <c r="BK269" i="31" s="1" a="1"/>
  <c r="BK269" i="31" s="1"/>
  <c r="BL5" i="31"/>
  <c r="BK6" i="31"/>
  <c r="BK4" i="31"/>
  <c r="BK7" i="31"/>
  <c r="AE5" i="31"/>
  <c r="AD8" i="31"/>
  <c r="AC4" i="30"/>
  <c r="AB7" i="30"/>
  <c r="AB6" i="30"/>
  <c r="D62" i="30"/>
  <c r="BH7" i="30"/>
  <c r="BH4" i="30"/>
  <c r="BH6" i="30"/>
  <c r="BI5" i="30"/>
  <c r="BH8" i="30"/>
  <c r="BH168" i="31" l="1" a="1"/>
  <c r="BH168" i="31" s="1"/>
  <c r="BR97" i="8"/>
  <c r="BR98" i="8"/>
  <c r="BS96" i="8"/>
  <c r="BR99" i="8"/>
  <c r="BR95" i="8"/>
  <c r="BJ168" i="31" a="1"/>
  <c r="BJ168" i="31" s="1"/>
  <c r="BI168" i="31" a="1"/>
  <c r="BI168" i="31" s="1"/>
  <c r="BJ117" i="31" a="1"/>
  <c r="BJ117" i="31" s="1"/>
  <c r="BJ66" i="31" a="1"/>
  <c r="BJ66" i="31" s="1"/>
  <c r="BI219" i="31" a="1"/>
  <c r="BI219" i="31" s="1"/>
  <c r="BK117" i="31" a="1"/>
  <c r="BK117" i="31" s="1"/>
  <c r="BK116" i="31" a="1"/>
  <c r="BK116" i="31" s="1"/>
  <c r="BK66" i="31" a="1"/>
  <c r="BK66" i="31" s="1"/>
  <c r="BK65" i="31" a="1"/>
  <c r="BK65" i="31" s="1"/>
  <c r="BK167" i="31" a="1"/>
  <c r="BK167" i="31" s="1"/>
  <c r="BK168" i="31" a="1"/>
  <c r="BK168" i="31" s="1"/>
  <c r="BK219" i="31" a="1"/>
  <c r="BK219" i="31" s="1"/>
  <c r="BK218" i="31" a="1"/>
  <c r="BK218" i="31" s="1"/>
  <c r="AH66" i="31" a="1"/>
  <c r="AH66" i="31" s="1"/>
  <c r="AI66" i="31" a="1"/>
  <c r="AI66" i="31" s="1"/>
  <c r="AJ66" i="31" a="1"/>
  <c r="AJ66" i="31" s="1"/>
  <c r="AK66" i="31" a="1"/>
  <c r="AK66" i="31" s="1"/>
  <c r="AL66" i="31" a="1"/>
  <c r="AL66" i="31" s="1"/>
  <c r="AM66" i="31" a="1"/>
  <c r="AM66" i="31" s="1"/>
  <c r="AN66" i="31" a="1"/>
  <c r="AN66" i="31" s="1"/>
  <c r="AO66" i="31" a="1"/>
  <c r="AO66" i="31" s="1"/>
  <c r="AP66" i="31" a="1"/>
  <c r="AP66" i="31" s="1"/>
  <c r="AQ66" i="31" a="1"/>
  <c r="AQ66" i="31" s="1"/>
  <c r="AR66" i="31" a="1"/>
  <c r="AR66" i="31" s="1"/>
  <c r="AS66" i="31" a="1"/>
  <c r="AS66" i="31" s="1"/>
  <c r="AT66" i="31" a="1"/>
  <c r="AT66" i="31" s="1"/>
  <c r="AU66" i="31" a="1"/>
  <c r="AU66" i="31" s="1"/>
  <c r="AV66" i="31" a="1"/>
  <c r="AV66" i="31" s="1"/>
  <c r="AW66" i="31" a="1"/>
  <c r="AW66" i="31" s="1"/>
  <c r="AX66" i="31" a="1"/>
  <c r="AX66" i="31" s="1"/>
  <c r="AY66" i="31" a="1"/>
  <c r="AY66" i="31" s="1"/>
  <c r="AZ66" i="31" a="1"/>
  <c r="AZ66" i="31" s="1"/>
  <c r="BA66" i="31" a="1"/>
  <c r="BA66" i="31" s="1"/>
  <c r="BB66" i="31" a="1"/>
  <c r="BB66" i="31" s="1"/>
  <c r="BC66" i="31" a="1"/>
  <c r="BC66" i="31" s="1"/>
  <c r="BD66" i="31" a="1"/>
  <c r="BD66" i="31" s="1"/>
  <c r="BE66" i="31" a="1"/>
  <c r="BE66" i="31" s="1"/>
  <c r="BF66" i="31" a="1"/>
  <c r="BF66" i="31" s="1"/>
  <c r="BG66" i="31" a="1"/>
  <c r="BG66" i="31" s="1"/>
  <c r="BH66" i="31" a="1"/>
  <c r="BH66" i="31" s="1"/>
  <c r="BI66" i="31" a="1"/>
  <c r="BI66" i="31" s="1"/>
  <c r="BI117" i="31" a="1"/>
  <c r="BI117" i="31" s="1"/>
  <c r="BH117" i="31" a="1"/>
  <c r="BH117" i="31" s="1"/>
  <c r="BJ219" i="31" a="1"/>
  <c r="BJ219" i="31" s="1"/>
  <c r="BH219" i="31" a="1"/>
  <c r="BH219" i="31" s="1"/>
  <c r="BK270" i="31" a="1"/>
  <c r="BK270" i="31" s="1"/>
  <c r="AN270" i="31" a="1"/>
  <c r="AN270" i="31" s="1"/>
  <c r="AH270" i="31" a="1"/>
  <c r="AH270" i="31" s="1"/>
  <c r="BE270" i="31" a="1"/>
  <c r="BE270" i="31" s="1"/>
  <c r="AY270" i="31" a="1"/>
  <c r="AY270" i="31" s="1"/>
  <c r="AK270" i="31" a="1"/>
  <c r="AK270" i="31" s="1"/>
  <c r="BD270" i="31" a="1"/>
  <c r="BD270" i="31" s="1"/>
  <c r="AX270" i="31" a="1"/>
  <c r="AX270" i="31" s="1"/>
  <c r="AR270" i="31" a="1"/>
  <c r="AR270" i="31" s="1"/>
  <c r="BJ270" i="31" a="1"/>
  <c r="BJ270" i="31" s="1"/>
  <c r="AW270" i="31" a="1"/>
  <c r="AW270" i="31" s="1"/>
  <c r="BI270" i="31" a="1"/>
  <c r="BI270" i="31" s="1"/>
  <c r="BC270" i="31" a="1"/>
  <c r="BC270" i="31" s="1"/>
  <c r="AV270" i="31" a="1"/>
  <c r="AV270" i="31" s="1"/>
  <c r="AP270" i="31" a="1"/>
  <c r="AP270" i="31" s="1"/>
  <c r="BH270" i="31" a="1"/>
  <c r="BH270" i="31" s="1"/>
  <c r="BB270" i="31" a="1"/>
  <c r="BB270" i="31" s="1"/>
  <c r="AI270" i="31" a="1"/>
  <c r="AI270" i="31" s="1"/>
  <c r="AU270" i="31" a="1"/>
  <c r="AU270" i="31" s="1"/>
  <c r="AO270" i="31" a="1"/>
  <c r="AO270" i="31" s="1"/>
  <c r="BG270" i="31" a="1"/>
  <c r="BG270" i="31" s="1"/>
  <c r="BA270" i="31" a="1"/>
  <c r="BA270" i="31" s="1"/>
  <c r="AT270" i="31" a="1"/>
  <c r="AT270" i="31" s="1"/>
  <c r="AM270" i="31" a="1"/>
  <c r="AM270" i="31" s="1"/>
  <c r="BF270" i="31" a="1"/>
  <c r="BF270" i="31" s="1"/>
  <c r="AZ270" i="31" a="1"/>
  <c r="AZ270" i="31" s="1"/>
  <c r="AS270" i="31" a="1"/>
  <c r="AS270" i="31" s="1"/>
  <c r="AQ270" i="31" a="1"/>
  <c r="AQ270" i="31" s="1"/>
  <c r="AL270" i="31" a="1"/>
  <c r="AL270" i="31" s="1"/>
  <c r="AJ270" i="31" a="1"/>
  <c r="AJ270" i="31" s="1"/>
  <c r="C271" i="31"/>
  <c r="C67" i="31"/>
  <c r="BH118" i="31" s="1" a="1"/>
  <c r="BH118" i="31" s="1"/>
  <c r="AE6" i="31"/>
  <c r="AE7" i="31"/>
  <c r="BL8" i="31"/>
  <c r="BM5" i="31"/>
  <c r="BL6" i="31"/>
  <c r="BL4" i="31"/>
  <c r="BL7" i="31"/>
  <c r="AB8" i="30"/>
  <c r="AC5" i="30"/>
  <c r="BI7" i="30"/>
  <c r="BI4" i="30"/>
  <c r="BI6" i="30"/>
  <c r="BJ5" i="30"/>
  <c r="BI8" i="30"/>
  <c r="D63" i="30"/>
  <c r="BS97" i="8" l="1"/>
  <c r="BS98" i="8"/>
  <c r="BS95" i="8"/>
  <c r="BS99" i="8"/>
  <c r="BT96" i="8"/>
  <c r="BJ118" i="31" a="1"/>
  <c r="BJ118" i="31" s="1"/>
  <c r="BJ169" i="31" a="1"/>
  <c r="BJ169" i="31" s="1"/>
  <c r="BJ220" i="31" a="1"/>
  <c r="BJ220" i="31" s="1"/>
  <c r="BK169" i="31" a="1"/>
  <c r="BK169" i="31" s="1"/>
  <c r="BL118" i="31" a="1"/>
  <c r="BL118" i="31" s="1"/>
  <c r="BL117" i="31" a="1"/>
  <c r="BL117" i="31" s="1"/>
  <c r="BL66" i="31" a="1"/>
  <c r="BL66" i="31" s="1"/>
  <c r="BL67" i="31" a="1"/>
  <c r="BL67" i="31" s="1"/>
  <c r="BL169" i="31" a="1"/>
  <c r="BL169" i="31" s="1"/>
  <c r="BL168" i="31" a="1"/>
  <c r="BL168" i="31" s="1"/>
  <c r="BL219" i="31" a="1"/>
  <c r="BL219" i="31" s="1"/>
  <c r="BL220" i="31" a="1"/>
  <c r="BL220" i="31" s="1"/>
  <c r="BK118" i="31" a="1"/>
  <c r="BK118" i="31" s="1"/>
  <c r="BI169" i="31" a="1"/>
  <c r="BI169" i="31" s="1"/>
  <c r="AH67" i="31" a="1"/>
  <c r="AH67" i="31" s="1"/>
  <c r="AI67" i="31" a="1"/>
  <c r="AI67" i="31" s="1"/>
  <c r="AJ67" i="31" a="1"/>
  <c r="AJ67" i="31" s="1"/>
  <c r="AK67" i="31" a="1"/>
  <c r="AK67" i="31" s="1"/>
  <c r="AL67" i="31" a="1"/>
  <c r="AL67" i="31" s="1"/>
  <c r="AM67" i="31" a="1"/>
  <c r="AM67" i="31" s="1"/>
  <c r="AN67" i="31" a="1"/>
  <c r="AN67" i="31" s="1"/>
  <c r="AO67" i="31" a="1"/>
  <c r="AO67" i="31" s="1"/>
  <c r="AP67" i="31" a="1"/>
  <c r="AP67" i="31" s="1"/>
  <c r="AQ67" i="31" a="1"/>
  <c r="AQ67" i="31" s="1"/>
  <c r="AR67" i="31" a="1"/>
  <c r="AR67" i="31" s="1"/>
  <c r="AS67" i="31" a="1"/>
  <c r="AS67" i="31" s="1"/>
  <c r="AT67" i="31" a="1"/>
  <c r="AT67" i="31" s="1"/>
  <c r="AU67" i="31" a="1"/>
  <c r="AU67" i="31" s="1"/>
  <c r="AV67" i="31" a="1"/>
  <c r="AV67" i="31" s="1"/>
  <c r="AW67" i="31" a="1"/>
  <c r="AW67" i="31" s="1"/>
  <c r="AX67" i="31" a="1"/>
  <c r="AX67" i="31" s="1"/>
  <c r="AY67" i="31" a="1"/>
  <c r="AY67" i="31" s="1"/>
  <c r="AZ67" i="31" a="1"/>
  <c r="AZ67" i="31" s="1"/>
  <c r="BA67" i="31" a="1"/>
  <c r="BA67" i="31" s="1"/>
  <c r="BB67" i="31" a="1"/>
  <c r="BB67" i="31" s="1"/>
  <c r="BC67" i="31" a="1"/>
  <c r="BC67" i="31" s="1"/>
  <c r="BD67" i="31" a="1"/>
  <c r="BD67" i="31" s="1"/>
  <c r="BE67" i="31" a="1"/>
  <c r="BE67" i="31" s="1"/>
  <c r="BF67" i="31" a="1"/>
  <c r="BF67" i="31" s="1"/>
  <c r="BG67" i="31" a="1"/>
  <c r="BG67" i="31" s="1"/>
  <c r="BH67" i="31" a="1"/>
  <c r="BH67" i="31" s="1"/>
  <c r="BI67" i="31" a="1"/>
  <c r="BI67" i="31" s="1"/>
  <c r="BJ67" i="31" a="1"/>
  <c r="BJ67" i="31" s="1"/>
  <c r="BK67" i="31" a="1"/>
  <c r="BK67" i="31" s="1"/>
  <c r="BK220" i="31" a="1"/>
  <c r="BK220" i="31" s="1"/>
  <c r="BI118" i="31" a="1"/>
  <c r="BI118" i="31" s="1"/>
  <c r="BI220" i="31" a="1"/>
  <c r="BI220" i="31" s="1"/>
  <c r="BL270" i="31" a="1"/>
  <c r="BL270" i="31" s="1"/>
  <c r="BI271" i="31" a="1"/>
  <c r="BI271" i="31" s="1"/>
  <c r="BB271" i="31" a="1"/>
  <c r="BB271" i="31" s="1"/>
  <c r="BL271" i="31" a="1"/>
  <c r="BL271" i="31" s="1"/>
  <c r="BF271" i="31" a="1"/>
  <c r="BF271" i="31" s="1"/>
  <c r="AV271" i="31" a="1"/>
  <c r="AV271" i="31" s="1"/>
  <c r="AO271" i="31" a="1"/>
  <c r="AO271" i="31" s="1"/>
  <c r="AI271" i="31" a="1"/>
  <c r="AI271" i="31" s="1"/>
  <c r="BA271" i="31" a="1"/>
  <c r="BA271" i="31" s="1"/>
  <c r="AT271" i="31" a="1"/>
  <c r="AT271" i="31" s="1"/>
  <c r="AL271" i="31" a="1"/>
  <c r="AL271" i="31" s="1"/>
  <c r="BH271" i="31" a="1"/>
  <c r="BH271" i="31" s="1"/>
  <c r="AZ271" i="31" a="1"/>
  <c r="AZ271" i="31" s="1"/>
  <c r="AS271" i="31" a="1"/>
  <c r="AS271" i="31" s="1"/>
  <c r="AK271" i="31" a="1"/>
  <c r="AK271" i="31" s="1"/>
  <c r="BG271" i="31" a="1"/>
  <c r="BG271" i="31" s="1"/>
  <c r="AR271" i="31" a="1"/>
  <c r="AR271" i="31" s="1"/>
  <c r="AJ271" i="31" a="1"/>
  <c r="AJ271" i="31" s="1"/>
  <c r="AY271" i="31" a="1"/>
  <c r="AY271" i="31" s="1"/>
  <c r="AQ271" i="31" a="1"/>
  <c r="AQ271" i="31" s="1"/>
  <c r="AH271" i="31" a="1"/>
  <c r="AH271" i="31" s="1"/>
  <c r="BE271" i="31" a="1"/>
  <c r="BE271" i="31" s="1"/>
  <c r="AX271" i="31" a="1"/>
  <c r="AX271" i="31" s="1"/>
  <c r="AP271" i="31" a="1"/>
  <c r="AP271" i="31" s="1"/>
  <c r="BD271" i="31" a="1"/>
  <c r="BD271" i="31" s="1"/>
  <c r="AW271" i="31" a="1"/>
  <c r="AW271" i="31" s="1"/>
  <c r="AN271" i="31" a="1"/>
  <c r="AN271" i="31" s="1"/>
  <c r="BK271" i="31" a="1"/>
  <c r="BK271" i="31" s="1"/>
  <c r="BC271" i="31" a="1"/>
  <c r="BC271" i="31" s="1"/>
  <c r="BJ271" i="31" a="1"/>
  <c r="BJ271" i="31" s="1"/>
  <c r="AU271" i="31" a="1"/>
  <c r="AU271" i="31" s="1"/>
  <c r="AM271" i="31" a="1"/>
  <c r="AM271" i="31" s="1"/>
  <c r="C272" i="31"/>
  <c r="C68" i="31"/>
  <c r="BH221" i="31" s="1" a="1"/>
  <c r="BH221" i="31" s="1"/>
  <c r="BM8" i="31"/>
  <c r="BN5" i="31"/>
  <c r="BM6" i="31"/>
  <c r="BM4" i="31"/>
  <c r="BM7" i="31"/>
  <c r="AE8" i="31"/>
  <c r="AC7" i="30"/>
  <c r="AC6" i="30"/>
  <c r="BK5" i="30"/>
  <c r="BJ6" i="30"/>
  <c r="BJ8" i="30"/>
  <c r="BJ7" i="30"/>
  <c r="BJ4" i="30"/>
  <c r="D64" i="30"/>
  <c r="BT98" i="8" l="1"/>
  <c r="BU96" i="8"/>
  <c r="BT97" i="8"/>
  <c r="BT95" i="8"/>
  <c r="BT99" i="8"/>
  <c r="BM118" i="31" a="1"/>
  <c r="BM118" i="31" s="1"/>
  <c r="BM119" i="31" a="1"/>
  <c r="BM119" i="31" s="1"/>
  <c r="BM67" i="31" a="1"/>
  <c r="BM67" i="31" s="1"/>
  <c r="BM68" i="31" a="1"/>
  <c r="BM68" i="31" s="1"/>
  <c r="BM170" i="31" a="1"/>
  <c r="BM170" i="31" s="1"/>
  <c r="BM169" i="31" a="1"/>
  <c r="BM169" i="31" s="1"/>
  <c r="BM220" i="31" a="1"/>
  <c r="BM220" i="31" s="1"/>
  <c r="BM221" i="31" a="1"/>
  <c r="BM221" i="31" s="1"/>
  <c r="BJ119" i="31" a="1"/>
  <c r="BJ119" i="31" s="1"/>
  <c r="BL221" i="31" a="1"/>
  <c r="BL221" i="31" s="1"/>
  <c r="BI119" i="31" a="1"/>
  <c r="BI119" i="31" s="1"/>
  <c r="BJ221" i="31" a="1"/>
  <c r="BJ221" i="31" s="1"/>
  <c r="BJ170" i="31" a="1"/>
  <c r="BJ170" i="31" s="1"/>
  <c r="AH68" i="31" a="1"/>
  <c r="AH68" i="31" s="1"/>
  <c r="AI68" i="31" a="1"/>
  <c r="AI68" i="31" s="1"/>
  <c r="AJ68" i="31" a="1"/>
  <c r="AJ68" i="31" s="1"/>
  <c r="AK68" i="31" a="1"/>
  <c r="AK68" i="31" s="1"/>
  <c r="AL68" i="31" a="1"/>
  <c r="AL68" i="31" s="1"/>
  <c r="AM68" i="31" a="1"/>
  <c r="AM68" i="31" s="1"/>
  <c r="AN68" i="31" a="1"/>
  <c r="AN68" i="31" s="1"/>
  <c r="AO68" i="31" a="1"/>
  <c r="AO68" i="31" s="1"/>
  <c r="AP68" i="31" a="1"/>
  <c r="AP68" i="31" s="1"/>
  <c r="AQ68" i="31" a="1"/>
  <c r="AQ68" i="31" s="1"/>
  <c r="AR68" i="31" a="1"/>
  <c r="AR68" i="31" s="1"/>
  <c r="AS68" i="31" a="1"/>
  <c r="AS68" i="31" s="1"/>
  <c r="AT68" i="31" a="1"/>
  <c r="AT68" i="31" s="1"/>
  <c r="AU68" i="31" a="1"/>
  <c r="AU68" i="31" s="1"/>
  <c r="AV68" i="31" a="1"/>
  <c r="AV68" i="31" s="1"/>
  <c r="AW68" i="31" a="1"/>
  <c r="AW68" i="31" s="1"/>
  <c r="AX68" i="31" a="1"/>
  <c r="AX68" i="31" s="1"/>
  <c r="AY68" i="31" a="1"/>
  <c r="AY68" i="31" s="1"/>
  <c r="AZ68" i="31" a="1"/>
  <c r="AZ68" i="31" s="1"/>
  <c r="BA68" i="31" a="1"/>
  <c r="BA68" i="31" s="1"/>
  <c r="BB68" i="31" a="1"/>
  <c r="BB68" i="31" s="1"/>
  <c r="BC68" i="31" a="1"/>
  <c r="BC68" i="31" s="1"/>
  <c r="BD68" i="31" a="1"/>
  <c r="BD68" i="31" s="1"/>
  <c r="BE68" i="31" a="1"/>
  <c r="BE68" i="31" s="1"/>
  <c r="BF68" i="31" a="1"/>
  <c r="BF68" i="31" s="1"/>
  <c r="BG68" i="31" a="1"/>
  <c r="BG68" i="31" s="1"/>
  <c r="BH68" i="31" a="1"/>
  <c r="BH68" i="31" s="1"/>
  <c r="BI68" i="31" a="1"/>
  <c r="BI68" i="31" s="1"/>
  <c r="BJ68" i="31" a="1"/>
  <c r="BJ68" i="31" s="1"/>
  <c r="BK68" i="31" a="1"/>
  <c r="BK68" i="31" s="1"/>
  <c r="BI221" i="31" a="1"/>
  <c r="BI221" i="31" s="1"/>
  <c r="BK221" i="31" a="1"/>
  <c r="BK221" i="31" s="1"/>
  <c r="BM271" i="31" a="1"/>
  <c r="BM271" i="31" s="1"/>
  <c r="BK170" i="31" a="1"/>
  <c r="BK170" i="31" s="1"/>
  <c r="BL170" i="31" a="1"/>
  <c r="BL170" i="31" s="1"/>
  <c r="BL68" i="31" a="1"/>
  <c r="BL68" i="31" s="1"/>
  <c r="BL119" i="31" a="1"/>
  <c r="BL119" i="31" s="1"/>
  <c r="BK119" i="31" a="1"/>
  <c r="BK119" i="31" s="1"/>
  <c r="BI272" i="31" a="1"/>
  <c r="BI272" i="31" s="1"/>
  <c r="AP272" i="31" a="1"/>
  <c r="AP272" i="31" s="1"/>
  <c r="AK272" i="31" a="1"/>
  <c r="AK272" i="31" s="1"/>
  <c r="BC272" i="31" a="1"/>
  <c r="BC272" i="31" s="1"/>
  <c r="AV272" i="31" a="1"/>
  <c r="AV272" i="31" s="1"/>
  <c r="AJ272" i="31" a="1"/>
  <c r="AJ272" i="31" s="1"/>
  <c r="BF272" i="31" a="1"/>
  <c r="BF272" i="31" s="1"/>
  <c r="AZ272" i="31" a="1"/>
  <c r="AZ272" i="31" s="1"/>
  <c r="AT272" i="31" a="1"/>
  <c r="AT272" i="31" s="1"/>
  <c r="AH272" i="31" a="1"/>
  <c r="AH272" i="31" s="1"/>
  <c r="BJ272" i="31" a="1"/>
  <c r="BJ272" i="31" s="1"/>
  <c r="AY272" i="31" a="1"/>
  <c r="AY272" i="31" s="1"/>
  <c r="AO272" i="31" a="1"/>
  <c r="AO272" i="31" s="1"/>
  <c r="BH272" i="31" a="1"/>
  <c r="BH272" i="31" s="1"/>
  <c r="AX272" i="31" a="1"/>
  <c r="AX272" i="31" s="1"/>
  <c r="AN272" i="31" a="1"/>
  <c r="AN272" i="31" s="1"/>
  <c r="BG272" i="31" a="1"/>
  <c r="BG272" i="31" s="1"/>
  <c r="AW272" i="31" a="1"/>
  <c r="AW272" i="31" s="1"/>
  <c r="AM272" i="31" a="1"/>
  <c r="AM272" i="31" s="1"/>
  <c r="AL272" i="31" a="1"/>
  <c r="AL272" i="31" s="1"/>
  <c r="BE272" i="31" a="1"/>
  <c r="BE272" i="31" s="1"/>
  <c r="AU272" i="31" a="1"/>
  <c r="AU272" i="31" s="1"/>
  <c r="BM272" i="31" a="1"/>
  <c r="BM272" i="31" s="1"/>
  <c r="BD272" i="31" a="1"/>
  <c r="BD272" i="31" s="1"/>
  <c r="AS272" i="31" a="1"/>
  <c r="AS272" i="31" s="1"/>
  <c r="BL272" i="31" a="1"/>
  <c r="BL272" i="31" s="1"/>
  <c r="BB272" i="31" a="1"/>
  <c r="BB272" i="31" s="1"/>
  <c r="AR272" i="31" a="1"/>
  <c r="AR272" i="31" s="1"/>
  <c r="AI272" i="31" a="1"/>
  <c r="AI272" i="31" s="1"/>
  <c r="AQ272" i="31" a="1"/>
  <c r="AQ272" i="31" s="1"/>
  <c r="BK272" i="31" a="1"/>
  <c r="BK272" i="31" s="1"/>
  <c r="BA272" i="31" a="1"/>
  <c r="BA272" i="31" s="1"/>
  <c r="C273" i="31"/>
  <c r="C69" i="31"/>
  <c r="BJ171" i="31" s="1" a="1"/>
  <c r="BJ171" i="31" s="1"/>
  <c r="BN8" i="31"/>
  <c r="BN272" i="31" s="1" a="1"/>
  <c r="BN272" i="31" s="1"/>
  <c r="BO5" i="31"/>
  <c r="BN6" i="31"/>
  <c r="BN4" i="31"/>
  <c r="BN7" i="31"/>
  <c r="AC8" i="30"/>
  <c r="D65" i="30"/>
  <c r="BK6" i="30"/>
  <c r="BL5" i="30"/>
  <c r="BK4" i="30"/>
  <c r="BK8" i="30"/>
  <c r="BK7" i="30"/>
  <c r="BU98" i="8" l="1"/>
  <c r="BU99" i="8"/>
  <c r="BV96" i="8"/>
  <c r="BU95" i="8"/>
  <c r="BU97" i="8"/>
  <c r="BK222" i="31" a="1"/>
  <c r="BK222" i="31" s="1"/>
  <c r="AH69" i="31" a="1"/>
  <c r="AH69" i="31" s="1"/>
  <c r="AI69" i="31" a="1"/>
  <c r="AI69" i="31" s="1"/>
  <c r="AJ69" i="31" a="1"/>
  <c r="AJ69" i="31" s="1"/>
  <c r="AK69" i="31" a="1"/>
  <c r="AK69" i="31" s="1"/>
  <c r="AL69" i="31" a="1"/>
  <c r="AL69" i="31" s="1"/>
  <c r="AM69" i="31" a="1"/>
  <c r="AM69" i="31" s="1"/>
  <c r="AN69" i="31" a="1"/>
  <c r="AN69" i="31" s="1"/>
  <c r="AO69" i="31" a="1"/>
  <c r="AO69" i="31" s="1"/>
  <c r="AP69" i="31" a="1"/>
  <c r="AP69" i="31" s="1"/>
  <c r="AQ69" i="31" a="1"/>
  <c r="AQ69" i="31" s="1"/>
  <c r="AR69" i="31" a="1"/>
  <c r="AR69" i="31" s="1"/>
  <c r="AS69" i="31" a="1"/>
  <c r="AS69" i="31" s="1"/>
  <c r="AT69" i="31" a="1"/>
  <c r="AT69" i="31" s="1"/>
  <c r="AU69" i="31" a="1"/>
  <c r="AU69" i="31" s="1"/>
  <c r="AV69" i="31" a="1"/>
  <c r="AV69" i="31" s="1"/>
  <c r="AW69" i="31" a="1"/>
  <c r="AW69" i="31" s="1"/>
  <c r="AX69" i="31" a="1"/>
  <c r="AX69" i="31" s="1"/>
  <c r="AY69" i="31" a="1"/>
  <c r="AY69" i="31" s="1"/>
  <c r="AZ69" i="31" a="1"/>
  <c r="AZ69" i="31" s="1"/>
  <c r="BA69" i="31" a="1"/>
  <c r="BA69" i="31" s="1"/>
  <c r="BB69" i="31" a="1"/>
  <c r="BB69" i="31" s="1"/>
  <c r="BC69" i="31" a="1"/>
  <c r="BC69" i="31" s="1"/>
  <c r="BD69" i="31" a="1"/>
  <c r="BD69" i="31" s="1"/>
  <c r="BE69" i="31" a="1"/>
  <c r="BE69" i="31" s="1"/>
  <c r="BF69" i="31" a="1"/>
  <c r="BF69" i="31" s="1"/>
  <c r="BG69" i="31" a="1"/>
  <c r="BG69" i="31" s="1"/>
  <c r="BH69" i="31" a="1"/>
  <c r="BH69" i="31" s="1"/>
  <c r="BI69" i="31" a="1"/>
  <c r="BI69" i="31" s="1"/>
  <c r="BJ69" i="31" a="1"/>
  <c r="BJ69" i="31" s="1"/>
  <c r="BK69" i="31" a="1"/>
  <c r="BK69" i="31" s="1"/>
  <c r="BL69" i="31" a="1"/>
  <c r="BL69" i="31" s="1"/>
  <c r="BK171" i="31" a="1"/>
  <c r="BK171" i="31" s="1"/>
  <c r="BL222" i="31" a="1"/>
  <c r="BL222" i="31" s="1"/>
  <c r="BK120" i="31" a="1"/>
  <c r="BK120" i="31" s="1"/>
  <c r="BM222" i="31" a="1"/>
  <c r="BM222" i="31" s="1"/>
  <c r="BN120" i="31" a="1"/>
  <c r="BN120" i="31" s="1"/>
  <c r="BN68" i="31" a="1"/>
  <c r="BN68" i="31" s="1"/>
  <c r="BN119" i="31" a="1"/>
  <c r="BN119" i="31" s="1"/>
  <c r="BN69" i="31" a="1"/>
  <c r="BN69" i="31" s="1"/>
  <c r="BN170" i="31" a="1"/>
  <c r="BN170" i="31" s="1"/>
  <c r="BN171" i="31" a="1"/>
  <c r="BN171" i="31" s="1"/>
  <c r="BN222" i="31" a="1"/>
  <c r="BN222" i="31" s="1"/>
  <c r="BN221" i="31" a="1"/>
  <c r="BN221" i="31" s="1"/>
  <c r="BL171" i="31" a="1"/>
  <c r="BL171" i="31" s="1"/>
  <c r="BJ222" i="31" a="1"/>
  <c r="BJ222" i="31" s="1"/>
  <c r="BM171" i="31" a="1"/>
  <c r="BM171" i="31" s="1"/>
  <c r="BL120" i="31" a="1"/>
  <c r="BL120" i="31" s="1"/>
  <c r="BM69" i="31" a="1"/>
  <c r="BM69" i="31" s="1"/>
  <c r="BM120" i="31" a="1"/>
  <c r="BM120" i="31" s="1"/>
  <c r="BN273" i="31" a="1"/>
  <c r="BN273" i="31" s="1"/>
  <c r="BH273" i="31" a="1"/>
  <c r="BH273" i="31" s="1"/>
  <c r="BC273" i="31" a="1"/>
  <c r="BC273" i="31" s="1"/>
  <c r="AW273" i="31" a="1"/>
  <c r="AW273" i="31" s="1"/>
  <c r="BF273" i="31" a="1"/>
  <c r="BF273" i="31" s="1"/>
  <c r="AV273" i="31" a="1"/>
  <c r="AV273" i="31" s="1"/>
  <c r="AP273" i="31" a="1"/>
  <c r="AP273" i="31" s="1"/>
  <c r="AK273" i="31" a="1"/>
  <c r="AK273" i="31" s="1"/>
  <c r="BL273" i="31" a="1"/>
  <c r="BL273" i="31" s="1"/>
  <c r="BA273" i="31" a="1"/>
  <c r="BA273" i="31" s="1"/>
  <c r="AJ273" i="31" a="1"/>
  <c r="AJ273" i="31" s="1"/>
  <c r="BE273" i="31" a="1"/>
  <c r="BE273" i="31" s="1"/>
  <c r="AZ273" i="31" a="1"/>
  <c r="AZ273" i="31" s="1"/>
  <c r="AU273" i="31" a="1"/>
  <c r="AU273" i="31" s="1"/>
  <c r="BJ273" i="31" a="1"/>
  <c r="BJ273" i="31" s="1"/>
  <c r="BD273" i="31" a="1"/>
  <c r="BD273" i="31" s="1"/>
  <c r="AX273" i="31" a="1"/>
  <c r="AX273" i="31" s="1"/>
  <c r="AS273" i="31" a="1"/>
  <c r="AS273" i="31" s="1"/>
  <c r="AN273" i="31" a="1"/>
  <c r="AN273" i="31" s="1"/>
  <c r="AH273" i="31" a="1"/>
  <c r="AH273" i="31" s="1"/>
  <c r="BB273" i="31" a="1"/>
  <c r="BB273" i="31" s="1"/>
  <c r="AO273" i="31" a="1"/>
  <c r="AO273" i="31" s="1"/>
  <c r="AY273" i="31" a="1"/>
  <c r="AY273" i="31" s="1"/>
  <c r="BM273" i="31" a="1"/>
  <c r="BM273" i="31" s="1"/>
  <c r="BK273" i="31" a="1"/>
  <c r="BK273" i="31" s="1"/>
  <c r="AM273" i="31" a="1"/>
  <c r="AM273" i="31" s="1"/>
  <c r="BI273" i="31" a="1"/>
  <c r="BI273" i="31" s="1"/>
  <c r="AT273" i="31" a="1"/>
  <c r="AT273" i="31" s="1"/>
  <c r="AL273" i="31" a="1"/>
  <c r="AL273" i="31" s="1"/>
  <c r="BG273" i="31" a="1"/>
  <c r="BG273" i="31" s="1"/>
  <c r="AR273" i="31" a="1"/>
  <c r="AR273" i="31" s="1"/>
  <c r="AI273" i="31" a="1"/>
  <c r="AI273" i="31" s="1"/>
  <c r="AQ273" i="31" a="1"/>
  <c r="AQ273" i="31" s="1"/>
  <c r="C274" i="31"/>
  <c r="C70" i="31"/>
  <c r="BK121" i="31" s="1" a="1"/>
  <c r="BK121" i="31" s="1"/>
  <c r="BO8" i="31"/>
  <c r="BO273" i="31" s="1" a="1"/>
  <c r="BO273" i="31" s="1"/>
  <c r="BP5" i="31"/>
  <c r="BO6" i="31"/>
  <c r="BO4" i="31"/>
  <c r="BO7" i="31"/>
  <c r="D66" i="30"/>
  <c r="BL4" i="30"/>
  <c r="BL6" i="30"/>
  <c r="BM5" i="30"/>
  <c r="BL7" i="30"/>
  <c r="BL8" i="30"/>
  <c r="BM172" i="31" l="1" a="1"/>
  <c r="BM172" i="31" s="1"/>
  <c r="BL223" i="31" a="1"/>
  <c r="BL223" i="31" s="1"/>
  <c r="BW96" i="8"/>
  <c r="BV99" i="8"/>
  <c r="BV95" i="8"/>
  <c r="BV98" i="8"/>
  <c r="BV97" i="8"/>
  <c r="BL172" i="31" a="1"/>
  <c r="BL172" i="31" s="1"/>
  <c r="BN121" i="31" a="1"/>
  <c r="BN121" i="31" s="1"/>
  <c r="BO120" i="31" a="1"/>
  <c r="BO120" i="31" s="1"/>
  <c r="BO69" i="31" a="1"/>
  <c r="BO69" i="31" s="1"/>
  <c r="BO70" i="31" a="1"/>
  <c r="BO70" i="31" s="1"/>
  <c r="BO121" i="31" a="1"/>
  <c r="BO121" i="31" s="1"/>
  <c r="BO172" i="31" a="1"/>
  <c r="BO172" i="31" s="1"/>
  <c r="BO171" i="31" a="1"/>
  <c r="BO171" i="31" s="1"/>
  <c r="BO223" i="31" a="1"/>
  <c r="BO223" i="31" s="1"/>
  <c r="BO222" i="31" a="1"/>
  <c r="BO222" i="31" s="1"/>
  <c r="BN172" i="31" a="1"/>
  <c r="BN172" i="31" s="1"/>
  <c r="AH70" i="31" a="1"/>
  <c r="AH70" i="31" s="1"/>
  <c r="AI70" i="31" a="1"/>
  <c r="AI70" i="31" s="1"/>
  <c r="AJ70" i="31" a="1"/>
  <c r="AJ70" i="31" s="1"/>
  <c r="AK70" i="31" a="1"/>
  <c r="AK70" i="31" s="1"/>
  <c r="AL70" i="31" a="1"/>
  <c r="AL70" i="31" s="1"/>
  <c r="AM70" i="31" a="1"/>
  <c r="AM70" i="31" s="1"/>
  <c r="AN70" i="31" a="1"/>
  <c r="AN70" i="31" s="1"/>
  <c r="AO70" i="31" a="1"/>
  <c r="AO70" i="31" s="1"/>
  <c r="AP70" i="31" a="1"/>
  <c r="AP70" i="31" s="1"/>
  <c r="AQ70" i="31" a="1"/>
  <c r="AQ70" i="31" s="1"/>
  <c r="AR70" i="31" a="1"/>
  <c r="AR70" i="31" s="1"/>
  <c r="AS70" i="31" a="1"/>
  <c r="AS70" i="31" s="1"/>
  <c r="AT70" i="31" a="1"/>
  <c r="AT70" i="31" s="1"/>
  <c r="AU70" i="31" a="1"/>
  <c r="AU70" i="31" s="1"/>
  <c r="AV70" i="31" a="1"/>
  <c r="AV70" i="31" s="1"/>
  <c r="AW70" i="31" a="1"/>
  <c r="AW70" i="31" s="1"/>
  <c r="AX70" i="31" a="1"/>
  <c r="AX70" i="31" s="1"/>
  <c r="AY70" i="31" a="1"/>
  <c r="AY70" i="31" s="1"/>
  <c r="AZ70" i="31" a="1"/>
  <c r="AZ70" i="31" s="1"/>
  <c r="BA70" i="31" a="1"/>
  <c r="BA70" i="31" s="1"/>
  <c r="BB70" i="31" a="1"/>
  <c r="BB70" i="31" s="1"/>
  <c r="BC70" i="31" a="1"/>
  <c r="BC70" i="31" s="1"/>
  <c r="BD70" i="31" a="1"/>
  <c r="BD70" i="31" s="1"/>
  <c r="BE70" i="31" a="1"/>
  <c r="BE70" i="31" s="1"/>
  <c r="BF70" i="31" a="1"/>
  <c r="BF70" i="31" s="1"/>
  <c r="BG70" i="31" a="1"/>
  <c r="BG70" i="31" s="1"/>
  <c r="BH70" i="31" a="1"/>
  <c r="BH70" i="31" s="1"/>
  <c r="BI70" i="31" a="1"/>
  <c r="BI70" i="31" s="1"/>
  <c r="BJ70" i="31" a="1"/>
  <c r="BJ70" i="31" s="1"/>
  <c r="BK70" i="31" a="1"/>
  <c r="BK70" i="31" s="1"/>
  <c r="BL70" i="31" a="1"/>
  <c r="BL70" i="31" s="1"/>
  <c r="BM70" i="31" a="1"/>
  <c r="BM70" i="31" s="1"/>
  <c r="BL121" i="31" a="1"/>
  <c r="BL121" i="31" s="1"/>
  <c r="BN223" i="31" a="1"/>
  <c r="BN223" i="31" s="1"/>
  <c r="BM223" i="31" a="1"/>
  <c r="BM223" i="31" s="1"/>
  <c r="BM121" i="31" a="1"/>
  <c r="BM121" i="31" s="1"/>
  <c r="BN70" i="31" a="1"/>
  <c r="BN70" i="31" s="1"/>
  <c r="BK274" i="31" a="1"/>
  <c r="BK274" i="31" s="1"/>
  <c r="BJ274" i="31" a="1"/>
  <c r="BJ274" i="31" s="1"/>
  <c r="AX274" i="31" a="1"/>
  <c r="AX274" i="31" s="1"/>
  <c r="AQ274" i="31" a="1"/>
  <c r="AQ274" i="31" s="1"/>
  <c r="AJ274" i="31" a="1"/>
  <c r="AJ274" i="31" s="1"/>
  <c r="BO274" i="31" a="1"/>
  <c r="BO274" i="31" s="1"/>
  <c r="BH274" i="31" a="1"/>
  <c r="BH274" i="31" s="1"/>
  <c r="BC274" i="31" a="1"/>
  <c r="BC274" i="31" s="1"/>
  <c r="AV274" i="31" a="1"/>
  <c r="AV274" i="31" s="1"/>
  <c r="AO274" i="31" a="1"/>
  <c r="AO274" i="31" s="1"/>
  <c r="AI274" i="31" a="1"/>
  <c r="AI274" i="31" s="1"/>
  <c r="BN274" i="31" a="1"/>
  <c r="BN274" i="31" s="1"/>
  <c r="BG274" i="31" a="1"/>
  <c r="BG274" i="31" s="1"/>
  <c r="BB274" i="31" a="1"/>
  <c r="BB274" i="31" s="1"/>
  <c r="AU274" i="31" a="1"/>
  <c r="AU274" i="31" s="1"/>
  <c r="AN274" i="31" a="1"/>
  <c r="AN274" i="31" s="1"/>
  <c r="AH274" i="31" a="1"/>
  <c r="AH274" i="31" s="1"/>
  <c r="AZ274" i="31" a="1"/>
  <c r="AZ274" i="31" s="1"/>
  <c r="AS274" i="31" a="1"/>
  <c r="AS274" i="31" s="1"/>
  <c r="AM274" i="31" a="1"/>
  <c r="AM274" i="31" s="1"/>
  <c r="BD274" i="31" a="1"/>
  <c r="BD274" i="31" s="1"/>
  <c r="AL274" i="31" a="1"/>
  <c r="AL274" i="31" s="1"/>
  <c r="BA274" i="31" a="1"/>
  <c r="BA274" i="31" s="1"/>
  <c r="AK274" i="31" a="1"/>
  <c r="AK274" i="31" s="1"/>
  <c r="AY274" i="31" a="1"/>
  <c r="AY274" i="31" s="1"/>
  <c r="BM274" i="31" a="1"/>
  <c r="BM274" i="31" s="1"/>
  <c r="AW274" i="31" a="1"/>
  <c r="AW274" i="31" s="1"/>
  <c r="BL274" i="31" a="1"/>
  <c r="BL274" i="31" s="1"/>
  <c r="AT274" i="31" a="1"/>
  <c r="AT274" i="31" s="1"/>
  <c r="BI274" i="31" a="1"/>
  <c r="BI274" i="31" s="1"/>
  <c r="AR274" i="31" a="1"/>
  <c r="AR274" i="31" s="1"/>
  <c r="BF274" i="31" a="1"/>
  <c r="BF274" i="31" s="1"/>
  <c r="AP274" i="31" a="1"/>
  <c r="AP274" i="31" s="1"/>
  <c r="BE274" i="31" a="1"/>
  <c r="BE274" i="31" s="1"/>
  <c r="C275" i="31"/>
  <c r="C71" i="31"/>
  <c r="BM122" i="31" s="1" a="1"/>
  <c r="BM122" i="31" s="1"/>
  <c r="BP4" i="31"/>
  <c r="BP7" i="31"/>
  <c r="BP8" i="31"/>
  <c r="BP274" i="31" s="1" a="1"/>
  <c r="BP274" i="31" s="1"/>
  <c r="BQ5" i="31"/>
  <c r="BP6" i="31"/>
  <c r="BM6" i="30"/>
  <c r="BM4" i="30"/>
  <c r="BN5" i="30"/>
  <c r="BM8" i="30"/>
  <c r="BM7" i="30"/>
  <c r="D67" i="30"/>
  <c r="BX96" i="8" l="1"/>
  <c r="BW99" i="8"/>
  <c r="BW95" i="8"/>
  <c r="BW97" i="8"/>
  <c r="BW98" i="8"/>
  <c r="BM224" i="31" a="1"/>
  <c r="BM224" i="31" s="1"/>
  <c r="BO122" i="31" a="1"/>
  <c r="BO122" i="31" s="1"/>
  <c r="BP121" i="31" a="1"/>
  <c r="BP121" i="31" s="1"/>
  <c r="BP122" i="31" a="1"/>
  <c r="BP122" i="31" s="1"/>
  <c r="BP70" i="31" a="1"/>
  <c r="BP70" i="31" s="1"/>
  <c r="BP71" i="31" a="1"/>
  <c r="BP71" i="31" s="1"/>
  <c r="BP172" i="31" a="1"/>
  <c r="BP172" i="31" s="1"/>
  <c r="BP173" i="31" a="1"/>
  <c r="BP173" i="31" s="1"/>
  <c r="BP223" i="31" a="1"/>
  <c r="BP223" i="31" s="1"/>
  <c r="BP224" i="31" a="1"/>
  <c r="BP224" i="31" s="1"/>
  <c r="BL122" i="31" a="1"/>
  <c r="BL122" i="31" s="1"/>
  <c r="BK224" i="31" a="1"/>
  <c r="BK224" i="31" s="1"/>
  <c r="BN224" i="31" a="1"/>
  <c r="BN224" i="31" s="1"/>
  <c r="BM173" i="31" a="1"/>
  <c r="BM173" i="31" s="1"/>
  <c r="BO173" i="31" a="1"/>
  <c r="BO173" i="31" s="1"/>
  <c r="BO71" i="31" a="1"/>
  <c r="BO71" i="31" s="1"/>
  <c r="BN122" i="31" a="1"/>
  <c r="BN122" i="31" s="1"/>
  <c r="BL224" i="31" a="1"/>
  <c r="BL224" i="31" s="1"/>
  <c r="BO224" i="31" a="1"/>
  <c r="BO224" i="31" s="1"/>
  <c r="AH71" i="31" a="1"/>
  <c r="AH71" i="31" s="1"/>
  <c r="AI71" i="31" a="1"/>
  <c r="AI71" i="31" s="1"/>
  <c r="AJ71" i="31" a="1"/>
  <c r="AJ71" i="31" s="1"/>
  <c r="AK71" i="31" a="1"/>
  <c r="AK71" i="31" s="1"/>
  <c r="AL71" i="31" a="1"/>
  <c r="AL71" i="31" s="1"/>
  <c r="AM71" i="31" a="1"/>
  <c r="AM71" i="31" s="1"/>
  <c r="AN71" i="31" a="1"/>
  <c r="AN71" i="31" s="1"/>
  <c r="AO71" i="31" a="1"/>
  <c r="AO71" i="31" s="1"/>
  <c r="AP71" i="31" a="1"/>
  <c r="AP71" i="31" s="1"/>
  <c r="AQ71" i="31" a="1"/>
  <c r="AQ71" i="31" s="1"/>
  <c r="AR71" i="31" a="1"/>
  <c r="AR71" i="31" s="1"/>
  <c r="AS71" i="31" a="1"/>
  <c r="AS71" i="31" s="1"/>
  <c r="AT71" i="31" a="1"/>
  <c r="AT71" i="31" s="1"/>
  <c r="AU71" i="31" a="1"/>
  <c r="AU71" i="31" s="1"/>
  <c r="AV71" i="31" a="1"/>
  <c r="AV71" i="31" s="1"/>
  <c r="AW71" i="31" a="1"/>
  <c r="AW71" i="31" s="1"/>
  <c r="AX71" i="31" a="1"/>
  <c r="AX71" i="31" s="1"/>
  <c r="AY71" i="31" a="1"/>
  <c r="AY71" i="31" s="1"/>
  <c r="AZ71" i="31" a="1"/>
  <c r="AZ71" i="31" s="1"/>
  <c r="BA71" i="31" a="1"/>
  <c r="BA71" i="31" s="1"/>
  <c r="BB71" i="31" a="1"/>
  <c r="BB71" i="31" s="1"/>
  <c r="BC71" i="31" a="1"/>
  <c r="BC71" i="31" s="1"/>
  <c r="BD71" i="31" a="1"/>
  <c r="BD71" i="31" s="1"/>
  <c r="BE71" i="31" a="1"/>
  <c r="BE71" i="31" s="1"/>
  <c r="BF71" i="31" a="1"/>
  <c r="BF71" i="31" s="1"/>
  <c r="BG71" i="31" a="1"/>
  <c r="BG71" i="31" s="1"/>
  <c r="BH71" i="31" a="1"/>
  <c r="BH71" i="31" s="1"/>
  <c r="BI71" i="31" a="1"/>
  <c r="BI71" i="31" s="1"/>
  <c r="BJ71" i="31" a="1"/>
  <c r="BJ71" i="31" s="1"/>
  <c r="BK71" i="31" a="1"/>
  <c r="BK71" i="31" s="1"/>
  <c r="BL71" i="31" a="1"/>
  <c r="BL71" i="31" s="1"/>
  <c r="BM71" i="31" a="1"/>
  <c r="BM71" i="31" s="1"/>
  <c r="BN71" i="31" a="1"/>
  <c r="BN71" i="31" s="1"/>
  <c r="BN173" i="31" a="1"/>
  <c r="BN173" i="31" s="1"/>
  <c r="BN275" i="31" a="1"/>
  <c r="BN275" i="31" s="1"/>
  <c r="BG275" i="31" a="1"/>
  <c r="BG275" i="31" s="1"/>
  <c r="AU275" i="31" a="1"/>
  <c r="AU275" i="31" s="1"/>
  <c r="AO275" i="31" a="1"/>
  <c r="AO275" i="31" s="1"/>
  <c r="AH275" i="31" a="1"/>
  <c r="AH275" i="31" s="1"/>
  <c r="BM275" i="31" a="1"/>
  <c r="BM275" i="31" s="1"/>
  <c r="AY275" i="31" a="1"/>
  <c r="AY275" i="31" s="1"/>
  <c r="AR275" i="31" a="1"/>
  <c r="AR275" i="31" s="1"/>
  <c r="AK275" i="31" a="1"/>
  <c r="AK275" i="31" s="1"/>
  <c r="BL275" i="31" a="1"/>
  <c r="BL275" i="31" s="1"/>
  <c r="BD275" i="31" a="1"/>
  <c r="BD275" i="31" s="1"/>
  <c r="AW275" i="31" a="1"/>
  <c r="AW275" i="31" s="1"/>
  <c r="AP275" i="31" a="1"/>
  <c r="AP275" i="31" s="1"/>
  <c r="AI275" i="31" a="1"/>
  <c r="AI275" i="31" s="1"/>
  <c r="BK275" i="31" a="1"/>
  <c r="BK275" i="31" s="1"/>
  <c r="BJ275" i="31" a="1"/>
  <c r="BJ275" i="31" s="1"/>
  <c r="BC275" i="31" a="1"/>
  <c r="BC275" i="31" s="1"/>
  <c r="AV275" i="31" a="1"/>
  <c r="AV275" i="31" s="1"/>
  <c r="AN275" i="31" a="1"/>
  <c r="AN275" i="31" s="1"/>
  <c r="BH275" i="31" a="1"/>
  <c r="BH275" i="31" s="1"/>
  <c r="BA275" i="31" a="1"/>
  <c r="BA275" i="31" s="1"/>
  <c r="AS275" i="31" a="1"/>
  <c r="AS275" i="31" s="1"/>
  <c r="AM275" i="31" a="1"/>
  <c r="AM275" i="31" s="1"/>
  <c r="BI275" i="31" a="1"/>
  <c r="BI275" i="31" s="1"/>
  <c r="AQ275" i="31" a="1"/>
  <c r="AQ275" i="31" s="1"/>
  <c r="BF275" i="31" a="1"/>
  <c r="BF275" i="31" s="1"/>
  <c r="BE275" i="31" a="1"/>
  <c r="BE275" i="31" s="1"/>
  <c r="AL275" i="31" a="1"/>
  <c r="AL275" i="31" s="1"/>
  <c r="BB275" i="31" a="1"/>
  <c r="BB275" i="31" s="1"/>
  <c r="AJ275" i="31" a="1"/>
  <c r="AJ275" i="31" s="1"/>
  <c r="AZ275" i="31" a="1"/>
  <c r="AZ275" i="31" s="1"/>
  <c r="BP275" i="31" a="1"/>
  <c r="BP275" i="31" s="1"/>
  <c r="AX275" i="31" a="1"/>
  <c r="AX275" i="31" s="1"/>
  <c r="BO275" i="31" a="1"/>
  <c r="BO275" i="31" s="1"/>
  <c r="AT275" i="31" a="1"/>
  <c r="AT275" i="31" s="1"/>
  <c r="C276" i="31"/>
  <c r="C72" i="31"/>
  <c r="BN225" i="31" s="1" a="1"/>
  <c r="BN225" i="31" s="1"/>
  <c r="BQ4" i="31"/>
  <c r="BQ7" i="31"/>
  <c r="BQ8" i="31"/>
  <c r="BQ275" i="31" s="1" a="1"/>
  <c r="BQ275" i="31" s="1"/>
  <c r="BR5" i="31"/>
  <c r="BQ6" i="31"/>
  <c r="BN6" i="30"/>
  <c r="BN4" i="30"/>
  <c r="BO5" i="30"/>
  <c r="BN8" i="30"/>
  <c r="BN7" i="30"/>
  <c r="D68" i="30"/>
  <c r="BN123" i="31" l="1" a="1"/>
  <c r="BN123" i="31" s="1"/>
  <c r="BM225" i="31" a="1"/>
  <c r="BM225" i="31" s="1"/>
  <c r="BM174" i="31" a="1"/>
  <c r="BM174" i="31" s="1"/>
  <c r="BN174" i="31" a="1"/>
  <c r="BN174" i="31" s="1"/>
  <c r="BY96" i="8"/>
  <c r="BX99" i="8"/>
  <c r="BX97" i="8"/>
  <c r="BX95" i="8"/>
  <c r="BX98" i="8"/>
  <c r="BO123" i="31" a="1"/>
  <c r="BO123" i="31" s="1"/>
  <c r="BP225" i="31" a="1"/>
  <c r="BP225" i="31" s="1"/>
  <c r="BQ123" i="31" a="1"/>
  <c r="BQ123" i="31" s="1"/>
  <c r="BQ122" i="31" a="1"/>
  <c r="BQ122" i="31" s="1"/>
  <c r="BQ72" i="31" a="1"/>
  <c r="BQ72" i="31" s="1"/>
  <c r="BQ71" i="31" a="1"/>
  <c r="BQ71" i="31" s="1"/>
  <c r="BQ174" i="31" a="1"/>
  <c r="BQ174" i="31" s="1"/>
  <c r="BQ173" i="31" a="1"/>
  <c r="BQ173" i="31" s="1"/>
  <c r="BQ224" i="31" a="1"/>
  <c r="BQ224" i="31" s="1"/>
  <c r="BQ225" i="31" a="1"/>
  <c r="BQ225" i="31" s="1"/>
  <c r="AH72" i="31" a="1"/>
  <c r="AH72" i="31" s="1"/>
  <c r="AI72" i="31" a="1"/>
  <c r="AI72" i="31" s="1"/>
  <c r="AJ72" i="31" a="1"/>
  <c r="AJ72" i="31" s="1"/>
  <c r="AK72" i="31" a="1"/>
  <c r="AK72" i="31" s="1"/>
  <c r="AL72" i="31" a="1"/>
  <c r="AL72" i="31" s="1"/>
  <c r="AM72" i="31" a="1"/>
  <c r="AM72" i="31" s="1"/>
  <c r="AN72" i="31" a="1"/>
  <c r="AN72" i="31" s="1"/>
  <c r="AO72" i="31" a="1"/>
  <c r="AO72" i="31" s="1"/>
  <c r="AP72" i="31" a="1"/>
  <c r="AP72" i="31" s="1"/>
  <c r="AQ72" i="31" a="1"/>
  <c r="AQ72" i="31" s="1"/>
  <c r="AR72" i="31" a="1"/>
  <c r="AR72" i="31" s="1"/>
  <c r="AS72" i="31" a="1"/>
  <c r="AS72" i="31" s="1"/>
  <c r="AT72" i="31" a="1"/>
  <c r="AT72" i="31" s="1"/>
  <c r="AU72" i="31" a="1"/>
  <c r="AU72" i="31" s="1"/>
  <c r="AV72" i="31" a="1"/>
  <c r="AV72" i="31" s="1"/>
  <c r="AW72" i="31" a="1"/>
  <c r="AW72" i="31" s="1"/>
  <c r="AX72" i="31" a="1"/>
  <c r="AX72" i="31" s="1"/>
  <c r="AY72" i="31" a="1"/>
  <c r="AY72" i="31" s="1"/>
  <c r="AZ72" i="31" a="1"/>
  <c r="AZ72" i="31" s="1"/>
  <c r="BA72" i="31" a="1"/>
  <c r="BA72" i="31" s="1"/>
  <c r="BB72" i="31" a="1"/>
  <c r="BB72" i="31" s="1"/>
  <c r="BC72" i="31" a="1"/>
  <c r="BC72" i="31" s="1"/>
  <c r="BD72" i="31" a="1"/>
  <c r="BD72" i="31" s="1"/>
  <c r="BE72" i="31" a="1"/>
  <c r="BE72" i="31" s="1"/>
  <c r="BF72" i="31" a="1"/>
  <c r="BF72" i="31" s="1"/>
  <c r="BG72" i="31" a="1"/>
  <c r="BG72" i="31" s="1"/>
  <c r="BH72" i="31" a="1"/>
  <c r="BH72" i="31" s="1"/>
  <c r="BI72" i="31" a="1"/>
  <c r="BI72" i="31" s="1"/>
  <c r="BJ72" i="31" a="1"/>
  <c r="BJ72" i="31" s="1"/>
  <c r="BK72" i="31" a="1"/>
  <c r="BK72" i="31" s="1"/>
  <c r="BL72" i="31" a="1"/>
  <c r="BL72" i="31" s="1"/>
  <c r="BM72" i="31" a="1"/>
  <c r="BM72" i="31" s="1"/>
  <c r="BN72" i="31" a="1"/>
  <c r="BN72" i="31" s="1"/>
  <c r="BO72" i="31" a="1"/>
  <c r="BO72" i="31" s="1"/>
  <c r="BO174" i="31" a="1"/>
  <c r="BO174" i="31" s="1"/>
  <c r="BP174" i="31" a="1"/>
  <c r="BP174" i="31" s="1"/>
  <c r="BO225" i="31" a="1"/>
  <c r="BO225" i="31" s="1"/>
  <c r="BP72" i="31" a="1"/>
  <c r="BP72" i="31" s="1"/>
  <c r="BP123" i="31" a="1"/>
  <c r="BP123" i="31" s="1"/>
  <c r="BJ276" i="31" a="1"/>
  <c r="BJ276" i="31" s="1"/>
  <c r="BD276" i="31" a="1"/>
  <c r="BD276" i="31" s="1"/>
  <c r="AX276" i="31" a="1"/>
  <c r="AX276" i="31" s="1"/>
  <c r="AR276" i="31" a="1"/>
  <c r="AR276" i="31" s="1"/>
  <c r="AL276" i="31" a="1"/>
  <c r="AL276" i="31" s="1"/>
  <c r="BP276" i="31" a="1"/>
  <c r="BP276" i="31" s="1"/>
  <c r="BB276" i="31" a="1"/>
  <c r="BB276" i="31" s="1"/>
  <c r="AV276" i="31" a="1"/>
  <c r="AV276" i="31" s="1"/>
  <c r="AN276" i="31" a="1"/>
  <c r="AN276" i="31" s="1"/>
  <c r="BO276" i="31" a="1"/>
  <c r="BO276" i="31" s="1"/>
  <c r="BH276" i="31" a="1"/>
  <c r="BH276" i="31" s="1"/>
  <c r="BA276" i="31" a="1"/>
  <c r="BA276" i="31" s="1"/>
  <c r="AU276" i="31" a="1"/>
  <c r="AU276" i="31" s="1"/>
  <c r="BN276" i="31" a="1"/>
  <c r="BN276" i="31" s="1"/>
  <c r="BG276" i="31" a="1"/>
  <c r="BG276" i="31" s="1"/>
  <c r="AZ276" i="31" a="1"/>
  <c r="AZ276" i="31" s="1"/>
  <c r="AT276" i="31" a="1"/>
  <c r="AT276" i="31" s="1"/>
  <c r="AM276" i="31" a="1"/>
  <c r="AM276" i="31" s="1"/>
  <c r="BM276" i="31" a="1"/>
  <c r="BM276" i="31" s="1"/>
  <c r="BF276" i="31" a="1"/>
  <c r="BF276" i="31" s="1"/>
  <c r="AS276" i="31" a="1"/>
  <c r="AS276" i="31" s="1"/>
  <c r="AK276" i="31" a="1"/>
  <c r="AK276" i="31" s="1"/>
  <c r="AY276" i="31" a="1"/>
  <c r="AY276" i="31" s="1"/>
  <c r="AQ276" i="31" a="1"/>
  <c r="AQ276" i="31" s="1"/>
  <c r="AJ276" i="31" a="1"/>
  <c r="AJ276" i="31" s="1"/>
  <c r="BK276" i="31" a="1"/>
  <c r="BK276" i="31" s="1"/>
  <c r="AW276" i="31" a="1"/>
  <c r="AW276" i="31" s="1"/>
  <c r="AH276" i="31" a="1"/>
  <c r="AH276" i="31" s="1"/>
  <c r="BQ276" i="31" a="1"/>
  <c r="BQ276" i="31" s="1"/>
  <c r="AO276" i="31" a="1"/>
  <c r="AO276" i="31" s="1"/>
  <c r="BL276" i="31" a="1"/>
  <c r="BL276" i="31" s="1"/>
  <c r="AI276" i="31" a="1"/>
  <c r="AI276" i="31" s="1"/>
  <c r="BI276" i="31" a="1"/>
  <c r="BI276" i="31" s="1"/>
  <c r="BE276" i="31" a="1"/>
  <c r="BE276" i="31" s="1"/>
  <c r="BC276" i="31" a="1"/>
  <c r="BC276" i="31" s="1"/>
  <c r="AP276" i="31" a="1"/>
  <c r="AP276" i="31" s="1"/>
  <c r="C277" i="31"/>
  <c r="C73" i="31"/>
  <c r="BO175" i="31" s="1" a="1"/>
  <c r="BO175" i="31" s="1"/>
  <c r="BR4" i="31"/>
  <c r="BR7" i="31"/>
  <c r="BR8" i="31"/>
  <c r="BR276" i="31" s="1" a="1"/>
  <c r="BR276" i="31" s="1"/>
  <c r="BS5" i="31"/>
  <c r="BR6" i="31"/>
  <c r="D69" i="30"/>
  <c r="BP5" i="30"/>
  <c r="BO8" i="30"/>
  <c r="BO7" i="30"/>
  <c r="BO4" i="30"/>
  <c r="BO6" i="30"/>
  <c r="BY99" i="8" l="1"/>
  <c r="BY95" i="8"/>
  <c r="BY97" i="8"/>
  <c r="BY98" i="8"/>
  <c r="BZ96" i="8"/>
  <c r="BQ226" i="31" a="1"/>
  <c r="BQ226" i="31" s="1"/>
  <c r="BO124" i="31" a="1"/>
  <c r="BO124" i="31" s="1"/>
  <c r="BP124" i="31" a="1"/>
  <c r="BP124" i="31" s="1"/>
  <c r="BQ124" i="31" a="1"/>
  <c r="BQ124" i="31" s="1"/>
  <c r="BQ73" i="31" a="1"/>
  <c r="BQ73" i="31" s="1"/>
  <c r="BP175" i="31" a="1"/>
  <c r="BP175" i="31" s="1"/>
  <c r="BR124" i="31" a="1"/>
  <c r="BR124" i="31" s="1"/>
  <c r="BR123" i="31" a="1"/>
  <c r="BR123" i="31" s="1"/>
  <c r="BR73" i="31" a="1"/>
  <c r="BR73" i="31" s="1"/>
  <c r="BR72" i="31" a="1"/>
  <c r="BR72" i="31" s="1"/>
  <c r="BR174" i="31" a="1"/>
  <c r="BR174" i="31" s="1"/>
  <c r="BR175" i="31" a="1"/>
  <c r="BR175" i="31" s="1"/>
  <c r="BR225" i="31" a="1"/>
  <c r="BR225" i="31" s="1"/>
  <c r="BR226" i="31" a="1"/>
  <c r="BR226" i="31" s="1"/>
  <c r="AH73" i="31" a="1"/>
  <c r="AH73" i="31" s="1"/>
  <c r="AI73" i="31" a="1"/>
  <c r="AI73" i="31" s="1"/>
  <c r="AJ73" i="31" a="1"/>
  <c r="AJ73" i="31" s="1"/>
  <c r="AK73" i="31" a="1"/>
  <c r="AK73" i="31" s="1"/>
  <c r="AL73" i="31" a="1"/>
  <c r="AL73" i="31" s="1"/>
  <c r="AM73" i="31" a="1"/>
  <c r="AM73" i="31" s="1"/>
  <c r="AN73" i="31" a="1"/>
  <c r="AN73" i="31" s="1"/>
  <c r="AO73" i="31" a="1"/>
  <c r="AO73" i="31" s="1"/>
  <c r="AP73" i="31" a="1"/>
  <c r="AP73" i="31" s="1"/>
  <c r="AQ73" i="31" a="1"/>
  <c r="AQ73" i="31" s="1"/>
  <c r="AR73" i="31" a="1"/>
  <c r="AR73" i="31" s="1"/>
  <c r="AS73" i="31" a="1"/>
  <c r="AS73" i="31" s="1"/>
  <c r="AT73" i="31" a="1"/>
  <c r="AT73" i="31" s="1"/>
  <c r="AU73" i="31" a="1"/>
  <c r="AU73" i="31" s="1"/>
  <c r="AV73" i="31" a="1"/>
  <c r="AV73" i="31" s="1"/>
  <c r="AW73" i="31" a="1"/>
  <c r="AW73" i="31" s="1"/>
  <c r="AX73" i="31" a="1"/>
  <c r="AX73" i="31" s="1"/>
  <c r="AY73" i="31" a="1"/>
  <c r="AY73" i="31" s="1"/>
  <c r="AZ73" i="31" a="1"/>
  <c r="AZ73" i="31" s="1"/>
  <c r="BA73" i="31" a="1"/>
  <c r="BA73" i="31" s="1"/>
  <c r="BB73" i="31" a="1"/>
  <c r="BB73" i="31" s="1"/>
  <c r="BC73" i="31" a="1"/>
  <c r="BC73" i="31" s="1"/>
  <c r="BD73" i="31" a="1"/>
  <c r="BD73" i="31" s="1"/>
  <c r="BE73" i="31" a="1"/>
  <c r="BE73" i="31" s="1"/>
  <c r="BF73" i="31" a="1"/>
  <c r="BF73" i="31" s="1"/>
  <c r="BG73" i="31" a="1"/>
  <c r="BG73" i="31" s="1"/>
  <c r="BH73" i="31" a="1"/>
  <c r="BH73" i="31" s="1"/>
  <c r="BI73" i="31" a="1"/>
  <c r="BI73" i="31" s="1"/>
  <c r="BJ73" i="31" a="1"/>
  <c r="BJ73" i="31" s="1"/>
  <c r="BK73" i="31" a="1"/>
  <c r="BK73" i="31" s="1"/>
  <c r="BL73" i="31" a="1"/>
  <c r="BL73" i="31" s="1"/>
  <c r="BM73" i="31" a="1"/>
  <c r="BM73" i="31" s="1"/>
  <c r="BN73" i="31" a="1"/>
  <c r="BN73" i="31" s="1"/>
  <c r="BO73" i="31" a="1"/>
  <c r="BO73" i="31" s="1"/>
  <c r="BN124" i="31" a="1"/>
  <c r="BN124" i="31" s="1"/>
  <c r="BN175" i="31" a="1"/>
  <c r="BN175" i="31" s="1"/>
  <c r="BN226" i="31" a="1"/>
  <c r="BN226" i="31" s="1"/>
  <c r="BP73" i="31" a="1"/>
  <c r="BP73" i="31" s="1"/>
  <c r="BO226" i="31" a="1"/>
  <c r="BO226" i="31" s="1"/>
  <c r="BP226" i="31" a="1"/>
  <c r="BP226" i="31" s="1"/>
  <c r="BQ175" i="31" a="1"/>
  <c r="BQ175" i="31" s="1"/>
  <c r="BR277" i="31" a="1"/>
  <c r="BR277" i="31" s="1"/>
  <c r="BQ277" i="31" a="1"/>
  <c r="BQ277" i="31" s="1"/>
  <c r="BK277" i="31" a="1"/>
  <c r="BK277" i="31" s="1"/>
  <c r="BE277" i="31" a="1"/>
  <c r="BE277" i="31" s="1"/>
  <c r="AZ277" i="31" a="1"/>
  <c r="AZ277" i="31" s="1"/>
  <c r="AS277" i="31" a="1"/>
  <c r="AS277" i="31" s="1"/>
  <c r="AN277" i="31" a="1"/>
  <c r="AN277" i="31" s="1"/>
  <c r="AX277" i="31" a="1"/>
  <c r="AX277" i="31" s="1"/>
  <c r="AR277" i="31" a="1"/>
  <c r="AR277" i="31" s="1"/>
  <c r="AM277" i="31" a="1"/>
  <c r="AM277" i="31" s="1"/>
  <c r="BN277" i="31" a="1"/>
  <c r="BN277" i="31" s="1"/>
  <c r="BF277" i="31" a="1"/>
  <c r="BF277" i="31" s="1"/>
  <c r="AY277" i="31" a="1"/>
  <c r="AY277" i="31" s="1"/>
  <c r="AQ277" i="31" a="1"/>
  <c r="AQ277" i="31" s="1"/>
  <c r="AI277" i="31" a="1"/>
  <c r="AI277" i="31" s="1"/>
  <c r="BM277" i="31" a="1"/>
  <c r="BM277" i="31" s="1"/>
  <c r="AW277" i="31" a="1"/>
  <c r="AW277" i="31" s="1"/>
  <c r="AP277" i="31" a="1"/>
  <c r="AP277" i="31" s="1"/>
  <c r="AH277" i="31" a="1"/>
  <c r="AH277" i="31" s="1"/>
  <c r="BD277" i="31" a="1"/>
  <c r="BD277" i="31" s="1"/>
  <c r="BL277" i="31" a="1"/>
  <c r="BL277" i="31" s="1"/>
  <c r="BC277" i="31" a="1"/>
  <c r="BC277" i="31" s="1"/>
  <c r="AV277" i="31" a="1"/>
  <c r="AV277" i="31" s="1"/>
  <c r="AO277" i="31" a="1"/>
  <c r="AO277" i="31" s="1"/>
  <c r="BJ277" i="31" a="1"/>
  <c r="BJ277" i="31" s="1"/>
  <c r="BB277" i="31" a="1"/>
  <c r="BB277" i="31" s="1"/>
  <c r="AU277" i="31" a="1"/>
  <c r="AU277" i="31" s="1"/>
  <c r="BP277" i="31" a="1"/>
  <c r="BP277" i="31" s="1"/>
  <c r="BH277" i="31" a="1"/>
  <c r="BH277" i="31" s="1"/>
  <c r="BA277" i="31" a="1"/>
  <c r="BA277" i="31" s="1"/>
  <c r="AK277" i="31" a="1"/>
  <c r="AK277" i="31" s="1"/>
  <c r="BO277" i="31" a="1"/>
  <c r="BO277" i="31" s="1"/>
  <c r="BG277" i="31" a="1"/>
  <c r="BG277" i="31" s="1"/>
  <c r="AJ277" i="31" a="1"/>
  <c r="AJ277" i="31" s="1"/>
  <c r="BI277" i="31" a="1"/>
  <c r="BI277" i="31" s="1"/>
  <c r="AT277" i="31" a="1"/>
  <c r="AT277" i="31" s="1"/>
  <c r="AL277" i="31" a="1"/>
  <c r="AL277" i="31" s="1"/>
  <c r="C278" i="31"/>
  <c r="C74" i="31"/>
  <c r="BS4" i="31"/>
  <c r="BS7" i="31"/>
  <c r="BS8" i="31"/>
  <c r="BT5" i="31"/>
  <c r="BS6" i="31"/>
  <c r="BP4" i="30"/>
  <c r="BQ5" i="30"/>
  <c r="BP8" i="30"/>
  <c r="BP7" i="30"/>
  <c r="BP6" i="30"/>
  <c r="D70" i="30"/>
  <c r="BZ97" i="8" l="1"/>
  <c r="BZ98" i="8"/>
  <c r="CA96" i="8"/>
  <c r="BZ95" i="8"/>
  <c r="BZ99" i="8"/>
  <c r="BP227" i="31" a="1"/>
  <c r="BP227" i="31" s="1"/>
  <c r="BQ227" i="31" a="1"/>
  <c r="BQ227" i="31" s="1"/>
  <c r="AH74" i="31" a="1"/>
  <c r="AH74" i="31" s="1"/>
  <c r="AI74" i="31" a="1"/>
  <c r="AI74" i="31" s="1"/>
  <c r="AJ74" i="31" a="1"/>
  <c r="AJ74" i="31" s="1"/>
  <c r="AK74" i="31" a="1"/>
  <c r="AK74" i="31" s="1"/>
  <c r="AL74" i="31" a="1"/>
  <c r="AL74" i="31" s="1"/>
  <c r="AM74" i="31" a="1"/>
  <c r="AM74" i="31" s="1"/>
  <c r="AN74" i="31" a="1"/>
  <c r="AN74" i="31" s="1"/>
  <c r="AO74" i="31" a="1"/>
  <c r="AO74" i="31" s="1"/>
  <c r="AP74" i="31" a="1"/>
  <c r="AP74" i="31" s="1"/>
  <c r="AQ74" i="31" a="1"/>
  <c r="AQ74" i="31" s="1"/>
  <c r="AR74" i="31" a="1"/>
  <c r="AR74" i="31" s="1"/>
  <c r="AS74" i="31" a="1"/>
  <c r="AS74" i="31" s="1"/>
  <c r="AT74" i="31" a="1"/>
  <c r="AT74" i="31" s="1"/>
  <c r="AU74" i="31" a="1"/>
  <c r="AU74" i="31" s="1"/>
  <c r="AV74" i="31" a="1"/>
  <c r="AV74" i="31" s="1"/>
  <c r="AW74" i="31" a="1"/>
  <c r="AW74" i="31" s="1"/>
  <c r="AX74" i="31" a="1"/>
  <c r="AX74" i="31" s="1"/>
  <c r="AY74" i="31" a="1"/>
  <c r="AY74" i="31" s="1"/>
  <c r="AZ74" i="31" a="1"/>
  <c r="AZ74" i="31" s="1"/>
  <c r="BA74" i="31" a="1"/>
  <c r="BA74" i="31" s="1"/>
  <c r="BB74" i="31" a="1"/>
  <c r="BB74" i="31" s="1"/>
  <c r="BC74" i="31" a="1"/>
  <c r="BC74" i="31" s="1"/>
  <c r="BD74" i="31" a="1"/>
  <c r="BD74" i="31" s="1"/>
  <c r="BE74" i="31" a="1"/>
  <c r="BE74" i="31" s="1"/>
  <c r="BF74" i="31" a="1"/>
  <c r="BF74" i="31" s="1"/>
  <c r="BG74" i="31" a="1"/>
  <c r="BG74" i="31" s="1"/>
  <c r="BH74" i="31" a="1"/>
  <c r="BH74" i="31" s="1"/>
  <c r="BI74" i="31" a="1"/>
  <c r="BI74" i="31" s="1"/>
  <c r="BJ74" i="31" a="1"/>
  <c r="BJ74" i="31" s="1"/>
  <c r="BK74" i="31" a="1"/>
  <c r="BK74" i="31" s="1"/>
  <c r="BL74" i="31" a="1"/>
  <c r="BL74" i="31" s="1"/>
  <c r="BM74" i="31" a="1"/>
  <c r="BM74" i="31" s="1"/>
  <c r="BN74" i="31" a="1"/>
  <c r="BN74" i="31" s="1"/>
  <c r="BO74" i="31" a="1"/>
  <c r="BO74" i="31" s="1"/>
  <c r="BP74" i="31" a="1"/>
  <c r="BP74" i="31" s="1"/>
  <c r="BQ74" i="31" a="1"/>
  <c r="BQ74" i="31" s="1"/>
  <c r="BO176" i="31" a="1"/>
  <c r="BO176" i="31" s="1"/>
  <c r="BS125" i="31" a="1"/>
  <c r="BS125" i="31" s="1"/>
  <c r="BS124" i="31" a="1"/>
  <c r="BS124" i="31" s="1"/>
  <c r="BS74" i="31" a="1"/>
  <c r="BS74" i="31" s="1"/>
  <c r="BS73" i="31" a="1"/>
  <c r="BS73" i="31" s="1"/>
  <c r="BS176" i="31" a="1"/>
  <c r="BS176" i="31" s="1"/>
  <c r="BS175" i="31" a="1"/>
  <c r="BS175" i="31" s="1"/>
  <c r="BS227" i="31" a="1"/>
  <c r="BS227" i="31" s="1"/>
  <c r="BS226" i="31" a="1"/>
  <c r="BS226" i="31" s="1"/>
  <c r="BS277" i="31" a="1"/>
  <c r="BS277" i="31" s="1"/>
  <c r="BP125" i="31" a="1"/>
  <c r="BP125" i="31" s="1"/>
  <c r="BR176" i="31" a="1"/>
  <c r="BR176" i="31" s="1"/>
  <c r="BQ125" i="31" a="1"/>
  <c r="BQ125" i="31" s="1"/>
  <c r="BR74" i="31" a="1"/>
  <c r="BR74" i="31" s="1"/>
  <c r="BQ176" i="31" a="1"/>
  <c r="BQ176" i="31" s="1"/>
  <c r="BR227" i="31" a="1"/>
  <c r="BR227" i="31" s="1"/>
  <c r="BR125" i="31" a="1"/>
  <c r="BR125" i="31" s="1"/>
  <c r="BP176" i="31" a="1"/>
  <c r="BP176" i="31" s="1"/>
  <c r="BR278" i="31" a="1"/>
  <c r="BR278" i="31" s="1"/>
  <c r="BQ278" i="31" a="1"/>
  <c r="BQ278" i="31" s="1"/>
  <c r="BK278" i="31" a="1"/>
  <c r="BK278" i="31" s="1"/>
  <c r="AY278" i="31" a="1"/>
  <c r="AY278" i="31" s="1"/>
  <c r="AS278" i="31" a="1"/>
  <c r="AS278" i="31" s="1"/>
  <c r="AM278" i="31" a="1"/>
  <c r="AM278" i="31" s="1"/>
  <c r="BJ278" i="31" a="1"/>
  <c r="BJ278" i="31" s="1"/>
  <c r="BE278" i="31" a="1"/>
  <c r="BE278" i="31" s="1"/>
  <c r="AX278" i="31" a="1"/>
  <c r="AX278" i="31" s="1"/>
  <c r="AR278" i="31" a="1"/>
  <c r="AR278" i="31" s="1"/>
  <c r="AL278" i="31" a="1"/>
  <c r="AL278" i="31" s="1"/>
  <c r="BO278" i="31" a="1"/>
  <c r="BO278" i="31" s="1"/>
  <c r="AP278" i="31" a="1"/>
  <c r="AP278" i="31" s="1"/>
  <c r="AK278" i="31" a="1"/>
  <c r="AK278" i="31" s="1"/>
  <c r="BM278" i="31" a="1"/>
  <c r="BM278" i="31" s="1"/>
  <c r="BD278" i="31" a="1"/>
  <c r="BD278" i="31" s="1"/>
  <c r="AT278" i="31" a="1"/>
  <c r="AT278" i="31" s="1"/>
  <c r="BC278" i="31" a="1"/>
  <c r="BC278" i="31" s="1"/>
  <c r="AJ278" i="31" a="1"/>
  <c r="AJ278" i="31" s="1"/>
  <c r="BL278" i="31" a="1"/>
  <c r="BL278" i="31" s="1"/>
  <c r="BB278" i="31" a="1"/>
  <c r="BB278" i="31" s="1"/>
  <c r="AQ278" i="31" a="1"/>
  <c r="AQ278" i="31" s="1"/>
  <c r="AI278" i="31" a="1"/>
  <c r="AI278" i="31" s="1"/>
  <c r="BI278" i="31" a="1"/>
  <c r="BI278" i="31" s="1"/>
  <c r="BA278" i="31" a="1"/>
  <c r="BA278" i="31" s="1"/>
  <c r="AH278" i="31" a="1"/>
  <c r="AH278" i="31" s="1"/>
  <c r="BS278" i="31" a="1"/>
  <c r="BS278" i="31" s="1"/>
  <c r="BH278" i="31" a="1"/>
  <c r="BH278" i="31" s="1"/>
  <c r="AZ278" i="31" a="1"/>
  <c r="AZ278" i="31" s="1"/>
  <c r="AO278" i="31" a="1"/>
  <c r="AO278" i="31" s="1"/>
  <c r="BP278" i="31" a="1"/>
  <c r="BP278" i="31" s="1"/>
  <c r="BG278" i="31" a="1"/>
  <c r="BG278" i="31" s="1"/>
  <c r="AV278" i="31" a="1"/>
  <c r="AV278" i="31" s="1"/>
  <c r="BN278" i="31" a="1"/>
  <c r="BN278" i="31" s="1"/>
  <c r="BF278" i="31" a="1"/>
  <c r="BF278" i="31" s="1"/>
  <c r="AU278" i="31" a="1"/>
  <c r="AU278" i="31" s="1"/>
  <c r="AN278" i="31" a="1"/>
  <c r="AN278" i="31" s="1"/>
  <c r="AW278" i="31" a="1"/>
  <c r="AW278" i="31" s="1"/>
  <c r="C279" i="31"/>
  <c r="C75" i="31"/>
  <c r="BS126" i="31" s="1" a="1"/>
  <c r="BS126" i="31" s="1"/>
  <c r="BT4" i="31"/>
  <c r="BT7" i="31"/>
  <c r="BT8" i="31"/>
  <c r="BU5" i="31"/>
  <c r="BT6" i="31"/>
  <c r="D71" i="30"/>
  <c r="BQ6" i="30"/>
  <c r="BR5" i="30"/>
  <c r="BQ8" i="30"/>
  <c r="BQ4" i="30"/>
  <c r="BQ7" i="30"/>
  <c r="BO177" i="31" l="1" a="1"/>
  <c r="BO177" i="31" s="1"/>
  <c r="BP228" i="31" a="1"/>
  <c r="BP228" i="31" s="1"/>
  <c r="BS75" i="31" a="1"/>
  <c r="BS75" i="31" s="1"/>
  <c r="CA97" i="8"/>
  <c r="CA98" i="8"/>
  <c r="CA99" i="8"/>
  <c r="CA95" i="8"/>
  <c r="CB96" i="8"/>
  <c r="BQ177" i="31" a="1"/>
  <c r="BQ177" i="31" s="1"/>
  <c r="BQ126" i="31" a="1"/>
  <c r="BQ126" i="31" s="1"/>
  <c r="BT126" i="31" a="1"/>
  <c r="BT126" i="31" s="1"/>
  <c r="BT125" i="31" a="1"/>
  <c r="BT125" i="31" s="1"/>
  <c r="BT74" i="31" a="1"/>
  <c r="BT74" i="31" s="1"/>
  <c r="BT75" i="31" a="1"/>
  <c r="BT75" i="31" s="1"/>
  <c r="BT177" i="31" a="1"/>
  <c r="BT177" i="31" s="1"/>
  <c r="BT176" i="31" a="1"/>
  <c r="BT176" i="31" s="1"/>
  <c r="BT228" i="31" a="1"/>
  <c r="BT228" i="31" s="1"/>
  <c r="BT227" i="31" a="1"/>
  <c r="BT227" i="31" s="1"/>
  <c r="BS228" i="31" a="1"/>
  <c r="BS228" i="31" s="1"/>
  <c r="BS177" i="31" a="1"/>
  <c r="BS177" i="31" s="1"/>
  <c r="BQ228" i="31" a="1"/>
  <c r="BQ228" i="31" s="1"/>
  <c r="AH75" i="31" a="1"/>
  <c r="AH75" i="31" s="1"/>
  <c r="AI75" i="31" a="1"/>
  <c r="AI75" i="31" s="1"/>
  <c r="AJ75" i="31" a="1"/>
  <c r="AJ75" i="31" s="1"/>
  <c r="AK75" i="31" a="1"/>
  <c r="AK75" i="31" s="1"/>
  <c r="AL75" i="31" a="1"/>
  <c r="AL75" i="31" s="1"/>
  <c r="AM75" i="31" a="1"/>
  <c r="AM75" i="31" s="1"/>
  <c r="AN75" i="31" a="1"/>
  <c r="AN75" i="31" s="1"/>
  <c r="AO75" i="31" a="1"/>
  <c r="AO75" i="31" s="1"/>
  <c r="AP75" i="31" a="1"/>
  <c r="AP75" i="31" s="1"/>
  <c r="AQ75" i="31" a="1"/>
  <c r="AQ75" i="31" s="1"/>
  <c r="AR75" i="31" a="1"/>
  <c r="AR75" i="31" s="1"/>
  <c r="AS75" i="31" a="1"/>
  <c r="AS75" i="31" s="1"/>
  <c r="AT75" i="31" a="1"/>
  <c r="AT75" i="31" s="1"/>
  <c r="AU75" i="31" a="1"/>
  <c r="AU75" i="31" s="1"/>
  <c r="AV75" i="31" a="1"/>
  <c r="AV75" i="31" s="1"/>
  <c r="AW75" i="31" a="1"/>
  <c r="AW75" i="31" s="1"/>
  <c r="AX75" i="31" a="1"/>
  <c r="AX75" i="31" s="1"/>
  <c r="AY75" i="31" a="1"/>
  <c r="AY75" i="31" s="1"/>
  <c r="AZ75" i="31" a="1"/>
  <c r="AZ75" i="31" s="1"/>
  <c r="BA75" i="31" a="1"/>
  <c r="BA75" i="31" s="1"/>
  <c r="BB75" i="31" a="1"/>
  <c r="BB75" i="31" s="1"/>
  <c r="BC75" i="31" a="1"/>
  <c r="BC75" i="31" s="1"/>
  <c r="BD75" i="31" a="1"/>
  <c r="BD75" i="31" s="1"/>
  <c r="BE75" i="31" a="1"/>
  <c r="BE75" i="31" s="1"/>
  <c r="BF75" i="31" a="1"/>
  <c r="BF75" i="31" s="1"/>
  <c r="BG75" i="31" a="1"/>
  <c r="BG75" i="31" s="1"/>
  <c r="BH75" i="31" a="1"/>
  <c r="BH75" i="31" s="1"/>
  <c r="BI75" i="31" a="1"/>
  <c r="BI75" i="31" s="1"/>
  <c r="BJ75" i="31" a="1"/>
  <c r="BJ75" i="31" s="1"/>
  <c r="BK75" i="31" a="1"/>
  <c r="BK75" i="31" s="1"/>
  <c r="BL75" i="31" a="1"/>
  <c r="BL75" i="31" s="1"/>
  <c r="BM75" i="31" a="1"/>
  <c r="BM75" i="31" s="1"/>
  <c r="BN75" i="31" a="1"/>
  <c r="BN75" i="31" s="1"/>
  <c r="BO75" i="31" a="1"/>
  <c r="BO75" i="31" s="1"/>
  <c r="BP75" i="31" a="1"/>
  <c r="BP75" i="31" s="1"/>
  <c r="BQ75" i="31" a="1"/>
  <c r="BQ75" i="31" s="1"/>
  <c r="BR75" i="31" a="1"/>
  <c r="BR75" i="31" s="1"/>
  <c r="BR126" i="31" a="1"/>
  <c r="BR126" i="31" s="1"/>
  <c r="BT278" i="31" a="1"/>
  <c r="BT278" i="31" s="1"/>
  <c r="BR228" i="31" a="1"/>
  <c r="BR228" i="31" s="1"/>
  <c r="BR177" i="31" a="1"/>
  <c r="BR177" i="31" s="1"/>
  <c r="BP279" i="31" a="1"/>
  <c r="BP279" i="31" s="1"/>
  <c r="BK279" i="31" a="1"/>
  <c r="BK279" i="31" s="1"/>
  <c r="AT279" i="31" a="1"/>
  <c r="AT279" i="31" s="1"/>
  <c r="AO279" i="31" a="1"/>
  <c r="AO279" i="31" s="1"/>
  <c r="BJ279" i="31" a="1"/>
  <c r="BJ279" i="31" s="1"/>
  <c r="BE279" i="31" a="1"/>
  <c r="BE279" i="31" s="1"/>
  <c r="AZ279" i="31" a="1"/>
  <c r="AZ279" i="31" s="1"/>
  <c r="AS279" i="31" a="1"/>
  <c r="AS279" i="31" s="1"/>
  <c r="AN279" i="31" a="1"/>
  <c r="AN279" i="31" s="1"/>
  <c r="AH279" i="31" a="1"/>
  <c r="AH279" i="31" s="1"/>
  <c r="BT279" i="31" a="1"/>
  <c r="BT279" i="31" s="1"/>
  <c r="BN279" i="31" a="1"/>
  <c r="BN279" i="31" s="1"/>
  <c r="BI279" i="31" a="1"/>
  <c r="BI279" i="31" s="1"/>
  <c r="AX279" i="31" a="1"/>
  <c r="AX279" i="31" s="1"/>
  <c r="AR279" i="31" a="1"/>
  <c r="AR279" i="31" s="1"/>
  <c r="AM279" i="31" a="1"/>
  <c r="AM279" i="31" s="1"/>
  <c r="BM279" i="31" a="1"/>
  <c r="BM279" i="31" s="1"/>
  <c r="BH279" i="31" a="1"/>
  <c r="BH279" i="31" s="1"/>
  <c r="BC279" i="31" a="1"/>
  <c r="BC279" i="31" s="1"/>
  <c r="AW279" i="31" a="1"/>
  <c r="AW279" i="31" s="1"/>
  <c r="AL279" i="31" a="1"/>
  <c r="AL279" i="31" s="1"/>
  <c r="BR279" i="31" a="1"/>
  <c r="BR279" i="31" s="1"/>
  <c r="BL279" i="31" a="1"/>
  <c r="BL279" i="31" s="1"/>
  <c r="BG279" i="31" a="1"/>
  <c r="BG279" i="31" s="1"/>
  <c r="AV279" i="31" a="1"/>
  <c r="AV279" i="31" s="1"/>
  <c r="AP279" i="31" a="1"/>
  <c r="AP279" i="31" s="1"/>
  <c r="AJ279" i="31" a="1"/>
  <c r="AJ279" i="31" s="1"/>
  <c r="BS279" i="31" a="1"/>
  <c r="BS279" i="31" s="1"/>
  <c r="BD279" i="31" a="1"/>
  <c r="BD279" i="31" s="1"/>
  <c r="BQ279" i="31" a="1"/>
  <c r="BQ279" i="31" s="1"/>
  <c r="BB279" i="31" a="1"/>
  <c r="BB279" i="31" s="1"/>
  <c r="BO279" i="31" a="1"/>
  <c r="BO279" i="31" s="1"/>
  <c r="BA279" i="31" a="1"/>
  <c r="BA279" i="31" s="1"/>
  <c r="AK279" i="31" a="1"/>
  <c r="AK279" i="31" s="1"/>
  <c r="AY279" i="31" a="1"/>
  <c r="AY279" i="31" s="1"/>
  <c r="AI279" i="31" a="1"/>
  <c r="AI279" i="31" s="1"/>
  <c r="BF279" i="31" a="1"/>
  <c r="BF279" i="31" s="1"/>
  <c r="AQ279" i="31" a="1"/>
  <c r="AQ279" i="31" s="1"/>
  <c r="AU279" i="31" a="1"/>
  <c r="AU279" i="31" s="1"/>
  <c r="C280" i="31"/>
  <c r="C76" i="31"/>
  <c r="BS178" i="31" s="1" a="1"/>
  <c r="BS178" i="31" s="1"/>
  <c r="BU6" i="31"/>
  <c r="BU4" i="31"/>
  <c r="BU7" i="31"/>
  <c r="BU8" i="31"/>
  <c r="BU279" i="31" s="1" a="1"/>
  <c r="BU279" i="31" s="1"/>
  <c r="BV5" i="31"/>
  <c r="BS5" i="30"/>
  <c r="BR8" i="30"/>
  <c r="BR7" i="30"/>
  <c r="BR4" i="30"/>
  <c r="BR6" i="30"/>
  <c r="D72" i="30"/>
  <c r="CB98" i="8" l="1"/>
  <c r="CC96" i="8"/>
  <c r="CB99" i="8"/>
  <c r="CB95" i="8"/>
  <c r="CB97" i="8"/>
  <c r="BT178" i="31" a="1"/>
  <c r="BT178" i="31" s="1"/>
  <c r="BT76" i="31" a="1"/>
  <c r="BT76" i="31" s="1"/>
  <c r="BT127" i="31" a="1"/>
  <c r="BT127" i="31" s="1"/>
  <c r="BR229" i="31" a="1"/>
  <c r="BR229" i="31" s="1"/>
  <c r="AH76" i="31" a="1"/>
  <c r="AH76" i="31" s="1"/>
  <c r="AI76" i="31" a="1"/>
  <c r="AI76" i="31" s="1"/>
  <c r="AJ76" i="31" a="1"/>
  <c r="AJ76" i="31" s="1"/>
  <c r="AK76" i="31" a="1"/>
  <c r="AK76" i="31" s="1"/>
  <c r="AL76" i="31" a="1"/>
  <c r="AL76" i="31" s="1"/>
  <c r="AM76" i="31" a="1"/>
  <c r="AM76" i="31" s="1"/>
  <c r="AN76" i="31" a="1"/>
  <c r="AN76" i="31" s="1"/>
  <c r="AO76" i="31" a="1"/>
  <c r="AO76" i="31" s="1"/>
  <c r="AP76" i="31" a="1"/>
  <c r="AP76" i="31" s="1"/>
  <c r="AQ76" i="31" a="1"/>
  <c r="AQ76" i="31" s="1"/>
  <c r="AR76" i="31" a="1"/>
  <c r="AR76" i="31" s="1"/>
  <c r="AS76" i="31" a="1"/>
  <c r="AS76" i="31" s="1"/>
  <c r="AT76" i="31" a="1"/>
  <c r="AT76" i="31" s="1"/>
  <c r="AU76" i="31" a="1"/>
  <c r="AU76" i="31" s="1"/>
  <c r="AV76" i="31" a="1"/>
  <c r="AV76" i="31" s="1"/>
  <c r="AW76" i="31" a="1"/>
  <c r="AW76" i="31" s="1"/>
  <c r="AX76" i="31" a="1"/>
  <c r="AX76" i="31" s="1"/>
  <c r="AY76" i="31" a="1"/>
  <c r="AY76" i="31" s="1"/>
  <c r="AZ76" i="31" a="1"/>
  <c r="AZ76" i="31" s="1"/>
  <c r="BA76" i="31" a="1"/>
  <c r="BA76" i="31" s="1"/>
  <c r="BB76" i="31" a="1"/>
  <c r="BB76" i="31" s="1"/>
  <c r="BC76" i="31" a="1"/>
  <c r="BC76" i="31" s="1"/>
  <c r="BD76" i="31" a="1"/>
  <c r="BD76" i="31" s="1"/>
  <c r="BE76" i="31" a="1"/>
  <c r="BE76" i="31" s="1"/>
  <c r="BF76" i="31" a="1"/>
  <c r="BF76" i="31" s="1"/>
  <c r="BG76" i="31" a="1"/>
  <c r="BG76" i="31" s="1"/>
  <c r="BH76" i="31" a="1"/>
  <c r="BH76" i="31" s="1"/>
  <c r="BI76" i="31" a="1"/>
  <c r="BI76" i="31" s="1"/>
  <c r="BJ76" i="31" a="1"/>
  <c r="BJ76" i="31" s="1"/>
  <c r="BK76" i="31" a="1"/>
  <c r="BK76" i="31" s="1"/>
  <c r="BL76" i="31" a="1"/>
  <c r="BL76" i="31" s="1"/>
  <c r="BM76" i="31" a="1"/>
  <c r="BM76" i="31" s="1"/>
  <c r="BN76" i="31" a="1"/>
  <c r="BN76" i="31" s="1"/>
  <c r="BO76" i="31" a="1"/>
  <c r="BO76" i="31" s="1"/>
  <c r="BP76" i="31" a="1"/>
  <c r="BP76" i="31" s="1"/>
  <c r="BQ76" i="31" a="1"/>
  <c r="BQ76" i="31" s="1"/>
  <c r="BR76" i="31" a="1"/>
  <c r="BR76" i="31" s="1"/>
  <c r="BR127" i="31" a="1"/>
  <c r="BR127" i="31" s="1"/>
  <c r="BS76" i="31" a="1"/>
  <c r="BS76" i="31" s="1"/>
  <c r="BT229" i="31" a="1"/>
  <c r="BT229" i="31" s="1"/>
  <c r="BS127" i="31" a="1"/>
  <c r="BS127" i="31" s="1"/>
  <c r="BS229" i="31" a="1"/>
  <c r="BS229" i="31" s="1"/>
  <c r="BU126" i="31" a="1"/>
  <c r="BU126" i="31" s="1"/>
  <c r="BU127" i="31" a="1"/>
  <c r="BU127" i="31" s="1"/>
  <c r="BU76" i="31" a="1"/>
  <c r="BU76" i="31" s="1"/>
  <c r="BU75" i="31" a="1"/>
  <c r="BU75" i="31" s="1"/>
  <c r="BU178" i="31" a="1"/>
  <c r="BU178" i="31" s="1"/>
  <c r="BU177" i="31" a="1"/>
  <c r="BU177" i="31" s="1"/>
  <c r="BU229" i="31" a="1"/>
  <c r="BU229" i="31" s="1"/>
  <c r="BU228" i="31" a="1"/>
  <c r="BU228" i="31" s="1"/>
  <c r="BR178" i="31" a="1"/>
  <c r="BR178" i="31" s="1"/>
  <c r="BU280" i="31" a="1"/>
  <c r="BU280" i="31" s="1"/>
  <c r="BM280" i="31" a="1"/>
  <c r="BM280" i="31" s="1"/>
  <c r="BE280" i="31" a="1"/>
  <c r="BE280" i="31" s="1"/>
  <c r="AW280" i="31" a="1"/>
  <c r="AW280" i="31" s="1"/>
  <c r="AO280" i="31" a="1"/>
  <c r="AO280" i="31" s="1"/>
  <c r="BT280" i="31" a="1"/>
  <c r="BT280" i="31" s="1"/>
  <c r="BL280" i="31" a="1"/>
  <c r="BL280" i="31" s="1"/>
  <c r="BD280" i="31" a="1"/>
  <c r="BD280" i="31" s="1"/>
  <c r="AV280" i="31" a="1"/>
  <c r="AV280" i="31" s="1"/>
  <c r="AN280" i="31" a="1"/>
  <c r="AN280" i="31" s="1"/>
  <c r="BR280" i="31" a="1"/>
  <c r="BR280" i="31" s="1"/>
  <c r="BJ280" i="31" a="1"/>
  <c r="BJ280" i="31" s="1"/>
  <c r="BB280" i="31" a="1"/>
  <c r="BB280" i="31" s="1"/>
  <c r="AT280" i="31" a="1"/>
  <c r="AT280" i="31" s="1"/>
  <c r="AL280" i="31" a="1"/>
  <c r="AL280" i="31" s="1"/>
  <c r="BQ280" i="31" a="1"/>
  <c r="BQ280" i="31" s="1"/>
  <c r="BI280" i="31" a="1"/>
  <c r="BI280" i="31" s="1"/>
  <c r="BA280" i="31" a="1"/>
  <c r="BA280" i="31" s="1"/>
  <c r="AS280" i="31" a="1"/>
  <c r="AS280" i="31" s="1"/>
  <c r="AK280" i="31" a="1"/>
  <c r="AK280" i="31" s="1"/>
  <c r="BO280" i="31" a="1"/>
  <c r="BO280" i="31" s="1"/>
  <c r="BG280" i="31" a="1"/>
  <c r="BG280" i="31" s="1"/>
  <c r="AY280" i="31" a="1"/>
  <c r="AY280" i="31" s="1"/>
  <c r="AQ280" i="31" a="1"/>
  <c r="AQ280" i="31" s="1"/>
  <c r="AI280" i="31" a="1"/>
  <c r="AI280" i="31" s="1"/>
  <c r="BK280" i="31" a="1"/>
  <c r="BK280" i="31" s="1"/>
  <c r="AP280" i="31" a="1"/>
  <c r="AP280" i="31" s="1"/>
  <c r="BH280" i="31" a="1"/>
  <c r="BH280" i="31" s="1"/>
  <c r="AM280" i="31" a="1"/>
  <c r="AM280" i="31" s="1"/>
  <c r="BF280" i="31" a="1"/>
  <c r="BF280" i="31" s="1"/>
  <c r="AJ280" i="31" a="1"/>
  <c r="AJ280" i="31" s="1"/>
  <c r="BC280" i="31" a="1"/>
  <c r="BC280" i="31" s="1"/>
  <c r="AH280" i="31" a="1"/>
  <c r="AH280" i="31" s="1"/>
  <c r="AZ280" i="31" a="1"/>
  <c r="AZ280" i="31" s="1"/>
  <c r="BP280" i="31" a="1"/>
  <c r="BP280" i="31" s="1"/>
  <c r="AU280" i="31" a="1"/>
  <c r="AU280" i="31" s="1"/>
  <c r="BN280" i="31" a="1"/>
  <c r="BN280" i="31" s="1"/>
  <c r="AR280" i="31" a="1"/>
  <c r="AR280" i="31" s="1"/>
  <c r="AX280" i="31" a="1"/>
  <c r="AX280" i="31" s="1"/>
  <c r="BS280" i="31" a="1"/>
  <c r="BS280" i="31" s="1"/>
  <c r="C281" i="31"/>
  <c r="C77" i="31"/>
  <c r="BT128" i="31" s="1" a="1"/>
  <c r="BT128" i="31" s="1"/>
  <c r="BV6" i="31"/>
  <c r="BV4" i="31"/>
  <c r="BV7" i="31"/>
  <c r="BW5" i="31"/>
  <c r="BV8" i="31"/>
  <c r="D73" i="30"/>
  <c r="BS8" i="30"/>
  <c r="BS4" i="30"/>
  <c r="BS7" i="30"/>
  <c r="BS6" i="30"/>
  <c r="BT5" i="30"/>
  <c r="BQ128" i="31" l="1" a="1"/>
  <c r="BQ128" i="31" s="1"/>
  <c r="CC98" i="8"/>
  <c r="CD96" i="8"/>
  <c r="CC99" i="8"/>
  <c r="CC95" i="8"/>
  <c r="CC97" i="8"/>
  <c r="BU128" i="31" a="1"/>
  <c r="BU128" i="31" s="1"/>
  <c r="BS128" i="31" a="1"/>
  <c r="BS128" i="31" s="1"/>
  <c r="BT179" i="31" a="1"/>
  <c r="BT179" i="31" s="1"/>
  <c r="BS179" i="31" a="1"/>
  <c r="BS179" i="31" s="1"/>
  <c r="BV128" i="31" a="1"/>
  <c r="BV128" i="31" s="1"/>
  <c r="BV127" i="31" a="1"/>
  <c r="BV127" i="31" s="1"/>
  <c r="BV76" i="31" a="1"/>
  <c r="BV76" i="31" s="1"/>
  <c r="BV77" i="31" a="1"/>
  <c r="BV77" i="31" s="1"/>
  <c r="BV179" i="31" a="1"/>
  <c r="BV179" i="31" s="1"/>
  <c r="BV178" i="31" a="1"/>
  <c r="BV178" i="31" s="1"/>
  <c r="BV230" i="31" a="1"/>
  <c r="BV230" i="31" s="1"/>
  <c r="BV229" i="31" a="1"/>
  <c r="BV229" i="31" s="1"/>
  <c r="AH77" i="31" a="1"/>
  <c r="AH77" i="31" s="1"/>
  <c r="AI77" i="31" a="1"/>
  <c r="AI77" i="31" s="1"/>
  <c r="AJ77" i="31" a="1"/>
  <c r="AJ77" i="31" s="1"/>
  <c r="AK77" i="31" a="1"/>
  <c r="AK77" i="31" s="1"/>
  <c r="AL77" i="31" a="1"/>
  <c r="AL77" i="31" s="1"/>
  <c r="AM77" i="31" a="1"/>
  <c r="AM77" i="31" s="1"/>
  <c r="AN77" i="31" a="1"/>
  <c r="AN77" i="31" s="1"/>
  <c r="AO77" i="31" a="1"/>
  <c r="AO77" i="31" s="1"/>
  <c r="AP77" i="31" a="1"/>
  <c r="AP77" i="31" s="1"/>
  <c r="AQ77" i="31" a="1"/>
  <c r="AQ77" i="31" s="1"/>
  <c r="AR77" i="31" a="1"/>
  <c r="AR77" i="31" s="1"/>
  <c r="AS77" i="31" a="1"/>
  <c r="AS77" i="31" s="1"/>
  <c r="AT77" i="31" a="1"/>
  <c r="AT77" i="31" s="1"/>
  <c r="AU77" i="31" a="1"/>
  <c r="AU77" i="31" s="1"/>
  <c r="AV77" i="31" a="1"/>
  <c r="AV77" i="31" s="1"/>
  <c r="AW77" i="31" a="1"/>
  <c r="AW77" i="31" s="1"/>
  <c r="AX77" i="31" a="1"/>
  <c r="AX77" i="31" s="1"/>
  <c r="AY77" i="31" a="1"/>
  <c r="AY77" i="31" s="1"/>
  <c r="AZ77" i="31" a="1"/>
  <c r="AZ77" i="31" s="1"/>
  <c r="BA77" i="31" a="1"/>
  <c r="BA77" i="31" s="1"/>
  <c r="BB77" i="31" a="1"/>
  <c r="BB77" i="31" s="1"/>
  <c r="BC77" i="31" a="1"/>
  <c r="BC77" i="31" s="1"/>
  <c r="BD77" i="31" a="1"/>
  <c r="BD77" i="31" s="1"/>
  <c r="BE77" i="31" a="1"/>
  <c r="BE77" i="31" s="1"/>
  <c r="BF77" i="31" a="1"/>
  <c r="BF77" i="31" s="1"/>
  <c r="BG77" i="31" a="1"/>
  <c r="BG77" i="31" s="1"/>
  <c r="BH77" i="31" a="1"/>
  <c r="BH77" i="31" s="1"/>
  <c r="BI77" i="31" a="1"/>
  <c r="BI77" i="31" s="1"/>
  <c r="BJ77" i="31" a="1"/>
  <c r="BJ77" i="31" s="1"/>
  <c r="BK77" i="31" a="1"/>
  <c r="BK77" i="31" s="1"/>
  <c r="BL77" i="31" a="1"/>
  <c r="BL77" i="31" s="1"/>
  <c r="BM77" i="31" a="1"/>
  <c r="BM77" i="31" s="1"/>
  <c r="BN77" i="31" a="1"/>
  <c r="BN77" i="31" s="1"/>
  <c r="BO77" i="31" a="1"/>
  <c r="BO77" i="31" s="1"/>
  <c r="BP77" i="31" a="1"/>
  <c r="BP77" i="31" s="1"/>
  <c r="BQ77" i="31" a="1"/>
  <c r="BQ77" i="31" s="1"/>
  <c r="BR77" i="31" a="1"/>
  <c r="BR77" i="31" s="1"/>
  <c r="BS77" i="31" a="1"/>
  <c r="BS77" i="31" s="1"/>
  <c r="BT77" i="31" a="1"/>
  <c r="BT77" i="31" s="1"/>
  <c r="BS230" i="31" a="1"/>
  <c r="BS230" i="31" s="1"/>
  <c r="BU77" i="31" a="1"/>
  <c r="BU77" i="31" s="1"/>
  <c r="BV280" i="31" a="1"/>
  <c r="BV280" i="31" s="1"/>
  <c r="BR230" i="31" a="1"/>
  <c r="BR230" i="31" s="1"/>
  <c r="BU230" i="31" a="1"/>
  <c r="BU230" i="31" s="1"/>
  <c r="BU179" i="31" a="1"/>
  <c r="BU179" i="31" s="1"/>
  <c r="BT230" i="31" a="1"/>
  <c r="BT230" i="31" s="1"/>
  <c r="BU281" i="31" a="1"/>
  <c r="BU281" i="31" s="1"/>
  <c r="BM281" i="31" a="1"/>
  <c r="BM281" i="31" s="1"/>
  <c r="BE281" i="31" a="1"/>
  <c r="BE281" i="31" s="1"/>
  <c r="AW281" i="31" a="1"/>
  <c r="AW281" i="31" s="1"/>
  <c r="AO281" i="31" a="1"/>
  <c r="AO281" i="31" s="1"/>
  <c r="BT281" i="31" a="1"/>
  <c r="BT281" i="31" s="1"/>
  <c r="BL281" i="31" a="1"/>
  <c r="BL281" i="31" s="1"/>
  <c r="BD281" i="31" a="1"/>
  <c r="BD281" i="31" s="1"/>
  <c r="AV281" i="31" a="1"/>
  <c r="AV281" i="31" s="1"/>
  <c r="AN281" i="31" a="1"/>
  <c r="AN281" i="31" s="1"/>
  <c r="BR281" i="31" a="1"/>
  <c r="BR281" i="31" s="1"/>
  <c r="BJ281" i="31" a="1"/>
  <c r="BJ281" i="31" s="1"/>
  <c r="BB281" i="31" a="1"/>
  <c r="BB281" i="31" s="1"/>
  <c r="AT281" i="31" a="1"/>
  <c r="AT281" i="31" s="1"/>
  <c r="AL281" i="31" a="1"/>
  <c r="AL281" i="31" s="1"/>
  <c r="BQ281" i="31" a="1"/>
  <c r="BQ281" i="31" s="1"/>
  <c r="BI281" i="31" a="1"/>
  <c r="BI281" i="31" s="1"/>
  <c r="BA281" i="31" a="1"/>
  <c r="BA281" i="31" s="1"/>
  <c r="AS281" i="31" a="1"/>
  <c r="AS281" i="31" s="1"/>
  <c r="AK281" i="31" a="1"/>
  <c r="AK281" i="31" s="1"/>
  <c r="BO281" i="31" a="1"/>
  <c r="BO281" i="31" s="1"/>
  <c r="BG281" i="31" a="1"/>
  <c r="BG281" i="31" s="1"/>
  <c r="AY281" i="31" a="1"/>
  <c r="AY281" i="31" s="1"/>
  <c r="AQ281" i="31" a="1"/>
  <c r="AQ281" i="31" s="1"/>
  <c r="AI281" i="31" a="1"/>
  <c r="AI281" i="31" s="1"/>
  <c r="BF281" i="31" a="1"/>
  <c r="BF281" i="31" s="1"/>
  <c r="AJ281" i="31" a="1"/>
  <c r="AJ281" i="31" s="1"/>
  <c r="BC281" i="31" a="1"/>
  <c r="BC281" i="31" s="1"/>
  <c r="AH281" i="31" a="1"/>
  <c r="AH281" i="31" s="1"/>
  <c r="BV281" i="31" a="1"/>
  <c r="BV281" i="31" s="1"/>
  <c r="AZ281" i="31" a="1"/>
  <c r="AZ281" i="31" s="1"/>
  <c r="BS281" i="31" a="1"/>
  <c r="BS281" i="31" s="1"/>
  <c r="AX281" i="31" a="1"/>
  <c r="AX281" i="31" s="1"/>
  <c r="BP281" i="31" a="1"/>
  <c r="BP281" i="31" s="1"/>
  <c r="AU281" i="31" a="1"/>
  <c r="AU281" i="31" s="1"/>
  <c r="BK281" i="31" a="1"/>
  <c r="BK281" i="31" s="1"/>
  <c r="AP281" i="31" a="1"/>
  <c r="AP281" i="31" s="1"/>
  <c r="BH281" i="31" a="1"/>
  <c r="BH281" i="31" s="1"/>
  <c r="AM281" i="31" a="1"/>
  <c r="AM281" i="31" s="1"/>
  <c r="BN281" i="31" a="1"/>
  <c r="BN281" i="31" s="1"/>
  <c r="AR281" i="31" a="1"/>
  <c r="AR281" i="31" s="1"/>
  <c r="C282" i="31"/>
  <c r="C78" i="31"/>
  <c r="BW6" i="31"/>
  <c r="BW4" i="31"/>
  <c r="BW7" i="31"/>
  <c r="BX5" i="31"/>
  <c r="BW8" i="31"/>
  <c r="BW281" i="31" s="1" a="1"/>
  <c r="BW281" i="31" s="1"/>
  <c r="D74" i="30"/>
  <c r="BT8" i="30"/>
  <c r="BT7" i="30"/>
  <c r="BT4" i="30"/>
  <c r="BU5" i="30"/>
  <c r="BT6" i="30"/>
  <c r="CE96" i="8" l="1"/>
  <c r="CD99" i="8"/>
  <c r="CD95" i="8"/>
  <c r="CD97" i="8"/>
  <c r="CD98" i="8"/>
  <c r="BV231" i="31" a="1"/>
  <c r="BV231" i="31" s="1"/>
  <c r="BV129" i="31" a="1"/>
  <c r="BV129" i="31" s="1"/>
  <c r="BT180" i="31" a="1"/>
  <c r="BT180" i="31" s="1"/>
  <c r="AH78" i="31" a="1"/>
  <c r="AH78" i="31" s="1"/>
  <c r="AI78" i="31" a="1"/>
  <c r="AI78" i="31" s="1"/>
  <c r="AJ78" i="31" a="1"/>
  <c r="AJ78" i="31" s="1"/>
  <c r="AK78" i="31" a="1"/>
  <c r="AK78" i="31" s="1"/>
  <c r="AL78" i="31" a="1"/>
  <c r="AL78" i="31" s="1"/>
  <c r="AM78" i="31" a="1"/>
  <c r="AM78" i="31" s="1"/>
  <c r="AN78" i="31" a="1"/>
  <c r="AN78" i="31" s="1"/>
  <c r="AO78" i="31" a="1"/>
  <c r="AO78" i="31" s="1"/>
  <c r="AP78" i="31" a="1"/>
  <c r="AP78" i="31" s="1"/>
  <c r="AQ78" i="31" a="1"/>
  <c r="AQ78" i="31" s="1"/>
  <c r="AR78" i="31" a="1"/>
  <c r="AR78" i="31" s="1"/>
  <c r="AS78" i="31" a="1"/>
  <c r="AS78" i="31" s="1"/>
  <c r="AT78" i="31" a="1"/>
  <c r="AT78" i="31" s="1"/>
  <c r="AU78" i="31" a="1"/>
  <c r="AU78" i="31" s="1"/>
  <c r="AV78" i="31" a="1"/>
  <c r="AV78" i="31" s="1"/>
  <c r="AW78" i="31" a="1"/>
  <c r="AW78" i="31" s="1"/>
  <c r="AX78" i="31" a="1"/>
  <c r="AX78" i="31" s="1"/>
  <c r="AY78" i="31" a="1"/>
  <c r="AY78" i="31" s="1"/>
  <c r="AZ78" i="31" a="1"/>
  <c r="AZ78" i="31" s="1"/>
  <c r="BA78" i="31" a="1"/>
  <c r="BA78" i="31" s="1"/>
  <c r="BB78" i="31" a="1"/>
  <c r="BB78" i="31" s="1"/>
  <c r="BC78" i="31" a="1"/>
  <c r="BC78" i="31" s="1"/>
  <c r="BD78" i="31" a="1"/>
  <c r="BD78" i="31" s="1"/>
  <c r="BE78" i="31" a="1"/>
  <c r="BE78" i="31" s="1"/>
  <c r="BF78" i="31" a="1"/>
  <c r="BF78" i="31" s="1"/>
  <c r="BG78" i="31" a="1"/>
  <c r="BG78" i="31" s="1"/>
  <c r="BH78" i="31" a="1"/>
  <c r="BH78" i="31" s="1"/>
  <c r="BI78" i="31" a="1"/>
  <c r="BI78" i="31" s="1"/>
  <c r="BJ78" i="31" a="1"/>
  <c r="BJ78" i="31" s="1"/>
  <c r="BK78" i="31" a="1"/>
  <c r="BK78" i="31" s="1"/>
  <c r="BL78" i="31" a="1"/>
  <c r="BL78" i="31" s="1"/>
  <c r="BM78" i="31" a="1"/>
  <c r="BM78" i="31" s="1"/>
  <c r="BN78" i="31" a="1"/>
  <c r="BN78" i="31" s="1"/>
  <c r="BO78" i="31" a="1"/>
  <c r="BO78" i="31" s="1"/>
  <c r="BP78" i="31" a="1"/>
  <c r="BP78" i="31" s="1"/>
  <c r="BQ78" i="31" a="1"/>
  <c r="BQ78" i="31" s="1"/>
  <c r="BR78" i="31" a="1"/>
  <c r="BR78" i="31" s="1"/>
  <c r="BS78" i="31" a="1"/>
  <c r="BS78" i="31" s="1"/>
  <c r="BT78" i="31" a="1"/>
  <c r="BT78" i="31" s="1"/>
  <c r="BU78" i="31" a="1"/>
  <c r="BU78" i="31" s="1"/>
  <c r="BU180" i="31" a="1"/>
  <c r="BU180" i="31" s="1"/>
  <c r="BT231" i="31" a="1"/>
  <c r="BT231" i="31" s="1"/>
  <c r="BV180" i="31" a="1"/>
  <c r="BV180" i="31" s="1"/>
  <c r="BW128" i="31" a="1"/>
  <c r="BW128" i="31" s="1"/>
  <c r="BW129" i="31" a="1"/>
  <c r="BW129" i="31" s="1"/>
  <c r="BW77" i="31" a="1"/>
  <c r="BW77" i="31" s="1"/>
  <c r="BW78" i="31" a="1"/>
  <c r="BW78" i="31" s="1"/>
  <c r="BW179" i="31" a="1"/>
  <c r="BW179" i="31" s="1"/>
  <c r="BW180" i="31" a="1"/>
  <c r="BW180" i="31" s="1"/>
  <c r="BW230" i="31" a="1"/>
  <c r="BW230" i="31" s="1"/>
  <c r="BW231" i="31" a="1"/>
  <c r="BW231" i="31" s="1"/>
  <c r="BT129" i="31" a="1"/>
  <c r="BT129" i="31" s="1"/>
  <c r="BU129" i="31" a="1"/>
  <c r="BU129" i="31" s="1"/>
  <c r="BU231" i="31" a="1"/>
  <c r="BU231" i="31" s="1"/>
  <c r="BV78" i="31" a="1"/>
  <c r="BV78" i="31" s="1"/>
  <c r="BU282" i="31" a="1"/>
  <c r="BU282" i="31" s="1"/>
  <c r="BM282" i="31" a="1"/>
  <c r="BM282" i="31" s="1"/>
  <c r="BE282" i="31" a="1"/>
  <c r="BE282" i="31" s="1"/>
  <c r="AW282" i="31" a="1"/>
  <c r="AW282" i="31" s="1"/>
  <c r="AO282" i="31" a="1"/>
  <c r="AO282" i="31" s="1"/>
  <c r="BT282" i="31" a="1"/>
  <c r="BT282" i="31" s="1"/>
  <c r="BL282" i="31" a="1"/>
  <c r="BL282" i="31" s="1"/>
  <c r="BD282" i="31" a="1"/>
  <c r="BD282" i="31" s="1"/>
  <c r="AV282" i="31" a="1"/>
  <c r="AV282" i="31" s="1"/>
  <c r="AN282" i="31" a="1"/>
  <c r="AN282" i="31" s="1"/>
  <c r="BR282" i="31" a="1"/>
  <c r="BR282" i="31" s="1"/>
  <c r="BJ282" i="31" a="1"/>
  <c r="BJ282" i="31" s="1"/>
  <c r="BB282" i="31" a="1"/>
  <c r="BB282" i="31" s="1"/>
  <c r="AT282" i="31" a="1"/>
  <c r="AT282" i="31" s="1"/>
  <c r="AL282" i="31" a="1"/>
  <c r="AL282" i="31" s="1"/>
  <c r="BQ282" i="31" a="1"/>
  <c r="BQ282" i="31" s="1"/>
  <c r="BI282" i="31" a="1"/>
  <c r="BI282" i="31" s="1"/>
  <c r="BA282" i="31" a="1"/>
  <c r="BA282" i="31" s="1"/>
  <c r="AS282" i="31" a="1"/>
  <c r="AS282" i="31" s="1"/>
  <c r="AK282" i="31" a="1"/>
  <c r="AK282" i="31" s="1"/>
  <c r="BP282" i="31" a="1"/>
  <c r="BP282" i="31" s="1"/>
  <c r="BH282" i="31" a="1"/>
  <c r="BH282" i="31" s="1"/>
  <c r="AZ282" i="31" a="1"/>
  <c r="AZ282" i="31" s="1"/>
  <c r="BW282" i="31" a="1"/>
  <c r="BW282" i="31" s="1"/>
  <c r="BO282" i="31" a="1"/>
  <c r="BO282" i="31" s="1"/>
  <c r="BG282" i="31" a="1"/>
  <c r="BG282" i="31" s="1"/>
  <c r="AY282" i="31" a="1"/>
  <c r="AY282" i="31" s="1"/>
  <c r="AQ282" i="31" a="1"/>
  <c r="AQ282" i="31" s="1"/>
  <c r="AI282" i="31" a="1"/>
  <c r="AI282" i="31" s="1"/>
  <c r="BC282" i="31" a="1"/>
  <c r="BC282" i="31" s="1"/>
  <c r="AX282" i="31" a="1"/>
  <c r="AX282" i="31" s="1"/>
  <c r="AU282" i="31" a="1"/>
  <c r="AU282" i="31" s="1"/>
  <c r="BV282" i="31" a="1"/>
  <c r="BV282" i="31" s="1"/>
  <c r="AR282" i="31" a="1"/>
  <c r="AR282" i="31" s="1"/>
  <c r="BS282" i="31" a="1"/>
  <c r="BS282" i="31" s="1"/>
  <c r="AP282" i="31" a="1"/>
  <c r="AP282" i="31" s="1"/>
  <c r="BK282" i="31" a="1"/>
  <c r="BK282" i="31" s="1"/>
  <c r="AJ282" i="31" a="1"/>
  <c r="AJ282" i="31" s="1"/>
  <c r="BF282" i="31" a="1"/>
  <c r="BF282" i="31" s="1"/>
  <c r="AH282" i="31" a="1"/>
  <c r="AH282" i="31" s="1"/>
  <c r="BN282" i="31" a="1"/>
  <c r="BN282" i="31" s="1"/>
  <c r="AM282" i="31" a="1"/>
  <c r="AM282" i="31" s="1"/>
  <c r="C283" i="31"/>
  <c r="C79" i="31"/>
  <c r="BW130" i="31" s="1" a="1"/>
  <c r="BW130" i="31" s="1"/>
  <c r="BX6" i="31"/>
  <c r="BX4" i="31"/>
  <c r="BX7" i="31"/>
  <c r="BY5" i="31"/>
  <c r="BX8" i="31"/>
  <c r="D75" i="30"/>
  <c r="BU7" i="30"/>
  <c r="BU4" i="30"/>
  <c r="BU6" i="30"/>
  <c r="BV5" i="30"/>
  <c r="BU8" i="30"/>
  <c r="BU181" i="31" l="1" a="1"/>
  <c r="BU181" i="31" s="1"/>
  <c r="BU130" i="31" a="1"/>
  <c r="BU130" i="31" s="1"/>
  <c r="CF96" i="8"/>
  <c r="CE99" i="8"/>
  <c r="CE95" i="8"/>
  <c r="CE97" i="8"/>
  <c r="CE98" i="8"/>
  <c r="BX282" i="31" a="1"/>
  <c r="BX282" i="31" s="1"/>
  <c r="BW232" i="31" a="1"/>
  <c r="BW232" i="31" s="1"/>
  <c r="BV232" i="31" a="1"/>
  <c r="BV232" i="31" s="1"/>
  <c r="BW181" i="31" a="1"/>
  <c r="BW181" i="31" s="1"/>
  <c r="AH79" i="31" a="1"/>
  <c r="AH79" i="31" s="1"/>
  <c r="AI79" i="31" a="1"/>
  <c r="AI79" i="31" s="1"/>
  <c r="AJ79" i="31" a="1"/>
  <c r="AJ79" i="31" s="1"/>
  <c r="AK79" i="31" a="1"/>
  <c r="AK79" i="31" s="1"/>
  <c r="AL79" i="31" a="1"/>
  <c r="AL79" i="31" s="1"/>
  <c r="AM79" i="31" a="1"/>
  <c r="AM79" i="31" s="1"/>
  <c r="AN79" i="31" a="1"/>
  <c r="AN79" i="31" s="1"/>
  <c r="AO79" i="31" a="1"/>
  <c r="AO79" i="31" s="1"/>
  <c r="AP79" i="31" a="1"/>
  <c r="AP79" i="31" s="1"/>
  <c r="AQ79" i="31" a="1"/>
  <c r="AQ79" i="31" s="1"/>
  <c r="AR79" i="31" a="1"/>
  <c r="AR79" i="31" s="1"/>
  <c r="AS79" i="31" a="1"/>
  <c r="AS79" i="31" s="1"/>
  <c r="AT79" i="31" a="1"/>
  <c r="AT79" i="31" s="1"/>
  <c r="AU79" i="31" a="1"/>
  <c r="AU79" i="31" s="1"/>
  <c r="AV79" i="31" a="1"/>
  <c r="AV79" i="31" s="1"/>
  <c r="AW79" i="31" a="1"/>
  <c r="AW79" i="31" s="1"/>
  <c r="AX79" i="31" a="1"/>
  <c r="AX79" i="31" s="1"/>
  <c r="AY79" i="31" a="1"/>
  <c r="AY79" i="31" s="1"/>
  <c r="AZ79" i="31" a="1"/>
  <c r="AZ79" i="31" s="1"/>
  <c r="BA79" i="31" a="1"/>
  <c r="BA79" i="31" s="1"/>
  <c r="BB79" i="31" a="1"/>
  <c r="BB79" i="31" s="1"/>
  <c r="BC79" i="31" a="1"/>
  <c r="BC79" i="31" s="1"/>
  <c r="BD79" i="31" a="1"/>
  <c r="BD79" i="31" s="1"/>
  <c r="BE79" i="31" a="1"/>
  <c r="BE79" i="31" s="1"/>
  <c r="BF79" i="31" a="1"/>
  <c r="BF79" i="31" s="1"/>
  <c r="BG79" i="31" a="1"/>
  <c r="BG79" i="31" s="1"/>
  <c r="BH79" i="31" a="1"/>
  <c r="BH79" i="31" s="1"/>
  <c r="BI79" i="31" a="1"/>
  <c r="BI79" i="31" s="1"/>
  <c r="BJ79" i="31" a="1"/>
  <c r="BJ79" i="31" s="1"/>
  <c r="BK79" i="31" a="1"/>
  <c r="BK79" i="31" s="1"/>
  <c r="BL79" i="31" a="1"/>
  <c r="BL79" i="31" s="1"/>
  <c r="BM79" i="31" a="1"/>
  <c r="BM79" i="31" s="1"/>
  <c r="BN79" i="31" a="1"/>
  <c r="BN79" i="31" s="1"/>
  <c r="BO79" i="31" a="1"/>
  <c r="BO79" i="31" s="1"/>
  <c r="BP79" i="31" a="1"/>
  <c r="BP79" i="31" s="1"/>
  <c r="BQ79" i="31" a="1"/>
  <c r="BQ79" i="31" s="1"/>
  <c r="BR79" i="31" a="1"/>
  <c r="BR79" i="31" s="1"/>
  <c r="BS79" i="31" a="1"/>
  <c r="BS79" i="31" s="1"/>
  <c r="BT79" i="31" a="1"/>
  <c r="BT79" i="31" s="1"/>
  <c r="BU79" i="31" a="1"/>
  <c r="BU79" i="31" s="1"/>
  <c r="BV79" i="31" a="1"/>
  <c r="BV79" i="31" s="1"/>
  <c r="BU232" i="31" a="1"/>
  <c r="BU232" i="31" s="1"/>
  <c r="BW79" i="31" a="1"/>
  <c r="BW79" i="31" s="1"/>
  <c r="BV130" i="31" a="1"/>
  <c r="BV130" i="31" s="1"/>
  <c r="BX129" i="31" a="1"/>
  <c r="BX129" i="31" s="1"/>
  <c r="BX130" i="31" a="1"/>
  <c r="BX130" i="31" s="1"/>
  <c r="BX78" i="31" a="1"/>
  <c r="BX78" i="31" s="1"/>
  <c r="BX79" i="31" a="1"/>
  <c r="BX79" i="31" s="1"/>
  <c r="BX181" i="31" a="1"/>
  <c r="BX181" i="31" s="1"/>
  <c r="BX180" i="31" a="1"/>
  <c r="BX180" i="31" s="1"/>
  <c r="BX231" i="31" a="1"/>
  <c r="BX231" i="31" s="1"/>
  <c r="BX232" i="31" a="1"/>
  <c r="BX232" i="31" s="1"/>
  <c r="BV181" i="31" a="1"/>
  <c r="BV181" i="31" s="1"/>
  <c r="BU283" i="31" a="1"/>
  <c r="BU283" i="31" s="1"/>
  <c r="BM283" i="31" a="1"/>
  <c r="BM283" i="31" s="1"/>
  <c r="BE283" i="31" a="1"/>
  <c r="BE283" i="31" s="1"/>
  <c r="AW283" i="31" a="1"/>
  <c r="AW283" i="31" s="1"/>
  <c r="AO283" i="31" a="1"/>
  <c r="AO283" i="31" s="1"/>
  <c r="BT283" i="31" a="1"/>
  <c r="BT283" i="31" s="1"/>
  <c r="BL283" i="31" a="1"/>
  <c r="BL283" i="31" s="1"/>
  <c r="BD283" i="31" a="1"/>
  <c r="BD283" i="31" s="1"/>
  <c r="AV283" i="31" a="1"/>
  <c r="AV283" i="31" s="1"/>
  <c r="AN283" i="31" a="1"/>
  <c r="AN283" i="31" s="1"/>
  <c r="BS283" i="31" a="1"/>
  <c r="BS283" i="31" s="1"/>
  <c r="BK283" i="31" a="1"/>
  <c r="BK283" i="31" s="1"/>
  <c r="BC283" i="31" a="1"/>
  <c r="BC283" i="31" s="1"/>
  <c r="BR283" i="31" a="1"/>
  <c r="BR283" i="31" s="1"/>
  <c r="BJ283" i="31" a="1"/>
  <c r="BJ283" i="31" s="1"/>
  <c r="BB283" i="31" a="1"/>
  <c r="BB283" i="31" s="1"/>
  <c r="AT283" i="31" a="1"/>
  <c r="AT283" i="31" s="1"/>
  <c r="AL283" i="31" a="1"/>
  <c r="AL283" i="31" s="1"/>
  <c r="BQ283" i="31" a="1"/>
  <c r="BQ283" i="31" s="1"/>
  <c r="BI283" i="31" a="1"/>
  <c r="BI283" i="31" s="1"/>
  <c r="BA283" i="31" a="1"/>
  <c r="BA283" i="31" s="1"/>
  <c r="AS283" i="31" a="1"/>
  <c r="AS283" i="31" s="1"/>
  <c r="AK283" i="31" a="1"/>
  <c r="AK283" i="31" s="1"/>
  <c r="BX283" i="31" a="1"/>
  <c r="BX283" i="31" s="1"/>
  <c r="BP283" i="31" a="1"/>
  <c r="BP283" i="31" s="1"/>
  <c r="BH283" i="31" a="1"/>
  <c r="BH283" i="31" s="1"/>
  <c r="AZ283" i="31" a="1"/>
  <c r="AZ283" i="31" s="1"/>
  <c r="AR283" i="31" a="1"/>
  <c r="AR283" i="31" s="1"/>
  <c r="AJ283" i="31" a="1"/>
  <c r="AJ283" i="31" s="1"/>
  <c r="BW283" i="31" a="1"/>
  <c r="BW283" i="31" s="1"/>
  <c r="BO283" i="31" a="1"/>
  <c r="BO283" i="31" s="1"/>
  <c r="BG283" i="31" a="1"/>
  <c r="BG283" i="31" s="1"/>
  <c r="AY283" i="31" a="1"/>
  <c r="AY283" i="31" s="1"/>
  <c r="AQ283" i="31" a="1"/>
  <c r="AQ283" i="31" s="1"/>
  <c r="AI283" i="31" a="1"/>
  <c r="AI283" i="31" s="1"/>
  <c r="AM283" i="31" a="1"/>
  <c r="AM283" i="31" s="1"/>
  <c r="AH283" i="31" a="1"/>
  <c r="AH283" i="31" s="1"/>
  <c r="BV283" i="31" a="1"/>
  <c r="BV283" i="31" s="1"/>
  <c r="BN283" i="31" a="1"/>
  <c r="BN283" i="31" s="1"/>
  <c r="BF283" i="31" a="1"/>
  <c r="BF283" i="31" s="1"/>
  <c r="AU283" i="31" a="1"/>
  <c r="AU283" i="31" s="1"/>
  <c r="AP283" i="31" a="1"/>
  <c r="AP283" i="31" s="1"/>
  <c r="AX283" i="31" a="1"/>
  <c r="AX283" i="31" s="1"/>
  <c r="C284" i="31"/>
  <c r="C80" i="31"/>
  <c r="BV233" i="31" s="1" a="1"/>
  <c r="BV233" i="31" s="1"/>
  <c r="BZ5" i="31"/>
  <c r="BY6" i="31"/>
  <c r="BY4" i="31"/>
  <c r="BY7" i="31"/>
  <c r="BY8" i="31"/>
  <c r="BV7" i="30"/>
  <c r="BV4" i="30"/>
  <c r="BV6" i="30"/>
  <c r="BW5" i="30"/>
  <c r="BV8" i="30"/>
  <c r="D76" i="30"/>
  <c r="BU233" i="31" l="1" a="1"/>
  <c r="BU233" i="31" s="1"/>
  <c r="CG96" i="8"/>
  <c r="CF99" i="8"/>
  <c r="CF95" i="8"/>
  <c r="CF97" i="8"/>
  <c r="CF98" i="8"/>
  <c r="BY130" i="31" a="1"/>
  <c r="BY130" i="31" s="1"/>
  <c r="BY131" i="31" a="1"/>
  <c r="BY131" i="31" s="1"/>
  <c r="BY79" i="31" a="1"/>
  <c r="BY79" i="31" s="1"/>
  <c r="BY80" i="31" a="1"/>
  <c r="BY80" i="31" s="1"/>
  <c r="BY182" i="31" a="1"/>
  <c r="BY182" i="31" s="1"/>
  <c r="BY181" i="31" a="1"/>
  <c r="BY181" i="31" s="1"/>
  <c r="BY232" i="31" a="1"/>
  <c r="BY232" i="31" s="1"/>
  <c r="BY233" i="31" a="1"/>
  <c r="BY233" i="31" s="1"/>
  <c r="BX182" i="31" a="1"/>
  <c r="BX182" i="31" s="1"/>
  <c r="BX131" i="31" a="1"/>
  <c r="BX131" i="31" s="1"/>
  <c r="AH80" i="31" a="1"/>
  <c r="AH80" i="31" s="1"/>
  <c r="AI80" i="31" a="1"/>
  <c r="AI80" i="31" s="1"/>
  <c r="AJ80" i="31" a="1"/>
  <c r="AJ80" i="31" s="1"/>
  <c r="AK80" i="31" a="1"/>
  <c r="AK80" i="31" s="1"/>
  <c r="AL80" i="31" a="1"/>
  <c r="AL80" i="31" s="1"/>
  <c r="AM80" i="31" a="1"/>
  <c r="AM80" i="31" s="1"/>
  <c r="AN80" i="31" a="1"/>
  <c r="AN80" i="31" s="1"/>
  <c r="AO80" i="31" a="1"/>
  <c r="AO80" i="31" s="1"/>
  <c r="AP80" i="31" a="1"/>
  <c r="AP80" i="31" s="1"/>
  <c r="AQ80" i="31" a="1"/>
  <c r="AQ80" i="31" s="1"/>
  <c r="AR80" i="31" a="1"/>
  <c r="AR80" i="31" s="1"/>
  <c r="AS80" i="31" a="1"/>
  <c r="AS80" i="31" s="1"/>
  <c r="AT80" i="31" a="1"/>
  <c r="AT80" i="31" s="1"/>
  <c r="AU80" i="31" a="1"/>
  <c r="AU80" i="31" s="1"/>
  <c r="AV80" i="31" a="1"/>
  <c r="AV80" i="31" s="1"/>
  <c r="AW80" i="31" a="1"/>
  <c r="AW80" i="31" s="1"/>
  <c r="AX80" i="31" a="1"/>
  <c r="AX80" i="31" s="1"/>
  <c r="AY80" i="31" a="1"/>
  <c r="AY80" i="31" s="1"/>
  <c r="AZ80" i="31" a="1"/>
  <c r="AZ80" i="31" s="1"/>
  <c r="BA80" i="31" a="1"/>
  <c r="BA80" i="31" s="1"/>
  <c r="BB80" i="31" a="1"/>
  <c r="BB80" i="31" s="1"/>
  <c r="BC80" i="31" a="1"/>
  <c r="BC80" i="31" s="1"/>
  <c r="BD80" i="31" a="1"/>
  <c r="BD80" i="31" s="1"/>
  <c r="BE80" i="31" a="1"/>
  <c r="BE80" i="31" s="1"/>
  <c r="BF80" i="31" a="1"/>
  <c r="BF80" i="31" s="1"/>
  <c r="BG80" i="31" a="1"/>
  <c r="BG80" i="31" s="1"/>
  <c r="BH80" i="31" a="1"/>
  <c r="BH80" i="31" s="1"/>
  <c r="BI80" i="31" a="1"/>
  <c r="BI80" i="31" s="1"/>
  <c r="BJ80" i="31" a="1"/>
  <c r="BJ80" i="31" s="1"/>
  <c r="BK80" i="31" a="1"/>
  <c r="BK80" i="31" s="1"/>
  <c r="BL80" i="31" a="1"/>
  <c r="BL80" i="31" s="1"/>
  <c r="BM80" i="31" a="1"/>
  <c r="BM80" i="31" s="1"/>
  <c r="BN80" i="31" a="1"/>
  <c r="BN80" i="31" s="1"/>
  <c r="BO80" i="31" a="1"/>
  <c r="BO80" i="31" s="1"/>
  <c r="BP80" i="31" a="1"/>
  <c r="BP80" i="31" s="1"/>
  <c r="BQ80" i="31" a="1"/>
  <c r="BQ80" i="31" s="1"/>
  <c r="BR80" i="31" a="1"/>
  <c r="BR80" i="31" s="1"/>
  <c r="BS80" i="31" a="1"/>
  <c r="BS80" i="31" s="1"/>
  <c r="BT80" i="31" a="1"/>
  <c r="BT80" i="31" s="1"/>
  <c r="BU80" i="31" a="1"/>
  <c r="BU80" i="31" s="1"/>
  <c r="BV80" i="31" a="1"/>
  <c r="BV80" i="31" s="1"/>
  <c r="BU131" i="31" a="1"/>
  <c r="BU131" i="31" s="1"/>
  <c r="BW80" i="31" a="1"/>
  <c r="BW80" i="31" s="1"/>
  <c r="BX233" i="31" a="1"/>
  <c r="BX233" i="31" s="1"/>
  <c r="BV182" i="31" a="1"/>
  <c r="BV182" i="31" s="1"/>
  <c r="BX80" i="31" a="1"/>
  <c r="BX80" i="31" s="1"/>
  <c r="BW182" i="31" a="1"/>
  <c r="BW182" i="31" s="1"/>
  <c r="BW233" i="31" a="1"/>
  <c r="BW233" i="31" s="1"/>
  <c r="BW131" i="31" a="1"/>
  <c r="BW131" i="31" s="1"/>
  <c r="BY283" i="31" a="1"/>
  <c r="BY283" i="31" s="1"/>
  <c r="BV131" i="31" a="1"/>
  <c r="BV131" i="31" s="1"/>
  <c r="BU284" i="31" a="1"/>
  <c r="BU284" i="31" s="1"/>
  <c r="BM284" i="31" a="1"/>
  <c r="BM284" i="31" s="1"/>
  <c r="BE284" i="31" a="1"/>
  <c r="BE284" i="31" s="1"/>
  <c r="AW284" i="31" a="1"/>
  <c r="AW284" i="31" s="1"/>
  <c r="AO284" i="31" a="1"/>
  <c r="AO284" i="31" s="1"/>
  <c r="BT284" i="31" a="1"/>
  <c r="BT284" i="31" s="1"/>
  <c r="BL284" i="31" a="1"/>
  <c r="BL284" i="31" s="1"/>
  <c r="BD284" i="31" a="1"/>
  <c r="BD284" i="31" s="1"/>
  <c r="AV284" i="31" a="1"/>
  <c r="AV284" i="31" s="1"/>
  <c r="AN284" i="31" a="1"/>
  <c r="AN284" i="31" s="1"/>
  <c r="BS284" i="31" a="1"/>
  <c r="BS284" i="31" s="1"/>
  <c r="BK284" i="31" a="1"/>
  <c r="BK284" i="31" s="1"/>
  <c r="BC284" i="31" a="1"/>
  <c r="BC284" i="31" s="1"/>
  <c r="AU284" i="31" a="1"/>
  <c r="AU284" i="31" s="1"/>
  <c r="AM284" i="31" a="1"/>
  <c r="AM284" i="31" s="1"/>
  <c r="BR284" i="31" a="1"/>
  <c r="BR284" i="31" s="1"/>
  <c r="BJ284" i="31" a="1"/>
  <c r="BJ284" i="31" s="1"/>
  <c r="BB284" i="31" a="1"/>
  <c r="BB284" i="31" s="1"/>
  <c r="AT284" i="31" a="1"/>
  <c r="AT284" i="31" s="1"/>
  <c r="AL284" i="31" a="1"/>
  <c r="AL284" i="31" s="1"/>
  <c r="BY284" i="31" a="1"/>
  <c r="BY284" i="31" s="1"/>
  <c r="BQ284" i="31" a="1"/>
  <c r="BQ284" i="31" s="1"/>
  <c r="BI284" i="31" a="1"/>
  <c r="BI284" i="31" s="1"/>
  <c r="BA284" i="31" a="1"/>
  <c r="BA284" i="31" s="1"/>
  <c r="AS284" i="31" a="1"/>
  <c r="AS284" i="31" s="1"/>
  <c r="AK284" i="31" a="1"/>
  <c r="AK284" i="31" s="1"/>
  <c r="BX284" i="31" a="1"/>
  <c r="BX284" i="31" s="1"/>
  <c r="BP284" i="31" a="1"/>
  <c r="BP284" i="31" s="1"/>
  <c r="BH284" i="31" a="1"/>
  <c r="BH284" i="31" s="1"/>
  <c r="AZ284" i="31" a="1"/>
  <c r="AZ284" i="31" s="1"/>
  <c r="AR284" i="31" a="1"/>
  <c r="AR284" i="31" s="1"/>
  <c r="AJ284" i="31" a="1"/>
  <c r="AJ284" i="31" s="1"/>
  <c r="BW284" i="31" a="1"/>
  <c r="BW284" i="31" s="1"/>
  <c r="BO284" i="31" a="1"/>
  <c r="BO284" i="31" s="1"/>
  <c r="BG284" i="31" a="1"/>
  <c r="BG284" i="31" s="1"/>
  <c r="AY284" i="31" a="1"/>
  <c r="AY284" i="31" s="1"/>
  <c r="AQ284" i="31" a="1"/>
  <c r="AQ284" i="31" s="1"/>
  <c r="AI284" i="31" a="1"/>
  <c r="AI284" i="31" s="1"/>
  <c r="AP284" i="31" a="1"/>
  <c r="AP284" i="31" s="1"/>
  <c r="AH284" i="31" a="1"/>
  <c r="AH284" i="31" s="1"/>
  <c r="BV284" i="31" a="1"/>
  <c r="BV284" i="31" s="1"/>
  <c r="BF284" i="31" a="1"/>
  <c r="BF284" i="31" s="1"/>
  <c r="AX284" i="31" a="1"/>
  <c r="AX284" i="31" s="1"/>
  <c r="BN284" i="31" a="1"/>
  <c r="BN284" i="31" s="1"/>
  <c r="C285" i="31"/>
  <c r="C81" i="31"/>
  <c r="CA5" i="31"/>
  <c r="BZ6" i="31"/>
  <c r="BZ4" i="31"/>
  <c r="BZ7" i="31"/>
  <c r="BZ8" i="31"/>
  <c r="D77" i="30"/>
  <c r="BW8" i="30"/>
  <c r="BW7" i="30"/>
  <c r="BW4" i="30"/>
  <c r="BW6" i="30"/>
  <c r="BX5" i="30"/>
  <c r="CG99" i="8" l="1"/>
  <c r="CG95" i="8"/>
  <c r="CG97" i="8"/>
  <c r="CG98" i="8"/>
  <c r="BZ131" i="31" a="1"/>
  <c r="BZ131" i="31" s="1"/>
  <c r="BZ132" i="31" a="1"/>
  <c r="BZ132" i="31" s="1"/>
  <c r="BZ81" i="31" a="1"/>
  <c r="BZ81" i="31" s="1"/>
  <c r="BZ80" i="31" a="1"/>
  <c r="BZ80" i="31" s="1"/>
  <c r="BZ183" i="31" a="1"/>
  <c r="BZ183" i="31" s="1"/>
  <c r="BZ182" i="31" a="1"/>
  <c r="BZ182" i="31" s="1"/>
  <c r="BZ233" i="31" a="1"/>
  <c r="BZ233" i="31" s="1"/>
  <c r="BZ234" i="31" a="1"/>
  <c r="BZ234" i="31" s="1"/>
  <c r="BW234" i="31" a="1"/>
  <c r="BW234" i="31" s="1"/>
  <c r="BX132" i="31" a="1"/>
  <c r="BX132" i="31" s="1"/>
  <c r="BY183" i="31" a="1"/>
  <c r="BY183" i="31" s="1"/>
  <c r="BW183" i="31" a="1"/>
  <c r="BW183" i="31" s="1"/>
  <c r="AH81" i="31" a="1"/>
  <c r="AH81" i="31" s="1"/>
  <c r="AI81" i="31" a="1"/>
  <c r="AI81" i="31" s="1"/>
  <c r="AJ81" i="31" a="1"/>
  <c r="AJ81" i="31" s="1"/>
  <c r="AK81" i="31" a="1"/>
  <c r="AK81" i="31" s="1"/>
  <c r="AL81" i="31" a="1"/>
  <c r="AL81" i="31" s="1"/>
  <c r="AM81" i="31" a="1"/>
  <c r="AM81" i="31" s="1"/>
  <c r="AN81" i="31" a="1"/>
  <c r="AN81" i="31" s="1"/>
  <c r="AO81" i="31" a="1"/>
  <c r="AO81" i="31" s="1"/>
  <c r="AP81" i="31" a="1"/>
  <c r="AP81" i="31" s="1"/>
  <c r="AQ81" i="31" a="1"/>
  <c r="AQ81" i="31" s="1"/>
  <c r="AR81" i="31" a="1"/>
  <c r="AR81" i="31" s="1"/>
  <c r="AS81" i="31" a="1"/>
  <c r="AS81" i="31" s="1"/>
  <c r="AT81" i="31" a="1"/>
  <c r="AT81" i="31" s="1"/>
  <c r="AU81" i="31" a="1"/>
  <c r="AU81" i="31" s="1"/>
  <c r="AV81" i="31" a="1"/>
  <c r="AV81" i="31" s="1"/>
  <c r="AW81" i="31" a="1"/>
  <c r="AW81" i="31" s="1"/>
  <c r="AX81" i="31" a="1"/>
  <c r="AX81" i="31" s="1"/>
  <c r="AY81" i="31" a="1"/>
  <c r="AY81" i="31" s="1"/>
  <c r="AZ81" i="31" a="1"/>
  <c r="AZ81" i="31" s="1"/>
  <c r="BA81" i="31" a="1"/>
  <c r="BA81" i="31" s="1"/>
  <c r="BB81" i="31" a="1"/>
  <c r="BB81" i="31" s="1"/>
  <c r="BC81" i="31" a="1"/>
  <c r="BC81" i="31" s="1"/>
  <c r="BD81" i="31" a="1"/>
  <c r="BD81" i="31" s="1"/>
  <c r="BE81" i="31" a="1"/>
  <c r="BE81" i="31" s="1"/>
  <c r="BF81" i="31" a="1"/>
  <c r="BF81" i="31" s="1"/>
  <c r="BG81" i="31" a="1"/>
  <c r="BG81" i="31" s="1"/>
  <c r="BH81" i="31" a="1"/>
  <c r="BH81" i="31" s="1"/>
  <c r="BI81" i="31" a="1"/>
  <c r="BI81" i="31" s="1"/>
  <c r="BJ81" i="31" a="1"/>
  <c r="BJ81" i="31" s="1"/>
  <c r="BK81" i="31" a="1"/>
  <c r="BK81" i="31" s="1"/>
  <c r="BL81" i="31" a="1"/>
  <c r="BL81" i="31" s="1"/>
  <c r="BM81" i="31" a="1"/>
  <c r="BM81" i="31" s="1"/>
  <c r="BN81" i="31" a="1"/>
  <c r="BN81" i="31" s="1"/>
  <c r="BO81" i="31" a="1"/>
  <c r="BO81" i="31" s="1"/>
  <c r="BP81" i="31" a="1"/>
  <c r="BP81" i="31" s="1"/>
  <c r="BQ81" i="31" a="1"/>
  <c r="BQ81" i="31" s="1"/>
  <c r="BR81" i="31" a="1"/>
  <c r="BR81" i="31" s="1"/>
  <c r="BS81" i="31" a="1"/>
  <c r="BS81" i="31" s="1"/>
  <c r="BT81" i="31" a="1"/>
  <c r="BT81" i="31" s="1"/>
  <c r="BU81" i="31" a="1"/>
  <c r="BU81" i="31" s="1"/>
  <c r="BV81" i="31" a="1"/>
  <c r="BV81" i="31" s="1"/>
  <c r="BW81" i="31" a="1"/>
  <c r="BW81" i="31" s="1"/>
  <c r="BX81" i="31" a="1"/>
  <c r="BX81" i="31" s="1"/>
  <c r="BV132" i="31" a="1"/>
  <c r="BV132" i="31" s="1"/>
  <c r="BX234" i="31" a="1"/>
  <c r="BX234" i="31" s="1"/>
  <c r="BW132" i="31" a="1"/>
  <c r="BW132" i="31" s="1"/>
  <c r="BY81" i="31" a="1"/>
  <c r="BY81" i="31" s="1"/>
  <c r="BY132" i="31" a="1"/>
  <c r="BY132" i="31" s="1"/>
  <c r="BU234" i="31" a="1"/>
  <c r="BU234" i="31" s="1"/>
  <c r="BX183" i="31" a="1"/>
  <c r="BX183" i="31" s="1"/>
  <c r="BZ284" i="31" a="1"/>
  <c r="BZ284" i="31" s="1"/>
  <c r="BY234" i="31" a="1"/>
  <c r="BY234" i="31" s="1"/>
  <c r="BU285" i="31" a="1"/>
  <c r="BU285" i="31" s="1"/>
  <c r="BM285" i="31" a="1"/>
  <c r="BM285" i="31" s="1"/>
  <c r="BE285" i="31" a="1"/>
  <c r="BE285" i="31" s="1"/>
  <c r="AW285" i="31" a="1"/>
  <c r="AW285" i="31" s="1"/>
  <c r="AO285" i="31" a="1"/>
  <c r="AO285" i="31" s="1"/>
  <c r="BT285" i="31" a="1"/>
  <c r="BT285" i="31" s="1"/>
  <c r="BL285" i="31" a="1"/>
  <c r="BL285" i="31" s="1"/>
  <c r="BD285" i="31" a="1"/>
  <c r="BD285" i="31" s="1"/>
  <c r="AV285" i="31" a="1"/>
  <c r="AV285" i="31" s="1"/>
  <c r="AN285" i="31" a="1"/>
  <c r="AN285" i="31" s="1"/>
  <c r="BS285" i="31" a="1"/>
  <c r="BS285" i="31" s="1"/>
  <c r="BK285" i="31" a="1"/>
  <c r="BK285" i="31" s="1"/>
  <c r="BC285" i="31" a="1"/>
  <c r="BC285" i="31" s="1"/>
  <c r="AU285" i="31" a="1"/>
  <c r="AU285" i="31" s="1"/>
  <c r="AM285" i="31" a="1"/>
  <c r="AM285" i="31" s="1"/>
  <c r="BZ285" i="31" a="1"/>
  <c r="BZ285" i="31" s="1"/>
  <c r="BR285" i="31" a="1"/>
  <c r="BR285" i="31" s="1"/>
  <c r="BJ285" i="31" a="1"/>
  <c r="BJ285" i="31" s="1"/>
  <c r="BB285" i="31" a="1"/>
  <c r="BB285" i="31" s="1"/>
  <c r="AT285" i="31" a="1"/>
  <c r="AT285" i="31" s="1"/>
  <c r="AL285" i="31" a="1"/>
  <c r="AL285" i="31" s="1"/>
  <c r="BY285" i="31" a="1"/>
  <c r="BY285" i="31" s="1"/>
  <c r="BQ285" i="31" a="1"/>
  <c r="BQ285" i="31" s="1"/>
  <c r="BI285" i="31" a="1"/>
  <c r="BI285" i="31" s="1"/>
  <c r="BA285" i="31" a="1"/>
  <c r="BA285" i="31" s="1"/>
  <c r="AS285" i="31" a="1"/>
  <c r="AS285" i="31" s="1"/>
  <c r="AK285" i="31" a="1"/>
  <c r="AK285" i="31" s="1"/>
  <c r="BX285" i="31" a="1"/>
  <c r="BX285" i="31" s="1"/>
  <c r="BP285" i="31" a="1"/>
  <c r="BP285" i="31" s="1"/>
  <c r="BH285" i="31" a="1"/>
  <c r="BH285" i="31" s="1"/>
  <c r="AZ285" i="31" a="1"/>
  <c r="AZ285" i="31" s="1"/>
  <c r="AR285" i="31" a="1"/>
  <c r="AR285" i="31" s="1"/>
  <c r="AJ285" i="31" a="1"/>
  <c r="AJ285" i="31" s="1"/>
  <c r="BW285" i="31" a="1"/>
  <c r="BW285" i="31" s="1"/>
  <c r="BO285" i="31" a="1"/>
  <c r="BO285" i="31" s="1"/>
  <c r="BG285" i="31" a="1"/>
  <c r="BG285" i="31" s="1"/>
  <c r="AY285" i="31" a="1"/>
  <c r="AY285" i="31" s="1"/>
  <c r="AQ285" i="31" a="1"/>
  <c r="AQ285" i="31" s="1"/>
  <c r="AI285" i="31" a="1"/>
  <c r="AI285" i="31" s="1"/>
  <c r="BF285" i="31" a="1"/>
  <c r="BF285" i="31" s="1"/>
  <c r="AX285" i="31" a="1"/>
  <c r="AX285" i="31" s="1"/>
  <c r="AP285" i="31" a="1"/>
  <c r="AP285" i="31" s="1"/>
  <c r="AH285" i="31" a="1"/>
  <c r="AH285" i="31" s="1"/>
  <c r="BV285" i="31" a="1"/>
  <c r="BV285" i="31" s="1"/>
  <c r="BN285" i="31" a="1"/>
  <c r="BN285" i="31" s="1"/>
  <c r="C286" i="31"/>
  <c r="C82" i="31"/>
  <c r="BW184" i="31" s="1" a="1"/>
  <c r="BW184" i="31" s="1"/>
  <c r="CA8" i="31"/>
  <c r="CB5" i="31"/>
  <c r="CA6" i="31"/>
  <c r="CA4" i="31"/>
  <c r="CA7" i="31"/>
  <c r="D78" i="30"/>
  <c r="BX7" i="30"/>
  <c r="BX4" i="30"/>
  <c r="BX6" i="30"/>
  <c r="BY5" i="30"/>
  <c r="BX8" i="30"/>
  <c r="BX184" i="31" l="1" a="1"/>
  <c r="BX184" i="31" s="1"/>
  <c r="BY184" i="31" a="1"/>
  <c r="BY184" i="31" s="1"/>
  <c r="BY235" i="31" a="1"/>
  <c r="BY235" i="31" s="1"/>
  <c r="BX235" i="31" a="1"/>
  <c r="BX235" i="31" s="1"/>
  <c r="BZ184" i="31" a="1"/>
  <c r="BZ184" i="31" s="1"/>
  <c r="CA133" i="31" a="1"/>
  <c r="CA133" i="31" s="1"/>
  <c r="CA132" i="31" a="1"/>
  <c r="CA132" i="31" s="1"/>
  <c r="CA82" i="31" a="1"/>
  <c r="CA82" i="31" s="1"/>
  <c r="CA81" i="31" a="1"/>
  <c r="CA81" i="31" s="1"/>
  <c r="CA183" i="31" a="1"/>
  <c r="CA183" i="31" s="1"/>
  <c r="CA184" i="31" a="1"/>
  <c r="CA184" i="31" s="1"/>
  <c r="CA234" i="31" a="1"/>
  <c r="CA234" i="31" s="1"/>
  <c r="CA235" i="31" a="1"/>
  <c r="CA235" i="31" s="1"/>
  <c r="AH82" i="31" a="1"/>
  <c r="AH82" i="31" s="1"/>
  <c r="AI82" i="31" a="1"/>
  <c r="AI82" i="31" s="1"/>
  <c r="AJ82" i="31" a="1"/>
  <c r="AJ82" i="31" s="1"/>
  <c r="AI129" i="31" a="1"/>
  <c r="AI129" i="31" s="1"/>
  <c r="AH100" i="31" a="1"/>
  <c r="AH100" i="31" s="1"/>
  <c r="AK82" i="31" a="1"/>
  <c r="AK82" i="31" s="1"/>
  <c r="AH104" i="31" a="1"/>
  <c r="AH104" i="31" s="1"/>
  <c r="AH99" i="31" a="1"/>
  <c r="AH99" i="31" s="1"/>
  <c r="AJ166" i="31" a="1"/>
  <c r="AJ166" i="31" s="1"/>
  <c r="AH105" i="31" a="1"/>
  <c r="AH105" i="31" s="1"/>
  <c r="AH132" i="31" a="1"/>
  <c r="AH132" i="31" s="1"/>
  <c r="AH127" i="31" a="1"/>
  <c r="AH127" i="31" s="1"/>
  <c r="AI121" i="31" a="1"/>
  <c r="AI121" i="31" s="1"/>
  <c r="AH123" i="31" a="1"/>
  <c r="AH123" i="31" s="1"/>
  <c r="AI116" i="31" a="1"/>
  <c r="AI116" i="31" s="1"/>
  <c r="AH112" i="31" a="1"/>
  <c r="AH112" i="31" s="1"/>
  <c r="AI130" i="31" a="1"/>
  <c r="AI130" i="31" s="1"/>
  <c r="AH121" i="31" a="1"/>
  <c r="AH121" i="31" s="1"/>
  <c r="AH109" i="31" a="1"/>
  <c r="AH109" i="31" s="1"/>
  <c r="AH114" i="31" a="1"/>
  <c r="AH114" i="31" s="1"/>
  <c r="AH115" i="31" a="1"/>
  <c r="AH115" i="31" s="1"/>
  <c r="AH130" i="31" a="1"/>
  <c r="AH130" i="31" s="1"/>
  <c r="AI102" i="31" a="1"/>
  <c r="AI102" i="31" s="1"/>
  <c r="AH120" i="31" a="1"/>
  <c r="AH120" i="31" s="1"/>
  <c r="AI109" i="31" a="1"/>
  <c r="AI109" i="31" s="1"/>
  <c r="AH116" i="31" a="1"/>
  <c r="AH116" i="31" s="1"/>
  <c r="AI127" i="31" a="1"/>
  <c r="AI127" i="31" s="1"/>
  <c r="AI125" i="31" a="1"/>
  <c r="AI125" i="31" s="1"/>
  <c r="AH128" i="31" a="1"/>
  <c r="AH128" i="31" s="1"/>
  <c r="AI128" i="31" a="1"/>
  <c r="AI128" i="31" s="1"/>
  <c r="AI120" i="31" a="1"/>
  <c r="AI120" i="31" s="1"/>
  <c r="AH97" i="31" a="1"/>
  <c r="AH97" i="31" s="1"/>
  <c r="AH126" i="31" a="1"/>
  <c r="AH126" i="31" s="1"/>
  <c r="AI100" i="31" a="1"/>
  <c r="AI100" i="31" s="1"/>
  <c r="AH117" i="31" a="1"/>
  <c r="AH117" i="31" s="1"/>
  <c r="AH131" i="31" a="1"/>
  <c r="AH131" i="31" s="1"/>
  <c r="AH122" i="31" a="1"/>
  <c r="AH122" i="31" s="1"/>
  <c r="AI107" i="31" a="1"/>
  <c r="AI107" i="31" s="1"/>
  <c r="AH95" i="31" a="1"/>
  <c r="AH95" i="31" s="1"/>
  <c r="AH102" i="31" a="1"/>
  <c r="AH102" i="31" s="1"/>
  <c r="AI106" i="31" a="1"/>
  <c r="AI106" i="31" s="1"/>
  <c r="AI118" i="31" a="1"/>
  <c r="AI118" i="31" s="1"/>
  <c r="AH118" i="31" a="1"/>
  <c r="AH118" i="31" s="1"/>
  <c r="AI98" i="31" a="1"/>
  <c r="AI98" i="31" s="1"/>
  <c r="AI122" i="31" a="1"/>
  <c r="AI122" i="31" s="1"/>
  <c r="AI101" i="31" a="1"/>
  <c r="AI101" i="31" s="1"/>
  <c r="AI95" i="31" a="1"/>
  <c r="AI95" i="31" s="1"/>
  <c r="AL82" i="31" a="1"/>
  <c r="AL82" i="31" s="1"/>
  <c r="AH106" i="31" a="1"/>
  <c r="AH106" i="31" s="1"/>
  <c r="AI94" i="31" a="1"/>
  <c r="AI94" i="31" s="1"/>
  <c r="AH103" i="31" a="1"/>
  <c r="AH103" i="31" s="1"/>
  <c r="AH98" i="31" a="1"/>
  <c r="AH98" i="31" s="1"/>
  <c r="AH108" i="31" a="1"/>
  <c r="AH108" i="31" s="1"/>
  <c r="AI112" i="31" a="1"/>
  <c r="AI112" i="31" s="1"/>
  <c r="AH129" i="31" a="1"/>
  <c r="AH129" i="31" s="1"/>
  <c r="AI123" i="31" a="1"/>
  <c r="AI123" i="31" s="1"/>
  <c r="AI113" i="31" a="1"/>
  <c r="AI113" i="31" s="1"/>
  <c r="AH107" i="31" a="1"/>
  <c r="AH107" i="31" s="1"/>
  <c r="AH110" i="31" a="1"/>
  <c r="AH110" i="31" s="1"/>
  <c r="AH96" i="31" a="1"/>
  <c r="AH96" i="31" s="1"/>
  <c r="AH119" i="31" a="1"/>
  <c r="AH119" i="31" s="1"/>
  <c r="AH93" i="31" a="1"/>
  <c r="AH93" i="31" s="1"/>
  <c r="AI133" i="31" a="1"/>
  <c r="AI133" i="31" s="1"/>
  <c r="AH133" i="31" a="1"/>
  <c r="AH133" i="31" s="1"/>
  <c r="AI175" i="31" a="1"/>
  <c r="AI175" i="31" s="1"/>
  <c r="AJ124" i="31" a="1"/>
  <c r="AJ124" i="31" s="1"/>
  <c r="AI131" i="31" a="1"/>
  <c r="AI131" i="31" s="1"/>
  <c r="AI97" i="31" a="1"/>
  <c r="AI97" i="31" s="1"/>
  <c r="AJ104" i="31" a="1"/>
  <c r="AJ104" i="31" s="1"/>
  <c r="AK235" i="31" a="1"/>
  <c r="AK235" i="31" s="1"/>
  <c r="AI104" i="31" a="1"/>
  <c r="AI104" i="31" s="1"/>
  <c r="AJ96" i="31" a="1"/>
  <c r="AJ96" i="31" s="1"/>
  <c r="AH182" i="31" a="1"/>
  <c r="AH182" i="31" s="1"/>
  <c r="AI176" i="31" a="1"/>
  <c r="AI176" i="31" s="1"/>
  <c r="AH162" i="31" a="1"/>
  <c r="AH162" i="31" s="1"/>
  <c r="AI183" i="31" a="1"/>
  <c r="AI183" i="31" s="1"/>
  <c r="AI161" i="31" a="1"/>
  <c r="AI161" i="31" s="1"/>
  <c r="AJ102" i="31" a="1"/>
  <c r="AJ102" i="31" s="1"/>
  <c r="AH173" i="31" a="1"/>
  <c r="AH173" i="31" s="1"/>
  <c r="AH153" i="31" a="1"/>
  <c r="AH153" i="31" s="1"/>
  <c r="AJ157" i="31" a="1"/>
  <c r="AJ157" i="31" s="1"/>
  <c r="AH184" i="31" a="1"/>
  <c r="AH184" i="31" s="1"/>
  <c r="AJ168" i="31" a="1"/>
  <c r="AJ168" i="31" s="1"/>
  <c r="AJ107" i="31" a="1"/>
  <c r="AJ107" i="31" s="1"/>
  <c r="AI160" i="31" a="1"/>
  <c r="AI160" i="31" s="1"/>
  <c r="AI172" i="31" a="1"/>
  <c r="AI172" i="31" s="1"/>
  <c r="AJ146" i="31" a="1"/>
  <c r="AJ146" i="31" s="1"/>
  <c r="AH113" i="31" a="1"/>
  <c r="AH113" i="31" s="1"/>
  <c r="AJ132" i="31" a="1"/>
  <c r="AJ132" i="31" s="1"/>
  <c r="AJ101" i="31" a="1"/>
  <c r="AJ101" i="31" s="1"/>
  <c r="AH160" i="31" a="1"/>
  <c r="AH160" i="31" s="1"/>
  <c r="AJ149" i="31" a="1"/>
  <c r="AJ149" i="31" s="1"/>
  <c r="AJ152" i="31" a="1"/>
  <c r="AJ152" i="31" s="1"/>
  <c r="AI168" i="31" a="1"/>
  <c r="AI168" i="31" s="1"/>
  <c r="AJ114" i="31" a="1"/>
  <c r="AJ114" i="31" s="1"/>
  <c r="AI163" i="31" a="1"/>
  <c r="AI163" i="31" s="1"/>
  <c r="AI149" i="31" a="1"/>
  <c r="AI149" i="31" s="1"/>
  <c r="AH151" i="31" a="1"/>
  <c r="AH151" i="31" s="1"/>
  <c r="AJ127" i="31" a="1"/>
  <c r="AJ127" i="31" s="1"/>
  <c r="AI124" i="31" a="1"/>
  <c r="AI124" i="31" s="1"/>
  <c r="AI184" i="31" a="1"/>
  <c r="AI184" i="31" s="1"/>
  <c r="AH179" i="31" a="1"/>
  <c r="AH179" i="31" s="1"/>
  <c r="AJ182" i="31" a="1"/>
  <c r="AJ182" i="31" s="1"/>
  <c r="AI119" i="31" a="1"/>
  <c r="AI119" i="31" s="1"/>
  <c r="AJ183" i="31" a="1"/>
  <c r="AJ183" i="31" s="1"/>
  <c r="AI154" i="31" a="1"/>
  <c r="AI154" i="31" s="1"/>
  <c r="AH168" i="31" a="1"/>
  <c r="AH168" i="31" s="1"/>
  <c r="AH180" i="31" a="1"/>
  <c r="AH180" i="31" s="1"/>
  <c r="AJ105" i="31" a="1"/>
  <c r="AJ105" i="31" s="1"/>
  <c r="AH170" i="31" a="1"/>
  <c r="AH170" i="31" s="1"/>
  <c r="AH147" i="31" a="1"/>
  <c r="AH147" i="31" s="1"/>
  <c r="AJ95" i="31" a="1"/>
  <c r="AJ95" i="31" s="1"/>
  <c r="AJ147" i="31" a="1"/>
  <c r="AJ147" i="31" s="1"/>
  <c r="AH167" i="31" a="1"/>
  <c r="AH167" i="31" s="1"/>
  <c r="AJ109" i="31" a="1"/>
  <c r="AJ109" i="31" s="1"/>
  <c r="AJ180" i="31" a="1"/>
  <c r="AJ180" i="31" s="1"/>
  <c r="AH177" i="31" a="1"/>
  <c r="AH177" i="31" s="1"/>
  <c r="AI174" i="31" a="1"/>
  <c r="AI174" i="31" s="1"/>
  <c r="AI162" i="31" a="1"/>
  <c r="AI162" i="31" s="1"/>
  <c r="AH101" i="31" a="1"/>
  <c r="AH101" i="31" s="1"/>
  <c r="AH125" i="31" a="1"/>
  <c r="AH125" i="31" s="1"/>
  <c r="AH145" i="31" a="1"/>
  <c r="AH145" i="31" s="1"/>
  <c r="AI96" i="31" a="1"/>
  <c r="AI96" i="31" s="1"/>
  <c r="AJ128" i="31" a="1"/>
  <c r="AJ128" i="31" s="1"/>
  <c r="AI182" i="31" a="1"/>
  <c r="AI182" i="31" s="1"/>
  <c r="AJ122" i="31" a="1"/>
  <c r="AJ122" i="31" s="1"/>
  <c r="AH159" i="31" a="1"/>
  <c r="AH159" i="31" s="1"/>
  <c r="AJ126" i="31" a="1"/>
  <c r="AJ126" i="31" s="1"/>
  <c r="AJ113" i="31" a="1"/>
  <c r="AJ113" i="31" s="1"/>
  <c r="AH154" i="31" a="1"/>
  <c r="AH154" i="31" s="1"/>
  <c r="AJ112" i="31" a="1"/>
  <c r="AJ112" i="31" s="1"/>
  <c r="AI115" i="31" a="1"/>
  <c r="AI115" i="31" s="1"/>
  <c r="AI108" i="31" a="1"/>
  <c r="AI108" i="31" s="1"/>
  <c r="AH178" i="31" a="1"/>
  <c r="AH178" i="31" s="1"/>
  <c r="AI179" i="31" a="1"/>
  <c r="AI179" i="31" s="1"/>
  <c r="AH146" i="31" a="1"/>
  <c r="AH146" i="31" s="1"/>
  <c r="AI164" i="31" a="1"/>
  <c r="AI164" i="31" s="1"/>
  <c r="AI117" i="31" a="1"/>
  <c r="AI117" i="31" s="1"/>
  <c r="AJ117" i="31" a="1"/>
  <c r="AJ117" i="31" s="1"/>
  <c r="AJ120" i="31" a="1"/>
  <c r="AJ120" i="31" s="1"/>
  <c r="AJ184" i="31" a="1"/>
  <c r="AJ184" i="31" s="1"/>
  <c r="AJ108" i="31" a="1"/>
  <c r="AJ108" i="31" s="1"/>
  <c r="AJ97" i="31" a="1"/>
  <c r="AJ97" i="31" s="1"/>
  <c r="AI132" i="31" a="1"/>
  <c r="AI132" i="31" s="1"/>
  <c r="AJ98" i="31" a="1"/>
  <c r="AJ98" i="31" s="1"/>
  <c r="AI157" i="31" a="1"/>
  <c r="AI157" i="31" s="1"/>
  <c r="AJ116" i="31" a="1"/>
  <c r="AJ116" i="31" s="1"/>
  <c r="AJ175" i="31" a="1"/>
  <c r="AJ175" i="31" s="1"/>
  <c r="AH111" i="31" a="1"/>
  <c r="AH111" i="31" s="1"/>
  <c r="AJ171" i="31" a="1"/>
  <c r="AJ171" i="31" s="1"/>
  <c r="AH166" i="31" a="1"/>
  <c r="AH166" i="31" s="1"/>
  <c r="AI153" i="31" a="1"/>
  <c r="AI153" i="31" s="1"/>
  <c r="AI126" i="31" a="1"/>
  <c r="AI126" i="31" s="1"/>
  <c r="AJ181" i="31" a="1"/>
  <c r="AJ181" i="31" s="1"/>
  <c r="AJ156" i="31" a="1"/>
  <c r="AJ156" i="31" s="1"/>
  <c r="AH163" i="31" a="1"/>
  <c r="AH163" i="31" s="1"/>
  <c r="AJ159" i="31" a="1"/>
  <c r="AJ159" i="31" s="1"/>
  <c r="AI146" i="31" a="1"/>
  <c r="AI146" i="31" s="1"/>
  <c r="AJ179" i="31" a="1"/>
  <c r="AJ179" i="31" s="1"/>
  <c r="AJ164" i="31" a="1"/>
  <c r="AJ164" i="31" s="1"/>
  <c r="AJ174" i="31" a="1"/>
  <c r="AJ174" i="31" s="1"/>
  <c r="AI177" i="31" a="1"/>
  <c r="AI177" i="31" s="1"/>
  <c r="AJ125" i="31" a="1"/>
  <c r="AJ125" i="31" s="1"/>
  <c r="AJ162" i="31" a="1"/>
  <c r="AJ162" i="31" s="1"/>
  <c r="AH164" i="31" a="1"/>
  <c r="AH164" i="31" s="1"/>
  <c r="AJ173" i="31" a="1"/>
  <c r="AJ173" i="31" s="1"/>
  <c r="AH169" i="31" a="1"/>
  <c r="AH169" i="31" s="1"/>
  <c r="AI171" i="31" a="1"/>
  <c r="AI171" i="31" s="1"/>
  <c r="AH199" i="31" a="1"/>
  <c r="AH199" i="31" s="1"/>
  <c r="AI114" i="31" a="1"/>
  <c r="AI114" i="31" s="1"/>
  <c r="AI169" i="31" a="1"/>
  <c r="AI169" i="31" s="1"/>
  <c r="AJ150" i="31" a="1"/>
  <c r="AJ150" i="31" s="1"/>
  <c r="AI155" i="31" a="1"/>
  <c r="AI155" i="31" s="1"/>
  <c r="AI180" i="31" a="1"/>
  <c r="AI180" i="31" s="1"/>
  <c r="AI151" i="31" a="1"/>
  <c r="AI151" i="31" s="1"/>
  <c r="AJ178" i="31" a="1"/>
  <c r="AJ178" i="31" s="1"/>
  <c r="AJ167" i="31" a="1"/>
  <c r="AJ167" i="31" s="1"/>
  <c r="AI110" i="31" a="1"/>
  <c r="AI110" i="31" s="1"/>
  <c r="AJ131" i="31" a="1"/>
  <c r="AJ131" i="31" s="1"/>
  <c r="AJ100" i="31" a="1"/>
  <c r="AJ100" i="31" s="1"/>
  <c r="AI156" i="31" a="1"/>
  <c r="AI156" i="31" s="1"/>
  <c r="AI150" i="31" a="1"/>
  <c r="AI150" i="31" s="1"/>
  <c r="AI99" i="31" a="1"/>
  <c r="AI99" i="31" s="1"/>
  <c r="AH149" i="31" a="1"/>
  <c r="AH149" i="31" s="1"/>
  <c r="AJ148" i="31" a="1"/>
  <c r="AJ148" i="31" s="1"/>
  <c r="AI111" i="31" a="1"/>
  <c r="AI111" i="31" s="1"/>
  <c r="AI152" i="31" a="1"/>
  <c r="AI152" i="31" s="1"/>
  <c r="AJ170" i="31" a="1"/>
  <c r="AJ170" i="31" s="1"/>
  <c r="AJ158" i="31" a="1"/>
  <c r="AJ158" i="31" s="1"/>
  <c r="AJ163" i="31" a="1"/>
  <c r="AJ163" i="31" s="1"/>
  <c r="AI173" i="31" a="1"/>
  <c r="AI173" i="31" s="1"/>
  <c r="AJ118" i="31" a="1"/>
  <c r="AJ118" i="31" s="1"/>
  <c r="AI103" i="31" a="1"/>
  <c r="AI103" i="31" s="1"/>
  <c r="AH176" i="31" a="1"/>
  <c r="AH176" i="31" s="1"/>
  <c r="AJ172" i="31" a="1"/>
  <c r="AJ172" i="31" s="1"/>
  <c r="AJ119" i="31" a="1"/>
  <c r="AJ119" i="31" s="1"/>
  <c r="AI167" i="31" a="1"/>
  <c r="AI167" i="31" s="1"/>
  <c r="AI147" i="31" a="1"/>
  <c r="AI147" i="31" s="1"/>
  <c r="AH124" i="31" a="1"/>
  <c r="AH124" i="31" s="1"/>
  <c r="AI166" i="31" a="1"/>
  <c r="AI166" i="31" s="1"/>
  <c r="AJ106" i="31" a="1"/>
  <c r="AJ106" i="31" s="1"/>
  <c r="AH148" i="31" a="1"/>
  <c r="AH148" i="31" s="1"/>
  <c r="AH175" i="31" a="1"/>
  <c r="AH175" i="31" s="1"/>
  <c r="AJ133" i="31" a="1"/>
  <c r="AJ133" i="31" s="1"/>
  <c r="AI105" i="31" a="1"/>
  <c r="AI105" i="31" s="1"/>
  <c r="AI148" i="31" a="1"/>
  <c r="AI148" i="31" s="1"/>
  <c r="AM82" i="31" a="1"/>
  <c r="AM82" i="31" s="1"/>
  <c r="AJ154" i="31" a="1"/>
  <c r="AJ154" i="31" s="1"/>
  <c r="AJ176" i="31" a="1"/>
  <c r="AJ176" i="31" s="1"/>
  <c r="AH155" i="31" a="1"/>
  <c r="AH155" i="31" s="1"/>
  <c r="AJ155" i="31" a="1"/>
  <c r="AJ155" i="31" s="1"/>
  <c r="AH150" i="31" a="1"/>
  <c r="AH150" i="31" s="1"/>
  <c r="AJ123" i="31" a="1"/>
  <c r="AJ123" i="31" s="1"/>
  <c r="AH158" i="31" a="1"/>
  <c r="AH158" i="31" s="1"/>
  <c r="AJ115" i="31" a="1"/>
  <c r="AJ115" i="31" s="1"/>
  <c r="AK119" i="31" a="1"/>
  <c r="AK119" i="31" s="1"/>
  <c r="AK112" i="31" a="1"/>
  <c r="AK112" i="31" s="1"/>
  <c r="AH203" i="31" a="1"/>
  <c r="AH203" i="31" s="1"/>
  <c r="AH211" i="31" a="1"/>
  <c r="AH211" i="31" s="1"/>
  <c r="AI210" i="31" a="1"/>
  <c r="AI210" i="31" s="1"/>
  <c r="AJ221" i="31" a="1"/>
  <c r="AJ221" i="31" s="1"/>
  <c r="AK163" i="31" a="1"/>
  <c r="AK163" i="31" s="1"/>
  <c r="AI159" i="31" a="1"/>
  <c r="AI159" i="31" s="1"/>
  <c r="AK159" i="31" a="1"/>
  <c r="AK159" i="31" s="1"/>
  <c r="AK212" i="31" a="1"/>
  <c r="AK212" i="31" s="1"/>
  <c r="AK177" i="31" a="1"/>
  <c r="AK177" i="31" s="1"/>
  <c r="AJ130" i="31" a="1"/>
  <c r="AJ130" i="31" s="1"/>
  <c r="AK102" i="31" a="1"/>
  <c r="AK102" i="31" s="1"/>
  <c r="AK108" i="31" a="1"/>
  <c r="AK108" i="31" s="1"/>
  <c r="AH157" i="31" a="1"/>
  <c r="AH157" i="31" s="1"/>
  <c r="AJ153" i="31" a="1"/>
  <c r="AJ153" i="31" s="1"/>
  <c r="AI181" i="31" a="1"/>
  <c r="AI181" i="31" s="1"/>
  <c r="AJ161" i="31" a="1"/>
  <c r="AJ161" i="31" s="1"/>
  <c r="AI158" i="31" a="1"/>
  <c r="AI158" i="31" s="1"/>
  <c r="AK171" i="31" a="1"/>
  <c r="AK171" i="31" s="1"/>
  <c r="AH227" i="31" a="1"/>
  <c r="AH227" i="31" s="1"/>
  <c r="AH213" i="31" a="1"/>
  <c r="AH213" i="31" s="1"/>
  <c r="AI211" i="31" a="1"/>
  <c r="AI211" i="31" s="1"/>
  <c r="AH216" i="31" a="1"/>
  <c r="AH216" i="31" s="1"/>
  <c r="AK225" i="31" a="1"/>
  <c r="AK225" i="31" s="1"/>
  <c r="AH165" i="31" a="1"/>
  <c r="AH165" i="31" s="1"/>
  <c r="AI224" i="31" a="1"/>
  <c r="AI224" i="31" s="1"/>
  <c r="AH181" i="31" a="1"/>
  <c r="AH181" i="31" s="1"/>
  <c r="AK150" i="31" a="1"/>
  <c r="AK150" i="31" s="1"/>
  <c r="AJ212" i="31" a="1"/>
  <c r="AJ212" i="31" s="1"/>
  <c r="AK111" i="31" a="1"/>
  <c r="AK111" i="31" s="1"/>
  <c r="AK178" i="31" a="1"/>
  <c r="AK178" i="31" s="1"/>
  <c r="AK209" i="31" a="1"/>
  <c r="AK209" i="31" s="1"/>
  <c r="AK132" i="31" a="1"/>
  <c r="AK132" i="31" s="1"/>
  <c r="AK133" i="31" a="1"/>
  <c r="AK133" i="31" s="1"/>
  <c r="AH235" i="31" a="1"/>
  <c r="AH235" i="31" s="1"/>
  <c r="AH171" i="31" a="1"/>
  <c r="AH171" i="31" s="1"/>
  <c r="AI219" i="31" a="1"/>
  <c r="AI219" i="31" s="1"/>
  <c r="AJ165" i="31" a="1"/>
  <c r="AJ165" i="31" s="1"/>
  <c r="AK233" i="31" a="1"/>
  <c r="AK233" i="31" s="1"/>
  <c r="AK169" i="31" a="1"/>
  <c r="AK169" i="31" s="1"/>
  <c r="AJ208" i="31" a="1"/>
  <c r="AJ208" i="31" s="1"/>
  <c r="AK176" i="31" a="1"/>
  <c r="AK176" i="31" s="1"/>
  <c r="AK231" i="31" a="1"/>
  <c r="AK231" i="31" s="1"/>
  <c r="AH226" i="31" a="1"/>
  <c r="AH226" i="31" s="1"/>
  <c r="AK230" i="31" a="1"/>
  <c r="AK230" i="31" s="1"/>
  <c r="AK162" i="31" a="1"/>
  <c r="AK162" i="31" s="1"/>
  <c r="AK207" i="31" a="1"/>
  <c r="AK207" i="31" s="1"/>
  <c r="AI178" i="31" a="1"/>
  <c r="AI178" i="31" s="1"/>
  <c r="AJ225" i="31" a="1"/>
  <c r="AJ225" i="31" s="1"/>
  <c r="AK115" i="31" a="1"/>
  <c r="AK115" i="31" s="1"/>
  <c r="AI208" i="31" a="1"/>
  <c r="AI208" i="31" s="1"/>
  <c r="AK105" i="31" a="1"/>
  <c r="AK105" i="31" s="1"/>
  <c r="AJ151" i="31" a="1"/>
  <c r="AJ151" i="31" s="1"/>
  <c r="AH183" i="31" a="1"/>
  <c r="AH183" i="31" s="1"/>
  <c r="AK167" i="31" a="1"/>
  <c r="AK167" i="31" s="1"/>
  <c r="AH225" i="31" a="1"/>
  <c r="AH225" i="31" s="1"/>
  <c r="AI226" i="31" a="1"/>
  <c r="AI226" i="31" s="1"/>
  <c r="AH219" i="31" a="1"/>
  <c r="AH219" i="31" s="1"/>
  <c r="AK183" i="31" a="1"/>
  <c r="AK183" i="31" s="1"/>
  <c r="AH234" i="31" a="1"/>
  <c r="AH234" i="31" s="1"/>
  <c r="AK203" i="31" a="1"/>
  <c r="AK203" i="31" s="1"/>
  <c r="AJ177" i="31" a="1"/>
  <c r="AJ177" i="31" s="1"/>
  <c r="AK210" i="31" a="1"/>
  <c r="AK210" i="31" s="1"/>
  <c r="AK227" i="31" a="1"/>
  <c r="AK227" i="31" s="1"/>
  <c r="AH198" i="31" a="1"/>
  <c r="AH198" i="31" s="1"/>
  <c r="AK202" i="31" a="1"/>
  <c r="AK202" i="31" s="1"/>
  <c r="AK200" i="31" a="1"/>
  <c r="AK200" i="31" s="1"/>
  <c r="AK206" i="31" a="1"/>
  <c r="AK206" i="31" s="1"/>
  <c r="AJ169" i="31" a="1"/>
  <c r="AJ169" i="31" s="1"/>
  <c r="AI197" i="31" a="1"/>
  <c r="AI197" i="31" s="1"/>
  <c r="AK175" i="31" a="1"/>
  <c r="AK175" i="31" s="1"/>
  <c r="AJ222" i="31" a="1"/>
  <c r="AJ222" i="31" s="1"/>
  <c r="AK127" i="31" a="1"/>
  <c r="AK127" i="31" s="1"/>
  <c r="AH220" i="31" a="1"/>
  <c r="AH220" i="31" s="1"/>
  <c r="AH215" i="31" a="1"/>
  <c r="AH215" i="31" s="1"/>
  <c r="AK148" i="31" a="1"/>
  <c r="AK148" i="31" s="1"/>
  <c r="AK156" i="31" a="1"/>
  <c r="AK156" i="31" s="1"/>
  <c r="AI206" i="31" a="1"/>
  <c r="AI206" i="31" s="1"/>
  <c r="AJ202" i="31" a="1"/>
  <c r="AJ202" i="31" s="1"/>
  <c r="AJ111" i="31" a="1"/>
  <c r="AJ111" i="31" s="1"/>
  <c r="AJ203" i="31" a="1"/>
  <c r="AJ203" i="31" s="1"/>
  <c r="AI212" i="31" a="1"/>
  <c r="AI212" i="31" s="1"/>
  <c r="AI222" i="31" a="1"/>
  <c r="AI222" i="31" s="1"/>
  <c r="AJ205" i="31" a="1"/>
  <c r="AJ205" i="31" s="1"/>
  <c r="AK197" i="31" a="1"/>
  <c r="AK197" i="31" s="1"/>
  <c r="AH231" i="31" a="1"/>
  <c r="AH231" i="31" s="1"/>
  <c r="AJ233" i="31" a="1"/>
  <c r="AJ233" i="31" s="1"/>
  <c r="AJ231" i="31" a="1"/>
  <c r="AJ231" i="31" s="1"/>
  <c r="AK154" i="31" a="1"/>
  <c r="AK154" i="31" s="1"/>
  <c r="AK96" i="31" a="1"/>
  <c r="AK96" i="31" s="1"/>
  <c r="AH161" i="31" a="1"/>
  <c r="AH161" i="31" s="1"/>
  <c r="AK129" i="31" a="1"/>
  <c r="AK129" i="31" s="1"/>
  <c r="AI235" i="31" a="1"/>
  <c r="AI235" i="31" s="1"/>
  <c r="AI209" i="31" a="1"/>
  <c r="AI209" i="31" s="1"/>
  <c r="AI200" i="31" a="1"/>
  <c r="AI200" i="31" s="1"/>
  <c r="AK131" i="31" a="1"/>
  <c r="AK131" i="31" s="1"/>
  <c r="AK114" i="31" a="1"/>
  <c r="AK114" i="31" s="1"/>
  <c r="AK160" i="31" a="1"/>
  <c r="AK160" i="31" s="1"/>
  <c r="AK224" i="31" a="1"/>
  <c r="AK224" i="31" s="1"/>
  <c r="AK109" i="31" a="1"/>
  <c r="AK109" i="31" s="1"/>
  <c r="AH218" i="31" a="1"/>
  <c r="AH218" i="31" s="1"/>
  <c r="AJ227" i="31" a="1"/>
  <c r="AJ227" i="31" s="1"/>
  <c r="AJ218" i="31" a="1"/>
  <c r="AJ218" i="31" s="1"/>
  <c r="AH206" i="31" a="1"/>
  <c r="AH206" i="31" s="1"/>
  <c r="AJ99" i="31" a="1"/>
  <c r="AJ99" i="31" s="1"/>
  <c r="AK198" i="31" a="1"/>
  <c r="AK198" i="31" s="1"/>
  <c r="AI230" i="31" a="1"/>
  <c r="AI230" i="31" s="1"/>
  <c r="AJ214" i="31" a="1"/>
  <c r="AJ214" i="31" s="1"/>
  <c r="AK116" i="31" a="1"/>
  <c r="AK116" i="31" s="1"/>
  <c r="AK168" i="31" a="1"/>
  <c r="AK168" i="31" s="1"/>
  <c r="AI233" i="31" a="1"/>
  <c r="AI233" i="31" s="1"/>
  <c r="AK218" i="31" a="1"/>
  <c r="AK218" i="31" s="1"/>
  <c r="AJ201" i="31" a="1"/>
  <c r="AJ201" i="31" s="1"/>
  <c r="AK223" i="31" a="1"/>
  <c r="AK223" i="31" s="1"/>
  <c r="AJ234" i="31" a="1"/>
  <c r="AJ234" i="31" s="1"/>
  <c r="AI234" i="31" a="1"/>
  <c r="AI234" i="31" s="1"/>
  <c r="AI214" i="31" a="1"/>
  <c r="AI214" i="31" s="1"/>
  <c r="AK120" i="31" a="1"/>
  <c r="AK120" i="31" s="1"/>
  <c r="AK211" i="31" a="1"/>
  <c r="AK211" i="31" s="1"/>
  <c r="AJ160" i="31" a="1"/>
  <c r="AJ160" i="31" s="1"/>
  <c r="AK103" i="31" a="1"/>
  <c r="AK103" i="31" s="1"/>
  <c r="AH223" i="31" a="1"/>
  <c r="AH223" i="31" s="1"/>
  <c r="AK123" i="31" a="1"/>
  <c r="AK123" i="31" s="1"/>
  <c r="AN82" i="31" a="1"/>
  <c r="AN82" i="31" s="1"/>
  <c r="AK217" i="31" a="1"/>
  <c r="AK217" i="31" s="1"/>
  <c r="AH224" i="31" a="1"/>
  <c r="AH224" i="31" s="1"/>
  <c r="AJ216" i="31" a="1"/>
  <c r="AJ216" i="31" s="1"/>
  <c r="AI220" i="31" a="1"/>
  <c r="AI220" i="31" s="1"/>
  <c r="AJ223" i="31" a="1"/>
  <c r="AJ223" i="31" s="1"/>
  <c r="AH208" i="31" a="1"/>
  <c r="AH208" i="31" s="1"/>
  <c r="AJ110" i="31" a="1"/>
  <c r="AJ110" i="31" s="1"/>
  <c r="AK99" i="31" a="1"/>
  <c r="AK99" i="31" s="1"/>
  <c r="AH229" i="31" a="1"/>
  <c r="AH229" i="31" s="1"/>
  <c r="AH172" i="31" a="1"/>
  <c r="AH172" i="31" s="1"/>
  <c r="AI227" i="31" a="1"/>
  <c r="AI227" i="31" s="1"/>
  <c r="AI165" i="31" a="1"/>
  <c r="AI165" i="31" s="1"/>
  <c r="AH204" i="31" a="1"/>
  <c r="AH204" i="31" s="1"/>
  <c r="AK110" i="31" a="1"/>
  <c r="AK110" i="31" s="1"/>
  <c r="AK166" i="31" a="1"/>
  <c r="AK166" i="31" s="1"/>
  <c r="AK101" i="31" a="1"/>
  <c r="AK101" i="31" s="1"/>
  <c r="AJ211" i="31" a="1"/>
  <c r="AJ211" i="31" s="1"/>
  <c r="AI207" i="31" a="1"/>
  <c r="AI207" i="31" s="1"/>
  <c r="AI218" i="31" a="1"/>
  <c r="AI218" i="31" s="1"/>
  <c r="AJ215" i="31" a="1"/>
  <c r="AJ215" i="31" s="1"/>
  <c r="AK205" i="31" a="1"/>
  <c r="AK205" i="31" s="1"/>
  <c r="AH232" i="31" a="1"/>
  <c r="AH232" i="31" s="1"/>
  <c r="AK180" i="31" a="1"/>
  <c r="AK180" i="31" s="1"/>
  <c r="AJ200" i="31" a="1"/>
  <c r="AJ200" i="31" s="1"/>
  <c r="AK130" i="31" a="1"/>
  <c r="AK130" i="31" s="1"/>
  <c r="AK165" i="31" a="1"/>
  <c r="AK165" i="31" s="1"/>
  <c r="AK118" i="31" a="1"/>
  <c r="AK118" i="31" s="1"/>
  <c r="AJ121" i="31" a="1"/>
  <c r="AJ121" i="31" s="1"/>
  <c r="AK128" i="31" a="1"/>
  <c r="AK128" i="31" s="1"/>
  <c r="AI229" i="31" a="1"/>
  <c r="AI229" i="31" s="1"/>
  <c r="AK182" i="31" a="1"/>
  <c r="AK182" i="31" s="1"/>
  <c r="AH156" i="31" a="1"/>
  <c r="AH156" i="31" s="1"/>
  <c r="AK179" i="31" a="1"/>
  <c r="AK179" i="31" s="1"/>
  <c r="AJ213" i="31" a="1"/>
  <c r="AJ213" i="31" s="1"/>
  <c r="AK121" i="31" a="1"/>
  <c r="AK121" i="31" s="1"/>
  <c r="AK158" i="31" a="1"/>
  <c r="AK158" i="31" s="1"/>
  <c r="AH174" i="31" a="1"/>
  <c r="AH174" i="31" s="1"/>
  <c r="AH222" i="31" a="1"/>
  <c r="AH222" i="31" s="1"/>
  <c r="AK97" i="31" a="1"/>
  <c r="AK97" i="31" s="1"/>
  <c r="AI216" i="31" a="1"/>
  <c r="AI216" i="31" s="1"/>
  <c r="AK221" i="31" a="1"/>
  <c r="AK221" i="31" s="1"/>
  <c r="AH200" i="31" a="1"/>
  <c r="AH200" i="31" s="1"/>
  <c r="AJ232" i="31" a="1"/>
  <c r="AJ232" i="31" s="1"/>
  <c r="AK214" i="31" a="1"/>
  <c r="AK214" i="31" s="1"/>
  <c r="AI228" i="31" a="1"/>
  <c r="AI228" i="31" s="1"/>
  <c r="AK172" i="31" a="1"/>
  <c r="AK172" i="31" s="1"/>
  <c r="AJ228" i="31" a="1"/>
  <c r="AJ228" i="31" s="1"/>
  <c r="AJ103" i="31" a="1"/>
  <c r="AJ103" i="31" s="1"/>
  <c r="AK107" i="31" a="1"/>
  <c r="AK107" i="31" s="1"/>
  <c r="AJ209" i="31" a="1"/>
  <c r="AJ209" i="31" s="1"/>
  <c r="AK173" i="31" a="1"/>
  <c r="AK173" i="31" s="1"/>
  <c r="AK219" i="31" a="1"/>
  <c r="AK219" i="31" s="1"/>
  <c r="AJ229" i="31" a="1"/>
  <c r="AJ229" i="31" s="1"/>
  <c r="AK220" i="31" a="1"/>
  <c r="AK220" i="31" s="1"/>
  <c r="AI198" i="31" a="1"/>
  <c r="AI198" i="31" s="1"/>
  <c r="AJ226" i="31" a="1"/>
  <c r="AJ226" i="31" s="1"/>
  <c r="AK100" i="31" a="1"/>
  <c r="AK100" i="31" s="1"/>
  <c r="AH217" i="31" a="1"/>
  <c r="AH217" i="31" s="1"/>
  <c r="AK98" i="31" a="1"/>
  <c r="AK98" i="31" s="1"/>
  <c r="AK184" i="31" a="1"/>
  <c r="AK184" i="31" s="1"/>
  <c r="AK229" i="31" a="1"/>
  <c r="AK229" i="31" s="1"/>
  <c r="AK164" i="31" a="1"/>
  <c r="AK164" i="31" s="1"/>
  <c r="AJ204" i="31" a="1"/>
  <c r="AJ204" i="31" s="1"/>
  <c r="AK215" i="31" a="1"/>
  <c r="AK215" i="31" s="1"/>
  <c r="AK204" i="31" a="1"/>
  <c r="AK204" i="31" s="1"/>
  <c r="AI203" i="31" a="1"/>
  <c r="AI203" i="31" s="1"/>
  <c r="AK104" i="31" a="1"/>
  <c r="AK104" i="31" s="1"/>
  <c r="AK161" i="31" a="1"/>
  <c r="AK161" i="31" s="1"/>
  <c r="AM166" i="31" a="1"/>
  <c r="AM166" i="31" s="1"/>
  <c r="AL176" i="31" a="1"/>
  <c r="AL176" i="31" s="1"/>
  <c r="AL219" i="31" a="1"/>
  <c r="AL219" i="31" s="1"/>
  <c r="AL127" i="31" a="1"/>
  <c r="AL127" i="31" s="1"/>
  <c r="AL179" i="31" a="1"/>
  <c r="AL179" i="31" s="1"/>
  <c r="AL124" i="31" a="1"/>
  <c r="AL124" i="31" s="1"/>
  <c r="AL166" i="31" a="1"/>
  <c r="AL166" i="31" s="1"/>
  <c r="AL227" i="31" a="1"/>
  <c r="AL227" i="31" s="1"/>
  <c r="AL210" i="31" a="1"/>
  <c r="AL210" i="31" s="1"/>
  <c r="AH209" i="31" a="1"/>
  <c r="AH209" i="31" s="1"/>
  <c r="AJ235" i="31" a="1"/>
  <c r="AJ235" i="31" s="1"/>
  <c r="AK222" i="31" a="1"/>
  <c r="AK222" i="31" s="1"/>
  <c r="AI223" i="31" a="1"/>
  <c r="AI223" i="31" s="1"/>
  <c r="AJ129" i="31" a="1"/>
  <c r="AJ129" i="31" s="1"/>
  <c r="AL204" i="31" a="1"/>
  <c r="AL204" i="31" s="1"/>
  <c r="AL165" i="31" a="1"/>
  <c r="AL165" i="31" s="1"/>
  <c r="AL218" i="31" a="1"/>
  <c r="AL218" i="31" s="1"/>
  <c r="AL233" i="31" a="1"/>
  <c r="AL233" i="31" s="1"/>
  <c r="AL163" i="31" a="1"/>
  <c r="AL163" i="31" s="1"/>
  <c r="AL103" i="31" a="1"/>
  <c r="AL103" i="31" s="1"/>
  <c r="AL111" i="31" a="1"/>
  <c r="AL111" i="31" s="1"/>
  <c r="AL157" i="31" a="1"/>
  <c r="AL157" i="31" s="1"/>
  <c r="AL100" i="31" a="1"/>
  <c r="AL100" i="31" s="1"/>
  <c r="AL184" i="31" a="1"/>
  <c r="AL184" i="31" s="1"/>
  <c r="AI199" i="31" a="1"/>
  <c r="AI199" i="31" s="1"/>
  <c r="AK232" i="31" a="1"/>
  <c r="AK232" i="31" s="1"/>
  <c r="AI215" i="31" a="1"/>
  <c r="AI215" i="31" s="1"/>
  <c r="AL121" i="31" a="1"/>
  <c r="AL121" i="31" s="1"/>
  <c r="AL162" i="31" a="1"/>
  <c r="AL162" i="31" s="1"/>
  <c r="AL169" i="31" a="1"/>
  <c r="AL169" i="31" s="1"/>
  <c r="AK208" i="31" a="1"/>
  <c r="AK208" i="31" s="1"/>
  <c r="AL107" i="31" a="1"/>
  <c r="AL107" i="31" s="1"/>
  <c r="AL223" i="31" a="1"/>
  <c r="AL223" i="31" s="1"/>
  <c r="AL215" i="31" a="1"/>
  <c r="AL215" i="31" s="1"/>
  <c r="AK216" i="31" a="1"/>
  <c r="AK216" i="31" s="1"/>
  <c r="AI170" i="31" a="1"/>
  <c r="AI170" i="31" s="1"/>
  <c r="AK113" i="31" a="1"/>
  <c r="AK113" i="31" s="1"/>
  <c r="AJ230" i="31" a="1"/>
  <c r="AJ230" i="31" s="1"/>
  <c r="AK228" i="31" a="1"/>
  <c r="AK228" i="31" s="1"/>
  <c r="AJ206" i="31" a="1"/>
  <c r="AJ206" i="31" s="1"/>
  <c r="AL181" i="31" a="1"/>
  <c r="AL181" i="31" s="1"/>
  <c r="AL232" i="31" a="1"/>
  <c r="AL232" i="31" s="1"/>
  <c r="AL154" i="31" a="1"/>
  <c r="AL154" i="31" s="1"/>
  <c r="AK149" i="31" a="1"/>
  <c r="AK149" i="31" s="1"/>
  <c r="AL132" i="31" a="1"/>
  <c r="AL132" i="31" s="1"/>
  <c r="AL116" i="31" a="1"/>
  <c r="AL116" i="31" s="1"/>
  <c r="AL173" i="31" a="1"/>
  <c r="AL173" i="31" s="1"/>
  <c r="AL105" i="31" a="1"/>
  <c r="AL105" i="31" s="1"/>
  <c r="AL220" i="31" a="1"/>
  <c r="AL220" i="31" s="1"/>
  <c r="AL112" i="31" a="1"/>
  <c r="AL112" i="31" s="1"/>
  <c r="AJ210" i="31" a="1"/>
  <c r="AJ210" i="31" s="1"/>
  <c r="AK199" i="31" a="1"/>
  <c r="AK199" i="31" s="1"/>
  <c r="AJ219" i="31" a="1"/>
  <c r="AJ219" i="31" s="1"/>
  <c r="AH201" i="31" a="1"/>
  <c r="AH201" i="31" s="1"/>
  <c r="AI221" i="31" a="1"/>
  <c r="AI221" i="31" s="1"/>
  <c r="AL156" i="31" a="1"/>
  <c r="AL156" i="31" s="1"/>
  <c r="AL102" i="31" a="1"/>
  <c r="AL102" i="31" s="1"/>
  <c r="AL216" i="31" a="1"/>
  <c r="AL216" i="31" s="1"/>
  <c r="AL106" i="31" a="1"/>
  <c r="AL106" i="31" s="1"/>
  <c r="AL217" i="31" a="1"/>
  <c r="AL217" i="31" s="1"/>
  <c r="AL224" i="31" a="1"/>
  <c r="AL224" i="31" s="1"/>
  <c r="AL120" i="31" a="1"/>
  <c r="AL120" i="31" s="1"/>
  <c r="AL123" i="31" a="1"/>
  <c r="AL123" i="31" s="1"/>
  <c r="AI201" i="31" a="1"/>
  <c r="AI201" i="31" s="1"/>
  <c r="AK153" i="31" a="1"/>
  <c r="AK153" i="31" s="1"/>
  <c r="AK122" i="31" a="1"/>
  <c r="AK122" i="31" s="1"/>
  <c r="AK152" i="31" a="1"/>
  <c r="AK152" i="31" s="1"/>
  <c r="AI202" i="31" a="1"/>
  <c r="AI202" i="31" s="1"/>
  <c r="AJ207" i="31" a="1"/>
  <c r="AJ207" i="31" s="1"/>
  <c r="AL117" i="31" a="1"/>
  <c r="AL117" i="31" s="1"/>
  <c r="AL126" i="31" a="1"/>
  <c r="AL126" i="31" s="1"/>
  <c r="AL228" i="31" a="1"/>
  <c r="AL228" i="31" s="1"/>
  <c r="AL209" i="31" a="1"/>
  <c r="AL209" i="31" s="1"/>
  <c r="AL226" i="31" a="1"/>
  <c r="AL226" i="31" s="1"/>
  <c r="AK181" i="31" a="1"/>
  <c r="AK181" i="31" s="1"/>
  <c r="AK126" i="31" a="1"/>
  <c r="AK126" i="31" s="1"/>
  <c r="AL101" i="31" a="1"/>
  <c r="AL101" i="31" s="1"/>
  <c r="AK155" i="31" a="1"/>
  <c r="AK155" i="31" s="1"/>
  <c r="AK234" i="31" a="1"/>
  <c r="AK234" i="31" s="1"/>
  <c r="AK117" i="31" a="1"/>
  <c r="AK117" i="31" s="1"/>
  <c r="AJ220" i="31" a="1"/>
  <c r="AJ220" i="31" s="1"/>
  <c r="AL150" i="31" a="1"/>
  <c r="AL150" i="31" s="1"/>
  <c r="AL171" i="31" a="1"/>
  <c r="AL171" i="31" s="1"/>
  <c r="AL153" i="31" a="1"/>
  <c r="AL153" i="31" s="1"/>
  <c r="AL108" i="31" a="1"/>
  <c r="AL108" i="31" s="1"/>
  <c r="AI204" i="31" a="1"/>
  <c r="AI204" i="31" s="1"/>
  <c r="AL229" i="31" a="1"/>
  <c r="AL229" i="31" s="1"/>
  <c r="AK124" i="31" a="1"/>
  <c r="AK124" i="31" s="1"/>
  <c r="AL104" i="31" a="1"/>
  <c r="AL104" i="31" s="1"/>
  <c r="AK213" i="31" a="1"/>
  <c r="AK213" i="31" s="1"/>
  <c r="AL207" i="31" a="1"/>
  <c r="AL207" i="31" s="1"/>
  <c r="AK174" i="31" a="1"/>
  <c r="AK174" i="31" s="1"/>
  <c r="AH230" i="31" a="1"/>
  <c r="AH230" i="31" s="1"/>
  <c r="AL180" i="31" a="1"/>
  <c r="AL180" i="31" s="1"/>
  <c r="AL158" i="31" a="1"/>
  <c r="AL158" i="31" s="1"/>
  <c r="AL110" i="31" a="1"/>
  <c r="AL110" i="31" s="1"/>
  <c r="AH152" i="31" a="1"/>
  <c r="AH152" i="31" s="1"/>
  <c r="AK147" i="31" a="1"/>
  <c r="AK147" i="31" s="1"/>
  <c r="AH212" i="31" a="1"/>
  <c r="AH212" i="31" s="1"/>
  <c r="AL213" i="31" a="1"/>
  <c r="AL213" i="31" s="1"/>
  <c r="AL159" i="31" a="1"/>
  <c r="AL159" i="31" s="1"/>
  <c r="AL222" i="31" a="1"/>
  <c r="AL222" i="31" s="1"/>
  <c r="AL211" i="31" a="1"/>
  <c r="AL211" i="31" s="1"/>
  <c r="AL175" i="31" a="1"/>
  <c r="AL175" i="31" s="1"/>
  <c r="AH205" i="31" a="1"/>
  <c r="AH205" i="31" s="1"/>
  <c r="AL118" i="31" a="1"/>
  <c r="AL118" i="31" s="1"/>
  <c r="AK106" i="31" a="1"/>
  <c r="AK106" i="31" s="1"/>
  <c r="AL119" i="31" a="1"/>
  <c r="AL119" i="31" s="1"/>
  <c r="AL174" i="31" a="1"/>
  <c r="AL174" i="31" s="1"/>
  <c r="AL235" i="31" a="1"/>
  <c r="AL235" i="31" s="1"/>
  <c r="AL221" i="31" a="1"/>
  <c r="AL221" i="31" s="1"/>
  <c r="AL160" i="31" a="1"/>
  <c r="AL160" i="31" s="1"/>
  <c r="AL203" i="31" a="1"/>
  <c r="AL203" i="31" s="1"/>
  <c r="AK151" i="31" a="1"/>
  <c r="AK151" i="31" s="1"/>
  <c r="AL177" i="31" a="1"/>
  <c r="AL177" i="31" s="1"/>
  <c r="AL164" i="31" a="1"/>
  <c r="AL164" i="31" s="1"/>
  <c r="AL130" i="31" a="1"/>
  <c r="AL130" i="31" s="1"/>
  <c r="AJ199" i="31" a="1"/>
  <c r="AJ199" i="31" s="1"/>
  <c r="AH228" i="31" a="1"/>
  <c r="AH228" i="31" s="1"/>
  <c r="AK201" i="31" a="1"/>
  <c r="AK201" i="31" s="1"/>
  <c r="AK157" i="31" a="1"/>
  <c r="AK157" i="31" s="1"/>
  <c r="AL172" i="31" a="1"/>
  <c r="AL172" i="31" s="1"/>
  <c r="AK125" i="31" a="1"/>
  <c r="AK125" i="31" s="1"/>
  <c r="AL206" i="31" a="1"/>
  <c r="AL206" i="31" s="1"/>
  <c r="AJ217" i="31" a="1"/>
  <c r="AJ217" i="31" s="1"/>
  <c r="AH233" i="31" a="1"/>
  <c r="AH233" i="31" s="1"/>
  <c r="AK226" i="31" a="1"/>
  <c r="AK226" i="31" s="1"/>
  <c r="AL148" i="31" a="1"/>
  <c r="AL148" i="31" s="1"/>
  <c r="AL234" i="31" a="1"/>
  <c r="AL234" i="31" s="1"/>
  <c r="AH202" i="31" a="1"/>
  <c r="AH202" i="31" s="1"/>
  <c r="AI205" i="31" a="1"/>
  <c r="AI205" i="31" s="1"/>
  <c r="AL109" i="31" a="1"/>
  <c r="AL109" i="31" s="1"/>
  <c r="AH207" i="31" a="1"/>
  <c r="AH207" i="31" s="1"/>
  <c r="AI217" i="31" a="1"/>
  <c r="AI217" i="31" s="1"/>
  <c r="AO82" i="31" a="1"/>
  <c r="AO82" i="31" s="1"/>
  <c r="AN113" i="31" a="1"/>
  <c r="AN113" i="31" s="1"/>
  <c r="AI225" i="31" a="1"/>
  <c r="AI225" i="31" s="1"/>
  <c r="AM212" i="31" a="1"/>
  <c r="AM212" i="31" s="1"/>
  <c r="AM148" i="31" a="1"/>
  <c r="AM148" i="31" s="1"/>
  <c r="AI231" i="31" a="1"/>
  <c r="AI231" i="31" s="1"/>
  <c r="AM123" i="31" a="1"/>
  <c r="AM123" i="31" s="1"/>
  <c r="AL230" i="31" a="1"/>
  <c r="AL230" i="31" s="1"/>
  <c r="AM105" i="31" a="1"/>
  <c r="AM105" i="31" s="1"/>
  <c r="AM214" i="31" a="1"/>
  <c r="AM214" i="31" s="1"/>
  <c r="AL113" i="31" a="1"/>
  <c r="AL113" i="31" s="1"/>
  <c r="AM162" i="31" a="1"/>
  <c r="AM162" i="31" s="1"/>
  <c r="AM174" i="31" a="1"/>
  <c r="AM174" i="31" s="1"/>
  <c r="AP82" i="31" a="1"/>
  <c r="AP82" i="31" s="1"/>
  <c r="AM151" i="31" a="1"/>
  <c r="AM151" i="31" s="1"/>
  <c r="AM155" i="31" a="1"/>
  <c r="AM155" i="31" s="1"/>
  <c r="AM98" i="31" a="1"/>
  <c r="AM98" i="31" s="1"/>
  <c r="AM102" i="31" a="1"/>
  <c r="AM102" i="31" s="1"/>
  <c r="AM180" i="31" a="1"/>
  <c r="AM180" i="31" s="1"/>
  <c r="AM173" i="31" a="1"/>
  <c r="AM173" i="31" s="1"/>
  <c r="AM108" i="31" a="1"/>
  <c r="AM108" i="31" s="1"/>
  <c r="AH210" i="31" a="1"/>
  <c r="AH210" i="31" s="1"/>
  <c r="AI232" i="31" a="1"/>
  <c r="AI232" i="31" s="1"/>
  <c r="AL170" i="31" a="1"/>
  <c r="AL170" i="31" s="1"/>
  <c r="AL208" i="31" a="1"/>
  <c r="AL208" i="31" s="1"/>
  <c r="AM152" i="31" a="1"/>
  <c r="AM152" i="31" s="1"/>
  <c r="AM230" i="31" a="1"/>
  <c r="AM230" i="31" s="1"/>
  <c r="AM103" i="31" a="1"/>
  <c r="AM103" i="31" s="1"/>
  <c r="AL152" i="31" a="1"/>
  <c r="AL152" i="31" s="1"/>
  <c r="AL202" i="31" a="1"/>
  <c r="AL202" i="31" s="1"/>
  <c r="AM165" i="31" a="1"/>
  <c r="AM165" i="31" s="1"/>
  <c r="AM219" i="31" a="1"/>
  <c r="AM219" i="31" s="1"/>
  <c r="AM170" i="31" a="1"/>
  <c r="AM170" i="31" s="1"/>
  <c r="AM115" i="31" a="1"/>
  <c r="AM115" i="31" s="1"/>
  <c r="AM235" i="31" a="1"/>
  <c r="AM235" i="31" s="1"/>
  <c r="AL133" i="31" a="1"/>
  <c r="AL133" i="31" s="1"/>
  <c r="AM97" i="31" a="1"/>
  <c r="AM97" i="31" s="1"/>
  <c r="AL231" i="31" a="1"/>
  <c r="AL231" i="31" s="1"/>
  <c r="AM132" i="31" a="1"/>
  <c r="AM132" i="31" s="1"/>
  <c r="AK170" i="31" a="1"/>
  <c r="AK170" i="31" s="1"/>
  <c r="AH221" i="31" a="1"/>
  <c r="AH221" i="31" s="1"/>
  <c r="AL178" i="31" a="1"/>
  <c r="AL178" i="31" s="1"/>
  <c r="AL122" i="31" a="1"/>
  <c r="AL122" i="31" s="1"/>
  <c r="AH214" i="31" a="1"/>
  <c r="AH214" i="31" s="1"/>
  <c r="AM216" i="31" a="1"/>
  <c r="AM216" i="31" s="1"/>
  <c r="AI213" i="31" a="1"/>
  <c r="AI213" i="31" s="1"/>
  <c r="AM171" i="31" a="1"/>
  <c r="AM171" i="31" s="1"/>
  <c r="AM111" i="31" a="1"/>
  <c r="AM111" i="31" s="1"/>
  <c r="AL149" i="31" a="1"/>
  <c r="AL149" i="31" s="1"/>
  <c r="AM200" i="31" a="1"/>
  <c r="AM200" i="31" s="1"/>
  <c r="AM202" i="31" a="1"/>
  <c r="AM202" i="31" s="1"/>
  <c r="AM229" i="31" a="1"/>
  <c r="AM229" i="31" s="1"/>
  <c r="AM157" i="31" a="1"/>
  <c r="AM157" i="31" s="1"/>
  <c r="AM201" i="31" a="1"/>
  <c r="AM201" i="31" s="1"/>
  <c r="AL183" i="31" a="1"/>
  <c r="AL183" i="31" s="1"/>
  <c r="AM126" i="31" a="1"/>
  <c r="AM126" i="31" s="1"/>
  <c r="AL151" i="31" a="1"/>
  <c r="AL151" i="31" s="1"/>
  <c r="AM150" i="31" a="1"/>
  <c r="AM150" i="31" s="1"/>
  <c r="AM113" i="31" a="1"/>
  <c r="AM113" i="31" s="1"/>
  <c r="AL128" i="31" a="1"/>
  <c r="AL128" i="31" s="1"/>
  <c r="AM128" i="31" a="1"/>
  <c r="AM128" i="31" s="1"/>
  <c r="AM221" i="31" a="1"/>
  <c r="AM221" i="31" s="1"/>
  <c r="AM99" i="31" a="1"/>
  <c r="AM99" i="31" s="1"/>
  <c r="AM114" i="31" a="1"/>
  <c r="AM114" i="31" s="1"/>
  <c r="AL225" i="31" a="1"/>
  <c r="AL225" i="31" s="1"/>
  <c r="AL98" i="31" a="1"/>
  <c r="AL98" i="31" s="1"/>
  <c r="AL168" i="31" a="1"/>
  <c r="AL168" i="31" s="1"/>
  <c r="AM100" i="31" a="1"/>
  <c r="AM100" i="31" s="1"/>
  <c r="AM206" i="31" a="1"/>
  <c r="AM206" i="31" s="1"/>
  <c r="AL114" i="31" a="1"/>
  <c r="AL114" i="31" s="1"/>
  <c r="AM167" i="31" a="1"/>
  <c r="AM167" i="31" s="1"/>
  <c r="AM210" i="31" a="1"/>
  <c r="AM210" i="31" s="1"/>
  <c r="AL129" i="31" a="1"/>
  <c r="AL129" i="31" s="1"/>
  <c r="AM158" i="31" a="1"/>
  <c r="AM158" i="31" s="1"/>
  <c r="AL214" i="31" a="1"/>
  <c r="AL214" i="31" s="1"/>
  <c r="AM129" i="31" a="1"/>
  <c r="AM129" i="31" s="1"/>
  <c r="AM208" i="31" a="1"/>
  <c r="AM208" i="31" s="1"/>
  <c r="AM213" i="31" a="1"/>
  <c r="AM213" i="31" s="1"/>
  <c r="AL115" i="31" a="1"/>
  <c r="AL115" i="31" s="1"/>
  <c r="AM226" i="31" a="1"/>
  <c r="AM226" i="31" s="1"/>
  <c r="AM204" i="31" a="1"/>
  <c r="AM204" i="31" s="1"/>
  <c r="AL155" i="31" a="1"/>
  <c r="AL155" i="31" s="1"/>
  <c r="AM110" i="31" a="1"/>
  <c r="AM110" i="31" s="1"/>
  <c r="AL131" i="31" a="1"/>
  <c r="AL131" i="31" s="1"/>
  <c r="AL167" i="31" a="1"/>
  <c r="AL167" i="31" s="1"/>
  <c r="AL161" i="31" a="1"/>
  <c r="AL161" i="31" s="1"/>
  <c r="AM133" i="31" a="1"/>
  <c r="AM133" i="31" s="1"/>
  <c r="AM232" i="31" a="1"/>
  <c r="AM232" i="31" s="1"/>
  <c r="AM234" i="31" a="1"/>
  <c r="AM234" i="31" s="1"/>
  <c r="AL205" i="31" a="1"/>
  <c r="AL205" i="31" s="1"/>
  <c r="AL99" i="31" a="1"/>
  <c r="AL99" i="31" s="1"/>
  <c r="AO130" i="31" a="1"/>
  <c r="AO130" i="31" s="1"/>
  <c r="AN161" i="31" a="1"/>
  <c r="AN161" i="31" s="1"/>
  <c r="AN126" i="31" a="1"/>
  <c r="AN126" i="31" s="1"/>
  <c r="AN173" i="31" a="1"/>
  <c r="AN173" i="31" s="1"/>
  <c r="AM222" i="31" a="1"/>
  <c r="AM222" i="31" s="1"/>
  <c r="AM172" i="31" a="1"/>
  <c r="AM172" i="31" s="1"/>
  <c r="AL200" i="31" a="1"/>
  <c r="AL200" i="31" s="1"/>
  <c r="AM109" i="31" a="1"/>
  <c r="AM109" i="31" s="1"/>
  <c r="AN114" i="31" a="1"/>
  <c r="AN114" i="31" s="1"/>
  <c r="AM112" i="31" a="1"/>
  <c r="AM112" i="31" s="1"/>
  <c r="AN121" i="31" a="1"/>
  <c r="AN121" i="31" s="1"/>
  <c r="AN133" i="31" a="1"/>
  <c r="AN133" i="31" s="1"/>
  <c r="AN154" i="31" a="1"/>
  <c r="AN154" i="31" s="1"/>
  <c r="AN127" i="31" a="1"/>
  <c r="AN127" i="31" s="1"/>
  <c r="AN156" i="31" a="1"/>
  <c r="AN156" i="31" s="1"/>
  <c r="AN131" i="31" a="1"/>
  <c r="AN131" i="31" s="1"/>
  <c r="AM178" i="31" a="1"/>
  <c r="AM178" i="31" s="1"/>
  <c r="AL212" i="31" a="1"/>
  <c r="AL212" i="31" s="1"/>
  <c r="AM101" i="31" a="1"/>
  <c r="AM101" i="31" s="1"/>
  <c r="AM177" i="31" a="1"/>
  <c r="AM177" i="31" s="1"/>
  <c r="AM127" i="31" a="1"/>
  <c r="AM127" i="31" s="1"/>
  <c r="AN226" i="31" a="1"/>
  <c r="AN226" i="31" s="1"/>
  <c r="AN124" i="31" a="1"/>
  <c r="AN124" i="31" s="1"/>
  <c r="AN101" i="31" a="1"/>
  <c r="AN101" i="31" s="1"/>
  <c r="AM125" i="31" a="1"/>
  <c r="AM125" i="31" s="1"/>
  <c r="AN172" i="31" a="1"/>
  <c r="AN172" i="31" s="1"/>
  <c r="AN179" i="31" a="1"/>
  <c r="AN179" i="31" s="1"/>
  <c r="AN202" i="31" a="1"/>
  <c r="AN202" i="31" s="1"/>
  <c r="AM104" i="31" a="1"/>
  <c r="AM104" i="31" s="1"/>
  <c r="AM218" i="31" a="1"/>
  <c r="AM218" i="31" s="1"/>
  <c r="AM122" i="31" a="1"/>
  <c r="AM122" i="31" s="1"/>
  <c r="AM220" i="31" a="1"/>
  <c r="AM220" i="31" s="1"/>
  <c r="AN230" i="31" a="1"/>
  <c r="AN230" i="31" s="1"/>
  <c r="AN201" i="31" a="1"/>
  <c r="AN201" i="31" s="1"/>
  <c r="AQ82" i="31" a="1"/>
  <c r="AQ82" i="31" s="1"/>
  <c r="AM149" i="31" a="1"/>
  <c r="AM149" i="31" s="1"/>
  <c r="AN210" i="31" a="1"/>
  <c r="AN210" i="31" s="1"/>
  <c r="AM169" i="31" a="1"/>
  <c r="AM169" i="31" s="1"/>
  <c r="AN177" i="31" a="1"/>
  <c r="AN177" i="31" s="1"/>
  <c r="AM209" i="31" a="1"/>
  <c r="AM209" i="31" s="1"/>
  <c r="AM207" i="31" a="1"/>
  <c r="AM207" i="31" s="1"/>
  <c r="AM161" i="31" a="1"/>
  <c r="AM161" i="31" s="1"/>
  <c r="AM159" i="31" a="1"/>
  <c r="AM159" i="31" s="1"/>
  <c r="AM233" i="31" a="1"/>
  <c r="AM233" i="31" s="1"/>
  <c r="AM116" i="31" a="1"/>
  <c r="AM116" i="31" s="1"/>
  <c r="AN120" i="31" a="1"/>
  <c r="AN120" i="31" s="1"/>
  <c r="AN217" i="31" a="1"/>
  <c r="AN217" i="31" s="1"/>
  <c r="AN182" i="31" a="1"/>
  <c r="AN182" i="31" s="1"/>
  <c r="AN171" i="31" a="1"/>
  <c r="AN171" i="31" s="1"/>
  <c r="AM124" i="31" a="1"/>
  <c r="AM124" i="31" s="1"/>
  <c r="AN102" i="31" a="1"/>
  <c r="AN102" i="31" s="1"/>
  <c r="AN205" i="31" a="1"/>
  <c r="AN205" i="31" s="1"/>
  <c r="AN117" i="31" a="1"/>
  <c r="AN117" i="31" s="1"/>
  <c r="AN157" i="31" a="1"/>
  <c r="AN157" i="31" s="1"/>
  <c r="AM182" i="31" a="1"/>
  <c r="AM182" i="31" s="1"/>
  <c r="AM119" i="31" a="1"/>
  <c r="AM119" i="31" s="1"/>
  <c r="AM205" i="31" a="1"/>
  <c r="AM205" i="31" s="1"/>
  <c r="AN100" i="31" a="1"/>
  <c r="AN100" i="31" s="1"/>
  <c r="AM130" i="31" a="1"/>
  <c r="AM130" i="31" s="1"/>
  <c r="AM153" i="31" a="1"/>
  <c r="AM153" i="31" s="1"/>
  <c r="AL125" i="31" a="1"/>
  <c r="AL125" i="31" s="1"/>
  <c r="AM203" i="31" a="1"/>
  <c r="AM203" i="31" s="1"/>
  <c r="AN229" i="31" a="1"/>
  <c r="AN229" i="31" s="1"/>
  <c r="AM120" i="31" a="1"/>
  <c r="AM120" i="31" s="1"/>
  <c r="AJ224" i="31" a="1"/>
  <c r="AJ224" i="31" s="1"/>
  <c r="AM106" i="31" a="1"/>
  <c r="AM106" i="31" s="1"/>
  <c r="AN233" i="31" a="1"/>
  <c r="AN233" i="31" s="1"/>
  <c r="AN166" i="31" a="1"/>
  <c r="AN166" i="31" s="1"/>
  <c r="AM154" i="31" a="1"/>
  <c r="AM154" i="31" s="1"/>
  <c r="AL182" i="31" a="1"/>
  <c r="AL182" i="31" s="1"/>
  <c r="AM131" i="31" a="1"/>
  <c r="AM131" i="31" s="1"/>
  <c r="AM168" i="31" a="1"/>
  <c r="AM168" i="31" s="1"/>
  <c r="AM121" i="31" a="1"/>
  <c r="AM121" i="31" s="1"/>
  <c r="AN168" i="31" a="1"/>
  <c r="AN168" i="31" s="1"/>
  <c r="AN180" i="31" a="1"/>
  <c r="AN180" i="31" s="1"/>
  <c r="AN98" i="31" a="1"/>
  <c r="AN98" i="31" s="1"/>
  <c r="AM228" i="31" a="1"/>
  <c r="AM228" i="31" s="1"/>
  <c r="AM118" i="31" a="1"/>
  <c r="AM118" i="31" s="1"/>
  <c r="AL201" i="31" a="1"/>
  <c r="AL201" i="31" s="1"/>
  <c r="AM164" i="31" a="1"/>
  <c r="AM164" i="31" s="1"/>
  <c r="AN116" i="31" a="1"/>
  <c r="AN116" i="31" s="1"/>
  <c r="AN129" i="31" a="1"/>
  <c r="AN129" i="31" s="1"/>
  <c r="AN225" i="31" a="1"/>
  <c r="AN225" i="31" s="1"/>
  <c r="AN155" i="31" a="1"/>
  <c r="AN155" i="31" s="1"/>
  <c r="AM184" i="31" a="1"/>
  <c r="AM184" i="31" s="1"/>
  <c r="AM163" i="31" a="1"/>
  <c r="AM163" i="31" s="1"/>
  <c r="AN207" i="31" a="1"/>
  <c r="AN207" i="31" s="1"/>
  <c r="AP215" i="31" a="1"/>
  <c r="AP215" i="31" s="1"/>
  <c r="AO125" i="31" a="1"/>
  <c r="AO125" i="31" s="1"/>
  <c r="AM117" i="31" a="1"/>
  <c r="AM117" i="31" s="1"/>
  <c r="AN167" i="31" a="1"/>
  <c r="AN167" i="31" s="1"/>
  <c r="AM160" i="31" a="1"/>
  <c r="AM160" i="31" s="1"/>
  <c r="AM156" i="31" a="1"/>
  <c r="AM156" i="31" s="1"/>
  <c r="AN108" i="31" a="1"/>
  <c r="AN108" i="31" s="1"/>
  <c r="AM211" i="31" a="1"/>
  <c r="AM211" i="31" s="1"/>
  <c r="AN122" i="31" a="1"/>
  <c r="AN122" i="31" s="1"/>
  <c r="AN220" i="31" a="1"/>
  <c r="AN220" i="31" s="1"/>
  <c r="AN164" i="31" a="1"/>
  <c r="AN164" i="31" s="1"/>
  <c r="AO106" i="31" a="1"/>
  <c r="AO106" i="31" s="1"/>
  <c r="AN109" i="31" a="1"/>
  <c r="AN109" i="31" s="1"/>
  <c r="AN169" i="31" a="1"/>
  <c r="AN169" i="31" s="1"/>
  <c r="AN174" i="31" a="1"/>
  <c r="AN174" i="31" s="1"/>
  <c r="AN204" i="31" a="1"/>
  <c r="AN204" i="31" s="1"/>
  <c r="AN212" i="31" a="1"/>
  <c r="AN212" i="31" s="1"/>
  <c r="AN115" i="31" a="1"/>
  <c r="AN115" i="31" s="1"/>
  <c r="AN184" i="31" a="1"/>
  <c r="AN184" i="31" s="1"/>
  <c r="AN231" i="31" a="1"/>
  <c r="AN231" i="31" s="1"/>
  <c r="AN203" i="31" a="1"/>
  <c r="AN203" i="31" s="1"/>
  <c r="AN221" i="31" a="1"/>
  <c r="AN221" i="31" s="1"/>
  <c r="AN110" i="31" a="1"/>
  <c r="AN110" i="31" s="1"/>
  <c r="AN119" i="31" a="1"/>
  <c r="AN119" i="31" s="1"/>
  <c r="AN107" i="31" a="1"/>
  <c r="AN107" i="31" s="1"/>
  <c r="AR82" i="31" a="1"/>
  <c r="AR82" i="31" s="1"/>
  <c r="AO131" i="31" a="1"/>
  <c r="AO131" i="31" s="1"/>
  <c r="AM107" i="31" a="1"/>
  <c r="AM107" i="31" s="1"/>
  <c r="AN181" i="31" a="1"/>
  <c r="AN181" i="31" s="1"/>
  <c r="AM217" i="31" a="1"/>
  <c r="AM217" i="31" s="1"/>
  <c r="AN218" i="31" a="1"/>
  <c r="AN218" i="31" s="1"/>
  <c r="AO165" i="31" a="1"/>
  <c r="AO165" i="31" s="1"/>
  <c r="AN106" i="31" a="1"/>
  <c r="AN106" i="31" s="1"/>
  <c r="AM179" i="31" a="1"/>
  <c r="AM179" i="31" s="1"/>
  <c r="AN162" i="31" a="1"/>
  <c r="AN162" i="31" s="1"/>
  <c r="AM181" i="31" a="1"/>
  <c r="AM181" i="31" s="1"/>
  <c r="AN103" i="31" a="1"/>
  <c r="AN103" i="31" s="1"/>
  <c r="AO224" i="31" a="1"/>
  <c r="AO224" i="31" s="1"/>
  <c r="AN235" i="31" a="1"/>
  <c r="AN235" i="31" s="1"/>
  <c r="AO173" i="31" a="1"/>
  <c r="AO173" i="31" s="1"/>
  <c r="AN223" i="31" a="1"/>
  <c r="AN223" i="31" s="1"/>
  <c r="AN128" i="31" a="1"/>
  <c r="AN128" i="31" s="1"/>
  <c r="AN123" i="31" a="1"/>
  <c r="AN123" i="31" s="1"/>
  <c r="AM223" i="31" a="1"/>
  <c r="AM223" i="31" s="1"/>
  <c r="AN175" i="31" a="1"/>
  <c r="AN175" i="31" s="1"/>
  <c r="AN150" i="31" a="1"/>
  <c r="AN150" i="31" s="1"/>
  <c r="AN111" i="31" a="1"/>
  <c r="AN111" i="31" s="1"/>
  <c r="AN178" i="31" a="1"/>
  <c r="AN178" i="31" s="1"/>
  <c r="AN215" i="31" a="1"/>
  <c r="AN215" i="31" s="1"/>
  <c r="AN219" i="31" a="1"/>
  <c r="AN219" i="31" s="1"/>
  <c r="AN112" i="31" a="1"/>
  <c r="AN112" i="31" s="1"/>
  <c r="AN213" i="31" a="1"/>
  <c r="AN213" i="31" s="1"/>
  <c r="AN159" i="31" a="1"/>
  <c r="AN159" i="31" s="1"/>
  <c r="AO112" i="31" a="1"/>
  <c r="AO112" i="31" s="1"/>
  <c r="AN183" i="31" a="1"/>
  <c r="AN183" i="31" s="1"/>
  <c r="AM176" i="31" a="1"/>
  <c r="AM176" i="31" s="1"/>
  <c r="AN118" i="31" a="1"/>
  <c r="AN118" i="31" s="1"/>
  <c r="AN165" i="31" a="1"/>
  <c r="AN165" i="31" s="1"/>
  <c r="AN105" i="31" a="1"/>
  <c r="AN105" i="31" s="1"/>
  <c r="AO114" i="31" a="1"/>
  <c r="AO114" i="31" s="1"/>
  <c r="AN176" i="31" a="1"/>
  <c r="AN176" i="31" s="1"/>
  <c r="AN153" i="31" a="1"/>
  <c r="AN153" i="31" s="1"/>
  <c r="AN209" i="31" a="1"/>
  <c r="AN209" i="31" s="1"/>
  <c r="AM183" i="31" a="1"/>
  <c r="AM183" i="31" s="1"/>
  <c r="AN125" i="31" a="1"/>
  <c r="AN125" i="31" s="1"/>
  <c r="AO152" i="31" a="1"/>
  <c r="AO152" i="31" s="1"/>
  <c r="AN163" i="31" a="1"/>
  <c r="AN163" i="31" s="1"/>
  <c r="AN222" i="31" a="1"/>
  <c r="AN222" i="31" s="1"/>
  <c r="AM175" i="31" a="1"/>
  <c r="AM175" i="31" s="1"/>
  <c r="AN216" i="31" a="1"/>
  <c r="AN216" i="31" s="1"/>
  <c r="AN151" i="31" a="1"/>
  <c r="AN151" i="31" s="1"/>
  <c r="AM224" i="31" a="1"/>
  <c r="AM224" i="31" s="1"/>
  <c r="AO115" i="31" a="1"/>
  <c r="AO115" i="31" s="1"/>
  <c r="AO119" i="31" a="1"/>
  <c r="AO119" i="31" s="1"/>
  <c r="AO109" i="31" a="1"/>
  <c r="AO109" i="31" s="1"/>
  <c r="AN130" i="31" a="1"/>
  <c r="AN130" i="31" s="1"/>
  <c r="AM231" i="31" a="1"/>
  <c r="AM231" i="31" s="1"/>
  <c r="AN132" i="31" a="1"/>
  <c r="AN132" i="31" s="1"/>
  <c r="AN152" i="31" a="1"/>
  <c r="AN152" i="31" s="1"/>
  <c r="AN104" i="31" a="1"/>
  <c r="AN104" i="31" s="1"/>
  <c r="AO208" i="31" a="1"/>
  <c r="AO208" i="31" s="1"/>
  <c r="AN158" i="31" a="1"/>
  <c r="AN158" i="31" s="1"/>
  <c r="AN206" i="31" a="1"/>
  <c r="AN206" i="31" s="1"/>
  <c r="AM225" i="31" a="1"/>
  <c r="AM225" i="31" s="1"/>
  <c r="AM227" i="31" a="1"/>
  <c r="AM227" i="31" s="1"/>
  <c r="AN228" i="31" a="1"/>
  <c r="AN228" i="31" s="1"/>
  <c r="AN227" i="31" a="1"/>
  <c r="AN227" i="31" s="1"/>
  <c r="AN232" i="31" a="1"/>
  <c r="AN232" i="31" s="1"/>
  <c r="AO213" i="31" a="1"/>
  <c r="AO213" i="31" s="1"/>
  <c r="AO219" i="31" a="1"/>
  <c r="AO219" i="31" s="1"/>
  <c r="AN170" i="31" a="1"/>
  <c r="AN170" i="31" s="1"/>
  <c r="AN160" i="31" a="1"/>
  <c r="AN160" i="31" s="1"/>
  <c r="AN234" i="31" a="1"/>
  <c r="AN234" i="31" s="1"/>
  <c r="AO231" i="31" a="1"/>
  <c r="AO231" i="31" s="1"/>
  <c r="AO181" i="31" a="1"/>
  <c r="AO181" i="31" s="1"/>
  <c r="AM215" i="31" a="1"/>
  <c r="AM215" i="31" s="1"/>
  <c r="AO132" i="31" a="1"/>
  <c r="AO132" i="31" s="1"/>
  <c r="AO101" i="31" a="1"/>
  <c r="AO101" i="31" s="1"/>
  <c r="AP165" i="31" a="1"/>
  <c r="AP165" i="31" s="1"/>
  <c r="AO118" i="31" a="1"/>
  <c r="AO118" i="31" s="1"/>
  <c r="AP180" i="31" a="1"/>
  <c r="AP180" i="31" s="1"/>
  <c r="AP177" i="31" a="1"/>
  <c r="AP177" i="31" s="1"/>
  <c r="AO178" i="31" a="1"/>
  <c r="AO178" i="31" s="1"/>
  <c r="AP223" i="31" a="1"/>
  <c r="AP223" i="31" s="1"/>
  <c r="AP158" i="31" a="1"/>
  <c r="AP158" i="31" s="1"/>
  <c r="AO210" i="31" a="1"/>
  <c r="AO210" i="31" s="1"/>
  <c r="AO103" i="31" a="1"/>
  <c r="AO103" i="31" s="1"/>
  <c r="AO105" i="31" a="1"/>
  <c r="AO105" i="31" s="1"/>
  <c r="AO209" i="31" a="1"/>
  <c r="AO209" i="31" s="1"/>
  <c r="AP117" i="31" a="1"/>
  <c r="AP117" i="31" s="1"/>
  <c r="AO217" i="31" a="1"/>
  <c r="AO217" i="31" s="1"/>
  <c r="AO229" i="31" a="1"/>
  <c r="AO229" i="31" s="1"/>
  <c r="AO172" i="31" a="1"/>
  <c r="AO172" i="31" s="1"/>
  <c r="AO212" i="31" a="1"/>
  <c r="AO212" i="31" s="1"/>
  <c r="AO182" i="31" a="1"/>
  <c r="AO182" i="31" s="1"/>
  <c r="AP235" i="31" a="1"/>
  <c r="AP235" i="31" s="1"/>
  <c r="AO167" i="31" a="1"/>
  <c r="AO167" i="31" s="1"/>
  <c r="AP181" i="31" a="1"/>
  <c r="AP181" i="31" s="1"/>
  <c r="AP221" i="31" a="1"/>
  <c r="AP221" i="31" s="1"/>
  <c r="AP202" i="31" a="1"/>
  <c r="AP202" i="31" s="1"/>
  <c r="AP127" i="31" a="1"/>
  <c r="AP127" i="31" s="1"/>
  <c r="AO151" i="31" a="1"/>
  <c r="AO151" i="31" s="1"/>
  <c r="AO223" i="31" a="1"/>
  <c r="AO223" i="31" s="1"/>
  <c r="AN208" i="31" a="1"/>
  <c r="AN208" i="31" s="1"/>
  <c r="AP108" i="31" a="1"/>
  <c r="AP108" i="31" s="1"/>
  <c r="AO107" i="31" a="1"/>
  <c r="AO107" i="31" s="1"/>
  <c r="AO104" i="31" a="1"/>
  <c r="AO104" i="31" s="1"/>
  <c r="AP209" i="31" a="1"/>
  <c r="AP209" i="31" s="1"/>
  <c r="AO175" i="31" a="1"/>
  <c r="AO175" i="31" s="1"/>
  <c r="AO233" i="31" a="1"/>
  <c r="AO233" i="31" s="1"/>
  <c r="AO184" i="31" a="1"/>
  <c r="AO184" i="31" s="1"/>
  <c r="AO157" i="31" a="1"/>
  <c r="AO157" i="31" s="1"/>
  <c r="AO225" i="31" a="1"/>
  <c r="AO225" i="31" s="1"/>
  <c r="AP173" i="31" a="1"/>
  <c r="AP173" i="31" s="1"/>
  <c r="AP163" i="31" a="1"/>
  <c r="AP163" i="31" s="1"/>
  <c r="AO164" i="31" a="1"/>
  <c r="AO164" i="31" s="1"/>
  <c r="AO126" i="31" a="1"/>
  <c r="AO126" i="31" s="1"/>
  <c r="AO122" i="31" a="1"/>
  <c r="AO122" i="31" s="1"/>
  <c r="AP118" i="31" a="1"/>
  <c r="AP118" i="31" s="1"/>
  <c r="AO211" i="31" a="1"/>
  <c r="AO211" i="31" s="1"/>
  <c r="AP231" i="31" a="1"/>
  <c r="AP231" i="31" s="1"/>
  <c r="AP132" i="31" a="1"/>
  <c r="AP132" i="31" s="1"/>
  <c r="AO169" i="31" a="1"/>
  <c r="AO169" i="31" s="1"/>
  <c r="AO124" i="31" a="1"/>
  <c r="AO124" i="31" s="1"/>
  <c r="AO214" i="31" a="1"/>
  <c r="AO214" i="31" s="1"/>
  <c r="AP218" i="31" a="1"/>
  <c r="AP218" i="31" s="1"/>
  <c r="AO232" i="31" a="1"/>
  <c r="AO232" i="31" s="1"/>
  <c r="AO154" i="31" a="1"/>
  <c r="AO154" i="31" s="1"/>
  <c r="AP107" i="31" a="1"/>
  <c r="AP107" i="31" s="1"/>
  <c r="AO221" i="31" a="1"/>
  <c r="AO221" i="31" s="1"/>
  <c r="AP219" i="31" a="1"/>
  <c r="AP219" i="31" s="1"/>
  <c r="AO123" i="31" a="1"/>
  <c r="AO123" i="31" s="1"/>
  <c r="AO220" i="31" a="1"/>
  <c r="AO220" i="31" s="1"/>
  <c r="AP128" i="31" a="1"/>
  <c r="AP128" i="31" s="1"/>
  <c r="AO230" i="31" a="1"/>
  <c r="AO230" i="31" s="1"/>
  <c r="AO158" i="31" a="1"/>
  <c r="AO158" i="31" s="1"/>
  <c r="AP229" i="31" a="1"/>
  <c r="AP229" i="31" s="1"/>
  <c r="AP105" i="31" a="1"/>
  <c r="AP105" i="31" s="1"/>
  <c r="AO171" i="31" a="1"/>
  <c r="AO171" i="31" s="1"/>
  <c r="AO216" i="31" a="1"/>
  <c r="AO216" i="31" s="1"/>
  <c r="AN211" i="31" a="1"/>
  <c r="AN211" i="31" s="1"/>
  <c r="AP167" i="31" a="1"/>
  <c r="AP167" i="31" s="1"/>
  <c r="AP213" i="31" a="1"/>
  <c r="AP213" i="31" s="1"/>
  <c r="AO108" i="31" a="1"/>
  <c r="AO108" i="31" s="1"/>
  <c r="AO161" i="31" a="1"/>
  <c r="AO161" i="31" s="1"/>
  <c r="AO133" i="31" a="1"/>
  <c r="AO133" i="31" s="1"/>
  <c r="AP131" i="31" a="1"/>
  <c r="AP131" i="31" s="1"/>
  <c r="AP130" i="31" a="1"/>
  <c r="AP130" i="31" s="1"/>
  <c r="AO128" i="31" a="1"/>
  <c r="AO128" i="31" s="1"/>
  <c r="AO234" i="31" a="1"/>
  <c r="AO234" i="31" s="1"/>
  <c r="AO228" i="31" a="1"/>
  <c r="AO228" i="31" s="1"/>
  <c r="AO153" i="31" a="1"/>
  <c r="AO153" i="31" s="1"/>
  <c r="AP152" i="31" a="1"/>
  <c r="AP152" i="31" s="1"/>
  <c r="AP206" i="31" a="1"/>
  <c r="AP206" i="31" s="1"/>
  <c r="AP115" i="31" a="1"/>
  <c r="AP115" i="31" s="1"/>
  <c r="AO227" i="31" a="1"/>
  <c r="AO227" i="31" s="1"/>
  <c r="AO206" i="31" a="1"/>
  <c r="AO206" i="31" s="1"/>
  <c r="AP233" i="31" a="1"/>
  <c r="AP233" i="31" s="1"/>
  <c r="AP220" i="31" a="1"/>
  <c r="AP220" i="31" s="1"/>
  <c r="AO215" i="31" a="1"/>
  <c r="AO215" i="31" s="1"/>
  <c r="AO110" i="31" a="1"/>
  <c r="AO110" i="31" s="1"/>
  <c r="AO183" i="31" a="1"/>
  <c r="AO183" i="31" s="1"/>
  <c r="AP166" i="31" a="1"/>
  <c r="AP166" i="31" s="1"/>
  <c r="AP104" i="31" a="1"/>
  <c r="AP104" i="31" s="1"/>
  <c r="AO111" i="31" a="1"/>
  <c r="AO111" i="31" s="1"/>
  <c r="AO176" i="31" a="1"/>
  <c r="AO176" i="31" s="1"/>
  <c r="AP106" i="31" a="1"/>
  <c r="AP106" i="31" s="1"/>
  <c r="AP160" i="31" a="1"/>
  <c r="AP160" i="31" s="1"/>
  <c r="AP109" i="31" a="1"/>
  <c r="AP109" i="31" s="1"/>
  <c r="AP114" i="31" a="1"/>
  <c r="AP114" i="31" s="1"/>
  <c r="AO159" i="31" a="1"/>
  <c r="AO159" i="31" s="1"/>
  <c r="AP101" i="31" a="1"/>
  <c r="AP101" i="31" s="1"/>
  <c r="AP210" i="31" a="1"/>
  <c r="AP210" i="31" s="1"/>
  <c r="AP103" i="31" a="1"/>
  <c r="AP103" i="31" s="1"/>
  <c r="AP112" i="31" a="1"/>
  <c r="AP112" i="31" s="1"/>
  <c r="AS82" i="31" a="1"/>
  <c r="AS82" i="31" s="1"/>
  <c r="AO116" i="31" a="1"/>
  <c r="AO116" i="31" s="1"/>
  <c r="AP171" i="31" a="1"/>
  <c r="AP171" i="31" s="1"/>
  <c r="AP182" i="31" a="1"/>
  <c r="AP182" i="31" s="1"/>
  <c r="AP226" i="31" a="1"/>
  <c r="AP226" i="31" s="1"/>
  <c r="AP154" i="31" a="1"/>
  <c r="AP154" i="31" s="1"/>
  <c r="AP161" i="31" a="1"/>
  <c r="AP161" i="31" s="1"/>
  <c r="AO163" i="31" a="1"/>
  <c r="AO163" i="31" s="1"/>
  <c r="AP113" i="31" a="1"/>
  <c r="AP113" i="31" s="1"/>
  <c r="AP151" i="31" a="1"/>
  <c r="AP151" i="31" s="1"/>
  <c r="AO129" i="31" a="1"/>
  <c r="AO129" i="31" s="1"/>
  <c r="AO203" i="31" a="1"/>
  <c r="AO203" i="31" s="1"/>
  <c r="AP102" i="31" a="1"/>
  <c r="AP102" i="31" s="1"/>
  <c r="AP116" i="31" a="1"/>
  <c r="AP116" i="31" s="1"/>
  <c r="AO226" i="31" a="1"/>
  <c r="AO226" i="31" s="1"/>
  <c r="AP207" i="31" a="1"/>
  <c r="AP207" i="31" s="1"/>
  <c r="AO156" i="31" a="1"/>
  <c r="AO156" i="31" s="1"/>
  <c r="AO205" i="31" a="1"/>
  <c r="AO205" i="31" s="1"/>
  <c r="AP157" i="31" a="1"/>
  <c r="AP157" i="31" s="1"/>
  <c r="AO100" i="31" a="1"/>
  <c r="AO100" i="31" s="1"/>
  <c r="AP214" i="31" a="1"/>
  <c r="AP214" i="31" s="1"/>
  <c r="AP216" i="31" a="1"/>
  <c r="AP216" i="31" s="1"/>
  <c r="AO102" i="31" a="1"/>
  <c r="AO102" i="31" s="1"/>
  <c r="AO235" i="31" a="1"/>
  <c r="AO235" i="31" s="1"/>
  <c r="AP170" i="31" a="1"/>
  <c r="AP170" i="31" s="1"/>
  <c r="AO222" i="31" a="1"/>
  <c r="AO222" i="31" s="1"/>
  <c r="AO170" i="31" a="1"/>
  <c r="AO170" i="31" s="1"/>
  <c r="AP212" i="31" a="1"/>
  <c r="AP212" i="31" s="1"/>
  <c r="AO207" i="31" a="1"/>
  <c r="AO207" i="31" s="1"/>
  <c r="AO121" i="31" a="1"/>
  <c r="AO121" i="31" s="1"/>
  <c r="AO166" i="31" a="1"/>
  <c r="AO166" i="31" s="1"/>
  <c r="AO204" i="31" a="1"/>
  <c r="AO204" i="31" s="1"/>
  <c r="AP211" i="31" a="1"/>
  <c r="AP211" i="31" s="1"/>
  <c r="AO218" i="31" a="1"/>
  <c r="AO218" i="31" s="1"/>
  <c r="AO180" i="31" a="1"/>
  <c r="AO180" i="31" s="1"/>
  <c r="AO127" i="31" a="1"/>
  <c r="AO127" i="31" s="1"/>
  <c r="AO179" i="31" a="1"/>
  <c r="AO179" i="31" s="1"/>
  <c r="AO174" i="31" a="1"/>
  <c r="AO174" i="31" s="1"/>
  <c r="AP164" i="31" a="1"/>
  <c r="AP164" i="31" s="1"/>
  <c r="AO162" i="31" a="1"/>
  <c r="AO162" i="31" s="1"/>
  <c r="AP120" i="31" a="1"/>
  <c r="AP120" i="31" s="1"/>
  <c r="AP162" i="31" a="1"/>
  <c r="AP162" i="31" s="1"/>
  <c r="AO113" i="31" a="1"/>
  <c r="AO113" i="31" s="1"/>
  <c r="AP153" i="31" a="1"/>
  <c r="AP153" i="31" s="1"/>
  <c r="AP225" i="31" a="1"/>
  <c r="AP225" i="31" s="1"/>
  <c r="AP156" i="31" a="1"/>
  <c r="AP156" i="31" s="1"/>
  <c r="AP179" i="31" a="1"/>
  <c r="AP179" i="31" s="1"/>
  <c r="AP122" i="31" a="1"/>
  <c r="AP122" i="31" s="1"/>
  <c r="AQ102" i="31" a="1"/>
  <c r="AQ102" i="31" s="1"/>
  <c r="AQ153" i="31" a="1"/>
  <c r="AQ153" i="31" s="1"/>
  <c r="AQ122" i="31" a="1"/>
  <c r="AQ122" i="31" s="1"/>
  <c r="AP217" i="31" a="1"/>
  <c r="AP217" i="31" s="1"/>
  <c r="AQ225" i="31" a="1"/>
  <c r="AQ225" i="31" s="1"/>
  <c r="AQ152" i="31" a="1"/>
  <c r="AQ152" i="31" s="1"/>
  <c r="AQ230" i="31" a="1"/>
  <c r="AQ230" i="31" s="1"/>
  <c r="AQ165" i="31" a="1"/>
  <c r="AQ165" i="31" s="1"/>
  <c r="AQ125" i="31" a="1"/>
  <c r="AQ125" i="31" s="1"/>
  <c r="AT82" i="31" a="1"/>
  <c r="AT82" i="31" s="1"/>
  <c r="AP121" i="31" a="1"/>
  <c r="AP121" i="31" s="1"/>
  <c r="AQ219" i="31" a="1"/>
  <c r="AQ219" i="31" s="1"/>
  <c r="AQ158" i="31" a="1"/>
  <c r="AQ158" i="31" s="1"/>
  <c r="AP169" i="31" a="1"/>
  <c r="AP169" i="31" s="1"/>
  <c r="AQ120" i="31" a="1"/>
  <c r="AQ120" i="31" s="1"/>
  <c r="AQ124" i="31" a="1"/>
  <c r="AQ124" i="31" s="1"/>
  <c r="AQ209" i="31" a="1"/>
  <c r="AQ209" i="31" s="1"/>
  <c r="AQ113" i="31" a="1"/>
  <c r="AQ113" i="31" s="1"/>
  <c r="AQ227" i="31" a="1"/>
  <c r="AQ227" i="31" s="1"/>
  <c r="AQ111" i="31" a="1"/>
  <c r="AQ111" i="31" s="1"/>
  <c r="AQ106" i="31" a="1"/>
  <c r="AQ106" i="31" s="1"/>
  <c r="AQ168" i="31" a="1"/>
  <c r="AQ168" i="31" s="1"/>
  <c r="AQ154" i="31" a="1"/>
  <c r="AQ154" i="31" s="1"/>
  <c r="AQ169" i="31" a="1"/>
  <c r="AQ169" i="31" s="1"/>
  <c r="AO160" i="31" a="1"/>
  <c r="AO160" i="31" s="1"/>
  <c r="AQ217" i="31" a="1"/>
  <c r="AQ217" i="31" s="1"/>
  <c r="AQ218" i="31" a="1"/>
  <c r="AQ218" i="31" s="1"/>
  <c r="AQ131" i="31" a="1"/>
  <c r="AQ131" i="31" s="1"/>
  <c r="AQ179" i="31" a="1"/>
  <c r="AQ179" i="31" s="1"/>
  <c r="AQ229" i="31" a="1"/>
  <c r="AQ229" i="31" s="1"/>
  <c r="AQ107" i="31" a="1"/>
  <c r="AQ107" i="31" s="1"/>
  <c r="AQ128" i="31" a="1"/>
  <c r="AQ128" i="31" s="1"/>
  <c r="AP125" i="31" a="1"/>
  <c r="AP125" i="31" s="1"/>
  <c r="AQ221" i="31" a="1"/>
  <c r="AQ221" i="31" s="1"/>
  <c r="AQ163" i="31" a="1"/>
  <c r="AQ163" i="31" s="1"/>
  <c r="AP234" i="31" a="1"/>
  <c r="AP234" i="31" s="1"/>
  <c r="AQ167" i="31" a="1"/>
  <c r="AQ167" i="31" s="1"/>
  <c r="AQ226" i="31" a="1"/>
  <c r="AQ226" i="31" s="1"/>
  <c r="AN214" i="31" a="1"/>
  <c r="AN214" i="31" s="1"/>
  <c r="AP119" i="31" a="1"/>
  <c r="AP119" i="31" s="1"/>
  <c r="AQ184" i="31" a="1"/>
  <c r="AQ184" i="31" s="1"/>
  <c r="AP227" i="31" a="1"/>
  <c r="AP227" i="31" s="1"/>
  <c r="AP205" i="31" a="1"/>
  <c r="AP205" i="31" s="1"/>
  <c r="AQ116" i="31" a="1"/>
  <c r="AQ116" i="31" s="1"/>
  <c r="AQ127" i="31" a="1"/>
  <c r="AQ127" i="31" s="1"/>
  <c r="AP222" i="31" a="1"/>
  <c r="AP222" i="31" s="1"/>
  <c r="AQ159" i="31" a="1"/>
  <c r="AQ159" i="31" s="1"/>
  <c r="AQ161" i="31" a="1"/>
  <c r="AQ161" i="31" s="1"/>
  <c r="AP110" i="31" a="1"/>
  <c r="AP110" i="31" s="1"/>
  <c r="AQ126" i="31" a="1"/>
  <c r="AQ126" i="31" s="1"/>
  <c r="AQ118" i="31" a="1"/>
  <c r="AQ118" i="31" s="1"/>
  <c r="AQ205" i="31" a="1"/>
  <c r="AQ205" i="31" s="1"/>
  <c r="AQ207" i="31" a="1"/>
  <c r="AQ207" i="31" s="1"/>
  <c r="AQ210" i="31" a="1"/>
  <c r="AQ210" i="31" s="1"/>
  <c r="AP126" i="31" a="1"/>
  <c r="AP126" i="31" s="1"/>
  <c r="AP224" i="31" a="1"/>
  <c r="AP224" i="31" s="1"/>
  <c r="AQ183" i="31" a="1"/>
  <c r="AQ183" i="31" s="1"/>
  <c r="AQ112" i="31" a="1"/>
  <c r="AQ112" i="31" s="1"/>
  <c r="AP208" i="31" a="1"/>
  <c r="AP208" i="31" s="1"/>
  <c r="AQ231" i="31" a="1"/>
  <c r="AQ231" i="31" s="1"/>
  <c r="AQ174" i="31" a="1"/>
  <c r="AQ174" i="31" s="1"/>
  <c r="AP172" i="31" a="1"/>
  <c r="AP172" i="31" s="1"/>
  <c r="AQ211" i="31" a="1"/>
  <c r="AQ211" i="31" s="1"/>
  <c r="AQ175" i="31" a="1"/>
  <c r="AQ175" i="31" s="1"/>
  <c r="AP133" i="31" a="1"/>
  <c r="AP133" i="31" s="1"/>
  <c r="AO168" i="31" a="1"/>
  <c r="AO168" i="31" s="1"/>
  <c r="AP174" i="31" a="1"/>
  <c r="AP174" i="31" s="1"/>
  <c r="AP176" i="31" a="1"/>
  <c r="AP176" i="31" s="1"/>
  <c r="AO120" i="31" a="1"/>
  <c r="AO120" i="31" s="1"/>
  <c r="AQ162" i="31" a="1"/>
  <c r="AQ162" i="31" s="1"/>
  <c r="AP184" i="31" a="1"/>
  <c r="AP184" i="31" s="1"/>
  <c r="AP123" i="31" a="1"/>
  <c r="AP123" i="31" s="1"/>
  <c r="AP203" i="31" a="1"/>
  <c r="AP203" i="31" s="1"/>
  <c r="AP183" i="31" a="1"/>
  <c r="AP183" i="31" s="1"/>
  <c r="AQ108" i="31" a="1"/>
  <c r="AQ108" i="31" s="1"/>
  <c r="AP178" i="31" a="1"/>
  <c r="AP178" i="31" s="1"/>
  <c r="AQ110" i="31" a="1"/>
  <c r="AQ110" i="31" s="1"/>
  <c r="AP129" i="31" a="1"/>
  <c r="AP129" i="31" s="1"/>
  <c r="AO155" i="31" a="1"/>
  <c r="AO155" i="31" s="1"/>
  <c r="AO117" i="31" a="1"/>
  <c r="AO117" i="31" s="1"/>
  <c r="AP204" i="31" a="1"/>
  <c r="AP204" i="31" s="1"/>
  <c r="AQ164" i="31" a="1"/>
  <c r="AQ164" i="31" s="1"/>
  <c r="AQ178" i="31" a="1"/>
  <c r="AQ178" i="31" s="1"/>
  <c r="AQ155" i="31" a="1"/>
  <c r="AQ155" i="31" s="1"/>
  <c r="AQ224" i="31" a="1"/>
  <c r="AQ224" i="31" s="1"/>
  <c r="AQ170" i="31" a="1"/>
  <c r="AQ170" i="31" s="1"/>
  <c r="AQ232" i="31" a="1"/>
  <c r="AQ232" i="31" s="1"/>
  <c r="AQ233" i="31" a="1"/>
  <c r="AQ233" i="31" s="1"/>
  <c r="AQ180" i="31" a="1"/>
  <c r="AQ180" i="31" s="1"/>
  <c r="AQ156" i="31" a="1"/>
  <c r="AQ156" i="31" s="1"/>
  <c r="AQ172" i="31" a="1"/>
  <c r="AQ172" i="31" s="1"/>
  <c r="AQ214" i="31" a="1"/>
  <c r="AQ214" i="31" s="1"/>
  <c r="AO177" i="31" a="1"/>
  <c r="AO177" i="31" s="1"/>
  <c r="AN224" i="31" a="1"/>
  <c r="AN224" i="31" s="1"/>
  <c r="AP155" i="31" a="1"/>
  <c r="AP155" i="31" s="1"/>
  <c r="AQ222" i="31" a="1"/>
  <c r="AQ222" i="31" s="1"/>
  <c r="AQ130" i="31" a="1"/>
  <c r="AQ130" i="31" s="1"/>
  <c r="AQ208" i="31" a="1"/>
  <c r="AQ208" i="31" s="1"/>
  <c r="AQ182" i="31" a="1"/>
  <c r="AQ182" i="31" s="1"/>
  <c r="AQ215" i="31" a="1"/>
  <c r="AQ215" i="31" s="1"/>
  <c r="AQ121" i="31" a="1"/>
  <c r="AQ121" i="31" s="1"/>
  <c r="AQ115" i="31" a="1"/>
  <c r="AQ115" i="31" s="1"/>
  <c r="AQ132" i="31" a="1"/>
  <c r="AQ132" i="31" s="1"/>
  <c r="AR206" i="31" a="1"/>
  <c r="AR206" i="31" s="1"/>
  <c r="AR179" i="31" a="1"/>
  <c r="AR179" i="31" s="1"/>
  <c r="AR212" i="31" a="1"/>
  <c r="AR212" i="31" s="1"/>
  <c r="AP111" i="31" a="1"/>
  <c r="AP111" i="31" s="1"/>
  <c r="AR155" i="31" a="1"/>
  <c r="AR155" i="31" s="1"/>
  <c r="AR154" i="31" a="1"/>
  <c r="AR154" i="31" s="1"/>
  <c r="AR220" i="31" a="1"/>
  <c r="AR220" i="31" s="1"/>
  <c r="AQ213" i="31" a="1"/>
  <c r="AQ213" i="31" s="1"/>
  <c r="AR116" i="31" a="1"/>
  <c r="AR116" i="31" s="1"/>
  <c r="AR128" i="31" a="1"/>
  <c r="AR128" i="31" s="1"/>
  <c r="AQ114" i="31" a="1"/>
  <c r="AQ114" i="31" s="1"/>
  <c r="AQ103" i="31" a="1"/>
  <c r="AQ103" i="31" s="1"/>
  <c r="AQ109" i="31" a="1"/>
  <c r="AQ109" i="31" s="1"/>
  <c r="AQ234" i="31" a="1"/>
  <c r="AQ234" i="31" s="1"/>
  <c r="AR225" i="31" a="1"/>
  <c r="AR225" i="31" s="1"/>
  <c r="AR109" i="31" a="1"/>
  <c r="AR109" i="31" s="1"/>
  <c r="AR177" i="31" a="1"/>
  <c r="AR177" i="31" s="1"/>
  <c r="AR173" i="31" a="1"/>
  <c r="AR173" i="31" s="1"/>
  <c r="AS116" i="31" a="1"/>
  <c r="AS116" i="31" s="1"/>
  <c r="AR157" i="31" a="1"/>
  <c r="AR157" i="31" s="1"/>
  <c r="AQ105" i="31" a="1"/>
  <c r="AQ105" i="31" s="1"/>
  <c r="AR162" i="31" a="1"/>
  <c r="AR162" i="31" s="1"/>
  <c r="AR104" i="31" a="1"/>
  <c r="AR104" i="31" s="1"/>
  <c r="AQ123" i="31" a="1"/>
  <c r="AQ123" i="31" s="1"/>
  <c r="AQ212" i="31" a="1"/>
  <c r="AQ212" i="31" s="1"/>
  <c r="AR108" i="31" a="1"/>
  <c r="AR108" i="31" s="1"/>
  <c r="AP124" i="31" a="1"/>
  <c r="AP124" i="31" s="1"/>
  <c r="AR117" i="31" a="1"/>
  <c r="AR117" i="31" s="1"/>
  <c r="AR111" i="31" a="1"/>
  <c r="AR111" i="31" s="1"/>
  <c r="AR221" i="31" a="1"/>
  <c r="AR221" i="31" s="1"/>
  <c r="AQ119" i="31" a="1"/>
  <c r="AQ119" i="31" s="1"/>
  <c r="AQ166" i="31" a="1"/>
  <c r="AQ166" i="31" s="1"/>
  <c r="AP228" i="31" a="1"/>
  <c r="AP228" i="31" s="1"/>
  <c r="AQ133" i="31" a="1"/>
  <c r="AQ133" i="31" s="1"/>
  <c r="AQ206" i="31" a="1"/>
  <c r="AQ206" i="31" s="1"/>
  <c r="AU82" i="31" a="1"/>
  <c r="AU82" i="31" s="1"/>
  <c r="AR219" i="31" a="1"/>
  <c r="AR219" i="31" s="1"/>
  <c r="AR211" i="31" a="1"/>
  <c r="AR211" i="31" s="1"/>
  <c r="AR121" i="31" a="1"/>
  <c r="AR121" i="31" s="1"/>
  <c r="AR232" i="31" a="1"/>
  <c r="AR232" i="31" s="1"/>
  <c r="AR167" i="31" a="1"/>
  <c r="AR167" i="31" s="1"/>
  <c r="AR213" i="31" a="1"/>
  <c r="AR213" i="31" s="1"/>
  <c r="AR223" i="31" a="1"/>
  <c r="AR223" i="31" s="1"/>
  <c r="AR235" i="31" a="1"/>
  <c r="AR235" i="31" s="1"/>
  <c r="AR184" i="31" a="1"/>
  <c r="AR184" i="31" s="1"/>
  <c r="AR215" i="31" a="1"/>
  <c r="AR215" i="31" s="1"/>
  <c r="AR178" i="31" a="1"/>
  <c r="AR178" i="31" s="1"/>
  <c r="AR156" i="31" a="1"/>
  <c r="AR156" i="31" s="1"/>
  <c r="AR161" i="31" a="1"/>
  <c r="AR161" i="31" s="1"/>
  <c r="AQ157" i="31" a="1"/>
  <c r="AQ157" i="31" s="1"/>
  <c r="AQ117" i="31" a="1"/>
  <c r="AQ117" i="31" s="1"/>
  <c r="AR230" i="31" a="1"/>
  <c r="AR230" i="31" s="1"/>
  <c r="AP168" i="31" a="1"/>
  <c r="AP168" i="31" s="1"/>
  <c r="AR118" i="31" a="1"/>
  <c r="AR118" i="31" s="1"/>
  <c r="AR114" i="31" a="1"/>
  <c r="AR114" i="31" s="1"/>
  <c r="AR181" i="31" a="1"/>
  <c r="AR181" i="31" s="1"/>
  <c r="AR180" i="31" a="1"/>
  <c r="AR180" i="31" s="1"/>
  <c r="AR174" i="31" a="1"/>
  <c r="AR174" i="31" s="1"/>
  <c r="AQ171" i="31" a="1"/>
  <c r="AQ171" i="31" s="1"/>
  <c r="AQ235" i="31" a="1"/>
  <c r="AQ235" i="31" s="1"/>
  <c r="AQ223" i="31" a="1"/>
  <c r="AQ223" i="31" s="1"/>
  <c r="AP175" i="31" a="1"/>
  <c r="AP175" i="31" s="1"/>
  <c r="AQ181" i="31" a="1"/>
  <c r="AQ181" i="31" s="1"/>
  <c r="AQ176" i="31" a="1"/>
  <c r="AQ176" i="31" s="1"/>
  <c r="AR169" i="31" a="1"/>
  <c r="AR169" i="31" s="1"/>
  <c r="AR229" i="31" a="1"/>
  <c r="AR229" i="31" s="1"/>
  <c r="AR234" i="31" a="1"/>
  <c r="AR234" i="31" s="1"/>
  <c r="AR119" i="31" a="1"/>
  <c r="AR119" i="31" s="1"/>
  <c r="AR131" i="31" a="1"/>
  <c r="AR131" i="31" s="1"/>
  <c r="AR214" i="31" a="1"/>
  <c r="AR214" i="31" s="1"/>
  <c r="AR122" i="31" a="1"/>
  <c r="AR122" i="31" s="1"/>
  <c r="AR165" i="31" a="1"/>
  <c r="AR165" i="31" s="1"/>
  <c r="AR115" i="31" a="1"/>
  <c r="AR115" i="31" s="1"/>
  <c r="AR163" i="31" a="1"/>
  <c r="AR163" i="31" s="1"/>
  <c r="AR204" i="31" a="1"/>
  <c r="AR204" i="31" s="1"/>
  <c r="AQ104" i="31" a="1"/>
  <c r="AQ104" i="31" s="1"/>
  <c r="AQ228" i="31" a="1"/>
  <c r="AQ228" i="31" s="1"/>
  <c r="AQ204" i="31" a="1"/>
  <c r="AQ204" i="31" s="1"/>
  <c r="AR106" i="31" a="1"/>
  <c r="AR106" i="31" s="1"/>
  <c r="AR182" i="31" a="1"/>
  <c r="AR182" i="31" s="1"/>
  <c r="AR124" i="31" a="1"/>
  <c r="AR124" i="31" s="1"/>
  <c r="AP159" i="31" a="1"/>
  <c r="AP159" i="31" s="1"/>
  <c r="AQ129" i="31" a="1"/>
  <c r="AQ129" i="31" s="1"/>
  <c r="AQ177" i="31" a="1"/>
  <c r="AQ177" i="31" s="1"/>
  <c r="AR216" i="31" a="1"/>
  <c r="AR216" i="31" s="1"/>
  <c r="AR103" i="31" a="1"/>
  <c r="AR103" i="31" s="1"/>
  <c r="AR227" i="31" a="1"/>
  <c r="AR227" i="31" s="1"/>
  <c r="AQ160" i="31" a="1"/>
  <c r="AQ160" i="31" s="1"/>
  <c r="AP230" i="31" a="1"/>
  <c r="AP230" i="31" s="1"/>
  <c r="AP232" i="31" a="1"/>
  <c r="AP232" i="31" s="1"/>
  <c r="AQ216" i="31" a="1"/>
  <c r="AQ216" i="31" s="1"/>
  <c r="AR222" i="31" a="1"/>
  <c r="AR222" i="31" s="1"/>
  <c r="AR231" i="31" a="1"/>
  <c r="AR231" i="31" s="1"/>
  <c r="AQ220" i="31" a="1"/>
  <c r="AQ220" i="31" s="1"/>
  <c r="AR130" i="31" a="1"/>
  <c r="AR130" i="31" s="1"/>
  <c r="AQ173" i="31" a="1"/>
  <c r="AQ173" i="31" s="1"/>
  <c r="AR127" i="31" a="1"/>
  <c r="AR127" i="31" s="1"/>
  <c r="AS179" i="31" a="1"/>
  <c r="AS179" i="31" s="1"/>
  <c r="AS124" i="31" a="1"/>
  <c r="AS124" i="31" s="1"/>
  <c r="AS176" i="31" a="1"/>
  <c r="AS176" i="31" s="1"/>
  <c r="AR107" i="31" a="1"/>
  <c r="AR107" i="31" s="1"/>
  <c r="AS214" i="31" a="1"/>
  <c r="AS214" i="31" s="1"/>
  <c r="AR175" i="31" a="1"/>
  <c r="AR175" i="31" s="1"/>
  <c r="AS132" i="31" a="1"/>
  <c r="AS132" i="31" s="1"/>
  <c r="AS128" i="31" a="1"/>
  <c r="AS128" i="31" s="1"/>
  <c r="AS223" i="31" a="1"/>
  <c r="AS223" i="31" s="1"/>
  <c r="AS122" i="31" a="1"/>
  <c r="AS122" i="31" s="1"/>
  <c r="AR120" i="31" a="1"/>
  <c r="AR120" i="31" s="1"/>
  <c r="AS106" i="31" a="1"/>
  <c r="AS106" i="31" s="1"/>
  <c r="AS171" i="31" a="1"/>
  <c r="AS171" i="31" s="1"/>
  <c r="AS170" i="31" a="1"/>
  <c r="AS170" i="31" s="1"/>
  <c r="AR166" i="31" a="1"/>
  <c r="AR166" i="31" s="1"/>
  <c r="AR171" i="31" a="1"/>
  <c r="AR171" i="31" s="1"/>
  <c r="AS224" i="31" a="1"/>
  <c r="AS224" i="31" s="1"/>
  <c r="AS233" i="31" a="1"/>
  <c r="AS233" i="31" s="1"/>
  <c r="AS174" i="31" a="1"/>
  <c r="AS174" i="31" s="1"/>
  <c r="AR224" i="31" a="1"/>
  <c r="AR224" i="31" s="1"/>
  <c r="AS119" i="31" a="1"/>
  <c r="AS119" i="31" s="1"/>
  <c r="AR205" i="31" a="1"/>
  <c r="AR205" i="31" s="1"/>
  <c r="AS172" i="31" a="1"/>
  <c r="AS172" i="31" s="1"/>
  <c r="AR207" i="31" a="1"/>
  <c r="AR207" i="31" s="1"/>
  <c r="AS129" i="31" a="1"/>
  <c r="AS129" i="31" s="1"/>
  <c r="AS207" i="31" a="1"/>
  <c r="AS207" i="31" s="1"/>
  <c r="AR160" i="31" a="1"/>
  <c r="AR160" i="31" s="1"/>
  <c r="AR170" i="31" a="1"/>
  <c r="AR170" i="31" s="1"/>
  <c r="AR233" i="31" a="1"/>
  <c r="AR233" i="31" s="1"/>
  <c r="AS216" i="31" a="1"/>
  <c r="AS216" i="31" s="1"/>
  <c r="AS108" i="31" a="1"/>
  <c r="AS108" i="31" s="1"/>
  <c r="AS117" i="31" a="1"/>
  <c r="AS117" i="31" s="1"/>
  <c r="AS125" i="31" a="1"/>
  <c r="AS125" i="31" s="1"/>
  <c r="AR210" i="31" a="1"/>
  <c r="AR210" i="31" s="1"/>
  <c r="AS104" i="31" a="1"/>
  <c r="AS104" i="31" s="1"/>
  <c r="AR226" i="31" a="1"/>
  <c r="AR226" i="31" s="1"/>
  <c r="AS121" i="31" a="1"/>
  <c r="AS121" i="31" s="1"/>
  <c r="AR183" i="31" a="1"/>
  <c r="AR183" i="31" s="1"/>
  <c r="AS181" i="31" a="1"/>
  <c r="AS181" i="31" s="1"/>
  <c r="AS167" i="31" a="1"/>
  <c r="AS167" i="31" s="1"/>
  <c r="AR164" i="31" a="1"/>
  <c r="AR164" i="31" s="1"/>
  <c r="AS230" i="31" a="1"/>
  <c r="AS230" i="31" s="1"/>
  <c r="AS217" i="31" a="1"/>
  <c r="AS217" i="31" s="1"/>
  <c r="AS109" i="31" a="1"/>
  <c r="AS109" i="31" s="1"/>
  <c r="AS130" i="31" a="1"/>
  <c r="AS130" i="31" s="1"/>
  <c r="AS123" i="31" a="1"/>
  <c r="AS123" i="31" s="1"/>
  <c r="AS112" i="31" a="1"/>
  <c r="AS112" i="31" s="1"/>
  <c r="AR110" i="31" a="1"/>
  <c r="AR110" i="31" s="1"/>
  <c r="AS114" i="31" a="1"/>
  <c r="AS114" i="31" s="1"/>
  <c r="AS156" i="31" a="1"/>
  <c r="AS156" i="31" s="1"/>
  <c r="AR176" i="31" a="1"/>
  <c r="AR176" i="31" s="1"/>
  <c r="AV82" i="31" a="1"/>
  <c r="AV82" i="31" s="1"/>
  <c r="AR228" i="31" a="1"/>
  <c r="AR228" i="31" s="1"/>
  <c r="AS165" i="31" a="1"/>
  <c r="AS165" i="31" s="1"/>
  <c r="AS155" i="31" a="1"/>
  <c r="AS155" i="31" s="1"/>
  <c r="AR113" i="31" a="1"/>
  <c r="AR113" i="31" s="1"/>
  <c r="AS105" i="31" a="1"/>
  <c r="AS105" i="31" s="1"/>
  <c r="AS126" i="31" a="1"/>
  <c r="AS126" i="31" s="1"/>
  <c r="AR133" i="31" a="1"/>
  <c r="AR133" i="31" s="1"/>
  <c r="AS235" i="31" a="1"/>
  <c r="AS235" i="31" s="1"/>
  <c r="AS158" i="31" a="1"/>
  <c r="AS158" i="31" s="1"/>
  <c r="AR112" i="31" a="1"/>
  <c r="AR112" i="31" s="1"/>
  <c r="AS215" i="31" a="1"/>
  <c r="AS215" i="31" s="1"/>
  <c r="AR125" i="31" a="1"/>
  <c r="AR125" i="31" s="1"/>
  <c r="AS213" i="31" a="1"/>
  <c r="AS213" i="31" s="1"/>
  <c r="AS209" i="31" a="1"/>
  <c r="AS209" i="31" s="1"/>
  <c r="AS208" i="31" a="1"/>
  <c r="AS208" i="31" s="1"/>
  <c r="AS118" i="31" a="1"/>
  <c r="AS118" i="31" s="1"/>
  <c r="AS120" i="31" a="1"/>
  <c r="AS120" i="31" s="1"/>
  <c r="AS127" i="31" a="1"/>
  <c r="AS127" i="31" s="1"/>
  <c r="AR168" i="31" a="1"/>
  <c r="AR168" i="31" s="1"/>
  <c r="AS161" i="31" a="1"/>
  <c r="AS161" i="31" s="1"/>
  <c r="AS110" i="31" a="1"/>
  <c r="AS110" i="31" s="1"/>
  <c r="AS160" i="31" a="1"/>
  <c r="AS160" i="31" s="1"/>
  <c r="AS154" i="31" a="1"/>
  <c r="AS154" i="31" s="1"/>
  <c r="AS166" i="31" a="1"/>
  <c r="AS166" i="31" s="1"/>
  <c r="AS218" i="31" a="1"/>
  <c r="AS218" i="31" s="1"/>
  <c r="AR126" i="31" a="1"/>
  <c r="AR126" i="31" s="1"/>
  <c r="AS178" i="31" a="1"/>
  <c r="AS178" i="31" s="1"/>
  <c r="AR217" i="31" a="1"/>
  <c r="AR217" i="31" s="1"/>
  <c r="AS131" i="31" a="1"/>
  <c r="AS131" i="31" s="1"/>
  <c r="AS111" i="31" a="1"/>
  <c r="AS111" i="31" s="1"/>
  <c r="AS227" i="31" a="1"/>
  <c r="AS227" i="31" s="1"/>
  <c r="AR172" i="31" a="1"/>
  <c r="AR172" i="31" s="1"/>
  <c r="AR123" i="31" a="1"/>
  <c r="AR123" i="31" s="1"/>
  <c r="AR208" i="31" a="1"/>
  <c r="AR208" i="31" s="1"/>
  <c r="AS183" i="31" a="1"/>
  <c r="AS183" i="31" s="1"/>
  <c r="AS231" i="31" a="1"/>
  <c r="AS231" i="31" s="1"/>
  <c r="AS234" i="31" a="1"/>
  <c r="AS234" i="31" s="1"/>
  <c r="AS225" i="31" a="1"/>
  <c r="AS225" i="31" s="1"/>
  <c r="AS219" i="31" a="1"/>
  <c r="AS219" i="31" s="1"/>
  <c r="AS184" i="31" a="1"/>
  <c r="AS184" i="31" s="1"/>
  <c r="AS182" i="31" a="1"/>
  <c r="AS182" i="31" s="1"/>
  <c r="AR132" i="31" a="1"/>
  <c r="AR132" i="31" s="1"/>
  <c r="AR159" i="31" a="1"/>
  <c r="AR159" i="31" s="1"/>
  <c r="AS220" i="31" a="1"/>
  <c r="AS220" i="31" s="1"/>
  <c r="AR158" i="31" a="1"/>
  <c r="AR158" i="31" s="1"/>
  <c r="AS163" i="31" a="1"/>
  <c r="AS163" i="31" s="1"/>
  <c r="AS115" i="31" a="1"/>
  <c r="AS115" i="31" s="1"/>
  <c r="AR209" i="31" a="1"/>
  <c r="AR209" i="31" s="1"/>
  <c r="AS133" i="31" a="1"/>
  <c r="AS133" i="31" s="1"/>
  <c r="AR105" i="31" a="1"/>
  <c r="AR105" i="31" s="1"/>
  <c r="AR129" i="31" a="1"/>
  <c r="AR129" i="31" s="1"/>
  <c r="AU232" i="31" a="1"/>
  <c r="AU232" i="31" s="1"/>
  <c r="AT129" i="31" a="1"/>
  <c r="AT129" i="31" s="1"/>
  <c r="AT233" i="31" a="1"/>
  <c r="AT233" i="31" s="1"/>
  <c r="AT170" i="31" a="1"/>
  <c r="AT170" i="31" s="1"/>
  <c r="AS228" i="31" a="1"/>
  <c r="AS228" i="31" s="1"/>
  <c r="AT212" i="31" a="1"/>
  <c r="AT212" i="31" s="1"/>
  <c r="AT107" i="31" a="1"/>
  <c r="AT107" i="31" s="1"/>
  <c r="AT162" i="31" a="1"/>
  <c r="AT162" i="31" s="1"/>
  <c r="AT105" i="31" a="1"/>
  <c r="AT105" i="31" s="1"/>
  <c r="AT230" i="31" a="1"/>
  <c r="AT230" i="31" s="1"/>
  <c r="AT116" i="31" a="1"/>
  <c r="AT116" i="31" s="1"/>
  <c r="AS107" i="31" a="1"/>
  <c r="AS107" i="31" s="1"/>
  <c r="AT174" i="31" a="1"/>
  <c r="AT174" i="31" s="1"/>
  <c r="AT178" i="31" a="1"/>
  <c r="AT178" i="31" s="1"/>
  <c r="AT208" i="31" a="1"/>
  <c r="AT208" i="31" s="1"/>
  <c r="AT173" i="31" a="1"/>
  <c r="AT173" i="31" s="1"/>
  <c r="AS211" i="31" a="1"/>
  <c r="AS211" i="31" s="1"/>
  <c r="AS173" i="31" a="1"/>
  <c r="AS173" i="31" s="1"/>
  <c r="AT214" i="31" a="1"/>
  <c r="AT214" i="31" s="1"/>
  <c r="AT207" i="31" a="1"/>
  <c r="AT207" i="31" s="1"/>
  <c r="AT177" i="31" a="1"/>
  <c r="AT177" i="31" s="1"/>
  <c r="AT112" i="31" a="1"/>
  <c r="AT112" i="31" s="1"/>
  <c r="AT156" i="31" a="1"/>
  <c r="AT156" i="31" s="1"/>
  <c r="AS232" i="31" a="1"/>
  <c r="AS232" i="31" s="1"/>
  <c r="AT108" i="31" a="1"/>
  <c r="AT108" i="31" s="1"/>
  <c r="AT123" i="31" a="1"/>
  <c r="AT123" i="31" s="1"/>
  <c r="AT161" i="31" a="1"/>
  <c r="AT161" i="31" s="1"/>
  <c r="AT163" i="31" a="1"/>
  <c r="AT163" i="31" s="1"/>
  <c r="AT124" i="31" a="1"/>
  <c r="AT124" i="31" s="1"/>
  <c r="AT127" i="31" a="1"/>
  <c r="AT127" i="31" s="1"/>
  <c r="AT224" i="31" a="1"/>
  <c r="AT224" i="31" s="1"/>
  <c r="AT227" i="31" a="1"/>
  <c r="AT227" i="31" s="1"/>
  <c r="AT182" i="31" a="1"/>
  <c r="AT182" i="31" s="1"/>
  <c r="AT216" i="31" a="1"/>
  <c r="AT216" i="31" s="1"/>
  <c r="AS168" i="31" a="1"/>
  <c r="AS168" i="31" s="1"/>
  <c r="AT206" i="31" a="1"/>
  <c r="AT206" i="31" s="1"/>
  <c r="AT118" i="31" a="1"/>
  <c r="AT118" i="31" s="1"/>
  <c r="AT164" i="31" a="1"/>
  <c r="AT164" i="31" s="1"/>
  <c r="AT168" i="31" a="1"/>
  <c r="AT168" i="31" s="1"/>
  <c r="AT113" i="31" a="1"/>
  <c r="AT113" i="31" s="1"/>
  <c r="AT166" i="31" a="1"/>
  <c r="AT166" i="31" s="1"/>
  <c r="AS162" i="31" a="1"/>
  <c r="AS162" i="31" s="1"/>
  <c r="AT122" i="31" a="1"/>
  <c r="AT122" i="31" s="1"/>
  <c r="AS159" i="31" a="1"/>
  <c r="AS159" i="31" s="1"/>
  <c r="AT209" i="31" a="1"/>
  <c r="AT209" i="31" s="1"/>
  <c r="AS157" i="31" a="1"/>
  <c r="AS157" i="31" s="1"/>
  <c r="AT217" i="31" a="1"/>
  <c r="AT217" i="31" s="1"/>
  <c r="AT221" i="31" a="1"/>
  <c r="AT221" i="31" s="1"/>
  <c r="AT130" i="31" a="1"/>
  <c r="AT130" i="31" s="1"/>
  <c r="AS175" i="31" a="1"/>
  <c r="AS175" i="31" s="1"/>
  <c r="AT171" i="31" a="1"/>
  <c r="AT171" i="31" s="1"/>
  <c r="AT176" i="31" a="1"/>
  <c r="AT176" i="31" s="1"/>
  <c r="AT223" i="31" a="1"/>
  <c r="AT223" i="31" s="1"/>
  <c r="AT215" i="31" a="1"/>
  <c r="AT215" i="31" s="1"/>
  <c r="AS180" i="31" a="1"/>
  <c r="AS180" i="31" s="1"/>
  <c r="AT126" i="31" a="1"/>
  <c r="AT126" i="31" s="1"/>
  <c r="AT211" i="31" a="1"/>
  <c r="AT211" i="31" s="1"/>
  <c r="AT219" i="31" a="1"/>
  <c r="AT219" i="31" s="1"/>
  <c r="AT228" i="31" a="1"/>
  <c r="AT228" i="31" s="1"/>
  <c r="AT184" i="31" a="1"/>
  <c r="AT184" i="31" s="1"/>
  <c r="AS177" i="31" a="1"/>
  <c r="AS177" i="31" s="1"/>
  <c r="AT121" i="31" a="1"/>
  <c r="AT121" i="31" s="1"/>
  <c r="AT104" i="31" a="1"/>
  <c r="AT104" i="31" s="1"/>
  <c r="AT229" i="31" a="1"/>
  <c r="AT229" i="31" s="1"/>
  <c r="AT115" i="31" a="1"/>
  <c r="AT115" i="31" s="1"/>
  <c r="AT169" i="31" a="1"/>
  <c r="AT169" i="31" s="1"/>
  <c r="AT165" i="31" a="1"/>
  <c r="AT165" i="31" s="1"/>
  <c r="AT157" i="31" a="1"/>
  <c r="AT157" i="31" s="1"/>
  <c r="AT183" i="31" a="1"/>
  <c r="AT183" i="31" s="1"/>
  <c r="AT125" i="31" a="1"/>
  <c r="AT125" i="31" s="1"/>
  <c r="AS113" i="31" a="1"/>
  <c r="AS113" i="31" s="1"/>
  <c r="AS169" i="31" a="1"/>
  <c r="AS169" i="31" s="1"/>
  <c r="AS229" i="31" a="1"/>
  <c r="AS229" i="31" s="1"/>
  <c r="AT133" i="31" a="1"/>
  <c r="AT133" i="31" s="1"/>
  <c r="AT167" i="31" a="1"/>
  <c r="AT167" i="31" s="1"/>
  <c r="AT225" i="31" a="1"/>
  <c r="AT225" i="31" s="1"/>
  <c r="AS212" i="31" a="1"/>
  <c r="AS212" i="31" s="1"/>
  <c r="AT114" i="31" a="1"/>
  <c r="AT114" i="31" s="1"/>
  <c r="AT117" i="31" a="1"/>
  <c r="AT117" i="31" s="1"/>
  <c r="AT155" i="31" a="1"/>
  <c r="AT155" i="31" s="1"/>
  <c r="AS222" i="31" a="1"/>
  <c r="AS222" i="31" s="1"/>
  <c r="AT109" i="31" a="1"/>
  <c r="AT109" i="31" s="1"/>
  <c r="AS226" i="31" a="1"/>
  <c r="AS226" i="31" s="1"/>
  <c r="AT111" i="31" a="1"/>
  <c r="AT111" i="31" s="1"/>
  <c r="AT181" i="31" a="1"/>
  <c r="AT181" i="31" s="1"/>
  <c r="AR218" i="31" a="1"/>
  <c r="AR218" i="31" s="1"/>
  <c r="AT179" i="31" a="1"/>
  <c r="AT179" i="31" s="1"/>
  <c r="AT175" i="31" a="1"/>
  <c r="AT175" i="31" s="1"/>
  <c r="AT158" i="31" a="1"/>
  <c r="AT158" i="31" s="1"/>
  <c r="AT131" i="31" a="1"/>
  <c r="AT131" i="31" s="1"/>
  <c r="AT220" i="31" a="1"/>
  <c r="AT220" i="31" s="1"/>
  <c r="AT210" i="31" a="1"/>
  <c r="AT210" i="31" s="1"/>
  <c r="AW82" i="31" a="1"/>
  <c r="AW82" i="31" s="1"/>
  <c r="AS164" i="31" a="1"/>
  <c r="AS164" i="31" s="1"/>
  <c r="AT234" i="31" a="1"/>
  <c r="AT234" i="31" s="1"/>
  <c r="AS206" i="31" a="1"/>
  <c r="AS206" i="31" s="1"/>
  <c r="AT172" i="31" a="1"/>
  <c r="AT172" i="31" s="1"/>
  <c r="AT110" i="31" a="1"/>
  <c r="AT110" i="31" s="1"/>
  <c r="AT128" i="31" a="1"/>
  <c r="AT128" i="31" s="1"/>
  <c r="AS210" i="31" a="1"/>
  <c r="AS210" i="31" s="1"/>
  <c r="AT231" i="31" a="1"/>
  <c r="AT231" i="31" s="1"/>
  <c r="AT218" i="31" a="1"/>
  <c r="AT218" i="31" s="1"/>
  <c r="AT232" i="31" a="1"/>
  <c r="AT232" i="31" s="1"/>
  <c r="AT226" i="31" a="1"/>
  <c r="AT226" i="31" s="1"/>
  <c r="AT119" i="31" a="1"/>
  <c r="AT119" i="31" s="1"/>
  <c r="AU122" i="31" a="1"/>
  <c r="AU122" i="31" s="1"/>
  <c r="AU228" i="31" a="1"/>
  <c r="AU228" i="31" s="1"/>
  <c r="AU108" i="31" a="1"/>
  <c r="AU108" i="31" s="1"/>
  <c r="AU214" i="31" a="1"/>
  <c r="AU214" i="31" s="1"/>
  <c r="AU114" i="31" a="1"/>
  <c r="AU114" i="31" s="1"/>
  <c r="AS221" i="31" a="1"/>
  <c r="AS221" i="31" s="1"/>
  <c r="AU219" i="31" a="1"/>
  <c r="AU219" i="31" s="1"/>
  <c r="AU123" i="31" a="1"/>
  <c r="AU123" i="31" s="1"/>
  <c r="AU158" i="31" a="1"/>
  <c r="AU158" i="31" s="1"/>
  <c r="AU130" i="31" a="1"/>
  <c r="AU130" i="31" s="1"/>
  <c r="AU209" i="31" a="1"/>
  <c r="AU209" i="31" s="1"/>
  <c r="AT160" i="31" a="1"/>
  <c r="AT160" i="31" s="1"/>
  <c r="AU226" i="31" a="1"/>
  <c r="AU226" i="31" s="1"/>
  <c r="AU125" i="31" a="1"/>
  <c r="AU125" i="31" s="1"/>
  <c r="AT213" i="31" a="1"/>
  <c r="AT213" i="31" s="1"/>
  <c r="AU176" i="31" a="1"/>
  <c r="AU176" i="31" s="1"/>
  <c r="AU177" i="31" a="1"/>
  <c r="AU177" i="31" s="1"/>
  <c r="AU129" i="31" a="1"/>
  <c r="AU129" i="31" s="1"/>
  <c r="AU172" i="31" a="1"/>
  <c r="AU172" i="31" s="1"/>
  <c r="AU126" i="31" a="1"/>
  <c r="AU126" i="31" s="1"/>
  <c r="AU118" i="31" a="1"/>
  <c r="AU118" i="31" s="1"/>
  <c r="AT222" i="31" a="1"/>
  <c r="AT222" i="31" s="1"/>
  <c r="AU173" i="31" a="1"/>
  <c r="AU173" i="31" s="1"/>
  <c r="AT235" i="31" a="1"/>
  <c r="AT235" i="31" s="1"/>
  <c r="AU183" i="31" a="1"/>
  <c r="AU183" i="31" s="1"/>
  <c r="AU182" i="31" a="1"/>
  <c r="AU182" i="31" s="1"/>
  <c r="AU222" i="31" a="1"/>
  <c r="AU222" i="31" s="1"/>
  <c r="AU224" i="31" a="1"/>
  <c r="AU224" i="31" s="1"/>
  <c r="AU133" i="31" a="1"/>
  <c r="AU133" i="31" s="1"/>
  <c r="AU167" i="31" a="1"/>
  <c r="AU167" i="31" s="1"/>
  <c r="AU159" i="31" a="1"/>
  <c r="AU159" i="31" s="1"/>
  <c r="AU170" i="31" a="1"/>
  <c r="AU170" i="31" s="1"/>
  <c r="AU107" i="31" a="1"/>
  <c r="AU107" i="31" s="1"/>
  <c r="AT106" i="31" a="1"/>
  <c r="AT106" i="31" s="1"/>
  <c r="AX82" i="31" a="1"/>
  <c r="AX82" i="31" s="1"/>
  <c r="AU184" i="31" a="1"/>
  <c r="AU184" i="31" s="1"/>
  <c r="AU160" i="31" a="1"/>
  <c r="AU160" i="31" s="1"/>
  <c r="AU161" i="31" a="1"/>
  <c r="AU161" i="31" s="1"/>
  <c r="AT159" i="31" a="1"/>
  <c r="AT159" i="31" s="1"/>
  <c r="AU162" i="31" a="1"/>
  <c r="AU162" i="31" s="1"/>
  <c r="AU169" i="31" a="1"/>
  <c r="AU169" i="31" s="1"/>
  <c r="AU221" i="31" a="1"/>
  <c r="AU221" i="31" s="1"/>
  <c r="AU115" i="31" a="1"/>
  <c r="AU115" i="31" s="1"/>
  <c r="AU111" i="31" a="1"/>
  <c r="AU111" i="31" s="1"/>
  <c r="AU131" i="31" a="1"/>
  <c r="AU131" i="31" s="1"/>
  <c r="AT180" i="31" a="1"/>
  <c r="AT180" i="31" s="1"/>
  <c r="AU164" i="31" a="1"/>
  <c r="AU164" i="31" s="1"/>
  <c r="AU233" i="31" a="1"/>
  <c r="AU233" i="31" s="1"/>
  <c r="AU113" i="31" a="1"/>
  <c r="AU113" i="31" s="1"/>
  <c r="AU119" i="31" a="1"/>
  <c r="AU119" i="31" s="1"/>
  <c r="AU112" i="31" a="1"/>
  <c r="AU112" i="31" s="1"/>
  <c r="AU156" i="31" a="1"/>
  <c r="AU156" i="31" s="1"/>
  <c r="AU124" i="31" a="1"/>
  <c r="AU124" i="31" s="1"/>
  <c r="AT120" i="31" a="1"/>
  <c r="AT120" i="31" s="1"/>
  <c r="AU110" i="31" a="1"/>
  <c r="AU110" i="31" s="1"/>
  <c r="AU213" i="31" a="1"/>
  <c r="AU213" i="31" s="1"/>
  <c r="AU165" i="31" a="1"/>
  <c r="AU165" i="31" s="1"/>
  <c r="AU166" i="31" a="1"/>
  <c r="AU166" i="31" s="1"/>
  <c r="AU234" i="31" a="1"/>
  <c r="AU234" i="31" s="1"/>
  <c r="AU127" i="31" a="1"/>
  <c r="AU127" i="31" s="1"/>
  <c r="AU217" i="31" a="1"/>
  <c r="AU217" i="31" s="1"/>
  <c r="AU132" i="31" a="1"/>
  <c r="AU132" i="31" s="1"/>
  <c r="AT132" i="31" a="1"/>
  <c r="AT132" i="31" s="1"/>
  <c r="AU171" i="31" a="1"/>
  <c r="AU171" i="31" s="1"/>
  <c r="AU117" i="31" a="1"/>
  <c r="AU117" i="31" s="1"/>
  <c r="AU207" i="31" a="1"/>
  <c r="AU207" i="31" s="1"/>
  <c r="AU180" i="31" a="1"/>
  <c r="AU180" i="31" s="1"/>
  <c r="AU179" i="31" a="1"/>
  <c r="AU179" i="31" s="1"/>
  <c r="AU106" i="31" a="1"/>
  <c r="AU106" i="31" s="1"/>
  <c r="AU230" i="31" a="1"/>
  <c r="AU230" i="31" s="1"/>
  <c r="AU163" i="31" a="1"/>
  <c r="AU163" i="31" s="1"/>
  <c r="AU116" i="31" a="1"/>
  <c r="AU116" i="31" s="1"/>
  <c r="AU231" i="31" a="1"/>
  <c r="AU231" i="31" s="1"/>
  <c r="AU128" i="31" a="1"/>
  <c r="AU128" i="31" s="1"/>
  <c r="AU227" i="31" a="1"/>
  <c r="AU227" i="31" s="1"/>
  <c r="AU210" i="31" a="1"/>
  <c r="AU210" i="31" s="1"/>
  <c r="AU157" i="31" a="1"/>
  <c r="AU157" i="31" s="1"/>
  <c r="AU178" i="31" a="1"/>
  <c r="AU178" i="31" s="1"/>
  <c r="AU212" i="31" a="1"/>
  <c r="AU212" i="31" s="1"/>
  <c r="AU215" i="31" a="1"/>
  <c r="AU215" i="31" s="1"/>
  <c r="AU120" i="31" a="1"/>
  <c r="AU120" i="31" s="1"/>
  <c r="AU235" i="31" a="1"/>
  <c r="AU235" i="31" s="1"/>
  <c r="AW168" i="31" a="1"/>
  <c r="AW168" i="31" s="1"/>
  <c r="AV211" i="31" a="1"/>
  <c r="AV211" i="31" s="1"/>
  <c r="AV173" i="31" a="1"/>
  <c r="AV173" i="31" s="1"/>
  <c r="AV171" i="31" a="1"/>
  <c r="AV171" i="31" s="1"/>
  <c r="AV112" i="31" a="1"/>
  <c r="AV112" i="31" s="1"/>
  <c r="AV132" i="31" a="1"/>
  <c r="AV132" i="31" s="1"/>
  <c r="AV122" i="31" a="1"/>
  <c r="AV122" i="31" s="1"/>
  <c r="AV227" i="31" a="1"/>
  <c r="AV227" i="31" s="1"/>
  <c r="AV217" i="31" a="1"/>
  <c r="AV217" i="31" s="1"/>
  <c r="AV176" i="31" a="1"/>
  <c r="AV176" i="31" s="1"/>
  <c r="AV174" i="31" a="1"/>
  <c r="AV174" i="31" s="1"/>
  <c r="AV118" i="31" a="1"/>
  <c r="AV118" i="31" s="1"/>
  <c r="AV120" i="31" a="1"/>
  <c r="AV120" i="31" s="1"/>
  <c r="AV129" i="31" a="1"/>
  <c r="AV129" i="31" s="1"/>
  <c r="AV209" i="31" a="1"/>
  <c r="AV209" i="31" s="1"/>
  <c r="AV179" i="31" a="1"/>
  <c r="AV179" i="31" s="1"/>
  <c r="AV121" i="31" a="1"/>
  <c r="AV121" i="31" s="1"/>
  <c r="AU175" i="31" a="1"/>
  <c r="AU175" i="31" s="1"/>
  <c r="AV130" i="31" a="1"/>
  <c r="AV130" i="31" s="1"/>
  <c r="AV110" i="31" a="1"/>
  <c r="AV110" i="31" s="1"/>
  <c r="AV168" i="31" a="1"/>
  <c r="AV168" i="31" s="1"/>
  <c r="AV111" i="31" a="1"/>
  <c r="AV111" i="31" s="1"/>
  <c r="AV219" i="31" a="1"/>
  <c r="AV219" i="31" s="1"/>
  <c r="AV163" i="31" a="1"/>
  <c r="AV163" i="31" s="1"/>
  <c r="AV223" i="31" a="1"/>
  <c r="AV223" i="31" s="1"/>
  <c r="AV170" i="31" a="1"/>
  <c r="AV170" i="31" s="1"/>
  <c r="AV230" i="31" a="1"/>
  <c r="AV230" i="31" s="1"/>
  <c r="AU216" i="31" a="1"/>
  <c r="AU216" i="31" s="1"/>
  <c r="AV161" i="31" a="1"/>
  <c r="AV161" i="31" s="1"/>
  <c r="AV208" i="31" a="1"/>
  <c r="AV208" i="31" s="1"/>
  <c r="AV107" i="31" a="1"/>
  <c r="AV107" i="31" s="1"/>
  <c r="AV109" i="31" a="1"/>
  <c r="AV109" i="31" s="1"/>
  <c r="AV234" i="31" a="1"/>
  <c r="AV234" i="31" s="1"/>
  <c r="AV133" i="31" a="1"/>
  <c r="AV133" i="31" s="1"/>
  <c r="AY82" i="31" a="1"/>
  <c r="AY82" i="31" s="1"/>
  <c r="AV113" i="31" a="1"/>
  <c r="AV113" i="31" s="1"/>
  <c r="AU229" i="31" a="1"/>
  <c r="AU229" i="31" s="1"/>
  <c r="AV125" i="31" a="1"/>
  <c r="AV125" i="31" s="1"/>
  <c r="AV222" i="31" a="1"/>
  <c r="AV222" i="31" s="1"/>
  <c r="AV126" i="31" a="1"/>
  <c r="AV126" i="31" s="1"/>
  <c r="AV224" i="31" a="1"/>
  <c r="AV224" i="31" s="1"/>
  <c r="AV165" i="31" a="1"/>
  <c r="AV165" i="31" s="1"/>
  <c r="AV215" i="31" a="1"/>
  <c r="AV215" i="31" s="1"/>
  <c r="AV159" i="31" a="1"/>
  <c r="AV159" i="31" s="1"/>
  <c r="AV169" i="31" a="1"/>
  <c r="AV169" i="31" s="1"/>
  <c r="AV210" i="31" a="1"/>
  <c r="AV210" i="31" s="1"/>
  <c r="AV180" i="31" a="1"/>
  <c r="AV180" i="31" s="1"/>
  <c r="AV214" i="31" a="1"/>
  <c r="AV214" i="31" s="1"/>
  <c r="AU225" i="31" a="1"/>
  <c r="AU225" i="31" s="1"/>
  <c r="AV131" i="31" a="1"/>
  <c r="AV131" i="31" s="1"/>
  <c r="AU168" i="31" a="1"/>
  <c r="AU168" i="31" s="1"/>
  <c r="AV228" i="31" a="1"/>
  <c r="AV228" i="31" s="1"/>
  <c r="AU174" i="31" a="1"/>
  <c r="AU174" i="31" s="1"/>
  <c r="AV162" i="31" a="1"/>
  <c r="AV162" i="31" s="1"/>
  <c r="AV158" i="31" a="1"/>
  <c r="AV158" i="31" s="1"/>
  <c r="AV181" i="31" a="1"/>
  <c r="AV181" i="31" s="1"/>
  <c r="AV182" i="31" a="1"/>
  <c r="AV182" i="31" s="1"/>
  <c r="AV216" i="31" a="1"/>
  <c r="AV216" i="31" s="1"/>
  <c r="AU121" i="31" a="1"/>
  <c r="AU121" i="31" s="1"/>
  <c r="AV183" i="31" a="1"/>
  <c r="AV183" i="31" s="1"/>
  <c r="AV212" i="31" a="1"/>
  <c r="AV212" i="31" s="1"/>
  <c r="AU218" i="31" a="1"/>
  <c r="AU218" i="31" s="1"/>
  <c r="AV123" i="31" a="1"/>
  <c r="AV123" i="31" s="1"/>
  <c r="AV218" i="31" a="1"/>
  <c r="AV218" i="31" s="1"/>
  <c r="AV128" i="31" a="1"/>
  <c r="AV128" i="31" s="1"/>
  <c r="AV117" i="31" a="1"/>
  <c r="AV117" i="31" s="1"/>
  <c r="AV172" i="31" a="1"/>
  <c r="AV172" i="31" s="1"/>
  <c r="AU181" i="31" a="1"/>
  <c r="AU181" i="31" s="1"/>
  <c r="AU223" i="31" a="1"/>
  <c r="AU223" i="31" s="1"/>
  <c r="AV177" i="31" a="1"/>
  <c r="AV177" i="31" s="1"/>
  <c r="AV213" i="31" a="1"/>
  <c r="AV213" i="31" s="1"/>
  <c r="AV115" i="31" a="1"/>
  <c r="AV115" i="31" s="1"/>
  <c r="AW228" i="31" a="1"/>
  <c r="AW228" i="31" s="1"/>
  <c r="AW108" i="31" a="1"/>
  <c r="AW108" i="31" s="1"/>
  <c r="AW181" i="31" a="1"/>
  <c r="AW181" i="31" s="1"/>
  <c r="AW166" i="31" a="1"/>
  <c r="AW166" i="31" s="1"/>
  <c r="AW170" i="31" a="1"/>
  <c r="AW170" i="31" s="1"/>
  <c r="AV233" i="31" a="1"/>
  <c r="AV233" i="31" s="1"/>
  <c r="AV164" i="31" a="1"/>
  <c r="AV164" i="31" s="1"/>
  <c r="AV124" i="31" a="1"/>
  <c r="AV124" i="31" s="1"/>
  <c r="AW224" i="31" a="1"/>
  <c r="AW224" i="31" s="1"/>
  <c r="AU109" i="31" a="1"/>
  <c r="AU109" i="31" s="1"/>
  <c r="AV220" i="31" a="1"/>
  <c r="AV220" i="31" s="1"/>
  <c r="AV167" i="31" a="1"/>
  <c r="AV167" i="31" s="1"/>
  <c r="AV166" i="31" a="1"/>
  <c r="AV166" i="31" s="1"/>
  <c r="AW174" i="31" a="1"/>
  <c r="AW174" i="31" s="1"/>
  <c r="AW132" i="31" a="1"/>
  <c r="AW132" i="31" s="1"/>
  <c r="AW175" i="31" a="1"/>
  <c r="AW175" i="31" s="1"/>
  <c r="AW221" i="31" a="1"/>
  <c r="AW221" i="31" s="1"/>
  <c r="AW131" i="31" a="1"/>
  <c r="AW131" i="31" s="1"/>
  <c r="AV235" i="31" a="1"/>
  <c r="AV235" i="31" s="1"/>
  <c r="AV221" i="31" a="1"/>
  <c r="AV221" i="31" s="1"/>
  <c r="AW129" i="31" a="1"/>
  <c r="AW129" i="31" s="1"/>
  <c r="AW161" i="31" a="1"/>
  <c r="AW161" i="31" s="1"/>
  <c r="AW218" i="31" a="1"/>
  <c r="AW218" i="31" s="1"/>
  <c r="AW114" i="31" a="1"/>
  <c r="AW114" i="31" s="1"/>
  <c r="AW222" i="31" a="1"/>
  <c r="AW222" i="31" s="1"/>
  <c r="AW111" i="31" a="1"/>
  <c r="AW111" i="31" s="1"/>
  <c r="AW124" i="31" a="1"/>
  <c r="AW124" i="31" s="1"/>
  <c r="AW162" i="31" a="1"/>
  <c r="AW162" i="31" s="1"/>
  <c r="AW167" i="31" a="1"/>
  <c r="AW167" i="31" s="1"/>
  <c r="AW116" i="31" a="1"/>
  <c r="AW116" i="31" s="1"/>
  <c r="AV116" i="31" a="1"/>
  <c r="AV116" i="31" s="1"/>
  <c r="AV114" i="31" a="1"/>
  <c r="AV114" i="31" s="1"/>
  <c r="AV229" i="31" a="1"/>
  <c r="AV229" i="31" s="1"/>
  <c r="AU211" i="31" a="1"/>
  <c r="AU211" i="31" s="1"/>
  <c r="AV184" i="31" a="1"/>
  <c r="AV184" i="31" s="1"/>
  <c r="AW177" i="31" a="1"/>
  <c r="AW177" i="31" s="1"/>
  <c r="AV127" i="31" a="1"/>
  <c r="AV127" i="31" s="1"/>
  <c r="AW159" i="31" a="1"/>
  <c r="AW159" i="31" s="1"/>
  <c r="AW165" i="31" a="1"/>
  <c r="AW165" i="31" s="1"/>
  <c r="AW122" i="31" a="1"/>
  <c r="AW122" i="31" s="1"/>
  <c r="AW112" i="31" a="1"/>
  <c r="AW112" i="31" s="1"/>
  <c r="AU220" i="31" a="1"/>
  <c r="AU220" i="31" s="1"/>
  <c r="AV160" i="31" a="1"/>
  <c r="AV160" i="31" s="1"/>
  <c r="AV119" i="31" a="1"/>
  <c r="AV119" i="31" s="1"/>
  <c r="AW210" i="31" a="1"/>
  <c r="AW210" i="31" s="1"/>
  <c r="AW118" i="31" a="1"/>
  <c r="AW118" i="31" s="1"/>
  <c r="AW231" i="31" a="1"/>
  <c r="AW231" i="31" s="1"/>
  <c r="AW125" i="31" a="1"/>
  <c r="AW125" i="31" s="1"/>
  <c r="AW227" i="31" a="1"/>
  <c r="AW227" i="31" s="1"/>
  <c r="AW160" i="31" a="1"/>
  <c r="AW160" i="31" s="1"/>
  <c r="AV226" i="31" a="1"/>
  <c r="AV226" i="31" s="1"/>
  <c r="AW169" i="31" a="1"/>
  <c r="AW169" i="31" s="1"/>
  <c r="AW158" i="31" a="1"/>
  <c r="AW158" i="31" s="1"/>
  <c r="AW230" i="31" a="1"/>
  <c r="AW230" i="31" s="1"/>
  <c r="AW219" i="31" a="1"/>
  <c r="AW219" i="31" s="1"/>
  <c r="AW173" i="31" a="1"/>
  <c r="AW173" i="31" s="1"/>
  <c r="AW120" i="31" a="1"/>
  <c r="AW120" i="31" s="1"/>
  <c r="AW115" i="31" a="1"/>
  <c r="AW115" i="31" s="1"/>
  <c r="AW233" i="31" a="1"/>
  <c r="AW233" i="31" s="1"/>
  <c r="AW127" i="31" a="1"/>
  <c r="AW127" i="31" s="1"/>
  <c r="AV178" i="31" a="1"/>
  <c r="AV178" i="31" s="1"/>
  <c r="AV225" i="31" a="1"/>
  <c r="AV225" i="31" s="1"/>
  <c r="AV231" i="31" a="1"/>
  <c r="AV231" i="31" s="1"/>
  <c r="AV175" i="31" a="1"/>
  <c r="AV175" i="31" s="1"/>
  <c r="AV108" i="31" a="1"/>
  <c r="AV108" i="31" s="1"/>
  <c r="AW215" i="31" a="1"/>
  <c r="AW215" i="31" s="1"/>
  <c r="AW176" i="31" a="1"/>
  <c r="AW176" i="31" s="1"/>
  <c r="AW130" i="31" a="1"/>
  <c r="AW130" i="31" s="1"/>
  <c r="AZ82" i="31" a="1"/>
  <c r="AZ82" i="31" s="1"/>
  <c r="AX172" i="31" a="1"/>
  <c r="AX172" i="31" s="1"/>
  <c r="AW180" i="31" a="1"/>
  <c r="AW180" i="31" s="1"/>
  <c r="AX113" i="31" a="1"/>
  <c r="AX113" i="31" s="1"/>
  <c r="AX220" i="31" a="1"/>
  <c r="AX220" i="31" s="1"/>
  <c r="AX126" i="31" a="1"/>
  <c r="AX126" i="31" s="1"/>
  <c r="AX228" i="31" a="1"/>
  <c r="AX228" i="31" s="1"/>
  <c r="AX218" i="31" a="1"/>
  <c r="AX218" i="31" s="1"/>
  <c r="AW178" i="31" a="1"/>
  <c r="AW178" i="31" s="1"/>
  <c r="AX211" i="31" a="1"/>
  <c r="AX211" i="31" s="1"/>
  <c r="AX213" i="31" a="1"/>
  <c r="AX213" i="31" s="1"/>
  <c r="AW110" i="31" a="1"/>
  <c r="AW110" i="31" s="1"/>
  <c r="AX230" i="31" a="1"/>
  <c r="AX230" i="31" s="1"/>
  <c r="AX119" i="31" a="1"/>
  <c r="AX119" i="31" s="1"/>
  <c r="AW126" i="31" a="1"/>
  <c r="AW126" i="31" s="1"/>
  <c r="AX130" i="31" a="1"/>
  <c r="AX130" i="31" s="1"/>
  <c r="AX160" i="31" a="1"/>
  <c r="AX160" i="31" s="1"/>
  <c r="AX225" i="31" a="1"/>
  <c r="AX225" i="31" s="1"/>
  <c r="BA82" i="31" a="1"/>
  <c r="BA82" i="31" s="1"/>
  <c r="AX182" i="31" a="1"/>
  <c r="AX182" i="31" s="1"/>
  <c r="AX169" i="31" a="1"/>
  <c r="AX169" i="31" s="1"/>
  <c r="AX109" i="31" a="1"/>
  <c r="AX109" i="31" s="1"/>
  <c r="AW182" i="31" a="1"/>
  <c r="AW182" i="31" s="1"/>
  <c r="AW171" i="31" a="1"/>
  <c r="AW171" i="31" s="1"/>
  <c r="AX168" i="31" a="1"/>
  <c r="AX168" i="31" s="1"/>
  <c r="AX159" i="31" a="1"/>
  <c r="AX159" i="31" s="1"/>
  <c r="AW213" i="31" a="1"/>
  <c r="AW213" i="31" s="1"/>
  <c r="AX116" i="31" a="1"/>
  <c r="AX116" i="31" s="1"/>
  <c r="AX224" i="31" a="1"/>
  <c r="AX224" i="31" s="1"/>
  <c r="AW217" i="31" a="1"/>
  <c r="AW217" i="31" s="1"/>
  <c r="AX123" i="31" a="1"/>
  <c r="AX123" i="31" s="1"/>
  <c r="AX124" i="31" a="1"/>
  <c r="AX124" i="31" s="1"/>
  <c r="AV232" i="31" a="1"/>
  <c r="AV232" i="31" s="1"/>
  <c r="AW225" i="31" a="1"/>
  <c r="AW225" i="31" s="1"/>
  <c r="AW128" i="31" a="1"/>
  <c r="AW128" i="31" s="1"/>
  <c r="AX174" i="31" a="1"/>
  <c r="AX174" i="31" s="1"/>
  <c r="AW214" i="31" a="1"/>
  <c r="AW214" i="31" s="1"/>
  <c r="AW220" i="31" a="1"/>
  <c r="AW220" i="31" s="1"/>
  <c r="AX122" i="31" a="1"/>
  <c r="AX122" i="31" s="1"/>
  <c r="AX118" i="31" a="1"/>
  <c r="AX118" i="31" s="1"/>
  <c r="AW113" i="31" a="1"/>
  <c r="AW113" i="31" s="1"/>
  <c r="AX127" i="31" a="1"/>
  <c r="AX127" i="31" s="1"/>
  <c r="AW119" i="31" a="1"/>
  <c r="AW119" i="31" s="1"/>
  <c r="AW211" i="31" a="1"/>
  <c r="AW211" i="31" s="1"/>
  <c r="AX171" i="31" a="1"/>
  <c r="AX171" i="31" s="1"/>
  <c r="AX181" i="31" a="1"/>
  <c r="AX181" i="31" s="1"/>
  <c r="AX177" i="31" a="1"/>
  <c r="AX177" i="31" s="1"/>
  <c r="AX235" i="31" a="1"/>
  <c r="AX235" i="31" s="1"/>
  <c r="AX112" i="31" a="1"/>
  <c r="AX112" i="31" s="1"/>
  <c r="AX223" i="31" a="1"/>
  <c r="AX223" i="31" s="1"/>
  <c r="AX162" i="31" a="1"/>
  <c r="AX162" i="31" s="1"/>
  <c r="AW234" i="31" a="1"/>
  <c r="AW234" i="31" s="1"/>
  <c r="AX121" i="31" a="1"/>
  <c r="AX121" i="31" s="1"/>
  <c r="AW172" i="31" a="1"/>
  <c r="AW172" i="31" s="1"/>
  <c r="AW226" i="31" a="1"/>
  <c r="AW226" i="31" s="1"/>
  <c r="AX214" i="31" a="1"/>
  <c r="AX214" i="31" s="1"/>
  <c r="AX166" i="31" a="1"/>
  <c r="AX166" i="31" s="1"/>
  <c r="AX128" i="31" a="1"/>
  <c r="AX128" i="31" s="1"/>
  <c r="AW121" i="31" a="1"/>
  <c r="AW121" i="31" s="1"/>
  <c r="AX217" i="31" a="1"/>
  <c r="AX217" i="31" s="1"/>
  <c r="AW229" i="31" a="1"/>
  <c r="AW229" i="31" s="1"/>
  <c r="AW117" i="31" a="1"/>
  <c r="AW117" i="31" s="1"/>
  <c r="AW133" i="31" a="1"/>
  <c r="AW133" i="31" s="1"/>
  <c r="AW216" i="31" a="1"/>
  <c r="AW216" i="31" s="1"/>
  <c r="AX115" i="31" a="1"/>
  <c r="AX115" i="31" s="1"/>
  <c r="AX125" i="31" a="1"/>
  <c r="AX125" i="31" s="1"/>
  <c r="AX178" i="31" a="1"/>
  <c r="AX178" i="31" s="1"/>
  <c r="AX231" i="31" a="1"/>
  <c r="AX231" i="31" s="1"/>
  <c r="AX219" i="31" a="1"/>
  <c r="AX219" i="31" s="1"/>
  <c r="AX232" i="31" a="1"/>
  <c r="AX232" i="31" s="1"/>
  <c r="AX184" i="31" a="1"/>
  <c r="AX184" i="31" s="1"/>
  <c r="AX108" i="31" a="1"/>
  <c r="AX108" i="31" s="1"/>
  <c r="AW235" i="31" a="1"/>
  <c r="AW235" i="31" s="1"/>
  <c r="AW183" i="31" a="1"/>
  <c r="AW183" i="31" s="1"/>
  <c r="AZ219" i="31" a="1"/>
  <c r="AZ219" i="31" s="1"/>
  <c r="AX233" i="31" a="1"/>
  <c r="AX233" i="31" s="1"/>
  <c r="AX176" i="31" a="1"/>
  <c r="AX176" i="31" s="1"/>
  <c r="AY213" i="31" a="1"/>
  <c r="AY213" i="31" s="1"/>
  <c r="AY114" i="31" a="1"/>
  <c r="AY114" i="31" s="1"/>
  <c r="AW232" i="31" a="1"/>
  <c r="AW232" i="31" s="1"/>
  <c r="AY224" i="31" a="1"/>
  <c r="AY224" i="31" s="1"/>
  <c r="AX173" i="31" a="1"/>
  <c r="AX173" i="31" s="1"/>
  <c r="AY182" i="31" a="1"/>
  <c r="AY182" i="31" s="1"/>
  <c r="AY176" i="31" a="1"/>
  <c r="AY176" i="31" s="1"/>
  <c r="AY218" i="31" a="1"/>
  <c r="AY218" i="31" s="1"/>
  <c r="AX227" i="31" a="1"/>
  <c r="AX227" i="31" s="1"/>
  <c r="AY215" i="31" a="1"/>
  <c r="AY215" i="31" s="1"/>
  <c r="AY113" i="31" a="1"/>
  <c r="AY113" i="31" s="1"/>
  <c r="AY223" i="31" a="1"/>
  <c r="AY223" i="31" s="1"/>
  <c r="AY109" i="31" a="1"/>
  <c r="AY109" i="31" s="1"/>
  <c r="AX129" i="31" a="1"/>
  <c r="AX129" i="31" s="1"/>
  <c r="AY222" i="31" a="1"/>
  <c r="AY222" i="31" s="1"/>
  <c r="AY111" i="31" a="1"/>
  <c r="AY111" i="31" s="1"/>
  <c r="AX165" i="31" a="1"/>
  <c r="AX165" i="31" s="1"/>
  <c r="AY183" i="31" a="1"/>
  <c r="AY183" i="31" s="1"/>
  <c r="AY217" i="31" a="1"/>
  <c r="AY217" i="31" s="1"/>
  <c r="AY167" i="31" a="1"/>
  <c r="AY167" i="31" s="1"/>
  <c r="AY126" i="31" a="1"/>
  <c r="AY126" i="31" s="1"/>
  <c r="AY216" i="31" a="1"/>
  <c r="AY216" i="31" s="1"/>
  <c r="AX180" i="31" a="1"/>
  <c r="AX180" i="31" s="1"/>
  <c r="AY219" i="31" a="1"/>
  <c r="AY219" i="31" s="1"/>
  <c r="AY117" i="31" a="1"/>
  <c r="AY117" i="31" s="1"/>
  <c r="AY131" i="31" a="1"/>
  <c r="AY131" i="31" s="1"/>
  <c r="AX132" i="31" a="1"/>
  <c r="AX132" i="31" s="1"/>
  <c r="AX110" i="31" a="1"/>
  <c r="AX110" i="31" s="1"/>
  <c r="AY225" i="31" a="1"/>
  <c r="AY225" i="31" s="1"/>
  <c r="AW164" i="31" a="1"/>
  <c r="AW164" i="31" s="1"/>
  <c r="AW109" i="31" a="1"/>
  <c r="AW109" i="31" s="1"/>
  <c r="AW223" i="31" a="1"/>
  <c r="AW223" i="31" s="1"/>
  <c r="AY173" i="31" a="1"/>
  <c r="AY173" i="31" s="1"/>
  <c r="AX111" i="31" a="1"/>
  <c r="AX111" i="31" s="1"/>
  <c r="AY231" i="31" a="1"/>
  <c r="AY231" i="31" s="1"/>
  <c r="AY179" i="31" a="1"/>
  <c r="AY179" i="31" s="1"/>
  <c r="AY184" i="31" a="1"/>
  <c r="AY184" i="31" s="1"/>
  <c r="AY229" i="31" a="1"/>
  <c r="AY229" i="31" s="1"/>
  <c r="AY212" i="31" a="1"/>
  <c r="AY212" i="31" s="1"/>
  <c r="AX234" i="31" a="1"/>
  <c r="AX234" i="31" s="1"/>
  <c r="AY169" i="31" a="1"/>
  <c r="AY169" i="31" s="1"/>
  <c r="AY171" i="31" a="1"/>
  <c r="AY171" i="31" s="1"/>
  <c r="AY181" i="31" a="1"/>
  <c r="AY181" i="31" s="1"/>
  <c r="AY132" i="31" a="1"/>
  <c r="AY132" i="31" s="1"/>
  <c r="AY174" i="31" a="1"/>
  <c r="AY174" i="31" s="1"/>
  <c r="AY165" i="31" a="1"/>
  <c r="AY165" i="31" s="1"/>
  <c r="AW163" i="31" a="1"/>
  <c r="AW163" i="31" s="1"/>
  <c r="AW184" i="31" a="1"/>
  <c r="AW184" i="31" s="1"/>
  <c r="AX167" i="31" a="1"/>
  <c r="AX167" i="31" s="1"/>
  <c r="AY129" i="31" a="1"/>
  <c r="AY129" i="31" s="1"/>
  <c r="AY119" i="31" a="1"/>
  <c r="AY119" i="31" s="1"/>
  <c r="AX183" i="31" a="1"/>
  <c r="AX183" i="31" s="1"/>
  <c r="AX133" i="31" a="1"/>
  <c r="AX133" i="31" s="1"/>
  <c r="AY125" i="31" a="1"/>
  <c r="AY125" i="31" s="1"/>
  <c r="AX221" i="31" a="1"/>
  <c r="AX221" i="31" s="1"/>
  <c r="BB82" i="31" a="1"/>
  <c r="BB82" i="31" s="1"/>
  <c r="AY128" i="31" a="1"/>
  <c r="AY128" i="31" s="1"/>
  <c r="AY175" i="31" a="1"/>
  <c r="AY175" i="31" s="1"/>
  <c r="AY170" i="31" a="1"/>
  <c r="AY170" i="31" s="1"/>
  <c r="AX131" i="31" a="1"/>
  <c r="AX131" i="31" s="1"/>
  <c r="AY226" i="31" a="1"/>
  <c r="AY226" i="31" s="1"/>
  <c r="AX222" i="31" a="1"/>
  <c r="AX222" i="31" s="1"/>
  <c r="AX212" i="31" a="1"/>
  <c r="AX212" i="31" s="1"/>
  <c r="AX216" i="31" a="1"/>
  <c r="AX216" i="31" s="1"/>
  <c r="AX117" i="31" a="1"/>
  <c r="AX117" i="31" s="1"/>
  <c r="AX226" i="31" a="1"/>
  <c r="AX226" i="31" s="1"/>
  <c r="AY177" i="31" a="1"/>
  <c r="AY177" i="31" s="1"/>
  <c r="AY116" i="31" a="1"/>
  <c r="AY116" i="31" s="1"/>
  <c r="AY162" i="31" a="1"/>
  <c r="AY162" i="31" s="1"/>
  <c r="AY234" i="31" a="1"/>
  <c r="AY234" i="31" s="1"/>
  <c r="AY163" i="31" a="1"/>
  <c r="AY163" i="31" s="1"/>
  <c r="AY124" i="31" a="1"/>
  <c r="AY124" i="31" s="1"/>
  <c r="AY228" i="31" a="1"/>
  <c r="AY228" i="31" s="1"/>
  <c r="AY178" i="31" a="1"/>
  <c r="AY178" i="31" s="1"/>
  <c r="AY230" i="31" a="1"/>
  <c r="AY230" i="31" s="1"/>
  <c r="AY168" i="31" a="1"/>
  <c r="AY168" i="31" s="1"/>
  <c r="AX164" i="31" a="1"/>
  <c r="AX164" i="31" s="1"/>
  <c r="AW123" i="31" a="1"/>
  <c r="AW123" i="31" s="1"/>
  <c r="AW212" i="31" a="1"/>
  <c r="AW212" i="31" s="1"/>
  <c r="AY172" i="31" a="1"/>
  <c r="AY172" i="31" s="1"/>
  <c r="AX229" i="31" a="1"/>
  <c r="AX229" i="31" s="1"/>
  <c r="AY233" i="31" a="1"/>
  <c r="AY233" i="31" s="1"/>
  <c r="AY164" i="31" a="1"/>
  <c r="AY164" i="31" s="1"/>
  <c r="AX215" i="31" a="1"/>
  <c r="AX215" i="31" s="1"/>
  <c r="AY214" i="31" a="1"/>
  <c r="AY214" i="31" s="1"/>
  <c r="AY133" i="31" a="1"/>
  <c r="AY133" i="31" s="1"/>
  <c r="AW179" i="31" a="1"/>
  <c r="AW179" i="31" s="1"/>
  <c r="AY161" i="31" a="1"/>
  <c r="AY161" i="31" s="1"/>
  <c r="AY122" i="31" a="1"/>
  <c r="AY122" i="31" s="1"/>
  <c r="AY232" i="31" a="1"/>
  <c r="AY232" i="31" s="1"/>
  <c r="AX163" i="31" a="1"/>
  <c r="AX163" i="31" s="1"/>
  <c r="AY110" i="31" a="1"/>
  <c r="AY110" i="31" s="1"/>
  <c r="AX161" i="31" a="1"/>
  <c r="AX161" i="31" s="1"/>
  <c r="AX114" i="31" a="1"/>
  <c r="AX114" i="31" s="1"/>
  <c r="AX179" i="31" a="1"/>
  <c r="AX179" i="31" s="1"/>
  <c r="AY220" i="31" a="1"/>
  <c r="AY220" i="31" s="1"/>
  <c r="AY166" i="31" a="1"/>
  <c r="AY166" i="31" s="1"/>
  <c r="AZ173" i="31" a="1"/>
  <c r="AZ173" i="31" s="1"/>
  <c r="AZ177" i="31" a="1"/>
  <c r="AZ177" i="31" s="1"/>
  <c r="AZ230" i="31" a="1"/>
  <c r="AZ230" i="31" s="1"/>
  <c r="AZ164" i="31" a="1"/>
  <c r="AZ164" i="31" s="1"/>
  <c r="AZ117" i="31" a="1"/>
  <c r="AZ117" i="31" s="1"/>
  <c r="AZ166" i="31" a="1"/>
  <c r="AZ166" i="31" s="1"/>
  <c r="AZ232" i="31" a="1"/>
  <c r="AZ232" i="31" s="1"/>
  <c r="AY130" i="31" a="1"/>
  <c r="AY130" i="31" s="1"/>
  <c r="AZ121" i="31" a="1"/>
  <c r="AZ121" i="31" s="1"/>
  <c r="AZ130" i="31" a="1"/>
  <c r="AZ130" i="31" s="1"/>
  <c r="AZ234" i="31" a="1"/>
  <c r="AZ234" i="31" s="1"/>
  <c r="AZ231" i="31" a="1"/>
  <c r="AZ231" i="31" s="1"/>
  <c r="AZ178" i="31" a="1"/>
  <c r="AZ178" i="31" s="1"/>
  <c r="AY115" i="31" a="1"/>
  <c r="AY115" i="31" s="1"/>
  <c r="AZ176" i="31" a="1"/>
  <c r="AZ176" i="31" s="1"/>
  <c r="AZ214" i="31" a="1"/>
  <c r="AZ214" i="31" s="1"/>
  <c r="AY227" i="31" a="1"/>
  <c r="AY227" i="31" s="1"/>
  <c r="AZ125" i="31" a="1"/>
  <c r="AZ125" i="31" s="1"/>
  <c r="AY118" i="31" a="1"/>
  <c r="AY118" i="31" s="1"/>
  <c r="AZ218" i="31" a="1"/>
  <c r="AZ218" i="31" s="1"/>
  <c r="AZ179" i="31" a="1"/>
  <c r="AZ179" i="31" s="1"/>
  <c r="AZ172" i="31" a="1"/>
  <c r="AZ172" i="31" s="1"/>
  <c r="AZ133" i="31" a="1"/>
  <c r="AZ133" i="31" s="1"/>
  <c r="AY221" i="31" a="1"/>
  <c r="AY221" i="31" s="1"/>
  <c r="AY121" i="31" a="1"/>
  <c r="AY121" i="31" s="1"/>
  <c r="AZ217" i="31" a="1"/>
  <c r="AZ217" i="31" s="1"/>
  <c r="AZ120" i="31" a="1"/>
  <c r="AZ120" i="31" s="1"/>
  <c r="AZ122" i="31" a="1"/>
  <c r="AZ122" i="31" s="1"/>
  <c r="AZ119" i="31" a="1"/>
  <c r="AZ119" i="31" s="1"/>
  <c r="AZ162" i="31" a="1"/>
  <c r="AZ162" i="31" s="1"/>
  <c r="AZ170" i="31" a="1"/>
  <c r="AZ170" i="31" s="1"/>
  <c r="AZ114" i="31" a="1"/>
  <c r="AZ114" i="31" s="1"/>
  <c r="AZ180" i="31" a="1"/>
  <c r="AZ180" i="31" s="1"/>
  <c r="AZ226" i="31" a="1"/>
  <c r="AZ226" i="31" s="1"/>
  <c r="AZ165" i="31" a="1"/>
  <c r="AZ165" i="31" s="1"/>
  <c r="AZ169" i="31" a="1"/>
  <c r="AZ169" i="31" s="1"/>
  <c r="AZ124" i="31" a="1"/>
  <c r="AZ124" i="31" s="1"/>
  <c r="AZ225" i="31" a="1"/>
  <c r="AZ225" i="31" s="1"/>
  <c r="AY235" i="31" a="1"/>
  <c r="AY235" i="31" s="1"/>
  <c r="AZ174" i="31" a="1"/>
  <c r="AZ174" i="31" s="1"/>
  <c r="AZ233" i="31" a="1"/>
  <c r="AZ233" i="31" s="1"/>
  <c r="AZ126" i="31" a="1"/>
  <c r="AZ126" i="31" s="1"/>
  <c r="AX120" i="31" a="1"/>
  <c r="AX120" i="31" s="1"/>
  <c r="AZ129" i="31" a="1"/>
  <c r="AZ129" i="31" s="1"/>
  <c r="AZ113" i="31" a="1"/>
  <c r="AZ113" i="31" s="1"/>
  <c r="AZ222" i="31" a="1"/>
  <c r="AZ222" i="31" s="1"/>
  <c r="AZ212" i="31" a="1"/>
  <c r="AZ212" i="31" s="1"/>
  <c r="AZ115" i="31" a="1"/>
  <c r="AZ115" i="31" s="1"/>
  <c r="AZ128" i="31" a="1"/>
  <c r="AZ128" i="31" s="1"/>
  <c r="AZ182" i="31" a="1"/>
  <c r="AZ182" i="31" s="1"/>
  <c r="AX175" i="31" a="1"/>
  <c r="AX175" i="31" s="1"/>
  <c r="AZ118" i="31" a="1"/>
  <c r="AZ118" i="31" s="1"/>
  <c r="AY127" i="31" a="1"/>
  <c r="AY127" i="31" s="1"/>
  <c r="AZ127" i="31" a="1"/>
  <c r="AZ127" i="31" s="1"/>
  <c r="AZ163" i="31" a="1"/>
  <c r="AZ163" i="31" s="1"/>
  <c r="AZ111" i="31" a="1"/>
  <c r="AZ111" i="31" s="1"/>
  <c r="AZ110" i="31" a="1"/>
  <c r="AZ110" i="31" s="1"/>
  <c r="AZ171" i="31" a="1"/>
  <c r="AZ171" i="31" s="1"/>
  <c r="AY180" i="31" a="1"/>
  <c r="AY180" i="31" s="1"/>
  <c r="AY112" i="31" a="1"/>
  <c r="AY112" i="31" s="1"/>
  <c r="AZ116" i="31" a="1"/>
  <c r="AZ116" i="31" s="1"/>
  <c r="AZ224" i="31" a="1"/>
  <c r="AZ224" i="31" s="1"/>
  <c r="AZ183" i="31" a="1"/>
  <c r="AZ183" i="31" s="1"/>
  <c r="BC82" i="31" a="1"/>
  <c r="BC82" i="31" s="1"/>
  <c r="AZ112" i="31" a="1"/>
  <c r="AZ112" i="31" s="1"/>
  <c r="AZ213" i="31" a="1"/>
  <c r="AZ213" i="31" s="1"/>
  <c r="AZ132" i="31" a="1"/>
  <c r="AZ132" i="31" s="1"/>
  <c r="AZ220" i="31" a="1"/>
  <c r="AZ220" i="31" s="1"/>
  <c r="AZ123" i="31" a="1"/>
  <c r="AZ123" i="31" s="1"/>
  <c r="AZ168" i="31" a="1"/>
  <c r="AZ168" i="31" s="1"/>
  <c r="AZ167" i="31" a="1"/>
  <c r="AZ167" i="31" s="1"/>
  <c r="AZ161" i="31" a="1"/>
  <c r="AZ161" i="31" s="1"/>
  <c r="AZ215" i="31" a="1"/>
  <c r="AZ215" i="31" s="1"/>
  <c r="AZ228" i="31" a="1"/>
  <c r="AZ228" i="31" s="1"/>
  <c r="AX170" i="31" a="1"/>
  <c r="AX170" i="31" s="1"/>
  <c r="BB221" i="31" a="1"/>
  <c r="BB221" i="31" s="1"/>
  <c r="BA213" i="31" a="1"/>
  <c r="BA213" i="31" s="1"/>
  <c r="BA217" i="31" a="1"/>
  <c r="BA217" i="31" s="1"/>
  <c r="BA116" i="31" a="1"/>
  <c r="BA116" i="31" s="1"/>
  <c r="BA133" i="31" a="1"/>
  <c r="BA133" i="31" s="1"/>
  <c r="BA228" i="31" a="1"/>
  <c r="BA228" i="31" s="1"/>
  <c r="BA124" i="31" a="1"/>
  <c r="BA124" i="31" s="1"/>
  <c r="BA125" i="31" a="1"/>
  <c r="BA125" i="31" s="1"/>
  <c r="AZ229" i="31" a="1"/>
  <c r="AZ229" i="31" s="1"/>
  <c r="AY120" i="31" a="1"/>
  <c r="AY120" i="31" s="1"/>
  <c r="AZ181" i="31" a="1"/>
  <c r="AZ181" i="31" s="1"/>
  <c r="AZ131" i="31" a="1"/>
  <c r="AZ131" i="31" s="1"/>
  <c r="BA170" i="31" a="1"/>
  <c r="BA170" i="31" s="1"/>
  <c r="BA215" i="31" a="1"/>
  <c r="BA215" i="31" s="1"/>
  <c r="BA223" i="31" a="1"/>
  <c r="BA223" i="31" s="1"/>
  <c r="AZ223" i="31" a="1"/>
  <c r="AZ223" i="31" s="1"/>
  <c r="BA222" i="31" a="1"/>
  <c r="BA222" i="31" s="1"/>
  <c r="BA231" i="31" a="1"/>
  <c r="BA231" i="31" s="1"/>
  <c r="BA119" i="31" a="1"/>
  <c r="BA119" i="31" s="1"/>
  <c r="AZ216" i="31" a="1"/>
  <c r="AZ216" i="31" s="1"/>
  <c r="BA226" i="31" a="1"/>
  <c r="BA226" i="31" s="1"/>
  <c r="BA167" i="31" a="1"/>
  <c r="BA167" i="31" s="1"/>
  <c r="BA233" i="31" a="1"/>
  <c r="BA233" i="31" s="1"/>
  <c r="BA183" i="31" a="1"/>
  <c r="BA183" i="31" s="1"/>
  <c r="BA218" i="31" a="1"/>
  <c r="BA218" i="31" s="1"/>
  <c r="BA214" i="31" a="1"/>
  <c r="BA214" i="31" s="1"/>
  <c r="BA169" i="31" a="1"/>
  <c r="BA169" i="31" s="1"/>
  <c r="AZ221" i="31" a="1"/>
  <c r="AZ221" i="31" s="1"/>
  <c r="AZ235" i="31" a="1"/>
  <c r="AZ235" i="31" s="1"/>
  <c r="AZ227" i="31" a="1"/>
  <c r="AZ227" i="31" s="1"/>
  <c r="BA132" i="31" a="1"/>
  <c r="BA132" i="31" s="1"/>
  <c r="BA184" i="31" a="1"/>
  <c r="BA184" i="31" s="1"/>
  <c r="BA163" i="31" a="1"/>
  <c r="BA163" i="31" s="1"/>
  <c r="AY123" i="31" a="1"/>
  <c r="AY123" i="31" s="1"/>
  <c r="BA121" i="31" a="1"/>
  <c r="BA121" i="31" s="1"/>
  <c r="BA130" i="31" a="1"/>
  <c r="BA130" i="31" s="1"/>
  <c r="BA164" i="31" a="1"/>
  <c r="BA164" i="31" s="1"/>
  <c r="BA220" i="31" a="1"/>
  <c r="BA220" i="31" s="1"/>
  <c r="BA174" i="31" a="1"/>
  <c r="BA174" i="31" s="1"/>
  <c r="BA175" i="31" a="1"/>
  <c r="BA175" i="31" s="1"/>
  <c r="BA126" i="31" a="1"/>
  <c r="BA126" i="31" s="1"/>
  <c r="BA128" i="31" a="1"/>
  <c r="BA128" i="31" s="1"/>
  <c r="BA172" i="31" a="1"/>
  <c r="BA172" i="31" s="1"/>
  <c r="BA182" i="31" a="1"/>
  <c r="BA182" i="31" s="1"/>
  <c r="BA224" i="31" a="1"/>
  <c r="BA224" i="31" s="1"/>
  <c r="BD82" i="31" a="1"/>
  <c r="BD82" i="31" s="1"/>
  <c r="BA176" i="31" a="1"/>
  <c r="BA176" i="31" s="1"/>
  <c r="BA229" i="31" a="1"/>
  <c r="BA229" i="31" s="1"/>
  <c r="BA225" i="31" a="1"/>
  <c r="BA225" i="31" s="1"/>
  <c r="BA113" i="31" a="1"/>
  <c r="BA113" i="31" s="1"/>
  <c r="BA111" i="31" a="1"/>
  <c r="BA111" i="31" s="1"/>
  <c r="BA234" i="31" a="1"/>
  <c r="BA234" i="31" s="1"/>
  <c r="BA168" i="31" a="1"/>
  <c r="BA168" i="31" s="1"/>
  <c r="BA232" i="31" a="1"/>
  <c r="BA232" i="31" s="1"/>
  <c r="BA115" i="31" a="1"/>
  <c r="BA115" i="31" s="1"/>
  <c r="BA178" i="31" a="1"/>
  <c r="BA178" i="31" s="1"/>
  <c r="BA177" i="31" a="1"/>
  <c r="BA177" i="31" s="1"/>
  <c r="BA181" i="31" a="1"/>
  <c r="BA181" i="31" s="1"/>
  <c r="BA123" i="31" a="1"/>
  <c r="BA123" i="31" s="1"/>
  <c r="BA166" i="31" a="1"/>
  <c r="BA166" i="31" s="1"/>
  <c r="BA114" i="31" a="1"/>
  <c r="BA114" i="31" s="1"/>
  <c r="BA221" i="31" a="1"/>
  <c r="BA221" i="31" s="1"/>
  <c r="BA165" i="31" a="1"/>
  <c r="BA165" i="31" s="1"/>
  <c r="BA230" i="31" a="1"/>
  <c r="BA230" i="31" s="1"/>
  <c r="BA171" i="31" a="1"/>
  <c r="BA171" i="31" s="1"/>
  <c r="AZ175" i="31" a="1"/>
  <c r="AZ175" i="31" s="1"/>
  <c r="AZ184" i="31" a="1"/>
  <c r="AZ184" i="31" s="1"/>
  <c r="BB234" i="31" a="1"/>
  <c r="BB234" i="31" s="1"/>
  <c r="BB180" i="31" a="1"/>
  <c r="BB180" i="31" s="1"/>
  <c r="BB114" i="31" a="1"/>
  <c r="BB114" i="31" s="1"/>
  <c r="BB117" i="31" a="1"/>
  <c r="BB117" i="31" s="1"/>
  <c r="BB218" i="31" a="1"/>
  <c r="BB218" i="31" s="1"/>
  <c r="BB217" i="31" a="1"/>
  <c r="BB217" i="31" s="1"/>
  <c r="BB225" i="31" a="1"/>
  <c r="BB225" i="31" s="1"/>
  <c r="BB126" i="31" a="1"/>
  <c r="BB126" i="31" s="1"/>
  <c r="BB128" i="31" a="1"/>
  <c r="BB128" i="31" s="1"/>
  <c r="BB214" i="31" a="1"/>
  <c r="BB214" i="31" s="1"/>
  <c r="BB227" i="31" a="1"/>
  <c r="BB227" i="31" s="1"/>
  <c r="BB125" i="31" a="1"/>
  <c r="BB125" i="31" s="1"/>
  <c r="BA180" i="31" a="1"/>
  <c r="BA180" i="31" s="1"/>
  <c r="BB170" i="31" a="1"/>
  <c r="BB170" i="31" s="1"/>
  <c r="BB122" i="31" a="1"/>
  <c r="BB122" i="31" s="1"/>
  <c r="BB231" i="31" a="1"/>
  <c r="BB231" i="31" s="1"/>
  <c r="BB229" i="31" a="1"/>
  <c r="BB229" i="31" s="1"/>
  <c r="BA219" i="31" a="1"/>
  <c r="BA219" i="31" s="1"/>
  <c r="BB164" i="31" a="1"/>
  <c r="BB164" i="31" s="1"/>
  <c r="BB171" i="31" a="1"/>
  <c r="BB171" i="31" s="1"/>
  <c r="BB181" i="31" a="1"/>
  <c r="BB181" i="31" s="1"/>
  <c r="BA120" i="31" a="1"/>
  <c r="BA120" i="31" s="1"/>
  <c r="BB124" i="31" a="1"/>
  <c r="BB124" i="31" s="1"/>
  <c r="BE82" i="31" a="1"/>
  <c r="BE82" i="31" s="1"/>
  <c r="BB228" i="31" a="1"/>
  <c r="BB228" i="31" s="1"/>
  <c r="BB175" i="31" a="1"/>
  <c r="BB175" i="31" s="1"/>
  <c r="BB219" i="31" a="1"/>
  <c r="BB219" i="31" s="1"/>
  <c r="BA235" i="31" a="1"/>
  <c r="BA235" i="31" s="1"/>
  <c r="BA117" i="31" a="1"/>
  <c r="BA117" i="31" s="1"/>
  <c r="BB168" i="31" a="1"/>
  <c r="BB168" i="31" s="1"/>
  <c r="BA112" i="31" a="1"/>
  <c r="BA112" i="31" s="1"/>
  <c r="BB233" i="31" a="1"/>
  <c r="BB233" i="31" s="1"/>
  <c r="BB113" i="31" a="1"/>
  <c r="BB113" i="31" s="1"/>
  <c r="BB132" i="31" a="1"/>
  <c r="BB132" i="31" s="1"/>
  <c r="BA173" i="31" a="1"/>
  <c r="BA173" i="31" s="1"/>
  <c r="BA127" i="31" a="1"/>
  <c r="BA127" i="31" s="1"/>
  <c r="BB120" i="31" a="1"/>
  <c r="BB120" i="31" s="1"/>
  <c r="BA122" i="31" a="1"/>
  <c r="BA122" i="31" s="1"/>
  <c r="BA131" i="31" a="1"/>
  <c r="BA131" i="31" s="1"/>
  <c r="BB127" i="31" a="1"/>
  <c r="BB127" i="31" s="1"/>
  <c r="BB129" i="31" a="1"/>
  <c r="BB129" i="31" s="1"/>
  <c r="BB172" i="31" a="1"/>
  <c r="BB172" i="31" s="1"/>
  <c r="BA179" i="31" a="1"/>
  <c r="BA179" i="31" s="1"/>
  <c r="BA118" i="31" a="1"/>
  <c r="BA118" i="31" s="1"/>
  <c r="BB182" i="31" a="1"/>
  <c r="BB182" i="31" s="1"/>
  <c r="BB222" i="31" a="1"/>
  <c r="BB222" i="31" s="1"/>
  <c r="BB133" i="31" a="1"/>
  <c r="BB133" i="31" s="1"/>
  <c r="BB163" i="31" a="1"/>
  <c r="BB163" i="31" s="1"/>
  <c r="BB223" i="31" a="1"/>
  <c r="BB223" i="31" s="1"/>
  <c r="BB184" i="31" a="1"/>
  <c r="BB184" i="31" s="1"/>
  <c r="BB216" i="31" a="1"/>
  <c r="BB216" i="31" s="1"/>
  <c r="BB115" i="31" a="1"/>
  <c r="BB115" i="31" s="1"/>
  <c r="BB169" i="31" a="1"/>
  <c r="BB169" i="31" s="1"/>
  <c r="BB167" i="31" a="1"/>
  <c r="BB167" i="31" s="1"/>
  <c r="BB174" i="31" a="1"/>
  <c r="BB174" i="31" s="1"/>
  <c r="BC113" i="31" a="1"/>
  <c r="BC113" i="31" s="1"/>
  <c r="BC234" i="31" a="1"/>
  <c r="BC234" i="31" s="1"/>
  <c r="BB176" i="31" a="1"/>
  <c r="BB176" i="31" s="1"/>
  <c r="BB178" i="31" a="1"/>
  <c r="BB178" i="31" s="1"/>
  <c r="BC120" i="31" a="1"/>
  <c r="BC120" i="31" s="1"/>
  <c r="BB130" i="31" a="1"/>
  <c r="BB130" i="31" s="1"/>
  <c r="BB166" i="31" a="1"/>
  <c r="BB166" i="31" s="1"/>
  <c r="BC219" i="31" a="1"/>
  <c r="BC219" i="31" s="1"/>
  <c r="BC218" i="31" a="1"/>
  <c r="BC218" i="31" s="1"/>
  <c r="BB118" i="31" a="1"/>
  <c r="BB118" i="31" s="1"/>
  <c r="BB183" i="31" a="1"/>
  <c r="BB183" i="31" s="1"/>
  <c r="BA129" i="31" a="1"/>
  <c r="BA129" i="31" s="1"/>
  <c r="BB165" i="31" a="1"/>
  <c r="BB165" i="31" s="1"/>
  <c r="BC174" i="31" a="1"/>
  <c r="BC174" i="31" s="1"/>
  <c r="BB116" i="31" a="1"/>
  <c r="BB116" i="31" s="1"/>
  <c r="BA216" i="31" a="1"/>
  <c r="BA216" i="31" s="1"/>
  <c r="BC125" i="31" a="1"/>
  <c r="BC125" i="31" s="1"/>
  <c r="BC233" i="31" a="1"/>
  <c r="BC233" i="31" s="1"/>
  <c r="BC175" i="31" a="1"/>
  <c r="BC175" i="31" s="1"/>
  <c r="BC168" i="31" a="1"/>
  <c r="BC168" i="31" s="1"/>
  <c r="BC217" i="31" a="1"/>
  <c r="BC217" i="31" s="1"/>
  <c r="BC133" i="31" a="1"/>
  <c r="BC133" i="31" s="1"/>
  <c r="BC117" i="31" a="1"/>
  <c r="BC117" i="31" s="1"/>
  <c r="BC165" i="31" a="1"/>
  <c r="BC165" i="31" s="1"/>
  <c r="BB215" i="31" a="1"/>
  <c r="BB215" i="31" s="1"/>
  <c r="BB119" i="31" a="1"/>
  <c r="BB119" i="31" s="1"/>
  <c r="BB230" i="31" a="1"/>
  <c r="BB230" i="31" s="1"/>
  <c r="BC228" i="31" a="1"/>
  <c r="BC228" i="31" s="1"/>
  <c r="BB123" i="31" a="1"/>
  <c r="BB123" i="31" s="1"/>
  <c r="BC220" i="31" a="1"/>
  <c r="BC220" i="31" s="1"/>
  <c r="BB224" i="31" a="1"/>
  <c r="BB224" i="31" s="1"/>
  <c r="BC123" i="31" a="1"/>
  <c r="BC123" i="31" s="1"/>
  <c r="BC126" i="31" a="1"/>
  <c r="BC126" i="31" s="1"/>
  <c r="BC224" i="31" a="1"/>
  <c r="BC224" i="31" s="1"/>
  <c r="BC230" i="31" a="1"/>
  <c r="BC230" i="31" s="1"/>
  <c r="BC118" i="31" a="1"/>
  <c r="BC118" i="31" s="1"/>
  <c r="BC229" i="31" a="1"/>
  <c r="BC229" i="31" s="1"/>
  <c r="BC131" i="31" a="1"/>
  <c r="BC131" i="31" s="1"/>
  <c r="BC216" i="31" a="1"/>
  <c r="BC216" i="31" s="1"/>
  <c r="BC116" i="31" a="1"/>
  <c r="BC116" i="31" s="1"/>
  <c r="BB226" i="31" a="1"/>
  <c r="BB226" i="31" s="1"/>
  <c r="BB173" i="31" a="1"/>
  <c r="BB173" i="31" s="1"/>
  <c r="BC179" i="31" a="1"/>
  <c r="BC179" i="31" s="1"/>
  <c r="BC225" i="31" a="1"/>
  <c r="BC225" i="31" s="1"/>
  <c r="BB220" i="31" a="1"/>
  <c r="BB220" i="31" s="1"/>
  <c r="BB235" i="31" a="1"/>
  <c r="BB235" i="31" s="1"/>
  <c r="BC183" i="31" a="1"/>
  <c r="BC183" i="31" s="1"/>
  <c r="BC122" i="31" a="1"/>
  <c r="BC122" i="31" s="1"/>
  <c r="BC227" i="31" a="1"/>
  <c r="BC227" i="31" s="1"/>
  <c r="BC231" i="31" a="1"/>
  <c r="BC231" i="31" s="1"/>
  <c r="BB232" i="31" a="1"/>
  <c r="BB232" i="31" s="1"/>
  <c r="BB177" i="31" a="1"/>
  <c r="BB177" i="31" s="1"/>
  <c r="BB131" i="31" a="1"/>
  <c r="BB131" i="31" s="1"/>
  <c r="BC170" i="31" a="1"/>
  <c r="BC170" i="31" s="1"/>
  <c r="BB179" i="31" a="1"/>
  <c r="BB179" i="31" s="1"/>
  <c r="BB121" i="31" a="1"/>
  <c r="BB121" i="31" s="1"/>
  <c r="BC182" i="31" a="1"/>
  <c r="BC182" i="31" s="1"/>
  <c r="BC130" i="31" a="1"/>
  <c r="BC130" i="31" s="1"/>
  <c r="BC176" i="31" a="1"/>
  <c r="BC176" i="31" s="1"/>
  <c r="BC221" i="31" a="1"/>
  <c r="BC221" i="31" s="1"/>
  <c r="BC121" i="31" a="1"/>
  <c r="BC121" i="31" s="1"/>
  <c r="BC215" i="31" a="1"/>
  <c r="BC215" i="31" s="1"/>
  <c r="BA227" i="31" a="1"/>
  <c r="BA227" i="31" s="1"/>
  <c r="BC178" i="31" a="1"/>
  <c r="BC178" i="31" s="1"/>
  <c r="BC166" i="31" a="1"/>
  <c r="BC166" i="31" s="1"/>
  <c r="BD115" i="31" a="1"/>
  <c r="BD115" i="31" s="1"/>
  <c r="BF82" i="31" a="1"/>
  <c r="BF82" i="31" s="1"/>
  <c r="BC115" i="31" a="1"/>
  <c r="BC115" i="31" s="1"/>
  <c r="BD129" i="31" a="1"/>
  <c r="BD129" i="31" s="1"/>
  <c r="BC177" i="31" a="1"/>
  <c r="BC177" i="31" s="1"/>
  <c r="BG82" i="31" a="1"/>
  <c r="BG82" i="31" s="1"/>
  <c r="BC167" i="31" a="1"/>
  <c r="BC167" i="31" s="1"/>
  <c r="BC181" i="31" a="1"/>
  <c r="BC181" i="31" s="1"/>
  <c r="BD131" i="31" a="1"/>
  <c r="BD131" i="31" s="1"/>
  <c r="BC173" i="31" a="1"/>
  <c r="BC173" i="31" s="1"/>
  <c r="BD127" i="31" a="1"/>
  <c r="BD127" i="31" s="1"/>
  <c r="BD176" i="31" a="1"/>
  <c r="BD176" i="31" s="1"/>
  <c r="BD167" i="31" a="1"/>
  <c r="BD167" i="31" s="1"/>
  <c r="BC129" i="31" a="1"/>
  <c r="BC129" i="31" s="1"/>
  <c r="BD184" i="31" a="1"/>
  <c r="BD184" i="31" s="1"/>
  <c r="BC132" i="31" a="1"/>
  <c r="BC132" i="31" s="1"/>
  <c r="BD183" i="31" a="1"/>
  <c r="BD183" i="31" s="1"/>
  <c r="BD128" i="31" a="1"/>
  <c r="BD128" i="31" s="1"/>
  <c r="BD224" i="31" a="1"/>
  <c r="BD224" i="31" s="1"/>
  <c r="BD227" i="31" a="1"/>
  <c r="BD227" i="31" s="1"/>
  <c r="BD218" i="31" a="1"/>
  <c r="BD218" i="31" s="1"/>
  <c r="BC119" i="31" a="1"/>
  <c r="BC119" i="31" s="1"/>
  <c r="BD234" i="31" a="1"/>
  <c r="BD234" i="31" s="1"/>
  <c r="BD124" i="31" a="1"/>
  <c r="BD124" i="31" s="1"/>
  <c r="BD168" i="31" a="1"/>
  <c r="BD168" i="31" s="1"/>
  <c r="BD225" i="31" a="1"/>
  <c r="BD225" i="31" s="1"/>
  <c r="BD166" i="31" a="1"/>
  <c r="BD166" i="31" s="1"/>
  <c r="BD119" i="31" a="1"/>
  <c r="BD119" i="31" s="1"/>
  <c r="BD223" i="31" a="1"/>
  <c r="BD223" i="31" s="1"/>
  <c r="BD178" i="31" a="1"/>
  <c r="BD178" i="31" s="1"/>
  <c r="BD180" i="31" a="1"/>
  <c r="BD180" i="31" s="1"/>
  <c r="BD172" i="31" a="1"/>
  <c r="BD172" i="31" s="1"/>
  <c r="BC223" i="31" a="1"/>
  <c r="BC223" i="31" s="1"/>
  <c r="BC232" i="31" a="1"/>
  <c r="BC232" i="31" s="1"/>
  <c r="BC171" i="31" a="1"/>
  <c r="BC171" i="31" s="1"/>
  <c r="BD219" i="31" a="1"/>
  <c r="BD219" i="31" s="1"/>
  <c r="BD125" i="31" a="1"/>
  <c r="BD125" i="31" s="1"/>
  <c r="BC180" i="31" a="1"/>
  <c r="BC180" i="31" s="1"/>
  <c r="BD182" i="31" a="1"/>
  <c r="BD182" i="31" s="1"/>
  <c r="BD232" i="31" a="1"/>
  <c r="BD232" i="31" s="1"/>
  <c r="BD181" i="31" a="1"/>
  <c r="BD181" i="31" s="1"/>
  <c r="BD116" i="31" a="1"/>
  <c r="BD116" i="31" s="1"/>
  <c r="BD114" i="31" a="1"/>
  <c r="BD114" i="31" s="1"/>
  <c r="BC172" i="31" a="1"/>
  <c r="BC172" i="31" s="1"/>
  <c r="BC169" i="31" a="1"/>
  <c r="BC169" i="31" s="1"/>
  <c r="BD235" i="31" a="1"/>
  <c r="BD235" i="31" s="1"/>
  <c r="BC128" i="31" a="1"/>
  <c r="BC128" i="31" s="1"/>
  <c r="BC235" i="31" a="1"/>
  <c r="BC235" i="31" s="1"/>
  <c r="BD174" i="31" a="1"/>
  <c r="BD174" i="31" s="1"/>
  <c r="BD226" i="31" a="1"/>
  <c r="BD226" i="31" s="1"/>
  <c r="BD233" i="31" a="1"/>
  <c r="BD233" i="31" s="1"/>
  <c r="BD133" i="31" a="1"/>
  <c r="BD133" i="31" s="1"/>
  <c r="BD231" i="31" a="1"/>
  <c r="BD231" i="31" s="1"/>
  <c r="BC222" i="31" a="1"/>
  <c r="BC222" i="31" s="1"/>
  <c r="BD126" i="31" a="1"/>
  <c r="BD126" i="31" s="1"/>
  <c r="BD130" i="31" a="1"/>
  <c r="BD130" i="31" s="1"/>
  <c r="BD220" i="31" a="1"/>
  <c r="BD220" i="31" s="1"/>
  <c r="BC127" i="31" a="1"/>
  <c r="BC127" i="31" s="1"/>
  <c r="BD170" i="31" a="1"/>
  <c r="BD170" i="31" s="1"/>
  <c r="BC124" i="31" a="1"/>
  <c r="BC124" i="31" s="1"/>
  <c r="BC114" i="31" a="1"/>
  <c r="BC114" i="31" s="1"/>
  <c r="BC184" i="31" a="1"/>
  <c r="BC184" i="31" s="1"/>
  <c r="BD222" i="31" a="1"/>
  <c r="BD222" i="31" s="1"/>
  <c r="BD229" i="31" a="1"/>
  <c r="BD229" i="31" s="1"/>
  <c r="BD132" i="31" a="1"/>
  <c r="BD132" i="31" s="1"/>
  <c r="BD175" i="31" a="1"/>
  <c r="BD175" i="31" s="1"/>
  <c r="BD179" i="31" a="1"/>
  <c r="BD179" i="31" s="1"/>
  <c r="BE116" i="31" a="1"/>
  <c r="BE116" i="31" s="1"/>
  <c r="BE219" i="31" a="1"/>
  <c r="BE219" i="31" s="1"/>
  <c r="BE172" i="31" a="1"/>
  <c r="BE172" i="31" s="1"/>
  <c r="BE176" i="31" a="1"/>
  <c r="BE176" i="31" s="1"/>
  <c r="BD169" i="31" a="1"/>
  <c r="BD169" i="31" s="1"/>
  <c r="BE127" i="31" a="1"/>
  <c r="BE127" i="31" s="1"/>
  <c r="BE124" i="31" a="1"/>
  <c r="BE124" i="31" s="1"/>
  <c r="BE227" i="31" a="1"/>
  <c r="BE227" i="31" s="1"/>
  <c r="BE173" i="31" a="1"/>
  <c r="BE173" i="31" s="1"/>
  <c r="BE229" i="31" a="1"/>
  <c r="BE229" i="31" s="1"/>
  <c r="BE235" i="31" a="1"/>
  <c r="BE235" i="31" s="1"/>
  <c r="BE121" i="31" a="1"/>
  <c r="BE121" i="31" s="1"/>
  <c r="BE125" i="31" a="1"/>
  <c r="BE125" i="31" s="1"/>
  <c r="BD230" i="31" a="1"/>
  <c r="BD230" i="31" s="1"/>
  <c r="BE115" i="31" a="1"/>
  <c r="BE115" i="31" s="1"/>
  <c r="BE175" i="31" a="1"/>
  <c r="BE175" i="31" s="1"/>
  <c r="BH82" i="31" a="1"/>
  <c r="BH82" i="31" s="1"/>
  <c r="BE122" i="31" a="1"/>
  <c r="BE122" i="31" s="1"/>
  <c r="BE167" i="31" a="1"/>
  <c r="BE167" i="31" s="1"/>
  <c r="BE118" i="31" a="1"/>
  <c r="BE118" i="31" s="1"/>
  <c r="BE231" i="31" a="1"/>
  <c r="BE231" i="31" s="1"/>
  <c r="BD120" i="31" a="1"/>
  <c r="BD120" i="31" s="1"/>
  <c r="BD217" i="31" a="1"/>
  <c r="BD217" i="31" s="1"/>
  <c r="BE168" i="31" a="1"/>
  <c r="BE168" i="31" s="1"/>
  <c r="BD121" i="31" a="1"/>
  <c r="BD121" i="31" s="1"/>
  <c r="BE228" i="31" a="1"/>
  <c r="BE228" i="31" s="1"/>
  <c r="BE120" i="31" a="1"/>
  <c r="BE120" i="31" s="1"/>
  <c r="BE224" i="31" a="1"/>
  <c r="BE224" i="31" s="1"/>
  <c r="BE183" i="31" a="1"/>
  <c r="BE183" i="31" s="1"/>
  <c r="BE177" i="31" a="1"/>
  <c r="BE177" i="31" s="1"/>
  <c r="BC226" i="31" a="1"/>
  <c r="BC226" i="31" s="1"/>
  <c r="BE178" i="31" a="1"/>
  <c r="BE178" i="31" s="1"/>
  <c r="BD117" i="31" a="1"/>
  <c r="BD117" i="31" s="1"/>
  <c r="BD173" i="31" a="1"/>
  <c r="BD173" i="31" s="1"/>
  <c r="BD228" i="31" a="1"/>
  <c r="BD228" i="31" s="1"/>
  <c r="BE181" i="31" a="1"/>
  <c r="BE181" i="31" s="1"/>
  <c r="BE179" i="31" a="1"/>
  <c r="BE179" i="31" s="1"/>
  <c r="BE218" i="31" a="1"/>
  <c r="BE218" i="31" s="1"/>
  <c r="BE217" i="31" a="1"/>
  <c r="BE217" i="31" s="1"/>
  <c r="BE129" i="31" a="1"/>
  <c r="BE129" i="31" s="1"/>
  <c r="BE132" i="31" a="1"/>
  <c r="BE132" i="31" s="1"/>
  <c r="BE232" i="31" a="1"/>
  <c r="BE232" i="31" s="1"/>
  <c r="BD221" i="31" a="1"/>
  <c r="BD221" i="31" s="1"/>
  <c r="BE166" i="31" a="1"/>
  <c r="BE166" i="31" s="1"/>
  <c r="BE171" i="31" a="1"/>
  <c r="BE171" i="31" s="1"/>
  <c r="BE182" i="31" a="1"/>
  <c r="BE182" i="31" s="1"/>
  <c r="BE180" i="31" a="1"/>
  <c r="BE180" i="31" s="1"/>
  <c r="BE223" i="31" a="1"/>
  <c r="BE223" i="31" s="1"/>
  <c r="BE128" i="31" a="1"/>
  <c r="BE128" i="31" s="1"/>
  <c r="BE123" i="31" a="1"/>
  <c r="BE123" i="31" s="1"/>
  <c r="BE130" i="31" a="1"/>
  <c r="BE130" i="31" s="1"/>
  <c r="BE119" i="31" a="1"/>
  <c r="BE119" i="31" s="1"/>
  <c r="BD118" i="31" a="1"/>
  <c r="BD118" i="31" s="1"/>
  <c r="BE169" i="31" a="1"/>
  <c r="BE169" i="31" s="1"/>
  <c r="BD122" i="31" a="1"/>
  <c r="BD122" i="31" s="1"/>
  <c r="BE226" i="31" a="1"/>
  <c r="BE226" i="31" s="1"/>
  <c r="BE133" i="31" a="1"/>
  <c r="BE133" i="31" s="1"/>
  <c r="BE126" i="31" a="1"/>
  <c r="BE126" i="31" s="1"/>
  <c r="BE225" i="31" a="1"/>
  <c r="BE225" i="31" s="1"/>
  <c r="BF129" i="31" a="1"/>
  <c r="BF129" i="31" s="1"/>
  <c r="BE184" i="31" a="1"/>
  <c r="BE184" i="31" s="1"/>
  <c r="BF235" i="31" a="1"/>
  <c r="BF235" i="31" s="1"/>
  <c r="BF221" i="31" a="1"/>
  <c r="BF221" i="31" s="1"/>
  <c r="BF132" i="31" a="1"/>
  <c r="BF132" i="31" s="1"/>
  <c r="BD123" i="31" a="1"/>
  <c r="BD123" i="31" s="1"/>
  <c r="BF130" i="31" a="1"/>
  <c r="BF130" i="31" s="1"/>
  <c r="BF133" i="31" a="1"/>
  <c r="BF133" i="31" s="1"/>
  <c r="BF178" i="31" a="1"/>
  <c r="BF178" i="31" s="1"/>
  <c r="BF233" i="31" a="1"/>
  <c r="BF233" i="31" s="1"/>
  <c r="BF123" i="31" a="1"/>
  <c r="BF123" i="31" s="1"/>
  <c r="BF171" i="31" a="1"/>
  <c r="BF171" i="31" s="1"/>
  <c r="BF168" i="31" a="1"/>
  <c r="BF168" i="31" s="1"/>
  <c r="BF234" i="31" a="1"/>
  <c r="BF234" i="31" s="1"/>
  <c r="BD171" i="31" a="1"/>
  <c r="BD171" i="31" s="1"/>
  <c r="BF181" i="31" a="1"/>
  <c r="BF181" i="31" s="1"/>
  <c r="BF117" i="31" a="1"/>
  <c r="BF117" i="31" s="1"/>
  <c r="BF124" i="31" a="1"/>
  <c r="BF124" i="31" s="1"/>
  <c r="BF225" i="31" a="1"/>
  <c r="BF225" i="31" s="1"/>
  <c r="BE230" i="31" a="1"/>
  <c r="BE230" i="31" s="1"/>
  <c r="BF121" i="31" a="1"/>
  <c r="BF121" i="31" s="1"/>
  <c r="BF122" i="31" a="1"/>
  <c r="BF122" i="31" s="1"/>
  <c r="BF173" i="31" a="1"/>
  <c r="BF173" i="31" s="1"/>
  <c r="BE170" i="31" a="1"/>
  <c r="BE170" i="31" s="1"/>
  <c r="BF183" i="31" a="1"/>
  <c r="BF183" i="31" s="1"/>
  <c r="BF223" i="31" a="1"/>
  <c r="BF223" i="31" s="1"/>
  <c r="BE220" i="31" a="1"/>
  <c r="BE220" i="31" s="1"/>
  <c r="BF231" i="31" a="1"/>
  <c r="BF231" i="31" s="1"/>
  <c r="BF116" i="31" a="1"/>
  <c r="BF116" i="31" s="1"/>
  <c r="BF167" i="31" a="1"/>
  <c r="BF167" i="31" s="1"/>
  <c r="BF180" i="31" a="1"/>
  <c r="BF180" i="31" s="1"/>
  <c r="BF131" i="31" a="1"/>
  <c r="BF131" i="31" s="1"/>
  <c r="BD177" i="31" a="1"/>
  <c r="BD177" i="31" s="1"/>
  <c r="BE174" i="31" a="1"/>
  <c r="BE174" i="31" s="1"/>
  <c r="BF232" i="31" a="1"/>
  <c r="BF232" i="31" s="1"/>
  <c r="BF226" i="31" a="1"/>
  <c r="BF226" i="31" s="1"/>
  <c r="BF127" i="31" a="1"/>
  <c r="BF127" i="31" s="1"/>
  <c r="BF229" i="31" a="1"/>
  <c r="BF229" i="31" s="1"/>
  <c r="BE117" i="31" a="1"/>
  <c r="BE117" i="31" s="1"/>
  <c r="BE131" i="31" a="1"/>
  <c r="BE131" i="31" s="1"/>
  <c r="BF224" i="31" a="1"/>
  <c r="BF224" i="31" s="1"/>
  <c r="BE222" i="31" a="1"/>
  <c r="BE222" i="31" s="1"/>
  <c r="BI82" i="31" a="1"/>
  <c r="BI82" i="31" s="1"/>
  <c r="BF228" i="31" a="1"/>
  <c r="BF228" i="31" s="1"/>
  <c r="BF169" i="31" a="1"/>
  <c r="BF169" i="31" s="1"/>
  <c r="BF176" i="31" a="1"/>
  <c r="BF176" i="31" s="1"/>
  <c r="BF179" i="31" a="1"/>
  <c r="BF179" i="31" s="1"/>
  <c r="BE233" i="31" a="1"/>
  <c r="BE233" i="31" s="1"/>
  <c r="BE221" i="31" a="1"/>
  <c r="BE221" i="31" s="1"/>
  <c r="BF128" i="31" a="1"/>
  <c r="BF128" i="31" s="1"/>
  <c r="BF177" i="31" a="1"/>
  <c r="BF177" i="31" s="1"/>
  <c r="BE234" i="31" a="1"/>
  <c r="BE234" i="31" s="1"/>
  <c r="BF172" i="31" a="1"/>
  <c r="BF172" i="31" s="1"/>
  <c r="BF119" i="31" a="1"/>
  <c r="BF119" i="31" s="1"/>
  <c r="BF170" i="31" a="1"/>
  <c r="BF170" i="31" s="1"/>
  <c r="BF227" i="31" a="1"/>
  <c r="BF227" i="31" s="1"/>
  <c r="BG121" i="31" a="1"/>
  <c r="BG121" i="31" s="1"/>
  <c r="BG230" i="31" a="1"/>
  <c r="BG230" i="31" s="1"/>
  <c r="BG128" i="31" a="1"/>
  <c r="BG128" i="31" s="1"/>
  <c r="BF222" i="31" a="1"/>
  <c r="BF222" i="31" s="1"/>
  <c r="BF118" i="31" a="1"/>
  <c r="BF118" i="31" s="1"/>
  <c r="BG176" i="31" a="1"/>
  <c r="BG176" i="31" s="1"/>
  <c r="BF120" i="31" a="1"/>
  <c r="BF120" i="31" s="1"/>
  <c r="BG228" i="31" a="1"/>
  <c r="BG228" i="31" s="1"/>
  <c r="BG119" i="31" a="1"/>
  <c r="BG119" i="31" s="1"/>
  <c r="BG123" i="31" a="1"/>
  <c r="BG123" i="31" s="1"/>
  <c r="BG168" i="31" a="1"/>
  <c r="BG168" i="31" s="1"/>
  <c r="BF125" i="31" a="1"/>
  <c r="BF125" i="31" s="1"/>
  <c r="BF174" i="31" a="1"/>
  <c r="BF174" i="31" s="1"/>
  <c r="BG180" i="31" a="1"/>
  <c r="BG180" i="31" s="1"/>
  <c r="BG169" i="31" a="1"/>
  <c r="BG169" i="31" s="1"/>
  <c r="BG178" i="31" a="1"/>
  <c r="BG178" i="31" s="1"/>
  <c r="BG179" i="31" a="1"/>
  <c r="BG179" i="31" s="1"/>
  <c r="BF230" i="31" a="1"/>
  <c r="BF230" i="31" s="1"/>
  <c r="BG124" i="31" a="1"/>
  <c r="BG124" i="31" s="1"/>
  <c r="BG173" i="31" a="1"/>
  <c r="BG173" i="31" s="1"/>
  <c r="BG235" i="31" a="1"/>
  <c r="BG235" i="31" s="1"/>
  <c r="BF126" i="31" a="1"/>
  <c r="BF126" i="31" s="1"/>
  <c r="BG226" i="31" a="1"/>
  <c r="BG226" i="31" s="1"/>
  <c r="BG174" i="31" a="1"/>
  <c r="BG174" i="31" s="1"/>
  <c r="BG129" i="31" a="1"/>
  <c r="BG129" i="31" s="1"/>
  <c r="BG120" i="31" a="1"/>
  <c r="BG120" i="31" s="1"/>
  <c r="BG130" i="31" a="1"/>
  <c r="BG130" i="31" s="1"/>
  <c r="BF175" i="31" a="1"/>
  <c r="BF175" i="31" s="1"/>
  <c r="BG183" i="31" a="1"/>
  <c r="BG183" i="31" s="1"/>
  <c r="BG233" i="31" a="1"/>
  <c r="BG233" i="31" s="1"/>
  <c r="BG125" i="31" a="1"/>
  <c r="BG125" i="31" s="1"/>
  <c r="BJ82" i="31" a="1"/>
  <c r="BJ82" i="31" s="1"/>
  <c r="BG221" i="31" a="1"/>
  <c r="BG221" i="31" s="1"/>
  <c r="BG172" i="31" a="1"/>
  <c r="BG172" i="31" s="1"/>
  <c r="BG234" i="31" a="1"/>
  <c r="BG234" i="31" s="1"/>
  <c r="BG126" i="31" a="1"/>
  <c r="BG126" i="31" s="1"/>
  <c r="BG224" i="31" a="1"/>
  <c r="BG224" i="31" s="1"/>
  <c r="BF184" i="31" a="1"/>
  <c r="BF184" i="31" s="1"/>
  <c r="BG170" i="31" a="1"/>
  <c r="BG170" i="31" s="1"/>
  <c r="BG131" i="31" a="1"/>
  <c r="BG131" i="31" s="1"/>
  <c r="BF182" i="31" a="1"/>
  <c r="BF182" i="31" s="1"/>
  <c r="BG219" i="31" a="1"/>
  <c r="BG219" i="31" s="1"/>
  <c r="BG225" i="31" a="1"/>
  <c r="BG225" i="31" s="1"/>
  <c r="BG127" i="31" a="1"/>
  <c r="BG127" i="31" s="1"/>
  <c r="BG229" i="31" a="1"/>
  <c r="BG229" i="31" s="1"/>
  <c r="BG222" i="31" a="1"/>
  <c r="BG222" i="31" s="1"/>
  <c r="BG181" i="31" a="1"/>
  <c r="BG181" i="31" s="1"/>
  <c r="BG231" i="31" a="1"/>
  <c r="BG231" i="31" s="1"/>
  <c r="BG133" i="31" a="1"/>
  <c r="BG133" i="31" s="1"/>
  <c r="BG122" i="31" a="1"/>
  <c r="BG122" i="31" s="1"/>
  <c r="BG117" i="31" a="1"/>
  <c r="BG117" i="31" s="1"/>
  <c r="BG227" i="31" a="1"/>
  <c r="BG227" i="31" s="1"/>
  <c r="BG184" i="31" a="1"/>
  <c r="BG184" i="31" s="1"/>
  <c r="BG118" i="31" a="1"/>
  <c r="BG118" i="31" s="1"/>
  <c r="BF220" i="31" a="1"/>
  <c r="BF220" i="31" s="1"/>
  <c r="BG175" i="31" a="1"/>
  <c r="BG175" i="31" s="1"/>
  <c r="BH131" i="31" a="1"/>
  <c r="BH131" i="31" s="1"/>
  <c r="BH181" i="31" a="1"/>
  <c r="BH181" i="31" s="1"/>
  <c r="BH132" i="31" a="1"/>
  <c r="BH132" i="31" s="1"/>
  <c r="BK82" i="31" a="1"/>
  <c r="BK82" i="31" s="1"/>
  <c r="BG223" i="31" a="1"/>
  <c r="BG223" i="31" s="1"/>
  <c r="BH183" i="31" a="1"/>
  <c r="BH183" i="31" s="1"/>
  <c r="BI226" i="31" a="1"/>
  <c r="BI226" i="31" s="1"/>
  <c r="BH179" i="31" a="1"/>
  <c r="BH179" i="31" s="1"/>
  <c r="BH230" i="31" a="1"/>
  <c r="BH230" i="31" s="1"/>
  <c r="BH182" i="31" a="1"/>
  <c r="BH182" i="31" s="1"/>
  <c r="BH231" i="31" a="1"/>
  <c r="BH231" i="31" s="1"/>
  <c r="BH220" i="31" a="1"/>
  <c r="BH220" i="31" s="1"/>
  <c r="BH226" i="31" a="1"/>
  <c r="BH226" i="31" s="1"/>
  <c r="BH122" i="31" a="1"/>
  <c r="BH122" i="31" s="1"/>
  <c r="BH174" i="31" a="1"/>
  <c r="BH174" i="31" s="1"/>
  <c r="BH124" i="31" a="1"/>
  <c r="BH124" i="31" s="1"/>
  <c r="BH234" i="31" a="1"/>
  <c r="BH234" i="31" s="1"/>
  <c r="BH169" i="31" a="1"/>
  <c r="BH169" i="31" s="1"/>
  <c r="BH121" i="31" a="1"/>
  <c r="BH121" i="31" s="1"/>
  <c r="BH176" i="31" a="1"/>
  <c r="BH176" i="31" s="1"/>
  <c r="BG232" i="31" a="1"/>
  <c r="BG232" i="31" s="1"/>
  <c r="BH119" i="31" a="1"/>
  <c r="BH119" i="31" s="1"/>
  <c r="BH177" i="31" a="1"/>
  <c r="BH177" i="31" s="1"/>
  <c r="BH130" i="31" a="1"/>
  <c r="BH130" i="31" s="1"/>
  <c r="BH222" i="31" a="1"/>
  <c r="BH222" i="31" s="1"/>
  <c r="BH184" i="31" a="1"/>
  <c r="BH184" i="31" s="1"/>
  <c r="BG220" i="31" a="1"/>
  <c r="BG220" i="31" s="1"/>
  <c r="BH125" i="31" a="1"/>
  <c r="BH125" i="31" s="1"/>
  <c r="BH178" i="31" a="1"/>
  <c r="BH178" i="31" s="1"/>
  <c r="BG182" i="31" a="1"/>
  <c r="BG182" i="31" s="1"/>
  <c r="BG132" i="31" a="1"/>
  <c r="BG132" i="31" s="1"/>
  <c r="BH133" i="31" a="1"/>
  <c r="BH133" i="31" s="1"/>
  <c r="BH129" i="31" a="1"/>
  <c r="BH129" i="31" s="1"/>
  <c r="BH223" i="31" a="1"/>
  <c r="BH223" i="31" s="1"/>
  <c r="BH225" i="31" a="1"/>
  <c r="BH225" i="31" s="1"/>
  <c r="BH175" i="31" a="1"/>
  <c r="BH175" i="31" s="1"/>
  <c r="BH123" i="31" a="1"/>
  <c r="BH123" i="31" s="1"/>
  <c r="BH180" i="31" a="1"/>
  <c r="BH180" i="31" s="1"/>
  <c r="BH128" i="31" a="1"/>
  <c r="BH128" i="31" s="1"/>
  <c r="BH126" i="31" a="1"/>
  <c r="BH126" i="31" s="1"/>
  <c r="BH227" i="31" a="1"/>
  <c r="BH227" i="31" s="1"/>
  <c r="BI182" i="31" a="1"/>
  <c r="BI182" i="31" s="1"/>
  <c r="BG171" i="31" a="1"/>
  <c r="BG171" i="31" s="1"/>
  <c r="BG177" i="31" a="1"/>
  <c r="BG177" i="31" s="1"/>
  <c r="BI222" i="31" a="1"/>
  <c r="BI222" i="31" s="1"/>
  <c r="BI230" i="31" a="1"/>
  <c r="BI230" i="31" s="1"/>
  <c r="BI227" i="31" a="1"/>
  <c r="BI227" i="31" s="1"/>
  <c r="BH127" i="31" a="1"/>
  <c r="BH127" i="31" s="1"/>
  <c r="BI176" i="31" a="1"/>
  <c r="BI176" i="31" s="1"/>
  <c r="BI131" i="31" a="1"/>
  <c r="BI131" i="31" s="1"/>
  <c r="BH171" i="31" a="1"/>
  <c r="BH171" i="31" s="1"/>
  <c r="BI178" i="31" a="1"/>
  <c r="BI178" i="31" s="1"/>
  <c r="BI128" i="31" a="1"/>
  <c r="BI128" i="31" s="1"/>
  <c r="BI184" i="31" a="1"/>
  <c r="BI184" i="31" s="1"/>
  <c r="BH120" i="31" a="1"/>
  <c r="BH120" i="31" s="1"/>
  <c r="BH228" i="31" a="1"/>
  <c r="BH228" i="31" s="1"/>
  <c r="BH229" i="31" a="1"/>
  <c r="BH229" i="31" s="1"/>
  <c r="BI183" i="31" a="1"/>
  <c r="BI183" i="31" s="1"/>
  <c r="BI129" i="31" a="1"/>
  <c r="BI129" i="31" s="1"/>
  <c r="BI175" i="31" a="1"/>
  <c r="BI175" i="31" s="1"/>
  <c r="BI170" i="31" a="1"/>
  <c r="BI170" i="31" s="1"/>
  <c r="BH232" i="31" a="1"/>
  <c r="BH232" i="31" s="1"/>
  <c r="BI122" i="31" a="1"/>
  <c r="BI122" i="31" s="1"/>
  <c r="BL82" i="31" a="1"/>
  <c r="BL82" i="31" s="1"/>
  <c r="BI177" i="31" a="1"/>
  <c r="BI177" i="31" s="1"/>
  <c r="BH224" i="31" a="1"/>
  <c r="BH224" i="31" s="1"/>
  <c r="BI234" i="31" a="1"/>
  <c r="BI234" i="31" s="1"/>
  <c r="BI132" i="31" a="1"/>
  <c r="BI132" i="31" s="1"/>
  <c r="BI120" i="31" a="1"/>
  <c r="BI120" i="31" s="1"/>
  <c r="BI181" i="31" a="1"/>
  <c r="BI181" i="31" s="1"/>
  <c r="BH233" i="31" a="1"/>
  <c r="BH233" i="31" s="1"/>
  <c r="BH170" i="31" a="1"/>
  <c r="BH170" i="31" s="1"/>
  <c r="BI179" i="31" a="1"/>
  <c r="BI179" i="31" s="1"/>
  <c r="BI172" i="31" a="1"/>
  <c r="BI172" i="31" s="1"/>
  <c r="BI133" i="31" a="1"/>
  <c r="BI133" i="31" s="1"/>
  <c r="BI233" i="31" a="1"/>
  <c r="BI233" i="31" s="1"/>
  <c r="BI130" i="31" a="1"/>
  <c r="BI130" i="31" s="1"/>
  <c r="BI171" i="31" a="1"/>
  <c r="BI171" i="31" s="1"/>
  <c r="BI231" i="31" a="1"/>
  <c r="BI231" i="31" s="1"/>
  <c r="BH172" i="31" a="1"/>
  <c r="BH172" i="31" s="1"/>
  <c r="BH235" i="31" a="1"/>
  <c r="BH235" i="31" s="1"/>
  <c r="BI123" i="31" a="1"/>
  <c r="BI123" i="31" s="1"/>
  <c r="BK226" i="31" a="1"/>
  <c r="BK226" i="31" s="1"/>
  <c r="BM82" i="31" a="1"/>
  <c r="BM82" i="31" s="1"/>
  <c r="BJ128" i="31" a="1"/>
  <c r="BJ128" i="31" s="1"/>
  <c r="BJ233" i="31" a="1"/>
  <c r="BJ233" i="31" s="1"/>
  <c r="BH173" i="31" a="1"/>
  <c r="BH173" i="31" s="1"/>
  <c r="BJ227" i="31" a="1"/>
  <c r="BJ227" i="31" s="1"/>
  <c r="BI174" i="31" a="1"/>
  <c r="BI174" i="31" s="1"/>
  <c r="BJ179" i="31" a="1"/>
  <c r="BJ179" i="31" s="1"/>
  <c r="BJ176" i="31" a="1"/>
  <c r="BJ176" i="31" s="1"/>
  <c r="BI121" i="31" a="1"/>
  <c r="BI121" i="31" s="1"/>
  <c r="BI125" i="31" a="1"/>
  <c r="BI125" i="31" s="1"/>
  <c r="BJ229" i="31" a="1"/>
  <c r="BJ229" i="31" s="1"/>
  <c r="BJ129" i="31" a="1"/>
  <c r="BJ129" i="31" s="1"/>
  <c r="BI124" i="31" a="1"/>
  <c r="BI124" i="31" s="1"/>
  <c r="BJ175" i="31" a="1"/>
  <c r="BJ175" i="31" s="1"/>
  <c r="BJ120" i="31" a="1"/>
  <c r="BJ120" i="31" s="1"/>
  <c r="BJ121" i="31" a="1"/>
  <c r="BJ121" i="31" s="1"/>
  <c r="BI229" i="31" a="1"/>
  <c r="BI229" i="31" s="1"/>
  <c r="BJ223" i="31" a="1"/>
  <c r="BJ223" i="31" s="1"/>
  <c r="BJ232" i="31" a="1"/>
  <c r="BJ232" i="31" s="1"/>
  <c r="BI228" i="31" a="1"/>
  <c r="BI228" i="31" s="1"/>
  <c r="BJ180" i="31" a="1"/>
  <c r="BJ180" i="31" s="1"/>
  <c r="BJ130" i="31" a="1"/>
  <c r="BJ130" i="31" s="1"/>
  <c r="BJ172" i="31" a="1"/>
  <c r="BJ172" i="31" s="1"/>
  <c r="BI127" i="31" a="1"/>
  <c r="BI127" i="31" s="1"/>
  <c r="BI126" i="31" a="1"/>
  <c r="BI126" i="31" s="1"/>
  <c r="BJ231" i="31" a="1"/>
  <c r="BJ231" i="31" s="1"/>
  <c r="BJ226" i="31" a="1"/>
  <c r="BJ226" i="31" s="1"/>
  <c r="BI180" i="31" a="1"/>
  <c r="BI180" i="31" s="1"/>
  <c r="BI224" i="31" a="1"/>
  <c r="BI224" i="31" s="1"/>
  <c r="BJ178" i="31" a="1"/>
  <c r="BJ178" i="31" s="1"/>
  <c r="BI223" i="31" a="1"/>
  <c r="BI223" i="31" s="1"/>
  <c r="BJ123" i="31" a="1"/>
  <c r="BJ123" i="31" s="1"/>
  <c r="BK223" i="31" a="1"/>
  <c r="BK223" i="31" s="1"/>
  <c r="BJ174" i="31" a="1"/>
  <c r="BJ174" i="31" s="1"/>
  <c r="BK225" i="31" a="1"/>
  <c r="BK225" i="31" s="1"/>
  <c r="BJ124" i="31" a="1"/>
  <c r="BJ124" i="31" s="1"/>
  <c r="BJ125" i="31" a="1"/>
  <c r="BJ125" i="31" s="1"/>
  <c r="BJ235" i="31" a="1"/>
  <c r="BJ235" i="31" s="1"/>
  <c r="BJ182" i="31" a="1"/>
  <c r="BJ182" i="31" s="1"/>
  <c r="BK174" i="31" a="1"/>
  <c r="BK174" i="31" s="1"/>
  <c r="BJ122" i="31" a="1"/>
  <c r="BJ122" i="31" s="1"/>
  <c r="BJ234" i="31" a="1"/>
  <c r="BJ234" i="31" s="1"/>
  <c r="BN82" i="31" a="1"/>
  <c r="BN82" i="31" s="1"/>
  <c r="BI235" i="31" a="1"/>
  <c r="BI235" i="31" s="1"/>
  <c r="BK131" i="31" a="1"/>
  <c r="BK131" i="31" s="1"/>
  <c r="BJ127" i="31" a="1"/>
  <c r="BJ127" i="31" s="1"/>
  <c r="BJ225" i="31" a="1"/>
  <c r="BJ225" i="31" s="1"/>
  <c r="BJ230" i="31" a="1"/>
  <c r="BJ230" i="31" s="1"/>
  <c r="BI232" i="31" a="1"/>
  <c r="BI232" i="31" s="1"/>
  <c r="BJ132" i="31" a="1"/>
  <c r="BJ132" i="31" s="1"/>
  <c r="BK228" i="31" a="1"/>
  <c r="BK228" i="31" s="1"/>
  <c r="BK127" i="31" a="1"/>
  <c r="BK127" i="31" s="1"/>
  <c r="BK178" i="31" a="1"/>
  <c r="BK178" i="31" s="1"/>
  <c r="BK129" i="31" a="1"/>
  <c r="BK129" i="31" s="1"/>
  <c r="BJ181" i="31" a="1"/>
  <c r="BJ181" i="31" s="1"/>
  <c r="BJ184" i="31" a="1"/>
  <c r="BJ184" i="31" s="1"/>
  <c r="BK180" i="31" a="1"/>
  <c r="BK180" i="31" s="1"/>
  <c r="BJ133" i="31" a="1"/>
  <c r="BJ133" i="31" s="1"/>
  <c r="BK125" i="31" a="1"/>
  <c r="BK125" i="31" s="1"/>
  <c r="BK235" i="31" a="1"/>
  <c r="BK235" i="31" s="1"/>
  <c r="BK172" i="31" a="1"/>
  <c r="BK172" i="31" s="1"/>
  <c r="BJ126" i="31" a="1"/>
  <c r="BJ126" i="31" s="1"/>
  <c r="BJ183" i="31" a="1"/>
  <c r="BJ183" i="31" s="1"/>
  <c r="BK184" i="31" a="1"/>
  <c r="BK184" i="31" s="1"/>
  <c r="BK179" i="31" a="1"/>
  <c r="BK179" i="31" s="1"/>
  <c r="BK227" i="31" a="1"/>
  <c r="BK227" i="31" s="1"/>
  <c r="BI173" i="31" a="1"/>
  <c r="BI173" i="31" s="1"/>
  <c r="BI225" i="31" a="1"/>
  <c r="BI225" i="31" s="1"/>
  <c r="BJ173" i="31" a="1"/>
  <c r="BJ173" i="31" s="1"/>
  <c r="BJ177" i="31" a="1"/>
  <c r="BJ177" i="31" s="1"/>
  <c r="BK130" i="31" a="1"/>
  <c r="BK130" i="31" s="1"/>
  <c r="BK128" i="31" a="1"/>
  <c r="BK128" i="31" s="1"/>
  <c r="BK126" i="31" a="1"/>
  <c r="BK126" i="31" s="1"/>
  <c r="BK122" i="31" a="1"/>
  <c r="BK122" i="31" s="1"/>
  <c r="BJ131" i="31" a="1"/>
  <c r="BJ131" i="31" s="1"/>
  <c r="BL181" i="31" a="1"/>
  <c r="BL181" i="31" s="1"/>
  <c r="BK133" i="31" a="1"/>
  <c r="BK133" i="31" s="1"/>
  <c r="BK230" i="31" a="1"/>
  <c r="BK230" i="31" s="1"/>
  <c r="BL124" i="31" a="1"/>
  <c r="BL124" i="31" s="1"/>
  <c r="BK233" i="31" a="1"/>
  <c r="BK233" i="31" s="1"/>
  <c r="BL180" i="31" a="1"/>
  <c r="BL180" i="31" s="1"/>
  <c r="BL128" i="31" a="1"/>
  <c r="BL128" i="31" s="1"/>
  <c r="BL174" i="31" a="1"/>
  <c r="BL174" i="31" s="1"/>
  <c r="BL173" i="31" a="1"/>
  <c r="BL173" i="31" s="1"/>
  <c r="BO82" i="31" a="1"/>
  <c r="BO82" i="31" s="1"/>
  <c r="BK123" i="31" a="1"/>
  <c r="BK123" i="31" s="1"/>
  <c r="BK231" i="31" a="1"/>
  <c r="BK231" i="31" s="1"/>
  <c r="BK234" i="31" a="1"/>
  <c r="BK234" i="31" s="1"/>
  <c r="BL130" i="31" a="1"/>
  <c r="BL130" i="31" s="1"/>
  <c r="BL232" i="31" a="1"/>
  <c r="BL232" i="31" s="1"/>
  <c r="BL132" i="31" a="1"/>
  <c r="BL132" i="31" s="1"/>
  <c r="BL226" i="31" a="1"/>
  <c r="BL226" i="31" s="1"/>
  <c r="BK176" i="31" a="1"/>
  <c r="BK176" i="31" s="1"/>
  <c r="BL225" i="31" a="1"/>
  <c r="BL225" i="31" s="1"/>
  <c r="BK124" i="31" a="1"/>
  <c r="BK124" i="31" s="1"/>
  <c r="BL133" i="31" a="1"/>
  <c r="BL133" i="31" s="1"/>
  <c r="BJ224" i="31" a="1"/>
  <c r="BJ224" i="31" s="1"/>
  <c r="BK232" i="31" a="1"/>
  <c r="BK232" i="31" s="1"/>
  <c r="BK183" i="31" a="1"/>
  <c r="BK183" i="31" s="1"/>
  <c r="BL178" i="31" a="1"/>
  <c r="BL178" i="31" s="1"/>
  <c r="BK173" i="31" a="1"/>
  <c r="BK173" i="31" s="1"/>
  <c r="BK181" i="31" a="1"/>
  <c r="BK181" i="31" s="1"/>
  <c r="BK175" i="31" a="1"/>
  <c r="BK175" i="31" s="1"/>
  <c r="BL176" i="31" a="1"/>
  <c r="BL176" i="31" s="1"/>
  <c r="BL131" i="31" a="1"/>
  <c r="BL131" i="31" s="1"/>
  <c r="BJ228" i="31" a="1"/>
  <c r="BJ228" i="31" s="1"/>
  <c r="BL183" i="31" a="1"/>
  <c r="BL183" i="31" s="1"/>
  <c r="BL123" i="31" a="1"/>
  <c r="BL123" i="31" s="1"/>
  <c r="BK229" i="31" a="1"/>
  <c r="BK229" i="31" s="1"/>
  <c r="BL184" i="31" a="1"/>
  <c r="BL184" i="31" s="1"/>
  <c r="BL175" i="31" a="1"/>
  <c r="BL175" i="31" s="1"/>
  <c r="BL177" i="31" a="1"/>
  <c r="BL177" i="31" s="1"/>
  <c r="BL126" i="31" a="1"/>
  <c r="BL126" i="31" s="1"/>
  <c r="BL233" i="31" a="1"/>
  <c r="BL233" i="31" s="1"/>
  <c r="BL230" i="31" a="1"/>
  <c r="BL230" i="31" s="1"/>
  <c r="BK132" i="31" a="1"/>
  <c r="BK132" i="31" s="1"/>
  <c r="BM123" i="31" a="1"/>
  <c r="BM123" i="31" s="1"/>
  <c r="BL228" i="31" a="1"/>
  <c r="BL228" i="31" s="1"/>
  <c r="BM127" i="31" a="1"/>
  <c r="BM127" i="31" s="1"/>
  <c r="BP82" i="31" a="1"/>
  <c r="BP82" i="31" s="1"/>
  <c r="BM231" i="31" a="1"/>
  <c r="BM231" i="31" s="1"/>
  <c r="BM125" i="31" a="1"/>
  <c r="BM125" i="31" s="1"/>
  <c r="BM226" i="31" a="1"/>
  <c r="BM226" i="31" s="1"/>
  <c r="BM124" i="31" a="1"/>
  <c r="BM124" i="31" s="1"/>
  <c r="BM234" i="31" a="1"/>
  <c r="BM234" i="31" s="1"/>
  <c r="BM126" i="31" a="1"/>
  <c r="BM126" i="31" s="1"/>
  <c r="BL234" i="31" a="1"/>
  <c r="BL234" i="31" s="1"/>
  <c r="BL129" i="31" a="1"/>
  <c r="BL129" i="31" s="1"/>
  <c r="BL179" i="31" a="1"/>
  <c r="BL179" i="31" s="1"/>
  <c r="BM184" i="31" a="1"/>
  <c r="BM184" i="31" s="1"/>
  <c r="BL125" i="31" a="1"/>
  <c r="BL125" i="31" s="1"/>
  <c r="BM230" i="31" a="1"/>
  <c r="BM230" i="31" s="1"/>
  <c r="BL182" i="31" a="1"/>
  <c r="BL182" i="31" s="1"/>
  <c r="BM133" i="31" a="1"/>
  <c r="BM133" i="31" s="1"/>
  <c r="BM228" i="31" a="1"/>
  <c r="BM228" i="31" s="1"/>
  <c r="BM178" i="31" a="1"/>
  <c r="BM178" i="31" s="1"/>
  <c r="BM235" i="31" a="1"/>
  <c r="BM235" i="31" s="1"/>
  <c r="BL231" i="31" a="1"/>
  <c r="BL231" i="31" s="1"/>
  <c r="BL127" i="31" a="1"/>
  <c r="BL127" i="31" s="1"/>
  <c r="BL229" i="31" a="1"/>
  <c r="BL229" i="31" s="1"/>
  <c r="BM128" i="31" a="1"/>
  <c r="BM128" i="31" s="1"/>
  <c r="BM176" i="31" a="1"/>
  <c r="BM176" i="31" s="1"/>
  <c r="BK182" i="31" a="1"/>
  <c r="BK182" i="31" s="1"/>
  <c r="BM183" i="31" a="1"/>
  <c r="BM183" i="31" s="1"/>
  <c r="BM131" i="31" a="1"/>
  <c r="BM131" i="31" s="1"/>
  <c r="BM233" i="31" a="1"/>
  <c r="BM233" i="31" s="1"/>
  <c r="BM232" i="31" a="1"/>
  <c r="BM232" i="31" s="1"/>
  <c r="BM229" i="31" a="1"/>
  <c r="BM229" i="31" s="1"/>
  <c r="BM129" i="31" a="1"/>
  <c r="BM129" i="31" s="1"/>
  <c r="BK177" i="31" a="1"/>
  <c r="BK177" i="31" s="1"/>
  <c r="BM177" i="31" a="1"/>
  <c r="BM177" i="31" s="1"/>
  <c r="BL227" i="31" a="1"/>
  <c r="BL227" i="31" s="1"/>
  <c r="BM130" i="31" a="1"/>
  <c r="BM130" i="31" s="1"/>
  <c r="BM132" i="31" a="1"/>
  <c r="BM132" i="31" s="1"/>
  <c r="BL235" i="31" a="1"/>
  <c r="BL235" i="31" s="1"/>
  <c r="BO133" i="31" a="1"/>
  <c r="BO133" i="31" s="1"/>
  <c r="BN129" i="31" a="1"/>
  <c r="BN129" i="31" s="1"/>
  <c r="BM227" i="31" a="1"/>
  <c r="BM227" i="31" s="1"/>
  <c r="BM175" i="31" a="1"/>
  <c r="BM175" i="31" s="1"/>
  <c r="BN184" i="31" a="1"/>
  <c r="BN184" i="31" s="1"/>
  <c r="BN127" i="31" a="1"/>
  <c r="BN127" i="31" s="1"/>
  <c r="BN183" i="31" a="1"/>
  <c r="BN183" i="31" s="1"/>
  <c r="BN181" i="31" a="1"/>
  <c r="BN181" i="31" s="1"/>
  <c r="BN133" i="31" a="1"/>
  <c r="BN133" i="31" s="1"/>
  <c r="BN126" i="31" a="1"/>
  <c r="BN126" i="31" s="1"/>
  <c r="BN180" i="31" a="1"/>
  <c r="BN180" i="31" s="1"/>
  <c r="BM180" i="31" a="1"/>
  <c r="BM180" i="31" s="1"/>
  <c r="BN125" i="31" a="1"/>
  <c r="BN125" i="31" s="1"/>
  <c r="BN177" i="31" a="1"/>
  <c r="BN177" i="31" s="1"/>
  <c r="BN230" i="31" a="1"/>
  <c r="BN230" i="31" s="1"/>
  <c r="BQ82" i="31" a="1"/>
  <c r="BQ82" i="31" s="1"/>
  <c r="BN178" i="31" a="1"/>
  <c r="BN178" i="31" s="1"/>
  <c r="BN228" i="31" a="1"/>
  <c r="BN228" i="31" s="1"/>
  <c r="BN182" i="31" a="1"/>
  <c r="BN182" i="31" s="1"/>
  <c r="BN132" i="31" a="1"/>
  <c r="BN132" i="31" s="1"/>
  <c r="BM181" i="31" a="1"/>
  <c r="BM181" i="31" s="1"/>
  <c r="BN128" i="31" a="1"/>
  <c r="BN128" i="31" s="1"/>
  <c r="BN235" i="31" a="1"/>
  <c r="BN235" i="31" s="1"/>
  <c r="BN130" i="31" a="1"/>
  <c r="BN130" i="31" s="1"/>
  <c r="BO126" i="31" a="1"/>
  <c r="BO126" i="31" s="1"/>
  <c r="BO228" i="31" a="1"/>
  <c r="BO228" i="31" s="1"/>
  <c r="BO230" i="31" a="1"/>
  <c r="BO230" i="31" s="1"/>
  <c r="BN131" i="31" a="1"/>
  <c r="BN131" i="31" s="1"/>
  <c r="BO129" i="31" a="1"/>
  <c r="BO129" i="31" s="1"/>
  <c r="BR82" i="31" a="1"/>
  <c r="BR82" i="31" s="1"/>
  <c r="BO235" i="31" a="1"/>
  <c r="BO235" i="31" s="1"/>
  <c r="BO178" i="31" a="1"/>
  <c r="BO178" i="31" s="1"/>
  <c r="BO234" i="31" a="1"/>
  <c r="BO234" i="31" s="1"/>
  <c r="BN176" i="31" a="1"/>
  <c r="BN176" i="31" s="1"/>
  <c r="BO184" i="31" a="1"/>
  <c r="BO184" i="31" s="1"/>
  <c r="BN232" i="31" a="1"/>
  <c r="BN232" i="31" s="1"/>
  <c r="BO130" i="31" a="1"/>
  <c r="BO130" i="31" s="1"/>
  <c r="BN234" i="31" a="1"/>
  <c r="BN234" i="31" s="1"/>
  <c r="BN229" i="31" a="1"/>
  <c r="BN229" i="31" s="1"/>
  <c r="BO127" i="31" a="1"/>
  <c r="BO127" i="31" s="1"/>
  <c r="BO181" i="31" a="1"/>
  <c r="BO181" i="31" s="1"/>
  <c r="BO131" i="31" a="1"/>
  <c r="BO131" i="31" s="1"/>
  <c r="BM182" i="31" a="1"/>
  <c r="BM182" i="31" s="1"/>
  <c r="BO232" i="31" a="1"/>
  <c r="BO232" i="31" s="1"/>
  <c r="BO179" i="31" a="1"/>
  <c r="BO179" i="31" s="1"/>
  <c r="BO125" i="31" a="1"/>
  <c r="BO125" i="31" s="1"/>
  <c r="BN233" i="31" a="1"/>
  <c r="BN233" i="31" s="1"/>
  <c r="BN179" i="31" a="1"/>
  <c r="BN179" i="31" s="1"/>
  <c r="BO128" i="31" a="1"/>
  <c r="BO128" i="31" s="1"/>
  <c r="BN231" i="31" a="1"/>
  <c r="BN231" i="31" s="1"/>
  <c r="BO227" i="31" a="1"/>
  <c r="BO227" i="31" s="1"/>
  <c r="BM179" i="31" a="1"/>
  <c r="BM179" i="31" s="1"/>
  <c r="BN227" i="31" a="1"/>
  <c r="BN227" i="31" s="1"/>
  <c r="BO182" i="31" a="1"/>
  <c r="BO182" i="31" s="1"/>
  <c r="BO132" i="31" a="1"/>
  <c r="BO132" i="31" s="1"/>
  <c r="BO231" i="31" a="1"/>
  <c r="BO231" i="31" s="1"/>
  <c r="BQ127" i="31" a="1"/>
  <c r="BQ127" i="31" s="1"/>
  <c r="BP127" i="31" a="1"/>
  <c r="BP127" i="31" s="1"/>
  <c r="BP128" i="31" a="1"/>
  <c r="BP128" i="31" s="1"/>
  <c r="BP230" i="31" a="1"/>
  <c r="BP230" i="31" s="1"/>
  <c r="BO229" i="31" a="1"/>
  <c r="BO229" i="31" s="1"/>
  <c r="BP177" i="31" a="1"/>
  <c r="BP177" i="31" s="1"/>
  <c r="BP235" i="31" a="1"/>
  <c r="BP235" i="31" s="1"/>
  <c r="BP183" i="31" a="1"/>
  <c r="BP183" i="31" s="1"/>
  <c r="BP133" i="31" a="1"/>
  <c r="BP133" i="31" s="1"/>
  <c r="BP233" i="31" a="1"/>
  <c r="BP233" i="31" s="1"/>
  <c r="BO183" i="31" a="1"/>
  <c r="BO183" i="31" s="1"/>
  <c r="BP126" i="31" a="1"/>
  <c r="BP126" i="31" s="1"/>
  <c r="BP181" i="31" a="1"/>
  <c r="BP181" i="31" s="1"/>
  <c r="BP179" i="31" a="1"/>
  <c r="BP179" i="31" s="1"/>
  <c r="BP232" i="31" a="1"/>
  <c r="BP232" i="31" s="1"/>
  <c r="BP132" i="31" a="1"/>
  <c r="BP132" i="31" s="1"/>
  <c r="BP129" i="31" a="1"/>
  <c r="BP129" i="31" s="1"/>
  <c r="BP231" i="31" a="1"/>
  <c r="BP231" i="31" s="1"/>
  <c r="BO233" i="31" a="1"/>
  <c r="BO233" i="31" s="1"/>
  <c r="BP182" i="31" a="1"/>
  <c r="BP182" i="31" s="1"/>
  <c r="BO180" i="31" a="1"/>
  <c r="BO180" i="31" s="1"/>
  <c r="BP229" i="31" a="1"/>
  <c r="BP229" i="31" s="1"/>
  <c r="BP130" i="31" a="1"/>
  <c r="BP130" i="31" s="1"/>
  <c r="BP180" i="31" a="1"/>
  <c r="BP180" i="31" s="1"/>
  <c r="BP178" i="31" a="1"/>
  <c r="BP178" i="31" s="1"/>
  <c r="BP131" i="31" a="1"/>
  <c r="BP131" i="31" s="1"/>
  <c r="BP234" i="31" a="1"/>
  <c r="BP234" i="31" s="1"/>
  <c r="BS82" i="31" a="1"/>
  <c r="BS82" i="31" s="1"/>
  <c r="BR130" i="31" a="1"/>
  <c r="BR130" i="31" s="1"/>
  <c r="BQ229" i="31" a="1"/>
  <c r="BQ229" i="31" s="1"/>
  <c r="BQ183" i="31" a="1"/>
  <c r="BQ183" i="31" s="1"/>
  <c r="BQ129" i="31" a="1"/>
  <c r="BQ129" i="31" s="1"/>
  <c r="BQ178" i="31" a="1"/>
  <c r="BQ178" i="31" s="1"/>
  <c r="BQ132" i="31" a="1"/>
  <c r="BQ132" i="31" s="1"/>
  <c r="BQ230" i="31" a="1"/>
  <c r="BQ230" i="31" s="1"/>
  <c r="BQ233" i="31" a="1"/>
  <c r="BQ233" i="31" s="1"/>
  <c r="BQ184" i="31" a="1"/>
  <c r="BQ184" i="31" s="1"/>
  <c r="BQ180" i="31" a="1"/>
  <c r="BQ180" i="31" s="1"/>
  <c r="BP184" i="31" a="1"/>
  <c r="BP184" i="31" s="1"/>
  <c r="BT82" i="31" a="1"/>
  <c r="BT82" i="31" s="1"/>
  <c r="BQ131" i="31" a="1"/>
  <c r="BQ131" i="31" s="1"/>
  <c r="BQ130" i="31" a="1"/>
  <c r="BQ130" i="31" s="1"/>
  <c r="BQ182" i="31" a="1"/>
  <c r="BQ182" i="31" s="1"/>
  <c r="BQ235" i="31" a="1"/>
  <c r="BQ235" i="31" s="1"/>
  <c r="BQ133" i="31" a="1"/>
  <c r="BQ133" i="31" s="1"/>
  <c r="BQ181" i="31" a="1"/>
  <c r="BQ181" i="31" s="1"/>
  <c r="BQ234" i="31" a="1"/>
  <c r="BQ234" i="31" s="1"/>
  <c r="BR233" i="31" a="1"/>
  <c r="BR233" i="31" s="1"/>
  <c r="BR232" i="31" a="1"/>
  <c r="BR232" i="31" s="1"/>
  <c r="BR133" i="31" a="1"/>
  <c r="BR133" i="31" s="1"/>
  <c r="BU82" i="31" a="1"/>
  <c r="BU82" i="31" s="1"/>
  <c r="BR235" i="31" a="1"/>
  <c r="BR235" i="31" s="1"/>
  <c r="BR181" i="31" a="1"/>
  <c r="BR181" i="31" s="1"/>
  <c r="BQ232" i="31" a="1"/>
  <c r="BQ232" i="31" s="1"/>
  <c r="BQ231" i="31" a="1"/>
  <c r="BQ231" i="31" s="1"/>
  <c r="BR132" i="31" a="1"/>
  <c r="BR132" i="31" s="1"/>
  <c r="BR128" i="31" a="1"/>
  <c r="BR128" i="31" s="1"/>
  <c r="BR234" i="31" a="1"/>
  <c r="BR234" i="31" s="1"/>
  <c r="BQ179" i="31" a="1"/>
  <c r="BQ179" i="31" s="1"/>
  <c r="BR179" i="31" a="1"/>
  <c r="BR179" i="31" s="1"/>
  <c r="BR231" i="31" a="1"/>
  <c r="BR231" i="31" s="1"/>
  <c r="BR180" i="31" a="1"/>
  <c r="BR180" i="31" s="1"/>
  <c r="BR182" i="31" a="1"/>
  <c r="BR182" i="31" s="1"/>
  <c r="BR184" i="31" a="1"/>
  <c r="BR184" i="31" s="1"/>
  <c r="BS232" i="31" a="1"/>
  <c r="BS232" i="31" s="1"/>
  <c r="BS235" i="31" a="1"/>
  <c r="BS235" i="31" s="1"/>
  <c r="BR129" i="31" a="1"/>
  <c r="BR129" i="31" s="1"/>
  <c r="BS234" i="31" a="1"/>
  <c r="BS234" i="31" s="1"/>
  <c r="BS231" i="31" a="1"/>
  <c r="BS231" i="31" s="1"/>
  <c r="BS183" i="31" a="1"/>
  <c r="BS183" i="31" s="1"/>
  <c r="BS180" i="31" a="1"/>
  <c r="BS180" i="31" s="1"/>
  <c r="BR131" i="31" a="1"/>
  <c r="BR131" i="31" s="1"/>
  <c r="BS233" i="31" a="1"/>
  <c r="BS233" i="31" s="1"/>
  <c r="BS181" i="31" a="1"/>
  <c r="BS181" i="31" s="1"/>
  <c r="BS129" i="31" a="1"/>
  <c r="BS129" i="31" s="1"/>
  <c r="BS133" i="31" a="1"/>
  <c r="BS133" i="31" s="1"/>
  <c r="BV82" i="31" a="1"/>
  <c r="BV82" i="31" s="1"/>
  <c r="BS182" i="31" a="1"/>
  <c r="BS182" i="31" s="1"/>
  <c r="BS132" i="31" a="1"/>
  <c r="BS132" i="31" s="1"/>
  <c r="BR183" i="31" a="1"/>
  <c r="BR183" i="31" s="1"/>
  <c r="BT183" i="31" a="1"/>
  <c r="BT183" i="31" s="1"/>
  <c r="BT132" i="31" a="1"/>
  <c r="BT132" i="31" s="1"/>
  <c r="BS184" i="31" a="1"/>
  <c r="BS184" i="31" s="1"/>
  <c r="BT233" i="31" a="1"/>
  <c r="BT233" i="31" s="1"/>
  <c r="BS131" i="31" a="1"/>
  <c r="BS131" i="31" s="1"/>
  <c r="BT182" i="31" a="1"/>
  <c r="BT182" i="31" s="1"/>
  <c r="BT235" i="31" a="1"/>
  <c r="BT235" i="31" s="1"/>
  <c r="BT133" i="31" a="1"/>
  <c r="BT133" i="31" s="1"/>
  <c r="BT232" i="31" a="1"/>
  <c r="BT232" i="31" s="1"/>
  <c r="BS130" i="31" a="1"/>
  <c r="BS130" i="31" s="1"/>
  <c r="BW82" i="31" a="1"/>
  <c r="BW82" i="31" s="1"/>
  <c r="BT131" i="31" a="1"/>
  <c r="BT131" i="31" s="1"/>
  <c r="BT130" i="31" a="1"/>
  <c r="BT130" i="31" s="1"/>
  <c r="BT181" i="31" a="1"/>
  <c r="BT181" i="31" s="1"/>
  <c r="BT184" i="31" a="1"/>
  <c r="BT184" i="31" s="1"/>
  <c r="BU235" i="31" a="1"/>
  <c r="BU235" i="31" s="1"/>
  <c r="BU182" i="31" a="1"/>
  <c r="BU182" i="31" s="1"/>
  <c r="BX82" i="31" a="1"/>
  <c r="BX82" i="31" s="1"/>
  <c r="BT234" i="31" a="1"/>
  <c r="BT234" i="31" s="1"/>
  <c r="BU183" i="31" a="1"/>
  <c r="BU183" i="31" s="1"/>
  <c r="BU132" i="31" a="1"/>
  <c r="BU132" i="31" s="1"/>
  <c r="BU133" i="31" a="1"/>
  <c r="BU133" i="31" s="1"/>
  <c r="BU184" i="31" a="1"/>
  <c r="BU184" i="31" s="1"/>
  <c r="BW235" i="31" a="1"/>
  <c r="BW235" i="31" s="1"/>
  <c r="BV184" i="31" a="1"/>
  <c r="BV184" i="31" s="1"/>
  <c r="BV183" i="31" a="1"/>
  <c r="BV183" i="31" s="1"/>
  <c r="BY82" i="31" a="1"/>
  <c r="BY82" i="31" s="1"/>
  <c r="BV235" i="31" a="1"/>
  <c r="BV235" i="31" s="1"/>
  <c r="BV234" i="31" a="1"/>
  <c r="BV234" i="31" s="1"/>
  <c r="BV133" i="31" a="1"/>
  <c r="BV133" i="31" s="1"/>
  <c r="CA285" i="31" a="1"/>
  <c r="CA285" i="31" s="1"/>
  <c r="BX133" i="31" a="1"/>
  <c r="BX133" i="31" s="1"/>
  <c r="BW133" i="31" a="1"/>
  <c r="BW133" i="31" s="1"/>
  <c r="BZ133" i="31" a="1"/>
  <c r="BZ133" i="31" s="1"/>
  <c r="BZ235" i="31" a="1"/>
  <c r="BZ235" i="31" s="1"/>
  <c r="BZ82" i="31" a="1"/>
  <c r="BZ82" i="31" s="1"/>
  <c r="BY133" i="31" a="1"/>
  <c r="BY133" i="31" s="1"/>
  <c r="BU286" i="31" a="1"/>
  <c r="BU286" i="31" s="1"/>
  <c r="BM286" i="31" a="1"/>
  <c r="BM286" i="31" s="1"/>
  <c r="BE286" i="31" a="1"/>
  <c r="BE286" i="31" s="1"/>
  <c r="AW286" i="31" a="1"/>
  <c r="AW286" i="31" s="1"/>
  <c r="AO286" i="31" a="1"/>
  <c r="AO286" i="31" s="1"/>
  <c r="BT286" i="31" a="1"/>
  <c r="BT286" i="31" s="1"/>
  <c r="BL286" i="31" a="1"/>
  <c r="BL286" i="31" s="1"/>
  <c r="BD286" i="31" a="1"/>
  <c r="BD286" i="31" s="1"/>
  <c r="AV286" i="31" a="1"/>
  <c r="AV286" i="31" s="1"/>
  <c r="AN286" i="31" a="1"/>
  <c r="AN286" i="31" s="1"/>
  <c r="CA286" i="31" a="1"/>
  <c r="CA286" i="31" s="1"/>
  <c r="BS286" i="31" a="1"/>
  <c r="BS286" i="31" s="1"/>
  <c r="BK286" i="31" a="1"/>
  <c r="BK286" i="31" s="1"/>
  <c r="BC286" i="31" a="1"/>
  <c r="BC286" i="31" s="1"/>
  <c r="AU286" i="31" a="1"/>
  <c r="AU286" i="31" s="1"/>
  <c r="AM286" i="31" a="1"/>
  <c r="AM286" i="31" s="1"/>
  <c r="BZ286" i="31" a="1"/>
  <c r="BZ286" i="31" s="1"/>
  <c r="BR286" i="31" a="1"/>
  <c r="BR286" i="31" s="1"/>
  <c r="BJ286" i="31" a="1"/>
  <c r="BJ286" i="31" s="1"/>
  <c r="BB286" i="31" a="1"/>
  <c r="BB286" i="31" s="1"/>
  <c r="AT286" i="31" a="1"/>
  <c r="AT286" i="31" s="1"/>
  <c r="AL286" i="31" a="1"/>
  <c r="AL286" i="31" s="1"/>
  <c r="BY286" i="31" a="1"/>
  <c r="BY286" i="31" s="1"/>
  <c r="BQ286" i="31" a="1"/>
  <c r="BQ286" i="31" s="1"/>
  <c r="BI286" i="31" a="1"/>
  <c r="BI286" i="31" s="1"/>
  <c r="BA286" i="31" a="1"/>
  <c r="BA286" i="31" s="1"/>
  <c r="AS286" i="31" a="1"/>
  <c r="AS286" i="31" s="1"/>
  <c r="AK286" i="31" a="1"/>
  <c r="AK286" i="31" s="1"/>
  <c r="BX286" i="31" a="1"/>
  <c r="BX286" i="31" s="1"/>
  <c r="BP286" i="31" a="1"/>
  <c r="BP286" i="31" s="1"/>
  <c r="BH286" i="31" a="1"/>
  <c r="BH286" i="31" s="1"/>
  <c r="AZ286" i="31" a="1"/>
  <c r="AZ286" i="31" s="1"/>
  <c r="AR286" i="31" a="1"/>
  <c r="AR286" i="31" s="1"/>
  <c r="AJ286" i="31" a="1"/>
  <c r="AJ286" i="31" s="1"/>
  <c r="BW286" i="31" a="1"/>
  <c r="BW286" i="31" s="1"/>
  <c r="BO286" i="31" a="1"/>
  <c r="BO286" i="31" s="1"/>
  <c r="BG286" i="31" a="1"/>
  <c r="BG286" i="31" s="1"/>
  <c r="AY286" i="31" a="1"/>
  <c r="AY286" i="31" s="1"/>
  <c r="AQ286" i="31" a="1"/>
  <c r="AQ286" i="31" s="1"/>
  <c r="AI286" i="31" a="1"/>
  <c r="AI286" i="31" s="1"/>
  <c r="BV286" i="31" a="1"/>
  <c r="BV286" i="31" s="1"/>
  <c r="BN286" i="31" a="1"/>
  <c r="BN286" i="31" s="1"/>
  <c r="BF286" i="31" a="1"/>
  <c r="BF286" i="31" s="1"/>
  <c r="AX286" i="31" a="1"/>
  <c r="AX286" i="31" s="1"/>
  <c r="AP286" i="31" a="1"/>
  <c r="AP286" i="31" s="1"/>
  <c r="AH286" i="31" a="1"/>
  <c r="AH286" i="31" s="1"/>
  <c r="CB8" i="31"/>
  <c r="CC5" i="31"/>
  <c r="CB6" i="31"/>
  <c r="CB4" i="31"/>
  <c r="CB7" i="31"/>
  <c r="BY7" i="30"/>
  <c r="BY4" i="30"/>
  <c r="BY6" i="30"/>
  <c r="BZ5" i="30"/>
  <c r="BY8" i="30"/>
  <c r="D79" i="30"/>
  <c r="CB286" i="31" l="1" a="1"/>
  <c r="CB286" i="31" s="1"/>
  <c r="CB133" i="31" a="1"/>
  <c r="CB133" i="31" s="1"/>
  <c r="CB82" i="31" a="1"/>
  <c r="CB82" i="31" s="1"/>
  <c r="CB184" i="31" a="1"/>
  <c r="CB184" i="31" s="1"/>
  <c r="CB235" i="31" a="1"/>
  <c r="CB235" i="31" s="1"/>
  <c r="CC8" i="31"/>
  <c r="CC6" i="31"/>
  <c r="CC4" i="31"/>
  <c r="CC7" i="31"/>
  <c r="BZ6" i="30"/>
  <c r="CA5" i="30"/>
  <c r="BZ8" i="30"/>
  <c r="BZ7" i="30"/>
  <c r="BZ4" i="30"/>
  <c r="D80" i="30"/>
  <c r="Q284" i="31" l="1"/>
  <c r="J264" i="31"/>
  <c r="Q281" i="31"/>
  <c r="Q267" i="31"/>
  <c r="Q277" i="31"/>
  <c r="Q264" i="31"/>
  <c r="Q247" i="31"/>
  <c r="Q246" i="31"/>
  <c r="Q273" i="31"/>
  <c r="Q262" i="31"/>
  <c r="Q286" i="31"/>
  <c r="Q283" i="31"/>
  <c r="K277" i="31"/>
  <c r="Q254" i="31"/>
  <c r="Q271" i="31"/>
  <c r="Q265" i="31"/>
  <c r="Q260" i="31"/>
  <c r="J267" i="31"/>
  <c r="K264" i="31"/>
  <c r="P242" i="31"/>
  <c r="K278" i="31"/>
  <c r="K279" i="31"/>
  <c r="Q245" i="31"/>
  <c r="K281" i="31"/>
  <c r="K271" i="31"/>
  <c r="K286" i="31"/>
  <c r="K273" i="31"/>
  <c r="K285" i="31"/>
  <c r="K276" i="31"/>
  <c r="K280" i="31"/>
  <c r="K272" i="31"/>
  <c r="K266" i="31"/>
  <c r="J270" i="31"/>
  <c r="K270" i="31"/>
  <c r="K267" i="31"/>
  <c r="J280" i="31"/>
  <c r="J273" i="31"/>
  <c r="K282" i="31"/>
  <c r="K275" i="31"/>
  <c r="K274" i="31"/>
  <c r="K283" i="31"/>
  <c r="P245" i="31"/>
  <c r="P243" i="31"/>
  <c r="R273" i="31"/>
  <c r="L286" i="31"/>
  <c r="L282" i="31"/>
  <c r="L280" i="31"/>
  <c r="P259" i="31"/>
  <c r="P267" i="31"/>
  <c r="P253" i="31"/>
  <c r="L284" i="31"/>
  <c r="R248" i="31"/>
  <c r="R264" i="31"/>
  <c r="P282" i="31"/>
  <c r="K263" i="31"/>
  <c r="P257" i="31"/>
  <c r="P256" i="31"/>
  <c r="P286" i="31"/>
  <c r="P254" i="31"/>
  <c r="P270" i="31"/>
  <c r="P284" i="31"/>
  <c r="K284" i="31"/>
  <c r="R258" i="31"/>
  <c r="P250" i="31"/>
  <c r="P244" i="31"/>
  <c r="P251" i="31"/>
  <c r="P252" i="31"/>
  <c r="K265" i="31"/>
  <c r="P258" i="31"/>
  <c r="Q248" i="31"/>
  <c r="P255" i="31"/>
  <c r="P262" i="31"/>
  <c r="L281" i="31"/>
  <c r="P260" i="31"/>
  <c r="P263" i="31"/>
  <c r="P279" i="31"/>
  <c r="R286" i="31"/>
  <c r="P280" i="31"/>
  <c r="R257" i="31"/>
  <c r="K268" i="31"/>
  <c r="P264" i="31"/>
  <c r="P283" i="31"/>
  <c r="R272" i="31"/>
  <c r="P277" i="31"/>
  <c r="R282" i="31"/>
  <c r="P272" i="31"/>
  <c r="R274" i="31"/>
  <c r="L279" i="31"/>
  <c r="L278" i="31"/>
  <c r="P268" i="31"/>
  <c r="K269" i="31"/>
  <c r="P246" i="31"/>
  <c r="R285" i="31"/>
  <c r="R281" i="31"/>
  <c r="L277" i="31"/>
  <c r="L276" i="31"/>
  <c r="L275" i="31"/>
  <c r="R284" i="31"/>
  <c r="L285" i="31"/>
  <c r="P276" i="31"/>
  <c r="P247" i="31"/>
  <c r="P265" i="31"/>
  <c r="P273" i="31"/>
  <c r="P271" i="31"/>
  <c r="P275" i="31"/>
  <c r="P266" i="31"/>
  <c r="P248" i="31"/>
  <c r="P249" i="31"/>
  <c r="P278" i="31"/>
  <c r="L283" i="31"/>
  <c r="P261" i="31"/>
  <c r="P285" i="31"/>
  <c r="R267" i="31"/>
  <c r="P269" i="31"/>
  <c r="P281" i="31"/>
  <c r="R261" i="31"/>
  <c r="P274" i="31"/>
  <c r="S280" i="31"/>
  <c r="S258" i="31"/>
  <c r="S266" i="31"/>
  <c r="S264" i="31"/>
  <c r="S255" i="31"/>
  <c r="S277" i="31"/>
  <c r="S271" i="31"/>
  <c r="S282" i="31"/>
  <c r="S259" i="31"/>
  <c r="S281" i="31"/>
  <c r="R271" i="31"/>
  <c r="S263" i="31"/>
  <c r="S279" i="31"/>
  <c r="S276" i="31"/>
  <c r="S275" i="31"/>
  <c r="S267" i="31"/>
  <c r="S265" i="31"/>
  <c r="S254" i="31"/>
  <c r="S268" i="31"/>
  <c r="T265" i="31"/>
  <c r="T285" i="31"/>
  <c r="T275" i="31"/>
  <c r="T254" i="31"/>
  <c r="T258" i="31"/>
  <c r="T266" i="31"/>
  <c r="T268" i="31"/>
  <c r="T286" i="31"/>
  <c r="T276" i="31"/>
  <c r="T269" i="31"/>
  <c r="T256" i="31"/>
  <c r="T279" i="31"/>
  <c r="T267" i="31"/>
  <c r="T283" i="31"/>
  <c r="T261" i="31"/>
  <c r="T259" i="31"/>
  <c r="T280" i="31"/>
  <c r="T264" i="31"/>
  <c r="T257" i="31"/>
  <c r="T277" i="31"/>
  <c r="T282" i="31"/>
  <c r="T281" i="31"/>
  <c r="T284" i="31"/>
  <c r="T255" i="31"/>
  <c r="U264" i="31"/>
  <c r="T278" i="31"/>
  <c r="T270" i="31"/>
  <c r="T262" i="31"/>
  <c r="T272" i="31"/>
  <c r="U284" i="31"/>
  <c r="U272" i="31"/>
  <c r="U286" i="31"/>
  <c r="U285" i="31"/>
  <c r="U263" i="31"/>
  <c r="U268" i="31"/>
  <c r="U277" i="31"/>
  <c r="U282" i="31"/>
  <c r="U257" i="31"/>
  <c r="U280" i="31"/>
  <c r="U261" i="31"/>
  <c r="U267" i="31"/>
  <c r="U270" i="31"/>
  <c r="U269" i="31"/>
  <c r="U259" i="31"/>
  <c r="U260" i="31"/>
  <c r="T260" i="31"/>
  <c r="U266" i="31"/>
  <c r="U271" i="31"/>
  <c r="U258" i="31"/>
  <c r="U281" i="31"/>
  <c r="U279" i="31"/>
  <c r="U275" i="31"/>
  <c r="U274" i="31"/>
  <c r="U276" i="31"/>
  <c r="V280" i="31"/>
  <c r="U283" i="31"/>
  <c r="V278" i="31"/>
  <c r="U265" i="31"/>
  <c r="U278" i="31"/>
  <c r="U262" i="31"/>
  <c r="W278" i="31"/>
  <c r="V262" i="31"/>
  <c r="V270" i="31"/>
  <c r="V261" i="31"/>
  <c r="V273" i="31"/>
  <c r="V274" i="31"/>
  <c r="V266" i="31"/>
  <c r="V286" i="31"/>
  <c r="V283" i="31"/>
  <c r="V275" i="31"/>
  <c r="V267" i="31"/>
  <c r="V272" i="31"/>
  <c r="V264" i="31"/>
  <c r="V277" i="31"/>
  <c r="V279" i="31"/>
  <c r="U273" i="31"/>
  <c r="V281" i="31"/>
  <c r="V269" i="31"/>
  <c r="V285" i="31"/>
  <c r="V265" i="31"/>
  <c r="V263" i="31"/>
  <c r="V268" i="31"/>
  <c r="V282" i="31"/>
  <c r="V284" i="31"/>
  <c r="W280" i="31"/>
  <c r="W284" i="31"/>
  <c r="W275" i="31"/>
  <c r="W276" i="31"/>
  <c r="W272" i="31"/>
  <c r="V276" i="31"/>
  <c r="W277" i="31"/>
  <c r="W273" i="31"/>
  <c r="W263" i="31"/>
  <c r="W270" i="31"/>
  <c r="W265" i="31"/>
  <c r="W285" i="31"/>
  <c r="W274" i="31"/>
  <c r="W269" i="31"/>
  <c r="V271" i="31"/>
  <c r="W268" i="31"/>
  <c r="V260" i="31"/>
  <c r="W279" i="31"/>
  <c r="W267" i="31"/>
  <c r="W281" i="31"/>
  <c r="W286" i="31"/>
  <c r="W283" i="31"/>
  <c r="X269" i="31"/>
  <c r="X276" i="31"/>
  <c r="X281" i="31"/>
  <c r="X268" i="31"/>
  <c r="X282" i="31"/>
  <c r="W271" i="31"/>
  <c r="W264" i="31"/>
  <c r="X278" i="31"/>
  <c r="W282" i="31"/>
  <c r="X266" i="31"/>
  <c r="W266" i="31"/>
  <c r="X270" i="31"/>
  <c r="X277" i="31"/>
  <c r="X272" i="31"/>
  <c r="X286" i="31"/>
  <c r="X271" i="31"/>
  <c r="X273" i="31"/>
  <c r="X275" i="31"/>
  <c r="X285" i="31"/>
  <c r="X267" i="31"/>
  <c r="Y283" i="31"/>
  <c r="X274" i="31"/>
  <c r="X280" i="31"/>
  <c r="X284" i="31"/>
  <c r="X279" i="31"/>
  <c r="Y279" i="31"/>
  <c r="Y284" i="31"/>
  <c r="Y278" i="31"/>
  <c r="Y280" i="31"/>
  <c r="Y270" i="31"/>
  <c r="Y272" i="31"/>
  <c r="X283" i="31"/>
  <c r="Y277" i="31"/>
  <c r="Y285" i="31"/>
  <c r="Y271" i="31"/>
  <c r="Y274" i="31"/>
  <c r="Y286" i="31"/>
  <c r="Y275" i="31"/>
  <c r="Z277" i="31"/>
  <c r="Y273" i="31"/>
  <c r="Y281" i="31"/>
  <c r="Y282" i="31"/>
  <c r="Y276" i="31"/>
  <c r="Y269" i="31"/>
  <c r="Z274" i="31"/>
  <c r="Z286" i="31"/>
  <c r="Z278" i="31"/>
  <c r="Z280" i="31"/>
  <c r="Z281" i="31"/>
  <c r="Z272" i="31"/>
  <c r="Z275" i="31"/>
  <c r="Z283" i="31"/>
  <c r="Z273" i="31"/>
  <c r="Z279" i="31"/>
  <c r="Z276" i="31"/>
  <c r="Z285" i="31"/>
  <c r="Z284" i="31"/>
  <c r="AA275" i="31"/>
  <c r="Z282" i="31"/>
  <c r="AA281" i="31"/>
  <c r="AA283" i="31"/>
  <c r="AA278" i="31"/>
  <c r="AA280" i="31"/>
  <c r="AA276" i="31"/>
  <c r="AA277" i="31"/>
  <c r="AA279" i="31"/>
  <c r="AA282" i="31"/>
  <c r="AB285" i="31"/>
  <c r="AA285" i="31"/>
  <c r="AB280" i="31"/>
  <c r="AA284" i="31"/>
  <c r="AB278" i="31"/>
  <c r="AB286" i="31"/>
  <c r="AB279" i="31"/>
  <c r="AB282" i="31"/>
  <c r="AB283" i="31"/>
  <c r="AA286" i="31"/>
  <c r="AB281" i="31"/>
  <c r="AB284" i="31"/>
  <c r="AC282" i="31"/>
  <c r="AC284" i="31"/>
  <c r="AC281" i="31"/>
  <c r="AC286" i="31"/>
  <c r="AC283" i="31"/>
  <c r="AC285" i="31"/>
  <c r="AD284" i="31"/>
  <c r="AD286" i="31"/>
  <c r="AD285" i="31"/>
  <c r="Q229" i="31"/>
  <c r="Q221" i="31"/>
  <c r="K220" i="31"/>
  <c r="Q216" i="31"/>
  <c r="K228" i="31"/>
  <c r="K227" i="31"/>
  <c r="K231" i="31"/>
  <c r="J201" i="31"/>
  <c r="K233" i="31"/>
  <c r="K219" i="31"/>
  <c r="K215" i="31"/>
  <c r="K221" i="31"/>
  <c r="J200" i="31"/>
  <c r="R212" i="31"/>
  <c r="P191" i="31"/>
  <c r="K232" i="31"/>
  <c r="K222" i="31"/>
  <c r="K223" i="31"/>
  <c r="K218" i="31"/>
  <c r="K225" i="31"/>
  <c r="K213" i="31"/>
  <c r="K216" i="31"/>
  <c r="K235" i="31"/>
  <c r="J210" i="31"/>
  <c r="K230" i="31"/>
  <c r="K212" i="31"/>
  <c r="Q223" i="31"/>
  <c r="K214" i="31"/>
  <c r="K217" i="31"/>
  <c r="P192" i="31"/>
  <c r="L226" i="31"/>
  <c r="L228" i="31"/>
  <c r="P205" i="31"/>
  <c r="R225" i="31"/>
  <c r="P215" i="31"/>
  <c r="P199" i="31"/>
  <c r="K226" i="31"/>
  <c r="R220" i="31"/>
  <c r="P230" i="31"/>
  <c r="P232" i="31"/>
  <c r="P214" i="31"/>
  <c r="L231" i="31"/>
  <c r="Q228" i="31"/>
  <c r="P206" i="31"/>
  <c r="P216" i="31"/>
  <c r="K229" i="31"/>
  <c r="P227" i="31"/>
  <c r="R217" i="31"/>
  <c r="P220" i="31"/>
  <c r="L230" i="31"/>
  <c r="R222" i="31"/>
  <c r="R199" i="31"/>
  <c r="L227" i="31"/>
  <c r="R227" i="31"/>
  <c r="P226" i="31"/>
  <c r="P198" i="31"/>
  <c r="P194" i="31"/>
  <c r="P225" i="31"/>
  <c r="P200" i="31"/>
  <c r="P221" i="31"/>
  <c r="P197" i="31"/>
  <c r="R226" i="31"/>
  <c r="P222" i="31"/>
  <c r="R209" i="31"/>
  <c r="K234" i="31"/>
  <c r="P202" i="31"/>
  <c r="P210" i="31"/>
  <c r="L234" i="31"/>
  <c r="P204" i="31"/>
  <c r="P218" i="31"/>
  <c r="L224" i="31"/>
  <c r="P196" i="31"/>
  <c r="P201" i="31"/>
  <c r="P229" i="31"/>
  <c r="P217" i="31"/>
  <c r="P213" i="31"/>
  <c r="L229" i="31"/>
  <c r="R214" i="31"/>
  <c r="P223" i="31"/>
  <c r="P224" i="31"/>
  <c r="L225" i="31"/>
  <c r="P211" i="31"/>
  <c r="P193" i="31"/>
  <c r="P231" i="31"/>
  <c r="P219" i="31"/>
  <c r="L235" i="31"/>
  <c r="P228" i="31"/>
  <c r="P235" i="31"/>
  <c r="P195" i="31"/>
  <c r="S226" i="31"/>
  <c r="P234" i="31"/>
  <c r="K224" i="31"/>
  <c r="L233" i="31"/>
  <c r="P212" i="31"/>
  <c r="P209" i="31"/>
  <c r="P208" i="31"/>
  <c r="P203" i="31"/>
  <c r="S221" i="31"/>
  <c r="S217" i="31"/>
  <c r="P233" i="31"/>
  <c r="S229" i="31"/>
  <c r="S227" i="31"/>
  <c r="S212" i="31"/>
  <c r="S216" i="31"/>
  <c r="P207" i="31"/>
  <c r="S206" i="31"/>
  <c r="S202" i="31"/>
  <c r="L232" i="31"/>
  <c r="S235" i="31"/>
  <c r="S223" i="31"/>
  <c r="S203" i="31"/>
  <c r="S224" i="31"/>
  <c r="S209" i="31"/>
  <c r="S220" i="31"/>
  <c r="S231" i="31"/>
  <c r="S222" i="31"/>
  <c r="S211" i="31"/>
  <c r="S208" i="31"/>
  <c r="S234" i="31"/>
  <c r="R235" i="31"/>
  <c r="S200" i="31"/>
  <c r="T210" i="31"/>
  <c r="S207" i="31"/>
  <c r="T230" i="31"/>
  <c r="S213" i="31"/>
  <c r="U230" i="31"/>
  <c r="T218" i="31"/>
  <c r="T233" i="31"/>
  <c r="T208" i="31"/>
  <c r="T206" i="31"/>
  <c r="T232" i="31"/>
  <c r="T204" i="31"/>
  <c r="T220" i="31"/>
  <c r="T223" i="31"/>
  <c r="T227" i="31"/>
  <c r="T231" i="31"/>
  <c r="T229" i="31"/>
  <c r="T224" i="31"/>
  <c r="T213" i="31"/>
  <c r="T212" i="31"/>
  <c r="T226" i="31"/>
  <c r="T234" i="31"/>
  <c r="T215" i="31"/>
  <c r="T209" i="31"/>
  <c r="T205" i="31"/>
  <c r="T214" i="31"/>
  <c r="T211" i="31"/>
  <c r="T235" i="31"/>
  <c r="T217" i="31"/>
  <c r="T219" i="31"/>
  <c r="T216" i="31"/>
  <c r="T207" i="31"/>
  <c r="T228" i="31"/>
  <c r="T225" i="31"/>
  <c r="T222" i="31"/>
  <c r="U215" i="31"/>
  <c r="U213" i="31"/>
  <c r="U229" i="31"/>
  <c r="U214" i="31"/>
  <c r="U228" i="31"/>
  <c r="U207" i="31"/>
  <c r="U235" i="31"/>
  <c r="U218" i="31"/>
  <c r="U212" i="31"/>
  <c r="U219" i="31"/>
  <c r="U234" i="31"/>
  <c r="U226" i="31"/>
  <c r="U223" i="31"/>
  <c r="U216" i="31"/>
  <c r="U227" i="31"/>
  <c r="U209" i="31"/>
  <c r="U222" i="31"/>
  <c r="U211" i="31"/>
  <c r="U224" i="31"/>
  <c r="U221" i="31"/>
  <c r="U232" i="31"/>
  <c r="U231" i="31"/>
  <c r="T203" i="31"/>
  <c r="U217" i="31"/>
  <c r="U233" i="31"/>
  <c r="V229" i="31"/>
  <c r="U225" i="31"/>
  <c r="U220" i="31"/>
  <c r="U210" i="31"/>
  <c r="U208" i="31"/>
  <c r="U206" i="31"/>
  <c r="W228" i="31"/>
  <c r="V232" i="31"/>
  <c r="V228" i="31"/>
  <c r="V211" i="31"/>
  <c r="V230" i="31"/>
  <c r="V221" i="31"/>
  <c r="V224" i="31"/>
  <c r="V233" i="31"/>
  <c r="V235" i="31"/>
  <c r="V214" i="31"/>
  <c r="V216" i="31"/>
  <c r="V220" i="31"/>
  <c r="V215" i="31"/>
  <c r="V234" i="31"/>
  <c r="V219" i="31"/>
  <c r="V212" i="31"/>
  <c r="V213" i="31"/>
  <c r="V225" i="31"/>
  <c r="V209" i="31"/>
  <c r="V231" i="31"/>
  <c r="V210" i="31"/>
  <c r="V217" i="31"/>
  <c r="V218" i="31"/>
  <c r="V223" i="31"/>
  <c r="V222" i="31"/>
  <c r="V226" i="31"/>
  <c r="W215" i="31"/>
  <c r="W233" i="31"/>
  <c r="W232" i="31"/>
  <c r="W229" i="31"/>
  <c r="W218" i="31"/>
  <c r="V227" i="31"/>
  <c r="W213" i="31"/>
  <c r="W227" i="31"/>
  <c r="W224" i="31"/>
  <c r="W223" i="31"/>
  <c r="W221" i="31"/>
  <c r="W226" i="31"/>
  <c r="W212" i="31"/>
  <c r="W234" i="31"/>
  <c r="W225" i="31"/>
  <c r="W222" i="31"/>
  <c r="X232" i="31"/>
  <c r="W217" i="31"/>
  <c r="W214" i="31"/>
  <c r="W235" i="31"/>
  <c r="W230" i="31"/>
  <c r="W220" i="31"/>
  <c r="W216" i="31"/>
  <c r="X221" i="31"/>
  <c r="X230" i="31"/>
  <c r="X235" i="31"/>
  <c r="X219" i="31"/>
  <c r="W231" i="31"/>
  <c r="X224" i="31"/>
  <c r="X229" i="31"/>
  <c r="X226" i="31"/>
  <c r="X218" i="31"/>
  <c r="W219" i="31"/>
  <c r="X217" i="31"/>
  <c r="X231" i="31"/>
  <c r="X220" i="31"/>
  <c r="X216" i="31"/>
  <c r="X233" i="31"/>
  <c r="X227" i="31"/>
  <c r="X222" i="31"/>
  <c r="X215" i="31"/>
  <c r="Y229" i="31"/>
  <c r="X223" i="31"/>
  <c r="X234" i="31"/>
  <c r="Y221" i="31"/>
  <c r="X225" i="31"/>
  <c r="X228" i="31"/>
  <c r="Y225" i="31"/>
  <c r="Y233" i="31"/>
  <c r="Y226" i="31"/>
  <c r="Y223" i="31"/>
  <c r="Y228" i="31"/>
  <c r="Y227" i="31"/>
  <c r="Y219" i="31"/>
  <c r="Y235" i="31"/>
  <c r="Y218" i="31"/>
  <c r="Y220" i="31"/>
  <c r="Y224" i="31"/>
  <c r="Y234" i="31"/>
  <c r="Y222" i="31"/>
  <c r="Y230" i="31"/>
  <c r="Y231" i="31"/>
  <c r="Z228" i="31"/>
  <c r="Z231" i="31"/>
  <c r="Z223" i="31"/>
  <c r="Z232" i="31"/>
  <c r="Z234" i="31"/>
  <c r="Z229" i="31"/>
  <c r="Z227" i="31"/>
  <c r="Z222" i="31"/>
  <c r="Z230" i="31"/>
  <c r="Y232" i="31"/>
  <c r="Z221" i="31"/>
  <c r="Z226" i="31"/>
  <c r="Z233" i="31"/>
  <c r="Z225" i="31"/>
  <c r="Z235" i="31"/>
  <c r="AB229" i="31"/>
  <c r="AA227" i="31"/>
  <c r="AA230" i="31"/>
  <c r="Z224" i="31"/>
  <c r="AA234" i="31"/>
  <c r="AA224" i="31"/>
  <c r="AA226" i="31"/>
  <c r="AA228" i="31"/>
  <c r="AA233" i="31"/>
  <c r="AA235" i="31"/>
  <c r="AA229" i="31"/>
  <c r="AA225" i="31"/>
  <c r="AA232" i="31"/>
  <c r="AB227" i="31"/>
  <c r="AB230" i="31"/>
  <c r="AB235" i="31"/>
  <c r="AB233" i="31"/>
  <c r="AA231" i="31"/>
  <c r="AB232" i="31"/>
  <c r="AC235" i="31"/>
  <c r="AB234" i="31"/>
  <c r="AB228" i="31"/>
  <c r="AB231" i="31"/>
  <c r="AC230" i="31"/>
  <c r="AC231" i="31"/>
  <c r="AC232" i="31"/>
  <c r="AD235" i="31"/>
  <c r="AC234" i="31"/>
  <c r="AC233" i="31"/>
  <c r="AD233" i="31"/>
  <c r="AD234" i="31"/>
  <c r="J23" i="31"/>
  <c r="Q22" i="31"/>
  <c r="J22" i="31"/>
  <c r="P22" i="31"/>
  <c r="P23" i="31"/>
  <c r="K23" i="31"/>
  <c r="Q23" i="31"/>
  <c r="K22" i="31"/>
  <c r="R22" i="31"/>
  <c r="S22" i="31"/>
  <c r="L22" i="31"/>
  <c r="S23" i="31"/>
  <c r="R23" i="31"/>
  <c r="L23" i="31"/>
  <c r="T22" i="31"/>
  <c r="M23" i="31"/>
  <c r="M22" i="31"/>
  <c r="T23" i="31"/>
  <c r="U23" i="31"/>
  <c r="U22" i="31"/>
  <c r="V22" i="31"/>
  <c r="V23" i="31"/>
  <c r="W22" i="31"/>
  <c r="W23" i="31"/>
  <c r="X23" i="31"/>
  <c r="X22" i="31"/>
  <c r="Y22" i="31"/>
  <c r="Y23" i="31"/>
  <c r="Z23" i="31"/>
  <c r="Z22" i="31"/>
  <c r="AA23" i="31"/>
  <c r="AA22" i="31"/>
  <c r="AB23" i="31"/>
  <c r="AB22" i="31"/>
  <c r="AC23" i="31"/>
  <c r="AC22" i="31"/>
  <c r="AD23" i="31"/>
  <c r="AD22" i="31"/>
  <c r="AE23" i="31"/>
  <c r="AE22" i="31"/>
  <c r="P89" i="31"/>
  <c r="P166" i="31"/>
  <c r="P90" i="31"/>
  <c r="P160" i="31"/>
  <c r="P173" i="31"/>
  <c r="P162" i="31"/>
  <c r="P149" i="31"/>
  <c r="P111" i="31"/>
  <c r="P156" i="31"/>
  <c r="P100" i="31"/>
  <c r="P155" i="31"/>
  <c r="P131" i="31"/>
  <c r="P146" i="31"/>
  <c r="P172" i="31"/>
  <c r="P144" i="31"/>
  <c r="P96" i="31"/>
  <c r="P92" i="31"/>
  <c r="P101" i="31"/>
  <c r="P150" i="31"/>
  <c r="P177" i="31"/>
  <c r="P183" i="31"/>
  <c r="P151" i="31"/>
  <c r="P170" i="31"/>
  <c r="P161" i="31"/>
  <c r="P168" i="31"/>
  <c r="P176" i="31"/>
  <c r="P180" i="31"/>
  <c r="P115" i="31"/>
  <c r="P179" i="31"/>
  <c r="P113" i="31"/>
  <c r="P167" i="31"/>
  <c r="P119" i="31"/>
  <c r="P163" i="31"/>
  <c r="P128" i="31"/>
  <c r="P140" i="31"/>
  <c r="P130" i="31"/>
  <c r="P169" i="31"/>
  <c r="P112" i="31"/>
  <c r="P97" i="31"/>
  <c r="P108" i="31"/>
  <c r="P109" i="31"/>
  <c r="P94" i="31"/>
  <c r="P116" i="31"/>
  <c r="P182" i="31"/>
  <c r="P178" i="31"/>
  <c r="P104" i="31"/>
  <c r="P127" i="31"/>
  <c r="P125" i="31"/>
  <c r="P106" i="31"/>
  <c r="P175" i="31"/>
  <c r="P159" i="31"/>
  <c r="Q156" i="31"/>
  <c r="P121" i="31"/>
  <c r="P133" i="31"/>
  <c r="P147" i="31"/>
  <c r="P93" i="31"/>
  <c r="P184" i="31"/>
  <c r="P164" i="31"/>
  <c r="P143" i="31"/>
  <c r="Q96" i="31"/>
  <c r="Q104" i="31"/>
  <c r="P95" i="31"/>
  <c r="P91" i="31"/>
  <c r="P102" i="31"/>
  <c r="P132" i="31"/>
  <c r="P152" i="31"/>
  <c r="P122" i="31"/>
  <c r="P107" i="31"/>
  <c r="P145" i="31"/>
  <c r="P174" i="31"/>
  <c r="Q94" i="31"/>
  <c r="P126" i="31"/>
  <c r="P129" i="31"/>
  <c r="P117" i="31"/>
  <c r="Q128" i="31"/>
  <c r="P181" i="31"/>
  <c r="P148" i="31"/>
  <c r="P154" i="31"/>
  <c r="P103" i="31"/>
  <c r="P153" i="31"/>
  <c r="P98" i="31"/>
  <c r="P120" i="31"/>
  <c r="Q147" i="31"/>
  <c r="Q178" i="31"/>
  <c r="P110" i="31"/>
  <c r="P141" i="31"/>
  <c r="Q129" i="31"/>
  <c r="Q98" i="31"/>
  <c r="P124" i="31"/>
  <c r="P157" i="31"/>
  <c r="Q157" i="31"/>
  <c r="P158" i="31"/>
  <c r="P114" i="31"/>
  <c r="Q153" i="31"/>
  <c r="Q169" i="31"/>
  <c r="Q93" i="31"/>
  <c r="Q109" i="31"/>
  <c r="Q133" i="31"/>
  <c r="Q132" i="31"/>
  <c r="Q121" i="31"/>
  <c r="Q107" i="31"/>
  <c r="Q92" i="31"/>
  <c r="P142" i="31"/>
  <c r="Q116" i="31"/>
  <c r="Q150" i="31"/>
  <c r="Q179" i="31"/>
  <c r="P123" i="31"/>
  <c r="Q110" i="31"/>
  <c r="Q103" i="31"/>
  <c r="Q181" i="31"/>
  <c r="Q167" i="31"/>
  <c r="Q106" i="31"/>
  <c r="Q123" i="31"/>
  <c r="Q102" i="31"/>
  <c r="Q122" i="31"/>
  <c r="P99" i="31"/>
  <c r="P105" i="31"/>
  <c r="Q131" i="31"/>
  <c r="P165" i="31"/>
  <c r="Q101" i="31"/>
  <c r="Q130" i="31"/>
  <c r="P171" i="31"/>
  <c r="Q161" i="31"/>
  <c r="Q120" i="31"/>
  <c r="Q112" i="31"/>
  <c r="Q166" i="31"/>
  <c r="Q165" i="31"/>
  <c r="Q151" i="31"/>
  <c r="Q111" i="31"/>
  <c r="Q95" i="31"/>
  <c r="Q100" i="31"/>
  <c r="Q184" i="31"/>
  <c r="Q119" i="31"/>
  <c r="Q176" i="31"/>
  <c r="Q113" i="31"/>
  <c r="Q115" i="31"/>
  <c r="Q160" i="31"/>
  <c r="Q124" i="31"/>
  <c r="P118" i="31"/>
  <c r="Q148" i="31"/>
  <c r="Q108" i="31"/>
  <c r="R150" i="31"/>
  <c r="Q177" i="31"/>
  <c r="Q127" i="31"/>
  <c r="Q117" i="31"/>
  <c r="Q118" i="31"/>
  <c r="Q126" i="31"/>
  <c r="Q97" i="31"/>
  <c r="Q168" i="31"/>
  <c r="Q145" i="31"/>
  <c r="Q144" i="31"/>
  <c r="Q114" i="31"/>
  <c r="Q159" i="31"/>
  <c r="Q174" i="31"/>
  <c r="Q143" i="31"/>
  <c r="R122" i="31"/>
  <c r="Q170" i="31"/>
  <c r="Q152" i="31"/>
  <c r="R107" i="31"/>
  <c r="R166" i="31"/>
  <c r="Q173" i="31"/>
  <c r="Q164" i="31"/>
  <c r="R167" i="31"/>
  <c r="R129" i="31"/>
  <c r="Q155" i="31"/>
  <c r="Q175" i="31"/>
  <c r="Q171" i="31"/>
  <c r="Q172" i="31"/>
  <c r="R132" i="31"/>
  <c r="R173" i="31"/>
  <c r="Q183" i="31"/>
  <c r="R120" i="31"/>
  <c r="R113" i="31"/>
  <c r="R98" i="31"/>
  <c r="R154" i="31"/>
  <c r="R126" i="31"/>
  <c r="R183" i="31"/>
  <c r="R152" i="31"/>
  <c r="R148" i="31"/>
  <c r="Q182" i="31"/>
  <c r="Q149" i="31"/>
  <c r="R106" i="31"/>
  <c r="R184" i="31"/>
  <c r="R163" i="31"/>
  <c r="R114" i="31"/>
  <c r="R164" i="31"/>
  <c r="R156" i="31"/>
  <c r="Q154" i="31"/>
  <c r="R176" i="31"/>
  <c r="R124" i="31"/>
  <c r="R151" i="31"/>
  <c r="Q163" i="31"/>
  <c r="Q162" i="31"/>
  <c r="R111" i="31"/>
  <c r="R169" i="31"/>
  <c r="R108" i="31"/>
  <c r="R177" i="31"/>
  <c r="Q146" i="31"/>
  <c r="R128" i="31"/>
  <c r="R146" i="31"/>
  <c r="R116" i="31"/>
  <c r="R119" i="31"/>
  <c r="Q180" i="31"/>
  <c r="R178" i="31"/>
  <c r="R112" i="31"/>
  <c r="R158" i="31"/>
  <c r="R133" i="31"/>
  <c r="R103" i="31"/>
  <c r="R160" i="31"/>
  <c r="Q158" i="31"/>
  <c r="R147" i="31"/>
  <c r="R109" i="31"/>
  <c r="R157" i="31"/>
  <c r="R131" i="31"/>
  <c r="R99" i="31"/>
  <c r="R168" i="31"/>
  <c r="R174" i="31"/>
  <c r="R118" i="31"/>
  <c r="R170" i="31"/>
  <c r="S102" i="31"/>
  <c r="S109" i="31"/>
  <c r="S170" i="31"/>
  <c r="S113" i="31"/>
  <c r="S173" i="31"/>
  <c r="S105" i="31"/>
  <c r="S158" i="31"/>
  <c r="S104" i="31"/>
  <c r="S161" i="31"/>
  <c r="S180" i="31"/>
  <c r="S168" i="31"/>
  <c r="S152" i="31"/>
  <c r="S128" i="31"/>
  <c r="S111" i="31"/>
  <c r="R95" i="31"/>
  <c r="K129" i="31"/>
  <c r="K169" i="31"/>
  <c r="K114" i="31"/>
  <c r="K121" i="31"/>
  <c r="K120" i="31"/>
  <c r="K175" i="31"/>
  <c r="K118" i="31"/>
  <c r="K181" i="31"/>
  <c r="K162" i="31"/>
  <c r="K171" i="31"/>
  <c r="K128" i="31"/>
  <c r="K117" i="31"/>
  <c r="K176" i="31"/>
  <c r="K166" i="31"/>
  <c r="K167" i="31"/>
  <c r="K179" i="31"/>
  <c r="K123" i="31"/>
  <c r="K168" i="31"/>
  <c r="K164" i="31"/>
  <c r="K130" i="31"/>
  <c r="K131" i="31"/>
  <c r="K112" i="31"/>
  <c r="K183" i="31"/>
  <c r="K119" i="31"/>
  <c r="K125" i="31"/>
  <c r="K177" i="31"/>
  <c r="K124" i="31"/>
  <c r="K173" i="31"/>
  <c r="K110" i="31"/>
  <c r="K133" i="31"/>
  <c r="K111" i="31"/>
  <c r="K127" i="31"/>
  <c r="L122" i="31"/>
  <c r="L126" i="31"/>
  <c r="L179" i="31"/>
  <c r="K163" i="31"/>
  <c r="L178" i="31"/>
  <c r="K165" i="31"/>
  <c r="L124" i="31"/>
  <c r="K172" i="31"/>
  <c r="K113" i="31"/>
  <c r="K132" i="31"/>
  <c r="L173" i="31"/>
  <c r="K182" i="31"/>
  <c r="K115" i="31"/>
  <c r="L181" i="31"/>
  <c r="L131" i="31"/>
  <c r="K161" i="31"/>
  <c r="L133" i="31"/>
  <c r="K178" i="31"/>
  <c r="L182" i="31"/>
  <c r="K170" i="31"/>
  <c r="K184" i="31"/>
  <c r="K126" i="31"/>
  <c r="L129" i="31"/>
  <c r="K174" i="31"/>
  <c r="K116" i="31"/>
  <c r="L180" i="31"/>
  <c r="L125" i="31"/>
  <c r="L176" i="31"/>
  <c r="L123" i="31"/>
  <c r="L128" i="31"/>
  <c r="L174" i="31"/>
  <c r="S165" i="31"/>
  <c r="K122" i="31"/>
  <c r="K180" i="31"/>
  <c r="L132" i="31"/>
  <c r="L184" i="31"/>
  <c r="L127" i="31"/>
  <c r="L130" i="31"/>
  <c r="L183" i="31"/>
  <c r="S166" i="31"/>
  <c r="S122" i="31"/>
  <c r="S157" i="31"/>
  <c r="S175" i="31"/>
  <c r="S182" i="31"/>
  <c r="S130" i="31"/>
  <c r="S103" i="31"/>
  <c r="S164" i="31"/>
  <c r="S112" i="31"/>
  <c r="S184" i="31"/>
  <c r="S153" i="31"/>
  <c r="S106" i="31"/>
  <c r="S167" i="31"/>
  <c r="S151" i="31"/>
  <c r="S98" i="31"/>
  <c r="S110" i="31"/>
  <c r="S178" i="31"/>
  <c r="S177" i="31"/>
  <c r="S123" i="31"/>
  <c r="S115" i="31"/>
  <c r="S119" i="31"/>
  <c r="S163" i="31"/>
  <c r="S171" i="31"/>
  <c r="S176" i="31"/>
  <c r="S127" i="31"/>
  <c r="S133" i="31"/>
  <c r="S117" i="31"/>
  <c r="S126" i="31"/>
  <c r="S155" i="31"/>
  <c r="S169" i="31"/>
  <c r="S179" i="31"/>
  <c r="S154" i="31"/>
  <c r="S131" i="31"/>
  <c r="S125" i="31"/>
  <c r="S162" i="31"/>
  <c r="S124" i="31"/>
  <c r="S159" i="31"/>
  <c r="S121" i="31"/>
  <c r="L175" i="31"/>
  <c r="S99" i="31"/>
  <c r="L177" i="31"/>
  <c r="S129" i="31"/>
  <c r="S101" i="31"/>
  <c r="S132" i="31"/>
  <c r="S181" i="31"/>
  <c r="S183" i="31"/>
  <c r="S120" i="31"/>
  <c r="S160" i="31"/>
  <c r="T110" i="31"/>
  <c r="T116" i="31"/>
  <c r="T164" i="31"/>
  <c r="T121" i="31"/>
  <c r="T113" i="31"/>
  <c r="T101" i="31"/>
  <c r="T166" i="31"/>
  <c r="T106" i="31"/>
  <c r="T132" i="31"/>
  <c r="T154" i="31"/>
  <c r="T171" i="31"/>
  <c r="T119" i="31"/>
  <c r="T178" i="31"/>
  <c r="T133" i="31"/>
  <c r="T107" i="31"/>
  <c r="T104" i="31"/>
  <c r="T102" i="31"/>
  <c r="T123" i="31"/>
  <c r="T158" i="31"/>
  <c r="T126" i="31"/>
  <c r="T153" i="31"/>
  <c r="T179" i="31"/>
  <c r="T159" i="31"/>
  <c r="T125" i="31"/>
  <c r="T115" i="31"/>
  <c r="T108" i="31"/>
  <c r="T111" i="31"/>
  <c r="T169" i="31"/>
  <c r="T155" i="31"/>
  <c r="T131" i="31"/>
  <c r="T161" i="31"/>
  <c r="T156" i="31"/>
  <c r="T157" i="31"/>
  <c r="T122" i="31"/>
  <c r="T152" i="31"/>
  <c r="T175" i="31"/>
  <c r="T174" i="31"/>
  <c r="T173" i="31"/>
  <c r="T168" i="31"/>
  <c r="T181" i="31"/>
  <c r="T160" i="31"/>
  <c r="T167" i="31"/>
  <c r="T117" i="31"/>
  <c r="T128" i="31"/>
  <c r="T112" i="31"/>
  <c r="T184" i="31"/>
  <c r="T127" i="31"/>
  <c r="T109" i="31"/>
  <c r="T124" i="31"/>
  <c r="T120" i="31"/>
  <c r="T165" i="31"/>
  <c r="T183" i="31"/>
  <c r="T180" i="31"/>
  <c r="T163" i="31"/>
  <c r="T176" i="31"/>
  <c r="T118" i="31"/>
  <c r="T182" i="31"/>
  <c r="T114" i="31"/>
  <c r="T162" i="31"/>
  <c r="T177" i="31"/>
  <c r="T130" i="31"/>
  <c r="T129" i="31"/>
  <c r="T170" i="31"/>
  <c r="T103" i="31"/>
  <c r="U125" i="31"/>
  <c r="U182" i="31"/>
  <c r="U120" i="31"/>
  <c r="U110" i="31"/>
  <c r="U128" i="31"/>
  <c r="U131" i="31"/>
  <c r="U162" i="31"/>
  <c r="U160" i="31"/>
  <c r="U114" i="31"/>
  <c r="U170" i="31"/>
  <c r="U166" i="31"/>
  <c r="U108" i="31"/>
  <c r="U161" i="31"/>
  <c r="U115" i="31"/>
  <c r="U173" i="31"/>
  <c r="U127" i="31"/>
  <c r="U158" i="31"/>
  <c r="U117" i="31"/>
  <c r="U133" i="31"/>
  <c r="U174" i="31"/>
  <c r="U171" i="31"/>
  <c r="U172" i="31"/>
  <c r="U180" i="31"/>
  <c r="U112" i="31"/>
  <c r="U122" i="31"/>
  <c r="U113" i="31"/>
  <c r="U121" i="31"/>
  <c r="U104" i="31"/>
  <c r="U156" i="31"/>
  <c r="U109" i="31"/>
  <c r="U123" i="31"/>
  <c r="U106" i="31"/>
  <c r="U179" i="31"/>
  <c r="U163" i="31"/>
  <c r="U178" i="31"/>
  <c r="U157" i="31"/>
  <c r="U175" i="31"/>
  <c r="U130" i="31"/>
  <c r="U116" i="31"/>
  <c r="U155" i="31"/>
  <c r="V179" i="31"/>
  <c r="U184" i="31"/>
  <c r="U168" i="31"/>
  <c r="U132" i="31"/>
  <c r="U164" i="31"/>
  <c r="U165" i="31"/>
  <c r="U111" i="31"/>
  <c r="U105" i="31"/>
  <c r="U181" i="31"/>
  <c r="U129" i="31"/>
  <c r="U167" i="31"/>
  <c r="U126" i="31"/>
  <c r="U177" i="31"/>
  <c r="U159" i="31"/>
  <c r="U169" i="31"/>
  <c r="U119" i="31"/>
  <c r="U124" i="31"/>
  <c r="U176" i="31"/>
  <c r="U118" i="31"/>
  <c r="U107" i="31"/>
  <c r="U183" i="31"/>
  <c r="V118" i="31"/>
  <c r="V131" i="31"/>
  <c r="V116" i="31"/>
  <c r="V166" i="31"/>
  <c r="V126" i="31"/>
  <c r="V117" i="31"/>
  <c r="V110" i="31"/>
  <c r="V162" i="31"/>
  <c r="V108" i="31"/>
  <c r="V170" i="31"/>
  <c r="V175" i="31"/>
  <c r="V114" i="31"/>
  <c r="V182" i="31"/>
  <c r="V121" i="31"/>
  <c r="V177" i="31"/>
  <c r="V165" i="31"/>
  <c r="V168" i="31"/>
  <c r="V122" i="31"/>
  <c r="V130" i="31"/>
  <c r="V163" i="31"/>
  <c r="V158" i="31"/>
  <c r="V119" i="31"/>
  <c r="V127" i="31"/>
  <c r="V129" i="31"/>
  <c r="V128" i="31"/>
  <c r="V159" i="31"/>
  <c r="V113" i="31"/>
  <c r="V169" i="31"/>
  <c r="V120" i="31"/>
  <c r="V132" i="31"/>
  <c r="V160" i="31"/>
  <c r="V167" i="31"/>
  <c r="V133" i="31"/>
  <c r="V178" i="31"/>
  <c r="V180" i="31"/>
  <c r="V107" i="31"/>
  <c r="V109" i="31"/>
  <c r="V171" i="31"/>
  <c r="V173" i="31"/>
  <c r="V183" i="31"/>
  <c r="V111" i="31"/>
  <c r="V174" i="31"/>
  <c r="V184" i="31"/>
  <c r="V115" i="31"/>
  <c r="V181" i="31"/>
  <c r="V164" i="31"/>
  <c r="V123" i="31"/>
  <c r="V125" i="31"/>
  <c r="V176" i="31"/>
  <c r="V124" i="31"/>
  <c r="V161" i="31"/>
  <c r="V172" i="31"/>
  <c r="W166" i="31"/>
  <c r="W129" i="31"/>
  <c r="W174" i="31"/>
  <c r="W167" i="31"/>
  <c r="W168" i="31"/>
  <c r="W117" i="31"/>
  <c r="W125" i="31"/>
  <c r="W161" i="31"/>
  <c r="W123" i="31"/>
  <c r="W122" i="31"/>
  <c r="W173" i="31"/>
  <c r="W132" i="31"/>
  <c r="W165" i="31"/>
  <c r="W184" i="31"/>
  <c r="W172" i="31"/>
  <c r="W180" i="31"/>
  <c r="W110" i="31"/>
  <c r="W115" i="31"/>
  <c r="W119" i="31"/>
  <c r="W171" i="31"/>
  <c r="W169" i="31"/>
  <c r="W178" i="31"/>
  <c r="W163" i="31"/>
  <c r="W121" i="31"/>
  <c r="W128" i="31"/>
  <c r="W126" i="31"/>
  <c r="W170" i="31"/>
  <c r="W131" i="31"/>
  <c r="W127" i="31"/>
  <c r="V112" i="31"/>
  <c r="W175" i="31"/>
  <c r="W177" i="31"/>
  <c r="W183" i="31"/>
  <c r="W176" i="31"/>
  <c r="W182" i="31"/>
  <c r="W124" i="31"/>
  <c r="W112" i="31"/>
  <c r="W111" i="31"/>
  <c r="W113" i="31"/>
  <c r="W164" i="31"/>
  <c r="W120" i="31"/>
  <c r="W118" i="31"/>
  <c r="W130" i="31"/>
  <c r="W181" i="31"/>
  <c r="W179" i="31"/>
  <c r="W162" i="31"/>
  <c r="X118" i="31"/>
  <c r="W114" i="31"/>
  <c r="W116" i="31"/>
  <c r="W133" i="31"/>
  <c r="X170" i="31"/>
  <c r="X130" i="31"/>
  <c r="X119" i="31"/>
  <c r="X116" i="31"/>
  <c r="X172" i="31"/>
  <c r="X117" i="31"/>
  <c r="X169" i="31"/>
  <c r="X171" i="31"/>
  <c r="X121" i="31"/>
  <c r="X124" i="31"/>
  <c r="X127" i="31"/>
  <c r="X115" i="31"/>
  <c r="X177" i="31"/>
  <c r="X128" i="31"/>
  <c r="X125" i="31"/>
  <c r="X165" i="31"/>
  <c r="X178" i="31"/>
  <c r="X133" i="31"/>
  <c r="X164" i="31"/>
  <c r="X113" i="31"/>
  <c r="X176" i="31"/>
  <c r="X166" i="31"/>
  <c r="X129" i="31"/>
  <c r="X174" i="31"/>
  <c r="X122" i="31"/>
  <c r="X184" i="31"/>
  <c r="X114" i="31"/>
  <c r="X179" i="31"/>
  <c r="X126" i="31"/>
  <c r="X132" i="31"/>
  <c r="X181" i="31"/>
  <c r="X168" i="31"/>
  <c r="X173" i="31"/>
  <c r="X167" i="31"/>
  <c r="X183" i="31"/>
  <c r="X175" i="31"/>
  <c r="X123" i="31"/>
  <c r="X131" i="31"/>
  <c r="X180" i="31"/>
  <c r="X120" i="31"/>
  <c r="X182" i="31"/>
  <c r="Y177" i="31"/>
  <c r="Y167" i="31"/>
  <c r="Y122" i="31"/>
  <c r="Y125" i="31"/>
  <c r="Y116" i="31"/>
  <c r="Y175" i="31"/>
  <c r="Y172" i="31"/>
  <c r="Y171" i="31"/>
  <c r="Y180" i="31"/>
  <c r="Y127" i="31"/>
  <c r="Y123" i="31"/>
  <c r="Y133" i="31"/>
  <c r="Y132" i="31"/>
  <c r="Y182" i="31"/>
  <c r="Y130" i="31"/>
  <c r="Y121" i="31"/>
  <c r="Y173" i="31"/>
  <c r="Y118" i="31"/>
  <c r="Y128" i="31"/>
  <c r="Y174" i="31"/>
  <c r="Y178" i="31"/>
  <c r="Y131" i="31"/>
  <c r="Y119" i="31"/>
  <c r="Y169" i="31"/>
  <c r="Y126" i="31"/>
  <c r="Y129" i="31"/>
  <c r="Y184" i="31"/>
  <c r="Y179" i="31"/>
  <c r="Y170" i="31"/>
  <c r="Y117" i="31"/>
  <c r="Y176" i="31"/>
  <c r="Y120" i="31"/>
  <c r="Y183" i="31"/>
  <c r="Y181" i="31"/>
  <c r="Y168" i="31"/>
  <c r="Y124" i="31"/>
  <c r="Z123" i="31"/>
  <c r="Z127" i="31"/>
  <c r="Z119" i="31"/>
  <c r="Z130" i="31"/>
  <c r="Z179" i="31"/>
  <c r="Z184" i="31"/>
  <c r="Z171" i="31"/>
  <c r="Z182" i="31"/>
  <c r="Z133" i="31"/>
  <c r="Z122" i="31"/>
  <c r="Z174" i="31"/>
  <c r="Z172" i="31"/>
  <c r="Z176" i="31"/>
  <c r="Z181" i="31"/>
  <c r="Z129" i="31"/>
  <c r="Z132" i="31"/>
  <c r="Z124" i="31"/>
  <c r="Z178" i="31"/>
  <c r="Z170" i="31"/>
  <c r="Z126" i="31"/>
  <c r="Z175" i="31"/>
  <c r="Z128" i="31"/>
  <c r="Z125" i="31"/>
  <c r="Z131" i="31"/>
  <c r="Z180" i="31"/>
  <c r="Z120" i="31"/>
  <c r="Z183" i="31"/>
  <c r="Z173" i="31"/>
  <c r="Z121" i="31"/>
  <c r="Z177" i="31"/>
  <c r="AA132" i="31"/>
  <c r="AA124" i="31"/>
  <c r="AA130" i="31"/>
  <c r="AA129" i="31"/>
  <c r="AA181" i="31"/>
  <c r="AA183" i="31"/>
  <c r="AA125" i="31"/>
  <c r="AA133" i="31"/>
  <c r="AA174" i="31"/>
  <c r="AA179" i="31"/>
  <c r="AA175" i="31"/>
  <c r="AA127" i="31"/>
  <c r="AA128" i="31"/>
  <c r="AA176" i="31"/>
  <c r="AA178" i="31"/>
  <c r="AA180" i="31"/>
  <c r="AA173" i="31"/>
  <c r="AA122" i="31"/>
  <c r="AA131" i="31"/>
  <c r="AA184" i="31"/>
  <c r="AA126" i="31"/>
  <c r="AA182" i="31"/>
  <c r="AA123" i="31"/>
  <c r="AB130" i="31"/>
  <c r="AB184" i="31"/>
  <c r="AB129" i="31"/>
  <c r="AB125" i="31"/>
  <c r="AA177" i="31"/>
  <c r="AB132" i="31"/>
  <c r="AB183" i="31"/>
  <c r="AB127" i="31"/>
  <c r="AB182" i="31"/>
  <c r="AB178" i="31"/>
  <c r="AB179" i="31"/>
  <c r="AB126" i="31"/>
  <c r="AB131" i="31"/>
  <c r="AB176" i="31"/>
  <c r="AB180" i="31"/>
  <c r="AB177" i="31"/>
  <c r="AB133" i="31"/>
  <c r="AB181" i="31"/>
  <c r="AC128" i="31"/>
  <c r="AC183" i="31"/>
  <c r="AC132" i="31"/>
  <c r="AC180" i="31"/>
  <c r="AC130" i="31"/>
  <c r="AC181" i="31"/>
  <c r="AC129" i="31"/>
  <c r="AC133" i="31"/>
  <c r="AB128" i="31"/>
  <c r="AC184" i="31"/>
  <c r="AC182" i="31"/>
  <c r="AC131" i="31"/>
  <c r="AD132" i="31"/>
  <c r="AC179" i="31"/>
  <c r="AD183" i="31"/>
  <c r="AD182" i="31"/>
  <c r="AD184" i="31"/>
  <c r="AD133" i="31"/>
  <c r="AD131" i="31"/>
  <c r="Z80" i="31"/>
  <c r="Y78" i="31"/>
  <c r="Z81" i="31"/>
  <c r="T79" i="31"/>
  <c r="P38" i="31"/>
  <c r="R62" i="31"/>
  <c r="Q42" i="31"/>
  <c r="P40" i="31"/>
  <c r="P39" i="31"/>
  <c r="Q43" i="31"/>
  <c r="Q44" i="31"/>
  <c r="S64" i="31"/>
  <c r="S73" i="31"/>
  <c r="S71" i="31"/>
  <c r="S70" i="31"/>
  <c r="S53" i="31"/>
  <c r="P42" i="31"/>
  <c r="S66" i="31"/>
  <c r="S68" i="31"/>
  <c r="S81" i="31"/>
  <c r="S69" i="31"/>
  <c r="S82" i="31"/>
  <c r="S65" i="31"/>
  <c r="S47" i="31"/>
  <c r="S50" i="31"/>
  <c r="S63" i="31"/>
  <c r="S55" i="31"/>
  <c r="Q45" i="31"/>
  <c r="T75" i="31"/>
  <c r="P43" i="31"/>
  <c r="T77" i="31"/>
  <c r="T72" i="31"/>
  <c r="T65" i="31"/>
  <c r="T58" i="31"/>
  <c r="T56" i="31"/>
  <c r="T74" i="31"/>
  <c r="T52" i="31"/>
  <c r="T60" i="31"/>
  <c r="T54" i="31"/>
  <c r="T57" i="31"/>
  <c r="T68" i="31"/>
  <c r="Q46" i="31"/>
  <c r="P41" i="31"/>
  <c r="T50" i="31"/>
  <c r="T70" i="31"/>
  <c r="T55" i="31"/>
  <c r="T76" i="31"/>
  <c r="T67" i="31"/>
  <c r="T82" i="31"/>
  <c r="U59" i="31"/>
  <c r="P44" i="31"/>
  <c r="T53" i="31"/>
  <c r="T73" i="31"/>
  <c r="T66" i="31"/>
  <c r="T69" i="31"/>
  <c r="U56" i="31"/>
  <c r="U69" i="31"/>
  <c r="U53" i="31"/>
  <c r="Q48" i="31"/>
  <c r="P45" i="31"/>
  <c r="U68" i="31"/>
  <c r="U79" i="31"/>
  <c r="U77" i="31"/>
  <c r="P46" i="31"/>
  <c r="U64" i="31"/>
  <c r="U62" i="31"/>
  <c r="U54" i="31"/>
  <c r="U76" i="31"/>
  <c r="U80" i="31"/>
  <c r="U74" i="31"/>
  <c r="P47" i="31"/>
  <c r="U61" i="31"/>
  <c r="Q49" i="31"/>
  <c r="U78" i="31"/>
  <c r="U72" i="31"/>
  <c r="U55" i="31"/>
  <c r="U58" i="31"/>
  <c r="V60" i="31"/>
  <c r="V79" i="31"/>
  <c r="P48" i="31"/>
  <c r="V59" i="31"/>
  <c r="U73" i="31"/>
  <c r="V71" i="31"/>
  <c r="U70" i="31"/>
  <c r="U71" i="31"/>
  <c r="V73" i="31"/>
  <c r="U57" i="31"/>
  <c r="V66" i="31"/>
  <c r="U60" i="31"/>
  <c r="V61" i="31"/>
  <c r="Q50" i="31"/>
  <c r="U75" i="31"/>
  <c r="V76" i="31"/>
  <c r="V67" i="31"/>
  <c r="V80" i="31"/>
  <c r="V62" i="31"/>
  <c r="R50" i="31"/>
  <c r="V56" i="31"/>
  <c r="V78" i="31"/>
  <c r="U63" i="31"/>
  <c r="V58" i="31"/>
  <c r="V64" i="31"/>
  <c r="Q51" i="31"/>
  <c r="V74" i="31"/>
  <c r="V65" i="31"/>
  <c r="V82" i="31"/>
  <c r="V77" i="31"/>
  <c r="P49" i="31"/>
  <c r="V81" i="31"/>
  <c r="V57" i="31"/>
  <c r="P50" i="31"/>
  <c r="W74" i="31"/>
  <c r="W67" i="31"/>
  <c r="Q52" i="31"/>
  <c r="V75" i="31"/>
  <c r="W76" i="31"/>
  <c r="W68" i="31"/>
  <c r="W70" i="31"/>
  <c r="W79" i="31"/>
  <c r="W59" i="31"/>
  <c r="W62" i="31"/>
  <c r="V72" i="31"/>
  <c r="V63" i="31"/>
  <c r="W77" i="31"/>
  <c r="W64" i="31"/>
  <c r="W61" i="31"/>
  <c r="W66" i="31"/>
  <c r="W78" i="31"/>
  <c r="W81" i="31"/>
  <c r="W60" i="31"/>
  <c r="W75" i="31"/>
  <c r="W65" i="31"/>
  <c r="W69" i="31"/>
  <c r="W80" i="31"/>
  <c r="X81" i="31"/>
  <c r="X65" i="31"/>
  <c r="X77" i="31"/>
  <c r="W63" i="31"/>
  <c r="W82" i="31"/>
  <c r="X79" i="31"/>
  <c r="X72" i="31"/>
  <c r="X80" i="31"/>
  <c r="P51" i="31"/>
  <c r="X64" i="31"/>
  <c r="X73" i="31"/>
  <c r="X63" i="31"/>
  <c r="X68" i="31"/>
  <c r="X67" i="31"/>
  <c r="X71" i="31"/>
  <c r="P52" i="31"/>
  <c r="X62" i="31"/>
  <c r="Y81" i="31"/>
  <c r="Y76" i="31"/>
  <c r="X69" i="31"/>
  <c r="Y70" i="31"/>
  <c r="Y72" i="31"/>
  <c r="Q56" i="31"/>
  <c r="Y67" i="31"/>
  <c r="P54" i="31"/>
  <c r="P53" i="31"/>
  <c r="X78" i="31"/>
  <c r="Y80" i="31"/>
  <c r="Y71" i="31"/>
  <c r="X82" i="31"/>
  <c r="X66" i="31"/>
  <c r="S56" i="31"/>
  <c r="X70" i="31"/>
  <c r="Y75" i="31"/>
  <c r="Y68" i="31"/>
  <c r="Y82" i="31"/>
  <c r="Y74" i="31"/>
  <c r="Y69" i="31"/>
  <c r="Q53" i="31"/>
  <c r="Q57" i="31"/>
  <c r="P55" i="31"/>
  <c r="Z78" i="31"/>
  <c r="Z69" i="31"/>
  <c r="P56" i="31"/>
  <c r="Q58" i="31"/>
  <c r="S58" i="31"/>
  <c r="Z71" i="31"/>
  <c r="Y66" i="31"/>
  <c r="Z79" i="31"/>
  <c r="Z77" i="31"/>
  <c r="Z72" i="31"/>
  <c r="Z73" i="31"/>
  <c r="Z70" i="31"/>
  <c r="Q59" i="31"/>
  <c r="Y73" i="31"/>
  <c r="Z75" i="31"/>
  <c r="Z68" i="31"/>
  <c r="P57" i="31"/>
  <c r="Y65" i="31"/>
  <c r="Z74" i="31"/>
  <c r="Q60" i="31"/>
  <c r="Q55" i="31"/>
  <c r="P58" i="31"/>
  <c r="AA74" i="31"/>
  <c r="AA81" i="31"/>
  <c r="AA79" i="31"/>
  <c r="Z76" i="31"/>
  <c r="AA75" i="31"/>
  <c r="AA77" i="31"/>
  <c r="AA78" i="31"/>
  <c r="AA80" i="31"/>
  <c r="AA82" i="31"/>
  <c r="AA72" i="31"/>
  <c r="P59" i="31"/>
  <c r="AA73" i="31"/>
  <c r="Q61" i="31"/>
  <c r="AA76" i="31"/>
  <c r="AA71" i="31"/>
  <c r="Q54" i="31"/>
  <c r="Q62" i="31"/>
  <c r="AB79" i="31"/>
  <c r="AB82" i="31"/>
  <c r="AB74" i="31"/>
  <c r="R58" i="31"/>
  <c r="R56" i="31"/>
  <c r="P60" i="31"/>
  <c r="AB77" i="31"/>
  <c r="AB75" i="31"/>
  <c r="AB80" i="31"/>
  <c r="P61" i="31"/>
  <c r="S59" i="31"/>
  <c r="Q63" i="31"/>
  <c r="AB78" i="31"/>
  <c r="AB81" i="31"/>
  <c r="R57" i="31"/>
  <c r="AB76" i="31"/>
  <c r="AC82" i="31"/>
  <c r="Q64" i="31"/>
  <c r="AC79" i="31"/>
  <c r="AC78" i="31"/>
  <c r="P62" i="31"/>
  <c r="AC77" i="31"/>
  <c r="Q65" i="31"/>
  <c r="P63" i="31"/>
  <c r="AC81" i="31"/>
  <c r="S60" i="31"/>
  <c r="S61" i="31"/>
  <c r="AC80" i="31"/>
  <c r="Q66" i="31"/>
  <c r="AD80" i="31"/>
  <c r="P64" i="31"/>
  <c r="AD82" i="31"/>
  <c r="T62" i="31"/>
  <c r="AD81" i="31"/>
  <c r="Q67" i="31"/>
  <c r="P65" i="31"/>
  <c r="Q68" i="31"/>
  <c r="R68" i="31"/>
  <c r="P66" i="31"/>
  <c r="T64" i="31"/>
  <c r="T63" i="31"/>
  <c r="R69" i="31"/>
  <c r="U65" i="31"/>
  <c r="U66" i="31"/>
  <c r="P69" i="31"/>
  <c r="S72" i="31"/>
  <c r="P67" i="31"/>
  <c r="Q72" i="31"/>
  <c r="U67" i="31"/>
  <c r="V68" i="31"/>
  <c r="Q73" i="31"/>
  <c r="V69" i="31"/>
  <c r="P70" i="31"/>
  <c r="P68" i="31"/>
  <c r="P71" i="31"/>
  <c r="Q74" i="31"/>
  <c r="Q75" i="31"/>
  <c r="P72" i="31"/>
  <c r="Q71" i="31"/>
  <c r="P73" i="31"/>
  <c r="Q69" i="31"/>
  <c r="Q70" i="31"/>
  <c r="Q76" i="31"/>
  <c r="W71" i="31"/>
  <c r="P74" i="31"/>
  <c r="V70" i="31"/>
  <c r="Q77" i="31"/>
  <c r="W72" i="31"/>
  <c r="P75" i="31"/>
  <c r="R72" i="31"/>
  <c r="P76" i="31"/>
  <c r="X74" i="31"/>
  <c r="Q78" i="31"/>
  <c r="W73" i="31"/>
  <c r="Q79" i="31"/>
  <c r="R73" i="31"/>
  <c r="X75" i="31"/>
  <c r="S75" i="31"/>
  <c r="S80" i="31"/>
  <c r="X76" i="31"/>
  <c r="S76" i="31"/>
  <c r="R74" i="31"/>
  <c r="P77" i="31"/>
  <c r="Q80" i="31"/>
  <c r="P78" i="31"/>
  <c r="R81" i="31"/>
  <c r="Y77" i="31"/>
  <c r="Y79" i="31"/>
  <c r="P80" i="31"/>
  <c r="P79" i="31"/>
  <c r="Q81" i="31"/>
  <c r="U81" i="31"/>
  <c r="Q82" i="31"/>
  <c r="P82" i="31"/>
  <c r="S77" i="31"/>
  <c r="U82" i="31"/>
  <c r="Z82" i="31"/>
  <c r="T78" i="31"/>
  <c r="T80" i="31"/>
  <c r="P81" i="31"/>
  <c r="CA4" i="30"/>
  <c r="CA6" i="30"/>
  <c r="CA8" i="30"/>
  <c r="CA7" i="30"/>
  <c r="J184" i="31" l="1"/>
  <c r="R153" i="31"/>
  <c r="J153" i="31"/>
  <c r="R130" i="31"/>
  <c r="J130" i="31"/>
  <c r="R96" i="31"/>
  <c r="R115" i="31"/>
  <c r="J115" i="31"/>
  <c r="R127" i="31"/>
  <c r="J127" i="31"/>
  <c r="R101" i="31"/>
  <c r="J101" i="31"/>
  <c r="S118" i="31"/>
  <c r="J118" i="31"/>
  <c r="R165" i="31"/>
  <c r="J165" i="31"/>
  <c r="S156" i="31"/>
  <c r="J156" i="31"/>
  <c r="Q99" i="31"/>
  <c r="J99" i="31"/>
  <c r="R175" i="31"/>
  <c r="J175" i="31"/>
  <c r="S150" i="31"/>
  <c r="J150" i="31"/>
  <c r="R121" i="31"/>
  <c r="J121" i="31"/>
  <c r="R97" i="31"/>
  <c r="R104" i="31"/>
  <c r="J104" i="31"/>
  <c r="R155" i="31"/>
  <c r="J155" i="31"/>
  <c r="R179" i="31"/>
  <c r="J179" i="31"/>
  <c r="R161" i="31"/>
  <c r="J161" i="31"/>
  <c r="R149" i="31"/>
  <c r="S149" i="31"/>
  <c r="Q125" i="31"/>
  <c r="R125" i="31"/>
  <c r="R172" i="31"/>
  <c r="S172" i="31"/>
  <c r="T172" i="31"/>
  <c r="Q105" i="31"/>
  <c r="R105" i="31"/>
  <c r="T105" i="31"/>
  <c r="R100" i="31"/>
  <c r="S100" i="31"/>
  <c r="R82" i="31"/>
  <c r="R67" i="31"/>
  <c r="S67" i="31"/>
  <c r="Q47" i="31"/>
  <c r="R47" i="31"/>
  <c r="R51" i="31"/>
  <c r="S51" i="31"/>
  <c r="T51" i="31"/>
  <c r="R71" i="31"/>
  <c r="T71" i="31"/>
  <c r="R44" i="31"/>
  <c r="R79" i="31"/>
  <c r="S79" i="31"/>
  <c r="R48" i="31"/>
  <c r="S48" i="31"/>
  <c r="R65" i="31"/>
  <c r="R59" i="31"/>
  <c r="T59" i="31"/>
  <c r="R52" i="31"/>
  <c r="S52" i="31"/>
  <c r="R45" i="31"/>
  <c r="R78" i="31"/>
  <c r="S78" i="31"/>
  <c r="R54" i="31"/>
  <c r="S54" i="31"/>
  <c r="R46" i="31"/>
  <c r="R49" i="31"/>
  <c r="S49" i="31"/>
  <c r="R61" i="31"/>
  <c r="T61" i="31"/>
  <c r="J286" i="31" l="1"/>
  <c r="S286" i="31"/>
  <c r="Q235" i="31"/>
  <c r="J235" i="31"/>
  <c r="R159" i="31"/>
  <c r="J159" i="31"/>
  <c r="R181" i="31"/>
  <c r="J181" i="31"/>
  <c r="S174" i="31"/>
  <c r="J174" i="31"/>
  <c r="R117" i="31"/>
  <c r="J117" i="31"/>
  <c r="J132" i="31"/>
  <c r="R102" i="31"/>
  <c r="J102" i="31"/>
  <c r="R182" i="31"/>
  <c r="J182" i="31"/>
  <c r="S107" i="31"/>
  <c r="J107" i="31"/>
  <c r="S114" i="31"/>
  <c r="J114" i="31"/>
  <c r="R110" i="31"/>
  <c r="J110" i="31"/>
  <c r="R180" i="31"/>
  <c r="J180" i="31"/>
  <c r="R171" i="31"/>
  <c r="J171" i="31"/>
  <c r="S108" i="31"/>
  <c r="J108" i="31"/>
  <c r="R162" i="31"/>
  <c r="J162" i="31"/>
  <c r="R123" i="31"/>
  <c r="J123" i="31"/>
  <c r="S116" i="31"/>
  <c r="J116" i="31"/>
  <c r="J283" i="31" l="1"/>
  <c r="R283" i="31"/>
  <c r="S283" i="31"/>
  <c r="Q285" i="31"/>
  <c r="J285" i="31"/>
  <c r="S285" i="31"/>
  <c r="J262" i="31"/>
  <c r="R262" i="31"/>
  <c r="S262" i="31"/>
  <c r="J257" i="31"/>
  <c r="Q257" i="31"/>
  <c r="S257" i="31"/>
  <c r="Q258" i="31"/>
  <c r="J258" i="31"/>
  <c r="Q251" i="31"/>
  <c r="J251" i="31"/>
  <c r="R251" i="31"/>
  <c r="S251" i="31"/>
  <c r="J261" i="31"/>
  <c r="Q261" i="31"/>
  <c r="S261" i="31"/>
  <c r="J277" i="31"/>
  <c r="R277" i="31"/>
  <c r="Q270" i="31"/>
  <c r="R270" i="31"/>
  <c r="S270" i="31"/>
  <c r="Q278" i="31"/>
  <c r="J278" i="31"/>
  <c r="R278" i="31"/>
  <c r="S278" i="31"/>
  <c r="J265" i="31"/>
  <c r="R265" i="31"/>
  <c r="S273" i="31"/>
  <c r="T273" i="31"/>
  <c r="J284" i="31"/>
  <c r="S284" i="31"/>
  <c r="Q249" i="31"/>
  <c r="R249" i="31"/>
  <c r="Q274" i="31"/>
  <c r="J274" i="31"/>
  <c r="S274" i="31"/>
  <c r="T274" i="31"/>
  <c r="Q279" i="31"/>
  <c r="R279" i="31"/>
  <c r="J279" i="31"/>
  <c r="Q253" i="31"/>
  <c r="J253" i="31"/>
  <c r="R253" i="31"/>
  <c r="S253" i="31"/>
  <c r="J263" i="31"/>
  <c r="Q263" i="31"/>
  <c r="R263" i="31"/>
  <c r="T263" i="31"/>
  <c r="Q272" i="31"/>
  <c r="J272" i="31"/>
  <c r="S272" i="31"/>
  <c r="Q266" i="31"/>
  <c r="J266" i="31"/>
  <c r="R266" i="31"/>
  <c r="J271" i="31"/>
  <c r="T271" i="31"/>
  <c r="J254" i="31"/>
  <c r="R254" i="31"/>
  <c r="Q255" i="31"/>
  <c r="J255" i="31"/>
  <c r="R255" i="31"/>
  <c r="Q269" i="31"/>
  <c r="J269" i="31"/>
  <c r="R269" i="31"/>
  <c r="S269" i="31"/>
  <c r="Q259" i="31"/>
  <c r="J259" i="31"/>
  <c r="R259" i="31"/>
  <c r="Q282" i="31"/>
  <c r="J282" i="31"/>
  <c r="Q256" i="31"/>
  <c r="J256" i="31"/>
  <c r="R256" i="31"/>
  <c r="S256" i="31"/>
  <c r="Q268" i="31"/>
  <c r="J268" i="31"/>
  <c r="R268" i="31"/>
  <c r="Q275" i="31"/>
  <c r="J275" i="31"/>
  <c r="R275" i="31"/>
  <c r="Q276" i="31"/>
  <c r="J276" i="31"/>
  <c r="R276" i="31"/>
  <c r="Q280" i="31"/>
  <c r="R280" i="31"/>
  <c r="J260" i="31"/>
  <c r="R260" i="31"/>
  <c r="S260" i="31"/>
  <c r="Q252" i="31"/>
  <c r="J252" i="31"/>
  <c r="R252" i="31"/>
  <c r="S252" i="31"/>
  <c r="Q250" i="31"/>
  <c r="R250" i="31"/>
  <c r="Q201" i="31"/>
  <c r="R201" i="31"/>
  <c r="S201" i="31"/>
  <c r="Q194" i="31"/>
  <c r="Q222" i="31"/>
  <c r="J222" i="31"/>
  <c r="J223" i="31"/>
  <c r="R223" i="31"/>
  <c r="J212" i="31"/>
  <c r="Q212" i="31"/>
  <c r="Q218" i="31"/>
  <c r="J218" i="31"/>
  <c r="R218" i="31"/>
  <c r="S218" i="31"/>
  <c r="J216" i="31"/>
  <c r="R216" i="31"/>
  <c r="Q224" i="31"/>
  <c r="J224" i="31"/>
  <c r="R224" i="31"/>
  <c r="J220" i="31"/>
  <c r="Q220" i="31"/>
  <c r="J228" i="31"/>
  <c r="R228" i="31"/>
  <c r="S228" i="31"/>
  <c r="Q210" i="31"/>
  <c r="R210" i="31"/>
  <c r="S210" i="31"/>
  <c r="J230" i="31"/>
  <c r="Q230" i="31"/>
  <c r="R230" i="31"/>
  <c r="S230" i="31"/>
  <c r="Q198" i="31"/>
  <c r="R198" i="31"/>
  <c r="Q209" i="31"/>
  <c r="J209" i="31"/>
  <c r="Q199" i="31"/>
  <c r="Q204" i="31"/>
  <c r="J204" i="31"/>
  <c r="R204" i="31"/>
  <c r="S204" i="31"/>
  <c r="J225" i="31"/>
  <c r="Q225" i="31"/>
  <c r="S225" i="31"/>
  <c r="Q226" i="31"/>
  <c r="J226" i="31"/>
  <c r="Q207" i="31"/>
  <c r="J207" i="31"/>
  <c r="R207" i="31"/>
  <c r="Q231" i="31"/>
  <c r="J231" i="31"/>
  <c r="R231" i="31"/>
  <c r="Q217" i="31"/>
  <c r="J217" i="31"/>
  <c r="J215" i="31"/>
  <c r="Q215" i="31"/>
  <c r="R215" i="31"/>
  <c r="S215" i="31"/>
  <c r="Q213" i="31"/>
  <c r="J213" i="31"/>
  <c r="R213" i="31"/>
  <c r="Q219" i="31"/>
  <c r="J219" i="31"/>
  <c r="R219" i="31"/>
  <c r="S219" i="31"/>
  <c r="Q227" i="31"/>
  <c r="J227" i="31"/>
  <c r="Q208" i="31"/>
  <c r="J208" i="31"/>
  <c r="R208" i="31"/>
  <c r="J234" i="31"/>
  <c r="Q234" i="31"/>
  <c r="R234" i="31"/>
  <c r="J203" i="31"/>
  <c r="Q203" i="31"/>
  <c r="R203" i="31"/>
  <c r="Q195" i="31"/>
  <c r="Q205" i="31"/>
  <c r="J205" i="31"/>
  <c r="R205" i="31"/>
  <c r="S205" i="31"/>
  <c r="J202" i="31"/>
  <c r="Q202" i="31"/>
  <c r="R202" i="31"/>
  <c r="Q211" i="31"/>
  <c r="J211" i="31"/>
  <c r="R211" i="31"/>
  <c r="Q214" i="31"/>
  <c r="J214" i="31"/>
  <c r="S214" i="31"/>
  <c r="Q197" i="31"/>
  <c r="R197" i="31"/>
  <c r="Q206" i="31"/>
  <c r="J206" i="31"/>
  <c r="R206" i="31"/>
  <c r="Q196" i="31"/>
  <c r="J221" i="31"/>
  <c r="R221" i="31"/>
  <c r="T221" i="31"/>
  <c r="J232" i="31"/>
  <c r="Q232" i="31"/>
  <c r="R232" i="31"/>
  <c r="S232" i="31"/>
  <c r="Q200" i="31"/>
  <c r="R200" i="31"/>
  <c r="Q233" i="31"/>
  <c r="J233" i="31"/>
  <c r="R233" i="31"/>
  <c r="S233" i="31"/>
  <c r="J229" i="31"/>
  <c r="R229" i="31"/>
  <c r="E12" i="29" l="1"/>
  <c r="E13" i="29"/>
  <c r="E14" i="29"/>
  <c r="E23" i="29"/>
  <c r="E22" i="29"/>
  <c r="E21" i="29"/>
  <c r="E20" i="29"/>
  <c r="E19" i="29"/>
  <c r="E18" i="29"/>
  <c r="E17" i="29"/>
  <c r="E16" i="29"/>
  <c r="E15" i="29"/>
  <c r="D26" i="29"/>
  <c r="D27" i="29" s="1"/>
  <c r="D28" i="29" s="1"/>
  <c r="D29" i="29" s="1"/>
  <c r="D30" i="29" s="1"/>
  <c r="D31" i="29" s="1"/>
  <c r="D32" i="29" s="1"/>
  <c r="D33" i="29" s="1"/>
  <c r="D34" i="29" s="1"/>
  <c r="D35" i="29" s="1"/>
  <c r="D36" i="29" s="1"/>
  <c r="D97" i="29" a="1"/>
  <c r="D97" i="29" s="1"/>
  <c r="C95" i="29"/>
  <c r="D46" i="29" a="1"/>
  <c r="D46" i="29" s="1"/>
  <c r="D13" i="29"/>
  <c r="D14" i="29" s="1"/>
  <c r="D15" i="29" s="1"/>
  <c r="D16" i="29" s="1"/>
  <c r="D17" i="29" s="1"/>
  <c r="D18" i="29" s="1"/>
  <c r="D19" i="29" s="1"/>
  <c r="D20" i="29" s="1"/>
  <c r="D21" i="29" s="1"/>
  <c r="D22" i="29" s="1"/>
  <c r="D23" i="29" s="1"/>
  <c r="AE5" i="29" a="1"/>
  <c r="AE5" i="29" s="1"/>
  <c r="M5" i="29"/>
  <c r="N4" i="29" s="1"/>
  <c r="AE4" i="29"/>
  <c r="M4" i="29"/>
  <c r="G4" i="29"/>
  <c r="A2" i="29" a="1"/>
  <c r="A2" i="29" s="1"/>
  <c r="A1" i="29"/>
  <c r="D13" i="22"/>
  <c r="D14" i="22" s="1"/>
  <c r="D15" i="22" s="1"/>
  <c r="D16" i="22" s="1"/>
  <c r="D13" i="28"/>
  <c r="D14" i="28" s="1"/>
  <c r="D15" i="28" s="1"/>
  <c r="D16" i="28" s="1"/>
  <c r="D83" i="28" a="1"/>
  <c r="D83" i="28" s="1"/>
  <c r="D32" i="28" a="1"/>
  <c r="D32" i="28" s="1"/>
  <c r="AE5" i="28" a="1"/>
  <c r="AE5" i="28" s="1"/>
  <c r="M5" i="28"/>
  <c r="N4" i="28" s="1"/>
  <c r="AE4" i="28"/>
  <c r="M4" i="28"/>
  <c r="G4" i="28"/>
  <c r="A2" i="28" a="1"/>
  <c r="A2" i="28" s="1"/>
  <c r="A1" i="28"/>
  <c r="C84" i="22"/>
  <c r="G102" i="20" a="1"/>
  <c r="G102" i="20" s="1"/>
  <c r="G101" i="20" a="1"/>
  <c r="G101" i="20" s="1"/>
  <c r="G100" i="20" a="1"/>
  <c r="G100" i="20" s="1"/>
  <c r="G99" i="20" a="1"/>
  <c r="G99" i="20" s="1"/>
  <c r="G98" i="20" a="1"/>
  <c r="G98" i="20" s="1"/>
  <c r="G97" i="20" a="1"/>
  <c r="G97" i="20" s="1"/>
  <c r="G95" i="20" a="1"/>
  <c r="G95" i="20" s="1"/>
  <c r="G94" i="20" a="1"/>
  <c r="G94" i="20" s="1"/>
  <c r="G93" i="20" a="1"/>
  <c r="G93" i="20" s="1"/>
  <c r="G92" i="20" a="1"/>
  <c r="G92" i="20" s="1"/>
  <c r="G91" i="20" a="1"/>
  <c r="G91" i="20" s="1"/>
  <c r="G90" i="20" a="1"/>
  <c r="G90" i="20" s="1"/>
  <c r="G88" i="20" a="1"/>
  <c r="G88" i="20" s="1"/>
  <c r="G87" i="20" a="1"/>
  <c r="G87" i="20" s="1"/>
  <c r="G86" i="20" a="1"/>
  <c r="G86" i="20" s="1"/>
  <c r="G85" i="20" a="1"/>
  <c r="G85" i="20" s="1"/>
  <c r="G84" i="20" a="1"/>
  <c r="G84" i="20" s="1"/>
  <c r="G83" i="20" a="1"/>
  <c r="G83" i="20" s="1"/>
  <c r="G81" i="20" a="1"/>
  <c r="G81" i="20" s="1"/>
  <c r="G80" i="20" a="1"/>
  <c r="G80" i="20" s="1"/>
  <c r="G79" i="20" a="1"/>
  <c r="G79" i="20" s="1"/>
  <c r="G78" i="20" a="1"/>
  <c r="G78" i="20" s="1"/>
  <c r="G77" i="20" a="1"/>
  <c r="G77" i="20" s="1"/>
  <c r="G76" i="20" a="1"/>
  <c r="G76" i="20" s="1"/>
  <c r="G74" i="20" a="1"/>
  <c r="G74" i="20" s="1"/>
  <c r="G73" i="20" a="1"/>
  <c r="G73" i="20" s="1"/>
  <c r="G72" i="20" a="1"/>
  <c r="G72" i="20" s="1"/>
  <c r="G71" i="20" a="1"/>
  <c r="G71" i="20" s="1"/>
  <c r="G70" i="20" a="1"/>
  <c r="G70" i="20" s="1"/>
  <c r="G69" i="20" a="1"/>
  <c r="G69" i="20" s="1"/>
  <c r="D59" i="8"/>
  <c r="D38" i="8"/>
  <c r="BH105" i="13"/>
  <c r="BG105" i="13"/>
  <c r="BF105" i="13"/>
  <c r="BE105" i="13"/>
  <c r="BD105" i="13"/>
  <c r="BC105" i="13"/>
  <c r="BB105" i="13"/>
  <c r="BA105" i="13"/>
  <c r="AZ105" i="13"/>
  <c r="AY105" i="13"/>
  <c r="AX105" i="13"/>
  <c r="AW105" i="13"/>
  <c r="AV105" i="13"/>
  <c r="BH78" i="13"/>
  <c r="BG78" i="13"/>
  <c r="BF78" i="13"/>
  <c r="BE78" i="13"/>
  <c r="BD78" i="13"/>
  <c r="BC78" i="13"/>
  <c r="BB78" i="13"/>
  <c r="BA78" i="13"/>
  <c r="AZ78" i="13"/>
  <c r="AY78" i="13"/>
  <c r="AX78" i="13"/>
  <c r="AW78" i="13"/>
  <c r="AV78" i="13"/>
  <c r="AU78" i="13"/>
  <c r="AT78" i="13"/>
  <c r="AS78" i="13"/>
  <c r="AR78" i="13"/>
  <c r="AQ78" i="13"/>
  <c r="AP78" i="13"/>
  <c r="AO78" i="13"/>
  <c r="AN78" i="13"/>
  <c r="AM78" i="13"/>
  <c r="AL78" i="13"/>
  <c r="AK78" i="13"/>
  <c r="AJ78" i="13"/>
  <c r="AI78" i="13"/>
  <c r="AH78" i="13"/>
  <c r="AG78" i="13"/>
  <c r="AF78" i="13"/>
  <c r="AE78" i="13"/>
  <c r="AD78" i="13"/>
  <c r="AC78" i="13"/>
  <c r="AB78" i="13"/>
  <c r="AA78" i="13"/>
  <c r="Z78" i="13"/>
  <c r="Y78" i="13"/>
  <c r="X78" i="13"/>
  <c r="W78" i="13"/>
  <c r="V78" i="13"/>
  <c r="U78" i="13"/>
  <c r="T78" i="13"/>
  <c r="S78" i="13"/>
  <c r="R78" i="13"/>
  <c r="Q78" i="13"/>
  <c r="P78" i="13"/>
  <c r="O78" i="13"/>
  <c r="N78" i="13"/>
  <c r="M78" i="13"/>
  <c r="L78" i="13"/>
  <c r="BH77" i="13"/>
  <c r="BG77" i="13"/>
  <c r="BF77" i="13"/>
  <c r="BE77" i="13"/>
  <c r="BD77" i="13"/>
  <c r="BC77" i="13"/>
  <c r="BB77" i="13"/>
  <c r="BA77" i="13"/>
  <c r="AZ77" i="13"/>
  <c r="AY77" i="13"/>
  <c r="AX77" i="13"/>
  <c r="AW77" i="13"/>
  <c r="AV77" i="13"/>
  <c r="AV42" i="13"/>
  <c r="BH39" i="13"/>
  <c r="BG39" i="13"/>
  <c r="BF39" i="13"/>
  <c r="BE39" i="13"/>
  <c r="BD39" i="13"/>
  <c r="BC39" i="13"/>
  <c r="BB39" i="13"/>
  <c r="BA39" i="13"/>
  <c r="AZ39" i="13"/>
  <c r="AY39" i="13"/>
  <c r="AX39" i="13"/>
  <c r="AW39" i="13"/>
  <c r="AV39" i="13"/>
  <c r="AU39" i="13"/>
  <c r="AT39" i="13"/>
  <c r="AS39" i="13"/>
  <c r="AR39" i="13"/>
  <c r="AQ39" i="13"/>
  <c r="AP39" i="13"/>
  <c r="AO39" i="13"/>
  <c r="AN39" i="13"/>
  <c r="AM39" i="13"/>
  <c r="AL39" i="13"/>
  <c r="AK39" i="13"/>
  <c r="AJ39" i="13"/>
  <c r="AI39" i="13"/>
  <c r="AH39" i="13"/>
  <c r="AG39" i="13"/>
  <c r="AF39" i="13"/>
  <c r="AE39" i="13"/>
  <c r="AD39" i="13"/>
  <c r="AC39" i="13"/>
  <c r="AB39" i="13"/>
  <c r="AA39" i="13"/>
  <c r="Z39" i="13"/>
  <c r="Y39" i="13"/>
  <c r="X39" i="13"/>
  <c r="W39" i="13"/>
  <c r="V39" i="13"/>
  <c r="U39" i="13"/>
  <c r="T39" i="13"/>
  <c r="S39" i="13"/>
  <c r="R39" i="13"/>
  <c r="Q39" i="13"/>
  <c r="P39" i="13"/>
  <c r="O39" i="13"/>
  <c r="N39" i="13"/>
  <c r="M39" i="13"/>
  <c r="L39" i="13"/>
  <c r="H78" i="13"/>
  <c r="F78" i="13"/>
  <c r="E78" i="13"/>
  <c r="H39" i="13"/>
  <c r="F39" i="13"/>
  <c r="E39" i="13"/>
  <c r="M6" i="29" l="1"/>
  <c r="G5" i="29" s="1"/>
  <c r="G6" i="29" s="1"/>
  <c r="G8" i="29" s="1"/>
  <c r="D98" i="29"/>
  <c r="D99" i="29" s="1"/>
  <c r="M7" i="29"/>
  <c r="N5" i="29"/>
  <c r="AE8" i="29"/>
  <c r="AE7" i="29"/>
  <c r="AE6" i="29"/>
  <c r="AF5" i="29"/>
  <c r="D47" i="29"/>
  <c r="C81" i="28"/>
  <c r="D33" i="28"/>
  <c r="D34" i="28" s="1"/>
  <c r="M6" i="28"/>
  <c r="G5" i="28" s="1"/>
  <c r="G7" i="28" s="1"/>
  <c r="AE8" i="28"/>
  <c r="AF5" i="28"/>
  <c r="AE7" i="28"/>
  <c r="AE6" i="28"/>
  <c r="M7" i="28"/>
  <c r="N5" i="28"/>
  <c r="D84" i="28"/>
  <c r="E26" i="25"/>
  <c r="M8" i="29" l="1"/>
  <c r="M8" i="28"/>
  <c r="H4" i="28"/>
  <c r="H4" i="29"/>
  <c r="H5" i="28"/>
  <c r="H6" i="28" s="1"/>
  <c r="H8" i="28" s="1"/>
  <c r="H5" i="29"/>
  <c r="I4" i="29" s="1"/>
  <c r="G6" i="28"/>
  <c r="G8" i="28" s="1"/>
  <c r="G7" i="29"/>
  <c r="D100" i="29"/>
  <c r="AE100" i="29" s="1"/>
  <c r="AF8" i="29"/>
  <c r="AF4" i="29"/>
  <c r="AF7" i="29"/>
  <c r="AF6" i="29"/>
  <c r="AG5" i="29"/>
  <c r="AE98" i="29"/>
  <c r="AE99" i="29"/>
  <c r="AE47" i="29"/>
  <c r="D48" i="29"/>
  <c r="O4" i="29"/>
  <c r="N6" i="29"/>
  <c r="N7" i="29"/>
  <c r="D35" i="28"/>
  <c r="D85" i="28"/>
  <c r="AE85" i="28" s="1"/>
  <c r="O4" i="28"/>
  <c r="N7" i="28"/>
  <c r="N6" i="28"/>
  <c r="AF8" i="28"/>
  <c r="AF4" i="28"/>
  <c r="AF7" i="28"/>
  <c r="AF6" i="28"/>
  <c r="AG5" i="28"/>
  <c r="AE84" i="28"/>
  <c r="AE33" i="28"/>
  <c r="AE34" i="28"/>
  <c r="F26" i="25"/>
  <c r="H7" i="28" l="1"/>
  <c r="I5" i="28"/>
  <c r="I4" i="28"/>
  <c r="I5" i="29"/>
  <c r="I7" i="29" s="1"/>
  <c r="H7" i="29"/>
  <c r="D101" i="29"/>
  <c r="AF101" i="29" s="1"/>
  <c r="H6" i="29"/>
  <c r="H8" i="29" s="1"/>
  <c r="AE35" i="28"/>
  <c r="N8" i="29"/>
  <c r="I6" i="29"/>
  <c r="I8" i="29" s="1"/>
  <c r="AG8" i="29"/>
  <c r="AG7" i="29"/>
  <c r="AG4" i="29"/>
  <c r="AH5" i="29"/>
  <c r="AG6" i="29"/>
  <c r="D49" i="29"/>
  <c r="AF49" i="29" s="1"/>
  <c r="O5" i="29"/>
  <c r="AF99" i="29"/>
  <c r="AF100" i="29"/>
  <c r="AF48" i="29"/>
  <c r="AE48" i="29"/>
  <c r="D36" i="28"/>
  <c r="AE36" i="28" s="1"/>
  <c r="N8" i="28"/>
  <c r="AG8" i="28"/>
  <c r="AG4" i="28"/>
  <c r="AG7" i="28"/>
  <c r="AG6" i="28"/>
  <c r="AH5" i="28"/>
  <c r="J5" i="28"/>
  <c r="J4" i="28"/>
  <c r="I7" i="28"/>
  <c r="I6" i="28"/>
  <c r="I8" i="28" s="1"/>
  <c r="AF85" i="28"/>
  <c r="AF34" i="28"/>
  <c r="AF35" i="28"/>
  <c r="O5" i="28"/>
  <c r="D86" i="28"/>
  <c r="AF86" i="28" s="1"/>
  <c r="G26" i="25"/>
  <c r="J4" i="29" l="1"/>
  <c r="J5" i="29"/>
  <c r="J7" i="29" s="1"/>
  <c r="D102" i="29"/>
  <c r="AF102" i="29" s="1"/>
  <c r="AE101" i="29"/>
  <c r="AF36" i="28"/>
  <c r="AH8" i="29"/>
  <c r="AH4" i="29"/>
  <c r="AH7" i="29"/>
  <c r="AI5" i="29"/>
  <c r="AH6" i="29"/>
  <c r="AG100" i="29"/>
  <c r="AG101" i="29"/>
  <c r="AG49" i="29"/>
  <c r="O7" i="29"/>
  <c r="P4" i="29"/>
  <c r="O6" i="29"/>
  <c r="D50" i="29"/>
  <c r="AE49" i="29"/>
  <c r="D37" i="28"/>
  <c r="AF37" i="28" s="1"/>
  <c r="J7" i="28"/>
  <c r="J6" i="28"/>
  <c r="J8" i="28" s="1"/>
  <c r="AH8" i="28"/>
  <c r="AH4" i="28"/>
  <c r="AH7" i="28"/>
  <c r="AH6" i="28"/>
  <c r="AI5" i="28"/>
  <c r="AG86" i="28"/>
  <c r="AG36" i="28"/>
  <c r="AG35" i="28"/>
  <c r="P4" i="28"/>
  <c r="O7" i="28"/>
  <c r="O6" i="28"/>
  <c r="D87" i="28"/>
  <c r="AG87" i="28" s="1"/>
  <c r="AE86" i="28"/>
  <c r="H26" i="25"/>
  <c r="AE102" i="29" l="1"/>
  <c r="D103" i="29"/>
  <c r="AG103" i="29" s="1"/>
  <c r="J6" i="29"/>
  <c r="J8" i="29" s="1"/>
  <c r="AG102" i="29"/>
  <c r="AE37" i="28"/>
  <c r="AG37" i="28"/>
  <c r="D38" i="28"/>
  <c r="AF38" i="28" s="1"/>
  <c r="AI8" i="29"/>
  <c r="AI4" i="29"/>
  <c r="AI7" i="29"/>
  <c r="AI6" i="29"/>
  <c r="AJ5" i="29"/>
  <c r="AH102" i="29"/>
  <c r="AH103" i="29"/>
  <c r="AH101" i="29"/>
  <c r="AH50" i="29"/>
  <c r="D51" i="29"/>
  <c r="AE50" i="29"/>
  <c r="AF50" i="29"/>
  <c r="AG50" i="29"/>
  <c r="D104" i="29"/>
  <c r="AE103" i="29"/>
  <c r="AF103" i="29"/>
  <c r="P5" i="29"/>
  <c r="O8" i="29"/>
  <c r="D88" i="28"/>
  <c r="AH88" i="28" s="1"/>
  <c r="AE87" i="28"/>
  <c r="AF87" i="28"/>
  <c r="D39" i="28"/>
  <c r="AH39" i="28" s="1"/>
  <c r="AE38" i="28"/>
  <c r="AI8" i="28"/>
  <c r="AI4" i="28"/>
  <c r="AI7" i="28"/>
  <c r="AI6" i="28"/>
  <c r="AJ5" i="28"/>
  <c r="O8" i="28"/>
  <c r="P5" i="28"/>
  <c r="AH87" i="28"/>
  <c r="AH37" i="28"/>
  <c r="AH36" i="28"/>
  <c r="AG38" i="28"/>
  <c r="I26" i="25"/>
  <c r="AH38" i="28" l="1"/>
  <c r="D105" i="29"/>
  <c r="AI105" i="29" s="1"/>
  <c r="AE104" i="29"/>
  <c r="AF104" i="29"/>
  <c r="AG104" i="29"/>
  <c r="Q4" i="29"/>
  <c r="P7" i="29"/>
  <c r="P6" i="29"/>
  <c r="AH104" i="29"/>
  <c r="D52" i="29"/>
  <c r="AI52" i="29" s="1"/>
  <c r="AE51" i="29"/>
  <c r="AF51" i="29"/>
  <c r="AG51" i="29"/>
  <c r="AJ8" i="29"/>
  <c r="AJ7" i="29"/>
  <c r="AJ4" i="29"/>
  <c r="AJ6" i="29"/>
  <c r="AK5" i="29"/>
  <c r="AH51" i="29"/>
  <c r="AI102" i="29"/>
  <c r="AI104" i="29"/>
  <c r="AI103" i="29"/>
  <c r="AI51" i="29"/>
  <c r="AI88" i="28"/>
  <c r="AI38" i="28"/>
  <c r="AI39" i="28"/>
  <c r="AI37" i="28"/>
  <c r="D40" i="28"/>
  <c r="AI40" i="28" s="1"/>
  <c r="AE39" i="28"/>
  <c r="AF39" i="28"/>
  <c r="AG39" i="28"/>
  <c r="Q4" i="28"/>
  <c r="P7" i="28"/>
  <c r="P6" i="28"/>
  <c r="AJ4" i="28"/>
  <c r="AJ7" i="28"/>
  <c r="AJ8" i="28"/>
  <c r="AJ6" i="28"/>
  <c r="AK5" i="28"/>
  <c r="D89" i="28"/>
  <c r="AE88" i="28"/>
  <c r="AF88" i="28"/>
  <c r="AG88" i="28"/>
  <c r="J26" i="25"/>
  <c r="AJ104" i="29" l="1"/>
  <c r="AJ105" i="29"/>
  <c r="AJ103" i="29"/>
  <c r="AJ52" i="29"/>
  <c r="P8" i="29"/>
  <c r="Q5" i="29"/>
  <c r="AK8" i="29"/>
  <c r="AK7" i="29"/>
  <c r="AK6" i="29"/>
  <c r="AL5" i="29"/>
  <c r="AK4" i="29"/>
  <c r="D53" i="29"/>
  <c r="AE52" i="29"/>
  <c r="AF52" i="29"/>
  <c r="AG52" i="29"/>
  <c r="AH52" i="29"/>
  <c r="D106" i="29"/>
  <c r="AJ106" i="29" s="1"/>
  <c r="AE105" i="29"/>
  <c r="AF105" i="29"/>
  <c r="AG105" i="29"/>
  <c r="AH105" i="29"/>
  <c r="Q5" i="28"/>
  <c r="D90" i="28"/>
  <c r="AJ90" i="28" s="1"/>
  <c r="AE89" i="28"/>
  <c r="AF89" i="28"/>
  <c r="AG89" i="28"/>
  <c r="AH89" i="28"/>
  <c r="AI89" i="28"/>
  <c r="AJ89" i="28"/>
  <c r="AJ39" i="28"/>
  <c r="AJ40" i="28"/>
  <c r="AJ38" i="28"/>
  <c r="AK7" i="28"/>
  <c r="AK6" i="28"/>
  <c r="AL5" i="28"/>
  <c r="AK4" i="28"/>
  <c r="AK8" i="28"/>
  <c r="P8" i="28"/>
  <c r="D41" i="28"/>
  <c r="AE40" i="28"/>
  <c r="AF40" i="28"/>
  <c r="AG40" i="28"/>
  <c r="AH40" i="28"/>
  <c r="K26" i="25"/>
  <c r="P20" i="31" l="1"/>
  <c r="Q20" i="31"/>
  <c r="P21" i="31"/>
  <c r="J21" i="31"/>
  <c r="M20" i="31"/>
  <c r="P19" i="31"/>
  <c r="Q19" i="31"/>
  <c r="J20" i="31"/>
  <c r="J19" i="31"/>
  <c r="K21" i="31"/>
  <c r="L21" i="31"/>
  <c r="Q21" i="31"/>
  <c r="R20" i="31"/>
  <c r="R21" i="31"/>
  <c r="K19" i="31"/>
  <c r="L19" i="31"/>
  <c r="M19" i="31"/>
  <c r="R19" i="31"/>
  <c r="M21" i="31"/>
  <c r="L20" i="31"/>
  <c r="K20" i="31"/>
  <c r="S19" i="31"/>
  <c r="S21" i="31"/>
  <c r="S20" i="31"/>
  <c r="T21" i="31"/>
  <c r="U20" i="31"/>
  <c r="T20" i="31"/>
  <c r="T19" i="31"/>
  <c r="U21" i="31"/>
  <c r="U19" i="31"/>
  <c r="V21" i="31"/>
  <c r="V20" i="31"/>
  <c r="V19" i="31"/>
  <c r="W21" i="31"/>
  <c r="W20" i="31"/>
  <c r="W19" i="31"/>
  <c r="X21" i="31"/>
  <c r="Y20" i="31"/>
  <c r="X20" i="31"/>
  <c r="X19" i="31"/>
  <c r="Y19" i="31"/>
  <c r="Y21" i="31"/>
  <c r="Z21" i="31"/>
  <c r="Z20" i="31"/>
  <c r="Z19" i="31"/>
  <c r="AA19" i="31"/>
  <c r="AA20" i="31"/>
  <c r="AA21" i="31"/>
  <c r="AB20" i="31"/>
  <c r="AC21" i="31"/>
  <c r="AB19" i="31"/>
  <c r="AC19" i="31"/>
  <c r="AB21" i="31"/>
  <c r="AC20" i="31"/>
  <c r="AD19" i="31"/>
  <c r="AD21" i="31"/>
  <c r="AD20" i="31"/>
  <c r="AE20" i="31"/>
  <c r="AE19" i="31"/>
  <c r="AE21" i="31"/>
  <c r="D54" i="29"/>
  <c r="AK54" i="29" s="1"/>
  <c r="AE53" i="29"/>
  <c r="AF53" i="29"/>
  <c r="AG53" i="29"/>
  <c r="AH53" i="29"/>
  <c r="AI53" i="29"/>
  <c r="AJ53" i="29"/>
  <c r="R4" i="29"/>
  <c r="Q7" i="29"/>
  <c r="Q6" i="29"/>
  <c r="AL7" i="29"/>
  <c r="AL8" i="29"/>
  <c r="AL6" i="29"/>
  <c r="AM5" i="29"/>
  <c r="AL4" i="29"/>
  <c r="D107" i="29"/>
  <c r="AK107" i="29" s="1"/>
  <c r="AE106" i="29"/>
  <c r="AF106" i="29"/>
  <c r="AG106" i="29"/>
  <c r="AH106" i="29"/>
  <c r="AI106" i="29"/>
  <c r="AK104" i="29"/>
  <c r="AK106" i="29"/>
  <c r="AK105" i="29"/>
  <c r="AK53" i="29"/>
  <c r="D42" i="28"/>
  <c r="AK42" i="28" s="1"/>
  <c r="AE41" i="28"/>
  <c r="AF41" i="28"/>
  <c r="AG41" i="28"/>
  <c r="AH41" i="28"/>
  <c r="AI41" i="28"/>
  <c r="AK90" i="28"/>
  <c r="AK39" i="28"/>
  <c r="AK40" i="28"/>
  <c r="AK41" i="28"/>
  <c r="D91" i="28"/>
  <c r="AE90" i="28"/>
  <c r="AF90" i="28"/>
  <c r="AG90" i="28"/>
  <c r="AH90" i="28"/>
  <c r="AI90" i="28"/>
  <c r="AJ41" i="28"/>
  <c r="R4" i="28"/>
  <c r="Q7" i="28"/>
  <c r="Q6" i="28"/>
  <c r="AL7" i="28"/>
  <c r="AL6" i="28"/>
  <c r="AM5" i="28"/>
  <c r="AL8" i="28"/>
  <c r="AL4" i="28"/>
  <c r="L26" i="25"/>
  <c r="R18" i="31" l="1"/>
  <c r="T18" i="31"/>
  <c r="U18" i="31"/>
  <c r="V18" i="31"/>
  <c r="J18" i="31"/>
  <c r="Z18" i="31"/>
  <c r="K18" i="31"/>
  <c r="AA18" i="31"/>
  <c r="X18" i="31"/>
  <c r="W18" i="31"/>
  <c r="AC18" i="31"/>
  <c r="L18" i="31"/>
  <c r="Q18" i="31"/>
  <c r="Y18" i="31"/>
  <c r="AB18" i="31"/>
  <c r="S18" i="31"/>
  <c r="M18" i="31"/>
  <c r="AD18" i="31"/>
  <c r="AE18" i="31"/>
  <c r="P18" i="31"/>
  <c r="AL106" i="29"/>
  <c r="AL107" i="29"/>
  <c r="AL105" i="29"/>
  <c r="AL54" i="29"/>
  <c r="Q8" i="29"/>
  <c r="R5" i="29"/>
  <c r="D55" i="29"/>
  <c r="AE54" i="29"/>
  <c r="AF54" i="29"/>
  <c r="AG54" i="29"/>
  <c r="AH54" i="29"/>
  <c r="AI54" i="29"/>
  <c r="AJ54" i="29"/>
  <c r="D108" i="29"/>
  <c r="AL108" i="29" s="1"/>
  <c r="AE107" i="29"/>
  <c r="AF107" i="29"/>
  <c r="AG107" i="29"/>
  <c r="AH107" i="29"/>
  <c r="AI107" i="29"/>
  <c r="AJ107" i="29"/>
  <c r="AM7" i="29"/>
  <c r="AM8" i="29"/>
  <c r="AM6" i="29"/>
  <c r="AM4" i="29"/>
  <c r="AN5" i="29"/>
  <c r="AM7" i="28"/>
  <c r="AM6" i="28"/>
  <c r="AN5" i="28"/>
  <c r="AM8" i="28"/>
  <c r="AM4" i="28"/>
  <c r="Q8" i="28"/>
  <c r="R5" i="28"/>
  <c r="D92" i="28"/>
  <c r="AE91" i="28"/>
  <c r="AF91" i="28"/>
  <c r="AG91" i="28"/>
  <c r="AH91" i="28"/>
  <c r="AI91" i="28"/>
  <c r="AJ91" i="28"/>
  <c r="D43" i="28"/>
  <c r="AL43" i="28" s="1"/>
  <c r="AE42" i="28"/>
  <c r="AF42" i="28"/>
  <c r="AG42" i="28"/>
  <c r="AH42" i="28"/>
  <c r="AI42" i="28"/>
  <c r="AJ42" i="28"/>
  <c r="AK91" i="28"/>
  <c r="AL91" i="28"/>
  <c r="AL41" i="28"/>
  <c r="AL40" i="28"/>
  <c r="AL42" i="28"/>
  <c r="M26" i="25"/>
  <c r="T81" i="31" l="1"/>
  <c r="AN7" i="29"/>
  <c r="AN8" i="29"/>
  <c r="AN6" i="29"/>
  <c r="AN4" i="29"/>
  <c r="AO5" i="29"/>
  <c r="AM106" i="29"/>
  <c r="AM108" i="29"/>
  <c r="AM107" i="29"/>
  <c r="AM55" i="29"/>
  <c r="D109" i="29"/>
  <c r="AM109" i="29" s="1"/>
  <c r="AE108" i="29"/>
  <c r="AF108" i="29"/>
  <c r="AG108" i="29"/>
  <c r="AH108" i="29"/>
  <c r="AI108" i="29"/>
  <c r="AJ108" i="29"/>
  <c r="AK108" i="29"/>
  <c r="D56" i="29"/>
  <c r="AE55" i="29"/>
  <c r="AF55" i="29"/>
  <c r="AG55" i="29"/>
  <c r="AH55" i="29"/>
  <c r="AI55" i="29"/>
  <c r="AJ55" i="29"/>
  <c r="AK55" i="29"/>
  <c r="R7" i="29"/>
  <c r="R6" i="29"/>
  <c r="S4" i="29"/>
  <c r="AL55" i="29"/>
  <c r="S4" i="28"/>
  <c r="R7" i="28"/>
  <c r="R6" i="28"/>
  <c r="D93" i="28"/>
  <c r="AM93" i="28" s="1"/>
  <c r="AE92" i="28"/>
  <c r="AF92" i="28"/>
  <c r="AG92" i="28"/>
  <c r="AH92" i="28"/>
  <c r="AI92" i="28"/>
  <c r="AJ92" i="28"/>
  <c r="AK92" i="28"/>
  <c r="AL92" i="28"/>
  <c r="AM92" i="28"/>
  <c r="AM41" i="28"/>
  <c r="AM42" i="28"/>
  <c r="AM43" i="28"/>
  <c r="D44" i="28"/>
  <c r="AM44" i="28" s="1"/>
  <c r="AE43" i="28"/>
  <c r="AF43" i="28"/>
  <c r="AG43" i="28"/>
  <c r="AH43" i="28"/>
  <c r="AI43" i="28"/>
  <c r="AJ43" i="28"/>
  <c r="AK43" i="28"/>
  <c r="AN6" i="28"/>
  <c r="AO5" i="28"/>
  <c r="AN8" i="28"/>
  <c r="AN7" i="28"/>
  <c r="AN4" i="28"/>
  <c r="N26" i="25"/>
  <c r="R8" i="29" l="1"/>
  <c r="AO7" i="29"/>
  <c r="AO6" i="29"/>
  <c r="AP5" i="29"/>
  <c r="AO4" i="29"/>
  <c r="AO8" i="29"/>
  <c r="S5" i="29"/>
  <c r="AN108" i="29"/>
  <c r="AN107" i="29"/>
  <c r="AN109" i="29"/>
  <c r="AN56" i="29"/>
  <c r="D110" i="29"/>
  <c r="AN110" i="29" s="1"/>
  <c r="AE109" i="29"/>
  <c r="AF109" i="29"/>
  <c r="AG109" i="29"/>
  <c r="AH109" i="29"/>
  <c r="AI109" i="29"/>
  <c r="AJ109" i="29"/>
  <c r="AK109" i="29"/>
  <c r="AL109" i="29"/>
  <c r="D57" i="29"/>
  <c r="AN57" i="29" s="1"/>
  <c r="AE56" i="29"/>
  <c r="AF56" i="29"/>
  <c r="AG56" i="29"/>
  <c r="AH56" i="29"/>
  <c r="AI56" i="29"/>
  <c r="AJ56" i="29"/>
  <c r="AK56" i="29"/>
  <c r="AL56" i="29"/>
  <c r="AM56" i="29"/>
  <c r="D94" i="28"/>
  <c r="AE93" i="28"/>
  <c r="AF93" i="28"/>
  <c r="AG93" i="28"/>
  <c r="AH93" i="28"/>
  <c r="AI93" i="28"/>
  <c r="AJ93" i="28"/>
  <c r="AK93" i="28"/>
  <c r="AL93" i="28"/>
  <c r="AN93" i="28"/>
  <c r="AN43" i="28"/>
  <c r="AN44" i="28"/>
  <c r="AN42" i="28"/>
  <c r="AO6" i="28"/>
  <c r="AP5" i="28"/>
  <c r="AQ5" i="28" s="1"/>
  <c r="AQ4" i="28" s="1"/>
  <c r="AO8" i="28"/>
  <c r="AO4" i="28"/>
  <c r="AO7" i="28"/>
  <c r="R8" i="28"/>
  <c r="S5" i="28"/>
  <c r="D45" i="28"/>
  <c r="AE44" i="28"/>
  <c r="AF44" i="28"/>
  <c r="AG44" i="28"/>
  <c r="AH44" i="28"/>
  <c r="AI44" i="28"/>
  <c r="AJ44" i="28"/>
  <c r="AK44" i="28"/>
  <c r="AL44" i="28"/>
  <c r="O26" i="25"/>
  <c r="AO108" i="29" l="1"/>
  <c r="AO110" i="29"/>
  <c r="AO109" i="29"/>
  <c r="AO57" i="29"/>
  <c r="AQ5" i="29"/>
  <c r="S7" i="29"/>
  <c r="S6" i="29"/>
  <c r="T4" i="29"/>
  <c r="D111" i="29"/>
  <c r="AO111" i="29" s="1"/>
  <c r="AE110" i="29"/>
  <c r="AF110" i="29"/>
  <c r="AG110" i="29"/>
  <c r="AH110" i="29"/>
  <c r="AI110" i="29"/>
  <c r="AJ110" i="29"/>
  <c r="AK110" i="29"/>
  <c r="AL110" i="29"/>
  <c r="AM110" i="29"/>
  <c r="D58" i="29"/>
  <c r="AO58" i="29" s="1"/>
  <c r="AE57" i="29"/>
  <c r="AF57" i="29"/>
  <c r="AG57" i="29"/>
  <c r="AH57" i="29"/>
  <c r="AI57" i="29"/>
  <c r="AJ57" i="29"/>
  <c r="AK57" i="29"/>
  <c r="AL57" i="29"/>
  <c r="AM57" i="29"/>
  <c r="AO94" i="28"/>
  <c r="AO45" i="28"/>
  <c r="AO44" i="28"/>
  <c r="AO43" i="28"/>
  <c r="D95" i="28"/>
  <c r="AO95" i="28" s="1"/>
  <c r="AE94" i="28"/>
  <c r="AF94" i="28"/>
  <c r="AG94" i="28"/>
  <c r="AH94" i="28"/>
  <c r="AI94" i="28"/>
  <c r="AJ94" i="28"/>
  <c r="AK94" i="28"/>
  <c r="AL94" i="28"/>
  <c r="AM94" i="28"/>
  <c r="S7" i="28"/>
  <c r="S6" i="28"/>
  <c r="T4" i="28"/>
  <c r="D46" i="28"/>
  <c r="AE45" i="28"/>
  <c r="AF45" i="28"/>
  <c r="AG45" i="28"/>
  <c r="AH45" i="28"/>
  <c r="AI45" i="28"/>
  <c r="AJ45" i="28"/>
  <c r="AK45" i="28"/>
  <c r="AL45" i="28"/>
  <c r="AM45" i="28"/>
  <c r="AN45" i="28"/>
  <c r="AN94" i="28"/>
  <c r="S8" i="29" l="1"/>
  <c r="T5" i="29"/>
  <c r="AQ6" i="29"/>
  <c r="AQ7" i="29"/>
  <c r="AR5" i="29"/>
  <c r="AQ4" i="29"/>
  <c r="AQ8" i="29"/>
  <c r="D112" i="29"/>
  <c r="AE111" i="29"/>
  <c r="AF111" i="29"/>
  <c r="AG111" i="29"/>
  <c r="AH111" i="29"/>
  <c r="AI111" i="29"/>
  <c r="AJ111" i="29"/>
  <c r="AK111" i="29"/>
  <c r="AL111" i="29"/>
  <c r="AM111" i="29"/>
  <c r="AN111" i="29"/>
  <c r="D59" i="29"/>
  <c r="AE58" i="29"/>
  <c r="AF58" i="29"/>
  <c r="AG58" i="29"/>
  <c r="AH58" i="29"/>
  <c r="AI58" i="29"/>
  <c r="AJ58" i="29"/>
  <c r="AK58" i="29"/>
  <c r="AL58" i="29"/>
  <c r="AM58" i="29"/>
  <c r="AN58" i="29"/>
  <c r="S8" i="28"/>
  <c r="D96" i="28"/>
  <c r="AE95" i="28"/>
  <c r="AF95" i="28"/>
  <c r="AG95" i="28"/>
  <c r="AH95" i="28"/>
  <c r="AI95" i="28"/>
  <c r="AJ95" i="28"/>
  <c r="AK95" i="28"/>
  <c r="AL95" i="28"/>
  <c r="AM95" i="28"/>
  <c r="AN95" i="28"/>
  <c r="D47" i="28"/>
  <c r="AE46" i="28"/>
  <c r="AF46" i="28"/>
  <c r="AG46" i="28"/>
  <c r="AH46" i="28"/>
  <c r="AI46" i="28"/>
  <c r="AJ46" i="28"/>
  <c r="AK46" i="28"/>
  <c r="AL46" i="28"/>
  <c r="AM46" i="28"/>
  <c r="AN46" i="28"/>
  <c r="T5" i="28"/>
  <c r="AO46" i="28"/>
  <c r="T7" i="29" l="1"/>
  <c r="T6" i="29"/>
  <c r="U4" i="29"/>
  <c r="AQ110" i="29"/>
  <c r="AQ111" i="29"/>
  <c r="AQ112" i="29"/>
  <c r="AQ59" i="29"/>
  <c r="D60" i="29"/>
  <c r="AQ60" i="29" s="1"/>
  <c r="AE59" i="29"/>
  <c r="AF59" i="29"/>
  <c r="AG59" i="29"/>
  <c r="AH59" i="29"/>
  <c r="AI59" i="29"/>
  <c r="AJ59" i="29"/>
  <c r="AK59" i="29"/>
  <c r="AL59" i="29"/>
  <c r="AM59" i="29"/>
  <c r="AN59" i="29"/>
  <c r="AO59" i="29"/>
  <c r="AR8" i="29"/>
  <c r="AR7" i="29"/>
  <c r="AP6" i="29"/>
  <c r="AP7" i="29"/>
  <c r="AS5" i="29"/>
  <c r="AR4" i="29"/>
  <c r="AP4" i="29"/>
  <c r="AP8" i="29"/>
  <c r="AR6" i="29"/>
  <c r="D113" i="29"/>
  <c r="AQ113" i="29" s="1"/>
  <c r="AE112" i="29"/>
  <c r="AF112" i="29"/>
  <c r="AG112" i="29"/>
  <c r="AH112" i="29"/>
  <c r="AI112" i="29"/>
  <c r="AJ112" i="29"/>
  <c r="AK112" i="29"/>
  <c r="AL112" i="29"/>
  <c r="AM112" i="29"/>
  <c r="AN112" i="29"/>
  <c r="AO112" i="29"/>
  <c r="D97" i="28"/>
  <c r="AE96" i="28"/>
  <c r="AF96" i="28"/>
  <c r="AG96" i="28"/>
  <c r="AH96" i="28"/>
  <c r="AI96" i="28"/>
  <c r="AJ96" i="28"/>
  <c r="AK96" i="28"/>
  <c r="AL96" i="28"/>
  <c r="AM96" i="28"/>
  <c r="AN96" i="28"/>
  <c r="AO96" i="28"/>
  <c r="T7" i="28"/>
  <c r="T6" i="28"/>
  <c r="U4" i="28"/>
  <c r="D48" i="28"/>
  <c r="AE47" i="28"/>
  <c r="AF47" i="28"/>
  <c r="AG47" i="28"/>
  <c r="AH47" i="28"/>
  <c r="AI47" i="28"/>
  <c r="AJ47" i="28"/>
  <c r="AK47" i="28"/>
  <c r="AL47" i="28"/>
  <c r="AM47" i="28"/>
  <c r="AN47" i="28"/>
  <c r="AO47" i="28"/>
  <c r="U5" i="29" l="1"/>
  <c r="T8" i="29"/>
  <c r="D61" i="29"/>
  <c r="AR61" i="29" s="1"/>
  <c r="AE60" i="29"/>
  <c r="AF60" i="29"/>
  <c r="AG60" i="29"/>
  <c r="AH60" i="29"/>
  <c r="AI60" i="29"/>
  <c r="AJ60" i="29"/>
  <c r="AK60" i="29"/>
  <c r="AL60" i="29"/>
  <c r="AM60" i="29"/>
  <c r="AN60" i="29"/>
  <c r="AO60" i="29"/>
  <c r="AS8" i="29"/>
  <c r="AT5" i="29"/>
  <c r="AS4" i="29"/>
  <c r="AS6" i="29"/>
  <c r="AS7" i="29"/>
  <c r="AR112" i="29"/>
  <c r="AP112" i="29"/>
  <c r="AR113" i="29"/>
  <c r="AP113" i="29"/>
  <c r="AR111" i="29"/>
  <c r="AP111" i="29"/>
  <c r="AP60" i="29"/>
  <c r="AR60" i="29"/>
  <c r="D114" i="29"/>
  <c r="AP114" i="29" s="1"/>
  <c r="AE113" i="29"/>
  <c r="AF113" i="29"/>
  <c r="AG113" i="29"/>
  <c r="AH113" i="29"/>
  <c r="AI113" i="29"/>
  <c r="AJ113" i="29"/>
  <c r="AK113" i="29"/>
  <c r="AL113" i="29"/>
  <c r="AM113" i="29"/>
  <c r="AN113" i="29"/>
  <c r="AO113" i="29"/>
  <c r="T8" i="28"/>
  <c r="D49" i="28"/>
  <c r="AE48" i="28"/>
  <c r="AF48" i="28"/>
  <c r="AG48" i="28"/>
  <c r="AH48" i="28"/>
  <c r="AI48" i="28"/>
  <c r="AJ48" i="28"/>
  <c r="AK48" i="28"/>
  <c r="AL48" i="28"/>
  <c r="AM48" i="28"/>
  <c r="AN48" i="28"/>
  <c r="AO48" i="28"/>
  <c r="U5" i="28"/>
  <c r="D98" i="28"/>
  <c r="AE97" i="28"/>
  <c r="AF97" i="28"/>
  <c r="AG97" i="28"/>
  <c r="AH97" i="28"/>
  <c r="AI97" i="28"/>
  <c r="AJ97" i="28"/>
  <c r="AK97" i="28"/>
  <c r="AL97" i="28"/>
  <c r="AM97" i="28"/>
  <c r="AN97" i="28"/>
  <c r="AO97" i="28"/>
  <c r="AP61" i="29" l="1"/>
  <c r="U7" i="29"/>
  <c r="U6" i="29"/>
  <c r="V4" i="29"/>
  <c r="D115" i="29"/>
  <c r="AS115" i="29" s="1"/>
  <c r="AE114" i="29"/>
  <c r="AF114" i="29"/>
  <c r="AG114" i="29"/>
  <c r="AH114" i="29"/>
  <c r="AI114" i="29"/>
  <c r="AJ114" i="29"/>
  <c r="AK114" i="29"/>
  <c r="AL114" i="29"/>
  <c r="AM114" i="29"/>
  <c r="AN114" i="29"/>
  <c r="AO114" i="29"/>
  <c r="AQ114" i="29"/>
  <c r="AR114" i="29"/>
  <c r="AT8" i="29"/>
  <c r="AU5" i="29"/>
  <c r="AT4" i="29"/>
  <c r="AT6" i="29"/>
  <c r="AT7" i="29"/>
  <c r="AS112" i="29"/>
  <c r="AS114" i="29"/>
  <c r="AS113" i="29"/>
  <c r="AS61" i="29"/>
  <c r="D62" i="29"/>
  <c r="AE61" i="29"/>
  <c r="AF61" i="29"/>
  <c r="AG61" i="29"/>
  <c r="AH61" i="29"/>
  <c r="AI61" i="29"/>
  <c r="AJ61" i="29"/>
  <c r="AK61" i="29"/>
  <c r="AL61" i="29"/>
  <c r="AM61" i="29"/>
  <c r="AN61" i="29"/>
  <c r="AO61" i="29"/>
  <c r="AQ61" i="29"/>
  <c r="D50" i="28"/>
  <c r="AE49" i="28"/>
  <c r="AF49" i="28"/>
  <c r="AG49" i="28"/>
  <c r="AH49" i="28"/>
  <c r="AI49" i="28"/>
  <c r="AJ49" i="28"/>
  <c r="AK49" i="28"/>
  <c r="AL49" i="28"/>
  <c r="AM49" i="28"/>
  <c r="AN49" i="28"/>
  <c r="AO49" i="28"/>
  <c r="D99" i="28"/>
  <c r="AE98" i="28"/>
  <c r="AF98" i="28"/>
  <c r="AG98" i="28"/>
  <c r="AH98" i="28"/>
  <c r="AI98" i="28"/>
  <c r="AJ98" i="28"/>
  <c r="AK98" i="28"/>
  <c r="AL98" i="28"/>
  <c r="AM98" i="28"/>
  <c r="AN98" i="28"/>
  <c r="AO98" i="28"/>
  <c r="U7" i="28"/>
  <c r="U6" i="28"/>
  <c r="V4" i="28"/>
  <c r="AU4" i="29" l="1"/>
  <c r="AU7" i="29"/>
  <c r="AU8" i="29"/>
  <c r="AU6" i="29"/>
  <c r="AV5" i="29"/>
  <c r="U8" i="29"/>
  <c r="D63" i="29"/>
  <c r="AE62" i="29"/>
  <c r="AF62" i="29"/>
  <c r="AG62" i="29"/>
  <c r="AH62" i="29"/>
  <c r="AI62" i="29"/>
  <c r="AJ62" i="29"/>
  <c r="AK62" i="29"/>
  <c r="AL62" i="29"/>
  <c r="AM62" i="29"/>
  <c r="AN62" i="29"/>
  <c r="AO62" i="29"/>
  <c r="AQ62" i="29"/>
  <c r="AP62" i="29"/>
  <c r="AR62" i="29"/>
  <c r="AT114" i="29"/>
  <c r="AT113" i="29"/>
  <c r="AT115" i="29"/>
  <c r="AT62" i="29"/>
  <c r="D116" i="29"/>
  <c r="AT116" i="29" s="1"/>
  <c r="AE115" i="29"/>
  <c r="AF115" i="29"/>
  <c r="AG115" i="29"/>
  <c r="AH115" i="29"/>
  <c r="AI115" i="29"/>
  <c r="AJ115" i="29"/>
  <c r="AK115" i="29"/>
  <c r="AL115" i="29"/>
  <c r="AM115" i="29"/>
  <c r="AN115" i="29"/>
  <c r="AO115" i="29"/>
  <c r="AQ115" i="29"/>
  <c r="AP115" i="29"/>
  <c r="AR115" i="29"/>
  <c r="V5" i="29"/>
  <c r="AS62" i="29"/>
  <c r="V5" i="28"/>
  <c r="D51" i="28"/>
  <c r="AE50" i="28"/>
  <c r="AF50" i="28"/>
  <c r="AG50" i="28"/>
  <c r="AH50" i="28"/>
  <c r="AI50" i="28"/>
  <c r="AJ50" i="28"/>
  <c r="AK50" i="28"/>
  <c r="AL50" i="28"/>
  <c r="AM50" i="28"/>
  <c r="AN50" i="28"/>
  <c r="AO50" i="28"/>
  <c r="D100" i="28"/>
  <c r="AE99" i="28"/>
  <c r="AF99" i="28"/>
  <c r="AG99" i="28"/>
  <c r="AH99" i="28"/>
  <c r="AI99" i="28"/>
  <c r="AJ99" i="28"/>
  <c r="AK99" i="28"/>
  <c r="AL99" i="28"/>
  <c r="AM99" i="28"/>
  <c r="AN99" i="28"/>
  <c r="AO99" i="28"/>
  <c r="U8" i="28"/>
  <c r="AU114" i="29" l="1"/>
  <c r="AU116" i="29"/>
  <c r="AU115" i="29"/>
  <c r="AU63" i="29"/>
  <c r="V7" i="29"/>
  <c r="V6" i="29"/>
  <c r="W4" i="29"/>
  <c r="AV8" i="29"/>
  <c r="AV4" i="29"/>
  <c r="AV6" i="29"/>
  <c r="AV7" i="29"/>
  <c r="AW5" i="29"/>
  <c r="D64" i="29"/>
  <c r="AE63" i="29"/>
  <c r="AF63" i="29"/>
  <c r="AG63" i="29"/>
  <c r="AH63" i="29"/>
  <c r="AI63" i="29"/>
  <c r="AJ63" i="29"/>
  <c r="AK63" i="29"/>
  <c r="AL63" i="29"/>
  <c r="AM63" i="29"/>
  <c r="AN63" i="29"/>
  <c r="AO63" i="29"/>
  <c r="AQ63" i="29"/>
  <c r="AP63" i="29"/>
  <c r="AR63" i="29"/>
  <c r="AS63" i="29"/>
  <c r="D117" i="29"/>
  <c r="AE116" i="29"/>
  <c r="AF116" i="29"/>
  <c r="AG116" i="29"/>
  <c r="AH116" i="29"/>
  <c r="AI116" i="29"/>
  <c r="AJ116" i="29"/>
  <c r="AK116" i="29"/>
  <c r="AL116" i="29"/>
  <c r="AM116" i="29"/>
  <c r="AN116" i="29"/>
  <c r="AO116" i="29"/>
  <c r="AQ116" i="29"/>
  <c r="AR116" i="29"/>
  <c r="AP116" i="29"/>
  <c r="AS116" i="29"/>
  <c r="AT63" i="29"/>
  <c r="V6" i="28"/>
  <c r="V7" i="28"/>
  <c r="W4" i="28"/>
  <c r="D52" i="28"/>
  <c r="AE51" i="28"/>
  <c r="AF51" i="28"/>
  <c r="AG51" i="28"/>
  <c r="AH51" i="28"/>
  <c r="AI51" i="28"/>
  <c r="AJ51" i="28"/>
  <c r="AK51" i="28"/>
  <c r="AL51" i="28"/>
  <c r="AM51" i="28"/>
  <c r="AN51" i="28"/>
  <c r="AO51" i="28"/>
  <c r="D101" i="28"/>
  <c r="AE100" i="28"/>
  <c r="AF100" i="28"/>
  <c r="AG100" i="28"/>
  <c r="AH100" i="28"/>
  <c r="AI100" i="28"/>
  <c r="AJ100" i="28"/>
  <c r="AK100" i="28"/>
  <c r="AL100" i="28"/>
  <c r="AM100" i="28"/>
  <c r="AN100" i="28"/>
  <c r="AO100" i="28"/>
  <c r="D65" i="29" l="1"/>
  <c r="AV65" i="29" s="1"/>
  <c r="AE64" i="29"/>
  <c r="AF64" i="29"/>
  <c r="AG64" i="29"/>
  <c r="AH64" i="29"/>
  <c r="AI64" i="29"/>
  <c r="AJ64" i="29"/>
  <c r="AK64" i="29"/>
  <c r="AL64" i="29"/>
  <c r="AM64" i="29"/>
  <c r="AN64" i="29"/>
  <c r="AO64" i="29"/>
  <c r="AQ64" i="29"/>
  <c r="AP64" i="29"/>
  <c r="AR64" i="29"/>
  <c r="AS64" i="29"/>
  <c r="AT64" i="29"/>
  <c r="AU64" i="29"/>
  <c r="D118" i="29"/>
  <c r="AV118" i="29" s="1"/>
  <c r="AE117" i="29"/>
  <c r="AF117" i="29"/>
  <c r="AG117" i="29"/>
  <c r="AH117" i="29"/>
  <c r="AI117" i="29"/>
  <c r="AJ117" i="29"/>
  <c r="AK117" i="29"/>
  <c r="AL117" i="29"/>
  <c r="AM117" i="29"/>
  <c r="AN117" i="29"/>
  <c r="AO117" i="29"/>
  <c r="AQ117" i="29"/>
  <c r="AR117" i="29"/>
  <c r="AP117" i="29"/>
  <c r="AS117" i="29"/>
  <c r="AT117" i="29"/>
  <c r="AW8" i="29"/>
  <c r="AW7" i="29"/>
  <c r="AW4" i="29"/>
  <c r="AX5" i="29"/>
  <c r="AW6" i="29"/>
  <c r="W5" i="29"/>
  <c r="V8" i="29"/>
  <c r="AU117" i="29"/>
  <c r="AV116" i="29"/>
  <c r="AV117" i="29"/>
  <c r="AV115" i="29"/>
  <c r="AV64" i="29"/>
  <c r="W5" i="28"/>
  <c r="V8" i="28"/>
  <c r="D102" i="28"/>
  <c r="AE101" i="28"/>
  <c r="AF101" i="28"/>
  <c r="AG101" i="28"/>
  <c r="AH101" i="28"/>
  <c r="AI101" i="28"/>
  <c r="AJ101" i="28"/>
  <c r="AK101" i="28"/>
  <c r="AL101" i="28"/>
  <c r="AM101" i="28"/>
  <c r="AN101" i="28"/>
  <c r="AO101" i="28"/>
  <c r="D53" i="28"/>
  <c r="AE52" i="28"/>
  <c r="AF52" i="28"/>
  <c r="AG52" i="28"/>
  <c r="AH52" i="28"/>
  <c r="AI52" i="28"/>
  <c r="AJ52" i="28"/>
  <c r="AK52" i="28"/>
  <c r="AL52" i="28"/>
  <c r="AM52" i="28"/>
  <c r="AN52" i="28"/>
  <c r="AO52" i="28"/>
  <c r="D119" i="29" l="1"/>
  <c r="AW119" i="29" s="1"/>
  <c r="AE118" i="29"/>
  <c r="AF118" i="29"/>
  <c r="AG118" i="29"/>
  <c r="AH118" i="29"/>
  <c r="AI118" i="29"/>
  <c r="AJ118" i="29"/>
  <c r="AK118" i="29"/>
  <c r="AL118" i="29"/>
  <c r="AM118" i="29"/>
  <c r="AN118" i="29"/>
  <c r="AO118" i="29"/>
  <c r="AQ118" i="29"/>
  <c r="AP118" i="29"/>
  <c r="AR118" i="29"/>
  <c r="AS118" i="29"/>
  <c r="AT118" i="29"/>
  <c r="AU118" i="29"/>
  <c r="W7" i="29"/>
  <c r="W6" i="29"/>
  <c r="X4" i="29"/>
  <c r="D66" i="29"/>
  <c r="AW66" i="29" s="1"/>
  <c r="AE65" i="29"/>
  <c r="AF65" i="29"/>
  <c r="AG65" i="29"/>
  <c r="AH65" i="29"/>
  <c r="AI65" i="29"/>
  <c r="AJ65" i="29"/>
  <c r="AK65" i="29"/>
  <c r="AL65" i="29"/>
  <c r="AM65" i="29"/>
  <c r="AN65" i="29"/>
  <c r="AO65" i="29"/>
  <c r="AQ65" i="29"/>
  <c r="AR65" i="29"/>
  <c r="AP65" i="29"/>
  <c r="AS65" i="29"/>
  <c r="AT65" i="29"/>
  <c r="AU65" i="29"/>
  <c r="AX8" i="29"/>
  <c r="AY5" i="29"/>
  <c r="AX4" i="29"/>
  <c r="AX6" i="29"/>
  <c r="AX7" i="29"/>
  <c r="AW116" i="29"/>
  <c r="AW118" i="29"/>
  <c r="AW117" i="29"/>
  <c r="AW65" i="29"/>
  <c r="W6" i="28"/>
  <c r="X4" i="28"/>
  <c r="W7" i="28"/>
  <c r="D54" i="28"/>
  <c r="AE53" i="28"/>
  <c r="AF53" i="28"/>
  <c r="AG53" i="28"/>
  <c r="AH53" i="28"/>
  <c r="AI53" i="28"/>
  <c r="AJ53" i="28"/>
  <c r="AK53" i="28"/>
  <c r="AL53" i="28"/>
  <c r="AM53" i="28"/>
  <c r="AN53" i="28"/>
  <c r="AO53" i="28"/>
  <c r="D103" i="28"/>
  <c r="AE102" i="28"/>
  <c r="AF102" i="28"/>
  <c r="AG102" i="28"/>
  <c r="AH102" i="28"/>
  <c r="AI102" i="28"/>
  <c r="AJ102" i="28"/>
  <c r="AK102" i="28"/>
  <c r="AL102" i="28"/>
  <c r="AM102" i="28"/>
  <c r="AN102" i="28"/>
  <c r="AO102" i="28"/>
  <c r="AX118" i="29" l="1"/>
  <c r="AX117" i="29"/>
  <c r="AX119" i="29"/>
  <c r="AX66" i="29"/>
  <c r="AY8" i="29"/>
  <c r="AY4" i="29"/>
  <c r="AY6" i="29"/>
  <c r="AY7" i="29"/>
  <c r="AZ5" i="29"/>
  <c r="D120" i="29"/>
  <c r="AX120" i="29" s="1"/>
  <c r="AE119" i="29"/>
  <c r="AF119" i="29"/>
  <c r="AG119" i="29"/>
  <c r="AH119" i="29"/>
  <c r="AI119" i="29"/>
  <c r="AJ119" i="29"/>
  <c r="AK119" i="29"/>
  <c r="AL119" i="29"/>
  <c r="AM119" i="29"/>
  <c r="AN119" i="29"/>
  <c r="AO119" i="29"/>
  <c r="AQ119" i="29"/>
  <c r="AP119" i="29"/>
  <c r="AR119" i="29"/>
  <c r="AS119" i="29"/>
  <c r="AT119" i="29"/>
  <c r="AU119" i="29"/>
  <c r="AV119" i="29"/>
  <c r="W8" i="28"/>
  <c r="X5" i="29"/>
  <c r="D67" i="29"/>
  <c r="AX67" i="29" s="1"/>
  <c r="AE66" i="29"/>
  <c r="AF66" i="29"/>
  <c r="AG66" i="29"/>
  <c r="AH66" i="29"/>
  <c r="AI66" i="29"/>
  <c r="AJ66" i="29"/>
  <c r="AK66" i="29"/>
  <c r="AL66" i="29"/>
  <c r="AM66" i="29"/>
  <c r="AN66" i="29"/>
  <c r="AO66" i="29"/>
  <c r="AQ66" i="29"/>
  <c r="AP66" i="29"/>
  <c r="AR66" i="29"/>
  <c r="AS66" i="29"/>
  <c r="AT66" i="29"/>
  <c r="AU66" i="29"/>
  <c r="AV66" i="29"/>
  <c r="W8" i="29"/>
  <c r="X5" i="28"/>
  <c r="D104" i="28"/>
  <c r="AE103" i="28"/>
  <c r="AF103" i="28"/>
  <c r="AG103" i="28"/>
  <c r="AH103" i="28"/>
  <c r="AI103" i="28"/>
  <c r="AJ103" i="28"/>
  <c r="AK103" i="28"/>
  <c r="AL103" i="28"/>
  <c r="AM103" i="28"/>
  <c r="AN103" i="28"/>
  <c r="AO103" i="28"/>
  <c r="D55" i="28"/>
  <c r="AE54" i="28"/>
  <c r="AF54" i="28"/>
  <c r="AG54" i="28"/>
  <c r="AH54" i="28"/>
  <c r="AI54" i="28"/>
  <c r="AJ54" i="28"/>
  <c r="AK54" i="28"/>
  <c r="AL54" i="28"/>
  <c r="AM54" i="28"/>
  <c r="AN54" i="28"/>
  <c r="AO54" i="28"/>
  <c r="AY118" i="29" l="1"/>
  <c r="AY120" i="29"/>
  <c r="AY119" i="29"/>
  <c r="AY67" i="29"/>
  <c r="D121" i="29"/>
  <c r="AE120" i="29"/>
  <c r="AF120" i="29"/>
  <c r="AG120" i="29"/>
  <c r="AH120" i="29"/>
  <c r="AI120" i="29"/>
  <c r="AJ120" i="29"/>
  <c r="AK120" i="29"/>
  <c r="AL120" i="29"/>
  <c r="AM120" i="29"/>
  <c r="AN120" i="29"/>
  <c r="AO120" i="29"/>
  <c r="AQ120" i="29"/>
  <c r="AR120" i="29"/>
  <c r="AP120" i="29"/>
  <c r="AS120" i="29"/>
  <c r="AT120" i="29"/>
  <c r="AU120" i="29"/>
  <c r="AV120" i="29"/>
  <c r="AW120" i="29"/>
  <c r="D68" i="29"/>
  <c r="AE67" i="29"/>
  <c r="AF67" i="29"/>
  <c r="AG67" i="29"/>
  <c r="AH67" i="29"/>
  <c r="AI67" i="29"/>
  <c r="AJ67" i="29"/>
  <c r="AK67" i="29"/>
  <c r="AL67" i="29"/>
  <c r="AM67" i="29"/>
  <c r="AN67" i="29"/>
  <c r="AO67" i="29"/>
  <c r="AQ67" i="29"/>
  <c r="AP67" i="29"/>
  <c r="AR67" i="29"/>
  <c r="AS67" i="29"/>
  <c r="AT67" i="29"/>
  <c r="AU67" i="29"/>
  <c r="AV67" i="29"/>
  <c r="AW67" i="29"/>
  <c r="X6" i="29"/>
  <c r="Y4" i="29"/>
  <c r="X7" i="29"/>
  <c r="AZ8" i="29"/>
  <c r="AZ7" i="29"/>
  <c r="AZ4" i="29"/>
  <c r="AZ6" i="29"/>
  <c r="BA5" i="29"/>
  <c r="X6" i="28"/>
  <c r="Y4" i="28"/>
  <c r="X7" i="28"/>
  <c r="D56" i="28"/>
  <c r="AE55" i="28"/>
  <c r="AF55" i="28"/>
  <c r="AG55" i="28"/>
  <c r="AH55" i="28"/>
  <c r="AI55" i="28"/>
  <c r="AJ55" i="28"/>
  <c r="AK55" i="28"/>
  <c r="AL55" i="28"/>
  <c r="AM55" i="28"/>
  <c r="AN55" i="28"/>
  <c r="AO55" i="28"/>
  <c r="D105" i="28"/>
  <c r="AE104" i="28"/>
  <c r="AF104" i="28"/>
  <c r="AG104" i="28"/>
  <c r="AH104" i="28"/>
  <c r="AI104" i="28"/>
  <c r="AJ104" i="28"/>
  <c r="AK104" i="28"/>
  <c r="AL104" i="28"/>
  <c r="AM104" i="28"/>
  <c r="AN104" i="28"/>
  <c r="AO104" i="28"/>
  <c r="X8" i="29" l="1"/>
  <c r="X8" i="28"/>
  <c r="Y5" i="29"/>
  <c r="D69" i="29"/>
  <c r="AZ69" i="29" s="1"/>
  <c r="AE68" i="29"/>
  <c r="AF68" i="29"/>
  <c r="AG68" i="29"/>
  <c r="AH68" i="29"/>
  <c r="AI68" i="29"/>
  <c r="AJ68" i="29"/>
  <c r="AK68" i="29"/>
  <c r="AL68" i="29"/>
  <c r="AM68" i="29"/>
  <c r="AN68" i="29"/>
  <c r="AO68" i="29"/>
  <c r="AQ68" i="29"/>
  <c r="AR68" i="29"/>
  <c r="AP68" i="29"/>
  <c r="AS68" i="29"/>
  <c r="AT68" i="29"/>
  <c r="AU68" i="29"/>
  <c r="AV68" i="29"/>
  <c r="AW68" i="29"/>
  <c r="AX68" i="29"/>
  <c r="D122" i="29"/>
  <c r="AZ122" i="29" s="1"/>
  <c r="AE121" i="29"/>
  <c r="AF121" i="29"/>
  <c r="AG121" i="29"/>
  <c r="AH121" i="29"/>
  <c r="AI121" i="29"/>
  <c r="AJ121" i="29"/>
  <c r="AK121" i="29"/>
  <c r="AL121" i="29"/>
  <c r="AM121" i="29"/>
  <c r="AN121" i="29"/>
  <c r="AO121" i="29"/>
  <c r="AQ121" i="29"/>
  <c r="AR121" i="29"/>
  <c r="AP121" i="29"/>
  <c r="AS121" i="29"/>
  <c r="AT121" i="29"/>
  <c r="AU121" i="29"/>
  <c r="AV121" i="29"/>
  <c r="AW121" i="29"/>
  <c r="AX121" i="29"/>
  <c r="AY121" i="29"/>
  <c r="AY68" i="29"/>
  <c r="BA8" i="29"/>
  <c r="BA7" i="29"/>
  <c r="BA6" i="29"/>
  <c r="BB5" i="29"/>
  <c r="BA4" i="29"/>
  <c r="AZ120" i="29"/>
  <c r="AZ119" i="29"/>
  <c r="AZ121" i="29"/>
  <c r="AZ68" i="29"/>
  <c r="D57" i="28"/>
  <c r="AE56" i="28"/>
  <c r="AF56" i="28"/>
  <c r="AG56" i="28"/>
  <c r="AH56" i="28"/>
  <c r="AI56" i="28"/>
  <c r="AJ56" i="28"/>
  <c r="AK56" i="28"/>
  <c r="AL56" i="28"/>
  <c r="AM56" i="28"/>
  <c r="AN56" i="28"/>
  <c r="AO56" i="28"/>
  <c r="Y5" i="28"/>
  <c r="D106" i="28"/>
  <c r="AE105" i="28"/>
  <c r="AF105" i="28"/>
  <c r="AG105" i="28"/>
  <c r="AH105" i="28"/>
  <c r="AI105" i="28"/>
  <c r="AJ105" i="28"/>
  <c r="AK105" i="28"/>
  <c r="AL105" i="28"/>
  <c r="AM105" i="28"/>
  <c r="AN105" i="28"/>
  <c r="AO105" i="28"/>
  <c r="BA120" i="29" l="1"/>
  <c r="BA122" i="29"/>
  <c r="BA121" i="29"/>
  <c r="BA69" i="29"/>
  <c r="Y6" i="29"/>
  <c r="Z4" i="29"/>
  <c r="Y7" i="29"/>
  <c r="D123" i="29"/>
  <c r="AE122" i="29"/>
  <c r="AF122" i="29"/>
  <c r="AG122" i="29"/>
  <c r="AH122" i="29"/>
  <c r="AI122" i="29"/>
  <c r="AJ122" i="29"/>
  <c r="AK122" i="29"/>
  <c r="AL122" i="29"/>
  <c r="AM122" i="29"/>
  <c r="AN122" i="29"/>
  <c r="AO122" i="29"/>
  <c r="AQ122" i="29"/>
  <c r="AR122" i="29"/>
  <c r="AP122" i="29"/>
  <c r="AS122" i="29"/>
  <c r="AT122" i="29"/>
  <c r="AU122" i="29"/>
  <c r="AV122" i="29"/>
  <c r="AW122" i="29"/>
  <c r="AX122" i="29"/>
  <c r="AY122" i="29"/>
  <c r="D70" i="29"/>
  <c r="AE69" i="29"/>
  <c r="AF69" i="29"/>
  <c r="AG69" i="29"/>
  <c r="AH69" i="29"/>
  <c r="AI69" i="29"/>
  <c r="AJ69" i="29"/>
  <c r="AK69" i="29"/>
  <c r="AL69" i="29"/>
  <c r="AM69" i="29"/>
  <c r="AN69" i="29"/>
  <c r="AO69" i="29"/>
  <c r="AQ69" i="29"/>
  <c r="AR69" i="29"/>
  <c r="AP69" i="29"/>
  <c r="AS69" i="29"/>
  <c r="AT69" i="29"/>
  <c r="AU69" i="29"/>
  <c r="AV69" i="29"/>
  <c r="AW69" i="29"/>
  <c r="AX69" i="29"/>
  <c r="AY69" i="29"/>
  <c r="BB7" i="29"/>
  <c r="BB6" i="29"/>
  <c r="BC5" i="29"/>
  <c r="BB8" i="29"/>
  <c r="BB4" i="29"/>
  <c r="D58" i="28"/>
  <c r="AE57" i="28"/>
  <c r="AF57" i="28"/>
  <c r="AG57" i="28"/>
  <c r="AH57" i="28"/>
  <c r="AI57" i="28"/>
  <c r="AJ57" i="28"/>
  <c r="AK57" i="28"/>
  <c r="AL57" i="28"/>
  <c r="AM57" i="28"/>
  <c r="AN57" i="28"/>
  <c r="AO57" i="28"/>
  <c r="Y6" i="28"/>
  <c r="Z4" i="28"/>
  <c r="Y7" i="28"/>
  <c r="D107" i="28"/>
  <c r="AE106" i="28"/>
  <c r="AF106" i="28"/>
  <c r="AG106" i="28"/>
  <c r="AH106" i="28"/>
  <c r="AI106" i="28"/>
  <c r="AJ106" i="28"/>
  <c r="AK106" i="28"/>
  <c r="AL106" i="28"/>
  <c r="AM106" i="28"/>
  <c r="AN106" i="28"/>
  <c r="AO106" i="28"/>
  <c r="Y8" i="29" l="1"/>
  <c r="D71" i="29"/>
  <c r="BB71" i="29" s="1"/>
  <c r="AE70" i="29"/>
  <c r="AF70" i="29"/>
  <c r="AG70" i="29"/>
  <c r="AH70" i="29"/>
  <c r="AI70" i="29"/>
  <c r="AJ70" i="29"/>
  <c r="AK70" i="29"/>
  <c r="AL70" i="29"/>
  <c r="AM70" i="29"/>
  <c r="AN70" i="29"/>
  <c r="AO70" i="29"/>
  <c r="AQ70" i="29"/>
  <c r="AR70" i="29"/>
  <c r="AP70" i="29"/>
  <c r="AS70" i="29"/>
  <c r="AT70" i="29"/>
  <c r="AU70" i="29"/>
  <c r="AV70" i="29"/>
  <c r="AW70" i="29"/>
  <c r="AX70" i="29"/>
  <c r="AY70" i="29"/>
  <c r="AZ70" i="29"/>
  <c r="BB122" i="29"/>
  <c r="BB123" i="29"/>
  <c r="BB121" i="29"/>
  <c r="BB70" i="29"/>
  <c r="BC7" i="29"/>
  <c r="BC6" i="29"/>
  <c r="BD5" i="29"/>
  <c r="BC4" i="29"/>
  <c r="BC8" i="29"/>
  <c r="Z5" i="29"/>
  <c r="D124" i="29"/>
  <c r="AE123" i="29"/>
  <c r="AF123" i="29"/>
  <c r="AG123" i="29"/>
  <c r="AH123" i="29"/>
  <c r="AI123" i="29"/>
  <c r="AJ123" i="29"/>
  <c r="AK123" i="29"/>
  <c r="AL123" i="29"/>
  <c r="AM123" i="29"/>
  <c r="AN123" i="29"/>
  <c r="AO123" i="29"/>
  <c r="AQ123" i="29"/>
  <c r="AP123" i="29"/>
  <c r="AR123" i="29"/>
  <c r="AS123" i="29"/>
  <c r="AT123" i="29"/>
  <c r="AU123" i="29"/>
  <c r="AV123" i="29"/>
  <c r="AW123" i="29"/>
  <c r="AX123" i="29"/>
  <c r="AY123" i="29"/>
  <c r="AZ123" i="29"/>
  <c r="BA70" i="29"/>
  <c r="BA123" i="29"/>
  <c r="Y8" i="28"/>
  <c r="D59" i="28"/>
  <c r="AE58" i="28"/>
  <c r="AF58" i="28"/>
  <c r="AG58" i="28"/>
  <c r="AH58" i="28"/>
  <c r="AI58" i="28"/>
  <c r="AJ58" i="28"/>
  <c r="AK58" i="28"/>
  <c r="AL58" i="28"/>
  <c r="AM58" i="28"/>
  <c r="AN58" i="28"/>
  <c r="AO58" i="28"/>
  <c r="D108" i="28"/>
  <c r="AE107" i="28"/>
  <c r="AF107" i="28"/>
  <c r="AG107" i="28"/>
  <c r="AH107" i="28"/>
  <c r="AI107" i="28"/>
  <c r="AJ107" i="28"/>
  <c r="AK107" i="28"/>
  <c r="AL107" i="28"/>
  <c r="AM107" i="28"/>
  <c r="AN107" i="28"/>
  <c r="AO107" i="28"/>
  <c r="Z5" i="28"/>
  <c r="AA4" i="29" l="1"/>
  <c r="Z7" i="29"/>
  <c r="Z6" i="29"/>
  <c r="D72" i="29"/>
  <c r="AE71" i="29"/>
  <c r="AF71" i="29"/>
  <c r="AG71" i="29"/>
  <c r="AH71" i="29"/>
  <c r="AI71" i="29"/>
  <c r="AJ71" i="29"/>
  <c r="AK71" i="29"/>
  <c r="AL71" i="29"/>
  <c r="AM71" i="29"/>
  <c r="AN71" i="29"/>
  <c r="AO71" i="29"/>
  <c r="AQ71" i="29"/>
  <c r="AR71" i="29"/>
  <c r="AP71" i="29"/>
  <c r="AS71" i="29"/>
  <c r="AT71" i="29"/>
  <c r="AU71" i="29"/>
  <c r="AV71" i="29"/>
  <c r="AW71" i="29"/>
  <c r="AX71" i="29"/>
  <c r="AY71" i="29"/>
  <c r="AZ71" i="29"/>
  <c r="BA71" i="29"/>
  <c r="BC122" i="29"/>
  <c r="BC124" i="29"/>
  <c r="BC123" i="29"/>
  <c r="BC71" i="29"/>
  <c r="D125" i="29"/>
  <c r="AE124" i="29"/>
  <c r="AF124" i="29"/>
  <c r="AG124" i="29"/>
  <c r="AH124" i="29"/>
  <c r="AI124" i="29"/>
  <c r="AJ124" i="29"/>
  <c r="AK124" i="29"/>
  <c r="AL124" i="29"/>
  <c r="AM124" i="29"/>
  <c r="AN124" i="29"/>
  <c r="AO124" i="29"/>
  <c r="AQ124" i="29"/>
  <c r="AP124" i="29"/>
  <c r="AR124" i="29"/>
  <c r="AS124" i="29"/>
  <c r="AT124" i="29"/>
  <c r="AU124" i="29"/>
  <c r="AV124" i="29"/>
  <c r="AW124" i="29"/>
  <c r="AX124" i="29"/>
  <c r="AY124" i="29"/>
  <c r="AZ124" i="29"/>
  <c r="BA124" i="29"/>
  <c r="BD7" i="29"/>
  <c r="BD6" i="29"/>
  <c r="BE5" i="29"/>
  <c r="BD8" i="29"/>
  <c r="BD4" i="29"/>
  <c r="BB124" i="29"/>
  <c r="AA4" i="28"/>
  <c r="Z7" i="28"/>
  <c r="Z6" i="28"/>
  <c r="D60" i="28"/>
  <c r="AE59" i="28"/>
  <c r="AF59" i="28"/>
  <c r="AG59" i="28"/>
  <c r="AH59" i="28"/>
  <c r="AI59" i="28"/>
  <c r="AJ59" i="28"/>
  <c r="AK59" i="28"/>
  <c r="AL59" i="28"/>
  <c r="AM59" i="28"/>
  <c r="AN59" i="28"/>
  <c r="AO59" i="28"/>
  <c r="D109" i="28"/>
  <c r="AE108" i="28"/>
  <c r="AF108" i="28"/>
  <c r="AG108" i="28"/>
  <c r="AH108" i="28"/>
  <c r="AI108" i="28"/>
  <c r="AJ108" i="28"/>
  <c r="AK108" i="28"/>
  <c r="AL108" i="28"/>
  <c r="AM108" i="28"/>
  <c r="AN108" i="28"/>
  <c r="AO108" i="28"/>
  <c r="Z8" i="29" l="1"/>
  <c r="D126" i="29"/>
  <c r="BD126" i="29" s="1"/>
  <c r="AE125" i="29"/>
  <c r="AF125" i="29"/>
  <c r="AG125" i="29"/>
  <c r="AH125" i="29"/>
  <c r="AI125" i="29"/>
  <c r="AJ125" i="29"/>
  <c r="AK125" i="29"/>
  <c r="AL125" i="29"/>
  <c r="AM125" i="29"/>
  <c r="AN125" i="29"/>
  <c r="AO125" i="29"/>
  <c r="AQ125" i="29"/>
  <c r="AP125" i="29"/>
  <c r="AR125" i="29"/>
  <c r="AS125" i="29"/>
  <c r="AT125" i="29"/>
  <c r="AU125" i="29"/>
  <c r="AV125" i="29"/>
  <c r="AW125" i="29"/>
  <c r="AX125" i="29"/>
  <c r="AY125" i="29"/>
  <c r="AZ125" i="29"/>
  <c r="BA125" i="29"/>
  <c r="BB125" i="29"/>
  <c r="BC125" i="29"/>
  <c r="D73" i="29"/>
  <c r="BD73" i="29" s="1"/>
  <c r="AE72" i="29"/>
  <c r="AF72" i="29"/>
  <c r="AG72" i="29"/>
  <c r="AH72" i="29"/>
  <c r="AI72" i="29"/>
  <c r="AJ72" i="29"/>
  <c r="AK72" i="29"/>
  <c r="AL72" i="29"/>
  <c r="AM72" i="29"/>
  <c r="AN72" i="29"/>
  <c r="AO72" i="29"/>
  <c r="AQ72" i="29"/>
  <c r="AR72" i="29"/>
  <c r="AP72" i="29"/>
  <c r="AS72" i="29"/>
  <c r="AT72" i="29"/>
  <c r="AU72" i="29"/>
  <c r="AV72" i="29"/>
  <c r="AW72" i="29"/>
  <c r="AX72" i="29"/>
  <c r="AY72" i="29"/>
  <c r="AZ72" i="29"/>
  <c r="BA72" i="29"/>
  <c r="BB72" i="29"/>
  <c r="BD124" i="29"/>
  <c r="BD123" i="29"/>
  <c r="BD125" i="29"/>
  <c r="BD72" i="29"/>
  <c r="BE7" i="29"/>
  <c r="BE6" i="29"/>
  <c r="BF5" i="29"/>
  <c r="BE8" i="29"/>
  <c r="BE4" i="29"/>
  <c r="AA5" i="29"/>
  <c r="BC72" i="29"/>
  <c r="Z8" i="28"/>
  <c r="D61" i="28"/>
  <c r="AE60" i="28"/>
  <c r="AF60" i="28"/>
  <c r="AG60" i="28"/>
  <c r="AH60" i="28"/>
  <c r="AI60" i="28"/>
  <c r="AJ60" i="28"/>
  <c r="AK60" i="28"/>
  <c r="AL60" i="28"/>
  <c r="AM60" i="28"/>
  <c r="AN60" i="28"/>
  <c r="AO60" i="28"/>
  <c r="AA5" i="28"/>
  <c r="D110" i="28"/>
  <c r="AE109" i="28"/>
  <c r="AF109" i="28"/>
  <c r="AG109" i="28"/>
  <c r="AH109" i="28"/>
  <c r="AI109" i="28"/>
  <c r="AJ109" i="28"/>
  <c r="AK109" i="28"/>
  <c r="AL109" i="28"/>
  <c r="AM109" i="28"/>
  <c r="AN109" i="28"/>
  <c r="AO109" i="28"/>
  <c r="D127" i="29" l="1"/>
  <c r="BE127" i="29" s="1"/>
  <c r="AE126" i="29"/>
  <c r="AF126" i="29"/>
  <c r="AG126" i="29"/>
  <c r="AH126" i="29"/>
  <c r="AI126" i="29"/>
  <c r="AJ126" i="29"/>
  <c r="AK126" i="29"/>
  <c r="AL126" i="29"/>
  <c r="AM126" i="29"/>
  <c r="AN126" i="29"/>
  <c r="AO126" i="29"/>
  <c r="AQ126" i="29"/>
  <c r="AR126" i="29"/>
  <c r="AP126" i="29"/>
  <c r="AS126" i="29"/>
  <c r="AT126" i="29"/>
  <c r="AU126" i="29"/>
  <c r="AV126" i="29"/>
  <c r="AW126" i="29"/>
  <c r="AX126" i="29"/>
  <c r="AY126" i="29"/>
  <c r="AZ126" i="29"/>
  <c r="BA126" i="29"/>
  <c r="BB126" i="29"/>
  <c r="BC126" i="29"/>
  <c r="AB4" i="29"/>
  <c r="AA7" i="29"/>
  <c r="AA6" i="29"/>
  <c r="BE124" i="29"/>
  <c r="BE126" i="29"/>
  <c r="BE125" i="29"/>
  <c r="BE73" i="29"/>
  <c r="BF6" i="29"/>
  <c r="BG5" i="29"/>
  <c r="BF8" i="29"/>
  <c r="BF7" i="29"/>
  <c r="BF4" i="29"/>
  <c r="D74" i="29"/>
  <c r="AE73" i="29"/>
  <c r="AF73" i="29"/>
  <c r="AG73" i="29"/>
  <c r="AH73" i="29"/>
  <c r="AI73" i="29"/>
  <c r="AJ73" i="29"/>
  <c r="AK73" i="29"/>
  <c r="AL73" i="29"/>
  <c r="AM73" i="29"/>
  <c r="AN73" i="29"/>
  <c r="AO73" i="29"/>
  <c r="AQ73" i="29"/>
  <c r="AP73" i="29"/>
  <c r="AR73" i="29"/>
  <c r="AS73" i="29"/>
  <c r="AT73" i="29"/>
  <c r="AU73" i="29"/>
  <c r="AV73" i="29"/>
  <c r="AW73" i="29"/>
  <c r="AX73" i="29"/>
  <c r="AY73" i="29"/>
  <c r="AZ73" i="29"/>
  <c r="BA73" i="29"/>
  <c r="BB73" i="29"/>
  <c r="BC73" i="29"/>
  <c r="D62" i="28"/>
  <c r="AE61" i="28"/>
  <c r="AF61" i="28"/>
  <c r="AG61" i="28"/>
  <c r="AH61" i="28"/>
  <c r="AI61" i="28"/>
  <c r="AJ61" i="28"/>
  <c r="AK61" i="28"/>
  <c r="AL61" i="28"/>
  <c r="AM61" i="28"/>
  <c r="AN61" i="28"/>
  <c r="AO61" i="28"/>
  <c r="D111" i="28"/>
  <c r="AE110" i="28"/>
  <c r="AF110" i="28"/>
  <c r="AG110" i="28"/>
  <c r="AH110" i="28"/>
  <c r="AI110" i="28"/>
  <c r="AJ110" i="28"/>
  <c r="AK110" i="28"/>
  <c r="AL110" i="28"/>
  <c r="AM110" i="28"/>
  <c r="AN110" i="28"/>
  <c r="AO110" i="28"/>
  <c r="AB4" i="28"/>
  <c r="AA7" i="28"/>
  <c r="AA6" i="28"/>
  <c r="BF126" i="29" l="1"/>
  <c r="BF125" i="29"/>
  <c r="BF127" i="29"/>
  <c r="BF74" i="29"/>
  <c r="BG6" i="29"/>
  <c r="BH5" i="29"/>
  <c r="BG8" i="29"/>
  <c r="BG7" i="29"/>
  <c r="BG4" i="29"/>
  <c r="D128" i="29"/>
  <c r="AE127" i="29"/>
  <c r="AF127" i="29"/>
  <c r="AG127" i="29"/>
  <c r="AH127" i="29"/>
  <c r="AI127" i="29"/>
  <c r="AJ127" i="29"/>
  <c r="AK127" i="29"/>
  <c r="AL127" i="29"/>
  <c r="AM127" i="29"/>
  <c r="AN127" i="29"/>
  <c r="AO127" i="29"/>
  <c r="AQ127" i="29"/>
  <c r="AR127" i="29"/>
  <c r="AP127" i="29"/>
  <c r="AS127" i="29"/>
  <c r="AT127" i="29"/>
  <c r="AU127" i="29"/>
  <c r="AV127" i="29"/>
  <c r="AW127" i="29"/>
  <c r="AX127" i="29"/>
  <c r="AY127" i="29"/>
  <c r="AZ127" i="29"/>
  <c r="BA127" i="29"/>
  <c r="BB127" i="29"/>
  <c r="BC127" i="29"/>
  <c r="BD127" i="29"/>
  <c r="D75" i="29"/>
  <c r="AE74" i="29"/>
  <c r="AF74" i="29"/>
  <c r="AG74" i="29"/>
  <c r="AH74" i="29"/>
  <c r="AI74" i="29"/>
  <c r="AJ74" i="29"/>
  <c r="AK74" i="29"/>
  <c r="AL74" i="29"/>
  <c r="AM74" i="29"/>
  <c r="AN74" i="29"/>
  <c r="AO74" i="29"/>
  <c r="AQ74" i="29"/>
  <c r="AR74" i="29"/>
  <c r="AP74" i="29"/>
  <c r="AS74" i="29"/>
  <c r="AT74" i="29"/>
  <c r="AU74" i="29"/>
  <c r="AV74" i="29"/>
  <c r="AW74" i="29"/>
  <c r="AX74" i="29"/>
  <c r="AY74" i="29"/>
  <c r="AZ74" i="29"/>
  <c r="BA74" i="29"/>
  <c r="BB74" i="29"/>
  <c r="BC74" i="29"/>
  <c r="BD74" i="29"/>
  <c r="BE74" i="29"/>
  <c r="AA8" i="29"/>
  <c r="AB5" i="29"/>
  <c r="AA8" i="28"/>
  <c r="AB5" i="28"/>
  <c r="D112" i="28"/>
  <c r="AE111" i="28"/>
  <c r="AF111" i="28"/>
  <c r="AG111" i="28"/>
  <c r="AH111" i="28"/>
  <c r="AI111" i="28"/>
  <c r="AJ111" i="28"/>
  <c r="AK111" i="28"/>
  <c r="AL111" i="28"/>
  <c r="AM111" i="28"/>
  <c r="AN111" i="28"/>
  <c r="AO111" i="28"/>
  <c r="D63" i="28"/>
  <c r="AE62" i="28"/>
  <c r="AF62" i="28"/>
  <c r="AG62" i="28"/>
  <c r="AH62" i="28"/>
  <c r="AI62" i="28"/>
  <c r="AJ62" i="28"/>
  <c r="AK62" i="28"/>
  <c r="AL62" i="28"/>
  <c r="AM62" i="28"/>
  <c r="AN62" i="28"/>
  <c r="AO62" i="28"/>
  <c r="AB6" i="29" l="1"/>
  <c r="AB7" i="29"/>
  <c r="BG126" i="29"/>
  <c r="BG128" i="29"/>
  <c r="BG127" i="29"/>
  <c r="BG75" i="29"/>
  <c r="BH8" i="29"/>
  <c r="BI5" i="29"/>
  <c r="BH7" i="29"/>
  <c r="BH4" i="29"/>
  <c r="BH6" i="29"/>
  <c r="D76" i="29"/>
  <c r="AE75" i="29"/>
  <c r="AF75" i="29"/>
  <c r="AG75" i="29"/>
  <c r="AH75" i="29"/>
  <c r="AI75" i="29"/>
  <c r="AJ75" i="29"/>
  <c r="AK75" i="29"/>
  <c r="AL75" i="29"/>
  <c r="AM75" i="29"/>
  <c r="AN75" i="29"/>
  <c r="AO75" i="29"/>
  <c r="AQ75" i="29"/>
  <c r="AR75" i="29"/>
  <c r="AP75" i="29"/>
  <c r="AS75" i="29"/>
  <c r="AT75" i="29"/>
  <c r="AU75" i="29"/>
  <c r="AV75" i="29"/>
  <c r="AW75" i="29"/>
  <c r="AX75" i="29"/>
  <c r="AY75" i="29"/>
  <c r="AZ75" i="29"/>
  <c r="BA75" i="29"/>
  <c r="BB75" i="29"/>
  <c r="BC75" i="29"/>
  <c r="BD75" i="29"/>
  <c r="BE75" i="29"/>
  <c r="D129" i="29"/>
  <c r="BG129" i="29" s="1"/>
  <c r="AE128" i="29"/>
  <c r="AF128" i="29"/>
  <c r="AG128" i="29"/>
  <c r="AH128" i="29"/>
  <c r="AI128" i="29"/>
  <c r="AJ128" i="29"/>
  <c r="AK128" i="29"/>
  <c r="AL128" i="29"/>
  <c r="AM128" i="29"/>
  <c r="AN128" i="29"/>
  <c r="AO128" i="29"/>
  <c r="AQ128" i="29"/>
  <c r="AR128" i="29"/>
  <c r="AP128" i="29"/>
  <c r="AS128" i="29"/>
  <c r="AT128" i="29"/>
  <c r="AU128" i="29"/>
  <c r="AV128" i="29"/>
  <c r="AW128" i="29"/>
  <c r="AX128" i="29"/>
  <c r="AY128" i="29"/>
  <c r="AZ128" i="29"/>
  <c r="BA128" i="29"/>
  <c r="BB128" i="29"/>
  <c r="BC128" i="29"/>
  <c r="BD128" i="29"/>
  <c r="BE128" i="29"/>
  <c r="BF75" i="29"/>
  <c r="BF128" i="29"/>
  <c r="AB7" i="28"/>
  <c r="AB6" i="28"/>
  <c r="D64" i="28"/>
  <c r="AE63" i="28"/>
  <c r="AF63" i="28"/>
  <c r="AG63" i="28"/>
  <c r="AH63" i="28"/>
  <c r="AI63" i="28"/>
  <c r="AJ63" i="28"/>
  <c r="AK63" i="28"/>
  <c r="AL63" i="28"/>
  <c r="AM63" i="28"/>
  <c r="AN63" i="28"/>
  <c r="AO63" i="28"/>
  <c r="D113" i="28"/>
  <c r="AE112" i="28"/>
  <c r="AF112" i="28"/>
  <c r="AG112" i="28"/>
  <c r="AH112" i="28"/>
  <c r="AI112" i="28"/>
  <c r="AJ112" i="28"/>
  <c r="AK112" i="28"/>
  <c r="AL112" i="28"/>
  <c r="AM112" i="28"/>
  <c r="AN112" i="28"/>
  <c r="AO112" i="28"/>
  <c r="AB8" i="29" l="1"/>
  <c r="BH128" i="29"/>
  <c r="BH129" i="29"/>
  <c r="BH127" i="29"/>
  <c r="BH76" i="29"/>
  <c r="BI8" i="29"/>
  <c r="BJ5" i="29"/>
  <c r="BI7" i="29"/>
  <c r="BI4" i="29"/>
  <c r="BI6" i="29"/>
  <c r="D77" i="29"/>
  <c r="AE76" i="29"/>
  <c r="AF76" i="29"/>
  <c r="AG76" i="29"/>
  <c r="AH76" i="29"/>
  <c r="AI76" i="29"/>
  <c r="AJ76" i="29"/>
  <c r="AK76" i="29"/>
  <c r="AL76" i="29"/>
  <c r="AM76" i="29"/>
  <c r="AN76" i="29"/>
  <c r="AO76" i="29"/>
  <c r="AQ76" i="29"/>
  <c r="AP76" i="29"/>
  <c r="AR76" i="29"/>
  <c r="AS76" i="29"/>
  <c r="AT76" i="29"/>
  <c r="AU76" i="29"/>
  <c r="AV76" i="29"/>
  <c r="AW76" i="29"/>
  <c r="AX76" i="29"/>
  <c r="AY76" i="29"/>
  <c r="AZ76" i="29"/>
  <c r="BA76" i="29"/>
  <c r="BB76" i="29"/>
  <c r="BC76" i="29"/>
  <c r="BD76" i="29"/>
  <c r="BE76" i="29"/>
  <c r="BF76" i="29"/>
  <c r="BG76" i="29"/>
  <c r="D130" i="29"/>
  <c r="BH130" i="29" s="1"/>
  <c r="AE129" i="29"/>
  <c r="AF129" i="29"/>
  <c r="AG129" i="29"/>
  <c r="AH129" i="29"/>
  <c r="AI129" i="29"/>
  <c r="AJ129" i="29"/>
  <c r="AK129" i="29"/>
  <c r="AL129" i="29"/>
  <c r="AM129" i="29"/>
  <c r="AN129" i="29"/>
  <c r="AO129" i="29"/>
  <c r="AQ129" i="29"/>
  <c r="AR129" i="29"/>
  <c r="AP129" i="29"/>
  <c r="AS129" i="29"/>
  <c r="AT129" i="29"/>
  <c r="AU129" i="29"/>
  <c r="AV129" i="29"/>
  <c r="AW129" i="29"/>
  <c r="AX129" i="29"/>
  <c r="AY129" i="29"/>
  <c r="AZ129" i="29"/>
  <c r="BA129" i="29"/>
  <c r="BB129" i="29"/>
  <c r="BC129" i="29"/>
  <c r="BD129" i="29"/>
  <c r="BE129" i="29"/>
  <c r="BF129" i="29"/>
  <c r="AB8" i="28"/>
  <c r="D65" i="28"/>
  <c r="AE64" i="28"/>
  <c r="AF64" i="28"/>
  <c r="AG64" i="28"/>
  <c r="AH64" i="28"/>
  <c r="AI64" i="28"/>
  <c r="AJ64" i="28"/>
  <c r="AK64" i="28"/>
  <c r="AL64" i="28"/>
  <c r="AM64" i="28"/>
  <c r="AN64" i="28"/>
  <c r="AO64" i="28"/>
  <c r="D114" i="28"/>
  <c r="AE113" i="28"/>
  <c r="AF113" i="28"/>
  <c r="AG113" i="28"/>
  <c r="AH113" i="28"/>
  <c r="AI113" i="28"/>
  <c r="AJ113" i="28"/>
  <c r="AK113" i="28"/>
  <c r="AL113" i="28"/>
  <c r="AM113" i="28"/>
  <c r="AN113" i="28"/>
  <c r="AO113" i="28"/>
  <c r="D78" i="29" l="1"/>
  <c r="BI78" i="29" s="1"/>
  <c r="AE77" i="29"/>
  <c r="AF77" i="29"/>
  <c r="AG77" i="29"/>
  <c r="AH77" i="29"/>
  <c r="AI77" i="29"/>
  <c r="AJ77" i="29"/>
  <c r="AK77" i="29"/>
  <c r="AL77" i="29"/>
  <c r="AM77" i="29"/>
  <c r="AN77" i="29"/>
  <c r="AO77" i="29"/>
  <c r="AQ77" i="29"/>
  <c r="AP77" i="29"/>
  <c r="AR77" i="29"/>
  <c r="AS77" i="29"/>
  <c r="AT77" i="29"/>
  <c r="AU77" i="29"/>
  <c r="AV77" i="29"/>
  <c r="AW77" i="29"/>
  <c r="AX77" i="29"/>
  <c r="AY77" i="29"/>
  <c r="AZ77" i="29"/>
  <c r="BA77" i="29"/>
  <c r="BB77" i="29"/>
  <c r="BC77" i="29"/>
  <c r="BD77" i="29"/>
  <c r="BE77" i="29"/>
  <c r="BF77" i="29"/>
  <c r="BG77" i="29"/>
  <c r="BJ8" i="29"/>
  <c r="BK5" i="29"/>
  <c r="BJ7" i="29"/>
  <c r="BJ4" i="29"/>
  <c r="BJ6" i="29"/>
  <c r="BH77" i="29"/>
  <c r="BI128" i="29"/>
  <c r="BI130" i="29"/>
  <c r="BI129" i="29"/>
  <c r="BI77" i="29"/>
  <c r="D131" i="29"/>
  <c r="AE130" i="29"/>
  <c r="AF130" i="29"/>
  <c r="AG130" i="29"/>
  <c r="AH130" i="29"/>
  <c r="AI130" i="29"/>
  <c r="AJ130" i="29"/>
  <c r="AK130" i="29"/>
  <c r="AL130" i="29"/>
  <c r="AM130" i="29"/>
  <c r="AN130" i="29"/>
  <c r="AO130" i="29"/>
  <c r="AQ130" i="29"/>
  <c r="AR130" i="29"/>
  <c r="AP130" i="29"/>
  <c r="AS130" i="29"/>
  <c r="AT130" i="29"/>
  <c r="AU130" i="29"/>
  <c r="AV130" i="29"/>
  <c r="AW130" i="29"/>
  <c r="AX130" i="29"/>
  <c r="AY130" i="29"/>
  <c r="AZ130" i="29"/>
  <c r="BA130" i="29"/>
  <c r="BB130" i="29"/>
  <c r="BC130" i="29"/>
  <c r="BD130" i="29"/>
  <c r="BE130" i="29"/>
  <c r="BF130" i="29"/>
  <c r="BG130" i="29"/>
  <c r="D66" i="28"/>
  <c r="AE65" i="28"/>
  <c r="AF65" i="28"/>
  <c r="AG65" i="28"/>
  <c r="AH65" i="28"/>
  <c r="AI65" i="28"/>
  <c r="AJ65" i="28"/>
  <c r="AK65" i="28"/>
  <c r="AL65" i="28"/>
  <c r="AM65" i="28"/>
  <c r="AN65" i="28"/>
  <c r="AO65" i="28"/>
  <c r="D115" i="28"/>
  <c r="AE114" i="28"/>
  <c r="AF114" i="28"/>
  <c r="AG114" i="28"/>
  <c r="AH114" i="28"/>
  <c r="AI114" i="28"/>
  <c r="AJ114" i="28"/>
  <c r="AK114" i="28"/>
  <c r="AL114" i="28"/>
  <c r="AM114" i="28"/>
  <c r="AN114" i="28"/>
  <c r="AO114" i="28"/>
  <c r="D132" i="29" l="1"/>
  <c r="BJ132" i="29" s="1"/>
  <c r="AE131" i="29"/>
  <c r="AF131" i="29"/>
  <c r="AG131" i="29"/>
  <c r="AH131" i="29"/>
  <c r="AI131" i="29"/>
  <c r="AJ131" i="29"/>
  <c r="AK131" i="29"/>
  <c r="AL131" i="29"/>
  <c r="AM131" i="29"/>
  <c r="AN131" i="29"/>
  <c r="AO131" i="29"/>
  <c r="AQ131" i="29"/>
  <c r="AP131" i="29"/>
  <c r="AR131" i="29"/>
  <c r="AS131" i="29"/>
  <c r="AT131" i="29"/>
  <c r="AU131" i="29"/>
  <c r="AV131" i="29"/>
  <c r="AW131" i="29"/>
  <c r="AX131" i="29"/>
  <c r="AY131" i="29"/>
  <c r="AZ131" i="29"/>
  <c r="BA131" i="29"/>
  <c r="BB131" i="29"/>
  <c r="BC131" i="29"/>
  <c r="BD131" i="29"/>
  <c r="BE131" i="29"/>
  <c r="BF131" i="29"/>
  <c r="BG131" i="29"/>
  <c r="BH131" i="29"/>
  <c r="BI131" i="29"/>
  <c r="BK7" i="29"/>
  <c r="BK8" i="29"/>
  <c r="BK4" i="29"/>
  <c r="BK6" i="29"/>
  <c r="BL5" i="29"/>
  <c r="D79" i="29"/>
  <c r="BJ79" i="29" s="1"/>
  <c r="AE78" i="29"/>
  <c r="AF78" i="29"/>
  <c r="AG78" i="29"/>
  <c r="AH78" i="29"/>
  <c r="AI78" i="29"/>
  <c r="AJ78" i="29"/>
  <c r="AK78" i="29"/>
  <c r="AL78" i="29"/>
  <c r="AM78" i="29"/>
  <c r="AN78" i="29"/>
  <c r="AO78" i="29"/>
  <c r="AQ78" i="29"/>
  <c r="AR78" i="29"/>
  <c r="AP78" i="29"/>
  <c r="AS78" i="29"/>
  <c r="AT78" i="29"/>
  <c r="AU78" i="29"/>
  <c r="AV78" i="29"/>
  <c r="AW78" i="29"/>
  <c r="AX78" i="29"/>
  <c r="AY78" i="29"/>
  <c r="AZ78" i="29"/>
  <c r="BA78" i="29"/>
  <c r="BB78" i="29"/>
  <c r="BC78" i="29"/>
  <c r="BD78" i="29"/>
  <c r="BE78" i="29"/>
  <c r="BF78" i="29"/>
  <c r="BG78" i="29"/>
  <c r="BH78" i="29"/>
  <c r="BJ130" i="29"/>
  <c r="BJ129" i="29"/>
  <c r="BJ131" i="29"/>
  <c r="BJ78" i="29"/>
  <c r="D67" i="28"/>
  <c r="AE66" i="28"/>
  <c r="AF66" i="28"/>
  <c r="AG66" i="28"/>
  <c r="AH66" i="28"/>
  <c r="AI66" i="28"/>
  <c r="AJ66" i="28"/>
  <c r="AK66" i="28"/>
  <c r="AL66" i="28"/>
  <c r="AM66" i="28"/>
  <c r="AN66" i="28"/>
  <c r="AO66" i="28"/>
  <c r="D116" i="28"/>
  <c r="AE115" i="28"/>
  <c r="AF115" i="28"/>
  <c r="AG115" i="28"/>
  <c r="AH115" i="28"/>
  <c r="AI115" i="28"/>
  <c r="AJ115" i="28"/>
  <c r="AK115" i="28"/>
  <c r="AL115" i="28"/>
  <c r="AM115" i="28"/>
  <c r="AN115" i="28"/>
  <c r="AO115" i="28"/>
  <c r="BL8" i="29" l="1"/>
  <c r="BL7" i="29"/>
  <c r="BL4" i="29"/>
  <c r="BL6" i="29"/>
  <c r="BM5" i="29"/>
  <c r="BK130" i="29"/>
  <c r="BK131" i="29"/>
  <c r="BK132" i="29"/>
  <c r="BK79" i="29"/>
  <c r="D133" i="29"/>
  <c r="BK133" i="29" s="1"/>
  <c r="AE132" i="29"/>
  <c r="AF132" i="29"/>
  <c r="AG132" i="29"/>
  <c r="AH132" i="29"/>
  <c r="AI132" i="29"/>
  <c r="AJ132" i="29"/>
  <c r="AK132" i="29"/>
  <c r="AL132" i="29"/>
  <c r="AM132" i="29"/>
  <c r="AN132" i="29"/>
  <c r="AO132" i="29"/>
  <c r="AQ132" i="29"/>
  <c r="AP132" i="29"/>
  <c r="AR132" i="29"/>
  <c r="AS132" i="29"/>
  <c r="AT132" i="29"/>
  <c r="AU132" i="29"/>
  <c r="AV132" i="29"/>
  <c r="AW132" i="29"/>
  <c r="AX132" i="29"/>
  <c r="AY132" i="29"/>
  <c r="AZ132" i="29"/>
  <c r="BA132" i="29"/>
  <c r="BB132" i="29"/>
  <c r="BC132" i="29"/>
  <c r="BD132" i="29"/>
  <c r="BE132" i="29"/>
  <c r="BF132" i="29"/>
  <c r="BG132" i="29"/>
  <c r="BH132" i="29"/>
  <c r="BI132" i="29"/>
  <c r="D80" i="29"/>
  <c r="BK80" i="29" s="1"/>
  <c r="AE79" i="29"/>
  <c r="AF79" i="29"/>
  <c r="AG79" i="29"/>
  <c r="AH79" i="29"/>
  <c r="AI79" i="29"/>
  <c r="AJ79" i="29"/>
  <c r="AK79" i="29"/>
  <c r="AL79" i="29"/>
  <c r="AM79" i="29"/>
  <c r="AN79" i="29"/>
  <c r="AO79" i="29"/>
  <c r="AQ79" i="29"/>
  <c r="AP79" i="29"/>
  <c r="AR79" i="29"/>
  <c r="AS79" i="29"/>
  <c r="AT79" i="29"/>
  <c r="AU79" i="29"/>
  <c r="AV79" i="29"/>
  <c r="AW79" i="29"/>
  <c r="AX79" i="29"/>
  <c r="AY79" i="29"/>
  <c r="AZ79" i="29"/>
  <c r="BA79" i="29"/>
  <c r="BB79" i="29"/>
  <c r="BC79" i="29"/>
  <c r="BD79" i="29"/>
  <c r="BE79" i="29"/>
  <c r="BF79" i="29"/>
  <c r="BG79" i="29"/>
  <c r="BH79" i="29"/>
  <c r="BI79" i="29"/>
  <c r="D117" i="28"/>
  <c r="AE116" i="28"/>
  <c r="AF116" i="28"/>
  <c r="AG116" i="28"/>
  <c r="AH116" i="28"/>
  <c r="AI116" i="28"/>
  <c r="AJ116" i="28"/>
  <c r="AK116" i="28"/>
  <c r="AL116" i="28"/>
  <c r="AM116" i="28"/>
  <c r="AN116" i="28"/>
  <c r="AO116" i="28"/>
  <c r="D68" i="28"/>
  <c r="AE67" i="28"/>
  <c r="AF67" i="28"/>
  <c r="AG67" i="28"/>
  <c r="AH67" i="28"/>
  <c r="AI67" i="28"/>
  <c r="AJ67" i="28"/>
  <c r="AK67" i="28"/>
  <c r="AL67" i="28"/>
  <c r="AM67" i="28"/>
  <c r="AN67" i="28"/>
  <c r="AO67" i="28"/>
  <c r="BM8" i="29" l="1"/>
  <c r="BM7" i="29"/>
  <c r="BM4" i="29"/>
  <c r="BN5" i="29"/>
  <c r="BM6" i="29"/>
  <c r="BL133" i="29"/>
  <c r="BL131" i="29"/>
  <c r="BL132" i="29"/>
  <c r="BL80" i="29"/>
  <c r="D134" i="29"/>
  <c r="BL134" i="29" s="1"/>
  <c r="AE133" i="29"/>
  <c r="AF133" i="29"/>
  <c r="AG133" i="29"/>
  <c r="AH133" i="29"/>
  <c r="AI133" i="29"/>
  <c r="AJ133" i="29"/>
  <c r="AK133" i="29"/>
  <c r="AL133" i="29"/>
  <c r="AM133" i="29"/>
  <c r="AN133" i="29"/>
  <c r="AO133" i="29"/>
  <c r="AQ133" i="29"/>
  <c r="AP133" i="29"/>
  <c r="AR133" i="29"/>
  <c r="AS133" i="29"/>
  <c r="AT133" i="29"/>
  <c r="AU133" i="29"/>
  <c r="AV133" i="29"/>
  <c r="AW133" i="29"/>
  <c r="AX133" i="29"/>
  <c r="AY133" i="29"/>
  <c r="AZ133" i="29"/>
  <c r="BA133" i="29"/>
  <c r="BB133" i="29"/>
  <c r="BC133" i="29"/>
  <c r="BD133" i="29"/>
  <c r="BE133" i="29"/>
  <c r="BF133" i="29"/>
  <c r="BG133" i="29"/>
  <c r="BH133" i="29"/>
  <c r="BI133" i="29"/>
  <c r="BJ133" i="29"/>
  <c r="D81" i="29"/>
  <c r="AE80" i="29"/>
  <c r="AF80" i="29"/>
  <c r="AG80" i="29"/>
  <c r="AH80" i="29"/>
  <c r="AI80" i="29"/>
  <c r="AJ80" i="29"/>
  <c r="AK80" i="29"/>
  <c r="AL80" i="29"/>
  <c r="AM80" i="29"/>
  <c r="AN80" i="29"/>
  <c r="AO80" i="29"/>
  <c r="AQ80" i="29"/>
  <c r="AP80" i="29"/>
  <c r="AR80" i="29"/>
  <c r="AS80" i="29"/>
  <c r="AT80" i="29"/>
  <c r="AU80" i="29"/>
  <c r="AV80" i="29"/>
  <c r="AW80" i="29"/>
  <c r="AX80" i="29"/>
  <c r="AY80" i="29"/>
  <c r="AZ80" i="29"/>
  <c r="BA80" i="29"/>
  <c r="BB80" i="29"/>
  <c r="BC80" i="29"/>
  <c r="BD80" i="29"/>
  <c r="BE80" i="29"/>
  <c r="BF80" i="29"/>
  <c r="BG80" i="29"/>
  <c r="BH80" i="29"/>
  <c r="BI80" i="29"/>
  <c r="BJ80" i="29"/>
  <c r="D69" i="28"/>
  <c r="AE68" i="28"/>
  <c r="AF68" i="28"/>
  <c r="AG68" i="28"/>
  <c r="AH68" i="28"/>
  <c r="AI68" i="28"/>
  <c r="AJ68" i="28"/>
  <c r="AK68" i="28"/>
  <c r="AL68" i="28"/>
  <c r="AM68" i="28"/>
  <c r="AN68" i="28"/>
  <c r="AO68" i="28"/>
  <c r="D118" i="28"/>
  <c r="AE117" i="28"/>
  <c r="AF117" i="28"/>
  <c r="AG117" i="28"/>
  <c r="AH117" i="28"/>
  <c r="AI117" i="28"/>
  <c r="AJ117" i="28"/>
  <c r="AK117" i="28"/>
  <c r="AL117" i="28"/>
  <c r="AM117" i="28"/>
  <c r="AN117" i="28"/>
  <c r="AO117" i="28"/>
  <c r="D82" i="29" l="1"/>
  <c r="BM82" i="29" s="1"/>
  <c r="AE81" i="29"/>
  <c r="AF81" i="29"/>
  <c r="AG81" i="29"/>
  <c r="AH81" i="29"/>
  <c r="AI81" i="29"/>
  <c r="AJ81" i="29"/>
  <c r="AK81" i="29"/>
  <c r="AL81" i="29"/>
  <c r="AM81" i="29"/>
  <c r="AN81" i="29"/>
  <c r="AO81" i="29"/>
  <c r="AQ81" i="29"/>
  <c r="AP81" i="29"/>
  <c r="AR81" i="29"/>
  <c r="AS81" i="29"/>
  <c r="AT81" i="29"/>
  <c r="AU81" i="29"/>
  <c r="AV81" i="29"/>
  <c r="AW81" i="29"/>
  <c r="AX81" i="29"/>
  <c r="AY81" i="29"/>
  <c r="AZ81" i="29"/>
  <c r="BA81" i="29"/>
  <c r="BB81" i="29"/>
  <c r="BC81" i="29"/>
  <c r="BD81" i="29"/>
  <c r="BE81" i="29"/>
  <c r="BF81" i="29"/>
  <c r="BG81" i="29"/>
  <c r="BH81" i="29"/>
  <c r="BI81" i="29"/>
  <c r="BJ81" i="29"/>
  <c r="BK81" i="29"/>
  <c r="BN8" i="29"/>
  <c r="BN4" i="29"/>
  <c r="BN7" i="29"/>
  <c r="BO5" i="29"/>
  <c r="BN6" i="29"/>
  <c r="D135" i="29"/>
  <c r="BM135" i="29" s="1"/>
  <c r="AE134" i="29"/>
  <c r="AF134" i="29"/>
  <c r="AG134" i="29"/>
  <c r="AH134" i="29"/>
  <c r="AI134" i="29"/>
  <c r="AJ134" i="29"/>
  <c r="AK134" i="29"/>
  <c r="AL134" i="29"/>
  <c r="AM134" i="29"/>
  <c r="AN134" i="29"/>
  <c r="AO134" i="29"/>
  <c r="AQ134" i="29"/>
  <c r="AR134" i="29"/>
  <c r="AP134" i="29"/>
  <c r="AS134" i="29"/>
  <c r="AT134" i="29"/>
  <c r="AU134" i="29"/>
  <c r="AV134" i="29"/>
  <c r="AW134" i="29"/>
  <c r="AX134" i="29"/>
  <c r="AY134" i="29"/>
  <c r="AZ134" i="29"/>
  <c r="BA134" i="29"/>
  <c r="BB134" i="29"/>
  <c r="BC134" i="29"/>
  <c r="BD134" i="29"/>
  <c r="BE134" i="29"/>
  <c r="BF134" i="29"/>
  <c r="BG134" i="29"/>
  <c r="BH134" i="29"/>
  <c r="BI134" i="29"/>
  <c r="BJ134" i="29"/>
  <c r="BK134" i="29"/>
  <c r="BM133" i="29"/>
  <c r="BM134" i="29"/>
  <c r="BM132" i="29"/>
  <c r="BM81" i="29"/>
  <c r="BL81" i="29"/>
  <c r="D119" i="28"/>
  <c r="AE118" i="28"/>
  <c r="AF118" i="28"/>
  <c r="AG118" i="28"/>
  <c r="AH118" i="28"/>
  <c r="AI118" i="28"/>
  <c r="AJ118" i="28"/>
  <c r="AK118" i="28"/>
  <c r="AL118" i="28"/>
  <c r="AM118" i="28"/>
  <c r="AN118" i="28"/>
  <c r="AO118" i="28"/>
  <c r="D70" i="28"/>
  <c r="AE69" i="28"/>
  <c r="AF69" i="28"/>
  <c r="AG69" i="28"/>
  <c r="AH69" i="28"/>
  <c r="AI69" i="28"/>
  <c r="AJ69" i="28"/>
  <c r="AK69" i="28"/>
  <c r="AL69" i="28"/>
  <c r="AM69" i="28"/>
  <c r="AN69" i="28"/>
  <c r="AO69" i="28"/>
  <c r="BO8" i="29" l="1"/>
  <c r="BO4" i="29"/>
  <c r="BO7" i="29"/>
  <c r="BO6" i="29"/>
  <c r="BP5" i="29"/>
  <c r="BN133" i="29"/>
  <c r="BN135" i="29"/>
  <c r="BN134" i="29"/>
  <c r="BN82" i="29"/>
  <c r="D83" i="29"/>
  <c r="AE82" i="29"/>
  <c r="AF82" i="29"/>
  <c r="AG82" i="29"/>
  <c r="AH82" i="29"/>
  <c r="AI82" i="29"/>
  <c r="AJ82" i="29"/>
  <c r="AK82" i="29"/>
  <c r="AL82" i="29"/>
  <c r="AM82" i="29"/>
  <c r="AN82" i="29"/>
  <c r="AO82" i="29"/>
  <c r="AQ82" i="29"/>
  <c r="AP82" i="29"/>
  <c r="AR82" i="29"/>
  <c r="AS82" i="29"/>
  <c r="AT82" i="29"/>
  <c r="AU82" i="29"/>
  <c r="AV82" i="29"/>
  <c r="AW82" i="29"/>
  <c r="AX82" i="29"/>
  <c r="AY82" i="29"/>
  <c r="AZ82" i="29"/>
  <c r="BA82" i="29"/>
  <c r="BB82" i="29"/>
  <c r="BC82" i="29"/>
  <c r="BD82" i="29"/>
  <c r="BE82" i="29"/>
  <c r="BF82" i="29"/>
  <c r="BG82" i="29"/>
  <c r="BH82" i="29"/>
  <c r="BI82" i="29"/>
  <c r="BJ82" i="29"/>
  <c r="BK82" i="29"/>
  <c r="BL82" i="29"/>
  <c r="D136" i="29"/>
  <c r="BN136" i="29" s="1"/>
  <c r="AE135" i="29"/>
  <c r="AF135" i="29"/>
  <c r="AG135" i="29"/>
  <c r="AH135" i="29"/>
  <c r="AI135" i="29"/>
  <c r="AJ135" i="29"/>
  <c r="AK135" i="29"/>
  <c r="AL135" i="29"/>
  <c r="AM135" i="29"/>
  <c r="AN135" i="29"/>
  <c r="AO135" i="29"/>
  <c r="AQ135" i="29"/>
  <c r="AR135" i="29"/>
  <c r="AP135" i="29"/>
  <c r="AS135" i="29"/>
  <c r="AT135" i="29"/>
  <c r="AU135" i="29"/>
  <c r="AV135" i="29"/>
  <c r="AW135" i="29"/>
  <c r="AX135" i="29"/>
  <c r="AY135" i="29"/>
  <c r="AZ135" i="29"/>
  <c r="BA135" i="29"/>
  <c r="BB135" i="29"/>
  <c r="BC135" i="29"/>
  <c r="BD135" i="29"/>
  <c r="BE135" i="29"/>
  <c r="BF135" i="29"/>
  <c r="BG135" i="29"/>
  <c r="BH135" i="29"/>
  <c r="BI135" i="29"/>
  <c r="BJ135" i="29"/>
  <c r="BK135" i="29"/>
  <c r="BL135" i="29"/>
  <c r="D71" i="28"/>
  <c r="AE70" i="28"/>
  <c r="AF70" i="28"/>
  <c r="AG70" i="28"/>
  <c r="AH70" i="28"/>
  <c r="AI70" i="28"/>
  <c r="AJ70" i="28"/>
  <c r="AK70" i="28"/>
  <c r="AL70" i="28"/>
  <c r="AM70" i="28"/>
  <c r="AN70" i="28"/>
  <c r="AO70" i="28"/>
  <c r="D120" i="28"/>
  <c r="AE119" i="28"/>
  <c r="AF119" i="28"/>
  <c r="AG119" i="28"/>
  <c r="AH119" i="28"/>
  <c r="AI119" i="28"/>
  <c r="AJ119" i="28"/>
  <c r="AK119" i="28"/>
  <c r="AL119" i="28"/>
  <c r="AM119" i="28"/>
  <c r="AN119" i="28"/>
  <c r="AO119" i="28"/>
  <c r="D84" i="29" l="1"/>
  <c r="AE83" i="29"/>
  <c r="AF83" i="29"/>
  <c r="AG83" i="29"/>
  <c r="AH83" i="29"/>
  <c r="AI83" i="29"/>
  <c r="AJ83" i="29"/>
  <c r="AK83" i="29"/>
  <c r="AL83" i="29"/>
  <c r="AM83" i="29"/>
  <c r="AN83" i="29"/>
  <c r="AO83" i="29"/>
  <c r="AQ83" i="29"/>
  <c r="AP83" i="29"/>
  <c r="AR83" i="29"/>
  <c r="AS83" i="29"/>
  <c r="AT83" i="29"/>
  <c r="AU83" i="29"/>
  <c r="AV83" i="29"/>
  <c r="AW83" i="29"/>
  <c r="AX83" i="29"/>
  <c r="AY83" i="29"/>
  <c r="AZ83" i="29"/>
  <c r="BA83" i="29"/>
  <c r="BB83" i="29"/>
  <c r="BC83" i="29"/>
  <c r="BD83" i="29"/>
  <c r="BE83" i="29"/>
  <c r="BF83" i="29"/>
  <c r="BG83" i="29"/>
  <c r="BH83" i="29"/>
  <c r="BI83" i="29"/>
  <c r="BJ83" i="29"/>
  <c r="BK83" i="29"/>
  <c r="BL83" i="29"/>
  <c r="BM83" i="29"/>
  <c r="BN83" i="29"/>
  <c r="BP8" i="29"/>
  <c r="BP7" i="29"/>
  <c r="BP4" i="29"/>
  <c r="BP6" i="29"/>
  <c r="BQ5" i="29"/>
  <c r="D137" i="29"/>
  <c r="BO137" i="29" s="1"/>
  <c r="AE136" i="29"/>
  <c r="AF136" i="29"/>
  <c r="AG136" i="29"/>
  <c r="AH136" i="29"/>
  <c r="AI136" i="29"/>
  <c r="AJ136" i="29"/>
  <c r="AK136" i="29"/>
  <c r="AL136" i="29"/>
  <c r="AM136" i="29"/>
  <c r="AN136" i="29"/>
  <c r="AO136" i="29"/>
  <c r="AQ136" i="29"/>
  <c r="AR136" i="29"/>
  <c r="AP136" i="29"/>
  <c r="AS136" i="29"/>
  <c r="AT136" i="29"/>
  <c r="AU136" i="29"/>
  <c r="AV136" i="29"/>
  <c r="AW136" i="29"/>
  <c r="AX136" i="29"/>
  <c r="AY136" i="29"/>
  <c r="AZ136" i="29"/>
  <c r="BA136" i="29"/>
  <c r="BB136" i="29"/>
  <c r="BC136" i="29"/>
  <c r="BD136" i="29"/>
  <c r="BE136" i="29"/>
  <c r="BF136" i="29"/>
  <c r="BG136" i="29"/>
  <c r="BH136" i="29"/>
  <c r="BI136" i="29"/>
  <c r="BJ136" i="29"/>
  <c r="BK136" i="29"/>
  <c r="BL136" i="29"/>
  <c r="BM136" i="29"/>
  <c r="BO135" i="29"/>
  <c r="BO134" i="29"/>
  <c r="BO136" i="29"/>
  <c r="BO83" i="29"/>
  <c r="D121" i="28"/>
  <c r="AE120" i="28"/>
  <c r="AF120" i="28"/>
  <c r="AG120" i="28"/>
  <c r="AH120" i="28"/>
  <c r="AI120" i="28"/>
  <c r="AJ120" i="28"/>
  <c r="AK120" i="28"/>
  <c r="AL120" i="28"/>
  <c r="AM120" i="28"/>
  <c r="AN120" i="28"/>
  <c r="AO120" i="28"/>
  <c r="D72" i="28"/>
  <c r="AE71" i="28"/>
  <c r="AF71" i="28"/>
  <c r="AG71" i="28"/>
  <c r="AH71" i="28"/>
  <c r="AI71" i="28"/>
  <c r="AJ71" i="28"/>
  <c r="AK71" i="28"/>
  <c r="AL71" i="28"/>
  <c r="AM71" i="28"/>
  <c r="AN71" i="28"/>
  <c r="AO71" i="28"/>
  <c r="T3" i="25"/>
  <c r="T4" i="25"/>
  <c r="T5" i="25"/>
  <c r="T6" i="25"/>
  <c r="D85" i="29" l="1"/>
  <c r="BP85" i="29" s="1"/>
  <c r="AE84" i="29"/>
  <c r="AF84" i="29"/>
  <c r="AG84" i="29"/>
  <c r="AH84" i="29"/>
  <c r="AI84" i="29"/>
  <c r="AJ84" i="29"/>
  <c r="AK84" i="29"/>
  <c r="AL84" i="29"/>
  <c r="AM84" i="29"/>
  <c r="AN84" i="29"/>
  <c r="AO84" i="29"/>
  <c r="AQ84" i="29"/>
  <c r="AP84" i="29"/>
  <c r="AR84" i="29"/>
  <c r="AS84" i="29"/>
  <c r="AT84" i="29"/>
  <c r="AU84" i="29"/>
  <c r="AV84" i="29"/>
  <c r="AW84" i="29"/>
  <c r="AX84" i="29"/>
  <c r="AY84" i="29"/>
  <c r="AZ84" i="29"/>
  <c r="BA84" i="29"/>
  <c r="BB84" i="29"/>
  <c r="BC84" i="29"/>
  <c r="BD84" i="29"/>
  <c r="BE84" i="29"/>
  <c r="BF84" i="29"/>
  <c r="BG84" i="29"/>
  <c r="BH84" i="29"/>
  <c r="BI84" i="29"/>
  <c r="BJ84" i="29"/>
  <c r="BK84" i="29"/>
  <c r="BL84" i="29"/>
  <c r="BM84" i="29"/>
  <c r="BN84" i="29"/>
  <c r="BQ8" i="29"/>
  <c r="BQ7" i="29"/>
  <c r="BQ6" i="29"/>
  <c r="BR5" i="29"/>
  <c r="BQ4" i="29"/>
  <c r="BO84" i="29"/>
  <c r="D138" i="29"/>
  <c r="BP138" i="29" s="1"/>
  <c r="AE137" i="29"/>
  <c r="AF137" i="29"/>
  <c r="AG137" i="29"/>
  <c r="AH137" i="29"/>
  <c r="AI137" i="29"/>
  <c r="AJ137" i="29"/>
  <c r="AK137" i="29"/>
  <c r="AL137" i="29"/>
  <c r="AM137" i="29"/>
  <c r="AN137" i="29"/>
  <c r="AO137" i="29"/>
  <c r="AQ137" i="29"/>
  <c r="AR137" i="29"/>
  <c r="AP137" i="29"/>
  <c r="AS137" i="29"/>
  <c r="AT137" i="29"/>
  <c r="AU137" i="29"/>
  <c r="AV137" i="29"/>
  <c r="AW137" i="29"/>
  <c r="AX137" i="29"/>
  <c r="AY137" i="29"/>
  <c r="AZ137" i="29"/>
  <c r="BA137" i="29"/>
  <c r="BB137" i="29"/>
  <c r="BC137" i="29"/>
  <c r="BD137" i="29"/>
  <c r="BE137" i="29"/>
  <c r="BF137" i="29"/>
  <c r="BG137" i="29"/>
  <c r="BH137" i="29"/>
  <c r="BI137" i="29"/>
  <c r="BJ137" i="29"/>
  <c r="BK137" i="29"/>
  <c r="BL137" i="29"/>
  <c r="BM137" i="29"/>
  <c r="BN137" i="29"/>
  <c r="BP135" i="29"/>
  <c r="BP137" i="29"/>
  <c r="BP136" i="29"/>
  <c r="BP84" i="29"/>
  <c r="D122" i="28"/>
  <c r="AE121" i="28"/>
  <c r="AF121" i="28"/>
  <c r="AG121" i="28"/>
  <c r="AH121" i="28"/>
  <c r="AI121" i="28"/>
  <c r="AJ121" i="28"/>
  <c r="AK121" i="28"/>
  <c r="AL121" i="28"/>
  <c r="AM121" i="28"/>
  <c r="AN121" i="28"/>
  <c r="AO121" i="28"/>
  <c r="D73" i="28"/>
  <c r="AE72" i="28"/>
  <c r="AF72" i="28"/>
  <c r="AG72" i="28"/>
  <c r="AH72" i="28"/>
  <c r="AI72" i="28"/>
  <c r="AJ72" i="28"/>
  <c r="AK72" i="28"/>
  <c r="AL72" i="28"/>
  <c r="AM72" i="28"/>
  <c r="AN72" i="28"/>
  <c r="AO72" i="28"/>
  <c r="D139" i="29" l="1"/>
  <c r="BQ139" i="29" s="1"/>
  <c r="AE138" i="29"/>
  <c r="AF138" i="29"/>
  <c r="AG138" i="29"/>
  <c r="AH138" i="29"/>
  <c r="AI138" i="29"/>
  <c r="AJ138" i="29"/>
  <c r="AK138" i="29"/>
  <c r="AL138" i="29"/>
  <c r="AM138" i="29"/>
  <c r="AN138" i="29"/>
  <c r="AO138" i="29"/>
  <c r="AQ138" i="29"/>
  <c r="AP138" i="29"/>
  <c r="AR138" i="29"/>
  <c r="AS138" i="29"/>
  <c r="AT138" i="29"/>
  <c r="AU138" i="29"/>
  <c r="AV138" i="29"/>
  <c r="AW138" i="29"/>
  <c r="AX138" i="29"/>
  <c r="AY138" i="29"/>
  <c r="AZ138" i="29"/>
  <c r="BA138" i="29"/>
  <c r="BB138" i="29"/>
  <c r="BC138" i="29"/>
  <c r="BD138" i="29"/>
  <c r="BE138" i="29"/>
  <c r="BF138" i="29"/>
  <c r="BG138" i="29"/>
  <c r="BH138" i="29"/>
  <c r="BI138" i="29"/>
  <c r="BJ138" i="29"/>
  <c r="BK138" i="29"/>
  <c r="BL138" i="29"/>
  <c r="BM138" i="29"/>
  <c r="BN138" i="29"/>
  <c r="BO138" i="29"/>
  <c r="BR7" i="29"/>
  <c r="BR8" i="29"/>
  <c r="BR6" i="29"/>
  <c r="BS5" i="29"/>
  <c r="BR4" i="29"/>
  <c r="D86" i="29"/>
  <c r="BQ86" i="29" s="1"/>
  <c r="AE85" i="29"/>
  <c r="AF85" i="29"/>
  <c r="AG85" i="29"/>
  <c r="AH85" i="29"/>
  <c r="AI85" i="29"/>
  <c r="AJ85" i="29"/>
  <c r="AK85" i="29"/>
  <c r="AL85" i="29"/>
  <c r="AM85" i="29"/>
  <c r="AN85" i="29"/>
  <c r="AO85" i="29"/>
  <c r="AQ85" i="29"/>
  <c r="AP85" i="29"/>
  <c r="AR85" i="29"/>
  <c r="AS85" i="29"/>
  <c r="AT85" i="29"/>
  <c r="AU85" i="29"/>
  <c r="AV85" i="29"/>
  <c r="AW85" i="29"/>
  <c r="AX85" i="29"/>
  <c r="AY85" i="29"/>
  <c r="AZ85" i="29"/>
  <c r="BA85" i="29"/>
  <c r="BB85" i="29"/>
  <c r="BC85" i="29"/>
  <c r="BD85" i="29"/>
  <c r="BE85" i="29"/>
  <c r="BF85" i="29"/>
  <c r="BG85" i="29"/>
  <c r="BH85" i="29"/>
  <c r="BI85" i="29"/>
  <c r="BJ85" i="29"/>
  <c r="BK85" i="29"/>
  <c r="BL85" i="29"/>
  <c r="BM85" i="29"/>
  <c r="BN85" i="29"/>
  <c r="BO85" i="29"/>
  <c r="BQ137" i="29"/>
  <c r="BQ138" i="29"/>
  <c r="BQ136" i="29"/>
  <c r="BQ85" i="29"/>
  <c r="D74" i="28"/>
  <c r="AE73" i="28"/>
  <c r="AF73" i="28"/>
  <c r="AG73" i="28"/>
  <c r="AH73" i="28"/>
  <c r="AI73" i="28"/>
  <c r="AJ73" i="28"/>
  <c r="AK73" i="28"/>
  <c r="AL73" i="28"/>
  <c r="AM73" i="28"/>
  <c r="AN73" i="28"/>
  <c r="AO73" i="28"/>
  <c r="D123" i="28"/>
  <c r="AE122" i="28"/>
  <c r="AF122" i="28"/>
  <c r="AG122" i="28"/>
  <c r="AH122" i="28"/>
  <c r="AI122" i="28"/>
  <c r="AJ122" i="28"/>
  <c r="AK122" i="28"/>
  <c r="AL122" i="28"/>
  <c r="AM122" i="28"/>
  <c r="AN122" i="28"/>
  <c r="AO122" i="28"/>
  <c r="D87" i="29" l="1"/>
  <c r="BR87" i="29" s="1"/>
  <c r="AE86" i="29"/>
  <c r="AF86" i="29"/>
  <c r="AG86" i="29"/>
  <c r="AH86" i="29"/>
  <c r="AI86" i="29"/>
  <c r="AJ86" i="29"/>
  <c r="AK86" i="29"/>
  <c r="AL86" i="29"/>
  <c r="AM86" i="29"/>
  <c r="AN86" i="29"/>
  <c r="AO86" i="29"/>
  <c r="AQ86" i="29"/>
  <c r="AR86" i="29"/>
  <c r="AP86" i="29"/>
  <c r="AS86" i="29"/>
  <c r="AT86" i="29"/>
  <c r="AU86" i="29"/>
  <c r="AV86" i="29"/>
  <c r="AW86" i="29"/>
  <c r="AX86" i="29"/>
  <c r="AY86" i="29"/>
  <c r="AZ86" i="29"/>
  <c r="BA86" i="29"/>
  <c r="BB86" i="29"/>
  <c r="BC86" i="29"/>
  <c r="BD86" i="29"/>
  <c r="BE86" i="29"/>
  <c r="BF86" i="29"/>
  <c r="BG86" i="29"/>
  <c r="BH86" i="29"/>
  <c r="BI86" i="29"/>
  <c r="BJ86" i="29"/>
  <c r="BK86" i="29"/>
  <c r="BL86" i="29"/>
  <c r="BM86" i="29"/>
  <c r="BN86" i="29"/>
  <c r="BO86" i="29"/>
  <c r="BP86" i="29"/>
  <c r="BS7" i="29"/>
  <c r="BS8" i="29"/>
  <c r="BS6" i="29"/>
  <c r="BS4" i="29"/>
  <c r="BT5" i="29"/>
  <c r="BR137" i="29"/>
  <c r="BR139" i="29"/>
  <c r="BR138" i="29"/>
  <c r="BR86" i="29"/>
  <c r="D140" i="29"/>
  <c r="BR140" i="29" s="1"/>
  <c r="AE139" i="29"/>
  <c r="AF139" i="29"/>
  <c r="AG139" i="29"/>
  <c r="AH139" i="29"/>
  <c r="AI139" i="29"/>
  <c r="AJ139" i="29"/>
  <c r="AK139" i="29"/>
  <c r="AL139" i="29"/>
  <c r="AM139" i="29"/>
  <c r="AN139" i="29"/>
  <c r="AO139" i="29"/>
  <c r="AQ139" i="29"/>
  <c r="AR139" i="29"/>
  <c r="AP139" i="29"/>
  <c r="AS139" i="29"/>
  <c r="AT139" i="29"/>
  <c r="AU139" i="29"/>
  <c r="AV139" i="29"/>
  <c r="AW139" i="29"/>
  <c r="AX139" i="29"/>
  <c r="AY139" i="29"/>
  <c r="AZ139" i="29"/>
  <c r="BA139" i="29"/>
  <c r="BB139" i="29"/>
  <c r="BC139" i="29"/>
  <c r="BD139" i="29"/>
  <c r="BE139" i="29"/>
  <c r="BF139" i="29"/>
  <c r="BG139" i="29"/>
  <c r="BH139" i="29"/>
  <c r="BI139" i="29"/>
  <c r="BJ139" i="29"/>
  <c r="BK139" i="29"/>
  <c r="BL139" i="29"/>
  <c r="BM139" i="29"/>
  <c r="BN139" i="29"/>
  <c r="BO139" i="29"/>
  <c r="BP139" i="29"/>
  <c r="D75" i="28"/>
  <c r="AE74" i="28"/>
  <c r="AF74" i="28"/>
  <c r="AG74" i="28"/>
  <c r="AH74" i="28"/>
  <c r="AI74" i="28"/>
  <c r="AJ74" i="28"/>
  <c r="AK74" i="28"/>
  <c r="AL74" i="28"/>
  <c r="AM74" i="28"/>
  <c r="AN74" i="28"/>
  <c r="AO74" i="28"/>
  <c r="D124" i="28"/>
  <c r="AE123" i="28"/>
  <c r="AF123" i="28"/>
  <c r="AG123" i="28"/>
  <c r="AH123" i="28"/>
  <c r="AI123" i="28"/>
  <c r="AJ123" i="28"/>
  <c r="AK123" i="28"/>
  <c r="AL123" i="28"/>
  <c r="AM123" i="28"/>
  <c r="AN123" i="28"/>
  <c r="AO123" i="28"/>
  <c r="BT7" i="29" l="1"/>
  <c r="BT6" i="29"/>
  <c r="BT4" i="29"/>
  <c r="BT8" i="29"/>
  <c r="BU5" i="29"/>
  <c r="BS139" i="29"/>
  <c r="BS140" i="29"/>
  <c r="BS138" i="29"/>
  <c r="BS87" i="29"/>
  <c r="D141" i="29"/>
  <c r="AE140" i="29"/>
  <c r="AF140" i="29"/>
  <c r="AG140" i="29"/>
  <c r="AH140" i="29"/>
  <c r="AI140" i="29"/>
  <c r="AJ140" i="29"/>
  <c r="AK140" i="29"/>
  <c r="AL140" i="29"/>
  <c r="AM140" i="29"/>
  <c r="AN140" i="29"/>
  <c r="AO140" i="29"/>
  <c r="AQ140" i="29"/>
  <c r="AR140" i="29"/>
  <c r="AP140" i="29"/>
  <c r="AS140" i="29"/>
  <c r="AT140" i="29"/>
  <c r="AU140" i="29"/>
  <c r="AV140" i="29"/>
  <c r="AW140" i="29"/>
  <c r="AX140" i="29"/>
  <c r="AY140" i="29"/>
  <c r="AZ140" i="29"/>
  <c r="BA140" i="29"/>
  <c r="BB140" i="29"/>
  <c r="BC140" i="29"/>
  <c r="BD140" i="29"/>
  <c r="BE140" i="29"/>
  <c r="BF140" i="29"/>
  <c r="BG140" i="29"/>
  <c r="BH140" i="29"/>
  <c r="BI140" i="29"/>
  <c r="BJ140" i="29"/>
  <c r="BK140" i="29"/>
  <c r="BL140" i="29"/>
  <c r="BM140" i="29"/>
  <c r="BN140" i="29"/>
  <c r="BO140" i="29"/>
  <c r="BP140" i="29"/>
  <c r="BQ140" i="29"/>
  <c r="D88" i="29"/>
  <c r="BS88" i="29" s="1"/>
  <c r="AE87" i="29"/>
  <c r="AF87" i="29"/>
  <c r="AG87" i="29"/>
  <c r="AH87" i="29"/>
  <c r="AI87" i="29"/>
  <c r="AJ87" i="29"/>
  <c r="AK87" i="29"/>
  <c r="AL87" i="29"/>
  <c r="AM87" i="29"/>
  <c r="AN87" i="29"/>
  <c r="AO87" i="29"/>
  <c r="AQ87" i="29"/>
  <c r="AR87" i="29"/>
  <c r="AP87" i="29"/>
  <c r="AS87" i="29"/>
  <c r="AT87" i="29"/>
  <c r="AU87" i="29"/>
  <c r="AV87" i="29"/>
  <c r="AW87" i="29"/>
  <c r="AX87" i="29"/>
  <c r="AY87" i="29"/>
  <c r="AZ87" i="29"/>
  <c r="BA87" i="29"/>
  <c r="BB87" i="29"/>
  <c r="BC87" i="29"/>
  <c r="BD87" i="29"/>
  <c r="BE87" i="29"/>
  <c r="BF87" i="29"/>
  <c r="BG87" i="29"/>
  <c r="BH87" i="29"/>
  <c r="BI87" i="29"/>
  <c r="BJ87" i="29"/>
  <c r="BK87" i="29"/>
  <c r="BL87" i="29"/>
  <c r="BM87" i="29"/>
  <c r="BN87" i="29"/>
  <c r="BO87" i="29"/>
  <c r="BP87" i="29"/>
  <c r="BQ87" i="29"/>
  <c r="D76" i="28"/>
  <c r="AE75" i="28"/>
  <c r="AF75" i="28"/>
  <c r="AG75" i="28"/>
  <c r="AH75" i="28"/>
  <c r="AI75" i="28"/>
  <c r="AJ75" i="28"/>
  <c r="AK75" i="28"/>
  <c r="AL75" i="28"/>
  <c r="AM75" i="28"/>
  <c r="AN75" i="28"/>
  <c r="AO75" i="28"/>
  <c r="D125" i="28"/>
  <c r="AE124" i="28"/>
  <c r="AF124" i="28"/>
  <c r="AG124" i="28"/>
  <c r="AH124" i="28"/>
  <c r="AI124" i="28"/>
  <c r="AJ124" i="28"/>
  <c r="AK124" i="28"/>
  <c r="AL124" i="28"/>
  <c r="AM124" i="28"/>
  <c r="AN124" i="28"/>
  <c r="AO124" i="28"/>
  <c r="BU7" i="29" l="1"/>
  <c r="BU6" i="29"/>
  <c r="BU8" i="29"/>
  <c r="BV5" i="29"/>
  <c r="BU4" i="29"/>
  <c r="BT139" i="29"/>
  <c r="BT141" i="29"/>
  <c r="BT140" i="29"/>
  <c r="BT88" i="29"/>
  <c r="D142" i="29"/>
  <c r="AE141" i="29"/>
  <c r="AF141" i="29"/>
  <c r="AG141" i="29"/>
  <c r="AH141" i="29"/>
  <c r="AI141" i="29"/>
  <c r="AJ141" i="29"/>
  <c r="AK141" i="29"/>
  <c r="AL141" i="29"/>
  <c r="AM141" i="29"/>
  <c r="AN141" i="29"/>
  <c r="AO141" i="29"/>
  <c r="AQ141" i="29"/>
  <c r="AR141" i="29"/>
  <c r="AP141" i="29"/>
  <c r="AS141" i="29"/>
  <c r="AT141" i="29"/>
  <c r="AU141" i="29"/>
  <c r="AV141" i="29"/>
  <c r="AW141" i="29"/>
  <c r="AX141" i="29"/>
  <c r="AY141" i="29"/>
  <c r="AZ141" i="29"/>
  <c r="BA141" i="29"/>
  <c r="BB141" i="29"/>
  <c r="BC141" i="29"/>
  <c r="BD141" i="29"/>
  <c r="BE141" i="29"/>
  <c r="BF141" i="29"/>
  <c r="BG141" i="29"/>
  <c r="BH141" i="29"/>
  <c r="BI141" i="29"/>
  <c r="BJ141" i="29"/>
  <c r="BK141" i="29"/>
  <c r="BL141" i="29"/>
  <c r="BM141" i="29"/>
  <c r="BN141" i="29"/>
  <c r="BO141" i="29"/>
  <c r="BP141" i="29"/>
  <c r="BQ141" i="29"/>
  <c r="BR141" i="29"/>
  <c r="BS141" i="29"/>
  <c r="D89" i="29"/>
  <c r="AE88" i="29"/>
  <c r="AF88" i="29"/>
  <c r="AG88" i="29"/>
  <c r="AH88" i="29"/>
  <c r="AI88" i="29"/>
  <c r="AJ88" i="29"/>
  <c r="AK88" i="29"/>
  <c r="AL88" i="29"/>
  <c r="AM88" i="29"/>
  <c r="AN88" i="29"/>
  <c r="AO88" i="29"/>
  <c r="AQ88" i="29"/>
  <c r="AP88" i="29"/>
  <c r="AR88" i="29"/>
  <c r="AS88" i="29"/>
  <c r="AT88" i="29"/>
  <c r="AU88" i="29"/>
  <c r="AV88" i="29"/>
  <c r="AW88" i="29"/>
  <c r="AX88" i="29"/>
  <c r="AY88" i="29"/>
  <c r="AZ88" i="29"/>
  <c r="BA88" i="29"/>
  <c r="BB88" i="29"/>
  <c r="BC88" i="29"/>
  <c r="BD88" i="29"/>
  <c r="BE88" i="29"/>
  <c r="BF88" i="29"/>
  <c r="BG88" i="29"/>
  <c r="BH88" i="29"/>
  <c r="BI88" i="29"/>
  <c r="BJ88" i="29"/>
  <c r="BK88" i="29"/>
  <c r="BL88" i="29"/>
  <c r="BM88" i="29"/>
  <c r="BN88" i="29"/>
  <c r="BO88" i="29"/>
  <c r="BP88" i="29"/>
  <c r="BQ88" i="29"/>
  <c r="BR88" i="29"/>
  <c r="D77" i="28"/>
  <c r="AE76" i="28"/>
  <c r="AF76" i="28"/>
  <c r="AG76" i="28"/>
  <c r="AH76" i="28"/>
  <c r="AI76" i="28"/>
  <c r="AJ76" i="28"/>
  <c r="AK76" i="28"/>
  <c r="AL76" i="28"/>
  <c r="AM76" i="28"/>
  <c r="AN76" i="28"/>
  <c r="AO76" i="28"/>
  <c r="D126" i="28"/>
  <c r="AE125" i="28"/>
  <c r="AF125" i="28"/>
  <c r="AG125" i="28"/>
  <c r="AH125" i="28"/>
  <c r="AI125" i="28"/>
  <c r="AJ125" i="28"/>
  <c r="AK125" i="28"/>
  <c r="AL125" i="28"/>
  <c r="AM125" i="28"/>
  <c r="AN125" i="28"/>
  <c r="AO125" i="28"/>
  <c r="D143" i="29" l="1"/>
  <c r="BU143" i="29" s="1"/>
  <c r="AE142" i="29"/>
  <c r="AF142" i="29"/>
  <c r="AG142" i="29"/>
  <c r="AH142" i="29"/>
  <c r="AI142" i="29"/>
  <c r="AJ142" i="29"/>
  <c r="AK142" i="29"/>
  <c r="AL142" i="29"/>
  <c r="AM142" i="29"/>
  <c r="AN142" i="29"/>
  <c r="AO142" i="29"/>
  <c r="AQ142" i="29"/>
  <c r="AP142" i="29"/>
  <c r="AR142" i="29"/>
  <c r="AS142" i="29"/>
  <c r="AT142" i="29"/>
  <c r="AU142" i="29"/>
  <c r="AV142" i="29"/>
  <c r="AW142" i="29"/>
  <c r="AX142" i="29"/>
  <c r="AY142" i="29"/>
  <c r="AZ142" i="29"/>
  <c r="BA142" i="29"/>
  <c r="BB142" i="29"/>
  <c r="BC142" i="29"/>
  <c r="BD142" i="29"/>
  <c r="BE142" i="29"/>
  <c r="BF142" i="29"/>
  <c r="BG142" i="29"/>
  <c r="BH142" i="29"/>
  <c r="BI142" i="29"/>
  <c r="BJ142" i="29"/>
  <c r="BK142" i="29"/>
  <c r="BL142" i="29"/>
  <c r="BM142" i="29"/>
  <c r="BN142" i="29"/>
  <c r="BO142" i="29"/>
  <c r="BP142" i="29"/>
  <c r="BQ142" i="29"/>
  <c r="BR142" i="29"/>
  <c r="BS142" i="29"/>
  <c r="D90" i="29"/>
  <c r="BU90" i="29" s="1"/>
  <c r="AE89" i="29"/>
  <c r="AF89" i="29"/>
  <c r="AG89" i="29"/>
  <c r="AH89" i="29"/>
  <c r="AI89" i="29"/>
  <c r="AJ89" i="29"/>
  <c r="AK89" i="29"/>
  <c r="AL89" i="29"/>
  <c r="AM89" i="29"/>
  <c r="AN89" i="29"/>
  <c r="AO89" i="29"/>
  <c r="AQ89" i="29"/>
  <c r="AR89" i="29"/>
  <c r="AP89" i="29"/>
  <c r="AS89" i="29"/>
  <c r="AT89" i="29"/>
  <c r="AU89" i="29"/>
  <c r="AV89" i="29"/>
  <c r="AW89" i="29"/>
  <c r="AX89" i="29"/>
  <c r="AY89" i="29"/>
  <c r="AZ89" i="29"/>
  <c r="BA89" i="29"/>
  <c r="BB89" i="29"/>
  <c r="BC89" i="29"/>
  <c r="BD89" i="29"/>
  <c r="BE89" i="29"/>
  <c r="BF89" i="29"/>
  <c r="BG89" i="29"/>
  <c r="BH89" i="29"/>
  <c r="BI89" i="29"/>
  <c r="BJ89" i="29"/>
  <c r="BK89" i="29"/>
  <c r="BL89" i="29"/>
  <c r="BM89" i="29"/>
  <c r="BN89" i="29"/>
  <c r="BO89" i="29"/>
  <c r="BP89" i="29"/>
  <c r="BQ89" i="29"/>
  <c r="BR89" i="29"/>
  <c r="BS89" i="29"/>
  <c r="BT89" i="29"/>
  <c r="BV6" i="29"/>
  <c r="BV8" i="29"/>
  <c r="BV7" i="29"/>
  <c r="BW5" i="29"/>
  <c r="BV4" i="29"/>
  <c r="BU141" i="29"/>
  <c r="BU142" i="29"/>
  <c r="BU140" i="29"/>
  <c r="BU89" i="29"/>
  <c r="BT142" i="29"/>
  <c r="D127" i="28"/>
  <c r="AE126" i="28"/>
  <c r="AF126" i="28"/>
  <c r="AG126" i="28"/>
  <c r="AH126" i="28"/>
  <c r="AI126" i="28"/>
  <c r="AJ126" i="28"/>
  <c r="AK126" i="28"/>
  <c r="AL126" i="28"/>
  <c r="AM126" i="28"/>
  <c r="AN126" i="28"/>
  <c r="AO126" i="28"/>
  <c r="D78" i="28"/>
  <c r="AE77" i="28"/>
  <c r="AF77" i="28"/>
  <c r="AG77" i="28"/>
  <c r="AH77" i="28"/>
  <c r="AI77" i="28"/>
  <c r="AJ77" i="28"/>
  <c r="AK77" i="28"/>
  <c r="AL77" i="28"/>
  <c r="AM77" i="28"/>
  <c r="AN77" i="28"/>
  <c r="AO77" i="28"/>
  <c r="D144" i="29" l="1"/>
  <c r="AE143" i="29"/>
  <c r="AF143" i="29"/>
  <c r="AG143" i="29"/>
  <c r="AH143" i="29"/>
  <c r="AI143" i="29"/>
  <c r="AJ143" i="29"/>
  <c r="AK143" i="29"/>
  <c r="AL143" i="29"/>
  <c r="AM143" i="29"/>
  <c r="AN143" i="29"/>
  <c r="AO143" i="29"/>
  <c r="AQ143" i="29"/>
  <c r="AR143" i="29"/>
  <c r="AP143" i="29"/>
  <c r="AS143" i="29"/>
  <c r="AT143" i="29"/>
  <c r="AU143" i="29"/>
  <c r="AV143" i="29"/>
  <c r="AW143" i="29"/>
  <c r="AX143" i="29"/>
  <c r="AY143" i="29"/>
  <c r="AZ143" i="29"/>
  <c r="BA143" i="29"/>
  <c r="BB143" i="29"/>
  <c r="BC143" i="29"/>
  <c r="BD143" i="29"/>
  <c r="BE143" i="29"/>
  <c r="BF143" i="29"/>
  <c r="BG143" i="29"/>
  <c r="BH143" i="29"/>
  <c r="BI143" i="29"/>
  <c r="BJ143" i="29"/>
  <c r="BK143" i="29"/>
  <c r="BL143" i="29"/>
  <c r="BM143" i="29"/>
  <c r="BN143" i="29"/>
  <c r="BO143" i="29"/>
  <c r="BP143" i="29"/>
  <c r="BQ143" i="29"/>
  <c r="BR143" i="29"/>
  <c r="BS143" i="29"/>
  <c r="BT143" i="29"/>
  <c r="BW6" i="29"/>
  <c r="BW7" i="29"/>
  <c r="BX5" i="29"/>
  <c r="BW4" i="29"/>
  <c r="BW8" i="29"/>
  <c r="D91" i="29"/>
  <c r="AE90" i="29"/>
  <c r="AF90" i="29"/>
  <c r="AG90" i="29"/>
  <c r="AH90" i="29"/>
  <c r="AI90" i="29"/>
  <c r="AJ90" i="29"/>
  <c r="AK90" i="29"/>
  <c r="AL90" i="29"/>
  <c r="AM90" i="29"/>
  <c r="AN90" i="29"/>
  <c r="AO90" i="29"/>
  <c r="AQ90" i="29"/>
  <c r="AP90" i="29"/>
  <c r="AR90" i="29"/>
  <c r="AS90" i="29"/>
  <c r="AT90" i="29"/>
  <c r="AU90" i="29"/>
  <c r="AV90" i="29"/>
  <c r="AW90" i="29"/>
  <c r="AX90" i="29"/>
  <c r="AY90" i="29"/>
  <c r="AZ90" i="29"/>
  <c r="BA90" i="29"/>
  <c r="BB90" i="29"/>
  <c r="BC90" i="29"/>
  <c r="BD90" i="29"/>
  <c r="BE90" i="29"/>
  <c r="BF90" i="29"/>
  <c r="BG90" i="29"/>
  <c r="BH90" i="29"/>
  <c r="BI90" i="29"/>
  <c r="BJ90" i="29"/>
  <c r="BK90" i="29"/>
  <c r="BL90" i="29"/>
  <c r="BM90" i="29"/>
  <c r="BN90" i="29"/>
  <c r="BO90" i="29"/>
  <c r="BP90" i="29"/>
  <c r="BQ90" i="29"/>
  <c r="BR90" i="29"/>
  <c r="BS90" i="29"/>
  <c r="BT90" i="29"/>
  <c r="BV141" i="29"/>
  <c r="BV143" i="29"/>
  <c r="BV142" i="29"/>
  <c r="BV144" i="29"/>
  <c r="BV90" i="29"/>
  <c r="D128" i="28"/>
  <c r="AE127" i="28"/>
  <c r="AF127" i="28"/>
  <c r="AG127" i="28"/>
  <c r="AH127" i="28"/>
  <c r="AI127" i="28"/>
  <c r="AJ127" i="28"/>
  <c r="AK127" i="28"/>
  <c r="AL127" i="28"/>
  <c r="AM127" i="28"/>
  <c r="AN127" i="28"/>
  <c r="AO127" i="28"/>
  <c r="D79" i="28"/>
  <c r="AE78" i="28"/>
  <c r="AF78" i="28"/>
  <c r="AG78" i="28"/>
  <c r="AH78" i="28"/>
  <c r="AI78" i="28"/>
  <c r="AJ78" i="28"/>
  <c r="AK78" i="28"/>
  <c r="AL78" i="28"/>
  <c r="AM78" i="28"/>
  <c r="AN78" i="28"/>
  <c r="AO78" i="28"/>
  <c r="BX6" i="29" l="1"/>
  <c r="BX8" i="29"/>
  <c r="BY5" i="29"/>
  <c r="BX4" i="29"/>
  <c r="BX7" i="29"/>
  <c r="AE144" i="29"/>
  <c r="AF144" i="29"/>
  <c r="AG144" i="29"/>
  <c r="AH144" i="29"/>
  <c r="AI144" i="29"/>
  <c r="AJ144" i="29"/>
  <c r="AK144" i="29"/>
  <c r="AL144" i="29"/>
  <c r="AM144" i="29"/>
  <c r="AN144" i="29"/>
  <c r="AO144" i="29"/>
  <c r="AQ144" i="29"/>
  <c r="AP144" i="29"/>
  <c r="AR144" i="29"/>
  <c r="AS144" i="29"/>
  <c r="AT144" i="29"/>
  <c r="AU144" i="29"/>
  <c r="AV144" i="29"/>
  <c r="AW144" i="29"/>
  <c r="AX144" i="29"/>
  <c r="AY144" i="29"/>
  <c r="AZ144" i="29"/>
  <c r="BA144" i="29"/>
  <c r="BB144" i="29"/>
  <c r="BC144" i="29"/>
  <c r="BD144" i="29"/>
  <c r="BE144" i="29"/>
  <c r="BF144" i="29"/>
  <c r="BG144" i="29"/>
  <c r="BH144" i="29"/>
  <c r="BI144" i="29"/>
  <c r="BJ144" i="29"/>
  <c r="BK144" i="29"/>
  <c r="BL144" i="29"/>
  <c r="BM144" i="29"/>
  <c r="BN144" i="29"/>
  <c r="BO144" i="29"/>
  <c r="BP144" i="29"/>
  <c r="BQ144" i="29"/>
  <c r="BR144" i="29"/>
  <c r="BS144" i="29"/>
  <c r="BT144" i="29"/>
  <c r="BU144" i="29"/>
  <c r="D92" i="29"/>
  <c r="BW92" i="29" s="1"/>
  <c r="AE91" i="29"/>
  <c r="AF91" i="29"/>
  <c r="AG91" i="29"/>
  <c r="AH91" i="29"/>
  <c r="AI91" i="29"/>
  <c r="AJ91" i="29"/>
  <c r="AK91" i="29"/>
  <c r="AL91" i="29"/>
  <c r="AM91" i="29"/>
  <c r="AN91" i="29"/>
  <c r="AO91" i="29"/>
  <c r="AQ91" i="29"/>
  <c r="AP91" i="29"/>
  <c r="AR91" i="29"/>
  <c r="AS91" i="29"/>
  <c r="AT91" i="29"/>
  <c r="AU91" i="29"/>
  <c r="AV91" i="29"/>
  <c r="AW91" i="29"/>
  <c r="AX91" i="29"/>
  <c r="AY91" i="29"/>
  <c r="AZ91" i="29"/>
  <c r="BA91" i="29"/>
  <c r="BB91" i="29"/>
  <c r="BC91" i="29"/>
  <c r="BD91" i="29"/>
  <c r="BE91" i="29"/>
  <c r="BF91" i="29"/>
  <c r="BG91" i="29"/>
  <c r="BH91" i="29"/>
  <c r="BI91" i="29"/>
  <c r="BJ91" i="29"/>
  <c r="BK91" i="29"/>
  <c r="BL91" i="29"/>
  <c r="BM91" i="29"/>
  <c r="BN91" i="29"/>
  <c r="BO91" i="29"/>
  <c r="BP91" i="29"/>
  <c r="BQ91" i="29"/>
  <c r="BR91" i="29"/>
  <c r="BS91" i="29"/>
  <c r="BT91" i="29"/>
  <c r="BU91" i="29"/>
  <c r="BV91" i="29"/>
  <c r="BW143" i="29"/>
  <c r="BW142" i="29"/>
  <c r="BW144" i="29"/>
  <c r="BW91" i="29"/>
  <c r="AE79" i="28"/>
  <c r="AF79" i="28"/>
  <c r="AG79" i="28"/>
  <c r="AH79" i="28"/>
  <c r="AI79" i="28"/>
  <c r="AJ79" i="28"/>
  <c r="AK79" i="28"/>
  <c r="AL79" i="28"/>
  <c r="AM79" i="28"/>
  <c r="AN79" i="28"/>
  <c r="AO79" i="28"/>
  <c r="D129" i="28"/>
  <c r="AE128" i="28"/>
  <c r="AF128" i="28"/>
  <c r="AG128" i="28"/>
  <c r="AH128" i="28"/>
  <c r="AI128" i="28"/>
  <c r="AJ128" i="28"/>
  <c r="AK128" i="28"/>
  <c r="AL128" i="28"/>
  <c r="AM128" i="28"/>
  <c r="AN128" i="28"/>
  <c r="AO128" i="28"/>
  <c r="BY6" i="29" l="1"/>
  <c r="BY8" i="29"/>
  <c r="BZ5" i="29"/>
  <c r="BY4" i="29"/>
  <c r="BY7" i="29"/>
  <c r="BX143" i="29"/>
  <c r="BX144" i="29"/>
  <c r="BX92" i="29"/>
  <c r="D93" i="29"/>
  <c r="BX93" i="29" s="1"/>
  <c r="AE92" i="29"/>
  <c r="AF92" i="29"/>
  <c r="AG92" i="29"/>
  <c r="AH92" i="29"/>
  <c r="AI92" i="29"/>
  <c r="AJ92" i="29"/>
  <c r="AK92" i="29"/>
  <c r="AL92" i="29"/>
  <c r="AM92" i="29"/>
  <c r="AN92" i="29"/>
  <c r="AO92" i="29"/>
  <c r="AQ92" i="29"/>
  <c r="AP92" i="29"/>
  <c r="AR92" i="29"/>
  <c r="AS92" i="29"/>
  <c r="AT92" i="29"/>
  <c r="AU92" i="29"/>
  <c r="AV92" i="29"/>
  <c r="AW92" i="29"/>
  <c r="AX92" i="29"/>
  <c r="AY92" i="29"/>
  <c r="AZ92" i="29"/>
  <c r="BA92" i="29"/>
  <c r="BB92" i="29"/>
  <c r="BC92" i="29"/>
  <c r="BD92" i="29"/>
  <c r="BE92" i="29"/>
  <c r="BF92" i="29"/>
  <c r="BG92" i="29"/>
  <c r="BH92" i="29"/>
  <c r="BI92" i="29"/>
  <c r="BJ92" i="29"/>
  <c r="BK92" i="29"/>
  <c r="BL92" i="29"/>
  <c r="BM92" i="29"/>
  <c r="BN92" i="29"/>
  <c r="BO92" i="29"/>
  <c r="BP92" i="29"/>
  <c r="BQ92" i="29"/>
  <c r="BR92" i="29"/>
  <c r="BS92" i="29"/>
  <c r="BT92" i="29"/>
  <c r="BU92" i="29"/>
  <c r="BV92" i="29"/>
  <c r="D130" i="28"/>
  <c r="AE129" i="28"/>
  <c r="AF129" i="28"/>
  <c r="AG129" i="28"/>
  <c r="AH129" i="28"/>
  <c r="AI129" i="28"/>
  <c r="AJ129" i="28"/>
  <c r="AK129" i="28"/>
  <c r="AL129" i="28"/>
  <c r="AM129" i="28"/>
  <c r="AN129" i="28"/>
  <c r="AO129" i="28"/>
  <c r="BZ8" i="29" l="1"/>
  <c r="BZ6" i="29"/>
  <c r="BZ4" i="29"/>
  <c r="G89" i="29" s="1"/>
  <c r="BZ7" i="29"/>
  <c r="BY144" i="29"/>
  <c r="BY93" i="29"/>
  <c r="AE93" i="29"/>
  <c r="AF93" i="29"/>
  <c r="AG93" i="29"/>
  <c r="AH93" i="29"/>
  <c r="AI93" i="29"/>
  <c r="AJ93" i="29"/>
  <c r="AK93" i="29"/>
  <c r="AL93" i="29"/>
  <c r="AM93" i="29"/>
  <c r="AN93" i="29"/>
  <c r="AO93" i="29"/>
  <c r="AQ93" i="29"/>
  <c r="AR93" i="29"/>
  <c r="AP93" i="29"/>
  <c r="AS93" i="29"/>
  <c r="AT93" i="29"/>
  <c r="AU93" i="29"/>
  <c r="AV93" i="29"/>
  <c r="AW93" i="29"/>
  <c r="AX93" i="29"/>
  <c r="AY93" i="29"/>
  <c r="AZ93" i="29"/>
  <c r="BA93" i="29"/>
  <c r="BB93" i="29"/>
  <c r="BC93" i="29"/>
  <c r="BD93" i="29"/>
  <c r="BE93" i="29"/>
  <c r="BF93" i="29"/>
  <c r="BG93" i="29"/>
  <c r="BH93" i="29"/>
  <c r="BI93" i="29"/>
  <c r="BJ93" i="29"/>
  <c r="BK93" i="29"/>
  <c r="BL93" i="29"/>
  <c r="BM93" i="29"/>
  <c r="BN93" i="29"/>
  <c r="BO93" i="29"/>
  <c r="BP93" i="29"/>
  <c r="BQ93" i="29"/>
  <c r="BR93" i="29"/>
  <c r="BS93" i="29"/>
  <c r="BT93" i="29"/>
  <c r="BU93" i="29"/>
  <c r="BV93" i="29"/>
  <c r="BW93" i="29"/>
  <c r="AE130" i="28"/>
  <c r="AF130" i="28"/>
  <c r="AG130" i="28"/>
  <c r="AH130" i="28"/>
  <c r="AI130" i="28"/>
  <c r="AJ130" i="28"/>
  <c r="AK130" i="28"/>
  <c r="AL130" i="28"/>
  <c r="AM130" i="28"/>
  <c r="AN130" i="28"/>
  <c r="AO130" i="28"/>
  <c r="G92" i="29" l="1"/>
  <c r="G140" i="29"/>
  <c r="G88" i="29"/>
  <c r="G87" i="29"/>
  <c r="G142" i="29"/>
  <c r="G93" i="29"/>
  <c r="H80" i="29"/>
  <c r="H82" i="29"/>
  <c r="H88" i="29"/>
  <c r="O41" i="29"/>
  <c r="H84" i="29"/>
  <c r="H139" i="29"/>
  <c r="H128" i="29"/>
  <c r="H122" i="29"/>
  <c r="H126" i="29"/>
  <c r="H144" i="29"/>
  <c r="H89" i="29"/>
  <c r="H137" i="29"/>
  <c r="M41" i="29"/>
  <c r="H125" i="29"/>
  <c r="H81" i="29"/>
  <c r="H78" i="29"/>
  <c r="H73" i="29"/>
  <c r="H91" i="29"/>
  <c r="H130" i="29"/>
  <c r="H127" i="29"/>
  <c r="H87" i="29"/>
  <c r="H129" i="29"/>
  <c r="H136" i="29"/>
  <c r="H74" i="29"/>
  <c r="H79" i="29"/>
  <c r="H135" i="29"/>
  <c r="H90" i="29"/>
  <c r="H77" i="29"/>
  <c r="H143" i="29"/>
  <c r="H138" i="29"/>
  <c r="N41" i="29"/>
  <c r="G41" i="29"/>
  <c r="H85" i="29"/>
  <c r="H41" i="29"/>
  <c r="H76" i="29"/>
  <c r="H72" i="29"/>
  <c r="H140" i="29"/>
  <c r="H121" i="29"/>
  <c r="H93" i="29"/>
  <c r="H134" i="29"/>
  <c r="H142" i="29"/>
  <c r="H132" i="29"/>
  <c r="H71" i="29"/>
  <c r="H86" i="29"/>
  <c r="H131" i="29"/>
  <c r="H92" i="29"/>
  <c r="I88" i="29"/>
  <c r="I137" i="29"/>
  <c r="I143" i="29"/>
  <c r="I134" i="29"/>
  <c r="H75" i="29"/>
  <c r="H133" i="29"/>
  <c r="I84" i="29"/>
  <c r="I82" i="29"/>
  <c r="H70" i="29"/>
  <c r="I139" i="29"/>
  <c r="I138" i="29"/>
  <c r="I90" i="29"/>
  <c r="I140" i="29"/>
  <c r="I136" i="29"/>
  <c r="I86" i="29"/>
  <c r="I41" i="29"/>
  <c r="I92" i="29"/>
  <c r="I87" i="29"/>
  <c r="J41" i="29"/>
  <c r="I89" i="29"/>
  <c r="H141" i="29"/>
  <c r="I141" i="29"/>
  <c r="I85" i="29"/>
  <c r="I142" i="29"/>
  <c r="I144" i="29"/>
  <c r="I133" i="29"/>
  <c r="H123" i="29"/>
  <c r="I83" i="29"/>
  <c r="I93" i="29"/>
  <c r="H83" i="29"/>
  <c r="I91" i="29"/>
  <c r="I135" i="29"/>
  <c r="H124" i="29"/>
  <c r="P41" i="29"/>
  <c r="Q41" i="29"/>
  <c r="R41" i="29"/>
  <c r="G111" i="29"/>
  <c r="S41" i="29"/>
  <c r="T41" i="29"/>
  <c r="G60" i="29"/>
  <c r="U41" i="29"/>
  <c r="G113" i="29"/>
  <c r="G112" i="29"/>
  <c r="G61" i="29"/>
  <c r="G114" i="29"/>
  <c r="G115" i="29"/>
  <c r="G62" i="29"/>
  <c r="G63" i="29"/>
  <c r="G64" i="29"/>
  <c r="G116" i="29"/>
  <c r="G65" i="29"/>
  <c r="V41" i="29"/>
  <c r="G118" i="29"/>
  <c r="G117" i="29"/>
  <c r="W41" i="29"/>
  <c r="X41" i="29"/>
  <c r="G66" i="29"/>
  <c r="G67" i="29"/>
  <c r="G121" i="29"/>
  <c r="G119" i="29"/>
  <c r="G120" i="29"/>
  <c r="G123" i="29"/>
  <c r="Y41" i="29"/>
  <c r="Z41" i="29"/>
  <c r="G70" i="29"/>
  <c r="G122" i="29"/>
  <c r="G69" i="29"/>
  <c r="G68" i="29"/>
  <c r="G71" i="29"/>
  <c r="G124" i="29"/>
  <c r="G125" i="29"/>
  <c r="AA41" i="29"/>
  <c r="G73" i="29"/>
  <c r="G72" i="29"/>
  <c r="G126" i="29"/>
  <c r="G74" i="29"/>
  <c r="G75" i="29"/>
  <c r="G127" i="29"/>
  <c r="AB41" i="29"/>
  <c r="G128" i="29"/>
  <c r="G130" i="29"/>
  <c r="G77" i="29"/>
  <c r="G76" i="29"/>
  <c r="G129" i="29"/>
  <c r="G78" i="29"/>
  <c r="G131" i="29"/>
  <c r="G132" i="29"/>
  <c r="G79" i="29"/>
  <c r="G80" i="29"/>
  <c r="G133" i="29"/>
  <c r="G135" i="29"/>
  <c r="G82" i="29"/>
  <c r="G83" i="29"/>
  <c r="G134" i="29"/>
  <c r="G81" i="29"/>
  <c r="G136" i="29"/>
  <c r="G137" i="29"/>
  <c r="G84" i="29"/>
  <c r="G143" i="29"/>
  <c r="G144" i="29"/>
  <c r="G91" i="29"/>
  <c r="G138" i="29"/>
  <c r="G85" i="29"/>
  <c r="G86" i="29"/>
  <c r="G139" i="29"/>
  <c r="G90" i="29"/>
  <c r="G141" i="29"/>
  <c r="T2" i="25"/>
  <c r="T7" i="25" l="1"/>
  <c r="T9" i="25"/>
  <c r="T10" i="25"/>
  <c r="T12" i="25"/>
  <c r="T11" i="25"/>
  <c r="E9" i="24" l="1"/>
  <c r="F14" i="24"/>
  <c r="G14" i="24" s="1"/>
  <c r="I19" i="24" s="1"/>
  <c r="W16" i="24" s="1"/>
  <c r="F15" i="24"/>
  <c r="G15" i="24" s="1"/>
  <c r="D16" i="24"/>
  <c r="D17" i="24" s="1"/>
  <c r="E16" i="24"/>
  <c r="E17" i="24" s="1"/>
  <c r="K16" i="24"/>
  <c r="V17" i="24" s="1"/>
  <c r="V16" i="24"/>
  <c r="F19" i="24"/>
  <c r="G19" i="24" s="1"/>
  <c r="F20" i="24"/>
  <c r="G20" i="24" s="1"/>
  <c r="F21" i="24"/>
  <c r="G21" i="24" s="1"/>
  <c r="F22" i="24"/>
  <c r="G22" i="24" s="1"/>
  <c r="F23" i="24"/>
  <c r="G23" i="24" s="1"/>
  <c r="F24" i="24"/>
  <c r="G24" i="24" s="1"/>
  <c r="D25" i="24"/>
  <c r="E25" i="24"/>
  <c r="I28" i="24"/>
  <c r="V18" i="24" s="1"/>
  <c r="K28" i="24"/>
  <c r="V19" i="24" s="1"/>
  <c r="F29" i="24"/>
  <c r="G29" i="24" s="1"/>
  <c r="F33" i="24"/>
  <c r="I29" i="24" s="1"/>
  <c r="F34" i="24"/>
  <c r="K29" i="24" s="1"/>
  <c r="F16" i="24" l="1"/>
  <c r="G16" i="24" s="1"/>
  <c r="E27" i="24"/>
  <c r="E31" i="24" s="1"/>
  <c r="D27" i="24"/>
  <c r="D31" i="24" s="1"/>
  <c r="F25" i="24"/>
  <c r="G25" i="24" s="1"/>
  <c r="I17" i="24"/>
  <c r="G34" i="24"/>
  <c r="K31" i="24" s="1"/>
  <c r="W19" i="24" s="1"/>
  <c r="Y19" i="24" s="1"/>
  <c r="G33" i="24"/>
  <c r="I31" i="24" s="1"/>
  <c r="W18" i="24" s="1"/>
  <c r="Z18" i="24" s="1"/>
  <c r="F17" i="24"/>
  <c r="X16" i="24"/>
  <c r="Y16" i="24" s="1"/>
  <c r="AA16" i="24"/>
  <c r="Z16" i="24"/>
  <c r="F27" i="24" l="1"/>
  <c r="G27" i="24" s="1"/>
  <c r="F31" i="24"/>
  <c r="K17" i="24" s="1"/>
  <c r="Y18" i="24"/>
  <c r="G31" i="24"/>
  <c r="K19" i="24" s="1"/>
  <c r="W17" i="24" s="1"/>
  <c r="X17" i="24" s="1"/>
  <c r="Y17" i="24" s="1"/>
  <c r="X18" i="24"/>
  <c r="AA19" i="24"/>
  <c r="X19" i="24"/>
  <c r="AA18" i="24"/>
  <c r="Z19" i="24"/>
  <c r="AA17" i="24" l="1"/>
  <c r="Z17" i="24"/>
  <c r="T6" i="3" l="1" a="1"/>
  <c r="T6" i="3" s="1"/>
  <c r="A2" i="17" l="1" a="1"/>
  <c r="A2" i="17" s="1"/>
  <c r="A1" i="17"/>
  <c r="A2" i="16" a="1"/>
  <c r="A2" i="16" s="1"/>
  <c r="A1" i="16"/>
  <c r="A2" i="15" a="1"/>
  <c r="A2" i="15" s="1"/>
  <c r="A1" i="15"/>
  <c r="A2" i="14" a="1"/>
  <c r="A2" i="14" s="1"/>
  <c r="A1" i="14"/>
  <c r="A2" i="22" a="1"/>
  <c r="A2" i="22" s="1"/>
  <c r="A1" i="22"/>
  <c r="A2" i="20" a="1"/>
  <c r="A2" i="20" s="1"/>
  <c r="A1" i="20"/>
  <c r="D19" i="4"/>
  <c r="E19" i="4" s="1"/>
  <c r="D16" i="4"/>
  <c r="E16" i="4" s="1"/>
  <c r="D15" i="4"/>
  <c r="E15" i="4" s="1"/>
  <c r="H42" i="12"/>
  <c r="I42" i="12"/>
  <c r="G4" i="22"/>
  <c r="M4" i="22"/>
  <c r="AE4" i="22"/>
  <c r="M5" i="22"/>
  <c r="AE5" i="22" a="1"/>
  <c r="AE5" i="22" s="1"/>
  <c r="D35" i="22" a="1"/>
  <c r="D35" i="22" s="1"/>
  <c r="D86" i="22" a="1"/>
  <c r="D86" i="22" s="1"/>
  <c r="CK98" i="20"/>
  <c r="BH141" i="13" s="1"/>
  <c r="CJ98" i="20"/>
  <c r="BG141" i="13" s="1"/>
  <c r="CI98" i="20"/>
  <c r="BF141" i="13" s="1"/>
  <c r="CH98" i="20"/>
  <c r="BE141" i="13" s="1"/>
  <c r="CG98" i="20"/>
  <c r="BD141" i="13" s="1"/>
  <c r="CF98" i="20"/>
  <c r="BC141" i="13" s="1"/>
  <c r="CE98" i="20"/>
  <c r="BB141" i="13" s="1"/>
  <c r="CD98" i="20"/>
  <c r="BA141" i="13" s="1"/>
  <c r="CC98" i="20"/>
  <c r="AZ141" i="13" s="1"/>
  <c r="CB98" i="20"/>
  <c r="AY141" i="13" s="1"/>
  <c r="CA98" i="20"/>
  <c r="AX141" i="13" s="1"/>
  <c r="BZ98" i="20"/>
  <c r="AW141" i="13" s="1"/>
  <c r="BY98" i="20"/>
  <c r="AV141" i="13" s="1"/>
  <c r="BX98" i="20"/>
  <c r="AU141" i="13" s="1"/>
  <c r="BW98" i="20"/>
  <c r="AT141" i="13" s="1"/>
  <c r="BV98" i="20"/>
  <c r="AS141" i="13" s="1"/>
  <c r="BU98" i="20"/>
  <c r="AR141" i="13" s="1"/>
  <c r="BT98" i="20"/>
  <c r="AQ141" i="13" s="1"/>
  <c r="BS98" i="20"/>
  <c r="AP141" i="13" s="1"/>
  <c r="BR98" i="20"/>
  <c r="AO141" i="13" s="1"/>
  <c r="BQ98" i="20"/>
  <c r="AN141" i="13" s="1"/>
  <c r="BP98" i="20"/>
  <c r="AM141" i="13" s="1"/>
  <c r="BO98" i="20"/>
  <c r="AL141" i="13" s="1"/>
  <c r="BN98" i="20"/>
  <c r="AK141" i="13" s="1"/>
  <c r="BM98" i="20"/>
  <c r="AJ141" i="13" s="1"/>
  <c r="BL98" i="20"/>
  <c r="AI141" i="13" s="1"/>
  <c r="BK98" i="20"/>
  <c r="AH141" i="13" s="1"/>
  <c r="BJ98" i="20"/>
  <c r="AG141" i="13" s="1"/>
  <c r="BI98" i="20"/>
  <c r="AF141" i="13" s="1"/>
  <c r="BH98" i="20"/>
  <c r="AE141" i="13" s="1"/>
  <c r="BG98" i="20"/>
  <c r="AD141" i="13" s="1"/>
  <c r="BF98" i="20"/>
  <c r="AC141" i="13" s="1"/>
  <c r="BE98" i="20"/>
  <c r="AB141" i="13" s="1"/>
  <c r="BD98" i="20"/>
  <c r="AA141" i="13" s="1"/>
  <c r="BC98" i="20"/>
  <c r="Z141" i="13" s="1"/>
  <c r="BB98" i="20"/>
  <c r="Y141" i="13" s="1"/>
  <c r="BA98" i="20"/>
  <c r="X141" i="13" s="1"/>
  <c r="AZ98" i="20"/>
  <c r="W141" i="13" s="1"/>
  <c r="AY98" i="20"/>
  <c r="V141" i="13" s="1"/>
  <c r="AX98" i="20"/>
  <c r="U141" i="13" s="1"/>
  <c r="AW98" i="20"/>
  <c r="T141" i="13" s="1"/>
  <c r="AV98" i="20"/>
  <c r="S141" i="13" s="1"/>
  <c r="AU98" i="20"/>
  <c r="R141" i="13" s="1"/>
  <c r="AT98" i="20"/>
  <c r="Q141" i="13" s="1"/>
  <c r="AS98" i="20"/>
  <c r="P141" i="13" s="1"/>
  <c r="AR98" i="20"/>
  <c r="O141" i="13" s="1"/>
  <c r="AQ98" i="20"/>
  <c r="N141" i="13" s="1"/>
  <c r="AP98" i="20"/>
  <c r="M141" i="13" s="1"/>
  <c r="CK84" i="20"/>
  <c r="BH129" i="13" s="1"/>
  <c r="CJ84" i="20"/>
  <c r="BG129" i="13" s="1"/>
  <c r="CI84" i="20"/>
  <c r="BF129" i="13" s="1"/>
  <c r="CH84" i="20"/>
  <c r="BE129" i="13" s="1"/>
  <c r="CG84" i="20"/>
  <c r="BD129" i="13" s="1"/>
  <c r="CF84" i="20"/>
  <c r="BC129" i="13" s="1"/>
  <c r="CE84" i="20"/>
  <c r="BB129" i="13" s="1"/>
  <c r="CD84" i="20"/>
  <c r="BA129" i="13" s="1"/>
  <c r="CC84" i="20"/>
  <c r="AZ129" i="13" s="1"/>
  <c r="CB84" i="20"/>
  <c r="AY129" i="13" s="1"/>
  <c r="CA84" i="20"/>
  <c r="AX129" i="13" s="1"/>
  <c r="BZ84" i="20"/>
  <c r="AW129" i="13" s="1"/>
  <c r="BY84" i="20"/>
  <c r="AV129" i="13" s="1"/>
  <c r="BX84" i="20"/>
  <c r="AU129" i="13" s="1"/>
  <c r="BW84" i="20"/>
  <c r="AT129" i="13" s="1"/>
  <c r="BV84" i="20"/>
  <c r="AS129" i="13" s="1"/>
  <c r="BU84" i="20"/>
  <c r="AR129" i="13" s="1"/>
  <c r="BT84" i="20"/>
  <c r="AQ129" i="13" s="1"/>
  <c r="BS84" i="20"/>
  <c r="AP129" i="13" s="1"/>
  <c r="BR84" i="20"/>
  <c r="AO129" i="13" s="1"/>
  <c r="BQ84" i="20"/>
  <c r="AN129" i="13" s="1"/>
  <c r="BP84" i="20"/>
  <c r="AM129" i="13" s="1"/>
  <c r="BO84" i="20"/>
  <c r="AL129" i="13" s="1"/>
  <c r="BN84" i="20"/>
  <c r="AK129" i="13" s="1"/>
  <c r="BM84" i="20"/>
  <c r="AJ129" i="13" s="1"/>
  <c r="BL84" i="20"/>
  <c r="AI129" i="13" s="1"/>
  <c r="BK84" i="20"/>
  <c r="AH129" i="13" s="1"/>
  <c r="BJ84" i="20"/>
  <c r="AG129" i="13" s="1"/>
  <c r="BI84" i="20"/>
  <c r="AF129" i="13" s="1"/>
  <c r="BH84" i="20"/>
  <c r="AE129" i="13" s="1"/>
  <c r="BG84" i="20"/>
  <c r="AD129" i="13" s="1"/>
  <c r="BF84" i="20"/>
  <c r="AC129" i="13" s="1"/>
  <c r="BE84" i="20"/>
  <c r="AB129" i="13" s="1"/>
  <c r="BD84" i="20"/>
  <c r="AA129" i="13" s="1"/>
  <c r="BC84" i="20"/>
  <c r="Z129" i="13" s="1"/>
  <c r="BB84" i="20"/>
  <c r="Y129" i="13" s="1"/>
  <c r="BA84" i="20"/>
  <c r="X129" i="13" s="1"/>
  <c r="AZ84" i="20"/>
  <c r="W129" i="13" s="1"/>
  <c r="AY84" i="20"/>
  <c r="V129" i="13" s="1"/>
  <c r="AX84" i="20"/>
  <c r="U129" i="13" s="1"/>
  <c r="AW84" i="20"/>
  <c r="T129" i="13" s="1"/>
  <c r="AV84" i="20"/>
  <c r="S129" i="13" s="1"/>
  <c r="AU84" i="20"/>
  <c r="R129" i="13" s="1"/>
  <c r="AT84" i="20"/>
  <c r="Q129" i="13" s="1"/>
  <c r="AS84" i="20"/>
  <c r="P129" i="13" s="1"/>
  <c r="AR84" i="20"/>
  <c r="O129" i="13" s="1"/>
  <c r="AQ84" i="20"/>
  <c r="N129" i="13" s="1"/>
  <c r="AP84" i="20"/>
  <c r="M129" i="13" s="1"/>
  <c r="AP57" i="20"/>
  <c r="AP56" i="20"/>
  <c r="AP55" i="20"/>
  <c r="AP54" i="20"/>
  <c r="R4" i="20"/>
  <c r="X4" i="20"/>
  <c r="AP4" i="20"/>
  <c r="X5" i="20"/>
  <c r="AP5" i="20" a="1"/>
  <c r="AP5" i="20" s="1"/>
  <c r="AP45" i="20"/>
  <c r="AQ45" i="20"/>
  <c r="AR45" i="20"/>
  <c r="AS45" i="20"/>
  <c r="AT45" i="20"/>
  <c r="AU45" i="20"/>
  <c r="AV45" i="20"/>
  <c r="AW45" i="20"/>
  <c r="AX45" i="20"/>
  <c r="AY45" i="20"/>
  <c r="AZ45" i="20"/>
  <c r="BA45" i="20"/>
  <c r="BB45" i="20"/>
  <c r="BC45" i="20"/>
  <c r="BD45" i="20"/>
  <c r="BE45" i="20"/>
  <c r="BF45" i="20"/>
  <c r="BG45" i="20"/>
  <c r="BH45" i="20"/>
  <c r="BI45" i="20"/>
  <c r="BJ45" i="20"/>
  <c r="BK45" i="20"/>
  <c r="BL45" i="20"/>
  <c r="BM45" i="20"/>
  <c r="BN45" i="20"/>
  <c r="BO45" i="20"/>
  <c r="BP45" i="20"/>
  <c r="BQ45" i="20"/>
  <c r="BR45" i="20"/>
  <c r="BS45" i="20"/>
  <c r="BT45" i="20"/>
  <c r="BU45" i="20"/>
  <c r="BV45" i="20"/>
  <c r="BW45" i="20"/>
  <c r="BX45" i="20"/>
  <c r="BY45" i="20"/>
  <c r="BZ45" i="20"/>
  <c r="CA45" i="20"/>
  <c r="CB45" i="20"/>
  <c r="CC45" i="20"/>
  <c r="CD45" i="20"/>
  <c r="CE45" i="20"/>
  <c r="CF45" i="20"/>
  <c r="CG45" i="20"/>
  <c r="CH45" i="20"/>
  <c r="CI45" i="20"/>
  <c r="CJ45" i="20"/>
  <c r="CK45" i="20"/>
  <c r="AP53" i="20"/>
  <c r="H4" i="17"/>
  <c r="N4" i="17"/>
  <c r="AF4" i="17"/>
  <c r="N5" i="17"/>
  <c r="AF5" i="17" a="1"/>
  <c r="AF5" i="17" s="1"/>
  <c r="D33" i="17"/>
  <c r="D34" i="17" s="1"/>
  <c r="D35" i="17" s="1"/>
  <c r="D36" i="17" s="1"/>
  <c r="D37" i="17" s="1"/>
  <c r="AF40" i="17"/>
  <c r="AG40" i="17"/>
  <c r="AH40" i="17"/>
  <c r="AI40" i="17"/>
  <c r="AJ40" i="17"/>
  <c r="AK40" i="17"/>
  <c r="AL40" i="17"/>
  <c r="AM40" i="17"/>
  <c r="AN40" i="17"/>
  <c r="AO40" i="17"/>
  <c r="AP40" i="17"/>
  <c r="AQ40" i="17"/>
  <c r="AR40" i="17"/>
  <c r="AS40" i="17"/>
  <c r="AT40" i="17"/>
  <c r="AU40" i="17"/>
  <c r="AV40" i="17"/>
  <c r="AW40" i="17"/>
  <c r="AX40" i="17"/>
  <c r="AY40" i="17"/>
  <c r="AZ40" i="17"/>
  <c r="BA40" i="17"/>
  <c r="BB40" i="17"/>
  <c r="BC40" i="17"/>
  <c r="BD40" i="17"/>
  <c r="BE40" i="17"/>
  <c r="BF40" i="17"/>
  <c r="BG40" i="17"/>
  <c r="BH40" i="17"/>
  <c r="BI40" i="17"/>
  <c r="BJ40" i="17"/>
  <c r="BK40" i="17"/>
  <c r="BL40" i="17"/>
  <c r="BM40" i="17"/>
  <c r="BN40" i="17"/>
  <c r="BO40" i="17"/>
  <c r="BP40" i="17"/>
  <c r="BQ40" i="17"/>
  <c r="BR40" i="17"/>
  <c r="BS40" i="17"/>
  <c r="BT40" i="17"/>
  <c r="BU40" i="17"/>
  <c r="BV40" i="17"/>
  <c r="BW40" i="17"/>
  <c r="BX40" i="17"/>
  <c r="BY40" i="17"/>
  <c r="BZ40" i="17"/>
  <c r="CA40" i="17"/>
  <c r="D45" i="17" a="1"/>
  <c r="D45" i="17" s="1"/>
  <c r="AF105" i="17"/>
  <c r="AF107" i="17" s="1"/>
  <c r="AF109" i="17" s="1"/>
  <c r="AF103" i="17" s="1"/>
  <c r="AF113" i="17"/>
  <c r="AF114" i="17" s="1"/>
  <c r="AF116" i="17" s="1"/>
  <c r="AF111" i="17" s="1"/>
  <c r="AG113" i="17"/>
  <c r="AG114" i="17" s="1"/>
  <c r="AG116" i="17" s="1"/>
  <c r="AG111" i="17" s="1"/>
  <c r="AH113" i="17"/>
  <c r="AH114" i="17" s="1"/>
  <c r="AH116" i="17" s="1"/>
  <c r="AH111" i="17" s="1"/>
  <c r="AI113" i="17"/>
  <c r="AI114" i="17" s="1"/>
  <c r="AI116" i="17" s="1"/>
  <c r="AI111" i="17" s="1"/>
  <c r="AJ113" i="17"/>
  <c r="AJ114" i="17" s="1"/>
  <c r="AJ116" i="17" s="1"/>
  <c r="AJ111" i="17" s="1"/>
  <c r="AK113" i="17"/>
  <c r="AK114" i="17" s="1"/>
  <c r="AK116" i="17" s="1"/>
  <c r="AK111" i="17" s="1"/>
  <c r="AL113" i="17"/>
  <c r="AL114" i="17" s="1"/>
  <c r="AL116" i="17" s="1"/>
  <c r="AL111" i="17" s="1"/>
  <c r="AM113" i="17"/>
  <c r="AM114" i="17" s="1"/>
  <c r="AM116" i="17" s="1"/>
  <c r="AM111" i="17" s="1"/>
  <c r="AN113" i="17"/>
  <c r="AN114" i="17" s="1"/>
  <c r="AN116" i="17" s="1"/>
  <c r="AN111" i="17" s="1"/>
  <c r="AO113" i="17"/>
  <c r="AO114" i="17" s="1"/>
  <c r="AO116" i="17" s="1"/>
  <c r="AO111" i="17" s="1"/>
  <c r="AP113" i="17"/>
  <c r="AP114" i="17" s="1"/>
  <c r="AP116" i="17" s="1"/>
  <c r="AP111" i="17" s="1"/>
  <c r="AQ113" i="17"/>
  <c r="AQ114" i="17" s="1"/>
  <c r="AQ116" i="17" s="1"/>
  <c r="AQ111" i="17" s="1"/>
  <c r="AR113" i="17"/>
  <c r="AR114" i="17" s="1"/>
  <c r="AR116" i="17" s="1"/>
  <c r="AR111" i="17" s="1"/>
  <c r="AS113" i="17"/>
  <c r="AS114" i="17" s="1"/>
  <c r="AS116" i="17" s="1"/>
  <c r="AS111" i="17" s="1"/>
  <c r="AT113" i="17"/>
  <c r="AT114" i="17" s="1"/>
  <c r="AT116" i="17" s="1"/>
  <c r="AT111" i="17" s="1"/>
  <c r="AU113" i="17"/>
  <c r="AU114" i="17" s="1"/>
  <c r="AU116" i="17" s="1"/>
  <c r="AU111" i="17" s="1"/>
  <c r="AV113" i="17"/>
  <c r="AV114" i="17" s="1"/>
  <c r="AV116" i="17" s="1"/>
  <c r="AV111" i="17" s="1"/>
  <c r="AW113" i="17"/>
  <c r="AW114" i="17" s="1"/>
  <c r="AW116" i="17" s="1"/>
  <c r="AW111" i="17" s="1"/>
  <c r="AX113" i="17"/>
  <c r="AX114" i="17" s="1"/>
  <c r="AX116" i="17" s="1"/>
  <c r="AX111" i="17" s="1"/>
  <c r="AY113" i="17"/>
  <c r="AY114" i="17" s="1"/>
  <c r="AY116" i="17" s="1"/>
  <c r="AY111" i="17" s="1"/>
  <c r="AZ113" i="17"/>
  <c r="AZ114" i="17" s="1"/>
  <c r="AZ116" i="17" s="1"/>
  <c r="AZ111" i="17" s="1"/>
  <c r="BA113" i="17"/>
  <c r="BA114" i="17" s="1"/>
  <c r="BA116" i="17" s="1"/>
  <c r="BA111" i="17" s="1"/>
  <c r="BB113" i="17"/>
  <c r="BB114" i="17" s="1"/>
  <c r="BB116" i="17" s="1"/>
  <c r="BB111" i="17" s="1"/>
  <c r="BC113" i="17"/>
  <c r="BC114" i="17" s="1"/>
  <c r="BC116" i="17" s="1"/>
  <c r="BC111" i="17" s="1"/>
  <c r="BD113" i="17"/>
  <c r="BD114" i="17" s="1"/>
  <c r="BD116" i="17" s="1"/>
  <c r="BD111" i="17" s="1"/>
  <c r="BE113" i="17"/>
  <c r="BE114" i="17" s="1"/>
  <c r="BE116" i="17" s="1"/>
  <c r="BE111" i="17" s="1"/>
  <c r="BF113" i="17"/>
  <c r="BF114" i="17" s="1"/>
  <c r="BF116" i="17" s="1"/>
  <c r="BF111" i="17" s="1"/>
  <c r="BG113" i="17"/>
  <c r="BG114" i="17" s="1"/>
  <c r="BG116" i="17" s="1"/>
  <c r="BG111" i="17" s="1"/>
  <c r="BH113" i="17"/>
  <c r="BH114" i="17" s="1"/>
  <c r="BH116" i="17" s="1"/>
  <c r="BH111" i="17" s="1"/>
  <c r="BI113" i="17"/>
  <c r="BI114" i="17" s="1"/>
  <c r="BI116" i="17" s="1"/>
  <c r="BI111" i="17" s="1"/>
  <c r="BJ113" i="17"/>
  <c r="BJ114" i="17" s="1"/>
  <c r="BJ116" i="17" s="1"/>
  <c r="BJ111" i="17" s="1"/>
  <c r="BK113" i="17"/>
  <c r="BK114" i="17" s="1"/>
  <c r="BK116" i="17" s="1"/>
  <c r="BK111" i="17" s="1"/>
  <c r="BL113" i="17"/>
  <c r="BL114" i="17" s="1"/>
  <c r="BL116" i="17" s="1"/>
  <c r="BL111" i="17" s="1"/>
  <c r="BM113" i="17"/>
  <c r="BM114" i="17" s="1"/>
  <c r="BM116" i="17" s="1"/>
  <c r="BM111" i="17" s="1"/>
  <c r="BN113" i="17"/>
  <c r="BN114" i="17" s="1"/>
  <c r="BN116" i="17" s="1"/>
  <c r="BN111" i="17" s="1"/>
  <c r="BO113" i="17"/>
  <c r="BO114" i="17" s="1"/>
  <c r="BO116" i="17" s="1"/>
  <c r="BO111" i="17" s="1"/>
  <c r="BP113" i="17"/>
  <c r="BP114" i="17" s="1"/>
  <c r="BP116" i="17" s="1"/>
  <c r="BP111" i="17" s="1"/>
  <c r="BQ113" i="17"/>
  <c r="BQ114" i="17" s="1"/>
  <c r="BQ116" i="17" s="1"/>
  <c r="BQ111" i="17" s="1"/>
  <c r="BR113" i="17"/>
  <c r="BR114" i="17" s="1"/>
  <c r="BR116" i="17" s="1"/>
  <c r="BR111" i="17" s="1"/>
  <c r="BS113" i="17"/>
  <c r="BS114" i="17" s="1"/>
  <c r="BS116" i="17" s="1"/>
  <c r="BS111" i="17" s="1"/>
  <c r="BT113" i="17"/>
  <c r="BT114" i="17" s="1"/>
  <c r="BT116" i="17" s="1"/>
  <c r="BT111" i="17" s="1"/>
  <c r="BU113" i="17"/>
  <c r="BU114" i="17" s="1"/>
  <c r="BU116" i="17" s="1"/>
  <c r="BU111" i="17" s="1"/>
  <c r="BV113" i="17"/>
  <c r="BV114" i="17" s="1"/>
  <c r="BV116" i="17" s="1"/>
  <c r="BV111" i="17" s="1"/>
  <c r="BW113" i="17"/>
  <c r="BW114" i="17" s="1"/>
  <c r="BW116" i="17" s="1"/>
  <c r="BW111" i="17" s="1"/>
  <c r="BX113" i="17"/>
  <c r="BX114" i="17" s="1"/>
  <c r="BX116" i="17" s="1"/>
  <c r="BX111" i="17" s="1"/>
  <c r="BY113" i="17"/>
  <c r="BY114" i="17" s="1"/>
  <c r="BY116" i="17" s="1"/>
  <c r="BY111" i="17" s="1"/>
  <c r="BZ113" i="17"/>
  <c r="BZ114" i="17" s="1"/>
  <c r="BZ116" i="17" s="1"/>
  <c r="BZ111" i="17" s="1"/>
  <c r="CA113" i="17"/>
  <c r="CA114" i="17" s="1"/>
  <c r="CA116" i="17" s="1"/>
  <c r="CA111" i="17" s="1"/>
  <c r="D136" i="17" a="1"/>
  <c r="D136" i="17" s="1"/>
  <c r="H4" i="16"/>
  <c r="N4" i="16"/>
  <c r="AF4" i="16"/>
  <c r="N5" i="16"/>
  <c r="AF5" i="16" a="1"/>
  <c r="AF5" i="16" s="1"/>
  <c r="D28" i="16" a="1"/>
  <c r="D28" i="16" s="1"/>
  <c r="D29" i="16" s="1"/>
  <c r="D30" i="16" s="1"/>
  <c r="D31" i="16" s="1"/>
  <c r="D32" i="16" s="1"/>
  <c r="D33" i="16" s="1"/>
  <c r="D34" i="16" s="1"/>
  <c r="D35" i="16" s="1"/>
  <c r="D36" i="16" s="1"/>
  <c r="D37" i="16" s="1"/>
  <c r="D38" i="16" s="1"/>
  <c r="D39" i="16" s="1"/>
  <c r="D40" i="16" s="1"/>
  <c r="D41" i="16" s="1"/>
  <c r="D42" i="16" s="1"/>
  <c r="D43" i="16" s="1"/>
  <c r="D44" i="16" s="1"/>
  <c r="D78" i="16" a="1"/>
  <c r="D78" i="16" s="1"/>
  <c r="H4" i="15"/>
  <c r="N4" i="15"/>
  <c r="AF4" i="15"/>
  <c r="N5" i="15"/>
  <c r="AF5" i="15" a="1"/>
  <c r="AF5" i="15" s="1"/>
  <c r="D28" i="15" a="1"/>
  <c r="D28" i="15" s="1"/>
  <c r="D29" i="15" s="1"/>
  <c r="D30" i="15" s="1"/>
  <c r="D31" i="15" s="1"/>
  <c r="D32" i="15" s="1"/>
  <c r="D33" i="15" s="1"/>
  <c r="D78" i="15" a="1"/>
  <c r="D78" i="15" s="1"/>
  <c r="H4" i="14"/>
  <c r="N4" i="14"/>
  <c r="AF4" i="14"/>
  <c r="N5" i="14"/>
  <c r="AF5" i="14" a="1"/>
  <c r="AF5" i="14" s="1"/>
  <c r="AF10" i="14"/>
  <c r="AG10" i="14"/>
  <c r="AH10" i="14"/>
  <c r="AI10" i="14"/>
  <c r="AJ10" i="14"/>
  <c r="AK10" i="14"/>
  <c r="AL10" i="14"/>
  <c r="AM10" i="14"/>
  <c r="AN10" i="14"/>
  <c r="AO10" i="14"/>
  <c r="AP10" i="14"/>
  <c r="AQ10" i="14"/>
  <c r="AR10" i="14"/>
  <c r="AS10" i="14"/>
  <c r="AT10" i="14"/>
  <c r="AU10" i="14"/>
  <c r="AV10" i="14"/>
  <c r="AW10" i="14"/>
  <c r="AX10" i="14"/>
  <c r="AY10" i="14"/>
  <c r="AZ10" i="14"/>
  <c r="BA10" i="14"/>
  <c r="BB10" i="14"/>
  <c r="BC10" i="14"/>
  <c r="BD10" i="14"/>
  <c r="BE10" i="14"/>
  <c r="BF10" i="14"/>
  <c r="BG10" i="14"/>
  <c r="BH10" i="14"/>
  <c r="BI10" i="14"/>
  <c r="BJ10" i="14"/>
  <c r="BK10" i="14"/>
  <c r="BL10" i="14"/>
  <c r="BM10" i="14"/>
  <c r="BN10" i="14"/>
  <c r="BO10" i="14"/>
  <c r="BP10" i="14"/>
  <c r="BQ10" i="14"/>
  <c r="BR10" i="14"/>
  <c r="BS10" i="14"/>
  <c r="BT10" i="14"/>
  <c r="BU10" i="14"/>
  <c r="BV10" i="14"/>
  <c r="BW10" i="14"/>
  <c r="BX10" i="14"/>
  <c r="BY10" i="14"/>
  <c r="BZ10" i="14"/>
  <c r="CA10" i="14"/>
  <c r="D47" i="14" a="1"/>
  <c r="D47" i="14" s="1"/>
  <c r="D48" i="14" s="1"/>
  <c r="D49" i="14" s="1"/>
  <c r="D50" i="14" s="1"/>
  <c r="AF99" i="14"/>
  <c r="AF107" i="14"/>
  <c r="H77"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H38"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F38"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E38"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H101" i="12"/>
  <c r="H102" i="12"/>
  <c r="H103" i="12"/>
  <c r="H104" i="12"/>
  <c r="H105" i="12"/>
  <c r="H106" i="12"/>
  <c r="J101" i="12"/>
  <c r="J102" i="12"/>
  <c r="J103" i="12"/>
  <c r="J104" i="12"/>
  <c r="J105" i="12"/>
  <c r="J106" i="12"/>
  <c r="I101" i="12"/>
  <c r="I102" i="12"/>
  <c r="I103" i="12"/>
  <c r="I104" i="12"/>
  <c r="I105" i="12"/>
  <c r="I106" i="12"/>
  <c r="H89" i="12"/>
  <c r="H90" i="12"/>
  <c r="H91" i="12"/>
  <c r="H92" i="12"/>
  <c r="H93" i="12"/>
  <c r="H94" i="12"/>
  <c r="H95" i="12"/>
  <c r="H96" i="12"/>
  <c r="H97" i="12"/>
  <c r="J89" i="12"/>
  <c r="J90" i="12"/>
  <c r="J91" i="12"/>
  <c r="J92" i="12"/>
  <c r="J93" i="12"/>
  <c r="J94" i="12"/>
  <c r="J95" i="12"/>
  <c r="J96" i="12"/>
  <c r="J97" i="12"/>
  <c r="I89" i="12"/>
  <c r="I90" i="12"/>
  <c r="I91" i="12"/>
  <c r="I92" i="12"/>
  <c r="I93" i="12"/>
  <c r="I94" i="12"/>
  <c r="I95" i="12"/>
  <c r="I96" i="12"/>
  <c r="I97" i="12"/>
  <c r="H75" i="12"/>
  <c r="H76" i="12"/>
  <c r="H77" i="12"/>
  <c r="H78" i="12"/>
  <c r="H79" i="12"/>
  <c r="H80" i="12"/>
  <c r="H81" i="12"/>
  <c r="H82" i="12"/>
  <c r="H83" i="12"/>
  <c r="H84" i="12"/>
  <c r="H85" i="12"/>
  <c r="J73" i="12"/>
  <c r="J75" i="12"/>
  <c r="J76" i="12"/>
  <c r="J77" i="12"/>
  <c r="J78" i="12"/>
  <c r="J79" i="12"/>
  <c r="J80" i="12"/>
  <c r="J81" i="12"/>
  <c r="J82" i="12"/>
  <c r="J83" i="12"/>
  <c r="J84" i="12"/>
  <c r="J85" i="12"/>
  <c r="I75" i="12"/>
  <c r="I76" i="12"/>
  <c r="I77" i="12"/>
  <c r="I78" i="12"/>
  <c r="I79" i="12"/>
  <c r="I80" i="12"/>
  <c r="I81" i="12"/>
  <c r="I82" i="12"/>
  <c r="I83" i="12"/>
  <c r="I84" i="12"/>
  <c r="I85" i="12"/>
  <c r="H63" i="12"/>
  <c r="H64" i="12"/>
  <c r="J63" i="12"/>
  <c r="J64" i="12"/>
  <c r="I63" i="12"/>
  <c r="I64" i="12"/>
  <c r="H58" i="12"/>
  <c r="H59" i="12"/>
  <c r="J58" i="12"/>
  <c r="J59" i="12"/>
  <c r="I58" i="12"/>
  <c r="I59" i="12"/>
  <c r="H28" i="12"/>
  <c r="H29" i="12"/>
  <c r="H30" i="12"/>
  <c r="H31" i="12"/>
  <c r="H32" i="12"/>
  <c r="H33" i="12"/>
  <c r="H34" i="12"/>
  <c r="H35" i="12"/>
  <c r="H36" i="12"/>
  <c r="H37" i="12"/>
  <c r="H38" i="12"/>
  <c r="H39" i="12"/>
  <c r="H40" i="12"/>
  <c r="H41" i="12"/>
  <c r="H43" i="12"/>
  <c r="H44" i="12"/>
  <c r="H45" i="12"/>
  <c r="H46" i="12"/>
  <c r="H47" i="12"/>
  <c r="H48" i="12"/>
  <c r="H49" i="12"/>
  <c r="H50" i="12"/>
  <c r="H51" i="12"/>
  <c r="H52"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I28" i="12"/>
  <c r="I29" i="12"/>
  <c r="I30" i="12"/>
  <c r="I31" i="12"/>
  <c r="I32" i="12"/>
  <c r="I33" i="12"/>
  <c r="I34" i="12"/>
  <c r="I35" i="12"/>
  <c r="I36" i="12"/>
  <c r="I37" i="12"/>
  <c r="I38" i="12"/>
  <c r="I39" i="12"/>
  <c r="I40" i="12"/>
  <c r="I41" i="12"/>
  <c r="I43" i="12"/>
  <c r="I44" i="12"/>
  <c r="I45" i="12"/>
  <c r="I46" i="12"/>
  <c r="I47" i="12"/>
  <c r="I48" i="12"/>
  <c r="I49" i="12"/>
  <c r="I50" i="12"/>
  <c r="I51" i="12"/>
  <c r="I52" i="12"/>
  <c r="H18" i="12"/>
  <c r="H19" i="12"/>
  <c r="H20" i="12"/>
  <c r="H21" i="12"/>
  <c r="J18" i="12"/>
  <c r="J19" i="12"/>
  <c r="J20" i="12"/>
  <c r="J21" i="12"/>
  <c r="I18" i="12"/>
  <c r="I19" i="12"/>
  <c r="I20" i="12"/>
  <c r="I21" i="12"/>
  <c r="H12" i="12"/>
  <c r="H13" i="12"/>
  <c r="H14" i="12"/>
  <c r="J12" i="12"/>
  <c r="J13" i="12"/>
  <c r="J14" i="12"/>
  <c r="I12" i="12"/>
  <c r="I13" i="12"/>
  <c r="I14" i="12"/>
  <c r="T21" i="7"/>
  <c r="N21" i="7"/>
  <c r="H21" i="7"/>
  <c r="B21" i="7"/>
  <c r="B14" i="7"/>
  <c r="B9" i="7"/>
  <c r="D69" i="8"/>
  <c r="D65" i="8"/>
  <c r="D64" i="8"/>
  <c r="D63" i="8"/>
  <c r="D58" i="8"/>
  <c r="D57" i="8"/>
  <c r="D56" i="8"/>
  <c r="D28" i="8"/>
  <c r="D27" i="8"/>
  <c r="D26" i="8"/>
  <c r="D25" i="8"/>
  <c r="A1" i="13"/>
  <c r="A2" i="13" a="1"/>
  <c r="A2" i="13" s="1"/>
  <c r="M4" i="13"/>
  <c r="M5" i="13"/>
  <c r="A1" i="12"/>
  <c r="A2" i="12" a="1"/>
  <c r="A2" i="12" s="1"/>
  <c r="P4" i="12"/>
  <c r="V4" i="12"/>
  <c r="AO4" i="12"/>
  <c r="V5" i="12"/>
  <c r="AO5" i="12"/>
  <c r="AO63" i="12" s="1"/>
  <c r="P99" i="12"/>
  <c r="Q99" i="12"/>
  <c r="R99" i="12"/>
  <c r="S99" i="12"/>
  <c r="V99" i="12"/>
  <c r="W99" i="12"/>
  <c r="X99" i="12"/>
  <c r="Y99" i="12"/>
  <c r="Z99" i="12"/>
  <c r="AA99" i="12"/>
  <c r="AB99" i="12"/>
  <c r="AC99" i="12"/>
  <c r="AD99" i="12"/>
  <c r="AE99" i="12"/>
  <c r="AF99" i="12"/>
  <c r="AG99" i="12"/>
  <c r="AH99" i="12"/>
  <c r="AI99" i="12"/>
  <c r="AJ99" i="12"/>
  <c r="AK99" i="12"/>
  <c r="A1" i="11"/>
  <c r="A2" i="11" a="1"/>
  <c r="A2" i="11" s="1"/>
  <c r="E4" i="11"/>
  <c r="K4" i="11"/>
  <c r="AC4" i="11"/>
  <c r="K5" i="11"/>
  <c r="AC5" i="11" a="1"/>
  <c r="AC5" i="11" s="1"/>
  <c r="A1" i="10"/>
  <c r="A2" i="10" a="1"/>
  <c r="A2" i="10" s="1"/>
  <c r="F4" i="10"/>
  <c r="L4" i="10"/>
  <c r="AD4" i="10"/>
  <c r="L5" i="10"/>
  <c r="AD5" i="10" a="1"/>
  <c r="AD5" i="10" s="1"/>
  <c r="A1" i="9"/>
  <c r="A2" i="9" a="1"/>
  <c r="A2" i="9" s="1"/>
  <c r="F4" i="9"/>
  <c r="L4" i="9"/>
  <c r="AD4" i="9"/>
  <c r="L5" i="9"/>
  <c r="AD5" i="9" a="1"/>
  <c r="AD5" i="9" s="1"/>
  <c r="A1" i="8"/>
  <c r="A2" i="8" a="1"/>
  <c r="A2" i="8" s="1"/>
  <c r="N7" i="8"/>
  <c r="T7" i="8"/>
  <c r="AL7" i="8"/>
  <c r="T8" i="8"/>
  <c r="AL8" i="8" a="1"/>
  <c r="AL8" i="8" s="1"/>
  <c r="D14" i="8"/>
  <c r="D18" i="8"/>
  <c r="D24" i="8"/>
  <c r="D34" i="8"/>
  <c r="D37" i="8"/>
  <c r="N48" i="8"/>
  <c r="T48" i="8"/>
  <c r="AL48" i="8"/>
  <c r="T49" i="8"/>
  <c r="AL49" i="8" a="1"/>
  <c r="AL49" i="8" s="1"/>
  <c r="D55" i="8"/>
  <c r="D62" i="8"/>
  <c r="D68" i="8"/>
  <c r="N74" i="8"/>
  <c r="T74" i="8"/>
  <c r="AL74" i="8"/>
  <c r="T75" i="8"/>
  <c r="AL75" i="8" a="1"/>
  <c r="AL75" i="8" s="1"/>
  <c r="C3" i="7"/>
  <c r="AC17" i="7"/>
  <c r="AC18" i="7"/>
  <c r="AC19" i="7"/>
  <c r="AC20" i="7"/>
  <c r="B32" i="7"/>
  <c r="H32" i="7"/>
  <c r="N32" i="7"/>
  <c r="T32" i="7"/>
  <c r="D3" i="6"/>
  <c r="D3" i="5"/>
  <c r="D12" i="5"/>
  <c r="A1" i="3"/>
  <c r="A2" i="3"/>
  <c r="A3" i="3" a="1"/>
  <c r="A3" i="3" s="1"/>
  <c r="B6" i="3" a="1"/>
  <c r="B6" i="3" s="1"/>
  <c r="C6" i="3" a="1"/>
  <c r="C6" i="3" s="1"/>
  <c r="T15" i="8" l="1" a="1"/>
  <c r="T15" i="8" s="1"/>
  <c r="AL15" i="8" a="1"/>
  <c r="AL15" i="8" s="1"/>
  <c r="BG14" i="13" a="1"/>
  <c r="BG14" i="13" s="1"/>
  <c r="AQ14" i="13" a="1"/>
  <c r="AQ14" i="13" s="1"/>
  <c r="AA14" i="13" a="1"/>
  <c r="AA14" i="13" s="1"/>
  <c r="AS14" i="13" a="1"/>
  <c r="AS14" i="13" s="1"/>
  <c r="AC14" i="13" a="1"/>
  <c r="AC14" i="13" s="1"/>
  <c r="M14" i="13" a="1"/>
  <c r="M14" i="13" s="1"/>
  <c r="BH14" i="13" a="1"/>
  <c r="BH14" i="13" s="1"/>
  <c r="AR14" i="13" a="1"/>
  <c r="AR14" i="13" s="1"/>
  <c r="AB14" i="13" a="1"/>
  <c r="AB14" i="13" s="1"/>
  <c r="L14" i="13" a="1"/>
  <c r="L14" i="13" s="1"/>
  <c r="AW14" i="13" a="1"/>
  <c r="AW14" i="13" s="1"/>
  <c r="AD14" i="13" a="1"/>
  <c r="AD14" i="13" s="1"/>
  <c r="AV14" i="13" a="1"/>
  <c r="AV14" i="13" s="1"/>
  <c r="Z14" i="13" a="1"/>
  <c r="Z14" i="13" s="1"/>
  <c r="AU14" i="13" a="1"/>
  <c r="AU14" i="13" s="1"/>
  <c r="Y14" i="13" a="1"/>
  <c r="Y14" i="13" s="1"/>
  <c r="AT14" i="13" a="1"/>
  <c r="AT14" i="13" s="1"/>
  <c r="X14" i="13" a="1"/>
  <c r="X14" i="13" s="1"/>
  <c r="AP14" i="13" a="1"/>
  <c r="AP14" i="13" s="1"/>
  <c r="W14" i="13" a="1"/>
  <c r="W14" i="13" s="1"/>
  <c r="AO14" i="13" a="1"/>
  <c r="AO14" i="13" s="1"/>
  <c r="V14" i="13" a="1"/>
  <c r="V14" i="13" s="1"/>
  <c r="AN14" i="13" a="1"/>
  <c r="AN14" i="13" s="1"/>
  <c r="U14" i="13" a="1"/>
  <c r="U14" i="13" s="1"/>
  <c r="BF14" i="13" a="1"/>
  <c r="BF14" i="13" s="1"/>
  <c r="AM14" i="13" a="1"/>
  <c r="AM14" i="13" s="1"/>
  <c r="T14" i="13" a="1"/>
  <c r="T14" i="13" s="1"/>
  <c r="BE14" i="13" a="1"/>
  <c r="BE14" i="13" s="1"/>
  <c r="AL14" i="13" a="1"/>
  <c r="AL14" i="13" s="1"/>
  <c r="S14" i="13" a="1"/>
  <c r="S14" i="13" s="1"/>
  <c r="BD14" i="13" a="1"/>
  <c r="BD14" i="13" s="1"/>
  <c r="AK14" i="13" a="1"/>
  <c r="AK14" i="13" s="1"/>
  <c r="R14" i="13" a="1"/>
  <c r="R14" i="13" s="1"/>
  <c r="BC14" i="13" a="1"/>
  <c r="BC14" i="13" s="1"/>
  <c r="AJ14" i="13" a="1"/>
  <c r="AJ14" i="13" s="1"/>
  <c r="Q14" i="13" a="1"/>
  <c r="Q14" i="13" s="1"/>
  <c r="BB14" i="13" a="1"/>
  <c r="BB14" i="13" s="1"/>
  <c r="AI14" i="13" a="1"/>
  <c r="AI14" i="13" s="1"/>
  <c r="P14" i="13" a="1"/>
  <c r="P14" i="13" s="1"/>
  <c r="BA14" i="13" a="1"/>
  <c r="BA14" i="13" s="1"/>
  <c r="AH14" i="13" a="1"/>
  <c r="AH14" i="13" s="1"/>
  <c r="O14" i="13" a="1"/>
  <c r="O14" i="13" s="1"/>
  <c r="AY14" i="13" a="1"/>
  <c r="AY14" i="13" s="1"/>
  <c r="AF14" i="13" a="1"/>
  <c r="AF14" i="13" s="1"/>
  <c r="AX14" i="13" a="1"/>
  <c r="AX14" i="13" s="1"/>
  <c r="AE14" i="13" a="1"/>
  <c r="AE14" i="13" s="1"/>
  <c r="AZ14" i="13" a="1"/>
  <c r="AZ14" i="13" s="1"/>
  <c r="AG14" i="13" a="1"/>
  <c r="AG14" i="13" s="1"/>
  <c r="N14" i="13" a="1"/>
  <c r="N14" i="13" s="1"/>
  <c r="AZ25" i="13" a="1"/>
  <c r="AZ25" i="13" s="1"/>
  <c r="AJ25" i="13" a="1"/>
  <c r="AJ25" i="13" s="1"/>
  <c r="T25" i="13" a="1"/>
  <c r="T25" i="13" s="1"/>
  <c r="AY25" i="13" a="1"/>
  <c r="AY25" i="13" s="1"/>
  <c r="AI25" i="13" a="1"/>
  <c r="AI25" i="13" s="1"/>
  <c r="S25" i="13" a="1"/>
  <c r="S25" i="13" s="1"/>
  <c r="AX25" i="13" a="1"/>
  <c r="AX25" i="13" s="1"/>
  <c r="AH25" i="13" a="1"/>
  <c r="AH25" i="13" s="1"/>
  <c r="R25" i="13" a="1"/>
  <c r="R25" i="13" s="1"/>
  <c r="AW25" i="13" a="1"/>
  <c r="AW25" i="13" s="1"/>
  <c r="AG25" i="13" a="1"/>
  <c r="AG25" i="13" s="1"/>
  <c r="Q25" i="13" a="1"/>
  <c r="Q25" i="13" s="1"/>
  <c r="AV25" i="13" a="1"/>
  <c r="AV25" i="13" s="1"/>
  <c r="AF25" i="13" a="1"/>
  <c r="AF25" i="13" s="1"/>
  <c r="P25" i="13" a="1"/>
  <c r="P25" i="13" s="1"/>
  <c r="AU25" i="13" a="1"/>
  <c r="AU25" i="13" s="1"/>
  <c r="AE25" i="13" a="1"/>
  <c r="AE25" i="13" s="1"/>
  <c r="O25" i="13" a="1"/>
  <c r="O25" i="13" s="1"/>
  <c r="AT25" i="13" a="1"/>
  <c r="AT25" i="13" s="1"/>
  <c r="AD25" i="13" a="1"/>
  <c r="AD25" i="13" s="1"/>
  <c r="N25" i="13" a="1"/>
  <c r="N25" i="13" s="1"/>
  <c r="AS25" i="13" a="1"/>
  <c r="AS25" i="13" s="1"/>
  <c r="AC25" i="13" a="1"/>
  <c r="AC25" i="13" s="1"/>
  <c r="M25" i="13" a="1"/>
  <c r="M25" i="13" s="1"/>
  <c r="BH25" i="13" a="1"/>
  <c r="BH25" i="13" s="1"/>
  <c r="AR25" i="13" a="1"/>
  <c r="AR25" i="13" s="1"/>
  <c r="AB25" i="13" a="1"/>
  <c r="AB25" i="13" s="1"/>
  <c r="L25" i="13" a="1"/>
  <c r="L25" i="13" s="1"/>
  <c r="BG25" i="13" a="1"/>
  <c r="BG25" i="13" s="1"/>
  <c r="AQ25" i="13" a="1"/>
  <c r="AQ25" i="13" s="1"/>
  <c r="AA25" i="13" a="1"/>
  <c r="AA25" i="13" s="1"/>
  <c r="BF25" i="13" a="1"/>
  <c r="BF25" i="13" s="1"/>
  <c r="AP25" i="13" a="1"/>
  <c r="AP25" i="13" s="1"/>
  <c r="Z25" i="13" a="1"/>
  <c r="Z25" i="13" s="1"/>
  <c r="BE25" i="13" a="1"/>
  <c r="BE25" i="13" s="1"/>
  <c r="AO25" i="13" a="1"/>
  <c r="AO25" i="13" s="1"/>
  <c r="Y25" i="13" a="1"/>
  <c r="Y25" i="13" s="1"/>
  <c r="BD25" i="13" a="1"/>
  <c r="BD25" i="13" s="1"/>
  <c r="AN25" i="13" a="1"/>
  <c r="AN25" i="13" s="1"/>
  <c r="X25" i="13" a="1"/>
  <c r="X25" i="13" s="1"/>
  <c r="BC25" i="13" a="1"/>
  <c r="BC25" i="13" s="1"/>
  <c r="AM25" i="13" a="1"/>
  <c r="AM25" i="13" s="1"/>
  <c r="W25" i="13" a="1"/>
  <c r="W25" i="13" s="1"/>
  <c r="BB25" i="13" a="1"/>
  <c r="BB25" i="13" s="1"/>
  <c r="AL25" i="13" a="1"/>
  <c r="AL25" i="13" s="1"/>
  <c r="V25" i="13" a="1"/>
  <c r="V25" i="13" s="1"/>
  <c r="BA25" i="13" a="1"/>
  <c r="BA25" i="13" s="1"/>
  <c r="AK25" i="13" a="1"/>
  <c r="AK25" i="13" s="1"/>
  <c r="U25" i="13" a="1"/>
  <c r="U25" i="13" s="1"/>
  <c r="AG105" i="17"/>
  <c r="AG107" i="17" s="1"/>
  <c r="AG109" i="17" s="1"/>
  <c r="AG103" i="17" s="1"/>
  <c r="AP97" i="20"/>
  <c r="M140" i="13" s="1"/>
  <c r="AO42" i="12"/>
  <c r="M60" i="13" s="1"/>
  <c r="AO83" i="12"/>
  <c r="M88" i="13" s="1"/>
  <c r="AO45" i="12"/>
  <c r="M63" i="13" s="1"/>
  <c r="AO44" i="12"/>
  <c r="M62" i="13" s="1"/>
  <c r="AO43" i="12"/>
  <c r="M61" i="13" s="1"/>
  <c r="M6" i="22"/>
  <c r="G5" i="22" s="1"/>
  <c r="M7" i="22"/>
  <c r="M6" i="13"/>
  <c r="M7" i="13"/>
  <c r="M8" i="13"/>
  <c r="AE6" i="22"/>
  <c r="AE8" i="22"/>
  <c r="AE7" i="22"/>
  <c r="AF5" i="22"/>
  <c r="AL10" i="8"/>
  <c r="AL11" i="8"/>
  <c r="N4" i="22"/>
  <c r="D36" i="22"/>
  <c r="D87" i="22"/>
  <c r="AF7" i="17"/>
  <c r="AF6" i="17"/>
  <c r="AG5" i="17"/>
  <c r="AG4" i="17" s="1"/>
  <c r="AP5" i="12"/>
  <c r="AO6" i="12"/>
  <c r="AQ54" i="20"/>
  <c r="AQ53" i="20"/>
  <c r="AR53" i="20" s="1"/>
  <c r="AQ57" i="20"/>
  <c r="AQ97" i="20" s="1"/>
  <c r="N140" i="13" s="1"/>
  <c r="AQ56" i="20"/>
  <c r="AQ55" i="20"/>
  <c r="X6" i="20"/>
  <c r="R5" i="20" s="1"/>
  <c r="R7" i="20" s="1"/>
  <c r="X7" i="20"/>
  <c r="AP6" i="20"/>
  <c r="AP8" i="20"/>
  <c r="AP112" i="20" s="1"/>
  <c r="AP7" i="20"/>
  <c r="AQ5" i="20"/>
  <c r="N6" i="17"/>
  <c r="H5" i="17" s="1"/>
  <c r="N7" i="17"/>
  <c r="AM8" i="8"/>
  <c r="AM7" i="8" s="1"/>
  <c r="AM15" i="8" s="1" a="1"/>
  <c r="AM15" i="8" s="1"/>
  <c r="AL9" i="8"/>
  <c r="Y4" i="20"/>
  <c r="AP52" i="20"/>
  <c r="N6" i="16"/>
  <c r="H5" i="16" s="1"/>
  <c r="I5" i="16" s="1"/>
  <c r="N7" i="16"/>
  <c r="AF101" i="14"/>
  <c r="AF34" i="14" s="1"/>
  <c r="AF102" i="14"/>
  <c r="AF32" i="14" s="1"/>
  <c r="AF103" i="14"/>
  <c r="AF33" i="14" s="1"/>
  <c r="AF8" i="16"/>
  <c r="AF11" i="16" s="1"/>
  <c r="AF10" i="16" s="1"/>
  <c r="AF7" i="16"/>
  <c r="AF6" i="16"/>
  <c r="AG5" i="16"/>
  <c r="AF8" i="17"/>
  <c r="N6" i="15"/>
  <c r="H5" i="15" s="1"/>
  <c r="I4" i="15" s="1"/>
  <c r="N7" i="15"/>
  <c r="AF7" i="15"/>
  <c r="AF6" i="15"/>
  <c r="AG5" i="15"/>
  <c r="AG4" i="15" s="1"/>
  <c r="N7" i="14"/>
  <c r="N6" i="14"/>
  <c r="O4" i="17"/>
  <c r="O5" i="17" s="1"/>
  <c r="D46" i="17"/>
  <c r="D137" i="17"/>
  <c r="AF8" i="15"/>
  <c r="AG5" i="14"/>
  <c r="AG7" i="14" s="1"/>
  <c r="AF6" i="14"/>
  <c r="O4" i="16"/>
  <c r="D45" i="16"/>
  <c r="D79" i="16"/>
  <c r="D34" i="15"/>
  <c r="AF8" i="14"/>
  <c r="AF7" i="14"/>
  <c r="O4" i="15"/>
  <c r="D79" i="15"/>
  <c r="O4" i="14"/>
  <c r="D51" i="14"/>
  <c r="H99" i="14"/>
  <c r="N99" i="14"/>
  <c r="H107" i="14"/>
  <c r="N107" i="14"/>
  <c r="K6" i="11"/>
  <c r="E5" i="11" s="1"/>
  <c r="L6" i="9"/>
  <c r="F5" i="9" s="1"/>
  <c r="U157" i="13"/>
  <c r="W157" i="13"/>
  <c r="X157" i="13"/>
  <c r="Y157" i="13"/>
  <c r="Z157" i="13"/>
  <c r="AA157" i="13"/>
  <c r="AB157" i="13"/>
  <c r="AC157" i="13"/>
  <c r="AD157" i="13"/>
  <c r="AE157" i="13"/>
  <c r="AF157" i="13"/>
  <c r="AG157" i="13"/>
  <c r="AH157" i="13"/>
  <c r="AI157" i="13"/>
  <c r="AJ157" i="13"/>
  <c r="AK157" i="13"/>
  <c r="AL157" i="13"/>
  <c r="AM157" i="13"/>
  <c r="AN157" i="13"/>
  <c r="AO157" i="13"/>
  <c r="AP157" i="13"/>
  <c r="AQ157" i="13"/>
  <c r="AR157" i="13"/>
  <c r="AS157" i="13"/>
  <c r="AT157" i="13"/>
  <c r="AU157" i="13"/>
  <c r="AV157" i="13"/>
  <c r="AX157" i="13"/>
  <c r="AY157" i="13"/>
  <c r="AZ157" i="13"/>
  <c r="BA157" i="13"/>
  <c r="BB157" i="13"/>
  <c r="BC157" i="13"/>
  <c r="BE157" i="13"/>
  <c r="BF157" i="13"/>
  <c r="BG157" i="13"/>
  <c r="BH157" i="13"/>
  <c r="M158" i="13"/>
  <c r="N158" i="13"/>
  <c r="O158" i="13"/>
  <c r="V157" i="13"/>
  <c r="AW157" i="13"/>
  <c r="BD157" i="13"/>
  <c r="L158" i="13"/>
  <c r="AV158" i="13"/>
  <c r="AD6" i="9"/>
  <c r="AE5" i="9"/>
  <c r="AC6" i="11"/>
  <c r="AD5" i="11"/>
  <c r="P157" i="13"/>
  <c r="Q157" i="13"/>
  <c r="R157" i="13"/>
  <c r="S157" i="13"/>
  <c r="T157" i="13"/>
  <c r="AU158" i="13"/>
  <c r="P158" i="13"/>
  <c r="Q158" i="13"/>
  <c r="R158" i="13"/>
  <c r="S158" i="13"/>
  <c r="T158" i="13"/>
  <c r="U158" i="13"/>
  <c r="V158" i="13"/>
  <c r="W158" i="13"/>
  <c r="X158" i="13"/>
  <c r="Y158" i="13"/>
  <c r="Z158" i="13"/>
  <c r="AA158" i="13"/>
  <c r="AB158" i="13"/>
  <c r="AC158" i="13"/>
  <c r="AD158" i="13"/>
  <c r="AE158" i="13"/>
  <c r="AF158" i="13"/>
  <c r="AG158" i="13"/>
  <c r="AH158" i="13"/>
  <c r="AI158" i="13"/>
  <c r="AJ158" i="13"/>
  <c r="AK158" i="13"/>
  <c r="AL158" i="13"/>
  <c r="AM158" i="13"/>
  <c r="AN158" i="13"/>
  <c r="AO158" i="13"/>
  <c r="AP158" i="13"/>
  <c r="AQ158" i="13"/>
  <c r="AR158" i="13"/>
  <c r="AS158" i="13"/>
  <c r="AT158" i="13"/>
  <c r="AO106" i="12"/>
  <c r="M105" i="13" s="1"/>
  <c r="AO105" i="12"/>
  <c r="M104" i="13" s="1"/>
  <c r="AO104" i="12"/>
  <c r="M103" i="13" s="1"/>
  <c r="AO103" i="12"/>
  <c r="M102" i="13" s="1"/>
  <c r="AO102" i="12"/>
  <c r="M101" i="13" s="1"/>
  <c r="AO101" i="12"/>
  <c r="M100" i="13" s="1"/>
  <c r="AO97" i="12"/>
  <c r="M99" i="13" s="1"/>
  <c r="AO92" i="12"/>
  <c r="M94" i="13" s="1"/>
  <c r="AO91" i="12"/>
  <c r="M93" i="13" s="1"/>
  <c r="AO90" i="12"/>
  <c r="M92" i="13" s="1"/>
  <c r="AO93" i="12"/>
  <c r="M95" i="13" s="1"/>
  <c r="AO89" i="12"/>
  <c r="AO95" i="12"/>
  <c r="M97" i="13" s="1"/>
  <c r="AO96" i="12"/>
  <c r="M98" i="13" s="1"/>
  <c r="AO94" i="12"/>
  <c r="M96" i="13" s="1"/>
  <c r="AO79" i="12"/>
  <c r="M84" i="13" s="1"/>
  <c r="AO77" i="12"/>
  <c r="M82" i="13" s="1"/>
  <c r="AO81" i="12"/>
  <c r="M86" i="13" s="1"/>
  <c r="AO80" i="12"/>
  <c r="M85" i="13" s="1"/>
  <c r="AO78" i="12"/>
  <c r="M83" i="13" s="1"/>
  <c r="AO76" i="12"/>
  <c r="M81" i="13" s="1"/>
  <c r="AO75" i="12"/>
  <c r="M24" i="13" s="1" a="1"/>
  <c r="M24" i="13" s="1"/>
  <c r="AO73" i="12"/>
  <c r="M77" i="13" s="1"/>
  <c r="AO85" i="12"/>
  <c r="M90" i="13" s="1"/>
  <c r="AO84" i="12"/>
  <c r="M89" i="13" s="1"/>
  <c r="AO82" i="12"/>
  <c r="M87" i="13" s="1"/>
  <c r="AO64" i="12"/>
  <c r="M74" i="13" s="1"/>
  <c r="AO58" i="12"/>
  <c r="M71" i="13" s="1"/>
  <c r="AO59" i="12"/>
  <c r="M72" i="13" s="1"/>
  <c r="L157" i="13"/>
  <c r="AO41" i="12"/>
  <c r="M59" i="13" s="1"/>
  <c r="AO36" i="12"/>
  <c r="M54" i="13" s="1"/>
  <c r="AO52" i="12"/>
  <c r="M70" i="13" s="1"/>
  <c r="AO40" i="12"/>
  <c r="M58" i="13" s="1"/>
  <c r="AO51" i="12"/>
  <c r="M69" i="13" s="1"/>
  <c r="AO33" i="12"/>
  <c r="M51" i="13" s="1"/>
  <c r="AO29" i="12"/>
  <c r="M47" i="13" s="1"/>
  <c r="AO50" i="12"/>
  <c r="M68" i="13" s="1"/>
  <c r="AO31" i="12"/>
  <c r="M49" i="13" s="1"/>
  <c r="AO30" i="12"/>
  <c r="M48" i="13" s="1"/>
  <c r="AO32" i="12"/>
  <c r="M50" i="13" s="1"/>
  <c r="AO28" i="12"/>
  <c r="AO49" i="12"/>
  <c r="M67" i="13" s="1"/>
  <c r="AO39" i="12"/>
  <c r="M57" i="13" s="1"/>
  <c r="AO48" i="12"/>
  <c r="M66" i="13" s="1"/>
  <c r="AO34" i="12"/>
  <c r="M52" i="13" s="1"/>
  <c r="AO38" i="12"/>
  <c r="M56" i="13" s="1"/>
  <c r="AO47" i="12"/>
  <c r="M65" i="13" s="1"/>
  <c r="AO35" i="12"/>
  <c r="M53" i="13" s="1"/>
  <c r="AO37" i="12"/>
  <c r="M55" i="13" s="1"/>
  <c r="AO46" i="12"/>
  <c r="M64" i="13" s="1"/>
  <c r="M157" i="13"/>
  <c r="N157" i="13"/>
  <c r="O157" i="13"/>
  <c r="BE158" i="13"/>
  <c r="BD158" i="13"/>
  <c r="BC158" i="13"/>
  <c r="BB158" i="13"/>
  <c r="BG158" i="13"/>
  <c r="BA158" i="13"/>
  <c r="AZ158" i="13"/>
  <c r="AY158" i="13"/>
  <c r="AX158" i="13"/>
  <c r="AW158" i="13"/>
  <c r="BF158" i="13"/>
  <c r="BH158" i="13"/>
  <c r="AO18" i="12"/>
  <c r="M42" i="13" s="1"/>
  <c r="AO21" i="12"/>
  <c r="M45" i="13" s="1"/>
  <c r="AO19" i="12"/>
  <c r="M43" i="13" s="1"/>
  <c r="AO20" i="12"/>
  <c r="M44" i="13" s="1"/>
  <c r="AF90" i="30" s="1"/>
  <c r="AO14" i="12"/>
  <c r="M41" i="13" s="1"/>
  <c r="AO13" i="12"/>
  <c r="M40" i="13" s="1"/>
  <c r="AO12" i="12"/>
  <c r="M38" i="13" s="1"/>
  <c r="AO7" i="12"/>
  <c r="V7" i="12"/>
  <c r="V6" i="12"/>
  <c r="L5" i="13"/>
  <c r="N5" i="13"/>
  <c r="L6" i="10"/>
  <c r="F5" i="10" s="1"/>
  <c r="W4" i="12"/>
  <c r="AN5" i="12"/>
  <c r="AO8" i="12"/>
  <c r="L4" i="11"/>
  <c r="K7" i="11"/>
  <c r="AC8" i="11"/>
  <c r="AC7" i="11"/>
  <c r="M4" i="10"/>
  <c r="M5" i="10" s="1"/>
  <c r="L7" i="10"/>
  <c r="AD8" i="10"/>
  <c r="AD7" i="10"/>
  <c r="AD6" i="10"/>
  <c r="AE5" i="10"/>
  <c r="T9" i="8"/>
  <c r="N8" i="8" s="1"/>
  <c r="T10" i="8"/>
  <c r="AL50" i="8"/>
  <c r="AM49" i="8"/>
  <c r="AM52" i="8" s="1"/>
  <c r="M4" i="9"/>
  <c r="L7" i="9"/>
  <c r="AD8" i="9"/>
  <c r="AD7" i="9"/>
  <c r="U48" i="8"/>
  <c r="T50" i="8"/>
  <c r="N49" i="8" s="1"/>
  <c r="O48" i="8" s="1"/>
  <c r="T51" i="8"/>
  <c r="AL51" i="8"/>
  <c r="AL52" i="8"/>
  <c r="U7" i="8"/>
  <c r="U74" i="8"/>
  <c r="T77" i="8"/>
  <c r="T76" i="8"/>
  <c r="N75" i="8" s="1"/>
  <c r="AL78" i="8"/>
  <c r="AL77" i="8"/>
  <c r="AL76" i="8"/>
  <c r="AM75" i="8"/>
  <c r="T99" i="8" l="1"/>
  <c r="U96" i="8"/>
  <c r="V95" i="8" s="1"/>
  <c r="N15" i="8" a="1"/>
  <c r="N15" i="8" s="1"/>
  <c r="AM9" i="8"/>
  <c r="AP101" i="12"/>
  <c r="N100" i="13" s="1"/>
  <c r="AP63" i="12"/>
  <c r="AN63" i="12"/>
  <c r="AM10" i="8"/>
  <c r="AM11" i="8"/>
  <c r="M21" i="13" a="1"/>
  <c r="M21" i="13" s="1"/>
  <c r="M30" i="13" a="1"/>
  <c r="M30" i="13" s="1"/>
  <c r="M27" i="13" a="1"/>
  <c r="M27" i="13" s="1"/>
  <c r="M91" i="13"/>
  <c r="M13" i="13" a="1"/>
  <c r="M13" i="13" s="1"/>
  <c r="M17" i="13" a="1"/>
  <c r="M17" i="13" s="1"/>
  <c r="M18" i="13" a="1"/>
  <c r="M18" i="13" s="1"/>
  <c r="M19" i="13" a="1"/>
  <c r="M19" i="13" s="1"/>
  <c r="AF99" i="17"/>
  <c r="AF101" i="17" s="1"/>
  <c r="AF96" i="17" s="1"/>
  <c r="M46" i="13"/>
  <c r="M33" i="13" a="1"/>
  <c r="M33" i="13" s="1"/>
  <c r="M12" i="13" a="1"/>
  <c r="M12" i="13" s="1"/>
  <c r="M31" i="13" a="1"/>
  <c r="M31" i="13" s="1"/>
  <c r="M15" i="13" a="1"/>
  <c r="M15" i="13" s="1"/>
  <c r="M28" i="13" a="1"/>
  <c r="M28" i="13" s="1"/>
  <c r="M34" i="13" a="1"/>
  <c r="M34" i="13" s="1"/>
  <c r="M80" i="13"/>
  <c r="M32" i="13" a="1"/>
  <c r="M32" i="13" s="1"/>
  <c r="M29" i="13" a="1"/>
  <c r="M29" i="13" s="1"/>
  <c r="M16" i="13" a="1"/>
  <c r="M16" i="13" s="1"/>
  <c r="AH105" i="17"/>
  <c r="AN8" i="8"/>
  <c r="AP96" i="12"/>
  <c r="AP78" i="12"/>
  <c r="N83" i="13" s="1"/>
  <c r="AP31" i="12"/>
  <c r="N49" i="13" s="1"/>
  <c r="AP49" i="12"/>
  <c r="N67" i="13" s="1"/>
  <c r="AP59" i="12"/>
  <c r="N72" i="13" s="1"/>
  <c r="AP20" i="12"/>
  <c r="N44" i="13" s="1"/>
  <c r="AG90" i="30" s="1"/>
  <c r="AP39" i="12"/>
  <c r="N57" i="13" s="1"/>
  <c r="AP19" i="12"/>
  <c r="N43" i="13" s="1"/>
  <c r="AP18" i="12"/>
  <c r="AP34" i="12"/>
  <c r="N52" i="13" s="1"/>
  <c r="AP47" i="12"/>
  <c r="N65" i="13" s="1"/>
  <c r="AP64" i="12"/>
  <c r="N74" i="13" s="1"/>
  <c r="AP85" i="12"/>
  <c r="N90" i="13" s="1"/>
  <c r="AP48" i="12"/>
  <c r="AP35" i="12"/>
  <c r="N53" i="13" s="1"/>
  <c r="AP73" i="12"/>
  <c r="N77" i="13" s="1"/>
  <c r="AP36" i="12"/>
  <c r="AP30" i="12"/>
  <c r="N48" i="13" s="1"/>
  <c r="AQ5" i="12"/>
  <c r="AP40" i="12"/>
  <c r="N58" i="13" s="1"/>
  <c r="AP46" i="12"/>
  <c r="N64" i="13" s="1"/>
  <c r="AP84" i="12"/>
  <c r="N89" i="13" s="1"/>
  <c r="AP106" i="12"/>
  <c r="N105" i="13" s="1"/>
  <c r="AP29" i="12"/>
  <c r="AP28" i="12"/>
  <c r="AP52" i="12"/>
  <c r="N70" i="13" s="1"/>
  <c r="AP83" i="12"/>
  <c r="N88" i="13" s="1"/>
  <c r="AP4" i="12"/>
  <c r="AP51" i="12"/>
  <c r="N69" i="13" s="1"/>
  <c r="AP41" i="12"/>
  <c r="N59" i="13" s="1"/>
  <c r="AP75" i="12"/>
  <c r="AP94" i="12"/>
  <c r="N96" i="13" s="1"/>
  <c r="AP7" i="12"/>
  <c r="AP6" i="12"/>
  <c r="AP8" i="12"/>
  <c r="AP12" i="12"/>
  <c r="AP33" i="12"/>
  <c r="N51" i="13" s="1"/>
  <c r="AP76" i="12"/>
  <c r="AP97" i="12"/>
  <c r="N99" i="13" s="1"/>
  <c r="AP37" i="12"/>
  <c r="N55" i="13" s="1"/>
  <c r="AP13" i="12"/>
  <c r="N40" i="13" s="1"/>
  <c r="AP50" i="12"/>
  <c r="N68" i="13" s="1"/>
  <c r="AP77" i="12"/>
  <c r="N82" i="13" s="1"/>
  <c r="AP92" i="12"/>
  <c r="AP14" i="12"/>
  <c r="N41" i="13" s="1"/>
  <c r="AP32" i="12"/>
  <c r="N50" i="13" s="1"/>
  <c r="AP79" i="12"/>
  <c r="N84" i="13" s="1"/>
  <c r="AP91" i="12"/>
  <c r="N93" i="13" s="1"/>
  <c r="H6" i="16"/>
  <c r="H8" i="16" s="1"/>
  <c r="AH5" i="17"/>
  <c r="AM51" i="8"/>
  <c r="AG8" i="17"/>
  <c r="AF137" i="17" s="1"/>
  <c r="AP102" i="12"/>
  <c r="N101" i="13" s="1"/>
  <c r="AP104" i="12"/>
  <c r="O49" i="8"/>
  <c r="P48" i="8" s="1"/>
  <c r="AP12" i="20"/>
  <c r="N9" i="8"/>
  <c r="N11" i="8" s="1"/>
  <c r="AP21" i="12"/>
  <c r="N45" i="13" s="1"/>
  <c r="AP38" i="12"/>
  <c r="N56" i="13" s="1"/>
  <c r="AP58" i="12"/>
  <c r="AP81" i="12"/>
  <c r="N86" i="13" s="1"/>
  <c r="AP89" i="12"/>
  <c r="AP103" i="12"/>
  <c r="N102" i="13" s="1"/>
  <c r="AP93" i="12"/>
  <c r="N95" i="13" s="1"/>
  <c r="AP105" i="12"/>
  <c r="N104" i="13" s="1"/>
  <c r="AP82" i="12"/>
  <c r="N87" i="13" s="1"/>
  <c r="AP90" i="12"/>
  <c r="AP80" i="12"/>
  <c r="AP95" i="12"/>
  <c r="N97" i="13" s="1"/>
  <c r="AP19" i="20"/>
  <c r="H7" i="16"/>
  <c r="I4" i="16"/>
  <c r="I5" i="15"/>
  <c r="J4" i="15" s="1"/>
  <c r="AG4" i="16"/>
  <c r="AG4" i="14"/>
  <c r="N10" i="8"/>
  <c r="AP13" i="20"/>
  <c r="L8" i="10"/>
  <c r="O7" i="8"/>
  <c r="AM48" i="8"/>
  <c r="M8" i="22"/>
  <c r="AG8" i="14"/>
  <c r="AF19" i="16"/>
  <c r="AF18" i="16" s="1"/>
  <c r="E78" i="16" s="1" a="1"/>
  <c r="E78" i="16" s="1"/>
  <c r="AF78" i="16" s="1"/>
  <c r="AF15" i="16"/>
  <c r="AF14" i="16" s="1"/>
  <c r="E28" i="16" s="1" a="1"/>
  <c r="E28" i="16" s="1"/>
  <c r="AF28" i="16" s="1"/>
  <c r="AQ52" i="20"/>
  <c r="AP20" i="20"/>
  <c r="S5" i="20"/>
  <c r="T4" i="20" s="1"/>
  <c r="R6" i="20"/>
  <c r="R8" i="20" s="1"/>
  <c r="N8" i="15"/>
  <c r="H6" i="15"/>
  <c r="H8" i="15" s="1"/>
  <c r="N50" i="8"/>
  <c r="N52" i="8" s="1"/>
  <c r="H7" i="15"/>
  <c r="N51" i="8"/>
  <c r="O8" i="8"/>
  <c r="AH4" i="17"/>
  <c r="AP90" i="20"/>
  <c r="M134" i="13" s="1"/>
  <c r="AP11" i="20"/>
  <c r="AP25" i="20"/>
  <c r="AP18" i="20"/>
  <c r="G7" i="22"/>
  <c r="H5" i="22"/>
  <c r="H4" i="22"/>
  <c r="G6" i="22"/>
  <c r="G8" i="22" s="1"/>
  <c r="AP42" i="12"/>
  <c r="AP43" i="12"/>
  <c r="N61" i="13" s="1"/>
  <c r="AP44" i="12"/>
  <c r="N62" i="13" s="1"/>
  <c r="AP45" i="12"/>
  <c r="N63" i="13" s="1"/>
  <c r="AF4" i="22"/>
  <c r="AF6" i="22"/>
  <c r="AF8" i="22"/>
  <c r="AF7" i="22"/>
  <c r="AG5" i="22"/>
  <c r="N5" i="22"/>
  <c r="D37" i="22"/>
  <c r="AE36" i="22"/>
  <c r="D88" i="22"/>
  <c r="AE87" i="22"/>
  <c r="AG6" i="17"/>
  <c r="AG7" i="17"/>
  <c r="X8" i="20"/>
  <c r="AR54" i="20"/>
  <c r="AP95" i="20"/>
  <c r="M139" i="13" s="1"/>
  <c r="AP88" i="20"/>
  <c r="M133" i="13" s="1"/>
  <c r="AP102" i="20"/>
  <c r="M145" i="13" s="1"/>
  <c r="AP81" i="20"/>
  <c r="M127" i="13" s="1"/>
  <c r="AR57" i="20"/>
  <c r="AR97" i="20" s="1"/>
  <c r="O140" i="13" s="1"/>
  <c r="AR56" i="20"/>
  <c r="AR55" i="20"/>
  <c r="S4" i="20"/>
  <c r="AQ4" i="20"/>
  <c r="AP74" i="20"/>
  <c r="M121" i="13" s="1"/>
  <c r="AP34" i="20"/>
  <c r="AP33" i="20"/>
  <c r="AP31" i="20"/>
  <c r="AP29" i="20"/>
  <c r="AP28" i="20"/>
  <c r="AP26" i="20"/>
  <c r="AP23" i="20"/>
  <c r="AP22" i="20"/>
  <c r="AP17" i="20"/>
  <c r="AP15" i="20"/>
  <c r="AP35" i="20"/>
  <c r="AP32" i="20"/>
  <c r="AP30" i="20"/>
  <c r="AP27" i="20"/>
  <c r="AP24" i="20"/>
  <c r="AP21" i="20"/>
  <c r="AP16" i="20"/>
  <c r="AP14" i="20"/>
  <c r="AP76" i="20" s="1"/>
  <c r="M122" i="13" s="1"/>
  <c r="AQ6" i="20"/>
  <c r="AQ8" i="20"/>
  <c r="AQ112" i="20" s="1"/>
  <c r="AQ7" i="20"/>
  <c r="AR5" i="20"/>
  <c r="N8" i="17"/>
  <c r="N8" i="16"/>
  <c r="Y5" i="20"/>
  <c r="AS53" i="20"/>
  <c r="AG8" i="16"/>
  <c r="AG7" i="16"/>
  <c r="AH5" i="16"/>
  <c r="AG6" i="16"/>
  <c r="AG7" i="15"/>
  <c r="AG6" i="15"/>
  <c r="AH5" i="15"/>
  <c r="AG8" i="15"/>
  <c r="AF79" i="15" s="1"/>
  <c r="N8" i="14"/>
  <c r="H5" i="14"/>
  <c r="K8" i="11"/>
  <c r="L8" i="9"/>
  <c r="F7" i="9"/>
  <c r="F6" i="9"/>
  <c r="F8" i="9" s="1"/>
  <c r="G5" i="9"/>
  <c r="G4" i="9"/>
  <c r="AE8" i="9"/>
  <c r="AE4" i="9"/>
  <c r="AE7" i="9"/>
  <c r="AD7" i="11"/>
  <c r="AD8" i="11"/>
  <c r="AD4" i="11"/>
  <c r="P4" i="17"/>
  <c r="P5" i="17" s="1"/>
  <c r="O7" i="17"/>
  <c r="O6" i="17"/>
  <c r="I4" i="17"/>
  <c r="H7" i="17"/>
  <c r="H6" i="17"/>
  <c r="I5" i="17"/>
  <c r="D47" i="17"/>
  <c r="D138" i="17"/>
  <c r="AF19" i="15" a="1"/>
  <c r="AF19" i="15" s="1"/>
  <c r="AF11" i="15" a="1"/>
  <c r="AF11" i="15" s="1"/>
  <c r="AF15" i="15" a="1"/>
  <c r="AF15" i="15" s="1"/>
  <c r="AH5" i="14"/>
  <c r="AG6" i="14"/>
  <c r="O5" i="16"/>
  <c r="J4" i="16"/>
  <c r="I7" i="16"/>
  <c r="I6" i="16"/>
  <c r="J5" i="16"/>
  <c r="AF25" i="16"/>
  <c r="AG12" i="16"/>
  <c r="D46" i="16"/>
  <c r="D80" i="16"/>
  <c r="D35" i="15"/>
  <c r="O5" i="15"/>
  <c r="D80" i="15"/>
  <c r="O5" i="14"/>
  <c r="D52" i="14"/>
  <c r="AF31" i="14"/>
  <c r="F5" i="11"/>
  <c r="E6" i="11"/>
  <c r="E8" i="11" s="1"/>
  <c r="F4" i="11"/>
  <c r="E7" i="11"/>
  <c r="F7" i="10"/>
  <c r="G4" i="10"/>
  <c r="F6" i="10"/>
  <c r="F8" i="10" s="1"/>
  <c r="G5" i="10"/>
  <c r="AE6" i="9"/>
  <c r="AF5" i="9"/>
  <c r="AD6" i="11"/>
  <c r="AE5" i="11"/>
  <c r="AN106" i="12"/>
  <c r="L105" i="13" s="1"/>
  <c r="AN105" i="12"/>
  <c r="L104" i="13" s="1"/>
  <c r="AN104" i="12"/>
  <c r="AN103" i="12"/>
  <c r="L102" i="13" s="1"/>
  <c r="AN102" i="12"/>
  <c r="L101" i="13" s="1"/>
  <c r="AN101" i="12"/>
  <c r="AN96" i="12"/>
  <c r="AN94" i="12"/>
  <c r="L96" i="13" s="1"/>
  <c r="AN97" i="12"/>
  <c r="L99" i="13" s="1"/>
  <c r="AN93" i="12"/>
  <c r="L95" i="13" s="1"/>
  <c r="AN92" i="12"/>
  <c r="AN89" i="12"/>
  <c r="AN95" i="12"/>
  <c r="L97" i="13" s="1"/>
  <c r="AN91" i="12"/>
  <c r="L93" i="13" s="1"/>
  <c r="AN90" i="12"/>
  <c r="AN80" i="12"/>
  <c r="AN81" i="12"/>
  <c r="L86" i="13" s="1"/>
  <c r="AN79" i="12"/>
  <c r="L84" i="13" s="1"/>
  <c r="AN82" i="12"/>
  <c r="L87" i="13" s="1"/>
  <c r="AN76" i="12"/>
  <c r="AN84" i="12"/>
  <c r="L89" i="13" s="1"/>
  <c r="AN75" i="12"/>
  <c r="AN85" i="12"/>
  <c r="L90" i="13" s="1"/>
  <c r="AN73" i="12"/>
  <c r="L77" i="13" s="1"/>
  <c r="AN83" i="12"/>
  <c r="L88" i="13" s="1"/>
  <c r="AN78" i="12"/>
  <c r="L83" i="13" s="1"/>
  <c r="AN77" i="12"/>
  <c r="L82" i="13" s="1"/>
  <c r="AN64" i="12"/>
  <c r="L74" i="13" s="1"/>
  <c r="AN59" i="12"/>
  <c r="L72" i="13" s="1"/>
  <c r="AN58" i="12"/>
  <c r="AN28" i="12"/>
  <c r="AN43" i="12"/>
  <c r="L61" i="13" s="1"/>
  <c r="AN33" i="12"/>
  <c r="L51" i="13" s="1"/>
  <c r="AN49" i="12"/>
  <c r="L67" i="13" s="1"/>
  <c r="AN39" i="12"/>
  <c r="L57" i="13" s="1"/>
  <c r="AN40" i="12"/>
  <c r="L58" i="13" s="1"/>
  <c r="AN48" i="12"/>
  <c r="AN38" i="12"/>
  <c r="L56" i="13" s="1"/>
  <c r="AN41" i="12"/>
  <c r="L59" i="13" s="1"/>
  <c r="AN50" i="12"/>
  <c r="L68" i="13" s="1"/>
  <c r="AN37" i="12"/>
  <c r="L55" i="13" s="1"/>
  <c r="AN42" i="12"/>
  <c r="AN47" i="12"/>
  <c r="L65" i="13" s="1"/>
  <c r="AN36" i="12"/>
  <c r="AN32" i="12"/>
  <c r="L50" i="13" s="1"/>
  <c r="AN51" i="12"/>
  <c r="L69" i="13" s="1"/>
  <c r="AN35" i="12"/>
  <c r="L53" i="13" s="1"/>
  <c r="AN44" i="12"/>
  <c r="L62" i="13" s="1"/>
  <c r="AN31" i="12"/>
  <c r="L49" i="13" s="1"/>
  <c r="AN34" i="12"/>
  <c r="L52" i="13" s="1"/>
  <c r="AN45" i="12"/>
  <c r="L63" i="13" s="1"/>
  <c r="AN52" i="12"/>
  <c r="L70" i="13" s="1"/>
  <c r="AN46" i="12"/>
  <c r="L64" i="13" s="1"/>
  <c r="AN30" i="12"/>
  <c r="L48" i="13" s="1"/>
  <c r="AN29" i="12"/>
  <c r="AN21" i="12"/>
  <c r="L45" i="13" s="1"/>
  <c r="AN20" i="12"/>
  <c r="L44" i="13" s="1"/>
  <c r="AN19" i="12"/>
  <c r="L43" i="13" s="1"/>
  <c r="AN18" i="12"/>
  <c r="AN14" i="12"/>
  <c r="L41" i="13" s="1"/>
  <c r="AN12" i="12"/>
  <c r="AN13" i="12"/>
  <c r="L40" i="13" s="1"/>
  <c r="V8" i="12"/>
  <c r="P5" i="12"/>
  <c r="L4" i="13"/>
  <c r="L7" i="13"/>
  <c r="L8" i="13"/>
  <c r="N4" i="13"/>
  <c r="N7" i="13"/>
  <c r="N6" i="13"/>
  <c r="N8" i="13"/>
  <c r="O5" i="13"/>
  <c r="W5" i="12"/>
  <c r="AN4" i="12"/>
  <c r="AN8" i="12"/>
  <c r="AN7" i="12"/>
  <c r="L5" i="11"/>
  <c r="N4" i="10"/>
  <c r="N5" i="10" s="1"/>
  <c r="M7" i="10"/>
  <c r="M6" i="10"/>
  <c r="AE8" i="10"/>
  <c r="AE7" i="10"/>
  <c r="AE6" i="10"/>
  <c r="AF5" i="10"/>
  <c r="AE4" i="10"/>
  <c r="T52" i="8"/>
  <c r="T11" i="8"/>
  <c r="T78" i="8"/>
  <c r="AM50" i="8"/>
  <c r="AN49" i="8"/>
  <c r="M5" i="9"/>
  <c r="U75" i="8"/>
  <c r="U49" i="8"/>
  <c r="U8" i="8"/>
  <c r="O74" i="8"/>
  <c r="N77" i="8"/>
  <c r="N76" i="8"/>
  <c r="N78" i="8" s="1"/>
  <c r="O75" i="8"/>
  <c r="AM78" i="8"/>
  <c r="AM77" i="8"/>
  <c r="AM76" i="8"/>
  <c r="AN75" i="8"/>
  <c r="AM74" i="8"/>
  <c r="M151" i="13" l="1"/>
  <c r="M149" i="13"/>
  <c r="O15" i="8" a="1"/>
  <c r="O15" i="8" s="1"/>
  <c r="U98" i="8"/>
  <c r="U97" i="8"/>
  <c r="U15" i="8" a="1"/>
  <c r="U15" i="8" s="1"/>
  <c r="AN9" i="8"/>
  <c r="AN7" i="8"/>
  <c r="AN15" i="8" s="1" a="1"/>
  <c r="AN15" i="8" s="1"/>
  <c r="AQ8" i="12"/>
  <c r="AQ63" i="12"/>
  <c r="AO8" i="8"/>
  <c r="AN10" i="8"/>
  <c r="AN11" i="8"/>
  <c r="L47" i="13"/>
  <c r="L13" i="13" a="1"/>
  <c r="L13" i="13" s="1"/>
  <c r="N54" i="13"/>
  <c r="N18" i="13" a="1"/>
  <c r="N18" i="13" s="1"/>
  <c r="N98" i="13"/>
  <c r="N31" i="13" a="1"/>
  <c r="N31" i="13" s="1"/>
  <c r="N91" i="13"/>
  <c r="N29" i="13" a="1"/>
  <c r="N29" i="13" s="1"/>
  <c r="N80" i="13"/>
  <c r="N24" i="13" a="1"/>
  <c r="N24" i="13" s="1"/>
  <c r="N33" i="13" a="1"/>
  <c r="N33" i="13" s="1"/>
  <c r="L98" i="13"/>
  <c r="L31" i="13" a="1"/>
  <c r="L31" i="13" s="1"/>
  <c r="L80" i="13"/>
  <c r="L24" i="13" a="1"/>
  <c r="L24" i="13" s="1"/>
  <c r="L100" i="13"/>
  <c r="L33" i="13" a="1"/>
  <c r="L33" i="13" s="1"/>
  <c r="N66" i="13"/>
  <c r="N19" i="13" a="1"/>
  <c r="N19" i="13" s="1"/>
  <c r="N71" i="13"/>
  <c r="N160" i="13" s="1"/>
  <c r="N21" i="13" a="1"/>
  <c r="N21" i="13" s="1"/>
  <c r="N151" i="13" s="1"/>
  <c r="N94" i="13"/>
  <c r="N32" i="13" a="1"/>
  <c r="N32" i="13" s="1"/>
  <c r="L81" i="13"/>
  <c r="L27" i="13" a="1"/>
  <c r="L27" i="13" s="1"/>
  <c r="L66" i="13"/>
  <c r="L19" i="13" a="1"/>
  <c r="L19" i="13" s="1"/>
  <c r="L103" i="13"/>
  <c r="L34" i="13" a="1"/>
  <c r="L34" i="13" s="1"/>
  <c r="L38" i="13"/>
  <c r="L12" i="13" a="1"/>
  <c r="L12" i="13" s="1"/>
  <c r="L148" i="13" s="1"/>
  <c r="L46" i="13"/>
  <c r="L16" i="13" a="1"/>
  <c r="L16" i="13" s="1"/>
  <c r="AG99" i="17"/>
  <c r="AG101" i="17" s="1"/>
  <c r="AG96" i="17" s="1"/>
  <c r="N46" i="13"/>
  <c r="N16" i="13" a="1"/>
  <c r="N16" i="13" s="1"/>
  <c r="N42" i="13"/>
  <c r="N15" i="13" a="1"/>
  <c r="N15" i="13" s="1"/>
  <c r="N149" i="13" s="1"/>
  <c r="AH107" i="17"/>
  <c r="AH109" i="17" s="1"/>
  <c r="AH103" i="17" s="1"/>
  <c r="AI105" i="17"/>
  <c r="L85" i="13"/>
  <c r="L28" i="13" a="1"/>
  <c r="L28" i="13" s="1"/>
  <c r="N47" i="13"/>
  <c r="N13" i="13" a="1"/>
  <c r="N13" i="13" s="1"/>
  <c r="L71" i="13"/>
  <c r="L160" i="13" s="1"/>
  <c r="L21" i="13" a="1"/>
  <c r="L21" i="13" s="1"/>
  <c r="L151" i="13" s="1"/>
  <c r="L92" i="13"/>
  <c r="L30" i="13" a="1"/>
  <c r="L30" i="13" s="1"/>
  <c r="N60" i="13"/>
  <c r="N17" i="13" a="1"/>
  <c r="N17" i="13" s="1"/>
  <c r="N103" i="13"/>
  <c r="N164" i="13" s="1"/>
  <c r="N34" i="13" a="1"/>
  <c r="N34" i="13" s="1"/>
  <c r="L42" i="13"/>
  <c r="L15" i="13" a="1"/>
  <c r="L15" i="13" s="1"/>
  <c r="L149" i="13" s="1"/>
  <c r="L54" i="13"/>
  <c r="L18" i="13" a="1"/>
  <c r="L18" i="13" s="1"/>
  <c r="N81" i="13"/>
  <c r="N27" i="13" a="1"/>
  <c r="N27" i="13" s="1"/>
  <c r="L73" i="13"/>
  <c r="L161" i="13" s="1"/>
  <c r="L20" i="13" a="1"/>
  <c r="L20" i="13" s="1"/>
  <c r="L152" i="13" s="1"/>
  <c r="N85" i="13"/>
  <c r="N28" i="13" a="1"/>
  <c r="N28" i="13" s="1"/>
  <c r="L60" i="13"/>
  <c r="L17" i="13" a="1"/>
  <c r="L17" i="13" s="1"/>
  <c r="L91" i="13"/>
  <c r="L29" i="13" a="1"/>
  <c r="L29" i="13" s="1"/>
  <c r="N92" i="13"/>
  <c r="N30" i="13" a="1"/>
  <c r="N30" i="13" s="1"/>
  <c r="N38" i="13"/>
  <c r="N12" i="13" a="1"/>
  <c r="N12" i="13" s="1"/>
  <c r="N148" i="13" s="1"/>
  <c r="L94" i="13"/>
  <c r="AE149" i="29" s="1"/>
  <c r="G149" i="29" s="1"/>
  <c r="L32" i="13" a="1"/>
  <c r="L32" i="13" s="1"/>
  <c r="M148" i="13"/>
  <c r="O9" i="8"/>
  <c r="O11" i="8" s="1"/>
  <c r="AQ79" i="12"/>
  <c r="O84" i="13" s="1"/>
  <c r="AQ76" i="12"/>
  <c r="V76" i="12" s="1"/>
  <c r="AQ64" i="12"/>
  <c r="O74" i="13" s="1"/>
  <c r="AP83" i="20"/>
  <c r="AQ13" i="12"/>
  <c r="O40" i="13" s="1"/>
  <c r="AQ49" i="12"/>
  <c r="O67" i="13" s="1"/>
  <c r="AQ37" i="12"/>
  <c r="O55" i="13" s="1"/>
  <c r="P49" i="8"/>
  <c r="P50" i="8" s="1"/>
  <c r="P52" i="8" s="1"/>
  <c r="O50" i="8"/>
  <c r="O52" i="8" s="1"/>
  <c r="O51" i="8"/>
  <c r="AP91" i="20"/>
  <c r="M135" i="13" s="1"/>
  <c r="AQ44" i="12"/>
  <c r="O62" i="13" s="1"/>
  <c r="AQ42" i="12"/>
  <c r="AH7" i="17"/>
  <c r="AQ14" i="12"/>
  <c r="O41" i="13" s="1"/>
  <c r="AQ38" i="12"/>
  <c r="O56" i="13" s="1"/>
  <c r="AQ81" i="12"/>
  <c r="O86" i="13" s="1"/>
  <c r="AQ43" i="12"/>
  <c r="O61" i="13" s="1"/>
  <c r="AQ4" i="12"/>
  <c r="AQ6" i="12"/>
  <c r="AQ75" i="12"/>
  <c r="AQ36" i="12"/>
  <c r="AQ73" i="12"/>
  <c r="O77" i="13" s="1"/>
  <c r="AQ101" i="12"/>
  <c r="AQ52" i="12"/>
  <c r="O70" i="13" s="1"/>
  <c r="AQ35" i="12"/>
  <c r="O53" i="13" s="1"/>
  <c r="AQ85" i="12"/>
  <c r="O90" i="13" s="1"/>
  <c r="AQ93" i="12"/>
  <c r="AQ102" i="12"/>
  <c r="O101" i="13" s="1"/>
  <c r="AI5" i="17"/>
  <c r="AI6" i="17" s="1"/>
  <c r="AQ29" i="12"/>
  <c r="AQ51" i="12"/>
  <c r="O69" i="13" s="1"/>
  <c r="AQ84" i="12"/>
  <c r="AQ97" i="12"/>
  <c r="AQ103" i="12"/>
  <c r="O102" i="13" s="1"/>
  <c r="AH8" i="17"/>
  <c r="AF138" i="17" s="1"/>
  <c r="AQ18" i="12"/>
  <c r="AQ31" i="12"/>
  <c r="O49" i="13" s="1"/>
  <c r="AQ34" i="12"/>
  <c r="O52" i="13" s="1"/>
  <c r="AQ83" i="12"/>
  <c r="AQ92" i="12"/>
  <c r="AQ104" i="12"/>
  <c r="AQ50" i="12"/>
  <c r="O68" i="13" s="1"/>
  <c r="AR5" i="12"/>
  <c r="AR104" i="12" s="1"/>
  <c r="AQ7" i="12"/>
  <c r="AQ19" i="12"/>
  <c r="O43" i="13" s="1"/>
  <c r="AQ32" i="12"/>
  <c r="O50" i="13" s="1"/>
  <c r="AQ33" i="12"/>
  <c r="O51" i="13" s="1"/>
  <c r="AQ82" i="12"/>
  <c r="AQ89" i="12"/>
  <c r="AQ105" i="12"/>
  <c r="AQ30" i="12"/>
  <c r="O48" i="13" s="1"/>
  <c r="AQ46" i="12"/>
  <c r="O64" i="13" s="1"/>
  <c r="AQ78" i="12"/>
  <c r="O83" i="13" s="1"/>
  <c r="AQ96" i="12"/>
  <c r="AQ106" i="12"/>
  <c r="O105" i="13" s="1"/>
  <c r="AQ77" i="12"/>
  <c r="O82" i="13" s="1"/>
  <c r="AQ94" i="12"/>
  <c r="O96" i="13" s="1"/>
  <c r="AQ41" i="12"/>
  <c r="O59" i="13" s="1"/>
  <c r="AQ80" i="12"/>
  <c r="AQ91" i="12"/>
  <c r="O93" i="13" s="1"/>
  <c r="AQ40" i="12"/>
  <c r="O58" i="13" s="1"/>
  <c r="AQ90" i="12"/>
  <c r="AQ20" i="12"/>
  <c r="O44" i="13" s="1"/>
  <c r="AH90" i="30" s="1"/>
  <c r="AQ21" i="12"/>
  <c r="O45" i="13" s="1"/>
  <c r="AQ47" i="12"/>
  <c r="O65" i="13" s="1"/>
  <c r="AQ95" i="12"/>
  <c r="AQ48" i="12"/>
  <c r="AQ28" i="12"/>
  <c r="AQ58" i="12"/>
  <c r="AQ12" i="12"/>
  <c r="AQ39" i="12"/>
  <c r="O57" i="13" s="1"/>
  <c r="AQ59" i="12"/>
  <c r="O72" i="13" s="1"/>
  <c r="AH6" i="17"/>
  <c r="AQ45" i="12"/>
  <c r="O63" i="13" s="1"/>
  <c r="AF48" i="14"/>
  <c r="I7" i="15"/>
  <c r="I6" i="15"/>
  <c r="I8" i="15" s="1"/>
  <c r="AR20" i="16"/>
  <c r="J5" i="15"/>
  <c r="J7" i="15" s="1"/>
  <c r="AF22" i="16"/>
  <c r="AF27" i="14" s="1"/>
  <c r="AI16" i="16"/>
  <c r="P8" i="8"/>
  <c r="O10" i="8"/>
  <c r="P7" i="8"/>
  <c r="T5" i="20"/>
  <c r="AP108" i="20"/>
  <c r="S7" i="20"/>
  <c r="S6" i="20"/>
  <c r="S8" i="20" s="1"/>
  <c r="AP107" i="20"/>
  <c r="AP77" i="20"/>
  <c r="M123" i="13" s="1"/>
  <c r="H7" i="22"/>
  <c r="H6" i="22"/>
  <c r="H8" i="22" s="1"/>
  <c r="I5" i="22"/>
  <c r="I7" i="22" s="1"/>
  <c r="I4" i="22"/>
  <c r="AR52" i="20"/>
  <c r="AH5" i="22"/>
  <c r="AG4" i="22"/>
  <c r="AG6" i="22"/>
  <c r="AG8" i="22"/>
  <c r="AG7" i="22"/>
  <c r="O4" i="22"/>
  <c r="N7" i="22"/>
  <c r="N6" i="22"/>
  <c r="D38" i="22"/>
  <c r="AF37" i="22"/>
  <c r="AE37" i="22"/>
  <c r="AE88" i="22"/>
  <c r="AF88" i="22"/>
  <c r="D89" i="22"/>
  <c r="AQ23" i="20"/>
  <c r="AQ17" i="20"/>
  <c r="AQ16" i="20"/>
  <c r="AQ30" i="20"/>
  <c r="AQ28" i="20"/>
  <c r="AQ35" i="20"/>
  <c r="AQ34" i="20"/>
  <c r="AQ33" i="20"/>
  <c r="AQ32" i="20"/>
  <c r="AQ26" i="20"/>
  <c r="AQ29" i="20"/>
  <c r="AQ21" i="20"/>
  <c r="AQ27" i="20"/>
  <c r="AQ31" i="20"/>
  <c r="AG15" i="16"/>
  <c r="AG14" i="16" s="1"/>
  <c r="AG11" i="16"/>
  <c r="AG10" i="16" s="1"/>
  <c r="AG19" i="16"/>
  <c r="AG18" i="16" s="1"/>
  <c r="AF79" i="16"/>
  <c r="AG28" i="16"/>
  <c r="AS54" i="20"/>
  <c r="AP62" i="20"/>
  <c r="AP63" i="20"/>
  <c r="M111" i="13" s="1"/>
  <c r="AP10" i="20"/>
  <c r="AP64" i="20"/>
  <c r="M112" i="13" s="1"/>
  <c r="AP65" i="20"/>
  <c r="M113" i="13" s="1"/>
  <c r="AQ24" i="20"/>
  <c r="AQ22" i="20"/>
  <c r="AQ15" i="20"/>
  <c r="AQ14" i="20"/>
  <c r="AQ102" i="20"/>
  <c r="N145" i="13" s="1"/>
  <c r="AQ81" i="20"/>
  <c r="N127" i="13" s="1"/>
  <c r="AQ88" i="20"/>
  <c r="N133" i="13" s="1"/>
  <c r="AQ95" i="20"/>
  <c r="N139" i="13" s="1"/>
  <c r="AS57" i="20"/>
  <c r="AS97" i="20" s="1"/>
  <c r="P140" i="13" s="1"/>
  <c r="AS56" i="20"/>
  <c r="AS55" i="20"/>
  <c r="X57" i="20"/>
  <c r="X56" i="20"/>
  <c r="X55" i="20"/>
  <c r="X54" i="20"/>
  <c r="AP61" i="20"/>
  <c r="M109" i="13" s="1"/>
  <c r="AP69" i="20"/>
  <c r="M116" i="13" s="1"/>
  <c r="AQ12" i="20"/>
  <c r="AQ13" i="20"/>
  <c r="AQ11" i="20"/>
  <c r="AQ18" i="20"/>
  <c r="AQ20" i="20"/>
  <c r="AQ19" i="20"/>
  <c r="AQ25" i="20"/>
  <c r="AQ74" i="20"/>
  <c r="N121" i="13" s="1"/>
  <c r="AR4" i="20"/>
  <c r="AR6" i="20"/>
  <c r="AR8" i="20"/>
  <c r="AR112" i="20" s="1"/>
  <c r="AR7" i="20"/>
  <c r="AS5" i="20"/>
  <c r="AP70" i="20"/>
  <c r="M117" i="13" s="1"/>
  <c r="M155" i="13"/>
  <c r="M164" i="13"/>
  <c r="H4" i="9"/>
  <c r="G7" i="9"/>
  <c r="G6" i="9"/>
  <c r="G8" i="9" s="1"/>
  <c r="H5" i="9"/>
  <c r="Y7" i="20"/>
  <c r="Y6" i="20"/>
  <c r="Z4" i="20"/>
  <c r="AT53" i="20"/>
  <c r="AG78" i="16"/>
  <c r="AF29" i="16"/>
  <c r="AH4" i="16"/>
  <c r="AH8" i="16"/>
  <c r="AH7" i="16"/>
  <c r="AH6" i="16"/>
  <c r="AI5" i="16"/>
  <c r="AH4" i="15"/>
  <c r="AH7" i="15"/>
  <c r="AH6" i="15"/>
  <c r="AI5" i="15"/>
  <c r="AH8" i="15"/>
  <c r="AG15" i="15" a="1"/>
  <c r="AG15" i="15" s="1"/>
  <c r="AG19" i="15" a="1"/>
  <c r="AG19" i="15" s="1"/>
  <c r="AF29" i="15"/>
  <c r="AG11" i="15" a="1"/>
  <c r="AG11" i="15" s="1"/>
  <c r="I4" i="14"/>
  <c r="H7" i="14"/>
  <c r="I5" i="14"/>
  <c r="H6" i="14"/>
  <c r="H8" i="14" s="1"/>
  <c r="O8" i="17"/>
  <c r="Q4" i="17"/>
  <c r="Q5" i="17" s="1"/>
  <c r="P7" i="17"/>
  <c r="P6" i="17"/>
  <c r="H8" i="17"/>
  <c r="J4" i="17"/>
  <c r="I7" i="17"/>
  <c r="I6" i="17"/>
  <c r="J5" i="17"/>
  <c r="D48" i="17"/>
  <c r="D139" i="17"/>
  <c r="AF18" i="15"/>
  <c r="AF10" i="15"/>
  <c r="AF14" i="15"/>
  <c r="AH7" i="14"/>
  <c r="AH8" i="14"/>
  <c r="AH4" i="14"/>
  <c r="AI5" i="14"/>
  <c r="AH6" i="14"/>
  <c r="P4" i="16"/>
  <c r="O7" i="16"/>
  <c r="O6" i="16"/>
  <c r="I8" i="16"/>
  <c r="K4" i="16"/>
  <c r="J7" i="16"/>
  <c r="J6" i="16"/>
  <c r="K5" i="16"/>
  <c r="D47" i="16"/>
  <c r="D81" i="16"/>
  <c r="D36" i="15"/>
  <c r="P4" i="15"/>
  <c r="O7" i="15"/>
  <c r="O6" i="15"/>
  <c r="D81" i="15"/>
  <c r="P4" i="14"/>
  <c r="O7" i="14"/>
  <c r="O6" i="14"/>
  <c r="D53" i="14"/>
  <c r="E47" i="14" a="1"/>
  <c r="E47" i="14" s="1"/>
  <c r="M154" i="13"/>
  <c r="M160" i="13"/>
  <c r="G4" i="11"/>
  <c r="F7" i="11"/>
  <c r="F6" i="11"/>
  <c r="F8" i="11" s="1"/>
  <c r="G5" i="11"/>
  <c r="H4" i="10"/>
  <c r="G6" i="10"/>
  <c r="G8" i="10" s="1"/>
  <c r="H5" i="10"/>
  <c r="G7" i="10"/>
  <c r="M163" i="13"/>
  <c r="M150" i="13"/>
  <c r="M159" i="13"/>
  <c r="AF7" i="9"/>
  <c r="AF8" i="9"/>
  <c r="AG5" i="9"/>
  <c r="AF6" i="9"/>
  <c r="AF4" i="9"/>
  <c r="AE7" i="11"/>
  <c r="AE4" i="11"/>
  <c r="AE8" i="11"/>
  <c r="AF5" i="11"/>
  <c r="AE6" i="11"/>
  <c r="L6" i="13"/>
  <c r="Q5" i="12"/>
  <c r="P6" i="12"/>
  <c r="P8" i="12" s="1"/>
  <c r="P7" i="12"/>
  <c r="Q4" i="12"/>
  <c r="O4" i="13"/>
  <c r="O7" i="13"/>
  <c r="O6" i="13"/>
  <c r="O8" i="13"/>
  <c r="P5" i="13"/>
  <c r="X4" i="12"/>
  <c r="W7" i="12"/>
  <c r="W6" i="12"/>
  <c r="AN6" i="12"/>
  <c r="M4" i="11"/>
  <c r="L7" i="11"/>
  <c r="L6" i="11"/>
  <c r="N7" i="10"/>
  <c r="O4" i="10"/>
  <c r="O5" i="10" s="1"/>
  <c r="N6" i="10"/>
  <c r="AF4" i="10"/>
  <c r="AF6" i="10"/>
  <c r="AG5" i="10"/>
  <c r="AF8" i="10"/>
  <c r="AF7" i="10"/>
  <c r="M8" i="10"/>
  <c r="AO49" i="8"/>
  <c r="AN52" i="8"/>
  <c r="AN51" i="8"/>
  <c r="AN48" i="8"/>
  <c r="AN50" i="8"/>
  <c r="M7" i="9"/>
  <c r="N4" i="9"/>
  <c r="M6" i="9"/>
  <c r="V74" i="8"/>
  <c r="U77" i="8"/>
  <c r="U76" i="8"/>
  <c r="V48" i="8"/>
  <c r="U51" i="8"/>
  <c r="U50" i="8"/>
  <c r="U10" i="8"/>
  <c r="V7" i="8"/>
  <c r="U9" i="8"/>
  <c r="P75" i="8"/>
  <c r="P74" i="8"/>
  <c r="O77" i="8"/>
  <c r="O76" i="8"/>
  <c r="O78" i="8" s="1"/>
  <c r="AO75" i="8"/>
  <c r="AN74" i="8"/>
  <c r="AN78" i="8"/>
  <c r="AN77" i="8"/>
  <c r="AN76" i="8"/>
  <c r="P15" i="8" l="1" a="1"/>
  <c r="P15" i="8" s="1"/>
  <c r="AR4" i="12"/>
  <c r="AR12" i="12"/>
  <c r="P38" i="13" s="1"/>
  <c r="AP85" i="20" a="1"/>
  <c r="AP85" i="20" s="1"/>
  <c r="M130" i="13" s="1"/>
  <c r="M128" i="13"/>
  <c r="AF41" i="17"/>
  <c r="AF42" i="17" s="1"/>
  <c r="M110" i="13"/>
  <c r="V96" i="8"/>
  <c r="W95" i="8" s="1"/>
  <c r="U99" i="8"/>
  <c r="AO7" i="8"/>
  <c r="AO15" i="8" s="1" a="1"/>
  <c r="AO15" i="8" s="1"/>
  <c r="AR6" i="12"/>
  <c r="AR14" i="12"/>
  <c r="P41" i="13" s="1"/>
  <c r="AR33" i="12"/>
  <c r="P51" i="13" s="1"/>
  <c r="AR8" i="12"/>
  <c r="AR50" i="12"/>
  <c r="P68" i="13" s="1"/>
  <c r="AR97" i="12"/>
  <c r="P99" i="13" s="1"/>
  <c r="AR13" i="12"/>
  <c r="P40" i="13" s="1"/>
  <c r="AR38" i="12"/>
  <c r="P56" i="13" s="1"/>
  <c r="AR89" i="12"/>
  <c r="P91" i="13" s="1"/>
  <c r="AR103" i="12"/>
  <c r="P102" i="13" s="1"/>
  <c r="AR7" i="12"/>
  <c r="V79" i="12"/>
  <c r="AO9" i="8"/>
  <c r="N90" i="30"/>
  <c r="M149" i="29"/>
  <c r="V102" i="12"/>
  <c r="AR44" i="12"/>
  <c r="P62" i="13" s="1"/>
  <c r="AR63" i="12"/>
  <c r="AE138" i="22"/>
  <c r="M138" i="22" s="1"/>
  <c r="AE135" i="28"/>
  <c r="N163" i="13"/>
  <c r="AP8" i="8"/>
  <c r="AP11" i="8" s="1"/>
  <c r="AO10" i="8"/>
  <c r="AO11" i="8"/>
  <c r="AR40" i="12"/>
  <c r="P58" i="13" s="1"/>
  <c r="AR52" i="12"/>
  <c r="P70" i="13" s="1"/>
  <c r="AR29" i="12"/>
  <c r="P47" i="13" s="1"/>
  <c r="AR58" i="12"/>
  <c r="P71" i="13" s="1"/>
  <c r="AR85" i="12"/>
  <c r="P90" i="13" s="1"/>
  <c r="O85" i="13"/>
  <c r="O28" i="13" a="1"/>
  <c r="O28" i="13" s="1"/>
  <c r="V93" i="12"/>
  <c r="O95" i="13"/>
  <c r="V104" i="12"/>
  <c r="O103" i="13"/>
  <c r="O34" i="13" a="1"/>
  <c r="O34" i="13" s="1"/>
  <c r="O94" i="13"/>
  <c r="O32" i="13" a="1"/>
  <c r="O32" i="13" s="1"/>
  <c r="O81" i="13"/>
  <c r="O27" i="13" a="1"/>
  <c r="O27" i="13" s="1"/>
  <c r="V83" i="12"/>
  <c r="O88" i="13"/>
  <c r="V101" i="12"/>
  <c r="O100" i="13"/>
  <c r="O33" i="13" a="1"/>
  <c r="O33" i="13" s="1"/>
  <c r="O38" i="13"/>
  <c r="O12" i="13" a="1"/>
  <c r="O12" i="13" s="1"/>
  <c r="V96" i="12"/>
  <c r="O98" i="13"/>
  <c r="O31" i="13" a="1"/>
  <c r="O31" i="13" s="1"/>
  <c r="O71" i="13"/>
  <c r="O160" i="13" s="1"/>
  <c r="O21" i="13" a="1"/>
  <c r="O21" i="13" s="1"/>
  <c r="O54" i="13"/>
  <c r="O18" i="13" a="1"/>
  <c r="O18" i="13" s="1"/>
  <c r="AJ105" i="17"/>
  <c r="AI107" i="17"/>
  <c r="AI109" i="17" s="1"/>
  <c r="AI103" i="17" s="1"/>
  <c r="AH99" i="17"/>
  <c r="AH101" i="17" s="1"/>
  <c r="AH96" i="17" s="1"/>
  <c r="O46" i="13"/>
  <c r="O16" i="13" a="1"/>
  <c r="O16" i="13" s="1"/>
  <c r="O42" i="13"/>
  <c r="O15" i="13" a="1"/>
  <c r="O15" i="13" s="1"/>
  <c r="O66" i="13"/>
  <c r="O19" i="13" a="1"/>
  <c r="O19" i="13" s="1"/>
  <c r="V95" i="12"/>
  <c r="O97" i="13"/>
  <c r="V105" i="12"/>
  <c r="O104" i="13"/>
  <c r="V75" i="12"/>
  <c r="O80" i="13"/>
  <c r="O24" i="13" a="1"/>
  <c r="O24" i="13" s="1"/>
  <c r="O91" i="13"/>
  <c r="O29" i="13" a="1"/>
  <c r="O29" i="13" s="1"/>
  <c r="V97" i="12"/>
  <c r="O99" i="13"/>
  <c r="O60" i="13"/>
  <c r="O17" i="13" a="1"/>
  <c r="O17" i="13" s="1"/>
  <c r="V82" i="12"/>
  <c r="O87" i="13"/>
  <c r="V84" i="12"/>
  <c r="O89" i="13"/>
  <c r="P103" i="13"/>
  <c r="V90" i="12"/>
  <c r="O92" i="13"/>
  <c r="O30" i="13" a="1"/>
  <c r="O30" i="13" s="1"/>
  <c r="O47" i="13"/>
  <c r="O13" i="13" a="1"/>
  <c r="O13" i="13" s="1"/>
  <c r="AR48" i="12"/>
  <c r="AR91" i="12"/>
  <c r="P93" i="13" s="1"/>
  <c r="AR49" i="12"/>
  <c r="P67" i="13" s="1"/>
  <c r="AI7" i="17"/>
  <c r="AR31" i="12"/>
  <c r="P49" i="13" s="1"/>
  <c r="AR79" i="12"/>
  <c r="P84" i="13" s="1"/>
  <c r="AR21" i="12"/>
  <c r="P45" i="13" s="1"/>
  <c r="AR51" i="12"/>
  <c r="P69" i="13" s="1"/>
  <c r="AR35" i="12"/>
  <c r="P53" i="13" s="1"/>
  <c r="AR75" i="12"/>
  <c r="AR36" i="12"/>
  <c r="AR81" i="12"/>
  <c r="P86" i="13" s="1"/>
  <c r="J6" i="15"/>
  <c r="J8" i="15" s="1"/>
  <c r="AP87" i="20" a="1"/>
  <c r="AP87" i="20" s="1"/>
  <c r="M132" i="13" s="1"/>
  <c r="AP86" i="20"/>
  <c r="M131" i="13" s="1"/>
  <c r="AR30" i="12"/>
  <c r="P48" i="13" s="1"/>
  <c r="AR80" i="12"/>
  <c r="K4" i="15"/>
  <c r="AR77" i="12"/>
  <c r="P82" i="13" s="1"/>
  <c r="Q49" i="8"/>
  <c r="Q50" i="8" s="1"/>
  <c r="Q52" i="8" s="1"/>
  <c r="Q48" i="8"/>
  <c r="P51" i="8"/>
  <c r="AR39" i="12"/>
  <c r="P57" i="13" s="1"/>
  <c r="AR76" i="12"/>
  <c r="V103" i="12"/>
  <c r="V89" i="12"/>
  <c r="AR90" i="12"/>
  <c r="V80" i="12"/>
  <c r="AR32" i="12"/>
  <c r="P50" i="13" s="1"/>
  <c r="AR64" i="12"/>
  <c r="P74" i="13" s="1"/>
  <c r="AR101" i="12"/>
  <c r="AR34" i="12"/>
  <c r="P52" i="13" s="1"/>
  <c r="AR102" i="12"/>
  <c r="P101" i="13" s="1"/>
  <c r="V91" i="12"/>
  <c r="U4" i="20"/>
  <c r="N155" i="13"/>
  <c r="Q8" i="8"/>
  <c r="V81" i="12"/>
  <c r="AI8" i="17"/>
  <c r="AH139" i="17" s="1"/>
  <c r="AJ5" i="17"/>
  <c r="AJ8" i="17" s="1"/>
  <c r="AI4" i="17"/>
  <c r="AS5" i="12"/>
  <c r="AS97" i="12" s="1"/>
  <c r="Q99" i="13" s="1"/>
  <c r="AR37" i="12"/>
  <c r="P55" i="13" s="1"/>
  <c r="AR59" i="12"/>
  <c r="P72" i="13" s="1"/>
  <c r="AR78" i="12"/>
  <c r="P83" i="13" s="1"/>
  <c r="AR105" i="12"/>
  <c r="P104" i="13" s="1"/>
  <c r="AR95" i="12"/>
  <c r="P97" i="13" s="1"/>
  <c r="AR106" i="12"/>
  <c r="P105" i="13" s="1"/>
  <c r="AR18" i="12"/>
  <c r="AR41" i="12"/>
  <c r="P59" i="13" s="1"/>
  <c r="AR84" i="12"/>
  <c r="P89" i="13" s="1"/>
  <c r="AR96" i="12"/>
  <c r="AR19" i="12"/>
  <c r="P43" i="13" s="1"/>
  <c r="AR46" i="12"/>
  <c r="P64" i="13" s="1"/>
  <c r="AR83" i="12"/>
  <c r="P88" i="13" s="1"/>
  <c r="AR94" i="12"/>
  <c r="P96" i="13" s="1"/>
  <c r="AR20" i="12"/>
  <c r="P44" i="13" s="1"/>
  <c r="AI90" i="30" s="1"/>
  <c r="AR28" i="12"/>
  <c r="AR73" i="12"/>
  <c r="P77" i="13" s="1"/>
  <c r="AR92" i="12"/>
  <c r="AR47" i="12"/>
  <c r="P65" i="13" s="1"/>
  <c r="AR82" i="12"/>
  <c r="P87" i="13" s="1"/>
  <c r="AR93" i="12"/>
  <c r="P95" i="13" s="1"/>
  <c r="J4" i="22"/>
  <c r="Q7" i="8"/>
  <c r="V73" i="12"/>
  <c r="AR45" i="12"/>
  <c r="P63" i="13" s="1"/>
  <c r="AR43" i="12"/>
  <c r="P61" i="13" s="1"/>
  <c r="N154" i="13"/>
  <c r="U5" i="20"/>
  <c r="T6" i="20"/>
  <c r="T8" i="20" s="1"/>
  <c r="T7" i="20"/>
  <c r="V78" i="12"/>
  <c r="AR42" i="12"/>
  <c r="N150" i="13"/>
  <c r="V94" i="12"/>
  <c r="J5" i="22"/>
  <c r="J6" i="22" s="1"/>
  <c r="J8" i="22" s="1"/>
  <c r="AG138" i="17"/>
  <c r="K5" i="15"/>
  <c r="K6" i="15" s="1"/>
  <c r="I6" i="22"/>
  <c r="I8" i="22" s="1"/>
  <c r="N159" i="13"/>
  <c r="V77" i="12"/>
  <c r="V92" i="12"/>
  <c r="V106" i="12"/>
  <c r="V85" i="12"/>
  <c r="P9" i="8"/>
  <c r="P11" i="8" s="1"/>
  <c r="P10" i="8"/>
  <c r="AQ107" i="20"/>
  <c r="AQ90" i="20"/>
  <c r="N134" i="13" s="1"/>
  <c r="AQ108" i="20"/>
  <c r="AP111" i="20" a="1"/>
  <c r="AP111" i="20" s="1"/>
  <c r="AP110" i="20"/>
  <c r="AP109" i="20" a="1"/>
  <c r="AP109" i="20" s="1"/>
  <c r="AQ91" i="20"/>
  <c r="N135" i="13" s="1"/>
  <c r="AQ83" i="20"/>
  <c r="AQ76" i="20"/>
  <c r="N122" i="13" s="1"/>
  <c r="AQ77" i="20"/>
  <c r="N123" i="13" s="1"/>
  <c r="AP115" i="20"/>
  <c r="N8" i="22"/>
  <c r="AH7" i="22"/>
  <c r="AI5" i="22"/>
  <c r="AH6" i="22"/>
  <c r="AH8" i="22"/>
  <c r="AH4" i="22"/>
  <c r="AG30" i="15"/>
  <c r="AF30" i="15"/>
  <c r="O5" i="22"/>
  <c r="D39" i="22"/>
  <c r="AF38" i="22"/>
  <c r="AG38" i="22"/>
  <c r="AE38" i="22"/>
  <c r="AF89" i="22"/>
  <c r="AG89" i="22"/>
  <c r="AE89" i="22"/>
  <c r="D90" i="22"/>
  <c r="AP60" i="20"/>
  <c r="AT54" i="20"/>
  <c r="AS52" i="20"/>
  <c r="AQ62" i="20"/>
  <c r="AQ63" i="20"/>
  <c r="N111" i="13" s="1"/>
  <c r="AQ69" i="20"/>
  <c r="N116" i="13" s="1"/>
  <c r="AQ61" i="20"/>
  <c r="N109" i="13" s="1"/>
  <c r="AQ64" i="20"/>
  <c r="N112" i="13" s="1"/>
  <c r="AQ65" i="20"/>
  <c r="N113" i="13" s="1"/>
  <c r="AQ70" i="20"/>
  <c r="N117" i="13" s="1"/>
  <c r="AP99" i="20" a="1"/>
  <c r="AP99" i="20" s="1"/>
  <c r="M142" i="13" s="1"/>
  <c r="AP100" i="20"/>
  <c r="M143" i="13" s="1"/>
  <c r="AP101" i="20" a="1"/>
  <c r="AP101" i="20" s="1"/>
  <c r="M144" i="13" s="1"/>
  <c r="AR102" i="20"/>
  <c r="O145" i="13" s="1"/>
  <c r="AR88" i="20"/>
  <c r="O133" i="13" s="1"/>
  <c r="AR95" i="20"/>
  <c r="O139" i="13" s="1"/>
  <c r="AR81" i="20"/>
  <c r="O127" i="13" s="1"/>
  <c r="AT57" i="20"/>
  <c r="AT97" i="20" s="1"/>
  <c r="Q140" i="13" s="1"/>
  <c r="AT56" i="20"/>
  <c r="AT55" i="20"/>
  <c r="AP73" i="20" a="1"/>
  <c r="AP73" i="20" s="1"/>
  <c r="M120" i="13" s="1"/>
  <c r="AP71" i="20" a="1"/>
  <c r="AP71" i="20" s="1"/>
  <c r="M118" i="13" s="1"/>
  <c r="AP72" i="20"/>
  <c r="M119" i="13" s="1"/>
  <c r="AQ10" i="20"/>
  <c r="AR16" i="20"/>
  <c r="AR29" i="20"/>
  <c r="AR17" i="20"/>
  <c r="AR21" i="20"/>
  <c r="AR35" i="20"/>
  <c r="AR28" i="20"/>
  <c r="AR33" i="20"/>
  <c r="AR14" i="20"/>
  <c r="AR27" i="20"/>
  <c r="AR30" i="20"/>
  <c r="AR24" i="20"/>
  <c r="AR23" i="20"/>
  <c r="AR26" i="20"/>
  <c r="AR32" i="20"/>
  <c r="AR34" i="20"/>
  <c r="AR31" i="20"/>
  <c r="AR15" i="20"/>
  <c r="AR22" i="20"/>
  <c r="AR13" i="20"/>
  <c r="AR20" i="20"/>
  <c r="AR25" i="20"/>
  <c r="AR19" i="20"/>
  <c r="AR12" i="20"/>
  <c r="AR11" i="20"/>
  <c r="AR18" i="20"/>
  <c r="AR74" i="20"/>
  <c r="O121" i="13" s="1"/>
  <c r="AS4" i="20"/>
  <c r="AS6" i="20"/>
  <c r="AS8" i="20"/>
  <c r="AS112" i="20" s="1"/>
  <c r="AS7" i="20"/>
  <c r="AT5" i="20"/>
  <c r="H6" i="9"/>
  <c r="H8" i="9" s="1"/>
  <c r="I5" i="9"/>
  <c r="I4" i="9"/>
  <c r="H7" i="9"/>
  <c r="Z5" i="20"/>
  <c r="AU53" i="20"/>
  <c r="Y8" i="20"/>
  <c r="AH11" i="16"/>
  <c r="AH15" i="16"/>
  <c r="AH14" i="16" s="1"/>
  <c r="AH19" i="16"/>
  <c r="AH18" i="16" s="1"/>
  <c r="AH78" i="16"/>
  <c r="AH28" i="16"/>
  <c r="AI4" i="16"/>
  <c r="AJ5" i="16"/>
  <c r="AI6" i="16"/>
  <c r="AI7" i="16"/>
  <c r="AI8" i="16"/>
  <c r="AG31" i="16" s="1"/>
  <c r="AG30" i="16"/>
  <c r="AF30" i="16"/>
  <c r="AF80" i="16"/>
  <c r="AG80" i="16"/>
  <c r="L155" i="13"/>
  <c r="AI4" i="15"/>
  <c r="AI7" i="15"/>
  <c r="AI6" i="15"/>
  <c r="AJ5" i="15"/>
  <c r="AI8" i="15"/>
  <c r="AH31" i="15" s="1"/>
  <c r="AH11" i="15" a="1"/>
  <c r="AH11" i="15" s="1"/>
  <c r="AH19" i="15" a="1"/>
  <c r="AH19" i="15" s="1"/>
  <c r="AH18" i="15" s="1"/>
  <c r="E80" i="15" s="1" a="1"/>
  <c r="E80" i="15" s="1"/>
  <c r="AH80" i="15" s="1"/>
  <c r="AH15" i="15" a="1"/>
  <c r="AH15" i="15" s="1"/>
  <c r="AH14" i="15" s="1"/>
  <c r="J5" i="14"/>
  <c r="I6" i="14"/>
  <c r="I8" i="14" s="1"/>
  <c r="I7" i="14"/>
  <c r="J4" i="14"/>
  <c r="P8" i="17"/>
  <c r="AG80" i="15"/>
  <c r="AF80" i="15"/>
  <c r="AG14" i="15"/>
  <c r="AG18" i="15"/>
  <c r="R4" i="17"/>
  <c r="R5" i="17" s="1"/>
  <c r="Q7" i="17"/>
  <c r="Q6" i="17"/>
  <c r="I8" i="17"/>
  <c r="K4" i="17"/>
  <c r="J7" i="17"/>
  <c r="J6" i="17"/>
  <c r="K5" i="17"/>
  <c r="D49" i="17"/>
  <c r="D140" i="17"/>
  <c r="AR20" i="15"/>
  <c r="E78" i="15" a="1"/>
  <c r="E78" i="15" s="1"/>
  <c r="AF22" i="15"/>
  <c r="AF25" i="14" s="1"/>
  <c r="AF25" i="15"/>
  <c r="AG12" i="15"/>
  <c r="AG10" i="15" s="1"/>
  <c r="AI16" i="15"/>
  <c r="E28" i="15" a="1"/>
  <c r="E28" i="15" s="1"/>
  <c r="AF49" i="14"/>
  <c r="AG49" i="14"/>
  <c r="AI7" i="14"/>
  <c r="AI4" i="14"/>
  <c r="AI8" i="14"/>
  <c r="AI47" i="14" s="1"/>
  <c r="AI6" i="14"/>
  <c r="AJ5" i="14"/>
  <c r="P5" i="16"/>
  <c r="E79" i="16" a="1"/>
  <c r="E79" i="16" s="1"/>
  <c r="AS20" i="16"/>
  <c r="E29" i="16" a="1"/>
  <c r="E29" i="16" s="1"/>
  <c r="AJ16" i="16"/>
  <c r="AG22" i="16"/>
  <c r="AG27" i="14" s="1"/>
  <c r="AG25" i="16"/>
  <c r="AH12" i="16"/>
  <c r="J8" i="16"/>
  <c r="K7" i="16"/>
  <c r="K6" i="16"/>
  <c r="D48" i="16"/>
  <c r="D82" i="16"/>
  <c r="O8" i="16"/>
  <c r="D37" i="15"/>
  <c r="P5" i="15"/>
  <c r="D82" i="15"/>
  <c r="O8" i="15"/>
  <c r="O8" i="14"/>
  <c r="P5" i="14"/>
  <c r="D54" i="14"/>
  <c r="AH47" i="14"/>
  <c r="AF47" i="14"/>
  <c r="AG47" i="14"/>
  <c r="L164" i="13"/>
  <c r="G6" i="11"/>
  <c r="G8" i="11" s="1"/>
  <c r="H4" i="11"/>
  <c r="G7" i="11"/>
  <c r="H5" i="11"/>
  <c r="I4" i="10"/>
  <c r="H6" i="10"/>
  <c r="H8" i="10" s="1"/>
  <c r="H7" i="10"/>
  <c r="I5" i="10"/>
  <c r="L154" i="13"/>
  <c r="L163" i="13"/>
  <c r="L150" i="13"/>
  <c r="L159" i="13"/>
  <c r="AG4" i="9"/>
  <c r="AG8" i="9"/>
  <c r="AH5" i="9"/>
  <c r="AG7" i="9"/>
  <c r="AG6" i="9"/>
  <c r="AF7" i="11"/>
  <c r="AF8" i="11"/>
  <c r="AF4" i="11"/>
  <c r="AF6" i="11"/>
  <c r="AG5" i="11"/>
  <c r="Q6" i="12"/>
  <c r="Q8" i="12" s="1"/>
  <c r="R5" i="12"/>
  <c r="Q7" i="12"/>
  <c r="R4" i="12"/>
  <c r="P4" i="13"/>
  <c r="P7" i="13"/>
  <c r="P6" i="13"/>
  <c r="Q5" i="13"/>
  <c r="P8" i="13"/>
  <c r="X5" i="12"/>
  <c r="W8" i="12"/>
  <c r="M5" i="11"/>
  <c r="L8" i="11"/>
  <c r="O7" i="10"/>
  <c r="P4" i="10"/>
  <c r="P5" i="10" s="1"/>
  <c r="O6" i="10"/>
  <c r="AG4" i="10"/>
  <c r="AG8" i="10"/>
  <c r="AG7" i="10"/>
  <c r="AG6" i="10"/>
  <c r="AH5" i="10"/>
  <c r="N8" i="10"/>
  <c r="AO48" i="8"/>
  <c r="AP49" i="8"/>
  <c r="AO50" i="8"/>
  <c r="AO51" i="8"/>
  <c r="AO52" i="8"/>
  <c r="N5" i="9"/>
  <c r="M8" i="9"/>
  <c r="U78" i="8"/>
  <c r="U52" i="8"/>
  <c r="U11" i="8"/>
  <c r="V75" i="8"/>
  <c r="V49" i="8"/>
  <c r="V8" i="8"/>
  <c r="Q74" i="8"/>
  <c r="P77" i="8"/>
  <c r="P76" i="8"/>
  <c r="P78" i="8" s="1"/>
  <c r="Q75" i="8"/>
  <c r="AO78" i="8"/>
  <c r="AO77" i="8"/>
  <c r="AO76" i="8"/>
  <c r="AP75" i="8"/>
  <c r="AO74" i="8"/>
  <c r="O151" i="13" l="1"/>
  <c r="E45" i="17" a="1"/>
  <c r="E45" i="17" s="1"/>
  <c r="V98" i="8"/>
  <c r="AP7" i="8"/>
  <c r="AP15" i="8" s="1" a="1"/>
  <c r="AP15" i="8" s="1"/>
  <c r="AG41" i="17"/>
  <c r="E46" i="17" s="1" a="1"/>
  <c r="E46" i="17" s="1"/>
  <c r="AH46" i="17" s="1" a="1"/>
  <c r="AH46" i="17" s="1"/>
  <c r="N46" i="17" s="1"/>
  <c r="N110" i="13"/>
  <c r="N108" i="13" s="1"/>
  <c r="V97" i="8"/>
  <c r="M108" i="13"/>
  <c r="AQ86" i="20"/>
  <c r="N131" i="13" s="1"/>
  <c r="N128" i="13"/>
  <c r="Q15" i="8" a="1"/>
  <c r="Q15" i="8" s="1"/>
  <c r="V15" i="8" a="1"/>
  <c r="V15" i="8" s="1"/>
  <c r="AP10" i="8"/>
  <c r="AQ8" i="8"/>
  <c r="P12" i="13" a="1"/>
  <c r="P12" i="13" s="1"/>
  <c r="P148" i="13" s="1"/>
  <c r="AP9" i="8"/>
  <c r="Q51" i="8"/>
  <c r="AS95" i="12"/>
  <c r="Q97" i="13" s="1"/>
  <c r="AS52" i="12"/>
  <c r="Q70" i="13" s="1"/>
  <c r="AS28" i="12"/>
  <c r="Q46" i="13" s="1"/>
  <c r="AS73" i="12"/>
  <c r="Q77" i="13" s="1"/>
  <c r="AS75" i="12"/>
  <c r="Q24" i="13" s="1" a="1"/>
  <c r="Q24" i="13" s="1"/>
  <c r="AS101" i="12"/>
  <c r="Q100" i="13" s="1"/>
  <c r="AJ7" i="17"/>
  <c r="AJ4" i="17"/>
  <c r="AK5" i="17"/>
  <c r="AK4" i="17" s="1"/>
  <c r="AS14" i="12"/>
  <c r="Q41" i="13" s="1"/>
  <c r="AS44" i="12"/>
  <c r="Q62" i="13" s="1"/>
  <c r="AS21" i="12"/>
  <c r="Q45" i="13" s="1"/>
  <c r="AS43" i="12"/>
  <c r="Q61" i="13" s="1"/>
  <c r="AS42" i="12"/>
  <c r="Q60" i="13" s="1"/>
  <c r="AS18" i="12"/>
  <c r="Q42" i="13" s="1"/>
  <c r="AS33" i="12"/>
  <c r="Q51" i="13" s="1"/>
  <c r="AS76" i="12"/>
  <c r="Q81" i="13" s="1"/>
  <c r="G138" i="22"/>
  <c r="O149" i="13"/>
  <c r="M135" i="28"/>
  <c r="G135" i="28"/>
  <c r="AS45" i="12"/>
  <c r="Q63" i="13" s="1"/>
  <c r="AS63" i="12"/>
  <c r="O159" i="13"/>
  <c r="AK105" i="17"/>
  <c r="AJ107" i="17"/>
  <c r="AJ109" i="17" s="1"/>
  <c r="AJ103" i="17" s="1"/>
  <c r="P13" i="13" a="1"/>
  <c r="P13" i="13" s="1"/>
  <c r="AJ99" i="17"/>
  <c r="AJ101" i="17" s="1"/>
  <c r="AJ96" i="17" s="1"/>
  <c r="P42" i="13"/>
  <c r="P15" i="13" a="1"/>
  <c r="P15" i="13" s="1"/>
  <c r="P98" i="13"/>
  <c r="P31" i="13" a="1"/>
  <c r="P31" i="13" s="1"/>
  <c r="P81" i="13"/>
  <c r="P27" i="13" a="1"/>
  <c r="P27" i="13" s="1"/>
  <c r="P60" i="13"/>
  <c r="P17" i="13" a="1"/>
  <c r="P17" i="13" s="1"/>
  <c r="P66" i="13"/>
  <c r="P19" i="13" a="1"/>
  <c r="P19" i="13" s="1"/>
  <c r="P94" i="13"/>
  <c r="P32" i="13" a="1"/>
  <c r="P32" i="13" s="1"/>
  <c r="P85" i="13"/>
  <c r="P28" i="13" a="1"/>
  <c r="P28" i="13" s="1"/>
  <c r="AI99" i="17"/>
  <c r="AI101" i="17" s="1"/>
  <c r="AI96" i="17" s="1"/>
  <c r="P46" i="13"/>
  <c r="P16" i="13" a="1"/>
  <c r="P16" i="13" s="1"/>
  <c r="P100" i="13"/>
  <c r="P33" i="13" a="1"/>
  <c r="P33" i="13" s="1"/>
  <c r="Q9" i="8"/>
  <c r="Q11" i="8" s="1"/>
  <c r="P34" i="13" a="1"/>
  <c r="P34" i="13" s="1"/>
  <c r="Q10" i="8"/>
  <c r="P21" i="13" a="1"/>
  <c r="P21" i="13" s="1"/>
  <c r="P92" i="13"/>
  <c r="P30" i="13" a="1"/>
  <c r="P30" i="13" s="1"/>
  <c r="P54" i="13"/>
  <c r="P18" i="13" a="1"/>
  <c r="P18" i="13" s="1"/>
  <c r="P80" i="13"/>
  <c r="P24" i="13" a="1"/>
  <c r="P24" i="13" s="1"/>
  <c r="P29" i="13" a="1"/>
  <c r="P29" i="13" s="1"/>
  <c r="O148" i="13"/>
  <c r="AP82" i="20"/>
  <c r="AJ6" i="17"/>
  <c r="AS6" i="12"/>
  <c r="AS20" i="12"/>
  <c r="Q44" i="13" s="1"/>
  <c r="AJ90" i="30" s="1"/>
  <c r="AS32" i="12"/>
  <c r="Q50" i="13" s="1"/>
  <c r="AS79" i="12"/>
  <c r="Q84" i="13" s="1"/>
  <c r="AS103" i="12"/>
  <c r="Q102" i="13" s="1"/>
  <c r="AS7" i="12"/>
  <c r="AS47" i="12"/>
  <c r="Q65" i="13" s="1"/>
  <c r="AS40" i="12"/>
  <c r="Q58" i="13" s="1"/>
  <c r="AS80" i="12"/>
  <c r="AS104" i="12"/>
  <c r="P160" i="13"/>
  <c r="AS39" i="12"/>
  <c r="Q57" i="13" s="1"/>
  <c r="AS82" i="12"/>
  <c r="Q87" i="13" s="1"/>
  <c r="AS49" i="12"/>
  <c r="Q67" i="13" s="1"/>
  <c r="AS78" i="12"/>
  <c r="Q83" i="13" s="1"/>
  <c r="AS38" i="12"/>
  <c r="Q56" i="13" s="1"/>
  <c r="AS29" i="12"/>
  <c r="AS94" i="12"/>
  <c r="Q96" i="13" s="1"/>
  <c r="AS50" i="12"/>
  <c r="Q68" i="13" s="1"/>
  <c r="AS58" i="12"/>
  <c r="AS96" i="12"/>
  <c r="AT5" i="12"/>
  <c r="AT42" i="12" s="1"/>
  <c r="AS31" i="12"/>
  <c r="Q49" i="13" s="1"/>
  <c r="AS77" i="12"/>
  <c r="Q82" i="13" s="1"/>
  <c r="AS102" i="12"/>
  <c r="Q101" i="13" s="1"/>
  <c r="AS81" i="12"/>
  <c r="Q86" i="13" s="1"/>
  <c r="AS41" i="12"/>
  <c r="Q59" i="13" s="1"/>
  <c r="AS106" i="12"/>
  <c r="Q105" i="13" s="1"/>
  <c r="AS4" i="12"/>
  <c r="AS37" i="12"/>
  <c r="Q55" i="13" s="1"/>
  <c r="AS59" i="12"/>
  <c r="Q72" i="13" s="1"/>
  <c r="AS89" i="12"/>
  <c r="AS46" i="12"/>
  <c r="Q64" i="13" s="1"/>
  <c r="AS36" i="12"/>
  <c r="AS64" i="12"/>
  <c r="Q74" i="13" s="1"/>
  <c r="AS92" i="12"/>
  <c r="AS51" i="12"/>
  <c r="Q69" i="13" s="1"/>
  <c r="AS83" i="12"/>
  <c r="Q88" i="13" s="1"/>
  <c r="AS93" i="12"/>
  <c r="Q95" i="13" s="1"/>
  <c r="AS19" i="12"/>
  <c r="Q43" i="13" s="1"/>
  <c r="AS8" i="12"/>
  <c r="AS48" i="12"/>
  <c r="AS30" i="12"/>
  <c r="Q48" i="13" s="1"/>
  <c r="AS105" i="12"/>
  <c r="Q104" i="13" s="1"/>
  <c r="AS12" i="12"/>
  <c r="AS35" i="12"/>
  <c r="Q53" i="13" s="1"/>
  <c r="AS84" i="12"/>
  <c r="Q89" i="13" s="1"/>
  <c r="AS90" i="12"/>
  <c r="AS13" i="12"/>
  <c r="Q40" i="13" s="1"/>
  <c r="AS34" i="12"/>
  <c r="Q52" i="13" s="1"/>
  <c r="AS85" i="12"/>
  <c r="Q90" i="13" s="1"/>
  <c r="AS91" i="12"/>
  <c r="Q93" i="13" s="1"/>
  <c r="AF139" i="17"/>
  <c r="AG139" i="17"/>
  <c r="O154" i="13"/>
  <c r="U7" i="20"/>
  <c r="J7" i="22"/>
  <c r="U6" i="20"/>
  <c r="U8" i="20" s="1"/>
  <c r="V87" i="12"/>
  <c r="K7" i="15"/>
  <c r="O155" i="13"/>
  <c r="O163" i="13"/>
  <c r="O164" i="13"/>
  <c r="O150" i="13"/>
  <c r="AF31" i="16"/>
  <c r="AT52" i="20"/>
  <c r="AG45" i="17" a="1"/>
  <c r="AG45" i="17" s="1"/>
  <c r="AF45" i="17" a="1"/>
  <c r="AF45" i="17" s="1"/>
  <c r="AH45" i="17" a="1"/>
  <c r="AH45" i="17" s="1"/>
  <c r="N45" i="17" s="1"/>
  <c r="AR107" i="20"/>
  <c r="AR90" i="20"/>
  <c r="O134" i="13" s="1"/>
  <c r="AR108" i="20"/>
  <c r="AR83" i="20"/>
  <c r="AI45" i="17" a="1"/>
  <c r="AI45" i="17" s="1"/>
  <c r="AQ109" i="20" a="1"/>
  <c r="AQ109" i="20" s="1"/>
  <c r="AQ111" i="20" a="1"/>
  <c r="AQ111" i="20" s="1"/>
  <c r="AQ110" i="20"/>
  <c r="AQ85" i="20"/>
  <c r="N130" i="13" s="1"/>
  <c r="AQ87" i="20"/>
  <c r="N132" i="13" s="1"/>
  <c r="AR76" i="20"/>
  <c r="O122" i="13" s="1"/>
  <c r="AR77" i="20"/>
  <c r="O123" i="13" s="1"/>
  <c r="AR91" i="20"/>
  <c r="O135" i="13" s="1"/>
  <c r="AP96" i="20"/>
  <c r="AJ45" i="17" a="1"/>
  <c r="AJ45" i="17" s="1"/>
  <c r="AJ5" i="22"/>
  <c r="AI7" i="22"/>
  <c r="AI8" i="22"/>
  <c r="AI6" i="22"/>
  <c r="AI4" i="22"/>
  <c r="P4" i="22"/>
  <c r="O7" i="22"/>
  <c r="O6" i="22"/>
  <c r="AH39" i="22"/>
  <c r="AF39" i="22"/>
  <c r="D40" i="22"/>
  <c r="AG39" i="22"/>
  <c r="AE39" i="22"/>
  <c r="AH90" i="22"/>
  <c r="D91" i="22"/>
  <c r="AF90" i="22"/>
  <c r="AG90" i="22"/>
  <c r="AE90" i="22"/>
  <c r="AP106" i="20"/>
  <c r="I7" i="9"/>
  <c r="I6" i="9"/>
  <c r="I8" i="9" s="1"/>
  <c r="AQ72" i="20"/>
  <c r="N119" i="13" s="1"/>
  <c r="AQ71" i="20"/>
  <c r="N118" i="13" s="1"/>
  <c r="AQ73" i="20"/>
  <c r="N120" i="13" s="1"/>
  <c r="AU54" i="20"/>
  <c r="AR62" i="20"/>
  <c r="O110" i="13" s="1"/>
  <c r="AR63" i="20"/>
  <c r="AR64" i="20"/>
  <c r="AR65" i="20"/>
  <c r="AQ99" i="20"/>
  <c r="N142" i="13" s="1"/>
  <c r="AQ101" i="20"/>
  <c r="N144" i="13" s="1"/>
  <c r="AQ100" i="20"/>
  <c r="N143" i="13" s="1"/>
  <c r="AP78" i="20" a="1"/>
  <c r="AP78" i="20" s="1"/>
  <c r="M124" i="13" s="1"/>
  <c r="AP79" i="20"/>
  <c r="M125" i="13" s="1"/>
  <c r="AP80" i="20" a="1"/>
  <c r="AP80" i="20" s="1"/>
  <c r="M126" i="13" s="1"/>
  <c r="AP92" i="20" a="1"/>
  <c r="AP92" i="20" s="1"/>
  <c r="M136" i="13" s="1"/>
  <c r="AP93" i="20"/>
  <c r="M137" i="13" s="1"/>
  <c r="AP94" i="20" a="1"/>
  <c r="AP94" i="20" s="1"/>
  <c r="M138" i="13" s="1"/>
  <c r="AS102" i="20"/>
  <c r="P145" i="13" s="1"/>
  <c r="AS88" i="20"/>
  <c r="P133" i="13" s="1"/>
  <c r="AS81" i="20"/>
  <c r="P127" i="13" s="1"/>
  <c r="AS95" i="20"/>
  <c r="P139" i="13" s="1"/>
  <c r="AU57" i="20"/>
  <c r="AU97" i="20" s="1"/>
  <c r="R140" i="13" s="1"/>
  <c r="AU56" i="20"/>
  <c r="AU55" i="20"/>
  <c r="AQ60" i="20"/>
  <c r="AP68" i="20"/>
  <c r="AQ115" i="20"/>
  <c r="AR70" i="20"/>
  <c r="O117" i="13" s="1"/>
  <c r="AR10" i="20"/>
  <c r="AR61" i="20"/>
  <c r="O109" i="13" s="1"/>
  <c r="AR69" i="20"/>
  <c r="O116" i="13" s="1"/>
  <c r="AS23" i="20"/>
  <c r="AS28" i="20"/>
  <c r="AS21" i="20"/>
  <c r="AS26" i="20"/>
  <c r="AS35" i="20"/>
  <c r="AS33" i="20"/>
  <c r="AS29" i="20"/>
  <c r="AS22" i="20"/>
  <c r="AS31" i="20"/>
  <c r="AS16" i="20"/>
  <c r="AS20" i="20"/>
  <c r="AS30" i="20"/>
  <c r="AS27" i="20"/>
  <c r="AS32" i="20"/>
  <c r="AS34" i="20"/>
  <c r="AS17" i="20"/>
  <c r="AS14" i="20"/>
  <c r="AS24" i="20"/>
  <c r="AS15" i="20"/>
  <c r="AS13" i="20"/>
  <c r="AS12" i="20"/>
  <c r="AS11" i="20"/>
  <c r="AS18" i="20"/>
  <c r="AS19" i="20"/>
  <c r="AS25" i="20"/>
  <c r="AS74" i="20"/>
  <c r="P121" i="13" s="1"/>
  <c r="AT4" i="20"/>
  <c r="AU5" i="20"/>
  <c r="AT8" i="20"/>
  <c r="AT112" i="20" s="1"/>
  <c r="AT6" i="20"/>
  <c r="AT7" i="20"/>
  <c r="Z7" i="20"/>
  <c r="Z6" i="20"/>
  <c r="AA4" i="20"/>
  <c r="AV53" i="20"/>
  <c r="AT20" i="16"/>
  <c r="E80" i="16" a="1"/>
  <c r="E80" i="16" s="1"/>
  <c r="AK16" i="16"/>
  <c r="E30" i="16" a="1"/>
  <c r="E30" i="16" s="1"/>
  <c r="AI11" i="16"/>
  <c r="AI15" i="16"/>
  <c r="AI14" i="16" s="1"/>
  <c r="AI19" i="16"/>
  <c r="AI18" i="16" s="1"/>
  <c r="AK5" i="16"/>
  <c r="AJ6" i="16"/>
  <c r="AJ7" i="16"/>
  <c r="AJ8" i="16"/>
  <c r="AH32" i="16" s="1"/>
  <c r="AJ4" i="16"/>
  <c r="AI78" i="16"/>
  <c r="AI28" i="16"/>
  <c r="AG81" i="16"/>
  <c r="AF81" i="16"/>
  <c r="AH81" i="16"/>
  <c r="AH31" i="16"/>
  <c r="AG25" i="15"/>
  <c r="AH12" i="15"/>
  <c r="AH10" i="15" s="1"/>
  <c r="AG22" i="15"/>
  <c r="AG25" i="14" s="1"/>
  <c r="Q8" i="17"/>
  <c r="AJ4" i="15"/>
  <c r="AJ7" i="15"/>
  <c r="AJ6" i="15"/>
  <c r="AK5" i="15"/>
  <c r="AJ8" i="15"/>
  <c r="AJ78" i="15" s="1"/>
  <c r="AF31" i="15"/>
  <c r="AG31" i="15"/>
  <c r="AI15" i="15" a="1"/>
  <c r="AI15" i="15" s="1"/>
  <c r="AI14" i="15" s="1"/>
  <c r="AI19" i="15" a="1"/>
  <c r="AI19" i="15" s="1"/>
  <c r="AI11" i="15" a="1"/>
  <c r="AI11" i="15" s="1"/>
  <c r="AI28" i="15"/>
  <c r="E30" i="15" a="1"/>
  <c r="E30" i="15" s="1"/>
  <c r="AK16" i="15"/>
  <c r="K5" i="14"/>
  <c r="J6" i="14"/>
  <c r="J8" i="14" s="1"/>
  <c r="J7" i="14"/>
  <c r="K4" i="14"/>
  <c r="E29" i="15" a="1"/>
  <c r="E29" i="15" s="1"/>
  <c r="AI29" i="15" s="1"/>
  <c r="AJ16" i="15"/>
  <c r="AS20" i="15"/>
  <c r="E79" i="15" a="1"/>
  <c r="E79" i="15" s="1"/>
  <c r="AI79" i="15" s="1"/>
  <c r="AI80" i="15"/>
  <c r="AF81" i="15"/>
  <c r="AG81" i="15"/>
  <c r="AH81" i="15"/>
  <c r="AT20" i="15"/>
  <c r="S4" i="17"/>
  <c r="S5" i="17" s="1"/>
  <c r="R7" i="17"/>
  <c r="R6" i="17"/>
  <c r="J8" i="17"/>
  <c r="K7" i="17"/>
  <c r="K6" i="17"/>
  <c r="D50" i="17"/>
  <c r="D141" i="17"/>
  <c r="AI140" i="17"/>
  <c r="AH140" i="17"/>
  <c r="AG140" i="17"/>
  <c r="AF140" i="17"/>
  <c r="AG78" i="15"/>
  <c r="AF78" i="15"/>
  <c r="AH78" i="15"/>
  <c r="AI78" i="15"/>
  <c r="AG28" i="15"/>
  <c r="AH28" i="15"/>
  <c r="AF28" i="15"/>
  <c r="AJ4" i="14"/>
  <c r="AJ8" i="14"/>
  <c r="AI51" i="14" s="1"/>
  <c r="AJ7" i="14"/>
  <c r="AJ6" i="14"/>
  <c r="AK5" i="14"/>
  <c r="AF50" i="14"/>
  <c r="AH50" i="14"/>
  <c r="AG50" i="14"/>
  <c r="Q4" i="16"/>
  <c r="P7" i="16"/>
  <c r="P6" i="16"/>
  <c r="AG79" i="16"/>
  <c r="AH79" i="16"/>
  <c r="AI79" i="16"/>
  <c r="AG29" i="16"/>
  <c r="AI29" i="16"/>
  <c r="AH29" i="16"/>
  <c r="AH10" i="16"/>
  <c r="K8" i="16"/>
  <c r="D49" i="16"/>
  <c r="D83" i="16"/>
  <c r="D38" i="15"/>
  <c r="Q4" i="15"/>
  <c r="P7" i="15"/>
  <c r="P6" i="15"/>
  <c r="K8" i="15"/>
  <c r="D83" i="15"/>
  <c r="Q4" i="14"/>
  <c r="P7" i="14"/>
  <c r="P6" i="14"/>
  <c r="D55" i="14"/>
  <c r="H6" i="11"/>
  <c r="H8" i="11" s="1"/>
  <c r="H7" i="11"/>
  <c r="I7" i="10"/>
  <c r="I6" i="10"/>
  <c r="I8" i="10" s="1"/>
  <c r="AH7" i="9"/>
  <c r="AI5" i="9"/>
  <c r="AH6" i="9"/>
  <c r="AH8" i="9"/>
  <c r="AH4" i="9"/>
  <c r="AG4" i="11"/>
  <c r="AG8" i="11"/>
  <c r="AG7" i="11"/>
  <c r="AG6" i="11"/>
  <c r="AH5" i="11"/>
  <c r="S5" i="12"/>
  <c r="R6" i="12"/>
  <c r="R8" i="12" s="1"/>
  <c r="R7" i="12"/>
  <c r="S4" i="12"/>
  <c r="Q8" i="13"/>
  <c r="R5" i="13"/>
  <c r="Q4" i="13"/>
  <c r="Q7" i="13"/>
  <c r="Q6" i="13"/>
  <c r="Y4" i="12"/>
  <c r="X7" i="12"/>
  <c r="X6" i="12"/>
  <c r="N4" i="11"/>
  <c r="M6" i="11"/>
  <c r="M7" i="11"/>
  <c r="P7" i="10"/>
  <c r="Q4" i="10"/>
  <c r="Q5" i="10" s="1"/>
  <c r="P6" i="10"/>
  <c r="AH4" i="10"/>
  <c r="AH6" i="10"/>
  <c r="AI5" i="10"/>
  <c r="AH8" i="10"/>
  <c r="AH7" i="10"/>
  <c r="O8" i="10"/>
  <c r="AP48" i="8"/>
  <c r="AQ49" i="8"/>
  <c r="AP50" i="8"/>
  <c r="AP51" i="8"/>
  <c r="AP52" i="8"/>
  <c r="N7" i="9"/>
  <c r="O4" i="9"/>
  <c r="N6" i="9"/>
  <c r="W74" i="8"/>
  <c r="V77" i="8"/>
  <c r="V76" i="8"/>
  <c r="W48" i="8"/>
  <c r="V51" i="8"/>
  <c r="V50" i="8"/>
  <c r="V10" i="8"/>
  <c r="W7" i="8"/>
  <c r="V9" i="8"/>
  <c r="Q77" i="8"/>
  <c r="Q76" i="8"/>
  <c r="Q78" i="8" s="1"/>
  <c r="AQ75" i="8"/>
  <c r="AP74" i="8"/>
  <c r="AP78" i="8"/>
  <c r="AP77" i="8"/>
  <c r="AP76" i="8"/>
  <c r="P151" i="13" l="1"/>
  <c r="AG46" i="17" a="1"/>
  <c r="AG46" i="17" s="1"/>
  <c r="AI46" i="17" a="1"/>
  <c r="AI46" i="17" s="1"/>
  <c r="AJ46" i="17" a="1"/>
  <c r="AJ46" i="17" s="1"/>
  <c r="AF46" i="17" a="1"/>
  <c r="AF46" i="17" s="1"/>
  <c r="AG42" i="17"/>
  <c r="AR86" i="20"/>
  <c r="O131" i="13" s="1"/>
  <c r="O128" i="13"/>
  <c r="X65" i="20"/>
  <c r="O113" i="13"/>
  <c r="M115" i="13"/>
  <c r="X64" i="20"/>
  <c r="O112" i="13"/>
  <c r="X63" i="20"/>
  <c r="O111" i="13"/>
  <c r="W96" i="8"/>
  <c r="X95" i="8" s="1"/>
  <c r="AQ9" i="8"/>
  <c r="AR8" i="8"/>
  <c r="AR10" i="8" s="1"/>
  <c r="AQ7" i="8"/>
  <c r="AQ15" i="8" s="1" a="1"/>
  <c r="AQ15" i="8" s="1"/>
  <c r="AQ10" i="8"/>
  <c r="AQ11" i="8"/>
  <c r="V99" i="8"/>
  <c r="AK6" i="17"/>
  <c r="AL5" i="17"/>
  <c r="AL8" i="17" s="1"/>
  <c r="AK8" i="17"/>
  <c r="AK46" i="17" s="1" a="1"/>
  <c r="AK46" i="17" s="1"/>
  <c r="O46" i="17" s="1"/>
  <c r="Q80" i="13"/>
  <c r="AK7" i="17"/>
  <c r="P149" i="13"/>
  <c r="AT59" i="12"/>
  <c r="R72" i="13" s="1"/>
  <c r="AT63" i="12"/>
  <c r="P163" i="13"/>
  <c r="AT19" i="12"/>
  <c r="R43" i="13" s="1"/>
  <c r="AT34" i="12"/>
  <c r="R52" i="13" s="1"/>
  <c r="P159" i="13"/>
  <c r="P164" i="13"/>
  <c r="Q47" i="13"/>
  <c r="Q13" i="13" a="1"/>
  <c r="Q13" i="13" s="1"/>
  <c r="Q66" i="13"/>
  <c r="Q19" i="13" a="1"/>
  <c r="Q19" i="13" s="1"/>
  <c r="Q15" i="13" a="1"/>
  <c r="Q15" i="13" s="1"/>
  <c r="Q149" i="13" s="1"/>
  <c r="Q16" i="13" a="1"/>
  <c r="Q16" i="13" s="1"/>
  <c r="Q38" i="13"/>
  <c r="Q12" i="13" a="1"/>
  <c r="Q12" i="13" s="1"/>
  <c r="AL105" i="17"/>
  <c r="AK107" i="17"/>
  <c r="AK109" i="17" s="1"/>
  <c r="AK103" i="17" s="1"/>
  <c r="Q17" i="13" a="1"/>
  <c r="Q17" i="13" s="1"/>
  <c r="Q103" i="13"/>
  <c r="Q34" i="13" a="1"/>
  <c r="Q34" i="13" s="1"/>
  <c r="Q27" i="13" a="1"/>
  <c r="Q27" i="13" s="1"/>
  <c r="Q94" i="13"/>
  <c r="Q32" i="13" a="1"/>
  <c r="Q32" i="13" s="1"/>
  <c r="Q85" i="13"/>
  <c r="Q28" i="13" a="1"/>
  <c r="Q28" i="13" s="1"/>
  <c r="Q54" i="13"/>
  <c r="Q18" i="13" a="1"/>
  <c r="Q18" i="13" s="1"/>
  <c r="Q33" i="13" a="1"/>
  <c r="Q33" i="13" s="1"/>
  <c r="R60" i="13"/>
  <c r="Q92" i="13"/>
  <c r="Q30" i="13" a="1"/>
  <c r="Q30" i="13" s="1"/>
  <c r="Q98" i="13"/>
  <c r="Q31" i="13" a="1"/>
  <c r="Q31" i="13" s="1"/>
  <c r="Q71" i="13"/>
  <c r="Q160" i="13" s="1"/>
  <c r="Q21" i="13" a="1"/>
  <c r="Q21" i="13" s="1"/>
  <c r="Q151" i="13" s="1"/>
  <c r="Q91" i="13"/>
  <c r="Q29" i="13" a="1"/>
  <c r="Q29" i="13" s="1"/>
  <c r="AT20" i="12"/>
  <c r="R44" i="13" s="1"/>
  <c r="AK90" i="30" s="1"/>
  <c r="O90" i="30" s="1"/>
  <c r="AT33" i="12"/>
  <c r="R51" i="13" s="1"/>
  <c r="AT30" i="12"/>
  <c r="R48" i="13" s="1"/>
  <c r="AT44" i="12"/>
  <c r="R62" i="13" s="1"/>
  <c r="AT78" i="12"/>
  <c r="R83" i="13" s="1"/>
  <c r="AT73" i="12"/>
  <c r="R77" i="13" s="1"/>
  <c r="AT7" i="12"/>
  <c r="AT75" i="12"/>
  <c r="AT91" i="12"/>
  <c r="R93" i="13" s="1"/>
  <c r="AT64" i="12"/>
  <c r="R74" i="13" s="1"/>
  <c r="AT97" i="12"/>
  <c r="R99" i="13" s="1"/>
  <c r="AT90" i="12"/>
  <c r="AT89" i="12"/>
  <c r="AT13" i="12"/>
  <c r="R40" i="13" s="1"/>
  <c r="AT76" i="12"/>
  <c r="AT92" i="12"/>
  <c r="W92" i="12" s="1"/>
  <c r="AT18" i="12"/>
  <c r="AT93" i="12"/>
  <c r="R95" i="13" s="1"/>
  <c r="AT43" i="12"/>
  <c r="R61" i="13" s="1"/>
  <c r="AT28" i="12"/>
  <c r="AT51" i="12"/>
  <c r="R69" i="13" s="1"/>
  <c r="AT52" i="12"/>
  <c r="R70" i="13" s="1"/>
  <c r="AT94" i="12"/>
  <c r="R96" i="13" s="1"/>
  <c r="AT14" i="12"/>
  <c r="R41" i="13" s="1"/>
  <c r="AT49" i="12"/>
  <c r="R67" i="13" s="1"/>
  <c r="AT12" i="12"/>
  <c r="AT50" i="12"/>
  <c r="R68" i="13" s="1"/>
  <c r="AT77" i="12"/>
  <c r="R82" i="13" s="1"/>
  <c r="AT95" i="12"/>
  <c r="R97" i="13" s="1"/>
  <c r="AT45" i="12"/>
  <c r="R63" i="13" s="1"/>
  <c r="AT6" i="12"/>
  <c r="AT21" i="12"/>
  <c r="R45" i="13" s="1"/>
  <c r="AT35" i="12"/>
  <c r="R53" i="13" s="1"/>
  <c r="AT79" i="12"/>
  <c r="AT96" i="12"/>
  <c r="W96" i="12" s="1"/>
  <c r="P150" i="13"/>
  <c r="P154" i="13"/>
  <c r="AU5" i="12"/>
  <c r="AT39" i="12"/>
  <c r="R57" i="13" s="1"/>
  <c r="AT36" i="12"/>
  <c r="AT80" i="12"/>
  <c r="AT101" i="12"/>
  <c r="AT31" i="12"/>
  <c r="R49" i="13" s="1"/>
  <c r="AT37" i="12"/>
  <c r="R55" i="13" s="1"/>
  <c r="AT81" i="12"/>
  <c r="R86" i="13" s="1"/>
  <c r="AT102" i="12"/>
  <c r="AT4" i="12"/>
  <c r="AT29" i="12"/>
  <c r="AT38" i="12"/>
  <c r="R56" i="13" s="1"/>
  <c r="AT82" i="12"/>
  <c r="R87" i="13" s="1"/>
  <c r="AT103" i="12"/>
  <c r="AT41" i="12"/>
  <c r="R59" i="13" s="1"/>
  <c r="AT58" i="12"/>
  <c r="AT83" i="12"/>
  <c r="R88" i="13" s="1"/>
  <c r="AT106" i="12"/>
  <c r="AT8" i="12"/>
  <c r="AT48" i="12"/>
  <c r="AT32" i="12"/>
  <c r="R50" i="13" s="1"/>
  <c r="AT84" i="12"/>
  <c r="AT104" i="12"/>
  <c r="AT46" i="12"/>
  <c r="R64" i="13" s="1"/>
  <c r="AT47" i="12"/>
  <c r="R65" i="13" s="1"/>
  <c r="AT85" i="12"/>
  <c r="AT105" i="12"/>
  <c r="R104" i="13" s="1"/>
  <c r="AT40" i="12"/>
  <c r="R58" i="13" s="1"/>
  <c r="P155" i="13"/>
  <c r="AF32" i="15"/>
  <c r="AG32" i="15"/>
  <c r="AQ82" i="20"/>
  <c r="AS107" i="20"/>
  <c r="AS109" i="20" s="1" a="1"/>
  <c r="AS109" i="20" s="1"/>
  <c r="AI32" i="15"/>
  <c r="AG51" i="14"/>
  <c r="AF32" i="16"/>
  <c r="AG32" i="16"/>
  <c r="AR111" i="20" a="1"/>
  <c r="AR111" i="20" s="1"/>
  <c r="AR110" i="20"/>
  <c r="AR109" i="20" a="1"/>
  <c r="AR109" i="20" s="1"/>
  <c r="AS90" i="20"/>
  <c r="P134" i="13" s="1"/>
  <c r="AS108" i="20"/>
  <c r="X62" i="20"/>
  <c r="AH41" i="17"/>
  <c r="E47" i="17" s="1" a="1"/>
  <c r="E47" i="17" s="1"/>
  <c r="AF51" i="14"/>
  <c r="AR85" i="20"/>
  <c r="O130" i="13" s="1"/>
  <c r="AI32" i="16"/>
  <c r="AR87" i="20"/>
  <c r="O132" i="13" s="1"/>
  <c r="AH51" i="14"/>
  <c r="AU52" i="20"/>
  <c r="AS83" i="20"/>
  <c r="AS76" i="20"/>
  <c r="P122" i="13" s="1"/>
  <c r="AS77" i="20"/>
  <c r="P123" i="13" s="1"/>
  <c r="AS91" i="20"/>
  <c r="P135" i="13" s="1"/>
  <c r="AQ96" i="20"/>
  <c r="AL4" i="17"/>
  <c r="AL6" i="17"/>
  <c r="AM5" i="17"/>
  <c r="AH80" i="16"/>
  <c r="AI80" i="16"/>
  <c r="AR60" i="20"/>
  <c r="AJ7" i="22"/>
  <c r="AJ6" i="22"/>
  <c r="AK5" i="22"/>
  <c r="AJ8" i="22"/>
  <c r="AJ4" i="22"/>
  <c r="P5" i="22"/>
  <c r="AI40" i="22"/>
  <c r="AH40" i="22"/>
  <c r="D41" i="22"/>
  <c r="AG40" i="22"/>
  <c r="AE40" i="22"/>
  <c r="AF40" i="22"/>
  <c r="AI91" i="22"/>
  <c r="AH91" i="22"/>
  <c r="AG91" i="22"/>
  <c r="D92" i="22"/>
  <c r="AF91" i="22"/>
  <c r="AE91" i="22"/>
  <c r="O8" i="22"/>
  <c r="AQ68" i="20"/>
  <c r="AV54" i="20"/>
  <c r="AS65" i="20"/>
  <c r="P113" i="13" s="1"/>
  <c r="AS64" i="20"/>
  <c r="P112" i="13" s="1"/>
  <c r="AS63" i="20"/>
  <c r="P111" i="13" s="1"/>
  <c r="AS62" i="20"/>
  <c r="AP75" i="20"/>
  <c r="AP89" i="20"/>
  <c r="AR99" i="20"/>
  <c r="O142" i="13" s="1"/>
  <c r="AR100" i="20"/>
  <c r="O143" i="13" s="1"/>
  <c r="AR101" i="20"/>
  <c r="O144" i="13" s="1"/>
  <c r="AT95" i="20"/>
  <c r="Q139" i="13" s="1"/>
  <c r="AT88" i="20"/>
  <c r="Q133" i="13" s="1"/>
  <c r="AT102" i="20"/>
  <c r="Q145" i="13" s="1"/>
  <c r="AT81" i="20"/>
  <c r="Q127" i="13" s="1"/>
  <c r="AV57" i="20"/>
  <c r="AV97" i="20" s="1"/>
  <c r="S140" i="13" s="1"/>
  <c r="AV56" i="20"/>
  <c r="AV55" i="20"/>
  <c r="Y54" i="20"/>
  <c r="Y56" i="20"/>
  <c r="Y57" i="20"/>
  <c r="Y55" i="20"/>
  <c r="AQ106" i="20"/>
  <c r="AR73" i="20"/>
  <c r="O120" i="13" s="1"/>
  <c r="AR72" i="20"/>
  <c r="O119" i="13" s="1"/>
  <c r="AR71" i="20"/>
  <c r="O118" i="13" s="1"/>
  <c r="AS70" i="20"/>
  <c r="P117" i="13" s="1"/>
  <c r="AS10" i="20"/>
  <c r="AS61" i="20"/>
  <c r="P109" i="13" s="1"/>
  <c r="AS69" i="20"/>
  <c r="P116" i="13" s="1"/>
  <c r="AV5" i="20"/>
  <c r="AU6" i="20"/>
  <c r="AU8" i="20"/>
  <c r="AU112" i="20" s="1"/>
  <c r="AU7" i="20"/>
  <c r="AU4" i="20"/>
  <c r="AT74" i="20"/>
  <c r="Q121" i="13" s="1"/>
  <c r="AT14" i="20"/>
  <c r="AT16" i="20"/>
  <c r="AT22" i="20"/>
  <c r="AT28" i="20"/>
  <c r="AT30" i="20"/>
  <c r="AT20" i="20"/>
  <c r="AT21" i="20"/>
  <c r="AT23" i="20"/>
  <c r="AT24" i="20"/>
  <c r="AT27" i="20"/>
  <c r="AT31" i="20"/>
  <c r="AT26" i="20"/>
  <c r="AT32" i="20"/>
  <c r="AT33" i="20"/>
  <c r="AT34" i="20"/>
  <c r="AT35" i="20"/>
  <c r="AT29" i="20"/>
  <c r="AT15" i="20"/>
  <c r="AT17" i="20"/>
  <c r="AT12" i="20"/>
  <c r="AT19" i="20"/>
  <c r="AT25" i="20"/>
  <c r="AT18" i="20"/>
  <c r="AT13" i="20"/>
  <c r="AT11" i="20"/>
  <c r="AR115" i="20"/>
  <c r="AA5" i="20"/>
  <c r="AW53" i="20"/>
  <c r="Z8" i="20"/>
  <c r="AH30" i="16"/>
  <c r="AI30" i="16"/>
  <c r="AF82" i="16"/>
  <c r="AG82" i="16"/>
  <c r="AU20" i="16"/>
  <c r="E81" i="16" a="1"/>
  <c r="E81" i="16" s="1"/>
  <c r="AH82" i="16"/>
  <c r="AI82" i="16"/>
  <c r="AJ79" i="16"/>
  <c r="AL5" i="16"/>
  <c r="AK6" i="16"/>
  <c r="AK7" i="16"/>
  <c r="AK8" i="16"/>
  <c r="AJ33" i="16" s="1"/>
  <c r="AK4" i="16"/>
  <c r="AJ80" i="16"/>
  <c r="AJ30" i="16"/>
  <c r="AJ78" i="16"/>
  <c r="AJ28" i="16"/>
  <c r="AJ29" i="16"/>
  <c r="AJ11" i="16"/>
  <c r="AJ15" i="16"/>
  <c r="AJ14" i="16" s="1"/>
  <c r="AJ19" i="16"/>
  <c r="AJ18" i="16" s="1"/>
  <c r="AL16" i="16"/>
  <c r="E31" i="16" a="1"/>
  <c r="E31" i="16" s="1"/>
  <c r="R8" i="17"/>
  <c r="AK4" i="15"/>
  <c r="AK7" i="15"/>
  <c r="AK6" i="15"/>
  <c r="AL5" i="15"/>
  <c r="AK8" i="15"/>
  <c r="AJ33" i="15" s="1"/>
  <c r="AH32" i="15"/>
  <c r="AJ80" i="15"/>
  <c r="AJ79" i="15"/>
  <c r="AJ30" i="15"/>
  <c r="AJ29" i="15"/>
  <c r="AJ11" i="15" a="1"/>
  <c r="AJ11" i="15" s="1"/>
  <c r="AJ19" i="15" a="1"/>
  <c r="AJ19" i="15" s="1"/>
  <c r="AJ18" i="15" s="1"/>
  <c r="AJ28" i="15"/>
  <c r="AJ15" i="15" a="1"/>
  <c r="AJ15" i="15" s="1"/>
  <c r="AI18" i="15"/>
  <c r="K6" i="14"/>
  <c r="K8" i="14" s="1"/>
  <c r="K7" i="14"/>
  <c r="AH29" i="15"/>
  <c r="AG29" i="15"/>
  <c r="AH79" i="15"/>
  <c r="AG79" i="15"/>
  <c r="P8" i="16"/>
  <c r="AF82" i="15"/>
  <c r="AH82" i="15"/>
  <c r="AI82" i="15"/>
  <c r="AG82" i="15"/>
  <c r="AH30" i="15"/>
  <c r="AI30" i="15"/>
  <c r="T4" i="17"/>
  <c r="T5" i="17" s="1"/>
  <c r="S7" i="17"/>
  <c r="S6" i="17"/>
  <c r="K8" i="17"/>
  <c r="D51" i="17"/>
  <c r="D142" i="17"/>
  <c r="AL16" i="15"/>
  <c r="E31" i="15" a="1"/>
  <c r="E31" i="15" s="1"/>
  <c r="AJ47" i="14"/>
  <c r="AK4" i="14"/>
  <c r="AK8" i="14"/>
  <c r="AK7" i="14"/>
  <c r="AK6" i="14"/>
  <c r="AL5" i="14"/>
  <c r="Q5" i="16"/>
  <c r="AI12" i="16"/>
  <c r="AH25" i="16"/>
  <c r="AH22" i="16"/>
  <c r="AH27" i="14" s="1"/>
  <c r="D50" i="16"/>
  <c r="D84" i="16"/>
  <c r="D39" i="15"/>
  <c r="P8" i="14"/>
  <c r="Q5" i="15"/>
  <c r="AI12" i="15"/>
  <c r="AH22" i="15"/>
  <c r="AH25" i="14" s="1"/>
  <c r="AH25" i="15"/>
  <c r="D84" i="15"/>
  <c r="P8" i="15"/>
  <c r="Q5" i="14"/>
  <c r="D56" i="14"/>
  <c r="M8" i="11"/>
  <c r="AJ5" i="9"/>
  <c r="AI4" i="9"/>
  <c r="AI7" i="9"/>
  <c r="AI6" i="9"/>
  <c r="AI8" i="9"/>
  <c r="AH4" i="11"/>
  <c r="AH7" i="11"/>
  <c r="AH8" i="11"/>
  <c r="AH6" i="11"/>
  <c r="AI5" i="11"/>
  <c r="S6" i="12"/>
  <c r="S8" i="12" s="1"/>
  <c r="S7" i="12"/>
  <c r="R4" i="13"/>
  <c r="R7" i="13"/>
  <c r="R6" i="13"/>
  <c r="S5" i="13"/>
  <c r="R8" i="13"/>
  <c r="Y5" i="12"/>
  <c r="X8" i="12"/>
  <c r="N5" i="11"/>
  <c r="Q7" i="10"/>
  <c r="R4" i="10"/>
  <c r="R5" i="10" s="1"/>
  <c r="Q6" i="10"/>
  <c r="AI8" i="10"/>
  <c r="AI7" i="10"/>
  <c r="AI6" i="10"/>
  <c r="AJ5" i="10"/>
  <c r="AI4" i="10"/>
  <c r="P8" i="10"/>
  <c r="AQ50" i="8"/>
  <c r="AQ48" i="8"/>
  <c r="AQ51" i="8"/>
  <c r="AR49" i="8"/>
  <c r="AQ52" i="8"/>
  <c r="O5" i="9"/>
  <c r="N8" i="9"/>
  <c r="V78" i="8"/>
  <c r="V52" i="8"/>
  <c r="V11" i="8"/>
  <c r="W75" i="8"/>
  <c r="W49" i="8"/>
  <c r="W8" i="8"/>
  <c r="AQ78" i="8"/>
  <c r="AQ77" i="8"/>
  <c r="AQ76" i="8"/>
  <c r="AQ74" i="8"/>
  <c r="AR75" i="8"/>
  <c r="Q164" i="13" l="1"/>
  <c r="AR9" i="8"/>
  <c r="AR7" i="8"/>
  <c r="AR15" i="8" s="1" a="1"/>
  <c r="AR15" i="8" s="1"/>
  <c r="AR11" i="8"/>
  <c r="W97" i="8"/>
  <c r="W98" i="8"/>
  <c r="AS86" i="20"/>
  <c r="P131" i="13" s="1"/>
  <c r="P128" i="13"/>
  <c r="O108" i="13"/>
  <c r="AI41" i="17"/>
  <c r="E48" i="17" s="1" a="1"/>
  <c r="E48" i="17" s="1"/>
  <c r="AK48" i="17" s="1" a="1"/>
  <c r="AK48" i="17" s="1"/>
  <c r="O48" i="17" s="1"/>
  <c r="P110" i="13"/>
  <c r="W15" i="8" a="1"/>
  <c r="W15" i="8" s="1"/>
  <c r="W78" i="12"/>
  <c r="AS8" i="8"/>
  <c r="AT8" i="8" s="1"/>
  <c r="AL7" i="17"/>
  <c r="AF141" i="17"/>
  <c r="AH141" i="17"/>
  <c r="AG141" i="17"/>
  <c r="AI141" i="17"/>
  <c r="AJ141" i="17"/>
  <c r="AK45" i="17" a="1"/>
  <c r="AK45" i="17" s="1"/>
  <c r="O45" i="17" s="1"/>
  <c r="Q159" i="13"/>
  <c r="W93" i="12"/>
  <c r="W73" i="12"/>
  <c r="W97" i="12"/>
  <c r="W91" i="12"/>
  <c r="W94" i="12"/>
  <c r="AU43" i="12"/>
  <c r="S61" i="13" s="1"/>
  <c r="AU63" i="12"/>
  <c r="AU19" i="12"/>
  <c r="S43" i="13" s="1"/>
  <c r="AU14" i="12"/>
  <c r="S41" i="13" s="1"/>
  <c r="AU64" i="12"/>
  <c r="S74" i="13" s="1"/>
  <c r="AU31" i="12"/>
  <c r="S49" i="13" s="1"/>
  <c r="AU75" i="12"/>
  <c r="S24" i="13" s="1" a="1"/>
  <c r="S24" i="13" s="1"/>
  <c r="AU78" i="12"/>
  <c r="S83" i="13" s="1"/>
  <c r="AU92" i="12"/>
  <c r="S94" i="13" s="1"/>
  <c r="AU97" i="12"/>
  <c r="S99" i="13" s="1"/>
  <c r="AU102" i="12"/>
  <c r="S101" i="13" s="1"/>
  <c r="AU50" i="12"/>
  <c r="S68" i="13" s="1"/>
  <c r="AU37" i="12"/>
  <c r="S55" i="13" s="1"/>
  <c r="AU49" i="12"/>
  <c r="S67" i="13" s="1"/>
  <c r="AU83" i="12"/>
  <c r="S88" i="13" s="1"/>
  <c r="AU93" i="12"/>
  <c r="S95" i="13" s="1"/>
  <c r="AU12" i="12"/>
  <c r="S38" i="13" s="1"/>
  <c r="AU94" i="12"/>
  <c r="S96" i="13" s="1"/>
  <c r="AU36" i="12"/>
  <c r="S54" i="13" s="1"/>
  <c r="AU84" i="12"/>
  <c r="S89" i="13" s="1"/>
  <c r="AU13" i="12"/>
  <c r="S40" i="13" s="1"/>
  <c r="AU28" i="12"/>
  <c r="S46" i="13" s="1"/>
  <c r="AU73" i="12"/>
  <c r="S77" i="13" s="1"/>
  <c r="AU95" i="12"/>
  <c r="S97" i="13" s="1"/>
  <c r="AU18" i="12"/>
  <c r="S42" i="13" s="1"/>
  <c r="AU29" i="12"/>
  <c r="S47" i="13" s="1"/>
  <c r="AU76" i="12"/>
  <c r="S81" i="13" s="1"/>
  <c r="AU96" i="12"/>
  <c r="S98" i="13" s="1"/>
  <c r="AU103" i="12"/>
  <c r="S102" i="13" s="1"/>
  <c r="AU80" i="12"/>
  <c r="S85" i="13" s="1"/>
  <c r="AU21" i="12"/>
  <c r="S45" i="13" s="1"/>
  <c r="AU20" i="12"/>
  <c r="S44" i="13" s="1"/>
  <c r="AL90" i="30" s="1"/>
  <c r="AU33" i="12"/>
  <c r="S51" i="13" s="1"/>
  <c r="AU77" i="12"/>
  <c r="S82" i="13" s="1"/>
  <c r="AV5" i="12"/>
  <c r="AV63" i="12" s="1"/>
  <c r="AU30" i="12"/>
  <c r="S48" i="13" s="1"/>
  <c r="AU34" i="12"/>
  <c r="S52" i="13" s="1"/>
  <c r="AU81" i="12"/>
  <c r="S86" i="13" s="1"/>
  <c r="AU106" i="12"/>
  <c r="S105" i="13" s="1"/>
  <c r="AU7" i="12"/>
  <c r="AU46" i="12"/>
  <c r="S64" i="13" s="1"/>
  <c r="AU52" i="12"/>
  <c r="S70" i="13" s="1"/>
  <c r="AU85" i="12"/>
  <c r="S90" i="13" s="1"/>
  <c r="AU101" i="12"/>
  <c r="AU32" i="12"/>
  <c r="S50" i="13" s="1"/>
  <c r="AU39" i="12"/>
  <c r="S57" i="13" s="1"/>
  <c r="AU35" i="12"/>
  <c r="S53" i="13" s="1"/>
  <c r="AU79" i="12"/>
  <c r="S84" i="13" s="1"/>
  <c r="AU6" i="12"/>
  <c r="AU51" i="12"/>
  <c r="S69" i="13" s="1"/>
  <c r="AU105" i="12"/>
  <c r="S104" i="13" s="1"/>
  <c r="AU47" i="12"/>
  <c r="S65" i="13" s="1"/>
  <c r="AU89" i="12"/>
  <c r="S91" i="13" s="1"/>
  <c r="AU4" i="12"/>
  <c r="AU38" i="12"/>
  <c r="S56" i="13" s="1"/>
  <c r="AU58" i="12"/>
  <c r="S71" i="13" s="1"/>
  <c r="AU90" i="12"/>
  <c r="S92" i="13" s="1"/>
  <c r="AU104" i="12"/>
  <c r="S103" i="13" s="1"/>
  <c r="AU40" i="12"/>
  <c r="S58" i="13" s="1"/>
  <c r="AU8" i="12"/>
  <c r="AU82" i="12"/>
  <c r="S87" i="13" s="1"/>
  <c r="AU41" i="12"/>
  <c r="S59" i="13" s="1"/>
  <c r="AU48" i="12"/>
  <c r="S66" i="13" s="1"/>
  <c r="AU59" i="12"/>
  <c r="S72" i="13" s="1"/>
  <c r="AU91" i="12"/>
  <c r="S93" i="13" s="1"/>
  <c r="W75" i="12"/>
  <c r="AU45" i="12"/>
  <c r="S63" i="13" s="1"/>
  <c r="Q163" i="13"/>
  <c r="AU44" i="12"/>
  <c r="S62" i="13" s="1"/>
  <c r="AU42" i="12"/>
  <c r="S60" i="13" s="1"/>
  <c r="W104" i="12"/>
  <c r="R103" i="13"/>
  <c r="R34" i="13" a="1"/>
  <c r="R34" i="13" s="1"/>
  <c r="W102" i="12"/>
  <c r="R101" i="13"/>
  <c r="W79" i="12"/>
  <c r="R84" i="13"/>
  <c r="W84" i="12"/>
  <c r="R89" i="13"/>
  <c r="AM105" i="17"/>
  <c r="AL107" i="17"/>
  <c r="AL109" i="17" s="1"/>
  <c r="AL103" i="17" s="1"/>
  <c r="R80" i="13"/>
  <c r="R24" i="13" a="1"/>
  <c r="R24" i="13" s="1"/>
  <c r="R66" i="13"/>
  <c r="R19" i="13" a="1"/>
  <c r="R19" i="13" s="1"/>
  <c r="AK99" i="17"/>
  <c r="AK101" i="17" s="1"/>
  <c r="AK96" i="17" s="1"/>
  <c r="R46" i="13"/>
  <c r="R16" i="13" a="1"/>
  <c r="R16" i="13" s="1"/>
  <c r="AL99" i="17"/>
  <c r="AL101" i="17" s="1"/>
  <c r="AL96" i="17" s="1"/>
  <c r="R17" i="13" a="1"/>
  <c r="R17" i="13" s="1"/>
  <c r="W106" i="12"/>
  <c r="R105" i="13"/>
  <c r="R100" i="13"/>
  <c r="R33" i="13" a="1"/>
  <c r="R33" i="13" s="1"/>
  <c r="W80" i="12"/>
  <c r="R85" i="13"/>
  <c r="R28" i="13" a="1"/>
  <c r="R28" i="13" s="1"/>
  <c r="R71" i="13"/>
  <c r="R160" i="13" s="1"/>
  <c r="R21" i="13" a="1"/>
  <c r="R21" i="13" s="1"/>
  <c r="R151" i="13" s="1"/>
  <c r="R54" i="13"/>
  <c r="R18" i="13" a="1"/>
  <c r="R18" i="13" s="1"/>
  <c r="R38" i="13"/>
  <c r="R12" i="13" a="1"/>
  <c r="R12" i="13" s="1"/>
  <c r="R148" i="13" s="1"/>
  <c r="R42" i="13"/>
  <c r="R15" i="13" a="1"/>
  <c r="R15" i="13" s="1"/>
  <c r="W103" i="12"/>
  <c r="R102" i="13"/>
  <c r="R94" i="13"/>
  <c r="R32" i="13" a="1"/>
  <c r="R32" i="13" s="1"/>
  <c r="W76" i="12"/>
  <c r="R81" i="13"/>
  <c r="R27" i="13" a="1"/>
  <c r="R27" i="13" s="1"/>
  <c r="R47" i="13"/>
  <c r="R13" i="13" a="1"/>
  <c r="R13" i="13" s="1"/>
  <c r="R91" i="13"/>
  <c r="R29" i="13" a="1"/>
  <c r="R29" i="13" s="1"/>
  <c r="W85" i="12"/>
  <c r="R90" i="13"/>
  <c r="W90" i="12"/>
  <c r="R92" i="13"/>
  <c r="R30" i="13" a="1"/>
  <c r="R30" i="13" s="1"/>
  <c r="R98" i="13"/>
  <c r="R31" i="13" a="1"/>
  <c r="R31" i="13" s="1"/>
  <c r="Q148" i="13"/>
  <c r="W89" i="12"/>
  <c r="Q155" i="13"/>
  <c r="W81" i="12"/>
  <c r="W82" i="12"/>
  <c r="W77" i="12"/>
  <c r="W95" i="12"/>
  <c r="Q150" i="13"/>
  <c r="Q154" i="13"/>
  <c r="W105" i="12"/>
  <c r="W83" i="12"/>
  <c r="W101" i="12"/>
  <c r="AS111" i="20" a="1"/>
  <c r="AS111" i="20" s="1"/>
  <c r="AS110" i="20"/>
  <c r="AI52" i="14"/>
  <c r="AT91" i="20"/>
  <c r="Q135" i="13" s="1"/>
  <c r="AH33" i="15"/>
  <c r="AI33" i="16"/>
  <c r="AS85" i="20"/>
  <c r="P130" i="13" s="1"/>
  <c r="AF33" i="16"/>
  <c r="AH33" i="16"/>
  <c r="AG33" i="16"/>
  <c r="AH52" i="14"/>
  <c r="AF52" i="14"/>
  <c r="AH42" i="17"/>
  <c r="AG52" i="14"/>
  <c r="AH47" i="17" a="1"/>
  <c r="AH47" i="17" s="1"/>
  <c r="N47" i="17" s="1"/>
  <c r="AG47" i="17" a="1"/>
  <c r="AG47" i="17" s="1"/>
  <c r="AF47" i="17" a="1"/>
  <c r="AF47" i="17" s="1"/>
  <c r="AI47" i="17" a="1"/>
  <c r="AI47" i="17" s="1"/>
  <c r="AJ47" i="17" a="1"/>
  <c r="AJ47" i="17" s="1"/>
  <c r="AT107" i="20"/>
  <c r="AK47" i="17" a="1"/>
  <c r="AK47" i="17" s="1"/>
  <c r="O47" i="17" s="1"/>
  <c r="AI48" i="17" a="1"/>
  <c r="AI48" i="17" s="1"/>
  <c r="AT83" i="20"/>
  <c r="AR82" i="20"/>
  <c r="AT90" i="20"/>
  <c r="Q134" i="13" s="1"/>
  <c r="AT108" i="20"/>
  <c r="AS87" i="20"/>
  <c r="P132" i="13" s="1"/>
  <c r="AT76" i="20"/>
  <c r="Q122" i="13" s="1"/>
  <c r="AT77" i="20"/>
  <c r="Q123" i="13" s="1"/>
  <c r="AP114" i="20"/>
  <c r="AM4" i="17"/>
  <c r="AM7" i="17"/>
  <c r="AM6" i="17"/>
  <c r="AN5" i="17"/>
  <c r="AM8" i="17"/>
  <c r="AL47" i="17" a="1"/>
  <c r="AL47" i="17" s="1"/>
  <c r="AL46" i="17" a="1"/>
  <c r="AL46" i="17" s="1"/>
  <c r="AL45" i="17" a="1"/>
  <c r="AL45" i="17" s="1"/>
  <c r="AR96" i="20"/>
  <c r="AV52" i="20"/>
  <c r="AR68" i="20"/>
  <c r="AL5" i="22"/>
  <c r="AK6" i="22"/>
  <c r="AK8" i="22"/>
  <c r="AK7" i="22"/>
  <c r="AK4" i="22"/>
  <c r="Q4" i="22"/>
  <c r="P7" i="22"/>
  <c r="P6" i="22"/>
  <c r="AJ41" i="22"/>
  <c r="AI41" i="22"/>
  <c r="AH41" i="22"/>
  <c r="AF41" i="22"/>
  <c r="D42" i="22"/>
  <c r="AG41" i="22"/>
  <c r="AE41" i="22"/>
  <c r="AJ92" i="22"/>
  <c r="AI92" i="22"/>
  <c r="AH92" i="22"/>
  <c r="D93" i="22"/>
  <c r="AG92" i="22"/>
  <c r="AF92" i="22"/>
  <c r="AE92" i="22"/>
  <c r="AW54" i="20"/>
  <c r="AT65" i="20"/>
  <c r="Q113" i="13" s="1"/>
  <c r="AT64" i="20"/>
  <c r="Q112" i="13" s="1"/>
  <c r="AT63" i="20"/>
  <c r="Q111" i="13" s="1"/>
  <c r="AT62" i="20"/>
  <c r="AS99" i="20"/>
  <c r="P142" i="13" s="1"/>
  <c r="AS101" i="20"/>
  <c r="P144" i="13" s="1"/>
  <c r="AS100" i="20"/>
  <c r="P143" i="13" s="1"/>
  <c r="AQ80" i="20"/>
  <c r="N126" i="13" s="1"/>
  <c r="AQ78" i="20"/>
  <c r="N124" i="13" s="1"/>
  <c r="AQ79" i="20"/>
  <c r="N125" i="13" s="1"/>
  <c r="AQ92" i="20"/>
  <c r="N136" i="13" s="1"/>
  <c r="AQ93" i="20"/>
  <c r="N137" i="13" s="1"/>
  <c r="AQ94" i="20"/>
  <c r="N138" i="13" s="1"/>
  <c r="AR79" i="20"/>
  <c r="O125" i="13" s="1"/>
  <c r="AR78" i="20"/>
  <c r="O124" i="13" s="1"/>
  <c r="AR80" i="20"/>
  <c r="O126" i="13" s="1"/>
  <c r="AR92" i="20"/>
  <c r="O136" i="13" s="1"/>
  <c r="AR93" i="20"/>
  <c r="O137" i="13" s="1"/>
  <c r="AR94" i="20"/>
  <c r="O138" i="13" s="1"/>
  <c r="AS60" i="20"/>
  <c r="AU95" i="20"/>
  <c r="R139" i="13" s="1"/>
  <c r="AU81" i="20"/>
  <c r="R127" i="13" s="1"/>
  <c r="AU102" i="20"/>
  <c r="R145" i="13" s="1"/>
  <c r="AU88" i="20"/>
  <c r="R133" i="13" s="1"/>
  <c r="AW57" i="20"/>
  <c r="AW97" i="20" s="1"/>
  <c r="T140" i="13" s="1"/>
  <c r="AW56" i="20"/>
  <c r="AW55" i="20"/>
  <c r="AR106" i="20"/>
  <c r="AS73" i="20"/>
  <c r="P120" i="13" s="1"/>
  <c r="AS71" i="20"/>
  <c r="P118" i="13" s="1"/>
  <c r="AS72" i="20"/>
  <c r="P119" i="13" s="1"/>
  <c r="AW5" i="20"/>
  <c r="AV6" i="20"/>
  <c r="AV7" i="20"/>
  <c r="AV8" i="20"/>
  <c r="AV112" i="20" s="1"/>
  <c r="AV4" i="20"/>
  <c r="AU74" i="20"/>
  <c r="R121" i="13" s="1"/>
  <c r="AU11" i="20"/>
  <c r="AU19" i="20"/>
  <c r="AU18" i="20"/>
  <c r="AU12" i="20"/>
  <c r="AU13" i="20"/>
  <c r="AU25" i="20"/>
  <c r="AU15" i="20"/>
  <c r="AU17" i="20"/>
  <c r="AU24" i="20"/>
  <c r="AU27" i="20"/>
  <c r="AU29" i="20"/>
  <c r="AU31" i="20"/>
  <c r="AU20" i="20"/>
  <c r="AU21" i="20"/>
  <c r="AU28" i="20"/>
  <c r="AU26" i="20"/>
  <c r="AU32" i="20"/>
  <c r="AU33" i="20"/>
  <c r="AU34" i="20"/>
  <c r="AU14" i="20"/>
  <c r="AU16" i="20"/>
  <c r="AU22" i="20"/>
  <c r="AU23" i="20"/>
  <c r="AU30" i="20"/>
  <c r="AU35" i="20"/>
  <c r="AT70" i="20"/>
  <c r="Q117" i="13" s="1"/>
  <c r="AT69" i="20"/>
  <c r="Q116" i="13" s="1"/>
  <c r="AT61" i="20"/>
  <c r="Q109" i="13" s="1"/>
  <c r="AS115" i="20"/>
  <c r="AT10" i="20"/>
  <c r="AA7" i="20"/>
  <c r="AA6" i="20"/>
  <c r="AB4" i="20"/>
  <c r="AX53" i="20"/>
  <c r="AI81" i="16"/>
  <c r="AJ81" i="16"/>
  <c r="AM5" i="16"/>
  <c r="AL6" i="16"/>
  <c r="AL7" i="16"/>
  <c r="AL8" i="16"/>
  <c r="AK34" i="16" s="1"/>
  <c r="AL4" i="16"/>
  <c r="AK81" i="16"/>
  <c r="AK31" i="16"/>
  <c r="AK79" i="16"/>
  <c r="AK28" i="16"/>
  <c r="AK30" i="16"/>
  <c r="AK29" i="16"/>
  <c r="AK78" i="16"/>
  <c r="AK80" i="16"/>
  <c r="AK19" i="16"/>
  <c r="AK18" i="16" s="1"/>
  <c r="AK15" i="16"/>
  <c r="AK14" i="16" s="1"/>
  <c r="AK11" i="16"/>
  <c r="E82" i="16" a="1"/>
  <c r="E82" i="16" s="1"/>
  <c r="AV20" i="16"/>
  <c r="AJ31" i="16"/>
  <c r="AI31" i="16"/>
  <c r="S8" i="17"/>
  <c r="AI83" i="16"/>
  <c r="AF83" i="16"/>
  <c r="AJ83" i="16"/>
  <c r="AH83" i="16"/>
  <c r="AG83" i="16"/>
  <c r="AM16" i="16"/>
  <c r="E32" i="16" a="1"/>
  <c r="E32" i="16" s="1"/>
  <c r="AV20" i="15"/>
  <c r="E82" i="15" a="1"/>
  <c r="E82" i="15" s="1"/>
  <c r="AL4" i="15"/>
  <c r="AL6" i="15"/>
  <c r="AL7" i="15"/>
  <c r="AM5" i="15"/>
  <c r="AL8" i="15"/>
  <c r="AF33" i="15"/>
  <c r="AK78" i="15"/>
  <c r="AI33" i="15"/>
  <c r="AG33" i="15"/>
  <c r="AK80" i="15"/>
  <c r="AK79" i="15"/>
  <c r="AK29" i="15"/>
  <c r="AK15" i="15" a="1"/>
  <c r="AK15" i="15" s="1"/>
  <c r="AK14" i="15" s="1"/>
  <c r="AK11" i="15" a="1"/>
  <c r="AK11" i="15" s="1"/>
  <c r="AK19" i="15" a="1"/>
  <c r="AK19" i="15" s="1"/>
  <c r="AK28" i="15"/>
  <c r="AK30" i="15"/>
  <c r="E81" i="15" a="1"/>
  <c r="E81" i="15" s="1"/>
  <c r="AK81" i="15" s="1"/>
  <c r="AU20" i="15"/>
  <c r="AF83" i="15"/>
  <c r="AH83" i="15"/>
  <c r="AI83" i="15"/>
  <c r="AJ83" i="15"/>
  <c r="AG83" i="15"/>
  <c r="AJ14" i="15"/>
  <c r="U4" i="17"/>
  <c r="U5" i="17" s="1"/>
  <c r="T7" i="17"/>
  <c r="T6" i="17"/>
  <c r="D52" i="17"/>
  <c r="D143" i="17"/>
  <c r="AK142" i="17"/>
  <c r="AJ142" i="17"/>
  <c r="AI142" i="17"/>
  <c r="AH142" i="17"/>
  <c r="AG142" i="17"/>
  <c r="AF142" i="17"/>
  <c r="AK31" i="15"/>
  <c r="AJ31" i="15"/>
  <c r="AI31" i="15"/>
  <c r="AK47" i="14"/>
  <c r="AL7" i="14"/>
  <c r="AL8" i="14"/>
  <c r="AL4" i="14"/>
  <c r="AM5" i="14"/>
  <c r="AL6" i="14"/>
  <c r="AJ52" i="14"/>
  <c r="R4" i="16"/>
  <c r="Q7" i="16"/>
  <c r="Q6" i="16"/>
  <c r="AI10" i="16"/>
  <c r="D51" i="16"/>
  <c r="D85" i="16"/>
  <c r="D40" i="15"/>
  <c r="R4" i="15"/>
  <c r="Q7" i="15"/>
  <c r="Q6" i="15"/>
  <c r="AI10" i="15"/>
  <c r="D85" i="15"/>
  <c r="R4" i="14"/>
  <c r="Q7" i="14"/>
  <c r="Q6" i="14"/>
  <c r="D57" i="14"/>
  <c r="AK5" i="9"/>
  <c r="AJ6" i="9"/>
  <c r="AJ7" i="9"/>
  <c r="AJ8" i="9"/>
  <c r="AJ4" i="9"/>
  <c r="AI4" i="11"/>
  <c r="AI6" i="11"/>
  <c r="AJ5" i="11"/>
  <c r="AI7" i="11"/>
  <c r="AI8" i="11"/>
  <c r="S8" i="13"/>
  <c r="T5" i="13"/>
  <c r="S4" i="13"/>
  <c r="S7" i="13"/>
  <c r="S6" i="13"/>
  <c r="Z4" i="12"/>
  <c r="Y7" i="12"/>
  <c r="Y6" i="12"/>
  <c r="N7" i="11"/>
  <c r="N6" i="11"/>
  <c r="O4" i="11"/>
  <c r="R7" i="10"/>
  <c r="S4" i="10"/>
  <c r="S5" i="10" s="1"/>
  <c r="R6" i="10"/>
  <c r="AJ4" i="10"/>
  <c r="AJ6" i="10"/>
  <c r="AK5" i="10"/>
  <c r="AJ8" i="10"/>
  <c r="AJ7" i="10"/>
  <c r="Q8" i="10"/>
  <c r="AR48" i="8"/>
  <c r="AS49" i="8"/>
  <c r="AR50" i="8"/>
  <c r="AR51" i="8"/>
  <c r="AR52" i="8"/>
  <c r="O7" i="9"/>
  <c r="P4" i="9"/>
  <c r="O6" i="9"/>
  <c r="X74" i="8"/>
  <c r="W77" i="8"/>
  <c r="W76" i="8"/>
  <c r="X48" i="8"/>
  <c r="W51" i="8"/>
  <c r="W50" i="8"/>
  <c r="W10" i="8"/>
  <c r="X7" i="8"/>
  <c r="W9" i="8"/>
  <c r="AS75" i="8"/>
  <c r="AR74" i="8"/>
  <c r="AR78" i="8"/>
  <c r="AR77" i="8"/>
  <c r="AR76" i="8"/>
  <c r="AL48" i="17" l="1" a="1"/>
  <c r="AL48" i="17" s="1"/>
  <c r="AJ48" i="17" a="1"/>
  <c r="AJ48" i="17" s="1"/>
  <c r="AI42" i="17"/>
  <c r="AH48" i="17" a="1"/>
  <c r="AH48" i="17" s="1"/>
  <c r="N48" i="17" s="1"/>
  <c r="AG48" i="17" a="1"/>
  <c r="AG48" i="17" s="1"/>
  <c r="AF48" i="17" a="1"/>
  <c r="AF48" i="17" s="1"/>
  <c r="O115" i="13"/>
  <c r="AJ41" i="17"/>
  <c r="E49" i="17" s="1" a="1"/>
  <c r="E49" i="17" s="1"/>
  <c r="AL49" i="17" s="1" a="1"/>
  <c r="AL49" i="17" s="1"/>
  <c r="Q110" i="13"/>
  <c r="Q108" i="13" s="1"/>
  <c r="P108" i="13"/>
  <c r="N115" i="13"/>
  <c r="AT86" i="20"/>
  <c r="Q131" i="13" s="1"/>
  <c r="Q128" i="13"/>
  <c r="X96" i="8"/>
  <c r="Y95" i="8" s="1"/>
  <c r="S80" i="13"/>
  <c r="AS9" i="8"/>
  <c r="AS7" i="8"/>
  <c r="AS15" i="8" s="1" a="1"/>
  <c r="AS15" i="8" s="1"/>
  <c r="AS11" i="8"/>
  <c r="AS10" i="8"/>
  <c r="W99" i="8"/>
  <c r="S31" i="13" a="1"/>
  <c r="S31" i="13" s="1"/>
  <c r="AV39" i="12"/>
  <c r="T57" i="13" s="1"/>
  <c r="AV33" i="12"/>
  <c r="T51" i="13" s="1"/>
  <c r="AV59" i="12"/>
  <c r="T72" i="13" s="1"/>
  <c r="AV79" i="12"/>
  <c r="T84" i="13" s="1"/>
  <c r="AW5" i="12"/>
  <c r="AW63" i="12" s="1"/>
  <c r="AV94" i="12"/>
  <c r="T96" i="13" s="1"/>
  <c r="AV97" i="12"/>
  <c r="T99" i="13" s="1"/>
  <c r="AV102" i="12"/>
  <c r="T101" i="13" s="1"/>
  <c r="AV21" i="12"/>
  <c r="T45" i="13" s="1"/>
  <c r="AV46" i="12"/>
  <c r="T64" i="13" s="1"/>
  <c r="S21" i="13" a="1"/>
  <c r="S21" i="13" s="1"/>
  <c r="S151" i="13" s="1"/>
  <c r="S27" i="13" a="1"/>
  <c r="S27" i="13" s="1"/>
  <c r="S32" i="13" a="1"/>
  <c r="S32" i="13" s="1"/>
  <c r="S29" i="13" a="1"/>
  <c r="S29" i="13" s="1"/>
  <c r="AV89" i="12"/>
  <c r="T91" i="13" s="1"/>
  <c r="AV29" i="12"/>
  <c r="T47" i="13" s="1"/>
  <c r="AV92" i="12"/>
  <c r="T94" i="13" s="1"/>
  <c r="AV4" i="12"/>
  <c r="AV14" i="12"/>
  <c r="T41" i="13" s="1"/>
  <c r="AV81" i="12"/>
  <c r="T86" i="13" s="1"/>
  <c r="AV12" i="12"/>
  <c r="T38" i="13" s="1"/>
  <c r="AV47" i="12"/>
  <c r="T65" i="13" s="1"/>
  <c r="AV85" i="12"/>
  <c r="T90" i="13" s="1"/>
  <c r="AV93" i="12"/>
  <c r="T95" i="13" s="1"/>
  <c r="AV30" i="12"/>
  <c r="T48" i="13" s="1"/>
  <c r="AV73" i="12"/>
  <c r="T77" i="13" s="1"/>
  <c r="AV90" i="12"/>
  <c r="T92" i="13" s="1"/>
  <c r="AV18" i="12"/>
  <c r="T42" i="13" s="1"/>
  <c r="AV48" i="12"/>
  <c r="T66" i="13" s="1"/>
  <c r="AV75" i="12"/>
  <c r="T80" i="13" s="1"/>
  <c r="AV91" i="12"/>
  <c r="T93" i="13" s="1"/>
  <c r="AV64" i="12"/>
  <c r="T74" i="13" s="1"/>
  <c r="AV13" i="12"/>
  <c r="T40" i="13" s="1"/>
  <c r="AV76" i="12"/>
  <c r="T81" i="13" s="1"/>
  <c r="AV31" i="12"/>
  <c r="T49" i="13" s="1"/>
  <c r="AV19" i="12"/>
  <c r="T43" i="13" s="1"/>
  <c r="AV32" i="12"/>
  <c r="T50" i="13" s="1"/>
  <c r="AV96" i="12"/>
  <c r="T98" i="13" s="1"/>
  <c r="AV20" i="12"/>
  <c r="T44" i="13" s="1"/>
  <c r="AM90" i="30" s="1"/>
  <c r="AV49" i="12"/>
  <c r="T67" i="13" s="1"/>
  <c r="AV77" i="12"/>
  <c r="T82" i="13" s="1"/>
  <c r="R149" i="13"/>
  <c r="AV52" i="12"/>
  <c r="T70" i="13" s="1"/>
  <c r="AV50" i="12"/>
  <c r="T68" i="13" s="1"/>
  <c r="AV80" i="12"/>
  <c r="T85" i="13" s="1"/>
  <c r="AV103" i="12"/>
  <c r="T102" i="13" s="1"/>
  <c r="AV35" i="12"/>
  <c r="T53" i="13" s="1"/>
  <c r="AV40" i="12"/>
  <c r="T58" i="13" s="1"/>
  <c r="AV78" i="12"/>
  <c r="T83" i="13" s="1"/>
  <c r="AV104" i="12"/>
  <c r="S12" i="13" a="1"/>
  <c r="S12" i="13" s="1"/>
  <c r="S148" i="13" s="1"/>
  <c r="AV45" i="12"/>
  <c r="T63" i="13" s="1"/>
  <c r="AV36" i="12"/>
  <c r="T54" i="13" s="1"/>
  <c r="AV51" i="12"/>
  <c r="T69" i="13" s="1"/>
  <c r="AV82" i="12"/>
  <c r="T87" i="13" s="1"/>
  <c r="AV105" i="12"/>
  <c r="T104" i="13" s="1"/>
  <c r="AV7" i="12"/>
  <c r="AV37" i="12"/>
  <c r="T55" i="13" s="1"/>
  <c r="AV41" i="12"/>
  <c r="T59" i="13" s="1"/>
  <c r="AV83" i="12"/>
  <c r="T88" i="13" s="1"/>
  <c r="AV106" i="12"/>
  <c r="T105" i="13" s="1"/>
  <c r="AV44" i="12"/>
  <c r="T62" i="13" s="1"/>
  <c r="AV6" i="12"/>
  <c r="AV38" i="12"/>
  <c r="T56" i="13" s="1"/>
  <c r="AV34" i="12"/>
  <c r="T52" i="13" s="1"/>
  <c r="AV84" i="12"/>
  <c r="T89" i="13" s="1"/>
  <c r="AV101" i="12"/>
  <c r="AV43" i="12"/>
  <c r="T61" i="13" s="1"/>
  <c r="AV42" i="12"/>
  <c r="T60" i="13" s="1"/>
  <c r="AV8" i="12"/>
  <c r="AV28" i="12"/>
  <c r="T46" i="13" s="1"/>
  <c r="AV58" i="12"/>
  <c r="T71" i="13" s="1"/>
  <c r="AV95" i="12"/>
  <c r="T97" i="13" s="1"/>
  <c r="R159" i="13"/>
  <c r="R154" i="13"/>
  <c r="S15" i="13" a="1"/>
  <c r="S15" i="13" s="1"/>
  <c r="S19" i="13" a="1"/>
  <c r="S19" i="13" s="1"/>
  <c r="S28" i="13" a="1"/>
  <c r="S28" i="13" s="1"/>
  <c r="S16" i="13" a="1"/>
  <c r="S16" i="13" s="1"/>
  <c r="S13" i="13" a="1"/>
  <c r="S13" i="13" s="1"/>
  <c r="S33" i="13" a="1"/>
  <c r="S33" i="13" s="1"/>
  <c r="S100" i="13"/>
  <c r="S164" i="13" s="1"/>
  <c r="S34" i="13" a="1"/>
  <c r="S34" i="13" s="1"/>
  <c r="S30" i="13" a="1"/>
  <c r="S30" i="13" s="1"/>
  <c r="S17" i="13" a="1"/>
  <c r="S17" i="13" s="1"/>
  <c r="S18" i="13" a="1"/>
  <c r="S18" i="13" s="1"/>
  <c r="W87" i="12"/>
  <c r="AN105" i="17"/>
  <c r="AM107" i="17"/>
  <c r="AM109" i="17" s="1"/>
  <c r="AM103" i="17" s="1"/>
  <c r="AM99" i="17"/>
  <c r="AM101" i="17" s="1"/>
  <c r="AM96" i="17" s="1"/>
  <c r="R155" i="13"/>
  <c r="R163" i="13"/>
  <c r="AS82" i="20"/>
  <c r="R150" i="13"/>
  <c r="R164" i="13"/>
  <c r="N42" i="17"/>
  <c r="AT85" i="20"/>
  <c r="Q130" i="13" s="1"/>
  <c r="AT87" i="20"/>
  <c r="Q132" i="13" s="1"/>
  <c r="AJ42" i="17"/>
  <c r="AU90" i="20"/>
  <c r="R134" i="13" s="1"/>
  <c r="AU108" i="20"/>
  <c r="AU83" i="20"/>
  <c r="AU107" i="20"/>
  <c r="AT111" i="20" a="1"/>
  <c r="AT111" i="20" s="1"/>
  <c r="AT109" i="20" a="1"/>
  <c r="AT109" i="20" s="1"/>
  <c r="AT110" i="20"/>
  <c r="AU76" i="20"/>
  <c r="R122" i="13" s="1"/>
  <c r="AU77" i="20"/>
  <c r="R123" i="13" s="1"/>
  <c r="AU91" i="20"/>
  <c r="R135" i="13" s="1"/>
  <c r="AN4" i="17"/>
  <c r="AN7" i="17"/>
  <c r="AN6" i="17"/>
  <c r="AO5" i="17"/>
  <c r="AN8" i="17"/>
  <c r="AM49" i="17" a="1"/>
  <c r="AM49" i="17" s="1"/>
  <c r="AM48" i="17" a="1"/>
  <c r="AM48" i="17" s="1"/>
  <c r="AM47" i="17" a="1"/>
  <c r="AM47" i="17" s="1"/>
  <c r="AM46" i="17" a="1"/>
  <c r="AM46" i="17" s="1"/>
  <c r="AM45" i="17" a="1"/>
  <c r="AM45" i="17" s="1"/>
  <c r="AM5" i="22"/>
  <c r="AL6" i="22"/>
  <c r="AL4" i="22"/>
  <c r="AL7" i="22"/>
  <c r="AL8" i="22"/>
  <c r="Q5" i="22"/>
  <c r="AK42" i="22"/>
  <c r="AJ42" i="22"/>
  <c r="AI42" i="22"/>
  <c r="AH42" i="22"/>
  <c r="D43" i="22"/>
  <c r="AF42" i="22"/>
  <c r="AE42" i="22"/>
  <c r="AG42" i="22"/>
  <c r="AK93" i="22"/>
  <c r="AJ93" i="22"/>
  <c r="AI93" i="22"/>
  <c r="AH93" i="22"/>
  <c r="AF93" i="22"/>
  <c r="D94" i="22"/>
  <c r="AG93" i="22"/>
  <c r="AE93" i="22"/>
  <c r="P8" i="22"/>
  <c r="AS96" i="20"/>
  <c r="AT60" i="20"/>
  <c r="AX54" i="20"/>
  <c r="AW52" i="20"/>
  <c r="AU65" i="20"/>
  <c r="AU64" i="20"/>
  <c r="AU63" i="20"/>
  <c r="AU62" i="20"/>
  <c r="R110" i="13" s="1"/>
  <c r="AQ89" i="20"/>
  <c r="AR75" i="20"/>
  <c r="AR89" i="20"/>
  <c r="AQ75" i="20"/>
  <c r="AT100" i="20"/>
  <c r="Q143" i="13" s="1"/>
  <c r="AT101" i="20"/>
  <c r="Q144" i="13" s="1"/>
  <c r="AT99" i="20"/>
  <c r="Q142" i="13" s="1"/>
  <c r="AV88" i="20"/>
  <c r="S133" i="13" s="1"/>
  <c r="AV95" i="20"/>
  <c r="S139" i="13" s="1"/>
  <c r="AV81" i="20"/>
  <c r="S127" i="13" s="1"/>
  <c r="AV102" i="20"/>
  <c r="S145" i="13" s="1"/>
  <c r="AX57" i="20"/>
  <c r="AX97" i="20" s="1"/>
  <c r="U140" i="13" s="1"/>
  <c r="AX56" i="20"/>
  <c r="AX55" i="20"/>
  <c r="AS68" i="20"/>
  <c r="AS106" i="20"/>
  <c r="AW6" i="20"/>
  <c r="AX5" i="20"/>
  <c r="AW7" i="20"/>
  <c r="AW8" i="20"/>
  <c r="AW112" i="20" s="1"/>
  <c r="AW4" i="20"/>
  <c r="AV74" i="20"/>
  <c r="S121" i="13" s="1"/>
  <c r="AV25" i="20"/>
  <c r="AV13" i="20"/>
  <c r="AV11" i="20"/>
  <c r="AV17" i="20"/>
  <c r="AV34" i="20"/>
  <c r="AV32" i="20"/>
  <c r="AV29" i="20"/>
  <c r="AV22" i="20"/>
  <c r="AV28" i="20"/>
  <c r="AV15" i="20"/>
  <c r="AV30" i="20"/>
  <c r="AV16" i="20"/>
  <c r="AV31" i="20"/>
  <c r="AV24" i="20"/>
  <c r="AV12" i="20"/>
  <c r="AV19" i="20"/>
  <c r="AV18" i="20"/>
  <c r="AV23" i="20"/>
  <c r="AV33" i="20"/>
  <c r="AV26" i="20"/>
  <c r="AV21" i="20"/>
  <c r="AV20" i="20"/>
  <c r="AV35" i="20"/>
  <c r="AV27" i="20"/>
  <c r="AV14" i="20"/>
  <c r="AU61" i="20"/>
  <c r="R109" i="13" s="1"/>
  <c r="AU69" i="20"/>
  <c r="R116" i="13" s="1"/>
  <c r="AU10" i="20"/>
  <c r="AU70" i="20"/>
  <c r="R117" i="13" s="1"/>
  <c r="AT73" i="20"/>
  <c r="Q120" i="13" s="1"/>
  <c r="AT72" i="20"/>
  <c r="Q119" i="13" s="1"/>
  <c r="AT71" i="20"/>
  <c r="Q118" i="13" s="1"/>
  <c r="AT115" i="20"/>
  <c r="AA8" i="20"/>
  <c r="AJ53" i="14"/>
  <c r="AG53" i="14"/>
  <c r="AF53" i="14"/>
  <c r="AI53" i="14"/>
  <c r="AH53" i="14"/>
  <c r="AB5" i="20"/>
  <c r="AY53" i="20"/>
  <c r="AJ82" i="16"/>
  <c r="AK82" i="16"/>
  <c r="AL32" i="16"/>
  <c r="AK84" i="16"/>
  <c r="AH84" i="16"/>
  <c r="AF84" i="16"/>
  <c r="AG84" i="16"/>
  <c r="AW20" i="16"/>
  <c r="E83" i="16" a="1"/>
  <c r="E83" i="16" s="1"/>
  <c r="AJ32" i="16"/>
  <c r="AK32" i="16"/>
  <c r="AN5" i="16"/>
  <c r="AM6" i="16"/>
  <c r="AM7" i="16"/>
  <c r="AM8" i="16"/>
  <c r="AL35" i="16" s="1"/>
  <c r="AM4" i="16"/>
  <c r="AL82" i="16"/>
  <c r="AJ34" i="16"/>
  <c r="AI34" i="16"/>
  <c r="AG34" i="16"/>
  <c r="AF34" i="16"/>
  <c r="AH34" i="16"/>
  <c r="AL29" i="16"/>
  <c r="AL28" i="16"/>
  <c r="AL31" i="16"/>
  <c r="AL78" i="16"/>
  <c r="AL30" i="16"/>
  <c r="AL81" i="16"/>
  <c r="AL79" i="16"/>
  <c r="AL80" i="16"/>
  <c r="AL19" i="16"/>
  <c r="AL18" i="16" s="1"/>
  <c r="AL15" i="16"/>
  <c r="AL14" i="16" s="1"/>
  <c r="AL11" i="16"/>
  <c r="AJ84" i="16"/>
  <c r="AI84" i="16"/>
  <c r="AN16" i="16"/>
  <c r="E33" i="16" a="1"/>
  <c r="E33" i="16" s="1"/>
  <c r="AK34" i="15"/>
  <c r="AG34" i="15"/>
  <c r="AI34" i="15"/>
  <c r="AF34" i="15"/>
  <c r="S163" i="13"/>
  <c r="AJ82" i="15"/>
  <c r="AK82" i="15"/>
  <c r="AM4" i="15"/>
  <c r="AM7" i="15"/>
  <c r="AM6" i="15"/>
  <c r="AN5" i="15"/>
  <c r="AM8" i="15"/>
  <c r="AL35" i="15" s="1"/>
  <c r="AJ34" i="15"/>
  <c r="AH34" i="15"/>
  <c r="AL82" i="15"/>
  <c r="AL81" i="15"/>
  <c r="AL78" i="15"/>
  <c r="AL80" i="15"/>
  <c r="AL79" i="15"/>
  <c r="AL30" i="15"/>
  <c r="AL29" i="15"/>
  <c r="AL11" i="15" a="1"/>
  <c r="AL11" i="15" s="1"/>
  <c r="AL15" i="15" a="1"/>
  <c r="AL15" i="15" s="1"/>
  <c r="AL19" i="15" a="1"/>
  <c r="AL19" i="15" s="1"/>
  <c r="AL31" i="15"/>
  <c r="AL28" i="15"/>
  <c r="AK18" i="15"/>
  <c r="AJ81" i="15"/>
  <c r="AI81" i="15"/>
  <c r="AM16" i="15"/>
  <c r="E32" i="15" a="1"/>
  <c r="E32" i="15" s="1"/>
  <c r="AL32" i="15" s="1"/>
  <c r="T8" i="17"/>
  <c r="AF84" i="15"/>
  <c r="AG84" i="15"/>
  <c r="AH84" i="15"/>
  <c r="AI84" i="15"/>
  <c r="AK84" i="15"/>
  <c r="AJ84" i="15"/>
  <c r="AN16" i="15"/>
  <c r="E33" i="15" a="1"/>
  <c r="E33" i="15" s="1"/>
  <c r="V4" i="17"/>
  <c r="V5" i="17" s="1"/>
  <c r="U7" i="17"/>
  <c r="U6" i="17"/>
  <c r="D53" i="17"/>
  <c r="D144" i="17"/>
  <c r="AL143" i="17"/>
  <c r="AK143" i="17"/>
  <c r="AJ143" i="17"/>
  <c r="AI143" i="17"/>
  <c r="AH143" i="17"/>
  <c r="AG143" i="17"/>
  <c r="AF143" i="17"/>
  <c r="AL47" i="14"/>
  <c r="AM4" i="14"/>
  <c r="AN5" i="14"/>
  <c r="AM8" i="14"/>
  <c r="AJ54" i="14" s="1"/>
  <c r="AM7" i="14"/>
  <c r="AM6" i="14"/>
  <c r="Q8" i="16"/>
  <c r="AK53" i="14"/>
  <c r="R5" i="16"/>
  <c r="AJ12" i="16"/>
  <c r="AI25" i="16"/>
  <c r="AI22" i="16"/>
  <c r="AI27" i="14" s="1"/>
  <c r="D52" i="16"/>
  <c r="D86" i="16"/>
  <c r="D41" i="15"/>
  <c r="R5" i="15"/>
  <c r="AI22" i="15"/>
  <c r="AI25" i="14" s="1"/>
  <c r="AI25" i="15"/>
  <c r="AJ12" i="15"/>
  <c r="D86" i="15"/>
  <c r="Q8" i="15"/>
  <c r="R5" i="14"/>
  <c r="D58" i="14"/>
  <c r="Q8" i="14"/>
  <c r="S160" i="13"/>
  <c r="S159" i="13"/>
  <c r="AK8" i="9"/>
  <c r="AK4" i="9"/>
  <c r="AK7" i="9"/>
  <c r="AK6" i="9"/>
  <c r="AL5" i="9"/>
  <c r="AJ6" i="11"/>
  <c r="AK5" i="11"/>
  <c r="AJ7" i="11"/>
  <c r="AJ4" i="11"/>
  <c r="AJ8" i="11"/>
  <c r="AW34" i="12"/>
  <c r="U52" i="13" s="1"/>
  <c r="Y8" i="12"/>
  <c r="T4" i="13"/>
  <c r="T6" i="13"/>
  <c r="U5" i="13"/>
  <c r="T8" i="13"/>
  <c r="T7" i="13"/>
  <c r="Z5" i="12"/>
  <c r="O5" i="11"/>
  <c r="N8" i="11"/>
  <c r="S7" i="10"/>
  <c r="T4" i="10"/>
  <c r="T5" i="10" s="1"/>
  <c r="S6" i="10"/>
  <c r="AK8" i="10"/>
  <c r="AK7" i="10"/>
  <c r="AK6" i="10"/>
  <c r="AK4" i="10"/>
  <c r="AL5" i="10"/>
  <c r="R8" i="10"/>
  <c r="AS51" i="8"/>
  <c r="AS52" i="8"/>
  <c r="AT49" i="8"/>
  <c r="AS48" i="8"/>
  <c r="AS50" i="8"/>
  <c r="P5" i="9"/>
  <c r="O8" i="9"/>
  <c r="W78" i="8"/>
  <c r="W52" i="8"/>
  <c r="W11" i="8"/>
  <c r="X75" i="8"/>
  <c r="X49" i="8"/>
  <c r="X8" i="8"/>
  <c r="AT11" i="8"/>
  <c r="AT10" i="8"/>
  <c r="AT9" i="8"/>
  <c r="AT7" i="8"/>
  <c r="AT15" i="8" s="1" a="1"/>
  <c r="AT15" i="8" s="1"/>
  <c r="AU8" i="8"/>
  <c r="AS78" i="8"/>
  <c r="AS77" i="8"/>
  <c r="AS76" i="8"/>
  <c r="AS74" i="8"/>
  <c r="AT75" i="8"/>
  <c r="AK49" i="17" l="1" a="1"/>
  <c r="AK49" i="17" s="1"/>
  <c r="O49" i="17" s="1"/>
  <c r="AJ49" i="17" a="1"/>
  <c r="AJ49" i="17" s="1"/>
  <c r="AW36" i="12"/>
  <c r="AW35" i="12"/>
  <c r="U53" i="13" s="1"/>
  <c r="AF49" i="17" a="1"/>
  <c r="AF49" i="17" s="1"/>
  <c r="AI49" i="17" a="1"/>
  <c r="AI49" i="17" s="1"/>
  <c r="AG49" i="17" a="1"/>
  <c r="AG49" i="17" s="1"/>
  <c r="AH49" i="17" a="1"/>
  <c r="AH49" i="17" s="1"/>
  <c r="N49" i="17" s="1"/>
  <c r="AW50" i="12"/>
  <c r="U68" i="13" s="1"/>
  <c r="AW41" i="12"/>
  <c r="U59" i="13" s="1"/>
  <c r="AW52" i="12"/>
  <c r="U70" i="13" s="1"/>
  <c r="AW59" i="12"/>
  <c r="U72" i="13" s="1"/>
  <c r="AW45" i="12"/>
  <c r="U63" i="13" s="1"/>
  <c r="AW43" i="12"/>
  <c r="U61" i="13" s="1"/>
  <c r="AW64" i="12"/>
  <c r="U74" i="13" s="1"/>
  <c r="Y63" i="20"/>
  <c r="R111" i="13"/>
  <c r="AW42" i="12"/>
  <c r="U60" i="13" s="1"/>
  <c r="X98" i="8"/>
  <c r="AW93" i="12"/>
  <c r="U95" i="13" s="1"/>
  <c r="AW95" i="12"/>
  <c r="U97" i="13" s="1"/>
  <c r="Y64" i="20"/>
  <c r="R112" i="13"/>
  <c r="X97" i="8"/>
  <c r="AW101" i="12"/>
  <c r="U100" i="13" s="1"/>
  <c r="Y65" i="20"/>
  <c r="R113" i="13"/>
  <c r="AW30" i="12"/>
  <c r="U48" i="13" s="1"/>
  <c r="AW6" i="12"/>
  <c r="AU86" i="20"/>
  <c r="R131" i="13" s="1"/>
  <c r="R128" i="13"/>
  <c r="AX5" i="12"/>
  <c r="AX95" i="12" s="1"/>
  <c r="V97" i="13" s="1"/>
  <c r="X15" i="8" a="1"/>
  <c r="X15" i="8" s="1"/>
  <c r="T160" i="13"/>
  <c r="AW77" i="12"/>
  <c r="U82" i="13" s="1"/>
  <c r="AW8" i="12"/>
  <c r="AW82" i="12"/>
  <c r="U87" i="13" s="1"/>
  <c r="AW4" i="12"/>
  <c r="AW81" i="12"/>
  <c r="U86" i="13" s="1"/>
  <c r="AW91" i="12"/>
  <c r="U93" i="13" s="1"/>
  <c r="AW13" i="12"/>
  <c r="U40" i="13" s="1"/>
  <c r="AW85" i="12"/>
  <c r="U90" i="13" s="1"/>
  <c r="AW28" i="12"/>
  <c r="AW39" i="12"/>
  <c r="U57" i="13" s="1"/>
  <c r="AW89" i="12"/>
  <c r="U91" i="13" s="1"/>
  <c r="AW38" i="12"/>
  <c r="U56" i="13" s="1"/>
  <c r="AW92" i="12"/>
  <c r="AW7" i="12"/>
  <c r="AW37" i="12"/>
  <c r="U55" i="13" s="1"/>
  <c r="AW58" i="12"/>
  <c r="U71" i="13" s="1"/>
  <c r="AW96" i="12"/>
  <c r="X96" i="12" s="1"/>
  <c r="AW44" i="12"/>
  <c r="U62" i="13" s="1"/>
  <c r="AW12" i="12"/>
  <c r="U38" i="13" s="1"/>
  <c r="AW33" i="12"/>
  <c r="U51" i="13" s="1"/>
  <c r="AW78" i="12"/>
  <c r="U83" i="13" s="1"/>
  <c r="AW94" i="12"/>
  <c r="U96" i="13" s="1"/>
  <c r="AW14" i="12"/>
  <c r="U41" i="13" s="1"/>
  <c r="AW97" i="12"/>
  <c r="U99" i="13" s="1"/>
  <c r="AW29" i="12"/>
  <c r="U47" i="13" s="1"/>
  <c r="AW83" i="12"/>
  <c r="U88" i="13" s="1"/>
  <c r="AW18" i="12"/>
  <c r="AW31" i="12"/>
  <c r="U49" i="13" s="1"/>
  <c r="AW102" i="12"/>
  <c r="U101" i="13" s="1"/>
  <c r="T32" i="13" a="1"/>
  <c r="T32" i="13" s="1"/>
  <c r="AW46" i="12"/>
  <c r="U64" i="13" s="1"/>
  <c r="AW19" i="12"/>
  <c r="U43" i="13" s="1"/>
  <c r="AW73" i="12"/>
  <c r="U77" i="13" s="1"/>
  <c r="AW20" i="12"/>
  <c r="U44" i="13" s="1"/>
  <c r="AN90" i="30" s="1"/>
  <c r="P90" i="30" s="1"/>
  <c r="AW32" i="12"/>
  <c r="U50" i="13" s="1"/>
  <c r="AW75" i="12"/>
  <c r="U80" i="13" s="1"/>
  <c r="AW103" i="12"/>
  <c r="U102" i="13" s="1"/>
  <c r="AW90" i="12"/>
  <c r="U92" i="13" s="1"/>
  <c r="AW76" i="12"/>
  <c r="X76" i="12" s="1"/>
  <c r="AW84" i="12"/>
  <c r="U89" i="13" s="1"/>
  <c r="AW21" i="12"/>
  <c r="U45" i="13" s="1"/>
  <c r="AW47" i="12"/>
  <c r="U65" i="13" s="1"/>
  <c r="AW104" i="12"/>
  <c r="X104" i="12" s="1"/>
  <c r="AW51" i="12"/>
  <c r="U69" i="13" s="1"/>
  <c r="AW48" i="12"/>
  <c r="U66" i="13" s="1"/>
  <c r="AW79" i="12"/>
  <c r="U84" i="13" s="1"/>
  <c r="AW105" i="12"/>
  <c r="U104" i="13" s="1"/>
  <c r="AW40" i="12"/>
  <c r="U58" i="13" s="1"/>
  <c r="AW49" i="12"/>
  <c r="U67" i="13" s="1"/>
  <c r="AW80" i="12"/>
  <c r="X80" i="12" s="1"/>
  <c r="AW106" i="12"/>
  <c r="U105" i="13" s="1"/>
  <c r="T29" i="13" a="1"/>
  <c r="T29" i="13" s="1"/>
  <c r="T24" i="13" a="1"/>
  <c r="T24" i="13" s="1"/>
  <c r="T33" i="13" a="1"/>
  <c r="T33" i="13" s="1"/>
  <c r="T12" i="13" a="1"/>
  <c r="T12" i="13" s="1"/>
  <c r="T148" i="13" s="1"/>
  <c r="T31" i="13" a="1"/>
  <c r="T31" i="13" s="1"/>
  <c r="T17" i="13" a="1"/>
  <c r="T17" i="13" s="1"/>
  <c r="S154" i="13"/>
  <c r="T103" i="13"/>
  <c r="AJ85" i="15"/>
  <c r="T27" i="13" a="1"/>
  <c r="T27" i="13" s="1"/>
  <c r="T100" i="13"/>
  <c r="T34" i="13" a="1"/>
  <c r="T34" i="13" s="1"/>
  <c r="T21" i="13" a="1"/>
  <c r="T21" i="13" s="1"/>
  <c r="T151" i="13" s="1"/>
  <c r="T28" i="13" a="1"/>
  <c r="T28" i="13" s="1"/>
  <c r="T15" i="13" a="1"/>
  <c r="T15" i="13" s="1"/>
  <c r="T149" i="13" s="1"/>
  <c r="T30" i="13" a="1"/>
  <c r="T30" i="13" s="1"/>
  <c r="T13" i="13" a="1"/>
  <c r="T13" i="13" s="1"/>
  <c r="T18" i="13" a="1"/>
  <c r="T18" i="13" s="1"/>
  <c r="T19" i="13" a="1"/>
  <c r="T19" i="13" s="1"/>
  <c r="S149" i="13"/>
  <c r="S150" i="13"/>
  <c r="T16" i="13" a="1"/>
  <c r="T16" i="13" s="1"/>
  <c r="S155" i="13"/>
  <c r="AO105" i="17"/>
  <c r="AN107" i="17"/>
  <c r="AN109" i="17" s="1"/>
  <c r="AN103" i="17" s="1"/>
  <c r="AN99" i="17"/>
  <c r="AN101" i="17" s="1"/>
  <c r="AN96" i="17" s="1"/>
  <c r="U54" i="13"/>
  <c r="AF85" i="15"/>
  <c r="AG85" i="15"/>
  <c r="AO8" i="17"/>
  <c r="AO47" i="17" s="1" a="1"/>
  <c r="AO47" i="17" s="1"/>
  <c r="AP5" i="17"/>
  <c r="AO6" i="17"/>
  <c r="AO7" i="17"/>
  <c r="AO4" i="17"/>
  <c r="AK85" i="16"/>
  <c r="AL85" i="16"/>
  <c r="AU85" i="20"/>
  <c r="R130" i="13" s="1"/>
  <c r="AK85" i="15"/>
  <c r="AJ35" i="15"/>
  <c r="AV83" i="20"/>
  <c r="AH54" i="14"/>
  <c r="AK54" i="14"/>
  <c r="AG85" i="16"/>
  <c r="AT82" i="20"/>
  <c r="AI85" i="16"/>
  <c r="AG35" i="16"/>
  <c r="AF85" i="16"/>
  <c r="AI54" i="14"/>
  <c r="AH85" i="16"/>
  <c r="AJ85" i="16"/>
  <c r="AJ35" i="16"/>
  <c r="AU87" i="20"/>
  <c r="R132" i="13" s="1"/>
  <c r="AF35" i="16"/>
  <c r="AH85" i="15"/>
  <c r="AI35" i="16"/>
  <c r="AL85" i="15"/>
  <c r="AH35" i="16"/>
  <c r="AI85" i="15"/>
  <c r="AV91" i="20"/>
  <c r="S135" i="13" s="1"/>
  <c r="AF54" i="14"/>
  <c r="AG54" i="14"/>
  <c r="AV107" i="20"/>
  <c r="AV90" i="20"/>
  <c r="S134" i="13" s="1"/>
  <c r="AV108" i="20"/>
  <c r="AN45" i="17" a="1"/>
  <c r="AN45" i="17" s="1"/>
  <c r="P45" i="17" s="1"/>
  <c r="AN46" i="17" a="1"/>
  <c r="AN46" i="17" s="1"/>
  <c r="P46" i="17" s="1"/>
  <c r="AN47" i="17" a="1"/>
  <c r="AN47" i="17" s="1"/>
  <c r="P47" i="17" s="1"/>
  <c r="AN48" i="17" a="1"/>
  <c r="AN48" i="17" s="1"/>
  <c r="P48" i="17" s="1"/>
  <c r="AU109" i="20" a="1"/>
  <c r="AU109" i="20" s="1"/>
  <c r="AU111" i="20" a="1"/>
  <c r="AU111" i="20" s="1"/>
  <c r="AU110" i="20"/>
  <c r="AN49" i="17" a="1"/>
  <c r="AN49" i="17" s="1"/>
  <c r="P49" i="17" s="1"/>
  <c r="Y62" i="20"/>
  <c r="AK41" i="17"/>
  <c r="E50" i="17" s="1" a="1"/>
  <c r="E50" i="17" s="1"/>
  <c r="AX52" i="20"/>
  <c r="AV76" i="20"/>
  <c r="S122" i="13" s="1"/>
  <c r="AV77" i="20"/>
  <c r="S123" i="13" s="1"/>
  <c r="AU60" i="20"/>
  <c r="T159" i="13"/>
  <c r="AL83" i="16"/>
  <c r="AK83" i="16"/>
  <c r="T163" i="13"/>
  <c r="AM6" i="22"/>
  <c r="AM7" i="22"/>
  <c r="AN5" i="22"/>
  <c r="AM4" i="22"/>
  <c r="AM8" i="22"/>
  <c r="R4" i="22"/>
  <c r="Q7" i="22"/>
  <c r="Q6" i="22"/>
  <c r="AL43" i="22"/>
  <c r="AK43" i="22"/>
  <c r="AJ43" i="22"/>
  <c r="AI43" i="22"/>
  <c r="AH43" i="22"/>
  <c r="AF43" i="22"/>
  <c r="D44" i="22"/>
  <c r="AG43" i="22"/>
  <c r="AE43" i="22"/>
  <c r="AL94" i="22"/>
  <c r="AK94" i="22"/>
  <c r="AJ94" i="22"/>
  <c r="AI94" i="22"/>
  <c r="AH94" i="22"/>
  <c r="AF94" i="22"/>
  <c r="D95" i="22"/>
  <c r="AE94" i="22"/>
  <c r="AG94" i="22"/>
  <c r="AT96" i="20"/>
  <c r="AY54" i="20"/>
  <c r="AR114" i="20"/>
  <c r="AV65" i="20"/>
  <c r="S113" i="13" s="1"/>
  <c r="AV64" i="20"/>
  <c r="S112" i="13" s="1"/>
  <c r="AV63" i="20"/>
  <c r="S111" i="13" s="1"/>
  <c r="AV62" i="20"/>
  <c r="AQ114" i="20"/>
  <c r="AS79" i="20"/>
  <c r="P125" i="13" s="1"/>
  <c r="AS78" i="20"/>
  <c r="P124" i="13" s="1"/>
  <c r="AS80" i="20"/>
  <c r="P126" i="13" s="1"/>
  <c r="AS92" i="20"/>
  <c r="P136" i="13" s="1"/>
  <c r="AS93" i="20"/>
  <c r="P137" i="13" s="1"/>
  <c r="AS94" i="20"/>
  <c r="P138" i="13" s="1"/>
  <c r="AU101" i="20"/>
  <c r="R144" i="13" s="1"/>
  <c r="AU99" i="20"/>
  <c r="R142" i="13" s="1"/>
  <c r="AU100" i="20"/>
  <c r="R143" i="13" s="1"/>
  <c r="AT92" i="20"/>
  <c r="Q136" i="13" s="1"/>
  <c r="AT93" i="20"/>
  <c r="Q137" i="13" s="1"/>
  <c r="AT94" i="20"/>
  <c r="Q138" i="13" s="1"/>
  <c r="AT80" i="20"/>
  <c r="Q126" i="13" s="1"/>
  <c r="AT78" i="20"/>
  <c r="Q124" i="13" s="1"/>
  <c r="AT79" i="20"/>
  <c r="Q125" i="13" s="1"/>
  <c r="AW81" i="20"/>
  <c r="T127" i="13" s="1"/>
  <c r="AW95" i="20"/>
  <c r="T139" i="13" s="1"/>
  <c r="AW88" i="20"/>
  <c r="T133" i="13" s="1"/>
  <c r="AW102" i="20"/>
  <c r="T145" i="13" s="1"/>
  <c r="AY57" i="20"/>
  <c r="AY97" i="20" s="1"/>
  <c r="V140" i="13" s="1"/>
  <c r="AY56" i="20"/>
  <c r="AY55" i="20"/>
  <c r="AT68" i="20"/>
  <c r="AT106" i="20"/>
  <c r="AY5" i="20"/>
  <c r="AX4" i="20"/>
  <c r="AX6" i="20"/>
  <c r="AX8" i="20"/>
  <c r="AX112" i="20" s="1"/>
  <c r="AX7" i="20"/>
  <c r="AW25" i="20"/>
  <c r="AW11" i="20"/>
  <c r="AW35" i="20"/>
  <c r="AW30" i="20"/>
  <c r="AW20" i="20"/>
  <c r="AW31" i="20"/>
  <c r="AW18" i="20"/>
  <c r="AW29" i="20"/>
  <c r="AW15" i="20"/>
  <c r="AW33" i="20"/>
  <c r="AW32" i="20"/>
  <c r="AW27" i="20"/>
  <c r="AW23" i="20"/>
  <c r="AW28" i="20"/>
  <c r="AW22" i="20"/>
  <c r="AW74" i="20"/>
  <c r="T121" i="13" s="1"/>
  <c r="AW12" i="20"/>
  <c r="AW19" i="20"/>
  <c r="AW16" i="20"/>
  <c r="AW34" i="20"/>
  <c r="AW26" i="20"/>
  <c r="AW21" i="20"/>
  <c r="AW17" i="20"/>
  <c r="AW24" i="20"/>
  <c r="AW13" i="20"/>
  <c r="AW14" i="20"/>
  <c r="AV69" i="20"/>
  <c r="S116" i="13" s="1"/>
  <c r="AV61" i="20"/>
  <c r="S109" i="13" s="1"/>
  <c r="AV10" i="20"/>
  <c r="AV70" i="20"/>
  <c r="S117" i="13" s="1"/>
  <c r="AU73" i="20"/>
  <c r="R120" i="13" s="1"/>
  <c r="AU72" i="20"/>
  <c r="R119" i="13" s="1"/>
  <c r="AU71" i="20"/>
  <c r="R118" i="13" s="1"/>
  <c r="AU115" i="20"/>
  <c r="AB7" i="20"/>
  <c r="AB6" i="20"/>
  <c r="AC4" i="20"/>
  <c r="AZ53" i="20"/>
  <c r="AN6" i="16"/>
  <c r="AN7" i="16"/>
  <c r="AO5" i="16"/>
  <c r="AN8" i="16"/>
  <c r="AJ36" i="16" s="1"/>
  <c r="AN4" i="16"/>
  <c r="AM83" i="16"/>
  <c r="AK35" i="16"/>
  <c r="AM82" i="16"/>
  <c r="AM29" i="16"/>
  <c r="AM28" i="16"/>
  <c r="AM32" i="16"/>
  <c r="AM31" i="16"/>
  <c r="AM30" i="16"/>
  <c r="AM78" i="16"/>
  <c r="AM80" i="16"/>
  <c r="AM33" i="16"/>
  <c r="AM81" i="16"/>
  <c r="AM79" i="16"/>
  <c r="AM19" i="16"/>
  <c r="AM18" i="16" s="1"/>
  <c r="AM11" i="16"/>
  <c r="AM15" i="16"/>
  <c r="AM14" i="16" s="1"/>
  <c r="E84" i="16" a="1"/>
  <c r="E84" i="16" s="1"/>
  <c r="AX20" i="16"/>
  <c r="U8" i="17"/>
  <c r="AO16" i="16"/>
  <c r="E34" i="16" a="1"/>
  <c r="E34" i="16" s="1"/>
  <c r="AK33" i="16"/>
  <c r="AL33" i="16"/>
  <c r="AN4" i="15"/>
  <c r="AN7" i="15"/>
  <c r="AN6" i="15"/>
  <c r="AO5" i="15"/>
  <c r="AN8" i="15"/>
  <c r="AK36" i="15" s="1"/>
  <c r="AK35" i="15"/>
  <c r="AI35" i="15"/>
  <c r="AG35" i="15"/>
  <c r="AF35" i="15"/>
  <c r="AH35" i="15"/>
  <c r="AM82" i="15"/>
  <c r="AM81" i="15"/>
  <c r="AM78" i="15"/>
  <c r="AM80" i="15"/>
  <c r="AM79" i="15"/>
  <c r="AM33" i="15"/>
  <c r="AM29" i="15"/>
  <c r="AM15" i="15" a="1"/>
  <c r="AM15" i="15" s="1"/>
  <c r="AM14" i="15" s="1"/>
  <c r="AM30" i="15"/>
  <c r="AM31" i="15"/>
  <c r="AM28" i="15"/>
  <c r="AM32" i="15"/>
  <c r="AM11" i="15" a="1"/>
  <c r="AM11" i="15" s="1"/>
  <c r="AM19" i="15" a="1"/>
  <c r="AM19" i="15" s="1"/>
  <c r="AL14" i="15"/>
  <c r="AL18" i="15"/>
  <c r="E83" i="15" a="1"/>
  <c r="E83" i="15" s="1"/>
  <c r="AM83" i="15" s="1"/>
  <c r="AW20" i="15"/>
  <c r="AK32" i="15"/>
  <c r="AJ32" i="15"/>
  <c r="AK33" i="15"/>
  <c r="AL33" i="15"/>
  <c r="W4" i="17"/>
  <c r="W5" i="17" s="1"/>
  <c r="V7" i="17"/>
  <c r="V6" i="17"/>
  <c r="D54" i="17"/>
  <c r="D145" i="17"/>
  <c r="AM144" i="17"/>
  <c r="AL144" i="17"/>
  <c r="AK144" i="17"/>
  <c r="AJ144" i="17"/>
  <c r="AI144" i="17"/>
  <c r="AH144" i="17"/>
  <c r="AG144" i="17"/>
  <c r="AF144" i="17"/>
  <c r="AN6" i="14"/>
  <c r="AO5" i="14"/>
  <c r="AN7" i="14"/>
  <c r="AN8" i="14"/>
  <c r="AL55" i="14" s="1"/>
  <c r="AN4" i="14"/>
  <c r="AM47" i="14"/>
  <c r="AL54" i="14"/>
  <c r="S4" i="16"/>
  <c r="R7" i="16"/>
  <c r="R6" i="16"/>
  <c r="AJ10" i="16"/>
  <c r="D53" i="16"/>
  <c r="D87" i="16"/>
  <c r="D42" i="15"/>
  <c r="S4" i="15"/>
  <c r="R7" i="15"/>
  <c r="R6" i="15"/>
  <c r="AJ10" i="15"/>
  <c r="D87" i="15"/>
  <c r="S4" i="14"/>
  <c r="R7" i="14"/>
  <c r="R6" i="14"/>
  <c r="D59" i="14"/>
  <c r="AL6" i="9"/>
  <c r="AL4" i="9"/>
  <c r="AL7" i="9"/>
  <c r="AL8" i="9"/>
  <c r="AM5" i="9"/>
  <c r="AL5" i="11"/>
  <c r="AK6" i="11"/>
  <c r="AK8" i="11"/>
  <c r="AK7" i="11"/>
  <c r="AK4" i="11"/>
  <c r="U8" i="13"/>
  <c r="V5" i="13"/>
  <c r="U4" i="13"/>
  <c r="U7" i="13"/>
  <c r="U6" i="13"/>
  <c r="AA4" i="12"/>
  <c r="Z7" i="12"/>
  <c r="Z6" i="12"/>
  <c r="O6" i="11"/>
  <c r="O7" i="11"/>
  <c r="P4" i="11"/>
  <c r="T7" i="10"/>
  <c r="T6" i="10"/>
  <c r="U4" i="10"/>
  <c r="U5" i="10" s="1"/>
  <c r="AL8" i="10"/>
  <c r="AL7" i="10"/>
  <c r="AM5" i="10"/>
  <c r="AL4" i="10"/>
  <c r="AL6" i="10"/>
  <c r="S8" i="10"/>
  <c r="AT48" i="8"/>
  <c r="AU49" i="8"/>
  <c r="AT50" i="8"/>
  <c r="AT51" i="8"/>
  <c r="AT52" i="8"/>
  <c r="P7" i="9"/>
  <c r="P6" i="9"/>
  <c r="Q4" i="9"/>
  <c r="Y74" i="8"/>
  <c r="X77" i="8"/>
  <c r="X76" i="8"/>
  <c r="Y48" i="8"/>
  <c r="X51" i="8"/>
  <c r="X50" i="8"/>
  <c r="X10" i="8"/>
  <c r="Y7" i="8"/>
  <c r="X9" i="8"/>
  <c r="AU11" i="8"/>
  <c r="AU7" i="8"/>
  <c r="AU15" i="8" s="1" a="1"/>
  <c r="AU15" i="8" s="1"/>
  <c r="AU10" i="8"/>
  <c r="AU9" i="8"/>
  <c r="AV8" i="8"/>
  <c r="AU75" i="8"/>
  <c r="AT74" i="8"/>
  <c r="AT78" i="8"/>
  <c r="AT77" i="8"/>
  <c r="AT76" i="8"/>
  <c r="X101" i="12" l="1"/>
  <c r="AX76" i="12"/>
  <c r="AX79" i="12"/>
  <c r="V84" i="13" s="1"/>
  <c r="AX80" i="12"/>
  <c r="X77" i="12"/>
  <c r="X95" i="12"/>
  <c r="R108" i="13"/>
  <c r="X93" i="12"/>
  <c r="AX93" i="12"/>
  <c r="V95" i="13" s="1"/>
  <c r="AX63" i="12"/>
  <c r="AX97" i="12"/>
  <c r="V99" i="13" s="1"/>
  <c r="AX64" i="12"/>
  <c r="V74" i="13" s="1"/>
  <c r="AX40" i="12"/>
  <c r="V58" i="13" s="1"/>
  <c r="AX4" i="12"/>
  <c r="AX78" i="12"/>
  <c r="V83" i="13" s="1"/>
  <c r="AX51" i="12"/>
  <c r="V69" i="13" s="1"/>
  <c r="AX29" i="12"/>
  <c r="V47" i="13" s="1"/>
  <c r="AX92" i="12"/>
  <c r="V94" i="13" s="1"/>
  <c r="AX59" i="12"/>
  <c r="V72" i="13" s="1"/>
  <c r="AX41" i="12"/>
  <c r="V59" i="13" s="1"/>
  <c r="AY5" i="12"/>
  <c r="AY63" i="12" s="1"/>
  <c r="AX106" i="12"/>
  <c r="V105" i="13" s="1"/>
  <c r="AX31" i="12"/>
  <c r="V49" i="13" s="1"/>
  <c r="AX50" i="12"/>
  <c r="V68" i="13" s="1"/>
  <c r="AX101" i="12"/>
  <c r="V100" i="13" s="1"/>
  <c r="AX32" i="12"/>
  <c r="V50" i="13" s="1"/>
  <c r="AX52" i="12"/>
  <c r="V70" i="13" s="1"/>
  <c r="AX89" i="12"/>
  <c r="V91" i="13" s="1"/>
  <c r="AX58" i="12"/>
  <c r="V71" i="13" s="1"/>
  <c r="AX46" i="12"/>
  <c r="V64" i="13" s="1"/>
  <c r="AX7" i="12"/>
  <c r="AX38" i="12"/>
  <c r="V56" i="13" s="1"/>
  <c r="AX91" i="12"/>
  <c r="V93" i="13" s="1"/>
  <c r="AX28" i="12"/>
  <c r="AX47" i="12"/>
  <c r="V65" i="13" s="1"/>
  <c r="AX6" i="12"/>
  <c r="AX48" i="12"/>
  <c r="V66" i="13" s="1"/>
  <c r="AX83" i="12"/>
  <c r="V88" i="13" s="1"/>
  <c r="AX84" i="12"/>
  <c r="V89" i="13" s="1"/>
  <c r="AX103" i="12"/>
  <c r="V102" i="13" s="1"/>
  <c r="AX85" i="12"/>
  <c r="V90" i="13" s="1"/>
  <c r="AX49" i="12"/>
  <c r="V67" i="13" s="1"/>
  <c r="AX75" i="12"/>
  <c r="V24" i="13" s="1" a="1"/>
  <c r="V24" i="13" s="1"/>
  <c r="AX105" i="12"/>
  <c r="V104" i="13" s="1"/>
  <c r="AX81" i="12"/>
  <c r="V86" i="13" s="1"/>
  <c r="AX34" i="12"/>
  <c r="V52" i="13" s="1"/>
  <c r="AX21" i="12"/>
  <c r="V45" i="13" s="1"/>
  <c r="AX36" i="12"/>
  <c r="V54" i="13" s="1"/>
  <c r="AX77" i="12"/>
  <c r="V82" i="13" s="1"/>
  <c r="AX43" i="12"/>
  <c r="V61" i="13" s="1"/>
  <c r="AX96" i="12"/>
  <c r="V98" i="13" s="1"/>
  <c r="AX13" i="12"/>
  <c r="V40" i="13" s="1"/>
  <c r="AX102" i="12"/>
  <c r="V101" i="13" s="1"/>
  <c r="AX82" i="12"/>
  <c r="V87" i="13" s="1"/>
  <c r="AX35" i="12"/>
  <c r="V53" i="13" s="1"/>
  <c r="AX20" i="12"/>
  <c r="V44" i="13" s="1"/>
  <c r="AO90" i="30" s="1"/>
  <c r="AX104" i="12"/>
  <c r="V103" i="13" s="1"/>
  <c r="AX73" i="12"/>
  <c r="V77" i="13" s="1"/>
  <c r="AX19" i="12"/>
  <c r="V43" i="13" s="1"/>
  <c r="AX42" i="12"/>
  <c r="V60" i="13" s="1"/>
  <c r="AX90" i="12"/>
  <c r="V92" i="13" s="1"/>
  <c r="AX37" i="12"/>
  <c r="V55" i="13" s="1"/>
  <c r="AX18" i="12"/>
  <c r="V42" i="13" s="1"/>
  <c r="AX94" i="12"/>
  <c r="V96" i="13" s="1"/>
  <c r="X92" i="12"/>
  <c r="U94" i="13"/>
  <c r="AX45" i="12"/>
  <c r="V63" i="13" s="1"/>
  <c r="AL41" i="17"/>
  <c r="E51" i="17" s="1" a="1"/>
  <c r="E51" i="17" s="1"/>
  <c r="AF51" i="17" s="1" a="1"/>
  <c r="AF51" i="17" s="1"/>
  <c r="S110" i="13"/>
  <c r="S108" i="13" s="1"/>
  <c r="AX8" i="12"/>
  <c r="AX44" i="12"/>
  <c r="V62" i="13" s="1"/>
  <c r="AX14" i="12"/>
  <c r="V41" i="13" s="1"/>
  <c r="AX12" i="12"/>
  <c r="V38" i="13" s="1"/>
  <c r="U32" i="13" a="1"/>
  <c r="U32" i="13" s="1"/>
  <c r="AX33" i="12"/>
  <c r="V51" i="13" s="1"/>
  <c r="Q115" i="13"/>
  <c r="AX30" i="12"/>
  <c r="V48" i="13" s="1"/>
  <c r="AX39" i="12"/>
  <c r="V57" i="13" s="1"/>
  <c r="U16" i="13" a="1"/>
  <c r="U16" i="13" s="1"/>
  <c r="X82" i="12"/>
  <c r="X89" i="12"/>
  <c r="P115" i="13"/>
  <c r="AV85" i="20"/>
  <c r="S130" i="13" s="1"/>
  <c r="S128" i="13"/>
  <c r="X85" i="12"/>
  <c r="Y96" i="8"/>
  <c r="Y98" i="8" s="1"/>
  <c r="X91" i="12"/>
  <c r="X94" i="12"/>
  <c r="X90" i="12"/>
  <c r="U31" i="13" a="1"/>
  <c r="U31" i="13" s="1"/>
  <c r="U46" i="13"/>
  <c r="U159" i="13" s="1"/>
  <c r="U27" i="13" a="1"/>
  <c r="U27" i="13" s="1"/>
  <c r="U81" i="13"/>
  <c r="X75" i="12"/>
  <c r="X81" i="12"/>
  <c r="X99" i="8"/>
  <c r="U17" i="13" a="1"/>
  <c r="U17" i="13" s="1"/>
  <c r="U30" i="13" a="1"/>
  <c r="U30" i="13" s="1"/>
  <c r="U29" i="13" a="1"/>
  <c r="U29" i="13" s="1"/>
  <c r="X103" i="12"/>
  <c r="U18" i="13" a="1"/>
  <c r="U18" i="13" s="1"/>
  <c r="X106" i="12"/>
  <c r="U12" i="13" a="1"/>
  <c r="U12" i="13" s="1"/>
  <c r="U148" i="13" s="1"/>
  <c r="U85" i="13"/>
  <c r="X79" i="12"/>
  <c r="X105" i="12"/>
  <c r="U21" i="13" a="1"/>
  <c r="U21" i="13" s="1"/>
  <c r="U151" i="13" s="1"/>
  <c r="U15" i="13" a="1"/>
  <c r="U15" i="13" s="1"/>
  <c r="U149" i="13" s="1"/>
  <c r="U24" i="13" a="1"/>
  <c r="U24" i="13" s="1"/>
  <c r="U98" i="13"/>
  <c r="X78" i="12"/>
  <c r="AP4" i="17"/>
  <c r="U13" i="13" a="1"/>
  <c r="U13" i="13" s="1"/>
  <c r="AP6" i="17"/>
  <c r="X97" i="12"/>
  <c r="X84" i="12"/>
  <c r="U34" i="13" a="1"/>
  <c r="U34" i="13" s="1"/>
  <c r="AP8" i="17"/>
  <c r="X83" i="12"/>
  <c r="X73" i="12"/>
  <c r="X102" i="12"/>
  <c r="U103" i="13"/>
  <c r="U164" i="13" s="1"/>
  <c r="U19" i="13" a="1"/>
  <c r="U19" i="13" s="1"/>
  <c r="U42" i="13"/>
  <c r="U33" i="13" a="1"/>
  <c r="U33" i="13" s="1"/>
  <c r="U28" i="13" a="1"/>
  <c r="U28" i="13" s="1"/>
  <c r="T155" i="13"/>
  <c r="T150" i="13"/>
  <c r="T154" i="13"/>
  <c r="T164" i="13"/>
  <c r="AQ5" i="17"/>
  <c r="AP7" i="17"/>
  <c r="AO50" i="17" a="1"/>
  <c r="AO50" i="17" s="1"/>
  <c r="AO45" i="17" a="1"/>
  <c r="AO45" i="17" s="1"/>
  <c r="AO46" i="17" a="1"/>
  <c r="AO46" i="17" s="1"/>
  <c r="AO48" i="17" a="1"/>
  <c r="AO48" i="17" s="1"/>
  <c r="AO49" i="17" a="1"/>
  <c r="AO49" i="17" s="1"/>
  <c r="AO99" i="17"/>
  <c r="AO101" i="17" s="1"/>
  <c r="AO96" i="17" s="1"/>
  <c r="AO107" i="17"/>
  <c r="AO109" i="17" s="1"/>
  <c r="AO103" i="17" s="1"/>
  <c r="AP105" i="17"/>
  <c r="V81" i="13"/>
  <c r="V85" i="13"/>
  <c r="V80" i="13"/>
  <c r="AU82" i="20"/>
  <c r="AV87" i="20"/>
  <c r="S132" i="13" s="1"/>
  <c r="AV86" i="20"/>
  <c r="S131" i="13" s="1"/>
  <c r="AK36" i="16"/>
  <c r="AK42" i="17"/>
  <c r="AM36" i="16"/>
  <c r="AF36" i="16"/>
  <c r="AH36" i="16"/>
  <c r="AI36" i="16"/>
  <c r="AJ55" i="14"/>
  <c r="AH36" i="15"/>
  <c r="AI36" i="15"/>
  <c r="AW107" i="20"/>
  <c r="AI55" i="14"/>
  <c r="AG36" i="16"/>
  <c r="AW90" i="20"/>
  <c r="T134" i="13" s="1"/>
  <c r="AW108" i="20"/>
  <c r="AG55" i="14"/>
  <c r="AM55" i="14"/>
  <c r="AL50" i="17" a="1"/>
  <c r="AL50" i="17" s="1"/>
  <c r="AK50" i="17" a="1"/>
  <c r="AK50" i="17" s="1"/>
  <c r="O50" i="17" s="1"/>
  <c r="AJ50" i="17" a="1"/>
  <c r="AJ50" i="17" s="1"/>
  <c r="AI50" i="17" a="1"/>
  <c r="AI50" i="17" s="1"/>
  <c r="AH50" i="17" a="1"/>
  <c r="AH50" i="17" s="1"/>
  <c r="N50" i="17" s="1"/>
  <c r="AG50" i="17" a="1"/>
  <c r="AG50" i="17" s="1"/>
  <c r="AF50" i="17" a="1"/>
  <c r="AF50" i="17" s="1"/>
  <c r="AM50" i="17" a="1"/>
  <c r="AM50" i="17" s="1"/>
  <c r="AN50" i="17" a="1"/>
  <c r="AN50" i="17" s="1"/>
  <c r="P50" i="17" s="1"/>
  <c r="AV111" i="20" a="1"/>
  <c r="AV111" i="20" s="1"/>
  <c r="AV109" i="20" a="1"/>
  <c r="AV109" i="20" s="1"/>
  <c r="AV110" i="20"/>
  <c r="AW83" i="20"/>
  <c r="AW76" i="20"/>
  <c r="T122" i="13" s="1"/>
  <c r="AW77" i="20"/>
  <c r="T123" i="13" s="1"/>
  <c r="AW91" i="20"/>
  <c r="T135" i="13" s="1"/>
  <c r="AU96" i="20"/>
  <c r="AT89" i="20"/>
  <c r="AS75" i="20"/>
  <c r="AV60" i="20"/>
  <c r="AN4" i="22"/>
  <c r="AN7" i="22"/>
  <c r="AN8" i="22"/>
  <c r="AN6" i="22"/>
  <c r="AO5" i="22"/>
  <c r="Q8" i="22"/>
  <c r="R5" i="22"/>
  <c r="AM44" i="22"/>
  <c r="AL44" i="22"/>
  <c r="AK44" i="22"/>
  <c r="AJ44" i="22"/>
  <c r="AI44" i="22"/>
  <c r="AH44" i="22"/>
  <c r="AG44" i="22"/>
  <c r="AE44" i="22"/>
  <c r="D45" i="22"/>
  <c r="AF44" i="22"/>
  <c r="AM95" i="22"/>
  <c r="AL95" i="22"/>
  <c r="AK95" i="22"/>
  <c r="AJ95" i="22"/>
  <c r="AI95" i="22"/>
  <c r="AH95" i="22"/>
  <c r="AG95" i="22"/>
  <c r="D96" i="22"/>
  <c r="AE95" i="22"/>
  <c r="AF95" i="22"/>
  <c r="AZ54" i="20"/>
  <c r="AY52" i="20"/>
  <c r="AW65" i="20"/>
  <c r="T113" i="13" s="1"/>
  <c r="AW64" i="20"/>
  <c r="T112" i="13" s="1"/>
  <c r="AW63" i="20"/>
  <c r="T111" i="13" s="1"/>
  <c r="AW62" i="20"/>
  <c r="AT75" i="20"/>
  <c r="AS89" i="20"/>
  <c r="AV99" i="20"/>
  <c r="S142" i="13" s="1"/>
  <c r="AV101" i="20"/>
  <c r="S144" i="13" s="1"/>
  <c r="AV100" i="20"/>
  <c r="S143" i="13" s="1"/>
  <c r="AU78" i="20"/>
  <c r="R124" i="13" s="1"/>
  <c r="AU79" i="20"/>
  <c r="R125" i="13" s="1"/>
  <c r="AU80" i="20"/>
  <c r="R126" i="13" s="1"/>
  <c r="AU92" i="20"/>
  <c r="R136" i="13" s="1"/>
  <c r="AU93" i="20"/>
  <c r="R137" i="13" s="1"/>
  <c r="AU94" i="20"/>
  <c r="R138" i="13" s="1"/>
  <c r="AX95" i="20"/>
  <c r="U139" i="13" s="1"/>
  <c r="AX102" i="20"/>
  <c r="U145" i="13" s="1"/>
  <c r="AX88" i="20"/>
  <c r="U133" i="13" s="1"/>
  <c r="AX81" i="20"/>
  <c r="U127" i="13" s="1"/>
  <c r="AZ57" i="20"/>
  <c r="AZ97" i="20" s="1"/>
  <c r="W140" i="13" s="1"/>
  <c r="AZ56" i="20"/>
  <c r="AZ55" i="20"/>
  <c r="AU68" i="20"/>
  <c r="AU106" i="20"/>
  <c r="AV115" i="20"/>
  <c r="AY7" i="20"/>
  <c r="AZ5" i="20"/>
  <c r="AY8" i="20"/>
  <c r="AY112" i="20" s="1"/>
  <c r="AY6" i="20"/>
  <c r="AY4" i="20"/>
  <c r="AX74" i="20"/>
  <c r="U121" i="13" s="1"/>
  <c r="AX18" i="20"/>
  <c r="AX25" i="20"/>
  <c r="AX17" i="20"/>
  <c r="AX32" i="20"/>
  <c r="AX31" i="20"/>
  <c r="AX21" i="20"/>
  <c r="AX27" i="20"/>
  <c r="AX16" i="20"/>
  <c r="AX13" i="20"/>
  <c r="AX11" i="20"/>
  <c r="AX34" i="20"/>
  <c r="AX26" i="20"/>
  <c r="AX24" i="20"/>
  <c r="AX20" i="20"/>
  <c r="AX29" i="20"/>
  <c r="AX15" i="20"/>
  <c r="AX12" i="20"/>
  <c r="AX19" i="20"/>
  <c r="AX22" i="20"/>
  <c r="AX28" i="20"/>
  <c r="AX33" i="20"/>
  <c r="AX35" i="20"/>
  <c r="AX23" i="20"/>
  <c r="AX30" i="20"/>
  <c r="AX14" i="20"/>
  <c r="AW61" i="20"/>
  <c r="T109" i="13" s="1"/>
  <c r="AW69" i="20"/>
  <c r="T116" i="13" s="1"/>
  <c r="AW10" i="20"/>
  <c r="AW70" i="20"/>
  <c r="T117" i="13" s="1"/>
  <c r="AV72" i="20"/>
  <c r="S119" i="13" s="1"/>
  <c r="AV73" i="20"/>
  <c r="S120" i="13" s="1"/>
  <c r="AV71" i="20"/>
  <c r="S118" i="13" s="1"/>
  <c r="AB8" i="20"/>
  <c r="AM86" i="16"/>
  <c r="AL86" i="16"/>
  <c r="AG36" i="15"/>
  <c r="AF36" i="15"/>
  <c r="AM36" i="15"/>
  <c r="AC5" i="20"/>
  <c r="BA53" i="20"/>
  <c r="AO6" i="16"/>
  <c r="AO7" i="16"/>
  <c r="AO8" i="16"/>
  <c r="AL37" i="16" s="1"/>
  <c r="AP5" i="16"/>
  <c r="AO4" i="16"/>
  <c r="AN84" i="16"/>
  <c r="AL36" i="16"/>
  <c r="AN83" i="16"/>
  <c r="AN82" i="16"/>
  <c r="AN34" i="16"/>
  <c r="AN30" i="16"/>
  <c r="AN33" i="16"/>
  <c r="AN31" i="16"/>
  <c r="AN28" i="16"/>
  <c r="AN29" i="16"/>
  <c r="AN32" i="16"/>
  <c r="AN78" i="16"/>
  <c r="AN80" i="16"/>
  <c r="AN79" i="16"/>
  <c r="AN81" i="16"/>
  <c r="AN15" i="16"/>
  <c r="AN14" i="16" s="1"/>
  <c r="AN19" i="16"/>
  <c r="AN18" i="16" s="1"/>
  <c r="AN11" i="16"/>
  <c r="E85" i="16" a="1"/>
  <c r="E85" i="16" s="1"/>
  <c r="AY20" i="16"/>
  <c r="E35" i="16" a="1"/>
  <c r="E35" i="16" s="1"/>
  <c r="AP16" i="16"/>
  <c r="AL84" i="16"/>
  <c r="AM84" i="16"/>
  <c r="V8" i="17"/>
  <c r="AK86" i="16"/>
  <c r="AJ86" i="16"/>
  <c r="AI86" i="16"/>
  <c r="AH86" i="16"/>
  <c r="AG86" i="16"/>
  <c r="AF86" i="16"/>
  <c r="AL34" i="16"/>
  <c r="AM34" i="16"/>
  <c r="AJ86" i="15"/>
  <c r="AG86" i="15"/>
  <c r="AM86" i="15"/>
  <c r="AL86" i="15"/>
  <c r="AK86" i="15"/>
  <c r="AI86" i="15"/>
  <c r="AH86" i="15"/>
  <c r="AF86" i="15"/>
  <c r="AP16" i="15"/>
  <c r="E35" i="15" a="1"/>
  <c r="E35" i="15" s="1"/>
  <c r="AO4" i="15"/>
  <c r="AO7" i="15"/>
  <c r="AO6" i="15"/>
  <c r="AP5" i="15"/>
  <c r="AO8" i="15"/>
  <c r="AN37" i="15" s="1"/>
  <c r="AJ36" i="15"/>
  <c r="AL36" i="15"/>
  <c r="AN83" i="15"/>
  <c r="AN82" i="15"/>
  <c r="AN81" i="15"/>
  <c r="AN78" i="15"/>
  <c r="AN80" i="15"/>
  <c r="AN79" i="15"/>
  <c r="AN32" i="15"/>
  <c r="AN29" i="15"/>
  <c r="AN31" i="15"/>
  <c r="AN15" i="15" a="1"/>
  <c r="AN15" i="15" s="1"/>
  <c r="AN14" i="15" s="1"/>
  <c r="AN11" i="15" a="1"/>
  <c r="AN11" i="15" s="1"/>
  <c r="AN30" i="15"/>
  <c r="AN33" i="15"/>
  <c r="AN28" i="15"/>
  <c r="AN19" i="15" a="1"/>
  <c r="AN19" i="15" s="1"/>
  <c r="AN18" i="15" s="1"/>
  <c r="AM18" i="15"/>
  <c r="AO16" i="15"/>
  <c r="E34" i="15" a="1"/>
  <c r="E34" i="15" s="1"/>
  <c r="E84" i="15" a="1"/>
  <c r="E84" i="15" s="1"/>
  <c r="AN84" i="15" s="1"/>
  <c r="AX20" i="15"/>
  <c r="AL83" i="15"/>
  <c r="AK83" i="15"/>
  <c r="R8" i="16"/>
  <c r="X4" i="17"/>
  <c r="X5" i="17" s="1"/>
  <c r="W7" i="17"/>
  <c r="W6" i="17"/>
  <c r="D55" i="17"/>
  <c r="D146" i="17"/>
  <c r="AN145" i="17"/>
  <c r="AM145" i="17"/>
  <c r="AL145" i="17"/>
  <c r="AK145" i="17"/>
  <c r="AJ145" i="17"/>
  <c r="AI145" i="17"/>
  <c r="AH145" i="17"/>
  <c r="AG145" i="17"/>
  <c r="AF145" i="17"/>
  <c r="AO7" i="14"/>
  <c r="AO8" i="14"/>
  <c r="AP5" i="14"/>
  <c r="AO6" i="14"/>
  <c r="AO4" i="14"/>
  <c r="AH55" i="14"/>
  <c r="AK55" i="14"/>
  <c r="AF55" i="14"/>
  <c r="AN47" i="14"/>
  <c r="S5" i="16"/>
  <c r="AK12" i="16"/>
  <c r="AJ25" i="16"/>
  <c r="AJ22" i="16"/>
  <c r="AJ27" i="14" s="1"/>
  <c r="D54" i="16"/>
  <c r="D88" i="16"/>
  <c r="D43" i="15"/>
  <c r="S5" i="15"/>
  <c r="AK12" i="15"/>
  <c r="AJ22" i="15"/>
  <c r="AJ25" i="14" s="1"/>
  <c r="AJ25" i="15"/>
  <c r="D88" i="15"/>
  <c r="R8" i="15"/>
  <c r="S5" i="14"/>
  <c r="D60" i="14"/>
  <c r="R8" i="14"/>
  <c r="U160" i="13"/>
  <c r="O8" i="11"/>
  <c r="AM6" i="9"/>
  <c r="AM7" i="9"/>
  <c r="AM8" i="9"/>
  <c r="AM4" i="9"/>
  <c r="AN5" i="9"/>
  <c r="AL6" i="11"/>
  <c r="AM5" i="11"/>
  <c r="AL8" i="11"/>
  <c r="AL7" i="11"/>
  <c r="AL4" i="11"/>
  <c r="Z8" i="12"/>
  <c r="V4" i="13"/>
  <c r="V6" i="13"/>
  <c r="W5" i="13"/>
  <c r="V8" i="13"/>
  <c r="V7" i="13"/>
  <c r="P8" i="9"/>
  <c r="AA5" i="12"/>
  <c r="P5" i="11"/>
  <c r="U7" i="10"/>
  <c r="V4" i="10"/>
  <c r="V5" i="10" s="1"/>
  <c r="U6" i="10"/>
  <c r="AN5" i="10"/>
  <c r="AM4" i="10"/>
  <c r="AM8" i="10"/>
  <c r="AM7" i="10"/>
  <c r="AM6" i="10"/>
  <c r="T8" i="10"/>
  <c r="AU48" i="8"/>
  <c r="AV49" i="8"/>
  <c r="AU50" i="8"/>
  <c r="AU51" i="8"/>
  <c r="AU52" i="8"/>
  <c r="Q5" i="9"/>
  <c r="X78" i="8"/>
  <c r="X52" i="8"/>
  <c r="X11" i="8"/>
  <c r="Y75" i="8"/>
  <c r="Y49" i="8"/>
  <c r="Y8" i="8"/>
  <c r="AV11" i="8"/>
  <c r="AV10" i="8"/>
  <c r="AV9" i="8"/>
  <c r="AV7" i="8"/>
  <c r="AV15" i="8" s="1" a="1"/>
  <c r="AV15" i="8" s="1"/>
  <c r="AW8" i="8"/>
  <c r="AU78" i="8"/>
  <c r="AU77" i="8"/>
  <c r="AU76" i="8"/>
  <c r="AV75" i="8"/>
  <c r="AU74" i="8"/>
  <c r="AY8" i="12" l="1"/>
  <c r="AY29" i="12"/>
  <c r="AY82" i="12"/>
  <c r="W87" i="13" s="1"/>
  <c r="AY93" i="12"/>
  <c r="W95" i="13" s="1"/>
  <c r="V29" i="13" a="1"/>
  <c r="V29" i="13" s="1"/>
  <c r="AY64" i="12"/>
  <c r="W74" i="13" s="1"/>
  <c r="AY90" i="12"/>
  <c r="AY31" i="12"/>
  <c r="W49" i="13" s="1"/>
  <c r="AY45" i="12"/>
  <c r="W63" i="13" s="1"/>
  <c r="V33" i="13" a="1"/>
  <c r="V33" i="13" s="1"/>
  <c r="AY12" i="12"/>
  <c r="W38" i="13" s="1"/>
  <c r="AY94" i="12"/>
  <c r="W96" i="13" s="1"/>
  <c r="AY73" i="12"/>
  <c r="W77" i="13" s="1"/>
  <c r="AY40" i="12"/>
  <c r="W58" i="13" s="1"/>
  <c r="AY14" i="12"/>
  <c r="W41" i="13" s="1"/>
  <c r="AY41" i="12"/>
  <c r="W59" i="13" s="1"/>
  <c r="AY95" i="12"/>
  <c r="W97" i="13" s="1"/>
  <c r="AY18" i="12"/>
  <c r="AY28" i="12"/>
  <c r="W46" i="13" s="1"/>
  <c r="AY75" i="12"/>
  <c r="AY97" i="12"/>
  <c r="W99" i="13" s="1"/>
  <c r="AY43" i="12"/>
  <c r="W61" i="13" s="1"/>
  <c r="AY84" i="12"/>
  <c r="W89" i="13" s="1"/>
  <c r="AY44" i="12"/>
  <c r="W62" i="13" s="1"/>
  <c r="AY19" i="12"/>
  <c r="W43" i="13" s="1"/>
  <c r="AY30" i="12"/>
  <c r="W48" i="13" s="1"/>
  <c r="AY76" i="12"/>
  <c r="W81" i="13" s="1"/>
  <c r="AY101" i="12"/>
  <c r="W100" i="13" s="1"/>
  <c r="AY42" i="12"/>
  <c r="W60" i="13" s="1"/>
  <c r="AY83" i="12"/>
  <c r="W88" i="13" s="1"/>
  <c r="AY13" i="12"/>
  <c r="W40" i="13" s="1"/>
  <c r="AY20" i="12"/>
  <c r="W44" i="13" s="1"/>
  <c r="AP90" i="30" s="1"/>
  <c r="AY46" i="12"/>
  <c r="W64" i="13" s="1"/>
  <c r="AY77" i="12"/>
  <c r="W82" i="13" s="1"/>
  <c r="AY102" i="12"/>
  <c r="W101" i="13" s="1"/>
  <c r="AY21" i="12"/>
  <c r="W45" i="13" s="1"/>
  <c r="AY47" i="12"/>
  <c r="W65" i="13" s="1"/>
  <c r="AY79" i="12"/>
  <c r="W84" i="13" s="1"/>
  <c r="AY103" i="12"/>
  <c r="W102" i="13" s="1"/>
  <c r="AY104" i="12"/>
  <c r="W103" i="13" s="1"/>
  <c r="AY49" i="12"/>
  <c r="W67" i="13" s="1"/>
  <c r="AY32" i="12"/>
  <c r="W50" i="13" s="1"/>
  <c r="AY35" i="12"/>
  <c r="W53" i="13" s="1"/>
  <c r="AY50" i="12"/>
  <c r="W68" i="13" s="1"/>
  <c r="AY106" i="12"/>
  <c r="W105" i="13" s="1"/>
  <c r="AY80" i="12"/>
  <c r="W85" i="13" s="1"/>
  <c r="AY78" i="12"/>
  <c r="W83" i="13" s="1"/>
  <c r="AY85" i="12"/>
  <c r="W90" i="13" s="1"/>
  <c r="AY48" i="12"/>
  <c r="W66" i="13" s="1"/>
  <c r="AY105" i="12"/>
  <c r="W104" i="13" s="1"/>
  <c r="AY36" i="12"/>
  <c r="W54" i="13" s="1"/>
  <c r="AY37" i="12"/>
  <c r="W55" i="13" s="1"/>
  <c r="AY96" i="12"/>
  <c r="W31" i="13" s="1" a="1"/>
  <c r="W31" i="13" s="1"/>
  <c r="V34" i="13" a="1"/>
  <c r="V34" i="13" s="1"/>
  <c r="AY81" i="12"/>
  <c r="W86" i="13" s="1"/>
  <c r="AY52" i="12"/>
  <c r="W70" i="13" s="1"/>
  <c r="AZ5" i="12"/>
  <c r="AZ63" i="12" s="1"/>
  <c r="AY38" i="12"/>
  <c r="W56" i="13" s="1"/>
  <c r="AY58" i="12"/>
  <c r="W71" i="13" s="1"/>
  <c r="AY89" i="12"/>
  <c r="W29" i="13" s="1" a="1"/>
  <c r="W29" i="13" s="1"/>
  <c r="AY91" i="12"/>
  <c r="W93" i="13" s="1"/>
  <c r="AY33" i="12"/>
  <c r="W51" i="13" s="1"/>
  <c r="AY34" i="12"/>
  <c r="W52" i="13" s="1"/>
  <c r="AY6" i="12"/>
  <c r="AY51" i="12"/>
  <c r="W69" i="13" s="1"/>
  <c r="AY7" i="12"/>
  <c r="AY4" i="12"/>
  <c r="AY39" i="12"/>
  <c r="W57" i="13" s="1"/>
  <c r="AY59" i="12"/>
  <c r="W72" i="13" s="1"/>
  <c r="AY92" i="12"/>
  <c r="W94" i="13" s="1"/>
  <c r="R115" i="13"/>
  <c r="AG51" i="17" a="1"/>
  <c r="AG51" i="17" s="1"/>
  <c r="V31" i="13" a="1"/>
  <c r="V31" i="13" s="1"/>
  <c r="V16" i="13" a="1"/>
  <c r="V16" i="13" s="1"/>
  <c r="AI51" i="17" a="1"/>
  <c r="AI51" i="17" s="1"/>
  <c r="AJ51" i="17" a="1"/>
  <c r="AJ51" i="17" s="1"/>
  <c r="V160" i="13"/>
  <c r="AK51" i="17" a="1"/>
  <c r="AK51" i="17" s="1"/>
  <c r="O51" i="17" s="1"/>
  <c r="V15" i="13" a="1"/>
  <c r="V15" i="13" s="1"/>
  <c r="V149" i="13" s="1"/>
  <c r="AH51" i="17" a="1"/>
  <c r="AH51" i="17" s="1"/>
  <c r="N51" i="17" s="1"/>
  <c r="V19" i="13" a="1"/>
  <c r="V19" i="13" s="1"/>
  <c r="AL51" i="17" a="1"/>
  <c r="AL51" i="17" s="1"/>
  <c r="V21" i="13" a="1"/>
  <c r="V21" i="13" s="1"/>
  <c r="V151" i="13" s="1"/>
  <c r="AM51" i="17" a="1"/>
  <c r="AM51" i="17" s="1"/>
  <c r="V27" i="13" a="1"/>
  <c r="V27" i="13" s="1"/>
  <c r="AN51" i="17" a="1"/>
  <c r="AN51" i="17" s="1"/>
  <c r="P51" i="17" s="1"/>
  <c r="AL42" i="17"/>
  <c r="AP51" i="17" a="1"/>
  <c r="AP51" i="17" s="1"/>
  <c r="AO51" i="17" a="1"/>
  <c r="AO51" i="17" s="1"/>
  <c r="V18" i="13" a="1"/>
  <c r="V18" i="13" s="1"/>
  <c r="AM41" i="17"/>
  <c r="E52" i="17" s="1" a="1"/>
  <c r="E52" i="17" s="1"/>
  <c r="AL52" i="17" s="1" a="1"/>
  <c r="AL52" i="17" s="1"/>
  <c r="T110" i="13"/>
  <c r="T108" i="13" s="1"/>
  <c r="V28" i="13" a="1"/>
  <c r="V28" i="13" s="1"/>
  <c r="V13" i="13" a="1"/>
  <c r="V13" i="13" s="1"/>
  <c r="V46" i="13"/>
  <c r="V159" i="13" s="1"/>
  <c r="Z95" i="8"/>
  <c r="V12" i="13" a="1"/>
  <c r="V12" i="13" s="1"/>
  <c r="V148" i="13" s="1"/>
  <c r="U163" i="13"/>
  <c r="Y97" i="8"/>
  <c r="V17" i="13" a="1"/>
  <c r="V17" i="13" s="1"/>
  <c r="V30" i="13" a="1"/>
  <c r="V30" i="13" s="1"/>
  <c r="V32" i="13" a="1"/>
  <c r="V32" i="13" s="1"/>
  <c r="AW86" i="20"/>
  <c r="T131" i="13" s="1"/>
  <c r="T128" i="13"/>
  <c r="X87" i="12"/>
  <c r="Y15" i="8" a="1"/>
  <c r="Y15" i="8" s="1"/>
  <c r="U154" i="13"/>
  <c r="U150" i="13"/>
  <c r="AP47" i="17" a="1"/>
  <c r="AP47" i="17" s="1"/>
  <c r="AP45" i="17" a="1"/>
  <c r="AP45" i="17" s="1"/>
  <c r="AP49" i="17" a="1"/>
  <c r="AP49" i="17" s="1"/>
  <c r="AP50" i="17" a="1"/>
  <c r="AP50" i="17" s="1"/>
  <c r="AQ4" i="17"/>
  <c r="U155" i="13"/>
  <c r="AP46" i="17" a="1"/>
  <c r="AP46" i="17" s="1"/>
  <c r="AP48" i="17" a="1"/>
  <c r="AP48" i="17" s="1"/>
  <c r="AQ8" i="17"/>
  <c r="AQ47" i="17" s="1" a="1"/>
  <c r="AQ47" i="17" s="1"/>
  <c r="AR5" i="17"/>
  <c r="AR4" i="17" s="1"/>
  <c r="AQ6" i="17"/>
  <c r="AQ7" i="17"/>
  <c r="W47" i="13"/>
  <c r="AQ105" i="17"/>
  <c r="AP107" i="17"/>
  <c r="AP109" i="17" s="1"/>
  <c r="AP103" i="17" s="1"/>
  <c r="W80" i="13"/>
  <c r="W24" i="13" a="1"/>
  <c r="W24" i="13" s="1"/>
  <c r="AP99" i="17"/>
  <c r="AP101" i="17" s="1"/>
  <c r="AP96" i="17" s="1"/>
  <c r="W42" i="13"/>
  <c r="W92" i="13"/>
  <c r="AV82" i="20"/>
  <c r="O42" i="17"/>
  <c r="AL37" i="15"/>
  <c r="AK37" i="16"/>
  <c r="AN37" i="16"/>
  <c r="AX83" i="20"/>
  <c r="AX107" i="20"/>
  <c r="AX110" i="20" s="1"/>
  <c r="AN56" i="14"/>
  <c r="AX90" i="20"/>
  <c r="U134" i="13" s="1"/>
  <c r="AX108" i="20"/>
  <c r="AW111" i="20" a="1"/>
  <c r="AW111" i="20" s="1"/>
  <c r="AW109" i="20" a="1"/>
  <c r="AW109" i="20" s="1"/>
  <c r="AW110" i="20"/>
  <c r="AT114" i="20"/>
  <c r="AW85" i="20"/>
  <c r="T130" i="13" s="1"/>
  <c r="AW87" i="20"/>
  <c r="T132" i="13" s="1"/>
  <c r="AX76" i="20"/>
  <c r="U122" i="13" s="1"/>
  <c r="AX77" i="20"/>
  <c r="U123" i="13" s="1"/>
  <c r="AX91" i="20"/>
  <c r="U135" i="13" s="1"/>
  <c r="AS114" i="20"/>
  <c r="AZ42" i="12"/>
  <c r="AZ43" i="12"/>
  <c r="X61" i="13" s="1"/>
  <c r="AZ44" i="12"/>
  <c r="X62" i="13" s="1"/>
  <c r="AZ45" i="12"/>
  <c r="X63" i="13" s="1"/>
  <c r="AM35" i="15"/>
  <c r="AN35" i="15"/>
  <c r="AZ52" i="20"/>
  <c r="AO6" i="22"/>
  <c r="AP5" i="22"/>
  <c r="AO7" i="22"/>
  <c r="AO8" i="22"/>
  <c r="AO4" i="22"/>
  <c r="S4" i="22"/>
  <c r="R6" i="22"/>
  <c r="R7" i="22"/>
  <c r="AN45" i="22"/>
  <c r="AM45" i="22"/>
  <c r="AL45" i="22"/>
  <c r="AK45" i="22"/>
  <c r="AJ45" i="22"/>
  <c r="AI45" i="22"/>
  <c r="AH45" i="22"/>
  <c r="D46" i="22"/>
  <c r="AG45" i="22"/>
  <c r="AF45" i="22"/>
  <c r="AE45" i="22"/>
  <c r="AN96" i="22"/>
  <c r="AM96" i="22"/>
  <c r="AL96" i="22"/>
  <c r="AK96" i="22"/>
  <c r="AJ96" i="22"/>
  <c r="AI96" i="22"/>
  <c r="AH96" i="22"/>
  <c r="D97" i="22"/>
  <c r="AG96" i="22"/>
  <c r="AF96" i="22"/>
  <c r="AE96" i="22"/>
  <c r="AW60" i="20"/>
  <c r="BA54" i="20"/>
  <c r="AV96" i="20"/>
  <c r="AX65" i="20"/>
  <c r="U113" i="13" s="1"/>
  <c r="AX64" i="20"/>
  <c r="U112" i="13" s="1"/>
  <c r="AX63" i="20"/>
  <c r="AX62" i="20"/>
  <c r="U110" i="13" s="1"/>
  <c r="AW100" i="20"/>
  <c r="T143" i="13" s="1"/>
  <c r="AW101" i="20"/>
  <c r="T144" i="13" s="1"/>
  <c r="AW99" i="20"/>
  <c r="T142" i="13" s="1"/>
  <c r="AV79" i="20"/>
  <c r="S125" i="13" s="1"/>
  <c r="AV78" i="20"/>
  <c r="S124" i="13" s="1"/>
  <c r="AV80" i="20"/>
  <c r="S126" i="13" s="1"/>
  <c r="AV92" i="20"/>
  <c r="S136" i="13" s="1"/>
  <c r="AV93" i="20"/>
  <c r="S137" i="13" s="1"/>
  <c r="AV94" i="20"/>
  <c r="S138" i="13" s="1"/>
  <c r="AU75" i="20"/>
  <c r="AU89" i="20"/>
  <c r="AY102" i="20"/>
  <c r="V145" i="13" s="1"/>
  <c r="AY81" i="20"/>
  <c r="V127" i="13" s="1"/>
  <c r="AY95" i="20"/>
  <c r="V139" i="13" s="1"/>
  <c r="AY88" i="20"/>
  <c r="V133" i="13" s="1"/>
  <c r="BA57" i="20"/>
  <c r="BA97" i="20" s="1"/>
  <c r="X140" i="13" s="1"/>
  <c r="BA56" i="20"/>
  <c r="BA55" i="20"/>
  <c r="AV68" i="20"/>
  <c r="AV106" i="20"/>
  <c r="AZ7" i="20"/>
  <c r="AZ6" i="20"/>
  <c r="AZ4" i="20"/>
  <c r="AZ8" i="20"/>
  <c r="AZ112" i="20" s="1"/>
  <c r="BA5" i="20"/>
  <c r="AY33" i="20"/>
  <c r="AY27" i="20"/>
  <c r="AY21" i="20"/>
  <c r="AY16" i="20"/>
  <c r="AY14" i="20"/>
  <c r="AY24" i="20"/>
  <c r="AY34" i="20"/>
  <c r="AY28" i="20"/>
  <c r="AY20" i="20"/>
  <c r="AY15" i="20"/>
  <c r="AY74" i="20"/>
  <c r="V121" i="13" s="1"/>
  <c r="AY13" i="20"/>
  <c r="AY18" i="20"/>
  <c r="AY11" i="20"/>
  <c r="AY19" i="20"/>
  <c r="AY25" i="20"/>
  <c r="AY12" i="20"/>
  <c r="AY35" i="20"/>
  <c r="AY31" i="20"/>
  <c r="AY23" i="20"/>
  <c r="AY17" i="20"/>
  <c r="AY30" i="20"/>
  <c r="AY22" i="20"/>
  <c r="AY32" i="20"/>
  <c r="AY26" i="20"/>
  <c r="AY29" i="20"/>
  <c r="AX70" i="20"/>
  <c r="U117" i="13" s="1"/>
  <c r="AX69" i="20"/>
  <c r="U116" i="13" s="1"/>
  <c r="AX61" i="20"/>
  <c r="U109" i="13" s="1"/>
  <c r="AX10" i="20"/>
  <c r="AW73" i="20"/>
  <c r="T120" i="13" s="1"/>
  <c r="AW72" i="20"/>
  <c r="T119" i="13" s="1"/>
  <c r="AW71" i="20"/>
  <c r="T118" i="13" s="1"/>
  <c r="AW115" i="20"/>
  <c r="AN87" i="16"/>
  <c r="AM87" i="16"/>
  <c r="AL87" i="16"/>
  <c r="AK87" i="16"/>
  <c r="AJ87" i="16"/>
  <c r="AI87" i="16"/>
  <c r="AH87" i="16"/>
  <c r="AG87" i="16"/>
  <c r="AC6" i="20"/>
  <c r="AD4" i="20"/>
  <c r="AC7" i="20"/>
  <c r="BB53" i="20"/>
  <c r="AO85" i="16"/>
  <c r="AO35" i="16"/>
  <c r="AM37" i="16"/>
  <c r="AI37" i="16"/>
  <c r="AH37" i="16"/>
  <c r="AJ37" i="16"/>
  <c r="AO84" i="16"/>
  <c r="AO83" i="16"/>
  <c r="AO33" i="16"/>
  <c r="AO34" i="16"/>
  <c r="AO28" i="16"/>
  <c r="AO29" i="16"/>
  <c r="AO32" i="16"/>
  <c r="AO30" i="16"/>
  <c r="AO31" i="16"/>
  <c r="AO78" i="16"/>
  <c r="AO80" i="16"/>
  <c r="AO81" i="16"/>
  <c r="AO79" i="16"/>
  <c r="AO82" i="16"/>
  <c r="AQ5" i="16"/>
  <c r="AP6" i="16"/>
  <c r="AP7" i="16"/>
  <c r="AP8" i="16"/>
  <c r="AP4" i="16"/>
  <c r="AO19" i="16"/>
  <c r="AO18" i="16" s="1"/>
  <c r="AO11" i="16"/>
  <c r="AO15" i="16"/>
  <c r="AO14" i="16" s="1"/>
  <c r="AM85" i="16"/>
  <c r="AN85" i="16"/>
  <c r="AM35" i="16"/>
  <c r="AN35" i="16"/>
  <c r="AF87" i="16"/>
  <c r="AQ16" i="16"/>
  <c r="E36" i="16" a="1"/>
  <c r="E36" i="16" s="1"/>
  <c r="AZ20" i="16"/>
  <c r="E86" i="16" a="1"/>
  <c r="E86" i="16" s="1"/>
  <c r="AL87" i="15"/>
  <c r="AK87" i="15"/>
  <c r="AJ87" i="15"/>
  <c r="AI87" i="15"/>
  <c r="AH87" i="15"/>
  <c r="AG87" i="15"/>
  <c r="AF87" i="15"/>
  <c r="V164" i="13"/>
  <c r="AN87" i="15"/>
  <c r="AM87" i="15"/>
  <c r="AP4" i="15"/>
  <c r="AP7" i="15"/>
  <c r="AP6" i="15"/>
  <c r="AQ5" i="15"/>
  <c r="AP8" i="15"/>
  <c r="AG37" i="15"/>
  <c r="AK37" i="15"/>
  <c r="AH37" i="15"/>
  <c r="AI37" i="15"/>
  <c r="AF37" i="15"/>
  <c r="AM37" i="15"/>
  <c r="AJ37" i="15"/>
  <c r="AO84" i="15"/>
  <c r="AO83" i="15"/>
  <c r="AO82" i="15"/>
  <c r="AO81" i="15"/>
  <c r="AO78" i="15"/>
  <c r="AO80" i="15"/>
  <c r="AO35" i="15"/>
  <c r="AO79" i="15"/>
  <c r="AO34" i="15"/>
  <c r="AO28" i="15"/>
  <c r="AO11" i="15" a="1"/>
  <c r="AO11" i="15" s="1"/>
  <c r="AO30" i="15"/>
  <c r="AO31" i="15"/>
  <c r="AO33" i="15"/>
  <c r="AO19" i="15" a="1"/>
  <c r="AO19" i="15" s="1"/>
  <c r="AO29" i="15"/>
  <c r="AO32" i="15"/>
  <c r="AO15" i="15" a="1"/>
  <c r="AO15" i="15" s="1"/>
  <c r="E86" i="15" a="1"/>
  <c r="E86" i="15" s="1"/>
  <c r="AZ20" i="15"/>
  <c r="E85" i="15" a="1"/>
  <c r="E85" i="15" s="1"/>
  <c r="AO85" i="15" s="1"/>
  <c r="AY20" i="15"/>
  <c r="AN34" i="15"/>
  <c r="AM34" i="15"/>
  <c r="AL34" i="15"/>
  <c r="AM84" i="15"/>
  <c r="AL84" i="15"/>
  <c r="W8" i="17"/>
  <c r="AQ16" i="15"/>
  <c r="E36" i="15" a="1"/>
  <c r="E36" i="15" s="1"/>
  <c r="Y4" i="17"/>
  <c r="Y5" i="17" s="1"/>
  <c r="X7" i="17"/>
  <c r="X6" i="17"/>
  <c r="D56" i="17"/>
  <c r="D147" i="17"/>
  <c r="AO146" i="17"/>
  <c r="AN146" i="17"/>
  <c r="AM146" i="17"/>
  <c r="AL146" i="17"/>
  <c r="AK146" i="17"/>
  <c r="AJ146" i="17"/>
  <c r="AI146" i="17"/>
  <c r="AH146" i="17"/>
  <c r="AG146" i="17"/>
  <c r="AF146" i="17"/>
  <c r="AM56" i="14"/>
  <c r="AG56" i="14"/>
  <c r="AL56" i="14"/>
  <c r="AJ56" i="14"/>
  <c r="AH56" i="14"/>
  <c r="AK56" i="14"/>
  <c r="AF56" i="14"/>
  <c r="AI56" i="14"/>
  <c r="AO47" i="14"/>
  <c r="AQ5" i="14"/>
  <c r="AP6" i="14"/>
  <c r="AP7" i="14"/>
  <c r="AP8" i="14"/>
  <c r="AP4" i="14"/>
  <c r="T4" i="16"/>
  <c r="S7" i="16"/>
  <c r="S6" i="16"/>
  <c r="AK10" i="16"/>
  <c r="D55" i="16"/>
  <c r="D89" i="16"/>
  <c r="D44" i="15"/>
  <c r="T4" i="15"/>
  <c r="S7" i="15"/>
  <c r="S6" i="15"/>
  <c r="AK10" i="15"/>
  <c r="D89" i="15"/>
  <c r="T4" i="14"/>
  <c r="S7" i="14"/>
  <c r="S6" i="14"/>
  <c r="D61" i="14"/>
  <c r="V163" i="13"/>
  <c r="AN4" i="9"/>
  <c r="AO5" i="9"/>
  <c r="AN7" i="9"/>
  <c r="AN8" i="9"/>
  <c r="AN6" i="9"/>
  <c r="AM4" i="11"/>
  <c r="AM8" i="11"/>
  <c r="AM7" i="11"/>
  <c r="AM6" i="11"/>
  <c r="AN5" i="11"/>
  <c r="AZ106" i="12"/>
  <c r="X105" i="13" s="1"/>
  <c r="AZ105" i="12"/>
  <c r="X104" i="13" s="1"/>
  <c r="AZ104" i="12"/>
  <c r="AZ103" i="12"/>
  <c r="X102" i="13" s="1"/>
  <c r="AZ102" i="12"/>
  <c r="X101" i="13" s="1"/>
  <c r="AZ101" i="12"/>
  <c r="AZ90" i="12"/>
  <c r="AZ97" i="12"/>
  <c r="X99" i="13" s="1"/>
  <c r="AZ96" i="12"/>
  <c r="AZ93" i="12"/>
  <c r="X95" i="13" s="1"/>
  <c r="AZ92" i="12"/>
  <c r="AZ89" i="12"/>
  <c r="AZ95" i="12"/>
  <c r="X97" i="13" s="1"/>
  <c r="AZ94" i="12"/>
  <c r="X96" i="13" s="1"/>
  <c r="AZ91" i="12"/>
  <c r="X93" i="13" s="1"/>
  <c r="AZ85" i="12"/>
  <c r="X90" i="13" s="1"/>
  <c r="AZ84" i="12"/>
  <c r="X89" i="13" s="1"/>
  <c r="AZ83" i="12"/>
  <c r="X88" i="13" s="1"/>
  <c r="AZ82" i="12"/>
  <c r="X87" i="13" s="1"/>
  <c r="AZ80" i="12"/>
  <c r="AZ79" i="12"/>
  <c r="X84" i="13" s="1"/>
  <c r="AZ76" i="12"/>
  <c r="AZ75" i="12"/>
  <c r="AZ73" i="12"/>
  <c r="X77" i="13" s="1"/>
  <c r="AZ81" i="12"/>
  <c r="X86" i="13" s="1"/>
  <c r="AZ78" i="12"/>
  <c r="X83" i="13" s="1"/>
  <c r="AZ77" i="12"/>
  <c r="X82" i="13" s="1"/>
  <c r="AZ64" i="12"/>
  <c r="X74" i="13" s="1"/>
  <c r="AZ59" i="12"/>
  <c r="X72" i="13" s="1"/>
  <c r="AZ58" i="12"/>
  <c r="AZ28" i="12"/>
  <c r="AZ51" i="12"/>
  <c r="X69" i="13" s="1"/>
  <c r="AZ30" i="12"/>
  <c r="X48" i="13" s="1"/>
  <c r="AZ34" i="12"/>
  <c r="X52" i="13" s="1"/>
  <c r="AZ35" i="12"/>
  <c r="X53" i="13" s="1"/>
  <c r="AZ36" i="12"/>
  <c r="AZ37" i="12"/>
  <c r="X55" i="13" s="1"/>
  <c r="AZ38" i="12"/>
  <c r="X56" i="13" s="1"/>
  <c r="AZ39" i="12"/>
  <c r="X57" i="13" s="1"/>
  <c r="AZ33" i="12"/>
  <c r="X51" i="13" s="1"/>
  <c r="AZ40" i="12"/>
  <c r="X58" i="13" s="1"/>
  <c r="AZ41" i="12"/>
  <c r="X59" i="13" s="1"/>
  <c r="AZ29" i="12"/>
  <c r="AZ31" i="12"/>
  <c r="X49" i="13" s="1"/>
  <c r="AZ32" i="12"/>
  <c r="X50" i="13" s="1"/>
  <c r="AZ46" i="12"/>
  <c r="X64" i="13" s="1"/>
  <c r="AZ47" i="12"/>
  <c r="X65" i="13" s="1"/>
  <c r="AZ48" i="12"/>
  <c r="AZ49" i="12"/>
  <c r="X67" i="13" s="1"/>
  <c r="AZ50" i="12"/>
  <c r="X68" i="13" s="1"/>
  <c r="AZ52" i="12"/>
  <c r="X70" i="13" s="1"/>
  <c r="AZ21" i="12"/>
  <c r="X45" i="13" s="1"/>
  <c r="AZ20" i="12"/>
  <c r="X44" i="13" s="1"/>
  <c r="AQ90" i="30" s="1"/>
  <c r="AZ19" i="12"/>
  <c r="X43" i="13" s="1"/>
  <c r="AZ18" i="12"/>
  <c r="AZ14" i="12"/>
  <c r="X41" i="13" s="1"/>
  <c r="AZ13" i="12"/>
  <c r="X40" i="13" s="1"/>
  <c r="AZ12" i="12"/>
  <c r="AZ8" i="12"/>
  <c r="AZ4" i="12"/>
  <c r="AZ6" i="12"/>
  <c r="AZ7" i="12"/>
  <c r="BA5" i="12"/>
  <c r="BA63" i="12" s="1"/>
  <c r="W8" i="13"/>
  <c r="W6" i="13"/>
  <c r="X5" i="13"/>
  <c r="W4" i="13"/>
  <c r="W7" i="13"/>
  <c r="AB4" i="12"/>
  <c r="AA7" i="12"/>
  <c r="AA6" i="12"/>
  <c r="Q4" i="11"/>
  <c r="P7" i="11"/>
  <c r="P6" i="11"/>
  <c r="V7" i="10"/>
  <c r="W4" i="10"/>
  <c r="W5" i="10" s="1"/>
  <c r="V6" i="10"/>
  <c r="AN8" i="10"/>
  <c r="AN7" i="10"/>
  <c r="AO5" i="10"/>
  <c r="AN4" i="10"/>
  <c r="AN6" i="10"/>
  <c r="U8" i="10"/>
  <c r="AV50" i="8"/>
  <c r="AV48" i="8"/>
  <c r="AW49" i="8"/>
  <c r="AV51" i="8"/>
  <c r="AV52" i="8"/>
  <c r="Q7" i="9"/>
  <c r="R4" i="9"/>
  <c r="Q6" i="9"/>
  <c r="Z74" i="8"/>
  <c r="Y77" i="8"/>
  <c r="Y76" i="8"/>
  <c r="Z48" i="8"/>
  <c r="Y51" i="8"/>
  <c r="Y50" i="8"/>
  <c r="Y10" i="8"/>
  <c r="Y9" i="8"/>
  <c r="Z7" i="8"/>
  <c r="AW11" i="8"/>
  <c r="AX8" i="8"/>
  <c r="AW7" i="8"/>
  <c r="AW15" i="8" s="1" a="1"/>
  <c r="AW15" i="8" s="1"/>
  <c r="AW10" i="8"/>
  <c r="AW9" i="8"/>
  <c r="AW75" i="8"/>
  <c r="AV74" i="8"/>
  <c r="AV78" i="8"/>
  <c r="AV77" i="8"/>
  <c r="AV76" i="8"/>
  <c r="V155" i="13" l="1"/>
  <c r="W91" i="13"/>
  <c r="AP52" i="17" a="1"/>
  <c r="AP52" i="17" s="1"/>
  <c r="W15" i="13" a="1"/>
  <c r="W15" i="13" s="1"/>
  <c r="W149" i="13" s="1"/>
  <c r="Q90" i="30"/>
  <c r="W18" i="13" a="1"/>
  <c r="W18" i="13" s="1"/>
  <c r="W12" i="13" a="1"/>
  <c r="W12" i="13" s="1"/>
  <c r="W148" i="13" s="1"/>
  <c r="W30" i="13" a="1"/>
  <c r="W30" i="13" s="1"/>
  <c r="W19" i="13" a="1"/>
  <c r="W19" i="13" s="1"/>
  <c r="W16" i="13" a="1"/>
  <c r="W16" i="13" s="1"/>
  <c r="W28" i="13" a="1"/>
  <c r="W28" i="13" s="1"/>
  <c r="AR8" i="17"/>
  <c r="AR47" i="17" s="1" a="1"/>
  <c r="AR47" i="17" s="1"/>
  <c r="W32" i="13" a="1"/>
  <c r="W32" i="13" s="1"/>
  <c r="W154" i="13" s="1"/>
  <c r="W27" i="13" a="1"/>
  <c r="W27" i="13" s="1"/>
  <c r="W98" i="13"/>
  <c r="W163" i="13" s="1"/>
  <c r="AR7" i="17"/>
  <c r="W33" i="13" a="1"/>
  <c r="W33" i="13" s="1"/>
  <c r="W34" i="13" a="1"/>
  <c r="W34" i="13" s="1"/>
  <c r="W13" i="13" a="1"/>
  <c r="W13" i="13" s="1"/>
  <c r="W21" i="13" a="1"/>
  <c r="W21" i="13" s="1"/>
  <c r="W151" i="13" s="1"/>
  <c r="W17" i="13" a="1"/>
  <c r="W17" i="13" s="1"/>
  <c r="V154" i="13"/>
  <c r="V150" i="13"/>
  <c r="AQ48" i="17" a="1"/>
  <c r="AQ48" i="17" s="1"/>
  <c r="Q48" i="17" s="1"/>
  <c r="AQ49" i="17" a="1"/>
  <c r="AQ49" i="17" s="1"/>
  <c r="H49" i="17" s="1"/>
  <c r="AQ50" i="17" a="1"/>
  <c r="AQ50" i="17" s="1"/>
  <c r="Q50" i="17" s="1"/>
  <c r="AQ51" i="17" a="1"/>
  <c r="AQ51" i="17" s="1"/>
  <c r="H51" i="17" s="1"/>
  <c r="AQ52" i="17" a="1"/>
  <c r="AQ52" i="17" s="1"/>
  <c r="H52" i="17" s="1"/>
  <c r="AX86" i="20"/>
  <c r="U131" i="13" s="1"/>
  <c r="U128" i="13"/>
  <c r="AM42" i="17"/>
  <c r="AS5" i="17"/>
  <c r="AS4" i="17" s="1"/>
  <c r="AM52" i="17" a="1"/>
  <c r="AM52" i="17" s="1"/>
  <c r="S115" i="13"/>
  <c r="AF52" i="17" a="1"/>
  <c r="AF52" i="17" s="1"/>
  <c r="AO52" i="17" a="1"/>
  <c r="AO52" i="17" s="1"/>
  <c r="AN52" i="17" a="1"/>
  <c r="AN52" i="17" s="1"/>
  <c r="P52" i="17" s="1"/>
  <c r="AG52" i="17" a="1"/>
  <c r="AG52" i="17" s="1"/>
  <c r="AI52" i="17" a="1"/>
  <c r="AI52" i="17" s="1"/>
  <c r="AJ52" i="17" a="1"/>
  <c r="AJ52" i="17" s="1"/>
  <c r="Z63" i="20"/>
  <c r="U111" i="13"/>
  <c r="U108" i="13" s="1"/>
  <c r="AK52" i="17" a="1"/>
  <c r="AK52" i="17" s="1"/>
  <c r="O52" i="17" s="1"/>
  <c r="AH52" i="17" a="1"/>
  <c r="AH52" i="17" s="1"/>
  <c r="N52" i="17" s="1"/>
  <c r="Z96" i="8"/>
  <c r="AA95" i="8" s="1"/>
  <c r="Y99" i="8"/>
  <c r="AR6" i="17"/>
  <c r="AQ45" i="17" a="1"/>
  <c r="AQ45" i="17" s="1"/>
  <c r="H45" i="17" s="1"/>
  <c r="AQ46" i="17" a="1"/>
  <c r="AQ46" i="17" s="1"/>
  <c r="Q46" i="17" s="1"/>
  <c r="X85" i="13"/>
  <c r="X28" i="13" a="1"/>
  <c r="X28" i="13" s="1"/>
  <c r="X103" i="13"/>
  <c r="X34" i="13" a="1"/>
  <c r="X34" i="13" s="1"/>
  <c r="X66" i="13"/>
  <c r="X19" i="13" a="1"/>
  <c r="X19" i="13" s="1"/>
  <c r="AQ99" i="17"/>
  <c r="AQ101" i="17" s="1"/>
  <c r="AQ96" i="17" s="1"/>
  <c r="X46" i="13"/>
  <c r="X16" i="13" a="1"/>
  <c r="X16" i="13" s="1"/>
  <c r="X60" i="13"/>
  <c r="X17" i="13" a="1"/>
  <c r="X17" i="13" s="1"/>
  <c r="X91" i="13"/>
  <c r="X29" i="13" a="1"/>
  <c r="X29" i="13" s="1"/>
  <c r="X38" i="13"/>
  <c r="X12" i="13" a="1"/>
  <c r="X12" i="13" s="1"/>
  <c r="X148" i="13" s="1"/>
  <c r="X94" i="13"/>
  <c r="X32" i="13" a="1"/>
  <c r="X32" i="13" s="1"/>
  <c r="AR105" i="17"/>
  <c r="AQ107" i="17"/>
  <c r="AQ109" i="17" s="1"/>
  <c r="AQ103" i="17" s="1"/>
  <c r="X47" i="13"/>
  <c r="X13" i="13" a="1"/>
  <c r="X13" i="13" s="1"/>
  <c r="X71" i="13"/>
  <c r="X160" i="13" s="1"/>
  <c r="X21" i="13" a="1"/>
  <c r="X21" i="13" s="1"/>
  <c r="X151" i="13" s="1"/>
  <c r="X98" i="13"/>
  <c r="X31" i="13" a="1"/>
  <c r="X31" i="13" s="1"/>
  <c r="X80" i="13"/>
  <c r="X24" i="13" a="1"/>
  <c r="X24" i="13" s="1"/>
  <c r="X92" i="13"/>
  <c r="X30" i="13" a="1"/>
  <c r="X30" i="13" s="1"/>
  <c r="X42" i="13"/>
  <c r="X15" i="13" a="1"/>
  <c r="X15" i="13" s="1"/>
  <c r="X149" i="13" s="1"/>
  <c r="X81" i="13"/>
  <c r="X27" i="13" a="1"/>
  <c r="X27" i="13" s="1"/>
  <c r="X100" i="13"/>
  <c r="X33" i="13" a="1"/>
  <c r="X33" i="13" s="1"/>
  <c r="X54" i="13"/>
  <c r="X18" i="13" a="1"/>
  <c r="X18" i="13" s="1"/>
  <c r="AX87" i="20"/>
  <c r="U132" i="13" s="1"/>
  <c r="AX111" i="20" a="1"/>
  <c r="AX111" i="20" s="1"/>
  <c r="AX85" i="20"/>
  <c r="U130" i="13" s="1"/>
  <c r="AX109" i="20" a="1"/>
  <c r="AX109" i="20" s="1"/>
  <c r="AY91" i="20"/>
  <c r="V135" i="13" s="1"/>
  <c r="Z62" i="20"/>
  <c r="AN41" i="17"/>
  <c r="E53" i="17" s="1" a="1"/>
  <c r="E53" i="17" s="1"/>
  <c r="AY90" i="20"/>
  <c r="V134" i="13" s="1"/>
  <c r="AY108" i="20"/>
  <c r="AY83" i="20"/>
  <c r="AY107" i="20"/>
  <c r="AW82" i="20"/>
  <c r="AY76" i="20"/>
  <c r="V122" i="13" s="1"/>
  <c r="AY77" i="20"/>
  <c r="V123" i="13" s="1"/>
  <c r="BA42" i="12"/>
  <c r="BA43" i="12"/>
  <c r="Y61" i="13" s="1"/>
  <c r="BA44" i="12"/>
  <c r="Y62" i="13" s="1"/>
  <c r="BA45" i="12"/>
  <c r="Y63" i="13" s="1"/>
  <c r="AX60" i="20"/>
  <c r="W164" i="13"/>
  <c r="AU114" i="20"/>
  <c r="AP6" i="22"/>
  <c r="AP4" i="22"/>
  <c r="AP8" i="22"/>
  <c r="AQ5" i="22"/>
  <c r="AP7" i="22"/>
  <c r="R8" i="22"/>
  <c r="S5" i="22"/>
  <c r="AO46" i="22"/>
  <c r="AN46" i="22"/>
  <c r="AM46" i="22"/>
  <c r="AL46" i="22"/>
  <c r="AK46" i="22"/>
  <c r="AJ46" i="22"/>
  <c r="AI46" i="22"/>
  <c r="AH46" i="22"/>
  <c r="D47" i="22"/>
  <c r="AG46" i="22"/>
  <c r="AE46" i="22"/>
  <c r="AF46" i="22"/>
  <c r="AO97" i="22"/>
  <c r="AN97" i="22"/>
  <c r="AM97" i="22"/>
  <c r="AL97" i="22"/>
  <c r="AK97" i="22"/>
  <c r="AJ97" i="22"/>
  <c r="AI97" i="22"/>
  <c r="AH97" i="22"/>
  <c r="D98" i="22"/>
  <c r="AF97" i="22"/>
  <c r="AG97" i="22"/>
  <c r="AE97" i="22"/>
  <c r="BA52" i="20"/>
  <c r="BB54" i="20"/>
  <c r="AY65" i="20"/>
  <c r="V113" i="13" s="1"/>
  <c r="AY64" i="20"/>
  <c r="V112" i="13" s="1"/>
  <c r="AY63" i="20"/>
  <c r="V111" i="13" s="1"/>
  <c r="AY62" i="20"/>
  <c r="AW96" i="20"/>
  <c r="AV89" i="20"/>
  <c r="AV75" i="20"/>
  <c r="AX99" i="20"/>
  <c r="U142" i="13" s="1"/>
  <c r="AX101" i="20"/>
  <c r="U144" i="13" s="1"/>
  <c r="AX100" i="20"/>
  <c r="U143" i="13" s="1"/>
  <c r="AY101" i="20"/>
  <c r="V144" i="13" s="1"/>
  <c r="AY99" i="20"/>
  <c r="V142" i="13" s="1"/>
  <c r="AY100" i="20"/>
  <c r="V143" i="13" s="1"/>
  <c r="AW80" i="20"/>
  <c r="T126" i="13" s="1"/>
  <c r="AW78" i="20"/>
  <c r="T124" i="13" s="1"/>
  <c r="AW79" i="20"/>
  <c r="T125" i="13" s="1"/>
  <c r="AW92" i="20"/>
  <c r="T136" i="13" s="1"/>
  <c r="AW93" i="20"/>
  <c r="T137" i="13" s="1"/>
  <c r="AW94" i="20"/>
  <c r="T138" i="13" s="1"/>
  <c r="AZ81" i="20"/>
  <c r="W127" i="13" s="1"/>
  <c r="AZ88" i="20"/>
  <c r="W133" i="13" s="1"/>
  <c r="AZ102" i="20"/>
  <c r="W145" i="13" s="1"/>
  <c r="AZ95" i="20"/>
  <c r="W139" i="13" s="1"/>
  <c r="BB57" i="20"/>
  <c r="BB97" i="20" s="1"/>
  <c r="Y140" i="13" s="1"/>
  <c r="BB56" i="20"/>
  <c r="BB55" i="20"/>
  <c r="AC8" i="20"/>
  <c r="AW68" i="20"/>
  <c r="AW106" i="20"/>
  <c r="AZ19" i="20"/>
  <c r="AZ13" i="20"/>
  <c r="AZ24" i="20"/>
  <c r="AZ34" i="20"/>
  <c r="AZ28" i="20"/>
  <c r="AZ23" i="20"/>
  <c r="AZ22" i="20"/>
  <c r="AZ12" i="20"/>
  <c r="AZ11" i="20"/>
  <c r="AZ16" i="20"/>
  <c r="AZ32" i="20"/>
  <c r="AZ20" i="20"/>
  <c r="AZ17" i="20"/>
  <c r="AZ14" i="20"/>
  <c r="AZ25" i="20"/>
  <c r="AZ29" i="20"/>
  <c r="AZ33" i="20"/>
  <c r="AZ21" i="20"/>
  <c r="AZ35" i="20"/>
  <c r="AZ74" i="20"/>
  <c r="W121" i="13" s="1"/>
  <c r="AZ18" i="20"/>
  <c r="AZ30" i="20"/>
  <c r="AZ15" i="20"/>
  <c r="AZ26" i="20"/>
  <c r="AZ31" i="20"/>
  <c r="AZ27" i="20"/>
  <c r="BA6" i="20"/>
  <c r="BA4" i="20"/>
  <c r="BA7" i="20"/>
  <c r="BB5" i="20"/>
  <c r="BA8" i="20"/>
  <c r="AY70" i="20"/>
  <c r="V117" i="13" s="1"/>
  <c r="AY69" i="20"/>
  <c r="V116" i="13" s="1"/>
  <c r="AY61" i="20"/>
  <c r="V109" i="13" s="1"/>
  <c r="AY10" i="20"/>
  <c r="AX73" i="20"/>
  <c r="U120" i="13" s="1"/>
  <c r="AX72" i="20"/>
  <c r="U119" i="13" s="1"/>
  <c r="AX71" i="20"/>
  <c r="U118" i="13" s="1"/>
  <c r="AX115" i="20"/>
  <c r="AH38" i="15"/>
  <c r="AF38" i="15"/>
  <c r="AK38" i="15"/>
  <c r="AM38" i="15"/>
  <c r="AI38" i="15"/>
  <c r="AJ38" i="15"/>
  <c r="AG38" i="15"/>
  <c r="AO38" i="15"/>
  <c r="AD5" i="20"/>
  <c r="BC53" i="20"/>
  <c r="Q47" i="17"/>
  <c r="H47" i="17"/>
  <c r="AH88" i="16"/>
  <c r="AM88" i="16"/>
  <c r="AL88" i="16"/>
  <c r="AK88" i="16"/>
  <c r="AJ88" i="16"/>
  <c r="AI88" i="16"/>
  <c r="AG88" i="16"/>
  <c r="AF88" i="16"/>
  <c r="AO88" i="16"/>
  <c r="AN88" i="16"/>
  <c r="AQ6" i="16"/>
  <c r="AR5" i="16"/>
  <c r="AQ7" i="16"/>
  <c r="AQ8" i="16"/>
  <c r="AP89" i="16" s="1"/>
  <c r="AQ4" i="16"/>
  <c r="AP86" i="16"/>
  <c r="AL38" i="16"/>
  <c r="AM38" i="16"/>
  <c r="AN38" i="16"/>
  <c r="AK38" i="16"/>
  <c r="AP85" i="16"/>
  <c r="AP30" i="16"/>
  <c r="AP33" i="16"/>
  <c r="AP29" i="16"/>
  <c r="AP34" i="16"/>
  <c r="AP31" i="16"/>
  <c r="AP28" i="16"/>
  <c r="AP35" i="16"/>
  <c r="AP32" i="16"/>
  <c r="AP78" i="16"/>
  <c r="AP36" i="16"/>
  <c r="AP80" i="16"/>
  <c r="AP81" i="16"/>
  <c r="AP79" i="16"/>
  <c r="AP82" i="16"/>
  <c r="AP83" i="16"/>
  <c r="AP84" i="16"/>
  <c r="AP15" i="16"/>
  <c r="AP14" i="16" s="1"/>
  <c r="AP11" i="16"/>
  <c r="AP19" i="16"/>
  <c r="AP18" i="16" s="1"/>
  <c r="AO38" i="16"/>
  <c r="BA20" i="16"/>
  <c r="E87" i="16" a="1"/>
  <c r="E87" i="16" s="1"/>
  <c r="AR16" i="16"/>
  <c r="E37" i="16" a="1"/>
  <c r="E37" i="16" s="1"/>
  <c r="AN36" i="16"/>
  <c r="AO36" i="16"/>
  <c r="AN86" i="16"/>
  <c r="AO86" i="16"/>
  <c r="AN36" i="15"/>
  <c r="AO36" i="15"/>
  <c r="AQ4" i="15"/>
  <c r="AQ7" i="15"/>
  <c r="AQ6" i="15"/>
  <c r="AR5" i="15"/>
  <c r="AQ8" i="15"/>
  <c r="AP86" i="15"/>
  <c r="AN38" i="15"/>
  <c r="AL38" i="15"/>
  <c r="AP85" i="15"/>
  <c r="AP84" i="15"/>
  <c r="AP83" i="15"/>
  <c r="AP82" i="15"/>
  <c r="AP36" i="15"/>
  <c r="AP81" i="15"/>
  <c r="AP78" i="15"/>
  <c r="AP80" i="15"/>
  <c r="AP79" i="15"/>
  <c r="AP35" i="15"/>
  <c r="AP34" i="15"/>
  <c r="AP15" i="15" a="1"/>
  <c r="AP15" i="15" s="1"/>
  <c r="AP30" i="15"/>
  <c r="AP28" i="15"/>
  <c r="AP19" i="15" a="1"/>
  <c r="AP19" i="15" s="1"/>
  <c r="AP32" i="15"/>
  <c r="AP11" i="15" a="1"/>
  <c r="AP11" i="15" s="1"/>
  <c r="AP33" i="15"/>
  <c r="AP29" i="15"/>
  <c r="AP31" i="15"/>
  <c r="AO18" i="15"/>
  <c r="AO14" i="15"/>
  <c r="AM85" i="15"/>
  <c r="AN85" i="15"/>
  <c r="S8" i="16"/>
  <c r="AK88" i="15"/>
  <c r="AM88" i="15"/>
  <c r="AI88" i="15"/>
  <c r="AL88" i="15"/>
  <c r="AF88" i="15"/>
  <c r="AN88" i="15"/>
  <c r="AH88" i="15"/>
  <c r="AO88" i="15"/>
  <c r="AJ88" i="15"/>
  <c r="AG88" i="15"/>
  <c r="AN86" i="15"/>
  <c r="AO86" i="15"/>
  <c r="Z4" i="17"/>
  <c r="Z5" i="17" s="1"/>
  <c r="Y7" i="17"/>
  <c r="Y6" i="17"/>
  <c r="D57" i="17"/>
  <c r="D148" i="17"/>
  <c r="AP147" i="17"/>
  <c r="AO147" i="17"/>
  <c r="AN147" i="17"/>
  <c r="AM147" i="17"/>
  <c r="AL147" i="17"/>
  <c r="AK147" i="17"/>
  <c r="AJ147" i="17"/>
  <c r="AI147" i="17"/>
  <c r="AH147" i="17"/>
  <c r="AG147" i="17"/>
  <c r="AF147" i="17"/>
  <c r="X8" i="17"/>
  <c r="AR5" i="14"/>
  <c r="AQ8" i="14"/>
  <c r="AQ6" i="14"/>
  <c r="AQ4" i="14"/>
  <c r="AQ7" i="14"/>
  <c r="AI57" i="14"/>
  <c r="AJ57" i="14"/>
  <c r="AG57" i="14"/>
  <c r="AM57" i="14"/>
  <c r="AL57" i="14"/>
  <c r="AK57" i="14"/>
  <c r="AH57" i="14"/>
  <c r="AN57" i="14"/>
  <c r="AF57" i="14"/>
  <c r="AP47" i="14"/>
  <c r="AO57" i="14"/>
  <c r="T5" i="16"/>
  <c r="AK25" i="16"/>
  <c r="AL12" i="16"/>
  <c r="AK22" i="16"/>
  <c r="AK27" i="14" s="1"/>
  <c r="D56" i="16"/>
  <c r="D90" i="16"/>
  <c r="D45" i="15"/>
  <c r="S8" i="15"/>
  <c r="T5" i="15"/>
  <c r="AK22" i="15"/>
  <c r="AK25" i="14" s="1"/>
  <c r="AK25" i="15"/>
  <c r="AL12" i="15"/>
  <c r="D90" i="15"/>
  <c r="S8" i="14"/>
  <c r="T5" i="14"/>
  <c r="D62" i="14"/>
  <c r="W160" i="13"/>
  <c r="W159" i="13"/>
  <c r="AO6" i="9"/>
  <c r="AO7" i="9"/>
  <c r="AO8" i="9"/>
  <c r="AO4" i="9"/>
  <c r="AP5" i="9"/>
  <c r="AN7" i="11"/>
  <c r="AO5" i="11"/>
  <c r="AN4" i="11"/>
  <c r="AN6" i="11"/>
  <c r="AN8" i="11"/>
  <c r="BA106" i="12"/>
  <c r="Y105" i="13" s="1"/>
  <c r="BA105" i="12"/>
  <c r="Y104" i="13" s="1"/>
  <c r="BA104" i="12"/>
  <c r="BA103" i="12"/>
  <c r="Y102" i="13" s="1"/>
  <c r="BA102" i="12"/>
  <c r="Y101" i="13" s="1"/>
  <c r="BA101" i="12"/>
  <c r="BA97" i="12"/>
  <c r="Y99" i="13" s="1"/>
  <c r="BA95" i="12"/>
  <c r="Y97" i="13" s="1"/>
  <c r="BA94" i="12"/>
  <c r="Y96" i="13" s="1"/>
  <c r="BA93" i="12"/>
  <c r="Y95" i="13" s="1"/>
  <c r="BA92" i="12"/>
  <c r="BA91" i="12"/>
  <c r="Y93" i="13" s="1"/>
  <c r="BA90" i="12"/>
  <c r="BA89" i="12"/>
  <c r="BA96" i="12"/>
  <c r="BA82" i="12"/>
  <c r="Y87" i="13" s="1"/>
  <c r="BA85" i="12"/>
  <c r="Y90" i="13" s="1"/>
  <c r="BA81" i="12"/>
  <c r="Y86" i="13" s="1"/>
  <c r="BA77" i="12"/>
  <c r="Y82" i="13" s="1"/>
  <c r="BA80" i="12"/>
  <c r="BA79" i="12"/>
  <c r="Y84" i="13" s="1"/>
  <c r="BA78" i="12"/>
  <c r="Y83" i="13" s="1"/>
  <c r="BA76" i="12"/>
  <c r="BA75" i="12"/>
  <c r="BA73" i="12"/>
  <c r="Y77" i="13" s="1"/>
  <c r="BA84" i="12"/>
  <c r="Y89" i="13" s="1"/>
  <c r="BA83" i="12"/>
  <c r="Y88" i="13" s="1"/>
  <c r="BA64" i="12"/>
  <c r="Y74" i="13" s="1"/>
  <c r="BA59" i="12"/>
  <c r="Y72" i="13" s="1"/>
  <c r="BA58" i="12"/>
  <c r="BA51" i="12"/>
  <c r="Y69" i="13" s="1"/>
  <c r="BA40" i="12"/>
  <c r="Y58" i="13" s="1"/>
  <c r="BA52" i="12"/>
  <c r="Y70" i="13" s="1"/>
  <c r="BA29" i="12"/>
  <c r="BA50" i="12"/>
  <c r="Y68" i="13" s="1"/>
  <c r="BA31" i="12"/>
  <c r="Y49" i="13" s="1"/>
  <c r="BA49" i="12"/>
  <c r="Y67" i="13" s="1"/>
  <c r="BA32" i="12"/>
  <c r="Y50" i="13" s="1"/>
  <c r="BA48" i="12"/>
  <c r="BA33" i="12"/>
  <c r="Y51" i="13" s="1"/>
  <c r="BA47" i="12"/>
  <c r="Y65" i="13" s="1"/>
  <c r="BA34" i="12"/>
  <c r="Y52" i="13" s="1"/>
  <c r="BA46" i="12"/>
  <c r="Y64" i="13" s="1"/>
  <c r="BA35" i="12"/>
  <c r="Y53" i="13" s="1"/>
  <c r="BA36" i="12"/>
  <c r="BA37" i="12"/>
  <c r="Y55" i="13" s="1"/>
  <c r="BA38" i="12"/>
  <c r="Y56" i="13" s="1"/>
  <c r="BA39" i="12"/>
  <c r="Y57" i="13" s="1"/>
  <c r="BA41" i="12"/>
  <c r="Y59" i="13" s="1"/>
  <c r="BA28" i="12"/>
  <c r="BA30" i="12"/>
  <c r="Y48" i="13" s="1"/>
  <c r="BA21" i="12"/>
  <c r="Y45" i="13" s="1"/>
  <c r="BA20" i="12"/>
  <c r="Y44" i="13" s="1"/>
  <c r="AR90" i="30" s="1"/>
  <c r="BA19" i="12"/>
  <c r="Y43" i="13" s="1"/>
  <c r="BA18" i="12"/>
  <c r="BA13" i="12"/>
  <c r="Y40" i="13" s="1"/>
  <c r="BA12" i="12"/>
  <c r="BA14" i="12"/>
  <c r="Y41" i="13" s="1"/>
  <c r="BA4" i="12"/>
  <c r="BA8" i="12"/>
  <c r="BA6" i="12"/>
  <c r="BA7" i="12"/>
  <c r="BB5" i="12"/>
  <c r="BB63" i="12" s="1"/>
  <c r="X4" i="13"/>
  <c r="X6" i="13"/>
  <c r="Y5" i="13"/>
  <c r="X8" i="13"/>
  <c r="X7" i="13"/>
  <c r="AB5" i="12"/>
  <c r="AA8" i="12"/>
  <c r="Q5" i="11"/>
  <c r="P8" i="11"/>
  <c r="V8" i="10"/>
  <c r="W7" i="10"/>
  <c r="W6" i="10"/>
  <c r="X4" i="10"/>
  <c r="X5" i="10" s="1"/>
  <c r="AO4" i="10"/>
  <c r="AP5" i="10"/>
  <c r="AO8" i="10"/>
  <c r="AO7" i="10"/>
  <c r="AO6" i="10"/>
  <c r="AW48" i="8"/>
  <c r="AX49" i="8"/>
  <c r="AW50" i="8"/>
  <c r="AW51" i="8"/>
  <c r="AW52" i="8"/>
  <c r="R5" i="9"/>
  <c r="Q8" i="9"/>
  <c r="Y78" i="8"/>
  <c r="Y52" i="8"/>
  <c r="Y11" i="8"/>
  <c r="Z75" i="8"/>
  <c r="Z49" i="8"/>
  <c r="Z8" i="8"/>
  <c r="AX7" i="8"/>
  <c r="AX15" i="8" s="1" a="1"/>
  <c r="AX15" i="8" s="1"/>
  <c r="AY8" i="8"/>
  <c r="AX11" i="8"/>
  <c r="AX10" i="8"/>
  <c r="AX9" i="8"/>
  <c r="AW78" i="8"/>
  <c r="AW77" i="8"/>
  <c r="AW76" i="8"/>
  <c r="AX75" i="8"/>
  <c r="AW74" i="8"/>
  <c r="AR48" i="17" l="1" a="1"/>
  <c r="AR48" i="17" s="1"/>
  <c r="AR49" i="17" a="1"/>
  <c r="AR49" i="17" s="1"/>
  <c r="AR52" i="17" a="1"/>
  <c r="AR52" i="17" s="1"/>
  <c r="AR50" i="17" a="1"/>
  <c r="AR50" i="17" s="1"/>
  <c r="AR51" i="17" a="1"/>
  <c r="AR51" i="17" s="1"/>
  <c r="AR53" i="17" a="1"/>
  <c r="AR53" i="17" s="1"/>
  <c r="AS8" i="17"/>
  <c r="AR136" i="17"/>
  <c r="AR45" i="17" a="1"/>
  <c r="AR45" i="17" s="1"/>
  <c r="AR46" i="17" a="1"/>
  <c r="AR46" i="17" s="1"/>
  <c r="AT5" i="17"/>
  <c r="AT4" i="17" s="1"/>
  <c r="AS6" i="17"/>
  <c r="AS7" i="17"/>
  <c r="Q45" i="17"/>
  <c r="W155" i="13"/>
  <c r="Q52" i="17"/>
  <c r="W150" i="13"/>
  <c r="Q51" i="17"/>
  <c r="H48" i="17"/>
  <c r="H50" i="17"/>
  <c r="Z97" i="8"/>
  <c r="Z98" i="8"/>
  <c r="Q49" i="17"/>
  <c r="AO41" i="17"/>
  <c r="E54" i="17" s="1" a="1"/>
  <c r="E54" i="17" s="1"/>
  <c r="AR54" i="17" s="1" a="1"/>
  <c r="AR54" i="17" s="1"/>
  <c r="V110" i="13"/>
  <c r="V108" i="13" s="1"/>
  <c r="T115" i="13"/>
  <c r="AY87" i="20"/>
  <c r="V132" i="13" s="1"/>
  <c r="V128" i="13"/>
  <c r="Z15" i="8" a="1"/>
  <c r="Z15" i="8" s="1"/>
  <c r="H46" i="17"/>
  <c r="Y85" i="13"/>
  <c r="Y28" i="13" a="1"/>
  <c r="Y28" i="13" s="1"/>
  <c r="Y54" i="13"/>
  <c r="Y18" i="13" a="1"/>
  <c r="Y18" i="13" s="1"/>
  <c r="Y98" i="13"/>
  <c r="Y31" i="13" a="1"/>
  <c r="Y31" i="13" s="1"/>
  <c r="Y91" i="13"/>
  <c r="Y29" i="13" a="1"/>
  <c r="Y29" i="13" s="1"/>
  <c r="Y38" i="13"/>
  <c r="Y12" i="13" a="1"/>
  <c r="Y12" i="13" s="1"/>
  <c r="Y148" i="13" s="1"/>
  <c r="Y92" i="13"/>
  <c r="Y30" i="13" a="1"/>
  <c r="Y30" i="13" s="1"/>
  <c r="Y100" i="13"/>
  <c r="Y33" i="13" a="1"/>
  <c r="Y33" i="13" s="1"/>
  <c r="Y42" i="13"/>
  <c r="Y15" i="13" a="1"/>
  <c r="Y15" i="13" s="1"/>
  <c r="Y149" i="13" s="1"/>
  <c r="Y66" i="13"/>
  <c r="Y19" i="13" a="1"/>
  <c r="Y19" i="13" s="1"/>
  <c r="Y94" i="13"/>
  <c r="Y32" i="13" a="1"/>
  <c r="Y32" i="13" s="1"/>
  <c r="Y81" i="13"/>
  <c r="Y27" i="13" a="1"/>
  <c r="Y27" i="13" s="1"/>
  <c r="AR99" i="17"/>
  <c r="AR101" i="17" s="1"/>
  <c r="AR96" i="17" s="1"/>
  <c r="Y46" i="13"/>
  <c r="Y16" i="13" a="1"/>
  <c r="Y16" i="13" s="1"/>
  <c r="Y47" i="13"/>
  <c r="Y13" i="13" a="1"/>
  <c r="Y13" i="13" s="1"/>
  <c r="Y80" i="13"/>
  <c r="Y24" i="13" a="1"/>
  <c r="Y24" i="13" s="1"/>
  <c r="Y60" i="13"/>
  <c r="Y17" i="13" a="1"/>
  <c r="Y17" i="13" s="1"/>
  <c r="AS105" i="17"/>
  <c r="AR107" i="17"/>
  <c r="AR109" i="17" s="1"/>
  <c r="AR103" i="17" s="1"/>
  <c r="Y71" i="13"/>
  <c r="Y21" i="13" a="1"/>
  <c r="Y21" i="13" s="1"/>
  <c r="Y151" i="13" s="1"/>
  <c r="Y103" i="13"/>
  <c r="Y34" i="13" a="1"/>
  <c r="Y34" i="13" s="1"/>
  <c r="AX82" i="20"/>
  <c r="AN42" i="17"/>
  <c r="P42" i="17" s="1"/>
  <c r="AM39" i="16"/>
  <c r="AZ107" i="20"/>
  <c r="AZ111" i="20" s="1" a="1"/>
  <c r="AZ111" i="20" s="1"/>
  <c r="AY111" i="20" a="1"/>
  <c r="AY111" i="20" s="1"/>
  <c r="AY109" i="20" a="1"/>
  <c r="AY109" i="20" s="1"/>
  <c r="AY110" i="20"/>
  <c r="AZ90" i="20"/>
  <c r="W134" i="13" s="1"/>
  <c r="AZ108" i="20"/>
  <c r="AL39" i="16"/>
  <c r="AY86" i="20"/>
  <c r="V131" i="13" s="1"/>
  <c r="AL53" i="17" a="1"/>
  <c r="AL53" i="17" s="1"/>
  <c r="AI53" i="17" a="1"/>
  <c r="AI53" i="17" s="1"/>
  <c r="AK53" i="17" a="1"/>
  <c r="AK53" i="17" s="1"/>
  <c r="O53" i="17" s="1"/>
  <c r="AJ53" i="17" a="1"/>
  <c r="AJ53" i="17" s="1"/>
  <c r="AH53" i="17" a="1"/>
  <c r="AH53" i="17" s="1"/>
  <c r="N53" i="17" s="1"/>
  <c r="AO53" i="17" a="1"/>
  <c r="AO53" i="17" s="1"/>
  <c r="AG53" i="17" a="1"/>
  <c r="AG53" i="17" s="1"/>
  <c r="AF53" i="17" a="1"/>
  <c r="AF53" i="17" s="1"/>
  <c r="AP53" i="17" a="1"/>
  <c r="AP53" i="17" s="1"/>
  <c r="AN53" i="17" a="1"/>
  <c r="AN53" i="17" s="1"/>
  <c r="P53" i="17" s="1"/>
  <c r="AM53" i="17" a="1"/>
  <c r="AM53" i="17" s="1"/>
  <c r="AQ53" i="17" a="1"/>
  <c r="AQ53" i="17" s="1"/>
  <c r="AP39" i="16"/>
  <c r="AY85" i="20"/>
  <c r="V130" i="13" s="1"/>
  <c r="AN39" i="16"/>
  <c r="AO39" i="16"/>
  <c r="AZ83" i="20"/>
  <c r="AZ76" i="20"/>
  <c r="W122" i="13" s="1"/>
  <c r="AZ77" i="20"/>
  <c r="W123" i="13" s="1"/>
  <c r="AZ91" i="20"/>
  <c r="W135" i="13" s="1"/>
  <c r="AX68" i="20"/>
  <c r="AV114" i="20"/>
  <c r="BB42" i="12"/>
  <c r="BB43" i="12"/>
  <c r="Z61" i="13" s="1"/>
  <c r="BB44" i="12"/>
  <c r="Z62" i="13" s="1"/>
  <c r="BB45" i="12"/>
  <c r="Z63" i="13" s="1"/>
  <c r="X164" i="13"/>
  <c r="X163" i="13"/>
  <c r="AY96" i="20"/>
  <c r="AQ6" i="22"/>
  <c r="AQ7" i="22"/>
  <c r="AQ8" i="22"/>
  <c r="AR5" i="22"/>
  <c r="AQ4" i="22"/>
  <c r="T4" i="22"/>
  <c r="S7" i="22"/>
  <c r="S6" i="22"/>
  <c r="AP47" i="22"/>
  <c r="AO47" i="22"/>
  <c r="AN47" i="22"/>
  <c r="AM47" i="22"/>
  <c r="AL47" i="22"/>
  <c r="AK47" i="22"/>
  <c r="AJ47" i="22"/>
  <c r="AI47" i="22"/>
  <c r="AH47" i="22"/>
  <c r="D48" i="22"/>
  <c r="AG47" i="22"/>
  <c r="AF47" i="22"/>
  <c r="AE47" i="22"/>
  <c r="AP98" i="22"/>
  <c r="AO98" i="22"/>
  <c r="AN98" i="22"/>
  <c r="AM98" i="22"/>
  <c r="AL98" i="22"/>
  <c r="AK98" i="22"/>
  <c r="AJ98" i="22"/>
  <c r="AI98" i="22"/>
  <c r="AH98" i="22"/>
  <c r="AF98" i="22"/>
  <c r="AG98" i="22"/>
  <c r="D99" i="22"/>
  <c r="AE98" i="22"/>
  <c r="X155" i="13"/>
  <c r="AN39" i="15"/>
  <c r="AK39" i="15"/>
  <c r="AL39" i="15"/>
  <c r="AF39" i="15"/>
  <c r="AH39" i="15"/>
  <c r="AG39" i="15"/>
  <c r="AJ39" i="15"/>
  <c r="AI39" i="15"/>
  <c r="AP39" i="15"/>
  <c r="AP58" i="14"/>
  <c r="AK58" i="14"/>
  <c r="AN58" i="14"/>
  <c r="AF58" i="14"/>
  <c r="AH58" i="14"/>
  <c r="AL58" i="14"/>
  <c r="AO58" i="14"/>
  <c r="AG58" i="14"/>
  <c r="AI58" i="14"/>
  <c r="AJ58" i="14"/>
  <c r="AM58" i="14"/>
  <c r="AY60" i="20"/>
  <c r="BC54" i="20"/>
  <c r="BB52" i="20"/>
  <c r="AZ65" i="20"/>
  <c r="W113" i="13" s="1"/>
  <c r="AZ64" i="20"/>
  <c r="W112" i="13" s="1"/>
  <c r="AZ63" i="20"/>
  <c r="W111" i="13" s="1"/>
  <c r="AZ62" i="20"/>
  <c r="AX96" i="20"/>
  <c r="AW89" i="20"/>
  <c r="AW75" i="20"/>
  <c r="AX92" i="20"/>
  <c r="U136" i="13" s="1"/>
  <c r="AX93" i="20"/>
  <c r="U137" i="13" s="1"/>
  <c r="AX94" i="20"/>
  <c r="U138" i="13" s="1"/>
  <c r="AX78" i="20"/>
  <c r="U124" i="13" s="1"/>
  <c r="AX80" i="20"/>
  <c r="U126" i="13" s="1"/>
  <c r="AX79" i="20"/>
  <c r="U125" i="13" s="1"/>
  <c r="BC57" i="20"/>
  <c r="BC97" i="20" s="1"/>
  <c r="Z140" i="13" s="1"/>
  <c r="BC56" i="20"/>
  <c r="BC55" i="20"/>
  <c r="AX106" i="20"/>
  <c r="X154" i="13"/>
  <c r="AZ61" i="20"/>
  <c r="W109" i="13" s="1"/>
  <c r="AZ69" i="20"/>
  <c r="W116" i="13" s="1"/>
  <c r="AZ10" i="20"/>
  <c r="AZ70" i="20"/>
  <c r="W117" i="13" s="1"/>
  <c r="BB7" i="20"/>
  <c r="BB4" i="20"/>
  <c r="BB6" i="20"/>
  <c r="BB8" i="20"/>
  <c r="BB112" i="20" s="1"/>
  <c r="BC5" i="20"/>
  <c r="BA11" i="20"/>
  <c r="BA25" i="20"/>
  <c r="BA12" i="20"/>
  <c r="BA17" i="20"/>
  <c r="BA14" i="20"/>
  <c r="BA33" i="20"/>
  <c r="BA29" i="20"/>
  <c r="BA22" i="20"/>
  <c r="BA20" i="20"/>
  <c r="BA28" i="20"/>
  <c r="BA34" i="20"/>
  <c r="BA30" i="20"/>
  <c r="BA16" i="20"/>
  <c r="BA19" i="20"/>
  <c r="BA13" i="20"/>
  <c r="BA18" i="20"/>
  <c r="BA35" i="20"/>
  <c r="BA32" i="20"/>
  <c r="BA26" i="20"/>
  <c r="BA23" i="20"/>
  <c r="BA21" i="20"/>
  <c r="BA27" i="20"/>
  <c r="BA31" i="20"/>
  <c r="BA24" i="20"/>
  <c r="BA15" i="20"/>
  <c r="AY73" i="20"/>
  <c r="V120" i="13" s="1"/>
  <c r="AY72" i="20"/>
  <c r="V119" i="13" s="1"/>
  <c r="AY71" i="20"/>
  <c r="V118" i="13" s="1"/>
  <c r="AY115" i="20"/>
  <c r="AO89" i="16"/>
  <c r="AN89" i="16"/>
  <c r="AM89" i="16"/>
  <c r="AL89" i="16"/>
  <c r="AK89" i="16"/>
  <c r="AJ89" i="16"/>
  <c r="AI89" i="16"/>
  <c r="AH89" i="16"/>
  <c r="AG89" i="16"/>
  <c r="AF89" i="16"/>
  <c r="AD7" i="20"/>
  <c r="AE4" i="20"/>
  <c r="AD6" i="20"/>
  <c r="BD53" i="20"/>
  <c r="AT6" i="17"/>
  <c r="AS54" i="17" a="1"/>
  <c r="AS54" i="17" s="1"/>
  <c r="AS53" i="17" a="1"/>
  <c r="AS53" i="17" s="1"/>
  <c r="AS52" i="17" a="1"/>
  <c r="AS52" i="17" s="1"/>
  <c r="AS51" i="17" a="1"/>
  <c r="AS51" i="17" s="1"/>
  <c r="AS50" i="17" a="1"/>
  <c r="AS50" i="17" s="1"/>
  <c r="AS49" i="17" a="1"/>
  <c r="AS49" i="17" s="1"/>
  <c r="AS48" i="17" a="1"/>
  <c r="AS48" i="17" s="1"/>
  <c r="AS47" i="17" a="1"/>
  <c r="AS47" i="17" s="1"/>
  <c r="AS46" i="17" a="1"/>
  <c r="AS46" i="17" s="1"/>
  <c r="AS45" i="17" a="1"/>
  <c r="AS45" i="17" s="1"/>
  <c r="AS137" i="17"/>
  <c r="AS136" i="17"/>
  <c r="AS5" i="16"/>
  <c r="AR4" i="16"/>
  <c r="AR8" i="16"/>
  <c r="AQ40" i="16" s="1"/>
  <c r="AR7" i="16"/>
  <c r="AR6" i="16"/>
  <c r="AQ87" i="16"/>
  <c r="AQ32" i="16"/>
  <c r="AQ28" i="16"/>
  <c r="AQ80" i="16"/>
  <c r="AQ84" i="16"/>
  <c r="AQ33" i="16"/>
  <c r="AQ29" i="16"/>
  <c r="AQ81" i="16"/>
  <c r="AQ82" i="16"/>
  <c r="AQ83" i="16"/>
  <c r="AQ31" i="16"/>
  <c r="AQ36" i="16"/>
  <c r="AQ79" i="16"/>
  <c r="AQ37" i="16"/>
  <c r="AQ30" i="16"/>
  <c r="AQ34" i="16"/>
  <c r="AQ35" i="16"/>
  <c r="AQ78" i="16"/>
  <c r="AQ86" i="16"/>
  <c r="AQ85" i="16"/>
  <c r="AQ11" i="16"/>
  <c r="AQ19" i="16"/>
  <c r="AQ18" i="16" s="1"/>
  <c r="AQ15" i="16"/>
  <c r="AQ14" i="16" s="1"/>
  <c r="E88" i="16" a="1"/>
  <c r="E88" i="16" s="1"/>
  <c r="BB20" i="16"/>
  <c r="AO87" i="16"/>
  <c r="AP87" i="16"/>
  <c r="AS16" i="16"/>
  <c r="E38" i="16" a="1"/>
  <c r="E38" i="16" s="1"/>
  <c r="AO37" i="16"/>
  <c r="AP37" i="16"/>
  <c r="Y8" i="17"/>
  <c r="AR4" i="15"/>
  <c r="AR6" i="15"/>
  <c r="AR7" i="15"/>
  <c r="AS5" i="15"/>
  <c r="AR8" i="15"/>
  <c r="AO40" i="15" s="1"/>
  <c r="AO39" i="15"/>
  <c r="AM39" i="15"/>
  <c r="AQ86" i="15"/>
  <c r="AQ85" i="15"/>
  <c r="AQ84" i="15"/>
  <c r="AQ83" i="15"/>
  <c r="AQ82" i="15"/>
  <c r="AQ81" i="15"/>
  <c r="AQ78" i="15"/>
  <c r="AQ80" i="15"/>
  <c r="AQ36" i="15"/>
  <c r="AQ79" i="15"/>
  <c r="AQ35" i="15"/>
  <c r="AQ34" i="15"/>
  <c r="AQ15" i="15" a="1"/>
  <c r="AQ15" i="15" s="1"/>
  <c r="AQ14" i="15" s="1"/>
  <c r="AQ11" i="15" a="1"/>
  <c r="AQ11" i="15" s="1"/>
  <c r="AQ30" i="15"/>
  <c r="AQ33" i="15"/>
  <c r="AQ32" i="15"/>
  <c r="AQ28" i="15"/>
  <c r="AQ19" i="15" a="1"/>
  <c r="AQ19" i="15" s="1"/>
  <c r="AQ18" i="15" s="1"/>
  <c r="E89" i="15" s="1" a="1"/>
  <c r="E89" i="15" s="1"/>
  <c r="AQ89" i="15" s="1"/>
  <c r="AQ31" i="15"/>
  <c r="AQ29" i="15"/>
  <c r="E87" i="15" a="1"/>
  <c r="E87" i="15" s="1"/>
  <c r="AQ87" i="15" s="1"/>
  <c r="BA20" i="15"/>
  <c r="AR16" i="15"/>
  <c r="E37" i="15" a="1"/>
  <c r="E37" i="15" s="1"/>
  <c r="AQ37" i="15" s="1"/>
  <c r="AG89" i="15"/>
  <c r="AF89" i="15"/>
  <c r="AJ89" i="15"/>
  <c r="AH89" i="15"/>
  <c r="AM89" i="15"/>
  <c r="AK89" i="15"/>
  <c r="AL89" i="15"/>
  <c r="AN89" i="15"/>
  <c r="AI89" i="15"/>
  <c r="AP89" i="15"/>
  <c r="AO89" i="15"/>
  <c r="AP14" i="15"/>
  <c r="AP18" i="15"/>
  <c r="AA4" i="17"/>
  <c r="AA5" i="17" s="1"/>
  <c r="Z7" i="17"/>
  <c r="Z6" i="17"/>
  <c r="D58" i="17"/>
  <c r="D149" i="17"/>
  <c r="AQ148" i="17"/>
  <c r="AP148" i="17"/>
  <c r="AO148" i="17"/>
  <c r="AN148" i="17"/>
  <c r="AM148" i="17"/>
  <c r="AL148" i="17"/>
  <c r="AK148" i="17"/>
  <c r="AJ148" i="17"/>
  <c r="AI148" i="17"/>
  <c r="AH148" i="17"/>
  <c r="AG148" i="17"/>
  <c r="AF148" i="17"/>
  <c r="AR6" i="14"/>
  <c r="AR7" i="14"/>
  <c r="AS5" i="14"/>
  <c r="AR8" i="14"/>
  <c r="AR4" i="14"/>
  <c r="AQ47" i="14"/>
  <c r="U4" i="16"/>
  <c r="T7" i="16"/>
  <c r="T6" i="16"/>
  <c r="AL10" i="16"/>
  <c r="D57" i="16"/>
  <c r="D91" i="16"/>
  <c r="D46" i="15"/>
  <c r="U4" i="15"/>
  <c r="T7" i="15"/>
  <c r="T6" i="15"/>
  <c r="AL10" i="15"/>
  <c r="D91" i="15"/>
  <c r="U4" i="14"/>
  <c r="T7" i="14"/>
  <c r="T6" i="14"/>
  <c r="D63" i="14"/>
  <c r="X159" i="13"/>
  <c r="X150" i="13"/>
  <c r="AQ5" i="9"/>
  <c r="AP6" i="9"/>
  <c r="AP4" i="9"/>
  <c r="AP8" i="9"/>
  <c r="AP7" i="9"/>
  <c r="AP5" i="11"/>
  <c r="AO7" i="11"/>
  <c r="AO8" i="11"/>
  <c r="AO6" i="11"/>
  <c r="AO4" i="11"/>
  <c r="BB106" i="12"/>
  <c r="Z105" i="13" s="1"/>
  <c r="BB105" i="12"/>
  <c r="Z104" i="13" s="1"/>
  <c r="BB104" i="12"/>
  <c r="BB103" i="12"/>
  <c r="Z102" i="13" s="1"/>
  <c r="BB102" i="12"/>
  <c r="Z101" i="13" s="1"/>
  <c r="BB101" i="12"/>
  <c r="BB96" i="12"/>
  <c r="BB89" i="12"/>
  <c r="BB97" i="12"/>
  <c r="Z99" i="13" s="1"/>
  <c r="BB91" i="12"/>
  <c r="Z93" i="13" s="1"/>
  <c r="BB90" i="12"/>
  <c r="BB93" i="12"/>
  <c r="Z95" i="13" s="1"/>
  <c r="BB94" i="12"/>
  <c r="Z96" i="13" s="1"/>
  <c r="BB92" i="12"/>
  <c r="BB95" i="12"/>
  <c r="Z97" i="13" s="1"/>
  <c r="BB82" i="12"/>
  <c r="Z87" i="13" s="1"/>
  <c r="BB77" i="12"/>
  <c r="Z82" i="13" s="1"/>
  <c r="BB85" i="12"/>
  <c r="Z90" i="13" s="1"/>
  <c r="BB84" i="12"/>
  <c r="Z89" i="13" s="1"/>
  <c r="BB81" i="12"/>
  <c r="Z86" i="13" s="1"/>
  <c r="BB83" i="12"/>
  <c r="Z88" i="13" s="1"/>
  <c r="BB73" i="12"/>
  <c r="Z77" i="13" s="1"/>
  <c r="BB78" i="12"/>
  <c r="Z83" i="13" s="1"/>
  <c r="BB75" i="12"/>
  <c r="BB80" i="12"/>
  <c r="BB76" i="12"/>
  <c r="BB79" i="12"/>
  <c r="Z84" i="13" s="1"/>
  <c r="BB64" i="12"/>
  <c r="Z74" i="13" s="1"/>
  <c r="BB59" i="12"/>
  <c r="Z72" i="13" s="1"/>
  <c r="BB58" i="12"/>
  <c r="BB52" i="12"/>
  <c r="Z70" i="13" s="1"/>
  <c r="BB51" i="12"/>
  <c r="Z69" i="13" s="1"/>
  <c r="BB50" i="12"/>
  <c r="Z68" i="13" s="1"/>
  <c r="BB49" i="12"/>
  <c r="Z67" i="13" s="1"/>
  <c r="BB48" i="12"/>
  <c r="BB47" i="12"/>
  <c r="Z65" i="13" s="1"/>
  <c r="BB46" i="12"/>
  <c r="Z64" i="13" s="1"/>
  <c r="BB30" i="12"/>
  <c r="Z48" i="13" s="1"/>
  <c r="BB28" i="12"/>
  <c r="BB41" i="12"/>
  <c r="Z59" i="13" s="1"/>
  <c r="BB40" i="12"/>
  <c r="Z58" i="13" s="1"/>
  <c r="BB33" i="12"/>
  <c r="Z51" i="13" s="1"/>
  <c r="BB32" i="12"/>
  <c r="Z50" i="13" s="1"/>
  <c r="BB31" i="12"/>
  <c r="Z49" i="13" s="1"/>
  <c r="BB29" i="12"/>
  <c r="BB39" i="12"/>
  <c r="Z57" i="13" s="1"/>
  <c r="BB38" i="12"/>
  <c r="Z56" i="13" s="1"/>
  <c r="BB37" i="12"/>
  <c r="Z55" i="13" s="1"/>
  <c r="BB36" i="12"/>
  <c r="BB35" i="12"/>
  <c r="Z53" i="13" s="1"/>
  <c r="BB34" i="12"/>
  <c r="Z52" i="13" s="1"/>
  <c r="BB21" i="12"/>
  <c r="Z45" i="13" s="1"/>
  <c r="BB20" i="12"/>
  <c r="Z44" i="13" s="1"/>
  <c r="AS90" i="30" s="1"/>
  <c r="BB19" i="12"/>
  <c r="Z43" i="13" s="1"/>
  <c r="BB18" i="12"/>
  <c r="BB14" i="12"/>
  <c r="Z41" i="13" s="1"/>
  <c r="BB13" i="12"/>
  <c r="Z40" i="13" s="1"/>
  <c r="BB12" i="12"/>
  <c r="BB8" i="12"/>
  <c r="BB4" i="12"/>
  <c r="BB6" i="12"/>
  <c r="BB7" i="12"/>
  <c r="BC5" i="12"/>
  <c r="BC63" i="12" s="1"/>
  <c r="Y6" i="13"/>
  <c r="Z5" i="13"/>
  <c r="Y4" i="13"/>
  <c r="Y8" i="13"/>
  <c r="Y7" i="13"/>
  <c r="AC4" i="12"/>
  <c r="AB7" i="12"/>
  <c r="AB6" i="12"/>
  <c r="R4" i="11"/>
  <c r="Q6" i="11"/>
  <c r="Q7" i="11"/>
  <c r="Y4" i="10"/>
  <c r="Y5" i="10" s="1"/>
  <c r="X7" i="10"/>
  <c r="X6" i="10"/>
  <c r="AP4" i="10"/>
  <c r="AP8" i="10"/>
  <c r="AP7" i="10"/>
  <c r="AQ5" i="10"/>
  <c r="AP6" i="10"/>
  <c r="W8" i="10"/>
  <c r="AX48" i="8"/>
  <c r="AX50" i="8"/>
  <c r="AX51" i="8"/>
  <c r="AX52" i="8"/>
  <c r="AY49" i="8"/>
  <c r="R7" i="9"/>
  <c r="R6" i="9"/>
  <c r="S4" i="9"/>
  <c r="AA74" i="8"/>
  <c r="Z77" i="8"/>
  <c r="Z76" i="8"/>
  <c r="AA48" i="8"/>
  <c r="Z51" i="8"/>
  <c r="Z50" i="8"/>
  <c r="Z10" i="8"/>
  <c r="AA7" i="8"/>
  <c r="Z9" i="8"/>
  <c r="AY11" i="8"/>
  <c r="AZ8" i="8"/>
  <c r="AY7" i="8"/>
  <c r="AY15" i="8" s="1" a="1"/>
  <c r="AY15" i="8" s="1"/>
  <c r="AY10" i="8"/>
  <c r="AY9" i="8"/>
  <c r="AY75" i="8"/>
  <c r="AX74" i="8"/>
  <c r="AX78" i="8"/>
  <c r="AX77" i="8"/>
  <c r="AX76" i="8"/>
  <c r="AT8" i="17" l="1"/>
  <c r="AU5" i="17"/>
  <c r="AT7" i="17"/>
  <c r="AL54" i="17" a="1"/>
  <c r="AL54" i="17" s="1"/>
  <c r="AP54" i="17" a="1"/>
  <c r="AP54" i="17" s="1"/>
  <c r="AF54" i="17" a="1"/>
  <c r="AF54" i="17" s="1"/>
  <c r="AH54" i="17" a="1"/>
  <c r="AH54" i="17" s="1"/>
  <c r="N54" i="17" s="1"/>
  <c r="AI54" i="17" a="1"/>
  <c r="AI54" i="17" s="1"/>
  <c r="AO54" i="17" a="1"/>
  <c r="AO54" i="17" s="1"/>
  <c r="AJ54" i="17" a="1"/>
  <c r="AJ54" i="17" s="1"/>
  <c r="AK54" i="17" a="1"/>
  <c r="AK54" i="17" s="1"/>
  <c r="O54" i="17" s="1"/>
  <c r="AM54" i="17" a="1"/>
  <c r="AM54" i="17" s="1"/>
  <c r="AN54" i="17" a="1"/>
  <c r="AN54" i="17" s="1"/>
  <c r="P54" i="17" s="1"/>
  <c r="AQ54" i="17" a="1"/>
  <c r="AQ54" i="17" s="1"/>
  <c r="H54" i="17" s="1"/>
  <c r="AG54" i="17" a="1"/>
  <c r="AG54" i="17" s="1"/>
  <c r="U115" i="13"/>
  <c r="AZ85" i="20"/>
  <c r="W130" i="13" s="1"/>
  <c r="W128" i="13"/>
  <c r="AP41" i="17"/>
  <c r="E55" i="17" s="1" a="1"/>
  <c r="E55" i="17" s="1"/>
  <c r="AI55" i="17" s="1" a="1"/>
  <c r="AI55" i="17" s="1"/>
  <c r="W110" i="13"/>
  <c r="W108" i="13" s="1"/>
  <c r="AA96" i="8"/>
  <c r="AA97" i="8" s="1"/>
  <c r="Z99" i="8"/>
  <c r="AO42" i="17"/>
  <c r="Z81" i="13"/>
  <c r="Z27" i="13" a="1"/>
  <c r="Z27" i="13" s="1"/>
  <c r="Z94" i="13"/>
  <c r="Z32" i="13" a="1"/>
  <c r="Z32" i="13" s="1"/>
  <c r="Z85" i="13"/>
  <c r="Z28" i="13" a="1"/>
  <c r="Z28" i="13" s="1"/>
  <c r="Z92" i="13"/>
  <c r="Z30" i="13" a="1"/>
  <c r="Z30" i="13" s="1"/>
  <c r="Z42" i="13"/>
  <c r="Z15" i="13" a="1"/>
  <c r="Z15" i="13" s="1"/>
  <c r="Z149" i="13" s="1"/>
  <c r="AS99" i="17"/>
  <c r="AS101" i="17" s="1"/>
  <c r="AS96" i="17" s="1"/>
  <c r="Z46" i="13"/>
  <c r="Z16" i="13" a="1"/>
  <c r="Z16" i="13" s="1"/>
  <c r="Z80" i="13"/>
  <c r="Z24" i="13" a="1"/>
  <c r="Z24" i="13" s="1"/>
  <c r="Z91" i="13"/>
  <c r="Z29" i="13" a="1"/>
  <c r="Z29" i="13" s="1"/>
  <c r="Z98" i="13"/>
  <c r="Z31" i="13" a="1"/>
  <c r="Z31" i="13" s="1"/>
  <c r="Z60" i="13"/>
  <c r="Z17" i="13" a="1"/>
  <c r="Z17" i="13" s="1"/>
  <c r="Z100" i="13"/>
  <c r="Z33" i="13" a="1"/>
  <c r="Z33" i="13" s="1"/>
  <c r="Z66" i="13"/>
  <c r="Z19" i="13" a="1"/>
  <c r="Z19" i="13" s="1"/>
  <c r="Z54" i="13"/>
  <c r="Z18" i="13" a="1"/>
  <c r="Z18" i="13" s="1"/>
  <c r="Z38" i="13"/>
  <c r="Z12" i="13" a="1"/>
  <c r="Z12" i="13" s="1"/>
  <c r="Z148" i="13" s="1"/>
  <c r="Z103" i="13"/>
  <c r="Z34" i="13" a="1"/>
  <c r="Z34" i="13" s="1"/>
  <c r="AT105" i="17"/>
  <c r="AS107" i="17"/>
  <c r="AS109" i="17" s="1"/>
  <c r="AS103" i="17" s="1"/>
  <c r="Z71" i="13"/>
  <c r="Z160" i="13" s="1"/>
  <c r="Z21" i="13" a="1"/>
  <c r="Z21" i="13" s="1"/>
  <c r="Z151" i="13" s="1"/>
  <c r="Z47" i="13"/>
  <c r="Z13" i="13" a="1"/>
  <c r="Z13" i="13" s="1"/>
  <c r="BA91" i="20"/>
  <c r="X135" i="13" s="1"/>
  <c r="AZ86" i="20"/>
  <c r="W131" i="13" s="1"/>
  <c r="AZ109" i="20" a="1"/>
  <c r="AZ109" i="20" s="1"/>
  <c r="BA83" i="20"/>
  <c r="AZ110" i="20"/>
  <c r="AQ59" i="14"/>
  <c r="AZ87" i="20"/>
  <c r="W132" i="13" s="1"/>
  <c r="AQ40" i="15"/>
  <c r="AY82" i="20"/>
  <c r="BA90" i="20"/>
  <c r="X134" i="13" s="1"/>
  <c r="BA108" i="20"/>
  <c r="H53" i="17"/>
  <c r="Q53" i="17"/>
  <c r="BA107" i="20"/>
  <c r="BA112" i="20"/>
  <c r="BA76" i="20"/>
  <c r="X122" i="13" s="1"/>
  <c r="BA77" i="20"/>
  <c r="X123" i="13" s="1"/>
  <c r="BC42" i="12"/>
  <c r="BC43" i="12"/>
  <c r="AA61" i="13" s="1"/>
  <c r="BC44" i="12"/>
  <c r="AA62" i="13" s="1"/>
  <c r="BC45" i="12"/>
  <c r="AA63" i="13" s="1"/>
  <c r="AW114" i="20"/>
  <c r="BC52" i="20"/>
  <c r="AX75" i="20"/>
  <c r="S8" i="22"/>
  <c r="AR6" i="22"/>
  <c r="AS5" i="22"/>
  <c r="AR7" i="22"/>
  <c r="AR8" i="22"/>
  <c r="AR4" i="22"/>
  <c r="T5" i="22"/>
  <c r="AQ48" i="22"/>
  <c r="AP48" i="22"/>
  <c r="AO48" i="22"/>
  <c r="AN48" i="22"/>
  <c r="AM48" i="22"/>
  <c r="AL48" i="22"/>
  <c r="AK48" i="22"/>
  <c r="AJ48" i="22"/>
  <c r="AI48" i="22"/>
  <c r="AH48" i="22"/>
  <c r="AE48" i="22"/>
  <c r="AF48" i="22"/>
  <c r="AG48" i="22"/>
  <c r="D49" i="22"/>
  <c r="AQ99" i="22"/>
  <c r="AP99" i="22"/>
  <c r="AO99" i="22"/>
  <c r="AN99" i="22"/>
  <c r="AM99" i="22"/>
  <c r="AL99" i="22"/>
  <c r="AK99" i="22"/>
  <c r="AJ99" i="22"/>
  <c r="AI99" i="22"/>
  <c r="AH99" i="22"/>
  <c r="AE99" i="22"/>
  <c r="AF99" i="22"/>
  <c r="AG99" i="22"/>
  <c r="D100" i="22"/>
  <c r="BD54" i="20"/>
  <c r="AZ60" i="20"/>
  <c r="BA65" i="20"/>
  <c r="X113" i="13" s="1"/>
  <c r="BA64" i="20"/>
  <c r="X112" i="13" s="1"/>
  <c r="BA63" i="20"/>
  <c r="X111" i="13" s="1"/>
  <c r="BA62" i="20"/>
  <c r="AX89" i="20"/>
  <c r="AZ99" i="20"/>
  <c r="W142" i="13" s="1"/>
  <c r="AZ101" i="20"/>
  <c r="W144" i="13" s="1"/>
  <c r="AZ100" i="20"/>
  <c r="W143" i="13" s="1"/>
  <c r="AY93" i="20"/>
  <c r="V137" i="13" s="1"/>
  <c r="AY94" i="20"/>
  <c r="V138" i="13" s="1"/>
  <c r="AY92" i="20"/>
  <c r="V136" i="13" s="1"/>
  <c r="AY79" i="20"/>
  <c r="V125" i="13" s="1"/>
  <c r="AY78" i="20"/>
  <c r="V124" i="13" s="1"/>
  <c r="AY80" i="20"/>
  <c r="V126" i="13" s="1"/>
  <c r="BB102" i="20"/>
  <c r="Y145" i="13" s="1"/>
  <c r="BB88" i="20"/>
  <c r="Y133" i="13" s="1"/>
  <c r="BB81" i="20"/>
  <c r="Y127" i="13" s="1"/>
  <c r="BB95" i="20"/>
  <c r="Y139" i="13" s="1"/>
  <c r="BA88" i="20"/>
  <c r="X133" i="13" s="1"/>
  <c r="BA95" i="20"/>
  <c r="X139" i="13" s="1"/>
  <c r="BA81" i="20"/>
  <c r="X127" i="13" s="1"/>
  <c r="BA102" i="20"/>
  <c r="X145" i="13" s="1"/>
  <c r="BD57" i="20"/>
  <c r="BD97" i="20" s="1"/>
  <c r="AA140" i="13" s="1"/>
  <c r="BD56" i="20"/>
  <c r="BD55" i="20"/>
  <c r="AY68" i="20"/>
  <c r="AY106" i="20"/>
  <c r="AZ115" i="20"/>
  <c r="BA74" i="20"/>
  <c r="X121" i="13" s="1"/>
  <c r="AZ71" i="20"/>
  <c r="W118" i="13" s="1"/>
  <c r="AZ72" i="20"/>
  <c r="W119" i="13" s="1"/>
  <c r="AZ73" i="20"/>
  <c r="W120" i="13" s="1"/>
  <c r="BB74" i="20"/>
  <c r="Y121" i="13" s="1"/>
  <c r="BB18" i="20"/>
  <c r="BB25" i="20"/>
  <c r="BB13" i="20"/>
  <c r="BB11" i="20"/>
  <c r="BB12" i="20"/>
  <c r="BB19" i="20"/>
  <c r="BB22" i="20"/>
  <c r="BB29" i="20"/>
  <c r="BB35" i="20"/>
  <c r="BB31" i="20"/>
  <c r="BB33" i="20"/>
  <c r="BB26" i="20"/>
  <c r="BB27" i="20"/>
  <c r="BB21" i="20"/>
  <c r="BB20" i="20"/>
  <c r="BB30" i="20"/>
  <c r="BB17" i="20"/>
  <c r="BB16" i="20"/>
  <c r="BB15" i="20"/>
  <c r="BB28" i="20"/>
  <c r="BB23" i="20"/>
  <c r="BB14" i="20"/>
  <c r="BB34" i="20"/>
  <c r="BB32" i="20"/>
  <c r="BB24" i="20"/>
  <c r="BC7" i="20"/>
  <c r="BC4" i="20"/>
  <c r="BC8" i="20"/>
  <c r="BC112" i="20" s="1"/>
  <c r="BC6" i="20"/>
  <c r="BD5" i="20"/>
  <c r="BA69" i="20"/>
  <c r="X116" i="13" s="1"/>
  <c r="BA61" i="20"/>
  <c r="X109" i="13" s="1"/>
  <c r="BA10" i="20"/>
  <c r="BA70" i="20"/>
  <c r="X117" i="13" s="1"/>
  <c r="AQ90" i="16"/>
  <c r="AP90" i="16"/>
  <c r="AO90" i="16"/>
  <c r="AN90" i="16"/>
  <c r="AM90" i="16"/>
  <c r="AL90" i="16"/>
  <c r="AK90" i="16"/>
  <c r="AJ90" i="16"/>
  <c r="AI90" i="16"/>
  <c r="AH90" i="16"/>
  <c r="AG90" i="16"/>
  <c r="AF90" i="16"/>
  <c r="AP90" i="15"/>
  <c r="AM90" i="15"/>
  <c r="AK90" i="15"/>
  <c r="AJ90" i="15"/>
  <c r="AH90" i="15"/>
  <c r="AG90" i="15"/>
  <c r="AF90" i="15"/>
  <c r="AN90" i="15"/>
  <c r="AQ90" i="15"/>
  <c r="AI90" i="15"/>
  <c r="AO90" i="15"/>
  <c r="AL90" i="15"/>
  <c r="AE5" i="20"/>
  <c r="BE53" i="20"/>
  <c r="AD8" i="20"/>
  <c r="AV5" i="17"/>
  <c r="AU8" i="17"/>
  <c r="AU4" i="17"/>
  <c r="AU7" i="17"/>
  <c r="AU6" i="17"/>
  <c r="AT54" i="17" a="1"/>
  <c r="AT54" i="17" s="1"/>
  <c r="R54" i="17" s="1"/>
  <c r="AT53" i="17" a="1"/>
  <c r="AT53" i="17" s="1"/>
  <c r="R53" i="17" s="1"/>
  <c r="AT52" i="17" a="1"/>
  <c r="AT52" i="17" s="1"/>
  <c r="R52" i="17" s="1"/>
  <c r="AT51" i="17" a="1"/>
  <c r="AT51" i="17" s="1"/>
  <c r="R51" i="17" s="1"/>
  <c r="AT50" i="17" a="1"/>
  <c r="AT50" i="17" s="1"/>
  <c r="R50" i="17" s="1"/>
  <c r="AT49" i="17" a="1"/>
  <c r="AT49" i="17" s="1"/>
  <c r="R49" i="17" s="1"/>
  <c r="AT48" i="17" a="1"/>
  <c r="AT48" i="17" s="1"/>
  <c r="R48" i="17" s="1"/>
  <c r="AT47" i="17" a="1"/>
  <c r="AT47" i="17" s="1"/>
  <c r="R47" i="17" s="1"/>
  <c r="AT138" i="17"/>
  <c r="AT46" i="17" a="1"/>
  <c r="AT46" i="17" s="1"/>
  <c r="R46" i="17" s="1"/>
  <c r="AT45" i="17" a="1"/>
  <c r="AT45" i="17" s="1"/>
  <c r="R45" i="17" s="1"/>
  <c r="AT137" i="17"/>
  <c r="AT136" i="17"/>
  <c r="AS6" i="16"/>
  <c r="AS7" i="16"/>
  <c r="AS8" i="16"/>
  <c r="AR41" i="16" s="1"/>
  <c r="AS4" i="16"/>
  <c r="AT5" i="16"/>
  <c r="AR19" i="16"/>
  <c r="AR18" i="16" s="1"/>
  <c r="AR11" i="16"/>
  <c r="AR15" i="16"/>
  <c r="AR14" i="16" s="1"/>
  <c r="AN40" i="16"/>
  <c r="AO40" i="16"/>
  <c r="AR88" i="16"/>
  <c r="AM40" i="16"/>
  <c r="AP40" i="16"/>
  <c r="AR38" i="16"/>
  <c r="AR28" i="16"/>
  <c r="AR37" i="16"/>
  <c r="AR31" i="16"/>
  <c r="AR33" i="16"/>
  <c r="AR80" i="16"/>
  <c r="AR79" i="16"/>
  <c r="AR82" i="16"/>
  <c r="AR83" i="16"/>
  <c r="AR87" i="16"/>
  <c r="AR34" i="16"/>
  <c r="AR29" i="16"/>
  <c r="AR36" i="16"/>
  <c r="AR78" i="16"/>
  <c r="AR35" i="16"/>
  <c r="AR32" i="16"/>
  <c r="AR30" i="16"/>
  <c r="AR81" i="16"/>
  <c r="AR84" i="16"/>
  <c r="AR85" i="16"/>
  <c r="AR86" i="16"/>
  <c r="E89" i="16" a="1"/>
  <c r="E89" i="16" s="1"/>
  <c r="BC20" i="16"/>
  <c r="E39" i="16" a="1"/>
  <c r="E39" i="16" s="1"/>
  <c r="AT16" i="16"/>
  <c r="AQ88" i="16"/>
  <c r="AP88" i="16"/>
  <c r="AP38" i="16"/>
  <c r="AQ38" i="16"/>
  <c r="BB20" i="15"/>
  <c r="E88" i="15" a="1"/>
  <c r="E88" i="15" s="1"/>
  <c r="AR88" i="15" s="1"/>
  <c r="AS4" i="15"/>
  <c r="AS6" i="15"/>
  <c r="AT5" i="15"/>
  <c r="AS7" i="15"/>
  <c r="AS8" i="15"/>
  <c r="AP41" i="15" s="1"/>
  <c r="AR89" i="15"/>
  <c r="AP40" i="15"/>
  <c r="AF40" i="15"/>
  <c r="AG40" i="15"/>
  <c r="AH40" i="15"/>
  <c r="AI40" i="15"/>
  <c r="AJ40" i="15"/>
  <c r="AK40" i="15"/>
  <c r="AL40" i="15"/>
  <c r="AM40" i="15"/>
  <c r="AN40" i="15"/>
  <c r="AR87" i="15"/>
  <c r="AR86" i="15"/>
  <c r="AR85" i="15"/>
  <c r="AR84" i="15"/>
  <c r="AR83" i="15"/>
  <c r="AR82" i="15"/>
  <c r="AR37" i="15"/>
  <c r="AR81" i="15"/>
  <c r="AR80" i="15"/>
  <c r="AR36" i="15"/>
  <c r="AR79" i="15"/>
  <c r="AR35" i="15"/>
  <c r="AR34" i="15"/>
  <c r="AR11" i="15" a="1"/>
  <c r="AR11" i="15" s="1"/>
  <c r="AR30" i="15"/>
  <c r="AR31" i="15"/>
  <c r="AR78" i="15"/>
  <c r="AR19" i="15" a="1"/>
  <c r="AR19" i="15" s="1"/>
  <c r="AR18" i="15" s="1"/>
  <c r="AR15" i="15" a="1"/>
  <c r="AR15" i="15" s="1"/>
  <c r="AR14" i="15" s="1"/>
  <c r="AR29" i="15"/>
  <c r="AR32" i="15"/>
  <c r="AR33" i="15"/>
  <c r="AR28" i="15"/>
  <c r="E39" i="15" a="1"/>
  <c r="E39" i="15" s="1"/>
  <c r="AT16" i="15"/>
  <c r="AP87" i="15"/>
  <c r="AO87" i="15"/>
  <c r="AP37" i="15"/>
  <c r="AO37" i="15"/>
  <c r="AS16" i="15"/>
  <c r="E38" i="15" a="1"/>
  <c r="E38" i="15" s="1"/>
  <c r="AR38" i="15" s="1"/>
  <c r="Y163" i="13"/>
  <c r="BC20" i="15"/>
  <c r="AB4" i="17"/>
  <c r="AB5" i="17" s="1"/>
  <c r="AA7" i="17"/>
  <c r="AA6" i="17"/>
  <c r="D59" i="17"/>
  <c r="D150" i="17"/>
  <c r="AR149" i="17"/>
  <c r="AQ149" i="17"/>
  <c r="AP149" i="17"/>
  <c r="AO149" i="17"/>
  <c r="AN149" i="17"/>
  <c r="AM149" i="17"/>
  <c r="AL149" i="17"/>
  <c r="AK149" i="17"/>
  <c r="AJ149" i="17"/>
  <c r="AI149" i="17"/>
  <c r="AH149" i="17"/>
  <c r="AG149" i="17"/>
  <c r="AF149" i="17"/>
  <c r="Z8" i="17"/>
  <c r="AT5" i="14"/>
  <c r="AS6" i="14"/>
  <c r="AS8" i="14"/>
  <c r="AR60" i="14" s="1"/>
  <c r="AS4" i="14"/>
  <c r="AS7" i="14"/>
  <c r="AP59" i="14"/>
  <c r="AN59" i="14"/>
  <c r="AL59" i="14"/>
  <c r="AM59" i="14"/>
  <c r="AO59" i="14"/>
  <c r="AF59" i="14"/>
  <c r="AH59" i="14"/>
  <c r="AG59" i="14"/>
  <c r="AK59" i="14"/>
  <c r="AI59" i="14"/>
  <c r="AJ59" i="14"/>
  <c r="AR47" i="14"/>
  <c r="T8" i="14"/>
  <c r="Y154" i="13"/>
  <c r="T8" i="16"/>
  <c r="T8" i="15"/>
  <c r="U5" i="16"/>
  <c r="AM12" i="16"/>
  <c r="AL25" i="16"/>
  <c r="AL22" i="16"/>
  <c r="AL27" i="14" s="1"/>
  <c r="D58" i="16"/>
  <c r="D92" i="16"/>
  <c r="D47" i="15"/>
  <c r="U5" i="15"/>
  <c r="AL22" i="15"/>
  <c r="AL25" i="14" s="1"/>
  <c r="AL25" i="15"/>
  <c r="AM12" i="15"/>
  <c r="D92" i="15"/>
  <c r="U5" i="14"/>
  <c r="D64" i="14"/>
  <c r="Y155" i="13"/>
  <c r="Y164" i="13"/>
  <c r="Y160" i="13"/>
  <c r="Y159" i="13"/>
  <c r="Q8" i="11"/>
  <c r="Y150" i="13"/>
  <c r="AQ7" i="9"/>
  <c r="AQ8" i="9"/>
  <c r="AQ4" i="9"/>
  <c r="AR5" i="9"/>
  <c r="AQ6" i="9"/>
  <c r="AP8" i="11"/>
  <c r="AP6" i="11"/>
  <c r="AP4" i="11"/>
  <c r="AP7" i="11"/>
  <c r="AQ5" i="11"/>
  <c r="BC106" i="12"/>
  <c r="AA105" i="13" s="1"/>
  <c r="BC105" i="12"/>
  <c r="AA104" i="13" s="1"/>
  <c r="BC104" i="12"/>
  <c r="BC103" i="12"/>
  <c r="AA102" i="13" s="1"/>
  <c r="BC102" i="12"/>
  <c r="AA101" i="13" s="1"/>
  <c r="BC101" i="12"/>
  <c r="BC97" i="12"/>
  <c r="AA99" i="13" s="1"/>
  <c r="BC95" i="12"/>
  <c r="AA97" i="13" s="1"/>
  <c r="BC94" i="12"/>
  <c r="AA96" i="13" s="1"/>
  <c r="BC93" i="12"/>
  <c r="AA95" i="13" s="1"/>
  <c r="BC92" i="12"/>
  <c r="BC89" i="12"/>
  <c r="BC96" i="12"/>
  <c r="BC91" i="12"/>
  <c r="AA93" i="13" s="1"/>
  <c r="BC90" i="12"/>
  <c r="BC85" i="12"/>
  <c r="AA90" i="13" s="1"/>
  <c r="BC81" i="12"/>
  <c r="AA86" i="13" s="1"/>
  <c r="BC80" i="12"/>
  <c r="BC79" i="12"/>
  <c r="AA84" i="13" s="1"/>
  <c r="BC76" i="12"/>
  <c r="BC75" i="12"/>
  <c r="BC73" i="12"/>
  <c r="AA77" i="13" s="1"/>
  <c r="BC84" i="12"/>
  <c r="AA89" i="13" s="1"/>
  <c r="BC83" i="12"/>
  <c r="AA88" i="13" s="1"/>
  <c r="BC82" i="12"/>
  <c r="AA87" i="13" s="1"/>
  <c r="BC78" i="12"/>
  <c r="AA83" i="13" s="1"/>
  <c r="BC77" i="12"/>
  <c r="AA82" i="13" s="1"/>
  <c r="BC64" i="12"/>
  <c r="AA74" i="13" s="1"/>
  <c r="BC59" i="12"/>
  <c r="AA72" i="13" s="1"/>
  <c r="BC58" i="12"/>
  <c r="BC48" i="12"/>
  <c r="BC51" i="12"/>
  <c r="AA69" i="13" s="1"/>
  <c r="BC30" i="12"/>
  <c r="AA48" i="13" s="1"/>
  <c r="BC50" i="12"/>
  <c r="AA68" i="13" s="1"/>
  <c r="BC33" i="12"/>
  <c r="AA51" i="13" s="1"/>
  <c r="BC49" i="12"/>
  <c r="AA67" i="13" s="1"/>
  <c r="BC34" i="12"/>
  <c r="AA52" i="13" s="1"/>
  <c r="BC52" i="12"/>
  <c r="AA70" i="13" s="1"/>
  <c r="BC35" i="12"/>
  <c r="AA53" i="13" s="1"/>
  <c r="BC47" i="12"/>
  <c r="AA65" i="13" s="1"/>
  <c r="BC36" i="12"/>
  <c r="BC46" i="12"/>
  <c r="AA64" i="13" s="1"/>
  <c r="BC32" i="12"/>
  <c r="AA50" i="13" s="1"/>
  <c r="BC37" i="12"/>
  <c r="AA55" i="13" s="1"/>
  <c r="BC31" i="12"/>
  <c r="AA49" i="13" s="1"/>
  <c r="BC29" i="12"/>
  <c r="BC38" i="12"/>
  <c r="AA56" i="13" s="1"/>
  <c r="BC39" i="12"/>
  <c r="AA57" i="13" s="1"/>
  <c r="BC40" i="12"/>
  <c r="AA58" i="13" s="1"/>
  <c r="BC41" i="12"/>
  <c r="AA59" i="13" s="1"/>
  <c r="BC28" i="12"/>
  <c r="BC21" i="12"/>
  <c r="AA45" i="13" s="1"/>
  <c r="BC20" i="12"/>
  <c r="AA44" i="13" s="1"/>
  <c r="AT90" i="30" s="1"/>
  <c r="BC19" i="12"/>
  <c r="AA43" i="13" s="1"/>
  <c r="BC18" i="12"/>
  <c r="BC14" i="12"/>
  <c r="AA41" i="13" s="1"/>
  <c r="BC13" i="12"/>
  <c r="AA40" i="13" s="1"/>
  <c r="BC12" i="12"/>
  <c r="BC4" i="12"/>
  <c r="BC8" i="12"/>
  <c r="BD5" i="12"/>
  <c r="BD63" i="12" s="1"/>
  <c r="BC7" i="12"/>
  <c r="BC6" i="12"/>
  <c r="Z4" i="13"/>
  <c r="Z7" i="13"/>
  <c r="Z6" i="13"/>
  <c r="AA5" i="13"/>
  <c r="Z8" i="13"/>
  <c r="AC5" i="12"/>
  <c r="AB8" i="12"/>
  <c r="R5" i="11"/>
  <c r="Y7" i="10"/>
  <c r="Y6" i="10"/>
  <c r="Z4" i="10"/>
  <c r="Z5" i="10" s="1"/>
  <c r="AQ4" i="10"/>
  <c r="AR5" i="10"/>
  <c r="AQ8" i="10"/>
  <c r="AQ7" i="10"/>
  <c r="AQ6" i="10"/>
  <c r="X8" i="10"/>
  <c r="AY48" i="8"/>
  <c r="AZ49" i="8"/>
  <c r="AY51" i="8"/>
  <c r="AY52" i="8"/>
  <c r="AY50" i="8"/>
  <c r="S5" i="9"/>
  <c r="R8" i="9"/>
  <c r="Z78" i="8"/>
  <c r="Z52" i="8"/>
  <c r="Z11" i="8"/>
  <c r="AA75" i="8"/>
  <c r="AA49" i="8"/>
  <c r="AA8" i="8"/>
  <c r="AZ7" i="8"/>
  <c r="AZ15" i="8" s="1" a="1"/>
  <c r="AZ15" i="8" s="1"/>
  <c r="AZ11" i="8"/>
  <c r="BA8" i="8"/>
  <c r="AZ10" i="8"/>
  <c r="AZ9" i="8"/>
  <c r="AY78" i="8"/>
  <c r="AY77" i="8"/>
  <c r="AY76" i="8"/>
  <c r="AY74" i="8"/>
  <c r="AZ75" i="8"/>
  <c r="AS55" i="17" l="1" a="1"/>
  <c r="AS55" i="17" s="1"/>
  <c r="AF55" i="17" a="1"/>
  <c r="AF55" i="17" s="1"/>
  <c r="AO55" i="17" a="1"/>
  <c r="AO55" i="17" s="1"/>
  <c r="AT55" i="17" a="1"/>
  <c r="AT55" i="17" s="1"/>
  <c r="R55" i="17" s="1"/>
  <c r="AH55" i="17" a="1"/>
  <c r="AH55" i="17" s="1"/>
  <c r="N55" i="17" s="1"/>
  <c r="AJ55" i="17" a="1"/>
  <c r="AJ55" i="17" s="1"/>
  <c r="Q54" i="17"/>
  <c r="AK55" i="17" a="1"/>
  <c r="AK55" i="17" s="1"/>
  <c r="O55" i="17" s="1"/>
  <c r="AR55" i="17" a="1"/>
  <c r="AR55" i="17" s="1"/>
  <c r="AL55" i="17" a="1"/>
  <c r="AL55" i="17" s="1"/>
  <c r="AP42" i="17"/>
  <c r="AM55" i="17" a="1"/>
  <c r="AM55" i="17" s="1"/>
  <c r="AN55" i="17" a="1"/>
  <c r="AN55" i="17" s="1"/>
  <c r="P55" i="17" s="1"/>
  <c r="AQ55" i="17" a="1"/>
  <c r="AQ55" i="17" s="1"/>
  <c r="Q55" i="17" s="1"/>
  <c r="AP55" i="17" a="1"/>
  <c r="AP55" i="17" s="1"/>
  <c r="AG55" i="17" a="1"/>
  <c r="AG55" i="17" s="1"/>
  <c r="AA98" i="8"/>
  <c r="V115" i="13"/>
  <c r="AB95" i="8"/>
  <c r="AQ41" i="17"/>
  <c r="E56" i="17" s="1" a="1"/>
  <c r="E56" i="17" s="1"/>
  <c r="AT56" i="17" s="1" a="1"/>
  <c r="AT56" i="17" s="1"/>
  <c r="R56" i="17" s="1"/>
  <c r="X110" i="13"/>
  <c r="X108" i="13" s="1"/>
  <c r="BA86" i="20"/>
  <c r="X131" i="13" s="1"/>
  <c r="X128" i="13"/>
  <c r="AA15" i="8" a="1"/>
  <c r="AA15" i="8" s="1"/>
  <c r="J133" i="31"/>
  <c r="R90" i="30"/>
  <c r="AA66" i="13"/>
  <c r="AA19" i="13" a="1"/>
  <c r="AA19" i="13" s="1"/>
  <c r="AA47" i="13"/>
  <c r="AA13" i="13" a="1"/>
  <c r="AA13" i="13" s="1"/>
  <c r="AA71" i="13"/>
  <c r="AA21" i="13" a="1"/>
  <c r="AA21" i="13" s="1"/>
  <c r="AA151" i="13" s="1"/>
  <c r="AA92" i="13"/>
  <c r="AA30" i="13" a="1"/>
  <c r="AA30" i="13" s="1"/>
  <c r="AA60" i="13"/>
  <c r="AA17" i="13" a="1"/>
  <c r="AA17" i="13" s="1"/>
  <c r="AA98" i="13"/>
  <c r="AA31" i="13" a="1"/>
  <c r="AA31" i="13" s="1"/>
  <c r="AA91" i="13"/>
  <c r="AA29" i="13" a="1"/>
  <c r="AA29" i="13" s="1"/>
  <c r="AA38" i="13"/>
  <c r="AA12" i="13" a="1"/>
  <c r="AA12" i="13" s="1"/>
  <c r="AA148" i="13" s="1"/>
  <c r="AA94" i="13"/>
  <c r="AA32" i="13" a="1"/>
  <c r="AA32" i="13" s="1"/>
  <c r="AA54" i="13"/>
  <c r="AA18" i="13" a="1"/>
  <c r="AA18" i="13" s="1"/>
  <c r="AU105" i="17"/>
  <c r="AT107" i="17"/>
  <c r="AT109" i="17" s="1"/>
  <c r="AT103" i="17" s="1"/>
  <c r="AA42" i="13"/>
  <c r="AA15" i="13" a="1"/>
  <c r="AA15" i="13" s="1"/>
  <c r="AA149" i="13" s="1"/>
  <c r="AA100" i="13"/>
  <c r="AA33" i="13" a="1"/>
  <c r="AA33" i="13" s="1"/>
  <c r="AA80" i="13"/>
  <c r="AA24" i="13" a="1"/>
  <c r="AA24" i="13" s="1"/>
  <c r="AT99" i="17"/>
  <c r="AT101" i="17" s="1"/>
  <c r="AT96" i="17" s="1"/>
  <c r="AA46" i="13"/>
  <c r="AA16" i="13" a="1"/>
  <c r="AA16" i="13" s="1"/>
  <c r="AA81" i="13"/>
  <c r="AA27" i="13" a="1"/>
  <c r="AA27" i="13" s="1"/>
  <c r="AA103" i="13"/>
  <c r="AA34" i="13" a="1"/>
  <c r="AA34" i="13" s="1"/>
  <c r="AA85" i="13"/>
  <c r="AA28" i="13" a="1"/>
  <c r="AA28" i="13" s="1"/>
  <c r="AZ82" i="20"/>
  <c r="BA87" i="20"/>
  <c r="X132" i="13" s="1"/>
  <c r="BA85" i="20"/>
  <c r="X130" i="13" s="1"/>
  <c r="AQ41" i="16"/>
  <c r="BA109" i="20" a="1"/>
  <c r="BA109" i="20" s="1"/>
  <c r="BA111" i="20" a="1"/>
  <c r="BA111" i="20" s="1"/>
  <c r="BA110" i="20"/>
  <c r="BB90" i="20"/>
  <c r="Y134" i="13" s="1"/>
  <c r="BB108" i="20"/>
  <c r="BB107" i="20"/>
  <c r="AO41" i="16"/>
  <c r="AI56" i="17" a="1"/>
  <c r="AI56" i="17" s="1"/>
  <c r="AH56" i="17" a="1"/>
  <c r="AH56" i="17" s="1"/>
  <c r="N56" i="17" s="1"/>
  <c r="AG56" i="17" a="1"/>
  <c r="AG56" i="17" s="1"/>
  <c r="AF56" i="17" a="1"/>
  <c r="AF56" i="17" s="1"/>
  <c r="AO56" i="17" a="1"/>
  <c r="AO56" i="17" s="1"/>
  <c r="BB83" i="20"/>
  <c r="BB76" i="20"/>
  <c r="Y122" i="13" s="1"/>
  <c r="BB77" i="20"/>
  <c r="Y123" i="13" s="1"/>
  <c r="BB91" i="20"/>
  <c r="Y135" i="13" s="1"/>
  <c r="BD42" i="12"/>
  <c r="BD43" i="12"/>
  <c r="AB61" i="13" s="1"/>
  <c r="BD44" i="12"/>
  <c r="AB62" i="13" s="1"/>
  <c r="BD45" i="12"/>
  <c r="AB63" i="13" s="1"/>
  <c r="AX114" i="20"/>
  <c r="AZ106" i="20"/>
  <c r="BD52" i="20"/>
  <c r="AS8" i="22"/>
  <c r="AT5" i="22"/>
  <c r="AS6" i="22"/>
  <c r="AS7" i="22"/>
  <c r="AS4" i="22"/>
  <c r="U4" i="22"/>
  <c r="T7" i="22"/>
  <c r="T6" i="22"/>
  <c r="AR49" i="22"/>
  <c r="AQ49" i="22"/>
  <c r="AP49" i="22"/>
  <c r="AO49" i="22"/>
  <c r="AN49" i="22"/>
  <c r="AM49" i="22"/>
  <c r="AL49" i="22"/>
  <c r="AK49" i="22"/>
  <c r="AJ49" i="22"/>
  <c r="AI49" i="22"/>
  <c r="AH49" i="22"/>
  <c r="AF49" i="22"/>
  <c r="AG49" i="22"/>
  <c r="AE49" i="22"/>
  <c r="D50" i="22"/>
  <c r="AR100" i="22"/>
  <c r="AQ100" i="22"/>
  <c r="AP100" i="22"/>
  <c r="AO100" i="22"/>
  <c r="AN100" i="22"/>
  <c r="AM100" i="22"/>
  <c r="AL100" i="22"/>
  <c r="AK100" i="22"/>
  <c r="AJ100" i="22"/>
  <c r="AI100" i="22"/>
  <c r="AH100" i="22"/>
  <c r="D101" i="22"/>
  <c r="AF100" i="22"/>
  <c r="AE100" i="22"/>
  <c r="AG100" i="22"/>
  <c r="AY89" i="20"/>
  <c r="BA60" i="20"/>
  <c r="BE54" i="20"/>
  <c r="BB65" i="20"/>
  <c r="Y113" i="13" s="1"/>
  <c r="BB64" i="20"/>
  <c r="Y112" i="13" s="1"/>
  <c r="BB63" i="20"/>
  <c r="Y111" i="13" s="1"/>
  <c r="BB62" i="20"/>
  <c r="AZ96" i="20"/>
  <c r="AY75" i="20"/>
  <c r="AZ92" i="20"/>
  <c r="W136" i="13" s="1"/>
  <c r="AZ93" i="20"/>
  <c r="W137" i="13" s="1"/>
  <c r="AZ94" i="20"/>
  <c r="W138" i="13" s="1"/>
  <c r="AZ78" i="20"/>
  <c r="W124" i="13" s="1"/>
  <c r="AZ79" i="20"/>
  <c r="W125" i="13" s="1"/>
  <c r="AZ80" i="20"/>
  <c r="W126" i="13" s="1"/>
  <c r="BB99" i="20"/>
  <c r="Y142" i="13" s="1"/>
  <c r="BB101" i="20"/>
  <c r="Y144" i="13" s="1"/>
  <c r="BB100" i="20"/>
  <c r="Y143" i="13" s="1"/>
  <c r="BC81" i="20"/>
  <c r="Z127" i="13" s="1"/>
  <c r="BC88" i="20"/>
  <c r="Z133" i="13" s="1"/>
  <c r="BC95" i="20"/>
  <c r="Z139" i="13" s="1"/>
  <c r="BC102" i="20"/>
  <c r="Z145" i="13" s="1"/>
  <c r="BE57" i="20"/>
  <c r="BE97" i="20" s="1"/>
  <c r="AB140" i="13" s="1"/>
  <c r="BE56" i="20"/>
  <c r="BE55" i="20"/>
  <c r="AZ68" i="20"/>
  <c r="BB61" i="20"/>
  <c r="Y109" i="13" s="1"/>
  <c r="BB69" i="20"/>
  <c r="Y116" i="13" s="1"/>
  <c r="BB10" i="20"/>
  <c r="BB70" i="20"/>
  <c r="Y117" i="13" s="1"/>
  <c r="BC33" i="20"/>
  <c r="BC25" i="20"/>
  <c r="BC20" i="20"/>
  <c r="BC22" i="20"/>
  <c r="BC16" i="20"/>
  <c r="BC74" i="20"/>
  <c r="Z121" i="13" s="1"/>
  <c r="BC35" i="20"/>
  <c r="BC30" i="20"/>
  <c r="BC28" i="20"/>
  <c r="BC11" i="20"/>
  <c r="BC27" i="20"/>
  <c r="BC15" i="20"/>
  <c r="BC17" i="20"/>
  <c r="BC32" i="20"/>
  <c r="BC26" i="20"/>
  <c r="BC34" i="20"/>
  <c r="BC21" i="20"/>
  <c r="BC19" i="20"/>
  <c r="BC18" i="20"/>
  <c r="BC24" i="20"/>
  <c r="BC13" i="20"/>
  <c r="BC12" i="20"/>
  <c r="BC29" i="20"/>
  <c r="BC23" i="20"/>
  <c r="BC14" i="20"/>
  <c r="BC31" i="20"/>
  <c r="BD6" i="20"/>
  <c r="BD8" i="20"/>
  <c r="BD112" i="20" s="1"/>
  <c r="BD4" i="20"/>
  <c r="BE5" i="20"/>
  <c r="BD7" i="20"/>
  <c r="BA73" i="20"/>
  <c r="X120" i="13" s="1"/>
  <c r="BA71" i="20"/>
  <c r="X118" i="13" s="1"/>
  <c r="BA72" i="20"/>
  <c r="X119" i="13" s="1"/>
  <c r="BA115" i="20"/>
  <c r="Z163" i="13"/>
  <c r="AP91" i="16"/>
  <c r="AO91" i="16"/>
  <c r="AN91" i="16"/>
  <c r="AM91" i="16"/>
  <c r="AL91" i="16"/>
  <c r="AK91" i="16"/>
  <c r="AJ91" i="16"/>
  <c r="AI91" i="16"/>
  <c r="AH91" i="16"/>
  <c r="AG91" i="16"/>
  <c r="AF91" i="16"/>
  <c r="Z159" i="13"/>
  <c r="AE7" i="20"/>
  <c r="AE6" i="20"/>
  <c r="AF4" i="20"/>
  <c r="BF53" i="20"/>
  <c r="AV8" i="17"/>
  <c r="AW5" i="17"/>
  <c r="AV6" i="17"/>
  <c r="AV7" i="17"/>
  <c r="AV4" i="17"/>
  <c r="AU55" i="17" a="1"/>
  <c r="AU55" i="17" s="1"/>
  <c r="AU54" i="17" a="1"/>
  <c r="AU54" i="17" s="1"/>
  <c r="AU53" i="17" a="1"/>
  <c r="AU53" i="17" s="1"/>
  <c r="AU52" i="17" a="1"/>
  <c r="AU52" i="17" s="1"/>
  <c r="AU51" i="17" a="1"/>
  <c r="AU51" i="17" s="1"/>
  <c r="AU50" i="17" a="1"/>
  <c r="AU50" i="17" s="1"/>
  <c r="AU49" i="17" a="1"/>
  <c r="AU49" i="17" s="1"/>
  <c r="AU48" i="17" a="1"/>
  <c r="AU48" i="17" s="1"/>
  <c r="AU139" i="17"/>
  <c r="AU47" i="17" a="1"/>
  <c r="AU47" i="17" s="1"/>
  <c r="AU138" i="17"/>
  <c r="AU46" i="17" a="1"/>
  <c r="AU46" i="17" s="1"/>
  <c r="AU45" i="17" a="1"/>
  <c r="AU45" i="17" s="1"/>
  <c r="AU137" i="17"/>
  <c r="AU136" i="17"/>
  <c r="AQ91" i="16"/>
  <c r="AR91" i="16"/>
  <c r="AS89" i="16"/>
  <c r="AP41" i="16"/>
  <c r="AS32" i="16"/>
  <c r="AS28" i="16"/>
  <c r="AS29" i="16"/>
  <c r="AS30" i="16"/>
  <c r="AS33" i="16"/>
  <c r="AS37" i="16"/>
  <c r="AS39" i="16"/>
  <c r="AS81" i="16"/>
  <c r="AS83" i="16"/>
  <c r="AS88" i="16"/>
  <c r="AS34" i="16"/>
  <c r="AS38" i="16"/>
  <c r="AS35" i="16"/>
  <c r="AS31" i="16"/>
  <c r="AS36" i="16"/>
  <c r="AS78" i="16"/>
  <c r="AS79" i="16"/>
  <c r="AS80" i="16"/>
  <c r="AS82" i="16"/>
  <c r="AS84" i="16"/>
  <c r="AS85" i="16"/>
  <c r="AS86" i="16"/>
  <c r="AS87" i="16"/>
  <c r="AS15" i="16"/>
  <c r="AS14" i="16" s="1"/>
  <c r="AS11" i="16"/>
  <c r="AS19" i="16"/>
  <c r="AS18" i="16" s="1"/>
  <c r="AT6" i="16"/>
  <c r="AT8" i="16"/>
  <c r="AU5" i="16"/>
  <c r="AT7" i="16"/>
  <c r="AT4" i="16"/>
  <c r="E90" i="16" a="1"/>
  <c r="E90" i="16" s="1"/>
  <c r="BD20" i="16"/>
  <c r="AR89" i="16"/>
  <c r="AQ89" i="16"/>
  <c r="AU16" i="16"/>
  <c r="E40" i="16" a="1"/>
  <c r="E40" i="16" s="1"/>
  <c r="AQ39" i="16"/>
  <c r="AR39" i="16"/>
  <c r="Z150" i="13"/>
  <c r="Z155" i="13"/>
  <c r="AQ88" i="15"/>
  <c r="AP88" i="15"/>
  <c r="AT4" i="15"/>
  <c r="AT6" i="15"/>
  <c r="AT7" i="15"/>
  <c r="AU5" i="15"/>
  <c r="AT8" i="15"/>
  <c r="AR42" i="15" s="1"/>
  <c r="AH41" i="15"/>
  <c r="AO41" i="15"/>
  <c r="AQ41" i="15"/>
  <c r="AM41" i="15"/>
  <c r="AK41" i="15"/>
  <c r="AG41" i="15"/>
  <c r="AL41" i="15"/>
  <c r="AI41" i="15"/>
  <c r="AF41" i="15"/>
  <c r="AJ41" i="15"/>
  <c r="AN41" i="15"/>
  <c r="AS89" i="15"/>
  <c r="AS87" i="15"/>
  <c r="AS88" i="15"/>
  <c r="AS86" i="15"/>
  <c r="AS85" i="15"/>
  <c r="AS84" i="15"/>
  <c r="AS39" i="15"/>
  <c r="AS83" i="15"/>
  <c r="AS82" i="15"/>
  <c r="AS38" i="15"/>
  <c r="AS37" i="15"/>
  <c r="AS81" i="15"/>
  <c r="AS80" i="15"/>
  <c r="AS36" i="15"/>
  <c r="AS35" i="15"/>
  <c r="AS79" i="15"/>
  <c r="AS34" i="15"/>
  <c r="AS28" i="15"/>
  <c r="AS15" i="15" a="1"/>
  <c r="AS15" i="15" s="1"/>
  <c r="AS14" i="15" s="1"/>
  <c r="AS19" i="15" a="1"/>
  <c r="AS19" i="15" s="1"/>
  <c r="AS18" i="15" s="1"/>
  <c r="AS30" i="15"/>
  <c r="AS31" i="15"/>
  <c r="AS33" i="15"/>
  <c r="AS78" i="15"/>
  <c r="AS11" i="15" a="1"/>
  <c r="AS11" i="15" s="1"/>
  <c r="AS32" i="15"/>
  <c r="AS29" i="15"/>
  <c r="E90" i="15" a="1"/>
  <c r="E90" i="15" s="1"/>
  <c r="BD20" i="15"/>
  <c r="E40" i="15" a="1"/>
  <c r="E40" i="15" s="1"/>
  <c r="AU16" i="15"/>
  <c r="AQ38" i="15"/>
  <c r="AP38" i="15"/>
  <c r="AA8" i="17"/>
  <c r="AR41" i="15"/>
  <c r="AP91" i="15"/>
  <c r="AJ91" i="15"/>
  <c r="AN91" i="15"/>
  <c r="AQ91" i="15"/>
  <c r="AR91" i="15"/>
  <c r="AH91" i="15"/>
  <c r="AL91" i="15"/>
  <c r="AO91" i="15"/>
  <c r="AF91" i="15"/>
  <c r="AI91" i="15"/>
  <c r="AM91" i="15"/>
  <c r="AG91" i="15"/>
  <c r="AK91" i="15"/>
  <c r="AQ39" i="15"/>
  <c r="AR39" i="15"/>
  <c r="AC4" i="17"/>
  <c r="AC5" i="17" s="1"/>
  <c r="AB7" i="17"/>
  <c r="AB6" i="17"/>
  <c r="D60" i="17"/>
  <c r="AR150" i="17"/>
  <c r="AK150" i="17"/>
  <c r="AO150" i="17"/>
  <c r="AN150" i="17"/>
  <c r="AJ150" i="17"/>
  <c r="AI150" i="17"/>
  <c r="AG150" i="17"/>
  <c r="AS150" i="17"/>
  <c r="AQ150" i="17"/>
  <c r="AP150" i="17"/>
  <c r="AL150" i="17"/>
  <c r="AH150" i="17"/>
  <c r="AM150" i="17"/>
  <c r="AF150" i="17"/>
  <c r="D151" i="17"/>
  <c r="AT6" i="14"/>
  <c r="AU5" i="14"/>
  <c r="AT7" i="14"/>
  <c r="AT8" i="14"/>
  <c r="AT4" i="14"/>
  <c r="AN60" i="14"/>
  <c r="AO60" i="14"/>
  <c r="AM60" i="14"/>
  <c r="AP60" i="14"/>
  <c r="AH60" i="14"/>
  <c r="AL60" i="14"/>
  <c r="AQ60" i="14"/>
  <c r="AI60" i="14"/>
  <c r="AF60" i="14"/>
  <c r="AJ60" i="14"/>
  <c r="AG60" i="14"/>
  <c r="AK60" i="14"/>
  <c r="AS47" i="14"/>
  <c r="AS48" i="14"/>
  <c r="V4" i="16"/>
  <c r="U7" i="16"/>
  <c r="U6" i="16"/>
  <c r="AM10" i="16"/>
  <c r="D59" i="16"/>
  <c r="D93" i="16"/>
  <c r="D48" i="15"/>
  <c r="V4" i="15"/>
  <c r="U7" i="15"/>
  <c r="U6" i="15"/>
  <c r="AM10" i="15"/>
  <c r="D93" i="15"/>
  <c r="V4" i="14"/>
  <c r="U7" i="14"/>
  <c r="U6" i="14"/>
  <c r="D65" i="14"/>
  <c r="Z164" i="13"/>
  <c r="Z154" i="13"/>
  <c r="AR4" i="9"/>
  <c r="AR7" i="9"/>
  <c r="AR8" i="9"/>
  <c r="AR6" i="9"/>
  <c r="AS5" i="9"/>
  <c r="AQ6" i="11"/>
  <c r="AQ4" i="11"/>
  <c r="AQ8" i="11"/>
  <c r="AR5" i="11"/>
  <c r="AQ7" i="11"/>
  <c r="Z102" i="12"/>
  <c r="Z95" i="12"/>
  <c r="Z79" i="12"/>
  <c r="BD106" i="12"/>
  <c r="AB105" i="13" s="1"/>
  <c r="BD105" i="12"/>
  <c r="AB104" i="13" s="1"/>
  <c r="BD104" i="12"/>
  <c r="BD103" i="12"/>
  <c r="AB102" i="13" s="1"/>
  <c r="BD102" i="12"/>
  <c r="AB101" i="13" s="1"/>
  <c r="BD101" i="12"/>
  <c r="BD89" i="12"/>
  <c r="BD97" i="12"/>
  <c r="AB99" i="13" s="1"/>
  <c r="BD96" i="12"/>
  <c r="BD94" i="12"/>
  <c r="AB96" i="13" s="1"/>
  <c r="BD93" i="12"/>
  <c r="AB95" i="13" s="1"/>
  <c r="BD92" i="12"/>
  <c r="BD91" i="12"/>
  <c r="AB93" i="13" s="1"/>
  <c r="BD90" i="12"/>
  <c r="BD95" i="12"/>
  <c r="AB97" i="13" s="1"/>
  <c r="BD81" i="12"/>
  <c r="AB86" i="13" s="1"/>
  <c r="BD84" i="12"/>
  <c r="AB89" i="13" s="1"/>
  <c r="BD83" i="12"/>
  <c r="AB88" i="13" s="1"/>
  <c r="BD82" i="12"/>
  <c r="AB87" i="13" s="1"/>
  <c r="BD77" i="12"/>
  <c r="AB82" i="13" s="1"/>
  <c r="BD80" i="12"/>
  <c r="BD79" i="12"/>
  <c r="AB84" i="13" s="1"/>
  <c r="BD78" i="12"/>
  <c r="AB83" i="13" s="1"/>
  <c r="BD76" i="12"/>
  <c r="BD75" i="12"/>
  <c r="BD73" i="12"/>
  <c r="AB77" i="13" s="1"/>
  <c r="BD85" i="12"/>
  <c r="AB90" i="13" s="1"/>
  <c r="BD64" i="12"/>
  <c r="AB74" i="13" s="1"/>
  <c r="BD59" i="12"/>
  <c r="AB72" i="13" s="1"/>
  <c r="BD58" i="12"/>
  <c r="BD29" i="12"/>
  <c r="BD51" i="12"/>
  <c r="AB69" i="13" s="1"/>
  <c r="BD31" i="12"/>
  <c r="AB49" i="13" s="1"/>
  <c r="BD32" i="12"/>
  <c r="AB50" i="13" s="1"/>
  <c r="BD34" i="12"/>
  <c r="AB52" i="13" s="1"/>
  <c r="BD35" i="12"/>
  <c r="AB53" i="13" s="1"/>
  <c r="BD36" i="12"/>
  <c r="BD37" i="12"/>
  <c r="AB55" i="13" s="1"/>
  <c r="BD38" i="12"/>
  <c r="AB56" i="13" s="1"/>
  <c r="BD39" i="12"/>
  <c r="AB57" i="13" s="1"/>
  <c r="BD28" i="12"/>
  <c r="BD30" i="12"/>
  <c r="AB48" i="13" s="1"/>
  <c r="BD33" i="12"/>
  <c r="AB51" i="13" s="1"/>
  <c r="BD40" i="12"/>
  <c r="AB58" i="13" s="1"/>
  <c r="BD41" i="12"/>
  <c r="AB59" i="13" s="1"/>
  <c r="BD46" i="12"/>
  <c r="AB64" i="13" s="1"/>
  <c r="BD47" i="12"/>
  <c r="AB65" i="13" s="1"/>
  <c r="BD48" i="12"/>
  <c r="BD49" i="12"/>
  <c r="AB67" i="13" s="1"/>
  <c r="BD50" i="12"/>
  <c r="AB68" i="13" s="1"/>
  <c r="BD52" i="12"/>
  <c r="AB70" i="13" s="1"/>
  <c r="BD21" i="12"/>
  <c r="AB45" i="13" s="1"/>
  <c r="BD20" i="12"/>
  <c r="AB44" i="13" s="1"/>
  <c r="AU90" i="30" s="1"/>
  <c r="BD19" i="12"/>
  <c r="AB43" i="13" s="1"/>
  <c r="BD18" i="12"/>
  <c r="BD14" i="12"/>
  <c r="AB41" i="13" s="1"/>
  <c r="BD13" i="12"/>
  <c r="AB40" i="13" s="1"/>
  <c r="BD12" i="12"/>
  <c r="BD4" i="12"/>
  <c r="BD8" i="12"/>
  <c r="BD7" i="12"/>
  <c r="BD6" i="12"/>
  <c r="BE5" i="12"/>
  <c r="BE63" i="12" s="1"/>
  <c r="AA7" i="13"/>
  <c r="AB5" i="13"/>
  <c r="AA4" i="13"/>
  <c r="AA8" i="13"/>
  <c r="AA6" i="13"/>
  <c r="AD4" i="12"/>
  <c r="AC7" i="12"/>
  <c r="AC6" i="12"/>
  <c r="Y8" i="10"/>
  <c r="S4" i="11"/>
  <c r="R7" i="11"/>
  <c r="R6" i="11"/>
  <c r="AA4" i="10"/>
  <c r="AA5" i="10" s="1"/>
  <c r="Z7" i="10"/>
  <c r="Z6" i="10"/>
  <c r="AR4" i="10"/>
  <c r="AR8" i="10"/>
  <c r="AR7" i="10"/>
  <c r="AS5" i="10"/>
  <c r="AR6" i="10"/>
  <c r="AZ48" i="8"/>
  <c r="BA49" i="8"/>
  <c r="AZ50" i="8"/>
  <c r="AZ51" i="8"/>
  <c r="AZ52" i="8"/>
  <c r="S7" i="9"/>
  <c r="T4" i="9"/>
  <c r="S6" i="9"/>
  <c r="AB74" i="8"/>
  <c r="AA77" i="8"/>
  <c r="AA76" i="8"/>
  <c r="AB48" i="8"/>
  <c r="AA51" i="8"/>
  <c r="AA50" i="8"/>
  <c r="AA9" i="8"/>
  <c r="AB7" i="8"/>
  <c r="AA10" i="8"/>
  <c r="BA11" i="8"/>
  <c r="BB8" i="8"/>
  <c r="BA7" i="8"/>
  <c r="BA15" i="8" s="1" a="1"/>
  <c r="BA15" i="8" s="1"/>
  <c r="BA10" i="8"/>
  <c r="BA9" i="8"/>
  <c r="AZ74" i="8"/>
  <c r="AZ78" i="8"/>
  <c r="AZ77" i="8"/>
  <c r="AZ76" i="8"/>
  <c r="BA75" i="8"/>
  <c r="AQ42" i="17" l="1"/>
  <c r="H55" i="17"/>
  <c r="AM56" i="17" a="1"/>
  <c r="AM56" i="17" s="1"/>
  <c r="AN56" i="17" a="1"/>
  <c r="AN56" i="17" s="1"/>
  <c r="P56" i="17" s="1"/>
  <c r="AP56" i="17" a="1"/>
  <c r="AP56" i="17" s="1"/>
  <c r="AQ56" i="17" a="1"/>
  <c r="AQ56" i="17" s="1"/>
  <c r="Q56" i="17" s="1"/>
  <c r="AR56" i="17" a="1"/>
  <c r="AR56" i="17" s="1"/>
  <c r="AL56" i="17" a="1"/>
  <c r="AL56" i="17" s="1"/>
  <c r="AS56" i="17" a="1"/>
  <c r="AS56" i="17" s="1"/>
  <c r="AU56" i="17" a="1"/>
  <c r="AU56" i="17" s="1"/>
  <c r="AJ56" i="17" a="1"/>
  <c r="AJ56" i="17" s="1"/>
  <c r="AK56" i="17" a="1"/>
  <c r="AK56" i="17" s="1"/>
  <c r="O56" i="17" s="1"/>
  <c r="AR41" i="17"/>
  <c r="E57" i="17" s="1" a="1"/>
  <c r="E57" i="17" s="1"/>
  <c r="AU57" i="17" s="1" a="1"/>
  <c r="AU57" i="17" s="1"/>
  <c r="Y110" i="13"/>
  <c r="Y108" i="13" s="1"/>
  <c r="BB85" i="20"/>
  <c r="Y130" i="13" s="1"/>
  <c r="Y128" i="13"/>
  <c r="W115" i="13"/>
  <c r="AB96" i="8"/>
  <c r="AB98" i="8" s="1"/>
  <c r="AA99" i="8"/>
  <c r="AB103" i="13"/>
  <c r="AB34" i="13" a="1"/>
  <c r="AB34" i="13" s="1"/>
  <c r="AB60" i="13"/>
  <c r="AB17" i="13" a="1"/>
  <c r="AB17" i="13" s="1"/>
  <c r="AV105" i="17"/>
  <c r="AU107" i="17"/>
  <c r="AU109" i="17" s="1"/>
  <c r="AU103" i="17" s="1"/>
  <c r="AB66" i="13"/>
  <c r="AB19" i="13" a="1"/>
  <c r="AB19" i="13" s="1"/>
  <c r="AB47" i="13"/>
  <c r="AB13" i="13" a="1"/>
  <c r="AB13" i="13" s="1"/>
  <c r="AB54" i="13"/>
  <c r="AB18" i="13" a="1"/>
  <c r="AB18" i="13" s="1"/>
  <c r="AB71" i="13"/>
  <c r="AB21" i="13" a="1"/>
  <c r="AB21" i="13" s="1"/>
  <c r="AB151" i="13" s="1"/>
  <c r="AB92" i="13"/>
  <c r="AB30" i="13" a="1"/>
  <c r="AB30" i="13" s="1"/>
  <c r="AB94" i="13"/>
  <c r="AB32" i="13" a="1"/>
  <c r="AB32" i="13" s="1"/>
  <c r="AU99" i="17"/>
  <c r="AU101" i="17" s="1"/>
  <c r="AU96" i="17" s="1"/>
  <c r="AB46" i="13"/>
  <c r="AB16" i="13" a="1"/>
  <c r="AB16" i="13" s="1"/>
  <c r="AB38" i="13"/>
  <c r="AB12" i="13" a="1"/>
  <c r="AB12" i="13" s="1"/>
  <c r="AB148" i="13" s="1"/>
  <c r="AB80" i="13"/>
  <c r="AB24" i="13" a="1"/>
  <c r="AB24" i="13" s="1"/>
  <c r="AB98" i="13"/>
  <c r="AB31" i="13" a="1"/>
  <c r="AB31" i="13" s="1"/>
  <c r="AB81" i="13"/>
  <c r="AB27" i="13" a="1"/>
  <c r="AB27" i="13" s="1"/>
  <c r="AB42" i="13"/>
  <c r="AB15" i="13" a="1"/>
  <c r="AB15" i="13" s="1"/>
  <c r="AB149" i="13" s="1"/>
  <c r="AB91" i="13"/>
  <c r="AB29" i="13" a="1"/>
  <c r="AB29" i="13" s="1"/>
  <c r="AB100" i="13"/>
  <c r="AB33" i="13" a="1"/>
  <c r="AB33" i="13" s="1"/>
  <c r="AB85" i="13"/>
  <c r="AB28" i="13" a="1"/>
  <c r="AB28" i="13" s="1"/>
  <c r="BA82" i="20"/>
  <c r="BC83" i="20"/>
  <c r="BC107" i="20"/>
  <c r="BB109" i="20" a="1"/>
  <c r="BB109" i="20" s="1"/>
  <c r="BB110" i="20"/>
  <c r="BB111" i="20" a="1"/>
  <c r="BB111" i="20" s="1"/>
  <c r="BC90" i="20"/>
  <c r="Z134" i="13" s="1"/>
  <c r="BC108" i="20"/>
  <c r="H42" i="17"/>
  <c r="Q42" i="17"/>
  <c r="AF61" i="14"/>
  <c r="AG61" i="14"/>
  <c r="AQ61" i="14"/>
  <c r="BB87" i="20"/>
  <c r="Y132" i="13" s="1"/>
  <c r="BB86" i="20"/>
  <c r="Y131" i="13" s="1"/>
  <c r="BC76" i="20"/>
  <c r="Z122" i="13" s="1"/>
  <c r="BC77" i="20"/>
  <c r="Z123" i="13" s="1"/>
  <c r="BC91" i="20"/>
  <c r="Z135" i="13" s="1"/>
  <c r="BB60" i="20"/>
  <c r="BE42" i="12"/>
  <c r="BE43" i="12"/>
  <c r="AC61" i="13" s="1"/>
  <c r="BE44" i="12"/>
  <c r="AC62" i="13" s="1"/>
  <c r="BE45" i="12"/>
  <c r="AC63" i="13" s="1"/>
  <c r="AY114" i="20"/>
  <c r="BE52" i="20"/>
  <c r="AZ89" i="20"/>
  <c r="T8" i="22"/>
  <c r="AT6" i="22"/>
  <c r="AU5" i="22"/>
  <c r="AT7" i="22"/>
  <c r="AT8" i="22"/>
  <c r="AT4" i="22"/>
  <c r="U5" i="22"/>
  <c r="AS50" i="22"/>
  <c r="AR50" i="22"/>
  <c r="AQ50" i="22"/>
  <c r="AP50" i="22"/>
  <c r="AO50" i="22"/>
  <c r="AN50" i="22"/>
  <c r="AM50" i="22"/>
  <c r="AL50" i="22"/>
  <c r="AK50" i="22"/>
  <c r="AJ50" i="22"/>
  <c r="AI50" i="22"/>
  <c r="AH50" i="22"/>
  <c r="AF50" i="22"/>
  <c r="AE50" i="22"/>
  <c r="AG50" i="22"/>
  <c r="D51" i="22"/>
  <c r="AS101" i="22"/>
  <c r="AR101" i="22"/>
  <c r="AQ101" i="22"/>
  <c r="AP101" i="22"/>
  <c r="AO101" i="22"/>
  <c r="AN101" i="22"/>
  <c r="AM101" i="22"/>
  <c r="AL101" i="22"/>
  <c r="AK101" i="22"/>
  <c r="AJ101" i="22"/>
  <c r="AI101" i="22"/>
  <c r="AH101" i="22"/>
  <c r="AG101" i="22"/>
  <c r="AF101" i="22"/>
  <c r="AE101" i="22"/>
  <c r="D102" i="22"/>
  <c r="AZ75" i="20"/>
  <c r="BF54" i="20"/>
  <c r="BB96" i="20"/>
  <c r="BC65" i="20"/>
  <c r="Z113" i="13" s="1"/>
  <c r="BC64" i="20"/>
  <c r="Z112" i="13" s="1"/>
  <c r="BC63" i="20"/>
  <c r="Z111" i="13" s="1"/>
  <c r="BC62" i="20"/>
  <c r="BA99" i="20"/>
  <c r="X142" i="13" s="1"/>
  <c r="BA101" i="20"/>
  <c r="X144" i="13" s="1"/>
  <c r="BA100" i="20"/>
  <c r="X143" i="13" s="1"/>
  <c r="BC100" i="20"/>
  <c r="Z143" i="13" s="1"/>
  <c r="BC101" i="20"/>
  <c r="Z144" i="13" s="1"/>
  <c r="BC99" i="20"/>
  <c r="Z142" i="13" s="1"/>
  <c r="BA80" i="20"/>
  <c r="X126" i="13" s="1"/>
  <c r="BA79" i="20"/>
  <c r="X125" i="13" s="1"/>
  <c r="BA78" i="20"/>
  <c r="X124" i="13" s="1"/>
  <c r="BA92" i="20"/>
  <c r="X136" i="13" s="1"/>
  <c r="BA93" i="20"/>
  <c r="X137" i="13" s="1"/>
  <c r="BA94" i="20"/>
  <c r="X138" i="13" s="1"/>
  <c r="BD95" i="20"/>
  <c r="AA139" i="13" s="1"/>
  <c r="BD102" i="20"/>
  <c r="AA145" i="13" s="1"/>
  <c r="BD88" i="20"/>
  <c r="AA133" i="13" s="1"/>
  <c r="BD81" i="20"/>
  <c r="AA127" i="13" s="1"/>
  <c r="BF57" i="20"/>
  <c r="BF97" i="20" s="1"/>
  <c r="AC140" i="13" s="1"/>
  <c r="BF56" i="20"/>
  <c r="BF55" i="20"/>
  <c r="BA68" i="20"/>
  <c r="BA106" i="20"/>
  <c r="BB73" i="20"/>
  <c r="Y120" i="13" s="1"/>
  <c r="BB71" i="20"/>
  <c r="Y118" i="13" s="1"/>
  <c r="BB72" i="20"/>
  <c r="Y119" i="13" s="1"/>
  <c r="BB115" i="20"/>
  <c r="BC70" i="20"/>
  <c r="Z117" i="13" s="1"/>
  <c r="BC61" i="20"/>
  <c r="Z109" i="13" s="1"/>
  <c r="BC69" i="20"/>
  <c r="Z116" i="13" s="1"/>
  <c r="BC10" i="20"/>
  <c r="BD16" i="20"/>
  <c r="BD32" i="20"/>
  <c r="BD13" i="20"/>
  <c r="BD33" i="20"/>
  <c r="BD27" i="20"/>
  <c r="BD17" i="20"/>
  <c r="BD31" i="20"/>
  <c r="BD26" i="20"/>
  <c r="BD24" i="20"/>
  <c r="BD30" i="20"/>
  <c r="BD23" i="20"/>
  <c r="BD19" i="20"/>
  <c r="BD15" i="20"/>
  <c r="BD74" i="20"/>
  <c r="AA121" i="13" s="1"/>
  <c r="BD21" i="20"/>
  <c r="BD22" i="20"/>
  <c r="BD12" i="20"/>
  <c r="BD18" i="20"/>
  <c r="BD11" i="20"/>
  <c r="BD28" i="20"/>
  <c r="BD25" i="20"/>
  <c r="BD20" i="20"/>
  <c r="BD34" i="20"/>
  <c r="BD14" i="20"/>
  <c r="BD35" i="20"/>
  <c r="BD29" i="20"/>
  <c r="BE4" i="20"/>
  <c r="BE8" i="20"/>
  <c r="BE112" i="20" s="1"/>
  <c r="BF5" i="20"/>
  <c r="BE7" i="20"/>
  <c r="BE6" i="20"/>
  <c r="AA155" i="13"/>
  <c r="AF5" i="20"/>
  <c r="BG53" i="20"/>
  <c r="AE8" i="20"/>
  <c r="AV56" i="17" a="1"/>
  <c r="AV56" i="17" s="1"/>
  <c r="AV55" i="17" a="1"/>
  <c r="AV55" i="17" s="1"/>
  <c r="AV54" i="17" a="1"/>
  <c r="AV54" i="17" s="1"/>
  <c r="AV53" i="17" a="1"/>
  <c r="AV53" i="17" s="1"/>
  <c r="AV52" i="17" a="1"/>
  <c r="AV52" i="17" s="1"/>
  <c r="AV51" i="17" a="1"/>
  <c r="AV51" i="17" s="1"/>
  <c r="AV50" i="17" a="1"/>
  <c r="AV50" i="17" s="1"/>
  <c r="AV49" i="17" a="1"/>
  <c r="AV49" i="17" s="1"/>
  <c r="AV140" i="17"/>
  <c r="AV48" i="17" a="1"/>
  <c r="AV48" i="17" s="1"/>
  <c r="AV47" i="17" a="1"/>
  <c r="AV47" i="17" s="1"/>
  <c r="AV139" i="17"/>
  <c r="AV138" i="17"/>
  <c r="AV137" i="17"/>
  <c r="AV136" i="17"/>
  <c r="AV46" i="17" a="1"/>
  <c r="AV46" i="17" s="1"/>
  <c r="AV45" i="17" a="1"/>
  <c r="AV45" i="17" s="1"/>
  <c r="AW6" i="17"/>
  <c r="AW8" i="17"/>
  <c r="AX5" i="17"/>
  <c r="AW4" i="17"/>
  <c r="AW7" i="17"/>
  <c r="E91" i="16" a="1"/>
  <c r="E91" i="16" s="1"/>
  <c r="BE20" i="16"/>
  <c r="AT90" i="16"/>
  <c r="AT82" i="16"/>
  <c r="AT85" i="16"/>
  <c r="AT86" i="16"/>
  <c r="AT88" i="16"/>
  <c r="AT31" i="16"/>
  <c r="AT29" i="16"/>
  <c r="AT39" i="16"/>
  <c r="AT36" i="16"/>
  <c r="AT28" i="16"/>
  <c r="AT30" i="16"/>
  <c r="AT35" i="16"/>
  <c r="AT79" i="16"/>
  <c r="AT81" i="16"/>
  <c r="AT84" i="16"/>
  <c r="AT78" i="16"/>
  <c r="AT33" i="16"/>
  <c r="AT37" i="16"/>
  <c r="AT32" i="16"/>
  <c r="AT38" i="16"/>
  <c r="AT34" i="16"/>
  <c r="AT80" i="16"/>
  <c r="AT40" i="16"/>
  <c r="AT89" i="16"/>
  <c r="AT83" i="16"/>
  <c r="AT87" i="16"/>
  <c r="AU7" i="16"/>
  <c r="AU8" i="16"/>
  <c r="AR43" i="16" s="1"/>
  <c r="AU4" i="16"/>
  <c r="AU6" i="16"/>
  <c r="AV5" i="16"/>
  <c r="AT19" i="16"/>
  <c r="AT18" i="16" s="1"/>
  <c r="AT11" i="16"/>
  <c r="AT15" i="16"/>
  <c r="AT14" i="16" s="1"/>
  <c r="AW16" i="16" s="1"/>
  <c r="AR90" i="16"/>
  <c r="AS90" i="16"/>
  <c r="AV16" i="16"/>
  <c r="E41" i="16" a="1"/>
  <c r="E41" i="16" s="1"/>
  <c r="AF92" i="16"/>
  <c r="AP42" i="16"/>
  <c r="AO42" i="16"/>
  <c r="AS42" i="16"/>
  <c r="AR42" i="16"/>
  <c r="AS92" i="16"/>
  <c r="AR92" i="16"/>
  <c r="AQ92" i="16"/>
  <c r="AP92" i="16"/>
  <c r="AO92" i="16"/>
  <c r="AN92" i="16"/>
  <c r="AM92" i="16"/>
  <c r="AL92" i="16"/>
  <c r="AK92" i="16"/>
  <c r="AJ92" i="16"/>
  <c r="AI92" i="16"/>
  <c r="AH92" i="16"/>
  <c r="AG92" i="16"/>
  <c r="AQ42" i="16"/>
  <c r="AR40" i="16"/>
  <c r="AS40" i="16"/>
  <c r="AJ92" i="15"/>
  <c r="AQ92" i="15"/>
  <c r="AL92" i="15"/>
  <c r="AI92" i="15"/>
  <c r="AH92" i="15"/>
  <c r="AG92" i="15"/>
  <c r="AR92" i="15"/>
  <c r="AN92" i="15"/>
  <c r="AK92" i="15"/>
  <c r="AP92" i="15"/>
  <c r="AO92" i="15"/>
  <c r="AM92" i="15"/>
  <c r="AF92" i="15"/>
  <c r="BE20" i="15"/>
  <c r="E91" i="15" a="1"/>
  <c r="E91" i="15" s="1"/>
  <c r="AV16" i="15"/>
  <c r="E41" i="15" a="1"/>
  <c r="E41" i="15" s="1"/>
  <c r="AR90" i="15"/>
  <c r="AS90" i="15"/>
  <c r="AU4" i="15"/>
  <c r="AU6" i="15"/>
  <c r="AU7" i="15"/>
  <c r="AV5" i="15"/>
  <c r="AU8" i="15"/>
  <c r="AT90" i="15"/>
  <c r="AG42" i="15"/>
  <c r="AJ42" i="15"/>
  <c r="AK42" i="15"/>
  <c r="AL42" i="15"/>
  <c r="AH42" i="15"/>
  <c r="AI42" i="15"/>
  <c r="AM42" i="15"/>
  <c r="AP42" i="15"/>
  <c r="AF42" i="15"/>
  <c r="AN42" i="15"/>
  <c r="AO42" i="15"/>
  <c r="AT89" i="15"/>
  <c r="AT40" i="15"/>
  <c r="AT88" i="15"/>
  <c r="AT87" i="15"/>
  <c r="AT86" i="15"/>
  <c r="AT85" i="15"/>
  <c r="AT84" i="15"/>
  <c r="AT83" i="15"/>
  <c r="AT39" i="15"/>
  <c r="AT82" i="15"/>
  <c r="AT38" i="15"/>
  <c r="AT37" i="15"/>
  <c r="AT81" i="15"/>
  <c r="AT36" i="15"/>
  <c r="AT80" i="15"/>
  <c r="AT35" i="15"/>
  <c r="AT79" i="15"/>
  <c r="AT34" i="15"/>
  <c r="AT28" i="15"/>
  <c r="AT11" i="15" a="1"/>
  <c r="AT11" i="15" s="1"/>
  <c r="AT33" i="15"/>
  <c r="AT15" i="15" a="1"/>
  <c r="AT15" i="15" s="1"/>
  <c r="AT31" i="15"/>
  <c r="AT30" i="15"/>
  <c r="AT32" i="15"/>
  <c r="AT78" i="15"/>
  <c r="AT29" i="15"/>
  <c r="AT19" i="15" a="1"/>
  <c r="AT19" i="15" s="1"/>
  <c r="AB8" i="17"/>
  <c r="U8" i="16"/>
  <c r="AQ42" i="15"/>
  <c r="AS42" i="15"/>
  <c r="AS92" i="15"/>
  <c r="AR40" i="15"/>
  <c r="AS40" i="15"/>
  <c r="AO61" i="14"/>
  <c r="AM61" i="14"/>
  <c r="AP61" i="14"/>
  <c r="AI61" i="14"/>
  <c r="AL61" i="14"/>
  <c r="AS61" i="14"/>
  <c r="AN61" i="14"/>
  <c r="AK61" i="14"/>
  <c r="AH61" i="14"/>
  <c r="AJ61" i="14"/>
  <c r="AC7" i="17"/>
  <c r="AC6" i="17"/>
  <c r="D61" i="17"/>
  <c r="D152" i="17"/>
  <c r="AT151" i="17"/>
  <c r="AS151" i="17"/>
  <c r="AR151" i="17"/>
  <c r="AQ151" i="17"/>
  <c r="AP151" i="17"/>
  <c r="AO151" i="17"/>
  <c r="AN151" i="17"/>
  <c r="AM151" i="17"/>
  <c r="AL151" i="17"/>
  <c r="AK151" i="17"/>
  <c r="AJ151" i="17"/>
  <c r="AI151" i="17"/>
  <c r="AH151" i="17"/>
  <c r="AG151" i="17"/>
  <c r="AF151" i="17"/>
  <c r="AU4" i="14"/>
  <c r="AU6" i="14"/>
  <c r="AU8" i="14"/>
  <c r="AT62" i="14" s="1"/>
  <c r="AV5" i="14"/>
  <c r="AU7" i="14"/>
  <c r="AR61" i="14"/>
  <c r="AT47" i="14"/>
  <c r="AT48" i="14"/>
  <c r="AT49" i="14"/>
  <c r="V5" i="16"/>
  <c r="AM25" i="16"/>
  <c r="AN12" i="16"/>
  <c r="AM22" i="16"/>
  <c r="AM27" i="14" s="1"/>
  <c r="D60" i="16"/>
  <c r="D94" i="16"/>
  <c r="D49" i="15"/>
  <c r="U8" i="15"/>
  <c r="U8" i="14"/>
  <c r="V5" i="15"/>
  <c r="AM22" i="15"/>
  <c r="AM25" i="14" s="1"/>
  <c r="AM25" i="15"/>
  <c r="AN12" i="15"/>
  <c r="D94" i="15"/>
  <c r="V5" i="14"/>
  <c r="D66" i="14"/>
  <c r="AA164" i="13"/>
  <c r="AA150" i="13"/>
  <c r="AA160" i="13"/>
  <c r="AA159" i="13"/>
  <c r="AA163" i="13"/>
  <c r="AA154" i="13"/>
  <c r="AS6" i="9"/>
  <c r="AS8" i="9"/>
  <c r="AT5" i="9"/>
  <c r="AS7" i="9"/>
  <c r="AS4" i="9"/>
  <c r="AR8" i="11"/>
  <c r="AR6" i="11"/>
  <c r="AR4" i="11"/>
  <c r="AS5" i="11"/>
  <c r="AR7" i="11"/>
  <c r="BE106" i="12"/>
  <c r="AC105" i="13" s="1"/>
  <c r="BE105" i="12"/>
  <c r="AC104" i="13" s="1"/>
  <c r="BE104" i="12"/>
  <c r="BE103" i="12"/>
  <c r="AC102" i="13" s="1"/>
  <c r="BE102" i="12"/>
  <c r="AC101" i="13" s="1"/>
  <c r="BE101" i="12"/>
  <c r="BE95" i="12"/>
  <c r="AC97" i="13" s="1"/>
  <c r="BE91" i="12"/>
  <c r="AC93" i="13" s="1"/>
  <c r="BE90" i="12"/>
  <c r="BE93" i="12"/>
  <c r="AC95" i="13" s="1"/>
  <c r="BE92" i="12"/>
  <c r="BE89" i="12"/>
  <c r="BE97" i="12"/>
  <c r="AC99" i="13" s="1"/>
  <c r="BE96" i="12"/>
  <c r="BE94" i="12"/>
  <c r="AC96" i="13" s="1"/>
  <c r="BE85" i="12"/>
  <c r="AC90" i="13" s="1"/>
  <c r="BE81" i="12"/>
  <c r="AC86" i="13" s="1"/>
  <c r="BE78" i="12"/>
  <c r="AC83" i="13" s="1"/>
  <c r="BE80" i="12"/>
  <c r="BE79" i="12"/>
  <c r="AC84" i="13" s="1"/>
  <c r="BE77" i="12"/>
  <c r="AC82" i="13" s="1"/>
  <c r="BE76" i="12"/>
  <c r="BE75" i="12"/>
  <c r="BE73" i="12"/>
  <c r="AC77" i="13" s="1"/>
  <c r="BE84" i="12"/>
  <c r="AC89" i="13" s="1"/>
  <c r="BE83" i="12"/>
  <c r="AC88" i="13" s="1"/>
  <c r="BE82" i="12"/>
  <c r="AC87" i="13" s="1"/>
  <c r="BE64" i="12"/>
  <c r="AC74" i="13" s="1"/>
  <c r="BE59" i="12"/>
  <c r="AC72" i="13" s="1"/>
  <c r="BE58" i="12"/>
  <c r="BE41" i="12"/>
  <c r="AC59" i="13" s="1"/>
  <c r="BE51" i="12"/>
  <c r="AC69" i="13" s="1"/>
  <c r="BE34" i="12"/>
  <c r="AC52" i="13" s="1"/>
  <c r="BE50" i="12"/>
  <c r="AC68" i="13" s="1"/>
  <c r="BE35" i="12"/>
  <c r="AC53" i="13" s="1"/>
  <c r="BE49" i="12"/>
  <c r="AC67" i="13" s="1"/>
  <c r="BE36" i="12"/>
  <c r="BE48" i="12"/>
  <c r="BE37" i="12"/>
  <c r="AC55" i="13" s="1"/>
  <c r="BE47" i="12"/>
  <c r="AC65" i="13" s="1"/>
  <c r="BE38" i="12"/>
  <c r="AC56" i="13" s="1"/>
  <c r="BE46" i="12"/>
  <c r="AC64" i="13" s="1"/>
  <c r="BE30" i="12"/>
  <c r="AC48" i="13" s="1"/>
  <c r="BE39" i="12"/>
  <c r="AC57" i="13" s="1"/>
  <c r="BE29" i="12"/>
  <c r="BE31" i="12"/>
  <c r="AC49" i="13" s="1"/>
  <c r="BE28" i="12"/>
  <c r="BE32" i="12"/>
  <c r="AC50" i="13" s="1"/>
  <c r="BE40" i="12"/>
  <c r="AC58" i="13" s="1"/>
  <c r="BE52" i="12"/>
  <c r="AC70" i="13" s="1"/>
  <c r="BE33" i="12"/>
  <c r="AC51" i="13" s="1"/>
  <c r="BE21" i="12"/>
  <c r="AC45" i="13" s="1"/>
  <c r="BE20" i="12"/>
  <c r="AC44" i="13" s="1"/>
  <c r="AV90" i="30" s="1"/>
  <c r="BE19" i="12"/>
  <c r="AC43" i="13" s="1"/>
  <c r="BE18" i="12"/>
  <c r="BE14" i="12"/>
  <c r="AC41" i="13" s="1"/>
  <c r="BE12" i="12"/>
  <c r="BE13" i="12"/>
  <c r="AC40" i="13" s="1"/>
  <c r="BE4" i="12"/>
  <c r="BE8" i="12"/>
  <c r="BF5" i="12"/>
  <c r="BF63" i="12" s="1"/>
  <c r="BE6" i="12"/>
  <c r="BE7" i="12"/>
  <c r="AB4" i="13"/>
  <c r="AB7" i="13"/>
  <c r="AC5" i="13"/>
  <c r="AB8" i="13"/>
  <c r="AB6" i="13"/>
  <c r="AC8" i="12"/>
  <c r="AD5" i="12"/>
  <c r="S5" i="11"/>
  <c r="R8" i="11"/>
  <c r="AA7" i="10"/>
  <c r="AA6" i="10"/>
  <c r="AT5" i="10"/>
  <c r="AS4" i="10"/>
  <c r="AS8" i="10"/>
  <c r="AS7" i="10"/>
  <c r="AS6" i="10"/>
  <c r="Z8" i="10"/>
  <c r="BA48" i="8"/>
  <c r="BA50" i="8"/>
  <c r="BA52" i="8"/>
  <c r="BB49" i="8"/>
  <c r="BA51" i="8"/>
  <c r="T5" i="9"/>
  <c r="S8" i="9"/>
  <c r="AB75" i="8"/>
  <c r="AB49" i="8"/>
  <c r="AB8" i="8"/>
  <c r="AA11" i="8"/>
  <c r="AA78" i="8"/>
  <c r="AA52" i="8"/>
  <c r="BB7" i="8"/>
  <c r="BB15" i="8" s="1" a="1"/>
  <c r="BB15" i="8" s="1"/>
  <c r="BB11" i="8"/>
  <c r="BC8" i="8"/>
  <c r="BB10" i="8"/>
  <c r="BB9" i="8"/>
  <c r="BA78" i="8"/>
  <c r="BA77" i="8"/>
  <c r="BA76" i="8"/>
  <c r="BB75" i="8"/>
  <c r="BA74" i="8"/>
  <c r="H56" i="17" l="1"/>
  <c r="AR42" i="17"/>
  <c r="AL57" i="17" a="1"/>
  <c r="AL57" i="17" s="1"/>
  <c r="AM57" i="17" a="1"/>
  <c r="AM57" i="17" s="1"/>
  <c r="AP57" i="17" a="1"/>
  <c r="AP57" i="17" s="1"/>
  <c r="AQ57" i="17" a="1"/>
  <c r="AQ57" i="17" s="1"/>
  <c r="AN57" i="17" a="1"/>
  <c r="AN57" i="17" s="1"/>
  <c r="P57" i="17" s="1"/>
  <c r="AO57" i="17" a="1"/>
  <c r="AO57" i="17" s="1"/>
  <c r="AH57" i="17" a="1"/>
  <c r="AH57" i="17" s="1"/>
  <c r="N57" i="17" s="1"/>
  <c r="AS57" i="17" a="1"/>
  <c r="AS57" i="17" s="1"/>
  <c r="AT57" i="17" a="1"/>
  <c r="AT57" i="17" s="1"/>
  <c r="R57" i="17" s="1"/>
  <c r="AJ57" i="17" a="1"/>
  <c r="AJ57" i="17" s="1"/>
  <c r="AK57" i="17" a="1"/>
  <c r="AK57" i="17" s="1"/>
  <c r="O57" i="17" s="1"/>
  <c r="AR57" i="17" a="1"/>
  <c r="AR57" i="17" s="1"/>
  <c r="AF57" i="17" a="1"/>
  <c r="AF57" i="17" s="1"/>
  <c r="AG57" i="17" a="1"/>
  <c r="AG57" i="17" s="1"/>
  <c r="AV57" i="17" a="1"/>
  <c r="AV57" i="17" s="1"/>
  <c r="AB97" i="8"/>
  <c r="AI57" i="17" a="1"/>
  <c r="AI57" i="17" s="1"/>
  <c r="X115" i="13"/>
  <c r="AC95" i="8"/>
  <c r="BC86" i="20"/>
  <c r="Z131" i="13" s="1"/>
  <c r="Z128" i="13"/>
  <c r="AS41" i="17"/>
  <c r="E58" i="17" s="1" a="1"/>
  <c r="E58" i="17" s="1"/>
  <c r="AV58" i="17" s="1" a="1"/>
  <c r="AV58" i="17" s="1"/>
  <c r="Z110" i="13"/>
  <c r="AB15" i="8" a="1"/>
  <c r="AB15" i="8" s="1"/>
  <c r="AC98" i="13"/>
  <c r="AC31" i="13" a="1"/>
  <c r="AC31" i="13" s="1"/>
  <c r="AC91" i="13"/>
  <c r="AC29" i="13" a="1"/>
  <c r="AC29" i="13" s="1"/>
  <c r="AW105" i="17"/>
  <c r="AV107" i="17"/>
  <c r="AV109" i="17" s="1"/>
  <c r="AV103" i="17" s="1"/>
  <c r="AC94" i="13"/>
  <c r="AC32" i="13" a="1"/>
  <c r="AC32" i="13" s="1"/>
  <c r="AC60" i="13"/>
  <c r="AC17" i="13" a="1"/>
  <c r="AC17" i="13" s="1"/>
  <c r="AC42" i="13"/>
  <c r="AC15" i="13" a="1"/>
  <c r="AC15" i="13" s="1"/>
  <c r="AC149" i="13" s="1"/>
  <c r="AC66" i="13"/>
  <c r="AC19" i="13" a="1"/>
  <c r="AC19" i="13" s="1"/>
  <c r="AC92" i="13"/>
  <c r="AC30" i="13" a="1"/>
  <c r="AC30" i="13" s="1"/>
  <c r="AB160" i="13"/>
  <c r="AC80" i="13"/>
  <c r="AC24" i="13" a="1"/>
  <c r="AC24" i="13" s="1"/>
  <c r="AC81" i="13"/>
  <c r="AC27" i="13" a="1"/>
  <c r="AC27" i="13" s="1"/>
  <c r="AC100" i="13"/>
  <c r="AC33" i="13" a="1"/>
  <c r="AC33" i="13" s="1"/>
  <c r="AC54" i="13"/>
  <c r="AC18" i="13" a="1"/>
  <c r="AC18" i="13" s="1"/>
  <c r="AC85" i="13"/>
  <c r="AC28" i="13" a="1"/>
  <c r="AC28" i="13" s="1"/>
  <c r="AV99" i="17"/>
  <c r="AV101" i="17" s="1"/>
  <c r="AV96" i="17" s="1"/>
  <c r="AC46" i="13"/>
  <c r="AC16" i="13" a="1"/>
  <c r="AC16" i="13" s="1"/>
  <c r="AC38" i="13"/>
  <c r="AC12" i="13" a="1"/>
  <c r="AC12" i="13" s="1"/>
  <c r="AC148" i="13" s="1"/>
  <c r="AC103" i="13"/>
  <c r="AC34" i="13" a="1"/>
  <c r="AC34" i="13" s="1"/>
  <c r="AC47" i="13"/>
  <c r="AC13" i="13" a="1"/>
  <c r="AC13" i="13" s="1"/>
  <c r="AC71" i="13"/>
  <c r="AC160" i="13" s="1"/>
  <c r="AC21" i="13" a="1"/>
  <c r="AC21" i="13" s="1"/>
  <c r="AC151" i="13" s="1"/>
  <c r="BC87" i="20"/>
  <c r="Z132" i="13" s="1"/>
  <c r="BC85" i="20"/>
  <c r="Z130" i="13" s="1"/>
  <c r="BB82" i="20"/>
  <c r="AP43" i="16"/>
  <c r="AQ43" i="16"/>
  <c r="BD90" i="20"/>
  <c r="AA134" i="13" s="1"/>
  <c r="BD108" i="20"/>
  <c r="BD83" i="20"/>
  <c r="AS43" i="16"/>
  <c r="BD91" i="20"/>
  <c r="AA135" i="13" s="1"/>
  <c r="Q57" i="17"/>
  <c r="H57" i="17"/>
  <c r="BD107" i="20"/>
  <c r="AQ58" i="17" a="1"/>
  <c r="AQ58" i="17" s="1"/>
  <c r="AP58" i="17" a="1"/>
  <c r="AP58" i="17" s="1"/>
  <c r="AO58" i="17" a="1"/>
  <c r="AO58" i="17" s="1"/>
  <c r="AN58" i="17" a="1"/>
  <c r="AN58" i="17" s="1"/>
  <c r="P58" i="17" s="1"/>
  <c r="AF58" i="17" a="1"/>
  <c r="AF58" i="17" s="1"/>
  <c r="BC109" i="20" a="1"/>
  <c r="BC109" i="20" s="1"/>
  <c r="BC110" i="20"/>
  <c r="BC111" i="20" a="1"/>
  <c r="BC111" i="20" s="1"/>
  <c r="BD76" i="20"/>
  <c r="AA122" i="13" s="1"/>
  <c r="BD77" i="20"/>
  <c r="AA123" i="13" s="1"/>
  <c r="BC96" i="20"/>
  <c r="BF42" i="12"/>
  <c r="BF43" i="12"/>
  <c r="AD61" i="13" s="1"/>
  <c r="BF44" i="12"/>
  <c r="AD62" i="13" s="1"/>
  <c r="BF45" i="12"/>
  <c r="AD63" i="13" s="1"/>
  <c r="BB106" i="20"/>
  <c r="BA75" i="20"/>
  <c r="AZ114" i="20"/>
  <c r="AM43" i="15"/>
  <c r="AI43" i="15"/>
  <c r="AP43" i="15"/>
  <c r="AO43" i="15"/>
  <c r="AJ43" i="15"/>
  <c r="AK43" i="15"/>
  <c r="AF43" i="15"/>
  <c r="BF52" i="20"/>
  <c r="AS91" i="16"/>
  <c r="AT91" i="16"/>
  <c r="AU6" i="22"/>
  <c r="AU7" i="22"/>
  <c r="AU8" i="22"/>
  <c r="AV5" i="22"/>
  <c r="AU4" i="22"/>
  <c r="V4" i="22"/>
  <c r="U6" i="22"/>
  <c r="U7" i="22"/>
  <c r="AT51" i="22"/>
  <c r="AS51" i="22"/>
  <c r="AR51" i="22"/>
  <c r="AQ51" i="22"/>
  <c r="AP51" i="22"/>
  <c r="AO51" i="22"/>
  <c r="AN51" i="22"/>
  <c r="AM51" i="22"/>
  <c r="AL51" i="22"/>
  <c r="AK51" i="22"/>
  <c r="AJ51" i="22"/>
  <c r="AI51" i="22"/>
  <c r="AH51" i="22"/>
  <c r="AG51" i="22"/>
  <c r="AF51" i="22"/>
  <c r="AE51" i="22"/>
  <c r="D52" i="22"/>
  <c r="AT102" i="22"/>
  <c r="AS102" i="22"/>
  <c r="AR102" i="22"/>
  <c r="AQ102" i="22"/>
  <c r="AP102" i="22"/>
  <c r="AO102" i="22"/>
  <c r="AN102" i="22"/>
  <c r="AM102" i="22"/>
  <c r="AL102" i="22"/>
  <c r="AK102" i="22"/>
  <c r="AJ102" i="22"/>
  <c r="AI102" i="22"/>
  <c r="AH102" i="22"/>
  <c r="D103" i="22"/>
  <c r="AE102" i="22"/>
  <c r="AG102" i="22"/>
  <c r="AF102" i="22"/>
  <c r="BG54" i="20"/>
  <c r="BA89" i="20"/>
  <c r="BD65" i="20"/>
  <c r="AA113" i="13" s="1"/>
  <c r="BD64" i="20"/>
  <c r="AA112" i="13" s="1"/>
  <c r="BD63" i="20"/>
  <c r="BD62" i="20"/>
  <c r="AA110" i="13" s="1"/>
  <c r="BA96" i="20"/>
  <c r="BB79" i="20"/>
  <c r="Y125" i="13" s="1"/>
  <c r="BB78" i="20"/>
  <c r="Y124" i="13" s="1"/>
  <c r="BB80" i="20"/>
  <c r="Y126" i="13" s="1"/>
  <c r="BB93" i="20"/>
  <c r="Y137" i="13" s="1"/>
  <c r="BB94" i="20"/>
  <c r="Y138" i="13" s="1"/>
  <c r="BB92" i="20"/>
  <c r="Y136" i="13" s="1"/>
  <c r="BD99" i="20"/>
  <c r="AA142" i="13" s="1"/>
  <c r="BD101" i="20"/>
  <c r="AA144" i="13" s="1"/>
  <c r="BD100" i="20"/>
  <c r="AA143" i="13" s="1"/>
  <c r="BC60" i="20"/>
  <c r="BE81" i="20"/>
  <c r="AB127" i="13" s="1"/>
  <c r="BE102" i="20"/>
  <c r="AB145" i="13" s="1"/>
  <c r="BE88" i="20"/>
  <c r="AB133" i="13" s="1"/>
  <c r="BE95" i="20"/>
  <c r="AB139" i="13" s="1"/>
  <c r="BG57" i="20"/>
  <c r="BG97" i="20" s="1"/>
  <c r="AD140" i="13" s="1"/>
  <c r="BG56" i="20"/>
  <c r="BG55" i="20"/>
  <c r="BB68" i="20"/>
  <c r="AB154" i="13"/>
  <c r="AB163" i="13"/>
  <c r="BC115" i="20"/>
  <c r="BC73" i="20"/>
  <c r="Z120" i="13" s="1"/>
  <c r="BC71" i="20"/>
  <c r="Z118" i="13" s="1"/>
  <c r="BC72" i="20"/>
  <c r="Z119" i="13" s="1"/>
  <c r="BD70" i="20"/>
  <c r="AA117" i="13" s="1"/>
  <c r="BD61" i="20"/>
  <c r="AA109" i="13" s="1"/>
  <c r="BD69" i="20"/>
  <c r="AA116" i="13" s="1"/>
  <c r="BD10" i="20"/>
  <c r="BE29" i="20"/>
  <c r="BE14" i="20"/>
  <c r="BE32" i="20"/>
  <c r="BE24" i="20"/>
  <c r="BE13" i="20"/>
  <c r="BE12" i="20"/>
  <c r="BE35" i="20"/>
  <c r="BE27" i="20"/>
  <c r="BE74" i="20"/>
  <c r="AB121" i="13" s="1"/>
  <c r="BE30" i="20"/>
  <c r="BE18" i="20"/>
  <c r="BE26" i="20"/>
  <c r="BE25" i="20"/>
  <c r="BE33" i="20"/>
  <c r="BE11" i="20"/>
  <c r="BE34" i="20"/>
  <c r="BE16" i="20"/>
  <c r="BE22" i="20"/>
  <c r="BE20" i="20"/>
  <c r="BE17" i="20"/>
  <c r="BE31" i="20"/>
  <c r="BE21" i="20"/>
  <c r="BE15" i="20"/>
  <c r="BE23" i="20"/>
  <c r="BE19" i="20"/>
  <c r="BE28" i="20"/>
  <c r="BF4" i="20"/>
  <c r="BF8" i="20"/>
  <c r="BF112" i="20" s="1"/>
  <c r="BF6" i="20"/>
  <c r="BF7" i="20"/>
  <c r="BG5" i="20"/>
  <c r="AB164" i="13"/>
  <c r="AS91" i="15"/>
  <c r="AT91" i="15"/>
  <c r="AG4" i="20"/>
  <c r="AF7" i="20"/>
  <c r="AF6" i="20"/>
  <c r="BH53" i="20"/>
  <c r="AW57" i="17" a="1"/>
  <c r="AW57" i="17" s="1"/>
  <c r="S57" i="17" s="1"/>
  <c r="AW56" i="17" a="1"/>
  <c r="AW56" i="17" s="1"/>
  <c r="S56" i="17" s="1"/>
  <c r="AW55" i="17" a="1"/>
  <c r="AW55" i="17" s="1"/>
  <c r="S55" i="17" s="1"/>
  <c r="AW54" i="17" a="1"/>
  <c r="AW54" i="17" s="1"/>
  <c r="S54" i="17" s="1"/>
  <c r="AW53" i="17" a="1"/>
  <c r="AW53" i="17" s="1"/>
  <c r="S53" i="17" s="1"/>
  <c r="AW52" i="17" a="1"/>
  <c r="AW52" i="17" s="1"/>
  <c r="S52" i="17" s="1"/>
  <c r="AW51" i="17" a="1"/>
  <c r="AW51" i="17" s="1"/>
  <c r="S51" i="17" s="1"/>
  <c r="AW50" i="17" a="1"/>
  <c r="AW50" i="17" s="1"/>
  <c r="S50" i="17" s="1"/>
  <c r="AW49" i="17" a="1"/>
  <c r="AW49" i="17" s="1"/>
  <c r="S49" i="17" s="1"/>
  <c r="AW141" i="17"/>
  <c r="AW48" i="17" a="1"/>
  <c r="AW48" i="17" s="1"/>
  <c r="AW140" i="17"/>
  <c r="AW139" i="17"/>
  <c r="AW45" i="17" a="1"/>
  <c r="AW45" i="17" s="1"/>
  <c r="AW137" i="17"/>
  <c r="AW47" i="17" a="1"/>
  <c r="AW47" i="17" s="1"/>
  <c r="AW136" i="17"/>
  <c r="AW138" i="17"/>
  <c r="AW46" i="17" a="1"/>
  <c r="AW46" i="17" s="1"/>
  <c r="AX7" i="17"/>
  <c r="AX8" i="17"/>
  <c r="AX6" i="17"/>
  <c r="AX4" i="17"/>
  <c r="AY5" i="17"/>
  <c r="AO93" i="16"/>
  <c r="AM93" i="16"/>
  <c r="AK93" i="16"/>
  <c r="AI93" i="16"/>
  <c r="AG93" i="16"/>
  <c r="AN93" i="16"/>
  <c r="AL93" i="16"/>
  <c r="AJ93" i="16"/>
  <c r="AH93" i="16"/>
  <c r="AF93" i="16"/>
  <c r="BF20" i="16"/>
  <c r="E92" i="16" a="1"/>
  <c r="E92" i="16" s="1"/>
  <c r="AT92" i="16" s="1"/>
  <c r="AT43" i="16"/>
  <c r="AT93" i="16"/>
  <c r="AQ93" i="16"/>
  <c r="AS93" i="16"/>
  <c r="AP93" i="16"/>
  <c r="AR93" i="16"/>
  <c r="AS41" i="15"/>
  <c r="AT41" i="15"/>
  <c r="AN43" i="15"/>
  <c r="AG43" i="15"/>
  <c r="AL43" i="15"/>
  <c r="AT43" i="15"/>
  <c r="AU91" i="16"/>
  <c r="AU36" i="16"/>
  <c r="AU78" i="16"/>
  <c r="AU33" i="16"/>
  <c r="AU30" i="16"/>
  <c r="AU37" i="16"/>
  <c r="AU28" i="16"/>
  <c r="AU40" i="16"/>
  <c r="AU35" i="16"/>
  <c r="AU38" i="16"/>
  <c r="AU34" i="16"/>
  <c r="AU29" i="16"/>
  <c r="AU80" i="16"/>
  <c r="AU81" i="16"/>
  <c r="AU82" i="16"/>
  <c r="AU84" i="16"/>
  <c r="AU85" i="16"/>
  <c r="AU86" i="16"/>
  <c r="AU87" i="16"/>
  <c r="AU88" i="16"/>
  <c r="AU90" i="16"/>
  <c r="AU31" i="16"/>
  <c r="AU39" i="16"/>
  <c r="AU32" i="16"/>
  <c r="AU79" i="16"/>
  <c r="AU83" i="16"/>
  <c r="AU89" i="16"/>
  <c r="AU41" i="16"/>
  <c r="AU15" i="16"/>
  <c r="AU14" i="16" s="1"/>
  <c r="AU11" i="16"/>
  <c r="AU19" i="16"/>
  <c r="AU18" i="16" s="1"/>
  <c r="AW5" i="16"/>
  <c r="AV6" i="16"/>
  <c r="AV7" i="16"/>
  <c r="AV4" i="16"/>
  <c r="AV8" i="16"/>
  <c r="AB155" i="13"/>
  <c r="AS41" i="16"/>
  <c r="AT41" i="16"/>
  <c r="AV4" i="15"/>
  <c r="AV6" i="15"/>
  <c r="AV7" i="15"/>
  <c r="AW5" i="15"/>
  <c r="AV8" i="15"/>
  <c r="AN44" i="15" s="1"/>
  <c r="AU91" i="15"/>
  <c r="AH43" i="15"/>
  <c r="AR43" i="15"/>
  <c r="AQ43" i="15"/>
  <c r="AU90" i="15"/>
  <c r="AU89" i="15"/>
  <c r="AU87" i="15"/>
  <c r="AU88" i="15"/>
  <c r="AU86" i="15"/>
  <c r="AU41" i="15"/>
  <c r="AU85" i="15"/>
  <c r="AU84" i="15"/>
  <c r="AU40" i="15"/>
  <c r="AU83" i="15"/>
  <c r="AU39" i="15"/>
  <c r="AU82" i="15"/>
  <c r="AU38" i="15"/>
  <c r="AU37" i="15"/>
  <c r="AU81" i="15"/>
  <c r="AU36" i="15"/>
  <c r="AU80" i="15"/>
  <c r="AU35" i="15"/>
  <c r="AU79" i="15"/>
  <c r="AU34" i="15"/>
  <c r="AU33" i="15"/>
  <c r="AU11" i="15" a="1"/>
  <c r="AU11" i="15" s="1"/>
  <c r="AU30" i="15"/>
  <c r="AU31" i="15"/>
  <c r="AU78" i="15"/>
  <c r="AU29" i="15"/>
  <c r="AU15" i="15" a="1"/>
  <c r="AU15" i="15" s="1"/>
  <c r="AU32" i="15"/>
  <c r="AU19" i="15" a="1"/>
  <c r="AU19" i="15" s="1"/>
  <c r="AU28" i="15"/>
  <c r="AT14" i="15"/>
  <c r="AT18" i="15"/>
  <c r="AC8" i="17"/>
  <c r="AQ93" i="15"/>
  <c r="AM93" i="15"/>
  <c r="AG93" i="15"/>
  <c r="AT93" i="15"/>
  <c r="AS93" i="15"/>
  <c r="AR93" i="15"/>
  <c r="AP93" i="15"/>
  <c r="AJ93" i="15"/>
  <c r="AH93" i="15"/>
  <c r="AF93" i="15"/>
  <c r="AO93" i="15"/>
  <c r="AN93" i="15"/>
  <c r="AL93" i="15"/>
  <c r="AK93" i="15"/>
  <c r="AI93" i="15"/>
  <c r="AS43" i="15"/>
  <c r="D62" i="17"/>
  <c r="D153" i="17"/>
  <c r="AU152" i="17"/>
  <c r="AT152" i="17"/>
  <c r="AS152" i="17"/>
  <c r="AR152" i="17"/>
  <c r="AQ152" i="17"/>
  <c r="AP152" i="17"/>
  <c r="AO152" i="17"/>
  <c r="AN152" i="17"/>
  <c r="AM152" i="17"/>
  <c r="AL152" i="17"/>
  <c r="AK152" i="17"/>
  <c r="AJ152" i="17"/>
  <c r="AI152" i="17"/>
  <c r="AH152" i="17"/>
  <c r="AG152" i="17"/>
  <c r="AF152" i="17"/>
  <c r="AQ62" i="14"/>
  <c r="AF62" i="14"/>
  <c r="AK62" i="14"/>
  <c r="AJ62" i="14"/>
  <c r="AR62" i="14"/>
  <c r="AG62" i="14"/>
  <c r="AM62" i="14"/>
  <c r="AH62" i="14"/>
  <c r="AO62" i="14"/>
  <c r="AS62" i="14"/>
  <c r="AL62" i="14"/>
  <c r="AI62" i="14"/>
  <c r="AP62" i="14"/>
  <c r="AN62" i="14"/>
  <c r="AU49" i="14"/>
  <c r="AU50" i="14"/>
  <c r="AU48" i="14"/>
  <c r="AU47" i="14"/>
  <c r="AV6" i="14"/>
  <c r="AV7" i="14"/>
  <c r="AV8" i="14"/>
  <c r="AW5" i="14"/>
  <c r="AV4" i="14"/>
  <c r="W4" i="16"/>
  <c r="V7" i="16"/>
  <c r="V6" i="16"/>
  <c r="AN10" i="16"/>
  <c r="D61" i="16"/>
  <c r="D95" i="16"/>
  <c r="D50" i="15"/>
  <c r="W4" i="15"/>
  <c r="V7" i="15"/>
  <c r="V6" i="15"/>
  <c r="AN10" i="15"/>
  <c r="D95" i="15"/>
  <c r="AB150" i="13"/>
  <c r="AB159" i="13"/>
  <c r="W4" i="14"/>
  <c r="V7" i="14"/>
  <c r="V6" i="14"/>
  <c r="D67" i="14"/>
  <c r="AT4" i="9"/>
  <c r="AU5" i="9"/>
  <c r="AT8" i="9"/>
  <c r="AT6" i="9"/>
  <c r="AT7" i="9"/>
  <c r="AS6" i="11"/>
  <c r="AS8" i="11"/>
  <c r="AS4" i="11"/>
  <c r="AS7" i="11"/>
  <c r="AT5" i="11"/>
  <c r="BF106" i="12"/>
  <c r="AD105" i="13" s="1"/>
  <c r="BF105" i="12"/>
  <c r="AD104" i="13" s="1"/>
  <c r="BF104" i="12"/>
  <c r="BF103" i="12"/>
  <c r="AD102" i="13" s="1"/>
  <c r="BF102" i="12"/>
  <c r="AD101" i="13" s="1"/>
  <c r="BF101" i="12"/>
  <c r="BF90" i="12"/>
  <c r="BF97" i="12"/>
  <c r="AD99" i="13" s="1"/>
  <c r="BF96" i="12"/>
  <c r="BF94" i="12"/>
  <c r="AD96" i="13" s="1"/>
  <c r="BF93" i="12"/>
  <c r="AD95" i="13" s="1"/>
  <c r="BF92" i="12"/>
  <c r="BF89" i="12"/>
  <c r="BF95" i="12"/>
  <c r="AD97" i="13" s="1"/>
  <c r="BF91" i="12"/>
  <c r="AD93" i="13" s="1"/>
  <c r="BF83" i="12"/>
  <c r="AD88" i="13" s="1"/>
  <c r="BF82" i="12"/>
  <c r="AD87" i="13" s="1"/>
  <c r="BF80" i="12"/>
  <c r="BF79" i="12"/>
  <c r="AD84" i="13" s="1"/>
  <c r="BF76" i="12"/>
  <c r="BF75" i="12"/>
  <c r="BF85" i="12"/>
  <c r="AD90" i="13" s="1"/>
  <c r="BF73" i="12"/>
  <c r="AD77" i="13" s="1"/>
  <c r="BF81" i="12"/>
  <c r="AD86" i="13" s="1"/>
  <c r="BF78" i="12"/>
  <c r="AD83" i="13" s="1"/>
  <c r="BF77" i="12"/>
  <c r="AD82" i="13" s="1"/>
  <c r="BF84" i="12"/>
  <c r="AD89" i="13" s="1"/>
  <c r="BF64" i="12"/>
  <c r="AD74" i="13" s="1"/>
  <c r="BF59" i="12"/>
  <c r="AD72" i="13" s="1"/>
  <c r="BF58" i="12"/>
  <c r="BF50" i="12"/>
  <c r="AD68" i="13" s="1"/>
  <c r="BF49" i="12"/>
  <c r="AD67" i="13" s="1"/>
  <c r="BF48" i="12"/>
  <c r="BF47" i="12"/>
  <c r="AD65" i="13" s="1"/>
  <c r="BF46" i="12"/>
  <c r="AD64" i="13" s="1"/>
  <c r="BF32" i="12"/>
  <c r="AD50" i="13" s="1"/>
  <c r="BF31" i="12"/>
  <c r="AD49" i="13" s="1"/>
  <c r="BF29" i="12"/>
  <c r="BF51" i="12"/>
  <c r="AD69" i="13" s="1"/>
  <c r="BF41" i="12"/>
  <c r="AD59" i="13" s="1"/>
  <c r="BF40" i="12"/>
  <c r="AD58" i="13" s="1"/>
  <c r="BF39" i="12"/>
  <c r="AD57" i="13" s="1"/>
  <c r="BF38" i="12"/>
  <c r="AD56" i="13" s="1"/>
  <c r="BF37" i="12"/>
  <c r="AD55" i="13" s="1"/>
  <c r="BF36" i="12"/>
  <c r="BF35" i="12"/>
  <c r="AD53" i="13" s="1"/>
  <c r="BF34" i="12"/>
  <c r="AD52" i="13" s="1"/>
  <c r="BF33" i="12"/>
  <c r="AD51" i="13" s="1"/>
  <c r="BF30" i="12"/>
  <c r="AD48" i="13" s="1"/>
  <c r="BF28" i="12"/>
  <c r="BF52" i="12"/>
  <c r="AD70" i="13" s="1"/>
  <c r="BF21" i="12"/>
  <c r="AD45" i="13" s="1"/>
  <c r="BF20" i="12"/>
  <c r="AD44" i="13" s="1"/>
  <c r="AW90" i="30" s="1"/>
  <c r="S90" i="30" s="1"/>
  <c r="BF19" i="12"/>
  <c r="AD43" i="13" s="1"/>
  <c r="BF18" i="12"/>
  <c r="BF13" i="12"/>
  <c r="AD40" i="13" s="1"/>
  <c r="BF14" i="12"/>
  <c r="AD41" i="13" s="1"/>
  <c r="BF12" i="12"/>
  <c r="BF4" i="12"/>
  <c r="BF8" i="12"/>
  <c r="BG5" i="12"/>
  <c r="BG63" i="12" s="1"/>
  <c r="BF7" i="12"/>
  <c r="BF6" i="12"/>
  <c r="AC7" i="13"/>
  <c r="AD5" i="13"/>
  <c r="AC4" i="13"/>
  <c r="AC8" i="13"/>
  <c r="AC6" i="13"/>
  <c r="AE4" i="12"/>
  <c r="AD7" i="12"/>
  <c r="AD6" i="12"/>
  <c r="T4" i="11"/>
  <c r="S7" i="11"/>
  <c r="S6" i="11"/>
  <c r="AT8" i="10"/>
  <c r="AT7" i="10"/>
  <c r="AU5" i="10"/>
  <c r="AT4" i="10"/>
  <c r="AT6" i="10"/>
  <c r="AA8" i="10"/>
  <c r="BB50" i="8"/>
  <c r="BB48" i="8"/>
  <c r="BC49" i="8"/>
  <c r="BB51" i="8"/>
  <c r="BB52" i="8"/>
  <c r="U4" i="9"/>
  <c r="T7" i="9"/>
  <c r="T6" i="9"/>
  <c r="AC74" i="8"/>
  <c r="AB77" i="8"/>
  <c r="AB76" i="8"/>
  <c r="AC48" i="8"/>
  <c r="AB51" i="8"/>
  <c r="AB50" i="8"/>
  <c r="AB10" i="8"/>
  <c r="AC7" i="8"/>
  <c r="AB9" i="8"/>
  <c r="BD8" i="8"/>
  <c r="BC7" i="8"/>
  <c r="BC15" i="8" s="1" a="1"/>
  <c r="BC15" i="8" s="1"/>
  <c r="BC11" i="8"/>
  <c r="BC10" i="8"/>
  <c r="BC9" i="8"/>
  <c r="BB74" i="8"/>
  <c r="BC75" i="8"/>
  <c r="BB78" i="8"/>
  <c r="BB77" i="8"/>
  <c r="BB76" i="8"/>
  <c r="AH58" i="17" l="1" a="1"/>
  <c r="AH58" i="17" s="1"/>
  <c r="N58" i="17" s="1"/>
  <c r="AR58" i="17" a="1"/>
  <c r="AR58" i="17" s="1"/>
  <c r="AT58" i="17" a="1"/>
  <c r="AT58" i="17" s="1"/>
  <c r="R58" i="17" s="1"/>
  <c r="AU58" i="17" a="1"/>
  <c r="AU58" i="17" s="1"/>
  <c r="AG58" i="17" a="1"/>
  <c r="AG58" i="17" s="1"/>
  <c r="AW58" i="17" a="1"/>
  <c r="AW58" i="17" s="1"/>
  <c r="S58" i="17" s="1"/>
  <c r="AJ58" i="17" a="1"/>
  <c r="AJ58" i="17" s="1"/>
  <c r="AK58" i="17" a="1"/>
  <c r="AK58" i="17" s="1"/>
  <c r="O58" i="17" s="1"/>
  <c r="AS58" i="17" a="1"/>
  <c r="AS58" i="17" s="1"/>
  <c r="AL58" i="17" a="1"/>
  <c r="AL58" i="17" s="1"/>
  <c r="AM58" i="17" a="1"/>
  <c r="AM58" i="17" s="1"/>
  <c r="AI58" i="17" a="1"/>
  <c r="AI58" i="17" s="1"/>
  <c r="AS42" i="17"/>
  <c r="BD86" i="20"/>
  <c r="AA131" i="13" s="1"/>
  <c r="AA128" i="13"/>
  <c r="Y115" i="13"/>
  <c r="AB63" i="20"/>
  <c r="AA111" i="13"/>
  <c r="AA108" i="13" s="1"/>
  <c r="Z108" i="13"/>
  <c r="AC96" i="8"/>
  <c r="AC97" i="8" s="1"/>
  <c r="AB99" i="8"/>
  <c r="AD80" i="13"/>
  <c r="AD24" i="13" a="1"/>
  <c r="AD24" i="13" s="1"/>
  <c r="AX105" i="17"/>
  <c r="AW107" i="17"/>
  <c r="AW109" i="17" s="1"/>
  <c r="AW103" i="17" s="1"/>
  <c r="AD81" i="13"/>
  <c r="AD27" i="13" a="1"/>
  <c r="AD27" i="13" s="1"/>
  <c r="AW99" i="17"/>
  <c r="AW101" i="17" s="1"/>
  <c r="AW96" i="17" s="1"/>
  <c r="AD46" i="13"/>
  <c r="AD16" i="13" a="1"/>
  <c r="AD16" i="13" s="1"/>
  <c r="AD100" i="13"/>
  <c r="AD33" i="13" a="1"/>
  <c r="AD33" i="13" s="1"/>
  <c r="AD66" i="13"/>
  <c r="AD19" i="13" a="1"/>
  <c r="AD19" i="13" s="1"/>
  <c r="AD85" i="13"/>
  <c r="AD28" i="13" a="1"/>
  <c r="AD28" i="13" s="1"/>
  <c r="AD92" i="13"/>
  <c r="AD30" i="13" a="1"/>
  <c r="AD30" i="13" s="1"/>
  <c r="AD103" i="13"/>
  <c r="AD34" i="13" a="1"/>
  <c r="AD34" i="13" s="1"/>
  <c r="AD60" i="13"/>
  <c r="AD17" i="13" a="1"/>
  <c r="AD17" i="13" s="1"/>
  <c r="AD71" i="13"/>
  <c r="AD21" i="13" a="1"/>
  <c r="AD21" i="13" s="1"/>
  <c r="AD151" i="13" s="1"/>
  <c r="AD54" i="13"/>
  <c r="AD18" i="13" a="1"/>
  <c r="AD18" i="13" s="1"/>
  <c r="AD38" i="13"/>
  <c r="AD12" i="13" a="1"/>
  <c r="AD12" i="13" s="1"/>
  <c r="AD148" i="13" s="1"/>
  <c r="AD94" i="13"/>
  <c r="AD32" i="13" a="1"/>
  <c r="AD32" i="13" s="1"/>
  <c r="AD42" i="13"/>
  <c r="AD15" i="13" a="1"/>
  <c r="AD15" i="13" s="1"/>
  <c r="AD149" i="13" s="1"/>
  <c r="AD98" i="13"/>
  <c r="AD31" i="13" a="1"/>
  <c r="AD31" i="13" s="1"/>
  <c r="AD91" i="13"/>
  <c r="AD29" i="13" a="1"/>
  <c r="AD29" i="13" s="1"/>
  <c r="AD47" i="13"/>
  <c r="AD13" i="13" a="1"/>
  <c r="AD13" i="13" s="1"/>
  <c r="BD85" i="20"/>
  <c r="AA130" i="13" s="1"/>
  <c r="BC82" i="20"/>
  <c r="BD87" i="20"/>
  <c r="AA132" i="13" s="1"/>
  <c r="BE107" i="20"/>
  <c r="BE110" i="20" s="1"/>
  <c r="AJ44" i="15"/>
  <c r="AO44" i="15"/>
  <c r="BG52" i="20"/>
  <c r="AL44" i="15"/>
  <c r="AH44" i="15"/>
  <c r="Q58" i="17"/>
  <c r="H58" i="17"/>
  <c r="BD111" i="20" a="1"/>
  <c r="BD111" i="20" s="1"/>
  <c r="BD109" i="20" a="1"/>
  <c r="BD109" i="20" s="1"/>
  <c r="BD110" i="20"/>
  <c r="AU44" i="15"/>
  <c r="BE83" i="20"/>
  <c r="AU92" i="16"/>
  <c r="BE90" i="20"/>
  <c r="AB134" i="13" s="1"/>
  <c r="BE108" i="20"/>
  <c r="AI44" i="15"/>
  <c r="BE91" i="20"/>
  <c r="AB135" i="13" s="1"/>
  <c r="AB62" i="20"/>
  <c r="AT41" i="17"/>
  <c r="E59" i="17" s="1" a="1"/>
  <c r="E59" i="17" s="1"/>
  <c r="AX59" i="17" s="1" a="1"/>
  <c r="AX59" i="17" s="1"/>
  <c r="BE76" i="20"/>
  <c r="AB122" i="13" s="1"/>
  <c r="BE77" i="20"/>
  <c r="AB123" i="13" s="1"/>
  <c r="BB75" i="20"/>
  <c r="U8" i="22"/>
  <c r="BG42" i="12"/>
  <c r="BG43" i="12"/>
  <c r="AE61" i="13" s="1"/>
  <c r="BG44" i="12"/>
  <c r="AE62" i="13" s="1"/>
  <c r="BG45" i="12"/>
  <c r="AE63" i="13" s="1"/>
  <c r="BD96" i="20"/>
  <c r="AC159" i="13"/>
  <c r="AV6" i="22"/>
  <c r="AV7" i="22"/>
  <c r="AW5" i="22"/>
  <c r="AV4" i="22"/>
  <c r="AV8" i="22"/>
  <c r="V5" i="22"/>
  <c r="AU52" i="22"/>
  <c r="AT52" i="22"/>
  <c r="AS52" i="22"/>
  <c r="AR52" i="22"/>
  <c r="AQ52" i="22"/>
  <c r="AP52" i="22"/>
  <c r="AO52" i="22"/>
  <c r="AN52" i="22"/>
  <c r="AM52" i="22"/>
  <c r="AL52" i="22"/>
  <c r="AK52" i="22"/>
  <c r="AJ52" i="22"/>
  <c r="AI52" i="22"/>
  <c r="AH52" i="22"/>
  <c r="AE52" i="22"/>
  <c r="AF52" i="22"/>
  <c r="AG52" i="22"/>
  <c r="D53" i="22"/>
  <c r="AU103" i="22"/>
  <c r="AT103" i="22"/>
  <c r="AS103" i="22"/>
  <c r="AR103" i="22"/>
  <c r="AQ103" i="22"/>
  <c r="AP103" i="22"/>
  <c r="AO103" i="22"/>
  <c r="AN103" i="22"/>
  <c r="AM103" i="22"/>
  <c r="AL103" i="22"/>
  <c r="AK103" i="22"/>
  <c r="AJ103" i="22"/>
  <c r="AI103" i="22"/>
  <c r="AH103" i="22"/>
  <c r="D104" i="22"/>
  <c r="AG103" i="22"/>
  <c r="AF103" i="22"/>
  <c r="AE103" i="22"/>
  <c r="BA114" i="20"/>
  <c r="AC164" i="13"/>
  <c r="AC155" i="13"/>
  <c r="AC154" i="13"/>
  <c r="BD60" i="20"/>
  <c r="BH54" i="20"/>
  <c r="BE65" i="20"/>
  <c r="AB113" i="13" s="1"/>
  <c r="BE64" i="20"/>
  <c r="AB112" i="13" s="1"/>
  <c r="BE63" i="20"/>
  <c r="AB111" i="13" s="1"/>
  <c r="BE62" i="20"/>
  <c r="BB89" i="20"/>
  <c r="BE99" i="20"/>
  <c r="AB142" i="13" s="1"/>
  <c r="BE100" i="20"/>
  <c r="AB143" i="13" s="1"/>
  <c r="BE101" i="20"/>
  <c r="AB144" i="13" s="1"/>
  <c r="BF81" i="20"/>
  <c r="AC127" i="13" s="1"/>
  <c r="BF88" i="20"/>
  <c r="AC133" i="13" s="1"/>
  <c r="BF102" i="20"/>
  <c r="AC145" i="13" s="1"/>
  <c r="BF95" i="20"/>
  <c r="AC139" i="13" s="1"/>
  <c r="BH57" i="20"/>
  <c r="BH97" i="20" s="1"/>
  <c r="AE140" i="13" s="1"/>
  <c r="BH56" i="20"/>
  <c r="BH55" i="20"/>
  <c r="BC106" i="20"/>
  <c r="BC68" i="20"/>
  <c r="BD115" i="20"/>
  <c r="BD72" i="20"/>
  <c r="AA119" i="13" s="1"/>
  <c r="BD73" i="20"/>
  <c r="AA120" i="13" s="1"/>
  <c r="BD71" i="20"/>
  <c r="AA118" i="13" s="1"/>
  <c r="BE61" i="20"/>
  <c r="AB109" i="13" s="1"/>
  <c r="BE69" i="20"/>
  <c r="AB116" i="13" s="1"/>
  <c r="BE10" i="20"/>
  <c r="BE70" i="20"/>
  <c r="AB117" i="13" s="1"/>
  <c r="BF35" i="20"/>
  <c r="BF23" i="20"/>
  <c r="BF32" i="20"/>
  <c r="BF28" i="20"/>
  <c r="BF26" i="20"/>
  <c r="BF14" i="20"/>
  <c r="BF21" i="20"/>
  <c r="BF19" i="20"/>
  <c r="BF15" i="20"/>
  <c r="BF13" i="20"/>
  <c r="BF11" i="20"/>
  <c r="BF17" i="20"/>
  <c r="BF16" i="20"/>
  <c r="BF33" i="20"/>
  <c r="BF12" i="20"/>
  <c r="BF34" i="20"/>
  <c r="BF18" i="20"/>
  <c r="BF29" i="20"/>
  <c r="BF31" i="20"/>
  <c r="BF27" i="20"/>
  <c r="BF25" i="20"/>
  <c r="BF30" i="20"/>
  <c r="BF24" i="20"/>
  <c r="BF20" i="20"/>
  <c r="BF22" i="20"/>
  <c r="BF74" i="20"/>
  <c r="AC121" i="13" s="1"/>
  <c r="BG4" i="20"/>
  <c r="BH5" i="20"/>
  <c r="BG6" i="20"/>
  <c r="BG7" i="20"/>
  <c r="BG8" i="20"/>
  <c r="BG112" i="20" s="1"/>
  <c r="AG5" i="20"/>
  <c r="BI53" i="20"/>
  <c r="AF8" i="20"/>
  <c r="AP44" i="15"/>
  <c r="AK44" i="15"/>
  <c r="AM44" i="15"/>
  <c r="AG44" i="15"/>
  <c r="AX58" i="17" a="1"/>
  <c r="AX58" i="17" s="1"/>
  <c r="AX57" i="17" a="1"/>
  <c r="AX57" i="17" s="1"/>
  <c r="AX56" i="17" a="1"/>
  <c r="AX56" i="17" s="1"/>
  <c r="AX55" i="17" a="1"/>
  <c r="AX55" i="17" s="1"/>
  <c r="AX54" i="17" a="1"/>
  <c r="AX54" i="17" s="1"/>
  <c r="AX53" i="17" a="1"/>
  <c r="AX53" i="17" s="1"/>
  <c r="AX52" i="17" a="1"/>
  <c r="AX52" i="17" s="1"/>
  <c r="AX51" i="17" a="1"/>
  <c r="AX51" i="17" s="1"/>
  <c r="AX50" i="17" a="1"/>
  <c r="AX50" i="17" s="1"/>
  <c r="AX142" i="17"/>
  <c r="AX49" i="17" a="1"/>
  <c r="AX49" i="17" s="1"/>
  <c r="AX141" i="17"/>
  <c r="AX45" i="17" a="1"/>
  <c r="AX45" i="17" s="1"/>
  <c r="AX137" i="17"/>
  <c r="AX138" i="17"/>
  <c r="AX136" i="17"/>
  <c r="AX46" i="17" a="1"/>
  <c r="AX46" i="17" s="1"/>
  <c r="AX140" i="17"/>
  <c r="AX48" i="17" a="1"/>
  <c r="AX48" i="17" s="1"/>
  <c r="AX47" i="17" a="1"/>
  <c r="AX47" i="17" s="1"/>
  <c r="AX139" i="17"/>
  <c r="AY8" i="17"/>
  <c r="AY6" i="17"/>
  <c r="AY7" i="17"/>
  <c r="AZ5" i="17"/>
  <c r="AY4" i="17"/>
  <c r="E93" i="16" a="1"/>
  <c r="E93" i="16" s="1"/>
  <c r="BG20" i="16"/>
  <c r="AW7" i="16"/>
  <c r="AW6" i="16"/>
  <c r="AW8" i="16"/>
  <c r="AV45" i="16" s="1"/>
  <c r="AW4" i="16"/>
  <c r="AX5" i="16"/>
  <c r="AV15" i="16"/>
  <c r="AV14" i="16" s="1"/>
  <c r="AV19" i="16"/>
  <c r="AV18" i="16" s="1"/>
  <c r="AV11" i="16"/>
  <c r="AV92" i="16"/>
  <c r="AV91" i="16"/>
  <c r="AV90" i="16"/>
  <c r="AV28" i="16"/>
  <c r="AV39" i="16"/>
  <c r="AV40" i="16"/>
  <c r="AV36" i="16"/>
  <c r="AV34" i="16"/>
  <c r="AV41" i="16"/>
  <c r="AV32" i="16"/>
  <c r="AV29" i="16"/>
  <c r="AV78" i="16"/>
  <c r="AV37" i="16"/>
  <c r="AV31" i="16"/>
  <c r="AV30" i="16"/>
  <c r="AV79" i="16"/>
  <c r="AV80" i="16"/>
  <c r="AV82" i="16"/>
  <c r="AV83" i="16"/>
  <c r="AV84" i="16"/>
  <c r="AV35" i="16"/>
  <c r="AV33" i="16"/>
  <c r="AV38" i="16"/>
  <c r="AV81" i="16"/>
  <c r="AV85" i="16"/>
  <c r="AV86" i="16"/>
  <c r="AV87" i="16"/>
  <c r="AV88" i="16"/>
  <c r="AV89" i="16"/>
  <c r="AX16" i="16"/>
  <c r="E43" i="16" a="1"/>
  <c r="E43" i="16" s="1"/>
  <c r="AT44" i="16"/>
  <c r="AS44" i="16"/>
  <c r="AU44" i="16"/>
  <c r="AR44" i="16"/>
  <c r="AU94" i="16"/>
  <c r="AT94" i="16"/>
  <c r="AS94" i="16"/>
  <c r="AR94" i="16"/>
  <c r="AQ94" i="16"/>
  <c r="AP94" i="16"/>
  <c r="AO94" i="16"/>
  <c r="AN94" i="16"/>
  <c r="AM94" i="16"/>
  <c r="AL94" i="16"/>
  <c r="AK94" i="16"/>
  <c r="AJ94" i="16"/>
  <c r="AI94" i="16"/>
  <c r="AH94" i="16"/>
  <c r="AG94" i="16"/>
  <c r="AF94" i="16"/>
  <c r="AQ44" i="16"/>
  <c r="AC163" i="13"/>
  <c r="AW4" i="15"/>
  <c r="AW6" i="15"/>
  <c r="AW7" i="15"/>
  <c r="AX5" i="15"/>
  <c r="AW8" i="15"/>
  <c r="AG45" i="15" s="1"/>
  <c r="AT44" i="15"/>
  <c r="AR44" i="15"/>
  <c r="AV91" i="15"/>
  <c r="AV90" i="15"/>
  <c r="AV89" i="15"/>
  <c r="AV87" i="15"/>
  <c r="AV88" i="15"/>
  <c r="AV86" i="15"/>
  <c r="AV41" i="15"/>
  <c r="AV85" i="15"/>
  <c r="AV84" i="15"/>
  <c r="AV40" i="15"/>
  <c r="AV83" i="15"/>
  <c r="AV39" i="15"/>
  <c r="AV38" i="15"/>
  <c r="AV37" i="15"/>
  <c r="AV82" i="15"/>
  <c r="AV81" i="15"/>
  <c r="AV36" i="15"/>
  <c r="AV80" i="15"/>
  <c r="AV35" i="15"/>
  <c r="AV79" i="15"/>
  <c r="AV34" i="15"/>
  <c r="AV15" i="15" a="1"/>
  <c r="AV15" i="15" s="1"/>
  <c r="AV14" i="15" s="1"/>
  <c r="AV19" i="15" a="1"/>
  <c r="AV19" i="15" s="1"/>
  <c r="AV18" i="15" s="1"/>
  <c r="AV29" i="15"/>
  <c r="AV30" i="15"/>
  <c r="AV31" i="15"/>
  <c r="AV32" i="15"/>
  <c r="AV78" i="15"/>
  <c r="AV33" i="15"/>
  <c r="AV11" i="15" a="1"/>
  <c r="AV11" i="15" s="1"/>
  <c r="AV28" i="15"/>
  <c r="E42" i="15" a="1"/>
  <c r="E42" i="15" s="1"/>
  <c r="AV42" i="15" s="1"/>
  <c r="AW16" i="15"/>
  <c r="E92" i="15" a="1"/>
  <c r="E92" i="15" s="1"/>
  <c r="AV92" i="15" s="1"/>
  <c r="BF20" i="15"/>
  <c r="V8" i="16"/>
  <c r="V8" i="15"/>
  <c r="AF94" i="15"/>
  <c r="AH94" i="15"/>
  <c r="AJ94" i="15"/>
  <c r="AM94" i="15"/>
  <c r="AO94" i="15"/>
  <c r="AQ94" i="15"/>
  <c r="AR94" i="15"/>
  <c r="AS94" i="15"/>
  <c r="AT94" i="15"/>
  <c r="AG94" i="15"/>
  <c r="AI94" i="15"/>
  <c r="AK94" i="15"/>
  <c r="AL94" i="15"/>
  <c r="AN94" i="15"/>
  <c r="AP94" i="15"/>
  <c r="AU94" i="15"/>
  <c r="AS44" i="15"/>
  <c r="AU14" i="15"/>
  <c r="AU18" i="15"/>
  <c r="D63" i="17"/>
  <c r="D154" i="17"/>
  <c r="AV153" i="17"/>
  <c r="AU153" i="17"/>
  <c r="AT153" i="17"/>
  <c r="AS153" i="17"/>
  <c r="AR153" i="17"/>
  <c r="AQ153" i="17"/>
  <c r="AP153" i="17"/>
  <c r="AO153" i="17"/>
  <c r="AN153" i="17"/>
  <c r="AM153" i="17"/>
  <c r="AL153" i="17"/>
  <c r="AK153" i="17"/>
  <c r="AJ153" i="17"/>
  <c r="AI153" i="17"/>
  <c r="AH153" i="17"/>
  <c r="AG153" i="17"/>
  <c r="AF153" i="17"/>
  <c r="AO63" i="14"/>
  <c r="AG63" i="14"/>
  <c r="AH63" i="14"/>
  <c r="AK63" i="14"/>
  <c r="AT63" i="14"/>
  <c r="AM63" i="14"/>
  <c r="AP63" i="14"/>
  <c r="AJ63" i="14"/>
  <c r="AF63" i="14"/>
  <c r="AN63" i="14"/>
  <c r="AQ63" i="14"/>
  <c r="AR63" i="14"/>
  <c r="AI63" i="14"/>
  <c r="AS63" i="14"/>
  <c r="AL63" i="14"/>
  <c r="AV47" i="14"/>
  <c r="AV48" i="14"/>
  <c r="AV49" i="14"/>
  <c r="AV50" i="14"/>
  <c r="AV51" i="14"/>
  <c r="AW6" i="14"/>
  <c r="AX5" i="14"/>
  <c r="AW7" i="14"/>
  <c r="AW8" i="14"/>
  <c r="AM64" i="14" s="1"/>
  <c r="AW4" i="14"/>
  <c r="AU63" i="14"/>
  <c r="W5" i="16"/>
  <c r="AO12" i="16"/>
  <c r="AN25" i="16"/>
  <c r="AN22" i="16"/>
  <c r="AN27" i="14" s="1"/>
  <c r="D62" i="16"/>
  <c r="D96" i="16"/>
  <c r="D51" i="15"/>
  <c r="W5" i="15"/>
  <c r="AN22" i="15"/>
  <c r="AN25" i="14" s="1"/>
  <c r="AN25" i="15"/>
  <c r="AO12" i="15"/>
  <c r="D96" i="15"/>
  <c r="AC150" i="13"/>
  <c r="W5" i="14"/>
  <c r="D68" i="14"/>
  <c r="V8" i="14"/>
  <c r="AU6" i="9"/>
  <c r="AU7" i="9"/>
  <c r="AU8" i="9"/>
  <c r="AU4" i="9"/>
  <c r="AV5" i="9"/>
  <c r="AT6" i="11"/>
  <c r="AT7" i="11"/>
  <c r="AT8" i="11"/>
  <c r="AT4" i="11"/>
  <c r="AU5" i="11"/>
  <c r="AA102" i="12"/>
  <c r="AA92" i="12"/>
  <c r="AA95" i="12"/>
  <c r="AA80" i="12"/>
  <c r="AA79" i="12"/>
  <c r="BG106" i="12"/>
  <c r="AE105" i="13" s="1"/>
  <c r="BG105" i="12"/>
  <c r="AE104" i="13" s="1"/>
  <c r="BG104" i="12"/>
  <c r="BG103" i="12"/>
  <c r="AE102" i="13" s="1"/>
  <c r="BG102" i="12"/>
  <c r="AE101" i="13" s="1"/>
  <c r="BG101" i="12"/>
  <c r="BG97" i="12"/>
  <c r="AE99" i="13" s="1"/>
  <c r="BG95" i="12"/>
  <c r="AE97" i="13" s="1"/>
  <c r="BG93" i="12"/>
  <c r="AE95" i="13" s="1"/>
  <c r="BG92" i="12"/>
  <c r="BG91" i="12"/>
  <c r="AE93" i="13" s="1"/>
  <c r="BG90" i="12"/>
  <c r="BG89" i="12"/>
  <c r="BG96" i="12"/>
  <c r="BG94" i="12"/>
  <c r="AE96" i="13" s="1"/>
  <c r="BG85" i="12"/>
  <c r="AE90" i="13" s="1"/>
  <c r="BG81" i="12"/>
  <c r="AE86" i="13" s="1"/>
  <c r="BG77" i="12"/>
  <c r="AE82" i="13" s="1"/>
  <c r="BG80" i="12"/>
  <c r="BG79" i="12"/>
  <c r="AE84" i="13" s="1"/>
  <c r="BG78" i="12"/>
  <c r="AE83" i="13" s="1"/>
  <c r="BG76" i="12"/>
  <c r="BG75" i="12"/>
  <c r="BG73" i="12"/>
  <c r="AE77" i="13" s="1"/>
  <c r="BG84" i="12"/>
  <c r="AE89" i="13" s="1"/>
  <c r="BG83" i="12"/>
  <c r="AE88" i="13" s="1"/>
  <c r="BG82" i="12"/>
  <c r="AE87" i="13" s="1"/>
  <c r="BG64" i="12"/>
  <c r="AE74" i="13" s="1"/>
  <c r="BG59" i="12"/>
  <c r="AE72" i="13" s="1"/>
  <c r="BG58" i="12"/>
  <c r="BG30" i="12"/>
  <c r="AE48" i="13" s="1"/>
  <c r="BG40" i="12"/>
  <c r="AE58" i="13" s="1"/>
  <c r="BG51" i="12"/>
  <c r="AE69" i="13" s="1"/>
  <c r="BG31" i="12"/>
  <c r="AE49" i="13" s="1"/>
  <c r="BG50" i="12"/>
  <c r="AE68" i="13" s="1"/>
  <c r="BG32" i="12"/>
  <c r="AE50" i="13" s="1"/>
  <c r="BG49" i="12"/>
  <c r="AE67" i="13" s="1"/>
  <c r="BG33" i="12"/>
  <c r="AE51" i="13" s="1"/>
  <c r="BG48" i="12"/>
  <c r="BG34" i="12"/>
  <c r="AE52" i="13" s="1"/>
  <c r="BG47" i="12"/>
  <c r="AE65" i="13" s="1"/>
  <c r="BG35" i="12"/>
  <c r="AE53" i="13" s="1"/>
  <c r="BG46" i="12"/>
  <c r="AE64" i="13" s="1"/>
  <c r="BG36" i="12"/>
  <c r="BG37" i="12"/>
  <c r="AE55" i="13" s="1"/>
  <c r="BG38" i="12"/>
  <c r="AE56" i="13" s="1"/>
  <c r="BG39" i="12"/>
  <c r="AE57" i="13" s="1"/>
  <c r="BG28" i="12"/>
  <c r="BG41" i="12"/>
  <c r="AE59" i="13" s="1"/>
  <c r="BG52" i="12"/>
  <c r="AE70" i="13" s="1"/>
  <c r="BG29" i="12"/>
  <c r="BG21" i="12"/>
  <c r="AE45" i="13" s="1"/>
  <c r="BG20" i="12"/>
  <c r="AE44" i="13" s="1"/>
  <c r="AX90" i="30" s="1"/>
  <c r="BG19" i="12"/>
  <c r="AE43" i="13" s="1"/>
  <c r="BG18" i="12"/>
  <c r="BG14" i="12"/>
  <c r="AE41" i="13" s="1"/>
  <c r="BG12" i="12"/>
  <c r="BG13" i="12"/>
  <c r="AE40" i="13" s="1"/>
  <c r="BG4" i="12"/>
  <c r="BG8" i="12"/>
  <c r="BH5" i="12"/>
  <c r="BH63" i="12" s="1"/>
  <c r="BG7" i="12"/>
  <c r="BG6" i="12"/>
  <c r="AD4" i="13"/>
  <c r="AD8" i="13"/>
  <c r="AD7" i="13"/>
  <c r="AE5" i="13"/>
  <c r="AD6" i="13"/>
  <c r="AD8" i="12"/>
  <c r="AE5" i="12"/>
  <c r="S8" i="11"/>
  <c r="T5" i="11"/>
  <c r="AU4" i="10"/>
  <c r="AU8" i="10"/>
  <c r="AU7" i="10"/>
  <c r="AU6" i="10"/>
  <c r="AV5" i="10"/>
  <c r="BC50" i="8"/>
  <c r="BD49" i="8"/>
  <c r="BC48" i="8"/>
  <c r="BC51" i="8"/>
  <c r="BC52" i="8"/>
  <c r="U5" i="9"/>
  <c r="T8" i="9"/>
  <c r="AB78" i="8"/>
  <c r="AB52" i="8"/>
  <c r="AB11" i="8"/>
  <c r="AC75" i="8"/>
  <c r="AC49" i="8"/>
  <c r="AC8" i="8"/>
  <c r="BD7" i="8"/>
  <c r="BD15" i="8" s="1" a="1"/>
  <c r="BD15" i="8" s="1"/>
  <c r="BE8" i="8"/>
  <c r="BD11" i="8"/>
  <c r="BD10" i="8"/>
  <c r="BD9" i="8"/>
  <c r="BC78" i="8"/>
  <c r="BC77" i="8"/>
  <c r="BC76" i="8"/>
  <c r="BC74" i="8"/>
  <c r="BD75" i="8"/>
  <c r="AU41" i="17" l="1"/>
  <c r="E60" i="17" s="1" a="1"/>
  <c r="E60" i="17" s="1"/>
  <c r="AS60" i="17" s="1" a="1"/>
  <c r="AS60" i="17" s="1"/>
  <c r="AB110" i="13"/>
  <c r="AB108" i="13" s="1"/>
  <c r="BE85" i="20"/>
  <c r="AB130" i="13" s="1"/>
  <c r="AB128" i="13"/>
  <c r="AD95" i="8"/>
  <c r="AC98" i="8"/>
  <c r="AC15" i="8" a="1"/>
  <c r="AC15" i="8" s="1"/>
  <c r="BB114" i="20"/>
  <c r="AY105" i="17"/>
  <c r="AX107" i="17"/>
  <c r="AX109" i="17" s="1"/>
  <c r="AX103" i="17" s="1"/>
  <c r="AE81" i="13"/>
  <c r="AE27" i="13" a="1"/>
  <c r="AE27" i="13" s="1"/>
  <c r="AE42" i="13"/>
  <c r="AE15" i="13" a="1"/>
  <c r="AE15" i="13" s="1"/>
  <c r="AE149" i="13" s="1"/>
  <c r="AE80" i="13"/>
  <c r="AE24" i="13" a="1"/>
  <c r="AE24" i="13" s="1"/>
  <c r="AE47" i="13"/>
  <c r="AE13" i="13" a="1"/>
  <c r="AE13" i="13" s="1"/>
  <c r="AE100" i="13"/>
  <c r="AE33" i="13" a="1"/>
  <c r="AE33" i="13" s="1"/>
  <c r="AE85" i="13"/>
  <c r="AE28" i="13" a="1"/>
  <c r="AE28" i="13" s="1"/>
  <c r="AE66" i="13"/>
  <c r="AE19" i="13" a="1"/>
  <c r="AE19" i="13" s="1"/>
  <c r="AE60" i="13"/>
  <c r="AE17" i="13" a="1"/>
  <c r="AE17" i="13" s="1"/>
  <c r="AE103" i="13"/>
  <c r="AE34" i="13" a="1"/>
  <c r="AE34" i="13" s="1"/>
  <c r="AE71" i="13"/>
  <c r="AE21" i="13" a="1"/>
  <c r="AE21" i="13" s="1"/>
  <c r="AE151" i="13" s="1"/>
  <c r="AE98" i="13"/>
  <c r="AE31" i="13" a="1"/>
  <c r="AE31" i="13" s="1"/>
  <c r="AX99" i="17"/>
  <c r="AX101" i="17" s="1"/>
  <c r="AX96" i="17" s="1"/>
  <c r="AE46" i="13"/>
  <c r="AE16" i="13" a="1"/>
  <c r="AE16" i="13" s="1"/>
  <c r="AE54" i="13"/>
  <c r="AE18" i="13" a="1"/>
  <c r="AE18" i="13" s="1"/>
  <c r="AE91" i="13"/>
  <c r="AE29" i="13" a="1"/>
  <c r="AE29" i="13" s="1"/>
  <c r="AE92" i="13"/>
  <c r="AE30" i="13" a="1"/>
  <c r="AE30" i="13" s="1"/>
  <c r="AE38" i="13"/>
  <c r="AE12" i="13" a="1"/>
  <c r="AE12" i="13" s="1"/>
  <c r="AE148" i="13" s="1"/>
  <c r="AE94" i="13"/>
  <c r="AE32" i="13" a="1"/>
  <c r="AE32" i="13" s="1"/>
  <c r="BD82" i="20"/>
  <c r="BE109" i="20" a="1"/>
  <c r="BE109" i="20" s="1"/>
  <c r="AT45" i="15"/>
  <c r="BE111" i="20" a="1"/>
  <c r="BE111" i="20" s="1"/>
  <c r="BE87" i="20"/>
  <c r="AB132" i="13" s="1"/>
  <c r="AV45" i="15"/>
  <c r="BE86" i="20"/>
  <c r="AB131" i="13" s="1"/>
  <c r="AT42" i="17"/>
  <c r="BF107" i="20"/>
  <c r="BF109" i="20" s="1" a="1"/>
  <c r="BF109" i="20" s="1"/>
  <c r="AM60" i="17" a="1"/>
  <c r="AM60" i="17" s="1"/>
  <c r="AL60" i="17" a="1"/>
  <c r="AL60" i="17" s="1"/>
  <c r="AF60" i="17" a="1"/>
  <c r="AF60" i="17" s="1"/>
  <c r="AF64" i="14"/>
  <c r="AL64" i="14"/>
  <c r="AN64" i="14"/>
  <c r="AS64" i="14"/>
  <c r="AK64" i="14"/>
  <c r="AT64" i="14"/>
  <c r="AG64" i="14"/>
  <c r="AM59" i="17" a="1"/>
  <c r="AM59" i="17" s="1"/>
  <c r="AL59" i="17" a="1"/>
  <c r="AL59" i="17" s="1"/>
  <c r="AR59" i="17" a="1"/>
  <c r="AR59" i="17" s="1"/>
  <c r="AK59" i="17" a="1"/>
  <c r="AK59" i="17" s="1"/>
  <c r="O59" i="17" s="1"/>
  <c r="AJ59" i="17" a="1"/>
  <c r="AJ59" i="17" s="1"/>
  <c r="AI59" i="17" a="1"/>
  <c r="AI59" i="17" s="1"/>
  <c r="AH59" i="17" a="1"/>
  <c r="AH59" i="17" s="1"/>
  <c r="N59" i="17" s="1"/>
  <c r="AG59" i="17" a="1"/>
  <c r="AG59" i="17" s="1"/>
  <c r="AV59" i="17" a="1"/>
  <c r="AV59" i="17" s="1"/>
  <c r="AF59" i="17" a="1"/>
  <c r="AF59" i="17" s="1"/>
  <c r="AU59" i="17" a="1"/>
  <c r="AU59" i="17" s="1"/>
  <c r="AS59" i="17" a="1"/>
  <c r="AS59" i="17" s="1"/>
  <c r="AT59" i="17" a="1"/>
  <c r="AT59" i="17" s="1"/>
  <c r="R59" i="17" s="1"/>
  <c r="AQ59" i="17" a="1"/>
  <c r="AQ59" i="17" s="1"/>
  <c r="AP59" i="17" a="1"/>
  <c r="AP59" i="17" s="1"/>
  <c r="AO59" i="17" a="1"/>
  <c r="AO59" i="17" s="1"/>
  <c r="AN59" i="17" a="1"/>
  <c r="AN59" i="17" s="1"/>
  <c r="P59" i="17" s="1"/>
  <c r="AW59" i="17" a="1"/>
  <c r="AW59" i="17" s="1"/>
  <c r="S59" i="17" s="1"/>
  <c r="BF90" i="20"/>
  <c r="AC134" i="13" s="1"/>
  <c r="BF108" i="20"/>
  <c r="BF83" i="20"/>
  <c r="BF76" i="20"/>
  <c r="AC122" i="13" s="1"/>
  <c r="BF77" i="20"/>
  <c r="AC123" i="13" s="1"/>
  <c r="BF91" i="20"/>
  <c r="AC135" i="13" s="1"/>
  <c r="BE96" i="20"/>
  <c r="BH42" i="12"/>
  <c r="BH43" i="12"/>
  <c r="AF61" i="13" s="1"/>
  <c r="BH44" i="12"/>
  <c r="AF62" i="13" s="1"/>
  <c r="BH45" i="12"/>
  <c r="AF63" i="13" s="1"/>
  <c r="BH52" i="20"/>
  <c r="AD164" i="13"/>
  <c r="AD155" i="13"/>
  <c r="AW7" i="22"/>
  <c r="AW6" i="22"/>
  <c r="AW4" i="22"/>
  <c r="AX5" i="22"/>
  <c r="AW8" i="22"/>
  <c r="AO64" i="14"/>
  <c r="AU64" i="14"/>
  <c r="AH64" i="14"/>
  <c r="AR64" i="14"/>
  <c r="AJ64" i="14"/>
  <c r="AI64" i="14"/>
  <c r="AP64" i="14"/>
  <c r="AQ64" i="14"/>
  <c r="W4" i="22"/>
  <c r="V7" i="22"/>
  <c r="V6" i="22"/>
  <c r="AV53" i="22"/>
  <c r="AU53" i="22"/>
  <c r="AT53" i="22"/>
  <c r="AS53" i="22"/>
  <c r="AR53" i="22"/>
  <c r="AQ53" i="22"/>
  <c r="AP53" i="22"/>
  <c r="AO53" i="22"/>
  <c r="AN53" i="22"/>
  <c r="AM53" i="22"/>
  <c r="AL53" i="22"/>
  <c r="AK53" i="22"/>
  <c r="AJ53" i="22"/>
  <c r="AI53" i="22"/>
  <c r="AH53" i="22"/>
  <c r="AG53" i="22"/>
  <c r="AF53" i="22"/>
  <c r="AE53" i="22"/>
  <c r="D54" i="22"/>
  <c r="AV104" i="22"/>
  <c r="AU104" i="22"/>
  <c r="AT104" i="22"/>
  <c r="AS104" i="22"/>
  <c r="AR104" i="22"/>
  <c r="AQ104" i="22"/>
  <c r="AP104" i="22"/>
  <c r="AO104" i="22"/>
  <c r="AN104" i="22"/>
  <c r="AM104" i="22"/>
  <c r="AL104" i="22"/>
  <c r="AK104" i="22"/>
  <c r="AJ104" i="22"/>
  <c r="AI104" i="22"/>
  <c r="AH104" i="22"/>
  <c r="D105" i="22"/>
  <c r="AG104" i="22"/>
  <c r="AF104" i="22"/>
  <c r="AE104" i="22"/>
  <c r="AD154" i="13"/>
  <c r="AU45" i="16"/>
  <c r="AS45" i="16"/>
  <c r="AT45" i="16"/>
  <c r="AG95" i="16"/>
  <c r="AF95" i="16"/>
  <c r="AD163" i="13"/>
  <c r="AR45" i="16"/>
  <c r="AQ45" i="16"/>
  <c r="BI54" i="20"/>
  <c r="BF65" i="20"/>
  <c r="AC113" i="13" s="1"/>
  <c r="BF64" i="20"/>
  <c r="AC112" i="13" s="1"/>
  <c r="BF63" i="20"/>
  <c r="AC111" i="13" s="1"/>
  <c r="BF62" i="20"/>
  <c r="BC79" i="20"/>
  <c r="Z125" i="13" s="1"/>
  <c r="BC80" i="20"/>
  <c r="Z126" i="13" s="1"/>
  <c r="BC78" i="20"/>
  <c r="Z124" i="13" s="1"/>
  <c r="BC92" i="20"/>
  <c r="Z136" i="13" s="1"/>
  <c r="BC93" i="20"/>
  <c r="Z137" i="13" s="1"/>
  <c r="BC94" i="20"/>
  <c r="Z138" i="13" s="1"/>
  <c r="BD79" i="20"/>
  <c r="AA125" i="13" s="1"/>
  <c r="BD80" i="20"/>
  <c r="AA126" i="13" s="1"/>
  <c r="BD78" i="20"/>
  <c r="AA124" i="13" s="1"/>
  <c r="BD93" i="20"/>
  <c r="AA137" i="13" s="1"/>
  <c r="BD94" i="20"/>
  <c r="AA138" i="13" s="1"/>
  <c r="BD92" i="20"/>
  <c r="AA136" i="13" s="1"/>
  <c r="BF99" i="20"/>
  <c r="AC142" i="13" s="1"/>
  <c r="BF101" i="20"/>
  <c r="AC144" i="13" s="1"/>
  <c r="BF100" i="20"/>
  <c r="AC143" i="13" s="1"/>
  <c r="BE60" i="20"/>
  <c r="BD68" i="20"/>
  <c r="BG88" i="20"/>
  <c r="AD133" i="13" s="1"/>
  <c r="BG81" i="20"/>
  <c r="AD127" i="13" s="1"/>
  <c r="BG95" i="20"/>
  <c r="AD139" i="13" s="1"/>
  <c r="BG102" i="20"/>
  <c r="AD145" i="13" s="1"/>
  <c r="BI57" i="20"/>
  <c r="BI97" i="20" s="1"/>
  <c r="AF140" i="13" s="1"/>
  <c r="BI56" i="20"/>
  <c r="BI55" i="20"/>
  <c r="BD106" i="20"/>
  <c r="BE115" i="20"/>
  <c r="AK45" i="15"/>
  <c r="AQ45" i="15"/>
  <c r="AS45" i="15"/>
  <c r="AJ45" i="15"/>
  <c r="AM45" i="15"/>
  <c r="AH45" i="15"/>
  <c r="AI45" i="15"/>
  <c r="AL45" i="15"/>
  <c r="BE73" i="20"/>
  <c r="AB120" i="13" s="1"/>
  <c r="BE71" i="20"/>
  <c r="AB118" i="13" s="1"/>
  <c r="BE72" i="20"/>
  <c r="AB119" i="13" s="1"/>
  <c r="BF69" i="20"/>
  <c r="AC116" i="13" s="1"/>
  <c r="BF61" i="20"/>
  <c r="AC109" i="13" s="1"/>
  <c r="BF10" i="20"/>
  <c r="BF70" i="20"/>
  <c r="AC117" i="13" s="1"/>
  <c r="BH4" i="20"/>
  <c r="BI5" i="20"/>
  <c r="BH8" i="20"/>
  <c r="BH112" i="20" s="1"/>
  <c r="BH6" i="20"/>
  <c r="BH7" i="20"/>
  <c r="BG12" i="20"/>
  <c r="BG32" i="20"/>
  <c r="BG27" i="20"/>
  <c r="BG18" i="20"/>
  <c r="BG26" i="20"/>
  <c r="BG21" i="20"/>
  <c r="BG22" i="20"/>
  <c r="BG17" i="20"/>
  <c r="BG13" i="20"/>
  <c r="BG35" i="20"/>
  <c r="BG30" i="20"/>
  <c r="BG74" i="20"/>
  <c r="AD121" i="13" s="1"/>
  <c r="BG28" i="20"/>
  <c r="BG23" i="20"/>
  <c r="BG11" i="20"/>
  <c r="BG31" i="20"/>
  <c r="BG29" i="20"/>
  <c r="BG20" i="20"/>
  <c r="BG34" i="20"/>
  <c r="BG25" i="20"/>
  <c r="BG15" i="20"/>
  <c r="BG33" i="20"/>
  <c r="BG19" i="20"/>
  <c r="BG14" i="20"/>
  <c r="BG16" i="20"/>
  <c r="BG24" i="20"/>
  <c r="BH20" i="16"/>
  <c r="E94" i="16" a="1"/>
  <c r="E94" i="16" s="1"/>
  <c r="AG7" i="20"/>
  <c r="AG6" i="20"/>
  <c r="AH4" i="20"/>
  <c r="BJ53" i="20"/>
  <c r="AY59" i="17" a="1"/>
  <c r="AY59" i="17" s="1"/>
  <c r="AY58" i="17" a="1"/>
  <c r="AY58" i="17" s="1"/>
  <c r="AY57" i="17" a="1"/>
  <c r="AY57" i="17" s="1"/>
  <c r="AY56" i="17" a="1"/>
  <c r="AY56" i="17" s="1"/>
  <c r="AY55" i="17" a="1"/>
  <c r="AY55" i="17" s="1"/>
  <c r="AY54" i="17" a="1"/>
  <c r="AY54" i="17" s="1"/>
  <c r="AY53" i="17" a="1"/>
  <c r="AY53" i="17" s="1"/>
  <c r="AY52" i="17" a="1"/>
  <c r="AY52" i="17" s="1"/>
  <c r="AY143" i="17"/>
  <c r="AY51" i="17" a="1"/>
  <c r="AY51" i="17" s="1"/>
  <c r="AY142" i="17"/>
  <c r="AY50" i="17" a="1"/>
  <c r="AY50" i="17" s="1"/>
  <c r="AY137" i="17"/>
  <c r="AY138" i="17"/>
  <c r="AY139" i="17"/>
  <c r="AY49" i="17" a="1"/>
  <c r="AY49" i="17" s="1"/>
  <c r="AY140" i="17"/>
  <c r="AY136" i="17"/>
  <c r="AY47" i="17" a="1"/>
  <c r="AY47" i="17" s="1"/>
  <c r="AY48" i="17" a="1"/>
  <c r="AY48" i="17" s="1"/>
  <c r="AY45" i="17" a="1"/>
  <c r="AY45" i="17" s="1"/>
  <c r="AY46" i="17" a="1"/>
  <c r="AY46" i="17" s="1"/>
  <c r="AY141" i="17"/>
  <c r="AZ8" i="17"/>
  <c r="BA5" i="17"/>
  <c r="AZ7" i="17"/>
  <c r="AZ4" i="17"/>
  <c r="AZ6" i="17"/>
  <c r="AY16" i="16"/>
  <c r="E44" i="16" a="1"/>
  <c r="E44" i="16" s="1"/>
  <c r="AU93" i="16"/>
  <c r="AV93" i="16"/>
  <c r="AW93" i="16"/>
  <c r="AW92" i="16"/>
  <c r="AW42" i="16"/>
  <c r="AW34" i="16"/>
  <c r="AW29" i="16"/>
  <c r="AW28" i="16"/>
  <c r="AW33" i="16"/>
  <c r="AW30" i="16"/>
  <c r="AW31" i="16"/>
  <c r="AW36" i="16"/>
  <c r="AW32" i="16"/>
  <c r="AW38" i="16"/>
  <c r="AW35" i="16"/>
  <c r="AW39" i="16"/>
  <c r="AW78" i="16"/>
  <c r="AW40" i="16"/>
  <c r="AW41" i="16"/>
  <c r="AW37" i="16"/>
  <c r="AW79" i="16"/>
  <c r="AW80" i="16"/>
  <c r="AW81" i="16"/>
  <c r="AW82" i="16"/>
  <c r="AW83" i="16"/>
  <c r="AW84" i="16"/>
  <c r="AW85" i="16"/>
  <c r="AW86" i="16"/>
  <c r="AW43" i="16"/>
  <c r="AW87" i="16"/>
  <c r="AW88" i="16"/>
  <c r="AW89" i="16"/>
  <c r="AW90" i="16"/>
  <c r="AW91" i="16"/>
  <c r="AW19" i="16"/>
  <c r="AW18" i="16" s="1"/>
  <c r="AW11" i="16"/>
  <c r="AW15" i="16"/>
  <c r="AW14" i="16" s="1"/>
  <c r="AZ16" i="16" s="1"/>
  <c r="AX6" i="16"/>
  <c r="AX7" i="16"/>
  <c r="AX8" i="16"/>
  <c r="AY5" i="16"/>
  <c r="AX4" i="16"/>
  <c r="AV95" i="16"/>
  <c r="AU95" i="16"/>
  <c r="AT95" i="16"/>
  <c r="AS95" i="16"/>
  <c r="AR95" i="16"/>
  <c r="AQ95" i="16"/>
  <c r="AP95" i="16"/>
  <c r="AO95" i="16"/>
  <c r="AN95" i="16"/>
  <c r="AM95" i="16"/>
  <c r="AL95" i="16"/>
  <c r="AK95" i="16"/>
  <c r="AJ95" i="16"/>
  <c r="AI95" i="16"/>
  <c r="AH95" i="16"/>
  <c r="AU43" i="16"/>
  <c r="AV43" i="16"/>
  <c r="AO45" i="15"/>
  <c r="AP45" i="15"/>
  <c r="AR45" i="15"/>
  <c r="AF45" i="15"/>
  <c r="BH20" i="15"/>
  <c r="E94" i="15" a="1"/>
  <c r="E94" i="15" s="1"/>
  <c r="AX4" i="15"/>
  <c r="AY5" i="15"/>
  <c r="AX6" i="15"/>
  <c r="AX7" i="15"/>
  <c r="AX8" i="15"/>
  <c r="AU45" i="15"/>
  <c r="AN45" i="15"/>
  <c r="AW91" i="15"/>
  <c r="AW92" i="15"/>
  <c r="AW90" i="15"/>
  <c r="AW89" i="15"/>
  <c r="AW87" i="15"/>
  <c r="AW88" i="15"/>
  <c r="AW86" i="15"/>
  <c r="AW42" i="15"/>
  <c r="AW85" i="15"/>
  <c r="AW41" i="15"/>
  <c r="AW84" i="15"/>
  <c r="AW40" i="15"/>
  <c r="AW39" i="15"/>
  <c r="AW83" i="15"/>
  <c r="AW38" i="15"/>
  <c r="AW37" i="15"/>
  <c r="AW82" i="15"/>
  <c r="AW81" i="15"/>
  <c r="AW36" i="15"/>
  <c r="AW80" i="15"/>
  <c r="AW35" i="15"/>
  <c r="AW79" i="15"/>
  <c r="AW34" i="15"/>
  <c r="AW28" i="15"/>
  <c r="AW29" i="15"/>
  <c r="AW30" i="15"/>
  <c r="AW31" i="15"/>
  <c r="AW32" i="15"/>
  <c r="AW15" i="15" a="1"/>
  <c r="AW15" i="15" s="1"/>
  <c r="AW11" i="15" a="1"/>
  <c r="AW11" i="15" s="1"/>
  <c r="AW78" i="15"/>
  <c r="AW33" i="15"/>
  <c r="AW19" i="15" a="1"/>
  <c r="AW19" i="15" s="1"/>
  <c r="E44" i="15" a="1"/>
  <c r="E44" i="15" s="1"/>
  <c r="AY16" i="15"/>
  <c r="AU42" i="15"/>
  <c r="AT42" i="15"/>
  <c r="AU92" i="15"/>
  <c r="AT92" i="15"/>
  <c r="E43" i="15" a="1"/>
  <c r="E43" i="15" s="1"/>
  <c r="AW43" i="15" s="1"/>
  <c r="AX16" i="15"/>
  <c r="E93" i="15" a="1"/>
  <c r="E93" i="15" s="1"/>
  <c r="AW93" i="15" s="1"/>
  <c r="BG20" i="15"/>
  <c r="AV95" i="15"/>
  <c r="AF95" i="15"/>
  <c r="AG95" i="15"/>
  <c r="AH95" i="15"/>
  <c r="AI95" i="15"/>
  <c r="AJ95" i="15"/>
  <c r="AK95" i="15"/>
  <c r="AL95" i="15"/>
  <c r="AM95" i="15"/>
  <c r="AN95" i="15"/>
  <c r="AO95" i="15"/>
  <c r="AP95" i="15"/>
  <c r="AQ95" i="15"/>
  <c r="AR95" i="15"/>
  <c r="AS95" i="15"/>
  <c r="AT95" i="15"/>
  <c r="AU95" i="15"/>
  <c r="D64" i="17"/>
  <c r="D155" i="17"/>
  <c r="AW154" i="17"/>
  <c r="AV154" i="17"/>
  <c r="AU154" i="17"/>
  <c r="AT154" i="17"/>
  <c r="AS154" i="17"/>
  <c r="AR154" i="17"/>
  <c r="AQ154" i="17"/>
  <c r="AP154" i="17"/>
  <c r="AO154" i="17"/>
  <c r="AN154" i="17"/>
  <c r="AM154" i="17"/>
  <c r="AL154" i="17"/>
  <c r="AK154" i="17"/>
  <c r="AJ154" i="17"/>
  <c r="AI154" i="17"/>
  <c r="AH154" i="17"/>
  <c r="AG154" i="17"/>
  <c r="AF154" i="17"/>
  <c r="AX7" i="14"/>
  <c r="AX8" i="14"/>
  <c r="AN65" i="14" s="1"/>
  <c r="AY5" i="14"/>
  <c r="AX6" i="14"/>
  <c r="AX4" i="14"/>
  <c r="AW49" i="14"/>
  <c r="AW50" i="14"/>
  <c r="AW48" i="14"/>
  <c r="AW52" i="14"/>
  <c r="AW47" i="14"/>
  <c r="AW51" i="14"/>
  <c r="AV64" i="14"/>
  <c r="X4" i="16"/>
  <c r="W7" i="16"/>
  <c r="W6" i="16"/>
  <c r="AO10" i="16"/>
  <c r="D63" i="16"/>
  <c r="D97" i="16"/>
  <c r="D52" i="15"/>
  <c r="X4" i="15"/>
  <c r="W7" i="15"/>
  <c r="W6" i="15"/>
  <c r="AO10" i="15"/>
  <c r="D97" i="15"/>
  <c r="X4" i="14"/>
  <c r="W7" i="14"/>
  <c r="W6" i="14"/>
  <c r="D69" i="14"/>
  <c r="AD160" i="13"/>
  <c r="AD150" i="13"/>
  <c r="AD159" i="13"/>
  <c r="AV4" i="9"/>
  <c r="AV6" i="9"/>
  <c r="AW5" i="9"/>
  <c r="AV7" i="9"/>
  <c r="AV8" i="9"/>
  <c r="AU7" i="11"/>
  <c r="AV5" i="11"/>
  <c r="AU4" i="11"/>
  <c r="AU8" i="11"/>
  <c r="AU6" i="11"/>
  <c r="BH106" i="12"/>
  <c r="AF105" i="13" s="1"/>
  <c r="BH105" i="12"/>
  <c r="AF104" i="13" s="1"/>
  <c r="BH104" i="12"/>
  <c r="BH103" i="12"/>
  <c r="AF102" i="13" s="1"/>
  <c r="BH102" i="12"/>
  <c r="AF101" i="13" s="1"/>
  <c r="BH101" i="12"/>
  <c r="BH96" i="12"/>
  <c r="BH94" i="12"/>
  <c r="AF96" i="13" s="1"/>
  <c r="BH91" i="12"/>
  <c r="AF93" i="13" s="1"/>
  <c r="BH90" i="12"/>
  <c r="BH93" i="12"/>
  <c r="AF95" i="13" s="1"/>
  <c r="BH92" i="12"/>
  <c r="BH89" i="12"/>
  <c r="BH95" i="12"/>
  <c r="AF97" i="13" s="1"/>
  <c r="BH97" i="12"/>
  <c r="AF99" i="13" s="1"/>
  <c r="BH85" i="12"/>
  <c r="AF90" i="13" s="1"/>
  <c r="BH84" i="12"/>
  <c r="AF89" i="13" s="1"/>
  <c r="BH83" i="12"/>
  <c r="AF88" i="13" s="1"/>
  <c r="BH80" i="12"/>
  <c r="BH79" i="12"/>
  <c r="AF84" i="13" s="1"/>
  <c r="BH78" i="12"/>
  <c r="AF83" i="13" s="1"/>
  <c r="BH77" i="12"/>
  <c r="AF82" i="13" s="1"/>
  <c r="BH76" i="12"/>
  <c r="BH75" i="12"/>
  <c r="BH73" i="12"/>
  <c r="AF77" i="13" s="1"/>
  <c r="BH82" i="12"/>
  <c r="AF87" i="13" s="1"/>
  <c r="BH81" i="12"/>
  <c r="AF86" i="13" s="1"/>
  <c r="BH64" i="12"/>
  <c r="AF74" i="13" s="1"/>
  <c r="BH59" i="12"/>
  <c r="AF72" i="13" s="1"/>
  <c r="BH58" i="12"/>
  <c r="BH33" i="12"/>
  <c r="AF51" i="13" s="1"/>
  <c r="BH52" i="12"/>
  <c r="AF70" i="13" s="1"/>
  <c r="BH34" i="12"/>
  <c r="AF52" i="13" s="1"/>
  <c r="BH35" i="12"/>
  <c r="AF53" i="13" s="1"/>
  <c r="BH36" i="12"/>
  <c r="BH37" i="12"/>
  <c r="AF55" i="13" s="1"/>
  <c r="BH38" i="12"/>
  <c r="AF56" i="13" s="1"/>
  <c r="BH39" i="12"/>
  <c r="AF57" i="13" s="1"/>
  <c r="BH29" i="12"/>
  <c r="BH31" i="12"/>
  <c r="AF49" i="13" s="1"/>
  <c r="BH32" i="12"/>
  <c r="AF50" i="13" s="1"/>
  <c r="BH40" i="12"/>
  <c r="AF58" i="13" s="1"/>
  <c r="BH41" i="12"/>
  <c r="AF59" i="13" s="1"/>
  <c r="BH28" i="12"/>
  <c r="BH30" i="12"/>
  <c r="AF48" i="13" s="1"/>
  <c r="BH46" i="12"/>
  <c r="AF64" i="13" s="1"/>
  <c r="BH47" i="12"/>
  <c r="AF65" i="13" s="1"/>
  <c r="BH48" i="12"/>
  <c r="BH49" i="12"/>
  <c r="AF67" i="13" s="1"/>
  <c r="BH50" i="12"/>
  <c r="AF68" i="13" s="1"/>
  <c r="BH51" i="12"/>
  <c r="AF69" i="13" s="1"/>
  <c r="BH21" i="12"/>
  <c r="AF45" i="13" s="1"/>
  <c r="BH20" i="12"/>
  <c r="AF44" i="13" s="1"/>
  <c r="AY90" i="30" s="1"/>
  <c r="BH19" i="12"/>
  <c r="AF43" i="13" s="1"/>
  <c r="BH18" i="12"/>
  <c r="BH13" i="12"/>
  <c r="AF40" i="13" s="1"/>
  <c r="BH14" i="12"/>
  <c r="AF41" i="13" s="1"/>
  <c r="BH12" i="12"/>
  <c r="BH4" i="12"/>
  <c r="BH8" i="12"/>
  <c r="BH7" i="12"/>
  <c r="BI5" i="12"/>
  <c r="BI63" i="12" s="1"/>
  <c r="BH6" i="12"/>
  <c r="AE7" i="13"/>
  <c r="AF5" i="13"/>
  <c r="AE4" i="13"/>
  <c r="AE8" i="13"/>
  <c r="AE6" i="13"/>
  <c r="AF4" i="12"/>
  <c r="AE7" i="12"/>
  <c r="AE6" i="12"/>
  <c r="T6" i="11"/>
  <c r="T7" i="11"/>
  <c r="U4" i="11"/>
  <c r="AV4" i="10"/>
  <c r="AV6" i="10"/>
  <c r="AW5" i="10"/>
  <c r="AV8" i="10"/>
  <c r="AV7" i="10"/>
  <c r="BD48" i="8"/>
  <c r="BE49" i="8"/>
  <c r="BD50" i="8"/>
  <c r="BD51" i="8"/>
  <c r="BD52" i="8"/>
  <c r="V4" i="9"/>
  <c r="U7" i="9"/>
  <c r="U6" i="9"/>
  <c r="AD74" i="8"/>
  <c r="AC77" i="8"/>
  <c r="AC76" i="8"/>
  <c r="AD48" i="8"/>
  <c r="AC51" i="8"/>
  <c r="AC50" i="8"/>
  <c r="AC9" i="8"/>
  <c r="AD7" i="8"/>
  <c r="AC10" i="8"/>
  <c r="BF8" i="8"/>
  <c r="BE7" i="8"/>
  <c r="BE15" i="8" s="1" a="1"/>
  <c r="BE15" i="8" s="1"/>
  <c r="BE11" i="8"/>
  <c r="BE10" i="8"/>
  <c r="BE9" i="8"/>
  <c r="BD78" i="8"/>
  <c r="BD77" i="8"/>
  <c r="BD76" i="8"/>
  <c r="BE75" i="8"/>
  <c r="BD74" i="8"/>
  <c r="AA115" i="13" l="1"/>
  <c r="AI60" i="17" a="1"/>
  <c r="AI60" i="17" s="1"/>
  <c r="AJ60" i="17" a="1"/>
  <c r="AJ60" i="17" s="1"/>
  <c r="AH60" i="17" a="1"/>
  <c r="AH60" i="17" s="1"/>
  <c r="N60" i="17" s="1"/>
  <c r="AK60" i="17" a="1"/>
  <c r="AK60" i="17" s="1"/>
  <c r="O60" i="17" s="1"/>
  <c r="AN60" i="17" a="1"/>
  <c r="AN60" i="17" s="1"/>
  <c r="P60" i="17" s="1"/>
  <c r="AO60" i="17" a="1"/>
  <c r="AO60" i="17" s="1"/>
  <c r="AX60" i="17" a="1"/>
  <c r="AX60" i="17" s="1"/>
  <c r="AP60" i="17" a="1"/>
  <c r="AP60" i="17" s="1"/>
  <c r="AT60" i="17" a="1"/>
  <c r="AT60" i="17" s="1"/>
  <c r="R60" i="17" s="1"/>
  <c r="AQ60" i="17" a="1"/>
  <c r="AQ60" i="17" s="1"/>
  <c r="H60" i="17" s="1"/>
  <c r="Z115" i="13"/>
  <c r="AU60" i="17" a="1"/>
  <c r="AU60" i="17" s="1"/>
  <c r="AR60" i="17" a="1"/>
  <c r="AR60" i="17" s="1"/>
  <c r="BF85" i="20"/>
  <c r="AC130" i="13" s="1"/>
  <c r="AC128" i="13"/>
  <c r="AV60" i="17" a="1"/>
  <c r="AV60" i="17" s="1"/>
  <c r="AU42" i="17"/>
  <c r="AV41" i="17"/>
  <c r="E61" i="17" s="1" a="1"/>
  <c r="E61" i="17" s="1"/>
  <c r="AC110" i="13"/>
  <c r="AC108" i="13" s="1"/>
  <c r="AG60" i="17" a="1"/>
  <c r="AG60" i="17" s="1"/>
  <c r="AY60" i="17" a="1"/>
  <c r="AY60" i="17" s="1"/>
  <c r="AW60" i="17" a="1"/>
  <c r="AW60" i="17" s="1"/>
  <c r="S60" i="17" s="1"/>
  <c r="AD96" i="8"/>
  <c r="AD98" i="8" s="1"/>
  <c r="AC99" i="8"/>
  <c r="AF91" i="13"/>
  <c r="AF29" i="13" a="1"/>
  <c r="AF29" i="13" s="1"/>
  <c r="AY99" i="17"/>
  <c r="AY101" i="17" s="1"/>
  <c r="AY96" i="17" s="1"/>
  <c r="AF46" i="13"/>
  <c r="AF16" i="13" a="1"/>
  <c r="AF16" i="13" s="1"/>
  <c r="AF94" i="13"/>
  <c r="AF32" i="13" a="1"/>
  <c r="AF32" i="13" s="1"/>
  <c r="AF38" i="13"/>
  <c r="AF12" i="13" a="1"/>
  <c r="AF12" i="13" s="1"/>
  <c r="AF148" i="13" s="1"/>
  <c r="AF92" i="13"/>
  <c r="AF30" i="13" a="1"/>
  <c r="AF30" i="13" s="1"/>
  <c r="AY107" i="17"/>
  <c r="AY109" i="17" s="1"/>
  <c r="AY103" i="17" s="1"/>
  <c r="AZ105" i="17"/>
  <c r="AF71" i="13"/>
  <c r="AF21" i="13" a="1"/>
  <c r="AF21" i="13" s="1"/>
  <c r="AF151" i="13" s="1"/>
  <c r="AF80" i="13"/>
  <c r="AF24" i="13" a="1"/>
  <c r="AF24" i="13" s="1"/>
  <c r="AF42" i="13"/>
  <c r="AF15" i="13" a="1"/>
  <c r="AF15" i="13" s="1"/>
  <c r="AF149" i="13" s="1"/>
  <c r="AF100" i="13"/>
  <c r="AF33" i="13" a="1"/>
  <c r="AF33" i="13" s="1"/>
  <c r="AF81" i="13"/>
  <c r="AF27" i="13" a="1"/>
  <c r="AF27" i="13" s="1"/>
  <c r="AF54" i="13"/>
  <c r="AF18" i="13" a="1"/>
  <c r="AF18" i="13" s="1"/>
  <c r="AF85" i="13"/>
  <c r="AF28" i="13" a="1"/>
  <c r="AF28" i="13" s="1"/>
  <c r="AF98" i="13"/>
  <c r="AF31" i="13" a="1"/>
  <c r="AF31" i="13" s="1"/>
  <c r="AF47" i="13"/>
  <c r="AF13" i="13" a="1"/>
  <c r="AF13" i="13" s="1"/>
  <c r="AF103" i="13"/>
  <c r="AF34" i="13" a="1"/>
  <c r="AF34" i="13" s="1"/>
  <c r="AF66" i="13"/>
  <c r="AF19" i="13" a="1"/>
  <c r="AF19" i="13" s="1"/>
  <c r="AF60" i="13"/>
  <c r="AF17" i="13" a="1"/>
  <c r="AF17" i="13" s="1"/>
  <c r="R42" i="17"/>
  <c r="BE82" i="20"/>
  <c r="BG83" i="20"/>
  <c r="BF110" i="20"/>
  <c r="BF111" i="20" a="1"/>
  <c r="BF111" i="20" s="1"/>
  <c r="AL65" i="14"/>
  <c r="AS65" i="14"/>
  <c r="AG65" i="14"/>
  <c r="AP65" i="14"/>
  <c r="AW65" i="14"/>
  <c r="AM65" i="14"/>
  <c r="AR65" i="14"/>
  <c r="AV65" i="14"/>
  <c r="BG107" i="20"/>
  <c r="BG109" i="20" s="1" a="1"/>
  <c r="BG109" i="20" s="1"/>
  <c r="AK65" i="14"/>
  <c r="AI65" i="14"/>
  <c r="Q59" i="17"/>
  <c r="H59" i="17"/>
  <c r="AO65" i="14"/>
  <c r="AQ65" i="14"/>
  <c r="AJ65" i="14"/>
  <c r="BG90" i="20"/>
  <c r="AD134" i="13" s="1"/>
  <c r="BG108" i="20"/>
  <c r="AT65" i="14"/>
  <c r="BF86" i="20"/>
  <c r="AC131" i="13" s="1"/>
  <c r="AW61" i="17" a="1"/>
  <c r="AW61" i="17" s="1"/>
  <c r="S61" i="17" s="1"/>
  <c r="AG61" i="17" a="1"/>
  <c r="AG61" i="17" s="1"/>
  <c r="AV61" i="17" a="1"/>
  <c r="AV61" i="17" s="1"/>
  <c r="AF61" i="17" a="1"/>
  <c r="AF61" i="17" s="1"/>
  <c r="AU61" i="17" a="1"/>
  <c r="AU61" i="17" s="1"/>
  <c r="AX61" i="17" a="1"/>
  <c r="AX61" i="17" s="1"/>
  <c r="AT61" i="17" a="1"/>
  <c r="AT61" i="17" s="1"/>
  <c r="R61" i="17" s="1"/>
  <c r="AS61" i="17" a="1"/>
  <c r="AS61" i="17" s="1"/>
  <c r="AR61" i="17" a="1"/>
  <c r="AR61" i="17" s="1"/>
  <c r="AQ61" i="17" a="1"/>
  <c r="AQ61" i="17" s="1"/>
  <c r="AP61" i="17" a="1"/>
  <c r="AP61" i="17" s="1"/>
  <c r="AO61" i="17" a="1"/>
  <c r="AO61" i="17" s="1"/>
  <c r="AH61" i="17" a="1"/>
  <c r="AH61" i="17" s="1"/>
  <c r="N61" i="17" s="1"/>
  <c r="AN61" i="17" a="1"/>
  <c r="AN61" i="17" s="1"/>
  <c r="P61" i="17" s="1"/>
  <c r="AM61" i="17" a="1"/>
  <c r="AM61" i="17" s="1"/>
  <c r="AK61" i="17" a="1"/>
  <c r="AK61" i="17" s="1"/>
  <c r="O61" i="17" s="1"/>
  <c r="AL61" i="17" a="1"/>
  <c r="AL61" i="17" s="1"/>
  <c r="AJ61" i="17" a="1"/>
  <c r="AJ61" i="17" s="1"/>
  <c r="AI61" i="17" a="1"/>
  <c r="AI61" i="17" s="1"/>
  <c r="AH65" i="14"/>
  <c r="AF65" i="14"/>
  <c r="BF87" i="20"/>
  <c r="AC132" i="13" s="1"/>
  <c r="AU65" i="14"/>
  <c r="AY61" i="17" a="1"/>
  <c r="AY61" i="17" s="1"/>
  <c r="BG76" i="20"/>
  <c r="AD122" i="13" s="1"/>
  <c r="BG77" i="20"/>
  <c r="AD123" i="13" s="1"/>
  <c r="BG91" i="20"/>
  <c r="AD135" i="13" s="1"/>
  <c r="BD75" i="20"/>
  <c r="BI42" i="12"/>
  <c r="BI43" i="12"/>
  <c r="AG61" i="13" s="1"/>
  <c r="BI44" i="12"/>
  <c r="AG62" i="13" s="1"/>
  <c r="BI45" i="12"/>
  <c r="AG63" i="13" s="1"/>
  <c r="BI52" i="20"/>
  <c r="AV44" i="16"/>
  <c r="AW44" i="16"/>
  <c r="AE164" i="13"/>
  <c r="AK46" i="15"/>
  <c r="AS46" i="15"/>
  <c r="AR46" i="15"/>
  <c r="AF46" i="15"/>
  <c r="AH46" i="15"/>
  <c r="AU46" i="15"/>
  <c r="AO46" i="15"/>
  <c r="V8" i="22"/>
  <c r="AY5" i="22"/>
  <c r="AX8" i="22"/>
  <c r="AX7" i="22"/>
  <c r="AX6" i="22"/>
  <c r="AX4" i="22"/>
  <c r="W5" i="22"/>
  <c r="AW54" i="22"/>
  <c r="AV54" i="22"/>
  <c r="AU54" i="22"/>
  <c r="AT54" i="22"/>
  <c r="AS54" i="22"/>
  <c r="AR54" i="22"/>
  <c r="AQ54" i="22"/>
  <c r="AP54" i="22"/>
  <c r="AO54" i="22"/>
  <c r="AN54" i="22"/>
  <c r="AM54" i="22"/>
  <c r="AL54" i="22"/>
  <c r="AK54" i="22"/>
  <c r="AJ54" i="22"/>
  <c r="AI54" i="22"/>
  <c r="AH54" i="22"/>
  <c r="AE54" i="22"/>
  <c r="AG54" i="22"/>
  <c r="AF54" i="22"/>
  <c r="D55" i="22"/>
  <c r="AW105" i="22"/>
  <c r="AV105" i="22"/>
  <c r="AU105" i="22"/>
  <c r="AT105" i="22"/>
  <c r="AS105" i="22"/>
  <c r="AR105" i="22"/>
  <c r="AQ105" i="22"/>
  <c r="AP105" i="22"/>
  <c r="AO105" i="22"/>
  <c r="AN105" i="22"/>
  <c r="AM105" i="22"/>
  <c r="AL105" i="22"/>
  <c r="AK105" i="22"/>
  <c r="AJ105" i="22"/>
  <c r="AI105" i="22"/>
  <c r="AH105" i="22"/>
  <c r="D106" i="22"/>
  <c r="AG105" i="22"/>
  <c r="AF105" i="22"/>
  <c r="AE105" i="22"/>
  <c r="BF96" i="20"/>
  <c r="BF60" i="20"/>
  <c r="AE155" i="13"/>
  <c r="BJ54" i="20"/>
  <c r="BD89" i="20"/>
  <c r="BG65" i="20"/>
  <c r="AD113" i="13" s="1"/>
  <c r="BG64" i="20"/>
  <c r="AD112" i="13" s="1"/>
  <c r="BG63" i="20"/>
  <c r="BG62" i="20"/>
  <c r="AD110" i="13" s="1"/>
  <c r="BC89" i="20"/>
  <c r="BC75" i="20"/>
  <c r="BG101" i="20"/>
  <c r="AD144" i="13" s="1"/>
  <c r="BG99" i="20"/>
  <c r="AD142" i="13" s="1"/>
  <c r="BG100" i="20"/>
  <c r="AD143" i="13" s="1"/>
  <c r="BH102" i="20"/>
  <c r="AE145" i="13" s="1"/>
  <c r="BH81" i="20"/>
  <c r="AE127" i="13" s="1"/>
  <c r="BH88" i="20"/>
  <c r="AE133" i="13" s="1"/>
  <c r="BH95" i="20"/>
  <c r="AE139" i="13" s="1"/>
  <c r="BJ57" i="20"/>
  <c r="BJ97" i="20" s="1"/>
  <c r="AG140" i="13" s="1"/>
  <c r="BJ56" i="20"/>
  <c r="BJ55" i="20"/>
  <c r="AG8" i="20"/>
  <c r="BE68" i="20"/>
  <c r="BE106" i="20"/>
  <c r="AI46" i="15"/>
  <c r="AJ46" i="15"/>
  <c r="AL46" i="15"/>
  <c r="AQ46" i="15"/>
  <c r="AM46" i="15"/>
  <c r="AP46" i="15"/>
  <c r="BF72" i="20"/>
  <c r="AC119" i="13" s="1"/>
  <c r="BF73" i="20"/>
  <c r="AC120" i="13" s="1"/>
  <c r="BF71" i="20"/>
  <c r="AC118" i="13" s="1"/>
  <c r="BI4" i="20"/>
  <c r="BI8" i="20"/>
  <c r="BI112" i="20" s="1"/>
  <c r="BJ5" i="20"/>
  <c r="BI6" i="20"/>
  <c r="BI7" i="20"/>
  <c r="BH27" i="20"/>
  <c r="BH18" i="20"/>
  <c r="BH35" i="20"/>
  <c r="BH25" i="20"/>
  <c r="BH12" i="20"/>
  <c r="BH20" i="20"/>
  <c r="BH17" i="20"/>
  <c r="BH24" i="20"/>
  <c r="BH21" i="20"/>
  <c r="BH13" i="20"/>
  <c r="BH22" i="20"/>
  <c r="BH32" i="20"/>
  <c r="BH34" i="20"/>
  <c r="BH29" i="20"/>
  <c r="BH26" i="20"/>
  <c r="BH28" i="20"/>
  <c r="BH11" i="20"/>
  <c r="BH15" i="20"/>
  <c r="BH30" i="20"/>
  <c r="BH16" i="20"/>
  <c r="BH19" i="20"/>
  <c r="BH33" i="20"/>
  <c r="BH14" i="20"/>
  <c r="BH74" i="20"/>
  <c r="AE121" i="13" s="1"/>
  <c r="BH23" i="20"/>
  <c r="BH31" i="20"/>
  <c r="BG69" i="20"/>
  <c r="AD116" i="13" s="1"/>
  <c r="BG61" i="20"/>
  <c r="AD109" i="13" s="1"/>
  <c r="BG10" i="20"/>
  <c r="BG70" i="20"/>
  <c r="AD117" i="13" s="1"/>
  <c r="BF115" i="20"/>
  <c r="T8" i="11"/>
  <c r="AV94" i="16"/>
  <c r="AW94" i="16"/>
  <c r="AG46" i="15"/>
  <c r="AN46" i="15"/>
  <c r="AH5" i="20"/>
  <c r="BK53" i="20"/>
  <c r="AZ61" i="17" a="1"/>
  <c r="AZ61" i="17" s="1"/>
  <c r="T61" i="17" s="1"/>
  <c r="AZ60" i="17" a="1"/>
  <c r="AZ60" i="17" s="1"/>
  <c r="T60" i="17" s="1"/>
  <c r="AZ59" i="17" a="1"/>
  <c r="AZ59" i="17" s="1"/>
  <c r="T59" i="17" s="1"/>
  <c r="AZ58" i="17" a="1"/>
  <c r="AZ58" i="17" s="1"/>
  <c r="T58" i="17" s="1"/>
  <c r="AZ57" i="17" a="1"/>
  <c r="AZ57" i="17" s="1"/>
  <c r="T57" i="17" s="1"/>
  <c r="AZ56" i="17" a="1"/>
  <c r="AZ56" i="17" s="1"/>
  <c r="T56" i="17" s="1"/>
  <c r="AZ55" i="17" a="1"/>
  <c r="AZ55" i="17" s="1"/>
  <c r="T55" i="17" s="1"/>
  <c r="AZ54" i="17" a="1"/>
  <c r="AZ54" i="17" s="1"/>
  <c r="T54" i="17" s="1"/>
  <c r="AZ53" i="17" a="1"/>
  <c r="AZ53" i="17" s="1"/>
  <c r="T53" i="17" s="1"/>
  <c r="AZ144" i="17"/>
  <c r="AZ52" i="17" a="1"/>
  <c r="AZ52" i="17" s="1"/>
  <c r="T52" i="17" s="1"/>
  <c r="AZ143" i="17"/>
  <c r="AZ51" i="17" a="1"/>
  <c r="AZ51" i="17" s="1"/>
  <c r="T51" i="17" s="1"/>
  <c r="AZ136" i="17"/>
  <c r="AZ138" i="17"/>
  <c r="AZ139" i="17"/>
  <c r="AZ48" i="17" a="1"/>
  <c r="AZ48" i="17" s="1"/>
  <c r="T48" i="17" s="1"/>
  <c r="AZ45" i="17" a="1"/>
  <c r="AZ45" i="17" s="1"/>
  <c r="T45" i="17" s="1"/>
  <c r="AZ47" i="17" a="1"/>
  <c r="AZ47" i="17" s="1"/>
  <c r="T47" i="17" s="1"/>
  <c r="AZ142" i="17"/>
  <c r="AZ50" i="17" a="1"/>
  <c r="AZ50" i="17" s="1"/>
  <c r="T50" i="17" s="1"/>
  <c r="AZ137" i="17"/>
  <c r="AZ46" i="17" a="1"/>
  <c r="AZ46" i="17" s="1"/>
  <c r="T46" i="17" s="1"/>
  <c r="AZ140" i="17"/>
  <c r="AZ141" i="17"/>
  <c r="AZ49" i="17" a="1"/>
  <c r="AZ49" i="17" s="1"/>
  <c r="BA8" i="17"/>
  <c r="BA4" i="17"/>
  <c r="BA6" i="17"/>
  <c r="BB5" i="17"/>
  <c r="BA7" i="17"/>
  <c r="E95" i="16" a="1"/>
  <c r="E95" i="16" s="1"/>
  <c r="BI20" i="16"/>
  <c r="AX94" i="16"/>
  <c r="AX93" i="16"/>
  <c r="AX92" i="16"/>
  <c r="AX35" i="16"/>
  <c r="AX37" i="16"/>
  <c r="AX34" i="16"/>
  <c r="AX32" i="16"/>
  <c r="AX33" i="16"/>
  <c r="AX36" i="16"/>
  <c r="AX42" i="16"/>
  <c r="AX40" i="16"/>
  <c r="AX41" i="16"/>
  <c r="AX43" i="16"/>
  <c r="AX28" i="16"/>
  <c r="AX38" i="16"/>
  <c r="AX31" i="16"/>
  <c r="AX29" i="16"/>
  <c r="AX30" i="16"/>
  <c r="AX39" i="16"/>
  <c r="AX78" i="16"/>
  <c r="AX79" i="16"/>
  <c r="AX80" i="16"/>
  <c r="AX81" i="16"/>
  <c r="AX82" i="16"/>
  <c r="AX83" i="16"/>
  <c r="AX84" i="16"/>
  <c r="AX85" i="16"/>
  <c r="AX86" i="16"/>
  <c r="AX87" i="16"/>
  <c r="AX88" i="16"/>
  <c r="AX89" i="16"/>
  <c r="AX90" i="16"/>
  <c r="AX91" i="16"/>
  <c r="AX44" i="16"/>
  <c r="AY6" i="16"/>
  <c r="AZ5" i="16"/>
  <c r="AY7" i="16"/>
  <c r="AY8" i="16"/>
  <c r="AW47" i="16" s="1"/>
  <c r="AY4" i="16"/>
  <c r="AX19" i="16"/>
  <c r="AX18" i="16" s="1"/>
  <c r="AX15" i="16"/>
  <c r="AX14" i="16" s="1"/>
  <c r="AX11" i="16"/>
  <c r="AW46" i="16"/>
  <c r="AT46" i="16"/>
  <c r="AS46" i="16"/>
  <c r="AU46" i="16"/>
  <c r="AV46" i="16"/>
  <c r="AR46" i="16"/>
  <c r="AW96" i="16"/>
  <c r="AV96" i="16"/>
  <c r="AU96" i="16"/>
  <c r="AT96" i="16"/>
  <c r="AS96" i="16"/>
  <c r="AR96" i="16"/>
  <c r="AQ96" i="16"/>
  <c r="AP96" i="16"/>
  <c r="AO96" i="16"/>
  <c r="AN96" i="16"/>
  <c r="AM96" i="16"/>
  <c r="AL96" i="16"/>
  <c r="AK96" i="16"/>
  <c r="AJ96" i="16"/>
  <c r="AI96" i="16"/>
  <c r="AH96" i="16"/>
  <c r="AG96" i="16"/>
  <c r="AF96" i="16"/>
  <c r="AE163" i="13"/>
  <c r="AE154" i="13"/>
  <c r="AV94" i="15"/>
  <c r="AW94" i="15"/>
  <c r="AY4" i="15"/>
  <c r="AY6" i="15"/>
  <c r="AY7" i="15"/>
  <c r="AZ5" i="15"/>
  <c r="AY8" i="15"/>
  <c r="AM47" i="15" s="1"/>
  <c r="AV46" i="15"/>
  <c r="AT46" i="15"/>
  <c r="AX94" i="15"/>
  <c r="AX93" i="15"/>
  <c r="AX91" i="15"/>
  <c r="AX92" i="15"/>
  <c r="AX90" i="15"/>
  <c r="AX44" i="15"/>
  <c r="AX89" i="15"/>
  <c r="AX87" i="15"/>
  <c r="AX88" i="15"/>
  <c r="AX43" i="15"/>
  <c r="AX42" i="15"/>
  <c r="AX41" i="15"/>
  <c r="AX86" i="15"/>
  <c r="AX85" i="15"/>
  <c r="AX40" i="15"/>
  <c r="AX84" i="15"/>
  <c r="AX39" i="15"/>
  <c r="AX83" i="15"/>
  <c r="AX38" i="15"/>
  <c r="AX37" i="15"/>
  <c r="AX82" i="15"/>
  <c r="AX81" i="15"/>
  <c r="AX36" i="15"/>
  <c r="AX80" i="15"/>
  <c r="AX35" i="15"/>
  <c r="AX79" i="15"/>
  <c r="AX34" i="15"/>
  <c r="AX19" i="15" a="1"/>
  <c r="AX19" i="15" s="1"/>
  <c r="AX18" i="15" s="1"/>
  <c r="AX29" i="15"/>
  <c r="AX11" i="15" a="1"/>
  <c r="AX11" i="15" s="1"/>
  <c r="AX30" i="15"/>
  <c r="AX31" i="15"/>
  <c r="AX32" i="15"/>
  <c r="AX78" i="15"/>
  <c r="AX15" i="15" a="1"/>
  <c r="AX15" i="15" s="1"/>
  <c r="AX28" i="15"/>
  <c r="AX33" i="15"/>
  <c r="AW14" i="15"/>
  <c r="AW18" i="15"/>
  <c r="AV43" i="15"/>
  <c r="AU43" i="15"/>
  <c r="AV93" i="15"/>
  <c r="AU93" i="15"/>
  <c r="AQ96" i="15"/>
  <c r="AW46" i="15"/>
  <c r="AF96" i="15"/>
  <c r="AG96" i="15"/>
  <c r="AH96" i="15"/>
  <c r="AI96" i="15"/>
  <c r="AJ96" i="15"/>
  <c r="AK96" i="15"/>
  <c r="AM96" i="15"/>
  <c r="AO96" i="15"/>
  <c r="AP96" i="15"/>
  <c r="AN96" i="15"/>
  <c r="AR96" i="15"/>
  <c r="AS96" i="15"/>
  <c r="AT96" i="15"/>
  <c r="AU96" i="15"/>
  <c r="AV96" i="15"/>
  <c r="AW96" i="15"/>
  <c r="AL96" i="15"/>
  <c r="AV44" i="15"/>
  <c r="AW44" i="15"/>
  <c r="D65" i="17"/>
  <c r="D156" i="17"/>
  <c r="AX155" i="17"/>
  <c r="AW155" i="17"/>
  <c r="AV155" i="17"/>
  <c r="AU155" i="17"/>
  <c r="AT155" i="17"/>
  <c r="AS155" i="17"/>
  <c r="AR155" i="17"/>
  <c r="AQ155" i="17"/>
  <c r="AP155" i="17"/>
  <c r="AO155" i="17"/>
  <c r="AN155" i="17"/>
  <c r="AM155" i="17"/>
  <c r="AL155" i="17"/>
  <c r="AK155" i="17"/>
  <c r="AJ155" i="17"/>
  <c r="AI155" i="17"/>
  <c r="AH155" i="17"/>
  <c r="AG155" i="17"/>
  <c r="AF155" i="17"/>
  <c r="AX50" i="14"/>
  <c r="AX47" i="14"/>
  <c r="AX53" i="14"/>
  <c r="AX49" i="14"/>
  <c r="AX48" i="14"/>
  <c r="AX51" i="14"/>
  <c r="AX52" i="14"/>
  <c r="AY6" i="14"/>
  <c r="AY8" i="14"/>
  <c r="AZ5" i="14"/>
  <c r="AY4" i="14"/>
  <c r="AY7" i="14"/>
  <c r="X5" i="16"/>
  <c r="AO25" i="16"/>
  <c r="AP12" i="16"/>
  <c r="AO22" i="16"/>
  <c r="AO27" i="14" s="1"/>
  <c r="D64" i="16"/>
  <c r="D98" i="16"/>
  <c r="W8" i="16"/>
  <c r="D53" i="15"/>
  <c r="X5" i="15"/>
  <c r="AO22" i="15"/>
  <c r="AO25" i="14" s="1"/>
  <c r="AO25" i="15"/>
  <c r="AP12" i="15"/>
  <c r="D98" i="15"/>
  <c r="W8" i="15"/>
  <c r="X5" i="14"/>
  <c r="D70" i="14"/>
  <c r="W8" i="14"/>
  <c r="AE160" i="13"/>
  <c r="AE159" i="13"/>
  <c r="AE150" i="13"/>
  <c r="AW6" i="9"/>
  <c r="AW8" i="9"/>
  <c r="AW7" i="9"/>
  <c r="AW4" i="9"/>
  <c r="AX5" i="9"/>
  <c r="AV6" i="11"/>
  <c r="AW5" i="11"/>
  <c r="AV4" i="11"/>
  <c r="AV8" i="11"/>
  <c r="AV7" i="11"/>
  <c r="BI106" i="12"/>
  <c r="AG105" i="13" s="1"/>
  <c r="BI105" i="12"/>
  <c r="AG104" i="13" s="1"/>
  <c r="BI104" i="12"/>
  <c r="BI103" i="12"/>
  <c r="AG102" i="13" s="1"/>
  <c r="BI102" i="12"/>
  <c r="AG101" i="13" s="1"/>
  <c r="BI101" i="12"/>
  <c r="BI97" i="12"/>
  <c r="AG99" i="13" s="1"/>
  <c r="BI95" i="12"/>
  <c r="AG97" i="13" s="1"/>
  <c r="BI93" i="12"/>
  <c r="AG95" i="13" s="1"/>
  <c r="BI92" i="12"/>
  <c r="BI89" i="12"/>
  <c r="BI96" i="12"/>
  <c r="BI94" i="12"/>
  <c r="AG96" i="13" s="1"/>
  <c r="BI91" i="12"/>
  <c r="AG93" i="13" s="1"/>
  <c r="BI90" i="12"/>
  <c r="BI77" i="12"/>
  <c r="AG82" i="13" s="1"/>
  <c r="BI85" i="12"/>
  <c r="AG90" i="13" s="1"/>
  <c r="BI81" i="12"/>
  <c r="AG86" i="13" s="1"/>
  <c r="BI80" i="12"/>
  <c r="BI79" i="12"/>
  <c r="AG84" i="13" s="1"/>
  <c r="BI78" i="12"/>
  <c r="AG83" i="13" s="1"/>
  <c r="BI76" i="12"/>
  <c r="BI75" i="12"/>
  <c r="BI73" i="12"/>
  <c r="AG77" i="13" s="1"/>
  <c r="BI84" i="12"/>
  <c r="AG89" i="13" s="1"/>
  <c r="BI83" i="12"/>
  <c r="AG88" i="13" s="1"/>
  <c r="BI82" i="12"/>
  <c r="AG87" i="13" s="1"/>
  <c r="BI64" i="12"/>
  <c r="AG74" i="13" s="1"/>
  <c r="BI59" i="12"/>
  <c r="AG72" i="13" s="1"/>
  <c r="BI58" i="12"/>
  <c r="BI52" i="12"/>
  <c r="AG70" i="13" s="1"/>
  <c r="BI40" i="12"/>
  <c r="AG58" i="13" s="1"/>
  <c r="BI50" i="12"/>
  <c r="AG68" i="13" s="1"/>
  <c r="BI49" i="12"/>
  <c r="AG67" i="13" s="1"/>
  <c r="BI48" i="12"/>
  <c r="BI47" i="12"/>
  <c r="AG65" i="13" s="1"/>
  <c r="BI46" i="12"/>
  <c r="AG64" i="13" s="1"/>
  <c r="BI32" i="12"/>
  <c r="AG50" i="13" s="1"/>
  <c r="BI29" i="12"/>
  <c r="BI28" i="12"/>
  <c r="BI30" i="12"/>
  <c r="AG48" i="13" s="1"/>
  <c r="BI31" i="12"/>
  <c r="AG49" i="13" s="1"/>
  <c r="BI33" i="12"/>
  <c r="AG51" i="13" s="1"/>
  <c r="BI34" i="12"/>
  <c r="AG52" i="13" s="1"/>
  <c r="BI35" i="12"/>
  <c r="AG53" i="13" s="1"/>
  <c r="BI36" i="12"/>
  <c r="BI37" i="12"/>
  <c r="AG55" i="13" s="1"/>
  <c r="BI38" i="12"/>
  <c r="AG56" i="13" s="1"/>
  <c r="BI39" i="12"/>
  <c r="AG57" i="13" s="1"/>
  <c r="BI41" i="12"/>
  <c r="AG59" i="13" s="1"/>
  <c r="BI51" i="12"/>
  <c r="AG69" i="13" s="1"/>
  <c r="BI21" i="12"/>
  <c r="AG45" i="13" s="1"/>
  <c r="BI20" i="12"/>
  <c r="AG44" i="13" s="1"/>
  <c r="AZ90" i="30" s="1"/>
  <c r="T90" i="30" s="1"/>
  <c r="BI19" i="12"/>
  <c r="AG43" i="13" s="1"/>
  <c r="BI18" i="12"/>
  <c r="BI14" i="12"/>
  <c r="AG41" i="13" s="1"/>
  <c r="BI12" i="12"/>
  <c r="BI13" i="12"/>
  <c r="AG40" i="13" s="1"/>
  <c r="BI8" i="12"/>
  <c r="BI4" i="12"/>
  <c r="BJ5" i="12"/>
  <c r="BJ63" i="12" s="1"/>
  <c r="BI6" i="12"/>
  <c r="BI7" i="12"/>
  <c r="AF4" i="13"/>
  <c r="AF8" i="13"/>
  <c r="AF7" i="13"/>
  <c r="AG5" i="13"/>
  <c r="AF6" i="13"/>
  <c r="AF5" i="12"/>
  <c r="AE8" i="12"/>
  <c r="U5" i="11"/>
  <c r="AW4" i="10"/>
  <c r="AW8" i="10"/>
  <c r="AW7" i="10"/>
  <c r="AW6" i="10"/>
  <c r="AX5" i="10"/>
  <c r="BE48" i="8"/>
  <c r="BE50" i="8"/>
  <c r="BE51" i="8"/>
  <c r="BE52" i="8"/>
  <c r="BF49" i="8"/>
  <c r="V5" i="9"/>
  <c r="U8" i="9"/>
  <c r="AD75" i="8"/>
  <c r="AD49" i="8"/>
  <c r="AD8" i="8"/>
  <c r="AC11" i="8"/>
  <c r="AC78" i="8"/>
  <c r="AC52" i="8"/>
  <c r="BF7" i="8"/>
  <c r="BF15" i="8" s="1" a="1"/>
  <c r="BF15" i="8" s="1"/>
  <c r="BG8" i="8"/>
  <c r="BF11" i="8"/>
  <c r="BF10" i="8"/>
  <c r="BF9" i="8"/>
  <c r="BE74" i="8"/>
  <c r="BF75" i="8"/>
  <c r="BE78" i="8"/>
  <c r="BE77" i="8"/>
  <c r="BE76" i="8"/>
  <c r="AV42" i="17" l="1"/>
  <c r="Q60" i="17"/>
  <c r="AD97" i="8"/>
  <c r="AE95" i="8"/>
  <c r="BG85" i="20"/>
  <c r="AD130" i="13" s="1"/>
  <c r="AD128" i="13"/>
  <c r="AC63" i="20"/>
  <c r="AD111" i="13"/>
  <c r="AD108" i="13" s="1"/>
  <c r="AD15" i="8" a="1"/>
  <c r="AD15" i="8" s="1"/>
  <c r="AG60" i="13"/>
  <c r="AG17" i="13" a="1"/>
  <c r="AG17" i="13" s="1"/>
  <c r="AG42" i="13"/>
  <c r="AG15" i="13" a="1"/>
  <c r="AG15" i="13" s="1"/>
  <c r="AG149" i="13" s="1"/>
  <c r="AG80" i="13"/>
  <c r="AG24" i="13" a="1"/>
  <c r="AG24" i="13" s="1"/>
  <c r="AZ99" i="17"/>
  <c r="AZ101" i="17" s="1"/>
  <c r="AZ96" i="17" s="1"/>
  <c r="AG46" i="13"/>
  <c r="AG16" i="13" a="1"/>
  <c r="AG16" i="13" s="1"/>
  <c r="AG81" i="13"/>
  <c r="AG27" i="13" a="1"/>
  <c r="AG27" i="13" s="1"/>
  <c r="AG100" i="13"/>
  <c r="AG33" i="13" a="1"/>
  <c r="AG33" i="13" s="1"/>
  <c r="AG47" i="13"/>
  <c r="AG13" i="13" a="1"/>
  <c r="AG13" i="13" s="1"/>
  <c r="AG94" i="13"/>
  <c r="AG32" i="13" a="1"/>
  <c r="AG32" i="13" s="1"/>
  <c r="AG66" i="13"/>
  <c r="AG19" i="13" a="1"/>
  <c r="AG19" i="13" s="1"/>
  <c r="AG85" i="13"/>
  <c r="AG28" i="13" a="1"/>
  <c r="AG28" i="13" s="1"/>
  <c r="AG103" i="13"/>
  <c r="AG34" i="13" a="1"/>
  <c r="AG34" i="13" s="1"/>
  <c r="BA105" i="17"/>
  <c r="AZ107" i="17"/>
  <c r="AZ109" i="17" s="1"/>
  <c r="AZ103" i="17" s="1"/>
  <c r="AG92" i="13"/>
  <c r="AG30" i="13" a="1"/>
  <c r="AG30" i="13" s="1"/>
  <c r="AG54" i="13"/>
  <c r="AG18" i="13" a="1"/>
  <c r="AG18" i="13" s="1"/>
  <c r="AG71" i="13"/>
  <c r="AG160" i="13" s="1"/>
  <c r="AG21" i="13" a="1"/>
  <c r="AG21" i="13" s="1"/>
  <c r="AG151" i="13" s="1"/>
  <c r="AG98" i="13"/>
  <c r="AG31" i="13" a="1"/>
  <c r="AG31" i="13" s="1"/>
  <c r="AG38" i="13"/>
  <c r="AG12" i="13" a="1"/>
  <c r="AG12" i="13" s="1"/>
  <c r="AG148" i="13" s="1"/>
  <c r="AG91" i="13"/>
  <c r="AG29" i="13" a="1"/>
  <c r="AG29" i="13" s="1"/>
  <c r="BG86" i="20"/>
  <c r="AD131" i="13" s="1"/>
  <c r="BG87" i="20"/>
  <c r="AD132" i="13" s="1"/>
  <c r="AK47" i="15"/>
  <c r="BF82" i="20"/>
  <c r="AO47" i="15"/>
  <c r="BG111" i="20" a="1"/>
  <c r="BG111" i="20" s="1"/>
  <c r="AG47" i="15"/>
  <c r="BH107" i="20"/>
  <c r="BH109" i="20" s="1" a="1"/>
  <c r="BH109" i="20" s="1"/>
  <c r="AF47" i="15"/>
  <c r="AI47" i="15"/>
  <c r="AJ47" i="15"/>
  <c r="BG110" i="20"/>
  <c r="AX47" i="15"/>
  <c r="AH47" i="15"/>
  <c r="AC62" i="20"/>
  <c r="AW41" i="17"/>
  <c r="E62" i="17" s="1" a="1"/>
  <c r="E62" i="17" s="1"/>
  <c r="BA62" i="17" s="1" a="1"/>
  <c r="BA62" i="17" s="1"/>
  <c r="H61" i="17"/>
  <c r="Q61" i="17"/>
  <c r="AL47" i="15"/>
  <c r="AV47" i="15"/>
  <c r="AQ47" i="15"/>
  <c r="AR47" i="15"/>
  <c r="AN47" i="15"/>
  <c r="BH90" i="20"/>
  <c r="AE134" i="13" s="1"/>
  <c r="BH108" i="20"/>
  <c r="BD114" i="20"/>
  <c r="AF164" i="13"/>
  <c r="BH83" i="20"/>
  <c r="BH76" i="20"/>
  <c r="AE122" i="13" s="1"/>
  <c r="BH77" i="20"/>
  <c r="AE123" i="13" s="1"/>
  <c r="BH91" i="20"/>
  <c r="AE135" i="13" s="1"/>
  <c r="AF155" i="13"/>
  <c r="BJ42" i="12"/>
  <c r="BJ43" i="12"/>
  <c r="AH61" i="13" s="1"/>
  <c r="BJ44" i="12"/>
  <c r="AH62" i="13" s="1"/>
  <c r="BJ45" i="12"/>
  <c r="AH63" i="13" s="1"/>
  <c r="BJ52" i="20"/>
  <c r="BG60" i="20"/>
  <c r="AZ5" i="22"/>
  <c r="AY6" i="22"/>
  <c r="AY7" i="22"/>
  <c r="AY8" i="22"/>
  <c r="AY4" i="22"/>
  <c r="X4" i="22"/>
  <c r="W7" i="22"/>
  <c r="W6" i="22"/>
  <c r="AX55" i="22"/>
  <c r="AW55" i="22"/>
  <c r="AV55" i="22"/>
  <c r="AU55" i="22"/>
  <c r="AT55" i="22"/>
  <c r="AS55" i="22"/>
  <c r="AR55" i="22"/>
  <c r="AQ55" i="22"/>
  <c r="AP55" i="22"/>
  <c r="AO55" i="22"/>
  <c r="AN55" i="22"/>
  <c r="AM55" i="22"/>
  <c r="AL55" i="22"/>
  <c r="AK55" i="22"/>
  <c r="AJ55" i="22"/>
  <c r="AI55" i="22"/>
  <c r="AH55" i="22"/>
  <c r="AE55" i="22"/>
  <c r="AF55" i="22"/>
  <c r="AG55" i="22"/>
  <c r="D56" i="22"/>
  <c r="AX106" i="22"/>
  <c r="AW106" i="22"/>
  <c r="AV106" i="22"/>
  <c r="AU106" i="22"/>
  <c r="AT106" i="22"/>
  <c r="AS106" i="22"/>
  <c r="AR106" i="22"/>
  <c r="AQ106" i="22"/>
  <c r="AP106" i="22"/>
  <c r="AO106" i="22"/>
  <c r="AN106" i="22"/>
  <c r="AM106" i="22"/>
  <c r="AL106" i="22"/>
  <c r="AK106" i="22"/>
  <c r="AJ106" i="22"/>
  <c r="AI106" i="22"/>
  <c r="AH106" i="22"/>
  <c r="D107" i="22"/>
  <c r="AG106" i="22"/>
  <c r="AF106" i="22"/>
  <c r="AE106" i="22"/>
  <c r="AF154" i="13"/>
  <c r="AF163" i="13"/>
  <c r="BK54" i="20"/>
  <c r="BH65" i="20"/>
  <c r="AE113" i="13" s="1"/>
  <c r="BH64" i="20"/>
  <c r="AE112" i="13" s="1"/>
  <c r="BH63" i="20"/>
  <c r="AE111" i="13" s="1"/>
  <c r="BH62" i="20"/>
  <c r="BC114" i="20"/>
  <c r="BG96" i="20"/>
  <c r="BE92" i="20"/>
  <c r="AB136" i="13" s="1"/>
  <c r="BE93" i="20"/>
  <c r="AB137" i="13" s="1"/>
  <c r="BE94" i="20"/>
  <c r="AB138" i="13" s="1"/>
  <c r="BE80" i="20"/>
  <c r="AB126" i="13" s="1"/>
  <c r="BE79" i="20"/>
  <c r="AB125" i="13" s="1"/>
  <c r="BE78" i="20"/>
  <c r="AB124" i="13" s="1"/>
  <c r="BF80" i="20"/>
  <c r="AC126" i="13" s="1"/>
  <c r="BF78" i="20"/>
  <c r="AC124" i="13" s="1"/>
  <c r="BF79" i="20"/>
  <c r="AC125" i="13" s="1"/>
  <c r="BF93" i="20"/>
  <c r="AC137" i="13" s="1"/>
  <c r="BF94" i="20"/>
  <c r="AC138" i="13" s="1"/>
  <c r="BF92" i="20"/>
  <c r="AC136" i="13" s="1"/>
  <c r="BH99" i="20"/>
  <c r="AE142" i="13" s="1"/>
  <c r="BH100" i="20"/>
  <c r="AE143" i="13" s="1"/>
  <c r="BH101" i="20"/>
  <c r="AE144" i="13" s="1"/>
  <c r="BI88" i="20"/>
  <c r="AF133" i="13" s="1"/>
  <c r="BI102" i="20"/>
  <c r="AF145" i="13" s="1"/>
  <c r="BI81" i="20"/>
  <c r="AF127" i="13" s="1"/>
  <c r="BI95" i="20"/>
  <c r="AF139" i="13" s="1"/>
  <c r="BK57" i="20"/>
  <c r="BK97" i="20" s="1"/>
  <c r="AH140" i="13" s="1"/>
  <c r="BK56" i="20"/>
  <c r="BK55" i="20"/>
  <c r="BF68" i="20"/>
  <c r="BF106" i="20"/>
  <c r="AW47" i="15"/>
  <c r="AP47" i="15"/>
  <c r="BI25" i="20"/>
  <c r="BI31" i="20"/>
  <c r="BI21" i="20"/>
  <c r="BI20" i="20"/>
  <c r="BI34" i="20"/>
  <c r="BI16" i="20"/>
  <c r="BI74" i="20"/>
  <c r="AF121" i="13" s="1"/>
  <c r="BI18" i="20"/>
  <c r="BI11" i="20"/>
  <c r="BI17" i="20"/>
  <c r="BI33" i="20"/>
  <c r="BI13" i="20"/>
  <c r="BI24" i="20"/>
  <c r="BI29" i="20"/>
  <c r="BI32" i="20"/>
  <c r="BI23" i="20"/>
  <c r="BI12" i="20"/>
  <c r="BI22" i="20"/>
  <c r="BI26" i="20"/>
  <c r="BI28" i="20"/>
  <c r="BI15" i="20"/>
  <c r="BI19" i="20"/>
  <c r="BI14" i="20"/>
  <c r="BI35" i="20"/>
  <c r="BI30" i="20"/>
  <c r="BI27" i="20"/>
  <c r="BJ7" i="20"/>
  <c r="BJ4" i="20"/>
  <c r="BJ6" i="20"/>
  <c r="BJ8" i="20"/>
  <c r="BJ112" i="20" s="1"/>
  <c r="BK5" i="20"/>
  <c r="BH61" i="20"/>
  <c r="AE109" i="13" s="1"/>
  <c r="BH69" i="20"/>
  <c r="AE116" i="13" s="1"/>
  <c r="BH10" i="20"/>
  <c r="BH70" i="20"/>
  <c r="AE117" i="13" s="1"/>
  <c r="BG73" i="20"/>
  <c r="AD120" i="13" s="1"/>
  <c r="BG72" i="20"/>
  <c r="AD119" i="13" s="1"/>
  <c r="BG71" i="20"/>
  <c r="AD118" i="13" s="1"/>
  <c r="BG115" i="20"/>
  <c r="AW95" i="16"/>
  <c r="AX95" i="16"/>
  <c r="AS47" i="16"/>
  <c r="AT47" i="16"/>
  <c r="AR47" i="16"/>
  <c r="AV47" i="16"/>
  <c r="AU47" i="16"/>
  <c r="AI4" i="20"/>
  <c r="AH7" i="20"/>
  <c r="AH6" i="20"/>
  <c r="BL53" i="20"/>
  <c r="BA61" i="17" a="1"/>
  <c r="BA61" i="17" s="1"/>
  <c r="BA60" i="17" a="1"/>
  <c r="BA60" i="17" s="1"/>
  <c r="BA59" i="17" a="1"/>
  <c r="BA59" i="17" s="1"/>
  <c r="BA58" i="17" a="1"/>
  <c r="BA58" i="17" s="1"/>
  <c r="BA57" i="17" a="1"/>
  <c r="BA57" i="17" s="1"/>
  <c r="BA56" i="17" a="1"/>
  <c r="BA56" i="17" s="1"/>
  <c r="BA55" i="17" a="1"/>
  <c r="BA55" i="17" s="1"/>
  <c r="BA54" i="17" a="1"/>
  <c r="BA54" i="17" s="1"/>
  <c r="BA53" i="17" a="1"/>
  <c r="BA53" i="17" s="1"/>
  <c r="BA145" i="17"/>
  <c r="BA52" i="17" a="1"/>
  <c r="BA52" i="17" s="1"/>
  <c r="BA144" i="17"/>
  <c r="BA50" i="17" a="1"/>
  <c r="BA50" i="17" s="1"/>
  <c r="BA137" i="17"/>
  <c r="BA139" i="17"/>
  <c r="BA48" i="17" a="1"/>
  <c r="BA48" i="17" s="1"/>
  <c r="BA51" i="17" a="1"/>
  <c r="BA51" i="17" s="1"/>
  <c r="BA136" i="17"/>
  <c r="BA46" i="17" a="1"/>
  <c r="BA46" i="17" s="1"/>
  <c r="BA140" i="17"/>
  <c r="BA143" i="17"/>
  <c r="BA45" i="17" a="1"/>
  <c r="BA45" i="17" s="1"/>
  <c r="BA138" i="17"/>
  <c r="BA47" i="17" a="1"/>
  <c r="BA47" i="17" s="1"/>
  <c r="BA49" i="17" a="1"/>
  <c r="BA49" i="17" s="1"/>
  <c r="BA141" i="17"/>
  <c r="BA142" i="17"/>
  <c r="BC5" i="17"/>
  <c r="BB7" i="17"/>
  <c r="BB4" i="17"/>
  <c r="BB8" i="17"/>
  <c r="BB6" i="17"/>
  <c r="AH97" i="16"/>
  <c r="AR97" i="16"/>
  <c r="AQ97" i="16"/>
  <c r="AG97" i="16"/>
  <c r="AX97" i="16"/>
  <c r="AL97" i="16"/>
  <c r="AK97" i="16"/>
  <c r="AJ97" i="16"/>
  <c r="AW97" i="16"/>
  <c r="AP97" i="16"/>
  <c r="AI97" i="16"/>
  <c r="AU97" i="16"/>
  <c r="AO97" i="16"/>
  <c r="AF97" i="16"/>
  <c r="AN97" i="16"/>
  <c r="AT97" i="16"/>
  <c r="AS97" i="16"/>
  <c r="AX47" i="16"/>
  <c r="AV97" i="16"/>
  <c r="AM97" i="16"/>
  <c r="BJ20" i="16"/>
  <c r="E96" i="16" a="1"/>
  <c r="E96" i="16" s="1"/>
  <c r="BA16" i="16"/>
  <c r="E46" i="16" a="1"/>
  <c r="E46" i="16" s="1"/>
  <c r="BJ20" i="15"/>
  <c r="E96" i="15" a="1"/>
  <c r="E96" i="15" s="1"/>
  <c r="AZ8" i="16"/>
  <c r="AZ4" i="16"/>
  <c r="BA5" i="16"/>
  <c r="AZ6" i="16"/>
  <c r="AZ7" i="16"/>
  <c r="AY95" i="16"/>
  <c r="AY43" i="16"/>
  <c r="AY34" i="16"/>
  <c r="AY31" i="16"/>
  <c r="AY29" i="16"/>
  <c r="AY81" i="16"/>
  <c r="AY92" i="16"/>
  <c r="AY39" i="16"/>
  <c r="AY30" i="16"/>
  <c r="AY35" i="16"/>
  <c r="AY38" i="16"/>
  <c r="AY41" i="16"/>
  <c r="AY42" i="16"/>
  <c r="AY78" i="16"/>
  <c r="AY44" i="16"/>
  <c r="AY28" i="16"/>
  <c r="AY36" i="16"/>
  <c r="AY33" i="16"/>
  <c r="AY37" i="16"/>
  <c r="AY32" i="16"/>
  <c r="AY40" i="16"/>
  <c r="AY82" i="16"/>
  <c r="AY83" i="16"/>
  <c r="AY84" i="16"/>
  <c r="AY86" i="16"/>
  <c r="AY87" i="16"/>
  <c r="AY89" i="16"/>
  <c r="AY90" i="16"/>
  <c r="AY91" i="16"/>
  <c r="AY80" i="16"/>
  <c r="AY85" i="16"/>
  <c r="AY88" i="16"/>
  <c r="AY94" i="16"/>
  <c r="AY79" i="16"/>
  <c r="AY93" i="16"/>
  <c r="AY15" i="16"/>
  <c r="AY14" i="16" s="1"/>
  <c r="AY11" i="16"/>
  <c r="AY19" i="16"/>
  <c r="AY18" i="16" s="1"/>
  <c r="AZ4" i="15"/>
  <c r="AZ6" i="15"/>
  <c r="AZ7" i="15"/>
  <c r="BA5" i="15"/>
  <c r="AZ8" i="15"/>
  <c r="AW48" i="15" s="1"/>
  <c r="AS47" i="15"/>
  <c r="AU47" i="15"/>
  <c r="AT47" i="15"/>
  <c r="AY94" i="15"/>
  <c r="AY93" i="15"/>
  <c r="AY92" i="15"/>
  <c r="AY91" i="15"/>
  <c r="AY90" i="15"/>
  <c r="AY89" i="15"/>
  <c r="AY44" i="15"/>
  <c r="AY87" i="15"/>
  <c r="AY88" i="15"/>
  <c r="AY43" i="15"/>
  <c r="AY86" i="15"/>
  <c r="AY42" i="15"/>
  <c r="AY41" i="15"/>
  <c r="AY85" i="15"/>
  <c r="AY40" i="15"/>
  <c r="AY84" i="15"/>
  <c r="AY39" i="15"/>
  <c r="AY83" i="15"/>
  <c r="AY38" i="15"/>
  <c r="AY37" i="15"/>
  <c r="AY82" i="15"/>
  <c r="AY81" i="15"/>
  <c r="AY36" i="15"/>
  <c r="AY80" i="15"/>
  <c r="AY35" i="15"/>
  <c r="AY79" i="15"/>
  <c r="AY34" i="15"/>
  <c r="AY15" i="15" a="1"/>
  <c r="AY15" i="15" s="1"/>
  <c r="AY11" i="15" a="1"/>
  <c r="AY11" i="15" s="1"/>
  <c r="AY78" i="15"/>
  <c r="AY19" i="15" a="1"/>
  <c r="AY19" i="15" s="1"/>
  <c r="AY18" i="15" s="1"/>
  <c r="AY30" i="15"/>
  <c r="AY28" i="15"/>
  <c r="AY31" i="15"/>
  <c r="AY32" i="15"/>
  <c r="AY29" i="15"/>
  <c r="AY33" i="15"/>
  <c r="AX14" i="15"/>
  <c r="AZ16" i="15"/>
  <c r="E95" i="15" a="1"/>
  <c r="E95" i="15" s="1"/>
  <c r="AY95" i="15" s="1"/>
  <c r="BI20" i="15"/>
  <c r="AO97" i="15"/>
  <c r="AX97" i="15"/>
  <c r="AW97" i="15"/>
  <c r="AV97" i="15"/>
  <c r="AU97" i="15"/>
  <c r="AT97" i="15"/>
  <c r="AP97" i="15"/>
  <c r="AS97" i="15"/>
  <c r="AN97" i="15"/>
  <c r="AR97" i="15"/>
  <c r="AF97" i="15"/>
  <c r="AG97" i="15"/>
  <c r="AH97" i="15"/>
  <c r="AI97" i="15"/>
  <c r="AJ97" i="15"/>
  <c r="AK97" i="15"/>
  <c r="AL97" i="15"/>
  <c r="AM97" i="15"/>
  <c r="AQ97" i="15"/>
  <c r="D66" i="17"/>
  <c r="D157" i="17"/>
  <c r="AY156" i="17"/>
  <c r="AX156" i="17"/>
  <c r="AW156" i="17"/>
  <c r="AV156" i="17"/>
  <c r="AU156" i="17"/>
  <c r="AT156" i="17"/>
  <c r="AS156" i="17"/>
  <c r="AR156" i="17"/>
  <c r="AQ156" i="17"/>
  <c r="AP156" i="17"/>
  <c r="AO156" i="17"/>
  <c r="AN156" i="17"/>
  <c r="AM156" i="17"/>
  <c r="AL156" i="17"/>
  <c r="AK156" i="17"/>
  <c r="AJ156" i="17"/>
  <c r="AI156" i="17"/>
  <c r="AH156" i="17"/>
  <c r="AG156" i="17"/>
  <c r="AF156" i="17"/>
  <c r="AW66" i="14"/>
  <c r="AS66" i="14"/>
  <c r="AP66" i="14"/>
  <c r="AK66" i="14"/>
  <c r="AF66" i="14"/>
  <c r="AT66" i="14"/>
  <c r="AM66" i="14"/>
  <c r="AU66" i="14"/>
  <c r="AQ66" i="14"/>
  <c r="AO66" i="14"/>
  <c r="AH66" i="14"/>
  <c r="AV66" i="14"/>
  <c r="AR66" i="14"/>
  <c r="AL66" i="14"/>
  <c r="AJ66" i="14"/>
  <c r="AI66" i="14"/>
  <c r="AG66" i="14"/>
  <c r="AN66" i="14"/>
  <c r="AY48" i="14"/>
  <c r="AY49" i="14"/>
  <c r="AY47" i="14"/>
  <c r="AY50" i="14"/>
  <c r="AY51" i="14"/>
  <c r="AY52" i="14"/>
  <c r="AY53" i="14"/>
  <c r="AY54" i="14"/>
  <c r="AZ7" i="14"/>
  <c r="AZ8" i="14"/>
  <c r="BA5" i="14"/>
  <c r="AZ6" i="14"/>
  <c r="AZ4" i="14"/>
  <c r="AX66" i="14"/>
  <c r="Y4" i="16"/>
  <c r="X7" i="16"/>
  <c r="X6" i="16"/>
  <c r="AP10" i="16"/>
  <c r="D65" i="16"/>
  <c r="D99" i="16"/>
  <c r="D54" i="15"/>
  <c r="Y4" i="15"/>
  <c r="X7" i="15"/>
  <c r="X6" i="15"/>
  <c r="AP10" i="15"/>
  <c r="D99" i="15"/>
  <c r="Y4" i="14"/>
  <c r="X7" i="14"/>
  <c r="X6" i="14"/>
  <c r="D71" i="14"/>
  <c r="AF160" i="13"/>
  <c r="AF150" i="13"/>
  <c r="AF159" i="13"/>
  <c r="AX6" i="9"/>
  <c r="AX4" i="9"/>
  <c r="AY5" i="9"/>
  <c r="AX7" i="9"/>
  <c r="AX8" i="9"/>
  <c r="AW7" i="11"/>
  <c r="AW4" i="11"/>
  <c r="AW8" i="11"/>
  <c r="AX5" i="11"/>
  <c r="AW6" i="11"/>
  <c r="AB102" i="12"/>
  <c r="AB95" i="12"/>
  <c r="AB92" i="12"/>
  <c r="AB79" i="12"/>
  <c r="BJ106" i="12"/>
  <c r="AH105" i="13" s="1"/>
  <c r="BJ105" i="12"/>
  <c r="AH104" i="13" s="1"/>
  <c r="BJ104" i="12"/>
  <c r="BJ103" i="12"/>
  <c r="AH102" i="13" s="1"/>
  <c r="BJ102" i="12"/>
  <c r="AH101" i="13" s="1"/>
  <c r="BJ101" i="12"/>
  <c r="BJ97" i="12"/>
  <c r="AH99" i="13" s="1"/>
  <c r="BJ96" i="12"/>
  <c r="BJ94" i="12"/>
  <c r="AH96" i="13" s="1"/>
  <c r="BJ93" i="12"/>
  <c r="AH95" i="13" s="1"/>
  <c r="BJ92" i="12"/>
  <c r="BJ91" i="12"/>
  <c r="AH93" i="13" s="1"/>
  <c r="BJ90" i="12"/>
  <c r="BJ89" i="12"/>
  <c r="BJ95" i="12"/>
  <c r="AH97" i="13" s="1"/>
  <c r="BJ85" i="12"/>
  <c r="AH90" i="13" s="1"/>
  <c r="BJ84" i="12"/>
  <c r="AH89" i="13" s="1"/>
  <c r="BJ83" i="12"/>
  <c r="AH88" i="13" s="1"/>
  <c r="BJ77" i="12"/>
  <c r="AH82" i="13" s="1"/>
  <c r="BJ76" i="12"/>
  <c r="BJ80" i="12"/>
  <c r="BJ79" i="12"/>
  <c r="AH84" i="13" s="1"/>
  <c r="BJ78" i="12"/>
  <c r="AH83" i="13" s="1"/>
  <c r="BJ75" i="12"/>
  <c r="BJ73" i="12"/>
  <c r="AH77" i="13" s="1"/>
  <c r="BJ82" i="12"/>
  <c r="AH87" i="13" s="1"/>
  <c r="BJ81" i="12"/>
  <c r="AH86" i="13" s="1"/>
  <c r="BJ64" i="12"/>
  <c r="AH74" i="13" s="1"/>
  <c r="BJ59" i="12"/>
  <c r="AH72" i="13" s="1"/>
  <c r="BJ58" i="12"/>
  <c r="BJ32" i="12"/>
  <c r="AH50" i="13" s="1"/>
  <c r="BJ28" i="12"/>
  <c r="BJ51" i="12"/>
  <c r="AH69" i="13" s="1"/>
  <c r="BJ50" i="12"/>
  <c r="AH68" i="13" s="1"/>
  <c r="BJ49" i="12"/>
  <c r="AH67" i="13" s="1"/>
  <c r="BJ48" i="12"/>
  <c r="BJ47" i="12"/>
  <c r="AH65" i="13" s="1"/>
  <c r="BJ46" i="12"/>
  <c r="AH64" i="13" s="1"/>
  <c r="BJ31" i="12"/>
  <c r="AH49" i="13" s="1"/>
  <c r="BJ33" i="12"/>
  <c r="AH51" i="13" s="1"/>
  <c r="BJ34" i="12"/>
  <c r="AH52" i="13" s="1"/>
  <c r="BJ35" i="12"/>
  <c r="AH53" i="13" s="1"/>
  <c r="BJ36" i="12"/>
  <c r="BJ37" i="12"/>
  <c r="AH55" i="13" s="1"/>
  <c r="BJ38" i="12"/>
  <c r="AH56" i="13" s="1"/>
  <c r="BJ39" i="12"/>
  <c r="AH57" i="13" s="1"/>
  <c r="BJ29" i="12"/>
  <c r="BJ30" i="12"/>
  <c r="AH48" i="13" s="1"/>
  <c r="BJ40" i="12"/>
  <c r="AH58" i="13" s="1"/>
  <c r="BJ41" i="12"/>
  <c r="AH59" i="13" s="1"/>
  <c r="BJ52" i="12"/>
  <c r="AH70" i="13" s="1"/>
  <c r="BJ21" i="12"/>
  <c r="AH45" i="13" s="1"/>
  <c r="BJ20" i="12"/>
  <c r="AH44" i="13" s="1"/>
  <c r="BA90" i="30" s="1"/>
  <c r="BJ19" i="12"/>
  <c r="AH43" i="13" s="1"/>
  <c r="BJ18" i="12"/>
  <c r="BJ14" i="12"/>
  <c r="AH41" i="13" s="1"/>
  <c r="BJ13" i="12"/>
  <c r="AH40" i="13" s="1"/>
  <c r="BJ12" i="12"/>
  <c r="BJ4" i="12"/>
  <c r="BJ8" i="12"/>
  <c r="BK5" i="12"/>
  <c r="BK63" i="12" s="1"/>
  <c r="BJ6" i="12"/>
  <c r="BJ7" i="12"/>
  <c r="AG7" i="13"/>
  <c r="AH5" i="13"/>
  <c r="AG4" i="13"/>
  <c r="AG8" i="13"/>
  <c r="AG6" i="13"/>
  <c r="AG4" i="12"/>
  <c r="AF7" i="12"/>
  <c r="AF6" i="12"/>
  <c r="U7" i="11"/>
  <c r="U6" i="11"/>
  <c r="V4" i="11"/>
  <c r="AX4" i="10"/>
  <c r="AY5" i="10"/>
  <c r="AX8" i="10"/>
  <c r="AX7" i="10"/>
  <c r="AX6" i="10"/>
  <c r="BF48" i="8"/>
  <c r="BG49" i="8"/>
  <c r="BF50" i="8"/>
  <c r="BF51" i="8"/>
  <c r="BF52" i="8"/>
  <c r="W4" i="9"/>
  <c r="V7" i="9"/>
  <c r="V6" i="9"/>
  <c r="AE74" i="8"/>
  <c r="AD77" i="8"/>
  <c r="AD76" i="8"/>
  <c r="AE48" i="8"/>
  <c r="AD51" i="8"/>
  <c r="AD50" i="8"/>
  <c r="AD10" i="8"/>
  <c r="AE7" i="8"/>
  <c r="AD9" i="8"/>
  <c r="BG11" i="8"/>
  <c r="BH8" i="8"/>
  <c r="BG7" i="8"/>
  <c r="BG15" i="8" s="1" a="1"/>
  <c r="BG15" i="8" s="1"/>
  <c r="BG10" i="8"/>
  <c r="BG9" i="8"/>
  <c r="BG75" i="8"/>
  <c r="BF78" i="8"/>
  <c r="BF77" i="8"/>
  <c r="BF76" i="8"/>
  <c r="BF74" i="8"/>
  <c r="AC115" i="13" l="1"/>
  <c r="AB115" i="13"/>
  <c r="AX41" i="17"/>
  <c r="E63" i="17" s="1" a="1"/>
  <c r="E63" i="17" s="1"/>
  <c r="AQ63" i="17" s="1" a="1"/>
  <c r="AQ63" i="17" s="1"/>
  <c r="AE110" i="13"/>
  <c r="AE108" i="13" s="1"/>
  <c r="BH86" i="20"/>
  <c r="AE131" i="13" s="1"/>
  <c r="AE128" i="13"/>
  <c r="AE96" i="8"/>
  <c r="AE97" i="8" s="1"/>
  <c r="AD99" i="8"/>
  <c r="BG82" i="20"/>
  <c r="BA99" i="17"/>
  <c r="BA101" i="17" s="1"/>
  <c r="BA96" i="17" s="1"/>
  <c r="AH46" i="13"/>
  <c r="AH16" i="13" a="1"/>
  <c r="AH16" i="13" s="1"/>
  <c r="AH71" i="13"/>
  <c r="AH160" i="13" s="1"/>
  <c r="AH21" i="13" a="1"/>
  <c r="AH21" i="13" s="1"/>
  <c r="AH151" i="13" s="1"/>
  <c r="AH47" i="13"/>
  <c r="AH13" i="13" a="1"/>
  <c r="AH13" i="13" s="1"/>
  <c r="AH54" i="13"/>
  <c r="AH18" i="13" a="1"/>
  <c r="AH18" i="13" s="1"/>
  <c r="AH38" i="13"/>
  <c r="AH12" i="13" a="1"/>
  <c r="AH12" i="13" s="1"/>
  <c r="AH148" i="13" s="1"/>
  <c r="AH94" i="13"/>
  <c r="AH32" i="13" a="1"/>
  <c r="AH32" i="13" s="1"/>
  <c r="AH92" i="13"/>
  <c r="AH30" i="13" a="1"/>
  <c r="AH30" i="13" s="1"/>
  <c r="AH81" i="13"/>
  <c r="AH27" i="13" a="1"/>
  <c r="AH27" i="13" s="1"/>
  <c r="AH91" i="13"/>
  <c r="AH29" i="13" a="1"/>
  <c r="AH29" i="13" s="1"/>
  <c r="AH42" i="13"/>
  <c r="AH15" i="13" a="1"/>
  <c r="AH15" i="13" s="1"/>
  <c r="AH149" i="13" s="1"/>
  <c r="AH80" i="13"/>
  <c r="AH24" i="13" a="1"/>
  <c r="AH24" i="13" s="1"/>
  <c r="AH98" i="13"/>
  <c r="AH31" i="13" a="1"/>
  <c r="AH31" i="13" s="1"/>
  <c r="BB105" i="17"/>
  <c r="BA107" i="17"/>
  <c r="BA109" i="17" s="1"/>
  <c r="BA103" i="17" s="1"/>
  <c r="AH103" i="13"/>
  <c r="AH34" i="13" a="1"/>
  <c r="AH34" i="13" s="1"/>
  <c r="AH100" i="13"/>
  <c r="AH33" i="13" a="1"/>
  <c r="AH33" i="13" s="1"/>
  <c r="AH66" i="13"/>
  <c r="AH19" i="13" a="1"/>
  <c r="AH19" i="13" s="1"/>
  <c r="AH85" i="13"/>
  <c r="AH28" i="13" a="1"/>
  <c r="AH28" i="13" s="1"/>
  <c r="AH60" i="13"/>
  <c r="AH17" i="13" a="1"/>
  <c r="AH17" i="13" s="1"/>
  <c r="BH110" i="20"/>
  <c r="BH85" i="20"/>
  <c r="AE130" i="13" s="1"/>
  <c r="BH111" i="20" a="1"/>
  <c r="BH111" i="20" s="1"/>
  <c r="BI83" i="20"/>
  <c r="BH87" i="20"/>
  <c r="AE132" i="13" s="1"/>
  <c r="AY48" i="15"/>
  <c r="AW63" i="17" a="1"/>
  <c r="AW63" i="17" s="1"/>
  <c r="S63" i="17" s="1"/>
  <c r="AG63" i="17" a="1"/>
  <c r="AG63" i="17" s="1"/>
  <c r="AV63" i="17" a="1"/>
  <c r="AV63" i="17" s="1"/>
  <c r="AF63" i="17" a="1"/>
  <c r="AF63" i="17" s="1"/>
  <c r="AU63" i="17" a="1"/>
  <c r="AU63" i="17" s="1"/>
  <c r="AT63" i="17" a="1"/>
  <c r="AT63" i="17" s="1"/>
  <c r="R63" i="17" s="1"/>
  <c r="AS63" i="17" a="1"/>
  <c r="AS63" i="17" s="1"/>
  <c r="AH63" i="17" a="1"/>
  <c r="AH63" i="17" s="1"/>
  <c r="N63" i="17" s="1"/>
  <c r="AR63" i="17" a="1"/>
  <c r="AR63" i="17" s="1"/>
  <c r="AX63" i="17" a="1"/>
  <c r="AX63" i="17" s="1"/>
  <c r="AP63" i="17" a="1"/>
  <c r="AP63" i="17" s="1"/>
  <c r="AJ63" i="17" a="1"/>
  <c r="AJ63" i="17" s="1"/>
  <c r="AO63" i="17" a="1"/>
  <c r="AO63" i="17" s="1"/>
  <c r="AZ63" i="17" a="1"/>
  <c r="AZ63" i="17" s="1"/>
  <c r="T63" i="17" s="1"/>
  <c r="AN63" i="17" a="1"/>
  <c r="AN63" i="17" s="1"/>
  <c r="P63" i="17" s="1"/>
  <c r="AM63" i="17" a="1"/>
  <c r="AM63" i="17" s="1"/>
  <c r="AL63" i="17" a="1"/>
  <c r="AL63" i="17" s="1"/>
  <c r="AK63" i="17" a="1"/>
  <c r="AK63" i="17" s="1"/>
  <c r="O63" i="17" s="1"/>
  <c r="AY63" i="17" a="1"/>
  <c r="AY63" i="17" s="1"/>
  <c r="AI63" i="17" a="1"/>
  <c r="AI63" i="17" s="1"/>
  <c r="BI90" i="20"/>
  <c r="AF134" i="13" s="1"/>
  <c r="BI108" i="20"/>
  <c r="BA63" i="17" a="1"/>
  <c r="BA63" i="17" s="1"/>
  <c r="BI107" i="20"/>
  <c r="AT62" i="17" a="1"/>
  <c r="AT62" i="17" s="1"/>
  <c r="R62" i="17" s="1"/>
  <c r="AS62" i="17" a="1"/>
  <c r="AS62" i="17" s="1"/>
  <c r="AV62" i="17" a="1"/>
  <c r="AV62" i="17" s="1"/>
  <c r="AR62" i="17" a="1"/>
  <c r="AR62" i="17" s="1"/>
  <c r="AF62" i="17" a="1"/>
  <c r="AF62" i="17" s="1"/>
  <c r="AQ62" i="17" a="1"/>
  <c r="AQ62" i="17" s="1"/>
  <c r="AP62" i="17" a="1"/>
  <c r="AP62" i="17" s="1"/>
  <c r="AO62" i="17" a="1"/>
  <c r="AO62" i="17" s="1"/>
  <c r="AN62" i="17" a="1"/>
  <c r="AN62" i="17" s="1"/>
  <c r="P62" i="17" s="1"/>
  <c r="AM62" i="17" a="1"/>
  <c r="AM62" i="17" s="1"/>
  <c r="AL62" i="17" a="1"/>
  <c r="AL62" i="17" s="1"/>
  <c r="AK62" i="17" a="1"/>
  <c r="AK62" i="17" s="1"/>
  <c r="O62" i="17" s="1"/>
  <c r="AJ62" i="17" a="1"/>
  <c r="AJ62" i="17" s="1"/>
  <c r="AY62" i="17" a="1"/>
  <c r="AY62" i="17" s="1"/>
  <c r="AI62" i="17" a="1"/>
  <c r="AI62" i="17" s="1"/>
  <c r="AU62" i="17" a="1"/>
  <c r="AU62" i="17" s="1"/>
  <c r="AX62" i="17" a="1"/>
  <c r="AX62" i="17" s="1"/>
  <c r="AH62" i="17" a="1"/>
  <c r="AH62" i="17" s="1"/>
  <c r="N62" i="17" s="1"/>
  <c r="AW62" i="17" a="1"/>
  <c r="AW62" i="17" s="1"/>
  <c r="S62" i="17" s="1"/>
  <c r="AG62" i="17" a="1"/>
  <c r="AG62" i="17" s="1"/>
  <c r="AZ62" i="17" a="1"/>
  <c r="AZ62" i="17" s="1"/>
  <c r="T62" i="17" s="1"/>
  <c r="AW42" i="17"/>
  <c r="AX42" i="17" s="1"/>
  <c r="BI76" i="20"/>
  <c r="AF122" i="13" s="1"/>
  <c r="BI77" i="20"/>
  <c r="AF123" i="13" s="1"/>
  <c r="BI91" i="20"/>
  <c r="AF135" i="13" s="1"/>
  <c r="BF89" i="20"/>
  <c r="BE75" i="20"/>
  <c r="BK42" i="12"/>
  <c r="BK43" i="12"/>
  <c r="AI61" i="13" s="1"/>
  <c r="BK44" i="12"/>
  <c r="AI62" i="13" s="1"/>
  <c r="BK45" i="12"/>
  <c r="AI63" i="13" s="1"/>
  <c r="BG106" i="20"/>
  <c r="AI67" i="14"/>
  <c r="AX67" i="14"/>
  <c r="AW67" i="14"/>
  <c r="AJ67" i="14"/>
  <c r="AM67" i="14"/>
  <c r="AG67" i="14"/>
  <c r="AP67" i="14"/>
  <c r="BK52" i="20"/>
  <c r="AV67" i="14"/>
  <c r="AQ67" i="14"/>
  <c r="AF67" i="14"/>
  <c r="AK67" i="14"/>
  <c r="AR67" i="14"/>
  <c r="AL67" i="14"/>
  <c r="AU67" i="14"/>
  <c r="AN67" i="14"/>
  <c r="AT67" i="14"/>
  <c r="AH67" i="14"/>
  <c r="AZ4" i="22"/>
  <c r="AZ7" i="22"/>
  <c r="BA5" i="22"/>
  <c r="AZ6" i="22"/>
  <c r="AZ8" i="22"/>
  <c r="X5" i="22"/>
  <c r="AY56" i="22"/>
  <c r="AX56" i="22"/>
  <c r="AW56" i="22"/>
  <c r="AV56" i="22"/>
  <c r="AU56" i="22"/>
  <c r="AT56" i="22"/>
  <c r="AS56" i="22"/>
  <c r="AR56" i="22"/>
  <c r="AQ56" i="22"/>
  <c r="AP56" i="22"/>
  <c r="AO56" i="22"/>
  <c r="AN56" i="22"/>
  <c r="AM56" i="22"/>
  <c r="AL56" i="22"/>
  <c r="AK56" i="22"/>
  <c r="AJ56" i="22"/>
  <c r="AI56" i="22"/>
  <c r="AH56" i="22"/>
  <c r="D57" i="22"/>
  <c r="AG56" i="22"/>
  <c r="AF56" i="22"/>
  <c r="AE56" i="22"/>
  <c r="AY107" i="22"/>
  <c r="AX107" i="22"/>
  <c r="AW107" i="22"/>
  <c r="AV107" i="22"/>
  <c r="AU107" i="22"/>
  <c r="AT107" i="22"/>
  <c r="AS107" i="22"/>
  <c r="AR107" i="22"/>
  <c r="AQ107" i="22"/>
  <c r="AP107" i="22"/>
  <c r="AO107" i="22"/>
  <c r="AN107" i="22"/>
  <c r="AM107" i="22"/>
  <c r="AL107" i="22"/>
  <c r="AK107" i="22"/>
  <c r="AJ107" i="22"/>
  <c r="AI107" i="22"/>
  <c r="AH107" i="22"/>
  <c r="D108" i="22"/>
  <c r="AG107" i="22"/>
  <c r="AF107" i="22"/>
  <c r="AE107" i="22"/>
  <c r="W8" i="22"/>
  <c r="BH60" i="20"/>
  <c r="AX46" i="16"/>
  <c r="AY46" i="16"/>
  <c r="AT48" i="16"/>
  <c r="AY48" i="16"/>
  <c r="AW48" i="16"/>
  <c r="AU48" i="16"/>
  <c r="AV48" i="16"/>
  <c r="AX48" i="16"/>
  <c r="AS67" i="14"/>
  <c r="AO67" i="14"/>
  <c r="BL54" i="20"/>
  <c r="BH96" i="20"/>
  <c r="BI65" i="20"/>
  <c r="AF113" i="13" s="1"/>
  <c r="BI64" i="20"/>
  <c r="AF112" i="13" s="1"/>
  <c r="BI63" i="20"/>
  <c r="AF111" i="13" s="1"/>
  <c r="BI62" i="20"/>
  <c r="BE89" i="20"/>
  <c r="BF75" i="20"/>
  <c r="BI101" i="20"/>
  <c r="AF144" i="13" s="1"/>
  <c r="BI99" i="20"/>
  <c r="AF142" i="13" s="1"/>
  <c r="BI100" i="20"/>
  <c r="AF143" i="13" s="1"/>
  <c r="BG79" i="20"/>
  <c r="AD125" i="13" s="1"/>
  <c r="BG78" i="20"/>
  <c r="AD124" i="13" s="1"/>
  <c r="BG80" i="20"/>
  <c r="AD126" i="13" s="1"/>
  <c r="BG92" i="20"/>
  <c r="AD136" i="13" s="1"/>
  <c r="BG93" i="20"/>
  <c r="AD137" i="13" s="1"/>
  <c r="BG94" i="20"/>
  <c r="AD138" i="13" s="1"/>
  <c r="BJ81" i="20"/>
  <c r="AG127" i="13" s="1"/>
  <c r="BJ102" i="20"/>
  <c r="AG145" i="13" s="1"/>
  <c r="BJ88" i="20"/>
  <c r="AG133" i="13" s="1"/>
  <c r="BJ95" i="20"/>
  <c r="AG139" i="13" s="1"/>
  <c r="BL57" i="20"/>
  <c r="BL97" i="20" s="1"/>
  <c r="AI140" i="13" s="1"/>
  <c r="BL56" i="20"/>
  <c r="BL55" i="20"/>
  <c r="BG68" i="20"/>
  <c r="BI70" i="20"/>
  <c r="AF117" i="13" s="1"/>
  <c r="BI61" i="20"/>
  <c r="AF109" i="13" s="1"/>
  <c r="BI69" i="20"/>
  <c r="AF116" i="13" s="1"/>
  <c r="BI10" i="20"/>
  <c r="BJ74" i="20"/>
  <c r="AG121" i="13" s="1"/>
  <c r="BJ12" i="20"/>
  <c r="BJ23" i="20"/>
  <c r="BJ32" i="20"/>
  <c r="BJ19" i="20"/>
  <c r="BJ27" i="20"/>
  <c r="BJ13" i="20"/>
  <c r="BJ22" i="20"/>
  <c r="BJ28" i="20"/>
  <c r="BJ17" i="20"/>
  <c r="BJ30" i="20"/>
  <c r="BJ16" i="20"/>
  <c r="BJ35" i="20"/>
  <c r="BJ34" i="20"/>
  <c r="BJ11" i="20"/>
  <c r="BJ25" i="20"/>
  <c r="BJ15" i="20"/>
  <c r="BJ29" i="20"/>
  <c r="BJ18" i="20"/>
  <c r="BJ26" i="20"/>
  <c r="BJ20" i="20"/>
  <c r="BJ14" i="20"/>
  <c r="BJ24" i="20"/>
  <c r="BJ31" i="20"/>
  <c r="BJ21" i="20"/>
  <c r="BJ33" i="20"/>
  <c r="BK4" i="20"/>
  <c r="BK7" i="20"/>
  <c r="BL5" i="20"/>
  <c r="BK6" i="20"/>
  <c r="BK8" i="20"/>
  <c r="BK112" i="20" s="1"/>
  <c r="BH115" i="20"/>
  <c r="BH71" i="20"/>
  <c r="AE118" i="13" s="1"/>
  <c r="BH72" i="20"/>
  <c r="AE119" i="13" s="1"/>
  <c r="BH73" i="20"/>
  <c r="AE120" i="13" s="1"/>
  <c r="AH8" i="20"/>
  <c r="AU98" i="16"/>
  <c r="AH98" i="16"/>
  <c r="AW98" i="16"/>
  <c r="AQ98" i="16"/>
  <c r="AO98" i="16"/>
  <c r="AN98" i="16"/>
  <c r="AM98" i="16"/>
  <c r="AI98" i="16"/>
  <c r="AG98" i="16"/>
  <c r="AT98" i="16"/>
  <c r="AX98" i="16"/>
  <c r="AV98" i="16"/>
  <c r="AY98" i="16"/>
  <c r="AS98" i="16"/>
  <c r="AR98" i="16"/>
  <c r="AP98" i="16"/>
  <c r="AL98" i="16"/>
  <c r="AK98" i="16"/>
  <c r="AJ98" i="16"/>
  <c r="AF98" i="16"/>
  <c r="AI5" i="20"/>
  <c r="BM53" i="20"/>
  <c r="AG154" i="13"/>
  <c r="BD5" i="17"/>
  <c r="BC7" i="17"/>
  <c r="BC4" i="17"/>
  <c r="BC8" i="17"/>
  <c r="BC6" i="17"/>
  <c r="BB63" i="17" a="1"/>
  <c r="BB63" i="17" s="1"/>
  <c r="BB62" i="17" a="1"/>
  <c r="BB62" i="17" s="1"/>
  <c r="BB61" i="17" a="1"/>
  <c r="BB61" i="17" s="1"/>
  <c r="BB60" i="17" a="1"/>
  <c r="BB60" i="17" s="1"/>
  <c r="BB59" i="17" a="1"/>
  <c r="BB59" i="17" s="1"/>
  <c r="BB58" i="17" a="1"/>
  <c r="BB58" i="17" s="1"/>
  <c r="BB57" i="17" a="1"/>
  <c r="BB57" i="17" s="1"/>
  <c r="BB56" i="17" a="1"/>
  <c r="BB56" i="17" s="1"/>
  <c r="BB55" i="17" a="1"/>
  <c r="BB55" i="17" s="1"/>
  <c r="BB146" i="17"/>
  <c r="BB54" i="17" a="1"/>
  <c r="BB54" i="17" s="1"/>
  <c r="BB145" i="17"/>
  <c r="BB53" i="17" a="1"/>
  <c r="BB53" i="17" s="1"/>
  <c r="BB45" i="17" a="1"/>
  <c r="BB45" i="17" s="1"/>
  <c r="BB137" i="17"/>
  <c r="BB47" i="17" a="1"/>
  <c r="BB47" i="17" s="1"/>
  <c r="BB140" i="17"/>
  <c r="BB141" i="17"/>
  <c r="BB144" i="17"/>
  <c r="BB46" i="17" a="1"/>
  <c r="BB46" i="17" s="1"/>
  <c r="BB49" i="17" a="1"/>
  <c r="BB49" i="17" s="1"/>
  <c r="BB142" i="17"/>
  <c r="BB136" i="17"/>
  <c r="BB52" i="17" a="1"/>
  <c r="BB52" i="17" s="1"/>
  <c r="BB48" i="17" a="1"/>
  <c r="BB48" i="17" s="1"/>
  <c r="BB50" i="17" a="1"/>
  <c r="BB50" i="17" s="1"/>
  <c r="BB138" i="17"/>
  <c r="BB139" i="17"/>
  <c r="BB143" i="17"/>
  <c r="BB51" i="17" a="1"/>
  <c r="BB51" i="17" s="1"/>
  <c r="AY96" i="16"/>
  <c r="AX96" i="16"/>
  <c r="AX96" i="15"/>
  <c r="AY96" i="15"/>
  <c r="AZ96" i="16"/>
  <c r="AZ45" i="16"/>
  <c r="AZ81" i="16"/>
  <c r="AZ83" i="16"/>
  <c r="AZ79" i="16"/>
  <c r="AZ82" i="16"/>
  <c r="AZ85" i="16"/>
  <c r="AZ86" i="16"/>
  <c r="AZ87" i="16"/>
  <c r="AZ46" i="16"/>
  <c r="AZ88" i="16"/>
  <c r="AZ90" i="16"/>
  <c r="AZ93" i="16"/>
  <c r="AZ95" i="16"/>
  <c r="AZ40" i="16"/>
  <c r="AZ33" i="16"/>
  <c r="AZ41" i="16"/>
  <c r="AZ42" i="16"/>
  <c r="AZ43" i="16"/>
  <c r="AZ31" i="16"/>
  <c r="AZ34" i="16"/>
  <c r="AZ38" i="16"/>
  <c r="AZ30" i="16"/>
  <c r="AZ44" i="16"/>
  <c r="AZ37" i="16"/>
  <c r="AZ29" i="16"/>
  <c r="AZ36" i="16"/>
  <c r="AZ28" i="16"/>
  <c r="AZ78" i="16"/>
  <c r="AZ35" i="16"/>
  <c r="AZ39" i="16"/>
  <c r="AZ32" i="16"/>
  <c r="AZ80" i="16"/>
  <c r="AZ84" i="16"/>
  <c r="AZ89" i="16"/>
  <c r="AZ91" i="16"/>
  <c r="AZ92" i="16"/>
  <c r="AZ94" i="16"/>
  <c r="AZ19" i="16"/>
  <c r="AZ18" i="16" s="1"/>
  <c r="AZ15" i="16"/>
  <c r="AZ14" i="16" s="1"/>
  <c r="BC16" i="16" s="1"/>
  <c r="AZ11" i="16"/>
  <c r="BA7" i="16"/>
  <c r="BA6" i="16"/>
  <c r="BA8" i="16"/>
  <c r="BA4" i="16"/>
  <c r="BB5" i="16"/>
  <c r="E47" i="16" a="1"/>
  <c r="E47" i="16" s="1"/>
  <c r="BB16" i="16"/>
  <c r="E97" i="16" a="1"/>
  <c r="E97" i="16" s="1"/>
  <c r="BK20" i="16"/>
  <c r="AG164" i="13"/>
  <c r="AG163" i="13"/>
  <c r="BA4" i="15"/>
  <c r="BA6" i="15"/>
  <c r="BA7" i="15"/>
  <c r="BB5" i="15"/>
  <c r="BA8" i="15"/>
  <c r="AT49" i="15" s="1"/>
  <c r="AX48" i="15"/>
  <c r="AR48" i="15"/>
  <c r="AM48" i="15"/>
  <c r="AJ48" i="15"/>
  <c r="AT48" i="15"/>
  <c r="AP48" i="15"/>
  <c r="AO48" i="15"/>
  <c r="AH48" i="15"/>
  <c r="AV48" i="15"/>
  <c r="AU48" i="15"/>
  <c r="AQ48" i="15"/>
  <c r="AL48" i="15"/>
  <c r="AK48" i="15"/>
  <c r="AG48" i="15"/>
  <c r="AZ96" i="15"/>
  <c r="AS48" i="15"/>
  <c r="AN48" i="15"/>
  <c r="AI48" i="15"/>
  <c r="AF48" i="15"/>
  <c r="AZ95" i="15"/>
  <c r="AZ94" i="15"/>
  <c r="AZ93" i="15"/>
  <c r="AZ92" i="15"/>
  <c r="AZ91" i="15"/>
  <c r="AZ90" i="15"/>
  <c r="AZ45" i="15"/>
  <c r="AZ89" i="15"/>
  <c r="AZ44" i="15"/>
  <c r="AZ87" i="15"/>
  <c r="AZ88" i="15"/>
  <c r="AZ43" i="15"/>
  <c r="AZ42" i="15"/>
  <c r="AZ41" i="15"/>
  <c r="AZ86" i="15"/>
  <c r="AZ85" i="15"/>
  <c r="AZ40" i="15"/>
  <c r="AZ84" i="15"/>
  <c r="AZ39" i="15"/>
  <c r="AZ83" i="15"/>
  <c r="AZ38" i="15"/>
  <c r="AZ37" i="15"/>
  <c r="AZ82" i="15"/>
  <c r="AZ81" i="15"/>
  <c r="AZ36" i="15"/>
  <c r="AZ80" i="15"/>
  <c r="AZ35" i="15"/>
  <c r="AZ79" i="15"/>
  <c r="AZ34" i="15"/>
  <c r="AZ19" i="15" a="1"/>
  <c r="AZ19" i="15" s="1"/>
  <c r="AZ18" i="15" s="1"/>
  <c r="AZ29" i="15"/>
  <c r="AZ31" i="15"/>
  <c r="AZ32" i="15"/>
  <c r="AZ30" i="15"/>
  <c r="AZ78" i="15"/>
  <c r="AZ28" i="15"/>
  <c r="AZ15" i="15" a="1"/>
  <c r="AZ15" i="15" s="1"/>
  <c r="AZ14" i="15" s="1"/>
  <c r="BC16" i="15" s="1"/>
  <c r="AZ33" i="15"/>
  <c r="AZ11" i="15" a="1"/>
  <c r="AZ11" i="15" s="1"/>
  <c r="E46" i="15" a="1"/>
  <c r="E46" i="15" s="1"/>
  <c r="AZ46" i="15" s="1"/>
  <c r="BA16" i="15"/>
  <c r="E45" i="15" a="1"/>
  <c r="E45" i="15" s="1"/>
  <c r="AX95" i="15"/>
  <c r="AW95" i="15"/>
  <c r="AF98" i="15"/>
  <c r="AG98" i="15"/>
  <c r="AH98" i="15"/>
  <c r="AI98" i="15"/>
  <c r="AJ98" i="15"/>
  <c r="AK98" i="15"/>
  <c r="AL98" i="15"/>
  <c r="AM98" i="15"/>
  <c r="AN98" i="15"/>
  <c r="AO98" i="15"/>
  <c r="AP98" i="15"/>
  <c r="AQ98" i="15"/>
  <c r="AR98" i="15"/>
  <c r="AS98" i="15"/>
  <c r="AT98" i="15"/>
  <c r="AU98" i="15"/>
  <c r="AV98" i="15"/>
  <c r="AW98" i="15"/>
  <c r="AX98" i="15"/>
  <c r="AY98" i="15"/>
  <c r="AY14" i="15"/>
  <c r="E47" i="15" s="1" a="1"/>
  <c r="E47" i="15" s="1"/>
  <c r="BK20" i="15"/>
  <c r="E97" i="15" a="1"/>
  <c r="E97" i="15" s="1"/>
  <c r="D67" i="17"/>
  <c r="D158" i="17"/>
  <c r="AZ157" i="17"/>
  <c r="AY157" i="17"/>
  <c r="AX157" i="17"/>
  <c r="AW157" i="17"/>
  <c r="AV157" i="17"/>
  <c r="AU157" i="17"/>
  <c r="AT157" i="17"/>
  <c r="AS157" i="17"/>
  <c r="AR157" i="17"/>
  <c r="AQ157" i="17"/>
  <c r="AP157" i="17"/>
  <c r="AO157" i="17"/>
  <c r="AN157" i="17"/>
  <c r="AM157" i="17"/>
  <c r="AL157" i="17"/>
  <c r="AK157" i="17"/>
  <c r="AJ157" i="17"/>
  <c r="AI157" i="17"/>
  <c r="AH157" i="17"/>
  <c r="AG157" i="17"/>
  <c r="AF157" i="17"/>
  <c r="AZ49" i="14"/>
  <c r="AZ50" i="14"/>
  <c r="AZ48" i="14"/>
  <c r="AZ47" i="14"/>
  <c r="AZ51" i="14"/>
  <c r="AZ52" i="14"/>
  <c r="AZ53" i="14"/>
  <c r="AZ54" i="14"/>
  <c r="AZ55" i="14"/>
  <c r="BB5" i="14"/>
  <c r="BA6" i="14"/>
  <c r="BA7" i="14"/>
  <c r="BA8" i="14"/>
  <c r="BA4" i="14"/>
  <c r="X8" i="16"/>
  <c r="AY67" i="14"/>
  <c r="Y5" i="16"/>
  <c r="AP25" i="16"/>
  <c r="AQ12" i="16"/>
  <c r="AP22" i="16"/>
  <c r="AP27" i="14" s="1"/>
  <c r="D66" i="16"/>
  <c r="D100" i="16"/>
  <c r="D55" i="15"/>
  <c r="X8" i="14"/>
  <c r="Y5" i="15"/>
  <c r="AP22" i="15"/>
  <c r="AP25" i="14" s="1"/>
  <c r="AP25" i="15"/>
  <c r="AQ12" i="15"/>
  <c r="D100" i="15"/>
  <c r="X8" i="15"/>
  <c r="Y5" i="14"/>
  <c r="D72" i="14"/>
  <c r="AG155" i="13"/>
  <c r="AG150" i="13"/>
  <c r="AG159" i="13"/>
  <c r="AY7" i="9"/>
  <c r="AY4" i="9"/>
  <c r="AZ5" i="9"/>
  <c r="AY6" i="9"/>
  <c r="AY8" i="9"/>
  <c r="AY5" i="11"/>
  <c r="AX8" i="11"/>
  <c r="AX4" i="11"/>
  <c r="AX6" i="11"/>
  <c r="AX7" i="11"/>
  <c r="BK106" i="12"/>
  <c r="AI105" i="13" s="1"/>
  <c r="BK105" i="12"/>
  <c r="AI104" i="13" s="1"/>
  <c r="BK104" i="12"/>
  <c r="BK103" i="12"/>
  <c r="AI102" i="13" s="1"/>
  <c r="BK102" i="12"/>
  <c r="AI101" i="13" s="1"/>
  <c r="BK101" i="12"/>
  <c r="BK97" i="12"/>
  <c r="AI99" i="13" s="1"/>
  <c r="BK95" i="12"/>
  <c r="AI97" i="13" s="1"/>
  <c r="BK90" i="12"/>
  <c r="BK93" i="12"/>
  <c r="AI95" i="13" s="1"/>
  <c r="BK92" i="12"/>
  <c r="BK91" i="12"/>
  <c r="AI93" i="13" s="1"/>
  <c r="BK89" i="12"/>
  <c r="BK96" i="12"/>
  <c r="BK94" i="12"/>
  <c r="AI96" i="13" s="1"/>
  <c r="BK85" i="12"/>
  <c r="AI90" i="13" s="1"/>
  <c r="BK81" i="12"/>
  <c r="AI86" i="13" s="1"/>
  <c r="BK80" i="12"/>
  <c r="BK79" i="12"/>
  <c r="AI84" i="13" s="1"/>
  <c r="BK78" i="12"/>
  <c r="AI83" i="13" s="1"/>
  <c r="BK77" i="12"/>
  <c r="AI82" i="13" s="1"/>
  <c r="BK76" i="12"/>
  <c r="BK75" i="12"/>
  <c r="BK73" i="12"/>
  <c r="AI77" i="13" s="1"/>
  <c r="BK84" i="12"/>
  <c r="AI89" i="13" s="1"/>
  <c r="BK83" i="12"/>
  <c r="AI88" i="13" s="1"/>
  <c r="BK82" i="12"/>
  <c r="AI87" i="13" s="1"/>
  <c r="BK64" i="12"/>
  <c r="AI74" i="13" s="1"/>
  <c r="BK59" i="12"/>
  <c r="AI72" i="13" s="1"/>
  <c r="BK58" i="12"/>
  <c r="BK51" i="12"/>
  <c r="AI69" i="13" s="1"/>
  <c r="BK50" i="12"/>
  <c r="AI68" i="13" s="1"/>
  <c r="BK49" i="12"/>
  <c r="AI67" i="13" s="1"/>
  <c r="BK48" i="12"/>
  <c r="BK47" i="12"/>
  <c r="AI65" i="13" s="1"/>
  <c r="BK46" i="12"/>
  <c r="AI64" i="13" s="1"/>
  <c r="BK30" i="12"/>
  <c r="AI48" i="13" s="1"/>
  <c r="BK29" i="12"/>
  <c r="BK52" i="12"/>
  <c r="AI70" i="13" s="1"/>
  <c r="BK41" i="12"/>
  <c r="AI59" i="13" s="1"/>
  <c r="BK40" i="12"/>
  <c r="AI58" i="13" s="1"/>
  <c r="BK32" i="12"/>
  <c r="AI50" i="13" s="1"/>
  <c r="BK31" i="12"/>
  <c r="AI49" i="13" s="1"/>
  <c r="BK39" i="12"/>
  <c r="AI57" i="13" s="1"/>
  <c r="BK38" i="12"/>
  <c r="AI56" i="13" s="1"/>
  <c r="BK37" i="12"/>
  <c r="AI55" i="13" s="1"/>
  <c r="BK36" i="12"/>
  <c r="BK35" i="12"/>
  <c r="AI53" i="13" s="1"/>
  <c r="BK34" i="12"/>
  <c r="AI52" i="13" s="1"/>
  <c r="BK33" i="12"/>
  <c r="AI51" i="13" s="1"/>
  <c r="BK28" i="12"/>
  <c r="BK21" i="12"/>
  <c r="AI45" i="13" s="1"/>
  <c r="BK20" i="12"/>
  <c r="AI44" i="13" s="1"/>
  <c r="BB90" i="30" s="1"/>
  <c r="BK19" i="12"/>
  <c r="AI43" i="13" s="1"/>
  <c r="BK18" i="12"/>
  <c r="BK14" i="12"/>
  <c r="AI41" i="13" s="1"/>
  <c r="BK12" i="12"/>
  <c r="BK13" i="12"/>
  <c r="AI40" i="13" s="1"/>
  <c r="BK4" i="12"/>
  <c r="BK8" i="12"/>
  <c r="BK7" i="12"/>
  <c r="BL5" i="12"/>
  <c r="BL63" i="12" s="1"/>
  <c r="BK6" i="12"/>
  <c r="AH4" i="13"/>
  <c r="AH8" i="13"/>
  <c r="AH7" i="13"/>
  <c r="AI5" i="13"/>
  <c r="AH6" i="13"/>
  <c r="AG5" i="12"/>
  <c r="AF8" i="12"/>
  <c r="V5" i="11"/>
  <c r="U8" i="11"/>
  <c r="AY4" i="10"/>
  <c r="AY8" i="10"/>
  <c r="AY7" i="10"/>
  <c r="AY6" i="10"/>
  <c r="AZ5" i="10"/>
  <c r="BG51" i="8"/>
  <c r="BG52" i="8"/>
  <c r="BG48" i="8"/>
  <c r="BG50" i="8"/>
  <c r="BH49" i="8"/>
  <c r="W5" i="9"/>
  <c r="V8" i="9"/>
  <c r="AD78" i="8"/>
  <c r="AD52" i="8"/>
  <c r="AD11" i="8"/>
  <c r="AE75" i="8"/>
  <c r="AE49" i="8"/>
  <c r="AE8" i="8"/>
  <c r="BH7" i="8"/>
  <c r="BH15" i="8" s="1" a="1"/>
  <c r="BH15" i="8" s="1"/>
  <c r="BI8" i="8"/>
  <c r="BH11" i="8"/>
  <c r="BH10" i="8"/>
  <c r="BH9" i="8"/>
  <c r="BG78" i="8"/>
  <c r="BG77" i="8"/>
  <c r="BG76" i="8"/>
  <c r="BG74" i="8"/>
  <c r="BH75" i="8"/>
  <c r="AF95" i="8" l="1"/>
  <c r="AE98" i="8"/>
  <c r="BI86" i="20"/>
  <c r="AF131" i="13" s="1"/>
  <c r="AF128" i="13"/>
  <c r="AD115" i="13"/>
  <c r="AY41" i="17"/>
  <c r="E64" i="17" s="1" a="1"/>
  <c r="E64" i="17" s="1"/>
  <c r="BB64" i="17" s="1" a="1"/>
  <c r="BB64" i="17" s="1"/>
  <c r="AF110" i="13"/>
  <c r="AF108" i="13" s="1"/>
  <c r="AE15" i="8" a="1"/>
  <c r="AE15" i="8" s="1"/>
  <c r="BI85" i="20"/>
  <c r="AF130" i="13" s="1"/>
  <c r="BI87" i="20"/>
  <c r="AF132" i="13" s="1"/>
  <c r="AI38" i="13"/>
  <c r="AI12" i="13" a="1"/>
  <c r="AI12" i="13" s="1"/>
  <c r="AI148" i="13" s="1"/>
  <c r="AI91" i="13"/>
  <c r="AI29" i="13" a="1"/>
  <c r="AI29" i="13" s="1"/>
  <c r="AI47" i="13"/>
  <c r="AI13" i="13" a="1"/>
  <c r="AI13" i="13" s="1"/>
  <c r="AI92" i="13"/>
  <c r="AI30" i="13" a="1"/>
  <c r="AI30" i="13" s="1"/>
  <c r="AI80" i="13"/>
  <c r="AI24" i="13" a="1"/>
  <c r="AI24" i="13" s="1"/>
  <c r="BB99" i="17"/>
  <c r="BB101" i="17" s="1"/>
  <c r="BB96" i="17" s="1"/>
  <c r="AI46" i="13"/>
  <c r="AI16" i="13" a="1"/>
  <c r="AI16" i="13" s="1"/>
  <c r="AI81" i="13"/>
  <c r="AI27" i="13" a="1"/>
  <c r="AI27" i="13" s="1"/>
  <c r="AI100" i="13"/>
  <c r="AI33" i="13" a="1"/>
  <c r="AI33" i="13" s="1"/>
  <c r="AI66" i="13"/>
  <c r="AI19" i="13" a="1"/>
  <c r="AI19" i="13" s="1"/>
  <c r="BC105" i="17"/>
  <c r="BB107" i="17"/>
  <c r="BB109" i="17" s="1"/>
  <c r="BB103" i="17" s="1"/>
  <c r="AI103" i="13"/>
  <c r="AI34" i="13" a="1"/>
  <c r="AI34" i="13" s="1"/>
  <c r="AI71" i="13"/>
  <c r="AI21" i="13" a="1"/>
  <c r="AI21" i="13" s="1"/>
  <c r="AI151" i="13" s="1"/>
  <c r="AI42" i="13"/>
  <c r="AI15" i="13" a="1"/>
  <c r="AI15" i="13" s="1"/>
  <c r="AI149" i="13" s="1"/>
  <c r="AI85" i="13"/>
  <c r="AI28" i="13" a="1"/>
  <c r="AI28" i="13" s="1"/>
  <c r="AI60" i="13"/>
  <c r="AI17" i="13" a="1"/>
  <c r="AI17" i="13" s="1"/>
  <c r="AI94" i="13"/>
  <c r="AI32" i="13" a="1"/>
  <c r="AI32" i="13" s="1"/>
  <c r="AI54" i="13"/>
  <c r="AI18" i="13" a="1"/>
  <c r="AI18" i="13" s="1"/>
  <c r="AI98" i="13"/>
  <c r="AI31" i="13" a="1"/>
  <c r="AI31" i="13" s="1"/>
  <c r="BH82" i="20"/>
  <c r="BJ91" i="20"/>
  <c r="AG135" i="13" s="1"/>
  <c r="BJ83" i="20"/>
  <c r="AV68" i="14"/>
  <c r="AQ49" i="15"/>
  <c r="Q62" i="17"/>
  <c r="H62" i="17"/>
  <c r="AP49" i="15"/>
  <c r="BJ90" i="20"/>
  <c r="AG134" i="13" s="1"/>
  <c r="BJ108" i="20"/>
  <c r="Q63" i="17"/>
  <c r="H63" i="17"/>
  <c r="BJ107" i="20"/>
  <c r="BI109" i="20" a="1"/>
  <c r="BI109" i="20" s="1"/>
  <c r="BI110" i="20"/>
  <c r="BI111" i="20" a="1"/>
  <c r="BI111" i="20" s="1"/>
  <c r="AG49" i="15"/>
  <c r="AF49" i="15"/>
  <c r="AO49" i="15"/>
  <c r="AN49" i="15"/>
  <c r="AV49" i="15"/>
  <c r="BF114" i="20"/>
  <c r="BJ76" i="20"/>
  <c r="AG122" i="13" s="1"/>
  <c r="BJ77" i="20"/>
  <c r="AG123" i="13" s="1"/>
  <c r="BG89" i="20"/>
  <c r="BE114" i="20"/>
  <c r="BL42" i="12"/>
  <c r="BL43" i="12"/>
  <c r="AJ61" i="13" s="1"/>
  <c r="BL44" i="12"/>
  <c r="AJ62" i="13" s="1"/>
  <c r="BL45" i="12"/>
  <c r="AJ63" i="13" s="1"/>
  <c r="BI96" i="20"/>
  <c r="AH155" i="13"/>
  <c r="BH106" i="20"/>
  <c r="BA4" i="22"/>
  <c r="BB5" i="22"/>
  <c r="BA7" i="22"/>
  <c r="BA8" i="22"/>
  <c r="BA6" i="22"/>
  <c r="AU49" i="15"/>
  <c r="AS49" i="15"/>
  <c r="Y4" i="22"/>
  <c r="X6" i="22"/>
  <c r="X7" i="22"/>
  <c r="AZ57" i="22"/>
  <c r="AY57" i="22"/>
  <c r="AX57" i="22"/>
  <c r="AW57" i="22"/>
  <c r="AV57" i="22"/>
  <c r="AU57" i="22"/>
  <c r="AT57" i="22"/>
  <c r="AS57" i="22"/>
  <c r="AR57" i="22"/>
  <c r="AQ57" i="22"/>
  <c r="AP57" i="22"/>
  <c r="AO57" i="22"/>
  <c r="AN57" i="22"/>
  <c r="AM57" i="22"/>
  <c r="AL57" i="22"/>
  <c r="AK57" i="22"/>
  <c r="AJ57" i="22"/>
  <c r="AI57" i="22"/>
  <c r="AH57" i="22"/>
  <c r="D58" i="22"/>
  <c r="AG57" i="22"/>
  <c r="AF57" i="22"/>
  <c r="AE57" i="22"/>
  <c r="AZ108" i="22"/>
  <c r="AY108" i="22"/>
  <c r="AX108" i="22"/>
  <c r="AW108" i="22"/>
  <c r="AV108" i="22"/>
  <c r="AU108" i="22"/>
  <c r="AT108" i="22"/>
  <c r="AS108" i="22"/>
  <c r="AR108" i="22"/>
  <c r="AQ108" i="22"/>
  <c r="AP108" i="22"/>
  <c r="AO108" i="22"/>
  <c r="AN108" i="22"/>
  <c r="AM108" i="22"/>
  <c r="AL108" i="22"/>
  <c r="AK108" i="22"/>
  <c r="AJ108" i="22"/>
  <c r="AI108" i="22"/>
  <c r="AH108" i="22"/>
  <c r="D109" i="22"/>
  <c r="AG108" i="22"/>
  <c r="AF108" i="22"/>
  <c r="AE108" i="22"/>
  <c r="BM54" i="20"/>
  <c r="BL52" i="20"/>
  <c r="BJ65" i="20"/>
  <c r="AG113" i="13" s="1"/>
  <c r="BJ64" i="20"/>
  <c r="AG112" i="13" s="1"/>
  <c r="BJ63" i="20"/>
  <c r="BJ62" i="20"/>
  <c r="AG110" i="13" s="1"/>
  <c r="BG75" i="20"/>
  <c r="BJ99" i="20"/>
  <c r="AG142" i="13" s="1"/>
  <c r="BJ100" i="20"/>
  <c r="AG143" i="13" s="1"/>
  <c r="BJ101" i="20"/>
  <c r="AG144" i="13" s="1"/>
  <c r="BH78" i="20"/>
  <c r="AE124" i="13" s="1"/>
  <c r="BH80" i="20"/>
  <c r="AE126" i="13" s="1"/>
  <c r="BH79" i="20"/>
  <c r="AE125" i="13" s="1"/>
  <c r="BH93" i="20"/>
  <c r="AE137" i="13" s="1"/>
  <c r="BH94" i="20"/>
  <c r="AE138" i="13" s="1"/>
  <c r="BH92" i="20"/>
  <c r="AE136" i="13" s="1"/>
  <c r="BI60" i="20"/>
  <c r="BK88" i="20"/>
  <c r="AH133" i="13" s="1"/>
  <c r="BK81" i="20"/>
  <c r="AH127" i="13" s="1"/>
  <c r="BK95" i="20"/>
  <c r="AH139" i="13" s="1"/>
  <c r="BK102" i="20"/>
  <c r="AH145" i="13" s="1"/>
  <c r="BM57" i="20"/>
  <c r="BM56" i="20"/>
  <c r="BM55" i="20"/>
  <c r="BH68" i="20"/>
  <c r="BI115" i="20"/>
  <c r="BI71" i="20"/>
  <c r="AF118" i="13" s="1"/>
  <c r="BI73" i="20"/>
  <c r="AF120" i="13" s="1"/>
  <c r="BI72" i="20"/>
  <c r="AF119" i="13" s="1"/>
  <c r="BJ70" i="20"/>
  <c r="AG117" i="13" s="1"/>
  <c r="BJ69" i="20"/>
  <c r="AG116" i="13" s="1"/>
  <c r="BJ61" i="20"/>
  <c r="AG109" i="13" s="1"/>
  <c r="BJ10" i="20"/>
  <c r="BL4" i="20"/>
  <c r="BL8" i="20"/>
  <c r="BL112" i="20" s="1"/>
  <c r="BM5" i="20"/>
  <c r="BL6" i="20"/>
  <c r="BL7" i="20"/>
  <c r="BK11" i="20"/>
  <c r="BK33" i="20"/>
  <c r="BK23" i="20"/>
  <c r="BK30" i="20"/>
  <c r="BK16" i="20"/>
  <c r="BK74" i="20"/>
  <c r="AH121" i="13" s="1"/>
  <c r="BK21" i="20"/>
  <c r="BK12" i="20"/>
  <c r="BK35" i="20"/>
  <c r="BK18" i="20"/>
  <c r="BK14" i="20"/>
  <c r="BK26" i="20"/>
  <c r="BK13" i="20"/>
  <c r="BK24" i="20"/>
  <c r="BK32" i="20"/>
  <c r="BK19" i="20"/>
  <c r="BK27" i="20"/>
  <c r="BK28" i="20"/>
  <c r="BK17" i="20"/>
  <c r="BK20" i="20"/>
  <c r="BK31" i="20"/>
  <c r="BK15" i="20"/>
  <c r="BK29" i="20"/>
  <c r="BK34" i="20"/>
  <c r="BK22" i="20"/>
  <c r="BK25" i="20"/>
  <c r="AX49" i="15"/>
  <c r="AH49" i="15"/>
  <c r="AK49" i="15"/>
  <c r="AR49" i="15"/>
  <c r="AL49" i="15"/>
  <c r="AM49" i="15"/>
  <c r="AJ49" i="15"/>
  <c r="AI49" i="15"/>
  <c r="AZ49" i="15"/>
  <c r="AI7" i="20"/>
  <c r="AI6" i="20"/>
  <c r="AJ4" i="20"/>
  <c r="BN53" i="20"/>
  <c r="AY68" i="14"/>
  <c r="AL68" i="14"/>
  <c r="AG68" i="14"/>
  <c r="AH68" i="14"/>
  <c r="BD8" i="17"/>
  <c r="BD6" i="17"/>
  <c r="BD4" i="17"/>
  <c r="BE5" i="17"/>
  <c r="BD7" i="17"/>
  <c r="BC63" i="17" a="1"/>
  <c r="BC63" i="17" s="1"/>
  <c r="BC62" i="17" a="1"/>
  <c r="BC62" i="17" s="1"/>
  <c r="BC61" i="17" a="1"/>
  <c r="BC61" i="17" s="1"/>
  <c r="BC60" i="17" a="1"/>
  <c r="BC60" i="17" s="1"/>
  <c r="BC59" i="17" a="1"/>
  <c r="BC59" i="17" s="1"/>
  <c r="BC58" i="17" a="1"/>
  <c r="BC58" i="17" s="1"/>
  <c r="BC57" i="17" a="1"/>
  <c r="BC57" i="17" s="1"/>
  <c r="BC56" i="17" a="1"/>
  <c r="BC56" i="17" s="1"/>
  <c r="BC147" i="17"/>
  <c r="BC55" i="17" a="1"/>
  <c r="BC55" i="17" s="1"/>
  <c r="BC146" i="17"/>
  <c r="BC54" i="17" a="1"/>
  <c r="BC54" i="17" s="1"/>
  <c r="BC53" i="17" a="1"/>
  <c r="BC53" i="17" s="1"/>
  <c r="BC45" i="17" a="1"/>
  <c r="BC45" i="17" s="1"/>
  <c r="BC46" i="17" a="1"/>
  <c r="BC46" i="17" s="1"/>
  <c r="BC47" i="17" a="1"/>
  <c r="BC47" i="17" s="1"/>
  <c r="BC48" i="17" a="1"/>
  <c r="BC48" i="17" s="1"/>
  <c r="BC50" i="17" a="1"/>
  <c r="BC50" i="17" s="1"/>
  <c r="BC145" i="17"/>
  <c r="BC136" i="17"/>
  <c r="BC137" i="17"/>
  <c r="BC138" i="17"/>
  <c r="BC139" i="17"/>
  <c r="BC140" i="17"/>
  <c r="BC49" i="17" a="1"/>
  <c r="BC49" i="17" s="1"/>
  <c r="BC141" i="17"/>
  <c r="BC142" i="17"/>
  <c r="BC143" i="17"/>
  <c r="BC51" i="17" a="1"/>
  <c r="BC51" i="17" s="1"/>
  <c r="BC144" i="17"/>
  <c r="BC52" i="17" a="1"/>
  <c r="BC52" i="17" s="1"/>
  <c r="AZ49" i="16"/>
  <c r="AY99" i="16"/>
  <c r="AX99" i="16"/>
  <c r="AV99" i="16"/>
  <c r="AT99" i="16"/>
  <c r="AR99" i="16"/>
  <c r="AP99" i="16"/>
  <c r="AN99" i="16"/>
  <c r="AL99" i="16"/>
  <c r="AJ99" i="16"/>
  <c r="AH99" i="16"/>
  <c r="AF99" i="16"/>
  <c r="AZ99" i="16"/>
  <c r="AW99" i="16"/>
  <c r="AU99" i="16"/>
  <c r="AS99" i="16"/>
  <c r="AQ99" i="16"/>
  <c r="AO99" i="16"/>
  <c r="AM99" i="16"/>
  <c r="AK99" i="16"/>
  <c r="AI99" i="16"/>
  <c r="AG99" i="16"/>
  <c r="AM99" i="15"/>
  <c r="AL99" i="15"/>
  <c r="AK99" i="15"/>
  <c r="E98" i="16" a="1"/>
  <c r="E98" i="16" s="1"/>
  <c r="BL20" i="16"/>
  <c r="BA97" i="16"/>
  <c r="AT49" i="16"/>
  <c r="AY49" i="16"/>
  <c r="AU49" i="16"/>
  <c r="AV49" i="16"/>
  <c r="AW49" i="16"/>
  <c r="AX49" i="16"/>
  <c r="BA96" i="16"/>
  <c r="BA34" i="16"/>
  <c r="BA78" i="16"/>
  <c r="BA38" i="16"/>
  <c r="BA35" i="16"/>
  <c r="BA37" i="16"/>
  <c r="BA41" i="16"/>
  <c r="BA39" i="16"/>
  <c r="BA30" i="16"/>
  <c r="BA43" i="16"/>
  <c r="BA29" i="16"/>
  <c r="BA36" i="16"/>
  <c r="BA40" i="16"/>
  <c r="BA28" i="16"/>
  <c r="BA33" i="16"/>
  <c r="BA32" i="16"/>
  <c r="BA31" i="16"/>
  <c r="BA44" i="16"/>
  <c r="BA42" i="16"/>
  <c r="BA45" i="16"/>
  <c r="BA79" i="16"/>
  <c r="BA46" i="16"/>
  <c r="BA80" i="16"/>
  <c r="BA81" i="16"/>
  <c r="BA82" i="16"/>
  <c r="BA83" i="16"/>
  <c r="BA84" i="16"/>
  <c r="BA85" i="16"/>
  <c r="BA86" i="16"/>
  <c r="BA87" i="16"/>
  <c r="BA88" i="16"/>
  <c r="BA89" i="16"/>
  <c r="BA90" i="16"/>
  <c r="BA91" i="16"/>
  <c r="BA92" i="16"/>
  <c r="BA93" i="16"/>
  <c r="BA47" i="16"/>
  <c r="BA94" i="16"/>
  <c r="BA95" i="16"/>
  <c r="BA19" i="16"/>
  <c r="BA18" i="16" s="1"/>
  <c r="BA15" i="16"/>
  <c r="BA14" i="16" s="1"/>
  <c r="BD16" i="16" s="1"/>
  <c r="BA11" i="16"/>
  <c r="BB6" i="16"/>
  <c r="BB7" i="16"/>
  <c r="BB8" i="16"/>
  <c r="BC5" i="16"/>
  <c r="BB4" i="16"/>
  <c r="AZ97" i="16"/>
  <c r="AY97" i="16"/>
  <c r="AY47" i="16"/>
  <c r="AZ47" i="16"/>
  <c r="AJ99" i="15"/>
  <c r="AI99" i="15"/>
  <c r="AH99" i="15"/>
  <c r="AG99" i="15"/>
  <c r="AF99" i="15"/>
  <c r="AZ99" i="15"/>
  <c r="AY99" i="15"/>
  <c r="AX99" i="15"/>
  <c r="AW99" i="15"/>
  <c r="AV99" i="15"/>
  <c r="AU99" i="15"/>
  <c r="AT99" i="15"/>
  <c r="AS99" i="15"/>
  <c r="AR99" i="15"/>
  <c r="AQ99" i="15"/>
  <c r="AP99" i="15"/>
  <c r="AO99" i="15"/>
  <c r="AN99" i="15"/>
  <c r="BL20" i="15"/>
  <c r="E98" i="15" a="1"/>
  <c r="E98" i="15" s="1"/>
  <c r="BB4" i="15"/>
  <c r="BB6" i="15"/>
  <c r="BC5" i="15"/>
  <c r="BB7" i="15"/>
  <c r="BB8" i="15"/>
  <c r="AK50" i="15" s="1"/>
  <c r="AY49" i="15"/>
  <c r="BA97" i="15"/>
  <c r="AW49" i="15"/>
  <c r="BA96" i="15"/>
  <c r="BA95" i="15"/>
  <c r="BA94" i="15"/>
  <c r="BA93" i="15"/>
  <c r="BA47" i="15"/>
  <c r="BA91" i="15"/>
  <c r="BA92" i="15"/>
  <c r="BA90" i="15"/>
  <c r="BA46" i="15"/>
  <c r="BA89" i="15"/>
  <c r="BA45" i="15"/>
  <c r="BA44" i="15"/>
  <c r="BA88" i="15"/>
  <c r="BA43" i="15"/>
  <c r="BA87" i="15"/>
  <c r="BA42" i="15"/>
  <c r="BA86" i="15"/>
  <c r="BA41" i="15"/>
  <c r="BA85" i="15"/>
  <c r="BA40" i="15"/>
  <c r="BA84" i="15"/>
  <c r="BA39" i="15"/>
  <c r="BA83" i="15"/>
  <c r="BA38" i="15"/>
  <c r="BA37" i="15"/>
  <c r="BA82" i="15"/>
  <c r="BA81" i="15"/>
  <c r="BA36" i="15"/>
  <c r="BA80" i="15"/>
  <c r="BA35" i="15"/>
  <c r="BA79" i="15"/>
  <c r="BA34" i="15"/>
  <c r="BA31" i="15"/>
  <c r="BA32" i="15"/>
  <c r="BA78" i="15"/>
  <c r="BA19" i="15" a="1"/>
  <c r="BA19" i="15" s="1"/>
  <c r="BA18" i="15" s="1"/>
  <c r="BA28" i="15"/>
  <c r="BA30" i="15"/>
  <c r="BA29" i="15"/>
  <c r="BA15" i="15" a="1"/>
  <c r="BA15" i="15" s="1"/>
  <c r="BA14" i="15" s="1"/>
  <c r="BA11" i="15" a="1"/>
  <c r="BA11" i="15" s="1"/>
  <c r="BA33" i="15"/>
  <c r="AY46" i="15"/>
  <c r="AX46" i="15"/>
  <c r="AY45" i="15"/>
  <c r="AX45" i="15"/>
  <c r="AW45" i="15"/>
  <c r="BB16" i="15"/>
  <c r="AY47" i="15"/>
  <c r="AZ47" i="15"/>
  <c r="AY97" i="15"/>
  <c r="AZ97" i="15"/>
  <c r="AF68" i="14"/>
  <c r="AJ68" i="14"/>
  <c r="AR68" i="14"/>
  <c r="AO68" i="14"/>
  <c r="AK68" i="14"/>
  <c r="AP68" i="14"/>
  <c r="AS68" i="14"/>
  <c r="AX68" i="14"/>
  <c r="AI68" i="14"/>
  <c r="AQ68" i="14"/>
  <c r="AM68" i="14"/>
  <c r="AN68" i="14"/>
  <c r="AU68" i="14"/>
  <c r="AW68" i="14"/>
  <c r="AT68" i="14"/>
  <c r="D68" i="17"/>
  <c r="D159" i="17"/>
  <c r="BA158" i="17"/>
  <c r="AZ158" i="17"/>
  <c r="AY158" i="17"/>
  <c r="AX158" i="17"/>
  <c r="AW158" i="17"/>
  <c r="AV158" i="17"/>
  <c r="AU158" i="17"/>
  <c r="AT158" i="17"/>
  <c r="AS158" i="17"/>
  <c r="AR158" i="17"/>
  <c r="AQ158" i="17"/>
  <c r="AP158" i="17"/>
  <c r="AO158" i="17"/>
  <c r="AN158" i="17"/>
  <c r="AM158" i="17"/>
  <c r="AL158" i="17"/>
  <c r="AK158" i="17"/>
  <c r="AJ158" i="17"/>
  <c r="AI158" i="17"/>
  <c r="AH158" i="17"/>
  <c r="AG158" i="17"/>
  <c r="AF158" i="17"/>
  <c r="BB7" i="14"/>
  <c r="BB8" i="14"/>
  <c r="BA69" i="14" s="1"/>
  <c r="BC5" i="14"/>
  <c r="BB6" i="14"/>
  <c r="BB4" i="14"/>
  <c r="BA50" i="14"/>
  <c r="BA49" i="14"/>
  <c r="BA48" i="14"/>
  <c r="BA47" i="14"/>
  <c r="BA51" i="14"/>
  <c r="BA52" i="14"/>
  <c r="BA53" i="14"/>
  <c r="BA54" i="14"/>
  <c r="BA55" i="14"/>
  <c r="BA56" i="14"/>
  <c r="AZ68" i="14"/>
  <c r="Z4" i="16"/>
  <c r="Y7" i="16"/>
  <c r="Y6" i="16"/>
  <c r="AQ10" i="16"/>
  <c r="D67" i="16"/>
  <c r="D101" i="16"/>
  <c r="D56" i="15"/>
  <c r="Z4" i="15"/>
  <c r="Y7" i="15"/>
  <c r="Y6" i="15"/>
  <c r="AQ10" i="15"/>
  <c r="D101" i="15"/>
  <c r="Z4" i="14"/>
  <c r="Y7" i="14"/>
  <c r="Y6" i="14"/>
  <c r="D73" i="14"/>
  <c r="AH164" i="13"/>
  <c r="AH163" i="13"/>
  <c r="AH150" i="13"/>
  <c r="AH159" i="13"/>
  <c r="AH154" i="13"/>
  <c r="AZ4" i="9"/>
  <c r="BA5" i="9"/>
  <c r="AZ7" i="9"/>
  <c r="AZ8" i="9"/>
  <c r="AZ6" i="9"/>
  <c r="AY8" i="11"/>
  <c r="AZ5" i="11"/>
  <c r="AY7" i="11"/>
  <c r="AY6" i="11"/>
  <c r="AY4" i="11"/>
  <c r="BL106" i="12"/>
  <c r="AJ105" i="13" s="1"/>
  <c r="BL105" i="12"/>
  <c r="AJ104" i="13" s="1"/>
  <c r="BL104" i="12"/>
  <c r="BL103" i="12"/>
  <c r="AJ102" i="13" s="1"/>
  <c r="BL102" i="12"/>
  <c r="AJ101" i="13" s="1"/>
  <c r="BL101" i="12"/>
  <c r="BL97" i="12"/>
  <c r="AJ99" i="13" s="1"/>
  <c r="BL96" i="12"/>
  <c r="BL94" i="12"/>
  <c r="AJ96" i="13" s="1"/>
  <c r="BL93" i="12"/>
  <c r="AJ95" i="13" s="1"/>
  <c r="BL92" i="12"/>
  <c r="BL91" i="12"/>
  <c r="AJ93" i="13" s="1"/>
  <c r="BL89" i="12"/>
  <c r="BL95" i="12"/>
  <c r="AJ97" i="13" s="1"/>
  <c r="BL90" i="12"/>
  <c r="BL85" i="12"/>
  <c r="AJ90" i="13" s="1"/>
  <c r="BL84" i="12"/>
  <c r="AJ89" i="13" s="1"/>
  <c r="BL83" i="12"/>
  <c r="AJ88" i="13" s="1"/>
  <c r="BL80" i="12"/>
  <c r="BL79" i="12"/>
  <c r="AJ84" i="13" s="1"/>
  <c r="BL78" i="12"/>
  <c r="AJ83" i="13" s="1"/>
  <c r="BL75" i="12"/>
  <c r="BL73" i="12"/>
  <c r="AJ77" i="13" s="1"/>
  <c r="BL82" i="12"/>
  <c r="AJ87" i="13" s="1"/>
  <c r="BL81" i="12"/>
  <c r="AJ86" i="13" s="1"/>
  <c r="BL77" i="12"/>
  <c r="AJ82" i="13" s="1"/>
  <c r="BL76" i="12"/>
  <c r="BL64" i="12"/>
  <c r="AJ74" i="13" s="1"/>
  <c r="BL59" i="12"/>
  <c r="AJ72" i="13" s="1"/>
  <c r="BL58" i="12"/>
  <c r="BL29" i="12"/>
  <c r="BL52" i="12"/>
  <c r="AJ70" i="13" s="1"/>
  <c r="BL30" i="12"/>
  <c r="AJ48" i="13" s="1"/>
  <c r="BL33" i="12"/>
  <c r="AJ51" i="13" s="1"/>
  <c r="BL34" i="12"/>
  <c r="AJ52" i="13" s="1"/>
  <c r="BL35" i="12"/>
  <c r="AJ53" i="13" s="1"/>
  <c r="BL36" i="12"/>
  <c r="BL37" i="12"/>
  <c r="AJ55" i="13" s="1"/>
  <c r="BL38" i="12"/>
  <c r="AJ56" i="13" s="1"/>
  <c r="BL39" i="12"/>
  <c r="AJ57" i="13" s="1"/>
  <c r="BL31" i="12"/>
  <c r="AJ49" i="13" s="1"/>
  <c r="BL40" i="12"/>
  <c r="AJ58" i="13" s="1"/>
  <c r="BL41" i="12"/>
  <c r="AJ59" i="13" s="1"/>
  <c r="BL28" i="12"/>
  <c r="BL32" i="12"/>
  <c r="AJ50" i="13" s="1"/>
  <c r="BL46" i="12"/>
  <c r="AJ64" i="13" s="1"/>
  <c r="BL47" i="12"/>
  <c r="AJ65" i="13" s="1"/>
  <c r="BL48" i="12"/>
  <c r="BL49" i="12"/>
  <c r="AJ67" i="13" s="1"/>
  <c r="BL50" i="12"/>
  <c r="AJ68" i="13" s="1"/>
  <c r="BL51" i="12"/>
  <c r="AJ69" i="13" s="1"/>
  <c r="BL21" i="12"/>
  <c r="AJ45" i="13" s="1"/>
  <c r="BL20" i="12"/>
  <c r="AJ44" i="13" s="1"/>
  <c r="BC90" i="30" s="1"/>
  <c r="U90" i="30" s="1"/>
  <c r="BL19" i="12"/>
  <c r="AJ43" i="13" s="1"/>
  <c r="BL18" i="12"/>
  <c r="BL14" i="12"/>
  <c r="AJ41" i="13" s="1"/>
  <c r="BL13" i="12"/>
  <c r="AJ40" i="13" s="1"/>
  <c r="BL12" i="12"/>
  <c r="BL8" i="12"/>
  <c r="BL4" i="12"/>
  <c r="BL6" i="12"/>
  <c r="BM5" i="12"/>
  <c r="BM63" i="12" s="1"/>
  <c r="BL7" i="12"/>
  <c r="AI7" i="13"/>
  <c r="AJ5" i="13"/>
  <c r="AI4" i="13"/>
  <c r="AI8" i="13"/>
  <c r="AI6" i="13"/>
  <c r="AH4" i="12"/>
  <c r="AG7" i="12"/>
  <c r="AG6" i="12"/>
  <c r="V7" i="11"/>
  <c r="W4" i="11"/>
  <c r="V6" i="11"/>
  <c r="AZ4" i="10"/>
  <c r="BA5" i="10"/>
  <c r="AZ8" i="10"/>
  <c r="AZ7" i="10"/>
  <c r="AZ6" i="10"/>
  <c r="BH48" i="8"/>
  <c r="BI49" i="8"/>
  <c r="BH50" i="8"/>
  <c r="BH51" i="8"/>
  <c r="BH52" i="8"/>
  <c r="X4" i="9"/>
  <c r="W7" i="9"/>
  <c r="W6" i="9"/>
  <c r="AE77" i="8"/>
  <c r="AE76" i="8"/>
  <c r="AF74" i="8"/>
  <c r="AF48" i="8"/>
  <c r="AE51" i="8"/>
  <c r="AE50" i="8"/>
  <c r="AE9" i="8"/>
  <c r="AF7" i="8"/>
  <c r="AE10" i="8"/>
  <c r="BI11" i="8"/>
  <c r="BJ8" i="8"/>
  <c r="BI7" i="8"/>
  <c r="BI15" i="8" s="1" a="1"/>
  <c r="BI15" i="8" s="1"/>
  <c r="BI10" i="8"/>
  <c r="BI9" i="8"/>
  <c r="BH78" i="8"/>
  <c r="BH77" i="8"/>
  <c r="BH76" i="8"/>
  <c r="BI75" i="8"/>
  <c r="BH74" i="8"/>
  <c r="AY42" i="17" l="1"/>
  <c r="AQ64" i="17" a="1"/>
  <c r="AQ64" i="17" s="1"/>
  <c r="AF64" i="17" a="1"/>
  <c r="AF64" i="17" s="1"/>
  <c r="AH64" i="17" a="1"/>
  <c r="AH64" i="17" s="1"/>
  <c r="N64" i="17" s="1"/>
  <c r="BC64" i="17" a="1"/>
  <c r="BC64" i="17" s="1"/>
  <c r="AX64" i="17" a="1"/>
  <c r="AX64" i="17" s="1"/>
  <c r="AY64" i="17" a="1"/>
  <c r="AY64" i="17" s="1"/>
  <c r="AV64" i="17" a="1"/>
  <c r="AV64" i="17" s="1"/>
  <c r="AJ64" i="17" a="1"/>
  <c r="AJ64" i="17" s="1"/>
  <c r="AZ64" i="17" a="1"/>
  <c r="AZ64" i="17" s="1"/>
  <c r="T64" i="17" s="1"/>
  <c r="AO64" i="17" a="1"/>
  <c r="AO64" i="17" s="1"/>
  <c r="AN64" i="17" a="1"/>
  <c r="AN64" i="17" s="1"/>
  <c r="P64" i="17" s="1"/>
  <c r="AI64" i="17" a="1"/>
  <c r="AI64" i="17" s="1"/>
  <c r="AE115" i="13"/>
  <c r="AR64" i="17" a="1"/>
  <c r="AR64" i="17" s="1"/>
  <c r="AK64" i="17" a="1"/>
  <c r="AK64" i="17" s="1"/>
  <c r="O64" i="17" s="1"/>
  <c r="AS64" i="17" a="1"/>
  <c r="AS64" i="17" s="1"/>
  <c r="BA64" i="17" a="1"/>
  <c r="BA64" i="17" s="1"/>
  <c r="AT64" i="17" a="1"/>
  <c r="AT64" i="17" s="1"/>
  <c r="R64" i="17" s="1"/>
  <c r="AL64" i="17" a="1"/>
  <c r="AL64" i="17" s="1"/>
  <c r="AU64" i="17" a="1"/>
  <c r="AU64" i="17" s="1"/>
  <c r="AM64" i="17" a="1"/>
  <c r="AM64" i="17" s="1"/>
  <c r="AP64" i="17" a="1"/>
  <c r="AP64" i="17" s="1"/>
  <c r="AG64" i="17" a="1"/>
  <c r="AG64" i="17" s="1"/>
  <c r="AW64" i="17" a="1"/>
  <c r="AW64" i="17" s="1"/>
  <c r="S64" i="17" s="1"/>
  <c r="BJ87" i="20"/>
  <c r="AG132" i="13" s="1"/>
  <c r="AG128" i="13"/>
  <c r="AD63" i="20"/>
  <c r="AG111" i="13"/>
  <c r="AG108" i="13" s="1"/>
  <c r="AF96" i="8"/>
  <c r="AF97" i="8" s="1"/>
  <c r="AE99" i="8"/>
  <c r="BI82" i="20"/>
  <c r="AJ94" i="13"/>
  <c r="AJ32" i="13" a="1"/>
  <c r="AJ32" i="13" s="1"/>
  <c r="AJ60" i="13"/>
  <c r="AJ17" i="13" a="1"/>
  <c r="AJ17" i="13" s="1"/>
  <c r="AJ98" i="13"/>
  <c r="AJ31" i="13" a="1"/>
  <c r="AJ31" i="13" s="1"/>
  <c r="AJ80" i="13"/>
  <c r="AJ24" i="13" a="1"/>
  <c r="AJ24" i="13" s="1"/>
  <c r="AJ100" i="13"/>
  <c r="AJ33" i="13" a="1"/>
  <c r="AJ33" i="13" s="1"/>
  <c r="BD105" i="17"/>
  <c r="BC107" i="17"/>
  <c r="BC109" i="17" s="1"/>
  <c r="BC103" i="17" s="1"/>
  <c r="AJ42" i="13"/>
  <c r="AJ15" i="13" a="1"/>
  <c r="AJ15" i="13" s="1"/>
  <c r="AJ149" i="13" s="1"/>
  <c r="AJ66" i="13"/>
  <c r="AJ19" i="13" a="1"/>
  <c r="AJ19" i="13" s="1"/>
  <c r="AJ85" i="13"/>
  <c r="AJ28" i="13" a="1"/>
  <c r="AJ28" i="13" s="1"/>
  <c r="AJ103" i="13"/>
  <c r="AJ34" i="13" a="1"/>
  <c r="AJ34" i="13" s="1"/>
  <c r="AJ81" i="13"/>
  <c r="AJ27" i="13" a="1"/>
  <c r="AJ27" i="13" s="1"/>
  <c r="AJ47" i="13"/>
  <c r="AJ13" i="13" a="1"/>
  <c r="AJ13" i="13" s="1"/>
  <c r="AJ71" i="13"/>
  <c r="AJ21" i="13" a="1"/>
  <c r="AJ21" i="13" s="1"/>
  <c r="AJ151" i="13" s="1"/>
  <c r="AJ91" i="13"/>
  <c r="AJ29" i="13" a="1"/>
  <c r="AJ29" i="13" s="1"/>
  <c r="BC99" i="17"/>
  <c r="BC101" i="17" s="1"/>
  <c r="BC96" i="17" s="1"/>
  <c r="AJ46" i="13"/>
  <c r="AJ16" i="13" a="1"/>
  <c r="AJ16" i="13" s="1"/>
  <c r="AJ54" i="13"/>
  <c r="AJ18" i="13" a="1"/>
  <c r="AJ18" i="13" s="1"/>
  <c r="AJ92" i="13"/>
  <c r="AJ30" i="13" a="1"/>
  <c r="AJ30" i="13" s="1"/>
  <c r="AJ38" i="13"/>
  <c r="AJ12" i="13" a="1"/>
  <c r="AJ12" i="13" s="1"/>
  <c r="AJ148" i="13" s="1"/>
  <c r="BJ85" i="20"/>
  <c r="AG130" i="13" s="1"/>
  <c r="BJ86" i="20"/>
  <c r="AG131" i="13" s="1"/>
  <c r="AN50" i="15"/>
  <c r="AI50" i="15"/>
  <c r="AR50" i="15"/>
  <c r="Q64" i="17"/>
  <c r="H64" i="17"/>
  <c r="AF50" i="15"/>
  <c r="BK90" i="20"/>
  <c r="AH134" i="13" s="1"/>
  <c r="BK108" i="20"/>
  <c r="BJ109" i="20" a="1"/>
  <c r="BJ109" i="20" s="1"/>
  <c r="BJ110" i="20"/>
  <c r="BJ111" i="20" a="1"/>
  <c r="BJ111" i="20" s="1"/>
  <c r="AL50" i="15"/>
  <c r="AM50" i="15"/>
  <c r="BK107" i="20"/>
  <c r="AD62" i="20"/>
  <c r="AZ41" i="17"/>
  <c r="E65" i="17" s="1" a="1"/>
  <c r="E65" i="17" s="1"/>
  <c r="BD65" i="17" s="1" a="1"/>
  <c r="BD65" i="17" s="1"/>
  <c r="BG114" i="20"/>
  <c r="BK83" i="20"/>
  <c r="BK76" i="20"/>
  <c r="AH122" i="13" s="1"/>
  <c r="BK77" i="20"/>
  <c r="AH123" i="13" s="1"/>
  <c r="BK91" i="20"/>
  <c r="AH135" i="13" s="1"/>
  <c r="BM42" i="12"/>
  <c r="BM43" i="12"/>
  <c r="AK61" i="13" s="1"/>
  <c r="BM44" i="12"/>
  <c r="AK62" i="13" s="1"/>
  <c r="BM45" i="12"/>
  <c r="AK63" i="13" s="1"/>
  <c r="BJ96" i="20"/>
  <c r="BH75" i="20"/>
  <c r="BH89" i="20"/>
  <c r="BM97" i="20"/>
  <c r="AJ140" i="13" s="1"/>
  <c r="BM52" i="20"/>
  <c r="X8" i="22"/>
  <c r="BB6" i="22"/>
  <c r="BC5" i="22"/>
  <c r="BB8" i="22"/>
  <c r="BB4" i="22"/>
  <c r="BB7" i="22"/>
  <c r="Y5" i="22"/>
  <c r="BA58" i="22"/>
  <c r="AZ58" i="22"/>
  <c r="AY58" i="22"/>
  <c r="AX58" i="22"/>
  <c r="AW58" i="22"/>
  <c r="AV58" i="22"/>
  <c r="AU58" i="22"/>
  <c r="AT58" i="22"/>
  <c r="AS58" i="22"/>
  <c r="AR58" i="22"/>
  <c r="AQ58" i="22"/>
  <c r="AP58" i="22"/>
  <c r="AO58" i="22"/>
  <c r="AN58" i="22"/>
  <c r="AM58" i="22"/>
  <c r="AL58" i="22"/>
  <c r="AK58" i="22"/>
  <c r="AJ58" i="22"/>
  <c r="AI58" i="22"/>
  <c r="AH58" i="22"/>
  <c r="D59" i="22"/>
  <c r="AG58" i="22"/>
  <c r="AF58" i="22"/>
  <c r="AE58" i="22"/>
  <c r="BA109" i="22"/>
  <c r="AZ109" i="22"/>
  <c r="AY109" i="22"/>
  <c r="AX109" i="22"/>
  <c r="AW109" i="22"/>
  <c r="AV109" i="22"/>
  <c r="AU109" i="22"/>
  <c r="AT109" i="22"/>
  <c r="AS109" i="22"/>
  <c r="AR109" i="22"/>
  <c r="AQ109" i="22"/>
  <c r="AP109" i="22"/>
  <c r="AO109" i="22"/>
  <c r="AN109" i="22"/>
  <c r="AM109" i="22"/>
  <c r="AL109" i="22"/>
  <c r="AK109" i="22"/>
  <c r="AJ109" i="22"/>
  <c r="AI109" i="22"/>
  <c r="AH109" i="22"/>
  <c r="D110" i="22"/>
  <c r="AG109" i="22"/>
  <c r="AF109" i="22"/>
  <c r="AE109" i="22"/>
  <c r="BN54" i="20"/>
  <c r="BJ60" i="20"/>
  <c r="BK65" i="20"/>
  <c r="AH113" i="13" s="1"/>
  <c r="BK64" i="20"/>
  <c r="AH112" i="13" s="1"/>
  <c r="BK63" i="20"/>
  <c r="AH111" i="13" s="1"/>
  <c r="BK62" i="20"/>
  <c r="BK101" i="20"/>
  <c r="AH144" i="13" s="1"/>
  <c r="BK99" i="20"/>
  <c r="AH142" i="13" s="1"/>
  <c r="BK100" i="20"/>
  <c r="AH143" i="13" s="1"/>
  <c r="BL102" i="20"/>
  <c r="AI145" i="13" s="1"/>
  <c r="BL81" i="20"/>
  <c r="AI127" i="13" s="1"/>
  <c r="BL88" i="20"/>
  <c r="AI133" i="13" s="1"/>
  <c r="BL95" i="20"/>
  <c r="AI139" i="13" s="1"/>
  <c r="BN57" i="20"/>
  <c r="BN97" i="20" s="1"/>
  <c r="AK140" i="13" s="1"/>
  <c r="BN56" i="20"/>
  <c r="BN55" i="20"/>
  <c r="BJ115" i="20"/>
  <c r="BI68" i="20"/>
  <c r="BI106" i="20"/>
  <c r="BJ71" i="20"/>
  <c r="AG118" i="13" s="1"/>
  <c r="BJ73" i="20"/>
  <c r="AG120" i="13" s="1"/>
  <c r="BJ72" i="20"/>
  <c r="AG119" i="13" s="1"/>
  <c r="BL22" i="20"/>
  <c r="BL32" i="20"/>
  <c r="BL35" i="20"/>
  <c r="BL11" i="20"/>
  <c r="BL26" i="20"/>
  <c r="BL30" i="20"/>
  <c r="BL28" i="20"/>
  <c r="BL33" i="20"/>
  <c r="BL24" i="20"/>
  <c r="BL27" i="20"/>
  <c r="BL29" i="20"/>
  <c r="BL74" i="20"/>
  <c r="AI121" i="13" s="1"/>
  <c r="BL18" i="20"/>
  <c r="BL12" i="20"/>
  <c r="BL25" i="20"/>
  <c r="BL34" i="20"/>
  <c r="BL17" i="20"/>
  <c r="BL21" i="20"/>
  <c r="BL15" i="20"/>
  <c r="BL23" i="20"/>
  <c r="BL20" i="20"/>
  <c r="BL16" i="20"/>
  <c r="BL14" i="20"/>
  <c r="BL31" i="20"/>
  <c r="BL19" i="20"/>
  <c r="BL13" i="20"/>
  <c r="BM7" i="20"/>
  <c r="BN5" i="20"/>
  <c r="BM8" i="20"/>
  <c r="BM6" i="20"/>
  <c r="BM4" i="20"/>
  <c r="BK61" i="20"/>
  <c r="AH109" i="13" s="1"/>
  <c r="BK69" i="20"/>
  <c r="AH116" i="13" s="1"/>
  <c r="BK10" i="20"/>
  <c r="BK70" i="20"/>
  <c r="AH117" i="13" s="1"/>
  <c r="AJ5" i="20"/>
  <c r="BO53" i="20"/>
  <c r="AI8" i="20"/>
  <c r="BD64" i="17" a="1"/>
  <c r="BD64" i="17" s="1"/>
  <c r="BD63" i="17" a="1"/>
  <c r="BD63" i="17" s="1"/>
  <c r="BD62" i="17" a="1"/>
  <c r="BD62" i="17" s="1"/>
  <c r="BD61" i="17" a="1"/>
  <c r="BD61" i="17" s="1"/>
  <c r="BD60" i="17" a="1"/>
  <c r="BD60" i="17" s="1"/>
  <c r="BD59" i="17" a="1"/>
  <c r="BD59" i="17" s="1"/>
  <c r="BD58" i="17" a="1"/>
  <c r="BD58" i="17" s="1"/>
  <c r="BD57" i="17" a="1"/>
  <c r="BD57" i="17" s="1"/>
  <c r="BD148" i="17"/>
  <c r="BD56" i="17" a="1"/>
  <c r="BD56" i="17" s="1"/>
  <c r="BD147" i="17"/>
  <c r="BD55" i="17" a="1"/>
  <c r="BD55" i="17" s="1"/>
  <c r="BD45" i="17" a="1"/>
  <c r="BD45" i="17" s="1"/>
  <c r="BD46" i="17" a="1"/>
  <c r="BD46" i="17" s="1"/>
  <c r="BD48" i="17" a="1"/>
  <c r="BD48" i="17" s="1"/>
  <c r="BD141" i="17"/>
  <c r="BD143" i="17"/>
  <c r="BD146" i="17"/>
  <c r="BD137" i="17"/>
  <c r="BD47" i="17" a="1"/>
  <c r="BD47" i="17" s="1"/>
  <c r="BD140" i="17"/>
  <c r="BD142" i="17"/>
  <c r="BD53" i="17" a="1"/>
  <c r="BD53" i="17" s="1"/>
  <c r="BD136" i="17"/>
  <c r="BD138" i="17"/>
  <c r="BD139" i="17"/>
  <c r="BD49" i="17" a="1"/>
  <c r="BD49" i="17" s="1"/>
  <c r="BD50" i="17" a="1"/>
  <c r="BD50" i="17" s="1"/>
  <c r="BD51" i="17" a="1"/>
  <c r="BD51" i="17" s="1"/>
  <c r="BD52" i="17" a="1"/>
  <c r="BD52" i="17" s="1"/>
  <c r="BD144" i="17"/>
  <c r="BD54" i="17" a="1"/>
  <c r="BD54" i="17" s="1"/>
  <c r="BD145" i="17"/>
  <c r="BE6" i="17"/>
  <c r="BE7" i="17"/>
  <c r="BF5" i="17"/>
  <c r="BE4" i="17"/>
  <c r="BE8" i="17"/>
  <c r="I64" i="17"/>
  <c r="U64" i="17"/>
  <c r="U62" i="17"/>
  <c r="I62" i="17"/>
  <c r="U61" i="17"/>
  <c r="I61" i="17"/>
  <c r="U58" i="17"/>
  <c r="I58" i="17"/>
  <c r="U63" i="17"/>
  <c r="I63" i="17"/>
  <c r="U60" i="17"/>
  <c r="I60" i="17"/>
  <c r="I59" i="17"/>
  <c r="U59" i="17"/>
  <c r="AO100" i="16"/>
  <c r="AL100" i="16"/>
  <c r="AJ100" i="16"/>
  <c r="AH100" i="16"/>
  <c r="AF100" i="16"/>
  <c r="AN100" i="16"/>
  <c r="AM100" i="16"/>
  <c r="AK100" i="16"/>
  <c r="AI100" i="16"/>
  <c r="AG100" i="16"/>
  <c r="AZ100" i="16"/>
  <c r="AY100" i="16"/>
  <c r="AX100" i="16"/>
  <c r="AV100" i="16"/>
  <c r="AU100" i="16"/>
  <c r="AS100" i="16"/>
  <c r="AR100" i="16"/>
  <c r="AP100" i="16"/>
  <c r="BA100" i="16"/>
  <c r="AW100" i="16"/>
  <c r="AT100" i="16"/>
  <c r="AQ100" i="16"/>
  <c r="AW50" i="15"/>
  <c r="AU50" i="15"/>
  <c r="AQ50" i="15"/>
  <c r="AS50" i="15"/>
  <c r="AG50" i="15"/>
  <c r="AH50" i="15"/>
  <c r="AP50" i="15"/>
  <c r="AV50" i="15"/>
  <c r="AY50" i="15"/>
  <c r="AJ50" i="15"/>
  <c r="BA50" i="15"/>
  <c r="AO50" i="15"/>
  <c r="AT50" i="15"/>
  <c r="BA98" i="16"/>
  <c r="AZ98" i="16"/>
  <c r="E99" i="16" a="1"/>
  <c r="E99" i="16" s="1"/>
  <c r="BM20" i="16"/>
  <c r="BB98" i="16"/>
  <c r="BB78" i="16"/>
  <c r="BB33" i="16"/>
  <c r="BB39" i="16"/>
  <c r="BB43" i="16"/>
  <c r="BB28" i="16"/>
  <c r="BB29" i="16"/>
  <c r="BB30" i="16"/>
  <c r="BB38" i="16"/>
  <c r="BB36" i="16"/>
  <c r="BB45" i="16"/>
  <c r="BB79" i="16"/>
  <c r="BB47" i="16"/>
  <c r="BB81" i="16"/>
  <c r="BB82" i="16"/>
  <c r="BB83" i="16"/>
  <c r="BB85" i="16"/>
  <c r="BB86" i="16"/>
  <c r="BB87" i="16"/>
  <c r="BB88" i="16"/>
  <c r="BB90" i="16"/>
  <c r="BB91" i="16"/>
  <c r="BB92" i="16"/>
  <c r="BB93" i="16"/>
  <c r="BB95" i="16"/>
  <c r="BB97" i="16"/>
  <c r="BB35" i="16"/>
  <c r="BB32" i="16"/>
  <c r="BB37" i="16"/>
  <c r="BB42" i="16"/>
  <c r="BB34" i="16"/>
  <c r="BB31" i="16"/>
  <c r="BB40" i="16"/>
  <c r="BB41" i="16"/>
  <c r="BB44" i="16"/>
  <c r="BB46" i="16"/>
  <c r="BB80" i="16"/>
  <c r="BB84" i="16"/>
  <c r="BB89" i="16"/>
  <c r="BB94" i="16"/>
  <c r="BB96" i="16"/>
  <c r="BC6" i="16"/>
  <c r="BC7" i="16"/>
  <c r="BC8" i="16"/>
  <c r="BD5" i="16"/>
  <c r="BC4" i="16"/>
  <c r="BB19" i="16"/>
  <c r="BB18" i="16" s="1"/>
  <c r="BB15" i="16"/>
  <c r="BB14" i="16" s="1"/>
  <c r="BB11" i="16"/>
  <c r="BA50" i="16"/>
  <c r="AW50" i="16"/>
  <c r="AZ50" i="16"/>
  <c r="AX50" i="16"/>
  <c r="AV50" i="16"/>
  <c r="AY50" i="16"/>
  <c r="AI155" i="13"/>
  <c r="BA98" i="15"/>
  <c r="AZ98" i="15"/>
  <c r="BC4" i="15"/>
  <c r="BC7" i="15"/>
  <c r="BC6" i="15"/>
  <c r="BD5" i="15"/>
  <c r="BC8" i="15"/>
  <c r="BB51" i="15" s="1"/>
  <c r="BB98" i="15"/>
  <c r="AZ50" i="15"/>
  <c r="AX50" i="15"/>
  <c r="BB97" i="15"/>
  <c r="BB96" i="15"/>
  <c r="BB95" i="15"/>
  <c r="BB94" i="15"/>
  <c r="BB93" i="15"/>
  <c r="BB91" i="15"/>
  <c r="BB92" i="15"/>
  <c r="BB47" i="15"/>
  <c r="BB46" i="15"/>
  <c r="BB89" i="15"/>
  <c r="BB90" i="15"/>
  <c r="BB45" i="15"/>
  <c r="BB44" i="15"/>
  <c r="BB88" i="15"/>
  <c r="BB43" i="15"/>
  <c r="BB87" i="15"/>
  <c r="BB42" i="15"/>
  <c r="BB86" i="15"/>
  <c r="BB41" i="15"/>
  <c r="BB85" i="15"/>
  <c r="BB40" i="15"/>
  <c r="BB84" i="15"/>
  <c r="BB39" i="15"/>
  <c r="BB83" i="15"/>
  <c r="BB38" i="15"/>
  <c r="BB37" i="15"/>
  <c r="BB82" i="15"/>
  <c r="BB81" i="15"/>
  <c r="BB36" i="15"/>
  <c r="BB80" i="15"/>
  <c r="BB35" i="15"/>
  <c r="BB79" i="15"/>
  <c r="BB34" i="15"/>
  <c r="BB15" i="15" a="1"/>
  <c r="BB15" i="15" s="1"/>
  <c r="BB14" i="15" s="1"/>
  <c r="BB32" i="15"/>
  <c r="BB78" i="15"/>
  <c r="BB28" i="15"/>
  <c r="BB19" i="15" a="1"/>
  <c r="BB19" i="15" s="1"/>
  <c r="BB18" i="15" s="1"/>
  <c r="BB31" i="15"/>
  <c r="BB11" i="15" a="1"/>
  <c r="BB11" i="15" s="1"/>
  <c r="BB30" i="15"/>
  <c r="BB29" i="15"/>
  <c r="BB33" i="15"/>
  <c r="E99" i="15" a="1"/>
  <c r="E99" i="15" s="1"/>
  <c r="BM20" i="15"/>
  <c r="E49" i="15" a="1"/>
  <c r="E49" i="15" s="1"/>
  <c r="BD16" i="15"/>
  <c r="BA100" i="15"/>
  <c r="AZ100" i="15"/>
  <c r="AY100" i="15"/>
  <c r="AX100" i="15"/>
  <c r="AW100" i="15"/>
  <c r="AV100" i="15"/>
  <c r="AU100" i="15"/>
  <c r="AT100" i="15"/>
  <c r="AS100" i="15"/>
  <c r="AR100" i="15"/>
  <c r="AQ100" i="15"/>
  <c r="AP100" i="15"/>
  <c r="AO100" i="15"/>
  <c r="AN100" i="15"/>
  <c r="AM100" i="15"/>
  <c r="AL100" i="15"/>
  <c r="AK100" i="15"/>
  <c r="AJ100" i="15"/>
  <c r="AI100" i="15"/>
  <c r="AH100" i="15"/>
  <c r="AG100" i="15"/>
  <c r="AF100" i="15"/>
  <c r="AO69" i="14"/>
  <c r="AL69" i="14"/>
  <c r="AI69" i="14"/>
  <c r="AF69" i="14"/>
  <c r="AQ69" i="14"/>
  <c r="AS69" i="14"/>
  <c r="AV69" i="14"/>
  <c r="AM69" i="14"/>
  <c r="AU69" i="14"/>
  <c r="AH69" i="14"/>
  <c r="AP69" i="14"/>
  <c r="AT69" i="14"/>
  <c r="AZ69" i="14"/>
  <c r="AW69" i="14"/>
  <c r="AR69" i="14"/>
  <c r="AK69" i="14"/>
  <c r="AX69" i="14"/>
  <c r="AN69" i="14"/>
  <c r="AY69" i="14"/>
  <c r="AG69" i="14"/>
  <c r="AJ69" i="14"/>
  <c r="D69" i="17"/>
  <c r="D160" i="17"/>
  <c r="BB159" i="17"/>
  <c r="BA159" i="17"/>
  <c r="AZ159" i="17"/>
  <c r="AY159" i="17"/>
  <c r="AX159" i="17"/>
  <c r="AW159" i="17"/>
  <c r="AV159" i="17"/>
  <c r="AU159" i="17"/>
  <c r="AT159" i="17"/>
  <c r="AS159" i="17"/>
  <c r="AR159" i="17"/>
  <c r="AQ159" i="17"/>
  <c r="AP159" i="17"/>
  <c r="AO159" i="17"/>
  <c r="AN159" i="17"/>
  <c r="AM159" i="17"/>
  <c r="AL159" i="17"/>
  <c r="AK159" i="17"/>
  <c r="AJ159" i="17"/>
  <c r="AI159" i="17"/>
  <c r="AH159" i="17"/>
  <c r="AG159" i="17"/>
  <c r="AF159" i="17"/>
  <c r="BB48" i="14"/>
  <c r="BB47" i="14"/>
  <c r="BB49" i="14"/>
  <c r="BB50" i="14"/>
  <c r="BB51" i="14"/>
  <c r="BB52" i="14"/>
  <c r="BB53" i="14"/>
  <c r="BB54" i="14"/>
  <c r="BB55" i="14"/>
  <c r="BB56" i="14"/>
  <c r="BB57" i="14"/>
  <c r="BD5" i="14"/>
  <c r="BC6" i="14"/>
  <c r="BC7" i="14"/>
  <c r="BC8" i="14"/>
  <c r="BC4" i="14"/>
  <c r="AI163" i="13"/>
  <c r="AI154" i="13"/>
  <c r="Z5" i="16"/>
  <c r="AQ25" i="16"/>
  <c r="AR12" i="16"/>
  <c r="AQ22" i="16"/>
  <c r="AQ27" i="14" s="1"/>
  <c r="D68" i="16"/>
  <c r="D102" i="16"/>
  <c r="Y8" i="16"/>
  <c r="D57" i="15"/>
  <c r="Z5" i="15"/>
  <c r="AQ22" i="15"/>
  <c r="AQ25" i="14" s="1"/>
  <c r="AQ25" i="15"/>
  <c r="AR12" i="15"/>
  <c r="D102" i="15"/>
  <c r="Y8" i="15"/>
  <c r="Z5" i="14"/>
  <c r="D74" i="14"/>
  <c r="Y8" i="14"/>
  <c r="AI160" i="13"/>
  <c r="AI159" i="13"/>
  <c r="AI150" i="13"/>
  <c r="AI164" i="13"/>
  <c r="BA7" i="9"/>
  <c r="BA8" i="9"/>
  <c r="BA4" i="9"/>
  <c r="BB5" i="9"/>
  <c r="BA6" i="9"/>
  <c r="BA5" i="11"/>
  <c r="AZ7" i="11"/>
  <c r="AZ4" i="11"/>
  <c r="AZ8" i="11"/>
  <c r="AZ6" i="11"/>
  <c r="Q79" i="12"/>
  <c r="BM106" i="12"/>
  <c r="AK105" i="13" s="1"/>
  <c r="BM105" i="12"/>
  <c r="AK104" i="13" s="1"/>
  <c r="BM104" i="12"/>
  <c r="BM103" i="12"/>
  <c r="AK102" i="13" s="1"/>
  <c r="BM102" i="12"/>
  <c r="AK101" i="13" s="1"/>
  <c r="BM101" i="12"/>
  <c r="BM97" i="12"/>
  <c r="AK99" i="13" s="1"/>
  <c r="BM95" i="12"/>
  <c r="AK97" i="13" s="1"/>
  <c r="BM93" i="12"/>
  <c r="AK95" i="13" s="1"/>
  <c r="BM92" i="12"/>
  <c r="BM91" i="12"/>
  <c r="AK93" i="13" s="1"/>
  <c r="BM90" i="12"/>
  <c r="BM89" i="12"/>
  <c r="BM96" i="12"/>
  <c r="BM94" i="12"/>
  <c r="AK96" i="13" s="1"/>
  <c r="BM82" i="12"/>
  <c r="AK87" i="13" s="1"/>
  <c r="BM85" i="12"/>
  <c r="AK90" i="13" s="1"/>
  <c r="BM81" i="12"/>
  <c r="AK86" i="13" s="1"/>
  <c r="BM77" i="12"/>
  <c r="AK82" i="13" s="1"/>
  <c r="BM76" i="12"/>
  <c r="BM80" i="12"/>
  <c r="BM79" i="12"/>
  <c r="AK84" i="13" s="1"/>
  <c r="BM78" i="12"/>
  <c r="AK83" i="13" s="1"/>
  <c r="BM75" i="12"/>
  <c r="BM73" i="12"/>
  <c r="AK77" i="13" s="1"/>
  <c r="BM84" i="12"/>
  <c r="AK89" i="13" s="1"/>
  <c r="BM83" i="12"/>
  <c r="AK88" i="13" s="1"/>
  <c r="BM64" i="12"/>
  <c r="AK74" i="13" s="1"/>
  <c r="BM59" i="12"/>
  <c r="AK72" i="13" s="1"/>
  <c r="BM58" i="12"/>
  <c r="BM30" i="12"/>
  <c r="AK48" i="13" s="1"/>
  <c r="BM51" i="12"/>
  <c r="AK69" i="13" s="1"/>
  <c r="BM50" i="12"/>
  <c r="AK68" i="13" s="1"/>
  <c r="BM49" i="12"/>
  <c r="AK67" i="13" s="1"/>
  <c r="BM48" i="12"/>
  <c r="BM47" i="12"/>
  <c r="AK65" i="13" s="1"/>
  <c r="BM46" i="12"/>
  <c r="AK64" i="13" s="1"/>
  <c r="BM41" i="12"/>
  <c r="AK59" i="13" s="1"/>
  <c r="BM40" i="12"/>
  <c r="AK58" i="13" s="1"/>
  <c r="BM52" i="12"/>
  <c r="AK70" i="13" s="1"/>
  <c r="BM29" i="12"/>
  <c r="BM39" i="12"/>
  <c r="AK57" i="13" s="1"/>
  <c r="BM38" i="12"/>
  <c r="AK56" i="13" s="1"/>
  <c r="BM37" i="12"/>
  <c r="AK55" i="13" s="1"/>
  <c r="BM36" i="12"/>
  <c r="BM35" i="12"/>
  <c r="AK53" i="13" s="1"/>
  <c r="BM34" i="12"/>
  <c r="AK52" i="13" s="1"/>
  <c r="BM33" i="12"/>
  <c r="AK51" i="13" s="1"/>
  <c r="BM32" i="12"/>
  <c r="AK50" i="13" s="1"/>
  <c r="BM31" i="12"/>
  <c r="AK49" i="13" s="1"/>
  <c r="BM28" i="12"/>
  <c r="BM21" i="12"/>
  <c r="AK45" i="13" s="1"/>
  <c r="BM20" i="12"/>
  <c r="AK44" i="13" s="1"/>
  <c r="BD90" i="30" s="1"/>
  <c r="BM19" i="12"/>
  <c r="AK43" i="13" s="1"/>
  <c r="BM18" i="12"/>
  <c r="BM12" i="12"/>
  <c r="BM14" i="12"/>
  <c r="AK41" i="13" s="1"/>
  <c r="BM13" i="12"/>
  <c r="AK40" i="13" s="1"/>
  <c r="BM4" i="12"/>
  <c r="BM8" i="12"/>
  <c r="BM6" i="12"/>
  <c r="BM7" i="12"/>
  <c r="BN5" i="12"/>
  <c r="BN63" i="12" s="1"/>
  <c r="AJ4" i="13"/>
  <c r="AJ8" i="13"/>
  <c r="AJ7" i="13"/>
  <c r="AK5" i="13"/>
  <c r="AJ6" i="13"/>
  <c r="AG8" i="12"/>
  <c r="AH5" i="12"/>
  <c r="W5" i="11"/>
  <c r="V8" i="11"/>
  <c r="BA4" i="10"/>
  <c r="BA8" i="10"/>
  <c r="BA7" i="10"/>
  <c r="BA6" i="10"/>
  <c r="BB5" i="10"/>
  <c r="BI48" i="8"/>
  <c r="BI50" i="8"/>
  <c r="BJ49" i="8"/>
  <c r="BI51" i="8"/>
  <c r="BI52" i="8"/>
  <c r="X5" i="9"/>
  <c r="W8" i="9"/>
  <c r="AF75" i="8"/>
  <c r="AF49" i="8"/>
  <c r="AF8" i="8"/>
  <c r="AE11" i="8"/>
  <c r="AE78" i="8"/>
  <c r="AE52" i="8"/>
  <c r="BJ7" i="8"/>
  <c r="BJ15" i="8" s="1" a="1"/>
  <c r="BJ15" i="8" s="1"/>
  <c r="BJ11" i="8"/>
  <c r="BK8" i="8"/>
  <c r="BJ10" i="8"/>
  <c r="BJ9" i="8"/>
  <c r="BI74" i="8"/>
  <c r="BJ75" i="8"/>
  <c r="BI78" i="8"/>
  <c r="BI77" i="8"/>
  <c r="BI76" i="8"/>
  <c r="AF98" i="8" l="1"/>
  <c r="BA41" i="17"/>
  <c r="E66" i="17" s="1" a="1"/>
  <c r="E66" i="17" s="1"/>
  <c r="BD66" i="17" s="1" a="1"/>
  <c r="BD66" i="17" s="1"/>
  <c r="AH110" i="13"/>
  <c r="AG95" i="8"/>
  <c r="BK85" i="20"/>
  <c r="AH130" i="13" s="1"/>
  <c r="AH128" i="13"/>
  <c r="AF15" i="8" a="1"/>
  <c r="AF15" i="8" s="1"/>
  <c r="BJ82" i="20"/>
  <c r="AK71" i="13"/>
  <c r="AK160" i="13" s="1"/>
  <c r="AK21" i="13" a="1"/>
  <c r="AK21" i="13" s="1"/>
  <c r="AK151" i="13" s="1"/>
  <c r="AK54" i="13"/>
  <c r="AK18" i="13" a="1"/>
  <c r="AK18" i="13" s="1"/>
  <c r="AK98" i="13"/>
  <c r="AK31" i="13" a="1"/>
  <c r="AK31" i="13" s="1"/>
  <c r="AK60" i="13"/>
  <c r="AK17" i="13" a="1"/>
  <c r="AK17" i="13" s="1"/>
  <c r="AK91" i="13"/>
  <c r="AK29" i="13" a="1"/>
  <c r="AK29" i="13" s="1"/>
  <c r="AK92" i="13"/>
  <c r="AK30" i="13" a="1"/>
  <c r="AK30" i="13" s="1"/>
  <c r="AK47" i="13"/>
  <c r="AK13" i="13" a="1"/>
  <c r="AK13" i="13" s="1"/>
  <c r="AK94" i="13"/>
  <c r="AK32" i="13" a="1"/>
  <c r="AK32" i="13" s="1"/>
  <c r="AK38" i="13"/>
  <c r="AK12" i="13" a="1"/>
  <c r="AK12" i="13" s="1"/>
  <c r="AK148" i="13" s="1"/>
  <c r="AK80" i="13"/>
  <c r="AK24" i="13" a="1"/>
  <c r="AK24" i="13" s="1"/>
  <c r="AK42" i="13"/>
  <c r="AK15" i="13" a="1"/>
  <c r="AK15" i="13" s="1"/>
  <c r="AK149" i="13" s="1"/>
  <c r="AZ42" i="17"/>
  <c r="AK103" i="13"/>
  <c r="AK34" i="13" a="1"/>
  <c r="AK34" i="13" s="1"/>
  <c r="AK85" i="13"/>
  <c r="AK28" i="13" a="1"/>
  <c r="AK28" i="13" s="1"/>
  <c r="AK81" i="13"/>
  <c r="AK27" i="13" a="1"/>
  <c r="AK27" i="13" s="1"/>
  <c r="AK100" i="13"/>
  <c r="AK33" i="13" a="1"/>
  <c r="AK33" i="13" s="1"/>
  <c r="BE105" i="17"/>
  <c r="BD107" i="17"/>
  <c r="BD109" i="17" s="1"/>
  <c r="BD103" i="17" s="1"/>
  <c r="AK66" i="13"/>
  <c r="AK19" i="13" a="1"/>
  <c r="AK19" i="13" s="1"/>
  <c r="BD99" i="17"/>
  <c r="BD101" i="17" s="1"/>
  <c r="BD96" i="17" s="1"/>
  <c r="AK46" i="13"/>
  <c r="AK16" i="13" a="1"/>
  <c r="AK16" i="13" s="1"/>
  <c r="BK87" i="20"/>
  <c r="AH132" i="13" s="1"/>
  <c r="BK86" i="20"/>
  <c r="AH131" i="13" s="1"/>
  <c r="BK109" i="20" a="1"/>
  <c r="BK109" i="20" s="1"/>
  <c r="BK110" i="20"/>
  <c r="BK111" i="20" a="1"/>
  <c r="BK111" i="20" s="1"/>
  <c r="BL107" i="20"/>
  <c r="AZ51" i="15"/>
  <c r="AT66" i="17" a="1"/>
  <c r="AT66" i="17" s="1"/>
  <c r="R66" i="17" s="1"/>
  <c r="AK66" i="17" a="1"/>
  <c r="AK66" i="17" s="1"/>
  <c r="O66" i="17" s="1"/>
  <c r="BL90" i="20"/>
  <c r="AI134" i="13" s="1"/>
  <c r="BL108" i="20"/>
  <c r="BL83" i="20"/>
  <c r="AZ65" i="17" a="1"/>
  <c r="AZ65" i="17" s="1"/>
  <c r="T65" i="17" s="1"/>
  <c r="AJ65" i="17" a="1"/>
  <c r="AJ65" i="17" s="1"/>
  <c r="AY65" i="17" a="1"/>
  <c r="AY65" i="17" s="1"/>
  <c r="AI65" i="17" a="1"/>
  <c r="AI65" i="17" s="1"/>
  <c r="AK65" i="17" a="1"/>
  <c r="AK65" i="17" s="1"/>
  <c r="O65" i="17" s="1"/>
  <c r="AX65" i="17" a="1"/>
  <c r="AX65" i="17" s="1"/>
  <c r="AH65" i="17" a="1"/>
  <c r="AH65" i="17" s="1"/>
  <c r="N65" i="17" s="1"/>
  <c r="AW65" i="17" a="1"/>
  <c r="AW65" i="17" s="1"/>
  <c r="S65" i="17" s="1"/>
  <c r="AG65" i="17" a="1"/>
  <c r="AG65" i="17" s="1"/>
  <c r="BA65" i="17" a="1"/>
  <c r="BA65" i="17" s="1"/>
  <c r="AV65" i="17" a="1"/>
  <c r="AV65" i="17" s="1"/>
  <c r="AF65" i="17" a="1"/>
  <c r="AF65" i="17" s="1"/>
  <c r="AU65" i="17" a="1"/>
  <c r="AU65" i="17" s="1"/>
  <c r="AT65" i="17" a="1"/>
  <c r="AT65" i="17" s="1"/>
  <c r="R65" i="17" s="1"/>
  <c r="AS65" i="17" a="1"/>
  <c r="AS65" i="17" s="1"/>
  <c r="AR65" i="17" a="1"/>
  <c r="AR65" i="17" s="1"/>
  <c r="AM65" i="17" a="1"/>
  <c r="AM65" i="17" s="1"/>
  <c r="AQ65" i="17" a="1"/>
  <c r="AQ65" i="17" s="1"/>
  <c r="AP65" i="17" a="1"/>
  <c r="AP65" i="17" s="1"/>
  <c r="AO65" i="17" a="1"/>
  <c r="AO65" i="17" s="1"/>
  <c r="AN65" i="17" a="1"/>
  <c r="AN65" i="17" s="1"/>
  <c r="P65" i="17" s="1"/>
  <c r="BB65" i="17" a="1"/>
  <c r="BB65" i="17" s="1"/>
  <c r="AL65" i="17" a="1"/>
  <c r="AL65" i="17" s="1"/>
  <c r="BC65" i="17" a="1"/>
  <c r="BC65" i="17" s="1"/>
  <c r="BL76" i="20"/>
  <c r="AI122" i="13" s="1"/>
  <c r="BL77" i="20"/>
  <c r="AI123" i="13" s="1"/>
  <c r="BL91" i="20"/>
  <c r="AI135" i="13" s="1"/>
  <c r="BH114" i="20"/>
  <c r="BN42" i="12"/>
  <c r="BN43" i="12"/>
  <c r="AL61" i="13" s="1"/>
  <c r="BN44" i="12"/>
  <c r="AL62" i="13" s="1"/>
  <c r="BN45" i="12"/>
  <c r="AL63" i="13" s="1"/>
  <c r="BJ106" i="20"/>
  <c r="BK96" i="20"/>
  <c r="BN52" i="20"/>
  <c r="AV51" i="16"/>
  <c r="AW51" i="16"/>
  <c r="AX51" i="16"/>
  <c r="AZ51" i="16"/>
  <c r="AY51" i="16"/>
  <c r="BA51" i="16"/>
  <c r="BD5" i="22"/>
  <c r="BC4" i="22"/>
  <c r="BC6" i="22"/>
  <c r="BC8" i="22"/>
  <c r="BC7" i="22"/>
  <c r="Z4" i="22"/>
  <c r="Y7" i="22"/>
  <c r="Y6" i="22"/>
  <c r="BB59" i="22"/>
  <c r="BA59" i="22"/>
  <c r="AZ59" i="22"/>
  <c r="AY59" i="22"/>
  <c r="AX59" i="22"/>
  <c r="AW59" i="22"/>
  <c r="AV59" i="22"/>
  <c r="AU59" i="22"/>
  <c r="AT59" i="22"/>
  <c r="AS59" i="22"/>
  <c r="AR59" i="22"/>
  <c r="AQ59" i="22"/>
  <c r="AP59" i="22"/>
  <c r="AO59" i="22"/>
  <c r="AN59" i="22"/>
  <c r="AM59" i="22"/>
  <c r="AL59" i="22"/>
  <c r="AK59" i="22"/>
  <c r="AJ59" i="22"/>
  <c r="AI59" i="22"/>
  <c r="AH59" i="22"/>
  <c r="D60" i="22"/>
  <c r="AG59" i="22"/>
  <c r="AF59" i="22"/>
  <c r="AE59"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D111" i="22"/>
  <c r="AG110" i="22"/>
  <c r="AF110" i="22"/>
  <c r="AE110" i="22"/>
  <c r="BO54" i="20"/>
  <c r="BL65" i="20"/>
  <c r="AI113" i="13" s="1"/>
  <c r="BL64" i="20"/>
  <c r="AI112" i="13" s="1"/>
  <c r="BL63" i="20"/>
  <c r="AI111" i="13" s="1"/>
  <c r="BL62" i="20"/>
  <c r="BI79" i="20"/>
  <c r="AF125" i="13" s="1"/>
  <c r="BI78" i="20"/>
  <c r="AF124" i="13" s="1"/>
  <c r="BI80" i="20"/>
  <c r="AF126" i="13" s="1"/>
  <c r="BI92" i="20"/>
  <c r="AF136" i="13" s="1"/>
  <c r="BI93" i="20"/>
  <c r="AF137" i="13" s="1"/>
  <c r="BI94" i="20"/>
  <c r="AF138" i="13" s="1"/>
  <c r="BJ78" i="20"/>
  <c r="AG124" i="13" s="1"/>
  <c r="BJ80" i="20"/>
  <c r="AG126" i="13" s="1"/>
  <c r="BJ79" i="20"/>
  <c r="AG125" i="13" s="1"/>
  <c r="BJ93" i="20"/>
  <c r="AG137" i="13" s="1"/>
  <c r="BJ94" i="20"/>
  <c r="AG138" i="13" s="1"/>
  <c r="BJ92" i="20"/>
  <c r="AG136" i="13" s="1"/>
  <c r="BL99" i="20"/>
  <c r="AI142" i="13" s="1"/>
  <c r="BL100" i="20"/>
  <c r="AI143" i="13" s="1"/>
  <c r="BL101" i="20"/>
  <c r="AI144" i="13" s="1"/>
  <c r="BK60" i="20"/>
  <c r="BO57" i="20"/>
  <c r="BO97" i="20" s="1"/>
  <c r="AL140" i="13" s="1"/>
  <c r="BO56" i="20"/>
  <c r="BO55" i="20"/>
  <c r="BJ68" i="20"/>
  <c r="BL69" i="20"/>
  <c r="AI116" i="13" s="1"/>
  <c r="BL61" i="20"/>
  <c r="AI109" i="13" s="1"/>
  <c r="BL10" i="20"/>
  <c r="BL70" i="20"/>
  <c r="AI117" i="13" s="1"/>
  <c r="BN7" i="20"/>
  <c r="BN6" i="20"/>
  <c r="BN4" i="20"/>
  <c r="BO5" i="20"/>
  <c r="BN8" i="20"/>
  <c r="BN112" i="20" s="1"/>
  <c r="BM14" i="20"/>
  <c r="BM20" i="20"/>
  <c r="BM22" i="20"/>
  <c r="BM18" i="20"/>
  <c r="BM33" i="20"/>
  <c r="BM19" i="20"/>
  <c r="BM11" i="20"/>
  <c r="BM34" i="20"/>
  <c r="BM25" i="20"/>
  <c r="BM16" i="20"/>
  <c r="BM21" i="20"/>
  <c r="BM27" i="20"/>
  <c r="BM30" i="20"/>
  <c r="BM24" i="20"/>
  <c r="BM29" i="20"/>
  <c r="BM32" i="20"/>
  <c r="BM17" i="20"/>
  <c r="BM15" i="20"/>
  <c r="BM23" i="20"/>
  <c r="BM28" i="20"/>
  <c r="BM35" i="20"/>
  <c r="BM13" i="20"/>
  <c r="BM26" i="20"/>
  <c r="BM12" i="20"/>
  <c r="BM31" i="20"/>
  <c r="BK115" i="20"/>
  <c r="BK71" i="20"/>
  <c r="AH118" i="13" s="1"/>
  <c r="BK73" i="20"/>
  <c r="AH120" i="13" s="1"/>
  <c r="BK72" i="20"/>
  <c r="AH119" i="13" s="1"/>
  <c r="AK4" i="20"/>
  <c r="AJ7" i="20"/>
  <c r="AJ6" i="20"/>
  <c r="BP53" i="20"/>
  <c r="BF4" i="17"/>
  <c r="BF8" i="17"/>
  <c r="BF6" i="17"/>
  <c r="BF7" i="17"/>
  <c r="BG5" i="17"/>
  <c r="BE65" i="17" a="1"/>
  <c r="BE65" i="17" s="1"/>
  <c r="BE64" i="17" a="1"/>
  <c r="BE64" i="17" s="1"/>
  <c r="BE63" i="17" a="1"/>
  <c r="BE63" i="17" s="1"/>
  <c r="BE62" i="17" a="1"/>
  <c r="BE62" i="17" s="1"/>
  <c r="BE61" i="17" a="1"/>
  <c r="BE61" i="17" s="1"/>
  <c r="BE60" i="17" a="1"/>
  <c r="BE60" i="17" s="1"/>
  <c r="BE59" i="17" a="1"/>
  <c r="BE59" i="17" s="1"/>
  <c r="BE58" i="17" a="1"/>
  <c r="BE58" i="17" s="1"/>
  <c r="BE57" i="17" a="1"/>
  <c r="BE57" i="17" s="1"/>
  <c r="BE149" i="17"/>
  <c r="BE56" i="17" a="1"/>
  <c r="BE56" i="17" s="1"/>
  <c r="BE148" i="17"/>
  <c r="BE54" i="17" a="1"/>
  <c r="BE54" i="17" s="1"/>
  <c r="BE136" i="17"/>
  <c r="BE137" i="17"/>
  <c r="BE47" i="17" a="1"/>
  <c r="BE47" i="17" s="1"/>
  <c r="BE49" i="17" a="1"/>
  <c r="BE49" i="17" s="1"/>
  <c r="BE141" i="17"/>
  <c r="BE52" i="17" a="1"/>
  <c r="BE52" i="17" s="1"/>
  <c r="BE138" i="17"/>
  <c r="BE139" i="17"/>
  <c r="BE48" i="17" a="1"/>
  <c r="BE48" i="17" s="1"/>
  <c r="BE142" i="17"/>
  <c r="BE51" i="17" a="1"/>
  <c r="BE51" i="17" s="1"/>
  <c r="BE143" i="17"/>
  <c r="BE144" i="17"/>
  <c r="BE53" i="17" a="1"/>
  <c r="BE53" i="17" s="1"/>
  <c r="BE145" i="17"/>
  <c r="BE147" i="17"/>
  <c r="BE45" i="17" a="1"/>
  <c r="BE45" i="17" s="1"/>
  <c r="BE46" i="17" a="1"/>
  <c r="BE46" i="17" s="1"/>
  <c r="BE140" i="17"/>
  <c r="BE50" i="17" a="1"/>
  <c r="BE50" i="17" s="1"/>
  <c r="BE55" i="17" a="1"/>
  <c r="BE55" i="17" s="1"/>
  <c r="BE146" i="17"/>
  <c r="BB99" i="16"/>
  <c r="BA99" i="16"/>
  <c r="BC99" i="16"/>
  <c r="BC98" i="16"/>
  <c r="BC40" i="16"/>
  <c r="BC36" i="16"/>
  <c r="BC38" i="16"/>
  <c r="BC34" i="16"/>
  <c r="BC30" i="16"/>
  <c r="BC41" i="16"/>
  <c r="BC35" i="16"/>
  <c r="BC44" i="16"/>
  <c r="BC32" i="16"/>
  <c r="BC43" i="16"/>
  <c r="BC31" i="16"/>
  <c r="BC42" i="16"/>
  <c r="BC33" i="16"/>
  <c r="BC37" i="16"/>
  <c r="BC28" i="16"/>
  <c r="BC39" i="16"/>
  <c r="BC29" i="16"/>
  <c r="BC78" i="16"/>
  <c r="BC45" i="16"/>
  <c r="BC79" i="16"/>
  <c r="BC46" i="16"/>
  <c r="BC80" i="16"/>
  <c r="BC81" i="16"/>
  <c r="BC47" i="16"/>
  <c r="BC48" i="16"/>
  <c r="BC82" i="16"/>
  <c r="BC83" i="16"/>
  <c r="BC84" i="16"/>
  <c r="BC85" i="16"/>
  <c r="BC86" i="16"/>
  <c r="BC87" i="16"/>
  <c r="BC88" i="16"/>
  <c r="BC89" i="16"/>
  <c r="BC90" i="16"/>
  <c r="BC91" i="16"/>
  <c r="BC92" i="16"/>
  <c r="BC93" i="16"/>
  <c r="BC94" i="16"/>
  <c r="BC95" i="16"/>
  <c r="BC96" i="16"/>
  <c r="BC97" i="16"/>
  <c r="BD6" i="16"/>
  <c r="BD7" i="16"/>
  <c r="BE5" i="16"/>
  <c r="BD8" i="16"/>
  <c r="AX52" i="16" s="1"/>
  <c r="BD4" i="16"/>
  <c r="BC19" i="16"/>
  <c r="BC18" i="16" s="1"/>
  <c r="BC15" i="16"/>
  <c r="BC14" i="16" s="1"/>
  <c r="BF16" i="16" s="1"/>
  <c r="BC11" i="16"/>
  <c r="E100" i="16" a="1"/>
  <c r="E100" i="16" s="1"/>
  <c r="BN20" i="16"/>
  <c r="BB51" i="16"/>
  <c r="BB101" i="16"/>
  <c r="BA101" i="16"/>
  <c r="AZ101" i="16"/>
  <c r="AY101" i="16"/>
  <c r="AX101" i="16"/>
  <c r="AW101" i="16"/>
  <c r="AV101" i="16"/>
  <c r="AU101" i="16"/>
  <c r="AT101" i="16"/>
  <c r="AS101" i="16"/>
  <c r="AR101" i="16"/>
  <c r="AQ101" i="16"/>
  <c r="AP101" i="16"/>
  <c r="AO101" i="16"/>
  <c r="AN101" i="16"/>
  <c r="AM101" i="16"/>
  <c r="AL101" i="16"/>
  <c r="AK101" i="16"/>
  <c r="AJ101" i="16"/>
  <c r="AI101" i="16"/>
  <c r="AH101" i="16"/>
  <c r="AG101" i="16"/>
  <c r="AF101" i="16"/>
  <c r="BE16" i="16"/>
  <c r="E50" i="16" a="1"/>
  <c r="E50" i="16" s="1"/>
  <c r="BB101" i="15"/>
  <c r="BA101" i="15"/>
  <c r="AZ101" i="15"/>
  <c r="AY101" i="15"/>
  <c r="AX101" i="15"/>
  <c r="AW101" i="15"/>
  <c r="AV101" i="15"/>
  <c r="AU101" i="15"/>
  <c r="AT101" i="15"/>
  <c r="AS101" i="15"/>
  <c r="AR101" i="15"/>
  <c r="AQ101" i="15"/>
  <c r="AP101" i="15"/>
  <c r="AO101" i="15"/>
  <c r="AN101" i="15"/>
  <c r="AM101" i="15"/>
  <c r="AL101" i="15"/>
  <c r="AK101" i="15"/>
  <c r="AJ101" i="15"/>
  <c r="AI101" i="15"/>
  <c r="AH101" i="15"/>
  <c r="AG101" i="15"/>
  <c r="AF101" i="15"/>
  <c r="BN20" i="15"/>
  <c r="E100" i="15" a="1"/>
  <c r="E100" i="15" s="1"/>
  <c r="BA49" i="15"/>
  <c r="BB49" i="15"/>
  <c r="BD4" i="15"/>
  <c r="BD7" i="15"/>
  <c r="BD6" i="15"/>
  <c r="BE5" i="15"/>
  <c r="BD8" i="15"/>
  <c r="BC99" i="15"/>
  <c r="BA51" i="15"/>
  <c r="AW51" i="15"/>
  <c r="AR51" i="15"/>
  <c r="AH51" i="15"/>
  <c r="AF51" i="15"/>
  <c r="AP51" i="15"/>
  <c r="AX51" i="15"/>
  <c r="AS51" i="15"/>
  <c r="AN51" i="15"/>
  <c r="AM51" i="15"/>
  <c r="AU51" i="15"/>
  <c r="AK51" i="15"/>
  <c r="AG51" i="15"/>
  <c r="AT51" i="15"/>
  <c r="AO51" i="15"/>
  <c r="AV51" i="15"/>
  <c r="AQ51" i="15"/>
  <c r="AL51" i="15"/>
  <c r="AY51" i="15"/>
  <c r="AJ51" i="15"/>
  <c r="AI51" i="15"/>
  <c r="BC98" i="15"/>
  <c r="BC97" i="15"/>
  <c r="BC96" i="15"/>
  <c r="BC95" i="15"/>
  <c r="BC49" i="15"/>
  <c r="BC94" i="15"/>
  <c r="BC93" i="15"/>
  <c r="BC48" i="15"/>
  <c r="BC91" i="15"/>
  <c r="BC92" i="15"/>
  <c r="BC47" i="15"/>
  <c r="BC90" i="15"/>
  <c r="BC46" i="15"/>
  <c r="BC45" i="15"/>
  <c r="BC89" i="15"/>
  <c r="BC44" i="15"/>
  <c r="BC88" i="15"/>
  <c r="BC43" i="15"/>
  <c r="BC87" i="15"/>
  <c r="BC42" i="15"/>
  <c r="BC86" i="15"/>
  <c r="BC41" i="15"/>
  <c r="BC85" i="15"/>
  <c r="BC40" i="15"/>
  <c r="BC84" i="15"/>
  <c r="BC39" i="15"/>
  <c r="BC83" i="15"/>
  <c r="BC38" i="15"/>
  <c r="BC37" i="15"/>
  <c r="BC82" i="15"/>
  <c r="BC81" i="15"/>
  <c r="BC36" i="15"/>
  <c r="BC80" i="15"/>
  <c r="BC35" i="15"/>
  <c r="BC79" i="15"/>
  <c r="BC34" i="15"/>
  <c r="BC19" i="15" a="1"/>
  <c r="BC19" i="15" s="1"/>
  <c r="BC18" i="15" s="1"/>
  <c r="BC32" i="15"/>
  <c r="BC78" i="15"/>
  <c r="BC30" i="15"/>
  <c r="BC33" i="15"/>
  <c r="BC28" i="15"/>
  <c r="BC15" i="15" a="1"/>
  <c r="BC15" i="15" s="1"/>
  <c r="BC14" i="15" s="1"/>
  <c r="BC11" i="15" a="1"/>
  <c r="BC11" i="15" s="1"/>
  <c r="BC29" i="15"/>
  <c r="BC31" i="15"/>
  <c r="E50" i="15" a="1"/>
  <c r="E50" i="15" s="1"/>
  <c r="BE16" i="15"/>
  <c r="BA99" i="15"/>
  <c r="BB99" i="15"/>
  <c r="D70" i="17"/>
  <c r="D161" i="17"/>
  <c r="BC160" i="17"/>
  <c r="BB160" i="17"/>
  <c r="BA160" i="17"/>
  <c r="AZ160" i="17"/>
  <c r="AY160" i="17"/>
  <c r="AX160" i="17"/>
  <c r="AW160" i="17"/>
  <c r="AV160" i="17"/>
  <c r="AU160" i="17"/>
  <c r="AT160" i="17"/>
  <c r="AS160" i="17"/>
  <c r="AR160" i="17"/>
  <c r="AQ160" i="17"/>
  <c r="AP160" i="17"/>
  <c r="AO160" i="17"/>
  <c r="AN160" i="17"/>
  <c r="AM160" i="17"/>
  <c r="AL160" i="17"/>
  <c r="AK160" i="17"/>
  <c r="AJ160" i="17"/>
  <c r="AI160" i="17"/>
  <c r="AH160" i="17"/>
  <c r="AG160" i="17"/>
  <c r="AF160" i="17"/>
  <c r="BE5" i="14"/>
  <c r="BD4" i="14"/>
  <c r="BD7" i="14"/>
  <c r="BD8" i="14"/>
  <c r="BD6" i="14"/>
  <c r="AO70" i="14"/>
  <c r="AM70" i="14"/>
  <c r="AL70" i="14"/>
  <c r="AW70" i="14"/>
  <c r="AT70" i="14"/>
  <c r="AG70" i="14"/>
  <c r="BA70" i="14"/>
  <c r="AP70" i="14"/>
  <c r="AR70" i="14"/>
  <c r="AK70" i="14"/>
  <c r="AY70" i="14"/>
  <c r="AI70" i="14"/>
  <c r="AN70" i="14"/>
  <c r="BC48" i="14"/>
  <c r="BC47" i="14"/>
  <c r="BC51" i="14"/>
  <c r="BC54" i="14"/>
  <c r="BC49" i="14"/>
  <c r="BC50" i="14"/>
  <c r="BC52" i="14"/>
  <c r="BC53" i="14"/>
  <c r="BC55" i="14"/>
  <c r="BC56" i="14"/>
  <c r="BC57" i="14"/>
  <c r="BC58" i="14"/>
  <c r="AJ155" i="13"/>
  <c r="AV70" i="14"/>
  <c r="AQ70" i="14"/>
  <c r="AF70" i="14"/>
  <c r="AH70" i="14"/>
  <c r="AZ70" i="14"/>
  <c r="AX70" i="14"/>
  <c r="BB70" i="14"/>
  <c r="AS70" i="14"/>
  <c r="AU70" i="14"/>
  <c r="AJ70" i="14"/>
  <c r="AA4" i="16"/>
  <c r="Z7" i="16"/>
  <c r="Z6" i="16"/>
  <c r="AR10" i="16"/>
  <c r="D69" i="16"/>
  <c r="D103" i="16"/>
  <c r="D58" i="15"/>
  <c r="AA4" i="15"/>
  <c r="Z7" i="15"/>
  <c r="Z6" i="15"/>
  <c r="AR10" i="15"/>
  <c r="D103" i="15"/>
  <c r="AA4" i="14"/>
  <c r="Z7" i="14"/>
  <c r="Z6" i="14"/>
  <c r="D75" i="14"/>
  <c r="AJ150" i="13"/>
  <c r="AJ154" i="13"/>
  <c r="AJ164" i="13"/>
  <c r="AJ163" i="13"/>
  <c r="AJ160" i="13"/>
  <c r="AJ159" i="13"/>
  <c r="BB6" i="9"/>
  <c r="BC5" i="9"/>
  <c r="BB4" i="9"/>
  <c r="BB7" i="9"/>
  <c r="BB8" i="9"/>
  <c r="BA4" i="11"/>
  <c r="BA7" i="11"/>
  <c r="BB5" i="11"/>
  <c r="BA6" i="11"/>
  <c r="BA8" i="11"/>
  <c r="BN106" i="12"/>
  <c r="AL105" i="13" s="1"/>
  <c r="BN105" i="12"/>
  <c r="AL104" i="13" s="1"/>
  <c r="BN104" i="12"/>
  <c r="BN103" i="12"/>
  <c r="AL102" i="13" s="1"/>
  <c r="BN102" i="12"/>
  <c r="AL101" i="13" s="1"/>
  <c r="BN101" i="12"/>
  <c r="BN96" i="12"/>
  <c r="BN94" i="12"/>
  <c r="AL96" i="13" s="1"/>
  <c r="BN90" i="12"/>
  <c r="BN93" i="12"/>
  <c r="AL95" i="13" s="1"/>
  <c r="BN92" i="12"/>
  <c r="BN91" i="12"/>
  <c r="AL93" i="13" s="1"/>
  <c r="BN89" i="12"/>
  <c r="BN95" i="12"/>
  <c r="AL97" i="13" s="1"/>
  <c r="BN97" i="12"/>
  <c r="AL99" i="13" s="1"/>
  <c r="BN85" i="12"/>
  <c r="AL90" i="13" s="1"/>
  <c r="BN84" i="12"/>
  <c r="AL89" i="13" s="1"/>
  <c r="BN83" i="12"/>
  <c r="AL88" i="13" s="1"/>
  <c r="BN82" i="12"/>
  <c r="AL87" i="13" s="1"/>
  <c r="BN80" i="12"/>
  <c r="BN79" i="12"/>
  <c r="AL84" i="13" s="1"/>
  <c r="BN78" i="12"/>
  <c r="AL83" i="13" s="1"/>
  <c r="BN77" i="12"/>
  <c r="AL82" i="13" s="1"/>
  <c r="BN76" i="12"/>
  <c r="BN75" i="12"/>
  <c r="BN73" i="12"/>
  <c r="AL77" i="13" s="1"/>
  <c r="BN81" i="12"/>
  <c r="AL86" i="13" s="1"/>
  <c r="BN64" i="12"/>
  <c r="AL74" i="13" s="1"/>
  <c r="BN59" i="12"/>
  <c r="AL72" i="13" s="1"/>
  <c r="BN58" i="12"/>
  <c r="BN33" i="12"/>
  <c r="AL51" i="13" s="1"/>
  <c r="BN30" i="12"/>
  <c r="AL48" i="13" s="1"/>
  <c r="BN51" i="12"/>
  <c r="AL69" i="13" s="1"/>
  <c r="BN50" i="12"/>
  <c r="AL68" i="13" s="1"/>
  <c r="BN49" i="12"/>
  <c r="AL67" i="13" s="1"/>
  <c r="BN48" i="12"/>
  <c r="BN47" i="12"/>
  <c r="AL65" i="13" s="1"/>
  <c r="BN46" i="12"/>
  <c r="AL64" i="13" s="1"/>
  <c r="BN31" i="12"/>
  <c r="AL49" i="13" s="1"/>
  <c r="BN34" i="12"/>
  <c r="AL52" i="13" s="1"/>
  <c r="BN35" i="12"/>
  <c r="AL53" i="13" s="1"/>
  <c r="BN36" i="12"/>
  <c r="BN37" i="12"/>
  <c r="AL55" i="13" s="1"/>
  <c r="BN38" i="12"/>
  <c r="AL56" i="13" s="1"/>
  <c r="BN39" i="12"/>
  <c r="AL57" i="13" s="1"/>
  <c r="BN32" i="12"/>
  <c r="AL50" i="13" s="1"/>
  <c r="BN40" i="12"/>
  <c r="AL58" i="13" s="1"/>
  <c r="BN41" i="12"/>
  <c r="AL59" i="13" s="1"/>
  <c r="BN28" i="12"/>
  <c r="BN29" i="12"/>
  <c r="BN52" i="12"/>
  <c r="AL70" i="13" s="1"/>
  <c r="BN21" i="12"/>
  <c r="AL45" i="13" s="1"/>
  <c r="BN20" i="12"/>
  <c r="AL44" i="13" s="1"/>
  <c r="BE90" i="30" s="1"/>
  <c r="BN19" i="12"/>
  <c r="AL43" i="13" s="1"/>
  <c r="BN18" i="12"/>
  <c r="BN14" i="12"/>
  <c r="AL41" i="13" s="1"/>
  <c r="BN13" i="12"/>
  <c r="AL40" i="13" s="1"/>
  <c r="BN12" i="12"/>
  <c r="BN8" i="12"/>
  <c r="BN4" i="12"/>
  <c r="BN6" i="12"/>
  <c r="BN7" i="12"/>
  <c r="BO5" i="12"/>
  <c r="BO63" i="12" s="1"/>
  <c r="AK7" i="13"/>
  <c r="AL5" i="13"/>
  <c r="AK4" i="13"/>
  <c r="AK8" i="13"/>
  <c r="AK6" i="13"/>
  <c r="AI4" i="12"/>
  <c r="AH7" i="12"/>
  <c r="AH6" i="12"/>
  <c r="X4" i="11"/>
  <c r="W7" i="11"/>
  <c r="W6" i="11"/>
  <c r="BB4" i="10"/>
  <c r="BC5" i="10"/>
  <c r="BB8" i="10"/>
  <c r="BB7" i="10"/>
  <c r="BB6" i="10"/>
  <c r="BJ52" i="8"/>
  <c r="BJ48" i="8"/>
  <c r="BK49" i="8"/>
  <c r="BJ50" i="8"/>
  <c r="BJ51" i="8"/>
  <c r="Y4" i="9"/>
  <c r="X7" i="9"/>
  <c r="X6" i="9"/>
  <c r="AG74" i="8"/>
  <c r="AF77" i="8"/>
  <c r="AF76" i="8"/>
  <c r="AG48" i="8"/>
  <c r="AF51" i="8"/>
  <c r="AF50" i="8"/>
  <c r="AF10" i="8"/>
  <c r="AG7" i="8"/>
  <c r="AF9" i="8"/>
  <c r="BL8" i="8"/>
  <c r="BK7" i="8"/>
  <c r="BK15" i="8" s="1" a="1"/>
  <c r="BK15" i="8" s="1"/>
  <c r="BK11" i="8"/>
  <c r="BK10" i="8"/>
  <c r="BK9" i="8"/>
  <c r="BJ78" i="8"/>
  <c r="BJ77" i="8"/>
  <c r="BJ76" i="8"/>
  <c r="BJ74" i="8"/>
  <c r="BK75" i="8"/>
  <c r="AJ66" i="17" l="1" a="1"/>
  <c r="AJ66" i="17" s="1"/>
  <c r="AL66" i="17" a="1"/>
  <c r="AL66" i="17" s="1"/>
  <c r="AF66" i="17" a="1"/>
  <c r="AF66" i="17" s="1"/>
  <c r="AG115" i="13"/>
  <c r="AF115" i="13"/>
  <c r="AZ66" i="17" a="1"/>
  <c r="AZ66" i="17" s="1"/>
  <c r="T66" i="17" s="1"/>
  <c r="AU66" i="17" a="1"/>
  <c r="AU66" i="17" s="1"/>
  <c r="BB41" i="17"/>
  <c r="E67" i="17" s="1" a="1"/>
  <c r="E67" i="17" s="1"/>
  <c r="BE67" i="17" s="1" a="1"/>
  <c r="BE67" i="17" s="1"/>
  <c r="AI110" i="13"/>
  <c r="BA66" i="17" a="1"/>
  <c r="BA66" i="17" s="1"/>
  <c r="AV66" i="17" a="1"/>
  <c r="AV66" i="17" s="1"/>
  <c r="AN66" i="17" a="1"/>
  <c r="AN66" i="17" s="1"/>
  <c r="P66" i="17" s="1"/>
  <c r="AH108" i="13"/>
  <c r="AO66" i="17" a="1"/>
  <c r="AO66" i="17" s="1"/>
  <c r="AX66" i="17" a="1"/>
  <c r="AX66" i="17" s="1"/>
  <c r="BC66" i="17" a="1"/>
  <c r="BC66" i="17" s="1"/>
  <c r="U66" i="17" s="1"/>
  <c r="AG66" i="17" a="1"/>
  <c r="AG66" i="17" s="1"/>
  <c r="AW66" i="17" a="1"/>
  <c r="AW66" i="17" s="1"/>
  <c r="S66" i="17" s="1"/>
  <c r="AP66" i="17" a="1"/>
  <c r="AP66" i="17" s="1"/>
  <c r="BL86" i="20"/>
  <c r="AI131" i="13" s="1"/>
  <c r="AI128" i="13"/>
  <c r="AM66" i="17" a="1"/>
  <c r="AM66" i="17" s="1"/>
  <c r="BB66" i="17" a="1"/>
  <c r="BB66" i="17" s="1"/>
  <c r="AQ66" i="17" a="1"/>
  <c r="AQ66" i="17" s="1"/>
  <c r="Q66" i="17" s="1"/>
  <c r="BA42" i="17"/>
  <c r="AH66" i="17" a="1"/>
  <c r="AH66" i="17" s="1"/>
  <c r="N66" i="17" s="1"/>
  <c r="AI66" i="17" a="1"/>
  <c r="AI66" i="17" s="1"/>
  <c r="AR66" i="17" a="1"/>
  <c r="AR66" i="17" s="1"/>
  <c r="BE66" i="17" a="1"/>
  <c r="BE66" i="17" s="1"/>
  <c r="AY66" i="17" a="1"/>
  <c r="AY66" i="17" s="1"/>
  <c r="AS66" i="17" a="1"/>
  <c r="AS66" i="17" s="1"/>
  <c r="AG96" i="8"/>
  <c r="AH95" i="8" s="1"/>
  <c r="AF99" i="8"/>
  <c r="BK82" i="20"/>
  <c r="AL91" i="13"/>
  <c r="AL29" i="13" a="1"/>
  <c r="AL29" i="13" s="1"/>
  <c r="AL42" i="13"/>
  <c r="AL15" i="13" a="1"/>
  <c r="AL15" i="13" s="1"/>
  <c r="AL149" i="13" s="1"/>
  <c r="AL66" i="13"/>
  <c r="AL19" i="13" a="1"/>
  <c r="AL19" i="13" s="1"/>
  <c r="AL94" i="13"/>
  <c r="AL32" i="13" a="1"/>
  <c r="AL32" i="13" s="1"/>
  <c r="AL92" i="13"/>
  <c r="AL30" i="13" a="1"/>
  <c r="AL30" i="13" s="1"/>
  <c r="BE99" i="17"/>
  <c r="BE101" i="17" s="1"/>
  <c r="BE96" i="17" s="1"/>
  <c r="AL46" i="13"/>
  <c r="AL16" i="13" a="1"/>
  <c r="AL16" i="13" s="1"/>
  <c r="AL80" i="13"/>
  <c r="AL24" i="13" a="1"/>
  <c r="AL24" i="13" s="1"/>
  <c r="AL47" i="13"/>
  <c r="AL13" i="13" a="1"/>
  <c r="AL13" i="13" s="1"/>
  <c r="AL98" i="13"/>
  <c r="AL31" i="13" a="1"/>
  <c r="AL31" i="13" s="1"/>
  <c r="AL100" i="13"/>
  <c r="AL33" i="13" a="1"/>
  <c r="AL33" i="13" s="1"/>
  <c r="AL81" i="13"/>
  <c r="AL27" i="13" a="1"/>
  <c r="AL27" i="13" s="1"/>
  <c r="AL71" i="13"/>
  <c r="AL21" i="13" a="1"/>
  <c r="AL21" i="13" s="1"/>
  <c r="AL151" i="13" s="1"/>
  <c r="AL85" i="13"/>
  <c r="AL28" i="13" a="1"/>
  <c r="AL28" i="13" s="1"/>
  <c r="AL103" i="13"/>
  <c r="AL34" i="13" a="1"/>
  <c r="AL34" i="13" s="1"/>
  <c r="AL60" i="13"/>
  <c r="AL17" i="13" a="1"/>
  <c r="AL17" i="13" s="1"/>
  <c r="AL38" i="13"/>
  <c r="AL12" i="13" a="1"/>
  <c r="AL12" i="13" s="1"/>
  <c r="AL148" i="13" s="1"/>
  <c r="AL54" i="13"/>
  <c r="AL18" i="13" a="1"/>
  <c r="AL18" i="13" s="1"/>
  <c r="BF105" i="17"/>
  <c r="BE107" i="17"/>
  <c r="BE109" i="17" s="1"/>
  <c r="BE103" i="17" s="1"/>
  <c r="BL87" i="20"/>
  <c r="AI132" i="13" s="1"/>
  <c r="BL85" i="20"/>
  <c r="AI130" i="13" s="1"/>
  <c r="BM107" i="20"/>
  <c r="BM111" i="20" s="1" a="1"/>
  <c r="BM111" i="20" s="1"/>
  <c r="BM90" i="20"/>
  <c r="AJ134" i="13" s="1"/>
  <c r="BM108" i="20"/>
  <c r="I65" i="17"/>
  <c r="U65" i="17"/>
  <c r="BM83" i="20"/>
  <c r="Q65" i="17"/>
  <c r="H65" i="17"/>
  <c r="BL111" i="20" a="1"/>
  <c r="BL111" i="20" s="1"/>
  <c r="BL109" i="20" a="1"/>
  <c r="BL109" i="20" s="1"/>
  <c r="BL110" i="20"/>
  <c r="BM112" i="20"/>
  <c r="BM76" i="20"/>
  <c r="AJ122" i="13" s="1"/>
  <c r="BM77" i="20"/>
  <c r="AJ123" i="13" s="1"/>
  <c r="BM91" i="20"/>
  <c r="AJ135" i="13" s="1"/>
  <c r="BJ89" i="20"/>
  <c r="BJ75" i="20"/>
  <c r="BC52" i="15"/>
  <c r="BA52" i="15"/>
  <c r="BO42" i="12"/>
  <c r="BO43" i="12"/>
  <c r="AM61" i="13" s="1"/>
  <c r="BO44" i="12"/>
  <c r="AM62" i="13" s="1"/>
  <c r="BO45" i="12"/>
  <c r="AM63" i="13" s="1"/>
  <c r="BI75" i="20"/>
  <c r="BL96" i="20"/>
  <c r="BL60" i="20"/>
  <c r="BD7" i="22"/>
  <c r="BD8" i="22"/>
  <c r="BD6" i="22"/>
  <c r="BD4" i="22"/>
  <c r="BE5" i="22"/>
  <c r="Z5" i="22"/>
  <c r="BC60" i="22"/>
  <c r="BB60" i="22"/>
  <c r="BA60" i="22"/>
  <c r="AZ60" i="22"/>
  <c r="AY60" i="22"/>
  <c r="AX60" i="22"/>
  <c r="AW60" i="22"/>
  <c r="AV60" i="22"/>
  <c r="AU60" i="22"/>
  <c r="AT60" i="22"/>
  <c r="AS60" i="22"/>
  <c r="AR60" i="22"/>
  <c r="AQ60" i="22"/>
  <c r="AP60" i="22"/>
  <c r="AO60" i="22"/>
  <c r="AN60" i="22"/>
  <c r="AM60" i="22"/>
  <c r="AL60" i="22"/>
  <c r="AK60" i="22"/>
  <c r="AJ60" i="22"/>
  <c r="AI60" i="22"/>
  <c r="AH60" i="22"/>
  <c r="D61" i="22"/>
  <c r="AG60" i="22"/>
  <c r="AF60" i="22"/>
  <c r="AE60"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D112" i="22"/>
  <c r="AG111" i="22"/>
  <c r="AF111" i="22"/>
  <c r="AE111" i="22"/>
  <c r="Y8" i="22"/>
  <c r="BB71" i="14"/>
  <c r="BC71" i="14"/>
  <c r="BP54" i="20"/>
  <c r="BO52" i="20"/>
  <c r="BM65" i="20"/>
  <c r="AJ113" i="13" s="1"/>
  <c r="BM64" i="20"/>
  <c r="AJ112" i="13" s="1"/>
  <c r="BM63" i="20"/>
  <c r="AJ111" i="13" s="1"/>
  <c r="BM62" i="20"/>
  <c r="BI89" i="20"/>
  <c r="BN81" i="20"/>
  <c r="AK127" i="13" s="1"/>
  <c r="BN88" i="20"/>
  <c r="AK133" i="13" s="1"/>
  <c r="BN95" i="20"/>
  <c r="AK139" i="13" s="1"/>
  <c r="BN102" i="20"/>
  <c r="AK145" i="13" s="1"/>
  <c r="BM95" i="20"/>
  <c r="AJ139" i="13" s="1"/>
  <c r="BM102" i="20"/>
  <c r="AJ145" i="13" s="1"/>
  <c r="BM81" i="20"/>
  <c r="AJ127" i="13" s="1"/>
  <c r="BM88" i="20"/>
  <c r="AJ133" i="13" s="1"/>
  <c r="BP57" i="20"/>
  <c r="BP97" i="20" s="1"/>
  <c r="AM140" i="13" s="1"/>
  <c r="BP56" i="20"/>
  <c r="BP55" i="20"/>
  <c r="BK106" i="20"/>
  <c r="BK68" i="20"/>
  <c r="BL115" i="20"/>
  <c r="BM74" i="20"/>
  <c r="AJ121" i="13" s="1"/>
  <c r="BL73" i="20"/>
  <c r="AI120" i="13" s="1"/>
  <c r="BL72" i="20"/>
  <c r="AI119" i="13" s="1"/>
  <c r="BL71" i="20"/>
  <c r="AI118" i="13" s="1"/>
  <c r="BO4" i="20"/>
  <c r="BO8" i="20"/>
  <c r="BO112" i="20" s="1"/>
  <c r="BP5" i="20"/>
  <c r="BO6" i="20"/>
  <c r="BO7" i="20"/>
  <c r="BN29" i="20"/>
  <c r="BN21" i="20"/>
  <c r="BN34" i="20"/>
  <c r="BN20" i="20"/>
  <c r="BN15" i="20"/>
  <c r="BN22" i="20"/>
  <c r="BN12" i="20"/>
  <c r="BN35" i="20"/>
  <c r="BN19" i="20"/>
  <c r="BN11" i="20"/>
  <c r="BN24" i="20"/>
  <c r="BN25" i="20"/>
  <c r="BN31" i="20"/>
  <c r="BN74" i="20"/>
  <c r="AK121" i="13" s="1"/>
  <c r="BN13" i="20"/>
  <c r="BN17" i="20"/>
  <c r="BN18" i="20"/>
  <c r="BN33" i="20"/>
  <c r="BN28" i="20"/>
  <c r="BN16" i="20"/>
  <c r="BN27" i="20"/>
  <c r="BN23" i="20"/>
  <c r="BN14" i="20"/>
  <c r="BN26" i="20"/>
  <c r="BN30" i="20"/>
  <c r="BN32" i="20"/>
  <c r="BM61" i="20"/>
  <c r="AJ109" i="13" s="1"/>
  <c r="BM69" i="20"/>
  <c r="AJ116" i="13" s="1"/>
  <c r="BM10" i="20"/>
  <c r="BM70" i="20"/>
  <c r="AJ117" i="13" s="1"/>
  <c r="AJ8" i="20"/>
  <c r="AK163" i="13"/>
  <c r="AK154" i="13"/>
  <c r="AI102" i="16"/>
  <c r="AH102" i="16"/>
  <c r="AG102" i="16"/>
  <c r="AF102" i="16"/>
  <c r="BB100" i="16"/>
  <c r="BC100" i="16"/>
  <c r="AK5" i="20"/>
  <c r="BQ53" i="20"/>
  <c r="AK155" i="13"/>
  <c r="BO20" i="16"/>
  <c r="E101" i="16" a="1"/>
  <c r="E101" i="16" s="1"/>
  <c r="BF66" i="17" a="1"/>
  <c r="BF66" i="17" s="1"/>
  <c r="V66" i="17" s="1"/>
  <c r="BF65" i="17" a="1"/>
  <c r="BF65" i="17" s="1"/>
  <c r="V65" i="17" s="1"/>
  <c r="BF64" i="17" a="1"/>
  <c r="BF64" i="17" s="1"/>
  <c r="V64" i="17" s="1"/>
  <c r="BF63" i="17" a="1"/>
  <c r="BF63" i="17" s="1"/>
  <c r="V63" i="17" s="1"/>
  <c r="BF62" i="17" a="1"/>
  <c r="BF62" i="17" s="1"/>
  <c r="V62" i="17" s="1"/>
  <c r="BF61" i="17" a="1"/>
  <c r="BF61" i="17" s="1"/>
  <c r="V61" i="17" s="1"/>
  <c r="BF60" i="17" a="1"/>
  <c r="BF60" i="17" s="1"/>
  <c r="V60" i="17" s="1"/>
  <c r="BF59" i="17" a="1"/>
  <c r="BF59" i="17" s="1"/>
  <c r="V59" i="17" s="1"/>
  <c r="BF58" i="17" a="1"/>
  <c r="BF58" i="17" s="1"/>
  <c r="V58" i="17" s="1"/>
  <c r="BF150" i="17"/>
  <c r="BF149" i="17"/>
  <c r="BF57" i="17" a="1"/>
  <c r="BF57" i="17" s="1"/>
  <c r="V57" i="17" s="1"/>
  <c r="BF55" i="17" a="1"/>
  <c r="BF55" i="17" s="1"/>
  <c r="V55" i="17" s="1"/>
  <c r="BF46" i="17" a="1"/>
  <c r="BF46" i="17" s="1"/>
  <c r="V46" i="17" s="1"/>
  <c r="BF49" i="17" a="1"/>
  <c r="BF49" i="17" s="1"/>
  <c r="V49" i="17" s="1"/>
  <c r="BF142" i="17"/>
  <c r="BF144" i="17"/>
  <c r="BF54" i="17" a="1"/>
  <c r="BF54" i="17" s="1"/>
  <c r="V54" i="17" s="1"/>
  <c r="BF146" i="17"/>
  <c r="BF148" i="17"/>
  <c r="BF137" i="17"/>
  <c r="BF47" i="17" a="1"/>
  <c r="BF47" i="17" s="1"/>
  <c r="V47" i="17" s="1"/>
  <c r="BF139" i="17"/>
  <c r="BF141" i="17"/>
  <c r="BF143" i="17"/>
  <c r="BF53" i="17" a="1"/>
  <c r="BF53" i="17" s="1"/>
  <c r="V53" i="17" s="1"/>
  <c r="BF56" i="17" a="1"/>
  <c r="BF56" i="17" s="1"/>
  <c r="V56" i="17" s="1"/>
  <c r="BF45" i="17" a="1"/>
  <c r="BF45" i="17" s="1"/>
  <c r="V45" i="17" s="1"/>
  <c r="BF140" i="17"/>
  <c r="BF51" i="17" a="1"/>
  <c r="BF51" i="17" s="1"/>
  <c r="V51" i="17" s="1"/>
  <c r="BF136" i="17"/>
  <c r="BF138" i="17"/>
  <c r="BF48" i="17" a="1"/>
  <c r="BF48" i="17" s="1"/>
  <c r="V48" i="17" s="1"/>
  <c r="BF50" i="17" a="1"/>
  <c r="BF50" i="17" s="1"/>
  <c r="V50" i="17" s="1"/>
  <c r="BF52" i="17" a="1"/>
  <c r="BF52" i="17" s="1"/>
  <c r="V52" i="17" s="1"/>
  <c r="BF145" i="17"/>
  <c r="BF147" i="17"/>
  <c r="BG7" i="17"/>
  <c r="BG6" i="17"/>
  <c r="BG4" i="17"/>
  <c r="BG8" i="17"/>
  <c r="BH5" i="17"/>
  <c r="AO102" i="16"/>
  <c r="AK102" i="16"/>
  <c r="AL102" i="16"/>
  <c r="AJ102" i="16"/>
  <c r="AU102" i="16"/>
  <c r="AR102" i="16"/>
  <c r="AN102" i="16"/>
  <c r="AV102" i="16"/>
  <c r="AQ102" i="16"/>
  <c r="AX102" i="16"/>
  <c r="AY102" i="16"/>
  <c r="AW102" i="16"/>
  <c r="AT102" i="16"/>
  <c r="AS102" i="16"/>
  <c r="AP102" i="16"/>
  <c r="AM102" i="16"/>
  <c r="BC102" i="16"/>
  <c r="BB102" i="16"/>
  <c r="BA102" i="16"/>
  <c r="AZ102" i="16"/>
  <c r="BE6" i="16"/>
  <c r="BE7" i="16"/>
  <c r="BE8" i="16"/>
  <c r="BF5" i="16"/>
  <c r="BE4" i="16"/>
  <c r="BD100" i="16"/>
  <c r="BD99" i="16"/>
  <c r="BD41" i="16"/>
  <c r="BD32" i="16"/>
  <c r="BD31" i="16"/>
  <c r="BD40" i="16"/>
  <c r="BD37" i="16"/>
  <c r="BD33" i="16"/>
  <c r="BD36" i="16"/>
  <c r="BD78" i="16"/>
  <c r="BD39" i="16"/>
  <c r="BD44" i="16"/>
  <c r="BD42" i="16"/>
  <c r="BD34" i="16"/>
  <c r="BD30" i="16"/>
  <c r="BD43" i="16"/>
  <c r="BD29" i="16"/>
  <c r="BD28" i="16"/>
  <c r="BD38" i="16"/>
  <c r="BD35" i="16"/>
  <c r="BD45" i="16"/>
  <c r="BD79" i="16"/>
  <c r="BD46" i="16"/>
  <c r="BD80" i="16"/>
  <c r="BD47" i="16"/>
  <c r="BD81" i="16"/>
  <c r="BD48" i="16"/>
  <c r="BD82" i="16"/>
  <c r="BD49" i="16"/>
  <c r="BD83" i="16"/>
  <c r="BD84" i="16"/>
  <c r="BD85" i="16"/>
  <c r="BD86" i="16"/>
  <c r="BD87" i="16"/>
  <c r="BD88" i="16"/>
  <c r="BD89" i="16"/>
  <c r="BD90" i="16"/>
  <c r="BD91" i="16"/>
  <c r="BD92" i="16"/>
  <c r="BD93" i="16"/>
  <c r="BD94" i="16"/>
  <c r="BD95" i="16"/>
  <c r="BD50" i="16"/>
  <c r="BD96" i="16"/>
  <c r="BD97" i="16"/>
  <c r="BD98" i="16"/>
  <c r="BD19" i="16"/>
  <c r="BD18" i="16" s="1"/>
  <c r="BD15" i="16"/>
  <c r="BD14" i="16" s="1"/>
  <c r="BG16" i="16" s="1"/>
  <c r="BD11" i="16"/>
  <c r="BB52" i="16"/>
  <c r="BA52" i="16"/>
  <c r="AZ52" i="16"/>
  <c r="BC52" i="16"/>
  <c r="AY52" i="16"/>
  <c r="BB50" i="16"/>
  <c r="BC50" i="16"/>
  <c r="BC100" i="15"/>
  <c r="BB100" i="15"/>
  <c r="AR71" i="14"/>
  <c r="AV71" i="14"/>
  <c r="AW71" i="14"/>
  <c r="AY71" i="14"/>
  <c r="AN71" i="14"/>
  <c r="AP71" i="14"/>
  <c r="BA71" i="14"/>
  <c r="AF71" i="14"/>
  <c r="AM71" i="14"/>
  <c r="AS71" i="14"/>
  <c r="AZ71" i="14"/>
  <c r="AU71" i="14"/>
  <c r="AX71" i="14"/>
  <c r="AK71" i="14"/>
  <c r="AT71" i="14"/>
  <c r="AG71" i="14"/>
  <c r="AO71" i="14"/>
  <c r="AJ71" i="14"/>
  <c r="AL71" i="14"/>
  <c r="AQ71" i="14"/>
  <c r="AH71" i="14"/>
  <c r="AI71" i="14"/>
  <c r="AK164" i="13"/>
  <c r="BB50" i="15"/>
  <c r="BC50" i="15"/>
  <c r="BE4" i="15"/>
  <c r="BE6" i="15"/>
  <c r="BE7" i="15"/>
  <c r="BF5" i="15"/>
  <c r="BE8" i="15"/>
  <c r="AH53" i="15" s="1"/>
  <c r="BD100" i="15"/>
  <c r="BB52" i="15"/>
  <c r="AZ52" i="15"/>
  <c r="AM52" i="15"/>
  <c r="AY52" i="15"/>
  <c r="AT52" i="15"/>
  <c r="AS52" i="15"/>
  <c r="AR52" i="15"/>
  <c r="AQ52" i="15"/>
  <c r="AP52" i="15"/>
  <c r="AO52" i="15"/>
  <c r="AN52" i="15"/>
  <c r="AU52" i="15"/>
  <c r="AX52" i="15"/>
  <c r="AV52" i="15"/>
  <c r="AW52" i="15"/>
  <c r="AF52" i="15"/>
  <c r="AG52" i="15"/>
  <c r="AH52" i="15"/>
  <c r="AI52" i="15"/>
  <c r="AJ52" i="15"/>
  <c r="AK52" i="15"/>
  <c r="AL52" i="15"/>
  <c r="BD99" i="15"/>
  <c r="BD98" i="15"/>
  <c r="BD97" i="15"/>
  <c r="BD96" i="15"/>
  <c r="BD95" i="15"/>
  <c r="BD50" i="15"/>
  <c r="BD94" i="15"/>
  <c r="BD49" i="15"/>
  <c r="BD93" i="15"/>
  <c r="BD48" i="15"/>
  <c r="BD91" i="15"/>
  <c r="BD92" i="15"/>
  <c r="BD47" i="15"/>
  <c r="BD46" i="15"/>
  <c r="BD90" i="15"/>
  <c r="BD45" i="15"/>
  <c r="BD89" i="15"/>
  <c r="BD44" i="15"/>
  <c r="BD88" i="15"/>
  <c r="BD43" i="15"/>
  <c r="BD87" i="15"/>
  <c r="BD42" i="15"/>
  <c r="BD86" i="15"/>
  <c r="BD41" i="15"/>
  <c r="BD85" i="15"/>
  <c r="BD40" i="15"/>
  <c r="BD84" i="15"/>
  <c r="BD39" i="15"/>
  <c r="BD83" i="15"/>
  <c r="BD38" i="15"/>
  <c r="BD82" i="15"/>
  <c r="BD37" i="15"/>
  <c r="BD81" i="15"/>
  <c r="BD36" i="15"/>
  <c r="BD80" i="15"/>
  <c r="BD35" i="15"/>
  <c r="BD79" i="15"/>
  <c r="BD34" i="15"/>
  <c r="BD19" i="15" a="1"/>
  <c r="BD19" i="15" s="1"/>
  <c r="BD18" i="15" s="1"/>
  <c r="BD28" i="15"/>
  <c r="BD15" i="15" a="1"/>
  <c r="BD15" i="15" s="1"/>
  <c r="BD14" i="15" s="1"/>
  <c r="E52" i="15" s="1" a="1"/>
  <c r="E52" i="15" s="1"/>
  <c r="BD52" i="15" s="1"/>
  <c r="BD11" i="15" a="1"/>
  <c r="BD11" i="15" s="1"/>
  <c r="BD31" i="15"/>
  <c r="BD78" i="15"/>
  <c r="BD29" i="15"/>
  <c r="BD33" i="15"/>
  <c r="BD30" i="15"/>
  <c r="BD32" i="15"/>
  <c r="E101" i="15" a="1"/>
  <c r="E101" i="15" s="1"/>
  <c r="BO20" i="15"/>
  <c r="AF102" i="15"/>
  <c r="AG102" i="15"/>
  <c r="AH102" i="15"/>
  <c r="AI102" i="15"/>
  <c r="AJ102" i="15"/>
  <c r="AK102" i="15"/>
  <c r="AL102" i="15"/>
  <c r="AM102" i="15"/>
  <c r="AN102" i="15"/>
  <c r="AO102" i="15"/>
  <c r="AP102" i="15"/>
  <c r="AQ102" i="15"/>
  <c r="AR102" i="15"/>
  <c r="AS102" i="15"/>
  <c r="AT102" i="15"/>
  <c r="AU102" i="15"/>
  <c r="AV102" i="15"/>
  <c r="AW102" i="15"/>
  <c r="AX102" i="15"/>
  <c r="AY102" i="15"/>
  <c r="AZ102" i="15"/>
  <c r="BA102" i="15"/>
  <c r="BB102" i="15"/>
  <c r="BC102" i="15"/>
  <c r="BF16" i="15"/>
  <c r="E51" i="15" a="1"/>
  <c r="E51" i="15" s="1"/>
  <c r="D71" i="17"/>
  <c r="D162" i="17"/>
  <c r="BD161" i="17"/>
  <c r="BC161" i="17"/>
  <c r="BB161" i="17"/>
  <c r="BA161" i="17"/>
  <c r="AZ161" i="17"/>
  <c r="AY161" i="17"/>
  <c r="AX161" i="17"/>
  <c r="AW161" i="17"/>
  <c r="AV161" i="17"/>
  <c r="AU161" i="17"/>
  <c r="AT161" i="17"/>
  <c r="AS161" i="17"/>
  <c r="AR161" i="17"/>
  <c r="AQ161" i="17"/>
  <c r="AP161" i="17"/>
  <c r="AO161" i="17"/>
  <c r="AN161" i="17"/>
  <c r="AM161" i="17"/>
  <c r="AL161" i="17"/>
  <c r="AK161" i="17"/>
  <c r="AJ161" i="17"/>
  <c r="AI161" i="17"/>
  <c r="AH161" i="17"/>
  <c r="AG161" i="17"/>
  <c r="AF161" i="17"/>
  <c r="BF5" i="14"/>
  <c r="BE6" i="14"/>
  <c r="BE7" i="14"/>
  <c r="BE8" i="14"/>
  <c r="BD72" i="14" s="1"/>
  <c r="BE4" i="14"/>
  <c r="BD47" i="14"/>
  <c r="BD52" i="14"/>
  <c r="BD59" i="14"/>
  <c r="BD49" i="14"/>
  <c r="BD48" i="14"/>
  <c r="BD50" i="14"/>
  <c r="BD51" i="14"/>
  <c r="BD53" i="14"/>
  <c r="BD54" i="14"/>
  <c r="BD55" i="14"/>
  <c r="BD56" i="14"/>
  <c r="BD57" i="14"/>
  <c r="BD58" i="14"/>
  <c r="AA5" i="16"/>
  <c r="AR25" i="16"/>
  <c r="AS12" i="16"/>
  <c r="AR22" i="16"/>
  <c r="AR27" i="14" s="1"/>
  <c r="D70" i="16"/>
  <c r="D104" i="16"/>
  <c r="Z8" i="16"/>
  <c r="D59" i="15"/>
  <c r="AA5" i="15"/>
  <c r="AS12" i="15"/>
  <c r="AR22" i="15"/>
  <c r="AR25" i="14" s="1"/>
  <c r="AR25" i="15"/>
  <c r="D104" i="15"/>
  <c r="Z8" i="15"/>
  <c r="Z8" i="14"/>
  <c r="AA5" i="14"/>
  <c r="D76" i="14"/>
  <c r="AK150" i="13"/>
  <c r="AK159" i="13"/>
  <c r="BD5" i="9"/>
  <c r="BC6" i="9"/>
  <c r="BC7" i="9"/>
  <c r="BC8" i="9"/>
  <c r="BC4" i="9"/>
  <c r="BB7" i="11"/>
  <c r="BC5" i="11"/>
  <c r="BB4" i="11"/>
  <c r="BB8" i="11"/>
  <c r="BB6" i="11"/>
  <c r="BO106" i="12"/>
  <c r="AM105" i="13" s="1"/>
  <c r="BO105" i="12"/>
  <c r="AM104" i="13" s="1"/>
  <c r="BO104" i="12"/>
  <c r="BO103" i="12"/>
  <c r="AM102" i="13" s="1"/>
  <c r="BO102" i="12"/>
  <c r="AM101" i="13" s="1"/>
  <c r="BO101" i="12"/>
  <c r="BO97" i="12"/>
  <c r="AM99" i="13" s="1"/>
  <c r="BO93" i="12"/>
  <c r="AM95" i="13" s="1"/>
  <c r="BO92" i="12"/>
  <c r="BO91" i="12"/>
  <c r="AM93" i="13" s="1"/>
  <c r="BO89" i="12"/>
  <c r="BO96" i="12"/>
  <c r="BO95" i="12"/>
  <c r="AM97" i="13" s="1"/>
  <c r="BO94" i="12"/>
  <c r="AM96" i="13" s="1"/>
  <c r="BO90" i="12"/>
  <c r="BO85" i="12"/>
  <c r="AM90" i="13" s="1"/>
  <c r="BO81" i="12"/>
  <c r="AM86" i="13" s="1"/>
  <c r="BO80" i="12"/>
  <c r="BO79" i="12"/>
  <c r="AM84" i="13" s="1"/>
  <c r="BO78" i="12"/>
  <c r="AM83" i="13" s="1"/>
  <c r="BO75" i="12"/>
  <c r="BO73" i="12"/>
  <c r="AM77" i="13" s="1"/>
  <c r="BO84" i="12"/>
  <c r="AM89" i="13" s="1"/>
  <c r="BO83" i="12"/>
  <c r="AM88" i="13" s="1"/>
  <c r="BO82" i="12"/>
  <c r="AM87" i="13" s="1"/>
  <c r="BO77" i="12"/>
  <c r="AM82" i="13" s="1"/>
  <c r="BO76" i="12"/>
  <c r="BO64" i="12"/>
  <c r="AM74" i="13" s="1"/>
  <c r="BO59" i="12"/>
  <c r="AM72" i="13" s="1"/>
  <c r="BO58" i="12"/>
  <c r="BO40" i="12"/>
  <c r="AM58" i="13" s="1"/>
  <c r="BO51" i="12"/>
  <c r="AM69" i="13" s="1"/>
  <c r="BO50" i="12"/>
  <c r="AM68" i="13" s="1"/>
  <c r="BO49" i="12"/>
  <c r="AM67" i="13" s="1"/>
  <c r="BO48" i="12"/>
  <c r="BO47" i="12"/>
  <c r="AM65" i="13" s="1"/>
  <c r="BO46" i="12"/>
  <c r="AM64" i="13" s="1"/>
  <c r="BO41" i="12"/>
  <c r="AM59" i="13" s="1"/>
  <c r="BO52" i="12"/>
  <c r="AM70" i="13" s="1"/>
  <c r="BO31" i="12"/>
  <c r="AM49" i="13" s="1"/>
  <c r="BO29" i="12"/>
  <c r="BO39" i="12"/>
  <c r="AM57" i="13" s="1"/>
  <c r="BO38" i="12"/>
  <c r="AM56" i="13" s="1"/>
  <c r="BO37" i="12"/>
  <c r="AM55" i="13" s="1"/>
  <c r="BO36" i="12"/>
  <c r="BO35" i="12"/>
  <c r="AM53" i="13" s="1"/>
  <c r="BO34" i="12"/>
  <c r="AM52" i="13" s="1"/>
  <c r="BO33" i="12"/>
  <c r="AM51" i="13" s="1"/>
  <c r="BO32" i="12"/>
  <c r="AM50" i="13" s="1"/>
  <c r="BO30" i="12"/>
  <c r="AM48" i="13" s="1"/>
  <c r="BO28" i="12"/>
  <c r="BO21" i="12"/>
  <c r="AM45" i="13" s="1"/>
  <c r="BO20" i="12"/>
  <c r="AM44" i="13" s="1"/>
  <c r="BF90" i="30" s="1"/>
  <c r="V90" i="30" s="1"/>
  <c r="BO19" i="12"/>
  <c r="AM43" i="13" s="1"/>
  <c r="BO18" i="12"/>
  <c r="BO14" i="12"/>
  <c r="AM41" i="13" s="1"/>
  <c r="BO13" i="12"/>
  <c r="AM40" i="13" s="1"/>
  <c r="BO12" i="12"/>
  <c r="AH8" i="12"/>
  <c r="W8" i="11"/>
  <c r="BO4" i="12"/>
  <c r="BO8" i="12"/>
  <c r="BO7" i="12"/>
  <c r="BP5" i="12"/>
  <c r="BP63" i="12" s="1"/>
  <c r="BO6" i="12"/>
  <c r="AL8" i="13"/>
  <c r="AL7" i="13"/>
  <c r="AM5" i="13"/>
  <c r="AL4" i="13"/>
  <c r="AL6" i="13"/>
  <c r="AI5" i="12"/>
  <c r="X5" i="11"/>
  <c r="BC4" i="10"/>
  <c r="BC8" i="10"/>
  <c r="BC7" i="10"/>
  <c r="BC6" i="10"/>
  <c r="BD5" i="10"/>
  <c r="BK50" i="8"/>
  <c r="BK51" i="8"/>
  <c r="BL49" i="8"/>
  <c r="BK48" i="8"/>
  <c r="BK52" i="8"/>
  <c r="Y5" i="9"/>
  <c r="X8" i="9"/>
  <c r="AF78" i="8"/>
  <c r="AF52" i="8"/>
  <c r="AF11" i="8"/>
  <c r="AG75" i="8"/>
  <c r="AG49" i="8"/>
  <c r="AG8" i="8"/>
  <c r="BL7" i="8"/>
  <c r="BL15" i="8" s="1" a="1"/>
  <c r="BL15" i="8" s="1"/>
  <c r="BM8" i="8"/>
  <c r="BL11" i="8"/>
  <c r="BL10" i="8"/>
  <c r="BL9" i="8"/>
  <c r="BK78" i="8"/>
  <c r="BK77" i="8"/>
  <c r="BK76" i="8"/>
  <c r="BL75" i="8"/>
  <c r="BK74" i="8"/>
  <c r="BF67" i="17" l="1" a="1"/>
  <c r="BF67" i="17" s="1"/>
  <c r="V67" i="17" s="1"/>
  <c r="H66" i="17"/>
  <c r="AZ67" i="17" a="1"/>
  <c r="AZ67" i="17" s="1"/>
  <c r="T67" i="17" s="1"/>
  <c r="AL67" i="17" a="1"/>
  <c r="AL67" i="17" s="1"/>
  <c r="AT67" i="17" a="1"/>
  <c r="AT67" i="17" s="1"/>
  <c r="R67" i="17" s="1"/>
  <c r="AF67" i="17" a="1"/>
  <c r="AF67" i="17" s="1"/>
  <c r="AG98" i="8"/>
  <c r="AG97" i="8"/>
  <c r="I66" i="17"/>
  <c r="BA67" i="17" a="1"/>
  <c r="BA67" i="17" s="1"/>
  <c r="AU67" i="17" a="1"/>
  <c r="AU67" i="17" s="1"/>
  <c r="BB67" i="17" a="1"/>
  <c r="BB67" i="17" s="1"/>
  <c r="BC41" i="17"/>
  <c r="E68" i="17" s="1" a="1"/>
  <c r="E68" i="17" s="1"/>
  <c r="AX68" i="17" s="1" a="1"/>
  <c r="AX68" i="17" s="1"/>
  <c r="AJ110" i="13"/>
  <c r="AM67" i="17" a="1"/>
  <c r="AM67" i="17" s="1"/>
  <c r="AW67" i="17" a="1"/>
  <c r="AW67" i="17" s="1"/>
  <c r="S67" i="17" s="1"/>
  <c r="BC67" i="17" a="1"/>
  <c r="BC67" i="17" s="1"/>
  <c r="U67" i="17" s="1"/>
  <c r="AH67" i="17" a="1"/>
  <c r="AH67" i="17" s="1"/>
  <c r="N67" i="17" s="1"/>
  <c r="AI108" i="13"/>
  <c r="AV67" i="17" a="1"/>
  <c r="AV67" i="17" s="1"/>
  <c r="AN67" i="17" a="1"/>
  <c r="AN67" i="17" s="1"/>
  <c r="P67" i="17" s="1"/>
  <c r="AX67" i="17" a="1"/>
  <c r="AX67" i="17" s="1"/>
  <c r="BD67" i="17" a="1"/>
  <c r="BD67" i="17" s="1"/>
  <c r="BM85" i="20"/>
  <c r="AJ130" i="13" s="1"/>
  <c r="AJ128" i="13"/>
  <c r="BB42" i="17"/>
  <c r="AY67" i="17" a="1"/>
  <c r="AY67" i="17" s="1"/>
  <c r="AK67" i="17" a="1"/>
  <c r="AK67" i="17" s="1"/>
  <c r="O67" i="17" s="1"/>
  <c r="AG67" i="17" a="1"/>
  <c r="AG67" i="17" s="1"/>
  <c r="AO67" i="17" a="1"/>
  <c r="AO67" i="17" s="1"/>
  <c r="AP67" i="17" a="1"/>
  <c r="AP67" i="17" s="1"/>
  <c r="AQ67" i="17" a="1"/>
  <c r="AQ67" i="17" s="1"/>
  <c r="Q67" i="17" s="1"/>
  <c r="AR67" i="17" a="1"/>
  <c r="AR67" i="17" s="1"/>
  <c r="AI67" i="17" a="1"/>
  <c r="AI67" i="17" s="1"/>
  <c r="AJ67" i="17" a="1"/>
  <c r="AJ67" i="17" s="1"/>
  <c r="AS67" i="17" a="1"/>
  <c r="AS67" i="17" s="1"/>
  <c r="AG15" i="8" a="1"/>
  <c r="AG15" i="8" s="1"/>
  <c r="AM71" i="13"/>
  <c r="AM160" i="13" s="1"/>
  <c r="AM21" i="13" a="1"/>
  <c r="AM21" i="13" s="1"/>
  <c r="AM151" i="13" s="1"/>
  <c r="AM103" i="13"/>
  <c r="AM34" i="13" a="1"/>
  <c r="AM34" i="13" s="1"/>
  <c r="AM54" i="13"/>
  <c r="AM18" i="13" a="1"/>
  <c r="AM18" i="13" s="1"/>
  <c r="AM92" i="13"/>
  <c r="AM30" i="13" a="1"/>
  <c r="AM30" i="13" s="1"/>
  <c r="BG105" i="17"/>
  <c r="BF107" i="17"/>
  <c r="BF109" i="17" s="1"/>
  <c r="BF103" i="17" s="1"/>
  <c r="AM98" i="13"/>
  <c r="AM31" i="13" a="1"/>
  <c r="AM31" i="13" s="1"/>
  <c r="AM42" i="13"/>
  <c r="AM15" i="13" a="1"/>
  <c r="AM15" i="13" s="1"/>
  <c r="AM149" i="13" s="1"/>
  <c r="AM60" i="13"/>
  <c r="AM17" i="13" a="1"/>
  <c r="AM17" i="13" s="1"/>
  <c r="AM94" i="13"/>
  <c r="AM32" i="13" a="1"/>
  <c r="AM32" i="13" s="1"/>
  <c r="AM91" i="13"/>
  <c r="AM29" i="13" a="1"/>
  <c r="AM29" i="13" s="1"/>
  <c r="AM47" i="13"/>
  <c r="AM13" i="13" a="1"/>
  <c r="AM13" i="13" s="1"/>
  <c r="AM85" i="13"/>
  <c r="AM28" i="13" a="1"/>
  <c r="AM28" i="13" s="1"/>
  <c r="AM38" i="13"/>
  <c r="AM12" i="13" a="1"/>
  <c r="AM12" i="13" s="1"/>
  <c r="AM148" i="13" s="1"/>
  <c r="AM81" i="13"/>
  <c r="AM27" i="13" a="1"/>
  <c r="AM27" i="13" s="1"/>
  <c r="BF99" i="17"/>
  <c r="BF101" i="17" s="1"/>
  <c r="BF96" i="17" s="1"/>
  <c r="AM46" i="13"/>
  <c r="AM16" i="13" a="1"/>
  <c r="AM16" i="13" s="1"/>
  <c r="AM66" i="13"/>
  <c r="AM19" i="13" a="1"/>
  <c r="AM19" i="13" s="1"/>
  <c r="AM80" i="13"/>
  <c r="AM24" i="13" a="1"/>
  <c r="AM24" i="13" s="1"/>
  <c r="AM100" i="13"/>
  <c r="AM33" i="13" a="1"/>
  <c r="AM33" i="13" s="1"/>
  <c r="BL82" i="20"/>
  <c r="BJ114" i="20"/>
  <c r="BM110" i="20"/>
  <c r="BM109" i="20" a="1"/>
  <c r="BM109" i="20" s="1"/>
  <c r="AL53" i="15"/>
  <c r="AJ53" i="15"/>
  <c r="BB53" i="15"/>
  <c r="BN107" i="20"/>
  <c r="BN110" i="20" s="1"/>
  <c r="BN83" i="20"/>
  <c r="AN53" i="15"/>
  <c r="AF53" i="15"/>
  <c r="BN90" i="20"/>
  <c r="AK134" i="13" s="1"/>
  <c r="BN108" i="20"/>
  <c r="BM86" i="20"/>
  <c r="AJ131" i="13" s="1"/>
  <c r="BM87" i="20"/>
  <c r="AJ132" i="13" s="1"/>
  <c r="BN76" i="20"/>
  <c r="AK122" i="13" s="1"/>
  <c r="BN77" i="20"/>
  <c r="AK123" i="13" s="1"/>
  <c r="BN91" i="20"/>
  <c r="AK135" i="13" s="1"/>
  <c r="BP42" i="12"/>
  <c r="BP43" i="12"/>
  <c r="AN61" i="13" s="1"/>
  <c r="BP44" i="12"/>
  <c r="AN62" i="13" s="1"/>
  <c r="BP45" i="12"/>
  <c r="AN63" i="13" s="1"/>
  <c r="BI114" i="20"/>
  <c r="BP52" i="20"/>
  <c r="BE7" i="22"/>
  <c r="BE4" i="22"/>
  <c r="BF5" i="22"/>
  <c r="BE6" i="22"/>
  <c r="BE8" i="22"/>
  <c r="AA4" i="22"/>
  <c r="Z6" i="22"/>
  <c r="Z7" i="22"/>
  <c r="BD61" i="22"/>
  <c r="BC61" i="22"/>
  <c r="BB61" i="22"/>
  <c r="BA61" i="22"/>
  <c r="AZ61" i="22"/>
  <c r="AY61" i="22"/>
  <c r="AX61" i="22"/>
  <c r="AW61" i="22"/>
  <c r="AV61" i="22"/>
  <c r="AU61" i="22"/>
  <c r="AT61" i="22"/>
  <c r="AS61" i="22"/>
  <c r="AR61" i="22"/>
  <c r="AQ61" i="22"/>
  <c r="AP61" i="22"/>
  <c r="AO61" i="22"/>
  <c r="AN61" i="22"/>
  <c r="AM61" i="22"/>
  <c r="AL61" i="22"/>
  <c r="AK61" i="22"/>
  <c r="AJ61" i="22"/>
  <c r="AI61" i="22"/>
  <c r="AH61" i="22"/>
  <c r="D62" i="22"/>
  <c r="AG61" i="22"/>
  <c r="AF61" i="22"/>
  <c r="AE61"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D113" i="22"/>
  <c r="AG112" i="22"/>
  <c r="AF112" i="22"/>
  <c r="AE112" i="22"/>
  <c r="BM60" i="20"/>
  <c r="BQ54" i="20"/>
  <c r="BN65" i="20"/>
  <c r="AK113" i="13" s="1"/>
  <c r="BN64" i="20"/>
  <c r="AK112" i="13" s="1"/>
  <c r="BN63" i="20"/>
  <c r="AK111" i="13" s="1"/>
  <c r="BN62" i="20"/>
  <c r="BK79" i="20"/>
  <c r="AH125" i="13" s="1"/>
  <c r="BK80" i="20"/>
  <c r="AH126" i="13" s="1"/>
  <c r="BK78" i="20"/>
  <c r="AH124" i="13" s="1"/>
  <c r="BK92" i="20"/>
  <c r="AH136" i="13" s="1"/>
  <c r="BK93" i="20"/>
  <c r="AH137" i="13" s="1"/>
  <c r="BK94" i="20"/>
  <c r="AH138" i="13" s="1"/>
  <c r="BL79" i="20"/>
  <c r="AI125" i="13" s="1"/>
  <c r="BL80" i="20"/>
  <c r="AI126" i="13" s="1"/>
  <c r="BL78" i="20"/>
  <c r="AI124" i="13" s="1"/>
  <c r="BL93" i="20"/>
  <c r="AI137" i="13" s="1"/>
  <c r="BL94" i="20"/>
  <c r="AI138" i="13" s="1"/>
  <c r="BL92" i="20"/>
  <c r="AI136" i="13" s="1"/>
  <c r="BN99" i="20"/>
  <c r="AK142" i="13" s="1"/>
  <c r="BN100" i="20"/>
  <c r="AK143" i="13" s="1"/>
  <c r="BN101" i="20"/>
  <c r="AK144" i="13" s="1"/>
  <c r="BM100" i="20"/>
  <c r="AJ143" i="13" s="1"/>
  <c r="BM99" i="20"/>
  <c r="AJ142" i="13" s="1"/>
  <c r="BM101" i="20"/>
  <c r="AJ144" i="13" s="1"/>
  <c r="BL68" i="20"/>
  <c r="BO81" i="20"/>
  <c r="AL127" i="13" s="1"/>
  <c r="BO88" i="20"/>
  <c r="AL133" i="13" s="1"/>
  <c r="BO95" i="20"/>
  <c r="AL139" i="13" s="1"/>
  <c r="BO102" i="20"/>
  <c r="AL145" i="13" s="1"/>
  <c r="BQ57" i="20"/>
  <c r="BQ97" i="20" s="1"/>
  <c r="AN140" i="13" s="1"/>
  <c r="BQ56" i="20"/>
  <c r="BQ55" i="20"/>
  <c r="BL106" i="20"/>
  <c r="BO35" i="20"/>
  <c r="BO33" i="20"/>
  <c r="BO30" i="20"/>
  <c r="BO32" i="20"/>
  <c r="BO14" i="20"/>
  <c r="BO74" i="20"/>
  <c r="AL121" i="13" s="1"/>
  <c r="BO15" i="20"/>
  <c r="BO22" i="20"/>
  <c r="BO21" i="20"/>
  <c r="BO26" i="20"/>
  <c r="BO19" i="20"/>
  <c r="BO31" i="20"/>
  <c r="BO34" i="20"/>
  <c r="BO18" i="20"/>
  <c r="BO12" i="20"/>
  <c r="BO23" i="20"/>
  <c r="BO13" i="20"/>
  <c r="BO11" i="20"/>
  <c r="BO16" i="20"/>
  <c r="BO20" i="20"/>
  <c r="BO28" i="20"/>
  <c r="BO29" i="20"/>
  <c r="BO17" i="20"/>
  <c r="BO25" i="20"/>
  <c r="BO27" i="20"/>
  <c r="BO24" i="20"/>
  <c r="BQ5" i="20"/>
  <c r="BP8" i="20"/>
  <c r="BP112" i="20" s="1"/>
  <c r="BP4" i="20"/>
  <c r="BP6" i="20"/>
  <c r="BP7" i="20"/>
  <c r="BN69" i="20"/>
  <c r="AK116" i="13" s="1"/>
  <c r="BN61" i="20"/>
  <c r="AK109" i="13" s="1"/>
  <c r="BN10" i="20"/>
  <c r="BN70" i="20"/>
  <c r="AK117" i="13" s="1"/>
  <c r="BM115" i="20"/>
  <c r="BM73" i="20"/>
  <c r="AJ120" i="13" s="1"/>
  <c r="BM71" i="20"/>
  <c r="AJ118" i="13" s="1"/>
  <c r="BM72" i="20"/>
  <c r="AJ119" i="13" s="1"/>
  <c r="BD101" i="16"/>
  <c r="BC101" i="16"/>
  <c r="BC53" i="16"/>
  <c r="BD53" i="16"/>
  <c r="AZ53" i="15"/>
  <c r="AX53" i="15"/>
  <c r="AY53" i="15"/>
  <c r="AW53" i="15"/>
  <c r="AU53" i="15"/>
  <c r="AS53" i="15"/>
  <c r="AQ53" i="15"/>
  <c r="AO53" i="15"/>
  <c r="AM53" i="15"/>
  <c r="AK7" i="20"/>
  <c r="AK6" i="20"/>
  <c r="AL4" i="20"/>
  <c r="BR53" i="20"/>
  <c r="AL155" i="13"/>
  <c r="BG67" i="17" a="1"/>
  <c r="BG67" i="17" s="1"/>
  <c r="BG66" i="17" a="1"/>
  <c r="BG66" i="17" s="1"/>
  <c r="BG65" i="17" a="1"/>
  <c r="BG65" i="17" s="1"/>
  <c r="BG64" i="17" a="1"/>
  <c r="BG64" i="17" s="1"/>
  <c r="BG63" i="17" a="1"/>
  <c r="BG63" i="17" s="1"/>
  <c r="BG62" i="17" a="1"/>
  <c r="BG62" i="17" s="1"/>
  <c r="BG61" i="17" a="1"/>
  <c r="BG61" i="17" s="1"/>
  <c r="BG60" i="17" a="1"/>
  <c r="BG60" i="17" s="1"/>
  <c r="BG151" i="17"/>
  <c r="BG59" i="17" a="1"/>
  <c r="BG59" i="17" s="1"/>
  <c r="BG58" i="17" a="1"/>
  <c r="BG58" i="17" s="1"/>
  <c r="BG150" i="17"/>
  <c r="BG149" i="17"/>
  <c r="BG137" i="17"/>
  <c r="BG47" i="17" a="1"/>
  <c r="BG47" i="17" s="1"/>
  <c r="BG48" i="17" a="1"/>
  <c r="BG48" i="17" s="1"/>
  <c r="BG49" i="17" a="1"/>
  <c r="BG49" i="17" s="1"/>
  <c r="BG50" i="17" a="1"/>
  <c r="BG50" i="17" s="1"/>
  <c r="BG51" i="17" a="1"/>
  <c r="BG51" i="17" s="1"/>
  <c r="BG144" i="17"/>
  <c r="BG145" i="17"/>
  <c r="BG55" i="17" a="1"/>
  <c r="BG55" i="17" s="1"/>
  <c r="BG147" i="17"/>
  <c r="BG136" i="17"/>
  <c r="BG45" i="17" a="1"/>
  <c r="BG45" i="17" s="1"/>
  <c r="BG46" i="17" a="1"/>
  <c r="BG46" i="17" s="1"/>
  <c r="BG140" i="17"/>
  <c r="BG142" i="17"/>
  <c r="BG52" i="17" a="1"/>
  <c r="BG52" i="17" s="1"/>
  <c r="BG53" i="17" a="1"/>
  <c r="BG53" i="17" s="1"/>
  <c r="BG54" i="17" a="1"/>
  <c r="BG54" i="17" s="1"/>
  <c r="BG146" i="17"/>
  <c r="BG138" i="17"/>
  <c r="BG139" i="17"/>
  <c r="BG141" i="17"/>
  <c r="BG143" i="17"/>
  <c r="BG57" i="17" a="1"/>
  <c r="BG57" i="17" s="1"/>
  <c r="BG56" i="17" a="1"/>
  <c r="BG56" i="17" s="1"/>
  <c r="BG148" i="17"/>
  <c r="BH7" i="17"/>
  <c r="BI5" i="17"/>
  <c r="BH4" i="17"/>
  <c r="BH8" i="17"/>
  <c r="BH6" i="17"/>
  <c r="BD103" i="16"/>
  <c r="BA103" i="16"/>
  <c r="AX103" i="16"/>
  <c r="AU103" i="16"/>
  <c r="AR103" i="16"/>
  <c r="AO103" i="16"/>
  <c r="AL103" i="16"/>
  <c r="AI103" i="16"/>
  <c r="AF103" i="16"/>
  <c r="BB103" i="16"/>
  <c r="AY103" i="16"/>
  <c r="AV103" i="16"/>
  <c r="AS103" i="16"/>
  <c r="AP103" i="16"/>
  <c r="AM103" i="16"/>
  <c r="AJ103" i="16"/>
  <c r="AG103" i="16"/>
  <c r="BC103" i="16"/>
  <c r="AZ103" i="16"/>
  <c r="AW103" i="16"/>
  <c r="AT103" i="16"/>
  <c r="AQ103" i="16"/>
  <c r="AN103" i="16"/>
  <c r="AK103" i="16"/>
  <c r="AH103" i="16"/>
  <c r="AZ53" i="16"/>
  <c r="BB53" i="16"/>
  <c r="BA53" i="16"/>
  <c r="BE101" i="16"/>
  <c r="BE45" i="16"/>
  <c r="BE81" i="16"/>
  <c r="BE48" i="16"/>
  <c r="BE83" i="16"/>
  <c r="BE85" i="16"/>
  <c r="BE89" i="16"/>
  <c r="BE98" i="16"/>
  <c r="BE79" i="16"/>
  <c r="BE46" i="16"/>
  <c r="BE80" i="16"/>
  <c r="BE47" i="16"/>
  <c r="BE82" i="16"/>
  <c r="BE49" i="16"/>
  <c r="BE50" i="16"/>
  <c r="BE84" i="16"/>
  <c r="BE86" i="16"/>
  <c r="BE87" i="16"/>
  <c r="BE88" i="16"/>
  <c r="BE90" i="16"/>
  <c r="BE91" i="16"/>
  <c r="BE92" i="16"/>
  <c r="BE93" i="16"/>
  <c r="BE94" i="16"/>
  <c r="BE95" i="16"/>
  <c r="BE96" i="16"/>
  <c r="BE97" i="16"/>
  <c r="BE100" i="16"/>
  <c r="BE37" i="16"/>
  <c r="BE43" i="16"/>
  <c r="BE28" i="16"/>
  <c r="BE40" i="16"/>
  <c r="BE30" i="16"/>
  <c r="BE34" i="16"/>
  <c r="BE42" i="16"/>
  <c r="BE44" i="16"/>
  <c r="BE29" i="16"/>
  <c r="BE38" i="16"/>
  <c r="BE39" i="16"/>
  <c r="BE31" i="16"/>
  <c r="BE33" i="16"/>
  <c r="BE78" i="16"/>
  <c r="BE36" i="16"/>
  <c r="BE41" i="16"/>
  <c r="BE32" i="16"/>
  <c r="BE35" i="16"/>
  <c r="BE99" i="16"/>
  <c r="BF7" i="16"/>
  <c r="BF6" i="16"/>
  <c r="BG5" i="16"/>
  <c r="BF8" i="16"/>
  <c r="BF4" i="16"/>
  <c r="BE15" i="16"/>
  <c r="BE14" i="16" s="1"/>
  <c r="BE19" i="16"/>
  <c r="BE18" i="16" s="1"/>
  <c r="BE11" i="16"/>
  <c r="E102" i="16" a="1"/>
  <c r="E102" i="16" s="1"/>
  <c r="BP20" i="16"/>
  <c r="BC101" i="15"/>
  <c r="BD101" i="15"/>
  <c r="AL159" i="13"/>
  <c r="AK53" i="15"/>
  <c r="AI53" i="15"/>
  <c r="AG53" i="15"/>
  <c r="AT53" i="15"/>
  <c r="AR53" i="15"/>
  <c r="AP53" i="15"/>
  <c r="AV53" i="15"/>
  <c r="BD53" i="15"/>
  <c r="BP20" i="15"/>
  <c r="E102" i="15" a="1"/>
  <c r="E102" i="15" s="1"/>
  <c r="BC51" i="15"/>
  <c r="BD51" i="15"/>
  <c r="BF4" i="15"/>
  <c r="BF7" i="15"/>
  <c r="BF6" i="15"/>
  <c r="BG5" i="15"/>
  <c r="BF8" i="15"/>
  <c r="BE54" i="15" s="1"/>
  <c r="BC53" i="15"/>
  <c r="BE101" i="15"/>
  <c r="BA53" i="15"/>
  <c r="BE100" i="15"/>
  <c r="BE99" i="15"/>
  <c r="BE98" i="15"/>
  <c r="BE97" i="15"/>
  <c r="BE52" i="15"/>
  <c r="BE96" i="15"/>
  <c r="BE51" i="15"/>
  <c r="BE95" i="15"/>
  <c r="BE50" i="15"/>
  <c r="BE94" i="15"/>
  <c r="BE49" i="15"/>
  <c r="BE93" i="15"/>
  <c r="BE48" i="15"/>
  <c r="BE92" i="15"/>
  <c r="BE47" i="15"/>
  <c r="BE91" i="15"/>
  <c r="BE46" i="15"/>
  <c r="BE90" i="15"/>
  <c r="BE45" i="15"/>
  <c r="BE89" i="15"/>
  <c r="BE44" i="15"/>
  <c r="BE88" i="15"/>
  <c r="BE43" i="15"/>
  <c r="BE87" i="15"/>
  <c r="BE42" i="15"/>
  <c r="BE86" i="15"/>
  <c r="BE41" i="15"/>
  <c r="BE85" i="15"/>
  <c r="BE40" i="15"/>
  <c r="BE84" i="15"/>
  <c r="BE39" i="15"/>
  <c r="BE83" i="15"/>
  <c r="BE38" i="15"/>
  <c r="BE37" i="15"/>
  <c r="BE82" i="15"/>
  <c r="BE81" i="15"/>
  <c r="BE36" i="15"/>
  <c r="BE80" i="15"/>
  <c r="BE35" i="15"/>
  <c r="BE79" i="15"/>
  <c r="BE34" i="15"/>
  <c r="BE28" i="15"/>
  <c r="BE30" i="15"/>
  <c r="BE33" i="15"/>
  <c r="BE19" i="15" a="1"/>
  <c r="BE19" i="15" s="1"/>
  <c r="BE18" i="15" s="1"/>
  <c r="BE11" i="15" a="1"/>
  <c r="BE11" i="15" s="1"/>
  <c r="BE31" i="15"/>
  <c r="BE15" i="15" a="1"/>
  <c r="BE15" i="15" s="1"/>
  <c r="BE14" i="15" s="1"/>
  <c r="BE32" i="15"/>
  <c r="BE78" i="15"/>
  <c r="BE29" i="15"/>
  <c r="BG16" i="15"/>
  <c r="BD103" i="15"/>
  <c r="BC103" i="15"/>
  <c r="BB103" i="15"/>
  <c r="BA103" i="15"/>
  <c r="AZ103" i="15"/>
  <c r="AY103" i="15"/>
  <c r="AX103" i="15"/>
  <c r="AW103" i="15"/>
  <c r="AV103" i="15"/>
  <c r="AU103" i="15"/>
  <c r="AT103" i="15"/>
  <c r="AS103" i="15"/>
  <c r="AR103" i="15"/>
  <c r="AQ103" i="15"/>
  <c r="AP103" i="15"/>
  <c r="AO103" i="15"/>
  <c r="AN103" i="15"/>
  <c r="AM103" i="15"/>
  <c r="AL103" i="15"/>
  <c r="AK103" i="15"/>
  <c r="AJ103" i="15"/>
  <c r="AI103" i="15"/>
  <c r="AH103" i="15"/>
  <c r="AG103" i="15"/>
  <c r="AF103" i="15"/>
  <c r="D72" i="17"/>
  <c r="D163" i="17"/>
  <c r="BE162" i="17"/>
  <c r="BD162" i="17"/>
  <c r="BC162" i="17"/>
  <c r="BB162" i="17"/>
  <c r="BA162" i="17"/>
  <c r="AZ162" i="17"/>
  <c r="AY162" i="17"/>
  <c r="AX162" i="17"/>
  <c r="AW162" i="17"/>
  <c r="AV162" i="17"/>
  <c r="AU162" i="17"/>
  <c r="AT162" i="17"/>
  <c r="AS162" i="17"/>
  <c r="AR162" i="17"/>
  <c r="AQ162" i="17"/>
  <c r="AP162" i="17"/>
  <c r="AO162" i="17"/>
  <c r="AN162" i="17"/>
  <c r="AM162" i="17"/>
  <c r="AL162" i="17"/>
  <c r="AK162" i="17"/>
  <c r="AJ162" i="17"/>
  <c r="AI162" i="17"/>
  <c r="AH162" i="17"/>
  <c r="AG162" i="17"/>
  <c r="AF162" i="17"/>
  <c r="BF8" i="14"/>
  <c r="BE73" i="14" s="1"/>
  <c r="BF4" i="14"/>
  <c r="BF7" i="14"/>
  <c r="BG5" i="14"/>
  <c r="BF6" i="14"/>
  <c r="BA72" i="14"/>
  <c r="AX72" i="14"/>
  <c r="AU72" i="14"/>
  <c r="AQ72" i="14"/>
  <c r="AN72" i="14"/>
  <c r="AJ72" i="14"/>
  <c r="BC72" i="14"/>
  <c r="BB72" i="14"/>
  <c r="AZ72" i="14"/>
  <c r="AY72" i="14"/>
  <c r="AW72" i="14"/>
  <c r="AV72" i="14"/>
  <c r="AT72" i="14"/>
  <c r="AS72" i="14"/>
  <c r="AR72" i="14"/>
  <c r="AP72" i="14"/>
  <c r="AO72" i="14"/>
  <c r="AM72" i="14"/>
  <c r="AL72" i="14"/>
  <c r="AK72" i="14"/>
  <c r="AI72" i="14"/>
  <c r="AH72" i="14"/>
  <c r="AG72" i="14"/>
  <c r="AF72" i="14"/>
  <c r="BE49" i="14"/>
  <c r="BE51" i="14"/>
  <c r="BE53" i="14"/>
  <c r="BE55" i="14"/>
  <c r="BE58" i="14"/>
  <c r="BE59" i="14"/>
  <c r="BE60" i="14"/>
  <c r="BE50" i="14"/>
  <c r="BE52" i="14"/>
  <c r="BE54" i="14"/>
  <c r="BE57" i="14"/>
  <c r="BE48" i="14"/>
  <c r="BE47" i="14"/>
  <c r="BE56" i="14"/>
  <c r="AB4" i="16"/>
  <c r="AA7" i="16"/>
  <c r="AA6" i="16"/>
  <c r="AS10" i="16"/>
  <c r="D71" i="16"/>
  <c r="D105" i="16"/>
  <c r="D60" i="15"/>
  <c r="AL163" i="13"/>
  <c r="AB4" i="15"/>
  <c r="AA7" i="15"/>
  <c r="AA6" i="15"/>
  <c r="AS10" i="15"/>
  <c r="D105" i="15"/>
  <c r="AB4" i="14"/>
  <c r="AA7" i="14"/>
  <c r="AA6" i="14"/>
  <c r="D77" i="14"/>
  <c r="AL154" i="13"/>
  <c r="AL164" i="13"/>
  <c r="AL160" i="13"/>
  <c r="AL150" i="13"/>
  <c r="BD7" i="9"/>
  <c r="BD8" i="9"/>
  <c r="BD6" i="9"/>
  <c r="BD4" i="9"/>
  <c r="BE5" i="9"/>
  <c r="BC4" i="11"/>
  <c r="BD5" i="11"/>
  <c r="BC6" i="11"/>
  <c r="BC8" i="11"/>
  <c r="BC7" i="11"/>
  <c r="AD102" i="12"/>
  <c r="AD92" i="12"/>
  <c r="AD95" i="12"/>
  <c r="BP106" i="12"/>
  <c r="AN105" i="13" s="1"/>
  <c r="BP105" i="12"/>
  <c r="AN104" i="13" s="1"/>
  <c r="BP104" i="12"/>
  <c r="BP103" i="12"/>
  <c r="AN102" i="13" s="1"/>
  <c r="BP102" i="12"/>
  <c r="AN101" i="13" s="1"/>
  <c r="BP101" i="12"/>
  <c r="BP97" i="12"/>
  <c r="AN99" i="13" s="1"/>
  <c r="BP96" i="12"/>
  <c r="BP95" i="12"/>
  <c r="AN97" i="13" s="1"/>
  <c r="BP94" i="12"/>
  <c r="AN96" i="13" s="1"/>
  <c r="BP93" i="12"/>
  <c r="AN95" i="13" s="1"/>
  <c r="BP92" i="12"/>
  <c r="BP91" i="12"/>
  <c r="AN93" i="13" s="1"/>
  <c r="BP90" i="12"/>
  <c r="BP89" i="12"/>
  <c r="BP83" i="12"/>
  <c r="AN88" i="13" s="1"/>
  <c r="BP82" i="12"/>
  <c r="AN87" i="13" s="1"/>
  <c r="BP77" i="12"/>
  <c r="AN82" i="13" s="1"/>
  <c r="BP76" i="12"/>
  <c r="BP80" i="12"/>
  <c r="BP79" i="12"/>
  <c r="AN84" i="13" s="1"/>
  <c r="BP78" i="12"/>
  <c r="AN83" i="13" s="1"/>
  <c r="BP75" i="12"/>
  <c r="BP73" i="12"/>
  <c r="AN77" i="13" s="1"/>
  <c r="BP81" i="12"/>
  <c r="AN86" i="13" s="1"/>
  <c r="BP85" i="12"/>
  <c r="AN90" i="13" s="1"/>
  <c r="BP84" i="12"/>
  <c r="AN89" i="13" s="1"/>
  <c r="BP64" i="12"/>
  <c r="AN74" i="13" s="1"/>
  <c r="BP59" i="12"/>
  <c r="AN72" i="13" s="1"/>
  <c r="BP58" i="12"/>
  <c r="BP52" i="12"/>
  <c r="AN70" i="13" s="1"/>
  <c r="BP51" i="12"/>
  <c r="AN69" i="13" s="1"/>
  <c r="BP50" i="12"/>
  <c r="AN68" i="13" s="1"/>
  <c r="BP49" i="12"/>
  <c r="AN67" i="13" s="1"/>
  <c r="BP48" i="12"/>
  <c r="BP47" i="12"/>
  <c r="AN65" i="13" s="1"/>
  <c r="BP46" i="12"/>
  <c r="AN64" i="13" s="1"/>
  <c r="BP28" i="12"/>
  <c r="BP41" i="12"/>
  <c r="AN59" i="13" s="1"/>
  <c r="BP40" i="12"/>
  <c r="AN58" i="13" s="1"/>
  <c r="BP32" i="12"/>
  <c r="AN50" i="13" s="1"/>
  <c r="BP30" i="12"/>
  <c r="AN48" i="13" s="1"/>
  <c r="BP39" i="12"/>
  <c r="AN57" i="13" s="1"/>
  <c r="BP38" i="12"/>
  <c r="AN56" i="13" s="1"/>
  <c r="BP37" i="12"/>
  <c r="AN55" i="13" s="1"/>
  <c r="BP36" i="12"/>
  <c r="BP35" i="12"/>
  <c r="AN53" i="13" s="1"/>
  <c r="BP34" i="12"/>
  <c r="AN52" i="13" s="1"/>
  <c r="BP33" i="12"/>
  <c r="AN51" i="13" s="1"/>
  <c r="BP31" i="12"/>
  <c r="AN49" i="13" s="1"/>
  <c r="BP29" i="12"/>
  <c r="BP21" i="12"/>
  <c r="AN45" i="13" s="1"/>
  <c r="BP20" i="12"/>
  <c r="AN44" i="13" s="1"/>
  <c r="BG90" i="30" s="1"/>
  <c r="BP19" i="12"/>
  <c r="AN43" i="13" s="1"/>
  <c r="BP18" i="12"/>
  <c r="BP14" i="12"/>
  <c r="AN41" i="13" s="1"/>
  <c r="BP13" i="12"/>
  <c r="AN40" i="13" s="1"/>
  <c r="BP12" i="12"/>
  <c r="BP4" i="12"/>
  <c r="BP7" i="12"/>
  <c r="BP8" i="12"/>
  <c r="BP6" i="12"/>
  <c r="BQ5" i="12"/>
  <c r="BQ63" i="12" s="1"/>
  <c r="AN5" i="13"/>
  <c r="AM4" i="13"/>
  <c r="AM8" i="13"/>
  <c r="AM7" i="13"/>
  <c r="AM6" i="13"/>
  <c r="AJ4" i="12"/>
  <c r="AI7" i="12"/>
  <c r="AI6" i="12"/>
  <c r="X6" i="11"/>
  <c r="X7" i="11"/>
  <c r="Y4" i="11"/>
  <c r="BD4" i="10"/>
  <c r="BE5" i="10"/>
  <c r="BD8" i="10"/>
  <c r="BD7" i="10"/>
  <c r="BD6" i="10"/>
  <c r="BL48" i="8"/>
  <c r="BL51" i="8"/>
  <c r="BM49" i="8"/>
  <c r="BL50" i="8"/>
  <c r="BL52" i="8"/>
  <c r="Z4" i="9"/>
  <c r="Y7" i="9"/>
  <c r="Y6" i="9"/>
  <c r="AH74" i="8"/>
  <c r="AG77" i="8"/>
  <c r="AG76" i="8"/>
  <c r="AH48" i="8"/>
  <c r="AG51" i="8"/>
  <c r="AG50" i="8"/>
  <c r="AG9" i="8"/>
  <c r="AH7" i="8"/>
  <c r="AG10" i="8"/>
  <c r="BM11" i="8"/>
  <c r="BN8" i="8"/>
  <c r="BM7" i="8"/>
  <c r="BM15" i="8" s="1" a="1"/>
  <c r="BM15" i="8" s="1"/>
  <c r="BM10" i="8"/>
  <c r="BM9" i="8"/>
  <c r="BL74" i="8"/>
  <c r="BM75" i="8"/>
  <c r="BL78" i="8"/>
  <c r="BL77" i="8"/>
  <c r="BL76" i="8"/>
  <c r="AL68" i="17" l="1" a="1"/>
  <c r="AL68" i="17" s="1"/>
  <c r="AK68" i="17" a="1"/>
  <c r="AK68" i="17" s="1"/>
  <c r="O68" i="17" s="1"/>
  <c r="AP68" i="17" a="1"/>
  <c r="AP68" i="17" s="1"/>
  <c r="AR68" i="17" a="1"/>
  <c r="AR68" i="17" s="1"/>
  <c r="AS68" i="17" a="1"/>
  <c r="AS68" i="17" s="1"/>
  <c r="BC68" i="17" a="1"/>
  <c r="BC68" i="17" s="1"/>
  <c r="AU68" i="17" a="1"/>
  <c r="AU68" i="17" s="1"/>
  <c r="AY68" i="17" a="1"/>
  <c r="AY68" i="17" s="1"/>
  <c r="BA68" i="17" a="1"/>
  <c r="BA68" i="17" s="1"/>
  <c r="AF68" i="17" a="1"/>
  <c r="AF68" i="17" s="1"/>
  <c r="AH68" i="17" a="1"/>
  <c r="AH68" i="17" s="1"/>
  <c r="N68" i="17" s="1"/>
  <c r="AG68" i="17" a="1"/>
  <c r="AG68" i="17" s="1"/>
  <c r="AI68" i="17" a="1"/>
  <c r="AI68" i="17" s="1"/>
  <c r="AJ68" i="17" a="1"/>
  <c r="AJ68" i="17" s="1"/>
  <c r="H67" i="17"/>
  <c r="AI115" i="13"/>
  <c r="AT68" i="17" a="1"/>
  <c r="AT68" i="17" s="1"/>
  <c r="R68" i="17" s="1"/>
  <c r="AZ68" i="17" a="1"/>
  <c r="AZ68" i="17" s="1"/>
  <c r="T68" i="17" s="1"/>
  <c r="BN87" i="20"/>
  <c r="AK132" i="13" s="1"/>
  <c r="AK128" i="13"/>
  <c r="AN68" i="17" a="1"/>
  <c r="AN68" i="17" s="1"/>
  <c r="P68" i="17" s="1"/>
  <c r="BG68" i="17" a="1"/>
  <c r="BG68" i="17" s="1"/>
  <c r="AM68" i="17" a="1"/>
  <c r="AM68" i="17" s="1"/>
  <c r="AJ108" i="13"/>
  <c r="AO68" i="17" a="1"/>
  <c r="AO68" i="17" s="1"/>
  <c r="AH115" i="13"/>
  <c r="BF68" i="17" a="1"/>
  <c r="BF68" i="17" s="1"/>
  <c r="V68" i="17" s="1"/>
  <c r="AV68" i="17" a="1"/>
  <c r="AV68" i="17" s="1"/>
  <c r="BB68" i="17" a="1"/>
  <c r="BB68" i="17" s="1"/>
  <c r="AW68" i="17" a="1"/>
  <c r="AW68" i="17" s="1"/>
  <c r="S68" i="17" s="1"/>
  <c r="BC42" i="17"/>
  <c r="BD41" i="17"/>
  <c r="E69" i="17" s="1" a="1"/>
  <c r="E69" i="17" s="1"/>
  <c r="BG69" i="17" s="1" a="1"/>
  <c r="BG69" i="17" s="1"/>
  <c r="AK110" i="13"/>
  <c r="BD68" i="17" a="1"/>
  <c r="BD68" i="17" s="1"/>
  <c r="AQ68" i="17" a="1"/>
  <c r="AQ68" i="17" s="1"/>
  <c r="H68" i="17" s="1"/>
  <c r="I67" i="17"/>
  <c r="BE68" i="17" a="1"/>
  <c r="BE68" i="17" s="1"/>
  <c r="AH96" i="8"/>
  <c r="AI95" i="8" s="1"/>
  <c r="AG99" i="8"/>
  <c r="AN91" i="13"/>
  <c r="AN29" i="13" a="1"/>
  <c r="AN29" i="13" s="1"/>
  <c r="AN92" i="13"/>
  <c r="AN30" i="13" a="1"/>
  <c r="AN30" i="13" s="1"/>
  <c r="AN38" i="13"/>
  <c r="AN12" i="13" a="1"/>
  <c r="AN12" i="13" s="1"/>
  <c r="AN148" i="13" s="1"/>
  <c r="AN94" i="13"/>
  <c r="AN32" i="13" a="1"/>
  <c r="AN32" i="13" s="1"/>
  <c r="AN71" i="13"/>
  <c r="AN21" i="13" a="1"/>
  <c r="AN21" i="13" s="1"/>
  <c r="AN151" i="13" s="1"/>
  <c r="BN109" i="20" a="1"/>
  <c r="BN109" i="20" s="1"/>
  <c r="AN42" i="13"/>
  <c r="AN15" i="13" a="1"/>
  <c r="AN15" i="13" s="1"/>
  <c r="AN149" i="13" s="1"/>
  <c r="AN60" i="13"/>
  <c r="AN17" i="13" a="1"/>
  <c r="AN17" i="13" s="1"/>
  <c r="BG99" i="17"/>
  <c r="BG101" i="17" s="1"/>
  <c r="BG96" i="17" s="1"/>
  <c r="AN46" i="13"/>
  <c r="AN16" i="13" a="1"/>
  <c r="AN16" i="13" s="1"/>
  <c r="AN54" i="13"/>
  <c r="AN18" i="13" a="1"/>
  <c r="AN18" i="13" s="1"/>
  <c r="AN80" i="13"/>
  <c r="AN24" i="13" a="1"/>
  <c r="AN24" i="13" s="1"/>
  <c r="AN100" i="13"/>
  <c r="AN33" i="13" a="1"/>
  <c r="AN33" i="13" s="1"/>
  <c r="AN47" i="13"/>
  <c r="AN13" i="13" a="1"/>
  <c r="AN13" i="13" s="1"/>
  <c r="AN66" i="13"/>
  <c r="AN19" i="13" a="1"/>
  <c r="AN19" i="13" s="1"/>
  <c r="AN85" i="13"/>
  <c r="AN28" i="13" a="1"/>
  <c r="AN28" i="13" s="1"/>
  <c r="BH105" i="17"/>
  <c r="BG107" i="17"/>
  <c r="BG109" i="17" s="1"/>
  <c r="BG103" i="17" s="1"/>
  <c r="AN98" i="13"/>
  <c r="AN31" i="13" a="1"/>
  <c r="AN31" i="13" s="1"/>
  <c r="AN81" i="13"/>
  <c r="AN27" i="13" a="1"/>
  <c r="AN27" i="13" s="1"/>
  <c r="AN103" i="13"/>
  <c r="AN34" i="13" a="1"/>
  <c r="AN34" i="13" s="1"/>
  <c r="BN111" i="20" a="1"/>
  <c r="BN111" i="20" s="1"/>
  <c r="BC54" i="15"/>
  <c r="BN86" i="20"/>
  <c r="AK131" i="13" s="1"/>
  <c r="BN85" i="20"/>
  <c r="AK130" i="13" s="1"/>
  <c r="BM82" i="20"/>
  <c r="Q68" i="17"/>
  <c r="BO91" i="20"/>
  <c r="AL135" i="13" s="1"/>
  <c r="BO107" i="20"/>
  <c r="U68" i="17"/>
  <c r="I68" i="17"/>
  <c r="BO90" i="20"/>
  <c r="AL134" i="13" s="1"/>
  <c r="BO108" i="20"/>
  <c r="BO83" i="20"/>
  <c r="BO76" i="20"/>
  <c r="AL122" i="13" s="1"/>
  <c r="BO77" i="20"/>
  <c r="AL123" i="13" s="1"/>
  <c r="BL75" i="20"/>
  <c r="BQ42" i="12"/>
  <c r="BQ43" i="12"/>
  <c r="AO61" i="13" s="1"/>
  <c r="BQ44" i="12"/>
  <c r="AO62" i="13" s="1"/>
  <c r="BQ45" i="12"/>
  <c r="AO63" i="13" s="1"/>
  <c r="BK75" i="20"/>
  <c r="BN96" i="20"/>
  <c r="BL89" i="20"/>
  <c r="Z8" i="22"/>
  <c r="BF6" i="22"/>
  <c r="BG5" i="22"/>
  <c r="BF8" i="22"/>
  <c r="BF4" i="22"/>
  <c r="BF7" i="22"/>
  <c r="AA5" i="22"/>
  <c r="BE62" i="22"/>
  <c r="BD62" i="22"/>
  <c r="BC62" i="22"/>
  <c r="BB62" i="22"/>
  <c r="BA62" i="22"/>
  <c r="AZ62" i="22"/>
  <c r="AY62" i="22"/>
  <c r="AX62" i="22"/>
  <c r="AW62" i="22"/>
  <c r="AV62" i="22"/>
  <c r="AU62" i="22"/>
  <c r="AT62" i="22"/>
  <c r="AS62" i="22"/>
  <c r="AR62" i="22"/>
  <c r="AQ62" i="22"/>
  <c r="AP62" i="22"/>
  <c r="AO62" i="22"/>
  <c r="AN62" i="22"/>
  <c r="AM62" i="22"/>
  <c r="AL62" i="22"/>
  <c r="AK62" i="22"/>
  <c r="AJ62" i="22"/>
  <c r="AI62" i="22"/>
  <c r="AH62" i="22"/>
  <c r="D63" i="22"/>
  <c r="AG62" i="22"/>
  <c r="AF62" i="22"/>
  <c r="AE62"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D114" i="22"/>
  <c r="AG113" i="22"/>
  <c r="AF113" i="22"/>
  <c r="AE113" i="22"/>
  <c r="BN60" i="20"/>
  <c r="AM163" i="13"/>
  <c r="BR54" i="20"/>
  <c r="BQ52" i="20"/>
  <c r="BO65" i="20"/>
  <c r="AL113" i="13" s="1"/>
  <c r="BO64" i="20"/>
  <c r="AL112" i="13" s="1"/>
  <c r="BO63" i="20"/>
  <c r="AL111" i="13" s="1"/>
  <c r="BO62" i="20"/>
  <c r="BM96" i="20"/>
  <c r="BK89" i="20"/>
  <c r="BO99" i="20"/>
  <c r="AL142" i="13" s="1"/>
  <c r="BO101" i="20"/>
  <c r="AL144" i="13" s="1"/>
  <c r="BO100" i="20"/>
  <c r="AL143" i="13" s="1"/>
  <c r="BM78" i="20"/>
  <c r="AJ124" i="13" s="1"/>
  <c r="BM80" i="20"/>
  <c r="AJ126" i="13" s="1"/>
  <c r="BM79" i="20"/>
  <c r="AJ125" i="13" s="1"/>
  <c r="BM93" i="20"/>
  <c r="AJ137" i="13" s="1"/>
  <c r="BM94" i="20"/>
  <c r="AJ138" i="13" s="1"/>
  <c r="BM92" i="20"/>
  <c r="AJ136" i="13" s="1"/>
  <c r="BP95" i="20"/>
  <c r="AM139" i="13" s="1"/>
  <c r="BP88" i="20"/>
  <c r="AM133" i="13" s="1"/>
  <c r="BP81" i="20"/>
  <c r="AM127" i="13" s="1"/>
  <c r="BP102" i="20"/>
  <c r="AM145" i="13" s="1"/>
  <c r="BR57" i="20"/>
  <c r="BR97" i="20" s="1"/>
  <c r="AO140" i="13" s="1"/>
  <c r="BR56" i="20"/>
  <c r="BR55" i="20"/>
  <c r="BM68" i="20"/>
  <c r="AM164" i="13"/>
  <c r="BM106" i="20"/>
  <c r="BO61" i="20"/>
  <c r="AL109" i="13" s="1"/>
  <c r="BO69" i="20"/>
  <c r="AL116" i="13" s="1"/>
  <c r="BO10" i="20"/>
  <c r="BO70" i="20"/>
  <c r="AL117" i="13" s="1"/>
  <c r="BQ6" i="20"/>
  <c r="BQ7" i="20"/>
  <c r="BQ8" i="20"/>
  <c r="BQ112" i="20" s="1"/>
  <c r="BR5" i="20"/>
  <c r="BQ4" i="20"/>
  <c r="BP27" i="20"/>
  <c r="BP26" i="20"/>
  <c r="BP19" i="20"/>
  <c r="BP16" i="20"/>
  <c r="BP17" i="20"/>
  <c r="BP15" i="20"/>
  <c r="BP32" i="20"/>
  <c r="BP21" i="20"/>
  <c r="BP24" i="20"/>
  <c r="BP28" i="20"/>
  <c r="BP74" i="20"/>
  <c r="AM121" i="13" s="1"/>
  <c r="BP20" i="20"/>
  <c r="BP22" i="20"/>
  <c r="BP29" i="20"/>
  <c r="BP12" i="20"/>
  <c r="BP33" i="20"/>
  <c r="BP23" i="20"/>
  <c r="BP30" i="20"/>
  <c r="BP11" i="20"/>
  <c r="BP13" i="20"/>
  <c r="BP25" i="20"/>
  <c r="BP18" i="20"/>
  <c r="BP14" i="20"/>
  <c r="BP35" i="20"/>
  <c r="BP34" i="20"/>
  <c r="BP31" i="20"/>
  <c r="BN71" i="20"/>
  <c r="AK118" i="13" s="1"/>
  <c r="BN72" i="20"/>
  <c r="AK119" i="13" s="1"/>
  <c r="BN73" i="20"/>
  <c r="AK120" i="13" s="1"/>
  <c r="BN115" i="20"/>
  <c r="AK8" i="20"/>
  <c r="AL5" i="20"/>
  <c r="BS53" i="20"/>
  <c r="AM159" i="13"/>
  <c r="AM155" i="13"/>
  <c r="BI8" i="17"/>
  <c r="BJ5" i="17"/>
  <c r="BI7" i="17"/>
  <c r="BI6" i="17"/>
  <c r="BI4" i="17"/>
  <c r="BH68" i="17" a="1"/>
  <c r="BH68" i="17" s="1"/>
  <c r="BH67" i="17" a="1"/>
  <c r="BH67" i="17" s="1"/>
  <c r="BH66" i="17" a="1"/>
  <c r="BH66" i="17" s="1"/>
  <c r="BH65" i="17" a="1"/>
  <c r="BH65" i="17" s="1"/>
  <c r="BH64" i="17" a="1"/>
  <c r="BH64" i="17" s="1"/>
  <c r="BH63" i="17" a="1"/>
  <c r="BH63" i="17" s="1"/>
  <c r="BH62" i="17" a="1"/>
  <c r="BH62" i="17" s="1"/>
  <c r="BH61" i="17" a="1"/>
  <c r="BH61" i="17" s="1"/>
  <c r="BH60" i="17" a="1"/>
  <c r="BH60" i="17" s="1"/>
  <c r="BH152" i="17"/>
  <c r="BH151" i="17"/>
  <c r="BH59" i="17" a="1"/>
  <c r="BH59" i="17" s="1"/>
  <c r="BH58" i="17" a="1"/>
  <c r="BH58" i="17" s="1"/>
  <c r="BH149" i="17"/>
  <c r="BH136" i="17"/>
  <c r="BH138" i="17"/>
  <c r="BH47" i="17" a="1"/>
  <c r="BH47" i="17" s="1"/>
  <c r="BH48" i="17" a="1"/>
  <c r="BH48" i="17" s="1"/>
  <c r="BH49" i="17" a="1"/>
  <c r="BH49" i="17" s="1"/>
  <c r="BH142" i="17"/>
  <c r="BH51" i="17" a="1"/>
  <c r="BH51" i="17" s="1"/>
  <c r="BH145" i="17"/>
  <c r="BH54" i="17" a="1"/>
  <c r="BH54" i="17" s="1"/>
  <c r="BH55" i="17" a="1"/>
  <c r="BH55" i="17" s="1"/>
  <c r="BH56" i="17" a="1"/>
  <c r="BH56" i="17" s="1"/>
  <c r="BH148" i="17"/>
  <c r="BH137" i="17"/>
  <c r="BH46" i="17" a="1"/>
  <c r="BH46" i="17" s="1"/>
  <c r="BH139" i="17"/>
  <c r="BH141" i="17"/>
  <c r="BH143" i="17"/>
  <c r="BH144" i="17"/>
  <c r="BH146" i="17"/>
  <c r="BH147" i="17"/>
  <c r="BH150" i="17"/>
  <c r="BH45" i="17" a="1"/>
  <c r="BH45" i="17" s="1"/>
  <c r="BH140" i="17"/>
  <c r="BH50" i="17" a="1"/>
  <c r="BH50" i="17" s="1"/>
  <c r="BH52" i="17" a="1"/>
  <c r="BH52" i="17" s="1"/>
  <c r="BH53" i="17" a="1"/>
  <c r="BH53" i="17" s="1"/>
  <c r="BH57" i="17" a="1"/>
  <c r="BH57" i="17" s="1"/>
  <c r="AX104" i="16"/>
  <c r="AV104" i="16"/>
  <c r="AR104" i="16"/>
  <c r="AO104" i="16"/>
  <c r="AL104" i="16"/>
  <c r="AI104" i="16"/>
  <c r="AF104" i="16"/>
  <c r="AW104" i="16"/>
  <c r="AT104" i="16"/>
  <c r="AQ104" i="16"/>
  <c r="AN104" i="16"/>
  <c r="AK104" i="16"/>
  <c r="AH104" i="16"/>
  <c r="AY104" i="16"/>
  <c r="AU104" i="16"/>
  <c r="AS104" i="16"/>
  <c r="AP104" i="16"/>
  <c r="AM104" i="16"/>
  <c r="AJ104" i="16"/>
  <c r="AG104" i="16"/>
  <c r="BE104" i="16"/>
  <c r="BB104" i="16"/>
  <c r="AZ104" i="16"/>
  <c r="BD104" i="16"/>
  <c r="BC104" i="16"/>
  <c r="BA104" i="16"/>
  <c r="BH5" i="16"/>
  <c r="BG6" i="16"/>
  <c r="BG8" i="16"/>
  <c r="BF55" i="16" s="1"/>
  <c r="BG7" i="16"/>
  <c r="BG4" i="16"/>
  <c r="BF102" i="16"/>
  <c r="BD54" i="16"/>
  <c r="BC54" i="16"/>
  <c r="BF101" i="16"/>
  <c r="BF30" i="16"/>
  <c r="BF43" i="16"/>
  <c r="BF34" i="16"/>
  <c r="BF42" i="16"/>
  <c r="BF31" i="16"/>
  <c r="BF39" i="16"/>
  <c r="BF35" i="16"/>
  <c r="BF40" i="16"/>
  <c r="BF36" i="16"/>
  <c r="BF32" i="16"/>
  <c r="BF78" i="16"/>
  <c r="BF37" i="16"/>
  <c r="BF29" i="16"/>
  <c r="BF38" i="16"/>
  <c r="BF28" i="16"/>
  <c r="BF41" i="16"/>
  <c r="BF44" i="16"/>
  <c r="BF33" i="16"/>
  <c r="BF45" i="16"/>
  <c r="BF79" i="16"/>
  <c r="BF46" i="16"/>
  <c r="BF80" i="16"/>
  <c r="BF47" i="16"/>
  <c r="BF81" i="16"/>
  <c r="BF48" i="16"/>
  <c r="BF82" i="16"/>
  <c r="BF49" i="16"/>
  <c r="BF83" i="16"/>
  <c r="BF50" i="16"/>
  <c r="BF84" i="16"/>
  <c r="BF51" i="16"/>
  <c r="BF85" i="16"/>
  <c r="BF86" i="16"/>
  <c r="BF87" i="16"/>
  <c r="BF88" i="16"/>
  <c r="BF89" i="16"/>
  <c r="BF90" i="16"/>
  <c r="BF91" i="16"/>
  <c r="BF92" i="16"/>
  <c r="BF93" i="16"/>
  <c r="BF94" i="16"/>
  <c r="BF95" i="16"/>
  <c r="BF96" i="16"/>
  <c r="BF97" i="16"/>
  <c r="BF98" i="16"/>
  <c r="BF99" i="16"/>
  <c r="BF100" i="16"/>
  <c r="BF19" i="16"/>
  <c r="BF18" i="16" s="1"/>
  <c r="BF15" i="16"/>
  <c r="BF14" i="16" s="1"/>
  <c r="BI16" i="16" s="1"/>
  <c r="BF11" i="16"/>
  <c r="E53" i="16" a="1"/>
  <c r="E53" i="16" s="1"/>
  <c r="BH16" i="16"/>
  <c r="E103" i="16" a="1"/>
  <c r="E103" i="16" s="1"/>
  <c r="BQ20" i="16"/>
  <c r="BD102" i="16"/>
  <c r="BE102" i="16"/>
  <c r="AZ54" i="16"/>
  <c r="BB54" i="16"/>
  <c r="BE54" i="16"/>
  <c r="BD102" i="15"/>
  <c r="BE102" i="15"/>
  <c r="AM150" i="13"/>
  <c r="BG4" i="15"/>
  <c r="BG6" i="15"/>
  <c r="BG7" i="15"/>
  <c r="BH5" i="15"/>
  <c r="BG8" i="15"/>
  <c r="BF55" i="15" s="1"/>
  <c r="BF102" i="15"/>
  <c r="BD54" i="15"/>
  <c r="AX54" i="15"/>
  <c r="AR54" i="15"/>
  <c r="AJ54" i="15"/>
  <c r="BA54" i="15"/>
  <c r="AY54" i="15"/>
  <c r="AV54" i="15"/>
  <c r="AT54" i="15"/>
  <c r="AQ54" i="15"/>
  <c r="AO54" i="15"/>
  <c r="AM54" i="15"/>
  <c r="AK54" i="15"/>
  <c r="AH54" i="15"/>
  <c r="AF54" i="15"/>
  <c r="BB54" i="15"/>
  <c r="AZ54" i="15"/>
  <c r="AW54" i="15"/>
  <c r="AU54" i="15"/>
  <c r="AS54" i="15"/>
  <c r="AP54" i="15"/>
  <c r="AN54" i="15"/>
  <c r="AL54" i="15"/>
  <c r="AI54" i="15"/>
  <c r="AG54" i="15"/>
  <c r="BF101" i="15"/>
  <c r="BF100" i="15"/>
  <c r="BF99" i="15"/>
  <c r="BF98" i="15"/>
  <c r="BF97" i="15"/>
  <c r="BF52" i="15"/>
  <c r="BF96" i="15"/>
  <c r="BF95" i="15"/>
  <c r="BF51" i="15"/>
  <c r="BF50" i="15"/>
  <c r="BF94" i="15"/>
  <c r="BF93" i="15"/>
  <c r="BF49" i="15"/>
  <c r="BF48" i="15"/>
  <c r="BF92" i="15"/>
  <c r="BF47" i="15"/>
  <c r="BF91" i="15"/>
  <c r="BF46" i="15"/>
  <c r="BF90" i="15"/>
  <c r="BF45" i="15"/>
  <c r="BF89" i="15"/>
  <c r="BF44" i="15"/>
  <c r="BF88" i="15"/>
  <c r="BF43" i="15"/>
  <c r="BF87" i="15"/>
  <c r="BF42" i="15"/>
  <c r="BF86" i="15"/>
  <c r="BF41" i="15"/>
  <c r="BF85" i="15"/>
  <c r="BF40" i="15"/>
  <c r="BF84" i="15"/>
  <c r="BF39" i="15"/>
  <c r="BF83" i="15"/>
  <c r="BF38" i="15"/>
  <c r="BF37" i="15"/>
  <c r="BF82" i="15"/>
  <c r="BF81" i="15"/>
  <c r="BF36" i="15"/>
  <c r="BF80" i="15"/>
  <c r="BF35" i="15"/>
  <c r="BF79" i="15"/>
  <c r="BF34" i="15"/>
  <c r="BF11" i="15" a="1"/>
  <c r="BF11" i="15" s="1"/>
  <c r="BF32" i="15"/>
  <c r="BF78" i="15"/>
  <c r="BF19" i="15" a="1"/>
  <c r="BF19" i="15" s="1"/>
  <c r="BF18" i="15" s="1"/>
  <c r="BF30" i="15"/>
  <c r="BF31" i="15"/>
  <c r="BF29" i="15"/>
  <c r="BF28" i="15"/>
  <c r="BF15" i="15" a="1"/>
  <c r="BF15" i="15" s="1"/>
  <c r="BF14" i="15" s="1"/>
  <c r="BF33" i="15"/>
  <c r="E53" i="15" a="1"/>
  <c r="E53" i="15" s="1"/>
  <c r="BH16" i="15"/>
  <c r="AS104" i="15"/>
  <c r="AR104" i="15"/>
  <c r="AQ104" i="15"/>
  <c r="AP104" i="15"/>
  <c r="AO104" i="15"/>
  <c r="AN104" i="15"/>
  <c r="AM104" i="15"/>
  <c r="AL104" i="15"/>
  <c r="AK104" i="15"/>
  <c r="AJ104" i="15"/>
  <c r="AI104" i="15"/>
  <c r="AH104" i="15"/>
  <c r="AG104" i="15"/>
  <c r="AF104" i="15"/>
  <c r="AU104" i="15"/>
  <c r="AV104" i="15"/>
  <c r="AW104" i="15"/>
  <c r="AX104" i="15"/>
  <c r="AY104" i="15"/>
  <c r="AZ104" i="15"/>
  <c r="BA104" i="15"/>
  <c r="BB104" i="15"/>
  <c r="BC104" i="15"/>
  <c r="BD104" i="15"/>
  <c r="BE104" i="15"/>
  <c r="AT104" i="15"/>
  <c r="BQ20" i="15"/>
  <c r="E103" i="15" a="1"/>
  <c r="E103" i="15" s="1"/>
  <c r="D73" i="17"/>
  <c r="D164" i="17"/>
  <c r="BF163" i="17"/>
  <c r="BE163" i="17"/>
  <c r="BD163" i="17"/>
  <c r="BC163" i="17"/>
  <c r="BB163" i="17"/>
  <c r="BA163" i="17"/>
  <c r="AZ163" i="17"/>
  <c r="AY163" i="17"/>
  <c r="AX163" i="17"/>
  <c r="AW163" i="17"/>
  <c r="AV163" i="17"/>
  <c r="AU163" i="17"/>
  <c r="AT163" i="17"/>
  <c r="AS163" i="17"/>
  <c r="AR163" i="17"/>
  <c r="AQ163" i="17"/>
  <c r="AP163" i="17"/>
  <c r="AO163" i="17"/>
  <c r="AN163" i="17"/>
  <c r="AM163" i="17"/>
  <c r="AL163" i="17"/>
  <c r="AK163" i="17"/>
  <c r="AJ163" i="17"/>
  <c r="AI163" i="17"/>
  <c r="AH163" i="17"/>
  <c r="AG163" i="17"/>
  <c r="AF163" i="17"/>
  <c r="BB73" i="14"/>
  <c r="AV73" i="14"/>
  <c r="AT73" i="14"/>
  <c r="AN73" i="14"/>
  <c r="AK73" i="14"/>
  <c r="AH73" i="14"/>
  <c r="AZ73" i="14"/>
  <c r="AW73" i="14"/>
  <c r="AP73" i="14"/>
  <c r="AM73" i="14"/>
  <c r="AG73" i="14"/>
  <c r="BA73" i="14"/>
  <c r="AX73" i="14"/>
  <c r="AU73" i="14"/>
  <c r="AR73" i="14"/>
  <c r="AL73" i="14"/>
  <c r="AI73" i="14"/>
  <c r="AF73" i="14"/>
  <c r="BD73" i="14"/>
  <c r="AY73" i="14"/>
  <c r="AQ73" i="14"/>
  <c r="BC73" i="14"/>
  <c r="AS73" i="14"/>
  <c r="AJ73" i="14"/>
  <c r="AO73" i="14"/>
  <c r="BF57" i="14"/>
  <c r="BF59" i="14"/>
  <c r="BF49" i="14"/>
  <c r="BF51" i="14"/>
  <c r="BF48" i="14"/>
  <c r="BF53" i="14"/>
  <c r="BF61" i="14"/>
  <c r="BF47" i="14"/>
  <c r="BF56" i="14"/>
  <c r="BF60" i="14"/>
  <c r="BF50" i="14"/>
  <c r="BF52" i="14"/>
  <c r="BF54" i="14"/>
  <c r="BF55" i="14"/>
  <c r="BF58" i="14"/>
  <c r="BH5" i="14"/>
  <c r="BG7" i="14"/>
  <c r="BG4" i="14"/>
  <c r="BG6" i="14"/>
  <c r="BG8" i="14"/>
  <c r="AB5" i="16"/>
  <c r="AS25" i="16"/>
  <c r="AT12" i="16"/>
  <c r="AS22" i="16"/>
  <c r="AS27" i="14" s="1"/>
  <c r="D72" i="16"/>
  <c r="D106" i="16"/>
  <c r="AA8" i="16"/>
  <c r="D61" i="15"/>
  <c r="AB5" i="15"/>
  <c r="AT12" i="15"/>
  <c r="AS22" i="15"/>
  <c r="AS25" i="14" s="1"/>
  <c r="AS25" i="15"/>
  <c r="D106" i="15"/>
  <c r="AA8" i="15"/>
  <c r="AA8" i="14"/>
  <c r="AB5" i="14"/>
  <c r="D78" i="14"/>
  <c r="AM154" i="13"/>
  <c r="X8" i="11"/>
  <c r="BE6" i="9"/>
  <c r="BE8" i="9"/>
  <c r="BE4" i="9"/>
  <c r="BE7" i="9"/>
  <c r="BF5" i="9"/>
  <c r="BD4" i="11"/>
  <c r="BD6" i="11"/>
  <c r="BE5" i="11"/>
  <c r="BD8" i="11"/>
  <c r="BD7" i="11"/>
  <c r="BQ106" i="12"/>
  <c r="AO105" i="13" s="1"/>
  <c r="BQ105" i="12"/>
  <c r="AO104" i="13" s="1"/>
  <c r="BQ104" i="12"/>
  <c r="BQ103" i="12"/>
  <c r="AO102" i="13" s="1"/>
  <c r="BQ102" i="12"/>
  <c r="AO101" i="13" s="1"/>
  <c r="BQ101" i="12"/>
  <c r="BQ97" i="12"/>
  <c r="AO99" i="13" s="1"/>
  <c r="BQ90" i="12"/>
  <c r="BQ93" i="12"/>
  <c r="AO95" i="13" s="1"/>
  <c r="BQ92" i="12"/>
  <c r="BQ91" i="12"/>
  <c r="AO93" i="13" s="1"/>
  <c r="BQ89" i="12"/>
  <c r="BQ96" i="12"/>
  <c r="BQ95" i="12"/>
  <c r="AO97" i="13" s="1"/>
  <c r="BQ94" i="12"/>
  <c r="AO96" i="13" s="1"/>
  <c r="BQ82" i="12"/>
  <c r="AO87" i="13" s="1"/>
  <c r="BQ85" i="12"/>
  <c r="AO90" i="13" s="1"/>
  <c r="BQ81" i="12"/>
  <c r="AO86" i="13" s="1"/>
  <c r="BQ80" i="12"/>
  <c r="BQ79" i="12"/>
  <c r="AO84" i="13" s="1"/>
  <c r="BQ78" i="12"/>
  <c r="AO83" i="13" s="1"/>
  <c r="BQ77" i="12"/>
  <c r="AO82" i="13" s="1"/>
  <c r="BQ76" i="12"/>
  <c r="BQ75" i="12"/>
  <c r="BQ73" i="12"/>
  <c r="AO77" i="13" s="1"/>
  <c r="BQ84" i="12"/>
  <c r="AO89" i="13" s="1"/>
  <c r="BQ83" i="12"/>
  <c r="AO88" i="13" s="1"/>
  <c r="BQ64" i="12"/>
  <c r="AO74" i="13" s="1"/>
  <c r="BQ59" i="12"/>
  <c r="AO72" i="13" s="1"/>
  <c r="BQ58" i="12"/>
  <c r="BQ28" i="12"/>
  <c r="BQ50" i="12"/>
  <c r="AO68" i="13" s="1"/>
  <c r="BQ49" i="12"/>
  <c r="AO67" i="13" s="1"/>
  <c r="BQ48" i="12"/>
  <c r="BQ47" i="12"/>
  <c r="AO65" i="13" s="1"/>
  <c r="BQ46" i="12"/>
  <c r="AO64" i="13" s="1"/>
  <c r="BQ31" i="12"/>
  <c r="AO49" i="13" s="1"/>
  <c r="BQ30" i="12"/>
  <c r="AO48" i="13" s="1"/>
  <c r="BQ29" i="12"/>
  <c r="BQ52" i="12"/>
  <c r="AO70" i="13" s="1"/>
  <c r="BQ41" i="12"/>
  <c r="AO59" i="13" s="1"/>
  <c r="BQ40" i="12"/>
  <c r="AO58" i="13" s="1"/>
  <c r="BQ39" i="12"/>
  <c r="AO57" i="13" s="1"/>
  <c r="BQ38" i="12"/>
  <c r="AO56" i="13" s="1"/>
  <c r="BQ37" i="12"/>
  <c r="AO55" i="13" s="1"/>
  <c r="BQ36" i="12"/>
  <c r="BQ35" i="12"/>
  <c r="AO53" i="13" s="1"/>
  <c r="BQ34" i="12"/>
  <c r="AO52" i="13" s="1"/>
  <c r="BQ33" i="12"/>
  <c r="AO51" i="13" s="1"/>
  <c r="BQ32" i="12"/>
  <c r="AO50" i="13" s="1"/>
  <c r="BQ51" i="12"/>
  <c r="AO69" i="13" s="1"/>
  <c r="BQ21" i="12"/>
  <c r="AO45" i="13" s="1"/>
  <c r="BQ20" i="12"/>
  <c r="AO44" i="13" s="1"/>
  <c r="BH90" i="30" s="1"/>
  <c r="BQ19" i="12"/>
  <c r="AO43" i="13" s="1"/>
  <c r="BQ18" i="12"/>
  <c r="BQ14" i="12"/>
  <c r="AO41" i="13" s="1"/>
  <c r="BQ13" i="12"/>
  <c r="AO40" i="13" s="1"/>
  <c r="BQ12" i="12"/>
  <c r="BQ7" i="12"/>
  <c r="BQ8" i="12"/>
  <c r="BQ4" i="12"/>
  <c r="BQ6" i="12"/>
  <c r="BR5" i="12"/>
  <c r="BR63" i="12" s="1"/>
  <c r="AN4" i="13"/>
  <c r="AN8" i="13"/>
  <c r="AN7" i="13"/>
  <c r="AO5" i="13"/>
  <c r="AN6" i="13"/>
  <c r="AI8" i="12"/>
  <c r="AJ5" i="12"/>
  <c r="Y5" i="11"/>
  <c r="BE4" i="10"/>
  <c r="BE8" i="10"/>
  <c r="BE7" i="10"/>
  <c r="BE6" i="10"/>
  <c r="BF5" i="10"/>
  <c r="BM50" i="8"/>
  <c r="BM52" i="8"/>
  <c r="BM48" i="8"/>
  <c r="BM51" i="8"/>
  <c r="BN49" i="8"/>
  <c r="Z5" i="9"/>
  <c r="Y8" i="9"/>
  <c r="AH75" i="8"/>
  <c r="AH49" i="8"/>
  <c r="AH8" i="8"/>
  <c r="AG11" i="8"/>
  <c r="AG78" i="8"/>
  <c r="AG52" i="8"/>
  <c r="BN7" i="8"/>
  <c r="BN15" i="8" s="1" a="1"/>
  <c r="BN15" i="8" s="1"/>
  <c r="BO8" i="8"/>
  <c r="BN11" i="8"/>
  <c r="BN10" i="8"/>
  <c r="BN9" i="8"/>
  <c r="BM78" i="8"/>
  <c r="BM77" i="8"/>
  <c r="BM76" i="8"/>
  <c r="BM74" i="8"/>
  <c r="BN75" i="8"/>
  <c r="AY69" i="17" l="1" a="1"/>
  <c r="AY69" i="17" s="1"/>
  <c r="AH69" i="17" a="1"/>
  <c r="AH69" i="17" s="1"/>
  <c r="N69" i="17" s="1"/>
  <c r="AF69" i="17" a="1"/>
  <c r="AF69" i="17" s="1"/>
  <c r="AI69" i="17" a="1"/>
  <c r="AI69" i="17" s="1"/>
  <c r="AJ69" i="17" a="1"/>
  <c r="AJ69" i="17" s="1"/>
  <c r="AN69" i="17" a="1"/>
  <c r="AN69" i="17" s="1"/>
  <c r="P69" i="17" s="1"/>
  <c r="AL69" i="17" a="1"/>
  <c r="AL69" i="17" s="1"/>
  <c r="AO69" i="17" a="1"/>
  <c r="AO69" i="17" s="1"/>
  <c r="AP69" i="17" a="1"/>
  <c r="AP69" i="17" s="1"/>
  <c r="AK69" i="17" a="1"/>
  <c r="AK69" i="17" s="1"/>
  <c r="O69" i="17" s="1"/>
  <c r="AU69" i="17" a="1"/>
  <c r="AU69" i="17" s="1"/>
  <c r="AZ69" i="17" a="1"/>
  <c r="AZ69" i="17" s="1"/>
  <c r="T69" i="17" s="1"/>
  <c r="AV69" i="17" a="1"/>
  <c r="AV69" i="17" s="1"/>
  <c r="BC69" i="17" a="1"/>
  <c r="BC69" i="17" s="1"/>
  <c r="U69" i="17" s="1"/>
  <c r="BH69" i="17" a="1"/>
  <c r="BH69" i="17" s="1"/>
  <c r="BD69" i="17" a="1"/>
  <c r="BD69" i="17" s="1"/>
  <c r="AG69" i="17" a="1"/>
  <c r="AG69" i="17" s="1"/>
  <c r="AW69" i="17" a="1"/>
  <c r="AW69" i="17" s="1"/>
  <c r="S69" i="17" s="1"/>
  <c r="AS69" i="17" a="1"/>
  <c r="AS69" i="17" s="1"/>
  <c r="BF69" i="17" a="1"/>
  <c r="BF69" i="17" s="1"/>
  <c r="V69" i="17" s="1"/>
  <c r="AR69" i="17" a="1"/>
  <c r="AR69" i="17" s="1"/>
  <c r="AX69" i="17" a="1"/>
  <c r="AX69" i="17" s="1"/>
  <c r="BA69" i="17" a="1"/>
  <c r="BA69" i="17" s="1"/>
  <c r="AQ69" i="17" a="1"/>
  <c r="AQ69" i="17" s="1"/>
  <c r="H69" i="17" s="1"/>
  <c r="AT69" i="17" a="1"/>
  <c r="AT69" i="17" s="1"/>
  <c r="R69" i="17" s="1"/>
  <c r="AM69" i="17" a="1"/>
  <c r="AM69" i="17" s="1"/>
  <c r="BD42" i="17"/>
  <c r="BE41" i="17"/>
  <c r="E70" i="17" s="1" a="1"/>
  <c r="E70" i="17" s="1"/>
  <c r="BH70" i="17" s="1" a="1"/>
  <c r="BH70" i="17" s="1"/>
  <c r="AL110" i="13"/>
  <c r="BO85" i="20"/>
  <c r="AL130" i="13" s="1"/>
  <c r="AL128" i="13"/>
  <c r="BE69" i="17" a="1"/>
  <c r="BE69" i="17" s="1"/>
  <c r="BB69" i="17" a="1"/>
  <c r="BB69" i="17" s="1"/>
  <c r="AH98" i="8"/>
  <c r="AH97" i="8"/>
  <c r="AK108" i="13"/>
  <c r="AJ115" i="13"/>
  <c r="AH15" i="8" a="1"/>
  <c r="AH15" i="8" s="1"/>
  <c r="AO80" i="13"/>
  <c r="AO24" i="13" a="1"/>
  <c r="AO24" i="13" s="1"/>
  <c r="AO81" i="13"/>
  <c r="AO27" i="13" a="1"/>
  <c r="AO27" i="13" s="1"/>
  <c r="AO92" i="13"/>
  <c r="AO30" i="13" a="1"/>
  <c r="AO30" i="13" s="1"/>
  <c r="AO47" i="13"/>
  <c r="AO13" i="13" a="1"/>
  <c r="AO13" i="13" s="1"/>
  <c r="AO100" i="13"/>
  <c r="AO33" i="13" a="1"/>
  <c r="AO33" i="13" s="1"/>
  <c r="AO42" i="13"/>
  <c r="AO15" i="13" a="1"/>
  <c r="AO15" i="13" s="1"/>
  <c r="AO149" i="13" s="1"/>
  <c r="AO66" i="13"/>
  <c r="AO19" i="13" a="1"/>
  <c r="AO19" i="13" s="1"/>
  <c r="BI105" i="17"/>
  <c r="BH107" i="17"/>
  <c r="BH109" i="17" s="1"/>
  <c r="BH103" i="17" s="1"/>
  <c r="AO85" i="13"/>
  <c r="AO28" i="13" a="1"/>
  <c r="AO28" i="13" s="1"/>
  <c r="AO60" i="13"/>
  <c r="AO17" i="13" a="1"/>
  <c r="AO17" i="13" s="1"/>
  <c r="AO103" i="13"/>
  <c r="AO34" i="13" a="1"/>
  <c r="AO34" i="13" s="1"/>
  <c r="AO54" i="13"/>
  <c r="AO18" i="13" a="1"/>
  <c r="AO18" i="13" s="1"/>
  <c r="AO71" i="13"/>
  <c r="AO21" i="13" a="1"/>
  <c r="AO21" i="13" s="1"/>
  <c r="AO151" i="13" s="1"/>
  <c r="BH99" i="17"/>
  <c r="BH101" i="17" s="1"/>
  <c r="BH96" i="17" s="1"/>
  <c r="AO46" i="13"/>
  <c r="AO16" i="13" a="1"/>
  <c r="AO16" i="13" s="1"/>
  <c r="AO38" i="13"/>
  <c r="AO12" i="13" a="1"/>
  <c r="AO12" i="13" s="1"/>
  <c r="AO148" i="13" s="1"/>
  <c r="AO98" i="13"/>
  <c r="AO31" i="13" a="1"/>
  <c r="AO31" i="13" s="1"/>
  <c r="AO94" i="13"/>
  <c r="AO32" i="13" a="1"/>
  <c r="AO32" i="13" s="1"/>
  <c r="AO91" i="13"/>
  <c r="AO29" i="13" a="1"/>
  <c r="AO29" i="13" s="1"/>
  <c r="BN82" i="20"/>
  <c r="BD55" i="15"/>
  <c r="BP107" i="20"/>
  <c r="AJ70" i="17" a="1"/>
  <c r="AJ70" i="17" s="1"/>
  <c r="BP90" i="20"/>
  <c r="AM134" i="13" s="1"/>
  <c r="BP108" i="20"/>
  <c r="BP91" i="20"/>
  <c r="AM135" i="13" s="1"/>
  <c r="BC55" i="16"/>
  <c r="BD55" i="16"/>
  <c r="BE55" i="16"/>
  <c r="BB55" i="16"/>
  <c r="BO110" i="20"/>
  <c r="BO111" i="20" a="1"/>
  <c r="BO111" i="20" s="1"/>
  <c r="BO109" i="20" a="1"/>
  <c r="BO109" i="20" s="1"/>
  <c r="BO86" i="20"/>
  <c r="AL131" i="13" s="1"/>
  <c r="BO87" i="20"/>
  <c r="AL132" i="13" s="1"/>
  <c r="BP83" i="20"/>
  <c r="BL114" i="20"/>
  <c r="BP76" i="20"/>
  <c r="AM122" i="13" s="1"/>
  <c r="BP77" i="20"/>
  <c r="AM123" i="13" s="1"/>
  <c r="BM89" i="20"/>
  <c r="BK114" i="20"/>
  <c r="BR42" i="12"/>
  <c r="BR43" i="12"/>
  <c r="AP61" i="13" s="1"/>
  <c r="BR44" i="12"/>
  <c r="AP62" i="13" s="1"/>
  <c r="BR45" i="12"/>
  <c r="AP63" i="13" s="1"/>
  <c r="BM75" i="20"/>
  <c r="BN106" i="20"/>
  <c r="BO60" i="20"/>
  <c r="BR52" i="20"/>
  <c r="BG4" i="22"/>
  <c r="BG7" i="22"/>
  <c r="BG8" i="22"/>
  <c r="BH5" i="22"/>
  <c r="BG6" i="22"/>
  <c r="AB4" i="22"/>
  <c r="AA7" i="22"/>
  <c r="AA6" i="22"/>
  <c r="BF63" i="22"/>
  <c r="BE63" i="22"/>
  <c r="BD63" i="22"/>
  <c r="BC63" i="22"/>
  <c r="BB63" i="22"/>
  <c r="BA63" i="22"/>
  <c r="AZ63" i="22"/>
  <c r="AY63" i="22"/>
  <c r="AX63" i="22"/>
  <c r="AW63" i="22"/>
  <c r="AV63" i="22"/>
  <c r="AU63" i="22"/>
  <c r="AT63" i="22"/>
  <c r="AS63" i="22"/>
  <c r="AR63" i="22"/>
  <c r="AQ63" i="22"/>
  <c r="AP63" i="22"/>
  <c r="AO63" i="22"/>
  <c r="AN63" i="22"/>
  <c r="AM63" i="22"/>
  <c r="AL63" i="22"/>
  <c r="AK63" i="22"/>
  <c r="AJ63" i="22"/>
  <c r="AI63" i="22"/>
  <c r="AH63" i="22"/>
  <c r="D64" i="22"/>
  <c r="AG63" i="22"/>
  <c r="AF63" i="22"/>
  <c r="AE63"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D115" i="22"/>
  <c r="AG114" i="22"/>
  <c r="AF114" i="22"/>
  <c r="AE114" i="22"/>
  <c r="AN155" i="13"/>
  <c r="BS54" i="20"/>
  <c r="BP65" i="20"/>
  <c r="BP64" i="20"/>
  <c r="AM112" i="13" s="1"/>
  <c r="BP63" i="20"/>
  <c r="BP62" i="20"/>
  <c r="AM110" i="13" s="1"/>
  <c r="BO96" i="20"/>
  <c r="BP99" i="20"/>
  <c r="AM142" i="13" s="1"/>
  <c r="BP100" i="20"/>
  <c r="AM143" i="13" s="1"/>
  <c r="BP101" i="20"/>
  <c r="AM144" i="13" s="1"/>
  <c r="BN80" i="20"/>
  <c r="AK126" i="13" s="1"/>
  <c r="BN79" i="20"/>
  <c r="AK125" i="13" s="1"/>
  <c r="BN78" i="20"/>
  <c r="AK124" i="13" s="1"/>
  <c r="BN92" i="20"/>
  <c r="AK136" i="13" s="1"/>
  <c r="BN93" i="20"/>
  <c r="AK137" i="13" s="1"/>
  <c r="BN94" i="20"/>
  <c r="AK138" i="13" s="1"/>
  <c r="BQ102" i="20"/>
  <c r="AN145" i="13" s="1"/>
  <c r="BQ81" i="20"/>
  <c r="AN127" i="13" s="1"/>
  <c r="BQ88" i="20"/>
  <c r="AN133" i="13" s="1"/>
  <c r="BQ95" i="20"/>
  <c r="AN139" i="13" s="1"/>
  <c r="BS57" i="20"/>
  <c r="BS97" i="20" s="1"/>
  <c r="AP140" i="13" s="1"/>
  <c r="BS56" i="20"/>
  <c r="BS55" i="20"/>
  <c r="BN68" i="20"/>
  <c r="BO115" i="20"/>
  <c r="BO72" i="20"/>
  <c r="AL119" i="13" s="1"/>
  <c r="BO73" i="20"/>
  <c r="AL120" i="13" s="1"/>
  <c r="BO71" i="20"/>
  <c r="AL118" i="13" s="1"/>
  <c r="BQ16" i="20"/>
  <c r="BQ14" i="20"/>
  <c r="BQ12" i="20"/>
  <c r="BQ23" i="20"/>
  <c r="BQ20" i="20"/>
  <c r="BQ30" i="20"/>
  <c r="BQ74" i="20"/>
  <c r="AN121" i="13" s="1"/>
  <c r="BQ13" i="20"/>
  <c r="BQ29" i="20"/>
  <c r="BQ35" i="20"/>
  <c r="BQ31" i="20"/>
  <c r="BQ26" i="20"/>
  <c r="BQ17" i="20"/>
  <c r="BQ25" i="20"/>
  <c r="BQ27" i="20"/>
  <c r="BQ32" i="20"/>
  <c r="BQ18" i="20"/>
  <c r="BQ19" i="20"/>
  <c r="BQ28" i="20"/>
  <c r="BQ15" i="20"/>
  <c r="BQ24" i="20"/>
  <c r="BQ33" i="20"/>
  <c r="BQ21" i="20"/>
  <c r="BQ22" i="20"/>
  <c r="BQ34" i="20"/>
  <c r="BQ11" i="20"/>
  <c r="BR6" i="20"/>
  <c r="BR7" i="20"/>
  <c r="BR8" i="20"/>
  <c r="BR112" i="20" s="1"/>
  <c r="BS5" i="20"/>
  <c r="BR4" i="20"/>
  <c r="BP70" i="20"/>
  <c r="AM117" i="13" s="1"/>
  <c r="BP61" i="20"/>
  <c r="AM109" i="13" s="1"/>
  <c r="BP69" i="20"/>
  <c r="AM116" i="13" s="1"/>
  <c r="BP10" i="20"/>
  <c r="BF105" i="16"/>
  <c r="BE105" i="16"/>
  <c r="BD105" i="16"/>
  <c r="BC105" i="16"/>
  <c r="BB105" i="16"/>
  <c r="BA105" i="16"/>
  <c r="AZ105" i="16"/>
  <c r="AY105" i="16"/>
  <c r="AX105" i="16"/>
  <c r="AW105" i="16"/>
  <c r="AV105" i="16"/>
  <c r="AN154" i="13"/>
  <c r="AU105" i="16"/>
  <c r="AT105" i="16"/>
  <c r="AS105" i="16"/>
  <c r="AR105" i="16"/>
  <c r="AQ105" i="16"/>
  <c r="AP105" i="16"/>
  <c r="AM105" i="16"/>
  <c r="AL105" i="16"/>
  <c r="AK105" i="16"/>
  <c r="AJ105" i="16"/>
  <c r="AI105" i="16"/>
  <c r="AH105" i="16"/>
  <c r="AG105" i="16"/>
  <c r="AF105" i="16"/>
  <c r="AL7" i="20"/>
  <c r="AM4" i="20"/>
  <c r="AL6" i="20"/>
  <c r="BT53" i="20"/>
  <c r="AN164" i="13"/>
  <c r="BI69" i="17" a="1"/>
  <c r="BI69" i="17" s="1"/>
  <c r="W69" i="17" s="1"/>
  <c r="BI68" i="17" a="1"/>
  <c r="BI68" i="17" s="1"/>
  <c r="W68" i="17" s="1"/>
  <c r="BI67" i="17" a="1"/>
  <c r="BI67" i="17" s="1"/>
  <c r="W67" i="17" s="1"/>
  <c r="BI66" i="17" a="1"/>
  <c r="BI66" i="17" s="1"/>
  <c r="W66" i="17" s="1"/>
  <c r="BI65" i="17" a="1"/>
  <c r="BI65" i="17" s="1"/>
  <c r="W65" i="17" s="1"/>
  <c r="BI64" i="17" a="1"/>
  <c r="BI64" i="17" s="1"/>
  <c r="W64" i="17" s="1"/>
  <c r="BI63" i="17" a="1"/>
  <c r="BI63" i="17" s="1"/>
  <c r="W63" i="17" s="1"/>
  <c r="BI62" i="17" a="1"/>
  <c r="BI62" i="17" s="1"/>
  <c r="W62" i="17" s="1"/>
  <c r="BI153" i="17"/>
  <c r="BI61" i="17" a="1"/>
  <c r="BI61" i="17" s="1"/>
  <c r="W61" i="17" s="1"/>
  <c r="BI152" i="17"/>
  <c r="BI60" i="17" a="1"/>
  <c r="BI60" i="17" s="1"/>
  <c r="W60" i="17" s="1"/>
  <c r="BI136" i="17"/>
  <c r="BI137" i="17"/>
  <c r="BI47" i="17" a="1"/>
  <c r="BI47" i="17" s="1"/>
  <c r="W47" i="17" s="1"/>
  <c r="BI49" i="17" a="1"/>
  <c r="BI49" i="17" s="1"/>
  <c r="W49" i="17" s="1"/>
  <c r="BI143" i="17"/>
  <c r="BI53" i="17" a="1"/>
  <c r="BI53" i="17" s="1"/>
  <c r="W53" i="17" s="1"/>
  <c r="BI54" i="17" a="1"/>
  <c r="BI54" i="17" s="1"/>
  <c r="W54" i="17" s="1"/>
  <c r="BI55" i="17" a="1"/>
  <c r="BI55" i="17" s="1"/>
  <c r="W55" i="17" s="1"/>
  <c r="BI56" i="17" a="1"/>
  <c r="BI56" i="17" s="1"/>
  <c r="W56" i="17" s="1"/>
  <c r="BI57" i="17" a="1"/>
  <c r="BI57" i="17" s="1"/>
  <c r="W57" i="17" s="1"/>
  <c r="BI149" i="17"/>
  <c r="BI58" i="17" a="1"/>
  <c r="BI58" i="17" s="1"/>
  <c r="W58" i="17" s="1"/>
  <c r="BI150" i="17"/>
  <c r="BI138" i="17"/>
  <c r="BI139" i="17"/>
  <c r="BI48" i="17" a="1"/>
  <c r="BI48" i="17" s="1"/>
  <c r="BI141" i="17"/>
  <c r="BI51" i="17" a="1"/>
  <c r="BI51" i="17" s="1"/>
  <c r="W51" i="17" s="1"/>
  <c r="BI52" i="17" a="1"/>
  <c r="BI52" i="17" s="1"/>
  <c r="BI145" i="17"/>
  <c r="BI147" i="17"/>
  <c r="BI148" i="17"/>
  <c r="BI45" i="17" a="1"/>
  <c r="BI45" i="17" s="1"/>
  <c r="W45" i="17" s="1"/>
  <c r="BI46" i="17" a="1"/>
  <c r="BI46" i="17" s="1"/>
  <c r="W46" i="17" s="1"/>
  <c r="BI140" i="17"/>
  <c r="BI50" i="17" a="1"/>
  <c r="BI50" i="17" s="1"/>
  <c r="BI142" i="17"/>
  <c r="BI144" i="17"/>
  <c r="BI146" i="17"/>
  <c r="BI151" i="17"/>
  <c r="BI59" i="17" a="1"/>
  <c r="BI59" i="17" s="1"/>
  <c r="W59" i="17" s="1"/>
  <c r="BJ6" i="17"/>
  <c r="BJ8" i="17"/>
  <c r="BJ7" i="17"/>
  <c r="BK5" i="17"/>
  <c r="BJ4" i="17"/>
  <c r="BH4" i="16"/>
  <c r="BH7" i="16"/>
  <c r="BH6" i="16"/>
  <c r="BI5" i="16"/>
  <c r="BH8" i="16"/>
  <c r="BG56" i="16" s="1"/>
  <c r="BG103" i="16"/>
  <c r="BG82" i="16"/>
  <c r="BG83" i="16"/>
  <c r="BG51" i="16"/>
  <c r="BG88" i="16"/>
  <c r="BG92" i="16"/>
  <c r="BG95" i="16"/>
  <c r="BG96" i="16"/>
  <c r="BG97" i="16"/>
  <c r="BG46" i="16"/>
  <c r="BG81" i="16"/>
  <c r="BG49" i="16"/>
  <c r="BG84" i="16"/>
  <c r="BG52" i="16"/>
  <c r="BG89" i="16"/>
  <c r="BG93" i="16"/>
  <c r="BG53" i="16"/>
  <c r="BG98" i="16"/>
  <c r="BG99" i="16"/>
  <c r="BG100" i="16"/>
  <c r="BG80" i="16"/>
  <c r="BG47" i="16"/>
  <c r="BG48" i="16"/>
  <c r="BG50" i="16"/>
  <c r="BG85" i="16"/>
  <c r="BG86" i="16"/>
  <c r="BG87" i="16"/>
  <c r="BG90" i="16"/>
  <c r="BG91" i="16"/>
  <c r="BG94" i="16"/>
  <c r="BG102" i="16"/>
  <c r="BG101" i="16"/>
  <c r="BG41" i="16"/>
  <c r="BG34" i="16"/>
  <c r="BG33" i="16"/>
  <c r="BG44" i="16"/>
  <c r="BG30" i="16"/>
  <c r="BG32" i="16"/>
  <c r="BG29" i="16"/>
  <c r="BG40" i="16"/>
  <c r="BG28" i="16"/>
  <c r="BG42" i="16"/>
  <c r="BG35" i="16"/>
  <c r="BG37" i="16"/>
  <c r="BG31" i="16"/>
  <c r="BG36" i="16"/>
  <c r="BG38" i="16"/>
  <c r="BG43" i="16"/>
  <c r="BG39" i="16"/>
  <c r="BG78" i="16"/>
  <c r="BG45" i="16"/>
  <c r="BG79" i="16"/>
  <c r="BG11" i="16"/>
  <c r="BG19" i="16"/>
  <c r="BG18" i="16" s="1"/>
  <c r="BG15" i="16"/>
  <c r="BG14" i="16" s="1"/>
  <c r="BJ16" i="16" s="1"/>
  <c r="E104" i="16" a="1"/>
  <c r="E104" i="16" s="1"/>
  <c r="BR20" i="16"/>
  <c r="BF103" i="16"/>
  <c r="BE103" i="16"/>
  <c r="AO105" i="16"/>
  <c r="AN105" i="16"/>
  <c r="BE53" i="16"/>
  <c r="BF53" i="16"/>
  <c r="BH4" i="15"/>
  <c r="BH6" i="15"/>
  <c r="BH7" i="15"/>
  <c r="BI5" i="15"/>
  <c r="BH8" i="15"/>
  <c r="AL56" i="15" s="1"/>
  <c r="AY55" i="15"/>
  <c r="AO55" i="15"/>
  <c r="AU55" i="15"/>
  <c r="AS55" i="15"/>
  <c r="BE55" i="15"/>
  <c r="BB55" i="15"/>
  <c r="AW55" i="15"/>
  <c r="AR55" i="15"/>
  <c r="AM55" i="15"/>
  <c r="BA55" i="15"/>
  <c r="AN55" i="15"/>
  <c r="AG55" i="15"/>
  <c r="BC55" i="15"/>
  <c r="AJ55" i="15"/>
  <c r="BG103" i="15"/>
  <c r="AT55" i="15"/>
  <c r="AZ55" i="15"/>
  <c r="AV55" i="15"/>
  <c r="AP55" i="15"/>
  <c r="AI55" i="15"/>
  <c r="AX55" i="15"/>
  <c r="AQ55" i="15"/>
  <c r="AH55" i="15"/>
  <c r="AF55" i="15"/>
  <c r="AL55" i="15"/>
  <c r="AK55" i="15"/>
  <c r="BG102" i="15"/>
  <c r="BG101" i="15"/>
  <c r="BG100" i="15"/>
  <c r="BG99" i="15"/>
  <c r="BG98" i="15"/>
  <c r="BG53" i="15"/>
  <c r="BG97" i="15"/>
  <c r="BG96" i="15"/>
  <c r="BG52" i="15"/>
  <c r="BG95" i="15"/>
  <c r="BG51" i="15"/>
  <c r="BG94" i="15"/>
  <c r="BG50" i="15"/>
  <c r="BG49" i="15"/>
  <c r="BG93" i="15"/>
  <c r="BG48" i="15"/>
  <c r="BG92" i="15"/>
  <c r="BG47" i="15"/>
  <c r="BG91" i="15"/>
  <c r="BG46" i="15"/>
  <c r="BG90" i="15"/>
  <c r="BG45" i="15"/>
  <c r="BG89" i="15"/>
  <c r="BG44" i="15"/>
  <c r="BG88" i="15"/>
  <c r="BG43" i="15"/>
  <c r="BG87" i="15"/>
  <c r="BG42" i="15"/>
  <c r="BG86" i="15"/>
  <c r="BG41" i="15"/>
  <c r="BG85" i="15"/>
  <c r="BG40" i="15"/>
  <c r="BG84" i="15"/>
  <c r="BG39" i="15"/>
  <c r="BG83" i="15"/>
  <c r="BG38" i="15"/>
  <c r="BG37" i="15"/>
  <c r="BG82" i="15"/>
  <c r="BG81" i="15"/>
  <c r="BG36" i="15"/>
  <c r="BG80" i="15"/>
  <c r="BG35" i="15"/>
  <c r="BG79" i="15"/>
  <c r="BG34" i="15"/>
  <c r="BG15" i="15" a="1"/>
  <c r="BG15" i="15" s="1"/>
  <c r="BG14" i="15" s="1"/>
  <c r="BG28" i="15"/>
  <c r="BG33" i="15"/>
  <c r="BG11" i="15" a="1"/>
  <c r="BG11" i="15" s="1"/>
  <c r="BG19" i="15" a="1"/>
  <c r="BG19" i="15" s="1"/>
  <c r="BG18" i="15" s="1"/>
  <c r="BG78" i="15"/>
  <c r="BG31" i="15"/>
  <c r="BG30" i="15"/>
  <c r="BG32" i="15"/>
  <c r="BG29" i="15"/>
  <c r="BI16" i="15"/>
  <c r="AP105" i="15"/>
  <c r="AF105" i="15"/>
  <c r="AG105" i="15"/>
  <c r="AH105" i="15"/>
  <c r="AI105" i="15"/>
  <c r="AJ105" i="15"/>
  <c r="AK105" i="15"/>
  <c r="AL105" i="15"/>
  <c r="AM105" i="15"/>
  <c r="AN105" i="15"/>
  <c r="AO105" i="15"/>
  <c r="BF105" i="15"/>
  <c r="BE105" i="15"/>
  <c r="BD105" i="15"/>
  <c r="BC105" i="15"/>
  <c r="BB105" i="15"/>
  <c r="BA105" i="15"/>
  <c r="AZ105" i="15"/>
  <c r="AY105" i="15"/>
  <c r="AX105" i="15"/>
  <c r="AW105" i="15"/>
  <c r="AV105" i="15"/>
  <c r="AU105" i="15"/>
  <c r="AT105" i="15"/>
  <c r="AS105" i="15"/>
  <c r="AR105" i="15"/>
  <c r="AQ105" i="15"/>
  <c r="BR20" i="15"/>
  <c r="E104" i="15" a="1"/>
  <c r="E104" i="15" s="1"/>
  <c r="E54" i="15" a="1"/>
  <c r="E54" i="15" s="1"/>
  <c r="BE53" i="15"/>
  <c r="BF53" i="15"/>
  <c r="BE103" i="15"/>
  <c r="BF103" i="15"/>
  <c r="D74" i="17"/>
  <c r="AW164" i="17"/>
  <c r="AT164" i="17"/>
  <c r="AL164" i="17"/>
  <c r="AK164" i="17"/>
  <c r="AG164" i="17"/>
  <c r="AZ164" i="17"/>
  <c r="AQ164" i="17"/>
  <c r="AP164" i="17"/>
  <c r="BD164" i="17"/>
  <c r="BC164" i="17"/>
  <c r="BB164" i="17"/>
  <c r="BA164" i="17"/>
  <c r="AV164" i="17"/>
  <c r="AO164" i="17"/>
  <c r="AN164" i="17"/>
  <c r="AI164" i="17"/>
  <c r="BG164" i="17"/>
  <c r="BF164" i="17"/>
  <c r="BE164" i="17"/>
  <c r="AY164" i="17"/>
  <c r="AX164" i="17"/>
  <c r="AU164" i="17"/>
  <c r="AS164" i="17"/>
  <c r="AR164" i="17"/>
  <c r="AM164" i="17"/>
  <c r="AJ164" i="17"/>
  <c r="AH164" i="17"/>
  <c r="AF164" i="17"/>
  <c r="D165" i="17"/>
  <c r="BH7" i="14"/>
  <c r="BH8" i="14"/>
  <c r="BI5" i="14"/>
  <c r="BH6" i="14"/>
  <c r="BH4" i="14"/>
  <c r="BE74" i="14"/>
  <c r="BA74" i="14"/>
  <c r="AW74" i="14"/>
  <c r="AS74" i="14"/>
  <c r="AO74" i="14"/>
  <c r="AJ74" i="14"/>
  <c r="BC74" i="14"/>
  <c r="BB74" i="14"/>
  <c r="AY74" i="14"/>
  <c r="AX74" i="14"/>
  <c r="AU74" i="14"/>
  <c r="AT74" i="14"/>
  <c r="AQ74" i="14"/>
  <c r="AP74" i="14"/>
  <c r="AM74" i="14"/>
  <c r="AL74" i="14"/>
  <c r="AK74" i="14"/>
  <c r="AH74" i="14"/>
  <c r="AG74" i="14"/>
  <c r="AF74" i="14"/>
  <c r="BD74" i="14"/>
  <c r="AZ74" i="14"/>
  <c r="AV74" i="14"/>
  <c r="AR74" i="14"/>
  <c r="AN74" i="14"/>
  <c r="AI74" i="14"/>
  <c r="BG49" i="14"/>
  <c r="BG48" i="14"/>
  <c r="BG47" i="14"/>
  <c r="BG50" i="14"/>
  <c r="BG51" i="14"/>
  <c r="BG52" i="14"/>
  <c r="BG53" i="14"/>
  <c r="BG54" i="14"/>
  <c r="BG55" i="14"/>
  <c r="BG56" i="14"/>
  <c r="BG57" i="14"/>
  <c r="BG58" i="14"/>
  <c r="BG59" i="14"/>
  <c r="BG60" i="14"/>
  <c r="BG61" i="14"/>
  <c r="BG62" i="14"/>
  <c r="BF74" i="14"/>
  <c r="AC4" i="16"/>
  <c r="AB7" i="16"/>
  <c r="AB6" i="16"/>
  <c r="AT10" i="16"/>
  <c r="D73" i="16"/>
  <c r="D107" i="16"/>
  <c r="D62" i="15"/>
  <c r="AC4" i="15"/>
  <c r="AB7" i="15"/>
  <c r="AB6" i="15"/>
  <c r="AT10" i="15"/>
  <c r="D107" i="15"/>
  <c r="AC4" i="14"/>
  <c r="AB7" i="14"/>
  <c r="AB6" i="14"/>
  <c r="D79" i="14"/>
  <c r="AN163" i="13"/>
  <c r="AN160" i="13"/>
  <c r="AN150" i="13"/>
  <c r="AN159" i="13"/>
  <c r="BG5" i="9"/>
  <c r="BF8" i="9"/>
  <c r="BF4" i="9"/>
  <c r="BF6" i="9"/>
  <c r="BF7" i="9"/>
  <c r="BE4" i="11"/>
  <c r="BF5" i="11"/>
  <c r="BE8" i="11"/>
  <c r="BE7" i="11"/>
  <c r="BE6" i="11"/>
  <c r="BR106" i="12"/>
  <c r="AP105" i="13" s="1"/>
  <c r="BR105" i="12"/>
  <c r="AP104" i="13" s="1"/>
  <c r="BR104" i="12"/>
  <c r="BR103" i="12"/>
  <c r="AP102" i="13" s="1"/>
  <c r="BR102" i="12"/>
  <c r="AP101" i="13" s="1"/>
  <c r="BR101" i="12"/>
  <c r="BR97" i="12"/>
  <c r="AP99" i="13" s="1"/>
  <c r="BR95" i="12"/>
  <c r="AP97" i="13" s="1"/>
  <c r="BR94" i="12"/>
  <c r="AP96" i="13" s="1"/>
  <c r="BR93" i="12"/>
  <c r="AP95" i="13" s="1"/>
  <c r="BR92" i="12"/>
  <c r="BR91" i="12"/>
  <c r="AP93" i="13" s="1"/>
  <c r="BR89" i="12"/>
  <c r="BR90" i="12"/>
  <c r="BR96" i="12"/>
  <c r="BR76" i="12"/>
  <c r="BR85" i="12"/>
  <c r="AP90" i="13" s="1"/>
  <c r="BR84" i="12"/>
  <c r="AP89" i="13" s="1"/>
  <c r="BR83" i="12"/>
  <c r="AP88" i="13" s="1"/>
  <c r="BR82" i="12"/>
  <c r="AP87" i="13" s="1"/>
  <c r="BR80" i="12"/>
  <c r="BR79" i="12"/>
  <c r="AP84" i="13" s="1"/>
  <c r="BR78" i="12"/>
  <c r="AP83" i="13" s="1"/>
  <c r="BR75" i="12"/>
  <c r="BR73" i="12"/>
  <c r="AP77" i="13" s="1"/>
  <c r="BR81" i="12"/>
  <c r="AP86" i="13" s="1"/>
  <c r="BR77" i="12"/>
  <c r="AP82" i="13" s="1"/>
  <c r="BR64" i="12"/>
  <c r="AP74" i="13" s="1"/>
  <c r="BR59" i="12"/>
  <c r="AP72" i="13" s="1"/>
  <c r="BR58" i="12"/>
  <c r="BR28" i="12"/>
  <c r="BR52" i="12"/>
  <c r="AP70" i="13" s="1"/>
  <c r="BR51" i="12"/>
  <c r="AP69" i="13" s="1"/>
  <c r="BR50" i="12"/>
  <c r="AP68" i="13" s="1"/>
  <c r="BR49" i="12"/>
  <c r="AP67" i="13" s="1"/>
  <c r="BR48" i="12"/>
  <c r="BR47" i="12"/>
  <c r="AP65" i="13" s="1"/>
  <c r="BR46" i="12"/>
  <c r="AP64" i="13" s="1"/>
  <c r="BR30" i="12"/>
  <c r="AP48" i="13" s="1"/>
  <c r="BR33" i="12"/>
  <c r="AP51" i="13" s="1"/>
  <c r="BR34" i="12"/>
  <c r="AP52" i="13" s="1"/>
  <c r="BR35" i="12"/>
  <c r="AP53" i="13" s="1"/>
  <c r="BR36" i="12"/>
  <c r="BR37" i="12"/>
  <c r="AP55" i="13" s="1"/>
  <c r="BR38" i="12"/>
  <c r="AP56" i="13" s="1"/>
  <c r="BR39" i="12"/>
  <c r="AP57" i="13" s="1"/>
  <c r="BR29" i="12"/>
  <c r="BR31" i="12"/>
  <c r="AP49" i="13" s="1"/>
  <c r="BR32" i="12"/>
  <c r="AP50" i="13" s="1"/>
  <c r="BR40" i="12"/>
  <c r="AP58" i="13" s="1"/>
  <c r="BR41" i="12"/>
  <c r="AP59" i="13" s="1"/>
  <c r="BR21" i="12"/>
  <c r="AP45" i="13" s="1"/>
  <c r="BR20" i="12"/>
  <c r="AP44" i="13" s="1"/>
  <c r="BI90" i="30" s="1"/>
  <c r="W90" i="30" s="1"/>
  <c r="BR19" i="12"/>
  <c r="AP43" i="13" s="1"/>
  <c r="BR18" i="12"/>
  <c r="BR14" i="12"/>
  <c r="AP41" i="13" s="1"/>
  <c r="BR13" i="12"/>
  <c r="AP40" i="13" s="1"/>
  <c r="BR12" i="12"/>
  <c r="BR4" i="12"/>
  <c r="BR7" i="12"/>
  <c r="BR8" i="12"/>
  <c r="BS5" i="12"/>
  <c r="BS63" i="12" s="1"/>
  <c r="BR6" i="12"/>
  <c r="AP5" i="13"/>
  <c r="AO4" i="13"/>
  <c r="AO8" i="13"/>
  <c r="AO7" i="13"/>
  <c r="AO6" i="13"/>
  <c r="AK4" i="12"/>
  <c r="AJ7" i="12"/>
  <c r="AJ6" i="12"/>
  <c r="Y7" i="11"/>
  <c r="Z4" i="11"/>
  <c r="Y6" i="11"/>
  <c r="BF4" i="10"/>
  <c r="BG5" i="10"/>
  <c r="BF8" i="10"/>
  <c r="BF7" i="10"/>
  <c r="BF6" i="10"/>
  <c r="BN48" i="8"/>
  <c r="BN50" i="8"/>
  <c r="BO49" i="8"/>
  <c r="BN51" i="8"/>
  <c r="BN52" i="8"/>
  <c r="AA4" i="9"/>
  <c r="Z7" i="9"/>
  <c r="Z6" i="9"/>
  <c r="AI74" i="8"/>
  <c r="AH77" i="8"/>
  <c r="AH76" i="8"/>
  <c r="AI48" i="8"/>
  <c r="AH51" i="8"/>
  <c r="AH50" i="8"/>
  <c r="AH10" i="8"/>
  <c r="AI7" i="8"/>
  <c r="AH9" i="8"/>
  <c r="BO11" i="8"/>
  <c r="BP8" i="8"/>
  <c r="BO7" i="8"/>
  <c r="BO15" i="8" s="1" a="1"/>
  <c r="BO15" i="8" s="1"/>
  <c r="BO10" i="8"/>
  <c r="BO9" i="8"/>
  <c r="BN78" i="8"/>
  <c r="BN77" i="8"/>
  <c r="BN76" i="8"/>
  <c r="BN74" i="8"/>
  <c r="BO75" i="8"/>
  <c r="Q69" i="17" l="1"/>
  <c r="I69" i="17"/>
  <c r="AT70" i="17" a="1"/>
  <c r="AT70" i="17" s="1"/>
  <c r="R70" i="17" s="1"/>
  <c r="AW70" i="17" a="1"/>
  <c r="AW70" i="17" s="1"/>
  <c r="S70" i="17" s="1"/>
  <c r="BB70" i="17" a="1"/>
  <c r="BB70" i="17" s="1"/>
  <c r="AM70" i="17" a="1"/>
  <c r="AM70" i="17" s="1"/>
  <c r="AK70" i="17" a="1"/>
  <c r="AK70" i="17" s="1"/>
  <c r="O70" i="17" s="1"/>
  <c r="AY70" i="17" a="1"/>
  <c r="AY70" i="17" s="1"/>
  <c r="AR70" i="17" a="1"/>
  <c r="AR70" i="17" s="1"/>
  <c r="AP70" i="17" a="1"/>
  <c r="AP70" i="17" s="1"/>
  <c r="AK115" i="13"/>
  <c r="AF65" i="20"/>
  <c r="AM113" i="13"/>
  <c r="BA70" i="17" a="1"/>
  <c r="BA70" i="17" s="1"/>
  <c r="BE42" i="17"/>
  <c r="AQ70" i="17" a="1"/>
  <c r="AQ70" i="17" s="1"/>
  <c r="Q70" i="17" s="1"/>
  <c r="BP85" i="20"/>
  <c r="AM130" i="13" s="1"/>
  <c r="AM128" i="13"/>
  <c r="BC70" i="17" a="1"/>
  <c r="BC70" i="17" s="1"/>
  <c r="I70" i="17" s="1"/>
  <c r="AF63" i="20"/>
  <c r="AM111" i="13"/>
  <c r="AI70" i="17" a="1"/>
  <c r="AI70" i="17" s="1"/>
  <c r="AS70" i="17" a="1"/>
  <c r="AS70" i="17" s="1"/>
  <c r="BI70" i="17" a="1"/>
  <c r="BI70" i="17" s="1"/>
  <c r="W70" i="17" s="1"/>
  <c r="BE70" i="17" a="1"/>
  <c r="BE70" i="17" s="1"/>
  <c r="BD70" i="17" a="1"/>
  <c r="BD70" i="17" s="1"/>
  <c r="AL70" i="17" a="1"/>
  <c r="AL70" i="17" s="1"/>
  <c r="AZ70" i="17" a="1"/>
  <c r="AZ70" i="17" s="1"/>
  <c r="T70" i="17" s="1"/>
  <c r="AO70" i="17" a="1"/>
  <c r="AO70" i="17" s="1"/>
  <c r="AF70" i="17" a="1"/>
  <c r="AF70" i="17" s="1"/>
  <c r="AG70" i="17" a="1"/>
  <c r="AG70" i="17" s="1"/>
  <c r="AL108" i="13"/>
  <c r="BF70" i="17" a="1"/>
  <c r="BF70" i="17" s="1"/>
  <c r="V70" i="17" s="1"/>
  <c r="AU70" i="17" a="1"/>
  <c r="AU70" i="17" s="1"/>
  <c r="AN70" i="17" a="1"/>
  <c r="AN70" i="17" s="1"/>
  <c r="P70" i="17" s="1"/>
  <c r="AH70" i="17" a="1"/>
  <c r="AH70" i="17" s="1"/>
  <c r="N70" i="17" s="1"/>
  <c r="AV70" i="17" a="1"/>
  <c r="AV70" i="17" s="1"/>
  <c r="AX70" i="17" a="1"/>
  <c r="AX70" i="17" s="1"/>
  <c r="BG70" i="17" a="1"/>
  <c r="BG70" i="17" s="1"/>
  <c r="AI96" i="8"/>
  <c r="AH99" i="8"/>
  <c r="AP98" i="13"/>
  <c r="AP31" i="13" a="1"/>
  <c r="AP31" i="13" s="1"/>
  <c r="AP103" i="13"/>
  <c r="AP34" i="13" a="1"/>
  <c r="AP34" i="13" s="1"/>
  <c r="AP91" i="13"/>
  <c r="AP29" i="13" a="1"/>
  <c r="AP29" i="13" s="1"/>
  <c r="AP47" i="13"/>
  <c r="AP13" i="13" a="1"/>
  <c r="AP13" i="13" s="1"/>
  <c r="BI99" i="17"/>
  <c r="BI101" i="17" s="1"/>
  <c r="BI96" i="17" s="1"/>
  <c r="AP46" i="13"/>
  <c r="AP16" i="13" a="1"/>
  <c r="AP16" i="13" s="1"/>
  <c r="AP71" i="13"/>
  <c r="AP21" i="13" a="1"/>
  <c r="AP21" i="13" s="1"/>
  <c r="AP151" i="13" s="1"/>
  <c r="AP81" i="13"/>
  <c r="AP27" i="13" a="1"/>
  <c r="AP27" i="13" s="1"/>
  <c r="BI107" i="17"/>
  <c r="BI109" i="17" s="1"/>
  <c r="BI103" i="17" s="1"/>
  <c r="BJ105" i="17"/>
  <c r="AP54" i="13"/>
  <c r="AP18" i="13" a="1"/>
  <c r="AP18" i="13" s="1"/>
  <c r="AP92" i="13"/>
  <c r="AP30" i="13" a="1"/>
  <c r="AP30" i="13" s="1"/>
  <c r="AP94" i="13"/>
  <c r="AP32" i="13" a="1"/>
  <c r="AP32" i="13" s="1"/>
  <c r="AP80" i="13"/>
  <c r="AP24" i="13" a="1"/>
  <c r="AP24" i="13" s="1"/>
  <c r="AP38" i="13"/>
  <c r="AP12" i="13" a="1"/>
  <c r="AP12" i="13" s="1"/>
  <c r="AP148" i="13" s="1"/>
  <c r="AP42" i="13"/>
  <c r="AP15" i="13" a="1"/>
  <c r="AP15" i="13" s="1"/>
  <c r="AP149" i="13" s="1"/>
  <c r="AP85" i="13"/>
  <c r="AP28" i="13" a="1"/>
  <c r="AP28" i="13" s="1"/>
  <c r="AP100" i="13"/>
  <c r="AP33" i="13" a="1"/>
  <c r="AP33" i="13" s="1"/>
  <c r="AP60" i="13"/>
  <c r="AP17" i="13" a="1"/>
  <c r="AP17" i="13" s="1"/>
  <c r="AP66" i="13"/>
  <c r="AP19" i="13" a="1"/>
  <c r="AP19" i="13" s="1"/>
  <c r="BP87" i="20"/>
  <c r="AM132" i="13" s="1"/>
  <c r="BP86" i="20"/>
  <c r="AM131" i="13" s="1"/>
  <c r="BQ83" i="20"/>
  <c r="BQ91" i="20"/>
  <c r="AN135" i="13" s="1"/>
  <c r="BE56" i="15"/>
  <c r="BQ90" i="20"/>
  <c r="AN134" i="13" s="1"/>
  <c r="BQ108" i="20"/>
  <c r="BQ107" i="20"/>
  <c r="AF62" i="20"/>
  <c r="BF41" i="17"/>
  <c r="E71" i="17" s="1" a="1"/>
  <c r="E71" i="17" s="1"/>
  <c r="BJ71" i="17" s="1" a="1"/>
  <c r="BJ71" i="17" s="1"/>
  <c r="BP110" i="20"/>
  <c r="BP111" i="20" a="1"/>
  <c r="BP111" i="20" s="1"/>
  <c r="BP109" i="20" a="1"/>
  <c r="BP109" i="20" s="1"/>
  <c r="BO82" i="20"/>
  <c r="BQ76" i="20"/>
  <c r="AN122" i="13" s="1"/>
  <c r="BQ77" i="20"/>
  <c r="AN123" i="13" s="1"/>
  <c r="BM114" i="20"/>
  <c r="BN75" i="20"/>
  <c r="BS42" i="12"/>
  <c r="BS43" i="12"/>
  <c r="AQ61" i="13" s="1"/>
  <c r="BS44" i="12"/>
  <c r="AQ62" i="13" s="1"/>
  <c r="BS45" i="12"/>
  <c r="AQ63" i="13" s="1"/>
  <c r="BO106" i="20"/>
  <c r="BN89" i="20"/>
  <c r="AO56" i="15"/>
  <c r="AP56" i="15"/>
  <c r="AO164" i="13"/>
  <c r="AH75" i="14"/>
  <c r="AQ75" i="14"/>
  <c r="AV75" i="14"/>
  <c r="BS52" i="20"/>
  <c r="BG75" i="14"/>
  <c r="AS75" i="14"/>
  <c r="AY75" i="14"/>
  <c r="BH7" i="22"/>
  <c r="BH8" i="22"/>
  <c r="BH6" i="22"/>
  <c r="BI5" i="22"/>
  <c r="BH4" i="22"/>
  <c r="BG106" i="16"/>
  <c r="BF106" i="16"/>
  <c r="BE106" i="16"/>
  <c r="BD106" i="16"/>
  <c r="BC106" i="16"/>
  <c r="BB106" i="16"/>
  <c r="BA106" i="16"/>
  <c r="AZ106" i="16"/>
  <c r="AY106" i="16"/>
  <c r="AX106" i="16"/>
  <c r="BA75" i="14"/>
  <c r="AF75" i="14"/>
  <c r="AX75" i="14"/>
  <c r="AP75" i="14"/>
  <c r="AG75" i="14"/>
  <c r="AB5" i="22"/>
  <c r="BG64" i="22"/>
  <c r="BF64" i="22"/>
  <c r="BE64" i="22"/>
  <c r="BD64" i="22"/>
  <c r="BC64" i="22"/>
  <c r="BB64" i="22"/>
  <c r="BA64" i="22"/>
  <c r="AZ64" i="22"/>
  <c r="AY64" i="22"/>
  <c r="AX64" i="22"/>
  <c r="AW64" i="22"/>
  <c r="AV64" i="22"/>
  <c r="AU64" i="22"/>
  <c r="AT64" i="22"/>
  <c r="AS64" i="22"/>
  <c r="AR64" i="22"/>
  <c r="AQ64" i="22"/>
  <c r="AP64" i="22"/>
  <c r="AO64" i="22"/>
  <c r="AN64" i="22"/>
  <c r="AM64" i="22"/>
  <c r="AL64" i="22"/>
  <c r="AK64" i="22"/>
  <c r="AJ64" i="22"/>
  <c r="AI64" i="22"/>
  <c r="AH64" i="22"/>
  <c r="D65" i="22"/>
  <c r="AG64" i="22"/>
  <c r="AF64" i="22"/>
  <c r="AE64"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D116" i="22"/>
  <c r="AG115" i="22"/>
  <c r="AF115" i="22"/>
  <c r="AE115" i="22"/>
  <c r="AA8" i="22"/>
  <c r="BP96" i="20"/>
  <c r="BP60" i="20"/>
  <c r="BT54" i="20"/>
  <c r="BQ65" i="20"/>
  <c r="AN113" i="13" s="1"/>
  <c r="BQ64" i="20"/>
  <c r="AN112" i="13" s="1"/>
  <c r="BQ63" i="20"/>
  <c r="AN111" i="13" s="1"/>
  <c r="BQ62" i="20"/>
  <c r="BO78" i="20"/>
  <c r="AL124" i="13" s="1"/>
  <c r="BO79" i="20"/>
  <c r="AL125" i="13" s="1"/>
  <c r="BO80" i="20"/>
  <c r="AL126" i="13" s="1"/>
  <c r="BO93" i="20"/>
  <c r="AL137" i="13" s="1"/>
  <c r="BO94" i="20"/>
  <c r="AL138" i="13" s="1"/>
  <c r="BO92" i="20"/>
  <c r="AL136" i="13" s="1"/>
  <c r="BQ101" i="20"/>
  <c r="AN144" i="13" s="1"/>
  <c r="BQ99" i="20"/>
  <c r="AN142" i="13" s="1"/>
  <c r="BQ100" i="20"/>
  <c r="AN143" i="13" s="1"/>
  <c r="BR88" i="20"/>
  <c r="AO133" i="13" s="1"/>
  <c r="BR81" i="20"/>
  <c r="AO127" i="13" s="1"/>
  <c r="BR102" i="20"/>
  <c r="AO145" i="13" s="1"/>
  <c r="BR95" i="20"/>
  <c r="AO139" i="13" s="1"/>
  <c r="BT57" i="20"/>
  <c r="BT97" i="20" s="1"/>
  <c r="AQ140" i="13" s="1"/>
  <c r="BT56" i="20"/>
  <c r="BT55" i="20"/>
  <c r="BO68" i="20"/>
  <c r="BP115" i="20"/>
  <c r="BQ70" i="20"/>
  <c r="AN117" i="13" s="1"/>
  <c r="BQ61" i="20"/>
  <c r="AN109" i="13" s="1"/>
  <c r="BQ69" i="20"/>
  <c r="AN116" i="13" s="1"/>
  <c r="BQ10" i="20"/>
  <c r="BR26" i="20"/>
  <c r="BR24" i="20"/>
  <c r="BR74" i="20"/>
  <c r="AO121" i="13" s="1"/>
  <c r="BR20" i="20"/>
  <c r="BR12" i="20"/>
  <c r="BR16" i="20"/>
  <c r="BR28" i="20"/>
  <c r="BR25" i="20"/>
  <c r="BR35" i="20"/>
  <c r="BR22" i="20"/>
  <c r="BR32" i="20"/>
  <c r="BR19" i="20"/>
  <c r="BR34" i="20"/>
  <c r="BR14" i="20"/>
  <c r="BR18" i="20"/>
  <c r="BR31" i="20"/>
  <c r="BR30" i="20"/>
  <c r="BR27" i="20"/>
  <c r="BR23" i="20"/>
  <c r="BR15" i="20"/>
  <c r="BR33" i="20"/>
  <c r="BR21" i="20"/>
  <c r="BR11" i="20"/>
  <c r="BR17" i="20"/>
  <c r="BR29" i="20"/>
  <c r="BR13" i="20"/>
  <c r="BS4" i="20"/>
  <c r="BS8" i="20"/>
  <c r="BS112" i="20" s="1"/>
  <c r="BS6" i="20"/>
  <c r="BS7" i="20"/>
  <c r="BT5" i="20"/>
  <c r="BP71" i="20"/>
  <c r="AM118" i="13" s="1"/>
  <c r="BP73" i="20"/>
  <c r="AM120" i="13" s="1"/>
  <c r="BP72" i="20"/>
  <c r="AM119" i="13" s="1"/>
  <c r="AW106" i="16"/>
  <c r="AV106" i="16"/>
  <c r="AU106" i="16"/>
  <c r="AT106" i="16"/>
  <c r="AS106" i="16"/>
  <c r="AR106" i="16"/>
  <c r="AQ106" i="16"/>
  <c r="AP106" i="16"/>
  <c r="AO106" i="16"/>
  <c r="AN106" i="16"/>
  <c r="AM106" i="16"/>
  <c r="AL106" i="16"/>
  <c r="AK106" i="16"/>
  <c r="AJ106" i="16"/>
  <c r="AI106" i="16"/>
  <c r="AH106" i="16"/>
  <c r="AG106" i="16"/>
  <c r="AF106" i="16"/>
  <c r="AM5" i="20"/>
  <c r="BU53" i="20"/>
  <c r="AL8" i="20"/>
  <c r="BJ70" i="17" a="1"/>
  <c r="BJ70" i="17" s="1"/>
  <c r="BJ69" i="17" a="1"/>
  <c r="BJ69" i="17" s="1"/>
  <c r="BJ68" i="17" a="1"/>
  <c r="BJ68" i="17" s="1"/>
  <c r="BJ67" i="17" a="1"/>
  <c r="BJ67" i="17" s="1"/>
  <c r="BJ66" i="17" a="1"/>
  <c r="BJ66" i="17" s="1"/>
  <c r="BJ65" i="17" a="1"/>
  <c r="BJ65" i="17" s="1"/>
  <c r="BJ64" i="17" a="1"/>
  <c r="BJ64" i="17" s="1"/>
  <c r="BJ63" i="17" a="1"/>
  <c r="BJ63" i="17" s="1"/>
  <c r="BJ154" i="17"/>
  <c r="BJ62" i="17" a="1"/>
  <c r="BJ62" i="17" s="1"/>
  <c r="BJ153" i="17"/>
  <c r="BJ61" i="17" a="1"/>
  <c r="BJ61" i="17" s="1"/>
  <c r="BJ60" i="17" a="1"/>
  <c r="BJ60" i="17" s="1"/>
  <c r="BJ151" i="17"/>
  <c r="BJ59" i="17" a="1"/>
  <c r="BJ59" i="17" s="1"/>
  <c r="BJ45" i="17" a="1"/>
  <c r="BJ45" i="17" s="1"/>
  <c r="BJ46" i="17" a="1"/>
  <c r="BJ46" i="17" s="1"/>
  <c r="BJ48" i="17" a="1"/>
  <c r="BJ48" i="17" s="1"/>
  <c r="BJ141" i="17"/>
  <c r="BJ143" i="17"/>
  <c r="BJ53" i="17" a="1"/>
  <c r="BJ53" i="17" s="1"/>
  <c r="BJ146" i="17"/>
  <c r="BJ57" i="17" a="1"/>
  <c r="BJ57" i="17" s="1"/>
  <c r="BJ136" i="17"/>
  <c r="BJ138" i="17"/>
  <c r="BJ139" i="17"/>
  <c r="BJ49" i="17" a="1"/>
  <c r="BJ49" i="17" s="1"/>
  <c r="BJ142" i="17"/>
  <c r="BJ144" i="17"/>
  <c r="BJ54" i="17" a="1"/>
  <c r="BJ54" i="17" s="1"/>
  <c r="BJ55" i="17" a="1"/>
  <c r="BJ55" i="17" s="1"/>
  <c r="BJ56" i="17" a="1"/>
  <c r="BJ56" i="17" s="1"/>
  <c r="BJ137" i="17"/>
  <c r="BJ47" i="17" a="1"/>
  <c r="BJ47" i="17" s="1"/>
  <c r="BJ140" i="17"/>
  <c r="BJ50" i="17" a="1"/>
  <c r="BJ50" i="17" s="1"/>
  <c r="BJ51" i="17" a="1"/>
  <c r="BJ51" i="17" s="1"/>
  <c r="BJ52" i="17" a="1"/>
  <c r="BJ52" i="17" s="1"/>
  <c r="BJ145" i="17"/>
  <c r="BJ147" i="17"/>
  <c r="BJ148" i="17"/>
  <c r="BJ149" i="17"/>
  <c r="BJ58" i="17" a="1"/>
  <c r="BJ58" i="17" s="1"/>
  <c r="BJ150" i="17"/>
  <c r="BJ152" i="17"/>
  <c r="BK8" i="17"/>
  <c r="BK4" i="17"/>
  <c r="BK6" i="17"/>
  <c r="BL5" i="17"/>
  <c r="BK7" i="17"/>
  <c r="AJ75" i="14"/>
  <c r="BC75" i="14"/>
  <c r="BH19" i="16"/>
  <c r="BH18" i="16" s="1"/>
  <c r="BH15" i="16"/>
  <c r="BH14" i="16" s="1"/>
  <c r="BH11" i="16"/>
  <c r="BI4" i="16"/>
  <c r="BI7" i="16"/>
  <c r="BI6" i="16"/>
  <c r="BJ5" i="16"/>
  <c r="BI8" i="16"/>
  <c r="BC56" i="16"/>
  <c r="BD56" i="16"/>
  <c r="BE56" i="16"/>
  <c r="BH104" i="16"/>
  <c r="BF56" i="16"/>
  <c r="BH37" i="16"/>
  <c r="BH43" i="16"/>
  <c r="BH33" i="16"/>
  <c r="BH38" i="16"/>
  <c r="BH79" i="16"/>
  <c r="BH48" i="16"/>
  <c r="BH50" i="16"/>
  <c r="BH84" i="16"/>
  <c r="BH85" i="16"/>
  <c r="BH87" i="16"/>
  <c r="BH88" i="16"/>
  <c r="BH89" i="16"/>
  <c r="BH90" i="16"/>
  <c r="BH92" i="16"/>
  <c r="BH93" i="16"/>
  <c r="BH94" i="16"/>
  <c r="BH95" i="16"/>
  <c r="BH96" i="16"/>
  <c r="BH97" i="16"/>
  <c r="BH98" i="16"/>
  <c r="BH99" i="16"/>
  <c r="BH100" i="16"/>
  <c r="BH101" i="16"/>
  <c r="BH103" i="16"/>
  <c r="BH31" i="16"/>
  <c r="BH35" i="16"/>
  <c r="BH39" i="16"/>
  <c r="BH40" i="16"/>
  <c r="BH46" i="16"/>
  <c r="BH80" i="16"/>
  <c r="BH81" i="16"/>
  <c r="BH82" i="16"/>
  <c r="BH49" i="16"/>
  <c r="BH83" i="16"/>
  <c r="BH51" i="16"/>
  <c r="BH86" i="16"/>
  <c r="BH102" i="16"/>
  <c r="BH44" i="16"/>
  <c r="BH32" i="16"/>
  <c r="BH41" i="16"/>
  <c r="BH34" i="16"/>
  <c r="BH42" i="16"/>
  <c r="BH78" i="16"/>
  <c r="BH29" i="16"/>
  <c r="BH28" i="16"/>
  <c r="BH30" i="16"/>
  <c r="BH36" i="16"/>
  <c r="BH45" i="16"/>
  <c r="BH47" i="16"/>
  <c r="BH52" i="16"/>
  <c r="BH53" i="16"/>
  <c r="BH91" i="16"/>
  <c r="E105" i="16" a="1"/>
  <c r="E105" i="16" s="1"/>
  <c r="BS20" i="16"/>
  <c r="BF104" i="16"/>
  <c r="BG104" i="16"/>
  <c r="BS20" i="15"/>
  <c r="E105" i="15" a="1"/>
  <c r="E105" i="15" s="1"/>
  <c r="AT75" i="14"/>
  <c r="BB75" i="14"/>
  <c r="AO75" i="14"/>
  <c r="AK75" i="14"/>
  <c r="AZ75" i="14"/>
  <c r="AI75" i="14"/>
  <c r="AW75" i="14"/>
  <c r="AN75" i="14"/>
  <c r="BF75" i="14"/>
  <c r="AM75" i="14"/>
  <c r="BD75" i="14"/>
  <c r="AU75" i="14"/>
  <c r="BE75" i="14"/>
  <c r="AR75" i="14"/>
  <c r="AL75" i="14"/>
  <c r="BF104" i="15"/>
  <c r="BG104" i="15"/>
  <c r="BI4" i="15"/>
  <c r="BJ5" i="15"/>
  <c r="BI6" i="15"/>
  <c r="BI7" i="15"/>
  <c r="BI8" i="15"/>
  <c r="BH104" i="15"/>
  <c r="BF56" i="15"/>
  <c r="BD56" i="15"/>
  <c r="AM56" i="15"/>
  <c r="AH56" i="15"/>
  <c r="AG56" i="15"/>
  <c r="AF56" i="15"/>
  <c r="BH103" i="15"/>
  <c r="BH102" i="15"/>
  <c r="BH101" i="15"/>
  <c r="BH100" i="15"/>
  <c r="BH99" i="15"/>
  <c r="BH54" i="15"/>
  <c r="BH98" i="15"/>
  <c r="BH95" i="15"/>
  <c r="BH97" i="15"/>
  <c r="BH53" i="15"/>
  <c r="BH96" i="15"/>
  <c r="BH52" i="15"/>
  <c r="BH51" i="15"/>
  <c r="BH50" i="15"/>
  <c r="BH94" i="15"/>
  <c r="BH49" i="15"/>
  <c r="BH93" i="15"/>
  <c r="BH48" i="15"/>
  <c r="BH92" i="15"/>
  <c r="BH47" i="15"/>
  <c r="BH91" i="15"/>
  <c r="BH46" i="15"/>
  <c r="BH90" i="15"/>
  <c r="BH45" i="15"/>
  <c r="BH89" i="15"/>
  <c r="BH44" i="15"/>
  <c r="BH88" i="15"/>
  <c r="BH43" i="15"/>
  <c r="BH87" i="15"/>
  <c r="BH42" i="15"/>
  <c r="BH86" i="15"/>
  <c r="BH41" i="15"/>
  <c r="BH85" i="15"/>
  <c r="BH40" i="15"/>
  <c r="BH84" i="15"/>
  <c r="BH39" i="15"/>
  <c r="BH83" i="15"/>
  <c r="BH38" i="15"/>
  <c r="BH37" i="15"/>
  <c r="BH82" i="15"/>
  <c r="BH81" i="15"/>
  <c r="BH36" i="15"/>
  <c r="BH80" i="15"/>
  <c r="BH35" i="15"/>
  <c r="BH79" i="15"/>
  <c r="BH34" i="15"/>
  <c r="BH11" i="15" a="1"/>
  <c r="BH11" i="15" s="1"/>
  <c r="BH29" i="15"/>
  <c r="BH30" i="15"/>
  <c r="BH31" i="15"/>
  <c r="BH32" i="15"/>
  <c r="BH78" i="15"/>
  <c r="BH19" i="15" a="1"/>
  <c r="BH19" i="15" s="1"/>
  <c r="BH18" i="15" s="1"/>
  <c r="BH28" i="15"/>
  <c r="BH15" i="15" a="1"/>
  <c r="BH15" i="15" s="1"/>
  <c r="BH14" i="15" s="1"/>
  <c r="BH33" i="15"/>
  <c r="BD106" i="15"/>
  <c r="AV56" i="15"/>
  <c r="BA56" i="15"/>
  <c r="BG56" i="15"/>
  <c r="AS56" i="15"/>
  <c r="BG106" i="15"/>
  <c r="BF106" i="15"/>
  <c r="BE106" i="15"/>
  <c r="AQ56" i="15"/>
  <c r="BC106" i="15"/>
  <c r="BB106" i="15"/>
  <c r="BA106" i="15"/>
  <c r="AZ106" i="15"/>
  <c r="AX106" i="15"/>
  <c r="AW106" i="15"/>
  <c r="AV106" i="15"/>
  <c r="AU106" i="15"/>
  <c r="AT106" i="15"/>
  <c r="AS106" i="15"/>
  <c r="AR106" i="15"/>
  <c r="AQ106" i="15"/>
  <c r="AP106" i="15"/>
  <c r="AO106" i="15"/>
  <c r="AN106" i="15"/>
  <c r="AM106" i="15"/>
  <c r="AL106" i="15"/>
  <c r="AK106" i="15"/>
  <c r="AJ106" i="15"/>
  <c r="AI106" i="15"/>
  <c r="AH106" i="15"/>
  <c r="AG106" i="15"/>
  <c r="AF106" i="15"/>
  <c r="BB56" i="15"/>
  <c r="AJ56" i="15"/>
  <c r="AN56" i="15"/>
  <c r="AK56" i="15"/>
  <c r="AZ56" i="15"/>
  <c r="AW56" i="15"/>
  <c r="AR56" i="15"/>
  <c r="BC56" i="15"/>
  <c r="AX56" i="15"/>
  <c r="AT56" i="15"/>
  <c r="AU56" i="15"/>
  <c r="AI56" i="15"/>
  <c r="AY56" i="15"/>
  <c r="AY106" i="15"/>
  <c r="BJ16" i="15"/>
  <c r="E55" i="15" a="1"/>
  <c r="E55" i="15" s="1"/>
  <c r="BF54" i="15"/>
  <c r="BG54" i="15"/>
  <c r="D75" i="17"/>
  <c r="BG165" i="17"/>
  <c r="BC165" i="17"/>
  <c r="AX165" i="17"/>
  <c r="AW165" i="17"/>
  <c r="AV165" i="17"/>
  <c r="AS165" i="17"/>
  <c r="AQ165" i="17"/>
  <c r="AM165" i="17"/>
  <c r="AL165" i="17"/>
  <c r="AG165" i="17"/>
  <c r="AF165" i="17"/>
  <c r="BA165" i="17"/>
  <c r="AZ165" i="17"/>
  <c r="AU165" i="17"/>
  <c r="AR165" i="17"/>
  <c r="AK165" i="17"/>
  <c r="BD165" i="17"/>
  <c r="BB165" i="17"/>
  <c r="AY165" i="17"/>
  <c r="AT165" i="17"/>
  <c r="AP165" i="17"/>
  <c r="AO165" i="17"/>
  <c r="AN165" i="17"/>
  <c r="AH165" i="17"/>
  <c r="BH165" i="17"/>
  <c r="BF165" i="17"/>
  <c r="BE165" i="17"/>
  <c r="AJ165" i="17"/>
  <c r="AI165" i="17"/>
  <c r="D166" i="17"/>
  <c r="BH50" i="14"/>
  <c r="BH49" i="14"/>
  <c r="BH48" i="14"/>
  <c r="BH47" i="14"/>
  <c r="BH51" i="14"/>
  <c r="BH52" i="14"/>
  <c r="BH53" i="14"/>
  <c r="BH54" i="14"/>
  <c r="BH55" i="14"/>
  <c r="BH56" i="14"/>
  <c r="BH57" i="14"/>
  <c r="BH58" i="14"/>
  <c r="BH59" i="14"/>
  <c r="BH60" i="14"/>
  <c r="BH61" i="14"/>
  <c r="BH62" i="14"/>
  <c r="BH63" i="14"/>
  <c r="BJ5" i="14"/>
  <c r="BI6" i="14"/>
  <c r="BI7" i="14"/>
  <c r="BI8" i="14"/>
  <c r="BI4" i="14"/>
  <c r="AO155" i="13"/>
  <c r="AC5" i="16"/>
  <c r="AT25" i="16"/>
  <c r="AU12" i="16"/>
  <c r="AT22" i="16"/>
  <c r="AT27" i="14" s="1"/>
  <c r="D74" i="16"/>
  <c r="D108" i="16"/>
  <c r="AB8" i="16"/>
  <c r="D63" i="15"/>
  <c r="AC5" i="15"/>
  <c r="AU12" i="15"/>
  <c r="AT22" i="15"/>
  <c r="AT25" i="14" s="1"/>
  <c r="AT25" i="15"/>
  <c r="D108" i="15"/>
  <c r="AB8" i="15"/>
  <c r="AB8" i="14"/>
  <c r="AC5" i="14"/>
  <c r="D80" i="14"/>
  <c r="AO154" i="13"/>
  <c r="AO163" i="13"/>
  <c r="AO160" i="13"/>
  <c r="AO159" i="13"/>
  <c r="AO150" i="13"/>
  <c r="BG7" i="9"/>
  <c r="BH5" i="9"/>
  <c r="BG6" i="9"/>
  <c r="BG8" i="9"/>
  <c r="BG4" i="9"/>
  <c r="BF6" i="11"/>
  <c r="BG5" i="11"/>
  <c r="BF4" i="11"/>
  <c r="BF7" i="11"/>
  <c r="BF8" i="11"/>
  <c r="AE102" i="12"/>
  <c r="AE95" i="12"/>
  <c r="AE92" i="12"/>
  <c r="BS106" i="12"/>
  <c r="AQ105" i="13" s="1"/>
  <c r="BS105" i="12"/>
  <c r="AQ104" i="13" s="1"/>
  <c r="BS104" i="12"/>
  <c r="BS103" i="12"/>
  <c r="AQ102" i="13" s="1"/>
  <c r="BS102" i="12"/>
  <c r="AQ101" i="13" s="1"/>
  <c r="BS101" i="12"/>
  <c r="BS97" i="12"/>
  <c r="AQ99" i="13" s="1"/>
  <c r="BS93" i="12"/>
  <c r="AQ95" i="13" s="1"/>
  <c r="BS92" i="12"/>
  <c r="BS91" i="12"/>
  <c r="AQ93" i="13" s="1"/>
  <c r="BS90" i="12"/>
  <c r="BS89" i="12"/>
  <c r="BS96" i="12"/>
  <c r="BS95" i="12"/>
  <c r="AQ97" i="13" s="1"/>
  <c r="BS94" i="12"/>
  <c r="AQ96" i="13" s="1"/>
  <c r="BS85" i="12"/>
  <c r="AQ90" i="13" s="1"/>
  <c r="BS81" i="12"/>
  <c r="AQ86" i="13" s="1"/>
  <c r="BS77" i="12"/>
  <c r="AQ82" i="13" s="1"/>
  <c r="BS76" i="12"/>
  <c r="BS80" i="12"/>
  <c r="BS79" i="12"/>
  <c r="AQ84" i="13" s="1"/>
  <c r="BS78" i="12"/>
  <c r="AQ83" i="13" s="1"/>
  <c r="BS75" i="12"/>
  <c r="BS73" i="12"/>
  <c r="AQ77" i="13" s="1"/>
  <c r="BS84" i="12"/>
  <c r="AQ89" i="13" s="1"/>
  <c r="BS83" i="12"/>
  <c r="AQ88" i="13" s="1"/>
  <c r="BS82" i="12"/>
  <c r="AQ87" i="13" s="1"/>
  <c r="BS64" i="12"/>
  <c r="AQ74" i="13" s="1"/>
  <c r="BS59" i="12"/>
  <c r="AQ72" i="13" s="1"/>
  <c r="BS58" i="12"/>
  <c r="BS41" i="12"/>
  <c r="AQ59" i="13" s="1"/>
  <c r="BS51" i="12"/>
  <c r="AQ69" i="13" s="1"/>
  <c r="BS50" i="12"/>
  <c r="AQ68" i="13" s="1"/>
  <c r="BS49" i="12"/>
  <c r="AQ67" i="13" s="1"/>
  <c r="BS48" i="12"/>
  <c r="BS47" i="12"/>
  <c r="AQ65" i="13" s="1"/>
  <c r="BS46" i="12"/>
  <c r="AQ64" i="13" s="1"/>
  <c r="BS28" i="12"/>
  <c r="BS52" i="12"/>
  <c r="AQ70" i="13" s="1"/>
  <c r="BS40" i="12"/>
  <c r="AQ58" i="13" s="1"/>
  <c r="BS30" i="12"/>
  <c r="AQ48" i="13" s="1"/>
  <c r="BS39" i="12"/>
  <c r="AQ57" i="13" s="1"/>
  <c r="BS38" i="12"/>
  <c r="AQ56" i="13" s="1"/>
  <c r="BS37" i="12"/>
  <c r="AQ55" i="13" s="1"/>
  <c r="BS36" i="12"/>
  <c r="BS35" i="12"/>
  <c r="AQ53" i="13" s="1"/>
  <c r="BS34" i="12"/>
  <c r="AQ52" i="13" s="1"/>
  <c r="BS33" i="12"/>
  <c r="AQ51" i="13" s="1"/>
  <c r="BS32" i="12"/>
  <c r="AQ50" i="13" s="1"/>
  <c r="BS31" i="12"/>
  <c r="AQ49" i="13" s="1"/>
  <c r="BS29" i="12"/>
  <c r="BS21" i="12"/>
  <c r="AQ45" i="13" s="1"/>
  <c r="BS20" i="12"/>
  <c r="AQ44" i="13" s="1"/>
  <c r="BJ90" i="30" s="1"/>
  <c r="BS19" i="12"/>
  <c r="AQ43" i="13" s="1"/>
  <c r="BS18" i="12"/>
  <c r="BS14" i="12"/>
  <c r="AQ41" i="13" s="1"/>
  <c r="BS13" i="12"/>
  <c r="AQ40" i="13" s="1"/>
  <c r="BS12" i="12"/>
  <c r="BS4" i="12"/>
  <c r="BS7" i="12"/>
  <c r="BS8" i="12"/>
  <c r="BS6" i="12"/>
  <c r="BT5" i="12"/>
  <c r="BT63" i="12" s="1"/>
  <c r="AP4" i="13"/>
  <c r="AP8" i="13"/>
  <c r="AP7" i="13"/>
  <c r="AQ5" i="13"/>
  <c r="AP6" i="13"/>
  <c r="AK5" i="12"/>
  <c r="AJ8" i="12"/>
  <c r="Z5" i="11"/>
  <c r="Y8" i="11"/>
  <c r="Z8" i="9"/>
  <c r="BG4" i="10"/>
  <c r="BG8" i="10"/>
  <c r="BG7" i="10"/>
  <c r="BG6" i="10"/>
  <c r="BH5" i="10"/>
  <c r="BO48" i="8"/>
  <c r="BO50" i="8"/>
  <c r="BO51" i="8"/>
  <c r="BO52" i="8"/>
  <c r="BP49" i="8"/>
  <c r="AA5" i="9"/>
  <c r="AH78" i="8"/>
  <c r="AH52" i="8"/>
  <c r="AH11" i="8"/>
  <c r="AI75" i="8"/>
  <c r="AI49" i="8"/>
  <c r="AI8" i="8"/>
  <c r="BP7" i="8"/>
  <c r="BP15" i="8" s="1" a="1"/>
  <c r="BP15" i="8" s="1"/>
  <c r="BQ8" i="8"/>
  <c r="BP11" i="8"/>
  <c r="BP10" i="8"/>
  <c r="BP9" i="8"/>
  <c r="BP75" i="8"/>
  <c r="BO78" i="8"/>
  <c r="BO77" i="8"/>
  <c r="BO76" i="8"/>
  <c r="BO74" i="8"/>
  <c r="H70" i="17" l="1"/>
  <c r="AM108" i="13"/>
  <c r="U70" i="17"/>
  <c r="BQ85" i="20"/>
  <c r="AN130" i="13" s="1"/>
  <c r="AN128" i="13"/>
  <c r="AL115" i="13"/>
  <c r="BG41" i="17"/>
  <c r="E72" i="17" s="1" a="1"/>
  <c r="E72" i="17" s="1"/>
  <c r="BJ72" i="17" s="1" a="1"/>
  <c r="BJ72" i="17" s="1"/>
  <c r="AN110" i="13"/>
  <c r="AI98" i="8"/>
  <c r="AI97" i="8"/>
  <c r="AI15" i="8" a="1"/>
  <c r="AI15" i="8" s="1"/>
  <c r="AQ60" i="13"/>
  <c r="AQ17" i="13" a="1"/>
  <c r="AQ17" i="13" s="1"/>
  <c r="AQ98" i="13"/>
  <c r="AQ31" i="13" a="1"/>
  <c r="AQ31" i="13" s="1"/>
  <c r="BJ99" i="17"/>
  <c r="BJ101" i="17" s="1"/>
  <c r="BJ96" i="17" s="1"/>
  <c r="AQ46" i="13"/>
  <c r="AQ16" i="13" a="1"/>
  <c r="AQ16" i="13" s="1"/>
  <c r="AQ80" i="13"/>
  <c r="AQ24" i="13" a="1"/>
  <c r="AQ24" i="13" s="1"/>
  <c r="AQ94" i="13"/>
  <c r="AQ32" i="13" a="1"/>
  <c r="AQ32" i="13" s="1"/>
  <c r="AQ38" i="13"/>
  <c r="AQ12" i="13" a="1"/>
  <c r="AQ12" i="13" s="1"/>
  <c r="AQ148" i="13" s="1"/>
  <c r="AQ42" i="13"/>
  <c r="AQ15" i="13" a="1"/>
  <c r="AQ15" i="13" s="1"/>
  <c r="AQ149" i="13" s="1"/>
  <c r="AQ47" i="13"/>
  <c r="AQ13" i="13" a="1"/>
  <c r="AQ13" i="13" s="1"/>
  <c r="AQ66" i="13"/>
  <c r="AQ19" i="13" a="1"/>
  <c r="AQ19" i="13" s="1"/>
  <c r="AQ85" i="13"/>
  <c r="AQ28" i="13" a="1"/>
  <c r="AQ28" i="13" s="1"/>
  <c r="AQ81" i="13"/>
  <c r="AQ27" i="13" a="1"/>
  <c r="AQ27" i="13" s="1"/>
  <c r="AQ100" i="13"/>
  <c r="AQ33" i="13" a="1"/>
  <c r="AQ33" i="13" s="1"/>
  <c r="BK105" i="17"/>
  <c r="BJ107" i="17"/>
  <c r="BJ109" i="17" s="1"/>
  <c r="BJ103" i="17" s="1"/>
  <c r="AQ92" i="13"/>
  <c r="AQ30" i="13" a="1"/>
  <c r="AQ30" i="13" s="1"/>
  <c r="AQ91" i="13"/>
  <c r="AQ29" i="13" a="1"/>
  <c r="AQ29" i="13" s="1"/>
  <c r="AQ103" i="13"/>
  <c r="AQ34" i="13" a="1"/>
  <c r="AQ34" i="13" s="1"/>
  <c r="AQ71" i="13"/>
  <c r="AQ21" i="13" a="1"/>
  <c r="AQ21" i="13" s="1"/>
  <c r="AQ151" i="13" s="1"/>
  <c r="AQ54" i="13"/>
  <c r="AQ18" i="13" a="1"/>
  <c r="AQ18" i="13" s="1"/>
  <c r="BF42" i="17"/>
  <c r="BP82" i="20"/>
  <c r="BQ86" i="20"/>
  <c r="AN131" i="13" s="1"/>
  <c r="BQ87" i="20"/>
  <c r="AN132" i="13" s="1"/>
  <c r="BR107" i="20"/>
  <c r="BR111" i="20" s="1" a="1"/>
  <c r="BR111" i="20" s="1"/>
  <c r="BR83" i="20"/>
  <c r="BN114" i="20"/>
  <c r="AR72" i="17" a="1"/>
  <c r="AR72" i="17" s="1"/>
  <c r="BA72" i="17" a="1"/>
  <c r="BA72" i="17" s="1"/>
  <c r="AN72" i="17" a="1"/>
  <c r="AN72" i="17" s="1"/>
  <c r="P72" i="17" s="1"/>
  <c r="BI72" i="17" a="1"/>
  <c r="BI72" i="17" s="1"/>
  <c r="W72" i="17" s="1"/>
  <c r="BD72" i="17" a="1"/>
  <c r="BD72" i="17" s="1"/>
  <c r="AH72" i="17" a="1"/>
  <c r="AH72" i="17" s="1"/>
  <c r="N72" i="17" s="1"/>
  <c r="AV72" i="17" a="1"/>
  <c r="AV72" i="17" s="1"/>
  <c r="BE72" i="17" a="1"/>
  <c r="BE72" i="17" s="1"/>
  <c r="BB71" i="17" a="1"/>
  <c r="BB71" i="17" s="1"/>
  <c r="BA71" i="17" a="1"/>
  <c r="BA71" i="17" s="1"/>
  <c r="AW71" i="17" a="1"/>
  <c r="AW71" i="17" s="1"/>
  <c r="S71" i="17" s="1"/>
  <c r="AZ71" i="17" a="1"/>
  <c r="AZ71" i="17" s="1"/>
  <c r="T71" i="17" s="1"/>
  <c r="AV71" i="17" a="1"/>
  <c r="AV71" i="17" s="1"/>
  <c r="AY71" i="17" a="1"/>
  <c r="AY71" i="17" s="1"/>
  <c r="AO71" i="17" a="1"/>
  <c r="AO71" i="17" s="1"/>
  <c r="AX71" i="17" a="1"/>
  <c r="AX71" i="17" s="1"/>
  <c r="BF71" i="17" a="1"/>
  <c r="BF71" i="17" s="1"/>
  <c r="V71" i="17" s="1"/>
  <c r="AN71" i="17" a="1"/>
  <c r="AN71" i="17" s="1"/>
  <c r="P71" i="17" s="1"/>
  <c r="AU71" i="17" a="1"/>
  <c r="AU71" i="17" s="1"/>
  <c r="AM71" i="17" a="1"/>
  <c r="AM71" i="17" s="1"/>
  <c r="AS71" i="17" a="1"/>
  <c r="AS71" i="17" s="1"/>
  <c r="BE71" i="17" a="1"/>
  <c r="BE71" i="17" s="1"/>
  <c r="AL71" i="17" a="1"/>
  <c r="AL71" i="17" s="1"/>
  <c r="AR71" i="17" a="1"/>
  <c r="AR71" i="17" s="1"/>
  <c r="AK71" i="17" a="1"/>
  <c r="AK71" i="17" s="1"/>
  <c r="O71" i="17" s="1"/>
  <c r="AQ71" i="17" a="1"/>
  <c r="AQ71" i="17" s="1"/>
  <c r="AJ71" i="17" a="1"/>
  <c r="AJ71" i="17" s="1"/>
  <c r="AP71" i="17" a="1"/>
  <c r="AP71" i="17" s="1"/>
  <c r="BG71" i="17" a="1"/>
  <c r="BG71" i="17" s="1"/>
  <c r="AI71" i="17" a="1"/>
  <c r="AI71" i="17" s="1"/>
  <c r="AG71" i="17" a="1"/>
  <c r="AG71" i="17" s="1"/>
  <c r="BH71" i="17" a="1"/>
  <c r="BH71" i="17" s="1"/>
  <c r="AF71" i="17" a="1"/>
  <c r="AF71" i="17" s="1"/>
  <c r="BD71" i="17" a="1"/>
  <c r="BD71" i="17" s="1"/>
  <c r="AT71" i="17" a="1"/>
  <c r="AT71" i="17" s="1"/>
  <c r="R71" i="17" s="1"/>
  <c r="BC71" i="17" a="1"/>
  <c r="BC71" i="17" s="1"/>
  <c r="AH71" i="17" a="1"/>
  <c r="AH71" i="17" s="1"/>
  <c r="N71" i="17" s="1"/>
  <c r="BI71" i="17" a="1"/>
  <c r="BI71" i="17" s="1"/>
  <c r="W71" i="17" s="1"/>
  <c r="BQ110" i="20"/>
  <c r="BQ111" i="20" a="1"/>
  <c r="BQ111" i="20" s="1"/>
  <c r="BQ109" i="20" a="1"/>
  <c r="BQ109" i="20" s="1"/>
  <c r="BR90" i="20"/>
  <c r="AO134" i="13" s="1"/>
  <c r="BR108" i="20"/>
  <c r="BR76" i="20"/>
  <c r="AO122" i="13" s="1"/>
  <c r="BR77" i="20"/>
  <c r="AO123" i="13" s="1"/>
  <c r="BR91" i="20"/>
  <c r="AO135" i="13" s="1"/>
  <c r="BT42" i="12"/>
  <c r="BT43" i="12"/>
  <c r="AR61" i="13" s="1"/>
  <c r="BT44" i="12"/>
  <c r="AR62" i="13" s="1"/>
  <c r="BT45" i="12"/>
  <c r="AR63" i="13" s="1"/>
  <c r="BO75" i="20"/>
  <c r="BP106" i="20"/>
  <c r="BO89" i="20"/>
  <c r="BI6" i="22"/>
  <c r="BI4" i="22"/>
  <c r="BI7" i="22"/>
  <c r="BI8" i="22"/>
  <c r="BJ5" i="22"/>
  <c r="BQ60" i="20"/>
  <c r="AB7" i="22"/>
  <c r="AB6" i="22"/>
  <c r="BH65" i="22"/>
  <c r="BG65" i="22"/>
  <c r="BF65" i="22"/>
  <c r="BE65" i="22"/>
  <c r="BD65" i="22"/>
  <c r="BC65" i="22"/>
  <c r="BB65" i="22"/>
  <c r="BA65" i="22"/>
  <c r="AZ65" i="22"/>
  <c r="AY65" i="22"/>
  <c r="AX65" i="22"/>
  <c r="AW65" i="22"/>
  <c r="AV65" i="22"/>
  <c r="AU65" i="22"/>
  <c r="AT65" i="22"/>
  <c r="AS65" i="22"/>
  <c r="AR65" i="22"/>
  <c r="AQ65" i="22"/>
  <c r="AP65" i="22"/>
  <c r="AO65" i="22"/>
  <c r="AN65" i="22"/>
  <c r="AM65" i="22"/>
  <c r="AL65" i="22"/>
  <c r="AK65" i="22"/>
  <c r="AJ65" i="22"/>
  <c r="AI65" i="22"/>
  <c r="AH65" i="22"/>
  <c r="D66" i="22"/>
  <c r="AG65" i="22"/>
  <c r="AF65" i="22"/>
  <c r="AE65"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D117" i="22"/>
  <c r="AG116" i="22"/>
  <c r="AF116" i="22"/>
  <c r="AE116" i="22"/>
  <c r="BC57" i="16"/>
  <c r="BF57" i="16"/>
  <c r="BD57" i="16"/>
  <c r="BE57" i="16"/>
  <c r="BH57" i="16"/>
  <c r="BG57" i="15"/>
  <c r="BF57" i="15"/>
  <c r="BU54" i="20"/>
  <c r="BT52" i="20"/>
  <c r="BR65" i="20"/>
  <c r="AO113" i="13" s="1"/>
  <c r="BR64" i="20"/>
  <c r="AO112" i="13" s="1"/>
  <c r="BR63" i="20"/>
  <c r="AO111" i="13" s="1"/>
  <c r="BR62" i="20"/>
  <c r="BQ96" i="20"/>
  <c r="BR99" i="20"/>
  <c r="AO142" i="13" s="1"/>
  <c r="BR100" i="20"/>
  <c r="AO143" i="13" s="1"/>
  <c r="BR101" i="20"/>
  <c r="AO144" i="13" s="1"/>
  <c r="BP80" i="20"/>
  <c r="AM126" i="13" s="1"/>
  <c r="BP78" i="20"/>
  <c r="AM124" i="13" s="1"/>
  <c r="BP79" i="20"/>
  <c r="AM125" i="13" s="1"/>
  <c r="BP93" i="20"/>
  <c r="AM137" i="13" s="1"/>
  <c r="BP94" i="20"/>
  <c r="AM138" i="13" s="1"/>
  <c r="BP92" i="20"/>
  <c r="AM136" i="13" s="1"/>
  <c r="BS102" i="20"/>
  <c r="AP145" i="13" s="1"/>
  <c r="BS88" i="20"/>
  <c r="AP133" i="13" s="1"/>
  <c r="BS95" i="20"/>
  <c r="AP139" i="13" s="1"/>
  <c r="BS81" i="20"/>
  <c r="AP127" i="13" s="1"/>
  <c r="BU57" i="20"/>
  <c r="BU97" i="20" s="1"/>
  <c r="AR140" i="13" s="1"/>
  <c r="BU56" i="20"/>
  <c r="BU55" i="20"/>
  <c r="BP68" i="20"/>
  <c r="BQ115" i="20"/>
  <c r="BQ72" i="20"/>
  <c r="AN119" i="13" s="1"/>
  <c r="BQ71" i="20"/>
  <c r="AN118" i="13" s="1"/>
  <c r="BQ73" i="20"/>
  <c r="AN120" i="13" s="1"/>
  <c r="BR70" i="20"/>
  <c r="AO117" i="13" s="1"/>
  <c r="BR61" i="20"/>
  <c r="AO109" i="13" s="1"/>
  <c r="BR69" i="20"/>
  <c r="AO116" i="13" s="1"/>
  <c r="BR10" i="20"/>
  <c r="BS31" i="20"/>
  <c r="BS24" i="20"/>
  <c r="BS14" i="20"/>
  <c r="BS25" i="20"/>
  <c r="BS23" i="20"/>
  <c r="BS20" i="20"/>
  <c r="BS34" i="20"/>
  <c r="BS32" i="20"/>
  <c r="BS19" i="20"/>
  <c r="BS30" i="20"/>
  <c r="BS33" i="20"/>
  <c r="BS18" i="20"/>
  <c r="BS11" i="20"/>
  <c r="BS29" i="20"/>
  <c r="BS16" i="20"/>
  <c r="BS15" i="20"/>
  <c r="BS74" i="20"/>
  <c r="AP121" i="13" s="1"/>
  <c r="BS21" i="20"/>
  <c r="BS17" i="20"/>
  <c r="BS12" i="20"/>
  <c r="BS26" i="20"/>
  <c r="BS35" i="20"/>
  <c r="BS27" i="20"/>
  <c r="BS22" i="20"/>
  <c r="BS28" i="20"/>
  <c r="BS13" i="20"/>
  <c r="BT6" i="20"/>
  <c r="BT7" i="20"/>
  <c r="BT8" i="20"/>
  <c r="BT112" i="20" s="1"/>
  <c r="BU5" i="20"/>
  <c r="BT4" i="20"/>
  <c r="AM7" i="20"/>
  <c r="AM6" i="20"/>
  <c r="BV53" i="20"/>
  <c r="BK71" i="17" a="1"/>
  <c r="BK71" i="17" s="1"/>
  <c r="BK70" i="17" a="1"/>
  <c r="BK70" i="17" s="1"/>
  <c r="BK69" i="17" a="1"/>
  <c r="BK69" i="17" s="1"/>
  <c r="BK68" i="17" a="1"/>
  <c r="BK68" i="17" s="1"/>
  <c r="BK67" i="17" a="1"/>
  <c r="BK67" i="17" s="1"/>
  <c r="BK66" i="17" a="1"/>
  <c r="BK66" i="17" s="1"/>
  <c r="BK65" i="17" a="1"/>
  <c r="BK65" i="17" s="1"/>
  <c r="BK64" i="17" a="1"/>
  <c r="BK64" i="17" s="1"/>
  <c r="BK155" i="17"/>
  <c r="BK63" i="17" a="1"/>
  <c r="BK63" i="17" s="1"/>
  <c r="BK154" i="17"/>
  <c r="BK62" i="17" a="1"/>
  <c r="BK62" i="17" s="1"/>
  <c r="BK153" i="17"/>
  <c r="BK137" i="17"/>
  <c r="BK47" i="17" a="1"/>
  <c r="BK47" i="17" s="1"/>
  <c r="BK49" i="17" a="1"/>
  <c r="BK49" i="17" s="1"/>
  <c r="BK50" i="17" a="1"/>
  <c r="BK50" i="17" s="1"/>
  <c r="BK51" i="17" a="1"/>
  <c r="BK51" i="17" s="1"/>
  <c r="BK146" i="17"/>
  <c r="BK55" i="17" a="1"/>
  <c r="BK55" i="17" s="1"/>
  <c r="BK57" i="17" a="1"/>
  <c r="BK57" i="17" s="1"/>
  <c r="BK138" i="17"/>
  <c r="BK139" i="17"/>
  <c r="BK140" i="17"/>
  <c r="BK142" i="17"/>
  <c r="BK144" i="17"/>
  <c r="BK53" i="17" a="1"/>
  <c r="BK53" i="17" s="1"/>
  <c r="BK54" i="17" a="1"/>
  <c r="BK54" i="17" s="1"/>
  <c r="BK147" i="17"/>
  <c r="BK56" i="17" a="1"/>
  <c r="BK56" i="17" s="1"/>
  <c r="BK149" i="17"/>
  <c r="BK150" i="17"/>
  <c r="BK59" i="17" a="1"/>
  <c r="BK59" i="17" s="1"/>
  <c r="BK151" i="17"/>
  <c r="BK136" i="17"/>
  <c r="BK45" i="17" a="1"/>
  <c r="BK45" i="17" s="1"/>
  <c r="BK46" i="17" a="1"/>
  <c r="BK46" i="17" s="1"/>
  <c r="BK48" i="17" a="1"/>
  <c r="BK48" i="17" s="1"/>
  <c r="BK141" i="17"/>
  <c r="BK143" i="17"/>
  <c r="BK52" i="17" a="1"/>
  <c r="BK52" i="17" s="1"/>
  <c r="BK145" i="17"/>
  <c r="BK148" i="17"/>
  <c r="BK58" i="17" a="1"/>
  <c r="BK58" i="17" s="1"/>
  <c r="BK61" i="17" a="1"/>
  <c r="BK61" i="17" s="1"/>
  <c r="BK152" i="17"/>
  <c r="BK60" i="17" a="1"/>
  <c r="BK60" i="17" s="1"/>
  <c r="BL6" i="17"/>
  <c r="BM5" i="17"/>
  <c r="BL4" i="17"/>
  <c r="BL8" i="17"/>
  <c r="BL7" i="17"/>
  <c r="AN107" i="16"/>
  <c r="AK107" i="16"/>
  <c r="AI107" i="16"/>
  <c r="AG107" i="16"/>
  <c r="AM107" i="16"/>
  <c r="AL107" i="16"/>
  <c r="AJ107" i="16"/>
  <c r="AH107" i="16"/>
  <c r="AF107" i="16"/>
  <c r="BH107" i="16"/>
  <c r="BF107" i="16"/>
  <c r="BD107" i="16"/>
  <c r="BB107" i="16"/>
  <c r="AZ107" i="16"/>
  <c r="AX107" i="16"/>
  <c r="AV107" i="16"/>
  <c r="AT107" i="16"/>
  <c r="AR107" i="16"/>
  <c r="AP107" i="16"/>
  <c r="BG107" i="16"/>
  <c r="BE107" i="16"/>
  <c r="BC107" i="16"/>
  <c r="BA107" i="16"/>
  <c r="AY107" i="16"/>
  <c r="AW107" i="16"/>
  <c r="AU107" i="16"/>
  <c r="AS107" i="16"/>
  <c r="AQ107" i="16"/>
  <c r="AO107" i="16"/>
  <c r="BK16" i="16"/>
  <c r="E56" i="16" a="1"/>
  <c r="E56" i="16" s="1"/>
  <c r="AR107" i="15"/>
  <c r="AQ107" i="15"/>
  <c r="AP107" i="15"/>
  <c r="AO107" i="15"/>
  <c r="AN107" i="15"/>
  <c r="AM107" i="15"/>
  <c r="AL107" i="15"/>
  <c r="AK107" i="15"/>
  <c r="AJ107" i="15"/>
  <c r="AI107" i="15"/>
  <c r="AH107" i="15"/>
  <c r="AF107" i="15"/>
  <c r="AG107" i="15"/>
  <c r="BG105" i="15"/>
  <c r="BH105" i="15"/>
  <c r="BE107" i="15"/>
  <c r="BE57" i="15"/>
  <c r="BC107" i="15"/>
  <c r="BA107" i="15"/>
  <c r="AY107" i="15"/>
  <c r="AW107" i="15"/>
  <c r="AU107" i="15"/>
  <c r="AS107" i="15"/>
  <c r="BD107" i="15"/>
  <c r="BB107" i="15"/>
  <c r="AZ107" i="15"/>
  <c r="AX107" i="15"/>
  <c r="AV107" i="15"/>
  <c r="AT107" i="15"/>
  <c r="BH57" i="15"/>
  <c r="BH107" i="15"/>
  <c r="BG107" i="15"/>
  <c r="BF107" i="15"/>
  <c r="BT20" i="15"/>
  <c r="E106" i="15" a="1"/>
  <c r="E106" i="15" s="1"/>
  <c r="E106" i="16" a="1"/>
  <c r="E106" i="16" s="1"/>
  <c r="BT20" i="16"/>
  <c r="BI19" i="16"/>
  <c r="BI18" i="16" s="1"/>
  <c r="BI15" i="16"/>
  <c r="BI14" i="16" s="1"/>
  <c r="BL16" i="16" s="1"/>
  <c r="BI11" i="16"/>
  <c r="BJ4" i="16"/>
  <c r="BJ7" i="16"/>
  <c r="BJ6" i="16"/>
  <c r="BJ8" i="16"/>
  <c r="BI58" i="16" s="1"/>
  <c r="BK5" i="16"/>
  <c r="BI105" i="16"/>
  <c r="BG57" i="16"/>
  <c r="BI102" i="16"/>
  <c r="BI88" i="16"/>
  <c r="BI89" i="16"/>
  <c r="BI90" i="16"/>
  <c r="BI91" i="16"/>
  <c r="BI92" i="16"/>
  <c r="BI93" i="16"/>
  <c r="BI94" i="16"/>
  <c r="BI95" i="16"/>
  <c r="BI96" i="16"/>
  <c r="BI97" i="16"/>
  <c r="BI98" i="16"/>
  <c r="BI99" i="16"/>
  <c r="BI100" i="16"/>
  <c r="BI101" i="16"/>
  <c r="BI104" i="16"/>
  <c r="BI103" i="16"/>
  <c r="BI45" i="16"/>
  <c r="BI79" i="16"/>
  <c r="BI34" i="16"/>
  <c r="BI32" i="16"/>
  <c r="BI43" i="16"/>
  <c r="BI28" i="16"/>
  <c r="BI39" i="16"/>
  <c r="BI42" i="16"/>
  <c r="BI29" i="16"/>
  <c r="BI44" i="16"/>
  <c r="BI40" i="16"/>
  <c r="BI30" i="16"/>
  <c r="BI31" i="16"/>
  <c r="BI36" i="16"/>
  <c r="BI37" i="16"/>
  <c r="BI41" i="16"/>
  <c r="BI78" i="16"/>
  <c r="BI38" i="16"/>
  <c r="BI33" i="16"/>
  <c r="BI46" i="16"/>
  <c r="BI80" i="16"/>
  <c r="BI35" i="16"/>
  <c r="BI47" i="16"/>
  <c r="BI81" i="16"/>
  <c r="BI48" i="16"/>
  <c r="BI82" i="16"/>
  <c r="BI49" i="16"/>
  <c r="BI83" i="16"/>
  <c r="BI84" i="16"/>
  <c r="BI50" i="16"/>
  <c r="BI85" i="16"/>
  <c r="BI51" i="16"/>
  <c r="BI52" i="16"/>
  <c r="BI86" i="16"/>
  <c r="BI87" i="16"/>
  <c r="BI53" i="16"/>
  <c r="BI54" i="16"/>
  <c r="BG105" i="16"/>
  <c r="BH105" i="16"/>
  <c r="AP163" i="13"/>
  <c r="BJ4" i="15"/>
  <c r="BJ6" i="15"/>
  <c r="BJ7" i="15"/>
  <c r="BK5" i="15"/>
  <c r="BJ8" i="15"/>
  <c r="BC58" i="15" s="1"/>
  <c r="AJ57" i="15"/>
  <c r="BI105" i="15"/>
  <c r="AY57" i="15"/>
  <c r="BI104" i="15"/>
  <c r="BI103" i="15"/>
  <c r="BI102" i="15"/>
  <c r="BI101" i="15"/>
  <c r="BI100" i="15"/>
  <c r="BI55" i="15"/>
  <c r="BI99" i="15"/>
  <c r="BI98" i="15"/>
  <c r="BI54" i="15"/>
  <c r="BI97" i="15"/>
  <c r="BI53" i="15"/>
  <c r="BI96" i="15"/>
  <c r="BI52" i="15"/>
  <c r="BI51" i="15"/>
  <c r="BI95" i="15"/>
  <c r="BI50" i="15"/>
  <c r="BI94" i="15"/>
  <c r="BI49" i="15"/>
  <c r="BI93" i="15"/>
  <c r="BI48" i="15"/>
  <c r="BI92" i="15"/>
  <c r="BI47" i="15"/>
  <c r="BI91" i="15"/>
  <c r="BI46" i="15"/>
  <c r="BI90" i="15"/>
  <c r="BI45" i="15"/>
  <c r="BI89" i="15"/>
  <c r="BI44" i="15"/>
  <c r="BI88" i="15"/>
  <c r="BI43" i="15"/>
  <c r="BI87" i="15"/>
  <c r="BI42" i="15"/>
  <c r="BI86" i="15"/>
  <c r="BI41" i="15"/>
  <c r="BI85" i="15"/>
  <c r="BI40" i="15"/>
  <c r="BI84" i="15"/>
  <c r="BI39" i="15"/>
  <c r="BI83" i="15"/>
  <c r="BI38" i="15"/>
  <c r="BI37" i="15"/>
  <c r="BI82" i="15"/>
  <c r="BI81" i="15"/>
  <c r="BI36" i="15"/>
  <c r="BI80" i="15"/>
  <c r="BI35" i="15"/>
  <c r="BI79" i="15"/>
  <c r="BI34" i="15"/>
  <c r="BI28" i="15"/>
  <c r="BI33" i="15"/>
  <c r="BI11" i="15" a="1"/>
  <c r="BI11" i="15" s="1"/>
  <c r="BI19" i="15" a="1"/>
  <c r="BI19" i="15" s="1"/>
  <c r="BI18" i="15" s="1"/>
  <c r="BI32" i="15"/>
  <c r="BI15" i="15" a="1"/>
  <c r="BI15" i="15" s="1"/>
  <c r="BI14" i="15" s="1"/>
  <c r="BL16" i="15" s="1"/>
  <c r="BI31" i="15"/>
  <c r="BI29" i="15"/>
  <c r="BI30" i="15"/>
  <c r="BI78" i="15"/>
  <c r="BG55" i="15"/>
  <c r="BH55" i="15"/>
  <c r="BK16" i="15"/>
  <c r="D76" i="17"/>
  <c r="BH166" i="17"/>
  <c r="BE166" i="17"/>
  <c r="BD166" i="17"/>
  <c r="AZ166" i="17"/>
  <c r="AW166" i="17"/>
  <c r="AU166" i="17"/>
  <c r="AR166" i="17"/>
  <c r="AK166" i="17"/>
  <c r="AF166" i="17"/>
  <c r="BI166" i="17"/>
  <c r="BB166" i="17"/>
  <c r="AY166" i="17"/>
  <c r="AV166" i="17"/>
  <c r="AQ166" i="17"/>
  <c r="AJ166" i="17"/>
  <c r="AI166" i="17"/>
  <c r="BG166" i="17"/>
  <c r="BF166" i="17"/>
  <c r="BC166" i="17"/>
  <c r="AX166" i="17"/>
  <c r="AN166" i="17"/>
  <c r="AM166" i="17"/>
  <c r="AG166" i="17"/>
  <c r="BA166" i="17"/>
  <c r="AT166" i="17"/>
  <c r="AS166" i="17"/>
  <c r="AP166" i="17"/>
  <c r="AO166" i="17"/>
  <c r="AL166" i="17"/>
  <c r="AH166" i="17"/>
  <c r="D167" i="17"/>
  <c r="BJ8" i="14"/>
  <c r="AO77" i="14" s="1"/>
  <c r="BJ6" i="14"/>
  <c r="BJ7" i="14"/>
  <c r="BK5" i="14"/>
  <c r="BJ4" i="14"/>
  <c r="AY76" i="14"/>
  <c r="AG76" i="14"/>
  <c r="BD76" i="14"/>
  <c r="AL76" i="14"/>
  <c r="AK76" i="14"/>
  <c r="AR76" i="14"/>
  <c r="AZ76" i="14"/>
  <c r="AI76" i="14"/>
  <c r="BG76" i="14"/>
  <c r="BB76" i="14"/>
  <c r="BE76" i="14"/>
  <c r="AH76" i="14"/>
  <c r="BF76" i="14"/>
  <c r="BC76" i="14"/>
  <c r="AS76" i="14"/>
  <c r="AO76" i="14"/>
  <c r="AX76" i="14"/>
  <c r="AW76" i="14"/>
  <c r="AJ76" i="14"/>
  <c r="AM76" i="14"/>
  <c r="AV76" i="14"/>
  <c r="AT76" i="14"/>
  <c r="AQ76" i="14"/>
  <c r="AN76" i="14"/>
  <c r="BA76" i="14"/>
  <c r="AU76" i="14"/>
  <c r="AP76" i="14"/>
  <c r="AF76" i="14"/>
  <c r="BI50" i="14"/>
  <c r="BI47" i="14"/>
  <c r="BI51" i="14"/>
  <c r="BI53" i="14"/>
  <c r="BI55" i="14"/>
  <c r="BI58" i="14"/>
  <c r="BI60" i="14"/>
  <c r="BI62" i="14"/>
  <c r="BI64" i="14"/>
  <c r="BI49" i="14"/>
  <c r="BI48" i="14"/>
  <c r="BI52" i="14"/>
  <c r="BI54" i="14"/>
  <c r="BI56" i="14"/>
  <c r="BI57" i="14"/>
  <c r="BI59" i="14"/>
  <c r="BI61" i="14"/>
  <c r="BI63" i="14"/>
  <c r="BH76" i="14"/>
  <c r="AC7" i="16"/>
  <c r="AC6" i="16"/>
  <c r="AU10" i="16"/>
  <c r="D75" i="16"/>
  <c r="D109" i="16"/>
  <c r="D64" i="15"/>
  <c r="AC7" i="15"/>
  <c r="AC6" i="15"/>
  <c r="AU10" i="15"/>
  <c r="D109" i="15"/>
  <c r="AC7" i="14"/>
  <c r="AC6" i="14"/>
  <c r="D81" i="14"/>
  <c r="AP155" i="13"/>
  <c r="AP154" i="13"/>
  <c r="AP164" i="13"/>
  <c r="AP160" i="13"/>
  <c r="AP150" i="13"/>
  <c r="AP159" i="13"/>
  <c r="BI5" i="9"/>
  <c r="BH6" i="9"/>
  <c r="BH4" i="9"/>
  <c r="BH7" i="9"/>
  <c r="BH8" i="9"/>
  <c r="BG4" i="11"/>
  <c r="BH5" i="11"/>
  <c r="BG6" i="11"/>
  <c r="BG8" i="11"/>
  <c r="BG7" i="11"/>
  <c r="BT106" i="12"/>
  <c r="AR105" i="13" s="1"/>
  <c r="BT105" i="12"/>
  <c r="AR104" i="13" s="1"/>
  <c r="BT104" i="12"/>
  <c r="BT103" i="12"/>
  <c r="AR102" i="13" s="1"/>
  <c r="BT102" i="12"/>
  <c r="AR101" i="13" s="1"/>
  <c r="BT101" i="12"/>
  <c r="BT96" i="12"/>
  <c r="BT95" i="12"/>
  <c r="AR97" i="13" s="1"/>
  <c r="BT94" i="12"/>
  <c r="AR96" i="13" s="1"/>
  <c r="BT93" i="12"/>
  <c r="AR95" i="13" s="1"/>
  <c r="BT92" i="12"/>
  <c r="BT91" i="12"/>
  <c r="AR93" i="13" s="1"/>
  <c r="BT90" i="12"/>
  <c r="BT89" i="12"/>
  <c r="BT97" i="12"/>
  <c r="AR99" i="13" s="1"/>
  <c r="BT85" i="12"/>
  <c r="AR90" i="13" s="1"/>
  <c r="BT83" i="12"/>
  <c r="AR88" i="13" s="1"/>
  <c r="BT82" i="12"/>
  <c r="AR87" i="13" s="1"/>
  <c r="BT80" i="12"/>
  <c r="BT79" i="12"/>
  <c r="AR84" i="13" s="1"/>
  <c r="BT78" i="12"/>
  <c r="AR83" i="13" s="1"/>
  <c r="BT77" i="12"/>
  <c r="AR82" i="13" s="1"/>
  <c r="BT76" i="12"/>
  <c r="BT75" i="12"/>
  <c r="BT73" i="12"/>
  <c r="AR77" i="13" s="1"/>
  <c r="BT81" i="12"/>
  <c r="AR86" i="13" s="1"/>
  <c r="BT84" i="12"/>
  <c r="AR89" i="13" s="1"/>
  <c r="BT64" i="12"/>
  <c r="AR74" i="13" s="1"/>
  <c r="BT59" i="12"/>
  <c r="AR72" i="13" s="1"/>
  <c r="BT58" i="12"/>
  <c r="BT28" i="12"/>
  <c r="BT51" i="12"/>
  <c r="AR69" i="13" s="1"/>
  <c r="BT33" i="12"/>
  <c r="AR51" i="13" s="1"/>
  <c r="BT34" i="12"/>
  <c r="AR52" i="13" s="1"/>
  <c r="BT35" i="12"/>
  <c r="AR53" i="13" s="1"/>
  <c r="BT36" i="12"/>
  <c r="BT37" i="12"/>
  <c r="AR55" i="13" s="1"/>
  <c r="BT38" i="12"/>
  <c r="AR56" i="13" s="1"/>
  <c r="BT39" i="12"/>
  <c r="AR57" i="13" s="1"/>
  <c r="BT29" i="12"/>
  <c r="BT32" i="12"/>
  <c r="AR50" i="13" s="1"/>
  <c r="BT40" i="12"/>
  <c r="AR58" i="13" s="1"/>
  <c r="BT41" i="12"/>
  <c r="AR59" i="13" s="1"/>
  <c r="BT30" i="12"/>
  <c r="AR48" i="13" s="1"/>
  <c r="BT31" i="12"/>
  <c r="AR49" i="13" s="1"/>
  <c r="BT46" i="12"/>
  <c r="AR64" i="13" s="1"/>
  <c r="BT47" i="12"/>
  <c r="AR65" i="13" s="1"/>
  <c r="BT48" i="12"/>
  <c r="BT49" i="12"/>
  <c r="AR67" i="13" s="1"/>
  <c r="BT50" i="12"/>
  <c r="AR68" i="13" s="1"/>
  <c r="BT52" i="12"/>
  <c r="AR70" i="13" s="1"/>
  <c r="BT21" i="12"/>
  <c r="AR45" i="13" s="1"/>
  <c r="BT20" i="12"/>
  <c r="AR44" i="13" s="1"/>
  <c r="BK90" i="30" s="1"/>
  <c r="BT19" i="12"/>
  <c r="AR43" i="13" s="1"/>
  <c r="BT18" i="12"/>
  <c r="BT14" i="12"/>
  <c r="AR41" i="13" s="1"/>
  <c r="BT13" i="12"/>
  <c r="AR40" i="13" s="1"/>
  <c r="BT12" i="12"/>
  <c r="BT4" i="12"/>
  <c r="BT7" i="12"/>
  <c r="BT8" i="12"/>
  <c r="BU5" i="12"/>
  <c r="BU63" i="12" s="1"/>
  <c r="BT6" i="12"/>
  <c r="AQ4" i="13"/>
  <c r="AQ8" i="13"/>
  <c r="AR5" i="13"/>
  <c r="AQ7" i="13"/>
  <c r="AQ6" i="13"/>
  <c r="AK7" i="12"/>
  <c r="AK6" i="12"/>
  <c r="Z7" i="11"/>
  <c r="Z6" i="11"/>
  <c r="BH4" i="10"/>
  <c r="BH8" i="10"/>
  <c r="BH7" i="10"/>
  <c r="BH6" i="10"/>
  <c r="BI5" i="10"/>
  <c r="BQ49" i="8"/>
  <c r="BP50" i="8"/>
  <c r="BP51" i="8"/>
  <c r="BP52" i="8"/>
  <c r="BP48" i="8"/>
  <c r="AA7" i="9"/>
  <c r="AA6" i="9"/>
  <c r="AI77" i="8"/>
  <c r="AI76" i="8"/>
  <c r="AI51" i="8"/>
  <c r="AI50" i="8"/>
  <c r="AI9" i="8"/>
  <c r="AI10" i="8"/>
  <c r="BQ11" i="8"/>
  <c r="BR8" i="8"/>
  <c r="BQ7" i="8"/>
  <c r="BQ15" i="8" s="1" a="1"/>
  <c r="BQ15" i="8" s="1"/>
  <c r="BQ10" i="8"/>
  <c r="BQ9" i="8"/>
  <c r="BQ75" i="8"/>
  <c r="BP78" i="8"/>
  <c r="BP77" i="8"/>
  <c r="BP76" i="8"/>
  <c r="BP74" i="8"/>
  <c r="BG42" i="17" l="1"/>
  <c r="AM115" i="13"/>
  <c r="BG72" i="17" a="1"/>
  <c r="BG72" i="17" s="1"/>
  <c r="AK72" i="17" a="1"/>
  <c r="AK72" i="17" s="1"/>
  <c r="O72" i="17" s="1"/>
  <c r="AW72" i="17" a="1"/>
  <c r="AW72" i="17" s="1"/>
  <c r="S72" i="17" s="1"/>
  <c r="AO72" i="17" a="1"/>
  <c r="AO72" i="17" s="1"/>
  <c r="AF72" i="17" a="1"/>
  <c r="AF72" i="17" s="1"/>
  <c r="AT72" i="17" a="1"/>
  <c r="AT72" i="17" s="1"/>
  <c r="R72" i="17" s="1"/>
  <c r="AX72" i="17" a="1"/>
  <c r="AX72" i="17" s="1"/>
  <c r="AP72" i="17" a="1"/>
  <c r="AP72" i="17" s="1"/>
  <c r="AG72" i="17" a="1"/>
  <c r="AG72" i="17" s="1"/>
  <c r="AZ72" i="17" a="1"/>
  <c r="AZ72" i="17" s="1"/>
  <c r="T72" i="17" s="1"/>
  <c r="AY72" i="17" a="1"/>
  <c r="AY72" i="17" s="1"/>
  <c r="AQ72" i="17" a="1"/>
  <c r="AQ72" i="17" s="1"/>
  <c r="Q72" i="17" s="1"/>
  <c r="AI72" i="17" a="1"/>
  <c r="AI72" i="17" s="1"/>
  <c r="BF72" i="17" a="1"/>
  <c r="BF72" i="17" s="1"/>
  <c r="V72" i="17" s="1"/>
  <c r="BR87" i="20"/>
  <c r="AO132" i="13" s="1"/>
  <c r="AO128" i="13"/>
  <c r="BH41" i="17"/>
  <c r="E73" i="17" s="1" a="1"/>
  <c r="E73" i="17" s="1"/>
  <c r="BK73" i="17" s="1" a="1"/>
  <c r="BK73" i="17" s="1"/>
  <c r="AO110" i="13"/>
  <c r="AO108" i="13" s="1"/>
  <c r="BB72" i="17" a="1"/>
  <c r="BB72" i="17" s="1"/>
  <c r="AJ72" i="17" a="1"/>
  <c r="AJ72" i="17" s="1"/>
  <c r="AS72" i="17" a="1"/>
  <c r="AS72" i="17" s="1"/>
  <c r="BH72" i="17" a="1"/>
  <c r="BH72" i="17" s="1"/>
  <c r="BC72" i="17" a="1"/>
  <c r="BC72" i="17" s="1"/>
  <c r="U72" i="17" s="1"/>
  <c r="AL72" i="17" a="1"/>
  <c r="AL72" i="17" s="1"/>
  <c r="AN108" i="13"/>
  <c r="BK72" i="17" a="1"/>
  <c r="BK72" i="17" s="1"/>
  <c r="AU72" i="17" a="1"/>
  <c r="AU72" i="17" s="1"/>
  <c r="AM72" i="17" a="1"/>
  <c r="AM72" i="17" s="1"/>
  <c r="AI99" i="8"/>
  <c r="BQ82" i="20"/>
  <c r="BR110" i="20"/>
  <c r="BR109" i="20" a="1"/>
  <c r="BR109" i="20" s="1"/>
  <c r="AR71" i="13"/>
  <c r="AR21" i="13" a="1"/>
  <c r="AR21" i="13" s="1"/>
  <c r="AR151" i="13" s="1"/>
  <c r="AR91" i="13"/>
  <c r="AR29" i="13" a="1"/>
  <c r="AR29" i="13" s="1"/>
  <c r="AR60" i="13"/>
  <c r="AR17" i="13" a="1"/>
  <c r="AR17" i="13" s="1"/>
  <c r="AR94" i="13"/>
  <c r="AR32" i="13" a="1"/>
  <c r="AR32" i="13" s="1"/>
  <c r="AR47" i="13"/>
  <c r="AR13" i="13" a="1"/>
  <c r="AR13" i="13" s="1"/>
  <c r="AR38" i="13"/>
  <c r="AR12" i="13" a="1"/>
  <c r="AR12" i="13" s="1"/>
  <c r="AR148" i="13" s="1"/>
  <c r="AR42" i="13"/>
  <c r="AR15" i="13" a="1"/>
  <c r="AR15" i="13" s="1"/>
  <c r="AR149" i="13" s="1"/>
  <c r="AR80" i="13"/>
  <c r="AR24" i="13" a="1"/>
  <c r="AR24" i="13" s="1"/>
  <c r="AR92" i="13"/>
  <c r="AR30" i="13" a="1"/>
  <c r="AR30" i="13" s="1"/>
  <c r="AR81" i="13"/>
  <c r="AR27" i="13" a="1"/>
  <c r="AR27" i="13" s="1"/>
  <c r="AR98" i="13"/>
  <c r="AR31" i="13" a="1"/>
  <c r="AR31" i="13" s="1"/>
  <c r="AR54" i="13"/>
  <c r="AR18" i="13" a="1"/>
  <c r="AR18" i="13" s="1"/>
  <c r="AR100" i="13"/>
  <c r="AR33" i="13" a="1"/>
  <c r="AR33" i="13" s="1"/>
  <c r="BR86" i="20"/>
  <c r="AO131" i="13" s="1"/>
  <c r="AR85" i="13"/>
  <c r="AR28" i="13" a="1"/>
  <c r="AR28" i="13" s="1"/>
  <c r="BR85" i="20"/>
  <c r="AO130" i="13" s="1"/>
  <c r="BK107" i="17"/>
  <c r="BK109" i="17" s="1"/>
  <c r="BK103" i="17" s="1"/>
  <c r="BL105" i="17"/>
  <c r="BK99" i="17"/>
  <c r="BK101" i="17" s="1"/>
  <c r="BK96" i="17" s="1"/>
  <c r="AR46" i="13"/>
  <c r="AR16" i="13" a="1"/>
  <c r="AR16" i="13" s="1"/>
  <c r="AR103" i="13"/>
  <c r="AR34" i="13" a="1"/>
  <c r="AR34" i="13" s="1"/>
  <c r="AR66" i="13"/>
  <c r="AR19" i="13" a="1"/>
  <c r="AR19" i="13" s="1"/>
  <c r="BE58" i="16"/>
  <c r="AV58" i="15"/>
  <c r="AT58" i="15"/>
  <c r="BS107" i="20"/>
  <c r="BG58" i="16"/>
  <c r="U71" i="17"/>
  <c r="I71" i="17"/>
  <c r="AP58" i="15"/>
  <c r="AN58" i="15"/>
  <c r="AH73" i="17" a="1"/>
  <c r="AH73" i="17" s="1"/>
  <c r="N73" i="17" s="1"/>
  <c r="AQ73" i="17" a="1"/>
  <c r="AQ73" i="17" s="1"/>
  <c r="BE73" i="17" a="1"/>
  <c r="BE73" i="17" s="1"/>
  <c r="AO73" i="17" a="1"/>
  <c r="AO73" i="17" s="1"/>
  <c r="AK73" i="17" a="1"/>
  <c r="AK73" i="17" s="1"/>
  <c r="O73" i="17" s="1"/>
  <c r="AI73" i="17" a="1"/>
  <c r="AI73" i="17" s="1"/>
  <c r="BS90" i="20"/>
  <c r="AP134" i="13" s="1"/>
  <c r="BS108" i="20"/>
  <c r="Q71" i="17"/>
  <c r="H71" i="17"/>
  <c r="AY58" i="15"/>
  <c r="BS83" i="20"/>
  <c r="BS76" i="20"/>
  <c r="AP122" i="13" s="1"/>
  <c r="BS77" i="20"/>
  <c r="AP123" i="13" s="1"/>
  <c r="BS91" i="20"/>
  <c r="AP135" i="13" s="1"/>
  <c r="BO114" i="20"/>
  <c r="BU42" i="12"/>
  <c r="BU43" i="12"/>
  <c r="AS61" i="13" s="1"/>
  <c r="BU44" i="12"/>
  <c r="AS62" i="13" s="1"/>
  <c r="BU45" i="12"/>
  <c r="AS63" i="13" s="1"/>
  <c r="BP89" i="20"/>
  <c r="BQ106" i="20"/>
  <c r="BU52" i="20"/>
  <c r="BJ6" i="22"/>
  <c r="BK5" i="22"/>
  <c r="BJ7" i="22"/>
  <c r="BJ8" i="22"/>
  <c r="BJ4" i="22"/>
  <c r="BR96" i="20"/>
  <c r="BR60" i="20"/>
  <c r="BD77" i="14"/>
  <c r="AW77" i="14"/>
  <c r="AY77" i="14"/>
  <c r="BH77" i="14"/>
  <c r="AJ77" i="14"/>
  <c r="BE77" i="14"/>
  <c r="AU77" i="14"/>
  <c r="AT77" i="14"/>
  <c r="AX77" i="14"/>
  <c r="AS77" i="14"/>
  <c r="AF77" i="14"/>
  <c r="BI66" i="22"/>
  <c r="BH66" i="22"/>
  <c r="BG66" i="22"/>
  <c r="BF66" i="22"/>
  <c r="BE66" i="22"/>
  <c r="BD66" i="22"/>
  <c r="BC66" i="22"/>
  <c r="BB66" i="22"/>
  <c r="BA66" i="22"/>
  <c r="AZ66" i="22"/>
  <c r="AY66" i="22"/>
  <c r="AX66" i="22"/>
  <c r="AW66" i="22"/>
  <c r="AV66" i="22"/>
  <c r="AU66" i="22"/>
  <c r="AT66" i="22"/>
  <c r="AS66" i="22"/>
  <c r="AR66" i="22"/>
  <c r="AQ66" i="22"/>
  <c r="AP66" i="22"/>
  <c r="AO66" i="22"/>
  <c r="AN66" i="22"/>
  <c r="AM66" i="22"/>
  <c r="AL66" i="22"/>
  <c r="AK66" i="22"/>
  <c r="AJ66" i="22"/>
  <c r="AI66" i="22"/>
  <c r="AH66" i="22"/>
  <c r="D67" i="22"/>
  <c r="AG66" i="22"/>
  <c r="AF66" i="22"/>
  <c r="AE66"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E117" i="22"/>
  <c r="D118" i="22"/>
  <c r="AF117" i="22"/>
  <c r="AB8" i="22"/>
  <c r="BV54" i="20"/>
  <c r="BS64" i="20"/>
  <c r="AP112" i="13" s="1"/>
  <c r="BS63" i="20"/>
  <c r="BS62" i="20"/>
  <c r="AP110" i="13" s="1"/>
  <c r="BS65" i="20"/>
  <c r="BP75" i="20"/>
  <c r="BQ92" i="20"/>
  <c r="AN136" i="13" s="1"/>
  <c r="BQ93" i="20"/>
  <c r="AN137" i="13" s="1"/>
  <c r="BQ94" i="20"/>
  <c r="AN138" i="13" s="1"/>
  <c r="BQ78" i="20"/>
  <c r="AN124" i="13" s="1"/>
  <c r="BQ79" i="20"/>
  <c r="AN125" i="13" s="1"/>
  <c r="BQ80" i="20"/>
  <c r="AN126" i="13" s="1"/>
  <c r="BS101" i="20"/>
  <c r="AP144" i="13" s="1"/>
  <c r="BS99" i="20"/>
  <c r="AP142" i="13" s="1"/>
  <c r="BS100" i="20"/>
  <c r="AP143" i="13" s="1"/>
  <c r="BT102" i="20"/>
  <c r="AQ145" i="13" s="1"/>
  <c r="BT88" i="20"/>
  <c r="AQ133" i="13" s="1"/>
  <c r="BT95" i="20"/>
  <c r="AQ139" i="13" s="1"/>
  <c r="BT81" i="20"/>
  <c r="AQ127" i="13" s="1"/>
  <c r="BV57" i="20"/>
  <c r="BV97" i="20" s="1"/>
  <c r="AS140" i="13" s="1"/>
  <c r="BV56" i="20"/>
  <c r="BV55" i="20"/>
  <c r="BR115" i="20"/>
  <c r="BQ68" i="20"/>
  <c r="BR72" i="20"/>
  <c r="AO119" i="13" s="1"/>
  <c r="BR73" i="20"/>
  <c r="AO120" i="13" s="1"/>
  <c r="BR71" i="20"/>
  <c r="AO118" i="13" s="1"/>
  <c r="BS61" i="20"/>
  <c r="AP109" i="13" s="1"/>
  <c r="BS69" i="20"/>
  <c r="AP116" i="13" s="1"/>
  <c r="BS10" i="20"/>
  <c r="BS70" i="20"/>
  <c r="AP117" i="13" s="1"/>
  <c r="BT18" i="20"/>
  <c r="BT26" i="20"/>
  <c r="BT74" i="20"/>
  <c r="AQ121" i="13" s="1"/>
  <c r="BT14" i="20"/>
  <c r="BT12" i="20"/>
  <c r="BT27" i="20"/>
  <c r="BT16" i="20"/>
  <c r="BT31" i="20"/>
  <c r="BT28" i="20"/>
  <c r="BT23" i="20"/>
  <c r="BT29" i="20"/>
  <c r="BT30" i="20"/>
  <c r="BT32" i="20"/>
  <c r="BT34" i="20"/>
  <c r="BT35" i="20"/>
  <c r="BT20" i="20"/>
  <c r="BT25" i="20"/>
  <c r="BT15" i="20"/>
  <c r="BT33" i="20"/>
  <c r="BT22" i="20"/>
  <c r="BT11" i="20"/>
  <c r="BT13" i="20"/>
  <c r="BT19" i="20"/>
  <c r="BT17" i="20"/>
  <c r="BT24" i="20"/>
  <c r="BT21" i="20"/>
  <c r="BU8" i="20"/>
  <c r="BU112" i="20" s="1"/>
  <c r="BU6" i="20"/>
  <c r="BV5" i="20"/>
  <c r="BU4" i="20"/>
  <c r="BU7" i="20"/>
  <c r="BH56" i="16"/>
  <c r="BI56" i="16"/>
  <c r="AO58" i="15"/>
  <c r="BE58" i="15"/>
  <c r="AJ58" i="15"/>
  <c r="AH58" i="15"/>
  <c r="BD58" i="15"/>
  <c r="BB58" i="15"/>
  <c r="AW58" i="15"/>
  <c r="AR58" i="15"/>
  <c r="AX58" i="15"/>
  <c r="BA58" i="15"/>
  <c r="AI58" i="15"/>
  <c r="AZ58" i="15"/>
  <c r="AM77" i="14"/>
  <c r="BC77" i="14"/>
  <c r="AG77" i="14"/>
  <c r="BB77" i="14"/>
  <c r="BG77" i="14"/>
  <c r="BF77" i="14"/>
  <c r="AI77" i="14"/>
  <c r="BW53" i="20"/>
  <c r="AM8" i="20"/>
  <c r="BI106" i="15"/>
  <c r="BH106" i="15"/>
  <c r="BM6" i="17"/>
  <c r="BN5" i="17"/>
  <c r="BM8" i="17"/>
  <c r="BM7" i="17"/>
  <c r="BM4" i="17"/>
  <c r="BL73" i="17" a="1"/>
  <c r="BL73" i="17" s="1"/>
  <c r="X73" i="17" s="1"/>
  <c r="BL72" i="17" a="1"/>
  <c r="BL72" i="17" s="1"/>
  <c r="X72" i="17" s="1"/>
  <c r="BL71" i="17" a="1"/>
  <c r="BL71" i="17" s="1"/>
  <c r="X71" i="17" s="1"/>
  <c r="BL70" i="17" a="1"/>
  <c r="BL70" i="17" s="1"/>
  <c r="X70" i="17" s="1"/>
  <c r="BL69" i="17" a="1"/>
  <c r="BL69" i="17" s="1"/>
  <c r="X69" i="17" s="1"/>
  <c r="BL68" i="17" a="1"/>
  <c r="BL68" i="17" s="1"/>
  <c r="X68" i="17" s="1"/>
  <c r="BL67" i="17" a="1"/>
  <c r="BL67" i="17" s="1"/>
  <c r="X67" i="17" s="1"/>
  <c r="BL66" i="17" a="1"/>
  <c r="BL66" i="17" s="1"/>
  <c r="X66" i="17" s="1"/>
  <c r="BL65" i="17" a="1"/>
  <c r="BL65" i="17" s="1"/>
  <c r="X65" i="17" s="1"/>
  <c r="BL156" i="17"/>
  <c r="BL64" i="17" a="1"/>
  <c r="BL64" i="17" s="1"/>
  <c r="X64" i="17" s="1"/>
  <c r="BL155" i="17"/>
  <c r="BL63" i="17" a="1"/>
  <c r="BL63" i="17" s="1"/>
  <c r="X63" i="17" s="1"/>
  <c r="BL61" i="17" a="1"/>
  <c r="BL61" i="17" s="1"/>
  <c r="X61" i="17" s="1"/>
  <c r="BL138" i="17"/>
  <c r="BL47" i="17" a="1"/>
  <c r="BL47" i="17" s="1"/>
  <c r="BL49" i="17" a="1"/>
  <c r="BL49" i="17" s="1"/>
  <c r="BL142" i="17"/>
  <c r="BL143" i="17"/>
  <c r="BL144" i="17"/>
  <c r="BL146" i="17"/>
  <c r="BL56" i="17" a="1"/>
  <c r="BL56" i="17" s="1"/>
  <c r="X56" i="17" s="1"/>
  <c r="BL57" i="17" a="1"/>
  <c r="BL57" i="17" s="1"/>
  <c r="X57" i="17" s="1"/>
  <c r="BL59" i="17" a="1"/>
  <c r="BL59" i="17" s="1"/>
  <c r="X59" i="17" s="1"/>
  <c r="BL45" i="17" a="1"/>
  <c r="BL45" i="17" s="1"/>
  <c r="BL139" i="17"/>
  <c r="BL48" i="17" a="1"/>
  <c r="BL48" i="17" s="1"/>
  <c r="BL141" i="17"/>
  <c r="BL52" i="17" a="1"/>
  <c r="BL52" i="17" s="1"/>
  <c r="BL145" i="17"/>
  <c r="BL54" i="17" a="1"/>
  <c r="BL54" i="17" s="1"/>
  <c r="X54" i="17" s="1"/>
  <c r="BL147" i="17"/>
  <c r="BL149" i="17"/>
  <c r="BL151" i="17"/>
  <c r="BL60" i="17" a="1"/>
  <c r="BL60" i="17" s="1"/>
  <c r="X60" i="17" s="1"/>
  <c r="BL153" i="17"/>
  <c r="BL137" i="17"/>
  <c r="BL46" i="17" a="1"/>
  <c r="BL46" i="17" s="1"/>
  <c r="BL140" i="17"/>
  <c r="BL50" i="17" a="1"/>
  <c r="BL50" i="17" s="1"/>
  <c r="BL51" i="17" a="1"/>
  <c r="BL51" i="17" s="1"/>
  <c r="BL53" i="17" a="1"/>
  <c r="BL53" i="17" s="1"/>
  <c r="BL55" i="17" a="1"/>
  <c r="BL55" i="17" s="1"/>
  <c r="X55" i="17" s="1"/>
  <c r="BL148" i="17"/>
  <c r="BL58" i="17" a="1"/>
  <c r="BL58" i="17" s="1"/>
  <c r="X58" i="17" s="1"/>
  <c r="BL150" i="17"/>
  <c r="BL152" i="17"/>
  <c r="BL154" i="17"/>
  <c r="BL62" i="17" a="1"/>
  <c r="BL62" i="17" s="1"/>
  <c r="X62" i="17" s="1"/>
  <c r="BL136" i="17"/>
  <c r="AR108" i="16"/>
  <c r="AO108" i="16"/>
  <c r="AL108" i="16"/>
  <c r="AJ108" i="16"/>
  <c r="AG108" i="16"/>
  <c r="AQ108" i="16"/>
  <c r="AN108" i="16"/>
  <c r="AK108" i="16"/>
  <c r="AH108" i="16"/>
  <c r="AP108" i="16"/>
  <c r="AM108" i="16"/>
  <c r="AI108" i="16"/>
  <c r="AF108" i="16"/>
  <c r="BG108" i="16"/>
  <c r="BD108" i="16"/>
  <c r="BA108" i="16"/>
  <c r="AX108" i="16"/>
  <c r="AU108" i="16"/>
  <c r="BH108" i="16"/>
  <c r="BE108" i="16"/>
  <c r="BB108" i="16"/>
  <c r="AY108" i="16"/>
  <c r="AV108" i="16"/>
  <c r="AS108" i="16"/>
  <c r="BI108" i="16"/>
  <c r="BF108" i="16"/>
  <c r="BC108" i="16"/>
  <c r="AZ108" i="16"/>
  <c r="AW108" i="16"/>
  <c r="AT108" i="16"/>
  <c r="AV77" i="14"/>
  <c r="AH77" i="14"/>
  <c r="BH106" i="16"/>
  <c r="BI106" i="16"/>
  <c r="E107" i="16" a="1"/>
  <c r="E107" i="16" s="1"/>
  <c r="BU20" i="16"/>
  <c r="BJ19" i="16"/>
  <c r="BJ18" i="16" s="1"/>
  <c r="BJ11" i="16"/>
  <c r="BJ15" i="16"/>
  <c r="BJ14" i="16" s="1"/>
  <c r="BM16" i="16" s="1"/>
  <c r="BJ106" i="16"/>
  <c r="BH58" i="16"/>
  <c r="BF58" i="16"/>
  <c r="BJ82" i="16"/>
  <c r="BJ83" i="16"/>
  <c r="BJ85" i="16"/>
  <c r="BJ86" i="16"/>
  <c r="BJ88" i="16"/>
  <c r="BJ89" i="16"/>
  <c r="BJ92" i="16"/>
  <c r="BJ94" i="16"/>
  <c r="BJ97" i="16"/>
  <c r="BJ56" i="16"/>
  <c r="BJ100" i="16"/>
  <c r="BJ102" i="16"/>
  <c r="BJ103" i="16"/>
  <c r="BJ84" i="16"/>
  <c r="BJ51" i="16"/>
  <c r="BJ53" i="16"/>
  <c r="BJ54" i="16"/>
  <c r="BJ90" i="16"/>
  <c r="BJ93" i="16"/>
  <c r="BJ95" i="16"/>
  <c r="BJ98" i="16"/>
  <c r="BJ101" i="16"/>
  <c r="BJ105" i="16"/>
  <c r="BJ46" i="16"/>
  <c r="BJ80" i="16"/>
  <c r="BJ47" i="16"/>
  <c r="BJ81" i="16"/>
  <c r="BJ79" i="16"/>
  <c r="BJ37" i="16"/>
  <c r="BJ35" i="16"/>
  <c r="BJ28" i="16"/>
  <c r="BJ33" i="16"/>
  <c r="BJ41" i="16"/>
  <c r="BJ31" i="16"/>
  <c r="BJ29" i="16"/>
  <c r="BJ45" i="16"/>
  <c r="BJ36" i="16"/>
  <c r="BJ39" i="16"/>
  <c r="BJ43" i="16"/>
  <c r="BJ42" i="16"/>
  <c r="BJ78" i="16"/>
  <c r="BJ44" i="16"/>
  <c r="BJ32" i="16"/>
  <c r="BJ38" i="16"/>
  <c r="BJ40" i="16"/>
  <c r="BJ30" i="16"/>
  <c r="BJ34" i="16"/>
  <c r="BJ48" i="16"/>
  <c r="BJ49" i="16"/>
  <c r="BJ50" i="16"/>
  <c r="BJ52" i="16"/>
  <c r="BJ87" i="16"/>
  <c r="BJ55" i="16"/>
  <c r="BJ91" i="16"/>
  <c r="BJ96" i="16"/>
  <c r="BJ99" i="16"/>
  <c r="BJ104" i="16"/>
  <c r="BK7" i="16"/>
  <c r="BK4" i="16"/>
  <c r="BL5" i="16"/>
  <c r="BK6" i="16"/>
  <c r="BK8" i="16"/>
  <c r="BI58" i="15"/>
  <c r="BI108" i="15"/>
  <c r="AK77" i="14"/>
  <c r="AN77" i="14"/>
  <c r="AQ77" i="14"/>
  <c r="AZ77" i="14"/>
  <c r="BA77" i="14"/>
  <c r="AL77" i="14"/>
  <c r="AP77" i="14"/>
  <c r="AR77" i="14"/>
  <c r="BI77" i="14"/>
  <c r="BH108" i="15"/>
  <c r="BG108" i="15"/>
  <c r="BF108" i="15"/>
  <c r="BE108" i="15"/>
  <c r="BD108" i="15"/>
  <c r="BC108" i="15"/>
  <c r="BB108" i="15"/>
  <c r="BA108" i="15"/>
  <c r="AZ108" i="15"/>
  <c r="AY108" i="15"/>
  <c r="AX108" i="15"/>
  <c r="AW108" i="15"/>
  <c r="AV108" i="15"/>
  <c r="AU108" i="15"/>
  <c r="AT108" i="15"/>
  <c r="AS108" i="15"/>
  <c r="AR108" i="15"/>
  <c r="AQ108" i="15"/>
  <c r="AP108" i="15"/>
  <c r="AO108" i="15"/>
  <c r="AN108" i="15"/>
  <c r="AM108" i="15"/>
  <c r="AL108" i="15"/>
  <c r="BK4" i="15"/>
  <c r="BK6" i="15"/>
  <c r="BL5" i="15"/>
  <c r="BK7" i="15"/>
  <c r="BK8" i="15"/>
  <c r="AR59" i="15" s="1"/>
  <c r="BJ106" i="15"/>
  <c r="BG58" i="15"/>
  <c r="BH58" i="15"/>
  <c r="BF58" i="15"/>
  <c r="BJ105" i="15"/>
  <c r="BJ104" i="15"/>
  <c r="BJ103" i="15"/>
  <c r="BJ102" i="15"/>
  <c r="BJ101" i="15"/>
  <c r="BJ100" i="15"/>
  <c r="BJ99" i="15"/>
  <c r="BJ55" i="15"/>
  <c r="BJ98" i="15"/>
  <c r="BJ54" i="15"/>
  <c r="BJ97" i="15"/>
  <c r="BJ53" i="15"/>
  <c r="BJ52" i="15"/>
  <c r="BJ96" i="15"/>
  <c r="BJ51" i="15"/>
  <c r="BJ95" i="15"/>
  <c r="BJ50" i="15"/>
  <c r="BJ94" i="15"/>
  <c r="BJ49" i="15"/>
  <c r="BJ93" i="15"/>
  <c r="BJ48" i="15"/>
  <c r="BJ92" i="15"/>
  <c r="BJ47" i="15"/>
  <c r="BJ91" i="15"/>
  <c r="BJ46" i="15"/>
  <c r="BJ90" i="15"/>
  <c r="BJ45" i="15"/>
  <c r="BJ89" i="15"/>
  <c r="BJ44" i="15"/>
  <c r="BJ88" i="15"/>
  <c r="BJ43" i="15"/>
  <c r="BJ87" i="15"/>
  <c r="BJ42" i="15"/>
  <c r="BJ41" i="15"/>
  <c r="BJ86" i="15"/>
  <c r="BJ85" i="15"/>
  <c r="BJ40" i="15"/>
  <c r="BJ84" i="15"/>
  <c r="BJ39" i="15"/>
  <c r="BJ83" i="15"/>
  <c r="BJ38" i="15"/>
  <c r="BJ37" i="15"/>
  <c r="BJ82" i="15"/>
  <c r="BJ81" i="15"/>
  <c r="BJ36" i="15"/>
  <c r="BJ80" i="15"/>
  <c r="BJ35" i="15"/>
  <c r="BJ79" i="15"/>
  <c r="BJ34" i="15"/>
  <c r="BJ11" i="15" a="1"/>
  <c r="BJ11" i="15" s="1"/>
  <c r="BJ29" i="15"/>
  <c r="BJ30" i="15"/>
  <c r="BJ32" i="15"/>
  <c r="BJ78" i="15"/>
  <c r="BJ28" i="15"/>
  <c r="BJ15" i="15" a="1"/>
  <c r="BJ15" i="15" s="1"/>
  <c r="BJ14" i="15" s="1"/>
  <c r="BJ19" i="15" a="1"/>
  <c r="BJ19" i="15" s="1"/>
  <c r="BJ18" i="15" s="1"/>
  <c r="BJ31" i="15"/>
  <c r="BJ33" i="15"/>
  <c r="E107" i="15" a="1"/>
  <c r="E107" i="15" s="1"/>
  <c r="BU20" i="15"/>
  <c r="AF108" i="15"/>
  <c r="AG108" i="15"/>
  <c r="AH108" i="15"/>
  <c r="AI108" i="15"/>
  <c r="AJ108" i="15"/>
  <c r="AK108" i="15"/>
  <c r="D77" i="17"/>
  <c r="BG167" i="17"/>
  <c r="BF167" i="17"/>
  <c r="BD167" i="17"/>
  <c r="BC167" i="17"/>
  <c r="AY167" i="17"/>
  <c r="AT167" i="17"/>
  <c r="AQ167" i="17"/>
  <c r="AP167" i="17"/>
  <c r="AL167" i="17"/>
  <c r="AG167" i="17"/>
  <c r="AF167" i="17"/>
  <c r="AZ167" i="17"/>
  <c r="AW167" i="17"/>
  <c r="AS167" i="17"/>
  <c r="AR167" i="17"/>
  <c r="AO167" i="17"/>
  <c r="AM167" i="17"/>
  <c r="AJ167" i="17"/>
  <c r="BJ167" i="17"/>
  <c r="BE167" i="17"/>
  <c r="BB167" i="17"/>
  <c r="BA167" i="17"/>
  <c r="AX167" i="17"/>
  <c r="AN167" i="17"/>
  <c r="AK167" i="17"/>
  <c r="AH167" i="17"/>
  <c r="BH167" i="17"/>
  <c r="BI167" i="17"/>
  <c r="AV167" i="17"/>
  <c r="AU167" i="17"/>
  <c r="AI167" i="17"/>
  <c r="D168" i="17"/>
  <c r="BJ59" i="14"/>
  <c r="BJ49" i="14"/>
  <c r="BJ50" i="14"/>
  <c r="BJ47" i="14"/>
  <c r="BJ48" i="14"/>
  <c r="BJ51" i="14"/>
  <c r="BJ52" i="14"/>
  <c r="BJ53" i="14"/>
  <c r="BJ54" i="14"/>
  <c r="BJ55" i="14"/>
  <c r="BJ56" i="14"/>
  <c r="BJ57" i="14"/>
  <c r="BJ58" i="14"/>
  <c r="BJ60" i="14"/>
  <c r="BJ61" i="14"/>
  <c r="BJ62" i="14"/>
  <c r="BJ64" i="14"/>
  <c r="BJ65" i="14"/>
  <c r="BJ63" i="14"/>
  <c r="BK8" i="14"/>
  <c r="BK6" i="14"/>
  <c r="BK4" i="14"/>
  <c r="BK7" i="14"/>
  <c r="BL5" i="14"/>
  <c r="AQ154" i="13"/>
  <c r="AU25" i="16"/>
  <c r="AV12" i="16"/>
  <c r="AU22" i="16"/>
  <c r="AU27" i="14" s="1"/>
  <c r="D110" i="16"/>
  <c r="AC8" i="16"/>
  <c r="D65" i="15"/>
  <c r="AV12" i="15"/>
  <c r="AU22" i="15"/>
  <c r="AU25" i="14" s="1"/>
  <c r="AU25" i="15"/>
  <c r="D110" i="15"/>
  <c r="AC8" i="15"/>
  <c r="D82" i="14"/>
  <c r="AC8" i="14"/>
  <c r="AQ155" i="13"/>
  <c r="AQ164" i="13"/>
  <c r="AQ163" i="13"/>
  <c r="AQ160" i="13"/>
  <c r="AQ159" i="13"/>
  <c r="AQ150" i="13"/>
  <c r="BI7" i="9"/>
  <c r="BI8" i="9"/>
  <c r="BI4" i="9"/>
  <c r="BJ5" i="9"/>
  <c r="BI6" i="9"/>
  <c r="BH4" i="11"/>
  <c r="BH8" i="11"/>
  <c r="BH7" i="11"/>
  <c r="BH6" i="11"/>
  <c r="BI5" i="11"/>
  <c r="BU101" i="12"/>
  <c r="BU106" i="12"/>
  <c r="AS105" i="13" s="1"/>
  <c r="BU105" i="12"/>
  <c r="AS104" i="13" s="1"/>
  <c r="BU104" i="12"/>
  <c r="BU103" i="12"/>
  <c r="AS102" i="13" s="1"/>
  <c r="BU102" i="12"/>
  <c r="AS101" i="13" s="1"/>
  <c r="BU97" i="12"/>
  <c r="AS99" i="13" s="1"/>
  <c r="BU93" i="12"/>
  <c r="AS95" i="13" s="1"/>
  <c r="BU90" i="12"/>
  <c r="BU92" i="12"/>
  <c r="BU91" i="12"/>
  <c r="AS93" i="13" s="1"/>
  <c r="BU89" i="12"/>
  <c r="BU96" i="12"/>
  <c r="BU95" i="12"/>
  <c r="AS97" i="13" s="1"/>
  <c r="BU94" i="12"/>
  <c r="AS96" i="13" s="1"/>
  <c r="BU85" i="12"/>
  <c r="AS90" i="13" s="1"/>
  <c r="BU84" i="12"/>
  <c r="AS89" i="13" s="1"/>
  <c r="BU81" i="12"/>
  <c r="AS86" i="13" s="1"/>
  <c r="BU80" i="12"/>
  <c r="BU79" i="12"/>
  <c r="AS84" i="13" s="1"/>
  <c r="BU78" i="12"/>
  <c r="AS83" i="13" s="1"/>
  <c r="BU75" i="12"/>
  <c r="BU73" i="12"/>
  <c r="AS77" i="13" s="1"/>
  <c r="BU83" i="12"/>
  <c r="AS88" i="13" s="1"/>
  <c r="BU82" i="12"/>
  <c r="AS87" i="13" s="1"/>
  <c r="BU77" i="12"/>
  <c r="AS82" i="13" s="1"/>
  <c r="BU76" i="12"/>
  <c r="BU64" i="12"/>
  <c r="AS74" i="13" s="1"/>
  <c r="BU59" i="12"/>
  <c r="AS72" i="13" s="1"/>
  <c r="BU58" i="12"/>
  <c r="BU40" i="12"/>
  <c r="AS58" i="13" s="1"/>
  <c r="BU41" i="12"/>
  <c r="AS59" i="13" s="1"/>
  <c r="BU51" i="12"/>
  <c r="AS69" i="13" s="1"/>
  <c r="BU30" i="12"/>
  <c r="AS48" i="13" s="1"/>
  <c r="BU50" i="12"/>
  <c r="AS68" i="13" s="1"/>
  <c r="BU32" i="12"/>
  <c r="AS50" i="13" s="1"/>
  <c r="BU49" i="12"/>
  <c r="AS67" i="13" s="1"/>
  <c r="BU33" i="12"/>
  <c r="AS51" i="13" s="1"/>
  <c r="BU48" i="12"/>
  <c r="BU34" i="12"/>
  <c r="AS52" i="13" s="1"/>
  <c r="BU47" i="12"/>
  <c r="AS65" i="13" s="1"/>
  <c r="BU35" i="12"/>
  <c r="AS53" i="13" s="1"/>
  <c r="BU46" i="12"/>
  <c r="AS64" i="13" s="1"/>
  <c r="BU52" i="12"/>
  <c r="AS70" i="13" s="1"/>
  <c r="BU28" i="12"/>
  <c r="BU36" i="12"/>
  <c r="BU37" i="12"/>
  <c r="AS55" i="13" s="1"/>
  <c r="BU38" i="12"/>
  <c r="AS56" i="13" s="1"/>
  <c r="BU39" i="12"/>
  <c r="AS57" i="13" s="1"/>
  <c r="BU31" i="12"/>
  <c r="AS49" i="13" s="1"/>
  <c r="BU29" i="12"/>
  <c r="BU21" i="12"/>
  <c r="AS45" i="13" s="1"/>
  <c r="BU20" i="12"/>
  <c r="AS44" i="13" s="1"/>
  <c r="BL90" i="30" s="1"/>
  <c r="X90" i="30" s="1"/>
  <c r="BU19" i="12"/>
  <c r="AS43" i="13" s="1"/>
  <c r="BU18" i="12"/>
  <c r="BU14" i="12"/>
  <c r="BU13" i="12"/>
  <c r="BU12" i="12"/>
  <c r="Z8" i="11"/>
  <c r="BU7" i="12"/>
  <c r="BU4" i="12"/>
  <c r="BU8" i="12"/>
  <c r="BV5" i="12"/>
  <c r="BV13" i="12" s="1"/>
  <c r="BU6" i="12"/>
  <c r="AR4" i="13"/>
  <c r="AR7" i="13"/>
  <c r="AS5" i="13"/>
  <c r="AR8" i="13"/>
  <c r="AR6" i="13"/>
  <c r="AK8" i="12"/>
  <c r="BJ5" i="10"/>
  <c r="BI4" i="10"/>
  <c r="BI8" i="10"/>
  <c r="BI7" i="10"/>
  <c r="BI6" i="10"/>
  <c r="BQ48" i="8"/>
  <c r="BQ50" i="8"/>
  <c r="BQ51" i="8"/>
  <c r="BQ52" i="8"/>
  <c r="BR49" i="8"/>
  <c r="AA8" i="9"/>
  <c r="AI11" i="8"/>
  <c r="AI78" i="8"/>
  <c r="AI52" i="8"/>
  <c r="BR7" i="8"/>
  <c r="BR15" i="8" s="1" a="1"/>
  <c r="BR15" i="8" s="1"/>
  <c r="BS8" i="8"/>
  <c r="BR11" i="8"/>
  <c r="BR10" i="8"/>
  <c r="BR9" i="8"/>
  <c r="BQ78" i="8"/>
  <c r="BQ77" i="8"/>
  <c r="BQ76" i="8"/>
  <c r="BQ74" i="8"/>
  <c r="BR75" i="8"/>
  <c r="I72" i="17" l="1"/>
  <c r="H72" i="17"/>
  <c r="AS73" i="17" a="1"/>
  <c r="AS73" i="17" s="1"/>
  <c r="AW73" i="17" a="1"/>
  <c r="AW73" i="17" s="1"/>
  <c r="S73" i="17" s="1"/>
  <c r="AP73" i="17" a="1"/>
  <c r="AP73" i="17" s="1"/>
  <c r="AX73" i="17" a="1"/>
  <c r="AX73" i="17" s="1"/>
  <c r="BF73" i="17" a="1"/>
  <c r="BF73" i="17" s="1"/>
  <c r="V73" i="17" s="1"/>
  <c r="AY73" i="17" a="1"/>
  <c r="AY73" i="17" s="1"/>
  <c r="BG73" i="17" a="1"/>
  <c r="BG73" i="17" s="1"/>
  <c r="AJ73" i="17" a="1"/>
  <c r="AJ73" i="17" s="1"/>
  <c r="AR73" i="17" a="1"/>
  <c r="AR73" i="17" s="1"/>
  <c r="AZ73" i="17" a="1"/>
  <c r="AZ73" i="17" s="1"/>
  <c r="T73" i="17" s="1"/>
  <c r="BH73" i="17" a="1"/>
  <c r="BH73" i="17" s="1"/>
  <c r="AG65" i="20"/>
  <c r="AP113" i="13"/>
  <c r="BA73" i="17" a="1"/>
  <c r="BA73" i="17" s="1"/>
  <c r="BI73" i="17" a="1"/>
  <c r="BI73" i="17" s="1"/>
  <c r="W73" i="17" s="1"/>
  <c r="AN115" i="13"/>
  <c r="AS41" i="13"/>
  <c r="AG63" i="20"/>
  <c r="AP111" i="13"/>
  <c r="AL73" i="17" a="1"/>
  <c r="AL73" i="17" s="1"/>
  <c r="AT73" i="17" a="1"/>
  <c r="AT73" i="17" s="1"/>
  <c r="R73" i="17" s="1"/>
  <c r="BS85" i="20"/>
  <c r="AP130" i="13" s="1"/>
  <c r="AP128" i="13"/>
  <c r="BB73" i="17" a="1"/>
  <c r="BB73" i="17" s="1"/>
  <c r="BJ73" i="17" a="1"/>
  <c r="BJ73" i="17" s="1"/>
  <c r="BH42" i="17"/>
  <c r="AM73" i="17" a="1"/>
  <c r="AM73" i="17" s="1"/>
  <c r="AU73" i="17" a="1"/>
  <c r="AU73" i="17" s="1"/>
  <c r="BC73" i="17" a="1"/>
  <c r="BC73" i="17" s="1"/>
  <c r="U73" i="17" s="1"/>
  <c r="AF73" i="17" a="1"/>
  <c r="AF73" i="17" s="1"/>
  <c r="AN73" i="17" a="1"/>
  <c r="AN73" i="17" s="1"/>
  <c r="P73" i="17" s="1"/>
  <c r="AV73" i="17" a="1"/>
  <c r="AV73" i="17" s="1"/>
  <c r="BD73" i="17" a="1"/>
  <c r="BD73" i="17" s="1"/>
  <c r="AG73" i="17" a="1"/>
  <c r="AG73" i="17" s="1"/>
  <c r="BR82" i="20"/>
  <c r="AS40" i="13"/>
  <c r="BW5" i="12"/>
  <c r="BV63" i="12"/>
  <c r="AS85" i="13"/>
  <c r="AS28" i="13" a="1"/>
  <c r="AS28" i="13" s="1"/>
  <c r="AS103" i="13"/>
  <c r="AS34" i="13" a="1"/>
  <c r="AS34" i="13" s="1"/>
  <c r="AS54" i="13"/>
  <c r="AS18" i="13" a="1"/>
  <c r="AS18" i="13" s="1"/>
  <c r="AS71" i="13"/>
  <c r="AS21" i="13" a="1"/>
  <c r="AS21" i="13" s="1"/>
  <c r="AS151" i="13" s="1"/>
  <c r="BM105" i="17"/>
  <c r="BL107" i="17"/>
  <c r="BL109" i="17" s="1"/>
  <c r="BL103" i="17" s="1"/>
  <c r="BL99" i="17"/>
  <c r="BL101" i="17" s="1"/>
  <c r="BL96" i="17" s="1"/>
  <c r="AS46" i="13"/>
  <c r="AS16" i="13" a="1"/>
  <c r="AS16" i="13" s="1"/>
  <c r="AS100" i="13"/>
  <c r="AS33" i="13" a="1"/>
  <c r="AS33" i="13" s="1"/>
  <c r="AS38" i="13"/>
  <c r="AS12" i="13" a="1"/>
  <c r="AS12" i="13" s="1"/>
  <c r="AS148" i="13" s="1"/>
  <c r="AS81" i="13"/>
  <c r="AS27" i="13" a="1"/>
  <c r="AS27" i="13" s="1"/>
  <c r="AS98" i="13"/>
  <c r="AS31" i="13" a="1"/>
  <c r="AS31" i="13" s="1"/>
  <c r="AS42" i="13"/>
  <c r="AS15" i="13" a="1"/>
  <c r="AS15" i="13" s="1"/>
  <c r="AS149" i="13" s="1"/>
  <c r="AS66" i="13"/>
  <c r="AS19" i="13" a="1"/>
  <c r="AS19" i="13" s="1"/>
  <c r="AS91" i="13"/>
  <c r="AS29" i="13" a="1"/>
  <c r="AS29" i="13" s="1"/>
  <c r="AS94" i="13"/>
  <c r="AS32" i="13" a="1"/>
  <c r="AS32" i="13" s="1"/>
  <c r="AS92" i="13"/>
  <c r="AS30" i="13" a="1"/>
  <c r="AS30" i="13" s="1"/>
  <c r="AS60" i="13"/>
  <c r="AS17" i="13" a="1"/>
  <c r="AS17" i="13" s="1"/>
  <c r="AS47" i="13"/>
  <c r="AS13" i="13" a="1"/>
  <c r="AS13" i="13" s="1"/>
  <c r="AS80" i="13"/>
  <c r="AS24" i="13" a="1"/>
  <c r="AS24" i="13" s="1"/>
  <c r="BV12" i="12"/>
  <c r="BV14" i="12"/>
  <c r="AT41" i="13" s="1"/>
  <c r="BJ59" i="15"/>
  <c r="AX59" i="15"/>
  <c r="BS87" i="20"/>
  <c r="AP132" i="13" s="1"/>
  <c r="BS86" i="20"/>
  <c r="AP131" i="13" s="1"/>
  <c r="BA59" i="15"/>
  <c r="AZ59" i="15"/>
  <c r="AW59" i="15"/>
  <c r="AV59" i="15"/>
  <c r="BC59" i="15"/>
  <c r="BB59" i="15"/>
  <c r="Q73" i="17"/>
  <c r="H73" i="17"/>
  <c r="BT107" i="20"/>
  <c r="BT90" i="20"/>
  <c r="AQ134" i="13" s="1"/>
  <c r="BT108" i="20"/>
  <c r="AG62" i="20"/>
  <c r="BI41" i="17"/>
  <c r="E74" i="17" s="1" a="1"/>
  <c r="E74" i="17" s="1"/>
  <c r="BM74" i="17" s="1" a="1"/>
  <c r="BM74" i="17" s="1"/>
  <c r="BH59" i="15"/>
  <c r="AL59" i="15"/>
  <c r="BS109" i="20" a="1"/>
  <c r="BS109" i="20" s="1"/>
  <c r="BS111" i="20" a="1"/>
  <c r="BS111" i="20" s="1"/>
  <c r="BS110" i="20"/>
  <c r="BT83" i="20"/>
  <c r="BT76" i="20"/>
  <c r="AQ122" i="13" s="1"/>
  <c r="BT77" i="20"/>
  <c r="AQ123" i="13" s="1"/>
  <c r="BT91" i="20"/>
  <c r="AQ135" i="13" s="1"/>
  <c r="BV42" i="12"/>
  <c r="BV43" i="12"/>
  <c r="AT61" i="13" s="1"/>
  <c r="BV44" i="12"/>
  <c r="AT62" i="13" s="1"/>
  <c r="BV45" i="12"/>
  <c r="AT63" i="13" s="1"/>
  <c r="BP114" i="20"/>
  <c r="BV52" i="20"/>
  <c r="AR150" i="13"/>
  <c r="AR159" i="13"/>
  <c r="BL5" i="22"/>
  <c r="BK4" i="22"/>
  <c r="BK6" i="22"/>
  <c r="BK8" i="22"/>
  <c r="BK7" i="22"/>
  <c r="BJ67" i="22"/>
  <c r="BI67" i="22"/>
  <c r="BH67" i="22"/>
  <c r="BG67" i="22"/>
  <c r="BF67" i="22"/>
  <c r="BE67" i="22"/>
  <c r="BD67" i="22"/>
  <c r="BC67" i="22"/>
  <c r="BB67" i="22"/>
  <c r="BA67" i="22"/>
  <c r="AZ67" i="22"/>
  <c r="AY67" i="22"/>
  <c r="AX67" i="22"/>
  <c r="AW67" i="22"/>
  <c r="AV67" i="22"/>
  <c r="AU67" i="22"/>
  <c r="AT67" i="22"/>
  <c r="AS67" i="22"/>
  <c r="AR67" i="22"/>
  <c r="AQ67" i="22"/>
  <c r="AP67" i="22"/>
  <c r="AO67" i="22"/>
  <c r="AN67" i="22"/>
  <c r="AM67" i="22"/>
  <c r="AL67" i="22"/>
  <c r="AK67" i="22"/>
  <c r="AJ67" i="22"/>
  <c r="AI67" i="22"/>
  <c r="AH67" i="22"/>
  <c r="D68" i="22"/>
  <c r="AG67" i="22"/>
  <c r="AF67" i="22"/>
  <c r="AE67"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D119" i="22"/>
  <c r="AF118" i="22"/>
  <c r="AE118" i="22"/>
  <c r="AG118" i="22"/>
  <c r="BS96" i="20"/>
  <c r="BW54" i="20"/>
  <c r="BT65" i="20"/>
  <c r="AQ113" i="13" s="1"/>
  <c r="BT64" i="20"/>
  <c r="AQ112" i="13" s="1"/>
  <c r="BT63" i="20"/>
  <c r="AQ111" i="13" s="1"/>
  <c r="BT62" i="20"/>
  <c r="BQ89" i="20"/>
  <c r="BQ75" i="20"/>
  <c r="BR78" i="20"/>
  <c r="AO124" i="13" s="1"/>
  <c r="BR79" i="20"/>
  <c r="AO125" i="13" s="1"/>
  <c r="BR80" i="20"/>
  <c r="AO126" i="13" s="1"/>
  <c r="BR93" i="20"/>
  <c r="AO137" i="13" s="1"/>
  <c r="BR94" i="20"/>
  <c r="AO138" i="13" s="1"/>
  <c r="BR92" i="20"/>
  <c r="AO136" i="13" s="1"/>
  <c r="BT99" i="20"/>
  <c r="AQ142" i="13" s="1"/>
  <c r="BT100" i="20"/>
  <c r="AQ143" i="13" s="1"/>
  <c r="BT101" i="20"/>
  <c r="AQ144" i="13" s="1"/>
  <c r="BS60" i="20"/>
  <c r="BU81" i="20"/>
  <c r="AR127" i="13" s="1"/>
  <c r="BU88" i="20"/>
  <c r="AR133" i="13" s="1"/>
  <c r="BU95" i="20"/>
  <c r="AR139" i="13" s="1"/>
  <c r="BU102" i="20"/>
  <c r="AR145" i="13" s="1"/>
  <c r="BW57" i="20"/>
  <c r="BW97" i="20" s="1"/>
  <c r="AT140" i="13" s="1"/>
  <c r="BW56" i="20"/>
  <c r="BW55" i="20"/>
  <c r="BR106" i="20"/>
  <c r="BR68" i="20"/>
  <c r="BS73" i="20"/>
  <c r="AP120" i="13" s="1"/>
  <c r="BS71" i="20"/>
  <c r="AP118" i="13" s="1"/>
  <c r="BS72" i="20"/>
  <c r="AP119" i="13" s="1"/>
  <c r="BS115" i="20"/>
  <c r="BT70" i="20"/>
  <c r="AQ117" i="13" s="1"/>
  <c r="BT61" i="20"/>
  <c r="AQ109" i="13" s="1"/>
  <c r="BT69" i="20"/>
  <c r="AQ116" i="13" s="1"/>
  <c r="BT10" i="20"/>
  <c r="BU22" i="20"/>
  <c r="BU26" i="20"/>
  <c r="BU30" i="20"/>
  <c r="BU21" i="20"/>
  <c r="BU13" i="20"/>
  <c r="BU24" i="20"/>
  <c r="BU25" i="20"/>
  <c r="BU23" i="20"/>
  <c r="BU27" i="20"/>
  <c r="BU17" i="20"/>
  <c r="BU33" i="20"/>
  <c r="BU19" i="20"/>
  <c r="BU29" i="20"/>
  <c r="BU32" i="20"/>
  <c r="BU12" i="20"/>
  <c r="BU35" i="20"/>
  <c r="BU11" i="20"/>
  <c r="BU31" i="20"/>
  <c r="BU74" i="20"/>
  <c r="AR121" i="13" s="1"/>
  <c r="BU20" i="20"/>
  <c r="BU15" i="20"/>
  <c r="BU16" i="20"/>
  <c r="BU34" i="20"/>
  <c r="BU28" i="20"/>
  <c r="BU18" i="20"/>
  <c r="BU14" i="20"/>
  <c r="BV4" i="20"/>
  <c r="BW5" i="20"/>
  <c r="BV8" i="20"/>
  <c r="BV112" i="20" s="1"/>
  <c r="BV6" i="20"/>
  <c r="BV7" i="20"/>
  <c r="BX53" i="20"/>
  <c r="BN6" i="17"/>
  <c r="BN4" i="17"/>
  <c r="BO5" i="17"/>
  <c r="BN7" i="17"/>
  <c r="BN8" i="17"/>
  <c r="BM73" i="17" a="1"/>
  <c r="BM73" i="17" s="1"/>
  <c r="BM72" i="17" a="1"/>
  <c r="BM72" i="17" s="1"/>
  <c r="BM71" i="17" a="1"/>
  <c r="BM71" i="17" s="1"/>
  <c r="BM70" i="17" a="1"/>
  <c r="BM70" i="17" s="1"/>
  <c r="BM69" i="17" a="1"/>
  <c r="BM69" i="17" s="1"/>
  <c r="BM68" i="17" a="1"/>
  <c r="BM68" i="17" s="1"/>
  <c r="BM67" i="17" a="1"/>
  <c r="BM67" i="17" s="1"/>
  <c r="BM66" i="17" a="1"/>
  <c r="BM66" i="17" s="1"/>
  <c r="BM157" i="17"/>
  <c r="BM65" i="17" a="1"/>
  <c r="BM65" i="17" s="1"/>
  <c r="BM64" i="17" a="1"/>
  <c r="BM64" i="17" s="1"/>
  <c r="BM156" i="17"/>
  <c r="BM62" i="17" a="1"/>
  <c r="BM62" i="17" s="1"/>
  <c r="BM45" i="17" a="1"/>
  <c r="BM45" i="17" s="1"/>
  <c r="BM138" i="17"/>
  <c r="BM140" i="17"/>
  <c r="BM142" i="17"/>
  <c r="BM143" i="17"/>
  <c r="BM144" i="17"/>
  <c r="BM53" i="17" a="1"/>
  <c r="BM53" i="17" s="1"/>
  <c r="BM55" i="17" a="1"/>
  <c r="BM55" i="17" s="1"/>
  <c r="BM56" i="17" a="1"/>
  <c r="BM56" i="17" s="1"/>
  <c r="BM149" i="17"/>
  <c r="BM59" i="17" a="1"/>
  <c r="BM59" i="17" s="1"/>
  <c r="BM151" i="17"/>
  <c r="BM60" i="17" a="1"/>
  <c r="BM60" i="17" s="1"/>
  <c r="BM153" i="17"/>
  <c r="BM137" i="17"/>
  <c r="BM46" i="17" a="1"/>
  <c r="BM46" i="17" s="1"/>
  <c r="BM139" i="17"/>
  <c r="BM49" i="17" a="1"/>
  <c r="BM49" i="17" s="1"/>
  <c r="BM141" i="17"/>
  <c r="BM51" i="17" a="1"/>
  <c r="BM51" i="17" s="1"/>
  <c r="BM146" i="17"/>
  <c r="BM148" i="17"/>
  <c r="BM58" i="17" a="1"/>
  <c r="BM58" i="17" s="1"/>
  <c r="BM150" i="17"/>
  <c r="BM152" i="17"/>
  <c r="BM61" i="17" a="1"/>
  <c r="BM61" i="17" s="1"/>
  <c r="BM154" i="17"/>
  <c r="BM136" i="17"/>
  <c r="BM47" i="17" a="1"/>
  <c r="BM47" i="17" s="1"/>
  <c r="BM48" i="17" a="1"/>
  <c r="BM48" i="17" s="1"/>
  <c r="BM50" i="17" a="1"/>
  <c r="BM50" i="17" s="1"/>
  <c r="BM52" i="17" a="1"/>
  <c r="BM52" i="17" s="1"/>
  <c r="BM145" i="17"/>
  <c r="BM54" i="17" a="1"/>
  <c r="BM54" i="17" s="1"/>
  <c r="BM147" i="17"/>
  <c r="BM57" i="17" a="1"/>
  <c r="BM57" i="17" s="1"/>
  <c r="BM155" i="17"/>
  <c r="BM63" i="17" a="1"/>
  <c r="BM63" i="17" s="1"/>
  <c r="BI109" i="16"/>
  <c r="BG109" i="16"/>
  <c r="BE109" i="16"/>
  <c r="BC109" i="16"/>
  <c r="BJ109" i="16"/>
  <c r="BH109" i="16"/>
  <c r="BF109" i="16"/>
  <c r="BD109" i="16"/>
  <c r="BB109" i="16"/>
  <c r="BF59" i="15"/>
  <c r="BE59" i="15"/>
  <c r="AY59" i="15"/>
  <c r="AU109" i="15"/>
  <c r="AH109" i="15"/>
  <c r="BI109" i="15"/>
  <c r="BF109" i="15"/>
  <c r="BA109" i="15"/>
  <c r="AY109" i="15"/>
  <c r="AV109" i="15"/>
  <c r="AL109" i="15"/>
  <c r="BJ109" i="15"/>
  <c r="BH109" i="15"/>
  <c r="BC109" i="15"/>
  <c r="AZ109" i="15"/>
  <c r="AW109" i="15"/>
  <c r="AI109" i="15"/>
  <c r="BD109" i="15"/>
  <c r="AR109" i="15"/>
  <c r="AQ109" i="15"/>
  <c r="AN109" i="15"/>
  <c r="BB109" i="15"/>
  <c r="AM109" i="15"/>
  <c r="BG109" i="15"/>
  <c r="AX109" i="15"/>
  <c r="AP109" i="15"/>
  <c r="AG109" i="15"/>
  <c r="BE109" i="15"/>
  <c r="AS109" i="15"/>
  <c r="AJ109" i="15"/>
  <c r="AF109" i="15"/>
  <c r="AT109" i="15"/>
  <c r="AO109" i="15"/>
  <c r="AK109" i="15"/>
  <c r="BJ107" i="16"/>
  <c r="BI107" i="16"/>
  <c r="E108" i="16" a="1"/>
  <c r="E108" i="16" s="1"/>
  <c r="BV20" i="16"/>
  <c r="BK19" i="16"/>
  <c r="BK18" i="16" s="1"/>
  <c r="BK15" i="16"/>
  <c r="BK14" i="16" s="1"/>
  <c r="BK11" i="16"/>
  <c r="BL4" i="16"/>
  <c r="BL6" i="16"/>
  <c r="BM5" i="16"/>
  <c r="BL7" i="16"/>
  <c r="BL8" i="16"/>
  <c r="BK107" i="16"/>
  <c r="BE59" i="16"/>
  <c r="BG59" i="16"/>
  <c r="BK93" i="16"/>
  <c r="BK95" i="16"/>
  <c r="BK97" i="16"/>
  <c r="BK104" i="16"/>
  <c r="BK106" i="16"/>
  <c r="BK80" i="16"/>
  <c r="BK46" i="16"/>
  <c r="BK79" i="16"/>
  <c r="BK45" i="16"/>
  <c r="BK33" i="16"/>
  <c r="BK40" i="16"/>
  <c r="BK30" i="16"/>
  <c r="BK41" i="16"/>
  <c r="BK35" i="16"/>
  <c r="BK38" i="16"/>
  <c r="BK43" i="16"/>
  <c r="BK39" i="16"/>
  <c r="BK78" i="16"/>
  <c r="BK28" i="16"/>
  <c r="BK42" i="16"/>
  <c r="BK48" i="16"/>
  <c r="BK47" i="16"/>
  <c r="BK81" i="16"/>
  <c r="BK82" i="16"/>
  <c r="BK32" i="16"/>
  <c r="BK37" i="16"/>
  <c r="BK34" i="16"/>
  <c r="BK44" i="16"/>
  <c r="BK36" i="16"/>
  <c r="BK31" i="16"/>
  <c r="BK29" i="16"/>
  <c r="BK49" i="16"/>
  <c r="BK83" i="16"/>
  <c r="BK84" i="16"/>
  <c r="BK50" i="16"/>
  <c r="BK51" i="16"/>
  <c r="BK85" i="16"/>
  <c r="BK52" i="16"/>
  <c r="BK86" i="16"/>
  <c r="BK87" i="16"/>
  <c r="BK53" i="16"/>
  <c r="BK54" i="16"/>
  <c r="BK88" i="16"/>
  <c r="BK55" i="16"/>
  <c r="BK89" i="16"/>
  <c r="BK56" i="16"/>
  <c r="BK90" i="16"/>
  <c r="BK91" i="16"/>
  <c r="BK92" i="16"/>
  <c r="BK94" i="16"/>
  <c r="BK96" i="16"/>
  <c r="BK98" i="16"/>
  <c r="BK99" i="16"/>
  <c r="BK100" i="16"/>
  <c r="BK101" i="16"/>
  <c r="BK102" i="16"/>
  <c r="BK103" i="16"/>
  <c r="BK105" i="16"/>
  <c r="BI59" i="16"/>
  <c r="BH59" i="16"/>
  <c r="BF59" i="16"/>
  <c r="BA109" i="16"/>
  <c r="AZ109" i="16"/>
  <c r="AY109" i="16"/>
  <c r="AX109" i="16"/>
  <c r="AW109" i="16"/>
  <c r="AV109" i="16"/>
  <c r="AU109" i="16"/>
  <c r="AT109" i="16"/>
  <c r="AS109" i="16"/>
  <c r="AR109" i="16"/>
  <c r="AQ109" i="16"/>
  <c r="AP109" i="16"/>
  <c r="AO109" i="16"/>
  <c r="AN109" i="16"/>
  <c r="AM109" i="16"/>
  <c r="AL109" i="16"/>
  <c r="AK109" i="16"/>
  <c r="AJ109" i="16"/>
  <c r="AI109" i="16"/>
  <c r="AH109" i="16"/>
  <c r="AG109" i="16"/>
  <c r="AF109" i="16"/>
  <c r="BJ59" i="16"/>
  <c r="AR155" i="13"/>
  <c r="BV20" i="15"/>
  <c r="E108" i="15" a="1"/>
  <c r="E108" i="15" s="1"/>
  <c r="BL4" i="15"/>
  <c r="BL6" i="15"/>
  <c r="BL7" i="15"/>
  <c r="BM5" i="15"/>
  <c r="BL8" i="15"/>
  <c r="BK60" i="15" s="1"/>
  <c r="AF59" i="15"/>
  <c r="AI59" i="15"/>
  <c r="BG59" i="15"/>
  <c r="AK59" i="15"/>
  <c r="BK107" i="15"/>
  <c r="AN59" i="15"/>
  <c r="AM59" i="15"/>
  <c r="AG59" i="15"/>
  <c r="AJ59" i="15"/>
  <c r="AH59" i="15"/>
  <c r="BI59" i="15"/>
  <c r="BK106" i="15"/>
  <c r="BK105" i="15"/>
  <c r="BK104" i="15"/>
  <c r="BK103" i="15"/>
  <c r="BK102" i="15"/>
  <c r="BK101" i="15"/>
  <c r="BK100" i="15"/>
  <c r="BK56" i="15"/>
  <c r="BK99" i="15"/>
  <c r="BK55" i="15"/>
  <c r="BK98" i="15"/>
  <c r="BK54" i="15"/>
  <c r="BK53" i="15"/>
  <c r="BK97" i="15"/>
  <c r="BK52" i="15"/>
  <c r="BK96" i="15"/>
  <c r="BK51" i="15"/>
  <c r="BK95" i="15"/>
  <c r="BK50" i="15"/>
  <c r="BK94" i="15"/>
  <c r="BK49" i="15"/>
  <c r="BK93" i="15"/>
  <c r="BK48" i="15"/>
  <c r="BK92" i="15"/>
  <c r="BK47" i="15"/>
  <c r="BK91" i="15"/>
  <c r="BK46" i="15"/>
  <c r="BK90" i="15"/>
  <c r="BK45" i="15"/>
  <c r="BK89" i="15"/>
  <c r="BK44" i="15"/>
  <c r="BK88" i="15"/>
  <c r="BK43" i="15"/>
  <c r="BK87" i="15"/>
  <c r="BK42" i="15"/>
  <c r="BK41" i="15"/>
  <c r="BK86" i="15"/>
  <c r="BK85" i="15"/>
  <c r="BK40" i="15"/>
  <c r="BK84" i="15"/>
  <c r="BK39" i="15"/>
  <c r="BK83" i="15"/>
  <c r="BK38" i="15"/>
  <c r="BK37" i="15"/>
  <c r="BK82" i="15"/>
  <c r="BK81" i="15"/>
  <c r="BK36" i="15"/>
  <c r="BK80" i="15"/>
  <c r="BK35" i="15"/>
  <c r="BK79" i="15"/>
  <c r="BK34" i="15"/>
  <c r="BK28" i="15"/>
  <c r="BK33" i="15"/>
  <c r="BK19" i="15" a="1"/>
  <c r="BK19" i="15" s="1"/>
  <c r="BK18" i="15" s="1"/>
  <c r="BK29" i="15"/>
  <c r="BK30" i="15"/>
  <c r="BK31" i="15"/>
  <c r="BK32" i="15"/>
  <c r="BK78" i="15"/>
  <c r="BK15" i="15" a="1"/>
  <c r="BK15" i="15" s="1"/>
  <c r="BK14" i="15" s="1"/>
  <c r="BN16" i="15" s="1"/>
  <c r="BK11" i="15" a="1"/>
  <c r="BK11" i="15" s="1"/>
  <c r="BM16" i="15"/>
  <c r="BJ107" i="15"/>
  <c r="BI107" i="15"/>
  <c r="D78" i="17"/>
  <c r="BF168" i="17"/>
  <c r="AZ168" i="17"/>
  <c r="AV168" i="17"/>
  <c r="AU168" i="17"/>
  <c r="AK168" i="17"/>
  <c r="AY168" i="17"/>
  <c r="AR168" i="17"/>
  <c r="AQ168" i="17"/>
  <c r="BH168" i="17"/>
  <c r="BG168" i="17"/>
  <c r="BE168" i="17"/>
  <c r="BC168" i="17"/>
  <c r="BB168" i="17"/>
  <c r="AW168" i="17"/>
  <c r="AS168" i="17"/>
  <c r="AN168" i="17"/>
  <c r="AM168" i="17"/>
  <c r="AL168" i="17"/>
  <c r="AI168" i="17"/>
  <c r="AF168" i="17"/>
  <c r="BK168" i="17"/>
  <c r="BJ168" i="17"/>
  <c r="BI168" i="17"/>
  <c r="BD168" i="17"/>
  <c r="BA168" i="17"/>
  <c r="AX168" i="17"/>
  <c r="AT168" i="17"/>
  <c r="AP168" i="17"/>
  <c r="AO168" i="17"/>
  <c r="AJ168" i="17"/>
  <c r="AH168" i="17"/>
  <c r="AG168" i="17"/>
  <c r="D169" i="17"/>
  <c r="AN78" i="14"/>
  <c r="BI78" i="14"/>
  <c r="BG78" i="14"/>
  <c r="AQ78" i="14"/>
  <c r="AH78" i="14"/>
  <c r="BH78" i="14"/>
  <c r="AY78" i="14"/>
  <c r="AT78" i="14"/>
  <c r="AX78" i="14"/>
  <c r="AZ78" i="14"/>
  <c r="AW78" i="14"/>
  <c r="BA78" i="14"/>
  <c r="BF78" i="14"/>
  <c r="AR78" i="14"/>
  <c r="AJ78" i="14"/>
  <c r="BC78" i="14"/>
  <c r="AP78" i="14"/>
  <c r="AS78" i="14"/>
  <c r="AI78" i="14"/>
  <c r="BB78" i="14"/>
  <c r="AU78" i="14"/>
  <c r="AL78" i="14"/>
  <c r="AV78" i="14"/>
  <c r="AO78" i="14"/>
  <c r="AM78" i="14"/>
  <c r="BE78" i="14"/>
  <c r="AF78" i="14"/>
  <c r="AK78" i="14"/>
  <c r="BD78" i="14"/>
  <c r="AG78" i="14"/>
  <c r="BK49" i="14"/>
  <c r="BK48" i="14"/>
  <c r="BK52" i="14"/>
  <c r="BK56" i="14"/>
  <c r="BK58" i="14"/>
  <c r="BK59" i="14"/>
  <c r="BK61" i="14"/>
  <c r="BK65" i="14"/>
  <c r="BK50" i="14"/>
  <c r="BK47" i="14"/>
  <c r="BK51" i="14"/>
  <c r="BK53" i="14"/>
  <c r="BK54" i="14"/>
  <c r="BK55" i="14"/>
  <c r="BK57" i="14"/>
  <c r="BK60" i="14"/>
  <c r="BK62" i="14"/>
  <c r="BK63" i="14"/>
  <c r="BK64" i="14"/>
  <c r="BK66" i="14"/>
  <c r="BL7" i="14"/>
  <c r="BL6" i="14"/>
  <c r="BL4" i="14"/>
  <c r="BL8" i="14"/>
  <c r="BM5" i="14"/>
  <c r="BJ78" i="14"/>
  <c r="AV10" i="16"/>
  <c r="D111" i="16"/>
  <c r="D66" i="15"/>
  <c r="AV10" i="15"/>
  <c r="D111" i="15"/>
  <c r="D83" i="14"/>
  <c r="AR154" i="13"/>
  <c r="AR164" i="13"/>
  <c r="AR163" i="13"/>
  <c r="AR160" i="13"/>
  <c r="BJ4" i="9"/>
  <c r="BJ6" i="9"/>
  <c r="BK5" i="9"/>
  <c r="BJ7" i="9"/>
  <c r="BJ8" i="9"/>
  <c r="BI4" i="11"/>
  <c r="BI6" i="11"/>
  <c r="BJ5" i="11"/>
  <c r="BI8" i="11"/>
  <c r="BI7" i="11"/>
  <c r="AF92" i="12"/>
  <c r="AF95" i="12"/>
  <c r="BV106" i="12"/>
  <c r="AT105" i="13" s="1"/>
  <c r="BV105" i="12"/>
  <c r="AT104" i="13" s="1"/>
  <c r="BV104" i="12"/>
  <c r="BV103" i="12"/>
  <c r="BV102" i="12"/>
  <c r="AT101" i="13" s="1"/>
  <c r="BV101" i="12"/>
  <c r="BV96" i="12"/>
  <c r="BV95" i="12"/>
  <c r="AT97" i="13" s="1"/>
  <c r="BV94" i="12"/>
  <c r="AT96" i="13" s="1"/>
  <c r="BV93" i="12"/>
  <c r="AT95" i="13" s="1"/>
  <c r="BV92" i="12"/>
  <c r="BV91" i="12"/>
  <c r="AT93" i="13" s="1"/>
  <c r="BV89" i="12"/>
  <c r="BV90" i="12"/>
  <c r="BV97" i="12"/>
  <c r="AT99" i="13" s="1"/>
  <c r="BV85" i="12"/>
  <c r="AT90" i="13" s="1"/>
  <c r="BV83" i="12"/>
  <c r="AT88" i="13" s="1"/>
  <c r="BV82" i="12"/>
  <c r="AT87" i="13" s="1"/>
  <c r="BV81" i="12"/>
  <c r="AT86" i="13" s="1"/>
  <c r="BV77" i="12"/>
  <c r="AT82" i="13" s="1"/>
  <c r="BV76" i="12"/>
  <c r="BV80" i="12"/>
  <c r="BV79" i="12"/>
  <c r="AT84" i="13" s="1"/>
  <c r="BV78" i="12"/>
  <c r="AT83" i="13" s="1"/>
  <c r="BV75" i="12"/>
  <c r="BV73" i="12"/>
  <c r="AT77" i="13" s="1"/>
  <c r="BV84" i="12"/>
  <c r="AT89" i="13" s="1"/>
  <c r="BV64" i="12"/>
  <c r="AT74" i="13" s="1"/>
  <c r="BV59" i="12"/>
  <c r="AT72" i="13" s="1"/>
  <c r="BV58" i="12"/>
  <c r="BV28" i="12"/>
  <c r="BV51" i="12"/>
  <c r="AT69" i="13" s="1"/>
  <c r="BV34" i="12"/>
  <c r="AT52" i="13" s="1"/>
  <c r="BV35" i="12"/>
  <c r="AT53" i="13" s="1"/>
  <c r="BV36" i="12"/>
  <c r="BV37" i="12"/>
  <c r="AT55" i="13" s="1"/>
  <c r="BV38" i="12"/>
  <c r="AT56" i="13" s="1"/>
  <c r="BV39" i="12"/>
  <c r="AT57" i="13" s="1"/>
  <c r="BV30" i="12"/>
  <c r="AT48" i="13" s="1"/>
  <c r="BV32" i="12"/>
  <c r="AT50" i="13" s="1"/>
  <c r="BV40" i="12"/>
  <c r="AT58" i="13" s="1"/>
  <c r="BV41" i="12"/>
  <c r="AT59" i="13" s="1"/>
  <c r="BV29" i="12"/>
  <c r="BV46" i="12"/>
  <c r="AT64" i="13" s="1"/>
  <c r="BV47" i="12"/>
  <c r="AT65" i="13" s="1"/>
  <c r="BV48" i="12"/>
  <c r="BV49" i="12"/>
  <c r="AT67" i="13" s="1"/>
  <c r="BV33" i="12"/>
  <c r="AT51" i="13" s="1"/>
  <c r="BV31" i="12"/>
  <c r="AT49" i="13" s="1"/>
  <c r="BV50" i="12"/>
  <c r="AT68" i="13" s="1"/>
  <c r="BV52" i="12"/>
  <c r="AT70" i="13" s="1"/>
  <c r="BV21" i="12"/>
  <c r="AT45" i="13" s="1"/>
  <c r="BV20" i="12"/>
  <c r="AT44" i="13" s="1"/>
  <c r="BM90" i="30" s="1"/>
  <c r="BV19" i="12"/>
  <c r="AT43" i="13" s="1"/>
  <c r="BV18" i="12"/>
  <c r="BV7" i="12"/>
  <c r="BV4" i="12"/>
  <c r="BV8" i="12"/>
  <c r="BV6" i="12"/>
  <c r="AS8" i="13"/>
  <c r="AT5" i="13"/>
  <c r="AS4" i="13"/>
  <c r="AS7" i="13"/>
  <c r="AS6" i="13"/>
  <c r="BJ8" i="10"/>
  <c r="BJ7" i="10"/>
  <c r="BJ6" i="10"/>
  <c r="BK5" i="10"/>
  <c r="BJ4" i="10"/>
  <c r="BR51" i="8"/>
  <c r="BR48" i="8"/>
  <c r="BS49" i="8"/>
  <c r="BR50" i="8"/>
  <c r="BR52" i="8"/>
  <c r="BS11" i="8"/>
  <c r="BS9" i="8"/>
  <c r="BT8" i="8"/>
  <c r="BS7" i="8"/>
  <c r="BS15" i="8" s="1" a="1"/>
  <c r="BS15" i="8" s="1"/>
  <c r="BS10" i="8"/>
  <c r="BS75" i="8"/>
  <c r="BR78" i="8"/>
  <c r="BR77" i="8"/>
  <c r="BR76" i="8"/>
  <c r="BR74" i="8"/>
  <c r="BW48" i="12" l="1"/>
  <c r="BW20" i="12"/>
  <c r="BW73" i="12"/>
  <c r="AU77" i="13" s="1"/>
  <c r="I73" i="17"/>
  <c r="BW12" i="12"/>
  <c r="BW32" i="12"/>
  <c r="BW90" i="12"/>
  <c r="BW91" i="12"/>
  <c r="AO115" i="13"/>
  <c r="BJ41" i="17"/>
  <c r="E75" i="17" s="1" a="1"/>
  <c r="E75" i="17" s="1"/>
  <c r="BM75" i="17" s="1" a="1"/>
  <c r="BM75" i="17" s="1"/>
  <c r="AQ110" i="13"/>
  <c r="BT87" i="20"/>
  <c r="AQ132" i="13" s="1"/>
  <c r="AQ128" i="13"/>
  <c r="AP108" i="13"/>
  <c r="BW63" i="12"/>
  <c r="BX5" i="12"/>
  <c r="BW50" i="12"/>
  <c r="BW93" i="12"/>
  <c r="BW52" i="12"/>
  <c r="BW95" i="12"/>
  <c r="BW78" i="12"/>
  <c r="BW19" i="12"/>
  <c r="BW38" i="12"/>
  <c r="BW79" i="12"/>
  <c r="BW97" i="12"/>
  <c r="BW21" i="12"/>
  <c r="BW40" i="12"/>
  <c r="BW101" i="12"/>
  <c r="BW49" i="12"/>
  <c r="BW13" i="12"/>
  <c r="AU40" i="13" s="1"/>
  <c r="BW41" i="12"/>
  <c r="BW34" i="12"/>
  <c r="BW80" i="12"/>
  <c r="BW51" i="12"/>
  <c r="BW42" i="12"/>
  <c r="BW36" i="12"/>
  <c r="BW94" i="12"/>
  <c r="BW18" i="12"/>
  <c r="BW4" i="12"/>
  <c r="BW37" i="12"/>
  <c r="BW43" i="12"/>
  <c r="BW33" i="12"/>
  <c r="BW28" i="12"/>
  <c r="BW104" i="12"/>
  <c r="BW92" i="12"/>
  <c r="BW44" i="12"/>
  <c r="BW76" i="12"/>
  <c r="BW85" i="12"/>
  <c r="BW14" i="12"/>
  <c r="BX14" i="12" s="1" a="1"/>
  <c r="BX14" i="12" s="1"/>
  <c r="BW39" i="12"/>
  <c r="BW105" i="12"/>
  <c r="BW81" i="12"/>
  <c r="BW6" i="12"/>
  <c r="BW29" i="12"/>
  <c r="BW82" i="12"/>
  <c r="BW45" i="12"/>
  <c r="BW96" i="12"/>
  <c r="BW102" i="12"/>
  <c r="BW106" i="12"/>
  <c r="AU105" i="13" s="1"/>
  <c r="BW58" i="12"/>
  <c r="BW83" i="12"/>
  <c r="BW7" i="12"/>
  <c r="BW103" i="12"/>
  <c r="BX103" i="12" s="1"/>
  <c r="BW30" i="12"/>
  <c r="BW46" i="12"/>
  <c r="BW64" i="12"/>
  <c r="BW89" i="12"/>
  <c r="BW77" i="12"/>
  <c r="BW59" i="12"/>
  <c r="BW84" i="12"/>
  <c r="BW47" i="12"/>
  <c r="BW35" i="12"/>
  <c r="BW8" i="12"/>
  <c r="BL110" i="14" s="1"/>
  <c r="BW31" i="12"/>
  <c r="AT92" i="13"/>
  <c r="AT30" i="13" a="1"/>
  <c r="AT30" i="13" s="1"/>
  <c r="AT60" i="13"/>
  <c r="AT17" i="13" a="1"/>
  <c r="AT17" i="13" s="1"/>
  <c r="AT71" i="13"/>
  <c r="AT160" i="13" s="1"/>
  <c r="AT21" i="13" a="1"/>
  <c r="AT21" i="13" s="1"/>
  <c r="AT151" i="13" s="1"/>
  <c r="AT40" i="13"/>
  <c r="AT91" i="13"/>
  <c r="AT29" i="13" a="1"/>
  <c r="AT29" i="13" s="1"/>
  <c r="AT47" i="13"/>
  <c r="AT13" i="13" a="1"/>
  <c r="AT13" i="13" s="1"/>
  <c r="AT42" i="13"/>
  <c r="AT15" i="13" a="1"/>
  <c r="AT15" i="13" s="1"/>
  <c r="AT149" i="13" s="1"/>
  <c r="AT80" i="13"/>
  <c r="AT24" i="13" a="1"/>
  <c r="AT24" i="13" s="1"/>
  <c r="AT94" i="13"/>
  <c r="AT32" i="13" a="1"/>
  <c r="AT32" i="13" s="1"/>
  <c r="AT38" i="13"/>
  <c r="AT12" i="13" a="1"/>
  <c r="AT12" i="13" s="1"/>
  <c r="AT148" i="13" s="1"/>
  <c r="AT85" i="13"/>
  <c r="AT28" i="13" a="1"/>
  <c r="AT28" i="13" s="1"/>
  <c r="AT54" i="13"/>
  <c r="AT18" i="13" a="1"/>
  <c r="AT18" i="13" s="1"/>
  <c r="AT81" i="13"/>
  <c r="AT27" i="13" a="1"/>
  <c r="AT27" i="13" s="1"/>
  <c r="AT98" i="13"/>
  <c r="AT31" i="13" a="1"/>
  <c r="AT31" i="13" s="1"/>
  <c r="AT100" i="13"/>
  <c r="AT33" i="13" a="1"/>
  <c r="AT33" i="13" s="1"/>
  <c r="AT102" i="13"/>
  <c r="BN105" i="17"/>
  <c r="BM107" i="17"/>
  <c r="BM109" i="17" s="1"/>
  <c r="BM103" i="17" s="1"/>
  <c r="BM99" i="17"/>
  <c r="BM101" i="17" s="1"/>
  <c r="BM96" i="17" s="1"/>
  <c r="AT46" i="13"/>
  <c r="AT16" i="13" a="1"/>
  <c r="AT16" i="13" s="1"/>
  <c r="AT103" i="13"/>
  <c r="AT34" i="13" a="1"/>
  <c r="AT34" i="13" s="1"/>
  <c r="AT66" i="13"/>
  <c r="AT19" i="13" a="1"/>
  <c r="AT19" i="13" s="1"/>
  <c r="BS82" i="20"/>
  <c r="BB79" i="14"/>
  <c r="AK79" i="14"/>
  <c r="BI79" i="14"/>
  <c r="AO79" i="14"/>
  <c r="BI60" i="15"/>
  <c r="AZ79" i="14"/>
  <c r="AX79" i="14"/>
  <c r="AF79" i="14"/>
  <c r="BD79" i="14"/>
  <c r="BU90" i="20"/>
  <c r="AR134" i="13" s="1"/>
  <c r="BU108" i="20"/>
  <c r="BB74" i="17" a="1"/>
  <c r="BB74" i="17" s="1"/>
  <c r="AL74" i="17" a="1"/>
  <c r="AL74" i="17" s="1"/>
  <c r="BA74" i="17" a="1"/>
  <c r="BA74" i="17" s="1"/>
  <c r="AK74" i="17" a="1"/>
  <c r="AK74" i="17" s="1"/>
  <c r="O74" i="17" s="1"/>
  <c r="AZ74" i="17" a="1"/>
  <c r="AZ74" i="17" s="1"/>
  <c r="T74" i="17" s="1"/>
  <c r="AJ74" i="17" a="1"/>
  <c r="AJ74" i="17" s="1"/>
  <c r="AY74" i="17" a="1"/>
  <c r="AY74" i="17" s="1"/>
  <c r="AI74" i="17" a="1"/>
  <c r="AI74" i="17" s="1"/>
  <c r="AX74" i="17" a="1"/>
  <c r="AX74" i="17" s="1"/>
  <c r="AH74" i="17" a="1"/>
  <c r="AH74" i="17" s="1"/>
  <c r="N74" i="17" s="1"/>
  <c r="AW74" i="17" a="1"/>
  <c r="AW74" i="17" s="1"/>
  <c r="S74" i="17" s="1"/>
  <c r="AG74" i="17" a="1"/>
  <c r="AG74" i="17" s="1"/>
  <c r="AV74" i="17" a="1"/>
  <c r="AV74" i="17" s="1"/>
  <c r="AF74" i="17" a="1"/>
  <c r="AF74" i="17" s="1"/>
  <c r="BK74" i="17" a="1"/>
  <c r="BK74" i="17" s="1"/>
  <c r="AU74" i="17" a="1"/>
  <c r="AU74" i="17" s="1"/>
  <c r="BJ74" i="17" a="1"/>
  <c r="BJ74" i="17" s="1"/>
  <c r="AT74" i="17" a="1"/>
  <c r="AT74" i="17" s="1"/>
  <c r="R74" i="17" s="1"/>
  <c r="BI74" i="17" a="1"/>
  <c r="BI74" i="17" s="1"/>
  <c r="W74" i="17" s="1"/>
  <c r="AS74" i="17" a="1"/>
  <c r="AS74" i="17" s="1"/>
  <c r="BH74" i="17" a="1"/>
  <c r="BH74" i="17" s="1"/>
  <c r="AR74" i="17" a="1"/>
  <c r="AR74" i="17" s="1"/>
  <c r="BG74" i="17" a="1"/>
  <c r="BG74" i="17" s="1"/>
  <c r="AQ74" i="17" a="1"/>
  <c r="AQ74" i="17" s="1"/>
  <c r="BF74" i="17" a="1"/>
  <c r="BF74" i="17" s="1"/>
  <c r="V74" i="17" s="1"/>
  <c r="AP74" i="17" a="1"/>
  <c r="AP74" i="17" s="1"/>
  <c r="BE74" i="17" a="1"/>
  <c r="BE74" i="17" s="1"/>
  <c r="AO74" i="17" a="1"/>
  <c r="AO74" i="17" s="1"/>
  <c r="BD74" i="17" a="1"/>
  <c r="BD74" i="17" s="1"/>
  <c r="AN74" i="17" a="1"/>
  <c r="AN74" i="17" s="1"/>
  <c r="P74" i="17" s="1"/>
  <c r="BC74" i="17" a="1"/>
  <c r="BC74" i="17" s="1"/>
  <c r="AM74" i="17" a="1"/>
  <c r="AM74" i="17" s="1"/>
  <c r="BL74" i="17" a="1"/>
  <c r="BL74" i="17" s="1"/>
  <c r="X74" i="17" s="1"/>
  <c r="BJ79" i="14"/>
  <c r="BT111" i="20" a="1"/>
  <c r="BT111" i="20" s="1"/>
  <c r="BT109" i="20" a="1"/>
  <c r="BT109" i="20" s="1"/>
  <c r="BT110" i="20"/>
  <c r="AI79" i="14"/>
  <c r="BF79" i="14"/>
  <c r="AG79" i="14"/>
  <c r="BH79" i="14"/>
  <c r="BT85" i="20"/>
  <c r="AQ130" i="13" s="1"/>
  <c r="BU107" i="20"/>
  <c r="BT86" i="20"/>
  <c r="AQ131" i="13" s="1"/>
  <c r="BI42" i="17"/>
  <c r="BU83" i="20"/>
  <c r="BU76" i="20"/>
  <c r="AR122" i="13" s="1"/>
  <c r="BU77" i="20"/>
  <c r="AR123" i="13" s="1"/>
  <c r="BU91" i="20"/>
  <c r="AR135" i="13" s="1"/>
  <c r="BQ114" i="20"/>
  <c r="BT96" i="20"/>
  <c r="BJ108" i="16"/>
  <c r="BK108" i="16"/>
  <c r="BW20" i="16"/>
  <c r="E109" i="16" a="1"/>
  <c r="E109" i="16" s="1"/>
  <c r="BW52" i="20"/>
  <c r="BM5" i="22"/>
  <c r="BL6" i="22"/>
  <c r="BL7" i="22"/>
  <c r="BL8" i="22"/>
  <c r="BL4" i="22"/>
  <c r="BG60" i="16"/>
  <c r="BJ60" i="16"/>
  <c r="BK60" i="16"/>
  <c r="BK68" i="22"/>
  <c r="BJ68" i="22"/>
  <c r="BI68" i="22"/>
  <c r="BH68" i="22"/>
  <c r="BG68" i="22"/>
  <c r="BF68" i="22"/>
  <c r="BE68" i="22"/>
  <c r="BD68" i="22"/>
  <c r="BC68" i="22"/>
  <c r="BB68" i="22"/>
  <c r="BA68" i="22"/>
  <c r="AZ68" i="22"/>
  <c r="AY68" i="22"/>
  <c r="AX68" i="22"/>
  <c r="AW68" i="22"/>
  <c r="AV68" i="22"/>
  <c r="AU68" i="22"/>
  <c r="AT68" i="22"/>
  <c r="AS68" i="22"/>
  <c r="AR68" i="22"/>
  <c r="AQ68" i="22"/>
  <c r="AP68" i="22"/>
  <c r="AO68" i="22"/>
  <c r="AN68" i="22"/>
  <c r="AM68" i="22"/>
  <c r="AL68" i="22"/>
  <c r="AK68" i="22"/>
  <c r="AJ68" i="22"/>
  <c r="AI68" i="22"/>
  <c r="AH68" i="22"/>
  <c r="D69" i="22"/>
  <c r="AG68" i="22"/>
  <c r="AF68" i="22"/>
  <c r="AE68"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D120" i="22"/>
  <c r="AF119" i="22"/>
  <c r="AE119" i="22"/>
  <c r="AG119" i="22"/>
  <c r="AM79" i="14"/>
  <c r="BE79" i="14"/>
  <c r="AV79" i="14"/>
  <c r="AW79" i="14"/>
  <c r="AU79" i="14"/>
  <c r="BS106" i="20"/>
  <c r="AY79" i="14"/>
  <c r="AL79" i="14"/>
  <c r="AT79" i="14"/>
  <c r="AN79" i="14"/>
  <c r="AJ79" i="14"/>
  <c r="AH79" i="14"/>
  <c r="AR79" i="14"/>
  <c r="AS79" i="14"/>
  <c r="BT60" i="20"/>
  <c r="BX54" i="20"/>
  <c r="BU64" i="20"/>
  <c r="AR112" i="13" s="1"/>
  <c r="BU63" i="20"/>
  <c r="AR111" i="13" s="1"/>
  <c r="BU62" i="20"/>
  <c r="BU65" i="20"/>
  <c r="AR113" i="13" s="1"/>
  <c r="BR89" i="20"/>
  <c r="BR75" i="20"/>
  <c r="BU101" i="20"/>
  <c r="AR144" i="13" s="1"/>
  <c r="BU99" i="20"/>
  <c r="AR142" i="13" s="1"/>
  <c r="BU100" i="20"/>
  <c r="AR143" i="13" s="1"/>
  <c r="BV95" i="20"/>
  <c r="AS139" i="13" s="1"/>
  <c r="BV81" i="20"/>
  <c r="AS127" i="13" s="1"/>
  <c r="BV102" i="20"/>
  <c r="AS145" i="13" s="1"/>
  <c r="BV88" i="20"/>
  <c r="AS133" i="13" s="1"/>
  <c r="BX57" i="20"/>
  <c r="BX97" i="20" s="1"/>
  <c r="AU140" i="13" s="1"/>
  <c r="BX56" i="20"/>
  <c r="BX55" i="20"/>
  <c r="BS68" i="20"/>
  <c r="BT72" i="20"/>
  <c r="AQ119" i="13" s="1"/>
  <c r="BT73" i="20"/>
  <c r="AQ120" i="13" s="1"/>
  <c r="BT71" i="20"/>
  <c r="AQ118" i="13" s="1"/>
  <c r="BT115" i="20"/>
  <c r="BU61" i="20"/>
  <c r="AR109" i="13" s="1"/>
  <c r="BU69" i="20"/>
  <c r="AR116" i="13" s="1"/>
  <c r="BU10" i="20"/>
  <c r="BU70" i="20"/>
  <c r="AR117" i="13" s="1"/>
  <c r="BW7" i="20"/>
  <c r="BX5" i="20"/>
  <c r="BW3" i="20"/>
  <c r="BW8" i="20"/>
  <c r="BW112" i="20" s="1"/>
  <c r="BW4" i="20"/>
  <c r="BW6" i="20"/>
  <c r="BV31" i="20"/>
  <c r="BV32" i="20"/>
  <c r="BV19" i="20"/>
  <c r="BV11" i="20"/>
  <c r="BV22" i="20"/>
  <c r="BV20" i="20"/>
  <c r="BV17" i="20"/>
  <c r="BV16" i="20"/>
  <c r="BV27" i="20"/>
  <c r="BV13" i="20"/>
  <c r="BV15" i="20"/>
  <c r="BV14" i="20"/>
  <c r="BV29" i="20"/>
  <c r="BV12" i="20"/>
  <c r="BV24" i="20"/>
  <c r="BV28" i="20"/>
  <c r="BV33" i="20"/>
  <c r="BV25" i="20"/>
  <c r="BV23" i="20"/>
  <c r="BV34" i="20"/>
  <c r="BV35" i="20"/>
  <c r="BV74" i="20"/>
  <c r="AS121" i="13" s="1"/>
  <c r="BV21" i="20"/>
  <c r="BV30" i="20"/>
  <c r="BV26" i="20"/>
  <c r="BV18" i="20"/>
  <c r="BY53" i="20"/>
  <c r="AS163" i="13"/>
  <c r="BO7" i="17"/>
  <c r="BO8" i="17"/>
  <c r="BP5" i="17"/>
  <c r="BO6" i="17"/>
  <c r="BO4" i="17"/>
  <c r="BN74" i="17" a="1"/>
  <c r="BN74" i="17" s="1"/>
  <c r="BN73" i="17" a="1"/>
  <c r="BN73" i="17" s="1"/>
  <c r="BN72" i="17" a="1"/>
  <c r="BN72" i="17" s="1"/>
  <c r="BN71" i="17" a="1"/>
  <c r="BN71" i="17" s="1"/>
  <c r="BN70" i="17" a="1"/>
  <c r="BN70" i="17" s="1"/>
  <c r="BN69" i="17" a="1"/>
  <c r="BN69" i="17" s="1"/>
  <c r="BN68" i="17" a="1"/>
  <c r="BN68" i="17" s="1"/>
  <c r="BN67" i="17" a="1"/>
  <c r="BN67" i="17" s="1"/>
  <c r="BN158" i="17"/>
  <c r="BN66" i="17" a="1"/>
  <c r="BN66" i="17" s="1"/>
  <c r="BN157" i="17"/>
  <c r="BN65" i="17" a="1"/>
  <c r="BN65" i="17" s="1"/>
  <c r="BN64" i="17" a="1"/>
  <c r="BN64" i="17" s="1"/>
  <c r="BN136" i="17"/>
  <c r="BN47" i="17" a="1"/>
  <c r="BN47" i="17" s="1"/>
  <c r="BN140" i="17"/>
  <c r="BN52" i="17" a="1"/>
  <c r="BN52" i="17" s="1"/>
  <c r="BN145" i="17"/>
  <c r="BN147" i="17"/>
  <c r="BN57" i="17" a="1"/>
  <c r="BN57" i="17" s="1"/>
  <c r="BN61" i="17" a="1"/>
  <c r="BN61" i="17" s="1"/>
  <c r="BN138" i="17"/>
  <c r="BN49" i="17" a="1"/>
  <c r="BN49" i="17" s="1"/>
  <c r="BN51" i="17" a="1"/>
  <c r="BN51" i="17" s="1"/>
  <c r="BN144" i="17"/>
  <c r="BN54" i="17" a="1"/>
  <c r="BN54" i="17" s="1"/>
  <c r="BN148" i="17"/>
  <c r="BN58" i="17" a="1"/>
  <c r="BN58" i="17" s="1"/>
  <c r="BN151" i="17"/>
  <c r="BN153" i="17"/>
  <c r="BN154" i="17"/>
  <c r="BN156" i="17"/>
  <c r="BN137" i="17"/>
  <c r="BN46" i="17" a="1"/>
  <c r="BN46" i="17" s="1"/>
  <c r="BN139" i="17"/>
  <c r="BN141" i="17"/>
  <c r="BN50" i="17" a="1"/>
  <c r="BN50" i="17" s="1"/>
  <c r="BN142" i="17"/>
  <c r="BN143" i="17"/>
  <c r="BN53" i="17" a="1"/>
  <c r="BN53" i="17" s="1"/>
  <c r="BN55" i="17" a="1"/>
  <c r="BN55" i="17" s="1"/>
  <c r="BN149" i="17"/>
  <c r="BN59" i="17" a="1"/>
  <c r="BN59" i="17" s="1"/>
  <c r="BN152" i="17"/>
  <c r="BN62" i="17" a="1"/>
  <c r="BN62" i="17" s="1"/>
  <c r="BN45" i="17" a="1"/>
  <c r="BN45" i="17" s="1"/>
  <c r="BN48" i="17" a="1"/>
  <c r="BN48" i="17" s="1"/>
  <c r="BN146" i="17"/>
  <c r="BN56" i="17" a="1"/>
  <c r="BN56" i="17" s="1"/>
  <c r="BN150" i="17"/>
  <c r="BN60" i="17" a="1"/>
  <c r="BN60" i="17" s="1"/>
  <c r="BN155" i="17"/>
  <c r="BN63" i="17" a="1"/>
  <c r="BN63" i="17" s="1"/>
  <c r="BN16" i="16"/>
  <c r="E59" i="16" a="1"/>
  <c r="E59" i="16" s="1"/>
  <c r="BH60" i="16"/>
  <c r="BI60" i="16"/>
  <c r="AU110" i="16"/>
  <c r="AT110" i="16"/>
  <c r="AS110" i="16"/>
  <c r="AR110" i="16"/>
  <c r="AQ110" i="16"/>
  <c r="AP110" i="16"/>
  <c r="AO110" i="16"/>
  <c r="AN110" i="16"/>
  <c r="AM110" i="16"/>
  <c r="AL110" i="16"/>
  <c r="AK110" i="16"/>
  <c r="AJ110" i="16"/>
  <c r="AI110" i="16"/>
  <c r="AH110" i="16"/>
  <c r="AG110" i="16"/>
  <c r="AF110" i="16"/>
  <c r="BL11" i="16"/>
  <c r="BL15" i="16"/>
  <c r="BL14" i="16" s="1"/>
  <c r="BO16" i="16" s="1"/>
  <c r="BL19" i="16"/>
  <c r="BL18" i="16" s="1"/>
  <c r="BM4" i="16"/>
  <c r="BM6" i="16"/>
  <c r="BM7" i="16"/>
  <c r="BN5" i="16"/>
  <c r="BM8" i="16"/>
  <c r="BI61" i="16" s="1"/>
  <c r="BL108" i="16"/>
  <c r="BL86" i="16"/>
  <c r="BL54" i="16"/>
  <c r="BL89" i="16"/>
  <c r="BL90" i="16"/>
  <c r="BL91" i="16"/>
  <c r="BL94" i="16"/>
  <c r="BL95" i="16"/>
  <c r="BL99" i="16"/>
  <c r="BL52" i="16"/>
  <c r="BL87" i="16"/>
  <c r="BL55" i="16"/>
  <c r="BL57" i="16"/>
  <c r="BL92" i="16"/>
  <c r="BL97" i="16"/>
  <c r="BL100" i="16"/>
  <c r="BL102" i="16"/>
  <c r="BL103" i="16"/>
  <c r="BL104" i="16"/>
  <c r="BL105" i="16"/>
  <c r="BL107" i="16"/>
  <c r="BL48" i="16"/>
  <c r="BL82" i="16"/>
  <c r="BL47" i="16"/>
  <c r="BL81" i="16"/>
  <c r="BL46" i="16"/>
  <c r="BL80" i="16"/>
  <c r="BL79" i="16"/>
  <c r="BL45" i="16"/>
  <c r="BL31" i="16"/>
  <c r="BL32" i="16"/>
  <c r="BL40" i="16"/>
  <c r="BL34" i="16"/>
  <c r="BL30" i="16"/>
  <c r="BL41" i="16"/>
  <c r="BL35" i="16"/>
  <c r="BL78" i="16"/>
  <c r="BL44" i="16"/>
  <c r="BL43" i="16"/>
  <c r="BL28" i="16"/>
  <c r="BL38" i="16"/>
  <c r="BL37" i="16"/>
  <c r="BL36" i="16"/>
  <c r="BL29" i="16"/>
  <c r="BL42" i="16"/>
  <c r="BL33" i="16"/>
  <c r="BL39" i="16"/>
  <c r="BL49" i="16"/>
  <c r="BL83" i="16"/>
  <c r="BL50" i="16"/>
  <c r="BL84" i="16"/>
  <c r="BL85" i="16"/>
  <c r="BL51" i="16"/>
  <c r="BL53" i="16"/>
  <c r="BL88" i="16"/>
  <c r="BL56" i="16"/>
  <c r="BL93" i="16"/>
  <c r="BL96" i="16"/>
  <c r="BL98" i="16"/>
  <c r="BL101" i="16"/>
  <c r="BL106" i="16"/>
  <c r="AZ110" i="16"/>
  <c r="BK110" i="16"/>
  <c r="BJ110" i="16"/>
  <c r="BI110" i="16"/>
  <c r="BH110" i="16"/>
  <c r="BG110" i="16"/>
  <c r="BF110" i="16"/>
  <c r="BE110" i="16"/>
  <c r="BD110" i="16"/>
  <c r="AV110" i="16"/>
  <c r="AW110" i="16"/>
  <c r="AX110" i="16"/>
  <c r="AY110" i="16"/>
  <c r="BC110" i="16"/>
  <c r="BB110" i="16"/>
  <c r="BA110" i="16"/>
  <c r="AP79" i="14"/>
  <c r="AQ79" i="14"/>
  <c r="BG79" i="14"/>
  <c r="BA79" i="14"/>
  <c r="BC79" i="14"/>
  <c r="BJ108" i="15"/>
  <c r="BK108" i="15"/>
  <c r="BM4" i="15"/>
  <c r="BM6" i="15"/>
  <c r="BN5" i="15"/>
  <c r="BM7" i="15"/>
  <c r="BM8" i="15"/>
  <c r="AT61" i="15" s="1"/>
  <c r="BL108" i="15"/>
  <c r="BJ60" i="15"/>
  <c r="BH60" i="15"/>
  <c r="AK60" i="15"/>
  <c r="AF60" i="15"/>
  <c r="AU60" i="15"/>
  <c r="AI60" i="15"/>
  <c r="BA60" i="15"/>
  <c r="AP60" i="15"/>
  <c r="AH60" i="15"/>
  <c r="BG60" i="15"/>
  <c r="AY60" i="15"/>
  <c r="AT60" i="15"/>
  <c r="BB60" i="15"/>
  <c r="AG60" i="15"/>
  <c r="BE60" i="15"/>
  <c r="AQ60" i="15"/>
  <c r="AR60" i="15"/>
  <c r="AM60" i="15"/>
  <c r="BD60" i="15"/>
  <c r="AV60" i="15"/>
  <c r="AS60" i="15"/>
  <c r="AO60" i="15"/>
  <c r="BC60" i="15"/>
  <c r="AJ60" i="15"/>
  <c r="AX60" i="15"/>
  <c r="AL60" i="15"/>
  <c r="AZ60" i="15"/>
  <c r="AN60" i="15"/>
  <c r="BF60" i="15"/>
  <c r="AW60" i="15"/>
  <c r="BL107" i="15"/>
  <c r="BL106" i="15"/>
  <c r="BL105" i="15"/>
  <c r="BL104" i="15"/>
  <c r="BL103" i="15"/>
  <c r="BL102" i="15"/>
  <c r="BL101" i="15"/>
  <c r="BL57" i="15"/>
  <c r="BL100" i="15"/>
  <c r="BL56" i="15"/>
  <c r="BL99" i="15"/>
  <c r="BL55" i="15"/>
  <c r="BL54" i="15"/>
  <c r="BL98" i="15"/>
  <c r="BL53" i="15"/>
  <c r="BL97" i="15"/>
  <c r="BL52" i="15"/>
  <c r="BL96" i="15"/>
  <c r="BL51" i="15"/>
  <c r="BL95" i="15"/>
  <c r="BL50" i="15"/>
  <c r="BL94" i="15"/>
  <c r="BL49" i="15"/>
  <c r="BL93" i="15"/>
  <c r="BL48" i="15"/>
  <c r="BL92" i="15"/>
  <c r="BL47" i="15"/>
  <c r="BL91" i="15"/>
  <c r="BL46" i="15"/>
  <c r="BL90" i="15"/>
  <c r="BL45" i="15"/>
  <c r="BL89" i="15"/>
  <c r="BL44" i="15"/>
  <c r="BL88" i="15"/>
  <c r="BL43" i="15"/>
  <c r="BL87" i="15"/>
  <c r="BL42" i="15"/>
  <c r="BL86" i="15"/>
  <c r="BL41" i="15"/>
  <c r="BL85" i="15"/>
  <c r="BL40" i="15"/>
  <c r="BL84" i="15"/>
  <c r="BL39" i="15"/>
  <c r="BL83" i="15"/>
  <c r="BL38" i="15"/>
  <c r="BL37" i="15"/>
  <c r="BL82" i="15"/>
  <c r="BL81" i="15"/>
  <c r="BL36" i="15"/>
  <c r="BL80" i="15"/>
  <c r="BL35" i="15"/>
  <c r="BL79" i="15"/>
  <c r="BL34" i="15"/>
  <c r="BL15" i="15" a="1"/>
  <c r="BL15" i="15" s="1"/>
  <c r="BL14" i="15" s="1"/>
  <c r="BL31" i="15"/>
  <c r="BL32" i="15"/>
  <c r="BL78" i="15"/>
  <c r="BL33" i="15"/>
  <c r="BL29" i="15"/>
  <c r="BL30" i="15"/>
  <c r="BL28" i="15"/>
  <c r="BL11" i="15" a="1"/>
  <c r="BL11" i="15" s="1"/>
  <c r="BL19" i="15" a="1"/>
  <c r="BL19" i="15" s="1"/>
  <c r="BL18" i="15" s="1"/>
  <c r="E109" i="15" a="1"/>
  <c r="E109" i="15" s="1"/>
  <c r="BW20" i="15"/>
  <c r="BH110" i="15"/>
  <c r="AZ110" i="15"/>
  <c r="AW110" i="15"/>
  <c r="AX110" i="15"/>
  <c r="AK110" i="15"/>
  <c r="AS110" i="15"/>
  <c r="AQ110" i="15"/>
  <c r="AT110" i="15"/>
  <c r="AF110" i="15"/>
  <c r="AG110" i="15"/>
  <c r="AH110" i="15"/>
  <c r="AI110" i="15"/>
  <c r="AJ110" i="15"/>
  <c r="AL110" i="15"/>
  <c r="AM110" i="15"/>
  <c r="AN110" i="15"/>
  <c r="AO110" i="15"/>
  <c r="AP110" i="15"/>
  <c r="AR110" i="15"/>
  <c r="AU110" i="15"/>
  <c r="AV110" i="15"/>
  <c r="AY110" i="15"/>
  <c r="BA110" i="15"/>
  <c r="BB110" i="15"/>
  <c r="BC110" i="15"/>
  <c r="BF110" i="15"/>
  <c r="BD110" i="15"/>
  <c r="BE110" i="15"/>
  <c r="BG110" i="15"/>
  <c r="BI110" i="15"/>
  <c r="BJ110" i="15"/>
  <c r="BK110" i="15"/>
  <c r="D79" i="17"/>
  <c r="D80" i="17" s="1"/>
  <c r="BH169" i="17"/>
  <c r="AZ169" i="17"/>
  <c r="AY169" i="17"/>
  <c r="AV169" i="17"/>
  <c r="AS169" i="17"/>
  <c r="AR169" i="17"/>
  <c r="AJ169" i="17"/>
  <c r="AG169" i="17"/>
  <c r="BD169" i="17"/>
  <c r="AX169" i="17"/>
  <c r="AW169" i="17"/>
  <c r="AU169" i="17"/>
  <c r="AQ169" i="17"/>
  <c r="AO169" i="17"/>
  <c r="AK169" i="17"/>
  <c r="BK169" i="17"/>
  <c r="BI169" i="17"/>
  <c r="BE169" i="17"/>
  <c r="BC169" i="17"/>
  <c r="BB169" i="17"/>
  <c r="BA169" i="17"/>
  <c r="AT169" i="17"/>
  <c r="AP169" i="17"/>
  <c r="AN169" i="17"/>
  <c r="AM169" i="17"/>
  <c r="AL169" i="17"/>
  <c r="AI169" i="17"/>
  <c r="AH169" i="17"/>
  <c r="AF169" i="17"/>
  <c r="BL169" i="17"/>
  <c r="BJ169" i="17"/>
  <c r="BG169" i="17"/>
  <c r="BF169" i="17"/>
  <c r="D170" i="17"/>
  <c r="D171" i="17" s="1"/>
  <c r="BL48" i="14"/>
  <c r="BL49" i="14"/>
  <c r="BL50" i="14"/>
  <c r="BL47" i="14"/>
  <c r="BL51" i="14"/>
  <c r="BL52" i="14"/>
  <c r="BL53" i="14"/>
  <c r="BL54" i="14"/>
  <c r="BL55" i="14"/>
  <c r="BL56" i="14"/>
  <c r="BL57" i="14"/>
  <c r="BL58" i="14"/>
  <c r="BL59" i="14"/>
  <c r="BL60" i="14"/>
  <c r="BL61" i="14"/>
  <c r="BL62" i="14"/>
  <c r="BL63" i="14"/>
  <c r="BL64" i="14"/>
  <c r="BL65" i="14"/>
  <c r="BL66" i="14"/>
  <c r="BL67" i="14"/>
  <c r="BM4" i="14"/>
  <c r="BM8" i="14"/>
  <c r="AT80" i="14" s="1"/>
  <c r="BN5" i="14"/>
  <c r="BM6" i="14"/>
  <c r="BM7" i="14"/>
  <c r="BM3" i="14"/>
  <c r="AS164" i="13"/>
  <c r="BK79" i="14"/>
  <c r="AV25" i="16"/>
  <c r="AW12" i="16"/>
  <c r="AV22" i="16"/>
  <c r="AV27" i="14" s="1"/>
  <c r="D112" i="16"/>
  <c r="D67" i="15"/>
  <c r="AS155" i="13"/>
  <c r="AW12" i="15"/>
  <c r="AV22" i="15"/>
  <c r="AV25" i="14" s="1"/>
  <c r="AV25" i="15"/>
  <c r="D112" i="15"/>
  <c r="BV99" i="12"/>
  <c r="D84" i="14"/>
  <c r="AS160" i="13"/>
  <c r="AS154" i="13"/>
  <c r="AS150" i="13"/>
  <c r="AS159" i="13"/>
  <c r="BK7" i="9"/>
  <c r="BK8" i="9"/>
  <c r="BK4" i="9"/>
  <c r="BL5" i="9"/>
  <c r="BK6" i="9"/>
  <c r="BK5" i="11"/>
  <c r="BJ4" i="11"/>
  <c r="BJ6" i="11"/>
  <c r="BJ8" i="11"/>
  <c r="BJ7" i="11"/>
  <c r="BV56" i="12"/>
  <c r="BV10" i="12"/>
  <c r="BV87" i="12"/>
  <c r="BV109" i="12" a="1"/>
  <c r="BV109" i="12" s="1"/>
  <c r="BV16" i="12"/>
  <c r="BV112" i="12" a="1"/>
  <c r="BV112" i="12" s="1"/>
  <c r="AT7" i="13"/>
  <c r="AU5" i="13"/>
  <c r="AT4" i="13"/>
  <c r="AT8" i="13"/>
  <c r="AT6" i="13"/>
  <c r="BL5" i="10"/>
  <c r="BK4" i="10"/>
  <c r="BK8" i="10"/>
  <c r="BK7" i="10"/>
  <c r="BK6" i="10"/>
  <c r="BS48" i="8"/>
  <c r="BS50" i="8"/>
  <c r="BS51" i="8"/>
  <c r="BS52" i="8"/>
  <c r="BT49" i="8"/>
  <c r="BT7" i="8"/>
  <c r="BT15" i="8" s="1" a="1"/>
  <c r="BT15" i="8" s="1"/>
  <c r="BU8" i="8"/>
  <c r="BT11" i="8"/>
  <c r="BT10" i="8"/>
  <c r="BT9" i="8"/>
  <c r="BS78" i="8"/>
  <c r="BS77" i="8"/>
  <c r="BS76" i="8"/>
  <c r="BS74" i="8"/>
  <c r="BT75" i="8"/>
  <c r="BK3" i="10" l="1"/>
  <c r="BV117" i="12" a="1"/>
  <c r="BV117" i="12" s="1"/>
  <c r="BM3" i="15"/>
  <c r="BT6" i="8"/>
  <c r="BJ3" i="11"/>
  <c r="BU94" i="8"/>
  <c r="BT47" i="8"/>
  <c r="BT73" i="8"/>
  <c r="BK3" i="9"/>
  <c r="BV116" i="12" a="1"/>
  <c r="BV116" i="12" s="1"/>
  <c r="AT3" i="13"/>
  <c r="BV111" i="12" a="1"/>
  <c r="BV111" i="12" s="1"/>
  <c r="AL75" i="17" a="1"/>
  <c r="AL75" i="17" s="1"/>
  <c r="AT75" i="17" a="1"/>
  <c r="AT75" i="17" s="1"/>
  <c r="R75" i="17" s="1"/>
  <c r="BG75" i="17" a="1"/>
  <c r="BG75" i="17" s="1"/>
  <c r="AO75" i="17" a="1"/>
  <c r="AO75" i="17" s="1"/>
  <c r="BH75" i="17" a="1"/>
  <c r="BH75" i="17" s="1"/>
  <c r="AQ75" i="17" a="1"/>
  <c r="AQ75" i="17" s="1"/>
  <c r="BC75" i="17" a="1"/>
  <c r="BC75" i="17" s="1"/>
  <c r="AV75" i="17" a="1"/>
  <c r="AV75" i="17" s="1"/>
  <c r="BJ75" i="17" a="1"/>
  <c r="BJ75" i="17" s="1"/>
  <c r="AX75" i="17" a="1"/>
  <c r="AX75" i="17" s="1"/>
  <c r="BB75" i="17" a="1"/>
  <c r="BB75" i="17" s="1"/>
  <c r="AW75" i="17" a="1"/>
  <c r="AW75" i="17" s="1"/>
  <c r="S75" i="17" s="1"/>
  <c r="BJ42" i="17"/>
  <c r="AR75" i="17" a="1"/>
  <c r="AR75" i="17" s="1"/>
  <c r="BK75" i="17" a="1"/>
  <c r="BK75" i="17" s="1"/>
  <c r="AS75" i="17" a="1"/>
  <c r="AS75" i="17" s="1"/>
  <c r="BL75" i="17" a="1"/>
  <c r="BL75" i="17" s="1"/>
  <c r="X75" i="17" s="1"/>
  <c r="BI75" i="17" a="1"/>
  <c r="BI75" i="17" s="1"/>
  <c r="W75" i="17" s="1"/>
  <c r="AY75" i="17" a="1"/>
  <c r="AY75" i="17" s="1"/>
  <c r="AF75" i="17" a="1"/>
  <c r="AF75" i="17" s="1"/>
  <c r="AZ75" i="17" a="1"/>
  <c r="AZ75" i="17" s="1"/>
  <c r="T75" i="17" s="1"/>
  <c r="AH75" i="17" a="1"/>
  <c r="AH75" i="17" s="1"/>
  <c r="N75" i="17" s="1"/>
  <c r="AP75" i="17" a="1"/>
  <c r="AP75" i="17" s="1"/>
  <c r="AG75" i="17" a="1"/>
  <c r="AG75" i="17" s="1"/>
  <c r="AJ75" i="17" a="1"/>
  <c r="AJ75" i="17" s="1"/>
  <c r="BA75" i="17" a="1"/>
  <c r="BA75" i="17" s="1"/>
  <c r="AU75" i="17" a="1"/>
  <c r="AU75" i="17" s="1"/>
  <c r="AI75" i="17" a="1"/>
  <c r="AI75" i="17" s="1"/>
  <c r="BN75" i="17" a="1"/>
  <c r="BN75" i="17" s="1"/>
  <c r="AN75" i="17" a="1"/>
  <c r="AN75" i="17" s="1"/>
  <c r="P75" i="17" s="1"/>
  <c r="BE75" i="17" a="1"/>
  <c r="BE75" i="17" s="1"/>
  <c r="BD75" i="17" a="1"/>
  <c r="BD75" i="17" s="1"/>
  <c r="AM75" i="17" a="1"/>
  <c r="AM75" i="17" s="1"/>
  <c r="AK75" i="17" a="1"/>
  <c r="AK75" i="17" s="1"/>
  <c r="O75" i="17" s="1"/>
  <c r="BF75" i="17" a="1"/>
  <c r="BF75" i="17" s="1"/>
  <c r="V75" i="17" s="1"/>
  <c r="BS26" i="12"/>
  <c r="BM3" i="16"/>
  <c r="E120" i="22" a="1"/>
  <c r="E120" i="22" s="1"/>
  <c r="BO26" i="31"/>
  <c r="BO296" i="31" s="1"/>
  <c r="BT94" i="8"/>
  <c r="BL3" i="22"/>
  <c r="BO3" i="17"/>
  <c r="BV113" i="12" a="1"/>
  <c r="BV113" i="12" s="1"/>
  <c r="BO30" i="31"/>
  <c r="BO300" i="31" s="1"/>
  <c r="BL155" i="29"/>
  <c r="BL152" i="29" s="1"/>
  <c r="BM149" i="29" s="1"/>
  <c r="BK141" i="22"/>
  <c r="BK144" i="22" s="1"/>
  <c r="W144" i="22" s="1"/>
  <c r="BO293" i="31"/>
  <c r="BO302" i="31" s="1"/>
  <c r="BN26" i="31"/>
  <c r="BN296" i="31" s="1"/>
  <c r="Z296" i="31" s="1" a="1"/>
  <c r="Z296" i="31" s="1"/>
  <c r="J95" i="8" a="1"/>
  <c r="J95" i="8" s="1"/>
  <c r="J96" i="8" a="1"/>
  <c r="J96" i="8" s="1"/>
  <c r="K96" i="8"/>
  <c r="T94" i="8"/>
  <c r="AL94" i="8"/>
  <c r="N94" i="8"/>
  <c r="AM94" i="8"/>
  <c r="O94" i="8"/>
  <c r="U94" i="8"/>
  <c r="AN94" i="8"/>
  <c r="AO94" i="8"/>
  <c r="P94" i="8"/>
  <c r="V94" i="8"/>
  <c r="Q94" i="8"/>
  <c r="AP94" i="8"/>
  <c r="AQ94" i="8"/>
  <c r="AR94" i="8"/>
  <c r="W94" i="8"/>
  <c r="AS94" i="8"/>
  <c r="AT94" i="8"/>
  <c r="AU94" i="8"/>
  <c r="X94" i="8"/>
  <c r="AV94" i="8"/>
  <c r="AW94" i="8"/>
  <c r="Y94" i="8"/>
  <c r="AX94" i="8"/>
  <c r="Z94" i="8"/>
  <c r="AY94" i="8"/>
  <c r="AZ94" i="8"/>
  <c r="BA94" i="8"/>
  <c r="AA94" i="8"/>
  <c r="BB94" i="8"/>
  <c r="AB94" i="8"/>
  <c r="BC94" i="8"/>
  <c r="BD94" i="8"/>
  <c r="BE94" i="8"/>
  <c r="AC94" i="8"/>
  <c r="BF94" i="8"/>
  <c r="AD94" i="8"/>
  <c r="BG94" i="8"/>
  <c r="BH94" i="8"/>
  <c r="BI94" i="8"/>
  <c r="AE94" i="8"/>
  <c r="BJ94" i="8"/>
  <c r="AF94" i="8"/>
  <c r="BK94" i="8"/>
  <c r="BL94" i="8"/>
  <c r="BM94" i="8"/>
  <c r="AG94" i="8"/>
  <c r="BN94" i="8"/>
  <c r="BO94" i="8"/>
  <c r="AH94" i="8"/>
  <c r="BP94" i="8"/>
  <c r="BQ94" i="8"/>
  <c r="AI94" i="8"/>
  <c r="BR94" i="8"/>
  <c r="BS94" i="8"/>
  <c r="BK155" i="29"/>
  <c r="BK152" i="29" s="1"/>
  <c r="BL149" i="29" s="1"/>
  <c r="X149" i="29" s="1"/>
  <c r="BK139" i="22"/>
  <c r="BO29" i="31"/>
  <c r="BO299" i="31" s="1"/>
  <c r="BK41" i="17"/>
  <c r="E76" i="17" s="1" a="1"/>
  <c r="E76" i="17" s="1"/>
  <c r="BN76" i="17" s="1" a="1"/>
  <c r="BN76" i="17" s="1"/>
  <c r="AR110" i="13"/>
  <c r="AR108" i="13" s="1"/>
  <c r="BK25" i="22"/>
  <c r="BU86" i="20"/>
  <c r="AR131" i="13" s="1"/>
  <c r="AR128" i="13"/>
  <c r="AQ108" i="13"/>
  <c r="BX3" i="12"/>
  <c r="BX8" i="12"/>
  <c r="BX7" i="12"/>
  <c r="BX6" i="12"/>
  <c r="BX4" i="12"/>
  <c r="BO28" i="31"/>
  <c r="BO298" i="31" s="1"/>
  <c r="BO27" i="31"/>
  <c r="BM91" i="30"/>
  <c r="BM87" i="30" s="1"/>
  <c r="BN84" i="30" s="1"/>
  <c r="E119" i="22" a="1"/>
  <c r="E119" i="22" s="1"/>
  <c r="BL119" i="22" s="1"/>
  <c r="P3" i="31"/>
  <c r="AH3" i="31"/>
  <c r="AF3" i="30"/>
  <c r="E33" i="30" a="1"/>
  <c r="E33" i="30" s="1"/>
  <c r="J3" i="31"/>
  <c r="N3" i="30"/>
  <c r="AI3" i="31"/>
  <c r="E34" i="30" a="1"/>
  <c r="E34" i="30" s="1"/>
  <c r="AF81" i="30"/>
  <c r="AG3" i="30"/>
  <c r="AJ3" i="31"/>
  <c r="AF28" i="30"/>
  <c r="Q3" i="31"/>
  <c r="AF31" i="30"/>
  <c r="H3" i="30"/>
  <c r="K3" i="31"/>
  <c r="E35" i="30" a="1"/>
  <c r="E35" i="30" s="1"/>
  <c r="AG31" i="30"/>
  <c r="I3" i="30"/>
  <c r="O3" i="30"/>
  <c r="AG28" i="30"/>
  <c r="AG86" i="30" s="1"/>
  <c r="AG81" i="30"/>
  <c r="L3" i="31"/>
  <c r="AH3" i="30"/>
  <c r="AK3" i="31"/>
  <c r="E36" i="30" a="1"/>
  <c r="E36" i="30" s="1"/>
  <c r="J3" i="30"/>
  <c r="M3" i="31"/>
  <c r="AH81" i="30"/>
  <c r="AH31" i="30"/>
  <c r="AH28" i="30"/>
  <c r="AH86" i="30" s="1"/>
  <c r="AL3" i="31"/>
  <c r="AI3" i="30"/>
  <c r="R3" i="31"/>
  <c r="E37" i="30" a="1"/>
  <c r="E37" i="30" s="1"/>
  <c r="AJ3" i="30"/>
  <c r="K3" i="30"/>
  <c r="AI81" i="30"/>
  <c r="P3" i="30"/>
  <c r="AI28" i="30"/>
  <c r="AM3" i="31"/>
  <c r="AI31" i="30"/>
  <c r="E38" i="30" a="1"/>
  <c r="E38" i="30" s="1"/>
  <c r="S3" i="31"/>
  <c r="AJ81" i="30"/>
  <c r="AN3" i="31"/>
  <c r="AK3" i="30"/>
  <c r="AJ28" i="30"/>
  <c r="AJ86" i="30" s="1"/>
  <c r="AJ31" i="30"/>
  <c r="E39" i="30" a="1"/>
  <c r="E39" i="30" s="1"/>
  <c r="AK81" i="30"/>
  <c r="AO3" i="31"/>
  <c r="Q3" i="30"/>
  <c r="AL3" i="30"/>
  <c r="AK31" i="30"/>
  <c r="AK28" i="30"/>
  <c r="AK86" i="30" s="1"/>
  <c r="E40" i="30" a="1"/>
  <c r="E40" i="30" s="1"/>
  <c r="T3" i="31"/>
  <c r="AM3" i="30"/>
  <c r="AP3" i="31"/>
  <c r="AL31" i="30"/>
  <c r="AL28" i="30"/>
  <c r="AL81" i="30"/>
  <c r="E41" i="30" a="1"/>
  <c r="E41" i="30" s="1"/>
  <c r="AN3" i="30"/>
  <c r="AM31" i="30"/>
  <c r="AM28" i="30"/>
  <c r="AM86" i="30" s="1"/>
  <c r="R3" i="30"/>
  <c r="AM81" i="30"/>
  <c r="AQ3" i="31"/>
  <c r="E42" i="30" a="1"/>
  <c r="E42" i="30" s="1"/>
  <c r="AO3" i="30"/>
  <c r="AN28" i="30"/>
  <c r="AN86" i="30" s="1"/>
  <c r="AN31" i="30"/>
  <c r="AN81" i="30"/>
  <c r="AR3" i="31"/>
  <c r="U3" i="31"/>
  <c r="E43" i="30" a="1"/>
  <c r="E43" i="30" s="1"/>
  <c r="S3" i="30"/>
  <c r="AO81" i="30"/>
  <c r="AS3" i="31"/>
  <c r="AO28" i="30"/>
  <c r="AO31" i="30"/>
  <c r="AP3" i="30"/>
  <c r="AP81" i="30"/>
  <c r="E44" i="30" a="1"/>
  <c r="E44" i="30" s="1"/>
  <c r="V3" i="31"/>
  <c r="AT3" i="31"/>
  <c r="AQ3" i="30"/>
  <c r="AP28" i="30"/>
  <c r="AP86" i="30" s="1"/>
  <c r="AP31" i="30"/>
  <c r="E45" i="30" a="1"/>
  <c r="E45" i="30" s="1"/>
  <c r="AR3" i="30"/>
  <c r="AU3" i="31"/>
  <c r="AQ31" i="30"/>
  <c r="AQ28" i="30"/>
  <c r="AQ86" i="30" s="1"/>
  <c r="AQ81" i="30"/>
  <c r="T3" i="30"/>
  <c r="E46" i="30" a="1"/>
  <c r="E46" i="30" s="1"/>
  <c r="W3" i="31"/>
  <c r="AV3" i="31"/>
  <c r="AR28" i="30"/>
  <c r="AS3" i="30"/>
  <c r="AR81" i="30"/>
  <c r="AR31" i="30"/>
  <c r="E47" i="30" a="1"/>
  <c r="E47" i="30" s="1"/>
  <c r="AS28" i="30"/>
  <c r="AS86" i="30" s="1"/>
  <c r="AT3" i="30"/>
  <c r="U3" i="30"/>
  <c r="AS81" i="30"/>
  <c r="AW3" i="31"/>
  <c r="AS31" i="30"/>
  <c r="E48" i="30" a="1"/>
  <c r="E48" i="30" s="1"/>
  <c r="AT28" i="30"/>
  <c r="AT86" i="30" s="1"/>
  <c r="AU3" i="30"/>
  <c r="AX3" i="31"/>
  <c r="AT81" i="30"/>
  <c r="X3" i="31"/>
  <c r="AT31" i="30"/>
  <c r="E49" i="30" a="1"/>
  <c r="E49" i="30" s="1"/>
  <c r="AU81" i="30"/>
  <c r="AV3" i="30"/>
  <c r="AU31" i="30"/>
  <c r="AY3" i="31"/>
  <c r="AU28" i="30"/>
  <c r="V3" i="30"/>
  <c r="E50" i="30" a="1"/>
  <c r="E50" i="30" s="1"/>
  <c r="AZ3" i="31"/>
  <c r="AV28" i="30"/>
  <c r="AV86" i="30" s="1"/>
  <c r="Y3" i="31"/>
  <c r="AV81" i="30"/>
  <c r="AV31" i="30"/>
  <c r="AW3" i="30"/>
  <c r="E51" i="30" a="1"/>
  <c r="E51" i="30" s="1"/>
  <c r="BA3" i="31"/>
  <c r="W3" i="30"/>
  <c r="AW31" i="30"/>
  <c r="AX3" i="30"/>
  <c r="AW81" i="30"/>
  <c r="AW28" i="30"/>
  <c r="AW86" i="30" s="1"/>
  <c r="E52" i="30" a="1"/>
  <c r="E52" i="30" s="1"/>
  <c r="BB3" i="31"/>
  <c r="AY3" i="30"/>
  <c r="Z3" i="31"/>
  <c r="AX31" i="30"/>
  <c r="AX28" i="30"/>
  <c r="AX81" i="30"/>
  <c r="E53" i="30" a="1"/>
  <c r="E53" i="30" s="1"/>
  <c r="AY31" i="30"/>
  <c r="AY81" i="30"/>
  <c r="AZ3" i="30"/>
  <c r="BC3" i="31"/>
  <c r="AY28" i="30"/>
  <c r="AY86" i="30" s="1"/>
  <c r="X3" i="30"/>
  <c r="E54" i="30" a="1"/>
  <c r="E54" i="30" s="1"/>
  <c r="AZ81" i="30"/>
  <c r="BD3" i="31"/>
  <c r="BA3" i="30"/>
  <c r="AA3" i="31"/>
  <c r="AZ31" i="30"/>
  <c r="AZ28" i="30"/>
  <c r="AZ86" i="30" s="1"/>
  <c r="E55" i="30" a="1"/>
  <c r="E55" i="30" s="1"/>
  <c r="BE3" i="31"/>
  <c r="BA31" i="30"/>
  <c r="BA28" i="30"/>
  <c r="BA81" i="30"/>
  <c r="BB3" i="30"/>
  <c r="Y3" i="30"/>
  <c r="E56" i="30" a="1"/>
  <c r="E56" i="30" s="1"/>
  <c r="BC3" i="30"/>
  <c r="AB3" i="31"/>
  <c r="BB31" i="30"/>
  <c r="BB28" i="30"/>
  <c r="BB86" i="30" s="1"/>
  <c r="BF3" i="31"/>
  <c r="BB81" i="30"/>
  <c r="E57" i="30" a="1"/>
  <c r="E57" i="30" s="1"/>
  <c r="BC31" i="30"/>
  <c r="BC81" i="30"/>
  <c r="BC28" i="30"/>
  <c r="BC86" i="30" s="1"/>
  <c r="BG3" i="31"/>
  <c r="BD3" i="30"/>
  <c r="Z3" i="30"/>
  <c r="E58" i="30" a="1"/>
  <c r="E58" i="30" s="1"/>
  <c r="BE3" i="30"/>
  <c r="BH3" i="31"/>
  <c r="BD28" i="30"/>
  <c r="BD31" i="30"/>
  <c r="AC3" i="31"/>
  <c r="BD81" i="30"/>
  <c r="E59" i="30" a="1"/>
  <c r="E59" i="30" s="1"/>
  <c r="AA3" i="30"/>
  <c r="BE28" i="30"/>
  <c r="BE86" i="30" s="1"/>
  <c r="BE31" i="30"/>
  <c r="BI3" i="31"/>
  <c r="BE81" i="30"/>
  <c r="BF3" i="30"/>
  <c r="E60" i="30" a="1"/>
  <c r="E60" i="30" s="1"/>
  <c r="BF81" i="30"/>
  <c r="AD3" i="31"/>
  <c r="BG3" i="30"/>
  <c r="BJ3" i="31"/>
  <c r="BF28" i="30"/>
  <c r="BF86" i="30" s="1"/>
  <c r="BF31" i="30"/>
  <c r="E61" i="30" a="1"/>
  <c r="E61" i="30" s="1"/>
  <c r="BK3" i="31"/>
  <c r="BG81" i="30"/>
  <c r="BG31" i="30"/>
  <c r="AB3" i="30"/>
  <c r="BG28" i="30"/>
  <c r="BH3" i="30"/>
  <c r="E62" i="30" a="1"/>
  <c r="E62" i="30" s="1"/>
  <c r="BL3" i="31"/>
  <c r="BI3" i="30"/>
  <c r="BH81" i="30"/>
  <c r="BH31" i="30"/>
  <c r="BH28" i="30"/>
  <c r="BH86" i="30" s="1"/>
  <c r="AE3" i="31"/>
  <c r="E63" i="30" a="1"/>
  <c r="E63" i="30" s="1"/>
  <c r="AC3" i="30"/>
  <c r="BI31" i="30"/>
  <c r="BI81" i="30"/>
  <c r="BM3" i="31"/>
  <c r="BI28" i="30"/>
  <c r="BI86" i="30" s="1"/>
  <c r="BJ3" i="30"/>
  <c r="E64" i="30" a="1"/>
  <c r="E64" i="30" s="1"/>
  <c r="BJ81" i="30"/>
  <c r="BN3" i="31"/>
  <c r="BJ31" i="30"/>
  <c r="BK3" i="30"/>
  <c r="BJ28" i="30"/>
  <c r="E65" i="30" a="1"/>
  <c r="E65" i="30" s="1"/>
  <c r="BK81" i="30"/>
  <c r="BO3" i="31"/>
  <c r="BK31" i="30"/>
  <c r="BK28" i="30"/>
  <c r="BK86" i="30" s="1"/>
  <c r="BL3" i="30"/>
  <c r="E66" i="30" a="1"/>
  <c r="E66" i="30" s="1"/>
  <c r="BP3" i="31"/>
  <c r="BL31" i="30"/>
  <c r="BL28" i="30"/>
  <c r="BL86" i="30" s="1"/>
  <c r="BL81" i="30"/>
  <c r="BM3" i="30"/>
  <c r="E67" i="30" a="1"/>
  <c r="E67" i="30" s="1"/>
  <c r="BM31" i="30"/>
  <c r="BM28" i="30"/>
  <c r="BM86" i="30" s="1"/>
  <c r="BQ3" i="31"/>
  <c r="BN3" i="30"/>
  <c r="BM81" i="30"/>
  <c r="BO3" i="30"/>
  <c r="BN28" i="30"/>
  <c r="BN86" i="30" s="1"/>
  <c r="BR3" i="31"/>
  <c r="BN81" i="30"/>
  <c r="BN31" i="30"/>
  <c r="BS3" i="31"/>
  <c r="BP3" i="30"/>
  <c r="BT3" i="31"/>
  <c r="BQ3" i="30"/>
  <c r="BR3" i="30"/>
  <c r="BU3" i="31"/>
  <c r="BV3" i="31"/>
  <c r="BS3" i="30"/>
  <c r="BT3" i="30"/>
  <c r="BW3" i="31"/>
  <c r="BX3" i="31"/>
  <c r="BU3" i="30"/>
  <c r="BY3" i="31"/>
  <c r="BV3" i="30"/>
  <c r="BZ3" i="31"/>
  <c r="BW3" i="30"/>
  <c r="BX3" i="30"/>
  <c r="CA3" i="31"/>
  <c r="BY3" i="30"/>
  <c r="CB3" i="31"/>
  <c r="CC3" i="31"/>
  <c r="BZ3" i="30"/>
  <c r="CA3" i="30"/>
  <c r="E97" i="29" a="1"/>
  <c r="E97" i="29" s="1"/>
  <c r="AE3" i="28"/>
  <c r="M3" i="28"/>
  <c r="AE3" i="29"/>
  <c r="M3" i="29"/>
  <c r="E83" i="28" a="1"/>
  <c r="E83" i="28" s="1"/>
  <c r="E46" i="29" a="1"/>
  <c r="E46" i="29" s="1"/>
  <c r="E32" i="28" a="1"/>
  <c r="E32" i="28" s="1"/>
  <c r="E34" i="28" a="1"/>
  <c r="E34" i="28" s="1"/>
  <c r="AE25" i="28"/>
  <c r="AE39" i="29"/>
  <c r="AF3" i="29"/>
  <c r="E99" i="29" a="1"/>
  <c r="E99" i="29" s="1"/>
  <c r="E33" i="28" a="1"/>
  <c r="E33" i="28" s="1"/>
  <c r="N3" i="28"/>
  <c r="AF3" i="28"/>
  <c r="AE136" i="28"/>
  <c r="G3" i="29"/>
  <c r="AE150" i="29"/>
  <c r="G3" i="28"/>
  <c r="H3" i="28"/>
  <c r="E84" i="28" a="1"/>
  <c r="E84" i="28" s="1"/>
  <c r="E47" i="29" a="1"/>
  <c r="E47" i="29" s="1"/>
  <c r="E98" i="29" a="1"/>
  <c r="E98" i="29" s="1"/>
  <c r="N3" i="29"/>
  <c r="AF39" i="29"/>
  <c r="AF136" i="28"/>
  <c r="AF25" i="28"/>
  <c r="E100" i="29" a="1"/>
  <c r="E100" i="29" s="1"/>
  <c r="I3" i="28"/>
  <c r="AG3" i="29"/>
  <c r="E85" i="28" a="1"/>
  <c r="E85" i="28" s="1"/>
  <c r="E35" i="28" a="1"/>
  <c r="E35" i="28" s="1"/>
  <c r="I3" i="29"/>
  <c r="E48" i="29" a="1"/>
  <c r="E48" i="29" s="1"/>
  <c r="AG3" i="28"/>
  <c r="H3" i="29"/>
  <c r="AF150" i="29"/>
  <c r="AG39" i="29"/>
  <c r="J3" i="28"/>
  <c r="AG25" i="28"/>
  <c r="AH3" i="29"/>
  <c r="O3" i="29"/>
  <c r="E101" i="29" a="1"/>
  <c r="E101" i="29" s="1"/>
  <c r="E49" i="29" a="1"/>
  <c r="E49" i="29" s="1"/>
  <c r="J3" i="29"/>
  <c r="AH3" i="28"/>
  <c r="O3" i="28"/>
  <c r="AG150" i="29"/>
  <c r="E86" i="28" a="1"/>
  <c r="E86" i="28" s="1"/>
  <c r="E36" i="28" a="1"/>
  <c r="E36" i="28" s="1"/>
  <c r="E102" i="29" a="1"/>
  <c r="E102" i="29" s="1"/>
  <c r="AG136" i="28"/>
  <c r="AH39" i="29"/>
  <c r="AH25" i="28"/>
  <c r="AI3" i="28"/>
  <c r="AI3" i="29"/>
  <c r="E37" i="28" a="1"/>
  <c r="E37" i="28" s="1"/>
  <c r="E87" i="28" a="1"/>
  <c r="E87" i="28" s="1"/>
  <c r="AH136" i="28"/>
  <c r="E50" i="29" a="1"/>
  <c r="E50" i="29" s="1"/>
  <c r="AH150" i="29"/>
  <c r="E103" i="29" a="1"/>
  <c r="E103" i="29" s="1"/>
  <c r="AI39" i="29"/>
  <c r="AJ3" i="29"/>
  <c r="AI25" i="28"/>
  <c r="E88" i="28" a="1"/>
  <c r="E88" i="28" s="1"/>
  <c r="AI136" i="28"/>
  <c r="P3" i="29"/>
  <c r="E38" i="28" a="1"/>
  <c r="E38" i="28" s="1"/>
  <c r="E51" i="29" a="1"/>
  <c r="E51" i="29" s="1"/>
  <c r="AJ3" i="28"/>
  <c r="E39" i="28" a="1"/>
  <c r="E39" i="28" s="1"/>
  <c r="AI150" i="29"/>
  <c r="P3" i="28"/>
  <c r="E104" i="29" a="1"/>
  <c r="E104" i="29" s="1"/>
  <c r="AJ39" i="29"/>
  <c r="AJ150" i="29"/>
  <c r="E105" i="29" a="1"/>
  <c r="E105" i="29" s="1"/>
  <c r="AK3" i="28"/>
  <c r="AK3" i="29"/>
  <c r="E89" i="28" a="1"/>
  <c r="E89" i="28" s="1"/>
  <c r="E40" i="28" a="1"/>
  <c r="E40" i="28" s="1"/>
  <c r="E52" i="29" a="1"/>
  <c r="E52" i="29" s="1"/>
  <c r="AJ136" i="28"/>
  <c r="AJ25" i="28"/>
  <c r="AK39" i="29"/>
  <c r="AK136" i="28"/>
  <c r="Q3" i="29"/>
  <c r="E53" i="29" a="1"/>
  <c r="E53" i="29" s="1"/>
  <c r="AL3" i="28"/>
  <c r="AK150" i="29"/>
  <c r="AL3" i="29"/>
  <c r="AK25" i="28"/>
  <c r="E90" i="28" a="1"/>
  <c r="E90" i="28" s="1"/>
  <c r="Q3" i="28"/>
  <c r="E41" i="28" a="1"/>
  <c r="E41" i="28" s="1"/>
  <c r="E106" i="29" a="1"/>
  <c r="E106" i="29" s="1"/>
  <c r="AL39" i="29"/>
  <c r="AL25" i="28"/>
  <c r="AM3" i="29"/>
  <c r="E107" i="29" a="1"/>
  <c r="E107" i="29" s="1"/>
  <c r="AM3" i="28"/>
  <c r="E42" i="28" a="1"/>
  <c r="E42" i="28" s="1"/>
  <c r="AO42" i="28" s="1"/>
  <c r="AL150" i="29"/>
  <c r="AL136" i="28"/>
  <c r="E54" i="29" a="1"/>
  <c r="E54" i="29" s="1"/>
  <c r="E91" i="28" a="1"/>
  <c r="E91" i="28" s="1"/>
  <c r="AM39" i="29"/>
  <c r="E92" i="28" a="1"/>
  <c r="E92" i="28" s="1"/>
  <c r="E108" i="29" a="1"/>
  <c r="E108" i="29" s="1"/>
  <c r="AN3" i="28"/>
  <c r="R3" i="29"/>
  <c r="E43" i="28" a="1"/>
  <c r="E43" i="28" s="1"/>
  <c r="AM25" i="28"/>
  <c r="AN3" i="29"/>
  <c r="AM136" i="28"/>
  <c r="AM150" i="29"/>
  <c r="E55" i="29" a="1"/>
  <c r="E55" i="29" s="1"/>
  <c r="R3" i="28"/>
  <c r="AN39" i="29"/>
  <c r="AN136" i="28"/>
  <c r="E93" i="28" a="1"/>
  <c r="E93" i="28" s="1"/>
  <c r="AO93" i="28" s="1"/>
  <c r="AN25" i="28"/>
  <c r="E56" i="29" a="1"/>
  <c r="E56" i="29" s="1"/>
  <c r="E109" i="29" a="1"/>
  <c r="E109" i="29" s="1"/>
  <c r="E44" i="28" a="1"/>
  <c r="E44" i="28" s="1"/>
  <c r="AN150" i="29"/>
  <c r="AO3" i="29"/>
  <c r="AO3" i="28"/>
  <c r="AO39" i="29"/>
  <c r="AO136" i="28"/>
  <c r="S3" i="29"/>
  <c r="AO150" i="29"/>
  <c r="E110" i="29" a="1"/>
  <c r="E110" i="29" s="1"/>
  <c r="AO25" i="28"/>
  <c r="S3" i="28"/>
  <c r="E94" i="28" a="1"/>
  <c r="E94" i="28" s="1"/>
  <c r="E45" i="28" a="1"/>
  <c r="E45" i="28" s="1"/>
  <c r="E57" i="29" a="1"/>
  <c r="E57" i="29" s="1"/>
  <c r="E95" i="28" a="1"/>
  <c r="E95" i="28" s="1"/>
  <c r="AQ3" i="29"/>
  <c r="E46" i="28" a="1"/>
  <c r="E46" i="28" s="1"/>
  <c r="E58" i="29" a="1"/>
  <c r="E58" i="29" s="1"/>
  <c r="E111" i="29" a="1"/>
  <c r="E111" i="29" s="1"/>
  <c r="AQ39" i="29"/>
  <c r="E59" i="29" a="1"/>
  <c r="E59" i="29" s="1"/>
  <c r="T3" i="28"/>
  <c r="AR3" i="29"/>
  <c r="E47" i="28" a="1"/>
  <c r="E47" i="28" s="1"/>
  <c r="T3" i="29"/>
  <c r="E96" i="28" a="1"/>
  <c r="E96" i="28" s="1"/>
  <c r="AQ150" i="29"/>
  <c r="AP3" i="29"/>
  <c r="E112" i="29" a="1"/>
  <c r="E112" i="29" s="1"/>
  <c r="AP39" i="29"/>
  <c r="AR39" i="29"/>
  <c r="AP150" i="29"/>
  <c r="AS3" i="29"/>
  <c r="E60" i="29" a="1"/>
  <c r="E60" i="29" s="1"/>
  <c r="E48" i="28" a="1"/>
  <c r="E48" i="28" s="1"/>
  <c r="E97" i="28" a="1"/>
  <c r="E97" i="28" s="1"/>
  <c r="AR150" i="29"/>
  <c r="E113" i="29" a="1"/>
  <c r="E113" i="29" s="1"/>
  <c r="AS39" i="29"/>
  <c r="E61" i="29" a="1"/>
  <c r="E61" i="29" s="1"/>
  <c r="E98" i="28" a="1"/>
  <c r="E98" i="28" s="1"/>
  <c r="AS150" i="29"/>
  <c r="E49" i="28" a="1"/>
  <c r="E49" i="28" s="1"/>
  <c r="E114" i="29" a="1"/>
  <c r="E114" i="29" s="1"/>
  <c r="U3" i="29"/>
  <c r="AT3" i="29"/>
  <c r="U3" i="28"/>
  <c r="AT39" i="29"/>
  <c r="E50" i="28" a="1"/>
  <c r="E50" i="28" s="1"/>
  <c r="E115" i="29" a="1"/>
  <c r="E115" i="29" s="1"/>
  <c r="AU3" i="29"/>
  <c r="AT150" i="29"/>
  <c r="E62" i="29" a="1"/>
  <c r="E62" i="29" s="1"/>
  <c r="E99" i="28" a="1"/>
  <c r="E99" i="28" s="1"/>
  <c r="AU39" i="29"/>
  <c r="E116" i="29" a="1"/>
  <c r="E116" i="29" s="1"/>
  <c r="V3" i="29"/>
  <c r="E51" i="28" a="1"/>
  <c r="E51" i="28" s="1"/>
  <c r="AV3" i="29"/>
  <c r="AU150" i="29"/>
  <c r="V3" i="28"/>
  <c r="E63" i="29" a="1"/>
  <c r="E63" i="29" s="1"/>
  <c r="E100" i="28" a="1"/>
  <c r="E100" i="28" s="1"/>
  <c r="AV39" i="29"/>
  <c r="AV150" i="29"/>
  <c r="E117" i="29" a="1"/>
  <c r="E117" i="29" s="1"/>
  <c r="AW3" i="29"/>
  <c r="E64" i="29" a="1"/>
  <c r="E64" i="29" s="1"/>
  <c r="E52" i="28" a="1"/>
  <c r="E52" i="28" s="1"/>
  <c r="E101" i="28" a="1"/>
  <c r="E101" i="28" s="1"/>
  <c r="AW39" i="29"/>
  <c r="E53" i="28" a="1"/>
  <c r="E53" i="28" s="1"/>
  <c r="AW150" i="29"/>
  <c r="E118" i="29" a="1"/>
  <c r="E118" i="29" s="1"/>
  <c r="AX3" i="29"/>
  <c r="E65" i="29" a="1"/>
  <c r="E65" i="29" s="1"/>
  <c r="W3" i="28"/>
  <c r="W3" i="29"/>
  <c r="E102" i="28" a="1"/>
  <c r="E102" i="28" s="1"/>
  <c r="AX39" i="29"/>
  <c r="AY3" i="29"/>
  <c r="E103" i="28" a="1"/>
  <c r="E103" i="28" s="1"/>
  <c r="AX150" i="29"/>
  <c r="E119" i="29" a="1"/>
  <c r="E119" i="29" s="1"/>
  <c r="E66" i="29" a="1"/>
  <c r="E66" i="29" s="1"/>
  <c r="E54" i="28" a="1"/>
  <c r="E54" i="28" s="1"/>
  <c r="AY39" i="29"/>
  <c r="X3" i="29"/>
  <c r="AY150" i="29"/>
  <c r="E120" i="29" a="1"/>
  <c r="E120" i="29" s="1"/>
  <c r="AZ3" i="29"/>
  <c r="E55" i="28" a="1"/>
  <c r="E55" i="28" s="1"/>
  <c r="X3" i="28"/>
  <c r="E67" i="29" a="1"/>
  <c r="E67" i="29" s="1"/>
  <c r="E104" i="28" a="1"/>
  <c r="E104" i="28" s="1"/>
  <c r="AZ39" i="29"/>
  <c r="E105" i="28" a="1"/>
  <c r="E105" i="28" s="1"/>
  <c r="E68" i="29" a="1"/>
  <c r="E68" i="29" s="1"/>
  <c r="AZ150" i="29"/>
  <c r="BA3" i="29"/>
  <c r="E121" i="29" a="1"/>
  <c r="E121" i="29" s="1"/>
  <c r="E56" i="28" a="1"/>
  <c r="E56" i="28" s="1"/>
  <c r="BA39" i="29"/>
  <c r="E69" i="29" a="1"/>
  <c r="E69" i="29" s="1"/>
  <c r="BA150" i="29"/>
  <c r="Y3" i="29"/>
  <c r="E57" i="28" a="1"/>
  <c r="E57" i="28" s="1"/>
  <c r="BB3" i="29"/>
  <c r="Y3" i="28"/>
  <c r="E106" i="28" a="1"/>
  <c r="E106" i="28" s="1"/>
  <c r="E122" i="29" a="1"/>
  <c r="E122" i="29" s="1"/>
  <c r="BB39" i="29"/>
  <c r="BC3" i="29"/>
  <c r="E58" i="28" a="1"/>
  <c r="E58" i="28" s="1"/>
  <c r="BB150" i="29"/>
  <c r="E107" i="28" a="1"/>
  <c r="E107" i="28" s="1"/>
  <c r="E70" i="29" a="1"/>
  <c r="E70" i="29" s="1"/>
  <c r="E123" i="29" a="1"/>
  <c r="E123" i="29" s="1"/>
  <c r="BC39" i="29"/>
  <c r="Z3" i="29"/>
  <c r="E59" i="28" a="1"/>
  <c r="E59" i="28" s="1"/>
  <c r="BC150" i="29"/>
  <c r="E124" i="29" a="1"/>
  <c r="E124" i="29" s="1"/>
  <c r="E108" i="28" a="1"/>
  <c r="E108" i="28" s="1"/>
  <c r="BD3" i="29"/>
  <c r="E71" i="29" a="1"/>
  <c r="E71" i="29" s="1"/>
  <c r="Z3" i="28"/>
  <c r="BD39" i="29"/>
  <c r="BE3" i="29"/>
  <c r="E72" i="29" a="1"/>
  <c r="E72" i="29" s="1"/>
  <c r="E125" i="29" a="1"/>
  <c r="E125" i="29" s="1"/>
  <c r="BD150" i="29"/>
  <c r="E109" i="28" a="1"/>
  <c r="E109" i="28" s="1"/>
  <c r="E60" i="28" a="1"/>
  <c r="E60" i="28" s="1"/>
  <c r="BE39" i="29"/>
  <c r="BE150" i="29"/>
  <c r="BF3" i="29"/>
  <c r="E110" i="28" a="1"/>
  <c r="E110" i="28" s="1"/>
  <c r="E126" i="29" a="1"/>
  <c r="E126" i="29" s="1"/>
  <c r="E73" i="29" a="1"/>
  <c r="E73" i="29" s="1"/>
  <c r="E61" i="28" a="1"/>
  <c r="E61" i="28" s="1"/>
  <c r="AA3" i="28"/>
  <c r="AA3" i="29"/>
  <c r="BF39" i="29"/>
  <c r="E74" i="29" a="1"/>
  <c r="E74" i="29" s="1"/>
  <c r="BF150" i="29"/>
  <c r="BG3" i="29"/>
  <c r="E111" i="28" a="1"/>
  <c r="E111" i="28" s="1"/>
  <c r="E127" i="29" a="1"/>
  <c r="E127" i="29" s="1"/>
  <c r="E62" i="28" a="1"/>
  <c r="E62" i="28" s="1"/>
  <c r="BG39" i="29"/>
  <c r="BH3" i="29"/>
  <c r="E75" i="29" a="1"/>
  <c r="E75" i="29" s="1"/>
  <c r="E128" i="29" a="1"/>
  <c r="E128" i="29" s="1"/>
  <c r="E63" i="28" a="1"/>
  <c r="E63" i="28" s="1"/>
  <c r="AB3" i="29"/>
  <c r="E112" i="28" a="1"/>
  <c r="E112" i="28" s="1"/>
  <c r="BG150" i="29"/>
  <c r="AB3" i="28"/>
  <c r="BH39" i="29"/>
  <c r="BH150" i="29"/>
  <c r="E113" i="28" a="1"/>
  <c r="E113" i="28" s="1"/>
  <c r="BI3" i="29"/>
  <c r="E129" i="29" a="1"/>
  <c r="E129" i="29" s="1"/>
  <c r="E64" i="28" a="1"/>
  <c r="E64" i="28" s="1"/>
  <c r="E76" i="29" a="1"/>
  <c r="E76" i="29" s="1"/>
  <c r="BI39" i="29"/>
  <c r="BI150" i="29"/>
  <c r="E77" i="29" a="1"/>
  <c r="E77" i="29" s="1"/>
  <c r="E65" i="28" a="1"/>
  <c r="E65" i="28" s="1"/>
  <c r="E130" i="29" a="1"/>
  <c r="E130" i="29" s="1"/>
  <c r="BJ3" i="29"/>
  <c r="E114" i="28" a="1"/>
  <c r="E114" i="28" s="1"/>
  <c r="BJ39" i="29"/>
  <c r="E131" i="29" a="1"/>
  <c r="E131" i="29" s="1"/>
  <c r="E115" i="28" a="1"/>
  <c r="E115" i="28" s="1"/>
  <c r="BK3" i="29"/>
  <c r="BJ150" i="29"/>
  <c r="E78" i="29" a="1"/>
  <c r="E78" i="29" s="1"/>
  <c r="BK39" i="29"/>
  <c r="BL3" i="29"/>
  <c r="E79" i="29" a="1"/>
  <c r="E79" i="29" s="1"/>
  <c r="E116" i="28" a="1"/>
  <c r="E116" i="28" s="1"/>
  <c r="BK150" i="29"/>
  <c r="BL39" i="29"/>
  <c r="E117" i="28" a="1"/>
  <c r="E117" i="28" s="1"/>
  <c r="E68" i="28" a="1"/>
  <c r="E68" i="28" s="1"/>
  <c r="BM3" i="29"/>
  <c r="BL150" i="29"/>
  <c r="E69" i="28" a="1"/>
  <c r="E69" i="28" s="1"/>
  <c r="E132" i="29" a="1"/>
  <c r="E132" i="29" s="1"/>
  <c r="BN3" i="29"/>
  <c r="BM150" i="29"/>
  <c r="BN150" i="29"/>
  <c r="E133" i="29" a="1"/>
  <c r="E133" i="29" s="1"/>
  <c r="E82" i="29" a="1"/>
  <c r="E82" i="29" s="1"/>
  <c r="BO3" i="29"/>
  <c r="E70" i="28" a="1"/>
  <c r="E70" i="28" s="1"/>
  <c r="BO39" i="29"/>
  <c r="E83" i="29" a="1"/>
  <c r="E83" i="29" s="1"/>
  <c r="BO150" i="29"/>
  <c r="E71" i="28" a="1"/>
  <c r="E71" i="28" s="1"/>
  <c r="BP3" i="29"/>
  <c r="BP39" i="29"/>
  <c r="E72" i="28" a="1"/>
  <c r="E72" i="28" s="1"/>
  <c r="E84" i="29" a="1"/>
  <c r="E84" i="29" s="1"/>
  <c r="E134" i="29" a="1"/>
  <c r="E134" i="29" s="1"/>
  <c r="BQ3" i="29"/>
  <c r="BP150" i="29"/>
  <c r="E135" i="29" a="1"/>
  <c r="E135" i="29" s="1"/>
  <c r="BQ39" i="29"/>
  <c r="E73" i="28" a="1"/>
  <c r="E73" i="28" s="1"/>
  <c r="BQ150" i="29"/>
  <c r="BR3" i="29"/>
  <c r="E85" i="29" a="1"/>
  <c r="E85" i="29" s="1"/>
  <c r="E136" i="29" a="1"/>
  <c r="E136" i="29" s="1"/>
  <c r="E74" i="28" a="1"/>
  <c r="E74" i="28" s="1"/>
  <c r="BR39" i="29"/>
  <c r="BR150" i="29"/>
  <c r="E86" i="29" a="1"/>
  <c r="E86" i="29" s="1"/>
  <c r="BS3" i="29"/>
  <c r="BS39" i="29"/>
  <c r="E137" i="29" a="1"/>
  <c r="E137" i="29" s="1"/>
  <c r="E75" i="28" a="1"/>
  <c r="E75" i="28" s="1"/>
  <c r="E87" i="29" a="1"/>
  <c r="E87" i="29" s="1"/>
  <c r="BT3" i="29"/>
  <c r="BS150" i="29"/>
  <c r="BT39" i="29"/>
  <c r="E76" i="28" a="1"/>
  <c r="E76" i="28" s="1"/>
  <c r="BU3" i="29"/>
  <c r="E88" i="29" a="1"/>
  <c r="E88" i="29" s="1"/>
  <c r="E138" i="29" a="1"/>
  <c r="E138" i="29" s="1"/>
  <c r="BT150" i="29"/>
  <c r="E139" i="29" a="1"/>
  <c r="E139" i="29" s="1"/>
  <c r="BU39" i="29"/>
  <c r="BU150" i="29"/>
  <c r="E140" i="29" a="1"/>
  <c r="E140" i="29" s="1"/>
  <c r="E77" i="28" a="1"/>
  <c r="E77" i="28" s="1"/>
  <c r="E89" i="29" a="1"/>
  <c r="E89" i="29" s="1"/>
  <c r="BV3" i="29"/>
  <c r="BV39" i="29"/>
  <c r="BW3" i="29"/>
  <c r="E90" i="29" a="1"/>
  <c r="E90" i="29" s="1"/>
  <c r="E78" i="28" a="1"/>
  <c r="E78" i="28" s="1"/>
  <c r="BV150" i="29"/>
  <c r="E141" i="29" a="1"/>
  <c r="E141" i="29" s="1"/>
  <c r="E79" i="28" a="1"/>
  <c r="E79" i="28" s="1"/>
  <c r="BW39" i="29"/>
  <c r="BW150" i="29"/>
  <c r="BX3" i="29"/>
  <c r="E91" i="29" a="1"/>
  <c r="E91" i="29" s="1"/>
  <c r="E142" i="29" a="1"/>
  <c r="E142" i="29" s="1"/>
  <c r="E143" i="29" a="1"/>
  <c r="E143" i="29" s="1"/>
  <c r="BX150" i="29"/>
  <c r="BX39" i="29"/>
  <c r="E92" i="29" a="1"/>
  <c r="E92" i="29" s="1"/>
  <c r="BY3" i="29"/>
  <c r="BY39" i="29"/>
  <c r="E93" i="29" a="1"/>
  <c r="E93" i="29" s="1"/>
  <c r="BZ93" i="29" s="1"/>
  <c r="BY150" i="29"/>
  <c r="BZ3" i="29"/>
  <c r="E144" i="29" a="1"/>
  <c r="E144" i="29" s="1"/>
  <c r="BZ144" i="29" s="1"/>
  <c r="BZ150" i="29"/>
  <c r="BZ39" i="29"/>
  <c r="J75" i="8" a="1"/>
  <c r="J75" i="8" s="1"/>
  <c r="G17" i="3"/>
  <c r="J48" i="8" a="1"/>
  <c r="J48" i="8" s="1"/>
  <c r="K75" i="8"/>
  <c r="F6" i="3"/>
  <c r="F18" i="3"/>
  <c r="F7" i="3"/>
  <c r="M7" i="3" s="1"/>
  <c r="F19" i="3"/>
  <c r="F20" i="3"/>
  <c r="K49" i="8"/>
  <c r="G20" i="3"/>
  <c r="G16" i="3"/>
  <c r="G6" i="3"/>
  <c r="G18" i="3"/>
  <c r="J7" i="8" a="1"/>
  <c r="J7" i="8" s="1"/>
  <c r="G7" i="3"/>
  <c r="G19" i="3"/>
  <c r="J49" i="8" a="1"/>
  <c r="J49" i="8" s="1"/>
  <c r="F8" i="3"/>
  <c r="M8" i="3" s="1"/>
  <c r="G8" i="3"/>
  <c r="F9" i="3"/>
  <c r="J8" i="8" a="1"/>
  <c r="J8" i="8" s="1"/>
  <c r="J94" i="8" s="1"/>
  <c r="G9" i="3"/>
  <c r="K8" i="8"/>
  <c r="K94" i="8" s="1"/>
  <c r="H9" i="3"/>
  <c r="F15" i="3"/>
  <c r="F17" i="3"/>
  <c r="F12" i="3"/>
  <c r="J74" i="8" a="1"/>
  <c r="J74" i="8" s="1"/>
  <c r="G15" i="3"/>
  <c r="F16" i="3"/>
  <c r="E86" i="22" a="1"/>
  <c r="E86" i="22" s="1"/>
  <c r="BL86" i="22" s="1"/>
  <c r="E35" i="22" a="1"/>
  <c r="E35" i="22" s="1"/>
  <c r="BL35" i="22" s="1"/>
  <c r="AO110" i="12" a="1"/>
  <c r="AO110" i="12" s="1"/>
  <c r="N3" i="17"/>
  <c r="AD3" i="10"/>
  <c r="AL47" i="8"/>
  <c r="T73" i="8"/>
  <c r="T6" i="8"/>
  <c r="AL6" i="8"/>
  <c r="K3" i="11"/>
  <c r="AO3" i="12"/>
  <c r="N3" i="14"/>
  <c r="AF3" i="16"/>
  <c r="AF3" i="15"/>
  <c r="AF3" i="14"/>
  <c r="AF3" i="17"/>
  <c r="AP3" i="20"/>
  <c r="AE3" i="22"/>
  <c r="M3" i="13"/>
  <c r="AC3" i="11"/>
  <c r="AL73" i="8"/>
  <c r="N3" i="16"/>
  <c r="N3" i="15"/>
  <c r="X3" i="20"/>
  <c r="R3" i="20"/>
  <c r="T47" i="8"/>
  <c r="M3" i="22"/>
  <c r="L3" i="10"/>
  <c r="V3" i="12"/>
  <c r="L3" i="9"/>
  <c r="AD3" i="9"/>
  <c r="E87" i="22" a="1"/>
  <c r="E87" i="22" s="1"/>
  <c r="BL87" i="22" s="1"/>
  <c r="AN110" i="12" a="1"/>
  <c r="AN110" i="12" s="1"/>
  <c r="AM6" i="8"/>
  <c r="AP110" i="12" a="1"/>
  <c r="AP110" i="12" s="1"/>
  <c r="H3" i="17"/>
  <c r="AN3" i="12"/>
  <c r="N73" i="8"/>
  <c r="AH30" i="31"/>
  <c r="AH300" i="31" s="1"/>
  <c r="AO10" i="12"/>
  <c r="AO117" i="12" a="1"/>
  <c r="AO117" i="12" s="1"/>
  <c r="AO116" i="12" a="1"/>
  <c r="AO116" i="12" s="1"/>
  <c r="AF3" i="22"/>
  <c r="AG3" i="17"/>
  <c r="O3" i="17"/>
  <c r="AQ3" i="20"/>
  <c r="E36" i="22" a="1"/>
  <c r="E36" i="22" s="1"/>
  <c r="BL36" i="22" s="1"/>
  <c r="AG3" i="15"/>
  <c r="AO16" i="12"/>
  <c r="AE3" i="9"/>
  <c r="F3" i="10"/>
  <c r="AO111" i="12" a="1"/>
  <c r="AO111" i="12" s="1"/>
  <c r="M3" i="10"/>
  <c r="AH28" i="31"/>
  <c r="AH298" i="31" s="1"/>
  <c r="AD3" i="11"/>
  <c r="N47" i="8"/>
  <c r="AO109" i="12" a="1"/>
  <c r="AO109" i="12" s="1"/>
  <c r="N3" i="13"/>
  <c r="AM73" i="8"/>
  <c r="AH29" i="31"/>
  <c r="AH299" i="31" s="1"/>
  <c r="AG3" i="14"/>
  <c r="AE139" i="22"/>
  <c r="AE155" i="29"/>
  <c r="AE152" i="29" s="1"/>
  <c r="AF149" i="29" s="1"/>
  <c r="AO87" i="12"/>
  <c r="AO56" i="12"/>
  <c r="L3" i="13"/>
  <c r="AG3" i="16"/>
  <c r="AH26" i="31"/>
  <c r="AE3" i="10"/>
  <c r="AO99" i="12"/>
  <c r="F3" i="9"/>
  <c r="AM47" i="8"/>
  <c r="AH293" i="31"/>
  <c r="AE25" i="22"/>
  <c r="AP3" i="12"/>
  <c r="N6" i="8"/>
  <c r="AH27" i="31"/>
  <c r="AH297" i="31" s="1"/>
  <c r="H3" i="16"/>
  <c r="AO112" i="12" a="1"/>
  <c r="AO112" i="12" s="1"/>
  <c r="I3" i="16"/>
  <c r="AF110" i="14"/>
  <c r="E3" i="11"/>
  <c r="AF91" i="30"/>
  <c r="AF87" i="30" s="1"/>
  <c r="AG84" i="30" s="1"/>
  <c r="G3" i="22"/>
  <c r="AO113" i="12" a="1"/>
  <c r="AO113" i="12" s="1"/>
  <c r="H3" i="15"/>
  <c r="AI27" i="31"/>
  <c r="AI297" i="31" s="1"/>
  <c r="AI293" i="31"/>
  <c r="AP117" i="12" a="1"/>
  <c r="AP117" i="12" s="1"/>
  <c r="H3" i="14"/>
  <c r="J3" i="16"/>
  <c r="AN56" i="12"/>
  <c r="AN111" i="12" a="1"/>
  <c r="AN111" i="12" s="1"/>
  <c r="AI28" i="31"/>
  <c r="AI298" i="31" s="1"/>
  <c r="AP10" i="12"/>
  <c r="AQ3" i="12"/>
  <c r="AN113" i="12" a="1"/>
  <c r="AN113" i="12" s="1"/>
  <c r="AH3" i="17"/>
  <c r="I3" i="15"/>
  <c r="AN116" i="12" a="1"/>
  <c r="AN116" i="12" s="1"/>
  <c r="W3" i="12"/>
  <c r="AN112" i="12" a="1"/>
  <c r="AN112" i="12" s="1"/>
  <c r="U73" i="8"/>
  <c r="AN26" i="12"/>
  <c r="S3" i="20"/>
  <c r="I3" i="17"/>
  <c r="G3" i="10"/>
  <c r="AN16" i="12"/>
  <c r="AN6" i="8"/>
  <c r="AP112" i="12" a="1"/>
  <c r="AP112" i="12" s="1"/>
  <c r="AN99" i="12"/>
  <c r="AF3" i="10"/>
  <c r="E37" i="22" a="1"/>
  <c r="E37" i="22" s="1"/>
  <c r="BL37" i="22" s="1"/>
  <c r="AF139" i="22"/>
  <c r="AP99" i="12"/>
  <c r="AQ110" i="12" a="1"/>
  <c r="AQ110" i="12" s="1"/>
  <c r="AF25" i="22"/>
  <c r="AP87" i="12"/>
  <c r="AH3" i="15"/>
  <c r="AE141" i="22"/>
  <c r="AE144" i="22" s="1"/>
  <c r="AP109" i="12" a="1"/>
  <c r="AP109" i="12" s="1"/>
  <c r="AN117" i="12" a="1"/>
  <c r="AN117" i="12" s="1"/>
  <c r="AF3" i="9"/>
  <c r="Y3" i="20"/>
  <c r="AP111" i="12" a="1"/>
  <c r="AP111" i="12" s="1"/>
  <c r="N3" i="22"/>
  <c r="AN47" i="8"/>
  <c r="H3" i="22"/>
  <c r="AN114" i="12" a="1"/>
  <c r="AN114" i="12" s="1"/>
  <c r="O3" i="13"/>
  <c r="AH3" i="16"/>
  <c r="M3" i="9"/>
  <c r="AI30" i="31"/>
  <c r="AI300" i="31" s="1"/>
  <c r="AP116" i="12" a="1"/>
  <c r="AP116" i="12" s="1"/>
  <c r="AG3" i="22"/>
  <c r="G3" i="9"/>
  <c r="AH3" i="14"/>
  <c r="AN87" i="12"/>
  <c r="P3" i="17"/>
  <c r="AN109" i="12" a="1"/>
  <c r="AN109" i="12" s="1"/>
  <c r="AP113" i="12" a="1"/>
  <c r="AP113" i="12" s="1"/>
  <c r="O3" i="15"/>
  <c r="AN61" i="12"/>
  <c r="O47" i="8"/>
  <c r="U47" i="8"/>
  <c r="AP16" i="12"/>
  <c r="AE3" i="11"/>
  <c r="O6" i="8"/>
  <c r="U6" i="8"/>
  <c r="AI29" i="31"/>
  <c r="AI299" i="31" s="1"/>
  <c r="AR3" i="20"/>
  <c r="AN10" i="12"/>
  <c r="E88" i="22" a="1"/>
  <c r="E88" i="22" s="1"/>
  <c r="BL88" i="22" s="1"/>
  <c r="F3" i="11"/>
  <c r="P3" i="12"/>
  <c r="AG91" i="30"/>
  <c r="AG87" i="30" s="1"/>
  <c r="AH84" i="30" s="1"/>
  <c r="AG110" i="14"/>
  <c r="O73" i="8"/>
  <c r="O3" i="16"/>
  <c r="L3" i="11"/>
  <c r="AE138" i="28"/>
  <c r="N3" i="10"/>
  <c r="AN73" i="8"/>
  <c r="AP56" i="12"/>
  <c r="O3" i="14"/>
  <c r="E38" i="22" a="1"/>
  <c r="E38" i="22" s="1"/>
  <c r="BL38" i="22" s="1"/>
  <c r="AR3" i="12"/>
  <c r="P47" i="8"/>
  <c r="Q3" i="17"/>
  <c r="AO47" i="8"/>
  <c r="AI3" i="16"/>
  <c r="O3" i="10"/>
  <c r="AO73" i="8"/>
  <c r="P6" i="8"/>
  <c r="I3" i="22"/>
  <c r="AH3" i="22"/>
  <c r="P73" i="8"/>
  <c r="AG3" i="10"/>
  <c r="T3" i="20"/>
  <c r="AF138" i="28"/>
  <c r="AQ10" i="12"/>
  <c r="AQ16" i="12"/>
  <c r="AQ117" i="12" a="1"/>
  <c r="AQ117" i="12" s="1"/>
  <c r="AI3" i="15"/>
  <c r="H3" i="10"/>
  <c r="AQ112" i="12" a="1"/>
  <c r="AQ112" i="12" s="1"/>
  <c r="AJ30" i="31"/>
  <c r="AQ56" i="12"/>
  <c r="E89" i="22" a="1"/>
  <c r="E89" i="22" s="1"/>
  <c r="BL89" i="22" s="1"/>
  <c r="AQ111" i="12" a="1"/>
  <c r="AQ111" i="12" s="1"/>
  <c r="AH110" i="14"/>
  <c r="Q3" i="12"/>
  <c r="AH91" i="30"/>
  <c r="P3" i="13"/>
  <c r="AQ113" i="12" a="1"/>
  <c r="AQ113" i="12" s="1"/>
  <c r="I3" i="14"/>
  <c r="AJ27" i="31"/>
  <c r="AS3" i="20"/>
  <c r="AF155" i="29"/>
  <c r="AF152" i="29" s="1"/>
  <c r="AG149" i="29" s="1"/>
  <c r="AR109" i="12" a="1"/>
  <c r="AR109" i="12" s="1"/>
  <c r="AR10" i="12"/>
  <c r="AO6" i="8"/>
  <c r="AG139" i="22"/>
  <c r="AI26" i="31"/>
  <c r="AI296" i="31" s="1"/>
  <c r="AG25" i="22"/>
  <c r="AG3" i="9"/>
  <c r="AP47" i="8"/>
  <c r="AQ116" i="12" a="1"/>
  <c r="AQ116" i="12" s="1"/>
  <c r="AF3" i="11"/>
  <c r="J3" i="15"/>
  <c r="AQ87" i="12"/>
  <c r="AF141" i="22"/>
  <c r="AF144" i="22" s="1"/>
  <c r="H3" i="9"/>
  <c r="K3" i="16"/>
  <c r="AR110" i="12" a="1"/>
  <c r="AR110" i="12" s="1"/>
  <c r="AQ99" i="12"/>
  <c r="AI3" i="14"/>
  <c r="G3" i="11"/>
  <c r="AI3" i="17"/>
  <c r="J3" i="17"/>
  <c r="AQ109" i="12" a="1"/>
  <c r="AQ109" i="12" s="1"/>
  <c r="AH25" i="22"/>
  <c r="M3" i="11"/>
  <c r="AR16" i="12"/>
  <c r="AR99" i="12"/>
  <c r="AH3" i="10"/>
  <c r="AR111" i="12" a="1"/>
  <c r="AR111" i="12" s="1"/>
  <c r="AK30" i="31"/>
  <c r="AK300" i="31" s="1"/>
  <c r="AR112" i="12" a="1"/>
  <c r="AR112" i="12" s="1"/>
  <c r="AJ3" i="14"/>
  <c r="I3" i="9"/>
  <c r="H3" i="11"/>
  <c r="Z3" i="20"/>
  <c r="AG155" i="29"/>
  <c r="R3" i="12"/>
  <c r="AQ6" i="8"/>
  <c r="P3" i="15"/>
  <c r="P3" i="16"/>
  <c r="AH3" i="9"/>
  <c r="P3" i="10"/>
  <c r="N3" i="9"/>
  <c r="AQ73" i="8"/>
  <c r="E90" i="22" a="1"/>
  <c r="E90" i="22" s="1"/>
  <c r="BL90" i="22" s="1"/>
  <c r="AG141" i="22"/>
  <c r="AG144" i="22" s="1"/>
  <c r="M144" i="22" s="1"/>
  <c r="Q47" i="8"/>
  <c r="R3" i="17"/>
  <c r="AQ47" i="8"/>
  <c r="AH141" i="22"/>
  <c r="AH144" i="22" s="1"/>
  <c r="AO26" i="12"/>
  <c r="K3" i="15"/>
  <c r="O3" i="22"/>
  <c r="AI91" i="30"/>
  <c r="AI87" i="30" s="1"/>
  <c r="AJ84" i="30" s="1"/>
  <c r="AJ3" i="16"/>
  <c r="AK28" i="31"/>
  <c r="AK298" i="31" s="1"/>
  <c r="I3" i="10"/>
  <c r="V73" i="8"/>
  <c r="AK293" i="31"/>
  <c r="AP73" i="8"/>
  <c r="J3" i="22"/>
  <c r="AJ293" i="31"/>
  <c r="AJ292" i="31" s="1"/>
  <c r="AR113" i="12" a="1"/>
  <c r="AR113" i="12" s="1"/>
  <c r="AR117" i="12" a="1"/>
  <c r="AR117" i="12" s="1"/>
  <c r="Q3" i="13"/>
  <c r="AK27" i="31"/>
  <c r="AK297" i="31" s="1"/>
  <c r="P3" i="14"/>
  <c r="AJ26" i="31"/>
  <c r="J3" i="14"/>
  <c r="AG3" i="11"/>
  <c r="X3" i="12"/>
  <c r="AJ3" i="17"/>
  <c r="AR116" i="12" a="1"/>
  <c r="AR116" i="12" s="1"/>
  <c r="AG138" i="28"/>
  <c r="AI110" i="14"/>
  <c r="AJ29" i="31"/>
  <c r="AP6" i="8"/>
  <c r="Q6" i="8"/>
  <c r="Q73" i="8"/>
  <c r="AR56" i="12"/>
  <c r="AT3" i="20"/>
  <c r="AK29" i="31"/>
  <c r="AK299" i="31" s="1"/>
  <c r="AI3" i="22"/>
  <c r="AJ3" i="15"/>
  <c r="K3" i="17"/>
  <c r="E39" i="22" a="1"/>
  <c r="E39" i="22" s="1"/>
  <c r="BL39" i="22" s="1"/>
  <c r="V6" i="8"/>
  <c r="AJ28" i="31"/>
  <c r="AS110" i="12" a="1"/>
  <c r="AS110" i="12" s="1"/>
  <c r="AR87" i="12"/>
  <c r="AS3" i="12"/>
  <c r="V47" i="8"/>
  <c r="AH139" i="22"/>
  <c r="U3" i="20"/>
  <c r="AH155" i="29"/>
  <c r="AH152" i="29" s="1"/>
  <c r="AI149" i="29" s="1"/>
  <c r="AK3" i="17"/>
  <c r="E91" i="22" a="1"/>
  <c r="E91" i="22" s="1"/>
  <c r="BL91" i="22" s="1"/>
  <c r="K3" i="14"/>
  <c r="S3" i="12"/>
  <c r="AL28" i="31"/>
  <c r="AL298" i="31" s="1"/>
  <c r="AT3" i="12"/>
  <c r="AK3" i="16"/>
  <c r="AL27" i="31"/>
  <c r="AL297" i="31" s="1"/>
  <c r="AS56" i="12"/>
  <c r="AJ91" i="30"/>
  <c r="AJ87" i="30" s="1"/>
  <c r="AK84" i="30" s="1"/>
  <c r="AS113" i="12" a="1"/>
  <c r="AS113" i="12" s="1"/>
  <c r="AP26" i="12"/>
  <c r="AI3" i="9"/>
  <c r="R3" i="13"/>
  <c r="AR6" i="8"/>
  <c r="E40" i="22" a="1"/>
  <c r="E40" i="22" s="1"/>
  <c r="BL40" i="22" s="1"/>
  <c r="AH138" i="28"/>
  <c r="AU3" i="20"/>
  <c r="AI3" i="10"/>
  <c r="AS117" i="12" a="1"/>
  <c r="AS117" i="12" s="1"/>
  <c r="AI25" i="22"/>
  <c r="AS109" i="12" a="1"/>
  <c r="AS109" i="12" s="1"/>
  <c r="AS116" i="12" a="1"/>
  <c r="AS116" i="12" s="1"/>
  <c r="AS111" i="12" a="1"/>
  <c r="AS111" i="12" s="1"/>
  <c r="AR47" i="8"/>
  <c r="AH3" i="11"/>
  <c r="AS10" i="12"/>
  <c r="AL293" i="31"/>
  <c r="AK26" i="31"/>
  <c r="AK296" i="31" s="1"/>
  <c r="AI139" i="22"/>
  <c r="AL30" i="31"/>
  <c r="AL300" i="31" s="1"/>
  <c r="AT110" i="12" a="1"/>
  <c r="AT110" i="12" s="1"/>
  <c r="AS99" i="12"/>
  <c r="AR73" i="8"/>
  <c r="AS16" i="12"/>
  <c r="AJ3" i="22"/>
  <c r="AS87" i="12"/>
  <c r="AS112" i="12" a="1"/>
  <c r="AS112" i="12" s="1"/>
  <c r="AK3" i="14"/>
  <c r="AJ110" i="14"/>
  <c r="S3" i="17"/>
  <c r="Q3" i="10"/>
  <c r="AL29" i="31"/>
  <c r="AL299" i="31" s="1"/>
  <c r="AK3" i="15"/>
  <c r="AI155" i="29"/>
  <c r="AI152" i="29" s="1"/>
  <c r="AJ149" i="29" s="1"/>
  <c r="AU3" i="12"/>
  <c r="AM28" i="31"/>
  <c r="AK110" i="14"/>
  <c r="AT112" i="12" a="1"/>
  <c r="AT112" i="12" s="1"/>
  <c r="AQ26" i="12"/>
  <c r="W47" i="8"/>
  <c r="AL3" i="15"/>
  <c r="R3" i="10"/>
  <c r="O3" i="9"/>
  <c r="P3" i="22"/>
  <c r="S3" i="13"/>
  <c r="AT111" i="12" a="1"/>
  <c r="AT111" i="12" s="1"/>
  <c r="AK3" i="22"/>
  <c r="E92" i="22" a="1"/>
  <c r="E92" i="22" s="1"/>
  <c r="BL92" i="22" s="1"/>
  <c r="AI141" i="22"/>
  <c r="AI144" i="22" s="1"/>
  <c r="AV3" i="20"/>
  <c r="Y3" i="12"/>
  <c r="W6" i="8"/>
  <c r="AL3" i="17"/>
  <c r="AL3" i="14"/>
  <c r="AM293" i="31"/>
  <c r="AM292" i="31" s="1"/>
  <c r="AJ3" i="9"/>
  <c r="AT109" i="12" a="1"/>
  <c r="AT109" i="12" s="1"/>
  <c r="AT113" i="12" a="1"/>
  <c r="AT113" i="12" s="1"/>
  <c r="AI138" i="28"/>
  <c r="AT10" i="12"/>
  <c r="AT99" i="12"/>
  <c r="Q3" i="15"/>
  <c r="AT56" i="12"/>
  <c r="T3" i="17"/>
  <c r="AI3" i="11"/>
  <c r="AS6" i="8"/>
  <c r="E41" i="22" a="1"/>
  <c r="E41" i="22" s="1"/>
  <c r="BL41" i="22" s="1"/>
  <c r="AR26" i="12"/>
  <c r="AU56" i="12"/>
  <c r="AS73" i="8"/>
  <c r="AJ25" i="22"/>
  <c r="AJ3" i="10"/>
  <c r="AL3" i="16"/>
  <c r="AT117" i="12" a="1"/>
  <c r="AT117" i="12" s="1"/>
  <c r="AA3" i="20"/>
  <c r="W73" i="8"/>
  <c r="N3" i="11"/>
  <c r="AT87" i="12"/>
  <c r="Q3" i="14"/>
  <c r="AT116" i="12" a="1"/>
  <c r="AT116" i="12" s="1"/>
  <c r="AM3" i="17"/>
  <c r="Q3" i="16"/>
  <c r="AM27" i="31"/>
  <c r="AU110" i="12" a="1"/>
  <c r="AU110" i="12" s="1"/>
  <c r="AS47" i="8"/>
  <c r="AJ139" i="22"/>
  <c r="AL26" i="31"/>
  <c r="AL296" i="31" s="1"/>
  <c r="AT16" i="12"/>
  <c r="AN293" i="31"/>
  <c r="AN3" i="17"/>
  <c r="AL3" i="22"/>
  <c r="AK155" i="29"/>
  <c r="AK152" i="29" s="1"/>
  <c r="AL149" i="29" s="1"/>
  <c r="AV3" i="12"/>
  <c r="AK91" i="30"/>
  <c r="AU99" i="12"/>
  <c r="AS26" i="12"/>
  <c r="AT73" i="8"/>
  <c r="E93" i="22" a="1"/>
  <c r="E93" i="22" s="1"/>
  <c r="BL93" i="22" s="1"/>
  <c r="AU16" i="12"/>
  <c r="AT47" i="8"/>
  <c r="AN28" i="31"/>
  <c r="AN298" i="31" s="1"/>
  <c r="AU10" i="12"/>
  <c r="AK3" i="9"/>
  <c r="AL91" i="30"/>
  <c r="AL87" i="30" s="1"/>
  <c r="AM84" i="30" s="1"/>
  <c r="AW110" i="12" a="1"/>
  <c r="AW110" i="12" s="1"/>
  <c r="AM3" i="15"/>
  <c r="AV110" i="12" a="1"/>
  <c r="AV110" i="12" s="1"/>
  <c r="AL110" i="14"/>
  <c r="AJ138" i="28"/>
  <c r="AW3" i="20"/>
  <c r="AM26" i="31"/>
  <c r="AN27" i="31"/>
  <c r="AN297" i="31" s="1"/>
  <c r="AU116" i="12" a="1"/>
  <c r="AU116" i="12" s="1"/>
  <c r="AN26" i="31"/>
  <c r="AN296" i="31" s="1"/>
  <c r="AM30" i="31"/>
  <c r="AJ141" i="22"/>
  <c r="AJ144" i="22" s="1"/>
  <c r="N144" i="22" s="1"/>
  <c r="AU112" i="12" a="1"/>
  <c r="AU112" i="12" s="1"/>
  <c r="AM3" i="16"/>
  <c r="U3" i="17"/>
  <c r="AM3" i="14"/>
  <c r="AK141" i="22"/>
  <c r="AK144" i="22" s="1"/>
  <c r="AU117" i="12" a="1"/>
  <c r="AU117" i="12" s="1"/>
  <c r="T3" i="13"/>
  <c r="AK3" i="10"/>
  <c r="AT6" i="8"/>
  <c r="AN29" i="31"/>
  <c r="AN299" i="31" s="1"/>
  <c r="AJ3" i="11"/>
  <c r="AN30" i="31"/>
  <c r="AN300" i="31" s="1"/>
  <c r="AU87" i="12"/>
  <c r="E42" i="22" a="1"/>
  <c r="E42" i="22" s="1"/>
  <c r="BL42" i="22" s="1"/>
  <c r="AU109" i="12" a="1"/>
  <c r="AU109" i="12" s="1"/>
  <c r="AU111" i="12" a="1"/>
  <c r="AU111" i="12" s="1"/>
  <c r="S3" i="10"/>
  <c r="AJ155" i="29"/>
  <c r="AU113" i="12" a="1"/>
  <c r="AU113" i="12" s="1"/>
  <c r="AK138" i="28"/>
  <c r="AK25" i="22"/>
  <c r="AK139" i="22"/>
  <c r="AM29" i="31"/>
  <c r="E94" i="22" a="1"/>
  <c r="E94" i="22" s="1"/>
  <c r="BL94" i="22" s="1"/>
  <c r="AO30" i="31"/>
  <c r="AO300" i="31" s="1"/>
  <c r="AV10" i="12"/>
  <c r="AL138" i="28"/>
  <c r="AN3" i="14"/>
  <c r="X6" i="8"/>
  <c r="AL155" i="29"/>
  <c r="AL152" i="29" s="1"/>
  <c r="AM149" i="29" s="1"/>
  <c r="X73" i="8"/>
  <c r="AO3" i="17"/>
  <c r="AN3" i="15"/>
  <c r="AL139" i="22"/>
  <c r="Q3" i="22"/>
  <c r="AL3" i="10"/>
  <c r="Z3" i="12"/>
  <c r="AV109" i="12" a="1"/>
  <c r="AV109" i="12" s="1"/>
  <c r="AV116" i="12" a="1"/>
  <c r="AV116" i="12" s="1"/>
  <c r="R3" i="14"/>
  <c r="AX3" i="20"/>
  <c r="AX3" i="12"/>
  <c r="X47" i="8"/>
  <c r="AO28" i="31"/>
  <c r="AO298" i="31" s="1"/>
  <c r="AV117" i="12" a="1"/>
  <c r="AV117" i="12" s="1"/>
  <c r="AN3" i="16"/>
  <c r="O3" i="11"/>
  <c r="R3" i="15"/>
  <c r="AB3" i="20"/>
  <c r="AV99" i="12"/>
  <c r="AV111" i="12" a="1"/>
  <c r="AV111" i="12" s="1"/>
  <c r="AX110" i="12" a="1"/>
  <c r="AX110" i="12" s="1"/>
  <c r="V3" i="17"/>
  <c r="R3" i="16"/>
  <c r="AW3" i="12"/>
  <c r="AK3" i="11"/>
  <c r="AL141" i="22"/>
  <c r="AL144" i="22" s="1"/>
  <c r="AU6" i="8"/>
  <c r="AW10" i="12"/>
  <c r="E43" i="22" a="1"/>
  <c r="E43" i="22" s="1"/>
  <c r="BL43" i="22" s="1"/>
  <c r="AL3" i="9"/>
  <c r="AM91" i="30"/>
  <c r="AM87" i="30" s="1"/>
  <c r="AN84" i="30" s="1"/>
  <c r="AW56" i="12"/>
  <c r="T3" i="10"/>
  <c r="P3" i="9"/>
  <c r="AU73" i="8"/>
  <c r="AO26" i="31"/>
  <c r="AO296" i="31" s="1"/>
  <c r="AV87" i="12"/>
  <c r="AU47" i="8"/>
  <c r="AW113" i="12" a="1"/>
  <c r="AW113" i="12" s="1"/>
  <c r="U3" i="13"/>
  <c r="AO293" i="31"/>
  <c r="AV113" i="12" a="1"/>
  <c r="AV113" i="12" s="1"/>
  <c r="AO29" i="31"/>
  <c r="AO299" i="31" s="1"/>
  <c r="AV16" i="12"/>
  <c r="AM110" i="14"/>
  <c r="AM3" i="22"/>
  <c r="AO27" i="31"/>
  <c r="AO297" i="31" s="1"/>
  <c r="AV112" i="12" a="1"/>
  <c r="AV112" i="12" s="1"/>
  <c r="AV56" i="12"/>
  <c r="AL25" i="22"/>
  <c r="AP30" i="31"/>
  <c r="AW112" i="12" a="1"/>
  <c r="AW112" i="12" s="1"/>
  <c r="AM138" i="28"/>
  <c r="AQ28" i="31"/>
  <c r="AQ298" i="31" s="1"/>
  <c r="AP29" i="31"/>
  <c r="AP299" i="31" s="1"/>
  <c r="R299" i="31" s="1" a="1"/>
  <c r="R299" i="31" s="1"/>
  <c r="AM25" i="22"/>
  <c r="AY3" i="20"/>
  <c r="AL3" i="11"/>
  <c r="AV73" i="8"/>
  <c r="AN110" i="14"/>
  <c r="AP293" i="31"/>
  <c r="V3" i="13"/>
  <c r="AX56" i="12"/>
  <c r="AQ27" i="31"/>
  <c r="AQ297" i="31" s="1"/>
  <c r="AY110" i="12" a="1"/>
  <c r="AY110" i="12" s="1"/>
  <c r="AW109" i="12" a="1"/>
  <c r="AW109" i="12" s="1"/>
  <c r="AW99" i="12"/>
  <c r="AM139" i="22"/>
  <c r="AV47" i="8"/>
  <c r="AP3" i="17"/>
  <c r="AX113" i="12" a="1"/>
  <c r="AX113" i="12" s="1"/>
  <c r="AO3" i="14"/>
  <c r="AW117" i="12" a="1"/>
  <c r="AW117" i="12" s="1"/>
  <c r="AM3" i="9"/>
  <c r="AQ29" i="31"/>
  <c r="AQ299" i="31" s="1"/>
  <c r="AO91" i="30"/>
  <c r="AO87" i="30" s="1"/>
  <c r="AP84" i="30" s="1"/>
  <c r="AM141" i="22"/>
  <c r="AM144" i="22" s="1"/>
  <c r="O144" i="22" s="1"/>
  <c r="AT26" i="12"/>
  <c r="AX99" i="12"/>
  <c r="AQ30" i="31"/>
  <c r="AQ300" i="31" s="1"/>
  <c r="AX109" i="12" a="1"/>
  <c r="AX109" i="12" s="1"/>
  <c r="AX111" i="12" a="1"/>
  <c r="AX111" i="12" s="1"/>
  <c r="AX16" i="12"/>
  <c r="AO3" i="15"/>
  <c r="AV6" i="8"/>
  <c r="AW116" i="12" a="1"/>
  <c r="AW116" i="12" s="1"/>
  <c r="E44" i="22" a="1"/>
  <c r="E44" i="22" s="1"/>
  <c r="AW87" i="12"/>
  <c r="AX87" i="12"/>
  <c r="AX112" i="12" a="1"/>
  <c r="AX112" i="12" s="1"/>
  <c r="AP28" i="31"/>
  <c r="AQ293" i="31"/>
  <c r="AO3" i="16"/>
  <c r="W3" i="17"/>
  <c r="AM3" i="10"/>
  <c r="AN91" i="30"/>
  <c r="E95" i="22" a="1"/>
  <c r="E95" i="22" s="1"/>
  <c r="BL95" i="22" s="1"/>
  <c r="AW111" i="12" a="1"/>
  <c r="AW111" i="12" s="1"/>
  <c r="AX116" i="12" a="1"/>
  <c r="AX116" i="12" s="1"/>
  <c r="AY3" i="12"/>
  <c r="U3" i="10"/>
  <c r="AP27" i="31"/>
  <c r="AN3" i="22"/>
  <c r="AX117" i="12" a="1"/>
  <c r="AX117" i="12" s="1"/>
  <c r="AX10" i="12"/>
  <c r="AM155" i="29"/>
  <c r="AW16" i="12"/>
  <c r="AP91" i="30"/>
  <c r="AP87" i="30" s="1"/>
  <c r="AQ84" i="30" s="1"/>
  <c r="E96" i="22" a="1"/>
  <c r="E96" i="22" s="1"/>
  <c r="BL96" i="22" s="1"/>
  <c r="AN138" i="28"/>
  <c r="S3" i="16"/>
  <c r="S3" i="14"/>
  <c r="AW47" i="8"/>
  <c r="W3" i="13"/>
  <c r="AN3" i="10"/>
  <c r="AQ3" i="17"/>
  <c r="AN3" i="9"/>
  <c r="AW6" i="8"/>
  <c r="AQ26" i="31"/>
  <c r="AQ296" i="31" s="1"/>
  <c r="E45" i="22" a="1"/>
  <c r="E45" i="22" s="1"/>
  <c r="BL45" i="22" s="1"/>
  <c r="AN25" i="22"/>
  <c r="X3" i="17"/>
  <c r="AA3" i="12"/>
  <c r="AR28" i="31"/>
  <c r="AR298" i="31" s="1"/>
  <c r="AY116" i="12" a="1"/>
  <c r="AY116" i="12" s="1"/>
  <c r="AZ3" i="12"/>
  <c r="AN155" i="29"/>
  <c r="AN152" i="29" s="1"/>
  <c r="AO149" i="29" s="1"/>
  <c r="AN139" i="22"/>
  <c r="AZ3" i="20"/>
  <c r="AC3" i="20"/>
  <c r="AO110" i="14"/>
  <c r="AY10" i="12"/>
  <c r="AY112" i="12" a="1"/>
  <c r="AY112" i="12" s="1"/>
  <c r="AY109" i="12" a="1"/>
  <c r="AY109" i="12" s="1"/>
  <c r="Y73" i="8"/>
  <c r="AR29" i="31"/>
  <c r="AR299" i="31" s="1"/>
  <c r="Q3" i="9"/>
  <c r="AR27" i="31"/>
  <c r="AR297" i="31" s="1"/>
  <c r="AW73" i="8"/>
  <c r="AR30" i="31"/>
  <c r="AR300" i="31" s="1"/>
  <c r="AN141" i="22"/>
  <c r="AN144" i="22" s="1"/>
  <c r="AY87" i="12"/>
  <c r="Y6" i="8"/>
  <c r="S3" i="15"/>
  <c r="AY111" i="12" a="1"/>
  <c r="AY111" i="12" s="1"/>
  <c r="P3" i="11"/>
  <c r="Y47" i="8"/>
  <c r="AY16" i="12"/>
  <c r="R3" i="22"/>
  <c r="AP26" i="31"/>
  <c r="V3" i="10"/>
  <c r="AU26" i="12"/>
  <c r="AR293" i="31"/>
  <c r="AO3" i="22"/>
  <c r="AP3" i="15"/>
  <c r="AY56" i="12"/>
  <c r="AY113" i="12" a="1"/>
  <c r="AY113" i="12" s="1"/>
  <c r="AY99" i="12"/>
  <c r="AZ110" i="12" a="1"/>
  <c r="AZ110" i="12" s="1"/>
  <c r="AY117" i="12" a="1"/>
  <c r="AY117" i="12" s="1"/>
  <c r="AP3" i="16"/>
  <c r="AP3" i="14"/>
  <c r="AM3" i="11"/>
  <c r="AS293" i="31"/>
  <c r="AS292" i="31" s="1"/>
  <c r="AO138" i="28"/>
  <c r="AO3" i="10"/>
  <c r="AO3" i="9"/>
  <c r="AQ3" i="15"/>
  <c r="AS3" i="17"/>
  <c r="AZ109" i="12" a="1"/>
  <c r="AZ109" i="12" s="1"/>
  <c r="X3" i="13"/>
  <c r="AR3" i="17"/>
  <c r="Y3" i="17"/>
  <c r="E46" i="22" a="1"/>
  <c r="E46" i="22" s="1"/>
  <c r="BL46" i="22" s="1"/>
  <c r="AX73" i="8"/>
  <c r="AS28" i="31"/>
  <c r="AV26" i="12"/>
  <c r="AX47" i="8"/>
  <c r="AS29" i="31"/>
  <c r="AQ91" i="30"/>
  <c r="AP3" i="22"/>
  <c r="W3" i="10"/>
  <c r="AP110" i="14"/>
  <c r="AN3" i="11"/>
  <c r="AX6" i="8"/>
  <c r="AS27" i="31"/>
  <c r="AO25" i="22"/>
  <c r="BA3" i="20"/>
  <c r="AO155" i="29"/>
  <c r="AO152" i="29" s="1"/>
  <c r="AP149" i="29" s="1"/>
  <c r="AQ3" i="16"/>
  <c r="AO139" i="22"/>
  <c r="AQ3" i="14"/>
  <c r="AZ16" i="12"/>
  <c r="AZ99" i="12"/>
  <c r="AZ116" i="12" a="1"/>
  <c r="AZ116" i="12" s="1"/>
  <c r="AZ112" i="12" a="1"/>
  <c r="AZ112" i="12" s="1"/>
  <c r="BA3" i="12"/>
  <c r="E97" i="22" a="1"/>
  <c r="E97" i="22" s="1"/>
  <c r="BL97" i="22" s="1"/>
  <c r="AZ111" i="12" a="1"/>
  <c r="AZ111" i="12" s="1"/>
  <c r="AZ10" i="12"/>
  <c r="AZ56" i="12"/>
  <c r="BA110" i="12" a="1"/>
  <c r="BA110" i="12" s="1"/>
  <c r="AS30" i="31"/>
  <c r="AO141" i="22"/>
  <c r="AO144" i="22" s="1"/>
  <c r="AZ117" i="12" a="1"/>
  <c r="AZ117" i="12" s="1"/>
  <c r="AZ87" i="12"/>
  <c r="AZ113" i="12" a="1"/>
  <c r="AZ113" i="12" s="1"/>
  <c r="AR26" i="31"/>
  <c r="AR296" i="31" s="1"/>
  <c r="E47" i="22" a="1"/>
  <c r="E47" i="22" s="1"/>
  <c r="BL47" i="22" s="1"/>
  <c r="BA117" i="12" a="1"/>
  <c r="BA117" i="12" s="1"/>
  <c r="BA87" i="12"/>
  <c r="Z6" i="8"/>
  <c r="AP155" i="29"/>
  <c r="BA116" i="12" a="1"/>
  <c r="BA116" i="12" s="1"/>
  <c r="BA56" i="12"/>
  <c r="AP139" i="22"/>
  <c r="Z3" i="17"/>
  <c r="BB3" i="12"/>
  <c r="Z73" i="8"/>
  <c r="Y3" i="13"/>
  <c r="AY47" i="8"/>
  <c r="AW26" i="12"/>
  <c r="AP3" i="10"/>
  <c r="S3" i="22"/>
  <c r="BA16" i="12"/>
  <c r="AS26" i="31"/>
  <c r="BA111" i="12" a="1"/>
  <c r="BA111" i="12" s="1"/>
  <c r="AP25" i="22"/>
  <c r="AR3" i="16"/>
  <c r="AT28" i="31"/>
  <c r="AT298" i="31" s="1"/>
  <c r="BA109" i="12" a="1"/>
  <c r="BA109" i="12" s="1"/>
  <c r="E98" i="22" a="1"/>
  <c r="E98" i="22" s="1"/>
  <c r="BL98" i="22" s="1"/>
  <c r="AP141" i="22"/>
  <c r="AP144" i="22" s="1"/>
  <c r="T3" i="15"/>
  <c r="BA10" i="12"/>
  <c r="Z47" i="8"/>
  <c r="AR3" i="15"/>
  <c r="BA112" i="12" a="1"/>
  <c r="BA112" i="12" s="1"/>
  <c r="T3" i="16"/>
  <c r="AT27" i="31"/>
  <c r="AT297" i="31" s="1"/>
  <c r="AP3" i="9"/>
  <c r="Q3" i="11"/>
  <c r="BA99" i="12"/>
  <c r="AT30" i="31"/>
  <c r="AT300" i="31" s="1"/>
  <c r="AY6" i="8"/>
  <c r="AQ3" i="22"/>
  <c r="T3" i="14"/>
  <c r="AT3" i="17"/>
  <c r="BB3" i="20"/>
  <c r="BA113" i="12" a="1"/>
  <c r="BA113" i="12" s="1"/>
  <c r="AB3" i="12"/>
  <c r="AT293" i="31"/>
  <c r="BB110" i="12" a="1"/>
  <c r="BB110" i="12" s="1"/>
  <c r="AR3" i="14"/>
  <c r="AQ110" i="14"/>
  <c r="AD3" i="20"/>
  <c r="R3" i="9"/>
  <c r="AR91" i="30"/>
  <c r="AR87" i="30" s="1"/>
  <c r="AS84" i="30" s="1"/>
  <c r="AY73" i="8"/>
  <c r="AT29" i="31"/>
  <c r="AT299" i="31" s="1"/>
  <c r="X3" i="10"/>
  <c r="AO3" i="11"/>
  <c r="E99" i="22" a="1"/>
  <c r="E99" i="22" s="1"/>
  <c r="Z3" i="13"/>
  <c r="AZ73" i="8"/>
  <c r="AZ47" i="8"/>
  <c r="BB112" i="12" a="1"/>
  <c r="BB112" i="12" s="1"/>
  <c r="AS3" i="15"/>
  <c r="AU29" i="31"/>
  <c r="AU299" i="31" s="1"/>
  <c r="AQ25" i="22"/>
  <c r="AA3" i="17"/>
  <c r="AR110" i="14"/>
  <c r="AU30" i="31"/>
  <c r="AU300" i="31" s="1"/>
  <c r="AQ139" i="22"/>
  <c r="AR3" i="22"/>
  <c r="BC3" i="20"/>
  <c r="AX26" i="12"/>
  <c r="BB10" i="12"/>
  <c r="AQ155" i="29"/>
  <c r="AQ152" i="29" s="1"/>
  <c r="AR149" i="29" s="1"/>
  <c r="AQ3" i="9"/>
  <c r="AQ3" i="10"/>
  <c r="AS3" i="16"/>
  <c r="AU28" i="31"/>
  <c r="AU298" i="31" s="1"/>
  <c r="AQ141" i="22"/>
  <c r="AQ144" i="22" s="1"/>
  <c r="BB109" i="12" a="1"/>
  <c r="BB109" i="12" s="1"/>
  <c r="BB117" i="12" a="1"/>
  <c r="BB117" i="12" s="1"/>
  <c r="AZ6" i="8"/>
  <c r="BB113" i="12" a="1"/>
  <c r="BB113" i="12" s="1"/>
  <c r="AT26" i="31"/>
  <c r="AT296" i="31" s="1"/>
  <c r="BC110" i="12" a="1"/>
  <c r="BC110" i="12" s="1"/>
  <c r="BB99" i="12"/>
  <c r="BC3" i="12"/>
  <c r="AU27" i="31"/>
  <c r="AU297" i="31" s="1"/>
  <c r="BB116" i="12" a="1"/>
  <c r="BB116" i="12" s="1"/>
  <c r="AP3" i="11"/>
  <c r="AU3" i="17"/>
  <c r="AS3" i="14"/>
  <c r="AS91" i="30"/>
  <c r="AS87" i="30" s="1"/>
  <c r="AT84" i="30" s="1"/>
  <c r="BB56" i="12"/>
  <c r="BB16" i="12"/>
  <c r="AU293" i="31"/>
  <c r="BB87" i="12"/>
  <c r="E48" i="22" a="1"/>
  <c r="E48" i="22" s="1"/>
  <c r="BL48" i="22" s="1"/>
  <c r="BB111" i="12" a="1"/>
  <c r="BB111" i="12" s="1"/>
  <c r="Y3" i="10"/>
  <c r="AU26" i="31"/>
  <c r="AU296" i="31" s="1"/>
  <c r="AT3" i="16"/>
  <c r="BD3" i="12"/>
  <c r="BC109" i="12" a="1"/>
  <c r="BC109" i="12" s="1"/>
  <c r="AA73" i="8"/>
  <c r="AA3" i="13"/>
  <c r="BA47" i="8"/>
  <c r="AR155" i="29"/>
  <c r="AR152" i="29" s="1"/>
  <c r="AV3" i="17"/>
  <c r="BC116" i="12" a="1"/>
  <c r="BC116" i="12" s="1"/>
  <c r="BC99" i="12"/>
  <c r="BC87" i="12"/>
  <c r="U3" i="16"/>
  <c r="AV28" i="31"/>
  <c r="AV298" i="31" s="1"/>
  <c r="AR25" i="22"/>
  <c r="AT3" i="15"/>
  <c r="AR3" i="9"/>
  <c r="AC3" i="12"/>
  <c r="AR3" i="10"/>
  <c r="AV30" i="31"/>
  <c r="AR139" i="22"/>
  <c r="BD3" i="20"/>
  <c r="BC113" i="12" a="1"/>
  <c r="BC113" i="12" s="1"/>
  <c r="U3" i="15"/>
  <c r="AA47" i="8"/>
  <c r="AT91" i="30"/>
  <c r="AS3" i="22"/>
  <c r="AE3" i="20"/>
  <c r="R3" i="11"/>
  <c r="Z3" i="10"/>
  <c r="AV293" i="31"/>
  <c r="AV292" i="31" s="1"/>
  <c r="AR141" i="22"/>
  <c r="AR144" i="22" s="1"/>
  <c r="AY26" i="12"/>
  <c r="BC10" i="12"/>
  <c r="AA6" i="8"/>
  <c r="AB3" i="17"/>
  <c r="AV29" i="31"/>
  <c r="BC56" i="12"/>
  <c r="E100" i="22" a="1"/>
  <c r="E100" i="22" s="1"/>
  <c r="BL100" i="22" s="1"/>
  <c r="AS110" i="14"/>
  <c r="AQ3" i="11"/>
  <c r="E49" i="22" a="1"/>
  <c r="E49" i="22" s="1"/>
  <c r="BC112" i="12" a="1"/>
  <c r="BC112" i="12" s="1"/>
  <c r="T3" i="22"/>
  <c r="BA6" i="8"/>
  <c r="AV27" i="31"/>
  <c r="AV297" i="31" s="1"/>
  <c r="T297" i="31" s="1" a="1"/>
  <c r="T297" i="31" s="1"/>
  <c r="BC16" i="12"/>
  <c r="BC111" i="12" a="1"/>
  <c r="BC111" i="12" s="1"/>
  <c r="BC117" i="12" a="1"/>
  <c r="BC117" i="12" s="1"/>
  <c r="BA73" i="8"/>
  <c r="U3" i="14"/>
  <c r="S3" i="9"/>
  <c r="BD110" i="12" a="1"/>
  <c r="BD110" i="12" s="1"/>
  <c r="AT3" i="14"/>
  <c r="AW28" i="31"/>
  <c r="AW298" i="31" s="1"/>
  <c r="AR3" i="11"/>
  <c r="AW293" i="31"/>
  <c r="AS25" i="22"/>
  <c r="BD117" i="12" a="1"/>
  <c r="BD117" i="12" s="1"/>
  <c r="BD109" i="12" a="1"/>
  <c r="BD109" i="12" s="1"/>
  <c r="AT110" i="14"/>
  <c r="AS139" i="22"/>
  <c r="BD99" i="12"/>
  <c r="BD87" i="12"/>
  <c r="BD16" i="12"/>
  <c r="AB3" i="13"/>
  <c r="AW27" i="31"/>
  <c r="AW297" i="31" s="1"/>
  <c r="AS141" i="22"/>
  <c r="AS144" i="22" s="1"/>
  <c r="Q144" i="22" s="1"/>
  <c r="BD112" i="12" a="1"/>
  <c r="BD112" i="12" s="1"/>
  <c r="BD111" i="12" a="1"/>
  <c r="BD111" i="12" s="1"/>
  <c r="AS3" i="9"/>
  <c r="BE110" i="12" a="1"/>
  <c r="BE110" i="12" s="1"/>
  <c r="AW30" i="31"/>
  <c r="AW300" i="31" s="1"/>
  <c r="AZ26" i="12"/>
  <c r="BD56" i="12"/>
  <c r="AV26" i="31"/>
  <c r="AS155" i="29"/>
  <c r="AS152" i="29" s="1"/>
  <c r="AU3" i="14"/>
  <c r="BD113" i="12" a="1"/>
  <c r="BD113" i="12" s="1"/>
  <c r="BE3" i="12"/>
  <c r="AA3" i="10"/>
  <c r="AS3" i="10"/>
  <c r="E101" i="22" a="1"/>
  <c r="E101" i="22" s="1"/>
  <c r="BL101" i="22" s="1"/>
  <c r="BD10" i="12"/>
  <c r="AW29" i="31"/>
  <c r="AW299" i="31" s="1"/>
  <c r="E50" i="22" a="1"/>
  <c r="E50" i="22" s="1"/>
  <c r="BL50" i="22" s="1"/>
  <c r="AW3" i="17"/>
  <c r="AU91" i="30"/>
  <c r="AU87" i="30" s="1"/>
  <c r="AV84" i="30" s="1"/>
  <c r="AT3" i="22"/>
  <c r="BB73" i="8"/>
  <c r="BB6" i="8"/>
  <c r="BD116" i="12" a="1"/>
  <c r="BD116" i="12" s="1"/>
  <c r="BB47" i="8"/>
  <c r="AC3" i="17"/>
  <c r="BE3" i="20"/>
  <c r="AU3" i="16"/>
  <c r="AU3" i="15"/>
  <c r="AX29" i="31"/>
  <c r="AX299" i="31" s="1"/>
  <c r="S3" i="11"/>
  <c r="T3" i="9"/>
  <c r="BC73" i="8"/>
  <c r="AX3" i="17"/>
  <c r="BE116" i="12" a="1"/>
  <c r="BE116" i="12" s="1"/>
  <c r="E102" i="22" a="1"/>
  <c r="E102" i="22" s="1"/>
  <c r="BL102" i="22" s="1"/>
  <c r="BA26" i="12"/>
  <c r="AV3" i="15"/>
  <c r="BE109" i="12" a="1"/>
  <c r="BE109" i="12" s="1"/>
  <c r="AF3" i="20"/>
  <c r="BC47" i="8"/>
  <c r="E51" i="22" a="1"/>
  <c r="E51" i="22" s="1"/>
  <c r="BL51" i="22" s="1"/>
  <c r="AX293" i="31"/>
  <c r="AT139" i="22"/>
  <c r="BE10" i="12"/>
  <c r="BE111" i="12" a="1"/>
  <c r="BE111" i="12" s="1"/>
  <c r="AW26" i="31"/>
  <c r="AW296" i="31" s="1"/>
  <c r="AV3" i="14"/>
  <c r="AS3" i="11"/>
  <c r="V3" i="15"/>
  <c r="BC6" i="8"/>
  <c r="AX27" i="31"/>
  <c r="AX297" i="31" s="1"/>
  <c r="U3" i="22"/>
  <c r="BB26" i="12"/>
  <c r="BF110" i="12" a="1"/>
  <c r="BF110" i="12" s="1"/>
  <c r="AX30" i="31"/>
  <c r="AX300" i="31" s="1"/>
  <c r="V3" i="16"/>
  <c r="V3" i="14"/>
  <c r="BE56" i="12"/>
  <c r="AT3" i="10"/>
  <c r="AD3" i="12"/>
  <c r="BE112" i="12" a="1"/>
  <c r="BE112" i="12" s="1"/>
  <c r="AT155" i="29"/>
  <c r="AT152" i="29" s="1"/>
  <c r="AU149" i="29" s="1"/>
  <c r="BE16" i="12"/>
  <c r="AC3" i="13"/>
  <c r="AB6" i="8"/>
  <c r="AT3" i="9"/>
  <c r="AV91" i="30"/>
  <c r="AV87" i="30" s="1"/>
  <c r="AW84" i="30" s="1"/>
  <c r="BE99" i="12"/>
  <c r="BF3" i="20"/>
  <c r="AX28" i="31"/>
  <c r="AX298" i="31" s="1"/>
  <c r="AU110" i="14"/>
  <c r="BE117" i="12" a="1"/>
  <c r="BE117" i="12" s="1"/>
  <c r="BE113" i="12" a="1"/>
  <c r="BE113" i="12" s="1"/>
  <c r="AB73" i="8"/>
  <c r="BF3" i="12"/>
  <c r="AT141" i="22"/>
  <c r="AT144" i="22" s="1"/>
  <c r="AV3" i="16"/>
  <c r="BE87" i="12"/>
  <c r="AB47" i="8"/>
  <c r="AT25" i="22"/>
  <c r="AU3" i="22"/>
  <c r="AX26" i="31"/>
  <c r="AX296" i="31" s="1"/>
  <c r="AU25" i="22"/>
  <c r="BF87" i="12"/>
  <c r="BG3" i="12"/>
  <c r="AY3" i="17"/>
  <c r="AY29" i="31"/>
  <c r="AY299" i="31" s="1"/>
  <c r="U299" i="31" s="1" a="1"/>
  <c r="U299" i="31" s="1"/>
  <c r="AU139" i="22"/>
  <c r="AW3" i="16"/>
  <c r="BD47" i="8"/>
  <c r="BF113" i="12" a="1"/>
  <c r="BF113" i="12" s="1"/>
  <c r="AY30" i="31"/>
  <c r="AY300" i="31" s="1"/>
  <c r="AU141" i="22"/>
  <c r="AU144" i="22" s="1"/>
  <c r="BD73" i="8"/>
  <c r="AU3" i="9"/>
  <c r="BF10" i="12"/>
  <c r="E52" i="22" a="1"/>
  <c r="E52" i="22" s="1"/>
  <c r="BL52" i="22" s="1"/>
  <c r="AT3" i="11"/>
  <c r="AV110" i="14"/>
  <c r="BF109" i="12" a="1"/>
  <c r="BF109" i="12" s="1"/>
  <c r="AY27" i="31"/>
  <c r="AY297" i="31" s="1"/>
  <c r="BG110" i="12" a="1"/>
  <c r="BG110" i="12" s="1"/>
  <c r="AD3" i="13"/>
  <c r="E103" i="22" a="1"/>
  <c r="E103" i="22" s="1"/>
  <c r="BL103" i="22" s="1"/>
  <c r="BG3" i="20"/>
  <c r="AW3" i="14"/>
  <c r="BD6" i="8"/>
  <c r="BF117" i="12" a="1"/>
  <c r="BF117" i="12" s="1"/>
  <c r="BF116" i="12" a="1"/>
  <c r="BF116" i="12" s="1"/>
  <c r="AU155" i="29"/>
  <c r="AU152" i="29" s="1"/>
  <c r="AV149" i="29" s="1"/>
  <c r="AW91" i="30"/>
  <c r="AY28" i="31"/>
  <c r="BF99" i="12"/>
  <c r="BF56" i="12"/>
  <c r="AY293" i="31"/>
  <c r="AU3" i="10"/>
  <c r="AW3" i="15"/>
  <c r="BF112" i="12" a="1"/>
  <c r="BF112" i="12" s="1"/>
  <c r="BF16" i="12"/>
  <c r="BF111" i="12" a="1"/>
  <c r="BF111" i="12" s="1"/>
  <c r="AV3" i="22"/>
  <c r="AZ293" i="31"/>
  <c r="AV25" i="22"/>
  <c r="AW3" i="22"/>
  <c r="V3" i="22"/>
  <c r="W3" i="16"/>
  <c r="AX3" i="16"/>
  <c r="AV155" i="29"/>
  <c r="AV141" i="22"/>
  <c r="AV144" i="22" s="1"/>
  <c r="R144" i="22" s="1"/>
  <c r="AZ29" i="31"/>
  <c r="AZ299" i="31" s="1"/>
  <c r="AZ3" i="17"/>
  <c r="BG109" i="12" a="1"/>
  <c r="BG109" i="12" s="1"/>
  <c r="AZ28" i="31"/>
  <c r="AZ298" i="31" s="1"/>
  <c r="AX91" i="30"/>
  <c r="AX87" i="30" s="1"/>
  <c r="AY84" i="30" s="1"/>
  <c r="BH3" i="20"/>
  <c r="AU3" i="11"/>
  <c r="AC73" i="8"/>
  <c r="AG3" i="20"/>
  <c r="AX3" i="14"/>
  <c r="AV3" i="9"/>
  <c r="E53" i="22" a="1"/>
  <c r="E53" i="22" s="1"/>
  <c r="BH110" i="12" a="1"/>
  <c r="BH110" i="12" s="1"/>
  <c r="BG16" i="12"/>
  <c r="AE3" i="12"/>
  <c r="AC47" i="8"/>
  <c r="AZ27" i="31"/>
  <c r="AZ297" i="31" s="1"/>
  <c r="E104" i="22" a="1"/>
  <c r="E104" i="22" s="1"/>
  <c r="BL104" i="22" s="1"/>
  <c r="BG117" i="12" a="1"/>
  <c r="BG117" i="12" s="1"/>
  <c r="BE6" i="8"/>
  <c r="AZ30" i="31"/>
  <c r="AZ300" i="31" s="1"/>
  <c r="W3" i="15"/>
  <c r="BG99" i="12"/>
  <c r="BG10" i="12"/>
  <c r="BE73" i="8"/>
  <c r="AY26" i="31"/>
  <c r="AW110" i="14"/>
  <c r="BG116" i="12" a="1"/>
  <c r="BG116" i="12" s="1"/>
  <c r="BH3" i="12"/>
  <c r="U3" i="9"/>
  <c r="BC26" i="12"/>
  <c r="BG87" i="12"/>
  <c r="AX3" i="15"/>
  <c r="BG113" i="12" a="1"/>
  <c r="BG113" i="12" s="1"/>
  <c r="BG112" i="12" a="1"/>
  <c r="BG112" i="12" s="1"/>
  <c r="T3" i="11"/>
  <c r="BE47" i="8"/>
  <c r="BG56" i="12"/>
  <c r="BG111" i="12" a="1"/>
  <c r="BG111" i="12" s="1"/>
  <c r="AV3" i="10"/>
  <c r="AC6" i="8"/>
  <c r="W3" i="14"/>
  <c r="AV139" i="22"/>
  <c r="AE3" i="13"/>
  <c r="BA29" i="31"/>
  <c r="BA299" i="31" s="1"/>
  <c r="BH87" i="12"/>
  <c r="AW3" i="10"/>
  <c r="BF47" i="8"/>
  <c r="AZ26" i="31"/>
  <c r="AZ296" i="31" s="1"/>
  <c r="BH113" i="12" a="1"/>
  <c r="BH113" i="12" s="1"/>
  <c r="BH109" i="12" a="1"/>
  <c r="BH109" i="12" s="1"/>
  <c r="BA30" i="31"/>
  <c r="BA300" i="31" s="1"/>
  <c r="BH56" i="12"/>
  <c r="BF6" i="8"/>
  <c r="BD26" i="12"/>
  <c r="BA3" i="17"/>
  <c r="BH16" i="12"/>
  <c r="AF3" i="13"/>
  <c r="BH111" i="12" a="1"/>
  <c r="BH111" i="12" s="1"/>
  <c r="BF73" i="8"/>
  <c r="BA27" i="31"/>
  <c r="BA297" i="31" s="1"/>
  <c r="BA28" i="31"/>
  <c r="BA298" i="31" s="1"/>
  <c r="AX3" i="22"/>
  <c r="AY3" i="15"/>
  <c r="E105" i="22" a="1"/>
  <c r="E105" i="22" s="1"/>
  <c r="BL105" i="22" s="1"/>
  <c r="AX110" i="14"/>
  <c r="E54" i="22" a="1"/>
  <c r="E54" i="22" s="1"/>
  <c r="AW3" i="9"/>
  <c r="AW155" i="29"/>
  <c r="AW152" i="29" s="1"/>
  <c r="AX149" i="29" s="1"/>
  <c r="BE26" i="12"/>
  <c r="AY3" i="16"/>
  <c r="BA293" i="31"/>
  <c r="AY3" i="14"/>
  <c r="BH10" i="12"/>
  <c r="AY91" i="30"/>
  <c r="AY87" i="30" s="1"/>
  <c r="AZ84" i="30" s="1"/>
  <c r="AV3" i="11"/>
  <c r="AW139" i="22"/>
  <c r="BI3" i="20"/>
  <c r="BH117" i="12" a="1"/>
  <c r="BH117" i="12" s="1"/>
  <c r="AW25" i="22"/>
  <c r="BI110" i="12" a="1"/>
  <c r="BI110" i="12" s="1"/>
  <c r="BH99" i="12"/>
  <c r="BH112" i="12" a="1"/>
  <c r="BH112" i="12" s="1"/>
  <c r="BI3" i="12"/>
  <c r="AW141" i="22"/>
  <c r="AW144" i="22" s="1"/>
  <c r="BH116" i="12" a="1"/>
  <c r="BH116" i="12" s="1"/>
  <c r="BB28" i="31"/>
  <c r="W3" i="22"/>
  <c r="BG6" i="8"/>
  <c r="BB3" i="17"/>
  <c r="BI111" i="12" a="1"/>
  <c r="BI111" i="12" s="1"/>
  <c r="AD6" i="8"/>
  <c r="BB293" i="31"/>
  <c r="BB292" i="31" s="1"/>
  <c r="AX139" i="22"/>
  <c r="BI99" i="12"/>
  <c r="AD47" i="8"/>
  <c r="AF3" i="12"/>
  <c r="AD73" i="8"/>
  <c r="BI10" i="12"/>
  <c r="AY110" i="14"/>
  <c r="AX25" i="22"/>
  <c r="AZ3" i="16"/>
  <c r="BA26" i="31"/>
  <c r="BA296" i="31" s="1"/>
  <c r="AX141" i="22"/>
  <c r="AX144" i="22" s="1"/>
  <c r="AH3" i="20"/>
  <c r="X3" i="15"/>
  <c r="BJ3" i="12"/>
  <c r="BB29" i="31"/>
  <c r="BI109" i="12" a="1"/>
  <c r="BI109" i="12" s="1"/>
  <c r="AX155" i="29"/>
  <c r="AX152" i="29" s="1"/>
  <c r="AY149" i="29" s="1"/>
  <c r="AZ91" i="30"/>
  <c r="U3" i="11"/>
  <c r="BG73" i="8"/>
  <c r="BG47" i="8"/>
  <c r="BI56" i="12"/>
  <c r="BJ3" i="20"/>
  <c r="BB27" i="31"/>
  <c r="AZ3" i="14"/>
  <c r="AX3" i="9"/>
  <c r="BI112" i="12" a="1"/>
  <c r="BI112" i="12" s="1"/>
  <c r="V3" i="9"/>
  <c r="E106" i="22" a="1"/>
  <c r="E106" i="22" s="1"/>
  <c r="BL106" i="22" s="1"/>
  <c r="BI116" i="12" a="1"/>
  <c r="BI116" i="12" s="1"/>
  <c r="BI16" i="12"/>
  <c r="AG3" i="13"/>
  <c r="BB30" i="31"/>
  <c r="BI87" i="12"/>
  <c r="E55" i="22" a="1"/>
  <c r="E55" i="22" s="1"/>
  <c r="BI113" i="12" a="1"/>
  <c r="BI113" i="12" s="1"/>
  <c r="AX3" i="10"/>
  <c r="X3" i="16"/>
  <c r="BJ110" i="12" a="1"/>
  <c r="BJ110" i="12" s="1"/>
  <c r="AW3" i="11"/>
  <c r="BI117" i="12" a="1"/>
  <c r="BI117" i="12" s="1"/>
  <c r="AZ3" i="15"/>
  <c r="AY3" i="22"/>
  <c r="X3" i="14"/>
  <c r="BA91" i="30"/>
  <c r="BA87" i="30" s="1"/>
  <c r="BB84" i="30" s="1"/>
  <c r="AY141" i="22"/>
  <c r="AY144" i="22" s="1"/>
  <c r="S144" i="22" s="1"/>
  <c r="BC29" i="31"/>
  <c r="BC299" i="31" s="1"/>
  <c r="BG26" i="12"/>
  <c r="BC30" i="31"/>
  <c r="BC300" i="31" s="1"/>
  <c r="BK110" i="12" a="1"/>
  <c r="BK110" i="12" s="1"/>
  <c r="BJ87" i="12"/>
  <c r="AX3" i="11"/>
  <c r="E107" i="22" a="1"/>
  <c r="E107" i="22" s="1"/>
  <c r="BL107" i="22" s="1"/>
  <c r="BC3" i="17"/>
  <c r="BJ99" i="12"/>
  <c r="BJ116" i="12" a="1"/>
  <c r="BJ116" i="12" s="1"/>
  <c r="E56" i="22" a="1"/>
  <c r="E56" i="22" s="1"/>
  <c r="BL56" i="22" s="1"/>
  <c r="BJ113" i="12" a="1"/>
  <c r="BJ113" i="12" s="1"/>
  <c r="BC293" i="31"/>
  <c r="AZ3" i="22"/>
  <c r="BA3" i="16"/>
  <c r="BJ117" i="12" a="1"/>
  <c r="BJ117" i="12" s="1"/>
  <c r="BJ112" i="12" a="1"/>
  <c r="BJ112" i="12" s="1"/>
  <c r="BJ10" i="12"/>
  <c r="BA3" i="14"/>
  <c r="AY3" i="10"/>
  <c r="BB26" i="31"/>
  <c r="BJ56" i="12"/>
  <c r="BJ111" i="12" a="1"/>
  <c r="BJ111" i="12" s="1"/>
  <c r="AH3" i="13"/>
  <c r="BC27" i="31"/>
  <c r="BC297" i="31" s="1"/>
  <c r="BJ16" i="12"/>
  <c r="BK3" i="12"/>
  <c r="BH47" i="8"/>
  <c r="BA3" i="15"/>
  <c r="BH6" i="8"/>
  <c r="AY25" i="22"/>
  <c r="AZ110" i="14"/>
  <c r="BF26" i="12"/>
  <c r="BJ109" i="12" a="1"/>
  <c r="BJ109" i="12" s="1"/>
  <c r="AY155" i="29"/>
  <c r="AY3" i="9"/>
  <c r="BC28" i="31"/>
  <c r="BC298" i="31" s="1"/>
  <c r="BH73" i="8"/>
  <c r="BK3" i="20"/>
  <c r="AY139" i="22"/>
  <c r="E57" i="22" a="1"/>
  <c r="E57" i="22" s="1"/>
  <c r="BL57" i="22" s="1"/>
  <c r="AZ139" i="22"/>
  <c r="BA110" i="14"/>
  <c r="AZ141" i="22"/>
  <c r="AZ144" i="22" s="1"/>
  <c r="BB3" i="15"/>
  <c r="BK112" i="12" a="1"/>
  <c r="BK112" i="12" s="1"/>
  <c r="BD27" i="31"/>
  <c r="BD297" i="31" s="1"/>
  <c r="BD3" i="17"/>
  <c r="AI3" i="13"/>
  <c r="AE6" i="8"/>
  <c r="AE47" i="8"/>
  <c r="AY3" i="11"/>
  <c r="BD30" i="31"/>
  <c r="BD300" i="31" s="1"/>
  <c r="E108" i="22" a="1"/>
  <c r="E108" i="22" s="1"/>
  <c r="BL108" i="22" s="1"/>
  <c r="BA3" i="22"/>
  <c r="AZ155" i="29"/>
  <c r="AZ152" i="29" s="1"/>
  <c r="BA149" i="29" s="1"/>
  <c r="Y3" i="14"/>
  <c r="BD28" i="31"/>
  <c r="BD298" i="31" s="1"/>
  <c r="BK16" i="12"/>
  <c r="Y3" i="15"/>
  <c r="AZ3" i="10"/>
  <c r="BC26" i="31"/>
  <c r="BC296" i="31" s="1"/>
  <c r="AI3" i="20"/>
  <c r="BB3" i="16"/>
  <c r="Y3" i="16"/>
  <c r="AG3" i="12"/>
  <c r="AE73" i="8"/>
  <c r="BB91" i="30"/>
  <c r="BB87" i="30" s="1"/>
  <c r="BC84" i="30" s="1"/>
  <c r="X3" i="22"/>
  <c r="BK111" i="12" a="1"/>
  <c r="BK111" i="12" s="1"/>
  <c r="BD29" i="31"/>
  <c r="BD299" i="31" s="1"/>
  <c r="BK99" i="12"/>
  <c r="BK116" i="12" a="1"/>
  <c r="BK116" i="12" s="1"/>
  <c r="BB3" i="14"/>
  <c r="BI6" i="8"/>
  <c r="BK56" i="12"/>
  <c r="AZ3" i="9"/>
  <c r="BD293" i="31"/>
  <c r="BL110" i="12" a="1"/>
  <c r="BL110" i="12" s="1"/>
  <c r="BK87" i="12"/>
  <c r="BK117" i="12" a="1"/>
  <c r="BK117" i="12" s="1"/>
  <c r="BK10" i="12"/>
  <c r="BL3" i="12"/>
  <c r="V3" i="11"/>
  <c r="BK109" i="12" a="1"/>
  <c r="BK109" i="12" s="1"/>
  <c r="W3" i="9"/>
  <c r="AZ25" i="22"/>
  <c r="BL3" i="20"/>
  <c r="BK113" i="12" a="1"/>
  <c r="BK113" i="12" s="1"/>
  <c r="BI73" i="8"/>
  <c r="BI47" i="8"/>
  <c r="E58" i="22" a="1"/>
  <c r="E58" i="22" s="1"/>
  <c r="BL58" i="22" s="1"/>
  <c r="BA141" i="22"/>
  <c r="BA144" i="22" s="1"/>
  <c r="BE3" i="17"/>
  <c r="BD26" i="31"/>
  <c r="BD296" i="31" s="1"/>
  <c r="BE293" i="31"/>
  <c r="BE292" i="31" s="1"/>
  <c r="BL116" i="12" a="1"/>
  <c r="BL116" i="12" s="1"/>
  <c r="BA3" i="9"/>
  <c r="AJ3" i="13"/>
  <c r="BL109" i="12" a="1"/>
  <c r="BL109" i="12" s="1"/>
  <c r="BA25" i="22"/>
  <c r="BE29" i="31"/>
  <c r="BL87" i="12"/>
  <c r="BJ6" i="8"/>
  <c r="BL111" i="12" a="1"/>
  <c r="BL111" i="12" s="1"/>
  <c r="BE30" i="31"/>
  <c r="BB110" i="14"/>
  <c r="BL56" i="12"/>
  <c r="BC3" i="14"/>
  <c r="BL112" i="12" a="1"/>
  <c r="BL112" i="12" s="1"/>
  <c r="BA139" i="22"/>
  <c r="E109" i="22" a="1"/>
  <c r="E109" i="22" s="1"/>
  <c r="BH26" i="12"/>
  <c r="BM3" i="20"/>
  <c r="BL113" i="12" a="1"/>
  <c r="BL113" i="12" s="1"/>
  <c r="BA155" i="29"/>
  <c r="BA152" i="29" s="1"/>
  <c r="BB149" i="29" s="1"/>
  <c r="BC3" i="16"/>
  <c r="BJ47" i="8"/>
  <c r="BE27" i="31"/>
  <c r="BM110" i="12" a="1"/>
  <c r="BM110" i="12" s="1"/>
  <c r="BA3" i="10"/>
  <c r="BE28" i="31"/>
  <c r="AZ3" i="11"/>
  <c r="BL16" i="12"/>
  <c r="BM3" i="12"/>
  <c r="BL10" i="12"/>
  <c r="BJ73" i="8"/>
  <c r="BC91" i="30"/>
  <c r="BC3" i="15"/>
  <c r="BL117" i="12" a="1"/>
  <c r="BL117" i="12" s="1"/>
  <c r="BL99" i="12"/>
  <c r="BB3" i="22"/>
  <c r="BF29" i="31"/>
  <c r="BF299" i="31" s="1"/>
  <c r="BM16" i="12"/>
  <c r="BK6" i="8"/>
  <c r="BM87" i="12"/>
  <c r="BF30" i="31"/>
  <c r="BF300" i="31" s="1"/>
  <c r="BI26" i="12"/>
  <c r="Z3" i="15"/>
  <c r="BM109" i="12" a="1"/>
  <c r="BM109" i="12" s="1"/>
  <c r="BN3" i="12"/>
  <c r="W3" i="11"/>
  <c r="X3" i="9"/>
  <c r="BK73" i="8"/>
  <c r="BA3" i="11"/>
  <c r="BM56" i="12"/>
  <c r="BM112" i="12" a="1"/>
  <c r="BM112" i="12" s="1"/>
  <c r="E110" i="22" a="1"/>
  <c r="E110" i="22" s="1"/>
  <c r="BL110" i="22" s="1"/>
  <c r="BM10" i="12"/>
  <c r="AH3" i="12"/>
  <c r="BF28" i="31"/>
  <c r="BF298" i="31" s="1"/>
  <c r="BB25" i="22"/>
  <c r="BM117" i="12" a="1"/>
  <c r="BM117" i="12" s="1"/>
  <c r="Y3" i="22"/>
  <c r="BD3" i="14"/>
  <c r="BB3" i="9"/>
  <c r="BK47" i="8"/>
  <c r="AF73" i="8"/>
  <c r="BC3" i="22"/>
  <c r="BF293" i="31"/>
  <c r="BB139" i="22"/>
  <c r="BF3" i="17"/>
  <c r="BD91" i="30"/>
  <c r="BD87" i="30" s="1"/>
  <c r="BE84" i="30" s="1"/>
  <c r="BB141" i="22"/>
  <c r="BB144" i="22" s="1"/>
  <c r="BJ26" i="12"/>
  <c r="BM113" i="12" a="1"/>
  <c r="BM113" i="12" s="1"/>
  <c r="E59" i="22" a="1"/>
  <c r="E59" i="22" s="1"/>
  <c r="BL59" i="22" s="1"/>
  <c r="BD3" i="15"/>
  <c r="BB3" i="10"/>
  <c r="BM116" i="12" a="1"/>
  <c r="BM116" i="12" s="1"/>
  <c r="BC110" i="14"/>
  <c r="Z3" i="14"/>
  <c r="AF47" i="8"/>
  <c r="BF27" i="31"/>
  <c r="BF297" i="31" s="1"/>
  <c r="BM99" i="12"/>
  <c r="BN3" i="20"/>
  <c r="BE26" i="31"/>
  <c r="Z3" i="16"/>
  <c r="BN110" i="12" a="1"/>
  <c r="BN110" i="12" s="1"/>
  <c r="AJ3" i="20"/>
  <c r="BB155" i="29"/>
  <c r="BD3" i="16"/>
  <c r="AK3" i="13"/>
  <c r="AF6" i="8"/>
  <c r="BM111" i="12" a="1"/>
  <c r="BM111" i="12" s="1"/>
  <c r="E60" i="22" a="1"/>
  <c r="E60" i="22" s="1"/>
  <c r="BL60" i="22" s="1"/>
  <c r="BD3" i="22"/>
  <c r="BE3" i="15"/>
  <c r="BC3" i="10"/>
  <c r="BL47" i="8"/>
  <c r="BG27" i="31"/>
  <c r="BG297" i="31" s="1"/>
  <c r="BC139" i="22"/>
  <c r="BE91" i="30"/>
  <c r="BE87" i="30" s="1"/>
  <c r="BF84" i="30" s="1"/>
  <c r="BC25" i="22"/>
  <c r="BK26" i="12"/>
  <c r="BC3" i="9"/>
  <c r="BN113" i="12" a="1"/>
  <c r="BN113" i="12" s="1"/>
  <c r="BL6" i="8"/>
  <c r="BC155" i="29"/>
  <c r="BC152" i="29" s="1"/>
  <c r="BD149" i="29" s="1"/>
  <c r="BN56" i="12"/>
  <c r="AL3" i="13"/>
  <c r="BO3" i="12"/>
  <c r="E111" i="22" a="1"/>
  <c r="E111" i="22" s="1"/>
  <c r="BL111" i="22" s="1"/>
  <c r="BO3" i="20"/>
  <c r="BG28" i="31"/>
  <c r="BG298" i="31" s="1"/>
  <c r="BG293" i="31"/>
  <c r="BC141" i="22"/>
  <c r="BC144" i="22" s="1"/>
  <c r="BB3" i="11"/>
  <c r="BN116" i="12" a="1"/>
  <c r="BN116" i="12" s="1"/>
  <c r="BN87" i="12"/>
  <c r="BG29" i="31"/>
  <c r="BG299" i="31" s="1"/>
  <c r="BD110" i="14"/>
  <c r="BN99" i="12"/>
  <c r="BF26" i="31"/>
  <c r="BF296" i="31" s="1"/>
  <c r="BG30" i="31"/>
  <c r="BG300" i="31" s="1"/>
  <c r="BN117" i="12" a="1"/>
  <c r="BN117" i="12" s="1"/>
  <c r="BE3" i="14"/>
  <c r="BN10" i="12"/>
  <c r="BN23" i="12" s="1"/>
  <c r="BN24" i="12" s="1"/>
  <c r="BN111" i="12" a="1"/>
  <c r="BN111" i="12" s="1"/>
  <c r="BE3" i="16"/>
  <c r="BN16" i="12"/>
  <c r="BN112" i="12" a="1"/>
  <c r="BN112" i="12" s="1"/>
  <c r="BO110" i="12" a="1"/>
  <c r="BO110" i="12" s="1"/>
  <c r="BN109" i="12" a="1"/>
  <c r="BN109" i="12" s="1"/>
  <c r="BG3" i="17"/>
  <c r="BL73" i="8"/>
  <c r="BD155" i="29"/>
  <c r="BD152" i="29" s="1"/>
  <c r="BE149" i="29" s="1"/>
  <c r="BD141" i="22"/>
  <c r="BD144" i="22" s="1"/>
  <c r="BP3" i="20"/>
  <c r="BO56" i="12"/>
  <c r="BP3" i="12"/>
  <c r="Y3" i="9"/>
  <c r="BM73" i="8"/>
  <c r="BH27" i="31"/>
  <c r="BO112" i="12" a="1"/>
  <c r="BO112" i="12" s="1"/>
  <c r="BO109" i="12" a="1"/>
  <c r="BO109" i="12" s="1"/>
  <c r="BD3" i="9"/>
  <c r="AA3" i="16"/>
  <c r="BD3" i="10"/>
  <c r="E61" i="22" a="1"/>
  <c r="E61" i="22" s="1"/>
  <c r="BL61" i="22" s="1"/>
  <c r="BH30" i="31"/>
  <c r="BE110" i="14"/>
  <c r="BH28" i="31"/>
  <c r="BH293" i="31"/>
  <c r="BH292" i="31" s="1"/>
  <c r="BE3" i="22"/>
  <c r="AA3" i="14"/>
  <c r="BC3" i="11"/>
  <c r="BF3" i="15"/>
  <c r="AM3" i="13"/>
  <c r="BH29" i="31"/>
  <c r="E112" i="22" a="1"/>
  <c r="E112" i="22" s="1"/>
  <c r="BL112" i="22" s="1"/>
  <c r="BF91" i="30"/>
  <c r="AG6" i="8"/>
  <c r="BG26" i="31"/>
  <c r="BG296" i="31" s="1"/>
  <c r="BL26" i="12"/>
  <c r="BO116" i="12" a="1"/>
  <c r="BO116" i="12" s="1"/>
  <c r="BO10" i="12"/>
  <c r="AG47" i="8"/>
  <c r="BP110" i="12" a="1"/>
  <c r="BP110" i="12" s="1"/>
  <c r="Z3" i="22"/>
  <c r="BF3" i="14"/>
  <c r="BO99" i="12"/>
  <c r="AI3" i="12"/>
  <c r="AG73" i="8"/>
  <c r="BO113" i="12" a="1"/>
  <c r="BO113" i="12" s="1"/>
  <c r="BO111" i="12" a="1"/>
  <c r="BO111" i="12" s="1"/>
  <c r="X3" i="11"/>
  <c r="BO117" i="12" a="1"/>
  <c r="BO117" i="12" s="1"/>
  <c r="BO16" i="12"/>
  <c r="AA3" i="15"/>
  <c r="BD25" i="22"/>
  <c r="AK3" i="20"/>
  <c r="BH3" i="17"/>
  <c r="BO87" i="12"/>
  <c r="BM6" i="8"/>
  <c r="BD139" i="22"/>
  <c r="BF3" i="16"/>
  <c r="BM47" i="8"/>
  <c r="BI29" i="31"/>
  <c r="BI299" i="31" s="1"/>
  <c r="BE141" i="22"/>
  <c r="BE144" i="22" s="1"/>
  <c r="U144" i="22" s="1"/>
  <c r="BQ3" i="12"/>
  <c r="BN73" i="8"/>
  <c r="BI28" i="31"/>
  <c r="BI298" i="31" s="1"/>
  <c r="BE3" i="10"/>
  <c r="BN47" i="8"/>
  <c r="BG3" i="14"/>
  <c r="BG3" i="16"/>
  <c r="BI30" i="31"/>
  <c r="BI300" i="31" s="1"/>
  <c r="BF3" i="22"/>
  <c r="BE3" i="9"/>
  <c r="BI27" i="31"/>
  <c r="BI297" i="31" s="1"/>
  <c r="BG91" i="30"/>
  <c r="BG87" i="30" s="1"/>
  <c r="BH84" i="30" s="1"/>
  <c r="BP116" i="12" a="1"/>
  <c r="BP116" i="12" s="1"/>
  <c r="BH26" i="31"/>
  <c r="BN6" i="8"/>
  <c r="AN3" i="13"/>
  <c r="E62" i="22" a="1"/>
  <c r="E62" i="22" s="1"/>
  <c r="BL62" i="22" s="1"/>
  <c r="BQ110" i="12" a="1"/>
  <c r="BQ110" i="12" s="1"/>
  <c r="BQ3" i="20"/>
  <c r="BP16" i="12"/>
  <c r="BI293" i="31"/>
  <c r="BE155" i="29"/>
  <c r="BP10" i="12"/>
  <c r="E113" i="22" a="1"/>
  <c r="E113" i="22" s="1"/>
  <c r="BL113" i="22" s="1"/>
  <c r="BD3" i="11"/>
  <c r="BF110" i="14"/>
  <c r="BP99" i="12"/>
  <c r="BP112" i="12" a="1"/>
  <c r="BP112" i="12" s="1"/>
  <c r="BI3" i="17"/>
  <c r="BP87" i="12"/>
  <c r="BP111" i="12" a="1"/>
  <c r="BP111" i="12" s="1"/>
  <c r="BE25" i="22"/>
  <c r="BP113" i="12" a="1"/>
  <c r="BP113" i="12" s="1"/>
  <c r="BE139" i="22"/>
  <c r="BP117" i="12" a="1"/>
  <c r="BP117" i="12" s="1"/>
  <c r="BG3" i="15"/>
  <c r="BP56" i="12"/>
  <c r="BP109" i="12" a="1"/>
  <c r="BP109" i="12" s="1"/>
  <c r="E114" i="22" a="1"/>
  <c r="E114" i="22" s="1"/>
  <c r="BL114" i="22" s="1"/>
  <c r="BO47" i="8"/>
  <c r="BQ16" i="12"/>
  <c r="BQ111" i="12" a="1"/>
  <c r="BQ111" i="12" s="1"/>
  <c r="BO6" i="8"/>
  <c r="BI26" i="31"/>
  <c r="BI296" i="31" s="1"/>
  <c r="BM26" i="12"/>
  <c r="BF3" i="9"/>
  <c r="BF3" i="10"/>
  <c r="BH3" i="15"/>
  <c r="AB3" i="15"/>
  <c r="BG110" i="14"/>
  <c r="BG3" i="22"/>
  <c r="BJ3" i="17"/>
  <c r="Y3" i="11"/>
  <c r="BF155" i="29"/>
  <c r="BF152" i="29" s="1"/>
  <c r="BG149" i="29" s="1"/>
  <c r="BE3" i="11"/>
  <c r="Z3" i="9"/>
  <c r="BO73" i="8"/>
  <c r="BJ293" i="31"/>
  <c r="BH3" i="16"/>
  <c r="AB3" i="14"/>
  <c r="AO3" i="13"/>
  <c r="BJ29" i="31"/>
  <c r="BJ299" i="31" s="1"/>
  <c r="AA3" i="22"/>
  <c r="AB3" i="16"/>
  <c r="AH6" i="8"/>
  <c r="BQ56" i="12"/>
  <c r="BR3" i="12"/>
  <c r="BH91" i="30"/>
  <c r="BH87" i="30" s="1"/>
  <c r="BI84" i="30" s="1"/>
  <c r="BH3" i="14"/>
  <c r="BF141" i="22"/>
  <c r="BF144" i="22" s="1"/>
  <c r="BJ27" i="31"/>
  <c r="BJ297" i="31" s="1"/>
  <c r="BQ10" i="12"/>
  <c r="E63" i="22" a="1"/>
  <c r="E63" i="22" s="1"/>
  <c r="BL63" i="22" s="1"/>
  <c r="BQ99" i="12"/>
  <c r="AH47" i="8"/>
  <c r="AH73" i="8"/>
  <c r="BJ28" i="31"/>
  <c r="BJ298" i="31" s="1"/>
  <c r="BQ109" i="12" a="1"/>
  <c r="BQ109" i="12" s="1"/>
  <c r="AL3" i="20"/>
  <c r="BQ113" i="12" a="1"/>
  <c r="BQ113" i="12" s="1"/>
  <c r="BJ30" i="31"/>
  <c r="BJ300" i="31" s="1"/>
  <c r="BR3" i="20"/>
  <c r="BQ117" i="12" a="1"/>
  <c r="BQ117" i="12" s="1"/>
  <c r="BQ87" i="12"/>
  <c r="AJ3" i="12"/>
  <c r="BQ112" i="12" a="1"/>
  <c r="BQ112" i="12" s="1"/>
  <c r="BF139" i="22"/>
  <c r="BR110" i="12" a="1"/>
  <c r="BR110" i="12" s="1"/>
  <c r="BQ116" i="12" a="1"/>
  <c r="BQ116" i="12" s="1"/>
  <c r="BF25" i="22"/>
  <c r="BK27" i="31"/>
  <c r="BG139" i="22"/>
  <c r="BG3" i="10"/>
  <c r="BI91" i="30"/>
  <c r="BG141" i="22"/>
  <c r="BG144" i="22" s="1"/>
  <c r="AP3" i="13"/>
  <c r="BP6" i="8"/>
  <c r="BF3" i="11"/>
  <c r="BK28" i="31"/>
  <c r="BI3" i="15"/>
  <c r="BR109" i="12" a="1"/>
  <c r="BR109" i="12" s="1"/>
  <c r="BR116" i="12" a="1"/>
  <c r="BR116" i="12" s="1"/>
  <c r="BH110" i="14"/>
  <c r="E115" i="22" a="1"/>
  <c r="E115" i="22" s="1"/>
  <c r="BL115" i="22" s="1"/>
  <c r="BR112" i="12" a="1"/>
  <c r="BR112" i="12" s="1"/>
  <c r="BS3" i="12"/>
  <c r="BS110" i="12" a="1"/>
  <c r="BS110" i="12" s="1"/>
  <c r="BK293" i="31"/>
  <c r="BK292" i="31" s="1"/>
  <c r="BN26" i="12"/>
  <c r="BK29" i="31"/>
  <c r="BJ26" i="31"/>
  <c r="BJ296" i="31" s="1"/>
  <c r="BR10" i="12"/>
  <c r="BH3" i="22"/>
  <c r="BK3" i="17"/>
  <c r="BP47" i="8"/>
  <c r="E64" i="22" a="1"/>
  <c r="E64" i="22" s="1"/>
  <c r="BL64" i="22" s="1"/>
  <c r="BS3" i="20"/>
  <c r="BR99" i="12"/>
  <c r="BG155" i="29"/>
  <c r="BG152" i="29" s="1"/>
  <c r="BH149" i="29" s="1"/>
  <c r="BR117" i="12" a="1"/>
  <c r="BR117" i="12" s="1"/>
  <c r="BI3" i="16"/>
  <c r="BP73" i="8"/>
  <c r="BG25" i="22"/>
  <c r="BK30" i="31"/>
  <c r="BR87" i="12"/>
  <c r="BR16" i="12"/>
  <c r="BI3" i="14"/>
  <c r="BR111" i="12" a="1"/>
  <c r="BR111" i="12" s="1"/>
  <c r="BR56" i="12"/>
  <c r="BR113" i="12" a="1"/>
  <c r="BR113" i="12" s="1"/>
  <c r="BG3" i="9"/>
  <c r="BL28" i="31"/>
  <c r="BL298" i="31" s="1"/>
  <c r="BS116" i="12" a="1"/>
  <c r="BS116" i="12" s="1"/>
  <c r="AC3" i="16"/>
  <c r="BL293" i="31"/>
  <c r="BG3" i="11"/>
  <c r="E116" i="22" a="1"/>
  <c r="E116" i="22" s="1"/>
  <c r="BL116" i="22" s="1"/>
  <c r="BH155" i="29"/>
  <c r="BK26" i="31"/>
  <c r="AM3" i="20"/>
  <c r="BJ3" i="16"/>
  <c r="BJ3" i="15"/>
  <c r="BS10" i="12"/>
  <c r="AK3" i="12"/>
  <c r="E65" i="22" a="1"/>
  <c r="E65" i="22" s="1"/>
  <c r="BL65" i="22" s="1"/>
  <c r="BS117" i="12" a="1"/>
  <c r="BS117" i="12" s="1"/>
  <c r="BS99" i="12"/>
  <c r="BO26" i="12"/>
  <c r="BS87" i="12"/>
  <c r="BS113" i="12" a="1"/>
  <c r="BS113" i="12" s="1"/>
  <c r="BQ73" i="8"/>
  <c r="BL29" i="31"/>
  <c r="BL299" i="31" s="1"/>
  <c r="BL30" i="31"/>
  <c r="BL300" i="31" s="1"/>
  <c r="BI110" i="14"/>
  <c r="BS56" i="12"/>
  <c r="AA3" i="9"/>
  <c r="BQ47" i="8"/>
  <c r="BL27" i="31"/>
  <c r="BL297" i="31" s="1"/>
  <c r="AC3" i="15"/>
  <c r="BS111" i="12" a="1"/>
  <c r="BS111" i="12" s="1"/>
  <c r="BJ91" i="30"/>
  <c r="BJ87" i="30" s="1"/>
  <c r="BK84" i="30" s="1"/>
  <c r="AB3" i="22"/>
  <c r="BP26" i="12"/>
  <c r="BT3" i="12"/>
  <c r="BS16" i="12"/>
  <c r="Z3" i="11"/>
  <c r="BI3" i="22"/>
  <c r="BH25" i="22"/>
  <c r="BL3" i="17"/>
  <c r="BS109" i="12" a="1"/>
  <c r="BS109" i="12" s="1"/>
  <c r="BS112" i="12" a="1"/>
  <c r="BS112" i="12" s="1"/>
  <c r="BH3" i="10"/>
  <c r="AI6" i="8"/>
  <c r="AI47" i="8"/>
  <c r="AQ3" i="13"/>
  <c r="BH139" i="22"/>
  <c r="BQ6" i="8"/>
  <c r="BH141" i="22"/>
  <c r="BH144" i="22" s="1"/>
  <c r="V144" i="22" s="1"/>
  <c r="BT3" i="20"/>
  <c r="BJ3" i="14"/>
  <c r="AC3" i="14"/>
  <c r="BH3" i="9"/>
  <c r="AI73" i="8"/>
  <c r="BT110" i="12" a="1"/>
  <c r="BT110" i="12" s="1"/>
  <c r="BM28" i="31"/>
  <c r="BM298" i="31" s="1"/>
  <c r="BM293" i="31"/>
  <c r="BT56" i="12"/>
  <c r="BT116" i="12" a="1"/>
  <c r="BT116" i="12" s="1"/>
  <c r="BM29" i="31"/>
  <c r="BM299" i="31" s="1"/>
  <c r="BK3" i="16"/>
  <c r="BM30" i="31"/>
  <c r="BM300" i="31" s="1"/>
  <c r="BU110" i="12" a="1"/>
  <c r="BU110" i="12" s="1"/>
  <c r="BH3" i="11"/>
  <c r="BT112" i="12" a="1"/>
  <c r="BT112" i="12" s="1"/>
  <c r="BI3" i="10"/>
  <c r="BR73" i="8"/>
  <c r="E66" i="22" a="1"/>
  <c r="E66" i="22" s="1"/>
  <c r="BL66" i="22" s="1"/>
  <c r="BT87" i="12"/>
  <c r="BT109" i="12" a="1"/>
  <c r="BT109" i="12" s="1"/>
  <c r="BR47" i="8"/>
  <c r="BI155" i="29"/>
  <c r="BI152" i="29" s="1"/>
  <c r="BJ149" i="29" s="1"/>
  <c r="BM3" i="17"/>
  <c r="BT10" i="12"/>
  <c r="BT111" i="12" a="1"/>
  <c r="BT111" i="12" s="1"/>
  <c r="BK3" i="15"/>
  <c r="BM27" i="31"/>
  <c r="BM297" i="31" s="1"/>
  <c r="BT16" i="12"/>
  <c r="BT113" i="12" a="1"/>
  <c r="BT113" i="12" s="1"/>
  <c r="BR6" i="8"/>
  <c r="BT117" i="12" a="1"/>
  <c r="BT117" i="12" s="1"/>
  <c r="BJ3" i="22"/>
  <c r="E117" i="22" a="1"/>
  <c r="E117" i="22" s="1"/>
  <c r="BL117" i="22" s="1"/>
  <c r="BJ110" i="14"/>
  <c r="BU3" i="20"/>
  <c r="BL26" i="31"/>
  <c r="BL296" i="31" s="1"/>
  <c r="BT99" i="12"/>
  <c r="BU3" i="12"/>
  <c r="BK91" i="30"/>
  <c r="BK87" i="30" s="1"/>
  <c r="BL84" i="30" s="1"/>
  <c r="BI3" i="9"/>
  <c r="BI141" i="22"/>
  <c r="BI144" i="22" s="1"/>
  <c r="BI25" i="22"/>
  <c r="BK3" i="14"/>
  <c r="AR3" i="13"/>
  <c r="BI139" i="22"/>
  <c r="BM26" i="31"/>
  <c r="BM296" i="31" s="1"/>
  <c r="BU112" i="12" a="1"/>
  <c r="BU112" i="12" s="1"/>
  <c r="BU10" i="12"/>
  <c r="BU109" i="12" a="1"/>
  <c r="BU109" i="12" s="1"/>
  <c r="BJ139" i="22"/>
  <c r="BU111" i="12" a="1"/>
  <c r="BU111" i="12" s="1"/>
  <c r="BN27" i="31"/>
  <c r="BV110" i="12" a="1"/>
  <c r="BV110" i="12" s="1"/>
  <c r="BR26" i="12"/>
  <c r="BI3" i="11"/>
  <c r="BS6" i="8"/>
  <c r="BN29" i="31"/>
  <c r="BU113" i="12" a="1"/>
  <c r="BU113" i="12" s="1"/>
  <c r="E118" i="22" a="1"/>
  <c r="E118" i="22" s="1"/>
  <c r="BK118" i="22" s="1"/>
  <c r="BJ25" i="22"/>
  <c r="BV3" i="20"/>
  <c r="BU56" i="12"/>
  <c r="BV3" i="12"/>
  <c r="BJ155" i="29"/>
  <c r="BJ152" i="29" s="1"/>
  <c r="BK149" i="29" s="1"/>
  <c r="BJ141" i="22"/>
  <c r="BJ144" i="22" s="1"/>
  <c r="BL3" i="15"/>
  <c r="AS3" i="13"/>
  <c r="BL91" i="30"/>
  <c r="BW110" i="12" a="1"/>
  <c r="BW110" i="12" s="1"/>
  <c r="BU116" i="12" a="1"/>
  <c r="BU116" i="12" s="1"/>
  <c r="BN30" i="31"/>
  <c r="BL3" i="16"/>
  <c r="BU99" i="12"/>
  <c r="BS73" i="8"/>
  <c r="BL3" i="14"/>
  <c r="E67" i="22" a="1"/>
  <c r="E67" i="22" s="1"/>
  <c r="BK67" i="22" s="1"/>
  <c r="BQ26" i="12"/>
  <c r="BU117" i="12" a="1"/>
  <c r="BU117" i="12" s="1"/>
  <c r="BK110" i="14"/>
  <c r="BS47" i="8"/>
  <c r="BN293" i="31"/>
  <c r="BN292" i="31" s="1"/>
  <c r="BU87" i="12"/>
  <c r="BN28" i="31"/>
  <c r="BN3" i="17"/>
  <c r="BJ3" i="9"/>
  <c r="BU16" i="12"/>
  <c r="BJ3" i="10"/>
  <c r="BK3" i="22"/>
  <c r="E68" i="22" a="1"/>
  <c r="E68" i="22" s="1"/>
  <c r="BL68" i="22" s="1"/>
  <c r="BW3" i="12"/>
  <c r="BX13" i="12" a="1"/>
  <c r="BX13" i="12" s="1"/>
  <c r="AV40" i="13" s="1"/>
  <c r="BW111" i="12" a="1"/>
  <c r="BW111" i="12" s="1"/>
  <c r="BW16" i="12"/>
  <c r="BW10" i="12"/>
  <c r="AU41" i="13"/>
  <c r="AV41" i="13"/>
  <c r="BW109" i="12" a="1"/>
  <c r="BW109" i="12" s="1"/>
  <c r="AU42" i="13"/>
  <c r="BW99" i="12"/>
  <c r="BW113" i="12" a="1"/>
  <c r="BW113" i="12" s="1"/>
  <c r="BW117" i="12" a="1"/>
  <c r="BW117" i="12" s="1"/>
  <c r="BW116" i="12" a="1"/>
  <c r="BW116" i="12" s="1"/>
  <c r="BW56" i="12"/>
  <c r="BW87" i="12"/>
  <c r="BW112" i="12" a="1"/>
  <c r="BW112" i="12" s="1"/>
  <c r="BW26" i="12"/>
  <c r="BL139" i="22"/>
  <c r="BL25" i="22"/>
  <c r="BL141" i="22"/>
  <c r="BL144" i="22" s="1"/>
  <c r="AU102" i="13"/>
  <c r="BO105" i="17"/>
  <c r="BN107" i="17"/>
  <c r="BN109" i="17" s="1"/>
  <c r="BN103" i="17" s="1"/>
  <c r="BT82" i="20"/>
  <c r="BH61" i="16"/>
  <c r="AG80" i="14"/>
  <c r="AV80" i="14"/>
  <c r="BK80" i="14"/>
  <c r="BR114" i="20"/>
  <c r="AZ80" i="14"/>
  <c r="AQ80" i="14"/>
  <c r="AL80" i="14"/>
  <c r="AW61" i="15"/>
  <c r="BJ80" i="14"/>
  <c r="AS61" i="15"/>
  <c r="AW80" i="14"/>
  <c r="AR61" i="15"/>
  <c r="AJ80" i="14"/>
  <c r="AP61" i="15"/>
  <c r="AO61" i="15"/>
  <c r="AQ61" i="15"/>
  <c r="H74" i="17"/>
  <c r="Q74" i="17"/>
  <c r="AS80" i="14"/>
  <c r="BA80" i="14"/>
  <c r="AF80" i="14"/>
  <c r="Q75" i="17"/>
  <c r="H75" i="17"/>
  <c r="BD80" i="14"/>
  <c r="BV107" i="20"/>
  <c r="AH80" i="14"/>
  <c r="AY61" i="15"/>
  <c r="BK42" i="17"/>
  <c r="BM110" i="14"/>
  <c r="AX61" i="15"/>
  <c r="U75" i="17"/>
  <c r="I75" i="17"/>
  <c r="U74" i="17"/>
  <c r="I74" i="17"/>
  <c r="AF76" i="17" a="1"/>
  <c r="AF76" i="17" s="1"/>
  <c r="AR76" i="17" a="1"/>
  <c r="AR76" i="17" s="1"/>
  <c r="BM76" i="17" a="1"/>
  <c r="BM76" i="17" s="1"/>
  <c r="AH76" i="17" a="1"/>
  <c r="AH76" i="17" s="1"/>
  <c r="N76" i="17" s="1"/>
  <c r="AQ76" i="17" a="1"/>
  <c r="AQ76" i="17" s="1"/>
  <c r="BJ76" i="17" a="1"/>
  <c r="BJ76" i="17" s="1"/>
  <c r="AP76" i="17" a="1"/>
  <c r="AP76" i="17" s="1"/>
  <c r="BF76" i="17" a="1"/>
  <c r="BF76" i="17" s="1"/>
  <c r="V76" i="17" s="1"/>
  <c r="BG76" i="17" a="1"/>
  <c r="BG76" i="17" s="1"/>
  <c r="BE76" i="17" a="1"/>
  <c r="BE76" i="17" s="1"/>
  <c r="AT76" i="17" a="1"/>
  <c r="AT76" i="17" s="1"/>
  <c r="R76" i="17" s="1"/>
  <c r="AG76" i="17" a="1"/>
  <c r="AG76" i="17" s="1"/>
  <c r="BA76" i="17" a="1"/>
  <c r="BA76" i="17" s="1"/>
  <c r="AJ76" i="17" a="1"/>
  <c r="AJ76" i="17" s="1"/>
  <c r="AY76" i="17" a="1"/>
  <c r="AY76" i="17" s="1"/>
  <c r="BL76" i="17" a="1"/>
  <c r="BL76" i="17" s="1"/>
  <c r="X76" i="17" s="1"/>
  <c r="AU76" i="17" a="1"/>
  <c r="AU76" i="17" s="1"/>
  <c r="AO76" i="17" a="1"/>
  <c r="AO76" i="17" s="1"/>
  <c r="BH76" i="17" a="1"/>
  <c r="BH76" i="17" s="1"/>
  <c r="AN76" i="17" a="1"/>
  <c r="AN76" i="17" s="1"/>
  <c r="P76" i="17" s="1"/>
  <c r="AZ76" i="17" a="1"/>
  <c r="AZ76" i="17" s="1"/>
  <c r="T76" i="17" s="1"/>
  <c r="AV76" i="17" a="1"/>
  <c r="AV76" i="17" s="1"/>
  <c r="BU85" i="20"/>
  <c r="AR130" i="13" s="1"/>
  <c r="BU111" i="20" a="1"/>
  <c r="BU111" i="20" s="1"/>
  <c r="BU110" i="20"/>
  <c r="BU109" i="20" a="1"/>
  <c r="BU109" i="20" s="1"/>
  <c r="AV61" i="15"/>
  <c r="BU87" i="20"/>
  <c r="AR132" i="13" s="1"/>
  <c r="AX80" i="14"/>
  <c r="AU61" i="15"/>
  <c r="BV90" i="20"/>
  <c r="AS134" i="13" s="1"/>
  <c r="BV108" i="20"/>
  <c r="BV83" i="20"/>
  <c r="BV76" i="20"/>
  <c r="AS122" i="13" s="1"/>
  <c r="BV77" i="20"/>
  <c r="AS123" i="13" s="1"/>
  <c r="BV91" i="20"/>
  <c r="AS135" i="13" s="1"/>
  <c r="BT68" i="20"/>
  <c r="BX52" i="20"/>
  <c r="BL109" i="16"/>
  <c r="BK109" i="16"/>
  <c r="BL61" i="16"/>
  <c r="BK61" i="16"/>
  <c r="BM8" i="22"/>
  <c r="BM139" i="22" s="1"/>
  <c r="BM7" i="22"/>
  <c r="BM3" i="22"/>
  <c r="BM6" i="22"/>
  <c r="BM4" i="22"/>
  <c r="BN5" i="22"/>
  <c r="BK59" i="16"/>
  <c r="BL59" i="16"/>
  <c r="BL69" i="22"/>
  <c r="BK69" i="22"/>
  <c r="BJ69" i="22"/>
  <c r="BI69" i="22"/>
  <c r="BH69" i="22"/>
  <c r="BG69" i="22"/>
  <c r="BF69" i="22"/>
  <c r="BE69" i="22"/>
  <c r="BD69" i="22"/>
  <c r="BC69" i="22"/>
  <c r="BB69" i="22"/>
  <c r="BA69" i="22"/>
  <c r="AZ69" i="22"/>
  <c r="AY69" i="22"/>
  <c r="AX69" i="22"/>
  <c r="AW69" i="22"/>
  <c r="AV69" i="22"/>
  <c r="AU69" i="22"/>
  <c r="AT69" i="22"/>
  <c r="AS69" i="22"/>
  <c r="AR69" i="22"/>
  <c r="AQ69" i="22"/>
  <c r="AP69" i="22"/>
  <c r="AO69" i="22"/>
  <c r="AN69" i="22"/>
  <c r="AM69" i="22"/>
  <c r="AL69" i="22"/>
  <c r="AK69" i="22"/>
  <c r="AJ69" i="22"/>
  <c r="AI69" i="22"/>
  <c r="AH69" i="22"/>
  <c r="D70" i="22"/>
  <c r="AG69" i="22"/>
  <c r="AF69" i="22"/>
  <c r="AE69"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D121" i="22"/>
  <c r="AE120" i="22"/>
  <c r="AG120" i="22"/>
  <c r="AF120" i="22"/>
  <c r="BU60" i="20"/>
  <c r="BU96" i="20"/>
  <c r="BY54" i="20"/>
  <c r="BV65" i="20"/>
  <c r="BV64" i="20"/>
  <c r="AS112" i="13" s="1"/>
  <c r="BV63" i="20"/>
  <c r="BV62" i="20"/>
  <c r="AS110" i="13" s="1"/>
  <c r="BS92" i="20"/>
  <c r="AP136" i="13" s="1"/>
  <c r="BS93" i="20"/>
  <c r="AP137" i="13" s="1"/>
  <c r="BS94" i="20"/>
  <c r="AP138" i="13" s="1"/>
  <c r="BS78" i="20"/>
  <c r="AP124" i="13" s="1"/>
  <c r="BS79" i="20"/>
  <c r="AP125" i="13" s="1"/>
  <c r="BS80" i="20"/>
  <c r="AP126" i="13" s="1"/>
  <c r="BT78" i="20"/>
  <c r="AQ124" i="13" s="1"/>
  <c r="BT79" i="20"/>
  <c r="AQ125" i="13" s="1"/>
  <c r="BT80" i="20"/>
  <c r="AQ126" i="13" s="1"/>
  <c r="BT93" i="20"/>
  <c r="AQ137" i="13" s="1"/>
  <c r="BT94" i="20"/>
  <c r="AQ138" i="13" s="1"/>
  <c r="BT92" i="20"/>
  <c r="AQ136" i="13" s="1"/>
  <c r="BV99" i="20"/>
  <c r="AS142" i="13" s="1"/>
  <c r="BV101" i="20"/>
  <c r="AS144" i="13" s="1"/>
  <c r="BV100" i="20"/>
  <c r="AS143" i="13" s="1"/>
  <c r="BW102" i="20"/>
  <c r="AT145" i="13" s="1"/>
  <c r="BW95" i="20"/>
  <c r="AT139" i="13" s="1"/>
  <c r="BW81" i="20"/>
  <c r="AT127" i="13" s="1"/>
  <c r="BW88" i="20"/>
  <c r="AT133" i="13" s="1"/>
  <c r="BY57" i="20"/>
  <c r="BY97" i="20" s="1"/>
  <c r="AV140" i="13" s="1"/>
  <c r="BY56" i="20"/>
  <c r="BY55" i="20"/>
  <c r="BT106" i="20"/>
  <c r="BU115" i="20"/>
  <c r="BU71" i="20"/>
  <c r="AR118" i="13" s="1"/>
  <c r="BU72" i="20"/>
  <c r="AR119" i="13" s="1"/>
  <c r="BU73" i="20"/>
  <c r="AR120" i="13" s="1"/>
  <c r="BX4" i="20"/>
  <c r="BY5" i="20"/>
  <c r="BX3" i="20"/>
  <c r="BX8" i="20"/>
  <c r="BX112" i="20" s="1"/>
  <c r="BX6" i="20"/>
  <c r="BX7" i="20"/>
  <c r="BW33" i="20"/>
  <c r="BW28" i="20"/>
  <c r="BW14" i="20"/>
  <c r="BW29" i="20"/>
  <c r="BW74" i="20"/>
  <c r="AT121" i="13" s="1"/>
  <c r="BW34" i="20"/>
  <c r="BW18" i="20"/>
  <c r="BW23" i="20"/>
  <c r="BW32" i="20"/>
  <c r="BW16" i="20"/>
  <c r="BW15" i="20"/>
  <c r="BW21" i="20"/>
  <c r="BW24" i="20"/>
  <c r="BW25" i="20"/>
  <c r="BW19" i="20"/>
  <c r="BW11" i="20"/>
  <c r="BW30" i="20"/>
  <c r="BW26" i="20"/>
  <c r="BW22" i="20"/>
  <c r="BW13" i="20"/>
  <c r="BW17" i="20"/>
  <c r="BW31" i="20"/>
  <c r="BW20" i="20"/>
  <c r="BW12" i="20"/>
  <c r="BW35" i="20"/>
  <c r="BW27" i="20"/>
  <c r="BV61" i="20"/>
  <c r="AS109" i="13" s="1"/>
  <c r="BV69" i="20"/>
  <c r="AS116" i="13" s="1"/>
  <c r="BV10" i="20"/>
  <c r="BV70" i="20"/>
  <c r="AS117" i="13" s="1"/>
  <c r="AS111" i="16"/>
  <c r="AR111" i="16"/>
  <c r="AQ111" i="16"/>
  <c r="AP111" i="16"/>
  <c r="AO111" i="16"/>
  <c r="AN111" i="16"/>
  <c r="AM111" i="16"/>
  <c r="AL111" i="16"/>
  <c r="BZ53" i="20"/>
  <c r="BN171" i="17"/>
  <c r="BM171" i="17"/>
  <c r="BL171" i="17"/>
  <c r="BK171" i="17"/>
  <c r="BJ171" i="17"/>
  <c r="BI171" i="17"/>
  <c r="BH171" i="17"/>
  <c r="BG171" i="17"/>
  <c r="BF171" i="17"/>
  <c r="BE171" i="17"/>
  <c r="BD171" i="17"/>
  <c r="BC171" i="17"/>
  <c r="BB171" i="17"/>
  <c r="BA171" i="17"/>
  <c r="AZ171" i="17"/>
  <c r="AY171" i="17"/>
  <c r="AX171" i="17"/>
  <c r="AW171" i="17"/>
  <c r="AV171" i="17"/>
  <c r="AU171" i="17"/>
  <c r="AT171" i="17"/>
  <c r="AS171" i="17"/>
  <c r="AR171" i="17"/>
  <c r="AQ171" i="17"/>
  <c r="AP171" i="17"/>
  <c r="AO171" i="17"/>
  <c r="AN171" i="17"/>
  <c r="AM171" i="17"/>
  <c r="AL171" i="17"/>
  <c r="AK171" i="17"/>
  <c r="AJ171" i="17"/>
  <c r="AI171" i="17"/>
  <c r="AH171" i="17"/>
  <c r="AF171" i="17"/>
  <c r="AG171" i="17"/>
  <c r="D172" i="17"/>
  <c r="D81" i="17"/>
  <c r="BO76" i="17" a="1"/>
  <c r="BO76" i="17" s="1"/>
  <c r="BO75" i="17" a="1"/>
  <c r="BO75" i="17" s="1"/>
  <c r="BO74" i="17" a="1"/>
  <c r="BO74" i="17" s="1"/>
  <c r="BO73" i="17" a="1"/>
  <c r="BO73" i="17" s="1"/>
  <c r="BO72" i="17" a="1"/>
  <c r="BO72" i="17" s="1"/>
  <c r="BO71" i="17" a="1"/>
  <c r="BO71" i="17" s="1"/>
  <c r="BO70" i="17" a="1"/>
  <c r="BO70" i="17" s="1"/>
  <c r="BO69" i="17" a="1"/>
  <c r="BO69" i="17" s="1"/>
  <c r="BO68" i="17" a="1"/>
  <c r="BO68" i="17" s="1"/>
  <c r="BO159" i="17"/>
  <c r="BO67" i="17" a="1"/>
  <c r="BO67" i="17" s="1"/>
  <c r="BO158" i="17"/>
  <c r="BO66" i="17" a="1"/>
  <c r="BO66" i="17" s="1"/>
  <c r="BO45" i="17" a="1"/>
  <c r="BO45" i="17" s="1"/>
  <c r="BO49" i="17" a="1"/>
  <c r="BO49" i="17" s="1"/>
  <c r="J49" i="17" s="1"/>
  <c r="BO143" i="17"/>
  <c r="BO144" i="17"/>
  <c r="BO147" i="17"/>
  <c r="BO59" i="17" a="1"/>
  <c r="BO59" i="17" s="1"/>
  <c r="BO136" i="17"/>
  <c r="BO141" i="17"/>
  <c r="BO54" i="17" a="1"/>
  <c r="BO54" i="17" s="1"/>
  <c r="J54" i="17" s="1"/>
  <c r="BO56" i="17" a="1"/>
  <c r="BO56" i="17" s="1"/>
  <c r="BO148" i="17"/>
  <c r="BO150" i="17"/>
  <c r="BO152" i="17"/>
  <c r="BO156" i="17"/>
  <c r="BO64" i="17" a="1"/>
  <c r="BO64" i="17" s="1"/>
  <c r="BO137" i="17"/>
  <c r="BO139" i="17"/>
  <c r="BO140" i="17"/>
  <c r="BO52" i="17" a="1"/>
  <c r="BO52" i="17" s="1"/>
  <c r="J52" i="17" s="1"/>
  <c r="BO53" i="17" a="1"/>
  <c r="BO53" i="17" s="1"/>
  <c r="J53" i="17" s="1"/>
  <c r="BO146" i="17"/>
  <c r="BO55" i="17" a="1"/>
  <c r="BO55" i="17" s="1"/>
  <c r="BO57" i="17" a="1"/>
  <c r="BO57" i="17" s="1"/>
  <c r="BO151" i="17"/>
  <c r="BO61" i="17" a="1"/>
  <c r="BO61" i="17" s="1"/>
  <c r="BO153" i="17"/>
  <c r="BO63" i="17" a="1"/>
  <c r="BO63" i="17" s="1"/>
  <c r="BO46" i="17" a="1"/>
  <c r="BO46" i="17" s="1"/>
  <c r="BO138" i="17"/>
  <c r="BO47" i="17" a="1"/>
  <c r="BO47" i="17" s="1"/>
  <c r="J47" i="17" s="1"/>
  <c r="BO48" i="17" a="1"/>
  <c r="BO48" i="17" s="1"/>
  <c r="BO50" i="17" a="1"/>
  <c r="BO50" i="17" s="1"/>
  <c r="J50" i="17" s="1"/>
  <c r="BO142" i="17"/>
  <c r="BO51" i="17" a="1"/>
  <c r="BO51" i="17" s="1"/>
  <c r="J51" i="17" s="1"/>
  <c r="BO145" i="17"/>
  <c r="BO149" i="17"/>
  <c r="BO58" i="17" a="1"/>
  <c r="BO58" i="17" s="1"/>
  <c r="BO60" i="17" a="1"/>
  <c r="BO60" i="17" s="1"/>
  <c r="BO62" i="17" a="1"/>
  <c r="BO62" i="17" s="1"/>
  <c r="BO154" i="17"/>
  <c r="BO155" i="17"/>
  <c r="BO157" i="17"/>
  <c r="BO65" i="17" a="1"/>
  <c r="BO65" i="17" s="1"/>
  <c r="BP4" i="17"/>
  <c r="BP6" i="17"/>
  <c r="BP7" i="17"/>
  <c r="BP3" i="17"/>
  <c r="BQ5" i="17"/>
  <c r="BP8" i="17"/>
  <c r="BI111" i="16"/>
  <c r="AZ111" i="16"/>
  <c r="BL111" i="16"/>
  <c r="BJ111" i="16"/>
  <c r="BG111" i="16"/>
  <c r="BE111" i="16"/>
  <c r="BC111" i="16"/>
  <c r="BA111" i="16"/>
  <c r="AX111" i="16"/>
  <c r="AV111" i="16"/>
  <c r="AT111" i="16"/>
  <c r="BK111" i="16"/>
  <c r="BH111" i="16"/>
  <c r="BF111" i="16"/>
  <c r="BD111" i="16"/>
  <c r="BB111" i="16"/>
  <c r="AY111" i="16"/>
  <c r="AW111" i="16"/>
  <c r="AU111" i="16"/>
  <c r="BJ61" i="15"/>
  <c r="AN61" i="15"/>
  <c r="E110" i="16" a="1"/>
  <c r="E110" i="16" s="1"/>
  <c r="BX20" i="16"/>
  <c r="BM15" i="16"/>
  <c r="BM14" i="16" s="1"/>
  <c r="BP16" i="16" s="1"/>
  <c r="BM11" i="16"/>
  <c r="BM19" i="16"/>
  <c r="BM18" i="16" s="1"/>
  <c r="BN4" i="16"/>
  <c r="BN3" i="16"/>
  <c r="BN7" i="16"/>
  <c r="BN6" i="16"/>
  <c r="BO5" i="16"/>
  <c r="BN8" i="16"/>
  <c r="BM62" i="16" s="1"/>
  <c r="BJ61" i="16"/>
  <c r="BG61" i="16"/>
  <c r="BM109" i="16"/>
  <c r="BM31" i="16"/>
  <c r="BM51" i="16"/>
  <c r="BM52" i="16"/>
  <c r="BM53" i="16"/>
  <c r="BM88" i="16"/>
  <c r="BM90" i="16"/>
  <c r="BM91" i="16"/>
  <c r="BM93" i="16"/>
  <c r="BM78" i="16"/>
  <c r="BM49" i="16"/>
  <c r="BM84" i="16"/>
  <c r="BM85" i="16"/>
  <c r="BM87" i="16"/>
  <c r="BM55" i="16"/>
  <c r="BM56" i="16"/>
  <c r="BM58" i="16"/>
  <c r="BM95" i="16"/>
  <c r="BM96" i="16"/>
  <c r="BM98" i="16"/>
  <c r="BM99" i="16"/>
  <c r="BM101" i="16"/>
  <c r="BM102" i="16"/>
  <c r="BM104" i="16"/>
  <c r="BM105" i="16"/>
  <c r="BM106" i="16"/>
  <c r="BM108" i="16"/>
  <c r="BM48" i="16"/>
  <c r="BM82" i="16"/>
  <c r="BM47" i="16"/>
  <c r="BM81" i="16"/>
  <c r="BM80" i="16"/>
  <c r="BM46" i="16"/>
  <c r="BM79" i="16"/>
  <c r="BM45" i="16"/>
  <c r="BM36" i="16"/>
  <c r="BM41" i="16"/>
  <c r="BM42" i="16"/>
  <c r="BM44" i="16"/>
  <c r="BM30" i="16"/>
  <c r="BM29" i="16"/>
  <c r="BM39" i="16"/>
  <c r="BM38" i="16"/>
  <c r="BM40" i="16"/>
  <c r="BM32" i="16"/>
  <c r="BM37" i="16"/>
  <c r="BM34" i="16"/>
  <c r="BM28" i="16"/>
  <c r="BM43" i="16"/>
  <c r="BM35" i="16"/>
  <c r="BM33" i="16"/>
  <c r="BM83" i="16"/>
  <c r="BM50" i="16"/>
  <c r="BM86" i="16"/>
  <c r="BM54" i="16"/>
  <c r="BM89" i="16"/>
  <c r="BM57" i="16"/>
  <c r="BM92" i="16"/>
  <c r="BM94" i="16"/>
  <c r="BM97" i="16"/>
  <c r="BM100" i="16"/>
  <c r="BM59" i="16"/>
  <c r="BM103" i="16"/>
  <c r="BM107" i="16"/>
  <c r="AK111" i="16"/>
  <c r="AJ111" i="16"/>
  <c r="AI111" i="16"/>
  <c r="AH111" i="16"/>
  <c r="AG111" i="16"/>
  <c r="AF111" i="16"/>
  <c r="BB80" i="14"/>
  <c r="AU80" i="14"/>
  <c r="BC80" i="14"/>
  <c r="AP80" i="14"/>
  <c r="AI80" i="14"/>
  <c r="BG80" i="14"/>
  <c r="AY80" i="14"/>
  <c r="AM80" i="14"/>
  <c r="AO80" i="14"/>
  <c r="AN80" i="14"/>
  <c r="BI80" i="14"/>
  <c r="BF80" i="14"/>
  <c r="AR80" i="14"/>
  <c r="BH80" i="14"/>
  <c r="AK80" i="14"/>
  <c r="BE80" i="14"/>
  <c r="BN3" i="15"/>
  <c r="BN7" i="15"/>
  <c r="BN4" i="15"/>
  <c r="BN8" i="15"/>
  <c r="BK62" i="15" s="1"/>
  <c r="BN6" i="15"/>
  <c r="BO5" i="15"/>
  <c r="BM109" i="15"/>
  <c r="BK61" i="15"/>
  <c r="BI61" i="15"/>
  <c r="BM108" i="15"/>
  <c r="BM107" i="15"/>
  <c r="BM106" i="15"/>
  <c r="BM105" i="15"/>
  <c r="BM104" i="15"/>
  <c r="BM103" i="15"/>
  <c r="BM102" i="15"/>
  <c r="BM58" i="15"/>
  <c r="BM101" i="15"/>
  <c r="BM57" i="15"/>
  <c r="BM100" i="15"/>
  <c r="BM56" i="15"/>
  <c r="BM55" i="15"/>
  <c r="BM99" i="15"/>
  <c r="BM54" i="15"/>
  <c r="BM98" i="15"/>
  <c r="BM53" i="15"/>
  <c r="BM97" i="15"/>
  <c r="BM52" i="15"/>
  <c r="BM96" i="15"/>
  <c r="BM51" i="15"/>
  <c r="BM95" i="15"/>
  <c r="BM50" i="15"/>
  <c r="BM94" i="15"/>
  <c r="BM49" i="15"/>
  <c r="BM93" i="15"/>
  <c r="BM48" i="15"/>
  <c r="BM92" i="15"/>
  <c r="BM47" i="15"/>
  <c r="BM91" i="15"/>
  <c r="BM46" i="15"/>
  <c r="BM90" i="15"/>
  <c r="BM45" i="15"/>
  <c r="BM89" i="15"/>
  <c r="BM44" i="15"/>
  <c r="BM88" i="15"/>
  <c r="BM43" i="15"/>
  <c r="BM87" i="15"/>
  <c r="BM42" i="15"/>
  <c r="BM86" i="15"/>
  <c r="BM41" i="15"/>
  <c r="BM85" i="15"/>
  <c r="BM40" i="15"/>
  <c r="BM84" i="15"/>
  <c r="BM39" i="15"/>
  <c r="BM83" i="15"/>
  <c r="BM38" i="15"/>
  <c r="BM37" i="15"/>
  <c r="BM82" i="15"/>
  <c r="BM81" i="15"/>
  <c r="BM36" i="15"/>
  <c r="BM80" i="15"/>
  <c r="BM35" i="15"/>
  <c r="BM79" i="15"/>
  <c r="BM34" i="15"/>
  <c r="BM30" i="15"/>
  <c r="BM31" i="15"/>
  <c r="BM32" i="15"/>
  <c r="BM78" i="15"/>
  <c r="BM28" i="15"/>
  <c r="BM15" i="15" a="1"/>
  <c r="BM15" i="15" s="1"/>
  <c r="BM14" i="15" s="1"/>
  <c r="BP16" i="15" s="1"/>
  <c r="BM19" i="15" a="1"/>
  <c r="BM19" i="15" s="1"/>
  <c r="BM18" i="15" s="1"/>
  <c r="BM29" i="15"/>
  <c r="BM33" i="15"/>
  <c r="BM11" i="15" a="1"/>
  <c r="BM11" i="15" s="1"/>
  <c r="BO16" i="15"/>
  <c r="AT155" i="13"/>
  <c r="BB61" i="15"/>
  <c r="BL111" i="15"/>
  <c r="BK111" i="15"/>
  <c r="BJ111" i="15"/>
  <c r="BI111" i="15"/>
  <c r="BH111" i="15"/>
  <c r="BG111" i="15"/>
  <c r="BF111" i="15"/>
  <c r="BE111" i="15"/>
  <c r="BD111" i="15"/>
  <c r="BC111" i="15"/>
  <c r="BB111" i="15"/>
  <c r="BA111" i="15"/>
  <c r="AZ111" i="15"/>
  <c r="AY111" i="15"/>
  <c r="AX111" i="15"/>
  <c r="AW111" i="15"/>
  <c r="AV111" i="15"/>
  <c r="AU111" i="15"/>
  <c r="AT111" i="15"/>
  <c r="AS111" i="15"/>
  <c r="AR111" i="15"/>
  <c r="AQ111" i="15"/>
  <c r="AP111" i="15"/>
  <c r="AO111" i="15"/>
  <c r="AN111" i="15"/>
  <c r="AM111" i="15"/>
  <c r="AK111" i="15"/>
  <c r="AJ111" i="15"/>
  <c r="AI111" i="15"/>
  <c r="AH111" i="15"/>
  <c r="AG111" i="15"/>
  <c r="AF111" i="15"/>
  <c r="AZ61" i="15"/>
  <c r="BA61" i="15"/>
  <c r="BL61" i="15"/>
  <c r="AF61" i="15"/>
  <c r="AM61" i="15"/>
  <c r="AG61" i="15"/>
  <c r="AH61" i="15"/>
  <c r="AI61" i="15"/>
  <c r="AJ61" i="15"/>
  <c r="AK61" i="15"/>
  <c r="AL61" i="15"/>
  <c r="BH61" i="15"/>
  <c r="BG61" i="15"/>
  <c r="BF61" i="15"/>
  <c r="BE61" i="15"/>
  <c r="BD61" i="15"/>
  <c r="BC61" i="15"/>
  <c r="AL111" i="15"/>
  <c r="BX20" i="15"/>
  <c r="E110" i="15" a="1"/>
  <c r="E110" i="15" s="1"/>
  <c r="BK109" i="15"/>
  <c r="BL109" i="15"/>
  <c r="BF170" i="17"/>
  <c r="AY170" i="17"/>
  <c r="AV170" i="17"/>
  <c r="AT170" i="17"/>
  <c r="AQ170" i="17"/>
  <c r="BA170" i="17"/>
  <c r="AX170" i="17"/>
  <c r="AU170" i="17"/>
  <c r="AF170" i="17"/>
  <c r="BH170" i="17"/>
  <c r="BE170" i="17"/>
  <c r="BD170" i="17"/>
  <c r="BC170" i="17"/>
  <c r="BB170" i="17"/>
  <c r="AZ170" i="17"/>
  <c r="AW170" i="17"/>
  <c r="AS170" i="17"/>
  <c r="AR170" i="17"/>
  <c r="AP170" i="17"/>
  <c r="AM170" i="17"/>
  <c r="AL170" i="17"/>
  <c r="AK170" i="17"/>
  <c r="AH170" i="17"/>
  <c r="BM170" i="17"/>
  <c r="BI170" i="17"/>
  <c r="BK170" i="17"/>
  <c r="BL170" i="17"/>
  <c r="BJ170" i="17"/>
  <c r="BG170" i="17"/>
  <c r="AO170" i="17"/>
  <c r="AN170" i="17"/>
  <c r="AJ170" i="17"/>
  <c r="AI170" i="17"/>
  <c r="AG170" i="17"/>
  <c r="BM58" i="14"/>
  <c r="BM64" i="14"/>
  <c r="BM68" i="14"/>
  <c r="BM56" i="14"/>
  <c r="BM60" i="14"/>
  <c r="BM63" i="14"/>
  <c r="BM67" i="14"/>
  <c r="BM61" i="14"/>
  <c r="BM66" i="14"/>
  <c r="BM51" i="14"/>
  <c r="BM62" i="14"/>
  <c r="BM65" i="14"/>
  <c r="BM49" i="14"/>
  <c r="BM50" i="14"/>
  <c r="BM52" i="14"/>
  <c r="BM54" i="14"/>
  <c r="BM59" i="14"/>
  <c r="BM47" i="14"/>
  <c r="BM48" i="14"/>
  <c r="BM53" i="14"/>
  <c r="BM55" i="14"/>
  <c r="BM57" i="14"/>
  <c r="BN8" i="14"/>
  <c r="AL81" i="14" s="1"/>
  <c r="BN4" i="14"/>
  <c r="BN7" i="14"/>
  <c r="BN6" i="14"/>
  <c r="BN3" i="14"/>
  <c r="BO5" i="14"/>
  <c r="BL80" i="14"/>
  <c r="AW10" i="16"/>
  <c r="D113" i="16"/>
  <c r="D68" i="15"/>
  <c r="AW10" i="15"/>
  <c r="D113" i="15"/>
  <c r="D85" i="14"/>
  <c r="AT164" i="13"/>
  <c r="AT163" i="13"/>
  <c r="AT154" i="13"/>
  <c r="BV23" i="12"/>
  <c r="AT159" i="13"/>
  <c r="AT150" i="13"/>
  <c r="BL6" i="9"/>
  <c r="BL3" i="9"/>
  <c r="BL4" i="9"/>
  <c r="BM5" i="9"/>
  <c r="BL7" i="9"/>
  <c r="BL8" i="9"/>
  <c r="BK4" i="11"/>
  <c r="BK3" i="11"/>
  <c r="BL5" i="11"/>
  <c r="BK6" i="11"/>
  <c r="BK8" i="11"/>
  <c r="BK7" i="11"/>
  <c r="BY5" i="12"/>
  <c r="AU8" i="13"/>
  <c r="AU7" i="13"/>
  <c r="AV5" i="13"/>
  <c r="AU4" i="13"/>
  <c r="AU3" i="13"/>
  <c r="AU6" i="13"/>
  <c r="BL8" i="10"/>
  <c r="BL7" i="10"/>
  <c r="BL6" i="10"/>
  <c r="BL4" i="10"/>
  <c r="BL3" i="10"/>
  <c r="BM5" i="10"/>
  <c r="BT48" i="8"/>
  <c r="BT50" i="8"/>
  <c r="BT51" i="8"/>
  <c r="BU49" i="8"/>
  <c r="BT52" i="8"/>
  <c r="BU6" i="8"/>
  <c r="BU11" i="8"/>
  <c r="BU9" i="8"/>
  <c r="BV8" i="8"/>
  <c r="BV94" i="8" s="1"/>
  <c r="BU7" i="8"/>
  <c r="BU15" i="8" s="1" a="1"/>
  <c r="BU15" i="8" s="1"/>
  <c r="BU73" i="8"/>
  <c r="BU47" i="8"/>
  <c r="BU10" i="8"/>
  <c r="BT78" i="8"/>
  <c r="BT77" i="8"/>
  <c r="BT76" i="8"/>
  <c r="BU75" i="8"/>
  <c r="BT74" i="8"/>
  <c r="G80" i="33" l="1"/>
  <c r="G13" i="33"/>
  <c r="G54" i="33"/>
  <c r="G81" i="33"/>
  <c r="G55" i="33"/>
  <c r="G14" i="33"/>
  <c r="AP23" i="12"/>
  <c r="AP24" i="12" s="1"/>
  <c r="BA23" i="12"/>
  <c r="BA24" i="12" s="1"/>
  <c r="AZ23" i="12"/>
  <c r="AZ24" i="12" s="1"/>
  <c r="W152" i="29"/>
  <c r="BK76" i="17" a="1"/>
  <c r="BK76" i="17" s="1"/>
  <c r="BI76" i="17" a="1"/>
  <c r="BI76" i="17" s="1"/>
  <c r="W76" i="17" s="1"/>
  <c r="AS76" i="17" a="1"/>
  <c r="AS76" i="17" s="1"/>
  <c r="BB76" i="17" a="1"/>
  <c r="BB76" i="17" s="1"/>
  <c r="AI76" i="17" a="1"/>
  <c r="AI76" i="17" s="1"/>
  <c r="AL76" i="17" a="1"/>
  <c r="AL76" i="17" s="1"/>
  <c r="AX76" i="17" a="1"/>
  <c r="AX76" i="17" s="1"/>
  <c r="BD76" i="17" a="1"/>
  <c r="BD76" i="17" s="1"/>
  <c r="AM76" i="17" a="1"/>
  <c r="AM76" i="17" s="1"/>
  <c r="AW76" i="17" a="1"/>
  <c r="AW76" i="17" s="1"/>
  <c r="S76" i="17" s="1"/>
  <c r="BC23" i="12"/>
  <c r="BC24" i="12" s="1"/>
  <c r="AU23" i="12"/>
  <c r="AU24" i="12" s="1"/>
  <c r="AK76" i="17" a="1"/>
  <c r="AK76" i="17" s="1"/>
  <c r="O76" i="17" s="1"/>
  <c r="BC76" i="17" a="1"/>
  <c r="BC76" i="17" s="1"/>
  <c r="U76" i="17" s="1"/>
  <c r="BB23" i="12"/>
  <c r="BB24" i="12" s="1"/>
  <c r="BO292" i="31"/>
  <c r="I16" i="3"/>
  <c r="AQ115" i="13"/>
  <c r="BO23" i="12"/>
  <c r="BO24" i="12" s="1"/>
  <c r="Z26" i="31" a="1"/>
  <c r="Z26" i="31" s="1"/>
  <c r="BA54" i="12"/>
  <c r="AP115" i="13"/>
  <c r="W155" i="29"/>
  <c r="BV85" i="20"/>
  <c r="AS130" i="13" s="1"/>
  <c r="AS128" i="13"/>
  <c r="AH63" i="20"/>
  <c r="AS111" i="13"/>
  <c r="AH65" i="20"/>
  <c r="AS113" i="13"/>
  <c r="I18" i="3"/>
  <c r="J18" i="3" s="1"/>
  <c r="K98" i="8"/>
  <c r="K95" i="8"/>
  <c r="K97" i="8"/>
  <c r="J98" i="8"/>
  <c r="J97" i="8"/>
  <c r="J15" i="8" a="1"/>
  <c r="J15" i="8" s="1"/>
  <c r="AN23" i="12"/>
  <c r="AN24" i="12" s="1"/>
  <c r="BT23" i="12"/>
  <c r="BT24" i="12" s="1"/>
  <c r="BL23" i="12"/>
  <c r="BL24" i="12" s="1"/>
  <c r="BW23" i="12"/>
  <c r="BW24" i="12" s="1"/>
  <c r="BN54" i="12"/>
  <c r="BF23" i="12"/>
  <c r="BF24" i="12" s="1"/>
  <c r="BR23" i="12"/>
  <c r="BR24" i="12" s="1"/>
  <c r="BS23" i="12"/>
  <c r="BS24" i="12" s="1"/>
  <c r="AN66" i="12"/>
  <c r="BM23" i="12"/>
  <c r="BM24" i="12" s="1"/>
  <c r="BD23" i="12"/>
  <c r="BD24" i="12" s="1"/>
  <c r="AO23" i="12"/>
  <c r="AO24" i="12" s="1"/>
  <c r="BP23" i="12"/>
  <c r="BP24" i="12" s="1"/>
  <c r="BH23" i="12"/>
  <c r="BH24" i="12" s="1"/>
  <c r="AZ54" i="12"/>
  <c r="AW23" i="12"/>
  <c r="AW24" i="12" s="1"/>
  <c r="BM302" i="31"/>
  <c r="BM292" i="31"/>
  <c r="BL302" i="31"/>
  <c r="BL292" i="31"/>
  <c r="BJ302" i="31"/>
  <c r="BJ292" i="31"/>
  <c r="BI302" i="31"/>
  <c r="BI292" i="31"/>
  <c r="BG302" i="31"/>
  <c r="BG292" i="31"/>
  <c r="BF302" i="31"/>
  <c r="BF292" i="31"/>
  <c r="BD302" i="31"/>
  <c r="BD292" i="31"/>
  <c r="BC302" i="31"/>
  <c r="BC292" i="31"/>
  <c r="BA302" i="31"/>
  <c r="BA292" i="31"/>
  <c r="AZ302" i="31"/>
  <c r="AZ292" i="31"/>
  <c r="AY302" i="31"/>
  <c r="AY292" i="31"/>
  <c r="AX302" i="31"/>
  <c r="AX292" i="31"/>
  <c r="AW302" i="31"/>
  <c r="AW292" i="31"/>
  <c r="AU302" i="31"/>
  <c r="AU292" i="31"/>
  <c r="AT302" i="31"/>
  <c r="AT292" i="31"/>
  <c r="AR302" i="31"/>
  <c r="AR292" i="31"/>
  <c r="AQ302" i="31"/>
  <c r="AQ292" i="31"/>
  <c r="AP302" i="31"/>
  <c r="R302" i="31" s="1" a="1"/>
  <c r="R302" i="31" s="1"/>
  <c r="AP292" i="31"/>
  <c r="AO302" i="31"/>
  <c r="AO292" i="31"/>
  <c r="AN302" i="31"/>
  <c r="AN292" i="31"/>
  <c r="AL302" i="31"/>
  <c r="AL292" i="31"/>
  <c r="AK302" i="31"/>
  <c r="AK292" i="31"/>
  <c r="AI302" i="31"/>
  <c r="AI292" i="31"/>
  <c r="AH302" i="31"/>
  <c r="AH292" i="31"/>
  <c r="X150" i="29"/>
  <c r="W150" i="29"/>
  <c r="T150" i="29"/>
  <c r="R150" i="29"/>
  <c r="AH296" i="31"/>
  <c r="AF85" i="30"/>
  <c r="BH297" i="31"/>
  <c r="X297" i="31" s="1" a="1"/>
  <c r="X297" i="31" s="1"/>
  <c r="X27" i="31" a="1"/>
  <c r="X27" i="31" s="1"/>
  <c r="AS300" i="31"/>
  <c r="J300" i="31" s="1" a="1"/>
  <c r="J300" i="31" s="1"/>
  <c r="J30" i="31" a="1"/>
  <c r="J30" i="31" s="1"/>
  <c r="AS299" i="31"/>
  <c r="S29" i="31" a="1"/>
  <c r="S29" i="31" s="1"/>
  <c r="J29" i="31" a="1"/>
  <c r="J29" i="31" s="1"/>
  <c r="AP298" i="31"/>
  <c r="R298" i="31" s="1" a="1"/>
  <c r="R298" i="31" s="1"/>
  <c r="R28" i="31" a="1"/>
  <c r="R28" i="31" s="1"/>
  <c r="AP300" i="31"/>
  <c r="R300" i="31" s="1" a="1"/>
  <c r="R300" i="31" s="1"/>
  <c r="R30" i="31" a="1"/>
  <c r="R30" i="31" s="1"/>
  <c r="AJ298" i="31"/>
  <c r="P298" i="31" s="1" a="1"/>
  <c r="P298" i="31" s="1"/>
  <c r="P28" i="31" a="1"/>
  <c r="P28" i="31" s="1"/>
  <c r="BH299" i="31"/>
  <c r="X299" i="31" s="1" a="1"/>
  <c r="X299" i="31" s="1"/>
  <c r="X29" i="31" a="1"/>
  <c r="X29" i="31" s="1"/>
  <c r="AS302" i="31"/>
  <c r="J293" i="31" a="1"/>
  <c r="J293" i="31" s="1"/>
  <c r="BB299" i="31"/>
  <c r="V299" i="31" s="1" a="1"/>
  <c r="V299" i="31" s="1"/>
  <c r="V29" i="31" a="1"/>
  <c r="V29" i="31" s="1"/>
  <c r="BE302" i="31"/>
  <c r="K293" i="31" a="1"/>
  <c r="K293" i="31" s="1"/>
  <c r="W293" i="31" a="1"/>
  <c r="W293" i="31" s="1"/>
  <c r="AS296" i="31"/>
  <c r="J296" i="31" s="1" a="1"/>
  <c r="J296" i="31" s="1"/>
  <c r="S26" i="31" a="1"/>
  <c r="S26" i="31" s="1"/>
  <c r="J26" i="31" a="1"/>
  <c r="J26" i="31" s="1"/>
  <c r="AS297" i="31"/>
  <c r="J27" i="31" a="1"/>
  <c r="J27" i="31" s="1"/>
  <c r="AJ297" i="31"/>
  <c r="P297" i="31" s="1" a="1"/>
  <c r="P297" i="31" s="1"/>
  <c r="P27" i="31" a="1"/>
  <c r="P27" i="31" s="1"/>
  <c r="BB302" i="31"/>
  <c r="V302" i="31" s="1" a="1"/>
  <c r="V302" i="31" s="1"/>
  <c r="V293" i="31" a="1"/>
  <c r="V293" i="31" s="1"/>
  <c r="BN297" i="31"/>
  <c r="Z297" i="31" s="1" a="1"/>
  <c r="Z297" i="31" s="1"/>
  <c r="Z27" i="31" a="1"/>
  <c r="Z27" i="31" s="1"/>
  <c r="BE297" i="31"/>
  <c r="K27" i="31" a="1"/>
  <c r="K27" i="31" s="1"/>
  <c r="W27" i="31" a="1"/>
  <c r="W27" i="31" s="1"/>
  <c r="AY296" i="31"/>
  <c r="U26" i="31" a="1"/>
  <c r="U26" i="31" s="1"/>
  <c r="AM298" i="31"/>
  <c r="Q298" i="31" s="1" a="1"/>
  <c r="Q298" i="31" s="1"/>
  <c r="Q28" i="31" a="1"/>
  <c r="Q28" i="31" s="1"/>
  <c r="AJ302" i="31"/>
  <c r="P302" i="31" s="1" a="1"/>
  <c r="P302" i="31" s="1"/>
  <c r="P293" i="31" a="1"/>
  <c r="P293" i="31" s="1"/>
  <c r="BE296" i="31"/>
  <c r="W26" i="31" a="1"/>
  <c r="W26" i="31" s="1"/>
  <c r="K26" i="31" a="1"/>
  <c r="K26" i="31" s="1"/>
  <c r="BN298" i="31"/>
  <c r="Z298" i="31" s="1" a="1"/>
  <c r="Z298" i="31" s="1"/>
  <c r="Z28" i="31" a="1"/>
  <c r="Z28" i="31" s="1"/>
  <c r="BK299" i="31"/>
  <c r="Y299" i="31" s="1" a="1"/>
  <c r="Y299" i="31" s="1"/>
  <c r="Y29" i="31" a="1"/>
  <c r="Y29" i="31" s="1"/>
  <c r="BH296" i="31"/>
  <c r="X296" i="31" s="1" a="1"/>
  <c r="X296" i="31" s="1"/>
  <c r="X26" i="31" a="1"/>
  <c r="X26" i="31" s="1"/>
  <c r="BE299" i="31"/>
  <c r="K29" i="31" a="1"/>
  <c r="K29" i="31" s="1"/>
  <c r="W29" i="31" a="1"/>
  <c r="W29" i="31" s="1"/>
  <c r="AV302" i="31"/>
  <c r="T293" i="31" a="1"/>
  <c r="T293" i="31" s="1"/>
  <c r="AS298" i="31"/>
  <c r="J298" i="31" s="1" a="1"/>
  <c r="J298" i="31" s="1"/>
  <c r="S28" i="31" a="1"/>
  <c r="S28" i="31" s="1"/>
  <c r="J28" i="31" a="1"/>
  <c r="J28" i="31" s="1"/>
  <c r="AM299" i="31"/>
  <c r="Q299" i="31" s="1" a="1"/>
  <c r="Q299" i="31" s="1"/>
  <c r="Q29" i="31" a="1"/>
  <c r="Q29" i="31" s="1"/>
  <c r="AM300" i="31"/>
  <c r="Q300" i="31" s="1" a="1"/>
  <c r="Q300" i="31" s="1"/>
  <c r="Q30" i="31" a="1"/>
  <c r="Q30" i="31" s="1"/>
  <c r="AM297" i="31"/>
  <c r="Q297" i="31" s="1" a="1"/>
  <c r="Q297" i="31" s="1"/>
  <c r="Q27" i="31" a="1"/>
  <c r="Q27" i="31" s="1"/>
  <c r="AJ300" i="31"/>
  <c r="P300" i="31" s="1" a="1"/>
  <c r="P300" i="31" s="1"/>
  <c r="P30" i="31" a="1"/>
  <c r="P30" i="31" s="1"/>
  <c r="BN300" i="31"/>
  <c r="Z300" i="31" s="1" a="1"/>
  <c r="Z300" i="31" s="1"/>
  <c r="Z30" i="31" a="1"/>
  <c r="Z30" i="31" s="1"/>
  <c r="BE298" i="31"/>
  <c r="K28" i="31" a="1"/>
  <c r="K28" i="31" s="1"/>
  <c r="W28" i="31" a="1"/>
  <c r="W28" i="31" s="1"/>
  <c r="BE300" i="31"/>
  <c r="K30" i="31" a="1"/>
  <c r="K30" i="31" s="1"/>
  <c r="W30" i="31" a="1"/>
  <c r="W30" i="31" s="1"/>
  <c r="BB297" i="31"/>
  <c r="V297" i="31" s="1" a="1"/>
  <c r="V297" i="31" s="1"/>
  <c r="V27" i="31" a="1"/>
  <c r="V27" i="31" s="1"/>
  <c r="AM296" i="31"/>
  <c r="Q296" i="31" s="1" a="1"/>
  <c r="Q296" i="31" s="1"/>
  <c r="Q26" i="31" a="1"/>
  <c r="Q26" i="31" s="1"/>
  <c r="AM302" i="31"/>
  <c r="Q302" i="31" s="1" a="1"/>
  <c r="Q302" i="31" s="1"/>
  <c r="Q293" i="31" a="1"/>
  <c r="Q293" i="31" s="1"/>
  <c r="BH300" i="31"/>
  <c r="X300" i="31" s="1" a="1"/>
  <c r="X300" i="31" s="1"/>
  <c r="X30" i="31" a="1"/>
  <c r="X30" i="31" s="1"/>
  <c r="BB296" i="31"/>
  <c r="V296" i="31" s="1" a="1"/>
  <c r="V296" i="31" s="1"/>
  <c r="V26" i="31" a="1"/>
  <c r="V26" i="31" s="1"/>
  <c r="AJ299" i="31"/>
  <c r="P299" i="31" s="1" a="1"/>
  <c r="P299" i="31" s="1"/>
  <c r="P29" i="31" a="1"/>
  <c r="P29" i="31" s="1"/>
  <c r="AJ296" i="31"/>
  <c r="P296" i="31" s="1" a="1"/>
  <c r="P296" i="31" s="1"/>
  <c r="P26" i="31" a="1"/>
  <c r="P26" i="31" s="1"/>
  <c r="BN302" i="31"/>
  <c r="Z302" i="31" s="1" a="1"/>
  <c r="Z302" i="31" s="1"/>
  <c r="Z293" i="31" a="1"/>
  <c r="Z293" i="31" s="1"/>
  <c r="BN299" i="31"/>
  <c r="Z299" i="31" s="1" a="1"/>
  <c r="Z299" i="31" s="1"/>
  <c r="Z29" i="31" a="1"/>
  <c r="Z29" i="31" s="1"/>
  <c r="BH302" i="31"/>
  <c r="X302" i="31" s="1" a="1"/>
  <c r="X302" i="31" s="1"/>
  <c r="X293" i="31" a="1"/>
  <c r="X293" i="31" s="1"/>
  <c r="BB298" i="31"/>
  <c r="V298" i="31" s="1" a="1"/>
  <c r="V298" i="31" s="1"/>
  <c r="V28" i="31" a="1"/>
  <c r="V28" i="31" s="1"/>
  <c r="AV299" i="31"/>
  <c r="T299" i="31" s="1" a="1"/>
  <c r="T299" i="31" s="1"/>
  <c r="T29" i="31" a="1"/>
  <c r="T29" i="31" s="1"/>
  <c r="AP296" i="31"/>
  <c r="R296" i="31" s="1" a="1"/>
  <c r="R296" i="31" s="1"/>
  <c r="R26" i="31" a="1"/>
  <c r="R26" i="31" s="1"/>
  <c r="AP297" i="31"/>
  <c r="R27" i="31" a="1"/>
  <c r="R27" i="31" s="1"/>
  <c r="BK300" i="31"/>
  <c r="Y300" i="31" s="1" a="1"/>
  <c r="Y300" i="31" s="1"/>
  <c r="Y30" i="31" a="1"/>
  <c r="Y30" i="31" s="1"/>
  <c r="BK302" i="31"/>
  <c r="Y302" i="31" s="1" a="1"/>
  <c r="Y302" i="31" s="1"/>
  <c r="Y293" i="31" a="1"/>
  <c r="Y293" i="31" s="1"/>
  <c r="AY298" i="31"/>
  <c r="U28" i="31" a="1"/>
  <c r="U28" i="31" s="1"/>
  <c r="BK296" i="31"/>
  <c r="Y296" i="31" s="1" a="1"/>
  <c r="Y296" i="31" s="1"/>
  <c r="Y26" i="31" a="1"/>
  <c r="Y26" i="31" s="1"/>
  <c r="BK298" i="31"/>
  <c r="Y298" i="31" s="1" a="1"/>
  <c r="Y298" i="31" s="1"/>
  <c r="Y28" i="31" a="1"/>
  <c r="Y28" i="31" s="1"/>
  <c r="BK297" i="31"/>
  <c r="Y297" i="31" s="1" a="1"/>
  <c r="Y297" i="31" s="1"/>
  <c r="Y27" i="31" a="1"/>
  <c r="Y27" i="31" s="1"/>
  <c r="BH298" i="31"/>
  <c r="X298" i="31" s="1" a="1"/>
  <c r="X298" i="31" s="1"/>
  <c r="X28" i="31" a="1"/>
  <c r="X28" i="31" s="1"/>
  <c r="BB300" i="31"/>
  <c r="V300" i="31" s="1" a="1"/>
  <c r="V300" i="31" s="1"/>
  <c r="V30" i="31" a="1"/>
  <c r="V30" i="31" s="1"/>
  <c r="AV296" i="31"/>
  <c r="T26" i="31" a="1"/>
  <c r="T26" i="31" s="1"/>
  <c r="AV300" i="31"/>
  <c r="T300" i="31" s="1" a="1"/>
  <c r="T300" i="31" s="1"/>
  <c r="T30" i="31" a="1"/>
  <c r="T30" i="31" s="1"/>
  <c r="AU85" i="30"/>
  <c r="AO85" i="30"/>
  <c r="BL67" i="22"/>
  <c r="AH85" i="30"/>
  <c r="AV85" i="30"/>
  <c r="U81" i="30"/>
  <c r="BN85" i="30"/>
  <c r="BL118" i="22"/>
  <c r="BK85" i="30"/>
  <c r="AN85" i="30"/>
  <c r="AB39" i="29"/>
  <c r="AI85" i="30"/>
  <c r="AR85" i="30"/>
  <c r="BO25" i="31"/>
  <c r="BO297" i="31"/>
  <c r="AS85" i="30"/>
  <c r="BG85" i="30"/>
  <c r="AT85" i="30"/>
  <c r="AK85" i="30"/>
  <c r="BB25" i="31"/>
  <c r="AQ25" i="31"/>
  <c r="AJ25" i="31"/>
  <c r="BK25" i="31"/>
  <c r="BE25" i="31"/>
  <c r="BN25" i="31"/>
  <c r="AY25" i="31"/>
  <c r="BM25" i="31"/>
  <c r="BI65" i="22"/>
  <c r="BJ65" i="22"/>
  <c r="BK65" i="22"/>
  <c r="BF62" i="22"/>
  <c r="BG62" i="22"/>
  <c r="BH62" i="22"/>
  <c r="BI62" i="22"/>
  <c r="BJ62" i="22"/>
  <c r="BK62" i="22"/>
  <c r="BA57" i="22"/>
  <c r="BB57" i="22"/>
  <c r="BC57" i="22"/>
  <c r="BD57" i="22"/>
  <c r="BE57" i="22"/>
  <c r="BF57" i="22"/>
  <c r="BG57" i="22"/>
  <c r="BH57" i="22"/>
  <c r="BI57" i="22"/>
  <c r="BJ57" i="22"/>
  <c r="BK57" i="22"/>
  <c r="AS49" i="22"/>
  <c r="AT49" i="22"/>
  <c r="AU49" i="22"/>
  <c r="AV49" i="22"/>
  <c r="AW49" i="22"/>
  <c r="AX49" i="22"/>
  <c r="AY49" i="22"/>
  <c r="AZ49" i="22"/>
  <c r="BA49" i="22"/>
  <c r="BB49" i="22"/>
  <c r="BC49" i="22"/>
  <c r="BD49" i="22"/>
  <c r="BE49" i="22"/>
  <c r="BF49" i="22"/>
  <c r="BG49" i="22"/>
  <c r="BH49" i="22"/>
  <c r="BI49" i="22"/>
  <c r="BJ49" i="22"/>
  <c r="BK49" i="22"/>
  <c r="AT87" i="30"/>
  <c r="R91" i="30"/>
  <c r="AK87" i="30"/>
  <c r="O91" i="30"/>
  <c r="H6" i="3"/>
  <c r="I6" i="3"/>
  <c r="AD10" i="7"/>
  <c r="AD13" i="7" s="1"/>
  <c r="BE123" i="29"/>
  <c r="BF123" i="29"/>
  <c r="BG123" i="29"/>
  <c r="BH123" i="29"/>
  <c r="BI123" i="29"/>
  <c r="BJ123" i="29"/>
  <c r="BK123" i="29"/>
  <c r="BL123" i="29"/>
  <c r="BM123" i="29"/>
  <c r="BN123" i="29"/>
  <c r="BO123" i="29"/>
  <c r="BP123" i="29"/>
  <c r="BQ123" i="29"/>
  <c r="BR123" i="29"/>
  <c r="BS123" i="29"/>
  <c r="BT123" i="29"/>
  <c r="BU123" i="29"/>
  <c r="BV123" i="29"/>
  <c r="BW123" i="29"/>
  <c r="BX123" i="29"/>
  <c r="BY123" i="29"/>
  <c r="BZ123" i="29"/>
  <c r="S150" i="29"/>
  <c r="AU62" i="29"/>
  <c r="AV62" i="29"/>
  <c r="AW62" i="29"/>
  <c r="AX62" i="29"/>
  <c r="AY62" i="29"/>
  <c r="AZ62" i="29"/>
  <c r="BA62" i="29"/>
  <c r="BB62" i="29"/>
  <c r="BC62" i="29"/>
  <c r="BD62" i="29"/>
  <c r="BE62" i="29"/>
  <c r="BF62" i="29"/>
  <c r="BG62" i="29"/>
  <c r="BH62" i="29"/>
  <c r="BI62" i="29"/>
  <c r="BJ62" i="29"/>
  <c r="BK62" i="29"/>
  <c r="BL62" i="29"/>
  <c r="BM62" i="29"/>
  <c r="BN62" i="29"/>
  <c r="BO62" i="29"/>
  <c r="BP62" i="29"/>
  <c r="BQ62" i="29"/>
  <c r="BR62" i="29"/>
  <c r="BS62" i="29"/>
  <c r="BT62" i="29"/>
  <c r="BU62" i="29"/>
  <c r="BV62" i="29"/>
  <c r="BW62" i="29"/>
  <c r="BX62" i="29"/>
  <c r="BY62" i="29"/>
  <c r="BZ62" i="29"/>
  <c r="AI87" i="28"/>
  <c r="AJ87" i="28"/>
  <c r="AK87" i="28"/>
  <c r="AL87" i="28"/>
  <c r="AM87" i="28"/>
  <c r="AN87" i="28"/>
  <c r="AO87" i="28"/>
  <c r="AG99" i="29"/>
  <c r="AH99" i="29"/>
  <c r="AI99" i="29"/>
  <c r="AJ99" i="29"/>
  <c r="AK99" i="29"/>
  <c r="AL99" i="29"/>
  <c r="AM99" i="29"/>
  <c r="AN99" i="29"/>
  <c r="AO99" i="29"/>
  <c r="AQ99" i="29"/>
  <c r="AR99" i="29"/>
  <c r="AP99" i="29"/>
  <c r="AS99" i="29"/>
  <c r="AT99" i="29"/>
  <c r="AU99" i="29"/>
  <c r="AV99" i="29"/>
  <c r="AW99" i="29"/>
  <c r="AX99" i="29"/>
  <c r="AY99" i="29"/>
  <c r="AZ99" i="29"/>
  <c r="BA99" i="29"/>
  <c r="BB99" i="29"/>
  <c r="BC99" i="29"/>
  <c r="BD99" i="29"/>
  <c r="BE99" i="29"/>
  <c r="BF99" i="29"/>
  <c r="BG99" i="29"/>
  <c r="BH99" i="29"/>
  <c r="BI99" i="29"/>
  <c r="BJ99" i="29"/>
  <c r="BK99" i="29"/>
  <c r="BL99" i="29"/>
  <c r="BM99" i="29"/>
  <c r="BN99" i="29"/>
  <c r="BO99" i="29"/>
  <c r="BP99" i="29"/>
  <c r="BQ99" i="29"/>
  <c r="BR99" i="29"/>
  <c r="BS99" i="29"/>
  <c r="BT99" i="29"/>
  <c r="BU99" i="29"/>
  <c r="BV99" i="29"/>
  <c r="BW99" i="29"/>
  <c r="BX99" i="29"/>
  <c r="BY99" i="29"/>
  <c r="BZ99" i="29"/>
  <c r="BD86" i="30"/>
  <c r="V86" i="30" s="1"/>
  <c r="V28" i="30"/>
  <c r="AR86" i="30"/>
  <c r="R28" i="30"/>
  <c r="I28" i="30"/>
  <c r="AG35" i="30" a="1"/>
  <c r="AG35" i="30" s="1"/>
  <c r="AF35" i="30" a="1"/>
  <c r="AF35" i="30" s="1"/>
  <c r="AI35" i="30" a="1"/>
  <c r="AI35" i="30" s="1"/>
  <c r="AH35" i="30" a="1"/>
  <c r="AH35" i="30" s="1"/>
  <c r="AJ35" i="30" a="1"/>
  <c r="AJ35" i="30" s="1"/>
  <c r="AK35" i="30" a="1"/>
  <c r="AK35" i="30" s="1"/>
  <c r="AL35" i="30" a="1"/>
  <c r="AL35" i="30" s="1"/>
  <c r="AM35" i="30" a="1"/>
  <c r="AM35" i="30" s="1"/>
  <c r="AN35" i="30" a="1"/>
  <c r="AN35" i="30" s="1"/>
  <c r="AO35" i="30" a="1"/>
  <c r="AO35" i="30" s="1"/>
  <c r="AP35" i="30" a="1"/>
  <c r="AP35" i="30" s="1"/>
  <c r="AQ35" i="30" a="1"/>
  <c r="AQ35" i="30" s="1"/>
  <c r="AR35" i="30" a="1"/>
  <c r="AR35" i="30" s="1"/>
  <c r="AS35" i="30" a="1"/>
  <c r="AS35" i="30" s="1"/>
  <c r="AT35" i="30" a="1"/>
  <c r="AT35" i="30" s="1"/>
  <c r="AU35" i="30" a="1"/>
  <c r="AU35" i="30" s="1"/>
  <c r="AV35" i="30" a="1"/>
  <c r="AV35" i="30" s="1"/>
  <c r="AW35" i="30" a="1"/>
  <c r="AW35" i="30" s="1"/>
  <c r="AX35" i="30" a="1"/>
  <c r="AX35" i="30" s="1"/>
  <c r="AY35" i="30" a="1"/>
  <c r="AY35" i="30" s="1"/>
  <c r="AZ35" i="30" a="1"/>
  <c r="AZ35" i="30" s="1"/>
  <c r="BA35" i="30" a="1"/>
  <c r="BA35" i="30" s="1"/>
  <c r="BB35" i="30" a="1"/>
  <c r="BB35" i="30" s="1"/>
  <c r="BC35" i="30" a="1"/>
  <c r="BC35" i="30" s="1"/>
  <c r="BD35" i="30" a="1"/>
  <c r="BD35" i="30" s="1"/>
  <c r="BE35" i="30" a="1"/>
  <c r="BE35" i="30" s="1"/>
  <c r="BF35" i="30" a="1"/>
  <c r="BF35" i="30" s="1"/>
  <c r="BG35" i="30" a="1"/>
  <c r="BG35" i="30" s="1"/>
  <c r="BH35" i="30" a="1"/>
  <c r="BH35" i="30" s="1"/>
  <c r="BI35" i="30" a="1"/>
  <c r="BI35" i="30" s="1"/>
  <c r="BJ35" i="30" a="1"/>
  <c r="BJ35" i="30" s="1"/>
  <c r="BK35" i="30" a="1"/>
  <c r="BK35" i="30" s="1"/>
  <c r="BL35" i="30" a="1"/>
  <c r="BL35" i="30" s="1"/>
  <c r="BM35" i="30" a="1"/>
  <c r="BM35" i="30" s="1"/>
  <c r="BN35" i="30" a="1"/>
  <c r="BN35" i="30" s="1"/>
  <c r="BO35" i="30" a="1"/>
  <c r="BO35" i="30" s="1"/>
  <c r="BP35" i="30" a="1"/>
  <c r="BP35" i="30" s="1"/>
  <c r="BQ35" i="30" a="1"/>
  <c r="BQ35" i="30" s="1"/>
  <c r="BR35" i="30" a="1"/>
  <c r="BR35" i="30" s="1"/>
  <c r="BS35" i="30" a="1"/>
  <c r="BS35" i="30" s="1"/>
  <c r="BT35" i="30" a="1"/>
  <c r="BT35" i="30" s="1"/>
  <c r="BU35" i="30" a="1"/>
  <c r="BU35" i="30" s="1"/>
  <c r="BV35" i="30" a="1"/>
  <c r="BV35" i="30" s="1"/>
  <c r="BW35" i="30" a="1"/>
  <c r="BW35" i="30" s="1"/>
  <c r="BX35" i="30" a="1"/>
  <c r="BX35" i="30" s="1"/>
  <c r="BY35" i="30" a="1"/>
  <c r="BY35" i="30" s="1"/>
  <c r="BZ35" i="30" a="1"/>
  <c r="BZ35" i="30" s="1"/>
  <c r="CA35" i="30" a="1"/>
  <c r="CA35" i="30" s="1"/>
  <c r="AX54" i="22"/>
  <c r="AY54" i="22"/>
  <c r="AZ54" i="22"/>
  <c r="BA54" i="22"/>
  <c r="BB54" i="22"/>
  <c r="BC54" i="22"/>
  <c r="BD54" i="22"/>
  <c r="BE54" i="22"/>
  <c r="BF54" i="22"/>
  <c r="BG54" i="22"/>
  <c r="BH54" i="22"/>
  <c r="BI54" i="22"/>
  <c r="BJ54" i="22"/>
  <c r="BK54" i="22"/>
  <c r="AM152" i="29"/>
  <c r="AN149" i="29" s="1"/>
  <c r="O155" i="29"/>
  <c r="AJ141" i="28"/>
  <c r="N141" i="28" s="1"/>
  <c r="AK135" i="28"/>
  <c r="O135" i="28" s="1"/>
  <c r="N138" i="28"/>
  <c r="AH89" i="22"/>
  <c r="AI89" i="22"/>
  <c r="AJ89" i="22"/>
  <c r="AK89" i="22"/>
  <c r="AL89" i="22"/>
  <c r="AM89" i="22"/>
  <c r="AN89" i="22"/>
  <c r="AO89" i="22"/>
  <c r="AP89" i="22"/>
  <c r="AQ89" i="22"/>
  <c r="AR89" i="22"/>
  <c r="AS89" i="22"/>
  <c r="AT89" i="22"/>
  <c r="AU89" i="22"/>
  <c r="AV89" i="22"/>
  <c r="AW89" i="22"/>
  <c r="AX89" i="22"/>
  <c r="AY89" i="22"/>
  <c r="AZ89" i="22"/>
  <c r="BA89" i="22"/>
  <c r="BB89" i="22"/>
  <c r="BC89" i="22"/>
  <c r="BD89" i="22"/>
  <c r="BE89" i="22"/>
  <c r="BF89" i="22"/>
  <c r="BG89" i="22"/>
  <c r="BH89" i="22"/>
  <c r="BI89" i="22"/>
  <c r="BJ89" i="22"/>
  <c r="BK89" i="22"/>
  <c r="H12" i="3"/>
  <c r="M12" i="3"/>
  <c r="O12" i="3" s="1"/>
  <c r="G12" i="3"/>
  <c r="I12" i="3" s="1"/>
  <c r="F13" i="3"/>
  <c r="F14" i="3"/>
  <c r="J16" i="3"/>
  <c r="K16" i="3" s="1"/>
  <c r="L16" i="3" s="1"/>
  <c r="BL130" i="29"/>
  <c r="BM130" i="29"/>
  <c r="BN130" i="29"/>
  <c r="BO130" i="29"/>
  <c r="BP130" i="29"/>
  <c r="BQ130" i="29"/>
  <c r="BR130" i="29"/>
  <c r="BS130" i="29"/>
  <c r="BT130" i="29"/>
  <c r="BU130" i="29"/>
  <c r="BV130" i="29"/>
  <c r="BW130" i="29"/>
  <c r="BX130" i="29"/>
  <c r="BY130" i="29"/>
  <c r="BZ130" i="29"/>
  <c r="BF73" i="29"/>
  <c r="BG73" i="29"/>
  <c r="BH73" i="29"/>
  <c r="BI73" i="29"/>
  <c r="BJ73" i="29"/>
  <c r="BK73" i="29"/>
  <c r="BL73" i="29"/>
  <c r="BM73" i="29"/>
  <c r="BN73" i="29"/>
  <c r="BO73" i="29"/>
  <c r="BP73" i="29"/>
  <c r="BQ73" i="29"/>
  <c r="BR73" i="29"/>
  <c r="BS73" i="29"/>
  <c r="BT73" i="29"/>
  <c r="BU73" i="29"/>
  <c r="BV73" i="29"/>
  <c r="BW73" i="29"/>
  <c r="BX73" i="29"/>
  <c r="BY73" i="29"/>
  <c r="BZ73" i="29"/>
  <c r="BC70" i="29"/>
  <c r="BD70" i="29"/>
  <c r="BE70" i="29"/>
  <c r="BF70" i="29"/>
  <c r="BG70" i="29"/>
  <c r="BH70" i="29"/>
  <c r="BI70" i="29"/>
  <c r="BJ70" i="29"/>
  <c r="BK70" i="29"/>
  <c r="BL70" i="29"/>
  <c r="BM70" i="29"/>
  <c r="BN70" i="29"/>
  <c r="BO70" i="29"/>
  <c r="BP70" i="29"/>
  <c r="BQ70" i="29"/>
  <c r="BR70" i="29"/>
  <c r="BS70" i="29"/>
  <c r="BT70" i="29"/>
  <c r="BU70" i="29"/>
  <c r="BV70" i="29"/>
  <c r="BW70" i="29"/>
  <c r="BX70" i="29"/>
  <c r="BY70" i="29"/>
  <c r="BZ70" i="29"/>
  <c r="BA68" i="29"/>
  <c r="BB68" i="29"/>
  <c r="BC68" i="29"/>
  <c r="BD68" i="29"/>
  <c r="BE68" i="29"/>
  <c r="BF68" i="29"/>
  <c r="BG68" i="29"/>
  <c r="BH68" i="29"/>
  <c r="BI68" i="29"/>
  <c r="BJ68" i="29"/>
  <c r="BK68" i="29"/>
  <c r="BL68" i="29"/>
  <c r="BM68" i="29"/>
  <c r="BN68" i="29"/>
  <c r="BO68" i="29"/>
  <c r="BP68" i="29"/>
  <c r="BQ68" i="29"/>
  <c r="BR68" i="29"/>
  <c r="BS68" i="29"/>
  <c r="BT68" i="29"/>
  <c r="BU68" i="29"/>
  <c r="BV68" i="29"/>
  <c r="BW68" i="29"/>
  <c r="BX68" i="29"/>
  <c r="BY68" i="29"/>
  <c r="BZ68" i="29"/>
  <c r="AV114" i="29"/>
  <c r="AW114" i="29"/>
  <c r="AX114" i="29"/>
  <c r="AY114" i="29"/>
  <c r="AZ114" i="29"/>
  <c r="BA114" i="29"/>
  <c r="BB114" i="29"/>
  <c r="BC114" i="29"/>
  <c r="BD114" i="29"/>
  <c r="BE114" i="29"/>
  <c r="BF114" i="29"/>
  <c r="BG114" i="29"/>
  <c r="BH114" i="29"/>
  <c r="BI114" i="29"/>
  <c r="BJ114" i="29"/>
  <c r="BK114" i="29"/>
  <c r="BL114" i="29"/>
  <c r="BM114" i="29"/>
  <c r="BN114" i="29"/>
  <c r="BO114" i="29"/>
  <c r="BP114" i="29"/>
  <c r="BQ114" i="29"/>
  <c r="BR114" i="29"/>
  <c r="BS114" i="29"/>
  <c r="BT114" i="29"/>
  <c r="BU114" i="29"/>
  <c r="BV114" i="29"/>
  <c r="BW114" i="29"/>
  <c r="BX114" i="29"/>
  <c r="BY114" i="29"/>
  <c r="BZ114" i="29"/>
  <c r="AJ51" i="29"/>
  <c r="AK51" i="29"/>
  <c r="AL51" i="29"/>
  <c r="AM51" i="29"/>
  <c r="AN51" i="29"/>
  <c r="AO51" i="29"/>
  <c r="AQ51" i="29"/>
  <c r="AP51" i="29"/>
  <c r="AR51" i="29"/>
  <c r="AS51" i="29"/>
  <c r="AT51" i="29"/>
  <c r="AU51" i="29"/>
  <c r="AV51" i="29"/>
  <c r="AW51" i="29"/>
  <c r="AX51" i="29"/>
  <c r="AY51" i="29"/>
  <c r="AZ51" i="29"/>
  <c r="BA51" i="29"/>
  <c r="BB51" i="29"/>
  <c r="BC51" i="29"/>
  <c r="BD51" i="29"/>
  <c r="BE51" i="29"/>
  <c r="BF51" i="29"/>
  <c r="BG51" i="29"/>
  <c r="BH51" i="29"/>
  <c r="BI51" i="29"/>
  <c r="BJ51" i="29"/>
  <c r="BK51" i="29"/>
  <c r="BL51" i="29"/>
  <c r="BM51" i="29"/>
  <c r="BN51" i="29"/>
  <c r="BO51" i="29"/>
  <c r="BP51" i="29"/>
  <c r="BQ51" i="29"/>
  <c r="BR51" i="29"/>
  <c r="BS51" i="29"/>
  <c r="BT51" i="29"/>
  <c r="BU51" i="29"/>
  <c r="BV51" i="29"/>
  <c r="BW51" i="29"/>
  <c r="BX51" i="29"/>
  <c r="BY51" i="29"/>
  <c r="BZ51" i="29"/>
  <c r="AJ37" i="28"/>
  <c r="AK37" i="28"/>
  <c r="AL37" i="28"/>
  <c r="AM37" i="28"/>
  <c r="AN37" i="28"/>
  <c r="AO37" i="28"/>
  <c r="AJ102" i="29"/>
  <c r="AK102" i="29"/>
  <c r="AL102" i="29"/>
  <c r="AM102" i="29"/>
  <c r="AN102" i="29"/>
  <c r="AO102" i="29"/>
  <c r="AQ102" i="29"/>
  <c r="AR102" i="29"/>
  <c r="AP102" i="29"/>
  <c r="AS102" i="29"/>
  <c r="AT102" i="29"/>
  <c r="AU102" i="29"/>
  <c r="AV102" i="29"/>
  <c r="AW102" i="29"/>
  <c r="AX102" i="29"/>
  <c r="AY102" i="29"/>
  <c r="AZ102" i="29"/>
  <c r="BA102" i="29"/>
  <c r="BB102" i="29"/>
  <c r="BC102" i="29"/>
  <c r="BD102" i="29"/>
  <c r="BE102" i="29"/>
  <c r="BF102" i="29"/>
  <c r="BG102" i="29"/>
  <c r="BH102" i="29"/>
  <c r="BI102" i="29"/>
  <c r="BJ102" i="29"/>
  <c r="BK102" i="29"/>
  <c r="BL102" i="29"/>
  <c r="BM102" i="29"/>
  <c r="BN102" i="29"/>
  <c r="BO102" i="29"/>
  <c r="BP102" i="29"/>
  <c r="BQ102" i="29"/>
  <c r="BR102" i="29"/>
  <c r="BS102" i="29"/>
  <c r="BT102" i="29"/>
  <c r="BU102" i="29"/>
  <c r="BV102" i="29"/>
  <c r="BW102" i="29"/>
  <c r="BX102" i="29"/>
  <c r="BY102" i="29"/>
  <c r="BZ102" i="29"/>
  <c r="X81" i="30"/>
  <c r="H20" i="3"/>
  <c r="M20" i="3"/>
  <c r="BO82" i="29"/>
  <c r="BP82" i="29"/>
  <c r="BQ82" i="29"/>
  <c r="BR82" i="29"/>
  <c r="BS82" i="29"/>
  <c r="BT82" i="29"/>
  <c r="BU82" i="29"/>
  <c r="BV82" i="29"/>
  <c r="BW82" i="29"/>
  <c r="BX82" i="29"/>
  <c r="BY82" i="29"/>
  <c r="BZ82" i="29"/>
  <c r="AI36" i="28"/>
  <c r="AJ36" i="28"/>
  <c r="AK36" i="28"/>
  <c r="AL36" i="28"/>
  <c r="AM36" i="28"/>
  <c r="AN36" i="28"/>
  <c r="AO36" i="28"/>
  <c r="BI116" i="22"/>
  <c r="BJ116" i="22"/>
  <c r="BK116" i="22"/>
  <c r="BL49" i="22"/>
  <c r="BJ25" i="31"/>
  <c r="BC59" i="22"/>
  <c r="BD59" i="22"/>
  <c r="BE59" i="22"/>
  <c r="BF59" i="22"/>
  <c r="BG59" i="22"/>
  <c r="BH59" i="22"/>
  <c r="BI59" i="22"/>
  <c r="BJ59" i="22"/>
  <c r="BK59" i="22"/>
  <c r="AZ107" i="22"/>
  <c r="BA107" i="22"/>
  <c r="BB107" i="22"/>
  <c r="BC107" i="22"/>
  <c r="BD107" i="22"/>
  <c r="BE107" i="22"/>
  <c r="BF107" i="22"/>
  <c r="BG107" i="22"/>
  <c r="BH107" i="22"/>
  <c r="BI107" i="22"/>
  <c r="BJ107" i="22"/>
  <c r="BK107" i="22"/>
  <c r="AW104" i="22"/>
  <c r="AX104" i="22"/>
  <c r="AY104" i="22"/>
  <c r="AZ104" i="22"/>
  <c r="BA104" i="22"/>
  <c r="BB104" i="22"/>
  <c r="BC104" i="22"/>
  <c r="BD104" i="22"/>
  <c r="BE104" i="22"/>
  <c r="BF104" i="22"/>
  <c r="BG104" i="22"/>
  <c r="BH104" i="22"/>
  <c r="BI104" i="22"/>
  <c r="BJ104" i="22"/>
  <c r="BK104" i="22"/>
  <c r="AU102" i="22"/>
  <c r="AV102" i="22"/>
  <c r="AW102" i="22"/>
  <c r="AX102" i="22"/>
  <c r="AY102" i="22"/>
  <c r="AZ102" i="22"/>
  <c r="BA102" i="22"/>
  <c r="BB102" i="22"/>
  <c r="BC102" i="22"/>
  <c r="BD102" i="22"/>
  <c r="BE102" i="22"/>
  <c r="BF102" i="22"/>
  <c r="BG102" i="22"/>
  <c r="BH102" i="22"/>
  <c r="BI102" i="22"/>
  <c r="BJ102" i="22"/>
  <c r="BK102" i="22"/>
  <c r="AS149" i="29"/>
  <c r="AQ149" i="29"/>
  <c r="H149" i="29" s="1"/>
  <c r="G144" i="22"/>
  <c r="P144" i="22"/>
  <c r="AX23" i="12"/>
  <c r="AX24" i="12" s="1"/>
  <c r="AM94" i="22"/>
  <c r="AN94" i="22"/>
  <c r="AO94" i="22"/>
  <c r="AP94" i="22"/>
  <c r="AQ94" i="22"/>
  <c r="AR94" i="22"/>
  <c r="AS94" i="22"/>
  <c r="AT94" i="22"/>
  <c r="AU94" i="22"/>
  <c r="AV94" i="22"/>
  <c r="AW94" i="22"/>
  <c r="AX94" i="22"/>
  <c r="AY94" i="22"/>
  <c r="AZ94" i="22"/>
  <c r="BA94" i="22"/>
  <c r="BB94" i="22"/>
  <c r="BC94" i="22"/>
  <c r="BD94" i="22"/>
  <c r="BE94" i="22"/>
  <c r="BF94" i="22"/>
  <c r="BG94" i="22"/>
  <c r="BH94" i="22"/>
  <c r="BI94" i="22"/>
  <c r="BJ94" i="22"/>
  <c r="BK94" i="22"/>
  <c r="AT23" i="12"/>
  <c r="AT24" i="12" s="1"/>
  <c r="AI39" i="22"/>
  <c r="AJ39" i="22"/>
  <c r="AK39" i="22"/>
  <c r="AL39" i="22"/>
  <c r="AM39" i="22"/>
  <c r="AN39" i="22"/>
  <c r="AO39" i="22"/>
  <c r="AP39" i="22"/>
  <c r="AQ39" i="22"/>
  <c r="AR39" i="22"/>
  <c r="AS39" i="22"/>
  <c r="AT39" i="22"/>
  <c r="AU39" i="22"/>
  <c r="AV39" i="22"/>
  <c r="AW39" i="22"/>
  <c r="AX39" i="22"/>
  <c r="AY39" i="22"/>
  <c r="AZ39" i="22"/>
  <c r="BA39" i="22"/>
  <c r="BB39" i="22"/>
  <c r="BC39" i="22"/>
  <c r="BD39" i="22"/>
  <c r="BE39" i="22"/>
  <c r="BF39" i="22"/>
  <c r="BG39" i="22"/>
  <c r="BH39" i="22"/>
  <c r="BI39" i="22"/>
  <c r="BJ39" i="22"/>
  <c r="BK39" i="22"/>
  <c r="AI25" i="31"/>
  <c r="M17" i="3"/>
  <c r="H17" i="3"/>
  <c r="I20" i="3"/>
  <c r="AA93" i="29"/>
  <c r="J93" i="29"/>
  <c r="P93" i="29"/>
  <c r="X93" i="29"/>
  <c r="O93" i="29"/>
  <c r="N93" i="29"/>
  <c r="W93" i="29"/>
  <c r="M93" i="29"/>
  <c r="S93" i="29"/>
  <c r="T93" i="29"/>
  <c r="U93" i="29"/>
  <c r="Q93" i="29"/>
  <c r="V93" i="29"/>
  <c r="Z93" i="29"/>
  <c r="R93" i="29"/>
  <c r="Y93" i="29"/>
  <c r="AB93" i="29"/>
  <c r="BW90" i="29"/>
  <c r="BX90" i="29"/>
  <c r="BY90" i="29"/>
  <c r="BZ90" i="29"/>
  <c r="BK78" i="29"/>
  <c r="BL78" i="29"/>
  <c r="BM78" i="29"/>
  <c r="BN78" i="29"/>
  <c r="BO78" i="29"/>
  <c r="BP78" i="29"/>
  <c r="BQ78" i="29"/>
  <c r="BR78" i="29"/>
  <c r="BS78" i="29"/>
  <c r="BT78" i="29"/>
  <c r="BU78" i="29"/>
  <c r="BV78" i="29"/>
  <c r="BW78" i="29"/>
  <c r="BX78" i="29"/>
  <c r="BY78" i="29"/>
  <c r="BZ78" i="29"/>
  <c r="BH126" i="29"/>
  <c r="BI126" i="29"/>
  <c r="BJ126" i="29"/>
  <c r="BK126" i="29"/>
  <c r="BL126" i="29"/>
  <c r="BM126" i="29"/>
  <c r="BN126" i="29"/>
  <c r="BO126" i="29"/>
  <c r="BP126" i="29"/>
  <c r="BQ126" i="29"/>
  <c r="BR126" i="29"/>
  <c r="BS126" i="29"/>
  <c r="BT126" i="29"/>
  <c r="BU126" i="29"/>
  <c r="BV126" i="29"/>
  <c r="BW126" i="29"/>
  <c r="BX126" i="29"/>
  <c r="BY126" i="29"/>
  <c r="BZ126" i="29"/>
  <c r="AS60" i="29"/>
  <c r="AT60" i="29"/>
  <c r="AU60" i="29"/>
  <c r="AV60" i="29"/>
  <c r="AW60" i="29"/>
  <c r="AX60" i="29"/>
  <c r="AY60" i="29"/>
  <c r="AZ60" i="29"/>
  <c r="BA60" i="29"/>
  <c r="BB60" i="29"/>
  <c r="BC60" i="29"/>
  <c r="BD60" i="29"/>
  <c r="BE60" i="29"/>
  <c r="BF60" i="29"/>
  <c r="BG60" i="29"/>
  <c r="BH60" i="29"/>
  <c r="BI60" i="29"/>
  <c r="BJ60" i="29"/>
  <c r="BK60" i="29"/>
  <c r="BL60" i="29"/>
  <c r="BM60" i="29"/>
  <c r="BN60" i="29"/>
  <c r="BO60" i="29"/>
  <c r="BP60" i="29"/>
  <c r="BQ60" i="29"/>
  <c r="BR60" i="29"/>
  <c r="BS60" i="29"/>
  <c r="BT60" i="29"/>
  <c r="BU60" i="29"/>
  <c r="BV60" i="29"/>
  <c r="BW60" i="29"/>
  <c r="BX60" i="29"/>
  <c r="BY60" i="29"/>
  <c r="BZ60" i="29"/>
  <c r="AQ108" i="29"/>
  <c r="AP108" i="29"/>
  <c r="AR108" i="29"/>
  <c r="AS108" i="29"/>
  <c r="AT108" i="29"/>
  <c r="AU108" i="29"/>
  <c r="AV108" i="29"/>
  <c r="AW108" i="29"/>
  <c r="AX108" i="29"/>
  <c r="AY108" i="29"/>
  <c r="AZ108" i="29"/>
  <c r="BA108" i="29"/>
  <c r="BB108" i="29"/>
  <c r="BC108" i="29"/>
  <c r="BD108" i="29"/>
  <c r="BE108" i="29"/>
  <c r="BF108" i="29"/>
  <c r="BG108" i="29"/>
  <c r="BH108" i="29"/>
  <c r="BI108" i="29"/>
  <c r="BJ108" i="29"/>
  <c r="BK108" i="29"/>
  <c r="BL108" i="29"/>
  <c r="BM108" i="29"/>
  <c r="BN108" i="29"/>
  <c r="BO108" i="29"/>
  <c r="BP108" i="29"/>
  <c r="BQ108" i="29"/>
  <c r="BR108" i="29"/>
  <c r="BS108" i="29"/>
  <c r="BT108" i="29"/>
  <c r="BU108" i="29"/>
  <c r="BV108" i="29"/>
  <c r="BW108" i="29"/>
  <c r="BX108" i="29"/>
  <c r="BY108" i="29"/>
  <c r="BZ108" i="29"/>
  <c r="AL53" i="29"/>
  <c r="AM53" i="29"/>
  <c r="AN53" i="29"/>
  <c r="AO53" i="29"/>
  <c r="AQ53" i="29"/>
  <c r="AP53" i="29"/>
  <c r="AR53" i="29"/>
  <c r="AS53" i="29"/>
  <c r="AT53" i="29"/>
  <c r="AU53" i="29"/>
  <c r="AV53" i="29"/>
  <c r="AW53" i="29"/>
  <c r="AX53" i="29"/>
  <c r="AY53" i="29"/>
  <c r="AZ53" i="29"/>
  <c r="BA53" i="29"/>
  <c r="BB53" i="29"/>
  <c r="BC53" i="29"/>
  <c r="BD53" i="29"/>
  <c r="BE53" i="29"/>
  <c r="BF53" i="29"/>
  <c r="BG53" i="29"/>
  <c r="BH53" i="29"/>
  <c r="BI53" i="29"/>
  <c r="BJ53" i="29"/>
  <c r="BK53" i="29"/>
  <c r="BL53" i="29"/>
  <c r="BM53" i="29"/>
  <c r="BN53" i="29"/>
  <c r="BO53" i="29"/>
  <c r="BP53" i="29"/>
  <c r="BQ53" i="29"/>
  <c r="BR53" i="29"/>
  <c r="BS53" i="29"/>
  <c r="BT53" i="29"/>
  <c r="BU53" i="29"/>
  <c r="BV53" i="29"/>
  <c r="BW53" i="29"/>
  <c r="BX53" i="29"/>
  <c r="BY53" i="29"/>
  <c r="BZ53" i="29"/>
  <c r="AM105" i="29"/>
  <c r="AN105" i="29"/>
  <c r="AO105" i="29"/>
  <c r="AQ105" i="29"/>
  <c r="AR105" i="29"/>
  <c r="AP105" i="29"/>
  <c r="AS105" i="29"/>
  <c r="AT105" i="29"/>
  <c r="AU105" i="29"/>
  <c r="AV105" i="29"/>
  <c r="AW105" i="29"/>
  <c r="AX105" i="29"/>
  <c r="AY105" i="29"/>
  <c r="AZ105" i="29"/>
  <c r="BA105" i="29"/>
  <c r="BB105" i="29"/>
  <c r="BC105" i="29"/>
  <c r="BD105" i="29"/>
  <c r="BE105" i="29"/>
  <c r="BF105" i="29"/>
  <c r="BG105" i="29"/>
  <c r="BH105" i="29"/>
  <c r="BI105" i="29"/>
  <c r="BJ105" i="29"/>
  <c r="BK105" i="29"/>
  <c r="BL105" i="29"/>
  <c r="BM105" i="29"/>
  <c r="BN105" i="29"/>
  <c r="BO105" i="29"/>
  <c r="BP105" i="29"/>
  <c r="BQ105" i="29"/>
  <c r="BR105" i="29"/>
  <c r="BS105" i="29"/>
  <c r="BT105" i="29"/>
  <c r="BU105" i="29"/>
  <c r="BV105" i="29"/>
  <c r="BW105" i="29"/>
  <c r="BX105" i="29"/>
  <c r="BY105" i="29"/>
  <c r="BZ105" i="29"/>
  <c r="AK38" i="28"/>
  <c r="AL38" i="28"/>
  <c r="AM38" i="28"/>
  <c r="AN38" i="28"/>
  <c r="AO38" i="28"/>
  <c r="AI44" i="30" a="1"/>
  <c r="AI44" i="30" s="1"/>
  <c r="AK44" i="30" a="1"/>
  <c r="AK44" i="30" s="1"/>
  <c r="AJ44" i="30" a="1"/>
  <c r="AJ44" i="30" s="1"/>
  <c r="AQ44" i="30" a="1"/>
  <c r="AQ44" i="30" s="1"/>
  <c r="AP44" i="30" a="1"/>
  <c r="AP44" i="30" s="1"/>
  <c r="AH44" i="30" a="1"/>
  <c r="AH44" i="30" s="1"/>
  <c r="AO44" i="30" a="1"/>
  <c r="AO44" i="30" s="1"/>
  <c r="AF44" i="30" a="1"/>
  <c r="AF44" i="30" s="1"/>
  <c r="AG44" i="30" a="1"/>
  <c r="AG44" i="30" s="1"/>
  <c r="AN44" i="30" a="1"/>
  <c r="AN44" i="30" s="1"/>
  <c r="AL44" i="30" a="1"/>
  <c r="AL44" i="30" s="1"/>
  <c r="AM44" i="30" a="1"/>
  <c r="AM44" i="30" s="1"/>
  <c r="AR44" i="30" a="1"/>
  <c r="AR44" i="30" s="1"/>
  <c r="AS44" i="30" a="1"/>
  <c r="AS44" i="30" s="1"/>
  <c r="AT44" i="30" a="1"/>
  <c r="AT44" i="30" s="1"/>
  <c r="AU44" i="30" a="1"/>
  <c r="AU44" i="30" s="1"/>
  <c r="AV44" i="30" a="1"/>
  <c r="AV44" i="30" s="1"/>
  <c r="AW44" i="30" a="1"/>
  <c r="AW44" i="30" s="1"/>
  <c r="AX44" i="30" a="1"/>
  <c r="AX44" i="30" s="1"/>
  <c r="AY44" i="30" a="1"/>
  <c r="AY44" i="30" s="1"/>
  <c r="AZ44" i="30" a="1"/>
  <c r="AZ44" i="30" s="1"/>
  <c r="BA44" i="30" a="1"/>
  <c r="BA44" i="30" s="1"/>
  <c r="BB44" i="30" a="1"/>
  <c r="BB44" i="30" s="1"/>
  <c r="BC44" i="30" a="1"/>
  <c r="BC44" i="30" s="1"/>
  <c r="BD44" i="30" a="1"/>
  <c r="BD44" i="30" s="1"/>
  <c r="BE44" i="30" a="1"/>
  <c r="BE44" i="30" s="1"/>
  <c r="BF44" i="30" a="1"/>
  <c r="BF44" i="30" s="1"/>
  <c r="BG44" i="30" a="1"/>
  <c r="BG44" i="30" s="1"/>
  <c r="BH44" i="30" a="1"/>
  <c r="BH44" i="30" s="1"/>
  <c r="BI44" i="30" a="1"/>
  <c r="BI44" i="30" s="1"/>
  <c r="BJ44" i="30" a="1"/>
  <c r="BJ44" i="30" s="1"/>
  <c r="BK44" i="30" a="1"/>
  <c r="BK44" i="30" s="1"/>
  <c r="BL44" i="30" a="1"/>
  <c r="BL44" i="30" s="1"/>
  <c r="BM44" i="30" a="1"/>
  <c r="BM44" i="30" s="1"/>
  <c r="BN44" i="30" a="1"/>
  <c r="BN44" i="30" s="1"/>
  <c r="BO44" i="30" a="1"/>
  <c r="BO44" i="30" s="1"/>
  <c r="BP44" i="30" a="1"/>
  <c r="BP44" i="30" s="1"/>
  <c r="BQ44" i="30" a="1"/>
  <c r="BQ44" i="30" s="1"/>
  <c r="BR44" i="30" a="1"/>
  <c r="BR44" i="30" s="1"/>
  <c r="BS44" i="30" a="1"/>
  <c r="BS44" i="30" s="1"/>
  <c r="BT44" i="30" a="1"/>
  <c r="BT44" i="30" s="1"/>
  <c r="BU44" i="30" a="1"/>
  <c r="BU44" i="30" s="1"/>
  <c r="BV44" i="30" a="1"/>
  <c r="BV44" i="30" s="1"/>
  <c r="BW44" i="30" a="1"/>
  <c r="BW44" i="30" s="1"/>
  <c r="BX44" i="30" a="1"/>
  <c r="BX44" i="30" s="1"/>
  <c r="BY44" i="30" a="1"/>
  <c r="BY44" i="30" s="1"/>
  <c r="BZ44" i="30" a="1"/>
  <c r="BZ44" i="30" s="1"/>
  <c r="CA44" i="30" a="1"/>
  <c r="CA44" i="30" s="1"/>
  <c r="BB152" i="29"/>
  <c r="H155" i="29"/>
  <c r="T155" i="29"/>
  <c r="BD71" i="29"/>
  <c r="BE71" i="29"/>
  <c r="BF71" i="29"/>
  <c r="BG71" i="29"/>
  <c r="BH71" i="29"/>
  <c r="BI71" i="29"/>
  <c r="BJ71" i="29"/>
  <c r="BK71" i="29"/>
  <c r="BL71" i="29"/>
  <c r="BM71" i="29"/>
  <c r="BN71" i="29"/>
  <c r="BO71" i="29"/>
  <c r="BP71" i="29"/>
  <c r="BQ71" i="29"/>
  <c r="BR71" i="29"/>
  <c r="BS71" i="29"/>
  <c r="BT71" i="29"/>
  <c r="BU71" i="29"/>
  <c r="BV71" i="29"/>
  <c r="BW71" i="29"/>
  <c r="BX71" i="29"/>
  <c r="BY71" i="29"/>
  <c r="BZ71" i="29"/>
  <c r="BI23" i="12"/>
  <c r="BI87" i="30"/>
  <c r="W91" i="30"/>
  <c r="BH25" i="31"/>
  <c r="BF25" i="31"/>
  <c r="BA108" i="22"/>
  <c r="BB108" i="22"/>
  <c r="BC108" i="22"/>
  <c r="BD108" i="22"/>
  <c r="BE108" i="22"/>
  <c r="BF108" i="22"/>
  <c r="BG108" i="22"/>
  <c r="BH108" i="22"/>
  <c r="BI108" i="22"/>
  <c r="BJ108" i="22"/>
  <c r="BK108" i="22"/>
  <c r="AX105" i="22"/>
  <c r="AY105" i="22"/>
  <c r="AZ105" i="22"/>
  <c r="BA105" i="22"/>
  <c r="BB105" i="22"/>
  <c r="BC105" i="22"/>
  <c r="BD105" i="22"/>
  <c r="BE105" i="22"/>
  <c r="BF105" i="22"/>
  <c r="BG105" i="22"/>
  <c r="BH105" i="22"/>
  <c r="BI105" i="22"/>
  <c r="BJ105" i="22"/>
  <c r="BK105" i="22"/>
  <c r="AZ25" i="31"/>
  <c r="AX25" i="31"/>
  <c r="AS100" i="22"/>
  <c r="AT100" i="22"/>
  <c r="AU100" i="22"/>
  <c r="AV100" i="22"/>
  <c r="AW100" i="22"/>
  <c r="AX100" i="22"/>
  <c r="AY100" i="22"/>
  <c r="AZ100" i="22"/>
  <c r="BA100" i="22"/>
  <c r="BB100" i="22"/>
  <c r="BC100" i="22"/>
  <c r="BD100" i="22"/>
  <c r="BE100" i="22"/>
  <c r="BF100" i="22"/>
  <c r="BG100" i="22"/>
  <c r="BH100" i="22"/>
  <c r="BI100" i="22"/>
  <c r="BJ100" i="22"/>
  <c r="BK100" i="22"/>
  <c r="AQ98" i="22"/>
  <c r="AR98" i="22"/>
  <c r="AS98" i="22"/>
  <c r="AT98" i="22"/>
  <c r="AU98" i="22"/>
  <c r="AV98" i="22"/>
  <c r="AW98" i="22"/>
  <c r="AX98" i="22"/>
  <c r="AY98" i="22"/>
  <c r="AZ98" i="22"/>
  <c r="BA98" i="22"/>
  <c r="BB98" i="22"/>
  <c r="BC98" i="22"/>
  <c r="BD98" i="22"/>
  <c r="BE98" i="22"/>
  <c r="BF98" i="22"/>
  <c r="BG98" i="22"/>
  <c r="BH98" i="22"/>
  <c r="BI98" i="22"/>
  <c r="BJ98" i="22"/>
  <c r="BK98" i="22"/>
  <c r="AO45" i="22"/>
  <c r="AP45" i="22"/>
  <c r="AQ45" i="22"/>
  <c r="AR45" i="22"/>
  <c r="AS45" i="22"/>
  <c r="AT45" i="22"/>
  <c r="AU45" i="22"/>
  <c r="AV45" i="22"/>
  <c r="AW45" i="22"/>
  <c r="AX45" i="22"/>
  <c r="AY45" i="22"/>
  <c r="AZ45" i="22"/>
  <c r="BA45" i="22"/>
  <c r="BB45" i="22"/>
  <c r="BC45" i="22"/>
  <c r="BD45" i="22"/>
  <c r="BE45" i="22"/>
  <c r="BF45" i="22"/>
  <c r="BG45" i="22"/>
  <c r="BH45" i="22"/>
  <c r="BI45" i="22"/>
  <c r="BJ45" i="22"/>
  <c r="BK45" i="22"/>
  <c r="AJ135" i="28"/>
  <c r="AI141" i="28"/>
  <c r="H15" i="3"/>
  <c r="M15" i="3"/>
  <c r="K50" i="8"/>
  <c r="K51" i="8"/>
  <c r="K48" i="8"/>
  <c r="BQ135" i="29"/>
  <c r="BR135" i="29"/>
  <c r="BS135" i="29"/>
  <c r="BT135" i="29"/>
  <c r="BU135" i="29"/>
  <c r="BV135" i="29"/>
  <c r="BW135" i="29"/>
  <c r="BX135" i="29"/>
  <c r="BY135" i="29"/>
  <c r="BZ135" i="29"/>
  <c r="BJ77" i="29"/>
  <c r="BK77" i="29"/>
  <c r="BL77" i="29"/>
  <c r="BM77" i="29"/>
  <c r="BN77" i="29"/>
  <c r="BO77" i="29"/>
  <c r="BP77" i="29"/>
  <c r="BQ77" i="29"/>
  <c r="BR77" i="29"/>
  <c r="BS77" i="29"/>
  <c r="BT77" i="29"/>
  <c r="BU77" i="29"/>
  <c r="BV77" i="29"/>
  <c r="BW77" i="29"/>
  <c r="BX77" i="29"/>
  <c r="BY77" i="29"/>
  <c r="BZ77" i="29"/>
  <c r="BI127" i="29"/>
  <c r="BJ127" i="29"/>
  <c r="BK127" i="29"/>
  <c r="BL127" i="29"/>
  <c r="BM127" i="29"/>
  <c r="BN127" i="29"/>
  <c r="BO127" i="29"/>
  <c r="BP127" i="29"/>
  <c r="BQ127" i="29"/>
  <c r="BR127" i="29"/>
  <c r="BS127" i="29"/>
  <c r="BT127" i="29"/>
  <c r="BU127" i="29"/>
  <c r="BV127" i="29"/>
  <c r="BW127" i="29"/>
  <c r="BX127" i="29"/>
  <c r="BY127" i="29"/>
  <c r="BZ127" i="29"/>
  <c r="BB120" i="29"/>
  <c r="BC120" i="29"/>
  <c r="BD120" i="29"/>
  <c r="BE120" i="29"/>
  <c r="BF120" i="29"/>
  <c r="BG120" i="29"/>
  <c r="BH120" i="29"/>
  <c r="BI120" i="29"/>
  <c r="BJ120" i="29"/>
  <c r="BK120" i="29"/>
  <c r="BL120" i="29"/>
  <c r="BM120" i="29"/>
  <c r="BN120" i="29"/>
  <c r="BO120" i="29"/>
  <c r="BP120" i="29"/>
  <c r="BQ120" i="29"/>
  <c r="BR120" i="29"/>
  <c r="BS120" i="29"/>
  <c r="BT120" i="29"/>
  <c r="BU120" i="29"/>
  <c r="BV120" i="29"/>
  <c r="BW120" i="29"/>
  <c r="BX120" i="29"/>
  <c r="BY120" i="29"/>
  <c r="BZ120" i="29"/>
  <c r="AV63" i="29"/>
  <c r="AW63" i="29"/>
  <c r="AX63" i="29"/>
  <c r="AY63" i="29"/>
  <c r="AZ63" i="29"/>
  <c r="BA63" i="29"/>
  <c r="BB63" i="29"/>
  <c r="BC63" i="29"/>
  <c r="BD63" i="29"/>
  <c r="BE63" i="29"/>
  <c r="BF63" i="29"/>
  <c r="BG63" i="29"/>
  <c r="BH63" i="29"/>
  <c r="BI63" i="29"/>
  <c r="BJ63" i="29"/>
  <c r="BK63" i="29"/>
  <c r="BL63" i="29"/>
  <c r="BM63" i="29"/>
  <c r="BN63" i="29"/>
  <c r="BO63" i="29"/>
  <c r="BP63" i="29"/>
  <c r="BQ63" i="29"/>
  <c r="BR63" i="29"/>
  <c r="BS63" i="29"/>
  <c r="BT63" i="29"/>
  <c r="BU63" i="29"/>
  <c r="BV63" i="29"/>
  <c r="BW63" i="29"/>
  <c r="BX63" i="29"/>
  <c r="BY63" i="29"/>
  <c r="BZ63" i="29"/>
  <c r="AW115" i="29"/>
  <c r="AX115" i="29"/>
  <c r="AY115" i="29"/>
  <c r="AZ115" i="29"/>
  <c r="BA115" i="29"/>
  <c r="BB115" i="29"/>
  <c r="BC115" i="29"/>
  <c r="BD115" i="29"/>
  <c r="BE115" i="29"/>
  <c r="BF115" i="29"/>
  <c r="BG115" i="29"/>
  <c r="BH115" i="29"/>
  <c r="BI115" i="29"/>
  <c r="BJ115" i="29"/>
  <c r="BK115" i="29"/>
  <c r="BL115" i="29"/>
  <c r="BM115" i="29"/>
  <c r="BN115" i="29"/>
  <c r="BO115" i="29"/>
  <c r="BP115" i="29"/>
  <c r="BQ115" i="29"/>
  <c r="BR115" i="29"/>
  <c r="BS115" i="29"/>
  <c r="BT115" i="29"/>
  <c r="BU115" i="29"/>
  <c r="BV115" i="29"/>
  <c r="BW115" i="29"/>
  <c r="BX115" i="29"/>
  <c r="BY115" i="29"/>
  <c r="BZ115" i="29"/>
  <c r="AQ57" i="29"/>
  <c r="AR57" i="29"/>
  <c r="AP57" i="29"/>
  <c r="AS57" i="29"/>
  <c r="AT57" i="29"/>
  <c r="AU57" i="29"/>
  <c r="AV57" i="29"/>
  <c r="AW57" i="29"/>
  <c r="AX57" i="29"/>
  <c r="AY57" i="29"/>
  <c r="AZ57" i="29"/>
  <c r="BA57" i="29"/>
  <c r="BB57" i="29"/>
  <c r="BC57" i="29"/>
  <c r="BD57" i="29"/>
  <c r="BE57" i="29"/>
  <c r="BF57" i="29"/>
  <c r="BG57" i="29"/>
  <c r="BH57" i="29"/>
  <c r="BI57" i="29"/>
  <c r="BJ57" i="29"/>
  <c r="BK57" i="29"/>
  <c r="BL57" i="29"/>
  <c r="BM57" i="29"/>
  <c r="BN57" i="29"/>
  <c r="BO57" i="29"/>
  <c r="BP57" i="29"/>
  <c r="BQ57" i="29"/>
  <c r="BR57" i="29"/>
  <c r="BS57" i="29"/>
  <c r="BT57" i="29"/>
  <c r="BU57" i="29"/>
  <c r="BV57" i="29"/>
  <c r="BW57" i="29"/>
  <c r="BX57" i="29"/>
  <c r="BY57" i="29"/>
  <c r="BZ57" i="29"/>
  <c r="AH100" i="29"/>
  <c r="AI100" i="29"/>
  <c r="AJ100" i="29"/>
  <c r="AK100" i="29"/>
  <c r="AL100" i="29"/>
  <c r="AM100" i="29"/>
  <c r="AN100" i="29"/>
  <c r="AO100" i="29"/>
  <c r="AQ100" i="29"/>
  <c r="AP100" i="29"/>
  <c r="AR100" i="29"/>
  <c r="AS100" i="29"/>
  <c r="AT100" i="29"/>
  <c r="AU100" i="29"/>
  <c r="AV100" i="29"/>
  <c r="AW100" i="29"/>
  <c r="AX100" i="29"/>
  <c r="AY100" i="29"/>
  <c r="AZ100" i="29"/>
  <c r="BA100" i="29"/>
  <c r="BB100" i="29"/>
  <c r="BC100" i="29"/>
  <c r="BD100" i="29"/>
  <c r="BE100" i="29"/>
  <c r="BF100" i="29"/>
  <c r="BG100" i="29"/>
  <c r="BH100" i="29"/>
  <c r="BI100" i="29"/>
  <c r="BJ100" i="29"/>
  <c r="BK100" i="29"/>
  <c r="BL100" i="29"/>
  <c r="BM100" i="29"/>
  <c r="BN100" i="29"/>
  <c r="BO100" i="29"/>
  <c r="BP100" i="29"/>
  <c r="BQ100" i="29"/>
  <c r="BR100" i="29"/>
  <c r="BS100" i="29"/>
  <c r="BT100" i="29"/>
  <c r="BU100" i="29"/>
  <c r="BV100" i="29"/>
  <c r="BW100" i="29"/>
  <c r="BX100" i="29"/>
  <c r="BY100" i="29"/>
  <c r="BZ100" i="29"/>
  <c r="G39" i="29"/>
  <c r="BL85" i="30"/>
  <c r="AM64" i="30" a="1"/>
  <c r="AM64" i="30" s="1"/>
  <c r="AI64" i="30" a="1"/>
  <c r="AI64" i="30" s="1"/>
  <c r="BJ64" i="30" a="1"/>
  <c r="BJ64" i="30" s="1"/>
  <c r="BF64" i="30" a="1"/>
  <c r="BF64" i="30" s="1"/>
  <c r="BB64" i="30" a="1"/>
  <c r="BB64" i="30" s="1"/>
  <c r="AX64" i="30" a="1"/>
  <c r="AX64" i="30" s="1"/>
  <c r="AP64" i="30" a="1"/>
  <c r="AP64" i="30" s="1"/>
  <c r="BA64" i="30" a="1"/>
  <c r="BA64" i="30" s="1"/>
  <c r="AW64" i="30" a="1"/>
  <c r="AW64" i="30" s="1"/>
  <c r="AT64" i="30" a="1"/>
  <c r="AT64" i="30" s="1"/>
  <c r="AL64" i="30" a="1"/>
  <c r="AL64" i="30" s="1"/>
  <c r="AH64" i="30" a="1"/>
  <c r="AH64" i="30" s="1"/>
  <c r="BE64" i="30" a="1"/>
  <c r="BE64" i="30" s="1"/>
  <c r="AO64" i="30" a="1"/>
  <c r="AO64" i="30" s="1"/>
  <c r="BI64" i="30" a="1"/>
  <c r="BI64" i="30" s="1"/>
  <c r="AZ64" i="30" a="1"/>
  <c r="AZ64" i="30" s="1"/>
  <c r="BG64" i="30" a="1"/>
  <c r="BG64" i="30" s="1"/>
  <c r="AS64" i="30" a="1"/>
  <c r="AS64" i="30" s="1"/>
  <c r="AK64" i="30" a="1"/>
  <c r="AK64" i="30" s="1"/>
  <c r="AG64" i="30" a="1"/>
  <c r="AG64" i="30" s="1"/>
  <c r="BD64" i="30" a="1"/>
  <c r="BD64" i="30" s="1"/>
  <c r="BH64" i="30" a="1"/>
  <c r="BH64" i="30" s="1"/>
  <c r="AV64" i="30" a="1"/>
  <c r="AV64" i="30" s="1"/>
  <c r="AN64" i="30" a="1"/>
  <c r="AN64" i="30" s="1"/>
  <c r="AR64" i="30" a="1"/>
  <c r="AR64" i="30" s="1"/>
  <c r="AF64" i="30" a="1"/>
  <c r="AF64" i="30" s="1"/>
  <c r="AJ64" i="30" a="1"/>
  <c r="AJ64" i="30" s="1"/>
  <c r="BK64" i="30" a="1"/>
  <c r="BK64" i="30" s="1"/>
  <c r="BC64" i="30" a="1"/>
  <c r="BC64" i="30" s="1"/>
  <c r="AU64" i="30" a="1"/>
  <c r="AU64" i="30" s="1"/>
  <c r="AQ64" i="30" a="1"/>
  <c r="AQ64" i="30" s="1"/>
  <c r="AY64" i="30" a="1"/>
  <c r="AY64" i="30" s="1"/>
  <c r="BL64" i="30" a="1"/>
  <c r="BL64" i="30" s="1"/>
  <c r="BM64" i="30" a="1"/>
  <c r="BM64" i="30" s="1"/>
  <c r="BN64" i="30" a="1"/>
  <c r="BN64" i="30" s="1"/>
  <c r="BO64" i="30" a="1"/>
  <c r="BO64" i="30" s="1"/>
  <c r="BP64" i="30" a="1"/>
  <c r="BP64" i="30" s="1"/>
  <c r="BQ64" i="30" a="1"/>
  <c r="BQ64" i="30" s="1"/>
  <c r="BR64" i="30" a="1"/>
  <c r="BR64" i="30" s="1"/>
  <c r="BS64" i="30" a="1"/>
  <c r="BS64" i="30" s="1"/>
  <c r="BT64" i="30" a="1"/>
  <c r="BT64" i="30" s="1"/>
  <c r="BU64" i="30" a="1"/>
  <c r="BU64" i="30" s="1"/>
  <c r="BV64" i="30" a="1"/>
  <c r="BV64" i="30" s="1"/>
  <c r="BW64" i="30" a="1"/>
  <c r="BW64" i="30" s="1"/>
  <c r="BX64" i="30" a="1"/>
  <c r="BX64" i="30" s="1"/>
  <c r="BY64" i="30" a="1"/>
  <c r="BY64" i="30" s="1"/>
  <c r="BZ64" i="30" a="1"/>
  <c r="BZ64" i="30" s="1"/>
  <c r="CA64" i="30" a="1"/>
  <c r="CA64" i="30" s="1"/>
  <c r="BH62" i="30" a="1"/>
  <c r="BH62" i="30" s="1"/>
  <c r="BD62" i="30" a="1"/>
  <c r="BD62" i="30" s="1"/>
  <c r="BF62" i="30" a="1"/>
  <c r="BF62" i="30" s="1"/>
  <c r="AT62" i="30" a="1"/>
  <c r="AT62" i="30" s="1"/>
  <c r="AZ62" i="30" a="1"/>
  <c r="AZ62" i="30" s="1"/>
  <c r="AV62" i="30" a="1"/>
  <c r="AV62" i="30" s="1"/>
  <c r="AN62" i="30" a="1"/>
  <c r="AN62" i="30" s="1"/>
  <c r="AR62" i="30" a="1"/>
  <c r="AR62" i="30" s="1"/>
  <c r="AM62" i="30" a="1"/>
  <c r="AM62" i="30" s="1"/>
  <c r="BA62" i="30" a="1"/>
  <c r="BA62" i="30" s="1"/>
  <c r="AJ62" i="30" a="1"/>
  <c r="AJ62" i="30" s="1"/>
  <c r="AF62" i="30" a="1"/>
  <c r="AF62" i="30" s="1"/>
  <c r="AY62" i="30" a="1"/>
  <c r="AY62" i="30" s="1"/>
  <c r="AQ62" i="30" a="1"/>
  <c r="AQ62" i="30" s="1"/>
  <c r="AI62" i="30" a="1"/>
  <c r="AI62" i="30" s="1"/>
  <c r="AP62" i="30" a="1"/>
  <c r="AP62" i="30" s="1"/>
  <c r="AK62" i="30" a="1"/>
  <c r="AK62" i="30" s="1"/>
  <c r="BG62" i="30" a="1"/>
  <c r="BG62" i="30" s="1"/>
  <c r="BC62" i="30" a="1"/>
  <c r="BC62" i="30" s="1"/>
  <c r="BB62" i="30" a="1"/>
  <c r="BB62" i="30" s="1"/>
  <c r="AU62" i="30" a="1"/>
  <c r="AU62" i="30" s="1"/>
  <c r="BI62" i="30" a="1"/>
  <c r="BI62" i="30" s="1"/>
  <c r="AL62" i="30" a="1"/>
  <c r="AL62" i="30" s="1"/>
  <c r="AX62" i="30" a="1"/>
  <c r="AX62" i="30" s="1"/>
  <c r="AH62" i="30" a="1"/>
  <c r="AH62" i="30" s="1"/>
  <c r="BE62" i="30" a="1"/>
  <c r="BE62" i="30" s="1"/>
  <c r="AS62" i="30" a="1"/>
  <c r="AS62" i="30" s="1"/>
  <c r="AO62" i="30" a="1"/>
  <c r="AO62" i="30" s="1"/>
  <c r="AW62" i="30" a="1"/>
  <c r="AW62" i="30" s="1"/>
  <c r="AG62" i="30" a="1"/>
  <c r="AG62" i="30" s="1"/>
  <c r="BJ62" i="30" a="1"/>
  <c r="BJ62" i="30" s="1"/>
  <c r="BK62" i="30" a="1"/>
  <c r="BK62" i="30" s="1"/>
  <c r="BL62" i="30" a="1"/>
  <c r="BL62" i="30" s="1"/>
  <c r="BM62" i="30" a="1"/>
  <c r="BM62" i="30" s="1"/>
  <c r="BN62" i="30" a="1"/>
  <c r="BN62" i="30" s="1"/>
  <c r="BO62" i="30" a="1"/>
  <c r="BO62" i="30" s="1"/>
  <c r="BP62" i="30" a="1"/>
  <c r="BP62" i="30" s="1"/>
  <c r="BQ62" i="30" a="1"/>
  <c r="BQ62" i="30" s="1"/>
  <c r="BR62" i="30" a="1"/>
  <c r="BR62" i="30" s="1"/>
  <c r="BS62" i="30" a="1"/>
  <c r="BS62" i="30" s="1"/>
  <c r="BT62" i="30" a="1"/>
  <c r="BT62" i="30" s="1"/>
  <c r="BU62" i="30" a="1"/>
  <c r="BU62" i="30" s="1"/>
  <c r="BV62" i="30" a="1"/>
  <c r="BV62" i="30" s="1"/>
  <c r="BW62" i="30" a="1"/>
  <c r="BW62" i="30" s="1"/>
  <c r="BX62" i="30" a="1"/>
  <c r="BX62" i="30" s="1"/>
  <c r="BY62" i="30" a="1"/>
  <c r="BY62" i="30" s="1"/>
  <c r="BZ62" i="30" a="1"/>
  <c r="BZ62" i="30" s="1"/>
  <c r="CA62" i="30" a="1"/>
  <c r="CA62" i="30" s="1"/>
  <c r="AJ60" i="30" a="1"/>
  <c r="AJ60" i="30" s="1"/>
  <c r="AF60" i="30" a="1"/>
  <c r="AF60" i="30" s="1"/>
  <c r="AY60" i="30" a="1"/>
  <c r="AY60" i="30" s="1"/>
  <c r="AU60" i="30" a="1"/>
  <c r="AU60" i="30" s="1"/>
  <c r="AM60" i="30" a="1"/>
  <c r="AM60" i="30" s="1"/>
  <c r="AK60" i="30" a="1"/>
  <c r="AK60" i="30" s="1"/>
  <c r="BG60" i="30" a="1"/>
  <c r="BG60" i="30" s="1"/>
  <c r="BC60" i="30" a="1"/>
  <c r="BC60" i="30" s="1"/>
  <c r="BB60" i="30" a="1"/>
  <c r="BB60" i="30" s="1"/>
  <c r="AQ60" i="30" a="1"/>
  <c r="AQ60" i="30" s="1"/>
  <c r="AP60" i="30" a="1"/>
  <c r="AP60" i="30" s="1"/>
  <c r="AT60" i="30" a="1"/>
  <c r="AT60" i="30" s="1"/>
  <c r="AH60" i="30" a="1"/>
  <c r="AH60" i="30" s="1"/>
  <c r="AG60" i="30" a="1"/>
  <c r="AG60" i="30" s="1"/>
  <c r="AI60" i="30" a="1"/>
  <c r="AI60" i="30" s="1"/>
  <c r="AS60" i="30" a="1"/>
  <c r="AS60" i="30" s="1"/>
  <c r="AO60" i="30" a="1"/>
  <c r="AO60" i="30" s="1"/>
  <c r="BD60" i="30" a="1"/>
  <c r="BD60" i="30" s="1"/>
  <c r="BF60" i="30" a="1"/>
  <c r="BF60" i="30" s="1"/>
  <c r="AX60" i="30" a="1"/>
  <c r="AX60" i="30" s="1"/>
  <c r="BE60" i="30" a="1"/>
  <c r="BE60" i="30" s="1"/>
  <c r="AW60" i="30" a="1"/>
  <c r="AW60" i="30" s="1"/>
  <c r="AL60" i="30" a="1"/>
  <c r="AL60" i="30" s="1"/>
  <c r="BH60" i="30" a="1"/>
  <c r="BH60" i="30" s="1"/>
  <c r="BA60" i="30" a="1"/>
  <c r="BA60" i="30" s="1"/>
  <c r="AZ60" i="30" a="1"/>
  <c r="AZ60" i="30" s="1"/>
  <c r="AV60" i="30" a="1"/>
  <c r="AV60" i="30" s="1"/>
  <c r="AR60" i="30" a="1"/>
  <c r="AR60" i="30" s="1"/>
  <c r="AN60" i="30" a="1"/>
  <c r="AN60" i="30" s="1"/>
  <c r="BI60" i="30" a="1"/>
  <c r="BI60" i="30" s="1"/>
  <c r="BJ60" i="30" a="1"/>
  <c r="BJ60" i="30" s="1"/>
  <c r="BK60" i="30" a="1"/>
  <c r="BK60" i="30" s="1"/>
  <c r="BL60" i="30" a="1"/>
  <c r="BL60" i="30" s="1"/>
  <c r="BM60" i="30" a="1"/>
  <c r="BM60" i="30" s="1"/>
  <c r="BN60" i="30" a="1"/>
  <c r="BN60" i="30" s="1"/>
  <c r="BO60" i="30" a="1"/>
  <c r="BO60" i="30" s="1"/>
  <c r="BP60" i="30" a="1"/>
  <c r="BP60" i="30" s="1"/>
  <c r="BQ60" i="30" a="1"/>
  <c r="BQ60" i="30" s="1"/>
  <c r="BR60" i="30" a="1"/>
  <c r="BR60" i="30" s="1"/>
  <c r="BS60" i="30" a="1"/>
  <c r="BS60" i="30" s="1"/>
  <c r="BT60" i="30" a="1"/>
  <c r="BT60" i="30" s="1"/>
  <c r="BU60" i="30" a="1"/>
  <c r="BU60" i="30" s="1"/>
  <c r="BV60" i="30" a="1"/>
  <c r="BV60" i="30" s="1"/>
  <c r="BW60" i="30" a="1"/>
  <c r="BW60" i="30" s="1"/>
  <c r="BX60" i="30" a="1"/>
  <c r="BX60" i="30" s="1"/>
  <c r="BY60" i="30" a="1"/>
  <c r="BY60" i="30" s="1"/>
  <c r="BZ60" i="30" a="1"/>
  <c r="BZ60" i="30" s="1"/>
  <c r="CA60" i="30" a="1"/>
  <c r="CA60" i="30" s="1"/>
  <c r="BC58" i="30" a="1"/>
  <c r="BC58" i="30" s="1"/>
  <c r="AU58" i="30" a="1"/>
  <c r="AU58" i="30" s="1"/>
  <c r="AM58" i="30" a="1"/>
  <c r="AM58" i="30" s="1"/>
  <c r="AK58" i="30" a="1"/>
  <c r="AK58" i="30" s="1"/>
  <c r="AZ58" i="30" a="1"/>
  <c r="AZ58" i="30" s="1"/>
  <c r="AG58" i="30" a="1"/>
  <c r="AG58" i="30" s="1"/>
  <c r="AQ58" i="30" a="1"/>
  <c r="AQ58" i="30" s="1"/>
  <c r="AS58" i="30" a="1"/>
  <c r="AS58" i="30" s="1"/>
  <c r="AN58" i="30" a="1"/>
  <c r="AN58" i="30" s="1"/>
  <c r="AV58" i="30" a="1"/>
  <c r="AV58" i="30" s="1"/>
  <c r="BB58" i="30" a="1"/>
  <c r="BB58" i="30" s="1"/>
  <c r="AP58" i="30" a="1"/>
  <c r="AP58" i="30" s="1"/>
  <c r="AH58" i="30" a="1"/>
  <c r="AH58" i="30" s="1"/>
  <c r="BF58" i="30" a="1"/>
  <c r="BF58" i="30" s="1"/>
  <c r="AT58" i="30" a="1"/>
  <c r="AT58" i="30" s="1"/>
  <c r="AX58" i="30" a="1"/>
  <c r="AX58" i="30" s="1"/>
  <c r="AL58" i="30" a="1"/>
  <c r="AL58" i="30" s="1"/>
  <c r="AR58" i="30" a="1"/>
  <c r="AR58" i="30" s="1"/>
  <c r="AW58" i="30" a="1"/>
  <c r="AW58" i="30" s="1"/>
  <c r="AO58" i="30" a="1"/>
  <c r="AO58" i="30" s="1"/>
  <c r="BA58" i="30" a="1"/>
  <c r="BA58" i="30" s="1"/>
  <c r="BE58" i="30" a="1"/>
  <c r="BE58" i="30" s="1"/>
  <c r="AY58" i="30" a="1"/>
  <c r="AY58" i="30" s="1"/>
  <c r="AJ58" i="30" a="1"/>
  <c r="AJ58" i="30" s="1"/>
  <c r="AI58" i="30" a="1"/>
  <c r="AI58" i="30" s="1"/>
  <c r="BD58" i="30" a="1"/>
  <c r="BD58" i="30" s="1"/>
  <c r="AF58" i="30" a="1"/>
  <c r="AF58" i="30" s="1"/>
  <c r="BG58" i="30" a="1"/>
  <c r="BG58" i="30" s="1"/>
  <c r="BH58" i="30" a="1"/>
  <c r="BH58" i="30" s="1"/>
  <c r="BI58" i="30" a="1"/>
  <c r="BI58" i="30" s="1"/>
  <c r="BJ58" i="30" a="1"/>
  <c r="BJ58" i="30" s="1"/>
  <c r="BK58" i="30" a="1"/>
  <c r="BK58" i="30" s="1"/>
  <c r="BL58" i="30" a="1"/>
  <c r="BL58" i="30" s="1"/>
  <c r="BM58" i="30" a="1"/>
  <c r="BM58" i="30" s="1"/>
  <c r="BN58" i="30" a="1"/>
  <c r="BN58" i="30" s="1"/>
  <c r="BO58" i="30" a="1"/>
  <c r="BO58" i="30" s="1"/>
  <c r="BP58" i="30" a="1"/>
  <c r="BP58" i="30" s="1"/>
  <c r="BQ58" i="30" a="1"/>
  <c r="BQ58" i="30" s="1"/>
  <c r="BR58" i="30" a="1"/>
  <c r="BR58" i="30" s="1"/>
  <c r="BS58" i="30" a="1"/>
  <c r="BS58" i="30" s="1"/>
  <c r="BT58" i="30" a="1"/>
  <c r="BT58" i="30" s="1"/>
  <c r="BU58" i="30" a="1"/>
  <c r="BU58" i="30" s="1"/>
  <c r="BV58" i="30" a="1"/>
  <c r="BV58" i="30" s="1"/>
  <c r="BW58" i="30" a="1"/>
  <c r="BW58" i="30" s="1"/>
  <c r="BX58" i="30" a="1"/>
  <c r="BX58" i="30" s="1"/>
  <c r="BY58" i="30" a="1"/>
  <c r="BY58" i="30" s="1"/>
  <c r="BZ58" i="30" a="1"/>
  <c r="BZ58" i="30" s="1"/>
  <c r="CA58" i="30" a="1"/>
  <c r="CA58" i="30" s="1"/>
  <c r="AQ56" i="30" a="1"/>
  <c r="AQ56" i="30" s="1"/>
  <c r="AI56" i="30" a="1"/>
  <c r="AI56" i="30" s="1"/>
  <c r="AH56" i="30" a="1"/>
  <c r="AH56" i="30" s="1"/>
  <c r="AO56" i="30" a="1"/>
  <c r="AO56" i="30" s="1"/>
  <c r="AL56" i="30" a="1"/>
  <c r="AL56" i="30" s="1"/>
  <c r="AG56" i="30" a="1"/>
  <c r="AG56" i="30" s="1"/>
  <c r="AS56" i="30" a="1"/>
  <c r="AS56" i="30" s="1"/>
  <c r="AV56" i="30" a="1"/>
  <c r="AV56" i="30" s="1"/>
  <c r="AN56" i="30" a="1"/>
  <c r="AN56" i="30" s="1"/>
  <c r="AX56" i="30" a="1"/>
  <c r="AX56" i="30" s="1"/>
  <c r="AF56" i="30" a="1"/>
  <c r="AF56" i="30" s="1"/>
  <c r="AM56" i="30" a="1"/>
  <c r="AM56" i="30" s="1"/>
  <c r="AP56" i="30" a="1"/>
  <c r="AP56" i="30" s="1"/>
  <c r="AK56" i="30" a="1"/>
  <c r="AK56" i="30" s="1"/>
  <c r="BC56" i="30" a="1"/>
  <c r="BC56" i="30" s="1"/>
  <c r="AW56" i="30" a="1"/>
  <c r="AW56" i="30" s="1"/>
  <c r="BA56" i="30" a="1"/>
  <c r="BA56" i="30" s="1"/>
  <c r="BE56" i="30" a="1"/>
  <c r="BE56" i="30" s="1"/>
  <c r="BB56" i="30" a="1"/>
  <c r="BB56" i="30" s="1"/>
  <c r="AT56" i="30" a="1"/>
  <c r="AT56" i="30" s="1"/>
  <c r="BD56" i="30" a="1"/>
  <c r="BD56" i="30" s="1"/>
  <c r="AZ56" i="30" a="1"/>
  <c r="AZ56" i="30" s="1"/>
  <c r="AU56" i="30" a="1"/>
  <c r="AU56" i="30" s="1"/>
  <c r="AY56" i="30" a="1"/>
  <c r="AY56" i="30" s="1"/>
  <c r="AR56" i="30" a="1"/>
  <c r="AR56" i="30" s="1"/>
  <c r="AJ56" i="30" a="1"/>
  <c r="AJ56" i="30" s="1"/>
  <c r="BF56" i="30" a="1"/>
  <c r="BF56" i="30" s="1"/>
  <c r="BG56" i="30" a="1"/>
  <c r="BG56" i="30" s="1"/>
  <c r="BH56" i="30" a="1"/>
  <c r="BH56" i="30" s="1"/>
  <c r="BI56" i="30" a="1"/>
  <c r="BI56" i="30" s="1"/>
  <c r="BJ56" i="30" a="1"/>
  <c r="BJ56" i="30" s="1"/>
  <c r="BK56" i="30" a="1"/>
  <c r="BK56" i="30" s="1"/>
  <c r="BL56" i="30" a="1"/>
  <c r="BL56" i="30" s="1"/>
  <c r="BM56" i="30" a="1"/>
  <c r="BM56" i="30" s="1"/>
  <c r="BN56" i="30" a="1"/>
  <c r="BN56" i="30" s="1"/>
  <c r="BO56" i="30" a="1"/>
  <c r="BO56" i="30" s="1"/>
  <c r="BP56" i="30" a="1"/>
  <c r="BP56" i="30" s="1"/>
  <c r="BQ56" i="30" a="1"/>
  <c r="BQ56" i="30" s="1"/>
  <c r="BR56" i="30" a="1"/>
  <c r="BR56" i="30" s="1"/>
  <c r="BS56" i="30" a="1"/>
  <c r="BS56" i="30" s="1"/>
  <c r="BT56" i="30" a="1"/>
  <c r="BT56" i="30" s="1"/>
  <c r="BU56" i="30" a="1"/>
  <c r="BU56" i="30" s="1"/>
  <c r="BV56" i="30" a="1"/>
  <c r="BV56" i="30" s="1"/>
  <c r="BW56" i="30" a="1"/>
  <c r="BW56" i="30" s="1"/>
  <c r="BX56" i="30" a="1"/>
  <c r="BX56" i="30" s="1"/>
  <c r="BY56" i="30" a="1"/>
  <c r="BY56" i="30" s="1"/>
  <c r="BZ56" i="30" a="1"/>
  <c r="BZ56" i="30" s="1"/>
  <c r="CA56" i="30" a="1"/>
  <c r="CA56" i="30" s="1"/>
  <c r="AH54" i="30" a="1"/>
  <c r="AH54" i="30" s="1"/>
  <c r="AJ54" i="30" a="1"/>
  <c r="AJ54" i="30" s="1"/>
  <c r="AO54" i="30" a="1"/>
  <c r="AO54" i="30" s="1"/>
  <c r="AL54" i="30" a="1"/>
  <c r="AL54" i="30" s="1"/>
  <c r="AS54" i="30" a="1"/>
  <c r="AS54" i="30" s="1"/>
  <c r="AZ54" i="30" a="1"/>
  <c r="AZ54" i="30" s="1"/>
  <c r="AW54" i="30" a="1"/>
  <c r="AW54" i="30" s="1"/>
  <c r="AY54" i="30" a="1"/>
  <c r="AY54" i="30" s="1"/>
  <c r="AQ54" i="30" a="1"/>
  <c r="AQ54" i="30" s="1"/>
  <c r="AM54" i="30" a="1"/>
  <c r="AM54" i="30" s="1"/>
  <c r="AG54" i="30" a="1"/>
  <c r="AG54" i="30" s="1"/>
  <c r="AV54" i="30" a="1"/>
  <c r="AV54" i="30" s="1"/>
  <c r="AI54" i="30" a="1"/>
  <c r="AI54" i="30" s="1"/>
  <c r="AN54" i="30" a="1"/>
  <c r="AN54" i="30" s="1"/>
  <c r="AF54" i="30" a="1"/>
  <c r="AF54" i="30" s="1"/>
  <c r="AT54" i="30" a="1"/>
  <c r="AT54" i="30" s="1"/>
  <c r="AU54" i="30" a="1"/>
  <c r="AU54" i="30" s="1"/>
  <c r="BA54" i="30" a="1"/>
  <c r="BA54" i="30" s="1"/>
  <c r="AK54" i="30" a="1"/>
  <c r="AK54" i="30" s="1"/>
  <c r="AX54" i="30" a="1"/>
  <c r="AX54" i="30" s="1"/>
  <c r="AP54" i="30" a="1"/>
  <c r="AP54" i="30" s="1"/>
  <c r="AR54" i="30" a="1"/>
  <c r="AR54" i="30" s="1"/>
  <c r="BB54" i="30" a="1"/>
  <c r="BB54" i="30" s="1"/>
  <c r="BC54" i="30" a="1"/>
  <c r="BC54" i="30" s="1"/>
  <c r="BD54" i="30" a="1"/>
  <c r="BD54" i="30" s="1"/>
  <c r="BE54" i="30" a="1"/>
  <c r="BE54" i="30" s="1"/>
  <c r="BF54" i="30" a="1"/>
  <c r="BF54" i="30" s="1"/>
  <c r="BG54" i="30" a="1"/>
  <c r="BG54" i="30" s="1"/>
  <c r="BH54" i="30" a="1"/>
  <c r="BH54" i="30" s="1"/>
  <c r="BI54" i="30" a="1"/>
  <c r="BI54" i="30" s="1"/>
  <c r="BJ54" i="30" a="1"/>
  <c r="BJ54" i="30" s="1"/>
  <c r="BK54" i="30" a="1"/>
  <c r="BK54" i="30" s="1"/>
  <c r="BL54" i="30" a="1"/>
  <c r="BL54" i="30" s="1"/>
  <c r="BM54" i="30" a="1"/>
  <c r="BM54" i="30" s="1"/>
  <c r="BN54" i="30" a="1"/>
  <c r="BN54" i="30" s="1"/>
  <c r="BO54" i="30" a="1"/>
  <c r="BO54" i="30" s="1"/>
  <c r="BP54" i="30" a="1"/>
  <c r="BP54" i="30" s="1"/>
  <c r="BQ54" i="30" a="1"/>
  <c r="BQ54" i="30" s="1"/>
  <c r="BR54" i="30" a="1"/>
  <c r="BR54" i="30" s="1"/>
  <c r="BS54" i="30" a="1"/>
  <c r="BS54" i="30" s="1"/>
  <c r="BT54" i="30" a="1"/>
  <c r="BT54" i="30" s="1"/>
  <c r="BU54" i="30" a="1"/>
  <c r="BU54" i="30" s="1"/>
  <c r="BV54" i="30" a="1"/>
  <c r="BV54" i="30" s="1"/>
  <c r="BW54" i="30" a="1"/>
  <c r="BW54" i="30" s="1"/>
  <c r="BX54" i="30" a="1"/>
  <c r="BX54" i="30" s="1"/>
  <c r="BY54" i="30" a="1"/>
  <c r="BY54" i="30" s="1"/>
  <c r="BZ54" i="30" a="1"/>
  <c r="BZ54" i="30" s="1"/>
  <c r="CA54" i="30" a="1"/>
  <c r="CA54" i="30" s="1"/>
  <c r="AO52" i="30" a="1"/>
  <c r="AO52" i="30" s="1"/>
  <c r="AM52" i="30" a="1"/>
  <c r="AM52" i="30" s="1"/>
  <c r="AR52" i="30" a="1"/>
  <c r="AR52" i="30" s="1"/>
  <c r="AG52" i="30" a="1"/>
  <c r="AG52" i="30" s="1"/>
  <c r="AV52" i="30" a="1"/>
  <c r="AV52" i="30" s="1"/>
  <c r="AT52" i="30" a="1"/>
  <c r="AT52" i="30" s="1"/>
  <c r="AL52" i="30" a="1"/>
  <c r="AL52" i="30" s="1"/>
  <c r="AN52" i="30" a="1"/>
  <c r="AN52" i="30" s="1"/>
  <c r="AF52" i="30" a="1"/>
  <c r="AF52" i="30" s="1"/>
  <c r="AK52" i="30" a="1"/>
  <c r="AK52" i="30" s="1"/>
  <c r="AU52" i="30" a="1"/>
  <c r="AU52" i="30" s="1"/>
  <c r="AS52" i="30" a="1"/>
  <c r="AS52" i="30" s="1"/>
  <c r="AZ52" i="30" a="1"/>
  <c r="AZ52" i="30" s="1"/>
  <c r="AJ52" i="30" a="1"/>
  <c r="AJ52" i="30" s="1"/>
  <c r="AY52" i="30" a="1"/>
  <c r="AY52" i="30" s="1"/>
  <c r="AH52" i="30" a="1"/>
  <c r="AH52" i="30" s="1"/>
  <c r="AQ52" i="30" a="1"/>
  <c r="AQ52" i="30" s="1"/>
  <c r="AW52" i="30" a="1"/>
  <c r="AW52" i="30" s="1"/>
  <c r="AI52" i="30" a="1"/>
  <c r="AI52" i="30" s="1"/>
  <c r="AX52" i="30" a="1"/>
  <c r="AX52" i="30" s="1"/>
  <c r="AP52" i="30" a="1"/>
  <c r="AP52" i="30" s="1"/>
  <c r="BA52" i="30" a="1"/>
  <c r="BA52" i="30" s="1"/>
  <c r="BB52" i="30" a="1"/>
  <c r="BB52" i="30" s="1"/>
  <c r="BC52" i="30" a="1"/>
  <c r="BC52" i="30" s="1"/>
  <c r="BD52" i="30" a="1"/>
  <c r="BD52" i="30" s="1"/>
  <c r="BE52" i="30" a="1"/>
  <c r="BE52" i="30" s="1"/>
  <c r="BF52" i="30" a="1"/>
  <c r="BF52" i="30" s="1"/>
  <c r="BG52" i="30" a="1"/>
  <c r="BG52" i="30" s="1"/>
  <c r="BH52" i="30" a="1"/>
  <c r="BH52" i="30" s="1"/>
  <c r="BI52" i="30" a="1"/>
  <c r="BI52" i="30" s="1"/>
  <c r="BJ52" i="30" a="1"/>
  <c r="BJ52" i="30" s="1"/>
  <c r="BK52" i="30" a="1"/>
  <c r="BK52" i="30" s="1"/>
  <c r="BL52" i="30" a="1"/>
  <c r="BL52" i="30" s="1"/>
  <c r="BM52" i="30" a="1"/>
  <c r="BM52" i="30" s="1"/>
  <c r="BN52" i="30" a="1"/>
  <c r="BN52" i="30" s="1"/>
  <c r="BO52" i="30" a="1"/>
  <c r="BO52" i="30" s="1"/>
  <c r="BP52" i="30" a="1"/>
  <c r="BP52" i="30" s="1"/>
  <c r="BQ52" i="30" a="1"/>
  <c r="BQ52" i="30" s="1"/>
  <c r="BR52" i="30" a="1"/>
  <c r="BR52" i="30" s="1"/>
  <c r="BS52" i="30" a="1"/>
  <c r="BS52" i="30" s="1"/>
  <c r="BT52" i="30" a="1"/>
  <c r="BT52" i="30" s="1"/>
  <c r="BU52" i="30" a="1"/>
  <c r="BU52" i="30" s="1"/>
  <c r="BV52" i="30" a="1"/>
  <c r="BV52" i="30" s="1"/>
  <c r="BW52" i="30" a="1"/>
  <c r="BW52" i="30" s="1"/>
  <c r="BX52" i="30" a="1"/>
  <c r="BX52" i="30" s="1"/>
  <c r="BY52" i="30" a="1"/>
  <c r="BY52" i="30" s="1"/>
  <c r="BZ52" i="30" a="1"/>
  <c r="BZ52" i="30" s="1"/>
  <c r="CA52" i="30" a="1"/>
  <c r="CA52" i="30" s="1"/>
  <c r="AS50" i="30" a="1"/>
  <c r="AS50" i="30" s="1"/>
  <c r="AK50" i="30" a="1"/>
  <c r="AK50" i="30" s="1"/>
  <c r="AR50" i="30" a="1"/>
  <c r="AR50" i="30" s="1"/>
  <c r="AJ50" i="30" a="1"/>
  <c r="AJ50" i="30" s="1"/>
  <c r="AI50" i="30" a="1"/>
  <c r="AI50" i="30" s="1"/>
  <c r="AW50" i="30" a="1"/>
  <c r="AW50" i="30" s="1"/>
  <c r="AP50" i="30" a="1"/>
  <c r="AP50" i="30" s="1"/>
  <c r="AH50" i="30" a="1"/>
  <c r="AH50" i="30" s="1"/>
  <c r="AV50" i="30" a="1"/>
  <c r="AV50" i="30" s="1"/>
  <c r="AO50" i="30" a="1"/>
  <c r="AO50" i="30" s="1"/>
  <c r="AG50" i="30" a="1"/>
  <c r="AG50" i="30" s="1"/>
  <c r="AN50" i="30" a="1"/>
  <c r="AN50" i="30" s="1"/>
  <c r="AF50" i="30" a="1"/>
  <c r="AF50" i="30" s="1"/>
  <c r="AL50" i="30" a="1"/>
  <c r="AL50" i="30" s="1"/>
  <c r="AU50" i="30" a="1"/>
  <c r="AU50" i="30" s="1"/>
  <c r="AM50" i="30" a="1"/>
  <c r="AM50" i="30" s="1"/>
  <c r="AT50" i="30" a="1"/>
  <c r="AT50" i="30" s="1"/>
  <c r="AQ50" i="30" a="1"/>
  <c r="AQ50" i="30" s="1"/>
  <c r="AX50" i="30" a="1"/>
  <c r="AX50" i="30" s="1"/>
  <c r="AY50" i="30" a="1"/>
  <c r="AY50" i="30" s="1"/>
  <c r="AZ50" i="30" a="1"/>
  <c r="AZ50" i="30" s="1"/>
  <c r="BA50" i="30" a="1"/>
  <c r="BA50" i="30" s="1"/>
  <c r="BB50" i="30" a="1"/>
  <c r="BB50" i="30" s="1"/>
  <c r="BC50" i="30" a="1"/>
  <c r="BC50" i="30" s="1"/>
  <c r="BD50" i="30" a="1"/>
  <c r="BD50" i="30" s="1"/>
  <c r="BE50" i="30" a="1"/>
  <c r="BE50" i="30" s="1"/>
  <c r="BF50" i="30" a="1"/>
  <c r="BF50" i="30" s="1"/>
  <c r="BG50" i="30" a="1"/>
  <c r="BG50" i="30" s="1"/>
  <c r="BH50" i="30" a="1"/>
  <c r="BH50" i="30" s="1"/>
  <c r="BI50" i="30" a="1"/>
  <c r="BI50" i="30" s="1"/>
  <c r="BJ50" i="30" a="1"/>
  <c r="BJ50" i="30" s="1"/>
  <c r="BK50" i="30" a="1"/>
  <c r="BK50" i="30" s="1"/>
  <c r="BL50" i="30" a="1"/>
  <c r="BL50" i="30" s="1"/>
  <c r="BM50" i="30" a="1"/>
  <c r="BM50" i="30" s="1"/>
  <c r="BN50" i="30" a="1"/>
  <c r="BN50" i="30" s="1"/>
  <c r="BO50" i="30" a="1"/>
  <c r="BO50" i="30" s="1"/>
  <c r="BP50" i="30" a="1"/>
  <c r="BP50" i="30" s="1"/>
  <c r="BQ50" i="30" a="1"/>
  <c r="BQ50" i="30" s="1"/>
  <c r="BR50" i="30" a="1"/>
  <c r="BR50" i="30" s="1"/>
  <c r="BS50" i="30" a="1"/>
  <c r="BS50" i="30" s="1"/>
  <c r="BT50" i="30" a="1"/>
  <c r="BT50" i="30" s="1"/>
  <c r="BU50" i="30" a="1"/>
  <c r="BU50" i="30" s="1"/>
  <c r="BV50" i="30" a="1"/>
  <c r="BV50" i="30" s="1"/>
  <c r="BW50" i="30" a="1"/>
  <c r="BW50" i="30" s="1"/>
  <c r="BX50" i="30" a="1"/>
  <c r="BX50" i="30" s="1"/>
  <c r="BY50" i="30" a="1"/>
  <c r="BY50" i="30" s="1"/>
  <c r="BZ50" i="30" a="1"/>
  <c r="BZ50" i="30" s="1"/>
  <c r="CA50" i="30" a="1"/>
  <c r="CA50" i="30" s="1"/>
  <c r="AF48" i="30" a="1"/>
  <c r="AF48" i="30" s="1"/>
  <c r="AN48" i="30" a="1"/>
  <c r="AN48" i="30" s="1"/>
  <c r="AU48" i="30" a="1"/>
  <c r="AU48" i="30" s="1"/>
  <c r="AT48" i="30" a="1"/>
  <c r="AT48" i="30" s="1"/>
  <c r="AL48" i="30" a="1"/>
  <c r="AL48" i="30" s="1"/>
  <c r="AS48" i="30" a="1"/>
  <c r="AS48" i="30" s="1"/>
  <c r="AM48" i="30" a="1"/>
  <c r="AM48" i="30" s="1"/>
  <c r="AK48" i="30" a="1"/>
  <c r="AK48" i="30" s="1"/>
  <c r="AJ48" i="30" a="1"/>
  <c r="AJ48" i="30" s="1"/>
  <c r="AQ48" i="30" a="1"/>
  <c r="AQ48" i="30" s="1"/>
  <c r="AR48" i="30" a="1"/>
  <c r="AR48" i="30" s="1"/>
  <c r="AP48" i="30" a="1"/>
  <c r="AP48" i="30" s="1"/>
  <c r="AH48" i="30" a="1"/>
  <c r="AH48" i="30" s="1"/>
  <c r="AG48" i="30" a="1"/>
  <c r="AG48" i="30" s="1"/>
  <c r="AI48" i="30" a="1"/>
  <c r="AI48" i="30" s="1"/>
  <c r="AO48" i="30" a="1"/>
  <c r="AO48" i="30" s="1"/>
  <c r="AV48" i="30" a="1"/>
  <c r="AV48" i="30" s="1"/>
  <c r="AW48" i="30" a="1"/>
  <c r="AW48" i="30" s="1"/>
  <c r="AX48" i="30" a="1"/>
  <c r="AX48" i="30" s="1"/>
  <c r="AY48" i="30" a="1"/>
  <c r="AY48" i="30" s="1"/>
  <c r="AZ48" i="30" a="1"/>
  <c r="AZ48" i="30" s="1"/>
  <c r="BA48" i="30" a="1"/>
  <c r="BA48" i="30" s="1"/>
  <c r="BB48" i="30" a="1"/>
  <c r="BB48" i="30" s="1"/>
  <c r="BC48" i="30" a="1"/>
  <c r="BC48" i="30" s="1"/>
  <c r="BD48" i="30" a="1"/>
  <c r="BD48" i="30" s="1"/>
  <c r="BE48" i="30" a="1"/>
  <c r="BE48" i="30" s="1"/>
  <c r="BF48" i="30" a="1"/>
  <c r="BF48" i="30" s="1"/>
  <c r="BG48" i="30" a="1"/>
  <c r="BG48" i="30" s="1"/>
  <c r="BH48" i="30" a="1"/>
  <c r="BH48" i="30" s="1"/>
  <c r="BI48" i="30" a="1"/>
  <c r="BI48" i="30" s="1"/>
  <c r="BJ48" i="30" a="1"/>
  <c r="BJ48" i="30" s="1"/>
  <c r="BK48" i="30" a="1"/>
  <c r="BK48" i="30" s="1"/>
  <c r="BL48" i="30" a="1"/>
  <c r="BL48" i="30" s="1"/>
  <c r="BM48" i="30" a="1"/>
  <c r="BM48" i="30" s="1"/>
  <c r="BN48" i="30" a="1"/>
  <c r="BN48" i="30" s="1"/>
  <c r="BO48" i="30" a="1"/>
  <c r="BO48" i="30" s="1"/>
  <c r="BP48" i="30" a="1"/>
  <c r="BP48" i="30" s="1"/>
  <c r="BQ48" i="30" a="1"/>
  <c r="BQ48" i="30" s="1"/>
  <c r="BR48" i="30" a="1"/>
  <c r="BR48" i="30" s="1"/>
  <c r="BS48" i="30" a="1"/>
  <c r="BS48" i="30" s="1"/>
  <c r="BT48" i="30" a="1"/>
  <c r="BT48" i="30" s="1"/>
  <c r="BU48" i="30" a="1"/>
  <c r="BU48" i="30" s="1"/>
  <c r="BV48" i="30" a="1"/>
  <c r="BV48" i="30" s="1"/>
  <c r="BW48" i="30" a="1"/>
  <c r="BW48" i="30" s="1"/>
  <c r="BX48" i="30" a="1"/>
  <c r="BX48" i="30" s="1"/>
  <c r="BY48" i="30" a="1"/>
  <c r="BY48" i="30" s="1"/>
  <c r="BZ48" i="30" a="1"/>
  <c r="BZ48" i="30" s="1"/>
  <c r="CA48" i="30" a="1"/>
  <c r="CA48" i="30" s="1"/>
  <c r="AH46" i="30" a="1"/>
  <c r="AH46" i="30" s="1"/>
  <c r="AF46" i="30" a="1"/>
  <c r="AF46" i="30" s="1"/>
  <c r="AG46" i="30" a="1"/>
  <c r="AG46" i="30" s="1"/>
  <c r="AN46" i="30" a="1"/>
  <c r="AN46" i="30" s="1"/>
  <c r="AJ46" i="30" a="1"/>
  <c r="AJ46" i="30" s="1"/>
  <c r="AO46" i="30" a="1"/>
  <c r="AO46" i="30" s="1"/>
  <c r="AQ46" i="30" a="1"/>
  <c r="AQ46" i="30" s="1"/>
  <c r="AI46" i="30" a="1"/>
  <c r="AI46" i="30" s="1"/>
  <c r="AS46" i="30" a="1"/>
  <c r="AS46" i="30" s="1"/>
  <c r="AP46" i="30" a="1"/>
  <c r="AP46" i="30" s="1"/>
  <c r="AL46" i="30" a="1"/>
  <c r="AL46" i="30" s="1"/>
  <c r="AM46" i="30" a="1"/>
  <c r="AM46" i="30" s="1"/>
  <c r="AK46" i="30" a="1"/>
  <c r="AK46" i="30" s="1"/>
  <c r="AR46" i="30" a="1"/>
  <c r="AR46" i="30" s="1"/>
  <c r="AT46" i="30" a="1"/>
  <c r="AT46" i="30" s="1"/>
  <c r="AU46" i="30" a="1"/>
  <c r="AU46" i="30" s="1"/>
  <c r="AV46" i="30" a="1"/>
  <c r="AV46" i="30" s="1"/>
  <c r="AW46" i="30" a="1"/>
  <c r="AW46" i="30" s="1"/>
  <c r="AX46" i="30" a="1"/>
  <c r="AX46" i="30" s="1"/>
  <c r="AY46" i="30" a="1"/>
  <c r="AY46" i="30" s="1"/>
  <c r="AZ46" i="30" a="1"/>
  <c r="AZ46" i="30" s="1"/>
  <c r="BA46" i="30" a="1"/>
  <c r="BA46" i="30" s="1"/>
  <c r="BB46" i="30" a="1"/>
  <c r="BB46" i="30" s="1"/>
  <c r="BC46" i="30" a="1"/>
  <c r="BC46" i="30" s="1"/>
  <c r="BD46" i="30" a="1"/>
  <c r="BD46" i="30" s="1"/>
  <c r="BE46" i="30" a="1"/>
  <c r="BE46" i="30" s="1"/>
  <c r="BF46" i="30" a="1"/>
  <c r="BF46" i="30" s="1"/>
  <c r="BG46" i="30" a="1"/>
  <c r="BG46" i="30" s="1"/>
  <c r="BH46" i="30" a="1"/>
  <c r="BH46" i="30" s="1"/>
  <c r="BI46" i="30" a="1"/>
  <c r="BI46" i="30" s="1"/>
  <c r="BJ46" i="30" a="1"/>
  <c r="BJ46" i="30" s="1"/>
  <c r="BK46" i="30" a="1"/>
  <c r="BK46" i="30" s="1"/>
  <c r="BL46" i="30" a="1"/>
  <c r="BL46" i="30" s="1"/>
  <c r="BM46" i="30" a="1"/>
  <c r="BM46" i="30" s="1"/>
  <c r="BN46" i="30" a="1"/>
  <c r="BN46" i="30" s="1"/>
  <c r="BO46" i="30" a="1"/>
  <c r="BO46" i="30" s="1"/>
  <c r="BP46" i="30" a="1"/>
  <c r="BP46" i="30" s="1"/>
  <c r="BQ46" i="30" a="1"/>
  <c r="BQ46" i="30" s="1"/>
  <c r="BR46" i="30" a="1"/>
  <c r="BR46" i="30" s="1"/>
  <c r="BS46" i="30" a="1"/>
  <c r="BS46" i="30" s="1"/>
  <c r="BT46" i="30" a="1"/>
  <c r="BT46" i="30" s="1"/>
  <c r="BU46" i="30" a="1"/>
  <c r="BU46" i="30" s="1"/>
  <c r="BV46" i="30" a="1"/>
  <c r="BV46" i="30" s="1"/>
  <c r="BW46" i="30" a="1"/>
  <c r="BW46" i="30" s="1"/>
  <c r="BX46" i="30" a="1"/>
  <c r="BX46" i="30" s="1"/>
  <c r="BY46" i="30" a="1"/>
  <c r="BY46" i="30" s="1"/>
  <c r="BZ46" i="30" a="1"/>
  <c r="BZ46" i="30" s="1"/>
  <c r="CA46" i="30" a="1"/>
  <c r="CA46" i="30" s="1"/>
  <c r="AO42" i="30" a="1"/>
  <c r="AO42" i="30" s="1"/>
  <c r="AH42" i="30" a="1"/>
  <c r="AH42" i="30" s="1"/>
  <c r="AG42" i="30" a="1"/>
  <c r="AG42" i="30" s="1"/>
  <c r="AN42" i="30" a="1"/>
  <c r="AN42" i="30" s="1"/>
  <c r="AF42" i="30" a="1"/>
  <c r="AF42" i="30" s="1"/>
  <c r="AM42" i="30" a="1"/>
  <c r="AM42" i="30" s="1"/>
  <c r="AL42" i="30" a="1"/>
  <c r="AL42" i="30" s="1"/>
  <c r="AK42" i="30" a="1"/>
  <c r="AK42" i="30" s="1"/>
  <c r="AJ42" i="30" a="1"/>
  <c r="AJ42" i="30" s="1"/>
  <c r="AI42" i="30" a="1"/>
  <c r="AI42" i="30" s="1"/>
  <c r="AP42" i="30" a="1"/>
  <c r="AP42" i="30" s="1"/>
  <c r="AQ42" i="30" a="1"/>
  <c r="AQ42" i="30" s="1"/>
  <c r="AR42" i="30" a="1"/>
  <c r="AR42" i="30" s="1"/>
  <c r="AS42" i="30" a="1"/>
  <c r="AS42" i="30" s="1"/>
  <c r="AT42" i="30" a="1"/>
  <c r="AT42" i="30" s="1"/>
  <c r="AU42" i="30" a="1"/>
  <c r="AU42" i="30" s="1"/>
  <c r="AV42" i="30" a="1"/>
  <c r="AV42" i="30" s="1"/>
  <c r="AW42" i="30" a="1"/>
  <c r="AW42" i="30" s="1"/>
  <c r="AX42" i="30" a="1"/>
  <c r="AX42" i="30" s="1"/>
  <c r="AY42" i="30" a="1"/>
  <c r="AY42" i="30" s="1"/>
  <c r="AZ42" i="30" a="1"/>
  <c r="AZ42" i="30" s="1"/>
  <c r="BA42" i="30" a="1"/>
  <c r="BA42" i="30" s="1"/>
  <c r="BB42" i="30" a="1"/>
  <c r="BB42" i="30" s="1"/>
  <c r="BC42" i="30" a="1"/>
  <c r="BC42" i="30" s="1"/>
  <c r="BD42" i="30" a="1"/>
  <c r="BD42" i="30" s="1"/>
  <c r="BE42" i="30" a="1"/>
  <c r="BE42" i="30" s="1"/>
  <c r="BF42" i="30" a="1"/>
  <c r="BF42" i="30" s="1"/>
  <c r="BG42" i="30" a="1"/>
  <c r="BG42" i="30" s="1"/>
  <c r="BH42" i="30" a="1"/>
  <c r="BH42" i="30" s="1"/>
  <c r="BI42" i="30" a="1"/>
  <c r="BI42" i="30" s="1"/>
  <c r="BJ42" i="30" a="1"/>
  <c r="BJ42" i="30" s="1"/>
  <c r="BK42" i="30" a="1"/>
  <c r="BK42" i="30" s="1"/>
  <c r="BL42" i="30" a="1"/>
  <c r="BL42" i="30" s="1"/>
  <c r="BM42" i="30" a="1"/>
  <c r="BM42" i="30" s="1"/>
  <c r="BN42" i="30" a="1"/>
  <c r="BN42" i="30" s="1"/>
  <c r="BO42" i="30" a="1"/>
  <c r="BO42" i="30" s="1"/>
  <c r="BP42" i="30" a="1"/>
  <c r="BP42" i="30" s="1"/>
  <c r="BQ42" i="30" a="1"/>
  <c r="BQ42" i="30" s="1"/>
  <c r="BR42" i="30" a="1"/>
  <c r="BR42" i="30" s="1"/>
  <c r="BS42" i="30" a="1"/>
  <c r="BS42" i="30" s="1"/>
  <c r="BT42" i="30" a="1"/>
  <c r="BT42" i="30" s="1"/>
  <c r="BU42" i="30" a="1"/>
  <c r="BU42" i="30" s="1"/>
  <c r="BV42" i="30" a="1"/>
  <c r="BV42" i="30" s="1"/>
  <c r="BW42" i="30" a="1"/>
  <c r="BW42" i="30" s="1"/>
  <c r="BX42" i="30" a="1"/>
  <c r="BX42" i="30" s="1"/>
  <c r="BY42" i="30" a="1"/>
  <c r="BY42" i="30" s="1"/>
  <c r="BZ42" i="30" a="1"/>
  <c r="BZ42" i="30" s="1"/>
  <c r="CA42" i="30" a="1"/>
  <c r="CA42" i="30" s="1"/>
  <c r="AJ40" i="30" a="1"/>
  <c r="AJ40" i="30" s="1"/>
  <c r="AH40" i="30" a="1"/>
  <c r="AH40" i="30" s="1"/>
  <c r="AM40" i="30" a="1"/>
  <c r="AM40" i="30" s="1"/>
  <c r="AL40" i="30" a="1"/>
  <c r="AL40" i="30" s="1"/>
  <c r="AG40" i="30" a="1"/>
  <c r="AG40" i="30" s="1"/>
  <c r="AK40" i="30" a="1"/>
  <c r="AK40" i="30" s="1"/>
  <c r="AN40" i="30" a="1"/>
  <c r="AN40" i="30" s="1"/>
  <c r="AI40" i="30" a="1"/>
  <c r="AI40" i="30" s="1"/>
  <c r="AF40" i="30" a="1"/>
  <c r="AF40" i="30" s="1"/>
  <c r="AO40" i="30" a="1"/>
  <c r="AO40" i="30" s="1"/>
  <c r="AP40" i="30" a="1"/>
  <c r="AP40" i="30" s="1"/>
  <c r="AQ40" i="30" a="1"/>
  <c r="AQ40" i="30" s="1"/>
  <c r="AR40" i="30" a="1"/>
  <c r="AR40" i="30" s="1"/>
  <c r="AS40" i="30" a="1"/>
  <c r="AS40" i="30" s="1"/>
  <c r="AT40" i="30" a="1"/>
  <c r="AT40" i="30" s="1"/>
  <c r="AU40" i="30" a="1"/>
  <c r="AU40" i="30" s="1"/>
  <c r="AV40" i="30" a="1"/>
  <c r="AV40" i="30" s="1"/>
  <c r="AW40" i="30" a="1"/>
  <c r="AW40" i="30" s="1"/>
  <c r="AX40" i="30" a="1"/>
  <c r="AX40" i="30" s="1"/>
  <c r="AY40" i="30" a="1"/>
  <c r="AY40" i="30" s="1"/>
  <c r="AZ40" i="30" a="1"/>
  <c r="AZ40" i="30" s="1"/>
  <c r="BA40" i="30" a="1"/>
  <c r="BA40" i="30" s="1"/>
  <c r="BB40" i="30" a="1"/>
  <c r="BB40" i="30" s="1"/>
  <c r="BC40" i="30" a="1"/>
  <c r="BC40" i="30" s="1"/>
  <c r="BD40" i="30" a="1"/>
  <c r="BD40" i="30" s="1"/>
  <c r="BE40" i="30" a="1"/>
  <c r="BE40" i="30" s="1"/>
  <c r="BF40" i="30" a="1"/>
  <c r="BF40" i="30" s="1"/>
  <c r="BG40" i="30" a="1"/>
  <c r="BG40" i="30" s="1"/>
  <c r="BH40" i="30" a="1"/>
  <c r="BH40" i="30" s="1"/>
  <c r="BI40" i="30" a="1"/>
  <c r="BI40" i="30" s="1"/>
  <c r="BJ40" i="30" a="1"/>
  <c r="BJ40" i="30" s="1"/>
  <c r="BK40" i="30" a="1"/>
  <c r="BK40" i="30" s="1"/>
  <c r="BL40" i="30" a="1"/>
  <c r="BL40" i="30" s="1"/>
  <c r="BM40" i="30" a="1"/>
  <c r="BM40" i="30" s="1"/>
  <c r="BN40" i="30" a="1"/>
  <c r="BN40" i="30" s="1"/>
  <c r="BO40" i="30" a="1"/>
  <c r="BO40" i="30" s="1"/>
  <c r="BP40" i="30" a="1"/>
  <c r="BP40" i="30" s="1"/>
  <c r="BQ40" i="30" a="1"/>
  <c r="BQ40" i="30" s="1"/>
  <c r="BR40" i="30" a="1"/>
  <c r="BR40" i="30" s="1"/>
  <c r="BS40" i="30" a="1"/>
  <c r="BS40" i="30" s="1"/>
  <c r="BT40" i="30" a="1"/>
  <c r="BT40" i="30" s="1"/>
  <c r="BU40" i="30" a="1"/>
  <c r="BU40" i="30" s="1"/>
  <c r="BV40" i="30" a="1"/>
  <c r="BV40" i="30" s="1"/>
  <c r="BW40" i="30" a="1"/>
  <c r="BW40" i="30" s="1"/>
  <c r="BX40" i="30" a="1"/>
  <c r="BX40" i="30" s="1"/>
  <c r="BY40" i="30" a="1"/>
  <c r="BY40" i="30" s="1"/>
  <c r="BZ40" i="30" a="1"/>
  <c r="BZ40" i="30" s="1"/>
  <c r="CA40" i="30" a="1"/>
  <c r="CA40" i="30" s="1"/>
  <c r="AK38" i="30" a="1"/>
  <c r="AK38" i="30" s="1"/>
  <c r="AJ38" i="30" a="1"/>
  <c r="AJ38" i="30" s="1"/>
  <c r="AF38" i="30" a="1"/>
  <c r="AF38" i="30" s="1"/>
  <c r="AI38" i="30" a="1"/>
  <c r="AI38" i="30" s="1"/>
  <c r="AH38" i="30" a="1"/>
  <c r="AH38" i="30" s="1"/>
  <c r="AG38" i="30" a="1"/>
  <c r="AG38" i="30" s="1"/>
  <c r="AL38" i="30" a="1"/>
  <c r="AL38" i="30" s="1"/>
  <c r="AM38" i="30" a="1"/>
  <c r="AM38" i="30" s="1"/>
  <c r="AN38" i="30" a="1"/>
  <c r="AN38" i="30" s="1"/>
  <c r="AO38" i="30" a="1"/>
  <c r="AO38" i="30" s="1"/>
  <c r="AP38" i="30" a="1"/>
  <c r="AP38" i="30" s="1"/>
  <c r="AQ38" i="30" a="1"/>
  <c r="AQ38" i="30" s="1"/>
  <c r="AR38" i="30" a="1"/>
  <c r="AR38" i="30" s="1"/>
  <c r="AS38" i="30" a="1"/>
  <c r="AS38" i="30" s="1"/>
  <c r="AT38" i="30" a="1"/>
  <c r="AT38" i="30" s="1"/>
  <c r="AU38" i="30" a="1"/>
  <c r="AU38" i="30" s="1"/>
  <c r="AV38" i="30" a="1"/>
  <c r="AV38" i="30" s="1"/>
  <c r="AW38" i="30" a="1"/>
  <c r="AW38" i="30" s="1"/>
  <c r="AX38" i="30" a="1"/>
  <c r="AX38" i="30" s="1"/>
  <c r="AY38" i="30" a="1"/>
  <c r="AY38" i="30" s="1"/>
  <c r="AZ38" i="30" a="1"/>
  <c r="AZ38" i="30" s="1"/>
  <c r="BA38" i="30" a="1"/>
  <c r="BA38" i="30" s="1"/>
  <c r="BB38" i="30" a="1"/>
  <c r="BB38" i="30" s="1"/>
  <c r="BC38" i="30" a="1"/>
  <c r="BC38" i="30" s="1"/>
  <c r="BD38" i="30" a="1"/>
  <c r="BD38" i="30" s="1"/>
  <c r="BE38" i="30" a="1"/>
  <c r="BE38" i="30" s="1"/>
  <c r="BF38" i="30" a="1"/>
  <c r="BF38" i="30" s="1"/>
  <c r="BG38" i="30" a="1"/>
  <c r="BG38" i="30" s="1"/>
  <c r="BH38" i="30" a="1"/>
  <c r="BH38" i="30" s="1"/>
  <c r="BI38" i="30" a="1"/>
  <c r="BI38" i="30" s="1"/>
  <c r="BJ38" i="30" a="1"/>
  <c r="BJ38" i="30" s="1"/>
  <c r="BK38" i="30" a="1"/>
  <c r="BK38" i="30" s="1"/>
  <c r="BL38" i="30" a="1"/>
  <c r="BL38" i="30" s="1"/>
  <c r="BM38" i="30" a="1"/>
  <c r="BM38" i="30" s="1"/>
  <c r="BN38" i="30" a="1"/>
  <c r="BN38" i="30" s="1"/>
  <c r="BO38" i="30" a="1"/>
  <c r="BO38" i="30" s="1"/>
  <c r="BP38" i="30" a="1"/>
  <c r="BP38" i="30" s="1"/>
  <c r="BQ38" i="30" a="1"/>
  <c r="BQ38" i="30" s="1"/>
  <c r="BR38" i="30" a="1"/>
  <c r="BR38" i="30" s="1"/>
  <c r="BS38" i="30" a="1"/>
  <c r="BS38" i="30" s="1"/>
  <c r="BT38" i="30" a="1"/>
  <c r="BT38" i="30" s="1"/>
  <c r="BU38" i="30" a="1"/>
  <c r="BU38" i="30" s="1"/>
  <c r="BV38" i="30" a="1"/>
  <c r="BV38" i="30" s="1"/>
  <c r="BW38" i="30" a="1"/>
  <c r="BW38" i="30" s="1"/>
  <c r="BX38" i="30" a="1"/>
  <c r="BX38" i="30" s="1"/>
  <c r="BY38" i="30" a="1"/>
  <c r="BY38" i="30" s="1"/>
  <c r="BZ38" i="30" a="1"/>
  <c r="BZ38" i="30" s="1"/>
  <c r="CA38" i="30" a="1"/>
  <c r="CA38" i="30" s="1"/>
  <c r="AR99" i="22"/>
  <c r="AS99" i="22"/>
  <c r="AT99" i="22"/>
  <c r="AU99" i="22"/>
  <c r="AV99" i="22"/>
  <c r="AW99" i="22"/>
  <c r="AX99" i="22"/>
  <c r="AY99" i="22"/>
  <c r="AZ99" i="22"/>
  <c r="BA99" i="22"/>
  <c r="BB99" i="22"/>
  <c r="BC99" i="22"/>
  <c r="BD99" i="22"/>
  <c r="BE99" i="22"/>
  <c r="BF99" i="22"/>
  <c r="BG99" i="22"/>
  <c r="BH99" i="22"/>
  <c r="BI99" i="22"/>
  <c r="BJ99" i="22"/>
  <c r="BK99" i="22"/>
  <c r="AN44" i="22"/>
  <c r="AO44" i="22"/>
  <c r="AP44" i="22"/>
  <c r="AQ44" i="22"/>
  <c r="AR44" i="22"/>
  <c r="AS44" i="22"/>
  <c r="AT44" i="22"/>
  <c r="AU44" i="22"/>
  <c r="AV44" i="22"/>
  <c r="AW44" i="22"/>
  <c r="AX44" i="22"/>
  <c r="AY44" i="22"/>
  <c r="AZ44" i="22"/>
  <c r="BA44" i="22"/>
  <c r="BB44" i="22"/>
  <c r="BC44" i="22"/>
  <c r="BD44" i="22"/>
  <c r="BE44" i="22"/>
  <c r="BF44" i="22"/>
  <c r="BG44" i="22"/>
  <c r="BH44" i="22"/>
  <c r="BI44" i="22"/>
  <c r="BJ44" i="22"/>
  <c r="BK44" i="22"/>
  <c r="BI25" i="31"/>
  <c r="H144" i="22"/>
  <c r="T144" i="22"/>
  <c r="BC110" i="22"/>
  <c r="BD110" i="22"/>
  <c r="BE110" i="22"/>
  <c r="BF110" i="22"/>
  <c r="BG110" i="22"/>
  <c r="BH110" i="22"/>
  <c r="BI110" i="22"/>
  <c r="BJ110" i="22"/>
  <c r="BK110" i="22"/>
  <c r="AZ87" i="30"/>
  <c r="T91" i="30"/>
  <c r="AV152" i="29"/>
  <c r="R155" i="29"/>
  <c r="AP97" i="22"/>
  <c r="AQ97" i="22"/>
  <c r="AR97" i="22"/>
  <c r="AS97" i="22"/>
  <c r="AT97" i="22"/>
  <c r="AU97" i="22"/>
  <c r="AV97" i="22"/>
  <c r="AW97" i="22"/>
  <c r="AX97" i="22"/>
  <c r="AY97" i="22"/>
  <c r="AZ97" i="22"/>
  <c r="BA97" i="22"/>
  <c r="BB97" i="22"/>
  <c r="BC97" i="22"/>
  <c r="BD97" i="22"/>
  <c r="BE97" i="22"/>
  <c r="BF97" i="22"/>
  <c r="BG97" i="22"/>
  <c r="BH97" i="22"/>
  <c r="BI97" i="22"/>
  <c r="BJ97" i="22"/>
  <c r="BK97" i="22"/>
  <c r="AP25" i="31"/>
  <c r="AG88" i="22"/>
  <c r="AH88" i="22"/>
  <c r="AI88" i="22"/>
  <c r="AJ88" i="22"/>
  <c r="AK88" i="22"/>
  <c r="AL88" i="22"/>
  <c r="AM88" i="22"/>
  <c r="AN88" i="22"/>
  <c r="AO88" i="22"/>
  <c r="AP88" i="22"/>
  <c r="AQ88" i="22"/>
  <c r="AR88" i="22"/>
  <c r="AS88" i="22"/>
  <c r="AT88" i="22"/>
  <c r="AU88" i="22"/>
  <c r="AV88" i="22"/>
  <c r="AW88" i="22"/>
  <c r="AX88" i="22"/>
  <c r="AY88" i="22"/>
  <c r="AZ88" i="22"/>
  <c r="BA88" i="22"/>
  <c r="BB88" i="22"/>
  <c r="BC88" i="22"/>
  <c r="BD88" i="22"/>
  <c r="BE88" i="22"/>
  <c r="BF88" i="22"/>
  <c r="BG88" i="22"/>
  <c r="BH88" i="22"/>
  <c r="BI88" i="22"/>
  <c r="BJ88" i="22"/>
  <c r="BK88" i="22"/>
  <c r="K6" i="8"/>
  <c r="K73" i="8"/>
  <c r="K47" i="8"/>
  <c r="K7" i="8"/>
  <c r="K15" i="8" s="1" a="1"/>
  <c r="K15" i="8" s="1"/>
  <c r="K10" i="8"/>
  <c r="K9" i="8"/>
  <c r="H19" i="3"/>
  <c r="M19" i="3"/>
  <c r="BY92" i="29"/>
  <c r="BZ92" i="29"/>
  <c r="AN106" i="29"/>
  <c r="AO106" i="29"/>
  <c r="AQ106" i="29"/>
  <c r="AP106" i="29"/>
  <c r="AR106" i="29"/>
  <c r="AS106" i="29"/>
  <c r="AT106" i="29"/>
  <c r="AU106" i="29"/>
  <c r="AV106" i="29"/>
  <c r="AW106" i="29"/>
  <c r="AX106" i="29"/>
  <c r="AY106" i="29"/>
  <c r="AZ106" i="29"/>
  <c r="BA106" i="29"/>
  <c r="BB106" i="29"/>
  <c r="BC106" i="29"/>
  <c r="BD106" i="29"/>
  <c r="BE106" i="29"/>
  <c r="BF106" i="29"/>
  <c r="BG106" i="29"/>
  <c r="BH106" i="29"/>
  <c r="BI106" i="29"/>
  <c r="BJ106" i="29"/>
  <c r="BK106" i="29"/>
  <c r="BL106" i="29"/>
  <c r="BM106" i="29"/>
  <c r="BN106" i="29"/>
  <c r="BO106" i="29"/>
  <c r="BP106" i="29"/>
  <c r="BQ106" i="29"/>
  <c r="BR106" i="29"/>
  <c r="BS106" i="29"/>
  <c r="BT106" i="29"/>
  <c r="BU106" i="29"/>
  <c r="BV106" i="29"/>
  <c r="BW106" i="29"/>
  <c r="BX106" i="29"/>
  <c r="BY106" i="29"/>
  <c r="BZ106" i="29"/>
  <c r="AH86" i="28"/>
  <c r="AI86" i="28"/>
  <c r="AJ86" i="28"/>
  <c r="AK86" i="28"/>
  <c r="AL86" i="28"/>
  <c r="AM86" i="28"/>
  <c r="AN86" i="28"/>
  <c r="AO86" i="28"/>
  <c r="BG66" i="30" a="1"/>
  <c r="BG66" i="30" s="1"/>
  <c r="AN66" i="30" a="1"/>
  <c r="AN66" i="30" s="1"/>
  <c r="AI66" i="30" a="1"/>
  <c r="AI66" i="30" s="1"/>
  <c r="AS66" i="30" a="1"/>
  <c r="AS66" i="30" s="1"/>
  <c r="AV66" i="30" a="1"/>
  <c r="AV66" i="30" s="1"/>
  <c r="AY66" i="30" a="1"/>
  <c r="AY66" i="30" s="1"/>
  <c r="AF66" i="30" a="1"/>
  <c r="AF66" i="30" s="1"/>
  <c r="BK66" i="30" a="1"/>
  <c r="BK66" i="30" s="1"/>
  <c r="AQ66" i="30" a="1"/>
  <c r="AQ66" i="30" s="1"/>
  <c r="BC66" i="30" a="1"/>
  <c r="BC66" i="30" s="1"/>
  <c r="BH66" i="30" a="1"/>
  <c r="BH66" i="30" s="1"/>
  <c r="BF66" i="30" a="1"/>
  <c r="BF66" i="30" s="1"/>
  <c r="AU66" i="30" a="1"/>
  <c r="AU66" i="30" s="1"/>
  <c r="BM66" i="30" a="1"/>
  <c r="BM66" i="30" s="1"/>
  <c r="AT66" i="30" a="1"/>
  <c r="AT66" i="30" s="1"/>
  <c r="BE66" i="30" a="1"/>
  <c r="BE66" i="30" s="1"/>
  <c r="AW66" i="30" a="1"/>
  <c r="AW66" i="30" s="1"/>
  <c r="BD66" i="30" a="1"/>
  <c r="BD66" i="30" s="1"/>
  <c r="AX66" i="30" a="1"/>
  <c r="AX66" i="30" s="1"/>
  <c r="AM66" i="30" a="1"/>
  <c r="AM66" i="30" s="1"/>
  <c r="AP66" i="30" a="1"/>
  <c r="AP66" i="30" s="1"/>
  <c r="BJ66" i="30" a="1"/>
  <c r="BJ66" i="30" s="1"/>
  <c r="AH66" i="30" a="1"/>
  <c r="AH66" i="30" s="1"/>
  <c r="AL66" i="30" a="1"/>
  <c r="AL66" i="30" s="1"/>
  <c r="AG66" i="30" a="1"/>
  <c r="AG66" i="30" s="1"/>
  <c r="BB66" i="30" a="1"/>
  <c r="BB66" i="30" s="1"/>
  <c r="BI66" i="30" a="1"/>
  <c r="BI66" i="30" s="1"/>
  <c r="BA66" i="30" a="1"/>
  <c r="BA66" i="30" s="1"/>
  <c r="BL66" i="30" a="1"/>
  <c r="BL66" i="30" s="1"/>
  <c r="AO66" i="30" a="1"/>
  <c r="AO66" i="30" s="1"/>
  <c r="AZ66" i="30" a="1"/>
  <c r="AZ66" i="30" s="1"/>
  <c r="AK66" i="30" a="1"/>
  <c r="AK66" i="30" s="1"/>
  <c r="AR66" i="30" a="1"/>
  <c r="AR66" i="30" s="1"/>
  <c r="AJ66" i="30" a="1"/>
  <c r="AJ66" i="30" s="1"/>
  <c r="BN66" i="30" a="1"/>
  <c r="BN66" i="30" s="1"/>
  <c r="BO66" i="30" a="1"/>
  <c r="BO66" i="30" s="1"/>
  <c r="BP66" i="30" a="1"/>
  <c r="BP66" i="30" s="1"/>
  <c r="BQ66" i="30" a="1"/>
  <c r="BQ66" i="30" s="1"/>
  <c r="BR66" i="30" a="1"/>
  <c r="BR66" i="30" s="1"/>
  <c r="BS66" i="30" a="1"/>
  <c r="BS66" i="30" s="1"/>
  <c r="BT66" i="30" a="1"/>
  <c r="BT66" i="30" s="1"/>
  <c r="BU66" i="30" a="1"/>
  <c r="BU66" i="30" s="1"/>
  <c r="BV66" i="30" a="1"/>
  <c r="BV66" i="30" s="1"/>
  <c r="BW66" i="30" a="1"/>
  <c r="BW66" i="30" s="1"/>
  <c r="BX66" i="30" a="1"/>
  <c r="BX66" i="30" s="1"/>
  <c r="BY66" i="30" a="1"/>
  <c r="BY66" i="30" s="1"/>
  <c r="BZ66" i="30" a="1"/>
  <c r="BZ66" i="30" s="1"/>
  <c r="CA66" i="30" a="1"/>
  <c r="CA66" i="30" s="1"/>
  <c r="AU86" i="30"/>
  <c r="S86" i="30" s="1"/>
  <c r="S28" i="30"/>
  <c r="AF86" i="30"/>
  <c r="N28" i="30"/>
  <c r="H28" i="30"/>
  <c r="AY152" i="29"/>
  <c r="S155" i="29"/>
  <c r="AW87" i="30"/>
  <c r="S91" i="30"/>
  <c r="AP152" i="29"/>
  <c r="G155" i="29"/>
  <c r="P155" i="29"/>
  <c r="AO141" i="28"/>
  <c r="AP135" i="28"/>
  <c r="AN135" i="28"/>
  <c r="P135" i="28" s="1"/>
  <c r="AM141" i="28"/>
  <c r="O138" i="28"/>
  <c r="AK141" i="28"/>
  <c r="AL135" i="28"/>
  <c r="G10" i="3"/>
  <c r="G11" i="3"/>
  <c r="I9" i="3"/>
  <c r="BV89" i="29"/>
  <c r="BW89" i="29"/>
  <c r="BX89" i="29"/>
  <c r="BY89" i="29"/>
  <c r="BZ89" i="29"/>
  <c r="BS137" i="29"/>
  <c r="BT137" i="29"/>
  <c r="BU137" i="29"/>
  <c r="BV137" i="29"/>
  <c r="BW137" i="29"/>
  <c r="BX137" i="29"/>
  <c r="BY137" i="29"/>
  <c r="BZ137" i="29"/>
  <c r="BP134" i="29"/>
  <c r="BQ134" i="29"/>
  <c r="BR134" i="29"/>
  <c r="BS134" i="29"/>
  <c r="BT134" i="29"/>
  <c r="BU134" i="29"/>
  <c r="BV134" i="29"/>
  <c r="BW134" i="29"/>
  <c r="BX134" i="29"/>
  <c r="BY134" i="29"/>
  <c r="BZ134" i="29"/>
  <c r="BO133" i="29"/>
  <c r="BP133" i="29"/>
  <c r="BQ133" i="29"/>
  <c r="BR133" i="29"/>
  <c r="BS133" i="29"/>
  <c r="BT133" i="29"/>
  <c r="BU133" i="29"/>
  <c r="BV133" i="29"/>
  <c r="BW133" i="29"/>
  <c r="BX133" i="29"/>
  <c r="BY133" i="29"/>
  <c r="BZ133" i="29"/>
  <c r="AN41" i="28"/>
  <c r="AO41" i="28"/>
  <c r="AJ88" i="28"/>
  <c r="AK88" i="28"/>
  <c r="AL88" i="28"/>
  <c r="AM88" i="28"/>
  <c r="AN88" i="28"/>
  <c r="AO88" i="28"/>
  <c r="AG34" i="28"/>
  <c r="AH34" i="28"/>
  <c r="AI34" i="28"/>
  <c r="AJ34" i="28"/>
  <c r="AK34" i="28"/>
  <c r="AL34" i="28"/>
  <c r="AM34" i="28"/>
  <c r="AN34" i="28"/>
  <c r="AO34" i="28"/>
  <c r="BG86" i="30"/>
  <c r="W86" i="30" s="1"/>
  <c r="W28" i="30"/>
  <c r="AO86" i="30"/>
  <c r="Q86" i="30" s="1"/>
  <c r="Q28" i="30"/>
  <c r="AJ36" i="30" a="1"/>
  <c r="AJ36" i="30" s="1"/>
  <c r="AH36" i="30" a="1"/>
  <c r="AH36" i="30" s="1"/>
  <c r="AI36" i="30" a="1"/>
  <c r="AI36" i="30" s="1"/>
  <c r="AF36" i="30" a="1"/>
  <c r="AF36" i="30" s="1"/>
  <c r="AG36" i="30" a="1"/>
  <c r="AG36" i="30" s="1"/>
  <c r="AK36" i="30" a="1"/>
  <c r="AK36" i="30" s="1"/>
  <c r="AL36" i="30" a="1"/>
  <c r="AL36" i="30" s="1"/>
  <c r="AM36" i="30" a="1"/>
  <c r="AM36" i="30" s="1"/>
  <c r="AN36" i="30" a="1"/>
  <c r="AN36" i="30" s="1"/>
  <c r="AO36" i="30" a="1"/>
  <c r="AO36" i="30" s="1"/>
  <c r="AP36" i="30" a="1"/>
  <c r="AP36" i="30" s="1"/>
  <c r="AQ36" i="30" a="1"/>
  <c r="AQ36" i="30" s="1"/>
  <c r="AR36" i="30" a="1"/>
  <c r="AR36" i="30" s="1"/>
  <c r="AS36" i="30" a="1"/>
  <c r="AS36" i="30" s="1"/>
  <c r="AT36" i="30" a="1"/>
  <c r="AT36" i="30" s="1"/>
  <c r="AU36" i="30" a="1"/>
  <c r="AU36" i="30" s="1"/>
  <c r="AV36" i="30" a="1"/>
  <c r="AV36" i="30" s="1"/>
  <c r="AW36" i="30" a="1"/>
  <c r="AW36" i="30" s="1"/>
  <c r="AX36" i="30" a="1"/>
  <c r="AX36" i="30" s="1"/>
  <c r="AY36" i="30" a="1"/>
  <c r="AY36" i="30" s="1"/>
  <c r="AZ36" i="30" a="1"/>
  <c r="AZ36" i="30" s="1"/>
  <c r="BA36" i="30" a="1"/>
  <c r="BA36" i="30" s="1"/>
  <c r="BB36" i="30" a="1"/>
  <c r="BB36" i="30" s="1"/>
  <c r="BC36" i="30" a="1"/>
  <c r="BC36" i="30" s="1"/>
  <c r="BD36" i="30" a="1"/>
  <c r="BD36" i="30" s="1"/>
  <c r="BE36" i="30" a="1"/>
  <c r="BE36" i="30" s="1"/>
  <c r="BF36" i="30" a="1"/>
  <c r="BF36" i="30" s="1"/>
  <c r="BG36" i="30" a="1"/>
  <c r="BG36" i="30" s="1"/>
  <c r="BH36" i="30" a="1"/>
  <c r="BH36" i="30" s="1"/>
  <c r="BI36" i="30" a="1"/>
  <c r="BI36" i="30" s="1"/>
  <c r="BJ36" i="30" a="1"/>
  <c r="BJ36" i="30" s="1"/>
  <c r="BK36" i="30" a="1"/>
  <c r="BK36" i="30" s="1"/>
  <c r="BL36" i="30" a="1"/>
  <c r="BL36" i="30" s="1"/>
  <c r="BM36" i="30" a="1"/>
  <c r="BM36" i="30" s="1"/>
  <c r="BN36" i="30" a="1"/>
  <c r="BN36" i="30" s="1"/>
  <c r="BO36" i="30" a="1"/>
  <c r="BO36" i="30" s="1"/>
  <c r="BP36" i="30" a="1"/>
  <c r="BP36" i="30" s="1"/>
  <c r="BQ36" i="30" a="1"/>
  <c r="BQ36" i="30" s="1"/>
  <c r="BR36" i="30" a="1"/>
  <c r="BR36" i="30" s="1"/>
  <c r="BS36" i="30" a="1"/>
  <c r="BS36" i="30" s="1"/>
  <c r="BT36" i="30" a="1"/>
  <c r="BT36" i="30" s="1"/>
  <c r="BU36" i="30" a="1"/>
  <c r="BU36" i="30" s="1"/>
  <c r="BV36" i="30" a="1"/>
  <c r="BV36" i="30" s="1"/>
  <c r="BW36" i="30" a="1"/>
  <c r="BW36" i="30" s="1"/>
  <c r="BX36" i="30" a="1"/>
  <c r="BX36" i="30" s="1"/>
  <c r="BY36" i="30" a="1"/>
  <c r="BY36" i="30" s="1"/>
  <c r="BZ36" i="30" a="1"/>
  <c r="BZ36" i="30" s="1"/>
  <c r="CA36" i="30" a="1"/>
  <c r="CA36" i="30" s="1"/>
  <c r="BL99" i="22"/>
  <c r="BH152" i="29"/>
  <c r="V155" i="29"/>
  <c r="BK23" i="12"/>
  <c r="BK24" i="12" s="1"/>
  <c r="BJ23" i="12"/>
  <c r="BJ24" i="12" s="1"/>
  <c r="AW25" i="31"/>
  <c r="AT101" i="22"/>
  <c r="AU101" i="22"/>
  <c r="AV101" i="22"/>
  <c r="AW101" i="22"/>
  <c r="AX101" i="22"/>
  <c r="AY101" i="22"/>
  <c r="AZ101" i="22"/>
  <c r="BA101" i="22"/>
  <c r="BB101" i="22"/>
  <c r="BC101" i="22"/>
  <c r="BD101" i="22"/>
  <c r="BE101" i="22"/>
  <c r="BF101" i="22"/>
  <c r="BG101" i="22"/>
  <c r="BH101" i="22"/>
  <c r="BI101" i="22"/>
  <c r="BJ101" i="22"/>
  <c r="BK101" i="22"/>
  <c r="AQ87" i="30"/>
  <c r="Q91" i="30"/>
  <c r="H91" i="30"/>
  <c r="AY23" i="12"/>
  <c r="AY24" i="12" s="1"/>
  <c r="AO25" i="31"/>
  <c r="AL25" i="31"/>
  <c r="AJ91" i="22"/>
  <c r="AK91" i="22"/>
  <c r="AL91" i="22"/>
  <c r="AM91" i="22"/>
  <c r="AN91" i="22"/>
  <c r="AO91" i="22"/>
  <c r="AP91" i="22"/>
  <c r="AQ91" i="22"/>
  <c r="AR91" i="22"/>
  <c r="AS91" i="22"/>
  <c r="AT91" i="22"/>
  <c r="AU91" i="22"/>
  <c r="AV91" i="22"/>
  <c r="AW91" i="22"/>
  <c r="AX91" i="22"/>
  <c r="AY91" i="22"/>
  <c r="AZ91" i="22"/>
  <c r="BA91" i="22"/>
  <c r="BB91" i="22"/>
  <c r="BC91" i="22"/>
  <c r="BD91" i="22"/>
  <c r="BE91" i="22"/>
  <c r="BF91" i="22"/>
  <c r="BG91" i="22"/>
  <c r="BH91" i="22"/>
  <c r="BI91" i="22"/>
  <c r="BJ91" i="22"/>
  <c r="BK91" i="22"/>
  <c r="J9" i="8"/>
  <c r="J6" i="8"/>
  <c r="J10" i="8"/>
  <c r="J73" i="8"/>
  <c r="J47" i="8"/>
  <c r="M18" i="3"/>
  <c r="H18" i="3"/>
  <c r="AB150" i="29"/>
  <c r="BQ84" i="29"/>
  <c r="BR84" i="29"/>
  <c r="BS84" i="29"/>
  <c r="BT84" i="29"/>
  <c r="BU84" i="29"/>
  <c r="BV84" i="29"/>
  <c r="BW84" i="29"/>
  <c r="BX84" i="29"/>
  <c r="BY84" i="29"/>
  <c r="BZ84" i="29"/>
  <c r="V150" i="29"/>
  <c r="BF124" i="29"/>
  <c r="BG124" i="29"/>
  <c r="BH124" i="29"/>
  <c r="BI124" i="29"/>
  <c r="BJ124" i="29"/>
  <c r="BK124" i="29"/>
  <c r="BL124" i="29"/>
  <c r="BM124" i="29"/>
  <c r="BN124" i="29"/>
  <c r="BO124" i="29"/>
  <c r="BP124" i="29"/>
  <c r="BQ124" i="29"/>
  <c r="BR124" i="29"/>
  <c r="BS124" i="29"/>
  <c r="BT124" i="29"/>
  <c r="BU124" i="29"/>
  <c r="BV124" i="29"/>
  <c r="BW124" i="29"/>
  <c r="BX124" i="29"/>
  <c r="BY124" i="29"/>
  <c r="BZ124" i="29"/>
  <c r="AW64" i="29"/>
  <c r="AX64" i="29"/>
  <c r="AY64" i="29"/>
  <c r="AZ64" i="29"/>
  <c r="BA64" i="29"/>
  <c r="BB64" i="29"/>
  <c r="BC64" i="29"/>
  <c r="BD64" i="29"/>
  <c r="BE64" i="29"/>
  <c r="BF64" i="29"/>
  <c r="BG64" i="29"/>
  <c r="BH64" i="29"/>
  <c r="BI64" i="29"/>
  <c r="BJ64" i="29"/>
  <c r="BK64" i="29"/>
  <c r="BL64" i="29"/>
  <c r="BM64" i="29"/>
  <c r="BN64" i="29"/>
  <c r="BO64" i="29"/>
  <c r="BP64" i="29"/>
  <c r="BQ64" i="29"/>
  <c r="BR64" i="29"/>
  <c r="BS64" i="29"/>
  <c r="BT64" i="29"/>
  <c r="BU64" i="29"/>
  <c r="BV64" i="29"/>
  <c r="BW64" i="29"/>
  <c r="BX64" i="29"/>
  <c r="BY64" i="29"/>
  <c r="BZ64" i="29"/>
  <c r="H39" i="29"/>
  <c r="AP59" i="29"/>
  <c r="AR59" i="29"/>
  <c r="AS59" i="29"/>
  <c r="AT59" i="29"/>
  <c r="AU59" i="29"/>
  <c r="AV59" i="29"/>
  <c r="AW59" i="29"/>
  <c r="AX59" i="29"/>
  <c r="AY59" i="29"/>
  <c r="AZ59" i="29"/>
  <c r="BA59" i="29"/>
  <c r="BB59" i="29"/>
  <c r="BC59" i="29"/>
  <c r="BD59" i="29"/>
  <c r="BE59" i="29"/>
  <c r="BF59" i="29"/>
  <c r="BG59" i="29"/>
  <c r="BH59" i="29"/>
  <c r="BI59" i="29"/>
  <c r="BJ59" i="29"/>
  <c r="BK59" i="29"/>
  <c r="BL59" i="29"/>
  <c r="BM59" i="29"/>
  <c r="BN59" i="29"/>
  <c r="BO59" i="29"/>
  <c r="BP59" i="29"/>
  <c r="BQ59" i="29"/>
  <c r="BR59" i="29"/>
  <c r="BS59" i="29"/>
  <c r="BT59" i="29"/>
  <c r="BU59" i="29"/>
  <c r="BV59" i="29"/>
  <c r="BW59" i="29"/>
  <c r="BX59" i="29"/>
  <c r="BY59" i="29"/>
  <c r="BZ59" i="29"/>
  <c r="AN55" i="29"/>
  <c r="AO55" i="29"/>
  <c r="AQ55" i="29"/>
  <c r="AR55" i="29"/>
  <c r="AP55" i="29"/>
  <c r="AS55" i="29"/>
  <c r="AT55" i="29"/>
  <c r="AU55" i="29"/>
  <c r="AV55" i="29"/>
  <c r="AW55" i="29"/>
  <c r="AX55" i="29"/>
  <c r="AY55" i="29"/>
  <c r="AZ55" i="29"/>
  <c r="BA55" i="29"/>
  <c r="BB55" i="29"/>
  <c r="BC55" i="29"/>
  <c r="BD55" i="29"/>
  <c r="BE55" i="29"/>
  <c r="BF55" i="29"/>
  <c r="BG55" i="29"/>
  <c r="BH55" i="29"/>
  <c r="BI55" i="29"/>
  <c r="BJ55" i="29"/>
  <c r="BK55" i="29"/>
  <c r="BL55" i="29"/>
  <c r="BM55" i="29"/>
  <c r="BN55" i="29"/>
  <c r="BO55" i="29"/>
  <c r="BP55" i="29"/>
  <c r="BQ55" i="29"/>
  <c r="BR55" i="29"/>
  <c r="BS55" i="29"/>
  <c r="BT55" i="29"/>
  <c r="BU55" i="29"/>
  <c r="BV55" i="29"/>
  <c r="BW55" i="29"/>
  <c r="BX55" i="29"/>
  <c r="BY55" i="29"/>
  <c r="BZ55" i="29"/>
  <c r="M150" i="29"/>
  <c r="G150" i="29"/>
  <c r="AE32" i="28"/>
  <c r="AE30" i="28" s="1"/>
  <c r="AF32" i="28"/>
  <c r="AG32" i="28"/>
  <c r="AH32" i="28"/>
  <c r="AI32" i="28"/>
  <c r="AJ32" i="28"/>
  <c r="AK32" i="28"/>
  <c r="AL32" i="28"/>
  <c r="AM32" i="28"/>
  <c r="AN32" i="28"/>
  <c r="AO32" i="28"/>
  <c r="BA86" i="30"/>
  <c r="U86" i="30" s="1"/>
  <c r="U28" i="30"/>
  <c r="AQ85" i="30"/>
  <c r="AI86" i="30"/>
  <c r="O86" i="30" s="1"/>
  <c r="O28" i="30"/>
  <c r="BT87" i="29"/>
  <c r="BU87" i="29"/>
  <c r="BV87" i="29"/>
  <c r="BW87" i="29"/>
  <c r="BX87" i="29"/>
  <c r="BY87" i="29"/>
  <c r="BZ87" i="29"/>
  <c r="H150" i="29"/>
  <c r="Q150" i="29"/>
  <c r="BG63" i="22"/>
  <c r="BH63" i="22"/>
  <c r="BI63" i="22"/>
  <c r="BJ63" i="22"/>
  <c r="BK63" i="22"/>
  <c r="AW53" i="22"/>
  <c r="AX53" i="22"/>
  <c r="AY53" i="22"/>
  <c r="AZ53" i="22"/>
  <c r="BA53" i="22"/>
  <c r="BB53" i="22"/>
  <c r="BC53" i="22"/>
  <c r="BD53" i="22"/>
  <c r="BE53" i="22"/>
  <c r="BF53" i="22"/>
  <c r="BG53" i="22"/>
  <c r="BH53" i="22"/>
  <c r="BI53" i="22"/>
  <c r="BJ53" i="22"/>
  <c r="BK53" i="22"/>
  <c r="AJ152" i="29"/>
  <c r="AK149" i="29" s="1"/>
  <c r="O149" i="29" s="1"/>
  <c r="N155" i="29"/>
  <c r="AH141" i="28"/>
  <c r="AI135" i="28"/>
  <c r="AH38" i="22"/>
  <c r="AI38" i="22"/>
  <c r="AJ38" i="22"/>
  <c r="AK38" i="22"/>
  <c r="AL38" i="22"/>
  <c r="AM38" i="22"/>
  <c r="AN38" i="22"/>
  <c r="AO38" i="22"/>
  <c r="AP38" i="22"/>
  <c r="AQ38" i="22"/>
  <c r="AR38" i="22"/>
  <c r="AS38" i="22"/>
  <c r="AT38" i="22"/>
  <c r="AU38" i="22"/>
  <c r="AV38" i="22"/>
  <c r="AW38" i="22"/>
  <c r="AX38" i="22"/>
  <c r="AY38" i="22"/>
  <c r="AZ38" i="22"/>
  <c r="BA38" i="22"/>
  <c r="BB38" i="22"/>
  <c r="BC38" i="22"/>
  <c r="BD38" i="22"/>
  <c r="BE38" i="22"/>
  <c r="BF38" i="22"/>
  <c r="BG38" i="22"/>
  <c r="BH38" i="22"/>
  <c r="BI38" i="22"/>
  <c r="BJ38" i="22"/>
  <c r="BK38" i="22"/>
  <c r="F11" i="3"/>
  <c r="F10" i="3"/>
  <c r="M9" i="3"/>
  <c r="AC10" i="7"/>
  <c r="AC13" i="7" s="1"/>
  <c r="M6" i="3"/>
  <c r="BY143" i="29"/>
  <c r="BZ143" i="29"/>
  <c r="BV140" i="29"/>
  <c r="BW140" i="29"/>
  <c r="BX140" i="29"/>
  <c r="BY140" i="29"/>
  <c r="BZ140" i="29"/>
  <c r="BI76" i="29"/>
  <c r="BJ76" i="29"/>
  <c r="BK76" i="29"/>
  <c r="BL76" i="29"/>
  <c r="BM76" i="29"/>
  <c r="BN76" i="29"/>
  <c r="BO76" i="29"/>
  <c r="BP76" i="29"/>
  <c r="BQ76" i="29"/>
  <c r="BR76" i="29"/>
  <c r="BS76" i="29"/>
  <c r="BT76" i="29"/>
  <c r="BU76" i="29"/>
  <c r="BV76" i="29"/>
  <c r="BW76" i="29"/>
  <c r="BX76" i="29"/>
  <c r="BY76" i="29"/>
  <c r="BZ76" i="29"/>
  <c r="BG74" i="29"/>
  <c r="BH74" i="29"/>
  <c r="BI74" i="29"/>
  <c r="BJ74" i="29"/>
  <c r="BK74" i="29"/>
  <c r="BL74" i="29"/>
  <c r="BM74" i="29"/>
  <c r="BN74" i="29"/>
  <c r="BO74" i="29"/>
  <c r="BP74" i="29"/>
  <c r="BQ74" i="29"/>
  <c r="BR74" i="29"/>
  <c r="BS74" i="29"/>
  <c r="BT74" i="29"/>
  <c r="BU74" i="29"/>
  <c r="BV74" i="29"/>
  <c r="BW74" i="29"/>
  <c r="BX74" i="29"/>
  <c r="BY74" i="29"/>
  <c r="BZ74" i="29"/>
  <c r="BB69" i="29"/>
  <c r="BC69" i="29"/>
  <c r="BD69" i="29"/>
  <c r="BE69" i="29"/>
  <c r="BF69" i="29"/>
  <c r="BG69" i="29"/>
  <c r="BH69" i="29"/>
  <c r="BI69" i="29"/>
  <c r="BJ69" i="29"/>
  <c r="BK69" i="29"/>
  <c r="BL69" i="29"/>
  <c r="BM69" i="29"/>
  <c r="BN69" i="29"/>
  <c r="BO69" i="29"/>
  <c r="BP69" i="29"/>
  <c r="BQ69" i="29"/>
  <c r="BR69" i="29"/>
  <c r="BS69" i="29"/>
  <c r="BT69" i="29"/>
  <c r="BU69" i="29"/>
  <c r="BV69" i="29"/>
  <c r="BW69" i="29"/>
  <c r="BX69" i="29"/>
  <c r="BY69" i="29"/>
  <c r="BZ69" i="29"/>
  <c r="AY66" i="29"/>
  <c r="AZ66" i="29"/>
  <c r="BA66" i="29"/>
  <c r="BB66" i="29"/>
  <c r="BC66" i="29"/>
  <c r="BD66" i="29"/>
  <c r="BE66" i="29"/>
  <c r="BF66" i="29"/>
  <c r="BG66" i="29"/>
  <c r="BH66" i="29"/>
  <c r="BI66" i="29"/>
  <c r="BJ66" i="29"/>
  <c r="BK66" i="29"/>
  <c r="BL66" i="29"/>
  <c r="BM66" i="29"/>
  <c r="BN66" i="29"/>
  <c r="BO66" i="29"/>
  <c r="BP66" i="29"/>
  <c r="BQ66" i="29"/>
  <c r="BR66" i="29"/>
  <c r="BS66" i="29"/>
  <c r="BT66" i="29"/>
  <c r="BU66" i="29"/>
  <c r="BV66" i="29"/>
  <c r="BW66" i="29"/>
  <c r="BX66" i="29"/>
  <c r="BY66" i="29"/>
  <c r="BZ66" i="29"/>
  <c r="AT112" i="29"/>
  <c r="AU112" i="29"/>
  <c r="AV112" i="29"/>
  <c r="AW112" i="29"/>
  <c r="AX112" i="29"/>
  <c r="AY112" i="29"/>
  <c r="AZ112" i="29"/>
  <c r="BA112" i="29"/>
  <c r="BB112" i="29"/>
  <c r="BC112" i="29"/>
  <c r="BD112" i="29"/>
  <c r="BE112" i="29"/>
  <c r="BF112" i="29"/>
  <c r="BG112" i="29"/>
  <c r="BH112" i="29"/>
  <c r="BI112" i="29"/>
  <c r="BJ112" i="29"/>
  <c r="BK112" i="29"/>
  <c r="BL112" i="29"/>
  <c r="BM112" i="29"/>
  <c r="BN112" i="29"/>
  <c r="BO112" i="29"/>
  <c r="BP112" i="29"/>
  <c r="BQ112" i="29"/>
  <c r="BR112" i="29"/>
  <c r="BS112" i="29"/>
  <c r="BT112" i="29"/>
  <c r="BU112" i="29"/>
  <c r="BV112" i="29"/>
  <c r="BW112" i="29"/>
  <c r="BX112" i="29"/>
  <c r="BY112" i="29"/>
  <c r="BZ112" i="29"/>
  <c r="AM91" i="28"/>
  <c r="AN91" i="28"/>
  <c r="AO91" i="28"/>
  <c r="AL90" i="28"/>
  <c r="AM90" i="28"/>
  <c r="AN90" i="28"/>
  <c r="AO90" i="28"/>
  <c r="AE46" i="29"/>
  <c r="AF46" i="29"/>
  <c r="AG46" i="29"/>
  <c r="AH46" i="29"/>
  <c r="AI46" i="29"/>
  <c r="AJ46" i="29"/>
  <c r="AK46" i="29"/>
  <c r="AL46" i="29"/>
  <c r="AM46" i="29"/>
  <c r="AN46" i="29"/>
  <c r="AO46" i="29"/>
  <c r="AQ46" i="29"/>
  <c r="AR46" i="29"/>
  <c r="AP46" i="29"/>
  <c r="AS46" i="29"/>
  <c r="AT46" i="29"/>
  <c r="AU46" i="29"/>
  <c r="AV46" i="29"/>
  <c r="AW46" i="29"/>
  <c r="AX46" i="29"/>
  <c r="AY46" i="29"/>
  <c r="AZ46" i="29"/>
  <c r="BA46" i="29"/>
  <c r="BB46" i="29"/>
  <c r="BC46" i="29"/>
  <c r="BD46" i="29"/>
  <c r="BE46" i="29"/>
  <c r="BF46" i="29"/>
  <c r="BG46" i="29"/>
  <c r="BH46" i="29"/>
  <c r="BI46" i="29"/>
  <c r="BJ46" i="29"/>
  <c r="BK46" i="29"/>
  <c r="BL46" i="29"/>
  <c r="BM46" i="29"/>
  <c r="BN46" i="29"/>
  <c r="BO46" i="29"/>
  <c r="BP46" i="29"/>
  <c r="BQ46" i="29"/>
  <c r="BR46" i="29"/>
  <c r="BS46" i="29"/>
  <c r="BT46" i="29"/>
  <c r="BU46" i="29"/>
  <c r="BV46" i="29"/>
  <c r="BW46" i="29"/>
  <c r="BX46" i="29"/>
  <c r="BY46" i="29"/>
  <c r="BZ46" i="29"/>
  <c r="BE85" i="30"/>
  <c r="AW85" i="30"/>
  <c r="AY55" i="22"/>
  <c r="AZ55" i="22"/>
  <c r="BA55" i="22"/>
  <c r="BB55" i="22"/>
  <c r="BC55" i="22"/>
  <c r="BD55" i="22"/>
  <c r="BE55" i="22"/>
  <c r="BF55" i="22"/>
  <c r="BG55" i="22"/>
  <c r="BH55" i="22"/>
  <c r="BI55" i="22"/>
  <c r="BJ55" i="22"/>
  <c r="BK55" i="22"/>
  <c r="AV52" i="22"/>
  <c r="AW52" i="22"/>
  <c r="AX52" i="22"/>
  <c r="AY52" i="22"/>
  <c r="AZ52" i="22"/>
  <c r="BA52" i="22"/>
  <c r="BB52" i="22"/>
  <c r="BC52" i="22"/>
  <c r="BD52" i="22"/>
  <c r="BE52" i="22"/>
  <c r="BF52" i="22"/>
  <c r="BG52" i="22"/>
  <c r="BH52" i="22"/>
  <c r="BI52" i="22"/>
  <c r="BJ52" i="22"/>
  <c r="BK52" i="22"/>
  <c r="AT50" i="22"/>
  <c r="AU50" i="22"/>
  <c r="AV50" i="22"/>
  <c r="AW50" i="22"/>
  <c r="AX50" i="22"/>
  <c r="AY50" i="22"/>
  <c r="AZ50" i="22"/>
  <c r="BA50" i="22"/>
  <c r="BB50" i="22"/>
  <c r="BC50" i="22"/>
  <c r="BD50" i="22"/>
  <c r="BE50" i="22"/>
  <c r="BF50" i="22"/>
  <c r="BG50" i="22"/>
  <c r="BH50" i="22"/>
  <c r="BI50" i="22"/>
  <c r="BJ50" i="22"/>
  <c r="BK50" i="22"/>
  <c r="BE61" i="22"/>
  <c r="BF61" i="22"/>
  <c r="BG61" i="22"/>
  <c r="BH61" i="22"/>
  <c r="BI61" i="22"/>
  <c r="BJ61" i="22"/>
  <c r="BK61" i="22"/>
  <c r="BC87" i="30"/>
  <c r="I91" i="30"/>
  <c r="U91" i="30"/>
  <c r="BB109" i="22"/>
  <c r="BC109" i="22"/>
  <c r="BD109" i="22"/>
  <c r="BE109" i="22"/>
  <c r="BF109" i="22"/>
  <c r="BG109" i="22"/>
  <c r="BH109" i="22"/>
  <c r="BI109" i="22"/>
  <c r="BJ109" i="22"/>
  <c r="BK109" i="22"/>
  <c r="BE23" i="12"/>
  <c r="BE24" i="12" s="1"/>
  <c r="AU25" i="31"/>
  <c r="AS25" i="31"/>
  <c r="AJ40" i="22"/>
  <c r="AK40" i="22"/>
  <c r="AL40" i="22"/>
  <c r="AM40" i="22"/>
  <c r="AN40" i="22"/>
  <c r="AO40" i="22"/>
  <c r="AP40" i="22"/>
  <c r="AQ40" i="22"/>
  <c r="AR40" i="22"/>
  <c r="AS40" i="22"/>
  <c r="AT40" i="22"/>
  <c r="AU40" i="22"/>
  <c r="AV40" i="22"/>
  <c r="AW40" i="22"/>
  <c r="AX40" i="22"/>
  <c r="AY40" i="22"/>
  <c r="AZ40" i="22"/>
  <c r="BA40" i="22"/>
  <c r="BB40" i="22"/>
  <c r="BC40" i="22"/>
  <c r="BD40" i="22"/>
  <c r="BE40" i="22"/>
  <c r="BF40" i="22"/>
  <c r="BG40" i="22"/>
  <c r="BH40" i="22"/>
  <c r="BI40" i="22"/>
  <c r="BJ40" i="22"/>
  <c r="BK40" i="22"/>
  <c r="AQ23" i="12"/>
  <c r="AQ24" i="12" s="1"/>
  <c r="H8" i="3"/>
  <c r="I8" i="3"/>
  <c r="K76" i="8"/>
  <c r="K74" i="8"/>
  <c r="K77" i="8"/>
  <c r="BX142" i="29"/>
  <c r="BY142" i="29"/>
  <c r="BZ142" i="29"/>
  <c r="AA150" i="29"/>
  <c r="BS86" i="29"/>
  <c r="BT86" i="29"/>
  <c r="BU86" i="29"/>
  <c r="BV86" i="29"/>
  <c r="BW86" i="29"/>
  <c r="BX86" i="29"/>
  <c r="BY86" i="29"/>
  <c r="BZ86" i="29"/>
  <c r="BM131" i="29"/>
  <c r="BN131" i="29"/>
  <c r="BO131" i="29"/>
  <c r="BP131" i="29"/>
  <c r="BQ131" i="29"/>
  <c r="BR131" i="29"/>
  <c r="BS131" i="29"/>
  <c r="BT131" i="29"/>
  <c r="BU131" i="29"/>
  <c r="BV131" i="29"/>
  <c r="BW131" i="29"/>
  <c r="BX131" i="29"/>
  <c r="BY131" i="29"/>
  <c r="BZ131" i="29"/>
  <c r="BJ128" i="29"/>
  <c r="BK128" i="29"/>
  <c r="BL128" i="29"/>
  <c r="BM128" i="29"/>
  <c r="BN128" i="29"/>
  <c r="BO128" i="29"/>
  <c r="BP128" i="29"/>
  <c r="BQ128" i="29"/>
  <c r="BR128" i="29"/>
  <c r="BS128" i="29"/>
  <c r="BT128" i="29"/>
  <c r="BU128" i="29"/>
  <c r="BV128" i="29"/>
  <c r="BW128" i="29"/>
  <c r="BX128" i="29"/>
  <c r="BY128" i="29"/>
  <c r="BZ128" i="29"/>
  <c r="I150" i="29"/>
  <c r="U150" i="29"/>
  <c r="AY117" i="29"/>
  <c r="AZ117" i="29"/>
  <c r="BA117" i="29"/>
  <c r="BB117" i="29"/>
  <c r="BC117" i="29"/>
  <c r="BD117" i="29"/>
  <c r="BE117" i="29"/>
  <c r="BF117" i="29"/>
  <c r="BG117" i="29"/>
  <c r="BH117" i="29"/>
  <c r="BI117" i="29"/>
  <c r="BJ117" i="29"/>
  <c r="BK117" i="29"/>
  <c r="BL117" i="29"/>
  <c r="BM117" i="29"/>
  <c r="BN117" i="29"/>
  <c r="BO117" i="29"/>
  <c r="BP117" i="29"/>
  <c r="BQ117" i="29"/>
  <c r="BR117" i="29"/>
  <c r="BS117" i="29"/>
  <c r="BT117" i="29"/>
  <c r="BU117" i="29"/>
  <c r="BV117" i="29"/>
  <c r="BW117" i="29"/>
  <c r="BX117" i="29"/>
  <c r="BY117" i="29"/>
  <c r="BZ117" i="29"/>
  <c r="AT61" i="29"/>
  <c r="AU61" i="29"/>
  <c r="AV61" i="29"/>
  <c r="AW61" i="29"/>
  <c r="AX61" i="29"/>
  <c r="AY61" i="29"/>
  <c r="AZ61" i="29"/>
  <c r="BA61" i="29"/>
  <c r="BB61" i="29"/>
  <c r="BC61" i="29"/>
  <c r="BD61" i="29"/>
  <c r="BE61" i="29"/>
  <c r="BF61" i="29"/>
  <c r="BG61" i="29"/>
  <c r="BH61" i="29"/>
  <c r="BI61" i="29"/>
  <c r="BJ61" i="29"/>
  <c r="BK61" i="29"/>
  <c r="BL61" i="29"/>
  <c r="BM61" i="29"/>
  <c r="BN61" i="29"/>
  <c r="BO61" i="29"/>
  <c r="BP61" i="29"/>
  <c r="BQ61" i="29"/>
  <c r="BR61" i="29"/>
  <c r="BS61" i="29"/>
  <c r="BT61" i="29"/>
  <c r="BU61" i="29"/>
  <c r="BV61" i="29"/>
  <c r="BW61" i="29"/>
  <c r="BX61" i="29"/>
  <c r="BY61" i="29"/>
  <c r="BZ61" i="29"/>
  <c r="P150" i="29"/>
  <c r="AL104" i="29"/>
  <c r="AM104" i="29"/>
  <c r="AN104" i="29"/>
  <c r="AO104" i="29"/>
  <c r="AQ104" i="29"/>
  <c r="AR104" i="29"/>
  <c r="AP104" i="29"/>
  <c r="AS104" i="29"/>
  <c r="AT104" i="29"/>
  <c r="AU104" i="29"/>
  <c r="AV104" i="29"/>
  <c r="AW104" i="29"/>
  <c r="AX104" i="29"/>
  <c r="AY104" i="29"/>
  <c r="AZ104" i="29"/>
  <c r="BA104" i="29"/>
  <c r="BB104" i="29"/>
  <c r="BC104" i="29"/>
  <c r="BD104" i="29"/>
  <c r="BE104" i="29"/>
  <c r="BF104" i="29"/>
  <c r="BG104" i="29"/>
  <c r="BH104" i="29"/>
  <c r="BI104" i="29"/>
  <c r="BJ104" i="29"/>
  <c r="BK104" i="29"/>
  <c r="BL104" i="29"/>
  <c r="BM104" i="29"/>
  <c r="BN104" i="29"/>
  <c r="BO104" i="29"/>
  <c r="BP104" i="29"/>
  <c r="BQ104" i="29"/>
  <c r="BR104" i="29"/>
  <c r="BS104" i="29"/>
  <c r="BT104" i="29"/>
  <c r="BU104" i="29"/>
  <c r="BV104" i="29"/>
  <c r="BW104" i="29"/>
  <c r="BX104" i="29"/>
  <c r="BY104" i="29"/>
  <c r="BZ104" i="29"/>
  <c r="AG48" i="29"/>
  <c r="AH48" i="29"/>
  <c r="AI48" i="29"/>
  <c r="AJ48" i="29"/>
  <c r="AK48" i="29"/>
  <c r="AL48" i="29"/>
  <c r="AM48" i="29"/>
  <c r="AN48" i="29"/>
  <c r="AO48" i="29"/>
  <c r="AQ48" i="29"/>
  <c r="AP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BQ48" i="29"/>
  <c r="BR48" i="29"/>
  <c r="BS48" i="29"/>
  <c r="BT48" i="29"/>
  <c r="BU48" i="29"/>
  <c r="BV48" i="29"/>
  <c r="BW48" i="29"/>
  <c r="BX48" i="29"/>
  <c r="BY48" i="29"/>
  <c r="BZ48" i="29"/>
  <c r="AE83" i="28"/>
  <c r="AE81" i="28" s="1"/>
  <c r="AF83" i="28"/>
  <c r="AG83" i="28"/>
  <c r="AH83" i="28"/>
  <c r="AI83" i="28"/>
  <c r="AJ83" i="28"/>
  <c r="AK83" i="28"/>
  <c r="AL83" i="28"/>
  <c r="AM83" i="28"/>
  <c r="AN83" i="28"/>
  <c r="AO83" i="28"/>
  <c r="BI85" i="30"/>
  <c r="W81" i="30"/>
  <c r="BA85" i="30"/>
  <c r="Q81" i="30"/>
  <c r="AM85" i="30"/>
  <c r="N81" i="30"/>
  <c r="H81" i="30"/>
  <c r="AT25" i="31"/>
  <c r="AQ47" i="22"/>
  <c r="AR47" i="22"/>
  <c r="AS47" i="22"/>
  <c r="AT47" i="22"/>
  <c r="AU47" i="22"/>
  <c r="AV47" i="22"/>
  <c r="AW47" i="22"/>
  <c r="AX47" i="22"/>
  <c r="AY47" i="22"/>
  <c r="AZ47" i="22"/>
  <c r="BA47" i="22"/>
  <c r="BB47" i="22"/>
  <c r="BC47" i="22"/>
  <c r="BD47" i="22"/>
  <c r="BE47" i="22"/>
  <c r="BF47" i="22"/>
  <c r="BG47" i="22"/>
  <c r="BH47" i="22"/>
  <c r="BI47" i="22"/>
  <c r="BJ47" i="22"/>
  <c r="BK47" i="22"/>
  <c r="AN95" i="22"/>
  <c r="AO95" i="22"/>
  <c r="AP95" i="22"/>
  <c r="AQ95" i="22"/>
  <c r="AR95" i="22"/>
  <c r="AS95" i="22"/>
  <c r="AT95" i="22"/>
  <c r="AU95" i="22"/>
  <c r="AV95" i="22"/>
  <c r="AW95" i="22"/>
  <c r="AX95" i="22"/>
  <c r="AY95" i="22"/>
  <c r="AZ95" i="22"/>
  <c r="BA95" i="22"/>
  <c r="BB95" i="22"/>
  <c r="BC95" i="22"/>
  <c r="BD95" i="22"/>
  <c r="BE95" i="22"/>
  <c r="BF95" i="22"/>
  <c r="BG95" i="22"/>
  <c r="BH95" i="22"/>
  <c r="BI95" i="22"/>
  <c r="BJ95" i="22"/>
  <c r="BK95" i="22"/>
  <c r="AF141" i="28"/>
  <c r="AG135" i="28"/>
  <c r="AH25" i="31"/>
  <c r="BX91" i="29"/>
  <c r="BY91" i="29"/>
  <c r="BZ91" i="29"/>
  <c r="AA39" i="29"/>
  <c r="Z150" i="29"/>
  <c r="BK129" i="29"/>
  <c r="BL129" i="29"/>
  <c r="BM129" i="29"/>
  <c r="BN129" i="29"/>
  <c r="BO129" i="29"/>
  <c r="BP129" i="29"/>
  <c r="BQ129" i="29"/>
  <c r="BR129" i="29"/>
  <c r="BS129" i="29"/>
  <c r="BT129" i="29"/>
  <c r="BU129" i="29"/>
  <c r="BV129" i="29"/>
  <c r="BW129" i="29"/>
  <c r="BX129" i="29"/>
  <c r="BY129" i="29"/>
  <c r="BZ129" i="29"/>
  <c r="BH75" i="29"/>
  <c r="BI75" i="29"/>
  <c r="BJ75" i="29"/>
  <c r="BK75" i="29"/>
  <c r="BL75" i="29"/>
  <c r="BM75" i="29"/>
  <c r="BN75" i="29"/>
  <c r="BO75" i="29"/>
  <c r="BP75" i="29"/>
  <c r="BQ75" i="29"/>
  <c r="BR75" i="29"/>
  <c r="BS75" i="29"/>
  <c r="BT75" i="29"/>
  <c r="BU75" i="29"/>
  <c r="BV75" i="29"/>
  <c r="BW75" i="29"/>
  <c r="BX75" i="29"/>
  <c r="BY75" i="29"/>
  <c r="BZ75" i="29"/>
  <c r="AZ67" i="29"/>
  <c r="BA67" i="29"/>
  <c r="BB67" i="29"/>
  <c r="BC67" i="29"/>
  <c r="BD67" i="29"/>
  <c r="BE67" i="29"/>
  <c r="BF67" i="29"/>
  <c r="BG67" i="29"/>
  <c r="BH67" i="29"/>
  <c r="BI67" i="29"/>
  <c r="BJ67" i="29"/>
  <c r="BK67" i="29"/>
  <c r="BL67" i="29"/>
  <c r="BM67" i="29"/>
  <c r="BN67" i="29"/>
  <c r="BO67" i="29"/>
  <c r="BP67" i="29"/>
  <c r="BQ67" i="29"/>
  <c r="BR67" i="29"/>
  <c r="BS67" i="29"/>
  <c r="BT67" i="29"/>
  <c r="BU67" i="29"/>
  <c r="BV67" i="29"/>
  <c r="BW67" i="29"/>
  <c r="BX67" i="29"/>
  <c r="BY67" i="29"/>
  <c r="BZ67" i="29"/>
  <c r="AX65" i="29"/>
  <c r="AY65" i="29"/>
  <c r="AZ65" i="29"/>
  <c r="BA65" i="29"/>
  <c r="BB65" i="29"/>
  <c r="BC65" i="29"/>
  <c r="BD65" i="29"/>
  <c r="BE65" i="29"/>
  <c r="BF65" i="29"/>
  <c r="BG65" i="29"/>
  <c r="BH65" i="29"/>
  <c r="BI65" i="29"/>
  <c r="BJ65" i="29"/>
  <c r="BK65" i="29"/>
  <c r="BL65" i="29"/>
  <c r="BM65" i="29"/>
  <c r="BN65" i="29"/>
  <c r="BO65" i="29"/>
  <c r="BP65" i="29"/>
  <c r="BQ65" i="29"/>
  <c r="BR65" i="29"/>
  <c r="BS65" i="29"/>
  <c r="BT65" i="29"/>
  <c r="BU65" i="29"/>
  <c r="BV65" i="29"/>
  <c r="BW65" i="29"/>
  <c r="BX65" i="29"/>
  <c r="BY65" i="29"/>
  <c r="BZ65" i="29"/>
  <c r="AM54" i="29"/>
  <c r="AN54" i="29"/>
  <c r="AO54" i="29"/>
  <c r="AQ54" i="29"/>
  <c r="AR54" i="29"/>
  <c r="AP54" i="29"/>
  <c r="AS54" i="29"/>
  <c r="AT54" i="29"/>
  <c r="AU54" i="29"/>
  <c r="AV54" i="29"/>
  <c r="AW54" i="29"/>
  <c r="AX54" i="29"/>
  <c r="AY54" i="29"/>
  <c r="AZ54" i="29"/>
  <c r="BA54" i="29"/>
  <c r="BB54" i="29"/>
  <c r="BC54" i="29"/>
  <c r="BD54" i="29"/>
  <c r="BE54" i="29"/>
  <c r="BF54" i="29"/>
  <c r="BG54" i="29"/>
  <c r="BH54" i="29"/>
  <c r="BI54" i="29"/>
  <c r="BJ54" i="29"/>
  <c r="BK54" i="29"/>
  <c r="BL54" i="29"/>
  <c r="BM54" i="29"/>
  <c r="BN54" i="29"/>
  <c r="BO54" i="29"/>
  <c r="BP54" i="29"/>
  <c r="BQ54" i="29"/>
  <c r="BR54" i="29"/>
  <c r="BS54" i="29"/>
  <c r="BT54" i="29"/>
  <c r="BU54" i="29"/>
  <c r="BV54" i="29"/>
  <c r="BW54" i="29"/>
  <c r="BX54" i="29"/>
  <c r="BY54" i="29"/>
  <c r="BZ54" i="29"/>
  <c r="BC85" i="30"/>
  <c r="AY85" i="30"/>
  <c r="S81" i="30"/>
  <c r="AG34" i="30" a="1"/>
  <c r="AG34" i="30" s="1"/>
  <c r="AF34" i="30" a="1"/>
  <c r="AF34" i="30" s="1"/>
  <c r="AH34" i="30" a="1"/>
  <c r="AH34" i="30" s="1"/>
  <c r="AI34" i="30" a="1"/>
  <c r="AI34" i="30" s="1"/>
  <c r="AJ34" i="30" a="1"/>
  <c r="AJ34" i="30" s="1"/>
  <c r="AK34" i="30" a="1"/>
  <c r="AK34" i="30" s="1"/>
  <c r="AL34" i="30" a="1"/>
  <c r="AL34" i="30" s="1"/>
  <c r="AM34" i="30" a="1"/>
  <c r="AM34" i="30" s="1"/>
  <c r="AN34" i="30" a="1"/>
  <c r="AN34" i="30" s="1"/>
  <c r="AO34" i="30" a="1"/>
  <c r="AO34" i="30" s="1"/>
  <c r="AP34" i="30" a="1"/>
  <c r="AP34" i="30" s="1"/>
  <c r="AQ34" i="30" a="1"/>
  <c r="AQ34" i="30" s="1"/>
  <c r="AR34" i="30" a="1"/>
  <c r="AR34" i="30" s="1"/>
  <c r="AS34" i="30" a="1"/>
  <c r="AS34" i="30" s="1"/>
  <c r="AT34" i="30" a="1"/>
  <c r="AT34" i="30" s="1"/>
  <c r="AU34" i="30" a="1"/>
  <c r="AU34" i="30" s="1"/>
  <c r="AV34" i="30" a="1"/>
  <c r="AV34" i="30" s="1"/>
  <c r="AW34" i="30" a="1"/>
  <c r="AW34" i="30" s="1"/>
  <c r="AX34" i="30" a="1"/>
  <c r="AX34" i="30" s="1"/>
  <c r="AY34" i="30" a="1"/>
  <c r="AY34" i="30" s="1"/>
  <c r="AZ34" i="30" a="1"/>
  <c r="AZ34" i="30" s="1"/>
  <c r="BA34" i="30" a="1"/>
  <c r="BA34" i="30" s="1"/>
  <c r="BB34" i="30" a="1"/>
  <c r="BB34" i="30" s="1"/>
  <c r="BC34" i="30" a="1"/>
  <c r="BC34" i="30" s="1"/>
  <c r="BD34" i="30" a="1"/>
  <c r="BD34" i="30" s="1"/>
  <c r="BE34" i="30" a="1"/>
  <c r="BE34" i="30" s="1"/>
  <c r="BF34" i="30" a="1"/>
  <c r="BF34" i="30" s="1"/>
  <c r="BG34" i="30" a="1"/>
  <c r="BG34" i="30" s="1"/>
  <c r="BH34" i="30" a="1"/>
  <c r="BH34" i="30" s="1"/>
  <c r="BI34" i="30" a="1"/>
  <c r="BI34" i="30" s="1"/>
  <c r="BJ34" i="30" a="1"/>
  <c r="BJ34" i="30" s="1"/>
  <c r="BK34" i="30" a="1"/>
  <c r="BK34" i="30" s="1"/>
  <c r="BL34" i="30" a="1"/>
  <c r="BL34" i="30" s="1"/>
  <c r="BM34" i="30" a="1"/>
  <c r="BM34" i="30" s="1"/>
  <c r="BN34" i="30" a="1"/>
  <c r="BN34" i="30" s="1"/>
  <c r="BO34" i="30" a="1"/>
  <c r="BO34" i="30" s="1"/>
  <c r="BP34" i="30" a="1"/>
  <c r="BP34" i="30" s="1"/>
  <c r="BQ34" i="30" a="1"/>
  <c r="BQ34" i="30" s="1"/>
  <c r="BR34" i="30" a="1"/>
  <c r="BR34" i="30" s="1"/>
  <c r="BS34" i="30" a="1"/>
  <c r="BS34" i="30" s="1"/>
  <c r="BT34" i="30" a="1"/>
  <c r="BT34" i="30" s="1"/>
  <c r="BU34" i="30" a="1"/>
  <c r="BU34" i="30" s="1"/>
  <c r="BV34" i="30" a="1"/>
  <c r="BV34" i="30" s="1"/>
  <c r="BW34" i="30" a="1"/>
  <c r="BW34" i="30" s="1"/>
  <c r="BX34" i="30" a="1"/>
  <c r="BX34" i="30" s="1"/>
  <c r="BY34" i="30" a="1"/>
  <c r="BY34" i="30" s="1"/>
  <c r="BZ34" i="30" a="1"/>
  <c r="BZ34" i="30" s="1"/>
  <c r="CA34" i="30" a="1"/>
  <c r="CA34" i="30" s="1"/>
  <c r="BL44" i="22"/>
  <c r="BQ23" i="12"/>
  <c r="BL87" i="30"/>
  <c r="X91" i="30"/>
  <c r="BE152" i="29"/>
  <c r="U155" i="29"/>
  <c r="BG25" i="31"/>
  <c r="AR25" i="31"/>
  <c r="AN87" i="30"/>
  <c r="P91" i="30"/>
  <c r="AK41" i="22"/>
  <c r="AL41" i="22"/>
  <c r="AM41" i="22"/>
  <c r="AN41" i="22"/>
  <c r="AO41" i="22"/>
  <c r="AP41" i="22"/>
  <c r="AQ41" i="22"/>
  <c r="AR41" i="22"/>
  <c r="AS41" i="22"/>
  <c r="AT41" i="22"/>
  <c r="AU41" i="22"/>
  <c r="AV41" i="22"/>
  <c r="AW41" i="22"/>
  <c r="AX41" i="22"/>
  <c r="AY41" i="22"/>
  <c r="AZ41" i="22"/>
  <c r="BA41" i="22"/>
  <c r="BB41" i="22"/>
  <c r="BC41" i="22"/>
  <c r="BD41" i="22"/>
  <c r="BE41" i="22"/>
  <c r="BF41" i="22"/>
  <c r="BG41" i="22"/>
  <c r="BH41" i="22"/>
  <c r="BI41" i="22"/>
  <c r="BJ41" i="22"/>
  <c r="BK41" i="22"/>
  <c r="AI90" i="22"/>
  <c r="AJ90" i="22"/>
  <c r="AK90" i="22"/>
  <c r="AL90" i="22"/>
  <c r="AM90" i="22"/>
  <c r="AN90" i="22"/>
  <c r="AO90" i="22"/>
  <c r="AP90" i="22"/>
  <c r="AQ90" i="22"/>
  <c r="AR90" i="22"/>
  <c r="AS90" i="22"/>
  <c r="AT90" i="22"/>
  <c r="AU90" i="22"/>
  <c r="AV90" i="22"/>
  <c r="AW90" i="22"/>
  <c r="AX90" i="22"/>
  <c r="AY90" i="22"/>
  <c r="AZ90" i="22"/>
  <c r="BA90" i="22"/>
  <c r="BB90" i="22"/>
  <c r="BC90" i="22"/>
  <c r="BD90" i="22"/>
  <c r="BE90" i="22"/>
  <c r="BF90" i="22"/>
  <c r="BG90" i="22"/>
  <c r="BH90" i="22"/>
  <c r="BI90" i="22"/>
  <c r="BJ90" i="22"/>
  <c r="BK90" i="22"/>
  <c r="J51" i="8"/>
  <c r="J50" i="8"/>
  <c r="I17" i="3"/>
  <c r="BU139" i="29"/>
  <c r="BV139" i="29"/>
  <c r="BW139" i="29"/>
  <c r="BX139" i="29"/>
  <c r="BY139" i="29"/>
  <c r="BZ139" i="29"/>
  <c r="Z39" i="29"/>
  <c r="BA119" i="29"/>
  <c r="BB119" i="29"/>
  <c r="BC119" i="29"/>
  <c r="BD119" i="29"/>
  <c r="BE119" i="29"/>
  <c r="BF119" i="29"/>
  <c r="BG119" i="29"/>
  <c r="BH119" i="29"/>
  <c r="BI119" i="29"/>
  <c r="BJ119" i="29"/>
  <c r="BK119" i="29"/>
  <c r="BL119" i="29"/>
  <c r="BM119" i="29"/>
  <c r="BN119" i="29"/>
  <c r="BO119" i="29"/>
  <c r="BP119" i="29"/>
  <c r="BQ119" i="29"/>
  <c r="BR119" i="29"/>
  <c r="BS119" i="29"/>
  <c r="BT119" i="29"/>
  <c r="BU119" i="29"/>
  <c r="BV119" i="29"/>
  <c r="BW119" i="29"/>
  <c r="BX119" i="29"/>
  <c r="BY119" i="29"/>
  <c r="BZ119" i="29"/>
  <c r="AU113" i="29"/>
  <c r="AV113" i="29"/>
  <c r="AW113" i="29"/>
  <c r="AX113" i="29"/>
  <c r="AY113" i="29"/>
  <c r="AZ113" i="29"/>
  <c r="BA113" i="29"/>
  <c r="BB113" i="29"/>
  <c r="BC113" i="29"/>
  <c r="BD113" i="29"/>
  <c r="BE113" i="29"/>
  <c r="BF113" i="29"/>
  <c r="BG113" i="29"/>
  <c r="BH113" i="29"/>
  <c r="BI113" i="29"/>
  <c r="BJ113" i="29"/>
  <c r="BK113" i="29"/>
  <c r="BL113" i="29"/>
  <c r="BM113" i="29"/>
  <c r="BN113" i="29"/>
  <c r="BO113" i="29"/>
  <c r="BP113" i="29"/>
  <c r="BQ113" i="29"/>
  <c r="BR113" i="29"/>
  <c r="BS113" i="29"/>
  <c r="BT113" i="29"/>
  <c r="BU113" i="29"/>
  <c r="BV113" i="29"/>
  <c r="BW113" i="29"/>
  <c r="BX113" i="29"/>
  <c r="BY113" i="29"/>
  <c r="BZ113" i="29"/>
  <c r="AS111" i="29"/>
  <c r="AT111" i="29"/>
  <c r="AU111" i="29"/>
  <c r="AV111" i="29"/>
  <c r="AW111" i="29"/>
  <c r="AX111" i="29"/>
  <c r="AY111" i="29"/>
  <c r="AZ111" i="29"/>
  <c r="BA111" i="29"/>
  <c r="BB111" i="29"/>
  <c r="BC111" i="29"/>
  <c r="BD111" i="29"/>
  <c r="BE111" i="29"/>
  <c r="BF111" i="29"/>
  <c r="BG111" i="29"/>
  <c r="BH111" i="29"/>
  <c r="BI111" i="29"/>
  <c r="BJ111" i="29"/>
  <c r="BK111" i="29"/>
  <c r="BL111" i="29"/>
  <c r="BM111" i="29"/>
  <c r="BN111" i="29"/>
  <c r="BO111" i="29"/>
  <c r="BP111" i="29"/>
  <c r="BQ111" i="29"/>
  <c r="BR111" i="29"/>
  <c r="BS111" i="29"/>
  <c r="BT111" i="29"/>
  <c r="BU111" i="29"/>
  <c r="BV111" i="29"/>
  <c r="BW111" i="29"/>
  <c r="BX111" i="29"/>
  <c r="BY111" i="29"/>
  <c r="BZ111" i="29"/>
  <c r="AK52" i="29"/>
  <c r="AL52" i="29"/>
  <c r="AM52" i="29"/>
  <c r="AN52" i="29"/>
  <c r="AO52" i="29"/>
  <c r="AQ52" i="29"/>
  <c r="AP52" i="29"/>
  <c r="AR52" i="29"/>
  <c r="AS52" i="29"/>
  <c r="AT52" i="29"/>
  <c r="AU52" i="29"/>
  <c r="AV52" i="29"/>
  <c r="AW52" i="29"/>
  <c r="AX52" i="29"/>
  <c r="AY52" i="29"/>
  <c r="AZ52" i="29"/>
  <c r="BA52" i="29"/>
  <c r="BB52" i="29"/>
  <c r="BC52" i="29"/>
  <c r="BD52" i="29"/>
  <c r="BE52" i="29"/>
  <c r="BF52" i="29"/>
  <c r="BG52" i="29"/>
  <c r="BH52" i="29"/>
  <c r="BI52" i="29"/>
  <c r="BJ52" i="29"/>
  <c r="BK52" i="29"/>
  <c r="BL52" i="29"/>
  <c r="BM52" i="29"/>
  <c r="BN52" i="29"/>
  <c r="BO52" i="29"/>
  <c r="BP52" i="29"/>
  <c r="BQ52" i="29"/>
  <c r="BR52" i="29"/>
  <c r="BS52" i="29"/>
  <c r="BT52" i="29"/>
  <c r="BU52" i="29"/>
  <c r="BV52" i="29"/>
  <c r="BW52" i="29"/>
  <c r="BX52" i="29"/>
  <c r="BY52" i="29"/>
  <c r="BZ52" i="29"/>
  <c r="AP63" i="30" a="1"/>
  <c r="AP63" i="30" s="1"/>
  <c r="AL63" i="30" a="1"/>
  <c r="AL63" i="30" s="1"/>
  <c r="AH63" i="30" a="1"/>
  <c r="AH63" i="30" s="1"/>
  <c r="AX63" i="30" a="1"/>
  <c r="AX63" i="30" s="1"/>
  <c r="AT63" i="30" a="1"/>
  <c r="AT63" i="30" s="1"/>
  <c r="BI63" i="30" a="1"/>
  <c r="BI63" i="30" s="1"/>
  <c r="AW63" i="30" a="1"/>
  <c r="AW63" i="30" s="1"/>
  <c r="AS63" i="30" a="1"/>
  <c r="AS63" i="30" s="1"/>
  <c r="AK63" i="30" a="1"/>
  <c r="AK63" i="30" s="1"/>
  <c r="BE63" i="30" a="1"/>
  <c r="BE63" i="30" s="1"/>
  <c r="BA63" i="30" a="1"/>
  <c r="BA63" i="30" s="1"/>
  <c r="AO63" i="30" a="1"/>
  <c r="AO63" i="30" s="1"/>
  <c r="AG63" i="30" a="1"/>
  <c r="AG63" i="30" s="1"/>
  <c r="BH63" i="30" a="1"/>
  <c r="BH63" i="30" s="1"/>
  <c r="BD63" i="30" a="1"/>
  <c r="BD63" i="30" s="1"/>
  <c r="AZ63" i="30" a="1"/>
  <c r="AZ63" i="30" s="1"/>
  <c r="AR63" i="30" a="1"/>
  <c r="AR63" i="30" s="1"/>
  <c r="AN63" i="30" a="1"/>
  <c r="AN63" i="30" s="1"/>
  <c r="AJ63" i="30" a="1"/>
  <c r="AJ63" i="30" s="1"/>
  <c r="BG63" i="30" a="1"/>
  <c r="BG63" i="30" s="1"/>
  <c r="BB63" i="30" a="1"/>
  <c r="BB63" i="30" s="1"/>
  <c r="AV63" i="30" a="1"/>
  <c r="AV63" i="30" s="1"/>
  <c r="AF63" i="30" a="1"/>
  <c r="AF63" i="30" s="1"/>
  <c r="BC63" i="30" a="1"/>
  <c r="BC63" i="30" s="1"/>
  <c r="AY63" i="30" a="1"/>
  <c r="AY63" i="30" s="1"/>
  <c r="BF63" i="30" a="1"/>
  <c r="BF63" i="30" s="1"/>
  <c r="BJ63" i="30" a="1"/>
  <c r="BJ63" i="30" s="1"/>
  <c r="AU63" i="30" a="1"/>
  <c r="AU63" i="30" s="1"/>
  <c r="AQ63" i="30" a="1"/>
  <c r="AQ63" i="30" s="1"/>
  <c r="AI63" i="30" a="1"/>
  <c r="AI63" i="30" s="1"/>
  <c r="AM63" i="30" a="1"/>
  <c r="AM63" i="30" s="1"/>
  <c r="BK63" i="30" a="1"/>
  <c r="BK63" i="30" s="1"/>
  <c r="BL63" i="30" a="1"/>
  <c r="BL63" i="30" s="1"/>
  <c r="BM63" i="30" a="1"/>
  <c r="BM63" i="30" s="1"/>
  <c r="BN63" i="30" a="1"/>
  <c r="BN63" i="30" s="1"/>
  <c r="BO63" i="30" a="1"/>
  <c r="BO63" i="30" s="1"/>
  <c r="BP63" i="30" a="1"/>
  <c r="BP63" i="30" s="1"/>
  <c r="BQ63" i="30" a="1"/>
  <c r="BQ63" i="30" s="1"/>
  <c r="BR63" i="30" a="1"/>
  <c r="BR63" i="30" s="1"/>
  <c r="BS63" i="30" a="1"/>
  <c r="BS63" i="30" s="1"/>
  <c r="BT63" i="30" a="1"/>
  <c r="BT63" i="30" s="1"/>
  <c r="BU63" i="30" a="1"/>
  <c r="BU63" i="30" s="1"/>
  <c r="BV63" i="30" a="1"/>
  <c r="BV63" i="30" s="1"/>
  <c r="BW63" i="30" a="1"/>
  <c r="BW63" i="30" s="1"/>
  <c r="BX63" i="30" a="1"/>
  <c r="BX63" i="30" s="1"/>
  <c r="BY63" i="30" a="1"/>
  <c r="BY63" i="30" s="1"/>
  <c r="BZ63" i="30" a="1"/>
  <c r="BZ63" i="30" s="1"/>
  <c r="CA63" i="30" a="1"/>
  <c r="CA63" i="30" s="1"/>
  <c r="AQ61" i="30" a="1"/>
  <c r="AQ61" i="30" s="1"/>
  <c r="AM61" i="30" a="1"/>
  <c r="AM61" i="30" s="1"/>
  <c r="BF61" i="30" a="1"/>
  <c r="BF61" i="30" s="1"/>
  <c r="AO61" i="30" a="1"/>
  <c r="AO61" i="30" s="1"/>
  <c r="BG61" i="30" a="1"/>
  <c r="BG61" i="30" s="1"/>
  <c r="BC61" i="30" a="1"/>
  <c r="BC61" i="30" s="1"/>
  <c r="AI61" i="30" a="1"/>
  <c r="AI61" i="30" s="1"/>
  <c r="BI61" i="30" a="1"/>
  <c r="BI61" i="30" s="1"/>
  <c r="AG61" i="30" a="1"/>
  <c r="AG61" i="30" s="1"/>
  <c r="AY61" i="30" a="1"/>
  <c r="AY61" i="30" s="1"/>
  <c r="AL61" i="30" a="1"/>
  <c r="AL61" i="30" s="1"/>
  <c r="BB61" i="30" a="1"/>
  <c r="BB61" i="30" s="1"/>
  <c r="AX61" i="30" a="1"/>
  <c r="AX61" i="30" s="1"/>
  <c r="AH61" i="30" a="1"/>
  <c r="AH61" i="30" s="1"/>
  <c r="BE61" i="30" a="1"/>
  <c r="BE61" i="30" s="1"/>
  <c r="BA61" i="30" a="1"/>
  <c r="BA61" i="30" s="1"/>
  <c r="AW61" i="30" a="1"/>
  <c r="AW61" i="30" s="1"/>
  <c r="AK61" i="30" a="1"/>
  <c r="AK61" i="30" s="1"/>
  <c r="BH61" i="30" a="1"/>
  <c r="BH61" i="30" s="1"/>
  <c r="AU61" i="30" a="1"/>
  <c r="AU61" i="30" s="1"/>
  <c r="AT61" i="30" a="1"/>
  <c r="AT61" i="30" s="1"/>
  <c r="AP61" i="30" a="1"/>
  <c r="AP61" i="30" s="1"/>
  <c r="AS61" i="30" a="1"/>
  <c r="AS61" i="30" s="1"/>
  <c r="BD61" i="30" a="1"/>
  <c r="BD61" i="30" s="1"/>
  <c r="AR61" i="30" a="1"/>
  <c r="AR61" i="30" s="1"/>
  <c r="AN61" i="30" a="1"/>
  <c r="AN61" i="30" s="1"/>
  <c r="AZ61" i="30" a="1"/>
  <c r="AZ61" i="30" s="1"/>
  <c r="AV61" i="30" a="1"/>
  <c r="AV61" i="30" s="1"/>
  <c r="AJ61" i="30" a="1"/>
  <c r="AJ61" i="30" s="1"/>
  <c r="AF61" i="30" a="1"/>
  <c r="AF61" i="30" s="1"/>
  <c r="BJ61" i="30" a="1"/>
  <c r="BJ61" i="30" s="1"/>
  <c r="BK61" i="30" a="1"/>
  <c r="BK61" i="30" s="1"/>
  <c r="BL61" i="30" a="1"/>
  <c r="BL61" i="30" s="1"/>
  <c r="BM61" i="30" a="1"/>
  <c r="BM61" i="30" s="1"/>
  <c r="BN61" i="30" a="1"/>
  <c r="BN61" i="30" s="1"/>
  <c r="BO61" i="30" a="1"/>
  <c r="BO61" i="30" s="1"/>
  <c r="BP61" i="30" a="1"/>
  <c r="BP61" i="30" s="1"/>
  <c r="BQ61" i="30" a="1"/>
  <c r="BQ61" i="30" s="1"/>
  <c r="BR61" i="30" a="1"/>
  <c r="BR61" i="30" s="1"/>
  <c r="BS61" i="30" a="1"/>
  <c r="BS61" i="30" s="1"/>
  <c r="BT61" i="30" a="1"/>
  <c r="BT61" i="30" s="1"/>
  <c r="BU61" i="30" a="1"/>
  <c r="BU61" i="30" s="1"/>
  <c r="BV61" i="30" a="1"/>
  <c r="BV61" i="30" s="1"/>
  <c r="BW61" i="30" a="1"/>
  <c r="BW61" i="30" s="1"/>
  <c r="BX61" i="30" a="1"/>
  <c r="BX61" i="30" s="1"/>
  <c r="BY61" i="30" a="1"/>
  <c r="BY61" i="30" s="1"/>
  <c r="BZ61" i="30" a="1"/>
  <c r="BZ61" i="30" s="1"/>
  <c r="CA61" i="30" a="1"/>
  <c r="CA61" i="30" s="1"/>
  <c r="AN59" i="30" a="1"/>
  <c r="AN59" i="30" s="1"/>
  <c r="AI59" i="30" a="1"/>
  <c r="AI59" i="30" s="1"/>
  <c r="AG59" i="30" a="1"/>
  <c r="AG59" i="30" s="1"/>
  <c r="AS59" i="30" a="1"/>
  <c r="AS59" i="30" s="1"/>
  <c r="AF59" i="30" a="1"/>
  <c r="AF59" i="30" s="1"/>
  <c r="BF59" i="30" a="1"/>
  <c r="BF59" i="30" s="1"/>
  <c r="BC59" i="30" a="1"/>
  <c r="BC59" i="30" s="1"/>
  <c r="AX59" i="30" a="1"/>
  <c r="AX59" i="30" s="1"/>
  <c r="AY59" i="30" a="1"/>
  <c r="AY59" i="30" s="1"/>
  <c r="AK59" i="30" a="1"/>
  <c r="AK59" i="30" s="1"/>
  <c r="AJ59" i="30" a="1"/>
  <c r="AJ59" i="30" s="1"/>
  <c r="AU59" i="30" a="1"/>
  <c r="AU59" i="30" s="1"/>
  <c r="AP59" i="30" a="1"/>
  <c r="AP59" i="30" s="1"/>
  <c r="AL59" i="30" a="1"/>
  <c r="AL59" i="30" s="1"/>
  <c r="AO59" i="30" a="1"/>
  <c r="AO59" i="30" s="1"/>
  <c r="AM59" i="30" a="1"/>
  <c r="AM59" i="30" s="1"/>
  <c r="AH59" i="30" a="1"/>
  <c r="AH59" i="30" s="1"/>
  <c r="BB59" i="30" a="1"/>
  <c r="BB59" i="30" s="1"/>
  <c r="BE59" i="30" a="1"/>
  <c r="BE59" i="30" s="1"/>
  <c r="AW59" i="30" a="1"/>
  <c r="AW59" i="30" s="1"/>
  <c r="BA59" i="30" a="1"/>
  <c r="BA59" i="30" s="1"/>
  <c r="BD59" i="30" a="1"/>
  <c r="BD59" i="30" s="1"/>
  <c r="AT59" i="30" a="1"/>
  <c r="AT59" i="30" s="1"/>
  <c r="AZ59" i="30" a="1"/>
  <c r="AZ59" i="30" s="1"/>
  <c r="AR59" i="30" a="1"/>
  <c r="AR59" i="30" s="1"/>
  <c r="AV59" i="30" a="1"/>
  <c r="AV59" i="30" s="1"/>
  <c r="AQ59" i="30" a="1"/>
  <c r="AQ59" i="30" s="1"/>
  <c r="BG59" i="30" a="1"/>
  <c r="BG59" i="30" s="1"/>
  <c r="BH59" i="30" a="1"/>
  <c r="BH59" i="30" s="1"/>
  <c r="BI59" i="30" a="1"/>
  <c r="BI59" i="30" s="1"/>
  <c r="BJ59" i="30" a="1"/>
  <c r="BJ59" i="30" s="1"/>
  <c r="BK59" i="30" a="1"/>
  <c r="BK59" i="30" s="1"/>
  <c r="BL59" i="30" a="1"/>
  <c r="BL59" i="30" s="1"/>
  <c r="BM59" i="30" a="1"/>
  <c r="BM59" i="30" s="1"/>
  <c r="BN59" i="30" a="1"/>
  <c r="BN59" i="30" s="1"/>
  <c r="BO59" i="30" a="1"/>
  <c r="BO59" i="30" s="1"/>
  <c r="BP59" i="30" a="1"/>
  <c r="BP59" i="30" s="1"/>
  <c r="BQ59" i="30" a="1"/>
  <c r="BQ59" i="30" s="1"/>
  <c r="BR59" i="30" a="1"/>
  <c r="BR59" i="30" s="1"/>
  <c r="BS59" i="30" a="1"/>
  <c r="BS59" i="30" s="1"/>
  <c r="BT59" i="30" a="1"/>
  <c r="BT59" i="30" s="1"/>
  <c r="BU59" i="30" a="1"/>
  <c r="BU59" i="30" s="1"/>
  <c r="BV59" i="30" a="1"/>
  <c r="BV59" i="30" s="1"/>
  <c r="BW59" i="30" a="1"/>
  <c r="BW59" i="30" s="1"/>
  <c r="BX59" i="30" a="1"/>
  <c r="BX59" i="30" s="1"/>
  <c r="BY59" i="30" a="1"/>
  <c r="BY59" i="30" s="1"/>
  <c r="BZ59" i="30" a="1"/>
  <c r="BZ59" i="30" s="1"/>
  <c r="CA59" i="30" a="1"/>
  <c r="CA59" i="30" s="1"/>
  <c r="AG57" i="30" a="1"/>
  <c r="AG57" i="30" s="1"/>
  <c r="AR57" i="30" a="1"/>
  <c r="AR57" i="30" s="1"/>
  <c r="AU57" i="30" a="1"/>
  <c r="AU57" i="30" s="1"/>
  <c r="AY57" i="30" a="1"/>
  <c r="AY57" i="30" s="1"/>
  <c r="AI57" i="30" a="1"/>
  <c r="AI57" i="30" s="1"/>
  <c r="BD57" i="30" a="1"/>
  <c r="BD57" i="30" s="1"/>
  <c r="AX57" i="30" a="1"/>
  <c r="AX57" i="30" s="1"/>
  <c r="AV57" i="30" a="1"/>
  <c r="AV57" i="30" s="1"/>
  <c r="AJ57" i="30" a="1"/>
  <c r="AJ57" i="30" s="1"/>
  <c r="BB57" i="30" a="1"/>
  <c r="BB57" i="30" s="1"/>
  <c r="AN57" i="30" a="1"/>
  <c r="AN57" i="30" s="1"/>
  <c r="AF57" i="30" a="1"/>
  <c r="AF57" i="30" s="1"/>
  <c r="AL57" i="30" a="1"/>
  <c r="AL57" i="30" s="1"/>
  <c r="BA57" i="30" a="1"/>
  <c r="BA57" i="30" s="1"/>
  <c r="AK57" i="30" a="1"/>
  <c r="AK57" i="30" s="1"/>
  <c r="AM57" i="30" a="1"/>
  <c r="AM57" i="30" s="1"/>
  <c r="AZ57" i="30" a="1"/>
  <c r="AZ57" i="30" s="1"/>
  <c r="BC57" i="30" a="1"/>
  <c r="BC57" i="30" s="1"/>
  <c r="AT57" i="30" a="1"/>
  <c r="AT57" i="30" s="1"/>
  <c r="AQ57" i="30" a="1"/>
  <c r="AQ57" i="30" s="1"/>
  <c r="AP57" i="30" a="1"/>
  <c r="AP57" i="30" s="1"/>
  <c r="AS57" i="30" a="1"/>
  <c r="AS57" i="30" s="1"/>
  <c r="AW57" i="30" a="1"/>
  <c r="AW57" i="30" s="1"/>
  <c r="AH57" i="30" a="1"/>
  <c r="AH57" i="30" s="1"/>
  <c r="AO57" i="30" a="1"/>
  <c r="AO57" i="30" s="1"/>
  <c r="BE57" i="30" a="1"/>
  <c r="BE57" i="30" s="1"/>
  <c r="BF57" i="30" a="1"/>
  <c r="BF57" i="30" s="1"/>
  <c r="BG57" i="30" a="1"/>
  <c r="BG57" i="30" s="1"/>
  <c r="BH57" i="30" a="1"/>
  <c r="BH57" i="30" s="1"/>
  <c r="BI57" i="30" a="1"/>
  <c r="BI57" i="30" s="1"/>
  <c r="BJ57" i="30" a="1"/>
  <c r="BJ57" i="30" s="1"/>
  <c r="BK57" i="30" a="1"/>
  <c r="BK57" i="30" s="1"/>
  <c r="BL57" i="30" a="1"/>
  <c r="BL57" i="30" s="1"/>
  <c r="BM57" i="30" a="1"/>
  <c r="BM57" i="30" s="1"/>
  <c r="BN57" i="30" a="1"/>
  <c r="BN57" i="30" s="1"/>
  <c r="BO57" i="30" a="1"/>
  <c r="BO57" i="30" s="1"/>
  <c r="BP57" i="30" a="1"/>
  <c r="BP57" i="30" s="1"/>
  <c r="BQ57" i="30" a="1"/>
  <c r="BQ57" i="30" s="1"/>
  <c r="BR57" i="30" a="1"/>
  <c r="BR57" i="30" s="1"/>
  <c r="BS57" i="30" a="1"/>
  <c r="BS57" i="30" s="1"/>
  <c r="BT57" i="30" a="1"/>
  <c r="BT57" i="30" s="1"/>
  <c r="BU57" i="30" a="1"/>
  <c r="BU57" i="30" s="1"/>
  <c r="BV57" i="30" a="1"/>
  <c r="BV57" i="30" s="1"/>
  <c r="BW57" i="30" a="1"/>
  <c r="BW57" i="30" s="1"/>
  <c r="BX57" i="30" a="1"/>
  <c r="BX57" i="30" s="1"/>
  <c r="BY57" i="30" a="1"/>
  <c r="BY57" i="30" s="1"/>
  <c r="BZ57" i="30" a="1"/>
  <c r="BZ57" i="30" s="1"/>
  <c r="CA57" i="30" a="1"/>
  <c r="CA57" i="30" s="1"/>
  <c r="AT55" i="30" a="1"/>
  <c r="AT55" i="30" s="1"/>
  <c r="AG55" i="30" a="1"/>
  <c r="AG55" i="30" s="1"/>
  <c r="AS55" i="30" a="1"/>
  <c r="AS55" i="30" s="1"/>
  <c r="AL55" i="30" a="1"/>
  <c r="AL55" i="30" s="1"/>
  <c r="AF55" i="30" a="1"/>
  <c r="AF55" i="30" s="1"/>
  <c r="AM55" i="30" a="1"/>
  <c r="AM55" i="30" s="1"/>
  <c r="BA55" i="30" a="1"/>
  <c r="BA55" i="30" s="1"/>
  <c r="AK55" i="30" a="1"/>
  <c r="AK55" i="30" s="1"/>
  <c r="AJ55" i="30" a="1"/>
  <c r="AJ55" i="30" s="1"/>
  <c r="AY55" i="30" a="1"/>
  <c r="AY55" i="30" s="1"/>
  <c r="AV55" i="30" a="1"/>
  <c r="AV55" i="30" s="1"/>
  <c r="AU55" i="30" a="1"/>
  <c r="AU55" i="30" s="1"/>
  <c r="BB55" i="30" a="1"/>
  <c r="BB55" i="30" s="1"/>
  <c r="AZ55" i="30" a="1"/>
  <c r="AZ55" i="30" s="1"/>
  <c r="AX55" i="30" a="1"/>
  <c r="AX55" i="30" s="1"/>
  <c r="AR55" i="30" a="1"/>
  <c r="AR55" i="30" s="1"/>
  <c r="AO55" i="30" a="1"/>
  <c r="AO55" i="30" s="1"/>
  <c r="AQ55" i="30" a="1"/>
  <c r="AQ55" i="30" s="1"/>
  <c r="AN55" i="30" a="1"/>
  <c r="AN55" i="30" s="1"/>
  <c r="AI55" i="30" a="1"/>
  <c r="AI55" i="30" s="1"/>
  <c r="BC55" i="30" a="1"/>
  <c r="BC55" i="30" s="1"/>
  <c r="AP55" i="30" a="1"/>
  <c r="AP55" i="30" s="1"/>
  <c r="AH55" i="30" a="1"/>
  <c r="AH55" i="30" s="1"/>
  <c r="AW55" i="30" a="1"/>
  <c r="AW55" i="30" s="1"/>
  <c r="BD55" i="30" a="1"/>
  <c r="BD55" i="30" s="1"/>
  <c r="BE55" i="30" a="1"/>
  <c r="BE55" i="30" s="1"/>
  <c r="BF55" i="30" a="1"/>
  <c r="BF55" i="30" s="1"/>
  <c r="BG55" i="30" a="1"/>
  <c r="BG55" i="30" s="1"/>
  <c r="BH55" i="30" a="1"/>
  <c r="BH55" i="30" s="1"/>
  <c r="BI55" i="30" a="1"/>
  <c r="BI55" i="30" s="1"/>
  <c r="BJ55" i="30" a="1"/>
  <c r="BJ55" i="30" s="1"/>
  <c r="BK55" i="30" a="1"/>
  <c r="BK55" i="30" s="1"/>
  <c r="BL55" i="30" a="1"/>
  <c r="BL55" i="30" s="1"/>
  <c r="BM55" i="30" a="1"/>
  <c r="BM55" i="30" s="1"/>
  <c r="BN55" i="30" a="1"/>
  <c r="BN55" i="30" s="1"/>
  <c r="BO55" i="30" a="1"/>
  <c r="BO55" i="30" s="1"/>
  <c r="BP55" i="30" a="1"/>
  <c r="BP55" i="30" s="1"/>
  <c r="BQ55" i="30" a="1"/>
  <c r="BQ55" i="30" s="1"/>
  <c r="BR55" i="30" a="1"/>
  <c r="BR55" i="30" s="1"/>
  <c r="BS55" i="30" a="1"/>
  <c r="BS55" i="30" s="1"/>
  <c r="BT55" i="30" a="1"/>
  <c r="BT55" i="30" s="1"/>
  <c r="BU55" i="30" a="1"/>
  <c r="BU55" i="30" s="1"/>
  <c r="BV55" i="30" a="1"/>
  <c r="BV55" i="30" s="1"/>
  <c r="BW55" i="30" a="1"/>
  <c r="BW55" i="30" s="1"/>
  <c r="BX55" i="30" a="1"/>
  <c r="BX55" i="30" s="1"/>
  <c r="BY55" i="30" a="1"/>
  <c r="BY55" i="30" s="1"/>
  <c r="BZ55" i="30" a="1"/>
  <c r="BZ55" i="30" s="1"/>
  <c r="CA55" i="30" a="1"/>
  <c r="CA55" i="30" s="1"/>
  <c r="AJ53" i="30" a="1"/>
  <c r="AJ53" i="30" s="1"/>
  <c r="AL53" i="30" a="1"/>
  <c r="AL53" i="30" s="1"/>
  <c r="AS53" i="30" a="1"/>
  <c r="AS53" i="30" s="1"/>
  <c r="AI53" i="30" a="1"/>
  <c r="AI53" i="30" s="1"/>
  <c r="AV53" i="30" a="1"/>
  <c r="AV53" i="30" s="1"/>
  <c r="AY53" i="30" a="1"/>
  <c r="AY53" i="30" s="1"/>
  <c r="BA53" i="30" a="1"/>
  <c r="BA53" i="30" s="1"/>
  <c r="AX53" i="30" a="1"/>
  <c r="AX53" i="30" s="1"/>
  <c r="AQ53" i="30" a="1"/>
  <c r="AQ53" i="30" s="1"/>
  <c r="AK53" i="30" a="1"/>
  <c r="AK53" i="30" s="1"/>
  <c r="AO53" i="30" a="1"/>
  <c r="AO53" i="30" s="1"/>
  <c r="AH53" i="30" a="1"/>
  <c r="AH53" i="30" s="1"/>
  <c r="AP53" i="30" a="1"/>
  <c r="AP53" i="30" s="1"/>
  <c r="AW53" i="30" a="1"/>
  <c r="AW53" i="30" s="1"/>
  <c r="AM53" i="30" a="1"/>
  <c r="AM53" i="30" s="1"/>
  <c r="AT53" i="30" a="1"/>
  <c r="AT53" i="30" s="1"/>
  <c r="AG53" i="30" a="1"/>
  <c r="AG53" i="30" s="1"/>
  <c r="AN53" i="30" a="1"/>
  <c r="AN53" i="30" s="1"/>
  <c r="AF53" i="30" a="1"/>
  <c r="AF53" i="30" s="1"/>
  <c r="AR53" i="30" a="1"/>
  <c r="AR53" i="30" s="1"/>
  <c r="AZ53" i="30" a="1"/>
  <c r="AZ53" i="30" s="1"/>
  <c r="AU53" i="30" a="1"/>
  <c r="AU53" i="30" s="1"/>
  <c r="BB53" i="30" a="1"/>
  <c r="BB53" i="30" s="1"/>
  <c r="BC53" i="30" a="1"/>
  <c r="BC53" i="30" s="1"/>
  <c r="BD53" i="30" a="1"/>
  <c r="BD53" i="30" s="1"/>
  <c r="BE53" i="30" a="1"/>
  <c r="BE53" i="30" s="1"/>
  <c r="BF53" i="30" a="1"/>
  <c r="BF53" i="30" s="1"/>
  <c r="BG53" i="30" a="1"/>
  <c r="BG53" i="30" s="1"/>
  <c r="BH53" i="30" a="1"/>
  <c r="BH53" i="30" s="1"/>
  <c r="BI53" i="30" a="1"/>
  <c r="BI53" i="30" s="1"/>
  <c r="BJ53" i="30" a="1"/>
  <c r="BJ53" i="30" s="1"/>
  <c r="BK53" i="30" a="1"/>
  <c r="BK53" i="30" s="1"/>
  <c r="BL53" i="30" a="1"/>
  <c r="BL53" i="30" s="1"/>
  <c r="BM53" i="30" a="1"/>
  <c r="BM53" i="30" s="1"/>
  <c r="BN53" i="30" a="1"/>
  <c r="BN53" i="30" s="1"/>
  <c r="BO53" i="30" a="1"/>
  <c r="BO53" i="30" s="1"/>
  <c r="BP53" i="30" a="1"/>
  <c r="BP53" i="30" s="1"/>
  <c r="BQ53" i="30" a="1"/>
  <c r="BQ53" i="30" s="1"/>
  <c r="BR53" i="30" a="1"/>
  <c r="BR53" i="30" s="1"/>
  <c r="BS53" i="30" a="1"/>
  <c r="BS53" i="30" s="1"/>
  <c r="BT53" i="30" a="1"/>
  <c r="BT53" i="30" s="1"/>
  <c r="BU53" i="30" a="1"/>
  <c r="BU53" i="30" s="1"/>
  <c r="BV53" i="30" a="1"/>
  <c r="BV53" i="30" s="1"/>
  <c r="BW53" i="30" a="1"/>
  <c r="BW53" i="30" s="1"/>
  <c r="BX53" i="30" a="1"/>
  <c r="BX53" i="30" s="1"/>
  <c r="BY53" i="30" a="1"/>
  <c r="BY53" i="30" s="1"/>
  <c r="BZ53" i="30" a="1"/>
  <c r="BZ53" i="30" s="1"/>
  <c r="CA53" i="30" a="1"/>
  <c r="CA53" i="30" s="1"/>
  <c r="AI51" i="30" a="1"/>
  <c r="AI51" i="30" s="1"/>
  <c r="AX51" i="30" a="1"/>
  <c r="AX51" i="30" s="1"/>
  <c r="AM51" i="30" a="1"/>
  <c r="AM51" i="30" s="1"/>
  <c r="AR51" i="30" a="1"/>
  <c r="AR51" i="30" s="1"/>
  <c r="AP51" i="30" a="1"/>
  <c r="AP51" i="30" s="1"/>
  <c r="AU51" i="30" a="1"/>
  <c r="AU51" i="30" s="1"/>
  <c r="AG51" i="30" a="1"/>
  <c r="AG51" i="30" s="1"/>
  <c r="AH51" i="30" a="1"/>
  <c r="AH51" i="30" s="1"/>
  <c r="AO51" i="30" a="1"/>
  <c r="AO51" i="30" s="1"/>
  <c r="AW51" i="30" a="1"/>
  <c r="AW51" i="30" s="1"/>
  <c r="AN51" i="30" a="1"/>
  <c r="AN51" i="30" s="1"/>
  <c r="AF51" i="30" a="1"/>
  <c r="AF51" i="30" s="1"/>
  <c r="AV51" i="30" a="1"/>
  <c r="AV51" i="30" s="1"/>
  <c r="AQ51" i="30" a="1"/>
  <c r="AQ51" i="30" s="1"/>
  <c r="AT51" i="30" a="1"/>
  <c r="AT51" i="30" s="1"/>
  <c r="AS51" i="30" a="1"/>
  <c r="AS51" i="30" s="1"/>
  <c r="AL51" i="30" a="1"/>
  <c r="AL51" i="30" s="1"/>
  <c r="AK51" i="30" a="1"/>
  <c r="AK51" i="30" s="1"/>
  <c r="AJ51" i="30" a="1"/>
  <c r="AJ51" i="30" s="1"/>
  <c r="AY51" i="30" a="1"/>
  <c r="AY51" i="30" s="1"/>
  <c r="AZ51" i="30" a="1"/>
  <c r="AZ51" i="30" s="1"/>
  <c r="BA51" i="30" a="1"/>
  <c r="BA51" i="30" s="1"/>
  <c r="BB51" i="30" a="1"/>
  <c r="BB51" i="30" s="1"/>
  <c r="BC51" i="30" a="1"/>
  <c r="BC51" i="30" s="1"/>
  <c r="BD51" i="30" a="1"/>
  <c r="BD51" i="30" s="1"/>
  <c r="BE51" i="30" a="1"/>
  <c r="BE51" i="30" s="1"/>
  <c r="BF51" i="30" a="1"/>
  <c r="BF51" i="30" s="1"/>
  <c r="BG51" i="30" a="1"/>
  <c r="BG51" i="30" s="1"/>
  <c r="BH51" i="30" a="1"/>
  <c r="BH51" i="30" s="1"/>
  <c r="BI51" i="30" a="1"/>
  <c r="BI51" i="30" s="1"/>
  <c r="BJ51" i="30" a="1"/>
  <c r="BJ51" i="30" s="1"/>
  <c r="BK51" i="30" a="1"/>
  <c r="BK51" i="30" s="1"/>
  <c r="BL51" i="30" a="1"/>
  <c r="BL51" i="30" s="1"/>
  <c r="BM51" i="30" a="1"/>
  <c r="BM51" i="30" s="1"/>
  <c r="BN51" i="30" a="1"/>
  <c r="BN51" i="30" s="1"/>
  <c r="BO51" i="30" a="1"/>
  <c r="BO51" i="30" s="1"/>
  <c r="BP51" i="30" a="1"/>
  <c r="BP51" i="30" s="1"/>
  <c r="BQ51" i="30" a="1"/>
  <c r="BQ51" i="30" s="1"/>
  <c r="BR51" i="30" a="1"/>
  <c r="BR51" i="30" s="1"/>
  <c r="BS51" i="30" a="1"/>
  <c r="BS51" i="30" s="1"/>
  <c r="BT51" i="30" a="1"/>
  <c r="BT51" i="30" s="1"/>
  <c r="BU51" i="30" a="1"/>
  <c r="BU51" i="30" s="1"/>
  <c r="BV51" i="30" a="1"/>
  <c r="BV51" i="30" s="1"/>
  <c r="BW51" i="30" a="1"/>
  <c r="BW51" i="30" s="1"/>
  <c r="BX51" i="30" a="1"/>
  <c r="BX51" i="30" s="1"/>
  <c r="BY51" i="30" a="1"/>
  <c r="BY51" i="30" s="1"/>
  <c r="BZ51" i="30" a="1"/>
  <c r="BZ51" i="30" s="1"/>
  <c r="CA51" i="30" a="1"/>
  <c r="CA51" i="30" s="1"/>
  <c r="AS49" i="30" a="1"/>
  <c r="AS49" i="30" s="1"/>
  <c r="AK49" i="30" a="1"/>
  <c r="AK49" i="30" s="1"/>
  <c r="AQ49" i="30" a="1"/>
  <c r="AQ49" i="30" s="1"/>
  <c r="AR49" i="30" a="1"/>
  <c r="AR49" i="30" s="1"/>
  <c r="AP49" i="30" a="1"/>
  <c r="AP49" i="30" s="1"/>
  <c r="AH49" i="30" a="1"/>
  <c r="AH49" i="30" s="1"/>
  <c r="AW49" i="30" a="1"/>
  <c r="AW49" i="30" s="1"/>
  <c r="AG49" i="30" a="1"/>
  <c r="AG49" i="30" s="1"/>
  <c r="AJ49" i="30" a="1"/>
  <c r="AJ49" i="30" s="1"/>
  <c r="AO49" i="30" a="1"/>
  <c r="AO49" i="30" s="1"/>
  <c r="AV49" i="30" a="1"/>
  <c r="AV49" i="30" s="1"/>
  <c r="AT49" i="30" a="1"/>
  <c r="AT49" i="30" s="1"/>
  <c r="AN49" i="30" a="1"/>
  <c r="AN49" i="30" s="1"/>
  <c r="AM49" i="30" a="1"/>
  <c r="AM49" i="30" s="1"/>
  <c r="AI49" i="30" a="1"/>
  <c r="AI49" i="30" s="1"/>
  <c r="AF49" i="30" a="1"/>
  <c r="AF49" i="30" s="1"/>
  <c r="AU49" i="30" a="1"/>
  <c r="AU49" i="30" s="1"/>
  <c r="AL49" i="30" a="1"/>
  <c r="AL49" i="30" s="1"/>
  <c r="AX49" i="30" a="1"/>
  <c r="AX49" i="30" s="1"/>
  <c r="AY49" i="30" a="1"/>
  <c r="AY49" i="30" s="1"/>
  <c r="AZ49" i="30" a="1"/>
  <c r="AZ49" i="30" s="1"/>
  <c r="BA49" i="30" a="1"/>
  <c r="BA49" i="30" s="1"/>
  <c r="BB49" i="30" a="1"/>
  <c r="BB49" i="30" s="1"/>
  <c r="BC49" i="30" a="1"/>
  <c r="BC49" i="30" s="1"/>
  <c r="BD49" i="30" a="1"/>
  <c r="BD49" i="30" s="1"/>
  <c r="BE49" i="30" a="1"/>
  <c r="BE49" i="30" s="1"/>
  <c r="BF49" i="30" a="1"/>
  <c r="BF49" i="30" s="1"/>
  <c r="BG49" i="30" a="1"/>
  <c r="BG49" i="30" s="1"/>
  <c r="BH49" i="30" a="1"/>
  <c r="BH49" i="30" s="1"/>
  <c r="BI49" i="30" a="1"/>
  <c r="BI49" i="30" s="1"/>
  <c r="BJ49" i="30" a="1"/>
  <c r="BJ49" i="30" s="1"/>
  <c r="BK49" i="30" a="1"/>
  <c r="BK49" i="30" s="1"/>
  <c r="BL49" i="30" a="1"/>
  <c r="BL49" i="30" s="1"/>
  <c r="BM49" i="30" a="1"/>
  <c r="BM49" i="30" s="1"/>
  <c r="BN49" i="30" a="1"/>
  <c r="BN49" i="30" s="1"/>
  <c r="BO49" i="30" a="1"/>
  <c r="BO49" i="30" s="1"/>
  <c r="BP49" i="30" a="1"/>
  <c r="BP49" i="30" s="1"/>
  <c r="BQ49" i="30" a="1"/>
  <c r="BQ49" i="30" s="1"/>
  <c r="BR49" i="30" a="1"/>
  <c r="BR49" i="30" s="1"/>
  <c r="BS49" i="30" a="1"/>
  <c r="BS49" i="30" s="1"/>
  <c r="BT49" i="30" a="1"/>
  <c r="BT49" i="30" s="1"/>
  <c r="BU49" i="30" a="1"/>
  <c r="BU49" i="30" s="1"/>
  <c r="BV49" i="30" a="1"/>
  <c r="BV49" i="30" s="1"/>
  <c r="BW49" i="30" a="1"/>
  <c r="BW49" i="30" s="1"/>
  <c r="BX49" i="30" a="1"/>
  <c r="BX49" i="30" s="1"/>
  <c r="BY49" i="30" a="1"/>
  <c r="BY49" i="30" s="1"/>
  <c r="BZ49" i="30" a="1"/>
  <c r="BZ49" i="30" s="1"/>
  <c r="CA49" i="30" a="1"/>
  <c r="CA49" i="30" s="1"/>
  <c r="AQ47" i="30" a="1"/>
  <c r="AQ47" i="30" s="1"/>
  <c r="AM47" i="30" a="1"/>
  <c r="AM47" i="30" s="1"/>
  <c r="AT47" i="30" a="1"/>
  <c r="AT47" i="30" s="1"/>
  <c r="AL47" i="30" a="1"/>
  <c r="AL47" i="30" s="1"/>
  <c r="AS47" i="30" a="1"/>
  <c r="AS47" i="30" s="1"/>
  <c r="AK47" i="30" a="1"/>
  <c r="AK47" i="30" s="1"/>
  <c r="AR47" i="30" a="1"/>
  <c r="AR47" i="30" s="1"/>
  <c r="AJ47" i="30" a="1"/>
  <c r="AJ47" i="30" s="1"/>
  <c r="AI47" i="30" a="1"/>
  <c r="AI47" i="30" s="1"/>
  <c r="AH47" i="30" a="1"/>
  <c r="AH47" i="30" s="1"/>
  <c r="AG47" i="30" a="1"/>
  <c r="AG47" i="30" s="1"/>
  <c r="AP47" i="30" a="1"/>
  <c r="AP47" i="30" s="1"/>
  <c r="AF47" i="30" a="1"/>
  <c r="AF47" i="30" s="1"/>
  <c r="AO47" i="30" a="1"/>
  <c r="AO47" i="30" s="1"/>
  <c r="AN47" i="30" a="1"/>
  <c r="AN47" i="30" s="1"/>
  <c r="AU47" i="30" a="1"/>
  <c r="AU47" i="30" s="1"/>
  <c r="AV47" i="30" a="1"/>
  <c r="AV47" i="30" s="1"/>
  <c r="AW47" i="30" a="1"/>
  <c r="AW47" i="30" s="1"/>
  <c r="AX47" i="30" a="1"/>
  <c r="AX47" i="30" s="1"/>
  <c r="AY47" i="30" a="1"/>
  <c r="AY47" i="30" s="1"/>
  <c r="AZ47" i="30" a="1"/>
  <c r="AZ47" i="30" s="1"/>
  <c r="BA47" i="30" a="1"/>
  <c r="BA47" i="30" s="1"/>
  <c r="BB47" i="30" a="1"/>
  <c r="BB47" i="30" s="1"/>
  <c r="BC47" i="30" a="1"/>
  <c r="BC47" i="30" s="1"/>
  <c r="BD47" i="30" a="1"/>
  <c r="BD47" i="30" s="1"/>
  <c r="BE47" i="30" a="1"/>
  <c r="BE47" i="30" s="1"/>
  <c r="BF47" i="30" a="1"/>
  <c r="BF47" i="30" s="1"/>
  <c r="BG47" i="30" a="1"/>
  <c r="BG47" i="30" s="1"/>
  <c r="BH47" i="30" a="1"/>
  <c r="BH47" i="30" s="1"/>
  <c r="BI47" i="30" a="1"/>
  <c r="BI47" i="30" s="1"/>
  <c r="BJ47" i="30" a="1"/>
  <c r="BJ47" i="30" s="1"/>
  <c r="BK47" i="30" a="1"/>
  <c r="BK47" i="30" s="1"/>
  <c r="BL47" i="30" a="1"/>
  <c r="BL47" i="30" s="1"/>
  <c r="BM47" i="30" a="1"/>
  <c r="BM47" i="30" s="1"/>
  <c r="BN47" i="30" a="1"/>
  <c r="BN47" i="30" s="1"/>
  <c r="BO47" i="30" a="1"/>
  <c r="BO47" i="30" s="1"/>
  <c r="BP47" i="30" a="1"/>
  <c r="BP47" i="30" s="1"/>
  <c r="BQ47" i="30" a="1"/>
  <c r="BQ47" i="30" s="1"/>
  <c r="BR47" i="30" a="1"/>
  <c r="BR47" i="30" s="1"/>
  <c r="BS47" i="30" a="1"/>
  <c r="BS47" i="30" s="1"/>
  <c r="BT47" i="30" a="1"/>
  <c r="BT47" i="30" s="1"/>
  <c r="BU47" i="30" a="1"/>
  <c r="BU47" i="30" s="1"/>
  <c r="BV47" i="30" a="1"/>
  <c r="BV47" i="30" s="1"/>
  <c r="BW47" i="30" a="1"/>
  <c r="BW47" i="30" s="1"/>
  <c r="BX47" i="30" a="1"/>
  <c r="BX47" i="30" s="1"/>
  <c r="BY47" i="30" a="1"/>
  <c r="BY47" i="30" s="1"/>
  <c r="BZ47" i="30" a="1"/>
  <c r="BZ47" i="30" s="1"/>
  <c r="CA47" i="30" a="1"/>
  <c r="CA47" i="30" s="1"/>
  <c r="AM45" i="30" a="1"/>
  <c r="AM45" i="30" s="1"/>
  <c r="AR45" i="30" a="1"/>
  <c r="AR45" i="30" s="1"/>
  <c r="AL45" i="30" a="1"/>
  <c r="AL45" i="30" s="1"/>
  <c r="AK45" i="30" a="1"/>
  <c r="AK45" i="30" s="1"/>
  <c r="AH45" i="30" a="1"/>
  <c r="AH45" i="30" s="1"/>
  <c r="AG45" i="30" a="1"/>
  <c r="AG45" i="30" s="1"/>
  <c r="AN45" i="30" a="1"/>
  <c r="AN45" i="30" s="1"/>
  <c r="AJ45" i="30" a="1"/>
  <c r="AJ45" i="30" s="1"/>
  <c r="AP45" i="30" a="1"/>
  <c r="AP45" i="30" s="1"/>
  <c r="AO45" i="30" a="1"/>
  <c r="AO45" i="30" s="1"/>
  <c r="AF45" i="30" a="1"/>
  <c r="AF45" i="30" s="1"/>
  <c r="AI45" i="30" a="1"/>
  <c r="AI45" i="30" s="1"/>
  <c r="AS45" i="30" a="1"/>
  <c r="AS45" i="30" s="1"/>
  <c r="AQ45" i="30" a="1"/>
  <c r="AQ45" i="30" s="1"/>
  <c r="AT45" i="30" a="1"/>
  <c r="AT45" i="30" s="1"/>
  <c r="AU45" i="30" a="1"/>
  <c r="AU45" i="30" s="1"/>
  <c r="AV45" i="30" a="1"/>
  <c r="AV45" i="30" s="1"/>
  <c r="AW45" i="30" a="1"/>
  <c r="AW45" i="30" s="1"/>
  <c r="AX45" i="30" a="1"/>
  <c r="AX45" i="30" s="1"/>
  <c r="AY45" i="30" a="1"/>
  <c r="AY45" i="30" s="1"/>
  <c r="AZ45" i="30" a="1"/>
  <c r="AZ45" i="30" s="1"/>
  <c r="BA45" i="30" a="1"/>
  <c r="BA45" i="30" s="1"/>
  <c r="BB45" i="30" a="1"/>
  <c r="BB45" i="30" s="1"/>
  <c r="BC45" i="30" a="1"/>
  <c r="BC45" i="30" s="1"/>
  <c r="BD45" i="30" a="1"/>
  <c r="BD45" i="30" s="1"/>
  <c r="BE45" i="30" a="1"/>
  <c r="BE45" i="30" s="1"/>
  <c r="BF45" i="30" a="1"/>
  <c r="BF45" i="30" s="1"/>
  <c r="BG45" i="30" a="1"/>
  <c r="BG45" i="30" s="1"/>
  <c r="BH45" i="30" a="1"/>
  <c r="BH45" i="30" s="1"/>
  <c r="BI45" i="30" a="1"/>
  <c r="BI45" i="30" s="1"/>
  <c r="BJ45" i="30" a="1"/>
  <c r="BJ45" i="30" s="1"/>
  <c r="BK45" i="30" a="1"/>
  <c r="BK45" i="30" s="1"/>
  <c r="BL45" i="30" a="1"/>
  <c r="BL45" i="30" s="1"/>
  <c r="BM45" i="30" a="1"/>
  <c r="BM45" i="30" s="1"/>
  <c r="BN45" i="30" a="1"/>
  <c r="BN45" i="30" s="1"/>
  <c r="BO45" i="30" a="1"/>
  <c r="BO45" i="30" s="1"/>
  <c r="BP45" i="30" a="1"/>
  <c r="BP45" i="30" s="1"/>
  <c r="BQ45" i="30" a="1"/>
  <c r="BQ45" i="30" s="1"/>
  <c r="BR45" i="30" a="1"/>
  <c r="BR45" i="30" s="1"/>
  <c r="BS45" i="30" a="1"/>
  <c r="BS45" i="30" s="1"/>
  <c r="BT45" i="30" a="1"/>
  <c r="BT45" i="30" s="1"/>
  <c r="BU45" i="30" a="1"/>
  <c r="BU45" i="30" s="1"/>
  <c r="BV45" i="30" a="1"/>
  <c r="BV45" i="30" s="1"/>
  <c r="BW45" i="30" a="1"/>
  <c r="BW45" i="30" s="1"/>
  <c r="BX45" i="30" a="1"/>
  <c r="BX45" i="30" s="1"/>
  <c r="BY45" i="30" a="1"/>
  <c r="BY45" i="30" s="1"/>
  <c r="BZ45" i="30" a="1"/>
  <c r="BZ45" i="30" s="1"/>
  <c r="CA45" i="30" a="1"/>
  <c r="CA45" i="30" s="1"/>
  <c r="AK43" i="30" a="1"/>
  <c r="AK43" i="30" s="1"/>
  <c r="AJ43" i="30" a="1"/>
  <c r="AJ43" i="30" s="1"/>
  <c r="AM43" i="30" a="1"/>
  <c r="AM43" i="30" s="1"/>
  <c r="AL43" i="30" a="1"/>
  <c r="AL43" i="30" s="1"/>
  <c r="AQ43" i="30" a="1"/>
  <c r="AQ43" i="30" s="1"/>
  <c r="AI43" i="30" a="1"/>
  <c r="AI43" i="30" s="1"/>
  <c r="AO43" i="30" a="1"/>
  <c r="AO43" i="30" s="1"/>
  <c r="AN43" i="30" a="1"/>
  <c r="AN43" i="30" s="1"/>
  <c r="AP43" i="30" a="1"/>
  <c r="AP43" i="30" s="1"/>
  <c r="AH43" i="30" a="1"/>
  <c r="AH43" i="30" s="1"/>
  <c r="AG43" i="30" a="1"/>
  <c r="AG43" i="30" s="1"/>
  <c r="AF43" i="30" a="1"/>
  <c r="AF43" i="30" s="1"/>
  <c r="AR43" i="30" a="1"/>
  <c r="AR43" i="30" s="1"/>
  <c r="AS43" i="30" a="1"/>
  <c r="AS43" i="30" s="1"/>
  <c r="AT43" i="30" a="1"/>
  <c r="AT43" i="30" s="1"/>
  <c r="AU43" i="30" a="1"/>
  <c r="AU43" i="30" s="1"/>
  <c r="AV43" i="30" a="1"/>
  <c r="AV43" i="30" s="1"/>
  <c r="AW43" i="30" a="1"/>
  <c r="AW43" i="30" s="1"/>
  <c r="AX43" i="30" a="1"/>
  <c r="AX43" i="30" s="1"/>
  <c r="AY43" i="30" a="1"/>
  <c r="AY43" i="30" s="1"/>
  <c r="AZ43" i="30" a="1"/>
  <c r="AZ43" i="30" s="1"/>
  <c r="BA43" i="30" a="1"/>
  <c r="BA43" i="30" s="1"/>
  <c r="BB43" i="30" a="1"/>
  <c r="BB43" i="30" s="1"/>
  <c r="BC43" i="30" a="1"/>
  <c r="BC43" i="30" s="1"/>
  <c r="BD43" i="30" a="1"/>
  <c r="BD43" i="30" s="1"/>
  <c r="BE43" i="30" a="1"/>
  <c r="BE43" i="30" s="1"/>
  <c r="BF43" i="30" a="1"/>
  <c r="BF43" i="30" s="1"/>
  <c r="BG43" i="30" a="1"/>
  <c r="BG43" i="30" s="1"/>
  <c r="BH43" i="30" a="1"/>
  <c r="BH43" i="30" s="1"/>
  <c r="BI43" i="30" a="1"/>
  <c r="BI43" i="30" s="1"/>
  <c r="BJ43" i="30" a="1"/>
  <c r="BJ43" i="30" s="1"/>
  <c r="BK43" i="30" a="1"/>
  <c r="BK43" i="30" s="1"/>
  <c r="BL43" i="30" a="1"/>
  <c r="BL43" i="30" s="1"/>
  <c r="BM43" i="30" a="1"/>
  <c r="BM43" i="30" s="1"/>
  <c r="BN43" i="30" a="1"/>
  <c r="BN43" i="30" s="1"/>
  <c r="BO43" i="30" a="1"/>
  <c r="BO43" i="30" s="1"/>
  <c r="BP43" i="30" a="1"/>
  <c r="BP43" i="30" s="1"/>
  <c r="BQ43" i="30" a="1"/>
  <c r="BQ43" i="30" s="1"/>
  <c r="BR43" i="30" a="1"/>
  <c r="BR43" i="30" s="1"/>
  <c r="BS43" i="30" a="1"/>
  <c r="BS43" i="30" s="1"/>
  <c r="BT43" i="30" a="1"/>
  <c r="BT43" i="30" s="1"/>
  <c r="BU43" i="30" a="1"/>
  <c r="BU43" i="30" s="1"/>
  <c r="BV43" i="30" a="1"/>
  <c r="BV43" i="30" s="1"/>
  <c r="BW43" i="30" a="1"/>
  <c r="BW43" i="30" s="1"/>
  <c r="BX43" i="30" a="1"/>
  <c r="BX43" i="30" s="1"/>
  <c r="BY43" i="30" a="1"/>
  <c r="BY43" i="30" s="1"/>
  <c r="BZ43" i="30" a="1"/>
  <c r="BZ43" i="30" s="1"/>
  <c r="CA43" i="30" a="1"/>
  <c r="CA43" i="30" s="1"/>
  <c r="AM41" i="30" a="1"/>
  <c r="AM41" i="30" s="1"/>
  <c r="AG41" i="30" a="1"/>
  <c r="AG41" i="30" s="1"/>
  <c r="AL41" i="30" a="1"/>
  <c r="AL41" i="30" s="1"/>
  <c r="AJ41" i="30" a="1"/>
  <c r="AJ41" i="30" s="1"/>
  <c r="AK41" i="30" a="1"/>
  <c r="AK41" i="30" s="1"/>
  <c r="AH41" i="30" a="1"/>
  <c r="AH41" i="30" s="1"/>
  <c r="AN41" i="30" a="1"/>
  <c r="AN41" i="30" s="1"/>
  <c r="AI41" i="30" a="1"/>
  <c r="AI41" i="30" s="1"/>
  <c r="AF41" i="30" a="1"/>
  <c r="AF41" i="30" s="1"/>
  <c r="AO41" i="30" a="1"/>
  <c r="AO41" i="30" s="1"/>
  <c r="AP41" i="30" a="1"/>
  <c r="AP41" i="30" s="1"/>
  <c r="AQ41" i="30" a="1"/>
  <c r="AQ41" i="30" s="1"/>
  <c r="AR41" i="30" a="1"/>
  <c r="AR41" i="30" s="1"/>
  <c r="AS41" i="30" a="1"/>
  <c r="AS41" i="30" s="1"/>
  <c r="AT41" i="30" a="1"/>
  <c r="AT41" i="30" s="1"/>
  <c r="AU41" i="30" a="1"/>
  <c r="AU41" i="30" s="1"/>
  <c r="AV41" i="30" a="1"/>
  <c r="AV41" i="30" s="1"/>
  <c r="AW41" i="30" a="1"/>
  <c r="AW41" i="30" s="1"/>
  <c r="AX41" i="30" a="1"/>
  <c r="AX41" i="30" s="1"/>
  <c r="AY41" i="30" a="1"/>
  <c r="AY41" i="30" s="1"/>
  <c r="AZ41" i="30" a="1"/>
  <c r="AZ41" i="30" s="1"/>
  <c r="BA41" i="30" a="1"/>
  <c r="BA41" i="30" s="1"/>
  <c r="BB41" i="30" a="1"/>
  <c r="BB41" i="30" s="1"/>
  <c r="BC41" i="30" a="1"/>
  <c r="BC41" i="30" s="1"/>
  <c r="BD41" i="30" a="1"/>
  <c r="BD41" i="30" s="1"/>
  <c r="BE41" i="30" a="1"/>
  <c r="BE41" i="30" s="1"/>
  <c r="BF41" i="30" a="1"/>
  <c r="BF41" i="30" s="1"/>
  <c r="BG41" i="30" a="1"/>
  <c r="BG41" i="30" s="1"/>
  <c r="BH41" i="30" a="1"/>
  <c r="BH41" i="30" s="1"/>
  <c r="BI41" i="30" a="1"/>
  <c r="BI41" i="30" s="1"/>
  <c r="BJ41" i="30" a="1"/>
  <c r="BJ41" i="30" s="1"/>
  <c r="BK41" i="30" a="1"/>
  <c r="BK41" i="30" s="1"/>
  <c r="BL41" i="30" a="1"/>
  <c r="BL41" i="30" s="1"/>
  <c r="BM41" i="30" a="1"/>
  <c r="BM41" i="30" s="1"/>
  <c r="BN41" i="30" a="1"/>
  <c r="BN41" i="30" s="1"/>
  <c r="BO41" i="30" a="1"/>
  <c r="BO41" i="30" s="1"/>
  <c r="BP41" i="30" a="1"/>
  <c r="BP41" i="30" s="1"/>
  <c r="BQ41" i="30" a="1"/>
  <c r="BQ41" i="30" s="1"/>
  <c r="BR41" i="30" a="1"/>
  <c r="BR41" i="30" s="1"/>
  <c r="BS41" i="30" a="1"/>
  <c r="BS41" i="30" s="1"/>
  <c r="BT41" i="30" a="1"/>
  <c r="BT41" i="30" s="1"/>
  <c r="BU41" i="30" a="1"/>
  <c r="BU41" i="30" s="1"/>
  <c r="BV41" i="30" a="1"/>
  <c r="BV41" i="30" s="1"/>
  <c r="BW41" i="30" a="1"/>
  <c r="BW41" i="30" s="1"/>
  <c r="BX41" i="30" a="1"/>
  <c r="BX41" i="30" s="1"/>
  <c r="BY41" i="30" a="1"/>
  <c r="BY41" i="30" s="1"/>
  <c r="BZ41" i="30" a="1"/>
  <c r="BZ41" i="30" s="1"/>
  <c r="CA41" i="30" a="1"/>
  <c r="CA41" i="30" s="1"/>
  <c r="AK39" i="30" a="1"/>
  <c r="AK39" i="30" s="1"/>
  <c r="AM39" i="30" a="1"/>
  <c r="AM39" i="30" s="1"/>
  <c r="AG39" i="30" a="1"/>
  <c r="AG39" i="30" s="1"/>
  <c r="AF39" i="30" a="1"/>
  <c r="AF39" i="30" s="1"/>
  <c r="AJ39" i="30" a="1"/>
  <c r="AJ39" i="30" s="1"/>
  <c r="AI39" i="30" a="1"/>
  <c r="AI39" i="30" s="1"/>
  <c r="AL39" i="30" a="1"/>
  <c r="AL39" i="30" s="1"/>
  <c r="AH39" i="30" a="1"/>
  <c r="AH39" i="30" s="1"/>
  <c r="AN39" i="30" a="1"/>
  <c r="AN39" i="30" s="1"/>
  <c r="AO39" i="30" a="1"/>
  <c r="AO39" i="30" s="1"/>
  <c r="AP39" i="30" a="1"/>
  <c r="AP39" i="30" s="1"/>
  <c r="AQ39" i="30" a="1"/>
  <c r="AQ39" i="30" s="1"/>
  <c r="AR39" i="30" a="1"/>
  <c r="AR39" i="30" s="1"/>
  <c r="AS39" i="30" a="1"/>
  <c r="AS39" i="30" s="1"/>
  <c r="AT39" i="30" a="1"/>
  <c r="AT39" i="30" s="1"/>
  <c r="AU39" i="30" a="1"/>
  <c r="AU39" i="30" s="1"/>
  <c r="AV39" i="30" a="1"/>
  <c r="AV39" i="30" s="1"/>
  <c r="AW39" i="30" a="1"/>
  <c r="AW39" i="30" s="1"/>
  <c r="AX39" i="30" a="1"/>
  <c r="AX39" i="30" s="1"/>
  <c r="AY39" i="30" a="1"/>
  <c r="AY39" i="30" s="1"/>
  <c r="AZ39" i="30" a="1"/>
  <c r="AZ39" i="30" s="1"/>
  <c r="BA39" i="30" a="1"/>
  <c r="BA39" i="30" s="1"/>
  <c r="BB39" i="30" a="1"/>
  <c r="BB39" i="30" s="1"/>
  <c r="BC39" i="30" a="1"/>
  <c r="BC39" i="30" s="1"/>
  <c r="BD39" i="30" a="1"/>
  <c r="BD39" i="30" s="1"/>
  <c r="BE39" i="30" a="1"/>
  <c r="BE39" i="30" s="1"/>
  <c r="BF39" i="30" a="1"/>
  <c r="BF39" i="30" s="1"/>
  <c r="BG39" i="30" a="1"/>
  <c r="BG39" i="30" s="1"/>
  <c r="BH39" i="30" a="1"/>
  <c r="BH39" i="30" s="1"/>
  <c r="BI39" i="30" a="1"/>
  <c r="BI39" i="30" s="1"/>
  <c r="BJ39" i="30" a="1"/>
  <c r="BJ39" i="30" s="1"/>
  <c r="BK39" i="30" a="1"/>
  <c r="BK39" i="30" s="1"/>
  <c r="BL39" i="30" a="1"/>
  <c r="BL39" i="30" s="1"/>
  <c r="BM39" i="30" a="1"/>
  <c r="BM39" i="30" s="1"/>
  <c r="BN39" i="30" a="1"/>
  <c r="BN39" i="30" s="1"/>
  <c r="BO39" i="30" a="1"/>
  <c r="BO39" i="30" s="1"/>
  <c r="BP39" i="30" a="1"/>
  <c r="BP39" i="30" s="1"/>
  <c r="BQ39" i="30" a="1"/>
  <c r="BQ39" i="30" s="1"/>
  <c r="BR39" i="30" a="1"/>
  <c r="BR39" i="30" s="1"/>
  <c r="BS39" i="30" a="1"/>
  <c r="BS39" i="30" s="1"/>
  <c r="BT39" i="30" a="1"/>
  <c r="BT39" i="30" s="1"/>
  <c r="BU39" i="30" a="1"/>
  <c r="BU39" i="30" s="1"/>
  <c r="BV39" i="30" a="1"/>
  <c r="BV39" i="30" s="1"/>
  <c r="BW39" i="30" a="1"/>
  <c r="BW39" i="30" s="1"/>
  <c r="BX39" i="30" a="1"/>
  <c r="BX39" i="30" s="1"/>
  <c r="BY39" i="30" a="1"/>
  <c r="BY39" i="30" s="1"/>
  <c r="BZ39" i="30" a="1"/>
  <c r="BZ39" i="30" s="1"/>
  <c r="CA39" i="30" a="1"/>
  <c r="CA39" i="30" s="1"/>
  <c r="BC25" i="31"/>
  <c r="BL54" i="22"/>
  <c r="BJ66" i="22"/>
  <c r="BK66" i="22"/>
  <c r="BG23" i="12"/>
  <c r="BG24" i="12" s="1"/>
  <c r="AU51" i="22"/>
  <c r="AV51" i="22"/>
  <c r="AW51" i="22"/>
  <c r="AX51" i="22"/>
  <c r="AY51" i="22"/>
  <c r="AZ51" i="22"/>
  <c r="BA51" i="22"/>
  <c r="BB51" i="22"/>
  <c r="BC51" i="22"/>
  <c r="BD51" i="22"/>
  <c r="BE51" i="22"/>
  <c r="BF51" i="22"/>
  <c r="BG51" i="22"/>
  <c r="BH51" i="22"/>
  <c r="BI51" i="22"/>
  <c r="BJ51" i="22"/>
  <c r="BK51" i="22"/>
  <c r="AR48" i="22"/>
  <c r="AS48" i="22"/>
  <c r="AT48" i="22"/>
  <c r="AU48" i="22"/>
  <c r="AV48" i="22"/>
  <c r="AW48" i="22"/>
  <c r="AX48" i="22"/>
  <c r="AY48" i="22"/>
  <c r="AZ48" i="22"/>
  <c r="BA48" i="22"/>
  <c r="BB48" i="22"/>
  <c r="BC48" i="22"/>
  <c r="BD48" i="22"/>
  <c r="BE48" i="22"/>
  <c r="BF48" i="22"/>
  <c r="BG48" i="22"/>
  <c r="BH48" i="22"/>
  <c r="BI48" i="22"/>
  <c r="BJ48" i="22"/>
  <c r="BK48" i="22"/>
  <c r="AL42" i="22"/>
  <c r="AM42" i="22"/>
  <c r="AN42" i="22"/>
  <c r="AO42" i="22"/>
  <c r="AP42" i="22"/>
  <c r="AQ42" i="22"/>
  <c r="AR42" i="22"/>
  <c r="AS42" i="22"/>
  <c r="AT42" i="22"/>
  <c r="AU42" i="22"/>
  <c r="AV42" i="22"/>
  <c r="AW42" i="22"/>
  <c r="AX42" i="22"/>
  <c r="AY42" i="22"/>
  <c r="AZ42" i="22"/>
  <c r="BA42" i="22"/>
  <c r="BB42" i="22"/>
  <c r="BC42" i="22"/>
  <c r="BD42" i="22"/>
  <c r="BE42" i="22"/>
  <c r="BF42" i="22"/>
  <c r="BG42" i="22"/>
  <c r="BH42" i="22"/>
  <c r="BI42" i="22"/>
  <c r="BJ42" i="22"/>
  <c r="BK42" i="22"/>
  <c r="AN25" i="31"/>
  <c r="AL93" i="22"/>
  <c r="AM93" i="22"/>
  <c r="AN93" i="22"/>
  <c r="AO93" i="22"/>
  <c r="AP93" i="22"/>
  <c r="AQ93" i="22"/>
  <c r="AR93" i="22"/>
  <c r="AS93" i="22"/>
  <c r="AT93" i="22"/>
  <c r="AU93" i="22"/>
  <c r="AV93" i="22"/>
  <c r="AW93" i="22"/>
  <c r="AX93" i="22"/>
  <c r="AY93" i="22"/>
  <c r="AZ93" i="22"/>
  <c r="BA93" i="22"/>
  <c r="BB93" i="22"/>
  <c r="BC93" i="22"/>
  <c r="BD93" i="22"/>
  <c r="BE93" i="22"/>
  <c r="BF93" i="22"/>
  <c r="BG93" i="22"/>
  <c r="BH93" i="22"/>
  <c r="BI93" i="22"/>
  <c r="BJ93" i="22"/>
  <c r="BK93" i="22"/>
  <c r="AK25" i="31"/>
  <c r="AE35" i="22"/>
  <c r="AF35" i="22"/>
  <c r="AG35" i="22"/>
  <c r="AH35" i="22"/>
  <c r="AI35" i="22"/>
  <c r="AJ35" i="22"/>
  <c r="AK35" i="22"/>
  <c r="AL35" i="22"/>
  <c r="AM35" i="22"/>
  <c r="AN35" i="22"/>
  <c r="AO35" i="22"/>
  <c r="AP35" i="22"/>
  <c r="AQ35" i="22"/>
  <c r="AR35" i="22"/>
  <c r="AS35" i="22"/>
  <c r="AT35" i="22"/>
  <c r="AU35" i="22"/>
  <c r="AV35" i="22"/>
  <c r="AW35" i="22"/>
  <c r="AX35" i="22"/>
  <c r="AY35" i="22"/>
  <c r="AZ35" i="22"/>
  <c r="BA35" i="22"/>
  <c r="BB35" i="22"/>
  <c r="BC35" i="22"/>
  <c r="BD35" i="22"/>
  <c r="BE35" i="22"/>
  <c r="BF35" i="22"/>
  <c r="BG35" i="22"/>
  <c r="BH35" i="22"/>
  <c r="BI35" i="22"/>
  <c r="BJ35" i="22"/>
  <c r="BK35" i="22"/>
  <c r="I19" i="3"/>
  <c r="J77" i="8"/>
  <c r="J76" i="8"/>
  <c r="Y150" i="29"/>
  <c r="BL79" i="29"/>
  <c r="BM79" i="29"/>
  <c r="BN79" i="29"/>
  <c r="BO79" i="29"/>
  <c r="BP79" i="29"/>
  <c r="BQ79" i="29"/>
  <c r="BR79" i="29"/>
  <c r="BS79" i="29"/>
  <c r="BT79" i="29"/>
  <c r="BU79" i="29"/>
  <c r="BV79" i="29"/>
  <c r="BW79" i="29"/>
  <c r="BX79" i="29"/>
  <c r="BY79" i="29"/>
  <c r="BZ79" i="29"/>
  <c r="AX116" i="29"/>
  <c r="AY116" i="29"/>
  <c r="AZ116" i="29"/>
  <c r="BA116" i="29"/>
  <c r="BB116" i="29"/>
  <c r="BC116" i="29"/>
  <c r="BD116" i="29"/>
  <c r="BE116" i="29"/>
  <c r="BF116" i="29"/>
  <c r="BG116" i="29"/>
  <c r="BH116" i="29"/>
  <c r="BI116" i="29"/>
  <c r="BJ116" i="29"/>
  <c r="BK116" i="29"/>
  <c r="BL116" i="29"/>
  <c r="BM116" i="29"/>
  <c r="BN116" i="29"/>
  <c r="BO116" i="29"/>
  <c r="BP116" i="29"/>
  <c r="BQ116" i="29"/>
  <c r="BR116" i="29"/>
  <c r="BS116" i="29"/>
  <c r="BT116" i="29"/>
  <c r="BU116" i="29"/>
  <c r="BV116" i="29"/>
  <c r="BW116" i="29"/>
  <c r="BX116" i="29"/>
  <c r="BY116" i="29"/>
  <c r="BZ116" i="29"/>
  <c r="AQ58" i="29"/>
  <c r="AR58" i="29"/>
  <c r="AP58" i="29"/>
  <c r="AS58" i="29"/>
  <c r="AT58" i="29"/>
  <c r="AU58" i="29"/>
  <c r="AV58" i="29"/>
  <c r="AW58" i="29"/>
  <c r="AX58" i="29"/>
  <c r="AY58" i="29"/>
  <c r="AZ58" i="29"/>
  <c r="BA58" i="29"/>
  <c r="BB58" i="29"/>
  <c r="BC58" i="29"/>
  <c r="BD58" i="29"/>
  <c r="BE58" i="29"/>
  <c r="BF58" i="29"/>
  <c r="BG58" i="29"/>
  <c r="BH58" i="29"/>
  <c r="BI58" i="29"/>
  <c r="BJ58" i="29"/>
  <c r="BK58" i="29"/>
  <c r="BL58" i="29"/>
  <c r="BM58" i="29"/>
  <c r="BN58" i="29"/>
  <c r="BO58" i="29"/>
  <c r="BP58" i="29"/>
  <c r="BQ58" i="29"/>
  <c r="BR58" i="29"/>
  <c r="BS58" i="29"/>
  <c r="BT58" i="29"/>
  <c r="BU58" i="29"/>
  <c r="BV58" i="29"/>
  <c r="BW58" i="29"/>
  <c r="BX58" i="29"/>
  <c r="BY58" i="29"/>
  <c r="BZ58" i="29"/>
  <c r="AQ109" i="29"/>
  <c r="AP109" i="29"/>
  <c r="AR109" i="29"/>
  <c r="AS109" i="29"/>
  <c r="AT109" i="29"/>
  <c r="AU109" i="29"/>
  <c r="AV109" i="29"/>
  <c r="AW109" i="29"/>
  <c r="AX109" i="29"/>
  <c r="AY109" i="29"/>
  <c r="AZ109" i="29"/>
  <c r="BA109" i="29"/>
  <c r="BB109" i="29"/>
  <c r="BC109" i="29"/>
  <c r="BD109" i="29"/>
  <c r="BE109" i="29"/>
  <c r="BF109" i="29"/>
  <c r="BG109" i="29"/>
  <c r="BH109" i="29"/>
  <c r="BI109" i="29"/>
  <c r="BJ109" i="29"/>
  <c r="BK109" i="29"/>
  <c r="BL109" i="29"/>
  <c r="BM109" i="29"/>
  <c r="BN109" i="29"/>
  <c r="BO109" i="29"/>
  <c r="BP109" i="29"/>
  <c r="BQ109" i="29"/>
  <c r="BR109" i="29"/>
  <c r="BS109" i="29"/>
  <c r="BT109" i="29"/>
  <c r="BU109" i="29"/>
  <c r="BV109" i="29"/>
  <c r="BW109" i="29"/>
  <c r="BX109" i="29"/>
  <c r="BY109" i="29"/>
  <c r="BZ109" i="29"/>
  <c r="AM40" i="28"/>
  <c r="AN40" i="28"/>
  <c r="AO40" i="28"/>
  <c r="AK103" i="29"/>
  <c r="AL103" i="29"/>
  <c r="AM103" i="29"/>
  <c r="AN103" i="29"/>
  <c r="AO103" i="29"/>
  <c r="AQ103" i="29"/>
  <c r="AR103" i="29"/>
  <c r="AP103" i="29"/>
  <c r="AS103" i="29"/>
  <c r="AT103" i="29"/>
  <c r="AU103" i="29"/>
  <c r="AV103" i="29"/>
  <c r="AW103" i="29"/>
  <c r="AX103" i="29"/>
  <c r="AY103" i="29"/>
  <c r="AZ103" i="29"/>
  <c r="BA103" i="29"/>
  <c r="BB103" i="29"/>
  <c r="BC103" i="29"/>
  <c r="BD103" i="29"/>
  <c r="BE103" i="29"/>
  <c r="BF103" i="29"/>
  <c r="BG103" i="29"/>
  <c r="BH103" i="29"/>
  <c r="BI103" i="29"/>
  <c r="BJ103" i="29"/>
  <c r="BK103" i="29"/>
  <c r="BL103" i="29"/>
  <c r="BM103" i="29"/>
  <c r="BN103" i="29"/>
  <c r="BO103" i="29"/>
  <c r="BP103" i="29"/>
  <c r="BQ103" i="29"/>
  <c r="BR103" i="29"/>
  <c r="BS103" i="29"/>
  <c r="BT103" i="29"/>
  <c r="BU103" i="29"/>
  <c r="BV103" i="29"/>
  <c r="BW103" i="29"/>
  <c r="BX103" i="29"/>
  <c r="BY103" i="29"/>
  <c r="BZ103" i="29"/>
  <c r="AF98" i="29"/>
  <c r="AG98" i="29"/>
  <c r="AH98" i="29"/>
  <c r="AI98" i="29"/>
  <c r="AJ98" i="29"/>
  <c r="AK98" i="29"/>
  <c r="AL98" i="29"/>
  <c r="AM98" i="29"/>
  <c r="AN98" i="29"/>
  <c r="AO98" i="29"/>
  <c r="AQ98" i="29"/>
  <c r="AP98" i="29"/>
  <c r="AR98" i="29"/>
  <c r="AS98" i="29"/>
  <c r="AT98" i="29"/>
  <c r="AU98" i="29"/>
  <c r="AV98" i="29"/>
  <c r="AW98" i="29"/>
  <c r="AX98" i="29"/>
  <c r="AY98" i="29"/>
  <c r="AZ98" i="29"/>
  <c r="BA98" i="29"/>
  <c r="BB98" i="29"/>
  <c r="BC98" i="29"/>
  <c r="BD98" i="29"/>
  <c r="BE98" i="29"/>
  <c r="BF98" i="29"/>
  <c r="BG98" i="29"/>
  <c r="BH98" i="29"/>
  <c r="BI98" i="29"/>
  <c r="BJ98" i="29"/>
  <c r="BK98" i="29"/>
  <c r="BL98" i="29"/>
  <c r="BM98" i="29"/>
  <c r="BN98" i="29"/>
  <c r="BO98" i="29"/>
  <c r="BP98" i="29"/>
  <c r="BQ98" i="29"/>
  <c r="BR98" i="29"/>
  <c r="BS98" i="29"/>
  <c r="BT98" i="29"/>
  <c r="BU98" i="29"/>
  <c r="BV98" i="29"/>
  <c r="BW98" i="29"/>
  <c r="BX98" i="29"/>
  <c r="BY98" i="29"/>
  <c r="BZ98" i="29"/>
  <c r="AY65" i="30" a="1"/>
  <c r="AY65" i="30" s="1"/>
  <c r="AF65" i="30" a="1"/>
  <c r="AF65" i="30" s="1"/>
  <c r="BJ65" i="30" a="1"/>
  <c r="BJ65" i="30" s="1"/>
  <c r="BF65" i="30" a="1"/>
  <c r="BF65" i="30" s="1"/>
  <c r="AQ65" i="30" a="1"/>
  <c r="AQ65" i="30" s="1"/>
  <c r="BK65" i="30" a="1"/>
  <c r="BK65" i="30" s="1"/>
  <c r="AI65" i="30" a="1"/>
  <c r="AI65" i="30" s="1"/>
  <c r="BC65" i="30" a="1"/>
  <c r="BC65" i="30" s="1"/>
  <c r="AU65" i="30" a="1"/>
  <c r="AU65" i="30" s="1"/>
  <c r="BB65" i="30" a="1"/>
  <c r="BB65" i="30" s="1"/>
  <c r="AX65" i="30" a="1"/>
  <c r="AX65" i="30" s="1"/>
  <c r="AM65" i="30" a="1"/>
  <c r="AM65" i="30" s="1"/>
  <c r="BI65" i="30" a="1"/>
  <c r="BI65" i="30" s="1"/>
  <c r="BM65" i="30" a="1"/>
  <c r="BM65" i="30" s="1"/>
  <c r="AW65" i="30" a="1"/>
  <c r="AW65" i="30" s="1"/>
  <c r="AO65" i="30" a="1"/>
  <c r="AO65" i="30" s="1"/>
  <c r="AZ65" i="30" a="1"/>
  <c r="AZ65" i="30" s="1"/>
  <c r="AT65" i="30" a="1"/>
  <c r="AT65" i="30" s="1"/>
  <c r="AP65" i="30" a="1"/>
  <c r="AP65" i="30" s="1"/>
  <c r="AK65" i="30" a="1"/>
  <c r="AK65" i="30" s="1"/>
  <c r="AL65" i="30" a="1"/>
  <c r="AL65" i="30" s="1"/>
  <c r="AH65" i="30" a="1"/>
  <c r="AH65" i="30" s="1"/>
  <c r="AS65" i="30" a="1"/>
  <c r="AS65" i="30" s="1"/>
  <c r="BL65" i="30" a="1"/>
  <c r="BL65" i="30" s="1"/>
  <c r="BD65" i="30" a="1"/>
  <c r="BD65" i="30" s="1"/>
  <c r="BA65" i="30" a="1"/>
  <c r="BA65" i="30" s="1"/>
  <c r="BE65" i="30" a="1"/>
  <c r="BE65" i="30" s="1"/>
  <c r="AR65" i="30" a="1"/>
  <c r="AR65" i="30" s="1"/>
  <c r="AN65" i="30" a="1"/>
  <c r="AN65" i="30" s="1"/>
  <c r="BH65" i="30" a="1"/>
  <c r="BH65" i="30" s="1"/>
  <c r="AG65" i="30" a="1"/>
  <c r="AG65" i="30" s="1"/>
  <c r="AV65" i="30" a="1"/>
  <c r="AV65" i="30" s="1"/>
  <c r="AJ65" i="30" a="1"/>
  <c r="AJ65" i="30" s="1"/>
  <c r="BG65" i="30" a="1"/>
  <c r="BG65" i="30" s="1"/>
  <c r="BN65" i="30" a="1"/>
  <c r="BN65" i="30" s="1"/>
  <c r="BO65" i="30" a="1"/>
  <c r="BO65" i="30" s="1"/>
  <c r="BP65" i="30" a="1"/>
  <c r="BP65" i="30" s="1"/>
  <c r="BQ65" i="30" a="1"/>
  <c r="BQ65" i="30" s="1"/>
  <c r="BR65" i="30" a="1"/>
  <c r="BR65" i="30" s="1"/>
  <c r="BS65" i="30" a="1"/>
  <c r="BS65" i="30" s="1"/>
  <c r="BT65" i="30" a="1"/>
  <c r="BT65" i="30" s="1"/>
  <c r="BU65" i="30" a="1"/>
  <c r="BU65" i="30" s="1"/>
  <c r="BV65" i="30" a="1"/>
  <c r="BV65" i="30" s="1"/>
  <c r="BW65" i="30" a="1"/>
  <c r="BW65" i="30" s="1"/>
  <c r="BX65" i="30" a="1"/>
  <c r="BX65" i="30" s="1"/>
  <c r="BY65" i="30" a="1"/>
  <c r="BY65" i="30" s="1"/>
  <c r="BZ65" i="30" a="1"/>
  <c r="BZ65" i="30" s="1"/>
  <c r="CA65" i="30" a="1"/>
  <c r="CA65" i="30" s="1"/>
  <c r="BF85" i="30"/>
  <c r="AP85" i="30"/>
  <c r="P81" i="30"/>
  <c r="AJ85" i="30"/>
  <c r="AK37" i="30" a="1"/>
  <c r="AK37" i="30" s="1"/>
  <c r="AG37" i="30" a="1"/>
  <c r="AG37" i="30" s="1"/>
  <c r="AJ37" i="30" a="1"/>
  <c r="AJ37" i="30" s="1"/>
  <c r="AI37" i="30" a="1"/>
  <c r="AI37" i="30" s="1"/>
  <c r="AH37" i="30" a="1"/>
  <c r="AH37" i="30" s="1"/>
  <c r="AF37" i="30" a="1"/>
  <c r="AF37" i="30" s="1"/>
  <c r="AL37" i="30" a="1"/>
  <c r="AL37" i="30" s="1"/>
  <c r="AM37" i="30" a="1"/>
  <c r="AM37" i="30" s="1"/>
  <c r="AN37" i="30" a="1"/>
  <c r="AN37" i="30" s="1"/>
  <c r="AO37" i="30" a="1"/>
  <c r="AO37" i="30" s="1"/>
  <c r="AP37" i="30" a="1"/>
  <c r="AP37" i="30" s="1"/>
  <c r="AQ37" i="30" a="1"/>
  <c r="AQ37" i="30" s="1"/>
  <c r="AR37" i="30" a="1"/>
  <c r="AR37" i="30" s="1"/>
  <c r="AS37" i="30" a="1"/>
  <c r="AS37" i="30" s="1"/>
  <c r="AT37" i="30" a="1"/>
  <c r="AT37" i="30" s="1"/>
  <c r="AU37" i="30" a="1"/>
  <c r="AU37" i="30" s="1"/>
  <c r="AV37" i="30" a="1"/>
  <c r="AV37" i="30" s="1"/>
  <c r="AW37" i="30" a="1"/>
  <c r="AW37" i="30" s="1"/>
  <c r="AX37" i="30" a="1"/>
  <c r="AX37" i="30" s="1"/>
  <c r="AY37" i="30" a="1"/>
  <c r="AY37" i="30" s="1"/>
  <c r="AZ37" i="30" a="1"/>
  <c r="AZ37" i="30" s="1"/>
  <c r="BA37" i="30" a="1"/>
  <c r="BA37" i="30" s="1"/>
  <c r="BB37" i="30" a="1"/>
  <c r="BB37" i="30" s="1"/>
  <c r="BC37" i="30" a="1"/>
  <c r="BC37" i="30" s="1"/>
  <c r="BD37" i="30" a="1"/>
  <c r="BD37" i="30" s="1"/>
  <c r="BE37" i="30" a="1"/>
  <c r="BE37" i="30" s="1"/>
  <c r="BF37" i="30" a="1"/>
  <c r="BF37" i="30" s="1"/>
  <c r="BG37" i="30" a="1"/>
  <c r="BG37" i="30" s="1"/>
  <c r="BH37" i="30" a="1"/>
  <c r="BH37" i="30" s="1"/>
  <c r="BI37" i="30" a="1"/>
  <c r="BI37" i="30" s="1"/>
  <c r="BJ37" i="30" a="1"/>
  <c r="BJ37" i="30" s="1"/>
  <c r="BK37" i="30" a="1"/>
  <c r="BK37" i="30" s="1"/>
  <c r="BL37" i="30" a="1"/>
  <c r="BL37" i="30" s="1"/>
  <c r="BM37" i="30" a="1"/>
  <c r="BM37" i="30" s="1"/>
  <c r="BN37" i="30" a="1"/>
  <c r="BN37" i="30" s="1"/>
  <c r="BO37" i="30" a="1"/>
  <c r="BO37" i="30" s="1"/>
  <c r="BP37" i="30" a="1"/>
  <c r="BP37" i="30" s="1"/>
  <c r="BQ37" i="30" a="1"/>
  <c r="BQ37" i="30" s="1"/>
  <c r="BR37" i="30" a="1"/>
  <c r="BR37" i="30" s="1"/>
  <c r="BS37" i="30" a="1"/>
  <c r="BS37" i="30" s="1"/>
  <c r="BT37" i="30" a="1"/>
  <c r="BT37" i="30" s="1"/>
  <c r="BU37" i="30" a="1"/>
  <c r="BU37" i="30" s="1"/>
  <c r="BV37" i="30" a="1"/>
  <c r="BV37" i="30" s="1"/>
  <c r="BW37" i="30" a="1"/>
  <c r="BW37" i="30" s="1"/>
  <c r="BX37" i="30" a="1"/>
  <c r="BX37" i="30" s="1"/>
  <c r="BY37" i="30" a="1"/>
  <c r="BY37" i="30" s="1"/>
  <c r="BZ37" i="30" a="1"/>
  <c r="BZ37" i="30" s="1"/>
  <c r="CA37" i="30" a="1"/>
  <c r="CA37" i="30" s="1"/>
  <c r="BH115" i="22"/>
  <c r="BI115" i="22"/>
  <c r="BJ115" i="22"/>
  <c r="BK115" i="22"/>
  <c r="BF113" i="22"/>
  <c r="BG113" i="22"/>
  <c r="BH113" i="22"/>
  <c r="BI113" i="22"/>
  <c r="BJ113" i="22"/>
  <c r="BK113" i="22"/>
  <c r="BL25" i="31"/>
  <c r="BG114" i="22"/>
  <c r="BH114" i="22"/>
  <c r="BI114" i="22"/>
  <c r="BJ114" i="22"/>
  <c r="BK114" i="22"/>
  <c r="AY106" i="22"/>
  <c r="AZ106" i="22"/>
  <c r="BA106" i="22"/>
  <c r="BB106" i="22"/>
  <c r="BC106" i="22"/>
  <c r="BD106" i="22"/>
  <c r="BE106" i="22"/>
  <c r="BF106" i="22"/>
  <c r="BG106" i="22"/>
  <c r="BH106" i="22"/>
  <c r="BI106" i="22"/>
  <c r="BJ106" i="22"/>
  <c r="BK106" i="22"/>
  <c r="BJ117" i="22"/>
  <c r="BK117" i="22"/>
  <c r="BI64" i="22"/>
  <c r="BH64" i="22"/>
  <c r="BJ64" i="22"/>
  <c r="BK64" i="22"/>
  <c r="BF87" i="30"/>
  <c r="V91" i="30"/>
  <c r="BB58" i="22"/>
  <c r="BC58" i="22"/>
  <c r="BD58" i="22"/>
  <c r="BE58" i="22"/>
  <c r="BF58" i="22"/>
  <c r="BG58" i="22"/>
  <c r="BH58" i="22"/>
  <c r="BI58" i="22"/>
  <c r="BJ58" i="22"/>
  <c r="BK58" i="22"/>
  <c r="BA25" i="31"/>
  <c r="AV103" i="22"/>
  <c r="AW103" i="22"/>
  <c r="AX103" i="22"/>
  <c r="AY103" i="22"/>
  <c r="AZ103" i="22"/>
  <c r="BA103" i="22"/>
  <c r="BB103" i="22"/>
  <c r="BC103" i="22"/>
  <c r="BD103" i="22"/>
  <c r="BE103" i="22"/>
  <c r="BF103" i="22"/>
  <c r="BG103" i="22"/>
  <c r="BH103" i="22"/>
  <c r="BI103" i="22"/>
  <c r="BJ103" i="22"/>
  <c r="BK103" i="22"/>
  <c r="AT149" i="29"/>
  <c r="R149" i="29" s="1"/>
  <c r="Q152" i="29"/>
  <c r="AP46" i="22"/>
  <c r="AQ46" i="22"/>
  <c r="AR46" i="22"/>
  <c r="AS46" i="22"/>
  <c r="AT46" i="22"/>
  <c r="AU46" i="22"/>
  <c r="AV46" i="22"/>
  <c r="AW46" i="22"/>
  <c r="AX46" i="22"/>
  <c r="AY46" i="22"/>
  <c r="AZ46" i="22"/>
  <c r="BA46" i="22"/>
  <c r="BB46" i="22"/>
  <c r="BC46" i="22"/>
  <c r="BD46" i="22"/>
  <c r="BE46" i="22"/>
  <c r="BF46" i="22"/>
  <c r="BG46" i="22"/>
  <c r="BH46" i="22"/>
  <c r="BI46" i="22"/>
  <c r="BJ46" i="22"/>
  <c r="BK46" i="22"/>
  <c r="AO135" i="28"/>
  <c r="AN141" i="28"/>
  <c r="AP54" i="12"/>
  <c r="AH87" i="30"/>
  <c r="N91" i="30"/>
  <c r="AE141" i="28"/>
  <c r="AF135" i="28"/>
  <c r="AG37" i="22"/>
  <c r="AH37" i="22"/>
  <c r="AI37" i="22"/>
  <c r="AJ37" i="22"/>
  <c r="AK37" i="22"/>
  <c r="AL37" i="22"/>
  <c r="AM37" i="22"/>
  <c r="AN37" i="22"/>
  <c r="AO37" i="22"/>
  <c r="AP37" i="22"/>
  <c r="AQ37" i="22"/>
  <c r="AR37" i="22"/>
  <c r="AS37" i="22"/>
  <c r="AT37" i="22"/>
  <c r="AU37" i="22"/>
  <c r="AV37" i="22"/>
  <c r="AW37" i="22"/>
  <c r="AX37" i="22"/>
  <c r="AY37" i="22"/>
  <c r="AZ37" i="22"/>
  <c r="BA37" i="22"/>
  <c r="BB37" i="22"/>
  <c r="BC37" i="22"/>
  <c r="BD37" i="22"/>
  <c r="BE37" i="22"/>
  <c r="BF37" i="22"/>
  <c r="BG37" i="22"/>
  <c r="BH37" i="22"/>
  <c r="BI37" i="22"/>
  <c r="BJ37" i="22"/>
  <c r="BK37" i="22"/>
  <c r="AE86" i="22"/>
  <c r="AF86" i="22"/>
  <c r="AG86" i="22"/>
  <c r="AH86" i="22"/>
  <c r="AI86" i="22"/>
  <c r="AJ86" i="22"/>
  <c r="AK86" i="22"/>
  <c r="AL86" i="22"/>
  <c r="AM86" i="22"/>
  <c r="AN86" i="22"/>
  <c r="AO86" i="22"/>
  <c r="AP86" i="22"/>
  <c r="AQ86" i="22"/>
  <c r="AR86" i="22"/>
  <c r="AS86" i="22"/>
  <c r="AT86" i="22"/>
  <c r="AU86" i="22"/>
  <c r="AV86" i="22"/>
  <c r="AW86" i="22"/>
  <c r="AX86" i="22"/>
  <c r="AY86" i="22"/>
  <c r="AZ86" i="22"/>
  <c r="BA86" i="22"/>
  <c r="BB86" i="22"/>
  <c r="BC86" i="22"/>
  <c r="BD86" i="22"/>
  <c r="BE86" i="22"/>
  <c r="BF86" i="22"/>
  <c r="BG86" i="22"/>
  <c r="BH86" i="22"/>
  <c r="BI86" i="22"/>
  <c r="BJ86" i="22"/>
  <c r="BK86" i="22"/>
  <c r="H7" i="3"/>
  <c r="I7" i="3"/>
  <c r="BT138" i="29"/>
  <c r="BU138" i="29"/>
  <c r="BV138" i="29"/>
  <c r="BW138" i="29"/>
  <c r="BX138" i="29"/>
  <c r="BY138" i="29"/>
  <c r="BZ138" i="29"/>
  <c r="BR136" i="29"/>
  <c r="BS136" i="29"/>
  <c r="BT136" i="29"/>
  <c r="BU136" i="29"/>
  <c r="BV136" i="29"/>
  <c r="BW136" i="29"/>
  <c r="BX136" i="29"/>
  <c r="BY136" i="29"/>
  <c r="BZ136" i="29"/>
  <c r="BP83" i="29"/>
  <c r="BQ83" i="29"/>
  <c r="BR83" i="29"/>
  <c r="BS83" i="29"/>
  <c r="BT83" i="29"/>
  <c r="BU83" i="29"/>
  <c r="BV83" i="29"/>
  <c r="BW83" i="29"/>
  <c r="BX83" i="29"/>
  <c r="BY83" i="29"/>
  <c r="BZ83" i="29"/>
  <c r="BN132" i="29"/>
  <c r="BO132" i="29"/>
  <c r="BP132" i="29"/>
  <c r="BQ132" i="29"/>
  <c r="BR132" i="29"/>
  <c r="BS132" i="29"/>
  <c r="BT132" i="29"/>
  <c r="BU132" i="29"/>
  <c r="BV132" i="29"/>
  <c r="BW132" i="29"/>
  <c r="BX132" i="29"/>
  <c r="BY132" i="29"/>
  <c r="BZ132" i="29"/>
  <c r="BG125" i="29"/>
  <c r="BH125" i="29"/>
  <c r="BI125" i="29"/>
  <c r="BJ125" i="29"/>
  <c r="BK125" i="29"/>
  <c r="BL125" i="29"/>
  <c r="BM125" i="29"/>
  <c r="BN125" i="29"/>
  <c r="BO125" i="29"/>
  <c r="BP125" i="29"/>
  <c r="BQ125" i="29"/>
  <c r="BR125" i="29"/>
  <c r="BS125" i="29"/>
  <c r="BT125" i="29"/>
  <c r="BU125" i="29"/>
  <c r="BV125" i="29"/>
  <c r="BW125" i="29"/>
  <c r="BX125" i="29"/>
  <c r="BY125" i="29"/>
  <c r="BZ125" i="29"/>
  <c r="BD122" i="29"/>
  <c r="BE122" i="29"/>
  <c r="BF122" i="29"/>
  <c r="BG122" i="29"/>
  <c r="BH122" i="29"/>
  <c r="BI122" i="29"/>
  <c r="BJ122" i="29"/>
  <c r="BK122" i="29"/>
  <c r="BL122" i="29"/>
  <c r="BM122" i="29"/>
  <c r="BN122" i="29"/>
  <c r="BO122" i="29"/>
  <c r="BP122" i="29"/>
  <c r="BQ122" i="29"/>
  <c r="BR122" i="29"/>
  <c r="BS122" i="29"/>
  <c r="BT122" i="29"/>
  <c r="BU122" i="29"/>
  <c r="BV122" i="29"/>
  <c r="BW122" i="29"/>
  <c r="BX122" i="29"/>
  <c r="BY122" i="29"/>
  <c r="BZ122" i="29"/>
  <c r="BC121" i="29"/>
  <c r="BD121" i="29"/>
  <c r="BE121" i="29"/>
  <c r="BF121" i="29"/>
  <c r="BG121" i="29"/>
  <c r="BH121" i="29"/>
  <c r="BI121" i="29"/>
  <c r="BJ121" i="29"/>
  <c r="BK121" i="29"/>
  <c r="BL121" i="29"/>
  <c r="BM121" i="29"/>
  <c r="BN121" i="29"/>
  <c r="BO121" i="29"/>
  <c r="BP121" i="29"/>
  <c r="BQ121" i="29"/>
  <c r="BR121" i="29"/>
  <c r="BS121" i="29"/>
  <c r="BT121" i="29"/>
  <c r="BU121" i="29"/>
  <c r="BV121" i="29"/>
  <c r="BW121" i="29"/>
  <c r="BX121" i="29"/>
  <c r="BY121" i="29"/>
  <c r="BZ121" i="29"/>
  <c r="AZ118" i="29"/>
  <c r="BA118" i="29"/>
  <c r="BB118" i="29"/>
  <c r="BC118" i="29"/>
  <c r="BD118" i="29"/>
  <c r="BE118" i="29"/>
  <c r="BF118" i="29"/>
  <c r="BG118" i="29"/>
  <c r="BH118" i="29"/>
  <c r="BI118" i="29"/>
  <c r="BJ118" i="29"/>
  <c r="BK118" i="29"/>
  <c r="BL118" i="29"/>
  <c r="BM118" i="29"/>
  <c r="BN118" i="29"/>
  <c r="BO118" i="29"/>
  <c r="BP118" i="29"/>
  <c r="BQ118" i="29"/>
  <c r="BR118" i="29"/>
  <c r="BS118" i="29"/>
  <c r="BT118" i="29"/>
  <c r="BU118" i="29"/>
  <c r="BV118" i="29"/>
  <c r="BW118" i="29"/>
  <c r="BX118" i="29"/>
  <c r="BY118" i="29"/>
  <c r="BZ118" i="29"/>
  <c r="AP110" i="29"/>
  <c r="AR110" i="29"/>
  <c r="AS110" i="29"/>
  <c r="AT110" i="29"/>
  <c r="AU110" i="29"/>
  <c r="AV110" i="29"/>
  <c r="AW110" i="29"/>
  <c r="AX110" i="29"/>
  <c r="AY110" i="29"/>
  <c r="AZ110" i="29"/>
  <c r="BA110" i="29"/>
  <c r="BB110" i="29"/>
  <c r="BC110" i="29"/>
  <c r="BD110" i="29"/>
  <c r="BE110" i="29"/>
  <c r="BF110" i="29"/>
  <c r="BG110" i="29"/>
  <c r="BH110" i="29"/>
  <c r="BI110" i="29"/>
  <c r="BJ110" i="29"/>
  <c r="BK110" i="29"/>
  <c r="BL110" i="29"/>
  <c r="BM110" i="29"/>
  <c r="BN110" i="29"/>
  <c r="BO110" i="29"/>
  <c r="BP110" i="29"/>
  <c r="BQ110" i="29"/>
  <c r="BR110" i="29"/>
  <c r="BS110" i="29"/>
  <c r="BT110" i="29"/>
  <c r="BU110" i="29"/>
  <c r="BV110" i="29"/>
  <c r="BW110" i="29"/>
  <c r="BX110" i="29"/>
  <c r="BY110" i="29"/>
  <c r="BZ110" i="29"/>
  <c r="AO56" i="29"/>
  <c r="AQ56" i="29"/>
  <c r="AR56" i="29"/>
  <c r="AP56" i="29"/>
  <c r="AS56" i="29"/>
  <c r="AT56" i="29"/>
  <c r="AU56" i="29"/>
  <c r="AV56" i="29"/>
  <c r="AW56" i="29"/>
  <c r="AX56" i="29"/>
  <c r="AY56" i="29"/>
  <c r="AZ56" i="29"/>
  <c r="BA56" i="29"/>
  <c r="BB56" i="29"/>
  <c r="BC56" i="29"/>
  <c r="BD56" i="29"/>
  <c r="BE56" i="29"/>
  <c r="BF56" i="29"/>
  <c r="BG56" i="29"/>
  <c r="BH56" i="29"/>
  <c r="BI56" i="29"/>
  <c r="BJ56" i="29"/>
  <c r="BK56" i="29"/>
  <c r="BL56" i="29"/>
  <c r="BM56" i="29"/>
  <c r="BN56" i="29"/>
  <c r="BO56" i="29"/>
  <c r="BP56" i="29"/>
  <c r="BQ56" i="29"/>
  <c r="BR56" i="29"/>
  <c r="BS56" i="29"/>
  <c r="BT56" i="29"/>
  <c r="BU56" i="29"/>
  <c r="BV56" i="29"/>
  <c r="BW56" i="29"/>
  <c r="BX56" i="29"/>
  <c r="BY56" i="29"/>
  <c r="BZ56" i="29"/>
  <c r="O150" i="29"/>
  <c r="AK89" i="28"/>
  <c r="AL89" i="28"/>
  <c r="AM89" i="28"/>
  <c r="AN89" i="28"/>
  <c r="AO89" i="28"/>
  <c r="AL39" i="28"/>
  <c r="AM39" i="28"/>
  <c r="AN39" i="28"/>
  <c r="AO39" i="28"/>
  <c r="N150" i="29"/>
  <c r="AH49" i="29"/>
  <c r="AI49" i="29"/>
  <c r="AJ49" i="29"/>
  <c r="AK49" i="29"/>
  <c r="AL49" i="29"/>
  <c r="AM49" i="29"/>
  <c r="AN49" i="29"/>
  <c r="AO49" i="29"/>
  <c r="AQ49" i="29"/>
  <c r="AR49" i="29"/>
  <c r="AP49" i="29"/>
  <c r="AS49" i="29"/>
  <c r="AT49" i="29"/>
  <c r="AU49" i="29"/>
  <c r="AV49" i="29"/>
  <c r="AW49" i="29"/>
  <c r="AX49" i="29"/>
  <c r="AY49" i="29"/>
  <c r="AZ49" i="29"/>
  <c r="BA49" i="29"/>
  <c r="BB49" i="29"/>
  <c r="BC49" i="29"/>
  <c r="BD49" i="29"/>
  <c r="BE49" i="29"/>
  <c r="BF49" i="29"/>
  <c r="BG49" i="29"/>
  <c r="BH49" i="29"/>
  <c r="BI49" i="29"/>
  <c r="BJ49" i="29"/>
  <c r="BK49" i="29"/>
  <c r="BL49" i="29"/>
  <c r="BM49" i="29"/>
  <c r="BN49" i="29"/>
  <c r="BO49" i="29"/>
  <c r="BP49" i="29"/>
  <c r="BQ49" i="29"/>
  <c r="BR49" i="29"/>
  <c r="BS49" i="29"/>
  <c r="BT49" i="29"/>
  <c r="BU49" i="29"/>
  <c r="BV49" i="29"/>
  <c r="BW49" i="29"/>
  <c r="BX49" i="29"/>
  <c r="BY49" i="29"/>
  <c r="BZ49" i="29"/>
  <c r="AH35" i="28"/>
  <c r="AI35" i="28"/>
  <c r="AJ35" i="28"/>
  <c r="AK35" i="28"/>
  <c r="AL35" i="28"/>
  <c r="AM35" i="28"/>
  <c r="AN35" i="28"/>
  <c r="AO35" i="28"/>
  <c r="BM85" i="30"/>
  <c r="BJ86" i="30"/>
  <c r="X86" i="30" s="1"/>
  <c r="X28" i="30"/>
  <c r="V81" i="30"/>
  <c r="AZ85" i="30"/>
  <c r="T81" i="30"/>
  <c r="AL86" i="30"/>
  <c r="P86" i="30" s="1"/>
  <c r="P28" i="30"/>
  <c r="AG152" i="29"/>
  <c r="M155" i="29"/>
  <c r="BD25" i="31"/>
  <c r="BL55" i="22"/>
  <c r="BL109" i="22"/>
  <c r="BL53" i="22"/>
  <c r="BU23" i="12"/>
  <c r="BU24" i="12" s="1"/>
  <c r="BF112" i="22"/>
  <c r="BE112" i="22"/>
  <c r="BG112" i="22"/>
  <c r="BH112" i="22"/>
  <c r="BI112" i="22"/>
  <c r="BJ112" i="22"/>
  <c r="BK112" i="22"/>
  <c r="BD111" i="22"/>
  <c r="BE111" i="22"/>
  <c r="BF111" i="22"/>
  <c r="BG111" i="22"/>
  <c r="BH111" i="22"/>
  <c r="BI111" i="22"/>
  <c r="BJ111" i="22"/>
  <c r="BK111" i="22"/>
  <c r="AZ56" i="22"/>
  <c r="BA56" i="22"/>
  <c r="BB56" i="22"/>
  <c r="BC56" i="22"/>
  <c r="BD56" i="22"/>
  <c r="BE56" i="22"/>
  <c r="BF56" i="22"/>
  <c r="BG56" i="22"/>
  <c r="BH56" i="22"/>
  <c r="BI56" i="22"/>
  <c r="BJ56" i="22"/>
  <c r="BK56" i="22"/>
  <c r="AV25" i="31"/>
  <c r="AO96" i="22"/>
  <c r="AP96" i="22"/>
  <c r="AQ96" i="22"/>
  <c r="AR96" i="22"/>
  <c r="AS96" i="22"/>
  <c r="AT96" i="22"/>
  <c r="AU96" i="22"/>
  <c r="AV96" i="22"/>
  <c r="AW96" i="22"/>
  <c r="AX96" i="22"/>
  <c r="AY96" i="22"/>
  <c r="AZ96" i="22"/>
  <c r="BA96" i="22"/>
  <c r="BB96" i="22"/>
  <c r="BC96" i="22"/>
  <c r="BD96" i="22"/>
  <c r="BE96" i="22"/>
  <c r="BF96" i="22"/>
  <c r="BG96" i="22"/>
  <c r="BH96" i="22"/>
  <c r="BI96" i="22"/>
  <c r="BJ96" i="22"/>
  <c r="BK96" i="22"/>
  <c r="AM43" i="22"/>
  <c r="AN43" i="22"/>
  <c r="AO43" i="22"/>
  <c r="AP43" i="22"/>
  <c r="AQ43" i="22"/>
  <c r="AR43" i="22"/>
  <c r="AS43" i="22"/>
  <c r="AT43" i="22"/>
  <c r="AU43" i="22"/>
  <c r="AV43" i="22"/>
  <c r="AW43" i="22"/>
  <c r="AX43" i="22"/>
  <c r="AY43" i="22"/>
  <c r="AZ43" i="22"/>
  <c r="BA43" i="22"/>
  <c r="BB43" i="22"/>
  <c r="BC43" i="22"/>
  <c r="BD43" i="22"/>
  <c r="BE43" i="22"/>
  <c r="BF43" i="22"/>
  <c r="BG43" i="22"/>
  <c r="BH43" i="22"/>
  <c r="BI43" i="22"/>
  <c r="BJ43" i="22"/>
  <c r="BK43" i="22"/>
  <c r="AK92" i="22"/>
  <c r="AL92" i="22"/>
  <c r="AM92" i="22"/>
  <c r="AN92" i="22"/>
  <c r="AO92" i="22"/>
  <c r="AP92" i="22"/>
  <c r="AQ92" i="22"/>
  <c r="AR92" i="22"/>
  <c r="AS92" i="22"/>
  <c r="AT92" i="22"/>
  <c r="AU92" i="22"/>
  <c r="AV92" i="22"/>
  <c r="AW92" i="22"/>
  <c r="AX92" i="22"/>
  <c r="AY92" i="22"/>
  <c r="AZ92" i="22"/>
  <c r="BA92" i="22"/>
  <c r="BB92" i="22"/>
  <c r="BC92" i="22"/>
  <c r="BD92" i="22"/>
  <c r="BE92" i="22"/>
  <c r="BF92" i="22"/>
  <c r="BG92" i="22"/>
  <c r="BH92" i="22"/>
  <c r="BI92" i="22"/>
  <c r="BJ92" i="22"/>
  <c r="BK92" i="22"/>
  <c r="AS23" i="12"/>
  <c r="AG141" i="28"/>
  <c r="M141" i="28" s="1"/>
  <c r="M138" i="28"/>
  <c r="AH135" i="28"/>
  <c r="N135" i="28" s="1"/>
  <c r="AR23" i="12"/>
  <c r="AR24" i="12" s="1"/>
  <c r="AF87" i="22"/>
  <c r="AG87" i="22"/>
  <c r="AH87" i="22"/>
  <c r="AI87" i="22"/>
  <c r="AJ87" i="22"/>
  <c r="AK87" i="22"/>
  <c r="AL87" i="22"/>
  <c r="AM87" i="22"/>
  <c r="AN87" i="22"/>
  <c r="AO87" i="22"/>
  <c r="AP87" i="22"/>
  <c r="AQ87" i="22"/>
  <c r="AR87" i="22"/>
  <c r="AS87" i="22"/>
  <c r="AT87" i="22"/>
  <c r="AU87" i="22"/>
  <c r="AV87" i="22"/>
  <c r="AW87" i="22"/>
  <c r="AX87" i="22"/>
  <c r="AY87" i="22"/>
  <c r="AZ87" i="22"/>
  <c r="BA87" i="22"/>
  <c r="BB87" i="22"/>
  <c r="BC87" i="22"/>
  <c r="BD87" i="22"/>
  <c r="BE87" i="22"/>
  <c r="BF87" i="22"/>
  <c r="BG87" i="22"/>
  <c r="BH87" i="22"/>
  <c r="BI87" i="22"/>
  <c r="BJ87" i="22"/>
  <c r="BK87" i="22"/>
  <c r="M16" i="3"/>
  <c r="N16" i="3" s="1"/>
  <c r="O16" i="3" s="1"/>
  <c r="H16" i="3"/>
  <c r="J150" i="29"/>
  <c r="BU88" i="29"/>
  <c r="BV88" i="29"/>
  <c r="BW88" i="29"/>
  <c r="BX88" i="29"/>
  <c r="BY88" i="29"/>
  <c r="BZ88" i="29"/>
  <c r="BR85" i="29"/>
  <c r="BS85" i="29"/>
  <c r="BT85" i="29"/>
  <c r="BU85" i="29"/>
  <c r="BV85" i="29"/>
  <c r="BW85" i="29"/>
  <c r="BX85" i="29"/>
  <c r="BY85" i="29"/>
  <c r="BZ85" i="29"/>
  <c r="J39" i="29"/>
  <c r="Y39" i="29"/>
  <c r="AI50" i="29"/>
  <c r="AJ50" i="29"/>
  <c r="AK50" i="29"/>
  <c r="AL50" i="29"/>
  <c r="AM50" i="29"/>
  <c r="AN50" i="29"/>
  <c r="AO50" i="29"/>
  <c r="AQ50" i="29"/>
  <c r="AR50" i="29"/>
  <c r="AP50" i="29"/>
  <c r="AS50" i="29"/>
  <c r="AT50" i="29"/>
  <c r="AU50" i="29"/>
  <c r="AV50" i="29"/>
  <c r="AW50" i="29"/>
  <c r="AX50" i="29"/>
  <c r="AY50" i="29"/>
  <c r="AZ50" i="29"/>
  <c r="BA50" i="29"/>
  <c r="BB50" i="29"/>
  <c r="BC50" i="29"/>
  <c r="BD50" i="29"/>
  <c r="BE50" i="29"/>
  <c r="BF50" i="29"/>
  <c r="BG50" i="29"/>
  <c r="BH50" i="29"/>
  <c r="BI50" i="29"/>
  <c r="BJ50" i="29"/>
  <c r="BK50" i="29"/>
  <c r="BL50" i="29"/>
  <c r="BM50" i="29"/>
  <c r="BN50" i="29"/>
  <c r="BO50" i="29"/>
  <c r="BP50" i="29"/>
  <c r="BQ50" i="29"/>
  <c r="BR50" i="29"/>
  <c r="BS50" i="29"/>
  <c r="BT50" i="29"/>
  <c r="BU50" i="29"/>
  <c r="BV50" i="29"/>
  <c r="BW50" i="29"/>
  <c r="BX50" i="29"/>
  <c r="BY50" i="29"/>
  <c r="BZ50" i="29"/>
  <c r="AI101" i="29"/>
  <c r="AJ101" i="29"/>
  <c r="AK101" i="29"/>
  <c r="AL101" i="29"/>
  <c r="AM101" i="29"/>
  <c r="AN101" i="29"/>
  <c r="AO101" i="29"/>
  <c r="AQ101" i="29"/>
  <c r="AP101" i="29"/>
  <c r="AR101" i="29"/>
  <c r="AS101" i="29"/>
  <c r="AT101" i="29"/>
  <c r="AU101" i="29"/>
  <c r="AV101" i="29"/>
  <c r="AW101" i="29"/>
  <c r="AX101" i="29"/>
  <c r="AY101" i="29"/>
  <c r="AZ101" i="29"/>
  <c r="BA101" i="29"/>
  <c r="BB101" i="29"/>
  <c r="BC101" i="29"/>
  <c r="BD101" i="29"/>
  <c r="BE101" i="29"/>
  <c r="BF101" i="29"/>
  <c r="BG101" i="29"/>
  <c r="BH101" i="29"/>
  <c r="BI101" i="29"/>
  <c r="BJ101" i="29"/>
  <c r="BK101" i="29"/>
  <c r="BL101" i="29"/>
  <c r="BM101" i="29"/>
  <c r="BN101" i="29"/>
  <c r="BO101" i="29"/>
  <c r="BP101" i="29"/>
  <c r="BQ101" i="29"/>
  <c r="BR101" i="29"/>
  <c r="BS101" i="29"/>
  <c r="BT101" i="29"/>
  <c r="BU101" i="29"/>
  <c r="BV101" i="29"/>
  <c r="BW101" i="29"/>
  <c r="BX101" i="29"/>
  <c r="BY101" i="29"/>
  <c r="BZ101" i="29"/>
  <c r="AG85" i="28"/>
  <c r="AH85" i="28"/>
  <c r="AI85" i="28"/>
  <c r="AJ85" i="28"/>
  <c r="AK85" i="28"/>
  <c r="AL85" i="28"/>
  <c r="AM85" i="28"/>
  <c r="AN85" i="28"/>
  <c r="AO85" i="28"/>
  <c r="AF47" i="29"/>
  <c r="AG47" i="29"/>
  <c r="AH47" i="29"/>
  <c r="AI47" i="29"/>
  <c r="AJ47" i="29"/>
  <c r="AK47" i="29"/>
  <c r="AL47" i="29"/>
  <c r="AM47" i="29"/>
  <c r="AN47" i="29"/>
  <c r="AO47" i="29"/>
  <c r="AQ47" i="29"/>
  <c r="AR47" i="29"/>
  <c r="AP47" i="29"/>
  <c r="AS47" i="29"/>
  <c r="AT47" i="29"/>
  <c r="AU47" i="29"/>
  <c r="AV47" i="29"/>
  <c r="AW47" i="29"/>
  <c r="AX47" i="29"/>
  <c r="AY47" i="29"/>
  <c r="AZ47" i="29"/>
  <c r="BA47" i="29"/>
  <c r="BB47" i="29"/>
  <c r="BC47" i="29"/>
  <c r="BD47" i="29"/>
  <c r="BE47" i="29"/>
  <c r="BF47" i="29"/>
  <c r="BG47" i="29"/>
  <c r="BH47" i="29"/>
  <c r="BI47" i="29"/>
  <c r="BJ47" i="29"/>
  <c r="BK47" i="29"/>
  <c r="BL47" i="29"/>
  <c r="BM47" i="29"/>
  <c r="BN47" i="29"/>
  <c r="BO47" i="29"/>
  <c r="BP47" i="29"/>
  <c r="BQ47" i="29"/>
  <c r="BR47" i="29"/>
  <c r="BS47" i="29"/>
  <c r="BT47" i="29"/>
  <c r="BU47" i="29"/>
  <c r="BV47" i="29"/>
  <c r="BW47" i="29"/>
  <c r="BX47" i="29"/>
  <c r="BY47" i="29"/>
  <c r="BZ47" i="29"/>
  <c r="AE97" i="29"/>
  <c r="AF97" i="29"/>
  <c r="AG97" i="29"/>
  <c r="AH97" i="29"/>
  <c r="AI97" i="29"/>
  <c r="AJ97" i="29"/>
  <c r="AK97" i="29"/>
  <c r="AL97" i="29"/>
  <c r="AM97" i="29"/>
  <c r="AN97" i="29"/>
  <c r="AO97" i="29"/>
  <c r="AQ97" i="29"/>
  <c r="AP97" i="29"/>
  <c r="AR97" i="29"/>
  <c r="AS97" i="29"/>
  <c r="AT97" i="29"/>
  <c r="AU97" i="29"/>
  <c r="AV97" i="29"/>
  <c r="AW97" i="29"/>
  <c r="AX97" i="29"/>
  <c r="AY97" i="29"/>
  <c r="AZ97" i="29"/>
  <c r="BA97" i="29"/>
  <c r="BB97" i="29"/>
  <c r="BC97" i="29"/>
  <c r="BD97" i="29"/>
  <c r="BE97" i="29"/>
  <c r="BF97" i="29"/>
  <c r="BG97" i="29"/>
  <c r="BH97" i="29"/>
  <c r="BI97" i="29"/>
  <c r="BJ97" i="29"/>
  <c r="BK97" i="29"/>
  <c r="BL97" i="29"/>
  <c r="BM97" i="29"/>
  <c r="BN97" i="29"/>
  <c r="BO97" i="29"/>
  <c r="BP97" i="29"/>
  <c r="BQ97" i="29"/>
  <c r="BR97" i="29"/>
  <c r="BS97" i="29"/>
  <c r="BT97" i="29"/>
  <c r="BU97" i="29"/>
  <c r="BV97" i="29"/>
  <c r="BW97" i="29"/>
  <c r="BX97" i="29"/>
  <c r="BY97" i="29"/>
  <c r="BZ97" i="29"/>
  <c r="BN67" i="30" a="1"/>
  <c r="BN67" i="30" s="1"/>
  <c r="BC67" i="30" a="1"/>
  <c r="BC67" i="30" s="1"/>
  <c r="AY67" i="30" a="1"/>
  <c r="AY67" i="30" s="1"/>
  <c r="AM67" i="30" a="1"/>
  <c r="AM67" i="30" s="1"/>
  <c r="AG67" i="30" a="1"/>
  <c r="AG67" i="30" s="1"/>
  <c r="BF67" i="30" a="1"/>
  <c r="BF67" i="30" s="1"/>
  <c r="AU67" i="30" a="1"/>
  <c r="AU67" i="30" s="1"/>
  <c r="AQ67" i="30" a="1"/>
  <c r="AQ67" i="30" s="1"/>
  <c r="AI67" i="30" a="1"/>
  <c r="AI67" i="30" s="1"/>
  <c r="BJ67" i="30" a="1"/>
  <c r="BJ67" i="30" s="1"/>
  <c r="BB67" i="30" a="1"/>
  <c r="BB67" i="30" s="1"/>
  <c r="AW67" i="30" a="1"/>
  <c r="AW67" i="30" s="1"/>
  <c r="AZ67" i="30" a="1"/>
  <c r="AZ67" i="30" s="1"/>
  <c r="AJ67" i="30" a="1"/>
  <c r="AJ67" i="30" s="1"/>
  <c r="AX67" i="30" a="1"/>
  <c r="AX67" i="30" s="1"/>
  <c r="AT67" i="30" a="1"/>
  <c r="AT67" i="30" s="1"/>
  <c r="BA67" i="30" a="1"/>
  <c r="BA67" i="30" s="1"/>
  <c r="AN67" i="30" a="1"/>
  <c r="AN67" i="30" s="1"/>
  <c r="AP67" i="30" a="1"/>
  <c r="AP67" i="30" s="1"/>
  <c r="BI67" i="30" a="1"/>
  <c r="BI67" i="30" s="1"/>
  <c r="BD67" i="30" a="1"/>
  <c r="BD67" i="30" s="1"/>
  <c r="AV67" i="30" a="1"/>
  <c r="AV67" i="30" s="1"/>
  <c r="AH67" i="30" a="1"/>
  <c r="AH67" i="30" s="1"/>
  <c r="BM67" i="30" a="1"/>
  <c r="BM67" i="30" s="1"/>
  <c r="AS67" i="30" a="1"/>
  <c r="AS67" i="30" s="1"/>
  <c r="BL67" i="30" a="1"/>
  <c r="BL67" i="30" s="1"/>
  <c r="AR67" i="30" a="1"/>
  <c r="AR67" i="30" s="1"/>
  <c r="BE67" i="30" a="1"/>
  <c r="BE67" i="30" s="1"/>
  <c r="AL67" i="30" a="1"/>
  <c r="AL67" i="30" s="1"/>
  <c r="AO67" i="30" a="1"/>
  <c r="AO67" i="30" s="1"/>
  <c r="BK67" i="30" a="1"/>
  <c r="BK67" i="30" s="1"/>
  <c r="AK67" i="30" a="1"/>
  <c r="AK67" i="30" s="1"/>
  <c r="BG67" i="30" a="1"/>
  <c r="BG67" i="30" s="1"/>
  <c r="BH67" i="30" a="1"/>
  <c r="BH67" i="30" s="1"/>
  <c r="AF67" i="30" a="1"/>
  <c r="AF67" i="30" s="1"/>
  <c r="BO67" i="30" a="1"/>
  <c r="BO67" i="30" s="1"/>
  <c r="BP67" i="30" a="1"/>
  <c r="BP67" i="30" s="1"/>
  <c r="BQ67" i="30" a="1"/>
  <c r="BQ67" i="30" s="1"/>
  <c r="BR67" i="30" a="1"/>
  <c r="BR67" i="30" s="1"/>
  <c r="BS67" i="30" a="1"/>
  <c r="BS67" i="30" s="1"/>
  <c r="BT67" i="30" a="1"/>
  <c r="BT67" i="30" s="1"/>
  <c r="BU67" i="30" a="1"/>
  <c r="BU67" i="30" s="1"/>
  <c r="BV67" i="30" a="1"/>
  <c r="BV67" i="30" s="1"/>
  <c r="BW67" i="30" a="1"/>
  <c r="BW67" i="30" s="1"/>
  <c r="BX67" i="30" a="1"/>
  <c r="BX67" i="30" s="1"/>
  <c r="BY67" i="30" a="1"/>
  <c r="BY67" i="30" s="1"/>
  <c r="BZ67" i="30" a="1"/>
  <c r="BZ67" i="30" s="1"/>
  <c r="CA67" i="30" a="1"/>
  <c r="CA67" i="30" s="1"/>
  <c r="AX86" i="30"/>
  <c r="T86" i="30" s="1"/>
  <c r="T28" i="30"/>
  <c r="I81" i="30"/>
  <c r="R81" i="30"/>
  <c r="AL85" i="30"/>
  <c r="AN92" i="28"/>
  <c r="AO92" i="28"/>
  <c r="BD60" i="22"/>
  <c r="BE60" i="22"/>
  <c r="BF60" i="22"/>
  <c r="BG60" i="22"/>
  <c r="BH60" i="22"/>
  <c r="BI60" i="22"/>
  <c r="BJ60" i="22"/>
  <c r="BK60" i="22"/>
  <c r="AV23" i="12"/>
  <c r="AM135" i="28"/>
  <c r="AL141" i="28"/>
  <c r="AM25" i="31"/>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BD36" i="22"/>
  <c r="BE36" i="22"/>
  <c r="BF36" i="22"/>
  <c r="BG36" i="22"/>
  <c r="BH36" i="22"/>
  <c r="BI36" i="22"/>
  <c r="BJ36" i="22"/>
  <c r="BK36" i="22"/>
  <c r="I15" i="3"/>
  <c r="Q144" i="29"/>
  <c r="X144" i="29"/>
  <c r="U144" i="29"/>
  <c r="R144" i="29"/>
  <c r="AB144" i="29"/>
  <c r="J144" i="29"/>
  <c r="V144" i="29"/>
  <c r="AA144" i="29"/>
  <c r="T144" i="29"/>
  <c r="Y144" i="29"/>
  <c r="W144" i="29"/>
  <c r="Z144" i="29"/>
  <c r="S144" i="29"/>
  <c r="O144" i="29"/>
  <c r="M144" i="29"/>
  <c r="P144" i="29"/>
  <c r="N144" i="29"/>
  <c r="BW141" i="29"/>
  <c r="BX141" i="29"/>
  <c r="BY141" i="29"/>
  <c r="BZ141" i="29"/>
  <c r="BE72" i="29"/>
  <c r="BF72" i="29"/>
  <c r="BG72" i="29"/>
  <c r="BH72" i="29"/>
  <c r="BI72" i="29"/>
  <c r="BJ72" i="29"/>
  <c r="BK72" i="29"/>
  <c r="BL72" i="29"/>
  <c r="BM72" i="29"/>
  <c r="BN72" i="29"/>
  <c r="BO72" i="29"/>
  <c r="BP72" i="29"/>
  <c r="BQ72" i="29"/>
  <c r="BR72" i="29"/>
  <c r="BS72" i="29"/>
  <c r="BT72" i="29"/>
  <c r="BU72" i="29"/>
  <c r="BV72" i="29"/>
  <c r="BW72" i="29"/>
  <c r="BX72" i="29"/>
  <c r="BY72" i="29"/>
  <c r="BZ72" i="29"/>
  <c r="AO107" i="29"/>
  <c r="AQ107" i="29"/>
  <c r="AP107" i="29"/>
  <c r="AR107" i="29"/>
  <c r="AS107" i="29"/>
  <c r="AT107" i="29"/>
  <c r="AU107" i="29"/>
  <c r="AV107" i="29"/>
  <c r="AW107" i="29"/>
  <c r="AX107" i="29"/>
  <c r="AY107" i="29"/>
  <c r="AZ107" i="29"/>
  <c r="BA107" i="29"/>
  <c r="BB107" i="29"/>
  <c r="BC107" i="29"/>
  <c r="BD107" i="29"/>
  <c r="BE107" i="29"/>
  <c r="BF107" i="29"/>
  <c r="BG107" i="29"/>
  <c r="BH107" i="29"/>
  <c r="BI107" i="29"/>
  <c r="BJ107" i="29"/>
  <c r="BK107" i="29"/>
  <c r="BL107" i="29"/>
  <c r="BM107" i="29"/>
  <c r="BN107" i="29"/>
  <c r="BO107" i="29"/>
  <c r="BP107" i="29"/>
  <c r="BQ107" i="29"/>
  <c r="BR107" i="29"/>
  <c r="BS107" i="29"/>
  <c r="BT107" i="29"/>
  <c r="BU107" i="29"/>
  <c r="BV107" i="29"/>
  <c r="BW107" i="29"/>
  <c r="BX107" i="29"/>
  <c r="BY107" i="29"/>
  <c r="BZ107" i="29"/>
  <c r="AF84" i="28"/>
  <c r="AG84" i="28"/>
  <c r="AH84" i="28"/>
  <c r="AI84" i="28"/>
  <c r="AJ84" i="28"/>
  <c r="AK84" i="28"/>
  <c r="AL84" i="28"/>
  <c r="AM84" i="28"/>
  <c r="AN84" i="28"/>
  <c r="AO84" i="28"/>
  <c r="AF33" i="28"/>
  <c r="AG33" i="28"/>
  <c r="AH33" i="28"/>
  <c r="AI33" i="28"/>
  <c r="AJ33" i="28"/>
  <c r="AK33" i="28"/>
  <c r="AL33" i="28"/>
  <c r="AM33" i="28"/>
  <c r="AN33" i="28"/>
  <c r="AO33" i="28"/>
  <c r="BJ85" i="30"/>
  <c r="BH85" i="30"/>
  <c r="BD85" i="30"/>
  <c r="BB85" i="30"/>
  <c r="AX85" i="30"/>
  <c r="AG85" i="30"/>
  <c r="AF33" i="30" a="1"/>
  <c r="AF33" i="30" s="1"/>
  <c r="AG33" i="30" a="1"/>
  <c r="AG33" i="30" s="1"/>
  <c r="AH33" i="30" a="1"/>
  <c r="AH33" i="30" s="1"/>
  <c r="AI33" i="30" a="1"/>
  <c r="AI33" i="30" s="1"/>
  <c r="AJ33" i="30" a="1"/>
  <c r="AJ33" i="30" s="1"/>
  <c r="AK33" i="30" a="1"/>
  <c r="AK33" i="30" s="1"/>
  <c r="AL33" i="30" a="1"/>
  <c r="AL33" i="30" s="1"/>
  <c r="AM33" i="30" a="1"/>
  <c r="AM33" i="30" s="1"/>
  <c r="AN33" i="30" a="1"/>
  <c r="AN33" i="30" s="1"/>
  <c r="AO33" i="30" a="1"/>
  <c r="AO33" i="30" s="1"/>
  <c r="AP33" i="30" a="1"/>
  <c r="AP33" i="30" s="1"/>
  <c r="AQ33" i="30" a="1"/>
  <c r="AQ33" i="30" s="1"/>
  <c r="AR33" i="30" a="1"/>
  <c r="AR33" i="30" s="1"/>
  <c r="AS33" i="30" a="1"/>
  <c r="AS33" i="30" s="1"/>
  <c r="AT33" i="30" a="1"/>
  <c r="AT33" i="30" s="1"/>
  <c r="AU33" i="30" a="1"/>
  <c r="AU33" i="30" s="1"/>
  <c r="AV33" i="30" a="1"/>
  <c r="AV33" i="30" s="1"/>
  <c r="AW33" i="30" a="1"/>
  <c r="AW33" i="30" s="1"/>
  <c r="AX33" i="30" a="1"/>
  <c r="AX33" i="30" s="1"/>
  <c r="AY33" i="30" a="1"/>
  <c r="AY33" i="30" s="1"/>
  <c r="AZ33" i="30" a="1"/>
  <c r="AZ33" i="30" s="1"/>
  <c r="BA33" i="30" a="1"/>
  <c r="BA33" i="30" s="1"/>
  <c r="BB33" i="30" a="1"/>
  <c r="BB33" i="30" s="1"/>
  <c r="BC33" i="30" a="1"/>
  <c r="BC33" i="30" s="1"/>
  <c r="BD33" i="30" a="1"/>
  <c r="BD33" i="30" s="1"/>
  <c r="BE33" i="30" a="1"/>
  <c r="BE33" i="30" s="1"/>
  <c r="BF33" i="30" a="1"/>
  <c r="BF33" i="30" s="1"/>
  <c r="BG33" i="30" a="1"/>
  <c r="BG33" i="30" s="1"/>
  <c r="BH33" i="30" a="1"/>
  <c r="BH33" i="30" s="1"/>
  <c r="BI33" i="30" a="1"/>
  <c r="BI33" i="30" s="1"/>
  <c r="BJ33" i="30" a="1"/>
  <c r="BJ33" i="30" s="1"/>
  <c r="BK33" i="30" a="1"/>
  <c r="BK33" i="30" s="1"/>
  <c r="BL33" i="30" a="1"/>
  <c r="BL33" i="30" s="1"/>
  <c r="BM33" i="30" a="1"/>
  <c r="BM33" i="30" s="1"/>
  <c r="BN33" i="30" a="1"/>
  <c r="BN33" i="30" s="1"/>
  <c r="BO33" i="30" a="1"/>
  <c r="BO33" i="30" s="1"/>
  <c r="BP33" i="30" a="1"/>
  <c r="BP33" i="30" s="1"/>
  <c r="BQ33" i="30" a="1"/>
  <c r="BQ33" i="30" s="1"/>
  <c r="BR33" i="30" a="1"/>
  <c r="BR33" i="30" s="1"/>
  <c r="BS33" i="30" a="1"/>
  <c r="BS33" i="30" s="1"/>
  <c r="BT33" i="30" a="1"/>
  <c r="BT33" i="30" s="1"/>
  <c r="BU33" i="30" a="1"/>
  <c r="BU33" i="30" s="1"/>
  <c r="BV33" i="30" a="1"/>
  <c r="BV33" i="30" s="1"/>
  <c r="BW33" i="30" a="1"/>
  <c r="BW33" i="30" s="1"/>
  <c r="BX33" i="30" a="1"/>
  <c r="BX33" i="30" s="1"/>
  <c r="BY33" i="30" a="1"/>
  <c r="BY33" i="30" s="1"/>
  <c r="BZ33" i="30" a="1"/>
  <c r="BZ33" i="30" s="1"/>
  <c r="CA33" i="30" a="1"/>
  <c r="CA33" i="30" s="1"/>
  <c r="BY14" i="12" a="1"/>
  <c r="BY14" i="12" s="1"/>
  <c r="BZ14" i="12" s="1" a="1"/>
  <c r="BZ14" i="12" s="1"/>
  <c r="AX41" i="13" s="1"/>
  <c r="BO107" i="17"/>
  <c r="BO109" i="17" s="1"/>
  <c r="BO103" i="17" s="1"/>
  <c r="BP105" i="17"/>
  <c r="BY103" i="12"/>
  <c r="AV102" i="13"/>
  <c r="BW83" i="20"/>
  <c r="AZ81" i="14"/>
  <c r="BV87" i="20"/>
  <c r="AS132" i="13" s="1"/>
  <c r="BV86" i="20"/>
  <c r="AS131" i="13" s="1"/>
  <c r="BW90" i="20"/>
  <c r="AT134" i="13" s="1"/>
  <c r="BW108" i="20"/>
  <c r="Q76" i="17"/>
  <c r="H76" i="17"/>
  <c r="BV109" i="20" a="1"/>
  <c r="BV109" i="20" s="1"/>
  <c r="BV111" i="20" a="1"/>
  <c r="BV111" i="20" s="1"/>
  <c r="BV110" i="20"/>
  <c r="BU82" i="20"/>
  <c r="BW107" i="20"/>
  <c r="AH62" i="20"/>
  <c r="BL41" i="17"/>
  <c r="E77" i="17" s="1" a="1"/>
  <c r="E77" i="17" s="1"/>
  <c r="BP77" i="17" s="1" a="1"/>
  <c r="BP77" i="17" s="1"/>
  <c r="BY13" i="12" a="1"/>
  <c r="BY13" i="12" s="1"/>
  <c r="AW40" i="13" s="1"/>
  <c r="BW76" i="20"/>
  <c r="AT122" i="13" s="1"/>
  <c r="BW77" i="20"/>
  <c r="AT123" i="13" s="1"/>
  <c r="BW91" i="20"/>
  <c r="AT135" i="13" s="1"/>
  <c r="BV96" i="20"/>
  <c r="BU106" i="20"/>
  <c r="BT26" i="12"/>
  <c r="BM104" i="22"/>
  <c r="BM120" i="22"/>
  <c r="BM39" i="22"/>
  <c r="BM36" i="22"/>
  <c r="BM45" i="22"/>
  <c r="BM42" i="22"/>
  <c r="BM37" i="22"/>
  <c r="BM35" i="22"/>
  <c r="BM38" i="22"/>
  <c r="BM99" i="22"/>
  <c r="BM89" i="22"/>
  <c r="BM116" i="22"/>
  <c r="BM112" i="22"/>
  <c r="BM106" i="22"/>
  <c r="BM98" i="22"/>
  <c r="BM92" i="22"/>
  <c r="BM91" i="22"/>
  <c r="BM108" i="22"/>
  <c r="BM117" i="22"/>
  <c r="BM107" i="22"/>
  <c r="BM113" i="22"/>
  <c r="BM102" i="22"/>
  <c r="BM100" i="22"/>
  <c r="BM97" i="22"/>
  <c r="BM111" i="22"/>
  <c r="BM105" i="22"/>
  <c r="BM96" i="22"/>
  <c r="BM87" i="22"/>
  <c r="BM86" i="22"/>
  <c r="BM118" i="22"/>
  <c r="BM103" i="22"/>
  <c r="BM114" i="22"/>
  <c r="BM109" i="22"/>
  <c r="BM93" i="22"/>
  <c r="BM115" i="22"/>
  <c r="BM110" i="22"/>
  <c r="BM41" i="22"/>
  <c r="BM94" i="22"/>
  <c r="BM88" i="22"/>
  <c r="BM95" i="22"/>
  <c r="BM90" i="22"/>
  <c r="BM101" i="22"/>
  <c r="BM40" i="22"/>
  <c r="BH81" i="14"/>
  <c r="AG81" i="14"/>
  <c r="AR81" i="14"/>
  <c r="AX81" i="14"/>
  <c r="AI81" i="14"/>
  <c r="AM81" i="14"/>
  <c r="AH81" i="14"/>
  <c r="AO81" i="14"/>
  <c r="AQ81" i="14"/>
  <c r="AU81" i="14"/>
  <c r="BB81" i="14"/>
  <c r="AW81" i="14"/>
  <c r="BD81" i="14"/>
  <c r="BF81" i="14"/>
  <c r="BJ81" i="14"/>
  <c r="BK81" i="14"/>
  <c r="AV81" i="14"/>
  <c r="BA81" i="14"/>
  <c r="AS81" i="14"/>
  <c r="AJ81" i="14"/>
  <c r="AP81" i="14"/>
  <c r="AT81" i="14"/>
  <c r="AY81" i="14"/>
  <c r="AF81" i="14"/>
  <c r="AK81" i="14"/>
  <c r="AN81" i="14"/>
  <c r="BE81" i="14"/>
  <c r="BI81" i="14"/>
  <c r="BG81" i="14"/>
  <c r="BL81" i="14"/>
  <c r="BC81" i="14"/>
  <c r="BB62" i="15"/>
  <c r="AQ62" i="15"/>
  <c r="AU62" i="15"/>
  <c r="BF62" i="15"/>
  <c r="BG62" i="15"/>
  <c r="AF62" i="15"/>
  <c r="AI62" i="15"/>
  <c r="AK62" i="15"/>
  <c r="AN62" i="15"/>
  <c r="AS62" i="15"/>
  <c r="BA62" i="15"/>
  <c r="AG62" i="15"/>
  <c r="AL62" i="15"/>
  <c r="AY62" i="15"/>
  <c r="AZ62" i="15"/>
  <c r="BE62" i="15"/>
  <c r="BI62" i="15"/>
  <c r="AJ62" i="15"/>
  <c r="AO62" i="15"/>
  <c r="BC62" i="15"/>
  <c r="BD62" i="15"/>
  <c r="BH62" i="15"/>
  <c r="AH62" i="15"/>
  <c r="AM62" i="15"/>
  <c r="AW62" i="15"/>
  <c r="BM62" i="15"/>
  <c r="BY52" i="20"/>
  <c r="BM44" i="22"/>
  <c r="BM47" i="22"/>
  <c r="BM48" i="22"/>
  <c r="BM49" i="22"/>
  <c r="BM53" i="22"/>
  <c r="BM59" i="22"/>
  <c r="BM61" i="22"/>
  <c r="BM63" i="22"/>
  <c r="BM64" i="22"/>
  <c r="BM67" i="22"/>
  <c r="BM43" i="22"/>
  <c r="BM51" i="22"/>
  <c r="BM54" i="22"/>
  <c r="BM57" i="22"/>
  <c r="BM60" i="22"/>
  <c r="BM119" i="22"/>
  <c r="BM46" i="22"/>
  <c r="BM50" i="22"/>
  <c r="BM52" i="22"/>
  <c r="BM55" i="22"/>
  <c r="BM56" i="22"/>
  <c r="BM58" i="22"/>
  <c r="BM62" i="22"/>
  <c r="BM65" i="22"/>
  <c r="BM66" i="22"/>
  <c r="BM68" i="22"/>
  <c r="BN7" i="22"/>
  <c r="BN6" i="22"/>
  <c r="BN3" i="22"/>
  <c r="BN4" i="22"/>
  <c r="BO5" i="22"/>
  <c r="BN8" i="22"/>
  <c r="BM70" i="22"/>
  <c r="BL70" i="22"/>
  <c r="BK70" i="22"/>
  <c r="BJ70" i="22"/>
  <c r="BI70" i="22"/>
  <c r="BH70" i="22"/>
  <c r="BG70" i="22"/>
  <c r="BF70" i="22"/>
  <c r="BE70" i="22"/>
  <c r="BD70" i="22"/>
  <c r="BC70" i="22"/>
  <c r="BB70" i="22"/>
  <c r="BA70" i="22"/>
  <c r="AZ70" i="22"/>
  <c r="AY70" i="22"/>
  <c r="AX70" i="22"/>
  <c r="AW70" i="22"/>
  <c r="AV70" i="22"/>
  <c r="AU70" i="22"/>
  <c r="AT70" i="22"/>
  <c r="AS70" i="22"/>
  <c r="AR70" i="22"/>
  <c r="AQ70" i="22"/>
  <c r="AP70" i="22"/>
  <c r="AO70" i="22"/>
  <c r="AN70" i="22"/>
  <c r="AM70" i="22"/>
  <c r="AL70" i="22"/>
  <c r="AK70" i="22"/>
  <c r="AJ70" i="22"/>
  <c r="AI70" i="22"/>
  <c r="AH70" i="22"/>
  <c r="AE70" i="22"/>
  <c r="AG70" i="22"/>
  <c r="AF70" i="22"/>
  <c r="D71" i="22"/>
  <c r="E71" i="22" s="1" a="1"/>
  <c r="E71" i="22" s="1"/>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D122" i="22"/>
  <c r="AE121" i="22"/>
  <c r="AF121" i="22"/>
  <c r="BT89" i="20"/>
  <c r="BB112" i="16"/>
  <c r="AT112" i="16"/>
  <c r="AU112" i="16"/>
  <c r="AV112" i="16"/>
  <c r="AW112" i="16"/>
  <c r="AX112" i="16"/>
  <c r="AY112" i="16"/>
  <c r="AZ112" i="16"/>
  <c r="BA112" i="16"/>
  <c r="BD112" i="16"/>
  <c r="BE112" i="16"/>
  <c r="BF112" i="16"/>
  <c r="BG112" i="16"/>
  <c r="BH112" i="16"/>
  <c r="BI112" i="16"/>
  <c r="BJ112" i="16"/>
  <c r="BK112" i="16"/>
  <c r="BL112" i="16"/>
  <c r="BM112" i="16"/>
  <c r="BC112" i="16"/>
  <c r="BZ54" i="20"/>
  <c r="BV60" i="20"/>
  <c r="BW64" i="20"/>
  <c r="AT112" i="13" s="1"/>
  <c r="BW63" i="20"/>
  <c r="AT111" i="13" s="1"/>
  <c r="BW62" i="20"/>
  <c r="BW65" i="20"/>
  <c r="AT113" i="13" s="1"/>
  <c r="BS89" i="20"/>
  <c r="BS75" i="20"/>
  <c r="BT75" i="20"/>
  <c r="BU79" i="20"/>
  <c r="AR125" i="13" s="1"/>
  <c r="BU78" i="20"/>
  <c r="AR124" i="13" s="1"/>
  <c r="BU80" i="20"/>
  <c r="AR126" i="13" s="1"/>
  <c r="BU92" i="20"/>
  <c r="AR136" i="13" s="1"/>
  <c r="BU93" i="20"/>
  <c r="AR137" i="13" s="1"/>
  <c r="BU94" i="20"/>
  <c r="AR138" i="13" s="1"/>
  <c r="BW100" i="20"/>
  <c r="AT143" i="13" s="1"/>
  <c r="BW101" i="20"/>
  <c r="AT144" i="13" s="1"/>
  <c r="BW99" i="20"/>
  <c r="AT142" i="13" s="1"/>
  <c r="BX102" i="20"/>
  <c r="AU145" i="13" s="1"/>
  <c r="BX88" i="20"/>
  <c r="AU133" i="13" s="1"/>
  <c r="BX95" i="20"/>
  <c r="AU139" i="13" s="1"/>
  <c r="BX81" i="20"/>
  <c r="AU127" i="13" s="1"/>
  <c r="BZ57" i="20"/>
  <c r="BZ97" i="20" s="1"/>
  <c r="AW140" i="13" s="1"/>
  <c r="BZ56" i="20"/>
  <c r="BZ55" i="20"/>
  <c r="BU68" i="20"/>
  <c r="BY7" i="20"/>
  <c r="BY4" i="20"/>
  <c r="BZ5" i="20"/>
  <c r="BY8" i="20"/>
  <c r="BY6" i="20"/>
  <c r="BY3" i="20"/>
  <c r="BX18" i="20"/>
  <c r="BX28" i="20"/>
  <c r="BX11" i="20"/>
  <c r="BX29" i="20"/>
  <c r="BX35" i="20"/>
  <c r="BX16" i="20"/>
  <c r="BX26" i="20"/>
  <c r="BX15" i="20"/>
  <c r="BX22" i="20"/>
  <c r="BX32" i="20"/>
  <c r="BX27" i="20"/>
  <c r="BX33" i="20"/>
  <c r="BX20" i="20"/>
  <c r="BX31" i="20"/>
  <c r="BX19" i="20"/>
  <c r="BX23" i="20"/>
  <c r="BX74" i="20"/>
  <c r="AU121" i="13" s="1"/>
  <c r="BX24" i="20"/>
  <c r="BX34" i="20"/>
  <c r="BX25" i="20"/>
  <c r="BX21" i="20"/>
  <c r="BX14" i="20"/>
  <c r="BX30" i="20"/>
  <c r="BX13" i="20"/>
  <c r="BX17" i="20"/>
  <c r="BX12" i="20"/>
  <c r="BW70" i="20"/>
  <c r="AT117" i="13" s="1"/>
  <c r="BW69" i="20"/>
  <c r="AT116" i="13" s="1"/>
  <c r="BW61" i="20"/>
  <c r="AT109" i="13" s="1"/>
  <c r="BW10" i="20"/>
  <c r="BV115" i="20"/>
  <c r="BV72" i="20"/>
  <c r="AS119" i="13" s="1"/>
  <c r="BV73" i="20"/>
  <c r="AS120" i="13" s="1"/>
  <c r="BV71" i="20"/>
  <c r="AS118" i="13" s="1"/>
  <c r="BL110" i="16"/>
  <c r="BM110" i="16"/>
  <c r="BO172" i="17"/>
  <c r="AS112" i="16"/>
  <c r="AR112" i="16"/>
  <c r="AQ112" i="16"/>
  <c r="AP112" i="16"/>
  <c r="AO112" i="16"/>
  <c r="AN112" i="16"/>
  <c r="AM112" i="16"/>
  <c r="AL112" i="16"/>
  <c r="AK112" i="16"/>
  <c r="AJ112" i="16"/>
  <c r="AI112" i="16"/>
  <c r="AH112" i="16"/>
  <c r="AG112" i="16"/>
  <c r="AF112" i="16"/>
  <c r="BL62" i="15"/>
  <c r="BJ62" i="15"/>
  <c r="AX62" i="15"/>
  <c r="AV62" i="15"/>
  <c r="CA53" i="20"/>
  <c r="BY20" i="16"/>
  <c r="E111" i="16" a="1"/>
  <c r="E111" i="16" s="1"/>
  <c r="BN172" i="17"/>
  <c r="BM172" i="17"/>
  <c r="BL172" i="17"/>
  <c r="BK172" i="17"/>
  <c r="BJ172" i="17"/>
  <c r="BI172" i="17"/>
  <c r="BH172" i="17"/>
  <c r="BG172" i="17"/>
  <c r="BF172" i="17"/>
  <c r="BE172" i="17"/>
  <c r="BD172" i="17"/>
  <c r="BC172" i="17"/>
  <c r="BB172" i="17"/>
  <c r="BA172" i="17"/>
  <c r="AZ172" i="17"/>
  <c r="AY172" i="17"/>
  <c r="AX172" i="17"/>
  <c r="AW172" i="17"/>
  <c r="AV172" i="17"/>
  <c r="AU172" i="17"/>
  <c r="AT172" i="17"/>
  <c r="AS172" i="17"/>
  <c r="AR172" i="17"/>
  <c r="AQ172" i="17"/>
  <c r="AP172" i="17"/>
  <c r="AO172" i="17"/>
  <c r="AN172" i="17"/>
  <c r="AM172" i="17"/>
  <c r="AL172" i="17"/>
  <c r="AK172" i="17"/>
  <c r="AJ172" i="17"/>
  <c r="AI172" i="17"/>
  <c r="AH172" i="17"/>
  <c r="AF172" i="17"/>
  <c r="D173" i="17"/>
  <c r="AG172" i="17"/>
  <c r="D82" i="17"/>
  <c r="J76" i="17"/>
  <c r="Y76" i="17"/>
  <c r="J74" i="17"/>
  <c r="Y74" i="17"/>
  <c r="J73" i="17"/>
  <c r="Y73" i="17"/>
  <c r="Y71" i="17"/>
  <c r="J71" i="17"/>
  <c r="BQ6" i="17"/>
  <c r="BR5" i="17"/>
  <c r="BQ7" i="17"/>
  <c r="BQ4" i="17"/>
  <c r="BQ3" i="17"/>
  <c r="BQ8" i="17"/>
  <c r="BP76" i="17" a="1"/>
  <c r="BP76" i="17" s="1"/>
  <c r="BP75" i="17" a="1"/>
  <c r="BP75" i="17" s="1"/>
  <c r="BP74" i="17" a="1"/>
  <c r="BP74" i="17" s="1"/>
  <c r="BP73" i="17" a="1"/>
  <c r="BP73" i="17" s="1"/>
  <c r="BP72" i="17" a="1"/>
  <c r="BP72" i="17" s="1"/>
  <c r="BP71" i="17" a="1"/>
  <c r="BP71" i="17" s="1"/>
  <c r="BP70" i="17" a="1"/>
  <c r="BP70" i="17" s="1"/>
  <c r="BP69" i="17" a="1"/>
  <c r="BP69" i="17" s="1"/>
  <c r="BP160" i="17"/>
  <c r="BP68" i="17" a="1"/>
  <c r="BP68" i="17" s="1"/>
  <c r="BP159" i="17"/>
  <c r="BP67" i="17" a="1"/>
  <c r="BP67" i="17" s="1"/>
  <c r="BP136" i="17"/>
  <c r="BP138" i="17"/>
  <c r="BP46" i="17" a="1"/>
  <c r="BP46" i="17" s="1"/>
  <c r="BP140" i="17"/>
  <c r="BP142" i="17"/>
  <c r="BP52" i="17" a="1"/>
  <c r="BP52" i="17" s="1"/>
  <c r="BP53" i="17" a="1"/>
  <c r="BP53" i="17" s="1"/>
  <c r="BP147" i="17"/>
  <c r="BP57" i="17" a="1"/>
  <c r="BP57" i="17" s="1"/>
  <c r="BP59" i="17" a="1"/>
  <c r="BP59" i="17" s="1"/>
  <c r="BP60" i="17" a="1"/>
  <c r="BP60" i="17" s="1"/>
  <c r="BP153" i="17"/>
  <c r="BP62" i="17" a="1"/>
  <c r="BP62" i="17" s="1"/>
  <c r="BP154" i="17"/>
  <c r="BP65" i="17" a="1"/>
  <c r="BP65" i="17" s="1"/>
  <c r="BP157" i="17"/>
  <c r="BP137" i="17"/>
  <c r="BP47" i="17" a="1"/>
  <c r="BP47" i="17" s="1"/>
  <c r="BP49" i="17" a="1"/>
  <c r="BP49" i="17" s="1"/>
  <c r="BP50" i="17" a="1"/>
  <c r="BP50" i="17" s="1"/>
  <c r="BP51" i="17" a="1"/>
  <c r="BP51" i="17" s="1"/>
  <c r="BP144" i="17"/>
  <c r="BP148" i="17"/>
  <c r="BP150" i="17"/>
  <c r="BP152" i="17"/>
  <c r="BP63" i="17" a="1"/>
  <c r="BP63" i="17" s="1"/>
  <c r="BP64" i="17" a="1"/>
  <c r="BP64" i="17" s="1"/>
  <c r="BP66" i="17" a="1"/>
  <c r="BP66" i="17" s="1"/>
  <c r="BP45" i="17" a="1"/>
  <c r="BP45" i="17" s="1"/>
  <c r="BP139" i="17"/>
  <c r="BP48" i="17" a="1"/>
  <c r="BP48" i="17" s="1"/>
  <c r="BP141" i="17"/>
  <c r="BP143" i="17"/>
  <c r="BP145" i="17"/>
  <c r="BP54" i="17" a="1"/>
  <c r="BP54" i="17" s="1"/>
  <c r="BP146" i="17"/>
  <c r="BP55" i="17" a="1"/>
  <c r="BP55" i="17" s="1"/>
  <c r="BP56" i="17" a="1"/>
  <c r="BP56" i="17" s="1"/>
  <c r="BP149" i="17"/>
  <c r="BP58" i="17" a="1"/>
  <c r="BP58" i="17" s="1"/>
  <c r="BP151" i="17"/>
  <c r="BP61" i="17" a="1"/>
  <c r="BP61" i="17" s="1"/>
  <c r="BP155" i="17"/>
  <c r="BP156" i="17"/>
  <c r="BP158" i="17"/>
  <c r="J75" i="17"/>
  <c r="Y75" i="17"/>
  <c r="J72" i="17"/>
  <c r="Y72" i="17"/>
  <c r="J70" i="17"/>
  <c r="Y70" i="17"/>
  <c r="BY20" i="15"/>
  <c r="E111" i="15" a="1"/>
  <c r="E111" i="15" s="1"/>
  <c r="BN15" i="16"/>
  <c r="BN14" i="16" s="1"/>
  <c r="BN11" i="16"/>
  <c r="BN19" i="16"/>
  <c r="BN18" i="16" s="1"/>
  <c r="BO3" i="16"/>
  <c r="BO7" i="16"/>
  <c r="BO8" i="16"/>
  <c r="BK63" i="16" s="1"/>
  <c r="BP5" i="16"/>
  <c r="BO6" i="16"/>
  <c r="BO4" i="16"/>
  <c r="BJ62" i="16"/>
  <c r="BK62" i="16"/>
  <c r="BI62" i="16"/>
  <c r="BL62" i="16"/>
  <c r="BN110" i="16"/>
  <c r="BN109" i="16"/>
  <c r="BN108" i="16"/>
  <c r="BN80" i="16"/>
  <c r="BN41" i="16"/>
  <c r="BN38" i="16"/>
  <c r="BN85" i="16"/>
  <c r="BN82" i="16"/>
  <c r="BN36" i="16"/>
  <c r="BN50" i="16"/>
  <c r="BN83" i="16"/>
  <c r="BN45" i="16"/>
  <c r="BN33" i="16"/>
  <c r="BN28" i="16"/>
  <c r="BN37" i="16"/>
  <c r="BN32" i="16"/>
  <c r="BN39" i="16"/>
  <c r="BN78" i="16"/>
  <c r="BN34" i="16"/>
  <c r="BN35" i="16"/>
  <c r="BN47" i="16"/>
  <c r="BN42" i="16"/>
  <c r="BN40" i="16"/>
  <c r="BN43" i="16"/>
  <c r="BN51" i="16"/>
  <c r="BN49" i="16"/>
  <c r="BN48" i="16"/>
  <c r="BN81" i="16"/>
  <c r="BN79" i="16"/>
  <c r="BN29" i="16"/>
  <c r="BN31" i="16"/>
  <c r="BN30" i="16"/>
  <c r="BN44" i="16"/>
  <c r="BN46" i="16"/>
  <c r="BN84" i="16"/>
  <c r="BN52" i="16"/>
  <c r="BN86" i="16"/>
  <c r="BN87" i="16"/>
  <c r="BN53" i="16"/>
  <c r="BN54" i="16"/>
  <c r="BN88" i="16"/>
  <c r="BN55" i="16"/>
  <c r="BN89" i="16"/>
  <c r="BN90" i="16"/>
  <c r="BN56" i="16"/>
  <c r="BN57" i="16"/>
  <c r="BN91" i="16"/>
  <c r="BN92" i="16"/>
  <c r="BN58" i="16"/>
  <c r="BN93" i="16"/>
  <c r="BN59" i="16"/>
  <c r="BN94" i="16"/>
  <c r="BN95" i="16"/>
  <c r="BN96" i="16"/>
  <c r="BN97" i="16"/>
  <c r="BN98" i="16"/>
  <c r="BN99" i="16"/>
  <c r="BN100" i="16"/>
  <c r="BN101" i="16"/>
  <c r="BN102" i="16"/>
  <c r="BN103" i="16"/>
  <c r="BN104" i="16"/>
  <c r="BN105" i="16"/>
  <c r="BN106" i="16"/>
  <c r="BN107" i="16"/>
  <c r="BL110" i="15"/>
  <c r="BM110" i="15"/>
  <c r="BN110" i="15"/>
  <c r="BN109" i="15"/>
  <c r="BN108" i="15"/>
  <c r="BN107" i="15"/>
  <c r="BN106" i="15"/>
  <c r="BN105" i="15"/>
  <c r="BN104" i="15"/>
  <c r="BN103" i="15"/>
  <c r="BN59" i="15"/>
  <c r="BN102" i="15"/>
  <c r="BN58" i="15"/>
  <c r="BN101" i="15"/>
  <c r="BN57" i="15"/>
  <c r="BN56" i="15"/>
  <c r="BN100" i="15"/>
  <c r="BN55" i="15"/>
  <c r="BN99" i="15"/>
  <c r="BN54" i="15"/>
  <c r="BN98" i="15"/>
  <c r="BN53" i="15"/>
  <c r="BN97" i="15"/>
  <c r="BN52" i="15"/>
  <c r="BN96" i="15"/>
  <c r="BN51" i="15"/>
  <c r="BN95" i="15"/>
  <c r="BN50" i="15"/>
  <c r="BN94" i="15"/>
  <c r="BN49" i="15"/>
  <c r="BN93" i="15"/>
  <c r="BN48" i="15"/>
  <c r="BN92" i="15"/>
  <c r="BN47" i="15"/>
  <c r="BN91" i="15"/>
  <c r="BN46" i="15"/>
  <c r="BN90" i="15"/>
  <c r="BN45" i="15"/>
  <c r="BN89" i="15"/>
  <c r="BN44" i="15"/>
  <c r="BN88" i="15"/>
  <c r="BN43" i="15"/>
  <c r="BN87" i="15"/>
  <c r="BN42" i="15"/>
  <c r="BN41" i="15"/>
  <c r="BN86" i="15"/>
  <c r="BN85" i="15"/>
  <c r="BN40" i="15"/>
  <c r="BN84" i="15"/>
  <c r="BN39" i="15"/>
  <c r="BN83" i="15"/>
  <c r="BN38" i="15"/>
  <c r="BN37" i="15"/>
  <c r="BN82" i="15"/>
  <c r="BN81" i="15"/>
  <c r="BN36" i="15"/>
  <c r="BN80" i="15"/>
  <c r="BN35" i="15"/>
  <c r="BN79" i="15"/>
  <c r="BN34" i="15"/>
  <c r="BN19" i="15" a="1"/>
  <c r="BN19" i="15" s="1"/>
  <c r="BN18" i="15" s="1"/>
  <c r="BN30" i="15"/>
  <c r="BN31" i="15"/>
  <c r="BN32" i="15"/>
  <c r="BN78" i="15"/>
  <c r="BN29" i="15"/>
  <c r="BN11" i="15" a="1"/>
  <c r="BN11" i="15" s="1"/>
  <c r="BN28" i="15"/>
  <c r="BN15" i="15" a="1"/>
  <c r="BN15" i="15" s="1"/>
  <c r="BN14" i="15" s="1"/>
  <c r="BN33" i="15"/>
  <c r="BO3" i="15"/>
  <c r="BO8" i="15"/>
  <c r="BO7" i="15"/>
  <c r="BO4" i="15"/>
  <c r="BO6" i="15"/>
  <c r="BP5" i="15"/>
  <c r="AQ112" i="15"/>
  <c r="BE112" i="15"/>
  <c r="AO112" i="15"/>
  <c r="AN112" i="15"/>
  <c r="AM112" i="15"/>
  <c r="AL112" i="15"/>
  <c r="AK112" i="15"/>
  <c r="AJ112" i="15"/>
  <c r="AI112" i="15"/>
  <c r="AH112" i="15"/>
  <c r="AG112" i="15"/>
  <c r="AF112" i="15"/>
  <c r="AR112" i="15"/>
  <c r="AT62" i="15"/>
  <c r="AR62" i="15"/>
  <c r="AP62" i="15"/>
  <c r="BM112" i="15"/>
  <c r="BL112" i="15"/>
  <c r="BK112" i="15"/>
  <c r="BJ112" i="15"/>
  <c r="BI112" i="15"/>
  <c r="BH112" i="15"/>
  <c r="AS112" i="15"/>
  <c r="AT112" i="15"/>
  <c r="AU112" i="15"/>
  <c r="AV112" i="15"/>
  <c r="AW112" i="15"/>
  <c r="AX112" i="15"/>
  <c r="AY112" i="15"/>
  <c r="AZ112" i="15"/>
  <c r="BA112" i="15"/>
  <c r="BB112" i="15"/>
  <c r="BG112" i="15"/>
  <c r="BC112" i="15"/>
  <c r="BD112" i="15"/>
  <c r="BF112" i="15"/>
  <c r="AP112" i="15"/>
  <c r="BV24" i="12"/>
  <c r="BN49" i="14"/>
  <c r="BN48" i="14"/>
  <c r="BN50" i="14"/>
  <c r="BN47" i="14"/>
  <c r="BN51" i="14"/>
  <c r="BN52" i="14"/>
  <c r="BN53" i="14"/>
  <c r="BN54" i="14"/>
  <c r="BN55" i="14"/>
  <c r="BN56" i="14"/>
  <c r="BN57" i="14"/>
  <c r="BN58" i="14"/>
  <c r="BN59" i="14"/>
  <c r="BN60" i="14"/>
  <c r="BN61" i="14"/>
  <c r="BN62" i="14"/>
  <c r="BN63" i="14"/>
  <c r="BN64" i="14"/>
  <c r="BN65" i="14"/>
  <c r="BN66" i="14"/>
  <c r="BN67" i="14"/>
  <c r="BN68" i="14"/>
  <c r="BN69" i="14"/>
  <c r="BO8" i="14"/>
  <c r="BP5" i="14"/>
  <c r="BO6" i="14"/>
  <c r="BO7" i="14"/>
  <c r="BO4" i="14"/>
  <c r="BO3" i="14"/>
  <c r="BM81" i="14"/>
  <c r="AW25" i="16"/>
  <c r="AX12" i="16"/>
  <c r="AW22" i="16"/>
  <c r="AW27" i="14" s="1"/>
  <c r="D114" i="16"/>
  <c r="D69" i="15"/>
  <c r="AX12" i="15"/>
  <c r="AW22" i="15"/>
  <c r="AW25" i="14" s="1"/>
  <c r="AW25" i="15"/>
  <c r="D114" i="15"/>
  <c r="D86" i="14"/>
  <c r="BN5" i="9"/>
  <c r="BM3" i="9"/>
  <c r="BM7" i="9"/>
  <c r="BM8" i="9"/>
  <c r="BM6" i="9"/>
  <c r="BM4" i="9"/>
  <c r="BL4" i="11"/>
  <c r="BL8" i="11"/>
  <c r="BL7" i="11"/>
  <c r="BL6" i="11"/>
  <c r="BM5" i="11"/>
  <c r="BL3" i="11"/>
  <c r="BY119" i="12" a="1"/>
  <c r="BY119" i="12" s="1"/>
  <c r="BY117" i="12" a="1"/>
  <c r="BY117" i="12" s="1"/>
  <c r="BY116" i="12" a="1"/>
  <c r="BY116" i="12" s="1"/>
  <c r="BY115" i="12" a="1"/>
  <c r="BY115" i="12" s="1"/>
  <c r="BY114" i="12" a="1"/>
  <c r="BY114" i="12" s="1"/>
  <c r="BY113" i="12" a="1"/>
  <c r="BY113" i="12" s="1"/>
  <c r="BY112" i="12" a="1"/>
  <c r="BY112" i="12" s="1"/>
  <c r="BY111" i="12" a="1"/>
  <c r="BY111" i="12" s="1"/>
  <c r="BY109" i="12" a="1"/>
  <c r="BY109" i="12" s="1"/>
  <c r="BY3" i="12"/>
  <c r="BY8" i="12"/>
  <c r="BY4" i="12"/>
  <c r="BY7" i="12"/>
  <c r="BZ5" i="12"/>
  <c r="BY6" i="12"/>
  <c r="AV3" i="13"/>
  <c r="AV7" i="13"/>
  <c r="AW5" i="13"/>
  <c r="AV4" i="13"/>
  <c r="AV8" i="13"/>
  <c r="AV6" i="13"/>
  <c r="BM4" i="10"/>
  <c r="BM8" i="10"/>
  <c r="BM7" i="10"/>
  <c r="BM6" i="10"/>
  <c r="BN5" i="10"/>
  <c r="BM3" i="10"/>
  <c r="BU48" i="8"/>
  <c r="BU50" i="8"/>
  <c r="BU51" i="8"/>
  <c r="BU52" i="8"/>
  <c r="BV49" i="8"/>
  <c r="BV7" i="8"/>
  <c r="BV15" i="8" s="1" a="1"/>
  <c r="BV15" i="8" s="1"/>
  <c r="BV73" i="8"/>
  <c r="BV47" i="8"/>
  <c r="BV11" i="8"/>
  <c r="BW8" i="8"/>
  <c r="BW94" i="8" s="1"/>
  <c r="BV6" i="8"/>
  <c r="BV10" i="8"/>
  <c r="BV9" i="8"/>
  <c r="BU74" i="8"/>
  <c r="BV75" i="8"/>
  <c r="BU78" i="8"/>
  <c r="BU77" i="8"/>
  <c r="BU76" i="8"/>
  <c r="BO54" i="12" l="1"/>
  <c r="AC12" i="7"/>
  <c r="M80" i="33"/>
  <c r="M13" i="33"/>
  <c r="M54" i="33"/>
  <c r="N54" i="33" s="1"/>
  <c r="O54" i="33" s="1"/>
  <c r="G15" i="33"/>
  <c r="G56" i="33"/>
  <c r="G82" i="33"/>
  <c r="G53" i="33"/>
  <c r="G79" i="33"/>
  <c r="G12" i="33"/>
  <c r="BT54" i="12"/>
  <c r="AW54" i="12"/>
  <c r="BJ54" i="12"/>
  <c r="I76" i="17"/>
  <c r="AU54" i="12"/>
  <c r="BC54" i="12"/>
  <c r="BW54" i="12"/>
  <c r="BB54" i="12"/>
  <c r="BD54" i="12"/>
  <c r="BL54" i="12"/>
  <c r="AS108" i="13"/>
  <c r="BM54" i="12"/>
  <c r="AF95" i="29"/>
  <c r="BS54" i="12"/>
  <c r="AR115" i="13"/>
  <c r="N18" i="3"/>
  <c r="O18" i="3" s="1"/>
  <c r="BW87" i="20"/>
  <c r="AT132" i="13" s="1"/>
  <c r="AT128" i="13"/>
  <c r="BP54" i="12"/>
  <c r="AN54" i="12"/>
  <c r="AN68" i="12" s="1"/>
  <c r="BM41" i="17"/>
  <c r="E78" i="17" s="1" a="1"/>
  <c r="E78" i="17" s="1"/>
  <c r="BP78" i="17" s="1" a="1"/>
  <c r="BP78" i="17" s="1"/>
  <c r="AT110" i="13"/>
  <c r="AT108" i="13" s="1"/>
  <c r="AB134" i="29"/>
  <c r="AG81" i="28"/>
  <c r="AF81" i="28"/>
  <c r="S85" i="30"/>
  <c r="AB113" i="29"/>
  <c r="AB116" i="29"/>
  <c r="AB105" i="29"/>
  <c r="AA121" i="29"/>
  <c r="AB132" i="29"/>
  <c r="N85" i="30"/>
  <c r="AX54" i="12"/>
  <c r="AO54" i="12"/>
  <c r="BR54" i="12"/>
  <c r="BK54" i="12"/>
  <c r="BF54" i="12"/>
  <c r="BH54" i="12"/>
  <c r="AQ54" i="12"/>
  <c r="AR54" i="12"/>
  <c r="BE54" i="12"/>
  <c r="AY54" i="12"/>
  <c r="AB141" i="29"/>
  <c r="R101" i="29"/>
  <c r="Z118" i="29"/>
  <c r="AA122" i="29"/>
  <c r="X125" i="29"/>
  <c r="AB136" i="29"/>
  <c r="AB138" i="29"/>
  <c r="AB98" i="29"/>
  <c r="P98" i="29"/>
  <c r="T109" i="29"/>
  <c r="AA111" i="29"/>
  <c r="V117" i="29"/>
  <c r="AB128" i="29"/>
  <c r="AA131" i="29"/>
  <c r="AA112" i="29"/>
  <c r="AB140" i="29"/>
  <c r="AB124" i="29"/>
  <c r="AB133" i="29"/>
  <c r="AA133" i="29"/>
  <c r="W106" i="29"/>
  <c r="T100" i="29"/>
  <c r="AB115" i="29"/>
  <c r="Z115" i="29"/>
  <c r="AB127" i="29"/>
  <c r="X108" i="29"/>
  <c r="X102" i="29"/>
  <c r="AB114" i="29"/>
  <c r="AA123" i="29"/>
  <c r="Z25" i="31"/>
  <c r="P25" i="31"/>
  <c r="Y25" i="31"/>
  <c r="S302" i="31" a="1"/>
  <c r="S302" i="31" s="1"/>
  <c r="J302" i="31" a="1"/>
  <c r="J302" i="31" s="1"/>
  <c r="Q25" i="31"/>
  <c r="K298" i="31" a="1"/>
  <c r="K298" i="31" s="1"/>
  <c r="W298" i="31" a="1"/>
  <c r="W298" i="31" s="1"/>
  <c r="V25" i="31"/>
  <c r="K25" i="31"/>
  <c r="S299" i="31" a="1"/>
  <c r="S299" i="31" s="1"/>
  <c r="J299" i="31" a="1"/>
  <c r="J299" i="31" s="1"/>
  <c r="K299" i="31" a="1"/>
  <c r="K299" i="31" s="1"/>
  <c r="W299" i="31" a="1"/>
  <c r="W299" i="31" s="1"/>
  <c r="W25" i="31"/>
  <c r="K302" i="31" a="1"/>
  <c r="K302" i="31" s="1"/>
  <c r="W302" i="31" a="1"/>
  <c r="W302" i="31" s="1"/>
  <c r="X25" i="31"/>
  <c r="W296" i="31" a="1"/>
  <c r="W296" i="31" s="1"/>
  <c r="K296" i="31" a="1"/>
  <c r="K296" i="31" s="1"/>
  <c r="K297" i="31" a="1"/>
  <c r="K297" i="31" s="1"/>
  <c r="W297" i="31" a="1"/>
  <c r="W297" i="31" s="1"/>
  <c r="S297" i="31" a="1"/>
  <c r="S297" i="31" s="1"/>
  <c r="J297" i="31" a="1"/>
  <c r="J297" i="31" s="1"/>
  <c r="K300" i="31" a="1"/>
  <c r="K300" i="31" s="1"/>
  <c r="W300" i="31" a="1"/>
  <c r="W300" i="31" s="1"/>
  <c r="J25" i="31"/>
  <c r="O45" i="30"/>
  <c r="P55" i="30"/>
  <c r="S63" i="30"/>
  <c r="P85" i="30"/>
  <c r="W33" i="30"/>
  <c r="X34" i="30"/>
  <c r="P34" i="30"/>
  <c r="S50" i="30"/>
  <c r="Q44" i="30"/>
  <c r="U65" i="30"/>
  <c r="S49" i="30"/>
  <c r="Y36" i="30"/>
  <c r="AC66" i="30"/>
  <c r="Q85" i="30"/>
  <c r="P51" i="30"/>
  <c r="W85" i="30"/>
  <c r="AC65" i="30"/>
  <c r="U59" i="30"/>
  <c r="T61" i="30"/>
  <c r="O48" i="30"/>
  <c r="AB60" i="29"/>
  <c r="Y67" i="30"/>
  <c r="T54" i="30"/>
  <c r="S60" i="30"/>
  <c r="AB70" i="29"/>
  <c r="S65" i="30"/>
  <c r="AB38" i="30"/>
  <c r="AB40" i="30"/>
  <c r="AB42" i="30"/>
  <c r="AB46" i="30"/>
  <c r="AB48" i="30"/>
  <c r="U54" i="30"/>
  <c r="O56" i="30"/>
  <c r="W62" i="30"/>
  <c r="AB71" i="29"/>
  <c r="U82" i="29"/>
  <c r="Y51" i="29"/>
  <c r="R85" i="30"/>
  <c r="O63" i="30"/>
  <c r="Q42" i="30"/>
  <c r="AA37" i="30"/>
  <c r="P65" i="30"/>
  <c r="S59" i="30"/>
  <c r="AF44" i="29"/>
  <c r="AF146" i="29" s="1"/>
  <c r="AF151" i="29" s="1"/>
  <c r="AF156" i="29" s="1"/>
  <c r="U66" i="30"/>
  <c r="S54" i="30"/>
  <c r="Q60" i="30"/>
  <c r="W64" i="30"/>
  <c r="O44" i="30"/>
  <c r="AB53" i="29"/>
  <c r="AA70" i="29"/>
  <c r="X35" i="30"/>
  <c r="U67" i="30"/>
  <c r="O67" i="30"/>
  <c r="P61" i="30"/>
  <c r="U63" i="30"/>
  <c r="U36" i="30"/>
  <c r="AB66" i="30"/>
  <c r="O66" i="30"/>
  <c r="AA38" i="30"/>
  <c r="AA40" i="30"/>
  <c r="AA42" i="30"/>
  <c r="AA46" i="30"/>
  <c r="O46" i="30"/>
  <c r="AA48" i="30"/>
  <c r="Q48" i="30"/>
  <c r="AA50" i="30"/>
  <c r="AA52" i="30"/>
  <c r="AA54" i="30"/>
  <c r="AA56" i="30"/>
  <c r="AA58" i="30"/>
  <c r="T58" i="30"/>
  <c r="AA60" i="30"/>
  <c r="AA62" i="30"/>
  <c r="T62" i="30"/>
  <c r="AA64" i="30"/>
  <c r="S44" i="30"/>
  <c r="AA60" i="29"/>
  <c r="X33" i="30"/>
  <c r="P33" i="30"/>
  <c r="W72" i="29"/>
  <c r="S67" i="30"/>
  <c r="AA49" i="29"/>
  <c r="AA58" i="29"/>
  <c r="O51" i="30"/>
  <c r="Q55" i="30"/>
  <c r="T34" i="30"/>
  <c r="AA67" i="29"/>
  <c r="S64" i="30"/>
  <c r="AB68" i="29"/>
  <c r="W35" i="30"/>
  <c r="AA33" i="30"/>
  <c r="Z47" i="29"/>
  <c r="S48" i="29"/>
  <c r="AC67" i="30"/>
  <c r="AB47" i="29"/>
  <c r="O37" i="30"/>
  <c r="AA39" i="30"/>
  <c r="AA41" i="30"/>
  <c r="O41" i="30"/>
  <c r="AA43" i="30"/>
  <c r="AA45" i="30"/>
  <c r="AA47" i="30"/>
  <c r="AA49" i="30"/>
  <c r="AA51" i="30"/>
  <c r="AA53" i="30"/>
  <c r="T53" i="30"/>
  <c r="AA55" i="30"/>
  <c r="AA57" i="30"/>
  <c r="AA59" i="30"/>
  <c r="AA61" i="30"/>
  <c r="U61" i="30"/>
  <c r="AA63" i="30"/>
  <c r="Q34" i="30"/>
  <c r="T36" i="30"/>
  <c r="AA66" i="30"/>
  <c r="P56" i="30"/>
  <c r="S62" i="30"/>
  <c r="Z60" i="29"/>
  <c r="S51" i="29"/>
  <c r="W73" i="29"/>
  <c r="AB35" i="30"/>
  <c r="AA61" i="29"/>
  <c r="T49" i="29"/>
  <c r="AB56" i="29"/>
  <c r="AB37" i="30"/>
  <c r="O49" i="30"/>
  <c r="T55" i="30"/>
  <c r="O38" i="30"/>
  <c r="P40" i="30"/>
  <c r="T52" i="30"/>
  <c r="P54" i="30"/>
  <c r="Q56" i="30"/>
  <c r="Q58" i="30"/>
  <c r="T60" i="30"/>
  <c r="S57" i="29"/>
  <c r="T63" i="29"/>
  <c r="X71" i="29"/>
  <c r="W44" i="30"/>
  <c r="Y35" i="30"/>
  <c r="AA67" i="30"/>
  <c r="V50" i="29"/>
  <c r="O65" i="30"/>
  <c r="U57" i="30"/>
  <c r="AX44" i="29"/>
  <c r="V66" i="29"/>
  <c r="Z69" i="29"/>
  <c r="AA87" i="29"/>
  <c r="AF30" i="28"/>
  <c r="AA59" i="29"/>
  <c r="X66" i="30"/>
  <c r="S48" i="30"/>
  <c r="AB50" i="30"/>
  <c r="AB52" i="30"/>
  <c r="O52" i="30"/>
  <c r="AB54" i="30"/>
  <c r="Q54" i="30"/>
  <c r="AB56" i="30"/>
  <c r="AB58" i="30"/>
  <c r="AB60" i="30"/>
  <c r="AB62" i="30"/>
  <c r="X64" i="30"/>
  <c r="V152" i="29"/>
  <c r="BI149" i="29"/>
  <c r="W149" i="29" s="1"/>
  <c r="T38" i="30"/>
  <c r="T48" i="30"/>
  <c r="J63" i="29"/>
  <c r="Y63" i="29"/>
  <c r="R105" i="29"/>
  <c r="AA68" i="29"/>
  <c r="Y52" i="30"/>
  <c r="Y60" i="30"/>
  <c r="T115" i="29"/>
  <c r="X99" i="29"/>
  <c r="I63" i="30"/>
  <c r="R63" i="30"/>
  <c r="T54" i="29"/>
  <c r="X48" i="29"/>
  <c r="R104" i="29"/>
  <c r="BL44" i="29"/>
  <c r="X46" i="29"/>
  <c r="AV44" i="29"/>
  <c r="I112" i="29"/>
  <c r="U112" i="29"/>
  <c r="W74" i="29"/>
  <c r="M11" i="3"/>
  <c r="O11" i="3" s="1"/>
  <c r="H11" i="3"/>
  <c r="X55" i="29"/>
  <c r="I59" i="29"/>
  <c r="U59" i="29"/>
  <c r="AB64" i="29"/>
  <c r="I124" i="29"/>
  <c r="U124" i="29"/>
  <c r="T124" i="29"/>
  <c r="N124" i="29"/>
  <c r="P124" i="29"/>
  <c r="Q124" i="29"/>
  <c r="O124" i="29"/>
  <c r="M124" i="29"/>
  <c r="V124" i="29"/>
  <c r="R124" i="29"/>
  <c r="S124" i="29"/>
  <c r="X36" i="30"/>
  <c r="AA137" i="29"/>
  <c r="N86" i="30"/>
  <c r="H86" i="30"/>
  <c r="V106" i="29"/>
  <c r="N48" i="30"/>
  <c r="H48" i="30"/>
  <c r="Q52" i="30"/>
  <c r="U56" i="30"/>
  <c r="P58" i="30"/>
  <c r="R57" i="29"/>
  <c r="J115" i="29"/>
  <c r="Y115" i="29"/>
  <c r="S63" i="29"/>
  <c r="X120" i="29"/>
  <c r="AA127" i="29"/>
  <c r="AB135" i="29"/>
  <c r="W71" i="29"/>
  <c r="J44" i="30"/>
  <c r="V44" i="30"/>
  <c r="H105" i="29"/>
  <c r="Q105" i="29"/>
  <c r="T53" i="29"/>
  <c r="W108" i="29"/>
  <c r="AB102" i="29"/>
  <c r="H102" i="29"/>
  <c r="Q102" i="29"/>
  <c r="W51" i="29"/>
  <c r="I68" i="29"/>
  <c r="U68" i="29"/>
  <c r="AA73" i="29"/>
  <c r="P35" i="30"/>
  <c r="T62" i="29"/>
  <c r="I77" i="29"/>
  <c r="M77" i="29"/>
  <c r="R77" i="29"/>
  <c r="W77" i="29"/>
  <c r="T77" i="29"/>
  <c r="V77" i="29"/>
  <c r="O77" i="29"/>
  <c r="S77" i="29"/>
  <c r="N77" i="29"/>
  <c r="Q77" i="29"/>
  <c r="U77" i="29"/>
  <c r="P77" i="29"/>
  <c r="Z53" i="29"/>
  <c r="J20" i="3"/>
  <c r="N20" i="3"/>
  <c r="O20" i="3" s="1"/>
  <c r="Y56" i="30"/>
  <c r="V60" i="30"/>
  <c r="J60" i="30"/>
  <c r="AA35" i="30"/>
  <c r="I98" i="29"/>
  <c r="U98" i="29"/>
  <c r="Y109" i="29"/>
  <c r="J109" i="29"/>
  <c r="S39" i="30"/>
  <c r="S41" i="30"/>
  <c r="S43" i="30"/>
  <c r="S45" i="30"/>
  <c r="S47" i="30"/>
  <c r="N49" i="30"/>
  <c r="H49" i="30"/>
  <c r="I55" i="30"/>
  <c r="R55" i="30"/>
  <c r="R52" i="29"/>
  <c r="V113" i="29"/>
  <c r="V119" i="29"/>
  <c r="BQ24" i="12"/>
  <c r="BQ54" i="12"/>
  <c r="Y34" i="30"/>
  <c r="N34" i="30"/>
  <c r="H34" i="30"/>
  <c r="J54" i="29"/>
  <c r="Y54" i="29"/>
  <c r="J75" i="29"/>
  <c r="Y75" i="29"/>
  <c r="Z129" i="29"/>
  <c r="AE132" i="28"/>
  <c r="AE137" i="28" s="1"/>
  <c r="W104" i="29"/>
  <c r="I61" i="29"/>
  <c r="U61" i="29"/>
  <c r="Z128" i="29"/>
  <c r="BK44" i="29"/>
  <c r="AU44" i="29"/>
  <c r="AE44" i="29"/>
  <c r="M46" i="29"/>
  <c r="G46" i="29"/>
  <c r="Z112" i="29"/>
  <c r="I66" i="29"/>
  <c r="U66" i="29"/>
  <c r="Y69" i="29"/>
  <c r="J69" i="29"/>
  <c r="AB74" i="29"/>
  <c r="X76" i="29"/>
  <c r="Z59" i="29"/>
  <c r="AA124" i="29"/>
  <c r="AC36" i="30"/>
  <c r="T66" i="30"/>
  <c r="AA106" i="29"/>
  <c r="S38" i="30"/>
  <c r="S40" i="30"/>
  <c r="S42" i="30"/>
  <c r="S46" i="30"/>
  <c r="X100" i="29"/>
  <c r="W57" i="29"/>
  <c r="X63" i="29"/>
  <c r="H63" i="29"/>
  <c r="R63" i="29"/>
  <c r="N63" i="29"/>
  <c r="O63" i="29"/>
  <c r="P63" i="29"/>
  <c r="Q63" i="29"/>
  <c r="M63" i="29"/>
  <c r="AA44" i="30"/>
  <c r="N44" i="30"/>
  <c r="H44" i="30"/>
  <c r="Y53" i="29"/>
  <c r="J53" i="29"/>
  <c r="AB108" i="29"/>
  <c r="S60" i="29"/>
  <c r="J126" i="29"/>
  <c r="Y126" i="29"/>
  <c r="Z78" i="29"/>
  <c r="AH44" i="29"/>
  <c r="N46" i="29"/>
  <c r="H69" i="29"/>
  <c r="T69" i="29"/>
  <c r="N69" i="29"/>
  <c r="P69" i="29"/>
  <c r="M69" i="29"/>
  <c r="Q69" i="29"/>
  <c r="R69" i="29"/>
  <c r="S69" i="29"/>
  <c r="O69" i="29"/>
  <c r="X57" i="29"/>
  <c r="Z126" i="29"/>
  <c r="W86" i="29"/>
  <c r="M86" i="29"/>
  <c r="T86" i="29"/>
  <c r="X86" i="29"/>
  <c r="Z86" i="29"/>
  <c r="O86" i="29"/>
  <c r="Q86" i="29"/>
  <c r="N86" i="29"/>
  <c r="R86" i="29"/>
  <c r="P86" i="29"/>
  <c r="J86" i="29"/>
  <c r="U86" i="29"/>
  <c r="Y86" i="29"/>
  <c r="S86" i="29"/>
  <c r="S36" i="30"/>
  <c r="Y42" i="30"/>
  <c r="H46" i="30"/>
  <c r="N46" i="30"/>
  <c r="Y64" i="30"/>
  <c r="R108" i="29"/>
  <c r="R9" i="7"/>
  <c r="C33" i="5"/>
  <c r="AB10" i="7"/>
  <c r="Z103" i="29"/>
  <c r="W116" i="29"/>
  <c r="X67" i="30"/>
  <c r="BT95" i="29"/>
  <c r="BD95" i="29"/>
  <c r="AN95" i="29"/>
  <c r="P97" i="29"/>
  <c r="P47" i="29"/>
  <c r="X101" i="29"/>
  <c r="H50" i="29"/>
  <c r="Q50" i="29"/>
  <c r="Y49" i="29"/>
  <c r="J49" i="29"/>
  <c r="S110" i="29"/>
  <c r="X121" i="29"/>
  <c r="I122" i="29"/>
  <c r="U122" i="29"/>
  <c r="R122" i="29"/>
  <c r="P122" i="29"/>
  <c r="Q122" i="29"/>
  <c r="O122" i="29"/>
  <c r="N122" i="29"/>
  <c r="T122" i="29"/>
  <c r="M122" i="29"/>
  <c r="S122" i="29"/>
  <c r="Y132" i="29"/>
  <c r="J132" i="29"/>
  <c r="T37" i="30"/>
  <c r="AA65" i="30"/>
  <c r="N103" i="29"/>
  <c r="O103" i="29"/>
  <c r="M103" i="29"/>
  <c r="G103" i="29"/>
  <c r="I58" i="29"/>
  <c r="U58" i="29"/>
  <c r="AA79" i="29"/>
  <c r="X39" i="30"/>
  <c r="X41" i="30"/>
  <c r="X43" i="30"/>
  <c r="X45" i="30"/>
  <c r="X47" i="30"/>
  <c r="X49" i="30"/>
  <c r="X51" i="30"/>
  <c r="X53" i="30"/>
  <c r="X55" i="30"/>
  <c r="X57" i="30"/>
  <c r="X59" i="30"/>
  <c r="Q59" i="30"/>
  <c r="X61" i="30"/>
  <c r="V63" i="30"/>
  <c r="J63" i="30"/>
  <c r="W52" i="29"/>
  <c r="I111" i="29"/>
  <c r="U111" i="29"/>
  <c r="AA113" i="29"/>
  <c r="AA119" i="29"/>
  <c r="V65" i="29"/>
  <c r="I67" i="29"/>
  <c r="U67" i="29"/>
  <c r="R48" i="29"/>
  <c r="AB104" i="29"/>
  <c r="H104" i="29"/>
  <c r="Q104" i="29"/>
  <c r="Z61" i="29"/>
  <c r="I117" i="29"/>
  <c r="U117" i="29"/>
  <c r="Z131" i="29"/>
  <c r="BJ44" i="29"/>
  <c r="AT44" i="29"/>
  <c r="R46" i="29"/>
  <c r="Z66" i="29"/>
  <c r="I74" i="29"/>
  <c r="P74" i="29"/>
  <c r="O74" i="29"/>
  <c r="S74" i="29"/>
  <c r="U74" i="29"/>
  <c r="T74" i="29"/>
  <c r="N74" i="29"/>
  <c r="V74" i="29"/>
  <c r="R74" i="29"/>
  <c r="M74" i="29"/>
  <c r="Q74" i="29"/>
  <c r="R55" i="29"/>
  <c r="V64" i="29"/>
  <c r="Y120" i="29"/>
  <c r="J120" i="29"/>
  <c r="V114" i="29"/>
  <c r="G48" i="29"/>
  <c r="M48" i="29"/>
  <c r="AA66" i="29"/>
  <c r="M10" i="3"/>
  <c r="O10" i="3" s="1"/>
  <c r="H10" i="3"/>
  <c r="H106" i="29"/>
  <c r="Q106" i="29"/>
  <c r="Y48" i="30"/>
  <c r="S58" i="30"/>
  <c r="W105" i="29"/>
  <c r="H56" i="29"/>
  <c r="Q56" i="29"/>
  <c r="X107" i="29"/>
  <c r="Z72" i="29"/>
  <c r="BS95" i="29"/>
  <c r="BC95" i="29"/>
  <c r="I97" i="29"/>
  <c r="U97" i="29"/>
  <c r="AM95" i="29"/>
  <c r="I47" i="29"/>
  <c r="U47" i="29"/>
  <c r="AA85" i="29"/>
  <c r="G49" i="29"/>
  <c r="M49" i="29"/>
  <c r="N49" i="29"/>
  <c r="V56" i="29"/>
  <c r="X110" i="29"/>
  <c r="H118" i="29"/>
  <c r="T118" i="29"/>
  <c r="P118" i="29"/>
  <c r="R118" i="29"/>
  <c r="M118" i="29"/>
  <c r="S118" i="29"/>
  <c r="O118" i="29"/>
  <c r="N118" i="29"/>
  <c r="T125" i="29"/>
  <c r="I132" i="29"/>
  <c r="W132" i="29"/>
  <c r="R132" i="29"/>
  <c r="U132" i="29"/>
  <c r="X132" i="29"/>
  <c r="T132" i="29"/>
  <c r="S132" i="29"/>
  <c r="P132" i="29"/>
  <c r="N132" i="29"/>
  <c r="Q132" i="29"/>
  <c r="V132" i="29"/>
  <c r="M132" i="29"/>
  <c r="O132" i="29"/>
  <c r="Y37" i="30"/>
  <c r="O98" i="29"/>
  <c r="T103" i="29"/>
  <c r="S109" i="29"/>
  <c r="Z58" i="29"/>
  <c r="AC39" i="30"/>
  <c r="AC41" i="30"/>
  <c r="AC43" i="30"/>
  <c r="AC45" i="30"/>
  <c r="AC47" i="30"/>
  <c r="Q47" i="30"/>
  <c r="AC49" i="30"/>
  <c r="AC51" i="30"/>
  <c r="AC53" i="30"/>
  <c r="AC55" i="30"/>
  <c r="AC57" i="30"/>
  <c r="AC59" i="30"/>
  <c r="P59" i="30"/>
  <c r="AC61" i="30"/>
  <c r="N61" i="30"/>
  <c r="H61" i="30"/>
  <c r="AC63" i="30"/>
  <c r="AB52" i="29"/>
  <c r="Z111" i="29"/>
  <c r="S34" i="30"/>
  <c r="S54" i="29"/>
  <c r="AA65" i="29"/>
  <c r="Z67" i="29"/>
  <c r="W48" i="29"/>
  <c r="Z117" i="29"/>
  <c r="AB142" i="29"/>
  <c r="Z142" i="29"/>
  <c r="U142" i="29"/>
  <c r="R142" i="29"/>
  <c r="J142" i="29"/>
  <c r="W142" i="29"/>
  <c r="X142" i="29"/>
  <c r="M142" i="29"/>
  <c r="AA142" i="29"/>
  <c r="Y142" i="29"/>
  <c r="Q142" i="29"/>
  <c r="V142" i="29"/>
  <c r="T142" i="29"/>
  <c r="O142" i="29"/>
  <c r="P142" i="29"/>
  <c r="S142" i="29"/>
  <c r="N142" i="29"/>
  <c r="I107" i="29"/>
  <c r="U107" i="29"/>
  <c r="Y99" i="29"/>
  <c r="J99" i="29"/>
  <c r="Y100" i="29"/>
  <c r="J100" i="29"/>
  <c r="G53" i="29"/>
  <c r="M53" i="29"/>
  <c r="O53" i="29"/>
  <c r="N53" i="29"/>
  <c r="J76" i="29"/>
  <c r="Y76" i="29"/>
  <c r="AB106" i="29"/>
  <c r="T40" i="30"/>
  <c r="R102" i="29"/>
  <c r="I130" i="29"/>
  <c r="V130" i="29"/>
  <c r="S130" i="29"/>
  <c r="T130" i="29"/>
  <c r="U130" i="29"/>
  <c r="P130" i="29"/>
  <c r="N130" i="29"/>
  <c r="W130" i="29"/>
  <c r="Q130" i="29"/>
  <c r="M130" i="29"/>
  <c r="O130" i="29"/>
  <c r="R130" i="29"/>
  <c r="X130" i="29"/>
  <c r="J6" i="3"/>
  <c r="N6" i="3"/>
  <c r="S87" i="29"/>
  <c r="P87" i="29"/>
  <c r="O87" i="29"/>
  <c r="U87" i="29"/>
  <c r="Y87" i="29"/>
  <c r="Z87" i="29"/>
  <c r="W87" i="29"/>
  <c r="J87" i="29"/>
  <c r="T87" i="29"/>
  <c r="Q87" i="29"/>
  <c r="N87" i="29"/>
  <c r="V87" i="29"/>
  <c r="R87" i="29"/>
  <c r="M87" i="29"/>
  <c r="X87" i="29"/>
  <c r="Y38" i="30"/>
  <c r="Y58" i="30"/>
  <c r="N60" i="30"/>
  <c r="H60" i="30"/>
  <c r="BM84" i="30"/>
  <c r="Y84" i="30" s="1"/>
  <c r="X87" i="30"/>
  <c r="G56" i="29"/>
  <c r="P56" i="29"/>
  <c r="M56" i="29"/>
  <c r="N56" i="29"/>
  <c r="O56" i="29"/>
  <c r="Y118" i="29"/>
  <c r="J118" i="29"/>
  <c r="I119" i="29"/>
  <c r="X75" i="29"/>
  <c r="R107" i="29"/>
  <c r="AA50" i="29"/>
  <c r="X49" i="29"/>
  <c r="R110" i="29"/>
  <c r="W121" i="29"/>
  <c r="AB125" i="29"/>
  <c r="S37" i="30"/>
  <c r="K65" i="30"/>
  <c r="Z65" i="30"/>
  <c r="Y98" i="29"/>
  <c r="J98" i="29"/>
  <c r="T58" i="29"/>
  <c r="AA116" i="29"/>
  <c r="Z79" i="29"/>
  <c r="W39" i="30"/>
  <c r="W41" i="30"/>
  <c r="W43" i="30"/>
  <c r="N43" i="30"/>
  <c r="H43" i="30"/>
  <c r="W45" i="30"/>
  <c r="W47" i="30"/>
  <c r="W49" i="30"/>
  <c r="W51" i="30"/>
  <c r="H51" i="30"/>
  <c r="N51" i="30"/>
  <c r="W53" i="30"/>
  <c r="W55" i="30"/>
  <c r="S55" i="30"/>
  <c r="W57" i="30"/>
  <c r="N57" i="30"/>
  <c r="H57" i="30"/>
  <c r="W59" i="30"/>
  <c r="Q63" i="30"/>
  <c r="V52" i="29"/>
  <c r="T111" i="29"/>
  <c r="Z113" i="29"/>
  <c r="AB44" i="30"/>
  <c r="G99" i="29"/>
  <c r="M99" i="29"/>
  <c r="Y46" i="30"/>
  <c r="J60" i="29"/>
  <c r="Y60" i="29"/>
  <c r="AA114" i="29"/>
  <c r="I73" i="29"/>
  <c r="O73" i="29"/>
  <c r="S73" i="29"/>
  <c r="T73" i="29"/>
  <c r="M73" i="29"/>
  <c r="N73" i="29"/>
  <c r="P73" i="29"/>
  <c r="V73" i="29"/>
  <c r="Q73" i="29"/>
  <c r="U73" i="29"/>
  <c r="J65" i="30"/>
  <c r="V65" i="30"/>
  <c r="M152" i="29"/>
  <c r="AH149" i="29"/>
  <c r="N149" i="29" s="1"/>
  <c r="I39" i="30"/>
  <c r="R39" i="30"/>
  <c r="AK95" i="29"/>
  <c r="O97" i="29"/>
  <c r="W107" i="29"/>
  <c r="P50" i="29"/>
  <c r="AB121" i="29"/>
  <c r="I125" i="29"/>
  <c r="Q125" i="29"/>
  <c r="S125" i="29"/>
  <c r="N125" i="29"/>
  <c r="P125" i="29"/>
  <c r="O125" i="29"/>
  <c r="R125" i="29"/>
  <c r="U125" i="29"/>
  <c r="M125" i="29"/>
  <c r="V125" i="29"/>
  <c r="X37" i="30"/>
  <c r="AB43" i="30"/>
  <c r="AB51" i="30"/>
  <c r="AB61" i="30"/>
  <c r="AB107" i="29"/>
  <c r="Z67" i="30"/>
  <c r="K67" i="30"/>
  <c r="V67" i="30"/>
  <c r="J67" i="30"/>
  <c r="BO95" i="29"/>
  <c r="Y97" i="29"/>
  <c r="J97" i="29"/>
  <c r="AY95" i="29"/>
  <c r="AI95" i="29"/>
  <c r="Y47" i="29"/>
  <c r="J47" i="29"/>
  <c r="H101" i="29"/>
  <c r="Q101" i="29"/>
  <c r="I50" i="29"/>
  <c r="U50" i="29"/>
  <c r="R49" i="29"/>
  <c r="Z56" i="29"/>
  <c r="AB110" i="29"/>
  <c r="X118" i="29"/>
  <c r="Y122" i="29"/>
  <c r="J122" i="29"/>
  <c r="M136" i="29"/>
  <c r="V136" i="29"/>
  <c r="W136" i="29"/>
  <c r="U136" i="29"/>
  <c r="P136" i="29"/>
  <c r="Q136" i="29"/>
  <c r="N136" i="29"/>
  <c r="Y136" i="29"/>
  <c r="T136" i="29"/>
  <c r="X136" i="29"/>
  <c r="S136" i="29"/>
  <c r="Z136" i="29"/>
  <c r="J136" i="29"/>
  <c r="R136" i="29"/>
  <c r="O136" i="29"/>
  <c r="AC37" i="30"/>
  <c r="BJ84" i="30"/>
  <c r="X84" i="30" s="1"/>
  <c r="W87" i="30"/>
  <c r="T46" i="30"/>
  <c r="I52" i="30"/>
  <c r="R52" i="30"/>
  <c r="BI24" i="12"/>
  <c r="BI54" i="12"/>
  <c r="AW44" i="29"/>
  <c r="S46" i="29"/>
  <c r="W64" i="29"/>
  <c r="Y50" i="30"/>
  <c r="R51" i="29"/>
  <c r="AA136" i="29"/>
  <c r="Y103" i="29"/>
  <c r="J103" i="29"/>
  <c r="I43" i="30"/>
  <c r="R43" i="30"/>
  <c r="H47" i="30"/>
  <c r="N47" i="30"/>
  <c r="BP95" i="29"/>
  <c r="AJ95" i="29"/>
  <c r="S85" i="29"/>
  <c r="X85" i="29"/>
  <c r="Y85" i="29"/>
  <c r="R85" i="29"/>
  <c r="O85" i="29"/>
  <c r="N85" i="29"/>
  <c r="P85" i="29"/>
  <c r="V85" i="29"/>
  <c r="M85" i="29"/>
  <c r="Z85" i="29"/>
  <c r="U85" i="29"/>
  <c r="T85" i="29"/>
  <c r="Q85" i="29"/>
  <c r="J85" i="29"/>
  <c r="W85" i="29"/>
  <c r="AB83" i="29"/>
  <c r="S103" i="29"/>
  <c r="AB49" i="30"/>
  <c r="AB53" i="30"/>
  <c r="AB59" i="30"/>
  <c r="O33" i="30"/>
  <c r="T33" i="30"/>
  <c r="H107" i="29"/>
  <c r="Q107" i="29"/>
  <c r="J15" i="3"/>
  <c r="K15" i="3" s="1"/>
  <c r="L15" i="3" s="1"/>
  <c r="N15" i="3"/>
  <c r="O15" i="3" s="1"/>
  <c r="BN95" i="29"/>
  <c r="AX95" i="29"/>
  <c r="AH95" i="29"/>
  <c r="N97" i="29"/>
  <c r="N47" i="29"/>
  <c r="V101" i="29"/>
  <c r="Z50" i="29"/>
  <c r="I123" i="29"/>
  <c r="N123" i="29"/>
  <c r="M123" i="29"/>
  <c r="P123" i="29"/>
  <c r="Q123" i="29"/>
  <c r="S123" i="29"/>
  <c r="T123" i="29"/>
  <c r="O123" i="29"/>
  <c r="R123" i="29"/>
  <c r="U123" i="29"/>
  <c r="T50" i="30"/>
  <c r="AA78" i="29"/>
  <c r="Y70" i="29"/>
  <c r="J70" i="29"/>
  <c r="J35" i="30"/>
  <c r="V35" i="30"/>
  <c r="AG44" i="29"/>
  <c r="S55" i="29"/>
  <c r="Y40" i="30"/>
  <c r="V62" i="30"/>
  <c r="J62" i="30"/>
  <c r="BB95" i="29"/>
  <c r="AS24" i="12"/>
  <c r="AS54" i="12"/>
  <c r="AA56" i="29"/>
  <c r="W125" i="29"/>
  <c r="V116" i="29"/>
  <c r="I113" i="29"/>
  <c r="U113" i="29"/>
  <c r="X54" i="29"/>
  <c r="Y129" i="29"/>
  <c r="J129" i="29"/>
  <c r="BQ95" i="29"/>
  <c r="O47" i="29"/>
  <c r="AZ95" i="29"/>
  <c r="T97" i="29"/>
  <c r="W110" i="29"/>
  <c r="J58" i="29"/>
  <c r="Y58" i="29"/>
  <c r="AB39" i="30"/>
  <c r="AB45" i="30"/>
  <c r="Q53" i="30"/>
  <c r="K18" i="3"/>
  <c r="L18" i="3" s="1"/>
  <c r="Y33" i="30"/>
  <c r="V107" i="29"/>
  <c r="X72" i="29"/>
  <c r="R103" i="29"/>
  <c r="H66" i="30"/>
  <c r="N66" i="30"/>
  <c r="N38" i="30"/>
  <c r="H38" i="30"/>
  <c r="I50" i="30"/>
  <c r="R50" i="30"/>
  <c r="T60" i="29"/>
  <c r="S99" i="29"/>
  <c r="T133" i="29"/>
  <c r="S133" i="29"/>
  <c r="U133" i="29"/>
  <c r="R133" i="29"/>
  <c r="O133" i="29"/>
  <c r="Y133" i="29"/>
  <c r="V133" i="29"/>
  <c r="X133" i="29"/>
  <c r="Q133" i="29"/>
  <c r="P133" i="29"/>
  <c r="N133" i="29"/>
  <c r="M133" i="29"/>
  <c r="J133" i="29"/>
  <c r="W133" i="29"/>
  <c r="Y54" i="30"/>
  <c r="Y62" i="30"/>
  <c r="AB77" i="29"/>
  <c r="W102" i="29"/>
  <c r="I103" i="29"/>
  <c r="U103" i="29"/>
  <c r="S49" i="29"/>
  <c r="N87" i="30"/>
  <c r="AI84" i="30"/>
  <c r="O84" i="30" s="1"/>
  <c r="X109" i="29"/>
  <c r="I41" i="30"/>
  <c r="R41" i="30"/>
  <c r="P57" i="30"/>
  <c r="U33" i="30"/>
  <c r="W101" i="29"/>
  <c r="Z33" i="30"/>
  <c r="K33" i="30"/>
  <c r="T47" i="29"/>
  <c r="I56" i="29"/>
  <c r="U56" i="29"/>
  <c r="AT54" i="12"/>
  <c r="N98" i="29"/>
  <c r="AB41" i="30"/>
  <c r="N45" i="30"/>
  <c r="H45" i="30"/>
  <c r="AB57" i="30"/>
  <c r="Y56" i="29"/>
  <c r="J56" i="29"/>
  <c r="AA110" i="29"/>
  <c r="W118" i="29"/>
  <c r="X122" i="29"/>
  <c r="T85" i="30"/>
  <c r="I85" i="30"/>
  <c r="AV24" i="12"/>
  <c r="AV54" i="12"/>
  <c r="I53" i="29"/>
  <c r="U53" i="29"/>
  <c r="T42" i="30"/>
  <c r="P44" i="30"/>
  <c r="Z62" i="29"/>
  <c r="K66" i="30"/>
  <c r="Z66" i="30"/>
  <c r="I58" i="30"/>
  <c r="R58" i="30"/>
  <c r="O64" i="30"/>
  <c r="M100" i="29"/>
  <c r="N100" i="29"/>
  <c r="G100" i="29"/>
  <c r="Z123" i="29"/>
  <c r="T141" i="29"/>
  <c r="P141" i="29"/>
  <c r="AA141" i="29"/>
  <c r="J141" i="29"/>
  <c r="O141" i="29"/>
  <c r="S141" i="29"/>
  <c r="Y141" i="29"/>
  <c r="U141" i="29"/>
  <c r="Q141" i="29"/>
  <c r="N141" i="29"/>
  <c r="Z141" i="29"/>
  <c r="V141" i="29"/>
  <c r="M141" i="29"/>
  <c r="W141" i="29"/>
  <c r="R141" i="29"/>
  <c r="X141" i="29"/>
  <c r="BR95" i="29"/>
  <c r="Z97" i="29"/>
  <c r="AL95" i="29"/>
  <c r="Z122" i="29"/>
  <c r="T98" i="29"/>
  <c r="H52" i="29"/>
  <c r="Q52" i="29"/>
  <c r="BA95" i="29"/>
  <c r="Y72" i="29"/>
  <c r="J72" i="29"/>
  <c r="AB101" i="29"/>
  <c r="R109" i="29"/>
  <c r="AB47" i="30"/>
  <c r="AB55" i="30"/>
  <c r="W67" i="30"/>
  <c r="BK95" i="29"/>
  <c r="AU95" i="29"/>
  <c r="AE95" i="29"/>
  <c r="G97" i="29"/>
  <c r="M97" i="29"/>
  <c r="I101" i="29"/>
  <c r="U101" i="29"/>
  <c r="Y50" i="29"/>
  <c r="J50" i="29"/>
  <c r="N50" i="29"/>
  <c r="M50" i="29"/>
  <c r="G50" i="29"/>
  <c r="X51" i="29"/>
  <c r="V68" i="29"/>
  <c r="AB73" i="29"/>
  <c r="Q35" i="30"/>
  <c r="N99" i="29"/>
  <c r="I62" i="29"/>
  <c r="U62" i="29"/>
  <c r="Z119" i="29"/>
  <c r="AC34" i="30"/>
  <c r="I65" i="29"/>
  <c r="U65" i="29"/>
  <c r="H67" i="29"/>
  <c r="M67" i="29"/>
  <c r="T67" i="29"/>
  <c r="N67" i="29"/>
  <c r="O67" i="29"/>
  <c r="P67" i="29"/>
  <c r="S67" i="29"/>
  <c r="Q67" i="29"/>
  <c r="R67" i="29"/>
  <c r="U85" i="30"/>
  <c r="AB48" i="29"/>
  <c r="V104" i="29"/>
  <c r="T61" i="29"/>
  <c r="J128" i="29"/>
  <c r="BI44" i="29"/>
  <c r="W46" i="29"/>
  <c r="AS44" i="29"/>
  <c r="T112" i="29"/>
  <c r="W55" i="29"/>
  <c r="T59" i="29"/>
  <c r="AA64" i="29"/>
  <c r="I36" i="30"/>
  <c r="R36" i="30"/>
  <c r="N137" i="29"/>
  <c r="P137" i="29"/>
  <c r="W137" i="29"/>
  <c r="Q137" i="29"/>
  <c r="X137" i="29"/>
  <c r="R137" i="29"/>
  <c r="T137" i="29"/>
  <c r="V137" i="29"/>
  <c r="Y137" i="29"/>
  <c r="U137" i="29"/>
  <c r="O137" i="29"/>
  <c r="M137" i="29"/>
  <c r="J137" i="29"/>
  <c r="S137" i="29"/>
  <c r="Z137" i="29"/>
  <c r="V66" i="30"/>
  <c r="J66" i="30"/>
  <c r="G106" i="29"/>
  <c r="O106" i="29"/>
  <c r="M106" i="29"/>
  <c r="N106" i="29"/>
  <c r="P106" i="29"/>
  <c r="X38" i="30"/>
  <c r="X40" i="30"/>
  <c r="X42" i="30"/>
  <c r="X46" i="30"/>
  <c r="X48" i="30"/>
  <c r="X50" i="30"/>
  <c r="X52" i="30"/>
  <c r="X54" i="30"/>
  <c r="N54" i="30"/>
  <c r="H54" i="30"/>
  <c r="X56" i="30"/>
  <c r="X58" i="30"/>
  <c r="X60" i="30"/>
  <c r="O60" i="30"/>
  <c r="X62" i="30"/>
  <c r="O62" i="30"/>
  <c r="AB57" i="29"/>
  <c r="H57" i="29"/>
  <c r="G57" i="29"/>
  <c r="Q57" i="29"/>
  <c r="M57" i="29"/>
  <c r="N57" i="29"/>
  <c r="O57" i="29"/>
  <c r="P57" i="29"/>
  <c r="H115" i="29"/>
  <c r="N115" i="29"/>
  <c r="M115" i="29"/>
  <c r="O115" i="29"/>
  <c r="P115" i="29"/>
  <c r="R115" i="29"/>
  <c r="S115" i="29"/>
  <c r="Q115" i="29"/>
  <c r="AA77" i="29"/>
  <c r="V105" i="29"/>
  <c r="H108" i="29"/>
  <c r="G108" i="29"/>
  <c r="Q108" i="29"/>
  <c r="P108" i="29"/>
  <c r="O108" i="29"/>
  <c r="M108" i="29"/>
  <c r="N108" i="29"/>
  <c r="X60" i="29"/>
  <c r="AB82" i="29"/>
  <c r="AB51" i="29"/>
  <c r="I114" i="29"/>
  <c r="U114" i="29"/>
  <c r="Z68" i="29"/>
  <c r="X70" i="29"/>
  <c r="G14" i="3"/>
  <c r="I14" i="3" s="1"/>
  <c r="H14" i="3"/>
  <c r="M14" i="3"/>
  <c r="O14" i="3" s="1"/>
  <c r="U35" i="30"/>
  <c r="U99" i="29"/>
  <c r="R99" i="29"/>
  <c r="J62" i="29"/>
  <c r="Y62" i="29"/>
  <c r="AL84" i="30"/>
  <c r="P84" i="30" s="1"/>
  <c r="O87" i="30"/>
  <c r="I76" i="29"/>
  <c r="T76" i="29"/>
  <c r="W76" i="29"/>
  <c r="M76" i="29"/>
  <c r="R76" i="29"/>
  <c r="O76" i="29"/>
  <c r="N76" i="29"/>
  <c r="V76" i="29"/>
  <c r="P76" i="29"/>
  <c r="Q76" i="29"/>
  <c r="S76" i="29"/>
  <c r="U76" i="29"/>
  <c r="AB55" i="29"/>
  <c r="H55" i="29"/>
  <c r="Q55" i="29"/>
  <c r="Y59" i="29"/>
  <c r="J59" i="29"/>
  <c r="Z124" i="29"/>
  <c r="AB84" i="29"/>
  <c r="W36" i="30"/>
  <c r="I66" i="30"/>
  <c r="R66" i="30"/>
  <c r="W66" i="30"/>
  <c r="I106" i="29"/>
  <c r="U106" i="29"/>
  <c r="AC38" i="30"/>
  <c r="AC40" i="30"/>
  <c r="AC42" i="30"/>
  <c r="AC46" i="30"/>
  <c r="R46" i="30"/>
  <c r="I46" i="30"/>
  <c r="AC48" i="30"/>
  <c r="AC50" i="30"/>
  <c r="P50" i="30"/>
  <c r="AC52" i="30"/>
  <c r="AC54" i="30"/>
  <c r="AC56" i="30"/>
  <c r="AC58" i="30"/>
  <c r="AC60" i="30"/>
  <c r="AC62" i="30"/>
  <c r="AC64" i="30"/>
  <c r="Q64" i="30"/>
  <c r="S100" i="29"/>
  <c r="R100" i="29"/>
  <c r="X115" i="29"/>
  <c r="W120" i="29"/>
  <c r="AA135" i="29"/>
  <c r="V71" i="29"/>
  <c r="U44" i="30"/>
  <c r="AA105" i="29"/>
  <c r="S53" i="29"/>
  <c r="V108" i="29"/>
  <c r="V102" i="29"/>
  <c r="H51" i="29"/>
  <c r="Q51" i="29"/>
  <c r="Z114" i="29"/>
  <c r="H68" i="29"/>
  <c r="Q68" i="29"/>
  <c r="O68" i="29"/>
  <c r="N68" i="29"/>
  <c r="M68" i="29"/>
  <c r="T68" i="29"/>
  <c r="R68" i="29"/>
  <c r="P68" i="29"/>
  <c r="S68" i="29"/>
  <c r="AB130" i="29"/>
  <c r="H13" i="3"/>
  <c r="M13" i="3"/>
  <c r="O13" i="3" s="1"/>
  <c r="G13" i="3"/>
  <c r="I13" i="3" s="1"/>
  <c r="K35" i="30"/>
  <c r="Z35" i="30"/>
  <c r="W99" i="29"/>
  <c r="Y123" i="29"/>
  <c r="J123" i="29"/>
  <c r="X63" i="30"/>
  <c r="AA52" i="29"/>
  <c r="J111" i="29"/>
  <c r="Y111" i="29"/>
  <c r="Z65" i="29"/>
  <c r="Y67" i="29"/>
  <c r="J67" i="29"/>
  <c r="H48" i="29"/>
  <c r="Q48" i="29"/>
  <c r="J61" i="29"/>
  <c r="Y61" i="29"/>
  <c r="T117" i="29"/>
  <c r="J131" i="29"/>
  <c r="Y131" i="29"/>
  <c r="BH44" i="29"/>
  <c r="T66" i="29"/>
  <c r="AA74" i="29"/>
  <c r="N33" i="30"/>
  <c r="H33" i="30"/>
  <c r="AA107" i="29"/>
  <c r="G107" i="29"/>
  <c r="N107" i="29"/>
  <c r="P107" i="29"/>
  <c r="M107" i="29"/>
  <c r="O107" i="29"/>
  <c r="H67" i="30"/>
  <c r="N67" i="30"/>
  <c r="BM95" i="29"/>
  <c r="AW95" i="29"/>
  <c r="S97" i="29"/>
  <c r="AG95" i="29"/>
  <c r="S47" i="29"/>
  <c r="AA101" i="29"/>
  <c r="O50" i="29"/>
  <c r="AB88" i="29"/>
  <c r="W49" i="29"/>
  <c r="H110" i="29"/>
  <c r="G110" i="29"/>
  <c r="N110" i="29"/>
  <c r="Q110" i="29"/>
  <c r="P110" i="29"/>
  <c r="M110" i="29"/>
  <c r="O110" i="29"/>
  <c r="V121" i="29"/>
  <c r="AA125" i="29"/>
  <c r="I37" i="30"/>
  <c r="R37" i="30"/>
  <c r="X65" i="30"/>
  <c r="S98" i="29"/>
  <c r="X103" i="29"/>
  <c r="W109" i="29"/>
  <c r="I116" i="29"/>
  <c r="U116" i="29"/>
  <c r="Q39" i="30"/>
  <c r="Q41" i="30"/>
  <c r="Q45" i="30"/>
  <c r="Q49" i="30"/>
  <c r="P52" i="29"/>
  <c r="T113" i="29"/>
  <c r="W34" i="30"/>
  <c r="W54" i="29"/>
  <c r="W75" i="29"/>
  <c r="X129" i="29"/>
  <c r="V48" i="29"/>
  <c r="P104" i="29"/>
  <c r="J117" i="29"/>
  <c r="Y117" i="29"/>
  <c r="H117" i="29"/>
  <c r="N117" i="29"/>
  <c r="R117" i="29"/>
  <c r="M117" i="29"/>
  <c r="P117" i="29"/>
  <c r="Q117" i="29"/>
  <c r="S117" i="29"/>
  <c r="O117" i="29"/>
  <c r="I87" i="30"/>
  <c r="U87" i="30"/>
  <c r="BD84" i="30"/>
  <c r="BG44" i="29"/>
  <c r="AP44" i="29"/>
  <c r="AR44" i="29"/>
  <c r="Y66" i="29"/>
  <c r="H66" i="29"/>
  <c r="P66" i="29"/>
  <c r="Q66" i="29"/>
  <c r="O66" i="29"/>
  <c r="R66" i="29"/>
  <c r="S66" i="29"/>
  <c r="M66" i="29"/>
  <c r="N66" i="29"/>
  <c r="AB76" i="29"/>
  <c r="AO30" i="28"/>
  <c r="I64" i="29"/>
  <c r="U64" i="29"/>
  <c r="AB36" i="30"/>
  <c r="Z106" i="29"/>
  <c r="M92" i="29"/>
  <c r="Z92" i="29"/>
  <c r="R92" i="29"/>
  <c r="U92" i="29"/>
  <c r="J92" i="29"/>
  <c r="S92" i="29"/>
  <c r="V92" i="29"/>
  <c r="Q92" i="29"/>
  <c r="P92" i="29"/>
  <c r="N92" i="29"/>
  <c r="O92" i="29"/>
  <c r="AA92" i="29"/>
  <c r="X92" i="29"/>
  <c r="Y92" i="29"/>
  <c r="T92" i="29"/>
  <c r="W92" i="29"/>
  <c r="AB92" i="29"/>
  <c r="I38" i="30"/>
  <c r="R38" i="30"/>
  <c r="I40" i="30"/>
  <c r="R40" i="30"/>
  <c r="R42" i="30"/>
  <c r="I42" i="30"/>
  <c r="H50" i="30"/>
  <c r="N50" i="30"/>
  <c r="O54" i="30"/>
  <c r="W100" i="29"/>
  <c r="V57" i="29"/>
  <c r="W63" i="29"/>
  <c r="AB120" i="29"/>
  <c r="AA71" i="29"/>
  <c r="Z44" i="30"/>
  <c r="K44" i="30"/>
  <c r="P105" i="29"/>
  <c r="X53" i="29"/>
  <c r="AA108" i="29"/>
  <c r="R60" i="29"/>
  <c r="X126" i="29"/>
  <c r="Y78" i="29"/>
  <c r="J78" i="29"/>
  <c r="AA102" i="29"/>
  <c r="V51" i="29"/>
  <c r="Z73" i="29"/>
  <c r="N12" i="3"/>
  <c r="J12" i="3"/>
  <c r="L12" i="3" s="1"/>
  <c r="AB99" i="29"/>
  <c r="H99" i="29"/>
  <c r="Q99" i="29"/>
  <c r="S62" i="29"/>
  <c r="AU84" i="30"/>
  <c r="S84" i="30" s="1"/>
  <c r="R87" i="30"/>
  <c r="AB63" i="30"/>
  <c r="H119" i="29"/>
  <c r="Q119" i="29"/>
  <c r="O119" i="29"/>
  <c r="M119" i="29"/>
  <c r="R119" i="29"/>
  <c r="T119" i="29"/>
  <c r="S119" i="29"/>
  <c r="P119" i="29"/>
  <c r="N119" i="29"/>
  <c r="I34" i="30"/>
  <c r="R34" i="30"/>
  <c r="R54" i="29"/>
  <c r="AA104" i="29"/>
  <c r="AB46" i="29"/>
  <c r="H46" i="29"/>
  <c r="Q46" i="29"/>
  <c r="J112" i="29"/>
  <c r="Y112" i="29"/>
  <c r="X69" i="29"/>
  <c r="S33" i="30"/>
  <c r="AB72" i="29"/>
  <c r="BL95" i="29"/>
  <c r="X97" i="29"/>
  <c r="AV95" i="29"/>
  <c r="X47" i="29"/>
  <c r="M47" i="29"/>
  <c r="G47" i="29"/>
  <c r="P101" i="29"/>
  <c r="T50" i="29"/>
  <c r="AB49" i="29"/>
  <c r="H49" i="29"/>
  <c r="Q49" i="29"/>
  <c r="T56" i="29"/>
  <c r="V110" i="29"/>
  <c r="Q118" i="29"/>
  <c r="AA83" i="29"/>
  <c r="W37" i="30"/>
  <c r="W65" i="30"/>
  <c r="H65" i="30"/>
  <c r="N65" i="30"/>
  <c r="X98" i="29"/>
  <c r="M98" i="29"/>
  <c r="G98" i="29"/>
  <c r="AB109" i="29"/>
  <c r="S58" i="29"/>
  <c r="Z116" i="29"/>
  <c r="Y79" i="29"/>
  <c r="J79" i="29"/>
  <c r="J39" i="30"/>
  <c r="V39" i="30"/>
  <c r="V41" i="30"/>
  <c r="J41" i="30"/>
  <c r="H41" i="30"/>
  <c r="N41" i="30"/>
  <c r="J43" i="30"/>
  <c r="V43" i="30"/>
  <c r="V45" i="30"/>
  <c r="J45" i="30"/>
  <c r="V47" i="30"/>
  <c r="J47" i="30"/>
  <c r="O47" i="30"/>
  <c r="J49" i="30"/>
  <c r="V49" i="30"/>
  <c r="J51" i="30"/>
  <c r="V51" i="30"/>
  <c r="Q51" i="30"/>
  <c r="J53" i="30"/>
  <c r="V53" i="30"/>
  <c r="J55" i="30"/>
  <c r="V55" i="30"/>
  <c r="Q57" i="30"/>
  <c r="R59" i="30"/>
  <c r="I59" i="30"/>
  <c r="I61" i="30"/>
  <c r="R61" i="30"/>
  <c r="I52" i="29"/>
  <c r="U52" i="29"/>
  <c r="S111" i="29"/>
  <c r="J113" i="29"/>
  <c r="Y113" i="29"/>
  <c r="Y119" i="29"/>
  <c r="J119" i="29"/>
  <c r="U139" i="29"/>
  <c r="AB34" i="30"/>
  <c r="AB54" i="29"/>
  <c r="H54" i="29"/>
  <c r="Q54" i="29"/>
  <c r="T65" i="29"/>
  <c r="AB75" i="29"/>
  <c r="I75" i="29"/>
  <c r="R75" i="29"/>
  <c r="U75" i="29"/>
  <c r="O75" i="29"/>
  <c r="N75" i="29"/>
  <c r="Q75" i="29"/>
  <c r="S75" i="29"/>
  <c r="P75" i="29"/>
  <c r="M75" i="29"/>
  <c r="T75" i="29"/>
  <c r="V75" i="29"/>
  <c r="I129" i="29"/>
  <c r="U129" i="29"/>
  <c r="R129" i="29"/>
  <c r="V129" i="29"/>
  <c r="O129" i="29"/>
  <c r="M129" i="29"/>
  <c r="Q129" i="29"/>
  <c r="W129" i="29"/>
  <c r="T129" i="29"/>
  <c r="P129" i="29"/>
  <c r="S129" i="29"/>
  <c r="N129" i="29"/>
  <c r="AO81" i="28"/>
  <c r="AA48" i="29"/>
  <c r="I104" i="29"/>
  <c r="U104" i="29"/>
  <c r="S61" i="29"/>
  <c r="X128" i="29"/>
  <c r="I131" i="29"/>
  <c r="W131" i="29"/>
  <c r="T131" i="29"/>
  <c r="O131" i="29"/>
  <c r="Q131" i="29"/>
  <c r="U131" i="29"/>
  <c r="V131" i="29"/>
  <c r="X131" i="29"/>
  <c r="P131" i="29"/>
  <c r="M131" i="29"/>
  <c r="S131" i="29"/>
  <c r="R131" i="29"/>
  <c r="N131" i="29"/>
  <c r="N8" i="3"/>
  <c r="O8" i="3" s="1"/>
  <c r="J8" i="3"/>
  <c r="K8" i="3" s="1"/>
  <c r="L8" i="3" s="1"/>
  <c r="BF44" i="29"/>
  <c r="V46" i="29"/>
  <c r="AQ44" i="29"/>
  <c r="S112" i="29"/>
  <c r="AN30" i="28"/>
  <c r="V55" i="29"/>
  <c r="S59" i="29"/>
  <c r="Z64" i="29"/>
  <c r="AR84" i="30"/>
  <c r="H87" i="30"/>
  <c r="Q87" i="30"/>
  <c r="Q36" i="30"/>
  <c r="AA134" i="29"/>
  <c r="AB89" i="29"/>
  <c r="R152" i="29"/>
  <c r="AW149" i="29"/>
  <c r="W38" i="30"/>
  <c r="W40" i="30"/>
  <c r="W42" i="30"/>
  <c r="W46" i="30"/>
  <c r="W48" i="30"/>
  <c r="W50" i="30"/>
  <c r="W52" i="30"/>
  <c r="W54" i="30"/>
  <c r="W56" i="30"/>
  <c r="W58" i="30"/>
  <c r="I60" i="30"/>
  <c r="R60" i="30"/>
  <c r="Q62" i="30"/>
  <c r="N62" i="30"/>
  <c r="H62" i="30"/>
  <c r="AB100" i="29"/>
  <c r="AA57" i="29"/>
  <c r="AB63" i="29"/>
  <c r="Z77" i="29"/>
  <c r="I71" i="29"/>
  <c r="P71" i="29"/>
  <c r="R71" i="29"/>
  <c r="S71" i="29"/>
  <c r="M71" i="29"/>
  <c r="T71" i="29"/>
  <c r="U71" i="29"/>
  <c r="O71" i="29"/>
  <c r="N71" i="29"/>
  <c r="Q71" i="29"/>
  <c r="I105" i="29"/>
  <c r="U105" i="29"/>
  <c r="G105" i="29"/>
  <c r="O105" i="29"/>
  <c r="N105" i="29"/>
  <c r="M105" i="29"/>
  <c r="W60" i="29"/>
  <c r="H60" i="29"/>
  <c r="Q60" i="29"/>
  <c r="M60" i="29"/>
  <c r="N60" i="29"/>
  <c r="P60" i="29"/>
  <c r="O60" i="29"/>
  <c r="AA82" i="29"/>
  <c r="P102" i="29"/>
  <c r="AA51" i="29"/>
  <c r="T114" i="29"/>
  <c r="J68" i="29"/>
  <c r="Y68" i="29"/>
  <c r="W70" i="29"/>
  <c r="T35" i="30"/>
  <c r="O35" i="30"/>
  <c r="X62" i="29"/>
  <c r="X58" i="29"/>
  <c r="X67" i="29"/>
  <c r="AN81" i="28"/>
  <c r="Z104" i="29"/>
  <c r="O104" i="29"/>
  <c r="M104" i="29"/>
  <c r="N104" i="29"/>
  <c r="G104" i="29"/>
  <c r="X61" i="29"/>
  <c r="V86" i="29"/>
  <c r="AA46" i="29"/>
  <c r="BE44" i="29"/>
  <c r="AO44" i="29"/>
  <c r="X112" i="29"/>
  <c r="W69" i="29"/>
  <c r="Z74" i="29"/>
  <c r="AM30" i="28"/>
  <c r="AA55" i="29"/>
  <c r="X59" i="29"/>
  <c r="J124" i="29"/>
  <c r="Y124" i="29"/>
  <c r="AA84" i="29"/>
  <c r="V36" i="30"/>
  <c r="J36" i="30"/>
  <c r="P152" i="29"/>
  <c r="G152" i="29"/>
  <c r="Q66" i="30"/>
  <c r="Y66" i="30"/>
  <c r="T106" i="29"/>
  <c r="P46" i="30"/>
  <c r="I48" i="30"/>
  <c r="R48" i="30"/>
  <c r="S52" i="30"/>
  <c r="N56" i="30"/>
  <c r="H56" i="30"/>
  <c r="H58" i="30"/>
  <c r="N58" i="30"/>
  <c r="AB64" i="30"/>
  <c r="P64" i="30"/>
  <c r="H100" i="29"/>
  <c r="Q100" i="29"/>
  <c r="W115" i="29"/>
  <c r="V120" i="29"/>
  <c r="J127" i="29"/>
  <c r="Y127" i="29"/>
  <c r="Z135" i="29"/>
  <c r="T44" i="30"/>
  <c r="Z105" i="29"/>
  <c r="R53" i="29"/>
  <c r="I108" i="29"/>
  <c r="U108" i="29"/>
  <c r="I102" i="29"/>
  <c r="U102" i="29"/>
  <c r="P51" i="29"/>
  <c r="J114" i="29"/>
  <c r="Y114" i="29"/>
  <c r="AA130" i="29"/>
  <c r="N35" i="30"/>
  <c r="H35" i="30"/>
  <c r="V99" i="29"/>
  <c r="H62" i="29"/>
  <c r="M62" i="29"/>
  <c r="R62" i="29"/>
  <c r="Q62" i="29"/>
  <c r="N62" i="29"/>
  <c r="O62" i="29"/>
  <c r="P62" i="29"/>
  <c r="X123" i="29"/>
  <c r="Z52" i="29"/>
  <c r="P48" i="29"/>
  <c r="AC33" i="30"/>
  <c r="Z107" i="29"/>
  <c r="BZ95" i="29"/>
  <c r="BJ95" i="29"/>
  <c r="AT95" i="29"/>
  <c r="R97" i="29"/>
  <c r="R47" i="29"/>
  <c r="Z101" i="29"/>
  <c r="X88" i="29"/>
  <c r="T88" i="29"/>
  <c r="AA88" i="29"/>
  <c r="Y88" i="29"/>
  <c r="W88" i="29"/>
  <c r="N88" i="29"/>
  <c r="P88" i="29"/>
  <c r="Q88" i="29"/>
  <c r="S88" i="29"/>
  <c r="V88" i="29"/>
  <c r="Z88" i="29"/>
  <c r="O88" i="29"/>
  <c r="M88" i="29"/>
  <c r="U88" i="29"/>
  <c r="R88" i="29"/>
  <c r="J88" i="29"/>
  <c r="V49" i="29"/>
  <c r="AB118" i="29"/>
  <c r="I121" i="29"/>
  <c r="O121" i="29"/>
  <c r="U121" i="29"/>
  <c r="R121" i="29"/>
  <c r="S121" i="29"/>
  <c r="T121" i="29"/>
  <c r="M121" i="29"/>
  <c r="N121" i="29"/>
  <c r="P121" i="29"/>
  <c r="Q121" i="29"/>
  <c r="Z125" i="29"/>
  <c r="Q37" i="30"/>
  <c r="Q65" i="30"/>
  <c r="Z98" i="29"/>
  <c r="R98" i="29"/>
  <c r="W103" i="29"/>
  <c r="V109" i="29"/>
  <c r="T116" i="29"/>
  <c r="P39" i="30"/>
  <c r="Q43" i="30"/>
  <c r="I47" i="30"/>
  <c r="R47" i="30"/>
  <c r="U53" i="30"/>
  <c r="U55" i="30"/>
  <c r="T57" i="30"/>
  <c r="O61" i="30"/>
  <c r="H63" i="30"/>
  <c r="N63" i="30"/>
  <c r="G52" i="29"/>
  <c r="N52" i="29"/>
  <c r="M52" i="29"/>
  <c r="O52" i="29"/>
  <c r="S113" i="29"/>
  <c r="AB139" i="29"/>
  <c r="AO84" i="30"/>
  <c r="Q84" i="30" s="1"/>
  <c r="P87" i="30"/>
  <c r="J34" i="30"/>
  <c r="V34" i="30"/>
  <c r="V54" i="29"/>
  <c r="H65" i="29"/>
  <c r="R65" i="29"/>
  <c r="Q65" i="29"/>
  <c r="O65" i="29"/>
  <c r="S65" i="29"/>
  <c r="M65" i="29"/>
  <c r="N65" i="29"/>
  <c r="P65" i="29"/>
  <c r="AM81" i="28"/>
  <c r="I48" i="29"/>
  <c r="U48" i="29"/>
  <c r="X117" i="29"/>
  <c r="Y128" i="29"/>
  <c r="I128" i="29"/>
  <c r="M128" i="29"/>
  <c r="Q128" i="29"/>
  <c r="N128" i="29"/>
  <c r="O128" i="29"/>
  <c r="V128" i="29"/>
  <c r="T128" i="29"/>
  <c r="W128" i="29"/>
  <c r="S128" i="29"/>
  <c r="U128" i="29"/>
  <c r="P128" i="29"/>
  <c r="R128" i="29"/>
  <c r="BD44" i="29"/>
  <c r="AN44" i="29"/>
  <c r="P46" i="29"/>
  <c r="X66" i="29"/>
  <c r="AB69" i="29"/>
  <c r="AA76" i="29"/>
  <c r="AL30" i="28"/>
  <c r="G55" i="29"/>
  <c r="O55" i="29"/>
  <c r="P55" i="29"/>
  <c r="N55" i="29"/>
  <c r="M55" i="29"/>
  <c r="T64" i="29"/>
  <c r="AA36" i="30"/>
  <c r="Y89" i="29"/>
  <c r="P89" i="29"/>
  <c r="R89" i="29"/>
  <c r="AA89" i="29"/>
  <c r="J89" i="29"/>
  <c r="W89" i="29"/>
  <c r="S89" i="29"/>
  <c r="O89" i="29"/>
  <c r="N89" i="29"/>
  <c r="X89" i="29"/>
  <c r="M89" i="29"/>
  <c r="U89" i="29"/>
  <c r="Z89" i="29"/>
  <c r="T89" i="29"/>
  <c r="Q89" i="29"/>
  <c r="V89" i="29"/>
  <c r="S66" i="30"/>
  <c r="Y106" i="29"/>
  <c r="J106" i="29"/>
  <c r="BA84" i="30"/>
  <c r="U84" i="30" s="1"/>
  <c r="T87" i="30"/>
  <c r="Q38" i="30"/>
  <c r="Q40" i="30"/>
  <c r="O42" i="30"/>
  <c r="Q50" i="30"/>
  <c r="T56" i="30"/>
  <c r="V58" i="30"/>
  <c r="J58" i="30"/>
  <c r="U62" i="30"/>
  <c r="N64" i="30"/>
  <c r="H64" i="30"/>
  <c r="V100" i="29"/>
  <c r="I57" i="29"/>
  <c r="U57" i="29"/>
  <c r="V63" i="29"/>
  <c r="AA120" i="29"/>
  <c r="Q135" i="29"/>
  <c r="T135" i="29"/>
  <c r="X135" i="29"/>
  <c r="P135" i="29"/>
  <c r="S135" i="29"/>
  <c r="O135" i="29"/>
  <c r="M135" i="29"/>
  <c r="N135" i="29"/>
  <c r="U135" i="29"/>
  <c r="R135" i="29"/>
  <c r="J135" i="29"/>
  <c r="W135" i="29"/>
  <c r="V135" i="29"/>
  <c r="Y135" i="29"/>
  <c r="Z71" i="29"/>
  <c r="Y44" i="30"/>
  <c r="W53" i="29"/>
  <c r="Z108" i="29"/>
  <c r="W126" i="29"/>
  <c r="X78" i="29"/>
  <c r="Z102" i="29"/>
  <c r="I51" i="29"/>
  <c r="U51" i="29"/>
  <c r="Y73" i="29"/>
  <c r="J73" i="29"/>
  <c r="AA99" i="29"/>
  <c r="H109" i="29"/>
  <c r="G109" i="29"/>
  <c r="N109" i="29"/>
  <c r="M109" i="29"/>
  <c r="O109" i="29"/>
  <c r="P109" i="29"/>
  <c r="Q109" i="29"/>
  <c r="T59" i="30"/>
  <c r="V61" i="30"/>
  <c r="J61" i="30"/>
  <c r="X111" i="29"/>
  <c r="J65" i="29"/>
  <c r="Y65" i="29"/>
  <c r="I33" i="30"/>
  <c r="R33" i="30"/>
  <c r="V85" i="30"/>
  <c r="T67" i="30"/>
  <c r="BY95" i="29"/>
  <c r="BI95" i="29"/>
  <c r="W97" i="29"/>
  <c r="AS95" i="29"/>
  <c r="W47" i="29"/>
  <c r="O101" i="29"/>
  <c r="S50" i="29"/>
  <c r="S56" i="29"/>
  <c r="I110" i="29"/>
  <c r="U110" i="29"/>
  <c r="Z121" i="29"/>
  <c r="AA132" i="29"/>
  <c r="Z83" i="29"/>
  <c r="V37" i="30"/>
  <c r="J37" i="30"/>
  <c r="W98" i="29"/>
  <c r="AB103" i="29"/>
  <c r="H103" i="29"/>
  <c r="Q103" i="29"/>
  <c r="AA109" i="29"/>
  <c r="W58" i="29"/>
  <c r="R58" i="29"/>
  <c r="Y116" i="29"/>
  <c r="J116" i="29"/>
  <c r="I79" i="29"/>
  <c r="V79" i="29"/>
  <c r="X79" i="29"/>
  <c r="O79" i="29"/>
  <c r="Q79" i="29"/>
  <c r="P79" i="29"/>
  <c r="N79" i="29"/>
  <c r="S79" i="29"/>
  <c r="M79" i="29"/>
  <c r="R79" i="29"/>
  <c r="W79" i="29"/>
  <c r="T79" i="29"/>
  <c r="U79" i="29"/>
  <c r="U39" i="30"/>
  <c r="O39" i="30"/>
  <c r="U41" i="30"/>
  <c r="U43" i="30"/>
  <c r="O43" i="30"/>
  <c r="U45" i="30"/>
  <c r="U47" i="30"/>
  <c r="U49" i="30"/>
  <c r="U51" i="30"/>
  <c r="S51" i="30"/>
  <c r="S53" i="30"/>
  <c r="V57" i="30"/>
  <c r="J57" i="30"/>
  <c r="V59" i="30"/>
  <c r="J59" i="30"/>
  <c r="T52" i="29"/>
  <c r="R111" i="29"/>
  <c r="X113" i="29"/>
  <c r="X119" i="29"/>
  <c r="AA34" i="30"/>
  <c r="AA54" i="29"/>
  <c r="AA75" i="29"/>
  <c r="AB129" i="29"/>
  <c r="AL81" i="28"/>
  <c r="Z48" i="29"/>
  <c r="T104" i="29"/>
  <c r="AB61" i="29"/>
  <c r="H61" i="29"/>
  <c r="M61" i="29"/>
  <c r="P61" i="29"/>
  <c r="N61" i="29"/>
  <c r="Q61" i="29"/>
  <c r="O61" i="29"/>
  <c r="R61" i="29"/>
  <c r="AB86" i="29"/>
  <c r="I46" i="29"/>
  <c r="BC44" i="29"/>
  <c r="U46" i="29"/>
  <c r="AM44" i="29"/>
  <c r="H112" i="29"/>
  <c r="Q112" i="29"/>
  <c r="O112" i="29"/>
  <c r="R112" i="29"/>
  <c r="M112" i="29"/>
  <c r="P112" i="29"/>
  <c r="N112" i="29"/>
  <c r="O140" i="29"/>
  <c r="N140" i="29"/>
  <c r="P140" i="29"/>
  <c r="AA140" i="29"/>
  <c r="R140" i="29"/>
  <c r="U140" i="29"/>
  <c r="T140" i="29"/>
  <c r="Z140" i="29"/>
  <c r="S140" i="29"/>
  <c r="X140" i="29"/>
  <c r="Q140" i="29"/>
  <c r="J140" i="29"/>
  <c r="Y140" i="29"/>
  <c r="W140" i="29"/>
  <c r="M140" i="29"/>
  <c r="V140" i="29"/>
  <c r="AB87" i="29"/>
  <c r="AK30" i="28"/>
  <c r="I55" i="29"/>
  <c r="U55" i="29"/>
  <c r="R59" i="29"/>
  <c r="J64" i="29"/>
  <c r="Y64" i="29"/>
  <c r="P36" i="30"/>
  <c r="Z134" i="29"/>
  <c r="N9" i="3"/>
  <c r="O9" i="3" s="1"/>
  <c r="J9" i="3"/>
  <c r="K9" i="3" s="1"/>
  <c r="L9" i="3" s="1"/>
  <c r="V38" i="30"/>
  <c r="J38" i="30"/>
  <c r="J40" i="30"/>
  <c r="V40" i="30"/>
  <c r="N40" i="30"/>
  <c r="H40" i="30"/>
  <c r="V42" i="30"/>
  <c r="J42" i="30"/>
  <c r="J46" i="30"/>
  <c r="V46" i="30"/>
  <c r="V48" i="30"/>
  <c r="J48" i="30"/>
  <c r="V50" i="30"/>
  <c r="J50" i="30"/>
  <c r="J52" i="30"/>
  <c r="V52" i="30"/>
  <c r="H52" i="30"/>
  <c r="N52" i="30"/>
  <c r="V54" i="30"/>
  <c r="J54" i="30"/>
  <c r="I56" i="30"/>
  <c r="R56" i="30"/>
  <c r="O58" i="30"/>
  <c r="U60" i="30"/>
  <c r="I64" i="30"/>
  <c r="R64" i="30"/>
  <c r="AA100" i="29"/>
  <c r="Z57" i="29"/>
  <c r="AA63" i="29"/>
  <c r="J77" i="29"/>
  <c r="Y77" i="29"/>
  <c r="BC149" i="29"/>
  <c r="T152" i="29"/>
  <c r="H152" i="29"/>
  <c r="T105" i="29"/>
  <c r="V60" i="29"/>
  <c r="AB126" i="29"/>
  <c r="I126" i="29"/>
  <c r="Q126" i="29"/>
  <c r="S126" i="29"/>
  <c r="M126" i="29"/>
  <c r="N126" i="29"/>
  <c r="P126" i="29"/>
  <c r="R126" i="29"/>
  <c r="T126" i="29"/>
  <c r="V126" i="29"/>
  <c r="O126" i="29"/>
  <c r="U126" i="29"/>
  <c r="I78" i="29"/>
  <c r="R78" i="29"/>
  <c r="W78" i="29"/>
  <c r="S78" i="29"/>
  <c r="U78" i="29"/>
  <c r="T78" i="29"/>
  <c r="V78" i="29"/>
  <c r="Q78" i="29"/>
  <c r="P78" i="29"/>
  <c r="O78" i="29"/>
  <c r="N78" i="29"/>
  <c r="M78" i="29"/>
  <c r="Z82" i="29"/>
  <c r="O102" i="29"/>
  <c r="Z51" i="29"/>
  <c r="S114" i="29"/>
  <c r="X68" i="29"/>
  <c r="V70" i="29"/>
  <c r="S35" i="30"/>
  <c r="P99" i="29"/>
  <c r="W62" i="29"/>
  <c r="H47" i="29"/>
  <c r="Q47" i="29"/>
  <c r="X50" i="29"/>
  <c r="P49" i="29"/>
  <c r="X56" i="29"/>
  <c r="Z110" i="29"/>
  <c r="V118" i="29"/>
  <c r="W122" i="29"/>
  <c r="AA138" i="29"/>
  <c r="Y65" i="30"/>
  <c r="H116" i="29"/>
  <c r="Q116" i="29"/>
  <c r="N116" i="29"/>
  <c r="O116" i="29"/>
  <c r="S116" i="29"/>
  <c r="M116" i="29"/>
  <c r="P116" i="29"/>
  <c r="R116" i="29"/>
  <c r="K39" i="30"/>
  <c r="Z39" i="30"/>
  <c r="K41" i="30"/>
  <c r="Z41" i="30"/>
  <c r="K43" i="30"/>
  <c r="Z43" i="30"/>
  <c r="Z45" i="30"/>
  <c r="K45" i="30"/>
  <c r="Z47" i="30"/>
  <c r="K47" i="30"/>
  <c r="K49" i="30"/>
  <c r="Z49" i="30"/>
  <c r="K51" i="30"/>
  <c r="Z51" i="30"/>
  <c r="K53" i="30"/>
  <c r="Z53" i="30"/>
  <c r="Z55" i="30"/>
  <c r="K55" i="30"/>
  <c r="N55" i="30"/>
  <c r="H55" i="30"/>
  <c r="K57" i="30"/>
  <c r="Z57" i="30"/>
  <c r="O57" i="30"/>
  <c r="Z59" i="30"/>
  <c r="K59" i="30"/>
  <c r="H59" i="30"/>
  <c r="N59" i="30"/>
  <c r="Z61" i="30"/>
  <c r="K61" i="30"/>
  <c r="W61" i="30"/>
  <c r="Z63" i="30"/>
  <c r="K63" i="30"/>
  <c r="Y52" i="29"/>
  <c r="J52" i="29"/>
  <c r="W111" i="29"/>
  <c r="H111" i="29"/>
  <c r="N111" i="29"/>
  <c r="P111" i="29"/>
  <c r="Q111" i="29"/>
  <c r="O111" i="29"/>
  <c r="M111" i="29"/>
  <c r="H113" i="29"/>
  <c r="P113" i="29"/>
  <c r="O113" i="29"/>
  <c r="M113" i="29"/>
  <c r="Q113" i="29"/>
  <c r="N113" i="29"/>
  <c r="R113" i="29"/>
  <c r="P54" i="29"/>
  <c r="X65" i="29"/>
  <c r="W67" i="29"/>
  <c r="AK81" i="28"/>
  <c r="O48" i="29"/>
  <c r="J104" i="29"/>
  <c r="Y104" i="29"/>
  <c r="W61" i="29"/>
  <c r="AA117" i="29"/>
  <c r="Z46" i="29"/>
  <c r="BB44" i="29"/>
  <c r="AL44" i="29"/>
  <c r="W112" i="29"/>
  <c r="J66" i="29"/>
  <c r="V69" i="29"/>
  <c r="Y74" i="29"/>
  <c r="J74" i="29"/>
  <c r="AJ30" i="28"/>
  <c r="Z55" i="29"/>
  <c r="W59" i="29"/>
  <c r="X124" i="29"/>
  <c r="Z84" i="29"/>
  <c r="BG54" i="12"/>
  <c r="I11" i="3"/>
  <c r="S87" i="30"/>
  <c r="AX84" i="30"/>
  <c r="T84" i="30" s="1"/>
  <c r="S106" i="29"/>
  <c r="O40" i="30"/>
  <c r="I62" i="30"/>
  <c r="R62" i="30"/>
  <c r="U64" i="30"/>
  <c r="P100" i="29"/>
  <c r="V115" i="29"/>
  <c r="I120" i="29"/>
  <c r="U120" i="29"/>
  <c r="X127" i="29"/>
  <c r="J105" i="29"/>
  <c r="Y105" i="29"/>
  <c r="H53" i="29"/>
  <c r="Q53" i="29"/>
  <c r="T108" i="29"/>
  <c r="T102" i="29"/>
  <c r="G102" i="29"/>
  <c r="N102" i="29"/>
  <c r="M102" i="29"/>
  <c r="O51" i="29"/>
  <c r="X114" i="29"/>
  <c r="H114" i="29"/>
  <c r="Q114" i="29"/>
  <c r="N114" i="29"/>
  <c r="P114" i="29"/>
  <c r="O114" i="29"/>
  <c r="R114" i="29"/>
  <c r="M114" i="29"/>
  <c r="Z130" i="29"/>
  <c r="I99" i="29"/>
  <c r="AB62" i="29"/>
  <c r="W123" i="29"/>
  <c r="T107" i="29"/>
  <c r="BH95" i="29"/>
  <c r="AB33" i="30"/>
  <c r="X85" i="30"/>
  <c r="AA72" i="29"/>
  <c r="P67" i="30"/>
  <c r="BW95" i="29"/>
  <c r="BG95" i="29"/>
  <c r="H97" i="29"/>
  <c r="Q97" i="29"/>
  <c r="Y101" i="29"/>
  <c r="J101" i="29"/>
  <c r="G101" i="29"/>
  <c r="M101" i="29"/>
  <c r="N101" i="29"/>
  <c r="I49" i="29"/>
  <c r="U49" i="29"/>
  <c r="AA118" i="29"/>
  <c r="AB122" i="29"/>
  <c r="J125" i="29"/>
  <c r="Y125" i="29"/>
  <c r="X83" i="29"/>
  <c r="P83" i="29"/>
  <c r="Q83" i="29"/>
  <c r="S83" i="29"/>
  <c r="N83" i="29"/>
  <c r="M83" i="29"/>
  <c r="O83" i="29"/>
  <c r="U83" i="29"/>
  <c r="R83" i="29"/>
  <c r="T83" i="29"/>
  <c r="Y83" i="29"/>
  <c r="W83" i="29"/>
  <c r="V83" i="29"/>
  <c r="J83" i="29"/>
  <c r="J138" i="29"/>
  <c r="Y138" i="29"/>
  <c r="P138" i="29"/>
  <c r="N138" i="29"/>
  <c r="X138" i="29"/>
  <c r="W138" i="29"/>
  <c r="V138" i="29"/>
  <c r="Z138" i="29"/>
  <c r="S138" i="29"/>
  <c r="Q138" i="29"/>
  <c r="T138" i="29"/>
  <c r="O138" i="29"/>
  <c r="R138" i="29"/>
  <c r="M138" i="29"/>
  <c r="U138" i="29"/>
  <c r="P37" i="30"/>
  <c r="H98" i="29"/>
  <c r="Q98" i="29"/>
  <c r="V103" i="29"/>
  <c r="I109" i="29"/>
  <c r="U109" i="29"/>
  <c r="AB58" i="29"/>
  <c r="H58" i="29"/>
  <c r="G58" i="29"/>
  <c r="Q58" i="29"/>
  <c r="P58" i="29"/>
  <c r="N58" i="29"/>
  <c r="O58" i="29"/>
  <c r="M58" i="29"/>
  <c r="H39" i="30"/>
  <c r="N39" i="30"/>
  <c r="P43" i="30"/>
  <c r="P47" i="30"/>
  <c r="I49" i="30"/>
  <c r="R49" i="30"/>
  <c r="I51" i="30"/>
  <c r="R51" i="30"/>
  <c r="I53" i="30"/>
  <c r="R53" i="30"/>
  <c r="O53" i="30"/>
  <c r="O55" i="30"/>
  <c r="S61" i="30"/>
  <c r="Q61" i="30"/>
  <c r="W63" i="30"/>
  <c r="T63" i="30"/>
  <c r="AB111" i="29"/>
  <c r="U119" i="29"/>
  <c r="N139" i="29"/>
  <c r="AA139" i="29"/>
  <c r="X139" i="29"/>
  <c r="Z139" i="29"/>
  <c r="Y139" i="29"/>
  <c r="T139" i="29"/>
  <c r="P139" i="29"/>
  <c r="Q139" i="29"/>
  <c r="S139" i="29"/>
  <c r="O139" i="29"/>
  <c r="J139" i="29"/>
  <c r="W139" i="29"/>
  <c r="V139" i="29"/>
  <c r="M139" i="29"/>
  <c r="R139" i="29"/>
  <c r="U34" i="30"/>
  <c r="I54" i="29"/>
  <c r="U54" i="29"/>
  <c r="G54" i="29"/>
  <c r="O54" i="29"/>
  <c r="N54" i="29"/>
  <c r="M54" i="29"/>
  <c r="AB67" i="29"/>
  <c r="M91" i="29"/>
  <c r="S91" i="29"/>
  <c r="W91" i="29"/>
  <c r="AA91" i="29"/>
  <c r="O91" i="29"/>
  <c r="N91" i="29"/>
  <c r="J91" i="29"/>
  <c r="X91" i="29"/>
  <c r="Z91" i="29"/>
  <c r="Y91" i="29"/>
  <c r="P91" i="29"/>
  <c r="T91" i="29"/>
  <c r="U91" i="29"/>
  <c r="AB91" i="29"/>
  <c r="R91" i="29"/>
  <c r="V91" i="29"/>
  <c r="Q91" i="29"/>
  <c r="AJ81" i="28"/>
  <c r="T48" i="29"/>
  <c r="W117" i="29"/>
  <c r="AB131" i="29"/>
  <c r="BA44" i="29"/>
  <c r="AK44" i="29"/>
  <c r="O46" i="29"/>
  <c r="AB112" i="29"/>
  <c r="W66" i="29"/>
  <c r="AA69" i="29"/>
  <c r="Z76" i="29"/>
  <c r="R143" i="29"/>
  <c r="Z143" i="29"/>
  <c r="P143" i="29"/>
  <c r="T143" i="29"/>
  <c r="U143" i="29"/>
  <c r="J143" i="29"/>
  <c r="AA143" i="29"/>
  <c r="X143" i="29"/>
  <c r="V143" i="29"/>
  <c r="Y143" i="29"/>
  <c r="N143" i="29"/>
  <c r="S143" i="29"/>
  <c r="Q143" i="29"/>
  <c r="W143" i="29"/>
  <c r="O143" i="29"/>
  <c r="M143" i="29"/>
  <c r="AB143" i="29"/>
  <c r="AI30" i="28"/>
  <c r="AB59" i="29"/>
  <c r="H64" i="29"/>
  <c r="O64" i="29"/>
  <c r="P64" i="29"/>
  <c r="N64" i="29"/>
  <c r="M64" i="29"/>
  <c r="Q64" i="29"/>
  <c r="S64" i="29"/>
  <c r="R64" i="29"/>
  <c r="T84" i="29"/>
  <c r="P84" i="29"/>
  <c r="U84" i="29"/>
  <c r="R84" i="29"/>
  <c r="X84" i="29"/>
  <c r="Y84" i="29"/>
  <c r="N84" i="29"/>
  <c r="J84" i="29"/>
  <c r="V84" i="29"/>
  <c r="S84" i="29"/>
  <c r="W84" i="29"/>
  <c r="O84" i="29"/>
  <c r="M84" i="29"/>
  <c r="Q84" i="29"/>
  <c r="K36" i="30"/>
  <c r="Z36" i="30"/>
  <c r="Q134" i="29"/>
  <c r="R134" i="29"/>
  <c r="S134" i="29"/>
  <c r="U134" i="29"/>
  <c r="P134" i="29"/>
  <c r="O134" i="29"/>
  <c r="N134" i="29"/>
  <c r="M134" i="29"/>
  <c r="W134" i="29"/>
  <c r="J134" i="29"/>
  <c r="V134" i="29"/>
  <c r="Y134" i="29"/>
  <c r="T134" i="29"/>
  <c r="X134" i="29"/>
  <c r="I10" i="3"/>
  <c r="X106" i="29"/>
  <c r="P38" i="30"/>
  <c r="P42" i="30"/>
  <c r="P52" i="30"/>
  <c r="S56" i="30"/>
  <c r="P60" i="30"/>
  <c r="W60" i="30"/>
  <c r="P62" i="30"/>
  <c r="I100" i="29"/>
  <c r="U100" i="29"/>
  <c r="T57" i="29"/>
  <c r="AA115" i="29"/>
  <c r="I63" i="29"/>
  <c r="U63" i="29"/>
  <c r="Z120" i="29"/>
  <c r="H120" i="29"/>
  <c r="T120" i="29"/>
  <c r="M120" i="29"/>
  <c r="R120" i="29"/>
  <c r="Q120" i="29"/>
  <c r="N120" i="29"/>
  <c r="O120" i="29"/>
  <c r="S120" i="29"/>
  <c r="P120" i="29"/>
  <c r="J71" i="29"/>
  <c r="Y71" i="29"/>
  <c r="X44" i="30"/>
  <c r="V53" i="29"/>
  <c r="J108" i="29"/>
  <c r="Y108" i="29"/>
  <c r="Y102" i="29"/>
  <c r="J102" i="29"/>
  <c r="T51" i="29"/>
  <c r="G51" i="29"/>
  <c r="N51" i="29"/>
  <c r="M51" i="29"/>
  <c r="X73" i="29"/>
  <c r="AC35" i="30"/>
  <c r="R86" i="30"/>
  <c r="I86" i="30"/>
  <c r="Z99" i="29"/>
  <c r="AB123" i="29"/>
  <c r="J107" i="29"/>
  <c r="Y107" i="29"/>
  <c r="I72" i="29"/>
  <c r="T72" i="29"/>
  <c r="S72" i="29"/>
  <c r="Q72" i="29"/>
  <c r="O72" i="29"/>
  <c r="M72" i="29"/>
  <c r="U72" i="29"/>
  <c r="P72" i="29"/>
  <c r="R72" i="29"/>
  <c r="N72" i="29"/>
  <c r="Q33" i="30"/>
  <c r="BV95" i="29"/>
  <c r="BF95" i="29"/>
  <c r="V97" i="29"/>
  <c r="AQ95" i="29"/>
  <c r="V47" i="29"/>
  <c r="AB50" i="29"/>
  <c r="R50" i="29"/>
  <c r="AB85" i="29"/>
  <c r="Z49" i="29"/>
  <c r="R56" i="29"/>
  <c r="T110" i="29"/>
  <c r="J121" i="29"/>
  <c r="Y121" i="29"/>
  <c r="Z132" i="29"/>
  <c r="N7" i="3"/>
  <c r="O7" i="3" s="1"/>
  <c r="J7" i="3"/>
  <c r="K7" i="3" s="1"/>
  <c r="L7" i="3" s="1"/>
  <c r="BG84" i="30"/>
  <c r="W84" i="30" s="1"/>
  <c r="V87" i="30"/>
  <c r="U37" i="30"/>
  <c r="N37" i="30"/>
  <c r="H37" i="30"/>
  <c r="R65" i="30"/>
  <c r="I65" i="30"/>
  <c r="V98" i="29"/>
  <c r="AA103" i="29"/>
  <c r="Z109" i="29"/>
  <c r="X116" i="29"/>
  <c r="T39" i="30"/>
  <c r="T41" i="30"/>
  <c r="P41" i="30"/>
  <c r="T43" i="30"/>
  <c r="T45" i="30"/>
  <c r="P45" i="30"/>
  <c r="T47" i="30"/>
  <c r="T49" i="30"/>
  <c r="N53" i="30"/>
  <c r="H53" i="30"/>
  <c r="S57" i="30"/>
  <c r="S52" i="29"/>
  <c r="W113" i="29"/>
  <c r="W119" i="29"/>
  <c r="J17" i="3"/>
  <c r="K17" i="3" s="1"/>
  <c r="L17" i="3" s="1"/>
  <c r="N17" i="3"/>
  <c r="O17" i="3" s="1"/>
  <c r="BF149" i="29"/>
  <c r="V149" i="29" s="1"/>
  <c r="U152" i="29"/>
  <c r="Z34" i="30"/>
  <c r="K34" i="30"/>
  <c r="Z54" i="29"/>
  <c r="AB65" i="29"/>
  <c r="Z75" i="29"/>
  <c r="AA129" i="29"/>
  <c r="AI81" i="28"/>
  <c r="J48" i="29"/>
  <c r="Y48" i="29"/>
  <c r="S104" i="29"/>
  <c r="AB117" i="29"/>
  <c r="AA86" i="29"/>
  <c r="AZ44" i="29"/>
  <c r="T46" i="29"/>
  <c r="AJ44" i="29"/>
  <c r="AB66" i="29"/>
  <c r="AH30" i="28"/>
  <c r="T55" i="29"/>
  <c r="G59" i="29"/>
  <c r="H59" i="29"/>
  <c r="Q59" i="29"/>
  <c r="P59" i="29"/>
  <c r="M59" i="29"/>
  <c r="O59" i="29"/>
  <c r="N59" i="29"/>
  <c r="X64" i="29"/>
  <c r="N36" i="30"/>
  <c r="H36" i="30"/>
  <c r="AB137" i="29"/>
  <c r="AZ149" i="29"/>
  <c r="T149" i="29" s="1"/>
  <c r="S152" i="29"/>
  <c r="U38" i="30"/>
  <c r="U40" i="30"/>
  <c r="U42" i="30"/>
  <c r="U46" i="30"/>
  <c r="Q46" i="30"/>
  <c r="U48" i="30"/>
  <c r="U50" i="30"/>
  <c r="U52" i="30"/>
  <c r="I54" i="30"/>
  <c r="R54" i="30"/>
  <c r="T64" i="30"/>
  <c r="Z100" i="29"/>
  <c r="Y57" i="29"/>
  <c r="J57" i="29"/>
  <c r="Z63" i="29"/>
  <c r="Z127" i="29"/>
  <c r="X77" i="29"/>
  <c r="AC44" i="30"/>
  <c r="S105" i="29"/>
  <c r="AA53" i="29"/>
  <c r="I60" i="29"/>
  <c r="U60" i="29"/>
  <c r="AA126" i="29"/>
  <c r="AB78" i="29"/>
  <c r="AB90" i="29"/>
  <c r="T82" i="29"/>
  <c r="R82" i="29"/>
  <c r="Q82" i="29"/>
  <c r="X82" i="29"/>
  <c r="Y82" i="29"/>
  <c r="W82" i="29"/>
  <c r="J82" i="29"/>
  <c r="O82" i="29"/>
  <c r="M82" i="29"/>
  <c r="V82" i="29"/>
  <c r="S82" i="29"/>
  <c r="N82" i="29"/>
  <c r="P82" i="29"/>
  <c r="J51" i="29"/>
  <c r="W68" i="29"/>
  <c r="I70" i="29"/>
  <c r="S70" i="29"/>
  <c r="M70" i="29"/>
  <c r="P70" i="29"/>
  <c r="U70" i="29"/>
  <c r="R70" i="29"/>
  <c r="T70" i="29"/>
  <c r="N70" i="29"/>
  <c r="O70" i="29"/>
  <c r="Q70" i="29"/>
  <c r="I35" i="30"/>
  <c r="R35" i="30"/>
  <c r="O99" i="29"/>
  <c r="V62" i="29"/>
  <c r="V72" i="29"/>
  <c r="Q67" i="30"/>
  <c r="BX95" i="29"/>
  <c r="AB97" i="29"/>
  <c r="AR95" i="29"/>
  <c r="AP95" i="29"/>
  <c r="T101" i="29"/>
  <c r="V33" i="30"/>
  <c r="J33" i="30"/>
  <c r="S107" i="29"/>
  <c r="AB67" i="30"/>
  <c r="I67" i="30"/>
  <c r="R67" i="30"/>
  <c r="BU95" i="29"/>
  <c r="AA97" i="29"/>
  <c r="BE95" i="29"/>
  <c r="AO95" i="29"/>
  <c r="AA47" i="29"/>
  <c r="S101" i="29"/>
  <c r="W50" i="29"/>
  <c r="O49" i="29"/>
  <c r="W56" i="29"/>
  <c r="J110" i="29"/>
  <c r="Y110" i="29"/>
  <c r="I118" i="29"/>
  <c r="U118" i="29"/>
  <c r="V122" i="29"/>
  <c r="Z37" i="30"/>
  <c r="K37" i="30"/>
  <c r="AB65" i="30"/>
  <c r="T65" i="30"/>
  <c r="AA98" i="29"/>
  <c r="P103" i="29"/>
  <c r="V58" i="29"/>
  <c r="AB79" i="29"/>
  <c r="J19" i="3"/>
  <c r="K19" i="3" s="1"/>
  <c r="L19" i="3" s="1"/>
  <c r="N19" i="3"/>
  <c r="O19" i="3" s="1"/>
  <c r="Y39" i="30"/>
  <c r="Y41" i="30"/>
  <c r="Y43" i="30"/>
  <c r="Y45" i="30"/>
  <c r="I45" i="30"/>
  <c r="R45" i="30"/>
  <c r="Y47" i="30"/>
  <c r="Y49" i="30"/>
  <c r="P49" i="30"/>
  <c r="Y51" i="30"/>
  <c r="T51" i="30"/>
  <c r="Y53" i="30"/>
  <c r="P53" i="30"/>
  <c r="Y55" i="30"/>
  <c r="Y57" i="30"/>
  <c r="I57" i="30"/>
  <c r="R57" i="30"/>
  <c r="Y59" i="30"/>
  <c r="O59" i="30"/>
  <c r="Y61" i="30"/>
  <c r="Y63" i="30"/>
  <c r="P63" i="30"/>
  <c r="X52" i="29"/>
  <c r="V111" i="29"/>
  <c r="AB119" i="29"/>
  <c r="O34" i="30"/>
  <c r="W65" i="29"/>
  <c r="V67" i="29"/>
  <c r="AH81" i="28"/>
  <c r="N48" i="29"/>
  <c r="X104" i="29"/>
  <c r="V61" i="29"/>
  <c r="AA128" i="29"/>
  <c r="Y46" i="29"/>
  <c r="J46" i="29"/>
  <c r="AY44" i="29"/>
  <c r="AI44" i="29"/>
  <c r="V112" i="29"/>
  <c r="I69" i="29"/>
  <c r="U69" i="29"/>
  <c r="X74" i="29"/>
  <c r="AG30" i="28"/>
  <c r="AG132" i="28" s="1"/>
  <c r="AG137" i="28" s="1"/>
  <c r="Y55" i="29"/>
  <c r="J55" i="29"/>
  <c r="V59" i="29"/>
  <c r="W124" i="29"/>
  <c r="O36" i="30"/>
  <c r="Z133" i="29"/>
  <c r="P66" i="30"/>
  <c r="R106" i="29"/>
  <c r="K38" i="30"/>
  <c r="Z38" i="30"/>
  <c r="Z40" i="30"/>
  <c r="K40" i="30"/>
  <c r="K42" i="30"/>
  <c r="Z42" i="30"/>
  <c r="H42" i="30"/>
  <c r="N42" i="30"/>
  <c r="Z46" i="30"/>
  <c r="K46" i="30"/>
  <c r="Z48" i="30"/>
  <c r="K48" i="30"/>
  <c r="P48" i="30"/>
  <c r="Z50" i="30"/>
  <c r="K50" i="30"/>
  <c r="O50" i="30"/>
  <c r="Z52" i="30"/>
  <c r="K52" i="30"/>
  <c r="K54" i="30"/>
  <c r="Z54" i="30"/>
  <c r="Z56" i="30"/>
  <c r="K56" i="30"/>
  <c r="J56" i="30"/>
  <c r="V56" i="30"/>
  <c r="K58" i="30"/>
  <c r="Z58" i="30"/>
  <c r="U58" i="30"/>
  <c r="K60" i="30"/>
  <c r="Z60" i="30"/>
  <c r="Z62" i="30"/>
  <c r="K62" i="30"/>
  <c r="K64" i="30"/>
  <c r="Z64" i="30"/>
  <c r="J64" i="30"/>
  <c r="V64" i="30"/>
  <c r="O100" i="29"/>
  <c r="I115" i="29"/>
  <c r="U115" i="29"/>
  <c r="I127" i="29"/>
  <c r="V127" i="29"/>
  <c r="O127" i="29"/>
  <c r="S127" i="29"/>
  <c r="R127" i="29"/>
  <c r="N127" i="29"/>
  <c r="W127" i="29"/>
  <c r="M127" i="29"/>
  <c r="Q127" i="29"/>
  <c r="U127" i="29"/>
  <c r="T127" i="29"/>
  <c r="P127" i="29"/>
  <c r="R44" i="30"/>
  <c r="I44" i="30"/>
  <c r="X105" i="29"/>
  <c r="P53" i="29"/>
  <c r="S108" i="29"/>
  <c r="AA90" i="29"/>
  <c r="R90" i="29"/>
  <c r="Q90" i="29"/>
  <c r="S90" i="29"/>
  <c r="W90" i="29"/>
  <c r="T90" i="29"/>
  <c r="Y90" i="29"/>
  <c r="Z90" i="29"/>
  <c r="P90" i="29"/>
  <c r="N90" i="29"/>
  <c r="X90" i="29"/>
  <c r="J90" i="29"/>
  <c r="V90" i="29"/>
  <c r="U90" i="29"/>
  <c r="M90" i="29"/>
  <c r="O90" i="29"/>
  <c r="S102" i="29"/>
  <c r="W114" i="29"/>
  <c r="Z70" i="29"/>
  <c r="R73" i="29"/>
  <c r="J130" i="29"/>
  <c r="Y130" i="29"/>
  <c r="T99" i="29"/>
  <c r="AA62" i="29"/>
  <c r="V123" i="29"/>
  <c r="AW41" i="13"/>
  <c r="CA14" i="12" a="1"/>
  <c r="CA14" i="12" s="1"/>
  <c r="CB14" i="12" s="1" a="1"/>
  <c r="CB14" i="12" s="1"/>
  <c r="AZ41" i="13" s="1"/>
  <c r="BW86" i="20"/>
  <c r="AT131" i="13" s="1"/>
  <c r="BW85" i="20"/>
  <c r="AT130" i="13" s="1"/>
  <c r="BV82" i="20"/>
  <c r="BZ103" i="12"/>
  <c r="AW102" i="13"/>
  <c r="BQ105" i="17"/>
  <c r="BP107" i="17"/>
  <c r="BP109" i="17" s="1"/>
  <c r="BP103" i="17" s="1"/>
  <c r="BX91" i="20"/>
  <c r="AU135" i="13" s="1"/>
  <c r="AQ77" i="17" a="1"/>
  <c r="AQ77" i="17" s="1"/>
  <c r="BG77" i="17" a="1"/>
  <c r="BG77" i="17" s="1"/>
  <c r="AN77" i="17" a="1"/>
  <c r="AN77" i="17" s="1"/>
  <c r="P77" i="17" s="1"/>
  <c r="BE77" i="17" a="1"/>
  <c r="BE77" i="17" s="1"/>
  <c r="BF77" i="17" a="1"/>
  <c r="BF77" i="17" s="1"/>
  <c r="V77" i="17" s="1"/>
  <c r="BD77" i="17" a="1"/>
  <c r="BD77" i="17" s="1"/>
  <c r="AZ77" i="17" a="1"/>
  <c r="AZ77" i="17" s="1"/>
  <c r="T77" i="17" s="1"/>
  <c r="AU77" i="17" a="1"/>
  <c r="AU77" i="17" s="1"/>
  <c r="AM77" i="17" a="1"/>
  <c r="AM77" i="17" s="1"/>
  <c r="AX77" i="17" a="1"/>
  <c r="AX77" i="17" s="1"/>
  <c r="AJ77" i="17" a="1"/>
  <c r="AJ77" i="17" s="1"/>
  <c r="AV77" i="17" a="1"/>
  <c r="AV77" i="17" s="1"/>
  <c r="AI77" i="17" a="1"/>
  <c r="AI77" i="17" s="1"/>
  <c r="AT77" i="17" a="1"/>
  <c r="AT77" i="17" s="1"/>
  <c r="R77" i="17" s="1"/>
  <c r="AF77" i="17" a="1"/>
  <c r="AF77" i="17" s="1"/>
  <c r="AR77" i="17" a="1"/>
  <c r="AR77" i="17" s="1"/>
  <c r="BK77" i="17" a="1"/>
  <c r="BK77" i="17" s="1"/>
  <c r="AO77" i="17" a="1"/>
  <c r="AO77" i="17" s="1"/>
  <c r="BN77" i="17" a="1"/>
  <c r="BN77" i="17" s="1"/>
  <c r="AY77" i="17" a="1"/>
  <c r="AY77" i="17" s="1"/>
  <c r="AL77" i="17" a="1"/>
  <c r="AL77" i="17" s="1"/>
  <c r="BL77" i="17" a="1"/>
  <c r="BL77" i="17" s="1"/>
  <c r="X77" i="17" s="1"/>
  <c r="AP77" i="17" a="1"/>
  <c r="AP77" i="17" s="1"/>
  <c r="AK77" i="17" a="1"/>
  <c r="AK77" i="17" s="1"/>
  <c r="O77" i="17" s="1"/>
  <c r="BI77" i="17" a="1"/>
  <c r="BI77" i="17" s="1"/>
  <c r="W77" i="17" s="1"/>
  <c r="AH77" i="17" a="1"/>
  <c r="AH77" i="17" s="1"/>
  <c r="N77" i="17" s="1"/>
  <c r="AG77" i="17" a="1"/>
  <c r="AG77" i="17" s="1"/>
  <c r="BH77" i="17" a="1"/>
  <c r="BH77" i="17" s="1"/>
  <c r="BC77" i="17" a="1"/>
  <c r="BC77" i="17" s="1"/>
  <c r="BA77" i="17" a="1"/>
  <c r="BA77" i="17" s="1"/>
  <c r="BB77" i="17" a="1"/>
  <c r="BB77" i="17" s="1"/>
  <c r="AW77" i="17" a="1"/>
  <c r="AW77" i="17" s="1"/>
  <c r="S77" i="17" s="1"/>
  <c r="BM77" i="17" a="1"/>
  <c r="BM77" i="17" s="1"/>
  <c r="AS77" i="17" a="1"/>
  <c r="AS77" i="17" s="1"/>
  <c r="BJ77" i="17" a="1"/>
  <c r="BJ77" i="17" s="1"/>
  <c r="BO77" i="17" a="1"/>
  <c r="BO77" i="17" s="1"/>
  <c r="BX107" i="20"/>
  <c r="AU60" i="13" s="1"/>
  <c r="BW109" i="20" a="1"/>
  <c r="BW109" i="20" s="1"/>
  <c r="BW110" i="20"/>
  <c r="BW111" i="20" a="1"/>
  <c r="BW111" i="20" s="1"/>
  <c r="BX90" i="20"/>
  <c r="AU134" i="13" s="1"/>
  <c r="BX108" i="20"/>
  <c r="BZ13" i="12" a="1"/>
  <c r="BZ13" i="12" s="1"/>
  <c r="BL42" i="17"/>
  <c r="BX83" i="20"/>
  <c r="BX76" i="20"/>
  <c r="AU122" i="13" s="1"/>
  <c r="BX77" i="20"/>
  <c r="AU123" i="13" s="1"/>
  <c r="BV106" i="20"/>
  <c r="BU26" i="12"/>
  <c r="BU54" i="12" s="1"/>
  <c r="BZ52" i="20"/>
  <c r="BT114" i="20"/>
  <c r="BN66" i="22"/>
  <c r="BN43" i="22"/>
  <c r="BN67" i="22"/>
  <c r="BN68" i="22"/>
  <c r="BN64" i="22"/>
  <c r="BN63" i="22"/>
  <c r="BN62" i="22"/>
  <c r="BN61" i="22"/>
  <c r="BN60" i="22"/>
  <c r="BN58" i="22"/>
  <c r="BN59" i="22"/>
  <c r="BN57" i="22"/>
  <c r="BN38" i="22"/>
  <c r="BN56" i="22"/>
  <c r="BN55" i="22"/>
  <c r="BN54" i="22"/>
  <c r="BN53" i="22"/>
  <c r="BN52" i="22"/>
  <c r="BN51" i="22"/>
  <c r="BN50" i="22"/>
  <c r="BN49" i="22"/>
  <c r="BN48" i="22"/>
  <c r="BN35" i="22"/>
  <c r="BN47" i="22"/>
  <c r="BN46" i="22"/>
  <c r="BN45" i="22"/>
  <c r="BN44" i="22"/>
  <c r="BN40" i="22"/>
  <c r="BN42" i="22"/>
  <c r="BN41" i="22"/>
  <c r="BN39" i="22"/>
  <c r="BN37" i="22"/>
  <c r="BN36" i="22"/>
  <c r="BN65" i="22"/>
  <c r="BN100" i="22"/>
  <c r="BN94" i="22"/>
  <c r="BN101" i="22"/>
  <c r="BN96" i="22"/>
  <c r="BN93" i="22"/>
  <c r="BN87" i="22"/>
  <c r="BN88" i="22"/>
  <c r="BN91" i="22"/>
  <c r="BN118" i="22"/>
  <c r="BN119" i="22"/>
  <c r="BN98" i="22"/>
  <c r="BN116" i="22"/>
  <c r="BN115" i="22"/>
  <c r="BN114" i="22"/>
  <c r="BN113" i="22"/>
  <c r="BN112" i="22"/>
  <c r="BN111" i="22"/>
  <c r="BN110" i="22"/>
  <c r="BN109" i="22"/>
  <c r="BN108" i="22"/>
  <c r="BN107" i="22"/>
  <c r="BN106" i="22"/>
  <c r="BN105" i="22"/>
  <c r="BN104" i="22"/>
  <c r="BN103" i="22"/>
  <c r="BN102" i="22"/>
  <c r="BN95" i="22"/>
  <c r="BN92" i="22"/>
  <c r="BN89" i="22"/>
  <c r="BN86" i="22"/>
  <c r="BN97" i="22"/>
  <c r="BN117" i="22"/>
  <c r="BN90" i="22"/>
  <c r="BN99" i="22"/>
  <c r="BN120" i="22"/>
  <c r="BI63" i="16"/>
  <c r="BN63" i="16"/>
  <c r="BP5" i="22"/>
  <c r="BO8" i="22"/>
  <c r="BO25" i="22" s="1"/>
  <c r="BO7" i="22"/>
  <c r="BO4" i="22"/>
  <c r="BO6" i="22"/>
  <c r="BO3" i="22"/>
  <c r="BN71" i="22"/>
  <c r="BM71" i="22"/>
  <c r="BL71" i="22"/>
  <c r="BK71" i="22"/>
  <c r="BJ71" i="22"/>
  <c r="BI71" i="22"/>
  <c r="BH71" i="22"/>
  <c r="BG71" i="22"/>
  <c r="BF71" i="22"/>
  <c r="BE71" i="22"/>
  <c r="BD71" i="22"/>
  <c r="BC71" i="22"/>
  <c r="BB71" i="22"/>
  <c r="BA71" i="22"/>
  <c r="AZ71" i="22"/>
  <c r="AY71" i="22"/>
  <c r="AX71" i="22"/>
  <c r="AW71" i="22"/>
  <c r="AV71" i="22"/>
  <c r="AU71" i="22"/>
  <c r="AT71" i="22"/>
  <c r="AS71" i="22"/>
  <c r="AR71" i="22"/>
  <c r="AQ71" i="22"/>
  <c r="AP71" i="22"/>
  <c r="AO71" i="22"/>
  <c r="AN71" i="22"/>
  <c r="AM71" i="22"/>
  <c r="AL71" i="22"/>
  <c r="AK71" i="22"/>
  <c r="AJ71" i="22"/>
  <c r="AI71" i="22"/>
  <c r="AH71" i="22"/>
  <c r="AE71" i="22"/>
  <c r="AG71" i="22"/>
  <c r="AF71" i="22"/>
  <c r="D72" i="22"/>
  <c r="E72" i="22" s="1" a="1"/>
  <c r="E72" i="22" s="1"/>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D123" i="22"/>
  <c r="BS114" i="20"/>
  <c r="BW96" i="20"/>
  <c r="BW60" i="20"/>
  <c r="BU89" i="20"/>
  <c r="CA54" i="20"/>
  <c r="BX65" i="20"/>
  <c r="AU113" i="13" s="1"/>
  <c r="BX64" i="20"/>
  <c r="AU112" i="13" s="1"/>
  <c r="BX63" i="20"/>
  <c r="AU111" i="13" s="1"/>
  <c r="BX62" i="20"/>
  <c r="BU75" i="20"/>
  <c r="BX99" i="20"/>
  <c r="AU142" i="13" s="1"/>
  <c r="BX100" i="20"/>
  <c r="AU143" i="13" s="1"/>
  <c r="BX101" i="20"/>
  <c r="AU144" i="13" s="1"/>
  <c r="BV93" i="20"/>
  <c r="AS137" i="13" s="1"/>
  <c r="BV94" i="20"/>
  <c r="AS138" i="13" s="1"/>
  <c r="BV92" i="20"/>
  <c r="AS136" i="13" s="1"/>
  <c r="BV80" i="20"/>
  <c r="AS126" i="13" s="1"/>
  <c r="BV79" i="20"/>
  <c r="AS125" i="13" s="1"/>
  <c r="BV78" i="20"/>
  <c r="AS124" i="13" s="1"/>
  <c r="CA57" i="20"/>
  <c r="CA97" i="20" s="1"/>
  <c r="AX140" i="13" s="1"/>
  <c r="CA56" i="20"/>
  <c r="CA55" i="20"/>
  <c r="BV68" i="20"/>
  <c r="BZ7" i="20"/>
  <c r="BZ6" i="20"/>
  <c r="BZ3" i="20"/>
  <c r="CA5" i="20"/>
  <c r="BZ8" i="20"/>
  <c r="BZ112" i="20" s="1"/>
  <c r="BZ4" i="20"/>
  <c r="BY32" i="20"/>
  <c r="BY21" i="20"/>
  <c r="BY31" i="20"/>
  <c r="BY13" i="20"/>
  <c r="BY24" i="20"/>
  <c r="BY26" i="20"/>
  <c r="BY28" i="20"/>
  <c r="BY15" i="20"/>
  <c r="BY29" i="20"/>
  <c r="BY25" i="20"/>
  <c r="BY19" i="20"/>
  <c r="BY35" i="20"/>
  <c r="BY12" i="20"/>
  <c r="BY30" i="20"/>
  <c r="BY22" i="20"/>
  <c r="BY34" i="20"/>
  <c r="BY27" i="20"/>
  <c r="BY18" i="20"/>
  <c r="BY11" i="20"/>
  <c r="BY16" i="20"/>
  <c r="BY20" i="20"/>
  <c r="BY17" i="20"/>
  <c r="BY33" i="20"/>
  <c r="BY23" i="20"/>
  <c r="BY14" i="20"/>
  <c r="BX61" i="20"/>
  <c r="AU109" i="13" s="1"/>
  <c r="BX69" i="20"/>
  <c r="AU116" i="13" s="1"/>
  <c r="BX10" i="20"/>
  <c r="BX70" i="20"/>
  <c r="AU117" i="13" s="1"/>
  <c r="BW72" i="20"/>
  <c r="AT119" i="13" s="1"/>
  <c r="BW73" i="20"/>
  <c r="AT120" i="13" s="1"/>
  <c r="BW71" i="20"/>
  <c r="AT118" i="13" s="1"/>
  <c r="BV26" i="12"/>
  <c r="BV54" i="12" s="1"/>
  <c r="BW115" i="20"/>
  <c r="BN111" i="16"/>
  <c r="BM111" i="16"/>
  <c r="CB53" i="20"/>
  <c r="BO173" i="17"/>
  <c r="BN173" i="17"/>
  <c r="BM173" i="17"/>
  <c r="BL173" i="17"/>
  <c r="BK173" i="17"/>
  <c r="BJ173" i="17"/>
  <c r="BI173" i="17"/>
  <c r="BH173" i="17"/>
  <c r="BG173" i="17"/>
  <c r="BF173" i="17"/>
  <c r="BE173" i="17"/>
  <c r="BD173" i="17"/>
  <c r="BC173" i="17"/>
  <c r="BB173" i="17"/>
  <c r="BA173" i="17"/>
  <c r="AZ173" i="17"/>
  <c r="AY173" i="17"/>
  <c r="AX173" i="17"/>
  <c r="AW173" i="17"/>
  <c r="AV173" i="17"/>
  <c r="AU173" i="17"/>
  <c r="AT173" i="17"/>
  <c r="AS173" i="17"/>
  <c r="AR173" i="17"/>
  <c r="AQ173" i="17"/>
  <c r="AP173" i="17"/>
  <c r="AO173" i="17"/>
  <c r="AN173" i="17"/>
  <c r="AM173" i="17"/>
  <c r="AL173" i="17"/>
  <c r="AK173" i="17"/>
  <c r="AJ173" i="17"/>
  <c r="AI173" i="17"/>
  <c r="AH173" i="17"/>
  <c r="AG173" i="17"/>
  <c r="AF173" i="17"/>
  <c r="D174" i="17"/>
  <c r="BP173" i="17"/>
  <c r="BM111" i="15"/>
  <c r="BN111" i="15"/>
  <c r="D83" i="17"/>
  <c r="BS5" i="17"/>
  <c r="BR8" i="17"/>
  <c r="BR6" i="17"/>
  <c r="BR4" i="17"/>
  <c r="BR7" i="17"/>
  <c r="BR3" i="17"/>
  <c r="BQ77" i="17" a="1"/>
  <c r="BQ77" i="17" s="1"/>
  <c r="BQ76" i="17" a="1"/>
  <c r="BQ76" i="17" s="1"/>
  <c r="BQ75" i="17" a="1"/>
  <c r="BQ75" i="17" s="1"/>
  <c r="BQ74" i="17" a="1"/>
  <c r="BQ74" i="17" s="1"/>
  <c r="BQ73" i="17" a="1"/>
  <c r="BQ73" i="17" s="1"/>
  <c r="BQ72" i="17" a="1"/>
  <c r="BQ72" i="17" s="1"/>
  <c r="BQ71" i="17" a="1"/>
  <c r="BQ71" i="17" s="1"/>
  <c r="BQ70" i="17" a="1"/>
  <c r="BQ70" i="17" s="1"/>
  <c r="BQ161" i="17"/>
  <c r="BQ69" i="17" a="1"/>
  <c r="BQ69" i="17" s="1"/>
  <c r="BQ160" i="17"/>
  <c r="BQ68" i="17" a="1"/>
  <c r="BQ68" i="17" s="1"/>
  <c r="BQ139" i="17"/>
  <c r="BQ141" i="17"/>
  <c r="BQ52" i="17" a="1"/>
  <c r="BQ52" i="17" s="1"/>
  <c r="BQ59" i="17" a="1"/>
  <c r="BQ59" i="17" s="1"/>
  <c r="BQ138" i="17"/>
  <c r="BQ46" i="17" a="1"/>
  <c r="BQ46" i="17" s="1"/>
  <c r="BQ47" i="17" a="1"/>
  <c r="BQ47" i="17" s="1"/>
  <c r="BQ142" i="17"/>
  <c r="BQ51" i="17" a="1"/>
  <c r="BQ51" i="17" s="1"/>
  <c r="BQ144" i="17"/>
  <c r="BQ53" i="17" a="1"/>
  <c r="BQ53" i="17" s="1"/>
  <c r="BQ54" i="17" a="1"/>
  <c r="BQ54" i="17" s="1"/>
  <c r="BQ146" i="17"/>
  <c r="BQ149" i="17"/>
  <c r="BQ150" i="17"/>
  <c r="BQ152" i="17"/>
  <c r="BQ153" i="17"/>
  <c r="BQ154" i="17"/>
  <c r="BQ64" i="17" a="1"/>
  <c r="BQ64" i="17" s="1"/>
  <c r="BQ156" i="17"/>
  <c r="BQ157" i="17"/>
  <c r="BQ66" i="17" a="1"/>
  <c r="BQ66" i="17" s="1"/>
  <c r="BQ136" i="17"/>
  <c r="BQ45" i="17" a="1"/>
  <c r="BQ45" i="17" s="1"/>
  <c r="BQ49" i="17" a="1"/>
  <c r="BQ49" i="17" s="1"/>
  <c r="BQ143" i="17"/>
  <c r="BQ145" i="17"/>
  <c r="BQ147" i="17"/>
  <c r="BQ55" i="17" a="1"/>
  <c r="BQ55" i="17" s="1"/>
  <c r="BQ148" i="17"/>
  <c r="BQ56" i="17" a="1"/>
  <c r="BQ56" i="17" s="1"/>
  <c r="BQ57" i="17" a="1"/>
  <c r="BQ57" i="17" s="1"/>
  <c r="BQ58" i="17" a="1"/>
  <c r="BQ58" i="17" s="1"/>
  <c r="BQ151" i="17"/>
  <c r="BQ60" i="17" a="1"/>
  <c r="BQ60" i="17" s="1"/>
  <c r="BQ61" i="17" a="1"/>
  <c r="BQ61" i="17" s="1"/>
  <c r="BQ62" i="17" a="1"/>
  <c r="BQ62" i="17" s="1"/>
  <c r="BQ63" i="17" a="1"/>
  <c r="BQ63" i="17" s="1"/>
  <c r="BQ155" i="17"/>
  <c r="BQ65" i="17" a="1"/>
  <c r="BQ65" i="17" s="1"/>
  <c r="BQ137" i="17"/>
  <c r="BQ48" i="17" a="1"/>
  <c r="BQ48" i="17" s="1"/>
  <c r="BQ140" i="17"/>
  <c r="BQ50" i="17" a="1"/>
  <c r="BQ50" i="17" s="1"/>
  <c r="BQ159" i="17"/>
  <c r="BQ67" i="17" a="1"/>
  <c r="BQ67" i="17" s="1"/>
  <c r="BQ158" i="17"/>
  <c r="AT113" i="16"/>
  <c r="AS113" i="16"/>
  <c r="AR113" i="16"/>
  <c r="AQ113" i="16"/>
  <c r="AP113" i="16"/>
  <c r="AO113" i="16"/>
  <c r="AN113" i="16"/>
  <c r="AM113" i="16"/>
  <c r="AL113" i="16"/>
  <c r="AK113" i="16"/>
  <c r="AJ113" i="16"/>
  <c r="AI113" i="16"/>
  <c r="AH113" i="16"/>
  <c r="AG113" i="16"/>
  <c r="AF113" i="16"/>
  <c r="BQ16" i="16"/>
  <c r="E62" i="16" a="1"/>
  <c r="E62" i="16" s="1"/>
  <c r="BN113" i="16"/>
  <c r="BM113" i="16"/>
  <c r="BH113" i="16"/>
  <c r="BG113" i="16"/>
  <c r="BF113" i="16"/>
  <c r="BE113" i="16"/>
  <c r="BD113" i="16"/>
  <c r="BC113" i="16"/>
  <c r="BB113" i="16"/>
  <c r="BA113" i="16"/>
  <c r="AZ113" i="16"/>
  <c r="AY113" i="16"/>
  <c r="AX113" i="16"/>
  <c r="AW113" i="16"/>
  <c r="AV113" i="16"/>
  <c r="AU113" i="16"/>
  <c r="BL113" i="16"/>
  <c r="BK113" i="16"/>
  <c r="BJ113" i="16"/>
  <c r="BI113" i="16"/>
  <c r="E112" i="16" a="1"/>
  <c r="E112" i="16" s="1"/>
  <c r="BZ20" i="16"/>
  <c r="BL63" i="16"/>
  <c r="BO111" i="16"/>
  <c r="BM63" i="16"/>
  <c r="BJ63" i="16"/>
  <c r="BO103" i="16"/>
  <c r="BO104" i="16"/>
  <c r="BO105" i="16"/>
  <c r="BO106" i="16"/>
  <c r="BO107" i="16"/>
  <c r="BO110" i="16"/>
  <c r="BO51" i="16"/>
  <c r="BO85" i="16"/>
  <c r="BO49" i="16"/>
  <c r="BO52" i="16"/>
  <c r="BO86" i="16"/>
  <c r="BO82" i="16"/>
  <c r="BO79" i="16"/>
  <c r="BO29" i="16"/>
  <c r="BO40" i="16"/>
  <c r="BO30" i="16"/>
  <c r="BO31" i="16"/>
  <c r="BO42" i="16"/>
  <c r="BO81" i="16"/>
  <c r="BO47" i="16"/>
  <c r="BO34" i="16"/>
  <c r="BO35" i="16"/>
  <c r="BO43" i="16"/>
  <c r="BO28" i="16"/>
  <c r="BO50" i="16"/>
  <c r="BO45" i="16"/>
  <c r="BO33" i="16"/>
  <c r="BO44" i="16"/>
  <c r="BO37" i="16"/>
  <c r="BO84" i="16"/>
  <c r="BO83" i="16"/>
  <c r="BO48" i="16"/>
  <c r="BO38" i="16"/>
  <c r="BO78" i="16"/>
  <c r="BO80" i="16"/>
  <c r="BO41" i="16"/>
  <c r="BO46" i="16"/>
  <c r="BO39" i="16"/>
  <c r="BO32" i="16"/>
  <c r="BO36" i="16"/>
  <c r="BO53" i="16"/>
  <c r="BO87" i="16"/>
  <c r="BO54" i="16"/>
  <c r="BO88" i="16"/>
  <c r="BO55" i="16"/>
  <c r="BO89" i="16"/>
  <c r="BO56" i="16"/>
  <c r="BO90" i="16"/>
  <c r="BO57" i="16"/>
  <c r="BO91" i="16"/>
  <c r="BO58" i="16"/>
  <c r="BO92" i="16"/>
  <c r="BO59" i="16"/>
  <c r="BO93" i="16"/>
  <c r="BO60" i="16"/>
  <c r="BO94" i="16"/>
  <c r="BO95" i="16"/>
  <c r="BO96" i="16"/>
  <c r="BO97" i="16"/>
  <c r="BO98" i="16"/>
  <c r="BO99" i="16"/>
  <c r="BO100" i="16"/>
  <c r="BO101" i="16"/>
  <c r="BO102" i="16"/>
  <c r="BO108" i="16"/>
  <c r="BO109" i="16"/>
  <c r="BP4" i="16"/>
  <c r="BP8" i="16"/>
  <c r="BP3" i="16"/>
  <c r="BQ5" i="16"/>
  <c r="BP7" i="16"/>
  <c r="BP6" i="16"/>
  <c r="BO11" i="16"/>
  <c r="BO15" i="16"/>
  <c r="BO14" i="16" s="1"/>
  <c r="BR16" i="16" s="1"/>
  <c r="BO19" i="16"/>
  <c r="BO18" i="16" s="1"/>
  <c r="BZ20" i="15"/>
  <c r="E112" i="15" a="1"/>
  <c r="E112" i="15" s="1"/>
  <c r="AO113" i="15"/>
  <c r="AH113" i="15"/>
  <c r="AL113" i="15"/>
  <c r="AP113" i="15"/>
  <c r="AI113" i="15"/>
  <c r="AR113" i="15"/>
  <c r="AF113" i="15"/>
  <c r="AG113" i="15"/>
  <c r="AJ113" i="15"/>
  <c r="AK113" i="15"/>
  <c r="AN113" i="15"/>
  <c r="AQ113" i="15"/>
  <c r="AM113" i="15"/>
  <c r="E62" i="15" a="1"/>
  <c r="E62" i="15" s="1"/>
  <c r="BQ16" i="15"/>
  <c r="AT63" i="15"/>
  <c r="BC63" i="15"/>
  <c r="AU63" i="15"/>
  <c r="AL63" i="15"/>
  <c r="AW63" i="15"/>
  <c r="BF63" i="15"/>
  <c r="BI63" i="15"/>
  <c r="AP63" i="15"/>
  <c r="BB63" i="15"/>
  <c r="AH63" i="15"/>
  <c r="BG63" i="15"/>
  <c r="AY63" i="15"/>
  <c r="AO63" i="15"/>
  <c r="BM63" i="15"/>
  <c r="BE63" i="15"/>
  <c r="AQ63" i="15"/>
  <c r="AX63" i="15"/>
  <c r="AF63" i="15"/>
  <c r="AR63" i="15"/>
  <c r="AN63" i="15"/>
  <c r="BO111" i="15"/>
  <c r="BL63" i="15"/>
  <c r="AI63" i="15"/>
  <c r="AV63" i="15"/>
  <c r="AS63" i="15"/>
  <c r="AJ63" i="15"/>
  <c r="AK63" i="15"/>
  <c r="AZ63" i="15"/>
  <c r="BD63" i="15"/>
  <c r="AM63" i="15"/>
  <c r="BJ63" i="15"/>
  <c r="BK63" i="15"/>
  <c r="AG63" i="15"/>
  <c r="BH63" i="15"/>
  <c r="BA63" i="15"/>
  <c r="BO110" i="15"/>
  <c r="BO109" i="15"/>
  <c r="BO108" i="15"/>
  <c r="BO107" i="15"/>
  <c r="BO106" i="15"/>
  <c r="BO105" i="15"/>
  <c r="BO104" i="15"/>
  <c r="BO60" i="15"/>
  <c r="BO103" i="15"/>
  <c r="BO59" i="15"/>
  <c r="BO102" i="15"/>
  <c r="BO58" i="15"/>
  <c r="BO57" i="15"/>
  <c r="BO101" i="15"/>
  <c r="BO56" i="15"/>
  <c r="BO100" i="15"/>
  <c r="BO55" i="15"/>
  <c r="BO54" i="15"/>
  <c r="BO99" i="15"/>
  <c r="BO98" i="15"/>
  <c r="BO53" i="15"/>
  <c r="BO97" i="15"/>
  <c r="BO52" i="15"/>
  <c r="BO96" i="15"/>
  <c r="BO51" i="15"/>
  <c r="BO95" i="15"/>
  <c r="BO50" i="15"/>
  <c r="BO94" i="15"/>
  <c r="BO49" i="15"/>
  <c r="BO93" i="15"/>
  <c r="BO48" i="15"/>
  <c r="BO92" i="15"/>
  <c r="BO47" i="15"/>
  <c r="BO91" i="15"/>
  <c r="BO46" i="15"/>
  <c r="BO90" i="15"/>
  <c r="BO45" i="15"/>
  <c r="BO89" i="15"/>
  <c r="BO44" i="15"/>
  <c r="BO88" i="15"/>
  <c r="BO43" i="15"/>
  <c r="BO87" i="15"/>
  <c r="BO42" i="15"/>
  <c r="BO86" i="15"/>
  <c r="BO41" i="15"/>
  <c r="BO85" i="15"/>
  <c r="BO40" i="15"/>
  <c r="BO84" i="15"/>
  <c r="BO39" i="15"/>
  <c r="BO83" i="15"/>
  <c r="BO38" i="15"/>
  <c r="BO37" i="15"/>
  <c r="BO82" i="15"/>
  <c r="BO81" i="15"/>
  <c r="BO36" i="15"/>
  <c r="BO80" i="15"/>
  <c r="BO35" i="15"/>
  <c r="BO79" i="15"/>
  <c r="BO34" i="15"/>
  <c r="BO29" i="15"/>
  <c r="BO30" i="15"/>
  <c r="BO31" i="15"/>
  <c r="BO32" i="15"/>
  <c r="BO78" i="15"/>
  <c r="BO19" i="15" a="1"/>
  <c r="BO19" i="15" s="1"/>
  <c r="BO18" i="15" s="1"/>
  <c r="BO28" i="15"/>
  <c r="BO11" i="15" a="1"/>
  <c r="BO11" i="15" s="1"/>
  <c r="BO33" i="15"/>
  <c r="BO15" i="15" a="1"/>
  <c r="BO15" i="15" s="1"/>
  <c r="BO14" i="15" s="1"/>
  <c r="BP7" i="15"/>
  <c r="BP8" i="15"/>
  <c r="BL64" i="15" s="1"/>
  <c r="BP4" i="15"/>
  <c r="BP3" i="15"/>
  <c r="BP6" i="15"/>
  <c r="BQ5" i="15"/>
  <c r="BN63" i="15"/>
  <c r="AS113" i="15"/>
  <c r="AT113" i="15"/>
  <c r="AU113" i="15"/>
  <c r="AV113" i="15"/>
  <c r="AW113" i="15"/>
  <c r="AX113" i="15"/>
  <c r="AY113" i="15"/>
  <c r="AZ113" i="15"/>
  <c r="BA113" i="15"/>
  <c r="BB113" i="15"/>
  <c r="BC113" i="15"/>
  <c r="BD113" i="15"/>
  <c r="BE113" i="15"/>
  <c r="BF113" i="15"/>
  <c r="BG113" i="15"/>
  <c r="BH113" i="15"/>
  <c r="BI113" i="15"/>
  <c r="BJ113" i="15"/>
  <c r="BK113" i="15"/>
  <c r="BL113" i="15"/>
  <c r="BM113" i="15"/>
  <c r="BN113" i="15"/>
  <c r="BD82" i="14"/>
  <c r="AJ82" i="14"/>
  <c r="BB82" i="14"/>
  <c r="AH82" i="14"/>
  <c r="BM82" i="14"/>
  <c r="AN82" i="14"/>
  <c r="AQ82" i="14"/>
  <c r="AT82" i="14"/>
  <c r="AZ82" i="14"/>
  <c r="AP82" i="14"/>
  <c r="AM82" i="14"/>
  <c r="AW82" i="14"/>
  <c r="AY82" i="14"/>
  <c r="BC82" i="14"/>
  <c r="BF82" i="14"/>
  <c r="AV82" i="14"/>
  <c r="AG82" i="14"/>
  <c r="AI82" i="14"/>
  <c r="AL82" i="14"/>
  <c r="AO82" i="14"/>
  <c r="AR82" i="14"/>
  <c r="AK82" i="14"/>
  <c r="AU82" i="14"/>
  <c r="AX82" i="14"/>
  <c r="BA82" i="14"/>
  <c r="BE82" i="14"/>
  <c r="AF82" i="14"/>
  <c r="AS82" i="14"/>
  <c r="BO50" i="14"/>
  <c r="BO51" i="14"/>
  <c r="BO55" i="14"/>
  <c r="BO58" i="14"/>
  <c r="BO60" i="14"/>
  <c r="BO62" i="14"/>
  <c r="BO66" i="14"/>
  <c r="BO68" i="14"/>
  <c r="BO70" i="14"/>
  <c r="BO47" i="14"/>
  <c r="BO48" i="14"/>
  <c r="BO49" i="14"/>
  <c r="BO52" i="14"/>
  <c r="BO53" i="14"/>
  <c r="BO54" i="14"/>
  <c r="BO56" i="14"/>
  <c r="BO57" i="14"/>
  <c r="BO59" i="14"/>
  <c r="BO61" i="14"/>
  <c r="BO63" i="14"/>
  <c r="BO64" i="14"/>
  <c r="BO65" i="14"/>
  <c r="BO67" i="14"/>
  <c r="BO69" i="14"/>
  <c r="BP8" i="14"/>
  <c r="BG83" i="14" s="1"/>
  <c r="BQ5" i="14"/>
  <c r="BP3" i="14"/>
  <c r="BP7" i="14"/>
  <c r="BP6" i="14"/>
  <c r="BP4" i="14"/>
  <c r="BK82" i="14"/>
  <c r="BI82" i="14"/>
  <c r="BN82" i="14"/>
  <c r="BG82" i="14"/>
  <c r="BJ82" i="14"/>
  <c r="BH82" i="14"/>
  <c r="BL82" i="14"/>
  <c r="AX10" i="16"/>
  <c r="D115" i="16"/>
  <c r="D70" i="15"/>
  <c r="AX10" i="15"/>
  <c r="D115" i="15"/>
  <c r="D87" i="14"/>
  <c r="BN6" i="9"/>
  <c r="BN3" i="9"/>
  <c r="BN4" i="9"/>
  <c r="BO5" i="9"/>
  <c r="BN7" i="9"/>
  <c r="BN8" i="9"/>
  <c r="BM4" i="11"/>
  <c r="BM3" i="11"/>
  <c r="BM6" i="11"/>
  <c r="BN5" i="11"/>
  <c r="BM8" i="11"/>
  <c r="BM7" i="11"/>
  <c r="BZ119" i="12" a="1"/>
  <c r="BZ119" i="12" s="1"/>
  <c r="BZ117" i="12" a="1"/>
  <c r="BZ117" i="12" s="1"/>
  <c r="BZ116" i="12" a="1"/>
  <c r="BZ116" i="12" s="1"/>
  <c r="BZ115" i="12" a="1"/>
  <c r="BZ115" i="12" s="1"/>
  <c r="BZ114" i="12" a="1"/>
  <c r="BZ114" i="12" s="1"/>
  <c r="BZ113" i="12" a="1"/>
  <c r="BZ113" i="12" s="1"/>
  <c r="BZ112" i="12" a="1"/>
  <c r="BZ112" i="12" s="1"/>
  <c r="BZ111" i="12" a="1"/>
  <c r="BZ111" i="12" s="1"/>
  <c r="BZ109" i="12" a="1"/>
  <c r="BZ109" i="12" s="1"/>
  <c r="BZ8" i="12"/>
  <c r="BZ3" i="12"/>
  <c r="BZ7" i="12"/>
  <c r="BZ4" i="12"/>
  <c r="BZ6" i="12"/>
  <c r="CA5" i="12"/>
  <c r="AW7" i="13"/>
  <c r="AX5" i="13"/>
  <c r="AW4" i="13"/>
  <c r="AW3" i="13"/>
  <c r="AW8" i="13"/>
  <c r="AW6" i="13"/>
  <c r="BN4" i="10"/>
  <c r="BN3" i="10"/>
  <c r="BO5" i="10"/>
  <c r="BN8" i="10"/>
  <c r="BN7" i="10"/>
  <c r="BN6" i="10"/>
  <c r="BV48" i="8"/>
  <c r="BW49" i="8"/>
  <c r="BV50" i="8"/>
  <c r="BV51" i="8"/>
  <c r="BV52" i="8"/>
  <c r="BW6" i="8"/>
  <c r="BW9" i="8"/>
  <c r="BX8" i="8"/>
  <c r="BX94" i="8" s="1"/>
  <c r="BW7" i="8"/>
  <c r="BW15" i="8" s="1" a="1"/>
  <c r="BW15" i="8" s="1"/>
  <c r="BW73" i="8"/>
  <c r="BW47" i="8"/>
  <c r="BW11" i="8"/>
  <c r="BW10" i="8"/>
  <c r="BV78" i="8"/>
  <c r="BV77" i="8"/>
  <c r="BV76" i="8"/>
  <c r="BW75" i="8"/>
  <c r="BV74" i="8"/>
  <c r="M14" i="33" l="1"/>
  <c r="M55" i="33"/>
  <c r="N55" i="33" s="1"/>
  <c r="O55" i="33" s="1"/>
  <c r="M81" i="33"/>
  <c r="N81" i="33" s="1"/>
  <c r="O81" i="33" s="1"/>
  <c r="I54" i="33"/>
  <c r="J54" i="33" s="1"/>
  <c r="K54" i="33" s="1"/>
  <c r="I13" i="33"/>
  <c r="I80" i="33"/>
  <c r="N13" i="33"/>
  <c r="O13" i="33" s="1"/>
  <c r="N80" i="33"/>
  <c r="O80" i="33" s="1"/>
  <c r="AN146" i="29"/>
  <c r="AN151" i="29" s="1"/>
  <c r="AN156" i="29" s="1"/>
  <c r="BB78" i="17" a="1"/>
  <c r="BB78" i="17" s="1"/>
  <c r="AU78" i="17" a="1"/>
  <c r="AU78" i="17" s="1"/>
  <c r="AS78" i="17" a="1"/>
  <c r="AS78" i="17" s="1"/>
  <c r="BC146" i="29"/>
  <c r="BC151" i="29" s="1"/>
  <c r="BC156" i="29" s="1"/>
  <c r="AY78" i="17" a="1"/>
  <c r="AY78" i="17" s="1"/>
  <c r="BN78" i="17" a="1"/>
  <c r="BN78" i="17" s="1"/>
  <c r="BQ78" i="17" a="1"/>
  <c r="BQ78" i="17" s="1"/>
  <c r="BM42" i="17"/>
  <c r="BJ78" i="17" a="1"/>
  <c r="BJ78" i="17" s="1"/>
  <c r="BI78" i="17" a="1"/>
  <c r="BI78" i="17" s="1"/>
  <c r="W78" i="17" s="1"/>
  <c r="BM78" i="17" a="1"/>
  <c r="BM78" i="17" s="1"/>
  <c r="AN78" i="17" a="1"/>
  <c r="AN78" i="17" s="1"/>
  <c r="P78" i="17" s="1"/>
  <c r="AO78" i="17" a="1"/>
  <c r="AO78" i="17" s="1"/>
  <c r="BO78" i="17" a="1"/>
  <c r="BO78" i="17" s="1"/>
  <c r="Y78" i="17" s="1"/>
  <c r="BE78" i="17" a="1"/>
  <c r="BE78" i="17" s="1"/>
  <c r="AK78" i="17" a="1"/>
  <c r="AK78" i="17" s="1"/>
  <c r="O78" i="17" s="1"/>
  <c r="AH78" i="17" a="1"/>
  <c r="AH78" i="17" s="1"/>
  <c r="N78" i="17" s="1"/>
  <c r="AT78" i="17" a="1"/>
  <c r="AT78" i="17" s="1"/>
  <c r="R78" i="17" s="1"/>
  <c r="AV78" i="17" a="1"/>
  <c r="AV78" i="17" s="1"/>
  <c r="BA78" i="17" a="1"/>
  <c r="BA78" i="17" s="1"/>
  <c r="AP78" i="17" a="1"/>
  <c r="AP78" i="17" s="1"/>
  <c r="BD78" i="17" a="1"/>
  <c r="BD78" i="17" s="1"/>
  <c r="AW78" i="17" a="1"/>
  <c r="AW78" i="17" s="1"/>
  <c r="S78" i="17" s="1"/>
  <c r="BH78" i="17" a="1"/>
  <c r="BH78" i="17" s="1"/>
  <c r="AF78" i="17" a="1"/>
  <c r="AF78" i="17" s="1"/>
  <c r="BF78" i="17" a="1"/>
  <c r="BF78" i="17" s="1"/>
  <c r="V78" i="17" s="1"/>
  <c r="BC78" i="17" a="1"/>
  <c r="BC78" i="17" s="1"/>
  <c r="I78" i="17" s="1"/>
  <c r="BK78" i="17" a="1"/>
  <c r="BK78" i="17" s="1"/>
  <c r="AI146" i="29"/>
  <c r="AI151" i="29" s="1"/>
  <c r="AI156" i="29" s="1"/>
  <c r="AZ78" i="17" a="1"/>
  <c r="AZ78" i="17" s="1"/>
  <c r="T78" i="17" s="1"/>
  <c r="AX78" i="17" a="1"/>
  <c r="AX78" i="17" s="1"/>
  <c r="BG78" i="17" a="1"/>
  <c r="BG78" i="17" s="1"/>
  <c r="AI78" i="17" a="1"/>
  <c r="AI78" i="17" s="1"/>
  <c r="AM78" i="17" a="1"/>
  <c r="AM78" i="17" s="1"/>
  <c r="AG78" i="17" a="1"/>
  <c r="AG78" i="17" s="1"/>
  <c r="AJ78" i="17" a="1"/>
  <c r="AJ78" i="17" s="1"/>
  <c r="AR78" i="17" a="1"/>
  <c r="AR78" i="17" s="1"/>
  <c r="BL78" i="17" a="1"/>
  <c r="BL78" i="17" s="1"/>
  <c r="X78" i="17" s="1"/>
  <c r="AQ78" i="17" a="1"/>
  <c r="AQ78" i="17" s="1"/>
  <c r="H78" i="17" s="1"/>
  <c r="AL78" i="17" a="1"/>
  <c r="AL78" i="17" s="1"/>
  <c r="AS115" i="13"/>
  <c r="AF132" i="28"/>
  <c r="AF137" i="28" s="1"/>
  <c r="AL146" i="29"/>
  <c r="AL151" i="29" s="1"/>
  <c r="AL156" i="29" s="1"/>
  <c r="K12" i="3"/>
  <c r="BN41" i="17"/>
  <c r="E79" i="17" s="1" a="1"/>
  <c r="E79" i="17" s="1"/>
  <c r="BQ79" i="17" s="1" a="1"/>
  <c r="BQ79" i="17" s="1"/>
  <c r="AU110" i="13"/>
  <c r="AU108" i="13" s="1"/>
  <c r="AZ146" i="29"/>
  <c r="AZ151" i="29" s="1"/>
  <c r="AZ156" i="29" s="1"/>
  <c r="BX87" i="20"/>
  <c r="AU132" i="13" s="1"/>
  <c r="AU128" i="13"/>
  <c r="AY146" i="29"/>
  <c r="AY151" i="29" s="1"/>
  <c r="AY156" i="29" s="1"/>
  <c r="S156" i="29" s="1"/>
  <c r="AJ146" i="29"/>
  <c r="AJ151" i="29" s="1"/>
  <c r="AJ156" i="29" s="1"/>
  <c r="N156" i="29" s="1"/>
  <c r="BA146" i="29"/>
  <c r="BA151" i="29" s="1"/>
  <c r="BA156" i="29" s="1"/>
  <c r="AM146" i="29"/>
  <c r="AM151" i="29" s="1"/>
  <c r="AM156" i="29" s="1"/>
  <c r="O156" i="29" s="1"/>
  <c r="AK146" i="29"/>
  <c r="AK151" i="29" s="1"/>
  <c r="AX146" i="29"/>
  <c r="AX151" i="29" s="1"/>
  <c r="AX156" i="29" s="1"/>
  <c r="AY41" i="13"/>
  <c r="BE146" i="29"/>
  <c r="BE151" i="29" s="1"/>
  <c r="BE156" i="29" s="1"/>
  <c r="U156" i="29" s="1"/>
  <c r="AS146" i="29"/>
  <c r="AS151" i="29" s="1"/>
  <c r="AS156" i="29" s="1"/>
  <c r="Q156" i="29" s="1"/>
  <c r="AT146" i="29"/>
  <c r="AT151" i="29" s="1"/>
  <c r="AT156" i="29" s="1"/>
  <c r="P95" i="29"/>
  <c r="AH146" i="29"/>
  <c r="AH151" i="29" s="1"/>
  <c r="AH156" i="29" s="1"/>
  <c r="AE146" i="29"/>
  <c r="AE151" i="29" s="1"/>
  <c r="AE156" i="29" s="1"/>
  <c r="BW82" i="20"/>
  <c r="AN132" i="28"/>
  <c r="AN137" i="28" s="1"/>
  <c r="AL132" i="28"/>
  <c r="AL137" i="28" s="1"/>
  <c r="AM132" i="28"/>
  <c r="AM137" i="28" s="1"/>
  <c r="AO132" i="28"/>
  <c r="AO137" i="28" s="1"/>
  <c r="AH132" i="28"/>
  <c r="AH137" i="28" s="1"/>
  <c r="AJ132" i="28"/>
  <c r="AJ137" i="28" s="1"/>
  <c r="AI132" i="28"/>
  <c r="AI137" i="28" s="1"/>
  <c r="I149" i="29"/>
  <c r="U149" i="29"/>
  <c r="K6" i="3"/>
  <c r="AC11" i="7"/>
  <c r="BJ146" i="29"/>
  <c r="BJ151" i="29" s="1"/>
  <c r="BJ156" i="29" s="1"/>
  <c r="BK146" i="29"/>
  <c r="BK151" i="29" s="1"/>
  <c r="BK156" i="29" s="1"/>
  <c r="W156" i="29" s="1"/>
  <c r="AB95" i="29"/>
  <c r="T95" i="29"/>
  <c r="AD12" i="7"/>
  <c r="O6" i="3"/>
  <c r="O95" i="29"/>
  <c r="Q95" i="29"/>
  <c r="AK132" i="28"/>
  <c r="AK137" i="28" s="1"/>
  <c r="H44" i="29"/>
  <c r="AW146" i="29"/>
  <c r="AW151" i="29" s="1"/>
  <c r="V95" i="29"/>
  <c r="H95" i="29"/>
  <c r="R84" i="30"/>
  <c r="I84" i="30"/>
  <c r="AG146" i="29"/>
  <c r="AG151" i="29" s="1"/>
  <c r="AG156" i="29" s="1"/>
  <c r="M156" i="29" s="1"/>
  <c r="R95" i="29"/>
  <c r="K20" i="3"/>
  <c r="L20" i="3" s="1"/>
  <c r="AA95" i="29"/>
  <c r="AP146" i="29"/>
  <c r="AR146" i="29"/>
  <c r="J11" i="3"/>
  <c r="L11" i="3" s="1"/>
  <c r="N11" i="3"/>
  <c r="BD146" i="29"/>
  <c r="BD151" i="29" s="1"/>
  <c r="BD156" i="29" s="1"/>
  <c r="BG146" i="29"/>
  <c r="BG151" i="29" s="1"/>
  <c r="BG156" i="29" s="1"/>
  <c r="BH146" i="29"/>
  <c r="BH151" i="29" s="1"/>
  <c r="BH156" i="29" s="1"/>
  <c r="V156" i="29" s="1"/>
  <c r="N95" i="29"/>
  <c r="AV146" i="29"/>
  <c r="AV151" i="29" s="1"/>
  <c r="AV156" i="29" s="1"/>
  <c r="R156" i="29" s="1"/>
  <c r="W95" i="29"/>
  <c r="V84" i="30"/>
  <c r="J84" i="30"/>
  <c r="S95" i="29"/>
  <c r="BI146" i="29"/>
  <c r="BI151" i="29" s="1"/>
  <c r="J95" i="29"/>
  <c r="J10" i="3"/>
  <c r="L10" i="3" s="1"/>
  <c r="N10" i="3"/>
  <c r="AQ146" i="29"/>
  <c r="AQ151" i="29" s="1"/>
  <c r="AQ156" i="29" s="1"/>
  <c r="J14" i="3"/>
  <c r="L14" i="3" s="1"/>
  <c r="N14" i="3"/>
  <c r="M95" i="29"/>
  <c r="Y95" i="29"/>
  <c r="U95" i="29"/>
  <c r="BL146" i="29"/>
  <c r="BL151" i="29" s="1"/>
  <c r="BL156" i="29" s="1"/>
  <c r="AU146" i="29"/>
  <c r="AU151" i="29" s="1"/>
  <c r="AU156" i="29" s="1"/>
  <c r="X95" i="29"/>
  <c r="G95" i="29"/>
  <c r="I95" i="29"/>
  <c r="BB146" i="29"/>
  <c r="BB151" i="29" s="1"/>
  <c r="BB156" i="29" s="1"/>
  <c r="AO146" i="29"/>
  <c r="AO151" i="29" s="1"/>
  <c r="AO156" i="29" s="1"/>
  <c r="BF146" i="29"/>
  <c r="BF151" i="29" s="1"/>
  <c r="N13" i="3"/>
  <c r="J13" i="3"/>
  <c r="L13" i="3" s="1"/>
  <c r="Z95" i="29"/>
  <c r="G44" i="29"/>
  <c r="CC14" i="12" a="1"/>
  <c r="CC14" i="12" s="1"/>
  <c r="CD14" i="12" s="1" a="1"/>
  <c r="CD14" i="12" s="1"/>
  <c r="BB41" i="13" s="1"/>
  <c r="CA103" i="12"/>
  <c r="AX102" i="13"/>
  <c r="CA13" i="12" a="1"/>
  <c r="CA13" i="12" s="1"/>
  <c r="AY40" i="13" s="1"/>
  <c r="AX40" i="13"/>
  <c r="BR105" i="17"/>
  <c r="BQ107" i="17"/>
  <c r="BQ109" i="17" s="1"/>
  <c r="BQ103" i="17" s="1"/>
  <c r="BL83" i="14"/>
  <c r="AH83" i="14"/>
  <c r="BH83" i="14"/>
  <c r="BI83" i="14"/>
  <c r="AF83" i="14"/>
  <c r="BN83" i="14"/>
  <c r="AR83" i="14"/>
  <c r="AS83" i="14"/>
  <c r="AG83" i="14"/>
  <c r="BM83" i="14"/>
  <c r="BK83" i="14"/>
  <c r="BJ83" i="14"/>
  <c r="BN64" i="15"/>
  <c r="AM83" i="14"/>
  <c r="AU83" i="14"/>
  <c r="AT83" i="14"/>
  <c r="BF83" i="14"/>
  <c r="AQ83" i="14"/>
  <c r="AP83" i="14"/>
  <c r="AO83" i="14"/>
  <c r="AN83" i="14"/>
  <c r="AK83" i="14"/>
  <c r="AJ83" i="14"/>
  <c r="AI83" i="14"/>
  <c r="AL83" i="14"/>
  <c r="BY107" i="20"/>
  <c r="BY110" i="20" s="1"/>
  <c r="BY112" i="20"/>
  <c r="U77" i="17"/>
  <c r="I77" i="17"/>
  <c r="BX109" i="20" a="1"/>
  <c r="BX109" i="20" s="1"/>
  <c r="BX110" i="20"/>
  <c r="BX111" i="20" a="1"/>
  <c r="BX111" i="20" s="1"/>
  <c r="AU63" i="13" s="1"/>
  <c r="BY90" i="20"/>
  <c r="AV134" i="13" s="1"/>
  <c r="BY108" i="20"/>
  <c r="Y77" i="17"/>
  <c r="J77" i="17"/>
  <c r="Q77" i="17"/>
  <c r="H77" i="17"/>
  <c r="BY91" i="20"/>
  <c r="AV135" i="13" s="1"/>
  <c r="CA52" i="20"/>
  <c r="BX86" i="20"/>
  <c r="AU131" i="13" s="1"/>
  <c r="BX85" i="20"/>
  <c r="AU130" i="13" s="1"/>
  <c r="BY83" i="20"/>
  <c r="BY76" i="20"/>
  <c r="AV122" i="13" s="1"/>
  <c r="BY77" i="20"/>
  <c r="AV123" i="13" s="1"/>
  <c r="BU114" i="20"/>
  <c r="BO71" i="22"/>
  <c r="BV89" i="20"/>
  <c r="BX96" i="20"/>
  <c r="BO47" i="22"/>
  <c r="BO56" i="22"/>
  <c r="BO50" i="22"/>
  <c r="BO38" i="22"/>
  <c r="BO37" i="22"/>
  <c r="BO45" i="22"/>
  <c r="BO65" i="22"/>
  <c r="BO63" i="22"/>
  <c r="BO59" i="22"/>
  <c r="BO53" i="22"/>
  <c r="BO48" i="22"/>
  <c r="BO42" i="22"/>
  <c r="BO55" i="22"/>
  <c r="BO36" i="22"/>
  <c r="BO67" i="22"/>
  <c r="BO46" i="22"/>
  <c r="BO43" i="22"/>
  <c r="BO35" i="22"/>
  <c r="BO68" i="22"/>
  <c r="BO57" i="22"/>
  <c r="BO49" i="22"/>
  <c r="BO40" i="22"/>
  <c r="BO39" i="22"/>
  <c r="BO64" i="22"/>
  <c r="BO62" i="22"/>
  <c r="BO58" i="22"/>
  <c r="BO52" i="22"/>
  <c r="BO54" i="22"/>
  <c r="BO44" i="22"/>
  <c r="BO41" i="22"/>
  <c r="BO51" i="22"/>
  <c r="BO60" i="22"/>
  <c r="BO66" i="22"/>
  <c r="BO61" i="22"/>
  <c r="BQ5" i="22"/>
  <c r="BP3" i="22"/>
  <c r="BP6" i="22"/>
  <c r="BP4" i="22"/>
  <c r="BP7" i="22"/>
  <c r="BP8" i="22"/>
  <c r="BP25" i="22" s="1"/>
  <c r="BO100" i="22"/>
  <c r="BO95" i="22"/>
  <c r="BO91" i="22"/>
  <c r="BO98" i="22"/>
  <c r="BO88" i="22"/>
  <c r="BO96" i="22"/>
  <c r="BO102" i="22"/>
  <c r="BO105" i="22"/>
  <c r="BO107" i="22"/>
  <c r="BO111" i="22"/>
  <c r="BO114" i="22"/>
  <c r="BO117" i="22"/>
  <c r="BO99" i="22"/>
  <c r="BO86" i="22"/>
  <c r="BO92" i="22"/>
  <c r="BO94" i="22"/>
  <c r="BO106" i="22"/>
  <c r="BO110" i="22"/>
  <c r="BO112" i="22"/>
  <c r="BO113" i="22"/>
  <c r="BO115" i="22"/>
  <c r="BO89" i="22"/>
  <c r="BO118" i="22"/>
  <c r="BO120" i="22"/>
  <c r="BO87" i="22"/>
  <c r="BO90" i="22"/>
  <c r="BO93" i="22"/>
  <c r="BO103" i="22"/>
  <c r="BO108" i="22"/>
  <c r="BO116" i="22"/>
  <c r="BO97" i="22"/>
  <c r="BO101" i="22"/>
  <c r="BO104" i="22"/>
  <c r="BO109" i="22"/>
  <c r="BO119" i="22"/>
  <c r="BN62" i="16"/>
  <c r="BO62" i="16"/>
  <c r="BN112" i="15"/>
  <c r="BO112" i="15"/>
  <c r="BO72" i="22"/>
  <c r="BN72" i="22"/>
  <c r="BM72" i="22"/>
  <c r="BL72" i="22"/>
  <c r="BK72" i="22"/>
  <c r="BJ72" i="22"/>
  <c r="BI72" i="22"/>
  <c r="BH72" i="22"/>
  <c r="BG72" i="22"/>
  <c r="BF72" i="22"/>
  <c r="BE72" i="22"/>
  <c r="BD72" i="22"/>
  <c r="BC72" i="22"/>
  <c r="BB72" i="22"/>
  <c r="BA72" i="22"/>
  <c r="AZ72" i="22"/>
  <c r="AY72" i="22"/>
  <c r="AX72" i="22"/>
  <c r="AW72" i="22"/>
  <c r="AV72" i="22"/>
  <c r="AU72" i="22"/>
  <c r="AT72" i="22"/>
  <c r="AS72" i="22"/>
  <c r="AR72" i="22"/>
  <c r="AQ72" i="22"/>
  <c r="AP72" i="22"/>
  <c r="AO72" i="22"/>
  <c r="AN72" i="22"/>
  <c r="AM72" i="22"/>
  <c r="AL72" i="22"/>
  <c r="AK72" i="22"/>
  <c r="AJ72" i="22"/>
  <c r="AI72" i="22"/>
  <c r="AH72" i="22"/>
  <c r="AG72" i="22"/>
  <c r="AF72" i="22"/>
  <c r="AE72" i="22"/>
  <c r="D73" i="22"/>
  <c r="E73" i="22" s="1" a="1"/>
  <c r="E73" i="22" s="1"/>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D124" i="22"/>
  <c r="AF123" i="22"/>
  <c r="AG123" i="22"/>
  <c r="AE123" i="22"/>
  <c r="BX60" i="20"/>
  <c r="CB54" i="20"/>
  <c r="BY64" i="20"/>
  <c r="AV112" i="13" s="1"/>
  <c r="BY63" i="20"/>
  <c r="BY62" i="20"/>
  <c r="BY65" i="20"/>
  <c r="AV113" i="13" s="1"/>
  <c r="BV75" i="20"/>
  <c r="BW79" i="20"/>
  <c r="AT125" i="13" s="1"/>
  <c r="BW78" i="20"/>
  <c r="AT124" i="13" s="1"/>
  <c r="BW80" i="20"/>
  <c r="AT126" i="13" s="1"/>
  <c r="BW93" i="20"/>
  <c r="AT137" i="13" s="1"/>
  <c r="BW94" i="20"/>
  <c r="AT138" i="13" s="1"/>
  <c r="BW92" i="20"/>
  <c r="AT136" i="13" s="1"/>
  <c r="BZ102" i="20"/>
  <c r="AW145" i="13" s="1"/>
  <c r="BZ88" i="20"/>
  <c r="AW133" i="13" s="1"/>
  <c r="BZ95" i="20"/>
  <c r="AW139" i="13" s="1"/>
  <c r="BZ81" i="20"/>
  <c r="AW127" i="13" s="1"/>
  <c r="BY88" i="20"/>
  <c r="AV133" i="13" s="1"/>
  <c r="BY102" i="20"/>
  <c r="AV145" i="13" s="1"/>
  <c r="BY95" i="20"/>
  <c r="AV139" i="13" s="1"/>
  <c r="BY81" i="20"/>
  <c r="AV127" i="13" s="1"/>
  <c r="CB57" i="20"/>
  <c r="CB97" i="20" s="1"/>
  <c r="AY140" i="13" s="1"/>
  <c r="CB56" i="20"/>
  <c r="CB55" i="20"/>
  <c r="BW106" i="20"/>
  <c r="BX115" i="20"/>
  <c r="BW68" i="20"/>
  <c r="BY74" i="20"/>
  <c r="AV121" i="13" s="1"/>
  <c r="CA4" i="20"/>
  <c r="CB5" i="20"/>
  <c r="CA3" i="20"/>
  <c r="CA8" i="20"/>
  <c r="CA112" i="20" s="1"/>
  <c r="CA6" i="20"/>
  <c r="CA7" i="20"/>
  <c r="BZ27" i="20"/>
  <c r="BZ21" i="20"/>
  <c r="BZ22" i="20"/>
  <c r="BZ17" i="20"/>
  <c r="BZ16" i="20"/>
  <c r="BZ74" i="20"/>
  <c r="AW121" i="13" s="1"/>
  <c r="BZ25" i="20"/>
  <c r="BZ13" i="20"/>
  <c r="BZ24" i="20"/>
  <c r="BZ15" i="20"/>
  <c r="BZ29" i="20"/>
  <c r="BZ23" i="20"/>
  <c r="BZ14" i="20"/>
  <c r="BZ28" i="20"/>
  <c r="BZ33" i="20"/>
  <c r="BZ26" i="20"/>
  <c r="BZ18" i="20"/>
  <c r="BZ11" i="20"/>
  <c r="BZ34" i="20"/>
  <c r="BZ32" i="20"/>
  <c r="BZ19" i="20"/>
  <c r="BZ35" i="20"/>
  <c r="BZ31" i="20"/>
  <c r="BZ30" i="20"/>
  <c r="BZ20" i="20"/>
  <c r="BZ12" i="20"/>
  <c r="BY61" i="20"/>
  <c r="AV109" i="13" s="1"/>
  <c r="BY69" i="20"/>
  <c r="BY10" i="20"/>
  <c r="BY70" i="20"/>
  <c r="AV117" i="13" s="1"/>
  <c r="AU61" i="13"/>
  <c r="AU62" i="13"/>
  <c r="BX72" i="20"/>
  <c r="AU119" i="13" s="1"/>
  <c r="BX73" i="20"/>
  <c r="AU120" i="13" s="1"/>
  <c r="BX71" i="20"/>
  <c r="AU118" i="13" s="1"/>
  <c r="BN62" i="15"/>
  <c r="BO62" i="15"/>
  <c r="CC53" i="20"/>
  <c r="BP174" i="17"/>
  <c r="BO174" i="17"/>
  <c r="BN174" i="17"/>
  <c r="BM174" i="17"/>
  <c r="BL174" i="17"/>
  <c r="BK174" i="17"/>
  <c r="BJ174" i="17"/>
  <c r="BI174" i="17"/>
  <c r="BH174" i="17"/>
  <c r="BG174" i="17"/>
  <c r="BF174" i="17"/>
  <c r="BE174" i="17"/>
  <c r="BD174" i="17"/>
  <c r="BC174" i="17"/>
  <c r="BB174" i="17"/>
  <c r="BA174" i="17"/>
  <c r="AZ174" i="17"/>
  <c r="AY174" i="17"/>
  <c r="AX174" i="17"/>
  <c r="AW174" i="17"/>
  <c r="AV174" i="17"/>
  <c r="AU174" i="17"/>
  <c r="AT174" i="17"/>
  <c r="AS174" i="17"/>
  <c r="AR174" i="17"/>
  <c r="AQ174" i="17"/>
  <c r="AP174" i="17"/>
  <c r="AO174" i="17"/>
  <c r="AN174" i="17"/>
  <c r="AM174" i="17"/>
  <c r="AL174" i="17"/>
  <c r="AK174" i="17"/>
  <c r="AG174" i="17"/>
  <c r="AI174" i="17"/>
  <c r="AF174" i="17"/>
  <c r="AJ174" i="17"/>
  <c r="AH174" i="17"/>
  <c r="D175" i="17"/>
  <c r="BQ174" i="17"/>
  <c r="D84" i="17"/>
  <c r="BT5" i="17"/>
  <c r="BS8" i="17"/>
  <c r="BS4" i="17"/>
  <c r="BS6" i="17"/>
  <c r="BS3" i="17"/>
  <c r="BS7" i="17"/>
  <c r="BR78" i="17" a="1"/>
  <c r="BR78" i="17" s="1"/>
  <c r="Z78" i="17" s="1"/>
  <c r="BR77" i="17" a="1"/>
  <c r="BR77" i="17" s="1"/>
  <c r="Z77" i="17" s="1"/>
  <c r="BR76" i="17" a="1"/>
  <c r="BR76" i="17" s="1"/>
  <c r="Z76" i="17" s="1"/>
  <c r="BR75" i="17" a="1"/>
  <c r="BR75" i="17" s="1"/>
  <c r="Z75" i="17" s="1"/>
  <c r="BR74" i="17" a="1"/>
  <c r="BR74" i="17" s="1"/>
  <c r="Z74" i="17" s="1"/>
  <c r="BR73" i="17" a="1"/>
  <c r="BR73" i="17" s="1"/>
  <c r="Z73" i="17" s="1"/>
  <c r="BR72" i="17" a="1"/>
  <c r="BR72" i="17" s="1"/>
  <c r="Z72" i="17" s="1"/>
  <c r="BR71" i="17" a="1"/>
  <c r="BR71" i="17" s="1"/>
  <c r="Z71" i="17" s="1"/>
  <c r="BR162" i="17"/>
  <c r="BR70" i="17" a="1"/>
  <c r="BR70" i="17" s="1"/>
  <c r="Z70" i="17" s="1"/>
  <c r="BR161" i="17"/>
  <c r="BR69" i="17" a="1"/>
  <c r="BR69" i="17" s="1"/>
  <c r="Z69" i="17" s="1"/>
  <c r="BR45" i="17" a="1"/>
  <c r="BR45" i="17" s="1"/>
  <c r="BR139" i="17"/>
  <c r="BR48" i="17" a="1"/>
  <c r="BR48" i="17" s="1"/>
  <c r="BR142" i="17"/>
  <c r="BR51" i="17" a="1"/>
  <c r="BR51" i="17" s="1"/>
  <c r="BR144" i="17"/>
  <c r="BR53" i="17" a="1"/>
  <c r="BR53" i="17" s="1"/>
  <c r="BR55" i="17" a="1"/>
  <c r="BR55" i="17" s="1"/>
  <c r="BR148" i="17"/>
  <c r="BR56" i="17" a="1"/>
  <c r="BR56" i="17" s="1"/>
  <c r="Z56" i="17" s="1"/>
  <c r="BR149" i="17"/>
  <c r="BR150" i="17"/>
  <c r="BR151" i="17"/>
  <c r="BR152" i="17"/>
  <c r="BR137" i="17"/>
  <c r="BR47" i="17" a="1"/>
  <c r="BR47" i="17" s="1"/>
  <c r="BR141" i="17"/>
  <c r="BR52" i="17" a="1"/>
  <c r="BR52" i="17" s="1"/>
  <c r="BR59" i="17" a="1"/>
  <c r="BR59" i="17" s="1"/>
  <c r="Z59" i="17" s="1"/>
  <c r="BR62" i="17" a="1"/>
  <c r="BR62" i="17" s="1"/>
  <c r="Z62" i="17" s="1"/>
  <c r="BR67" i="17" a="1"/>
  <c r="BR67" i="17" s="1"/>
  <c r="Z67" i="17" s="1"/>
  <c r="BR159" i="17"/>
  <c r="BR136" i="17"/>
  <c r="BR138" i="17"/>
  <c r="BR46" i="17" a="1"/>
  <c r="BR46" i="17" s="1"/>
  <c r="BR140" i="17"/>
  <c r="BR49" i="17" a="1"/>
  <c r="BR49" i="17" s="1"/>
  <c r="BR50" i="17" a="1"/>
  <c r="BR50" i="17" s="1"/>
  <c r="BR143" i="17"/>
  <c r="BR145" i="17"/>
  <c r="BR54" i="17" a="1"/>
  <c r="BR54" i="17" s="1"/>
  <c r="BR146" i="17"/>
  <c r="BR147" i="17"/>
  <c r="BR57" i="17" a="1"/>
  <c r="BR57" i="17" s="1"/>
  <c r="Z57" i="17" s="1"/>
  <c r="BR58" i="17" a="1"/>
  <c r="BR58" i="17" s="1"/>
  <c r="Z58" i="17" s="1"/>
  <c r="BR60" i="17" a="1"/>
  <c r="BR60" i="17" s="1"/>
  <c r="Z60" i="17" s="1"/>
  <c r="BR61" i="17" a="1"/>
  <c r="BR61" i="17" s="1"/>
  <c r="Z61" i="17" s="1"/>
  <c r="BR153" i="17"/>
  <c r="BR154" i="17"/>
  <c r="BR63" i="17" a="1"/>
  <c r="BR63" i="17" s="1"/>
  <c r="Z63" i="17" s="1"/>
  <c r="BR155" i="17"/>
  <c r="BR64" i="17" a="1"/>
  <c r="BR64" i="17" s="1"/>
  <c r="Z64" i="17" s="1"/>
  <c r="BR156" i="17"/>
  <c r="BR65" i="17" a="1"/>
  <c r="BR65" i="17" s="1"/>
  <c r="Z65" i="17" s="1"/>
  <c r="BR157" i="17"/>
  <c r="BR66" i="17" a="1"/>
  <c r="BR66" i="17" s="1"/>
  <c r="Z66" i="17" s="1"/>
  <c r="BR158" i="17"/>
  <c r="BR160" i="17"/>
  <c r="BR68" i="17" a="1"/>
  <c r="BR68" i="17" s="1"/>
  <c r="Z68" i="17" s="1"/>
  <c r="BO112" i="16"/>
  <c r="BN112" i="16"/>
  <c r="BP19" i="16"/>
  <c r="BP18" i="16" s="1"/>
  <c r="E114" i="16" s="1" a="1"/>
  <c r="E114" i="16" s="1"/>
  <c r="BP114" i="16" s="1"/>
  <c r="BP11" i="16"/>
  <c r="BP15" i="16"/>
  <c r="BP14" i="16" s="1"/>
  <c r="BS16" i="16" s="1"/>
  <c r="BP112" i="16"/>
  <c r="BN64" i="16"/>
  <c r="BP53" i="16"/>
  <c r="BP84" i="16"/>
  <c r="BP48" i="16"/>
  <c r="BP80" i="16"/>
  <c r="BP45" i="16"/>
  <c r="BP43" i="16"/>
  <c r="BP29" i="16"/>
  <c r="BP54" i="16"/>
  <c r="BP56" i="16"/>
  <c r="BP97" i="16"/>
  <c r="BP101" i="16"/>
  <c r="BP103" i="16"/>
  <c r="BP105" i="16"/>
  <c r="BP108" i="16"/>
  <c r="BP51" i="16"/>
  <c r="BP82" i="16"/>
  <c r="BP47" i="16"/>
  <c r="BP79" i="16"/>
  <c r="BP40" i="16"/>
  <c r="BP38" i="16"/>
  <c r="BP28" i="16"/>
  <c r="BP55" i="16"/>
  <c r="BP57" i="16"/>
  <c r="BP98" i="16"/>
  <c r="BP100" i="16"/>
  <c r="BP62" i="16"/>
  <c r="BP107" i="16"/>
  <c r="BP52" i="16"/>
  <c r="BP86" i="16"/>
  <c r="BP50" i="16"/>
  <c r="BP83" i="16"/>
  <c r="BP81" i="16"/>
  <c r="BP46" i="16"/>
  <c r="BP35" i="16"/>
  <c r="BP33" i="16"/>
  <c r="BP34" i="16"/>
  <c r="BP36" i="16"/>
  <c r="BP41" i="16"/>
  <c r="BP39" i="16"/>
  <c r="BP44" i="16"/>
  <c r="BP32" i="16"/>
  <c r="BP78" i="16"/>
  <c r="BP87" i="16"/>
  <c r="BP89" i="16"/>
  <c r="BP58" i="16"/>
  <c r="BP59" i="16"/>
  <c r="BP60" i="16"/>
  <c r="BP61" i="16"/>
  <c r="BP95" i="16"/>
  <c r="BP96" i="16"/>
  <c r="BP99" i="16"/>
  <c r="BP102" i="16"/>
  <c r="BP104" i="16"/>
  <c r="BP106" i="16"/>
  <c r="BP109" i="16"/>
  <c r="BP85" i="16"/>
  <c r="BP49" i="16"/>
  <c r="BP42" i="16"/>
  <c r="BP37" i="16"/>
  <c r="BP31" i="16"/>
  <c r="BP30" i="16"/>
  <c r="BP88" i="16"/>
  <c r="BP90" i="16"/>
  <c r="BP91" i="16"/>
  <c r="BP92" i="16"/>
  <c r="BP93" i="16"/>
  <c r="BP94" i="16"/>
  <c r="BP111" i="16"/>
  <c r="BP110" i="16"/>
  <c r="BQ7" i="16"/>
  <c r="BQ3" i="16"/>
  <c r="BQ4" i="16"/>
  <c r="BQ6" i="16"/>
  <c r="BR5" i="16"/>
  <c r="BQ8" i="16"/>
  <c r="BK65" i="16" s="1"/>
  <c r="CA20" i="16"/>
  <c r="E113" i="16" a="1"/>
  <c r="E113" i="16" s="1"/>
  <c r="BL64" i="16"/>
  <c r="BK64" i="16"/>
  <c r="BJ64" i="16"/>
  <c r="BM64" i="16"/>
  <c r="AR114" i="16"/>
  <c r="AL114" i="16"/>
  <c r="BI114" i="16"/>
  <c r="BE114" i="16"/>
  <c r="BD114" i="16"/>
  <c r="BC114" i="16"/>
  <c r="AQ114" i="16"/>
  <c r="AP114" i="16"/>
  <c r="AN114" i="16"/>
  <c r="AK114" i="16"/>
  <c r="AH114" i="16"/>
  <c r="AF114" i="16"/>
  <c r="BM114" i="16"/>
  <c r="AZ114" i="16"/>
  <c r="AY114" i="16"/>
  <c r="AT114" i="16"/>
  <c r="BH114" i="16"/>
  <c r="AW114" i="16"/>
  <c r="BF114" i="16"/>
  <c r="BL114" i="16"/>
  <c r="BB114" i="16"/>
  <c r="BO114" i="16"/>
  <c r="BN114" i="16"/>
  <c r="BK114" i="16"/>
  <c r="BJ114" i="16"/>
  <c r="BG114" i="16"/>
  <c r="BA114" i="16"/>
  <c r="AX114" i="16"/>
  <c r="AV114" i="16"/>
  <c r="AU114" i="16"/>
  <c r="AS114" i="16"/>
  <c r="AO114" i="16"/>
  <c r="AM114" i="16"/>
  <c r="AJ114" i="16"/>
  <c r="AI114" i="16"/>
  <c r="AG114" i="16"/>
  <c r="BO64" i="16"/>
  <c r="E113" i="15" a="1"/>
  <c r="E113" i="15" s="1"/>
  <c r="CA20" i="15"/>
  <c r="BP112" i="15"/>
  <c r="BP111" i="15"/>
  <c r="BP110" i="15"/>
  <c r="BP109" i="15"/>
  <c r="BP108" i="15"/>
  <c r="BP107" i="15"/>
  <c r="BP62" i="15"/>
  <c r="BP106" i="15"/>
  <c r="BP105" i="15"/>
  <c r="BP61" i="15"/>
  <c r="BP104" i="15"/>
  <c r="BP60" i="15"/>
  <c r="BP103" i="15"/>
  <c r="BP59" i="15"/>
  <c r="BP58" i="15"/>
  <c r="BP102" i="15"/>
  <c r="BP57" i="15"/>
  <c r="BP101" i="15"/>
  <c r="BP56" i="15"/>
  <c r="BP100" i="15"/>
  <c r="BP55" i="15"/>
  <c r="BP99" i="15"/>
  <c r="BP54" i="15"/>
  <c r="BP98" i="15"/>
  <c r="BP53" i="15"/>
  <c r="BP97" i="15"/>
  <c r="BP52" i="15"/>
  <c r="BP96" i="15"/>
  <c r="BP51" i="15"/>
  <c r="BP95" i="15"/>
  <c r="BP50" i="15"/>
  <c r="BP94" i="15"/>
  <c r="BP49" i="15"/>
  <c r="BP93" i="15"/>
  <c r="BP48" i="15"/>
  <c r="BP92" i="15"/>
  <c r="BP47" i="15"/>
  <c r="BP91" i="15"/>
  <c r="BP46" i="15"/>
  <c r="BP90" i="15"/>
  <c r="BP45" i="15"/>
  <c r="BP89" i="15"/>
  <c r="BP44" i="15"/>
  <c r="BP88" i="15"/>
  <c r="BP43" i="15"/>
  <c r="BP87" i="15"/>
  <c r="BP42" i="15"/>
  <c r="BP41" i="15"/>
  <c r="BP86" i="15"/>
  <c r="BP85" i="15"/>
  <c r="BP40" i="15"/>
  <c r="BP84" i="15"/>
  <c r="BP39" i="15"/>
  <c r="BP83" i="15"/>
  <c r="BP38" i="15"/>
  <c r="BP37" i="15"/>
  <c r="BP82" i="15"/>
  <c r="BP81" i="15"/>
  <c r="BP36" i="15"/>
  <c r="BP80" i="15"/>
  <c r="BP35" i="15"/>
  <c r="BP79" i="15"/>
  <c r="BP34" i="15"/>
  <c r="BP30" i="15"/>
  <c r="BP31" i="15"/>
  <c r="BP32" i="15"/>
  <c r="BP78" i="15"/>
  <c r="BP19" i="15" a="1"/>
  <c r="BP19" i="15" s="1"/>
  <c r="BP18" i="15" s="1"/>
  <c r="BP29" i="15"/>
  <c r="BP28" i="15"/>
  <c r="BP11" i="15" a="1"/>
  <c r="BP11" i="15" s="1"/>
  <c r="BP15" i="15" a="1"/>
  <c r="BP15" i="15" s="1"/>
  <c r="BP14" i="15" s="1"/>
  <c r="BP33" i="15"/>
  <c r="BQ3" i="15"/>
  <c r="BQ4" i="15"/>
  <c r="BQ8" i="15"/>
  <c r="AQ65" i="15" s="1"/>
  <c r="BQ7" i="15"/>
  <c r="BQ6" i="15"/>
  <c r="BR5" i="15"/>
  <c r="BR16" i="15"/>
  <c r="E63" i="15" a="1"/>
  <c r="E63" i="15" s="1"/>
  <c r="BM64" i="15"/>
  <c r="BO64" i="15"/>
  <c r="AF114" i="15"/>
  <c r="AG114" i="15"/>
  <c r="AH114" i="15"/>
  <c r="AI114" i="15"/>
  <c r="AJ114" i="15"/>
  <c r="AK114" i="15"/>
  <c r="AL114" i="15"/>
  <c r="AM114" i="15"/>
  <c r="AN114" i="15"/>
  <c r="AO114" i="15"/>
  <c r="AP114" i="15"/>
  <c r="AQ114" i="15"/>
  <c r="AR114" i="15"/>
  <c r="AS114" i="15"/>
  <c r="AT114" i="15"/>
  <c r="AU114" i="15"/>
  <c r="AV114" i="15"/>
  <c r="AW114" i="15"/>
  <c r="AX114" i="15"/>
  <c r="AY114" i="15"/>
  <c r="AZ114" i="15"/>
  <c r="BA114" i="15"/>
  <c r="BB114" i="15"/>
  <c r="BC114" i="15"/>
  <c r="BD114" i="15"/>
  <c r="BE114" i="15"/>
  <c r="BF114" i="15"/>
  <c r="BG114" i="15"/>
  <c r="BH114" i="15"/>
  <c r="BI114" i="15"/>
  <c r="BJ114" i="15"/>
  <c r="BK114" i="15"/>
  <c r="BL114" i="15"/>
  <c r="BM114" i="15"/>
  <c r="BN114" i="15"/>
  <c r="BO114" i="15"/>
  <c r="BP48" i="14"/>
  <c r="BP50" i="14"/>
  <c r="BP49" i="14"/>
  <c r="BP47" i="14"/>
  <c r="BP51" i="14"/>
  <c r="BP52" i="14"/>
  <c r="BP53" i="14"/>
  <c r="BP54" i="14"/>
  <c r="BP55" i="14"/>
  <c r="BP56" i="14"/>
  <c r="BP57" i="14"/>
  <c r="BP58" i="14"/>
  <c r="BP59" i="14"/>
  <c r="BP60" i="14"/>
  <c r="BP61" i="14"/>
  <c r="BP62" i="14"/>
  <c r="BP63" i="14"/>
  <c r="BP64" i="14"/>
  <c r="BP65" i="14"/>
  <c r="BP66" i="14"/>
  <c r="BP67" i="14"/>
  <c r="BP68" i="14"/>
  <c r="BP69" i="14"/>
  <c r="BP70" i="14"/>
  <c r="BP71" i="14"/>
  <c r="BQ8" i="14"/>
  <c r="AR84" i="14" s="1"/>
  <c r="BR5" i="14"/>
  <c r="BQ6" i="14"/>
  <c r="BQ7" i="14"/>
  <c r="BQ3" i="14"/>
  <c r="BQ4" i="14"/>
  <c r="AX83" i="14"/>
  <c r="AV83" i="14"/>
  <c r="BC83" i="14"/>
  <c r="AW83" i="14"/>
  <c r="BB83" i="14"/>
  <c r="BD83" i="14"/>
  <c r="BO83" i="14"/>
  <c r="BE83" i="14"/>
  <c r="BA83" i="14"/>
  <c r="AZ83" i="14"/>
  <c r="AY83" i="14"/>
  <c r="AY12" i="16"/>
  <c r="AX25" i="16"/>
  <c r="AX22" i="16"/>
  <c r="AX27" i="14" s="1"/>
  <c r="D116" i="16"/>
  <c r="D71" i="15"/>
  <c r="AY12" i="15"/>
  <c r="AX22" i="15"/>
  <c r="AX25" i="14" s="1"/>
  <c r="AX25" i="15"/>
  <c r="D116" i="15"/>
  <c r="D88" i="14"/>
  <c r="BO6" i="9"/>
  <c r="BO7" i="9"/>
  <c r="BO8" i="9"/>
  <c r="BO4" i="9"/>
  <c r="BP5" i="9"/>
  <c r="BO3" i="9"/>
  <c r="BN7" i="11"/>
  <c r="BN4" i="11"/>
  <c r="BN3" i="11"/>
  <c r="BN8" i="11"/>
  <c r="BO5" i="11"/>
  <c r="BN6" i="11"/>
  <c r="CA119" i="12" a="1"/>
  <c r="CA119" i="12" s="1"/>
  <c r="CA117" i="12" a="1"/>
  <c r="CA117" i="12" s="1"/>
  <c r="CA116" i="12" a="1"/>
  <c r="CA116" i="12" s="1"/>
  <c r="CA115" i="12" a="1"/>
  <c r="CA115" i="12" s="1"/>
  <c r="CA114" i="12" a="1"/>
  <c r="CA114" i="12" s="1"/>
  <c r="CA113" i="12" a="1"/>
  <c r="CA113" i="12" s="1"/>
  <c r="CA112" i="12" a="1"/>
  <c r="CA112" i="12" s="1"/>
  <c r="CA111" i="12" a="1"/>
  <c r="CA111" i="12" s="1"/>
  <c r="CA109" i="12" a="1"/>
  <c r="CA109" i="12" s="1"/>
  <c r="CA8" i="12"/>
  <c r="CA4" i="12"/>
  <c r="CA7" i="12"/>
  <c r="CA3" i="12"/>
  <c r="CB5" i="12"/>
  <c r="CA6" i="12"/>
  <c r="AX3" i="13"/>
  <c r="AX7" i="13"/>
  <c r="AY5" i="13"/>
  <c r="AX4" i="13"/>
  <c r="AX8" i="13"/>
  <c r="AX6" i="13"/>
  <c r="BO4" i="10"/>
  <c r="BO8" i="10"/>
  <c r="BO7" i="10"/>
  <c r="BO6" i="10"/>
  <c r="BP5" i="10"/>
  <c r="BO3" i="10"/>
  <c r="BW48" i="8"/>
  <c r="BW50" i="8"/>
  <c r="BW51" i="8"/>
  <c r="BW52" i="8"/>
  <c r="BX49" i="8"/>
  <c r="BX7" i="8"/>
  <c r="BX15" i="8" s="1" a="1"/>
  <c r="BX15" i="8" s="1"/>
  <c r="BX73" i="8"/>
  <c r="BX47" i="8"/>
  <c r="BX11" i="8"/>
  <c r="BY8" i="8"/>
  <c r="BY94" i="8" s="1"/>
  <c r="BX6" i="8"/>
  <c r="BX10" i="8"/>
  <c r="BX9" i="8"/>
  <c r="BW74" i="8"/>
  <c r="BX75" i="8"/>
  <c r="BW78" i="8"/>
  <c r="BW77" i="8"/>
  <c r="BW76" i="8"/>
  <c r="J80" i="33" l="1"/>
  <c r="K80" i="33" s="1"/>
  <c r="I55" i="33"/>
  <c r="I81" i="33"/>
  <c r="J81" i="33" s="1"/>
  <c r="K81" i="33" s="1"/>
  <c r="I14" i="33"/>
  <c r="J13" i="33"/>
  <c r="K13" i="33" s="1"/>
  <c r="AB12" i="7"/>
  <c r="B31" i="7" s="1"/>
  <c r="M56" i="33"/>
  <c r="M15" i="33"/>
  <c r="M82" i="33"/>
  <c r="M12" i="33"/>
  <c r="M79" i="33"/>
  <c r="M53" i="33"/>
  <c r="N14" i="33"/>
  <c r="O14" i="33" s="1"/>
  <c r="U78" i="17"/>
  <c r="BB79" i="17" a="1"/>
  <c r="BB79" i="17" s="1"/>
  <c r="Q78" i="17"/>
  <c r="BK79" i="17" a="1"/>
  <c r="BK79" i="17" s="1"/>
  <c r="AH79" i="17" a="1"/>
  <c r="AH79" i="17" s="1"/>
  <c r="N79" i="17" s="1"/>
  <c r="BR79" i="17" a="1"/>
  <c r="BR79" i="17" s="1"/>
  <c r="Z79" i="17" s="1"/>
  <c r="AI79" i="17" a="1"/>
  <c r="AI79" i="17" s="1"/>
  <c r="BE79" i="17" a="1"/>
  <c r="BE79" i="17" s="1"/>
  <c r="BN42" i="17"/>
  <c r="AM79" i="17" a="1"/>
  <c r="AM79" i="17" s="1"/>
  <c r="AF79" i="17" a="1"/>
  <c r="AF79" i="17" s="1"/>
  <c r="AG79" i="17" a="1"/>
  <c r="AG79" i="17" s="1"/>
  <c r="AJ79" i="17" a="1"/>
  <c r="AJ79" i="17" s="1"/>
  <c r="AN79" i="17" a="1"/>
  <c r="AN79" i="17" s="1"/>
  <c r="P79" i="17" s="1"/>
  <c r="BI79" i="17" a="1"/>
  <c r="BI79" i="17" s="1"/>
  <c r="W79" i="17" s="1"/>
  <c r="AL79" i="17" a="1"/>
  <c r="AL79" i="17" s="1"/>
  <c r="AQ79" i="17" a="1"/>
  <c r="AQ79" i="17" s="1"/>
  <c r="Q79" i="17" s="1"/>
  <c r="BL79" i="17" a="1"/>
  <c r="BL79" i="17" s="1"/>
  <c r="X79" i="17" s="1"/>
  <c r="AK79" i="17" a="1"/>
  <c r="AK79" i="17" s="1"/>
  <c r="O79" i="17" s="1"/>
  <c r="J78" i="17"/>
  <c r="BM79" i="17" a="1"/>
  <c r="BM79" i="17" s="1"/>
  <c r="BF79" i="17" a="1"/>
  <c r="BF79" i="17" s="1"/>
  <c r="V79" i="17" s="1"/>
  <c r="AS79" i="17" a="1"/>
  <c r="AS79" i="17" s="1"/>
  <c r="AO79" i="17" a="1"/>
  <c r="AO79" i="17" s="1"/>
  <c r="AU79" i="17" a="1"/>
  <c r="AU79" i="17" s="1"/>
  <c r="K14" i="3"/>
  <c r="AP79" i="17" a="1"/>
  <c r="AP79" i="17" s="1"/>
  <c r="AR79" i="17" a="1"/>
  <c r="AR79" i="17" s="1"/>
  <c r="BG79" i="17" a="1"/>
  <c r="BG79" i="17" s="1"/>
  <c r="AT79" i="17" a="1"/>
  <c r="AT79" i="17" s="1"/>
  <c r="R79" i="17" s="1"/>
  <c r="AZ79" i="17" a="1"/>
  <c r="AZ79" i="17" s="1"/>
  <c r="T79" i="17" s="1"/>
  <c r="BN79" i="17" a="1"/>
  <c r="BN79" i="17" s="1"/>
  <c r="BA79" i="17" a="1"/>
  <c r="BA79" i="17" s="1"/>
  <c r="AV79" i="17" a="1"/>
  <c r="AV79" i="17" s="1"/>
  <c r="AX79" i="17" a="1"/>
  <c r="AX79" i="17" s="1"/>
  <c r="AW79" i="17" a="1"/>
  <c r="AW79" i="17" s="1"/>
  <c r="S79" i="17" s="1"/>
  <c r="BH79" i="17" a="1"/>
  <c r="BH79" i="17" s="1"/>
  <c r="BP79" i="17" a="1"/>
  <c r="BP79" i="17" s="1"/>
  <c r="AY79" i="17" a="1"/>
  <c r="AY79" i="17" s="1"/>
  <c r="BO79" i="17" a="1"/>
  <c r="BO79" i="17" s="1"/>
  <c r="Y79" i="17" s="1"/>
  <c r="BD79" i="17" a="1"/>
  <c r="BD79" i="17" s="1"/>
  <c r="BC79" i="17" a="1"/>
  <c r="BC79" i="17" s="1"/>
  <c r="U79" i="17" s="1"/>
  <c r="BJ79" i="17" a="1"/>
  <c r="BJ79" i="17" s="1"/>
  <c r="O151" i="29"/>
  <c r="AT115" i="13"/>
  <c r="BO41" i="17"/>
  <c r="E80" i="17" s="1" a="1"/>
  <c r="E80" i="17" s="1"/>
  <c r="BK80" i="17" s="1" a="1"/>
  <c r="BK80" i="17" s="1"/>
  <c r="AV110" i="13"/>
  <c r="T63" i="20"/>
  <c r="AV111" i="13"/>
  <c r="BY85" i="20"/>
  <c r="AV130" i="13" s="1"/>
  <c r="AV128" i="13"/>
  <c r="K13" i="3"/>
  <c r="BX42" i="12"/>
  <c r="AV60" i="13" s="1"/>
  <c r="AV116" i="13"/>
  <c r="AK156" i="29"/>
  <c r="G146" i="29"/>
  <c r="N151" i="29"/>
  <c r="H146" i="29"/>
  <c r="K10" i="3"/>
  <c r="BF156" i="29"/>
  <c r="V151" i="29"/>
  <c r="T151" i="29"/>
  <c r="BI156" i="29"/>
  <c r="W151" i="29"/>
  <c r="K11" i="3"/>
  <c r="M151" i="29"/>
  <c r="S151" i="29"/>
  <c r="AW156" i="29"/>
  <c r="R151" i="29"/>
  <c r="AR151" i="29"/>
  <c r="AR156" i="29" s="1"/>
  <c r="AP151" i="29"/>
  <c r="P151" i="29" s="1"/>
  <c r="L6" i="3"/>
  <c r="AD11" i="7"/>
  <c r="H156" i="29"/>
  <c r="T156" i="29"/>
  <c r="U151" i="29"/>
  <c r="BA41" i="13"/>
  <c r="CE14" i="12" a="1"/>
  <c r="CE14" i="12" s="1"/>
  <c r="BC41" i="13" s="1"/>
  <c r="CB13" i="12" a="1"/>
  <c r="CB13" i="12" s="1"/>
  <c r="AZ40" i="13" s="1"/>
  <c r="BS105" i="17"/>
  <c r="BR107" i="17"/>
  <c r="BR109" i="17" s="1"/>
  <c r="BR103" i="17" s="1"/>
  <c r="CB103" i="12"/>
  <c r="AY102" i="13"/>
  <c r="BH65" i="15"/>
  <c r="BX82" i="20"/>
  <c r="BY111" i="20" a="1"/>
  <c r="BY111" i="20" s="1"/>
  <c r="BY109" i="20" a="1"/>
  <c r="BY109" i="20" s="1"/>
  <c r="AP65" i="15"/>
  <c r="BC65" i="15"/>
  <c r="BY87" i="20"/>
  <c r="AV132" i="13" s="1"/>
  <c r="BY86" i="20"/>
  <c r="AV131" i="13" s="1"/>
  <c r="BM65" i="16"/>
  <c r="AI65" i="15"/>
  <c r="AX65" i="15"/>
  <c r="BL65" i="15"/>
  <c r="AN65" i="15"/>
  <c r="BZ107" i="20"/>
  <c r="BZ109" i="20" s="1" a="1"/>
  <c r="BZ109" i="20" s="1"/>
  <c r="AL65" i="15"/>
  <c r="AK65" i="15"/>
  <c r="AZ65" i="15"/>
  <c r="BF65" i="15"/>
  <c r="AG65" i="15"/>
  <c r="J79" i="17"/>
  <c r="BZ90" i="20"/>
  <c r="AW134" i="13" s="1"/>
  <c r="BZ108" i="20"/>
  <c r="CB52" i="20"/>
  <c r="BZ83" i="20"/>
  <c r="BZ76" i="20"/>
  <c r="AW122" i="13" s="1"/>
  <c r="BZ77" i="20"/>
  <c r="AW123" i="13" s="1"/>
  <c r="BZ91" i="20"/>
  <c r="AW135" i="13" s="1"/>
  <c r="BW89" i="20"/>
  <c r="BV114" i="20"/>
  <c r="BY60" i="20"/>
  <c r="AL84" i="14"/>
  <c r="AO84" i="14"/>
  <c r="AZ84" i="14"/>
  <c r="AV84" i="14"/>
  <c r="BH84" i="14"/>
  <c r="BM84" i="14"/>
  <c r="AG84" i="14"/>
  <c r="AQ84" i="14"/>
  <c r="BP72" i="22"/>
  <c r="BP98" i="22"/>
  <c r="BP99" i="22"/>
  <c r="BP120" i="22"/>
  <c r="BP86" i="22"/>
  <c r="BP102" i="22"/>
  <c r="BP103" i="22"/>
  <c r="BP104" i="22"/>
  <c r="BP105" i="22"/>
  <c r="BP106" i="22"/>
  <c r="BP107" i="22"/>
  <c r="BP108" i="22"/>
  <c r="BP109" i="22"/>
  <c r="BP110" i="22"/>
  <c r="BP111" i="22"/>
  <c r="BP112" i="22"/>
  <c r="BP113" i="22"/>
  <c r="BP114" i="22"/>
  <c r="BP115" i="22"/>
  <c r="BP92" i="22"/>
  <c r="BP64" i="22"/>
  <c r="BP39" i="22"/>
  <c r="BP66" i="22"/>
  <c r="BP45" i="22"/>
  <c r="BP35" i="22"/>
  <c r="BP38" i="22"/>
  <c r="BP47" i="22"/>
  <c r="BP40" i="22"/>
  <c r="BP42" i="22"/>
  <c r="BP43" i="22"/>
  <c r="BP44" i="22"/>
  <c r="BP68" i="22"/>
  <c r="BP67" i="22"/>
  <c r="BP46" i="22"/>
  <c r="BP65" i="22"/>
  <c r="BP36" i="22"/>
  <c r="BP63" i="22"/>
  <c r="BP62" i="22"/>
  <c r="BP61" i="22"/>
  <c r="BP60" i="22"/>
  <c r="BP59" i="22"/>
  <c r="BP58" i="22"/>
  <c r="BP57" i="22"/>
  <c r="BP56" i="22"/>
  <c r="BP55" i="22"/>
  <c r="BP54" i="22"/>
  <c r="BP53" i="22"/>
  <c r="BP52" i="22"/>
  <c r="BP51" i="22"/>
  <c r="BP50" i="22"/>
  <c r="BP49" i="22"/>
  <c r="BP48" i="22"/>
  <c r="BP37" i="22"/>
  <c r="BP41" i="22"/>
  <c r="BP91" i="22"/>
  <c r="BP116" i="22"/>
  <c r="BP101" i="22"/>
  <c r="BP89" i="22"/>
  <c r="BP119" i="22"/>
  <c r="BP93" i="22"/>
  <c r="BP87" i="22"/>
  <c r="BP94" i="22"/>
  <c r="BP88" i="22"/>
  <c r="BP100" i="22"/>
  <c r="BP117" i="22"/>
  <c r="BP118" i="22"/>
  <c r="BP90" i="22"/>
  <c r="BP96" i="22"/>
  <c r="BP95" i="22"/>
  <c r="BP97" i="22"/>
  <c r="BQ4" i="22"/>
  <c r="BR5" i="22"/>
  <c r="BQ3" i="22"/>
  <c r="BQ6" i="22"/>
  <c r="BQ7" i="22"/>
  <c r="BQ8" i="22"/>
  <c r="BQ25" i="22" s="1"/>
  <c r="BP71" i="22"/>
  <c r="BP73" i="22"/>
  <c r="BO73" i="22"/>
  <c r="BN73" i="22"/>
  <c r="BM73" i="22"/>
  <c r="BL73" i="22"/>
  <c r="BK73" i="22"/>
  <c r="BJ73" i="22"/>
  <c r="BI73" i="22"/>
  <c r="BH73" i="22"/>
  <c r="BG73" i="22"/>
  <c r="BF73" i="22"/>
  <c r="BE73" i="22"/>
  <c r="BD73" i="22"/>
  <c r="BC73" i="22"/>
  <c r="BB73" i="22"/>
  <c r="BA73" i="22"/>
  <c r="AZ73" i="22"/>
  <c r="AY73" i="22"/>
  <c r="AX73" i="22"/>
  <c r="AW73" i="22"/>
  <c r="AV73" i="22"/>
  <c r="AU73" i="22"/>
  <c r="AT73" i="22"/>
  <c r="AS73" i="22"/>
  <c r="AR73" i="22"/>
  <c r="AQ73" i="22"/>
  <c r="AP73" i="22"/>
  <c r="AO73" i="22"/>
  <c r="AN73" i="22"/>
  <c r="AM73" i="22"/>
  <c r="AL73" i="22"/>
  <c r="AK73" i="22"/>
  <c r="AJ73" i="22"/>
  <c r="AI73" i="22"/>
  <c r="AH73" i="22"/>
  <c r="AE73" i="22"/>
  <c r="AF73" i="22"/>
  <c r="AG73" i="22"/>
  <c r="D74" i="22"/>
  <c r="E74" i="22" s="1" a="1"/>
  <c r="E74" i="22" s="1"/>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D125" i="22"/>
  <c r="AE124" i="22"/>
  <c r="AF124" i="22"/>
  <c r="CC54" i="20"/>
  <c r="BZ65" i="20"/>
  <c r="AW113" i="13" s="1"/>
  <c r="BZ64" i="20"/>
  <c r="AW112" i="13" s="1"/>
  <c r="BZ63" i="20"/>
  <c r="AW111" i="13" s="1"/>
  <c r="BZ62" i="20"/>
  <c r="BW75" i="20"/>
  <c r="BZ99" i="20"/>
  <c r="AW142" i="13" s="1"/>
  <c r="BZ100" i="20"/>
  <c r="AW143" i="13" s="1"/>
  <c r="BZ101" i="20"/>
  <c r="AW144" i="13" s="1"/>
  <c r="BY100" i="20"/>
  <c r="AV143" i="13" s="1"/>
  <c r="BY99" i="20"/>
  <c r="AV142" i="13" s="1"/>
  <c r="BY101" i="20"/>
  <c r="AV144" i="13" s="1"/>
  <c r="BX92" i="20"/>
  <c r="AU136" i="13" s="1"/>
  <c r="BX93" i="20"/>
  <c r="AU137" i="13" s="1"/>
  <c r="BX94" i="20"/>
  <c r="AU138" i="13" s="1"/>
  <c r="BX78" i="20"/>
  <c r="AU124" i="13" s="1"/>
  <c r="BX79" i="20"/>
  <c r="AU125" i="13" s="1"/>
  <c r="BX80" i="20"/>
  <c r="AU126" i="13" s="1"/>
  <c r="CA102" i="20"/>
  <c r="AX145" i="13" s="1"/>
  <c r="CA95" i="20"/>
  <c r="AX139" i="13" s="1"/>
  <c r="CA81" i="20"/>
  <c r="AX127" i="13" s="1"/>
  <c r="CA88" i="20"/>
  <c r="AX133" i="13" s="1"/>
  <c r="CC57" i="20"/>
  <c r="CC97" i="20" s="1"/>
  <c r="AZ140" i="13" s="1"/>
  <c r="CC56" i="20"/>
  <c r="CC55" i="20"/>
  <c r="BX68" i="20"/>
  <c r="BX106" i="20"/>
  <c r="CB3" i="20"/>
  <c r="CB6" i="20"/>
  <c r="CB7" i="20"/>
  <c r="CB4" i="20"/>
  <c r="CC5" i="20"/>
  <c r="CB8" i="20"/>
  <c r="CB112" i="20" s="1"/>
  <c r="CA21" i="20"/>
  <c r="CA17" i="20"/>
  <c r="CA25" i="20"/>
  <c r="CA23" i="20"/>
  <c r="CA15" i="20"/>
  <c r="CA30" i="20"/>
  <c r="CA35" i="20"/>
  <c r="CA12" i="20"/>
  <c r="CA33" i="20"/>
  <c r="CA20" i="20"/>
  <c r="CA13" i="20"/>
  <c r="CA29" i="20"/>
  <c r="CA24" i="20"/>
  <c r="CA74" i="20"/>
  <c r="AX121" i="13" s="1"/>
  <c r="CA18" i="20"/>
  <c r="CA19" i="20"/>
  <c r="CA32" i="20"/>
  <c r="CA34" i="20"/>
  <c r="CA26" i="20"/>
  <c r="CA14" i="20"/>
  <c r="CA31" i="20"/>
  <c r="CA16" i="20"/>
  <c r="CA28" i="20"/>
  <c r="CA27" i="20"/>
  <c r="CA22" i="20"/>
  <c r="CA11" i="20"/>
  <c r="BZ70" i="20"/>
  <c r="AW117" i="13" s="1"/>
  <c r="BZ61" i="20"/>
  <c r="AW109" i="13" s="1"/>
  <c r="BZ69" i="20"/>
  <c r="BZ10" i="20"/>
  <c r="BY115" i="20"/>
  <c r="BY72" i="20"/>
  <c r="BY73" i="20"/>
  <c r="BY71" i="20"/>
  <c r="BO113" i="16"/>
  <c r="BP113" i="16"/>
  <c r="CD53" i="20"/>
  <c r="BQ175" i="17"/>
  <c r="BP175" i="17"/>
  <c r="BO175" i="17"/>
  <c r="BN175" i="17"/>
  <c r="BM175" i="17"/>
  <c r="BL175" i="17"/>
  <c r="BK175" i="17"/>
  <c r="BJ175" i="17"/>
  <c r="BI175" i="17"/>
  <c r="BH175" i="17"/>
  <c r="BG175" i="17"/>
  <c r="BF175" i="17"/>
  <c r="BE175" i="17"/>
  <c r="BD175" i="17"/>
  <c r="BC175" i="17"/>
  <c r="BB175" i="17"/>
  <c r="BA175" i="17"/>
  <c r="AZ175" i="17"/>
  <c r="AY175" i="17"/>
  <c r="AX175" i="17"/>
  <c r="AW175" i="17"/>
  <c r="AV175" i="17"/>
  <c r="AU175" i="17"/>
  <c r="AT175" i="17"/>
  <c r="AS175" i="17"/>
  <c r="AR175" i="17"/>
  <c r="AQ175" i="17"/>
  <c r="AP175" i="17"/>
  <c r="AO175" i="17"/>
  <c r="AN175" i="17"/>
  <c r="AM175" i="17"/>
  <c r="AL175" i="17"/>
  <c r="AG175" i="17"/>
  <c r="AK175" i="17"/>
  <c r="AJ175" i="17"/>
  <c r="AI175" i="17"/>
  <c r="AF175" i="17"/>
  <c r="D176" i="17"/>
  <c r="AH175" i="17"/>
  <c r="BR175" i="17"/>
  <c r="AX84" i="14"/>
  <c r="BG84" i="14"/>
  <c r="AJ84" i="14"/>
  <c r="BK84" i="14"/>
  <c r="BD84" i="14"/>
  <c r="D85" i="17"/>
  <c r="BU5" i="17"/>
  <c r="BT3" i="17"/>
  <c r="BT8" i="17"/>
  <c r="BT6" i="17"/>
  <c r="BT7" i="17"/>
  <c r="BT4" i="17"/>
  <c r="BS79" i="17" a="1"/>
  <c r="BS79" i="17" s="1"/>
  <c r="BS78" i="17" a="1"/>
  <c r="BS78" i="17" s="1"/>
  <c r="BS77" i="17" a="1"/>
  <c r="BS77" i="17" s="1"/>
  <c r="BS76" i="17" a="1"/>
  <c r="BS76" i="17" s="1"/>
  <c r="BS75" i="17" a="1"/>
  <c r="BS75" i="17" s="1"/>
  <c r="BS74" i="17" a="1"/>
  <c r="BS74" i="17" s="1"/>
  <c r="BS73" i="17" a="1"/>
  <c r="BS73" i="17" s="1"/>
  <c r="BS72" i="17" a="1"/>
  <c r="BS72" i="17" s="1"/>
  <c r="BS163" i="17"/>
  <c r="BS71" i="17" a="1"/>
  <c r="BS71" i="17" s="1"/>
  <c r="BS162" i="17"/>
  <c r="BS70" i="17" a="1"/>
  <c r="BS70" i="17" s="1"/>
  <c r="BS160" i="17"/>
  <c r="BS136" i="17"/>
  <c r="BS138" i="17"/>
  <c r="BS47" i="17" a="1"/>
  <c r="BS47" i="17" s="1"/>
  <c r="BS49" i="17" a="1"/>
  <c r="BS49" i="17" s="1"/>
  <c r="BS142" i="17"/>
  <c r="BS143" i="17"/>
  <c r="BS144" i="17"/>
  <c r="BS54" i="17" a="1"/>
  <c r="BS54" i="17" s="1"/>
  <c r="BS55" i="17" a="1"/>
  <c r="BS55" i="17" s="1"/>
  <c r="BS56" i="17" a="1"/>
  <c r="BS56" i="17" s="1"/>
  <c r="BS57" i="17" a="1"/>
  <c r="BS57" i="17" s="1"/>
  <c r="BS58" i="17" a="1"/>
  <c r="BS58" i="17" s="1"/>
  <c r="BS151" i="17"/>
  <c r="BS60" i="17" a="1"/>
  <c r="BS60" i="17" s="1"/>
  <c r="BS153" i="17"/>
  <c r="BS154" i="17"/>
  <c r="BS155" i="17"/>
  <c r="BS66" i="17" a="1"/>
  <c r="BS66" i="17" s="1"/>
  <c r="BS45" i="17" a="1"/>
  <c r="BS45" i="17" s="1"/>
  <c r="BS46" i="17" a="1"/>
  <c r="BS46" i="17" s="1"/>
  <c r="BS139" i="17"/>
  <c r="BS48" i="17" a="1"/>
  <c r="BS48" i="17" s="1"/>
  <c r="BS141" i="17"/>
  <c r="BS50" i="17" a="1"/>
  <c r="BS50" i="17" s="1"/>
  <c r="BS53" i="17" a="1"/>
  <c r="BS53" i="17" s="1"/>
  <c r="BS145" i="17"/>
  <c r="BS147" i="17"/>
  <c r="BS149" i="17"/>
  <c r="BS150" i="17"/>
  <c r="BS152" i="17"/>
  <c r="BS61" i="17" a="1"/>
  <c r="BS61" i="17" s="1"/>
  <c r="BS62" i="17" a="1"/>
  <c r="BS62" i="17" s="1"/>
  <c r="BS63" i="17" a="1"/>
  <c r="BS63" i="17" s="1"/>
  <c r="BS64" i="17" a="1"/>
  <c r="BS64" i="17" s="1"/>
  <c r="BS156" i="17"/>
  <c r="BS65" i="17" a="1"/>
  <c r="BS65" i="17" s="1"/>
  <c r="BS157" i="17"/>
  <c r="BS158" i="17"/>
  <c r="BS159" i="17"/>
  <c r="BS67" i="17" a="1"/>
  <c r="BS67" i="17" s="1"/>
  <c r="BS68" i="17" a="1"/>
  <c r="BS68" i="17" s="1"/>
  <c r="BS137" i="17"/>
  <c r="BS140" i="17"/>
  <c r="BS51" i="17" a="1"/>
  <c r="BS51" i="17" s="1"/>
  <c r="BS52" i="17" a="1"/>
  <c r="BS52" i="17" s="1"/>
  <c r="BS146" i="17"/>
  <c r="BS148" i="17"/>
  <c r="BS59" i="17" a="1"/>
  <c r="BS59" i="17" s="1"/>
  <c r="BS161" i="17"/>
  <c r="BS69" i="17" a="1"/>
  <c r="BS69" i="17" s="1"/>
  <c r="BN115" i="16"/>
  <c r="BM115" i="16"/>
  <c r="BP115" i="16"/>
  <c r="BO115" i="16"/>
  <c r="BL115" i="16"/>
  <c r="BK115" i="16"/>
  <c r="BJ115" i="16"/>
  <c r="BI115" i="16"/>
  <c r="BH115" i="16"/>
  <c r="BG115" i="16"/>
  <c r="BF115" i="16"/>
  <c r="BE115" i="16"/>
  <c r="BD115" i="16"/>
  <c r="BC115" i="16"/>
  <c r="BB115" i="16"/>
  <c r="BA115" i="16"/>
  <c r="AZ115" i="16"/>
  <c r="AY115" i="16"/>
  <c r="AX115" i="16"/>
  <c r="AW115" i="16"/>
  <c r="AV115" i="16"/>
  <c r="AU115" i="16"/>
  <c r="AT115" i="16"/>
  <c r="AS115" i="16"/>
  <c r="AR115" i="16"/>
  <c r="AQ115" i="16"/>
  <c r="AP115" i="16"/>
  <c r="AO115" i="16"/>
  <c r="AN115" i="16"/>
  <c r="AM115" i="16"/>
  <c r="AL115" i="16"/>
  <c r="AK115" i="16"/>
  <c r="AJ115" i="16"/>
  <c r="AI115" i="16"/>
  <c r="AH115" i="16"/>
  <c r="AG115" i="16"/>
  <c r="AF115" i="16"/>
  <c r="BQ114" i="16"/>
  <c r="AS65" i="15"/>
  <c r="BI65" i="15"/>
  <c r="E114" i="15" a="1"/>
  <c r="E114" i="15" s="1"/>
  <c r="AO65" i="15"/>
  <c r="AH65" i="15"/>
  <c r="BB65" i="15"/>
  <c r="AU65" i="15"/>
  <c r="BA65" i="15"/>
  <c r="BQ11" i="16"/>
  <c r="BQ15" i="16"/>
  <c r="BQ14" i="16" s="1"/>
  <c r="BT16" i="16" s="1"/>
  <c r="BQ19" i="16"/>
  <c r="BQ18" i="16" s="1"/>
  <c r="BR4" i="16"/>
  <c r="BR3" i="16"/>
  <c r="BR7" i="16"/>
  <c r="BR6" i="16"/>
  <c r="BS5" i="16"/>
  <c r="BR8" i="16"/>
  <c r="BM66" i="16" s="1"/>
  <c r="BQ113" i="16"/>
  <c r="BQ86" i="16"/>
  <c r="BQ85" i="16"/>
  <c r="BQ83" i="16"/>
  <c r="BQ48" i="16"/>
  <c r="BQ81" i="16"/>
  <c r="BQ46" i="16"/>
  <c r="BQ45" i="16"/>
  <c r="BQ78" i="16"/>
  <c r="BQ33" i="16"/>
  <c r="BQ44" i="16"/>
  <c r="BQ35" i="16"/>
  <c r="BQ39" i="16"/>
  <c r="BQ34" i="16"/>
  <c r="BQ32" i="16"/>
  <c r="BQ31" i="16"/>
  <c r="BQ40" i="16"/>
  <c r="BQ43" i="16"/>
  <c r="BQ41" i="16"/>
  <c r="BQ87" i="16"/>
  <c r="BQ88" i="16"/>
  <c r="BQ57" i="16"/>
  <c r="BQ92" i="16"/>
  <c r="BQ61" i="16"/>
  <c r="BQ95" i="16"/>
  <c r="BQ98" i="16"/>
  <c r="BQ99" i="16"/>
  <c r="BQ100" i="16"/>
  <c r="BQ102" i="16"/>
  <c r="BQ103" i="16"/>
  <c r="BQ104" i="16"/>
  <c r="BQ105" i="16"/>
  <c r="BQ106" i="16"/>
  <c r="BQ107" i="16"/>
  <c r="BQ108" i="16"/>
  <c r="BQ109" i="16"/>
  <c r="BQ110" i="16"/>
  <c r="BQ112" i="16"/>
  <c r="BQ54" i="16"/>
  <c r="BQ52" i="16"/>
  <c r="BQ51" i="16"/>
  <c r="BQ84" i="16"/>
  <c r="BQ50" i="16"/>
  <c r="BQ49" i="16"/>
  <c r="BQ82" i="16"/>
  <c r="BQ47" i="16"/>
  <c r="BQ80" i="16"/>
  <c r="BQ79" i="16"/>
  <c r="BQ36" i="16"/>
  <c r="BQ28" i="16"/>
  <c r="BQ38" i="16"/>
  <c r="BQ29" i="16"/>
  <c r="BQ30" i="16"/>
  <c r="BQ42" i="16"/>
  <c r="BQ37" i="16"/>
  <c r="BQ53" i="16"/>
  <c r="BQ55" i="16"/>
  <c r="BQ89" i="16"/>
  <c r="BQ56" i="16"/>
  <c r="BQ90" i="16"/>
  <c r="BQ91" i="16"/>
  <c r="BQ58" i="16"/>
  <c r="BQ93" i="16"/>
  <c r="BQ59" i="16"/>
  <c r="BQ60" i="16"/>
  <c r="BQ94" i="16"/>
  <c r="BQ96" i="16"/>
  <c r="BQ62" i="16"/>
  <c r="BQ97" i="16"/>
  <c r="BQ101" i="16"/>
  <c r="BQ111" i="16"/>
  <c r="BN65" i="16"/>
  <c r="BO65" i="16"/>
  <c r="BL65" i="16"/>
  <c r="BP65" i="16"/>
  <c r="BC84" i="14"/>
  <c r="AW84" i="14"/>
  <c r="BO84" i="14"/>
  <c r="BB84" i="14"/>
  <c r="AN84" i="14"/>
  <c r="AP84" i="14"/>
  <c r="BN84" i="14"/>
  <c r="AS84" i="14"/>
  <c r="AK84" i="14"/>
  <c r="AT84" i="14"/>
  <c r="AY84" i="14"/>
  <c r="AM84" i="14"/>
  <c r="BF84" i="14"/>
  <c r="AU84" i="14"/>
  <c r="BJ84" i="14"/>
  <c r="AH84" i="14"/>
  <c r="BA84" i="14"/>
  <c r="AF84" i="14"/>
  <c r="BE84" i="14"/>
  <c r="AI84" i="14"/>
  <c r="BL84" i="14"/>
  <c r="BI84" i="14"/>
  <c r="BO113" i="15"/>
  <c r="BP113" i="15"/>
  <c r="BS16" i="15"/>
  <c r="BN65" i="15"/>
  <c r="BQ113" i="15"/>
  <c r="BQ112" i="15"/>
  <c r="BQ111" i="15"/>
  <c r="BQ110" i="15"/>
  <c r="BQ109" i="15"/>
  <c r="BQ108" i="15"/>
  <c r="BQ63" i="15"/>
  <c r="BQ107" i="15"/>
  <c r="BQ106" i="15"/>
  <c r="BQ62" i="15"/>
  <c r="BQ105" i="15"/>
  <c r="BQ61" i="15"/>
  <c r="BQ104" i="15"/>
  <c r="BQ60" i="15"/>
  <c r="BQ59" i="15"/>
  <c r="BQ103" i="15"/>
  <c r="BQ58" i="15"/>
  <c r="BQ102" i="15"/>
  <c r="BQ57" i="15"/>
  <c r="BQ101" i="15"/>
  <c r="BQ56" i="15"/>
  <c r="BQ100" i="15"/>
  <c r="BQ55" i="15"/>
  <c r="BQ54" i="15"/>
  <c r="BQ99" i="15"/>
  <c r="BQ98" i="15"/>
  <c r="BQ53" i="15"/>
  <c r="BQ97" i="15"/>
  <c r="BQ52" i="15"/>
  <c r="BQ96" i="15"/>
  <c r="BQ51" i="15"/>
  <c r="BQ95" i="15"/>
  <c r="BQ50" i="15"/>
  <c r="BQ94" i="15"/>
  <c r="BQ49" i="15"/>
  <c r="BQ93" i="15"/>
  <c r="BQ48" i="15"/>
  <c r="BQ92" i="15"/>
  <c r="BQ47" i="15"/>
  <c r="BQ91" i="15"/>
  <c r="BQ46" i="15"/>
  <c r="BQ90" i="15"/>
  <c r="BQ45" i="15"/>
  <c r="BQ89" i="15"/>
  <c r="BQ44" i="15"/>
  <c r="BQ88" i="15"/>
  <c r="BQ43" i="15"/>
  <c r="BQ87" i="15"/>
  <c r="BQ42" i="15"/>
  <c r="BQ41" i="15"/>
  <c r="BQ86" i="15"/>
  <c r="BQ85" i="15"/>
  <c r="BQ40" i="15"/>
  <c r="BQ84" i="15"/>
  <c r="BQ39" i="15"/>
  <c r="BQ83" i="15"/>
  <c r="BQ38" i="15"/>
  <c r="BQ37" i="15"/>
  <c r="BQ82" i="15"/>
  <c r="BQ81" i="15"/>
  <c r="BQ36" i="15"/>
  <c r="BQ80" i="15"/>
  <c r="BQ35" i="15"/>
  <c r="BQ79" i="15"/>
  <c r="BQ34" i="15"/>
  <c r="BQ29" i="15"/>
  <c r="BQ30" i="15"/>
  <c r="BQ31" i="15"/>
  <c r="BQ32" i="15"/>
  <c r="BQ78" i="15"/>
  <c r="BQ19" i="15" a="1"/>
  <c r="BQ19" i="15" s="1"/>
  <c r="BQ18" i="15" s="1"/>
  <c r="BQ15" i="15" a="1"/>
  <c r="BQ15" i="15" s="1"/>
  <c r="BQ14" i="15" s="1"/>
  <c r="BQ33" i="15"/>
  <c r="BQ11" i="15" a="1"/>
  <c r="BQ11" i="15" s="1"/>
  <c r="BQ28" i="15"/>
  <c r="BR3" i="15"/>
  <c r="BR8" i="15"/>
  <c r="BD66" i="15" s="1"/>
  <c r="BR7" i="15"/>
  <c r="BR4" i="15"/>
  <c r="BR6" i="15"/>
  <c r="BS5" i="15"/>
  <c r="AT115" i="15"/>
  <c r="AV115" i="15"/>
  <c r="AX115" i="15"/>
  <c r="AY115" i="15"/>
  <c r="AZ115" i="15"/>
  <c r="BB115" i="15"/>
  <c r="BG65" i="15"/>
  <c r="BD115" i="15"/>
  <c r="BF115" i="15"/>
  <c r="BG115" i="15"/>
  <c r="BH115" i="15"/>
  <c r="BJ115" i="15"/>
  <c r="BL115" i="15"/>
  <c r="BN115" i="15"/>
  <c r="BO115" i="15"/>
  <c r="BP115" i="15"/>
  <c r="BM115" i="15"/>
  <c r="BK115" i="15"/>
  <c r="BI115" i="15"/>
  <c r="BE115" i="15"/>
  <c r="BC115" i="15"/>
  <c r="BA115" i="15"/>
  <c r="AW115" i="15"/>
  <c r="AU115" i="15"/>
  <c r="AS115" i="15"/>
  <c r="BJ65" i="15"/>
  <c r="AM65" i="15"/>
  <c r="BP65" i="15"/>
  <c r="BE65" i="15"/>
  <c r="AF65" i="15"/>
  <c r="AJ65" i="15"/>
  <c r="AT65" i="15"/>
  <c r="BD65" i="15"/>
  <c r="BM65" i="15"/>
  <c r="AW65" i="15"/>
  <c r="BK65" i="15"/>
  <c r="AV65" i="15"/>
  <c r="BO65" i="15"/>
  <c r="AF115" i="15"/>
  <c r="AG115" i="15"/>
  <c r="AH115" i="15"/>
  <c r="AI115" i="15"/>
  <c r="AR65" i="15"/>
  <c r="AJ115" i="15"/>
  <c r="AK115" i="15"/>
  <c r="AY65" i="15"/>
  <c r="AL115" i="15"/>
  <c r="AM115" i="15"/>
  <c r="AN115" i="15"/>
  <c r="AO115" i="15"/>
  <c r="AP115" i="15"/>
  <c r="AQ115" i="15"/>
  <c r="AR115" i="15"/>
  <c r="BO63" i="15"/>
  <c r="BP63" i="15"/>
  <c r="BQ50" i="14"/>
  <c r="BQ48" i="14"/>
  <c r="BQ47" i="14"/>
  <c r="BQ49" i="14"/>
  <c r="BQ51" i="14"/>
  <c r="BQ52" i="14"/>
  <c r="BQ53" i="14"/>
  <c r="BQ54" i="14"/>
  <c r="BQ55" i="14"/>
  <c r="BQ56" i="14"/>
  <c r="BQ57" i="14"/>
  <c r="BQ58" i="14"/>
  <c r="BQ59" i="14"/>
  <c r="BQ60" i="14"/>
  <c r="BQ61" i="14"/>
  <c r="BQ62" i="14"/>
  <c r="BQ63" i="14"/>
  <c r="BQ64" i="14"/>
  <c r="BQ65" i="14"/>
  <c r="BQ66" i="14"/>
  <c r="BQ67" i="14"/>
  <c r="BQ68" i="14"/>
  <c r="BQ69" i="14"/>
  <c r="BQ70" i="14"/>
  <c r="BQ71" i="14"/>
  <c r="BQ72" i="14"/>
  <c r="BR8" i="14"/>
  <c r="AT85" i="14" s="1"/>
  <c r="BR7" i="14"/>
  <c r="BS5" i="14"/>
  <c r="BR6" i="14"/>
  <c r="BR3" i="14"/>
  <c r="BR4" i="14"/>
  <c r="BP84" i="14"/>
  <c r="AY10" i="16"/>
  <c r="D117" i="16"/>
  <c r="D72" i="15"/>
  <c r="AY10" i="15"/>
  <c r="D117" i="15"/>
  <c r="D89" i="14"/>
  <c r="BP4" i="9"/>
  <c r="BQ5" i="9"/>
  <c r="BP8" i="9"/>
  <c r="BP6" i="9"/>
  <c r="BP3" i="9"/>
  <c r="BP7" i="9"/>
  <c r="BO4" i="11"/>
  <c r="BO3" i="11"/>
  <c r="BP5" i="11"/>
  <c r="BO7" i="11"/>
  <c r="BO6" i="11"/>
  <c r="BO8" i="11"/>
  <c r="CB119" i="12" a="1"/>
  <c r="CB119" i="12" s="1"/>
  <c r="CB117" i="12" a="1"/>
  <c r="CB117" i="12" s="1"/>
  <c r="CB116" i="12" a="1"/>
  <c r="CB116" i="12" s="1"/>
  <c r="CB115" i="12" a="1"/>
  <c r="CB115" i="12" s="1"/>
  <c r="CB114" i="12" a="1"/>
  <c r="CB114" i="12" s="1"/>
  <c r="CB113" i="12" a="1"/>
  <c r="CB113" i="12" s="1"/>
  <c r="CB112" i="12" a="1"/>
  <c r="CB112" i="12" s="1"/>
  <c r="CB111" i="12" a="1"/>
  <c r="CB111" i="12" s="1"/>
  <c r="CB109" i="12" a="1"/>
  <c r="CB109" i="12" s="1"/>
  <c r="CB4" i="12"/>
  <c r="CB8" i="12"/>
  <c r="CB7" i="12"/>
  <c r="CB3" i="12"/>
  <c r="CB6" i="12"/>
  <c r="CC5" i="12"/>
  <c r="AY8" i="13"/>
  <c r="AY7" i="13"/>
  <c r="AZ5" i="13"/>
  <c r="AY4" i="13"/>
  <c r="AY3" i="13"/>
  <c r="AY6" i="13"/>
  <c r="BP3" i="10"/>
  <c r="BQ5" i="10"/>
  <c r="BP4" i="10"/>
  <c r="BP8" i="10"/>
  <c r="BP7" i="10"/>
  <c r="BP6" i="10"/>
  <c r="BX48" i="8"/>
  <c r="BX51" i="8"/>
  <c r="BY49" i="8"/>
  <c r="BX50" i="8"/>
  <c r="BX52" i="8"/>
  <c r="BY6" i="8"/>
  <c r="BY9" i="8"/>
  <c r="BZ8" i="8"/>
  <c r="BZ94" i="8" s="1"/>
  <c r="BY7" i="8"/>
  <c r="BY15" i="8" s="1" a="1"/>
  <c r="BY15" i="8" s="1"/>
  <c r="BY73" i="8"/>
  <c r="BY47" i="8"/>
  <c r="BY11" i="8"/>
  <c r="BY10" i="8"/>
  <c r="BX78" i="8"/>
  <c r="BX77" i="8"/>
  <c r="BX76" i="8"/>
  <c r="BX74" i="8"/>
  <c r="BY75" i="8"/>
  <c r="H20" i="7" l="1"/>
  <c r="N20" i="7"/>
  <c r="B20" i="7"/>
  <c r="T31" i="7"/>
  <c r="T20" i="7"/>
  <c r="N31" i="7"/>
  <c r="H31" i="7"/>
  <c r="AB11" i="7"/>
  <c r="I82" i="33"/>
  <c r="I56" i="33"/>
  <c r="I15" i="33"/>
  <c r="I12" i="33"/>
  <c r="I53" i="33"/>
  <c r="I79" i="33"/>
  <c r="J14" i="33"/>
  <c r="K14" i="33" s="1"/>
  <c r="J55" i="33"/>
  <c r="K55" i="33" s="1"/>
  <c r="H79" i="17"/>
  <c r="I79" i="17"/>
  <c r="AG80" i="17" a="1"/>
  <c r="AG80" i="17" s="1"/>
  <c r="BS80" i="17" a="1"/>
  <c r="BS80" i="17" s="1"/>
  <c r="BM80" i="17" a="1"/>
  <c r="BM80" i="17" s="1"/>
  <c r="AH80" i="17" a="1"/>
  <c r="AH80" i="17" s="1"/>
  <c r="N80" i="17" s="1"/>
  <c r="BC80" i="17" a="1"/>
  <c r="BC80" i="17" s="1"/>
  <c r="AS80" i="17" a="1"/>
  <c r="AS80" i="17" s="1"/>
  <c r="BO42" i="17"/>
  <c r="AI80" i="17" a="1"/>
  <c r="AI80" i="17" s="1"/>
  <c r="AQ80" i="17" a="1"/>
  <c r="AQ80" i="17" s="1"/>
  <c r="BQ80" i="17" a="1"/>
  <c r="BQ80" i="17" s="1"/>
  <c r="BG80" i="17" a="1"/>
  <c r="BG80" i="17" s="1"/>
  <c r="BH80" i="17" a="1"/>
  <c r="BH80" i="17" s="1"/>
  <c r="AJ80" i="17" a="1"/>
  <c r="AJ80" i="17" s="1"/>
  <c r="AX80" i="17" a="1"/>
  <c r="AX80" i="17" s="1"/>
  <c r="BI80" i="17" a="1"/>
  <c r="BI80" i="17" s="1"/>
  <c r="W80" i="17" s="1"/>
  <c r="BO80" i="17" a="1"/>
  <c r="BO80" i="17" s="1"/>
  <c r="BJ80" i="17" a="1"/>
  <c r="BJ80" i="17" s="1"/>
  <c r="BE80" i="17" a="1"/>
  <c r="BE80" i="17" s="1"/>
  <c r="AV80" i="17" a="1"/>
  <c r="AV80" i="17" s="1"/>
  <c r="AF80" i="17" a="1"/>
  <c r="AF80" i="17" s="1"/>
  <c r="AK80" i="17" a="1"/>
  <c r="AK80" i="17" s="1"/>
  <c r="O80" i="17" s="1"/>
  <c r="BB80" i="17" a="1"/>
  <c r="BB80" i="17" s="1"/>
  <c r="BF80" i="17" a="1"/>
  <c r="BF80" i="17" s="1"/>
  <c r="V80" i="17" s="1"/>
  <c r="AL80" i="17" a="1"/>
  <c r="AL80" i="17" s="1"/>
  <c r="BP80" i="17" a="1"/>
  <c r="BP80" i="17" s="1"/>
  <c r="AM80" i="17" a="1"/>
  <c r="AM80" i="17" s="1"/>
  <c r="AW80" i="17" a="1"/>
  <c r="AW80" i="17" s="1"/>
  <c r="S80" i="17" s="1"/>
  <c r="BL80" i="17" a="1"/>
  <c r="BL80" i="17" s="1"/>
  <c r="X80" i="17" s="1"/>
  <c r="AN80" i="17" a="1"/>
  <c r="AN80" i="17" s="1"/>
  <c r="P80" i="17" s="1"/>
  <c r="BA80" i="17" a="1"/>
  <c r="BA80" i="17" s="1"/>
  <c r="AT80" i="17" a="1"/>
  <c r="AT80" i="17" s="1"/>
  <c r="R80" i="17" s="1"/>
  <c r="AO80" i="17" a="1"/>
  <c r="AO80" i="17" s="1"/>
  <c r="BN80" i="17" a="1"/>
  <c r="BN80" i="17" s="1"/>
  <c r="AP80" i="17" a="1"/>
  <c r="AP80" i="17" s="1"/>
  <c r="AU80" i="17" a="1"/>
  <c r="AU80" i="17" s="1"/>
  <c r="BR80" i="17" a="1"/>
  <c r="BR80" i="17" s="1"/>
  <c r="Z80" i="17" s="1"/>
  <c r="BD80" i="17" a="1"/>
  <c r="BD80" i="17" s="1"/>
  <c r="AR80" i="17" a="1"/>
  <c r="AR80" i="17" s="1"/>
  <c r="AZ80" i="17" a="1"/>
  <c r="AZ80" i="17" s="1"/>
  <c r="T80" i="17" s="1"/>
  <c r="AY80" i="17" a="1"/>
  <c r="AY80" i="17" s="1"/>
  <c r="AU115" i="13"/>
  <c r="AV108" i="13"/>
  <c r="AV120" i="13"/>
  <c r="BZ87" i="20"/>
  <c r="AW132" i="13" s="1"/>
  <c r="AW128" i="13"/>
  <c r="AV119" i="13"/>
  <c r="BP41" i="17"/>
  <c r="E81" i="17" s="1" a="1"/>
  <c r="E81" i="17" s="1"/>
  <c r="BS81" i="17" s="1" a="1"/>
  <c r="BS81" i="17" s="1"/>
  <c r="AW110" i="13"/>
  <c r="AW108" i="13" s="1"/>
  <c r="AV118" i="13"/>
  <c r="BY42" i="12"/>
  <c r="AW60" i="13" s="1"/>
  <c r="AW116" i="13"/>
  <c r="CF14" i="12" a="1"/>
  <c r="CF14" i="12" s="1"/>
  <c r="BD41" i="13" s="1"/>
  <c r="T19" i="7"/>
  <c r="H30" i="7"/>
  <c r="B30" i="7"/>
  <c r="N19" i="7"/>
  <c r="T30" i="7"/>
  <c r="H19" i="7"/>
  <c r="N30" i="7"/>
  <c r="B19" i="7"/>
  <c r="AP156" i="29"/>
  <c r="Q151" i="29"/>
  <c r="H151" i="29"/>
  <c r="G151" i="29"/>
  <c r="CC13" i="12" a="1"/>
  <c r="CC13" i="12" s="1"/>
  <c r="BA40" i="13" s="1"/>
  <c r="BT105" i="17"/>
  <c r="BS107" i="17"/>
  <c r="BS109" i="17" s="1"/>
  <c r="BS103" i="17" s="1"/>
  <c r="CC103" i="12"/>
  <c r="AZ102" i="13"/>
  <c r="BY82" i="20"/>
  <c r="BZ110" i="20"/>
  <c r="BZ111" i="20" a="1"/>
  <c r="BZ111" i="20" s="1"/>
  <c r="AK66" i="15"/>
  <c r="BP66" i="16"/>
  <c r="BZ85" i="20"/>
  <c r="AW130" i="13" s="1"/>
  <c r="BZ86" i="20"/>
  <c r="AW131" i="13" s="1"/>
  <c r="CA83" i="20"/>
  <c r="AR85" i="14"/>
  <c r="AP85" i="14"/>
  <c r="AN85" i="14"/>
  <c r="AL85" i="14"/>
  <c r="AJ85" i="14"/>
  <c r="AG85" i="14"/>
  <c r="BP85" i="14"/>
  <c r="BQ66" i="16"/>
  <c r="CA107" i="20"/>
  <c r="CA90" i="20"/>
  <c r="AX134" i="13" s="1"/>
  <c r="CA108" i="20"/>
  <c r="BQ73" i="22"/>
  <c r="BP66" i="15"/>
  <c r="CC52" i="20"/>
  <c r="BW114" i="20"/>
  <c r="CA76" i="20"/>
  <c r="AX122" i="13" s="1"/>
  <c r="CA77" i="20"/>
  <c r="AX123" i="13" s="1"/>
  <c r="CA91" i="20"/>
  <c r="AX135" i="13" s="1"/>
  <c r="BY68" i="20"/>
  <c r="BX89" i="20"/>
  <c r="BZ96" i="20"/>
  <c r="BZ60" i="20"/>
  <c r="BQ37" i="22"/>
  <c r="BQ47" i="22"/>
  <c r="BQ50" i="22"/>
  <c r="BQ43" i="22"/>
  <c r="BQ56" i="22"/>
  <c r="BQ38" i="22"/>
  <c r="BQ51" i="22"/>
  <c r="BQ60" i="22"/>
  <c r="BQ63" i="22"/>
  <c r="BQ65" i="22"/>
  <c r="BQ68" i="22"/>
  <c r="BQ35" i="22"/>
  <c r="BQ41" i="22"/>
  <c r="BQ42" i="22"/>
  <c r="BQ48" i="22"/>
  <c r="BQ54" i="22"/>
  <c r="BQ64" i="22"/>
  <c r="BQ46" i="22"/>
  <c r="BQ52" i="22"/>
  <c r="BQ44" i="22"/>
  <c r="BQ62" i="22"/>
  <c r="BQ57" i="22"/>
  <c r="BQ71" i="22"/>
  <c r="BQ58" i="22"/>
  <c r="BQ39" i="22"/>
  <c r="BQ36" i="22"/>
  <c r="BQ53" i="22"/>
  <c r="BQ61" i="22"/>
  <c r="BQ67" i="22"/>
  <c r="BQ40" i="22"/>
  <c r="BQ45" i="22"/>
  <c r="BQ49" i="22"/>
  <c r="BQ55" i="22"/>
  <c r="BQ59" i="22"/>
  <c r="BQ66" i="22"/>
  <c r="BR8" i="22"/>
  <c r="BR25" i="22" s="1"/>
  <c r="BS5" i="22"/>
  <c r="BR7" i="22"/>
  <c r="BR6" i="22"/>
  <c r="BR3" i="22"/>
  <c r="BR4" i="22"/>
  <c r="BQ86" i="22"/>
  <c r="BQ92" i="22"/>
  <c r="BQ97" i="22"/>
  <c r="BQ101" i="22"/>
  <c r="BQ120" i="22"/>
  <c r="BQ98" i="22"/>
  <c r="BQ102" i="22"/>
  <c r="BQ115" i="22"/>
  <c r="BQ72" i="22"/>
  <c r="BQ100" i="22"/>
  <c r="BQ91" i="22"/>
  <c r="BQ117" i="22"/>
  <c r="BQ87" i="22"/>
  <c r="BQ96" i="22"/>
  <c r="BQ104" i="22"/>
  <c r="BQ105" i="22"/>
  <c r="BQ109" i="22"/>
  <c r="BQ113" i="22"/>
  <c r="BQ118" i="22"/>
  <c r="BQ94" i="22"/>
  <c r="BQ88" i="22"/>
  <c r="BQ90" i="22"/>
  <c r="BQ107" i="22"/>
  <c r="BQ108" i="22"/>
  <c r="BQ110" i="22"/>
  <c r="BQ111" i="22"/>
  <c r="BQ89" i="22"/>
  <c r="BQ99" i="22"/>
  <c r="BQ95" i="22"/>
  <c r="BQ119" i="22"/>
  <c r="BQ93" i="22"/>
  <c r="BQ103" i="22"/>
  <c r="BQ106" i="22"/>
  <c r="BQ112" i="22"/>
  <c r="BQ114" i="22"/>
  <c r="BQ116" i="22"/>
  <c r="BQ74" i="22"/>
  <c r="BP74" i="22"/>
  <c r="BO74" i="22"/>
  <c r="BN74" i="22"/>
  <c r="BM74" i="22"/>
  <c r="BL74" i="22"/>
  <c r="BK74" i="22"/>
  <c r="BJ74" i="22"/>
  <c r="BI74" i="22"/>
  <c r="BH74" i="22"/>
  <c r="BG74" i="22"/>
  <c r="BF74" i="22"/>
  <c r="BE74" i="22"/>
  <c r="BD74" i="22"/>
  <c r="BC74" i="22"/>
  <c r="BB74" i="22"/>
  <c r="BA74" i="22"/>
  <c r="AZ74" i="22"/>
  <c r="AY74" i="22"/>
  <c r="AX74" i="22"/>
  <c r="AW74" i="22"/>
  <c r="AV74" i="22"/>
  <c r="AU74" i="22"/>
  <c r="AT74" i="22"/>
  <c r="AS74" i="22"/>
  <c r="AR74" i="22"/>
  <c r="AQ74" i="22"/>
  <c r="AP74" i="22"/>
  <c r="AO74" i="22"/>
  <c r="AN74" i="22"/>
  <c r="AM74" i="22"/>
  <c r="AL74" i="22"/>
  <c r="AK74" i="22"/>
  <c r="AJ74" i="22"/>
  <c r="AI74" i="22"/>
  <c r="AH74" i="22"/>
  <c r="AE74" i="22"/>
  <c r="AG74" i="22"/>
  <c r="AF74" i="22"/>
  <c r="D75" i="22"/>
  <c r="E75" i="22" s="1" a="1"/>
  <c r="E75" i="22" s="1"/>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D126" i="22"/>
  <c r="AG125" i="22"/>
  <c r="AF125" i="22"/>
  <c r="AE125" i="22"/>
  <c r="CD54" i="20"/>
  <c r="CA64" i="20"/>
  <c r="AX112" i="13" s="1"/>
  <c r="CA63" i="20"/>
  <c r="AX111" i="13" s="1"/>
  <c r="CA62" i="20"/>
  <c r="CA65" i="20"/>
  <c r="AX113" i="13" s="1"/>
  <c r="BY96" i="20"/>
  <c r="BX75" i="20"/>
  <c r="CA101" i="20"/>
  <c r="AX144" i="13" s="1"/>
  <c r="CA99" i="20"/>
  <c r="AX142" i="13" s="1"/>
  <c r="CA100" i="20"/>
  <c r="AX143" i="13" s="1"/>
  <c r="BY79" i="20"/>
  <c r="AV125" i="13" s="1"/>
  <c r="BY78" i="20"/>
  <c r="AV124" i="13" s="1"/>
  <c r="BY80" i="20"/>
  <c r="AV126" i="13" s="1"/>
  <c r="BY93" i="20"/>
  <c r="AV137" i="13" s="1"/>
  <c r="BY94" i="20"/>
  <c r="AV138" i="13" s="1"/>
  <c r="BY92" i="20"/>
  <c r="AV136" i="13" s="1"/>
  <c r="CB102" i="20"/>
  <c r="AY145" i="13" s="1"/>
  <c r="CB95" i="20"/>
  <c r="AY139" i="13" s="1"/>
  <c r="CB81" i="20"/>
  <c r="AY127" i="13" s="1"/>
  <c r="CB88" i="20"/>
  <c r="AY133" i="13" s="1"/>
  <c r="CD57" i="20"/>
  <c r="CD97" i="20" s="1"/>
  <c r="BA140" i="13" s="1"/>
  <c r="CD56" i="20"/>
  <c r="CD55" i="20"/>
  <c r="BY106" i="20"/>
  <c r="CC6" i="20"/>
  <c r="CC4" i="20"/>
  <c r="CC3" i="20"/>
  <c r="CC7" i="20"/>
  <c r="CD5" i="20"/>
  <c r="CC8" i="20"/>
  <c r="CC112" i="20" s="1"/>
  <c r="CB31" i="20"/>
  <c r="CB21" i="20"/>
  <c r="CB27" i="20"/>
  <c r="CB29" i="20"/>
  <c r="CB24" i="20"/>
  <c r="CB15" i="20"/>
  <c r="CB74" i="20"/>
  <c r="AY121" i="13" s="1"/>
  <c r="CB34" i="20"/>
  <c r="CB20" i="20"/>
  <c r="CB11" i="20"/>
  <c r="CB35" i="20"/>
  <c r="CB23" i="20"/>
  <c r="CB14" i="20"/>
  <c r="CB18" i="20"/>
  <c r="CB26" i="20"/>
  <c r="CB13" i="20"/>
  <c r="CB25" i="20"/>
  <c r="CB12" i="20"/>
  <c r="CB16" i="20"/>
  <c r="CB32" i="20"/>
  <c r="CB30" i="20"/>
  <c r="CB33" i="20"/>
  <c r="CB28" i="20"/>
  <c r="CB19" i="20"/>
  <c r="CB22" i="20"/>
  <c r="CB17" i="20"/>
  <c r="CA70" i="20"/>
  <c r="AX117" i="13" s="1"/>
  <c r="CA61" i="20"/>
  <c r="AX109" i="13" s="1"/>
  <c r="CA69" i="20"/>
  <c r="CA10" i="20"/>
  <c r="BZ115" i="20"/>
  <c r="BZ72" i="20"/>
  <c r="BZ73" i="20"/>
  <c r="BZ71" i="20"/>
  <c r="AW116" i="16"/>
  <c r="AV116" i="16"/>
  <c r="AU116" i="16"/>
  <c r="AT116" i="16"/>
  <c r="AS116" i="16"/>
  <c r="AR116" i="16"/>
  <c r="AQ116" i="16"/>
  <c r="AP116" i="16"/>
  <c r="AO116" i="16"/>
  <c r="AN116" i="16"/>
  <c r="AM116" i="16"/>
  <c r="AL116" i="16"/>
  <c r="AK116" i="16"/>
  <c r="AJ116" i="16"/>
  <c r="AI116" i="16"/>
  <c r="AH116" i="16"/>
  <c r="AG116" i="16"/>
  <c r="AF116" i="16"/>
  <c r="BP114" i="15"/>
  <c r="BQ114" i="15"/>
  <c r="AF66" i="15"/>
  <c r="BI66" i="15"/>
  <c r="CE53" i="20"/>
  <c r="BR176" i="17"/>
  <c r="BQ176" i="17"/>
  <c r="BP176" i="17"/>
  <c r="BO176" i="17"/>
  <c r="BN176" i="17"/>
  <c r="BM176" i="17"/>
  <c r="BL176" i="17"/>
  <c r="BK176" i="17"/>
  <c r="BJ176" i="17"/>
  <c r="BI176" i="17"/>
  <c r="BH176" i="17"/>
  <c r="BG176" i="17"/>
  <c r="BF176" i="17"/>
  <c r="BE176" i="17"/>
  <c r="BD176" i="17"/>
  <c r="BC176" i="17"/>
  <c r="BB176" i="17"/>
  <c r="BA176" i="17"/>
  <c r="AZ176" i="17"/>
  <c r="AY176" i="17"/>
  <c r="AX176" i="17"/>
  <c r="AW176" i="17"/>
  <c r="AV176" i="17"/>
  <c r="AU176" i="17"/>
  <c r="AT176" i="17"/>
  <c r="AS176" i="17"/>
  <c r="AR176" i="17"/>
  <c r="AQ176" i="17"/>
  <c r="AP176" i="17"/>
  <c r="AO176" i="17"/>
  <c r="AN176" i="17"/>
  <c r="AM176" i="17"/>
  <c r="D177" i="17"/>
  <c r="AK176" i="17"/>
  <c r="AH176" i="17"/>
  <c r="AF176" i="17"/>
  <c r="AJ176" i="17"/>
  <c r="AL176" i="17"/>
  <c r="AI176" i="17"/>
  <c r="AG176" i="17"/>
  <c r="BS176" i="17"/>
  <c r="BB116" i="16"/>
  <c r="BA116" i="16"/>
  <c r="AZ116" i="16"/>
  <c r="AY116" i="16"/>
  <c r="AX116" i="16"/>
  <c r="AV85" i="14"/>
  <c r="AF85" i="14"/>
  <c r="AH85" i="14"/>
  <c r="AI85" i="14"/>
  <c r="AK85" i="14"/>
  <c r="AM85" i="14"/>
  <c r="AO85" i="14"/>
  <c r="AQ85" i="14"/>
  <c r="AS85" i="14"/>
  <c r="AU85" i="14"/>
  <c r="D86" i="17"/>
  <c r="BT80" i="17" a="1"/>
  <c r="BT80" i="17" s="1"/>
  <c r="BU6" i="17"/>
  <c r="BU7" i="17"/>
  <c r="BV5" i="17"/>
  <c r="BU4" i="17"/>
  <c r="BU3" i="17"/>
  <c r="BU8" i="17"/>
  <c r="BT79" i="17" a="1"/>
  <c r="BT79" i="17" s="1"/>
  <c r="BT78" i="17" a="1"/>
  <c r="BT78" i="17" s="1"/>
  <c r="BT77" i="17" a="1"/>
  <c r="BT77" i="17" s="1"/>
  <c r="BT76" i="17" a="1"/>
  <c r="BT76" i="17" s="1"/>
  <c r="BT75" i="17" a="1"/>
  <c r="BT75" i="17" s="1"/>
  <c r="BT74" i="17" a="1"/>
  <c r="BT74" i="17" s="1"/>
  <c r="BT73" i="17" a="1"/>
  <c r="BT73" i="17" s="1"/>
  <c r="BT164" i="17"/>
  <c r="BT72" i="17" a="1"/>
  <c r="BT72" i="17" s="1"/>
  <c r="BT163" i="17"/>
  <c r="BT71" i="17" a="1"/>
  <c r="BT71" i="17" s="1"/>
  <c r="BT140" i="17"/>
  <c r="BT143" i="17"/>
  <c r="BT66" i="17" a="1"/>
  <c r="BT66" i="17" s="1"/>
  <c r="BT46" i="17" a="1"/>
  <c r="BT46" i="17" s="1"/>
  <c r="BT69" i="17" a="1"/>
  <c r="BT69" i="17" s="1"/>
  <c r="BT161" i="17"/>
  <c r="BT49" i="17" a="1"/>
  <c r="BT49" i="17" s="1"/>
  <c r="BT52" i="17" a="1"/>
  <c r="BT52" i="17" s="1"/>
  <c r="BT144" i="17"/>
  <c r="BT53" i="17" a="1"/>
  <c r="BT53" i="17" s="1"/>
  <c r="BT145" i="17"/>
  <c r="BT54" i="17" a="1"/>
  <c r="BT54" i="17" s="1"/>
  <c r="BT154" i="17"/>
  <c r="BT63" i="17" a="1"/>
  <c r="BT63" i="17" s="1"/>
  <c r="BT65" i="17" a="1"/>
  <c r="BT65" i="17" s="1"/>
  <c r="BT157" i="17"/>
  <c r="BT67" i="17" a="1"/>
  <c r="BT67" i="17" s="1"/>
  <c r="BT159" i="17"/>
  <c r="BT68" i="17" a="1"/>
  <c r="BT68" i="17" s="1"/>
  <c r="BT160" i="17"/>
  <c r="BT136" i="17"/>
  <c r="BT137" i="17"/>
  <c r="BT45" i="17" a="1"/>
  <c r="BT45" i="17" s="1"/>
  <c r="BT138" i="17"/>
  <c r="BT139" i="17"/>
  <c r="BT48" i="17" a="1"/>
  <c r="BT48" i="17" s="1"/>
  <c r="BT50" i="17" a="1"/>
  <c r="BT50" i="17" s="1"/>
  <c r="BT142" i="17"/>
  <c r="BT146" i="17"/>
  <c r="BT155" i="17"/>
  <c r="BT64" i="17" a="1"/>
  <c r="BT64" i="17" s="1"/>
  <c r="BT156" i="17"/>
  <c r="BT158" i="17"/>
  <c r="BT51" i="17" a="1"/>
  <c r="BT51" i="17" s="1"/>
  <c r="BT162" i="17"/>
  <c r="BT70" i="17" a="1"/>
  <c r="BT70" i="17" s="1"/>
  <c r="BT47" i="17" a="1"/>
  <c r="BT47" i="17" s="1"/>
  <c r="BT141" i="17"/>
  <c r="BT147" i="17"/>
  <c r="BT55" i="17" a="1"/>
  <c r="BT55" i="17" s="1"/>
  <c r="BT148" i="17"/>
  <c r="BT56" i="17" a="1"/>
  <c r="BT56" i="17" s="1"/>
  <c r="BT57" i="17" a="1"/>
  <c r="BT57" i="17" s="1"/>
  <c r="BT149" i="17"/>
  <c r="BT58" i="17" a="1"/>
  <c r="BT58" i="17" s="1"/>
  <c r="BT150" i="17"/>
  <c r="BT59" i="17" a="1"/>
  <c r="BT59" i="17" s="1"/>
  <c r="BT151" i="17"/>
  <c r="BT152" i="17"/>
  <c r="BT60" i="17" a="1"/>
  <c r="BT60" i="17" s="1"/>
  <c r="BT61" i="17" a="1"/>
  <c r="BT61" i="17" s="1"/>
  <c r="BT153" i="17"/>
  <c r="BT62" i="17" a="1"/>
  <c r="BT62" i="17" s="1"/>
  <c r="BC116" i="16"/>
  <c r="BD116" i="16"/>
  <c r="BG116" i="16"/>
  <c r="BE116" i="16"/>
  <c r="BJ116" i="16"/>
  <c r="BF116" i="16"/>
  <c r="BP116" i="16"/>
  <c r="BN116" i="16"/>
  <c r="BL116" i="16"/>
  <c r="BI116" i="16"/>
  <c r="BQ116" i="16"/>
  <c r="BO116" i="16"/>
  <c r="BM116" i="16"/>
  <c r="BK116" i="16"/>
  <c r="BH116" i="16"/>
  <c r="AX116" i="15"/>
  <c r="AV116" i="15"/>
  <c r="AT116" i="15"/>
  <c r="AR116" i="15"/>
  <c r="AP116" i="15"/>
  <c r="AN116" i="15"/>
  <c r="AL116" i="15"/>
  <c r="AJ116" i="15"/>
  <c r="AH116" i="15"/>
  <c r="AF116" i="15"/>
  <c r="BQ116" i="15"/>
  <c r="BP116" i="15"/>
  <c r="BO116" i="15"/>
  <c r="BN116" i="15"/>
  <c r="BM116" i="15"/>
  <c r="BL116" i="15"/>
  <c r="BK116" i="15"/>
  <c r="BJ116" i="15"/>
  <c r="BI116" i="15"/>
  <c r="BH116" i="15"/>
  <c r="BG116" i="15"/>
  <c r="BF116" i="15"/>
  <c r="BE116" i="15"/>
  <c r="BD116" i="15"/>
  <c r="BC116" i="15"/>
  <c r="BB116" i="15"/>
  <c r="BA116" i="15"/>
  <c r="AZ116" i="15"/>
  <c r="AY116" i="15"/>
  <c r="AW116" i="15"/>
  <c r="AU116" i="15"/>
  <c r="AS116" i="15"/>
  <c r="AQ116" i="15"/>
  <c r="AO116" i="15"/>
  <c r="AM116" i="15"/>
  <c r="AK116" i="15"/>
  <c r="AI116" i="15"/>
  <c r="AG116" i="15"/>
  <c r="E115" i="16" a="1"/>
  <c r="E115" i="16" s="1"/>
  <c r="BR19" i="16"/>
  <c r="BR18" i="16" s="1"/>
  <c r="BR15" i="16"/>
  <c r="BR14" i="16" s="1"/>
  <c r="BU16" i="16" s="1"/>
  <c r="BR11" i="16"/>
  <c r="BS7" i="16"/>
  <c r="BS8" i="16"/>
  <c r="BO67" i="16" s="1"/>
  <c r="BS3" i="16"/>
  <c r="BS4" i="16"/>
  <c r="BS6" i="16"/>
  <c r="BT5" i="16"/>
  <c r="BR114" i="16"/>
  <c r="BO66" i="16"/>
  <c r="BN66" i="16"/>
  <c r="BR80" i="16"/>
  <c r="BR46" i="16"/>
  <c r="BR79" i="16"/>
  <c r="BR78" i="16"/>
  <c r="BR40" i="16"/>
  <c r="BR42" i="16"/>
  <c r="BR29" i="16"/>
  <c r="BR33" i="16"/>
  <c r="BR37" i="16"/>
  <c r="BR30" i="16"/>
  <c r="BR38" i="16"/>
  <c r="BR32" i="16"/>
  <c r="BR39" i="16"/>
  <c r="BR35" i="16"/>
  <c r="BR44" i="16"/>
  <c r="BR55" i="16"/>
  <c r="BR89" i="16"/>
  <c r="BR53" i="16"/>
  <c r="BR88" i="16"/>
  <c r="BR56" i="16"/>
  <c r="BR57" i="16"/>
  <c r="BR92" i="16"/>
  <c r="BR58" i="16"/>
  <c r="BR93" i="16"/>
  <c r="BR94" i="16"/>
  <c r="BR60" i="16"/>
  <c r="BR61" i="16"/>
  <c r="BR95" i="16"/>
  <c r="BR96" i="16"/>
  <c r="BR63" i="16"/>
  <c r="BR97" i="16"/>
  <c r="BR98" i="16"/>
  <c r="BR100" i="16"/>
  <c r="BR101" i="16"/>
  <c r="BR102" i="16"/>
  <c r="BR104" i="16"/>
  <c r="BR105" i="16"/>
  <c r="BR107" i="16"/>
  <c r="BR111" i="16"/>
  <c r="BR113" i="16"/>
  <c r="BR86" i="16"/>
  <c r="BR52" i="16"/>
  <c r="BR51" i="16"/>
  <c r="BR85" i="16"/>
  <c r="BR84" i="16"/>
  <c r="BR50" i="16"/>
  <c r="BR83" i="16"/>
  <c r="BR49" i="16"/>
  <c r="BR82" i="16"/>
  <c r="BR48" i="16"/>
  <c r="BR47" i="16"/>
  <c r="BR81" i="16"/>
  <c r="BR45" i="16"/>
  <c r="BR43" i="16"/>
  <c r="BR28" i="16"/>
  <c r="BR31" i="16"/>
  <c r="BR36" i="16"/>
  <c r="BR41" i="16"/>
  <c r="BR34" i="16"/>
  <c r="BR87" i="16"/>
  <c r="BR54" i="16"/>
  <c r="BR90" i="16"/>
  <c r="BR91" i="16"/>
  <c r="BR59" i="16"/>
  <c r="BR62" i="16"/>
  <c r="BR99" i="16"/>
  <c r="BR103" i="16"/>
  <c r="BR106" i="16"/>
  <c r="BR108" i="16"/>
  <c r="BR109" i="16"/>
  <c r="BR110" i="16"/>
  <c r="BR112" i="16"/>
  <c r="BM66" i="15"/>
  <c r="AJ66" i="15"/>
  <c r="AS66" i="15"/>
  <c r="BK66" i="15"/>
  <c r="AR66" i="15"/>
  <c r="BE66" i="15"/>
  <c r="AO66" i="15"/>
  <c r="BF66" i="15"/>
  <c r="AW66" i="15"/>
  <c r="AL66" i="15"/>
  <c r="E115" i="15" a="1"/>
  <c r="E115" i="15" s="1"/>
  <c r="BO66" i="15"/>
  <c r="BN66" i="15"/>
  <c r="E65" i="15" a="1"/>
  <c r="E65" i="15" s="1"/>
  <c r="BT16" i="15"/>
  <c r="BA66" i="15"/>
  <c r="AH66" i="15"/>
  <c r="AX66" i="15"/>
  <c r="AN66" i="15"/>
  <c r="AQ66" i="15"/>
  <c r="BB66" i="15"/>
  <c r="AP66" i="15"/>
  <c r="AZ66" i="15"/>
  <c r="BH66" i="15"/>
  <c r="AM66" i="15"/>
  <c r="BG66" i="15"/>
  <c r="AY66" i="15"/>
  <c r="BJ66" i="15"/>
  <c r="BR114" i="15"/>
  <c r="BL66" i="15"/>
  <c r="AV66" i="15"/>
  <c r="AT66" i="15"/>
  <c r="BC66" i="15"/>
  <c r="AG66" i="15"/>
  <c r="AU66" i="15"/>
  <c r="AI66" i="15"/>
  <c r="BR113" i="15"/>
  <c r="BR112" i="15"/>
  <c r="BR111" i="15"/>
  <c r="BR110" i="15"/>
  <c r="BR109" i="15"/>
  <c r="BR108" i="15"/>
  <c r="BR107" i="15"/>
  <c r="BR63" i="15"/>
  <c r="BR106" i="15"/>
  <c r="BR62" i="15"/>
  <c r="BR105" i="15"/>
  <c r="BR61" i="15"/>
  <c r="BR60" i="15"/>
  <c r="BR104" i="15"/>
  <c r="BR59" i="15"/>
  <c r="BR103" i="15"/>
  <c r="BR58" i="15"/>
  <c r="BR102" i="15"/>
  <c r="BR57" i="15"/>
  <c r="BR101" i="15"/>
  <c r="BR56" i="15"/>
  <c r="BR100" i="15"/>
  <c r="BR55" i="15"/>
  <c r="BR54" i="15"/>
  <c r="BR99" i="15"/>
  <c r="BR98" i="15"/>
  <c r="BR53" i="15"/>
  <c r="BR97" i="15"/>
  <c r="BR52" i="15"/>
  <c r="BR96" i="15"/>
  <c r="BR51" i="15"/>
  <c r="BR95" i="15"/>
  <c r="BR50" i="15"/>
  <c r="BR94" i="15"/>
  <c r="BR49" i="15"/>
  <c r="BR93" i="15"/>
  <c r="BR48" i="15"/>
  <c r="BR92" i="15"/>
  <c r="BR47" i="15"/>
  <c r="BR91" i="15"/>
  <c r="BR46" i="15"/>
  <c r="BR90" i="15"/>
  <c r="BR45" i="15"/>
  <c r="BR89" i="15"/>
  <c r="BR44" i="15"/>
  <c r="BR88" i="15"/>
  <c r="BR43" i="15"/>
  <c r="BR87" i="15"/>
  <c r="BR42" i="15"/>
  <c r="BR86" i="15"/>
  <c r="BR41" i="15"/>
  <c r="BR85" i="15"/>
  <c r="BR40" i="15"/>
  <c r="BR84" i="15"/>
  <c r="BR39" i="15"/>
  <c r="BR83" i="15"/>
  <c r="BR38" i="15"/>
  <c r="BR37" i="15"/>
  <c r="BR82" i="15"/>
  <c r="BR81" i="15"/>
  <c r="BR36" i="15"/>
  <c r="BR80" i="15"/>
  <c r="BR35" i="15"/>
  <c r="BR79" i="15"/>
  <c r="BR34" i="15"/>
  <c r="BR19" i="15" a="1"/>
  <c r="BR19" i="15" s="1"/>
  <c r="BR18" i="15" s="1"/>
  <c r="BR30" i="15"/>
  <c r="BR31" i="15"/>
  <c r="BR32" i="15"/>
  <c r="BR78" i="15"/>
  <c r="BR29" i="15"/>
  <c r="BR28" i="15"/>
  <c r="BR15" i="15" a="1"/>
  <c r="BR15" i="15" s="1"/>
  <c r="BR14" i="15" s="1"/>
  <c r="E66" i="15" s="1" a="1"/>
  <c r="E66" i="15" s="1"/>
  <c r="BR66" i="15" s="1"/>
  <c r="BR33" i="15"/>
  <c r="BR11" i="15" a="1"/>
  <c r="BR11" i="15" s="1"/>
  <c r="BS7" i="15"/>
  <c r="BS8" i="15"/>
  <c r="BS3" i="15"/>
  <c r="BS4" i="15"/>
  <c r="BT5" i="15"/>
  <c r="BS6" i="15"/>
  <c r="BQ66" i="15"/>
  <c r="BR50" i="14"/>
  <c r="BR48" i="14"/>
  <c r="BR47" i="14"/>
  <c r="BR49" i="14"/>
  <c r="BR51" i="14"/>
  <c r="BR52" i="14"/>
  <c r="BR53" i="14"/>
  <c r="BR54" i="14"/>
  <c r="BR55" i="14"/>
  <c r="BR56" i="14"/>
  <c r="BR57" i="14"/>
  <c r="BR58" i="14"/>
  <c r="BR59" i="14"/>
  <c r="BR60" i="14"/>
  <c r="BR61" i="14"/>
  <c r="BR62" i="14"/>
  <c r="BR63" i="14"/>
  <c r="BR64" i="14"/>
  <c r="BR65" i="14"/>
  <c r="BR66" i="14"/>
  <c r="BR67" i="14"/>
  <c r="BR68" i="14"/>
  <c r="BR69" i="14"/>
  <c r="BR70" i="14"/>
  <c r="BR71" i="14"/>
  <c r="BR72" i="14"/>
  <c r="BR73" i="14"/>
  <c r="BS8" i="14"/>
  <c r="BT5" i="14"/>
  <c r="BS6" i="14"/>
  <c r="BS7" i="14"/>
  <c r="BS3" i="14"/>
  <c r="BS4" i="14"/>
  <c r="AX85" i="14"/>
  <c r="AZ85" i="14"/>
  <c r="BB85" i="14"/>
  <c r="BF85" i="14"/>
  <c r="BH85" i="14"/>
  <c r="BJ85" i="14"/>
  <c r="BM85" i="14"/>
  <c r="BO85" i="14"/>
  <c r="BA85" i="14"/>
  <c r="BE85" i="14"/>
  <c r="BI85" i="14"/>
  <c r="BN85" i="14"/>
  <c r="AY85" i="14"/>
  <c r="BQ85" i="14"/>
  <c r="BD85" i="14"/>
  <c r="BK85" i="14"/>
  <c r="BC85" i="14"/>
  <c r="BL85" i="14"/>
  <c r="AW85" i="14"/>
  <c r="BG85" i="14"/>
  <c r="AZ12" i="16"/>
  <c r="AY25" i="16"/>
  <c r="AY22" i="16"/>
  <c r="AY27" i="14" s="1"/>
  <c r="D118" i="16"/>
  <c r="D73" i="15"/>
  <c r="AY22" i="15"/>
  <c r="AY25" i="14" s="1"/>
  <c r="AY25" i="15"/>
  <c r="AZ12" i="15"/>
  <c r="D118" i="15"/>
  <c r="D90" i="14"/>
  <c r="BQ6" i="9"/>
  <c r="BQ7" i="9"/>
  <c r="BQ8" i="9"/>
  <c r="BQ4" i="9"/>
  <c r="BR5" i="9"/>
  <c r="BQ3" i="9"/>
  <c r="BP3" i="11"/>
  <c r="BP6" i="11"/>
  <c r="BP8" i="11"/>
  <c r="BP7" i="11"/>
  <c r="BQ5" i="11"/>
  <c r="BP4" i="11"/>
  <c r="CC119" i="12" a="1"/>
  <c r="CC119" i="12" s="1"/>
  <c r="CC117" i="12" a="1"/>
  <c r="CC117" i="12" s="1"/>
  <c r="CC116" i="12" a="1"/>
  <c r="CC116" i="12" s="1"/>
  <c r="CC115" i="12" a="1"/>
  <c r="CC115" i="12" s="1"/>
  <c r="CC114" i="12" a="1"/>
  <c r="CC114" i="12" s="1"/>
  <c r="CC113" i="12" a="1"/>
  <c r="CC113" i="12" s="1"/>
  <c r="CC112" i="12" a="1"/>
  <c r="CC112" i="12" s="1"/>
  <c r="CC111" i="12" a="1"/>
  <c r="CC111" i="12" s="1"/>
  <c r="CC109" i="12" a="1"/>
  <c r="CC109" i="12" s="1"/>
  <c r="CC8" i="12"/>
  <c r="CC4" i="12"/>
  <c r="CC3" i="12"/>
  <c r="CC7" i="12"/>
  <c r="CC6" i="12"/>
  <c r="CD5" i="12"/>
  <c r="AZ3" i="13"/>
  <c r="AZ7" i="13"/>
  <c r="BA5" i="13"/>
  <c r="AZ4" i="13"/>
  <c r="AZ8" i="13"/>
  <c r="AZ6" i="13"/>
  <c r="BQ8" i="10"/>
  <c r="BQ7" i="10"/>
  <c r="BQ6" i="10"/>
  <c r="BR5" i="10"/>
  <c r="BQ4" i="10"/>
  <c r="BQ3" i="10"/>
  <c r="BY48" i="8"/>
  <c r="BY50" i="8"/>
  <c r="BY51" i="8"/>
  <c r="BY52" i="8"/>
  <c r="BZ49" i="8"/>
  <c r="BZ7" i="8"/>
  <c r="BZ15" i="8" s="1" a="1"/>
  <c r="BZ15" i="8" s="1"/>
  <c r="BZ73" i="8"/>
  <c r="BZ47" i="8"/>
  <c r="BZ11" i="8"/>
  <c r="CA8" i="8"/>
  <c r="CA94" i="8" s="1"/>
  <c r="BZ6" i="8"/>
  <c r="BZ10" i="8"/>
  <c r="BZ9" i="8"/>
  <c r="BY74" i="8"/>
  <c r="BY78" i="8"/>
  <c r="BY77" i="8"/>
  <c r="BY76" i="8"/>
  <c r="BZ75" i="8"/>
  <c r="BP42" i="17" l="1"/>
  <c r="BL81" i="17" a="1"/>
  <c r="BL81" i="17" s="1"/>
  <c r="X81" i="17" s="1"/>
  <c r="AJ81" i="17" a="1"/>
  <c r="AJ81" i="17" s="1"/>
  <c r="AZ81" i="17" a="1"/>
  <c r="AZ81" i="17" s="1"/>
  <c r="T81" i="17" s="1"/>
  <c r="AR81" i="17" a="1"/>
  <c r="AR81" i="17" s="1"/>
  <c r="BB81" i="17" a="1"/>
  <c r="BB81" i="17" s="1"/>
  <c r="AY81" i="17" a="1"/>
  <c r="AY81" i="17" s="1"/>
  <c r="BJ81" i="17" a="1"/>
  <c r="BJ81" i="17" s="1"/>
  <c r="AU81" i="17" a="1"/>
  <c r="AU81" i="17" s="1"/>
  <c r="AQ81" i="17" a="1"/>
  <c r="AQ81" i="17" s="1"/>
  <c r="AV81" i="17" a="1"/>
  <c r="AV81" i="17" s="1"/>
  <c r="BE81" i="17" a="1"/>
  <c r="BE81" i="17" s="1"/>
  <c r="AV115" i="13"/>
  <c r="BX43" i="12"/>
  <c r="AV61" i="13" s="1"/>
  <c r="BR81" i="17" a="1"/>
  <c r="BR81" i="17" s="1"/>
  <c r="Z81" i="17" s="1"/>
  <c r="BQ81" i="17" a="1"/>
  <c r="BQ81" i="17" s="1"/>
  <c r="AS81" i="17" a="1"/>
  <c r="AS81" i="17" s="1"/>
  <c r="BG81" i="17" a="1"/>
  <c r="BG81" i="17" s="1"/>
  <c r="AM81" i="17" a="1"/>
  <c r="AM81" i="17" s="1"/>
  <c r="BC81" i="17" a="1"/>
  <c r="BC81" i="17" s="1"/>
  <c r="BH81" i="17" a="1"/>
  <c r="BH81" i="17" s="1"/>
  <c r="BM81" i="17" a="1"/>
  <c r="BM81" i="17" s="1"/>
  <c r="BO81" i="17" a="1"/>
  <c r="BO81" i="17" s="1"/>
  <c r="AH81" i="17" a="1"/>
  <c r="AH81" i="17" s="1"/>
  <c r="N81" i="17" s="1"/>
  <c r="BD81" i="17" a="1"/>
  <c r="BD81" i="17" s="1"/>
  <c r="AL81" i="17" a="1"/>
  <c r="AL81" i="17" s="1"/>
  <c r="AW118" i="13"/>
  <c r="AF81" i="17" a="1"/>
  <c r="AF81" i="17" s="1"/>
  <c r="BA81" i="17" a="1"/>
  <c r="BA81" i="17" s="1"/>
  <c r="BQ41" i="17"/>
  <c r="E82" i="17" s="1" a="1"/>
  <c r="E82" i="17" s="1"/>
  <c r="AS82" i="17" s="1" a="1"/>
  <c r="AS82" i="17" s="1"/>
  <c r="AX110" i="13"/>
  <c r="AX108" i="13" s="1"/>
  <c r="BF81" i="17" a="1"/>
  <c r="BF81" i="17" s="1"/>
  <c r="V81" i="17" s="1"/>
  <c r="BX44" i="12"/>
  <c r="AV62" i="13" s="1"/>
  <c r="BT81" i="17" a="1"/>
  <c r="BT81" i="17" s="1"/>
  <c r="AN81" i="17" a="1"/>
  <c r="AN81" i="17" s="1"/>
  <c r="P81" i="17" s="1"/>
  <c r="BX45" i="12"/>
  <c r="AV63" i="13" s="1"/>
  <c r="BZ42" i="12"/>
  <c r="AX60" i="13" s="1"/>
  <c r="AX116" i="13"/>
  <c r="CA86" i="20"/>
  <c r="AX131" i="13" s="1"/>
  <c r="AX128" i="13"/>
  <c r="AT81" i="17" a="1"/>
  <c r="AT81" i="17" s="1"/>
  <c r="R81" i="17" s="1"/>
  <c r="AG81" i="17" a="1"/>
  <c r="AG81" i="17" s="1"/>
  <c r="AW81" i="17" a="1"/>
  <c r="AW81" i="17" s="1"/>
  <c r="S81" i="17" s="1"/>
  <c r="AW120" i="13"/>
  <c r="BP81" i="17" a="1"/>
  <c r="BP81" i="17" s="1"/>
  <c r="AW119" i="13"/>
  <c r="AI81" i="17" a="1"/>
  <c r="AI81" i="17" s="1"/>
  <c r="AO81" i="17" a="1"/>
  <c r="AO81" i="17" s="1"/>
  <c r="AX81" i="17" a="1"/>
  <c r="AX81" i="17" s="1"/>
  <c r="BN81" i="17" a="1"/>
  <c r="BN81" i="17" s="1"/>
  <c r="AK81" i="17" a="1"/>
  <c r="AK81" i="17" s="1"/>
  <c r="O81" i="17" s="1"/>
  <c r="BK81" i="17" a="1"/>
  <c r="BK81" i="17" s="1"/>
  <c r="BI81" i="17" a="1"/>
  <c r="BI81" i="17" s="1"/>
  <c r="W81" i="17" s="1"/>
  <c r="AP81" i="17" a="1"/>
  <c r="AP81" i="17" s="1"/>
  <c r="CG14" i="12" a="1"/>
  <c r="CG14" i="12" s="1"/>
  <c r="CH14" i="12" s="1" a="1"/>
  <c r="CH14" i="12" s="1"/>
  <c r="CD13" i="12" a="1"/>
  <c r="CD13" i="12" s="1"/>
  <c r="BB40" i="13" s="1"/>
  <c r="G156" i="29"/>
  <c r="P156" i="29"/>
  <c r="BT107" i="17"/>
  <c r="BT109" i="17" s="1"/>
  <c r="BT103" i="17" s="1"/>
  <c r="BU105" i="17"/>
  <c r="CD103" i="12"/>
  <c r="BA102" i="13"/>
  <c r="BZ82" i="20"/>
  <c r="CA85" i="20"/>
  <c r="AX130" i="13" s="1"/>
  <c r="CA87" i="20"/>
  <c r="AX132" i="13" s="1"/>
  <c r="CB90" i="20"/>
  <c r="AY134" i="13" s="1"/>
  <c r="CB108" i="20"/>
  <c r="CA111" i="20" a="1"/>
  <c r="CA111" i="20" s="1"/>
  <c r="CA109" i="20" a="1"/>
  <c r="CA109" i="20" s="1"/>
  <c r="CA110" i="20"/>
  <c r="CB107" i="20"/>
  <c r="CB91" i="20"/>
  <c r="AY135" i="13" s="1"/>
  <c r="CB83" i="20"/>
  <c r="CD52" i="20"/>
  <c r="BX114" i="20"/>
  <c r="CB76" i="20"/>
  <c r="AY122" i="13" s="1"/>
  <c r="CB77" i="20"/>
  <c r="AY123" i="13" s="1"/>
  <c r="BZ106" i="20"/>
  <c r="BR38" i="22"/>
  <c r="BR40" i="22"/>
  <c r="BR47" i="22"/>
  <c r="BR45" i="22"/>
  <c r="BR44" i="22"/>
  <c r="BR42" i="22"/>
  <c r="BR39" i="22"/>
  <c r="BR41" i="22"/>
  <c r="BR43" i="22"/>
  <c r="BR46" i="22"/>
  <c r="BR35" i="22"/>
  <c r="BR36" i="22"/>
  <c r="BR37" i="22"/>
  <c r="BR93" i="22"/>
  <c r="BR86" i="22"/>
  <c r="BR98" i="22"/>
  <c r="BR118" i="22"/>
  <c r="BR99" i="22"/>
  <c r="BR119" i="22"/>
  <c r="BR50" i="22"/>
  <c r="BR52" i="22"/>
  <c r="BR55" i="22"/>
  <c r="BR59" i="22"/>
  <c r="BR63" i="22"/>
  <c r="BR73" i="22"/>
  <c r="BR94" i="22"/>
  <c r="BR97" i="22"/>
  <c r="BR96" i="22"/>
  <c r="BR117" i="22"/>
  <c r="BR48" i="22"/>
  <c r="BR49" i="22"/>
  <c r="BR53" i="22"/>
  <c r="BR56" i="22"/>
  <c r="BR57" i="22"/>
  <c r="BR61" i="22"/>
  <c r="BR64" i="22"/>
  <c r="BR65" i="22"/>
  <c r="BR66" i="22"/>
  <c r="BR67" i="22"/>
  <c r="BR68" i="22"/>
  <c r="BR92" i="22"/>
  <c r="BR71" i="22"/>
  <c r="BR90" i="22"/>
  <c r="BR89" i="22"/>
  <c r="BR95" i="22"/>
  <c r="BR102" i="22"/>
  <c r="BR103" i="22"/>
  <c r="BR104" i="22"/>
  <c r="BR105" i="22"/>
  <c r="BR106" i="22"/>
  <c r="BR108" i="22"/>
  <c r="BR109" i="22"/>
  <c r="BR110" i="22"/>
  <c r="BR112" i="22"/>
  <c r="BR113" i="22"/>
  <c r="BR114" i="22"/>
  <c r="BR115" i="22"/>
  <c r="BR116" i="22"/>
  <c r="BR100" i="22"/>
  <c r="BR120" i="22"/>
  <c r="BR51" i="22"/>
  <c r="BR54" i="22"/>
  <c r="BR58" i="22"/>
  <c r="BR60" i="22"/>
  <c r="BR62" i="22"/>
  <c r="BR87" i="22"/>
  <c r="BR72" i="22"/>
  <c r="BR88" i="22"/>
  <c r="BR91" i="22"/>
  <c r="BR101" i="22"/>
  <c r="BR107" i="22"/>
  <c r="BR111" i="22"/>
  <c r="BS6" i="22"/>
  <c r="BS7" i="22"/>
  <c r="BS8" i="22"/>
  <c r="BS25" i="22" s="1"/>
  <c r="BS3" i="22"/>
  <c r="BT5" i="22"/>
  <c r="BS4" i="22"/>
  <c r="BQ65" i="15"/>
  <c r="BR65" i="15"/>
  <c r="BR75" i="22"/>
  <c r="BQ75" i="22"/>
  <c r="BP75" i="22"/>
  <c r="BO75" i="22"/>
  <c r="BN75" i="22"/>
  <c r="BM75" i="22"/>
  <c r="BL75" i="22"/>
  <c r="BK75" i="22"/>
  <c r="BJ75" i="22"/>
  <c r="BI75" i="22"/>
  <c r="BH75" i="22"/>
  <c r="BG75" i="22"/>
  <c r="BF75" i="22"/>
  <c r="BE75" i="22"/>
  <c r="BD75" i="22"/>
  <c r="BC75" i="22"/>
  <c r="BB75" i="22"/>
  <c r="BA75" i="22"/>
  <c r="AZ75" i="22"/>
  <c r="AY75" i="22"/>
  <c r="AX75" i="22"/>
  <c r="AW75" i="22"/>
  <c r="AV75" i="22"/>
  <c r="AU75" i="22"/>
  <c r="AT75" i="22"/>
  <c r="AS75" i="22"/>
  <c r="AR75" i="22"/>
  <c r="AQ75" i="22"/>
  <c r="AP75" i="22"/>
  <c r="AO75" i="22"/>
  <c r="AN75" i="22"/>
  <c r="AM75" i="22"/>
  <c r="AL75" i="22"/>
  <c r="AK75" i="22"/>
  <c r="AJ75" i="22"/>
  <c r="AI75" i="22"/>
  <c r="AH75" i="22"/>
  <c r="AF75" i="22"/>
  <c r="AE75" i="22"/>
  <c r="AG75" i="22"/>
  <c r="D76" i="22"/>
  <c r="E76" i="22" s="1" a="1"/>
  <c r="E76" i="22" s="1"/>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D127" i="22"/>
  <c r="AG126" i="22"/>
  <c r="AF126" i="22"/>
  <c r="AE126" i="22"/>
  <c r="BR74" i="22"/>
  <c r="CA60" i="20"/>
  <c r="CE54" i="20"/>
  <c r="CB65" i="20"/>
  <c r="CB64" i="20"/>
  <c r="AY112" i="13" s="1"/>
  <c r="CB63" i="20"/>
  <c r="AY111" i="13" s="1"/>
  <c r="CB62" i="20"/>
  <c r="AY110" i="13" s="1"/>
  <c r="CA96" i="20"/>
  <c r="BY89" i="20"/>
  <c r="BY75" i="20"/>
  <c r="CB99" i="20"/>
  <c r="AY142" i="13" s="1"/>
  <c r="CB100" i="20"/>
  <c r="AY143" i="13" s="1"/>
  <c r="CB101" i="20"/>
  <c r="AY144" i="13" s="1"/>
  <c r="BZ92" i="20"/>
  <c r="AW136" i="13" s="1"/>
  <c r="BZ93" i="20"/>
  <c r="AW137" i="13" s="1"/>
  <c r="BZ94" i="20"/>
  <c r="AW138" i="13" s="1"/>
  <c r="BZ80" i="20"/>
  <c r="AW126" i="13" s="1"/>
  <c r="BZ78" i="20"/>
  <c r="AW124" i="13" s="1"/>
  <c r="BZ79" i="20"/>
  <c r="CC102" i="20"/>
  <c r="AZ145" i="13" s="1"/>
  <c r="CC88" i="20"/>
  <c r="AZ133" i="13" s="1"/>
  <c r="CC95" i="20"/>
  <c r="AZ139" i="13" s="1"/>
  <c r="CC81" i="20"/>
  <c r="AZ127" i="13" s="1"/>
  <c r="CE57" i="20"/>
  <c r="CE97" i="20" s="1"/>
  <c r="BB140" i="13" s="1"/>
  <c r="CE56" i="20"/>
  <c r="CE55" i="20"/>
  <c r="BZ68" i="20"/>
  <c r="CD8" i="20"/>
  <c r="CD112" i="20" s="1"/>
  <c r="CD6" i="20"/>
  <c r="CD3" i="20"/>
  <c r="CE5" i="20"/>
  <c r="CD7" i="20"/>
  <c r="CD4" i="20"/>
  <c r="CC27" i="20"/>
  <c r="CC32" i="20"/>
  <c r="CC12" i="20"/>
  <c r="CC26" i="20"/>
  <c r="CC22" i="20"/>
  <c r="CC11" i="20"/>
  <c r="CC35" i="20"/>
  <c r="CC23" i="20"/>
  <c r="CC25" i="20"/>
  <c r="CC18" i="20"/>
  <c r="CC24" i="20"/>
  <c r="CC34" i="20"/>
  <c r="CC19" i="20"/>
  <c r="CC17" i="20"/>
  <c r="CC29" i="20"/>
  <c r="CC14" i="20"/>
  <c r="CC31" i="20"/>
  <c r="CC74" i="20"/>
  <c r="AZ121" i="13" s="1"/>
  <c r="CC20" i="20"/>
  <c r="CC91" i="20" s="1"/>
  <c r="AZ135" i="13" s="1"/>
  <c r="CC15" i="20"/>
  <c r="CC16" i="20"/>
  <c r="CC33" i="20"/>
  <c r="CC21" i="20"/>
  <c r="CC13" i="20"/>
  <c r="CC30" i="20"/>
  <c r="CC28" i="20"/>
  <c r="CB69" i="20"/>
  <c r="CB61" i="20"/>
  <c r="AY109" i="13" s="1"/>
  <c r="CB10" i="20"/>
  <c r="CB70" i="20"/>
  <c r="AY117" i="13" s="1"/>
  <c r="CA72" i="20"/>
  <c r="CA73" i="20"/>
  <c r="CA71" i="20"/>
  <c r="CA115" i="20"/>
  <c r="CF53" i="20"/>
  <c r="BS177" i="17"/>
  <c r="BR177" i="17"/>
  <c r="BQ177" i="17"/>
  <c r="BP177" i="17"/>
  <c r="BO177" i="17"/>
  <c r="BN177" i="17"/>
  <c r="BM177" i="17"/>
  <c r="BL177" i="17"/>
  <c r="BK177" i="17"/>
  <c r="BJ177" i="17"/>
  <c r="BI177" i="17"/>
  <c r="BH177" i="17"/>
  <c r="BG177" i="17"/>
  <c r="BF177" i="17"/>
  <c r="BE177" i="17"/>
  <c r="BD177" i="17"/>
  <c r="BC177" i="17"/>
  <c r="BB177" i="17"/>
  <c r="BA177" i="17"/>
  <c r="AZ177" i="17"/>
  <c r="AY177" i="17"/>
  <c r="AX177" i="17"/>
  <c r="AW177" i="17"/>
  <c r="AV177" i="17"/>
  <c r="AU177" i="17"/>
  <c r="AT177" i="17"/>
  <c r="AS177" i="17"/>
  <c r="AR177" i="17"/>
  <c r="AQ177" i="17"/>
  <c r="AP177" i="17"/>
  <c r="AO177" i="17"/>
  <c r="AN177" i="17"/>
  <c r="D178" i="17"/>
  <c r="AM177" i="17"/>
  <c r="AJ177" i="17"/>
  <c r="AG177" i="17"/>
  <c r="AK177" i="17"/>
  <c r="AH177" i="17"/>
  <c r="AI177" i="17"/>
  <c r="AL177" i="17"/>
  <c r="AF177" i="17"/>
  <c r="BT177" i="17"/>
  <c r="D87" i="17"/>
  <c r="BU80" i="17" a="1"/>
  <c r="BU80" i="17" s="1"/>
  <c r="AA80" i="17" s="1"/>
  <c r="BU81" i="17" a="1"/>
  <c r="BU81" i="17" s="1"/>
  <c r="AA81" i="17" s="1"/>
  <c r="BV6" i="17"/>
  <c r="BW5" i="17"/>
  <c r="BV3" i="17"/>
  <c r="BV8" i="17"/>
  <c r="BV7" i="17"/>
  <c r="BV4" i="17"/>
  <c r="BU79" i="17" a="1"/>
  <c r="BU79" i="17" s="1"/>
  <c r="AA79" i="17" s="1"/>
  <c r="BU78" i="17" a="1"/>
  <c r="BU78" i="17" s="1"/>
  <c r="AA78" i="17" s="1"/>
  <c r="BU77" i="17" a="1"/>
  <c r="BU77" i="17" s="1"/>
  <c r="AA77" i="17" s="1"/>
  <c r="BU76" i="17" a="1"/>
  <c r="BU76" i="17" s="1"/>
  <c r="AA76" i="17" s="1"/>
  <c r="BU75" i="17" a="1"/>
  <c r="BU75" i="17" s="1"/>
  <c r="AA75" i="17" s="1"/>
  <c r="BU74" i="17" a="1"/>
  <c r="BU74" i="17" s="1"/>
  <c r="AA74" i="17" s="1"/>
  <c r="BU165" i="17"/>
  <c r="BU73" i="17" a="1"/>
  <c r="BU73" i="17" s="1"/>
  <c r="AA73" i="17" s="1"/>
  <c r="BU164" i="17"/>
  <c r="BU72" i="17" a="1"/>
  <c r="BU72" i="17" s="1"/>
  <c r="AA72" i="17" s="1"/>
  <c r="BU65" i="17" a="1"/>
  <c r="BU65" i="17" s="1"/>
  <c r="AA65" i="17" s="1"/>
  <c r="BU157" i="17"/>
  <c r="BU68" i="17" a="1"/>
  <c r="BU68" i="17" s="1"/>
  <c r="AA68" i="17" s="1"/>
  <c r="BU64" i="17" a="1"/>
  <c r="BU64" i="17" s="1"/>
  <c r="AA64" i="17" s="1"/>
  <c r="BU156" i="17"/>
  <c r="BU66" i="17" a="1"/>
  <c r="BU66" i="17" s="1"/>
  <c r="AA66" i="17" s="1"/>
  <c r="BU158" i="17"/>
  <c r="BU159" i="17"/>
  <c r="BU69" i="17" a="1"/>
  <c r="BU69" i="17" s="1"/>
  <c r="AA69" i="17" s="1"/>
  <c r="BU161" i="17"/>
  <c r="BU67" i="17" a="1"/>
  <c r="BU67" i="17" s="1"/>
  <c r="AA67" i="17" s="1"/>
  <c r="BU160" i="17"/>
  <c r="BU163" i="17"/>
  <c r="BU71" i="17" a="1"/>
  <c r="BU71" i="17" s="1"/>
  <c r="AA71" i="17" s="1"/>
  <c r="BU70" i="17" a="1"/>
  <c r="BU70" i="17" s="1"/>
  <c r="AA70" i="17" s="1"/>
  <c r="BU162" i="17"/>
  <c r="BU136" i="17"/>
  <c r="BU137" i="17"/>
  <c r="BU45" i="17" a="1"/>
  <c r="BU45" i="17" s="1"/>
  <c r="BU138" i="17"/>
  <c r="BU46" i="17" a="1"/>
  <c r="BU46" i="17" s="1"/>
  <c r="BU139" i="17"/>
  <c r="BU47" i="17" a="1"/>
  <c r="BU47" i="17" s="1"/>
  <c r="BU48" i="17" a="1"/>
  <c r="BU48" i="17" s="1"/>
  <c r="BU140" i="17"/>
  <c r="BU141" i="17"/>
  <c r="BU49" i="17" a="1"/>
  <c r="BU49" i="17" s="1"/>
  <c r="BU50" i="17" a="1"/>
  <c r="BU50" i="17" s="1"/>
  <c r="BU142" i="17"/>
  <c r="BU143" i="17"/>
  <c r="BU51" i="17" a="1"/>
  <c r="BU51" i="17" s="1"/>
  <c r="BU52" i="17" a="1"/>
  <c r="BU52" i="17" s="1"/>
  <c r="BU144" i="17"/>
  <c r="BU53" i="17" a="1"/>
  <c r="BU53" i="17" s="1"/>
  <c r="BU145" i="17"/>
  <c r="BU54" i="17" a="1"/>
  <c r="BU54" i="17" s="1"/>
  <c r="BU146" i="17"/>
  <c r="BU147" i="17"/>
  <c r="BU55" i="17" a="1"/>
  <c r="BU55" i="17" s="1"/>
  <c r="BU148" i="17"/>
  <c r="BU56" i="17" a="1"/>
  <c r="BU56" i="17" s="1"/>
  <c r="BU57" i="17" a="1"/>
  <c r="BU57" i="17" s="1"/>
  <c r="AA57" i="17" s="1"/>
  <c r="BU149" i="17"/>
  <c r="BU58" i="17" a="1"/>
  <c r="BU58" i="17" s="1"/>
  <c r="AA58" i="17" s="1"/>
  <c r="BU150" i="17"/>
  <c r="BU59" i="17" a="1"/>
  <c r="BU59" i="17" s="1"/>
  <c r="AA59" i="17" s="1"/>
  <c r="BU151" i="17"/>
  <c r="BU152" i="17"/>
  <c r="BU60" i="17" a="1"/>
  <c r="BU60" i="17" s="1"/>
  <c r="AA60" i="17" s="1"/>
  <c r="BU61" i="17" a="1"/>
  <c r="BU61" i="17" s="1"/>
  <c r="AA61" i="17" s="1"/>
  <c r="BU153" i="17"/>
  <c r="BU62" i="17" a="1"/>
  <c r="BU62" i="17" s="1"/>
  <c r="AA62" i="17" s="1"/>
  <c r="BU154" i="17"/>
  <c r="BU63" i="17" a="1"/>
  <c r="BU63" i="17" s="1"/>
  <c r="AA63" i="17" s="1"/>
  <c r="BU155" i="17"/>
  <c r="BR67" i="16"/>
  <c r="BQ117" i="16"/>
  <c r="BO117" i="16"/>
  <c r="BL117" i="16"/>
  <c r="BI117" i="16"/>
  <c r="BF117" i="16"/>
  <c r="BC117" i="16"/>
  <c r="AZ117" i="16"/>
  <c r="AW117" i="16"/>
  <c r="AS117" i="16"/>
  <c r="AP117" i="16"/>
  <c r="AM117" i="16"/>
  <c r="BP117" i="16"/>
  <c r="BM117" i="16"/>
  <c r="BJ117" i="16"/>
  <c r="BG117" i="16"/>
  <c r="BD117" i="16"/>
  <c r="BA117" i="16"/>
  <c r="AX117" i="16"/>
  <c r="AU117" i="16"/>
  <c r="AR117" i="16"/>
  <c r="AO117" i="16"/>
  <c r="AL117" i="16"/>
  <c r="BR117" i="16"/>
  <c r="BN117" i="16"/>
  <c r="BK117" i="16"/>
  <c r="BH117" i="16"/>
  <c r="BE117" i="16"/>
  <c r="BB117" i="16"/>
  <c r="AY117" i="16"/>
  <c r="AV117" i="16"/>
  <c r="AT117" i="16"/>
  <c r="AQ117" i="16"/>
  <c r="AN117" i="16"/>
  <c r="AK117" i="16"/>
  <c r="BQ115" i="16"/>
  <c r="BR115" i="16"/>
  <c r="E116" i="16" a="1"/>
  <c r="E116" i="16" s="1"/>
  <c r="BS115" i="16"/>
  <c r="BQ67" i="16"/>
  <c r="BM67" i="16"/>
  <c r="BN67" i="16"/>
  <c r="BP67" i="16"/>
  <c r="BS85" i="16"/>
  <c r="BS51" i="16"/>
  <c r="BS84" i="16"/>
  <c r="BS50" i="16"/>
  <c r="BS83" i="16"/>
  <c r="BS49" i="16"/>
  <c r="BS82" i="16"/>
  <c r="BS48" i="16"/>
  <c r="BS47" i="16"/>
  <c r="BS81" i="16"/>
  <c r="BS80" i="16"/>
  <c r="BS46" i="16"/>
  <c r="BS79" i="16"/>
  <c r="BS45" i="16"/>
  <c r="BS39" i="16"/>
  <c r="BS44" i="16"/>
  <c r="BS33" i="16"/>
  <c r="BS36" i="16"/>
  <c r="BS37" i="16"/>
  <c r="BS42" i="16"/>
  <c r="BS40" i="16"/>
  <c r="BS43" i="16"/>
  <c r="BS30" i="16"/>
  <c r="BS41" i="16"/>
  <c r="BS35" i="16"/>
  <c r="BS32" i="16"/>
  <c r="BS28" i="16"/>
  <c r="BS34" i="16"/>
  <c r="BS31" i="16"/>
  <c r="BS78" i="16"/>
  <c r="BS38" i="16"/>
  <c r="BS29" i="16"/>
  <c r="BS56" i="16"/>
  <c r="BS90" i="16"/>
  <c r="BS88" i="16"/>
  <c r="BS55" i="16"/>
  <c r="BS89" i="16"/>
  <c r="BS54" i="16"/>
  <c r="BS87" i="16"/>
  <c r="BS53" i="16"/>
  <c r="BS86" i="16"/>
  <c r="BS52" i="16"/>
  <c r="BS57" i="16"/>
  <c r="BS91" i="16"/>
  <c r="BS58" i="16"/>
  <c r="BS92" i="16"/>
  <c r="BS93" i="16"/>
  <c r="BS59" i="16"/>
  <c r="BS60" i="16"/>
  <c r="BS94" i="16"/>
  <c r="BS61" i="16"/>
  <c r="BS95" i="16"/>
  <c r="BS62" i="16"/>
  <c r="BS96" i="16"/>
  <c r="BS97" i="16"/>
  <c r="BS63" i="16"/>
  <c r="BS98" i="16"/>
  <c r="BS64" i="16"/>
  <c r="BS99" i="16"/>
  <c r="BS100" i="16"/>
  <c r="BS101" i="16"/>
  <c r="BS102" i="16"/>
  <c r="BS103" i="16"/>
  <c r="BS104" i="16"/>
  <c r="BS105" i="16"/>
  <c r="BS106" i="16"/>
  <c r="BS107" i="16"/>
  <c r="BS108" i="16"/>
  <c r="BS109" i="16"/>
  <c r="BS110" i="16"/>
  <c r="BS111" i="16"/>
  <c r="BS114" i="16"/>
  <c r="BS112" i="16"/>
  <c r="BS113" i="16"/>
  <c r="BS11" i="16"/>
  <c r="BS15" i="16"/>
  <c r="BS14" i="16" s="1"/>
  <c r="BV16" i="16" s="1"/>
  <c r="BS19" i="16"/>
  <c r="BS18" i="16" s="1"/>
  <c r="BT6" i="16"/>
  <c r="BT8" i="16"/>
  <c r="BU5" i="16"/>
  <c r="BT7" i="16"/>
  <c r="BT3" i="16"/>
  <c r="BT4" i="16"/>
  <c r="AJ117" i="16"/>
  <c r="AF117" i="16"/>
  <c r="AG117" i="16"/>
  <c r="AH117" i="16"/>
  <c r="AI117" i="16"/>
  <c r="AT117" i="15"/>
  <c r="BD117" i="15"/>
  <c r="AU117" i="15"/>
  <c r="AV117" i="15"/>
  <c r="AW117" i="15"/>
  <c r="AX117" i="15"/>
  <c r="AY117" i="15"/>
  <c r="AZ117" i="15"/>
  <c r="BA117" i="15"/>
  <c r="BB117" i="15"/>
  <c r="BR117" i="15"/>
  <c r="BQ117" i="15"/>
  <c r="BP117" i="15"/>
  <c r="BO117" i="15"/>
  <c r="BN117" i="15"/>
  <c r="BM117" i="15"/>
  <c r="BL117" i="15"/>
  <c r="BK117" i="15"/>
  <c r="BJ117" i="15"/>
  <c r="BI117" i="15"/>
  <c r="BH117" i="15"/>
  <c r="BG117" i="15"/>
  <c r="BF117" i="15"/>
  <c r="BE117" i="15"/>
  <c r="BC117" i="15"/>
  <c r="BR115" i="15"/>
  <c r="BQ115" i="15"/>
  <c r="BQ67" i="15"/>
  <c r="AS117" i="15"/>
  <c r="AR117" i="15"/>
  <c r="AQ117" i="15"/>
  <c r="AP117" i="15"/>
  <c r="AO117" i="15"/>
  <c r="AN117" i="15"/>
  <c r="AM117" i="15"/>
  <c r="AL117" i="15"/>
  <c r="AK117" i="15"/>
  <c r="AJ117" i="15"/>
  <c r="AI117" i="15"/>
  <c r="AH117" i="15"/>
  <c r="AG117" i="15"/>
  <c r="AF117" i="15"/>
  <c r="E116" i="15" a="1"/>
  <c r="E116" i="15" s="1"/>
  <c r="BU16" i="15"/>
  <c r="BL67" i="15"/>
  <c r="AO67" i="15"/>
  <c r="AL67" i="15"/>
  <c r="BK67" i="15"/>
  <c r="BS115" i="15"/>
  <c r="AU67" i="15"/>
  <c r="BI67" i="15"/>
  <c r="AP67" i="15"/>
  <c r="BN67" i="15"/>
  <c r="AH67" i="15"/>
  <c r="BB67" i="15"/>
  <c r="BH67" i="15"/>
  <c r="AW67" i="15"/>
  <c r="BM67" i="15"/>
  <c r="BP67" i="15"/>
  <c r="AS67" i="15"/>
  <c r="BF67" i="15"/>
  <c r="BG67" i="15"/>
  <c r="AT67" i="15"/>
  <c r="BS114" i="15"/>
  <c r="BS113" i="15"/>
  <c r="BS112" i="15"/>
  <c r="BS111" i="15"/>
  <c r="BS66" i="15"/>
  <c r="BS110" i="15"/>
  <c r="BS65" i="15"/>
  <c r="BS109" i="15"/>
  <c r="BS108" i="15"/>
  <c r="BS64" i="15"/>
  <c r="BS107" i="15"/>
  <c r="BS63" i="15"/>
  <c r="BS106" i="15"/>
  <c r="BS62" i="15"/>
  <c r="BS61" i="15"/>
  <c r="BS105" i="15"/>
  <c r="BS60" i="15"/>
  <c r="BS104" i="15"/>
  <c r="BS59" i="15"/>
  <c r="BS103" i="15"/>
  <c r="BS58" i="15"/>
  <c r="BS102" i="15"/>
  <c r="BS57" i="15"/>
  <c r="BS101" i="15"/>
  <c r="BS56" i="15"/>
  <c r="BS100" i="15"/>
  <c r="BS55" i="15"/>
  <c r="BS54" i="15"/>
  <c r="BS99" i="15"/>
  <c r="BS98" i="15"/>
  <c r="BS53" i="15"/>
  <c r="BS97" i="15"/>
  <c r="BS52" i="15"/>
  <c r="BS96" i="15"/>
  <c r="BS51" i="15"/>
  <c r="BS95" i="15"/>
  <c r="BS50" i="15"/>
  <c r="BS94" i="15"/>
  <c r="BS49" i="15"/>
  <c r="BS93" i="15"/>
  <c r="BS48" i="15"/>
  <c r="BS92" i="15"/>
  <c r="BS47" i="15"/>
  <c r="BS91" i="15"/>
  <c r="BS46" i="15"/>
  <c r="BS90" i="15"/>
  <c r="BS45" i="15"/>
  <c r="BS89" i="15"/>
  <c r="BS44" i="15"/>
  <c r="BS88" i="15"/>
  <c r="BS43" i="15"/>
  <c r="BS87" i="15"/>
  <c r="BS42" i="15"/>
  <c r="BS86" i="15"/>
  <c r="BS41" i="15"/>
  <c r="BS85" i="15"/>
  <c r="BS40" i="15"/>
  <c r="BS84" i="15"/>
  <c r="BS39" i="15"/>
  <c r="BS83" i="15"/>
  <c r="BS38" i="15"/>
  <c r="BS37" i="15"/>
  <c r="BS82" i="15"/>
  <c r="BS81" i="15"/>
  <c r="BS36" i="15"/>
  <c r="BS80" i="15"/>
  <c r="BS35" i="15"/>
  <c r="BS79" i="15"/>
  <c r="BS34" i="15"/>
  <c r="BS19" i="15" a="1"/>
  <c r="BS19" i="15" s="1"/>
  <c r="BS18" i="15" s="1"/>
  <c r="BS29" i="15"/>
  <c r="BS30" i="15"/>
  <c r="BS31" i="15"/>
  <c r="BS32" i="15"/>
  <c r="BS11" i="15" a="1"/>
  <c r="BS11" i="15" s="1"/>
  <c r="BS33" i="15"/>
  <c r="BS28" i="15"/>
  <c r="BS15" i="15" a="1"/>
  <c r="BS15" i="15" s="1"/>
  <c r="BS14" i="15" s="1"/>
  <c r="BS78" i="15"/>
  <c r="BT3" i="15"/>
  <c r="BT7" i="15"/>
  <c r="BT8" i="15"/>
  <c r="BR68" i="15" s="1"/>
  <c r="BT4" i="15"/>
  <c r="BU5" i="15"/>
  <c r="BT6" i="15"/>
  <c r="AR67" i="15"/>
  <c r="BR67" i="15"/>
  <c r="AK67" i="15"/>
  <c r="AJ67" i="15"/>
  <c r="AM67" i="15"/>
  <c r="AQ67" i="15"/>
  <c r="AG67" i="15"/>
  <c r="BJ67" i="15"/>
  <c r="BA67" i="15"/>
  <c r="AZ67" i="15"/>
  <c r="AI67" i="15"/>
  <c r="AF67" i="15"/>
  <c r="AN67" i="15"/>
  <c r="BE67" i="15"/>
  <c r="AX67" i="15"/>
  <c r="BO67" i="15"/>
  <c r="AY67" i="15"/>
  <c r="BC67" i="15"/>
  <c r="BD67" i="15"/>
  <c r="AV67" i="15"/>
  <c r="BK86" i="14"/>
  <c r="AP86" i="14"/>
  <c r="BB86" i="14"/>
  <c r="AH86" i="14"/>
  <c r="AX86" i="14"/>
  <c r="BC86" i="14"/>
  <c r="BF86" i="14"/>
  <c r="AO86" i="14"/>
  <c r="BO86" i="14"/>
  <c r="AI86" i="14"/>
  <c r="AM86" i="14"/>
  <c r="BQ86" i="14"/>
  <c r="AV86" i="14"/>
  <c r="BE86" i="14"/>
  <c r="AW86" i="14"/>
  <c r="BL86" i="14"/>
  <c r="AT86" i="14"/>
  <c r="BH86" i="14"/>
  <c r="BP86" i="14"/>
  <c r="BG86" i="14"/>
  <c r="AR86" i="14"/>
  <c r="BM86" i="14"/>
  <c r="AS86" i="14"/>
  <c r="BJ86" i="14"/>
  <c r="AZ86" i="14"/>
  <c r="AK86" i="14"/>
  <c r="AF86" i="14"/>
  <c r="BN86" i="14"/>
  <c r="BI86" i="14"/>
  <c r="AU86" i="14"/>
  <c r="AN86" i="14"/>
  <c r="AJ86" i="14"/>
  <c r="BA86" i="14"/>
  <c r="AQ86" i="14"/>
  <c r="BD86" i="14"/>
  <c r="AY86" i="14"/>
  <c r="AG86" i="14"/>
  <c r="AL86" i="14"/>
  <c r="BS61" i="14"/>
  <c r="BS67" i="14"/>
  <c r="BS68" i="14"/>
  <c r="BS72" i="14"/>
  <c r="BS56" i="14"/>
  <c r="BS57" i="14"/>
  <c r="BS58" i="14"/>
  <c r="BS65" i="14"/>
  <c r="BS66" i="14"/>
  <c r="BS69" i="14"/>
  <c r="BS70" i="14"/>
  <c r="BS73" i="14"/>
  <c r="BS47" i="14"/>
  <c r="BS49" i="14"/>
  <c r="BS50" i="14"/>
  <c r="BS48" i="14"/>
  <c r="BS51" i="14"/>
  <c r="BS52" i="14"/>
  <c r="BS53" i="14"/>
  <c r="BS54" i="14"/>
  <c r="BS55" i="14"/>
  <c r="BS59" i="14"/>
  <c r="BS63" i="14"/>
  <c r="BS60" i="14"/>
  <c r="BS62" i="14"/>
  <c r="BS64" i="14"/>
  <c r="BS71" i="14"/>
  <c r="BS74" i="14"/>
  <c r="BT8" i="14"/>
  <c r="BT7" i="14"/>
  <c r="BU5" i="14"/>
  <c r="BT6" i="14"/>
  <c r="BT4" i="14"/>
  <c r="BT3" i="14"/>
  <c r="BR86" i="14"/>
  <c r="AZ10" i="16"/>
  <c r="D119" i="16"/>
  <c r="D74" i="15"/>
  <c r="AZ10" i="15"/>
  <c r="D119" i="15"/>
  <c r="D91" i="14"/>
  <c r="BR6" i="9"/>
  <c r="BR3" i="9"/>
  <c r="BR4" i="9"/>
  <c r="BS5" i="9"/>
  <c r="BR7" i="9"/>
  <c r="BR8" i="9"/>
  <c r="BQ4" i="11"/>
  <c r="BR5" i="11"/>
  <c r="BQ3" i="11"/>
  <c r="BQ6" i="11"/>
  <c r="BQ8" i="11"/>
  <c r="BQ7" i="11"/>
  <c r="CD119" i="12" a="1"/>
  <c r="CD119" i="12" s="1"/>
  <c r="CD117" i="12" a="1"/>
  <c r="CD117" i="12" s="1"/>
  <c r="CD116" i="12" a="1"/>
  <c r="CD116" i="12" s="1"/>
  <c r="CD115" i="12" a="1"/>
  <c r="CD115" i="12" s="1"/>
  <c r="CD114" i="12" a="1"/>
  <c r="CD114" i="12" s="1"/>
  <c r="CD113" i="12" a="1"/>
  <c r="CD113" i="12" s="1"/>
  <c r="CD112" i="12" a="1"/>
  <c r="CD112" i="12" s="1"/>
  <c r="CD111" i="12" a="1"/>
  <c r="CD111" i="12" s="1"/>
  <c r="CD109" i="12" a="1"/>
  <c r="CD109" i="12" s="1"/>
  <c r="CD4" i="12"/>
  <c r="CD7" i="12"/>
  <c r="CD8" i="12"/>
  <c r="CD3" i="12"/>
  <c r="CD6" i="12"/>
  <c r="CE5" i="12"/>
  <c r="BA8" i="13"/>
  <c r="BA7" i="13"/>
  <c r="BB5" i="13"/>
  <c r="BA4" i="13"/>
  <c r="BA3" i="13"/>
  <c r="BA6" i="13"/>
  <c r="BR3" i="10"/>
  <c r="BS5" i="10"/>
  <c r="BR4" i="10"/>
  <c r="BR8" i="10"/>
  <c r="BR7" i="10"/>
  <c r="BR6" i="10"/>
  <c r="BZ48" i="8"/>
  <c r="CA49" i="8"/>
  <c r="BZ50" i="8"/>
  <c r="BZ51" i="8"/>
  <c r="BZ52" i="8"/>
  <c r="CA6" i="8"/>
  <c r="CA9" i="8"/>
  <c r="CB8" i="8"/>
  <c r="CB94" i="8" s="1"/>
  <c r="CA7" i="8"/>
  <c r="CA15" i="8" s="1" a="1"/>
  <c r="CA15" i="8" s="1"/>
  <c r="CA73" i="8"/>
  <c r="CA47" i="8"/>
  <c r="CA11" i="8"/>
  <c r="CA10" i="8"/>
  <c r="BZ74" i="8"/>
  <c r="CA75" i="8"/>
  <c r="BZ78" i="8"/>
  <c r="BZ77" i="8"/>
  <c r="BZ76" i="8"/>
  <c r="BU82" i="17" l="1" a="1"/>
  <c r="BU82" i="17" s="1"/>
  <c r="AA82" i="17" s="1"/>
  <c r="AO82" i="17" a="1"/>
  <c r="AO82" i="17" s="1"/>
  <c r="AZ82" i="17" a="1"/>
  <c r="AZ82" i="17" s="1"/>
  <c r="T82" i="17" s="1"/>
  <c r="BK82" i="17" a="1"/>
  <c r="BK82" i="17" s="1"/>
  <c r="AP82" i="17" a="1"/>
  <c r="AP82" i="17" s="1"/>
  <c r="BO82" i="17" a="1"/>
  <c r="BO82" i="17" s="1"/>
  <c r="AR82" i="17" a="1"/>
  <c r="AR82" i="17" s="1"/>
  <c r="BC82" i="17" a="1"/>
  <c r="BC82" i="17" s="1"/>
  <c r="BT82" i="17" a="1"/>
  <c r="BT82" i="17" s="1"/>
  <c r="AW82" i="17" a="1"/>
  <c r="AW82" i="17" s="1"/>
  <c r="S82" i="17" s="1"/>
  <c r="BM82" i="17" a="1"/>
  <c r="BM82" i="17" s="1"/>
  <c r="AN82" i="17" a="1"/>
  <c r="AN82" i="17" s="1"/>
  <c r="P82" i="17" s="1"/>
  <c r="AV82" i="17" a="1"/>
  <c r="AV82" i="17" s="1"/>
  <c r="BN82" i="17" a="1"/>
  <c r="BN82" i="17" s="1"/>
  <c r="AM82" i="17" a="1"/>
  <c r="AM82" i="17" s="1"/>
  <c r="AK82" i="17" a="1"/>
  <c r="AK82" i="17" s="1"/>
  <c r="O82" i="17" s="1"/>
  <c r="BF82" i="17" a="1"/>
  <c r="BF82" i="17" s="1"/>
  <c r="V82" i="17" s="1"/>
  <c r="BA82" i="17" a="1"/>
  <c r="BA82" i="17" s="1"/>
  <c r="AL82" i="17" a="1"/>
  <c r="AL82" i="17" s="1"/>
  <c r="BL82" i="17" a="1"/>
  <c r="BL82" i="17" s="1"/>
  <c r="X82" i="17" s="1"/>
  <c r="BH82" i="17" a="1"/>
  <c r="BH82" i="17" s="1"/>
  <c r="BG82" i="17" a="1"/>
  <c r="BG82" i="17" s="1"/>
  <c r="AJ82" i="17" a="1"/>
  <c r="AJ82" i="17" s="1"/>
  <c r="BP82" i="17" a="1"/>
  <c r="BP82" i="17" s="1"/>
  <c r="BJ82" i="17" a="1"/>
  <c r="BJ82" i="17" s="1"/>
  <c r="CE13" i="12" a="1"/>
  <c r="CE13" i="12" s="1"/>
  <c r="CF13" i="12" s="1" a="1"/>
  <c r="CF13" i="12" s="1"/>
  <c r="BD40" i="13" s="1"/>
  <c r="CB86" i="20"/>
  <c r="AY131" i="13" s="1"/>
  <c r="AY128" i="13"/>
  <c r="BY43" i="12"/>
  <c r="AW61" i="13" s="1"/>
  <c r="AX119" i="13"/>
  <c r="BR82" i="17" a="1"/>
  <c r="BR82" i="17" s="1"/>
  <c r="Z82" i="17" s="1"/>
  <c r="AX82" i="17" a="1"/>
  <c r="AX82" i="17" s="1"/>
  <c r="BQ82" i="17" a="1"/>
  <c r="BQ82" i="17" s="1"/>
  <c r="AH82" i="17" a="1"/>
  <c r="AH82" i="17" s="1"/>
  <c r="N82" i="17" s="1"/>
  <c r="BE41" i="13"/>
  <c r="BS82" i="17" a="1"/>
  <c r="BS82" i="17" s="1"/>
  <c r="BB82" i="17" a="1"/>
  <c r="BB82" i="17" s="1"/>
  <c r="AI82" i="17" a="1"/>
  <c r="AI82" i="17" s="1"/>
  <c r="AW125" i="13"/>
  <c r="AW115" i="13" s="1"/>
  <c r="BD82" i="17" a="1"/>
  <c r="BD82" i="17" s="1"/>
  <c r="AG82" i="17" a="1"/>
  <c r="AG82" i="17" s="1"/>
  <c r="AY82" i="17" a="1"/>
  <c r="AY82" i="17" s="1"/>
  <c r="BY44" i="12"/>
  <c r="AW62" i="13" s="1"/>
  <c r="CA42" i="12"/>
  <c r="AY60" i="13" s="1"/>
  <c r="AY116" i="13"/>
  <c r="AQ82" i="17" a="1"/>
  <c r="AQ82" i="17" s="1"/>
  <c r="H82" i="17" s="1"/>
  <c r="AJ65" i="20"/>
  <c r="AY113" i="13"/>
  <c r="AY108" i="13" s="1"/>
  <c r="AX118" i="13"/>
  <c r="AX120" i="13"/>
  <c r="BE82" i="17" a="1"/>
  <c r="BE82" i="17" s="1"/>
  <c r="AT82" i="17" a="1"/>
  <c r="AT82" i="17" s="1"/>
  <c r="R82" i="17" s="1"/>
  <c r="AU82" i="17" a="1"/>
  <c r="AU82" i="17" s="1"/>
  <c r="BQ42" i="17"/>
  <c r="BI82" i="17" a="1"/>
  <c r="BI82" i="17" s="1"/>
  <c r="W82" i="17" s="1"/>
  <c r="AF82" i="17" a="1"/>
  <c r="AF82" i="17" s="1"/>
  <c r="BY45" i="12"/>
  <c r="AW63" i="13" s="1"/>
  <c r="CB85" i="20"/>
  <c r="AY130" i="13" s="1"/>
  <c r="CA82" i="20"/>
  <c r="CE103" i="12"/>
  <c r="BB102" i="13"/>
  <c r="CI14" i="12" a="1"/>
  <c r="CI14" i="12" s="1"/>
  <c r="BF41" i="13"/>
  <c r="BU107" i="17"/>
  <c r="BU109" i="17" s="1"/>
  <c r="BU103" i="17" s="1"/>
  <c r="BV105" i="17"/>
  <c r="CB87" i="20"/>
  <c r="AY132" i="13" s="1"/>
  <c r="CB111" i="20" a="1"/>
  <c r="CB111" i="20" s="1"/>
  <c r="CB110" i="20"/>
  <c r="CB109" i="20" a="1"/>
  <c r="CB109" i="20" s="1"/>
  <c r="CC107" i="20"/>
  <c r="AJ62" i="20"/>
  <c r="BR41" i="17"/>
  <c r="E83" i="17" s="1" a="1"/>
  <c r="E83" i="17" s="1"/>
  <c r="BV83" i="17" s="1" a="1"/>
  <c r="BV83" i="17" s="1"/>
  <c r="CC90" i="20"/>
  <c r="AZ134" i="13" s="1"/>
  <c r="CC108" i="20"/>
  <c r="CC83" i="20"/>
  <c r="CC76" i="20"/>
  <c r="AZ122" i="13" s="1"/>
  <c r="CC77" i="20"/>
  <c r="AZ123" i="13" s="1"/>
  <c r="BZ75" i="20"/>
  <c r="BY114" i="20"/>
  <c r="BZ89" i="20"/>
  <c r="CE52" i="20"/>
  <c r="CB60" i="20"/>
  <c r="BU5" i="22"/>
  <c r="BT6" i="22"/>
  <c r="BT4" i="22"/>
  <c r="BT7" i="22"/>
  <c r="BT8" i="22"/>
  <c r="BT25" i="22" s="1"/>
  <c r="BT3" i="22"/>
  <c r="BS66" i="22"/>
  <c r="BS60" i="22"/>
  <c r="BS64" i="22"/>
  <c r="BS59" i="22"/>
  <c r="BS56" i="22"/>
  <c r="BS51" i="22"/>
  <c r="BS48" i="22"/>
  <c r="BS43" i="22"/>
  <c r="BS38" i="22"/>
  <c r="BS53" i="22"/>
  <c r="BS71" i="22"/>
  <c r="BS68" i="22"/>
  <c r="BS45" i="22"/>
  <c r="BS55" i="22"/>
  <c r="BS67" i="22"/>
  <c r="BS47" i="22"/>
  <c r="BS36" i="22"/>
  <c r="BS50" i="22"/>
  <c r="BS57" i="22"/>
  <c r="BS61" i="22"/>
  <c r="BS65" i="22"/>
  <c r="BS73" i="22"/>
  <c r="BS72" i="22"/>
  <c r="BS63" i="22"/>
  <c r="BS54" i="22"/>
  <c r="BS62" i="22"/>
  <c r="BS58" i="22"/>
  <c r="BS52" i="22"/>
  <c r="BS44" i="22"/>
  <c r="BS39" i="22"/>
  <c r="BS46" i="22"/>
  <c r="BS35" i="22"/>
  <c r="BS41" i="22"/>
  <c r="BS37" i="22"/>
  <c r="BS40" i="22"/>
  <c r="BS42" i="22"/>
  <c r="BS49" i="22"/>
  <c r="BS74" i="22"/>
  <c r="BS95" i="22"/>
  <c r="BS120" i="22"/>
  <c r="BS89" i="22"/>
  <c r="BS111" i="22"/>
  <c r="BS116" i="22"/>
  <c r="BS88" i="22"/>
  <c r="BS113" i="22"/>
  <c r="BS94" i="22"/>
  <c r="BS117" i="22"/>
  <c r="BS112" i="22"/>
  <c r="BS107" i="22"/>
  <c r="BS102" i="22"/>
  <c r="BS100" i="22"/>
  <c r="BS86" i="22"/>
  <c r="BS91" i="22"/>
  <c r="BS90" i="22"/>
  <c r="BS105" i="22"/>
  <c r="BS108" i="22"/>
  <c r="BS114" i="22"/>
  <c r="BS106" i="22"/>
  <c r="BS118" i="22"/>
  <c r="BS109" i="22"/>
  <c r="BS92" i="22"/>
  <c r="BS104" i="22"/>
  <c r="BS93" i="22"/>
  <c r="BS119" i="22"/>
  <c r="BS101" i="22"/>
  <c r="BS98" i="22"/>
  <c r="BS110" i="22"/>
  <c r="BS115" i="22"/>
  <c r="BS103" i="22"/>
  <c r="BS87" i="22"/>
  <c r="BS97" i="22"/>
  <c r="BS99" i="22"/>
  <c r="BS96" i="22"/>
  <c r="BS76" i="22"/>
  <c r="BR76" i="22"/>
  <c r="BQ76" i="22"/>
  <c r="BP76" i="22"/>
  <c r="BO76" i="22"/>
  <c r="BN76" i="22"/>
  <c r="BM76" i="22"/>
  <c r="BL76" i="22"/>
  <c r="BK76" i="22"/>
  <c r="BJ76" i="22"/>
  <c r="BI76" i="22"/>
  <c r="BH76" i="22"/>
  <c r="BG76" i="22"/>
  <c r="BF76" i="22"/>
  <c r="BE76" i="22"/>
  <c r="BD76" i="22"/>
  <c r="BC76" i="22"/>
  <c r="BB76" i="22"/>
  <c r="BA76" i="22"/>
  <c r="AZ76" i="22"/>
  <c r="AY76" i="22"/>
  <c r="AX76" i="22"/>
  <c r="AW76" i="22"/>
  <c r="AV76" i="22"/>
  <c r="AU76" i="22"/>
  <c r="AT76" i="22"/>
  <c r="AS76" i="22"/>
  <c r="AR76" i="22"/>
  <c r="AQ76" i="22"/>
  <c r="AP76" i="22"/>
  <c r="AO76" i="22"/>
  <c r="AN76" i="22"/>
  <c r="AM76" i="22"/>
  <c r="AL76" i="22"/>
  <c r="AK76" i="22"/>
  <c r="AJ76" i="22"/>
  <c r="AI76" i="22"/>
  <c r="AH76" i="22"/>
  <c r="AF76" i="22"/>
  <c r="AE76" i="22"/>
  <c r="AG76" i="22"/>
  <c r="D77" i="22"/>
  <c r="E77" i="22" s="1" a="1"/>
  <c r="E77" i="22" s="1"/>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D128" i="22"/>
  <c r="AG127" i="22"/>
  <c r="AF127" i="22"/>
  <c r="AE127" i="22"/>
  <c r="BS75" i="22"/>
  <c r="CB96" i="20"/>
  <c r="CF54" i="20"/>
  <c r="CC64" i="20"/>
  <c r="AZ112" i="13" s="1"/>
  <c r="CC63" i="20"/>
  <c r="AZ111" i="13" s="1"/>
  <c r="CC62" i="20"/>
  <c r="CC65" i="20"/>
  <c r="AZ113" i="13" s="1"/>
  <c r="CC101" i="20"/>
  <c r="AZ144" i="13" s="1"/>
  <c r="CC99" i="20"/>
  <c r="AZ142" i="13" s="1"/>
  <c r="CC100" i="20"/>
  <c r="AZ143" i="13" s="1"/>
  <c r="CA93" i="20"/>
  <c r="AX137" i="13" s="1"/>
  <c r="CA94" i="20"/>
  <c r="AX138" i="13" s="1"/>
  <c r="CA92" i="20"/>
  <c r="AX136" i="13" s="1"/>
  <c r="CA78" i="20"/>
  <c r="AX124" i="13" s="1"/>
  <c r="CA79" i="20"/>
  <c r="AX125" i="13" s="1"/>
  <c r="CA80" i="20"/>
  <c r="AX126" i="13" s="1"/>
  <c r="CA68" i="20"/>
  <c r="CD102" i="20"/>
  <c r="BA145" i="13" s="1"/>
  <c r="CD95" i="20"/>
  <c r="BA139" i="13" s="1"/>
  <c r="CD88" i="20"/>
  <c r="BA133" i="13" s="1"/>
  <c r="CD81" i="20"/>
  <c r="BA127" i="13" s="1"/>
  <c r="CF57" i="20"/>
  <c r="CF97" i="20" s="1"/>
  <c r="BC140" i="13" s="1"/>
  <c r="CF56" i="20"/>
  <c r="CF55" i="20"/>
  <c r="CA106" i="20"/>
  <c r="CD14" i="20"/>
  <c r="CD31" i="20"/>
  <c r="CD27" i="20"/>
  <c r="CD18" i="20"/>
  <c r="CD16" i="20"/>
  <c r="CD11" i="20"/>
  <c r="CD15" i="20"/>
  <c r="CD29" i="20"/>
  <c r="CD28" i="20"/>
  <c r="CD21" i="20"/>
  <c r="CD35" i="20"/>
  <c r="CD26" i="20"/>
  <c r="CD33" i="20"/>
  <c r="CD12" i="20"/>
  <c r="CD30" i="20"/>
  <c r="CD17" i="20"/>
  <c r="CD32" i="20"/>
  <c r="CD23" i="20"/>
  <c r="CD22" i="20"/>
  <c r="CD34" i="20"/>
  <c r="CD74" i="20"/>
  <c r="BA121" i="13" s="1"/>
  <c r="CD25" i="20"/>
  <c r="CD19" i="20"/>
  <c r="CD13" i="20"/>
  <c r="CD24" i="20"/>
  <c r="CD20" i="20"/>
  <c r="CE6" i="20"/>
  <c r="CE3" i="20"/>
  <c r="CE7" i="20"/>
  <c r="CE8" i="20"/>
  <c r="CE112" i="20" s="1"/>
  <c r="CE4" i="20"/>
  <c r="CF5" i="20"/>
  <c r="CC61" i="20"/>
  <c r="AZ109" i="13" s="1"/>
  <c r="CC69" i="20"/>
  <c r="CC10" i="20"/>
  <c r="CC70" i="20"/>
  <c r="AZ117" i="13" s="1"/>
  <c r="CB71" i="20"/>
  <c r="CB72" i="20"/>
  <c r="CB73" i="20"/>
  <c r="CB115" i="20"/>
  <c r="BR116" i="16"/>
  <c r="BS116" i="16"/>
  <c r="CG53" i="20"/>
  <c r="BT178" i="17"/>
  <c r="BS178" i="17"/>
  <c r="BR178" i="17"/>
  <c r="BQ178" i="17"/>
  <c r="BP178" i="17"/>
  <c r="BO178" i="17"/>
  <c r="BN178" i="17"/>
  <c r="BM178" i="17"/>
  <c r="BL178" i="17"/>
  <c r="BK178" i="17"/>
  <c r="BJ178" i="17"/>
  <c r="BI178" i="17"/>
  <c r="BH178" i="17"/>
  <c r="BG178" i="17"/>
  <c r="BF178" i="17"/>
  <c r="BE178" i="17"/>
  <c r="BD178" i="17"/>
  <c r="BC178" i="17"/>
  <c r="BB178" i="17"/>
  <c r="BA178" i="17"/>
  <c r="AZ178" i="17"/>
  <c r="AY178" i="17"/>
  <c r="AX178" i="17"/>
  <c r="AW178" i="17"/>
  <c r="AV178" i="17"/>
  <c r="AU178" i="17"/>
  <c r="AT178" i="17"/>
  <c r="AS178" i="17"/>
  <c r="AR178" i="17"/>
  <c r="AQ178" i="17"/>
  <c r="AP178" i="17"/>
  <c r="AO178" i="17"/>
  <c r="AN178" i="17"/>
  <c r="AK178" i="17"/>
  <c r="AI178" i="17"/>
  <c r="AG178" i="17"/>
  <c r="AM178" i="17"/>
  <c r="AL178" i="17"/>
  <c r="AJ178" i="17"/>
  <c r="AH178" i="17"/>
  <c r="AF178" i="17"/>
  <c r="D179" i="17"/>
  <c r="BU178" i="17"/>
  <c r="D88" i="17"/>
  <c r="BV80" i="17" a="1"/>
  <c r="BV80" i="17" s="1"/>
  <c r="BV81" i="17" a="1"/>
  <c r="BV81" i="17" s="1"/>
  <c r="BV82" i="17" a="1"/>
  <c r="BV82" i="17" s="1"/>
  <c r="BX5" i="17"/>
  <c r="BW3" i="17"/>
  <c r="BW8" i="17"/>
  <c r="BW4" i="17"/>
  <c r="BW6" i="17"/>
  <c r="BW7" i="17"/>
  <c r="BV79" i="17" a="1"/>
  <c r="BV79" i="17" s="1"/>
  <c r="BV78" i="17" a="1"/>
  <c r="BV78" i="17" s="1"/>
  <c r="BV77" i="17" a="1"/>
  <c r="BV77" i="17" s="1"/>
  <c r="BV76" i="17" a="1"/>
  <c r="BV76" i="17" s="1"/>
  <c r="BV75" i="17" a="1"/>
  <c r="BV75" i="17" s="1"/>
  <c r="BV166" i="17"/>
  <c r="BV74" i="17" a="1"/>
  <c r="BV74" i="17" s="1"/>
  <c r="BV73" i="17" a="1"/>
  <c r="BV73" i="17" s="1"/>
  <c r="BV165" i="17"/>
  <c r="BV163" i="17"/>
  <c r="BV64" i="17" a="1"/>
  <c r="BV64" i="17" s="1"/>
  <c r="BV65" i="17" a="1"/>
  <c r="BV65" i="17" s="1"/>
  <c r="BV157" i="17"/>
  <c r="BV66" i="17" a="1"/>
  <c r="BV66" i="17" s="1"/>
  <c r="BV67" i="17" a="1"/>
  <c r="BV67" i="17" s="1"/>
  <c r="BV159" i="17"/>
  <c r="BV160" i="17"/>
  <c r="BV69" i="17" a="1"/>
  <c r="BV69" i="17" s="1"/>
  <c r="BV161" i="17"/>
  <c r="BV162" i="17"/>
  <c r="BV156" i="17"/>
  <c r="BV158" i="17"/>
  <c r="BV68" i="17" a="1"/>
  <c r="BV68" i="17" s="1"/>
  <c r="BV164" i="17"/>
  <c r="BV72" i="17" a="1"/>
  <c r="BV72" i="17" s="1"/>
  <c r="BV136" i="17"/>
  <c r="BV137" i="17"/>
  <c r="BV45" i="17" a="1"/>
  <c r="BV45" i="17" s="1"/>
  <c r="BV138" i="17"/>
  <c r="BV46" i="17" a="1"/>
  <c r="BV46" i="17" s="1"/>
  <c r="BV47" i="17" a="1"/>
  <c r="BV47" i="17" s="1"/>
  <c r="BV139" i="17"/>
  <c r="BV48" i="17" a="1"/>
  <c r="BV48" i="17" s="1"/>
  <c r="BV140" i="17"/>
  <c r="BV49" i="17" a="1"/>
  <c r="BV49" i="17" s="1"/>
  <c r="BV141" i="17"/>
  <c r="BV142" i="17"/>
  <c r="BV50" i="17" a="1"/>
  <c r="BV50" i="17" s="1"/>
  <c r="BV143" i="17"/>
  <c r="BV51" i="17" a="1"/>
  <c r="BV51" i="17" s="1"/>
  <c r="BV52" i="17" a="1"/>
  <c r="BV52" i="17" s="1"/>
  <c r="BV144" i="17"/>
  <c r="BV53" i="17" a="1"/>
  <c r="BV53" i="17" s="1"/>
  <c r="BV145" i="17"/>
  <c r="BV146" i="17"/>
  <c r="BV54" i="17" a="1"/>
  <c r="BV54" i="17" s="1"/>
  <c r="BV147" i="17"/>
  <c r="BV55" i="17" a="1"/>
  <c r="BV55" i="17" s="1"/>
  <c r="BV148" i="17"/>
  <c r="BV56" i="17" a="1"/>
  <c r="BV56" i="17" s="1"/>
  <c r="BV57" i="17" a="1"/>
  <c r="BV57" i="17" s="1"/>
  <c r="BV149" i="17"/>
  <c r="BV58" i="17" a="1"/>
  <c r="BV58" i="17" s="1"/>
  <c r="BV150" i="17"/>
  <c r="BV59" i="17" a="1"/>
  <c r="BV59" i="17" s="1"/>
  <c r="BV151" i="17"/>
  <c r="BV152" i="17"/>
  <c r="BV60" i="17" a="1"/>
  <c r="BV60" i="17" s="1"/>
  <c r="BV61" i="17" a="1"/>
  <c r="BV61" i="17" s="1"/>
  <c r="BV153" i="17"/>
  <c r="BV62" i="17" a="1"/>
  <c r="BV62" i="17" s="1"/>
  <c r="BV154" i="17"/>
  <c r="BV63" i="17" a="1"/>
  <c r="BV63" i="17" s="1"/>
  <c r="BV155" i="17"/>
  <c r="BV71" i="17" a="1"/>
  <c r="BV71" i="17" s="1"/>
  <c r="BV70" i="17" a="1"/>
  <c r="BV70" i="17" s="1"/>
  <c r="E117" i="16" a="1"/>
  <c r="E117" i="16" s="1"/>
  <c r="AY118" i="16"/>
  <c r="BQ118" i="16"/>
  <c r="BP118" i="16"/>
  <c r="BO118" i="16"/>
  <c r="BN118" i="16"/>
  <c r="BM118" i="16"/>
  <c r="BL118" i="16"/>
  <c r="BK118" i="16"/>
  <c r="BJ118" i="16"/>
  <c r="BI118" i="16"/>
  <c r="BH118" i="16"/>
  <c r="BG118" i="16"/>
  <c r="BF118" i="16"/>
  <c r="BE118" i="16"/>
  <c r="BD118" i="16"/>
  <c r="BC118" i="16"/>
  <c r="BB118" i="16"/>
  <c r="BA118" i="16"/>
  <c r="AZ118" i="16"/>
  <c r="BS118" i="16"/>
  <c r="AX118" i="16"/>
  <c r="AW118" i="16"/>
  <c r="AV118" i="16"/>
  <c r="AU118" i="16"/>
  <c r="AT118" i="16"/>
  <c r="AS118" i="16"/>
  <c r="AR118" i="16"/>
  <c r="AQ118" i="16"/>
  <c r="AP118" i="16"/>
  <c r="AO118" i="16"/>
  <c r="AN118" i="16"/>
  <c r="AM118" i="16"/>
  <c r="AL118" i="16"/>
  <c r="AK118" i="16"/>
  <c r="AJ118" i="16"/>
  <c r="AI118" i="16"/>
  <c r="AH118" i="16"/>
  <c r="AG118" i="16"/>
  <c r="AF118" i="16"/>
  <c r="BR118" i="16"/>
  <c r="BR118" i="15"/>
  <c r="BQ118" i="15"/>
  <c r="BO118" i="15"/>
  <c r="BM118" i="15"/>
  <c r="BK118" i="15"/>
  <c r="BI118" i="15"/>
  <c r="BG118" i="15"/>
  <c r="BE118" i="15"/>
  <c r="BC118" i="15"/>
  <c r="BA118" i="15"/>
  <c r="BS118" i="15"/>
  <c r="BP118" i="15"/>
  <c r="BN118" i="15"/>
  <c r="BL118" i="15"/>
  <c r="BJ118" i="15"/>
  <c r="BH118" i="15"/>
  <c r="BF118" i="15"/>
  <c r="BD118" i="15"/>
  <c r="BB118" i="15"/>
  <c r="AZ118" i="15"/>
  <c r="AZ87" i="14"/>
  <c r="AN87" i="14"/>
  <c r="AU87" i="14"/>
  <c r="BA87" i="14"/>
  <c r="AO87" i="14"/>
  <c r="AI87" i="14"/>
  <c r="AP87" i="14"/>
  <c r="AV87" i="14"/>
  <c r="BT116" i="16"/>
  <c r="BQ68" i="16"/>
  <c r="BT59" i="16"/>
  <c r="BT63" i="16"/>
  <c r="BT99" i="16"/>
  <c r="BT112" i="16"/>
  <c r="BT62" i="16"/>
  <c r="BT58" i="16"/>
  <c r="BT61" i="16"/>
  <c r="BT65" i="16"/>
  <c r="BT110" i="16"/>
  <c r="BT35" i="16"/>
  <c r="BT39" i="16"/>
  <c r="BT92" i="16"/>
  <c r="BT93" i="16"/>
  <c r="BT95" i="16"/>
  <c r="BT97" i="16"/>
  <c r="BT100" i="16"/>
  <c r="BT101" i="16"/>
  <c r="BT103" i="16"/>
  <c r="BT115" i="16"/>
  <c r="BT56" i="16"/>
  <c r="BT90" i="16"/>
  <c r="BT57" i="16"/>
  <c r="BT91" i="16"/>
  <c r="BT89" i="16"/>
  <c r="BT55" i="16"/>
  <c r="BT88" i="16"/>
  <c r="BT54" i="16"/>
  <c r="BT87" i="16"/>
  <c r="BT53" i="16"/>
  <c r="BT86" i="16"/>
  <c r="BT52" i="16"/>
  <c r="BT51" i="16"/>
  <c r="BT85" i="16"/>
  <c r="BT84" i="16"/>
  <c r="BT50" i="16"/>
  <c r="BT83" i="16"/>
  <c r="BT49" i="16"/>
  <c r="BT82" i="16"/>
  <c r="BT48" i="16"/>
  <c r="BT47" i="16"/>
  <c r="BT81" i="16"/>
  <c r="BT80" i="16"/>
  <c r="BT46" i="16"/>
  <c r="BT79" i="16"/>
  <c r="BT45" i="16"/>
  <c r="BT78" i="16"/>
  <c r="BT33" i="16"/>
  <c r="BT30" i="16"/>
  <c r="BT43" i="16"/>
  <c r="BT29" i="16"/>
  <c r="BT38" i="16"/>
  <c r="BT34" i="16"/>
  <c r="BT44" i="16"/>
  <c r="BT32" i="16"/>
  <c r="BT37" i="16"/>
  <c r="BT31" i="16"/>
  <c r="BT42" i="16"/>
  <c r="BT36" i="16"/>
  <c r="BT41" i="16"/>
  <c r="BT28" i="16"/>
  <c r="BT40" i="16"/>
  <c r="BT60" i="16"/>
  <c r="BT94" i="16"/>
  <c r="BT96" i="16"/>
  <c r="BT64" i="16"/>
  <c r="BT98" i="16"/>
  <c r="BT102" i="16"/>
  <c r="BT104" i="16"/>
  <c r="BT105" i="16"/>
  <c r="BT106" i="16"/>
  <c r="BT107" i="16"/>
  <c r="BT108" i="16"/>
  <c r="BT109" i="16"/>
  <c r="BT111" i="16"/>
  <c r="BT113" i="16"/>
  <c r="BT114" i="16"/>
  <c r="BU4" i="16"/>
  <c r="BU3" i="16"/>
  <c r="BU7" i="16"/>
  <c r="BU6" i="16"/>
  <c r="BV5" i="16"/>
  <c r="BU8" i="16"/>
  <c r="BT11" i="16"/>
  <c r="BT15" i="16"/>
  <c r="BT14" i="16" s="1"/>
  <c r="BW16" i="16" s="1"/>
  <c r="BT19" i="16"/>
  <c r="BT18" i="16" s="1"/>
  <c r="BS68" i="16"/>
  <c r="BO68" i="16"/>
  <c r="BR68" i="16"/>
  <c r="BP68" i="16"/>
  <c r="AY118" i="15"/>
  <c r="AX118" i="15"/>
  <c r="AW118" i="15"/>
  <c r="AU118" i="15"/>
  <c r="AT118" i="15"/>
  <c r="AS118" i="15"/>
  <c r="AR118" i="15"/>
  <c r="AQ118" i="15"/>
  <c r="AP118" i="15"/>
  <c r="AO118" i="15"/>
  <c r="AN118" i="15"/>
  <c r="AM118" i="15"/>
  <c r="AL118" i="15"/>
  <c r="AK118" i="15"/>
  <c r="AJ118" i="15"/>
  <c r="AI118" i="15"/>
  <c r="AH118" i="15"/>
  <c r="AG118" i="15"/>
  <c r="AF118" i="15"/>
  <c r="AV118" i="15"/>
  <c r="AK87" i="14"/>
  <c r="AX87" i="14"/>
  <c r="BC87" i="14"/>
  <c r="BG87" i="14"/>
  <c r="BI87" i="14"/>
  <c r="BK87" i="14"/>
  <c r="BM87" i="14"/>
  <c r="BO87" i="14"/>
  <c r="BQ87" i="14"/>
  <c r="AG87" i="14"/>
  <c r="BF87" i="14"/>
  <c r="AJ87" i="14"/>
  <c r="AS87" i="14"/>
  <c r="BE87" i="14"/>
  <c r="BR87" i="14"/>
  <c r="BP87" i="14"/>
  <c r="BN87" i="14"/>
  <c r="AQ87" i="14"/>
  <c r="BL87" i="14"/>
  <c r="BJ87" i="14"/>
  <c r="BH87" i="14"/>
  <c r="BD87" i="14"/>
  <c r="BB87" i="14"/>
  <c r="AL87" i="14"/>
  <c r="AH87" i="14"/>
  <c r="AR87" i="14"/>
  <c r="AW87" i="14"/>
  <c r="AF87" i="14"/>
  <c r="AY87" i="14"/>
  <c r="AM87" i="14"/>
  <c r="AT87" i="14"/>
  <c r="BS116" i="15"/>
  <c r="BR116" i="15"/>
  <c r="E117" i="15" a="1"/>
  <c r="E117" i="15" s="1"/>
  <c r="BV16" i="15"/>
  <c r="BE68" i="15"/>
  <c r="BJ68" i="15"/>
  <c r="AO68" i="15"/>
  <c r="AT68" i="15"/>
  <c r="BM68" i="15"/>
  <c r="BT116" i="15"/>
  <c r="AY68" i="15"/>
  <c r="BB68" i="15"/>
  <c r="AW68" i="15"/>
  <c r="AQ68" i="15"/>
  <c r="BQ68" i="15"/>
  <c r="AM68" i="15"/>
  <c r="BF68" i="15"/>
  <c r="BK68" i="15"/>
  <c r="AK68" i="15"/>
  <c r="BT115" i="15"/>
  <c r="BT114" i="15"/>
  <c r="BT113" i="15"/>
  <c r="BT112" i="15"/>
  <c r="BT111" i="15"/>
  <c r="BT66" i="15"/>
  <c r="BT110" i="15"/>
  <c r="BT109" i="15"/>
  <c r="BT65" i="15"/>
  <c r="BT108" i="15"/>
  <c r="BT64" i="15"/>
  <c r="BT107" i="15"/>
  <c r="BT63" i="15"/>
  <c r="BT62" i="15"/>
  <c r="BT106" i="15"/>
  <c r="BT61" i="15"/>
  <c r="BT105" i="15"/>
  <c r="BT60" i="15"/>
  <c r="BT104" i="15"/>
  <c r="BT59" i="15"/>
  <c r="BT103" i="15"/>
  <c r="BT58" i="15"/>
  <c r="BT102" i="15"/>
  <c r="BT57" i="15"/>
  <c r="BT101" i="15"/>
  <c r="BT56" i="15"/>
  <c r="BT100" i="15"/>
  <c r="BT55" i="15"/>
  <c r="BT54" i="15"/>
  <c r="BT99" i="15"/>
  <c r="BT98" i="15"/>
  <c r="BT53" i="15"/>
  <c r="BT97" i="15"/>
  <c r="BT52" i="15"/>
  <c r="BT51" i="15"/>
  <c r="BT96" i="15"/>
  <c r="BT95" i="15"/>
  <c r="BT50" i="15"/>
  <c r="BT94" i="15"/>
  <c r="BT49" i="15"/>
  <c r="BT93" i="15"/>
  <c r="BT48" i="15"/>
  <c r="BT92" i="15"/>
  <c r="BT47" i="15"/>
  <c r="BT91" i="15"/>
  <c r="BT46" i="15"/>
  <c r="BT90" i="15"/>
  <c r="BT45" i="15"/>
  <c r="BT89" i="15"/>
  <c r="BT44" i="15"/>
  <c r="BT88" i="15"/>
  <c r="BT43" i="15"/>
  <c r="BT87" i="15"/>
  <c r="BT42" i="15"/>
  <c r="BT41" i="15"/>
  <c r="BT86" i="15"/>
  <c r="BT85" i="15"/>
  <c r="BT40" i="15"/>
  <c r="BT84" i="15"/>
  <c r="BT39" i="15"/>
  <c r="BT83" i="15"/>
  <c r="BT38" i="15"/>
  <c r="BT37" i="15"/>
  <c r="BT82" i="15"/>
  <c r="BT81" i="15"/>
  <c r="BT36" i="15"/>
  <c r="BT80" i="15"/>
  <c r="BT35" i="15"/>
  <c r="BT79" i="15"/>
  <c r="BT34" i="15"/>
  <c r="BT30" i="15"/>
  <c r="BT31" i="15"/>
  <c r="BT32" i="15"/>
  <c r="BT19" i="15" a="1"/>
  <c r="BT19" i="15" s="1"/>
  <c r="BT18" i="15" s="1"/>
  <c r="BT29" i="15"/>
  <c r="BT11" i="15" a="1"/>
  <c r="BT11" i="15" s="1"/>
  <c r="BT78" i="15"/>
  <c r="BT33" i="15"/>
  <c r="BT28" i="15"/>
  <c r="BT15" i="15" a="1"/>
  <c r="BT15" i="15" s="1"/>
  <c r="BT14" i="15" s="1"/>
  <c r="E68" i="15" s="1" a="1"/>
  <c r="E68" i="15" s="1"/>
  <c r="BT68" i="15" s="1"/>
  <c r="BU8" i="15"/>
  <c r="AK69" i="15" s="1"/>
  <c r="BU7" i="15"/>
  <c r="BU4" i="15"/>
  <c r="BU3" i="15"/>
  <c r="BU6" i="15"/>
  <c r="BV5" i="15"/>
  <c r="BA68" i="15"/>
  <c r="BS68" i="15"/>
  <c r="BD68" i="15"/>
  <c r="BI68" i="15"/>
  <c r="BH68" i="15"/>
  <c r="AU68" i="15"/>
  <c r="AZ68" i="15"/>
  <c r="AF68" i="15"/>
  <c r="AP68" i="15"/>
  <c r="AH68" i="15"/>
  <c r="AI68" i="15"/>
  <c r="BG68" i="15"/>
  <c r="BL68" i="15"/>
  <c r="AV68" i="15"/>
  <c r="AL68" i="15"/>
  <c r="BO68" i="15"/>
  <c r="AR68" i="15"/>
  <c r="AX68" i="15"/>
  <c r="AJ68" i="15"/>
  <c r="BN68" i="15"/>
  <c r="AN68" i="15"/>
  <c r="BC68" i="15"/>
  <c r="BP68" i="15"/>
  <c r="AG68" i="15"/>
  <c r="AS68" i="15"/>
  <c r="BT49" i="14"/>
  <c r="BT47" i="14"/>
  <c r="BT50" i="14"/>
  <c r="BT51" i="14"/>
  <c r="BT53" i="14"/>
  <c r="BT54" i="14"/>
  <c r="BT55" i="14"/>
  <c r="BT57" i="14"/>
  <c r="BT58" i="14"/>
  <c r="BT60" i="14"/>
  <c r="BT61" i="14"/>
  <c r="BT62" i="14"/>
  <c r="BT64" i="14"/>
  <c r="BT65" i="14"/>
  <c r="BT66" i="14"/>
  <c r="BT68" i="14"/>
  <c r="BT70" i="14"/>
  <c r="BT71" i="14"/>
  <c r="BT73" i="14"/>
  <c r="BT74" i="14"/>
  <c r="BT75" i="14"/>
  <c r="BT48" i="14"/>
  <c r="BT52" i="14"/>
  <c r="BT56" i="14"/>
  <c r="BT59" i="14"/>
  <c r="BT63" i="14"/>
  <c r="BT67" i="14"/>
  <c r="BT69" i="14"/>
  <c r="BT72" i="14"/>
  <c r="BU8" i="14"/>
  <c r="BU6" i="14"/>
  <c r="BU7" i="14"/>
  <c r="BV5" i="14"/>
  <c r="BU4" i="14"/>
  <c r="BU3" i="14"/>
  <c r="BS87" i="14"/>
  <c r="BA12" i="16"/>
  <c r="AZ25" i="16"/>
  <c r="AZ22" i="16"/>
  <c r="AZ27" i="14" s="1"/>
  <c r="D120" i="16"/>
  <c r="D75" i="15"/>
  <c r="BA12" i="15"/>
  <c r="AZ22" i="15"/>
  <c r="AZ25" i="14" s="1"/>
  <c r="AZ25" i="15"/>
  <c r="D120" i="15"/>
  <c r="D92" i="14"/>
  <c r="BS7" i="9"/>
  <c r="BS4" i="9"/>
  <c r="BS6" i="9"/>
  <c r="BT5" i="9"/>
  <c r="BS8" i="9"/>
  <c r="BS3" i="9"/>
  <c r="BR4" i="11"/>
  <c r="BR3" i="11"/>
  <c r="BR8" i="11"/>
  <c r="BR7" i="11"/>
  <c r="BR6" i="11"/>
  <c r="BS5" i="11"/>
  <c r="CE119" i="12" a="1"/>
  <c r="CE119" i="12" s="1"/>
  <c r="CE117" i="12" a="1"/>
  <c r="CE117" i="12" s="1"/>
  <c r="CE116" i="12" a="1"/>
  <c r="CE116" i="12" s="1"/>
  <c r="CE115" i="12" a="1"/>
  <c r="CE115" i="12" s="1"/>
  <c r="CE114" i="12" a="1"/>
  <c r="CE114" i="12" s="1"/>
  <c r="CE113" i="12" a="1"/>
  <c r="CE113" i="12" s="1"/>
  <c r="CE112" i="12" a="1"/>
  <c r="CE112" i="12" s="1"/>
  <c r="CE111" i="12" a="1"/>
  <c r="CE111" i="12" s="1"/>
  <c r="CE109" i="12" a="1"/>
  <c r="CE109" i="12" s="1"/>
  <c r="CE7" i="12"/>
  <c r="CE8" i="12"/>
  <c r="CE4" i="12"/>
  <c r="CE3" i="12"/>
  <c r="CF5" i="12"/>
  <c r="CE6" i="12"/>
  <c r="BB3" i="13"/>
  <c r="BB7" i="13"/>
  <c r="BC5" i="13"/>
  <c r="BB4" i="13"/>
  <c r="BB8" i="13"/>
  <c r="BB6" i="13"/>
  <c r="BS8" i="10"/>
  <c r="BS7" i="10"/>
  <c r="BS6" i="10"/>
  <c r="BT5" i="10"/>
  <c r="BS4" i="10"/>
  <c r="BS3" i="10"/>
  <c r="CA48" i="8"/>
  <c r="CA50" i="8"/>
  <c r="CA51" i="8"/>
  <c r="CA52" i="8"/>
  <c r="CB49" i="8"/>
  <c r="CB73" i="8"/>
  <c r="CB47" i="8"/>
  <c r="CB11" i="8"/>
  <c r="CC8" i="8"/>
  <c r="CC94" i="8" s="1"/>
  <c r="CB7" i="8"/>
  <c r="CB15" i="8" s="1" a="1"/>
  <c r="CB15" i="8" s="1"/>
  <c r="CB6" i="8"/>
  <c r="CB10" i="8"/>
  <c r="CB9" i="8"/>
  <c r="CA74" i="8"/>
  <c r="CA78" i="8"/>
  <c r="CA77" i="8"/>
  <c r="CA76" i="8"/>
  <c r="CB75" i="8"/>
  <c r="BC40" i="13" l="1"/>
  <c r="AX115" i="13"/>
  <c r="BZ45" i="12"/>
  <c r="AX63" i="13" s="1"/>
  <c r="BS41" i="17"/>
  <c r="E84" i="17" s="1" a="1"/>
  <c r="E84" i="17" s="1"/>
  <c r="BV84" i="17" s="1" a="1"/>
  <c r="BV84" i="17" s="1"/>
  <c r="AZ110" i="13"/>
  <c r="AZ108" i="13" s="1"/>
  <c r="CC85" i="20"/>
  <c r="AZ130" i="13" s="1"/>
  <c r="AZ128" i="13"/>
  <c r="BZ43" i="12"/>
  <c r="AX61" i="13" s="1"/>
  <c r="AY119" i="13"/>
  <c r="BZ44" i="12"/>
  <c r="AX62" i="13" s="1"/>
  <c r="AY120" i="13"/>
  <c r="AY118" i="13"/>
  <c r="CB42" i="12"/>
  <c r="AZ60" i="13" s="1"/>
  <c r="AZ116" i="13"/>
  <c r="CB82" i="20"/>
  <c r="CG13" i="12" a="1"/>
  <c r="CG13" i="12" s="1"/>
  <c r="CH13" i="12" s="1" a="1"/>
  <c r="CH13" i="12" s="1"/>
  <c r="BF40" i="13" s="1"/>
  <c r="BG41" i="13"/>
  <c r="CJ14" i="12" a="1"/>
  <c r="CJ14" i="12" s="1"/>
  <c r="BH41" i="13" s="1"/>
  <c r="BW105" i="17"/>
  <c r="BV107" i="17"/>
  <c r="BV109" i="17" s="1"/>
  <c r="BV103" i="17" s="1"/>
  <c r="CF103" i="12"/>
  <c r="BC102" i="13"/>
  <c r="CD83" i="20"/>
  <c r="BR42" i="17"/>
  <c r="BS42" i="17" s="1"/>
  <c r="CD107" i="20"/>
  <c r="CC87" i="20"/>
  <c r="AZ132" i="13" s="1"/>
  <c r="CC86" i="20"/>
  <c r="AZ131" i="13" s="1"/>
  <c r="CD90" i="20"/>
  <c r="BA134" i="13" s="1"/>
  <c r="CD108" i="20"/>
  <c r="BL84" i="17" a="1"/>
  <c r="BL84" i="17" s="1"/>
  <c r="X84" i="17" s="1"/>
  <c r="AQ84" i="17" a="1"/>
  <c r="AQ84" i="17" s="1"/>
  <c r="BE84" i="17" a="1"/>
  <c r="BE84" i="17" s="1"/>
  <c r="AO84" i="17" a="1"/>
  <c r="AO84" i="17" s="1"/>
  <c r="BT84" i="17" a="1"/>
  <c r="BT84" i="17" s="1"/>
  <c r="BU84" i="17" a="1"/>
  <c r="BU84" i="17" s="1"/>
  <c r="AA84" i="17" s="1"/>
  <c r="BR83" i="17" a="1"/>
  <c r="BR83" i="17" s="1"/>
  <c r="Z83" i="17" s="1"/>
  <c r="BQ83" i="17" a="1"/>
  <c r="BQ83" i="17" s="1"/>
  <c r="BM83" i="17" a="1"/>
  <c r="BM83" i="17" s="1"/>
  <c r="BL83" i="17" a="1"/>
  <c r="BL83" i="17" s="1"/>
  <c r="X83" i="17" s="1"/>
  <c r="BP83" i="17" a="1"/>
  <c r="BP83" i="17" s="1"/>
  <c r="BJ83" i="17" a="1"/>
  <c r="BJ83" i="17" s="1"/>
  <c r="AX83" i="17" a="1"/>
  <c r="AX83" i="17" s="1"/>
  <c r="BH83" i="17" a="1"/>
  <c r="BH83" i="17" s="1"/>
  <c r="BF83" i="17" a="1"/>
  <c r="BF83" i="17" s="1"/>
  <c r="V83" i="17" s="1"/>
  <c r="AT83" i="17" a="1"/>
  <c r="AT83" i="17" s="1"/>
  <c r="R83" i="17" s="1"/>
  <c r="BA83" i="17" a="1"/>
  <c r="BA83" i="17" s="1"/>
  <c r="BB83" i="17" a="1"/>
  <c r="BB83" i="17" s="1"/>
  <c r="AH83" i="17" a="1"/>
  <c r="AH83" i="17" s="1"/>
  <c r="N83" i="17" s="1"/>
  <c r="AY83" i="17" a="1"/>
  <c r="AY83" i="17" s="1"/>
  <c r="AZ83" i="17" a="1"/>
  <c r="AZ83" i="17" s="1"/>
  <c r="T83" i="17" s="1"/>
  <c r="AF83" i="17" a="1"/>
  <c r="AF83" i="17" s="1"/>
  <c r="AR83" i="17" a="1"/>
  <c r="AR83" i="17" s="1"/>
  <c r="BS83" i="17" a="1"/>
  <c r="BS83" i="17" s="1"/>
  <c r="AG83" i="17" a="1"/>
  <c r="AG83" i="17" s="1"/>
  <c r="BO83" i="17" a="1"/>
  <c r="BO83" i="17" s="1"/>
  <c r="AW83" i="17" a="1"/>
  <c r="AW83" i="17" s="1"/>
  <c r="S83" i="17" s="1"/>
  <c r="BK83" i="17" a="1"/>
  <c r="BK83" i="17" s="1"/>
  <c r="AS83" i="17" a="1"/>
  <c r="AS83" i="17" s="1"/>
  <c r="BD83" i="17" a="1"/>
  <c r="BD83" i="17" s="1"/>
  <c r="AQ83" i="17" a="1"/>
  <c r="AQ83" i="17" s="1"/>
  <c r="AU83" i="17" a="1"/>
  <c r="AU83" i="17" s="1"/>
  <c r="BG83" i="17" a="1"/>
  <c r="BG83" i="17" s="1"/>
  <c r="AO83" i="17" a="1"/>
  <c r="AO83" i="17" s="1"/>
  <c r="BE83" i="17" a="1"/>
  <c r="BE83" i="17" s="1"/>
  <c r="AM83" i="17" a="1"/>
  <c r="AM83" i="17" s="1"/>
  <c r="BC83" i="17" a="1"/>
  <c r="BC83" i="17" s="1"/>
  <c r="BN83" i="17" a="1"/>
  <c r="BN83" i="17" s="1"/>
  <c r="AL83" i="17" a="1"/>
  <c r="AL83" i="17" s="1"/>
  <c r="AV83" i="17" a="1"/>
  <c r="AV83" i="17" s="1"/>
  <c r="BI83" i="17" a="1"/>
  <c r="BI83" i="17" s="1"/>
  <c r="W83" i="17" s="1"/>
  <c r="AK83" i="17" a="1"/>
  <c r="AK83" i="17" s="1"/>
  <c r="O83" i="17" s="1"/>
  <c r="AN83" i="17" a="1"/>
  <c r="AN83" i="17" s="1"/>
  <c r="P83" i="17" s="1"/>
  <c r="AP83" i="17" a="1"/>
  <c r="AP83" i="17" s="1"/>
  <c r="AI83" i="17" a="1"/>
  <c r="AI83" i="17" s="1"/>
  <c r="AJ83" i="17" a="1"/>
  <c r="AJ83" i="17" s="1"/>
  <c r="BT83" i="17" a="1"/>
  <c r="BT83" i="17" s="1"/>
  <c r="BU83" i="17" a="1"/>
  <c r="BU83" i="17" s="1"/>
  <c r="AA83" i="17" s="1"/>
  <c r="CC111" i="20" a="1"/>
  <c r="CC111" i="20" s="1"/>
  <c r="CC110" i="20"/>
  <c r="CC109" i="20" a="1"/>
  <c r="CC109" i="20" s="1"/>
  <c r="BZ114" i="20"/>
  <c r="CD76" i="20"/>
  <c r="BA122" i="13" s="1"/>
  <c r="CD77" i="20"/>
  <c r="BA123" i="13" s="1"/>
  <c r="CD91" i="20"/>
  <c r="BA135" i="13" s="1"/>
  <c r="AM88" i="14"/>
  <c r="AV88" i="14"/>
  <c r="AH88" i="14"/>
  <c r="AZ88" i="14"/>
  <c r="CF52" i="20"/>
  <c r="CC60" i="20"/>
  <c r="BE69" i="15"/>
  <c r="AT69" i="15"/>
  <c r="AL69" i="15"/>
  <c r="AH69" i="15"/>
  <c r="AZ69" i="15"/>
  <c r="AG69" i="15"/>
  <c r="AO69" i="15"/>
  <c r="AX69" i="15"/>
  <c r="BC69" i="15"/>
  <c r="BT90" i="22"/>
  <c r="BT107" i="22"/>
  <c r="BT110" i="22"/>
  <c r="BT114" i="22"/>
  <c r="BT95" i="22"/>
  <c r="BT104" i="22"/>
  <c r="BT100" i="22"/>
  <c r="BT118" i="22"/>
  <c r="BT98" i="22"/>
  <c r="BT106" i="22"/>
  <c r="BT92" i="22"/>
  <c r="BT94" i="22"/>
  <c r="BT91" i="22"/>
  <c r="BT87" i="22"/>
  <c r="BT89" i="22"/>
  <c r="BT115" i="22"/>
  <c r="BT111" i="22"/>
  <c r="BT105" i="22"/>
  <c r="BT99" i="22"/>
  <c r="BU4" i="22"/>
  <c r="BU7" i="22"/>
  <c r="BU3" i="22"/>
  <c r="BU6" i="22"/>
  <c r="BV5" i="22"/>
  <c r="BU8" i="22"/>
  <c r="CC96" i="20"/>
  <c r="BT46" i="22"/>
  <c r="BT50" i="22"/>
  <c r="BT76" i="22"/>
  <c r="BT72" i="22"/>
  <c r="BT43" i="22"/>
  <c r="BT41" i="22"/>
  <c r="BT40" i="22"/>
  <c r="BT61" i="22"/>
  <c r="BT67" i="22"/>
  <c r="BT71" i="22"/>
  <c r="BT39" i="22"/>
  <c r="BT37" i="22"/>
  <c r="BT35" i="22"/>
  <c r="BT36" i="22"/>
  <c r="BT66" i="22"/>
  <c r="BT62" i="22"/>
  <c r="BT38" i="22"/>
  <c r="BT42" i="22"/>
  <c r="BT60" i="22"/>
  <c r="BT59" i="22"/>
  <c r="BT58" i="22"/>
  <c r="BT57" i="22"/>
  <c r="BT56" i="22"/>
  <c r="BT55" i="22"/>
  <c r="BT44" i="22"/>
  <c r="BT45" i="22"/>
  <c r="BT47" i="22"/>
  <c r="BT48" i="22"/>
  <c r="BT73" i="22"/>
  <c r="BT68" i="22"/>
  <c r="BT63" i="22"/>
  <c r="BT54" i="22"/>
  <c r="BT53" i="22"/>
  <c r="BT49" i="22"/>
  <c r="BT74" i="22"/>
  <c r="BT64" i="22"/>
  <c r="BT52" i="22"/>
  <c r="BT51" i="22"/>
  <c r="BT65" i="22"/>
  <c r="BT75" i="22"/>
  <c r="BT103" i="22"/>
  <c r="BT97" i="22"/>
  <c r="BT88" i="22"/>
  <c r="BT86" i="22"/>
  <c r="BT109" i="22"/>
  <c r="BT116" i="22"/>
  <c r="BT112" i="22"/>
  <c r="BT108" i="22"/>
  <c r="BT102" i="22"/>
  <c r="BT96" i="22"/>
  <c r="BT117" i="22"/>
  <c r="BT113" i="22"/>
  <c r="BT119" i="22"/>
  <c r="BT120" i="22"/>
  <c r="BT93" i="22"/>
  <c r="BT101" i="22"/>
  <c r="BP69" i="16"/>
  <c r="BR69" i="16"/>
  <c r="BO69" i="16"/>
  <c r="AU69" i="15"/>
  <c r="AM69" i="15"/>
  <c r="AV69" i="15"/>
  <c r="AR69" i="15"/>
  <c r="BS69" i="15"/>
  <c r="BT77" i="22"/>
  <c r="BS77" i="22"/>
  <c r="BR77" i="22"/>
  <c r="BQ77" i="22"/>
  <c r="BP77" i="22"/>
  <c r="BO77" i="22"/>
  <c r="BN77" i="22"/>
  <c r="BM77" i="22"/>
  <c r="BL77" i="22"/>
  <c r="BK77" i="22"/>
  <c r="BJ77" i="22"/>
  <c r="BI77" i="22"/>
  <c r="BH77" i="22"/>
  <c r="BG77" i="22"/>
  <c r="BF77" i="22"/>
  <c r="BE77" i="22"/>
  <c r="BD77" i="22"/>
  <c r="BC77" i="22"/>
  <c r="BB77" i="22"/>
  <c r="BA77" i="22"/>
  <c r="AZ77" i="22"/>
  <c r="AY77" i="22"/>
  <c r="AX77" i="22"/>
  <c r="AW77" i="22"/>
  <c r="AV77" i="22"/>
  <c r="AU77" i="22"/>
  <c r="AT77" i="22"/>
  <c r="AS77" i="22"/>
  <c r="AR77" i="22"/>
  <c r="AQ77" i="22"/>
  <c r="AP77" i="22"/>
  <c r="AO77" i="22"/>
  <c r="AN77" i="22"/>
  <c r="AM77" i="22"/>
  <c r="AL77" i="22"/>
  <c r="AK77" i="22"/>
  <c r="AJ77" i="22"/>
  <c r="AI77" i="22"/>
  <c r="AH77" i="22"/>
  <c r="AG77" i="22"/>
  <c r="AE77" i="22"/>
  <c r="AF77" i="22"/>
  <c r="D78" i="22"/>
  <c r="E78" i="22" s="1" a="1"/>
  <c r="E78" i="22" s="1"/>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D129" i="22"/>
  <c r="AG128" i="22"/>
  <c r="AF128" i="22"/>
  <c r="AE128" i="22"/>
  <c r="CB106" i="20"/>
  <c r="CG54" i="20"/>
  <c r="CA75" i="20"/>
  <c r="CD65" i="20"/>
  <c r="BA113" i="13" s="1"/>
  <c r="CD64" i="20"/>
  <c r="BA112" i="13" s="1"/>
  <c r="CD63" i="20"/>
  <c r="BA111" i="13" s="1"/>
  <c r="CD62" i="20"/>
  <c r="CA89" i="20"/>
  <c r="CD99" i="20"/>
  <c r="BA142" i="13" s="1"/>
  <c r="CD100" i="20"/>
  <c r="BA143" i="13" s="1"/>
  <c r="CD101" i="20"/>
  <c r="BA144" i="13" s="1"/>
  <c r="CB92" i="20"/>
  <c r="AY136" i="13" s="1"/>
  <c r="CB93" i="20"/>
  <c r="AY137" i="13" s="1"/>
  <c r="CB94" i="20"/>
  <c r="AY138" i="13" s="1"/>
  <c r="CB79" i="20"/>
  <c r="AY125" i="13" s="1"/>
  <c r="CB80" i="20"/>
  <c r="AY126" i="13" s="1"/>
  <c r="CB78" i="20"/>
  <c r="AY124" i="13" s="1"/>
  <c r="CE102" i="20"/>
  <c r="BB145" i="13" s="1"/>
  <c r="CE95" i="20"/>
  <c r="BB139" i="13" s="1"/>
  <c r="CE88" i="20"/>
  <c r="BB133" i="13" s="1"/>
  <c r="CE81" i="20"/>
  <c r="BB127" i="13" s="1"/>
  <c r="CG57" i="20"/>
  <c r="CG97" i="20" s="1"/>
  <c r="BD140" i="13" s="1"/>
  <c r="CG56" i="20"/>
  <c r="CG55" i="20"/>
  <c r="CB68" i="20"/>
  <c r="CD70" i="20"/>
  <c r="BA117" i="13" s="1"/>
  <c r="CD69" i="20"/>
  <c r="CD61" i="20"/>
  <c r="BA109" i="13" s="1"/>
  <c r="CD10" i="20"/>
  <c r="CE21" i="20"/>
  <c r="CE33" i="20"/>
  <c r="CE20" i="20"/>
  <c r="CE11" i="20"/>
  <c r="CE19" i="20"/>
  <c r="CE16" i="20"/>
  <c r="CE15" i="20"/>
  <c r="CE26" i="20"/>
  <c r="CE17" i="20"/>
  <c r="CE74" i="20"/>
  <c r="BB121" i="13" s="1"/>
  <c r="CE25" i="20"/>
  <c r="CE23" i="20"/>
  <c r="CE35" i="20"/>
  <c r="CE27" i="20"/>
  <c r="CE29" i="20"/>
  <c r="CE14" i="20"/>
  <c r="CE28" i="20"/>
  <c r="CE13" i="20"/>
  <c r="CE31" i="20"/>
  <c r="CE24" i="20"/>
  <c r="CE32" i="20"/>
  <c r="CE30" i="20"/>
  <c r="CE18" i="20"/>
  <c r="CE22" i="20"/>
  <c r="CE12" i="20"/>
  <c r="CE34" i="20"/>
  <c r="CF4" i="20"/>
  <c r="CG5" i="20"/>
  <c r="CF6" i="20"/>
  <c r="CF3" i="20"/>
  <c r="CF8" i="20"/>
  <c r="CF112" i="20" s="1"/>
  <c r="CF7" i="20"/>
  <c r="CC115" i="20"/>
  <c r="CC72" i="20"/>
  <c r="CC71" i="20"/>
  <c r="CC73" i="20"/>
  <c r="CH53" i="20"/>
  <c r="BU179" i="17"/>
  <c r="BT179" i="17"/>
  <c r="BS179" i="17"/>
  <c r="BR179" i="17"/>
  <c r="BQ179" i="17"/>
  <c r="BP179" i="17"/>
  <c r="BO179" i="17"/>
  <c r="BN179" i="17"/>
  <c r="BM179" i="17"/>
  <c r="BL179" i="17"/>
  <c r="BK179" i="17"/>
  <c r="BJ179" i="17"/>
  <c r="BI179" i="17"/>
  <c r="BH179" i="17"/>
  <c r="BG179" i="17"/>
  <c r="BF179" i="17"/>
  <c r="BE179" i="17"/>
  <c r="BD179" i="17"/>
  <c r="BC179" i="17"/>
  <c r="BB179" i="17"/>
  <c r="BA179" i="17"/>
  <c r="AZ179" i="17"/>
  <c r="AY179" i="17"/>
  <c r="AX179" i="17"/>
  <c r="AW179" i="17"/>
  <c r="AV179" i="17"/>
  <c r="AU179" i="17"/>
  <c r="AT179" i="17"/>
  <c r="AS179" i="17"/>
  <c r="AR179" i="17"/>
  <c r="AQ179" i="17"/>
  <c r="AP179" i="17"/>
  <c r="D180" i="17"/>
  <c r="AN179" i="17"/>
  <c r="AK179" i="17"/>
  <c r="AI179" i="17"/>
  <c r="AH179" i="17"/>
  <c r="AG179" i="17"/>
  <c r="AF179" i="17"/>
  <c r="AO179" i="17"/>
  <c r="AL179" i="17"/>
  <c r="AJ179" i="17"/>
  <c r="AM179" i="17"/>
  <c r="BV179" i="17"/>
  <c r="D89" i="17"/>
  <c r="BW80" i="17" a="1"/>
  <c r="BW80" i="17" s="1"/>
  <c r="BW81" i="17" a="1"/>
  <c r="BW81" i="17" s="1"/>
  <c r="BW82" i="17" a="1"/>
  <c r="BW82" i="17" s="1"/>
  <c r="BW83" i="17" a="1"/>
  <c r="BW83" i="17" s="1"/>
  <c r="BW84" i="17" a="1"/>
  <c r="BW84" i="17" s="1"/>
  <c r="BX6" i="17"/>
  <c r="BY5" i="17"/>
  <c r="BX4" i="17"/>
  <c r="BX8" i="17"/>
  <c r="BX7" i="17"/>
  <c r="BX3" i="17"/>
  <c r="BW79" i="17" a="1"/>
  <c r="BW79" i="17" s="1"/>
  <c r="BW78" i="17" a="1"/>
  <c r="BW78" i="17" s="1"/>
  <c r="BW77" i="17" a="1"/>
  <c r="BW77" i="17" s="1"/>
  <c r="BW76" i="17" a="1"/>
  <c r="BW76" i="17" s="1"/>
  <c r="BW167" i="17"/>
  <c r="BW75" i="17" a="1"/>
  <c r="BW75" i="17" s="1"/>
  <c r="BW166" i="17"/>
  <c r="BW74" i="17" a="1"/>
  <c r="BW74" i="17" s="1"/>
  <c r="BW160" i="17"/>
  <c r="BW70" i="17" a="1"/>
  <c r="BW70" i="17" s="1"/>
  <c r="BW162" i="17"/>
  <c r="BW71" i="17" a="1"/>
  <c r="BW71" i="17" s="1"/>
  <c r="BW69" i="17" a="1"/>
  <c r="BW69" i="17" s="1"/>
  <c r="BW161" i="17"/>
  <c r="BW163" i="17"/>
  <c r="BW73" i="17" a="1"/>
  <c r="BW73" i="17" s="1"/>
  <c r="BW165" i="17"/>
  <c r="BW72" i="17" a="1"/>
  <c r="BW72" i="17" s="1"/>
  <c r="BW164" i="17"/>
  <c r="BW136" i="17"/>
  <c r="BW137" i="17"/>
  <c r="BW45" i="17" a="1"/>
  <c r="BW45" i="17" s="1"/>
  <c r="BW138" i="17"/>
  <c r="BW46" i="17" a="1"/>
  <c r="BW46" i="17" s="1"/>
  <c r="BW47" i="17" a="1"/>
  <c r="BW47" i="17" s="1"/>
  <c r="BW139" i="17"/>
  <c r="BW48" i="17" a="1"/>
  <c r="BW48" i="17" s="1"/>
  <c r="BW140" i="17"/>
  <c r="BW141" i="17"/>
  <c r="BW49" i="17" a="1"/>
  <c r="BW49" i="17" s="1"/>
  <c r="BW142" i="17"/>
  <c r="BW50" i="17" a="1"/>
  <c r="BW50" i="17" s="1"/>
  <c r="BW51" i="17" a="1"/>
  <c r="BW51" i="17" s="1"/>
  <c r="BW143" i="17"/>
  <c r="BW52" i="17" a="1"/>
  <c r="BW52" i="17" s="1"/>
  <c r="BW144" i="17"/>
  <c r="BW53" i="17" a="1"/>
  <c r="BW53" i="17" s="1"/>
  <c r="BW145" i="17"/>
  <c r="BW146" i="17"/>
  <c r="BW54" i="17" a="1"/>
  <c r="BW54" i="17" s="1"/>
  <c r="BW147" i="17"/>
  <c r="BW55" i="17" a="1"/>
  <c r="BW55" i="17" s="1"/>
  <c r="BW56" i="17" a="1"/>
  <c r="BW56" i="17" s="1"/>
  <c r="BW148" i="17"/>
  <c r="BW57" i="17" a="1"/>
  <c r="BW57" i="17" s="1"/>
  <c r="BW149" i="17"/>
  <c r="BW58" i="17" a="1"/>
  <c r="BW58" i="17" s="1"/>
  <c r="BW150" i="17"/>
  <c r="BW59" i="17" a="1"/>
  <c r="BW59" i="17" s="1"/>
  <c r="BW151" i="17"/>
  <c r="BW152" i="17"/>
  <c r="BW60" i="17" a="1"/>
  <c r="BW60" i="17" s="1"/>
  <c r="BW61" i="17" a="1"/>
  <c r="BW61" i="17" s="1"/>
  <c r="BW153" i="17"/>
  <c r="BW62" i="17" a="1"/>
  <c r="BW62" i="17" s="1"/>
  <c r="BW154" i="17"/>
  <c r="BW63" i="17" a="1"/>
  <c r="BW63" i="17" s="1"/>
  <c r="BW155" i="17"/>
  <c r="BW64" i="17" a="1"/>
  <c r="BW64" i="17" s="1"/>
  <c r="BW156" i="17"/>
  <c r="BW65" i="17" a="1"/>
  <c r="BW65" i="17" s="1"/>
  <c r="BW157" i="17"/>
  <c r="BW66" i="17" a="1"/>
  <c r="BW66" i="17" s="1"/>
  <c r="BW158" i="17"/>
  <c r="BW67" i="17" a="1"/>
  <c r="BW67" i="17" s="1"/>
  <c r="BW159" i="17"/>
  <c r="BW68" i="17" a="1"/>
  <c r="BW68" i="17" s="1"/>
  <c r="BE119" i="16"/>
  <c r="BC119" i="16"/>
  <c r="BT119" i="16"/>
  <c r="BR119" i="16"/>
  <c r="BQ119" i="16"/>
  <c r="BP119" i="16"/>
  <c r="BN119" i="16"/>
  <c r="BM119" i="16"/>
  <c r="BL119" i="16"/>
  <c r="BJ119" i="16"/>
  <c r="BI119" i="16"/>
  <c r="BG119" i="16"/>
  <c r="BF119" i="16"/>
  <c r="BD119" i="16"/>
  <c r="BS119" i="16"/>
  <c r="BO119" i="16"/>
  <c r="BK119" i="16"/>
  <c r="BH119" i="16"/>
  <c r="BS117" i="16"/>
  <c r="BT117" i="16"/>
  <c r="BU11" i="16"/>
  <c r="BU19" i="16"/>
  <c r="BU18" i="16" s="1"/>
  <c r="E119" i="16" s="1" a="1"/>
  <c r="E119" i="16" s="1"/>
  <c r="BU119" i="16" s="1"/>
  <c r="BU15" i="16"/>
  <c r="BU14" i="16" s="1"/>
  <c r="BX16" i="16" s="1"/>
  <c r="BV6" i="16"/>
  <c r="BW5" i="16"/>
  <c r="BV3" i="16"/>
  <c r="BV7" i="16"/>
  <c r="BV8" i="16"/>
  <c r="BQ70" i="16" s="1"/>
  <c r="BV4" i="16"/>
  <c r="BU117" i="16"/>
  <c r="BU32" i="16"/>
  <c r="BU39" i="16"/>
  <c r="BU29" i="16"/>
  <c r="BU38" i="16"/>
  <c r="BU60" i="16"/>
  <c r="BU96" i="16"/>
  <c r="BU66" i="16"/>
  <c r="BU102" i="16"/>
  <c r="BU104" i="16"/>
  <c r="BU107" i="16"/>
  <c r="BU114" i="16"/>
  <c r="BU45" i="16"/>
  <c r="BU43" i="16"/>
  <c r="BU54" i="16"/>
  <c r="BU59" i="16"/>
  <c r="BU95" i="16"/>
  <c r="BU61" i="16"/>
  <c r="BU99" i="16"/>
  <c r="BU100" i="16"/>
  <c r="BU103" i="16"/>
  <c r="BU105" i="16"/>
  <c r="BU108" i="16"/>
  <c r="BU109" i="16"/>
  <c r="BU111" i="16"/>
  <c r="BU113" i="16"/>
  <c r="BU36" i="16"/>
  <c r="BU58" i="16"/>
  <c r="BU55" i="16"/>
  <c r="BU63" i="16"/>
  <c r="BU97" i="16"/>
  <c r="BU101" i="16"/>
  <c r="BU106" i="16"/>
  <c r="BU116" i="16"/>
  <c r="BU88" i="16"/>
  <c r="BU87" i="16"/>
  <c r="BU50" i="16"/>
  <c r="BU53" i="16"/>
  <c r="BU57" i="16"/>
  <c r="BU91" i="16"/>
  <c r="BU56" i="16"/>
  <c r="BU89" i="16"/>
  <c r="BU52" i="16"/>
  <c r="BU85" i="16"/>
  <c r="BU51" i="16"/>
  <c r="BU83" i="16"/>
  <c r="BU49" i="16"/>
  <c r="BU81" i="16"/>
  <c r="BU47" i="16"/>
  <c r="BU46" i="16"/>
  <c r="BU79" i="16"/>
  <c r="BU37" i="16"/>
  <c r="BU40" i="16"/>
  <c r="BU30" i="16"/>
  <c r="BU33" i="16"/>
  <c r="BU78" i="16"/>
  <c r="BU44" i="16"/>
  <c r="BU42" i="16"/>
  <c r="BU28" i="16"/>
  <c r="BU34" i="16"/>
  <c r="BU92" i="16"/>
  <c r="BU90" i="16"/>
  <c r="BU86" i="16"/>
  <c r="BU84" i="16"/>
  <c r="BU48" i="16"/>
  <c r="BU82" i="16"/>
  <c r="BU80" i="16"/>
  <c r="BU31" i="16"/>
  <c r="BU35" i="16"/>
  <c r="BU41" i="16"/>
  <c r="BU93" i="16"/>
  <c r="BU94" i="16"/>
  <c r="BU62" i="16"/>
  <c r="BU64" i="16"/>
  <c r="BU98" i="16"/>
  <c r="BU65" i="16"/>
  <c r="BU110" i="16"/>
  <c r="BU112" i="16"/>
  <c r="BU115" i="16"/>
  <c r="E118" i="16" a="1"/>
  <c r="E118" i="16" s="1"/>
  <c r="BS69" i="16"/>
  <c r="BQ69" i="16"/>
  <c r="BB119" i="16"/>
  <c r="BA119" i="16"/>
  <c r="AZ119" i="16"/>
  <c r="AY119" i="16"/>
  <c r="AX119" i="16"/>
  <c r="AW119" i="16"/>
  <c r="AV119" i="16"/>
  <c r="AU119" i="16"/>
  <c r="AT119" i="16"/>
  <c r="AS119" i="16"/>
  <c r="AR119" i="16"/>
  <c r="AQ119" i="16"/>
  <c r="AP119" i="16"/>
  <c r="AO119" i="16"/>
  <c r="AN119" i="16"/>
  <c r="AM119" i="16"/>
  <c r="AL119" i="16"/>
  <c r="AK119" i="16"/>
  <c r="AJ119" i="16"/>
  <c r="AI119" i="16"/>
  <c r="AH119" i="16"/>
  <c r="AG119" i="16"/>
  <c r="AF119" i="16"/>
  <c r="BT69" i="16"/>
  <c r="BR119" i="15"/>
  <c r="AX119" i="15"/>
  <c r="AY119" i="15"/>
  <c r="AZ119" i="15"/>
  <c r="BA119" i="15"/>
  <c r="BB119" i="15"/>
  <c r="BC119" i="15"/>
  <c r="BD119" i="15"/>
  <c r="BE119" i="15"/>
  <c r="BF119" i="15"/>
  <c r="BG119" i="15"/>
  <c r="BH119" i="15"/>
  <c r="BI119" i="15"/>
  <c r="BJ119" i="15"/>
  <c r="BK119" i="15"/>
  <c r="BL119" i="15"/>
  <c r="BM119" i="15"/>
  <c r="BN119" i="15"/>
  <c r="BO119" i="15"/>
  <c r="BP119" i="15"/>
  <c r="BT119" i="15"/>
  <c r="AW119" i="15"/>
  <c r="BQ119" i="15"/>
  <c r="BS119" i="15"/>
  <c r="AN88" i="14"/>
  <c r="AY88" i="14"/>
  <c r="BM88" i="14"/>
  <c r="BH88" i="14"/>
  <c r="AT88" i="14"/>
  <c r="BG88" i="14"/>
  <c r="AR88" i="14"/>
  <c r="AI88" i="14"/>
  <c r="BS88" i="14"/>
  <c r="BA88" i="14"/>
  <c r="AP88" i="14"/>
  <c r="BI88" i="14"/>
  <c r="AL88" i="14"/>
  <c r="BN88" i="14"/>
  <c r="AU88" i="14"/>
  <c r="BD88" i="14"/>
  <c r="AG88" i="14"/>
  <c r="AQ88" i="14"/>
  <c r="BO88" i="14"/>
  <c r="AW88" i="14"/>
  <c r="BP88" i="14"/>
  <c r="AF88" i="14"/>
  <c r="BE88" i="14"/>
  <c r="AJ88" i="14"/>
  <c r="BR88" i="14"/>
  <c r="AV119" i="15"/>
  <c r="AU119" i="15"/>
  <c r="AT119" i="15"/>
  <c r="AS119" i="15"/>
  <c r="AR119" i="15"/>
  <c r="AQ119" i="15"/>
  <c r="AP119" i="15"/>
  <c r="AO119" i="15"/>
  <c r="AN119" i="15"/>
  <c r="AM119" i="15"/>
  <c r="AL119" i="15"/>
  <c r="AK119" i="15"/>
  <c r="AJ119" i="15"/>
  <c r="AI119" i="15"/>
  <c r="AH119" i="15"/>
  <c r="AG119" i="15"/>
  <c r="AF119" i="15"/>
  <c r="BS117" i="15"/>
  <c r="BT117" i="15"/>
  <c r="E118" i="15" a="1"/>
  <c r="E118" i="15" s="1"/>
  <c r="BW16" i="15"/>
  <c r="BU117" i="15"/>
  <c r="BH69" i="15"/>
  <c r="BP69" i="15"/>
  <c r="BL69" i="15"/>
  <c r="BK69" i="15"/>
  <c r="BJ69" i="15"/>
  <c r="BO69" i="15"/>
  <c r="BM69" i="15"/>
  <c r="BF69" i="15"/>
  <c r="AW69" i="15"/>
  <c r="BN69" i="15"/>
  <c r="BI69" i="15"/>
  <c r="BG69" i="15"/>
  <c r="BR69" i="15"/>
  <c r="BD69" i="15"/>
  <c r="BA69" i="15"/>
  <c r="BU116" i="15"/>
  <c r="BU115" i="15"/>
  <c r="BU114" i="15"/>
  <c r="BU113" i="15"/>
  <c r="BU68" i="15"/>
  <c r="BU112" i="15"/>
  <c r="BU111" i="15"/>
  <c r="BU110" i="15"/>
  <c r="BU66" i="15"/>
  <c r="BU109" i="15"/>
  <c r="BU65" i="15"/>
  <c r="BU108" i="15"/>
  <c r="BU64" i="15"/>
  <c r="BU63" i="15"/>
  <c r="BU107" i="15"/>
  <c r="BU62" i="15"/>
  <c r="BU106" i="15"/>
  <c r="BU61" i="15"/>
  <c r="BU105" i="15"/>
  <c r="BU60" i="15"/>
  <c r="BU104" i="15"/>
  <c r="BU59" i="15"/>
  <c r="BU103" i="15"/>
  <c r="BU58" i="15"/>
  <c r="BU102" i="15"/>
  <c r="BU57" i="15"/>
  <c r="BU101" i="15"/>
  <c r="BU56" i="15"/>
  <c r="BU100" i="15"/>
  <c r="BU55" i="15"/>
  <c r="BU54" i="15"/>
  <c r="BU99" i="15"/>
  <c r="BU98" i="15"/>
  <c r="BU53" i="15"/>
  <c r="BU97" i="15"/>
  <c r="BU52" i="15"/>
  <c r="BU96" i="15"/>
  <c r="BU51" i="15"/>
  <c r="BU95" i="15"/>
  <c r="BU50" i="15"/>
  <c r="BU94" i="15"/>
  <c r="BU49" i="15"/>
  <c r="BU93" i="15"/>
  <c r="BU48" i="15"/>
  <c r="BU92" i="15"/>
  <c r="BU47" i="15"/>
  <c r="BU91" i="15"/>
  <c r="BU46" i="15"/>
  <c r="BU90" i="15"/>
  <c r="BU45" i="15"/>
  <c r="BU89" i="15"/>
  <c r="BU44" i="15"/>
  <c r="BU88" i="15"/>
  <c r="BU43" i="15"/>
  <c r="BU87" i="15"/>
  <c r="BU42" i="15"/>
  <c r="BU41" i="15"/>
  <c r="BU86" i="15"/>
  <c r="BU85" i="15"/>
  <c r="BU40" i="15"/>
  <c r="BU84" i="15"/>
  <c r="BU39" i="15"/>
  <c r="BU83" i="15"/>
  <c r="BU38" i="15"/>
  <c r="BU37" i="15"/>
  <c r="BU82" i="15"/>
  <c r="BU81" i="15"/>
  <c r="BU36" i="15"/>
  <c r="BU80" i="15"/>
  <c r="BU35" i="15"/>
  <c r="BU79" i="15"/>
  <c r="BU34" i="15"/>
  <c r="BU30" i="15"/>
  <c r="BU31" i="15"/>
  <c r="BU32" i="15"/>
  <c r="BU19" i="15" a="1"/>
  <c r="BU19" i="15" s="1"/>
  <c r="BU18" i="15" s="1"/>
  <c r="BU29" i="15"/>
  <c r="BU15" i="15" a="1"/>
  <c r="BU15" i="15" s="1"/>
  <c r="BU14" i="15" s="1"/>
  <c r="E69" i="15" s="1" a="1"/>
  <c r="E69" i="15" s="1"/>
  <c r="BU69" i="15" s="1"/>
  <c r="BU11" i="15" a="1"/>
  <c r="BU11" i="15" s="1"/>
  <c r="BU78" i="15"/>
  <c r="BU33" i="15"/>
  <c r="BU28" i="15"/>
  <c r="BV4" i="15"/>
  <c r="BV8" i="15"/>
  <c r="BT70" i="15" s="1"/>
  <c r="BV3" i="15"/>
  <c r="BV7" i="15"/>
  <c r="BV6" i="15"/>
  <c r="BW5" i="15"/>
  <c r="AF69" i="15"/>
  <c r="AY69" i="15"/>
  <c r="AN69" i="15"/>
  <c r="BT69" i="15"/>
  <c r="AJ69" i="15"/>
  <c r="BB69" i="15"/>
  <c r="AQ69" i="15"/>
  <c r="AS69" i="15"/>
  <c r="BQ69" i="15"/>
  <c r="AP69" i="15"/>
  <c r="AI69" i="15"/>
  <c r="BJ88" i="14"/>
  <c r="BF88" i="14"/>
  <c r="AO88" i="14"/>
  <c r="BK88" i="14"/>
  <c r="AK88" i="14"/>
  <c r="BC88" i="14"/>
  <c r="BB88" i="14"/>
  <c r="BL88" i="14"/>
  <c r="AX88" i="14"/>
  <c r="BQ88" i="14"/>
  <c r="AS88" i="14"/>
  <c r="BU48" i="14"/>
  <c r="BU49" i="14"/>
  <c r="BU50" i="14"/>
  <c r="BU47" i="14"/>
  <c r="BU51" i="14"/>
  <c r="BU52" i="14"/>
  <c r="BU53" i="14"/>
  <c r="BU54" i="14"/>
  <c r="BU55" i="14"/>
  <c r="BU56" i="14"/>
  <c r="BU57" i="14"/>
  <c r="BU58" i="14"/>
  <c r="BU59" i="14"/>
  <c r="BU60" i="14"/>
  <c r="BU61" i="14"/>
  <c r="BU62" i="14"/>
  <c r="BU63" i="14"/>
  <c r="BU64" i="14"/>
  <c r="BU65" i="14"/>
  <c r="BU66" i="14"/>
  <c r="BU67" i="14"/>
  <c r="BU68" i="14"/>
  <c r="BU69" i="14"/>
  <c r="BU70" i="14"/>
  <c r="BU71" i="14"/>
  <c r="BU72" i="14"/>
  <c r="BU73" i="14"/>
  <c r="BU74" i="14"/>
  <c r="BU75" i="14"/>
  <c r="BU76" i="14"/>
  <c r="BV8" i="14"/>
  <c r="BJ89" i="14" s="1"/>
  <c r="BV7" i="14"/>
  <c r="BW5" i="14"/>
  <c r="BV6" i="14"/>
  <c r="BV3" i="14"/>
  <c r="BV4" i="14"/>
  <c r="BT88" i="14"/>
  <c r="BA10" i="16"/>
  <c r="D121" i="16"/>
  <c r="BA10" i="15"/>
  <c r="D121" i="15"/>
  <c r="D93" i="14"/>
  <c r="BT3" i="9"/>
  <c r="BT6" i="9"/>
  <c r="BT4" i="9"/>
  <c r="BT7" i="9"/>
  <c r="BU5" i="9"/>
  <c r="BT8" i="9"/>
  <c r="BS3" i="11"/>
  <c r="BT5" i="11"/>
  <c r="BS4" i="11"/>
  <c r="BS8" i="11"/>
  <c r="BS7" i="11"/>
  <c r="BS6" i="11"/>
  <c r="CF119" i="12" a="1"/>
  <c r="CF119" i="12" s="1"/>
  <c r="CF117" i="12" a="1"/>
  <c r="CF117" i="12" s="1"/>
  <c r="CF116" i="12" a="1"/>
  <c r="CF116" i="12" s="1"/>
  <c r="CF115" i="12" a="1"/>
  <c r="CF115" i="12" s="1"/>
  <c r="CF114" i="12" a="1"/>
  <c r="CF114" i="12" s="1"/>
  <c r="CF113" i="12" a="1"/>
  <c r="CF113" i="12" s="1"/>
  <c r="CF112" i="12" a="1"/>
  <c r="CF112" i="12" s="1"/>
  <c r="CF111" i="12" a="1"/>
  <c r="CF111" i="12" s="1"/>
  <c r="CF109" i="12" a="1"/>
  <c r="CF109" i="12" s="1"/>
  <c r="CF3" i="12"/>
  <c r="CF8" i="12"/>
  <c r="CF4" i="12"/>
  <c r="CF7" i="12"/>
  <c r="CG5" i="12"/>
  <c r="CF6" i="12"/>
  <c r="BC8" i="13"/>
  <c r="BC7" i="13"/>
  <c r="BD5" i="13"/>
  <c r="BC4" i="13"/>
  <c r="BC3" i="13"/>
  <c r="BC6" i="13"/>
  <c r="BT4" i="10"/>
  <c r="BT3" i="10"/>
  <c r="BU5" i="10"/>
  <c r="BT8" i="10"/>
  <c r="BT7" i="10"/>
  <c r="BT6" i="10"/>
  <c r="CB48" i="8"/>
  <c r="CC49" i="8"/>
  <c r="CB50" i="8"/>
  <c r="CB51" i="8"/>
  <c r="CB52" i="8"/>
  <c r="CC6" i="8"/>
  <c r="CC11" i="8"/>
  <c r="CC9" i="8"/>
  <c r="CD8" i="8"/>
  <c r="CD94" i="8" s="1"/>
  <c r="CC7" i="8"/>
  <c r="CC15" i="8" s="1" a="1"/>
  <c r="CC15" i="8" s="1"/>
  <c r="CC73" i="8"/>
  <c r="CC47" i="8"/>
  <c r="CC10" i="8"/>
  <c r="CB74" i="8"/>
  <c r="CC75" i="8"/>
  <c r="CB78" i="8"/>
  <c r="CB77" i="8"/>
  <c r="CB76" i="8"/>
  <c r="AU84" i="17" l="1" a="1"/>
  <c r="AU84" i="17" s="1"/>
  <c r="BA84" i="17" a="1"/>
  <c r="BA84" i="17" s="1"/>
  <c r="AZ84" i="17" a="1"/>
  <c r="AZ84" i="17" s="1"/>
  <c r="T84" i="17" s="1"/>
  <c r="AF84" i="17" a="1"/>
  <c r="AF84" i="17" s="1"/>
  <c r="BB84" i="17" a="1"/>
  <c r="BB84" i="17" s="1"/>
  <c r="AV84" i="17" a="1"/>
  <c r="AV84" i="17" s="1"/>
  <c r="BM84" i="17" a="1"/>
  <c r="BM84" i="17" s="1"/>
  <c r="BC84" i="17" a="1"/>
  <c r="BC84" i="17" s="1"/>
  <c r="BN84" i="17" a="1"/>
  <c r="BN84" i="17" s="1"/>
  <c r="BD84" i="17" a="1"/>
  <c r="BD84" i="17" s="1"/>
  <c r="BK84" i="17" a="1"/>
  <c r="BK84" i="17" s="1"/>
  <c r="AJ84" i="17" a="1"/>
  <c r="AJ84" i="17" s="1"/>
  <c r="AM84" i="17" a="1"/>
  <c r="AM84" i="17" s="1"/>
  <c r="BJ84" i="17" a="1"/>
  <c r="BJ84" i="17" s="1"/>
  <c r="AN84" i="17" a="1"/>
  <c r="AN84" i="17" s="1"/>
  <c r="P84" i="17" s="1"/>
  <c r="AP84" i="17" a="1"/>
  <c r="AP84" i="17" s="1"/>
  <c r="AG84" i="17" a="1"/>
  <c r="AG84" i="17" s="1"/>
  <c r="AK84" i="17" a="1"/>
  <c r="AK84" i="17" s="1"/>
  <c r="O84" i="17" s="1"/>
  <c r="BR84" i="17" a="1"/>
  <c r="BR84" i="17" s="1"/>
  <c r="Z84" i="17" s="1"/>
  <c r="AL84" i="17" a="1"/>
  <c r="AL84" i="17" s="1"/>
  <c r="AR84" i="17" a="1"/>
  <c r="AR84" i="17" s="1"/>
  <c r="BF84" i="17" a="1"/>
  <c r="BF84" i="17" s="1"/>
  <c r="V84" i="17" s="1"/>
  <c r="AW84" i="17" a="1"/>
  <c r="AW84" i="17" s="1"/>
  <c r="S84" i="17" s="1"/>
  <c r="AT84" i="17" a="1"/>
  <c r="AT84" i="17" s="1"/>
  <c r="R84" i="17" s="1"/>
  <c r="BH84" i="17" a="1"/>
  <c r="BH84" i="17" s="1"/>
  <c r="AX84" i="17" a="1"/>
  <c r="AX84" i="17" s="1"/>
  <c r="BO84" i="17" a="1"/>
  <c r="BO84" i="17" s="1"/>
  <c r="AI84" i="17" a="1"/>
  <c r="AI84" i="17" s="1"/>
  <c r="BS84" i="17" a="1"/>
  <c r="BS84" i="17" s="1"/>
  <c r="BG84" i="17" a="1"/>
  <c r="BG84" i="17" s="1"/>
  <c r="AS84" i="17" a="1"/>
  <c r="AS84" i="17" s="1"/>
  <c r="AY84" i="17" a="1"/>
  <c r="AY84" i="17" s="1"/>
  <c r="BP84" i="17" a="1"/>
  <c r="BP84" i="17" s="1"/>
  <c r="BI84" i="17" a="1"/>
  <c r="BI84" i="17" s="1"/>
  <c r="W84" i="17" s="1"/>
  <c r="BQ84" i="17" a="1"/>
  <c r="BQ84" i="17" s="1"/>
  <c r="AH84" i="17" a="1"/>
  <c r="AH84" i="17" s="1"/>
  <c r="N84" i="17" s="1"/>
  <c r="AY115" i="13"/>
  <c r="AZ120" i="13"/>
  <c r="AZ118" i="13"/>
  <c r="CA45" i="12"/>
  <c r="AY63" i="13" s="1"/>
  <c r="CC42" i="12"/>
  <c r="BA60" i="13" s="1"/>
  <c r="BA116" i="13"/>
  <c r="CA44" i="12"/>
  <c r="AY62" i="13" s="1"/>
  <c r="AZ119" i="13"/>
  <c r="BT41" i="17"/>
  <c r="E85" i="17" s="1" a="1"/>
  <c r="E85" i="17" s="1"/>
  <c r="BW85" i="17" s="1" a="1"/>
  <c r="BW85" i="17" s="1"/>
  <c r="BA110" i="13"/>
  <c r="BA108" i="13" s="1"/>
  <c r="CD85" i="20"/>
  <c r="BA130" i="13" s="1"/>
  <c r="BA128" i="13"/>
  <c r="CA43" i="12"/>
  <c r="AY61" i="13" s="1"/>
  <c r="BE40" i="13"/>
  <c r="BU77" i="22"/>
  <c r="BU25" i="22"/>
  <c r="CD109" i="20" a="1"/>
  <c r="CD109" i="20" s="1"/>
  <c r="CD110" i="20"/>
  <c r="CI13" i="12" a="1"/>
  <c r="CI13" i="12" s="1"/>
  <c r="BG40" i="13" s="1"/>
  <c r="BX105" i="17"/>
  <c r="BW107" i="17"/>
  <c r="BW109" i="17" s="1"/>
  <c r="BW103" i="17" s="1"/>
  <c r="CG103" i="12"/>
  <c r="BD102" i="13"/>
  <c r="CD86" i="20"/>
  <c r="BA131" i="13" s="1"/>
  <c r="CD87" i="20"/>
  <c r="BA132" i="13" s="1"/>
  <c r="CC82" i="20"/>
  <c r="CD111" i="20" a="1"/>
  <c r="CD111" i="20" s="1"/>
  <c r="BN89" i="14"/>
  <c r="AU89" i="14"/>
  <c r="AK89" i="14"/>
  <c r="AT89" i="14"/>
  <c r="AS89" i="14"/>
  <c r="AZ89" i="14"/>
  <c r="BB89" i="14"/>
  <c r="BK89" i="14"/>
  <c r="BD89" i="14"/>
  <c r="H84" i="17"/>
  <c r="Q84" i="17"/>
  <c r="BE89" i="14"/>
  <c r="AJ89" i="14"/>
  <c r="CE90" i="20"/>
  <c r="BB134" i="13" s="1"/>
  <c r="CE108" i="20"/>
  <c r="BL89" i="14"/>
  <c r="BC89" i="14"/>
  <c r="H83" i="17"/>
  <c r="Q83" i="17"/>
  <c r="AO89" i="14"/>
  <c r="AI89" i="14"/>
  <c r="CE107" i="20"/>
  <c r="BF89" i="14"/>
  <c r="CE91" i="20"/>
  <c r="BB135" i="13" s="1"/>
  <c r="AV89" i="14"/>
  <c r="BQ89" i="14"/>
  <c r="AW89" i="14"/>
  <c r="BU70" i="16"/>
  <c r="BS89" i="14"/>
  <c r="AM89" i="14"/>
  <c r="BR89" i="14"/>
  <c r="CE83" i="20"/>
  <c r="CE76" i="20"/>
  <c r="BB122" i="13" s="1"/>
  <c r="CE77" i="20"/>
  <c r="BB123" i="13" s="1"/>
  <c r="CD96" i="20"/>
  <c r="CB75" i="20"/>
  <c r="CG52" i="20"/>
  <c r="CA114" i="20"/>
  <c r="BU72" i="22"/>
  <c r="BU47" i="22"/>
  <c r="BU67" i="22"/>
  <c r="BU68" i="22"/>
  <c r="BU63" i="22"/>
  <c r="BU62" i="22"/>
  <c r="BU61" i="22"/>
  <c r="BU73" i="22"/>
  <c r="BU60" i="22"/>
  <c r="BU59" i="22"/>
  <c r="BU75" i="22"/>
  <c r="BU58" i="22"/>
  <c r="BU57" i="22"/>
  <c r="BU56" i="22"/>
  <c r="BU55" i="22"/>
  <c r="BU54" i="22"/>
  <c r="BU53" i="22"/>
  <c r="BU52" i="22"/>
  <c r="BU51" i="22"/>
  <c r="BU71" i="22"/>
  <c r="BU50" i="22"/>
  <c r="BU37" i="22"/>
  <c r="BU41" i="22"/>
  <c r="BU42" i="22"/>
  <c r="BU43" i="22"/>
  <c r="BU74" i="22"/>
  <c r="BU49" i="22"/>
  <c r="BU48" i="22"/>
  <c r="BU65" i="22"/>
  <c r="BU35" i="22"/>
  <c r="BU36" i="22"/>
  <c r="BU38" i="22"/>
  <c r="BU66" i="22"/>
  <c r="BU39" i="22"/>
  <c r="BU40" i="22"/>
  <c r="BU44" i="22"/>
  <c r="BU45" i="22"/>
  <c r="BU46" i="22"/>
  <c r="BU64" i="22"/>
  <c r="BU92" i="22"/>
  <c r="BU88" i="22"/>
  <c r="BU100" i="22"/>
  <c r="BU102" i="22"/>
  <c r="BU112" i="22"/>
  <c r="BU90" i="22"/>
  <c r="BU93" i="22"/>
  <c r="BU95" i="22"/>
  <c r="BU101" i="22"/>
  <c r="BU117" i="22"/>
  <c r="BU119" i="22"/>
  <c r="BU120" i="22"/>
  <c r="BU94" i="22"/>
  <c r="BU113" i="22"/>
  <c r="BU103" i="22"/>
  <c r="BU87" i="22"/>
  <c r="BU106" i="22"/>
  <c r="BU118" i="22"/>
  <c r="BU99" i="22"/>
  <c r="BU115" i="22"/>
  <c r="BU107" i="22"/>
  <c r="BU111" i="22"/>
  <c r="BU91" i="22"/>
  <c r="BU105" i="22"/>
  <c r="BU116" i="22"/>
  <c r="BU110" i="22"/>
  <c r="BU114" i="22"/>
  <c r="BU89" i="22"/>
  <c r="BU109" i="22"/>
  <c r="BU96" i="22"/>
  <c r="BU97" i="22"/>
  <c r="BU98" i="22"/>
  <c r="BU104" i="22"/>
  <c r="BU108" i="22"/>
  <c r="BU86" i="22"/>
  <c r="BV6" i="22"/>
  <c r="BW5" i="22"/>
  <c r="BV7" i="22"/>
  <c r="BV8" i="22"/>
  <c r="BV25" i="22" s="1"/>
  <c r="BV4" i="22"/>
  <c r="BV3" i="22"/>
  <c r="BU76" i="22"/>
  <c r="BU78" i="22"/>
  <c r="BT78" i="22"/>
  <c r="BS78" i="22"/>
  <c r="BR78" i="22"/>
  <c r="BQ78" i="22"/>
  <c r="BP78" i="22"/>
  <c r="BO78" i="22"/>
  <c r="BN78" i="22"/>
  <c r="BM78" i="22"/>
  <c r="BL78" i="22"/>
  <c r="BK78" i="22"/>
  <c r="BJ78" i="22"/>
  <c r="BI78" i="22"/>
  <c r="BH78" i="22"/>
  <c r="BG78" i="22"/>
  <c r="BF78" i="22"/>
  <c r="BE78" i="22"/>
  <c r="BD78" i="22"/>
  <c r="BC78" i="22"/>
  <c r="BB78" i="22"/>
  <c r="BA78" i="22"/>
  <c r="AZ78" i="22"/>
  <c r="AY78" i="22"/>
  <c r="AX78" i="22"/>
  <c r="AW78" i="22"/>
  <c r="AV78" i="22"/>
  <c r="AU78" i="22"/>
  <c r="AT78" i="22"/>
  <c r="AS78" i="22"/>
  <c r="AR78" i="22"/>
  <c r="AQ78" i="22"/>
  <c r="AP78" i="22"/>
  <c r="AO78" i="22"/>
  <c r="AN78" i="22"/>
  <c r="AM78" i="22"/>
  <c r="AL78" i="22"/>
  <c r="AK78" i="22"/>
  <c r="AJ78" i="22"/>
  <c r="AI78" i="22"/>
  <c r="AH78" i="22"/>
  <c r="D79" i="22"/>
  <c r="E79" i="22" s="1" a="1"/>
  <c r="E79" i="22" s="1"/>
  <c r="AG78" i="22"/>
  <c r="AF78" i="22"/>
  <c r="AE78"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D130" i="22"/>
  <c r="AG129" i="22"/>
  <c r="AF129" i="22"/>
  <c r="AE129" i="22"/>
  <c r="BI89" i="14"/>
  <c r="BA89" i="14"/>
  <c r="AQ89" i="14"/>
  <c r="BM89" i="14"/>
  <c r="BT89" i="14"/>
  <c r="AG89" i="14"/>
  <c r="AL89" i="14"/>
  <c r="BG89" i="14"/>
  <c r="BO89" i="14"/>
  <c r="CH54" i="20"/>
  <c r="CD60" i="20"/>
  <c r="CB89" i="20"/>
  <c r="CE64" i="20"/>
  <c r="BB112" i="13" s="1"/>
  <c r="CE63" i="20"/>
  <c r="CE62" i="20"/>
  <c r="BB110" i="13" s="1"/>
  <c r="CE65" i="20"/>
  <c r="CE100" i="20"/>
  <c r="BB143" i="13" s="1"/>
  <c r="CE101" i="20"/>
  <c r="BB144" i="13" s="1"/>
  <c r="CE99" i="20"/>
  <c r="BB142" i="13" s="1"/>
  <c r="CC93" i="20"/>
  <c r="AZ137" i="13" s="1"/>
  <c r="CC94" i="20"/>
  <c r="AZ138" i="13" s="1"/>
  <c r="CC92" i="20"/>
  <c r="AZ136" i="13" s="1"/>
  <c r="CC80" i="20"/>
  <c r="AZ126" i="13" s="1"/>
  <c r="CC79" i="20"/>
  <c r="AZ125" i="13" s="1"/>
  <c r="CC78" i="20"/>
  <c r="AZ124" i="13" s="1"/>
  <c r="CF102" i="20"/>
  <c r="BC145" i="13" s="1"/>
  <c r="CF95" i="20"/>
  <c r="BC139" i="13" s="1"/>
  <c r="CF88" i="20"/>
  <c r="BC133" i="13" s="1"/>
  <c r="CF81" i="20"/>
  <c r="BC127" i="13" s="1"/>
  <c r="CH57" i="20"/>
  <c r="CH97" i="20" s="1"/>
  <c r="BE140" i="13" s="1"/>
  <c r="CH56" i="20"/>
  <c r="CH55" i="20"/>
  <c r="CC106" i="20"/>
  <c r="CC68" i="20"/>
  <c r="CD115" i="20"/>
  <c r="CD73" i="20"/>
  <c r="CD71" i="20"/>
  <c r="CD72" i="20"/>
  <c r="CE61" i="20"/>
  <c r="BB109" i="13" s="1"/>
  <c r="CE69" i="20"/>
  <c r="CE10" i="20"/>
  <c r="CE70" i="20"/>
  <c r="BB117" i="13" s="1"/>
  <c r="CG7" i="20"/>
  <c r="CG8" i="20"/>
  <c r="CG112" i="20" s="1"/>
  <c r="CG6" i="20"/>
  <c r="CG4" i="20"/>
  <c r="CG3" i="20"/>
  <c r="CH5" i="20"/>
  <c r="CF30" i="20"/>
  <c r="CF20" i="20"/>
  <c r="CF27" i="20"/>
  <c r="CF28" i="20"/>
  <c r="CF19" i="20"/>
  <c r="CF22" i="20"/>
  <c r="CF23" i="20"/>
  <c r="CF33" i="20"/>
  <c r="CF24" i="20"/>
  <c r="CF14" i="20"/>
  <c r="CF74" i="20"/>
  <c r="BC121" i="13" s="1"/>
  <c r="CF11" i="20"/>
  <c r="CF13" i="20"/>
  <c r="CF29" i="20"/>
  <c r="CF35" i="20"/>
  <c r="CF25" i="20"/>
  <c r="CF15" i="20"/>
  <c r="CF34" i="20"/>
  <c r="CF16" i="20"/>
  <c r="CF31" i="20"/>
  <c r="CF12" i="20"/>
  <c r="CF26" i="20"/>
  <c r="CF21" i="20"/>
  <c r="CF32" i="20"/>
  <c r="CF18" i="20"/>
  <c r="CF17" i="20"/>
  <c r="CI53" i="20"/>
  <c r="BV180" i="17"/>
  <c r="BU180" i="17"/>
  <c r="BT180" i="17"/>
  <c r="BS180" i="17"/>
  <c r="BR180" i="17"/>
  <c r="BQ180" i="17"/>
  <c r="BP180" i="17"/>
  <c r="BO180" i="17"/>
  <c r="BN180" i="17"/>
  <c r="BM180" i="17"/>
  <c r="BL180" i="17"/>
  <c r="BK180" i="17"/>
  <c r="BJ180" i="17"/>
  <c r="BI180" i="17"/>
  <c r="BH180" i="17"/>
  <c r="BG180" i="17"/>
  <c r="BF180" i="17"/>
  <c r="BE180" i="17"/>
  <c r="BD180" i="17"/>
  <c r="BC180" i="17"/>
  <c r="BB180" i="17"/>
  <c r="BA180" i="17"/>
  <c r="AZ180" i="17"/>
  <c r="AY180" i="17"/>
  <c r="AX180" i="17"/>
  <c r="AW180" i="17"/>
  <c r="AV180" i="17"/>
  <c r="AU180" i="17"/>
  <c r="AT180" i="17"/>
  <c r="AS180" i="17"/>
  <c r="AR180" i="17"/>
  <c r="AQ180" i="17"/>
  <c r="D181" i="17"/>
  <c r="AM180" i="17"/>
  <c r="AJ180" i="17"/>
  <c r="AG180" i="17"/>
  <c r="AP180" i="17"/>
  <c r="AO180" i="17"/>
  <c r="AN180" i="17"/>
  <c r="AK180" i="17"/>
  <c r="AI180" i="17"/>
  <c r="AH180" i="17"/>
  <c r="AF180" i="17"/>
  <c r="AL180" i="17"/>
  <c r="BW180" i="17"/>
  <c r="D90" i="17"/>
  <c r="BX80" i="17" a="1"/>
  <c r="BX80" i="17" s="1"/>
  <c r="AB80" i="17" s="1"/>
  <c r="BX81" i="17" a="1"/>
  <c r="BX81" i="17" s="1"/>
  <c r="AB81" i="17" s="1"/>
  <c r="BX82" i="17" a="1"/>
  <c r="BX82" i="17" s="1"/>
  <c r="AB82" i="17" s="1"/>
  <c r="BX83" i="17" a="1"/>
  <c r="BX83" i="17" s="1"/>
  <c r="AB83" i="17" s="1"/>
  <c r="BX84" i="17" a="1"/>
  <c r="BX84" i="17" s="1"/>
  <c r="AB84" i="17" s="1"/>
  <c r="BY6" i="17"/>
  <c r="BZ5" i="17"/>
  <c r="BY8" i="17"/>
  <c r="BY7" i="17"/>
  <c r="BY3" i="17"/>
  <c r="BY4" i="17"/>
  <c r="BX79" i="17" a="1"/>
  <c r="BX79" i="17" s="1"/>
  <c r="AB79" i="17" s="1"/>
  <c r="BX78" i="17" a="1"/>
  <c r="BX78" i="17" s="1"/>
  <c r="AB78" i="17" s="1"/>
  <c r="BX77" i="17" a="1"/>
  <c r="BX77" i="17" s="1"/>
  <c r="AB77" i="17" s="1"/>
  <c r="BX168" i="17"/>
  <c r="BX76" i="17" a="1"/>
  <c r="BX76" i="17" s="1"/>
  <c r="AB76" i="17" s="1"/>
  <c r="BX167" i="17"/>
  <c r="BX75" i="17" a="1"/>
  <c r="BX75" i="17" s="1"/>
  <c r="AB75" i="17" s="1"/>
  <c r="BX64" i="17" a="1"/>
  <c r="BX64" i="17" s="1"/>
  <c r="AB64" i="17" s="1"/>
  <c r="BX156" i="17"/>
  <c r="BX65" i="17" a="1"/>
  <c r="BX65" i="17" s="1"/>
  <c r="AB65" i="17" s="1"/>
  <c r="BX157" i="17"/>
  <c r="BX67" i="17" a="1"/>
  <c r="BX67" i="17" s="1"/>
  <c r="AB67" i="17" s="1"/>
  <c r="BX68" i="17" a="1"/>
  <c r="BX68" i="17" s="1"/>
  <c r="AB68" i="17" s="1"/>
  <c r="BX160" i="17"/>
  <c r="BX69" i="17" a="1"/>
  <c r="BX69" i="17" s="1"/>
  <c r="AB69" i="17" s="1"/>
  <c r="BX161" i="17"/>
  <c r="BX70" i="17" a="1"/>
  <c r="BX70" i="17" s="1"/>
  <c r="AB70" i="17" s="1"/>
  <c r="BX162" i="17"/>
  <c r="BX71" i="17" a="1"/>
  <c r="BX71" i="17" s="1"/>
  <c r="AB71" i="17" s="1"/>
  <c r="BX163" i="17"/>
  <c r="BX72" i="17" a="1"/>
  <c r="BX72" i="17" s="1"/>
  <c r="AB72" i="17" s="1"/>
  <c r="BX164" i="17"/>
  <c r="BX166" i="17"/>
  <c r="BX74" i="17" a="1"/>
  <c r="BX74" i="17" s="1"/>
  <c r="AB74" i="17" s="1"/>
  <c r="BX165" i="17"/>
  <c r="BX73" i="17" a="1"/>
  <c r="BX73" i="17" s="1"/>
  <c r="AB73" i="17" s="1"/>
  <c r="BX136" i="17"/>
  <c r="BX137" i="17"/>
  <c r="BX45" i="17" a="1"/>
  <c r="BX45" i="17" s="1"/>
  <c r="BX138" i="17"/>
  <c r="BX46" i="17" a="1"/>
  <c r="BX46" i="17" s="1"/>
  <c r="BX47" i="17" a="1"/>
  <c r="BX47" i="17" s="1"/>
  <c r="BX139" i="17"/>
  <c r="BX48" i="17" a="1"/>
  <c r="BX48" i="17" s="1"/>
  <c r="BX140" i="17"/>
  <c r="BX49" i="17" a="1"/>
  <c r="BX49" i="17" s="1"/>
  <c r="BX141" i="17"/>
  <c r="BX142" i="17"/>
  <c r="BX50" i="17" a="1"/>
  <c r="BX50" i="17" s="1"/>
  <c r="BX143" i="17"/>
  <c r="BX51" i="17" a="1"/>
  <c r="BX51" i="17" s="1"/>
  <c r="BX52" i="17" a="1"/>
  <c r="BX52" i="17" s="1"/>
  <c r="BX144" i="17"/>
  <c r="BX53" i="17" a="1"/>
  <c r="BX53" i="17" s="1"/>
  <c r="BX145" i="17"/>
  <c r="BX54" i="17" a="1"/>
  <c r="BX54" i="17" s="1"/>
  <c r="BX146" i="17"/>
  <c r="BX147" i="17"/>
  <c r="BX55" i="17" a="1"/>
  <c r="BX55" i="17" s="1"/>
  <c r="BX56" i="17" a="1"/>
  <c r="BX56" i="17" s="1"/>
  <c r="BX148" i="17"/>
  <c r="BX57" i="17" a="1"/>
  <c r="BX57" i="17" s="1"/>
  <c r="BX149" i="17"/>
  <c r="BX58" i="17" a="1"/>
  <c r="BX58" i="17" s="1"/>
  <c r="AB58" i="17" s="1"/>
  <c r="BX150" i="17"/>
  <c r="BX59" i="17" a="1"/>
  <c r="BX59" i="17" s="1"/>
  <c r="AB59" i="17" s="1"/>
  <c r="BX151" i="17"/>
  <c r="BX152" i="17"/>
  <c r="BX60" i="17" a="1"/>
  <c r="BX60" i="17" s="1"/>
  <c r="AB60" i="17" s="1"/>
  <c r="BX61" i="17" a="1"/>
  <c r="BX61" i="17" s="1"/>
  <c r="AB61" i="17" s="1"/>
  <c r="BX153" i="17"/>
  <c r="BX62" i="17" a="1"/>
  <c r="BX62" i="17" s="1"/>
  <c r="AB62" i="17" s="1"/>
  <c r="BX154" i="17"/>
  <c r="BX63" i="17" a="1"/>
  <c r="BX63" i="17" s="1"/>
  <c r="AB63" i="17" s="1"/>
  <c r="BX155" i="17"/>
  <c r="BX66" i="17" a="1"/>
  <c r="BX66" i="17" s="1"/>
  <c r="AB66" i="17" s="1"/>
  <c r="BX158" i="17"/>
  <c r="BX159" i="17"/>
  <c r="BT118" i="16"/>
  <c r="BU118" i="16"/>
  <c r="BW3" i="16"/>
  <c r="BX5" i="16"/>
  <c r="BW6" i="16"/>
  <c r="BW4" i="16"/>
  <c r="BW7" i="16"/>
  <c r="BW8" i="16"/>
  <c r="BU71" i="16" s="1"/>
  <c r="BS70" i="16"/>
  <c r="BT70" i="16"/>
  <c r="BR70" i="16"/>
  <c r="BP70" i="16"/>
  <c r="BV118" i="16"/>
  <c r="BV117" i="16"/>
  <c r="BV58" i="16"/>
  <c r="BV92" i="16"/>
  <c r="BV54" i="16"/>
  <c r="BV51" i="16"/>
  <c r="BV48" i="16"/>
  <c r="BV93" i="16"/>
  <c r="BV81" i="16"/>
  <c r="BV80" i="16"/>
  <c r="BV46" i="16"/>
  <c r="BV79" i="16"/>
  <c r="BV45" i="16"/>
  <c r="BV33" i="16"/>
  <c r="BV28" i="16"/>
  <c r="BV34" i="16"/>
  <c r="BV35" i="16"/>
  <c r="BV31" i="16"/>
  <c r="BV43" i="16"/>
  <c r="BV40" i="16"/>
  <c r="BV30" i="16"/>
  <c r="BV32" i="16"/>
  <c r="BV37" i="16"/>
  <c r="BV36" i="16"/>
  <c r="BV42" i="16"/>
  <c r="BV38" i="16"/>
  <c r="BV41" i="16"/>
  <c r="BV44" i="16"/>
  <c r="BV39" i="16"/>
  <c r="BV78" i="16"/>
  <c r="BV29" i="16"/>
  <c r="BV90" i="16"/>
  <c r="BV88" i="16"/>
  <c r="BV87" i="16"/>
  <c r="BV53" i="16"/>
  <c r="BV86" i="16"/>
  <c r="BV49" i="16"/>
  <c r="BV82" i="16"/>
  <c r="BV47" i="16"/>
  <c r="BV59" i="16"/>
  <c r="BV91" i="16"/>
  <c r="BV84" i="16"/>
  <c r="BV50" i="16"/>
  <c r="BV83" i="16"/>
  <c r="BV57" i="16"/>
  <c r="BV56" i="16"/>
  <c r="BV89" i="16"/>
  <c r="BV55" i="16"/>
  <c r="BV52" i="16"/>
  <c r="BV85" i="16"/>
  <c r="BV60" i="16"/>
  <c r="BV94" i="16"/>
  <c r="BV61" i="16"/>
  <c r="BV95" i="16"/>
  <c r="BV96" i="16"/>
  <c r="BV62" i="16"/>
  <c r="BV97" i="16"/>
  <c r="BV63" i="16"/>
  <c r="BV98" i="16"/>
  <c r="BV64" i="16"/>
  <c r="BV65" i="16"/>
  <c r="BV99" i="16"/>
  <c r="BV66" i="16"/>
  <c r="BV100" i="16"/>
  <c r="BV67" i="16"/>
  <c r="BV101" i="16"/>
  <c r="BV102" i="16"/>
  <c r="BV103" i="16"/>
  <c r="BV104" i="16"/>
  <c r="BV105" i="16"/>
  <c r="BV106" i="16"/>
  <c r="BV107" i="16"/>
  <c r="BV108" i="16"/>
  <c r="BV109" i="16"/>
  <c r="BV110" i="16"/>
  <c r="BV111" i="16"/>
  <c r="BV112" i="16"/>
  <c r="BV113" i="16"/>
  <c r="BV114" i="16"/>
  <c r="BV115" i="16"/>
  <c r="BV116" i="16"/>
  <c r="BV15" i="16"/>
  <c r="BV14" i="16" s="1"/>
  <c r="BY16" i="16" s="1"/>
  <c r="BV11" i="16"/>
  <c r="BV19" i="16"/>
  <c r="BV18" i="16" s="1"/>
  <c r="AL120" i="16"/>
  <c r="BU120" i="16"/>
  <c r="BT120" i="16"/>
  <c r="BS120" i="16"/>
  <c r="BR120" i="16"/>
  <c r="BQ120" i="16"/>
  <c r="BP120" i="16"/>
  <c r="BO120" i="16"/>
  <c r="BN120" i="16"/>
  <c r="BM120" i="16"/>
  <c r="BL120" i="16"/>
  <c r="BK120" i="16"/>
  <c r="BJ120" i="16"/>
  <c r="BI120" i="16"/>
  <c r="BH120" i="16"/>
  <c r="BG120" i="16"/>
  <c r="BF120" i="16"/>
  <c r="BE120" i="16"/>
  <c r="BD120" i="16"/>
  <c r="BC120" i="16"/>
  <c r="BB120" i="16"/>
  <c r="BA120" i="16"/>
  <c r="AZ120" i="16"/>
  <c r="AY120" i="16"/>
  <c r="AX120" i="16"/>
  <c r="BV119" i="16"/>
  <c r="AF120" i="16"/>
  <c r="AG120" i="16"/>
  <c r="AH120" i="16"/>
  <c r="AI120" i="16"/>
  <c r="AJ120" i="16"/>
  <c r="AK120" i="16"/>
  <c r="AW120" i="16"/>
  <c r="AV120" i="16"/>
  <c r="AU120" i="16"/>
  <c r="AT120" i="16"/>
  <c r="AS120" i="16"/>
  <c r="AR120" i="16"/>
  <c r="AQ120" i="16"/>
  <c r="AP120" i="16"/>
  <c r="AO120" i="16"/>
  <c r="AN120" i="16"/>
  <c r="AM120" i="16"/>
  <c r="AR89" i="14"/>
  <c r="AH89" i="14"/>
  <c r="BP89" i="14"/>
  <c r="BH89" i="14"/>
  <c r="AY89" i="14"/>
  <c r="AP89" i="14"/>
  <c r="AF89" i="14"/>
  <c r="AN89" i="14"/>
  <c r="AX89" i="14"/>
  <c r="BT118" i="15"/>
  <c r="BU118" i="15"/>
  <c r="E119" i="15" a="1"/>
  <c r="E119" i="15" s="1"/>
  <c r="BX16" i="15"/>
  <c r="BS70" i="15"/>
  <c r="BV118" i="15"/>
  <c r="BV117" i="15"/>
  <c r="BV116" i="15"/>
  <c r="BV115" i="15"/>
  <c r="BV114" i="15"/>
  <c r="BV69" i="15"/>
  <c r="BV113" i="15"/>
  <c r="BV68" i="15"/>
  <c r="BV112" i="15"/>
  <c r="BV111" i="15"/>
  <c r="BV67" i="15"/>
  <c r="BV110" i="15"/>
  <c r="BV66" i="15"/>
  <c r="BV109" i="15"/>
  <c r="BV65" i="15"/>
  <c r="BV64" i="15"/>
  <c r="BV108" i="15"/>
  <c r="BV63" i="15"/>
  <c r="BV107" i="15"/>
  <c r="BV62" i="15"/>
  <c r="BV106" i="15"/>
  <c r="BV61" i="15"/>
  <c r="BV105" i="15"/>
  <c r="BV60" i="15"/>
  <c r="BV104" i="15"/>
  <c r="BV59" i="15"/>
  <c r="BV103" i="15"/>
  <c r="BV58" i="15"/>
  <c r="BV102" i="15"/>
  <c r="BV57" i="15"/>
  <c r="BV101" i="15"/>
  <c r="BV56" i="15"/>
  <c r="BV100" i="15"/>
  <c r="BV55" i="15"/>
  <c r="BV54" i="15"/>
  <c r="BV99" i="15"/>
  <c r="BV98" i="15"/>
  <c r="BV53" i="15"/>
  <c r="BV97" i="15"/>
  <c r="BV52" i="15"/>
  <c r="BV96" i="15"/>
  <c r="BV51" i="15"/>
  <c r="BV95" i="15"/>
  <c r="BV50" i="15"/>
  <c r="BV94" i="15"/>
  <c r="BV49" i="15"/>
  <c r="BV93" i="15"/>
  <c r="BV48" i="15"/>
  <c r="BV92" i="15"/>
  <c r="BV47" i="15"/>
  <c r="BV91" i="15"/>
  <c r="BV46" i="15"/>
  <c r="BV90" i="15"/>
  <c r="BV45" i="15"/>
  <c r="BV89" i="15"/>
  <c r="BV44" i="15"/>
  <c r="BV88" i="15"/>
  <c r="BV43" i="15"/>
  <c r="BV87" i="15"/>
  <c r="BV42" i="15"/>
  <c r="BV86" i="15"/>
  <c r="BV41" i="15"/>
  <c r="BV85" i="15"/>
  <c r="BV40" i="15"/>
  <c r="BV84" i="15"/>
  <c r="BV39" i="15"/>
  <c r="BV83" i="15"/>
  <c r="BV38" i="15"/>
  <c r="BV37" i="15"/>
  <c r="BV82" i="15"/>
  <c r="BV81" i="15"/>
  <c r="BV36" i="15"/>
  <c r="BV80" i="15"/>
  <c r="BV35" i="15"/>
  <c r="BV79" i="15"/>
  <c r="BV34" i="15"/>
  <c r="BV15" i="15" a="1"/>
  <c r="BV15" i="15" s="1"/>
  <c r="BV14" i="15" s="1"/>
  <c r="BV29" i="15"/>
  <c r="BV30" i="15"/>
  <c r="BV31" i="15"/>
  <c r="BV32" i="15"/>
  <c r="BV19" i="15" a="1"/>
  <c r="BV19" i="15" s="1"/>
  <c r="BV18" i="15" s="1"/>
  <c r="BV78" i="15"/>
  <c r="BV28" i="15"/>
  <c r="BV11" i="15" a="1"/>
  <c r="BV11" i="15" s="1"/>
  <c r="BV33" i="15"/>
  <c r="BW4" i="15"/>
  <c r="BW3" i="15"/>
  <c r="BW8" i="15"/>
  <c r="BW7" i="15"/>
  <c r="BW6" i="15"/>
  <c r="BX5" i="15"/>
  <c r="AM70" i="15"/>
  <c r="BU120" i="15"/>
  <c r="BT120" i="15"/>
  <c r="BS120" i="15"/>
  <c r="BR120" i="15"/>
  <c r="BQ120" i="15"/>
  <c r="BP120" i="15"/>
  <c r="BO120" i="15"/>
  <c r="BN120" i="15"/>
  <c r="BM120" i="15"/>
  <c r="BL120"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F70" i="15"/>
  <c r="BU70" i="15"/>
  <c r="AH70" i="15"/>
  <c r="AU70" i="15"/>
  <c r="BB70" i="15"/>
  <c r="AN70" i="15"/>
  <c r="BQ70" i="15"/>
  <c r="BM70" i="15"/>
  <c r="AZ70" i="15"/>
  <c r="BR70" i="15"/>
  <c r="BD70" i="15"/>
  <c r="AK70" i="15"/>
  <c r="AL70" i="15"/>
  <c r="BH70" i="15"/>
  <c r="BI70" i="15"/>
  <c r="AS70" i="15"/>
  <c r="BF70" i="15"/>
  <c r="AJ70" i="15"/>
  <c r="AQ70" i="15"/>
  <c r="BG70" i="15"/>
  <c r="BN70" i="15"/>
  <c r="AO70" i="15"/>
  <c r="AR70" i="15"/>
  <c r="AY70" i="15"/>
  <c r="BE70" i="15"/>
  <c r="BL70" i="15"/>
  <c r="AG70" i="15"/>
  <c r="BC70" i="15"/>
  <c r="BP70" i="15"/>
  <c r="BJ70" i="15"/>
  <c r="AV70" i="15"/>
  <c r="BK70" i="15"/>
  <c r="AW70" i="15"/>
  <c r="AI70" i="15"/>
  <c r="BO70" i="15"/>
  <c r="AP70" i="15"/>
  <c r="AX70" i="15"/>
  <c r="BA70" i="15"/>
  <c r="AT70" i="15"/>
  <c r="BV50" i="14"/>
  <c r="BV47" i="14"/>
  <c r="BV48" i="14"/>
  <c r="BV49" i="14"/>
  <c r="BV51" i="14"/>
  <c r="BV52" i="14"/>
  <c r="BV53" i="14"/>
  <c r="BV54" i="14"/>
  <c r="BV55" i="14"/>
  <c r="BV56" i="14"/>
  <c r="BV57" i="14"/>
  <c r="BV58" i="14"/>
  <c r="BV59" i="14"/>
  <c r="BV60" i="14"/>
  <c r="BV61" i="14"/>
  <c r="BV62" i="14"/>
  <c r="BV63" i="14"/>
  <c r="BV64" i="14"/>
  <c r="BV65" i="14"/>
  <c r="BV66" i="14"/>
  <c r="BV67" i="14"/>
  <c r="BV68" i="14"/>
  <c r="BV69" i="14"/>
  <c r="BV70" i="14"/>
  <c r="BV71" i="14"/>
  <c r="BV72" i="14"/>
  <c r="BV73" i="14"/>
  <c r="BV74" i="14"/>
  <c r="BV75" i="14"/>
  <c r="BV76" i="14"/>
  <c r="BV77" i="14"/>
  <c r="BW8" i="14"/>
  <c r="BX5" i="14"/>
  <c r="BW6" i="14"/>
  <c r="BW7" i="14"/>
  <c r="BW4" i="14"/>
  <c r="BW3" i="14"/>
  <c r="BU89" i="14"/>
  <c r="BA25" i="16"/>
  <c r="BB12" i="16"/>
  <c r="BA22" i="16"/>
  <c r="BA27" i="14" s="1"/>
  <c r="D122" i="16"/>
  <c r="BB12" i="15"/>
  <c r="BA22" i="15"/>
  <c r="BA25" i="14" s="1"/>
  <c r="BA25" i="15"/>
  <c r="D122" i="15"/>
  <c r="D94" i="14"/>
  <c r="BU7" i="9"/>
  <c r="BU8" i="9"/>
  <c r="BV5" i="9"/>
  <c r="BU6" i="9"/>
  <c r="BU4" i="9"/>
  <c r="BU3" i="9"/>
  <c r="BT7" i="11"/>
  <c r="BT4" i="11"/>
  <c r="BU5" i="11"/>
  <c r="BT8" i="11"/>
  <c r="BT6" i="11"/>
  <c r="BT3" i="11"/>
  <c r="CG119" i="12" a="1"/>
  <c r="CG119" i="12" s="1"/>
  <c r="CG117" i="12" a="1"/>
  <c r="CG117" i="12" s="1"/>
  <c r="CG116" i="12" a="1"/>
  <c r="CG116" i="12" s="1"/>
  <c r="CG115" i="12" a="1"/>
  <c r="CG115" i="12" s="1"/>
  <c r="CG114" i="12" a="1"/>
  <c r="CG114" i="12" s="1"/>
  <c r="CG113" i="12" a="1"/>
  <c r="CG113" i="12" s="1"/>
  <c r="CG112" i="12" a="1"/>
  <c r="CG112" i="12" s="1"/>
  <c r="CG111" i="12" a="1"/>
  <c r="CG111" i="12" s="1"/>
  <c r="CG109" i="12" a="1"/>
  <c r="CG109" i="12" s="1"/>
  <c r="CG8" i="12"/>
  <c r="CG3" i="12"/>
  <c r="CG4" i="12"/>
  <c r="CG7" i="12"/>
  <c r="CH5" i="12"/>
  <c r="CG6" i="12"/>
  <c r="BD3" i="13"/>
  <c r="BD7" i="13"/>
  <c r="BE5" i="13"/>
  <c r="BD4" i="13"/>
  <c r="BD8" i="13"/>
  <c r="BD6" i="13"/>
  <c r="BU4" i="10"/>
  <c r="BU8" i="10"/>
  <c r="BU7" i="10"/>
  <c r="BU6" i="10"/>
  <c r="BU3" i="10"/>
  <c r="BV5" i="10"/>
  <c r="CC48" i="8"/>
  <c r="CC50" i="8"/>
  <c r="CC51" i="8"/>
  <c r="CC52" i="8"/>
  <c r="CD49" i="8"/>
  <c r="CD7" i="8"/>
  <c r="CD15" i="8" s="1" a="1"/>
  <c r="CD15" i="8" s="1"/>
  <c r="CD73" i="8"/>
  <c r="CD47" i="8"/>
  <c r="CE8" i="8"/>
  <c r="CE94" i="8" s="1"/>
  <c r="CD6" i="8"/>
  <c r="CD11" i="8"/>
  <c r="CD10" i="8"/>
  <c r="CD9" i="8"/>
  <c r="CD75" i="8"/>
  <c r="CC74" i="8"/>
  <c r="CC78" i="8"/>
  <c r="CC77" i="8"/>
  <c r="CC76" i="8"/>
  <c r="AN85" i="17" l="1" a="1"/>
  <c r="AN85" i="17" s="1"/>
  <c r="P85" i="17" s="1"/>
  <c r="BT42" i="17"/>
  <c r="BX85" i="17" a="1"/>
  <c r="BX85" i="17" s="1"/>
  <c r="AB85" i="17" s="1"/>
  <c r="BI85" i="17" a="1"/>
  <c r="BI85" i="17" s="1"/>
  <c r="W85" i="17" s="1"/>
  <c r="AO85" i="17" a="1"/>
  <c r="AO85" i="17" s="1"/>
  <c r="AI85" i="17" a="1"/>
  <c r="AI85" i="17" s="1"/>
  <c r="AP85" i="17" a="1"/>
  <c r="AP85" i="17" s="1"/>
  <c r="AQ85" i="17" a="1"/>
  <c r="AQ85" i="17" s="1"/>
  <c r="BS85" i="17" a="1"/>
  <c r="BS85" i="17" s="1"/>
  <c r="AU85" i="17" a="1"/>
  <c r="AU85" i="17" s="1"/>
  <c r="AK85" i="17" a="1"/>
  <c r="AK85" i="17" s="1"/>
  <c r="O85" i="17" s="1"/>
  <c r="BF85" i="17" a="1"/>
  <c r="BF85" i="17" s="1"/>
  <c r="V85" i="17" s="1"/>
  <c r="AR85" i="17" a="1"/>
  <c r="AR85" i="17" s="1"/>
  <c r="BK85" i="17" a="1"/>
  <c r="BK85" i="17" s="1"/>
  <c r="BU85" i="17" a="1"/>
  <c r="BU85" i="17" s="1"/>
  <c r="AA85" i="17" s="1"/>
  <c r="BL85" i="17" a="1"/>
  <c r="BL85" i="17" s="1"/>
  <c r="X85" i="17" s="1"/>
  <c r="BM85" i="17" a="1"/>
  <c r="BM85" i="17" s="1"/>
  <c r="AY85" i="17" a="1"/>
  <c r="AY85" i="17" s="1"/>
  <c r="BA85" i="17" a="1"/>
  <c r="BA85" i="17" s="1"/>
  <c r="AW85" i="17" a="1"/>
  <c r="AW85" i="17" s="1"/>
  <c r="S85" i="17" s="1"/>
  <c r="BP85" i="17" a="1"/>
  <c r="BP85" i="17" s="1"/>
  <c r="AG85" i="17" a="1"/>
  <c r="AG85" i="17" s="1"/>
  <c r="CB44" i="12"/>
  <c r="AZ62" i="13" s="1"/>
  <c r="BC85" i="17" a="1"/>
  <c r="BC85" i="17" s="1"/>
  <c r="BN85" i="17" a="1"/>
  <c r="BN85" i="17" s="1"/>
  <c r="BQ85" i="17" a="1"/>
  <c r="BQ85" i="17" s="1"/>
  <c r="AH85" i="17" a="1"/>
  <c r="AH85" i="17" s="1"/>
  <c r="N85" i="17" s="1"/>
  <c r="BV85" i="17" a="1"/>
  <c r="BV85" i="17" s="1"/>
  <c r="AS85" i="17" a="1"/>
  <c r="AS85" i="17" s="1"/>
  <c r="AZ85" i="17" a="1"/>
  <c r="AZ85" i="17" s="1"/>
  <c r="T85" i="17" s="1"/>
  <c r="AL85" i="17" a="1"/>
  <c r="AL85" i="17" s="1"/>
  <c r="BE85" i="17" a="1"/>
  <c r="BE85" i="17" s="1"/>
  <c r="BO85" i="17" a="1"/>
  <c r="BO85" i="17" s="1"/>
  <c r="BG85" i="17" a="1"/>
  <c r="BG85" i="17" s="1"/>
  <c r="BR85" i="17" a="1"/>
  <c r="BR85" i="17" s="1"/>
  <c r="Z85" i="17" s="1"/>
  <c r="AJ85" i="17" a="1"/>
  <c r="AJ85" i="17" s="1"/>
  <c r="AZ115" i="13"/>
  <c r="AM85" i="17" a="1"/>
  <c r="AM85" i="17" s="1"/>
  <c r="AT85" i="17" a="1"/>
  <c r="AT85" i="17" s="1"/>
  <c r="R85" i="17" s="1"/>
  <c r="BD85" i="17" a="1"/>
  <c r="BD85" i="17" s="1"/>
  <c r="BH85" i="17" a="1"/>
  <c r="BH85" i="17" s="1"/>
  <c r="BJ85" i="17" a="1"/>
  <c r="BJ85" i="17" s="1"/>
  <c r="BT85" i="17" a="1"/>
  <c r="BT85" i="17" s="1"/>
  <c r="AK65" i="20"/>
  <c r="BB113" i="13"/>
  <c r="CE85" i="20"/>
  <c r="BB130" i="13" s="1"/>
  <c r="BB128" i="13"/>
  <c r="AK63" i="20"/>
  <c r="BB111" i="13"/>
  <c r="BB116" i="13"/>
  <c r="CD42" i="12"/>
  <c r="BB60" i="13" s="1"/>
  <c r="BA119" i="13"/>
  <c r="CB43" i="12"/>
  <c r="AZ61" i="13" s="1"/>
  <c r="BA118" i="13"/>
  <c r="AX85" i="17" a="1"/>
  <c r="AX85" i="17" s="1"/>
  <c r="AV85" i="17" a="1"/>
  <c r="AV85" i="17" s="1"/>
  <c r="CB45" i="12"/>
  <c r="AZ63" i="13" s="1"/>
  <c r="BA120" i="13"/>
  <c r="BB85" i="17" a="1"/>
  <c r="BB85" i="17" s="1"/>
  <c r="AF85" i="17" a="1"/>
  <c r="AF85" i="17" s="1"/>
  <c r="CJ13" i="12" a="1"/>
  <c r="CJ13" i="12" s="1"/>
  <c r="BH40" i="13" s="1"/>
  <c r="CD82" i="20"/>
  <c r="BY105" i="17"/>
  <c r="BX107" i="17"/>
  <c r="BX109" i="17" s="1"/>
  <c r="BX103" i="17" s="1"/>
  <c r="CH103" i="12"/>
  <c r="BE102" i="13"/>
  <c r="CB114" i="20"/>
  <c r="CE87" i="20"/>
  <c r="BB132" i="13" s="1"/>
  <c r="CF83" i="20"/>
  <c r="CE86" i="20"/>
  <c r="BB131" i="13" s="1"/>
  <c r="CE110" i="20"/>
  <c r="CE109" i="20" a="1"/>
  <c r="CE109" i="20" s="1"/>
  <c r="CE111" i="20" a="1"/>
  <c r="CE111" i="20" s="1"/>
  <c r="BT71" i="16"/>
  <c r="CF90" i="20"/>
  <c r="BC134" i="13" s="1"/>
  <c r="CF108" i="20"/>
  <c r="BV71" i="16"/>
  <c r="Q85" i="17"/>
  <c r="H85" i="17"/>
  <c r="BS71" i="16"/>
  <c r="BQ71" i="16"/>
  <c r="CF107" i="20"/>
  <c r="AK62" i="20"/>
  <c r="BU41" i="17"/>
  <c r="E86" i="17" s="1" a="1"/>
  <c r="E86" i="17" s="1"/>
  <c r="BP71" i="16"/>
  <c r="CF76" i="20"/>
  <c r="BC122" i="13" s="1"/>
  <c r="CF77" i="20"/>
  <c r="BC123" i="13" s="1"/>
  <c r="CF91" i="20"/>
  <c r="BC135" i="13" s="1"/>
  <c r="CE96" i="20"/>
  <c r="CH52" i="20"/>
  <c r="CC75" i="20"/>
  <c r="BV121" i="16"/>
  <c r="BU121" i="16"/>
  <c r="BT121" i="16"/>
  <c r="BS121" i="16"/>
  <c r="BR121" i="16"/>
  <c r="BQ121" i="16"/>
  <c r="BP121" i="16"/>
  <c r="BO121" i="16"/>
  <c r="BN121" i="16"/>
  <c r="BM121" i="16"/>
  <c r="BL121" i="16"/>
  <c r="BK121" i="16"/>
  <c r="BJ121" i="16"/>
  <c r="BI121" i="16"/>
  <c r="BH121" i="16"/>
  <c r="BG121" i="16"/>
  <c r="BV39" i="22"/>
  <c r="BV42" i="22"/>
  <c r="BV38" i="22"/>
  <c r="BV36" i="22"/>
  <c r="BV41" i="22"/>
  <c r="BV45" i="22"/>
  <c r="BV46" i="22"/>
  <c r="BV47" i="22"/>
  <c r="BV44" i="22"/>
  <c r="BV37" i="22"/>
  <c r="BV35" i="22"/>
  <c r="BV40" i="22"/>
  <c r="BV78" i="22"/>
  <c r="BV76" i="22"/>
  <c r="BV75" i="22"/>
  <c r="BV74" i="22"/>
  <c r="BV73" i="22"/>
  <c r="BV72" i="22"/>
  <c r="BV71" i="22"/>
  <c r="BV48" i="22"/>
  <c r="BV49" i="22"/>
  <c r="BV50" i="22"/>
  <c r="BV51" i="22"/>
  <c r="BV52" i="22"/>
  <c r="BV53" i="22"/>
  <c r="BV54" i="22"/>
  <c r="BV55" i="22"/>
  <c r="BV56" i="22"/>
  <c r="BV57" i="22"/>
  <c r="BV58" i="22"/>
  <c r="BV59" i="22"/>
  <c r="BV60" i="22"/>
  <c r="BV61" i="22"/>
  <c r="BV62" i="22"/>
  <c r="BV63" i="22"/>
  <c r="BV64" i="22"/>
  <c r="BV65" i="22"/>
  <c r="BV66" i="22"/>
  <c r="BV67" i="22"/>
  <c r="BV68" i="22"/>
  <c r="BV43" i="22"/>
  <c r="BV96" i="22"/>
  <c r="BV99" i="22"/>
  <c r="BV98" i="22"/>
  <c r="BV109" i="22"/>
  <c r="BV101" i="22"/>
  <c r="BV94" i="22"/>
  <c r="BV90" i="22"/>
  <c r="BV92" i="22"/>
  <c r="BV87" i="22"/>
  <c r="BV88" i="22"/>
  <c r="BV93" i="22"/>
  <c r="BV117" i="22"/>
  <c r="BV118" i="22"/>
  <c r="BV119" i="22"/>
  <c r="BV120" i="22"/>
  <c r="BV86" i="22"/>
  <c r="BV108" i="22"/>
  <c r="BV95" i="22"/>
  <c r="BV113" i="22"/>
  <c r="BV105" i="22"/>
  <c r="BV91" i="22"/>
  <c r="BV89" i="22"/>
  <c r="BV97" i="22"/>
  <c r="BV100" i="22"/>
  <c r="BV116" i="22"/>
  <c r="BV115" i="22"/>
  <c r="BV111" i="22"/>
  <c r="BV110" i="22"/>
  <c r="BV104" i="22"/>
  <c r="BV107" i="22"/>
  <c r="BV112" i="22"/>
  <c r="BV114" i="22"/>
  <c r="BV103" i="22"/>
  <c r="BV102" i="22"/>
  <c r="BV106" i="22"/>
  <c r="BX5" i="22"/>
  <c r="BW7" i="22"/>
  <c r="BW3" i="22"/>
  <c r="BW6" i="22"/>
  <c r="BW8" i="22"/>
  <c r="BW25" i="22" s="1"/>
  <c r="BW4" i="22"/>
  <c r="BV77" i="22"/>
  <c r="BV79" i="22"/>
  <c r="BU79" i="22"/>
  <c r="BT79" i="22"/>
  <c r="BS79" i="22"/>
  <c r="BR79" i="22"/>
  <c r="BQ79" i="22"/>
  <c r="BP79" i="22"/>
  <c r="BO79" i="22"/>
  <c r="BN79" i="22"/>
  <c r="BM79" i="22"/>
  <c r="BL79" i="22"/>
  <c r="BK79" i="22"/>
  <c r="BJ79" i="22"/>
  <c r="BI79" i="22"/>
  <c r="BH79" i="22"/>
  <c r="BG79" i="22"/>
  <c r="BF79" i="22"/>
  <c r="BE79" i="22"/>
  <c r="BD79" i="22"/>
  <c r="BC79" i="22"/>
  <c r="BB79" i="22"/>
  <c r="BA79" i="22"/>
  <c r="AZ79" i="22"/>
  <c r="AY79" i="22"/>
  <c r="AX79" i="22"/>
  <c r="AW79" i="22"/>
  <c r="AV79" i="22"/>
  <c r="AU79" i="22"/>
  <c r="AT79" i="22"/>
  <c r="AS79" i="22"/>
  <c r="AR79" i="22"/>
  <c r="AQ79" i="22"/>
  <c r="AP79" i="22"/>
  <c r="AO79" i="22"/>
  <c r="AN79" i="22"/>
  <c r="AM79" i="22"/>
  <c r="AL79" i="22"/>
  <c r="AK79" i="22"/>
  <c r="AJ79" i="22"/>
  <c r="AI79" i="22"/>
  <c r="AH79" i="22"/>
  <c r="D80" i="22"/>
  <c r="E80" i="22" s="1" a="1"/>
  <c r="E80" i="22" s="1"/>
  <c r="AG79" i="22"/>
  <c r="AF79" i="22"/>
  <c r="AE79"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D131" i="22"/>
  <c r="AG130" i="22"/>
  <c r="AF130" i="22"/>
  <c r="AE130" i="22"/>
  <c r="CC89" i="20"/>
  <c r="AM121" i="16"/>
  <c r="AF121" i="16"/>
  <c r="AG121" i="16"/>
  <c r="AH121" i="16"/>
  <c r="AI121" i="16"/>
  <c r="AJ121" i="16"/>
  <c r="AK121" i="16"/>
  <c r="AL121" i="16"/>
  <c r="AN121" i="16"/>
  <c r="AP121" i="16"/>
  <c r="AQ121" i="16"/>
  <c r="AR121" i="16"/>
  <c r="AS121" i="16"/>
  <c r="AT121" i="16"/>
  <c r="AU121" i="16"/>
  <c r="AV121" i="16"/>
  <c r="AW121" i="16"/>
  <c r="AX121" i="16"/>
  <c r="AY121" i="16"/>
  <c r="BF121" i="16"/>
  <c r="AO121" i="16"/>
  <c r="CI54" i="20"/>
  <c r="CF65" i="20"/>
  <c r="BC113" i="13" s="1"/>
  <c r="CF64" i="20"/>
  <c r="BC112" i="13" s="1"/>
  <c r="CF63" i="20"/>
  <c r="BC111" i="13" s="1"/>
  <c r="CF62" i="20"/>
  <c r="CD92" i="20"/>
  <c r="BA136" i="13" s="1"/>
  <c r="CD93" i="20"/>
  <c r="BA137" i="13" s="1"/>
  <c r="CD94" i="20"/>
  <c r="BA138" i="13" s="1"/>
  <c r="CD79" i="20"/>
  <c r="BA125" i="13" s="1"/>
  <c r="CD80" i="20"/>
  <c r="BA126" i="13" s="1"/>
  <c r="CD78" i="20"/>
  <c r="BA124" i="13" s="1"/>
  <c r="CF100" i="20"/>
  <c r="BC143" i="13" s="1"/>
  <c r="CF101" i="20"/>
  <c r="BC144" i="13" s="1"/>
  <c r="CF99" i="20"/>
  <c r="BC142" i="13" s="1"/>
  <c r="CE60" i="20"/>
  <c r="CG102" i="20"/>
  <c r="BD145" i="13" s="1"/>
  <c r="CG95" i="20"/>
  <c r="BD139" i="13" s="1"/>
  <c r="CG81" i="20"/>
  <c r="BD127" i="13" s="1"/>
  <c r="CG88" i="20"/>
  <c r="BD133" i="13" s="1"/>
  <c r="CI57" i="20"/>
  <c r="CI97" i="20" s="1"/>
  <c r="BF140" i="13" s="1"/>
  <c r="CI56" i="20"/>
  <c r="CI55" i="20"/>
  <c r="CD68" i="20"/>
  <c r="CD106" i="20"/>
  <c r="CE73" i="20"/>
  <c r="CE71" i="20"/>
  <c r="CE72" i="20"/>
  <c r="CE115" i="20"/>
  <c r="CG29" i="20"/>
  <c r="CG22" i="20"/>
  <c r="CG12" i="20"/>
  <c r="CG27" i="20"/>
  <c r="CG21" i="20"/>
  <c r="CG30" i="20"/>
  <c r="CG31" i="20"/>
  <c r="CG26" i="20"/>
  <c r="CG32" i="20"/>
  <c r="CG34" i="20"/>
  <c r="CG11" i="20"/>
  <c r="CG14" i="20"/>
  <c r="CG28" i="20"/>
  <c r="CG24" i="20"/>
  <c r="CG13" i="20"/>
  <c r="CG20" i="20"/>
  <c r="CG35" i="20"/>
  <c r="CG18" i="20"/>
  <c r="CG15" i="20"/>
  <c r="CG33" i="20"/>
  <c r="CG19" i="20"/>
  <c r="CG17" i="20"/>
  <c r="CG74" i="20"/>
  <c r="BD121" i="13" s="1"/>
  <c r="CG25" i="20"/>
  <c r="CG16" i="20"/>
  <c r="CG23" i="20"/>
  <c r="CH4" i="20"/>
  <c r="CH3" i="20"/>
  <c r="CH7" i="20"/>
  <c r="CH6" i="20"/>
  <c r="CH8" i="20"/>
  <c r="CH112" i="20" s="1"/>
  <c r="CI5" i="20"/>
  <c r="CF69" i="20"/>
  <c r="CF61" i="20"/>
  <c r="BC109" i="13" s="1"/>
  <c r="CF10" i="20"/>
  <c r="CF70" i="20"/>
  <c r="BC117" i="13" s="1"/>
  <c r="CJ53" i="20"/>
  <c r="BW181" i="17"/>
  <c r="BV181" i="17"/>
  <c r="BU181" i="17"/>
  <c r="BT181" i="17"/>
  <c r="BS181" i="17"/>
  <c r="BR181" i="17"/>
  <c r="BQ181" i="17"/>
  <c r="BP181" i="17"/>
  <c r="BO181" i="17"/>
  <c r="BN181" i="17"/>
  <c r="BM181" i="17"/>
  <c r="BL181" i="17"/>
  <c r="BK181" i="17"/>
  <c r="BJ181" i="17"/>
  <c r="BI181" i="17"/>
  <c r="BH181" i="17"/>
  <c r="BG181" i="17"/>
  <c r="BF181" i="17"/>
  <c r="BE181" i="17"/>
  <c r="BD181" i="17"/>
  <c r="BC181" i="17"/>
  <c r="BB181" i="17"/>
  <c r="BA181" i="17"/>
  <c r="AZ181" i="17"/>
  <c r="AY181" i="17"/>
  <c r="AX181" i="17"/>
  <c r="AW181" i="17"/>
  <c r="AV181" i="17"/>
  <c r="AU181" i="17"/>
  <c r="AT181" i="17"/>
  <c r="AS181" i="17"/>
  <c r="AK181" i="17"/>
  <c r="D182" i="17"/>
  <c r="AQ181" i="17"/>
  <c r="AO181" i="17"/>
  <c r="AI181" i="17"/>
  <c r="AH181" i="17"/>
  <c r="AF181" i="17"/>
  <c r="AR181" i="17"/>
  <c r="AP181" i="17"/>
  <c r="AN181" i="17"/>
  <c r="AM181" i="17"/>
  <c r="AL181" i="17"/>
  <c r="AJ181" i="17"/>
  <c r="AG181" i="17"/>
  <c r="BX181" i="17"/>
  <c r="D91" i="17"/>
  <c r="BY80" i="17" a="1"/>
  <c r="BY80" i="17" s="1"/>
  <c r="BY81" i="17" a="1"/>
  <c r="BY81" i="17" s="1"/>
  <c r="BY82" i="17" a="1"/>
  <c r="BY82" i="17" s="1"/>
  <c r="BY83" i="17" a="1"/>
  <c r="BY83" i="17" s="1"/>
  <c r="BY84" i="17" a="1"/>
  <c r="BY84" i="17" s="1"/>
  <c r="BY85" i="17" a="1"/>
  <c r="BY85" i="17" s="1"/>
  <c r="BZ6" i="17"/>
  <c r="CA5" i="17"/>
  <c r="BZ4" i="17"/>
  <c r="BZ3" i="17"/>
  <c r="BZ8" i="17"/>
  <c r="BZ7" i="17"/>
  <c r="BY79" i="17" a="1"/>
  <c r="BY79" i="17" s="1"/>
  <c r="BY78" i="17" a="1"/>
  <c r="BY78" i="17" s="1"/>
  <c r="BY169" i="17"/>
  <c r="BY77" i="17" a="1"/>
  <c r="BY77" i="17" s="1"/>
  <c r="BY168" i="17"/>
  <c r="BY76" i="17" a="1"/>
  <c r="BY76" i="17" s="1"/>
  <c r="BY167" i="17"/>
  <c r="BY66" i="17" a="1"/>
  <c r="BY66" i="17" s="1"/>
  <c r="BY163" i="17"/>
  <c r="BY164" i="17"/>
  <c r="BY73" i="17" a="1"/>
  <c r="BY73" i="17" s="1"/>
  <c r="BY165" i="17"/>
  <c r="BY157" i="17"/>
  <c r="BY67" i="17" a="1"/>
  <c r="BY67" i="17" s="1"/>
  <c r="BY159" i="17"/>
  <c r="BY68" i="17" a="1"/>
  <c r="BY68" i="17" s="1"/>
  <c r="BY160" i="17"/>
  <c r="BY161" i="17"/>
  <c r="BY75" i="17" a="1"/>
  <c r="BY75" i="17" s="1"/>
  <c r="BY74" i="17" a="1"/>
  <c r="BY74" i="17" s="1"/>
  <c r="BY136" i="17"/>
  <c r="BY45" i="17" a="1"/>
  <c r="BY45" i="17" s="1"/>
  <c r="BY137" i="17"/>
  <c r="BY138" i="17"/>
  <c r="BY46" i="17" a="1"/>
  <c r="BY46" i="17" s="1"/>
  <c r="BY47" i="17" a="1"/>
  <c r="BY47" i="17" s="1"/>
  <c r="BY139" i="17"/>
  <c r="BY48" i="17" a="1"/>
  <c r="BY48" i="17" s="1"/>
  <c r="BY140" i="17"/>
  <c r="BY141" i="17"/>
  <c r="BY49" i="17" a="1"/>
  <c r="BY49" i="17" s="1"/>
  <c r="BY142" i="17"/>
  <c r="BY50" i="17" a="1"/>
  <c r="BY50" i="17" s="1"/>
  <c r="BY51" i="17" a="1"/>
  <c r="BY51" i="17" s="1"/>
  <c r="BY143" i="17"/>
  <c r="BY52" i="17" a="1"/>
  <c r="BY52" i="17" s="1"/>
  <c r="BY144" i="17"/>
  <c r="BY53" i="17" a="1"/>
  <c r="BY53" i="17" s="1"/>
  <c r="BY145" i="17"/>
  <c r="BY146" i="17"/>
  <c r="BY54" i="17" a="1"/>
  <c r="BY54" i="17" s="1"/>
  <c r="BY147" i="17"/>
  <c r="BY55" i="17" a="1"/>
  <c r="BY55" i="17" s="1"/>
  <c r="BY56" i="17" a="1"/>
  <c r="BY56" i="17" s="1"/>
  <c r="BY148" i="17"/>
  <c r="BY57" i="17" a="1"/>
  <c r="BY57" i="17" s="1"/>
  <c r="BY149" i="17"/>
  <c r="BY58" i="17" a="1"/>
  <c r="BY58" i="17" s="1"/>
  <c r="BY150" i="17"/>
  <c r="BY59" i="17" a="1"/>
  <c r="BY59" i="17" s="1"/>
  <c r="BY151" i="17"/>
  <c r="BY152" i="17"/>
  <c r="BY60" i="17" a="1"/>
  <c r="BY60" i="17" s="1"/>
  <c r="BY61" i="17" a="1"/>
  <c r="BY61" i="17" s="1"/>
  <c r="BY153" i="17"/>
  <c r="BY62" i="17" a="1"/>
  <c r="BY62" i="17" s="1"/>
  <c r="BY154" i="17"/>
  <c r="BY63" i="17" a="1"/>
  <c r="BY63" i="17" s="1"/>
  <c r="BY155" i="17"/>
  <c r="BY64" i="17" a="1"/>
  <c r="BY64" i="17" s="1"/>
  <c r="BY156" i="17"/>
  <c r="BY65" i="17" a="1"/>
  <c r="BY65" i="17" s="1"/>
  <c r="BY158" i="17"/>
  <c r="BY69" i="17" a="1"/>
  <c r="BY69" i="17" s="1"/>
  <c r="BY70" i="17" a="1"/>
  <c r="BY70" i="17" s="1"/>
  <c r="BY162" i="17"/>
  <c r="BY71" i="17" a="1"/>
  <c r="BY71" i="17" s="1"/>
  <c r="BY72" i="17" a="1"/>
  <c r="BY72" i="17" s="1"/>
  <c r="BY166" i="17"/>
  <c r="BC121" i="16"/>
  <c r="BE121" i="16"/>
  <c r="BD121" i="16"/>
  <c r="BB121" i="16"/>
  <c r="BA121" i="16"/>
  <c r="AZ121" i="16"/>
  <c r="E120" i="16" a="1"/>
  <c r="E120" i="16" s="1"/>
  <c r="AU121" i="15"/>
  <c r="AR121" i="15"/>
  <c r="AP121" i="15"/>
  <c r="AO121" i="15"/>
  <c r="AM121" i="15"/>
  <c r="AK121" i="15"/>
  <c r="AI121" i="15"/>
  <c r="BJ121" i="15"/>
  <c r="BI121" i="15"/>
  <c r="BH121" i="15"/>
  <c r="BG121" i="15"/>
  <c r="BF121" i="15"/>
  <c r="BE121" i="15"/>
  <c r="BD121" i="15"/>
  <c r="BC121" i="15"/>
  <c r="BB121" i="15"/>
  <c r="BA121" i="15"/>
  <c r="AZ121" i="15"/>
  <c r="AY121" i="15"/>
  <c r="AX121" i="15"/>
  <c r="AW121" i="15"/>
  <c r="AV121" i="15"/>
  <c r="AT121" i="15"/>
  <c r="AS121" i="15"/>
  <c r="AQ121" i="15"/>
  <c r="AN121" i="15"/>
  <c r="AL121" i="15"/>
  <c r="AJ121" i="15"/>
  <c r="AH121" i="15"/>
  <c r="BX4" i="16"/>
  <c r="BX6" i="16"/>
  <c r="BX3" i="16"/>
  <c r="BX8" i="16"/>
  <c r="BT72" i="16" s="1"/>
  <c r="BX7" i="16"/>
  <c r="BY5" i="16"/>
  <c r="BW11" i="16"/>
  <c r="BW15" i="16"/>
  <c r="BW14" i="16" s="1"/>
  <c r="BZ16" i="16" s="1"/>
  <c r="BW19" i="16"/>
  <c r="BW18" i="16" s="1"/>
  <c r="BW119" i="16"/>
  <c r="BR71" i="16"/>
  <c r="BW105" i="16"/>
  <c r="BW116" i="16"/>
  <c r="BW103" i="16"/>
  <c r="BW106" i="16"/>
  <c r="BW107" i="16"/>
  <c r="BW108" i="16"/>
  <c r="BW109" i="16"/>
  <c r="BW111" i="16"/>
  <c r="BW112" i="16"/>
  <c r="BW113" i="16"/>
  <c r="BW118" i="16"/>
  <c r="BW117" i="16"/>
  <c r="BW59" i="16"/>
  <c r="BW93" i="16"/>
  <c r="BW50" i="16"/>
  <c r="BW94" i="16"/>
  <c r="BW28" i="16"/>
  <c r="BW60" i="16"/>
  <c r="BW91" i="16"/>
  <c r="BW90" i="16"/>
  <c r="BW55" i="16"/>
  <c r="BW88" i="16"/>
  <c r="BW54" i="16"/>
  <c r="BW53" i="16"/>
  <c r="BW86" i="16"/>
  <c r="BW52" i="16"/>
  <c r="BW51" i="16"/>
  <c r="BW84" i="16"/>
  <c r="BW49" i="16"/>
  <c r="BW82" i="16"/>
  <c r="BW81" i="16"/>
  <c r="BW80" i="16"/>
  <c r="BW45" i="16"/>
  <c r="BW32" i="16"/>
  <c r="BW44" i="16"/>
  <c r="BW30" i="16"/>
  <c r="BW34" i="16"/>
  <c r="BW39" i="16"/>
  <c r="BW29" i="16"/>
  <c r="BW33" i="16"/>
  <c r="BW78" i="16"/>
  <c r="BW43" i="16"/>
  <c r="BW92" i="16"/>
  <c r="BW57" i="16"/>
  <c r="BW58" i="16"/>
  <c r="BW56" i="16"/>
  <c r="BW89" i="16"/>
  <c r="BW87" i="16"/>
  <c r="BW85" i="16"/>
  <c r="BW83" i="16"/>
  <c r="BW48" i="16"/>
  <c r="BW47" i="16"/>
  <c r="BW46" i="16"/>
  <c r="BW79" i="16"/>
  <c r="BW40" i="16"/>
  <c r="BW31" i="16"/>
  <c r="BW35" i="16"/>
  <c r="BW37" i="16"/>
  <c r="BW36" i="16"/>
  <c r="BW42" i="16"/>
  <c r="BW38" i="16"/>
  <c r="BW41" i="16"/>
  <c r="BW61" i="16"/>
  <c r="BW95" i="16"/>
  <c r="BW62" i="16"/>
  <c r="BW96" i="16"/>
  <c r="BW97" i="16"/>
  <c r="BW63" i="16"/>
  <c r="BW64" i="16"/>
  <c r="BW98" i="16"/>
  <c r="BW65" i="16"/>
  <c r="BW99" i="16"/>
  <c r="BW100" i="16"/>
  <c r="BW66" i="16"/>
  <c r="BW67" i="16"/>
  <c r="BW101" i="16"/>
  <c r="BW68" i="16"/>
  <c r="BW102" i="16"/>
  <c r="BW104" i="16"/>
  <c r="BW110" i="16"/>
  <c r="BW114" i="16"/>
  <c r="BW115" i="16"/>
  <c r="BY16" i="15"/>
  <c r="E70" i="15" a="1"/>
  <c r="E70" i="15" s="1"/>
  <c r="E120" i="15" a="1"/>
  <c r="E120" i="15" s="1"/>
  <c r="AP71" i="15"/>
  <c r="BI71" i="15"/>
  <c r="AJ71" i="15"/>
  <c r="BD71" i="15"/>
  <c r="AG71" i="15"/>
  <c r="BA71" i="15"/>
  <c r="BR71" i="15"/>
  <c r="AZ71" i="15"/>
  <c r="AI71" i="15"/>
  <c r="AM71" i="15"/>
  <c r="BU71" i="15"/>
  <c r="BU119" i="15"/>
  <c r="BV119" i="15"/>
  <c r="AX71" i="15"/>
  <c r="AT71" i="15"/>
  <c r="AS71" i="15"/>
  <c r="AR71" i="15"/>
  <c r="BE71" i="15"/>
  <c r="BQ71" i="15"/>
  <c r="BV71" i="15"/>
  <c r="BN71" i="15"/>
  <c r="AQ71" i="15"/>
  <c r="BV121" i="15"/>
  <c r="BU121" i="15"/>
  <c r="BT121" i="15"/>
  <c r="BS121" i="15"/>
  <c r="BR121" i="15"/>
  <c r="BQ121" i="15"/>
  <c r="BP121" i="15"/>
  <c r="BO121" i="15"/>
  <c r="BN121" i="15"/>
  <c r="BM121" i="15"/>
  <c r="BL121" i="15"/>
  <c r="BK121" i="15"/>
  <c r="BS71" i="15"/>
  <c r="BC71" i="15"/>
  <c r="AY71" i="15"/>
  <c r="BK71" i="15"/>
  <c r="AO71" i="15"/>
  <c r="AL71" i="15"/>
  <c r="BP71" i="15"/>
  <c r="AF71" i="15"/>
  <c r="BF71" i="15"/>
  <c r="BG71" i="15"/>
  <c r="AW71" i="15"/>
  <c r="BL71" i="15"/>
  <c r="BW119" i="15"/>
  <c r="BH71" i="15"/>
  <c r="BJ71" i="15"/>
  <c r="AK71" i="15"/>
  <c r="BB71" i="15"/>
  <c r="AN71" i="15"/>
  <c r="BO71" i="15"/>
  <c r="AH71" i="15"/>
  <c r="AU71" i="15"/>
  <c r="AV71" i="15"/>
  <c r="BW118" i="15"/>
  <c r="BW117" i="15"/>
  <c r="BW116" i="15"/>
  <c r="BW115" i="15"/>
  <c r="BW114" i="15"/>
  <c r="BW69" i="15"/>
  <c r="BW113" i="15"/>
  <c r="BW112" i="15"/>
  <c r="BW68" i="15"/>
  <c r="BW111" i="15"/>
  <c r="BW67" i="15"/>
  <c r="BW110" i="15"/>
  <c r="BW66" i="15"/>
  <c r="BW65" i="15"/>
  <c r="BW109" i="15"/>
  <c r="BW64" i="15"/>
  <c r="BW108" i="15"/>
  <c r="BW63" i="15"/>
  <c r="BW107" i="15"/>
  <c r="BW62" i="15"/>
  <c r="BW106" i="15"/>
  <c r="BW61" i="15"/>
  <c r="BW105" i="15"/>
  <c r="BW60" i="15"/>
  <c r="BW104" i="15"/>
  <c r="BW59" i="15"/>
  <c r="BW58" i="15"/>
  <c r="BW103" i="15"/>
  <c r="BW102" i="15"/>
  <c r="BW57" i="15"/>
  <c r="BW101" i="15"/>
  <c r="BW56" i="15"/>
  <c r="BW100" i="15"/>
  <c r="BW55" i="15"/>
  <c r="BW54" i="15"/>
  <c r="BW99" i="15"/>
  <c r="BW98" i="15"/>
  <c r="BW53" i="15"/>
  <c r="BW97" i="15"/>
  <c r="BW52" i="15"/>
  <c r="BW51" i="15"/>
  <c r="BW96" i="15"/>
  <c r="BW95" i="15"/>
  <c r="BW50" i="15"/>
  <c r="BW94" i="15"/>
  <c r="BW49" i="15"/>
  <c r="BW93" i="15"/>
  <c r="BW48" i="15"/>
  <c r="BW92" i="15"/>
  <c r="BW47" i="15"/>
  <c r="BW91" i="15"/>
  <c r="BW46" i="15"/>
  <c r="BW90" i="15"/>
  <c r="BW45" i="15"/>
  <c r="BW89" i="15"/>
  <c r="BW44" i="15"/>
  <c r="BW88" i="15"/>
  <c r="BW43" i="15"/>
  <c r="BW87" i="15"/>
  <c r="BW42" i="15"/>
  <c r="BW86" i="15"/>
  <c r="BW41" i="15"/>
  <c r="BW85" i="15"/>
  <c r="BW40" i="15"/>
  <c r="BW84" i="15"/>
  <c r="BW39" i="15"/>
  <c r="BW83" i="15"/>
  <c r="BW38" i="15"/>
  <c r="BW37" i="15"/>
  <c r="BW82" i="15"/>
  <c r="BW81" i="15"/>
  <c r="BW36" i="15"/>
  <c r="BW80" i="15"/>
  <c r="BW35" i="15"/>
  <c r="BW79" i="15"/>
  <c r="BW34" i="15"/>
  <c r="BW15" i="15" a="1"/>
  <c r="BW15" i="15" s="1"/>
  <c r="BW14" i="15" s="1"/>
  <c r="BW30" i="15"/>
  <c r="BW31" i="15"/>
  <c r="BW32" i="15"/>
  <c r="BW29" i="15"/>
  <c r="BW19" i="15" a="1"/>
  <c r="BW19" i="15" s="1"/>
  <c r="BW18" i="15" s="1"/>
  <c r="BW78" i="15"/>
  <c r="BW28" i="15"/>
  <c r="BW33" i="15"/>
  <c r="BW11" i="15" a="1"/>
  <c r="BW11" i="15" s="1"/>
  <c r="BX4" i="15"/>
  <c r="BX3" i="15"/>
  <c r="BX7" i="15"/>
  <c r="BX8" i="15"/>
  <c r="BX6" i="15"/>
  <c r="BY5" i="15"/>
  <c r="BT71" i="15"/>
  <c r="AG121" i="15"/>
  <c r="AF121" i="15"/>
  <c r="AQ90" i="14"/>
  <c r="AO90" i="14"/>
  <c r="AP90" i="14"/>
  <c r="BF90" i="14"/>
  <c r="BI90" i="14"/>
  <c r="AT90" i="14"/>
  <c r="AF90" i="14"/>
  <c r="AY90" i="14"/>
  <c r="AH90" i="14"/>
  <c r="AV90" i="14"/>
  <c r="BL90" i="14"/>
  <c r="AU90" i="14"/>
  <c r="AK90" i="14"/>
  <c r="BS90" i="14"/>
  <c r="BG90" i="14"/>
  <c r="AW90" i="14"/>
  <c r="BR90" i="14"/>
  <c r="BC90" i="14"/>
  <c r="AL90" i="14"/>
  <c r="BM90" i="14"/>
  <c r="AZ90" i="14"/>
  <c r="AI90" i="14"/>
  <c r="AN90" i="14"/>
  <c r="BT90" i="14"/>
  <c r="BB90" i="14"/>
  <c r="BP90" i="14"/>
  <c r="BJ90" i="14"/>
  <c r="BD90" i="14"/>
  <c r="AM90" i="14"/>
  <c r="AR90" i="14"/>
  <c r="AJ90" i="14"/>
  <c r="AG90" i="14"/>
  <c r="BQ90" i="14"/>
  <c r="BN90" i="14"/>
  <c r="BK90" i="14"/>
  <c r="BH90" i="14"/>
  <c r="BE90" i="14"/>
  <c r="BO90" i="14"/>
  <c r="BA90" i="14"/>
  <c r="AX90" i="14"/>
  <c r="AS90" i="14"/>
  <c r="BU90" i="14"/>
  <c r="BW49" i="14"/>
  <c r="BW50" i="14"/>
  <c r="BW47" i="14"/>
  <c r="BW48" i="14"/>
  <c r="BW51" i="14"/>
  <c r="BW52" i="14"/>
  <c r="BW53" i="14"/>
  <c r="BW54" i="14"/>
  <c r="BW55" i="14"/>
  <c r="BW56" i="14"/>
  <c r="BW57" i="14"/>
  <c r="BW58" i="14"/>
  <c r="BW59" i="14"/>
  <c r="BW60" i="14"/>
  <c r="BW61" i="14"/>
  <c r="BW62" i="14"/>
  <c r="BW63" i="14"/>
  <c r="BW64" i="14"/>
  <c r="BW65" i="14"/>
  <c r="BW66" i="14"/>
  <c r="BW67" i="14"/>
  <c r="BW68" i="14"/>
  <c r="BW69" i="14"/>
  <c r="BW70" i="14"/>
  <c r="BW71" i="14"/>
  <c r="BW72" i="14"/>
  <c r="BW73" i="14"/>
  <c r="BW74" i="14"/>
  <c r="BW75" i="14"/>
  <c r="BW76" i="14"/>
  <c r="BW77" i="14"/>
  <c r="BW78" i="14"/>
  <c r="BX8" i="14"/>
  <c r="BX7" i="14"/>
  <c r="BY5" i="14"/>
  <c r="BX6" i="14"/>
  <c r="BX3" i="14"/>
  <c r="BX4" i="14"/>
  <c r="BV90" i="14"/>
  <c r="BB10" i="16"/>
  <c r="D123" i="16"/>
  <c r="BB10" i="15"/>
  <c r="D123" i="15"/>
  <c r="BV3" i="9"/>
  <c r="BV4" i="9"/>
  <c r="BW5" i="9"/>
  <c r="BV7" i="9"/>
  <c r="BV8" i="9"/>
  <c r="BV6" i="9"/>
  <c r="BU4" i="11"/>
  <c r="BV5" i="11"/>
  <c r="BU3" i="11"/>
  <c r="BU8" i="11"/>
  <c r="BU7" i="11"/>
  <c r="BU6" i="11"/>
  <c r="CH119" i="12" a="1"/>
  <c r="CH119" i="12" s="1"/>
  <c r="CH117" i="12" a="1"/>
  <c r="CH117" i="12" s="1"/>
  <c r="CH116" i="12" a="1"/>
  <c r="CH116" i="12" s="1"/>
  <c r="CH115" i="12" a="1"/>
  <c r="CH115" i="12" s="1"/>
  <c r="CH114" i="12" a="1"/>
  <c r="CH114" i="12" s="1"/>
  <c r="CH113" i="12" a="1"/>
  <c r="CH113" i="12" s="1"/>
  <c r="CH112" i="12" a="1"/>
  <c r="CH112" i="12" s="1"/>
  <c r="CH111" i="12" a="1"/>
  <c r="CH111" i="12" s="1"/>
  <c r="CH109" i="12" a="1"/>
  <c r="CH109" i="12" s="1"/>
  <c r="CH8" i="12"/>
  <c r="CH7" i="12"/>
  <c r="CH4" i="12"/>
  <c r="CH3" i="12"/>
  <c r="CH6" i="12"/>
  <c r="CI5" i="12"/>
  <c r="BE8" i="13"/>
  <c r="BE7" i="13"/>
  <c r="BF5" i="13"/>
  <c r="BE4" i="13"/>
  <c r="BE3" i="13"/>
  <c r="BE6" i="13"/>
  <c r="BV8" i="10"/>
  <c r="BV7" i="10"/>
  <c r="BV6" i="10"/>
  <c r="BW5" i="10"/>
  <c r="BV4" i="10"/>
  <c r="BV3" i="10"/>
  <c r="CD50" i="8"/>
  <c r="CD48" i="8"/>
  <c r="CE49" i="8"/>
  <c r="CD51" i="8"/>
  <c r="CD52" i="8"/>
  <c r="CE6" i="8"/>
  <c r="CE11" i="8"/>
  <c r="CE9" i="8"/>
  <c r="CF8" i="8"/>
  <c r="CF94" i="8" s="1"/>
  <c r="CE7" i="8"/>
  <c r="CE15" i="8" s="1" a="1"/>
  <c r="CE15" i="8" s="1"/>
  <c r="CE73" i="8"/>
  <c r="CE47" i="8"/>
  <c r="CE10" i="8"/>
  <c r="CE75" i="8"/>
  <c r="CD78" i="8"/>
  <c r="CD77" i="8"/>
  <c r="CD76" i="8"/>
  <c r="CD74" i="8"/>
  <c r="BB108" i="13" l="1"/>
  <c r="BA115" i="13"/>
  <c r="CC43" i="12"/>
  <c r="CC44" i="12"/>
  <c r="BA62" i="13" s="1"/>
  <c r="BC116" i="13"/>
  <c r="CE42" i="12"/>
  <c r="BC60" i="13" s="1"/>
  <c r="BB119" i="13"/>
  <c r="BB118" i="13"/>
  <c r="BB120" i="13"/>
  <c r="CC45" i="12"/>
  <c r="BA63" i="13" s="1"/>
  <c r="CF86" i="20"/>
  <c r="BC131" i="13" s="1"/>
  <c r="BC128" i="13"/>
  <c r="BV41" i="17"/>
  <c r="E87" i="17" s="1" a="1"/>
  <c r="E87" i="17" s="1"/>
  <c r="BY87" i="17" s="1" a="1"/>
  <c r="BY87" i="17" s="1"/>
  <c r="BC110" i="13"/>
  <c r="BC108" i="13" s="1"/>
  <c r="BA61" i="13"/>
  <c r="CF85" i="20"/>
  <c r="BC130" i="13" s="1"/>
  <c r="CF87" i="20"/>
  <c r="BC132" i="13" s="1"/>
  <c r="CE82" i="20"/>
  <c r="BZ105" i="17"/>
  <c r="BY107" i="17"/>
  <c r="BY109" i="17" s="1"/>
  <c r="BY103" i="17" s="1"/>
  <c r="CI103" i="12"/>
  <c r="BF102" i="13"/>
  <c r="CG83" i="20"/>
  <c r="BU86" i="17" a="1"/>
  <c r="BU86" i="17" s="1"/>
  <c r="AA86" i="17" s="1"/>
  <c r="AW86" i="17" a="1"/>
  <c r="AW86" i="17" s="1"/>
  <c r="S86" i="17" s="1"/>
  <c r="AZ86" i="17" a="1"/>
  <c r="AZ86" i="17" s="1"/>
  <c r="T86" i="17" s="1"/>
  <c r="BP86" i="17" a="1"/>
  <c r="BP86" i="17" s="1"/>
  <c r="AV86" i="17" a="1"/>
  <c r="AV86" i="17" s="1"/>
  <c r="AY86" i="17" a="1"/>
  <c r="AY86" i="17" s="1"/>
  <c r="BO86" i="17" a="1"/>
  <c r="BO86" i="17" s="1"/>
  <c r="AU86" i="17" a="1"/>
  <c r="AU86" i="17" s="1"/>
  <c r="AX86" i="17" a="1"/>
  <c r="AX86" i="17" s="1"/>
  <c r="BM86" i="17" a="1"/>
  <c r="BM86" i="17" s="1"/>
  <c r="AT86" i="17" a="1"/>
  <c r="AT86" i="17" s="1"/>
  <c r="R86" i="17" s="1"/>
  <c r="AL86" i="17" a="1"/>
  <c r="AL86" i="17" s="1"/>
  <c r="BJ86" i="17" a="1"/>
  <c r="BJ86" i="17" s="1"/>
  <c r="BL86" i="17" a="1"/>
  <c r="BL86" i="17" s="1"/>
  <c r="X86" i="17" s="1"/>
  <c r="AS86" i="17" a="1"/>
  <c r="AS86" i="17" s="1"/>
  <c r="AK86" i="17" a="1"/>
  <c r="AK86" i="17" s="1"/>
  <c r="O86" i="17" s="1"/>
  <c r="BK86" i="17" a="1"/>
  <c r="BK86" i="17" s="1"/>
  <c r="AR86" i="17" a="1"/>
  <c r="AR86" i="17" s="1"/>
  <c r="AJ86" i="17" a="1"/>
  <c r="AJ86" i="17" s="1"/>
  <c r="AQ86" i="17" a="1"/>
  <c r="AQ86" i="17" s="1"/>
  <c r="BI86" i="17" a="1"/>
  <c r="BI86" i="17" s="1"/>
  <c r="W86" i="17" s="1"/>
  <c r="AP86" i="17" a="1"/>
  <c r="AP86" i="17" s="1"/>
  <c r="AH86" i="17" a="1"/>
  <c r="AH86" i="17" s="1"/>
  <c r="N86" i="17" s="1"/>
  <c r="BH86" i="17" a="1"/>
  <c r="BH86" i="17" s="1"/>
  <c r="AO86" i="17" a="1"/>
  <c r="AO86" i="17" s="1"/>
  <c r="AF86" i="17" a="1"/>
  <c r="AF86" i="17" s="1"/>
  <c r="BG86" i="17" a="1"/>
  <c r="BG86" i="17" s="1"/>
  <c r="AN86" i="17" a="1"/>
  <c r="AN86" i="17" s="1"/>
  <c r="P86" i="17" s="1"/>
  <c r="BN86" i="17" a="1"/>
  <c r="BN86" i="17" s="1"/>
  <c r="BF86" i="17" a="1"/>
  <c r="BF86" i="17" s="1"/>
  <c r="V86" i="17" s="1"/>
  <c r="AM86" i="17" a="1"/>
  <c r="AM86" i="17" s="1"/>
  <c r="BE86" i="17" a="1"/>
  <c r="BE86" i="17" s="1"/>
  <c r="AG86" i="17" a="1"/>
  <c r="AG86" i="17" s="1"/>
  <c r="BD86" i="17" a="1"/>
  <c r="BD86" i="17" s="1"/>
  <c r="BT86" i="17" a="1"/>
  <c r="BT86" i="17" s="1"/>
  <c r="BC86" i="17" a="1"/>
  <c r="BC86" i="17" s="1"/>
  <c r="BS86" i="17" a="1"/>
  <c r="BS86" i="17" s="1"/>
  <c r="AI86" i="17" a="1"/>
  <c r="AI86" i="17" s="1"/>
  <c r="BB86" i="17" a="1"/>
  <c r="BB86" i="17" s="1"/>
  <c r="BR86" i="17" a="1"/>
  <c r="BR86" i="17" s="1"/>
  <c r="Z86" i="17" s="1"/>
  <c r="BV86" i="17" a="1"/>
  <c r="BV86" i="17" s="1"/>
  <c r="BA86" i="17" a="1"/>
  <c r="BA86" i="17" s="1"/>
  <c r="BQ86" i="17" a="1"/>
  <c r="BQ86" i="17" s="1"/>
  <c r="BW86" i="17" a="1"/>
  <c r="BW86" i="17" s="1"/>
  <c r="BX86" i="17" a="1"/>
  <c r="BX86" i="17" s="1"/>
  <c r="AB86" i="17" s="1"/>
  <c r="CF110" i="20"/>
  <c r="CF109" i="20" a="1"/>
  <c r="CF109" i="20" s="1"/>
  <c r="CF111" i="20" a="1"/>
  <c r="CF111" i="20" s="1"/>
  <c r="CG90" i="20"/>
  <c r="BD134" i="13" s="1"/>
  <c r="CG108" i="20"/>
  <c r="BY86" i="17" a="1"/>
  <c r="BY86" i="17" s="1"/>
  <c r="BW72" i="16"/>
  <c r="CG107" i="20"/>
  <c r="BU42" i="17"/>
  <c r="CG76" i="20"/>
  <c r="BD122" i="13" s="1"/>
  <c r="CG77" i="20"/>
  <c r="BD123" i="13" s="1"/>
  <c r="CG91" i="20"/>
  <c r="BD135" i="13" s="1"/>
  <c r="CD89" i="20"/>
  <c r="CC114" i="20"/>
  <c r="CI52" i="20"/>
  <c r="CD75" i="20"/>
  <c r="CF96" i="20"/>
  <c r="CF60" i="20"/>
  <c r="BY182" i="17"/>
  <c r="BW44" i="22"/>
  <c r="BW74" i="22"/>
  <c r="BW37" i="22"/>
  <c r="BW36" i="22"/>
  <c r="BW48" i="22"/>
  <c r="BW54" i="22"/>
  <c r="BW58" i="22"/>
  <c r="BW65" i="22"/>
  <c r="BW73" i="22"/>
  <c r="BW39" i="22"/>
  <c r="BW46" i="22"/>
  <c r="BW35" i="22"/>
  <c r="BW47" i="22"/>
  <c r="BW49" i="22"/>
  <c r="BW56" i="22"/>
  <c r="BW61" i="22"/>
  <c r="BW60" i="22"/>
  <c r="BW66" i="22"/>
  <c r="BW75" i="22"/>
  <c r="BW40" i="22"/>
  <c r="BW41" i="22"/>
  <c r="BW52" i="22"/>
  <c r="BW62" i="22"/>
  <c r="BW38" i="22"/>
  <c r="BW76" i="22"/>
  <c r="BW68" i="22"/>
  <c r="BW64" i="22"/>
  <c r="BW59" i="22"/>
  <c r="BW55" i="22"/>
  <c r="BW50" i="22"/>
  <c r="BW72" i="22"/>
  <c r="BW79" i="22"/>
  <c r="BW42" i="22"/>
  <c r="BW71" i="22"/>
  <c r="BW43" i="22"/>
  <c r="BW45" i="22"/>
  <c r="BW53" i="22"/>
  <c r="BW63" i="22"/>
  <c r="BW77" i="22"/>
  <c r="BW67" i="22"/>
  <c r="BW57" i="22"/>
  <c r="BW51" i="22"/>
  <c r="BW96" i="22"/>
  <c r="BW111" i="22"/>
  <c r="BW103" i="22"/>
  <c r="BW120" i="22"/>
  <c r="BW102" i="22"/>
  <c r="BW110" i="22"/>
  <c r="BW89" i="22"/>
  <c r="BW117" i="22"/>
  <c r="BW86" i="22"/>
  <c r="BW95" i="22"/>
  <c r="BW88" i="22"/>
  <c r="BW100" i="22"/>
  <c r="BW105" i="22"/>
  <c r="BW109" i="22"/>
  <c r="BW115" i="22"/>
  <c r="BW112" i="22"/>
  <c r="BW107" i="22"/>
  <c r="BW104" i="22"/>
  <c r="BW92" i="22"/>
  <c r="BW91" i="22"/>
  <c r="BW114" i="22"/>
  <c r="BW118" i="22"/>
  <c r="BW93" i="22"/>
  <c r="BW99" i="22"/>
  <c r="BW119" i="22"/>
  <c r="BW87" i="22"/>
  <c r="BW98" i="22"/>
  <c r="BW101" i="22"/>
  <c r="BW94" i="22"/>
  <c r="BW97" i="22"/>
  <c r="BW90" i="22"/>
  <c r="BW116" i="22"/>
  <c r="BW113" i="22"/>
  <c r="BW108" i="22"/>
  <c r="BW106" i="22"/>
  <c r="BY5" i="22"/>
  <c r="BX3" i="22"/>
  <c r="BX7" i="22"/>
  <c r="BX8" i="22"/>
  <c r="BX6" i="22"/>
  <c r="BX4" i="22"/>
  <c r="BW78" i="22"/>
  <c r="BV120" i="16"/>
  <c r="BW120" i="16"/>
  <c r="BW80" i="22"/>
  <c r="BV80" i="22"/>
  <c r="BU80" i="22"/>
  <c r="BT80" i="22"/>
  <c r="BS80" i="22"/>
  <c r="BR80" i="22"/>
  <c r="BQ80" i="22"/>
  <c r="BP80" i="22"/>
  <c r="BO80" i="22"/>
  <c r="BN80" i="22"/>
  <c r="BM80" i="22"/>
  <c r="BL80" i="22"/>
  <c r="BK80" i="22"/>
  <c r="BJ80" i="22"/>
  <c r="BI80" i="22"/>
  <c r="BH80" i="22"/>
  <c r="BG80" i="22"/>
  <c r="BF80" i="22"/>
  <c r="BE80" i="22"/>
  <c r="BD80" i="22"/>
  <c r="BC80" i="22"/>
  <c r="BB80" i="22"/>
  <c r="BA80" i="22"/>
  <c r="AZ80" i="22"/>
  <c r="AY80" i="22"/>
  <c r="AX80" i="22"/>
  <c r="AW80" i="22"/>
  <c r="AV80" i="22"/>
  <c r="AU80" i="22"/>
  <c r="AT80" i="22"/>
  <c r="AS80" i="22"/>
  <c r="AR80" i="22"/>
  <c r="AQ80" i="22"/>
  <c r="AP80" i="22"/>
  <c r="AO80" i="22"/>
  <c r="AN80" i="22"/>
  <c r="AM80" i="22"/>
  <c r="AL80" i="22"/>
  <c r="AK80" i="22"/>
  <c r="AJ80" i="22"/>
  <c r="AI80" i="22"/>
  <c r="AH80" i="22"/>
  <c r="D81" i="22"/>
  <c r="E81" i="22" s="1" a="1"/>
  <c r="E81" i="22" s="1"/>
  <c r="AG80" i="22"/>
  <c r="AF80" i="22"/>
  <c r="AE80"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D132" i="22"/>
  <c r="AG131" i="22"/>
  <c r="AF131" i="22"/>
  <c r="AE131" i="22"/>
  <c r="BC122" i="16"/>
  <c r="BB122" i="16"/>
  <c r="AZ122" i="16"/>
  <c r="AS122" i="16"/>
  <c r="AR122" i="16"/>
  <c r="AQ122" i="16"/>
  <c r="AP122" i="16"/>
  <c r="AO122" i="16"/>
  <c r="AN122" i="16"/>
  <c r="AM122" i="16"/>
  <c r="AL122" i="16"/>
  <c r="AK122" i="16"/>
  <c r="AJ122" i="16"/>
  <c r="AI122" i="16"/>
  <c r="AH122" i="16"/>
  <c r="AG122" i="16"/>
  <c r="AF122" i="16"/>
  <c r="AV122" i="16"/>
  <c r="AW122" i="16"/>
  <c r="AX122" i="16"/>
  <c r="AY122" i="16"/>
  <c r="AT122" i="16"/>
  <c r="BA122" i="16"/>
  <c r="AU122" i="16"/>
  <c r="CJ54" i="20"/>
  <c r="CG64" i="20"/>
  <c r="BD112" i="13" s="1"/>
  <c r="CG63" i="20"/>
  <c r="BD111" i="13" s="1"/>
  <c r="CG62" i="20"/>
  <c r="CG65" i="20"/>
  <c r="BD113" i="13" s="1"/>
  <c r="CG99" i="20"/>
  <c r="BD142" i="13" s="1"/>
  <c r="CG100" i="20"/>
  <c r="BD143" i="13" s="1"/>
  <c r="CG101" i="20"/>
  <c r="BD144" i="13" s="1"/>
  <c r="CH102" i="20"/>
  <c r="BE145" i="13" s="1"/>
  <c r="CH88" i="20"/>
  <c r="BE133" i="13" s="1"/>
  <c r="CH95" i="20"/>
  <c r="BE139" i="13" s="1"/>
  <c r="CH81" i="20"/>
  <c r="BE127" i="13" s="1"/>
  <c r="CJ57" i="20"/>
  <c r="CJ97" i="20" s="1"/>
  <c r="BG140" i="13" s="1"/>
  <c r="CJ56" i="20"/>
  <c r="CJ55" i="20"/>
  <c r="CE106" i="20"/>
  <c r="CE68" i="20"/>
  <c r="CG61" i="20"/>
  <c r="BD109" i="13" s="1"/>
  <c r="CG69" i="20"/>
  <c r="CG10" i="20"/>
  <c r="CG70" i="20"/>
  <c r="BD117" i="13" s="1"/>
  <c r="CH25" i="20"/>
  <c r="CH18" i="20"/>
  <c r="CH17" i="20"/>
  <c r="CH14" i="20"/>
  <c r="CH74" i="20"/>
  <c r="BE121" i="13" s="1"/>
  <c r="CH35" i="20"/>
  <c r="CH21" i="20"/>
  <c r="CH13" i="20"/>
  <c r="CH19" i="20"/>
  <c r="CH26" i="20"/>
  <c r="CH15" i="20"/>
  <c r="CH32" i="20"/>
  <c r="CH34" i="20"/>
  <c r="CH20" i="20"/>
  <c r="CH11" i="20"/>
  <c r="CH24" i="20"/>
  <c r="CH28" i="20"/>
  <c r="CH22" i="20"/>
  <c r="CH16" i="20"/>
  <c r="CH33" i="20"/>
  <c r="CH29" i="20"/>
  <c r="CH31" i="20"/>
  <c r="CH27" i="20"/>
  <c r="CH23" i="20"/>
  <c r="CH12" i="20"/>
  <c r="CH30" i="20"/>
  <c r="CJ5" i="20"/>
  <c r="CI4" i="20"/>
  <c r="CI6" i="20"/>
  <c r="CI7" i="20"/>
  <c r="CI8" i="20"/>
  <c r="CI112" i="20" s="1"/>
  <c r="CI3" i="20"/>
  <c r="CF115" i="20"/>
  <c r="CF72" i="20"/>
  <c r="CF71" i="20"/>
  <c r="CF73" i="20"/>
  <c r="BW122" i="16"/>
  <c r="BV122" i="16"/>
  <c r="BU122" i="16"/>
  <c r="BT122" i="16"/>
  <c r="BS122" i="16"/>
  <c r="BR122" i="16"/>
  <c r="BQ122" i="16"/>
  <c r="BP122" i="16"/>
  <c r="BO122" i="16"/>
  <c r="BN122" i="16"/>
  <c r="BM122" i="16"/>
  <c r="BL122" i="16"/>
  <c r="BK122" i="16"/>
  <c r="BJ122" i="16"/>
  <c r="BI122" i="16"/>
  <c r="BH122" i="16"/>
  <c r="BG122" i="16"/>
  <c r="BF122" i="16"/>
  <c r="BE122" i="16"/>
  <c r="BD122" i="16"/>
  <c r="BV70" i="15"/>
  <c r="BW70" i="15"/>
  <c r="CK53" i="20"/>
  <c r="BX182" i="17"/>
  <c r="BW182" i="17"/>
  <c r="BV182" i="17"/>
  <c r="BU182" i="17"/>
  <c r="BT182" i="17"/>
  <c r="BS182" i="17"/>
  <c r="BR182" i="17"/>
  <c r="BQ182" i="17"/>
  <c r="BP182" i="17"/>
  <c r="BO182" i="17"/>
  <c r="BN182" i="17"/>
  <c r="BM182" i="17"/>
  <c r="BL182" i="17"/>
  <c r="BK182" i="17"/>
  <c r="BJ182" i="17"/>
  <c r="BI182" i="17"/>
  <c r="BH182" i="17"/>
  <c r="BG182" i="17"/>
  <c r="BF182" i="17"/>
  <c r="BE182" i="17"/>
  <c r="BD182" i="17"/>
  <c r="BC182" i="17"/>
  <c r="BB182" i="17"/>
  <c r="BA182" i="17"/>
  <c r="AZ182" i="17"/>
  <c r="AY182" i="17"/>
  <c r="AX182" i="17"/>
  <c r="AW182" i="17"/>
  <c r="AV182" i="17"/>
  <c r="AU182" i="17"/>
  <c r="AT182" i="17"/>
  <c r="AS182" i="17"/>
  <c r="AG182" i="17"/>
  <c r="AR182" i="17"/>
  <c r="AQ182" i="17"/>
  <c r="AP182" i="17"/>
  <c r="AO182" i="17"/>
  <c r="AN182" i="17"/>
  <c r="AM182" i="17"/>
  <c r="AL182" i="17"/>
  <c r="AK182" i="17"/>
  <c r="AJ182" i="17"/>
  <c r="AI182" i="17"/>
  <c r="AH182" i="17"/>
  <c r="AF182" i="17"/>
  <c r="D183" i="17"/>
  <c r="D92" i="17"/>
  <c r="BZ80" i="17" a="1"/>
  <c r="BZ80" i="17" s="1"/>
  <c r="BZ81" i="17" a="1"/>
  <c r="BZ81" i="17" s="1"/>
  <c r="BZ82" i="17" a="1"/>
  <c r="BZ82" i="17" s="1"/>
  <c r="BZ83" i="17" a="1"/>
  <c r="BZ83" i="17" s="1"/>
  <c r="BZ84" i="17" a="1"/>
  <c r="BZ84" i="17" s="1"/>
  <c r="BZ85" i="17" a="1"/>
  <c r="BZ85" i="17" s="1"/>
  <c r="BZ86" i="17" a="1"/>
  <c r="BZ86" i="17" s="1"/>
  <c r="CA6" i="17"/>
  <c r="CA8" i="17"/>
  <c r="CA7" i="17"/>
  <c r="CA3" i="17"/>
  <c r="CA4" i="17"/>
  <c r="BZ79" i="17" a="1"/>
  <c r="BZ79" i="17" s="1"/>
  <c r="BZ170" i="17"/>
  <c r="BZ78" i="17" a="1"/>
  <c r="BZ78" i="17" s="1"/>
  <c r="BZ77" i="17" a="1"/>
  <c r="BZ77" i="17" s="1"/>
  <c r="BZ169" i="17"/>
  <c r="BZ168" i="17"/>
  <c r="BZ158" i="17"/>
  <c r="BZ164" i="17"/>
  <c r="BZ67" i="17" a="1"/>
  <c r="BZ67" i="17" s="1"/>
  <c r="BZ159" i="17"/>
  <c r="BZ68" i="17" a="1"/>
  <c r="BZ68" i="17" s="1"/>
  <c r="BZ70" i="17" a="1"/>
  <c r="BZ70" i="17" s="1"/>
  <c r="BZ162" i="17"/>
  <c r="BZ163" i="17"/>
  <c r="BZ72" i="17" a="1"/>
  <c r="BZ72" i="17" s="1"/>
  <c r="BZ73" i="17" a="1"/>
  <c r="BZ73" i="17" s="1"/>
  <c r="BZ165" i="17"/>
  <c r="BZ74" i="17" a="1"/>
  <c r="BZ74" i="17" s="1"/>
  <c r="BZ166" i="17"/>
  <c r="BZ76" i="17" a="1"/>
  <c r="BZ76" i="17" s="1"/>
  <c r="BZ75" i="17" a="1"/>
  <c r="BZ75" i="17" s="1"/>
  <c r="BZ136" i="17"/>
  <c r="BZ137" i="17"/>
  <c r="BZ45" i="17" a="1"/>
  <c r="BZ45" i="17" s="1"/>
  <c r="BZ138" i="17"/>
  <c r="BZ46" i="17" a="1"/>
  <c r="BZ46" i="17" s="1"/>
  <c r="BZ47" i="17" a="1"/>
  <c r="BZ47" i="17" s="1"/>
  <c r="BZ139" i="17"/>
  <c r="BZ48" i="17" a="1"/>
  <c r="BZ48" i="17" s="1"/>
  <c r="BZ140" i="17"/>
  <c r="BZ141" i="17"/>
  <c r="BZ49" i="17" a="1"/>
  <c r="BZ49" i="17" s="1"/>
  <c r="BZ50" i="17" a="1"/>
  <c r="BZ50" i="17" s="1"/>
  <c r="BZ142" i="17"/>
  <c r="BZ143" i="17"/>
  <c r="BZ51" i="17" a="1"/>
  <c r="BZ51" i="17" s="1"/>
  <c r="BZ52" i="17" a="1"/>
  <c r="BZ52" i="17" s="1"/>
  <c r="BZ144" i="17"/>
  <c r="BZ53" i="17" a="1"/>
  <c r="BZ53" i="17" s="1"/>
  <c r="BZ145" i="17"/>
  <c r="BZ146" i="17"/>
  <c r="BZ54" i="17" a="1"/>
  <c r="BZ54" i="17" s="1"/>
  <c r="BZ147" i="17"/>
  <c r="BZ55" i="17" a="1"/>
  <c r="BZ55" i="17" s="1"/>
  <c r="BZ56" i="17" a="1"/>
  <c r="BZ56" i="17" s="1"/>
  <c r="BZ148" i="17"/>
  <c r="BZ149" i="17"/>
  <c r="BZ57" i="17" a="1"/>
  <c r="BZ57" i="17" s="1"/>
  <c r="BZ58" i="17" a="1"/>
  <c r="BZ58" i="17" s="1"/>
  <c r="BZ150" i="17"/>
  <c r="BZ59" i="17" a="1"/>
  <c r="BZ59" i="17" s="1"/>
  <c r="BZ151" i="17"/>
  <c r="BZ152" i="17"/>
  <c r="BZ60" i="17" a="1"/>
  <c r="BZ60" i="17" s="1"/>
  <c r="BZ61" i="17" a="1"/>
  <c r="BZ61" i="17" s="1"/>
  <c r="BZ153" i="17"/>
  <c r="BZ62" i="17" a="1"/>
  <c r="BZ62" i="17" s="1"/>
  <c r="BZ154" i="17"/>
  <c r="BZ63" i="17" a="1"/>
  <c r="BZ63" i="17" s="1"/>
  <c r="BZ155" i="17"/>
  <c r="BZ64" i="17" a="1"/>
  <c r="BZ64" i="17" s="1"/>
  <c r="BZ156" i="17"/>
  <c r="BZ65" i="17" a="1"/>
  <c r="BZ65" i="17" s="1"/>
  <c r="BZ157" i="17"/>
  <c r="BZ66" i="17" a="1"/>
  <c r="BZ66" i="17" s="1"/>
  <c r="BZ160" i="17"/>
  <c r="BZ69" i="17" a="1"/>
  <c r="BZ69" i="17" s="1"/>
  <c r="BZ161" i="17"/>
  <c r="BZ71" i="17" a="1"/>
  <c r="BZ71" i="17" s="1"/>
  <c r="BZ167" i="17"/>
  <c r="AB57" i="17"/>
  <c r="AB52" i="17"/>
  <c r="AB53" i="17"/>
  <c r="AB50" i="17"/>
  <c r="AB56" i="17"/>
  <c r="AB47" i="17"/>
  <c r="AB55" i="17"/>
  <c r="AB51" i="17"/>
  <c r="AB46" i="17"/>
  <c r="AB45" i="17"/>
  <c r="AB48" i="17"/>
  <c r="AB49" i="17"/>
  <c r="AB54" i="17"/>
  <c r="AA48" i="17"/>
  <c r="AA51" i="17"/>
  <c r="AA55" i="17"/>
  <c r="AA54" i="17"/>
  <c r="AA52" i="17"/>
  <c r="AA56" i="17"/>
  <c r="AA46" i="17"/>
  <c r="AA49" i="17"/>
  <c r="AA47" i="17"/>
  <c r="AA50" i="17"/>
  <c r="AA53" i="17"/>
  <c r="AA45" i="17"/>
  <c r="Y55" i="17"/>
  <c r="Z47" i="17"/>
  <c r="Z50" i="17"/>
  <c r="Z48" i="17"/>
  <c r="Z51" i="17"/>
  <c r="Z52" i="17"/>
  <c r="Z54" i="17"/>
  <c r="J55" i="17"/>
  <c r="Z46" i="17"/>
  <c r="Z49" i="17"/>
  <c r="Y56" i="17"/>
  <c r="Z45" i="17"/>
  <c r="Z55" i="17"/>
  <c r="Z53" i="17"/>
  <c r="J56" i="17"/>
  <c r="Z42" i="17"/>
  <c r="Y49" i="17"/>
  <c r="Y46" i="17"/>
  <c r="Y42" i="17"/>
  <c r="Y52" i="17"/>
  <c r="Y48" i="17"/>
  <c r="Y54" i="17"/>
  <c r="Y50" i="17"/>
  <c r="Y47" i="17"/>
  <c r="Y51" i="17"/>
  <c r="Y53" i="17"/>
  <c r="Y45" i="17"/>
  <c r="X53" i="17"/>
  <c r="X49" i="17"/>
  <c r="X48" i="17"/>
  <c r="X45" i="17"/>
  <c r="X42" i="17"/>
  <c r="X47" i="17"/>
  <c r="X51" i="17"/>
  <c r="X46" i="17"/>
  <c r="X50" i="17"/>
  <c r="X52" i="17"/>
  <c r="W50" i="17"/>
  <c r="W48" i="17"/>
  <c r="W52" i="17"/>
  <c r="J48" i="17"/>
  <c r="J45" i="17"/>
  <c r="J42" i="17"/>
  <c r="J46" i="17"/>
  <c r="BW122" i="15"/>
  <c r="BU122" i="15"/>
  <c r="BS122" i="15"/>
  <c r="BQ122" i="15"/>
  <c r="BO122" i="15"/>
  <c r="BM122" i="15"/>
  <c r="BK122" i="15"/>
  <c r="BH122" i="15"/>
  <c r="BF122" i="15"/>
  <c r="BD122" i="15"/>
  <c r="BB122" i="15"/>
  <c r="AZ122" i="15"/>
  <c r="AX122" i="15"/>
  <c r="AV122" i="15"/>
  <c r="AT122" i="15"/>
  <c r="AR122" i="15"/>
  <c r="AP122" i="15"/>
  <c r="AN122" i="15"/>
  <c r="AL122" i="15"/>
  <c r="BV122" i="15"/>
  <c r="BT122" i="15"/>
  <c r="BR122" i="15"/>
  <c r="BP122" i="15"/>
  <c r="BN122" i="15"/>
  <c r="BL122" i="15"/>
  <c r="BJ122" i="15"/>
  <c r="BI122" i="15"/>
  <c r="BG122" i="15"/>
  <c r="BE122" i="15"/>
  <c r="BC122" i="15"/>
  <c r="BA122" i="15"/>
  <c r="AY122" i="15"/>
  <c r="AW122" i="15"/>
  <c r="AU122" i="15"/>
  <c r="AS122" i="15"/>
  <c r="AQ122" i="15"/>
  <c r="AO122" i="15"/>
  <c r="AM122" i="15"/>
  <c r="BX11" i="16"/>
  <c r="BX15" i="16"/>
  <c r="BX14" i="16" s="1"/>
  <c r="CA16" i="16" s="1"/>
  <c r="BX19" i="16"/>
  <c r="BX18" i="16" s="1"/>
  <c r="BU72" i="16"/>
  <c r="BV72" i="16"/>
  <c r="BX120" i="16"/>
  <c r="BS72" i="16"/>
  <c r="BX107" i="16"/>
  <c r="BX111" i="16"/>
  <c r="BX113" i="16"/>
  <c r="BX115" i="16"/>
  <c r="BX117" i="16"/>
  <c r="BX108" i="16"/>
  <c r="BX109" i="16"/>
  <c r="BX119" i="16"/>
  <c r="BX118" i="16"/>
  <c r="BX58" i="16"/>
  <c r="BX55" i="16"/>
  <c r="BX54" i="16"/>
  <c r="BX85" i="16"/>
  <c r="BX83" i="16"/>
  <c r="BX82" i="16"/>
  <c r="BX47" i="16"/>
  <c r="BX79" i="16"/>
  <c r="BX44" i="16"/>
  <c r="BX39" i="16"/>
  <c r="BX37" i="16"/>
  <c r="BX34" i="16"/>
  <c r="BX78" i="16"/>
  <c r="BX94" i="16"/>
  <c r="BX60" i="16"/>
  <c r="BX61" i="16"/>
  <c r="BX95" i="16"/>
  <c r="BX59" i="16"/>
  <c r="BX89" i="16"/>
  <c r="BX88" i="16"/>
  <c r="BX51" i="16"/>
  <c r="BX49" i="16"/>
  <c r="BX81" i="16"/>
  <c r="BX46" i="16"/>
  <c r="BX28" i="16"/>
  <c r="BX32" i="16"/>
  <c r="BX35" i="16"/>
  <c r="BX93" i="16"/>
  <c r="BX92" i="16"/>
  <c r="BX91" i="16"/>
  <c r="BX57" i="16"/>
  <c r="BX56" i="16"/>
  <c r="BX90" i="16"/>
  <c r="BX87" i="16"/>
  <c r="BX53" i="16"/>
  <c r="BX86" i="16"/>
  <c r="BX52" i="16"/>
  <c r="BX84" i="16"/>
  <c r="BX50" i="16"/>
  <c r="BX48" i="16"/>
  <c r="BX80" i="16"/>
  <c r="BX45" i="16"/>
  <c r="BX36" i="16"/>
  <c r="BX42" i="16"/>
  <c r="BX33" i="16"/>
  <c r="BX29" i="16"/>
  <c r="BX40" i="16"/>
  <c r="BX41" i="16"/>
  <c r="BX31" i="16"/>
  <c r="BX38" i="16"/>
  <c r="BX43" i="16"/>
  <c r="BX30" i="16"/>
  <c r="BX62" i="16"/>
  <c r="BX96" i="16"/>
  <c r="BX63" i="16"/>
  <c r="BX97" i="16"/>
  <c r="BX98" i="16"/>
  <c r="BX64" i="16"/>
  <c r="BX99" i="16"/>
  <c r="BX65" i="16"/>
  <c r="BX66" i="16"/>
  <c r="BX100" i="16"/>
  <c r="BX67" i="16"/>
  <c r="BX101" i="16"/>
  <c r="BX68" i="16"/>
  <c r="BX102" i="16"/>
  <c r="BX103" i="16"/>
  <c r="BX69" i="16"/>
  <c r="BX104" i="16"/>
  <c r="BX105" i="16"/>
  <c r="BX106" i="16"/>
  <c r="BX110" i="16"/>
  <c r="BX112" i="16"/>
  <c r="BX114" i="16"/>
  <c r="BX116" i="16"/>
  <c r="BY6" i="16"/>
  <c r="BY8" i="16"/>
  <c r="BY4" i="16"/>
  <c r="BY7" i="16"/>
  <c r="BY3" i="16"/>
  <c r="BZ5" i="16"/>
  <c r="E121" i="16" a="1"/>
  <c r="E121" i="16" s="1"/>
  <c r="BV120" i="15"/>
  <c r="BW120" i="15"/>
  <c r="AK122" i="15"/>
  <c r="AJ122" i="15"/>
  <c r="AI122" i="15"/>
  <c r="AH122" i="15"/>
  <c r="AG122" i="15"/>
  <c r="AF122" i="15"/>
  <c r="AS72" i="15"/>
  <c r="BH72" i="15"/>
  <c r="AR72" i="15"/>
  <c r="AO72" i="15"/>
  <c r="BW72" i="15"/>
  <c r="BS91" i="14"/>
  <c r="BQ91" i="14"/>
  <c r="AZ91" i="14"/>
  <c r="BH91" i="14"/>
  <c r="AG91" i="14"/>
  <c r="BP91" i="14"/>
  <c r="BN91" i="14"/>
  <c r="AT91" i="14"/>
  <c r="BD91" i="14"/>
  <c r="BO91" i="14"/>
  <c r="BA91" i="14"/>
  <c r="BK91" i="14"/>
  <c r="AX91" i="14"/>
  <c r="BG91" i="14"/>
  <c r="BU91" i="14"/>
  <c r="BI91" i="14"/>
  <c r="BT91" i="14"/>
  <c r="BM91" i="14"/>
  <c r="BE91" i="14"/>
  <c r="AY91" i="14"/>
  <c r="BJ91" i="14"/>
  <c r="AV91" i="14"/>
  <c r="BF91" i="14"/>
  <c r="AS91" i="14"/>
  <c r="BC91" i="14"/>
  <c r="BL91" i="14"/>
  <c r="AU91" i="14"/>
  <c r="AW91" i="14"/>
  <c r="AF91" i="14"/>
  <c r="BB91" i="14"/>
  <c r="BV91" i="14"/>
  <c r="BR91" i="14"/>
  <c r="AH91" i="14"/>
  <c r="E121" i="15" a="1"/>
  <c r="E121" i="15" s="1"/>
  <c r="E71" i="15" a="1"/>
  <c r="E71" i="15" s="1"/>
  <c r="BZ16" i="15"/>
  <c r="BX120" i="15"/>
  <c r="AF72" i="15"/>
  <c r="BK72" i="15"/>
  <c r="BS72" i="15"/>
  <c r="BC72" i="15"/>
  <c r="AT72" i="15"/>
  <c r="BB72" i="15"/>
  <c r="BM72" i="15"/>
  <c r="AY72" i="15"/>
  <c r="BO72" i="15"/>
  <c r="BP72" i="15"/>
  <c r="AN72" i="15"/>
  <c r="BX70" i="15"/>
  <c r="AH72" i="15"/>
  <c r="BN72" i="15"/>
  <c r="AK72" i="15"/>
  <c r="BL72" i="15"/>
  <c r="AX72" i="15"/>
  <c r="AI72" i="15"/>
  <c r="AV72" i="15"/>
  <c r="BD72" i="15"/>
  <c r="AM72" i="15"/>
  <c r="AG72" i="15"/>
  <c r="BU72" i="15"/>
  <c r="AL72" i="15"/>
  <c r="AJ72" i="15"/>
  <c r="BQ72" i="15"/>
  <c r="BE72" i="15"/>
  <c r="BA72" i="15"/>
  <c r="AU72" i="15"/>
  <c r="AQ72" i="15"/>
  <c r="AW72" i="15"/>
  <c r="BR72" i="15"/>
  <c r="BF72" i="15"/>
  <c r="BT72" i="15"/>
  <c r="AP72" i="15"/>
  <c r="BG72" i="15"/>
  <c r="BI72" i="15"/>
  <c r="BJ72" i="15"/>
  <c r="AZ72" i="15"/>
  <c r="BV72" i="15"/>
  <c r="BX119" i="15"/>
  <c r="BX118" i="15"/>
  <c r="BX117" i="15"/>
  <c r="BX116" i="15"/>
  <c r="BX115" i="15"/>
  <c r="BX114" i="15"/>
  <c r="BX113" i="15"/>
  <c r="BX69" i="15"/>
  <c r="BX112" i="15"/>
  <c r="BX68" i="15"/>
  <c r="BX67" i="15"/>
  <c r="BX111" i="15"/>
  <c r="BX66" i="15"/>
  <c r="BX110" i="15"/>
  <c r="BX65" i="15"/>
  <c r="BX109" i="15"/>
  <c r="BX64" i="15"/>
  <c r="BX108" i="15"/>
  <c r="BX63" i="15"/>
  <c r="BX107" i="15"/>
  <c r="BX62" i="15"/>
  <c r="BX106" i="15"/>
  <c r="BX61" i="15"/>
  <c r="BX105" i="15"/>
  <c r="BX60" i="15"/>
  <c r="BX104" i="15"/>
  <c r="BX59" i="15"/>
  <c r="BX58" i="15"/>
  <c r="BX103" i="15"/>
  <c r="BX102" i="15"/>
  <c r="BX57" i="15"/>
  <c r="BX101" i="15"/>
  <c r="BX56" i="15"/>
  <c r="BX100" i="15"/>
  <c r="BX55" i="15"/>
  <c r="BX54" i="15"/>
  <c r="BX99" i="15"/>
  <c r="BX98" i="15"/>
  <c r="BX53" i="15"/>
  <c r="BX97" i="15"/>
  <c r="BX52" i="15"/>
  <c r="BX51" i="15"/>
  <c r="BX96" i="15"/>
  <c r="BX95" i="15"/>
  <c r="BX50" i="15"/>
  <c r="BX94" i="15"/>
  <c r="BX49" i="15"/>
  <c r="BX93" i="15"/>
  <c r="BX48" i="15"/>
  <c r="BX92" i="15"/>
  <c r="BX47" i="15"/>
  <c r="BX91" i="15"/>
  <c r="BX46" i="15"/>
  <c r="BX90" i="15"/>
  <c r="BX45" i="15"/>
  <c r="BX89" i="15"/>
  <c r="BX44" i="15"/>
  <c r="BX88" i="15"/>
  <c r="BX43" i="15"/>
  <c r="BX87" i="15"/>
  <c r="BX42" i="15"/>
  <c r="BX41" i="15"/>
  <c r="BX86" i="15"/>
  <c r="BX85" i="15"/>
  <c r="BX40" i="15"/>
  <c r="BX84" i="15"/>
  <c r="BX39" i="15"/>
  <c r="BX83" i="15"/>
  <c r="BX38" i="15"/>
  <c r="BX37" i="15"/>
  <c r="BX82" i="15"/>
  <c r="BX81" i="15"/>
  <c r="BX36" i="15"/>
  <c r="BX80" i="15"/>
  <c r="BX35" i="15"/>
  <c r="BX79" i="15"/>
  <c r="BX34" i="15"/>
  <c r="BX15" i="15" a="1"/>
  <c r="BX15" i="15" s="1"/>
  <c r="BX14" i="15" s="1"/>
  <c r="BX29" i="15"/>
  <c r="BX30" i="15"/>
  <c r="BX31" i="15"/>
  <c r="BX32" i="15"/>
  <c r="BX28" i="15"/>
  <c r="BX19" i="15" a="1"/>
  <c r="BX19" i="15" s="1"/>
  <c r="BX18" i="15" s="1"/>
  <c r="BX11" i="15" a="1"/>
  <c r="BX11" i="15" s="1"/>
  <c r="BX78" i="15"/>
  <c r="BX33" i="15"/>
  <c r="BY8" i="15"/>
  <c r="BY7" i="15"/>
  <c r="BY4" i="15"/>
  <c r="BY3" i="15"/>
  <c r="BY6" i="15"/>
  <c r="BZ5" i="15"/>
  <c r="BX49" i="14"/>
  <c r="BX50" i="14"/>
  <c r="BX53" i="14"/>
  <c r="BX55" i="14"/>
  <c r="BX57" i="14"/>
  <c r="BX60" i="14"/>
  <c r="BX63" i="14"/>
  <c r="BX65" i="14"/>
  <c r="BX67" i="14"/>
  <c r="BX75" i="14"/>
  <c r="BX47" i="14"/>
  <c r="BX52" i="14"/>
  <c r="BX54" i="14"/>
  <c r="BX59" i="14"/>
  <c r="BX61" i="14"/>
  <c r="BX64" i="14"/>
  <c r="BX58" i="14"/>
  <c r="BX68" i="14"/>
  <c r="BX69" i="14"/>
  <c r="BX72" i="14"/>
  <c r="BX73" i="14"/>
  <c r="BX76" i="14"/>
  <c r="BX77" i="14"/>
  <c r="BX78" i="14"/>
  <c r="BX56" i="14"/>
  <c r="BX66" i="14"/>
  <c r="BX70" i="14"/>
  <c r="BX74" i="14"/>
  <c r="BX48" i="14"/>
  <c r="BX51" i="14"/>
  <c r="BX62" i="14"/>
  <c r="BX71" i="14"/>
  <c r="BX79" i="14"/>
  <c r="BZ5" i="14"/>
  <c r="BY7" i="14"/>
  <c r="BY3" i="14"/>
  <c r="BY8" i="14"/>
  <c r="BY6" i="14"/>
  <c r="BY4" i="14"/>
  <c r="AP91" i="14"/>
  <c r="AN91" i="14"/>
  <c r="AI91" i="14"/>
  <c r="AK91" i="14"/>
  <c r="BW91" i="14"/>
  <c r="AR91" i="14"/>
  <c r="AO91" i="14"/>
  <c r="AJ91" i="14"/>
  <c r="AM91" i="14"/>
  <c r="AQ91" i="14"/>
  <c r="AL91" i="14"/>
  <c r="BB25" i="16"/>
  <c r="BC12" i="16"/>
  <c r="BB22" i="16"/>
  <c r="BB27" i="14" s="1"/>
  <c r="D124" i="16"/>
  <c r="BB22" i="15"/>
  <c r="BB25" i="14" s="1"/>
  <c r="BB25" i="15"/>
  <c r="BC12" i="15"/>
  <c r="D124" i="15"/>
  <c r="BW7" i="9"/>
  <c r="BW8" i="9"/>
  <c r="BW3" i="9"/>
  <c r="BX5" i="9"/>
  <c r="BW6" i="9"/>
  <c r="BW4" i="9"/>
  <c r="BW5" i="11"/>
  <c r="BV6" i="11"/>
  <c r="BV3" i="11"/>
  <c r="BV8" i="11"/>
  <c r="BV7" i="11"/>
  <c r="BV4" i="11"/>
  <c r="CI119" i="12" a="1"/>
  <c r="CI119" i="12" s="1"/>
  <c r="CI117" i="12" a="1"/>
  <c r="CI117" i="12" s="1"/>
  <c r="CI116" i="12" a="1"/>
  <c r="CI116" i="12" s="1"/>
  <c r="CI115" i="12" a="1"/>
  <c r="CI115" i="12" s="1"/>
  <c r="CI114" i="12" a="1"/>
  <c r="CI114" i="12" s="1"/>
  <c r="CI113" i="12" a="1"/>
  <c r="CI113" i="12" s="1"/>
  <c r="CI112" i="12" a="1"/>
  <c r="CI112" i="12" s="1"/>
  <c r="CI111" i="12" a="1"/>
  <c r="CI111" i="12" s="1"/>
  <c r="CI109" i="12" a="1"/>
  <c r="CI109" i="12" s="1"/>
  <c r="CI4" i="12"/>
  <c r="CI3" i="12"/>
  <c r="CI7" i="12"/>
  <c r="CI8" i="12"/>
  <c r="CJ5" i="12"/>
  <c r="CI6" i="12"/>
  <c r="BF3" i="13"/>
  <c r="BF7" i="13"/>
  <c r="BG5" i="13"/>
  <c r="BF4" i="13"/>
  <c r="BF8" i="13"/>
  <c r="BF6" i="13"/>
  <c r="BW3" i="10"/>
  <c r="BX5" i="10"/>
  <c r="BW4" i="10"/>
  <c r="BW8" i="10"/>
  <c r="BW7" i="10"/>
  <c r="BW6" i="10"/>
  <c r="CE48" i="8"/>
  <c r="CE51" i="8"/>
  <c r="CF49" i="8"/>
  <c r="CE50" i="8"/>
  <c r="CE52" i="8"/>
  <c r="CF7" i="8"/>
  <c r="CF15" i="8" s="1" a="1"/>
  <c r="CF15" i="8" s="1"/>
  <c r="CF73" i="8"/>
  <c r="CF47" i="8"/>
  <c r="CG8" i="8"/>
  <c r="CG94" i="8" s="1"/>
  <c r="CF6" i="8"/>
  <c r="CF11" i="8"/>
  <c r="CF10" i="8"/>
  <c r="CF9" i="8"/>
  <c r="CE74" i="8"/>
  <c r="CE78" i="8"/>
  <c r="CE77" i="8"/>
  <c r="CE76" i="8"/>
  <c r="CF75" i="8"/>
  <c r="AH87" i="17" l="1" a="1"/>
  <c r="AH87" i="17" s="1"/>
  <c r="N87" i="17" s="1"/>
  <c r="BV87" i="17" a="1"/>
  <c r="BV87" i="17" s="1"/>
  <c r="BM87" i="17" a="1"/>
  <c r="BM87" i="17" s="1"/>
  <c r="AO87" i="17" a="1"/>
  <c r="AO87" i="17" s="1"/>
  <c r="BR87" i="17" a="1"/>
  <c r="BR87" i="17" s="1"/>
  <c r="Z87" i="17" s="1"/>
  <c r="AZ87" i="17" a="1"/>
  <c r="AZ87" i="17" s="1"/>
  <c r="T87" i="17" s="1"/>
  <c r="BV42" i="17"/>
  <c r="AI87" i="17" a="1"/>
  <c r="AI87" i="17" s="1"/>
  <c r="AW87" i="17" a="1"/>
  <c r="AW87" i="17" s="1"/>
  <c r="S87" i="17" s="1"/>
  <c r="BN87" i="17" a="1"/>
  <c r="BN87" i="17" s="1"/>
  <c r="AS87" i="17" a="1"/>
  <c r="AS87" i="17" s="1"/>
  <c r="BJ87" i="17" a="1"/>
  <c r="BJ87" i="17" s="1"/>
  <c r="BO87" i="17" a="1"/>
  <c r="BO87" i="17" s="1"/>
  <c r="Y87" i="17" s="1"/>
  <c r="BE87" i="17" a="1"/>
  <c r="BE87" i="17" s="1"/>
  <c r="BA87" i="17" a="1"/>
  <c r="BA87" i="17" s="1"/>
  <c r="BL87" i="17" a="1"/>
  <c r="BL87" i="17" s="1"/>
  <c r="X87" i="17" s="1"/>
  <c r="BC120" i="13"/>
  <c r="BF87" i="17" a="1"/>
  <c r="BF87" i="17" s="1"/>
  <c r="V87" i="17" s="1"/>
  <c r="AK87" i="17" a="1"/>
  <c r="AK87" i="17" s="1"/>
  <c r="O87" i="17" s="1"/>
  <c r="CG86" i="20"/>
  <c r="BD131" i="13" s="1"/>
  <c r="BD128" i="13"/>
  <c r="BC118" i="13"/>
  <c r="BX87" i="17" a="1"/>
  <c r="BX87" i="17" s="1"/>
  <c r="AB87" i="17" s="1"/>
  <c r="BQ87" i="17" a="1"/>
  <c r="BQ87" i="17" s="1"/>
  <c r="AL87" i="17" a="1"/>
  <c r="AL87" i="17" s="1"/>
  <c r="AG87" i="17" a="1"/>
  <c r="AG87" i="17" s="1"/>
  <c r="BZ87" i="17" a="1"/>
  <c r="BZ87" i="17" s="1"/>
  <c r="BC119" i="13"/>
  <c r="AF87" i="17" a="1"/>
  <c r="AF87" i="17" s="1"/>
  <c r="BK87" i="17" a="1"/>
  <c r="BK87" i="17" s="1"/>
  <c r="BP87" i="17" a="1"/>
  <c r="BP87" i="17" s="1"/>
  <c r="AT87" i="17" a="1"/>
  <c r="AT87" i="17" s="1"/>
  <c r="R87" i="17" s="1"/>
  <c r="BG87" i="17" a="1"/>
  <c r="BG87" i="17" s="1"/>
  <c r="AM87" i="17" a="1"/>
  <c r="AM87" i="17" s="1"/>
  <c r="BB87" i="17" a="1"/>
  <c r="BB87" i="17" s="1"/>
  <c r="BS87" i="17" a="1"/>
  <c r="BS87" i="17" s="1"/>
  <c r="AP87" i="17" a="1"/>
  <c r="AP87" i="17" s="1"/>
  <c r="BW41" i="17"/>
  <c r="E88" i="17" s="1" a="1"/>
  <c r="E88" i="17" s="1"/>
  <c r="AZ88" i="17" s="1" a="1"/>
  <c r="AZ88" i="17" s="1"/>
  <c r="T88" i="17" s="1"/>
  <c r="BD110" i="13"/>
  <c r="BD108" i="13" s="1"/>
  <c r="BD116" i="13"/>
  <c r="CF42" i="12"/>
  <c r="BD60" i="13" s="1"/>
  <c r="AU87" i="17" a="1"/>
  <c r="AU87" i="17" s="1"/>
  <c r="BH87" i="17" a="1"/>
  <c r="BH87" i="17" s="1"/>
  <c r="AN87" i="17" a="1"/>
  <c r="AN87" i="17" s="1"/>
  <c r="P87" i="17" s="1"/>
  <c r="BC87" i="17" a="1"/>
  <c r="BC87" i="17" s="1"/>
  <c r="U87" i="17" s="1"/>
  <c r="BU87" i="17" a="1"/>
  <c r="BU87" i="17" s="1"/>
  <c r="AA87" i="17" s="1"/>
  <c r="AX87" i="17" a="1"/>
  <c r="AX87" i="17" s="1"/>
  <c r="AJ87" i="17" a="1"/>
  <c r="AJ87" i="17" s="1"/>
  <c r="BT87" i="17" a="1"/>
  <c r="BT87" i="17" s="1"/>
  <c r="AQ87" i="17" a="1"/>
  <c r="AQ87" i="17" s="1"/>
  <c r="Q87" i="17" s="1"/>
  <c r="AV87" i="17" a="1"/>
  <c r="AV87" i="17" s="1"/>
  <c r="BI87" i="17" a="1"/>
  <c r="BI87" i="17" s="1"/>
  <c r="W87" i="17" s="1"/>
  <c r="AY87" i="17" a="1"/>
  <c r="AY87" i="17" s="1"/>
  <c r="BD87" i="17" a="1"/>
  <c r="BD87" i="17" s="1"/>
  <c r="BW87" i="17" a="1"/>
  <c r="BW87" i="17" s="1"/>
  <c r="AR87" i="17" a="1"/>
  <c r="AR87" i="17" s="1"/>
  <c r="CF82" i="20"/>
  <c r="BX80" i="22"/>
  <c r="BX25" i="22"/>
  <c r="CG85" i="20"/>
  <c r="CG87" i="20"/>
  <c r="BD132" i="13" s="1"/>
  <c r="CA105" i="17"/>
  <c r="CA107" i="17" s="1"/>
  <c r="CA109" i="17" s="1"/>
  <c r="CA103" i="17" s="1"/>
  <c r="BZ107" i="17"/>
  <c r="BZ109" i="17" s="1"/>
  <c r="BZ103" i="17" s="1"/>
  <c r="CJ103" i="12"/>
  <c r="BH102" i="13" s="1"/>
  <c r="BG102" i="13"/>
  <c r="AA42" i="17"/>
  <c r="CH83" i="20"/>
  <c r="CH107" i="20"/>
  <c r="CH90" i="20"/>
  <c r="BE134" i="13" s="1"/>
  <c r="CH108" i="20"/>
  <c r="Q86" i="17"/>
  <c r="H86" i="17"/>
  <c r="CG110" i="20"/>
  <c r="CG111" i="20" a="1"/>
  <c r="CG111" i="20" s="1"/>
  <c r="CG109" i="20" a="1"/>
  <c r="CG109" i="20" s="1"/>
  <c r="CH76" i="20"/>
  <c r="BE122" i="13" s="1"/>
  <c r="CH77" i="20"/>
  <c r="BE123" i="13" s="1"/>
  <c r="CH91" i="20"/>
  <c r="BE135" i="13" s="1"/>
  <c r="CD114" i="20"/>
  <c r="CG96" i="20"/>
  <c r="CJ52" i="20"/>
  <c r="BX39" i="22"/>
  <c r="BX41" i="22"/>
  <c r="BX63" i="22"/>
  <c r="BX54" i="22"/>
  <c r="BX71" i="22"/>
  <c r="BX49" i="22"/>
  <c r="BX59" i="22"/>
  <c r="BX68" i="22"/>
  <c r="BX66" i="22"/>
  <c r="BX55" i="22"/>
  <c r="BX72" i="22"/>
  <c r="BX60" i="22"/>
  <c r="BX50" i="22"/>
  <c r="BX48" i="22"/>
  <c r="BX53" i="22"/>
  <c r="BX57" i="22"/>
  <c r="BX58" i="22"/>
  <c r="BX52" i="22"/>
  <c r="BX77" i="22"/>
  <c r="BX73" i="22"/>
  <c r="BX65" i="22"/>
  <c r="BX61" i="22"/>
  <c r="BX51" i="22"/>
  <c r="BX56" i="22"/>
  <c r="BX46" i="22"/>
  <c r="BX45" i="22"/>
  <c r="BX43" i="22"/>
  <c r="BX42" i="22"/>
  <c r="BX35" i="22"/>
  <c r="BX36" i="22"/>
  <c r="BX37" i="22"/>
  <c r="BX38" i="22"/>
  <c r="BX47" i="22"/>
  <c r="BX44" i="22"/>
  <c r="BX75" i="22"/>
  <c r="BX99" i="22"/>
  <c r="BX105" i="22"/>
  <c r="BX118" i="22"/>
  <c r="BX120" i="22"/>
  <c r="BX87" i="22"/>
  <c r="BX88" i="22"/>
  <c r="BX116" i="22"/>
  <c r="BX113" i="22"/>
  <c r="BX117" i="22"/>
  <c r="BX109" i="22"/>
  <c r="BX91" i="22"/>
  <c r="BX97" i="22"/>
  <c r="BX94" i="22"/>
  <c r="BX96" i="22"/>
  <c r="BX108" i="22"/>
  <c r="BX112" i="22"/>
  <c r="BX115" i="22"/>
  <c r="BX98" i="22"/>
  <c r="BX92" i="22"/>
  <c r="BX119" i="22"/>
  <c r="BX95" i="22"/>
  <c r="BX102" i="22"/>
  <c r="BX107" i="22"/>
  <c r="BX111" i="22"/>
  <c r="BX114" i="22"/>
  <c r="BX104" i="22"/>
  <c r="BX101" i="22"/>
  <c r="BX110" i="22"/>
  <c r="BX103" i="22"/>
  <c r="BX86" i="22"/>
  <c r="BX93" i="22"/>
  <c r="BX106" i="22"/>
  <c r="BX100" i="22"/>
  <c r="BX89" i="22"/>
  <c r="BX90" i="22"/>
  <c r="BY8" i="22"/>
  <c r="BY25" i="22" s="1"/>
  <c r="BY3" i="22"/>
  <c r="BZ5" i="22"/>
  <c r="AA76" i="22" s="1"/>
  <c r="BY6" i="22"/>
  <c r="BY7" i="22"/>
  <c r="BY4" i="22"/>
  <c r="BX79" i="22"/>
  <c r="BX62" i="22"/>
  <c r="BX67" i="22"/>
  <c r="BX74" i="22"/>
  <c r="BX78" i="22"/>
  <c r="BX40" i="22"/>
  <c r="BX76" i="22"/>
  <c r="BX64" i="22"/>
  <c r="BX81" i="22"/>
  <c r="BW81" i="22"/>
  <c r="BV81" i="22"/>
  <c r="BU81" i="22"/>
  <c r="BT81" i="22"/>
  <c r="BS81" i="22"/>
  <c r="BR81" i="22"/>
  <c r="BQ81" i="22"/>
  <c r="BP81" i="22"/>
  <c r="BO81" i="22"/>
  <c r="BN81" i="22"/>
  <c r="BM81" i="22"/>
  <c r="BL81" i="22"/>
  <c r="BK81" i="22"/>
  <c r="BJ81" i="22"/>
  <c r="BI81" i="22"/>
  <c r="BH81" i="22"/>
  <c r="BG81" i="22"/>
  <c r="BF81" i="22"/>
  <c r="BE81" i="22"/>
  <c r="BD81" i="22"/>
  <c r="BC81" i="22"/>
  <c r="BB81" i="22"/>
  <c r="BA81" i="22"/>
  <c r="AZ81" i="22"/>
  <c r="AY81" i="22"/>
  <c r="AX81" i="22"/>
  <c r="AW81" i="22"/>
  <c r="AV81" i="22"/>
  <c r="AU81" i="22"/>
  <c r="AT81" i="22"/>
  <c r="AS81" i="22"/>
  <c r="AR81" i="22"/>
  <c r="AQ81" i="22"/>
  <c r="AP81" i="22"/>
  <c r="AO81" i="22"/>
  <c r="AN81" i="22"/>
  <c r="AM81" i="22"/>
  <c r="AL81" i="22"/>
  <c r="AK81" i="22"/>
  <c r="AJ81" i="22"/>
  <c r="AI81" i="22"/>
  <c r="AH81" i="22"/>
  <c r="D82" i="22"/>
  <c r="E82" i="22" s="1" a="1"/>
  <c r="E82" i="22" s="1"/>
  <c r="AG81" i="22"/>
  <c r="AF81" i="22"/>
  <c r="AE81"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D133" i="22"/>
  <c r="AG132" i="22"/>
  <c r="AF132" i="22"/>
  <c r="AE132" i="22"/>
  <c r="R176" i="17"/>
  <c r="AZ92" i="14"/>
  <c r="AI92" i="14"/>
  <c r="BI92" i="14"/>
  <c r="BN92" i="14"/>
  <c r="BF92" i="14"/>
  <c r="AT92" i="14"/>
  <c r="AQ92" i="14"/>
  <c r="CK54" i="20"/>
  <c r="CG60" i="20"/>
  <c r="CH65" i="20"/>
  <c r="CH64" i="20"/>
  <c r="BE112" i="13" s="1"/>
  <c r="CH63" i="20"/>
  <c r="BE111" i="13" s="1"/>
  <c r="CH62" i="20"/>
  <c r="BE110" i="13" s="1"/>
  <c r="CE80" i="20"/>
  <c r="CE79" i="20"/>
  <c r="CE78" i="20"/>
  <c r="CE93" i="20"/>
  <c r="BB137" i="13" s="1"/>
  <c r="CE94" i="20"/>
  <c r="BB138" i="13" s="1"/>
  <c r="CE92" i="20"/>
  <c r="BB136" i="13" s="1"/>
  <c r="CH100" i="20"/>
  <c r="BE143" i="13" s="1"/>
  <c r="CH101" i="20"/>
  <c r="BE144" i="13" s="1"/>
  <c r="CH99" i="20"/>
  <c r="BE142" i="13" s="1"/>
  <c r="CF78" i="20"/>
  <c r="BC124" i="13" s="1"/>
  <c r="CF80" i="20"/>
  <c r="BC126" i="13" s="1"/>
  <c r="CF79" i="20"/>
  <c r="BC125" i="13" s="1"/>
  <c r="CF92" i="20"/>
  <c r="BC136" i="13" s="1"/>
  <c r="CF93" i="20"/>
  <c r="BC137" i="13" s="1"/>
  <c r="CF94" i="20"/>
  <c r="BC138" i="13" s="1"/>
  <c r="CI102" i="20"/>
  <c r="BF145" i="13" s="1"/>
  <c r="CI95" i="20"/>
  <c r="BF139" i="13" s="1"/>
  <c r="CI88" i="20"/>
  <c r="BF133" i="13" s="1"/>
  <c r="CI81" i="20"/>
  <c r="BF127" i="13" s="1"/>
  <c r="CK57" i="20"/>
  <c r="CK97" i="20" s="1"/>
  <c r="BH140" i="13" s="1"/>
  <c r="CK56" i="20"/>
  <c r="CK55" i="20"/>
  <c r="CF68" i="20"/>
  <c r="CF106" i="20"/>
  <c r="CG115" i="20"/>
  <c r="CG72" i="20"/>
  <c r="CG71" i="20"/>
  <c r="CG73" i="20"/>
  <c r="CH61" i="20"/>
  <c r="BE109" i="13" s="1"/>
  <c r="CH69" i="20"/>
  <c r="CH10" i="20"/>
  <c r="CH70" i="20"/>
  <c r="BE117" i="13" s="1"/>
  <c r="CJ7" i="20"/>
  <c r="CJ8" i="20"/>
  <c r="CJ112" i="20" s="1"/>
  <c r="CK5" i="20"/>
  <c r="CJ4" i="20"/>
  <c r="CJ3" i="20"/>
  <c r="CJ6" i="20"/>
  <c r="CI26" i="20"/>
  <c r="CI21" i="20"/>
  <c r="CI32" i="20"/>
  <c r="CI13" i="20"/>
  <c r="CI27" i="20"/>
  <c r="CI12" i="20"/>
  <c r="CI34" i="20"/>
  <c r="CI19" i="20"/>
  <c r="CI74" i="20"/>
  <c r="BF121" i="13" s="1"/>
  <c r="CI16" i="20"/>
  <c r="CI14" i="20"/>
  <c r="CI35" i="20"/>
  <c r="CI23" i="20"/>
  <c r="CI31" i="20"/>
  <c r="CI18" i="20"/>
  <c r="CI29" i="20"/>
  <c r="CI22" i="20"/>
  <c r="CI15" i="20"/>
  <c r="CI33" i="20"/>
  <c r="CI17" i="20"/>
  <c r="CI20" i="20"/>
  <c r="CI24" i="20"/>
  <c r="CI28" i="20"/>
  <c r="CI30" i="20"/>
  <c r="CI25" i="20"/>
  <c r="CI11" i="20"/>
  <c r="BZ183" i="17"/>
  <c r="Q182" i="17"/>
  <c r="P182" i="17"/>
  <c r="O182" i="17"/>
  <c r="S182" i="17"/>
  <c r="N181" i="17"/>
  <c r="O181" i="17"/>
  <c r="Q181" i="17"/>
  <c r="I181" i="17"/>
  <c r="AB181" i="17"/>
  <c r="Y181" i="17"/>
  <c r="X181" i="17"/>
  <c r="I180" i="17"/>
  <c r="R181" i="17"/>
  <c r="AA181" i="17"/>
  <c r="R180" i="17"/>
  <c r="H181" i="17"/>
  <c r="AG92" i="14"/>
  <c r="AY92" i="14"/>
  <c r="BT92" i="14"/>
  <c r="BO92" i="14"/>
  <c r="AO92" i="14"/>
  <c r="BU92" i="14"/>
  <c r="AF92" i="14"/>
  <c r="BB92" i="14"/>
  <c r="R182" i="17"/>
  <c r="I182" i="17"/>
  <c r="H182" i="17"/>
  <c r="N182" i="17"/>
  <c r="BY183" i="17"/>
  <c r="BX183" i="17"/>
  <c r="BW183" i="17"/>
  <c r="BV183" i="17"/>
  <c r="BU183" i="17"/>
  <c r="BT183" i="17"/>
  <c r="BS183" i="17"/>
  <c r="BR183" i="17"/>
  <c r="BQ183" i="17"/>
  <c r="BP183" i="17"/>
  <c r="BO183" i="17"/>
  <c r="BN183" i="17"/>
  <c r="BM183" i="17"/>
  <c r="BL183" i="17"/>
  <c r="BK183" i="17"/>
  <c r="BJ183" i="17"/>
  <c r="BI183" i="17"/>
  <c r="BH183" i="17"/>
  <c r="BG183" i="17"/>
  <c r="BF183" i="17"/>
  <c r="BE183" i="17"/>
  <c r="BD183" i="17"/>
  <c r="BC183" i="17"/>
  <c r="BB183" i="17"/>
  <c r="BA183" i="17"/>
  <c r="AZ183" i="17"/>
  <c r="AY183" i="17"/>
  <c r="AX183" i="17"/>
  <c r="AW183" i="17"/>
  <c r="AV183" i="17"/>
  <c r="AU183" i="17"/>
  <c r="AT183" i="17"/>
  <c r="AS183" i="17"/>
  <c r="AR183" i="17"/>
  <c r="AQ183" i="17"/>
  <c r="AP183" i="17"/>
  <c r="AL183" i="17"/>
  <c r="AJ183" i="17"/>
  <c r="AH183" i="17"/>
  <c r="AG183" i="17"/>
  <c r="AF183" i="17"/>
  <c r="AO183" i="17"/>
  <c r="AN183" i="17"/>
  <c r="AM183" i="17"/>
  <c r="AK183" i="17"/>
  <c r="AI183" i="17"/>
  <c r="AA182" i="17"/>
  <c r="X182" i="17"/>
  <c r="AB182" i="17"/>
  <c r="Y182" i="17"/>
  <c r="W182" i="17"/>
  <c r="U182" i="17"/>
  <c r="P178" i="17"/>
  <c r="W177" i="17"/>
  <c r="N171" i="17"/>
  <c r="X171" i="17"/>
  <c r="I172" i="17"/>
  <c r="U171" i="17"/>
  <c r="Q171" i="17"/>
  <c r="O172" i="17"/>
  <c r="T171" i="17"/>
  <c r="I173" i="17"/>
  <c r="W171" i="17"/>
  <c r="R173" i="17"/>
  <c r="I179" i="17"/>
  <c r="U177" i="17"/>
  <c r="J180" i="17"/>
  <c r="T173" i="17"/>
  <c r="O176" i="17"/>
  <c r="S171" i="17"/>
  <c r="H180" i="17"/>
  <c r="J178" i="17"/>
  <c r="Q174" i="17"/>
  <c r="I177" i="17"/>
  <c r="N176" i="17"/>
  <c r="U178" i="17"/>
  <c r="W172" i="17"/>
  <c r="S179" i="17"/>
  <c r="T172" i="17"/>
  <c r="P181" i="17"/>
  <c r="S174" i="17"/>
  <c r="P179" i="17"/>
  <c r="Q173" i="17"/>
  <c r="V176" i="17"/>
  <c r="P175" i="17"/>
  <c r="T182" i="17"/>
  <c r="X175" i="17"/>
  <c r="I178" i="17"/>
  <c r="H176" i="17"/>
  <c r="J179" i="17"/>
  <c r="AA178" i="17"/>
  <c r="H171" i="17"/>
  <c r="S180" i="17"/>
  <c r="V177" i="17"/>
  <c r="Y178" i="17"/>
  <c r="Q172" i="17"/>
  <c r="Y179" i="17"/>
  <c r="S172" i="17"/>
  <c r="J181" i="17"/>
  <c r="Y177" i="17"/>
  <c r="Q178" i="17"/>
  <c r="V180" i="17"/>
  <c r="X177" i="17"/>
  <c r="V171" i="17"/>
  <c r="H173" i="17"/>
  <c r="W173" i="17"/>
  <c r="T174" i="17"/>
  <c r="S173" i="17"/>
  <c r="Z175" i="17"/>
  <c r="O174" i="17"/>
  <c r="V172" i="17"/>
  <c r="O175" i="17"/>
  <c r="Z176" i="17"/>
  <c r="T175" i="17"/>
  <c r="Y175" i="17"/>
  <c r="Z179" i="17"/>
  <c r="P177" i="17"/>
  <c r="X180" i="17"/>
  <c r="U176" i="17"/>
  <c r="T176" i="17"/>
  <c r="T177" i="17"/>
  <c r="W180" i="17"/>
  <c r="W179" i="17"/>
  <c r="X174" i="17"/>
  <c r="O177" i="17"/>
  <c r="T179" i="17"/>
  <c r="Q179" i="17"/>
  <c r="J175" i="17"/>
  <c r="H178" i="17"/>
  <c r="J173" i="17"/>
  <c r="Q177" i="17"/>
  <c r="Y174" i="17"/>
  <c r="N177" i="17"/>
  <c r="O171" i="17"/>
  <c r="W181" i="17"/>
  <c r="S177" i="17"/>
  <c r="Q180" i="17"/>
  <c r="Y172" i="17"/>
  <c r="H172" i="17"/>
  <c r="V174" i="17"/>
  <c r="T181" i="17"/>
  <c r="U181" i="17"/>
  <c r="AA179" i="17"/>
  <c r="R172" i="17"/>
  <c r="R171" i="17"/>
  <c r="H179" i="17"/>
  <c r="U174" i="17"/>
  <c r="R177" i="17"/>
  <c r="Y180" i="17"/>
  <c r="N172" i="17"/>
  <c r="N173" i="17"/>
  <c r="O173" i="17"/>
  <c r="V175" i="17"/>
  <c r="Y173" i="17"/>
  <c r="Z181" i="17"/>
  <c r="U173" i="17"/>
  <c r="R174" i="17"/>
  <c r="Q176" i="17"/>
  <c r="J182" i="17"/>
  <c r="X173" i="17"/>
  <c r="H174" i="17"/>
  <c r="P174" i="17"/>
  <c r="N174" i="17"/>
  <c r="Z178" i="17"/>
  <c r="U175" i="17"/>
  <c r="T178" i="17"/>
  <c r="I176" i="17"/>
  <c r="Z177" i="17"/>
  <c r="S175" i="17"/>
  <c r="H175" i="17"/>
  <c r="Z180" i="17"/>
  <c r="Q175" i="17"/>
  <c r="V178" i="17"/>
  <c r="N175" i="17"/>
  <c r="Z182" i="17"/>
  <c r="W176" i="17"/>
  <c r="J177" i="17"/>
  <c r="Y176" i="17"/>
  <c r="P176" i="17"/>
  <c r="X172" i="17"/>
  <c r="X176" i="17"/>
  <c r="S176" i="17"/>
  <c r="R175" i="17"/>
  <c r="R178" i="17"/>
  <c r="U180" i="17"/>
  <c r="W174" i="17"/>
  <c r="N178" i="17"/>
  <c r="X179" i="17"/>
  <c r="R179" i="17"/>
  <c r="P173" i="17"/>
  <c r="X178" i="17"/>
  <c r="T180" i="17"/>
  <c r="P180" i="17"/>
  <c r="P171" i="17"/>
  <c r="N179" i="17"/>
  <c r="U179" i="17"/>
  <c r="I171" i="17"/>
  <c r="O179" i="17"/>
  <c r="O180" i="17"/>
  <c r="J172" i="17"/>
  <c r="W178" i="17"/>
  <c r="V173" i="17"/>
  <c r="S178" i="17"/>
  <c r="H177" i="17"/>
  <c r="V181" i="17"/>
  <c r="O178" i="17"/>
  <c r="U172" i="17"/>
  <c r="S181" i="17"/>
  <c r="I175" i="17"/>
  <c r="N180" i="17"/>
  <c r="P172" i="17"/>
  <c r="AA180" i="17"/>
  <c r="J174" i="17"/>
  <c r="I174" i="17"/>
  <c r="J176" i="17"/>
  <c r="V179" i="17"/>
  <c r="V182" i="17"/>
  <c r="W175" i="17"/>
  <c r="CA171" i="17"/>
  <c r="J80" i="17"/>
  <c r="J81" i="17"/>
  <c r="I81" i="17"/>
  <c r="I80" i="17"/>
  <c r="H81" i="17"/>
  <c r="Q81" i="17"/>
  <c r="Q80" i="17"/>
  <c r="H80" i="17"/>
  <c r="J82" i="17"/>
  <c r="Q82" i="17"/>
  <c r="I82" i="17"/>
  <c r="U80" i="17"/>
  <c r="U81" i="17"/>
  <c r="U83" i="17"/>
  <c r="I84" i="17"/>
  <c r="J84" i="17"/>
  <c r="I83" i="17"/>
  <c r="U82" i="17"/>
  <c r="U84" i="17"/>
  <c r="J83" i="17"/>
  <c r="I85" i="17"/>
  <c r="I86" i="17"/>
  <c r="J85" i="17"/>
  <c r="U85" i="17"/>
  <c r="J86" i="17"/>
  <c r="U86" i="17"/>
  <c r="Y86" i="17"/>
  <c r="Y80" i="17"/>
  <c r="Y82" i="17"/>
  <c r="Y83" i="17"/>
  <c r="Y85" i="17"/>
  <c r="Y81" i="17"/>
  <c r="Y84" i="17"/>
  <c r="CA80" i="17" a="1"/>
  <c r="CA80" i="17" s="1"/>
  <c r="CA81" i="17" a="1"/>
  <c r="CA81" i="17" s="1"/>
  <c r="CA82" i="17" a="1"/>
  <c r="CA82" i="17" s="1"/>
  <c r="CA83" i="17" a="1"/>
  <c r="CA83" i="17" s="1"/>
  <c r="CA84" i="17" a="1"/>
  <c r="CA84" i="17" s="1"/>
  <c r="CA85" i="17" a="1"/>
  <c r="CA85" i="17" s="1"/>
  <c r="CA86" i="17" a="1"/>
  <c r="CA86" i="17" s="1"/>
  <c r="CA87" i="17" a="1"/>
  <c r="CA87" i="17" s="1"/>
  <c r="CA79" i="17" a="1"/>
  <c r="CA79" i="17" s="1"/>
  <c r="CA170" i="17"/>
  <c r="CA78" i="17" a="1"/>
  <c r="CA78" i="17" s="1"/>
  <c r="CA137" i="17"/>
  <c r="CA45" i="17" a="1"/>
  <c r="CA45" i="17" s="1"/>
  <c r="CA46" i="17" a="1"/>
  <c r="CA46" i="17" s="1"/>
  <c r="CA139" i="17"/>
  <c r="CA140" i="17"/>
  <c r="CA49" i="17" a="1"/>
  <c r="CA49" i="17" s="1"/>
  <c r="CA51" i="17" a="1"/>
  <c r="CA51" i="17" s="1"/>
  <c r="CA52" i="17" a="1"/>
  <c r="CA52" i="17" s="1"/>
  <c r="CA144" i="17"/>
  <c r="CA145" i="17"/>
  <c r="CA54" i="17" a="1"/>
  <c r="CA54" i="17" s="1"/>
  <c r="CA147" i="17"/>
  <c r="CA55" i="17" a="1"/>
  <c r="CA55" i="17" s="1"/>
  <c r="CA149" i="17"/>
  <c r="CA57" i="17" a="1"/>
  <c r="CA57" i="17" s="1"/>
  <c r="CA59" i="17" a="1"/>
  <c r="CA59" i="17" s="1"/>
  <c r="CA152" i="17"/>
  <c r="CA61" i="17" a="1"/>
  <c r="CA61" i="17" s="1"/>
  <c r="CA154" i="17"/>
  <c r="CA155" i="17"/>
  <c r="CA66" i="17" a="1"/>
  <c r="CA66" i="17" s="1"/>
  <c r="CA158" i="17"/>
  <c r="CA160" i="17"/>
  <c r="CA161" i="17"/>
  <c r="CA162" i="17"/>
  <c r="CA163" i="17"/>
  <c r="CA72" i="17" a="1"/>
  <c r="CA72" i="17" s="1"/>
  <c r="CA164" i="17"/>
  <c r="CA73" i="17" a="1"/>
  <c r="CA73" i="17" s="1"/>
  <c r="CA165" i="17"/>
  <c r="CA74" i="17" a="1"/>
  <c r="CA74" i="17" s="1"/>
  <c r="CA166" i="17"/>
  <c r="CA75" i="17" a="1"/>
  <c r="CA75" i="17" s="1"/>
  <c r="CA167" i="17"/>
  <c r="CA77" i="17" a="1"/>
  <c r="CA77" i="17" s="1"/>
  <c r="CA169" i="17"/>
  <c r="CA136" i="17"/>
  <c r="CA138" i="17"/>
  <c r="CA47" i="17" a="1"/>
  <c r="CA47" i="17" s="1"/>
  <c r="CA48" i="17" a="1"/>
  <c r="CA48" i="17" s="1"/>
  <c r="CA141" i="17"/>
  <c r="CA142" i="17"/>
  <c r="CA50" i="17" a="1"/>
  <c r="CA50" i="17" s="1"/>
  <c r="CA143" i="17"/>
  <c r="CA53" i="17" a="1"/>
  <c r="CA53" i="17" s="1"/>
  <c r="CA146" i="17"/>
  <c r="CA148" i="17"/>
  <c r="CA56" i="17" a="1"/>
  <c r="CA56" i="17" s="1"/>
  <c r="CA58" i="17" a="1"/>
  <c r="CA58" i="17" s="1"/>
  <c r="CA150" i="17"/>
  <c r="CA151" i="17"/>
  <c r="CA60" i="17" a="1"/>
  <c r="CA60" i="17" s="1"/>
  <c r="CA153" i="17"/>
  <c r="CA62" i="17" a="1"/>
  <c r="CA62" i="17" s="1"/>
  <c r="CA63" i="17" a="1"/>
  <c r="CA63" i="17" s="1"/>
  <c r="CA64" i="17" a="1"/>
  <c r="CA64" i="17" s="1"/>
  <c r="CA156" i="17"/>
  <c r="CA65" i="17" a="1"/>
  <c r="CA65" i="17" s="1"/>
  <c r="CA157" i="17"/>
  <c r="CA67" i="17" a="1"/>
  <c r="CA67" i="17" s="1"/>
  <c r="CA159" i="17"/>
  <c r="CA68" i="17" a="1"/>
  <c r="CA68" i="17" s="1"/>
  <c r="CA69" i="17" a="1"/>
  <c r="CA69" i="17" s="1"/>
  <c r="CA70" i="17" a="1"/>
  <c r="CA70" i="17" s="1"/>
  <c r="CA71" i="17" a="1"/>
  <c r="CA71" i="17" s="1"/>
  <c r="CA168" i="17"/>
  <c r="CA76" i="17" a="1"/>
  <c r="CA76" i="17" s="1"/>
  <c r="BW123" i="16"/>
  <c r="BT123" i="16"/>
  <c r="BX123" i="16"/>
  <c r="BV123" i="16"/>
  <c r="BU123" i="16"/>
  <c r="BS123" i="16"/>
  <c r="AO123" i="15"/>
  <c r="AN123" i="15"/>
  <c r="AM123" i="15"/>
  <c r="AL123" i="15"/>
  <c r="AK123" i="15"/>
  <c r="AJ123" i="15"/>
  <c r="AI123" i="15"/>
  <c r="AH123" i="15"/>
  <c r="AG123" i="15"/>
  <c r="AF123" i="15"/>
  <c r="E122" i="16" a="1"/>
  <c r="E122" i="16" s="1"/>
  <c r="BY121" i="16"/>
  <c r="BT73" i="16"/>
  <c r="BY120" i="16"/>
  <c r="BY92" i="16"/>
  <c r="BY58" i="16"/>
  <c r="BY91" i="16"/>
  <c r="BY57" i="16"/>
  <c r="BY56" i="16"/>
  <c r="BY90" i="16"/>
  <c r="BY55" i="16"/>
  <c r="BY89" i="16"/>
  <c r="BY88" i="16"/>
  <c r="BY54" i="16"/>
  <c r="BY87" i="16"/>
  <c r="BY53" i="16"/>
  <c r="BY86" i="16"/>
  <c r="BY52" i="16"/>
  <c r="BY85" i="16"/>
  <c r="BY51" i="16"/>
  <c r="BY84" i="16"/>
  <c r="BY50" i="16"/>
  <c r="BY83" i="16"/>
  <c r="BY49" i="16"/>
  <c r="BY48" i="16"/>
  <c r="BY82" i="16"/>
  <c r="BY47" i="16"/>
  <c r="BY81" i="16"/>
  <c r="BY80" i="16"/>
  <c r="BY46" i="16"/>
  <c r="BY79" i="16"/>
  <c r="BY45" i="16"/>
  <c r="BY78" i="16"/>
  <c r="BY40" i="16"/>
  <c r="BY36" i="16"/>
  <c r="BY28" i="16"/>
  <c r="BY41" i="16"/>
  <c r="BY37" i="16"/>
  <c r="BY43" i="16"/>
  <c r="BY33" i="16"/>
  <c r="BY35" i="16"/>
  <c r="BY31" i="16"/>
  <c r="BY38" i="16"/>
  <c r="BY30" i="16"/>
  <c r="BY44" i="16"/>
  <c r="BY39" i="16"/>
  <c r="BY29" i="16"/>
  <c r="BY32" i="16"/>
  <c r="BY34" i="16"/>
  <c r="BY42" i="16"/>
  <c r="BY62" i="16"/>
  <c r="BY96" i="16"/>
  <c r="BY94" i="16"/>
  <c r="BY60" i="16"/>
  <c r="BY59" i="16"/>
  <c r="BY93" i="16"/>
  <c r="BY95" i="16"/>
  <c r="BY61" i="16"/>
  <c r="BY63" i="16"/>
  <c r="BY97" i="16"/>
  <c r="BY98" i="16"/>
  <c r="BY64" i="16"/>
  <c r="BY65" i="16"/>
  <c r="BY99" i="16"/>
  <c r="BY66" i="16"/>
  <c r="BY100" i="16"/>
  <c r="BY67" i="16"/>
  <c r="BY101" i="16"/>
  <c r="BY68" i="16"/>
  <c r="BY102" i="16"/>
  <c r="BY69" i="16"/>
  <c r="BY103" i="16"/>
  <c r="BY70" i="16"/>
  <c r="BY104" i="16"/>
  <c r="BY105" i="16"/>
  <c r="BY106" i="16"/>
  <c r="BY107" i="16"/>
  <c r="BY108" i="16"/>
  <c r="BY109" i="16"/>
  <c r="BY110" i="16"/>
  <c r="BY111" i="16"/>
  <c r="BY112" i="16"/>
  <c r="BY113" i="16"/>
  <c r="BY114" i="16"/>
  <c r="BY115" i="16"/>
  <c r="BY116" i="16"/>
  <c r="BY117" i="16"/>
  <c r="BY118" i="16"/>
  <c r="BY119" i="16"/>
  <c r="BY15" i="16"/>
  <c r="BY14" i="16" s="1"/>
  <c r="BY19" i="16"/>
  <c r="BY18" i="16" s="1"/>
  <c r="BY11" i="16"/>
  <c r="BZ4" i="16"/>
  <c r="BZ7" i="16"/>
  <c r="CA5" i="16"/>
  <c r="BZ3" i="16"/>
  <c r="BZ6" i="16"/>
  <c r="BZ8" i="16"/>
  <c r="BX121" i="16"/>
  <c r="BW121" i="16"/>
  <c r="BV73" i="16"/>
  <c r="BS73" i="16"/>
  <c r="BU73" i="16"/>
  <c r="BX73" i="16"/>
  <c r="BR123" i="16"/>
  <c r="BQ123" i="16"/>
  <c r="BP123" i="16"/>
  <c r="BO123" i="16"/>
  <c r="BN123" i="16"/>
  <c r="BM123" i="16"/>
  <c r="BL123" i="16"/>
  <c r="BK123" i="16"/>
  <c r="BJ123" i="16"/>
  <c r="BI123" i="16"/>
  <c r="BH123" i="16"/>
  <c r="BG123" i="16"/>
  <c r="BF123" i="16"/>
  <c r="BE123" i="16"/>
  <c r="BD123" i="16"/>
  <c r="BC123" i="16"/>
  <c r="BB123" i="16"/>
  <c r="BA123" i="16"/>
  <c r="AZ123" i="16"/>
  <c r="AY123" i="16"/>
  <c r="AX123" i="16"/>
  <c r="AW123" i="16"/>
  <c r="AV123" i="16"/>
  <c r="AU123" i="16"/>
  <c r="AT123" i="16"/>
  <c r="AS123" i="16"/>
  <c r="AR123" i="16"/>
  <c r="AQ123" i="16"/>
  <c r="AP123" i="16"/>
  <c r="AO123" i="16"/>
  <c r="AN123" i="16"/>
  <c r="AM123" i="16"/>
  <c r="AL123" i="16"/>
  <c r="AK123" i="16"/>
  <c r="AJ123" i="16"/>
  <c r="AI123" i="16"/>
  <c r="AH123" i="16"/>
  <c r="AG123" i="16"/>
  <c r="AF123" i="16"/>
  <c r="BW73" i="16"/>
  <c r="BB123" i="15"/>
  <c r="BA123" i="15"/>
  <c r="AZ123" i="15"/>
  <c r="AY123" i="15"/>
  <c r="AX123" i="15"/>
  <c r="AW123" i="15"/>
  <c r="AV123" i="15"/>
  <c r="AU123" i="15"/>
  <c r="AT123" i="15"/>
  <c r="AS123" i="15"/>
  <c r="AR123" i="15"/>
  <c r="AQ123" i="15"/>
  <c r="AP123" i="15"/>
  <c r="BS73" i="15"/>
  <c r="BI73" i="15"/>
  <c r="BP73" i="15"/>
  <c r="AS73" i="15"/>
  <c r="AX73" i="15"/>
  <c r="AK73" i="15"/>
  <c r="BV73" i="15"/>
  <c r="AI73" i="15"/>
  <c r="BN73" i="15"/>
  <c r="BQ73" i="15"/>
  <c r="BB73" i="15"/>
  <c r="BK73" i="15"/>
  <c r="AZ73" i="15"/>
  <c r="BA73" i="15"/>
  <c r="BE73" i="15"/>
  <c r="BT73" i="15"/>
  <c r="BG73" i="15"/>
  <c r="AF73" i="15"/>
  <c r="BX73" i="15"/>
  <c r="BL73" i="15"/>
  <c r="AG73" i="15"/>
  <c r="BF73" i="15"/>
  <c r="AN73" i="15"/>
  <c r="AO73" i="15"/>
  <c r="AU73" i="15"/>
  <c r="BJ73" i="15"/>
  <c r="AH73" i="15"/>
  <c r="BD73" i="15"/>
  <c r="AR73" i="15"/>
  <c r="AV73" i="15"/>
  <c r="BM73" i="15"/>
  <c r="BC73" i="15"/>
  <c r="BO73" i="15"/>
  <c r="BH73" i="15"/>
  <c r="BR73" i="15"/>
  <c r="AY73" i="15"/>
  <c r="BU73" i="15"/>
  <c r="AW73" i="15"/>
  <c r="AQ73" i="15"/>
  <c r="AT73" i="15"/>
  <c r="BW121" i="15"/>
  <c r="BX121" i="15"/>
  <c r="E122" i="15" a="1"/>
  <c r="E122" i="15" s="1"/>
  <c r="BW73" i="15"/>
  <c r="BY121" i="15"/>
  <c r="BY120" i="15"/>
  <c r="BY119" i="15"/>
  <c r="BY118" i="15"/>
  <c r="BY117" i="15"/>
  <c r="BY116" i="15"/>
  <c r="BY71" i="15"/>
  <c r="BY115" i="15"/>
  <c r="BY114" i="15"/>
  <c r="BY70" i="15"/>
  <c r="BY113" i="15"/>
  <c r="BY69" i="15"/>
  <c r="BY112" i="15"/>
  <c r="BY68" i="15"/>
  <c r="BY67" i="15"/>
  <c r="BY111" i="15"/>
  <c r="BY66" i="15"/>
  <c r="BY110" i="15"/>
  <c r="BY65" i="15"/>
  <c r="BY109" i="15"/>
  <c r="BY64" i="15"/>
  <c r="BY108" i="15"/>
  <c r="BY63" i="15"/>
  <c r="BY107" i="15"/>
  <c r="BY62" i="15"/>
  <c r="BY106" i="15"/>
  <c r="BY61" i="15"/>
  <c r="BY105" i="15"/>
  <c r="BY60" i="15"/>
  <c r="BY104" i="15"/>
  <c r="BY59" i="15"/>
  <c r="BY103" i="15"/>
  <c r="BY58" i="15"/>
  <c r="BY102" i="15"/>
  <c r="BY57" i="15"/>
  <c r="BY101" i="15"/>
  <c r="BY56" i="15"/>
  <c r="BY100" i="15"/>
  <c r="BY55" i="15"/>
  <c r="BY54" i="15"/>
  <c r="BY99" i="15"/>
  <c r="BY98" i="15"/>
  <c r="BY53" i="15"/>
  <c r="BY97" i="15"/>
  <c r="BY52" i="15"/>
  <c r="BY96" i="15"/>
  <c r="BY51" i="15"/>
  <c r="BY95" i="15"/>
  <c r="BY50" i="15"/>
  <c r="BY94" i="15"/>
  <c r="BY49" i="15"/>
  <c r="BY93" i="15"/>
  <c r="BY48" i="15"/>
  <c r="BY92" i="15"/>
  <c r="BY47" i="15"/>
  <c r="BY91" i="15"/>
  <c r="BY46" i="15"/>
  <c r="BY90" i="15"/>
  <c r="BY45" i="15"/>
  <c r="BY89" i="15"/>
  <c r="BY44" i="15"/>
  <c r="BY88" i="15"/>
  <c r="BY43" i="15"/>
  <c r="BY87" i="15"/>
  <c r="BY42" i="15"/>
  <c r="BY86" i="15"/>
  <c r="BY41" i="15"/>
  <c r="BY85" i="15"/>
  <c r="BY40" i="15"/>
  <c r="BY84" i="15"/>
  <c r="BY39" i="15"/>
  <c r="BY83" i="15"/>
  <c r="BY38" i="15"/>
  <c r="BY37" i="15"/>
  <c r="BY82" i="15"/>
  <c r="BY81" i="15"/>
  <c r="BY36" i="15"/>
  <c r="BY80" i="15"/>
  <c r="BY35" i="15"/>
  <c r="BY79" i="15"/>
  <c r="BY34" i="15"/>
  <c r="BY15" i="15" a="1"/>
  <c r="BY15" i="15" s="1"/>
  <c r="BY14" i="15" s="1"/>
  <c r="BY30" i="15"/>
  <c r="BY31" i="15"/>
  <c r="BY32" i="15"/>
  <c r="BY28" i="15"/>
  <c r="BY29" i="15"/>
  <c r="BY11" i="15" a="1"/>
  <c r="BY11" i="15" s="1"/>
  <c r="BY19" i="15" a="1"/>
  <c r="BY19" i="15" s="1"/>
  <c r="BY18" i="15" s="1"/>
  <c r="BY78" i="15"/>
  <c r="BY33" i="15"/>
  <c r="BZ4" i="15"/>
  <c r="BZ8" i="15"/>
  <c r="BZ3" i="15"/>
  <c r="BZ7" i="15"/>
  <c r="BZ6" i="15"/>
  <c r="CA5" i="15"/>
  <c r="BW71" i="15"/>
  <c r="BX71" i="15"/>
  <c r="CA16" i="15"/>
  <c r="BW123" i="15"/>
  <c r="BH123" i="15"/>
  <c r="BI123" i="15"/>
  <c r="BJ123" i="15"/>
  <c r="BK123" i="15"/>
  <c r="BL123" i="15"/>
  <c r="BM123" i="15"/>
  <c r="BN123" i="15"/>
  <c r="BO123" i="15"/>
  <c r="BP123" i="15"/>
  <c r="BQ123" i="15"/>
  <c r="BR123" i="15"/>
  <c r="BS123" i="15"/>
  <c r="BT123" i="15"/>
  <c r="BU123" i="15"/>
  <c r="BV123" i="15"/>
  <c r="BF123" i="15"/>
  <c r="BX123" i="15"/>
  <c r="AJ73" i="15"/>
  <c r="AP73" i="15"/>
  <c r="AL73" i="15"/>
  <c r="AM73" i="15"/>
  <c r="BE123" i="15"/>
  <c r="BD123" i="15"/>
  <c r="BC123" i="15"/>
  <c r="BG123" i="15"/>
  <c r="AR92" i="14"/>
  <c r="AH92" i="14"/>
  <c r="BR92" i="14"/>
  <c r="AK92" i="14"/>
  <c r="AN92" i="14"/>
  <c r="BP92" i="14"/>
  <c r="BV92" i="14"/>
  <c r="AM92" i="14"/>
  <c r="AX92" i="14"/>
  <c r="AU92" i="14"/>
  <c r="BG92" i="14"/>
  <c r="BS92" i="14"/>
  <c r="BJ92" i="14"/>
  <c r="BE92" i="14"/>
  <c r="BC92" i="14"/>
  <c r="AL92" i="14"/>
  <c r="BH92" i="14"/>
  <c r="BA92" i="14"/>
  <c r="BW92" i="14"/>
  <c r="BK92" i="14"/>
  <c r="AW92" i="14"/>
  <c r="BL92" i="14"/>
  <c r="BD92" i="14"/>
  <c r="AS92" i="14"/>
  <c r="AV92" i="14"/>
  <c r="AP92" i="14"/>
  <c r="BZ8" i="14"/>
  <c r="BY93" i="14" s="1"/>
  <c r="BZ7" i="14"/>
  <c r="CA5" i="14"/>
  <c r="BZ6" i="14"/>
  <c r="BZ4" i="14"/>
  <c r="BZ3" i="14"/>
  <c r="BY54" i="14"/>
  <c r="BY65" i="14"/>
  <c r="BY68" i="14"/>
  <c r="BY47" i="14"/>
  <c r="BY55" i="14"/>
  <c r="BY59" i="14"/>
  <c r="BY63" i="14"/>
  <c r="BY51" i="14"/>
  <c r="BY62" i="14"/>
  <c r="BY64" i="14"/>
  <c r="BY49" i="14"/>
  <c r="BY61" i="14"/>
  <c r="BY66" i="14"/>
  <c r="BY69" i="14"/>
  <c r="BY70" i="14"/>
  <c r="BY71" i="14"/>
  <c r="BY73" i="14"/>
  <c r="BY74" i="14"/>
  <c r="BY77" i="14"/>
  <c r="BY48" i="14"/>
  <c r="BY50" i="14"/>
  <c r="BY52" i="14"/>
  <c r="BY56" i="14"/>
  <c r="BY58" i="14"/>
  <c r="BY60" i="14"/>
  <c r="BY67" i="14"/>
  <c r="BY72" i="14"/>
  <c r="BY75" i="14"/>
  <c r="BY76" i="14"/>
  <c r="BY78" i="14"/>
  <c r="BY79" i="14"/>
  <c r="BY80" i="14"/>
  <c r="BY53" i="14"/>
  <c r="BY57" i="14"/>
  <c r="BX92" i="14"/>
  <c r="BM92" i="14"/>
  <c r="BQ92" i="14"/>
  <c r="AJ92" i="14"/>
  <c r="BC10" i="16"/>
  <c r="D125" i="16"/>
  <c r="BC10" i="15"/>
  <c r="D125" i="15"/>
  <c r="BX3" i="9"/>
  <c r="BX4" i="9"/>
  <c r="BY5" i="9"/>
  <c r="BX7" i="9"/>
  <c r="BX8" i="9"/>
  <c r="BX6" i="9"/>
  <c r="BW8" i="11"/>
  <c r="BW7" i="11"/>
  <c r="BW6" i="11"/>
  <c r="BX5" i="11"/>
  <c r="BW4" i="11"/>
  <c r="BW3" i="11"/>
  <c r="CJ119" i="12" a="1"/>
  <c r="CJ119" i="12" s="1"/>
  <c r="CJ117" i="12" a="1"/>
  <c r="CJ117" i="12" s="1"/>
  <c r="CJ116" i="12" a="1"/>
  <c r="CJ116" i="12" s="1"/>
  <c r="CJ115" i="12" a="1"/>
  <c r="CJ115" i="12" s="1"/>
  <c r="CJ114" i="12" a="1"/>
  <c r="CJ114" i="12" s="1"/>
  <c r="CJ113" i="12" a="1"/>
  <c r="CJ113" i="12" s="1"/>
  <c r="CJ112" i="12" a="1"/>
  <c r="CJ112" i="12" s="1"/>
  <c r="CJ111" i="12" a="1"/>
  <c r="CJ111" i="12" s="1"/>
  <c r="CJ109" i="12" a="1"/>
  <c r="CJ109" i="12" s="1"/>
  <c r="CJ4" i="12"/>
  <c r="CJ3" i="12"/>
  <c r="CJ8" i="12"/>
  <c r="CJ7" i="12"/>
  <c r="CJ6" i="12"/>
  <c r="BG8" i="13"/>
  <c r="BG7" i="13"/>
  <c r="BH5" i="13"/>
  <c r="BG4" i="13"/>
  <c r="BG3" i="13"/>
  <c r="BG6" i="13"/>
  <c r="BX8" i="10"/>
  <c r="BX7" i="10"/>
  <c r="BX6" i="10"/>
  <c r="BY5" i="10"/>
  <c r="BX4" i="10"/>
  <c r="BX3" i="10"/>
  <c r="CG49" i="8"/>
  <c r="CF50" i="8"/>
  <c r="CF51" i="8"/>
  <c r="CF52" i="8"/>
  <c r="CF48" i="8"/>
  <c r="CG6" i="8"/>
  <c r="CG11" i="8"/>
  <c r="CG9" i="8"/>
  <c r="CG7" i="8"/>
  <c r="CG15" i="8" s="1" a="1"/>
  <c r="CG15" i="8" s="1"/>
  <c r="CG73" i="8"/>
  <c r="CG47" i="8"/>
  <c r="CG10" i="8"/>
  <c r="CF74" i="8"/>
  <c r="CF78" i="8"/>
  <c r="CF77" i="8"/>
  <c r="CF76" i="8"/>
  <c r="CG75" i="8"/>
  <c r="BW88" i="17" l="1" a="1"/>
  <c r="BW88" i="17" s="1"/>
  <c r="BI88" i="17" a="1"/>
  <c r="BI88" i="17" s="1"/>
  <c r="W88" i="17" s="1"/>
  <c r="AF88" i="17" a="1"/>
  <c r="AF88" i="17" s="1"/>
  <c r="AY88" i="17" a="1"/>
  <c r="AY88" i="17" s="1"/>
  <c r="AO88" i="17" a="1"/>
  <c r="AO88" i="17" s="1"/>
  <c r="AL88" i="17" a="1"/>
  <c r="AL88" i="17" s="1"/>
  <c r="AU88" i="17" a="1"/>
  <c r="AU88" i="17" s="1"/>
  <c r="BR88" i="17" a="1"/>
  <c r="BR88" i="17" s="1"/>
  <c r="Z88" i="17" s="1"/>
  <c r="AV88" i="17" a="1"/>
  <c r="AV88" i="17" s="1"/>
  <c r="BX88" i="17" a="1"/>
  <c r="BX88" i="17" s="1"/>
  <c r="AB88" i="17" s="1"/>
  <c r="J87" i="17"/>
  <c r="CA88" i="17" a="1"/>
  <c r="CA88" i="17" s="1"/>
  <c r="K88" i="17" s="1"/>
  <c r="BW42" i="17"/>
  <c r="AI88" i="17" a="1"/>
  <c r="AI88" i="17" s="1"/>
  <c r="BS88" i="17" a="1"/>
  <c r="BS88" i="17" s="1"/>
  <c r="I87" i="17"/>
  <c r="BZ88" i="17" a="1"/>
  <c r="BZ88" i="17" s="1"/>
  <c r="BD88" i="17" a="1"/>
  <c r="BD88" i="17" s="1"/>
  <c r="AW88" i="17" a="1"/>
  <c r="AW88" i="17" s="1"/>
  <c r="S88" i="17" s="1"/>
  <c r="AJ88" i="17" a="1"/>
  <c r="AJ88" i="17" s="1"/>
  <c r="AG88" i="17" a="1"/>
  <c r="AG88" i="17" s="1"/>
  <c r="BH88" i="17" a="1"/>
  <c r="BH88" i="17" s="1"/>
  <c r="BT88" i="17" a="1"/>
  <c r="BT88" i="17" s="1"/>
  <c r="BY88" i="17" a="1"/>
  <c r="BY88" i="17" s="1"/>
  <c r="BB88" i="17" a="1"/>
  <c r="BB88" i="17" s="1"/>
  <c r="BC88" i="17" a="1"/>
  <c r="BC88" i="17" s="1"/>
  <c r="U88" i="17" s="1"/>
  <c r="BG88" i="17" a="1"/>
  <c r="BG88" i="17" s="1"/>
  <c r="AR88" i="17" a="1"/>
  <c r="AR88" i="17" s="1"/>
  <c r="AK88" i="17" a="1"/>
  <c r="AK88" i="17" s="1"/>
  <c r="O88" i="17" s="1"/>
  <c r="BO88" i="17" a="1"/>
  <c r="BO88" i="17" s="1"/>
  <c r="Y88" i="17" s="1"/>
  <c r="BN88" i="17" a="1"/>
  <c r="BN88" i="17" s="1"/>
  <c r="BA88" i="17" a="1"/>
  <c r="BA88" i="17" s="1"/>
  <c r="BK88" i="17" a="1"/>
  <c r="BK88" i="17" s="1"/>
  <c r="AT88" i="17" a="1"/>
  <c r="AT88" i="17" s="1"/>
  <c r="R88" i="17" s="1"/>
  <c r="BM88" i="17" a="1"/>
  <c r="BM88" i="17" s="1"/>
  <c r="BP88" i="17" a="1"/>
  <c r="BP88" i="17" s="1"/>
  <c r="BL88" i="17" a="1"/>
  <c r="BL88" i="17" s="1"/>
  <c r="X88" i="17" s="1"/>
  <c r="AH88" i="17" a="1"/>
  <c r="AH88" i="17" s="1"/>
  <c r="N88" i="17" s="1"/>
  <c r="BQ88" i="17" a="1"/>
  <c r="BQ88" i="17" s="1"/>
  <c r="BF88" i="17" a="1"/>
  <c r="BF88" i="17" s="1"/>
  <c r="V88" i="17" s="1"/>
  <c r="AX88" i="17" a="1"/>
  <c r="AX88" i="17" s="1"/>
  <c r="BE88" i="17" a="1"/>
  <c r="BE88" i="17" s="1"/>
  <c r="BV88" i="17" a="1"/>
  <c r="BV88" i="17" s="1"/>
  <c r="BJ88" i="17" a="1"/>
  <c r="BJ88" i="17" s="1"/>
  <c r="AM88" i="17" a="1"/>
  <c r="AM88" i="17" s="1"/>
  <c r="Q80" i="22"/>
  <c r="BC115" i="13"/>
  <c r="CE43" i="12"/>
  <c r="BC61" i="13" s="1"/>
  <c r="AA39" i="22"/>
  <c r="Z75" i="22"/>
  <c r="H87" i="17"/>
  <c r="AA63" i="22"/>
  <c r="X75" i="22"/>
  <c r="Z74" i="22"/>
  <c r="AN88" i="17" a="1"/>
  <c r="AN88" i="17" s="1"/>
  <c r="P88" i="17" s="1"/>
  <c r="AP88" i="17" a="1"/>
  <c r="AP88" i="17" s="1"/>
  <c r="BU88" i="17" a="1"/>
  <c r="BU88" i="17" s="1"/>
  <c r="AA88" i="17" s="1"/>
  <c r="AS88" i="17" a="1"/>
  <c r="AS88" i="17" s="1"/>
  <c r="AQ88" i="17" a="1"/>
  <c r="AQ88" i="17" s="1"/>
  <c r="Q88" i="17" s="1"/>
  <c r="BB124" i="13"/>
  <c r="CD43" i="12"/>
  <c r="BB61" i="13" s="1"/>
  <c r="W80" i="22"/>
  <c r="S75" i="22"/>
  <c r="M129" i="22"/>
  <c r="BB125" i="13"/>
  <c r="CD44" i="12"/>
  <c r="BB62" i="13" s="1"/>
  <c r="H80" i="22"/>
  <c r="Z61" i="22"/>
  <c r="M126" i="22"/>
  <c r="BB126" i="13"/>
  <c r="CD45" i="12"/>
  <c r="BB63" i="13" s="1"/>
  <c r="AA68" i="22"/>
  <c r="Z77" i="22"/>
  <c r="I74" i="22"/>
  <c r="BE116" i="13"/>
  <c r="CG42" i="12"/>
  <c r="BE60" i="13" s="1"/>
  <c r="AA51" i="22"/>
  <c r="R79" i="22"/>
  <c r="AA36" i="22"/>
  <c r="CE45" i="12"/>
  <c r="BC63" i="13" s="1"/>
  <c r="AL65" i="20"/>
  <c r="BE113" i="13"/>
  <c r="BE108" i="13" s="1"/>
  <c r="P80" i="22"/>
  <c r="H74" i="22"/>
  <c r="AA40" i="22"/>
  <c r="BD120" i="13"/>
  <c r="Z52" i="22"/>
  <c r="Z58" i="22"/>
  <c r="AA48" i="22"/>
  <c r="BD118" i="13"/>
  <c r="Y41" i="22"/>
  <c r="N79" i="22"/>
  <c r="S77" i="22"/>
  <c r="CH85" i="20"/>
  <c r="BE130" i="13" s="1"/>
  <c r="BE128" i="13"/>
  <c r="BD119" i="13"/>
  <c r="Y73" i="22"/>
  <c r="AA56" i="22"/>
  <c r="U76" i="22"/>
  <c r="CE44" i="12"/>
  <c r="CG82" i="20"/>
  <c r="BD130" i="13"/>
  <c r="W77" i="22"/>
  <c r="AA58" i="22"/>
  <c r="O76" i="22"/>
  <c r="I76" i="22"/>
  <c r="Y59" i="22"/>
  <c r="Y40" i="22"/>
  <c r="S78" i="22"/>
  <c r="Z35" i="22"/>
  <c r="M76" i="22"/>
  <c r="U77" i="22"/>
  <c r="M80" i="22"/>
  <c r="O75" i="22"/>
  <c r="O74" i="22"/>
  <c r="T81" i="22"/>
  <c r="O132" i="22"/>
  <c r="Z81" i="22"/>
  <c r="Y56" i="22"/>
  <c r="M128" i="22"/>
  <c r="Z78" i="22"/>
  <c r="H79" i="22"/>
  <c r="H93" i="22"/>
  <c r="H129" i="22"/>
  <c r="H96" i="22"/>
  <c r="H103" i="22"/>
  <c r="H97" i="22"/>
  <c r="H114" i="22"/>
  <c r="H127" i="22"/>
  <c r="H86" i="22"/>
  <c r="H117" i="22"/>
  <c r="H122" i="22"/>
  <c r="H87" i="22"/>
  <c r="H118" i="22"/>
  <c r="H91" i="22"/>
  <c r="H132" i="22"/>
  <c r="H105" i="22"/>
  <c r="H131" i="22"/>
  <c r="H112" i="22"/>
  <c r="H116" i="22"/>
  <c r="H119" i="22"/>
  <c r="H94" i="22"/>
  <c r="H110" i="22"/>
  <c r="H99" i="22"/>
  <c r="H115" i="22"/>
  <c r="H100" i="22"/>
  <c r="H101" i="22"/>
  <c r="H107" i="22"/>
  <c r="H98" i="22"/>
  <c r="H108" i="22"/>
  <c r="H124" i="22"/>
  <c r="I128" i="22"/>
  <c r="I118" i="22"/>
  <c r="I123" i="22"/>
  <c r="I97" i="22"/>
  <c r="H120" i="22"/>
  <c r="H128" i="22"/>
  <c r="H121" i="22"/>
  <c r="H109" i="22"/>
  <c r="I132" i="22"/>
  <c r="I103" i="22"/>
  <c r="H95" i="22"/>
  <c r="H106" i="22"/>
  <c r="I102" i="22"/>
  <c r="H88" i="22"/>
  <c r="I112" i="22"/>
  <c r="I104" i="22"/>
  <c r="I98" i="22"/>
  <c r="H89" i="22"/>
  <c r="I122" i="22"/>
  <c r="I119" i="22"/>
  <c r="H125" i="22"/>
  <c r="I125" i="22"/>
  <c r="H130" i="22"/>
  <c r="I109" i="22"/>
  <c r="H92" i="22"/>
  <c r="H104" i="22"/>
  <c r="I89" i="22"/>
  <c r="I131" i="22"/>
  <c r="N92" i="22"/>
  <c r="I108" i="22"/>
  <c r="I100" i="22"/>
  <c r="I88" i="22"/>
  <c r="I92" i="22"/>
  <c r="H113" i="22"/>
  <c r="I127" i="22"/>
  <c r="I101" i="22"/>
  <c r="H111" i="22"/>
  <c r="I94" i="22"/>
  <c r="H102" i="22"/>
  <c r="H123" i="22"/>
  <c r="I106" i="22"/>
  <c r="I107" i="22"/>
  <c r="I120" i="22"/>
  <c r="I130" i="22"/>
  <c r="H126" i="22"/>
  <c r="M89" i="22"/>
  <c r="I86" i="22"/>
  <c r="H90" i="22"/>
  <c r="I115" i="22"/>
  <c r="I99" i="22"/>
  <c r="I91" i="22"/>
  <c r="I90" i="22"/>
  <c r="I129" i="22"/>
  <c r="I126" i="22"/>
  <c r="I110" i="22"/>
  <c r="H139" i="22"/>
  <c r="I114" i="22"/>
  <c r="I96" i="22"/>
  <c r="I113" i="22"/>
  <c r="M90" i="22"/>
  <c r="I111" i="22"/>
  <c r="I116" i="22"/>
  <c r="I95" i="22"/>
  <c r="I124" i="22"/>
  <c r="I117" i="22"/>
  <c r="I105" i="22"/>
  <c r="I93" i="22"/>
  <c r="I87" i="22"/>
  <c r="P126" i="22"/>
  <c r="N93" i="22"/>
  <c r="N94" i="22"/>
  <c r="M38" i="22"/>
  <c r="Q86" i="22"/>
  <c r="O95" i="22"/>
  <c r="N95" i="22"/>
  <c r="M39" i="22"/>
  <c r="Q119" i="22"/>
  <c r="Q124" i="22"/>
  <c r="Q118" i="22"/>
  <c r="Q113" i="22"/>
  <c r="Q108" i="22"/>
  <c r="Q94" i="22"/>
  <c r="Q105" i="22"/>
  <c r="M40" i="22"/>
  <c r="Q89" i="22"/>
  <c r="N96" i="22"/>
  <c r="Q126" i="22"/>
  <c r="M92" i="22"/>
  <c r="Q88" i="22"/>
  <c r="Q104" i="22"/>
  <c r="Q107" i="22"/>
  <c r="Q100" i="22"/>
  <c r="Q127" i="22"/>
  <c r="Q92" i="22"/>
  <c r="Q132" i="22"/>
  <c r="Q112" i="22"/>
  <c r="Q123" i="22"/>
  <c r="Q103" i="22"/>
  <c r="Q139" i="22"/>
  <c r="Q102" i="22"/>
  <c r="Q122" i="22"/>
  <c r="Q87" i="22"/>
  <c r="N41" i="22"/>
  <c r="Q90" i="22"/>
  <c r="Q110" i="22"/>
  <c r="M93" i="22"/>
  <c r="R90" i="22"/>
  <c r="N97" i="22"/>
  <c r="O97" i="22"/>
  <c r="M94" i="22"/>
  <c r="R97" i="22"/>
  <c r="R110" i="22"/>
  <c r="R126" i="22"/>
  <c r="M41" i="22"/>
  <c r="R116" i="22"/>
  <c r="R130" i="22"/>
  <c r="N43" i="22"/>
  <c r="R109" i="22"/>
  <c r="R102" i="22"/>
  <c r="R112" i="22"/>
  <c r="O98" i="22"/>
  <c r="R95" i="22"/>
  <c r="R139" i="22"/>
  <c r="R122" i="22"/>
  <c r="R123" i="22"/>
  <c r="R88" i="22"/>
  <c r="R98" i="22"/>
  <c r="R119" i="22"/>
  <c r="R92" i="22"/>
  <c r="R127" i="22"/>
  <c r="N98" i="22"/>
  <c r="R86" i="22"/>
  <c r="R89" i="22"/>
  <c r="R96" i="22"/>
  <c r="R120" i="22"/>
  <c r="R94" i="22"/>
  <c r="R99" i="22"/>
  <c r="R101" i="22"/>
  <c r="R106" i="22"/>
  <c r="R128" i="22"/>
  <c r="R125" i="22"/>
  <c r="R104" i="22"/>
  <c r="R107" i="22"/>
  <c r="R93" i="22"/>
  <c r="R118" i="22"/>
  <c r="M91" i="22"/>
  <c r="M42" i="22"/>
  <c r="R100" i="22"/>
  <c r="R129" i="22"/>
  <c r="O99" i="22"/>
  <c r="R117" i="22"/>
  <c r="R121" i="22"/>
  <c r="R114" i="22"/>
  <c r="M43" i="22"/>
  <c r="N42" i="22"/>
  <c r="R105" i="22"/>
  <c r="R91" i="22"/>
  <c r="M95" i="22"/>
  <c r="R113" i="22"/>
  <c r="R132" i="22"/>
  <c r="R87" i="22"/>
  <c r="S102" i="22"/>
  <c r="R124" i="22"/>
  <c r="R103" i="22"/>
  <c r="S89" i="22"/>
  <c r="S126" i="22"/>
  <c r="S101" i="22"/>
  <c r="S118" i="22"/>
  <c r="S87" i="22"/>
  <c r="S114" i="22"/>
  <c r="S125" i="22"/>
  <c r="S97" i="22"/>
  <c r="S116" i="22"/>
  <c r="P100" i="22"/>
  <c r="S123" i="22"/>
  <c r="S139" i="22"/>
  <c r="S113" i="22"/>
  <c r="S104" i="22"/>
  <c r="S98" i="22"/>
  <c r="S112" i="22"/>
  <c r="S91" i="22"/>
  <c r="S107" i="22"/>
  <c r="S120" i="22"/>
  <c r="S96" i="22"/>
  <c r="S131" i="22"/>
  <c r="S110" i="22"/>
  <c r="S124" i="22"/>
  <c r="S108" i="22"/>
  <c r="S105" i="22"/>
  <c r="O100" i="22"/>
  <c r="N99" i="22"/>
  <c r="S88" i="22"/>
  <c r="S130" i="22"/>
  <c r="S121" i="22"/>
  <c r="S90" i="22"/>
  <c r="S117" i="22"/>
  <c r="O44" i="22"/>
  <c r="S94" i="22"/>
  <c r="S86" i="22"/>
  <c r="S119" i="22"/>
  <c r="S128" i="22"/>
  <c r="N100" i="22"/>
  <c r="S100" i="22"/>
  <c r="T103" i="22"/>
  <c r="S95" i="22"/>
  <c r="N101" i="22"/>
  <c r="S103" i="22"/>
  <c r="T113" i="22"/>
  <c r="S115" i="22"/>
  <c r="S132" i="22"/>
  <c r="S111" i="22"/>
  <c r="N44" i="22"/>
  <c r="O101" i="22"/>
  <c r="S109" i="22"/>
  <c r="S122" i="22"/>
  <c r="S106" i="22"/>
  <c r="M44" i="22"/>
  <c r="S129" i="22"/>
  <c r="S99" i="22"/>
  <c r="M96" i="22"/>
  <c r="T104" i="22"/>
  <c r="G98" i="22"/>
  <c r="T89" i="22"/>
  <c r="M97" i="22"/>
  <c r="T105" i="22"/>
  <c r="T87" i="22"/>
  <c r="T102" i="22"/>
  <c r="N45" i="22"/>
  <c r="T119" i="22"/>
  <c r="S93" i="22"/>
  <c r="T88" i="22"/>
  <c r="M46" i="22"/>
  <c r="T107" i="22"/>
  <c r="G99" i="22"/>
  <c r="T123" i="22"/>
  <c r="T109" i="22"/>
  <c r="P47" i="22"/>
  <c r="T115" i="22"/>
  <c r="T128" i="22"/>
  <c r="T126" i="22"/>
  <c r="T96" i="22"/>
  <c r="S92" i="22"/>
  <c r="T124" i="22"/>
  <c r="T94" i="22"/>
  <c r="T125" i="22"/>
  <c r="T120" i="22"/>
  <c r="T108" i="22"/>
  <c r="T92" i="22"/>
  <c r="T121" i="22"/>
  <c r="T118" i="22"/>
  <c r="M98" i="22"/>
  <c r="T106" i="22"/>
  <c r="O102" i="22"/>
  <c r="T132" i="22"/>
  <c r="T111" i="22"/>
  <c r="T97" i="22"/>
  <c r="T98" i="22"/>
  <c r="S127" i="22"/>
  <c r="T101" i="22"/>
  <c r="T95" i="22"/>
  <c r="O46" i="22"/>
  <c r="N46" i="22"/>
  <c r="T131" i="22"/>
  <c r="T99" i="22"/>
  <c r="T127" i="22"/>
  <c r="T122" i="22"/>
  <c r="O45" i="22"/>
  <c r="T112" i="22"/>
  <c r="M45" i="22"/>
  <c r="T91" i="22"/>
  <c r="T130" i="22"/>
  <c r="M99" i="22"/>
  <c r="T114" i="22"/>
  <c r="G100" i="22"/>
  <c r="T129" i="22"/>
  <c r="T116" i="22"/>
  <c r="O48" i="22"/>
  <c r="N47" i="22"/>
  <c r="N48" i="22"/>
  <c r="M47" i="22"/>
  <c r="T90" i="22"/>
  <c r="U114" i="22"/>
  <c r="T110" i="22"/>
  <c r="G48" i="22"/>
  <c r="T86" i="22"/>
  <c r="T139" i="22"/>
  <c r="O103" i="22"/>
  <c r="N103" i="22"/>
  <c r="G47" i="22"/>
  <c r="P103" i="22"/>
  <c r="T117" i="22"/>
  <c r="P48" i="22"/>
  <c r="N102" i="22"/>
  <c r="T93" i="22"/>
  <c r="T100" i="22"/>
  <c r="O47" i="22"/>
  <c r="U91" i="22"/>
  <c r="U139" i="22"/>
  <c r="U116" i="22"/>
  <c r="U92" i="22"/>
  <c r="N49" i="22"/>
  <c r="U102" i="22"/>
  <c r="U120" i="22"/>
  <c r="U125" i="22"/>
  <c r="U121" i="22"/>
  <c r="U87" i="22"/>
  <c r="G101" i="22"/>
  <c r="U105" i="22"/>
  <c r="U99" i="22"/>
  <c r="U103" i="22"/>
  <c r="U119" i="22"/>
  <c r="U104" i="22"/>
  <c r="U111" i="22"/>
  <c r="U90" i="22"/>
  <c r="U89" i="22"/>
  <c r="U98" i="22"/>
  <c r="U86" i="22"/>
  <c r="U130" i="22"/>
  <c r="U126" i="22"/>
  <c r="U101" i="22"/>
  <c r="U93" i="22"/>
  <c r="U115" i="22"/>
  <c r="U94" i="22"/>
  <c r="M48" i="22"/>
  <c r="U131" i="22"/>
  <c r="U129" i="22"/>
  <c r="U97" i="22"/>
  <c r="U112" i="22"/>
  <c r="U124" i="22"/>
  <c r="U113" i="22"/>
  <c r="U100" i="22"/>
  <c r="U132" i="22"/>
  <c r="U109" i="22"/>
  <c r="O104" i="22"/>
  <c r="M100" i="22"/>
  <c r="U107" i="22"/>
  <c r="U110" i="22"/>
  <c r="U117" i="22"/>
  <c r="U95" i="22"/>
  <c r="U127" i="22"/>
  <c r="U128" i="22"/>
  <c r="U122" i="22"/>
  <c r="N104" i="22"/>
  <c r="U118" i="22"/>
  <c r="P50" i="22"/>
  <c r="U88" i="22"/>
  <c r="O105" i="22"/>
  <c r="G49" i="22"/>
  <c r="O49" i="22"/>
  <c r="O50" i="22"/>
  <c r="M101" i="22"/>
  <c r="G102" i="22"/>
  <c r="V131" i="22"/>
  <c r="P49" i="22"/>
  <c r="U96" i="22"/>
  <c r="U123" i="22"/>
  <c r="U108" i="22"/>
  <c r="N105" i="22"/>
  <c r="U106" i="22"/>
  <c r="V132" i="22"/>
  <c r="M102" i="22"/>
  <c r="O106" i="22"/>
  <c r="V101" i="22"/>
  <c r="M50" i="22"/>
  <c r="P51" i="22"/>
  <c r="V115" i="22"/>
  <c r="V97" i="22"/>
  <c r="V89" i="22"/>
  <c r="V92" i="22"/>
  <c r="V100" i="22"/>
  <c r="V121" i="22"/>
  <c r="V96" i="22"/>
  <c r="G103" i="22"/>
  <c r="V103" i="22"/>
  <c r="V117" i="22"/>
  <c r="V109" i="22"/>
  <c r="V107" i="22"/>
  <c r="V93" i="22"/>
  <c r="V88" i="22"/>
  <c r="V98" i="22"/>
  <c r="V99" i="22"/>
  <c r="M49" i="22"/>
  <c r="V111" i="22"/>
  <c r="V108" i="22"/>
  <c r="G50" i="22"/>
  <c r="V122" i="22"/>
  <c r="V113" i="22"/>
  <c r="V128" i="22"/>
  <c r="Q50" i="22"/>
  <c r="V127" i="22"/>
  <c r="O51" i="22"/>
  <c r="V130" i="22"/>
  <c r="V86" i="22"/>
  <c r="V104" i="22"/>
  <c r="V106" i="22"/>
  <c r="V87" i="22"/>
  <c r="N106" i="22"/>
  <c r="V118" i="22"/>
  <c r="V114" i="22"/>
  <c r="V123" i="22"/>
  <c r="W129" i="22"/>
  <c r="O107" i="22"/>
  <c r="V120" i="22"/>
  <c r="Q51" i="22"/>
  <c r="V116" i="22"/>
  <c r="V94" i="22"/>
  <c r="V95" i="22"/>
  <c r="V110" i="22"/>
  <c r="V125" i="22"/>
  <c r="V102" i="22"/>
  <c r="V139" i="22"/>
  <c r="V112" i="22"/>
  <c r="V105" i="22"/>
  <c r="G104" i="22"/>
  <c r="V90" i="22"/>
  <c r="W116" i="22"/>
  <c r="V126" i="22"/>
  <c r="V124" i="22"/>
  <c r="V129" i="22"/>
  <c r="W126" i="22"/>
  <c r="W113" i="22"/>
  <c r="W115" i="22"/>
  <c r="W132" i="22"/>
  <c r="W87" i="22"/>
  <c r="W108" i="22"/>
  <c r="W101" i="22"/>
  <c r="O108" i="22"/>
  <c r="W107" i="22"/>
  <c r="N107" i="22"/>
  <c r="M103" i="22"/>
  <c r="W114" i="22"/>
  <c r="W89" i="22"/>
  <c r="W109" i="22"/>
  <c r="W105" i="22"/>
  <c r="N51" i="22"/>
  <c r="W90" i="22"/>
  <c r="Q52" i="22"/>
  <c r="W125" i="22"/>
  <c r="N108" i="22"/>
  <c r="O53" i="22"/>
  <c r="W127" i="22"/>
  <c r="V91" i="22"/>
  <c r="W103" i="22"/>
  <c r="W128" i="22"/>
  <c r="O52" i="22"/>
  <c r="W130" i="22"/>
  <c r="M104" i="22"/>
  <c r="W139" i="22"/>
  <c r="W117" i="22"/>
  <c r="N52" i="22"/>
  <c r="W110" i="22"/>
  <c r="W102" i="22"/>
  <c r="M52" i="22"/>
  <c r="W119" i="22"/>
  <c r="R54" i="22"/>
  <c r="X116" i="22"/>
  <c r="N50" i="22"/>
  <c r="W118" i="22"/>
  <c r="M51" i="22"/>
  <c r="W93" i="22"/>
  <c r="W99" i="22"/>
  <c r="W92" i="22"/>
  <c r="W111" i="22"/>
  <c r="W91" i="22"/>
  <c r="W104" i="22"/>
  <c r="G52" i="22"/>
  <c r="W96" i="22"/>
  <c r="W121" i="22"/>
  <c r="W97" i="22"/>
  <c r="W98" i="22"/>
  <c r="W95" i="22"/>
  <c r="X106" i="22"/>
  <c r="R53" i="22"/>
  <c r="W88" i="22"/>
  <c r="G51" i="22"/>
  <c r="W131" i="22"/>
  <c r="W94" i="22"/>
  <c r="P52" i="22"/>
  <c r="P109" i="22"/>
  <c r="G53" i="22"/>
  <c r="N109" i="22"/>
  <c r="V119" i="22"/>
  <c r="O109" i="22"/>
  <c r="W123" i="22"/>
  <c r="X122" i="22"/>
  <c r="M106" i="22"/>
  <c r="X100" i="22"/>
  <c r="X97" i="22"/>
  <c r="G105" i="22"/>
  <c r="X99" i="22"/>
  <c r="P53" i="22"/>
  <c r="M53" i="22"/>
  <c r="O110" i="22"/>
  <c r="X90" i="22"/>
  <c r="X91" i="22"/>
  <c r="N53" i="22"/>
  <c r="X127" i="22"/>
  <c r="W106" i="22"/>
  <c r="W120" i="22"/>
  <c r="W122" i="22"/>
  <c r="X86" i="22"/>
  <c r="X132" i="22"/>
  <c r="X109" i="22"/>
  <c r="O55" i="22"/>
  <c r="X113" i="22"/>
  <c r="X92" i="22"/>
  <c r="X88" i="22"/>
  <c r="W100" i="22"/>
  <c r="X108" i="22"/>
  <c r="N110" i="22"/>
  <c r="X104" i="22"/>
  <c r="G108" i="22"/>
  <c r="X102" i="22"/>
  <c r="P110" i="22"/>
  <c r="X118" i="22"/>
  <c r="X110" i="22"/>
  <c r="N111" i="22"/>
  <c r="X130" i="22"/>
  <c r="Y129" i="22"/>
  <c r="G107" i="22"/>
  <c r="X126" i="22"/>
  <c r="X128" i="22"/>
  <c r="O111" i="22"/>
  <c r="X93" i="22"/>
  <c r="X96" i="22"/>
  <c r="X101" i="22"/>
  <c r="P54" i="22"/>
  <c r="X107" i="22"/>
  <c r="X94" i="22"/>
  <c r="W86" i="22"/>
  <c r="Q55" i="22"/>
  <c r="X114" i="22"/>
  <c r="Y90" i="22"/>
  <c r="O54" i="22"/>
  <c r="X95" i="22"/>
  <c r="Q53" i="22"/>
  <c r="X115" i="22"/>
  <c r="X87" i="22"/>
  <c r="W112" i="22"/>
  <c r="M105" i="22"/>
  <c r="X131" i="22"/>
  <c r="X119" i="22"/>
  <c r="X117" i="22"/>
  <c r="X111" i="22"/>
  <c r="X123" i="22"/>
  <c r="X112" i="22"/>
  <c r="X89" i="22"/>
  <c r="X120" i="22"/>
  <c r="N55" i="22"/>
  <c r="Y127" i="22"/>
  <c r="Y128" i="22"/>
  <c r="W124" i="22"/>
  <c r="Y105" i="22"/>
  <c r="Y130" i="22"/>
  <c r="X125" i="22"/>
  <c r="Y109" i="22"/>
  <c r="Y92" i="22"/>
  <c r="X103" i="22"/>
  <c r="O112" i="22"/>
  <c r="Y120" i="22"/>
  <c r="Q54" i="22"/>
  <c r="N112" i="22"/>
  <c r="N56" i="22"/>
  <c r="S57" i="22"/>
  <c r="Y113" i="22"/>
  <c r="Y132" i="22"/>
  <c r="X98" i="22"/>
  <c r="X105" i="22"/>
  <c r="G54" i="22"/>
  <c r="M108" i="22"/>
  <c r="Y102" i="22"/>
  <c r="Y101" i="22"/>
  <c r="Y93" i="22"/>
  <c r="Y94" i="22"/>
  <c r="Y98" i="22"/>
  <c r="P55" i="22"/>
  <c r="M107" i="22"/>
  <c r="Y112" i="22"/>
  <c r="Y103" i="22"/>
  <c r="Y111" i="22"/>
  <c r="Y100" i="22"/>
  <c r="M55" i="22"/>
  <c r="Y99" i="22"/>
  <c r="Y95" i="22"/>
  <c r="S56" i="22"/>
  <c r="R55" i="22"/>
  <c r="Y116" i="22"/>
  <c r="O56" i="22"/>
  <c r="X129" i="22"/>
  <c r="Q56" i="22"/>
  <c r="Y117" i="22"/>
  <c r="X124" i="22"/>
  <c r="M54" i="22"/>
  <c r="Y91" i="22"/>
  <c r="G106" i="22"/>
  <c r="G55" i="22"/>
  <c r="Y131" i="22"/>
  <c r="Y125" i="22"/>
  <c r="Y115" i="22"/>
  <c r="Z102" i="22"/>
  <c r="Y87" i="22"/>
  <c r="Y119" i="22"/>
  <c r="Y126" i="22"/>
  <c r="Y88" i="22"/>
  <c r="Y107" i="22"/>
  <c r="G56" i="22"/>
  <c r="M56" i="22"/>
  <c r="R56" i="22"/>
  <c r="P57" i="22"/>
  <c r="G110" i="22"/>
  <c r="Y108" i="22"/>
  <c r="N54" i="22"/>
  <c r="Y114" i="22"/>
  <c r="O113" i="22"/>
  <c r="Y110" i="22"/>
  <c r="N57" i="22"/>
  <c r="G109" i="22"/>
  <c r="O57" i="22"/>
  <c r="M109" i="22"/>
  <c r="Z96" i="22"/>
  <c r="Y104" i="22"/>
  <c r="Y86" i="22"/>
  <c r="Y97" i="22"/>
  <c r="Z119" i="22"/>
  <c r="Y118" i="22"/>
  <c r="P113" i="22"/>
  <c r="Y96" i="22"/>
  <c r="Y106" i="22"/>
  <c r="Z116" i="22"/>
  <c r="Z95" i="22"/>
  <c r="N114" i="22"/>
  <c r="Z103" i="22"/>
  <c r="P56" i="22"/>
  <c r="Z92" i="22"/>
  <c r="Z89" i="22"/>
  <c r="Z86" i="22"/>
  <c r="R57" i="22"/>
  <c r="Z128" i="22"/>
  <c r="Z91" i="22"/>
  <c r="Z97" i="22"/>
  <c r="Z112" i="22"/>
  <c r="Q57" i="22"/>
  <c r="Z120" i="22"/>
  <c r="Z118" i="22"/>
  <c r="P114" i="22"/>
  <c r="Z115" i="22"/>
  <c r="Z117" i="22"/>
  <c r="Z87" i="22"/>
  <c r="S59" i="22"/>
  <c r="G111" i="22"/>
  <c r="N113" i="22"/>
  <c r="Z99" i="22"/>
  <c r="Z110" i="22"/>
  <c r="R58" i="22"/>
  <c r="Z100" i="22"/>
  <c r="Z94" i="22"/>
  <c r="Z129" i="22"/>
  <c r="Z131" i="22"/>
  <c r="Z93" i="22"/>
  <c r="Z107" i="22"/>
  <c r="Z104" i="22"/>
  <c r="Z105" i="22"/>
  <c r="Z113" i="22"/>
  <c r="Z132" i="22"/>
  <c r="Z101" i="22"/>
  <c r="Z98" i="22"/>
  <c r="T59" i="22"/>
  <c r="Z109" i="22"/>
  <c r="Z111" i="22"/>
  <c r="G112" i="22"/>
  <c r="T60" i="22"/>
  <c r="M59" i="22"/>
  <c r="N115" i="22"/>
  <c r="M57" i="22"/>
  <c r="Z114" i="22"/>
  <c r="R60" i="22"/>
  <c r="G58" i="22"/>
  <c r="O59" i="22"/>
  <c r="Q59" i="22"/>
  <c r="M111" i="22"/>
  <c r="Z130" i="22"/>
  <c r="N59" i="22"/>
  <c r="G59" i="22"/>
  <c r="Q58" i="22"/>
  <c r="Z106" i="22"/>
  <c r="Z90" i="22"/>
  <c r="R59" i="22"/>
  <c r="M110" i="22"/>
  <c r="N58" i="22"/>
  <c r="Z108" i="22"/>
  <c r="O115" i="22"/>
  <c r="Z88" i="22"/>
  <c r="AA94" i="22"/>
  <c r="S58" i="22"/>
  <c r="H60" i="22"/>
  <c r="G57" i="22"/>
  <c r="O116" i="22"/>
  <c r="AA103" i="22"/>
  <c r="AA105" i="22"/>
  <c r="AA97" i="22"/>
  <c r="AA112" i="22"/>
  <c r="O61" i="22"/>
  <c r="AA102" i="22"/>
  <c r="AA118" i="22"/>
  <c r="AA132" i="22"/>
  <c r="M112" i="22"/>
  <c r="AA108" i="22"/>
  <c r="AA107" i="22"/>
  <c r="R61" i="22"/>
  <c r="M60" i="22"/>
  <c r="AA113" i="22"/>
  <c r="AA99" i="22"/>
  <c r="AA116" i="22"/>
  <c r="AA95" i="22"/>
  <c r="AA111" i="22"/>
  <c r="Y89" i="22"/>
  <c r="AA96" i="22"/>
  <c r="O60" i="22"/>
  <c r="AA92" i="22"/>
  <c r="M58" i="22"/>
  <c r="AA114" i="22"/>
  <c r="AA93" i="22"/>
  <c r="AA101" i="22"/>
  <c r="AA109" i="22"/>
  <c r="AA98" i="22"/>
  <c r="H59" i="22"/>
  <c r="AA131" i="22"/>
  <c r="AA120" i="22"/>
  <c r="AA100" i="22"/>
  <c r="AA89" i="22"/>
  <c r="N60" i="22"/>
  <c r="O58" i="22"/>
  <c r="AA117" i="22"/>
  <c r="AA91" i="22"/>
  <c r="AA87" i="22"/>
  <c r="T61" i="22"/>
  <c r="AA104" i="22"/>
  <c r="G113" i="22"/>
  <c r="N117" i="22"/>
  <c r="P60" i="22"/>
  <c r="AA106" i="22"/>
  <c r="AA88" i="22"/>
  <c r="Q60" i="22"/>
  <c r="P58" i="22"/>
  <c r="O62" i="22"/>
  <c r="AA86" i="22"/>
  <c r="AA110" i="22"/>
  <c r="S60" i="22"/>
  <c r="P117" i="22"/>
  <c r="M113" i="22"/>
  <c r="AA115" i="22"/>
  <c r="P59" i="22"/>
  <c r="P62" i="22"/>
  <c r="O117" i="22"/>
  <c r="AA90" i="22"/>
  <c r="H61" i="22"/>
  <c r="AA119" i="22"/>
  <c r="P61" i="22"/>
  <c r="G114" i="22"/>
  <c r="S62" i="22"/>
  <c r="G60" i="22"/>
  <c r="N63" i="22"/>
  <c r="N116" i="22"/>
  <c r="T63" i="22"/>
  <c r="G61" i="22"/>
  <c r="N62" i="22"/>
  <c r="G115" i="22"/>
  <c r="O63" i="22"/>
  <c r="N61" i="22"/>
  <c r="N118" i="22"/>
  <c r="O118" i="22"/>
  <c r="M61" i="22"/>
  <c r="S61" i="22"/>
  <c r="M114" i="22"/>
  <c r="R62" i="22"/>
  <c r="P63" i="22"/>
  <c r="H63" i="22"/>
  <c r="O119" i="22"/>
  <c r="U63" i="22"/>
  <c r="P119" i="22"/>
  <c r="G63" i="22"/>
  <c r="Q61" i="22"/>
  <c r="H62" i="22"/>
  <c r="G62" i="22"/>
  <c r="M62" i="22"/>
  <c r="N119" i="22"/>
  <c r="Q63" i="22"/>
  <c r="Q62" i="22"/>
  <c r="M63" i="22"/>
  <c r="T62" i="22"/>
  <c r="N139" i="22"/>
  <c r="M116" i="22"/>
  <c r="Q64" i="22"/>
  <c r="O139" i="22"/>
  <c r="U62" i="22"/>
  <c r="P64" i="22"/>
  <c r="U64" i="22"/>
  <c r="N120" i="22"/>
  <c r="G116" i="22"/>
  <c r="R64" i="22"/>
  <c r="R65" i="22"/>
  <c r="O64" i="22"/>
  <c r="S65" i="22"/>
  <c r="H64" i="22"/>
  <c r="T64" i="22"/>
  <c r="N64" i="22"/>
  <c r="O120" i="22"/>
  <c r="R63" i="22"/>
  <c r="S64" i="22"/>
  <c r="S63" i="22"/>
  <c r="T65" i="22"/>
  <c r="P139" i="22"/>
  <c r="G117" i="22"/>
  <c r="Q98" i="22"/>
  <c r="O89" i="22"/>
  <c r="O65" i="22"/>
  <c r="M64" i="22"/>
  <c r="N65" i="22"/>
  <c r="S66" i="22"/>
  <c r="N121" i="22"/>
  <c r="P66" i="22"/>
  <c r="O87" i="22"/>
  <c r="P88" i="22"/>
  <c r="O88" i="22"/>
  <c r="M117" i="22"/>
  <c r="P91" i="22"/>
  <c r="P93" i="22"/>
  <c r="P92" i="22"/>
  <c r="N66" i="22"/>
  <c r="M115" i="22"/>
  <c r="N88" i="22"/>
  <c r="O121" i="22"/>
  <c r="Q121" i="22"/>
  <c r="G64" i="22"/>
  <c r="Q65" i="22"/>
  <c r="N86" i="22"/>
  <c r="O92" i="22"/>
  <c r="G118" i="22"/>
  <c r="O86" i="22"/>
  <c r="O91" i="22"/>
  <c r="N87" i="22"/>
  <c r="G65" i="22"/>
  <c r="T66" i="22"/>
  <c r="G97" i="22"/>
  <c r="H65" i="22"/>
  <c r="G95" i="22"/>
  <c r="V65" i="22"/>
  <c r="T67" i="22"/>
  <c r="O66" i="22"/>
  <c r="R67" i="22"/>
  <c r="Q66" i="22"/>
  <c r="O122" i="22"/>
  <c r="M65" i="22"/>
  <c r="S67" i="22"/>
  <c r="G90" i="22"/>
  <c r="M118" i="22"/>
  <c r="G91" i="22"/>
  <c r="P65" i="22"/>
  <c r="U65" i="22"/>
  <c r="G93" i="22"/>
  <c r="G94" i="22"/>
  <c r="G119" i="22"/>
  <c r="H66" i="22"/>
  <c r="V67" i="22"/>
  <c r="G96" i="22"/>
  <c r="O68" i="22"/>
  <c r="G89" i="22"/>
  <c r="M67" i="22"/>
  <c r="Q67" i="22"/>
  <c r="N123" i="22"/>
  <c r="P68" i="22"/>
  <c r="G92" i="22"/>
  <c r="G87" i="22"/>
  <c r="R66" i="22"/>
  <c r="M119" i="22"/>
  <c r="U67" i="22"/>
  <c r="N89" i="22"/>
  <c r="P67" i="22"/>
  <c r="M66" i="22"/>
  <c r="U66" i="22"/>
  <c r="G67" i="22"/>
  <c r="G66" i="22"/>
  <c r="O123" i="22"/>
  <c r="G139" i="22"/>
  <c r="W68" i="22"/>
  <c r="N122" i="22"/>
  <c r="G88" i="22"/>
  <c r="T68" i="22"/>
  <c r="V66" i="22"/>
  <c r="N67" i="22"/>
  <c r="V69" i="22"/>
  <c r="U68" i="22"/>
  <c r="O67" i="22"/>
  <c r="G121" i="22"/>
  <c r="O69" i="22"/>
  <c r="N124" i="22"/>
  <c r="G120" i="22"/>
  <c r="S68" i="22"/>
  <c r="H67" i="22"/>
  <c r="T69" i="22"/>
  <c r="M87" i="22"/>
  <c r="O124" i="22"/>
  <c r="N68" i="22"/>
  <c r="H68" i="22"/>
  <c r="M139" i="22"/>
  <c r="G68" i="22"/>
  <c r="Q68" i="22"/>
  <c r="G86" i="22"/>
  <c r="W41" i="22"/>
  <c r="T54" i="22"/>
  <c r="T46" i="22"/>
  <c r="X42" i="22"/>
  <c r="P38" i="22"/>
  <c r="R68" i="22"/>
  <c r="N125" i="22"/>
  <c r="R70" i="22"/>
  <c r="M69" i="22"/>
  <c r="R38" i="22"/>
  <c r="M120" i="22"/>
  <c r="N70" i="22"/>
  <c r="M86" i="22"/>
  <c r="V35" i="22"/>
  <c r="R45" i="22"/>
  <c r="O125" i="22"/>
  <c r="X54" i="22"/>
  <c r="V68" i="22"/>
  <c r="V45" i="22"/>
  <c r="Q38" i="22"/>
  <c r="P70" i="22"/>
  <c r="N35" i="22"/>
  <c r="S48" i="22"/>
  <c r="R69" i="22"/>
  <c r="T41" i="22"/>
  <c r="R49" i="22"/>
  <c r="O35" i="22"/>
  <c r="P125" i="22"/>
  <c r="M88" i="22"/>
  <c r="V42" i="22"/>
  <c r="S39" i="22"/>
  <c r="W52" i="22"/>
  <c r="W64" i="22"/>
  <c r="R42" i="22"/>
  <c r="V39" i="22"/>
  <c r="V40" i="22"/>
  <c r="R46" i="22"/>
  <c r="G37" i="22"/>
  <c r="U50" i="22"/>
  <c r="R50" i="22"/>
  <c r="O126" i="22"/>
  <c r="R35" i="22"/>
  <c r="H44" i="22"/>
  <c r="R43" i="22"/>
  <c r="W40" i="22"/>
  <c r="T44" i="22"/>
  <c r="I35" i="22"/>
  <c r="V52" i="22"/>
  <c r="P41" i="22"/>
  <c r="Q43" i="22"/>
  <c r="M121" i="22"/>
  <c r="G38" i="22"/>
  <c r="H45" i="22"/>
  <c r="V54" i="22"/>
  <c r="P42" i="22"/>
  <c r="X52" i="22"/>
  <c r="X36" i="22"/>
  <c r="U69" i="22"/>
  <c r="W67" i="22"/>
  <c r="S69" i="22"/>
  <c r="O39" i="22"/>
  <c r="W54" i="22"/>
  <c r="V61" i="22"/>
  <c r="S42" i="22"/>
  <c r="U70" i="22"/>
  <c r="G35" i="22"/>
  <c r="X47" i="22"/>
  <c r="R37" i="22"/>
  <c r="H37" i="22"/>
  <c r="H40" i="22"/>
  <c r="G36" i="22"/>
  <c r="S38" i="22"/>
  <c r="G46" i="22"/>
  <c r="U35" i="22"/>
  <c r="T39" i="22"/>
  <c r="U49" i="22"/>
  <c r="W70" i="22"/>
  <c r="T48" i="22"/>
  <c r="S53" i="22"/>
  <c r="W45" i="22"/>
  <c r="U58" i="22"/>
  <c r="H39" i="22"/>
  <c r="W46" i="22"/>
  <c r="U37" i="22"/>
  <c r="U39" i="22"/>
  <c r="S70" i="22"/>
  <c r="R39" i="22"/>
  <c r="X66" i="22"/>
  <c r="I54" i="22"/>
  <c r="Q35" i="22"/>
  <c r="G41" i="22"/>
  <c r="W47" i="22"/>
  <c r="M35" i="22"/>
  <c r="X39" i="22"/>
  <c r="V47" i="22"/>
  <c r="P35" i="22"/>
  <c r="S45" i="22"/>
  <c r="G122" i="22"/>
  <c r="N36" i="22"/>
  <c r="R41" i="22"/>
  <c r="H70" i="22"/>
  <c r="R48" i="22"/>
  <c r="Q47" i="22"/>
  <c r="X44" i="22"/>
  <c r="V50" i="22"/>
  <c r="V57" i="22"/>
  <c r="X50" i="22"/>
  <c r="W56" i="22"/>
  <c r="T40" i="22"/>
  <c r="W59" i="22"/>
  <c r="H58" i="22"/>
  <c r="W42" i="22"/>
  <c r="O42" i="22"/>
  <c r="P40" i="22"/>
  <c r="S50" i="22"/>
  <c r="U55" i="22"/>
  <c r="U57" i="22"/>
  <c r="T49" i="22"/>
  <c r="H41" i="22"/>
  <c r="Q46" i="22"/>
  <c r="S37" i="22"/>
  <c r="N126" i="22"/>
  <c r="W53" i="22"/>
  <c r="U38" i="22"/>
  <c r="T38" i="22"/>
  <c r="S36" i="22"/>
  <c r="V55" i="22"/>
  <c r="W49" i="22"/>
  <c r="W58" i="22"/>
  <c r="R47" i="22"/>
  <c r="W69" i="22"/>
  <c r="I38" i="22"/>
  <c r="P36" i="22"/>
  <c r="T58" i="22"/>
  <c r="W51" i="22"/>
  <c r="V43" i="22"/>
  <c r="V51" i="22"/>
  <c r="W35" i="22"/>
  <c r="R40" i="22"/>
  <c r="V58" i="22"/>
  <c r="H48" i="22"/>
  <c r="H53" i="22"/>
  <c r="V64" i="22"/>
  <c r="X61" i="22"/>
  <c r="Q40" i="22"/>
  <c r="X48" i="22"/>
  <c r="P45" i="22"/>
  <c r="T42" i="22"/>
  <c r="T55" i="22"/>
  <c r="P69" i="22"/>
  <c r="O36" i="22"/>
  <c r="U52" i="22"/>
  <c r="S51" i="22"/>
  <c r="Q37" i="22"/>
  <c r="X62" i="22"/>
  <c r="X68" i="22"/>
  <c r="V41" i="22"/>
  <c r="G45" i="22"/>
  <c r="W44" i="22"/>
  <c r="Q49" i="22"/>
  <c r="U46" i="22"/>
  <c r="W57" i="22"/>
  <c r="N69" i="22"/>
  <c r="Q44" i="22"/>
  <c r="N127" i="22"/>
  <c r="U44" i="22"/>
  <c r="O127" i="22"/>
  <c r="V62" i="22"/>
  <c r="M70" i="22"/>
  <c r="S46" i="22"/>
  <c r="U56" i="22"/>
  <c r="H69" i="22"/>
  <c r="G123" i="22"/>
  <c r="H35" i="22"/>
  <c r="O37" i="22"/>
  <c r="X49" i="22"/>
  <c r="I39" i="22"/>
  <c r="I42" i="22"/>
  <c r="V60" i="22"/>
  <c r="I45" i="22"/>
  <c r="X56" i="22"/>
  <c r="M36" i="22"/>
  <c r="N39" i="22"/>
  <c r="O41" i="22"/>
  <c r="V46" i="22"/>
  <c r="T70" i="22"/>
  <c r="I56" i="22"/>
  <c r="I55" i="22"/>
  <c r="X64" i="22"/>
  <c r="H57" i="22"/>
  <c r="N38" i="22"/>
  <c r="W66" i="22"/>
  <c r="U51" i="22"/>
  <c r="I49" i="22"/>
  <c r="R36" i="22"/>
  <c r="R44" i="22"/>
  <c r="T35" i="22"/>
  <c r="T36" i="22"/>
  <c r="R71" i="22"/>
  <c r="M122" i="22"/>
  <c r="W65" i="22"/>
  <c r="H47" i="22"/>
  <c r="Q36" i="22"/>
  <c r="I63" i="22"/>
  <c r="H56" i="22"/>
  <c r="U59" i="22"/>
  <c r="S40" i="22"/>
  <c r="R51" i="22"/>
  <c r="S41" i="22"/>
  <c r="I41" i="22"/>
  <c r="W39" i="22"/>
  <c r="V59" i="22"/>
  <c r="X57" i="22"/>
  <c r="M68" i="22"/>
  <c r="G42" i="22"/>
  <c r="S43" i="22"/>
  <c r="Q39" i="22"/>
  <c r="S54" i="22"/>
  <c r="Q45" i="22"/>
  <c r="P44" i="22"/>
  <c r="W62" i="22"/>
  <c r="R52" i="22"/>
  <c r="X59" i="22"/>
  <c r="H49" i="22"/>
  <c r="I37" i="22"/>
  <c r="I58" i="22"/>
  <c r="T45" i="22"/>
  <c r="N71" i="22"/>
  <c r="I43" i="22"/>
  <c r="U42" i="22"/>
  <c r="H36" i="22"/>
  <c r="S44" i="22"/>
  <c r="U54" i="22"/>
  <c r="P43" i="22"/>
  <c r="V70" i="22"/>
  <c r="P37" i="22"/>
  <c r="G43" i="22"/>
  <c r="P39" i="22"/>
  <c r="T47" i="22"/>
  <c r="T52" i="22"/>
  <c r="S55" i="22"/>
  <c r="T43" i="22"/>
  <c r="W50" i="22"/>
  <c r="G69" i="22"/>
  <c r="U61" i="22"/>
  <c r="W55" i="22"/>
  <c r="X72" i="22"/>
  <c r="U43" i="22"/>
  <c r="H51" i="22"/>
  <c r="X46" i="22"/>
  <c r="O70" i="22"/>
  <c r="U48" i="22"/>
  <c r="X60" i="22"/>
  <c r="V44" i="22"/>
  <c r="X45" i="22"/>
  <c r="Q42" i="22"/>
  <c r="I46" i="22"/>
  <c r="I52" i="22"/>
  <c r="Q69" i="22"/>
  <c r="X65" i="22"/>
  <c r="S35" i="22"/>
  <c r="G40" i="22"/>
  <c r="X38" i="22"/>
  <c r="S47" i="22"/>
  <c r="O40" i="22"/>
  <c r="I36" i="22"/>
  <c r="M37" i="22"/>
  <c r="T51" i="22"/>
  <c r="X51" i="22"/>
  <c r="U72" i="22"/>
  <c r="V48" i="22"/>
  <c r="W38" i="22"/>
  <c r="H50" i="22"/>
  <c r="I67" i="22"/>
  <c r="U40" i="22"/>
  <c r="I57" i="22"/>
  <c r="T56" i="22"/>
  <c r="H73" i="22"/>
  <c r="S71" i="22"/>
  <c r="X55" i="22"/>
  <c r="H52" i="22"/>
  <c r="T37" i="22"/>
  <c r="I66" i="22"/>
  <c r="O38" i="22"/>
  <c r="H46" i="22"/>
  <c r="W63" i="22"/>
  <c r="S49" i="22"/>
  <c r="U47" i="22"/>
  <c r="X40" i="22"/>
  <c r="G39" i="22"/>
  <c r="P128" i="22"/>
  <c r="T50" i="22"/>
  <c r="G70" i="22"/>
  <c r="Q48" i="22"/>
  <c r="N72" i="22"/>
  <c r="P71" i="22"/>
  <c r="S52" i="22"/>
  <c r="I65" i="22"/>
  <c r="T53" i="22"/>
  <c r="W48" i="22"/>
  <c r="I50" i="22"/>
  <c r="T57" i="22"/>
  <c r="U71" i="22"/>
  <c r="V37" i="22"/>
  <c r="Q70" i="22"/>
  <c r="T71" i="22"/>
  <c r="H55" i="22"/>
  <c r="O72" i="22"/>
  <c r="V63" i="22"/>
  <c r="I48" i="22"/>
  <c r="I44" i="22"/>
  <c r="I64" i="22"/>
  <c r="V56" i="22"/>
  <c r="W60" i="22"/>
  <c r="P46" i="22"/>
  <c r="Q41" i="22"/>
  <c r="U36" i="22"/>
  <c r="U45" i="22"/>
  <c r="W61" i="22"/>
  <c r="I62" i="22"/>
  <c r="H42" i="22"/>
  <c r="V38" i="22"/>
  <c r="W36" i="22"/>
  <c r="U60" i="22"/>
  <c r="X71" i="22"/>
  <c r="V49" i="22"/>
  <c r="W71" i="22"/>
  <c r="U53" i="22"/>
  <c r="I72" i="22"/>
  <c r="W37" i="22"/>
  <c r="H38" i="22"/>
  <c r="P73" i="22"/>
  <c r="I59" i="22"/>
  <c r="I47" i="22"/>
  <c r="V73" i="22"/>
  <c r="X41" i="22"/>
  <c r="Y50" i="22"/>
  <c r="I71" i="22"/>
  <c r="G44" i="22"/>
  <c r="P72" i="22"/>
  <c r="Y63" i="22"/>
  <c r="H43" i="22"/>
  <c r="H71" i="22"/>
  <c r="Y57" i="22"/>
  <c r="N73" i="22"/>
  <c r="I68" i="22"/>
  <c r="O129" i="22"/>
  <c r="N128" i="22"/>
  <c r="H54" i="22"/>
  <c r="Q71" i="22"/>
  <c r="M123" i="22"/>
  <c r="N129" i="22"/>
  <c r="O71" i="22"/>
  <c r="I61" i="22"/>
  <c r="N40" i="22"/>
  <c r="T72" i="22"/>
  <c r="W73" i="22"/>
  <c r="Y44" i="22"/>
  <c r="T73" i="22"/>
  <c r="I51" i="22"/>
  <c r="W43" i="22"/>
  <c r="Y52" i="22"/>
  <c r="U41" i="22"/>
  <c r="G124" i="22"/>
  <c r="Y64" i="22"/>
  <c r="Y71" i="22"/>
  <c r="O43" i="22"/>
  <c r="M72" i="22"/>
  <c r="Y35" i="22"/>
  <c r="X53" i="22"/>
  <c r="X67" i="22"/>
  <c r="G71" i="22"/>
  <c r="Y65" i="22"/>
  <c r="V53" i="22"/>
  <c r="I53" i="22"/>
  <c r="V72" i="22"/>
  <c r="V74" i="22"/>
  <c r="V71" i="22"/>
  <c r="X35" i="22"/>
  <c r="X63" i="22"/>
  <c r="W72" i="22"/>
  <c r="Y61" i="22"/>
  <c r="M124" i="22"/>
  <c r="N37" i="22"/>
  <c r="X58" i="22"/>
  <c r="M71" i="22"/>
  <c r="G126" i="22"/>
  <c r="X73" i="22"/>
  <c r="Y62" i="22"/>
  <c r="S72" i="22"/>
  <c r="Q72" i="22"/>
  <c r="S73" i="22"/>
  <c r="Y72" i="22"/>
  <c r="Z54" i="22"/>
  <c r="X77" i="22"/>
  <c r="Z65" i="22"/>
  <c r="M73" i="22"/>
  <c r="H72" i="22"/>
  <c r="Y38" i="22"/>
  <c r="Y66" i="22"/>
  <c r="M130" i="22"/>
  <c r="W79" i="22"/>
  <c r="Q77" i="22"/>
  <c r="Q73" i="22"/>
  <c r="G130" i="22"/>
  <c r="P130" i="22"/>
  <c r="Y43" i="22"/>
  <c r="N75" i="22"/>
  <c r="Z44" i="22"/>
  <c r="P77" i="22"/>
  <c r="Y39" i="22"/>
  <c r="I60" i="22"/>
  <c r="V36" i="22"/>
  <c r="O130" i="22"/>
  <c r="Z66" i="22"/>
  <c r="Y76" i="22"/>
  <c r="Z55" i="22"/>
  <c r="O128" i="22"/>
  <c r="Y67" i="22"/>
  <c r="Z72" i="22"/>
  <c r="Z42" i="22"/>
  <c r="T77" i="22"/>
  <c r="G72" i="22"/>
  <c r="I40" i="22"/>
  <c r="X43" i="22"/>
  <c r="Y42" i="22"/>
  <c r="I77" i="22"/>
  <c r="U74" i="22"/>
  <c r="I73" i="22"/>
  <c r="R72" i="22"/>
  <c r="G79" i="22"/>
  <c r="I75" i="22"/>
  <c r="Y68" i="22"/>
  <c r="N130" i="22"/>
  <c r="W75" i="22"/>
  <c r="G128" i="22"/>
  <c r="N76" i="22"/>
  <c r="Y60" i="22"/>
  <c r="M125" i="22"/>
  <c r="G125" i="22"/>
  <c r="Y77" i="22"/>
  <c r="S76" i="22"/>
  <c r="W74" i="22"/>
  <c r="X74" i="22"/>
  <c r="U73" i="22"/>
  <c r="Y49" i="22"/>
  <c r="Y46" i="22"/>
  <c r="I78" i="22"/>
  <c r="W76" i="22"/>
  <c r="Q75" i="22"/>
  <c r="Y55" i="22"/>
  <c r="O73" i="22"/>
  <c r="Y51" i="22"/>
  <c r="V80" i="22"/>
  <c r="O131" i="22"/>
  <c r="H75" i="22"/>
  <c r="Y37" i="22"/>
  <c r="H78" i="22"/>
  <c r="Z37" i="22"/>
  <c r="T76" i="22"/>
  <c r="Z67" i="22"/>
  <c r="M127" i="22"/>
  <c r="Q79" i="22"/>
  <c r="AA45" i="22"/>
  <c r="G129" i="22"/>
  <c r="U80" i="22"/>
  <c r="AA73" i="22"/>
  <c r="U78" i="22"/>
  <c r="Q74" i="22"/>
  <c r="X76" i="22"/>
  <c r="P78" i="22"/>
  <c r="Z38" i="22"/>
  <c r="G78" i="22"/>
  <c r="Y75" i="22"/>
  <c r="AA37" i="22"/>
  <c r="Z56" i="22"/>
  <c r="AA54" i="22"/>
  <c r="I80" i="22"/>
  <c r="Z53" i="22"/>
  <c r="Z36" i="22"/>
  <c r="R73" i="22"/>
  <c r="N78" i="22"/>
  <c r="N77" i="22"/>
  <c r="X79" i="22"/>
  <c r="U79" i="22"/>
  <c r="I79" i="22"/>
  <c r="AA75" i="22"/>
  <c r="AA41" i="22"/>
  <c r="AA67" i="22"/>
  <c r="Y54" i="22"/>
  <c r="P74" i="22"/>
  <c r="V76" i="22"/>
  <c r="Z41" i="22"/>
  <c r="U75" i="22"/>
  <c r="X78" i="22"/>
  <c r="V77" i="22"/>
  <c r="AA44" i="22"/>
  <c r="AA74" i="22"/>
  <c r="Z46" i="22"/>
  <c r="AA52" i="22"/>
  <c r="AA77" i="22"/>
  <c r="Z71" i="22"/>
  <c r="Z50" i="22"/>
  <c r="Y48" i="22"/>
  <c r="Q78" i="22"/>
  <c r="Z57" i="22"/>
  <c r="W78" i="22"/>
  <c r="O78" i="22"/>
  <c r="AA60" i="22"/>
  <c r="AA66" i="22"/>
  <c r="Z48" i="22"/>
  <c r="Z64" i="22"/>
  <c r="Y36" i="22"/>
  <c r="O80" i="22"/>
  <c r="S79" i="22"/>
  <c r="Z49" i="22"/>
  <c r="AA35" i="22"/>
  <c r="Z39" i="22"/>
  <c r="R78" i="22"/>
  <c r="AA49" i="22"/>
  <c r="R76" i="22"/>
  <c r="AA42" i="22"/>
  <c r="AA71" i="22"/>
  <c r="G77" i="22"/>
  <c r="Z51" i="22"/>
  <c r="P76" i="22"/>
  <c r="R81" i="22"/>
  <c r="T80" i="22"/>
  <c r="Z45" i="22"/>
  <c r="G74" i="22"/>
  <c r="AA59" i="22"/>
  <c r="H76" i="22"/>
  <c r="M77" i="22"/>
  <c r="AA57" i="22"/>
  <c r="Z68" i="22"/>
  <c r="S80" i="22"/>
  <c r="X80" i="22"/>
  <c r="Z73" i="22"/>
  <c r="M75" i="22"/>
  <c r="AA65" i="22"/>
  <c r="M132" i="22"/>
  <c r="G132" i="22"/>
  <c r="Y80" i="22"/>
  <c r="G73" i="22"/>
  <c r="Z60" i="22"/>
  <c r="Z80" i="22"/>
  <c r="R77" i="22"/>
  <c r="Z79" i="22"/>
  <c r="Z47" i="22"/>
  <c r="P79" i="22"/>
  <c r="G131" i="22"/>
  <c r="AA80" i="22"/>
  <c r="R75" i="22"/>
  <c r="V79" i="22"/>
  <c r="AA72" i="22"/>
  <c r="N80" i="22"/>
  <c r="Z63" i="22"/>
  <c r="T78" i="22"/>
  <c r="X37" i="22"/>
  <c r="T75" i="22"/>
  <c r="G127" i="22"/>
  <c r="Y45" i="22"/>
  <c r="Y79" i="22"/>
  <c r="M131" i="22"/>
  <c r="G75" i="22"/>
  <c r="Z62" i="22"/>
  <c r="Y74" i="22"/>
  <c r="AA55" i="22"/>
  <c r="AA78" i="22"/>
  <c r="T79" i="22"/>
  <c r="AA46" i="22"/>
  <c r="Y58" i="22"/>
  <c r="V78" i="22"/>
  <c r="AA47" i="22"/>
  <c r="O77" i="22"/>
  <c r="AA61" i="22"/>
  <c r="P131" i="22"/>
  <c r="Z43" i="22"/>
  <c r="V75" i="22"/>
  <c r="Y78" i="22"/>
  <c r="G76" i="22"/>
  <c r="N81" i="22"/>
  <c r="R80" i="22"/>
  <c r="Z40" i="22"/>
  <c r="AA64" i="22"/>
  <c r="Z59" i="22"/>
  <c r="M74" i="22"/>
  <c r="AA50" i="22"/>
  <c r="N74" i="22"/>
  <c r="AA79" i="22"/>
  <c r="Y47" i="22"/>
  <c r="Q76" i="22"/>
  <c r="O79" i="22"/>
  <c r="M78" i="22"/>
  <c r="AA43" i="22"/>
  <c r="N132" i="22"/>
  <c r="G80" i="22"/>
  <c r="T74" i="22"/>
  <c r="AA38" i="22"/>
  <c r="Y53" i="22"/>
  <c r="R74" i="22"/>
  <c r="N131" i="22"/>
  <c r="P75" i="22"/>
  <c r="AA62" i="22"/>
  <c r="Z76" i="22"/>
  <c r="S74" i="22"/>
  <c r="H77" i="22"/>
  <c r="M79" i="22"/>
  <c r="AA53" i="22"/>
  <c r="X81" i="22"/>
  <c r="S81" i="22"/>
  <c r="Y81" i="22"/>
  <c r="O81" i="22"/>
  <c r="I81" i="22"/>
  <c r="U81" i="22"/>
  <c r="M81" i="22"/>
  <c r="G81" i="22"/>
  <c r="P81" i="22"/>
  <c r="AA81" i="22"/>
  <c r="V81" i="22"/>
  <c r="H81" i="22"/>
  <c r="Q81" i="22"/>
  <c r="W81" i="22"/>
  <c r="CH87" i="20"/>
  <c r="BE132" i="13" s="1"/>
  <c r="BC62" i="13"/>
  <c r="T59" i="8" a="1"/>
  <c r="T59" i="8" s="1"/>
  <c r="O59" i="8" a="1"/>
  <c r="O59" i="8" s="1"/>
  <c r="AO59" i="8" a="1"/>
  <c r="AO59" i="8" s="1"/>
  <c r="U59" i="8" a="1"/>
  <c r="U59" i="8" s="1"/>
  <c r="AN59" i="8" a="1"/>
  <c r="AN59" i="8" s="1"/>
  <c r="N59" i="8" a="1"/>
  <c r="N59" i="8" s="1"/>
  <c r="AP59" i="8" a="1"/>
  <c r="AP59" i="8" s="1"/>
  <c r="AM59" i="8" a="1"/>
  <c r="AM59" i="8" s="1"/>
  <c r="AQ59" i="8" a="1"/>
  <c r="AQ59" i="8" s="1"/>
  <c r="J59" i="8" a="1"/>
  <c r="J59" i="8" s="1"/>
  <c r="P59" i="8" a="1"/>
  <c r="P59" i="8" s="1"/>
  <c r="K59" i="8" a="1"/>
  <c r="K59" i="8" s="1"/>
  <c r="AL59" i="8" a="1"/>
  <c r="AL59" i="8" s="1"/>
  <c r="V59" i="8" a="1"/>
  <c r="V59" i="8" s="1"/>
  <c r="W59" i="8" a="1"/>
  <c r="W59" i="8" s="1"/>
  <c r="Q59" i="8" a="1"/>
  <c r="Q59" i="8" s="1"/>
  <c r="AR59" i="8" a="1"/>
  <c r="AR59" i="8" s="1"/>
  <c r="AS59" i="8" a="1"/>
  <c r="AS59" i="8" s="1"/>
  <c r="AT59" i="8" a="1"/>
  <c r="AT59" i="8" s="1"/>
  <c r="AU59" i="8" a="1"/>
  <c r="AU59" i="8" s="1"/>
  <c r="X59" i="8" a="1"/>
  <c r="X59" i="8" s="1"/>
  <c r="AV59" i="8" a="1"/>
  <c r="AV59" i="8" s="1"/>
  <c r="Y59" i="8" a="1"/>
  <c r="Y59" i="8" s="1"/>
  <c r="AW59" i="8" a="1"/>
  <c r="AW59" i="8" s="1"/>
  <c r="AX59" i="8" a="1"/>
  <c r="AX59" i="8" s="1"/>
  <c r="AY59" i="8" a="1"/>
  <c r="AY59" i="8" s="1"/>
  <c r="Z59" i="8" a="1"/>
  <c r="Z59" i="8" s="1"/>
  <c r="AZ59" i="8" a="1"/>
  <c r="AZ59" i="8" s="1"/>
  <c r="AA59" i="8" a="1"/>
  <c r="AA59" i="8" s="1"/>
  <c r="BA59" i="8" a="1"/>
  <c r="BA59" i="8" s="1"/>
  <c r="BB59" i="8" a="1"/>
  <c r="BB59" i="8" s="1"/>
  <c r="AB59" i="8" a="1"/>
  <c r="AB59" i="8" s="1"/>
  <c r="BC59" i="8" a="1"/>
  <c r="BC59" i="8" s="1"/>
  <c r="BD59" i="8" a="1"/>
  <c r="BD59" i="8" s="1"/>
  <c r="AC59" i="8" a="1"/>
  <c r="AC59" i="8" s="1"/>
  <c r="BE59" i="8" a="1"/>
  <c r="BE59" i="8" s="1"/>
  <c r="BF59" i="8" a="1"/>
  <c r="BF59" i="8" s="1"/>
  <c r="AD59" i="8" a="1"/>
  <c r="AD59" i="8" s="1"/>
  <c r="BG59" i="8" a="1"/>
  <c r="BG59" i="8" s="1"/>
  <c r="BH59" i="8" a="1"/>
  <c r="BH59" i="8" s="1"/>
  <c r="AE59" i="8" a="1"/>
  <c r="AE59" i="8" s="1"/>
  <c r="BI59" i="8" a="1"/>
  <c r="BI59" i="8" s="1"/>
  <c r="BJ59" i="8" a="1"/>
  <c r="BJ59" i="8" s="1"/>
  <c r="BK59" i="8" a="1"/>
  <c r="BK59" i="8" s="1"/>
  <c r="AF59" i="8" a="1"/>
  <c r="AF59" i="8" s="1"/>
  <c r="BL59" i="8" a="1"/>
  <c r="BL59" i="8" s="1"/>
  <c r="BM59" i="8" a="1"/>
  <c r="BM59" i="8" s="1"/>
  <c r="AG59" i="8" a="1"/>
  <c r="AG59" i="8" s="1"/>
  <c r="BN59" i="8" a="1"/>
  <c r="BN59" i="8" s="1"/>
  <c r="AH59" i="8" a="1"/>
  <c r="AH59" i="8" s="1"/>
  <c r="BO59" i="8" a="1"/>
  <c r="BO59" i="8" s="1"/>
  <c r="BP59" i="8" a="1"/>
  <c r="BP59" i="8" s="1"/>
  <c r="BQ59" i="8" a="1"/>
  <c r="BQ59" i="8" s="1"/>
  <c r="AI59" i="8" a="1"/>
  <c r="AI59" i="8" s="1"/>
  <c r="BR59" i="8" a="1"/>
  <c r="BR59" i="8" s="1"/>
  <c r="BS59" i="8" a="1"/>
  <c r="BS59" i="8" s="1"/>
  <c r="BT59" i="8" a="1"/>
  <c r="BT59" i="8" s="1"/>
  <c r="BU59" i="8" a="1"/>
  <c r="BU59" i="8" s="1"/>
  <c r="BV59" i="8" a="1"/>
  <c r="BV59" i="8" s="1"/>
  <c r="BW59" i="8" a="1"/>
  <c r="BW59" i="8" s="1"/>
  <c r="BX59" i="8" a="1"/>
  <c r="BX59" i="8" s="1"/>
  <c r="BY59" i="8" a="1"/>
  <c r="BY59" i="8" s="1"/>
  <c r="BZ59" i="8" a="1"/>
  <c r="BZ59" i="8" s="1"/>
  <c r="CA59" i="8" a="1"/>
  <c r="CA59" i="8" s="1"/>
  <c r="CB59" i="8" a="1"/>
  <c r="CB59" i="8" s="1"/>
  <c r="CC59" i="8" a="1"/>
  <c r="CC59" i="8" s="1"/>
  <c r="CD59" i="8" a="1"/>
  <c r="CD59" i="8" s="1"/>
  <c r="CE59" i="8" a="1"/>
  <c r="CE59" i="8" s="1"/>
  <c r="CG59" i="8" a="1"/>
  <c r="CG59" i="8" s="1"/>
  <c r="CF59" i="8" a="1"/>
  <c r="CF59" i="8" s="1"/>
  <c r="CH86" i="20"/>
  <c r="CI91" i="20"/>
  <c r="BF135" i="13" s="1"/>
  <c r="CI90" i="20"/>
  <c r="BF134" i="13" s="1"/>
  <c r="CI108" i="20"/>
  <c r="CI107" i="20"/>
  <c r="AL62" i="20"/>
  <c r="BX41" i="17"/>
  <c r="E89" i="17" s="1" a="1"/>
  <c r="E89" i="17" s="1"/>
  <c r="CH110" i="20"/>
  <c r="CH109" i="20" a="1"/>
  <c r="CH109" i="20" s="1"/>
  <c r="CH111" i="20" a="1"/>
  <c r="CH111" i="20" s="1"/>
  <c r="W183" i="17"/>
  <c r="AB183" i="17"/>
  <c r="U183" i="17"/>
  <c r="CK52" i="20"/>
  <c r="Z183" i="17"/>
  <c r="AA183" i="17"/>
  <c r="S183" i="17"/>
  <c r="Y183" i="17"/>
  <c r="T183" i="17"/>
  <c r="CI83" i="20"/>
  <c r="CI76" i="20"/>
  <c r="BF122" i="13" s="1"/>
  <c r="CI77" i="20"/>
  <c r="BF123" i="13" s="1"/>
  <c r="CE89" i="20"/>
  <c r="CG106" i="20"/>
  <c r="CE75" i="20"/>
  <c r="CH60" i="20"/>
  <c r="BY74" i="22"/>
  <c r="BY71" i="22"/>
  <c r="BY60" i="22"/>
  <c r="BY81" i="22"/>
  <c r="BY56" i="22"/>
  <c r="BY53" i="22"/>
  <c r="BY65" i="22"/>
  <c r="BY79" i="22"/>
  <c r="BY52" i="22"/>
  <c r="BY61" i="22"/>
  <c r="BY75" i="22"/>
  <c r="BY36" i="22"/>
  <c r="BY38" i="22"/>
  <c r="BY39" i="22"/>
  <c r="BY40" i="22"/>
  <c r="BY57" i="22"/>
  <c r="BY62" i="22"/>
  <c r="BY66" i="22"/>
  <c r="BY73" i="22"/>
  <c r="BY77" i="22"/>
  <c r="BY50" i="22"/>
  <c r="BY54" i="22"/>
  <c r="BY58" i="22"/>
  <c r="BY63" i="22"/>
  <c r="BY67" i="22"/>
  <c r="BY51" i="22"/>
  <c r="BY41" i="22"/>
  <c r="BY55" i="22"/>
  <c r="BY59" i="22"/>
  <c r="BY76" i="22"/>
  <c r="BY44" i="22"/>
  <c r="BY64" i="22"/>
  <c r="BY68" i="22"/>
  <c r="BY72" i="22"/>
  <c r="BY78" i="22"/>
  <c r="BY118" i="22"/>
  <c r="BY102" i="22"/>
  <c r="BY106" i="22"/>
  <c r="BY113" i="22"/>
  <c r="BY97" i="22"/>
  <c r="BY96" i="22"/>
  <c r="BY89" i="22"/>
  <c r="BY117" i="22"/>
  <c r="BY101" i="22"/>
  <c r="BY114" i="22"/>
  <c r="BY111" i="22"/>
  <c r="BY105" i="22"/>
  <c r="BY92" i="22"/>
  <c r="BY98" i="22"/>
  <c r="BY100" i="22"/>
  <c r="BY87" i="22"/>
  <c r="BY109" i="22"/>
  <c r="BY88" i="22"/>
  <c r="BY95" i="22"/>
  <c r="BY93" i="22"/>
  <c r="BY116" i="22"/>
  <c r="BY110" i="22"/>
  <c r="BY104" i="22"/>
  <c r="BY91" i="22"/>
  <c r="BY119" i="22"/>
  <c r="BY86" i="22"/>
  <c r="BY120" i="22"/>
  <c r="BY115" i="22"/>
  <c r="BY90" i="22"/>
  <c r="BY108" i="22"/>
  <c r="BY99" i="22"/>
  <c r="BY112" i="22"/>
  <c r="BY107" i="22"/>
  <c r="BY94" i="22"/>
  <c r="BY103" i="22"/>
  <c r="BY37" i="22"/>
  <c r="BY47" i="22"/>
  <c r="BY80" i="22"/>
  <c r="BY43" i="22"/>
  <c r="BY45" i="22"/>
  <c r="BY48" i="22"/>
  <c r="BY49" i="22"/>
  <c r="BY35" i="22"/>
  <c r="BY42" i="22"/>
  <c r="BY46" i="22"/>
  <c r="BZ6" i="22"/>
  <c r="BZ7" i="22"/>
  <c r="BZ8" i="22"/>
  <c r="BZ25" i="22" s="1"/>
  <c r="BZ3" i="22"/>
  <c r="BZ4" i="22"/>
  <c r="BY82" i="22"/>
  <c r="BX82" i="22"/>
  <c r="BW82" i="22"/>
  <c r="BV82" i="22"/>
  <c r="BU82" i="22"/>
  <c r="BT82" i="22"/>
  <c r="BS82" i="22"/>
  <c r="BR82" i="22"/>
  <c r="BQ82" i="22"/>
  <c r="BP82" i="22"/>
  <c r="BO82" i="22"/>
  <c r="BN82" i="22"/>
  <c r="BM82" i="22"/>
  <c r="BL82" i="22"/>
  <c r="BK82" i="22"/>
  <c r="BJ82" i="22"/>
  <c r="BI82" i="22"/>
  <c r="BH82" i="22"/>
  <c r="BG82" i="22"/>
  <c r="BF82" i="22"/>
  <c r="BE82" i="22"/>
  <c r="BD82" i="22"/>
  <c r="BC82" i="22"/>
  <c r="BB82" i="22"/>
  <c r="BA82" i="22"/>
  <c r="AZ82" i="22"/>
  <c r="AY82" i="22"/>
  <c r="AX82" i="22"/>
  <c r="AW82" i="22"/>
  <c r="AV82" i="22"/>
  <c r="AU82" i="22"/>
  <c r="AT82" i="22"/>
  <c r="AS82" i="22"/>
  <c r="AR82" i="22"/>
  <c r="AQ82" i="22"/>
  <c r="AP82" i="22"/>
  <c r="AO82" i="22"/>
  <c r="AN82" i="22"/>
  <c r="AM82" i="22"/>
  <c r="AL82" i="22"/>
  <c r="AK82" i="22"/>
  <c r="AJ82" i="22"/>
  <c r="AI82" i="22"/>
  <c r="AH82" i="22"/>
  <c r="AG82" i="22"/>
  <c r="AF82" i="22"/>
  <c r="AE82"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CF75" i="20"/>
  <c r="AQ93" i="14"/>
  <c r="AY93" i="14"/>
  <c r="BF93" i="14"/>
  <c r="BN93" i="14"/>
  <c r="BR93" i="14"/>
  <c r="AA63" i="20"/>
  <c r="AL64" i="20"/>
  <c r="S65" i="20"/>
  <c r="S63" i="20"/>
  <c r="R62" i="20"/>
  <c r="S62" i="20"/>
  <c r="R64" i="20"/>
  <c r="R65" i="20"/>
  <c r="S64" i="20"/>
  <c r="R63" i="20"/>
  <c r="T65" i="20"/>
  <c r="T64" i="20"/>
  <c r="T62" i="20"/>
  <c r="Z65" i="20"/>
  <c r="Z64" i="20"/>
  <c r="AA64" i="20"/>
  <c r="AA65" i="20"/>
  <c r="AA62" i="20"/>
  <c r="AB65" i="20"/>
  <c r="AB64" i="20"/>
  <c r="AC64" i="20"/>
  <c r="AC65" i="20"/>
  <c r="AD64" i="20"/>
  <c r="AD65" i="20"/>
  <c r="AE63" i="20"/>
  <c r="AE65" i="20"/>
  <c r="AE62" i="20"/>
  <c r="AE64" i="20"/>
  <c r="AF64" i="20"/>
  <c r="AG64" i="20"/>
  <c r="AH64" i="20"/>
  <c r="AI65" i="20"/>
  <c r="AI64" i="20"/>
  <c r="AI62" i="20"/>
  <c r="AI63" i="20"/>
  <c r="AJ63" i="20"/>
  <c r="AJ64" i="20"/>
  <c r="AK64" i="20"/>
  <c r="AL63" i="20"/>
  <c r="CI65" i="20"/>
  <c r="BF113" i="13" s="1"/>
  <c r="CI64" i="20"/>
  <c r="BF112" i="13" s="1"/>
  <c r="CI63" i="20"/>
  <c r="BF111" i="13" s="1"/>
  <c r="CI62" i="20"/>
  <c r="CH96" i="20"/>
  <c r="CF89" i="20"/>
  <c r="CG92" i="20"/>
  <c r="BD136" i="13" s="1"/>
  <c r="CG93" i="20"/>
  <c r="BD137" i="13" s="1"/>
  <c r="CG94" i="20"/>
  <c r="BD138" i="13" s="1"/>
  <c r="CG78" i="20"/>
  <c r="BD124" i="13" s="1"/>
  <c r="CG79" i="20"/>
  <c r="BD125" i="13" s="1"/>
  <c r="CG80" i="20"/>
  <c r="BD126" i="13" s="1"/>
  <c r="CI99" i="20"/>
  <c r="BF142" i="13" s="1"/>
  <c r="CI100" i="20"/>
  <c r="BF143" i="13" s="1"/>
  <c r="CI101" i="20"/>
  <c r="BF144" i="13" s="1"/>
  <c r="CJ102" i="20"/>
  <c r="BG145" i="13" s="1"/>
  <c r="CJ95" i="20"/>
  <c r="BG139" i="13" s="1"/>
  <c r="CJ81" i="20"/>
  <c r="BG127" i="13" s="1"/>
  <c r="CJ88" i="20"/>
  <c r="BG133" i="13" s="1"/>
  <c r="R55" i="20"/>
  <c r="S56" i="20"/>
  <c r="S55" i="20"/>
  <c r="S57" i="20"/>
  <c r="R57" i="20"/>
  <c r="S54" i="20"/>
  <c r="R54" i="20"/>
  <c r="R56" i="20"/>
  <c r="T57" i="20"/>
  <c r="T55" i="20"/>
  <c r="T56" i="20"/>
  <c r="T54" i="20"/>
  <c r="U54" i="20"/>
  <c r="U56" i="20"/>
  <c r="U55" i="20"/>
  <c r="U57" i="20"/>
  <c r="Z57" i="20"/>
  <c r="Z55" i="20"/>
  <c r="Z56" i="20"/>
  <c r="Z54" i="20"/>
  <c r="AA57" i="20"/>
  <c r="AA55" i="20"/>
  <c r="AA54" i="20"/>
  <c r="AA56" i="20"/>
  <c r="AB55" i="20"/>
  <c r="AB54" i="20"/>
  <c r="AB56" i="20"/>
  <c r="AB57" i="20"/>
  <c r="AC56" i="20"/>
  <c r="AC57" i="20"/>
  <c r="AC55" i="20"/>
  <c r="AC54" i="20"/>
  <c r="AD55" i="20"/>
  <c r="AD57" i="20"/>
  <c r="AD56" i="20"/>
  <c r="AD54" i="20"/>
  <c r="AE54" i="20"/>
  <c r="AE56" i="20"/>
  <c r="AE57" i="20"/>
  <c r="AE55" i="20"/>
  <c r="AF57" i="20"/>
  <c r="AF55" i="20"/>
  <c r="AF54" i="20"/>
  <c r="AF56" i="20"/>
  <c r="AG55" i="20"/>
  <c r="AG54" i="20"/>
  <c r="AG57" i="20"/>
  <c r="AG56" i="20"/>
  <c r="AH54" i="20"/>
  <c r="AH55" i="20"/>
  <c r="AH56" i="20"/>
  <c r="AH57" i="20"/>
  <c r="AI54" i="20"/>
  <c r="AI55" i="20"/>
  <c r="AI56" i="20"/>
  <c r="AI57" i="20"/>
  <c r="AJ56" i="20"/>
  <c r="AJ57" i="20"/>
  <c r="AJ55" i="20"/>
  <c r="AJ54" i="20"/>
  <c r="AK56" i="20"/>
  <c r="AK55" i="20"/>
  <c r="AK54" i="20"/>
  <c r="AK57" i="20"/>
  <c r="AL57" i="20"/>
  <c r="AL55" i="20"/>
  <c r="AL56" i="20"/>
  <c r="AL54" i="20"/>
  <c r="AM55" i="20"/>
  <c r="AM54" i="20"/>
  <c r="AM57" i="20"/>
  <c r="AM56" i="20"/>
  <c r="CG68" i="20"/>
  <c r="CH115" i="20"/>
  <c r="CH72" i="20"/>
  <c r="CH73" i="20"/>
  <c r="CH71" i="20"/>
  <c r="CJ15" i="20"/>
  <c r="CJ30" i="20"/>
  <c r="CJ19" i="20"/>
  <c r="CJ74" i="20"/>
  <c r="BG121" i="13" s="1"/>
  <c r="CJ17" i="20"/>
  <c r="CJ27" i="20"/>
  <c r="CJ14" i="20"/>
  <c r="CJ25" i="20"/>
  <c r="CJ11" i="20"/>
  <c r="CJ21" i="20"/>
  <c r="CJ26" i="20"/>
  <c r="CJ32" i="20"/>
  <c r="CJ12" i="20"/>
  <c r="CJ20" i="20"/>
  <c r="CJ23" i="20"/>
  <c r="CJ31" i="20"/>
  <c r="CJ33" i="20"/>
  <c r="CJ34" i="20"/>
  <c r="CJ24" i="20"/>
  <c r="CJ13" i="20"/>
  <c r="CJ29" i="20"/>
  <c r="CJ22" i="20"/>
  <c r="CJ16" i="20"/>
  <c r="CJ35" i="20"/>
  <c r="CJ28" i="20"/>
  <c r="CJ18" i="20"/>
  <c r="CK8" i="20"/>
  <c r="CK6" i="20"/>
  <c r="CK3" i="20"/>
  <c r="CK7" i="20"/>
  <c r="CK4" i="20"/>
  <c r="CI70" i="20"/>
  <c r="BF117" i="13" s="1"/>
  <c r="CI69" i="20"/>
  <c r="CI61" i="20"/>
  <c r="BF109" i="13" s="1"/>
  <c r="CI10" i="20"/>
  <c r="BX122" i="16"/>
  <c r="BY122" i="16"/>
  <c r="J183" i="17"/>
  <c r="V183" i="17"/>
  <c r="AM74" i="15"/>
  <c r="AL74" i="15"/>
  <c r="AU74" i="15"/>
  <c r="Q183" i="17"/>
  <c r="O183" i="17"/>
  <c r="R183" i="17"/>
  <c r="I183" i="17"/>
  <c r="N183" i="17"/>
  <c r="H183" i="17"/>
  <c r="X183" i="17"/>
  <c r="P183" i="17"/>
  <c r="AC80" i="17"/>
  <c r="K80" i="17"/>
  <c r="K81" i="17"/>
  <c r="AC81" i="17"/>
  <c r="AC82" i="17"/>
  <c r="K82" i="17"/>
  <c r="AC83" i="17"/>
  <c r="K83" i="17"/>
  <c r="K84" i="17"/>
  <c r="AC84" i="17"/>
  <c r="K85" i="17"/>
  <c r="AC85" i="17"/>
  <c r="K86" i="17"/>
  <c r="AC86" i="17"/>
  <c r="K87" i="17"/>
  <c r="AC87" i="17"/>
  <c r="K45" i="17"/>
  <c r="AC45" i="17"/>
  <c r="K46" i="17"/>
  <c r="AC46" i="17"/>
  <c r="K49" i="17"/>
  <c r="AC49" i="17"/>
  <c r="K51" i="17"/>
  <c r="AC51" i="17"/>
  <c r="K52" i="17"/>
  <c r="AC52" i="17"/>
  <c r="K54" i="17"/>
  <c r="AC54" i="17"/>
  <c r="K55" i="17"/>
  <c r="AC55" i="17"/>
  <c r="K57" i="17"/>
  <c r="AC57" i="17"/>
  <c r="K59" i="17"/>
  <c r="AC59" i="17"/>
  <c r="K61" i="17"/>
  <c r="K66" i="17"/>
  <c r="AC66" i="17"/>
  <c r="K47" i="17"/>
  <c r="AC47" i="17"/>
  <c r="AC48" i="17"/>
  <c r="K48" i="17"/>
  <c r="K50" i="17"/>
  <c r="AC50" i="17"/>
  <c r="K53" i="17"/>
  <c r="AC53" i="17"/>
  <c r="K56" i="17"/>
  <c r="AC56" i="17"/>
  <c r="AC58" i="17"/>
  <c r="K58" i="17"/>
  <c r="K60" i="17"/>
  <c r="AC60" i="17"/>
  <c r="AC62" i="17"/>
  <c r="K62" i="17"/>
  <c r="K63" i="17"/>
  <c r="AC63" i="17"/>
  <c r="AC64" i="17"/>
  <c r="K64" i="17"/>
  <c r="K65" i="17"/>
  <c r="AC65" i="17"/>
  <c r="AC67" i="17"/>
  <c r="K67" i="17"/>
  <c r="K68" i="17"/>
  <c r="AC68" i="17"/>
  <c r="K69" i="17"/>
  <c r="AC69" i="17"/>
  <c r="AC61" i="17"/>
  <c r="BC124" i="16"/>
  <c r="BB124" i="16"/>
  <c r="BA124" i="16"/>
  <c r="AZ124" i="16"/>
  <c r="AY124" i="16"/>
  <c r="AX124" i="16"/>
  <c r="AW124" i="16"/>
  <c r="AV124" i="16"/>
  <c r="AU124" i="16"/>
  <c r="AT124" i="16"/>
  <c r="AS124" i="16"/>
  <c r="AR124" i="16"/>
  <c r="AQ124" i="16"/>
  <c r="AP124" i="16"/>
  <c r="AO124" i="16"/>
  <c r="AN124" i="16"/>
  <c r="AM124" i="16"/>
  <c r="AL124" i="16"/>
  <c r="AK124" i="16"/>
  <c r="AJ124" i="16"/>
  <c r="AI124" i="16"/>
  <c r="AH124" i="16"/>
  <c r="AG124" i="16"/>
  <c r="AF124" i="16"/>
  <c r="BX124" i="16"/>
  <c r="BT124" i="16"/>
  <c r="BQ124" i="16"/>
  <c r="BN124" i="16"/>
  <c r="BL124" i="16"/>
  <c r="BI124" i="16"/>
  <c r="BF124" i="16"/>
  <c r="BW124" i="16"/>
  <c r="BU124" i="16"/>
  <c r="BR124" i="16"/>
  <c r="BO124" i="16"/>
  <c r="BK124" i="16"/>
  <c r="BH124" i="16"/>
  <c r="BE124" i="16"/>
  <c r="BY124" i="16"/>
  <c r="BV124" i="16"/>
  <c r="BS124" i="16"/>
  <c r="BP124" i="16"/>
  <c r="BM124" i="16"/>
  <c r="BJ124" i="16"/>
  <c r="BG124" i="16"/>
  <c r="BD124" i="16"/>
  <c r="BY124" i="15"/>
  <c r="BX124" i="15"/>
  <c r="BW124" i="15"/>
  <c r="BV124" i="15"/>
  <c r="BU124" i="15"/>
  <c r="BT124" i="15"/>
  <c r="BS124" i="15"/>
  <c r="BR124" i="15"/>
  <c r="BQ124" i="15"/>
  <c r="BP124" i="15"/>
  <c r="BO124" i="15"/>
  <c r="BN124" i="15"/>
  <c r="BM124" i="15"/>
  <c r="BL124" i="15"/>
  <c r="BZ11" i="16"/>
  <c r="BZ19" i="16"/>
  <c r="BZ18" i="16" s="1"/>
  <c r="BZ15" i="16"/>
  <c r="BZ14" i="16" s="1"/>
  <c r="CA4" i="16"/>
  <c r="CA3" i="16"/>
  <c r="CA6" i="16"/>
  <c r="CA7" i="16"/>
  <c r="CA8" i="16"/>
  <c r="BY75" i="16" s="1"/>
  <c r="BZ122" i="16"/>
  <c r="BZ118" i="16"/>
  <c r="BZ119" i="16"/>
  <c r="BZ121" i="16"/>
  <c r="BZ62" i="16"/>
  <c r="BZ96" i="16"/>
  <c r="BZ61" i="16"/>
  <c r="BZ60" i="16"/>
  <c r="BZ58" i="16"/>
  <c r="BZ91" i="16"/>
  <c r="BZ89" i="16"/>
  <c r="BZ88" i="16"/>
  <c r="BZ87" i="16"/>
  <c r="BZ86" i="16"/>
  <c r="BZ85" i="16"/>
  <c r="BZ84" i="16"/>
  <c r="BZ83" i="16"/>
  <c r="BZ48" i="16"/>
  <c r="BZ81" i="16"/>
  <c r="BZ80" i="16"/>
  <c r="BZ45" i="16"/>
  <c r="BZ42" i="16"/>
  <c r="BZ39" i="16"/>
  <c r="BZ33" i="16"/>
  <c r="BZ43" i="16"/>
  <c r="BZ37" i="16"/>
  <c r="BZ30" i="16"/>
  <c r="BZ28" i="16"/>
  <c r="BZ78" i="16"/>
  <c r="BZ38" i="16"/>
  <c r="BZ35" i="16"/>
  <c r="BZ95" i="16"/>
  <c r="BZ94" i="16"/>
  <c r="BZ93" i="16"/>
  <c r="BZ59" i="16"/>
  <c r="BZ92" i="16"/>
  <c r="BZ57" i="16"/>
  <c r="BZ56" i="16"/>
  <c r="BZ90" i="16"/>
  <c r="BZ55" i="16"/>
  <c r="BZ54" i="16"/>
  <c r="BZ53" i="16"/>
  <c r="BZ52" i="16"/>
  <c r="BZ51" i="16"/>
  <c r="BZ50" i="16"/>
  <c r="BZ49" i="16"/>
  <c r="BZ82" i="16"/>
  <c r="BZ47" i="16"/>
  <c r="BZ46" i="16"/>
  <c r="BZ79" i="16"/>
  <c r="BZ34" i="16"/>
  <c r="BZ41" i="16"/>
  <c r="BZ44" i="16"/>
  <c r="BZ40" i="16"/>
  <c r="BZ29" i="16"/>
  <c r="BZ32" i="16"/>
  <c r="BZ31" i="16"/>
  <c r="BZ97" i="16"/>
  <c r="BZ36" i="16"/>
  <c r="BZ63" i="16"/>
  <c r="BZ64" i="16"/>
  <c r="BZ98" i="16"/>
  <c r="BZ65" i="16"/>
  <c r="BZ99" i="16"/>
  <c r="BZ100" i="16"/>
  <c r="BZ66" i="16"/>
  <c r="BZ67" i="16"/>
  <c r="BZ101" i="16"/>
  <c r="BZ68" i="16"/>
  <c r="BZ102" i="16"/>
  <c r="BZ103" i="16"/>
  <c r="BZ69" i="16"/>
  <c r="BZ70" i="16"/>
  <c r="BZ104" i="16"/>
  <c r="BZ71" i="16"/>
  <c r="BZ105" i="16"/>
  <c r="BZ106" i="16"/>
  <c r="BZ107" i="16"/>
  <c r="BZ108" i="16"/>
  <c r="BZ109" i="16"/>
  <c r="BZ110" i="16"/>
  <c r="BZ111" i="16"/>
  <c r="BZ112" i="16"/>
  <c r="BZ113" i="16"/>
  <c r="BZ114" i="16"/>
  <c r="BZ115" i="16"/>
  <c r="BZ116" i="16"/>
  <c r="BZ117" i="16"/>
  <c r="BZ120" i="16"/>
  <c r="E123" i="16" a="1"/>
  <c r="E123" i="16" s="1"/>
  <c r="BV74" i="16"/>
  <c r="BW74" i="16"/>
  <c r="BX74" i="16"/>
  <c r="BT74" i="16"/>
  <c r="BY74" i="16"/>
  <c r="BU74" i="16"/>
  <c r="BI124" i="15"/>
  <c r="BJ124" i="15"/>
  <c r="BK124" i="15"/>
  <c r="BV93" i="14"/>
  <c r="AO93" i="14"/>
  <c r="AP93" i="14"/>
  <c r="BO93" i="14"/>
  <c r="BS93" i="14"/>
  <c r="BW93" i="14"/>
  <c r="AF93" i="14"/>
  <c r="AJ93" i="14"/>
  <c r="AS93" i="14"/>
  <c r="BA93" i="14"/>
  <c r="BI93" i="14"/>
  <c r="AG93" i="14"/>
  <c r="AZ93" i="14"/>
  <c r="AX93" i="14"/>
  <c r="BG93" i="14"/>
  <c r="AI93" i="14"/>
  <c r="AM93" i="14"/>
  <c r="AU93" i="14"/>
  <c r="BC93" i="14"/>
  <c r="BJ93" i="14"/>
  <c r="BP93" i="14"/>
  <c r="BT93" i="14"/>
  <c r="AV93" i="14"/>
  <c r="BD93" i="14"/>
  <c r="BK93" i="14"/>
  <c r="BQ93" i="14"/>
  <c r="BU93" i="14"/>
  <c r="BX93" i="14"/>
  <c r="AN93" i="14"/>
  <c r="AW93" i="14"/>
  <c r="BE93" i="14"/>
  <c r="BM93" i="14"/>
  <c r="AK93" i="14"/>
  <c r="AT93" i="14"/>
  <c r="BB93" i="14"/>
  <c r="BL93" i="14"/>
  <c r="AR93" i="14"/>
  <c r="AL93" i="14"/>
  <c r="AH93" i="14"/>
  <c r="BH93" i="14"/>
  <c r="BX122" i="15"/>
  <c r="BY122" i="15"/>
  <c r="E73" i="15" a="1"/>
  <c r="E73" i="15" s="1"/>
  <c r="E123" i="15" a="1"/>
  <c r="E123" i="15" s="1"/>
  <c r="BX74" i="15"/>
  <c r="BZ122" i="15"/>
  <c r="BV74" i="15"/>
  <c r="BU74" i="15"/>
  <c r="AV74" i="15"/>
  <c r="BL74" i="15"/>
  <c r="AZ74" i="15"/>
  <c r="BS74" i="15"/>
  <c r="BD74" i="15"/>
  <c r="AJ74" i="15"/>
  <c r="BP74" i="15"/>
  <c r="BG74" i="15"/>
  <c r="AY74" i="15"/>
  <c r="BM74" i="15"/>
  <c r="BA74" i="15"/>
  <c r="AW74" i="15"/>
  <c r="AQ74" i="15"/>
  <c r="AP74" i="15"/>
  <c r="AT74" i="15"/>
  <c r="BR74" i="15"/>
  <c r="AH74" i="15"/>
  <c r="BN74" i="15"/>
  <c r="BJ74" i="15"/>
  <c r="AN74" i="15"/>
  <c r="BH74" i="15"/>
  <c r="AK74" i="15"/>
  <c r="BT74" i="15"/>
  <c r="AO74" i="15"/>
  <c r="BC74" i="15"/>
  <c r="AR74" i="15"/>
  <c r="AG74" i="15"/>
  <c r="BZ121" i="15"/>
  <c r="BZ120" i="15"/>
  <c r="BZ119" i="15"/>
  <c r="BZ118" i="15"/>
  <c r="BZ117" i="15"/>
  <c r="BZ116" i="15"/>
  <c r="BZ115" i="15"/>
  <c r="BZ71" i="15"/>
  <c r="BZ114" i="15"/>
  <c r="BZ70" i="15"/>
  <c r="BZ113" i="15"/>
  <c r="BZ69" i="15"/>
  <c r="BZ68" i="15"/>
  <c r="BZ112" i="15"/>
  <c r="BZ67" i="15"/>
  <c r="BZ111" i="15"/>
  <c r="BZ66" i="15"/>
  <c r="BZ110" i="15"/>
  <c r="BZ65" i="15"/>
  <c r="BZ109" i="15"/>
  <c r="BZ64" i="15"/>
  <c r="BZ108" i="15"/>
  <c r="BZ63" i="15"/>
  <c r="BZ107" i="15"/>
  <c r="BZ62" i="15"/>
  <c r="BZ106" i="15"/>
  <c r="BZ61" i="15"/>
  <c r="BZ105" i="15"/>
  <c r="BZ60" i="15"/>
  <c r="BZ104" i="15"/>
  <c r="BZ59" i="15"/>
  <c r="BZ58" i="15"/>
  <c r="BZ103" i="15"/>
  <c r="BZ102" i="15"/>
  <c r="BZ57" i="15"/>
  <c r="BZ101" i="15"/>
  <c r="BZ56" i="15"/>
  <c r="BZ100" i="15"/>
  <c r="BZ55" i="15"/>
  <c r="BZ54" i="15"/>
  <c r="BZ99" i="15"/>
  <c r="BZ98" i="15"/>
  <c r="BZ53" i="15"/>
  <c r="BZ97" i="15"/>
  <c r="BZ52" i="15"/>
  <c r="BZ51" i="15"/>
  <c r="BZ96" i="15"/>
  <c r="BZ95" i="15"/>
  <c r="BZ50" i="15"/>
  <c r="BZ94" i="15"/>
  <c r="BZ49" i="15"/>
  <c r="BZ93" i="15"/>
  <c r="BZ48" i="15"/>
  <c r="BZ92" i="15"/>
  <c r="BZ47" i="15"/>
  <c r="BZ91" i="15"/>
  <c r="BZ46" i="15"/>
  <c r="BZ90" i="15"/>
  <c r="BZ45" i="15"/>
  <c r="BZ89" i="15"/>
  <c r="BZ44" i="15"/>
  <c r="BZ88" i="15"/>
  <c r="BZ43" i="15"/>
  <c r="BZ87" i="15"/>
  <c r="BZ42" i="15"/>
  <c r="BZ41" i="15"/>
  <c r="BZ86" i="15"/>
  <c r="BZ85" i="15"/>
  <c r="BZ40" i="15"/>
  <c r="BZ84" i="15"/>
  <c r="BZ39" i="15"/>
  <c r="BZ83" i="15"/>
  <c r="BZ38" i="15"/>
  <c r="BZ37" i="15"/>
  <c r="BZ82" i="15"/>
  <c r="BZ81" i="15"/>
  <c r="BZ36" i="15"/>
  <c r="BZ80" i="15"/>
  <c r="BZ35" i="15"/>
  <c r="BZ79" i="15"/>
  <c r="BZ34" i="15"/>
  <c r="BZ15" i="15" a="1"/>
  <c r="BZ15" i="15" s="1"/>
  <c r="BZ14" i="15" s="1"/>
  <c r="E74" i="15" s="1" a="1"/>
  <c r="E74" i="15" s="1"/>
  <c r="BZ74" i="15" s="1"/>
  <c r="BZ30" i="15"/>
  <c r="BZ31" i="15"/>
  <c r="BZ32" i="15"/>
  <c r="BZ29" i="15"/>
  <c r="BZ28" i="15"/>
  <c r="BZ33" i="15"/>
  <c r="BZ19" i="15" a="1"/>
  <c r="BZ19" i="15" s="1"/>
  <c r="BZ18" i="15" s="1"/>
  <c r="E124" i="15" s="1" a="1"/>
  <c r="E124" i="15" s="1"/>
  <c r="BZ124" i="15" s="1"/>
  <c r="BZ78" i="15"/>
  <c r="BZ11" i="15" a="1"/>
  <c r="BZ11" i="15" s="1"/>
  <c r="CA4" i="15"/>
  <c r="CA8" i="15"/>
  <c r="CA7" i="15"/>
  <c r="CA3" i="15"/>
  <c r="CA6" i="15"/>
  <c r="AV124" i="15"/>
  <c r="BW74" i="15"/>
  <c r="AT124" i="15"/>
  <c r="AS124" i="15"/>
  <c r="AR124" i="15"/>
  <c r="AQ124" i="15"/>
  <c r="AP124" i="15"/>
  <c r="AO124" i="15"/>
  <c r="AN124" i="15"/>
  <c r="AM124" i="15"/>
  <c r="AL124" i="15"/>
  <c r="AK124" i="15"/>
  <c r="AJ124" i="15"/>
  <c r="AI124" i="15"/>
  <c r="AH124" i="15"/>
  <c r="AG124" i="15"/>
  <c r="AF124" i="15"/>
  <c r="AW124" i="15"/>
  <c r="AU124" i="15"/>
  <c r="BK74" i="15"/>
  <c r="AY124" i="15"/>
  <c r="AZ124" i="15"/>
  <c r="BA124" i="15"/>
  <c r="BB124" i="15"/>
  <c r="BC124" i="15"/>
  <c r="BD124" i="15"/>
  <c r="BQ74" i="15"/>
  <c r="BE124" i="15"/>
  <c r="BF124" i="15"/>
  <c r="BG124" i="15"/>
  <c r="BH124" i="15"/>
  <c r="BY74" i="15"/>
  <c r="AX124" i="15"/>
  <c r="BZ48" i="14"/>
  <c r="BZ50" i="14"/>
  <c r="BZ52" i="14"/>
  <c r="BZ53" i="14"/>
  <c r="BZ54" i="14"/>
  <c r="BZ56" i="14"/>
  <c r="BZ58" i="14"/>
  <c r="BZ59" i="14"/>
  <c r="BZ60" i="14"/>
  <c r="BZ62" i="14"/>
  <c r="BZ64" i="14"/>
  <c r="BZ65" i="14"/>
  <c r="BZ67" i="14"/>
  <c r="BZ68" i="14"/>
  <c r="BZ72" i="14"/>
  <c r="BZ74" i="14"/>
  <c r="BZ76" i="14"/>
  <c r="BZ78" i="14"/>
  <c r="BZ79" i="14"/>
  <c r="BZ80" i="14"/>
  <c r="BZ49" i="14"/>
  <c r="BZ47" i="14"/>
  <c r="BZ51" i="14"/>
  <c r="BZ55" i="14"/>
  <c r="BZ57" i="14"/>
  <c r="BZ61" i="14"/>
  <c r="BZ63" i="14"/>
  <c r="BZ66" i="14"/>
  <c r="BZ69" i="14"/>
  <c r="BZ70" i="14"/>
  <c r="BZ71" i="14"/>
  <c r="BZ73" i="14"/>
  <c r="BZ75" i="14"/>
  <c r="BZ77" i="14"/>
  <c r="BZ81" i="14"/>
  <c r="CA7" i="14"/>
  <c r="CA4" i="14"/>
  <c r="CA8" i="14"/>
  <c r="CA6" i="14"/>
  <c r="CA3" i="14"/>
  <c r="BD12" i="16"/>
  <c r="BC25" i="16"/>
  <c r="BC22" i="16"/>
  <c r="BC27" i="14" s="1"/>
  <c r="BD12" i="15"/>
  <c r="BC22" i="15"/>
  <c r="BC25" i="14" s="1"/>
  <c r="BC25" i="15"/>
  <c r="BY6" i="9"/>
  <c r="BY7" i="9"/>
  <c r="BY8" i="9"/>
  <c r="BY3" i="9"/>
  <c r="BY4" i="9"/>
  <c r="BX7" i="11"/>
  <c r="BX4" i="11"/>
  <c r="BX3" i="11"/>
  <c r="BX8" i="11"/>
  <c r="BX6" i="11"/>
  <c r="BH3" i="13"/>
  <c r="BH7" i="13"/>
  <c r="BH4" i="13"/>
  <c r="BH8" i="13"/>
  <c r="BH6" i="13"/>
  <c r="BY3" i="10"/>
  <c r="BY4" i="10"/>
  <c r="BY8" i="10"/>
  <c r="BY7" i="10"/>
  <c r="BY6" i="10"/>
  <c r="CG48" i="8"/>
  <c r="CG50" i="8"/>
  <c r="CG51" i="8"/>
  <c r="CG52" i="8"/>
  <c r="CG74" i="8"/>
  <c r="CG78" i="8"/>
  <c r="CG77" i="8"/>
  <c r="CG76" i="8"/>
  <c r="AC88" i="17" l="1"/>
  <c r="J88" i="17"/>
  <c r="I88" i="17"/>
  <c r="H88" i="17"/>
  <c r="BD115" i="13"/>
  <c r="CF45" i="12"/>
  <c r="BD63" i="13" s="1"/>
  <c r="CG125" i="8" a="1"/>
  <c r="CG125" i="8" s="1"/>
  <c r="CE139" i="8" a="1"/>
  <c r="CE139" i="8" s="1"/>
  <c r="BK125" i="8" a="1"/>
  <c r="BK125" i="8" s="1"/>
  <c r="BF139" i="8" a="1"/>
  <c r="BF139" i="8" s="1"/>
  <c r="AU125" i="8" a="1"/>
  <c r="AU125" i="8" s="1"/>
  <c r="AV125" i="8" a="1"/>
  <c r="AV125" i="8" s="1"/>
  <c r="CD125" i="8" a="1"/>
  <c r="CD125" i="8" s="1"/>
  <c r="AS139" i="8" a="1"/>
  <c r="AS139" i="8" s="1"/>
  <c r="BZ125" i="8" a="1"/>
  <c r="BZ125" i="8" s="1"/>
  <c r="AL139" i="8" a="1"/>
  <c r="AL139" i="8" s="1"/>
  <c r="BG125" i="8" a="1"/>
  <c r="BG125" i="8" s="1"/>
  <c r="AX139" i="8" a="1"/>
  <c r="AX139" i="8" s="1"/>
  <c r="AY139" i="8" a="1"/>
  <c r="AY139" i="8" s="1"/>
  <c r="BB139" i="8" a="1"/>
  <c r="BB139" i="8" s="1"/>
  <c r="BD139" i="8" a="1"/>
  <c r="BD139" i="8" s="1"/>
  <c r="BL139" i="8" a="1"/>
  <c r="BL139" i="8" s="1"/>
  <c r="AN125" i="8" a="1"/>
  <c r="AN125" i="8" s="1"/>
  <c r="BR139" i="8" a="1"/>
  <c r="BR139" i="8" s="1"/>
  <c r="BT139" i="8" a="1"/>
  <c r="BT139" i="8" s="1"/>
  <c r="CC125" i="8" a="1"/>
  <c r="CC125" i="8" s="1"/>
  <c r="AQ125" i="8" a="1"/>
  <c r="AQ125" i="8" s="1"/>
  <c r="AQ139" i="8" a="1"/>
  <c r="AQ139" i="8" s="1"/>
  <c r="CE125" i="8" a="1"/>
  <c r="CE125" i="8" s="1"/>
  <c r="AP139" i="8" a="1"/>
  <c r="AP139" i="8" s="1"/>
  <c r="CD139" i="8" a="1"/>
  <c r="CD139" i="8" s="1"/>
  <c r="AV139" i="8" a="1"/>
  <c r="AV139" i="8" s="1"/>
  <c r="T139" i="8" a="1"/>
  <c r="T139" i="8" s="1"/>
  <c r="BN139" i="8" a="1"/>
  <c r="BN139" i="8" s="1"/>
  <c r="AR125" i="8" a="1"/>
  <c r="AR125" i="8" s="1"/>
  <c r="U139" i="8" a="1"/>
  <c r="U139" i="8" s="1"/>
  <c r="T125" i="8" a="1"/>
  <c r="T125" i="8" s="1"/>
  <c r="AU139" i="8" a="1"/>
  <c r="AU139" i="8" s="1"/>
  <c r="BE125" i="8" a="1"/>
  <c r="BE125" i="8" s="1"/>
  <c r="BG139" i="8" a="1"/>
  <c r="BG139" i="8" s="1"/>
  <c r="BM139" i="8" a="1"/>
  <c r="BM139" i="8" s="1"/>
  <c r="BM125" i="8" a="1"/>
  <c r="BM125" i="8" s="1"/>
  <c r="Q125" i="8" a="1"/>
  <c r="Q125" i="8" s="1"/>
  <c r="AM139" i="8" a="1"/>
  <c r="AM139" i="8" s="1"/>
  <c r="BX139" i="8" a="1"/>
  <c r="BX139" i="8" s="1"/>
  <c r="BW125" i="8" a="1"/>
  <c r="BW125" i="8" s="1"/>
  <c r="BN125" i="8" a="1"/>
  <c r="BN125" i="8" s="1"/>
  <c r="BS125" i="8" a="1"/>
  <c r="BS125" i="8" s="1"/>
  <c r="BR125" i="8" a="1"/>
  <c r="BR125" i="8" s="1"/>
  <c r="BO125" i="8" a="1"/>
  <c r="BO125" i="8" s="1"/>
  <c r="BB125" i="8" a="1"/>
  <c r="BB125" i="8" s="1"/>
  <c r="P139" i="8" a="1"/>
  <c r="P139" i="8" s="1"/>
  <c r="U125" i="8" a="1"/>
  <c r="U125" i="8" s="1"/>
  <c r="BJ125" i="8" a="1"/>
  <c r="BJ125" i="8" s="1"/>
  <c r="BT125" i="8" a="1"/>
  <c r="BT125" i="8" s="1"/>
  <c r="BS139" i="8" a="1"/>
  <c r="BS139" i="8" s="1"/>
  <c r="N139" i="8" a="1"/>
  <c r="N139" i="8" s="1"/>
  <c r="CG139" i="8" a="1"/>
  <c r="CG139" i="8" s="1"/>
  <c r="CF125" i="8" a="1"/>
  <c r="CF125" i="8" s="1"/>
  <c r="CA125" i="8" a="1"/>
  <c r="CA125" i="8" s="1"/>
  <c r="O125" i="8" a="1"/>
  <c r="O125" i="8" s="1"/>
  <c r="AW139" i="8" a="1"/>
  <c r="AW139" i="8" s="1"/>
  <c r="BI139" i="8" a="1"/>
  <c r="BI139" i="8" s="1"/>
  <c r="AR139" i="8" a="1"/>
  <c r="AR139" i="8" s="1"/>
  <c r="BJ139" i="8" a="1"/>
  <c r="BJ139" i="8" s="1"/>
  <c r="BW139" i="8" a="1"/>
  <c r="BW139" i="8" s="1"/>
  <c r="N125" i="8" a="1"/>
  <c r="N125" i="8" s="1"/>
  <c r="Q139" i="8" a="1"/>
  <c r="Q139" i="8" s="1"/>
  <c r="AM125" i="8" a="1"/>
  <c r="AM125" i="8" s="1"/>
  <c r="BU139" i="8" a="1"/>
  <c r="BU139" i="8" s="1"/>
  <c r="BC125" i="8" a="1"/>
  <c r="BC125" i="8" s="1"/>
  <c r="AS125" i="8" a="1"/>
  <c r="AS125" i="8" s="1"/>
  <c r="AT139" i="8" a="1"/>
  <c r="AT139" i="8" s="1"/>
  <c r="BF125" i="8" a="1"/>
  <c r="BF125" i="8" s="1"/>
  <c r="AW125" i="8" a="1"/>
  <c r="AW125" i="8" s="1"/>
  <c r="CB125" i="8" a="1"/>
  <c r="CB125" i="8" s="1"/>
  <c r="AO125" i="8" a="1"/>
  <c r="AO125" i="8" s="1"/>
  <c r="BY139" i="8" a="1"/>
  <c r="BY139" i="8" s="1"/>
  <c r="BV125" i="8" a="1"/>
  <c r="BV125" i="8" s="1"/>
  <c r="BK139" i="8" a="1"/>
  <c r="BK139" i="8" s="1"/>
  <c r="BA139" i="8" a="1"/>
  <c r="BA139" i="8" s="1"/>
  <c r="AX125" i="8" a="1"/>
  <c r="AX125" i="8" s="1"/>
  <c r="BZ139" i="8" a="1"/>
  <c r="BZ139" i="8" s="1"/>
  <c r="BC139" i="8" a="1"/>
  <c r="BC139" i="8" s="1"/>
  <c r="BA125" i="8" a="1"/>
  <c r="BA125" i="8" s="1"/>
  <c r="BP139" i="8" a="1"/>
  <c r="BP139" i="8" s="1"/>
  <c r="BU125" i="8" a="1"/>
  <c r="BU125" i="8" s="1"/>
  <c r="BV139" i="8" a="1"/>
  <c r="BV139" i="8" s="1"/>
  <c r="CB139" i="8" a="1"/>
  <c r="CB139" i="8" s="1"/>
  <c r="BH125" i="8" a="1"/>
  <c r="BH125" i="8" s="1"/>
  <c r="BL125" i="8" a="1"/>
  <c r="BL125" i="8" s="1"/>
  <c r="BI125" i="8" a="1"/>
  <c r="BI125" i="8" s="1"/>
  <c r="AO139" i="8" a="1"/>
  <c r="AO139" i="8" s="1"/>
  <c r="CA139" i="8" a="1"/>
  <c r="CA139" i="8" s="1"/>
  <c r="BH139" i="8" a="1"/>
  <c r="BH139" i="8" s="1"/>
  <c r="BQ139" i="8" a="1"/>
  <c r="BQ139" i="8" s="1"/>
  <c r="BQ125" i="8" a="1"/>
  <c r="BQ125" i="8" s="1"/>
  <c r="AZ125" i="8" a="1"/>
  <c r="AZ125" i="8" s="1"/>
  <c r="CC139" i="8" a="1"/>
  <c r="CC139" i="8" s="1"/>
  <c r="AY125" i="8" a="1"/>
  <c r="AY125" i="8" s="1"/>
  <c r="CF139" i="8" a="1"/>
  <c r="CF139" i="8" s="1"/>
  <c r="BO139" i="8" a="1"/>
  <c r="BO139" i="8" s="1"/>
  <c r="AT125" i="8" a="1"/>
  <c r="AT125" i="8" s="1"/>
  <c r="AZ139" i="8" a="1"/>
  <c r="AZ139" i="8" s="1"/>
  <c r="BP125" i="8" a="1"/>
  <c r="BP125" i="8" s="1"/>
  <c r="BY125" i="8" a="1"/>
  <c r="BY125" i="8" s="1"/>
  <c r="AP125" i="8" a="1"/>
  <c r="AP125" i="8" s="1"/>
  <c r="BX125" i="8" a="1"/>
  <c r="BX125" i="8" s="1"/>
  <c r="AL125" i="8" a="1"/>
  <c r="AL125" i="8" s="1"/>
  <c r="AN139" i="8" a="1"/>
  <c r="AN139" i="8" s="1"/>
  <c r="BD125" i="8" a="1"/>
  <c r="BD125" i="8" s="1"/>
  <c r="P125" i="8" a="1"/>
  <c r="P125" i="8" s="1"/>
  <c r="O139" i="8" a="1"/>
  <c r="O139" i="8" s="1"/>
  <c r="BE139" i="8" a="1"/>
  <c r="BE139" i="8" s="1"/>
  <c r="V125" i="8" a="1"/>
  <c r="V125" i="8" s="1"/>
  <c r="V139" i="8" a="1"/>
  <c r="V139" i="8" s="1"/>
  <c r="W125" i="8" a="1"/>
  <c r="W125" i="8" s="1"/>
  <c r="W139" i="8" a="1"/>
  <c r="W139" i="8" s="1"/>
  <c r="Y139" i="8" a="1"/>
  <c r="Y139" i="8" s="1"/>
  <c r="X139" i="8" a="1"/>
  <c r="X139" i="8" s="1"/>
  <c r="X125" i="8" a="1"/>
  <c r="X125" i="8" s="1"/>
  <c r="Z139" i="8" a="1"/>
  <c r="Z139" i="8" s="1"/>
  <c r="Y125" i="8" a="1"/>
  <c r="Y125" i="8" s="1"/>
  <c r="Z125" i="8" a="1"/>
  <c r="Z125" i="8" s="1"/>
  <c r="AA125" i="8" a="1"/>
  <c r="AA125" i="8" s="1"/>
  <c r="AA139" i="8" a="1"/>
  <c r="AA139" i="8" s="1"/>
  <c r="AB125" i="8" a="1"/>
  <c r="AB125" i="8" s="1"/>
  <c r="AB139" i="8" a="1"/>
  <c r="AB139" i="8" s="1"/>
  <c r="AC139" i="8" a="1"/>
  <c r="AC139" i="8" s="1"/>
  <c r="AC125" i="8" a="1"/>
  <c r="AC125" i="8" s="1"/>
  <c r="AD139" i="8" a="1"/>
  <c r="AD139" i="8" s="1"/>
  <c r="AD125" i="8" a="1"/>
  <c r="AD125" i="8" s="1"/>
  <c r="AE139" i="8" a="1"/>
  <c r="AE139" i="8" s="1"/>
  <c r="AF139" i="8" a="1"/>
  <c r="AF139" i="8" s="1"/>
  <c r="AE125" i="8" a="1"/>
  <c r="AE125" i="8" s="1"/>
  <c r="AF125" i="8" a="1"/>
  <c r="AF125" i="8" s="1"/>
  <c r="AG139" i="8" a="1"/>
  <c r="AG139" i="8" s="1"/>
  <c r="AG125" i="8" a="1"/>
  <c r="AG125" i="8" s="1"/>
  <c r="AI139" i="8" a="1"/>
  <c r="AI139" i="8" s="1"/>
  <c r="AH139" i="8" a="1"/>
  <c r="AH139" i="8" s="1"/>
  <c r="AH125" i="8" a="1"/>
  <c r="AH125" i="8" s="1"/>
  <c r="AI125" i="8" a="1"/>
  <c r="AI125" i="8" s="1"/>
  <c r="J139" i="8" a="1"/>
  <c r="J139" i="8" s="1"/>
  <c r="K125" i="8" a="1"/>
  <c r="K125" i="8" s="1"/>
  <c r="J125" i="8" a="1"/>
  <c r="J125" i="8" s="1"/>
  <c r="K139" i="8" a="1"/>
  <c r="K139" i="8" s="1"/>
  <c r="CH42" i="12"/>
  <c r="BF60" i="13" s="1"/>
  <c r="BF116" i="13"/>
  <c r="BY41" i="17"/>
  <c r="E90" i="17" s="1" a="1"/>
  <c r="E90" i="17" s="1"/>
  <c r="AG90" i="17" s="1" a="1"/>
  <c r="AG90" i="17" s="1"/>
  <c r="BF110" i="13"/>
  <c r="BF108" i="13" s="1"/>
  <c r="CH82" i="20"/>
  <c r="BE131" i="13"/>
  <c r="BE118" i="13"/>
  <c r="CF44" i="12"/>
  <c r="BD62" i="13" s="1"/>
  <c r="BE119" i="13"/>
  <c r="BE120" i="13"/>
  <c r="CI87" i="20"/>
  <c r="BF132" i="13" s="1"/>
  <c r="BF128" i="13"/>
  <c r="CF43" i="12"/>
  <c r="BD61" i="13" s="1"/>
  <c r="BB115" i="13"/>
  <c r="W133" i="22"/>
  <c r="N133" i="22"/>
  <c r="V133" i="22"/>
  <c r="R133" i="22"/>
  <c r="X133" i="22"/>
  <c r="S133" i="22"/>
  <c r="T82" i="22"/>
  <c r="T133" i="22"/>
  <c r="Z133" i="22"/>
  <c r="I133" i="22"/>
  <c r="P133" i="22"/>
  <c r="AA82" i="22"/>
  <c r="AA133" i="22"/>
  <c r="Q133" i="22"/>
  <c r="O82" i="22"/>
  <c r="O133" i="22"/>
  <c r="Y133" i="22"/>
  <c r="H133" i="22"/>
  <c r="V82" i="22"/>
  <c r="U133" i="22"/>
  <c r="M133" i="22"/>
  <c r="G133" i="22"/>
  <c r="X82" i="22"/>
  <c r="S82" i="22"/>
  <c r="R82" i="22"/>
  <c r="G82" i="22"/>
  <c r="M82" i="22"/>
  <c r="N82" i="22"/>
  <c r="Y82" i="22"/>
  <c r="Z82" i="22"/>
  <c r="I82" i="22"/>
  <c r="U82" i="22"/>
  <c r="P82" i="22"/>
  <c r="H82" i="22"/>
  <c r="Q82" i="22"/>
  <c r="W82" i="22"/>
  <c r="BX20" i="11" a="1"/>
  <c r="BX20" i="11" s="1"/>
  <c r="G25" i="22"/>
  <c r="H25" i="22"/>
  <c r="Y25" i="22"/>
  <c r="J25" i="22"/>
  <c r="Z25" i="22"/>
  <c r="AA25" i="22"/>
  <c r="AB25" i="22"/>
  <c r="BU12" i="9" a="1"/>
  <c r="BU12" i="9" s="1"/>
  <c r="O38" i="8" a="1"/>
  <c r="O38" i="8" s="1"/>
  <c r="AN38" i="8" a="1"/>
  <c r="AN38" i="8" s="1"/>
  <c r="K38" i="8" a="1"/>
  <c r="K38" i="8" s="1"/>
  <c r="P38" i="8" a="1"/>
  <c r="P38" i="8" s="1"/>
  <c r="AM38" i="8" a="1"/>
  <c r="AM38" i="8" s="1"/>
  <c r="J38" i="8" a="1"/>
  <c r="J38" i="8" s="1"/>
  <c r="N38" i="8" a="1"/>
  <c r="N38" i="8" s="1"/>
  <c r="U38" i="8" a="1"/>
  <c r="U38" i="8" s="1"/>
  <c r="V38" i="8" a="1"/>
  <c r="V38" i="8" s="1"/>
  <c r="AL38" i="8" a="1"/>
  <c r="AL38" i="8" s="1"/>
  <c r="T38" i="8" a="1"/>
  <c r="T38" i="8" s="1"/>
  <c r="AO38" i="8" a="1"/>
  <c r="AO38" i="8" s="1"/>
  <c r="AP38" i="8" a="1"/>
  <c r="AP38" i="8" s="1"/>
  <c r="Q38" i="8" a="1"/>
  <c r="Q38" i="8" s="1"/>
  <c r="AQ38" i="8" a="1"/>
  <c r="AQ38" i="8" s="1"/>
  <c r="W38" i="8" a="1"/>
  <c r="W38" i="8" s="1"/>
  <c r="AS38" i="8" a="1"/>
  <c r="AS38" i="8" s="1"/>
  <c r="AR38" i="8" a="1"/>
  <c r="AR38" i="8" s="1"/>
  <c r="X38" i="8" a="1"/>
  <c r="X38" i="8" s="1"/>
  <c r="AT38" i="8" a="1"/>
  <c r="AT38" i="8" s="1"/>
  <c r="AU38" i="8" a="1"/>
  <c r="AU38" i="8" s="1"/>
  <c r="Y38" i="8" a="1"/>
  <c r="Y38" i="8" s="1"/>
  <c r="AV38" i="8" a="1"/>
  <c r="AV38" i="8" s="1"/>
  <c r="AW38" i="8" a="1"/>
  <c r="AW38" i="8" s="1"/>
  <c r="Z38" i="8" a="1"/>
  <c r="Z38" i="8" s="1"/>
  <c r="AX38" i="8" a="1"/>
  <c r="AX38" i="8" s="1"/>
  <c r="AY38" i="8" a="1"/>
  <c r="AY38" i="8" s="1"/>
  <c r="AA38" i="8" a="1"/>
  <c r="AA38" i="8" s="1"/>
  <c r="AZ38" i="8" a="1"/>
  <c r="AZ38" i="8" s="1"/>
  <c r="BA38" i="8" a="1"/>
  <c r="BA38" i="8" s="1"/>
  <c r="AB38" i="8" a="1"/>
  <c r="AB38" i="8" s="1"/>
  <c r="BB38" i="8" a="1"/>
  <c r="BB38" i="8" s="1"/>
  <c r="BC38" i="8" a="1"/>
  <c r="BC38" i="8" s="1"/>
  <c r="AC38" i="8" a="1"/>
  <c r="AC38" i="8" s="1"/>
  <c r="BD38" i="8" a="1"/>
  <c r="BD38" i="8" s="1"/>
  <c r="BE38" i="8" a="1"/>
  <c r="BE38" i="8" s="1"/>
  <c r="AD38" i="8" a="1"/>
  <c r="AD38" i="8" s="1"/>
  <c r="BF38" i="8" a="1"/>
  <c r="BF38" i="8" s="1"/>
  <c r="BG38" i="8" a="1"/>
  <c r="BG38" i="8" s="1"/>
  <c r="AE38" i="8" a="1"/>
  <c r="AE38" i="8" s="1"/>
  <c r="BH38" i="8" a="1"/>
  <c r="BH38" i="8" s="1"/>
  <c r="AF38" i="8" a="1"/>
  <c r="AF38" i="8" s="1"/>
  <c r="BI38" i="8" a="1"/>
  <c r="BI38" i="8" s="1"/>
  <c r="BJ38" i="8" a="1"/>
  <c r="BJ38" i="8" s="1"/>
  <c r="BK38" i="8" a="1"/>
  <c r="BK38" i="8" s="1"/>
  <c r="AG38" i="8" a="1"/>
  <c r="AG38" i="8" s="1"/>
  <c r="BL38" i="8" a="1"/>
  <c r="BL38" i="8" s="1"/>
  <c r="BM38" i="8" a="1"/>
  <c r="BM38" i="8" s="1"/>
  <c r="AH38" i="8" a="1"/>
  <c r="AH38" i="8" s="1"/>
  <c r="BN38" i="8" a="1"/>
  <c r="BN38" i="8" s="1"/>
  <c r="BO38" i="8" a="1"/>
  <c r="BO38" i="8" s="1"/>
  <c r="AI38" i="8" a="1"/>
  <c r="AI38" i="8" s="1"/>
  <c r="BP38" i="8" a="1"/>
  <c r="BP38" i="8" s="1"/>
  <c r="BQ38" i="8" a="1"/>
  <c r="BQ38" i="8" s="1"/>
  <c r="BR38" i="8" a="1"/>
  <c r="BR38" i="8" s="1"/>
  <c r="BS38" i="8" a="1"/>
  <c r="BS38" i="8" s="1"/>
  <c r="BT38" i="8" a="1"/>
  <c r="BT38" i="8" s="1"/>
  <c r="BU38" i="8" a="1"/>
  <c r="BU38" i="8" s="1"/>
  <c r="BV38" i="8" a="1"/>
  <c r="BV38" i="8" s="1"/>
  <c r="BW38" i="8" a="1"/>
  <c r="BW38" i="8" s="1"/>
  <c r="BX38" i="8" a="1"/>
  <c r="BX38" i="8" s="1"/>
  <c r="BY38" i="8" a="1"/>
  <c r="BY38" i="8" s="1"/>
  <c r="BZ38" i="8" a="1"/>
  <c r="BZ38" i="8" s="1"/>
  <c r="CA38" i="8" a="1"/>
  <c r="CA38" i="8" s="1"/>
  <c r="CB38" i="8" a="1"/>
  <c r="CB38" i="8" s="1"/>
  <c r="CC38" i="8" a="1"/>
  <c r="CC38" i="8" s="1"/>
  <c r="CD38" i="8" a="1"/>
  <c r="CD38" i="8" s="1"/>
  <c r="CE38" i="8" a="1"/>
  <c r="CE38" i="8" s="1"/>
  <c r="CF38" i="8" a="1"/>
  <c r="CF38" i="8" s="1"/>
  <c r="CG38" i="8" a="1"/>
  <c r="CG38" i="8" s="1"/>
  <c r="BP20" i="11" a="1"/>
  <c r="BP20" i="11" s="1"/>
  <c r="AW48" i="11" a="1"/>
  <c r="AW48" i="11" s="1"/>
  <c r="U48" i="11" a="1"/>
  <c r="U48" i="11" s="1"/>
  <c r="AX48" i="11" a="1"/>
  <c r="AX48" i="11" s="1"/>
  <c r="BC48" i="11" a="1"/>
  <c r="BC48" i="11" s="1"/>
  <c r="AZ20" i="11" a="1"/>
  <c r="AZ20" i="11" s="1"/>
  <c r="AO20" i="11" a="1"/>
  <c r="AO20" i="11" s="1"/>
  <c r="AC20" i="11" a="1"/>
  <c r="AC20" i="11" s="1"/>
  <c r="BQ20" i="11" a="1"/>
  <c r="BQ20" i="11" s="1"/>
  <c r="AR48" i="11" a="1"/>
  <c r="AR48" i="11" s="1"/>
  <c r="BK48" i="11" a="1"/>
  <c r="BK48" i="11" s="1"/>
  <c r="Z48" i="11" a="1"/>
  <c r="Z48" i="11" s="1"/>
  <c r="T48" i="11" a="1"/>
  <c r="T48" i="11" s="1"/>
  <c r="W20" i="11" a="1"/>
  <c r="W20" i="11" s="1"/>
  <c r="AQ20" i="11" a="1"/>
  <c r="AQ20" i="11" s="1"/>
  <c r="AE20" i="11" a="1"/>
  <c r="AE20" i="11" s="1"/>
  <c r="BR20" i="11" a="1"/>
  <c r="BR20" i="11" s="1"/>
  <c r="BL20" i="11" a="1"/>
  <c r="BL20" i="11" s="1"/>
  <c r="AD48" i="11" a="1"/>
  <c r="AD48" i="11" s="1"/>
  <c r="V48" i="11" a="1"/>
  <c r="V48" i="11" s="1"/>
  <c r="BK20" i="11" a="1"/>
  <c r="BK20" i="11" s="1"/>
  <c r="BA20" i="11" a="1"/>
  <c r="BA20" i="11" s="1"/>
  <c r="AP20" i="11" a="1"/>
  <c r="AP20" i="11" s="1"/>
  <c r="H20" i="11" a="1"/>
  <c r="H20" i="11" s="1"/>
  <c r="BO48" i="11" a="1"/>
  <c r="BO48" i="11" s="1"/>
  <c r="AM48" i="11" a="1"/>
  <c r="AM48" i="11" s="1"/>
  <c r="O48" i="11" a="1"/>
  <c r="O48" i="11" s="1"/>
  <c r="AF48" i="11" a="1"/>
  <c r="AF48" i="11" s="1"/>
  <c r="AU48" i="11" a="1"/>
  <c r="AU48" i="11" s="1"/>
  <c r="V20" i="11" a="1"/>
  <c r="V20" i="11" s="1"/>
  <c r="Q20" i="11" a="1"/>
  <c r="Q20" i="11" s="1"/>
  <c r="AF20" i="11" a="1"/>
  <c r="AF20" i="11" s="1"/>
  <c r="BP48" i="11" a="1"/>
  <c r="BP48" i="11" s="1"/>
  <c r="AC48" i="11" a="1"/>
  <c r="AC48" i="11" s="1"/>
  <c r="BB48" i="11" a="1"/>
  <c r="BB48" i="11" s="1"/>
  <c r="BD48" i="11" a="1"/>
  <c r="BD48" i="11" s="1"/>
  <c r="BJ20" i="11" a="1"/>
  <c r="BJ20" i="11" s="1"/>
  <c r="AY20" i="11" a="1"/>
  <c r="AY20" i="11" s="1"/>
  <c r="P20" i="11" a="1"/>
  <c r="P20" i="11" s="1"/>
  <c r="E20" i="11" a="1"/>
  <c r="E20" i="11" s="1"/>
  <c r="BN48" i="11" a="1"/>
  <c r="BN48" i="11" s="1"/>
  <c r="BM20" i="11" a="1"/>
  <c r="BM20" i="11" s="1"/>
  <c r="BE48" i="11" a="1"/>
  <c r="BE48" i="11" s="1"/>
  <c r="Y48" i="11" a="1"/>
  <c r="Y48" i="11" s="1"/>
  <c r="BI20" i="11" a="1"/>
  <c r="BI20" i="11" s="1"/>
  <c r="U20" i="11" a="1"/>
  <c r="U20" i="11" s="1"/>
  <c r="AN20" i="11" a="1"/>
  <c r="AN20" i="11" s="1"/>
  <c r="G20" i="11" a="1"/>
  <c r="G20" i="11" s="1"/>
  <c r="BO20" i="11" a="1"/>
  <c r="BO20" i="11" s="1"/>
  <c r="BI48" i="11" a="1"/>
  <c r="BI48" i="11" s="1"/>
  <c r="H48" i="11" a="1"/>
  <c r="H48" i="11" s="1"/>
  <c r="G48" i="11" a="1"/>
  <c r="G48" i="11" s="1"/>
  <c r="BH20" i="11" a="1"/>
  <c r="BH20" i="11" s="1"/>
  <c r="AX20" i="11" a="1"/>
  <c r="AX20" i="11" s="1"/>
  <c r="AM20" i="11" a="1"/>
  <c r="AM20" i="11" s="1"/>
  <c r="K20" i="11" a="1"/>
  <c r="K20" i="11" s="1"/>
  <c r="BM48" i="11" a="1"/>
  <c r="BM48" i="11" s="1"/>
  <c r="K48" i="11" a="1"/>
  <c r="K48" i="11" s="1"/>
  <c r="AS48" i="11" a="1"/>
  <c r="AS48" i="11" s="1"/>
  <c r="AN48" i="11" a="1"/>
  <c r="AN48" i="11" s="1"/>
  <c r="BG20" i="11" a="1"/>
  <c r="BG20" i="11" s="1"/>
  <c r="AW20" i="11" a="1"/>
  <c r="AW20" i="11" s="1"/>
  <c r="AL20" i="11" a="1"/>
  <c r="AL20" i="11" s="1"/>
  <c r="F20" i="11" a="1"/>
  <c r="F20" i="11" s="1"/>
  <c r="BV20" i="11" a="1"/>
  <c r="BV20" i="11" s="1"/>
  <c r="BN20" i="11" a="1"/>
  <c r="BN20" i="11" s="1"/>
  <c r="BL48" i="11" a="1"/>
  <c r="BL48" i="11" s="1"/>
  <c r="E48" i="11" a="1"/>
  <c r="E48" i="11" s="1"/>
  <c r="AZ48" i="11" a="1"/>
  <c r="AZ48" i="11" s="1"/>
  <c r="Z20" i="11" a="1"/>
  <c r="Z20" i="11" s="1"/>
  <c r="AV20" i="11" a="1"/>
  <c r="AV20" i="11" s="1"/>
  <c r="AK20" i="11" a="1"/>
  <c r="AK20" i="11" s="1"/>
  <c r="L20" i="11" a="1"/>
  <c r="L20" i="11" s="1"/>
  <c r="BU48" i="11" a="1"/>
  <c r="BU48" i="11" s="1"/>
  <c r="X48" i="11" a="1"/>
  <c r="X48" i="11" s="1"/>
  <c r="AJ48" i="11" a="1"/>
  <c r="AJ48" i="11" s="1"/>
  <c r="AQ48" i="11" a="1"/>
  <c r="AQ48" i="11" s="1"/>
  <c r="R48" i="11" a="1"/>
  <c r="R48" i="11" s="1"/>
  <c r="BF20" i="11" a="1"/>
  <c r="BF20" i="11" s="1"/>
  <c r="AU20" i="11" a="1"/>
  <c r="AU20" i="11" s="1"/>
  <c r="O20" i="11" a="1"/>
  <c r="O20" i="11" s="1"/>
  <c r="AD20" i="11" a="1"/>
  <c r="AD20" i="11" s="1"/>
  <c r="BT20" i="11" a="1"/>
  <c r="BT20" i="11" s="1"/>
  <c r="AY48" i="11" a="1"/>
  <c r="AY48" i="11" s="1"/>
  <c r="P48" i="11" a="1"/>
  <c r="P48" i="11" s="1"/>
  <c r="AT48" i="11" a="1"/>
  <c r="AT48" i="11" s="1"/>
  <c r="AP48" i="11" a="1"/>
  <c r="AP48" i="11" s="1"/>
  <c r="Y20" i="11" a="1"/>
  <c r="Y20" i="11" s="1"/>
  <c r="T20" i="11" a="1"/>
  <c r="T20" i="11" s="1"/>
  <c r="AJ20" i="11" a="1"/>
  <c r="AJ20" i="11" s="1"/>
  <c r="BW20" i="11" a="1"/>
  <c r="BW20" i="11" s="1"/>
  <c r="BS48" i="11" a="1"/>
  <c r="BS48" i="11" s="1"/>
  <c r="BH48" i="11" a="1"/>
  <c r="BH48" i="11" s="1"/>
  <c r="L48" i="11" a="1"/>
  <c r="L48" i="11" s="1"/>
  <c r="AK48" i="11" a="1"/>
  <c r="AK48" i="11" s="1"/>
  <c r="AO48" i="11" a="1"/>
  <c r="AO48" i="11" s="1"/>
  <c r="BE20" i="11" a="1"/>
  <c r="BE20" i="11" s="1"/>
  <c r="AT20" i="11" a="1"/>
  <c r="AT20" i="11" s="1"/>
  <c r="AI20" i="11" a="1"/>
  <c r="AI20" i="11" s="1"/>
  <c r="BW48" i="11" a="1"/>
  <c r="BW48" i="11" s="1"/>
  <c r="BU20" i="11" a="1"/>
  <c r="BU20" i="11" s="1"/>
  <c r="BG48" i="11" a="1"/>
  <c r="BG48" i="11" s="1"/>
  <c r="AI48" i="11" a="1"/>
  <c r="AI48" i="11" s="1"/>
  <c r="N48" i="11" a="1"/>
  <c r="N48" i="11" s="1"/>
  <c r="S48" i="11" a="1"/>
  <c r="S48" i="11" s="1"/>
  <c r="X20" i="11" a="1"/>
  <c r="X20" i="11" s="1"/>
  <c r="S20" i="11" a="1"/>
  <c r="S20" i="11" s="1"/>
  <c r="N20" i="11" a="1"/>
  <c r="N20" i="11" s="1"/>
  <c r="BV48" i="11" a="1"/>
  <c r="BV48" i="11" s="1"/>
  <c r="BS20" i="11" a="1"/>
  <c r="BS20" i="11" s="1"/>
  <c r="AE48" i="11" a="1"/>
  <c r="AE48" i="11" s="1"/>
  <c r="BJ48" i="11" a="1"/>
  <c r="BJ48" i="11" s="1"/>
  <c r="BF48" i="11" a="1"/>
  <c r="BF48" i="11" s="1"/>
  <c r="AV48" i="11" a="1"/>
  <c r="AV48" i="11" s="1"/>
  <c r="BD20" i="11" a="1"/>
  <c r="BD20" i="11" s="1"/>
  <c r="AS20" i="11" a="1"/>
  <c r="AS20" i="11" s="1"/>
  <c r="M20" i="11" a="1"/>
  <c r="M20" i="11" s="1"/>
  <c r="BX48" i="11" a="1"/>
  <c r="BX48" i="11" s="1"/>
  <c r="BR48" i="11" a="1"/>
  <c r="BR48" i="11" s="1"/>
  <c r="AH48" i="11" a="1"/>
  <c r="AH48" i="11" s="1"/>
  <c r="BA48" i="11" a="1"/>
  <c r="BA48" i="11" s="1"/>
  <c r="AL48" i="11" a="1"/>
  <c r="AL48" i="11" s="1"/>
  <c r="Q48" i="11" a="1"/>
  <c r="Q48" i="11" s="1"/>
  <c r="BC20" i="11" a="1"/>
  <c r="BC20" i="11" s="1"/>
  <c r="R20" i="11" a="1"/>
  <c r="R20" i="11" s="1"/>
  <c r="AH20" i="11" a="1"/>
  <c r="AH20" i="11" s="1"/>
  <c r="BQ48" i="11" a="1"/>
  <c r="BQ48" i="11" s="1"/>
  <c r="AG48" i="11" a="1"/>
  <c r="AG48" i="11" s="1"/>
  <c r="M48" i="11" a="1"/>
  <c r="M48" i="11" s="1"/>
  <c r="W48" i="11" a="1"/>
  <c r="W48" i="11" s="1"/>
  <c r="F48" i="11" a="1"/>
  <c r="F48" i="11" s="1"/>
  <c r="BB20" i="11" a="1"/>
  <c r="BB20" i="11" s="1"/>
  <c r="AR20" i="11" a="1"/>
  <c r="AR20" i="11" s="1"/>
  <c r="AG20" i="11" a="1"/>
  <c r="AG20" i="11" s="1"/>
  <c r="BT48" i="11" a="1"/>
  <c r="BT48" i="11" s="1"/>
  <c r="BN12" i="9" a="1"/>
  <c r="BN12" i="9" s="1"/>
  <c r="BP12" i="9" a="1"/>
  <c r="BP12" i="9" s="1"/>
  <c r="BM11" i="9" a="1"/>
  <c r="BM11" i="9" s="1"/>
  <c r="BQ12" i="9" a="1"/>
  <c r="BQ12" i="9" s="1"/>
  <c r="BO12" i="9" a="1"/>
  <c r="BO12" i="9" s="1"/>
  <c r="BR11" i="9" a="1"/>
  <c r="BR11" i="9" s="1"/>
  <c r="BS12" i="9" a="1"/>
  <c r="BS12" i="9" s="1"/>
  <c r="BP11" i="9" a="1"/>
  <c r="BP11" i="9" s="1"/>
  <c r="BO11" i="9" a="1"/>
  <c r="BO11" i="9" s="1"/>
  <c r="BT12" i="9" a="1"/>
  <c r="BT12" i="9" s="1"/>
  <c r="BR12" i="9" a="1"/>
  <c r="BR12" i="9" s="1"/>
  <c r="BV12" i="9" a="1"/>
  <c r="BV12" i="9" s="1"/>
  <c r="BS11" i="9" a="1"/>
  <c r="BS11" i="9" s="1"/>
  <c r="BU11" i="9" a="1"/>
  <c r="BU11" i="9" s="1"/>
  <c r="BW11" i="9" a="1"/>
  <c r="BW11" i="9" s="1"/>
  <c r="BV11" i="9" a="1"/>
  <c r="BV11" i="9" s="1"/>
  <c r="BW12" i="9" a="1"/>
  <c r="BW12" i="9" s="1"/>
  <c r="BQ11" i="9" a="1"/>
  <c r="BQ11" i="9" s="1"/>
  <c r="BX12" i="9" a="1"/>
  <c r="BX12" i="9" s="1"/>
  <c r="BX11" i="9" a="1"/>
  <c r="BX11" i="9" s="1"/>
  <c r="BT11" i="9" a="1"/>
  <c r="BT11" i="9" s="1"/>
  <c r="BY11" i="9" a="1"/>
  <c r="BY11" i="9" s="1"/>
  <c r="BY12" i="9" a="1"/>
  <c r="BY12" i="9" s="1"/>
  <c r="BZ75" i="16"/>
  <c r="CI86" i="20"/>
  <c r="BF131" i="13" s="1"/>
  <c r="CJ107" i="20"/>
  <c r="CJ90" i="20"/>
  <c r="BG134" i="13" s="1"/>
  <c r="CJ108" i="20"/>
  <c r="BE89" i="17" a="1"/>
  <c r="BE89" i="17" s="1"/>
  <c r="AO89" i="17" a="1"/>
  <c r="AO89" i="17" s="1"/>
  <c r="BS89" i="17" a="1"/>
  <c r="BS89" i="17" s="1"/>
  <c r="BD89" i="17" a="1"/>
  <c r="BD89" i="17" s="1"/>
  <c r="AN89" i="17" a="1"/>
  <c r="AN89" i="17" s="1"/>
  <c r="P89" i="17" s="1"/>
  <c r="BR89" i="17" a="1"/>
  <c r="BR89" i="17" s="1"/>
  <c r="Z89" i="17" s="1"/>
  <c r="BC89" i="17" a="1"/>
  <c r="BC89" i="17" s="1"/>
  <c r="AM89" i="17" a="1"/>
  <c r="AM89" i="17" s="1"/>
  <c r="BQ89" i="17" a="1"/>
  <c r="BQ89" i="17" s="1"/>
  <c r="BB89" i="17" a="1"/>
  <c r="BB89" i="17" s="1"/>
  <c r="AL89" i="17" a="1"/>
  <c r="AL89" i="17" s="1"/>
  <c r="BP89" i="17" a="1"/>
  <c r="BP89" i="17" s="1"/>
  <c r="BA89" i="17" a="1"/>
  <c r="BA89" i="17" s="1"/>
  <c r="AK89" i="17" a="1"/>
  <c r="AK89" i="17" s="1"/>
  <c r="O89" i="17" s="1"/>
  <c r="BO89" i="17" a="1"/>
  <c r="BO89" i="17" s="1"/>
  <c r="AZ89" i="17" a="1"/>
  <c r="AZ89" i="17" s="1"/>
  <c r="T89" i="17" s="1"/>
  <c r="AJ89" i="17" a="1"/>
  <c r="AJ89" i="17" s="1"/>
  <c r="BN89" i="17" a="1"/>
  <c r="BN89" i="17" s="1"/>
  <c r="BF89" i="17" a="1"/>
  <c r="BF89" i="17" s="1"/>
  <c r="V89" i="17" s="1"/>
  <c r="AY89" i="17" a="1"/>
  <c r="AY89" i="17" s="1"/>
  <c r="AI89" i="17" a="1"/>
  <c r="AI89" i="17" s="1"/>
  <c r="BM89" i="17" a="1"/>
  <c r="BM89" i="17" s="1"/>
  <c r="AX89" i="17" a="1"/>
  <c r="AX89" i="17" s="1"/>
  <c r="AH89" i="17" a="1"/>
  <c r="AH89" i="17" s="1"/>
  <c r="N89" i="17" s="1"/>
  <c r="BL89" i="17" a="1"/>
  <c r="BL89" i="17" s="1"/>
  <c r="X89" i="17" s="1"/>
  <c r="AW89" i="17" a="1"/>
  <c r="AW89" i="17" s="1"/>
  <c r="S89" i="17" s="1"/>
  <c r="AG89" i="17" a="1"/>
  <c r="AG89" i="17" s="1"/>
  <c r="BK89" i="17" a="1"/>
  <c r="BK89" i="17" s="1"/>
  <c r="BH89" i="17" a="1"/>
  <c r="BH89" i="17" s="1"/>
  <c r="AV89" i="17" a="1"/>
  <c r="AV89" i="17" s="1"/>
  <c r="AF89" i="17" a="1"/>
  <c r="AF89" i="17" s="1"/>
  <c r="BJ89" i="17" a="1"/>
  <c r="BJ89" i="17" s="1"/>
  <c r="AU89" i="17" a="1"/>
  <c r="AU89" i="17" s="1"/>
  <c r="BY89" i="17" a="1"/>
  <c r="BY89" i="17" s="1"/>
  <c r="BI89" i="17" a="1"/>
  <c r="BI89" i="17" s="1"/>
  <c r="W89" i="17" s="1"/>
  <c r="AR89" i="17" a="1"/>
  <c r="AR89" i="17" s="1"/>
  <c r="AT89" i="17" a="1"/>
  <c r="AT89" i="17" s="1"/>
  <c r="R89" i="17" s="1"/>
  <c r="BX89" i="17" a="1"/>
  <c r="BX89" i="17" s="1"/>
  <c r="AB89" i="17" s="1"/>
  <c r="BV89" i="17" a="1"/>
  <c r="BV89" i="17" s="1"/>
  <c r="BT89" i="17" a="1"/>
  <c r="BT89" i="17" s="1"/>
  <c r="AS89" i="17" a="1"/>
  <c r="AS89" i="17" s="1"/>
  <c r="BW89" i="17" a="1"/>
  <c r="BW89" i="17" s="1"/>
  <c r="BG89" i="17" a="1"/>
  <c r="BG89" i="17" s="1"/>
  <c r="AQ89" i="17" a="1"/>
  <c r="AQ89" i="17" s="1"/>
  <c r="BU89" i="17" a="1"/>
  <c r="BU89" i="17" s="1"/>
  <c r="AA89" i="17" s="1"/>
  <c r="AP89" i="17" a="1"/>
  <c r="AP89" i="17" s="1"/>
  <c r="BZ89" i="17" a="1"/>
  <c r="BZ89" i="17" s="1"/>
  <c r="CA89" i="17" a="1"/>
  <c r="CA89" i="17" s="1"/>
  <c r="CI109" i="20" a="1"/>
  <c r="CI109" i="20" s="1"/>
  <c r="CI110" i="20"/>
  <c r="CI111" i="20" a="1"/>
  <c r="CI111" i="20" s="1"/>
  <c r="BX42" i="17"/>
  <c r="CJ91" i="20"/>
  <c r="BG135" i="13" s="1"/>
  <c r="CI85" i="20"/>
  <c r="BF130" i="13" s="1"/>
  <c r="CE114" i="20"/>
  <c r="CJ83" i="20"/>
  <c r="CJ76" i="20"/>
  <c r="BG122" i="13" s="1"/>
  <c r="CJ77" i="20"/>
  <c r="BG123" i="13" s="1"/>
  <c r="CG75" i="20"/>
  <c r="CF114" i="20"/>
  <c r="BZ82" i="22"/>
  <c r="BZ79" i="22"/>
  <c r="AB79" i="22" s="1"/>
  <c r="BZ65" i="22"/>
  <c r="J65" i="22" s="1"/>
  <c r="BZ62" i="22"/>
  <c r="J62" i="22" s="1"/>
  <c r="BZ52" i="22"/>
  <c r="J52" i="22" s="1"/>
  <c r="BZ44" i="22"/>
  <c r="J44" i="22" s="1"/>
  <c r="BZ75" i="22"/>
  <c r="J75" i="22" s="1"/>
  <c r="BZ53" i="22"/>
  <c r="J53" i="22" s="1"/>
  <c r="BZ100" i="22"/>
  <c r="AB100" i="22" s="1"/>
  <c r="BZ81" i="22"/>
  <c r="AB81" i="22" s="1"/>
  <c r="BZ63" i="22"/>
  <c r="J63" i="22" s="1"/>
  <c r="BZ76" i="22"/>
  <c r="BZ39" i="22"/>
  <c r="J39" i="22" s="1"/>
  <c r="BZ43" i="22"/>
  <c r="BZ49" i="22"/>
  <c r="J49" i="22" s="1"/>
  <c r="BZ54" i="22"/>
  <c r="J54" i="22" s="1"/>
  <c r="BZ59" i="22"/>
  <c r="J59" i="22" s="1"/>
  <c r="BZ66" i="22"/>
  <c r="J66" i="22" s="1"/>
  <c r="BZ71" i="22"/>
  <c r="J71" i="22" s="1"/>
  <c r="BZ72" i="22"/>
  <c r="J72" i="22" s="1"/>
  <c r="BZ78" i="22"/>
  <c r="AB78" i="22" s="1"/>
  <c r="BZ58" i="22"/>
  <c r="J58" i="22" s="1"/>
  <c r="BZ35" i="22"/>
  <c r="J35" i="22" s="1"/>
  <c r="BZ40" i="22"/>
  <c r="J40" i="22" s="1"/>
  <c r="BZ36" i="22"/>
  <c r="J36" i="22" s="1"/>
  <c r="BZ45" i="22"/>
  <c r="J45" i="22" s="1"/>
  <c r="BZ50" i="22"/>
  <c r="J50" i="22" s="1"/>
  <c r="BZ55" i="22"/>
  <c r="J55" i="22" s="1"/>
  <c r="BZ60" i="22"/>
  <c r="J60" i="22" s="1"/>
  <c r="BZ64" i="22"/>
  <c r="J64" i="22" s="1"/>
  <c r="BZ68" i="22"/>
  <c r="J68" i="22" s="1"/>
  <c r="BZ74" i="22"/>
  <c r="BZ73" i="22"/>
  <c r="J73" i="22" s="1"/>
  <c r="BZ37" i="22"/>
  <c r="BZ38" i="22"/>
  <c r="J38" i="22" s="1"/>
  <c r="BZ47" i="22"/>
  <c r="J47" i="22" s="1"/>
  <c r="BZ42" i="22"/>
  <c r="J42" i="22" s="1"/>
  <c r="BZ46" i="22"/>
  <c r="J46" i="22" s="1"/>
  <c r="BZ48" i="22"/>
  <c r="J48" i="22" s="1"/>
  <c r="BZ80" i="22"/>
  <c r="J80" i="22" s="1"/>
  <c r="BZ67" i="22"/>
  <c r="J67" i="22" s="1"/>
  <c r="BZ57" i="22"/>
  <c r="J57" i="22" s="1"/>
  <c r="BZ41" i="22"/>
  <c r="J41" i="22" s="1"/>
  <c r="BZ51" i="22"/>
  <c r="BZ56" i="22"/>
  <c r="J56" i="22" s="1"/>
  <c r="BZ61" i="22"/>
  <c r="J61" i="22" s="1"/>
  <c r="BZ77" i="22"/>
  <c r="BZ115" i="22"/>
  <c r="AB115" i="22" s="1"/>
  <c r="BZ88" i="22"/>
  <c r="J88" i="22" s="1"/>
  <c r="BZ86" i="22"/>
  <c r="P86" i="22" s="1"/>
  <c r="BZ104" i="22"/>
  <c r="P104" i="22" s="1"/>
  <c r="BZ111" i="22"/>
  <c r="BZ87" i="22"/>
  <c r="P87" i="22" s="1"/>
  <c r="BZ116" i="22"/>
  <c r="BZ90" i="22"/>
  <c r="BZ97" i="22"/>
  <c r="BZ114" i="22"/>
  <c r="BZ89" i="22"/>
  <c r="P89" i="22" s="1"/>
  <c r="BZ91" i="22"/>
  <c r="BZ92" i="22"/>
  <c r="AB92" i="22" s="1"/>
  <c r="BZ119" i="22"/>
  <c r="AB119" i="22" s="1"/>
  <c r="BZ105" i="22"/>
  <c r="P105" i="22" s="1"/>
  <c r="BZ120" i="22"/>
  <c r="J120" i="22" s="1"/>
  <c r="BZ95" i="22"/>
  <c r="AB95" i="22" s="1"/>
  <c r="BZ112" i="22"/>
  <c r="P112" i="22" s="1"/>
  <c r="BZ110" i="22"/>
  <c r="J110" i="22" s="1"/>
  <c r="BZ106" i="22"/>
  <c r="AB106" i="22" s="1"/>
  <c r="BZ102" i="22"/>
  <c r="P102" i="22" s="1"/>
  <c r="BZ101" i="22"/>
  <c r="J101" i="22" s="1"/>
  <c r="BZ93" i="22"/>
  <c r="BZ107" i="22"/>
  <c r="P107" i="22" s="1"/>
  <c r="BZ98" i="22"/>
  <c r="P98" i="22" s="1"/>
  <c r="BZ103" i="22"/>
  <c r="AB103" i="22" s="1"/>
  <c r="BZ96" i="22"/>
  <c r="AB96" i="22" s="1"/>
  <c r="BZ108" i="22"/>
  <c r="BZ94" i="22"/>
  <c r="BZ109" i="22"/>
  <c r="Q109" i="22" s="1"/>
  <c r="BZ113" i="22"/>
  <c r="J113" i="22" s="1"/>
  <c r="BZ117" i="22"/>
  <c r="Q117" i="22" s="1"/>
  <c r="BZ118" i="22"/>
  <c r="P118" i="22" s="1"/>
  <c r="BZ99" i="22"/>
  <c r="AB99" i="22" s="1"/>
  <c r="CI96" i="20"/>
  <c r="CI60" i="20"/>
  <c r="CJ64" i="20"/>
  <c r="BG112" i="13" s="1"/>
  <c r="CJ63" i="20"/>
  <c r="BG111" i="13" s="1"/>
  <c r="CJ62" i="20"/>
  <c r="CJ65" i="20"/>
  <c r="BG113" i="13" s="1"/>
  <c r="CG89" i="20"/>
  <c r="CH92" i="20"/>
  <c r="CH93" i="20"/>
  <c r="CH94" i="20"/>
  <c r="CH79" i="20"/>
  <c r="CH80" i="20"/>
  <c r="CH78" i="20"/>
  <c r="CJ100" i="20"/>
  <c r="BG143" i="13" s="1"/>
  <c r="CJ101" i="20"/>
  <c r="BG144" i="13" s="1"/>
  <c r="CJ99" i="20"/>
  <c r="BG142" i="13" s="1"/>
  <c r="AD97" i="20"/>
  <c r="R102" i="20"/>
  <c r="R95" i="20"/>
  <c r="R83" i="20"/>
  <c r="X85" i="20"/>
  <c r="R86" i="20"/>
  <c r="R87" i="20"/>
  <c r="R85" i="20"/>
  <c r="X87" i="20"/>
  <c r="X86" i="20"/>
  <c r="R91" i="20"/>
  <c r="R77" i="20"/>
  <c r="R84" i="20"/>
  <c r="X83" i="20"/>
  <c r="R98" i="20"/>
  <c r="Y84" i="20"/>
  <c r="Y77" i="20"/>
  <c r="Y95" i="20"/>
  <c r="Y83" i="20"/>
  <c r="Y86" i="20"/>
  <c r="Y87" i="20"/>
  <c r="X98" i="20"/>
  <c r="X84" i="20"/>
  <c r="X81" i="20"/>
  <c r="Y85" i="20"/>
  <c r="Y91" i="20"/>
  <c r="Y98" i="20"/>
  <c r="X91" i="20"/>
  <c r="Y102" i="20"/>
  <c r="X77" i="20"/>
  <c r="T80" i="20"/>
  <c r="S87" i="20"/>
  <c r="S81" i="20"/>
  <c r="S79" i="20"/>
  <c r="T102" i="20"/>
  <c r="T85" i="20"/>
  <c r="S97" i="20"/>
  <c r="S80" i="20"/>
  <c r="S98" i="20"/>
  <c r="S85" i="20"/>
  <c r="T92" i="20"/>
  <c r="S92" i="20"/>
  <c r="S95" i="20"/>
  <c r="T97" i="20"/>
  <c r="S76" i="20"/>
  <c r="T90" i="20"/>
  <c r="S77" i="20"/>
  <c r="S93" i="20"/>
  <c r="T93" i="20"/>
  <c r="S91" i="20"/>
  <c r="T87" i="20"/>
  <c r="T84" i="20"/>
  <c r="T76" i="20"/>
  <c r="S78" i="20"/>
  <c r="S84" i="20"/>
  <c r="T79" i="20"/>
  <c r="S100" i="20"/>
  <c r="S90" i="20"/>
  <c r="S101" i="20"/>
  <c r="S94" i="20"/>
  <c r="T91" i="20"/>
  <c r="T81" i="20"/>
  <c r="T100" i="20"/>
  <c r="T94" i="20"/>
  <c r="T77" i="20"/>
  <c r="T88" i="20"/>
  <c r="T95" i="20"/>
  <c r="S99" i="20"/>
  <c r="T98" i="20"/>
  <c r="T86" i="20"/>
  <c r="X97" i="20"/>
  <c r="S102" i="20"/>
  <c r="T78" i="20"/>
  <c r="T101" i="20"/>
  <c r="T99" i="20"/>
  <c r="S86" i="20"/>
  <c r="S88" i="20"/>
  <c r="T83" i="20"/>
  <c r="S83" i="20"/>
  <c r="Z95" i="20"/>
  <c r="Z100" i="20"/>
  <c r="Z90" i="20"/>
  <c r="Z81" i="20"/>
  <c r="X100" i="20"/>
  <c r="Z79" i="20"/>
  <c r="Z88" i="20"/>
  <c r="X102" i="20"/>
  <c r="U98" i="20"/>
  <c r="X99" i="20"/>
  <c r="Z83" i="20"/>
  <c r="Z80" i="20"/>
  <c r="Z85" i="20"/>
  <c r="Z84" i="20"/>
  <c r="X95" i="20"/>
  <c r="Z91" i="20"/>
  <c r="U84" i="20"/>
  <c r="Z92" i="20"/>
  <c r="Z94" i="20"/>
  <c r="Z78" i="20"/>
  <c r="Z102" i="20"/>
  <c r="Z99" i="20"/>
  <c r="Z98" i="20"/>
  <c r="Z87" i="20"/>
  <c r="X88" i="20"/>
  <c r="Z77" i="20"/>
  <c r="R88" i="20"/>
  <c r="X101" i="20"/>
  <c r="Z86" i="20"/>
  <c r="X76" i="20"/>
  <c r="X90" i="20"/>
  <c r="Z97" i="20"/>
  <c r="AA84" i="20"/>
  <c r="AA83" i="20"/>
  <c r="AA90" i="20"/>
  <c r="AA81" i="20"/>
  <c r="AA100" i="20"/>
  <c r="X80" i="20"/>
  <c r="AA85" i="20"/>
  <c r="AA87" i="20"/>
  <c r="AA91" i="20"/>
  <c r="AA97" i="20"/>
  <c r="AA92" i="20"/>
  <c r="X92" i="20"/>
  <c r="AA88" i="20"/>
  <c r="AA86" i="20"/>
  <c r="AA95" i="20"/>
  <c r="AA79" i="20"/>
  <c r="Y88" i="20"/>
  <c r="AA77" i="20"/>
  <c r="AA78" i="20"/>
  <c r="AA101" i="20"/>
  <c r="X78" i="20"/>
  <c r="AA80" i="20"/>
  <c r="X93" i="20"/>
  <c r="AA99" i="20"/>
  <c r="AA94" i="20"/>
  <c r="Y81" i="20"/>
  <c r="AA98" i="20"/>
  <c r="AA76" i="20"/>
  <c r="AA102" i="20"/>
  <c r="X94" i="20"/>
  <c r="AA93" i="20"/>
  <c r="X79" i="20"/>
  <c r="Y97" i="20"/>
  <c r="AB83" i="20"/>
  <c r="AB102" i="20"/>
  <c r="AB87" i="20"/>
  <c r="AB91" i="20"/>
  <c r="Y99" i="20"/>
  <c r="AB101" i="20"/>
  <c r="AB78" i="20"/>
  <c r="AB97" i="20"/>
  <c r="AB77" i="20"/>
  <c r="AB81" i="20"/>
  <c r="AB98" i="20"/>
  <c r="AB86" i="20"/>
  <c r="AB93" i="20"/>
  <c r="AB85" i="20"/>
  <c r="AB92" i="20"/>
  <c r="Y100" i="20"/>
  <c r="AB79" i="20"/>
  <c r="AB99" i="20"/>
  <c r="AB95" i="20"/>
  <c r="AB100" i="20"/>
  <c r="Y101" i="20"/>
  <c r="AB94" i="20"/>
  <c r="AB90" i="20"/>
  <c r="AB80" i="20"/>
  <c r="AB76" i="20"/>
  <c r="AB88" i="20"/>
  <c r="AB84" i="20"/>
  <c r="Y90" i="20"/>
  <c r="Y76" i="20"/>
  <c r="Y80" i="20"/>
  <c r="Y78" i="20"/>
  <c r="AC92" i="20"/>
  <c r="Y94" i="20"/>
  <c r="AC77" i="20"/>
  <c r="AC90" i="20"/>
  <c r="AC95" i="20"/>
  <c r="AC100" i="20"/>
  <c r="AC85" i="20"/>
  <c r="Y93" i="20"/>
  <c r="AC102" i="20"/>
  <c r="AC93" i="20"/>
  <c r="Y92" i="20"/>
  <c r="AC80" i="20"/>
  <c r="AC88" i="20"/>
  <c r="AC86" i="20"/>
  <c r="Y79" i="20"/>
  <c r="AC81" i="20"/>
  <c r="AC97" i="20"/>
  <c r="AC83" i="20"/>
  <c r="AC98" i="20"/>
  <c r="AC94" i="20"/>
  <c r="AC87" i="20"/>
  <c r="AC101" i="20"/>
  <c r="AC76" i="20"/>
  <c r="AC91" i="20"/>
  <c r="AC84" i="20"/>
  <c r="AC79" i="20"/>
  <c r="AC99" i="20"/>
  <c r="AC78" i="20"/>
  <c r="Z101" i="20"/>
  <c r="Z76" i="20"/>
  <c r="AD98" i="20"/>
  <c r="AD76" i="20"/>
  <c r="AD87" i="20"/>
  <c r="AD99" i="20"/>
  <c r="AD94" i="20"/>
  <c r="AD79" i="20"/>
  <c r="Z93" i="20"/>
  <c r="AD84" i="20"/>
  <c r="AD91" i="20"/>
  <c r="AD81" i="20"/>
  <c r="AD100" i="20"/>
  <c r="AD90" i="20"/>
  <c r="AD101" i="20"/>
  <c r="AD93" i="20"/>
  <c r="AD102" i="20"/>
  <c r="AD88" i="20"/>
  <c r="AD78" i="20"/>
  <c r="AD86" i="20"/>
  <c r="AD95" i="20"/>
  <c r="AD85" i="20"/>
  <c r="AD92" i="20"/>
  <c r="AD77" i="20"/>
  <c r="AD83" i="20"/>
  <c r="AD80" i="20"/>
  <c r="R101" i="20"/>
  <c r="R90" i="20"/>
  <c r="R100" i="20"/>
  <c r="R99" i="20"/>
  <c r="R76" i="20"/>
  <c r="R94" i="20"/>
  <c r="AE84" i="20"/>
  <c r="AE93" i="20"/>
  <c r="AE98" i="20"/>
  <c r="AE78" i="20"/>
  <c r="AE80" i="20"/>
  <c r="AE79" i="20"/>
  <c r="R79" i="20"/>
  <c r="AE97" i="20"/>
  <c r="AE87" i="20"/>
  <c r="AE100" i="20"/>
  <c r="AE90" i="20"/>
  <c r="AE83" i="20"/>
  <c r="AE81" i="20"/>
  <c r="AE99" i="20"/>
  <c r="R92" i="20"/>
  <c r="R81" i="20"/>
  <c r="AE95" i="20"/>
  <c r="AE102" i="20"/>
  <c r="AE77" i="20"/>
  <c r="AE88" i="20"/>
  <c r="AE101" i="20"/>
  <c r="AE76" i="20"/>
  <c r="R80" i="20"/>
  <c r="R78" i="20"/>
  <c r="AE85" i="20"/>
  <c r="AE91" i="20"/>
  <c r="AE92" i="20"/>
  <c r="AE94" i="20"/>
  <c r="R97" i="20"/>
  <c r="AE86" i="20"/>
  <c r="R93" i="20"/>
  <c r="AF81" i="20"/>
  <c r="AF91" i="20"/>
  <c r="AF102" i="20"/>
  <c r="AF101" i="20"/>
  <c r="AF87" i="20"/>
  <c r="AF90" i="20"/>
  <c r="AF94" i="20"/>
  <c r="AF77" i="20"/>
  <c r="AF98" i="20"/>
  <c r="AF83" i="20"/>
  <c r="AF86" i="20"/>
  <c r="AF79" i="20"/>
  <c r="AF78" i="20"/>
  <c r="AF84" i="20"/>
  <c r="AF93" i="20"/>
  <c r="AF85" i="20"/>
  <c r="AF92" i="20"/>
  <c r="AF76" i="20"/>
  <c r="AF99" i="20"/>
  <c r="AF80" i="20"/>
  <c r="AF100" i="20"/>
  <c r="AF97" i="20"/>
  <c r="AF88" i="20"/>
  <c r="AF95" i="20"/>
  <c r="AG97" i="20"/>
  <c r="AG90" i="20"/>
  <c r="AG91" i="20"/>
  <c r="AG99" i="20"/>
  <c r="AG100" i="20"/>
  <c r="AG88" i="20"/>
  <c r="AG86" i="20"/>
  <c r="AG102" i="20"/>
  <c r="AG85" i="20"/>
  <c r="AG93" i="20"/>
  <c r="AG76" i="20"/>
  <c r="AG87" i="20"/>
  <c r="AG79" i="20"/>
  <c r="AG84" i="20"/>
  <c r="AG83" i="20"/>
  <c r="AG98" i="20"/>
  <c r="AG94" i="20"/>
  <c r="AG78" i="20"/>
  <c r="AG101" i="20"/>
  <c r="AG80" i="20"/>
  <c r="AG81" i="20"/>
  <c r="AG92" i="20"/>
  <c r="AG95" i="20"/>
  <c r="AG77" i="20"/>
  <c r="AH76" i="20"/>
  <c r="AH102" i="20"/>
  <c r="AH85" i="20"/>
  <c r="AH98" i="20"/>
  <c r="AH99" i="20"/>
  <c r="AH100" i="20"/>
  <c r="AH97" i="20"/>
  <c r="AH88" i="20"/>
  <c r="AH95" i="20"/>
  <c r="AH83" i="20"/>
  <c r="AH80" i="20"/>
  <c r="AH86" i="20"/>
  <c r="AH92" i="20"/>
  <c r="AH90" i="20"/>
  <c r="AH79" i="20"/>
  <c r="AH91" i="20"/>
  <c r="AH77" i="20"/>
  <c r="AH101" i="20"/>
  <c r="AH78" i="20"/>
  <c r="AH84" i="20"/>
  <c r="AH93" i="20"/>
  <c r="AH81" i="20"/>
  <c r="AH94" i="20"/>
  <c r="AH87" i="20"/>
  <c r="AI92" i="20"/>
  <c r="AI88" i="20"/>
  <c r="AI81" i="20"/>
  <c r="AI80" i="20"/>
  <c r="AI98" i="20"/>
  <c r="AI97" i="20"/>
  <c r="AI101" i="20"/>
  <c r="AI91" i="20"/>
  <c r="AI83" i="20"/>
  <c r="AI78" i="20"/>
  <c r="AI95" i="20"/>
  <c r="AI93" i="20"/>
  <c r="AI99" i="20"/>
  <c r="AI90" i="20"/>
  <c r="AI102" i="20"/>
  <c r="AI86" i="20"/>
  <c r="AI76" i="20"/>
  <c r="AI77" i="20"/>
  <c r="AI84" i="20"/>
  <c r="AI79" i="20"/>
  <c r="AI100" i="20"/>
  <c r="AI94" i="20"/>
  <c r="AI87" i="20"/>
  <c r="AI85" i="20"/>
  <c r="AJ86" i="20"/>
  <c r="AJ76" i="20"/>
  <c r="AJ77" i="20"/>
  <c r="AJ94" i="20"/>
  <c r="AJ92" i="20"/>
  <c r="AJ102" i="20"/>
  <c r="AJ90" i="20"/>
  <c r="AJ99" i="20"/>
  <c r="AJ85" i="20"/>
  <c r="AJ87" i="20"/>
  <c r="AJ80" i="20"/>
  <c r="AJ88" i="20"/>
  <c r="AJ101" i="20"/>
  <c r="AJ83" i="20"/>
  <c r="AJ97" i="20"/>
  <c r="AJ84" i="20"/>
  <c r="AJ79" i="20"/>
  <c r="AJ78" i="20"/>
  <c r="AJ93" i="20"/>
  <c r="AJ95" i="20"/>
  <c r="AJ100" i="20"/>
  <c r="AJ91" i="20"/>
  <c r="AJ98" i="20"/>
  <c r="AJ81" i="20"/>
  <c r="AK77" i="20"/>
  <c r="AK88" i="20"/>
  <c r="AK79" i="20"/>
  <c r="AK87" i="20"/>
  <c r="AK98" i="20"/>
  <c r="AK81" i="20"/>
  <c r="AK76" i="20"/>
  <c r="AK97" i="20"/>
  <c r="AK86" i="20"/>
  <c r="AK101" i="20"/>
  <c r="AK100" i="20"/>
  <c r="AK93" i="20"/>
  <c r="AK99" i="20"/>
  <c r="AK85" i="20"/>
  <c r="AK78" i="20"/>
  <c r="AK90" i="20"/>
  <c r="AK94" i="20"/>
  <c r="AK83" i="20"/>
  <c r="AK95" i="20"/>
  <c r="AK80" i="20"/>
  <c r="AK102" i="20"/>
  <c r="AK84" i="20"/>
  <c r="AK91" i="20"/>
  <c r="AK92" i="20"/>
  <c r="AL97" i="20"/>
  <c r="AL95" i="20"/>
  <c r="AL91" i="20"/>
  <c r="AL88" i="20"/>
  <c r="AL99" i="20"/>
  <c r="AL86" i="20"/>
  <c r="AL83" i="20"/>
  <c r="AL101" i="20"/>
  <c r="AL90" i="20"/>
  <c r="AL87" i="20"/>
  <c r="AL77" i="20"/>
  <c r="AL84" i="20"/>
  <c r="AL102" i="20"/>
  <c r="AL81" i="20"/>
  <c r="AL100" i="20"/>
  <c r="AL85" i="20"/>
  <c r="AL76" i="20"/>
  <c r="AL98" i="20"/>
  <c r="AM98" i="20"/>
  <c r="AM84" i="20"/>
  <c r="R50" i="20"/>
  <c r="R47" i="20"/>
  <c r="R48" i="20"/>
  <c r="Y50" i="20"/>
  <c r="X47" i="20"/>
  <c r="Y48" i="20"/>
  <c r="X48" i="20"/>
  <c r="Y47" i="20"/>
  <c r="X49" i="20"/>
  <c r="X50" i="20"/>
  <c r="Y49" i="20"/>
  <c r="R49" i="20"/>
  <c r="S50" i="20"/>
  <c r="S48" i="20"/>
  <c r="T49" i="20"/>
  <c r="S49" i="20"/>
  <c r="T48" i="20"/>
  <c r="T50" i="20"/>
  <c r="T47" i="20"/>
  <c r="S47" i="20"/>
  <c r="Z47" i="20"/>
  <c r="U47" i="20"/>
  <c r="Z49" i="20"/>
  <c r="Z50" i="20"/>
  <c r="Z48" i="20"/>
  <c r="U50" i="20"/>
  <c r="U49" i="20"/>
  <c r="U48" i="20"/>
  <c r="AA50" i="20"/>
  <c r="AA49" i="20"/>
  <c r="AA48" i="20"/>
  <c r="AA47" i="20"/>
  <c r="AB48" i="20"/>
  <c r="AB50" i="20"/>
  <c r="AB47" i="20"/>
  <c r="AB49" i="20"/>
  <c r="AC48" i="20"/>
  <c r="AC47" i="20"/>
  <c r="AC50" i="20"/>
  <c r="AC49" i="20"/>
  <c r="AD50" i="20"/>
  <c r="AD47" i="20"/>
  <c r="AD49" i="20"/>
  <c r="AD48" i="20"/>
  <c r="AE50" i="20"/>
  <c r="AE48" i="20"/>
  <c r="AE47" i="20"/>
  <c r="AE49" i="20"/>
  <c r="AF50" i="20"/>
  <c r="AF47" i="20"/>
  <c r="AF48" i="20"/>
  <c r="AF49" i="20"/>
  <c r="AG50" i="20"/>
  <c r="AG49" i="20"/>
  <c r="AG47" i="20"/>
  <c r="AG48" i="20"/>
  <c r="AH50" i="20"/>
  <c r="AH48" i="20"/>
  <c r="AH49" i="20"/>
  <c r="AH47" i="20"/>
  <c r="AI48" i="20"/>
  <c r="AI49" i="20"/>
  <c r="AI47" i="20"/>
  <c r="AI50" i="20"/>
  <c r="AJ48" i="20"/>
  <c r="AJ50" i="20"/>
  <c r="AJ49" i="20"/>
  <c r="AJ47" i="20"/>
  <c r="AK50" i="20"/>
  <c r="AK48" i="20"/>
  <c r="AK47" i="20"/>
  <c r="AK49" i="20"/>
  <c r="AL48" i="20"/>
  <c r="AL50" i="20"/>
  <c r="AL47" i="20"/>
  <c r="AL49" i="20"/>
  <c r="AM50" i="20"/>
  <c r="AM49" i="20"/>
  <c r="AM48" i="20"/>
  <c r="AM47" i="20"/>
  <c r="CH68" i="20"/>
  <c r="R43" i="20"/>
  <c r="R41" i="20"/>
  <c r="R40" i="20"/>
  <c r="R42" i="20"/>
  <c r="X42" i="20"/>
  <c r="X40" i="20"/>
  <c r="Y40" i="20"/>
  <c r="S41" i="20"/>
  <c r="X43" i="20"/>
  <c r="Y43" i="20"/>
  <c r="Y41" i="20"/>
  <c r="S42" i="20"/>
  <c r="S43" i="20"/>
  <c r="S40" i="20"/>
  <c r="Y42" i="20"/>
  <c r="X41" i="20"/>
  <c r="T42" i="20"/>
  <c r="T43" i="20"/>
  <c r="T40" i="20"/>
  <c r="T41" i="20"/>
  <c r="U42" i="20"/>
  <c r="Z41" i="20"/>
  <c r="U40" i="20"/>
  <c r="U41" i="20"/>
  <c r="Z42" i="20"/>
  <c r="U43" i="20"/>
  <c r="Z43" i="20"/>
  <c r="Z40" i="20"/>
  <c r="AA42" i="20"/>
  <c r="AA43" i="20"/>
  <c r="AA40" i="20"/>
  <c r="AA41" i="20"/>
  <c r="AB43" i="20"/>
  <c r="AB40" i="20"/>
  <c r="AB42" i="20"/>
  <c r="AB41" i="20"/>
  <c r="AC40" i="20"/>
  <c r="AC41" i="20"/>
  <c r="AC42" i="20"/>
  <c r="AC43" i="20"/>
  <c r="AD42" i="20"/>
  <c r="AD41" i="20"/>
  <c r="AD43" i="20"/>
  <c r="AD40" i="20"/>
  <c r="AE41" i="20"/>
  <c r="AE43" i="20"/>
  <c r="AE40" i="20"/>
  <c r="AE42" i="20"/>
  <c r="AF42" i="20"/>
  <c r="AF43" i="20"/>
  <c r="AF41" i="20"/>
  <c r="AF40" i="20"/>
  <c r="AG41" i="20"/>
  <c r="AG42" i="20"/>
  <c r="AG43" i="20"/>
  <c r="AG40" i="20"/>
  <c r="AH43" i="20"/>
  <c r="AH42" i="20"/>
  <c r="AH40" i="20"/>
  <c r="AH41" i="20"/>
  <c r="AI43" i="20"/>
  <c r="AI42" i="20"/>
  <c r="AI41" i="20"/>
  <c r="AI40" i="20"/>
  <c r="AJ43" i="20"/>
  <c r="AJ41" i="20"/>
  <c r="AJ42" i="20"/>
  <c r="AJ40" i="20"/>
  <c r="AK42" i="20"/>
  <c r="AK40" i="20"/>
  <c r="AK41" i="20"/>
  <c r="AK43" i="20"/>
  <c r="AL42" i="20"/>
  <c r="AL43" i="20"/>
  <c r="AL41" i="20"/>
  <c r="AL40" i="20"/>
  <c r="AM42" i="20"/>
  <c r="AM41" i="20"/>
  <c r="AM43" i="20"/>
  <c r="AM40" i="20"/>
  <c r="CH106" i="20"/>
  <c r="CJ61" i="20"/>
  <c r="BG109" i="13" s="1"/>
  <c r="CJ69" i="20"/>
  <c r="CJ10" i="20"/>
  <c r="CJ70" i="20"/>
  <c r="BG117" i="13" s="1"/>
  <c r="CK11" i="20"/>
  <c r="CK24" i="20"/>
  <c r="CK13" i="20"/>
  <c r="CK28" i="20"/>
  <c r="CK30" i="20"/>
  <c r="CK34" i="20"/>
  <c r="CK19" i="20"/>
  <c r="CK25" i="20"/>
  <c r="CK35" i="20"/>
  <c r="CK15" i="20"/>
  <c r="CK16" i="20"/>
  <c r="CK18" i="20"/>
  <c r="CK23" i="20"/>
  <c r="CK32" i="20"/>
  <c r="CK21" i="20"/>
  <c r="CK12" i="20"/>
  <c r="CK17" i="20"/>
  <c r="CK14" i="20"/>
  <c r="CK20" i="20"/>
  <c r="CK22" i="20"/>
  <c r="CK26" i="20"/>
  <c r="CK29" i="20"/>
  <c r="CK33" i="20"/>
  <c r="CK31" i="20"/>
  <c r="CK27" i="20"/>
  <c r="CI115" i="20"/>
  <c r="CI72" i="20"/>
  <c r="CI73" i="20"/>
  <c r="CI71" i="20"/>
  <c r="BZ125" i="16"/>
  <c r="BW125" i="16"/>
  <c r="BU125" i="16"/>
  <c r="BS125" i="16"/>
  <c r="BP125" i="16"/>
  <c r="BN125" i="16"/>
  <c r="BK125" i="16"/>
  <c r="BI125" i="16"/>
  <c r="BF125" i="16"/>
  <c r="BD125" i="16"/>
  <c r="BA125" i="16"/>
  <c r="AY125" i="16"/>
  <c r="AV125" i="16"/>
  <c r="AT125" i="16"/>
  <c r="AR125" i="16"/>
  <c r="AP125" i="16"/>
  <c r="AM125" i="16"/>
  <c r="AK125" i="16"/>
  <c r="AH125" i="16"/>
  <c r="AF125" i="16"/>
  <c r="BY125" i="16"/>
  <c r="BV125" i="16"/>
  <c r="BT125" i="16"/>
  <c r="BR125" i="16"/>
  <c r="BO125" i="16"/>
  <c r="BM125" i="16"/>
  <c r="BJ125" i="16"/>
  <c r="BH125" i="16"/>
  <c r="BE125" i="16"/>
  <c r="BB125" i="16"/>
  <c r="AZ125" i="16"/>
  <c r="AW125" i="16"/>
  <c r="AU125" i="16"/>
  <c r="AQ125" i="16"/>
  <c r="AO125" i="16"/>
  <c r="AL125" i="16"/>
  <c r="AJ125" i="16"/>
  <c r="AG125" i="16"/>
  <c r="BX125" i="16"/>
  <c r="BQ125" i="16"/>
  <c r="BL125" i="16"/>
  <c r="BG125" i="16"/>
  <c r="BC125" i="16"/>
  <c r="AX125" i="16"/>
  <c r="AS125" i="16"/>
  <c r="AN125" i="16"/>
  <c r="AI125" i="16"/>
  <c r="E124" i="16" a="1"/>
  <c r="E124" i="16" s="1"/>
  <c r="CA19" i="16"/>
  <c r="CA18" i="16" s="1"/>
  <c r="CA15" i="16"/>
  <c r="CA14" i="16" s="1"/>
  <c r="CA11" i="16"/>
  <c r="BW75" i="16"/>
  <c r="CA123" i="16"/>
  <c r="BX75" i="16"/>
  <c r="CA109" i="16"/>
  <c r="CA110" i="16"/>
  <c r="CA111" i="16"/>
  <c r="CA112" i="16"/>
  <c r="CA113" i="16"/>
  <c r="CA114" i="16"/>
  <c r="CA115" i="16"/>
  <c r="CA116" i="16"/>
  <c r="CA117" i="16"/>
  <c r="CA118" i="16"/>
  <c r="CA119" i="16"/>
  <c r="CA120" i="16"/>
  <c r="CA122" i="16"/>
  <c r="CA97" i="16"/>
  <c r="CA63" i="16"/>
  <c r="CA60" i="16"/>
  <c r="CA57" i="16"/>
  <c r="CA88" i="16"/>
  <c r="CA52" i="16"/>
  <c r="CA48" i="16"/>
  <c r="CA81" i="16"/>
  <c r="CA44" i="16"/>
  <c r="CA35" i="16"/>
  <c r="CA62" i="16"/>
  <c r="CA95" i="16"/>
  <c r="CA94" i="16"/>
  <c r="CA84" i="16"/>
  <c r="CA50" i="16"/>
  <c r="CA49" i="16"/>
  <c r="CA80" i="16"/>
  <c r="CA30" i="16"/>
  <c r="CA34" i="16"/>
  <c r="CA98" i="16"/>
  <c r="CA33" i="16"/>
  <c r="CA78" i="16"/>
  <c r="CA37" i="16"/>
  <c r="CA28" i="16"/>
  <c r="CA32" i="16"/>
  <c r="CA29" i="16"/>
  <c r="CA41" i="16"/>
  <c r="CA40" i="16"/>
  <c r="CA42" i="16"/>
  <c r="CA89" i="16"/>
  <c r="CA55" i="16"/>
  <c r="CA83" i="16"/>
  <c r="CA45" i="16"/>
  <c r="CA43" i="16"/>
  <c r="CA31" i="16"/>
  <c r="CA59" i="16"/>
  <c r="CA58" i="16"/>
  <c r="CA92" i="16"/>
  <c r="CA90" i="16"/>
  <c r="CA56" i="16"/>
  <c r="CA87" i="16"/>
  <c r="CA86" i="16"/>
  <c r="CA85" i="16"/>
  <c r="CA51" i="16"/>
  <c r="CA36" i="16"/>
  <c r="CA96" i="16"/>
  <c r="CA61" i="16"/>
  <c r="CA93" i="16"/>
  <c r="CA91" i="16"/>
  <c r="CA54" i="16"/>
  <c r="CA53" i="16"/>
  <c r="CA82" i="16"/>
  <c r="CA47" i="16"/>
  <c r="CA46" i="16"/>
  <c r="CA79" i="16"/>
  <c r="CA38" i="16"/>
  <c r="CA39" i="16"/>
  <c r="CA64" i="16"/>
  <c r="CA65" i="16"/>
  <c r="CA99" i="16"/>
  <c r="CA66" i="16"/>
  <c r="CA100" i="16"/>
  <c r="CA67" i="16"/>
  <c r="CA101" i="16"/>
  <c r="CA68" i="16"/>
  <c r="CA102" i="16"/>
  <c r="CA69" i="16"/>
  <c r="CA103" i="16"/>
  <c r="CA70" i="16"/>
  <c r="CA104" i="16"/>
  <c r="CA71" i="16"/>
  <c r="CA105" i="16"/>
  <c r="CA72" i="16"/>
  <c r="CA106" i="16"/>
  <c r="CA107" i="16"/>
  <c r="CA108" i="16"/>
  <c r="CA121" i="16"/>
  <c r="BZ123" i="16"/>
  <c r="BY123" i="16"/>
  <c r="BY73" i="15"/>
  <c r="BZ73" i="15"/>
  <c r="BT75" i="15"/>
  <c r="AN75" i="15"/>
  <c r="BX75" i="15"/>
  <c r="BZ75" i="15"/>
  <c r="BW75" i="15"/>
  <c r="BY123" i="15"/>
  <c r="BZ123" i="15"/>
  <c r="BZ125" i="15"/>
  <c r="BY125" i="15"/>
  <c r="BX125" i="15"/>
  <c r="BW125" i="15"/>
  <c r="BV125" i="15"/>
  <c r="BU125" i="15"/>
  <c r="BT125" i="15"/>
  <c r="BS125" i="15"/>
  <c r="BR125" i="15"/>
  <c r="BQ125" i="15"/>
  <c r="BP125" i="15"/>
  <c r="BM75" i="15"/>
  <c r="CA123" i="15"/>
  <c r="AG75" i="15"/>
  <c r="AP75" i="15"/>
  <c r="CA122" i="15"/>
  <c r="CA121" i="15"/>
  <c r="CA120" i="15"/>
  <c r="CA119" i="15"/>
  <c r="CA74" i="15"/>
  <c r="CA73" i="15"/>
  <c r="CA118" i="15"/>
  <c r="CA117" i="15"/>
  <c r="CA116" i="15"/>
  <c r="CA72" i="15"/>
  <c r="CA115" i="15"/>
  <c r="CA71" i="15"/>
  <c r="CA114" i="15"/>
  <c r="CA70" i="15"/>
  <c r="CA69" i="15"/>
  <c r="CA113" i="15"/>
  <c r="CA68" i="15"/>
  <c r="CA112" i="15"/>
  <c r="CA67" i="15"/>
  <c r="CA111" i="15"/>
  <c r="CA66" i="15"/>
  <c r="CA110" i="15"/>
  <c r="CA65" i="15"/>
  <c r="CA109" i="15"/>
  <c r="CA64" i="15"/>
  <c r="CA63" i="15"/>
  <c r="CA108" i="15"/>
  <c r="CA107" i="15"/>
  <c r="CA62" i="15"/>
  <c r="CA106" i="15"/>
  <c r="CA61" i="15"/>
  <c r="CA105" i="15"/>
  <c r="CA60" i="15"/>
  <c r="CA104" i="15"/>
  <c r="CA59" i="15"/>
  <c r="CA58" i="15"/>
  <c r="CA103" i="15"/>
  <c r="CA102" i="15"/>
  <c r="CA57" i="15"/>
  <c r="CA101" i="15"/>
  <c r="CA56" i="15"/>
  <c r="CA100" i="15"/>
  <c r="CA55" i="15"/>
  <c r="CA99" i="15"/>
  <c r="CA54" i="15"/>
  <c r="CA98" i="15"/>
  <c r="CA53" i="15"/>
  <c r="CA97" i="15"/>
  <c r="CA52" i="15"/>
  <c r="CA96" i="15"/>
  <c r="CA51" i="15"/>
  <c r="CA95" i="15"/>
  <c r="CA50" i="15"/>
  <c r="CA94" i="15"/>
  <c r="CA49" i="15"/>
  <c r="CA93" i="15"/>
  <c r="CA48" i="15"/>
  <c r="CA92" i="15"/>
  <c r="CA47" i="15"/>
  <c r="CA91" i="15"/>
  <c r="CA46" i="15"/>
  <c r="CA90" i="15"/>
  <c r="CA45" i="15"/>
  <c r="CA89" i="15"/>
  <c r="CA44" i="15"/>
  <c r="CA88" i="15"/>
  <c r="CA43" i="15"/>
  <c r="CA87" i="15"/>
  <c r="CA42" i="15"/>
  <c r="CA86" i="15"/>
  <c r="CA41" i="15"/>
  <c r="CA85" i="15"/>
  <c r="CA40" i="15"/>
  <c r="CA84" i="15"/>
  <c r="CA39" i="15"/>
  <c r="CA83" i="15"/>
  <c r="CA38" i="15"/>
  <c r="CA37" i="15"/>
  <c r="CA82" i="15"/>
  <c r="CA81" i="15"/>
  <c r="CA36" i="15"/>
  <c r="CA80" i="15"/>
  <c r="CA35" i="15"/>
  <c r="CA79" i="15"/>
  <c r="CA34" i="15"/>
  <c r="CA15" i="15" a="1"/>
  <c r="CA15" i="15" s="1"/>
  <c r="CA14" i="15" s="1"/>
  <c r="E75" i="15" s="1" a="1"/>
  <c r="E75" i="15" s="1"/>
  <c r="CA75" i="15" s="1"/>
  <c r="CA29" i="15"/>
  <c r="CA30" i="15"/>
  <c r="CA31" i="15"/>
  <c r="CA32" i="15"/>
  <c r="CA28" i="15"/>
  <c r="CA78" i="15"/>
  <c r="CA33" i="15"/>
  <c r="CA11" i="15" a="1"/>
  <c r="CA11" i="15" s="1"/>
  <c r="CA19" i="15" a="1"/>
  <c r="CA19" i="15" s="1"/>
  <c r="CA18" i="15" s="1"/>
  <c r="E125" i="15" s="1" a="1"/>
  <c r="E125" i="15" s="1"/>
  <c r="CA125" i="15" s="1"/>
  <c r="AZ75" i="15"/>
  <c r="BL75" i="15"/>
  <c r="BO75" i="15"/>
  <c r="BJ75" i="15"/>
  <c r="BQ75" i="15"/>
  <c r="BR75" i="15"/>
  <c r="AF75" i="15"/>
  <c r="AH75" i="15"/>
  <c r="AT75" i="15"/>
  <c r="BA75" i="15"/>
  <c r="AJ75" i="15"/>
  <c r="AM75" i="15"/>
  <c r="AL75" i="15"/>
  <c r="BU75" i="15"/>
  <c r="AQ75" i="15"/>
  <c r="BD75" i="15"/>
  <c r="AW75" i="15"/>
  <c r="AR75" i="15"/>
  <c r="BK75" i="15"/>
  <c r="BP75" i="15"/>
  <c r="BH75" i="15"/>
  <c r="BG75" i="15"/>
  <c r="BN75" i="15"/>
  <c r="BB75" i="15"/>
  <c r="BY75" i="15"/>
  <c r="BC75" i="15"/>
  <c r="AY75" i="15"/>
  <c r="AO75" i="15"/>
  <c r="BS75" i="15"/>
  <c r="BI75" i="15"/>
  <c r="BV75" i="15"/>
  <c r="BO125" i="15"/>
  <c r="BN125" i="15"/>
  <c r="BM125" i="15"/>
  <c r="BL125" i="15"/>
  <c r="BK125" i="15"/>
  <c r="BJ125" i="15"/>
  <c r="BI125" i="15"/>
  <c r="BH125" i="15"/>
  <c r="BG125" i="15"/>
  <c r="BF125" i="15"/>
  <c r="BE125" i="15"/>
  <c r="BD125" i="15"/>
  <c r="BC125" i="15"/>
  <c r="BB125" i="15"/>
  <c r="BA125" i="15"/>
  <c r="AZ125" i="15"/>
  <c r="AY125" i="15"/>
  <c r="AX125" i="15"/>
  <c r="AW125" i="15"/>
  <c r="AV125" i="15"/>
  <c r="AU125" i="15"/>
  <c r="AT125" i="15"/>
  <c r="AS125" i="15"/>
  <c r="AR125" i="15"/>
  <c r="AQ125" i="15"/>
  <c r="AP125" i="15"/>
  <c r="AO125" i="15"/>
  <c r="AN125" i="15"/>
  <c r="AM125" i="15"/>
  <c r="AL125" i="15"/>
  <c r="AK125" i="15"/>
  <c r="AJ125" i="15"/>
  <c r="AI125" i="15"/>
  <c r="AH125" i="15"/>
  <c r="AG125" i="15"/>
  <c r="AF125" i="15"/>
  <c r="BF75" i="15"/>
  <c r="AK75" i="15"/>
  <c r="AX75" i="15"/>
  <c r="BE75" i="15"/>
  <c r="AI75" i="15"/>
  <c r="CA124" i="15"/>
  <c r="AS75" i="15"/>
  <c r="AU75" i="15"/>
  <c r="AV75" i="15"/>
  <c r="BB94" i="14"/>
  <c r="BW94" i="14"/>
  <c r="BR94" i="14"/>
  <c r="BM94" i="14"/>
  <c r="BH94" i="14"/>
  <c r="AR94" i="14"/>
  <c r="AT94" i="14"/>
  <c r="BG94" i="14"/>
  <c r="AS94" i="14"/>
  <c r="BD94" i="14"/>
  <c r="AK94" i="14"/>
  <c r="AL94" i="14"/>
  <c r="BX94" i="14"/>
  <c r="BU94" i="14"/>
  <c r="BS94" i="14"/>
  <c r="BP94" i="14"/>
  <c r="BN94" i="14"/>
  <c r="BK94" i="14"/>
  <c r="BI94" i="14"/>
  <c r="BA94" i="14"/>
  <c r="AV94" i="14"/>
  <c r="AJ94" i="14"/>
  <c r="AX94" i="14"/>
  <c r="AP94" i="14"/>
  <c r="AF94" i="14"/>
  <c r="BE94" i="14"/>
  <c r="AW94" i="14"/>
  <c r="AN94" i="14"/>
  <c r="AG94" i="14"/>
  <c r="AY94" i="14"/>
  <c r="AU94" i="14"/>
  <c r="AO94" i="14"/>
  <c r="AI94" i="14"/>
  <c r="AH94" i="14"/>
  <c r="BY94" i="14"/>
  <c r="BT94" i="14"/>
  <c r="BO94" i="14"/>
  <c r="BJ94" i="14"/>
  <c r="BC94" i="14"/>
  <c r="AQ94" i="14"/>
  <c r="BV94" i="14"/>
  <c r="BQ94" i="14"/>
  <c r="BL94" i="14"/>
  <c r="BF94" i="14"/>
  <c r="AM94" i="14"/>
  <c r="AZ94" i="14"/>
  <c r="CA53" i="14"/>
  <c r="CA60" i="14"/>
  <c r="CA64" i="14"/>
  <c r="CA67" i="14"/>
  <c r="CA74" i="14"/>
  <c r="CA77" i="14"/>
  <c r="CA54" i="14"/>
  <c r="CA57" i="14"/>
  <c r="CA63" i="14"/>
  <c r="CA65" i="14"/>
  <c r="CA73" i="14"/>
  <c r="CA75" i="14"/>
  <c r="CA55" i="14"/>
  <c r="CA59" i="14"/>
  <c r="CA66" i="14"/>
  <c r="CA70" i="14"/>
  <c r="CA71" i="14"/>
  <c r="CA76" i="14"/>
  <c r="CA79" i="14"/>
  <c r="CA80" i="14"/>
  <c r="CA81" i="14"/>
  <c r="CA82" i="14"/>
  <c r="CA56" i="14"/>
  <c r="CA58" i="14"/>
  <c r="CA61" i="14"/>
  <c r="CA62" i="14"/>
  <c r="CA68" i="14"/>
  <c r="CA69" i="14"/>
  <c r="CA72" i="14"/>
  <c r="CA78" i="14"/>
  <c r="CA50" i="14"/>
  <c r="CA48" i="14"/>
  <c r="CA49" i="14"/>
  <c r="CA47" i="14"/>
  <c r="CA51" i="14"/>
  <c r="CA52" i="14"/>
  <c r="BZ94" i="14"/>
  <c r="BD10" i="16"/>
  <c r="BD10" i="15"/>
  <c r="CG45" i="12" l="1"/>
  <c r="CG43" i="12"/>
  <c r="AQ90" i="17" a="1"/>
  <c r="AQ90" i="17" s="1"/>
  <c r="AV90" i="17" a="1"/>
  <c r="AV90" i="17" s="1"/>
  <c r="BH90" i="17" a="1"/>
  <c r="BH90" i="17" s="1"/>
  <c r="BD90" i="17" a="1"/>
  <c r="BD90" i="17" s="1"/>
  <c r="BX90" i="17" a="1"/>
  <c r="BX90" i="17" s="1"/>
  <c r="AB90" i="17" s="1"/>
  <c r="AL90" i="17" a="1"/>
  <c r="AL90" i="17" s="1"/>
  <c r="AJ90" i="17" a="1"/>
  <c r="AJ90" i="17" s="1"/>
  <c r="BM90" i="17" a="1"/>
  <c r="BM90" i="17" s="1"/>
  <c r="BR90" i="17" a="1"/>
  <c r="BR90" i="17" s="1"/>
  <c r="Z90" i="17" s="1"/>
  <c r="AZ90" i="17" a="1"/>
  <c r="AZ90" i="17" s="1"/>
  <c r="T90" i="17" s="1"/>
  <c r="BT90" i="17" a="1"/>
  <c r="BT90" i="17" s="1"/>
  <c r="AH90" i="17" a="1"/>
  <c r="AH90" i="17" s="1"/>
  <c r="N90" i="17" s="1"/>
  <c r="AM90" i="17" a="1"/>
  <c r="AM90" i="17" s="1"/>
  <c r="AN90" i="17" a="1"/>
  <c r="AN90" i="17" s="1"/>
  <c r="P90" i="17" s="1"/>
  <c r="AS90" i="17" a="1"/>
  <c r="AS90" i="17" s="1"/>
  <c r="AX90" i="17" a="1"/>
  <c r="AX90" i="17" s="1"/>
  <c r="AW90" i="17" a="1"/>
  <c r="AW90" i="17" s="1"/>
  <c r="S90" i="17" s="1"/>
  <c r="BI90" i="17" a="1"/>
  <c r="BI90" i="17" s="1"/>
  <c r="W90" i="17" s="1"/>
  <c r="BN90" i="17" a="1"/>
  <c r="BN90" i="17" s="1"/>
  <c r="BW90" i="17" a="1"/>
  <c r="BW90" i="17" s="1"/>
  <c r="BA90" i="17" a="1"/>
  <c r="BA90" i="17" s="1"/>
  <c r="BU90" i="17" a="1"/>
  <c r="BU90" i="17" s="1"/>
  <c r="AA90" i="17" s="1"/>
  <c r="AI90" i="17" a="1"/>
  <c r="AI90" i="17" s="1"/>
  <c r="AO90" i="17" a="1"/>
  <c r="AO90" i="17" s="1"/>
  <c r="AT90" i="17" a="1"/>
  <c r="AT90" i="17" s="1"/>
  <c r="R90" i="17" s="1"/>
  <c r="BC90" i="17" a="1"/>
  <c r="BC90" i="17" s="1"/>
  <c r="I90" i="17" s="1"/>
  <c r="AR90" i="17" a="1"/>
  <c r="AR90" i="17" s="1"/>
  <c r="CA90" i="17" a="1"/>
  <c r="CA90" i="17" s="1"/>
  <c r="K90" i="17" s="1"/>
  <c r="BJ90" i="17" a="1"/>
  <c r="BJ90" i="17" s="1"/>
  <c r="BO90" i="17" a="1"/>
  <c r="BO90" i="17" s="1"/>
  <c r="Y90" i="17" s="1"/>
  <c r="BY90" i="17" a="1"/>
  <c r="BY90" i="17" s="1"/>
  <c r="BB90" i="17" a="1"/>
  <c r="BB90" i="17" s="1"/>
  <c r="BV90" i="17" a="1"/>
  <c r="BV90" i="17" s="1"/>
  <c r="AK90" i="17" a="1"/>
  <c r="AK90" i="17" s="1"/>
  <c r="O90" i="17" s="1"/>
  <c r="AP90" i="17" a="1"/>
  <c r="AP90" i="17" s="1"/>
  <c r="AU90" i="17" a="1"/>
  <c r="AU90" i="17" s="1"/>
  <c r="BE90" i="17" a="1"/>
  <c r="BE90" i="17" s="1"/>
  <c r="BK90" i="17" a="1"/>
  <c r="BK90" i="17" s="1"/>
  <c r="BP90" i="17" a="1"/>
  <c r="BP90" i="17" s="1"/>
  <c r="BZ90" i="17" a="1"/>
  <c r="BZ90" i="17" s="1"/>
  <c r="BG90" i="17" a="1"/>
  <c r="BG90" i="17" s="1"/>
  <c r="AF90" i="17" a="1"/>
  <c r="AF90" i="17" s="1"/>
  <c r="BF90" i="17" a="1"/>
  <c r="BF90" i="17" s="1"/>
  <c r="V90" i="17" s="1"/>
  <c r="BL90" i="17" a="1"/>
  <c r="BL90" i="17" s="1"/>
  <c r="X90" i="17" s="1"/>
  <c r="BQ90" i="17" a="1"/>
  <c r="BQ90" i="17" s="1"/>
  <c r="AY90" i="17" a="1"/>
  <c r="AY90" i="17" s="1"/>
  <c r="BS90" i="17" a="1"/>
  <c r="BS90" i="17" s="1"/>
  <c r="CG44" i="12"/>
  <c r="BE62" i="13" s="1"/>
  <c r="AL93" i="20"/>
  <c r="BE137" i="13"/>
  <c r="AL92" i="20"/>
  <c r="BE136" i="13"/>
  <c r="CI42" i="12"/>
  <c r="BG60" i="13" s="1"/>
  <c r="BG116" i="13"/>
  <c r="BF118" i="13"/>
  <c r="BF119" i="13"/>
  <c r="BZ41" i="17"/>
  <c r="E91" i="17" s="1" a="1"/>
  <c r="E91" i="17" s="1"/>
  <c r="BP91" i="17" s="1" a="1"/>
  <c r="BP91" i="17" s="1"/>
  <c r="BG110" i="13"/>
  <c r="BG108" i="13" s="1"/>
  <c r="BF120" i="13"/>
  <c r="AL78" i="20"/>
  <c r="BE124" i="13"/>
  <c r="AL80" i="20"/>
  <c r="BE126" i="13"/>
  <c r="AL79" i="20"/>
  <c r="BE125" i="13"/>
  <c r="CJ86" i="20"/>
  <c r="BG131" i="13" s="1"/>
  <c r="BG128" i="13"/>
  <c r="AL94" i="20"/>
  <c r="AL89" i="20" s="1"/>
  <c r="BE138" i="13"/>
  <c r="J90" i="22"/>
  <c r="AB90" i="22"/>
  <c r="J76" i="22"/>
  <c r="AB76" i="22"/>
  <c r="J82" i="22"/>
  <c r="AB82" i="22"/>
  <c r="J109" i="22"/>
  <c r="J89" i="22"/>
  <c r="O94" i="22"/>
  <c r="P94" i="22"/>
  <c r="AB62" i="22"/>
  <c r="J86" i="22"/>
  <c r="AB104" i="22"/>
  <c r="AB98" i="22"/>
  <c r="P108" i="22"/>
  <c r="R108" i="22"/>
  <c r="N91" i="22"/>
  <c r="Q91" i="22"/>
  <c r="AB120" i="22"/>
  <c r="J117" i="22"/>
  <c r="AB108" i="22"/>
  <c r="AB112" i="22"/>
  <c r="AB91" i="22"/>
  <c r="J100" i="22"/>
  <c r="O114" i="22"/>
  <c r="Q114" i="22"/>
  <c r="J108" i="22"/>
  <c r="J92" i="22"/>
  <c r="AB101" i="22"/>
  <c r="Q97" i="22"/>
  <c r="P97" i="22"/>
  <c r="AB114" i="22"/>
  <c r="J119" i="22"/>
  <c r="J87" i="22"/>
  <c r="N90" i="22"/>
  <c r="O90" i="22"/>
  <c r="P90" i="22"/>
  <c r="AB105" i="22"/>
  <c r="AB89" i="22"/>
  <c r="AB113" i="22"/>
  <c r="AB118" i="22"/>
  <c r="O93" i="22"/>
  <c r="Q93" i="22"/>
  <c r="P116" i="22"/>
  <c r="Q116" i="22"/>
  <c r="J78" i="22"/>
  <c r="J114" i="22"/>
  <c r="AB109" i="22"/>
  <c r="P101" i="22"/>
  <c r="Q101" i="22"/>
  <c r="J116" i="22"/>
  <c r="AB88" i="22"/>
  <c r="AB86" i="22"/>
  <c r="J107" i="22"/>
  <c r="J97" i="22"/>
  <c r="J118" i="22"/>
  <c r="AB93" i="22"/>
  <c r="J102" i="22"/>
  <c r="P111" i="22"/>
  <c r="Q111" i="22"/>
  <c r="R111" i="22"/>
  <c r="P106" i="22"/>
  <c r="Q106" i="22"/>
  <c r="AB102" i="22"/>
  <c r="AB87" i="22"/>
  <c r="AB111" i="22"/>
  <c r="J111" i="22"/>
  <c r="J98" i="22"/>
  <c r="AB97" i="22"/>
  <c r="J94" i="22"/>
  <c r="P99" i="22"/>
  <c r="Q99" i="22"/>
  <c r="J99" i="22"/>
  <c r="J81" i="22"/>
  <c r="AB117" i="22"/>
  <c r="J104" i="22"/>
  <c r="AB116" i="22"/>
  <c r="J105" i="22"/>
  <c r="J106" i="22"/>
  <c r="P95" i="22"/>
  <c r="Q95" i="22"/>
  <c r="P115" i="22"/>
  <c r="Q115" i="22"/>
  <c r="R115" i="22"/>
  <c r="J91" i="22"/>
  <c r="J93" i="22"/>
  <c r="J115" i="22"/>
  <c r="J95" i="22"/>
  <c r="P120" i="22"/>
  <c r="Q120" i="22"/>
  <c r="AB67" i="22"/>
  <c r="AB107" i="22"/>
  <c r="AB110" i="22"/>
  <c r="J103" i="22"/>
  <c r="O96" i="22"/>
  <c r="P96" i="22"/>
  <c r="Q96" i="22"/>
  <c r="J96" i="22"/>
  <c r="AB45" i="22"/>
  <c r="AB94" i="22"/>
  <c r="J112" i="22"/>
  <c r="J37" i="22"/>
  <c r="AB37" i="22"/>
  <c r="AB80" i="22"/>
  <c r="AB35" i="22"/>
  <c r="AB61" i="22"/>
  <c r="AB40" i="22"/>
  <c r="J74" i="22"/>
  <c r="AB74" i="22"/>
  <c r="AB46" i="22"/>
  <c r="AB44" i="22"/>
  <c r="AB75" i="22"/>
  <c r="AB42" i="22"/>
  <c r="J43" i="22"/>
  <c r="AB43" i="22"/>
  <c r="AB41" i="22"/>
  <c r="AB71" i="22"/>
  <c r="J51" i="22"/>
  <c r="AB51" i="22"/>
  <c r="AB36" i="22"/>
  <c r="AB68" i="22"/>
  <c r="AB65" i="22"/>
  <c r="AB55" i="22"/>
  <c r="AB60" i="22"/>
  <c r="AB58" i="22"/>
  <c r="AB48" i="22"/>
  <c r="AB73" i="22"/>
  <c r="AB64" i="22"/>
  <c r="AB66" i="22"/>
  <c r="J79" i="22"/>
  <c r="AB38" i="22"/>
  <c r="AB77" i="22"/>
  <c r="J77" i="22"/>
  <c r="AB63" i="22"/>
  <c r="AB59" i="22"/>
  <c r="AB53" i="22"/>
  <c r="AB47" i="22"/>
  <c r="AB49" i="22"/>
  <c r="AB56" i="22"/>
  <c r="AB57" i="22"/>
  <c r="AB72" i="22"/>
  <c r="AB50" i="22"/>
  <c r="AB52" i="22"/>
  <c r="AB39" i="22"/>
  <c r="AB54" i="22"/>
  <c r="BE63" i="13"/>
  <c r="BE61" i="13"/>
  <c r="CI82" i="20"/>
  <c r="Q89" i="17"/>
  <c r="H89" i="17"/>
  <c r="I89" i="17"/>
  <c r="U89" i="17"/>
  <c r="Z75" i="20"/>
  <c r="BY42" i="17"/>
  <c r="AB42" i="17"/>
  <c r="CK107" i="20"/>
  <c r="CK90" i="20"/>
  <c r="BH134" i="13" s="1"/>
  <c r="CK108" i="20"/>
  <c r="K89" i="17"/>
  <c r="AC89" i="17"/>
  <c r="CJ87" i="20"/>
  <c r="BG132" i="13" s="1"/>
  <c r="H90" i="17"/>
  <c r="Q90" i="17"/>
  <c r="Y89" i="17"/>
  <c r="J89" i="17"/>
  <c r="BO91" i="17" a="1"/>
  <c r="BO91" i="17" s="1"/>
  <c r="AK91" i="17" a="1"/>
  <c r="AK91" i="17" s="1"/>
  <c r="CJ85" i="20"/>
  <c r="BG130" i="13" s="1"/>
  <c r="CJ111" i="20" a="1"/>
  <c r="CJ111" i="20" s="1"/>
  <c r="CJ110" i="20"/>
  <c r="CJ109" i="20" a="1"/>
  <c r="CJ109" i="20" s="1"/>
  <c r="CK112" i="20"/>
  <c r="CG114" i="20"/>
  <c r="CK83" i="20"/>
  <c r="CK76" i="20"/>
  <c r="BH122" i="13" s="1"/>
  <c r="CK77" i="20"/>
  <c r="BH123" i="13" s="1"/>
  <c r="CK91" i="20"/>
  <c r="CH75" i="20"/>
  <c r="CH89" i="20"/>
  <c r="R96" i="20"/>
  <c r="AE75" i="20"/>
  <c r="CJ60" i="20"/>
  <c r="CJ96" i="20"/>
  <c r="AD82" i="20"/>
  <c r="CK65" i="20"/>
  <c r="BH113" i="13" s="1"/>
  <c r="CK64" i="20"/>
  <c r="BH112" i="13" s="1"/>
  <c r="CK63" i="20"/>
  <c r="BH111" i="13" s="1"/>
  <c r="CK62" i="20"/>
  <c r="S82" i="20"/>
  <c r="T82" i="20"/>
  <c r="AA75" i="20"/>
  <c r="AB89" i="20"/>
  <c r="AD89" i="20"/>
  <c r="CI92" i="20"/>
  <c r="BF136" i="13" s="1"/>
  <c r="CI93" i="20"/>
  <c r="BF137" i="13" s="1"/>
  <c r="CI94" i="20"/>
  <c r="BF138" i="13" s="1"/>
  <c r="CI79" i="20"/>
  <c r="BF125" i="13" s="1"/>
  <c r="CI78" i="20"/>
  <c r="BF124" i="13" s="1"/>
  <c r="CI80" i="20"/>
  <c r="T75" i="20"/>
  <c r="AB96" i="20"/>
  <c r="R75" i="20"/>
  <c r="AI82" i="20"/>
  <c r="R82" i="20"/>
  <c r="X82" i="20"/>
  <c r="Y82" i="20"/>
  <c r="S96" i="20"/>
  <c r="Z82" i="20"/>
  <c r="X89" i="20"/>
  <c r="AA82" i="20"/>
  <c r="AC89" i="20"/>
  <c r="AC82" i="20"/>
  <c r="AC75" i="20"/>
  <c r="R89" i="20"/>
  <c r="AH89" i="20"/>
  <c r="S89" i="20"/>
  <c r="X75" i="20"/>
  <c r="Z96" i="20"/>
  <c r="AB82" i="20"/>
  <c r="AB75" i="20"/>
  <c r="AC96" i="20"/>
  <c r="AE82" i="20"/>
  <c r="AF89" i="20"/>
  <c r="AJ82" i="20"/>
  <c r="AK75" i="20"/>
  <c r="S75" i="20"/>
  <c r="Z89" i="20"/>
  <c r="AF82" i="20"/>
  <c r="AF96" i="20"/>
  <c r="AG82" i="20"/>
  <c r="AH75" i="20"/>
  <c r="AI96" i="20"/>
  <c r="AI89" i="20"/>
  <c r="AJ89" i="20"/>
  <c r="AK82" i="20"/>
  <c r="AJ75" i="20"/>
  <c r="AL96" i="20"/>
  <c r="AD96" i="20"/>
  <c r="T96" i="20"/>
  <c r="X96" i="20"/>
  <c r="AA89" i="20"/>
  <c r="Y96" i="20"/>
  <c r="Y75" i="20"/>
  <c r="AD75" i="20"/>
  <c r="AE96" i="20"/>
  <c r="AE89" i="20"/>
  <c r="AF75" i="20"/>
  <c r="AG96" i="20"/>
  <c r="AH96" i="20"/>
  <c r="AI75" i="20"/>
  <c r="AJ96" i="20"/>
  <c r="AK96" i="20"/>
  <c r="AK89" i="20"/>
  <c r="T89" i="20"/>
  <c r="AA96" i="20"/>
  <c r="Y89" i="20"/>
  <c r="AG75" i="20"/>
  <c r="AG89" i="20"/>
  <c r="AH82" i="20"/>
  <c r="AL82" i="20"/>
  <c r="CI68" i="20"/>
  <c r="CK88" i="20"/>
  <c r="BH133" i="13" s="1"/>
  <c r="CK102" i="20"/>
  <c r="BH145" i="13" s="1"/>
  <c r="CK95" i="20"/>
  <c r="BH139" i="13" s="1"/>
  <c r="CK81" i="20"/>
  <c r="BH127" i="13" s="1"/>
  <c r="CI106" i="20"/>
  <c r="CK74" i="20"/>
  <c r="BH121" i="13" s="1"/>
  <c r="CJ72" i="20"/>
  <c r="CJ73" i="20"/>
  <c r="CJ71" i="20"/>
  <c r="CJ115" i="20"/>
  <c r="CK69" i="20"/>
  <c r="CK61" i="20"/>
  <c r="BH109" i="13" s="1"/>
  <c r="CK10" i="20"/>
  <c r="CK70" i="20"/>
  <c r="BH117" i="13" s="1"/>
  <c r="CA124" i="16"/>
  <c r="BZ124" i="16"/>
  <c r="E125" i="16" a="1"/>
  <c r="E125" i="16" s="1"/>
  <c r="BE12" i="16"/>
  <c r="BD25" i="16"/>
  <c r="BD22" i="16"/>
  <c r="BD27" i="14" s="1"/>
  <c r="BE12" i="15"/>
  <c r="BD22" i="15"/>
  <c r="BD25" i="14" s="1"/>
  <c r="BD25" i="15"/>
  <c r="AS91" i="17" l="1" a="1"/>
  <c r="AS91" i="17" s="1"/>
  <c r="AC90" i="17"/>
  <c r="U90" i="17"/>
  <c r="J90" i="17"/>
  <c r="BJ91" i="17" a="1"/>
  <c r="BJ91" i="17" s="1"/>
  <c r="CA91" i="17" a="1"/>
  <c r="CA91" i="17" s="1"/>
  <c r="BF91" i="17" a="1"/>
  <c r="BF91" i="17" s="1"/>
  <c r="AJ91" i="17" a="1"/>
  <c r="AJ91" i="17" s="1"/>
  <c r="AQ91" i="17" a="1"/>
  <c r="AQ91" i="17" s="1"/>
  <c r="BQ91" i="17" a="1"/>
  <c r="BQ91" i="17" s="1"/>
  <c r="AL75" i="20"/>
  <c r="BE115" i="13"/>
  <c r="CH45" i="12"/>
  <c r="BF63" i="13" s="1"/>
  <c r="CA41" i="17"/>
  <c r="E92" i="17" s="1" a="1"/>
  <c r="E92" i="17" s="1"/>
  <c r="AP92" i="17" s="1" a="1"/>
  <c r="AP92" i="17" s="1"/>
  <c r="BH110" i="13"/>
  <c r="U103" i="8" s="1" a="1"/>
  <c r="U103" i="8" s="1"/>
  <c r="BI91" i="17" a="1"/>
  <c r="BI91" i="17" s="1"/>
  <c r="W91" i="17" s="1"/>
  <c r="BY91" i="17" a="1"/>
  <c r="BY91" i="17" s="1"/>
  <c r="AO91" i="17" a="1"/>
  <c r="AO91" i="17" s="1"/>
  <c r="AR138" i="8" a="1"/>
  <c r="AR138" i="8" s="1"/>
  <c r="CB138" i="8" a="1"/>
  <c r="CB138" i="8" s="1"/>
  <c r="BD138" i="8" a="1"/>
  <c r="BD138" i="8" s="1"/>
  <c r="AW138" i="8" a="1"/>
  <c r="AW138" i="8" s="1"/>
  <c r="BY138" i="8" a="1"/>
  <c r="BY138" i="8" s="1"/>
  <c r="BZ138" i="8" a="1"/>
  <c r="BZ138" i="8" s="1"/>
  <c r="BN138" i="8" a="1"/>
  <c r="BN138" i="8" s="1"/>
  <c r="BX138" i="8" a="1"/>
  <c r="BX138" i="8" s="1"/>
  <c r="AM138" i="8" a="1"/>
  <c r="AM138" i="8" s="1"/>
  <c r="BT138" i="8" a="1"/>
  <c r="BT138" i="8" s="1"/>
  <c r="K138" i="8" a="1"/>
  <c r="K138" i="8" s="1"/>
  <c r="BO138" i="8" a="1"/>
  <c r="BO138" i="8" s="1"/>
  <c r="BJ138" i="8" a="1"/>
  <c r="BJ138" i="8" s="1"/>
  <c r="AQ122" i="8" a="1"/>
  <c r="AQ122" i="8" s="1"/>
  <c r="AL122" i="8" a="1"/>
  <c r="AL122" i="8" s="1"/>
  <c r="BP138" i="8" a="1"/>
  <c r="BP138" i="8" s="1"/>
  <c r="CE138" i="8" a="1"/>
  <c r="CE138" i="8" s="1"/>
  <c r="N138" i="8" a="1"/>
  <c r="N138" i="8" s="1"/>
  <c r="AZ138" i="8" a="1"/>
  <c r="AZ138" i="8" s="1"/>
  <c r="AQ138" i="8" a="1"/>
  <c r="AQ138" i="8" s="1"/>
  <c r="BM138" i="8" a="1"/>
  <c r="BM138" i="8" s="1"/>
  <c r="BQ138" i="8" a="1"/>
  <c r="BQ138" i="8" s="1"/>
  <c r="CD138" i="8" a="1"/>
  <c r="CD138" i="8" s="1"/>
  <c r="AY138" i="8" a="1"/>
  <c r="AY138" i="8" s="1"/>
  <c r="O138" i="8" a="1"/>
  <c r="O138" i="8" s="1"/>
  <c r="AU143" i="8" a="1"/>
  <c r="AU143" i="8" s="1"/>
  <c r="BS138" i="8" a="1"/>
  <c r="BS138" i="8" s="1"/>
  <c r="BA129" i="8" a="1"/>
  <c r="BA129" i="8" s="1"/>
  <c r="AL136" i="8" a="1"/>
  <c r="AL136" i="8" s="1"/>
  <c r="P122" i="8" a="1"/>
  <c r="P122" i="8" s="1"/>
  <c r="CA136" i="8" a="1"/>
  <c r="CA136" i="8" s="1"/>
  <c r="N143" i="8" a="1"/>
  <c r="N143" i="8" s="1"/>
  <c r="AX136" i="8" a="1"/>
  <c r="AX136" i="8" s="1"/>
  <c r="AO115" i="8" a="1"/>
  <c r="AO115" i="8" s="1"/>
  <c r="AM143" i="8" a="1"/>
  <c r="AM143" i="8" s="1"/>
  <c r="BC115" i="8" a="1"/>
  <c r="BC115" i="8" s="1"/>
  <c r="CA129" i="8" a="1"/>
  <c r="CA129" i="8" s="1"/>
  <c r="BN115" i="8" a="1"/>
  <c r="BN115" i="8" s="1"/>
  <c r="AX102" i="8" a="1"/>
  <c r="AX102" i="8" s="1"/>
  <c r="AO136" i="8" a="1"/>
  <c r="AO136" i="8" s="1"/>
  <c r="CA138" i="8" a="1"/>
  <c r="CA138" i="8" s="1"/>
  <c r="CE143" i="8" a="1"/>
  <c r="CE143" i="8" s="1"/>
  <c r="CF129" i="8" a="1"/>
  <c r="CF129" i="8" s="1"/>
  <c r="AY129" i="8" a="1"/>
  <c r="AY129" i="8" s="1"/>
  <c r="BP129" i="8" a="1"/>
  <c r="BP129" i="8" s="1"/>
  <c r="BX129" i="8" a="1"/>
  <c r="BX129" i="8" s="1"/>
  <c r="BD122" i="8" a="1"/>
  <c r="BD122" i="8" s="1"/>
  <c r="AS138" i="8" a="1"/>
  <c r="AS138" i="8" s="1"/>
  <c r="T138" i="8" a="1"/>
  <c r="T138" i="8" s="1"/>
  <c r="BX122" i="8" a="1"/>
  <c r="BX122" i="8" s="1"/>
  <c r="BH129" i="8" a="1"/>
  <c r="BH129" i="8" s="1"/>
  <c r="K122" i="8" a="1"/>
  <c r="K122" i="8" s="1"/>
  <c r="BV131" i="8" a="1"/>
  <c r="BV131" i="8" s="1"/>
  <c r="BJ129" i="8" a="1"/>
  <c r="BJ129" i="8" s="1"/>
  <c r="BW138" i="8" a="1"/>
  <c r="BW138" i="8" s="1"/>
  <c r="O122" i="8" a="1"/>
  <c r="O122" i="8" s="1"/>
  <c r="BC138" i="8" a="1"/>
  <c r="BC138" i="8" s="1"/>
  <c r="N136" i="8" a="1"/>
  <c r="N136" i="8" s="1"/>
  <c r="U122" i="8" a="1"/>
  <c r="U122" i="8" s="1"/>
  <c r="AW115" i="8" a="1"/>
  <c r="AW115" i="8" s="1"/>
  <c r="BA115" i="8" a="1"/>
  <c r="BA115" i="8" s="1"/>
  <c r="BE115" i="8" a="1"/>
  <c r="BE115" i="8" s="1"/>
  <c r="BB129" i="8" a="1"/>
  <c r="BB129" i="8" s="1"/>
  <c r="BE136" i="8" a="1"/>
  <c r="BE136" i="8" s="1"/>
  <c r="CA102" i="8" a="1"/>
  <c r="CA102" i="8" s="1"/>
  <c r="O115" i="8" a="1"/>
  <c r="O115" i="8" s="1"/>
  <c r="BB138" i="8" a="1"/>
  <c r="BB138" i="8" s="1"/>
  <c r="N115" i="8" a="1"/>
  <c r="N115" i="8" s="1"/>
  <c r="BC143" i="8" a="1"/>
  <c r="BC143" i="8" s="1"/>
  <c r="AR117" i="8" a="1"/>
  <c r="AR117" i="8" s="1"/>
  <c r="BV136" i="8" a="1"/>
  <c r="BV136" i="8" s="1"/>
  <c r="BI138" i="8" a="1"/>
  <c r="BI138" i="8" s="1"/>
  <c r="BG138" i="8" a="1"/>
  <c r="BG138" i="8" s="1"/>
  <c r="AU136" i="8" a="1"/>
  <c r="AU136" i="8" s="1"/>
  <c r="K143" i="8" a="1"/>
  <c r="K143" i="8" s="1"/>
  <c r="J115" i="8" a="1"/>
  <c r="J115" i="8" s="1"/>
  <c r="BQ143" i="8" a="1"/>
  <c r="BQ143" i="8" s="1"/>
  <c r="AL143" i="8" a="1"/>
  <c r="AL143" i="8" s="1"/>
  <c r="AT115" i="8" a="1"/>
  <c r="AT115" i="8" s="1"/>
  <c r="BA138" i="8" a="1"/>
  <c r="BA138" i="8" s="1"/>
  <c r="BK138" i="8" a="1"/>
  <c r="BK138" i="8" s="1"/>
  <c r="O111" i="8" a="1"/>
  <c r="O111" i="8" s="1"/>
  <c r="AU131" i="8" a="1"/>
  <c r="AU131" i="8" s="1"/>
  <c r="N122" i="8" a="1"/>
  <c r="N122" i="8" s="1"/>
  <c r="BH115" i="8" a="1"/>
  <c r="BH115" i="8" s="1"/>
  <c r="BB115" i="8" a="1"/>
  <c r="BB115" i="8" s="1"/>
  <c r="P102" i="8" a="1"/>
  <c r="P102" i="8" s="1"/>
  <c r="P138" i="8" a="1"/>
  <c r="P138" i="8" s="1"/>
  <c r="AP136" i="8" a="1"/>
  <c r="AP136" i="8" s="1"/>
  <c r="BE129" i="8" a="1"/>
  <c r="BE129" i="8" s="1"/>
  <c r="AZ129" i="8" a="1"/>
  <c r="AZ129" i="8" s="1"/>
  <c r="CC136" i="8" a="1"/>
  <c r="CC136" i="8" s="1"/>
  <c r="AT138" i="8" a="1"/>
  <c r="AT138" i="8" s="1"/>
  <c r="AU138" i="8" a="1"/>
  <c r="AU138" i="8" s="1"/>
  <c r="CD136" i="8" a="1"/>
  <c r="CD136" i="8" s="1"/>
  <c r="U129" i="8" a="1"/>
  <c r="U129" i="8" s="1"/>
  <c r="BX115" i="8" a="1"/>
  <c r="BX115" i="8" s="1"/>
  <c r="BO143" i="8" a="1"/>
  <c r="BO143" i="8" s="1"/>
  <c r="BR138" i="8" a="1"/>
  <c r="BR138" i="8" s="1"/>
  <c r="BM136" i="8" a="1"/>
  <c r="BM136" i="8" s="1"/>
  <c r="BM129" i="8" a="1"/>
  <c r="BM129" i="8" s="1"/>
  <c r="BL138" i="8" a="1"/>
  <c r="BL138" i="8" s="1"/>
  <c r="CC138" i="8" a="1"/>
  <c r="CC138" i="8" s="1"/>
  <c r="AW136" i="8" a="1"/>
  <c r="AW136" i="8" s="1"/>
  <c r="BZ129" i="8" a="1"/>
  <c r="BZ129" i="8" s="1"/>
  <c r="BJ115" i="8" a="1"/>
  <c r="BJ115" i="8" s="1"/>
  <c r="Q111" i="8" a="1"/>
  <c r="Q111" i="8" s="1"/>
  <c r="CF136" i="8" a="1"/>
  <c r="CF136" i="8" s="1"/>
  <c r="BM122" i="8" a="1"/>
  <c r="BM122" i="8" s="1"/>
  <c r="AL129" i="8" a="1"/>
  <c r="AL129" i="8" s="1"/>
  <c r="CG138" i="8" a="1"/>
  <c r="CG138" i="8" s="1"/>
  <c r="BF138" i="8" a="1"/>
  <c r="BF138" i="8" s="1"/>
  <c r="P129" i="8" a="1"/>
  <c r="P129" i="8" s="1"/>
  <c r="AU122" i="8" a="1"/>
  <c r="AU122" i="8" s="1"/>
  <c r="AL138" i="8" a="1"/>
  <c r="AL138" i="8" s="1"/>
  <c r="AT143" i="8" a="1"/>
  <c r="AT143" i="8" s="1"/>
  <c r="AR143" i="8" a="1"/>
  <c r="AR143" i="8" s="1"/>
  <c r="AO122" i="8" a="1"/>
  <c r="AO122" i="8" s="1"/>
  <c r="BH117" i="8" a="1"/>
  <c r="BH117" i="8" s="1"/>
  <c r="BD115" i="8" a="1"/>
  <c r="BD115" i="8" s="1"/>
  <c r="AO129" i="8" a="1"/>
  <c r="AO129" i="8" s="1"/>
  <c r="AU129" i="8" a="1"/>
  <c r="AU129" i="8" s="1"/>
  <c r="T115" i="8" a="1"/>
  <c r="T115" i="8" s="1"/>
  <c r="AN118" i="8" a="1"/>
  <c r="AN118" i="8" s="1"/>
  <c r="J138" i="8" a="1"/>
  <c r="J138" i="8" s="1"/>
  <c r="BT115" i="8" a="1"/>
  <c r="BT115" i="8" s="1"/>
  <c r="BW136" i="8" a="1"/>
  <c r="BW136" i="8" s="1"/>
  <c r="P136" i="8" a="1"/>
  <c r="P136" i="8" s="1"/>
  <c r="BH138" i="8" a="1"/>
  <c r="BH138" i="8" s="1"/>
  <c r="AZ136" i="8" a="1"/>
  <c r="AZ136" i="8" s="1"/>
  <c r="AX138" i="8" a="1"/>
  <c r="AX138" i="8" s="1"/>
  <c r="AW143" i="8" a="1"/>
  <c r="AW143" i="8" s="1"/>
  <c r="Q122" i="8" a="1"/>
  <c r="Q122" i="8" s="1"/>
  <c r="BH143" i="8" a="1"/>
  <c r="BH143" i="8" s="1"/>
  <c r="AQ118" i="8" a="1"/>
  <c r="AQ118" i="8" s="1"/>
  <c r="BR136" i="8" a="1"/>
  <c r="BR136" i="8" s="1"/>
  <c r="CF138" i="8" a="1"/>
  <c r="CF138" i="8" s="1"/>
  <c r="AO138" i="8" a="1"/>
  <c r="AO138" i="8" s="1"/>
  <c r="O129" i="8" a="1"/>
  <c r="O129" i="8" s="1"/>
  <c r="AN138" i="8" a="1"/>
  <c r="AN138" i="8" s="1"/>
  <c r="BL122" i="8" a="1"/>
  <c r="BL122" i="8" s="1"/>
  <c r="CG115" i="8" a="1"/>
  <c r="CG115" i="8" s="1"/>
  <c r="AV138" i="8" a="1"/>
  <c r="AV138" i="8" s="1"/>
  <c r="AZ143" i="8" a="1"/>
  <c r="AZ143" i="8" s="1"/>
  <c r="BG122" i="8" a="1"/>
  <c r="BG122" i="8" s="1"/>
  <c r="BL102" i="8" a="1"/>
  <c r="BL102" i="8" s="1"/>
  <c r="BV102" i="8" a="1"/>
  <c r="BV102" i="8" s="1"/>
  <c r="AS115" i="8" a="1"/>
  <c r="AS115" i="8" s="1"/>
  <c r="BR111" i="8" a="1"/>
  <c r="BR111" i="8" s="1"/>
  <c r="U136" i="8" a="1"/>
  <c r="U136" i="8" s="1"/>
  <c r="P143" i="8" a="1"/>
  <c r="P143" i="8" s="1"/>
  <c r="BS118" i="8" a="1"/>
  <c r="BS118" i="8" s="1"/>
  <c r="BY117" i="8" a="1"/>
  <c r="BY117" i="8" s="1"/>
  <c r="AM131" i="8" a="1"/>
  <c r="AM131" i="8" s="1"/>
  <c r="BU131" i="8" a="1"/>
  <c r="BU131" i="8" s="1"/>
  <c r="BA102" i="8" a="1"/>
  <c r="BA102" i="8" s="1"/>
  <c r="T118" i="8" a="1"/>
  <c r="T118" i="8" s="1"/>
  <c r="K111" i="8" a="1"/>
  <c r="K111" i="8" s="1"/>
  <c r="AN102" i="8" a="1"/>
  <c r="AN102" i="8" s="1"/>
  <c r="BH102" i="8" a="1"/>
  <c r="BH102" i="8" s="1"/>
  <c r="BA143" i="8" a="1"/>
  <c r="BA143" i="8" s="1"/>
  <c r="BP136" i="8" a="1"/>
  <c r="BP136" i="8" s="1"/>
  <c r="T111" i="8" a="1"/>
  <c r="T111" i="8" s="1"/>
  <c r="BZ115" i="8" a="1"/>
  <c r="BZ115" i="8" s="1"/>
  <c r="AN136" i="8" a="1"/>
  <c r="AN136" i="8" s="1"/>
  <c r="N118" i="8" a="1"/>
  <c r="N118" i="8" s="1"/>
  <c r="BE117" i="8" a="1"/>
  <c r="BE117" i="8" s="1"/>
  <c r="CC117" i="8" a="1"/>
  <c r="CC117" i="8" s="1"/>
  <c r="BV129" i="8" a="1"/>
  <c r="BV129" i="8" s="1"/>
  <c r="BR131" i="8" a="1"/>
  <c r="BR131" i="8" s="1"/>
  <c r="AY131" i="8" a="1"/>
  <c r="AY131" i="8" s="1"/>
  <c r="BI122" i="8" a="1"/>
  <c r="BI122" i="8" s="1"/>
  <c r="BN143" i="8" a="1"/>
  <c r="BN143" i="8" s="1"/>
  <c r="BV143" i="8" a="1"/>
  <c r="BV143" i="8" s="1"/>
  <c r="BO129" i="8" a="1"/>
  <c r="BO129" i="8" s="1"/>
  <c r="AP138" i="8" a="1"/>
  <c r="AP138" i="8" s="1"/>
  <c r="BQ102" i="8" a="1"/>
  <c r="BQ102" i="8" s="1"/>
  <c r="BN129" i="8" a="1"/>
  <c r="BN129" i="8" s="1"/>
  <c r="BW117" i="8" a="1"/>
  <c r="BW117" i="8" s="1"/>
  <c r="BA118" i="8" a="1"/>
  <c r="BA118" i="8" s="1"/>
  <c r="BA111" i="8" a="1"/>
  <c r="BA111" i="8" s="1"/>
  <c r="AS105" i="8" a="1"/>
  <c r="AS105" i="8" s="1"/>
  <c r="BJ111" i="8" a="1"/>
  <c r="BJ111" i="8" s="1"/>
  <c r="K129" i="8" a="1"/>
  <c r="K129" i="8" s="1"/>
  <c r="AS117" i="8" a="1"/>
  <c r="AS117" i="8" s="1"/>
  <c r="BU129" i="8" a="1"/>
  <c r="BU129" i="8" s="1"/>
  <c r="AR122" i="8" a="1"/>
  <c r="AR122" i="8" s="1"/>
  <c r="BD131" i="8" a="1"/>
  <c r="BD131" i="8" s="1"/>
  <c r="Q131" i="8" a="1"/>
  <c r="Q131" i="8" s="1"/>
  <c r="AN115" i="8" a="1"/>
  <c r="AN115" i="8" s="1"/>
  <c r="BT102" i="8" a="1"/>
  <c r="BT102" i="8" s="1"/>
  <c r="CC102" i="8" a="1"/>
  <c r="CC102" i="8" s="1"/>
  <c r="AX129" i="8" a="1"/>
  <c r="AX129" i="8" s="1"/>
  <c r="BH111" i="8" a="1"/>
  <c r="BH111" i="8" s="1"/>
  <c r="BK122" i="8" a="1"/>
  <c r="BK122" i="8" s="1"/>
  <c r="AZ117" i="8" a="1"/>
  <c r="AZ117" i="8" s="1"/>
  <c r="BV117" i="8" a="1"/>
  <c r="BV117" i="8" s="1"/>
  <c r="AR129" i="8" a="1"/>
  <c r="AR129" i="8" s="1"/>
  <c r="BO117" i="8" a="1"/>
  <c r="BO117" i="8" s="1"/>
  <c r="AT118" i="8" a="1"/>
  <c r="AT118" i="8" s="1"/>
  <c r="AO117" i="8" a="1"/>
  <c r="AO117" i="8" s="1"/>
  <c r="BF117" i="8" a="1"/>
  <c r="BF117" i="8" s="1"/>
  <c r="K117" i="8" a="1"/>
  <c r="K117" i="8" s="1"/>
  <c r="BC122" i="8" a="1"/>
  <c r="BC122" i="8" s="1"/>
  <c r="BP117" i="8" a="1"/>
  <c r="BP117" i="8" s="1"/>
  <c r="BR115" i="8" a="1"/>
  <c r="BR115" i="8" s="1"/>
  <c r="BF131" i="8" a="1"/>
  <c r="BF131" i="8" s="1"/>
  <c r="BH131" i="8" a="1"/>
  <c r="BH131" i="8" s="1"/>
  <c r="T143" i="8" a="1"/>
  <c r="T143" i="8" s="1"/>
  <c r="P131" i="8" a="1"/>
  <c r="P131" i="8" s="1"/>
  <c r="AU102" i="8" a="1"/>
  <c r="AU102" i="8" s="1"/>
  <c r="AQ143" i="8" a="1"/>
  <c r="AQ143" i="8" s="1"/>
  <c r="BQ118" i="8" a="1"/>
  <c r="BQ118" i="8" s="1"/>
  <c r="AS122" i="8" a="1"/>
  <c r="AS122" i="8" s="1"/>
  <c r="BP118" i="8" a="1"/>
  <c r="BP118" i="8" s="1"/>
  <c r="CB117" i="8" a="1"/>
  <c r="CB117" i="8" s="1"/>
  <c r="AL118" i="8" a="1"/>
  <c r="AL118" i="8" s="1"/>
  <c r="BF111" i="8" a="1"/>
  <c r="BF111" i="8" s="1"/>
  <c r="BI117" i="8" a="1"/>
  <c r="BI117" i="8" s="1"/>
  <c r="CG131" i="8" a="1"/>
  <c r="CG131" i="8" s="1"/>
  <c r="BP131" i="8" a="1"/>
  <c r="BP131" i="8" s="1"/>
  <c r="AT129" i="8" a="1"/>
  <c r="AT129" i="8" s="1"/>
  <c r="T131" i="8" a="1"/>
  <c r="T131" i="8" s="1"/>
  <c r="AL115" i="8" a="1"/>
  <c r="AL115" i="8" s="1"/>
  <c r="BD102" i="8" a="1"/>
  <c r="BD102" i="8" s="1"/>
  <c r="BB131" i="8" a="1"/>
  <c r="BB131" i="8" s="1"/>
  <c r="BT111" i="8" a="1"/>
  <c r="BT111" i="8" s="1"/>
  <c r="AM111" i="8" a="1"/>
  <c r="AM111" i="8" s="1"/>
  <c r="AV102" i="8" a="1"/>
  <c r="AV102" i="8" s="1"/>
  <c r="BP115" i="8" a="1"/>
  <c r="BP115" i="8" s="1"/>
  <c r="CA118" i="8" a="1"/>
  <c r="CA118" i="8" s="1"/>
  <c r="BZ117" i="8" a="1"/>
  <c r="BZ117" i="8" s="1"/>
  <c r="BG117" i="8" a="1"/>
  <c r="BG117" i="8" s="1"/>
  <c r="BP102" i="8" a="1"/>
  <c r="BP102" i="8" s="1"/>
  <c r="AP118" i="8" a="1"/>
  <c r="AP118" i="8" s="1"/>
  <c r="AL131" i="8" a="1"/>
  <c r="AL131" i="8" s="1"/>
  <c r="BM131" i="8" a="1"/>
  <c r="BM131" i="8" s="1"/>
  <c r="BB136" i="8" a="1"/>
  <c r="BB136" i="8" s="1"/>
  <c r="BY136" i="8" a="1"/>
  <c r="BY136" i="8" s="1"/>
  <c r="T102" i="8" a="1"/>
  <c r="T102" i="8" s="1"/>
  <c r="BQ111" i="8" a="1"/>
  <c r="BQ111" i="8" s="1"/>
  <c r="BM102" i="8" a="1"/>
  <c r="BM102" i="8" s="1"/>
  <c r="BS131" i="8" a="1"/>
  <c r="BS131" i="8" s="1"/>
  <c r="J118" i="8" a="1"/>
  <c r="J118" i="8" s="1"/>
  <c r="BD117" i="8" a="1"/>
  <c r="BD117" i="8" s="1"/>
  <c r="J102" i="8" a="1"/>
  <c r="J102" i="8" s="1"/>
  <c r="N131" i="8" a="1"/>
  <c r="N131" i="8" s="1"/>
  <c r="BW131" i="8" a="1"/>
  <c r="BW131" i="8" s="1"/>
  <c r="BU122" i="8" a="1"/>
  <c r="BU122" i="8" s="1"/>
  <c r="BU136" i="8" a="1"/>
  <c r="BU136" i="8" s="1"/>
  <c r="BO102" i="8" a="1"/>
  <c r="BO102" i="8" s="1"/>
  <c r="BM118" i="8" a="1"/>
  <c r="BM118" i="8" s="1"/>
  <c r="AO111" i="8" a="1"/>
  <c r="AO111" i="8" s="1"/>
  <c r="BL131" i="8" a="1"/>
  <c r="BL131" i="8" s="1"/>
  <c r="CA117" i="8" a="1"/>
  <c r="CA117" i="8" s="1"/>
  <c r="BB118" i="8" a="1"/>
  <c r="BB118" i="8" s="1"/>
  <c r="AQ117" i="8" a="1"/>
  <c r="AQ117" i="8" s="1"/>
  <c r="J143" i="8" a="1"/>
  <c r="J143" i="8" s="1"/>
  <c r="J129" i="8" a="1"/>
  <c r="J129" i="8" s="1"/>
  <c r="K118" i="8" a="1"/>
  <c r="K118" i="8" s="1"/>
  <c r="AV143" i="8" a="1"/>
  <c r="AV143" i="8" s="1"/>
  <c r="BK131" i="8" a="1"/>
  <c r="BK131" i="8" s="1"/>
  <c r="AQ102" i="8" a="1"/>
  <c r="AQ102" i="8" s="1"/>
  <c r="AS102" i="8" a="1"/>
  <c r="AS102" i="8" s="1"/>
  <c r="BE131" i="8" a="1"/>
  <c r="BE131" i="8" s="1"/>
  <c r="AS131" i="8" a="1"/>
  <c r="AS131" i="8" s="1"/>
  <c r="BD111" i="8" a="1"/>
  <c r="BD111" i="8" s="1"/>
  <c r="BP111" i="8" a="1"/>
  <c r="BP111" i="8" s="1"/>
  <c r="BJ118" i="8" a="1"/>
  <c r="BJ118" i="8" s="1"/>
  <c r="AY117" i="8" a="1"/>
  <c r="AY117" i="8" s="1"/>
  <c r="AV129" i="8" a="1"/>
  <c r="AV129" i="8" s="1"/>
  <c r="AP117" i="8" a="1"/>
  <c r="AP117" i="8" s="1"/>
  <c r="CF102" i="8" a="1"/>
  <c r="CF102" i="8" s="1"/>
  <c r="AZ122" i="8" a="1"/>
  <c r="AZ122" i="8" s="1"/>
  <c r="BZ131" i="8" a="1"/>
  <c r="BZ131" i="8" s="1"/>
  <c r="BC131" i="8" a="1"/>
  <c r="BC131" i="8" s="1"/>
  <c r="BU138" i="8" a="1"/>
  <c r="BU138" i="8" s="1"/>
  <c r="CA115" i="8" a="1"/>
  <c r="CA115" i="8" s="1"/>
  <c r="CA122" i="8" a="1"/>
  <c r="CA122" i="8" s="1"/>
  <c r="AQ136" i="8" a="1"/>
  <c r="AQ136" i="8" s="1"/>
  <c r="AM136" i="8" a="1"/>
  <c r="AM136" i="8" s="1"/>
  <c r="BU143" i="8" a="1"/>
  <c r="BU143" i="8" s="1"/>
  <c r="BW102" i="8" a="1"/>
  <c r="BW102" i="8" s="1"/>
  <c r="BR102" i="8" a="1"/>
  <c r="BR102" i="8" s="1"/>
  <c r="AR118" i="8" a="1"/>
  <c r="AR118" i="8" s="1"/>
  <c r="BV111" i="8" a="1"/>
  <c r="BV111" i="8" s="1"/>
  <c r="CA111" i="8" a="1"/>
  <c r="CA111" i="8" s="1"/>
  <c r="BT131" i="8" a="1"/>
  <c r="BT131" i="8" s="1"/>
  <c r="BR118" i="8" a="1"/>
  <c r="BR118" i="8" s="1"/>
  <c r="AX117" i="8" a="1"/>
  <c r="AX117" i="8" s="1"/>
  <c r="AN143" i="8" a="1"/>
  <c r="AN143" i="8" s="1"/>
  <c r="AQ131" i="8" a="1"/>
  <c r="AQ131" i="8" s="1"/>
  <c r="AS129" i="8" a="1"/>
  <c r="AS129" i="8" s="1"/>
  <c r="BI131" i="8" a="1"/>
  <c r="BI131" i="8" s="1"/>
  <c r="BQ131" i="8" a="1"/>
  <c r="BQ131" i="8" s="1"/>
  <c r="BG111" i="8" a="1"/>
  <c r="BG111" i="8" s="1"/>
  <c r="BB102" i="8" a="1"/>
  <c r="BB102" i="8" s="1"/>
  <c r="AM102" i="8" a="1"/>
  <c r="AM102" i="8" s="1"/>
  <c r="BQ129" i="8" a="1"/>
  <c r="BQ129" i="8" s="1"/>
  <c r="AN111" i="8" a="1"/>
  <c r="AN111" i="8" s="1"/>
  <c r="N102" i="8" a="1"/>
  <c r="N102" i="8" s="1"/>
  <c r="AM118" i="8" a="1"/>
  <c r="AM118" i="8" s="1"/>
  <c r="BS117" i="8" a="1"/>
  <c r="BS117" i="8" s="1"/>
  <c r="V117" i="8" a="1"/>
  <c r="V117" i="8" s="1"/>
  <c r="CD117" i="8" a="1"/>
  <c r="CD117" i="8" s="1"/>
  <c r="BZ136" i="8" a="1"/>
  <c r="BZ136" i="8" s="1"/>
  <c r="BN131" i="8" a="1"/>
  <c r="BN131" i="8" s="1"/>
  <c r="AR131" i="8" a="1"/>
  <c r="AR131" i="8" s="1"/>
  <c r="CD102" i="8" a="1"/>
  <c r="CD102" i="8" s="1"/>
  <c r="AS118" i="8" a="1"/>
  <c r="AS118" i="8" s="1"/>
  <c r="CC118" i="8" a="1"/>
  <c r="CC118" i="8" s="1"/>
  <c r="AL117" i="8" a="1"/>
  <c r="AL117" i="8" s="1"/>
  <c r="AW117" i="8" a="1"/>
  <c r="AW117" i="8" s="1"/>
  <c r="CE118" i="8" a="1"/>
  <c r="CE118" i="8" s="1"/>
  <c r="BK129" i="8" a="1"/>
  <c r="BK129" i="8" s="1"/>
  <c r="T122" i="8" a="1"/>
  <c r="T122" i="8" s="1"/>
  <c r="CG118" i="8" a="1"/>
  <c r="CG118" i="8" s="1"/>
  <c r="U111" i="8" a="1"/>
  <c r="U111" i="8" s="1"/>
  <c r="BC118" i="8" a="1"/>
  <c r="BC118" i="8" s="1"/>
  <c r="BX131" i="8" a="1"/>
  <c r="BX131" i="8" s="1"/>
  <c r="BU117" i="8" a="1"/>
  <c r="BU117" i="8" s="1"/>
  <c r="CF111" i="8" a="1"/>
  <c r="CF111" i="8" s="1"/>
  <c r="BM117" i="8" a="1"/>
  <c r="BM117" i="8" s="1"/>
  <c r="O131" i="8" a="1"/>
  <c r="O131" i="8" s="1"/>
  <c r="AR136" i="8" a="1"/>
  <c r="AR136" i="8" s="1"/>
  <c r="Q115" i="8" a="1"/>
  <c r="Q115" i="8" s="1"/>
  <c r="BD143" i="8" a="1"/>
  <c r="BD143" i="8" s="1"/>
  <c r="BU115" i="8" a="1"/>
  <c r="BU115" i="8" s="1"/>
  <c r="CB115" i="8" a="1"/>
  <c r="CB115" i="8" s="1"/>
  <c r="AM115" i="8" a="1"/>
  <c r="AM115" i="8" s="1"/>
  <c r="BT122" i="8" a="1"/>
  <c r="BT122" i="8" s="1"/>
  <c r="BJ143" i="8" a="1"/>
  <c r="BJ143" i="8" s="1"/>
  <c r="CC131" i="8" a="1"/>
  <c r="CC131" i="8" s="1"/>
  <c r="CB122" i="8" a="1"/>
  <c r="CB122" i="8" s="1"/>
  <c r="K104" i="8" a="1"/>
  <c r="K104" i="8" s="1"/>
  <c r="Q102" i="8" a="1"/>
  <c r="Q102" i="8" s="1"/>
  <c r="AX131" i="8" a="1"/>
  <c r="AX131" i="8" s="1"/>
  <c r="CG136" i="8" a="1"/>
  <c r="CG136" i="8" s="1"/>
  <c r="BF129" i="8" a="1"/>
  <c r="BF129" i="8" s="1"/>
  <c r="BG143" i="8" a="1"/>
  <c r="BG143" i="8" s="1"/>
  <c r="AN129" i="8" a="1"/>
  <c r="AN129" i="8" s="1"/>
  <c r="AY136" i="8" a="1"/>
  <c r="AY136" i="8" s="1"/>
  <c r="BD136" i="8" a="1"/>
  <c r="BD136" i="8" s="1"/>
  <c r="AU115" i="8" a="1"/>
  <c r="AU115" i="8" s="1"/>
  <c r="BZ143" i="8" a="1"/>
  <c r="BZ143" i="8" s="1"/>
  <c r="CB129" i="8" a="1"/>
  <c r="CB129" i="8" s="1"/>
  <c r="BK115" i="8" a="1"/>
  <c r="BK115" i="8" s="1"/>
  <c r="BY105" i="8" a="1"/>
  <c r="BY105" i="8" s="1"/>
  <c r="CG102" i="8" a="1"/>
  <c r="CG102" i="8" s="1"/>
  <c r="BC111" i="8" a="1"/>
  <c r="BC111" i="8" s="1"/>
  <c r="BR122" i="8" a="1"/>
  <c r="BR122" i="8" s="1"/>
  <c r="AV131" i="8" a="1"/>
  <c r="AV131" i="8" s="1"/>
  <c r="BP122" i="8" a="1"/>
  <c r="BP122" i="8" s="1"/>
  <c r="BW129" i="8" a="1"/>
  <c r="BW129" i="8" s="1"/>
  <c r="BS122" i="8" a="1"/>
  <c r="BS122" i="8" s="1"/>
  <c r="BW143" i="8" a="1"/>
  <c r="BW143" i="8" s="1"/>
  <c r="CE115" i="8" a="1"/>
  <c r="CE115" i="8" s="1"/>
  <c r="AP143" i="8" a="1"/>
  <c r="AP143" i="8" s="1"/>
  <c r="AQ115" i="8" a="1"/>
  <c r="AQ115" i="8" s="1"/>
  <c r="BM143" i="8" a="1"/>
  <c r="BM143" i="8" s="1"/>
  <c r="AQ129" i="8" a="1"/>
  <c r="AQ129" i="8" s="1"/>
  <c r="T129" i="8" a="1"/>
  <c r="T129" i="8" s="1"/>
  <c r="BK111" i="8" a="1"/>
  <c r="BK111" i="8" s="1"/>
  <c r="J131" i="8" a="1"/>
  <c r="J131" i="8" s="1"/>
  <c r="BG118" i="8" a="1"/>
  <c r="BG118" i="8" s="1"/>
  <c r="BO131" i="8" a="1"/>
  <c r="BO131" i="8" s="1"/>
  <c r="CG143" i="8" a="1"/>
  <c r="CG143" i="8" s="1"/>
  <c r="BN122" i="8" a="1"/>
  <c r="BN122" i="8" s="1"/>
  <c r="BW122" i="8" a="1"/>
  <c r="BW122" i="8" s="1"/>
  <c r="BI115" i="8" a="1"/>
  <c r="BI115" i="8" s="1"/>
  <c r="K115" i="8" a="1"/>
  <c r="K115" i="8" s="1"/>
  <c r="AV122" i="8" a="1"/>
  <c r="AV122" i="8" s="1"/>
  <c r="AP131" i="8" a="1"/>
  <c r="AP131" i="8" s="1"/>
  <c r="BF102" i="8" a="1"/>
  <c r="BF102" i="8" s="1"/>
  <c r="AZ111" i="8" a="1"/>
  <c r="AZ111" i="8" s="1"/>
  <c r="AU118" i="8" a="1"/>
  <c r="AU118" i="8" s="1"/>
  <c r="BZ118" i="8" a="1"/>
  <c r="BZ118" i="8" s="1"/>
  <c r="CA131" i="8" a="1"/>
  <c r="CA131" i="8" s="1"/>
  <c r="BE138" i="8" a="1"/>
  <c r="BE138" i="8" s="1"/>
  <c r="AX122" i="8" a="1"/>
  <c r="AX122" i="8" s="1"/>
  <c r="BI136" i="8" a="1"/>
  <c r="BI136" i="8" s="1"/>
  <c r="BY143" i="8" a="1"/>
  <c r="BY143" i="8" s="1"/>
  <c r="AV115" i="8" a="1"/>
  <c r="AV115" i="8" s="1"/>
  <c r="CC115" i="8" a="1"/>
  <c r="CC115" i="8" s="1"/>
  <c r="CF115" i="8" a="1"/>
  <c r="CF115" i="8" s="1"/>
  <c r="BQ136" i="8" a="1"/>
  <c r="BQ136" i="8" s="1"/>
  <c r="AT136" i="8" a="1"/>
  <c r="AT136" i="8" s="1"/>
  <c r="AY102" i="8" a="1"/>
  <c r="AY102" i="8" s="1"/>
  <c r="J111" i="8" a="1"/>
  <c r="J111" i="8" s="1"/>
  <c r="BW115" i="8" a="1"/>
  <c r="BW115" i="8" s="1"/>
  <c r="U115" i="8" a="1"/>
  <c r="U115" i="8" s="1"/>
  <c r="AW131" i="8" a="1"/>
  <c r="AW131" i="8" s="1"/>
  <c r="BB111" i="8" a="1"/>
  <c r="BB111" i="8" s="1"/>
  <c r="Q138" i="8" a="1"/>
  <c r="Q138" i="8" s="1"/>
  <c r="BK143" i="8" a="1"/>
  <c r="BK143" i="8" s="1"/>
  <c r="BS115" i="8" a="1"/>
  <c r="BS115" i="8" s="1"/>
  <c r="J136" i="8" a="1"/>
  <c r="J136" i="8" s="1"/>
  <c r="CD122" i="8" a="1"/>
  <c r="CD122" i="8" s="1"/>
  <c r="AN122" i="8" a="1"/>
  <c r="AN122" i="8" s="1"/>
  <c r="AP129" i="8" a="1"/>
  <c r="AP129" i="8" s="1"/>
  <c r="AY122" i="8" a="1"/>
  <c r="AY122" i="8" s="1"/>
  <c r="AQ111" i="8" a="1"/>
  <c r="AQ111" i="8" s="1"/>
  <c r="BY122" i="8" a="1"/>
  <c r="BY122" i="8" s="1"/>
  <c r="BX111" i="8" a="1"/>
  <c r="BX111" i="8" s="1"/>
  <c r="BH122" i="8" a="1"/>
  <c r="BH122" i="8" s="1"/>
  <c r="AX118" i="8" a="1"/>
  <c r="AX118" i="8" s="1"/>
  <c r="CC143" i="8" a="1"/>
  <c r="CC143" i="8" s="1"/>
  <c r="AZ131" i="8" a="1"/>
  <c r="AZ131" i="8" s="1"/>
  <c r="O143" i="8" a="1"/>
  <c r="O143" i="8" s="1"/>
  <c r="BF115" i="8" a="1"/>
  <c r="BF115" i="8" s="1"/>
  <c r="CC129" i="8" a="1"/>
  <c r="CC129" i="8" s="1"/>
  <c r="AP122" i="8" a="1"/>
  <c r="AP122" i="8" s="1"/>
  <c r="BG115" i="8" a="1"/>
  <c r="BG115" i="8" s="1"/>
  <c r="BE102" i="8" a="1"/>
  <c r="BE102" i="8" s="1"/>
  <c r="AT122" i="8" a="1"/>
  <c r="AT122" i="8" s="1"/>
  <c r="AM122" i="8" a="1"/>
  <c r="AM122" i="8" s="1"/>
  <c r="AW102" i="8" a="1"/>
  <c r="AW102" i="8" s="1"/>
  <c r="BZ111" i="8" a="1"/>
  <c r="BZ111" i="8" s="1"/>
  <c r="O118" i="8" a="1"/>
  <c r="O118" i="8" s="1"/>
  <c r="BJ131" i="8" a="1"/>
  <c r="BJ131" i="8" s="1"/>
  <c r="CF122" i="8" a="1"/>
  <c r="CF122" i="8" s="1"/>
  <c r="CF143" i="8" a="1"/>
  <c r="CF143" i="8" s="1"/>
  <c r="Q129" i="8" a="1"/>
  <c r="Q129" i="8" s="1"/>
  <c r="AY143" i="8" a="1"/>
  <c r="AY143" i="8" s="1"/>
  <c r="BT129" i="8" a="1"/>
  <c r="BT129" i="8" s="1"/>
  <c r="AW129" i="8" a="1"/>
  <c r="AW129" i="8" s="1"/>
  <c r="CE129" i="8" a="1"/>
  <c r="CE129" i="8" s="1"/>
  <c r="AR115" i="8" a="1"/>
  <c r="AR115" i="8" s="1"/>
  <c r="BY131" i="8" a="1"/>
  <c r="BY131" i="8" s="1"/>
  <c r="BA122" i="8" a="1"/>
  <c r="BA122" i="8" s="1"/>
  <c r="K102" i="8" a="1"/>
  <c r="K102" i="8" s="1"/>
  <c r="AY118" i="8" a="1"/>
  <c r="AY118" i="8" s="1"/>
  <c r="AT111" i="8" a="1"/>
  <c r="AT111" i="8" s="1"/>
  <c r="BS129" i="8" a="1"/>
  <c r="BS129" i="8" s="1"/>
  <c r="CD143" i="8" a="1"/>
  <c r="CD143" i="8" s="1"/>
  <c r="BE122" i="8" a="1"/>
  <c r="BE122" i="8" s="1"/>
  <c r="J122" i="8" a="1"/>
  <c r="J122" i="8" s="1"/>
  <c r="BD129" i="8" a="1"/>
  <c r="BD129" i="8" s="1"/>
  <c r="BG136" i="8" a="1"/>
  <c r="BG136" i="8" s="1"/>
  <c r="BO122" i="8" a="1"/>
  <c r="BO122" i="8" s="1"/>
  <c r="BN102" i="8" a="1"/>
  <c r="BN102" i="8" s="1"/>
  <c r="BJ136" i="8" a="1"/>
  <c r="BJ136" i="8" s="1"/>
  <c r="CB102" i="8" a="1"/>
  <c r="CB102" i="8" s="1"/>
  <c r="CG117" i="8" a="1"/>
  <c r="CG117" i="8" s="1"/>
  <c r="BT117" i="8" a="1"/>
  <c r="BT117" i="8" s="1"/>
  <c r="BC117" i="8" a="1"/>
  <c r="BC117" i="8" s="1"/>
  <c r="BF122" i="8" a="1"/>
  <c r="BF122" i="8" s="1"/>
  <c r="BN136" i="8" a="1"/>
  <c r="BN136" i="8" s="1"/>
  <c r="AP115" i="8" a="1"/>
  <c r="AP115" i="8" s="1"/>
  <c r="P115" i="8" a="1"/>
  <c r="P115" i="8" s="1"/>
  <c r="Q143" i="8" a="1"/>
  <c r="Q143" i="8" s="1"/>
  <c r="AX143" i="8" a="1"/>
  <c r="AX143" i="8" s="1"/>
  <c r="BV115" i="8" a="1"/>
  <c r="BV115" i="8" s="1"/>
  <c r="AS136" i="8" a="1"/>
  <c r="AS136" i="8" s="1"/>
  <c r="CB143" i="8" a="1"/>
  <c r="CB143" i="8" s="1"/>
  <c r="BX102" i="8" a="1"/>
  <c r="BX102" i="8" s="1"/>
  <c r="BU102" i="8" a="1"/>
  <c r="BU102" i="8" s="1"/>
  <c r="J117" i="8" a="1"/>
  <c r="J117" i="8" s="1"/>
  <c r="AM117" i="8" a="1"/>
  <c r="AM117" i="8" s="1"/>
  <c r="BB122" i="8" a="1"/>
  <c r="BB122" i="8" s="1"/>
  <c r="BY129" i="8" a="1"/>
  <c r="BY129" i="8" s="1"/>
  <c r="BE143" i="8" a="1"/>
  <c r="BE143" i="8" s="1"/>
  <c r="CD129" i="8" a="1"/>
  <c r="CD129" i="8" s="1"/>
  <c r="BL136" i="8" a="1"/>
  <c r="BL136" i="8" s="1"/>
  <c r="BY115" i="8" a="1"/>
  <c r="BY115" i="8" s="1"/>
  <c r="BL143" i="8" a="1"/>
  <c r="BL143" i="8" s="1"/>
  <c r="BO136" i="8" a="1"/>
  <c r="BO136" i="8" s="1"/>
  <c r="AW118" i="8" a="1"/>
  <c r="AW118" i="8" s="1"/>
  <c r="N129" i="8" a="1"/>
  <c r="N129" i="8" s="1"/>
  <c r="CE136" i="8" a="1"/>
  <c r="CE136" i="8" s="1"/>
  <c r="AV117" i="8" a="1"/>
  <c r="AV117" i="8" s="1"/>
  <c r="BM115" i="8" a="1"/>
  <c r="BM115" i="8" s="1"/>
  <c r="BG129" i="8" a="1"/>
  <c r="BG129" i="8" s="1"/>
  <c r="BV122" i="8" a="1"/>
  <c r="BV122" i="8" s="1"/>
  <c r="AV136" i="8" a="1"/>
  <c r="AV136" i="8" s="1"/>
  <c r="BI129" i="8" a="1"/>
  <c r="BI129" i="8" s="1"/>
  <c r="BX136" i="8" a="1"/>
  <c r="BX136" i="8" s="1"/>
  <c r="BC136" i="8" a="1"/>
  <c r="BC136" i="8" s="1"/>
  <c r="BQ117" i="8" a="1"/>
  <c r="BQ117" i="8" s="1"/>
  <c r="BF143" i="8" a="1"/>
  <c r="BF143" i="8" s="1"/>
  <c r="BL129" i="8" a="1"/>
  <c r="BL129" i="8" s="1"/>
  <c r="BS143" i="8" a="1"/>
  <c r="BS143" i="8" s="1"/>
  <c r="BQ115" i="8" a="1"/>
  <c r="BQ115" i="8" s="1"/>
  <c r="BZ122" i="8" a="1"/>
  <c r="BZ122" i="8" s="1"/>
  <c r="BP143" i="8" a="1"/>
  <c r="BP143" i="8" s="1"/>
  <c r="BX117" i="8" a="1"/>
  <c r="BX117" i="8" s="1"/>
  <c r="AX115" i="8" a="1"/>
  <c r="AX115" i="8" s="1"/>
  <c r="CE117" i="8" a="1"/>
  <c r="CE117" i="8" s="1"/>
  <c r="U102" i="8" a="1"/>
  <c r="U102" i="8" s="1"/>
  <c r="BO118" i="8" a="1"/>
  <c r="BO118" i="8" s="1"/>
  <c r="AM129" i="8" a="1"/>
  <c r="AM129" i="8" s="1"/>
  <c r="BQ122" i="8" a="1"/>
  <c r="BQ122" i="8" s="1"/>
  <c r="CB136" i="8" a="1"/>
  <c r="CB136" i="8" s="1"/>
  <c r="BK136" i="8" a="1"/>
  <c r="BK136" i="8" s="1"/>
  <c r="CC122" i="8" a="1"/>
  <c r="CC122" i="8" s="1"/>
  <c r="BR143" i="8" a="1"/>
  <c r="BR143" i="8" s="1"/>
  <c r="CB111" i="8" a="1"/>
  <c r="CB111" i="8" s="1"/>
  <c r="BH118" i="8" a="1"/>
  <c r="BH118" i="8" s="1"/>
  <c r="Q117" i="8" a="1"/>
  <c r="Q117" i="8" s="1"/>
  <c r="BJ122" i="8" a="1"/>
  <c r="BJ122" i="8" s="1"/>
  <c r="AZ115" i="8" a="1"/>
  <c r="AZ115" i="8" s="1"/>
  <c r="BJ102" i="8" a="1"/>
  <c r="BJ102" i="8" s="1"/>
  <c r="BB117" i="8" a="1"/>
  <c r="BB117" i="8" s="1"/>
  <c r="BN111" i="8" a="1"/>
  <c r="BN111" i="8" s="1"/>
  <c r="CF118" i="8" a="1"/>
  <c r="CF118" i="8" s="1"/>
  <c r="BJ117" i="8" a="1"/>
  <c r="BJ117" i="8" s="1"/>
  <c r="BT136" i="8" a="1"/>
  <c r="BT136" i="8" s="1"/>
  <c r="AW122" i="8" a="1"/>
  <c r="AW122" i="8" s="1"/>
  <c r="AV111" i="8" a="1"/>
  <c r="AV111" i="8" s="1"/>
  <c r="BV118" i="8" a="1"/>
  <c r="BV118" i="8" s="1"/>
  <c r="P117" i="8" a="1"/>
  <c r="P117" i="8" s="1"/>
  <c r="BD118" i="8" a="1"/>
  <c r="BD118" i="8" s="1"/>
  <c r="AR102" i="8" a="1"/>
  <c r="AR102" i="8" s="1"/>
  <c r="BX118" i="8" a="1"/>
  <c r="BX118" i="8" s="1"/>
  <c r="BI111" i="8" a="1"/>
  <c r="BI111" i="8" s="1"/>
  <c r="BT118" i="8" a="1"/>
  <c r="BT118" i="8" s="1"/>
  <c r="BL115" i="8" a="1"/>
  <c r="BL115" i="8" s="1"/>
  <c r="BO115" i="8" a="1"/>
  <c r="BO115" i="8" s="1"/>
  <c r="AL102" i="8" a="1"/>
  <c r="AL102" i="8" s="1"/>
  <c r="CD115" i="8" a="1"/>
  <c r="CD115" i="8" s="1"/>
  <c r="BG102" i="8" a="1"/>
  <c r="BG102" i="8" s="1"/>
  <c r="AS111" i="8" a="1"/>
  <c r="AS111" i="8" s="1"/>
  <c r="CE122" i="8" a="1"/>
  <c r="CE122" i="8" s="1"/>
  <c r="CG122" i="8" a="1"/>
  <c r="CG122" i="8" s="1"/>
  <c r="BI102" i="8" a="1"/>
  <c r="BI102" i="8" s="1"/>
  <c r="BX143" i="8" a="1"/>
  <c r="BX143" i="8" s="1"/>
  <c r="BF136" i="8" a="1"/>
  <c r="BF136" i="8" s="1"/>
  <c r="P118" i="8" a="1"/>
  <c r="P118" i="8" s="1"/>
  <c r="U138" i="8" a="1"/>
  <c r="U138" i="8" s="1"/>
  <c r="AT117" i="8" a="1"/>
  <c r="AT117" i="8" s="1"/>
  <c r="T136" i="8" a="1"/>
  <c r="T136" i="8" s="1"/>
  <c r="CD111" i="8" a="1"/>
  <c r="CD111" i="8" s="1"/>
  <c r="AP102" i="8" a="1"/>
  <c r="AP102" i="8" s="1"/>
  <c r="BS136" i="8" a="1"/>
  <c r="BS136" i="8" s="1"/>
  <c r="AS143" i="8" a="1"/>
  <c r="AS143" i="8" s="1"/>
  <c r="AV118" i="8" a="1"/>
  <c r="AV118" i="8" s="1"/>
  <c r="CF117" i="8" a="1"/>
  <c r="CF117" i="8" s="1"/>
  <c r="BB143" i="8" a="1"/>
  <c r="BB143" i="8" s="1"/>
  <c r="BO111" i="8" a="1"/>
  <c r="BO111" i="8" s="1"/>
  <c r="CF131" i="8" a="1"/>
  <c r="CF131" i="8" s="1"/>
  <c r="AL111" i="8" a="1"/>
  <c r="AL111" i="8" s="1"/>
  <c r="BK117" i="8" a="1"/>
  <c r="BK117" i="8" s="1"/>
  <c r="AO143" i="8" a="1"/>
  <c r="AO143" i="8" s="1"/>
  <c r="BA131" i="8" a="1"/>
  <c r="BA131" i="8" s="1"/>
  <c r="BS111" i="8" a="1"/>
  <c r="BS111" i="8" s="1"/>
  <c r="CD131" i="8" a="1"/>
  <c r="CD131" i="8" s="1"/>
  <c r="N111" i="8" a="1"/>
  <c r="N111" i="8" s="1"/>
  <c r="BU118" i="8" a="1"/>
  <c r="BU118" i="8" s="1"/>
  <c r="BL117" i="8" a="1"/>
  <c r="BL117" i="8" s="1"/>
  <c r="O136" i="8" a="1"/>
  <c r="O136" i="8" s="1"/>
  <c r="BH136" i="8" a="1"/>
  <c r="BH136" i="8" s="1"/>
  <c r="AO102" i="8" a="1"/>
  <c r="AO102" i="8" s="1"/>
  <c r="CB131" i="8" a="1"/>
  <c r="CB131" i="8" s="1"/>
  <c r="BW111" i="8" a="1"/>
  <c r="BW111" i="8" s="1"/>
  <c r="BV138" i="8" a="1"/>
  <c r="BV138" i="8" s="1"/>
  <c r="AP111" i="8" a="1"/>
  <c r="AP111" i="8" s="1"/>
  <c r="BK118" i="8" a="1"/>
  <c r="BK118" i="8" s="1"/>
  <c r="K136" i="8" a="1"/>
  <c r="K136" i="8" s="1"/>
  <c r="AN131" i="8" a="1"/>
  <c r="AN131" i="8" s="1"/>
  <c r="CE131" i="8" a="1"/>
  <c r="CE131" i="8" s="1"/>
  <c r="CG111" i="8" a="1"/>
  <c r="CG111" i="8" s="1"/>
  <c r="AW111" i="8" a="1"/>
  <c r="AW111" i="8" s="1"/>
  <c r="BY118" i="8" a="1"/>
  <c r="BY118" i="8" s="1"/>
  <c r="U117" i="8" a="1"/>
  <c r="U117" i="8" s="1"/>
  <c r="CG129" i="8" a="1"/>
  <c r="CG129" i="8" s="1"/>
  <c r="BC129" i="8" a="1"/>
  <c r="BC129" i="8" s="1"/>
  <c r="BK102" i="8" a="1"/>
  <c r="BK102" i="8" s="1"/>
  <c r="CB118" i="8" a="1"/>
  <c r="CB118" i="8" s="1"/>
  <c r="U118" i="8" a="1"/>
  <c r="U118" i="8" s="1"/>
  <c r="CC111" i="8" a="1"/>
  <c r="CC111" i="8" s="1"/>
  <c r="BR117" i="8" a="1"/>
  <c r="BR117" i="8" s="1"/>
  <c r="BA117" i="8" a="1"/>
  <c r="BA117" i="8" s="1"/>
  <c r="BS102" i="8" a="1"/>
  <c r="BS102" i="8" s="1"/>
  <c r="CE111" i="8" a="1"/>
  <c r="CE111" i="8" s="1"/>
  <c r="N117" i="8" a="1"/>
  <c r="N117" i="8" s="1"/>
  <c r="AO131" i="8" a="1"/>
  <c r="AO131" i="8" s="1"/>
  <c r="U143" i="8" a="1"/>
  <c r="U143" i="8" s="1"/>
  <c r="BN118" i="8" a="1"/>
  <c r="BN118" i="8" s="1"/>
  <c r="Q118" i="8" a="1"/>
  <c r="Q118" i="8" s="1"/>
  <c r="BN117" i="8" a="1"/>
  <c r="BN117" i="8" s="1"/>
  <c r="BR129" i="8" a="1"/>
  <c r="BR129" i="8" s="1"/>
  <c r="BA136" i="8" a="1"/>
  <c r="BA136" i="8" s="1"/>
  <c r="O102" i="8" a="1"/>
  <c r="O102" i="8" s="1"/>
  <c r="BY111" i="8" a="1"/>
  <c r="BY111" i="8" s="1"/>
  <c r="BF118" i="8" a="1"/>
  <c r="BF118" i="8" s="1"/>
  <c r="Q136" i="8" a="1"/>
  <c r="Q136" i="8" s="1"/>
  <c r="BG131" i="8" a="1"/>
  <c r="BG131" i="8" s="1"/>
  <c r="AO118" i="8" a="1"/>
  <c r="AO118" i="8" s="1"/>
  <c r="BI143" i="8" a="1"/>
  <c r="BI143" i="8" s="1"/>
  <c r="AX111" i="8" a="1"/>
  <c r="AX111" i="8" s="1"/>
  <c r="AU111" i="8" a="1"/>
  <c r="AU111" i="8" s="1"/>
  <c r="BW118" i="8" a="1"/>
  <c r="BW118" i="8" s="1"/>
  <c r="AU117" i="8" a="1"/>
  <c r="AU117" i="8" s="1"/>
  <c r="BT143" i="8" a="1"/>
  <c r="BT143" i="8" s="1"/>
  <c r="CA143" i="8" a="1"/>
  <c r="CA143" i="8" s="1"/>
  <c r="CE102" i="8" a="1"/>
  <c r="CE102" i="8" s="1"/>
  <c r="AT102" i="8" a="1"/>
  <c r="AT102" i="8" s="1"/>
  <c r="K131" i="8" a="1"/>
  <c r="K131" i="8" s="1"/>
  <c r="BI118" i="8" a="1"/>
  <c r="BI118" i="8" s="1"/>
  <c r="BC102" i="8" a="1"/>
  <c r="BC102" i="8" s="1"/>
  <c r="T117" i="8" a="1"/>
  <c r="T117" i="8" s="1"/>
  <c r="CD118" i="8" a="1"/>
  <c r="CD118" i="8" s="1"/>
  <c r="AY115" i="8" a="1"/>
  <c r="AY115" i="8" s="1"/>
  <c r="AZ118" i="8" a="1"/>
  <c r="AZ118" i="8" s="1"/>
  <c r="AR111" i="8" a="1"/>
  <c r="AR111" i="8" s="1"/>
  <c r="BI106" i="8" a="1"/>
  <c r="BI106" i="8" s="1"/>
  <c r="BP106" i="8" a="1"/>
  <c r="BP106" i="8" s="1"/>
  <c r="BA106" i="8" a="1"/>
  <c r="BA106" i="8" s="1"/>
  <c r="BC105" i="8" a="1"/>
  <c r="BC105" i="8" s="1"/>
  <c r="BP105" i="8" a="1"/>
  <c r="BP105" i="8" s="1"/>
  <c r="V143" i="8" a="1"/>
  <c r="V143" i="8" s="1"/>
  <c r="BL105" i="8" a="1"/>
  <c r="BL105" i="8" s="1"/>
  <c r="CD104" i="8" a="1"/>
  <c r="CD104" i="8" s="1"/>
  <c r="BU111" i="8" a="1"/>
  <c r="BU111" i="8" s="1"/>
  <c r="V138" i="8" a="1"/>
  <c r="V138" i="8" s="1"/>
  <c r="CA106" i="8" a="1"/>
  <c r="CA106" i="8" s="1"/>
  <c r="AT106" i="8" a="1"/>
  <c r="AT106" i="8" s="1"/>
  <c r="BQ106" i="8" a="1"/>
  <c r="BQ106" i="8" s="1"/>
  <c r="BL118" i="8" a="1"/>
  <c r="BL118" i="8" s="1"/>
  <c r="AY105" i="8" a="1"/>
  <c r="AY105" i="8" s="1"/>
  <c r="AN105" i="8" a="1"/>
  <c r="AN105" i="8" s="1"/>
  <c r="BS105" i="8" a="1"/>
  <c r="BS105" i="8" s="1"/>
  <c r="AN117" i="8" a="1"/>
  <c r="AN117" i="8" s="1"/>
  <c r="CE104" i="8" a="1"/>
  <c r="CE104" i="8" s="1"/>
  <c r="AM104" i="8" a="1"/>
  <c r="AM104" i="8" s="1"/>
  <c r="BQ104" i="8" a="1"/>
  <c r="BQ104" i="8" s="1"/>
  <c r="BQ105" i="8" a="1"/>
  <c r="BQ105" i="8" s="1"/>
  <c r="T105" i="8" a="1"/>
  <c r="T105" i="8" s="1"/>
  <c r="CG104" i="8" a="1"/>
  <c r="CG104" i="8" s="1"/>
  <c r="V136" i="8" a="1"/>
  <c r="V136" i="8" s="1"/>
  <c r="CG106" i="8" a="1"/>
  <c r="CG106" i="8" s="1"/>
  <c r="BE106" i="8" a="1"/>
  <c r="BE106" i="8" s="1"/>
  <c r="BU106" i="8" a="1"/>
  <c r="BU106" i="8" s="1"/>
  <c r="BM105" i="8" a="1"/>
  <c r="BM105" i="8" s="1"/>
  <c r="BJ105" i="8" a="1"/>
  <c r="BJ105" i="8" s="1"/>
  <c r="AP104" i="8" a="1"/>
  <c r="AP104" i="8" s="1"/>
  <c r="BW104" i="8" a="1"/>
  <c r="BW104" i="8" s="1"/>
  <c r="U131" i="8" a="1"/>
  <c r="U131" i="8" s="1"/>
  <c r="P111" i="8" a="1"/>
  <c r="P111" i="8" s="1"/>
  <c r="AV106" i="8" a="1"/>
  <c r="AV106" i="8" s="1"/>
  <c r="N106" i="8" a="1"/>
  <c r="N106" i="8" s="1"/>
  <c r="CE105" i="8" a="1"/>
  <c r="CE105" i="8" s="1"/>
  <c r="BZ106" i="8" a="1"/>
  <c r="BZ106" i="8" s="1"/>
  <c r="BV106" i="8" a="1"/>
  <c r="BV106" i="8" s="1"/>
  <c r="BN105" i="8" a="1"/>
  <c r="BN105" i="8" s="1"/>
  <c r="J105" i="8" a="1"/>
  <c r="J105" i="8" s="1"/>
  <c r="BG104" i="8" a="1"/>
  <c r="BG104" i="8" s="1"/>
  <c r="AT131" i="8" a="1"/>
  <c r="AT131" i="8" s="1"/>
  <c r="AX105" i="8" a="1"/>
  <c r="AX105" i="8" s="1"/>
  <c r="BM106" i="8" a="1"/>
  <c r="BM106" i="8" s="1"/>
  <c r="AT104" i="8" a="1"/>
  <c r="AT104" i="8" s="1"/>
  <c r="CB105" i="8" a="1"/>
  <c r="CB105" i="8" s="1"/>
  <c r="CE106" i="8" a="1"/>
  <c r="CE106" i="8" s="1"/>
  <c r="BG106" i="8" a="1"/>
  <c r="BG106" i="8" s="1"/>
  <c r="BC106" i="8" a="1"/>
  <c r="BC106" i="8" s="1"/>
  <c r="BO105" i="8" a="1"/>
  <c r="BO105" i="8" s="1"/>
  <c r="CD105" i="8" a="1"/>
  <c r="CD105" i="8" s="1"/>
  <c r="BI105" i="8" a="1"/>
  <c r="BI105" i="8" s="1"/>
  <c r="BC104" i="8" a="1"/>
  <c r="BC104" i="8" s="1"/>
  <c r="P104" i="8" a="1"/>
  <c r="P104" i="8" s="1"/>
  <c r="CD106" i="8" a="1"/>
  <c r="CD106" i="8" s="1"/>
  <c r="AV105" i="8" a="1"/>
  <c r="AV105" i="8" s="1"/>
  <c r="AW104" i="8" a="1"/>
  <c r="AW104" i="8" s="1"/>
  <c r="BX106" i="8" a="1"/>
  <c r="BX106" i="8" s="1"/>
  <c r="AW106" i="8" a="1"/>
  <c r="AW106" i="8" s="1"/>
  <c r="AL106" i="8" a="1"/>
  <c r="AL106" i="8" s="1"/>
  <c r="BE105" i="8" a="1"/>
  <c r="BE105" i="8" s="1"/>
  <c r="V111" i="8" a="1"/>
  <c r="V111" i="8" s="1"/>
  <c r="BP104" i="8" a="1"/>
  <c r="BP104" i="8" s="1"/>
  <c r="BT104" i="8" a="1"/>
  <c r="BT104" i="8" s="1"/>
  <c r="CC106" i="8" a="1"/>
  <c r="CC106" i="8" s="1"/>
  <c r="BU104" i="8" a="1"/>
  <c r="BU104" i="8" s="1"/>
  <c r="AM105" i="8" a="1"/>
  <c r="AM105" i="8" s="1"/>
  <c r="BT106" i="8" a="1"/>
  <c r="BT106" i="8" s="1"/>
  <c r="BB106" i="8" a="1"/>
  <c r="BB106" i="8" s="1"/>
  <c r="AP106" i="8" a="1"/>
  <c r="AP106" i="8" s="1"/>
  <c r="AO106" i="8" a="1"/>
  <c r="AO106" i="8" s="1"/>
  <c r="CC105" i="8" a="1"/>
  <c r="CC105" i="8" s="1"/>
  <c r="BV105" i="8" a="1"/>
  <c r="BV105" i="8" s="1"/>
  <c r="AT105" i="8" a="1"/>
  <c r="AT105" i="8" s="1"/>
  <c r="AS104" i="8" a="1"/>
  <c r="AS104" i="8" s="1"/>
  <c r="BA104" i="8" a="1"/>
  <c r="BA104" i="8" s="1"/>
  <c r="AX104" i="8" a="1"/>
  <c r="AX104" i="8" s="1"/>
  <c r="BL111" i="8" a="1"/>
  <c r="BL111" i="8" s="1"/>
  <c r="CG105" i="8" a="1"/>
  <c r="CG105" i="8" s="1"/>
  <c r="BO104" i="8" a="1"/>
  <c r="BO104" i="8" s="1"/>
  <c r="AY104" i="8" a="1"/>
  <c r="AY104" i="8" s="1"/>
  <c r="AU105" i="8" a="1"/>
  <c r="AU105" i="8" s="1"/>
  <c r="V122" i="8" a="1"/>
  <c r="V122" i="8" s="1"/>
  <c r="BE111" i="8" a="1"/>
  <c r="BE111" i="8" s="1"/>
  <c r="K106" i="8" a="1"/>
  <c r="K106" i="8" s="1"/>
  <c r="BH106" i="8" a="1"/>
  <c r="BH106" i="8" s="1"/>
  <c r="O117" i="8" a="1"/>
  <c r="O117" i="8" s="1"/>
  <c r="BK105" i="8" a="1"/>
  <c r="BK105" i="8" s="1"/>
  <c r="AP105" i="8" a="1"/>
  <c r="AP105" i="8" s="1"/>
  <c r="AZ105" i="8" a="1"/>
  <c r="AZ105" i="8" s="1"/>
  <c r="O104" i="8" a="1"/>
  <c r="O104" i="8" s="1"/>
  <c r="CF104" i="8" a="1"/>
  <c r="CF104" i="8" s="1"/>
  <c r="BF106" i="8" a="1"/>
  <c r="BF106" i="8" s="1"/>
  <c r="CC104" i="8" a="1"/>
  <c r="CC104" i="8" s="1"/>
  <c r="AY111" i="8" a="1"/>
  <c r="AY111" i="8" s="1"/>
  <c r="BW106" i="8" a="1"/>
  <c r="BW106" i="8" s="1"/>
  <c r="BS106" i="8" a="1"/>
  <c r="BS106" i="8" s="1"/>
  <c r="AR106" i="8" a="1"/>
  <c r="AR106" i="8" s="1"/>
  <c r="O105" i="8" a="1"/>
  <c r="O105" i="8" s="1"/>
  <c r="AL105" i="8" a="1"/>
  <c r="AL105" i="8" s="1"/>
  <c r="Q105" i="8" a="1"/>
  <c r="Q105" i="8" s="1"/>
  <c r="BD105" i="8" a="1"/>
  <c r="BD105" i="8" s="1"/>
  <c r="N104" i="8" a="1"/>
  <c r="N104" i="8" s="1"/>
  <c r="BE104" i="8" a="1"/>
  <c r="BE104" i="8" s="1"/>
  <c r="AZ104" i="8" a="1"/>
  <c r="AZ104" i="8" s="1"/>
  <c r="BH104" i="8" a="1"/>
  <c r="BH104" i="8" s="1"/>
  <c r="AS106" i="8" a="1"/>
  <c r="AS106" i="8" s="1"/>
  <c r="O106" i="8" a="1"/>
  <c r="O106" i="8" s="1"/>
  <c r="CF105" i="8" a="1"/>
  <c r="CF105" i="8" s="1"/>
  <c r="U105" i="8" a="1"/>
  <c r="U105" i="8" s="1"/>
  <c r="BR106" i="8" a="1"/>
  <c r="BR106" i="8" s="1"/>
  <c r="V129" i="8" a="1"/>
  <c r="V129" i="8" s="1"/>
  <c r="AN106" i="8" a="1"/>
  <c r="AN106" i="8" s="1"/>
  <c r="BN106" i="8" a="1"/>
  <c r="BN106" i="8" s="1"/>
  <c r="AM106" i="8" a="1"/>
  <c r="AM106" i="8" s="1"/>
  <c r="BH105" i="8" a="1"/>
  <c r="BH105" i="8" s="1"/>
  <c r="CA105" i="8" a="1"/>
  <c r="CA105" i="8" s="1"/>
  <c r="BU105" i="8" a="1"/>
  <c r="BU105" i="8" s="1"/>
  <c r="BD104" i="8" a="1"/>
  <c r="BD104" i="8" s="1"/>
  <c r="BM104" i="8" a="1"/>
  <c r="BM104" i="8" s="1"/>
  <c r="AQ104" i="8" a="1"/>
  <c r="AQ104" i="8" s="1"/>
  <c r="AR105" i="8" a="1"/>
  <c r="AR105" i="8" s="1"/>
  <c r="N105" i="8" a="1"/>
  <c r="N105" i="8" s="1"/>
  <c r="BR105" i="8" a="1"/>
  <c r="BR105" i="8" s="1"/>
  <c r="BX105" i="8" a="1"/>
  <c r="BX105" i="8" s="1"/>
  <c r="AN104" i="8" a="1"/>
  <c r="AN104" i="8" s="1"/>
  <c r="AZ106" i="8" a="1"/>
  <c r="AZ106" i="8" s="1"/>
  <c r="BS104" i="8" a="1"/>
  <c r="BS104" i="8" s="1"/>
  <c r="AQ106" i="8" a="1"/>
  <c r="AQ106" i="8" s="1"/>
  <c r="AX106" i="8" a="1"/>
  <c r="AX106" i="8" s="1"/>
  <c r="BT105" i="8" a="1"/>
  <c r="BT105" i="8" s="1"/>
  <c r="BZ105" i="8" a="1"/>
  <c r="BZ105" i="8" s="1"/>
  <c r="T104" i="8" a="1"/>
  <c r="T104" i="8" s="1"/>
  <c r="BO106" i="8" a="1"/>
  <c r="BO106" i="8" s="1"/>
  <c r="CF106" i="8" a="1"/>
  <c r="CF106" i="8" s="1"/>
  <c r="P106" i="8" a="1"/>
  <c r="P106" i="8" s="1"/>
  <c r="T106" i="8" a="1"/>
  <c r="T106" i="8" s="1"/>
  <c r="BB105" i="8" a="1"/>
  <c r="BB105" i="8" s="1"/>
  <c r="BA105" i="8" a="1"/>
  <c r="BA105" i="8" s="1"/>
  <c r="P105" i="8" a="1"/>
  <c r="P105" i="8" s="1"/>
  <c r="AO105" i="8" a="1"/>
  <c r="AO105" i="8" s="1"/>
  <c r="BX104" i="8" a="1"/>
  <c r="BX104" i="8" s="1"/>
  <c r="BN104" i="8" a="1"/>
  <c r="BN104" i="8" s="1"/>
  <c r="BE118" i="8" a="1"/>
  <c r="BE118" i="8" s="1"/>
  <c r="BG105" i="8" a="1"/>
  <c r="BG105" i="8" s="1"/>
  <c r="V105" i="8" a="1"/>
  <c r="V105" i="8" s="1"/>
  <c r="BJ106" i="8" a="1"/>
  <c r="BJ106" i="8" s="1"/>
  <c r="W105" i="8" a="1"/>
  <c r="W105" i="8" s="1"/>
  <c r="J104" i="8" a="1"/>
  <c r="J104" i="8" s="1"/>
  <c r="V106" i="8" a="1"/>
  <c r="V106" i="8" s="1"/>
  <c r="AY106" i="8" a="1"/>
  <c r="AY106" i="8" s="1"/>
  <c r="BD106" i="8" a="1"/>
  <c r="BD106" i="8" s="1"/>
  <c r="W118" i="8" a="1"/>
  <c r="W118" i="8" s="1"/>
  <c r="BK104" i="8" a="1"/>
  <c r="BK104" i="8" s="1"/>
  <c r="AU106" i="8" a="1"/>
  <c r="AU106" i="8" s="1"/>
  <c r="CB106" i="8" a="1"/>
  <c r="CB106" i="8" s="1"/>
  <c r="X138" i="8" a="1"/>
  <c r="X138" i="8" s="1"/>
  <c r="V118" i="8" a="1"/>
  <c r="V118" i="8" s="1"/>
  <c r="CA104" i="8" a="1"/>
  <c r="CA104" i="8" s="1"/>
  <c r="W143" i="8" a="1"/>
  <c r="W143" i="8" s="1"/>
  <c r="BJ104" i="8" a="1"/>
  <c r="BJ104" i="8" s="1"/>
  <c r="W117" i="8" a="1"/>
  <c r="W117" i="8" s="1"/>
  <c r="BW105" i="8" a="1"/>
  <c r="BW105" i="8" s="1"/>
  <c r="W122" i="8" a="1"/>
  <c r="W122" i="8" s="1"/>
  <c r="U104" i="8" a="1"/>
  <c r="U104" i="8" s="1"/>
  <c r="V131" i="8" a="1"/>
  <c r="V131" i="8" s="1"/>
  <c r="AL104" i="8" a="1"/>
  <c r="AL104" i="8" s="1"/>
  <c r="BK106" i="8" a="1"/>
  <c r="BK106" i="8" s="1"/>
  <c r="W129" i="8" a="1"/>
  <c r="W129" i="8" s="1"/>
  <c r="BL106" i="8" a="1"/>
  <c r="BL106" i="8" s="1"/>
  <c r="AQ105" i="8" a="1"/>
  <c r="AQ105" i="8" s="1"/>
  <c r="BZ102" i="8" a="1"/>
  <c r="BZ102" i="8" s="1"/>
  <c r="W131" i="8" a="1"/>
  <c r="W131" i="8" s="1"/>
  <c r="AZ102" i="8" a="1"/>
  <c r="AZ102" i="8" s="1"/>
  <c r="W106" i="8" a="1"/>
  <c r="W106" i="8" s="1"/>
  <c r="Q106" i="8" a="1"/>
  <c r="Q106" i="8" s="1"/>
  <c r="W115" i="8" a="1"/>
  <c r="W115" i="8" s="1"/>
  <c r="V102" i="8" a="1"/>
  <c r="V102" i="8" s="1"/>
  <c r="BV104" i="8" a="1"/>
  <c r="BV104" i="8" s="1"/>
  <c r="U106" i="8" a="1"/>
  <c r="U106" i="8" s="1"/>
  <c r="BB104" i="8" a="1"/>
  <c r="BB104" i="8" s="1"/>
  <c r="V115" i="8" a="1"/>
  <c r="V115" i="8" s="1"/>
  <c r="BY102" i="8" a="1"/>
  <c r="BY102" i="8" s="1"/>
  <c r="BY106" i="8" a="1"/>
  <c r="BY106" i="8" s="1"/>
  <c r="Q104" i="8" a="1"/>
  <c r="Q104" i="8" s="1"/>
  <c r="X131" i="8" a="1"/>
  <c r="X131" i="8" s="1"/>
  <c r="W111" i="8" a="1"/>
  <c r="W111" i="8" s="1"/>
  <c r="W102" i="8" a="1"/>
  <c r="W102" i="8" s="1"/>
  <c r="X118" i="8" a="1"/>
  <c r="X118" i="8" s="1"/>
  <c r="BM111" i="8" a="1"/>
  <c r="BM111" i="8" s="1"/>
  <c r="W136" i="8" a="1"/>
  <c r="W136" i="8" s="1"/>
  <c r="BF105" i="8" a="1"/>
  <c r="BF105" i="8" s="1"/>
  <c r="J106" i="8" a="1"/>
  <c r="J106" i="8" s="1"/>
  <c r="AW105" i="8" a="1"/>
  <c r="AW105" i="8" s="1"/>
  <c r="W138" i="8" a="1"/>
  <c r="W138" i="8" s="1"/>
  <c r="AR104" i="8" a="1"/>
  <c r="AR104" i="8" s="1"/>
  <c r="BZ104" i="8" a="1"/>
  <c r="BZ104" i="8" s="1"/>
  <c r="Y105" i="8" a="1"/>
  <c r="Y105" i="8" s="1"/>
  <c r="CB104" i="8" a="1"/>
  <c r="CB104" i="8" s="1"/>
  <c r="BY104" i="8" a="1"/>
  <c r="BY104" i="8" s="1"/>
  <c r="Y102" i="8" a="1"/>
  <c r="Y102" i="8" s="1"/>
  <c r="AU104" i="8" a="1"/>
  <c r="AU104" i="8" s="1"/>
  <c r="AO104" i="8" a="1"/>
  <c r="AO104" i="8" s="1"/>
  <c r="BF104" i="8" a="1"/>
  <c r="BF104" i="8" s="1"/>
  <c r="X117" i="8" a="1"/>
  <c r="X117" i="8" s="1"/>
  <c r="W104" i="8" a="1"/>
  <c r="W104" i="8" s="1"/>
  <c r="X143" i="8" a="1"/>
  <c r="X143" i="8" s="1"/>
  <c r="X129" i="8" a="1"/>
  <c r="X129" i="8" s="1"/>
  <c r="BR104" i="8" a="1"/>
  <c r="BR104" i="8" s="1"/>
  <c r="BL104" i="8" a="1"/>
  <c r="BL104" i="8" s="1"/>
  <c r="BI104" i="8" a="1"/>
  <c r="BI104" i="8" s="1"/>
  <c r="X104" i="8" a="1"/>
  <c r="X104" i="8" s="1"/>
  <c r="X106" i="8" a="1"/>
  <c r="X106" i="8" s="1"/>
  <c r="Y138" i="8" a="1"/>
  <c r="Y138" i="8" s="1"/>
  <c r="V104" i="8" a="1"/>
  <c r="V104" i="8" s="1"/>
  <c r="Y111" i="8" a="1"/>
  <c r="Y111" i="8" s="1"/>
  <c r="X111" i="8" a="1"/>
  <c r="X111" i="8" s="1"/>
  <c r="Y118" i="8" a="1"/>
  <c r="Y118" i="8" s="1"/>
  <c r="AV104" i="8" a="1"/>
  <c r="AV104" i="8" s="1"/>
  <c r="X115" i="8" a="1"/>
  <c r="X115" i="8" s="1"/>
  <c r="X105" i="8" a="1"/>
  <c r="X105" i="8" s="1"/>
  <c r="Z118" i="8" a="1"/>
  <c r="Z118" i="8" s="1"/>
  <c r="Y117" i="8" a="1"/>
  <c r="Y117" i="8" s="1"/>
  <c r="Y106" i="8" a="1"/>
  <c r="Y106" i="8" s="1"/>
  <c r="X136" i="8" a="1"/>
  <c r="X136" i="8" s="1"/>
  <c r="X102" i="8" a="1"/>
  <c r="X102" i="8" s="1"/>
  <c r="Y131" i="8" a="1"/>
  <c r="Y131" i="8" s="1"/>
  <c r="Y143" i="8" a="1"/>
  <c r="Y143" i="8" s="1"/>
  <c r="Z102" i="8" a="1"/>
  <c r="Z102" i="8" s="1"/>
  <c r="Y104" i="8" a="1"/>
  <c r="Y104" i="8" s="1"/>
  <c r="Y115" i="8" a="1"/>
  <c r="Y115" i="8" s="1"/>
  <c r="Z105" i="8" a="1"/>
  <c r="Z105" i="8" s="1"/>
  <c r="Y136" i="8" a="1"/>
  <c r="Y136" i="8" s="1"/>
  <c r="Z131" i="8" a="1"/>
  <c r="Z131" i="8" s="1"/>
  <c r="Z138" i="8" a="1"/>
  <c r="Z138" i="8" s="1"/>
  <c r="X122" i="8" a="1"/>
  <c r="X122" i="8" s="1"/>
  <c r="Z111" i="8" a="1"/>
  <c r="Z111" i="8" s="1"/>
  <c r="Y122" i="8" a="1"/>
  <c r="Y122" i="8" s="1"/>
  <c r="AA117" i="8" a="1"/>
  <c r="AA117" i="8" s="1"/>
  <c r="Z106" i="8" a="1"/>
  <c r="Z106" i="8" s="1"/>
  <c r="Z143" i="8" a="1"/>
  <c r="Z143" i="8" s="1"/>
  <c r="AB111" i="8" a="1"/>
  <c r="AB111" i="8" s="1"/>
  <c r="AA138" i="8" a="1"/>
  <c r="AA138" i="8" s="1"/>
  <c r="Z117" i="8" a="1"/>
  <c r="Z117" i="8" s="1"/>
  <c r="AA118" i="8" a="1"/>
  <c r="AA118" i="8" s="1"/>
  <c r="AA105" i="8" a="1"/>
  <c r="AA105" i="8" s="1"/>
  <c r="AA129" i="8" a="1"/>
  <c r="AA129" i="8" s="1"/>
  <c r="Z104" i="8" a="1"/>
  <c r="Z104" i="8" s="1"/>
  <c r="Y129" i="8" a="1"/>
  <c r="Y129" i="8" s="1"/>
  <c r="AA136" i="8" a="1"/>
  <c r="AA136" i="8" s="1"/>
  <c r="Z129" i="8" a="1"/>
  <c r="Z129" i="8" s="1"/>
  <c r="AA111" i="8" a="1"/>
  <c r="AA111" i="8" s="1"/>
  <c r="Z136" i="8" a="1"/>
  <c r="Z136" i="8" s="1"/>
  <c r="AB138" i="8" a="1"/>
  <c r="AB138" i="8" s="1"/>
  <c r="AA102" i="8" a="1"/>
  <c r="AA102" i="8" s="1"/>
  <c r="AA115" i="8" a="1"/>
  <c r="AA115" i="8" s="1"/>
  <c r="AB117" i="8" a="1"/>
  <c r="AB117" i="8" s="1"/>
  <c r="Z122" i="8" a="1"/>
  <c r="Z122" i="8" s="1"/>
  <c r="AB131" i="8" a="1"/>
  <c r="AB131" i="8" s="1"/>
  <c r="AB118" i="8" a="1"/>
  <c r="AB118" i="8" s="1"/>
  <c r="AB129" i="8" a="1"/>
  <c r="AB129" i="8" s="1"/>
  <c r="AA131" i="8" a="1"/>
  <c r="AA131" i="8" s="1"/>
  <c r="AA143" i="8" a="1"/>
  <c r="AA143" i="8" s="1"/>
  <c r="AB143" i="8" a="1"/>
  <c r="AB143" i="8" s="1"/>
  <c r="AB106" i="8" a="1"/>
  <c r="AB106" i="8" s="1"/>
  <c r="AB115" i="8" a="1"/>
  <c r="AB115" i="8" s="1"/>
  <c r="Z115" i="8" a="1"/>
  <c r="Z115" i="8" s="1"/>
  <c r="AC111" i="8" a="1"/>
  <c r="AC111" i="8" s="1"/>
  <c r="AC138" i="8" a="1"/>
  <c r="AC138" i="8" s="1"/>
  <c r="AA122" i="8" a="1"/>
  <c r="AA122" i="8" s="1"/>
  <c r="AA106" i="8" a="1"/>
  <c r="AA106" i="8" s="1"/>
  <c r="AC117" i="8" a="1"/>
  <c r="AC117" i="8" s="1"/>
  <c r="AC102" i="8" a="1"/>
  <c r="AC102" i="8" s="1"/>
  <c r="AB105" i="8" a="1"/>
  <c r="AB105" i="8" s="1"/>
  <c r="AC104" i="8" a="1"/>
  <c r="AC104" i="8" s="1"/>
  <c r="AB122" i="8" a="1"/>
  <c r="AB122" i="8" s="1"/>
  <c r="AC143" i="8" a="1"/>
  <c r="AC143" i="8" s="1"/>
  <c r="AB136" i="8" a="1"/>
  <c r="AB136" i="8" s="1"/>
  <c r="AC131" i="8" a="1"/>
  <c r="AC131" i="8" s="1"/>
  <c r="AC106" i="8" a="1"/>
  <c r="AC106" i="8" s="1"/>
  <c r="AB102" i="8" a="1"/>
  <c r="AB102" i="8" s="1"/>
  <c r="AD138" i="8" a="1"/>
  <c r="AD138" i="8" s="1"/>
  <c r="AC105" i="8" a="1"/>
  <c r="AC105" i="8" s="1"/>
  <c r="AD143" i="8" a="1"/>
  <c r="AD143" i="8" s="1"/>
  <c r="AD106" i="8" a="1"/>
  <c r="AD106" i="8" s="1"/>
  <c r="AC115" i="8" a="1"/>
  <c r="AC115" i="8" s="1"/>
  <c r="AC118" i="8" a="1"/>
  <c r="AC118" i="8" s="1"/>
  <c r="AD136" i="8" a="1"/>
  <c r="AD136" i="8" s="1"/>
  <c r="AE102" i="8" a="1"/>
  <c r="AE102" i="8" s="1"/>
  <c r="AA104" i="8" a="1"/>
  <c r="AA104" i="8" s="1"/>
  <c r="AC136" i="8" a="1"/>
  <c r="AC136" i="8" s="1"/>
  <c r="AB104" i="8" a="1"/>
  <c r="AB104" i="8" s="1"/>
  <c r="AD111" i="8" a="1"/>
  <c r="AD111" i="8" s="1"/>
  <c r="AE105" i="8" a="1"/>
  <c r="AE105" i="8" s="1"/>
  <c r="AD131" i="8" a="1"/>
  <c r="AD131" i="8" s="1"/>
  <c r="AD105" i="8" a="1"/>
  <c r="AD105" i="8" s="1"/>
  <c r="AD115" i="8" a="1"/>
  <c r="AD115" i="8" s="1"/>
  <c r="AC129" i="8" a="1"/>
  <c r="AC129" i="8" s="1"/>
  <c r="AE118" i="8" a="1"/>
  <c r="AE118" i="8" s="1"/>
  <c r="AE117" i="8" a="1"/>
  <c r="AE117" i="8" s="1"/>
  <c r="AE131" i="8" a="1"/>
  <c r="AE131" i="8" s="1"/>
  <c r="AD102" i="8" a="1"/>
  <c r="AD102" i="8" s="1"/>
  <c r="AD117" i="8" a="1"/>
  <c r="AD117" i="8" s="1"/>
  <c r="AE138" i="8" a="1"/>
  <c r="AE138" i="8" s="1"/>
  <c r="AD104" i="8" a="1"/>
  <c r="AD104" i="8" s="1"/>
  <c r="AF131" i="8" a="1"/>
  <c r="AF131" i="8" s="1"/>
  <c r="AF106" i="8" a="1"/>
  <c r="AF106" i="8" s="1"/>
  <c r="AF105" i="8" a="1"/>
  <c r="AF105" i="8" s="1"/>
  <c r="AD122" i="8" a="1"/>
  <c r="AD122" i="8" s="1"/>
  <c r="AC122" i="8" a="1"/>
  <c r="AC122" i="8" s="1"/>
  <c r="AE106" i="8" a="1"/>
  <c r="AE106" i="8" s="1"/>
  <c r="AD118" i="8" a="1"/>
  <c r="AD118" i="8" s="1"/>
  <c r="AE111" i="8" a="1"/>
  <c r="AE111" i="8" s="1"/>
  <c r="AE115" i="8" a="1"/>
  <c r="AE115" i="8" s="1"/>
  <c r="AE136" i="8" a="1"/>
  <c r="AE136" i="8" s="1"/>
  <c r="AE104" i="8" a="1"/>
  <c r="AE104" i="8" s="1"/>
  <c r="AF117" i="8" a="1"/>
  <c r="AF117" i="8" s="1"/>
  <c r="AF115" i="8" a="1"/>
  <c r="AF115" i="8" s="1"/>
  <c r="AE122" i="8" a="1"/>
  <c r="AE122" i="8" s="1"/>
  <c r="AF138" i="8" a="1"/>
  <c r="AF138" i="8" s="1"/>
  <c r="AG131" i="8" a="1"/>
  <c r="AG131" i="8" s="1"/>
  <c r="AG106" i="8" a="1"/>
  <c r="AG106" i="8" s="1"/>
  <c r="AF118" i="8" a="1"/>
  <c r="AF118" i="8" s="1"/>
  <c r="AG111" i="8" a="1"/>
  <c r="AG111" i="8" s="1"/>
  <c r="AE143" i="8" a="1"/>
  <c r="AE143" i="8" s="1"/>
  <c r="AF104" i="8" a="1"/>
  <c r="AF104" i="8" s="1"/>
  <c r="AG104" i="8" a="1"/>
  <c r="AG104" i="8" s="1"/>
  <c r="AD129" i="8" a="1"/>
  <c r="AD129" i="8" s="1"/>
  <c r="AF102" i="8" a="1"/>
  <c r="AF102" i="8" s="1"/>
  <c r="AG117" i="8" a="1"/>
  <c r="AG117" i="8" s="1"/>
  <c r="AF111" i="8" a="1"/>
  <c r="AF111" i="8" s="1"/>
  <c r="AG138" i="8" a="1"/>
  <c r="AG138" i="8" s="1"/>
  <c r="AH111" i="8" a="1"/>
  <c r="AH111" i="8" s="1"/>
  <c r="AF129" i="8" a="1"/>
  <c r="AF129" i="8" s="1"/>
  <c r="AH102" i="8" a="1"/>
  <c r="AH102" i="8" s="1"/>
  <c r="AG105" i="8" a="1"/>
  <c r="AG105" i="8" s="1"/>
  <c r="AG118" i="8" a="1"/>
  <c r="AG118" i="8" s="1"/>
  <c r="AE129" i="8" a="1"/>
  <c r="AE129" i="8" s="1"/>
  <c r="AH117" i="8" a="1"/>
  <c r="AH117" i="8" s="1"/>
  <c r="AH104" i="8" a="1"/>
  <c r="AH104" i="8" s="1"/>
  <c r="AF143" i="8" a="1"/>
  <c r="AF143" i="8" s="1"/>
  <c r="AG143" i="8" a="1"/>
  <c r="AG143" i="8" s="1"/>
  <c r="AH115" i="8" a="1"/>
  <c r="AH115" i="8" s="1"/>
  <c r="AG122" i="8" a="1"/>
  <c r="AG122" i="8" s="1"/>
  <c r="AF136" i="8" a="1"/>
  <c r="AF136" i="8" s="1"/>
  <c r="AH118" i="8" a="1"/>
  <c r="AH118" i="8" s="1"/>
  <c r="AH129" i="8" a="1"/>
  <c r="AH129" i="8" s="1"/>
  <c r="AG102" i="8" a="1"/>
  <c r="AG102" i="8" s="1"/>
  <c r="AH131" i="8" a="1"/>
  <c r="AH131" i="8" s="1"/>
  <c r="AF122" i="8" a="1"/>
  <c r="AF122" i="8" s="1"/>
  <c r="AH138" i="8" a="1"/>
  <c r="AH138" i="8" s="1"/>
  <c r="AG115" i="8" a="1"/>
  <c r="AG115" i="8" s="1"/>
  <c r="AH143" i="8" a="1"/>
  <c r="AH143" i="8" s="1"/>
  <c r="AH105" i="8" a="1"/>
  <c r="AH105" i="8" s="1"/>
  <c r="AI102" i="8" a="1"/>
  <c r="AI102" i="8" s="1"/>
  <c r="AG129" i="8" a="1"/>
  <c r="AG129" i="8" s="1"/>
  <c r="AI105" i="8" a="1"/>
  <c r="AI105" i="8" s="1"/>
  <c r="AI111" i="8" a="1"/>
  <c r="AI111" i="8" s="1"/>
  <c r="AH136" i="8" a="1"/>
  <c r="AH136" i="8" s="1"/>
  <c r="AI118" i="8" a="1"/>
  <c r="AI118" i="8" s="1"/>
  <c r="AH106" i="8" a="1"/>
  <c r="AH106" i="8" s="1"/>
  <c r="AG136" i="8" a="1"/>
  <c r="AG136" i="8" s="1"/>
  <c r="AI138" i="8" a="1"/>
  <c r="AI138" i="8" s="1"/>
  <c r="AI117" i="8" a="1"/>
  <c r="AI117" i="8" s="1"/>
  <c r="AI104" i="8" a="1"/>
  <c r="AI104" i="8" s="1"/>
  <c r="AI131" i="8" a="1"/>
  <c r="AI131" i="8" s="1"/>
  <c r="AI136" i="8" a="1"/>
  <c r="AI136" i="8" s="1"/>
  <c r="AH122" i="8" a="1"/>
  <c r="AH122" i="8" s="1"/>
  <c r="AI129" i="8" a="1"/>
  <c r="AI129" i="8" s="1"/>
  <c r="AI106" i="8" a="1"/>
  <c r="AI106" i="8" s="1"/>
  <c r="AI122" i="8" a="1"/>
  <c r="AI122" i="8" s="1"/>
  <c r="AI143" i="8" a="1"/>
  <c r="AI143" i="8" s="1"/>
  <c r="AI115" i="8" a="1"/>
  <c r="AI115" i="8" s="1"/>
  <c r="K105" i="8" a="1"/>
  <c r="K105" i="8" s="1"/>
  <c r="BL91" i="17" a="1"/>
  <c r="BL91" i="17" s="1"/>
  <c r="X91" i="17" s="1"/>
  <c r="BZ91" i="17" a="1"/>
  <c r="BZ91" i="17" s="1"/>
  <c r="AR91" i="17" a="1"/>
  <c r="AR91" i="17" s="1"/>
  <c r="BK91" i="17" a="1"/>
  <c r="BK91" i="17" s="1"/>
  <c r="BA91" i="17" a="1"/>
  <c r="BA91" i="17" s="1"/>
  <c r="BR91" i="17" a="1"/>
  <c r="BR91" i="17" s="1"/>
  <c r="Z91" i="17" s="1"/>
  <c r="CH44" i="12"/>
  <c r="BF62" i="13" s="1"/>
  <c r="AY91" i="17" a="1"/>
  <c r="AY91" i="17" s="1"/>
  <c r="AG91" i="17" a="1"/>
  <c r="AG91" i="17" s="1"/>
  <c r="BZ42" i="17"/>
  <c r="BT91" i="17" a="1"/>
  <c r="BT91" i="17" s="1"/>
  <c r="BF126" i="13"/>
  <c r="BF115" i="13" s="1"/>
  <c r="BV91" i="17" a="1"/>
  <c r="BV91" i="17" s="1"/>
  <c r="AW91" i="17" a="1"/>
  <c r="AW91" i="17" s="1"/>
  <c r="S91" i="17" s="1"/>
  <c r="BU91" i="17" a="1"/>
  <c r="BU91" i="17" s="1"/>
  <c r="AA91" i="17" s="1"/>
  <c r="AF91" i="17" a="1"/>
  <c r="AF91" i="17" s="1"/>
  <c r="BH91" i="17" a="1"/>
  <c r="BH91" i="17" s="1"/>
  <c r="BM91" i="17" a="1"/>
  <c r="BM91" i="17" s="1"/>
  <c r="BD91" i="17" a="1"/>
  <c r="BD91" i="17" s="1"/>
  <c r="AX91" i="17" a="1"/>
  <c r="AX91" i="17" s="1"/>
  <c r="AM91" i="20"/>
  <c r="BH135" i="13"/>
  <c r="CA132" i="8" s="1" a="1"/>
  <c r="CA132" i="8" s="1"/>
  <c r="BE91" i="17" a="1"/>
  <c r="BE91" i="17" s="1"/>
  <c r="BS91" i="17" a="1"/>
  <c r="BS91" i="17" s="1"/>
  <c r="AU91" i="17" a="1"/>
  <c r="AU91" i="17" s="1"/>
  <c r="AL91" i="17" a="1"/>
  <c r="AL91" i="17" s="1"/>
  <c r="BB91" i="17" a="1"/>
  <c r="BB91" i="17" s="1"/>
  <c r="AZ91" i="17" a="1"/>
  <c r="AZ91" i="17" s="1"/>
  <c r="T91" i="17" s="1"/>
  <c r="AN91" i="17" a="1"/>
  <c r="AN91" i="17" s="1"/>
  <c r="P91" i="17" s="1"/>
  <c r="CJ42" i="12"/>
  <c r="BH60" i="13" s="1"/>
  <c r="BU42" i="9" s="1" a="1"/>
  <c r="BU42" i="9" s="1"/>
  <c r="BH116" i="13"/>
  <c r="AM110" i="8" s="1" a="1"/>
  <c r="AM110" i="8" s="1"/>
  <c r="BG118" i="13"/>
  <c r="BG91" i="17" a="1"/>
  <c r="BG91" i="17" s="1"/>
  <c r="BC91" i="17" a="1"/>
  <c r="BC91" i="17" s="1"/>
  <c r="I91" i="17" s="1"/>
  <c r="AP91" i="17" a="1"/>
  <c r="AP91" i="17" s="1"/>
  <c r="AT91" i="17" a="1"/>
  <c r="AT91" i="17" s="1"/>
  <c r="R91" i="17" s="1"/>
  <c r="BN91" i="17" a="1"/>
  <c r="BN91" i="17" s="1"/>
  <c r="CH43" i="12"/>
  <c r="BF61" i="13" s="1"/>
  <c r="BW91" i="17" a="1"/>
  <c r="BW91" i="17" s="1"/>
  <c r="BX91" i="17" a="1"/>
  <c r="BX91" i="17" s="1"/>
  <c r="AB91" i="17" s="1"/>
  <c r="AM91" i="17" a="1"/>
  <c r="AM91" i="17" s="1"/>
  <c r="AI91" i="17" a="1"/>
  <c r="AI91" i="17" s="1"/>
  <c r="BG120" i="13"/>
  <c r="BG119" i="13"/>
  <c r="CK87" i="20"/>
  <c r="BH132" i="13" s="1"/>
  <c r="P128" i="8" s="1" a="1"/>
  <c r="P128" i="8" s="1"/>
  <c r="BH128" i="13"/>
  <c r="K124" i="8" s="1" a="1"/>
  <c r="K124" i="8" s="1"/>
  <c r="AV91" i="17" a="1"/>
  <c r="AV91" i="17" s="1"/>
  <c r="AH91" i="17" a="1"/>
  <c r="AH91" i="17" s="1"/>
  <c r="N91" i="17" s="1"/>
  <c r="CJ82" i="20"/>
  <c r="U91" i="20"/>
  <c r="AM83" i="20"/>
  <c r="U83" i="20"/>
  <c r="CK86" i="20"/>
  <c r="V91" i="17"/>
  <c r="H91" i="17"/>
  <c r="Q91" i="17"/>
  <c r="K91" i="17"/>
  <c r="AC91" i="17"/>
  <c r="O91" i="17"/>
  <c r="Y91" i="17"/>
  <c r="J91" i="17"/>
  <c r="CK111" i="20" a="1"/>
  <c r="CK111" i="20" s="1"/>
  <c r="CK110" i="20"/>
  <c r="CK109" i="20" a="1"/>
  <c r="CK109" i="20" s="1"/>
  <c r="CK85" i="20"/>
  <c r="BH130" i="13" s="1"/>
  <c r="CE126" i="8" s="1" a="1"/>
  <c r="CE126" i="8" s="1"/>
  <c r="AM77" i="20"/>
  <c r="U77" i="20"/>
  <c r="CH114" i="20"/>
  <c r="CJ106" i="20"/>
  <c r="CK60" i="20"/>
  <c r="AM65" i="20"/>
  <c r="U65" i="20"/>
  <c r="U64" i="20"/>
  <c r="AM64" i="20"/>
  <c r="AM63" i="20"/>
  <c r="U63" i="20"/>
  <c r="AM62" i="20"/>
  <c r="U62" i="20"/>
  <c r="CI89" i="20"/>
  <c r="CI75" i="20"/>
  <c r="CJ78" i="20"/>
  <c r="BG124" i="13" s="1"/>
  <c r="CJ79" i="20"/>
  <c r="BG125" i="13" s="1"/>
  <c r="CJ80" i="20"/>
  <c r="BG126" i="13" s="1"/>
  <c r="CJ92" i="20"/>
  <c r="BG136" i="13" s="1"/>
  <c r="CJ93" i="20"/>
  <c r="BG137" i="13" s="1"/>
  <c r="CJ94" i="20"/>
  <c r="BG138" i="13" s="1"/>
  <c r="AM88" i="20"/>
  <c r="U88" i="20"/>
  <c r="AM102" i="20"/>
  <c r="U102" i="20"/>
  <c r="AM95" i="20"/>
  <c r="U95" i="20"/>
  <c r="U81" i="20"/>
  <c r="AM81" i="20"/>
  <c r="CJ68" i="20"/>
  <c r="CK115" i="20"/>
  <c r="CK72" i="20"/>
  <c r="CK73" i="20"/>
  <c r="CK71" i="20"/>
  <c r="CA125" i="16"/>
  <c r="BE10" i="16"/>
  <c r="BE10" i="15"/>
  <c r="BH103" i="8" l="1" a="1"/>
  <c r="BH103" i="8" s="1"/>
  <c r="AH92" i="17" a="1"/>
  <c r="AH92" i="17" s="1"/>
  <c r="N92" i="17" s="1"/>
  <c r="BM92" i="17" a="1"/>
  <c r="BM92" i="17" s="1"/>
  <c r="AT92" i="17" a="1"/>
  <c r="AT92" i="17" s="1"/>
  <c r="R92" i="17" s="1"/>
  <c r="BS92" i="17" a="1"/>
  <c r="BS92" i="17" s="1"/>
  <c r="AI92" i="17" a="1"/>
  <c r="AI92" i="17" s="1"/>
  <c r="AR92" i="17" a="1"/>
  <c r="AR92" i="17" s="1"/>
  <c r="BI92" i="17" a="1"/>
  <c r="BI92" i="17" s="1"/>
  <c r="W92" i="17" s="1"/>
  <c r="BN92" i="17" a="1"/>
  <c r="BN92" i="17" s="1"/>
  <c r="BJ92" i="17" a="1"/>
  <c r="BJ92" i="17" s="1"/>
  <c r="BJ43" i="17" s="1"/>
  <c r="BJ94" i="17" s="1"/>
  <c r="BJ30" i="17" s="1"/>
  <c r="BJ119" i="17" s="1"/>
  <c r="AK92" i="17" a="1"/>
  <c r="AK92" i="17" s="1"/>
  <c r="O92" i="17" s="1"/>
  <c r="BP92" i="17" a="1"/>
  <c r="BP92" i="17" s="1"/>
  <c r="BP43" i="17" s="1"/>
  <c r="BP94" i="17" s="1"/>
  <c r="BP30" i="17" s="1"/>
  <c r="BR92" i="17" a="1"/>
  <c r="BR92" i="17" s="1"/>
  <c r="Z92" i="17" s="1"/>
  <c r="AO92" i="17" a="1"/>
  <c r="AO92" i="17" s="1"/>
  <c r="AO43" i="17" s="1"/>
  <c r="AO94" i="17" s="1"/>
  <c r="AO30" i="17" s="1"/>
  <c r="AO119" i="17" s="1"/>
  <c r="AO122" i="17" s="1"/>
  <c r="BX92" i="17" a="1"/>
  <c r="BX92" i="17" s="1"/>
  <c r="AB92" i="17" s="1"/>
  <c r="AG92" i="17" a="1"/>
  <c r="AG92" i="17" s="1"/>
  <c r="AG43" i="17" s="1"/>
  <c r="AG94" i="17" s="1"/>
  <c r="AG30" i="17" s="1"/>
  <c r="AG119" i="17" s="1"/>
  <c r="AG121" i="17" s="1"/>
  <c r="BL92" i="17" a="1"/>
  <c r="BL92" i="17" s="1"/>
  <c r="X92" i="17" s="1"/>
  <c r="BC92" i="17" a="1"/>
  <c r="BC92" i="17" s="1"/>
  <c r="I92" i="17" s="1"/>
  <c r="BW92" i="17" a="1"/>
  <c r="BW92" i="17" s="1"/>
  <c r="BG92" i="17" a="1"/>
  <c r="BG92" i="17" s="1"/>
  <c r="AZ92" i="17" a="1"/>
  <c r="AZ92" i="17" s="1"/>
  <c r="T92" i="17" s="1"/>
  <c r="AM92" i="17" a="1"/>
  <c r="AM92" i="17" s="1"/>
  <c r="AM43" i="17" s="1"/>
  <c r="AM94" i="17" s="1"/>
  <c r="AM30" i="17" s="1"/>
  <c r="AM119" i="17" s="1"/>
  <c r="AM120" i="17" s="1"/>
  <c r="BU92" i="17" a="1"/>
  <c r="BU92" i="17" s="1"/>
  <c r="AA92" i="17" s="1"/>
  <c r="BB92" i="17" a="1"/>
  <c r="BB92" i="17" s="1"/>
  <c r="AW92" i="17" a="1"/>
  <c r="AW92" i="17" s="1"/>
  <c r="S92" i="17" s="1"/>
  <c r="CA42" i="17"/>
  <c r="V103" i="8" a="1"/>
  <c r="V103" i="8" s="1"/>
  <c r="BI103" i="8" a="1"/>
  <c r="BI103" i="8" s="1"/>
  <c r="BI101" i="8" s="1"/>
  <c r="CB103" i="8" a="1"/>
  <c r="CB103" i="8" s="1"/>
  <c r="CB101" i="8" s="1"/>
  <c r="AG103" i="8" a="1"/>
  <c r="AG103" i="8" s="1"/>
  <c r="AG101" i="8" s="1"/>
  <c r="BD92" i="17" a="1"/>
  <c r="BD92" i="17" s="1"/>
  <c r="BD43" i="17" s="1"/>
  <c r="BD94" i="17" s="1"/>
  <c r="BD30" i="17" s="1"/>
  <c r="BD119" i="17" s="1"/>
  <c r="BD121" i="17" s="1"/>
  <c r="BY92" i="17" a="1"/>
  <c r="BY92" i="17" s="1"/>
  <c r="BY43" i="17" s="1"/>
  <c r="BY94" i="17" s="1"/>
  <c r="BY30" i="17" s="1"/>
  <c r="AV92" i="17" a="1"/>
  <c r="AV92" i="17" s="1"/>
  <c r="AV43" i="17" s="1"/>
  <c r="AV94" i="17" s="1"/>
  <c r="AV30" i="17" s="1"/>
  <c r="AV119" i="17" s="1"/>
  <c r="AV121" i="17" s="1"/>
  <c r="BO92" i="17" a="1"/>
  <c r="BO92" i="17" s="1"/>
  <c r="BO43" i="17" s="1"/>
  <c r="J43" i="17" s="1"/>
  <c r="BT92" i="17" a="1"/>
  <c r="BT92" i="17" s="1"/>
  <c r="AL92" i="17" a="1"/>
  <c r="AL92" i="17" s="1"/>
  <c r="AL43" i="17" s="1"/>
  <c r="AL94" i="17" s="1"/>
  <c r="AL30" i="17" s="1"/>
  <c r="AL119" i="17" s="1"/>
  <c r="AL122" i="17" s="1"/>
  <c r="AJ92" i="17" a="1"/>
  <c r="AJ92" i="17" s="1"/>
  <c r="AJ43" i="17" s="1"/>
  <c r="AJ94" i="17" s="1"/>
  <c r="AJ30" i="17" s="1"/>
  <c r="AJ119" i="17" s="1"/>
  <c r="AJ120" i="17" s="1"/>
  <c r="BF92" i="17" a="1"/>
  <c r="BF92" i="17" s="1"/>
  <c r="V92" i="17" s="1"/>
  <c r="AS92" i="17" a="1"/>
  <c r="AS92" i="17" s="1"/>
  <c r="AS43" i="17" s="1"/>
  <c r="AS94" i="17" s="1"/>
  <c r="AS30" i="17" s="1"/>
  <c r="AS119" i="17" s="1"/>
  <c r="AS120" i="17" s="1"/>
  <c r="AF92" i="17" a="1"/>
  <c r="AF92" i="17" s="1"/>
  <c r="AF43" i="17" s="1"/>
  <c r="AF94" i="17" s="1"/>
  <c r="AF30" i="17" s="1"/>
  <c r="AF119" i="17" s="1"/>
  <c r="BE92" i="17" a="1"/>
  <c r="BE92" i="17" s="1"/>
  <c r="BE43" i="17" s="1"/>
  <c r="BE94" i="17" s="1"/>
  <c r="BE30" i="17" s="1"/>
  <c r="BE119" i="17" s="1"/>
  <c r="BE120" i="17" s="1"/>
  <c r="AU92" i="17" a="1"/>
  <c r="AU92" i="17" s="1"/>
  <c r="AU43" i="17" s="1"/>
  <c r="AU94" i="17" s="1"/>
  <c r="AU30" i="17" s="1"/>
  <c r="AU119" i="17" s="1"/>
  <c r="AU121" i="17" s="1"/>
  <c r="AN92" i="17" a="1"/>
  <c r="AN92" i="17" s="1"/>
  <c r="P92" i="17" s="1"/>
  <c r="BA92" i="17" a="1"/>
  <c r="BA92" i="17" s="1"/>
  <c r="BA43" i="17" s="1"/>
  <c r="BA94" i="17" s="1"/>
  <c r="BA30" i="17" s="1"/>
  <c r="BA119" i="17" s="1"/>
  <c r="BA122" i="17" s="1"/>
  <c r="BK92" i="17" a="1"/>
  <c r="BK92" i="17" s="1"/>
  <c r="BK43" i="17" s="1"/>
  <c r="BK94" i="17" s="1"/>
  <c r="BK30" i="17" s="1"/>
  <c r="BK119" i="17" s="1"/>
  <c r="BV92" i="17" a="1"/>
  <c r="BV92" i="17" s="1"/>
  <c r="BV43" i="17" s="1"/>
  <c r="BV94" i="17" s="1"/>
  <c r="BV30" i="17" s="1"/>
  <c r="BH92" i="17" a="1"/>
  <c r="BH92" i="17" s="1"/>
  <c r="BH43" i="17" s="1"/>
  <c r="BH94" i="17" s="1"/>
  <c r="BH30" i="17" s="1"/>
  <c r="BH119" i="17" s="1"/>
  <c r="BH121" i="17" s="1"/>
  <c r="AY92" i="17" a="1"/>
  <c r="AY92" i="17" s="1"/>
  <c r="AY43" i="17" s="1"/>
  <c r="AY94" i="17" s="1"/>
  <c r="AY30" i="17" s="1"/>
  <c r="AY119" i="17" s="1"/>
  <c r="AY121" i="17" s="1"/>
  <c r="BQ92" i="17" a="1"/>
  <c r="BQ92" i="17" s="1"/>
  <c r="BQ43" i="17" s="1"/>
  <c r="BQ94" i="17" s="1"/>
  <c r="BQ30" i="17" s="1"/>
  <c r="CA92" i="17" a="1"/>
  <c r="CA92" i="17" s="1"/>
  <c r="CA43" i="17" s="1"/>
  <c r="AQ92" i="17" a="1"/>
  <c r="AQ92" i="17" s="1"/>
  <c r="BZ92" i="17" a="1"/>
  <c r="BZ92" i="17" s="1"/>
  <c r="BZ43" i="17" s="1"/>
  <c r="BZ94" i="17" s="1"/>
  <c r="BZ30" i="17" s="1"/>
  <c r="AX92" i="17" a="1"/>
  <c r="AX92" i="17" s="1"/>
  <c r="AX43" i="17" s="1"/>
  <c r="AX94" i="17" s="1"/>
  <c r="AX30" i="17" s="1"/>
  <c r="AX119" i="17" s="1"/>
  <c r="AX121" i="17" s="1"/>
  <c r="BL103" i="8" a="1"/>
  <c r="BL103" i="8" s="1"/>
  <c r="BL101" i="8" s="1"/>
  <c r="BV103" i="8" a="1"/>
  <c r="BV103" i="8" s="1"/>
  <c r="BV101" i="8" s="1"/>
  <c r="AA103" i="8" a="1"/>
  <c r="AA103" i="8" s="1"/>
  <c r="AA101" i="8" s="1"/>
  <c r="AL103" i="8" a="1"/>
  <c r="AL103" i="8" s="1"/>
  <c r="AL101" i="8" s="1"/>
  <c r="BS103" i="8" a="1"/>
  <c r="BS103" i="8" s="1"/>
  <c r="BS101" i="8" s="1"/>
  <c r="AS103" i="8" a="1"/>
  <c r="AS103" i="8" s="1"/>
  <c r="BZ103" i="8" a="1"/>
  <c r="BZ103" i="8" s="1"/>
  <c r="BZ101" i="8" s="1"/>
  <c r="BK103" i="8" a="1"/>
  <c r="BK103" i="8" s="1"/>
  <c r="BK101" i="8" s="1"/>
  <c r="BX103" i="8" a="1"/>
  <c r="BX103" i="8" s="1"/>
  <c r="BX101" i="8" s="1"/>
  <c r="K103" i="8" a="1"/>
  <c r="K103" i="8" s="1"/>
  <c r="K101" i="8" s="1"/>
  <c r="BR103" i="8" a="1"/>
  <c r="BR103" i="8" s="1"/>
  <c r="BR101" i="8" s="1"/>
  <c r="BU103" i="8" a="1"/>
  <c r="BU103" i="8" s="1"/>
  <c r="AD103" i="8" a="1"/>
  <c r="AD103" i="8" s="1"/>
  <c r="AD101" i="8" s="1"/>
  <c r="X103" i="8" a="1"/>
  <c r="X103" i="8" s="1"/>
  <c r="X101" i="8" s="1"/>
  <c r="BE103" i="8" a="1"/>
  <c r="BE103" i="8" s="1"/>
  <c r="BE101" i="8" s="1"/>
  <c r="BB103" i="8" a="1"/>
  <c r="BB103" i="8" s="1"/>
  <c r="BB101" i="8" s="1"/>
  <c r="BJ103" i="8" a="1"/>
  <c r="BJ103" i="8" s="1"/>
  <c r="BJ101" i="8" s="1"/>
  <c r="CG103" i="8" a="1"/>
  <c r="CG103" i="8" s="1"/>
  <c r="CG101" i="8" s="1"/>
  <c r="Z103" i="8" a="1"/>
  <c r="Z103" i="8" s="1"/>
  <c r="Z101" i="8" s="1"/>
  <c r="AF103" i="8" a="1"/>
  <c r="AF103" i="8" s="1"/>
  <c r="AE103" i="8" a="1"/>
  <c r="AE103" i="8" s="1"/>
  <c r="AE101" i="8" s="1"/>
  <c r="BH108" i="13"/>
  <c r="AI103" i="8" a="1"/>
  <c r="AI103" i="8" s="1"/>
  <c r="AI101" i="8" s="1"/>
  <c r="AN103" i="8" a="1"/>
  <c r="AN103" i="8" s="1"/>
  <c r="AN101" i="8" s="1"/>
  <c r="T103" i="8" a="1"/>
  <c r="T103" i="8" s="1"/>
  <c r="T101" i="8" s="1"/>
  <c r="CC103" i="8" a="1"/>
  <c r="CC103" i="8" s="1"/>
  <c r="CC101" i="8" s="1"/>
  <c r="AO103" i="8" a="1"/>
  <c r="AO103" i="8" s="1"/>
  <c r="AO101" i="8" s="1"/>
  <c r="AM103" i="8" a="1"/>
  <c r="AM103" i="8" s="1"/>
  <c r="J103" i="8" a="1"/>
  <c r="J103" i="8" s="1"/>
  <c r="Q103" i="8" a="1"/>
  <c r="Q103" i="8" s="1"/>
  <c r="Q101" i="8" s="1"/>
  <c r="BM103" i="8" a="1"/>
  <c r="BM103" i="8" s="1"/>
  <c r="AT103" i="8" a="1"/>
  <c r="AT103" i="8" s="1"/>
  <c r="AT101" i="8" s="1"/>
  <c r="CE103" i="8" a="1"/>
  <c r="CE103" i="8" s="1"/>
  <c r="CE101" i="8" s="1"/>
  <c r="BY103" i="8" a="1"/>
  <c r="BY103" i="8" s="1"/>
  <c r="BY101" i="8" s="1"/>
  <c r="AV103" i="8" a="1"/>
  <c r="AV103" i="8" s="1"/>
  <c r="AV101" i="8" s="1"/>
  <c r="BT103" i="8" a="1"/>
  <c r="BT103" i="8" s="1"/>
  <c r="AY103" i="8" a="1"/>
  <c r="AY103" i="8" s="1"/>
  <c r="AY101" i="8" s="1"/>
  <c r="AW103" i="8" a="1"/>
  <c r="AW103" i="8" s="1"/>
  <c r="AW101" i="8" s="1"/>
  <c r="AQ103" i="8" a="1"/>
  <c r="AQ103" i="8" s="1"/>
  <c r="AQ101" i="8" s="1"/>
  <c r="AZ103" i="8" a="1"/>
  <c r="AZ103" i="8" s="1"/>
  <c r="AZ101" i="8" s="1"/>
  <c r="CD103" i="8" a="1"/>
  <c r="CD103" i="8" s="1"/>
  <c r="CD101" i="8" s="1"/>
  <c r="AH103" i="8" a="1"/>
  <c r="AH103" i="8" s="1"/>
  <c r="AH101" i="8" s="1"/>
  <c r="AC103" i="8" a="1"/>
  <c r="AC103" i="8" s="1"/>
  <c r="AC101" i="8" s="1"/>
  <c r="Y103" i="8" a="1"/>
  <c r="Y103" i="8" s="1"/>
  <c r="O103" i="8" a="1"/>
  <c r="O103" i="8" s="1"/>
  <c r="O101" i="8" s="1"/>
  <c r="AP103" i="8" a="1"/>
  <c r="AP103" i="8" s="1"/>
  <c r="AP101" i="8" s="1"/>
  <c r="BW103" i="8" a="1"/>
  <c r="BW103" i="8" s="1"/>
  <c r="BA103" i="8" a="1"/>
  <c r="BA103" i="8" s="1"/>
  <c r="BA101" i="8" s="1"/>
  <c r="P103" i="8" a="1"/>
  <c r="P103" i="8" s="1"/>
  <c r="P101" i="8" s="1"/>
  <c r="CA103" i="8" a="1"/>
  <c r="CA103" i="8" s="1"/>
  <c r="CA101" i="8" s="1"/>
  <c r="AB103" i="8" a="1"/>
  <c r="AB103" i="8" s="1"/>
  <c r="AB101" i="8" s="1"/>
  <c r="W103" i="8" a="1"/>
  <c r="W103" i="8" s="1"/>
  <c r="AU103" i="8" a="1"/>
  <c r="AU103" i="8" s="1"/>
  <c r="AU101" i="8" s="1"/>
  <c r="BF103" i="8" a="1"/>
  <c r="BF103" i="8" s="1"/>
  <c r="BF101" i="8" s="1"/>
  <c r="N103" i="8" a="1"/>
  <c r="N103" i="8" s="1"/>
  <c r="N101" i="8" s="1"/>
  <c r="AX103" i="8" a="1"/>
  <c r="AX103" i="8" s="1"/>
  <c r="AX101" i="8" s="1"/>
  <c r="BC103" i="8" a="1"/>
  <c r="BC103" i="8" s="1"/>
  <c r="BC101" i="8" s="1"/>
  <c r="CF103" i="8" a="1"/>
  <c r="CF103" i="8" s="1"/>
  <c r="CF101" i="8" s="1"/>
  <c r="BO103" i="8" a="1"/>
  <c r="BO103" i="8" s="1"/>
  <c r="BO101" i="8" s="1"/>
  <c r="AR103" i="8" a="1"/>
  <c r="AR103" i="8" s="1"/>
  <c r="BQ103" i="8" a="1"/>
  <c r="BQ103" i="8" s="1"/>
  <c r="BQ101" i="8" s="1"/>
  <c r="BN103" i="8" a="1"/>
  <c r="BN103" i="8" s="1"/>
  <c r="BN101" i="8" s="1"/>
  <c r="BG103" i="8" a="1"/>
  <c r="BG103" i="8" s="1"/>
  <c r="BD103" i="8" a="1"/>
  <c r="BD103" i="8" s="1"/>
  <c r="BD101" i="8" s="1"/>
  <c r="BP103" i="8" a="1"/>
  <c r="BP103" i="8" s="1"/>
  <c r="BP101" i="8" s="1"/>
  <c r="AI110" i="8" a="1"/>
  <c r="AI110" i="8" s="1"/>
  <c r="AR43" i="17"/>
  <c r="AR94" i="17" s="1"/>
  <c r="AR30" i="17" s="1"/>
  <c r="AR119" i="17" s="1"/>
  <c r="AR120" i="17" s="1"/>
  <c r="BW43" i="17"/>
  <c r="BW94" i="17" s="1"/>
  <c r="BW30" i="17" s="1"/>
  <c r="U91" i="17"/>
  <c r="BM43" i="17"/>
  <c r="BM94" i="17" s="1"/>
  <c r="BM30" i="17" s="1"/>
  <c r="BM119" i="17" s="1"/>
  <c r="BM121" i="17" s="1"/>
  <c r="AG128" i="8" a="1"/>
  <c r="AG128" i="8" s="1"/>
  <c r="AF126" i="8" a="1"/>
  <c r="AF126" i="8" s="1"/>
  <c r="AH110" i="8" a="1"/>
  <c r="AH110" i="8" s="1"/>
  <c r="AG110" i="8" a="1"/>
  <c r="AG110" i="8" s="1"/>
  <c r="AF110" i="8" a="1"/>
  <c r="AF110" i="8" s="1"/>
  <c r="CF110" i="8" a="1"/>
  <c r="CF110" i="8" s="1"/>
  <c r="BW110" i="8" a="1"/>
  <c r="BW110" i="8" s="1"/>
  <c r="N128" i="8" a="1"/>
  <c r="N128" i="8" s="1"/>
  <c r="AZ126" i="8" a="1"/>
  <c r="AZ126" i="8" s="1"/>
  <c r="AC126" i="8" a="1"/>
  <c r="AC126" i="8" s="1"/>
  <c r="W126" i="8" a="1"/>
  <c r="W126" i="8" s="1"/>
  <c r="BI110" i="8" a="1"/>
  <c r="BI110" i="8" s="1"/>
  <c r="AU132" i="8" a="1"/>
  <c r="AU132" i="8" s="1"/>
  <c r="AM87" i="20"/>
  <c r="U87" i="20"/>
  <c r="AI124" i="8" a="1"/>
  <c r="AI124" i="8" s="1"/>
  <c r="BE124" i="8" a="1"/>
  <c r="BE124" i="8" s="1"/>
  <c r="AD124" i="8" a="1"/>
  <c r="AD124" i="8" s="1"/>
  <c r="AN132" i="8" a="1"/>
  <c r="AN132" i="8" s="1"/>
  <c r="BG128" i="8" a="1"/>
  <c r="BG128" i="8" s="1"/>
  <c r="BR128" i="8" a="1"/>
  <c r="BR128" i="8" s="1"/>
  <c r="BY132" i="8" a="1"/>
  <c r="BY132" i="8" s="1"/>
  <c r="BE132" i="8" a="1"/>
  <c r="BE132" i="8" s="1"/>
  <c r="AU124" i="8" a="1"/>
  <c r="AU124" i="8" s="1"/>
  <c r="K110" i="8" a="1"/>
  <c r="K110" i="8" s="1"/>
  <c r="BB110" i="8" a="1"/>
  <c r="BB110" i="8" s="1"/>
  <c r="AC124" i="8" a="1"/>
  <c r="AC124" i="8" s="1"/>
  <c r="CG132" i="8" a="1"/>
  <c r="CG132" i="8" s="1"/>
  <c r="BP110" i="8" a="1"/>
  <c r="BP110" i="8" s="1"/>
  <c r="AX132" i="8" a="1"/>
  <c r="AX132" i="8" s="1"/>
  <c r="AI128" i="8" a="1"/>
  <c r="AI128" i="8" s="1"/>
  <c r="BD124" i="8" a="1"/>
  <c r="BD124" i="8" s="1"/>
  <c r="Q124" i="8" a="1"/>
  <c r="Q124" i="8" s="1"/>
  <c r="U124" i="8" a="1"/>
  <c r="U124" i="8" s="1"/>
  <c r="BC43" i="17"/>
  <c r="I43" i="17" s="1"/>
  <c r="BS43" i="17"/>
  <c r="BS94" i="17" s="1"/>
  <c r="BS30" i="17" s="1"/>
  <c r="AE124" i="8" a="1"/>
  <c r="AE124" i="8" s="1"/>
  <c r="AA110" i="8" a="1"/>
  <c r="AA110" i="8" s="1"/>
  <c r="AO132" i="8" a="1"/>
  <c r="AO132" i="8" s="1"/>
  <c r="BA132" i="8" a="1"/>
  <c r="BA132" i="8" s="1"/>
  <c r="BR132" i="8" a="1"/>
  <c r="BR132" i="8" s="1"/>
  <c r="BB126" i="8" a="1"/>
  <c r="BB126" i="8" s="1"/>
  <c r="AM86" i="20"/>
  <c r="BH131" i="13"/>
  <c r="BH118" i="13"/>
  <c r="AG112" i="8" s="1" a="1"/>
  <c r="AG112" i="8" s="1"/>
  <c r="AI132" i="8" a="1"/>
  <c r="AI132" i="8" s="1"/>
  <c r="BC128" i="8" a="1"/>
  <c r="BC128" i="8" s="1"/>
  <c r="BI128" i="8" a="1"/>
  <c r="BI128" i="8" s="1"/>
  <c r="AL132" i="8" a="1"/>
  <c r="AL132" i="8" s="1"/>
  <c r="BH120" i="13"/>
  <c r="AH114" i="8" s="1" a="1"/>
  <c r="AH114" i="8" s="1"/>
  <c r="BB43" i="17"/>
  <c r="BB94" i="17" s="1"/>
  <c r="BB30" i="17" s="1"/>
  <c r="BB119" i="17" s="1"/>
  <c r="BB122" i="17" s="1"/>
  <c r="AH126" i="8" a="1"/>
  <c r="AH126" i="8" s="1"/>
  <c r="AE128" i="8" a="1"/>
  <c r="AE128" i="8" s="1"/>
  <c r="AC132" i="8" a="1"/>
  <c r="AC132" i="8" s="1"/>
  <c r="Z126" i="8" a="1"/>
  <c r="Z126" i="8" s="1"/>
  <c r="Y110" i="8" a="1"/>
  <c r="Y110" i="8" s="1"/>
  <c r="AL124" i="8" a="1"/>
  <c r="AL124" i="8" s="1"/>
  <c r="BS126" i="8" a="1"/>
  <c r="BS126" i="8" s="1"/>
  <c r="BA126" i="8" a="1"/>
  <c r="BA126" i="8" s="1"/>
  <c r="BC110" i="8" a="1"/>
  <c r="BC110" i="8" s="1"/>
  <c r="BF132" i="8" a="1"/>
  <c r="BF132" i="8" s="1"/>
  <c r="Z132" i="8" a="1"/>
  <c r="Z132" i="8" s="1"/>
  <c r="CD132" i="8" a="1"/>
  <c r="CD132" i="8" s="1"/>
  <c r="BC132" i="8" a="1"/>
  <c r="BC132" i="8" s="1"/>
  <c r="BO132" i="8" a="1"/>
  <c r="BO132" i="8" s="1"/>
  <c r="BL132" i="8" a="1"/>
  <c r="BL132" i="8" s="1"/>
  <c r="BK132" i="8" a="1"/>
  <c r="BK132" i="8" s="1"/>
  <c r="BT132" i="8" a="1"/>
  <c r="BT132" i="8" s="1"/>
  <c r="BB132" i="8" a="1"/>
  <c r="BB132" i="8" s="1"/>
  <c r="AZ132" i="8" a="1"/>
  <c r="AZ132" i="8" s="1"/>
  <c r="CB132" i="8" a="1"/>
  <c r="CB132" i="8" s="1"/>
  <c r="AT132" i="8" a="1"/>
  <c r="AT132" i="8" s="1"/>
  <c r="X132" i="8" a="1"/>
  <c r="X132" i="8" s="1"/>
  <c r="U132" i="8" a="1"/>
  <c r="U132" i="8" s="1"/>
  <c r="T132" i="8" a="1"/>
  <c r="T132" i="8" s="1"/>
  <c r="V132" i="8" a="1"/>
  <c r="V132" i="8" s="1"/>
  <c r="BH132" i="8" a="1"/>
  <c r="BH132" i="8" s="1"/>
  <c r="O132" i="8" a="1"/>
  <c r="O132" i="8" s="1"/>
  <c r="BW132" i="8" a="1"/>
  <c r="BW132" i="8" s="1"/>
  <c r="BP132" i="8" a="1"/>
  <c r="BP132" i="8" s="1"/>
  <c r="BU132" i="8" a="1"/>
  <c r="BU132" i="8" s="1"/>
  <c r="BZ132" i="8" a="1"/>
  <c r="BZ132" i="8" s="1"/>
  <c r="AV132" i="8" a="1"/>
  <c r="AV132" i="8" s="1"/>
  <c r="AP132" i="8" a="1"/>
  <c r="AP132" i="8" s="1"/>
  <c r="AW132" i="8" a="1"/>
  <c r="AW132" i="8" s="1"/>
  <c r="BI132" i="8" a="1"/>
  <c r="BI132" i="8" s="1"/>
  <c r="AE132" i="8" a="1"/>
  <c r="AE132" i="8" s="1"/>
  <c r="AY132" i="8" a="1"/>
  <c r="AY132" i="8" s="1"/>
  <c r="BX132" i="8" a="1"/>
  <c r="BX132" i="8" s="1"/>
  <c r="Q132" i="8" a="1"/>
  <c r="Q132" i="8" s="1"/>
  <c r="P132" i="8" a="1"/>
  <c r="P132" i="8" s="1"/>
  <c r="BJ132" i="8" a="1"/>
  <c r="BJ132" i="8" s="1"/>
  <c r="BQ132" i="8" a="1"/>
  <c r="BQ132" i="8" s="1"/>
  <c r="AR132" i="8" a="1"/>
  <c r="AR132" i="8" s="1"/>
  <c r="BN132" i="8" a="1"/>
  <c r="BN132" i="8" s="1"/>
  <c r="BD132" i="8" a="1"/>
  <c r="BD132" i="8" s="1"/>
  <c r="BS132" i="8" a="1"/>
  <c r="BS132" i="8" s="1"/>
  <c r="W132" i="8" a="1"/>
  <c r="W132" i="8" s="1"/>
  <c r="BM132" i="8" a="1"/>
  <c r="BM132" i="8" s="1"/>
  <c r="AQ132" i="8" a="1"/>
  <c r="AQ132" i="8" s="1"/>
  <c r="BG132" i="8" a="1"/>
  <c r="BG132" i="8" s="1"/>
  <c r="N132" i="8" a="1"/>
  <c r="N132" i="8" s="1"/>
  <c r="J132" i="8" a="1"/>
  <c r="J132" i="8" s="1"/>
  <c r="AM132" i="8" a="1"/>
  <c r="AM132" i="8" s="1"/>
  <c r="AF132" i="8" a="1"/>
  <c r="AF132" i="8" s="1"/>
  <c r="CC132" i="8" a="1"/>
  <c r="CC132" i="8" s="1"/>
  <c r="AA132" i="8" a="1"/>
  <c r="AA132" i="8" s="1"/>
  <c r="BX124" i="8" a="1"/>
  <c r="BX124" i="8" s="1"/>
  <c r="BO126" i="8" a="1"/>
  <c r="BO126" i="8" s="1"/>
  <c r="AG126" i="8" a="1"/>
  <c r="AG126" i="8" s="1"/>
  <c r="AA124" i="8" a="1"/>
  <c r="AA124" i="8" s="1"/>
  <c r="Y126" i="8" a="1"/>
  <c r="Y126" i="8" s="1"/>
  <c r="Y132" i="8" a="1"/>
  <c r="Y132" i="8" s="1"/>
  <c r="AZ124" i="8" a="1"/>
  <c r="AZ124" i="8" s="1"/>
  <c r="V124" i="8" a="1"/>
  <c r="V124" i="8" s="1"/>
  <c r="BH119" i="13"/>
  <c r="BU113" i="8" s="1" a="1"/>
  <c r="BU113" i="8" s="1"/>
  <c r="AB126" i="8" a="1"/>
  <c r="AB126" i="8" s="1"/>
  <c r="BR124" i="8" a="1"/>
  <c r="BR124" i="8" s="1"/>
  <c r="CD124" i="8" a="1"/>
  <c r="CD124" i="8" s="1"/>
  <c r="BU110" i="8" a="1"/>
  <c r="BU110" i="8" s="1"/>
  <c r="BF128" i="8" a="1"/>
  <c r="BF128" i="8" s="1"/>
  <c r="BG115" i="13"/>
  <c r="AD132" i="8" a="1"/>
  <c r="AD132" i="8" s="1"/>
  <c r="CC124" i="8" a="1"/>
  <c r="CC124" i="8" s="1"/>
  <c r="CF132" i="8" a="1"/>
  <c r="CF132" i="8" s="1"/>
  <c r="BH101" i="8"/>
  <c r="BN43" i="17"/>
  <c r="BN94" i="17" s="1"/>
  <c r="BN30" i="17" s="1"/>
  <c r="AE110" i="8" a="1"/>
  <c r="AE110" i="8" s="1"/>
  <c r="BG124" i="8" a="1"/>
  <c r="BG124" i="8" s="1"/>
  <c r="AY124" i="8" a="1"/>
  <c r="AY124" i="8" s="1"/>
  <c r="BB128" i="8" a="1"/>
  <c r="BB128" i="8" s="1"/>
  <c r="BV132" i="8" a="1"/>
  <c r="BV132" i="8" s="1"/>
  <c r="U110" i="8" a="1"/>
  <c r="U110" i="8" s="1"/>
  <c r="BL110" i="8" a="1"/>
  <c r="BL110" i="8" s="1"/>
  <c r="CE132" i="8" a="1"/>
  <c r="CE132" i="8" s="1"/>
  <c r="AM126" i="8" a="1"/>
  <c r="AM126" i="8" s="1"/>
  <c r="BL126" i="8" a="1"/>
  <c r="BL126" i="8" s="1"/>
  <c r="K126" i="8" a="1"/>
  <c r="K126" i="8" s="1"/>
  <c r="BX126" i="8" a="1"/>
  <c r="BX126" i="8" s="1"/>
  <c r="BQ126" i="8" a="1"/>
  <c r="BQ126" i="8" s="1"/>
  <c r="N126" i="8" a="1"/>
  <c r="N126" i="8" s="1"/>
  <c r="J126" i="8" a="1"/>
  <c r="J126" i="8" s="1"/>
  <c r="BD126" i="8" a="1"/>
  <c r="BD126" i="8" s="1"/>
  <c r="AT126" i="8" a="1"/>
  <c r="AT126" i="8" s="1"/>
  <c r="V126" i="8" a="1"/>
  <c r="V126" i="8" s="1"/>
  <c r="BE126" i="8" a="1"/>
  <c r="BE126" i="8" s="1"/>
  <c r="AO126" i="8" a="1"/>
  <c r="AO126" i="8" s="1"/>
  <c r="BH126" i="8" a="1"/>
  <c r="BH126" i="8" s="1"/>
  <c r="BM126" i="8" a="1"/>
  <c r="BM126" i="8" s="1"/>
  <c r="BU126" i="8" a="1"/>
  <c r="BU126" i="8" s="1"/>
  <c r="AA126" i="8" a="1"/>
  <c r="AA126" i="8" s="1"/>
  <c r="BI126" i="8" a="1"/>
  <c r="BI126" i="8" s="1"/>
  <c r="BW126" i="8" a="1"/>
  <c r="BW126" i="8" s="1"/>
  <c r="AS126" i="8" a="1"/>
  <c r="AS126" i="8" s="1"/>
  <c r="BV126" i="8" a="1"/>
  <c r="BV126" i="8" s="1"/>
  <c r="Q126" i="8" a="1"/>
  <c r="Q126" i="8" s="1"/>
  <c r="P126" i="8" a="1"/>
  <c r="P126" i="8" s="1"/>
  <c r="X126" i="8" a="1"/>
  <c r="X126" i="8" s="1"/>
  <c r="BP126" i="8" a="1"/>
  <c r="BP126" i="8" s="1"/>
  <c r="U126" i="8" a="1"/>
  <c r="U126" i="8" s="1"/>
  <c r="AQ126" i="8" a="1"/>
  <c r="AQ126" i="8" s="1"/>
  <c r="BR126" i="8" a="1"/>
  <c r="BR126" i="8" s="1"/>
  <c r="CC126" i="8" a="1"/>
  <c r="CC126" i="8" s="1"/>
  <c r="AP126" i="8" a="1"/>
  <c r="AP126" i="8" s="1"/>
  <c r="T126" i="8" a="1"/>
  <c r="T126" i="8" s="1"/>
  <c r="CD126" i="8" a="1"/>
  <c r="CD126" i="8" s="1"/>
  <c r="AX126" i="8" a="1"/>
  <c r="AX126" i="8" s="1"/>
  <c r="AW126" i="8" a="1"/>
  <c r="AW126" i="8" s="1"/>
  <c r="CB126" i="8" a="1"/>
  <c r="CB126" i="8" s="1"/>
  <c r="CA126" i="8" a="1"/>
  <c r="CA126" i="8" s="1"/>
  <c r="O126" i="8" a="1"/>
  <c r="O126" i="8" s="1"/>
  <c r="CG126" i="8" a="1"/>
  <c r="CG126" i="8" s="1"/>
  <c r="AY126" i="8" a="1"/>
  <c r="AY126" i="8" s="1"/>
  <c r="BF126" i="8" a="1"/>
  <c r="BF126" i="8" s="1"/>
  <c r="BZ126" i="8" a="1"/>
  <c r="BZ126" i="8" s="1"/>
  <c r="BC126" i="8" a="1"/>
  <c r="BC126" i="8" s="1"/>
  <c r="BT126" i="8" a="1"/>
  <c r="BT126" i="8" s="1"/>
  <c r="CF126" i="8" a="1"/>
  <c r="CF126" i="8" s="1"/>
  <c r="AP43" i="17"/>
  <c r="AP94" i="17" s="1"/>
  <c r="AP30" i="17" s="1"/>
  <c r="AP119" i="17" s="1"/>
  <c r="AP121" i="17" s="1"/>
  <c r="BQ124" i="8" a="1"/>
  <c r="BQ124" i="8" s="1"/>
  <c r="CF124" i="8" a="1"/>
  <c r="CF124" i="8" s="1"/>
  <c r="BN124" i="8" a="1"/>
  <c r="BN124" i="8" s="1"/>
  <c r="P124" i="8" a="1"/>
  <c r="P124" i="8" s="1"/>
  <c r="N124" i="8" a="1"/>
  <c r="N124" i="8" s="1"/>
  <c r="BU124" i="8" a="1"/>
  <c r="BU124" i="8" s="1"/>
  <c r="BT124" i="8" a="1"/>
  <c r="BT124" i="8" s="1"/>
  <c r="W124" i="8" a="1"/>
  <c r="W124" i="8" s="1"/>
  <c r="BC124" i="8" a="1"/>
  <c r="BC124" i="8" s="1"/>
  <c r="BP124" i="8" a="1"/>
  <c r="BP124" i="8" s="1"/>
  <c r="AR124" i="8" a="1"/>
  <c r="AR124" i="8" s="1"/>
  <c r="BY124" i="8" a="1"/>
  <c r="BY124" i="8" s="1"/>
  <c r="AS124" i="8" a="1"/>
  <c r="AS124" i="8" s="1"/>
  <c r="AB124" i="8" a="1"/>
  <c r="AB124" i="8" s="1"/>
  <c r="AM124" i="8" a="1"/>
  <c r="AM124" i="8" s="1"/>
  <c r="BL124" i="8" a="1"/>
  <c r="BL124" i="8" s="1"/>
  <c r="AN124" i="8" a="1"/>
  <c r="AN124" i="8" s="1"/>
  <c r="BA124" i="8" a="1"/>
  <c r="BA124" i="8" s="1"/>
  <c r="BV124" i="8" a="1"/>
  <c r="BV124" i="8" s="1"/>
  <c r="O124" i="8" a="1"/>
  <c r="O124" i="8" s="1"/>
  <c r="J124" i="8" a="1"/>
  <c r="J124" i="8" s="1"/>
  <c r="BZ124" i="8" a="1"/>
  <c r="BZ124" i="8" s="1"/>
  <c r="CE124" i="8" a="1"/>
  <c r="CE124" i="8" s="1"/>
  <c r="BO124" i="8" a="1"/>
  <c r="BO124" i="8" s="1"/>
  <c r="CA124" i="8" a="1"/>
  <c r="CA124" i="8" s="1"/>
  <c r="CB124" i="8" a="1"/>
  <c r="CB124" i="8" s="1"/>
  <c r="BS124" i="8" a="1"/>
  <c r="BS124" i="8" s="1"/>
  <c r="AX124" i="8" a="1"/>
  <c r="AX124" i="8" s="1"/>
  <c r="BF124" i="8" a="1"/>
  <c r="BF124" i="8" s="1"/>
  <c r="BI124" i="8" a="1"/>
  <c r="BI124" i="8" s="1"/>
  <c r="BH124" i="8" a="1"/>
  <c r="BH124" i="8" s="1"/>
  <c r="BB124" i="8" a="1"/>
  <c r="BB124" i="8" s="1"/>
  <c r="AO124" i="8" a="1"/>
  <c r="AO124" i="8" s="1"/>
  <c r="AQ124" i="8" a="1"/>
  <c r="AQ124" i="8" s="1"/>
  <c r="X124" i="8" a="1"/>
  <c r="X124" i="8" s="1"/>
  <c r="CG124" i="8" a="1"/>
  <c r="CG124" i="8" s="1"/>
  <c r="BK124" i="8" a="1"/>
  <c r="BK124" i="8" s="1"/>
  <c r="AV124" i="8" a="1"/>
  <c r="AV124" i="8" s="1"/>
  <c r="AW124" i="8" a="1"/>
  <c r="AW124" i="8" s="1"/>
  <c r="AP124" i="8" a="1"/>
  <c r="AP124" i="8" s="1"/>
  <c r="T124" i="8" a="1"/>
  <c r="T124" i="8" s="1"/>
  <c r="BM124" i="8" a="1"/>
  <c r="BM124" i="8" s="1"/>
  <c r="AT124" i="8" a="1"/>
  <c r="AT124" i="8" s="1"/>
  <c r="Y124" i="8" a="1"/>
  <c r="Y124" i="8" s="1"/>
  <c r="AN126" i="8" a="1"/>
  <c r="AN126" i="8" s="1"/>
  <c r="CF128" i="8" a="1"/>
  <c r="CF128" i="8" s="1"/>
  <c r="BS128" i="8" a="1"/>
  <c r="BS128" i="8" s="1"/>
  <c r="BA128" i="8" a="1"/>
  <c r="BA128" i="8" s="1"/>
  <c r="BY128" i="8" a="1"/>
  <c r="BY128" i="8" s="1"/>
  <c r="CB128" i="8" a="1"/>
  <c r="CB128" i="8" s="1"/>
  <c r="BH128" i="8" a="1"/>
  <c r="BH128" i="8" s="1"/>
  <c r="AZ128" i="8" a="1"/>
  <c r="AZ128" i="8" s="1"/>
  <c r="T128" i="8" a="1"/>
  <c r="T128" i="8" s="1"/>
  <c r="AB128" i="8" a="1"/>
  <c r="AB128" i="8" s="1"/>
  <c r="CE128" i="8" a="1"/>
  <c r="CE128" i="8" s="1"/>
  <c r="BO128" i="8" a="1"/>
  <c r="BO128" i="8" s="1"/>
  <c r="AQ128" i="8" a="1"/>
  <c r="AQ128" i="8" s="1"/>
  <c r="AS128" i="8" a="1"/>
  <c r="AS128" i="8" s="1"/>
  <c r="AP128" i="8" a="1"/>
  <c r="AP128" i="8" s="1"/>
  <c r="W128" i="8" a="1"/>
  <c r="W128" i="8" s="1"/>
  <c r="BZ128" i="8" a="1"/>
  <c r="BZ128" i="8" s="1"/>
  <c r="CD128" i="8" a="1"/>
  <c r="CD128" i="8" s="1"/>
  <c r="AW128" i="8" a="1"/>
  <c r="AW128" i="8" s="1"/>
  <c r="CC128" i="8" a="1"/>
  <c r="CC128" i="8" s="1"/>
  <c r="BD128" i="8" a="1"/>
  <c r="BD128" i="8" s="1"/>
  <c r="AN128" i="8" a="1"/>
  <c r="AN128" i="8" s="1"/>
  <c r="BQ128" i="8" a="1"/>
  <c r="BQ128" i="8" s="1"/>
  <c r="K128" i="8" a="1"/>
  <c r="K128" i="8" s="1"/>
  <c r="CG128" i="8" a="1"/>
  <c r="CG128" i="8" s="1"/>
  <c r="X128" i="8" a="1"/>
  <c r="X128" i="8" s="1"/>
  <c r="AF128" i="8" a="1"/>
  <c r="AF128" i="8" s="1"/>
  <c r="J128" i="8" a="1"/>
  <c r="J128" i="8" s="1"/>
  <c r="BK128" i="8" a="1"/>
  <c r="BK128" i="8" s="1"/>
  <c r="BW128" i="8" a="1"/>
  <c r="BW128" i="8" s="1"/>
  <c r="AR128" i="8" a="1"/>
  <c r="AR128" i="8" s="1"/>
  <c r="V128" i="8" a="1"/>
  <c r="V128" i="8" s="1"/>
  <c r="AA128" i="8" a="1"/>
  <c r="AA128" i="8" s="1"/>
  <c r="BP128" i="8" a="1"/>
  <c r="BP128" i="8" s="1"/>
  <c r="U128" i="8" a="1"/>
  <c r="U128" i="8" s="1"/>
  <c r="AV128" i="8" a="1"/>
  <c r="AV128" i="8" s="1"/>
  <c r="CA128" i="8" a="1"/>
  <c r="CA128" i="8" s="1"/>
  <c r="AU128" i="8" a="1"/>
  <c r="AU128" i="8" s="1"/>
  <c r="O128" i="8" a="1"/>
  <c r="O128" i="8" s="1"/>
  <c r="AM128" i="8" a="1"/>
  <c r="AM128" i="8" s="1"/>
  <c r="AO128" i="8" a="1"/>
  <c r="AO128" i="8" s="1"/>
  <c r="AL128" i="8" a="1"/>
  <c r="AL128" i="8" s="1"/>
  <c r="BM128" i="8" a="1"/>
  <c r="BM128" i="8" s="1"/>
  <c r="Q128" i="8" a="1"/>
  <c r="Q128" i="8" s="1"/>
  <c r="Y128" i="8" a="1"/>
  <c r="Y128" i="8" s="1"/>
  <c r="Z128" i="8" a="1"/>
  <c r="Z128" i="8" s="1"/>
  <c r="BU128" i="8" a="1"/>
  <c r="BU128" i="8" s="1"/>
  <c r="BJ128" i="8" a="1"/>
  <c r="BJ128" i="8" s="1"/>
  <c r="BT128" i="8" a="1"/>
  <c r="BT128" i="8" s="1"/>
  <c r="AY128" i="8" a="1"/>
  <c r="AY128" i="8" s="1"/>
  <c r="AC128" i="8" a="1"/>
  <c r="AC128" i="8" s="1"/>
  <c r="CI43" i="12"/>
  <c r="BG61" i="13" s="1"/>
  <c r="AH132" i="8" a="1"/>
  <c r="AH132" i="8" s="1"/>
  <c r="AG124" i="8" a="1"/>
  <c r="AG124" i="8" s="1"/>
  <c r="AD128" i="8" a="1"/>
  <c r="AD128" i="8" s="1"/>
  <c r="AB132" i="8" a="1"/>
  <c r="AB132" i="8" s="1"/>
  <c r="Z124" i="8" a="1"/>
  <c r="Z124" i="8" s="1"/>
  <c r="BN126" i="8" a="1"/>
  <c r="BN126" i="8" s="1"/>
  <c r="BY126" i="8" a="1"/>
  <c r="BY126" i="8" s="1"/>
  <c r="AX128" i="8" a="1"/>
  <c r="AX128" i="8" s="1"/>
  <c r="AS132" i="8" a="1"/>
  <c r="AS132" i="8" s="1"/>
  <c r="BH110" i="8" a="1"/>
  <c r="BH110" i="8" s="1"/>
  <c r="BE110" i="8" a="1"/>
  <c r="BE110" i="8" s="1"/>
  <c r="BS110" i="8" a="1"/>
  <c r="BS110" i="8" s="1"/>
  <c r="CA110" i="8" a="1"/>
  <c r="CA110" i="8" s="1"/>
  <c r="BA110" i="8" a="1"/>
  <c r="BA110" i="8" s="1"/>
  <c r="AT110" i="8" a="1"/>
  <c r="AT110" i="8" s="1"/>
  <c r="AB110" i="8" a="1"/>
  <c r="AB110" i="8" s="1"/>
  <c r="Q110" i="8" a="1"/>
  <c r="Q110" i="8" s="1"/>
  <c r="AS110" i="8" a="1"/>
  <c r="AS110" i="8" s="1"/>
  <c r="BN110" i="8" a="1"/>
  <c r="BN110" i="8" s="1"/>
  <c r="Z110" i="8" a="1"/>
  <c r="Z110" i="8" s="1"/>
  <c r="BT110" i="8" a="1"/>
  <c r="BT110" i="8" s="1"/>
  <c r="AQ110" i="8" a="1"/>
  <c r="AQ110" i="8" s="1"/>
  <c r="AZ110" i="8" a="1"/>
  <c r="AZ110" i="8" s="1"/>
  <c r="CD110" i="8" a="1"/>
  <c r="CD110" i="8" s="1"/>
  <c r="O110" i="8" a="1"/>
  <c r="O110" i="8" s="1"/>
  <c r="AW110" i="8" a="1"/>
  <c r="AW110" i="8" s="1"/>
  <c r="BY110" i="8" a="1"/>
  <c r="BY110" i="8" s="1"/>
  <c r="BJ110" i="8" a="1"/>
  <c r="BJ110" i="8" s="1"/>
  <c r="V110" i="8" a="1"/>
  <c r="V110" i="8" s="1"/>
  <c r="AO110" i="8" a="1"/>
  <c r="AO110" i="8" s="1"/>
  <c r="BG110" i="8" a="1"/>
  <c r="BG110" i="8" s="1"/>
  <c r="AV110" i="8" a="1"/>
  <c r="AV110" i="8" s="1"/>
  <c r="AP110" i="8" a="1"/>
  <c r="AP110" i="8" s="1"/>
  <c r="AR110" i="8" a="1"/>
  <c r="AR110" i="8" s="1"/>
  <c r="AU110" i="8" a="1"/>
  <c r="AU110" i="8" s="1"/>
  <c r="CB110" i="8" a="1"/>
  <c r="CB110" i="8" s="1"/>
  <c r="BR110" i="8" a="1"/>
  <c r="BR110" i="8" s="1"/>
  <c r="P110" i="8" a="1"/>
  <c r="P110" i="8" s="1"/>
  <c r="BZ110" i="8" a="1"/>
  <c r="BZ110" i="8" s="1"/>
  <c r="CC110" i="8" a="1"/>
  <c r="CC110" i="8" s="1"/>
  <c r="AN110" i="8" a="1"/>
  <c r="AN110" i="8" s="1"/>
  <c r="J110" i="8" a="1"/>
  <c r="J110" i="8" s="1"/>
  <c r="AX110" i="8" a="1"/>
  <c r="AX110" i="8" s="1"/>
  <c r="AY110" i="8" a="1"/>
  <c r="AY110" i="8" s="1"/>
  <c r="CG110" i="8" a="1"/>
  <c r="CG110" i="8" s="1"/>
  <c r="CE110" i="8" a="1"/>
  <c r="CE110" i="8" s="1"/>
  <c r="BQ110" i="8" a="1"/>
  <c r="BQ110" i="8" s="1"/>
  <c r="BO110" i="8" a="1"/>
  <c r="BO110" i="8" s="1"/>
  <c r="BM110" i="8" a="1"/>
  <c r="BM110" i="8" s="1"/>
  <c r="W110" i="8" a="1"/>
  <c r="W110" i="8" s="1"/>
  <c r="BD110" i="8" a="1"/>
  <c r="BD110" i="8" s="1"/>
  <c r="AD110" i="8" a="1"/>
  <c r="AD110" i="8" s="1"/>
  <c r="BK110" i="8" a="1"/>
  <c r="BK110" i="8" s="1"/>
  <c r="T110" i="8" a="1"/>
  <c r="T110" i="8" s="1"/>
  <c r="BV110" i="8" a="1"/>
  <c r="BV110" i="8" s="1"/>
  <c r="AL110" i="8" a="1"/>
  <c r="AL110" i="8" s="1"/>
  <c r="BX110" i="8" a="1"/>
  <c r="BX110" i="8" s="1"/>
  <c r="AC110" i="8" a="1"/>
  <c r="AC110" i="8" s="1"/>
  <c r="X110" i="8" a="1"/>
  <c r="X110" i="8" s="1"/>
  <c r="BX128" i="8" a="1"/>
  <c r="BX128" i="8" s="1"/>
  <c r="BJ124" i="8" a="1"/>
  <c r="BJ124" i="8" s="1"/>
  <c r="BE128" i="8" a="1"/>
  <c r="BE128" i="8" s="1"/>
  <c r="AU126" i="8" a="1"/>
  <c r="AU126" i="8" s="1"/>
  <c r="N110" i="8" a="1"/>
  <c r="N110" i="8" s="1"/>
  <c r="BF110" i="8" a="1"/>
  <c r="BF110" i="8" s="1"/>
  <c r="K132" i="8" a="1"/>
  <c r="K132" i="8" s="1"/>
  <c r="BG43" i="17"/>
  <c r="BG94" i="17" s="1"/>
  <c r="BG30" i="17" s="1"/>
  <c r="BG119" i="17" s="1"/>
  <c r="BG121" i="17" s="1"/>
  <c r="CI44" i="12"/>
  <c r="BG62" i="13" s="1"/>
  <c r="AI126" i="8" a="1"/>
  <c r="AI126" i="8" s="1"/>
  <c r="AH128" i="8" a="1"/>
  <c r="AH128" i="8" s="1"/>
  <c r="AD126" i="8" a="1"/>
  <c r="AD126" i="8" s="1"/>
  <c r="BW124" i="8" a="1"/>
  <c r="BW124" i="8" s="1"/>
  <c r="AV126" i="8" a="1"/>
  <c r="AV126" i="8" s="1"/>
  <c r="AL126" i="8" a="1"/>
  <c r="AL126" i="8" s="1"/>
  <c r="BV128" i="8" a="1"/>
  <c r="BV128" i="8" s="1"/>
  <c r="BT43" i="17"/>
  <c r="BT94" i="17" s="1"/>
  <c r="BT30" i="17" s="1"/>
  <c r="CI45" i="12"/>
  <c r="BG63" i="13" s="1"/>
  <c r="AH124" i="8" a="1"/>
  <c r="AH124" i="8" s="1"/>
  <c r="AF124" i="8" a="1"/>
  <c r="AF124" i="8" s="1"/>
  <c r="AG132" i="8" a="1"/>
  <c r="AG132" i="8" s="1"/>
  <c r="AE126" i="8" a="1"/>
  <c r="AE126" i="8" s="1"/>
  <c r="BL128" i="8" a="1"/>
  <c r="BL128" i="8" s="1"/>
  <c r="BJ126" i="8" a="1"/>
  <c r="BJ126" i="8" s="1"/>
  <c r="AT128" i="8" a="1"/>
  <c r="AT128" i="8" s="1"/>
  <c r="BK126" i="8" a="1"/>
  <c r="BK126" i="8" s="1"/>
  <c r="BN128" i="8" a="1"/>
  <c r="BN128" i="8" s="1"/>
  <c r="AR126" i="8" a="1"/>
  <c r="AR126" i="8" s="1"/>
  <c r="BG126" i="8" a="1"/>
  <c r="BG126" i="8" s="1"/>
  <c r="J101" i="8"/>
  <c r="BG101" i="8"/>
  <c r="AR101" i="8"/>
  <c r="AM101" i="8"/>
  <c r="BW101" i="8"/>
  <c r="AF101" i="8"/>
  <c r="V101" i="8"/>
  <c r="AI43" i="17"/>
  <c r="AI94" i="17" s="1"/>
  <c r="AI30" i="17" s="1"/>
  <c r="AI119" i="17" s="1"/>
  <c r="AI120" i="17" s="1"/>
  <c r="U101" i="8"/>
  <c r="BT101" i="8"/>
  <c r="BM101" i="8"/>
  <c r="W101" i="8"/>
  <c r="Y101" i="8"/>
  <c r="BU101" i="8"/>
  <c r="AS101" i="8"/>
  <c r="U86" i="20"/>
  <c r="CK82" i="20"/>
  <c r="BY42" i="9" a="1"/>
  <c r="BY42" i="9" s="1"/>
  <c r="BX42" i="9" a="1"/>
  <c r="BX42" i="9" s="1"/>
  <c r="AN43" i="17"/>
  <c r="AN94" i="17" s="1"/>
  <c r="AN30" i="17" s="1"/>
  <c r="AN119" i="17" s="1"/>
  <c r="AW43" i="17"/>
  <c r="AW94" i="17" s="1"/>
  <c r="AW30" i="17" s="1"/>
  <c r="AW119" i="17" s="1"/>
  <c r="BR43" i="17"/>
  <c r="BR94" i="17" s="1"/>
  <c r="BR30" i="17" s="1"/>
  <c r="AZ43" i="17"/>
  <c r="AZ94" i="17" s="1"/>
  <c r="AZ30" i="17" s="1"/>
  <c r="AZ119" i="17" s="1"/>
  <c r="BI43" i="17"/>
  <c r="W43" i="17" s="1"/>
  <c r="AC42" i="17"/>
  <c r="K42" i="17"/>
  <c r="BJ120" i="17"/>
  <c r="BJ121" i="17"/>
  <c r="BJ122" i="17"/>
  <c r="AK43" i="17"/>
  <c r="J92" i="17"/>
  <c r="AS122" i="17"/>
  <c r="AT43" i="17"/>
  <c r="CI114" i="20"/>
  <c r="U92" i="17"/>
  <c r="AM85" i="20"/>
  <c r="U85" i="20"/>
  <c r="BU43" i="17"/>
  <c r="K92" i="17"/>
  <c r="Q92" i="17"/>
  <c r="H92" i="17"/>
  <c r="AH43" i="17"/>
  <c r="BL43" i="17"/>
  <c r="Y43" i="17"/>
  <c r="BO94" i="17"/>
  <c r="BO30" i="17" s="1"/>
  <c r="AQ43" i="17"/>
  <c r="CJ75" i="20"/>
  <c r="CK101" i="20"/>
  <c r="BH144" i="13" s="1"/>
  <c r="CK100" i="20"/>
  <c r="BH143" i="13" s="1"/>
  <c r="CK99" i="20"/>
  <c r="BH142" i="13" s="1"/>
  <c r="AM97" i="20"/>
  <c r="U97" i="20"/>
  <c r="AM90" i="20"/>
  <c r="U90" i="20"/>
  <c r="CK92" i="20"/>
  <c r="BH136" i="13" s="1"/>
  <c r="BG133" i="8" s="1" a="1"/>
  <c r="BG133" i="8" s="1"/>
  <c r="CK93" i="20"/>
  <c r="BH137" i="13" s="1"/>
  <c r="AC134" i="8" s="1" a="1"/>
  <c r="AC134" i="8" s="1"/>
  <c r="CK94" i="20"/>
  <c r="BH138" i="13" s="1"/>
  <c r="BT135" i="8" s="1" a="1"/>
  <c r="BT135" i="8" s="1"/>
  <c r="AM76" i="20"/>
  <c r="U76" i="20"/>
  <c r="CK78" i="20"/>
  <c r="CK80" i="20"/>
  <c r="BH126" i="13" s="1"/>
  <c r="BG121" i="8" s="1" a="1"/>
  <c r="BG121" i="8" s="1"/>
  <c r="CK79" i="20"/>
  <c r="BH125" i="13" s="1"/>
  <c r="BD120" i="8" s="1" a="1"/>
  <c r="BD120" i="8" s="1"/>
  <c r="CK106" i="20"/>
  <c r="CJ89" i="20"/>
  <c r="CK68" i="20"/>
  <c r="BF12" i="16"/>
  <c r="BE25" i="16"/>
  <c r="BE22" i="16"/>
  <c r="BE27" i="14" s="1"/>
  <c r="BF12" i="15"/>
  <c r="BE22" i="15"/>
  <c r="BE25" i="14" s="1"/>
  <c r="BE25" i="15"/>
  <c r="BX43" i="17" l="1"/>
  <c r="AB43" i="17" s="1"/>
  <c r="AJ122" i="17"/>
  <c r="AJ121" i="17"/>
  <c r="AN114" i="8" a="1"/>
  <c r="AN114" i="8" s="1"/>
  <c r="Y92" i="17"/>
  <c r="AC92" i="17"/>
  <c r="BF43" i="17"/>
  <c r="AF120" i="17"/>
  <c r="AF122" i="17"/>
  <c r="AF121" i="17"/>
  <c r="BH122" i="17"/>
  <c r="BM122" i="17"/>
  <c r="BM120" i="17"/>
  <c r="BM125" i="17" s="1"/>
  <c r="AO120" i="17"/>
  <c r="AO121" i="17"/>
  <c r="AM112" i="8" a="1"/>
  <c r="AM112" i="8" s="1"/>
  <c r="AS121" i="17"/>
  <c r="AS125" i="17" s="1"/>
  <c r="BK120" i="17"/>
  <c r="BK122" i="17"/>
  <c r="BK121" i="17"/>
  <c r="AS114" i="8" a="1"/>
  <c r="AS114" i="8" s="1"/>
  <c r="AI114" i="8" a="1"/>
  <c r="AI114" i="8" s="1"/>
  <c r="AW112" i="8" a="1"/>
  <c r="AW112" i="8" s="1"/>
  <c r="AB112" i="8" a="1"/>
  <c r="AB112" i="8" s="1"/>
  <c r="CG112" i="8" a="1"/>
  <c r="CG112" i="8" s="1"/>
  <c r="AA112" i="8" a="1"/>
  <c r="AA112" i="8" s="1"/>
  <c r="BE112" i="8" a="1"/>
  <c r="BE112" i="8" s="1"/>
  <c r="AR122" i="17"/>
  <c r="BX113" i="8" a="1"/>
  <c r="BX113" i="8" s="1"/>
  <c r="CF113" i="8" a="1"/>
  <c r="CF113" i="8" s="1"/>
  <c r="AR121" i="17"/>
  <c r="AP122" i="17"/>
  <c r="BE121" i="17"/>
  <c r="BE122" i="17"/>
  <c r="CB114" i="8" a="1"/>
  <c r="CB114" i="8" s="1"/>
  <c r="BW114" i="8" a="1"/>
  <c r="BW114" i="8" s="1"/>
  <c r="CF114" i="8" a="1"/>
  <c r="CF114" i="8" s="1"/>
  <c r="AL114" i="8" a="1"/>
  <c r="AL114" i="8" s="1"/>
  <c r="K114" i="8" a="1"/>
  <c r="K114" i="8" s="1"/>
  <c r="AW114" i="8" a="1"/>
  <c r="AW114" i="8" s="1"/>
  <c r="BC94" i="17"/>
  <c r="BC30" i="17" s="1"/>
  <c r="BC119" i="17" s="1"/>
  <c r="BC120" i="17" s="1"/>
  <c r="BU114" i="8" a="1"/>
  <c r="BU114" i="8" s="1"/>
  <c r="BC114" i="8" a="1"/>
  <c r="BC114" i="8" s="1"/>
  <c r="CE114" i="8" a="1"/>
  <c r="CE114" i="8" s="1"/>
  <c r="Y114" i="8" a="1"/>
  <c r="Y114" i="8" s="1"/>
  <c r="AG122" i="17"/>
  <c r="AU122" i="17"/>
  <c r="T114" i="8" a="1"/>
  <c r="T114" i="8" s="1"/>
  <c r="BT114" i="8" a="1"/>
  <c r="BT114" i="8" s="1"/>
  <c r="AV122" i="17"/>
  <c r="AU120" i="17"/>
  <c r="P114" i="8" a="1"/>
  <c r="P114" i="8" s="1"/>
  <c r="U43" i="17"/>
  <c r="BZ114" i="8" a="1"/>
  <c r="BZ114" i="8" s="1"/>
  <c r="AA114" i="8" a="1"/>
  <c r="AA114" i="8" s="1"/>
  <c r="AE114" i="8" a="1"/>
  <c r="AE114" i="8" s="1"/>
  <c r="AZ114" i="8" a="1"/>
  <c r="AZ114" i="8" s="1"/>
  <c r="O114" i="8" a="1"/>
  <c r="O114" i="8" s="1"/>
  <c r="CD114" i="8" a="1"/>
  <c r="CD114" i="8" s="1"/>
  <c r="AO114" i="8" a="1"/>
  <c r="AO114" i="8" s="1"/>
  <c r="AB114" i="8" a="1"/>
  <c r="AB114" i="8" s="1"/>
  <c r="BL114" i="8" a="1"/>
  <c r="BL114" i="8" s="1"/>
  <c r="BH120" i="17"/>
  <c r="AX122" i="17"/>
  <c r="AX120" i="17"/>
  <c r="AM121" i="17"/>
  <c r="AM122" i="17"/>
  <c r="BQ121" i="8" a="1"/>
  <c r="BQ121" i="8" s="1"/>
  <c r="AY112" i="8" a="1"/>
  <c r="AY112" i="8" s="1"/>
  <c r="AL120" i="17"/>
  <c r="AP120" i="17"/>
  <c r="BC112" i="8" a="1"/>
  <c r="BC112" i="8" s="1"/>
  <c r="BH112" i="8" a="1"/>
  <c r="BH112" i="8" s="1"/>
  <c r="AQ112" i="8" a="1"/>
  <c r="AQ112" i="8" s="1"/>
  <c r="BF121" i="8" a="1"/>
  <c r="BF121" i="8" s="1"/>
  <c r="X112" i="8" a="1"/>
  <c r="X112" i="8" s="1"/>
  <c r="BU112" i="8" a="1"/>
  <c r="BU112" i="8" s="1"/>
  <c r="BJ121" i="8" a="1"/>
  <c r="BJ121" i="8" s="1"/>
  <c r="U112" i="8" a="1"/>
  <c r="U112" i="8" s="1"/>
  <c r="BJ112" i="8" a="1"/>
  <c r="BJ112" i="8" s="1"/>
  <c r="BZ112" i="8" a="1"/>
  <c r="BZ112" i="8" s="1"/>
  <c r="BW112" i="8" a="1"/>
  <c r="BW112" i="8" s="1"/>
  <c r="P112" i="8" a="1"/>
  <c r="P112" i="8" s="1"/>
  <c r="AV120" i="17"/>
  <c r="AF112" i="8" a="1"/>
  <c r="AF112" i="8" s="1"/>
  <c r="AR112" i="8" a="1"/>
  <c r="AR112" i="8" s="1"/>
  <c r="AM82" i="20"/>
  <c r="AL121" i="17"/>
  <c r="BK112" i="8" a="1"/>
  <c r="BK112" i="8" s="1"/>
  <c r="K112" i="8" a="1"/>
  <c r="K112" i="8" s="1"/>
  <c r="Q112" i="8" a="1"/>
  <c r="Q112" i="8" s="1"/>
  <c r="AX112" i="8" a="1"/>
  <c r="AX112" i="8" s="1"/>
  <c r="AS112" i="8" a="1"/>
  <c r="AS112" i="8" s="1"/>
  <c r="CF112" i="8" a="1"/>
  <c r="CF112" i="8" s="1"/>
  <c r="AX113" i="8" a="1"/>
  <c r="AX113" i="8" s="1"/>
  <c r="BA113" i="8" a="1"/>
  <c r="BA113" i="8" s="1"/>
  <c r="CA113" i="8" a="1"/>
  <c r="CA113" i="8" s="1"/>
  <c r="J113" i="8" a="1"/>
  <c r="J113" i="8" s="1"/>
  <c r="BM113" i="8" a="1"/>
  <c r="BM113" i="8" s="1"/>
  <c r="V113" i="8" a="1"/>
  <c r="V113" i="8" s="1"/>
  <c r="CD121" i="8" a="1"/>
  <c r="CD121" i="8" s="1"/>
  <c r="BG113" i="8" a="1"/>
  <c r="BG113" i="8" s="1"/>
  <c r="AO113" i="8" a="1"/>
  <c r="AO113" i="8" s="1"/>
  <c r="BQ113" i="8" a="1"/>
  <c r="BQ113" i="8" s="1"/>
  <c r="BD113" i="8" a="1"/>
  <c r="BD113" i="8" s="1"/>
  <c r="BR121" i="8" a="1"/>
  <c r="BR121" i="8" s="1"/>
  <c r="BB113" i="8" a="1"/>
  <c r="BB113" i="8" s="1"/>
  <c r="AE121" i="8" a="1"/>
  <c r="AE121" i="8" s="1"/>
  <c r="J121" i="8" a="1"/>
  <c r="J121" i="8" s="1"/>
  <c r="BW113" i="8" a="1"/>
  <c r="BW113" i="8" s="1"/>
  <c r="Z121" i="8" a="1"/>
  <c r="Z121" i="8" s="1"/>
  <c r="AN113" i="8" a="1"/>
  <c r="AN113" i="8" s="1"/>
  <c r="AZ113" i="8" a="1"/>
  <c r="AZ113" i="8" s="1"/>
  <c r="AT113" i="8" a="1"/>
  <c r="AT113" i="8" s="1"/>
  <c r="BJ113" i="8" a="1"/>
  <c r="BJ113" i="8" s="1"/>
  <c r="CG113" i="8" a="1"/>
  <c r="CG113" i="8" s="1"/>
  <c r="K113" i="8" a="1"/>
  <c r="K113" i="8" s="1"/>
  <c r="CF121" i="8" a="1"/>
  <c r="CF121" i="8" s="1"/>
  <c r="BC113" i="8" a="1"/>
  <c r="BC113" i="8" s="1"/>
  <c r="AI121" i="8" a="1"/>
  <c r="AI121" i="8" s="1"/>
  <c r="BZ121" i="8" a="1"/>
  <c r="BZ121" i="8" s="1"/>
  <c r="AD135" i="8" a="1"/>
  <c r="AD135" i="8" s="1"/>
  <c r="AF121" i="8" a="1"/>
  <c r="AF121" i="8" s="1"/>
  <c r="BA121" i="8" a="1"/>
  <c r="BA121" i="8" s="1"/>
  <c r="AT121" i="8" a="1"/>
  <c r="AT121" i="8" s="1"/>
  <c r="CB121" i="8" a="1"/>
  <c r="CB121" i="8" s="1"/>
  <c r="AP121" i="8" a="1"/>
  <c r="AP121" i="8" s="1"/>
  <c r="AO121" i="8" a="1"/>
  <c r="AO121" i="8" s="1"/>
  <c r="AN121" i="8" a="1"/>
  <c r="AN121" i="8" s="1"/>
  <c r="Y121" i="8" a="1"/>
  <c r="Y121" i="8" s="1"/>
  <c r="N121" i="8" a="1"/>
  <c r="N121" i="8" s="1"/>
  <c r="BS121" i="8" a="1"/>
  <c r="BS121" i="8" s="1"/>
  <c r="BB121" i="8" a="1"/>
  <c r="BB121" i="8" s="1"/>
  <c r="CA121" i="8" a="1"/>
  <c r="CA121" i="8" s="1"/>
  <c r="Q121" i="8" a="1"/>
  <c r="Q121" i="8" s="1"/>
  <c r="U121" i="8" a="1"/>
  <c r="U121" i="8" s="1"/>
  <c r="BP121" i="8" a="1"/>
  <c r="BP121" i="8" s="1"/>
  <c r="BF134" i="8" a="1"/>
  <c r="BF134" i="8" s="1"/>
  <c r="AC121" i="8" a="1"/>
  <c r="AC121" i="8" s="1"/>
  <c r="BD121" i="8" a="1"/>
  <c r="BD121" i="8" s="1"/>
  <c r="BM121" i="8" a="1"/>
  <c r="BM121" i="8" s="1"/>
  <c r="BT121" i="8" a="1"/>
  <c r="BT121" i="8" s="1"/>
  <c r="BT134" i="8" a="1"/>
  <c r="BT134" i="8" s="1"/>
  <c r="BT133" i="8" a="1"/>
  <c r="BT133" i="8" s="1"/>
  <c r="AG134" i="8" a="1"/>
  <c r="AG134" i="8" s="1"/>
  <c r="CF134" i="8" a="1"/>
  <c r="CF134" i="8" s="1"/>
  <c r="BA135" i="8" a="1"/>
  <c r="BA135" i="8" s="1"/>
  <c r="BR114" i="8" a="1"/>
  <c r="BR114" i="8" s="1"/>
  <c r="P121" i="8" a="1"/>
  <c r="P121" i="8" s="1"/>
  <c r="U134" i="8" a="1"/>
  <c r="U134" i="8" s="1"/>
  <c r="CA135" i="8" a="1"/>
  <c r="CA135" i="8" s="1"/>
  <c r="AB121" i="8" a="1"/>
  <c r="AB121" i="8" s="1"/>
  <c r="Z114" i="8" a="1"/>
  <c r="Z114" i="8" s="1"/>
  <c r="AB134" i="8" a="1"/>
  <c r="AB134" i="8" s="1"/>
  <c r="BG134" i="8" a="1"/>
  <c r="BG134" i="8" s="1"/>
  <c r="AA135" i="8" a="1"/>
  <c r="AA135" i="8" s="1"/>
  <c r="AM135" i="8" a="1"/>
  <c r="AM135" i="8" s="1"/>
  <c r="BD122" i="17"/>
  <c r="BK121" i="8" a="1"/>
  <c r="BK121" i="8" s="1"/>
  <c r="BP114" i="8" a="1"/>
  <c r="BP114" i="8" s="1"/>
  <c r="AQ114" i="8" a="1"/>
  <c r="AQ114" i="8" s="1"/>
  <c r="BR134" i="8" a="1"/>
  <c r="BR134" i="8" s="1"/>
  <c r="W135" i="8" a="1"/>
  <c r="W135" i="8" s="1"/>
  <c r="X114" i="8" a="1"/>
  <c r="X114" i="8" s="1"/>
  <c r="Z134" i="8" a="1"/>
  <c r="Z134" i="8" s="1"/>
  <c r="BD120" i="17"/>
  <c r="V121" i="8" a="1"/>
  <c r="V121" i="8" s="1"/>
  <c r="AD134" i="8" a="1"/>
  <c r="AD134" i="8" s="1"/>
  <c r="CC114" i="8" a="1"/>
  <c r="CC114" i="8" s="1"/>
  <c r="J114" i="8" a="1"/>
  <c r="J114" i="8" s="1"/>
  <c r="BG114" i="8" a="1"/>
  <c r="BG114" i="8" s="1"/>
  <c r="BD134" i="8" a="1"/>
  <c r="BD134" i="8" s="1"/>
  <c r="CC135" i="8" a="1"/>
  <c r="CC135" i="8" s="1"/>
  <c r="Y133" i="8" a="1"/>
  <c r="Y133" i="8" s="1"/>
  <c r="N113" i="8" a="1"/>
  <c r="N113" i="8" s="1"/>
  <c r="BZ134" i="8" a="1"/>
  <c r="BZ134" i="8" s="1"/>
  <c r="AR135" i="8" a="1"/>
  <c r="AR135" i="8" s="1"/>
  <c r="K133" i="8" a="1"/>
  <c r="K133" i="8" s="1"/>
  <c r="AZ121" i="8" a="1"/>
  <c r="AZ121" i="8" s="1"/>
  <c r="BD135" i="8" a="1"/>
  <c r="BD135" i="8" s="1"/>
  <c r="BB120" i="17"/>
  <c r="AT120" i="8" a="1"/>
  <c r="AT120" i="8" s="1"/>
  <c r="AU134" i="8" a="1"/>
  <c r="AU134" i="8" s="1"/>
  <c r="BO134" i="8" a="1"/>
  <c r="BO134" i="8" s="1"/>
  <c r="AX135" i="8" a="1"/>
  <c r="AX135" i="8" s="1"/>
  <c r="BN134" i="8" a="1"/>
  <c r="BN134" i="8" s="1"/>
  <c r="BV135" i="8" a="1"/>
  <c r="BV135" i="8" s="1"/>
  <c r="AO134" i="8" a="1"/>
  <c r="AO134" i="8" s="1"/>
  <c r="AB120" i="8" a="1"/>
  <c r="AB120" i="8" s="1"/>
  <c r="AN134" i="8" a="1"/>
  <c r="AN134" i="8" s="1"/>
  <c r="P134" i="8" a="1"/>
  <c r="P134" i="8" s="1"/>
  <c r="BR135" i="8" a="1"/>
  <c r="BR135" i="8" s="1"/>
  <c r="BW134" i="8" a="1"/>
  <c r="BW134" i="8" s="1"/>
  <c r="BA121" i="17"/>
  <c r="BB121" i="17"/>
  <c r="AX133" i="8" a="1"/>
  <c r="AX133" i="8" s="1"/>
  <c r="BK135" i="8" a="1"/>
  <c r="BK135" i="8" s="1"/>
  <c r="AW121" i="8" a="1"/>
  <c r="AW121" i="8" s="1"/>
  <c r="CA134" i="8" a="1"/>
  <c r="CA134" i="8" s="1"/>
  <c r="P135" i="8" a="1"/>
  <c r="P135" i="8" s="1"/>
  <c r="AX134" i="8" a="1"/>
  <c r="AX134" i="8" s="1"/>
  <c r="BQ134" i="8" a="1"/>
  <c r="BQ134" i="8" s="1"/>
  <c r="AY120" i="17"/>
  <c r="BA120" i="17"/>
  <c r="AG120" i="17"/>
  <c r="BG122" i="17"/>
  <c r="AU121" i="8" a="1"/>
  <c r="AU121" i="8" s="1"/>
  <c r="AG121" i="8" a="1"/>
  <c r="AG121" i="8" s="1"/>
  <c r="BU121" i="8" a="1"/>
  <c r="BU121" i="8" s="1"/>
  <c r="CA114" i="8" a="1"/>
  <c r="CA114" i="8" s="1"/>
  <c r="X121" i="8" a="1"/>
  <c r="X121" i="8" s="1"/>
  <c r="BA114" i="8" a="1"/>
  <c r="BA114" i="8" s="1"/>
  <c r="AQ121" i="8" a="1"/>
  <c r="AQ121" i="8" s="1"/>
  <c r="AM121" i="8" a="1"/>
  <c r="AM121" i="8" s="1"/>
  <c r="CB134" i="8" a="1"/>
  <c r="CB134" i="8" s="1"/>
  <c r="J135" i="8" a="1"/>
  <c r="J135" i="8" s="1"/>
  <c r="AZ134" i="8" a="1"/>
  <c r="AZ134" i="8" s="1"/>
  <c r="AY122" i="17"/>
  <c r="BG120" i="17"/>
  <c r="BV114" i="8" a="1"/>
  <c r="BV114" i="8" s="1"/>
  <c r="BC135" i="8" a="1"/>
  <c r="BC135" i="8" s="1"/>
  <c r="CD134" i="8" a="1"/>
  <c r="CD134" i="8" s="1"/>
  <c r="AO135" i="8" a="1"/>
  <c r="AO135" i="8" s="1"/>
  <c r="CB120" i="8" a="1"/>
  <c r="CB120" i="8" s="1"/>
  <c r="BR120" i="8" a="1"/>
  <c r="BR120" i="8" s="1"/>
  <c r="BM141" i="8" a="1"/>
  <c r="BM141" i="8" s="1"/>
  <c r="BN141" i="8" a="1"/>
  <c r="BN141" i="8" s="1"/>
  <c r="BE141" i="8" a="1"/>
  <c r="BE141" i="8" s="1"/>
  <c r="AM141" i="8" a="1"/>
  <c r="AM141" i="8" s="1"/>
  <c r="AU141" i="8" a="1"/>
  <c r="AU141" i="8" s="1"/>
  <c r="N141" i="8" a="1"/>
  <c r="N141" i="8" s="1"/>
  <c r="AV141" i="8" a="1"/>
  <c r="AV141" i="8" s="1"/>
  <c r="BZ141" i="8" a="1"/>
  <c r="BZ141" i="8" s="1"/>
  <c r="BS141" i="8" a="1"/>
  <c r="BS141" i="8" s="1"/>
  <c r="AD141" i="8" a="1"/>
  <c r="AD141" i="8" s="1"/>
  <c r="CG141" i="8" a="1"/>
  <c r="CG141" i="8" s="1"/>
  <c r="K141" i="8" a="1"/>
  <c r="K141" i="8" s="1"/>
  <c r="AN141" i="8" a="1"/>
  <c r="AN141" i="8" s="1"/>
  <c r="AW141" i="8" a="1"/>
  <c r="AW141" i="8" s="1"/>
  <c r="BG141" i="8" a="1"/>
  <c r="BG141" i="8" s="1"/>
  <c r="BP141" i="8" a="1"/>
  <c r="BP141" i="8" s="1"/>
  <c r="AS141" i="8" a="1"/>
  <c r="AS141" i="8" s="1"/>
  <c r="O141" i="8" a="1"/>
  <c r="O141" i="8" s="1"/>
  <c r="W141" i="8" a="1"/>
  <c r="W141" i="8" s="1"/>
  <c r="BW141" i="8" a="1"/>
  <c r="BW141" i="8" s="1"/>
  <c r="BT141" i="8" a="1"/>
  <c r="BT141" i="8" s="1"/>
  <c r="CB141" i="8" a="1"/>
  <c r="CB141" i="8" s="1"/>
  <c r="BA141" i="8" a="1"/>
  <c r="BA141" i="8" s="1"/>
  <c r="CC141" i="8" a="1"/>
  <c r="CC141" i="8" s="1"/>
  <c r="AT141" i="8" a="1"/>
  <c r="AT141" i="8" s="1"/>
  <c r="Y141" i="8" a="1"/>
  <c r="Y141" i="8" s="1"/>
  <c r="AZ141" i="8" a="1"/>
  <c r="AZ141" i="8" s="1"/>
  <c r="BJ141" i="8" a="1"/>
  <c r="BJ141" i="8" s="1"/>
  <c r="AL141" i="8" a="1"/>
  <c r="AL141" i="8" s="1"/>
  <c r="X141" i="8" a="1"/>
  <c r="X141" i="8" s="1"/>
  <c r="AP141" i="8" a="1"/>
  <c r="AP141" i="8" s="1"/>
  <c r="AR141" i="8" a="1"/>
  <c r="AR141" i="8" s="1"/>
  <c r="BK141" i="8" a="1"/>
  <c r="BK141" i="8" s="1"/>
  <c r="BF141" i="8" a="1"/>
  <c r="BF141" i="8" s="1"/>
  <c r="BO141" i="8" a="1"/>
  <c r="BO141" i="8" s="1"/>
  <c r="BC141" i="8" a="1"/>
  <c r="BC141" i="8" s="1"/>
  <c r="BV141" i="8" a="1"/>
  <c r="BV141" i="8" s="1"/>
  <c r="AX141" i="8" a="1"/>
  <c r="AX141" i="8" s="1"/>
  <c r="CD141" i="8" a="1"/>
  <c r="CD141" i="8" s="1"/>
  <c r="CF141" i="8" a="1"/>
  <c r="CF141" i="8" s="1"/>
  <c r="AY141" i="8" a="1"/>
  <c r="AY141" i="8" s="1"/>
  <c r="BQ141" i="8" a="1"/>
  <c r="BQ141" i="8" s="1"/>
  <c r="CA141" i="8" a="1"/>
  <c r="CA141" i="8" s="1"/>
  <c r="AO141" i="8" a="1"/>
  <c r="AO141" i="8" s="1"/>
  <c r="Q141" i="8" a="1"/>
  <c r="Q141" i="8" s="1"/>
  <c r="V141" i="8" a="1"/>
  <c r="V141" i="8" s="1"/>
  <c r="CE141" i="8" a="1"/>
  <c r="CE141" i="8" s="1"/>
  <c r="AE141" i="8" a="1"/>
  <c r="AE141" i="8" s="1"/>
  <c r="AI141" i="8" a="1"/>
  <c r="AI141" i="8" s="1"/>
  <c r="AF141" i="8" a="1"/>
  <c r="AF141" i="8" s="1"/>
  <c r="P141" i="8" a="1"/>
  <c r="P141" i="8" s="1"/>
  <c r="BI141" i="8" a="1"/>
  <c r="BI141" i="8" s="1"/>
  <c r="J141" i="8" a="1"/>
  <c r="J141" i="8" s="1"/>
  <c r="AA141" i="8" a="1"/>
  <c r="AA141" i="8" s="1"/>
  <c r="AB141" i="8" a="1"/>
  <c r="AB141" i="8" s="1"/>
  <c r="BU141" i="8" a="1"/>
  <c r="BU141" i="8" s="1"/>
  <c r="BX141" i="8" a="1"/>
  <c r="BX141" i="8" s="1"/>
  <c r="BB141" i="8" a="1"/>
  <c r="BB141" i="8" s="1"/>
  <c r="BD141" i="8" a="1"/>
  <c r="BD141" i="8" s="1"/>
  <c r="U141" i="8" a="1"/>
  <c r="U141" i="8" s="1"/>
  <c r="BH141" i="8" a="1"/>
  <c r="BH141" i="8" s="1"/>
  <c r="AQ141" i="8" a="1"/>
  <c r="AQ141" i="8" s="1"/>
  <c r="T141" i="8" a="1"/>
  <c r="T141" i="8" s="1"/>
  <c r="AH141" i="8" a="1"/>
  <c r="AH141" i="8" s="1"/>
  <c r="BL141" i="8" a="1"/>
  <c r="BL141" i="8" s="1"/>
  <c r="Z141" i="8" a="1"/>
  <c r="Z141" i="8" s="1"/>
  <c r="BR141" i="8" a="1"/>
  <c r="BR141" i="8" s="1"/>
  <c r="BY141" i="8" a="1"/>
  <c r="BY141" i="8" s="1"/>
  <c r="AG141" i="8" a="1"/>
  <c r="AG141" i="8" s="1"/>
  <c r="AC141" i="8" a="1"/>
  <c r="AC141" i="8" s="1"/>
  <c r="AS133" i="8" a="1"/>
  <c r="AS133" i="8" s="1"/>
  <c r="BO120" i="8" a="1"/>
  <c r="BO120" i="8" s="1"/>
  <c r="BF133" i="8" a="1"/>
  <c r="BF133" i="8" s="1"/>
  <c r="BR133" i="8" a="1"/>
  <c r="BR133" i="8" s="1"/>
  <c r="BV133" i="8" a="1"/>
  <c r="BV133" i="8" s="1"/>
  <c r="BV120" i="8" a="1"/>
  <c r="BV120" i="8" s="1"/>
  <c r="CB133" i="8" a="1"/>
  <c r="CB133" i="8" s="1"/>
  <c r="AW133" i="8" a="1"/>
  <c r="AW133" i="8" s="1"/>
  <c r="BX133" i="8" a="1"/>
  <c r="BX133" i="8" s="1"/>
  <c r="AQ120" i="8" a="1"/>
  <c r="AQ120" i="8" s="1"/>
  <c r="AN120" i="8" a="1"/>
  <c r="AN120" i="8" s="1"/>
  <c r="BB120" i="8" a="1"/>
  <c r="BB120" i="8" s="1"/>
  <c r="CJ44" i="12"/>
  <c r="BH62" i="13" s="1"/>
  <c r="BW44" i="9" s="1" a="1"/>
  <c r="BW44" i="9" s="1"/>
  <c r="BP120" i="8" a="1"/>
  <c r="BP120" i="8" s="1"/>
  <c r="AD133" i="8" a="1"/>
  <c r="AD133" i="8" s="1"/>
  <c r="AZ133" i="8" a="1"/>
  <c r="AZ133" i="8" s="1"/>
  <c r="CF133" i="8" a="1"/>
  <c r="CF133" i="8" s="1"/>
  <c r="X133" i="8" a="1"/>
  <c r="X133" i="8" s="1"/>
  <c r="BO133" i="8" a="1"/>
  <c r="BO133" i="8" s="1"/>
  <c r="AL133" i="8" a="1"/>
  <c r="AL133" i="8" s="1"/>
  <c r="AE133" i="8" a="1"/>
  <c r="AE133" i="8" s="1"/>
  <c r="BE133" i="8" a="1"/>
  <c r="BE133" i="8" s="1"/>
  <c r="U133" i="8" a="1"/>
  <c r="U133" i="8" s="1"/>
  <c r="BI133" i="8" a="1"/>
  <c r="BI133" i="8" s="1"/>
  <c r="BC133" i="8" a="1"/>
  <c r="BC133" i="8" s="1"/>
  <c r="V133" i="8" a="1"/>
  <c r="V133" i="8" s="1"/>
  <c r="AB133" i="8" a="1"/>
  <c r="AB133" i="8" s="1"/>
  <c r="J133" i="8" a="1"/>
  <c r="J133" i="8" s="1"/>
  <c r="AT133" i="8" a="1"/>
  <c r="AT133" i="8" s="1"/>
  <c r="BZ133" i="8" a="1"/>
  <c r="BZ133" i="8" s="1"/>
  <c r="AC133" i="8" a="1"/>
  <c r="AC133" i="8" s="1"/>
  <c r="AG133" i="8" a="1"/>
  <c r="AG133" i="8" s="1"/>
  <c r="BQ133" i="8" a="1"/>
  <c r="BQ133" i="8" s="1"/>
  <c r="P133" i="8" a="1"/>
  <c r="P133" i="8" s="1"/>
  <c r="BB133" i="8" a="1"/>
  <c r="BB133" i="8" s="1"/>
  <c r="T133" i="8" a="1"/>
  <c r="T133" i="8" s="1"/>
  <c r="CA133" i="8" a="1"/>
  <c r="CA133" i="8" s="1"/>
  <c r="BJ133" i="8" a="1"/>
  <c r="BJ133" i="8" s="1"/>
  <c r="BM133" i="8" a="1"/>
  <c r="BM133" i="8" s="1"/>
  <c r="BN133" i="8" a="1"/>
  <c r="BN133" i="8" s="1"/>
  <c r="BH133" i="8" a="1"/>
  <c r="BH133" i="8" s="1"/>
  <c r="BS133" i="8" a="1"/>
  <c r="BS133" i="8" s="1"/>
  <c r="BK133" i="8" a="1"/>
  <c r="BK133" i="8" s="1"/>
  <c r="AN133" i="8" a="1"/>
  <c r="AN133" i="8" s="1"/>
  <c r="W133" i="8" a="1"/>
  <c r="W133" i="8" s="1"/>
  <c r="BW133" i="8" a="1"/>
  <c r="BW133" i="8" s="1"/>
  <c r="BA133" i="8" a="1"/>
  <c r="BA133" i="8" s="1"/>
  <c r="AA133" i="8" a="1"/>
  <c r="AA133" i="8" s="1"/>
  <c r="CD133" i="8" a="1"/>
  <c r="CD133" i="8" s="1"/>
  <c r="CC133" i="8" a="1"/>
  <c r="CC133" i="8" s="1"/>
  <c r="BP133" i="8" a="1"/>
  <c r="BP133" i="8" s="1"/>
  <c r="Z133" i="8" a="1"/>
  <c r="Z133" i="8" s="1"/>
  <c r="AF133" i="8" a="1"/>
  <c r="AF133" i="8" s="1"/>
  <c r="AP133" i="8" a="1"/>
  <c r="AP133" i="8" s="1"/>
  <c r="N133" i="8" a="1"/>
  <c r="N133" i="8" s="1"/>
  <c r="AI133" i="8" a="1"/>
  <c r="AI133" i="8" s="1"/>
  <c r="AO133" i="8" a="1"/>
  <c r="AO133" i="8" s="1"/>
  <c r="AR133" i="8" a="1"/>
  <c r="AR133" i="8" s="1"/>
  <c r="AV133" i="8" a="1"/>
  <c r="AV133" i="8" s="1"/>
  <c r="O133" i="8" a="1"/>
  <c r="O133" i="8" s="1"/>
  <c r="AH133" i="8" a="1"/>
  <c r="AH133" i="8" s="1"/>
  <c r="Q133" i="8" a="1"/>
  <c r="Q133" i="8" s="1"/>
  <c r="AM133" i="8" a="1"/>
  <c r="AM133" i="8" s="1"/>
  <c r="BU133" i="8" a="1"/>
  <c r="BU133" i="8" s="1"/>
  <c r="CG133" i="8" a="1"/>
  <c r="CG133" i="8" s="1"/>
  <c r="AY133" i="8" a="1"/>
  <c r="AY133" i="8" s="1"/>
  <c r="BY133" i="8" a="1"/>
  <c r="BY133" i="8" s="1"/>
  <c r="AU133" i="8" a="1"/>
  <c r="AU133" i="8" s="1"/>
  <c r="CE133" i="8" a="1"/>
  <c r="CE133" i="8" s="1"/>
  <c r="AQ133" i="8" a="1"/>
  <c r="AQ133" i="8" s="1"/>
  <c r="BD133" i="8" a="1"/>
  <c r="BD133" i="8" s="1"/>
  <c r="BL133" i="8" a="1"/>
  <c r="BL133" i="8" s="1"/>
  <c r="AI113" i="8" a="1"/>
  <c r="AI113" i="8" s="1"/>
  <c r="AH113" i="8" a="1"/>
  <c r="AH113" i="8" s="1"/>
  <c r="AV113" i="8" a="1"/>
  <c r="AV113" i="8" s="1"/>
  <c r="W113" i="8" a="1"/>
  <c r="W113" i="8" s="1"/>
  <c r="BI113" i="8" a="1"/>
  <c r="BI113" i="8" s="1"/>
  <c r="CE113" i="8" a="1"/>
  <c r="CE113" i="8" s="1"/>
  <c r="AC113" i="8" a="1"/>
  <c r="AC113" i="8" s="1"/>
  <c r="AG113" i="8" a="1"/>
  <c r="AG113" i="8" s="1"/>
  <c r="BV113" i="8" a="1"/>
  <c r="BV113" i="8" s="1"/>
  <c r="BS113" i="8" a="1"/>
  <c r="BS113" i="8" s="1"/>
  <c r="Q113" i="8" a="1"/>
  <c r="Q113" i="8" s="1"/>
  <c r="AS113" i="8" a="1"/>
  <c r="AS113" i="8" s="1"/>
  <c r="AP113" i="8" a="1"/>
  <c r="AP113" i="8" s="1"/>
  <c r="AF113" i="8" a="1"/>
  <c r="AF113" i="8" s="1"/>
  <c r="AA113" i="8" a="1"/>
  <c r="AA113" i="8" s="1"/>
  <c r="BR113" i="8" a="1"/>
  <c r="BR113" i="8" s="1"/>
  <c r="AM113" i="8" a="1"/>
  <c r="AM113" i="8" s="1"/>
  <c r="BZ113" i="8" a="1"/>
  <c r="BZ113" i="8" s="1"/>
  <c r="BO113" i="8" a="1"/>
  <c r="BO113" i="8" s="1"/>
  <c r="Z113" i="8" a="1"/>
  <c r="Z113" i="8" s="1"/>
  <c r="CB113" i="8" a="1"/>
  <c r="CB113" i="8" s="1"/>
  <c r="BY113" i="8" a="1"/>
  <c r="BY113" i="8" s="1"/>
  <c r="AL113" i="8" a="1"/>
  <c r="AL113" i="8" s="1"/>
  <c r="BT113" i="8" a="1"/>
  <c r="BT113" i="8" s="1"/>
  <c r="BP113" i="8" a="1"/>
  <c r="BP113" i="8" s="1"/>
  <c r="Y113" i="8" a="1"/>
  <c r="Y113" i="8" s="1"/>
  <c r="P113" i="8" a="1"/>
  <c r="P113" i="8" s="1"/>
  <c r="T113" i="8" a="1"/>
  <c r="T113" i="8" s="1"/>
  <c r="BH113" i="8" a="1"/>
  <c r="BH113" i="8" s="1"/>
  <c r="BE113" i="8" a="1"/>
  <c r="BE113" i="8" s="1"/>
  <c r="CC113" i="8" a="1"/>
  <c r="CC113" i="8" s="1"/>
  <c r="AU113" i="8" a="1"/>
  <c r="AU113" i="8" s="1"/>
  <c r="AR113" i="8" a="1"/>
  <c r="AR113" i="8" s="1"/>
  <c r="AB113" i="8" a="1"/>
  <c r="AB113" i="8" s="1"/>
  <c r="O113" i="8" a="1"/>
  <c r="O113" i="8" s="1"/>
  <c r="X113" i="8" a="1"/>
  <c r="X113" i="8" s="1"/>
  <c r="BN113" i="8" a="1"/>
  <c r="BN113" i="8" s="1"/>
  <c r="BL113" i="8" a="1"/>
  <c r="BL113" i="8" s="1"/>
  <c r="CD113" i="8" a="1"/>
  <c r="CD113" i="8" s="1"/>
  <c r="AW113" i="8" a="1"/>
  <c r="AW113" i="8" s="1"/>
  <c r="AE113" i="8" a="1"/>
  <c r="AE113" i="8" s="1"/>
  <c r="U113" i="8" a="1"/>
  <c r="U113" i="8" s="1"/>
  <c r="AD113" i="8" a="1"/>
  <c r="AD113" i="8" s="1"/>
  <c r="AQ113" i="8" a="1"/>
  <c r="AQ113" i="8" s="1"/>
  <c r="BK113" i="8" a="1"/>
  <c r="BK113" i="8" s="1"/>
  <c r="AY113" i="8" a="1"/>
  <c r="AY113" i="8" s="1"/>
  <c r="AP120" i="8" a="1"/>
  <c r="AP120" i="8" s="1"/>
  <c r="BF113" i="8" a="1"/>
  <c r="BF113" i="8" s="1"/>
  <c r="AE120" i="8" a="1"/>
  <c r="AE120" i="8" s="1"/>
  <c r="AA120" i="8" a="1"/>
  <c r="AA120" i="8" s="1"/>
  <c r="O120" i="8" a="1"/>
  <c r="O120" i="8" s="1"/>
  <c r="CC120" i="8" a="1"/>
  <c r="CC120" i="8" s="1"/>
  <c r="AG120" i="8" a="1"/>
  <c r="AG120" i="8" s="1"/>
  <c r="BL120" i="8" a="1"/>
  <c r="BL120" i="8" s="1"/>
  <c r="BT120" i="8" a="1"/>
  <c r="BT120" i="8" s="1"/>
  <c r="BS120" i="8" a="1"/>
  <c r="BS120" i="8" s="1"/>
  <c r="BE120" i="8" a="1"/>
  <c r="BE120" i="8" s="1"/>
  <c r="BW120" i="8" a="1"/>
  <c r="BW120" i="8" s="1"/>
  <c r="AF120" i="8" a="1"/>
  <c r="AF120" i="8" s="1"/>
  <c r="AS120" i="8" a="1"/>
  <c r="AS120" i="8" s="1"/>
  <c r="J120" i="8" a="1"/>
  <c r="J120" i="8" s="1"/>
  <c r="BN120" i="8" a="1"/>
  <c r="BN120" i="8" s="1"/>
  <c r="V120" i="8" a="1"/>
  <c r="V120" i="8" s="1"/>
  <c r="X120" i="8" a="1"/>
  <c r="X120" i="8" s="1"/>
  <c r="BU120" i="8" a="1"/>
  <c r="BU120" i="8" s="1"/>
  <c r="BF120" i="8" a="1"/>
  <c r="BF120" i="8" s="1"/>
  <c r="AM120" i="8" a="1"/>
  <c r="AM120" i="8" s="1"/>
  <c r="BK120" i="8" a="1"/>
  <c r="BK120" i="8" s="1"/>
  <c r="BM120" i="8" a="1"/>
  <c r="BM120" i="8" s="1"/>
  <c r="BQ120" i="8" a="1"/>
  <c r="BQ120" i="8" s="1"/>
  <c r="BY120" i="8" a="1"/>
  <c r="BY120" i="8" s="1"/>
  <c r="CA120" i="8" a="1"/>
  <c r="CA120" i="8" s="1"/>
  <c r="Z120" i="8" a="1"/>
  <c r="Z120" i="8" s="1"/>
  <c r="AH120" i="8" a="1"/>
  <c r="AH120" i="8" s="1"/>
  <c r="AL120" i="8" a="1"/>
  <c r="AL120" i="8" s="1"/>
  <c r="AO120" i="8" a="1"/>
  <c r="AO120" i="8" s="1"/>
  <c r="AD120" i="8" a="1"/>
  <c r="AD120" i="8" s="1"/>
  <c r="N120" i="8" a="1"/>
  <c r="N120" i="8" s="1"/>
  <c r="AV120" i="8" a="1"/>
  <c r="AV120" i="8" s="1"/>
  <c r="CF120" i="8" a="1"/>
  <c r="CF120" i="8" s="1"/>
  <c r="BA120" i="8" a="1"/>
  <c r="BA120" i="8" s="1"/>
  <c r="CG120" i="8" a="1"/>
  <c r="CG120" i="8" s="1"/>
  <c r="AI120" i="8" a="1"/>
  <c r="AI120" i="8" s="1"/>
  <c r="AC120" i="8" a="1"/>
  <c r="AC120" i="8" s="1"/>
  <c r="AZ120" i="8" a="1"/>
  <c r="AZ120" i="8" s="1"/>
  <c r="AX120" i="8" a="1"/>
  <c r="AX120" i="8" s="1"/>
  <c r="T120" i="8" a="1"/>
  <c r="T120" i="8" s="1"/>
  <c r="AY120" i="8" a="1"/>
  <c r="AY120" i="8" s="1"/>
  <c r="BG120" i="8" a="1"/>
  <c r="BG120" i="8" s="1"/>
  <c r="W120" i="8" a="1"/>
  <c r="W120" i="8" s="1"/>
  <c r="BJ120" i="8" a="1"/>
  <c r="BJ120" i="8" s="1"/>
  <c r="BZ120" i="8" a="1"/>
  <c r="BZ120" i="8" s="1"/>
  <c r="U120" i="8" a="1"/>
  <c r="U120" i="8" s="1"/>
  <c r="AU120" i="8" a="1"/>
  <c r="AU120" i="8" s="1"/>
  <c r="Q120" i="8" a="1"/>
  <c r="Q120" i="8" s="1"/>
  <c r="AR120" i="8" a="1"/>
  <c r="AR120" i="8" s="1"/>
  <c r="BH120" i="8" a="1"/>
  <c r="BH120" i="8" s="1"/>
  <c r="K120" i="8" a="1"/>
  <c r="K120" i="8" s="1"/>
  <c r="BC120" i="8" a="1"/>
  <c r="BC120" i="8" s="1"/>
  <c r="Y120" i="8" a="1"/>
  <c r="Y120" i="8" s="1"/>
  <c r="BX120" i="8" a="1"/>
  <c r="BX120" i="8" s="1"/>
  <c r="CE120" i="8" a="1"/>
  <c r="CE120" i="8" s="1"/>
  <c r="BI120" i="8" a="1"/>
  <c r="BI120" i="8" s="1"/>
  <c r="CD120" i="8" a="1"/>
  <c r="CD120" i="8" s="1"/>
  <c r="P120" i="8" a="1"/>
  <c r="P120" i="8" s="1"/>
  <c r="AW120" i="8" a="1"/>
  <c r="AW120" i="8" s="1"/>
  <c r="BS112" i="8" a="1"/>
  <c r="BS112" i="8" s="1"/>
  <c r="BO112" i="8" a="1"/>
  <c r="BO112" i="8" s="1"/>
  <c r="O112" i="8" a="1"/>
  <c r="O112" i="8" s="1"/>
  <c r="BX112" i="8" a="1"/>
  <c r="BX112" i="8" s="1"/>
  <c r="BN112" i="8" a="1"/>
  <c r="BN112" i="8" s="1"/>
  <c r="BI112" i="8" a="1"/>
  <c r="BI112" i="8" s="1"/>
  <c r="AH112" i="8" a="1"/>
  <c r="AH112" i="8" s="1"/>
  <c r="Z112" i="8" a="1"/>
  <c r="Z112" i="8" s="1"/>
  <c r="BG135" i="8" a="1"/>
  <c r="BG135" i="8" s="1"/>
  <c r="BE134" i="8" a="1"/>
  <c r="BE134" i="8" s="1"/>
  <c r="BI134" i="8" a="1"/>
  <c r="BI134" i="8" s="1"/>
  <c r="AW134" i="8" a="1"/>
  <c r="AW134" i="8" s="1"/>
  <c r="AL134" i="8" a="1"/>
  <c r="AL134" i="8" s="1"/>
  <c r="AB135" i="8" a="1"/>
  <c r="AB135" i="8" s="1"/>
  <c r="AI135" i="8" a="1"/>
  <c r="AI135" i="8" s="1"/>
  <c r="BB135" i="8" a="1"/>
  <c r="BB135" i="8" s="1"/>
  <c r="BC121" i="8" a="1"/>
  <c r="BC121" i="8" s="1"/>
  <c r="BZ127" i="8" a="1"/>
  <c r="BZ127" i="8" s="1"/>
  <c r="BZ123" i="8" s="1"/>
  <c r="BC127" i="8" a="1"/>
  <c r="BC127" i="8" s="1"/>
  <c r="BC123" i="8" s="1"/>
  <c r="J127" i="8" a="1"/>
  <c r="J127" i="8" s="1"/>
  <c r="J123" i="8" s="1"/>
  <c r="BJ127" i="8" a="1"/>
  <c r="BJ127" i="8" s="1"/>
  <c r="BJ123" i="8" s="1"/>
  <c r="U127" i="8" a="1"/>
  <c r="U127" i="8" s="1"/>
  <c r="U123" i="8" s="1"/>
  <c r="BK127" i="8" a="1"/>
  <c r="BK127" i="8" s="1"/>
  <c r="BK123" i="8" s="1"/>
  <c r="BI127" i="8" a="1"/>
  <c r="BI127" i="8" s="1"/>
  <c r="BI123" i="8" s="1"/>
  <c r="AT127" i="8" a="1"/>
  <c r="AT127" i="8" s="1"/>
  <c r="AT123" i="8" s="1"/>
  <c r="AN127" i="8" a="1"/>
  <c r="AN127" i="8" s="1"/>
  <c r="AN123" i="8" s="1"/>
  <c r="AL127" i="8" a="1"/>
  <c r="AL127" i="8" s="1"/>
  <c r="AL123" i="8" s="1"/>
  <c r="AU127" i="8" a="1"/>
  <c r="AU127" i="8" s="1"/>
  <c r="AU123" i="8" s="1"/>
  <c r="BQ127" i="8" a="1"/>
  <c r="BQ127" i="8" s="1"/>
  <c r="BQ123" i="8" s="1"/>
  <c r="BH127" i="8" a="1"/>
  <c r="BH127" i="8" s="1"/>
  <c r="BH123" i="8" s="1"/>
  <c r="AC127" i="8" a="1"/>
  <c r="AC127" i="8" s="1"/>
  <c r="AC123" i="8" s="1"/>
  <c r="BL127" i="8" a="1"/>
  <c r="BL127" i="8" s="1"/>
  <c r="BL123" i="8" s="1"/>
  <c r="BG127" i="8" a="1"/>
  <c r="BG127" i="8" s="1"/>
  <c r="BG123" i="8" s="1"/>
  <c r="BU127" i="8" a="1"/>
  <c r="BU127" i="8" s="1"/>
  <c r="BU123" i="8" s="1"/>
  <c r="K127" i="8" a="1"/>
  <c r="K127" i="8" s="1"/>
  <c r="K123" i="8" s="1"/>
  <c r="CG127" i="8" a="1"/>
  <c r="CG127" i="8" s="1"/>
  <c r="CG123" i="8" s="1"/>
  <c r="BD127" i="8" a="1"/>
  <c r="BD127" i="8" s="1"/>
  <c r="BD123" i="8" s="1"/>
  <c r="W127" i="8" a="1"/>
  <c r="W127" i="8" s="1"/>
  <c r="W123" i="8" s="1"/>
  <c r="Y127" i="8" a="1"/>
  <c r="Y127" i="8" s="1"/>
  <c r="Y123" i="8" s="1"/>
  <c r="BR127" i="8" a="1"/>
  <c r="BR127" i="8" s="1"/>
  <c r="BR123" i="8" s="1"/>
  <c r="BS127" i="8" a="1"/>
  <c r="BS127" i="8" s="1"/>
  <c r="BS123" i="8" s="1"/>
  <c r="AQ127" i="8" a="1"/>
  <c r="AQ127" i="8" s="1"/>
  <c r="AQ123" i="8" s="1"/>
  <c r="CE127" i="8" a="1"/>
  <c r="CE127" i="8" s="1"/>
  <c r="CE123" i="8" s="1"/>
  <c r="AG127" i="8" a="1"/>
  <c r="AG127" i="8" s="1"/>
  <c r="AG123" i="8" s="1"/>
  <c r="CF127" i="8" a="1"/>
  <c r="CF127" i="8" s="1"/>
  <c r="CF123" i="8" s="1"/>
  <c r="BT127" i="8" a="1"/>
  <c r="BT127" i="8" s="1"/>
  <c r="BT123" i="8" s="1"/>
  <c r="CC127" i="8" a="1"/>
  <c r="CC127" i="8" s="1"/>
  <c r="CC123" i="8" s="1"/>
  <c r="Z127" i="8" a="1"/>
  <c r="Z127" i="8" s="1"/>
  <c r="Z123" i="8" s="1"/>
  <c r="AE127" i="8" a="1"/>
  <c r="AE127" i="8" s="1"/>
  <c r="AE123" i="8" s="1"/>
  <c r="V127" i="8" a="1"/>
  <c r="V127" i="8" s="1"/>
  <c r="V123" i="8" s="1"/>
  <c r="AO127" i="8" a="1"/>
  <c r="AO127" i="8" s="1"/>
  <c r="AO123" i="8" s="1"/>
  <c r="AP127" i="8" a="1"/>
  <c r="AP127" i="8" s="1"/>
  <c r="AP123" i="8" s="1"/>
  <c r="T127" i="8" a="1"/>
  <c r="T127" i="8" s="1"/>
  <c r="T123" i="8" s="1"/>
  <c r="AR127" i="8" a="1"/>
  <c r="AR127" i="8" s="1"/>
  <c r="AR123" i="8" s="1"/>
  <c r="AY127" i="8" a="1"/>
  <c r="AY127" i="8" s="1"/>
  <c r="AY123" i="8" s="1"/>
  <c r="BP127" i="8" a="1"/>
  <c r="BP127" i="8" s="1"/>
  <c r="BP123" i="8" s="1"/>
  <c r="AZ127" i="8" a="1"/>
  <c r="AZ127" i="8" s="1"/>
  <c r="AZ123" i="8" s="1"/>
  <c r="AW127" i="8" a="1"/>
  <c r="AW127" i="8" s="1"/>
  <c r="AW123" i="8" s="1"/>
  <c r="BY127" i="8" a="1"/>
  <c r="BY127" i="8" s="1"/>
  <c r="BY123" i="8" s="1"/>
  <c r="AM127" i="8" a="1"/>
  <c r="AM127" i="8" s="1"/>
  <c r="AM123" i="8" s="1"/>
  <c r="BV127" i="8" a="1"/>
  <c r="BV127" i="8" s="1"/>
  <c r="BV123" i="8" s="1"/>
  <c r="BO127" i="8" a="1"/>
  <c r="BO127" i="8" s="1"/>
  <c r="BO123" i="8" s="1"/>
  <c r="X127" i="8" a="1"/>
  <c r="X127" i="8" s="1"/>
  <c r="X123" i="8" s="1"/>
  <c r="BA127" i="8" a="1"/>
  <c r="BA127" i="8" s="1"/>
  <c r="BA123" i="8" s="1"/>
  <c r="CD127" i="8" a="1"/>
  <c r="CD127" i="8" s="1"/>
  <c r="CD123" i="8" s="1"/>
  <c r="O127" i="8" a="1"/>
  <c r="O127" i="8" s="1"/>
  <c r="O123" i="8" s="1"/>
  <c r="N127" i="8" a="1"/>
  <c r="N127" i="8" s="1"/>
  <c r="N123" i="8" s="1"/>
  <c r="BW127" i="8" a="1"/>
  <c r="BW127" i="8" s="1"/>
  <c r="BW123" i="8" s="1"/>
  <c r="CB127" i="8" a="1"/>
  <c r="CB127" i="8" s="1"/>
  <c r="CB123" i="8" s="1"/>
  <c r="AF127" i="8" a="1"/>
  <c r="AF127" i="8" s="1"/>
  <c r="AF123" i="8" s="1"/>
  <c r="BN127" i="8" a="1"/>
  <c r="BN127" i="8" s="1"/>
  <c r="BN123" i="8" s="1"/>
  <c r="AX127" i="8" a="1"/>
  <c r="AX127" i="8" s="1"/>
  <c r="AX123" i="8" s="1"/>
  <c r="CA127" i="8" a="1"/>
  <c r="CA127" i="8" s="1"/>
  <c r="CA123" i="8" s="1"/>
  <c r="AV127" i="8" a="1"/>
  <c r="AV127" i="8" s="1"/>
  <c r="AV123" i="8" s="1"/>
  <c r="AA127" i="8" a="1"/>
  <c r="AA127" i="8" s="1"/>
  <c r="AA123" i="8" s="1"/>
  <c r="BX127" i="8" a="1"/>
  <c r="BX127" i="8" s="1"/>
  <c r="BX123" i="8" s="1"/>
  <c r="BF127" i="8" a="1"/>
  <c r="BF127" i="8" s="1"/>
  <c r="BF123" i="8" s="1"/>
  <c r="BE127" i="8" a="1"/>
  <c r="BE127" i="8" s="1"/>
  <c r="BE123" i="8" s="1"/>
  <c r="Q127" i="8" a="1"/>
  <c r="Q127" i="8" s="1"/>
  <c r="Q123" i="8" s="1"/>
  <c r="AI127" i="8" a="1"/>
  <c r="AI127" i="8" s="1"/>
  <c r="AI123" i="8" s="1"/>
  <c r="BB127" i="8" a="1"/>
  <c r="BB127" i="8" s="1"/>
  <c r="BB123" i="8" s="1"/>
  <c r="AH127" i="8" a="1"/>
  <c r="AH127" i="8" s="1"/>
  <c r="AH123" i="8" s="1"/>
  <c r="P127" i="8" a="1"/>
  <c r="P127" i="8" s="1"/>
  <c r="P123" i="8" s="1"/>
  <c r="AB127" i="8" a="1"/>
  <c r="AB127" i="8" s="1"/>
  <c r="AB123" i="8" s="1"/>
  <c r="AD127" i="8" a="1"/>
  <c r="AD127" i="8" s="1"/>
  <c r="AD123" i="8" s="1"/>
  <c r="BM127" i="8" a="1"/>
  <c r="BM127" i="8" s="1"/>
  <c r="BM123" i="8" s="1"/>
  <c r="AS127" i="8" a="1"/>
  <c r="AS127" i="8" s="1"/>
  <c r="AS123" i="8" s="1"/>
  <c r="Z135" i="8" a="1"/>
  <c r="Z135" i="8" s="1"/>
  <c r="AF135" i="8" a="1"/>
  <c r="AF135" i="8" s="1"/>
  <c r="BM135" i="8" a="1"/>
  <c r="BM135" i="8" s="1"/>
  <c r="AX140" i="8" a="1"/>
  <c r="AX140" i="8" s="1"/>
  <c r="BW140" i="8" a="1"/>
  <c r="BW140" i="8" s="1"/>
  <c r="BN140" i="8" a="1"/>
  <c r="BN140" i="8" s="1"/>
  <c r="AB140" i="8" a="1"/>
  <c r="AB140" i="8" s="1"/>
  <c r="AV140" i="8" a="1"/>
  <c r="AV140" i="8" s="1"/>
  <c r="O140" i="8" a="1"/>
  <c r="O140" i="8" s="1"/>
  <c r="BG140" i="8" a="1"/>
  <c r="BG140" i="8" s="1"/>
  <c r="BE140" i="8" a="1"/>
  <c r="BE140" i="8" s="1"/>
  <c r="U140" i="8" a="1"/>
  <c r="U140" i="8" s="1"/>
  <c r="K140" i="8" a="1"/>
  <c r="K140" i="8" s="1"/>
  <c r="CE140" i="8" a="1"/>
  <c r="CE140" i="8" s="1"/>
  <c r="Y140" i="8" a="1"/>
  <c r="Y140" i="8" s="1"/>
  <c r="AE140" i="8" a="1"/>
  <c r="AE140" i="8" s="1"/>
  <c r="BQ140" i="8" a="1"/>
  <c r="BQ140" i="8" s="1"/>
  <c r="BJ140" i="8" a="1"/>
  <c r="BJ140" i="8" s="1"/>
  <c r="BD140" i="8" a="1"/>
  <c r="BD140" i="8" s="1"/>
  <c r="AL140" i="8" a="1"/>
  <c r="AL140" i="8" s="1"/>
  <c r="BH140" i="8" a="1"/>
  <c r="BH140" i="8" s="1"/>
  <c r="BL140" i="8" a="1"/>
  <c r="BL140" i="8" s="1"/>
  <c r="BY140" i="8" a="1"/>
  <c r="BY140" i="8" s="1"/>
  <c r="CD140" i="8" a="1"/>
  <c r="CD140" i="8" s="1"/>
  <c r="AQ140" i="8" a="1"/>
  <c r="AQ140" i="8" s="1"/>
  <c r="CB140" i="8" a="1"/>
  <c r="CB140" i="8" s="1"/>
  <c r="BK140" i="8" a="1"/>
  <c r="BK140" i="8" s="1"/>
  <c r="AS140" i="8" a="1"/>
  <c r="AS140" i="8" s="1"/>
  <c r="BF140" i="8" a="1"/>
  <c r="BF140" i="8" s="1"/>
  <c r="AR140" i="8" a="1"/>
  <c r="AR140" i="8" s="1"/>
  <c r="BR140" i="8" a="1"/>
  <c r="BR140" i="8" s="1"/>
  <c r="BP140" i="8" a="1"/>
  <c r="BP140" i="8" s="1"/>
  <c r="AI140" i="8" a="1"/>
  <c r="AI140" i="8" s="1"/>
  <c r="AP140" i="8" a="1"/>
  <c r="AP140" i="8" s="1"/>
  <c r="BI140" i="8" a="1"/>
  <c r="BI140" i="8" s="1"/>
  <c r="AN140" i="8" a="1"/>
  <c r="AN140" i="8" s="1"/>
  <c r="CG140" i="8" a="1"/>
  <c r="CG140" i="8" s="1"/>
  <c r="AT140" i="8" a="1"/>
  <c r="AT140" i="8" s="1"/>
  <c r="AW140" i="8" a="1"/>
  <c r="AW140" i="8" s="1"/>
  <c r="AG140" i="8" a="1"/>
  <c r="AG140" i="8" s="1"/>
  <c r="BS140" i="8" a="1"/>
  <c r="BS140" i="8" s="1"/>
  <c r="BU140" i="8" a="1"/>
  <c r="BU140" i="8" s="1"/>
  <c r="BO140" i="8" a="1"/>
  <c r="BO140" i="8" s="1"/>
  <c r="CC140" i="8" a="1"/>
  <c r="CC140" i="8" s="1"/>
  <c r="N140" i="8" a="1"/>
  <c r="N140" i="8" s="1"/>
  <c r="BB140" i="8" a="1"/>
  <c r="BB140" i="8" s="1"/>
  <c r="BX140" i="8" a="1"/>
  <c r="BX140" i="8" s="1"/>
  <c r="T140" i="8" a="1"/>
  <c r="T140" i="8" s="1"/>
  <c r="J140" i="8" a="1"/>
  <c r="J140" i="8" s="1"/>
  <c r="P140" i="8" a="1"/>
  <c r="P140" i="8" s="1"/>
  <c r="BA140" i="8" a="1"/>
  <c r="BA140" i="8" s="1"/>
  <c r="AD140" i="8" a="1"/>
  <c r="AD140" i="8" s="1"/>
  <c r="BV140" i="8" a="1"/>
  <c r="BV140" i="8" s="1"/>
  <c r="AZ140" i="8" a="1"/>
  <c r="AZ140" i="8" s="1"/>
  <c r="AM140" i="8" a="1"/>
  <c r="AM140" i="8" s="1"/>
  <c r="BT140" i="8" a="1"/>
  <c r="BT140" i="8" s="1"/>
  <c r="AH140" i="8" a="1"/>
  <c r="AH140" i="8" s="1"/>
  <c r="BZ140" i="8" a="1"/>
  <c r="BZ140" i="8" s="1"/>
  <c r="BM140" i="8" a="1"/>
  <c r="BM140" i="8" s="1"/>
  <c r="V140" i="8" a="1"/>
  <c r="V140" i="8" s="1"/>
  <c r="BC140" i="8" a="1"/>
  <c r="BC140" i="8" s="1"/>
  <c r="AC140" i="8" a="1"/>
  <c r="AC140" i="8" s="1"/>
  <c r="AY140" i="8" a="1"/>
  <c r="AY140" i="8" s="1"/>
  <c r="Z140" i="8" a="1"/>
  <c r="Z140" i="8" s="1"/>
  <c r="CF140" i="8" a="1"/>
  <c r="CF140" i="8" s="1"/>
  <c r="AF140" i="8" a="1"/>
  <c r="AF140" i="8" s="1"/>
  <c r="Q140" i="8" a="1"/>
  <c r="Q140" i="8" s="1"/>
  <c r="AA140" i="8" a="1"/>
  <c r="AA140" i="8" s="1"/>
  <c r="AU140" i="8" a="1"/>
  <c r="AU140" i="8" s="1"/>
  <c r="CA140" i="8" a="1"/>
  <c r="CA140" i="8" s="1"/>
  <c r="AO140" i="8" a="1"/>
  <c r="AO140" i="8" s="1"/>
  <c r="W140" i="8" a="1"/>
  <c r="W140" i="8" s="1"/>
  <c r="X140" i="8" a="1"/>
  <c r="X140" i="8" s="1"/>
  <c r="BE121" i="8" a="1"/>
  <c r="BE121" i="8" s="1"/>
  <c r="BI121" i="8" a="1"/>
  <c r="BI121" i="8" s="1"/>
  <c r="BH121" i="8" a="1"/>
  <c r="BH121" i="8" s="1"/>
  <c r="AR121" i="8" a="1"/>
  <c r="AR121" i="8" s="1"/>
  <c r="CG135" i="8" a="1"/>
  <c r="CG135" i="8" s="1"/>
  <c r="AI112" i="8" a="1"/>
  <c r="AI112" i="8" s="1"/>
  <c r="BL112" i="8" a="1"/>
  <c r="BL112" i="8" s="1"/>
  <c r="AO112" i="8" a="1"/>
  <c r="AO112" i="8" s="1"/>
  <c r="BQ114" i="8" a="1"/>
  <c r="BQ114" i="8" s="1"/>
  <c r="BB114" i="8" a="1"/>
  <c r="BB114" i="8" s="1"/>
  <c r="BM114" i="8" a="1"/>
  <c r="BM114" i="8" s="1"/>
  <c r="BO114" i="8" a="1"/>
  <c r="BO114" i="8" s="1"/>
  <c r="BH134" i="8" a="1"/>
  <c r="BH134" i="8" s="1"/>
  <c r="BJ134" i="8" a="1"/>
  <c r="BJ134" i="8" s="1"/>
  <c r="Y134" i="8" a="1"/>
  <c r="Y134" i="8" s="1"/>
  <c r="AU135" i="8" a="1"/>
  <c r="AU135" i="8" s="1"/>
  <c r="BX135" i="8" a="1"/>
  <c r="BX135" i="8" s="1"/>
  <c r="BP135" i="8" a="1"/>
  <c r="BP135" i="8" s="1"/>
  <c r="BV121" i="8" a="1"/>
  <c r="BV121" i="8" s="1"/>
  <c r="V114" i="8" a="1"/>
  <c r="V114" i="8" s="1"/>
  <c r="AQ142" i="8" a="1"/>
  <c r="AQ142" i="8" s="1"/>
  <c r="AV142" i="8" a="1"/>
  <c r="AV142" i="8" s="1"/>
  <c r="BC142" i="8" a="1"/>
  <c r="BC142" i="8" s="1"/>
  <c r="BS142" i="8" a="1"/>
  <c r="BS142" i="8" s="1"/>
  <c r="BB142" i="8" a="1"/>
  <c r="BB142" i="8" s="1"/>
  <c r="V142" i="8" a="1"/>
  <c r="V142" i="8" s="1"/>
  <c r="BT142" i="8" a="1"/>
  <c r="BT142" i="8" s="1"/>
  <c r="BV142" i="8" a="1"/>
  <c r="BV142" i="8" s="1"/>
  <c r="P142" i="8" a="1"/>
  <c r="P142" i="8" s="1"/>
  <c r="AP142" i="8" a="1"/>
  <c r="AP142" i="8" s="1"/>
  <c r="CG142" i="8" a="1"/>
  <c r="CG142" i="8" s="1"/>
  <c r="BJ142" i="8" a="1"/>
  <c r="BJ142" i="8" s="1"/>
  <c r="BL142" i="8" a="1"/>
  <c r="BL142" i="8" s="1"/>
  <c r="AC142" i="8" a="1"/>
  <c r="AC142" i="8" s="1"/>
  <c r="BG142" i="8" a="1"/>
  <c r="BG142" i="8" s="1"/>
  <c r="CD142" i="8" a="1"/>
  <c r="CD142" i="8" s="1"/>
  <c r="BY142" i="8" a="1"/>
  <c r="BY142" i="8" s="1"/>
  <c r="BH142" i="8" a="1"/>
  <c r="BH142" i="8" s="1"/>
  <c r="CA142" i="8" a="1"/>
  <c r="CA142" i="8" s="1"/>
  <c r="Q142" i="8" a="1"/>
  <c r="Q142" i="8" s="1"/>
  <c r="N142" i="8" a="1"/>
  <c r="N142" i="8" s="1"/>
  <c r="BP142" i="8" a="1"/>
  <c r="BP142" i="8" s="1"/>
  <c r="Z142" i="8" a="1"/>
  <c r="Z142" i="8" s="1"/>
  <c r="BX142" i="8" a="1"/>
  <c r="BX142" i="8" s="1"/>
  <c r="AO142" i="8" a="1"/>
  <c r="AO142" i="8" s="1"/>
  <c r="W142" i="8" a="1"/>
  <c r="W142" i="8" s="1"/>
  <c r="BM142" i="8" a="1"/>
  <c r="BM142" i="8" s="1"/>
  <c r="AM142" i="8" a="1"/>
  <c r="AM142" i="8" s="1"/>
  <c r="O142" i="8" a="1"/>
  <c r="O142" i="8" s="1"/>
  <c r="BZ142" i="8" a="1"/>
  <c r="BZ142" i="8" s="1"/>
  <c r="AD142" i="8" a="1"/>
  <c r="AD142" i="8" s="1"/>
  <c r="BR142" i="8" a="1"/>
  <c r="BR142" i="8" s="1"/>
  <c r="BE142" i="8" a="1"/>
  <c r="BE142" i="8" s="1"/>
  <c r="BI142" i="8" a="1"/>
  <c r="BI142" i="8" s="1"/>
  <c r="CF142" i="8" a="1"/>
  <c r="CF142" i="8" s="1"/>
  <c r="T142" i="8" a="1"/>
  <c r="T142" i="8" s="1"/>
  <c r="BD142" i="8" a="1"/>
  <c r="BD142" i="8" s="1"/>
  <c r="AX142" i="8" a="1"/>
  <c r="AX142" i="8" s="1"/>
  <c r="CC142" i="8" a="1"/>
  <c r="CC142" i="8" s="1"/>
  <c r="AS142" i="8" a="1"/>
  <c r="AS142" i="8" s="1"/>
  <c r="CB142" i="8" a="1"/>
  <c r="CB142" i="8" s="1"/>
  <c r="AT142" i="8" a="1"/>
  <c r="AT142" i="8" s="1"/>
  <c r="BU142" i="8" a="1"/>
  <c r="BU142" i="8" s="1"/>
  <c r="AY142" i="8" a="1"/>
  <c r="AY142" i="8" s="1"/>
  <c r="AL142" i="8" a="1"/>
  <c r="AL142" i="8" s="1"/>
  <c r="AB142" i="8" a="1"/>
  <c r="AB142" i="8" s="1"/>
  <c r="AF142" i="8" a="1"/>
  <c r="AF142" i="8" s="1"/>
  <c r="BK142" i="8" a="1"/>
  <c r="BK142" i="8" s="1"/>
  <c r="AU142" i="8" a="1"/>
  <c r="AU142" i="8" s="1"/>
  <c r="BQ142" i="8" a="1"/>
  <c r="BQ142" i="8" s="1"/>
  <c r="AZ142" i="8" a="1"/>
  <c r="AZ142" i="8" s="1"/>
  <c r="X142" i="8" a="1"/>
  <c r="X142" i="8" s="1"/>
  <c r="AH142" i="8" a="1"/>
  <c r="AH142" i="8" s="1"/>
  <c r="AN142" i="8" a="1"/>
  <c r="AN142" i="8" s="1"/>
  <c r="BO142" i="8" a="1"/>
  <c r="BO142" i="8" s="1"/>
  <c r="AW142" i="8" a="1"/>
  <c r="AW142" i="8" s="1"/>
  <c r="AR142" i="8" a="1"/>
  <c r="AR142" i="8" s="1"/>
  <c r="BW142" i="8" a="1"/>
  <c r="BW142" i="8" s="1"/>
  <c r="AG142" i="8" a="1"/>
  <c r="AG142" i="8" s="1"/>
  <c r="Y142" i="8" a="1"/>
  <c r="Y142" i="8" s="1"/>
  <c r="CE142" i="8" a="1"/>
  <c r="CE142" i="8" s="1"/>
  <c r="BA142" i="8" a="1"/>
  <c r="BA142" i="8" s="1"/>
  <c r="AA142" i="8" a="1"/>
  <c r="AA142" i="8" s="1"/>
  <c r="K142" i="8" a="1"/>
  <c r="K142" i="8" s="1"/>
  <c r="AE142" i="8" a="1"/>
  <c r="AE142" i="8" s="1"/>
  <c r="BF142" i="8" a="1"/>
  <c r="BF142" i="8" s="1"/>
  <c r="J142" i="8" a="1"/>
  <c r="J142" i="8" s="1"/>
  <c r="U142" i="8" a="1"/>
  <c r="U142" i="8" s="1"/>
  <c r="AI142" i="8" a="1"/>
  <c r="AI142" i="8" s="1"/>
  <c r="BN142" i="8" a="1"/>
  <c r="BN142" i="8" s="1"/>
  <c r="AY135" i="8" a="1"/>
  <c r="AY135" i="8" s="1"/>
  <c r="CC112" i="8" a="1"/>
  <c r="CC112" i="8" s="1"/>
  <c r="CE112" i="8" a="1"/>
  <c r="CE112" i="8" s="1"/>
  <c r="CD112" i="8" a="1"/>
  <c r="CD112" i="8" s="1"/>
  <c r="AM114" i="8" a="1"/>
  <c r="AM114" i="8" s="1"/>
  <c r="AI134" i="8" a="1"/>
  <c r="AI134" i="8" s="1"/>
  <c r="AG135" i="8" a="1"/>
  <c r="AG135" i="8" s="1"/>
  <c r="AT114" i="8" a="1"/>
  <c r="AT114" i="8" s="1"/>
  <c r="Q114" i="8" a="1"/>
  <c r="Q114" i="8" s="1"/>
  <c r="BI114" i="8" a="1"/>
  <c r="BI114" i="8" s="1"/>
  <c r="X134" i="8" a="1"/>
  <c r="X134" i="8" s="1"/>
  <c r="AR134" i="8" a="1"/>
  <c r="AR134" i="8" s="1"/>
  <c r="BB134" i="8" a="1"/>
  <c r="BB134" i="8" s="1"/>
  <c r="AQ135" i="8" a="1"/>
  <c r="AQ135" i="8" s="1"/>
  <c r="BI135" i="8" a="1"/>
  <c r="BI135" i="8" s="1"/>
  <c r="AV135" i="8" a="1"/>
  <c r="AV135" i="8" s="1"/>
  <c r="BF135" i="8" a="1"/>
  <c r="BF135" i="8" s="1"/>
  <c r="N114" i="8" a="1"/>
  <c r="N114" i="8" s="1"/>
  <c r="CJ45" i="12"/>
  <c r="BH63" i="13" s="1"/>
  <c r="BW45" i="9" s="1" a="1"/>
  <c r="BW45" i="9" s="1"/>
  <c r="BQ135" i="8" a="1"/>
  <c r="BQ135" i="8" s="1"/>
  <c r="X135" i="8" a="1"/>
  <c r="X135" i="8" s="1"/>
  <c r="Q135" i="8" a="1"/>
  <c r="Q135" i="8" s="1"/>
  <c r="AH135" i="8" a="1"/>
  <c r="AH135" i="8" s="1"/>
  <c r="AU112" i="8" a="1"/>
  <c r="AU112" i="8" s="1"/>
  <c r="AF134" i="8" a="1"/>
  <c r="AF134" i="8" s="1"/>
  <c r="BP134" i="8" a="1"/>
  <c r="BP134" i="8" s="1"/>
  <c r="AT134" i="8" a="1"/>
  <c r="AT134" i="8" s="1"/>
  <c r="CE134" i="8" a="1"/>
  <c r="CE134" i="8" s="1"/>
  <c r="CE135" i="8" a="1"/>
  <c r="CE135" i="8" s="1"/>
  <c r="BY135" i="8" a="1"/>
  <c r="BY135" i="8" s="1"/>
  <c r="T135" i="8" a="1"/>
  <c r="T135" i="8" s="1"/>
  <c r="BO135" i="8" a="1"/>
  <c r="BO135" i="8" s="1"/>
  <c r="AW135" i="8" a="1"/>
  <c r="AW135" i="8" s="1"/>
  <c r="CC121" i="8" a="1"/>
  <c r="CC121" i="8" s="1"/>
  <c r="AH121" i="8" a="1"/>
  <c r="AH121" i="8" s="1"/>
  <c r="N112" i="8" a="1"/>
  <c r="N112" i="8" s="1"/>
  <c r="BV112" i="8" a="1"/>
  <c r="BV112" i="8" s="1"/>
  <c r="Y112" i="8" a="1"/>
  <c r="Y112" i="8" s="1"/>
  <c r="Y135" i="8" a="1"/>
  <c r="Y135" i="8" s="1"/>
  <c r="BE114" i="8" a="1"/>
  <c r="BE114" i="8" s="1"/>
  <c r="BN114" i="8" a="1"/>
  <c r="BN114" i="8" s="1"/>
  <c r="AC114" i="8" a="1"/>
  <c r="AC114" i="8" s="1"/>
  <c r="BS114" i="8" a="1"/>
  <c r="BS114" i="8" s="1"/>
  <c r="AV134" i="8" a="1"/>
  <c r="AV134" i="8" s="1"/>
  <c r="K134" i="8" a="1"/>
  <c r="K134" i="8" s="1"/>
  <c r="BM134" i="8" a="1"/>
  <c r="BM134" i="8" s="1"/>
  <c r="BL135" i="8" a="1"/>
  <c r="BL135" i="8" s="1"/>
  <c r="CB135" i="8" a="1"/>
  <c r="CB135" i="8" s="1"/>
  <c r="V135" i="8" a="1"/>
  <c r="V135" i="8" s="1"/>
  <c r="BC134" i="8" a="1"/>
  <c r="BC134" i="8" s="1"/>
  <c r="AD112" i="8" a="1"/>
  <c r="AD112" i="8" s="1"/>
  <c r="BW121" i="8" a="1"/>
  <c r="BW121" i="8" s="1"/>
  <c r="BY121" i="8" a="1"/>
  <c r="BY121" i="8" s="1"/>
  <c r="AD121" i="8" a="1"/>
  <c r="AD121" i="8" s="1"/>
  <c r="AV121" i="8" a="1"/>
  <c r="AV121" i="8" s="1"/>
  <c r="CG121" i="8" a="1"/>
  <c r="CG121" i="8" s="1"/>
  <c r="AA121" i="8" a="1"/>
  <c r="AA121" i="8" s="1"/>
  <c r="BL121" i="8" a="1"/>
  <c r="BL121" i="8" s="1"/>
  <c r="T121" i="8" a="1"/>
  <c r="T121" i="8" s="1"/>
  <c r="AS121" i="8" a="1"/>
  <c r="AS121" i="8" s="1"/>
  <c r="AY121" i="8" a="1"/>
  <c r="AY121" i="8" s="1"/>
  <c r="AL121" i="8" a="1"/>
  <c r="AL121" i="8" s="1"/>
  <c r="BH124" i="13"/>
  <c r="AI122" i="17"/>
  <c r="K121" i="8" a="1"/>
  <c r="K121" i="8" s="1"/>
  <c r="O134" i="8" a="1"/>
  <c r="O134" i="8" s="1"/>
  <c r="O121" i="8" a="1"/>
  <c r="O121" i="8" s="1"/>
  <c r="AE135" i="8" a="1"/>
  <c r="AE135" i="8" s="1"/>
  <c r="W121" i="8" a="1"/>
  <c r="W121" i="8" s="1"/>
  <c r="U114" i="8" a="1"/>
  <c r="U114" i="8" s="1"/>
  <c r="BR112" i="8" a="1"/>
  <c r="BR112" i="8" s="1"/>
  <c r="AP112" i="8" a="1"/>
  <c r="AP112" i="8" s="1"/>
  <c r="V112" i="8" a="1"/>
  <c r="V112" i="8" s="1"/>
  <c r="AA134" i="8" a="1"/>
  <c r="AA134" i="8" s="1"/>
  <c r="W114" i="8" a="1"/>
  <c r="W114" i="8" s="1"/>
  <c r="AY114" i="8" a="1"/>
  <c r="AY114" i="8" s="1"/>
  <c r="AP114" i="8" a="1"/>
  <c r="AP114" i="8" s="1"/>
  <c r="AM134" i="8" a="1"/>
  <c r="AM134" i="8" s="1"/>
  <c r="W134" i="8" a="1"/>
  <c r="W134" i="8" s="1"/>
  <c r="BU134" i="8" a="1"/>
  <c r="BU134" i="8" s="1"/>
  <c r="U135" i="8" a="1"/>
  <c r="U135" i="8" s="1"/>
  <c r="BW135" i="8" a="1"/>
  <c r="BW135" i="8" s="1"/>
  <c r="CF135" i="8" a="1"/>
  <c r="CF135" i="8" s="1"/>
  <c r="BX134" i="8" a="1"/>
  <c r="BX134" i="8" s="1"/>
  <c r="BJ135" i="8" a="1"/>
  <c r="BJ135" i="8" s="1"/>
  <c r="AE112" i="8" a="1"/>
  <c r="AE112" i="8" s="1"/>
  <c r="BY134" i="8" a="1"/>
  <c r="BY134" i="8" s="1"/>
  <c r="AC135" i="8" a="1"/>
  <c r="AC135" i="8" s="1"/>
  <c r="U82" i="20"/>
  <c r="AI121" i="17"/>
  <c r="T112" i="8" a="1"/>
  <c r="T112" i="8" s="1"/>
  <c r="AZ135" i="8" a="1"/>
  <c r="AZ135" i="8" s="1"/>
  <c r="BF112" i="8" a="1"/>
  <c r="BF112" i="8" s="1"/>
  <c r="AN112" i="8" a="1"/>
  <c r="AN112" i="8" s="1"/>
  <c r="BG112" i="8" a="1"/>
  <c r="BG112" i="8" s="1"/>
  <c r="AV114" i="8" a="1"/>
  <c r="AV114" i="8" s="1"/>
  <c r="BX114" i="8" a="1"/>
  <c r="BX114" i="8" s="1"/>
  <c r="BH114" i="8" a="1"/>
  <c r="BH114" i="8" s="1"/>
  <c r="BY112" i="8" a="1"/>
  <c r="BY112" i="8" s="1"/>
  <c r="N134" i="8" a="1"/>
  <c r="N134" i="8" s="1"/>
  <c r="J134" i="8" a="1"/>
  <c r="J134" i="8" s="1"/>
  <c r="BS134" i="8" a="1"/>
  <c r="BS134" i="8" s="1"/>
  <c r="BE135" i="8" a="1"/>
  <c r="BE135" i="8" s="1"/>
  <c r="BU135" i="8" a="1"/>
  <c r="BU135" i="8" s="1"/>
  <c r="AS135" i="8" a="1"/>
  <c r="AS135" i="8" s="1"/>
  <c r="CA112" i="8" a="1"/>
  <c r="CA112" i="8" s="1"/>
  <c r="BH135" i="8" a="1"/>
  <c r="BH135" i="8" s="1"/>
  <c r="BX121" i="8" a="1"/>
  <c r="BX121" i="8" s="1"/>
  <c r="CD135" i="8" a="1"/>
  <c r="CD135" i="8" s="1"/>
  <c r="BQ112" i="8" a="1"/>
  <c r="BQ112" i="8" s="1"/>
  <c r="BT112" i="8" a="1"/>
  <c r="BT112" i="8" s="1"/>
  <c r="AV112" i="8" a="1"/>
  <c r="AV112" i="8" s="1"/>
  <c r="BS135" i="8" a="1"/>
  <c r="BS135" i="8" s="1"/>
  <c r="BP112" i="8" a="1"/>
  <c r="BP112" i="8" s="1"/>
  <c r="AE134" i="8" a="1"/>
  <c r="AE134" i="8" s="1"/>
  <c r="AX114" i="8" a="1"/>
  <c r="AX114" i="8" s="1"/>
  <c r="BJ114" i="8" a="1"/>
  <c r="BJ114" i="8" s="1"/>
  <c r="AD114" i="8" a="1"/>
  <c r="AD114" i="8" s="1"/>
  <c r="BV134" i="8" a="1"/>
  <c r="BV134" i="8" s="1"/>
  <c r="AS134" i="8" a="1"/>
  <c r="AS134" i="8" s="1"/>
  <c r="AP134" i="8" a="1"/>
  <c r="AP134" i="8" s="1"/>
  <c r="AN135" i="8" a="1"/>
  <c r="AN135" i="8" s="1"/>
  <c r="O135" i="8" a="1"/>
  <c r="O135" i="8" s="1"/>
  <c r="T134" i="8" a="1"/>
  <c r="T134" i="8" s="1"/>
  <c r="CE121" i="8" a="1"/>
  <c r="CE121" i="8" s="1"/>
  <c r="AT135" i="8" a="1"/>
  <c r="AT135" i="8" s="1"/>
  <c r="BM112" i="8" a="1"/>
  <c r="BM112" i="8" s="1"/>
  <c r="J112" i="8" a="1"/>
  <c r="J112" i="8" s="1"/>
  <c r="W112" i="8" a="1"/>
  <c r="W112" i="8" s="1"/>
  <c r="AG114" i="8" a="1"/>
  <c r="AG114" i="8" s="1"/>
  <c r="BD112" i="8" a="1"/>
  <c r="BD112" i="8" s="1"/>
  <c r="BF114" i="8" a="1"/>
  <c r="BF114" i="8" s="1"/>
  <c r="BD114" i="8" a="1"/>
  <c r="BD114" i="8" s="1"/>
  <c r="BK114" i="8" a="1"/>
  <c r="BK114" i="8" s="1"/>
  <c r="BZ135" i="8" a="1"/>
  <c r="BZ135" i="8" s="1"/>
  <c r="CG134" i="8" a="1"/>
  <c r="CG134" i="8" s="1"/>
  <c r="BA134" i="8" a="1"/>
  <c r="BA134" i="8" s="1"/>
  <c r="AR114" i="8" a="1"/>
  <c r="AR114" i="8" s="1"/>
  <c r="K135" i="8" a="1"/>
  <c r="K135" i="8" s="1"/>
  <c r="BN135" i="8" a="1"/>
  <c r="BN135" i="8" s="1"/>
  <c r="BA112" i="8" a="1"/>
  <c r="BA112" i="8" s="1"/>
  <c r="BK134" i="8" a="1"/>
  <c r="BK134" i="8" s="1"/>
  <c r="Q134" i="8" a="1"/>
  <c r="Q134" i="8" s="1"/>
  <c r="CC134" i="8" a="1"/>
  <c r="CC134" i="8" s="1"/>
  <c r="AH134" i="8" a="1"/>
  <c r="AH134" i="8" s="1"/>
  <c r="BO121" i="8" a="1"/>
  <c r="BO121" i="8" s="1"/>
  <c r="V134" i="8" a="1"/>
  <c r="V134" i="8" s="1"/>
  <c r="AL112" i="8" a="1"/>
  <c r="AL112" i="8" s="1"/>
  <c r="BN121" i="8" a="1"/>
  <c r="BN121" i="8" s="1"/>
  <c r="AC112" i="8" a="1"/>
  <c r="AC112" i="8" s="1"/>
  <c r="AT112" i="8" a="1"/>
  <c r="AT112" i="8" s="1"/>
  <c r="AZ112" i="8" a="1"/>
  <c r="AZ112" i="8" s="1"/>
  <c r="CB112" i="8" a="1"/>
  <c r="CB112" i="8" s="1"/>
  <c r="CG114" i="8" a="1"/>
  <c r="CG114" i="8" s="1"/>
  <c r="AF114" i="8" a="1"/>
  <c r="AF114" i="8" s="1"/>
  <c r="AU114" i="8" a="1"/>
  <c r="AU114" i="8" s="1"/>
  <c r="BY114" i="8" a="1"/>
  <c r="BY114" i="8" s="1"/>
  <c r="AP135" i="8" a="1"/>
  <c r="AP135" i="8" s="1"/>
  <c r="AY134" i="8" a="1"/>
  <c r="AY134" i="8" s="1"/>
  <c r="AQ134" i="8" a="1"/>
  <c r="AQ134" i="8" s="1"/>
  <c r="BL134" i="8" a="1"/>
  <c r="BL134" i="8" s="1"/>
  <c r="AL135" i="8" a="1"/>
  <c r="AL135" i="8" s="1"/>
  <c r="N135" i="8" a="1"/>
  <c r="N135" i="8" s="1"/>
  <c r="AX121" i="8" a="1"/>
  <c r="AX121" i="8" s="1"/>
  <c r="CJ43" i="12"/>
  <c r="BH61" i="13" s="1"/>
  <c r="BB112" i="8" a="1"/>
  <c r="BB112" i="8" s="1"/>
  <c r="Z43" i="17"/>
  <c r="BX94" i="17"/>
  <c r="BX30" i="17" s="1"/>
  <c r="T43" i="17"/>
  <c r="S43" i="17"/>
  <c r="P43" i="17"/>
  <c r="BI94" i="17"/>
  <c r="BI30" i="17" s="1"/>
  <c r="BI119" i="17" s="1"/>
  <c r="BI122" i="17" s="1"/>
  <c r="AO125" i="17"/>
  <c r="AO131" i="17" s="1"/>
  <c r="BA129" i="17" s="1"/>
  <c r="AF125" i="17"/>
  <c r="AF131" i="17" s="1"/>
  <c r="AR129" i="17" s="1"/>
  <c r="BF94" i="17"/>
  <c r="BF30" i="17" s="1"/>
  <c r="BF119" i="17" s="1"/>
  <c r="V43" i="17"/>
  <c r="BU94" i="17"/>
  <c r="BU30" i="17" s="1"/>
  <c r="AA43" i="17"/>
  <c r="AQ94" i="17"/>
  <c r="AQ30" i="17" s="1"/>
  <c r="AQ119" i="17" s="1"/>
  <c r="H43" i="17"/>
  <c r="Q43" i="17"/>
  <c r="AH94" i="17"/>
  <c r="AH30" i="17" s="1"/>
  <c r="AH119" i="17" s="1"/>
  <c r="N43" i="17"/>
  <c r="R43" i="17"/>
  <c r="AT94" i="17"/>
  <c r="AT30" i="17" s="1"/>
  <c r="AT119" i="17" s="1"/>
  <c r="AZ121" i="17"/>
  <c r="AZ122" i="17"/>
  <c r="AZ120" i="17"/>
  <c r="CA94" i="17"/>
  <c r="CA30" i="17" s="1"/>
  <c r="K43" i="17"/>
  <c r="AC43" i="17"/>
  <c r="BJ125" i="17"/>
  <c r="AN121" i="17"/>
  <c r="AN122" i="17"/>
  <c r="AN120" i="17"/>
  <c r="AW121" i="17"/>
  <c r="AW120" i="17"/>
  <c r="AW122" i="17"/>
  <c r="BL94" i="17"/>
  <c r="BL30" i="17" s="1"/>
  <c r="BL119" i="17" s="1"/>
  <c r="X43" i="17"/>
  <c r="AJ125" i="17"/>
  <c r="AJ131" i="17" s="1"/>
  <c r="AK94" i="17"/>
  <c r="AK30" i="17" s="1"/>
  <c r="AK119" i="17" s="1"/>
  <c r="O43" i="17"/>
  <c r="CJ114" i="20"/>
  <c r="CK89" i="20"/>
  <c r="U79" i="20"/>
  <c r="AM79" i="20"/>
  <c r="CK96" i="20"/>
  <c r="AM92" i="20"/>
  <c r="U92" i="20"/>
  <c r="AM93" i="20"/>
  <c r="U93" i="20"/>
  <c r="CK75" i="20"/>
  <c r="AM101" i="20"/>
  <c r="U101" i="20"/>
  <c r="AM100" i="20"/>
  <c r="U100" i="20"/>
  <c r="U99" i="20"/>
  <c r="AM99" i="20"/>
  <c r="AM94" i="20"/>
  <c r="U94" i="20"/>
  <c r="AM78" i="20"/>
  <c r="U78" i="20"/>
  <c r="AM80" i="20"/>
  <c r="U80" i="20"/>
  <c r="BF10" i="16"/>
  <c r="BF10" i="15"/>
  <c r="BU109" i="8" l="1"/>
  <c r="AB109" i="8"/>
  <c r="AR125" i="17"/>
  <c r="BH125" i="17"/>
  <c r="BE109" i="8"/>
  <c r="AP125" i="17"/>
  <c r="AP131" i="17" s="1"/>
  <c r="AU125" i="17"/>
  <c r="BK125" i="17"/>
  <c r="BE125" i="17"/>
  <c r="CB109" i="8"/>
  <c r="AS109" i="8"/>
  <c r="AD130" i="8"/>
  <c r="AI125" i="17"/>
  <c r="AI131" i="17" s="1"/>
  <c r="AI29" i="14" s="1"/>
  <c r="AI100" i="14" s="1"/>
  <c r="AY109" i="8"/>
  <c r="CF109" i="8"/>
  <c r="AL109" i="8"/>
  <c r="AL125" i="17"/>
  <c r="AL131" i="17" s="1"/>
  <c r="AL29" i="14" s="1"/>
  <c r="AL100" i="14" s="1"/>
  <c r="CD109" i="8"/>
  <c r="BC109" i="8"/>
  <c r="BG109" i="8"/>
  <c r="BQ109" i="8"/>
  <c r="BC122" i="17"/>
  <c r="AO109" i="8"/>
  <c r="AW109" i="8"/>
  <c r="BC121" i="17"/>
  <c r="BG130" i="8"/>
  <c r="Q109" i="8"/>
  <c r="AA109" i="8"/>
  <c r="AG125" i="17"/>
  <c r="AG131" i="17" s="1"/>
  <c r="E137" i="17" s="1" a="1"/>
  <c r="E137" i="17" s="1"/>
  <c r="AQ137" i="17" s="1"/>
  <c r="CA130" i="8"/>
  <c r="BB109" i="8"/>
  <c r="AX125" i="17"/>
  <c r="BD125" i="17"/>
  <c r="AN109" i="8"/>
  <c r="AM125" i="17"/>
  <c r="AM131" i="17" s="1"/>
  <c r="AM29" i="14" s="1"/>
  <c r="AM100" i="14" s="1"/>
  <c r="BW109" i="8"/>
  <c r="BX109" i="8"/>
  <c r="CB130" i="8"/>
  <c r="AV125" i="17"/>
  <c r="BL109" i="8"/>
  <c r="BA125" i="17"/>
  <c r="BA131" i="17" s="1"/>
  <c r="AT109" i="8"/>
  <c r="AY125" i="17"/>
  <c r="K109" i="8"/>
  <c r="AC109" i="8"/>
  <c r="BG125" i="17"/>
  <c r="T109" i="8"/>
  <c r="AX109" i="8"/>
  <c r="J109" i="8"/>
  <c r="AE109" i="8"/>
  <c r="BP109" i="8"/>
  <c r="Y109" i="8"/>
  <c r="AR109" i="8"/>
  <c r="BT130" i="8"/>
  <c r="AZ109" i="8"/>
  <c r="AQ109" i="8"/>
  <c r="CA109" i="8"/>
  <c r="AX130" i="8"/>
  <c r="BB125" i="17"/>
  <c r="P109" i="8"/>
  <c r="BX130" i="8"/>
  <c r="BZ109" i="8"/>
  <c r="BK109" i="8"/>
  <c r="BD130" i="8"/>
  <c r="W130" i="8"/>
  <c r="AH130" i="8"/>
  <c r="BJ109" i="8"/>
  <c r="BR130" i="8"/>
  <c r="BA109" i="8"/>
  <c r="BR109" i="8"/>
  <c r="CG109" i="8"/>
  <c r="BH109" i="8"/>
  <c r="AI109" i="8"/>
  <c r="X109" i="8"/>
  <c r="BD109" i="8"/>
  <c r="BS137" i="8"/>
  <c r="AD109" i="8"/>
  <c r="N109" i="8"/>
  <c r="AM109" i="8"/>
  <c r="BO109" i="8"/>
  <c r="AF109" i="8"/>
  <c r="BV109" i="8"/>
  <c r="BU130" i="8"/>
  <c r="AG130" i="8"/>
  <c r="AV109" i="8"/>
  <c r="BP137" i="8"/>
  <c r="AE137" i="8"/>
  <c r="J130" i="8"/>
  <c r="O109" i="8"/>
  <c r="BX43" i="9" a="1"/>
  <c r="BX43" i="9" s="1"/>
  <c r="BY43" i="9" a="1"/>
  <c r="BY43" i="9" s="1"/>
  <c r="AT130" i="8"/>
  <c r="BY109" i="8"/>
  <c r="CE109" i="8"/>
  <c r="V109" i="8"/>
  <c r="V130" i="8"/>
  <c r="AP109" i="8"/>
  <c r="BK130" i="8"/>
  <c r="AV130" i="8"/>
  <c r="AO130" i="8"/>
  <c r="W109" i="8"/>
  <c r="BF109" i="8"/>
  <c r="AU109" i="8"/>
  <c r="AA137" i="8"/>
  <c r="AD137" i="8"/>
  <c r="AN137" i="8"/>
  <c r="AL137" i="8"/>
  <c r="AX137" i="8"/>
  <c r="N130" i="8"/>
  <c r="BM130" i="8"/>
  <c r="BI137" i="8"/>
  <c r="Q137" i="8"/>
  <c r="BM109" i="8"/>
  <c r="AF137" i="8"/>
  <c r="P137" i="8"/>
  <c r="AP137" i="8"/>
  <c r="CE130" i="8"/>
  <c r="AF130" i="8"/>
  <c r="AE130" i="8"/>
  <c r="AW130" i="8"/>
  <c r="T137" i="8"/>
  <c r="BX137" i="8"/>
  <c r="BR137" i="8"/>
  <c r="Z109" i="8"/>
  <c r="U109" i="8"/>
  <c r="BS109" i="8"/>
  <c r="AY130" i="8"/>
  <c r="P130" i="8"/>
  <c r="X130" i="8"/>
  <c r="Z137" i="8"/>
  <c r="BP130" i="8"/>
  <c r="BO130" i="8"/>
  <c r="BB137" i="8"/>
  <c r="CE137" i="8"/>
  <c r="AH109" i="8"/>
  <c r="BQ130" i="8"/>
  <c r="CF130" i="8"/>
  <c r="AG109" i="8"/>
  <c r="K130" i="8"/>
  <c r="BT109" i="8"/>
  <c r="CC109" i="8"/>
  <c r="BN109" i="8"/>
  <c r="AM130" i="8"/>
  <c r="AC130" i="8"/>
  <c r="BV130" i="8"/>
  <c r="U130" i="8"/>
  <c r="AH137" i="8"/>
  <c r="BA137" i="8"/>
  <c r="BD137" i="8"/>
  <c r="AQ130" i="8"/>
  <c r="AP130" i="8"/>
  <c r="BJ130" i="8"/>
  <c r="BE130" i="8"/>
  <c r="AY119" i="8" a="1"/>
  <c r="AY119" i="8" s="1"/>
  <c r="AY116" i="8" s="1"/>
  <c r="AC119" i="8" a="1"/>
  <c r="AC119" i="8" s="1"/>
  <c r="AC116" i="8" s="1"/>
  <c r="BH119" i="8" a="1"/>
  <c r="BH119" i="8" s="1"/>
  <c r="BH116" i="8" s="1"/>
  <c r="AI119" i="8" a="1"/>
  <c r="AI119" i="8" s="1"/>
  <c r="AI116" i="8" s="1"/>
  <c r="AV119" i="8" a="1"/>
  <c r="AV119" i="8" s="1"/>
  <c r="AV116" i="8" s="1"/>
  <c r="T119" i="8" a="1"/>
  <c r="T119" i="8" s="1"/>
  <c r="T116" i="8" s="1"/>
  <c r="AZ119" i="8" a="1"/>
  <c r="AZ119" i="8" s="1"/>
  <c r="AZ116" i="8" s="1"/>
  <c r="K119" i="8" a="1"/>
  <c r="K119" i="8" s="1"/>
  <c r="K116" i="8" s="1"/>
  <c r="BO119" i="8" a="1"/>
  <c r="BO119" i="8" s="1"/>
  <c r="BO116" i="8" s="1"/>
  <c r="AA119" i="8" a="1"/>
  <c r="AA119" i="8" s="1"/>
  <c r="AA116" i="8" s="1"/>
  <c r="AM119" i="8" a="1"/>
  <c r="AM119" i="8" s="1"/>
  <c r="AM116" i="8" s="1"/>
  <c r="BI119" i="8" a="1"/>
  <c r="BI119" i="8" s="1"/>
  <c r="BI116" i="8" s="1"/>
  <c r="BY119" i="8" a="1"/>
  <c r="BY119" i="8" s="1"/>
  <c r="BY116" i="8" s="1"/>
  <c r="AD119" i="8" a="1"/>
  <c r="AD119" i="8" s="1"/>
  <c r="AD116" i="8" s="1"/>
  <c r="CF119" i="8" a="1"/>
  <c r="CF119" i="8" s="1"/>
  <c r="CF116" i="8" s="1"/>
  <c r="J119" i="8" a="1"/>
  <c r="J119" i="8" s="1"/>
  <c r="J116" i="8" s="1"/>
  <c r="AN119" i="8" a="1"/>
  <c r="AN119" i="8" s="1"/>
  <c r="AN116" i="8" s="1"/>
  <c r="BT119" i="8" a="1"/>
  <c r="BT119" i="8" s="1"/>
  <c r="BT116" i="8" s="1"/>
  <c r="P119" i="8" a="1"/>
  <c r="P119" i="8" s="1"/>
  <c r="P116" i="8" s="1"/>
  <c r="O119" i="8" a="1"/>
  <c r="O119" i="8" s="1"/>
  <c r="O116" i="8" s="1"/>
  <c r="BZ119" i="8" a="1"/>
  <c r="BZ119" i="8" s="1"/>
  <c r="BZ116" i="8" s="1"/>
  <c r="BV119" i="8" a="1"/>
  <c r="BV119" i="8" s="1"/>
  <c r="BV116" i="8" s="1"/>
  <c r="AE119" i="8" a="1"/>
  <c r="AE119" i="8" s="1"/>
  <c r="AE116" i="8" s="1"/>
  <c r="BF119" i="8" a="1"/>
  <c r="BF119" i="8" s="1"/>
  <c r="BF116" i="8" s="1"/>
  <c r="BX119" i="8" a="1"/>
  <c r="BX119" i="8" s="1"/>
  <c r="BX116" i="8" s="1"/>
  <c r="BS119" i="8" a="1"/>
  <c r="BS119" i="8" s="1"/>
  <c r="BS116" i="8" s="1"/>
  <c r="N119" i="8" a="1"/>
  <c r="N119" i="8" s="1"/>
  <c r="N116" i="8" s="1"/>
  <c r="CA119" i="8" a="1"/>
  <c r="CA119" i="8" s="1"/>
  <c r="CA116" i="8" s="1"/>
  <c r="CG119" i="8" a="1"/>
  <c r="CG119" i="8" s="1"/>
  <c r="CG116" i="8" s="1"/>
  <c r="BQ119" i="8" a="1"/>
  <c r="BQ119" i="8" s="1"/>
  <c r="BQ116" i="8" s="1"/>
  <c r="BP119" i="8" a="1"/>
  <c r="BP119" i="8" s="1"/>
  <c r="BP116" i="8" s="1"/>
  <c r="AG119" i="8" a="1"/>
  <c r="AG119" i="8" s="1"/>
  <c r="AG116" i="8" s="1"/>
  <c r="BU119" i="8" a="1"/>
  <c r="BU119" i="8" s="1"/>
  <c r="BU116" i="8" s="1"/>
  <c r="AR119" i="8" a="1"/>
  <c r="AR119" i="8" s="1"/>
  <c r="AR116" i="8" s="1"/>
  <c r="W119" i="8" a="1"/>
  <c r="W119" i="8" s="1"/>
  <c r="W116" i="8" s="1"/>
  <c r="AS119" i="8" a="1"/>
  <c r="AS119" i="8" s="1"/>
  <c r="AS116" i="8" s="1"/>
  <c r="AB119" i="8" a="1"/>
  <c r="AB119" i="8" s="1"/>
  <c r="AB116" i="8" s="1"/>
  <c r="CC119" i="8" a="1"/>
  <c r="CC119" i="8" s="1"/>
  <c r="CC116" i="8" s="1"/>
  <c r="BN119" i="8" a="1"/>
  <c r="BN119" i="8" s="1"/>
  <c r="BN116" i="8" s="1"/>
  <c r="CB119" i="8" a="1"/>
  <c r="CB119" i="8" s="1"/>
  <c r="CB116" i="8" s="1"/>
  <c r="AW119" i="8" a="1"/>
  <c r="AW119" i="8" s="1"/>
  <c r="AW116" i="8" s="1"/>
  <c r="AQ119" i="8" a="1"/>
  <c r="AQ119" i="8" s="1"/>
  <c r="AQ116" i="8" s="1"/>
  <c r="BC119" i="8" a="1"/>
  <c r="BC119" i="8" s="1"/>
  <c r="BC116" i="8" s="1"/>
  <c r="Q119" i="8" a="1"/>
  <c r="Q119" i="8" s="1"/>
  <c r="Q116" i="8" s="1"/>
  <c r="AO119" i="8" a="1"/>
  <c r="AO119" i="8" s="1"/>
  <c r="AO116" i="8" s="1"/>
  <c r="BW119" i="8" a="1"/>
  <c r="BW119" i="8" s="1"/>
  <c r="BW116" i="8" s="1"/>
  <c r="BK119" i="8" a="1"/>
  <c r="BK119" i="8" s="1"/>
  <c r="BK116" i="8" s="1"/>
  <c r="BM119" i="8" a="1"/>
  <c r="BM119" i="8" s="1"/>
  <c r="BM116" i="8" s="1"/>
  <c r="AP119" i="8" a="1"/>
  <c r="AP119" i="8" s="1"/>
  <c r="AP116" i="8" s="1"/>
  <c r="BR119" i="8" a="1"/>
  <c r="BR119" i="8" s="1"/>
  <c r="BR116" i="8" s="1"/>
  <c r="AL119" i="8" a="1"/>
  <c r="AL119" i="8" s="1"/>
  <c r="AL116" i="8" s="1"/>
  <c r="Y119" i="8" a="1"/>
  <c r="Y119" i="8" s="1"/>
  <c r="Y116" i="8" s="1"/>
  <c r="BJ119" i="8" a="1"/>
  <c r="BJ119" i="8" s="1"/>
  <c r="BJ116" i="8" s="1"/>
  <c r="X119" i="8" a="1"/>
  <c r="X119" i="8" s="1"/>
  <c r="X116" i="8" s="1"/>
  <c r="AH119" i="8" a="1"/>
  <c r="AH119" i="8" s="1"/>
  <c r="AH116" i="8" s="1"/>
  <c r="V119" i="8" a="1"/>
  <c r="V119" i="8" s="1"/>
  <c r="V116" i="8" s="1"/>
  <c r="BA119" i="8" a="1"/>
  <c r="BA119" i="8" s="1"/>
  <c r="BA116" i="8" s="1"/>
  <c r="AU119" i="8" a="1"/>
  <c r="AU119" i="8" s="1"/>
  <c r="AU116" i="8" s="1"/>
  <c r="AT119" i="8" a="1"/>
  <c r="AT119" i="8" s="1"/>
  <c r="AT116" i="8" s="1"/>
  <c r="CE119" i="8" a="1"/>
  <c r="CE119" i="8" s="1"/>
  <c r="CE116" i="8" s="1"/>
  <c r="BD119" i="8" a="1"/>
  <c r="BD119" i="8" s="1"/>
  <c r="BD116" i="8" s="1"/>
  <c r="BG119" i="8" a="1"/>
  <c r="BG119" i="8" s="1"/>
  <c r="BG116" i="8" s="1"/>
  <c r="U119" i="8" a="1"/>
  <c r="U119" i="8" s="1"/>
  <c r="U116" i="8" s="1"/>
  <c r="AF119" i="8" a="1"/>
  <c r="AF119" i="8" s="1"/>
  <c r="AF116" i="8" s="1"/>
  <c r="Z119" i="8" a="1"/>
  <c r="Z119" i="8" s="1"/>
  <c r="Z116" i="8" s="1"/>
  <c r="BB119" i="8" a="1"/>
  <c r="BB119" i="8" s="1"/>
  <c r="BB116" i="8" s="1"/>
  <c r="AX119" i="8" a="1"/>
  <c r="AX119" i="8" s="1"/>
  <c r="AX116" i="8" s="1"/>
  <c r="CD119" i="8" a="1"/>
  <c r="CD119" i="8" s="1"/>
  <c r="CD116" i="8" s="1"/>
  <c r="BL119" i="8" a="1"/>
  <c r="BL119" i="8" s="1"/>
  <c r="BL116" i="8" s="1"/>
  <c r="BE119" i="8" a="1"/>
  <c r="BE119" i="8" s="1"/>
  <c r="BE116" i="8" s="1"/>
  <c r="Y130" i="8"/>
  <c r="CF137" i="8"/>
  <c r="J137" i="8"/>
  <c r="AI137" i="8"/>
  <c r="BQ137" i="8"/>
  <c r="AU130" i="8"/>
  <c r="Z130" i="8"/>
  <c r="T130" i="8"/>
  <c r="AL130" i="8"/>
  <c r="Y137" i="8"/>
  <c r="CC130" i="8"/>
  <c r="BF130" i="8"/>
  <c r="BY130" i="8"/>
  <c r="CG130" i="8"/>
  <c r="AS130" i="8"/>
  <c r="BB130" i="8"/>
  <c r="CD130" i="8"/>
  <c r="BC137" i="8"/>
  <c r="N137" i="8"/>
  <c r="BF137" i="8"/>
  <c r="K137" i="8"/>
  <c r="AA130" i="8"/>
  <c r="AZ130" i="8"/>
  <c r="AR137" i="8"/>
  <c r="V137" i="8"/>
  <c r="CC137" i="8"/>
  <c r="AS137" i="8"/>
  <c r="U137" i="8"/>
  <c r="BI109" i="8"/>
  <c r="BA130" i="8"/>
  <c r="BJ137" i="8"/>
  <c r="BM137" i="8"/>
  <c r="BO137" i="8"/>
  <c r="BK137" i="8"/>
  <c r="BE137" i="8"/>
  <c r="Q130" i="8"/>
  <c r="BW130" i="8"/>
  <c r="BZ130" i="8"/>
  <c r="BZ137" i="8"/>
  <c r="BU137" i="8"/>
  <c r="CB137" i="8"/>
  <c r="BG137" i="8"/>
  <c r="BL130" i="8"/>
  <c r="AQ137" i="8"/>
  <c r="O137" i="8"/>
  <c r="O130" i="8"/>
  <c r="AN130" i="8"/>
  <c r="AC137" i="8"/>
  <c r="X137" i="8"/>
  <c r="BH115" i="13"/>
  <c r="W137" i="8"/>
  <c r="BT137" i="8"/>
  <c r="AG137" i="8"/>
  <c r="CD137" i="8"/>
  <c r="AV137" i="8"/>
  <c r="AB130" i="8"/>
  <c r="AO137" i="8"/>
  <c r="AM137" i="8"/>
  <c r="AW137" i="8"/>
  <c r="BY137" i="8"/>
  <c r="AB137" i="8"/>
  <c r="AR130" i="8"/>
  <c r="BS130" i="8"/>
  <c r="AY137" i="8"/>
  <c r="CA137" i="8"/>
  <c r="AZ137" i="8"/>
  <c r="AT137" i="8"/>
  <c r="BL137" i="8"/>
  <c r="BN137" i="8"/>
  <c r="BH130" i="8"/>
  <c r="BC130" i="8"/>
  <c r="AU137" i="8"/>
  <c r="BV137" i="8"/>
  <c r="CG137" i="8"/>
  <c r="BH137" i="8"/>
  <c r="BW137" i="8"/>
  <c r="AI130" i="8"/>
  <c r="BN130" i="8"/>
  <c r="BI130" i="8"/>
  <c r="BY44" i="9" a="1"/>
  <c r="BY44" i="9" s="1"/>
  <c r="BX44" i="9" a="1"/>
  <c r="BX44" i="9" s="1"/>
  <c r="AF29" i="14"/>
  <c r="AF36" i="14" s="1"/>
  <c r="AF108" i="14" s="1"/>
  <c r="BY45" i="9" a="1"/>
  <c r="BY45" i="9" s="1"/>
  <c r="BI120" i="17"/>
  <c r="BI121" i="17"/>
  <c r="E136" i="17" a="1"/>
  <c r="E136" i="17" s="1"/>
  <c r="AH136" i="17" s="1"/>
  <c r="AN125" i="17"/>
  <c r="AN131" i="17" s="1"/>
  <c r="AN29" i="14" s="1"/>
  <c r="AN100" i="14" s="1"/>
  <c r="AO29" i="14"/>
  <c r="AO100" i="14" s="1"/>
  <c r="E145" i="17" a="1"/>
  <c r="E145" i="17" s="1"/>
  <c r="AP145" i="17" s="1"/>
  <c r="AR131" i="17"/>
  <c r="E148" i="17" s="1" a="1"/>
  <c r="E148" i="17" s="1"/>
  <c r="AH122" i="17"/>
  <c r="AH121" i="17"/>
  <c r="AH120" i="17"/>
  <c r="AQ122" i="17"/>
  <c r="AQ120" i="17"/>
  <c r="AQ121" i="17"/>
  <c r="AK120" i="17"/>
  <c r="AK121" i="17"/>
  <c r="AK122" i="17"/>
  <c r="E140" i="17" a="1"/>
  <c r="E140" i="17" s="1"/>
  <c r="AJ29" i="14"/>
  <c r="AJ100" i="14" s="1"/>
  <c r="AV129" i="17"/>
  <c r="AV131" i="17" s="1"/>
  <c r="AP29" i="14"/>
  <c r="AP100" i="14" s="1"/>
  <c r="E146" i="17" a="1"/>
  <c r="E146" i="17" s="1"/>
  <c r="BB129" i="17"/>
  <c r="AZ125" i="17"/>
  <c r="BL120" i="17"/>
  <c r="BL122" i="17"/>
  <c r="BL121" i="17"/>
  <c r="AW125" i="17"/>
  <c r="AT122" i="17"/>
  <c r="AT120" i="17"/>
  <c r="AT121" i="17"/>
  <c r="BF120" i="17"/>
  <c r="BF121" i="17"/>
  <c r="BF122" i="17"/>
  <c r="CK114" i="20"/>
  <c r="AM89" i="20"/>
  <c r="U89" i="20"/>
  <c r="AM96" i="20"/>
  <c r="U96" i="20"/>
  <c r="AM75" i="20"/>
  <c r="U75" i="20"/>
  <c r="BG12" i="16"/>
  <c r="BF25" i="16"/>
  <c r="BF22" i="16"/>
  <c r="BF27" i="14" s="1"/>
  <c r="BG12" i="15"/>
  <c r="BF22" i="15"/>
  <c r="BF25" i="14" s="1"/>
  <c r="BF25" i="15"/>
  <c r="E139" i="17" l="1" a="1"/>
  <c r="E139" i="17" s="1"/>
  <c r="AU129" i="17"/>
  <c r="AU131" i="17" s="1"/>
  <c r="E142" i="17" a="1"/>
  <c r="E142" i="17" s="1"/>
  <c r="AX129" i="17"/>
  <c r="BC125" i="17"/>
  <c r="CE108" i="8"/>
  <c r="AG29" i="14"/>
  <c r="AG100" i="14" s="1"/>
  <c r="AJ137" i="17"/>
  <c r="AI137" i="17"/>
  <c r="BB131" i="17"/>
  <c r="BN129" i="17" s="1"/>
  <c r="AL137" i="17"/>
  <c r="AH137" i="17"/>
  <c r="AM137" i="17"/>
  <c r="AR137" i="17"/>
  <c r="AS129" i="17"/>
  <c r="AS131" i="17" s="1"/>
  <c r="BE129" i="17" s="1"/>
  <c r="BE131" i="17" s="1"/>
  <c r="BE29" i="14" s="1"/>
  <c r="BE100" i="14" s="1"/>
  <c r="AN137" i="17"/>
  <c r="AP137" i="17"/>
  <c r="AK137" i="17"/>
  <c r="AG137" i="17"/>
  <c r="AO137" i="17"/>
  <c r="AY129" i="17"/>
  <c r="AY131" i="17" s="1"/>
  <c r="BK129" i="17" s="1"/>
  <c r="BK131" i="17" s="1"/>
  <c r="E143" i="17" a="1"/>
  <c r="E143" i="17" s="1"/>
  <c r="AO143" i="17" s="1"/>
  <c r="AX131" i="17"/>
  <c r="AX108" i="8"/>
  <c r="BE108" i="8"/>
  <c r="AV108" i="8"/>
  <c r="J108" i="8"/>
  <c r="P108" i="8"/>
  <c r="AF108" i="8"/>
  <c r="AD108" i="8"/>
  <c r="N108" i="8"/>
  <c r="BR108" i="8"/>
  <c r="AP108" i="8"/>
  <c r="AM108" i="8"/>
  <c r="BC108" i="8"/>
  <c r="Z108" i="8"/>
  <c r="CD108" i="8"/>
  <c r="BH108" i="8"/>
  <c r="BL108" i="8"/>
  <c r="Q108" i="8"/>
  <c r="AZ108" i="8"/>
  <c r="BX108" i="8"/>
  <c r="AE108" i="8"/>
  <c r="BM108" i="8"/>
  <c r="AG108" i="8"/>
  <c r="BP108" i="8"/>
  <c r="BD108" i="8"/>
  <c r="AU108" i="8"/>
  <c r="AQ108" i="8"/>
  <c r="BS108" i="8"/>
  <c r="U108" i="8"/>
  <c r="V108" i="8"/>
  <c r="CB108" i="8"/>
  <c r="K108" i="8"/>
  <c r="O108" i="8"/>
  <c r="BN108" i="8"/>
  <c r="X108" i="8"/>
  <c r="CC108" i="8"/>
  <c r="T108" i="8"/>
  <c r="BA108" i="8"/>
  <c r="AW108" i="8"/>
  <c r="BO108" i="8"/>
  <c r="AH108" i="8"/>
  <c r="BJ108" i="8"/>
  <c r="AB108" i="8"/>
  <c r="BZ108" i="8"/>
  <c r="AS108" i="8"/>
  <c r="AI108" i="8"/>
  <c r="BV108" i="8"/>
  <c r="BI125" i="17"/>
  <c r="AL108" i="8"/>
  <c r="W108" i="8"/>
  <c r="AF100" i="14"/>
  <c r="AF104" i="14" s="1"/>
  <c r="AG99" i="14" s="1"/>
  <c r="AG102" i="14" s="1"/>
  <c r="AG32" i="14" s="1"/>
  <c r="BF108" i="8"/>
  <c r="BB108" i="8"/>
  <c r="AR108" i="8"/>
  <c r="BT108" i="8"/>
  <c r="AC108" i="8"/>
  <c r="BU108" i="8"/>
  <c r="AN108" i="8"/>
  <c r="AY108" i="8"/>
  <c r="CF108" i="8"/>
  <c r="AA108" i="8"/>
  <c r="BG108" i="8"/>
  <c r="BW108" i="8"/>
  <c r="BQ108" i="8"/>
  <c r="Y108" i="8"/>
  <c r="AY145" i="17"/>
  <c r="BK108" i="8"/>
  <c r="AO108" i="8"/>
  <c r="CG108" i="8"/>
  <c r="BY108" i="8"/>
  <c r="AU145" i="17"/>
  <c r="CA108" i="8"/>
  <c r="AT108" i="8"/>
  <c r="BI108" i="8"/>
  <c r="AJ136" i="17"/>
  <c r="AP136" i="17"/>
  <c r="AM136" i="17"/>
  <c r="AZ129" i="17"/>
  <c r="AZ131" i="17" s="1"/>
  <c r="AO136" i="17"/>
  <c r="AN136" i="17"/>
  <c r="AF136" i="17"/>
  <c r="AF134" i="17" s="1"/>
  <c r="AF43" i="14" s="1"/>
  <c r="AK136" i="17"/>
  <c r="AG136" i="17"/>
  <c r="AI136" i="17"/>
  <c r="AL136" i="17"/>
  <c r="AQ136" i="17"/>
  <c r="BD129" i="17"/>
  <c r="BD131" i="17" s="1"/>
  <c r="BP129" i="17" s="1"/>
  <c r="AR29" i="14"/>
  <c r="AR100" i="14" s="1"/>
  <c r="AZ145" i="17"/>
  <c r="AR145" i="17"/>
  <c r="AW145" i="17"/>
  <c r="AX145" i="17"/>
  <c r="AS145" i="17"/>
  <c r="AV145" i="17"/>
  <c r="E144" i="17" a="1"/>
  <c r="E144" i="17" s="1"/>
  <c r="AS144" i="17" s="1"/>
  <c r="AO145" i="17"/>
  <c r="AH125" i="17"/>
  <c r="AH131" i="17" s="1"/>
  <c r="AH29" i="14" s="1"/>
  <c r="AH100" i="14" s="1"/>
  <c r="AQ145" i="17"/>
  <c r="AT145" i="17"/>
  <c r="AU148" i="17"/>
  <c r="AV148" i="17"/>
  <c r="AY148" i="17"/>
  <c r="BB148" i="17"/>
  <c r="AW148" i="17"/>
  <c r="AZ148" i="17"/>
  <c r="BC148" i="17"/>
  <c r="AT148" i="17"/>
  <c r="AR148" i="17"/>
  <c r="AS148" i="17"/>
  <c r="AX148" i="17"/>
  <c r="BA148" i="17"/>
  <c r="AK140" i="17"/>
  <c r="AJ140" i="17"/>
  <c r="AQ140" i="17"/>
  <c r="AL140" i="17"/>
  <c r="AT140" i="17"/>
  <c r="AP140" i="17"/>
  <c r="AO140" i="17"/>
  <c r="AS140" i="17"/>
  <c r="AN140" i="17"/>
  <c r="AR140" i="17"/>
  <c r="AM140" i="17"/>
  <c r="AU140" i="17"/>
  <c r="E154" i="17" a="1"/>
  <c r="E154" i="17" s="1"/>
  <c r="BJ129" i="17"/>
  <c r="BJ131" i="17" s="1"/>
  <c r="AX29" i="14"/>
  <c r="AX100" i="14" s="1"/>
  <c r="AM142" i="17"/>
  <c r="AS142" i="17"/>
  <c r="AT142" i="17"/>
  <c r="AO142" i="17"/>
  <c r="AL142" i="17"/>
  <c r="AP142" i="17"/>
  <c r="AQ142" i="17"/>
  <c r="AV142" i="17"/>
  <c r="AU142" i="17"/>
  <c r="AN142" i="17"/>
  <c r="AW142" i="17"/>
  <c r="AR142" i="17"/>
  <c r="BL125" i="17"/>
  <c r="AK125" i="17"/>
  <c r="AK131" i="17" s="1"/>
  <c r="BG129" i="17"/>
  <c r="BG131" i="17" s="1"/>
  <c r="AU29" i="14"/>
  <c r="AU100" i="14" s="1"/>
  <c r="E151" i="17" a="1"/>
  <c r="E151" i="17" s="1"/>
  <c r="AR139" i="17"/>
  <c r="AO139" i="17"/>
  <c r="AQ139" i="17"/>
  <c r="AM139" i="17"/>
  <c r="AN139" i="17"/>
  <c r="AJ139" i="17"/>
  <c r="AS139" i="17"/>
  <c r="AP139" i="17"/>
  <c r="AL139" i="17"/>
  <c r="AK139" i="17"/>
  <c r="AI139" i="17"/>
  <c r="AT139" i="17"/>
  <c r="AQ125" i="17"/>
  <c r="AQ131" i="17" s="1"/>
  <c r="BA146" i="17"/>
  <c r="AX146" i="17"/>
  <c r="AZ146" i="17"/>
  <c r="AU146" i="17"/>
  <c r="AR146" i="17"/>
  <c r="AW146" i="17"/>
  <c r="AV146" i="17"/>
  <c r="AP146" i="17"/>
  <c r="AT146" i="17"/>
  <c r="AY146" i="17"/>
  <c r="AS146" i="17"/>
  <c r="AQ146" i="17"/>
  <c r="AY29" i="14"/>
  <c r="AY100" i="14" s="1"/>
  <c r="BF125" i="17"/>
  <c r="E157" i="17" a="1"/>
  <c r="E157" i="17" s="1"/>
  <c r="BA29" i="14"/>
  <c r="BA100" i="14" s="1"/>
  <c r="BM129" i="17"/>
  <c r="BM131" i="17" s="1"/>
  <c r="AM143" i="17"/>
  <c r="AT125" i="17"/>
  <c r="E152" i="17" a="1"/>
  <c r="E152" i="17" s="1"/>
  <c r="AV29" i="14"/>
  <c r="AV100" i="14" s="1"/>
  <c r="BH129" i="17"/>
  <c r="BH131" i="17" s="1"/>
  <c r="BG10" i="16"/>
  <c r="BG10" i="15"/>
  <c r="AS29" i="14" l="1"/>
  <c r="AS100" i="14" s="1"/>
  <c r="BB29" i="14"/>
  <c r="BB100" i="14" s="1"/>
  <c r="E158" i="17" a="1"/>
  <c r="E158" i="17" s="1"/>
  <c r="E149" i="17" a="1"/>
  <c r="E149" i="17" s="1"/>
  <c r="AZ149" i="17" s="1"/>
  <c r="AG134" i="17"/>
  <c r="AG185" i="17" s="1"/>
  <c r="AG187" i="17" s="1"/>
  <c r="AG188" i="17" s="1"/>
  <c r="E155" i="17" a="1"/>
  <c r="E155" i="17" s="1"/>
  <c r="AY155" i="17" s="1"/>
  <c r="AT143" i="17"/>
  <c r="AU143" i="17"/>
  <c r="AX143" i="17"/>
  <c r="AN143" i="17"/>
  <c r="AR143" i="17"/>
  <c r="AP143" i="17"/>
  <c r="AQ143" i="17"/>
  <c r="AS143" i="17"/>
  <c r="AV143" i="17"/>
  <c r="AW143" i="17"/>
  <c r="AG101" i="14"/>
  <c r="AG34" i="14" s="1"/>
  <c r="BD29" i="14"/>
  <c r="BD100" i="14" s="1"/>
  <c r="AG103" i="14"/>
  <c r="AG33" i="14" s="1"/>
  <c r="E160" i="17" a="1"/>
  <c r="E160" i="17" s="1"/>
  <c r="BD160" i="17" s="1"/>
  <c r="AF185" i="17"/>
  <c r="AF187" i="17" s="1"/>
  <c r="AF188" i="17" s="1"/>
  <c r="E161" i="17" a="1"/>
  <c r="E161" i="17" s="1"/>
  <c r="BO161" i="17" s="1"/>
  <c r="BQ129" i="17"/>
  <c r="AV149" i="17"/>
  <c r="BC149" i="17"/>
  <c r="AT149" i="17"/>
  <c r="AS149" i="17"/>
  <c r="BA149" i="17"/>
  <c r="AW149" i="17"/>
  <c r="AX149" i="17"/>
  <c r="AY149" i="17"/>
  <c r="AU149" i="17"/>
  <c r="AY144" i="17"/>
  <c r="AN144" i="17"/>
  <c r="AT144" i="17"/>
  <c r="AV144" i="17"/>
  <c r="AX144" i="17"/>
  <c r="AO144" i="17"/>
  <c r="E138" i="17" a="1"/>
  <c r="E138" i="17" s="1"/>
  <c r="AS138" i="17" s="1"/>
  <c r="AR144" i="17"/>
  <c r="AT129" i="17"/>
  <c r="AT131" i="17" s="1"/>
  <c r="AQ144" i="17"/>
  <c r="AU144" i="17"/>
  <c r="AP144" i="17"/>
  <c r="AW144" i="17"/>
  <c r="E141" i="17" a="1"/>
  <c r="E141" i="17" s="1"/>
  <c r="AW129" i="17"/>
  <c r="AW131" i="17" s="1"/>
  <c r="AK29" i="14"/>
  <c r="AK100" i="14" s="1"/>
  <c r="BH29" i="14"/>
  <c r="BT129" i="17"/>
  <c r="E164" i="17" a="1"/>
  <c r="E164" i="17" s="1"/>
  <c r="E166" i="17" a="1"/>
  <c r="E166" i="17" s="1"/>
  <c r="BJ29" i="14"/>
  <c r="BV129" i="17"/>
  <c r="BF154" i="17"/>
  <c r="BB154" i="17"/>
  <c r="BA154" i="17"/>
  <c r="BH154" i="17"/>
  <c r="AX154" i="17"/>
  <c r="BE154" i="17"/>
  <c r="AY154" i="17"/>
  <c r="BC154" i="17"/>
  <c r="AZ154" i="17"/>
  <c r="BG154" i="17"/>
  <c r="BD154" i="17"/>
  <c r="BI154" i="17"/>
  <c r="BM29" i="14"/>
  <c r="E169" i="17" a="1"/>
  <c r="E169" i="17" s="1"/>
  <c r="BY129" i="17"/>
  <c r="AZ155" i="17"/>
  <c r="BH155" i="17"/>
  <c r="BD155" i="17"/>
  <c r="BE155" i="17"/>
  <c r="BA155" i="17"/>
  <c r="BI155" i="17"/>
  <c r="BB155" i="17"/>
  <c r="BC155" i="17"/>
  <c r="BC157" i="17"/>
  <c r="BK157" i="17"/>
  <c r="BE157" i="17"/>
  <c r="BH157" i="17"/>
  <c r="BI157" i="17"/>
  <c r="BD157" i="17"/>
  <c r="BJ157" i="17"/>
  <c r="BL157" i="17"/>
  <c r="BG157" i="17"/>
  <c r="BB157" i="17"/>
  <c r="BF157" i="17"/>
  <c r="BA157" i="17"/>
  <c r="BK158" i="17"/>
  <c r="BE158" i="17"/>
  <c r="BL158" i="17"/>
  <c r="BI158" i="17"/>
  <c r="BG158" i="17"/>
  <c r="BF158" i="17"/>
  <c r="BD158" i="17"/>
  <c r="BC158" i="17"/>
  <c r="BJ158" i="17"/>
  <c r="BB158" i="17"/>
  <c r="BH158" i="17"/>
  <c r="BM158" i="17"/>
  <c r="AU151" i="17"/>
  <c r="BA151" i="17"/>
  <c r="BD151" i="17"/>
  <c r="BE151" i="17"/>
  <c r="BC151" i="17"/>
  <c r="AZ151" i="17"/>
  <c r="AW151" i="17"/>
  <c r="BF151" i="17"/>
  <c r="BB151" i="17"/>
  <c r="AV151" i="17"/>
  <c r="AX151" i="17"/>
  <c r="AY151" i="17"/>
  <c r="AY152" i="17"/>
  <c r="AX152" i="17"/>
  <c r="BA152" i="17"/>
  <c r="BF152" i="17"/>
  <c r="BC152" i="17"/>
  <c r="AZ152" i="17"/>
  <c r="BG152" i="17"/>
  <c r="AW152" i="17"/>
  <c r="AV152" i="17"/>
  <c r="BB152" i="17"/>
  <c r="BD152" i="17"/>
  <c r="BE152" i="17"/>
  <c r="E167" i="17" a="1"/>
  <c r="E167" i="17" s="1"/>
  <c r="BK29" i="14"/>
  <c r="BW129" i="17"/>
  <c r="AZ29" i="14"/>
  <c r="AZ100" i="14" s="1"/>
  <c r="BL129" i="17"/>
  <c r="BL131" i="17" s="1"/>
  <c r="E156" i="17" a="1"/>
  <c r="E156" i="17" s="1"/>
  <c r="AQ29" i="14"/>
  <c r="AQ100" i="14" s="1"/>
  <c r="BC129" i="17"/>
  <c r="BC131" i="17" s="1"/>
  <c r="E147" i="17" a="1"/>
  <c r="E147" i="17" s="1"/>
  <c r="E163" i="17" a="1"/>
  <c r="E163" i="17" s="1"/>
  <c r="BS129" i="17"/>
  <c r="BG29" i="14"/>
  <c r="BH12" i="16"/>
  <c r="BG25" i="16"/>
  <c r="BG22" i="16"/>
  <c r="BG27" i="14" s="1"/>
  <c r="BH12" i="15"/>
  <c r="BG22" i="15"/>
  <c r="BG25" i="14" s="1"/>
  <c r="BG25" i="15"/>
  <c r="BB149" i="17" l="1"/>
  <c r="BF155" i="17"/>
  <c r="AG43" i="14"/>
  <c r="BG155" i="17"/>
  <c r="BJ155" i="17"/>
  <c r="BD149" i="17"/>
  <c r="AG31" i="14"/>
  <c r="AG36" i="14" s="1"/>
  <c r="AG108" i="14" s="1"/>
  <c r="BJ160" i="17"/>
  <c r="BO160" i="17"/>
  <c r="BK160" i="17"/>
  <c r="AG104" i="14"/>
  <c r="AH99" i="14" s="1"/>
  <c r="BF160" i="17"/>
  <c r="BL161" i="17"/>
  <c r="BH161" i="17"/>
  <c r="BL160" i="17"/>
  <c r="BE161" i="17"/>
  <c r="BK161" i="17"/>
  <c r="BN161" i="17"/>
  <c r="BF161" i="17"/>
  <c r="BG161" i="17"/>
  <c r="BG160" i="17"/>
  <c r="BJ161" i="17"/>
  <c r="BM160" i="17"/>
  <c r="BM161" i="17"/>
  <c r="BH160" i="17"/>
  <c r="BI160" i="17"/>
  <c r="BN160" i="17"/>
  <c r="BE160" i="17"/>
  <c r="BP161" i="17"/>
  <c r="BI161" i="17"/>
  <c r="AN138" i="17"/>
  <c r="AK138" i="17"/>
  <c r="AQ138" i="17"/>
  <c r="AL138" i="17"/>
  <c r="AH138" i="17"/>
  <c r="AH134" i="17" s="1"/>
  <c r="AH43" i="14" s="1"/>
  <c r="AM138" i="17"/>
  <c r="AP138" i="17"/>
  <c r="AO138" i="17"/>
  <c r="AJ138" i="17"/>
  <c r="AJ134" i="17" s="1"/>
  <c r="AJ185" i="17" s="1"/>
  <c r="AJ187" i="17" s="1"/>
  <c r="AJ188" i="17" s="1"/>
  <c r="AI138" i="17"/>
  <c r="AI134" i="17" s="1"/>
  <c r="AI43" i="14" s="1"/>
  <c r="AR138" i="17"/>
  <c r="BO166" i="17"/>
  <c r="BN166" i="17"/>
  <c r="BS166" i="17"/>
  <c r="BK166" i="17"/>
  <c r="BT166" i="17"/>
  <c r="BM166" i="17"/>
  <c r="BL166" i="17"/>
  <c r="BQ166" i="17"/>
  <c r="BU166" i="17"/>
  <c r="BP166" i="17"/>
  <c r="BR166" i="17"/>
  <c r="BJ166" i="17"/>
  <c r="BO164" i="17"/>
  <c r="BK164" i="17"/>
  <c r="BN164" i="17"/>
  <c r="BP164" i="17"/>
  <c r="BI164" i="17"/>
  <c r="BS164" i="17"/>
  <c r="BL164" i="17"/>
  <c r="BJ164" i="17"/>
  <c r="BR164" i="17"/>
  <c r="BM164" i="17"/>
  <c r="BQ164" i="17"/>
  <c r="BH164" i="17"/>
  <c r="AT29" i="14"/>
  <c r="AT100" i="14" s="1"/>
  <c r="E150" i="17" a="1"/>
  <c r="E150" i="17" s="1"/>
  <c r="BF129" i="17"/>
  <c r="BF131" i="17" s="1"/>
  <c r="BK163" i="17"/>
  <c r="BR163" i="17"/>
  <c r="BO163" i="17"/>
  <c r="BN163" i="17"/>
  <c r="BI163" i="17"/>
  <c r="BH163" i="17"/>
  <c r="BJ163" i="17"/>
  <c r="BL163" i="17"/>
  <c r="BP163" i="17"/>
  <c r="BQ163" i="17"/>
  <c r="BM163" i="17"/>
  <c r="BG163" i="17"/>
  <c r="BO169" i="17"/>
  <c r="BS169" i="17"/>
  <c r="BV169" i="17"/>
  <c r="BN169" i="17"/>
  <c r="BP169" i="17"/>
  <c r="BR169" i="17"/>
  <c r="BX169" i="17"/>
  <c r="BT169" i="17"/>
  <c r="BW169" i="17"/>
  <c r="BQ169" i="17"/>
  <c r="BM169" i="17"/>
  <c r="BU169" i="17"/>
  <c r="AH103" i="14"/>
  <c r="AH33" i="14" s="1"/>
  <c r="AH101" i="14"/>
  <c r="AH102" i="14"/>
  <c r="AH32" i="14" s="1"/>
  <c r="BN167" i="17"/>
  <c r="BM167" i="17"/>
  <c r="BT167" i="17"/>
  <c r="BP167" i="17"/>
  <c r="BR167" i="17"/>
  <c r="BK167" i="17"/>
  <c r="BV167" i="17"/>
  <c r="BO167" i="17"/>
  <c r="BU167" i="17"/>
  <c r="BL167" i="17"/>
  <c r="BQ167" i="17"/>
  <c r="BS167" i="17"/>
  <c r="BO129" i="17"/>
  <c r="E159" i="17" a="1"/>
  <c r="E159" i="17" s="1"/>
  <c r="BC29" i="14"/>
  <c r="BC100" i="14" s="1"/>
  <c r="AV147" i="17"/>
  <c r="AW147" i="17"/>
  <c r="AR147" i="17"/>
  <c r="AY147" i="17"/>
  <c r="AS147" i="17"/>
  <c r="AT147" i="17"/>
  <c r="AZ147" i="17"/>
  <c r="AX147" i="17"/>
  <c r="BA147" i="17"/>
  <c r="AU147" i="17"/>
  <c r="BB147" i="17"/>
  <c r="AQ147" i="17"/>
  <c r="BC156" i="17"/>
  <c r="BK156" i="17"/>
  <c r="BI156" i="17"/>
  <c r="BJ156" i="17"/>
  <c r="BF156" i="17"/>
  <c r="BB156" i="17"/>
  <c r="AZ156" i="17"/>
  <c r="BG156" i="17"/>
  <c r="BD156" i="17"/>
  <c r="BE156" i="17"/>
  <c r="BH156" i="17"/>
  <c r="BA156" i="17"/>
  <c r="BX129" i="17"/>
  <c r="BL29" i="14"/>
  <c r="E168" i="17" a="1"/>
  <c r="E168" i="17" s="1"/>
  <c r="E153" i="17" a="1"/>
  <c r="E153" i="17" s="1"/>
  <c r="BI129" i="17"/>
  <c r="BI131" i="17" s="1"/>
  <c r="AW29" i="14"/>
  <c r="AW100" i="14" s="1"/>
  <c r="AR141" i="17"/>
  <c r="AO141" i="17"/>
  <c r="AM141" i="17"/>
  <c r="AT141" i="17"/>
  <c r="AN141" i="17"/>
  <c r="AQ141" i="17"/>
  <c r="AL141" i="17"/>
  <c r="AL134" i="17" s="1"/>
  <c r="AS141" i="17"/>
  <c r="AK141" i="17"/>
  <c r="AU141" i="17"/>
  <c r="AV141" i="17"/>
  <c r="AP141" i="17"/>
  <c r="BH10" i="16"/>
  <c r="BG100" i="14"/>
  <c r="BH10" i="15"/>
  <c r="E48" i="14" l="1" a="1"/>
  <c r="E48" i="14" s="1"/>
  <c r="AK134" i="17"/>
  <c r="AH185" i="17"/>
  <c r="AH187" i="17" s="1"/>
  <c r="AH188" i="17" s="1"/>
  <c r="AN134" i="17"/>
  <c r="AN185" i="17" s="1"/>
  <c r="AN187" i="17" s="1"/>
  <c r="AN188" i="17" s="1"/>
  <c r="AP134" i="17"/>
  <c r="AP43" i="14" s="1"/>
  <c r="AM134" i="17"/>
  <c r="AI185" i="17"/>
  <c r="AI187" i="17" s="1"/>
  <c r="AI188" i="17" s="1"/>
  <c r="AO134" i="17"/>
  <c r="AO185" i="17" s="1"/>
  <c r="AO187" i="17" s="1"/>
  <c r="AO188" i="17" s="1"/>
  <c r="AJ43" i="14"/>
  <c r="AR134" i="17"/>
  <c r="AR43" i="14" s="1"/>
  <c r="AS134" i="17"/>
  <c r="AS185" i="17" s="1"/>
  <c r="AS187" i="17" s="1"/>
  <c r="AS188" i="17" s="1"/>
  <c r="AQ134" i="17"/>
  <c r="AQ185" i="17" s="1"/>
  <c r="AQ187" i="17" s="1"/>
  <c r="AQ188" i="17" s="1"/>
  <c r="AL185" i="17"/>
  <c r="AL187" i="17" s="1"/>
  <c r="AL188" i="17" s="1"/>
  <c r="AL43" i="14"/>
  <c r="AK43" i="14"/>
  <c r="AK185" i="17"/>
  <c r="AK187" i="17" s="1"/>
  <c r="AK188" i="17" s="1"/>
  <c r="BV168" i="17"/>
  <c r="BS168" i="17"/>
  <c r="BM168" i="17"/>
  <c r="BT168" i="17"/>
  <c r="BW168" i="17"/>
  <c r="BR168" i="17"/>
  <c r="BQ168" i="17"/>
  <c r="BO168" i="17"/>
  <c r="BU168" i="17"/>
  <c r="BP168" i="17"/>
  <c r="BN168" i="17"/>
  <c r="BL168" i="17"/>
  <c r="AM43" i="14"/>
  <c r="AM185" i="17"/>
  <c r="AM187" i="17" s="1"/>
  <c r="AM188" i="17" s="1"/>
  <c r="BL159" i="17"/>
  <c r="BI159" i="17"/>
  <c r="BK159" i="17"/>
  <c r="BM159" i="17"/>
  <c r="BC159" i="17"/>
  <c r="BD159" i="17"/>
  <c r="BF159" i="17"/>
  <c r="BN159" i="17"/>
  <c r="BJ159" i="17"/>
  <c r="BG159" i="17"/>
  <c r="BE159" i="17"/>
  <c r="BH159" i="17"/>
  <c r="AH34" i="14"/>
  <c r="AH31" i="14" s="1"/>
  <c r="AH104" i="14"/>
  <c r="BR129" i="17"/>
  <c r="BF29" i="14"/>
  <c r="BF100" i="14" s="1"/>
  <c r="E162" i="17" a="1"/>
  <c r="E162" i="17" s="1"/>
  <c r="BD150" i="17"/>
  <c r="AX150" i="17"/>
  <c r="AV150" i="17"/>
  <c r="AV134" i="17" s="1"/>
  <c r="BC150" i="17"/>
  <c r="BA150" i="17"/>
  <c r="BE150" i="17"/>
  <c r="AW150" i="17"/>
  <c r="BB150" i="17"/>
  <c r="AT150" i="17"/>
  <c r="AT134" i="17" s="1"/>
  <c r="AZ150" i="17"/>
  <c r="AY150" i="17"/>
  <c r="AU150" i="17"/>
  <c r="AU134" i="17" s="1"/>
  <c r="BI29" i="14"/>
  <c r="BU129" i="17"/>
  <c r="E165" i="17" a="1"/>
  <c r="E165" i="17" s="1"/>
  <c r="AX153" i="17"/>
  <c r="BA153" i="17"/>
  <c r="AZ153" i="17"/>
  <c r="BF153" i="17"/>
  <c r="AW153" i="17"/>
  <c r="BB153" i="17"/>
  <c r="BE153" i="17"/>
  <c r="BD153" i="17"/>
  <c r="AY153" i="17"/>
  <c r="BH153" i="17"/>
  <c r="BC153" i="17"/>
  <c r="BG153" i="17"/>
  <c r="AM48" i="14"/>
  <c r="AL48" i="14"/>
  <c r="AI48" i="14"/>
  <c r="AG48" i="14"/>
  <c r="AN48" i="14"/>
  <c r="AH48" i="14"/>
  <c r="AK48" i="14"/>
  <c r="AJ48" i="14"/>
  <c r="AR48" i="14"/>
  <c r="AQ48" i="14"/>
  <c r="AO48" i="14"/>
  <c r="AP48" i="14"/>
  <c r="BV75" i="16"/>
  <c r="BU75" i="16"/>
  <c r="BT75" i="16"/>
  <c r="BS74" i="16"/>
  <c r="BS75" i="16"/>
  <c r="BQ74" i="16"/>
  <c r="BQ75" i="16"/>
  <c r="BR75" i="16"/>
  <c r="BR73" i="16"/>
  <c r="BR72" i="16"/>
  <c r="BR74" i="16"/>
  <c r="BQ72" i="16"/>
  <c r="BQ73" i="16"/>
  <c r="BP73" i="16"/>
  <c r="E74" i="16" a="1"/>
  <c r="E74" i="16" s="1"/>
  <c r="BP75" i="16"/>
  <c r="BP74" i="16"/>
  <c r="BP72" i="16"/>
  <c r="AI75" i="16"/>
  <c r="BD75" i="16"/>
  <c r="E71" i="16" a="1"/>
  <c r="E71" i="16" s="1"/>
  <c r="AG75" i="16"/>
  <c r="AF75" i="16"/>
  <c r="BM75" i="16"/>
  <c r="BO71" i="16"/>
  <c r="AR75" i="16"/>
  <c r="BO70" i="16"/>
  <c r="BF75" i="16"/>
  <c r="E75" i="16" a="1"/>
  <c r="E75" i="16" s="1"/>
  <c r="AL75" i="16"/>
  <c r="BA75" i="16"/>
  <c r="AO75" i="16"/>
  <c r="BC75" i="16"/>
  <c r="AX75" i="16"/>
  <c r="BB75" i="16"/>
  <c r="AH75" i="16"/>
  <c r="BJ75" i="16"/>
  <c r="BI75" i="16"/>
  <c r="BO73" i="16"/>
  <c r="BN75" i="16"/>
  <c r="BK75" i="16"/>
  <c r="AV75" i="16"/>
  <c r="AM75" i="16"/>
  <c r="AW75" i="16"/>
  <c r="AK75" i="16"/>
  <c r="BG75" i="16"/>
  <c r="BL75" i="16"/>
  <c r="BO75" i="16"/>
  <c r="BO74" i="16"/>
  <c r="BH75" i="16"/>
  <c r="BO72" i="16"/>
  <c r="AP75" i="16"/>
  <c r="AT75" i="16"/>
  <c r="AJ75" i="16"/>
  <c r="AS75" i="16"/>
  <c r="BB74" i="16"/>
  <c r="BL74" i="16"/>
  <c r="BE74" i="16"/>
  <c r="AT74" i="16"/>
  <c r="AU75" i="16"/>
  <c r="AZ75" i="16"/>
  <c r="BN74" i="16"/>
  <c r="BE75" i="16"/>
  <c r="AL74" i="16"/>
  <c r="AS74" i="16"/>
  <c r="BM74" i="16"/>
  <c r="AV74" i="16"/>
  <c r="BG74" i="16"/>
  <c r="BC74" i="16"/>
  <c r="AJ74" i="16"/>
  <c r="AY75" i="16"/>
  <c r="AZ74" i="16"/>
  <c r="BH74" i="16"/>
  <c r="AH74" i="16"/>
  <c r="BI74" i="16"/>
  <c r="BN72" i="16"/>
  <c r="BA74" i="16"/>
  <c r="AU74" i="16"/>
  <c r="AG74" i="16"/>
  <c r="AQ75" i="16"/>
  <c r="AN75" i="16"/>
  <c r="AO74" i="16"/>
  <c r="AX74" i="16"/>
  <c r="AI74" i="16"/>
  <c r="BN71" i="16"/>
  <c r="AW74" i="16"/>
  <c r="AM74" i="16"/>
  <c r="AP74" i="16"/>
  <c r="AQ73" i="16"/>
  <c r="BB73" i="16"/>
  <c r="AW73" i="16"/>
  <c r="BJ74" i="16"/>
  <c r="AY74" i="16"/>
  <c r="AH73" i="16"/>
  <c r="AM73" i="16"/>
  <c r="AK73" i="16"/>
  <c r="BK73" i="16"/>
  <c r="AN73" i="16"/>
  <c r="AS73" i="16"/>
  <c r="AP73" i="16"/>
  <c r="AY73" i="16"/>
  <c r="BM72" i="16"/>
  <c r="AQ74" i="16"/>
  <c r="AR74" i="16"/>
  <c r="AF74" i="16"/>
  <c r="BK74" i="16"/>
  <c r="BN70" i="16"/>
  <c r="AK74" i="16"/>
  <c r="BN68" i="16"/>
  <c r="BN73" i="16"/>
  <c r="BD74" i="16"/>
  <c r="AJ73" i="16"/>
  <c r="BM73" i="16"/>
  <c r="BM70" i="16"/>
  <c r="AV73" i="16"/>
  <c r="E68" i="16" a="1"/>
  <c r="E68" i="16" s="1"/>
  <c r="BI73" i="16"/>
  <c r="BN69" i="16"/>
  <c r="AN74" i="16"/>
  <c r="BF74" i="16"/>
  <c r="AR73" i="16"/>
  <c r="BA73" i="16"/>
  <c r="AI73" i="16"/>
  <c r="AX73" i="16"/>
  <c r="BM68" i="16"/>
  <c r="AL73" i="16"/>
  <c r="BC73" i="16"/>
  <c r="BM69" i="16"/>
  <c r="AZ73" i="16"/>
  <c r="BE73" i="16"/>
  <c r="AF73" i="16"/>
  <c r="BJ73" i="16"/>
  <c r="BL73" i="16"/>
  <c r="AG73" i="16"/>
  <c r="BF73" i="16"/>
  <c r="BD73" i="16"/>
  <c r="AO73" i="16"/>
  <c r="AT73" i="16"/>
  <c r="AU73" i="16"/>
  <c r="BH73" i="16"/>
  <c r="E73" i="16" a="1"/>
  <c r="E73" i="16" s="1"/>
  <c r="BM71" i="16"/>
  <c r="BG73" i="16"/>
  <c r="AG72" i="16"/>
  <c r="BL67" i="16"/>
  <c r="BI72" i="16"/>
  <c r="AX72" i="16"/>
  <c r="BA72" i="16"/>
  <c r="BG72" i="16"/>
  <c r="AL72" i="16"/>
  <c r="AO72" i="16"/>
  <c r="AY72" i="16"/>
  <c r="AR72" i="16"/>
  <c r="BL72" i="16"/>
  <c r="AI72" i="16"/>
  <c r="AN72" i="16"/>
  <c r="AK72" i="16"/>
  <c r="AQ72" i="16"/>
  <c r="AP72" i="16"/>
  <c r="BF72" i="16"/>
  <c r="AF72" i="16"/>
  <c r="BK72" i="16"/>
  <c r="E72" i="16" a="1"/>
  <c r="E72" i="16" s="1"/>
  <c r="AM72" i="16"/>
  <c r="AS72" i="16"/>
  <c r="AZ72" i="16"/>
  <c r="AY71" i="16"/>
  <c r="AW71" i="16"/>
  <c r="AV71" i="16"/>
  <c r="BC71" i="16"/>
  <c r="BK66" i="16"/>
  <c r="AH71" i="16"/>
  <c r="AN71" i="16"/>
  <c r="AK71" i="16"/>
  <c r="AL71" i="16"/>
  <c r="AG71" i="16"/>
  <c r="BI71" i="16"/>
  <c r="BH71" i="16"/>
  <c r="AT71" i="16"/>
  <c r="AS71" i="16"/>
  <c r="AU71" i="16"/>
  <c r="AP71" i="16"/>
  <c r="BK71" i="16"/>
  <c r="BK68" i="16"/>
  <c r="BJ71" i="16"/>
  <c r="BK69" i="16"/>
  <c r="BE71" i="16"/>
  <c r="BD71" i="16"/>
  <c r="BF71" i="16"/>
  <c r="AQ71" i="16"/>
  <c r="BA71" i="16"/>
  <c r="BK67" i="16"/>
  <c r="AM71" i="16"/>
  <c r="AF71" i="16"/>
  <c r="AJ71" i="16"/>
  <c r="AX71" i="16"/>
  <c r="BG71" i="16"/>
  <c r="AU72" i="16"/>
  <c r="BC72" i="16"/>
  <c r="AW72" i="16"/>
  <c r="BD72" i="16"/>
  <c r="AT72" i="16"/>
  <c r="BJ72" i="16"/>
  <c r="BL71" i="16"/>
  <c r="BL70" i="16"/>
  <c r="BE72" i="16"/>
  <c r="BH72" i="16"/>
  <c r="BL66" i="16"/>
  <c r="BL68" i="16"/>
  <c r="BL69" i="16"/>
  <c r="AJ72" i="16"/>
  <c r="AH72" i="16"/>
  <c r="BB72" i="16"/>
  <c r="AV72" i="16"/>
  <c r="AO71" i="16"/>
  <c r="AR71" i="16"/>
  <c r="BK70" i="16"/>
  <c r="AZ71" i="16"/>
  <c r="AI71" i="16"/>
  <c r="BB71" i="16"/>
  <c r="BJ68" i="16"/>
  <c r="BJ70" i="16"/>
  <c r="BJ67" i="16"/>
  <c r="BJ69" i="16"/>
  <c r="BJ65" i="16"/>
  <c r="BJ66" i="16"/>
  <c r="AF69" i="16"/>
  <c r="AT70" i="16"/>
  <c r="AO69" i="16"/>
  <c r="BC70" i="16"/>
  <c r="BI67" i="16"/>
  <c r="AG69" i="16"/>
  <c r="AP70" i="16"/>
  <c r="AK70" i="16"/>
  <c r="AV69" i="16"/>
  <c r="AN70" i="16"/>
  <c r="AO70" i="16"/>
  <c r="AL70" i="16"/>
  <c r="BE70" i="16"/>
  <c r="BB69" i="16"/>
  <c r="BA70" i="16"/>
  <c r="AS69" i="16"/>
  <c r="AJ70" i="16"/>
  <c r="AQ69" i="16"/>
  <c r="AI70" i="16"/>
  <c r="AW69" i="16"/>
  <c r="BD70" i="16"/>
  <c r="AG70" i="16"/>
  <c r="BF70" i="16"/>
  <c r="BI64" i="16"/>
  <c r="AY69" i="16"/>
  <c r="AZ70" i="16"/>
  <c r="AK69" i="16"/>
  <c r="AY70" i="16"/>
  <c r="BI70" i="16"/>
  <c r="AX70" i="16"/>
  <c r="AW70" i="16"/>
  <c r="BH70" i="16"/>
  <c r="BI65" i="16"/>
  <c r="BF69" i="16"/>
  <c r="AU70" i="16"/>
  <c r="E70" i="16" a="1"/>
  <c r="E70" i="16" s="1"/>
  <c r="AX69" i="16"/>
  <c r="AQ70" i="16"/>
  <c r="AF70" i="16"/>
  <c r="BG70" i="16"/>
  <c r="BD69" i="16"/>
  <c r="AM69" i="16"/>
  <c r="AL69" i="16"/>
  <c r="AT69" i="16"/>
  <c r="AH69" i="16"/>
  <c r="BE69" i="16"/>
  <c r="AR69" i="16"/>
  <c r="AR70" i="16"/>
  <c r="BG69" i="16"/>
  <c r="BI68" i="16"/>
  <c r="AJ69" i="16"/>
  <c r="AI69" i="16"/>
  <c r="AP69" i="16"/>
  <c r="BI66" i="16"/>
  <c r="AM70" i="16"/>
  <c r="AH70" i="16"/>
  <c r="AV70" i="16"/>
  <c r="AS70" i="16"/>
  <c r="BH69" i="16"/>
  <c r="BC69" i="16"/>
  <c r="BA69" i="16"/>
  <c r="BB70" i="16"/>
  <c r="BI69" i="16"/>
  <c r="E69" i="16" a="1"/>
  <c r="E69" i="16" s="1"/>
  <c r="AN69" i="16"/>
  <c r="AU69" i="16"/>
  <c r="AZ69" i="16"/>
  <c r="AS68" i="16"/>
  <c r="AF68" i="16"/>
  <c r="AK68" i="16"/>
  <c r="AP68" i="16"/>
  <c r="AV68" i="16"/>
  <c r="BE68" i="16"/>
  <c r="AX68" i="16"/>
  <c r="AR68" i="16"/>
  <c r="BG68" i="16"/>
  <c r="AH68" i="16"/>
  <c r="AJ68" i="16"/>
  <c r="BB68" i="16"/>
  <c r="BE67" i="16"/>
  <c r="BC67" i="16"/>
  <c r="BF67" i="16"/>
  <c r="AI67" i="16"/>
  <c r="BG66" i="16"/>
  <c r="BG65" i="16"/>
  <c r="BG62" i="16"/>
  <c r="AO68" i="16"/>
  <c r="BF68" i="16"/>
  <c r="BA68" i="16"/>
  <c r="AU68" i="16"/>
  <c r="AN68" i="16"/>
  <c r="AQ67" i="16"/>
  <c r="AR67" i="16"/>
  <c r="BG64" i="16"/>
  <c r="BG63" i="16"/>
  <c r="AS67" i="16"/>
  <c r="BB66" i="16"/>
  <c r="AQ66" i="16"/>
  <c r="AL67" i="16"/>
  <c r="BD67" i="16"/>
  <c r="AX67" i="16"/>
  <c r="E67" i="16" a="1"/>
  <c r="E67" i="16" s="1"/>
  <c r="AZ67" i="16"/>
  <c r="AY67" i="16"/>
  <c r="AK66" i="16"/>
  <c r="BG67" i="16"/>
  <c r="AN67" i="16"/>
  <c r="AH67" i="16"/>
  <c r="AV67" i="16"/>
  <c r="AG66" i="16"/>
  <c r="BF65" i="16"/>
  <c r="BB67" i="16"/>
  <c r="AW67" i="16"/>
  <c r="AK67" i="16"/>
  <c r="AU67" i="16"/>
  <c r="AG67" i="16"/>
  <c r="AM67" i="16"/>
  <c r="AO66" i="16"/>
  <c r="BF62" i="16"/>
  <c r="AT66" i="16"/>
  <c r="AT67" i="16"/>
  <c r="AO67" i="16"/>
  <c r="AF67" i="16"/>
  <c r="BA67" i="16"/>
  <c r="AP67" i="16"/>
  <c r="AJ67" i="16"/>
  <c r="BA66" i="16"/>
  <c r="BE63" i="16"/>
  <c r="AH66" i="16"/>
  <c r="AV66" i="16"/>
  <c r="AZ66" i="16"/>
  <c r="AU66" i="16"/>
  <c r="BE64" i="16"/>
  <c r="AW65" i="16"/>
  <c r="BE60" i="16"/>
  <c r="BE62" i="16"/>
  <c r="AR65" i="16"/>
  <c r="AT65" i="16"/>
  <c r="AX65" i="16"/>
  <c r="AP66" i="16"/>
  <c r="AP65" i="16"/>
  <c r="AN66" i="16"/>
  <c r="AK65" i="16"/>
  <c r="BE66" i="16"/>
  <c r="BA65" i="16"/>
  <c r="AH65" i="16"/>
  <c r="BD66" i="16"/>
  <c r="BE61" i="16"/>
  <c r="BE65" i="16"/>
  <c r="AG65" i="16"/>
  <c r="AX66" i="16"/>
  <c r="AM65" i="16"/>
  <c r="AJ65" i="16"/>
  <c r="AW66" i="16"/>
  <c r="AR66" i="16"/>
  <c r="AV65" i="16"/>
  <c r="BC66" i="16"/>
  <c r="BB65" i="16"/>
  <c r="AJ66" i="16"/>
  <c r="AL65" i="16"/>
  <c r="AN65" i="16"/>
  <c r="BF64" i="16"/>
  <c r="BF66" i="16"/>
  <c r="BF60" i="16"/>
  <c r="AI66" i="16"/>
  <c r="BF63" i="16"/>
  <c r="AM66" i="16"/>
  <c r="AF66" i="16"/>
  <c r="BF61" i="16"/>
  <c r="AY66" i="16"/>
  <c r="AO65" i="16"/>
  <c r="AY65" i="16"/>
  <c r="AS65" i="16"/>
  <c r="AF65" i="16"/>
  <c r="AL66" i="16"/>
  <c r="BD65" i="16"/>
  <c r="BC65" i="16"/>
  <c r="AS66" i="16"/>
  <c r="E66" i="16" a="1"/>
  <c r="E66" i="16" s="1"/>
  <c r="AQ65" i="16"/>
  <c r="AI65" i="16"/>
  <c r="AZ65" i="16"/>
  <c r="AU65" i="16"/>
  <c r="AS64" i="16"/>
  <c r="AV64" i="16"/>
  <c r="BC58" i="16"/>
  <c r="BC61" i="16"/>
  <c r="AS63" i="16"/>
  <c r="BC60" i="16"/>
  <c r="AM63" i="16"/>
  <c r="AQ64" i="16"/>
  <c r="AX63" i="16"/>
  <c r="BD63" i="16"/>
  <c r="AK63" i="16"/>
  <c r="AU64" i="16"/>
  <c r="BB63" i="16"/>
  <c r="AV63" i="16"/>
  <c r="AT64" i="16"/>
  <c r="AP63" i="16"/>
  <c r="BC63" i="16"/>
  <c r="AQ63" i="16"/>
  <c r="AW63" i="16"/>
  <c r="AI63" i="16"/>
  <c r="AG63" i="16"/>
  <c r="AT63" i="16"/>
  <c r="AY64" i="16"/>
  <c r="AO64" i="16"/>
  <c r="AF64" i="16"/>
  <c r="AR64" i="16"/>
  <c r="BA64" i="16"/>
  <c r="AP64" i="16"/>
  <c r="AU63" i="16"/>
  <c r="AI64" i="16"/>
  <c r="AW64" i="16"/>
  <c r="AX64" i="16"/>
  <c r="AZ63" i="16"/>
  <c r="BC64" i="16"/>
  <c r="BA63" i="16"/>
  <c r="AY63" i="16"/>
  <c r="BC59" i="16"/>
  <c r="E64" i="16" a="1"/>
  <c r="E64" i="16" s="1"/>
  <c r="BC62" i="16"/>
  <c r="AH63" i="16"/>
  <c r="AK64" i="16"/>
  <c r="AZ64" i="16"/>
  <c r="BD58" i="16"/>
  <c r="AG64" i="16"/>
  <c r="AJ64" i="16"/>
  <c r="BD61" i="16"/>
  <c r="BB64" i="16"/>
  <c r="BD64" i="16"/>
  <c r="BD62" i="16"/>
  <c r="BD59" i="16"/>
  <c r="AH64" i="16"/>
  <c r="AL64" i="16"/>
  <c r="AF63" i="16"/>
  <c r="AJ63" i="16"/>
  <c r="E63" i="16" a="1"/>
  <c r="E63" i="16" s="1"/>
  <c r="AL63" i="16"/>
  <c r="AR63" i="16"/>
  <c r="BD60" i="16"/>
  <c r="AN63" i="16"/>
  <c r="AO63" i="16"/>
  <c r="AM64" i="16"/>
  <c r="AN64" i="16"/>
  <c r="AZ62" i="16"/>
  <c r="AG62" i="16"/>
  <c r="AT62" i="16"/>
  <c r="AY62" i="16"/>
  <c r="AK62" i="16"/>
  <c r="AV62" i="16"/>
  <c r="AM62" i="16"/>
  <c r="AJ62" i="16"/>
  <c r="BA62" i="16"/>
  <c r="AF62" i="16"/>
  <c r="AP62" i="16"/>
  <c r="BB56" i="16"/>
  <c r="BB57" i="16"/>
  <c r="BB58" i="16"/>
  <c r="BB59" i="16"/>
  <c r="BB60" i="16"/>
  <c r="BB61" i="16"/>
  <c r="AQ62" i="16"/>
  <c r="AW62" i="16"/>
  <c r="AL62" i="16"/>
  <c r="AX62" i="16"/>
  <c r="AO62" i="16"/>
  <c r="BB62" i="16"/>
  <c r="AR62" i="16"/>
  <c r="AS62" i="16"/>
  <c r="AI62" i="16"/>
  <c r="AH62" i="16"/>
  <c r="AU62" i="16"/>
  <c r="AN62" i="16"/>
  <c r="BA60" i="16"/>
  <c r="AM60" i="16"/>
  <c r="AT60" i="16"/>
  <c r="AK60" i="16"/>
  <c r="AV60" i="16"/>
  <c r="AF61" i="16"/>
  <c r="BA58" i="16"/>
  <c r="AM61" i="16"/>
  <c r="BA56" i="16"/>
  <c r="AO61" i="16"/>
  <c r="AY60" i="16"/>
  <c r="E60" i="16" a="1"/>
  <c r="E60" i="16" s="1"/>
  <c r="AO60" i="16"/>
  <c r="AS60" i="16"/>
  <c r="AI60" i="16"/>
  <c r="BA61" i="16"/>
  <c r="AN61" i="16"/>
  <c r="AZ61" i="16"/>
  <c r="AZ56" i="16"/>
  <c r="AH60" i="16"/>
  <c r="AW60" i="16"/>
  <c r="AR60" i="16"/>
  <c r="AS61" i="16"/>
  <c r="AF60" i="16"/>
  <c r="AU61" i="16"/>
  <c r="AV61" i="16"/>
  <c r="AU60" i="16"/>
  <c r="AZ58" i="16"/>
  <c r="AZ55" i="16"/>
  <c r="AL61" i="16"/>
  <c r="AQ61" i="16"/>
  <c r="AJ60" i="16"/>
  <c r="AL60" i="16"/>
  <c r="AP60" i="16"/>
  <c r="AQ60" i="16"/>
  <c r="AG60" i="16"/>
  <c r="AJ61" i="16"/>
  <c r="AT61" i="16"/>
  <c r="AX61" i="16"/>
  <c r="AH61" i="16"/>
  <c r="AW61" i="16"/>
  <c r="BA55" i="16"/>
  <c r="AI61" i="16"/>
  <c r="AP61" i="16"/>
  <c r="AG61" i="16"/>
  <c r="E61" i="16" a="1"/>
  <c r="E61" i="16" s="1"/>
  <c r="AK61" i="16"/>
  <c r="BA54" i="16"/>
  <c r="AZ57" i="16"/>
  <c r="AY61" i="16"/>
  <c r="AR61" i="16"/>
  <c r="AZ60" i="16"/>
  <c r="AZ59" i="16"/>
  <c r="BA57" i="16"/>
  <c r="AN60" i="16"/>
  <c r="BA59" i="16"/>
  <c r="AX60" i="16"/>
  <c r="AY56" i="16"/>
  <c r="AK59" i="16"/>
  <c r="E58" i="16" a="1"/>
  <c r="E58" i="16" s="1"/>
  <c r="AW58" i="16"/>
  <c r="AO58" i="16"/>
  <c r="AX53" i="16"/>
  <c r="AR59" i="16"/>
  <c r="AO59" i="16"/>
  <c r="AH59" i="16"/>
  <c r="AL59" i="16"/>
  <c r="AI58" i="16"/>
  <c r="AJ58" i="16"/>
  <c r="AG58" i="16"/>
  <c r="AY58" i="16"/>
  <c r="AP58" i="16"/>
  <c r="AW59" i="16"/>
  <c r="AX59" i="16"/>
  <c r="AM59" i="16"/>
  <c r="AY59" i="16"/>
  <c r="AP59" i="16"/>
  <c r="AH58" i="16"/>
  <c r="AT58" i="16"/>
  <c r="AX54" i="16"/>
  <c r="AY54" i="16"/>
  <c r="AU59" i="16"/>
  <c r="AY57" i="16"/>
  <c r="AG59" i="16"/>
  <c r="AS58" i="16"/>
  <c r="AV59" i="16"/>
  <c r="AF58" i="16"/>
  <c r="AS59" i="16"/>
  <c r="AY55" i="16"/>
  <c r="AN59" i="16"/>
  <c r="AJ59" i="16"/>
  <c r="AX57" i="16"/>
  <c r="AY53" i="16"/>
  <c r="AI59" i="16"/>
  <c r="AK58" i="16"/>
  <c r="AQ59" i="16"/>
  <c r="AT59" i="16"/>
  <c r="AQ58" i="16"/>
  <c r="AV58" i="16"/>
  <c r="AL58" i="16"/>
  <c r="AF59" i="16"/>
  <c r="AU58" i="16"/>
  <c r="AM58" i="16"/>
  <c r="AX58" i="16"/>
  <c r="AX55" i="16"/>
  <c r="AX56" i="16"/>
  <c r="AN58" i="16"/>
  <c r="AR58" i="16"/>
  <c r="AT56" i="16"/>
  <c r="AW56" i="16"/>
  <c r="AF56" i="16"/>
  <c r="E57" i="16" a="1"/>
  <c r="E57" i="16" s="1"/>
  <c r="AT57" i="16"/>
  <c r="AP57" i="16"/>
  <c r="AV53" i="16"/>
  <c r="AL57" i="16"/>
  <c r="E52" i="16" a="1"/>
  <c r="E52" i="16" s="1"/>
  <c r="AG56" i="16"/>
  <c r="AV54" i="16"/>
  <c r="AI56" i="16"/>
  <c r="AW53" i="16"/>
  <c r="AI57" i="16"/>
  <c r="AQ56" i="16"/>
  <c r="AO57" i="16"/>
  <c r="AR57" i="16"/>
  <c r="AS57" i="16"/>
  <c r="AN57" i="16"/>
  <c r="AH57" i="16"/>
  <c r="AM57" i="16"/>
  <c r="AK57" i="16"/>
  <c r="AV56" i="16"/>
  <c r="AR56" i="16"/>
  <c r="AV55" i="16"/>
  <c r="AP56" i="16"/>
  <c r="AG57" i="16"/>
  <c r="AK56" i="16"/>
  <c r="AH56" i="16"/>
  <c r="AS56" i="16"/>
  <c r="AU57" i="16"/>
  <c r="AW57" i="16"/>
  <c r="AW55" i="16"/>
  <c r="AQ57" i="16"/>
  <c r="AW54" i="16"/>
  <c r="AJ57" i="16"/>
  <c r="AU56" i="16"/>
  <c r="AJ56" i="16"/>
  <c r="AO56" i="16"/>
  <c r="AL56" i="16"/>
  <c r="AN56" i="16"/>
  <c r="AV52" i="16"/>
  <c r="AW52" i="16"/>
  <c r="AF57" i="16"/>
  <c r="AV57" i="16"/>
  <c r="E55" i="16" a="1"/>
  <c r="E55" i="16" s="1"/>
  <c r="AM56" i="16"/>
  <c r="AT50" i="16"/>
  <c r="AO54" i="16"/>
  <c r="AU50" i="16"/>
  <c r="AO55" i="16"/>
  <c r="AF55" i="16"/>
  <c r="AU52" i="16"/>
  <c r="AT52" i="16"/>
  <c r="AH54" i="16"/>
  <c r="AT54" i="16"/>
  <c r="AS54" i="16"/>
  <c r="AQ55" i="16"/>
  <c r="AQ54" i="16"/>
  <c r="AG55" i="16"/>
  <c r="AT55" i="16"/>
  <c r="AJ54" i="16"/>
  <c r="AT53" i="16"/>
  <c r="AN55" i="16"/>
  <c r="AU53" i="16"/>
  <c r="AH55" i="16"/>
  <c r="AM55" i="16"/>
  <c r="AS55" i="16"/>
  <c r="AI55" i="16"/>
  <c r="E54" i="16" a="1"/>
  <c r="E54" i="16" s="1"/>
  <c r="AT51" i="16"/>
  <c r="AR54" i="16"/>
  <c r="AU55" i="16"/>
  <c r="AK54" i="16"/>
  <c r="AP54" i="16"/>
  <c r="AJ55" i="16"/>
  <c r="AP55" i="16"/>
  <c r="AL55" i="16"/>
  <c r="AU51" i="16"/>
  <c r="AN54" i="16"/>
  <c r="AL54" i="16"/>
  <c r="AK55" i="16"/>
  <c r="AR55" i="16"/>
  <c r="AI54" i="16"/>
  <c r="AF54" i="16"/>
  <c r="AM54" i="16"/>
  <c r="AU54" i="16"/>
  <c r="AG54" i="16"/>
  <c r="AR49" i="16"/>
  <c r="AS48" i="16"/>
  <c r="AP53" i="16"/>
  <c r="AS49" i="16"/>
  <c r="AR53" i="16"/>
  <c r="AL52" i="16"/>
  <c r="AO53" i="16"/>
  <c r="AR50" i="16"/>
  <c r="AJ53" i="16"/>
  <c r="AJ52" i="16"/>
  <c r="AG52" i="16"/>
  <c r="AR48" i="16"/>
  <c r="AS53" i="16"/>
  <c r="AF52" i="16"/>
  <c r="AS52" i="16"/>
  <c r="AH52" i="16"/>
  <c r="AR52" i="16"/>
  <c r="AK52" i="16"/>
  <c r="AS50" i="16"/>
  <c r="AF53" i="16"/>
  <c r="AR51" i="16"/>
  <c r="AG53" i="16"/>
  <c r="AO52" i="16"/>
  <c r="AI53" i="16"/>
  <c r="AN52" i="16"/>
  <c r="AH53" i="16"/>
  <c r="AM53" i="16"/>
  <c r="AQ53" i="16"/>
  <c r="AP52" i="16"/>
  <c r="AN53" i="16"/>
  <c r="AK53" i="16"/>
  <c r="AS51" i="16"/>
  <c r="AL53" i="16"/>
  <c r="AI52" i="16"/>
  <c r="AM52" i="16"/>
  <c r="AQ48" i="16"/>
  <c r="E51" i="16" a="1"/>
  <c r="E51" i="16" s="1"/>
  <c r="AQ49" i="16"/>
  <c r="AG51" i="16"/>
  <c r="AQ52" i="16"/>
  <c r="AJ51" i="16"/>
  <c r="AL51" i="16"/>
  <c r="AQ51" i="16"/>
  <c r="AI51" i="16"/>
  <c r="AQ47" i="16"/>
  <c r="AQ50" i="16"/>
  <c r="AN51" i="16"/>
  <c r="AH51" i="16"/>
  <c r="AP51" i="16"/>
  <c r="AM51" i="16"/>
  <c r="AO51" i="16"/>
  <c r="AF51" i="16"/>
  <c r="AQ46" i="16"/>
  <c r="AK51" i="16"/>
  <c r="AN50" i="16"/>
  <c r="AI50" i="16"/>
  <c r="AO44" i="16"/>
  <c r="AP46" i="16"/>
  <c r="AJ50" i="16"/>
  <c r="AP47" i="16"/>
  <c r="AO47" i="16"/>
  <c r="AG50" i="16"/>
  <c r="AO48" i="16"/>
  <c r="AL50" i="16"/>
  <c r="AO50" i="16"/>
  <c r="AP49" i="16"/>
  <c r="AP44" i="16"/>
  <c r="AP50" i="16"/>
  <c r="AH50" i="16"/>
  <c r="AM50" i="16"/>
  <c r="AP48" i="16"/>
  <c r="AF50" i="16"/>
  <c r="AK50" i="16"/>
  <c r="AP45" i="16"/>
  <c r="AO43" i="16"/>
  <c r="AO45" i="16"/>
  <c r="AJ49" i="16"/>
  <c r="AL49" i="16"/>
  <c r="AK49" i="16"/>
  <c r="AO46" i="16"/>
  <c r="E48" i="16" a="1"/>
  <c r="E48" i="16" s="1"/>
  <c r="AO49" i="16"/>
  <c r="AF49" i="16"/>
  <c r="AN49" i="16"/>
  <c r="E45" i="16" a="1"/>
  <c r="E45" i="16" s="1"/>
  <c r="AM49" i="16"/>
  <c r="AN48" i="16"/>
  <c r="AM48" i="16"/>
  <c r="AG49" i="16"/>
  <c r="AI48" i="16"/>
  <c r="AN44" i="16"/>
  <c r="AF48" i="16"/>
  <c r="E42" i="16" a="1"/>
  <c r="E42" i="16" s="1"/>
  <c r="AN46" i="16"/>
  <c r="AJ48" i="16"/>
  <c r="AH48" i="16"/>
  <c r="AN41" i="16"/>
  <c r="AL48" i="16"/>
  <c r="AG48" i="16"/>
  <c r="AK48" i="16"/>
  <c r="AN43" i="16"/>
  <c r="AN45" i="16"/>
  <c r="AH49" i="16"/>
  <c r="AI49" i="16"/>
  <c r="AN47" i="16"/>
  <c r="AN42" i="16"/>
  <c r="AM47" i="16"/>
  <c r="AG46" i="16"/>
  <c r="AL42" i="16"/>
  <c r="AL47" i="16"/>
  <c r="AL44" i="16"/>
  <c r="AH47" i="16"/>
  <c r="AL46" i="16"/>
  <c r="AH46" i="16"/>
  <c r="AJ47" i="16"/>
  <c r="AJ46" i="16"/>
  <c r="AM42" i="16"/>
  <c r="AM44" i="16"/>
  <c r="AI47" i="16"/>
  <c r="AM43" i="16"/>
  <c r="AM41" i="16"/>
  <c r="AM45" i="16"/>
  <c r="AL40" i="16"/>
  <c r="AF47" i="16"/>
  <c r="AG47" i="16"/>
  <c r="AM46" i="16"/>
  <c r="AK47" i="16"/>
  <c r="AI46" i="16"/>
  <c r="AL45" i="16"/>
  <c r="AK46" i="16"/>
  <c r="AL43" i="16"/>
  <c r="AL41" i="16"/>
  <c r="AF46" i="16"/>
  <c r="AK45" i="16"/>
  <c r="AK42" i="16"/>
  <c r="AG45" i="16"/>
  <c r="AK41" i="16"/>
  <c r="AH45" i="16"/>
  <c r="AJ45" i="16"/>
  <c r="AF45" i="16"/>
  <c r="AK43" i="16"/>
  <c r="AK39" i="16"/>
  <c r="AK40" i="16"/>
  <c r="AI45" i="16"/>
  <c r="AK44" i="16"/>
  <c r="AG39" i="16"/>
  <c r="AG40" i="16"/>
  <c r="AI39" i="16"/>
  <c r="AG42" i="16"/>
  <c r="AF42" i="16"/>
  <c r="AI40" i="16"/>
  <c r="AF38" i="16"/>
  <c r="AJ42" i="16"/>
  <c r="AH42" i="16"/>
  <c r="AH44" i="16"/>
  <c r="AH40" i="16"/>
  <c r="AI41" i="16"/>
  <c r="AG37" i="16"/>
  <c r="AF41" i="16"/>
  <c r="AJ38" i="16"/>
  <c r="AI43" i="16"/>
  <c r="AG41" i="16"/>
  <c r="AI42" i="16"/>
  <c r="AJ44" i="16"/>
  <c r="AG43" i="16"/>
  <c r="AF44" i="16"/>
  <c r="AH38" i="16"/>
  <c r="AF43" i="16"/>
  <c r="AJ40" i="16"/>
  <c r="AJ41" i="16"/>
  <c r="AF40" i="16"/>
  <c r="AI44" i="16"/>
  <c r="AG38" i="16"/>
  <c r="AF39" i="16"/>
  <c r="AH43" i="16"/>
  <c r="AF37" i="16"/>
  <c r="AH39" i="16"/>
  <c r="AJ39" i="16"/>
  <c r="AG44" i="16"/>
  <c r="AJ43" i="16"/>
  <c r="AH41" i="16"/>
  <c r="AI38" i="16"/>
  <c r="BH62" i="16"/>
  <c r="BH64" i="16"/>
  <c r="BC68" i="16"/>
  <c r="BH63" i="16"/>
  <c r="BH68" i="16"/>
  <c r="AZ68" i="16"/>
  <c r="AY68" i="16"/>
  <c r="AI68" i="16"/>
  <c r="AL68" i="16"/>
  <c r="BH66" i="16"/>
  <c r="AM68" i="16"/>
  <c r="AT68" i="16"/>
  <c r="BH65" i="16"/>
  <c r="BH67" i="16"/>
  <c r="AQ68" i="16"/>
  <c r="AG68" i="16"/>
  <c r="BD68" i="16"/>
  <c r="AW68" i="16"/>
  <c r="BI12" i="16"/>
  <c r="BH25" i="16"/>
  <c r="BH22" i="16"/>
  <c r="BH27" i="14" s="1"/>
  <c r="BH22" i="15"/>
  <c r="BH25" i="14" s="1"/>
  <c r="BH25" i="15"/>
  <c r="BI12" i="15"/>
  <c r="AN43" i="14" l="1"/>
  <c r="AQ43" i="14"/>
  <c r="AP185" i="17"/>
  <c r="AP187" i="17" s="1"/>
  <c r="AP188" i="17" s="1"/>
  <c r="AZ134" i="17"/>
  <c r="AZ185" i="17" s="1"/>
  <c r="AZ187" i="17" s="1"/>
  <c r="AZ188" i="17" s="1"/>
  <c r="AO43" i="14"/>
  <c r="AR185" i="17"/>
  <c r="AR187" i="17" s="1"/>
  <c r="AR188" i="17" s="1"/>
  <c r="AS43" i="14"/>
  <c r="AW134" i="17"/>
  <c r="AW43" i="14" s="1"/>
  <c r="AY134" i="17"/>
  <c r="AY185" i="17" s="1"/>
  <c r="AY187" i="17" s="1"/>
  <c r="AY188" i="17" s="1"/>
  <c r="BA134" i="17"/>
  <c r="BA185" i="17" s="1"/>
  <c r="BA187" i="17" s="1"/>
  <c r="BA188" i="17" s="1"/>
  <c r="AX134" i="17"/>
  <c r="AX43" i="14" s="1"/>
  <c r="BB134" i="17"/>
  <c r="BB43" i="14" s="1"/>
  <c r="AH36" i="14"/>
  <c r="AH108" i="14" s="1"/>
  <c r="E49" i="14" a="1"/>
  <c r="E49" i="14" s="1"/>
  <c r="AT43" i="14"/>
  <c r="AT185" i="17"/>
  <c r="AT187" i="17" s="1"/>
  <c r="AT188" i="17" s="1"/>
  <c r="AI99" i="14"/>
  <c r="N104" i="14"/>
  <c r="BE134" i="17"/>
  <c r="BC134" i="17"/>
  <c r="AV185" i="17"/>
  <c r="AV187" i="17" s="1"/>
  <c r="AV188" i="17" s="1"/>
  <c r="AV43" i="14"/>
  <c r="BD134" i="17"/>
  <c r="BP165" i="17"/>
  <c r="BN165" i="17"/>
  <c r="BO165" i="17"/>
  <c r="BK165" i="17"/>
  <c r="BI165" i="17"/>
  <c r="W165" i="17" s="1"/>
  <c r="BS165" i="17"/>
  <c r="BJ165" i="17"/>
  <c r="BQ165" i="17"/>
  <c r="BT165" i="17"/>
  <c r="BL165" i="17"/>
  <c r="BM165" i="17"/>
  <c r="BR165" i="17"/>
  <c r="BJ162" i="17"/>
  <c r="BO162" i="17"/>
  <c r="BH162" i="17"/>
  <c r="BH134" i="17" s="1"/>
  <c r="BP162" i="17"/>
  <c r="BG162" i="17"/>
  <c r="BG134" i="17" s="1"/>
  <c r="BQ162" i="17"/>
  <c r="BN162" i="17"/>
  <c r="BI162" i="17"/>
  <c r="BM162" i="17"/>
  <c r="BF162" i="17"/>
  <c r="BF134" i="17" s="1"/>
  <c r="BL162" i="17"/>
  <c r="BK162" i="17"/>
  <c r="AU43" i="14"/>
  <c r="AU185" i="17"/>
  <c r="AU187" i="17" s="1"/>
  <c r="AU188" i="17" s="1"/>
  <c r="K168" i="17"/>
  <c r="W163" i="17"/>
  <c r="J168" i="17"/>
  <c r="X168" i="17"/>
  <c r="AB168" i="17"/>
  <c r="AA168" i="17"/>
  <c r="J163" i="17"/>
  <c r="Z168" i="17"/>
  <c r="Y168" i="17"/>
  <c r="AC149" i="17"/>
  <c r="N155" i="17"/>
  <c r="S159" i="17"/>
  <c r="W153" i="17"/>
  <c r="S139" i="17"/>
  <c r="S157" i="17"/>
  <c r="Y149" i="17"/>
  <c r="AC138" i="17"/>
  <c r="V159" i="17"/>
  <c r="X156" i="17"/>
  <c r="K41" i="17"/>
  <c r="AC154" i="17"/>
  <c r="T41" i="17"/>
  <c r="H158" i="17"/>
  <c r="I154" i="17"/>
  <c r="Z167" i="17"/>
  <c r="S163" i="17"/>
  <c r="Z151" i="17"/>
  <c r="H142" i="17"/>
  <c r="H164" i="17"/>
  <c r="H156" i="17"/>
  <c r="AA160" i="17"/>
  <c r="Y157" i="17"/>
  <c r="AB145" i="17"/>
  <c r="Y129" i="17"/>
  <c r="X141" i="17"/>
  <c r="I141" i="17"/>
  <c r="U157" i="17"/>
  <c r="Z137" i="17"/>
  <c r="R138" i="17"/>
  <c r="R154" i="17"/>
  <c r="J153" i="17"/>
  <c r="Q154" i="17"/>
  <c r="P155" i="17"/>
  <c r="U159" i="17"/>
  <c r="Y145" i="17"/>
  <c r="V140" i="17"/>
  <c r="X148" i="17"/>
  <c r="H138" i="17"/>
  <c r="X155" i="17"/>
  <c r="Q167" i="17"/>
  <c r="AB161" i="17"/>
  <c r="H137" i="17"/>
  <c r="AB160" i="17"/>
  <c r="Z158" i="17"/>
  <c r="AA139" i="17"/>
  <c r="T166" i="17"/>
  <c r="S138" i="17"/>
  <c r="P125" i="17"/>
  <c r="Q166" i="17"/>
  <c r="R164" i="17"/>
  <c r="Q140" i="17"/>
  <c r="Y160" i="17"/>
  <c r="Q187" i="17"/>
  <c r="J155" i="17"/>
  <c r="Q157" i="17"/>
  <c r="Z140" i="17"/>
  <c r="AA141" i="17"/>
  <c r="R141" i="17"/>
  <c r="W169" i="17"/>
  <c r="T139" i="17"/>
  <c r="S129" i="17"/>
  <c r="R140" i="17"/>
  <c r="X145" i="17"/>
  <c r="U164" i="17"/>
  <c r="J140" i="17"/>
  <c r="H149" i="17"/>
  <c r="N138" i="17"/>
  <c r="P131" i="17"/>
  <c r="R167" i="17"/>
  <c r="AA143" i="17"/>
  <c r="W161" i="17"/>
  <c r="P134" i="17"/>
  <c r="N140" i="17"/>
  <c r="Q148" i="17"/>
  <c r="AC158" i="17"/>
  <c r="Q137" i="17"/>
  <c r="AA146" i="17"/>
  <c r="N170" i="17"/>
  <c r="Q129" i="17"/>
  <c r="P157" i="17"/>
  <c r="W168" i="17"/>
  <c r="O169" i="17"/>
  <c r="N153" i="17"/>
  <c r="U150" i="17"/>
  <c r="N151" i="17"/>
  <c r="P146" i="17"/>
  <c r="AA144" i="17"/>
  <c r="P159" i="17"/>
  <c r="AB159" i="17"/>
  <c r="T168" i="17"/>
  <c r="V145" i="17"/>
  <c r="Y156" i="17"/>
  <c r="Y166" i="17"/>
  <c r="O148" i="17"/>
  <c r="AA138" i="17"/>
  <c r="Q149" i="17"/>
  <c r="S170" i="17"/>
  <c r="T170" i="17"/>
  <c r="W125" i="17"/>
  <c r="P166" i="17"/>
  <c r="W157" i="17"/>
  <c r="R168" i="17"/>
  <c r="I145" i="17"/>
  <c r="Q144" i="17"/>
  <c r="Q134" i="17"/>
  <c r="Q147" i="17"/>
  <c r="AC166" i="17"/>
  <c r="AC162" i="17"/>
  <c r="AC165" i="17"/>
  <c r="K136" i="17"/>
  <c r="R147" i="17"/>
  <c r="I138" i="17"/>
  <c r="O150" i="17"/>
  <c r="T157" i="17"/>
  <c r="AB146" i="17"/>
  <c r="T167" i="17"/>
  <c r="T140" i="17"/>
  <c r="R148" i="17"/>
  <c r="W146" i="17"/>
  <c r="I152" i="17"/>
  <c r="T146" i="17"/>
  <c r="Z155" i="17"/>
  <c r="J152" i="17"/>
  <c r="Z150" i="17"/>
  <c r="K145" i="17"/>
  <c r="N125" i="17"/>
  <c r="I157" i="17"/>
  <c r="Z129" i="17"/>
  <c r="H140" i="17"/>
  <c r="P163" i="17"/>
  <c r="Y163" i="17"/>
  <c r="W160" i="17"/>
  <c r="S156" i="17"/>
  <c r="N154" i="17"/>
  <c r="U163" i="17"/>
  <c r="AB154" i="17"/>
  <c r="O125" i="17"/>
  <c r="J143" i="17"/>
  <c r="I139" i="17"/>
  <c r="U147" i="17"/>
  <c r="Y137" i="17"/>
  <c r="H163" i="17"/>
  <c r="AC157" i="17"/>
  <c r="J156" i="17"/>
  <c r="N148" i="17"/>
  <c r="H169" i="17"/>
  <c r="H187" i="17"/>
  <c r="U168" i="17"/>
  <c r="R139" i="17"/>
  <c r="V158" i="17"/>
  <c r="S148" i="17"/>
  <c r="AA156" i="17"/>
  <c r="J158" i="17"/>
  <c r="Q170" i="17"/>
  <c r="AC156" i="17"/>
  <c r="Z138" i="17"/>
  <c r="AB139" i="17"/>
  <c r="H147" i="17"/>
  <c r="N159" i="17"/>
  <c r="Y155" i="17"/>
  <c r="Q163" i="17"/>
  <c r="I146" i="17"/>
  <c r="U162" i="17"/>
  <c r="N146" i="17"/>
  <c r="O41" i="17"/>
  <c r="O153" i="17"/>
  <c r="T143" i="17"/>
  <c r="K147" i="17"/>
  <c r="N161" i="17"/>
  <c r="O187" i="17"/>
  <c r="S147" i="17"/>
  <c r="V151" i="17"/>
  <c r="J136" i="17"/>
  <c r="S154" i="17"/>
  <c r="V148" i="17"/>
  <c r="H143" i="17"/>
  <c r="Y152" i="17"/>
  <c r="AA140" i="17"/>
  <c r="X149" i="17"/>
  <c r="P151" i="17"/>
  <c r="H134" i="17"/>
  <c r="T150" i="17"/>
  <c r="Z160" i="17"/>
  <c r="AA158" i="17"/>
  <c r="T154" i="17"/>
  <c r="U146" i="17"/>
  <c r="I165" i="17"/>
  <c r="P156" i="17"/>
  <c r="AA41" i="17"/>
  <c r="V41" i="17"/>
  <c r="U144" i="17"/>
  <c r="Z163" i="17"/>
  <c r="S144" i="17"/>
  <c r="U154" i="17"/>
  <c r="H153" i="17"/>
  <c r="Y41" i="17"/>
  <c r="AC139" i="17"/>
  <c r="U158" i="17"/>
  <c r="Y154" i="17"/>
  <c r="J141" i="17"/>
  <c r="N129" i="17"/>
  <c r="R134" i="17"/>
  <c r="T125" i="17"/>
  <c r="U167" i="17"/>
  <c r="U153" i="17"/>
  <c r="R146" i="17"/>
  <c r="H139" i="17"/>
  <c r="H146" i="17"/>
  <c r="AA137" i="17"/>
  <c r="I159" i="17"/>
  <c r="Y153" i="17"/>
  <c r="O129" i="17"/>
  <c r="Q138" i="17"/>
  <c r="V155" i="17"/>
  <c r="AC167" i="17"/>
  <c r="AC140" i="17"/>
  <c r="K151" i="17"/>
  <c r="AC161" i="17"/>
  <c r="AA163" i="17"/>
  <c r="J145" i="17"/>
  <c r="I149" i="17"/>
  <c r="S160" i="17"/>
  <c r="Q150" i="17"/>
  <c r="AA142" i="17"/>
  <c r="N137" i="17"/>
  <c r="N134" i="17"/>
  <c r="W167" i="17"/>
  <c r="U148" i="17"/>
  <c r="S131" i="17"/>
  <c r="O165" i="17"/>
  <c r="H154" i="17"/>
  <c r="Y150" i="17"/>
  <c r="I160" i="17"/>
  <c r="Q139" i="17"/>
  <c r="Z139" i="17"/>
  <c r="X147" i="17"/>
  <c r="P138" i="17"/>
  <c r="I140" i="17"/>
  <c r="I136" i="17"/>
  <c r="P165" i="17"/>
  <c r="X150" i="17"/>
  <c r="S136" i="17"/>
  <c r="W170" i="17"/>
  <c r="AB156" i="17"/>
  <c r="O159" i="17"/>
  <c r="V165" i="17"/>
  <c r="I148" i="17"/>
  <c r="J151" i="17"/>
  <c r="R162" i="17"/>
  <c r="V152" i="17"/>
  <c r="X157" i="17"/>
  <c r="O170" i="17"/>
  <c r="X146" i="17"/>
  <c r="J159" i="17"/>
  <c r="N166" i="17"/>
  <c r="AA166" i="17"/>
  <c r="X158" i="17"/>
  <c r="H141" i="17"/>
  <c r="R137" i="17"/>
  <c r="W141" i="17"/>
  <c r="U160" i="17"/>
  <c r="K159" i="17"/>
  <c r="W159" i="17"/>
  <c r="X169" i="17"/>
  <c r="W142" i="17"/>
  <c r="R165" i="17"/>
  <c r="AB148" i="17"/>
  <c r="H148" i="17"/>
  <c r="V138" i="17"/>
  <c r="P136" i="17"/>
  <c r="T159" i="17"/>
  <c r="Y141" i="17"/>
  <c r="Q159" i="17"/>
  <c r="AA148" i="17"/>
  <c r="AA147" i="17"/>
  <c r="V143" i="17"/>
  <c r="R142" i="17"/>
  <c r="P153" i="17"/>
  <c r="X166" i="17"/>
  <c r="J139" i="17"/>
  <c r="R129" i="17"/>
  <c r="X138" i="17"/>
  <c r="P137" i="17"/>
  <c r="V129" i="17"/>
  <c r="S162" i="17"/>
  <c r="Z156" i="17"/>
  <c r="V131" i="17"/>
  <c r="AB41" i="17"/>
  <c r="U166" i="17"/>
  <c r="Z142" i="17"/>
  <c r="N143" i="17"/>
  <c r="R145" i="17"/>
  <c r="R150" i="17"/>
  <c r="T158" i="17"/>
  <c r="N168" i="17"/>
  <c r="R166" i="17"/>
  <c r="U129" i="17"/>
  <c r="AA153" i="17"/>
  <c r="R159" i="17"/>
  <c r="S158" i="17"/>
  <c r="V147" i="17"/>
  <c r="U155" i="17"/>
  <c r="W131" i="17"/>
  <c r="Y169" i="17"/>
  <c r="Y148" i="17"/>
  <c r="AB169" i="17"/>
  <c r="Z148" i="17"/>
  <c r="J150" i="17"/>
  <c r="S146" i="17"/>
  <c r="R158" i="17"/>
  <c r="AA149" i="17"/>
  <c r="P185" i="17"/>
  <c r="X151" i="17"/>
  <c r="R157" i="17"/>
  <c r="X131" i="17"/>
  <c r="O140" i="17"/>
  <c r="N165" i="17"/>
  <c r="H152" i="17"/>
  <c r="P141" i="17"/>
  <c r="Y164" i="17"/>
  <c r="S145" i="17"/>
  <c r="P160" i="17"/>
  <c r="O163" i="17"/>
  <c r="R143" i="17"/>
  <c r="R153" i="17"/>
  <c r="V154" i="17"/>
  <c r="R170" i="17"/>
  <c r="O164" i="17"/>
  <c r="H170" i="17"/>
  <c r="S41" i="17"/>
  <c r="Q158" i="17"/>
  <c r="T136" i="17"/>
  <c r="R125" i="17"/>
  <c r="X154" i="17"/>
  <c r="J149" i="17"/>
  <c r="U136" i="17"/>
  <c r="N164" i="17"/>
  <c r="H166" i="17"/>
  <c r="W144" i="17"/>
  <c r="W155" i="17"/>
  <c r="Y167" i="17"/>
  <c r="O168" i="17"/>
  <c r="Y144" i="17"/>
  <c r="R131" i="17"/>
  <c r="Y143" i="17"/>
  <c r="T149" i="17"/>
  <c r="Z136" i="17"/>
  <c r="H161" i="17"/>
  <c r="K155" i="17"/>
  <c r="U149" i="17"/>
  <c r="S125" i="17"/>
  <c r="U142" i="17"/>
  <c r="O161" i="17"/>
  <c r="S140" i="17"/>
  <c r="AB158" i="17"/>
  <c r="W143" i="17"/>
  <c r="J148" i="17"/>
  <c r="U139" i="17"/>
  <c r="V144" i="17"/>
  <c r="P147" i="17"/>
  <c r="W148" i="17"/>
  <c r="K149" i="17"/>
  <c r="W145" i="17"/>
  <c r="S137" i="17"/>
  <c r="P154" i="17"/>
  <c r="Q125" i="17"/>
  <c r="O185" i="17"/>
  <c r="U145" i="17"/>
  <c r="X144" i="17"/>
  <c r="AA161" i="17"/>
  <c r="T152" i="17"/>
  <c r="X129" i="17"/>
  <c r="AC147" i="17"/>
  <c r="S152" i="17"/>
  <c r="R163" i="17"/>
  <c r="X170" i="17"/>
  <c r="W151" i="17"/>
  <c r="O139" i="17"/>
  <c r="AB141" i="17"/>
  <c r="AB144" i="17"/>
  <c r="H150" i="17"/>
  <c r="O149" i="17"/>
  <c r="Y142" i="17"/>
  <c r="AA155" i="17"/>
  <c r="V170" i="17"/>
  <c r="P164" i="17"/>
  <c r="AA150" i="17"/>
  <c r="W138" i="17"/>
  <c r="W129" i="17"/>
  <c r="Q145" i="17"/>
  <c r="I150" i="17"/>
  <c r="O156" i="17"/>
  <c r="AB163" i="17"/>
  <c r="H157" i="17"/>
  <c r="K157" i="17"/>
  <c r="AA154" i="17"/>
  <c r="H159" i="17"/>
  <c r="U169" i="17"/>
  <c r="Q141" i="17"/>
  <c r="O137" i="17"/>
  <c r="I163" i="17"/>
  <c r="I164" i="17"/>
  <c r="Q151" i="17"/>
  <c r="Q160" i="17"/>
  <c r="K158" i="17"/>
  <c r="P129" i="17"/>
  <c r="I143" i="17"/>
  <c r="P142" i="17"/>
  <c r="S151" i="17"/>
  <c r="AB164" i="17"/>
  <c r="Q136" i="17"/>
  <c r="V146" i="17"/>
  <c r="H167" i="17"/>
  <c r="AC159" i="17"/>
  <c r="Y139" i="17"/>
  <c r="AB151" i="17"/>
  <c r="H165" i="17"/>
  <c r="K154" i="17"/>
  <c r="T162" i="17"/>
  <c r="P148" i="17"/>
  <c r="T160" i="17"/>
  <c r="Y158" i="17"/>
  <c r="I125" i="17"/>
  <c r="N147" i="17"/>
  <c r="AA164" i="17"/>
  <c r="Z154" i="17"/>
  <c r="H155" i="17"/>
  <c r="H41" i="17"/>
  <c r="X161" i="17"/>
  <c r="O155" i="17"/>
  <c r="N149" i="17"/>
  <c r="V137" i="17"/>
  <c r="K163" i="17"/>
  <c r="H151" i="17"/>
  <c r="P187" i="17"/>
  <c r="I170" i="17"/>
  <c r="P149" i="17"/>
  <c r="AA136" i="17"/>
  <c r="V125" i="17"/>
  <c r="T131" i="17"/>
  <c r="AB137" i="17"/>
  <c r="Q169" i="17"/>
  <c r="W137" i="17"/>
  <c r="N136" i="17"/>
  <c r="I155" i="17"/>
  <c r="AB162" i="17"/>
  <c r="H160" i="17"/>
  <c r="W154" i="17"/>
  <c r="I168" i="17"/>
  <c r="V150" i="17"/>
  <c r="S161" i="17"/>
  <c r="U151" i="17"/>
  <c r="X163" i="17"/>
  <c r="Z141" i="17"/>
  <c r="AB155" i="17"/>
  <c r="AB153" i="17"/>
  <c r="J144" i="17"/>
  <c r="S142" i="17"/>
  <c r="T138" i="17"/>
  <c r="AB129" i="17"/>
  <c r="I162" i="17"/>
  <c r="S164" i="17"/>
  <c r="P167" i="17"/>
  <c r="I129" i="17"/>
  <c r="Y151" i="17"/>
  <c r="O154" i="17"/>
  <c r="X167" i="17"/>
  <c r="AB166" i="17"/>
  <c r="U161" i="17"/>
  <c r="AB147" i="17"/>
  <c r="V136" i="17"/>
  <c r="R144" i="17"/>
  <c r="T137" i="17"/>
  <c r="V157" i="17"/>
  <c r="J147" i="17"/>
  <c r="T141" i="17"/>
  <c r="H185" i="17"/>
  <c r="V166" i="17"/>
  <c r="I41" i="17"/>
  <c r="H168" i="17"/>
  <c r="N141" i="17"/>
  <c r="R161" i="17"/>
  <c r="X125" i="17"/>
  <c r="T153" i="17"/>
  <c r="T129" i="17"/>
  <c r="Z166" i="17"/>
  <c r="J166" i="17"/>
  <c r="S166" i="17"/>
  <c r="P144" i="17"/>
  <c r="X143" i="17"/>
  <c r="J138" i="17"/>
  <c r="P150" i="17"/>
  <c r="S168" i="17"/>
  <c r="O131" i="17"/>
  <c r="W166" i="17"/>
  <c r="N163" i="17"/>
  <c r="Z143" i="17"/>
  <c r="X139" i="17"/>
  <c r="N144" i="17"/>
  <c r="N41" i="17"/>
  <c r="AA129" i="17"/>
  <c r="N162" i="17"/>
  <c r="P140" i="17"/>
  <c r="X140" i="17"/>
  <c r="N156" i="17"/>
  <c r="U138" i="17"/>
  <c r="H145" i="17"/>
  <c r="U143" i="17"/>
  <c r="Z149" i="17"/>
  <c r="U41" i="17"/>
  <c r="I147" i="17"/>
  <c r="Q168" i="17"/>
  <c r="O157" i="17"/>
  <c r="X142" i="17"/>
  <c r="O142" i="17"/>
  <c r="R149" i="17"/>
  <c r="I169" i="17"/>
  <c r="J160" i="17"/>
  <c r="W136" i="17"/>
  <c r="S143" i="17"/>
  <c r="T147" i="17"/>
  <c r="O160" i="17"/>
  <c r="N152" i="17"/>
  <c r="P158" i="17"/>
  <c r="AC168" i="17"/>
  <c r="U140" i="17"/>
  <c r="V163" i="17"/>
  <c r="O138" i="17"/>
  <c r="T144" i="17"/>
  <c r="S169" i="17"/>
  <c r="W152" i="17"/>
  <c r="X160" i="17"/>
  <c r="S150" i="17"/>
  <c r="H125" i="17"/>
  <c r="W156" i="17"/>
  <c r="Q143" i="17"/>
  <c r="N185" i="17"/>
  <c r="AA169" i="17"/>
  <c r="N158" i="17"/>
  <c r="AB142" i="17"/>
  <c r="T148" i="17"/>
  <c r="Y146" i="17"/>
  <c r="N157" i="17"/>
  <c r="O152" i="17"/>
  <c r="I158" i="17"/>
  <c r="P139" i="17"/>
  <c r="S167" i="17"/>
  <c r="Z169" i="17"/>
  <c r="P143" i="17"/>
  <c r="Z152" i="17"/>
  <c r="W158" i="17"/>
  <c r="T145" i="17"/>
  <c r="O146" i="17"/>
  <c r="Z161" i="17"/>
  <c r="AA151" i="17"/>
  <c r="R156" i="17"/>
  <c r="O145" i="17"/>
  <c r="Q162" i="17"/>
  <c r="Q152" i="17"/>
  <c r="P161" i="17"/>
  <c r="N131" i="17"/>
  <c r="H136" i="17"/>
  <c r="I161" i="17"/>
  <c r="X152" i="17"/>
  <c r="J129" i="17"/>
  <c r="K144" i="17"/>
  <c r="K169" i="17"/>
  <c r="AC145" i="17"/>
  <c r="AC144" i="17"/>
  <c r="K138" i="17"/>
  <c r="U156" i="17"/>
  <c r="Q131" i="17"/>
  <c r="N187" i="17"/>
  <c r="T142" i="17"/>
  <c r="P168" i="17"/>
  <c r="T163" i="17"/>
  <c r="Z159" i="17"/>
  <c r="T151" i="17"/>
  <c r="AC164" i="17"/>
  <c r="AC153" i="17"/>
  <c r="AC163" i="17"/>
  <c r="K139" i="17"/>
  <c r="K150" i="17"/>
  <c r="AC142" i="17"/>
  <c r="K160" i="17"/>
  <c r="K153" i="17"/>
  <c r="K161" i="17"/>
  <c r="K137" i="17"/>
  <c r="AC148" i="17"/>
  <c r="AC143" i="17"/>
  <c r="K148" i="17"/>
  <c r="K143" i="17"/>
  <c r="AC169" i="17"/>
  <c r="K142" i="17"/>
  <c r="AC141" i="17"/>
  <c r="K140" i="17"/>
  <c r="AC136" i="17"/>
  <c r="K141" i="17"/>
  <c r="AC160" i="17"/>
  <c r="AC146" i="17"/>
  <c r="Z147" i="17"/>
  <c r="X159" i="17"/>
  <c r="R160" i="17"/>
  <c r="Q142" i="17"/>
  <c r="P170" i="17"/>
  <c r="K156" i="17"/>
  <c r="X164" i="17"/>
  <c r="H144" i="17"/>
  <c r="Z146" i="17"/>
  <c r="O162" i="17"/>
  <c r="Q41" i="17"/>
  <c r="AA157" i="17"/>
  <c r="R151" i="17"/>
  <c r="T155" i="17"/>
  <c r="S155" i="17"/>
  <c r="J41" i="17"/>
  <c r="Y140" i="17"/>
  <c r="H129" i="17"/>
  <c r="AA145" i="17"/>
  <c r="N167" i="17"/>
  <c r="Q165" i="17"/>
  <c r="N142" i="17"/>
  <c r="Y138" i="17"/>
  <c r="V139" i="17"/>
  <c r="AB152" i="17"/>
  <c r="S153" i="17"/>
  <c r="I131" i="17"/>
  <c r="I167" i="17"/>
  <c r="AA152" i="17"/>
  <c r="N145" i="17"/>
  <c r="R155" i="17"/>
  <c r="X136" i="17"/>
  <c r="AC41" i="17"/>
  <c r="AA162" i="17"/>
  <c r="V142" i="17"/>
  <c r="Z145" i="17"/>
  <c r="W41" i="17"/>
  <c r="P152" i="17"/>
  <c r="J157" i="17"/>
  <c r="Z41" i="17"/>
  <c r="O147" i="17"/>
  <c r="Q185" i="17"/>
  <c r="U170" i="17"/>
  <c r="R169" i="17"/>
  <c r="AB165" i="17"/>
  <c r="U131" i="17"/>
  <c r="J142" i="17"/>
  <c r="W147" i="17"/>
  <c r="R152" i="17"/>
  <c r="O144" i="17"/>
  <c r="I142" i="17"/>
  <c r="Q164" i="17"/>
  <c r="V156" i="17"/>
  <c r="AB150" i="17"/>
  <c r="W150" i="17"/>
  <c r="Z144" i="17"/>
  <c r="K152" i="17"/>
  <c r="Q161" i="17"/>
  <c r="AC152" i="17"/>
  <c r="O134" i="17"/>
  <c r="AB136" i="17"/>
  <c r="O136" i="17"/>
  <c r="S141" i="17"/>
  <c r="Q156" i="17"/>
  <c r="AB138" i="17"/>
  <c r="AC137" i="17"/>
  <c r="Q146" i="17"/>
  <c r="T156" i="17"/>
  <c r="R136" i="17"/>
  <c r="I156" i="17"/>
  <c r="O158" i="17"/>
  <c r="Q155" i="17"/>
  <c r="P41" i="17"/>
  <c r="U165" i="17"/>
  <c r="N139" i="17"/>
  <c r="V168" i="17"/>
  <c r="H131" i="17"/>
  <c r="Q153" i="17"/>
  <c r="R41" i="17"/>
  <c r="J137" i="17"/>
  <c r="U152" i="17"/>
  <c r="O151" i="17"/>
  <c r="AC155" i="17"/>
  <c r="J154" i="17"/>
  <c r="S165" i="17"/>
  <c r="N169" i="17"/>
  <c r="Z153" i="17"/>
  <c r="J167" i="17"/>
  <c r="O167" i="17"/>
  <c r="T164" i="17"/>
  <c r="AB143" i="17"/>
  <c r="O141" i="17"/>
  <c r="V167" i="17"/>
  <c r="O166" i="17"/>
  <c r="U141" i="17"/>
  <c r="T161" i="17"/>
  <c r="X41" i="17"/>
  <c r="J169" i="17"/>
  <c r="Z157" i="17"/>
  <c r="Y136" i="17"/>
  <c r="N150" i="17"/>
  <c r="Y147" i="17"/>
  <c r="V141" i="17"/>
  <c r="AB140" i="17"/>
  <c r="J146" i="17"/>
  <c r="S149" i="17"/>
  <c r="O143" i="17"/>
  <c r="H162" i="17"/>
  <c r="K146" i="17"/>
  <c r="I151" i="17"/>
  <c r="V164" i="17"/>
  <c r="X153" i="17"/>
  <c r="AB167" i="17"/>
  <c r="P162" i="17"/>
  <c r="I137" i="17"/>
  <c r="AA159" i="17"/>
  <c r="AB149" i="17"/>
  <c r="V169" i="17"/>
  <c r="N160" i="17"/>
  <c r="U125" i="17"/>
  <c r="T169" i="17"/>
  <c r="P145" i="17"/>
  <c r="P169" i="17"/>
  <c r="I166" i="17"/>
  <c r="W140" i="17"/>
  <c r="T165" i="17"/>
  <c r="Y159" i="17"/>
  <c r="Y161" i="17"/>
  <c r="AA167" i="17"/>
  <c r="W139" i="17"/>
  <c r="W149" i="17"/>
  <c r="AB157" i="17"/>
  <c r="U137" i="17"/>
  <c r="I153" i="17"/>
  <c r="X137" i="17"/>
  <c r="V160" i="17"/>
  <c r="I144" i="17"/>
  <c r="J161" i="17"/>
  <c r="V153" i="17"/>
  <c r="K167" i="17"/>
  <c r="AC151" i="17"/>
  <c r="K166" i="17"/>
  <c r="K164" i="17"/>
  <c r="AC150" i="17"/>
  <c r="V161" i="17"/>
  <c r="J164" i="17"/>
  <c r="Z164" i="17"/>
  <c r="W164" i="17"/>
  <c r="V149" i="17"/>
  <c r="AC79" i="17"/>
  <c r="AC78" i="17"/>
  <c r="K78" i="17"/>
  <c r="K70" i="17"/>
  <c r="AC71" i="17"/>
  <c r="K74" i="17"/>
  <c r="AC74" i="17"/>
  <c r="AC75" i="17"/>
  <c r="K73" i="17"/>
  <c r="K77" i="17"/>
  <c r="K71" i="17"/>
  <c r="AC73" i="17"/>
  <c r="AC77" i="17"/>
  <c r="K75" i="17"/>
  <c r="AC70" i="17"/>
  <c r="AC76" i="17"/>
  <c r="AC72" i="17"/>
  <c r="K76" i="17"/>
  <c r="K72" i="17"/>
  <c r="J69" i="17"/>
  <c r="Y69" i="17"/>
  <c r="Y68" i="17"/>
  <c r="J68" i="17"/>
  <c r="Y67" i="17"/>
  <c r="J67" i="17"/>
  <c r="Y66" i="17"/>
  <c r="J61" i="17"/>
  <c r="J57" i="17"/>
  <c r="Y65" i="17"/>
  <c r="J58" i="17"/>
  <c r="Y59" i="17"/>
  <c r="J64" i="17"/>
  <c r="J59" i="17"/>
  <c r="Y62" i="17"/>
  <c r="J62" i="17"/>
  <c r="J66" i="17"/>
  <c r="Y61" i="17"/>
  <c r="J65" i="17"/>
  <c r="Y64" i="17"/>
  <c r="Y58" i="17"/>
  <c r="Y57" i="17"/>
  <c r="Y60" i="17"/>
  <c r="Y63" i="17"/>
  <c r="J60" i="17"/>
  <c r="J63" i="17"/>
  <c r="W42" i="17"/>
  <c r="I57" i="17"/>
  <c r="U57" i="17"/>
  <c r="V42" i="17"/>
  <c r="I56" i="17"/>
  <c r="U56" i="17"/>
  <c r="U55" i="17"/>
  <c r="I55" i="17"/>
  <c r="I54" i="17"/>
  <c r="U54" i="17"/>
  <c r="I53" i="17"/>
  <c r="I45" i="17"/>
  <c r="I50" i="17"/>
  <c r="U47" i="17"/>
  <c r="U46" i="17"/>
  <c r="U51" i="17"/>
  <c r="U45" i="17"/>
  <c r="I46" i="17"/>
  <c r="I51" i="17"/>
  <c r="U49" i="17"/>
  <c r="U50" i="17"/>
  <c r="I48" i="17"/>
  <c r="I49" i="17"/>
  <c r="U48" i="17"/>
  <c r="U53" i="17"/>
  <c r="I47" i="17"/>
  <c r="U42" i="17"/>
  <c r="I42" i="17"/>
  <c r="U52" i="17"/>
  <c r="I52" i="17"/>
  <c r="T49" i="17"/>
  <c r="T42" i="17"/>
  <c r="S42" i="17"/>
  <c r="S45" i="17"/>
  <c r="S46" i="17"/>
  <c r="S48" i="17"/>
  <c r="S47" i="17"/>
  <c r="K79" i="17"/>
  <c r="CA74" i="16"/>
  <c r="BZ74" i="16"/>
  <c r="BY71" i="16"/>
  <c r="BX71" i="16"/>
  <c r="BW71" i="16"/>
  <c r="CA75" i="16"/>
  <c r="BV68" i="16"/>
  <c r="BU68" i="16"/>
  <c r="BT68" i="16"/>
  <c r="CA73" i="16"/>
  <c r="BY73" i="16"/>
  <c r="BZ73" i="16"/>
  <c r="BY72" i="16"/>
  <c r="BX72" i="16"/>
  <c r="BZ72" i="16"/>
  <c r="BX70" i="16"/>
  <c r="BW70" i="16"/>
  <c r="BV70" i="16"/>
  <c r="BW69" i="16"/>
  <c r="BV69" i="16"/>
  <c r="BU69" i="16"/>
  <c r="BU67" i="16"/>
  <c r="BT67" i="16"/>
  <c r="BS67" i="16"/>
  <c r="BS66" i="16"/>
  <c r="BR66" i="16"/>
  <c r="BT66" i="16"/>
  <c r="BR64" i="16"/>
  <c r="BQ64" i="16"/>
  <c r="BP64" i="16"/>
  <c r="BQ63" i="16"/>
  <c r="BO63" i="16"/>
  <c r="BP63" i="16"/>
  <c r="BN60" i="16"/>
  <c r="BM60" i="16"/>
  <c r="BL60" i="16"/>
  <c r="BO61" i="16"/>
  <c r="BN61" i="16"/>
  <c r="BM61" i="16"/>
  <c r="BL58" i="16"/>
  <c r="BK58" i="16"/>
  <c r="BJ58" i="16"/>
  <c r="BK57" i="16"/>
  <c r="BJ57" i="16"/>
  <c r="BI57" i="16"/>
  <c r="BF52" i="16"/>
  <c r="BE52" i="16"/>
  <c r="BD52" i="16"/>
  <c r="BI55" i="16"/>
  <c r="BH55" i="16"/>
  <c r="BG55" i="16"/>
  <c r="BH54" i="16"/>
  <c r="BG54" i="16"/>
  <c r="BF54" i="16"/>
  <c r="BE51" i="16"/>
  <c r="BD51" i="16"/>
  <c r="BC51" i="16"/>
  <c r="BB48" i="16"/>
  <c r="BA48" i="16"/>
  <c r="AZ48" i="16"/>
  <c r="AY45" i="16"/>
  <c r="AX45" i="16"/>
  <c r="AW45" i="16"/>
  <c r="AV42" i="16"/>
  <c r="AU42" i="16"/>
  <c r="AT42" i="16"/>
  <c r="E65" i="16" a="1"/>
  <c r="E65" i="16" s="1"/>
  <c r="E49" i="16" a="1"/>
  <c r="E49" i="16" s="1"/>
  <c r="BI10" i="16"/>
  <c r="BH100" i="14"/>
  <c r="BI10" i="15"/>
  <c r="P103" i="12"/>
  <c r="P102" i="12"/>
  <c r="P101" i="12"/>
  <c r="P105" i="12"/>
  <c r="P106" i="12"/>
  <c r="P104" i="12"/>
  <c r="Q103" i="12"/>
  <c r="Q106" i="12"/>
  <c r="Q101" i="12"/>
  <c r="Q105" i="12"/>
  <c r="Q104" i="12"/>
  <c r="Q102" i="12"/>
  <c r="Y105" i="12"/>
  <c r="Y106" i="12"/>
  <c r="Y102" i="12"/>
  <c r="Y104" i="12"/>
  <c r="Y101" i="12"/>
  <c r="Y103" i="12"/>
  <c r="Z105" i="12"/>
  <c r="Z106" i="12"/>
  <c r="Z101" i="12"/>
  <c r="Z104" i="12"/>
  <c r="Z103" i="12"/>
  <c r="AA106" i="12"/>
  <c r="AA104" i="12"/>
  <c r="AA103" i="12"/>
  <c r="AA105" i="12"/>
  <c r="AA101" i="12"/>
  <c r="AB106" i="12"/>
  <c r="AB104" i="12"/>
  <c r="AB103" i="12"/>
  <c r="AB105" i="12"/>
  <c r="AB101" i="12"/>
  <c r="AC104" i="12"/>
  <c r="AC105" i="12"/>
  <c r="AC102" i="12"/>
  <c r="AC103" i="12"/>
  <c r="AC106" i="12"/>
  <c r="AC101" i="12"/>
  <c r="AD101" i="12"/>
  <c r="AD103" i="12"/>
  <c r="AD104" i="12"/>
  <c r="AD106" i="12"/>
  <c r="AD105" i="12"/>
  <c r="AE106" i="12"/>
  <c r="AE105" i="12"/>
  <c r="AE103" i="12"/>
  <c r="AE104" i="12"/>
  <c r="AE101" i="12"/>
  <c r="AF104" i="12"/>
  <c r="AF103" i="12"/>
  <c r="AF105" i="12"/>
  <c r="AF101" i="12"/>
  <c r="AF106" i="12"/>
  <c r="AF102" i="12"/>
  <c r="AE89" i="12"/>
  <c r="P97" i="12"/>
  <c r="P89" i="12"/>
  <c r="P91" i="12"/>
  <c r="P94" i="12"/>
  <c r="P93" i="12"/>
  <c r="P92" i="12"/>
  <c r="P95" i="12"/>
  <c r="P96" i="12"/>
  <c r="Q92" i="12"/>
  <c r="Q96" i="12"/>
  <c r="Q93" i="12"/>
  <c r="Q95" i="12"/>
  <c r="Q90" i="12"/>
  <c r="Q97" i="12"/>
  <c r="Q89" i="12"/>
  <c r="Q91" i="12"/>
  <c r="Q94" i="12"/>
  <c r="Y91" i="12"/>
  <c r="Y94" i="12"/>
  <c r="Y92" i="12"/>
  <c r="Y90" i="12"/>
  <c r="Y97" i="12"/>
  <c r="Y93" i="12"/>
  <c r="Y96" i="12"/>
  <c r="Y95" i="12"/>
  <c r="Y89" i="12"/>
  <c r="Z92" i="12"/>
  <c r="Z90" i="12"/>
  <c r="Z93" i="12"/>
  <c r="Z97" i="12"/>
  <c r="Z94" i="12"/>
  <c r="Z89" i="12"/>
  <c r="Z96" i="12"/>
  <c r="Z91" i="12"/>
  <c r="AA96" i="12"/>
  <c r="AA93" i="12"/>
  <c r="AA97" i="12"/>
  <c r="AA90" i="12"/>
  <c r="AA94" i="12"/>
  <c r="AA89" i="12"/>
  <c r="AA91" i="12"/>
  <c r="AB93" i="12"/>
  <c r="AB90" i="12"/>
  <c r="AB91" i="12"/>
  <c r="AB94" i="12"/>
  <c r="AB97" i="12"/>
  <c r="AB96" i="12"/>
  <c r="AB89" i="12"/>
  <c r="AC93" i="12"/>
  <c r="AC91" i="12"/>
  <c r="AC97" i="12"/>
  <c r="AC94" i="12"/>
  <c r="AC90" i="12"/>
  <c r="AC96" i="12"/>
  <c r="AC92" i="12"/>
  <c r="AC89" i="12"/>
  <c r="AC95" i="12"/>
  <c r="AD96" i="12"/>
  <c r="AD89" i="12"/>
  <c r="AD97" i="12"/>
  <c r="AD93" i="12"/>
  <c r="AD90" i="12"/>
  <c r="AD94" i="12"/>
  <c r="AD91" i="12"/>
  <c r="P90" i="12"/>
  <c r="AE97" i="12"/>
  <c r="AE93" i="12"/>
  <c r="AE96" i="12"/>
  <c r="AE94" i="12"/>
  <c r="AE91" i="12"/>
  <c r="AE90" i="12"/>
  <c r="AF94" i="12"/>
  <c r="AF91" i="12"/>
  <c r="AF90" i="12"/>
  <c r="AF93" i="12"/>
  <c r="AF97" i="12"/>
  <c r="AF89" i="12"/>
  <c r="AF96" i="12"/>
  <c r="AE85" i="12"/>
  <c r="P77" i="12"/>
  <c r="P75" i="12"/>
  <c r="P79" i="12"/>
  <c r="P73" i="12"/>
  <c r="P85" i="12"/>
  <c r="P83" i="12"/>
  <c r="P81" i="12"/>
  <c r="P76" i="12"/>
  <c r="P80" i="12"/>
  <c r="P84" i="12"/>
  <c r="P82" i="12"/>
  <c r="Q85" i="12"/>
  <c r="Q77" i="12"/>
  <c r="Q82" i="12"/>
  <c r="Q75" i="12"/>
  <c r="Q76" i="12"/>
  <c r="Q80" i="12"/>
  <c r="Q81" i="12"/>
  <c r="Q84" i="12"/>
  <c r="Q83" i="12"/>
  <c r="Q78" i="12"/>
  <c r="Q73" i="12"/>
  <c r="R73" i="12"/>
  <c r="S73" i="12"/>
  <c r="Y83" i="12"/>
  <c r="Y79" i="12"/>
  <c r="Y77" i="12"/>
  <c r="Y73" i="12"/>
  <c r="Y84" i="12"/>
  <c r="Y81" i="12"/>
  <c r="Y82" i="12"/>
  <c r="Y75" i="12"/>
  <c r="Y80" i="12"/>
  <c r="Y78" i="12"/>
  <c r="Y76" i="12"/>
  <c r="Y85" i="12"/>
  <c r="Z83" i="12"/>
  <c r="Z84" i="12"/>
  <c r="Z81" i="12"/>
  <c r="Z73" i="12"/>
  <c r="Z80" i="12"/>
  <c r="Z85" i="12"/>
  <c r="Z77" i="12"/>
  <c r="Z76" i="12"/>
  <c r="Z75" i="12"/>
  <c r="Z78" i="12"/>
  <c r="Z82" i="12"/>
  <c r="AA83" i="12"/>
  <c r="AA75" i="12"/>
  <c r="AA84" i="12"/>
  <c r="AA78" i="12"/>
  <c r="AA81" i="12"/>
  <c r="AA82" i="12"/>
  <c r="AA73" i="12"/>
  <c r="AA77" i="12"/>
  <c r="AA76" i="12"/>
  <c r="AA85" i="12"/>
  <c r="AB82" i="12"/>
  <c r="AB77" i="12"/>
  <c r="AB83" i="12"/>
  <c r="AB84" i="12"/>
  <c r="AB78" i="12"/>
  <c r="AB81" i="12"/>
  <c r="AB76" i="12"/>
  <c r="AB73" i="12"/>
  <c r="AB85" i="12"/>
  <c r="AB80" i="12"/>
  <c r="AB75" i="12"/>
  <c r="AC85" i="12"/>
  <c r="AC76" i="12"/>
  <c r="AC83" i="12"/>
  <c r="AC79" i="12"/>
  <c r="AC81" i="12"/>
  <c r="AC73" i="12"/>
  <c r="AC84" i="12"/>
  <c r="AC75" i="12"/>
  <c r="AC77" i="12"/>
  <c r="AC80" i="12"/>
  <c r="AC78" i="12"/>
  <c r="AC82" i="12"/>
  <c r="AD82" i="12"/>
  <c r="AD81" i="12"/>
  <c r="AD73" i="12"/>
  <c r="AD77" i="12"/>
  <c r="AD80" i="12"/>
  <c r="AD84" i="12"/>
  <c r="AD79" i="12"/>
  <c r="AD83" i="12"/>
  <c r="AD76" i="12"/>
  <c r="AD85" i="12"/>
  <c r="AD78" i="12"/>
  <c r="AD75" i="12"/>
  <c r="AE84" i="12"/>
  <c r="AE82" i="12"/>
  <c r="P78" i="12"/>
  <c r="AE77" i="12"/>
  <c r="AE79" i="12"/>
  <c r="AE78" i="12"/>
  <c r="AE75" i="12"/>
  <c r="AE81" i="12"/>
  <c r="AE83" i="12"/>
  <c r="AE76" i="12"/>
  <c r="AE80" i="12"/>
  <c r="AE73" i="12"/>
  <c r="AF79" i="12"/>
  <c r="AF84" i="12"/>
  <c r="AF78" i="12"/>
  <c r="AF75" i="12"/>
  <c r="AF83" i="12"/>
  <c r="AF76" i="12"/>
  <c r="AF77" i="12"/>
  <c r="AF85" i="12"/>
  <c r="AF81" i="12"/>
  <c r="AF73" i="12"/>
  <c r="AF82" i="12"/>
  <c r="AF80" i="12"/>
  <c r="AG73" i="12"/>
  <c r="AH73" i="12"/>
  <c r="AI73" i="12"/>
  <c r="AJ73" i="12"/>
  <c r="AK73" i="12"/>
  <c r="S134" i="17" l="1"/>
  <c r="AW185" i="17"/>
  <c r="AW187" i="17" s="1"/>
  <c r="AW188" i="17" s="1"/>
  <c r="AY43" i="14"/>
  <c r="T134" i="17"/>
  <c r="AZ43" i="14"/>
  <c r="AA165" i="17"/>
  <c r="AX185" i="17"/>
  <c r="AX187" i="17" s="1"/>
  <c r="AX188" i="17" s="1"/>
  <c r="BB185" i="17"/>
  <c r="BB187" i="17" s="1"/>
  <c r="BB188" i="17" s="1"/>
  <c r="V162" i="17"/>
  <c r="BA43" i="14"/>
  <c r="I134" i="17"/>
  <c r="BL134" i="17"/>
  <c r="BL185" i="17" s="1"/>
  <c r="BL187" i="17" s="1"/>
  <c r="BL188" i="17" s="1"/>
  <c r="Y165" i="17"/>
  <c r="X162" i="17"/>
  <c r="Z165" i="17"/>
  <c r="K162" i="17"/>
  <c r="U134" i="17"/>
  <c r="Z162" i="17"/>
  <c r="K165" i="17"/>
  <c r="S187" i="17"/>
  <c r="BJ134" i="17"/>
  <c r="W162" i="17"/>
  <c r="BK134" i="17"/>
  <c r="BK43" i="14" s="1"/>
  <c r="X165" i="17"/>
  <c r="BM134" i="17"/>
  <c r="BM185" i="17" s="1"/>
  <c r="BM187" i="17" s="1"/>
  <c r="BM188" i="17" s="1"/>
  <c r="BI134" i="17"/>
  <c r="BI185" i="17" s="1"/>
  <c r="BI187" i="17" s="1"/>
  <c r="BI188" i="17" s="1"/>
  <c r="Y162" i="17"/>
  <c r="R185" i="17"/>
  <c r="J165" i="17"/>
  <c r="R187" i="17"/>
  <c r="R188" i="17" s="1"/>
  <c r="J162" i="17"/>
  <c r="BF43" i="14"/>
  <c r="BF185" i="17"/>
  <c r="BF187" i="17" s="1"/>
  <c r="BF188" i="17" s="1"/>
  <c r="O99" i="14"/>
  <c r="AI102" i="14"/>
  <c r="AI32" i="14" s="1"/>
  <c r="AI103" i="14"/>
  <c r="AI33" i="14" s="1"/>
  <c r="AI101" i="14"/>
  <c r="AI34" i="14" s="1"/>
  <c r="BG43" i="14"/>
  <c r="BG185" i="17"/>
  <c r="BD43" i="14"/>
  <c r="BD185" i="17"/>
  <c r="AO49" i="14"/>
  <c r="AH49" i="14"/>
  <c r="N49" i="14" s="1"/>
  <c r="AP49" i="14"/>
  <c r="AK49" i="14"/>
  <c r="AS49" i="14"/>
  <c r="AM49" i="14"/>
  <c r="AL49" i="14"/>
  <c r="AQ49" i="14"/>
  <c r="AI49" i="14"/>
  <c r="AR49" i="14"/>
  <c r="AN49" i="14"/>
  <c r="AJ49" i="14"/>
  <c r="BH43" i="14"/>
  <c r="BH185" i="17"/>
  <c r="BH187" i="17" s="1"/>
  <c r="BH188" i="17" s="1"/>
  <c r="V134" i="17"/>
  <c r="BC43" i="14"/>
  <c r="BC185" i="17"/>
  <c r="BE185" i="17"/>
  <c r="BE187" i="17" s="1"/>
  <c r="BE188" i="17" s="1"/>
  <c r="BE43" i="14"/>
  <c r="BK33" i="22"/>
  <c r="BJ33" i="22"/>
  <c r="BH33" i="22"/>
  <c r="BG33" i="22"/>
  <c r="BE33" i="22"/>
  <c r="BD33" i="22"/>
  <c r="BB33" i="22"/>
  <c r="BA33" i="22"/>
  <c r="AY33" i="22"/>
  <c r="AX33" i="22"/>
  <c r="AV33" i="22"/>
  <c r="AU33" i="22"/>
  <c r="AS33" i="22"/>
  <c r="AR33" i="22"/>
  <c r="AP33" i="22"/>
  <c r="AO33" i="22"/>
  <c r="AM33" i="22"/>
  <c r="AL33" i="22"/>
  <c r="AJ33" i="22"/>
  <c r="AI33" i="22"/>
  <c r="AG33" i="22"/>
  <c r="AF33" i="22"/>
  <c r="BM84" i="22"/>
  <c r="BK84" i="22"/>
  <c r="BJ84" i="22"/>
  <c r="BH84" i="22"/>
  <c r="BG84" i="22"/>
  <c r="BE84" i="22"/>
  <c r="BD84" i="22"/>
  <c r="BB84" i="22"/>
  <c r="BA84" i="22"/>
  <c r="AY84" i="22"/>
  <c r="AX84" i="22"/>
  <c r="AV84" i="22"/>
  <c r="AU84" i="22"/>
  <c r="AS84" i="22"/>
  <c r="AR84" i="22"/>
  <c r="AP84" i="22"/>
  <c r="AO84" i="22"/>
  <c r="AM84" i="22"/>
  <c r="AL84" i="22"/>
  <c r="AJ84" i="22"/>
  <c r="AI84" i="22"/>
  <c r="AF84" i="22"/>
  <c r="AG84" i="22"/>
  <c r="AM61" i="20"/>
  <c r="AM60" i="20" s="1"/>
  <c r="S53" i="20"/>
  <c r="S52" i="20" s="1"/>
  <c r="U53" i="20"/>
  <c r="U52" i="20" s="1"/>
  <c r="U61" i="20"/>
  <c r="U60" i="20" s="1"/>
  <c r="T53" i="20"/>
  <c r="T52" i="20" s="1"/>
  <c r="S61" i="20"/>
  <c r="S60" i="20" s="1"/>
  <c r="AL61" i="20"/>
  <c r="AL60" i="20" s="1"/>
  <c r="AL53" i="20"/>
  <c r="AL52" i="20" s="1"/>
  <c r="AK61" i="20"/>
  <c r="AK60" i="20" s="1"/>
  <c r="AK53" i="20"/>
  <c r="AK52" i="20" s="1"/>
  <c r="AJ61" i="20"/>
  <c r="AJ60" i="20" s="1"/>
  <c r="AJ53" i="20"/>
  <c r="AJ52" i="20" s="1"/>
  <c r="AI61" i="20"/>
  <c r="AI60" i="20" s="1"/>
  <c r="AI53" i="20"/>
  <c r="AI52" i="20" s="1"/>
  <c r="AH61" i="20"/>
  <c r="AH60" i="20" s="1"/>
  <c r="AH53" i="20"/>
  <c r="AH52" i="20" s="1"/>
  <c r="AG61" i="20"/>
  <c r="AG60" i="20" s="1"/>
  <c r="AG53" i="20"/>
  <c r="AG52" i="20" s="1"/>
  <c r="AF61" i="20"/>
  <c r="AF60" i="20" s="1"/>
  <c r="AF53" i="20"/>
  <c r="AF52" i="20" s="1"/>
  <c r="AE61" i="20"/>
  <c r="AE60" i="20" s="1"/>
  <c r="AE53" i="20"/>
  <c r="AE52" i="20" s="1"/>
  <c r="AD61" i="20"/>
  <c r="AD60" i="20" s="1"/>
  <c r="AD53" i="20"/>
  <c r="AD52" i="20" s="1"/>
  <c r="AC61" i="20"/>
  <c r="AC60" i="20" s="1"/>
  <c r="AC53" i="20"/>
  <c r="AC52" i="20" s="1"/>
  <c r="AB61" i="20"/>
  <c r="AB60" i="20" s="1"/>
  <c r="AB53" i="20"/>
  <c r="AB52" i="20" s="1"/>
  <c r="AA61" i="20"/>
  <c r="AA60" i="20" s="1"/>
  <c r="AA53" i="20"/>
  <c r="AA52" i="20" s="1"/>
  <c r="R61" i="20"/>
  <c r="R60" i="20" s="1"/>
  <c r="R53" i="20"/>
  <c r="R52" i="20" s="1"/>
  <c r="Z61" i="20"/>
  <c r="Z60" i="20" s="1"/>
  <c r="Z53" i="20"/>
  <c r="Z52" i="20" s="1"/>
  <c r="Y61" i="20"/>
  <c r="Y60" i="20" s="1"/>
  <c r="X61" i="20"/>
  <c r="X60" i="20" s="1"/>
  <c r="Y53" i="20"/>
  <c r="Y52" i="20" s="1"/>
  <c r="X53" i="20"/>
  <c r="X52" i="20" s="1"/>
  <c r="T61" i="20"/>
  <c r="T60" i="20" s="1"/>
  <c r="AM53" i="20"/>
  <c r="AM52" i="20" s="1"/>
  <c r="P188" i="17"/>
  <c r="N188" i="17"/>
  <c r="Q188" i="17"/>
  <c r="H188" i="17"/>
  <c r="O188" i="17"/>
  <c r="AV27" i="16"/>
  <c r="AN27" i="16"/>
  <c r="BH27" i="16"/>
  <c r="BU27" i="16"/>
  <c r="CA27" i="16"/>
  <c r="BZ27" i="16"/>
  <c r="BY27" i="16"/>
  <c r="BV27" i="16"/>
  <c r="BP27" i="16"/>
  <c r="BM27" i="16"/>
  <c r="BJ27" i="16"/>
  <c r="BG27" i="16"/>
  <c r="BD27" i="16"/>
  <c r="AZ27" i="16"/>
  <c r="AX27" i="16"/>
  <c r="AW27" i="16"/>
  <c r="AU27" i="16"/>
  <c r="AT27" i="16"/>
  <c r="BS65" i="16"/>
  <c r="BR65" i="16"/>
  <c r="BR27" i="16" s="1"/>
  <c r="BQ65" i="16"/>
  <c r="BC49" i="16"/>
  <c r="BB49" i="16"/>
  <c r="BA49" i="16"/>
  <c r="W10" i="15"/>
  <c r="Z86" i="14"/>
  <c r="H86" i="14"/>
  <c r="V87" i="14"/>
  <c r="Y87" i="14"/>
  <c r="K59" i="14"/>
  <c r="T47" i="14"/>
  <c r="T29" i="14"/>
  <c r="T100" i="14"/>
  <c r="T48" i="14"/>
  <c r="O61" i="14"/>
  <c r="U55" i="14"/>
  <c r="P63" i="14"/>
  <c r="Q63" i="14"/>
  <c r="V51" i="14"/>
  <c r="K68" i="14"/>
  <c r="Q72" i="14"/>
  <c r="O74" i="14"/>
  <c r="X55" i="14"/>
  <c r="N66" i="14"/>
  <c r="S68" i="14"/>
  <c r="O69" i="14"/>
  <c r="P75" i="14"/>
  <c r="Y58" i="14"/>
  <c r="Y60" i="14"/>
  <c r="P79" i="14"/>
  <c r="AC47" i="14"/>
  <c r="X83" i="14"/>
  <c r="X84" i="14"/>
  <c r="H84" i="14"/>
  <c r="S86" i="14"/>
  <c r="V75" i="14"/>
  <c r="U100" i="14"/>
  <c r="I85" i="14"/>
  <c r="P86" i="14"/>
  <c r="P94" i="14"/>
  <c r="H94" i="14"/>
  <c r="W60" i="14"/>
  <c r="AA55" i="14"/>
  <c r="Q65" i="14"/>
  <c r="P77" i="14"/>
  <c r="I76" i="14"/>
  <c r="Q79" i="14"/>
  <c r="S87" i="14"/>
  <c r="Z90" i="14"/>
  <c r="O100" i="14"/>
  <c r="K56" i="14"/>
  <c r="N57" i="14"/>
  <c r="N59" i="14"/>
  <c r="P62" i="14"/>
  <c r="K62" i="14"/>
  <c r="I48" i="14"/>
  <c r="S69" i="14"/>
  <c r="X62" i="14"/>
  <c r="O70" i="14"/>
  <c r="I78" i="14"/>
  <c r="R84" i="14"/>
  <c r="U29" i="14"/>
  <c r="Z89" i="14"/>
  <c r="U53" i="14"/>
  <c r="Q67" i="14"/>
  <c r="R63" i="14"/>
  <c r="Y54" i="14"/>
  <c r="K61" i="14"/>
  <c r="AA59" i="14"/>
  <c r="AB67" i="14"/>
  <c r="AB65" i="14"/>
  <c r="Z69" i="14"/>
  <c r="Z59" i="14"/>
  <c r="V86" i="14"/>
  <c r="Y88" i="14"/>
  <c r="H91" i="14"/>
  <c r="J90" i="14"/>
  <c r="Y91" i="14"/>
  <c r="Z56" i="14"/>
  <c r="H64" i="14"/>
  <c r="R78" i="14"/>
  <c r="K53" i="14"/>
  <c r="AA67" i="14"/>
  <c r="AC58" i="14"/>
  <c r="W58" i="14"/>
  <c r="Q76" i="14"/>
  <c r="Z47" i="14"/>
  <c r="W82" i="14"/>
  <c r="Y93" i="14"/>
  <c r="N100" i="14"/>
  <c r="P59" i="14"/>
  <c r="S43" i="14"/>
  <c r="H61" i="14"/>
  <c r="U52" i="14"/>
  <c r="U73" i="14"/>
  <c r="W50" i="14"/>
  <c r="N71" i="14"/>
  <c r="H76" i="14"/>
  <c r="Z53" i="14"/>
  <c r="Y85" i="14"/>
  <c r="R83" i="14"/>
  <c r="N87" i="14"/>
  <c r="Y66" i="14"/>
  <c r="J87" i="14"/>
  <c r="AB69" i="14"/>
  <c r="K49" i="14"/>
  <c r="AA51" i="14"/>
  <c r="W79" i="14"/>
  <c r="Z87" i="14"/>
  <c r="T27" i="14"/>
  <c r="R73" i="14"/>
  <c r="Y52" i="14"/>
  <c r="U83" i="14"/>
  <c r="O84" i="14"/>
  <c r="O90" i="14"/>
  <c r="Y48" i="14"/>
  <c r="S91" i="14"/>
  <c r="N92" i="14"/>
  <c r="N69" i="14"/>
  <c r="R93" i="14"/>
  <c r="AA63" i="14"/>
  <c r="U88" i="14"/>
  <c r="V53" i="14"/>
  <c r="V56" i="14"/>
  <c r="K65" i="14"/>
  <c r="P25" i="14"/>
  <c r="P70" i="14"/>
  <c r="I72" i="14"/>
  <c r="Y50" i="14"/>
  <c r="AB64" i="14"/>
  <c r="AB53" i="14"/>
  <c r="R85" i="14"/>
  <c r="AB93" i="14"/>
  <c r="T92" i="14"/>
  <c r="I27" i="14"/>
  <c r="K50" i="14"/>
  <c r="P43" i="14"/>
  <c r="N56" i="14"/>
  <c r="R27" i="14"/>
  <c r="S49" i="14"/>
  <c r="S27" i="14"/>
  <c r="Q61" i="14"/>
  <c r="Q62" i="14"/>
  <c r="U48" i="14"/>
  <c r="K66" i="14"/>
  <c r="W78" i="14"/>
  <c r="Q83" i="14"/>
  <c r="AA58" i="14"/>
  <c r="Z62" i="14"/>
  <c r="V88" i="14"/>
  <c r="Q90" i="14"/>
  <c r="Q91" i="14"/>
  <c r="Z94" i="14"/>
  <c r="N63" i="14"/>
  <c r="P67" i="14"/>
  <c r="AB63" i="14"/>
  <c r="H87" i="14"/>
  <c r="H92" i="14"/>
  <c r="N67" i="14"/>
  <c r="Z58" i="14"/>
  <c r="U89" i="14"/>
  <c r="N90" i="14"/>
  <c r="Q92" i="14"/>
  <c r="AB92" i="14"/>
  <c r="T94" i="14"/>
  <c r="P93" i="14"/>
  <c r="U72" i="14"/>
  <c r="AA66" i="14"/>
  <c r="T75" i="14"/>
  <c r="AB48" i="14"/>
  <c r="Z65" i="14"/>
  <c r="X82" i="14"/>
  <c r="I29" i="14"/>
  <c r="R29" i="14"/>
  <c r="S29" i="14"/>
  <c r="T49" i="14"/>
  <c r="N68" i="14"/>
  <c r="K70" i="14"/>
  <c r="H72" i="14"/>
  <c r="S75" i="14"/>
  <c r="S76" i="14"/>
  <c r="AB60" i="14"/>
  <c r="AB70" i="14"/>
  <c r="N77" i="14"/>
  <c r="Z49" i="14"/>
  <c r="Z54" i="14"/>
  <c r="Z57" i="14"/>
  <c r="U81" i="14"/>
  <c r="R82" i="14"/>
  <c r="W85" i="14"/>
  <c r="Y86" i="14"/>
  <c r="V84" i="14"/>
  <c r="W86" i="14"/>
  <c r="X86" i="14"/>
  <c r="R67" i="14"/>
  <c r="AB75" i="14"/>
  <c r="AB62" i="14"/>
  <c r="Q80" i="14"/>
  <c r="N86" i="14"/>
  <c r="O88" i="14"/>
  <c r="R88" i="14"/>
  <c r="J88" i="14"/>
  <c r="X88" i="14"/>
  <c r="I88" i="14"/>
  <c r="AA90" i="14"/>
  <c r="X90" i="14"/>
  <c r="H89" i="14"/>
  <c r="U90" i="14"/>
  <c r="O63" i="14"/>
  <c r="U75" i="14"/>
  <c r="Q77" i="14"/>
  <c r="Z61" i="14"/>
  <c r="I81" i="14"/>
  <c r="N82" i="14"/>
  <c r="Y83" i="14"/>
  <c r="T83" i="14"/>
  <c r="I82" i="14"/>
  <c r="O85" i="14"/>
  <c r="H82" i="14"/>
  <c r="H83" i="14"/>
  <c r="U84" i="14"/>
  <c r="P84" i="14"/>
  <c r="H70" i="14"/>
  <c r="AA49" i="14"/>
  <c r="O78" i="14"/>
  <c r="W77" i="14"/>
  <c r="AC53" i="14"/>
  <c r="P88" i="14"/>
  <c r="W90" i="14"/>
  <c r="V92" i="14"/>
  <c r="T93" i="14"/>
  <c r="I91" i="14"/>
  <c r="X92" i="14"/>
  <c r="N93" i="14"/>
  <c r="Q94" i="14"/>
  <c r="N94" i="14"/>
  <c r="X94" i="14"/>
  <c r="U94" i="14"/>
  <c r="V94" i="14"/>
  <c r="Y94" i="14"/>
  <c r="R94" i="14"/>
  <c r="AB66" i="14"/>
  <c r="Z51" i="14"/>
  <c r="S82" i="14"/>
  <c r="J91" i="14"/>
  <c r="R92" i="14"/>
  <c r="O92" i="14"/>
  <c r="W94" i="14"/>
  <c r="S94" i="14"/>
  <c r="Z93" i="14"/>
  <c r="R48" i="14"/>
  <c r="R100" i="14"/>
  <c r="O57" i="14"/>
  <c r="R47" i="14"/>
  <c r="O58" i="14"/>
  <c r="S47" i="14"/>
  <c r="J59" i="14"/>
  <c r="N58" i="14"/>
  <c r="S100" i="14"/>
  <c r="P60" i="14"/>
  <c r="S48" i="14"/>
  <c r="N60" i="14"/>
  <c r="O60" i="14"/>
  <c r="N61" i="14"/>
  <c r="T50" i="14"/>
  <c r="U56" i="14"/>
  <c r="N103" i="14"/>
  <c r="P66" i="14"/>
  <c r="H67" i="14"/>
  <c r="T72" i="14"/>
  <c r="O73" i="14"/>
  <c r="X61" i="14"/>
  <c r="X64" i="14"/>
  <c r="X49" i="14"/>
  <c r="H25" i="14"/>
  <c r="H66" i="14"/>
  <c r="W29" i="14"/>
  <c r="R68" i="14"/>
  <c r="P69" i="14"/>
  <c r="S71" i="14"/>
  <c r="AA61" i="14"/>
  <c r="AA47" i="14"/>
  <c r="Y63" i="14"/>
  <c r="AA60" i="14"/>
  <c r="AB71" i="14"/>
  <c r="T77" i="14"/>
  <c r="Z50" i="14"/>
  <c r="V78" i="14"/>
  <c r="AC66" i="14"/>
  <c r="P82" i="14"/>
  <c r="O82" i="14"/>
  <c r="O83" i="14"/>
  <c r="S83" i="14"/>
  <c r="V82" i="14"/>
  <c r="Q85" i="14"/>
  <c r="P85" i="14"/>
  <c r="I83" i="14"/>
  <c r="T86" i="14"/>
  <c r="N84" i="14"/>
  <c r="U86" i="14"/>
  <c r="H48" i="14"/>
  <c r="Q69" i="14"/>
  <c r="AA70" i="14"/>
  <c r="V76" i="14"/>
  <c r="AB51" i="14"/>
  <c r="I86" i="14"/>
  <c r="O87" i="14"/>
  <c r="P89" i="14"/>
  <c r="U91" i="14"/>
  <c r="V89" i="14"/>
  <c r="X91" i="14"/>
  <c r="R89" i="14"/>
  <c r="U27" i="14"/>
  <c r="W52" i="14"/>
  <c r="I94" i="14"/>
  <c r="T69" i="14"/>
  <c r="P71" i="14"/>
  <c r="I77" i="14"/>
  <c r="Z55" i="14"/>
  <c r="Q86" i="14"/>
  <c r="J48" i="14"/>
  <c r="V91" i="14"/>
  <c r="P76" i="14"/>
  <c r="X29" i="14"/>
  <c r="S78" i="14"/>
  <c r="S25" i="14"/>
  <c r="J93" i="14"/>
  <c r="V29" i="14"/>
  <c r="Y65" i="14"/>
  <c r="U25" i="14"/>
  <c r="V27" i="14"/>
  <c r="R71" i="14"/>
  <c r="S77" i="14"/>
  <c r="Q88" i="14"/>
  <c r="Z88" i="14"/>
  <c r="O56" i="14"/>
  <c r="Q59" i="14"/>
  <c r="W48" i="14"/>
  <c r="R64" i="14"/>
  <c r="O72" i="14"/>
  <c r="N80" i="14"/>
  <c r="N81" i="14"/>
  <c r="AB54" i="14"/>
  <c r="W89" i="14"/>
  <c r="X89" i="14"/>
  <c r="J89" i="14"/>
  <c r="N89" i="14"/>
  <c r="Y90" i="14"/>
  <c r="I89" i="14"/>
  <c r="V57" i="14"/>
  <c r="P64" i="14"/>
  <c r="R66" i="14"/>
  <c r="W51" i="14"/>
  <c r="H85" i="14"/>
  <c r="S85" i="14"/>
  <c r="AA50" i="14"/>
  <c r="U77" i="14"/>
  <c r="H78" i="14"/>
  <c r="V80" i="14"/>
  <c r="H81" i="14"/>
  <c r="N88" i="14"/>
  <c r="X93" i="14"/>
  <c r="V25" i="14"/>
  <c r="Y47" i="14"/>
  <c r="V100" i="14"/>
  <c r="Y49" i="14"/>
  <c r="Z68" i="14"/>
  <c r="K64" i="14"/>
  <c r="N91" i="14"/>
  <c r="W47" i="14"/>
  <c r="V54" i="14"/>
  <c r="AB72" i="14"/>
  <c r="U80" i="14"/>
  <c r="R90" i="14"/>
  <c r="N43" i="14"/>
  <c r="N32" i="14"/>
  <c r="P58" i="14"/>
  <c r="Q60" i="14"/>
  <c r="Q89" i="14"/>
  <c r="R91" i="14"/>
  <c r="Z92" i="14"/>
  <c r="O47" i="14"/>
  <c r="J58" i="14"/>
  <c r="H60" i="14"/>
  <c r="R72" i="14"/>
  <c r="N76" i="14"/>
  <c r="J83" i="14"/>
  <c r="AA91" i="14"/>
  <c r="W10" i="16"/>
  <c r="BJ12" i="16"/>
  <c r="BI25" i="16"/>
  <c r="BI22" i="16"/>
  <c r="BI27" i="14" s="1"/>
  <c r="BN77" i="16"/>
  <c r="AM77" i="16"/>
  <c r="BX77" i="16"/>
  <c r="BQ77" i="16"/>
  <c r="AY77" i="16"/>
  <c r="AN77" i="16"/>
  <c r="AJ77" i="16"/>
  <c r="CA77" i="16"/>
  <c r="BT77" i="16"/>
  <c r="BR77" i="16"/>
  <c r="BC77" i="16"/>
  <c r="AT77" i="16"/>
  <c r="BO77" i="16"/>
  <c r="BE77" i="16"/>
  <c r="BB77" i="16"/>
  <c r="BI77" i="16"/>
  <c r="BH77" i="16"/>
  <c r="AQ77" i="16"/>
  <c r="BW77" i="16"/>
  <c r="BL77" i="16"/>
  <c r="AZ77" i="16"/>
  <c r="BZ77" i="16"/>
  <c r="BU77" i="16"/>
  <c r="BK77" i="16"/>
  <c r="BF77" i="16"/>
  <c r="AW77" i="16"/>
  <c r="AV77" i="16"/>
  <c r="AS77" i="16"/>
  <c r="AP77" i="16"/>
  <c r="AK77" i="16"/>
  <c r="AH77" i="16"/>
  <c r="AG77" i="16"/>
  <c r="BJ12" i="15"/>
  <c r="BI22" i="15"/>
  <c r="BI25" i="14" s="1"/>
  <c r="BI25" i="15"/>
  <c r="AE87" i="12"/>
  <c r="P87" i="12"/>
  <c r="Q87" i="12"/>
  <c r="Y87" i="12"/>
  <c r="Z87" i="12"/>
  <c r="AA87" i="12"/>
  <c r="AB87" i="12"/>
  <c r="AC87" i="12"/>
  <c r="AD87" i="12"/>
  <c r="AF87" i="12"/>
  <c r="P64" i="12"/>
  <c r="W64" i="12"/>
  <c r="V64" i="12"/>
  <c r="Q64" i="12"/>
  <c r="X64" i="12"/>
  <c r="Y64" i="12"/>
  <c r="Z64" i="12"/>
  <c r="AA64" i="12"/>
  <c r="AB64" i="12"/>
  <c r="AC64" i="12"/>
  <c r="AD64" i="12"/>
  <c r="AF64" i="12"/>
  <c r="AE64" i="12"/>
  <c r="P58" i="12"/>
  <c r="W58" i="12"/>
  <c r="W59" i="12"/>
  <c r="P59" i="12"/>
  <c r="V58" i="12"/>
  <c r="V59" i="12"/>
  <c r="Q59" i="12"/>
  <c r="X58" i="12"/>
  <c r="X59" i="12"/>
  <c r="Q58" i="12"/>
  <c r="Y58" i="12"/>
  <c r="Z59" i="12"/>
  <c r="Z58" i="12"/>
  <c r="Y59" i="12"/>
  <c r="AA59" i="12"/>
  <c r="AA58" i="12"/>
  <c r="AB58" i="12"/>
  <c r="AB59" i="12"/>
  <c r="AC58" i="12"/>
  <c r="AD58" i="12"/>
  <c r="AE58" i="12"/>
  <c r="AE59" i="12"/>
  <c r="AF59" i="12"/>
  <c r="AF58" i="12"/>
  <c r="AC59" i="12"/>
  <c r="AD59" i="12"/>
  <c r="AC45" i="12"/>
  <c r="W30" i="12"/>
  <c r="P50" i="12"/>
  <c r="W46" i="12"/>
  <c r="P30" i="12"/>
  <c r="W32" i="12"/>
  <c r="W28" i="12"/>
  <c r="W33" i="12"/>
  <c r="W35" i="12"/>
  <c r="W37" i="12"/>
  <c r="W38" i="12"/>
  <c r="W49" i="12"/>
  <c r="W44" i="12"/>
  <c r="W45" i="12"/>
  <c r="P29" i="12"/>
  <c r="W43" i="12"/>
  <c r="P42" i="12"/>
  <c r="P32" i="12"/>
  <c r="P33" i="12"/>
  <c r="P35" i="12"/>
  <c r="W50" i="12"/>
  <c r="P39" i="12"/>
  <c r="P48" i="12"/>
  <c r="V42" i="12"/>
  <c r="V52" i="12"/>
  <c r="W42" i="12"/>
  <c r="W51" i="12"/>
  <c r="V38" i="12"/>
  <c r="V33" i="12"/>
  <c r="P45" i="12"/>
  <c r="P46" i="12"/>
  <c r="W41" i="12"/>
  <c r="W31" i="12"/>
  <c r="W52" i="12"/>
  <c r="P34" i="12"/>
  <c r="P37" i="12"/>
  <c r="W39" i="12"/>
  <c r="W48" i="12"/>
  <c r="P47" i="12"/>
  <c r="V51" i="12"/>
  <c r="W29" i="12"/>
  <c r="P43" i="12"/>
  <c r="P41" i="12"/>
  <c r="W40" i="12"/>
  <c r="P31" i="12"/>
  <c r="P52" i="12"/>
  <c r="W34" i="12"/>
  <c r="P51" i="12"/>
  <c r="P38" i="12"/>
  <c r="P49" i="12"/>
  <c r="P44" i="12"/>
  <c r="V28" i="12"/>
  <c r="P28" i="12"/>
  <c r="V49" i="12"/>
  <c r="V43" i="12"/>
  <c r="V30" i="12"/>
  <c r="V36" i="12"/>
  <c r="V29" i="12"/>
  <c r="V35" i="12"/>
  <c r="V47" i="12"/>
  <c r="V32" i="12"/>
  <c r="W36" i="12"/>
  <c r="V45" i="12"/>
  <c r="V31" i="12"/>
  <c r="V37" i="12"/>
  <c r="V40" i="12"/>
  <c r="V41" i="12"/>
  <c r="V44" i="12"/>
  <c r="P36" i="12"/>
  <c r="P40" i="12"/>
  <c r="V50" i="12"/>
  <c r="V39" i="12"/>
  <c r="V34" i="12"/>
  <c r="V48" i="12"/>
  <c r="V46" i="12"/>
  <c r="X32" i="12"/>
  <c r="Q34" i="12"/>
  <c r="X49" i="12"/>
  <c r="Q40" i="12"/>
  <c r="Q52" i="12"/>
  <c r="X39" i="12"/>
  <c r="Q51" i="12"/>
  <c r="Q28" i="12"/>
  <c r="Q45" i="12"/>
  <c r="X47" i="12"/>
  <c r="X50" i="12"/>
  <c r="Q49" i="12"/>
  <c r="Q43" i="12"/>
  <c r="Q30" i="12"/>
  <c r="Q33" i="12"/>
  <c r="Q37" i="12"/>
  <c r="Q46" i="12"/>
  <c r="X38" i="12"/>
  <c r="Q47" i="12"/>
  <c r="Q50" i="12"/>
  <c r="Q39" i="12"/>
  <c r="Q48" i="12"/>
  <c r="Q44" i="12"/>
  <c r="X33" i="12"/>
  <c r="Q32" i="12"/>
  <c r="Q35" i="12"/>
  <c r="Q38" i="12"/>
  <c r="Q31" i="12"/>
  <c r="Q42" i="12"/>
  <c r="Q36" i="12"/>
  <c r="Q41" i="12"/>
  <c r="X31" i="12"/>
  <c r="Q29" i="12"/>
  <c r="X41" i="12"/>
  <c r="X45" i="12"/>
  <c r="R42" i="12"/>
  <c r="X37" i="12"/>
  <c r="X30" i="12"/>
  <c r="R45" i="12"/>
  <c r="X40" i="12"/>
  <c r="X42" i="12"/>
  <c r="X48" i="12"/>
  <c r="X44" i="12"/>
  <c r="X35" i="12"/>
  <c r="X52" i="12"/>
  <c r="R43" i="12"/>
  <c r="R44" i="12"/>
  <c r="X36" i="12"/>
  <c r="X46" i="12"/>
  <c r="X43" i="12"/>
  <c r="X51" i="12"/>
  <c r="X34" i="12"/>
  <c r="X28" i="12"/>
  <c r="X29" i="12"/>
  <c r="Y45" i="12"/>
  <c r="Y37" i="12"/>
  <c r="Y46" i="12"/>
  <c r="Y49" i="12"/>
  <c r="Y39" i="12"/>
  <c r="Y29" i="12"/>
  <c r="Y41" i="12"/>
  <c r="Y31" i="12"/>
  <c r="Y47" i="12"/>
  <c r="Y52" i="12"/>
  <c r="Y50" i="12"/>
  <c r="Y34" i="12"/>
  <c r="Y28" i="12"/>
  <c r="Y42" i="12"/>
  <c r="Y36" i="12"/>
  <c r="Y51" i="12"/>
  <c r="Y30" i="12"/>
  <c r="Y43" i="12"/>
  <c r="Y35" i="12"/>
  <c r="Y48" i="12"/>
  <c r="Y44" i="12"/>
  <c r="Y40" i="12"/>
  <c r="Y38" i="12"/>
  <c r="Y33" i="12"/>
  <c r="Y32" i="12"/>
  <c r="Z34" i="12"/>
  <c r="Z50" i="12"/>
  <c r="Z45" i="12"/>
  <c r="Z38" i="12"/>
  <c r="Z51" i="12"/>
  <c r="Z28" i="12"/>
  <c r="Z29" i="12"/>
  <c r="Z39" i="12"/>
  <c r="Z36" i="12"/>
  <c r="Z30" i="12"/>
  <c r="Z41" i="12"/>
  <c r="Z48" i="12"/>
  <c r="Z37" i="12"/>
  <c r="Z52" i="12"/>
  <c r="Z31" i="12"/>
  <c r="Z44" i="12"/>
  <c r="Z35" i="12"/>
  <c r="Z32" i="12"/>
  <c r="Z46" i="12"/>
  <c r="Z42" i="12"/>
  <c r="Z33" i="12"/>
  <c r="Z40" i="12"/>
  <c r="Z47" i="12"/>
  <c r="Z49" i="12"/>
  <c r="Z43" i="12"/>
  <c r="S43" i="12"/>
  <c r="AA40" i="12"/>
  <c r="AA32" i="12"/>
  <c r="AA51" i="12"/>
  <c r="AA36" i="12"/>
  <c r="AA47" i="12"/>
  <c r="AA45" i="12"/>
  <c r="AA44" i="12"/>
  <c r="AA37" i="12"/>
  <c r="AA48" i="12"/>
  <c r="AA39" i="12"/>
  <c r="AA38" i="12"/>
  <c r="AA34" i="12"/>
  <c r="AA29" i="12"/>
  <c r="AA31" i="12"/>
  <c r="AA28" i="12"/>
  <c r="AA50" i="12"/>
  <c r="AA35" i="12"/>
  <c r="AA41" i="12"/>
  <c r="AA30" i="12"/>
  <c r="AA52" i="12"/>
  <c r="AA43" i="12"/>
  <c r="S42" i="12"/>
  <c r="AA33" i="12"/>
  <c r="AA42" i="12"/>
  <c r="AA46" i="12"/>
  <c r="AA49" i="12"/>
  <c r="AB50" i="12"/>
  <c r="AB39" i="12"/>
  <c r="AB42" i="12"/>
  <c r="AB47" i="12"/>
  <c r="AB31" i="12"/>
  <c r="AB33" i="12"/>
  <c r="AB29" i="12"/>
  <c r="AB40" i="12"/>
  <c r="AB38" i="12"/>
  <c r="AB28" i="12"/>
  <c r="AB41" i="12"/>
  <c r="AB43" i="12"/>
  <c r="AB52" i="12"/>
  <c r="AB30" i="12"/>
  <c r="AB49" i="12"/>
  <c r="AB46" i="12"/>
  <c r="AB37" i="12"/>
  <c r="AB44" i="12"/>
  <c r="AB36" i="12"/>
  <c r="S45" i="12"/>
  <c r="AB35" i="12"/>
  <c r="AB48" i="12"/>
  <c r="AB51" i="12"/>
  <c r="AB34" i="12"/>
  <c r="AB32" i="12"/>
  <c r="AB45" i="12"/>
  <c r="S44" i="12"/>
  <c r="AC29" i="12"/>
  <c r="AC49" i="12"/>
  <c r="AC42" i="12"/>
  <c r="AC46" i="12"/>
  <c r="AC52" i="12"/>
  <c r="AC37" i="12"/>
  <c r="AC30" i="12"/>
  <c r="AC33" i="12"/>
  <c r="AC44" i="12"/>
  <c r="AC41" i="12"/>
  <c r="AC38" i="12"/>
  <c r="AC39" i="12"/>
  <c r="AC31" i="12"/>
  <c r="W47" i="12"/>
  <c r="AC34" i="12"/>
  <c r="AC43" i="12"/>
  <c r="AC47" i="12"/>
  <c r="AC32" i="12"/>
  <c r="AC51" i="12"/>
  <c r="AC35" i="12"/>
  <c r="AC36" i="12"/>
  <c r="AC48" i="12"/>
  <c r="AC28" i="12"/>
  <c r="AC40" i="12"/>
  <c r="AC50" i="12"/>
  <c r="AD28" i="12"/>
  <c r="AD45" i="12"/>
  <c r="AD30" i="12"/>
  <c r="AD39" i="12"/>
  <c r="AD31" i="12"/>
  <c r="AD44" i="12"/>
  <c r="AD33" i="12"/>
  <c r="AD35" i="12"/>
  <c r="AD48" i="12"/>
  <c r="AD40" i="12"/>
  <c r="AD34" i="12"/>
  <c r="AD42" i="12"/>
  <c r="AD38" i="12"/>
  <c r="AD37" i="12"/>
  <c r="AD50" i="12"/>
  <c r="AD29" i="12"/>
  <c r="AD43" i="12"/>
  <c r="AD49" i="12"/>
  <c r="AD41" i="12"/>
  <c r="AD51" i="12"/>
  <c r="AD47" i="12"/>
  <c r="AD32" i="12"/>
  <c r="AD36" i="12"/>
  <c r="AD52" i="12"/>
  <c r="AD46" i="12"/>
  <c r="AE47" i="12"/>
  <c r="AE50" i="12"/>
  <c r="AE34" i="12"/>
  <c r="AE29" i="12"/>
  <c r="AE44" i="12"/>
  <c r="AE52" i="12"/>
  <c r="AE37" i="12"/>
  <c r="AE40" i="12"/>
  <c r="AE45" i="12"/>
  <c r="AE51" i="12"/>
  <c r="AE36" i="12"/>
  <c r="AE33" i="12"/>
  <c r="AE28" i="12"/>
  <c r="AE32" i="12"/>
  <c r="AE39" i="12"/>
  <c r="AE41" i="12"/>
  <c r="AE43" i="12"/>
  <c r="AE38" i="12"/>
  <c r="AE49" i="12"/>
  <c r="AE30" i="12"/>
  <c r="AE42" i="12"/>
  <c r="AE31" i="12"/>
  <c r="AE46" i="12"/>
  <c r="AE35" i="12"/>
  <c r="AE48" i="12"/>
  <c r="AF43" i="12"/>
  <c r="AF33" i="12"/>
  <c r="AF50" i="12"/>
  <c r="AF44" i="12"/>
  <c r="AF28" i="12"/>
  <c r="AF38" i="12"/>
  <c r="AF32" i="12"/>
  <c r="AF34" i="12"/>
  <c r="AF52" i="12"/>
  <c r="AF48" i="12"/>
  <c r="AF42" i="12"/>
  <c r="AF30" i="12"/>
  <c r="AF37" i="12"/>
  <c r="AF41" i="12"/>
  <c r="AF39" i="12"/>
  <c r="AF46" i="12"/>
  <c r="AF40" i="12"/>
  <c r="AF45" i="12"/>
  <c r="AF47" i="12"/>
  <c r="AF35" i="12"/>
  <c r="AF49" i="12"/>
  <c r="AF31" i="12"/>
  <c r="AF36" i="12"/>
  <c r="AF29" i="12"/>
  <c r="AF51" i="12"/>
  <c r="AG42" i="12"/>
  <c r="AG43" i="12"/>
  <c r="AG45" i="12"/>
  <c r="AG44" i="12"/>
  <c r="AH44" i="12"/>
  <c r="AH43" i="12"/>
  <c r="AH42" i="12"/>
  <c r="AH45" i="12"/>
  <c r="AI42" i="12"/>
  <c r="AI45" i="12"/>
  <c r="AI44" i="12"/>
  <c r="AI43" i="12"/>
  <c r="AJ45" i="12"/>
  <c r="AJ44" i="12"/>
  <c r="AJ42" i="12"/>
  <c r="AJ43" i="12"/>
  <c r="AK42" i="12"/>
  <c r="AK44" i="12"/>
  <c r="AK43" i="12"/>
  <c r="AK45" i="12"/>
  <c r="P19" i="12"/>
  <c r="V18" i="12"/>
  <c r="W18" i="12"/>
  <c r="P18" i="12"/>
  <c r="V20" i="12"/>
  <c r="P20" i="12"/>
  <c r="W19" i="12"/>
  <c r="W20" i="12"/>
  <c r="V19" i="12"/>
  <c r="W21" i="12"/>
  <c r="P21" i="12"/>
  <c r="V21" i="12"/>
  <c r="X21" i="12"/>
  <c r="X19" i="12"/>
  <c r="Q21" i="12"/>
  <c r="Q20" i="12"/>
  <c r="Q19" i="12"/>
  <c r="Q18" i="12"/>
  <c r="X18" i="12"/>
  <c r="X20" i="12"/>
  <c r="Y20" i="12"/>
  <c r="Y19" i="12"/>
  <c r="Y21" i="12"/>
  <c r="Y18" i="12"/>
  <c r="Z18" i="12"/>
  <c r="Z21" i="12"/>
  <c r="Z20" i="12"/>
  <c r="Z19" i="12"/>
  <c r="AA18" i="12"/>
  <c r="AA20" i="12"/>
  <c r="AA19" i="12"/>
  <c r="AA21" i="12"/>
  <c r="AB18" i="12"/>
  <c r="AB19" i="12"/>
  <c r="AC19" i="12"/>
  <c r="AC20" i="12"/>
  <c r="AC18" i="12"/>
  <c r="AD21" i="12"/>
  <c r="AD19" i="12"/>
  <c r="AD18" i="12"/>
  <c r="AD20" i="12"/>
  <c r="AB20" i="12"/>
  <c r="AE21" i="12"/>
  <c r="AE19" i="12"/>
  <c r="AE20" i="12"/>
  <c r="AE18" i="12"/>
  <c r="AF21" i="12"/>
  <c r="AF20" i="12"/>
  <c r="AF18" i="12"/>
  <c r="AF19" i="12"/>
  <c r="AB21" i="12"/>
  <c r="AC21" i="12"/>
  <c r="P13" i="12"/>
  <c r="W12" i="12"/>
  <c r="V12" i="12"/>
  <c r="W14" i="12"/>
  <c r="P12" i="12"/>
  <c r="P14" i="12"/>
  <c r="V14" i="12"/>
  <c r="W13" i="12"/>
  <c r="V13" i="12"/>
  <c r="Q14" i="12"/>
  <c r="Q13" i="12"/>
  <c r="Q12" i="12"/>
  <c r="X13" i="12"/>
  <c r="X12" i="12"/>
  <c r="X14" i="12"/>
  <c r="Y12" i="12"/>
  <c r="Y14" i="12"/>
  <c r="Y13" i="12"/>
  <c r="Z13" i="12"/>
  <c r="Z12" i="12"/>
  <c r="Z14" i="12"/>
  <c r="AA13" i="12"/>
  <c r="AA12" i="12"/>
  <c r="AA14" i="12"/>
  <c r="AB13" i="12"/>
  <c r="AB12" i="12"/>
  <c r="AB14" i="12"/>
  <c r="AC13" i="12"/>
  <c r="AC12" i="12"/>
  <c r="AD12" i="12"/>
  <c r="AD13" i="12"/>
  <c r="AD14" i="12"/>
  <c r="AE12" i="12"/>
  <c r="AE14" i="12"/>
  <c r="AE13" i="12"/>
  <c r="AF12" i="12"/>
  <c r="AF14" i="12"/>
  <c r="AF13" i="12"/>
  <c r="AC14" i="12"/>
  <c r="T185" i="17" l="1"/>
  <c r="T43" i="14"/>
  <c r="S185" i="17"/>
  <c r="T187" i="17"/>
  <c r="T188" i="17" s="1"/>
  <c r="S188" i="17"/>
  <c r="I43" i="14"/>
  <c r="BL43" i="14"/>
  <c r="AL135" i="22"/>
  <c r="AL140" i="22" s="1"/>
  <c r="BJ135" i="22"/>
  <c r="BJ140" i="22" s="1"/>
  <c r="AI135" i="22"/>
  <c r="AI140" i="22" s="1"/>
  <c r="BG135" i="22"/>
  <c r="BG140" i="22" s="1"/>
  <c r="AJ135" i="22"/>
  <c r="AJ140" i="22" s="1"/>
  <c r="BH135" i="22"/>
  <c r="BH140" i="22" s="1"/>
  <c r="BE135" i="22"/>
  <c r="BE140" i="22" s="1"/>
  <c r="AX135" i="22"/>
  <c r="AX140" i="22" s="1"/>
  <c r="AY135" i="22"/>
  <c r="AY140" i="22" s="1"/>
  <c r="BA135" i="22"/>
  <c r="BA140" i="22" s="1"/>
  <c r="BD135" i="22"/>
  <c r="BD140" i="22" s="1"/>
  <c r="AO135" i="22"/>
  <c r="AO140" i="22" s="1"/>
  <c r="AR135" i="22"/>
  <c r="AR140" i="22" s="1"/>
  <c r="AS135" i="22"/>
  <c r="AS140" i="22" s="1"/>
  <c r="AU135" i="22"/>
  <c r="AU140" i="22" s="1"/>
  <c r="AV135" i="22"/>
  <c r="AV140" i="22" s="1"/>
  <c r="BK135" i="22"/>
  <c r="BK140" i="22" s="1"/>
  <c r="AM135" i="22"/>
  <c r="AM140" i="22" s="1"/>
  <c r="AP135" i="22"/>
  <c r="AP140" i="22" s="1"/>
  <c r="AF135" i="22"/>
  <c r="AF140" i="22" s="1"/>
  <c r="BB135" i="22"/>
  <c r="BB140" i="22" s="1"/>
  <c r="AG135" i="22"/>
  <c r="AG140" i="22" s="1"/>
  <c r="BK185" i="17"/>
  <c r="BK187" i="17" s="1"/>
  <c r="BK188" i="17" s="1"/>
  <c r="V43" i="14"/>
  <c r="P49" i="14"/>
  <c r="W134" i="17"/>
  <c r="BI43" i="14"/>
  <c r="W43" i="14" s="1"/>
  <c r="X134" i="17"/>
  <c r="I49" i="14"/>
  <c r="BM43" i="14"/>
  <c r="BJ185" i="17"/>
  <c r="BJ187" i="17" s="1"/>
  <c r="BJ43" i="14"/>
  <c r="X43" i="14" s="1"/>
  <c r="H49" i="14"/>
  <c r="AI31" i="14"/>
  <c r="AI36" i="14" s="1"/>
  <c r="AI108" i="14" s="1"/>
  <c r="AI104" i="14"/>
  <c r="AJ99" i="14" s="1"/>
  <c r="BG187" i="17"/>
  <c r="W185" i="17"/>
  <c r="BC187" i="17"/>
  <c r="I185" i="17"/>
  <c r="U185" i="17"/>
  <c r="BD187" i="17"/>
  <c r="V185" i="17"/>
  <c r="AN127" i="16"/>
  <c r="AN41" i="14" s="1"/>
  <c r="BH127" i="16"/>
  <c r="BH41" i="14" s="1"/>
  <c r="AV127" i="16"/>
  <c r="AV41" i="14" s="1"/>
  <c r="BL33" i="22"/>
  <c r="BI33" i="22"/>
  <c r="BF33" i="22"/>
  <c r="BC33" i="22"/>
  <c r="AZ33" i="22"/>
  <c r="AW33" i="22"/>
  <c r="AT33" i="22"/>
  <c r="AQ33" i="22"/>
  <c r="AN33" i="22"/>
  <c r="AK33" i="22"/>
  <c r="AH33" i="22"/>
  <c r="AE33" i="22"/>
  <c r="BL84" i="22"/>
  <c r="BI84" i="22"/>
  <c r="BF84" i="22"/>
  <c r="BC84" i="22"/>
  <c r="AZ84" i="22"/>
  <c r="AW84" i="22"/>
  <c r="AT84" i="22"/>
  <c r="AQ84" i="22"/>
  <c r="AN84" i="22"/>
  <c r="AK84" i="22"/>
  <c r="AH84" i="22"/>
  <c r="AE84" i="22"/>
  <c r="V16" i="12"/>
  <c r="AB72" i="20"/>
  <c r="AD20" i="20"/>
  <c r="AB71" i="20"/>
  <c r="AD27" i="20"/>
  <c r="S111" i="20"/>
  <c r="AG107" i="20"/>
  <c r="AK74" i="20"/>
  <c r="AD26" i="20"/>
  <c r="AC32" i="20"/>
  <c r="AB14" i="20"/>
  <c r="U11" i="20"/>
  <c r="X18" i="20"/>
  <c r="AE29" i="20"/>
  <c r="AC12" i="20"/>
  <c r="AE20" i="20"/>
  <c r="AD35" i="20"/>
  <c r="T31" i="20"/>
  <c r="Y109" i="20"/>
  <c r="AC110" i="20"/>
  <c r="AA18" i="20"/>
  <c r="AF32" i="20"/>
  <c r="AL69" i="20"/>
  <c r="AL18" i="20"/>
  <c r="AJ108" i="20"/>
  <c r="AM33" i="20"/>
  <c r="AH69" i="20"/>
  <c r="AG15" i="20"/>
  <c r="AL20" i="20"/>
  <c r="AH25" i="20"/>
  <c r="AD69" i="20"/>
  <c r="U108" i="20"/>
  <c r="Z18" i="20"/>
  <c r="U13" i="20"/>
  <c r="T72" i="20"/>
  <c r="Z25" i="20"/>
  <c r="U107" i="20"/>
  <c r="Z16" i="20"/>
  <c r="AA73" i="20"/>
  <c r="S34" i="20"/>
  <c r="AB69" i="20"/>
  <c r="AI22" i="20"/>
  <c r="AK26" i="20"/>
  <c r="AC74" i="20"/>
  <c r="AI11" i="20"/>
  <c r="AJ24" i="20"/>
  <c r="Y111" i="20"/>
  <c r="Y31" i="20"/>
  <c r="AL70" i="20"/>
  <c r="AH74" i="20"/>
  <c r="R69" i="20"/>
  <c r="AA107" i="20"/>
  <c r="AD107" i="20"/>
  <c r="AE22" i="20"/>
  <c r="AJ73" i="20"/>
  <c r="Y46" i="20"/>
  <c r="Y45" i="20" s="1"/>
  <c r="T112" i="20"/>
  <c r="AM15" i="20"/>
  <c r="AK39" i="20"/>
  <c r="X11" i="20"/>
  <c r="T20" i="20"/>
  <c r="AC25" i="20"/>
  <c r="AK15" i="20"/>
  <c r="U16" i="20"/>
  <c r="AA35" i="20"/>
  <c r="Y32" i="20"/>
  <c r="AI39" i="20"/>
  <c r="AJ109" i="20"/>
  <c r="AI34" i="20"/>
  <c r="S71" i="20"/>
  <c r="X22" i="20"/>
  <c r="R18" i="20"/>
  <c r="AI109" i="20"/>
  <c r="S73" i="20"/>
  <c r="AE107" i="20"/>
  <c r="AM112" i="20"/>
  <c r="R72" i="20"/>
  <c r="AK109" i="20"/>
  <c r="AJ31" i="20"/>
  <c r="AG30" i="20"/>
  <c r="AB110" i="20"/>
  <c r="AB11" i="20"/>
  <c r="Y21" i="20"/>
  <c r="AE72" i="20"/>
  <c r="Z12" i="20"/>
  <c r="AK111" i="20"/>
  <c r="AH18" i="20"/>
  <c r="X39" i="20"/>
  <c r="U19" i="20"/>
  <c r="AA109" i="20"/>
  <c r="S110" i="20"/>
  <c r="AE21" i="20"/>
  <c r="S70" i="20"/>
  <c r="AC22" i="20"/>
  <c r="AD18" i="20"/>
  <c r="R21" i="20"/>
  <c r="AM19" i="20"/>
  <c r="AI26" i="20"/>
  <c r="AG14" i="20"/>
  <c r="AI13" i="20"/>
  <c r="AF46" i="20"/>
  <c r="AF45" i="20" s="1"/>
  <c r="AG108" i="20"/>
  <c r="AD34" i="20"/>
  <c r="U31" i="20"/>
  <c r="AJ39" i="20"/>
  <c r="AI70" i="20"/>
  <c r="AA74" i="20"/>
  <c r="Y17" i="20"/>
  <c r="AL11" i="20"/>
  <c r="AF18" i="20"/>
  <c r="AJ71" i="20"/>
  <c r="AI27" i="20"/>
  <c r="AH34" i="20"/>
  <c r="AA27" i="20"/>
  <c r="AH28" i="20"/>
  <c r="AE15" i="20"/>
  <c r="AE16" i="20"/>
  <c r="S11" i="20"/>
  <c r="AD22" i="20"/>
  <c r="AB26" i="20"/>
  <c r="U34" i="20"/>
  <c r="R16" i="20"/>
  <c r="X29" i="20"/>
  <c r="AF72" i="20"/>
  <c r="AH35" i="20"/>
  <c r="AE74" i="20"/>
  <c r="AC17" i="20"/>
  <c r="AA32" i="20"/>
  <c r="AE32" i="20"/>
  <c r="AL73" i="20"/>
  <c r="AL110" i="20"/>
  <c r="AM46" i="20"/>
  <c r="AM45" i="20" s="1"/>
  <c r="AJ30" i="20"/>
  <c r="AJ29" i="20"/>
  <c r="AJ70" i="20"/>
  <c r="AK13" i="20"/>
  <c r="AJ23" i="20"/>
  <c r="AJ16" i="20"/>
  <c r="AJ34" i="20"/>
  <c r="AG21" i="20"/>
  <c r="AG22" i="20"/>
  <c r="AG25" i="20"/>
  <c r="AF11" i="20"/>
  <c r="AI69" i="20"/>
  <c r="AL108" i="20"/>
  <c r="AG18" i="20"/>
  <c r="Z110" i="20"/>
  <c r="AF22" i="20"/>
  <c r="T111" i="20"/>
  <c r="AA46" i="20"/>
  <c r="AA45" i="20" s="1"/>
  <c r="U23" i="20"/>
  <c r="T23" i="20"/>
  <c r="T24" i="20"/>
  <c r="T17" i="20"/>
  <c r="T32" i="20"/>
  <c r="X108" i="20"/>
  <c r="Z70" i="20"/>
  <c r="Z22" i="20"/>
  <c r="T26" i="20"/>
  <c r="T29" i="20"/>
  <c r="X109" i="20"/>
  <c r="U22" i="20"/>
  <c r="Z112" i="20"/>
  <c r="U28" i="20"/>
  <c r="AK33" i="20"/>
  <c r="AD31" i="20"/>
  <c r="Y26" i="20"/>
  <c r="X31" i="20"/>
  <c r="R35" i="20"/>
  <c r="AA15" i="20"/>
  <c r="T46" i="20"/>
  <c r="T45" i="20" s="1"/>
  <c r="T16" i="20"/>
  <c r="AJ13" i="20"/>
  <c r="T69" i="20"/>
  <c r="R30" i="20"/>
  <c r="T15" i="20"/>
  <c r="AL32" i="20"/>
  <c r="Y107" i="20"/>
  <c r="AD74" i="20"/>
  <c r="AK28" i="20"/>
  <c r="AH33" i="20"/>
  <c r="Z14" i="20"/>
  <c r="AI35" i="20"/>
  <c r="T12" i="20"/>
  <c r="R13" i="20"/>
  <c r="AM34" i="20"/>
  <c r="AJ35" i="20"/>
  <c r="S72" i="20"/>
  <c r="AM23" i="20"/>
  <c r="AG110" i="20"/>
  <c r="AD23" i="20"/>
  <c r="AD21" i="20"/>
  <c r="AL17" i="20"/>
  <c r="AG13" i="20"/>
  <c r="AG24" i="20"/>
  <c r="AB22" i="20"/>
  <c r="AD12" i="20"/>
  <c r="AB19" i="20"/>
  <c r="T28" i="20"/>
  <c r="AE31" i="20"/>
  <c r="AH19" i="20"/>
  <c r="X27" i="20"/>
  <c r="U12" i="20"/>
  <c r="AM107" i="20"/>
  <c r="AK20" i="20"/>
  <c r="AC24" i="20"/>
  <c r="AC107" i="20"/>
  <c r="AC33" i="20"/>
  <c r="Z28" i="20"/>
  <c r="AA19" i="20"/>
  <c r="AK71" i="20"/>
  <c r="AH27" i="20"/>
  <c r="AA14" i="20"/>
  <c r="AI20" i="20"/>
  <c r="AB111" i="20"/>
  <c r="AF28" i="20"/>
  <c r="AL12" i="20"/>
  <c r="S25" i="20"/>
  <c r="U69" i="20"/>
  <c r="T34" i="20"/>
  <c r="X30" i="20"/>
  <c r="AC16" i="20"/>
  <c r="AC35" i="20"/>
  <c r="AD110" i="20"/>
  <c r="Z107" i="20"/>
  <c r="AH23" i="20"/>
  <c r="AG35" i="20"/>
  <c r="AK31" i="20"/>
  <c r="AI112" i="20"/>
  <c r="AB108" i="20"/>
  <c r="AA25" i="20"/>
  <c r="Z71" i="20"/>
  <c r="AA110" i="20"/>
  <c r="R19" i="20"/>
  <c r="X34" i="20"/>
  <c r="AM70" i="20"/>
  <c r="AL39" i="20"/>
  <c r="AI12" i="20"/>
  <c r="AI33" i="20"/>
  <c r="X33" i="20"/>
  <c r="AL21" i="20"/>
  <c r="AH32" i="20"/>
  <c r="AM35" i="20"/>
  <c r="AM13" i="20"/>
  <c r="AK18" i="20"/>
  <c r="AH21" i="20"/>
  <c r="AF16" i="20"/>
  <c r="AF112" i="20"/>
  <c r="AE12" i="20"/>
  <c r="AC23" i="20"/>
  <c r="Z72" i="20"/>
  <c r="Z73" i="20"/>
  <c r="AH70" i="20"/>
  <c r="AF15" i="20"/>
  <c r="AG71" i="20"/>
  <c r="AI19" i="20"/>
  <c r="S31" i="20"/>
  <c r="AF19" i="20"/>
  <c r="AF14" i="20"/>
  <c r="AI31" i="20"/>
  <c r="Z111" i="20"/>
  <c r="X74" i="20"/>
  <c r="AA111" i="20"/>
  <c r="AC69" i="20"/>
  <c r="AJ107" i="20"/>
  <c r="AK30" i="20"/>
  <c r="AK25" i="20"/>
  <c r="AH31" i="20"/>
  <c r="AI23" i="20"/>
  <c r="S14" i="20"/>
  <c r="Z30" i="20"/>
  <c r="Z26" i="20"/>
  <c r="Y39" i="20"/>
  <c r="Y69" i="20"/>
  <c r="X24" i="20"/>
  <c r="AE24" i="20"/>
  <c r="AB18" i="20"/>
  <c r="Z29" i="20"/>
  <c r="X112" i="20"/>
  <c r="AC70" i="20"/>
  <c r="T110" i="20"/>
  <c r="X20" i="20"/>
  <c r="AF12" i="20"/>
  <c r="AA11" i="20"/>
  <c r="AC72" i="20"/>
  <c r="AA23" i="20"/>
  <c r="T73" i="20"/>
  <c r="T39" i="20"/>
  <c r="T35" i="20"/>
  <c r="AD13" i="20"/>
  <c r="AC19" i="20"/>
  <c r="R110" i="20"/>
  <c r="AF24" i="20"/>
  <c r="AK107" i="20"/>
  <c r="AK21" i="20"/>
  <c r="AK27" i="20"/>
  <c r="AF26" i="20"/>
  <c r="AH15" i="20"/>
  <c r="U32" i="20"/>
  <c r="Y18" i="20"/>
  <c r="Y23" i="20"/>
  <c r="AM111" i="20"/>
  <c r="AB28" i="20"/>
  <c r="T33" i="20"/>
  <c r="R20" i="20"/>
  <c r="Y12" i="20"/>
  <c r="AK32" i="20"/>
  <c r="AE111" i="20"/>
  <c r="Y74" i="20"/>
  <c r="AM25" i="20"/>
  <c r="AM108" i="20"/>
  <c r="S13" i="20"/>
  <c r="AG73" i="20"/>
  <c r="T108" i="20"/>
  <c r="AE110" i="20"/>
  <c r="R111" i="20"/>
  <c r="AH11" i="20"/>
  <c r="AG17" i="20"/>
  <c r="AE70" i="20"/>
  <c r="AD70" i="20"/>
  <c r="Z69" i="20"/>
  <c r="Y27" i="20"/>
  <c r="AH26" i="20"/>
  <c r="AB15" i="20"/>
  <c r="AH30" i="20"/>
  <c r="AA12" i="20"/>
  <c r="AA17" i="20"/>
  <c r="X69" i="20"/>
  <c r="AI74" i="20"/>
  <c r="AC73" i="20"/>
  <c r="AD16" i="20"/>
  <c r="AC18" i="20"/>
  <c r="S19" i="20"/>
  <c r="S30" i="20"/>
  <c r="S21" i="20"/>
  <c r="S35" i="20"/>
  <c r="AB34" i="20"/>
  <c r="AM16" i="20"/>
  <c r="AM29" i="20"/>
  <c r="AL27" i="20"/>
  <c r="AI16" i="20"/>
  <c r="AE71" i="20"/>
  <c r="AE73" i="20"/>
  <c r="AH29" i="20"/>
  <c r="Y71" i="20"/>
  <c r="R24" i="20"/>
  <c r="R22" i="20"/>
  <c r="R32" i="20"/>
  <c r="R15" i="20"/>
  <c r="S33" i="20"/>
  <c r="R28" i="20"/>
  <c r="S32" i="20"/>
  <c r="R11" i="20"/>
  <c r="X25" i="20"/>
  <c r="Y15" i="20"/>
  <c r="S23" i="20"/>
  <c r="X26" i="20"/>
  <c r="AM32" i="20"/>
  <c r="AL24" i="20"/>
  <c r="AF107" i="20"/>
  <c r="AB25" i="20"/>
  <c r="Z74" i="20"/>
  <c r="AJ26" i="20"/>
  <c r="AI28" i="20"/>
  <c r="S27" i="20"/>
  <c r="AK69" i="20"/>
  <c r="AK70" i="20"/>
  <c r="AM28" i="20"/>
  <c r="AH13" i="20"/>
  <c r="AG11" i="20"/>
  <c r="AG16" i="20"/>
  <c r="AG32" i="20"/>
  <c r="AG34" i="20"/>
  <c r="AC15" i="20"/>
  <c r="AE35" i="20"/>
  <c r="AD25" i="20"/>
  <c r="AD112" i="20"/>
  <c r="AC39" i="20"/>
  <c r="AB30" i="20"/>
  <c r="Z46" i="20"/>
  <c r="Z45" i="20" s="1"/>
  <c r="AB31" i="20"/>
  <c r="AB70" i="20"/>
  <c r="X13" i="20"/>
  <c r="AC31" i="20"/>
  <c r="AL29" i="20"/>
  <c r="AI24" i="20"/>
  <c r="AI72" i="20"/>
  <c r="Z13" i="20"/>
  <c r="R70" i="20"/>
  <c r="AC30" i="20"/>
  <c r="Y22" i="20"/>
  <c r="AF21" i="20"/>
  <c r="U26" i="20"/>
  <c r="T71" i="20"/>
  <c r="AB109" i="20"/>
  <c r="AM26" i="20"/>
  <c r="AA16" i="20"/>
  <c r="AK23" i="20"/>
  <c r="AJ33" i="20"/>
  <c r="X32" i="20"/>
  <c r="AC46" i="20"/>
  <c r="AC45" i="20" s="1"/>
  <c r="X15" i="20"/>
  <c r="AL26" i="20"/>
  <c r="AI21" i="20"/>
  <c r="X28" i="20"/>
  <c r="Y34" i="20"/>
  <c r="AM31" i="20"/>
  <c r="AG20" i="20"/>
  <c r="AK46" i="20"/>
  <c r="AK45" i="20" s="1"/>
  <c r="AC26" i="20"/>
  <c r="AE28" i="20"/>
  <c r="T14" i="20"/>
  <c r="AB39" i="20"/>
  <c r="AL23" i="20"/>
  <c r="Y29" i="20"/>
  <c r="Y28" i="20"/>
  <c r="AJ74" i="20"/>
  <c r="AF109" i="20"/>
  <c r="AE26" i="20"/>
  <c r="AB17" i="20"/>
  <c r="AE23" i="20"/>
  <c r="AD108" i="20"/>
  <c r="AD46" i="20"/>
  <c r="AD45" i="20" s="1"/>
  <c r="AB27" i="20"/>
  <c r="Z21" i="20"/>
  <c r="R108" i="20"/>
  <c r="R34" i="20"/>
  <c r="Y11" i="20"/>
  <c r="AH39" i="20"/>
  <c r="AE14" i="20"/>
  <c r="AD32" i="20"/>
  <c r="Z109" i="20"/>
  <c r="T18" i="20"/>
  <c r="AJ15" i="20"/>
  <c r="AE34" i="20"/>
  <c r="T74" i="20"/>
  <c r="AL111" i="20"/>
  <c r="AL72" i="20"/>
  <c r="AL107" i="20"/>
  <c r="AK35" i="20"/>
  <c r="AJ14" i="20"/>
  <c r="AJ21" i="20"/>
  <c r="AJ19" i="20"/>
  <c r="AH107" i="20"/>
  <c r="AJ22" i="20"/>
  <c r="AJ28" i="20"/>
  <c r="AG112" i="20"/>
  <c r="AG74" i="20"/>
  <c r="AG19" i="20"/>
  <c r="AJ32" i="20"/>
  <c r="AF23" i="20"/>
  <c r="AC112" i="20"/>
  <c r="S18" i="20"/>
  <c r="AA112" i="20"/>
  <c r="Z33" i="20"/>
  <c r="T11" i="20"/>
  <c r="U20" i="20"/>
  <c r="U111" i="20"/>
  <c r="U15" i="20"/>
  <c r="Z31" i="20"/>
  <c r="Z19" i="20"/>
  <c r="U70" i="20"/>
  <c r="U74" i="20"/>
  <c r="T30" i="20"/>
  <c r="X70" i="20"/>
  <c r="U18" i="20"/>
  <c r="U46" i="20"/>
  <c r="U45" i="20" s="1"/>
  <c r="Z35" i="20"/>
  <c r="U30" i="20"/>
  <c r="AJ111" i="20"/>
  <c r="AC111" i="20"/>
  <c r="AL46" i="20"/>
  <c r="AL45" i="20" s="1"/>
  <c r="AH20" i="20"/>
  <c r="S28" i="20"/>
  <c r="Z27" i="20"/>
  <c r="AI32" i="20"/>
  <c r="AK22" i="20"/>
  <c r="AA39" i="20"/>
  <c r="S22" i="20"/>
  <c r="AE27" i="20"/>
  <c r="Y16" i="20"/>
  <c r="AM20" i="20"/>
  <c r="AF110" i="20"/>
  <c r="AH112" i="20"/>
  <c r="R73" i="20"/>
  <c r="U72" i="20"/>
  <c r="R33" i="20"/>
  <c r="AA24" i="20"/>
  <c r="R39" i="20"/>
  <c r="AF70" i="20"/>
  <c r="AA20" i="20"/>
  <c r="AE18" i="20"/>
  <c r="AF13" i="20"/>
  <c r="AH46" i="20"/>
  <c r="AH45" i="20" s="1"/>
  <c r="X46" i="20"/>
  <c r="X45" i="20" s="1"/>
  <c r="AK112" i="20"/>
  <c r="Z20" i="20"/>
  <c r="Z24" i="20"/>
  <c r="AI30" i="20"/>
  <c r="S74" i="20"/>
  <c r="AG69" i="20"/>
  <c r="AF30" i="20"/>
  <c r="AC27" i="20"/>
  <c r="AH109" i="20"/>
  <c r="U29" i="20"/>
  <c r="Y35" i="20"/>
  <c r="AB24" i="20"/>
  <c r="AH22" i="20"/>
  <c r="AD29" i="20"/>
  <c r="X23" i="20"/>
  <c r="AK108" i="20"/>
  <c r="S12" i="20"/>
  <c r="T21" i="20"/>
  <c r="AM72" i="20"/>
  <c r="U110" i="20"/>
  <c r="U39" i="20"/>
  <c r="AE33" i="20"/>
  <c r="AB46" i="20"/>
  <c r="AB45" i="20" s="1"/>
  <c r="AK73" i="20"/>
  <c r="AK34" i="20"/>
  <c r="AI17" i="20"/>
  <c r="R27" i="20"/>
  <c r="R74" i="20"/>
  <c r="AI108" i="20"/>
  <c r="R23" i="20"/>
  <c r="X35" i="20"/>
  <c r="AI111" i="20"/>
  <c r="AL16" i="20"/>
  <c r="AA28" i="20"/>
  <c r="AG39" i="20"/>
  <c r="AL25" i="20"/>
  <c r="AD71" i="20"/>
  <c r="AF29" i="20"/>
  <c r="AG26" i="20"/>
  <c r="AD73" i="20"/>
  <c r="AD33" i="20"/>
  <c r="AB20" i="20"/>
  <c r="Y108" i="20"/>
  <c r="AA108" i="20"/>
  <c r="AB13" i="20"/>
  <c r="AF31" i="20"/>
  <c r="S26" i="20"/>
  <c r="U24" i="20"/>
  <c r="AH17" i="20"/>
  <c r="AJ72" i="20"/>
  <c r="AI107" i="20"/>
  <c r="AF111" i="20"/>
  <c r="T13" i="20"/>
  <c r="X19" i="20"/>
  <c r="AD11" i="20"/>
  <c r="X16" i="20"/>
  <c r="X71" i="20"/>
  <c r="AB23" i="20"/>
  <c r="X21" i="20"/>
  <c r="AB32" i="20"/>
  <c r="Y110" i="20"/>
  <c r="Z23" i="20"/>
  <c r="AI71" i="20"/>
  <c r="X14" i="20"/>
  <c r="AB12" i="20"/>
  <c r="Y73" i="20"/>
  <c r="AM74" i="20"/>
  <c r="U27" i="20"/>
  <c r="AL13" i="20"/>
  <c r="AH73" i="20"/>
  <c r="AF33" i="20"/>
  <c r="U25" i="20"/>
  <c r="Y72" i="20"/>
  <c r="AJ12" i="20"/>
  <c r="AI25" i="20"/>
  <c r="AL33" i="20"/>
  <c r="AE25" i="20"/>
  <c r="AE69" i="20"/>
  <c r="AG12" i="20"/>
  <c r="AF108" i="20"/>
  <c r="AB21" i="20"/>
  <c r="AE46" i="20"/>
  <c r="AE45" i="20" s="1"/>
  <c r="AI46" i="20"/>
  <c r="AI45" i="20" s="1"/>
  <c r="AM69" i="20"/>
  <c r="AM71" i="20"/>
  <c r="AL28" i="20"/>
  <c r="AI29" i="20"/>
  <c r="AL31" i="20"/>
  <c r="AA72" i="20"/>
  <c r="AG23" i="20"/>
  <c r="S39" i="20"/>
  <c r="Z17" i="20"/>
  <c r="AK110" i="20"/>
  <c r="AE30" i="20"/>
  <c r="AD39" i="20"/>
  <c r="AC108" i="20"/>
  <c r="AA21" i="20"/>
  <c r="X110" i="20"/>
  <c r="Y24" i="20"/>
  <c r="Y112" i="20"/>
  <c r="AE109" i="20"/>
  <c r="AC71" i="20"/>
  <c r="AD30" i="20"/>
  <c r="AC21" i="20"/>
  <c r="Z34" i="20"/>
  <c r="AM27" i="20"/>
  <c r="AC11" i="20"/>
  <c r="AL71" i="20"/>
  <c r="AJ11" i="20"/>
  <c r="AK24" i="20"/>
  <c r="AJ27" i="20"/>
  <c r="AJ112" i="20"/>
  <c r="AH111" i="20"/>
  <c r="AH72" i="20"/>
  <c r="AH110" i="20"/>
  <c r="AH71" i="20"/>
  <c r="AG70" i="20"/>
  <c r="AG27" i="20"/>
  <c r="AF25" i="20"/>
  <c r="AM17" i="20"/>
  <c r="AJ25" i="20"/>
  <c r="AK29" i="20"/>
  <c r="AB73" i="20"/>
  <c r="AF69" i="20"/>
  <c r="X73" i="20"/>
  <c r="AA70" i="20"/>
  <c r="X111" i="20"/>
  <c r="U21" i="20"/>
  <c r="U71" i="20"/>
  <c r="Z108" i="20"/>
  <c r="Z15" i="20"/>
  <c r="Z39" i="20"/>
  <c r="U17" i="20"/>
  <c r="T27" i="20"/>
  <c r="U14" i="20"/>
  <c r="T25" i="20"/>
  <c r="U33" i="20"/>
  <c r="X107" i="20"/>
  <c r="U73" i="20"/>
  <c r="T22" i="20"/>
  <c r="T19" i="20"/>
  <c r="AK14" i="20"/>
  <c r="AL14" i="20"/>
  <c r="AK12" i="20"/>
  <c r="AM109" i="20"/>
  <c r="R17" i="20"/>
  <c r="T109" i="20"/>
  <c r="AL15" i="20"/>
  <c r="AM14" i="20"/>
  <c r="AK72" i="20"/>
  <c r="AL112" i="20"/>
  <c r="AH14" i="20"/>
  <c r="U109" i="20"/>
  <c r="Y33" i="20"/>
  <c r="R46" i="20"/>
  <c r="R45" i="20" s="1"/>
  <c r="AM110" i="20"/>
  <c r="Z11" i="20"/>
  <c r="AA26" i="20"/>
  <c r="AJ20" i="20"/>
  <c r="AI73" i="20"/>
  <c r="AD14" i="20"/>
  <c r="Y30" i="20"/>
  <c r="AA34" i="20"/>
  <c r="AB29" i="20"/>
  <c r="R25" i="20"/>
  <c r="Y20" i="20"/>
  <c r="AM11" i="20"/>
  <c r="AG109" i="20"/>
  <c r="S107" i="20"/>
  <c r="AL35" i="20"/>
  <c r="R107" i="20"/>
  <c r="AL22" i="20"/>
  <c r="AG33" i="20"/>
  <c r="AM18" i="20"/>
  <c r="AD15" i="20"/>
  <c r="AC28" i="20"/>
  <c r="AA22" i="20"/>
  <c r="Z32" i="20"/>
  <c r="AM21" i="20"/>
  <c r="AK16" i="20"/>
  <c r="AD19" i="20"/>
  <c r="AF34" i="20"/>
  <c r="Y13" i="20"/>
  <c r="S17" i="20"/>
  <c r="AB112" i="20"/>
  <c r="AD28" i="20"/>
  <c r="AE108" i="20"/>
  <c r="AG46" i="20"/>
  <c r="AG45" i="20" s="1"/>
  <c r="X72" i="20"/>
  <c r="AL30" i="20"/>
  <c r="U112" i="20"/>
  <c r="AA29" i="20"/>
  <c r="T107" i="20"/>
  <c r="AF71" i="20"/>
  <c r="T70" i="20"/>
  <c r="R112" i="20"/>
  <c r="AJ18" i="20"/>
  <c r="AJ69" i="20"/>
  <c r="AK11" i="20"/>
  <c r="AD109" i="20"/>
  <c r="S24" i="20"/>
  <c r="AI110" i="20"/>
  <c r="Y25" i="20"/>
  <c r="AD24" i="20"/>
  <c r="AA30" i="20"/>
  <c r="R26" i="20"/>
  <c r="Y14" i="20"/>
  <c r="AE13" i="20"/>
  <c r="AD17" i="20"/>
  <c r="R29" i="20"/>
  <c r="AB16" i="20"/>
  <c r="AM24" i="20"/>
  <c r="S109" i="20"/>
  <c r="AK19" i="20"/>
  <c r="AK17" i="20"/>
  <c r="AM12" i="20"/>
  <c r="AG111" i="20"/>
  <c r="S15" i="20"/>
  <c r="Y19" i="20"/>
  <c r="AC29" i="20"/>
  <c r="AE112" i="20"/>
  <c r="AI15" i="20"/>
  <c r="AH16" i="20"/>
  <c r="S46" i="20"/>
  <c r="S45" i="20" s="1"/>
  <c r="R12" i="20"/>
  <c r="R31" i="20"/>
  <c r="AM30" i="20"/>
  <c r="AL19" i="20"/>
  <c r="AJ17" i="20"/>
  <c r="S69" i="20"/>
  <c r="AG28" i="20"/>
  <c r="AH24" i="20"/>
  <c r="AJ110" i="20"/>
  <c r="AL74" i="20"/>
  <c r="AG72" i="20"/>
  <c r="AH108" i="20"/>
  <c r="AA71" i="20"/>
  <c r="AC14" i="20"/>
  <c r="AM39" i="20"/>
  <c r="AH12" i="20"/>
  <c r="AF39" i="20"/>
  <c r="AG31" i="20"/>
  <c r="AG29" i="20"/>
  <c r="S20" i="20"/>
  <c r="AE39" i="20"/>
  <c r="R71" i="20"/>
  <c r="AC20" i="20"/>
  <c r="AA69" i="20"/>
  <c r="Y70" i="20"/>
  <c r="R109" i="20"/>
  <c r="S29" i="20"/>
  <c r="AD72" i="20"/>
  <c r="AC34" i="20"/>
  <c r="X17" i="20"/>
  <c r="AL34" i="20"/>
  <c r="AC13" i="20"/>
  <c r="AB107" i="20"/>
  <c r="AM73" i="20"/>
  <c r="U35" i="20"/>
  <c r="AF35" i="20"/>
  <c r="X12" i="20"/>
  <c r="AF73" i="20"/>
  <c r="AL109" i="20"/>
  <c r="AE19" i="20"/>
  <c r="AF74" i="20"/>
  <c r="AC109" i="20"/>
  <c r="R14" i="20"/>
  <c r="AE17" i="20"/>
  <c r="AJ46" i="20"/>
  <c r="AJ45" i="20" s="1"/>
  <c r="AA33" i="20"/>
  <c r="AE11" i="20"/>
  <c r="S112" i="20"/>
  <c r="AF27" i="20"/>
  <c r="AB35" i="20"/>
  <c r="AB74" i="20"/>
  <c r="AI14" i="20"/>
  <c r="S108" i="20"/>
  <c r="S16" i="20"/>
  <c r="AA31" i="20"/>
  <c r="AF17" i="20"/>
  <c r="AB33" i="20"/>
  <c r="AI18" i="20"/>
  <c r="AD111" i="20"/>
  <c r="AF20" i="20"/>
  <c r="AA13" i="20"/>
  <c r="AM22" i="20"/>
  <c r="BW27" i="16"/>
  <c r="BF27" i="16"/>
  <c r="BF127" i="16" s="1"/>
  <c r="BF41" i="14" s="1"/>
  <c r="BX27" i="16"/>
  <c r="BN27" i="16"/>
  <c r="BT27" i="16"/>
  <c r="H111" i="16"/>
  <c r="BC27" i="16"/>
  <c r="BC127" i="16" s="1"/>
  <c r="BC41" i="14" s="1"/>
  <c r="BB27" i="16"/>
  <c r="BB127" i="16" s="1"/>
  <c r="BB41" i="14" s="1"/>
  <c r="BA27" i="16"/>
  <c r="T50" i="16"/>
  <c r="W110" i="16"/>
  <c r="Y91" i="16"/>
  <c r="AC16" i="16"/>
  <c r="T104" i="16"/>
  <c r="T33" i="16"/>
  <c r="T81" i="16"/>
  <c r="N110" i="16"/>
  <c r="AC109" i="16"/>
  <c r="X40" i="16"/>
  <c r="Y67" i="16"/>
  <c r="S106" i="16"/>
  <c r="S112" i="16"/>
  <c r="X111" i="16"/>
  <c r="AA90" i="16"/>
  <c r="U38" i="16"/>
  <c r="O92" i="16"/>
  <c r="V20" i="16"/>
  <c r="Z41" i="16"/>
  <c r="P20" i="16"/>
  <c r="O98" i="16"/>
  <c r="Z88" i="16"/>
  <c r="N111" i="16"/>
  <c r="Z79" i="16"/>
  <c r="T86" i="16"/>
  <c r="P19" i="16"/>
  <c r="V97" i="16"/>
  <c r="Y110" i="16"/>
  <c r="Z51" i="16"/>
  <c r="Y46" i="16"/>
  <c r="S25" i="16"/>
  <c r="U30" i="16"/>
  <c r="Z112" i="16"/>
  <c r="Z80" i="16"/>
  <c r="Z52" i="16"/>
  <c r="S110" i="16"/>
  <c r="I20" i="16"/>
  <c r="Z69" i="16"/>
  <c r="V101" i="16"/>
  <c r="Q103" i="16"/>
  <c r="I111" i="16"/>
  <c r="T114" i="16"/>
  <c r="I96" i="16"/>
  <c r="AA92" i="16"/>
  <c r="O30" i="16"/>
  <c r="U82" i="16"/>
  <c r="AB111" i="16"/>
  <c r="Z29" i="16"/>
  <c r="S28" i="16"/>
  <c r="Y66" i="16"/>
  <c r="P88" i="16"/>
  <c r="R32" i="16"/>
  <c r="N83" i="16"/>
  <c r="U96" i="16"/>
  <c r="S48" i="16"/>
  <c r="W19" i="16"/>
  <c r="V113" i="16"/>
  <c r="P112" i="16"/>
  <c r="W112" i="16"/>
  <c r="Y29" i="16"/>
  <c r="W61" i="16"/>
  <c r="Q113" i="16"/>
  <c r="U34" i="16"/>
  <c r="Z78" i="16"/>
  <c r="Z43" i="16"/>
  <c r="J99" i="16"/>
  <c r="N112" i="16"/>
  <c r="W42" i="16"/>
  <c r="S11" i="16"/>
  <c r="R45" i="16"/>
  <c r="W82" i="16"/>
  <c r="R78" i="16"/>
  <c r="AC60" i="16"/>
  <c r="R25" i="16"/>
  <c r="AA113" i="16"/>
  <c r="Z42" i="16"/>
  <c r="Y95" i="16"/>
  <c r="H25" i="16"/>
  <c r="W78" i="16"/>
  <c r="X53" i="16"/>
  <c r="X38" i="16"/>
  <c r="Z34" i="16"/>
  <c r="Y47" i="16"/>
  <c r="Y33" i="16"/>
  <c r="AA111" i="16"/>
  <c r="W85" i="16"/>
  <c r="W111" i="16"/>
  <c r="O12" i="16"/>
  <c r="J109" i="16"/>
  <c r="J93" i="16"/>
  <c r="P79" i="16"/>
  <c r="J110" i="16"/>
  <c r="O113" i="16"/>
  <c r="X112" i="16"/>
  <c r="P107" i="16"/>
  <c r="V28" i="16"/>
  <c r="Y111" i="16"/>
  <c r="V44" i="16"/>
  <c r="Y56" i="16"/>
  <c r="Z33" i="16"/>
  <c r="Q96" i="16"/>
  <c r="J28" i="16"/>
  <c r="X90" i="16"/>
  <c r="N28" i="16"/>
  <c r="H110" i="16"/>
  <c r="R112" i="16"/>
  <c r="Z109" i="16"/>
  <c r="AB110" i="16"/>
  <c r="I88" i="16"/>
  <c r="N35" i="16"/>
  <c r="H113" i="16"/>
  <c r="AA55" i="16"/>
  <c r="U113" i="16"/>
  <c r="V83" i="16"/>
  <c r="Z31" i="16"/>
  <c r="Q87" i="16"/>
  <c r="O114" i="16"/>
  <c r="S33" i="16"/>
  <c r="S113" i="16"/>
  <c r="Z87" i="16"/>
  <c r="Z44" i="16"/>
  <c r="Z81" i="16"/>
  <c r="Z50" i="16"/>
  <c r="V56" i="16"/>
  <c r="H106" i="16"/>
  <c r="P15" i="16"/>
  <c r="P101" i="16"/>
  <c r="T19" i="16"/>
  <c r="Y92" i="16"/>
  <c r="Z68" i="16"/>
  <c r="X102" i="16"/>
  <c r="Q31" i="16"/>
  <c r="J46" i="16"/>
  <c r="O82" i="16"/>
  <c r="AC84" i="16"/>
  <c r="V41" i="16"/>
  <c r="I16" i="16"/>
  <c r="V112" i="16"/>
  <c r="H82" i="16"/>
  <c r="O111" i="16"/>
  <c r="U28" i="16"/>
  <c r="U36" i="16"/>
  <c r="V111" i="16"/>
  <c r="Z55" i="16"/>
  <c r="S12" i="16"/>
  <c r="Q91" i="16"/>
  <c r="Z28" i="16"/>
  <c r="AA70" i="16"/>
  <c r="Z48" i="16"/>
  <c r="K113" i="16"/>
  <c r="Z82" i="16"/>
  <c r="Z111" i="16"/>
  <c r="W59" i="16"/>
  <c r="T111" i="16"/>
  <c r="X30" i="16"/>
  <c r="I112" i="16"/>
  <c r="S44" i="16"/>
  <c r="I113" i="16"/>
  <c r="U97" i="16"/>
  <c r="Y53" i="16"/>
  <c r="O19" i="16"/>
  <c r="N109" i="16"/>
  <c r="O34" i="16"/>
  <c r="T87" i="16"/>
  <c r="V86" i="16"/>
  <c r="Z86" i="16"/>
  <c r="J82" i="16"/>
  <c r="Z107" i="16"/>
  <c r="AA82" i="16"/>
  <c r="Y94" i="16"/>
  <c r="V104" i="16"/>
  <c r="R83" i="16"/>
  <c r="Z110" i="16"/>
  <c r="V78" i="16"/>
  <c r="X104" i="16"/>
  <c r="U78" i="16"/>
  <c r="K93" i="16"/>
  <c r="V110" i="16"/>
  <c r="T113" i="16"/>
  <c r="H112" i="16"/>
  <c r="N32" i="16"/>
  <c r="AA110" i="16"/>
  <c r="S111" i="16"/>
  <c r="Z49" i="16"/>
  <c r="X110" i="16"/>
  <c r="W44" i="16"/>
  <c r="Q105" i="16"/>
  <c r="X109" i="16"/>
  <c r="Q111" i="16"/>
  <c r="I110" i="16"/>
  <c r="N113" i="16"/>
  <c r="U101" i="16"/>
  <c r="T15" i="16"/>
  <c r="P97" i="16"/>
  <c r="O93" i="16"/>
  <c r="W91" i="16"/>
  <c r="R110" i="16"/>
  <c r="P80" i="16"/>
  <c r="Z30" i="16"/>
  <c r="Z47" i="16"/>
  <c r="Y106" i="16"/>
  <c r="O112" i="16"/>
  <c r="Q102" i="16"/>
  <c r="T112" i="16"/>
  <c r="S49" i="16"/>
  <c r="W104" i="16"/>
  <c r="J111" i="16"/>
  <c r="W46" i="16"/>
  <c r="V47" i="16"/>
  <c r="R93" i="16"/>
  <c r="X29" i="16"/>
  <c r="I86" i="16"/>
  <c r="R100" i="16"/>
  <c r="R38" i="16"/>
  <c r="P111" i="16"/>
  <c r="Q112" i="16"/>
  <c r="Z94" i="16"/>
  <c r="J112" i="16"/>
  <c r="V16" i="16"/>
  <c r="Y112" i="16"/>
  <c r="P113" i="16"/>
  <c r="AA71" i="16"/>
  <c r="Z39" i="16"/>
  <c r="W113" i="16"/>
  <c r="S114" i="16"/>
  <c r="U44" i="16"/>
  <c r="U111" i="16"/>
  <c r="R113" i="16"/>
  <c r="U53" i="16"/>
  <c r="V79" i="16"/>
  <c r="X113" i="16"/>
  <c r="O79" i="16"/>
  <c r="Q28" i="16"/>
  <c r="AA36" i="16"/>
  <c r="AA31" i="16"/>
  <c r="AA42" i="16"/>
  <c r="AA52" i="16"/>
  <c r="R89" i="16"/>
  <c r="W40" i="16"/>
  <c r="P31" i="16"/>
  <c r="AB65" i="16"/>
  <c r="Q94" i="16"/>
  <c r="Q101" i="16"/>
  <c r="Q40" i="16"/>
  <c r="R103" i="16"/>
  <c r="P35" i="16"/>
  <c r="W43" i="16"/>
  <c r="S37" i="16"/>
  <c r="Q80" i="16"/>
  <c r="V11" i="16"/>
  <c r="S47" i="16"/>
  <c r="S78" i="16"/>
  <c r="H101" i="16"/>
  <c r="AB20" i="16"/>
  <c r="J80" i="16"/>
  <c r="T97" i="16"/>
  <c r="R19" i="16"/>
  <c r="I43" i="16"/>
  <c r="U37" i="16"/>
  <c r="I83" i="16"/>
  <c r="Y16" i="16"/>
  <c r="H84" i="16"/>
  <c r="R12" i="16"/>
  <c r="H91" i="16"/>
  <c r="W79" i="16"/>
  <c r="I79" i="16"/>
  <c r="J90" i="16"/>
  <c r="X61" i="16"/>
  <c r="T91" i="16"/>
  <c r="AB100" i="16"/>
  <c r="J102" i="16"/>
  <c r="Q108" i="16"/>
  <c r="AC43" i="16"/>
  <c r="I97" i="16"/>
  <c r="X83" i="16"/>
  <c r="R39" i="16"/>
  <c r="T109" i="16"/>
  <c r="W99" i="16"/>
  <c r="J97" i="16"/>
  <c r="AC63" i="16"/>
  <c r="H34" i="16"/>
  <c r="Q104" i="16"/>
  <c r="O97" i="16"/>
  <c r="AC35" i="16"/>
  <c r="U94" i="16"/>
  <c r="J96" i="16"/>
  <c r="I107" i="16"/>
  <c r="X92" i="16"/>
  <c r="Y40" i="16"/>
  <c r="I37" i="16"/>
  <c r="Z56" i="16"/>
  <c r="Y82" i="16"/>
  <c r="AA62" i="16"/>
  <c r="R20" i="16"/>
  <c r="U31" i="16"/>
  <c r="T102" i="16"/>
  <c r="Y84" i="16"/>
  <c r="AC80" i="16"/>
  <c r="AC88" i="16"/>
  <c r="T100" i="16"/>
  <c r="W88" i="16"/>
  <c r="I82" i="16"/>
  <c r="I47" i="16"/>
  <c r="V53" i="16"/>
  <c r="U79" i="16"/>
  <c r="AB67" i="16"/>
  <c r="N79" i="16"/>
  <c r="R44" i="16"/>
  <c r="P95" i="16"/>
  <c r="H83" i="16"/>
  <c r="W103" i="16"/>
  <c r="S105" i="16"/>
  <c r="U100" i="16"/>
  <c r="N89" i="16"/>
  <c r="H29" i="16"/>
  <c r="P105" i="16"/>
  <c r="P83" i="16"/>
  <c r="W102" i="16"/>
  <c r="R35" i="16"/>
  <c r="P32" i="16"/>
  <c r="V98" i="16"/>
  <c r="Y104" i="16"/>
  <c r="AC106" i="16"/>
  <c r="X16" i="16"/>
  <c r="T96" i="16"/>
  <c r="O20" i="16"/>
  <c r="AC95" i="16"/>
  <c r="I98" i="16"/>
  <c r="Q90" i="16"/>
  <c r="I40" i="16"/>
  <c r="W86" i="16"/>
  <c r="H105" i="16"/>
  <c r="X47" i="16"/>
  <c r="H86" i="16"/>
  <c r="Q20" i="16"/>
  <c r="R80" i="16"/>
  <c r="O36" i="16"/>
  <c r="V40" i="16"/>
  <c r="T40" i="16"/>
  <c r="U107" i="16"/>
  <c r="I78" i="16"/>
  <c r="H98" i="16"/>
  <c r="Z37" i="16"/>
  <c r="Z85" i="16"/>
  <c r="X84" i="16"/>
  <c r="I80" i="16"/>
  <c r="I31" i="16"/>
  <c r="O28" i="16"/>
  <c r="R111" i="16"/>
  <c r="U112" i="16"/>
  <c r="O49" i="16"/>
  <c r="P48" i="16"/>
  <c r="Q49" i="16"/>
  <c r="Q46" i="16"/>
  <c r="Q45" i="16"/>
  <c r="Q47" i="16"/>
  <c r="Q51" i="16"/>
  <c r="O52" i="16"/>
  <c r="P53" i="16"/>
  <c r="S54" i="16"/>
  <c r="O54" i="16"/>
  <c r="S51" i="16"/>
  <c r="P55" i="16"/>
  <c r="S55" i="16"/>
  <c r="S53" i="16"/>
  <c r="S52" i="16"/>
  <c r="S50" i="16"/>
  <c r="Q56" i="16"/>
  <c r="S56" i="16"/>
  <c r="S58" i="16"/>
  <c r="O59" i="16"/>
  <c r="O15" i="16"/>
  <c r="P103" i="16"/>
  <c r="J104" i="16"/>
  <c r="AA44" i="16"/>
  <c r="R107" i="16"/>
  <c r="T42" i="16"/>
  <c r="Y39" i="16"/>
  <c r="X99" i="16"/>
  <c r="S39" i="16"/>
  <c r="V31" i="16"/>
  <c r="Y64" i="16"/>
  <c r="X97" i="16"/>
  <c r="R46" i="16"/>
  <c r="Q42" i="16"/>
  <c r="T108" i="16"/>
  <c r="AC61" i="16"/>
  <c r="Q88" i="16"/>
  <c r="S36" i="16"/>
  <c r="H30" i="16"/>
  <c r="Q78" i="16"/>
  <c r="W51" i="16"/>
  <c r="X51" i="16"/>
  <c r="AA84" i="16"/>
  <c r="AA104" i="16"/>
  <c r="I104" i="16"/>
  <c r="Z92" i="16"/>
  <c r="Q11" i="16"/>
  <c r="R11" i="16"/>
  <c r="R99" i="16"/>
  <c r="J31" i="16"/>
  <c r="O102" i="16"/>
  <c r="T41" i="16"/>
  <c r="T16" i="16"/>
  <c r="O35" i="16"/>
  <c r="Q89" i="16"/>
  <c r="W47" i="16"/>
  <c r="H94" i="16"/>
  <c r="R28" i="16"/>
  <c r="W49" i="16"/>
  <c r="X82" i="16"/>
  <c r="I100" i="16"/>
  <c r="AC70" i="16"/>
  <c r="AC37" i="16"/>
  <c r="Y36" i="16"/>
  <c r="Y42" i="16"/>
  <c r="S41" i="16"/>
  <c r="U88" i="16"/>
  <c r="Y102" i="16"/>
  <c r="I91" i="16"/>
  <c r="Y109" i="16"/>
  <c r="X95" i="16"/>
  <c r="N87" i="16"/>
  <c r="J39" i="16"/>
  <c r="Y85" i="16"/>
  <c r="Q29" i="16"/>
  <c r="U40" i="16"/>
  <c r="S79" i="16"/>
  <c r="J86" i="16"/>
  <c r="I99" i="16"/>
  <c r="I34" i="16"/>
  <c r="O31" i="16"/>
  <c r="S16" i="16"/>
  <c r="R29" i="16"/>
  <c r="H107" i="16"/>
  <c r="S96" i="16"/>
  <c r="N31" i="16"/>
  <c r="R79" i="16"/>
  <c r="V88" i="16"/>
  <c r="I84" i="16"/>
  <c r="W87" i="16"/>
  <c r="P34" i="16"/>
  <c r="AA41" i="16"/>
  <c r="AA49" i="16"/>
  <c r="AC57" i="16"/>
  <c r="O101" i="16"/>
  <c r="J34" i="16"/>
  <c r="J92" i="16"/>
  <c r="I44" i="16"/>
  <c r="Y87" i="16"/>
  <c r="J78" i="16"/>
  <c r="AC42" i="16"/>
  <c r="O87" i="16"/>
  <c r="N103" i="16"/>
  <c r="W95" i="16"/>
  <c r="J45" i="16"/>
  <c r="Q100" i="16"/>
  <c r="S98" i="16"/>
  <c r="I19" i="16"/>
  <c r="W58" i="16"/>
  <c r="AC104" i="16"/>
  <c r="AC93" i="16"/>
  <c r="Y57" i="16"/>
  <c r="AA86" i="16"/>
  <c r="AC67" i="16"/>
  <c r="J16" i="16"/>
  <c r="AC15" i="16"/>
  <c r="R36" i="16"/>
  <c r="Y43" i="16"/>
  <c r="T37" i="16"/>
  <c r="U39" i="16"/>
  <c r="Q37" i="16"/>
  <c r="W52" i="16"/>
  <c r="O106" i="16"/>
  <c r="J108" i="16"/>
  <c r="J43" i="16"/>
  <c r="X34" i="16"/>
  <c r="W93" i="16"/>
  <c r="J85" i="16"/>
  <c r="AC64" i="16"/>
  <c r="W32" i="16"/>
  <c r="AC90" i="16"/>
  <c r="V29" i="16"/>
  <c r="H89" i="16"/>
  <c r="I92" i="16"/>
  <c r="Z99" i="16"/>
  <c r="Z20" i="16"/>
  <c r="AC44" i="16"/>
  <c r="Z108" i="16"/>
  <c r="AB16" i="16"/>
  <c r="AA43" i="16"/>
  <c r="AA35" i="16"/>
  <c r="AA80" i="16"/>
  <c r="AA46" i="16"/>
  <c r="AA50" i="16"/>
  <c r="S29" i="16"/>
  <c r="U45" i="16"/>
  <c r="S102" i="16"/>
  <c r="AB84" i="16"/>
  <c r="R97" i="16"/>
  <c r="N33" i="16"/>
  <c r="W80" i="16"/>
  <c r="I39" i="16"/>
  <c r="P38" i="16"/>
  <c r="S108" i="16"/>
  <c r="V84" i="16"/>
  <c r="H95" i="16"/>
  <c r="S15" i="16"/>
  <c r="V87" i="16"/>
  <c r="N84" i="16"/>
  <c r="I108" i="16"/>
  <c r="T106" i="16"/>
  <c r="U110" i="16"/>
  <c r="AC50" i="16"/>
  <c r="X20" i="16"/>
  <c r="H28" i="16"/>
  <c r="R88" i="16"/>
  <c r="T95" i="16"/>
  <c r="Y103" i="16"/>
  <c r="AB108" i="16"/>
  <c r="I102" i="16"/>
  <c r="U103" i="16"/>
  <c r="Y14" i="16"/>
  <c r="K18" i="16"/>
  <c r="AB18" i="16"/>
  <c r="J18" i="16"/>
  <c r="J14" i="16"/>
  <c r="Z14" i="16"/>
  <c r="S14" i="16"/>
  <c r="AC18" i="16"/>
  <c r="T18" i="16"/>
  <c r="O10" i="16"/>
  <c r="H10" i="16"/>
  <c r="R10" i="16"/>
  <c r="V18" i="16"/>
  <c r="W18" i="16"/>
  <c r="I14" i="16"/>
  <c r="Q14" i="16"/>
  <c r="P14" i="16"/>
  <c r="O14" i="16"/>
  <c r="Q10" i="16"/>
  <c r="U10" i="16"/>
  <c r="T10" i="16"/>
  <c r="Q18" i="16"/>
  <c r="V14" i="16"/>
  <c r="P18" i="16"/>
  <c r="H14" i="16"/>
  <c r="V10" i="16"/>
  <c r="S10" i="16"/>
  <c r="Y18" i="16"/>
  <c r="H18" i="16"/>
  <c r="N18" i="16"/>
  <c r="W14" i="16"/>
  <c r="N14" i="16"/>
  <c r="X18" i="16"/>
  <c r="AB14" i="16"/>
  <c r="U14" i="16"/>
  <c r="X14" i="16"/>
  <c r="N10" i="16"/>
  <c r="O18" i="16"/>
  <c r="R14" i="16"/>
  <c r="AA14" i="16"/>
  <c r="I10" i="16"/>
  <c r="K14" i="16"/>
  <c r="AC14" i="16"/>
  <c r="Z18" i="16"/>
  <c r="S18" i="16"/>
  <c r="P10" i="16"/>
  <c r="U18" i="16"/>
  <c r="R18" i="16"/>
  <c r="T14" i="16"/>
  <c r="I18" i="16"/>
  <c r="P50" i="16"/>
  <c r="O56" i="16"/>
  <c r="U57" i="16"/>
  <c r="T68" i="16"/>
  <c r="X72" i="16"/>
  <c r="H48" i="16"/>
  <c r="N52" i="16"/>
  <c r="N55" i="16"/>
  <c r="R58" i="16"/>
  <c r="Z73" i="16"/>
  <c r="Z125" i="16"/>
  <c r="V125" i="16"/>
  <c r="V25" i="16"/>
  <c r="K124" i="16"/>
  <c r="O51" i="16"/>
  <c r="P54" i="16"/>
  <c r="P56" i="16"/>
  <c r="T58" i="16"/>
  <c r="O58" i="16"/>
  <c r="Q58" i="16"/>
  <c r="U65" i="16"/>
  <c r="W67" i="16"/>
  <c r="S68" i="16"/>
  <c r="P69" i="16"/>
  <c r="P70" i="16"/>
  <c r="S72" i="16"/>
  <c r="X71" i="16"/>
  <c r="N42" i="16"/>
  <c r="P40" i="16"/>
  <c r="N49" i="16"/>
  <c r="H50" i="16"/>
  <c r="H53" i="16"/>
  <c r="H52" i="16"/>
  <c r="R53" i="16"/>
  <c r="R55" i="16"/>
  <c r="I54" i="16"/>
  <c r="I56" i="16"/>
  <c r="H56" i="16"/>
  <c r="H59" i="16"/>
  <c r="Z74" i="16"/>
  <c r="K125" i="16"/>
  <c r="V12" i="16"/>
  <c r="H125" i="16"/>
  <c r="I25" i="16"/>
  <c r="Q48" i="16"/>
  <c r="O57" i="16"/>
  <c r="T60" i="16"/>
  <c r="Q68" i="16"/>
  <c r="Q71" i="16"/>
  <c r="H46" i="16"/>
  <c r="R51" i="16"/>
  <c r="H54" i="16"/>
  <c r="R56" i="16"/>
  <c r="I125" i="16"/>
  <c r="P51" i="16"/>
  <c r="T56" i="16"/>
  <c r="U59" i="16"/>
  <c r="O67" i="16"/>
  <c r="X67" i="16"/>
  <c r="N46" i="16"/>
  <c r="H51" i="16"/>
  <c r="I50" i="16"/>
  <c r="H57" i="16"/>
  <c r="N59" i="16"/>
  <c r="K74" i="16"/>
  <c r="J125" i="16"/>
  <c r="O53" i="16"/>
  <c r="P58" i="16"/>
  <c r="Q61" i="16"/>
  <c r="W68" i="16"/>
  <c r="X68" i="16"/>
  <c r="N47" i="16"/>
  <c r="W12" i="16"/>
  <c r="P42" i="16"/>
  <c r="O48" i="16"/>
  <c r="P49" i="16"/>
  <c r="Q50" i="16"/>
  <c r="Q53" i="16"/>
  <c r="Q55" i="16"/>
  <c r="Q57" i="16"/>
  <c r="T54" i="16"/>
  <c r="Q59" i="16"/>
  <c r="T61" i="16"/>
  <c r="Q66" i="16"/>
  <c r="W64" i="16"/>
  <c r="W66" i="16"/>
  <c r="S70" i="16"/>
  <c r="Q69" i="16"/>
  <c r="T71" i="16"/>
  <c r="P68" i="16"/>
  <c r="O41" i="16"/>
  <c r="O40" i="16"/>
  <c r="O39" i="16"/>
  <c r="O46" i="16"/>
  <c r="O47" i="16"/>
  <c r="P46" i="16"/>
  <c r="P44" i="16"/>
  <c r="P62" i="16"/>
  <c r="U62" i="16"/>
  <c r="P63" i="16"/>
  <c r="P64" i="16"/>
  <c r="T64" i="16"/>
  <c r="O64" i="16"/>
  <c r="U64" i="16"/>
  <c r="Q64" i="16"/>
  <c r="O63" i="16"/>
  <c r="S64" i="16"/>
  <c r="T63" i="16"/>
  <c r="Q65" i="16"/>
  <c r="P65" i="16"/>
  <c r="T66" i="16"/>
  <c r="T65" i="16"/>
  <c r="S66" i="16"/>
  <c r="Q67" i="16"/>
  <c r="T67" i="16"/>
  <c r="O72" i="16"/>
  <c r="Q72" i="16"/>
  <c r="P72" i="16"/>
  <c r="T72" i="16"/>
  <c r="X73" i="16"/>
  <c r="T73" i="16"/>
  <c r="U73" i="16"/>
  <c r="X74" i="16"/>
  <c r="O74" i="16"/>
  <c r="T74" i="16"/>
  <c r="Q74" i="16"/>
  <c r="S74" i="16"/>
  <c r="W74" i="16"/>
  <c r="P74" i="16"/>
  <c r="W75" i="16"/>
  <c r="X75" i="16"/>
  <c r="T75" i="16"/>
  <c r="Q75" i="16"/>
  <c r="U75" i="16"/>
  <c r="P75" i="16"/>
  <c r="Y75" i="16"/>
  <c r="O75" i="16"/>
  <c r="AA75" i="16"/>
  <c r="V68" i="16"/>
  <c r="J68" i="16"/>
  <c r="O38" i="16"/>
  <c r="H37" i="16"/>
  <c r="N37" i="16"/>
  <c r="H39" i="16"/>
  <c r="N39" i="16"/>
  <c r="H40" i="16"/>
  <c r="N40" i="16"/>
  <c r="H43" i="16"/>
  <c r="N43" i="16"/>
  <c r="N44" i="16"/>
  <c r="H44" i="16"/>
  <c r="H41" i="16"/>
  <c r="N41" i="16"/>
  <c r="O50" i="16"/>
  <c r="P52" i="16"/>
  <c r="Q54" i="16"/>
  <c r="T55" i="16"/>
  <c r="T59" i="16"/>
  <c r="T53" i="16"/>
  <c r="O60" i="16"/>
  <c r="P67" i="16"/>
  <c r="U68" i="16"/>
  <c r="W69" i="16"/>
  <c r="U70" i="16"/>
  <c r="O71" i="16"/>
  <c r="U71" i="16"/>
  <c r="H42" i="16"/>
  <c r="H47" i="16"/>
  <c r="I48" i="16"/>
  <c r="Q43" i="16"/>
  <c r="N53" i="16"/>
  <c r="I52" i="16"/>
  <c r="R50" i="16"/>
  <c r="N54" i="16"/>
  <c r="R54" i="16"/>
  <c r="R57" i="16"/>
  <c r="I58" i="16"/>
  <c r="H58" i="16"/>
  <c r="I59" i="16"/>
  <c r="R59" i="16"/>
  <c r="R61" i="16"/>
  <c r="I61" i="16"/>
  <c r="N60" i="16"/>
  <c r="H60" i="16"/>
  <c r="R60" i="16"/>
  <c r="I60" i="16"/>
  <c r="N61" i="16"/>
  <c r="H61" i="16"/>
  <c r="R62" i="16"/>
  <c r="I62" i="16"/>
  <c r="H62" i="16"/>
  <c r="N62" i="16"/>
  <c r="V60" i="16"/>
  <c r="I63" i="16"/>
  <c r="R63" i="16"/>
  <c r="H63" i="16"/>
  <c r="N63" i="16"/>
  <c r="V59" i="16"/>
  <c r="J59" i="16"/>
  <c r="V62" i="16"/>
  <c r="J62" i="16"/>
  <c r="V64" i="16"/>
  <c r="J64" i="16"/>
  <c r="V61" i="16"/>
  <c r="V58" i="16"/>
  <c r="I64" i="16"/>
  <c r="R64" i="16"/>
  <c r="H64" i="16"/>
  <c r="N64" i="16"/>
  <c r="V63" i="16"/>
  <c r="J65" i="16"/>
  <c r="V65" i="16"/>
  <c r="H65" i="16"/>
  <c r="N65" i="16"/>
  <c r="N66" i="16"/>
  <c r="H66" i="16"/>
  <c r="R66" i="16"/>
  <c r="I66" i="16"/>
  <c r="J66" i="16"/>
  <c r="V66" i="16"/>
  <c r="I65" i="16"/>
  <c r="R65" i="16"/>
  <c r="N67" i="16"/>
  <c r="H67" i="16"/>
  <c r="J67" i="16"/>
  <c r="V67" i="16"/>
  <c r="I67" i="16"/>
  <c r="R67" i="16"/>
  <c r="R68" i="16"/>
  <c r="I68" i="16"/>
  <c r="H68" i="16"/>
  <c r="N68" i="16"/>
  <c r="AB69" i="16"/>
  <c r="R70" i="16"/>
  <c r="I70" i="16"/>
  <c r="I69" i="16"/>
  <c r="R69" i="16"/>
  <c r="J69" i="16"/>
  <c r="V69" i="16"/>
  <c r="H70" i="16"/>
  <c r="N70" i="16"/>
  <c r="V70" i="16"/>
  <c r="J70" i="16"/>
  <c r="H69" i="16"/>
  <c r="N69" i="16"/>
  <c r="I71" i="16"/>
  <c r="R71" i="16"/>
  <c r="J72" i="16"/>
  <c r="V72" i="16"/>
  <c r="N71" i="16"/>
  <c r="H71" i="16"/>
  <c r="V71" i="16"/>
  <c r="J71" i="16"/>
  <c r="N72" i="16"/>
  <c r="H72" i="16"/>
  <c r="R72" i="16"/>
  <c r="I72" i="16"/>
  <c r="V73" i="16"/>
  <c r="J73" i="16"/>
  <c r="N73" i="16"/>
  <c r="H73" i="16"/>
  <c r="R73" i="16"/>
  <c r="I73" i="16"/>
  <c r="J74" i="16"/>
  <c r="V74" i="16"/>
  <c r="H74" i="16"/>
  <c r="N74" i="16"/>
  <c r="R74" i="16"/>
  <c r="I74" i="16"/>
  <c r="R75" i="16"/>
  <c r="I75" i="16"/>
  <c r="H75" i="16"/>
  <c r="Q52" i="16"/>
  <c r="O55" i="16"/>
  <c r="S57" i="16"/>
  <c r="S59" i="16"/>
  <c r="P59" i="16"/>
  <c r="O61" i="16"/>
  <c r="U66" i="16"/>
  <c r="W63" i="16"/>
  <c r="W65" i="16"/>
  <c r="T69" i="16"/>
  <c r="Q70" i="16"/>
  <c r="W71" i="16"/>
  <c r="N38" i="16"/>
  <c r="H45" i="16"/>
  <c r="N48" i="16"/>
  <c r="H49" i="16"/>
  <c r="N50" i="16"/>
  <c r="R52" i="16"/>
  <c r="R48" i="16"/>
  <c r="R49" i="16"/>
  <c r="I55" i="16"/>
  <c r="H55" i="16"/>
  <c r="I57" i="16"/>
  <c r="N56" i="16"/>
  <c r="N58" i="16"/>
  <c r="V75" i="16"/>
  <c r="Z72" i="16"/>
  <c r="Z75" i="16"/>
  <c r="AC74" i="16"/>
  <c r="R108" i="16"/>
  <c r="X89" i="16"/>
  <c r="Q106" i="16"/>
  <c r="X122" i="16"/>
  <c r="T122" i="16"/>
  <c r="N122" i="16"/>
  <c r="R121" i="16"/>
  <c r="P71" i="16"/>
  <c r="S61" i="16"/>
  <c r="Q60" i="16"/>
  <c r="Q44" i="16"/>
  <c r="P57" i="16"/>
  <c r="O43" i="16"/>
  <c r="W62" i="16"/>
  <c r="X66" i="16"/>
  <c r="N45" i="16"/>
  <c r="N51" i="16"/>
  <c r="I53" i="16"/>
  <c r="N57" i="16"/>
  <c r="J75" i="16"/>
  <c r="N125" i="16"/>
  <c r="U25" i="16"/>
  <c r="AC125" i="16"/>
  <c r="AO27" i="16"/>
  <c r="AF27" i="16"/>
  <c r="AR27" i="16"/>
  <c r="AI27" i="16"/>
  <c r="AL27" i="16"/>
  <c r="AA18" i="16"/>
  <c r="AM27" i="16"/>
  <c r="AM127" i="16" s="1"/>
  <c r="AM41" i="14" s="1"/>
  <c r="BO27" i="16"/>
  <c r="BI27" i="16"/>
  <c r="BI127" i="16" s="1"/>
  <c r="BI41" i="14" s="1"/>
  <c r="AG27" i="16"/>
  <c r="AG127" i="16" s="1"/>
  <c r="AG41" i="14" s="1"/>
  <c r="AK27" i="16"/>
  <c r="AK127" i="16" s="1"/>
  <c r="AK41" i="14" s="1"/>
  <c r="BL27" i="16"/>
  <c r="AY27" i="16"/>
  <c r="AY127" i="16" s="1"/>
  <c r="AY41" i="14" s="1"/>
  <c r="AH27" i="16"/>
  <c r="AH127" i="16" s="1"/>
  <c r="AH41" i="14" s="1"/>
  <c r="AS27" i="16"/>
  <c r="AS127" i="16" s="1"/>
  <c r="AS41" i="14" s="1"/>
  <c r="BK27" i="16"/>
  <c r="AJ27" i="16"/>
  <c r="AJ127" i="16" s="1"/>
  <c r="AJ41" i="14" s="1"/>
  <c r="AP27" i="16"/>
  <c r="AP127" i="16" s="1"/>
  <c r="AP41" i="14" s="1"/>
  <c r="AQ27" i="16"/>
  <c r="AQ127" i="16" s="1"/>
  <c r="AQ41" i="14" s="1"/>
  <c r="BE27" i="16"/>
  <c r="BE127" i="16" s="1"/>
  <c r="BE41" i="14" s="1"/>
  <c r="K28" i="16"/>
  <c r="S107" i="16"/>
  <c r="N19" i="16"/>
  <c r="S46" i="16"/>
  <c r="T39" i="16"/>
  <c r="T20" i="16"/>
  <c r="Y20" i="16"/>
  <c r="W48" i="16"/>
  <c r="U50" i="16"/>
  <c r="I32" i="16"/>
  <c r="Z16" i="16"/>
  <c r="T47" i="16"/>
  <c r="AB104" i="16"/>
  <c r="Q30" i="16"/>
  <c r="Q93" i="16"/>
  <c r="Z38" i="16"/>
  <c r="N106" i="16"/>
  <c r="V94" i="16"/>
  <c r="V102" i="16"/>
  <c r="V39" i="16"/>
  <c r="Y99" i="16"/>
  <c r="N85" i="16"/>
  <c r="O100" i="16"/>
  <c r="T32" i="16"/>
  <c r="U52" i="16"/>
  <c r="P36" i="16"/>
  <c r="O90" i="16"/>
  <c r="P110" i="16"/>
  <c r="N34" i="16"/>
  <c r="U15" i="16"/>
  <c r="V37" i="16"/>
  <c r="AA45" i="16"/>
  <c r="H78" i="16"/>
  <c r="V96" i="16"/>
  <c r="K82" i="16"/>
  <c r="K37" i="16"/>
  <c r="I114" i="16"/>
  <c r="J113" i="16"/>
  <c r="X115" i="16"/>
  <c r="H115" i="16"/>
  <c r="Z71" i="16"/>
  <c r="K29" i="16"/>
  <c r="K86" i="16"/>
  <c r="AB54" i="16"/>
  <c r="AB57" i="16"/>
  <c r="AB80" i="16"/>
  <c r="W117" i="16"/>
  <c r="AA15" i="16"/>
  <c r="AB113" i="16"/>
  <c r="AA125" i="16"/>
  <c r="AB125" i="16"/>
  <c r="AB124" i="16"/>
  <c r="K122" i="16"/>
  <c r="P125" i="16"/>
  <c r="H123" i="16"/>
  <c r="O125" i="16"/>
  <c r="P61" i="16"/>
  <c r="U58" i="16"/>
  <c r="T62" i="16"/>
  <c r="U63" i="16"/>
  <c r="W73" i="16"/>
  <c r="P73" i="16"/>
  <c r="Y70" i="16"/>
  <c r="W101" i="16"/>
  <c r="J79" i="16"/>
  <c r="Z101" i="16"/>
  <c r="Z97" i="16"/>
  <c r="Y62" i="16"/>
  <c r="Z105" i="16"/>
  <c r="X64" i="16"/>
  <c r="Z89" i="16"/>
  <c r="J38" i="16"/>
  <c r="Y65" i="16"/>
  <c r="U32" i="16"/>
  <c r="U11" i="16"/>
  <c r="J29" i="16"/>
  <c r="J106" i="16"/>
  <c r="J42" i="16"/>
  <c r="J37" i="16"/>
  <c r="J41" i="16"/>
  <c r="J32" i="16"/>
  <c r="Z83" i="16"/>
  <c r="Z35" i="16"/>
  <c r="J33" i="16"/>
  <c r="J35" i="16"/>
  <c r="J36" i="16"/>
  <c r="Y108" i="16"/>
  <c r="J44" i="16"/>
  <c r="J40" i="16"/>
  <c r="J30" i="16"/>
  <c r="X33" i="16"/>
  <c r="AC52" i="16"/>
  <c r="X28" i="16"/>
  <c r="X31" i="16"/>
  <c r="X79" i="16"/>
  <c r="O16" i="16"/>
  <c r="AC101" i="16"/>
  <c r="AC38" i="16"/>
  <c r="U95" i="16"/>
  <c r="AC92" i="16"/>
  <c r="Z60" i="16"/>
  <c r="K16" i="16"/>
  <c r="AC79" i="16"/>
  <c r="R90" i="16"/>
  <c r="Z91" i="16"/>
  <c r="U105" i="16"/>
  <c r="J11" i="16"/>
  <c r="AA100" i="16"/>
  <c r="AC32" i="16"/>
  <c r="AC49" i="16"/>
  <c r="V100" i="16"/>
  <c r="AC40" i="16"/>
  <c r="Y83" i="16"/>
  <c r="Z95" i="16"/>
  <c r="Y51" i="16"/>
  <c r="J15" i="16"/>
  <c r="AC81" i="16"/>
  <c r="AC58" i="16"/>
  <c r="W37" i="16"/>
  <c r="AC30" i="16"/>
  <c r="AC85" i="16"/>
  <c r="AC108" i="16"/>
  <c r="U42" i="16"/>
  <c r="Q33" i="16"/>
  <c r="AC19" i="16"/>
  <c r="X49" i="16"/>
  <c r="AC86" i="16"/>
  <c r="Z53" i="16"/>
  <c r="Q81" i="16"/>
  <c r="AC107" i="16"/>
  <c r="U106" i="16"/>
  <c r="Z102" i="16"/>
  <c r="AC66" i="16"/>
  <c r="W53" i="16"/>
  <c r="AC96" i="16"/>
  <c r="AC102" i="16"/>
  <c r="X103" i="16"/>
  <c r="AA98" i="16"/>
  <c r="AA94" i="16"/>
  <c r="AC69" i="16"/>
  <c r="Q34" i="16"/>
  <c r="U90" i="16"/>
  <c r="Z62" i="16"/>
  <c r="P39" i="16"/>
  <c r="X80" i="16"/>
  <c r="Z58" i="16"/>
  <c r="Z104" i="16"/>
  <c r="AC100" i="16"/>
  <c r="P92" i="16"/>
  <c r="AA57" i="16"/>
  <c r="AC59" i="16"/>
  <c r="AA61" i="16"/>
  <c r="AA103" i="16"/>
  <c r="O103" i="16"/>
  <c r="AC54" i="16"/>
  <c r="AA16" i="16"/>
  <c r="Z103" i="16"/>
  <c r="AC45" i="16"/>
  <c r="N30" i="16"/>
  <c r="W94" i="16"/>
  <c r="X78" i="16"/>
  <c r="S84" i="16"/>
  <c r="O84" i="16"/>
  <c r="AC78" i="16"/>
  <c r="X55" i="16"/>
  <c r="W35" i="16"/>
  <c r="V57" i="16"/>
  <c r="N91" i="16"/>
  <c r="Q39" i="16"/>
  <c r="T90" i="16"/>
  <c r="R41" i="16"/>
  <c r="T84" i="16"/>
  <c r="S90" i="16"/>
  <c r="T29" i="16"/>
  <c r="P87" i="16"/>
  <c r="Q19" i="16"/>
  <c r="H31" i="16"/>
  <c r="P30" i="16"/>
  <c r="O78" i="16"/>
  <c r="H109" i="16"/>
  <c r="R15" i="16"/>
  <c r="U102" i="16"/>
  <c r="V15" i="16"/>
  <c r="P12" i="16"/>
  <c r="R92" i="16"/>
  <c r="U20" i="16"/>
  <c r="S88" i="16"/>
  <c r="S19" i="16"/>
  <c r="H104" i="16"/>
  <c r="J84" i="16"/>
  <c r="Y49" i="16"/>
  <c r="X45" i="16"/>
  <c r="T79" i="16"/>
  <c r="I29" i="16"/>
  <c r="X107" i="16"/>
  <c r="V45" i="16"/>
  <c r="Q41" i="16"/>
  <c r="J81" i="16"/>
  <c r="Y93" i="16"/>
  <c r="R91" i="16"/>
  <c r="W84" i="16"/>
  <c r="T85" i="16"/>
  <c r="Y58" i="16"/>
  <c r="Y79" i="16"/>
  <c r="W28" i="16"/>
  <c r="AC62" i="16"/>
  <c r="W33" i="16"/>
  <c r="Y81" i="16"/>
  <c r="U98" i="16"/>
  <c r="P91" i="16"/>
  <c r="X96" i="16"/>
  <c r="V108" i="16"/>
  <c r="S109" i="16"/>
  <c r="P106" i="16"/>
  <c r="O25" i="16"/>
  <c r="T78" i="16"/>
  <c r="AC83" i="16"/>
  <c r="AC97" i="16"/>
  <c r="I94" i="16"/>
  <c r="T49" i="16"/>
  <c r="P109" i="16"/>
  <c r="X32" i="16"/>
  <c r="AB94" i="16"/>
  <c r="R94" i="16"/>
  <c r="W107" i="16"/>
  <c r="S87" i="16"/>
  <c r="T43" i="16"/>
  <c r="R105" i="16"/>
  <c r="I109" i="16"/>
  <c r="P94" i="16"/>
  <c r="H15" i="16"/>
  <c r="U81" i="16"/>
  <c r="X37" i="16"/>
  <c r="H108" i="16"/>
  <c r="N95" i="16"/>
  <c r="P84" i="16"/>
  <c r="S40" i="16"/>
  <c r="V46" i="16"/>
  <c r="R95" i="16"/>
  <c r="V81" i="16"/>
  <c r="T92" i="16"/>
  <c r="T36" i="16"/>
  <c r="S81" i="16"/>
  <c r="S80" i="16"/>
  <c r="U29" i="16"/>
  <c r="I87" i="16"/>
  <c r="I89" i="16"/>
  <c r="Y105" i="16"/>
  <c r="S82" i="16"/>
  <c r="X56" i="16"/>
  <c r="H96" i="16"/>
  <c r="Y100" i="16"/>
  <c r="Q12" i="16"/>
  <c r="Q32" i="16"/>
  <c r="N20" i="16"/>
  <c r="U41" i="16"/>
  <c r="V93" i="16"/>
  <c r="X108" i="16"/>
  <c r="W29" i="16"/>
  <c r="U43" i="16"/>
  <c r="N97" i="16"/>
  <c r="V92" i="16"/>
  <c r="I93" i="16"/>
  <c r="U46" i="16"/>
  <c r="S86" i="16"/>
  <c r="R87" i="16"/>
  <c r="P100" i="16"/>
  <c r="W60" i="16"/>
  <c r="Z67" i="16"/>
  <c r="I85" i="16"/>
  <c r="Y96" i="16"/>
  <c r="N92" i="16"/>
  <c r="Y88" i="16"/>
  <c r="H100" i="16"/>
  <c r="J103" i="16"/>
  <c r="W16" i="16"/>
  <c r="H103" i="16"/>
  <c r="T28" i="16"/>
  <c r="AC39" i="16"/>
  <c r="V89" i="16"/>
  <c r="V38" i="16"/>
  <c r="W20" i="16"/>
  <c r="J95" i="16"/>
  <c r="T93" i="16"/>
  <c r="V32" i="16"/>
  <c r="O94" i="16"/>
  <c r="T80" i="16"/>
  <c r="S43" i="16"/>
  <c r="O95" i="16"/>
  <c r="P33" i="16"/>
  <c r="AA33" i="16"/>
  <c r="AA40" i="16"/>
  <c r="AA37" i="16"/>
  <c r="AA79" i="16"/>
  <c r="AA81" i="16"/>
  <c r="AA83" i="16"/>
  <c r="AA85" i="16"/>
  <c r="AA89" i="16"/>
  <c r="AA87" i="16"/>
  <c r="T52" i="16"/>
  <c r="N15" i="16"/>
  <c r="O109" i="16"/>
  <c r="T89" i="16"/>
  <c r="S85" i="16"/>
  <c r="AC105" i="16"/>
  <c r="AC47" i="16"/>
  <c r="V109" i="16"/>
  <c r="Y86" i="16"/>
  <c r="J48" i="16"/>
  <c r="N100" i="16"/>
  <c r="H99" i="16"/>
  <c r="O83" i="16"/>
  <c r="N101" i="16"/>
  <c r="Y41" i="16"/>
  <c r="V33" i="16"/>
  <c r="S32" i="16"/>
  <c r="N90" i="16"/>
  <c r="U104" i="16"/>
  <c r="X106" i="16"/>
  <c r="X94" i="16"/>
  <c r="P102" i="16"/>
  <c r="T103" i="16"/>
  <c r="U86" i="16"/>
  <c r="R31" i="16"/>
  <c r="R98" i="16"/>
  <c r="AB90" i="16"/>
  <c r="AB78" i="16"/>
  <c r="AB97" i="16"/>
  <c r="AB98" i="16"/>
  <c r="AB53" i="16"/>
  <c r="X114" i="16"/>
  <c r="AB46" i="16"/>
  <c r="AB92" i="16"/>
  <c r="N115" i="16"/>
  <c r="I115" i="16"/>
  <c r="Q114" i="16"/>
  <c r="AA72" i="16"/>
  <c r="Y115" i="16"/>
  <c r="J115" i="16"/>
  <c r="K32" i="16"/>
  <c r="K44" i="16"/>
  <c r="K79" i="16"/>
  <c r="K47" i="16"/>
  <c r="K80" i="16"/>
  <c r="K48" i="16"/>
  <c r="K85" i="16"/>
  <c r="K89" i="16"/>
  <c r="AB61" i="16"/>
  <c r="AB11" i="16"/>
  <c r="AA73" i="16"/>
  <c r="AA53" i="16"/>
  <c r="AA56" i="16"/>
  <c r="X101" i="16"/>
  <c r="Y11" i="16"/>
  <c r="X19" i="16"/>
  <c r="AC48" i="16"/>
  <c r="X15" i="16"/>
  <c r="Y54" i="16"/>
  <c r="AC82" i="16"/>
  <c r="AC56" i="16"/>
  <c r="Z100" i="16"/>
  <c r="S92" i="16"/>
  <c r="J19" i="16"/>
  <c r="AC103" i="16"/>
  <c r="AC51" i="16"/>
  <c r="AC91" i="16"/>
  <c r="Y59" i="16"/>
  <c r="X35" i="16"/>
  <c r="Y48" i="16"/>
  <c r="J105" i="16"/>
  <c r="V43" i="16"/>
  <c r="R81" i="16"/>
  <c r="J98" i="16"/>
  <c r="V107" i="16"/>
  <c r="AC46" i="16"/>
  <c r="W97" i="16"/>
  <c r="O86" i="16"/>
  <c r="R102" i="16"/>
  <c r="J89" i="16"/>
  <c r="X62" i="16"/>
  <c r="S89" i="16"/>
  <c r="P37" i="16"/>
  <c r="S83" i="16"/>
  <c r="W36" i="16"/>
  <c r="Q85" i="16"/>
  <c r="J47" i="16"/>
  <c r="W92" i="16"/>
  <c r="O104" i="16"/>
  <c r="V34" i="16"/>
  <c r="N81" i="16"/>
  <c r="Q35" i="16"/>
  <c r="W105" i="16"/>
  <c r="J94" i="16"/>
  <c r="Y38" i="16"/>
  <c r="X43" i="16"/>
  <c r="S101" i="16"/>
  <c r="AC94" i="16"/>
  <c r="V99" i="16"/>
  <c r="X52" i="16"/>
  <c r="X44" i="16"/>
  <c r="Q97" i="16"/>
  <c r="S93" i="16"/>
  <c r="U91" i="16"/>
  <c r="N80" i="16"/>
  <c r="R40" i="16"/>
  <c r="P104" i="16"/>
  <c r="P99" i="16"/>
  <c r="O37" i="16"/>
  <c r="V55" i="16"/>
  <c r="Q109" i="16"/>
  <c r="N82" i="16"/>
  <c r="K20" i="16"/>
  <c r="H87" i="16"/>
  <c r="N78" i="16"/>
  <c r="V35" i="16"/>
  <c r="Z84" i="16"/>
  <c r="P90" i="16"/>
  <c r="N11" i="16"/>
  <c r="V42" i="16"/>
  <c r="I105" i="16"/>
  <c r="R85" i="16"/>
  <c r="U109" i="16"/>
  <c r="AC34" i="16"/>
  <c r="I11" i="16"/>
  <c r="O32" i="16"/>
  <c r="N96" i="16"/>
  <c r="W30" i="16"/>
  <c r="V19" i="16"/>
  <c r="R86" i="16"/>
  <c r="U99" i="16"/>
  <c r="I33" i="16"/>
  <c r="X42" i="16"/>
  <c r="O89" i="16"/>
  <c r="U33" i="16"/>
  <c r="S97" i="16"/>
  <c r="Q82" i="16"/>
  <c r="Q99" i="16"/>
  <c r="Z40" i="16"/>
  <c r="N36" i="16"/>
  <c r="I95" i="16"/>
  <c r="R101" i="16"/>
  <c r="V85" i="16"/>
  <c r="H79" i="16"/>
  <c r="T46" i="16"/>
  <c r="V95" i="16"/>
  <c r="AC55" i="16"/>
  <c r="N12" i="16"/>
  <c r="P29" i="16"/>
  <c r="T34" i="16"/>
  <c r="N94" i="16"/>
  <c r="V30" i="16"/>
  <c r="T83" i="16"/>
  <c r="Y45" i="16"/>
  <c r="AC87" i="16"/>
  <c r="AA29" i="16"/>
  <c r="AA48" i="16"/>
  <c r="AA47" i="16"/>
  <c r="J107" i="16"/>
  <c r="X85" i="16"/>
  <c r="S31" i="16"/>
  <c r="Y30" i="16"/>
  <c r="AB88" i="16"/>
  <c r="AC53" i="16"/>
  <c r="N99" i="16"/>
  <c r="K40" i="16"/>
  <c r="K35" i="16"/>
  <c r="R114" i="16"/>
  <c r="W116" i="16"/>
  <c r="AA78" i="16"/>
  <c r="N114" i="16"/>
  <c r="V114" i="16"/>
  <c r="S115" i="16"/>
  <c r="P115" i="16"/>
  <c r="U115" i="16"/>
  <c r="V115" i="16"/>
  <c r="AB91" i="16"/>
  <c r="AB59" i="16"/>
  <c r="K103" i="16"/>
  <c r="K41" i="16"/>
  <c r="K33" i="16"/>
  <c r="K83" i="16"/>
  <c r="AB95" i="16"/>
  <c r="W114" i="16"/>
  <c r="AB28" i="16"/>
  <c r="O115" i="16"/>
  <c r="S117" i="16"/>
  <c r="AB38" i="16"/>
  <c r="AB116" i="16"/>
  <c r="X117" i="16"/>
  <c r="V116" i="16"/>
  <c r="AB35" i="16"/>
  <c r="AB109" i="16"/>
  <c r="AA19" i="16"/>
  <c r="U117" i="16"/>
  <c r="AB31" i="16"/>
  <c r="AB42" i="16"/>
  <c r="AB81" i="16"/>
  <c r="AB82" i="16"/>
  <c r="AA116" i="16"/>
  <c r="AB106" i="16"/>
  <c r="T12" i="16"/>
  <c r="H116" i="16"/>
  <c r="AB101" i="16"/>
  <c r="AB103" i="16"/>
  <c r="AB62" i="16"/>
  <c r="AA115" i="16"/>
  <c r="AA54" i="16"/>
  <c r="K116" i="16"/>
  <c r="AC114" i="16"/>
  <c r="AB107" i="16"/>
  <c r="AA58" i="16"/>
  <c r="AB105" i="16"/>
  <c r="O117" i="16"/>
  <c r="AB115" i="16"/>
  <c r="AB29" i="16"/>
  <c r="AB117" i="16"/>
  <c r="AB99" i="16"/>
  <c r="Q116" i="16"/>
  <c r="Z117" i="16"/>
  <c r="AB49" i="16"/>
  <c r="AB89" i="16"/>
  <c r="K11" i="16"/>
  <c r="AB51" i="16"/>
  <c r="Z118" i="16"/>
  <c r="K109" i="16"/>
  <c r="P118" i="16"/>
  <c r="O118" i="16"/>
  <c r="AB58" i="16"/>
  <c r="N117" i="16"/>
  <c r="J117" i="16"/>
  <c r="AB79" i="16"/>
  <c r="K36" i="16"/>
  <c r="V117" i="16"/>
  <c r="S118" i="16"/>
  <c r="AA117" i="16"/>
  <c r="W118" i="16"/>
  <c r="AB55" i="16"/>
  <c r="AB44" i="16"/>
  <c r="AB85" i="16"/>
  <c r="AB32" i="16"/>
  <c r="K87" i="16"/>
  <c r="N118" i="16"/>
  <c r="V118" i="16"/>
  <c r="AB83" i="16"/>
  <c r="Q118" i="16"/>
  <c r="T118" i="16"/>
  <c r="K117" i="16"/>
  <c r="U118" i="16"/>
  <c r="I118" i="16"/>
  <c r="I117" i="16"/>
  <c r="K97" i="16"/>
  <c r="AB34" i="16"/>
  <c r="R117" i="16"/>
  <c r="K84" i="16"/>
  <c r="K50" i="16"/>
  <c r="Y118" i="16"/>
  <c r="H117" i="16"/>
  <c r="K111" i="16"/>
  <c r="J118" i="16"/>
  <c r="H118" i="16"/>
  <c r="AB47" i="16"/>
  <c r="X118" i="16"/>
  <c r="R118" i="16"/>
  <c r="AC119" i="16"/>
  <c r="X119" i="16"/>
  <c r="Y119" i="16"/>
  <c r="U119" i="16"/>
  <c r="S119" i="16"/>
  <c r="T119" i="16"/>
  <c r="Z116" i="16"/>
  <c r="P119" i="16"/>
  <c r="O119" i="16"/>
  <c r="Q119" i="16"/>
  <c r="AB118" i="16"/>
  <c r="W119" i="16"/>
  <c r="X121" i="16"/>
  <c r="K60" i="16"/>
  <c r="AB112" i="16"/>
  <c r="AB74" i="16"/>
  <c r="K98" i="16"/>
  <c r="K118" i="16"/>
  <c r="K58" i="16"/>
  <c r="AC110" i="16"/>
  <c r="K42" i="16"/>
  <c r="AC112" i="16"/>
  <c r="K112" i="16"/>
  <c r="K105" i="16"/>
  <c r="K96" i="16"/>
  <c r="K62" i="16"/>
  <c r="K46" i="16"/>
  <c r="K61" i="16"/>
  <c r="K95" i="16"/>
  <c r="K94" i="16"/>
  <c r="K88" i="16"/>
  <c r="S120" i="16"/>
  <c r="K99" i="16"/>
  <c r="T120" i="16"/>
  <c r="K108" i="16"/>
  <c r="W120" i="16"/>
  <c r="AC113" i="16"/>
  <c r="K56" i="16"/>
  <c r="K59" i="16"/>
  <c r="K91" i="16"/>
  <c r="K78" i="16"/>
  <c r="K31" i="16"/>
  <c r="K100" i="16"/>
  <c r="K119" i="16"/>
  <c r="K53" i="16"/>
  <c r="Y120" i="16"/>
  <c r="K102" i="16"/>
  <c r="K90" i="16"/>
  <c r="K104" i="16"/>
  <c r="K106" i="16"/>
  <c r="K120" i="16"/>
  <c r="U120" i="16"/>
  <c r="P120" i="16"/>
  <c r="R119" i="16"/>
  <c r="AA120" i="16"/>
  <c r="J119" i="16"/>
  <c r="V119" i="16"/>
  <c r="T25" i="16"/>
  <c r="N119" i="16"/>
  <c r="AA118" i="16"/>
  <c r="O120" i="16"/>
  <c r="I119" i="16"/>
  <c r="H119" i="16"/>
  <c r="Q120" i="16"/>
  <c r="K15" i="16"/>
  <c r="Z119" i="16"/>
  <c r="K43" i="16"/>
  <c r="AC118" i="16"/>
  <c r="AC111" i="16"/>
  <c r="O121" i="16"/>
  <c r="Y121" i="16"/>
  <c r="Z120" i="16"/>
  <c r="AC115" i="16"/>
  <c r="AC117" i="16"/>
  <c r="AA122" i="16"/>
  <c r="T121" i="16"/>
  <c r="V120" i="16"/>
  <c r="K114" i="16"/>
  <c r="AC120" i="16"/>
  <c r="AA119" i="16"/>
  <c r="Q121" i="16"/>
  <c r="X120" i="16"/>
  <c r="I120" i="16"/>
  <c r="AB119" i="16"/>
  <c r="AA121" i="16"/>
  <c r="U121" i="16"/>
  <c r="S121" i="16"/>
  <c r="R120" i="16"/>
  <c r="J120" i="16"/>
  <c r="N120" i="16"/>
  <c r="H120" i="16"/>
  <c r="P121" i="16"/>
  <c r="AB120" i="16"/>
  <c r="Y122" i="16"/>
  <c r="U122" i="16"/>
  <c r="Q123" i="16"/>
  <c r="I12" i="16"/>
  <c r="AA123" i="16"/>
  <c r="Y123" i="16"/>
  <c r="W122" i="16"/>
  <c r="AC121" i="16"/>
  <c r="U123" i="16"/>
  <c r="I122" i="16"/>
  <c r="U12" i="16"/>
  <c r="Z122" i="16"/>
  <c r="P123" i="16"/>
  <c r="V122" i="16"/>
  <c r="AB121" i="16"/>
  <c r="S122" i="16"/>
  <c r="K121" i="16"/>
  <c r="O123" i="16"/>
  <c r="P122" i="16"/>
  <c r="V121" i="16"/>
  <c r="J121" i="16"/>
  <c r="R122" i="16"/>
  <c r="AB123" i="16"/>
  <c r="S123" i="16"/>
  <c r="N121" i="16"/>
  <c r="Z121" i="16"/>
  <c r="H121" i="16"/>
  <c r="W121" i="16"/>
  <c r="K19" i="16"/>
  <c r="I121" i="16"/>
  <c r="O122" i="16"/>
  <c r="J122" i="16"/>
  <c r="AB122" i="16"/>
  <c r="Q122" i="16"/>
  <c r="X86" i="16"/>
  <c r="AA97" i="16"/>
  <c r="X63" i="16"/>
  <c r="X93" i="16"/>
  <c r="Z93" i="16"/>
  <c r="AC20" i="16"/>
  <c r="AC28" i="16"/>
  <c r="H12" i="16"/>
  <c r="O99" i="16"/>
  <c r="S99" i="16"/>
  <c r="U80" i="16"/>
  <c r="T82" i="16"/>
  <c r="X59" i="16"/>
  <c r="S35" i="16"/>
  <c r="V90" i="16"/>
  <c r="N105" i="16"/>
  <c r="J56" i="16"/>
  <c r="W98" i="16"/>
  <c r="P11" i="16"/>
  <c r="J53" i="16"/>
  <c r="R16" i="16"/>
  <c r="Y35" i="16"/>
  <c r="O11" i="16"/>
  <c r="X11" i="16"/>
  <c r="Z36" i="16"/>
  <c r="H92" i="16"/>
  <c r="H11" i="16"/>
  <c r="N93" i="16"/>
  <c r="V36" i="16"/>
  <c r="X46" i="16"/>
  <c r="O108" i="16"/>
  <c r="W96" i="16"/>
  <c r="T94" i="16"/>
  <c r="H85" i="16"/>
  <c r="Q79" i="16"/>
  <c r="AA20" i="16"/>
  <c r="N98" i="16"/>
  <c r="S38" i="16"/>
  <c r="AA39" i="16"/>
  <c r="Y32" i="16"/>
  <c r="Q16" i="16"/>
  <c r="U83" i="16"/>
  <c r="K55" i="16"/>
  <c r="T116" i="16"/>
  <c r="W115" i="16"/>
  <c r="Q115" i="16"/>
  <c r="Z113" i="16"/>
  <c r="Z70" i="16"/>
  <c r="Z114" i="16"/>
  <c r="K45" i="16"/>
  <c r="P114" i="16"/>
  <c r="AB63" i="16"/>
  <c r="K51" i="16"/>
  <c r="AB33" i="16"/>
  <c r="Z115" i="16"/>
  <c r="T117" i="16"/>
  <c r="Y117" i="16"/>
  <c r="AB73" i="16"/>
  <c r="AB66" i="16"/>
  <c r="AC116" i="16"/>
  <c r="H122" i="16"/>
  <c r="N123" i="16"/>
  <c r="T124" i="16"/>
  <c r="R123" i="16"/>
  <c r="U125" i="16"/>
  <c r="W125" i="16"/>
  <c r="O44" i="16"/>
  <c r="P43" i="16"/>
  <c r="P45" i="16"/>
  <c r="P47" i="16"/>
  <c r="T57" i="16"/>
  <c r="U54" i="16"/>
  <c r="AA105" i="16"/>
  <c r="X81" i="16"/>
  <c r="Z106" i="16"/>
  <c r="Y15" i="16"/>
  <c r="Z19" i="16"/>
  <c r="Q36" i="16"/>
  <c r="X91" i="16"/>
  <c r="H32" i="16"/>
  <c r="X88" i="16"/>
  <c r="P81" i="16"/>
  <c r="S34" i="16"/>
  <c r="Q84" i="16"/>
  <c r="T98" i="16"/>
  <c r="P16" i="16"/>
  <c r="N108" i="16"/>
  <c r="V48" i="16"/>
  <c r="N107" i="16"/>
  <c r="R30" i="16"/>
  <c r="W81" i="16"/>
  <c r="V80" i="16"/>
  <c r="AC11" i="16"/>
  <c r="S30" i="16"/>
  <c r="Y101" i="16"/>
  <c r="O81" i="16"/>
  <c r="R109" i="16"/>
  <c r="H97" i="16"/>
  <c r="P89" i="16"/>
  <c r="V103" i="16"/>
  <c r="I41" i="16"/>
  <c r="X50" i="16"/>
  <c r="Y78" i="16"/>
  <c r="I46" i="16"/>
  <c r="AC29" i="16"/>
  <c r="O33" i="16"/>
  <c r="Y107" i="16"/>
  <c r="I35" i="16"/>
  <c r="Y98" i="16"/>
  <c r="U16" i="16"/>
  <c r="J100" i="16"/>
  <c r="AA30" i="16"/>
  <c r="Z32" i="16"/>
  <c r="S103" i="16"/>
  <c r="AB36" i="16"/>
  <c r="AA112" i="16"/>
  <c r="AA63" i="16"/>
  <c r="Y113" i="16"/>
  <c r="K49" i="16"/>
  <c r="AB19" i="16"/>
  <c r="AB114" i="16"/>
  <c r="K107" i="16"/>
  <c r="U116" i="16"/>
  <c r="J116" i="16"/>
  <c r="AB45" i="16"/>
  <c r="AB43" i="16"/>
  <c r="K115" i="16"/>
  <c r="X125" i="16"/>
  <c r="X124" i="16"/>
  <c r="N124" i="16"/>
  <c r="Z123" i="16"/>
  <c r="T125" i="16"/>
  <c r="O124" i="16"/>
  <c r="S60" i="16"/>
  <c r="O62" i="16"/>
  <c r="S63" i="16"/>
  <c r="S65" i="16"/>
  <c r="O65" i="16"/>
  <c r="P66" i="16"/>
  <c r="O66" i="16"/>
  <c r="U67" i="16"/>
  <c r="S67" i="16"/>
  <c r="S69" i="16"/>
  <c r="U69" i="16"/>
  <c r="O69" i="16"/>
  <c r="W70" i="16"/>
  <c r="T70" i="16"/>
  <c r="O70" i="16"/>
  <c r="X65" i="16"/>
  <c r="X69" i="16"/>
  <c r="X70" i="16"/>
  <c r="S71" i="16"/>
  <c r="K92" i="16"/>
  <c r="AA96" i="16"/>
  <c r="X105" i="16"/>
  <c r="Y55" i="16"/>
  <c r="T105" i="16"/>
  <c r="H80" i="16"/>
  <c r="AA60" i="16"/>
  <c r="R33" i="16"/>
  <c r="W106" i="16"/>
  <c r="S95" i="16"/>
  <c r="P86" i="16"/>
  <c r="I81" i="16"/>
  <c r="X98" i="16"/>
  <c r="U93" i="16"/>
  <c r="N16" i="16"/>
  <c r="P93" i="16"/>
  <c r="J88" i="16"/>
  <c r="R47" i="16"/>
  <c r="W11" i="16"/>
  <c r="Y90" i="16"/>
  <c r="R104" i="16"/>
  <c r="H36" i="16"/>
  <c r="I36" i="16"/>
  <c r="P78" i="16"/>
  <c r="J87" i="16"/>
  <c r="T35" i="16"/>
  <c r="I15" i="16"/>
  <c r="H19" i="16"/>
  <c r="W109" i="16"/>
  <c r="U85" i="16"/>
  <c r="V82" i="16"/>
  <c r="I106" i="16"/>
  <c r="Q83" i="16"/>
  <c r="H90" i="16"/>
  <c r="J83" i="16"/>
  <c r="Y80" i="16"/>
  <c r="O29" i="16"/>
  <c r="W15" i="16"/>
  <c r="I103" i="16"/>
  <c r="U35" i="16"/>
  <c r="Q86" i="16"/>
  <c r="AA38" i="16"/>
  <c r="J91" i="16"/>
  <c r="O116" i="16"/>
  <c r="AB39" i="16"/>
  <c r="K57" i="16"/>
  <c r="Y114" i="16"/>
  <c r="AA11" i="16"/>
  <c r="AA28" i="16"/>
  <c r="AA108" i="16"/>
  <c r="K54" i="16"/>
  <c r="AB96" i="16"/>
  <c r="K39" i="16"/>
  <c r="N116" i="16"/>
  <c r="AB37" i="16"/>
  <c r="AB86" i="16"/>
  <c r="T123" i="16"/>
  <c r="H124" i="16"/>
  <c r="K123" i="16"/>
  <c r="R124" i="16"/>
  <c r="Q125" i="16"/>
  <c r="I123" i="16"/>
  <c r="U124" i="16"/>
  <c r="AC124" i="16"/>
  <c r="P41" i="16"/>
  <c r="U61" i="16"/>
  <c r="U60" i="16"/>
  <c r="Q63" i="16"/>
  <c r="W72" i="16"/>
  <c r="Q73" i="16"/>
  <c r="Y68" i="16"/>
  <c r="Y72" i="16"/>
  <c r="Y74" i="16"/>
  <c r="AA74" i="16"/>
  <c r="AB75" i="16"/>
  <c r="I90" i="16"/>
  <c r="AA91" i="16"/>
  <c r="Q107" i="16"/>
  <c r="AC33" i="16"/>
  <c r="X87" i="16"/>
  <c r="AA93" i="16"/>
  <c r="Z59" i="16"/>
  <c r="N25" i="16"/>
  <c r="AA101" i="16"/>
  <c r="U84" i="16"/>
  <c r="U87" i="16"/>
  <c r="Z57" i="16"/>
  <c r="S104" i="16"/>
  <c r="AC65" i="16"/>
  <c r="W90" i="16"/>
  <c r="AA106" i="16"/>
  <c r="Y89" i="16"/>
  <c r="W89" i="16"/>
  <c r="P85" i="16"/>
  <c r="J49" i="16"/>
  <c r="AC99" i="16"/>
  <c r="W108" i="16"/>
  <c r="X100" i="16"/>
  <c r="X41" i="16"/>
  <c r="W45" i="16"/>
  <c r="V106" i="16"/>
  <c r="J101" i="16"/>
  <c r="S91" i="16"/>
  <c r="P28" i="16"/>
  <c r="H20" i="16"/>
  <c r="W100" i="16"/>
  <c r="N104" i="16"/>
  <c r="T11" i="16"/>
  <c r="I38" i="16"/>
  <c r="O85" i="16"/>
  <c r="S100" i="16"/>
  <c r="V49" i="16"/>
  <c r="T110" i="16"/>
  <c r="V91" i="16"/>
  <c r="H35" i="16"/>
  <c r="T88" i="16"/>
  <c r="T99" i="16"/>
  <c r="Y31" i="16"/>
  <c r="H16" i="16"/>
  <c r="J50" i="16"/>
  <c r="P108" i="16"/>
  <c r="W56" i="16"/>
  <c r="R96" i="16"/>
  <c r="Q25" i="16"/>
  <c r="I101" i="16"/>
  <c r="P82" i="16"/>
  <c r="T31" i="16"/>
  <c r="U92" i="16"/>
  <c r="X48" i="16"/>
  <c r="O105" i="16"/>
  <c r="T101" i="16"/>
  <c r="O91" i="16"/>
  <c r="I30" i="16"/>
  <c r="J20" i="16"/>
  <c r="AC31" i="16"/>
  <c r="N88" i="16"/>
  <c r="O110" i="16"/>
  <c r="AB87" i="16"/>
  <c r="R84" i="16"/>
  <c r="V105" i="16"/>
  <c r="X54" i="16"/>
  <c r="Z46" i="16"/>
  <c r="T44" i="16"/>
  <c r="H33" i="16"/>
  <c r="H102" i="16"/>
  <c r="T51" i="16"/>
  <c r="V50" i="16"/>
  <c r="Y34" i="16"/>
  <c r="R34" i="16"/>
  <c r="O96" i="16"/>
  <c r="R37" i="16"/>
  <c r="Y97" i="16"/>
  <c r="P96" i="16"/>
  <c r="U19" i="16"/>
  <c r="O88" i="16"/>
  <c r="Y28" i="16"/>
  <c r="K110" i="16"/>
  <c r="Z45" i="16"/>
  <c r="N102" i="16"/>
  <c r="Y44" i="16"/>
  <c r="N86" i="16"/>
  <c r="R43" i="16"/>
  <c r="Q15" i="16"/>
  <c r="R106" i="16"/>
  <c r="U47" i="16"/>
  <c r="U89" i="16"/>
  <c r="Q92" i="16"/>
  <c r="O107" i="16"/>
  <c r="T30" i="16"/>
  <c r="U108" i="16"/>
  <c r="N29" i="16"/>
  <c r="Y50" i="16"/>
  <c r="H88" i="16"/>
  <c r="AC41" i="16"/>
  <c r="R82" i="16"/>
  <c r="T107" i="16"/>
  <c r="O80" i="16"/>
  <c r="Q95" i="16"/>
  <c r="H93" i="16"/>
  <c r="T38" i="16"/>
  <c r="H81" i="16"/>
  <c r="AA109" i="16"/>
  <c r="AA32" i="16"/>
  <c r="AA34" i="16"/>
  <c r="AA51" i="16"/>
  <c r="S94" i="16"/>
  <c r="I28" i="16"/>
  <c r="W38" i="16"/>
  <c r="Q98" i="16"/>
  <c r="Q110" i="16"/>
  <c r="Q38" i="16"/>
  <c r="S20" i="16"/>
  <c r="H114" i="16"/>
  <c r="AB102" i="16"/>
  <c r="T115" i="16"/>
  <c r="K38" i="16"/>
  <c r="S116" i="16"/>
  <c r="AA88" i="16"/>
  <c r="AA64" i="16"/>
  <c r="P116" i="16"/>
  <c r="U114" i="16"/>
  <c r="J114" i="16"/>
  <c r="AA107" i="16"/>
  <c r="R115" i="16"/>
  <c r="AB93" i="16"/>
  <c r="AB50" i="16"/>
  <c r="K101" i="16"/>
  <c r="K52" i="16"/>
  <c r="K81" i="16"/>
  <c r="AB15" i="16"/>
  <c r="Y116" i="16"/>
  <c r="K34" i="16"/>
  <c r="P117" i="16"/>
  <c r="I116" i="16"/>
  <c r="Q117" i="16"/>
  <c r="R116" i="16"/>
  <c r="AA114" i="16"/>
  <c r="X116" i="16"/>
  <c r="AB40" i="16"/>
  <c r="AA59" i="16"/>
  <c r="AB30" i="16"/>
  <c r="AB41" i="16"/>
  <c r="AB48" i="16"/>
  <c r="AB60" i="16"/>
  <c r="AB52" i="16"/>
  <c r="AB64" i="16"/>
  <c r="AB56" i="16"/>
  <c r="X123" i="16"/>
  <c r="W124" i="16"/>
  <c r="AC122" i="16"/>
  <c r="S124" i="16"/>
  <c r="AC123" i="16"/>
  <c r="S125" i="16"/>
  <c r="Q124" i="16"/>
  <c r="J124" i="16"/>
  <c r="I124" i="16"/>
  <c r="AA124" i="16"/>
  <c r="P124" i="16"/>
  <c r="V123" i="16"/>
  <c r="V124" i="16"/>
  <c r="Y124" i="16"/>
  <c r="J123" i="16"/>
  <c r="Y125" i="16"/>
  <c r="W123" i="16"/>
  <c r="Z124" i="16"/>
  <c r="R125" i="16"/>
  <c r="O68" i="16"/>
  <c r="O42" i="16"/>
  <c r="O45" i="16"/>
  <c r="U55" i="16"/>
  <c r="P60" i="16"/>
  <c r="U56" i="16"/>
  <c r="S62" i="16"/>
  <c r="Q62" i="16"/>
  <c r="U72" i="16"/>
  <c r="Y71" i="16"/>
  <c r="S73" i="16"/>
  <c r="Y69" i="16"/>
  <c r="O73" i="16"/>
  <c r="Y73" i="16"/>
  <c r="U74" i="16"/>
  <c r="S75" i="16"/>
  <c r="W39" i="16"/>
  <c r="Z96" i="16"/>
  <c r="AC72" i="16"/>
  <c r="N75" i="16"/>
  <c r="H38" i="16"/>
  <c r="AC71" i="16"/>
  <c r="K71" i="16"/>
  <c r="AB71" i="16"/>
  <c r="AB68" i="16"/>
  <c r="K68" i="16"/>
  <c r="AA68" i="16"/>
  <c r="K70" i="16"/>
  <c r="AB70" i="16"/>
  <c r="K69" i="16"/>
  <c r="AA69" i="16"/>
  <c r="K67" i="16"/>
  <c r="AA67" i="16"/>
  <c r="Z66" i="16"/>
  <c r="K66" i="16"/>
  <c r="Z64" i="16"/>
  <c r="K64" i="16"/>
  <c r="Z63" i="16"/>
  <c r="K63" i="16"/>
  <c r="Y60" i="16"/>
  <c r="X57" i="16"/>
  <c r="J57" i="16"/>
  <c r="W57" i="16"/>
  <c r="J52" i="16"/>
  <c r="V52" i="16"/>
  <c r="W55" i="16"/>
  <c r="J55" i="16"/>
  <c r="W54" i="16"/>
  <c r="J54" i="16"/>
  <c r="V54" i="16"/>
  <c r="J51" i="16"/>
  <c r="V51" i="16"/>
  <c r="U48" i="16"/>
  <c r="T48" i="16"/>
  <c r="T45" i="16"/>
  <c r="S45" i="16"/>
  <c r="I45" i="16"/>
  <c r="S42" i="16"/>
  <c r="I42" i="16"/>
  <c r="R42" i="16"/>
  <c r="Z15" i="16"/>
  <c r="AA66" i="16"/>
  <c r="Y19" i="16"/>
  <c r="W41" i="16"/>
  <c r="AA95" i="16"/>
  <c r="AC75" i="16"/>
  <c r="K75" i="16"/>
  <c r="AC73" i="16"/>
  <c r="K73" i="16"/>
  <c r="AB72" i="16"/>
  <c r="K72" i="16"/>
  <c r="Y63" i="16"/>
  <c r="J63" i="16"/>
  <c r="X60" i="16"/>
  <c r="J60" i="16"/>
  <c r="Y61" i="16"/>
  <c r="J61" i="16"/>
  <c r="X58" i="16"/>
  <c r="J58" i="16"/>
  <c r="U51" i="16"/>
  <c r="I51" i="16"/>
  <c r="AC68" i="16"/>
  <c r="W83" i="16"/>
  <c r="AA99" i="16"/>
  <c r="Z11" i="16"/>
  <c r="AC36" i="16"/>
  <c r="Y37" i="16"/>
  <c r="W50" i="16"/>
  <c r="X39" i="16"/>
  <c r="W31" i="16"/>
  <c r="AC89" i="16"/>
  <c r="P98" i="16"/>
  <c r="P25" i="16"/>
  <c r="W34" i="16"/>
  <c r="Z98" i="16"/>
  <c r="Z61" i="16"/>
  <c r="Z90" i="16"/>
  <c r="Z54" i="16"/>
  <c r="Y52" i="16"/>
  <c r="AC98" i="16"/>
  <c r="X36" i="16"/>
  <c r="AA102" i="16"/>
  <c r="K30" i="16"/>
  <c r="T78" i="14"/>
  <c r="Y53" i="14"/>
  <c r="P91" i="14"/>
  <c r="W84" i="14"/>
  <c r="V83" i="14"/>
  <c r="BS27" i="16"/>
  <c r="AA65" i="16"/>
  <c r="BQ27" i="16"/>
  <c r="Z65" i="16"/>
  <c r="K65" i="16"/>
  <c r="I49" i="16"/>
  <c r="U49" i="16"/>
  <c r="AT127" i="16"/>
  <c r="AT41" i="14" s="1"/>
  <c r="AZ127" i="16"/>
  <c r="AZ41" i="14" s="1"/>
  <c r="AW127" i="16"/>
  <c r="AW41" i="14" s="1"/>
  <c r="T18" i="15"/>
  <c r="AG77" i="15"/>
  <c r="AH77" i="15"/>
  <c r="AJ77" i="15"/>
  <c r="AK77" i="15"/>
  <c r="AM77" i="15"/>
  <c r="AN77" i="15"/>
  <c r="AP77" i="15"/>
  <c r="AQ77" i="15"/>
  <c r="AS77" i="15"/>
  <c r="AT77" i="15"/>
  <c r="AV77" i="15"/>
  <c r="AW77" i="15"/>
  <c r="AY77" i="15"/>
  <c r="AZ77" i="15"/>
  <c r="BB77" i="15"/>
  <c r="BC77" i="15"/>
  <c r="BE77" i="15"/>
  <c r="BF77" i="15"/>
  <c r="BH77" i="15"/>
  <c r="BI77" i="15"/>
  <c r="BK77" i="15"/>
  <c r="BL77" i="15"/>
  <c r="BN77" i="15"/>
  <c r="BO77" i="15"/>
  <c r="BQ77" i="15"/>
  <c r="BR77" i="15"/>
  <c r="BT77" i="15"/>
  <c r="BU77" i="15"/>
  <c r="BW77" i="15"/>
  <c r="BX77" i="15"/>
  <c r="BZ77" i="15"/>
  <c r="CA77" i="15"/>
  <c r="Y51" i="14"/>
  <c r="O67" i="14"/>
  <c r="T68" i="14"/>
  <c r="Q71" i="14"/>
  <c r="I71" i="14"/>
  <c r="H75" i="14"/>
  <c r="AB52" i="14"/>
  <c r="R76" i="14"/>
  <c r="T82" i="14"/>
  <c r="R81" i="14"/>
  <c r="P61" i="14"/>
  <c r="T51" i="14"/>
  <c r="H62" i="14"/>
  <c r="U51" i="14"/>
  <c r="W62" i="14"/>
  <c r="S72" i="14"/>
  <c r="T73" i="14"/>
  <c r="X59" i="14"/>
  <c r="W57" i="14"/>
  <c r="O68" i="14"/>
  <c r="U71" i="14"/>
  <c r="AB57" i="14"/>
  <c r="T79" i="14"/>
  <c r="W83" i="14"/>
  <c r="N83" i="14"/>
  <c r="X85" i="14"/>
  <c r="I84" i="14"/>
  <c r="Y67" i="14"/>
  <c r="U82" i="14"/>
  <c r="Q87" i="14"/>
  <c r="W91" i="14"/>
  <c r="H100" i="14"/>
  <c r="S66" i="14"/>
  <c r="AA54" i="14"/>
  <c r="U78" i="14"/>
  <c r="P29" i="14"/>
  <c r="N47" i="14"/>
  <c r="K51" i="14"/>
  <c r="O48" i="14"/>
  <c r="K52" i="14"/>
  <c r="K48" i="14"/>
  <c r="K47" i="14"/>
  <c r="N52" i="14"/>
  <c r="N101" i="14"/>
  <c r="P27" i="14"/>
  <c r="O53" i="14"/>
  <c r="N33" i="14"/>
  <c r="J54" i="14"/>
  <c r="J55" i="14"/>
  <c r="P56" i="14"/>
  <c r="K54" i="14"/>
  <c r="O54" i="14"/>
  <c r="N54" i="14"/>
  <c r="Q100" i="14"/>
  <c r="Q27" i="14"/>
  <c r="N25" i="14"/>
  <c r="Q49" i="14"/>
  <c r="N108" i="14"/>
  <c r="Q43" i="14"/>
  <c r="N55" i="14"/>
  <c r="Q47" i="14"/>
  <c r="K55" i="14"/>
  <c r="Q29" i="14"/>
  <c r="Q48" i="14"/>
  <c r="O49" i="14"/>
  <c r="J57" i="14"/>
  <c r="R43" i="14"/>
  <c r="O59" i="14"/>
  <c r="S50" i="14"/>
  <c r="T52" i="14"/>
  <c r="K60" i="14"/>
  <c r="O25" i="14"/>
  <c r="P73" i="14"/>
  <c r="N72" i="14"/>
  <c r="X52" i="14"/>
  <c r="X56" i="14"/>
  <c r="I74" i="14"/>
  <c r="R74" i="14"/>
  <c r="V74" i="14"/>
  <c r="X51" i="14"/>
  <c r="P74" i="14"/>
  <c r="X53" i="14"/>
  <c r="X57" i="14"/>
  <c r="N74" i="14"/>
  <c r="Q74" i="14"/>
  <c r="X58" i="14"/>
  <c r="H73" i="14"/>
  <c r="N73" i="14"/>
  <c r="X65" i="14"/>
  <c r="X63" i="14"/>
  <c r="X47" i="14"/>
  <c r="X48" i="14"/>
  <c r="X54" i="14"/>
  <c r="I73" i="14"/>
  <c r="H74" i="14"/>
  <c r="S74" i="14"/>
  <c r="T74" i="14"/>
  <c r="AA64" i="14"/>
  <c r="AA73" i="14"/>
  <c r="AA65" i="14"/>
  <c r="T81" i="14"/>
  <c r="S65" i="14"/>
  <c r="S73" i="14"/>
  <c r="P78" i="14"/>
  <c r="AA89" i="14"/>
  <c r="AA94" i="14"/>
  <c r="H71" i="14"/>
  <c r="Z64" i="14"/>
  <c r="O89" i="14"/>
  <c r="T89" i="14"/>
  <c r="AA93" i="14"/>
  <c r="J92" i="14"/>
  <c r="Q93" i="14"/>
  <c r="O94" i="14"/>
  <c r="K69" i="14"/>
  <c r="H69" i="14"/>
  <c r="N70" i="14"/>
  <c r="Q70" i="14"/>
  <c r="AA52" i="14"/>
  <c r="N78" i="14"/>
  <c r="Y61" i="14"/>
  <c r="AB47" i="14"/>
  <c r="Y64" i="14"/>
  <c r="AB76" i="14"/>
  <c r="Z66" i="14"/>
  <c r="Q78" i="14"/>
  <c r="AC67" i="14"/>
  <c r="AC73" i="14"/>
  <c r="AC64" i="14"/>
  <c r="AC55" i="14"/>
  <c r="V79" i="14"/>
  <c r="AC72" i="14"/>
  <c r="AC74" i="14"/>
  <c r="R80" i="14"/>
  <c r="AC57" i="14"/>
  <c r="I80" i="14"/>
  <c r="AC54" i="14"/>
  <c r="AC49" i="14"/>
  <c r="O79" i="14"/>
  <c r="AC56" i="14"/>
  <c r="S80" i="14"/>
  <c r="AC79" i="14"/>
  <c r="R79" i="14"/>
  <c r="AC50" i="14"/>
  <c r="AC77" i="14"/>
  <c r="O80" i="14"/>
  <c r="H79" i="14"/>
  <c r="AC51" i="14"/>
  <c r="AC78" i="14"/>
  <c r="I79" i="14"/>
  <c r="AC70" i="14"/>
  <c r="W80" i="14"/>
  <c r="Z70" i="14"/>
  <c r="AC71" i="14"/>
  <c r="AC63" i="14"/>
  <c r="R25" i="14"/>
  <c r="AC48" i="14"/>
  <c r="AC80" i="14"/>
  <c r="S79" i="14"/>
  <c r="AC59" i="14"/>
  <c r="U79" i="14"/>
  <c r="X80" i="14"/>
  <c r="AC62" i="14"/>
  <c r="AC60" i="14"/>
  <c r="AC76" i="14"/>
  <c r="AC68" i="14"/>
  <c r="AC75" i="14"/>
  <c r="AC65" i="14"/>
  <c r="P81" i="14"/>
  <c r="W81" i="14"/>
  <c r="V81" i="14"/>
  <c r="O81" i="14"/>
  <c r="U50" i="14"/>
  <c r="U54" i="14"/>
  <c r="V59" i="14"/>
  <c r="Q64" i="14"/>
  <c r="W53" i="14"/>
  <c r="Q66" i="14"/>
  <c r="P68" i="14"/>
  <c r="J49" i="14"/>
  <c r="S84" i="14"/>
  <c r="U85" i="14"/>
  <c r="O66" i="14"/>
  <c r="J85" i="14"/>
  <c r="W49" i="14"/>
  <c r="I25" i="14"/>
  <c r="U76" i="14"/>
  <c r="Y57" i="14"/>
  <c r="Y68" i="14"/>
  <c r="AB50" i="14"/>
  <c r="Y55" i="14"/>
  <c r="Z60" i="14"/>
  <c r="H80" i="14"/>
  <c r="S81" i="14"/>
  <c r="T80" i="14"/>
  <c r="N85" i="14"/>
  <c r="S88" i="14"/>
  <c r="J86" i="14"/>
  <c r="T88" i="14"/>
  <c r="V90" i="14"/>
  <c r="W93" i="14"/>
  <c r="P92" i="14"/>
  <c r="O93" i="14"/>
  <c r="R86" i="14"/>
  <c r="P87" i="14"/>
  <c r="H88" i="14"/>
  <c r="Y89" i="14"/>
  <c r="I90" i="14"/>
  <c r="T25" i="14"/>
  <c r="AA92" i="14"/>
  <c r="I92" i="14"/>
  <c r="N50" i="14"/>
  <c r="I100" i="14"/>
  <c r="N29" i="14"/>
  <c r="H29" i="14"/>
  <c r="J52" i="14"/>
  <c r="N53" i="14"/>
  <c r="J56" i="14"/>
  <c r="R49" i="14"/>
  <c r="H77" i="14"/>
  <c r="O64" i="14"/>
  <c r="V49" i="14"/>
  <c r="AB94" i="14"/>
  <c r="U93" i="14"/>
  <c r="U92" i="14"/>
  <c r="S89" i="14"/>
  <c r="U47" i="14"/>
  <c r="N27" i="14"/>
  <c r="J47" i="14"/>
  <c r="H63" i="14"/>
  <c r="Q81" i="14"/>
  <c r="Z63" i="14"/>
  <c r="V77" i="14"/>
  <c r="Y59" i="14"/>
  <c r="R75" i="14"/>
  <c r="T70" i="14"/>
  <c r="U49" i="14"/>
  <c r="I93" i="14"/>
  <c r="AB61" i="14"/>
  <c r="T90" i="14"/>
  <c r="S93" i="14"/>
  <c r="W92" i="14"/>
  <c r="H90" i="14"/>
  <c r="R87" i="14"/>
  <c r="I87" i="14"/>
  <c r="W88" i="14"/>
  <c r="O86" i="14"/>
  <c r="P80" i="14"/>
  <c r="Z48" i="14"/>
  <c r="Z52" i="14"/>
  <c r="AB77" i="14"/>
  <c r="AB56" i="14"/>
  <c r="AB73" i="14"/>
  <c r="AA68" i="14"/>
  <c r="I75" i="14"/>
  <c r="AA72" i="14"/>
  <c r="P72" i="14"/>
  <c r="P65" i="14"/>
  <c r="Y92" i="14"/>
  <c r="AC52" i="14"/>
  <c r="J84" i="14"/>
  <c r="T85" i="14"/>
  <c r="Y84" i="14"/>
  <c r="O76" i="14"/>
  <c r="N75" i="14"/>
  <c r="AC61" i="14"/>
  <c r="P90" i="14"/>
  <c r="Z91" i="14"/>
  <c r="H47" i="14"/>
  <c r="P100" i="14"/>
  <c r="I47" i="14"/>
  <c r="O55" i="14"/>
  <c r="P57" i="14"/>
  <c r="K57" i="14"/>
  <c r="K58" i="14"/>
  <c r="H59" i="14"/>
  <c r="T53" i="14"/>
  <c r="N102" i="14"/>
  <c r="J53" i="14"/>
  <c r="N48" i="14"/>
  <c r="P48" i="14"/>
  <c r="P47" i="14"/>
  <c r="S90" i="14"/>
  <c r="Z67" i="14"/>
  <c r="W54" i="14"/>
  <c r="Q68" i="14"/>
  <c r="O71" i="14"/>
  <c r="R77" i="14"/>
  <c r="AB74" i="14"/>
  <c r="N79" i="14"/>
  <c r="V85" i="14"/>
  <c r="U87" i="14"/>
  <c r="BB74" i="15"/>
  <c r="U74" i="15" s="1"/>
  <c r="AF74" i="15"/>
  <c r="AI74" i="15"/>
  <c r="O74" i="15" s="1"/>
  <c r="BI74" i="15"/>
  <c r="W74" i="15" s="1"/>
  <c r="BE74" i="15"/>
  <c r="BO74" i="15"/>
  <c r="Y74" i="15" s="1"/>
  <c r="BF74" i="15"/>
  <c r="AX74" i="15"/>
  <c r="T74" i="15" s="1"/>
  <c r="AS74" i="15"/>
  <c r="BM71" i="15"/>
  <c r="AV64" i="15"/>
  <c r="AN64" i="15"/>
  <c r="BE64" i="15"/>
  <c r="AR64" i="15"/>
  <c r="AI64" i="15"/>
  <c r="BF64" i="15"/>
  <c r="AU64" i="15"/>
  <c r="BC64" i="15"/>
  <c r="AL64" i="15"/>
  <c r="AH64" i="15"/>
  <c r="AX64" i="15"/>
  <c r="AY64" i="15"/>
  <c r="BD64" i="15"/>
  <c r="AM64" i="15"/>
  <c r="BJ64" i="15"/>
  <c r="AG64" i="15"/>
  <c r="BK64" i="15"/>
  <c r="AJ64" i="15"/>
  <c r="BB64" i="15"/>
  <c r="BI64" i="15"/>
  <c r="AO64" i="15"/>
  <c r="AS64" i="15"/>
  <c r="BH64" i="15"/>
  <c r="AK64" i="15"/>
  <c r="AT64" i="15"/>
  <c r="AW64" i="15"/>
  <c r="AF64" i="15"/>
  <c r="E64" i="15" a="1"/>
  <c r="E64" i="15" s="1"/>
  <c r="AP64" i="15"/>
  <c r="BG64" i="15"/>
  <c r="AZ64" i="15"/>
  <c r="AQ64" i="15"/>
  <c r="BA64" i="15"/>
  <c r="AO59" i="15"/>
  <c r="AU59" i="15"/>
  <c r="S59" i="15" s="1"/>
  <c r="AP59" i="15"/>
  <c r="AS59" i="15"/>
  <c r="AT59" i="15"/>
  <c r="BD59" i="15"/>
  <c r="AQ59" i="15"/>
  <c r="AT57" i="15"/>
  <c r="AQ57" i="15"/>
  <c r="BD57" i="15"/>
  <c r="AR57" i="15"/>
  <c r="AV57" i="15"/>
  <c r="AS58" i="15"/>
  <c r="AL58" i="15"/>
  <c r="AG58" i="15"/>
  <c r="AU58" i="15"/>
  <c r="S58" i="15" s="1"/>
  <c r="AQ58" i="15"/>
  <c r="Q58" i="15" s="1"/>
  <c r="AF58" i="15"/>
  <c r="AK58" i="15"/>
  <c r="O58" i="15" s="1"/>
  <c r="AM58" i="15"/>
  <c r="AN57" i="15"/>
  <c r="AS57" i="15"/>
  <c r="AW57" i="15"/>
  <c r="AK57" i="15"/>
  <c r="BB57" i="15"/>
  <c r="BA57" i="15"/>
  <c r="AX57" i="15"/>
  <c r="AZ57" i="15"/>
  <c r="AF57" i="15"/>
  <c r="AG57" i="15"/>
  <c r="AH57" i="15"/>
  <c r="AM57" i="15"/>
  <c r="AO57" i="15"/>
  <c r="BC57" i="15"/>
  <c r="AI57" i="15"/>
  <c r="AP57" i="15"/>
  <c r="E57" i="15" a="1"/>
  <c r="E57" i="15" s="1"/>
  <c r="AU57" i="15"/>
  <c r="AL57" i="15"/>
  <c r="AF44" i="15"/>
  <c r="AQ44" i="15"/>
  <c r="Q44" i="15" s="1"/>
  <c r="V25" i="15"/>
  <c r="W12" i="15"/>
  <c r="AC125" i="15"/>
  <c r="O125" i="15"/>
  <c r="W125" i="15"/>
  <c r="S125" i="15"/>
  <c r="K125" i="15"/>
  <c r="Y125" i="15"/>
  <c r="R75" i="15"/>
  <c r="T75" i="15"/>
  <c r="K75" i="15"/>
  <c r="J75" i="15"/>
  <c r="I75" i="15"/>
  <c r="U75" i="15"/>
  <c r="Z75" i="15"/>
  <c r="X125" i="15"/>
  <c r="X75" i="15"/>
  <c r="Q125" i="15"/>
  <c r="Y75" i="15"/>
  <c r="N75" i="15"/>
  <c r="U125" i="15"/>
  <c r="T125" i="15"/>
  <c r="P125" i="15"/>
  <c r="AC63" i="15"/>
  <c r="S75" i="15"/>
  <c r="V75" i="15"/>
  <c r="H75" i="15"/>
  <c r="U124" i="15"/>
  <c r="V125" i="15"/>
  <c r="K63" i="15"/>
  <c r="N124" i="15"/>
  <c r="P75" i="15"/>
  <c r="J124" i="15"/>
  <c r="S124" i="15"/>
  <c r="AC108" i="15"/>
  <c r="V124" i="15"/>
  <c r="U25" i="15"/>
  <c r="W124" i="15"/>
  <c r="I25" i="15"/>
  <c r="J125" i="15"/>
  <c r="H125" i="15"/>
  <c r="R125" i="15"/>
  <c r="AB125" i="15"/>
  <c r="K118" i="15"/>
  <c r="Q124" i="15"/>
  <c r="I125" i="15"/>
  <c r="N125" i="15"/>
  <c r="P124" i="15"/>
  <c r="Z125" i="15"/>
  <c r="K124" i="15"/>
  <c r="AA125" i="15"/>
  <c r="AC117" i="15"/>
  <c r="AC124" i="15"/>
  <c r="AB121" i="15"/>
  <c r="Q74" i="15"/>
  <c r="O124" i="15"/>
  <c r="K123" i="15"/>
  <c r="O75" i="15"/>
  <c r="I124" i="15"/>
  <c r="Q75" i="15"/>
  <c r="R124" i="15"/>
  <c r="Z124" i="15"/>
  <c r="AC118" i="15"/>
  <c r="R122" i="15"/>
  <c r="S123" i="15"/>
  <c r="X124" i="15"/>
  <c r="V122" i="15"/>
  <c r="T124" i="15"/>
  <c r="W123" i="15"/>
  <c r="P74" i="15"/>
  <c r="J122" i="15"/>
  <c r="I12" i="15"/>
  <c r="Y123" i="15"/>
  <c r="V123" i="15"/>
  <c r="W75" i="15"/>
  <c r="AA75" i="15"/>
  <c r="H124" i="15"/>
  <c r="AB75" i="15"/>
  <c r="R123" i="15"/>
  <c r="K117" i="15"/>
  <c r="K70" i="15"/>
  <c r="AB124" i="15"/>
  <c r="X123" i="15"/>
  <c r="N122" i="15"/>
  <c r="AB122" i="15"/>
  <c r="Z74" i="15"/>
  <c r="AA123" i="15"/>
  <c r="Y124" i="15"/>
  <c r="U12" i="15"/>
  <c r="H123" i="15"/>
  <c r="N123" i="15"/>
  <c r="K109" i="15"/>
  <c r="X74" i="15"/>
  <c r="K111" i="15"/>
  <c r="Z122" i="15"/>
  <c r="AA124" i="15"/>
  <c r="O123" i="15"/>
  <c r="H122" i="15"/>
  <c r="AB123" i="15"/>
  <c r="S74" i="15"/>
  <c r="Q123" i="15"/>
  <c r="K69" i="15"/>
  <c r="AA74" i="15"/>
  <c r="I122" i="15"/>
  <c r="P123" i="15"/>
  <c r="K66" i="15"/>
  <c r="K122" i="15"/>
  <c r="AC121" i="15"/>
  <c r="K121" i="15"/>
  <c r="J123" i="15"/>
  <c r="K74" i="15"/>
  <c r="T123" i="15"/>
  <c r="AC123" i="15"/>
  <c r="AC122" i="15"/>
  <c r="AB109" i="15"/>
  <c r="W122" i="15"/>
  <c r="O122" i="15"/>
  <c r="AA72" i="15"/>
  <c r="P121" i="15"/>
  <c r="N72" i="15"/>
  <c r="P122" i="15"/>
  <c r="J121" i="15"/>
  <c r="R73" i="15"/>
  <c r="P73" i="15"/>
  <c r="T122" i="15"/>
  <c r="V121" i="15"/>
  <c r="AB108" i="15"/>
  <c r="K108" i="15"/>
  <c r="Y121" i="15"/>
  <c r="T71" i="15"/>
  <c r="Y72" i="15"/>
  <c r="AC75" i="15"/>
  <c r="H72" i="15"/>
  <c r="N121" i="15"/>
  <c r="AB74" i="15"/>
  <c r="W121" i="15"/>
  <c r="X71" i="15"/>
  <c r="AC120" i="15"/>
  <c r="Z72" i="15"/>
  <c r="S122" i="15"/>
  <c r="W73" i="15"/>
  <c r="H121" i="15"/>
  <c r="U123" i="15"/>
  <c r="AB71" i="15"/>
  <c r="Z123" i="15"/>
  <c r="X72" i="15"/>
  <c r="AC71" i="15"/>
  <c r="V72" i="15"/>
  <c r="U121" i="15"/>
  <c r="AB120" i="15"/>
  <c r="Z121" i="15"/>
  <c r="J72" i="15"/>
  <c r="S72" i="15"/>
  <c r="I73" i="15"/>
  <c r="AC116" i="15"/>
  <c r="AC115" i="15"/>
  <c r="AC66" i="15"/>
  <c r="Y122" i="15"/>
  <c r="U122" i="15"/>
  <c r="R121" i="15"/>
  <c r="T121" i="15"/>
  <c r="Q122" i="15"/>
  <c r="AB70" i="15"/>
  <c r="AB68" i="15"/>
  <c r="Z73" i="15"/>
  <c r="O121" i="15"/>
  <c r="AA121" i="15"/>
  <c r="U73" i="15"/>
  <c r="S121" i="15"/>
  <c r="T73" i="15"/>
  <c r="Q121" i="15"/>
  <c r="K116" i="15"/>
  <c r="I121" i="15"/>
  <c r="X122" i="15"/>
  <c r="AC111" i="15"/>
  <c r="AA122" i="15"/>
  <c r="J73" i="15"/>
  <c r="N73" i="15"/>
  <c r="I123" i="15"/>
  <c r="V73" i="15"/>
  <c r="X121" i="15"/>
  <c r="Q70" i="15"/>
  <c r="H69" i="15"/>
  <c r="AC70" i="15"/>
  <c r="K119" i="15"/>
  <c r="AC112" i="15"/>
  <c r="T72" i="15"/>
  <c r="P120" i="15"/>
  <c r="V70" i="15"/>
  <c r="Y120" i="15"/>
  <c r="Z70" i="15"/>
  <c r="U120" i="15"/>
  <c r="S68" i="15"/>
  <c r="U70" i="15"/>
  <c r="O72" i="15"/>
  <c r="W72" i="15"/>
  <c r="AB114" i="15"/>
  <c r="R70" i="15"/>
  <c r="K71" i="15"/>
  <c r="K115" i="15"/>
  <c r="AC119" i="15"/>
  <c r="K120" i="15"/>
  <c r="K73" i="15"/>
  <c r="I70" i="15"/>
  <c r="O69" i="15"/>
  <c r="AC73" i="15"/>
  <c r="K45" i="15"/>
  <c r="AC114" i="15"/>
  <c r="O119" i="15"/>
  <c r="P72" i="15"/>
  <c r="AA71" i="15"/>
  <c r="P71" i="15"/>
  <c r="W71" i="15"/>
  <c r="J118" i="15"/>
  <c r="T25" i="15"/>
  <c r="S71" i="15"/>
  <c r="N70" i="15"/>
  <c r="U72" i="15"/>
  <c r="S73" i="15"/>
  <c r="S120" i="15"/>
  <c r="AA112" i="15"/>
  <c r="R71" i="15"/>
  <c r="O120" i="15"/>
  <c r="AB111" i="15"/>
  <c r="Y73" i="15"/>
  <c r="O71" i="15"/>
  <c r="AB107" i="15"/>
  <c r="R72" i="15"/>
  <c r="N71" i="15"/>
  <c r="AB113" i="15"/>
  <c r="AA119" i="15"/>
  <c r="O73" i="15"/>
  <c r="AB116" i="15"/>
  <c r="AB69" i="15"/>
  <c r="X73" i="15"/>
  <c r="Z71" i="15"/>
  <c r="H120" i="15"/>
  <c r="Q73" i="15"/>
  <c r="AB119" i="15"/>
  <c r="I72" i="15"/>
  <c r="H71" i="15"/>
  <c r="H73" i="15"/>
  <c r="I118" i="15"/>
  <c r="T120" i="15"/>
  <c r="V71" i="15"/>
  <c r="T119" i="15"/>
  <c r="N69" i="15"/>
  <c r="U69" i="15"/>
  <c r="O70" i="15"/>
  <c r="J120" i="15"/>
  <c r="Q120" i="15"/>
  <c r="AA73" i="15"/>
  <c r="N120" i="15"/>
  <c r="V120" i="15"/>
  <c r="W120" i="15"/>
  <c r="Z120" i="15"/>
  <c r="V119" i="15"/>
  <c r="I120" i="15"/>
  <c r="X120" i="15"/>
  <c r="AA120" i="15"/>
  <c r="AA66" i="15"/>
  <c r="H70" i="15"/>
  <c r="J70" i="15"/>
  <c r="R120" i="15"/>
  <c r="W70" i="15"/>
  <c r="T70" i="15"/>
  <c r="Y119" i="15"/>
  <c r="J119" i="15"/>
  <c r="Z119" i="15"/>
  <c r="K62" i="15"/>
  <c r="K107" i="15"/>
  <c r="K110" i="15"/>
  <c r="K113" i="15"/>
  <c r="AC74" i="15"/>
  <c r="T69" i="15"/>
  <c r="AB106" i="15"/>
  <c r="AB105" i="15"/>
  <c r="P119" i="15"/>
  <c r="S119" i="15"/>
  <c r="V118" i="15"/>
  <c r="N118" i="15"/>
  <c r="AB61" i="15"/>
  <c r="AB118" i="15"/>
  <c r="Q119" i="15"/>
  <c r="X119" i="15"/>
  <c r="H118" i="15"/>
  <c r="Z118" i="15"/>
  <c r="R69" i="15"/>
  <c r="Y70" i="15"/>
  <c r="W119" i="15"/>
  <c r="R119" i="15"/>
  <c r="N119" i="15"/>
  <c r="V69" i="15"/>
  <c r="P70" i="15"/>
  <c r="AA116" i="15"/>
  <c r="I68" i="15"/>
  <c r="T68" i="15"/>
  <c r="X70" i="15"/>
  <c r="J69" i="15"/>
  <c r="I71" i="15"/>
  <c r="I67" i="15"/>
  <c r="AA111" i="15"/>
  <c r="W69" i="15"/>
  <c r="X69" i="15"/>
  <c r="J67" i="15"/>
  <c r="J68" i="15"/>
  <c r="W67" i="15"/>
  <c r="W68" i="15"/>
  <c r="AA107" i="15"/>
  <c r="AB67" i="15"/>
  <c r="V68" i="15"/>
  <c r="H117" i="15"/>
  <c r="P67" i="15"/>
  <c r="AA65" i="15"/>
  <c r="I117" i="15"/>
  <c r="H119" i="15"/>
  <c r="Q72" i="15"/>
  <c r="R118" i="15"/>
  <c r="N68" i="15"/>
  <c r="AA108" i="15"/>
  <c r="R68" i="15"/>
  <c r="Q71" i="15"/>
  <c r="AB73" i="15"/>
  <c r="Y68" i="15"/>
  <c r="U119" i="15"/>
  <c r="AA118" i="15"/>
  <c r="H68" i="15"/>
  <c r="AA117" i="15"/>
  <c r="I119" i="15"/>
  <c r="U71" i="15"/>
  <c r="Z69" i="15"/>
  <c r="S70" i="15"/>
  <c r="Y69" i="15"/>
  <c r="Z116" i="15"/>
  <c r="O68" i="15"/>
  <c r="H67" i="15"/>
  <c r="R116" i="15"/>
  <c r="K68" i="15"/>
  <c r="W117" i="15"/>
  <c r="Z63" i="15"/>
  <c r="AA106" i="15"/>
  <c r="AA70" i="15"/>
  <c r="V117" i="15"/>
  <c r="N67" i="15"/>
  <c r="V67" i="15"/>
  <c r="U68" i="15"/>
  <c r="O67" i="15"/>
  <c r="T12" i="15"/>
  <c r="Y118" i="15"/>
  <c r="X118" i="15"/>
  <c r="W118" i="15"/>
  <c r="U118" i="15"/>
  <c r="T118" i="15"/>
  <c r="S118" i="15"/>
  <c r="Q118" i="15"/>
  <c r="P118" i="15"/>
  <c r="O118" i="15"/>
  <c r="Z117" i="15"/>
  <c r="R117" i="15"/>
  <c r="R67" i="15"/>
  <c r="K112" i="15"/>
  <c r="S67" i="15"/>
  <c r="Y67" i="15"/>
  <c r="Q117" i="15"/>
  <c r="Q67" i="15"/>
  <c r="X117" i="15"/>
  <c r="N117" i="15"/>
  <c r="J116" i="15"/>
  <c r="AA104" i="15"/>
  <c r="Y117" i="15"/>
  <c r="J117" i="15"/>
  <c r="AB117" i="15"/>
  <c r="H116" i="15"/>
  <c r="W116" i="15"/>
  <c r="U115" i="15"/>
  <c r="Q116" i="15"/>
  <c r="O66" i="15"/>
  <c r="T117" i="15"/>
  <c r="S117" i="15"/>
  <c r="P117" i="15"/>
  <c r="X67" i="15"/>
  <c r="P116" i="15"/>
  <c r="X116" i="15"/>
  <c r="Y116" i="15"/>
  <c r="P68" i="15"/>
  <c r="Z68" i="15"/>
  <c r="V116" i="15"/>
  <c r="I69" i="15"/>
  <c r="AA105" i="15"/>
  <c r="T116" i="15"/>
  <c r="X68" i="15"/>
  <c r="Q68" i="15"/>
  <c r="U117" i="15"/>
  <c r="K65" i="15"/>
  <c r="R115" i="15"/>
  <c r="H66" i="15"/>
  <c r="AA110" i="15"/>
  <c r="Q69" i="15"/>
  <c r="S69" i="15"/>
  <c r="S115" i="15"/>
  <c r="Y115" i="15"/>
  <c r="W66" i="15"/>
  <c r="O117" i="15"/>
  <c r="N116" i="15"/>
  <c r="I116" i="15"/>
  <c r="O116" i="15"/>
  <c r="Z109" i="15"/>
  <c r="T67" i="15"/>
  <c r="U116" i="15"/>
  <c r="AB115" i="15"/>
  <c r="S116" i="15"/>
  <c r="P115" i="15"/>
  <c r="AA114" i="15"/>
  <c r="J66" i="15"/>
  <c r="Y66" i="15"/>
  <c r="O115" i="15"/>
  <c r="U113" i="15"/>
  <c r="R66" i="15"/>
  <c r="T113" i="15"/>
  <c r="V115" i="15"/>
  <c r="N66" i="15"/>
  <c r="Q115" i="15"/>
  <c r="J65" i="15"/>
  <c r="I65" i="15"/>
  <c r="I66" i="15"/>
  <c r="T115" i="15"/>
  <c r="P69" i="15"/>
  <c r="I115" i="15"/>
  <c r="Z114" i="15"/>
  <c r="H115" i="15"/>
  <c r="Z115" i="15"/>
  <c r="U67" i="15"/>
  <c r="K39" i="15"/>
  <c r="K84" i="15"/>
  <c r="K85" i="15"/>
  <c r="K86" i="15"/>
  <c r="K43" i="15"/>
  <c r="K44" i="15"/>
  <c r="K96" i="15"/>
  <c r="Z108" i="15"/>
  <c r="AA69" i="15"/>
  <c r="N115" i="15"/>
  <c r="X66" i="15"/>
  <c r="Y114" i="15"/>
  <c r="X65" i="15"/>
  <c r="W115" i="15"/>
  <c r="U114" i="15"/>
  <c r="AC69" i="15"/>
  <c r="S114" i="15"/>
  <c r="O114" i="15"/>
  <c r="N114" i="15"/>
  <c r="Q114" i="15"/>
  <c r="T114" i="15"/>
  <c r="X114" i="15"/>
  <c r="H114" i="15"/>
  <c r="I114" i="15"/>
  <c r="J114" i="15"/>
  <c r="V66" i="15"/>
  <c r="X115" i="15"/>
  <c r="V65" i="15"/>
  <c r="N65" i="15"/>
  <c r="R65" i="15"/>
  <c r="H65" i="15"/>
  <c r="Z113" i="15"/>
  <c r="U66" i="15"/>
  <c r="P114" i="15"/>
  <c r="Y113" i="15"/>
  <c r="W114" i="15"/>
  <c r="S66" i="15"/>
  <c r="J115" i="15"/>
  <c r="J113" i="15"/>
  <c r="S113" i="15"/>
  <c r="V114" i="15"/>
  <c r="W65" i="15"/>
  <c r="T66" i="15"/>
  <c r="Z107" i="15"/>
  <c r="AC113" i="15"/>
  <c r="AA113" i="15"/>
  <c r="AA115" i="15"/>
  <c r="J63" i="15"/>
  <c r="O112" i="15"/>
  <c r="R113" i="15"/>
  <c r="Q66" i="15"/>
  <c r="AC68" i="15"/>
  <c r="S112" i="15"/>
  <c r="K114" i="15"/>
  <c r="R63" i="15"/>
  <c r="Z102" i="15"/>
  <c r="I113" i="15"/>
  <c r="W63" i="15"/>
  <c r="Y100" i="15"/>
  <c r="Q65" i="15"/>
  <c r="X112" i="15"/>
  <c r="P113" i="15"/>
  <c r="AA68" i="15"/>
  <c r="X113" i="15"/>
  <c r="R114" i="15"/>
  <c r="Z67" i="15"/>
  <c r="O113" i="15"/>
  <c r="U65" i="15"/>
  <c r="P66" i="15"/>
  <c r="Z112" i="15"/>
  <c r="O65" i="15"/>
  <c r="Q112" i="15"/>
  <c r="N63" i="15"/>
  <c r="J111" i="15"/>
  <c r="Y105" i="15"/>
  <c r="Q113" i="15"/>
  <c r="AB112" i="15"/>
  <c r="P65" i="15"/>
  <c r="Y111" i="15"/>
  <c r="T65" i="15"/>
  <c r="I62" i="15"/>
  <c r="R62" i="15"/>
  <c r="I63" i="15"/>
  <c r="Z66" i="15"/>
  <c r="S25" i="15"/>
  <c r="S65" i="15"/>
  <c r="Y112" i="15"/>
  <c r="Z57" i="15"/>
  <c r="H113" i="15"/>
  <c r="P112" i="15"/>
  <c r="H63" i="15"/>
  <c r="Y107" i="15"/>
  <c r="J112" i="15"/>
  <c r="I112" i="15"/>
  <c r="H112" i="15"/>
  <c r="T112" i="15"/>
  <c r="V63" i="15"/>
  <c r="Y103" i="15"/>
  <c r="N113" i="15"/>
  <c r="K82" i="15"/>
  <c r="K97" i="15"/>
  <c r="K37" i="15"/>
  <c r="K98" i="15"/>
  <c r="Z65" i="15"/>
  <c r="K38" i="15"/>
  <c r="K55" i="15"/>
  <c r="U112" i="15"/>
  <c r="W113" i="15"/>
  <c r="R112" i="15"/>
  <c r="Y65" i="15"/>
  <c r="V113" i="15"/>
  <c r="S63" i="15"/>
  <c r="K81" i="15"/>
  <c r="K83" i="15"/>
  <c r="K100" i="15"/>
  <c r="X110" i="15"/>
  <c r="J62" i="15"/>
  <c r="V61" i="15"/>
  <c r="P111" i="15"/>
  <c r="J103" i="15"/>
  <c r="Y106" i="15"/>
  <c r="N61" i="15"/>
  <c r="I60" i="15"/>
  <c r="AB66" i="15"/>
  <c r="R111" i="15"/>
  <c r="Q111" i="15"/>
  <c r="Q63" i="15"/>
  <c r="Y64" i="15"/>
  <c r="V112" i="15"/>
  <c r="V62" i="15"/>
  <c r="N62" i="15"/>
  <c r="T111" i="15"/>
  <c r="H111" i="15"/>
  <c r="X111" i="15"/>
  <c r="N111" i="15"/>
  <c r="J110" i="15"/>
  <c r="T63" i="15"/>
  <c r="X63" i="15"/>
  <c r="U111" i="15"/>
  <c r="Y108" i="15"/>
  <c r="W112" i="15"/>
  <c r="Z111" i="15"/>
  <c r="Y102" i="15"/>
  <c r="N112" i="15"/>
  <c r="AC67" i="15"/>
  <c r="P63" i="15"/>
  <c r="J94" i="15"/>
  <c r="AB110" i="15"/>
  <c r="W111" i="15"/>
  <c r="Z110" i="15"/>
  <c r="S61" i="15"/>
  <c r="U62" i="15"/>
  <c r="Q62" i="15"/>
  <c r="I111" i="15"/>
  <c r="H61" i="15"/>
  <c r="P61" i="15"/>
  <c r="S12" i="15"/>
  <c r="O63" i="15"/>
  <c r="S111" i="15"/>
  <c r="X109" i="15"/>
  <c r="U63" i="15"/>
  <c r="R61" i="15"/>
  <c r="H60" i="15"/>
  <c r="W62" i="15"/>
  <c r="U61" i="15"/>
  <c r="S60" i="15"/>
  <c r="S110" i="15"/>
  <c r="Q110" i="15"/>
  <c r="P60" i="15"/>
  <c r="J95" i="15"/>
  <c r="J96" i="15"/>
  <c r="O61" i="15"/>
  <c r="Y63" i="15"/>
  <c r="X97" i="15"/>
  <c r="N60" i="15"/>
  <c r="X62" i="15"/>
  <c r="AB65" i="15"/>
  <c r="O111" i="15"/>
  <c r="O110" i="15"/>
  <c r="R60" i="15"/>
  <c r="N110" i="15"/>
  <c r="AC110" i="15"/>
  <c r="V110" i="15"/>
  <c r="V60" i="15"/>
  <c r="AC65" i="15"/>
  <c r="AB64" i="15"/>
  <c r="T60" i="15"/>
  <c r="T62" i="15"/>
  <c r="V111" i="15"/>
  <c r="R110" i="15"/>
  <c r="I110" i="15"/>
  <c r="H110" i="15"/>
  <c r="X106" i="15"/>
  <c r="W110" i="15"/>
  <c r="Y109" i="15"/>
  <c r="W59" i="15"/>
  <c r="X99" i="15"/>
  <c r="J36" i="15"/>
  <c r="J80" i="15"/>
  <c r="O62" i="15"/>
  <c r="AC109" i="15"/>
  <c r="J102" i="15"/>
  <c r="W109" i="15"/>
  <c r="P62" i="15"/>
  <c r="J51" i="15"/>
  <c r="N59" i="15"/>
  <c r="R109" i="15"/>
  <c r="S109" i="15"/>
  <c r="H109" i="15"/>
  <c r="T109" i="15"/>
  <c r="AC16" i="15"/>
  <c r="X98" i="15"/>
  <c r="J84" i="15"/>
  <c r="AA64" i="15"/>
  <c r="J38" i="15"/>
  <c r="X102" i="15"/>
  <c r="J108" i="15"/>
  <c r="AA109" i="15"/>
  <c r="J98" i="15"/>
  <c r="J97" i="15"/>
  <c r="T110" i="15"/>
  <c r="S62" i="15"/>
  <c r="Y110" i="15"/>
  <c r="W61" i="15"/>
  <c r="J109" i="15"/>
  <c r="Y104" i="15"/>
  <c r="P110" i="15"/>
  <c r="H62" i="15"/>
  <c r="J107" i="15"/>
  <c r="U110" i="15"/>
  <c r="J39" i="15"/>
  <c r="J37" i="15"/>
  <c r="J85" i="15"/>
  <c r="Q109" i="15"/>
  <c r="V109" i="15"/>
  <c r="J40" i="15"/>
  <c r="N109" i="15"/>
  <c r="O109" i="15"/>
  <c r="V108" i="15"/>
  <c r="W107" i="15"/>
  <c r="Z62" i="15"/>
  <c r="AC91" i="15"/>
  <c r="AC15" i="15"/>
  <c r="AC85" i="15"/>
  <c r="T108" i="15"/>
  <c r="AC79" i="15"/>
  <c r="U59" i="15"/>
  <c r="AC97" i="15"/>
  <c r="AC33" i="15"/>
  <c r="AB63" i="15"/>
  <c r="AC40" i="15"/>
  <c r="AC37" i="15"/>
  <c r="P59" i="15"/>
  <c r="AC104" i="15"/>
  <c r="AC107" i="15"/>
  <c r="AC61" i="15"/>
  <c r="AC55" i="15"/>
  <c r="AC47" i="15"/>
  <c r="AC46" i="15"/>
  <c r="J100" i="15"/>
  <c r="Y62" i="15"/>
  <c r="R108" i="15"/>
  <c r="AC94" i="15"/>
  <c r="AC89" i="15"/>
  <c r="AC102" i="15"/>
  <c r="J105" i="15"/>
  <c r="W60" i="15"/>
  <c r="I61" i="15"/>
  <c r="AC52" i="15"/>
  <c r="U109" i="15"/>
  <c r="U60" i="15"/>
  <c r="T61" i="15"/>
  <c r="Q60" i="15"/>
  <c r="AC58" i="15"/>
  <c r="O60" i="15"/>
  <c r="X100" i="15"/>
  <c r="X108" i="15"/>
  <c r="K16" i="15"/>
  <c r="Q61" i="15"/>
  <c r="AC64" i="15"/>
  <c r="X103" i="15"/>
  <c r="J104" i="15"/>
  <c r="J106" i="15"/>
  <c r="P109" i="15"/>
  <c r="I109" i="15"/>
  <c r="AA63" i="15"/>
  <c r="J50" i="15"/>
  <c r="AC54" i="15"/>
  <c r="AC30" i="15"/>
  <c r="I108" i="15"/>
  <c r="AC88" i="15"/>
  <c r="AC44" i="15"/>
  <c r="O108" i="15"/>
  <c r="AA62" i="15"/>
  <c r="AC56" i="15"/>
  <c r="AC42" i="15"/>
  <c r="AC106" i="15"/>
  <c r="T59" i="15"/>
  <c r="AC48" i="15"/>
  <c r="S108" i="15"/>
  <c r="AB16" i="15"/>
  <c r="AC84" i="15"/>
  <c r="K105" i="15"/>
  <c r="U107" i="15"/>
  <c r="AC36" i="15"/>
  <c r="Z106" i="15"/>
  <c r="AC49" i="15"/>
  <c r="T106" i="15"/>
  <c r="AC32" i="15"/>
  <c r="X101" i="15"/>
  <c r="AC90" i="15"/>
  <c r="O106" i="15"/>
  <c r="W95" i="15"/>
  <c r="AC43" i="15"/>
  <c r="AC57" i="15"/>
  <c r="J99" i="15"/>
  <c r="X107" i="15"/>
  <c r="AC99" i="15"/>
  <c r="AC39" i="15"/>
  <c r="AC41" i="15"/>
  <c r="P106" i="15"/>
  <c r="O107" i="15"/>
  <c r="W54" i="15"/>
  <c r="Q108" i="15"/>
  <c r="AC45" i="15"/>
  <c r="U106" i="15"/>
  <c r="W51" i="15"/>
  <c r="AC83" i="15"/>
  <c r="I107" i="15"/>
  <c r="AC87" i="15"/>
  <c r="H108" i="15"/>
  <c r="AC38" i="15"/>
  <c r="AC81" i="15"/>
  <c r="U108" i="15"/>
  <c r="AB62" i="15"/>
  <c r="P108" i="15"/>
  <c r="R25" i="15"/>
  <c r="AC60" i="15"/>
  <c r="AC34" i="15"/>
  <c r="AC105" i="15"/>
  <c r="O59" i="15"/>
  <c r="W108" i="15"/>
  <c r="T58" i="15"/>
  <c r="AC51" i="15"/>
  <c r="V58" i="15"/>
  <c r="AC93" i="15"/>
  <c r="AC96" i="15"/>
  <c r="AC19" i="15"/>
  <c r="AC82" i="15"/>
  <c r="AC53" i="15"/>
  <c r="AC100" i="15"/>
  <c r="V107" i="15"/>
  <c r="AC80" i="15"/>
  <c r="H107" i="15"/>
  <c r="AC103" i="15"/>
  <c r="S107" i="15"/>
  <c r="AC95" i="15"/>
  <c r="AC50" i="15"/>
  <c r="N108" i="15"/>
  <c r="AC31" i="15"/>
  <c r="AC78" i="15"/>
  <c r="AC20" i="15"/>
  <c r="Q106" i="15"/>
  <c r="T107" i="15"/>
  <c r="AC101" i="15"/>
  <c r="AC62" i="15"/>
  <c r="AC98" i="15"/>
  <c r="R107" i="15"/>
  <c r="AC59" i="15"/>
  <c r="AC29" i="15"/>
  <c r="AC11" i="15"/>
  <c r="AC28" i="15"/>
  <c r="W98" i="15"/>
  <c r="AC92" i="15"/>
  <c r="AC86" i="15"/>
  <c r="K106" i="15"/>
  <c r="P107" i="15"/>
  <c r="AC35" i="15"/>
  <c r="X61" i="15"/>
  <c r="J54" i="15"/>
  <c r="K61" i="15"/>
  <c r="H56" i="15"/>
  <c r="S56" i="15"/>
  <c r="W106" i="15"/>
  <c r="W100" i="15"/>
  <c r="N107" i="15"/>
  <c r="Q107" i="15"/>
  <c r="J52" i="15"/>
  <c r="X104" i="15"/>
  <c r="N56" i="15"/>
  <c r="R56" i="15"/>
  <c r="H106" i="15"/>
  <c r="Z105" i="15"/>
  <c r="R106" i="15"/>
  <c r="X105" i="15"/>
  <c r="I56" i="15"/>
  <c r="I106" i="15"/>
  <c r="N106" i="15"/>
  <c r="W105" i="15"/>
  <c r="S106" i="15"/>
  <c r="Z61" i="15"/>
  <c r="AA61" i="15"/>
  <c r="J55" i="15"/>
  <c r="AB59" i="15"/>
  <c r="P105" i="15"/>
  <c r="AB55" i="15"/>
  <c r="AB86" i="15"/>
  <c r="AB40" i="15"/>
  <c r="AB97" i="15"/>
  <c r="AB11" i="15"/>
  <c r="AB32" i="15"/>
  <c r="Z104" i="15"/>
  <c r="AB91" i="15"/>
  <c r="AB99" i="15"/>
  <c r="AB101" i="15"/>
  <c r="O55" i="15"/>
  <c r="AB89" i="15"/>
  <c r="AB90" i="15"/>
  <c r="AB31" i="15"/>
  <c r="AB48" i="15"/>
  <c r="AB15" i="15"/>
  <c r="AB44" i="15"/>
  <c r="AB85" i="15"/>
  <c r="N105" i="15"/>
  <c r="R105" i="15"/>
  <c r="W58" i="15"/>
  <c r="AB53" i="15"/>
  <c r="U56" i="15"/>
  <c r="T105" i="15"/>
  <c r="I55" i="15"/>
  <c r="AA60" i="15"/>
  <c r="AA16" i="15"/>
  <c r="N55" i="15"/>
  <c r="AB30" i="15"/>
  <c r="AB41" i="15"/>
  <c r="AB103" i="15"/>
  <c r="AB88" i="15"/>
  <c r="AB39" i="15"/>
  <c r="K60" i="15"/>
  <c r="AB78" i="15"/>
  <c r="AB36" i="15"/>
  <c r="AB54" i="15"/>
  <c r="AB38" i="15"/>
  <c r="AB42" i="15"/>
  <c r="AB34" i="15"/>
  <c r="Q105" i="15"/>
  <c r="V103" i="15"/>
  <c r="H55" i="15"/>
  <c r="R55" i="15"/>
  <c r="AB46" i="15"/>
  <c r="AB28" i="15"/>
  <c r="AB82" i="15"/>
  <c r="K104" i="15"/>
  <c r="AB104" i="15"/>
  <c r="S105" i="15"/>
  <c r="U105" i="15"/>
  <c r="O105" i="15"/>
  <c r="AB60" i="15"/>
  <c r="AB84" i="15"/>
  <c r="Z60" i="15"/>
  <c r="AB102" i="15"/>
  <c r="AB49" i="15"/>
  <c r="AB52" i="15"/>
  <c r="AB50" i="15"/>
  <c r="AB81" i="15"/>
  <c r="AB94" i="15"/>
  <c r="U58" i="15"/>
  <c r="W99" i="15"/>
  <c r="AB57" i="15"/>
  <c r="W53" i="15"/>
  <c r="AB98" i="15"/>
  <c r="AB100" i="15"/>
  <c r="AB56" i="15"/>
  <c r="AB95" i="15"/>
  <c r="AB83" i="15"/>
  <c r="V105" i="15"/>
  <c r="V106" i="15"/>
  <c r="AB87" i="15"/>
  <c r="O56" i="15"/>
  <c r="S55" i="15"/>
  <c r="AB20" i="15"/>
  <c r="Z103" i="15"/>
  <c r="N54" i="15"/>
  <c r="S104" i="15"/>
  <c r="P55" i="15"/>
  <c r="AA20" i="15"/>
  <c r="U103" i="15"/>
  <c r="O103" i="15"/>
  <c r="V102" i="15"/>
  <c r="AA86" i="15"/>
  <c r="AA36" i="15"/>
  <c r="Q55" i="15"/>
  <c r="AB96" i="15"/>
  <c r="N104" i="15"/>
  <c r="Q56" i="15"/>
  <c r="H54" i="15"/>
  <c r="T104" i="15"/>
  <c r="AA100" i="15"/>
  <c r="O54" i="15"/>
  <c r="P103" i="15"/>
  <c r="AA28" i="15"/>
  <c r="AA92" i="15"/>
  <c r="AA94" i="15"/>
  <c r="V104" i="15"/>
  <c r="AB92" i="15"/>
  <c r="AB19" i="15"/>
  <c r="AB29" i="15"/>
  <c r="AB93" i="15"/>
  <c r="AB43" i="15"/>
  <c r="AB51" i="15"/>
  <c r="P56" i="15"/>
  <c r="AB35" i="15"/>
  <c r="T56" i="15"/>
  <c r="J101" i="15"/>
  <c r="AB58" i="15"/>
  <c r="AB80" i="15"/>
  <c r="R12" i="15"/>
  <c r="H105" i="15"/>
  <c r="AB47" i="15"/>
  <c r="AB79" i="15"/>
  <c r="AB33" i="15"/>
  <c r="AB37" i="15"/>
  <c r="J45" i="15"/>
  <c r="J91" i="15"/>
  <c r="J53" i="15"/>
  <c r="I105" i="15"/>
  <c r="AB45" i="15"/>
  <c r="Z59" i="15"/>
  <c r="U53" i="15"/>
  <c r="R54" i="15"/>
  <c r="I54" i="15"/>
  <c r="Q104" i="15"/>
  <c r="P104" i="15"/>
  <c r="O104" i="15"/>
  <c r="I104" i="15"/>
  <c r="T55" i="15"/>
  <c r="U55" i="15"/>
  <c r="V97" i="15"/>
  <c r="AA81" i="15"/>
  <c r="AA40" i="15"/>
  <c r="S54" i="15"/>
  <c r="P54" i="15"/>
  <c r="T103" i="15"/>
  <c r="S103" i="15"/>
  <c r="Q103" i="15"/>
  <c r="H103" i="15"/>
  <c r="AA97" i="15"/>
  <c r="AA29" i="15"/>
  <c r="I103" i="15"/>
  <c r="AA87" i="15"/>
  <c r="AA102" i="15"/>
  <c r="AA35" i="15"/>
  <c r="AA93" i="15"/>
  <c r="V56" i="15"/>
  <c r="U104" i="15"/>
  <c r="AA83" i="15"/>
  <c r="V99" i="15"/>
  <c r="R104" i="15"/>
  <c r="V52" i="15"/>
  <c r="K103" i="15"/>
  <c r="Z16" i="15"/>
  <c r="AA96" i="15"/>
  <c r="AA19" i="15"/>
  <c r="AA30" i="15"/>
  <c r="Z58" i="15"/>
  <c r="AA88" i="15"/>
  <c r="AA90" i="15"/>
  <c r="AA80" i="15"/>
  <c r="AA99" i="15"/>
  <c r="AA34" i="15"/>
  <c r="AA89" i="15"/>
  <c r="K58" i="15"/>
  <c r="N103" i="15"/>
  <c r="AA33" i="15"/>
  <c r="AA79" i="15"/>
  <c r="AA38" i="15"/>
  <c r="W104" i="15"/>
  <c r="W103" i="15"/>
  <c r="W102" i="15"/>
  <c r="H104" i="15"/>
  <c r="AA11" i="15"/>
  <c r="AA31" i="15"/>
  <c r="R103" i="15"/>
  <c r="K59" i="15"/>
  <c r="AA37" i="15"/>
  <c r="W55" i="15"/>
  <c r="W101" i="15"/>
  <c r="K102" i="15"/>
  <c r="AA85" i="15"/>
  <c r="AA50" i="15"/>
  <c r="I102" i="15"/>
  <c r="U102" i="15"/>
  <c r="Q102" i="15"/>
  <c r="S102" i="15"/>
  <c r="O102" i="15"/>
  <c r="N53" i="15"/>
  <c r="N102" i="15"/>
  <c r="U94" i="15"/>
  <c r="T102" i="15"/>
  <c r="R102" i="15"/>
  <c r="I52" i="15"/>
  <c r="U99" i="15"/>
  <c r="P51" i="15"/>
  <c r="H102" i="15"/>
  <c r="I101" i="15"/>
  <c r="R53" i="15"/>
  <c r="P102" i="15"/>
  <c r="N52" i="15"/>
  <c r="V100" i="15"/>
  <c r="H53" i="15"/>
  <c r="R52" i="15"/>
  <c r="T53" i="15"/>
  <c r="Y57" i="15"/>
  <c r="V95" i="15"/>
  <c r="Z35" i="15"/>
  <c r="Z87" i="15"/>
  <c r="Z89" i="15"/>
  <c r="Z32" i="15"/>
  <c r="Z95" i="15"/>
  <c r="Z101" i="15"/>
  <c r="Z96" i="15"/>
  <c r="Z80" i="15"/>
  <c r="Z36" i="15"/>
  <c r="Z88" i="15"/>
  <c r="Z82" i="15"/>
  <c r="Z11" i="15"/>
  <c r="Z19" i="15"/>
  <c r="Z33" i="15"/>
  <c r="Z86" i="15"/>
  <c r="Z20" i="15"/>
  <c r="Z81" i="15"/>
  <c r="Z97" i="15"/>
  <c r="Z100" i="15"/>
  <c r="N101" i="15"/>
  <c r="H101" i="15"/>
  <c r="R101" i="15"/>
  <c r="AA15" i="15"/>
  <c r="V51" i="15"/>
  <c r="AA95" i="15"/>
  <c r="AA41" i="15"/>
  <c r="AA82" i="15"/>
  <c r="AA91" i="15"/>
  <c r="AA49" i="15"/>
  <c r="AA39" i="15"/>
  <c r="AA45" i="15"/>
  <c r="Q54" i="15"/>
  <c r="U54" i="15"/>
  <c r="K57" i="15"/>
  <c r="T54" i="15"/>
  <c r="V55" i="15"/>
  <c r="V54" i="15"/>
  <c r="Y101" i="15"/>
  <c r="AA98" i="15"/>
  <c r="V96" i="15"/>
  <c r="AA59" i="15"/>
  <c r="AA51" i="15"/>
  <c r="AA44" i="15"/>
  <c r="AA101" i="15"/>
  <c r="U101" i="15"/>
  <c r="AA55" i="15"/>
  <c r="AA32" i="15"/>
  <c r="AA53" i="15"/>
  <c r="AA48" i="15"/>
  <c r="V50" i="15"/>
  <c r="AA84" i="15"/>
  <c r="AA103" i="15"/>
  <c r="AA57" i="15"/>
  <c r="AA78" i="15"/>
  <c r="AA52" i="15"/>
  <c r="AA47" i="15"/>
  <c r="AA58" i="15"/>
  <c r="AA46" i="15"/>
  <c r="AA56" i="15"/>
  <c r="Y58" i="15"/>
  <c r="AA54" i="15"/>
  <c r="AA42" i="15"/>
  <c r="AA43" i="15"/>
  <c r="H25" i="15"/>
  <c r="Z50" i="15"/>
  <c r="H52" i="15"/>
  <c r="V101" i="15"/>
  <c r="Z54" i="15"/>
  <c r="Q100" i="15"/>
  <c r="T100" i="15"/>
  <c r="T101" i="15"/>
  <c r="Z98" i="15"/>
  <c r="Z91" i="15"/>
  <c r="Z90" i="15"/>
  <c r="Z49" i="15"/>
  <c r="Z55" i="15"/>
  <c r="Z15" i="15"/>
  <c r="Z52" i="15"/>
  <c r="Z39" i="15"/>
  <c r="K101" i="15"/>
  <c r="Z48" i="15"/>
  <c r="Z47" i="15"/>
  <c r="Z46" i="15"/>
  <c r="Z45" i="15"/>
  <c r="Z44" i="15"/>
  <c r="Z43" i="15"/>
  <c r="Z42" i="15"/>
  <c r="Z41" i="15"/>
  <c r="Z31" i="15"/>
  <c r="Z30" i="15"/>
  <c r="Z29" i="15"/>
  <c r="Z28" i="15"/>
  <c r="Z37" i="15"/>
  <c r="Z34" i="15"/>
  <c r="Z51" i="15"/>
  <c r="Q25" i="15"/>
  <c r="Y16" i="15"/>
  <c r="J16" i="15"/>
  <c r="Y56" i="15"/>
  <c r="I53" i="15"/>
  <c r="Z99" i="15"/>
  <c r="Z83" i="15"/>
  <c r="Z53" i="15"/>
  <c r="P52" i="15"/>
  <c r="T52" i="15"/>
  <c r="O53" i="15"/>
  <c r="Q52" i="15"/>
  <c r="Z85" i="15"/>
  <c r="T50" i="15"/>
  <c r="S100" i="15"/>
  <c r="O100" i="15"/>
  <c r="P100" i="15"/>
  <c r="X55" i="15"/>
  <c r="S101" i="15"/>
  <c r="V53" i="15"/>
  <c r="T51" i="15"/>
  <c r="Y98" i="15"/>
  <c r="Y51" i="15"/>
  <c r="Y33" i="15"/>
  <c r="Y92" i="15"/>
  <c r="Y32" i="15"/>
  <c r="Y84" i="15"/>
  <c r="Y88" i="15"/>
  <c r="Y93" i="15"/>
  <c r="Y80" i="15"/>
  <c r="Y86" i="15"/>
  <c r="Y97" i="15"/>
  <c r="Y15" i="15"/>
  <c r="Y40" i="15"/>
  <c r="Y29" i="15"/>
  <c r="Y43" i="15"/>
  <c r="Z56" i="15"/>
  <c r="Y46" i="15"/>
  <c r="Y53" i="15"/>
  <c r="Y89" i="15"/>
  <c r="Y85" i="15"/>
  <c r="Y94" i="15"/>
  <c r="Y96" i="15"/>
  <c r="Y39" i="15"/>
  <c r="T99" i="15"/>
  <c r="N99" i="15"/>
  <c r="H99" i="15"/>
  <c r="R99" i="15"/>
  <c r="H12" i="15"/>
  <c r="Q12" i="15"/>
  <c r="K99" i="15"/>
  <c r="K54" i="15"/>
  <c r="X54" i="15"/>
  <c r="X16" i="15"/>
  <c r="P50" i="15"/>
  <c r="I94" i="15"/>
  <c r="I47" i="15"/>
  <c r="Q101" i="15"/>
  <c r="U92" i="15"/>
  <c r="T45" i="15"/>
  <c r="O52" i="15"/>
  <c r="V98" i="15"/>
  <c r="Z93" i="15"/>
  <c r="K56" i="15"/>
  <c r="Y79" i="15"/>
  <c r="I37" i="15"/>
  <c r="Z38" i="15"/>
  <c r="O51" i="15"/>
  <c r="H51" i="15"/>
  <c r="I99" i="15"/>
  <c r="Z79" i="15"/>
  <c r="P53" i="15"/>
  <c r="P101" i="15"/>
  <c r="N51" i="15"/>
  <c r="Z92" i="15"/>
  <c r="Y87" i="15"/>
  <c r="Q53" i="15"/>
  <c r="S53" i="15"/>
  <c r="I46" i="15"/>
  <c r="U96" i="15"/>
  <c r="O101" i="15"/>
  <c r="U100" i="15"/>
  <c r="S51" i="15"/>
  <c r="Z40" i="15"/>
  <c r="Z78" i="15"/>
  <c r="I81" i="15"/>
  <c r="I82" i="15"/>
  <c r="H100" i="15"/>
  <c r="Z84" i="15"/>
  <c r="S52" i="15"/>
  <c r="R51" i="15"/>
  <c r="Z94" i="15"/>
  <c r="Y48" i="15"/>
  <c r="I100" i="15"/>
  <c r="T98" i="15"/>
  <c r="N100" i="15"/>
  <c r="U98" i="15"/>
  <c r="I98" i="15"/>
  <c r="N50" i="15"/>
  <c r="I51" i="15"/>
  <c r="Y20" i="15"/>
  <c r="K53" i="15"/>
  <c r="Q99" i="15"/>
  <c r="H50" i="15"/>
  <c r="H98" i="15"/>
  <c r="P99" i="15"/>
  <c r="N98" i="15"/>
  <c r="W97" i="15"/>
  <c r="O99" i="15"/>
  <c r="Y35" i="15"/>
  <c r="Y55" i="15"/>
  <c r="R98" i="15"/>
  <c r="Y41" i="15"/>
  <c r="Y28" i="15"/>
  <c r="Y34" i="15"/>
  <c r="Y11" i="15"/>
  <c r="Y49" i="15"/>
  <c r="Y45" i="15"/>
  <c r="Y42" i="15"/>
  <c r="Y31" i="15"/>
  <c r="Y19" i="15"/>
  <c r="Y38" i="15"/>
  <c r="Y36" i="15"/>
  <c r="Y91" i="15"/>
  <c r="Y95" i="15"/>
  <c r="Y30" i="15"/>
  <c r="Y78" i="15"/>
  <c r="Y82" i="15"/>
  <c r="Y81" i="15"/>
  <c r="Y99" i="15"/>
  <c r="Q50" i="15"/>
  <c r="R50" i="15"/>
  <c r="S99" i="15"/>
  <c r="J35" i="15"/>
  <c r="I93" i="15"/>
  <c r="Y44" i="15"/>
  <c r="Y90" i="15"/>
  <c r="T47" i="15"/>
  <c r="Y50" i="15"/>
  <c r="H48" i="15"/>
  <c r="P98" i="15"/>
  <c r="Y47" i="15"/>
  <c r="N49" i="15"/>
  <c r="R100" i="15"/>
  <c r="U47" i="15"/>
  <c r="T97" i="15"/>
  <c r="Y52" i="15"/>
  <c r="Q51" i="15"/>
  <c r="O50" i="15"/>
  <c r="Q98" i="15"/>
  <c r="H49" i="15"/>
  <c r="I87" i="15"/>
  <c r="Y54" i="15"/>
  <c r="Y83" i="15"/>
  <c r="T89" i="15"/>
  <c r="O98" i="15"/>
  <c r="T92" i="15"/>
  <c r="S97" i="15"/>
  <c r="X41" i="15"/>
  <c r="X81" i="15"/>
  <c r="X87" i="15"/>
  <c r="W16" i="15"/>
  <c r="T96" i="15"/>
  <c r="T94" i="15"/>
  <c r="N97" i="15"/>
  <c r="U52" i="15"/>
  <c r="T93" i="15"/>
  <c r="S98" i="15"/>
  <c r="R48" i="15"/>
  <c r="I44" i="15"/>
  <c r="Y37" i="15"/>
  <c r="T95" i="15"/>
  <c r="S95" i="15"/>
  <c r="T49" i="15"/>
  <c r="S49" i="15"/>
  <c r="N48" i="15"/>
  <c r="P49" i="15"/>
  <c r="S48" i="15"/>
  <c r="W96" i="15"/>
  <c r="X45" i="15"/>
  <c r="S93" i="15"/>
  <c r="X93" i="15"/>
  <c r="X53" i="15"/>
  <c r="X86" i="15"/>
  <c r="H97" i="15"/>
  <c r="O96" i="15"/>
  <c r="R49" i="15"/>
  <c r="X85" i="15"/>
  <c r="I49" i="15"/>
  <c r="U93" i="15"/>
  <c r="O48" i="15"/>
  <c r="O97" i="15"/>
  <c r="X51" i="15"/>
  <c r="T44" i="15"/>
  <c r="Q97" i="15"/>
  <c r="X29" i="15"/>
  <c r="X11" i="15"/>
  <c r="X83" i="15"/>
  <c r="X49" i="15"/>
  <c r="X20" i="15"/>
  <c r="X94" i="15"/>
  <c r="X36" i="15"/>
  <c r="X46" i="15"/>
  <c r="X89" i="15"/>
  <c r="X48" i="15"/>
  <c r="X79" i="15"/>
  <c r="K52" i="15"/>
  <c r="X40" i="15"/>
  <c r="X44" i="15"/>
  <c r="X95" i="15"/>
  <c r="X90" i="15"/>
  <c r="X96" i="15"/>
  <c r="X32" i="15"/>
  <c r="T90" i="15"/>
  <c r="X50" i="15"/>
  <c r="U50" i="15"/>
  <c r="I50" i="15"/>
  <c r="U97" i="15"/>
  <c r="I97" i="15"/>
  <c r="X84" i="15"/>
  <c r="X42" i="15"/>
  <c r="X80" i="15"/>
  <c r="X37" i="15"/>
  <c r="X91" i="15"/>
  <c r="X33" i="15"/>
  <c r="X78" i="15"/>
  <c r="X19" i="15"/>
  <c r="X88" i="15"/>
  <c r="X35" i="15"/>
  <c r="X47" i="15"/>
  <c r="W52" i="15"/>
  <c r="P97" i="15"/>
  <c r="T91" i="15"/>
  <c r="O49" i="15"/>
  <c r="P96" i="15"/>
  <c r="Q96" i="15"/>
  <c r="O47" i="15"/>
  <c r="S96" i="15"/>
  <c r="X92" i="15"/>
  <c r="X34" i="15"/>
  <c r="X52" i="15"/>
  <c r="X39" i="15"/>
  <c r="X15" i="15"/>
  <c r="X43" i="15"/>
  <c r="X28" i="15"/>
  <c r="X30" i="15"/>
  <c r="X82" i="15"/>
  <c r="X31" i="15"/>
  <c r="X38" i="15"/>
  <c r="I95" i="15"/>
  <c r="U51" i="15"/>
  <c r="I90" i="15"/>
  <c r="I88" i="15"/>
  <c r="I40" i="15"/>
  <c r="I43" i="15"/>
  <c r="I85" i="15"/>
  <c r="S50" i="15"/>
  <c r="T46" i="15"/>
  <c r="I96" i="15"/>
  <c r="Q48" i="15"/>
  <c r="K51" i="15"/>
  <c r="I91" i="15"/>
  <c r="I86" i="15"/>
  <c r="I41" i="15"/>
  <c r="Q49" i="15"/>
  <c r="I42" i="15"/>
  <c r="I84" i="15"/>
  <c r="W83" i="15"/>
  <c r="W87" i="15"/>
  <c r="W94" i="15"/>
  <c r="T82" i="15"/>
  <c r="R47" i="15"/>
  <c r="T36" i="15"/>
  <c r="W88" i="15"/>
  <c r="T84" i="15"/>
  <c r="W82" i="15"/>
  <c r="W46" i="15"/>
  <c r="W36" i="15"/>
  <c r="Q95" i="15"/>
  <c r="H47" i="15"/>
  <c r="O95" i="15"/>
  <c r="S94" i="15"/>
  <c r="T40" i="15"/>
  <c r="W89" i="15"/>
  <c r="H95" i="15"/>
  <c r="U49" i="15"/>
  <c r="U95" i="15"/>
  <c r="P48" i="15"/>
  <c r="R97" i="15"/>
  <c r="N47" i="15"/>
  <c r="W48" i="15"/>
  <c r="P25" i="15"/>
  <c r="T42" i="15"/>
  <c r="W37" i="15"/>
  <c r="W40" i="15"/>
  <c r="V16" i="15"/>
  <c r="H96" i="15"/>
  <c r="Q47" i="15"/>
  <c r="S88" i="15"/>
  <c r="W84" i="15"/>
  <c r="W11" i="15"/>
  <c r="N46" i="15"/>
  <c r="W38" i="15"/>
  <c r="K95" i="15"/>
  <c r="W90" i="15"/>
  <c r="W30" i="15"/>
  <c r="W85" i="15"/>
  <c r="W33" i="15"/>
  <c r="K50" i="15"/>
  <c r="W47" i="15"/>
  <c r="W80" i="15"/>
  <c r="W43" i="15"/>
  <c r="W81" i="15"/>
  <c r="W41" i="15"/>
  <c r="W28" i="15"/>
  <c r="W15" i="15"/>
  <c r="W39" i="15"/>
  <c r="W34" i="15"/>
  <c r="W92" i="15"/>
  <c r="W32" i="15"/>
  <c r="W42" i="15"/>
  <c r="R92" i="15"/>
  <c r="T15" i="15"/>
  <c r="P95" i="15"/>
  <c r="W93" i="15"/>
  <c r="T87" i="15"/>
  <c r="W79" i="15"/>
  <c r="N96" i="15"/>
  <c r="N95" i="15"/>
  <c r="S43" i="15"/>
  <c r="W86" i="15"/>
  <c r="T35" i="15"/>
  <c r="T88" i="15"/>
  <c r="S44" i="15"/>
  <c r="W31" i="15"/>
  <c r="W78" i="15"/>
  <c r="H46" i="15"/>
  <c r="I36" i="15"/>
  <c r="I45" i="15"/>
  <c r="R96" i="15"/>
  <c r="W19" i="15"/>
  <c r="I35" i="15"/>
  <c r="I38" i="15"/>
  <c r="I39" i="15"/>
  <c r="I89" i="15"/>
  <c r="W50" i="15"/>
  <c r="P47" i="15"/>
  <c r="W91" i="15"/>
  <c r="W20" i="15"/>
  <c r="W45" i="15"/>
  <c r="W49" i="15"/>
  <c r="R46" i="15"/>
  <c r="W29" i="15"/>
  <c r="W35" i="15"/>
  <c r="W44" i="15"/>
  <c r="I92" i="15"/>
  <c r="S45" i="15"/>
  <c r="P46" i="15"/>
  <c r="S42" i="15"/>
  <c r="V94" i="15"/>
  <c r="T79" i="15"/>
  <c r="T30" i="15"/>
  <c r="N94" i="15"/>
  <c r="R45" i="15"/>
  <c r="H94" i="15"/>
  <c r="K49" i="15"/>
  <c r="T34" i="15"/>
  <c r="T31" i="15"/>
  <c r="N45" i="15"/>
  <c r="Q94" i="15"/>
  <c r="H45" i="15"/>
  <c r="S47" i="15"/>
  <c r="S15" i="15"/>
  <c r="O46" i="15"/>
  <c r="T78" i="15"/>
  <c r="J49" i="15"/>
  <c r="R95" i="15"/>
  <c r="S87" i="15"/>
  <c r="O44" i="15"/>
  <c r="S89" i="15"/>
  <c r="S40" i="15"/>
  <c r="S35" i="15"/>
  <c r="S19" i="15"/>
  <c r="S36" i="15"/>
  <c r="R44" i="15"/>
  <c r="S92" i="15"/>
  <c r="K94" i="15"/>
  <c r="V83" i="15"/>
  <c r="R93" i="15"/>
  <c r="V36" i="15"/>
  <c r="R94" i="15"/>
  <c r="H93" i="15"/>
  <c r="O94" i="15"/>
  <c r="P12" i="15"/>
  <c r="P44" i="15"/>
  <c r="N93" i="15"/>
  <c r="V78" i="15"/>
  <c r="I16" i="15"/>
  <c r="V34" i="15"/>
  <c r="V85" i="15"/>
  <c r="J48" i="15"/>
  <c r="H92" i="15"/>
  <c r="N42" i="15"/>
  <c r="H42" i="15"/>
  <c r="H43" i="15"/>
  <c r="V92" i="15"/>
  <c r="S39" i="15"/>
  <c r="U16" i="15"/>
  <c r="R38" i="15"/>
  <c r="S86" i="15"/>
  <c r="P93" i="15"/>
  <c r="S41" i="15"/>
  <c r="Q93" i="15"/>
  <c r="Q43" i="15"/>
  <c r="V45" i="15"/>
  <c r="V47" i="15"/>
  <c r="V35" i="15"/>
  <c r="V33" i="15"/>
  <c r="V15" i="15"/>
  <c r="V39" i="15"/>
  <c r="V49" i="15"/>
  <c r="V46" i="15"/>
  <c r="V41" i="15"/>
  <c r="V29" i="15"/>
  <c r="V19" i="15"/>
  <c r="V20" i="15"/>
  <c r="V42" i="15"/>
  <c r="V30" i="15"/>
  <c r="V93" i="15"/>
  <c r="V31" i="15"/>
  <c r="V38" i="15"/>
  <c r="V11" i="15"/>
  <c r="V28" i="15"/>
  <c r="V44" i="15"/>
  <c r="V48" i="15"/>
  <c r="V32" i="15"/>
  <c r="V84" i="15"/>
  <c r="V86" i="15"/>
  <c r="V88" i="15"/>
  <c r="V91" i="15"/>
  <c r="V79" i="15"/>
  <c r="V81" i="15"/>
  <c r="V40" i="15"/>
  <c r="Q46" i="15"/>
  <c r="O45" i="15"/>
  <c r="P94" i="15"/>
  <c r="K48" i="15"/>
  <c r="S38" i="15"/>
  <c r="S37" i="15"/>
  <c r="S82" i="15"/>
  <c r="Q45" i="15"/>
  <c r="R91" i="15"/>
  <c r="O92" i="15"/>
  <c r="S85" i="15"/>
  <c r="S84" i="15"/>
  <c r="S81" i="15"/>
  <c r="V82" i="15"/>
  <c r="V37" i="15"/>
  <c r="V89" i="15"/>
  <c r="P45" i="15"/>
  <c r="P42" i="15"/>
  <c r="V80" i="15"/>
  <c r="V90" i="15"/>
  <c r="K93" i="15"/>
  <c r="J93" i="15"/>
  <c r="P92" i="15"/>
  <c r="V43" i="15"/>
  <c r="V87" i="15"/>
  <c r="N92" i="15"/>
  <c r="R37" i="15"/>
  <c r="N43" i="15"/>
  <c r="R82" i="15"/>
  <c r="R90" i="15"/>
  <c r="O93" i="15"/>
  <c r="R84" i="15"/>
  <c r="R42" i="15"/>
  <c r="U90" i="15"/>
  <c r="U80" i="15"/>
  <c r="U91" i="15"/>
  <c r="J92" i="15"/>
  <c r="U45" i="15"/>
  <c r="Q92" i="15"/>
  <c r="U29" i="15"/>
  <c r="U82" i="15"/>
  <c r="U83" i="15"/>
  <c r="R43" i="15"/>
  <c r="U35" i="15"/>
  <c r="Q42" i="15"/>
  <c r="U32" i="15"/>
  <c r="R35" i="15"/>
  <c r="U79" i="15"/>
  <c r="U41" i="15"/>
  <c r="U30" i="15"/>
  <c r="K91" i="15"/>
  <c r="R15" i="15"/>
  <c r="R81" i="15"/>
  <c r="U36" i="15"/>
  <c r="P43" i="15"/>
  <c r="U39" i="15"/>
  <c r="U20" i="15"/>
  <c r="K47" i="15"/>
  <c r="R19" i="15"/>
  <c r="U33" i="15"/>
  <c r="U19" i="15"/>
  <c r="R83" i="15"/>
  <c r="R40" i="15"/>
  <c r="J47" i="15"/>
  <c r="R36" i="15"/>
  <c r="K46" i="15"/>
  <c r="U34" i="15"/>
  <c r="U46" i="15"/>
  <c r="U42" i="15"/>
  <c r="R80" i="15"/>
  <c r="K92" i="15"/>
  <c r="U88" i="15"/>
  <c r="U87" i="15"/>
  <c r="S46" i="15"/>
  <c r="U43" i="15"/>
  <c r="J46" i="15"/>
  <c r="O42" i="15"/>
  <c r="U31" i="15"/>
  <c r="U37" i="15"/>
  <c r="Q41" i="15"/>
  <c r="N91" i="15"/>
  <c r="U84" i="15"/>
  <c r="U40" i="15"/>
  <c r="U89" i="15"/>
  <c r="U15" i="15"/>
  <c r="U86" i="15"/>
  <c r="H91" i="15"/>
  <c r="N41" i="15"/>
  <c r="U28" i="15"/>
  <c r="U78" i="15"/>
  <c r="U38" i="15"/>
  <c r="U11" i="15"/>
  <c r="U44" i="15"/>
  <c r="U81" i="15"/>
  <c r="H41" i="15"/>
  <c r="U85" i="15"/>
  <c r="R78" i="15"/>
  <c r="O41" i="15"/>
  <c r="R28" i="15"/>
  <c r="T20" i="15"/>
  <c r="P90" i="15"/>
  <c r="S91" i="15"/>
  <c r="H39" i="15"/>
  <c r="R79" i="15"/>
  <c r="O91" i="15"/>
  <c r="P40" i="15"/>
  <c r="N39" i="15"/>
  <c r="R33" i="15"/>
  <c r="J90" i="15"/>
  <c r="Q91" i="15"/>
  <c r="O25" i="15"/>
  <c r="S33" i="15"/>
  <c r="S78" i="15"/>
  <c r="S11" i="15"/>
  <c r="S32" i="15"/>
  <c r="S31" i="15"/>
  <c r="S30" i="15"/>
  <c r="S29" i="15"/>
  <c r="S28" i="15"/>
  <c r="S34" i="15"/>
  <c r="S79" i="15"/>
  <c r="S80" i="15"/>
  <c r="S83" i="15"/>
  <c r="R89" i="15"/>
  <c r="R29" i="15"/>
  <c r="R34" i="15"/>
  <c r="O40" i="15"/>
  <c r="N90" i="15"/>
  <c r="S90" i="15"/>
  <c r="R11" i="15"/>
  <c r="R30" i="15"/>
  <c r="O43" i="15"/>
  <c r="P91" i="15"/>
  <c r="P41" i="15"/>
  <c r="T16" i="15"/>
  <c r="R31" i="15"/>
  <c r="R32" i="15"/>
  <c r="K90" i="15"/>
  <c r="Q90" i="15"/>
  <c r="S16" i="15"/>
  <c r="H38" i="15"/>
  <c r="N89" i="15"/>
  <c r="Q40" i="15"/>
  <c r="H90" i="15"/>
  <c r="O89" i="15"/>
  <c r="O90" i="15"/>
  <c r="K89" i="15"/>
  <c r="H87" i="15"/>
  <c r="J89" i="15"/>
  <c r="T83" i="15"/>
  <c r="T11" i="15"/>
  <c r="P88" i="15"/>
  <c r="T28" i="15"/>
  <c r="H37" i="15"/>
  <c r="N40" i="15"/>
  <c r="T33" i="15"/>
  <c r="T80" i="15"/>
  <c r="T41" i="15"/>
  <c r="T86" i="15"/>
  <c r="T29" i="15"/>
  <c r="J44" i="15"/>
  <c r="Q34" i="15"/>
  <c r="J43" i="15"/>
  <c r="H28" i="15"/>
  <c r="O39" i="15"/>
  <c r="H80" i="15"/>
  <c r="P38" i="15"/>
  <c r="O88" i="15"/>
  <c r="N38" i="15"/>
  <c r="Q87" i="15"/>
  <c r="T85" i="15"/>
  <c r="Q89" i="15"/>
  <c r="Q37" i="15"/>
  <c r="H40" i="15"/>
  <c r="T38" i="15"/>
  <c r="T37" i="15"/>
  <c r="T32" i="15"/>
  <c r="T81" i="15"/>
  <c r="H89" i="15"/>
  <c r="T19" i="15"/>
  <c r="H78" i="15"/>
  <c r="Q38" i="15"/>
  <c r="P85" i="15"/>
  <c r="R41" i="15"/>
  <c r="Q39" i="15"/>
  <c r="N37" i="15"/>
  <c r="P39" i="15"/>
  <c r="H88" i="15"/>
  <c r="P89" i="15"/>
  <c r="T43" i="15"/>
  <c r="T39" i="15"/>
  <c r="Q36" i="15"/>
  <c r="R85" i="15"/>
  <c r="N86" i="15"/>
  <c r="O38" i="15"/>
  <c r="N87" i="15"/>
  <c r="R86" i="15"/>
  <c r="H79" i="15"/>
  <c r="J86" i="15"/>
  <c r="J87" i="15"/>
  <c r="K42" i="15"/>
  <c r="R16" i="15"/>
  <c r="K87" i="15"/>
  <c r="R87" i="15"/>
  <c r="R88" i="15"/>
  <c r="N88" i="15"/>
  <c r="H29" i="15"/>
  <c r="J88" i="15"/>
  <c r="P86" i="15"/>
  <c r="H86" i="15"/>
  <c r="Q86" i="15"/>
  <c r="K88" i="15"/>
  <c r="K41" i="15"/>
  <c r="J42" i="15"/>
  <c r="J41" i="15"/>
  <c r="O37" i="15"/>
  <c r="O12" i="15"/>
  <c r="P87" i="15"/>
  <c r="S20" i="15"/>
  <c r="O87" i="15"/>
  <c r="H35" i="15"/>
  <c r="H83" i="15"/>
  <c r="R39" i="15"/>
  <c r="H85" i="15"/>
  <c r="Q88" i="15"/>
  <c r="P84" i="15"/>
  <c r="H32" i="15"/>
  <c r="H11" i="15"/>
  <c r="P34" i="15"/>
  <c r="Q85" i="15"/>
  <c r="O83" i="15"/>
  <c r="O35" i="15"/>
  <c r="H16" i="15"/>
  <c r="H34" i="15"/>
  <c r="N35" i="15"/>
  <c r="O36" i="15"/>
  <c r="K40" i="15"/>
  <c r="O85" i="15"/>
  <c r="H30" i="15"/>
  <c r="R20" i="15"/>
  <c r="N85" i="15"/>
  <c r="O84" i="15"/>
  <c r="H84" i="15"/>
  <c r="Q83" i="15"/>
  <c r="H19" i="15"/>
  <c r="P83" i="15"/>
  <c r="H31" i="15"/>
  <c r="K20" i="15"/>
  <c r="O86" i="15"/>
  <c r="O31" i="15"/>
  <c r="N36" i="15"/>
  <c r="Q16" i="15"/>
  <c r="Q28" i="15"/>
  <c r="Q35" i="15"/>
  <c r="Q79" i="15"/>
  <c r="H36" i="15"/>
  <c r="Q80" i="15"/>
  <c r="Q78" i="15"/>
  <c r="H82" i="15"/>
  <c r="Q82" i="15"/>
  <c r="Q84" i="15"/>
  <c r="I83" i="15"/>
  <c r="N25" i="15"/>
  <c r="N84" i="15"/>
  <c r="P36" i="15"/>
  <c r="N33" i="15"/>
  <c r="O82" i="15"/>
  <c r="Q20" i="15"/>
  <c r="J20" i="15"/>
  <c r="Q32" i="15"/>
  <c r="Q29" i="15"/>
  <c r="Q11" i="15"/>
  <c r="Q19" i="15"/>
  <c r="J83" i="15"/>
  <c r="H33" i="15"/>
  <c r="Q81" i="15"/>
  <c r="Q15" i="15"/>
  <c r="Q30" i="15"/>
  <c r="O81" i="15"/>
  <c r="P82" i="15"/>
  <c r="Q33" i="15"/>
  <c r="H81" i="15"/>
  <c r="Q31" i="15"/>
  <c r="P16" i="15"/>
  <c r="N28" i="15"/>
  <c r="N83" i="15"/>
  <c r="P79" i="15"/>
  <c r="N34" i="15"/>
  <c r="N80" i="15"/>
  <c r="J82" i="15"/>
  <c r="N12" i="15"/>
  <c r="P19" i="15"/>
  <c r="N29" i="15"/>
  <c r="P20" i="15"/>
  <c r="I80" i="15"/>
  <c r="P31" i="15"/>
  <c r="P11" i="15"/>
  <c r="O32" i="15"/>
  <c r="N78" i="15"/>
  <c r="P15" i="15"/>
  <c r="P78" i="15"/>
  <c r="N79" i="15"/>
  <c r="O80" i="15"/>
  <c r="O16" i="15"/>
  <c r="I20" i="15"/>
  <c r="P81" i="15"/>
  <c r="P37" i="15"/>
  <c r="N82" i="15"/>
  <c r="J81" i="15"/>
  <c r="N81" i="15"/>
  <c r="P33" i="15"/>
  <c r="J30" i="15"/>
  <c r="K31" i="15"/>
  <c r="K32" i="15"/>
  <c r="O34" i="15"/>
  <c r="J19" i="15"/>
  <c r="N31" i="15"/>
  <c r="K15" i="15"/>
  <c r="K36" i="15"/>
  <c r="O33" i="15"/>
  <c r="K29" i="15"/>
  <c r="O79" i="15"/>
  <c r="K33" i="15"/>
  <c r="O78" i="15"/>
  <c r="K30" i="15"/>
  <c r="K78" i="15"/>
  <c r="P28" i="15"/>
  <c r="P30" i="15"/>
  <c r="P29" i="15"/>
  <c r="P35" i="15"/>
  <c r="P80" i="15"/>
  <c r="K11" i="15"/>
  <c r="K79" i="15"/>
  <c r="O19" i="15"/>
  <c r="K35" i="15"/>
  <c r="K28" i="15"/>
  <c r="K80" i="15"/>
  <c r="N30" i="15"/>
  <c r="I79" i="15"/>
  <c r="K19" i="15"/>
  <c r="K34" i="15"/>
  <c r="J78" i="15"/>
  <c r="J15" i="15"/>
  <c r="J79" i="15"/>
  <c r="J33" i="15"/>
  <c r="I32" i="15"/>
  <c r="I11" i="15"/>
  <c r="N15" i="15"/>
  <c r="O15" i="15"/>
  <c r="I34" i="15"/>
  <c r="J32" i="15"/>
  <c r="J11" i="15"/>
  <c r="J28" i="15"/>
  <c r="I19" i="15"/>
  <c r="N16" i="15"/>
  <c r="O30" i="15"/>
  <c r="O20" i="15"/>
  <c r="J29" i="15"/>
  <c r="N19" i="15"/>
  <c r="J31" i="15"/>
  <c r="H15" i="15"/>
  <c r="P32" i="15"/>
  <c r="J34" i="15"/>
  <c r="I15" i="15"/>
  <c r="N11" i="15"/>
  <c r="H20" i="15"/>
  <c r="I28" i="15"/>
  <c r="I78" i="15"/>
  <c r="O11" i="15"/>
  <c r="I29" i="15"/>
  <c r="N32" i="15"/>
  <c r="N20" i="15"/>
  <c r="O28" i="15"/>
  <c r="I30" i="15"/>
  <c r="I33" i="15"/>
  <c r="I31" i="15"/>
  <c r="O29" i="15"/>
  <c r="V10" i="15"/>
  <c r="U10" i="15"/>
  <c r="I10" i="15"/>
  <c r="T10" i="15"/>
  <c r="K14" i="15"/>
  <c r="S10" i="15"/>
  <c r="AC14" i="15"/>
  <c r="AB14" i="15"/>
  <c r="AC18" i="15"/>
  <c r="J14" i="15"/>
  <c r="R10" i="15"/>
  <c r="AB18" i="15"/>
  <c r="AA14" i="15"/>
  <c r="Z14" i="15"/>
  <c r="AA18" i="15"/>
  <c r="Z18" i="15"/>
  <c r="Y14" i="15"/>
  <c r="U14" i="15"/>
  <c r="Q10" i="15"/>
  <c r="V14" i="15"/>
  <c r="Y18" i="15"/>
  <c r="H10" i="15"/>
  <c r="X14" i="15"/>
  <c r="W14" i="15"/>
  <c r="X18" i="15"/>
  <c r="I14" i="15"/>
  <c r="W18" i="15"/>
  <c r="S18" i="15"/>
  <c r="P10" i="15"/>
  <c r="V18" i="15"/>
  <c r="R18" i="15"/>
  <c r="T14" i="15"/>
  <c r="S14" i="15"/>
  <c r="U18" i="15"/>
  <c r="R14" i="15"/>
  <c r="O10" i="15"/>
  <c r="H18" i="15"/>
  <c r="Q14" i="15"/>
  <c r="H14" i="15"/>
  <c r="K18" i="15"/>
  <c r="J18" i="15"/>
  <c r="P14" i="15"/>
  <c r="Q18" i="15"/>
  <c r="O14" i="15"/>
  <c r="P18" i="15"/>
  <c r="N10" i="15"/>
  <c r="I18" i="15"/>
  <c r="N18" i="15"/>
  <c r="O18" i="15"/>
  <c r="N14" i="15"/>
  <c r="BW27" i="15"/>
  <c r="CA27" i="15"/>
  <c r="V12" i="15"/>
  <c r="T84" i="14"/>
  <c r="V93" i="14"/>
  <c r="AA48" i="14"/>
  <c r="O43" i="14"/>
  <c r="T87" i="14"/>
  <c r="V50" i="14"/>
  <c r="W87" i="14"/>
  <c r="O29" i="14"/>
  <c r="AB59" i="14"/>
  <c r="K71" i="14"/>
  <c r="P83" i="14"/>
  <c r="O77" i="14"/>
  <c r="AC69" i="14"/>
  <c r="J51" i="14"/>
  <c r="O62" i="14"/>
  <c r="V55" i="14"/>
  <c r="X87" i="14"/>
  <c r="S92" i="14"/>
  <c r="V48" i="14"/>
  <c r="H68" i="14"/>
  <c r="AB58" i="14"/>
  <c r="V47" i="14"/>
  <c r="T91" i="14"/>
  <c r="N34" i="14"/>
  <c r="R70" i="14"/>
  <c r="AB49" i="14"/>
  <c r="U43" i="14"/>
  <c r="H43" i="14"/>
  <c r="R69" i="14"/>
  <c r="T76" i="14"/>
  <c r="N65" i="14"/>
  <c r="Z71" i="14"/>
  <c r="AA56" i="14"/>
  <c r="W61" i="14"/>
  <c r="R65" i="14"/>
  <c r="W55" i="14"/>
  <c r="Q84" i="14"/>
  <c r="K67" i="14"/>
  <c r="AA62" i="14"/>
  <c r="AA74" i="14"/>
  <c r="AA71" i="14"/>
  <c r="AA69" i="14"/>
  <c r="AA57" i="14"/>
  <c r="Q75" i="14"/>
  <c r="X50" i="14"/>
  <c r="V58" i="14"/>
  <c r="V52" i="14"/>
  <c r="N64" i="14"/>
  <c r="W59" i="14"/>
  <c r="AA53" i="14"/>
  <c r="R62" i="14"/>
  <c r="Q82" i="14"/>
  <c r="O27" i="14"/>
  <c r="T71" i="14"/>
  <c r="Q25" i="14"/>
  <c r="N51" i="14"/>
  <c r="O91" i="14"/>
  <c r="X81" i="14"/>
  <c r="H27" i="14"/>
  <c r="O75" i="14"/>
  <c r="Y62" i="14"/>
  <c r="S70" i="14"/>
  <c r="N62" i="14"/>
  <c r="J50" i="14"/>
  <c r="X60" i="14"/>
  <c r="AH45" i="14"/>
  <c r="AG45" i="14"/>
  <c r="AF45" i="14"/>
  <c r="K63" i="14"/>
  <c r="U74" i="14"/>
  <c r="H65" i="14"/>
  <c r="Y56" i="14"/>
  <c r="AB55" i="14"/>
  <c r="AB68" i="14"/>
  <c r="Q73" i="14"/>
  <c r="W56" i="14"/>
  <c r="O65" i="14"/>
  <c r="S67" i="14"/>
  <c r="H93" i="14"/>
  <c r="J94" i="14"/>
  <c r="BJ10" i="16"/>
  <c r="W25" i="16"/>
  <c r="W27" i="14"/>
  <c r="BI100" i="14"/>
  <c r="BM77" i="16"/>
  <c r="BV77" i="16"/>
  <c r="AX77" i="16"/>
  <c r="AX127" i="16" s="1"/>
  <c r="AX41" i="14" s="1"/>
  <c r="AF77" i="16"/>
  <c r="AR77" i="16"/>
  <c r="AL77" i="16"/>
  <c r="AO77" i="16"/>
  <c r="BD77" i="16"/>
  <c r="BD127" i="16" s="1"/>
  <c r="BD41" i="14" s="1"/>
  <c r="BY77" i="16"/>
  <c r="BS77" i="16"/>
  <c r="BP77" i="16"/>
  <c r="BJ77" i="16"/>
  <c r="BG77" i="16"/>
  <c r="BG127" i="16" s="1"/>
  <c r="BG41" i="14" s="1"/>
  <c r="BA77" i="16"/>
  <c r="AU77" i="16"/>
  <c r="AU127" i="16" s="1"/>
  <c r="AU41" i="14" s="1"/>
  <c r="AI77" i="16"/>
  <c r="BJ10" i="15"/>
  <c r="W25" i="14"/>
  <c r="W25" i="15"/>
  <c r="P16" i="12"/>
  <c r="AE56" i="12"/>
  <c r="Z56" i="12"/>
  <c r="AB56" i="12"/>
  <c r="AA56" i="12"/>
  <c r="Y16" i="12"/>
  <c r="P56" i="12"/>
  <c r="X56" i="12"/>
  <c r="Y56" i="12"/>
  <c r="AF56" i="12"/>
  <c r="P26" i="12"/>
  <c r="AD10" i="12"/>
  <c r="AC26" i="12"/>
  <c r="AD56" i="12"/>
  <c r="W56" i="12"/>
  <c r="V56" i="12"/>
  <c r="Q56" i="12"/>
  <c r="AC56" i="12"/>
  <c r="X26" i="12"/>
  <c r="W26" i="12"/>
  <c r="V26" i="12"/>
  <c r="Q26" i="12"/>
  <c r="AA26" i="12"/>
  <c r="AD26" i="12"/>
  <c r="AE26" i="12"/>
  <c r="AB26" i="12"/>
  <c r="AF26" i="12"/>
  <c r="AB10" i="12"/>
  <c r="Y26" i="12"/>
  <c r="Z26" i="12"/>
  <c r="AE10" i="12"/>
  <c r="AC16" i="12"/>
  <c r="AD16" i="12"/>
  <c r="AE16" i="12"/>
  <c r="AF16" i="12"/>
  <c r="W16" i="12"/>
  <c r="Q16" i="12"/>
  <c r="X16" i="12"/>
  <c r="Z16" i="12"/>
  <c r="AA16" i="12"/>
  <c r="AB16" i="12"/>
  <c r="P10" i="12"/>
  <c r="AF10" i="12"/>
  <c r="W10" i="12"/>
  <c r="Q10" i="12"/>
  <c r="Z10" i="12"/>
  <c r="AA10" i="12"/>
  <c r="AC10" i="12"/>
  <c r="V10" i="12"/>
  <c r="X10" i="12"/>
  <c r="Y10" i="12"/>
  <c r="AE135" i="22" l="1"/>
  <c r="AE140" i="22" s="1"/>
  <c r="AK135" i="22"/>
  <c r="AK140" i="22" s="1"/>
  <c r="O140" i="22" s="1"/>
  <c r="BI135" i="22"/>
  <c r="BI140" i="22" s="1"/>
  <c r="W140" i="22" s="1"/>
  <c r="AT135" i="22"/>
  <c r="AT140" i="22" s="1"/>
  <c r="R140" i="22" s="1"/>
  <c r="AZ135" i="22"/>
  <c r="AZ140" i="22" s="1"/>
  <c r="T140" i="22" s="1"/>
  <c r="BC135" i="22"/>
  <c r="BC140" i="22" s="1"/>
  <c r="AW135" i="22"/>
  <c r="AW140" i="22" s="1"/>
  <c r="S140" i="22" s="1"/>
  <c r="BF135" i="22"/>
  <c r="BF140" i="22" s="1"/>
  <c r="V140" i="22" s="1"/>
  <c r="BL135" i="22"/>
  <c r="BL140" i="22" s="1"/>
  <c r="AQ135" i="22"/>
  <c r="AQ140" i="22" s="1"/>
  <c r="AH135" i="22"/>
  <c r="AH140" i="22" s="1"/>
  <c r="N140" i="22" s="1"/>
  <c r="AN135" i="22"/>
  <c r="AN140" i="22" s="1"/>
  <c r="BW61" i="12"/>
  <c r="BW66" i="12" s="1"/>
  <c r="BW68" i="12" s="1"/>
  <c r="BW114" i="12" a="1"/>
  <c r="BW114" i="12" s="1"/>
  <c r="X73" i="13"/>
  <c r="X161" i="13" s="1"/>
  <c r="X20" i="13" a="1"/>
  <c r="X20" i="13" s="1"/>
  <c r="X152" i="13" s="1"/>
  <c r="Z73" i="13"/>
  <c r="Z161" i="13" s="1"/>
  <c r="Z20" i="13" a="1"/>
  <c r="Z20" i="13" s="1"/>
  <c r="Z152" i="13" s="1"/>
  <c r="AA73" i="13"/>
  <c r="AA20" i="13" a="1"/>
  <c r="AA20" i="13" s="1"/>
  <c r="AA152" i="13" s="1"/>
  <c r="AR73" i="13"/>
  <c r="AR161" i="13" s="1"/>
  <c r="AR20" i="13" a="1"/>
  <c r="AR20" i="13" s="1"/>
  <c r="AR152" i="13" s="1"/>
  <c r="AF73" i="13"/>
  <c r="AF161" i="13" s="1"/>
  <c r="AF20" i="13" a="1"/>
  <c r="AF20" i="13" s="1"/>
  <c r="AF152" i="13" s="1"/>
  <c r="AD73" i="13"/>
  <c r="AD161" i="13" s="1"/>
  <c r="AD20" i="13" a="1"/>
  <c r="AD20" i="13" s="1"/>
  <c r="AD152" i="13" s="1"/>
  <c r="AL73" i="13"/>
  <c r="AL161" i="13" s="1"/>
  <c r="AL20" i="13" a="1"/>
  <c r="AL20" i="13" s="1"/>
  <c r="AL152" i="13" s="1"/>
  <c r="AG73" i="13"/>
  <c r="AG161" i="13" s="1"/>
  <c r="AG20" i="13" a="1"/>
  <c r="AG20" i="13" s="1"/>
  <c r="AG152" i="13" s="1"/>
  <c r="U73" i="13"/>
  <c r="U161" i="13" s="1"/>
  <c r="U20" i="13" a="1"/>
  <c r="U20" i="13" s="1"/>
  <c r="U152" i="13" s="1"/>
  <c r="Q73" i="13"/>
  <c r="Q161" i="13" s="1"/>
  <c r="Q20" i="13" a="1"/>
  <c r="Q20" i="13" s="1"/>
  <c r="Q152" i="13" s="1"/>
  <c r="O73" i="13"/>
  <c r="O161" i="13" s="1"/>
  <c r="O20" i="13" a="1"/>
  <c r="O20" i="13" s="1"/>
  <c r="O152" i="13" s="1"/>
  <c r="AI73" i="13"/>
  <c r="AI161" i="13" s="1"/>
  <c r="AI20" i="13" a="1"/>
  <c r="AI20" i="13" s="1"/>
  <c r="AI152" i="13" s="1"/>
  <c r="W73" i="13"/>
  <c r="W161" i="13" s="1"/>
  <c r="W20" i="13" a="1"/>
  <c r="W20" i="13" s="1"/>
  <c r="W152" i="13" s="1"/>
  <c r="AC73" i="13"/>
  <c r="AC161" i="13" s="1"/>
  <c r="AC20" i="13" a="1"/>
  <c r="AC20" i="13" s="1"/>
  <c r="AC152" i="13" s="1"/>
  <c r="T73" i="13"/>
  <c r="T161" i="13" s="1"/>
  <c r="T20" i="13" a="1"/>
  <c r="T20" i="13" s="1"/>
  <c r="T152" i="13" s="1"/>
  <c r="AM73" i="13"/>
  <c r="AM161" i="13" s="1"/>
  <c r="AM20" i="13" a="1"/>
  <c r="AM20" i="13" s="1"/>
  <c r="AM152" i="13" s="1"/>
  <c r="N73" i="13"/>
  <c r="N161" i="13" s="1"/>
  <c r="N20" i="13" a="1"/>
  <c r="N20" i="13" s="1"/>
  <c r="N152" i="13" s="1"/>
  <c r="AO73" i="13"/>
  <c r="AO161" i="13" s="1"/>
  <c r="AO20" i="13" a="1"/>
  <c r="AO20" i="13" s="1"/>
  <c r="AO152" i="13" s="1"/>
  <c r="AJ73" i="13"/>
  <c r="AJ161" i="13" s="1"/>
  <c r="AJ20" i="13" a="1"/>
  <c r="AJ20" i="13" s="1"/>
  <c r="AJ152" i="13" s="1"/>
  <c r="AP73" i="13"/>
  <c r="AP161" i="13" s="1"/>
  <c r="AP20" i="13" a="1"/>
  <c r="AP20" i="13" s="1"/>
  <c r="AP152" i="13" s="1"/>
  <c r="R73" i="13"/>
  <c r="R161" i="13" s="1"/>
  <c r="R20" i="13" a="1"/>
  <c r="R20" i="13" s="1"/>
  <c r="R152" i="13" s="1"/>
  <c r="AS73" i="13"/>
  <c r="AS161" i="13" s="1"/>
  <c r="AS20" i="13" a="1"/>
  <c r="AS20" i="13" s="1"/>
  <c r="E50" i="14" a="1"/>
  <c r="E50" i="14" s="1"/>
  <c r="X185" i="17"/>
  <c r="W22" i="16"/>
  <c r="V22" i="16"/>
  <c r="AJ102" i="14"/>
  <c r="AJ32" i="14" s="1"/>
  <c r="AJ101" i="14"/>
  <c r="AJ34" i="14" s="1"/>
  <c r="AJ103" i="14"/>
  <c r="AJ33" i="14" s="1"/>
  <c r="N22" i="16"/>
  <c r="BD188" i="17"/>
  <c r="V187" i="17"/>
  <c r="V188" i="17" s="1"/>
  <c r="BJ188" i="17"/>
  <c r="X187" i="17"/>
  <c r="X188" i="17" s="1"/>
  <c r="P22" i="16"/>
  <c r="BC188" i="17"/>
  <c r="I187" i="17"/>
  <c r="I188" i="17" s="1"/>
  <c r="U187" i="17"/>
  <c r="U188" i="17" s="1"/>
  <c r="BG188" i="17"/>
  <c r="W187" i="17"/>
  <c r="W188" i="17" s="1"/>
  <c r="Z23" i="12"/>
  <c r="Z24" i="12" s="1"/>
  <c r="W23" i="12"/>
  <c r="W24" i="12" s="1"/>
  <c r="X23" i="12"/>
  <c r="X24" i="12" s="1"/>
  <c r="AA23" i="12"/>
  <c r="AA54" i="12" s="1"/>
  <c r="Q23" i="12"/>
  <c r="Q54" i="12" s="1"/>
  <c r="AF23" i="12"/>
  <c r="AF24" i="12" s="1"/>
  <c r="V23" i="12"/>
  <c r="AQ61" i="12"/>
  <c r="AQ66" i="12" s="1"/>
  <c r="AQ68" i="12" s="1"/>
  <c r="AQ114" i="12" a="1"/>
  <c r="AQ114" i="12" s="1"/>
  <c r="BE114" i="12" a="1"/>
  <c r="BE114" i="12" s="1"/>
  <c r="BE61" i="12"/>
  <c r="BE66" i="12" s="1"/>
  <c r="BE68" i="12" s="1"/>
  <c r="AY61" i="12"/>
  <c r="AY66" i="12" s="1"/>
  <c r="AY68" i="12" s="1"/>
  <c r="AY114" i="12" a="1"/>
  <c r="AY114" i="12" s="1"/>
  <c r="AS114" i="12" a="1"/>
  <c r="AS114" i="12" s="1"/>
  <c r="AS61" i="12"/>
  <c r="AS66" i="12" s="1"/>
  <c r="AS68" i="12" s="1"/>
  <c r="BT61" i="12"/>
  <c r="BT66" i="12" s="1"/>
  <c r="BT68" i="12" s="1"/>
  <c r="BT114" i="12" a="1"/>
  <c r="BT114" i="12" s="1"/>
  <c r="BR114" i="12" a="1"/>
  <c r="BR114" i="12" s="1"/>
  <c r="BR61" i="12"/>
  <c r="BR66" i="12" s="1"/>
  <c r="BR68" i="12" s="1"/>
  <c r="BL114" i="12" a="1"/>
  <c r="BL114" i="12" s="1"/>
  <c r="BL61" i="12"/>
  <c r="BL66" i="12" s="1"/>
  <c r="BL68" i="12" s="1"/>
  <c r="AW61" i="12"/>
  <c r="AW66" i="12" s="1"/>
  <c r="AW68" i="12" s="1"/>
  <c r="AW114" i="12" a="1"/>
  <c r="AW114" i="12" s="1"/>
  <c r="BU61" i="12"/>
  <c r="BU66" i="12" s="1"/>
  <c r="BU68" i="12" s="1"/>
  <c r="BU114" i="12" a="1"/>
  <c r="BU114" i="12" s="1"/>
  <c r="BQ114" i="12" a="1"/>
  <c r="BQ114" i="12" s="1"/>
  <c r="BQ61" i="12"/>
  <c r="BQ66" i="12" s="1"/>
  <c r="BQ68" i="12" s="1"/>
  <c r="BO114" i="12" a="1"/>
  <c r="BO114" i="12" s="1"/>
  <c r="BO61" i="12"/>
  <c r="BO66" i="12" s="1"/>
  <c r="BO68" i="12" s="1"/>
  <c r="BK114" i="12" a="1"/>
  <c r="BK114" i="12" s="1"/>
  <c r="BK61" i="12"/>
  <c r="BK66" i="12" s="1"/>
  <c r="BK68" i="12" s="1"/>
  <c r="BI61" i="12"/>
  <c r="BI66" i="12" s="1"/>
  <c r="BI68" i="12" s="1"/>
  <c r="BI114" i="12" a="1"/>
  <c r="BI114" i="12" s="1"/>
  <c r="BF61" i="12"/>
  <c r="BF66" i="12" s="1"/>
  <c r="BF68" i="12" s="1"/>
  <c r="BF114" i="12" a="1"/>
  <c r="BF114" i="12" s="1"/>
  <c r="BB61" i="12"/>
  <c r="BB66" i="12" s="1"/>
  <c r="BB68" i="12" s="1"/>
  <c r="BB114" i="12" a="1"/>
  <c r="BB114" i="12" s="1"/>
  <c r="AZ114" i="12" a="1"/>
  <c r="AZ114" i="12" s="1"/>
  <c r="AZ61" i="12"/>
  <c r="AZ66" i="12" s="1"/>
  <c r="AZ68" i="12" s="1"/>
  <c r="AV61" i="12"/>
  <c r="AV66" i="12" s="1"/>
  <c r="AV68" i="12" s="1"/>
  <c r="AV114" i="12" a="1"/>
  <c r="AV114" i="12" s="1"/>
  <c r="AT114" i="12" a="1"/>
  <c r="AT114" i="12" s="1"/>
  <c r="AT61" i="12"/>
  <c r="AT66" i="12" s="1"/>
  <c r="AT68" i="12" s="1"/>
  <c r="AP114" i="12" a="1"/>
  <c r="AP114" i="12" s="1"/>
  <c r="AP61" i="12"/>
  <c r="AP66" i="12" s="1"/>
  <c r="AP68" i="12" s="1"/>
  <c r="BN61" i="12"/>
  <c r="BN66" i="12" s="1"/>
  <c r="BN68" i="12" s="1"/>
  <c r="BN114" i="12" a="1"/>
  <c r="BN114" i="12" s="1"/>
  <c r="BH114" i="12" a="1"/>
  <c r="BH114" i="12" s="1"/>
  <c r="BH61" i="12"/>
  <c r="BH66" i="12" s="1"/>
  <c r="BH68" i="12" s="1"/>
  <c r="BC61" i="12"/>
  <c r="BC66" i="12" s="1"/>
  <c r="BC68" i="12" s="1"/>
  <c r="BC114" i="12" a="1"/>
  <c r="BC114" i="12" s="1"/>
  <c r="AA161" i="13"/>
  <c r="AJ68" i="20"/>
  <c r="G33" i="22"/>
  <c r="G84" i="22"/>
  <c r="H33" i="22"/>
  <c r="H84" i="22"/>
  <c r="BA127" i="16"/>
  <c r="BA41" i="14" s="1"/>
  <c r="U41" i="14" s="1"/>
  <c r="AF138" i="22"/>
  <c r="AG138" i="22" s="1"/>
  <c r="AE68" i="20"/>
  <c r="T106" i="20"/>
  <c r="X106" i="20"/>
  <c r="AG106" i="20"/>
  <c r="U10" i="20"/>
  <c r="AL68" i="20"/>
  <c r="AH68" i="20"/>
  <c r="AD68" i="20"/>
  <c r="U106" i="20"/>
  <c r="AB68" i="20"/>
  <c r="AI10" i="20"/>
  <c r="R68" i="20"/>
  <c r="AA106" i="20"/>
  <c r="AD106" i="20"/>
  <c r="X10" i="20"/>
  <c r="AE106" i="20"/>
  <c r="AB10" i="20"/>
  <c r="AL10" i="20"/>
  <c r="S10" i="20"/>
  <c r="AF10" i="20"/>
  <c r="AI68" i="20"/>
  <c r="T68" i="20"/>
  <c r="Y106" i="20"/>
  <c r="AM106" i="20"/>
  <c r="AC106" i="20"/>
  <c r="U68" i="20"/>
  <c r="Z106" i="20"/>
  <c r="AC68" i="20"/>
  <c r="AJ106" i="20"/>
  <c r="Y68" i="20"/>
  <c r="AA10" i="20"/>
  <c r="AK106" i="20"/>
  <c r="AH10" i="20"/>
  <c r="Z68" i="20"/>
  <c r="X68" i="20"/>
  <c r="R10" i="20"/>
  <c r="AF106" i="20"/>
  <c r="AK68" i="20"/>
  <c r="AG10" i="20"/>
  <c r="Y10" i="20"/>
  <c r="AL106" i="20"/>
  <c r="AH106" i="20"/>
  <c r="T10" i="20"/>
  <c r="AG68" i="20"/>
  <c r="AI106" i="20"/>
  <c r="AD10" i="20"/>
  <c r="AM68" i="20"/>
  <c r="AC10" i="20"/>
  <c r="AJ10" i="20"/>
  <c r="AF68" i="20"/>
  <c r="Z10" i="20"/>
  <c r="AM10" i="20"/>
  <c r="S106" i="20"/>
  <c r="R106" i="20"/>
  <c r="AK10" i="20"/>
  <c r="S68" i="20"/>
  <c r="AA68" i="20"/>
  <c r="AB106" i="20"/>
  <c r="AE10" i="20"/>
  <c r="T22" i="16"/>
  <c r="I22" i="16"/>
  <c r="S22" i="16"/>
  <c r="Q22" i="16"/>
  <c r="AB27" i="16"/>
  <c r="R22" i="16"/>
  <c r="J27" i="16"/>
  <c r="O22" i="16"/>
  <c r="H22" i="16"/>
  <c r="U22" i="16"/>
  <c r="U64" i="15"/>
  <c r="W41" i="14"/>
  <c r="N31" i="14"/>
  <c r="N36" i="14" s="1"/>
  <c r="P27" i="16"/>
  <c r="Q27" i="16"/>
  <c r="O27" i="16"/>
  <c r="H27" i="16"/>
  <c r="N27" i="16"/>
  <c r="AC27" i="16"/>
  <c r="Y27" i="16"/>
  <c r="X27" i="16"/>
  <c r="W27" i="16"/>
  <c r="V27" i="16"/>
  <c r="T27" i="16"/>
  <c r="S27" i="16"/>
  <c r="R27" i="16"/>
  <c r="AA27" i="16"/>
  <c r="Z27" i="16"/>
  <c r="K27" i="16"/>
  <c r="I27" i="16"/>
  <c r="U27" i="16"/>
  <c r="Y77" i="16"/>
  <c r="AB77" i="16"/>
  <c r="T77" i="16"/>
  <c r="T41" i="14"/>
  <c r="AF127" i="16"/>
  <c r="AF41" i="14" s="1"/>
  <c r="H77" i="16"/>
  <c r="N77" i="16"/>
  <c r="AR127" i="16"/>
  <c r="AR41" i="14" s="1"/>
  <c r="R77" i="16"/>
  <c r="I77" i="16"/>
  <c r="AL127" i="16"/>
  <c r="AL41" i="14" s="1"/>
  <c r="P41" i="14" s="1"/>
  <c r="P77" i="16"/>
  <c r="AO127" i="16"/>
  <c r="AO41" i="14" s="1"/>
  <c r="Q41" i="14" s="1"/>
  <c r="Q77" i="16"/>
  <c r="V77" i="16"/>
  <c r="J77" i="16"/>
  <c r="AC77" i="16"/>
  <c r="AA77" i="16"/>
  <c r="Z77" i="16"/>
  <c r="K77" i="16"/>
  <c r="X77" i="16"/>
  <c r="W77" i="16"/>
  <c r="U77" i="16"/>
  <c r="S77" i="16"/>
  <c r="S41" i="14"/>
  <c r="AI127" i="16"/>
  <c r="AI41" i="14" s="1"/>
  <c r="O41" i="14" s="1"/>
  <c r="O77" i="16"/>
  <c r="BP77" i="15"/>
  <c r="AF77" i="15"/>
  <c r="AI77" i="15"/>
  <c r="AL77" i="15"/>
  <c r="AO77" i="15"/>
  <c r="AR77" i="15"/>
  <c r="S77" i="15"/>
  <c r="AU77" i="15"/>
  <c r="T77" i="15"/>
  <c r="AX77" i="15"/>
  <c r="U77" i="15"/>
  <c r="BA77" i="15"/>
  <c r="V77" i="15"/>
  <c r="BD77" i="15"/>
  <c r="J77" i="15"/>
  <c r="W77" i="15"/>
  <c r="BG77" i="15"/>
  <c r="BJ77" i="15"/>
  <c r="BM77" i="15"/>
  <c r="BS77" i="15"/>
  <c r="AA77" i="15"/>
  <c r="BV77" i="15"/>
  <c r="AB77" i="15"/>
  <c r="BY77" i="15"/>
  <c r="AC77" i="15"/>
  <c r="AH27" i="15"/>
  <c r="AH127" i="15" s="1"/>
  <c r="AH39" i="14" s="1"/>
  <c r="AH96" i="14" s="1"/>
  <c r="AH109" i="14" s="1"/>
  <c r="V22" i="15"/>
  <c r="I22" i="15"/>
  <c r="T22" i="15"/>
  <c r="S22" i="15"/>
  <c r="R22" i="15"/>
  <c r="Z77" i="15"/>
  <c r="Y77" i="15"/>
  <c r="X77" i="15"/>
  <c r="R77" i="15"/>
  <c r="Q22" i="15"/>
  <c r="K77" i="15"/>
  <c r="BV27" i="15"/>
  <c r="H74" i="15"/>
  <c r="N74" i="15"/>
  <c r="J74" i="15"/>
  <c r="V74" i="15"/>
  <c r="I74" i="15"/>
  <c r="R74" i="15"/>
  <c r="J71" i="15"/>
  <c r="Y71" i="15"/>
  <c r="I64" i="15"/>
  <c r="R64" i="15"/>
  <c r="V64" i="15"/>
  <c r="J64" i="15"/>
  <c r="N64" i="15"/>
  <c r="H64" i="15"/>
  <c r="BR64" i="15"/>
  <c r="BR27" i="15" s="1"/>
  <c r="BQ64" i="15"/>
  <c r="BQ27" i="15" s="1"/>
  <c r="BP64" i="15"/>
  <c r="BG27" i="15"/>
  <c r="W64" i="15"/>
  <c r="H59" i="15"/>
  <c r="Q59" i="15"/>
  <c r="I59" i="15"/>
  <c r="R59" i="15"/>
  <c r="V59" i="15"/>
  <c r="BD27" i="15"/>
  <c r="V57" i="15"/>
  <c r="AR27" i="15"/>
  <c r="I57" i="15"/>
  <c r="R57" i="15"/>
  <c r="I58" i="15"/>
  <c r="R58" i="15"/>
  <c r="N58" i="15"/>
  <c r="H58" i="15"/>
  <c r="AX27" i="15"/>
  <c r="T57" i="15"/>
  <c r="H57" i="15"/>
  <c r="N57" i="15"/>
  <c r="AO27" i="15"/>
  <c r="Q57" i="15"/>
  <c r="AI27" i="15"/>
  <c r="O57" i="15"/>
  <c r="BK57" i="15"/>
  <c r="BJ57" i="15"/>
  <c r="BI57" i="15"/>
  <c r="AU27" i="15"/>
  <c r="S57" i="15"/>
  <c r="AL27" i="15"/>
  <c r="P57" i="15"/>
  <c r="AF27" i="15"/>
  <c r="N44" i="15"/>
  <c r="H44" i="15"/>
  <c r="E58" i="15" a="1"/>
  <c r="E58" i="15" s="1"/>
  <c r="E56" i="15" a="1"/>
  <c r="E56" i="15" s="1"/>
  <c r="E48" i="15" a="1"/>
  <c r="E48" i="15" s="1"/>
  <c r="E59" i="15" a="1"/>
  <c r="E59" i="15" s="1"/>
  <c r="E60" i="15" a="1"/>
  <c r="E60" i="15" s="1"/>
  <c r="E61" i="15" a="1"/>
  <c r="E61" i="15" s="1"/>
  <c r="E67" i="15" a="1"/>
  <c r="E67" i="15" s="1"/>
  <c r="E72" i="15" a="1"/>
  <c r="E72" i="15" s="1"/>
  <c r="AW27" i="15"/>
  <c r="AW127" i="15" s="1"/>
  <c r="AW39" i="14" s="1"/>
  <c r="BC27" i="15"/>
  <c r="BC127" i="15" s="1"/>
  <c r="BC39" i="14" s="1"/>
  <c r="AK27" i="15"/>
  <c r="AK127" i="15" s="1"/>
  <c r="AK39" i="14" s="1"/>
  <c r="AS27" i="15"/>
  <c r="AS127" i="15" s="1"/>
  <c r="AS39" i="14" s="1"/>
  <c r="AV27" i="15"/>
  <c r="AV127" i="15" s="1"/>
  <c r="AV39" i="14" s="1"/>
  <c r="BF27" i="15"/>
  <c r="BF127" i="15" s="1"/>
  <c r="BF39" i="14" s="1"/>
  <c r="AG27" i="15"/>
  <c r="AG127" i="15" s="1"/>
  <c r="AG39" i="14" s="1"/>
  <c r="AG96" i="14" s="1"/>
  <c r="AG109" i="14" s="1"/>
  <c r="AP27" i="15"/>
  <c r="AP127" i="15" s="1"/>
  <c r="AP39" i="14" s="1"/>
  <c r="AM27" i="15"/>
  <c r="AM127" i="15" s="1"/>
  <c r="AM39" i="14" s="1"/>
  <c r="O64" i="15"/>
  <c r="S64" i="15"/>
  <c r="P64" i="15"/>
  <c r="T64" i="15"/>
  <c r="X64" i="15"/>
  <c r="Q64" i="15"/>
  <c r="P58" i="15"/>
  <c r="U57" i="15"/>
  <c r="U22" i="15"/>
  <c r="H22" i="15"/>
  <c r="W22" i="15"/>
  <c r="P22" i="15"/>
  <c r="O22" i="15"/>
  <c r="N22" i="15"/>
  <c r="AY27" i="15"/>
  <c r="AY127" i="15" s="1"/>
  <c r="AY39" i="14" s="1"/>
  <c r="AN27" i="15"/>
  <c r="AN127" i="15" s="1"/>
  <c r="AN39" i="14" s="1"/>
  <c r="AQ27" i="15"/>
  <c r="AQ127" i="15" s="1"/>
  <c r="AQ39" i="14" s="1"/>
  <c r="BE27" i="15"/>
  <c r="BE127" i="15" s="1"/>
  <c r="BE39" i="14" s="1"/>
  <c r="AT27" i="15"/>
  <c r="AT127" i="15" s="1"/>
  <c r="AT39" i="14" s="1"/>
  <c r="AJ27" i="15"/>
  <c r="AJ127" i="15" s="1"/>
  <c r="AJ39" i="14" s="1"/>
  <c r="I77" i="15"/>
  <c r="Q77" i="15"/>
  <c r="P77" i="15"/>
  <c r="O77" i="15"/>
  <c r="H77" i="15"/>
  <c r="N77" i="15"/>
  <c r="N45" i="14"/>
  <c r="BJ22" i="16"/>
  <c r="BJ27" i="14" s="1"/>
  <c r="BK12" i="16"/>
  <c r="BJ25" i="16"/>
  <c r="W100" i="14"/>
  <c r="V41" i="14"/>
  <c r="P23" i="12"/>
  <c r="BK12" i="15"/>
  <c r="BJ22" i="15"/>
  <c r="BJ25" i="14" s="1"/>
  <c r="BJ25" i="15"/>
  <c r="AD23" i="12"/>
  <c r="AC23" i="12"/>
  <c r="Y23" i="12"/>
  <c r="AB23" i="12"/>
  <c r="AE23" i="12"/>
  <c r="Q140" i="22" l="1"/>
  <c r="H140" i="22"/>
  <c r="U140" i="22"/>
  <c r="M140" i="22"/>
  <c r="G140" i="22"/>
  <c r="X54" i="12"/>
  <c r="H135" i="22"/>
  <c r="G135" i="22"/>
  <c r="Z54" i="12"/>
  <c r="AB73" i="13"/>
  <c r="AB161" i="13" s="1"/>
  <c r="AB20" i="13" a="1"/>
  <c r="AB20" i="13" s="1"/>
  <c r="AB152" i="13" s="1"/>
  <c r="AK73" i="13"/>
  <c r="AK161" i="13" s="1"/>
  <c r="AK20" i="13" a="1"/>
  <c r="AK20" i="13" s="1"/>
  <c r="AK152" i="13" s="1"/>
  <c r="AQ73" i="13"/>
  <c r="AQ161" i="13" s="1"/>
  <c r="AQ20" i="13" a="1"/>
  <c r="AQ20" i="13" s="1"/>
  <c r="AQ152" i="13" s="1"/>
  <c r="Y73" i="13"/>
  <c r="Y161" i="13" s="1"/>
  <c r="Y20" i="13" a="1"/>
  <c r="Y20" i="13" s="1"/>
  <c r="Y152" i="13" s="1"/>
  <c r="AE73" i="13"/>
  <c r="AE161" i="13" s="1"/>
  <c r="AE20" i="13" a="1"/>
  <c r="AE20" i="13" s="1"/>
  <c r="AE152" i="13" s="1"/>
  <c r="S73" i="13"/>
  <c r="S161" i="13" s="1"/>
  <c r="S20" i="13" a="1"/>
  <c r="S20" i="13" s="1"/>
  <c r="S152" i="13" s="1"/>
  <c r="P73" i="13"/>
  <c r="P161" i="13" s="1"/>
  <c r="P20" i="13" a="1"/>
  <c r="P20" i="13" s="1"/>
  <c r="P152" i="13" s="1"/>
  <c r="AH73" i="13"/>
  <c r="AH161" i="13" s="1"/>
  <c r="AH20" i="13" a="1"/>
  <c r="AH20" i="13" s="1"/>
  <c r="AN73" i="13"/>
  <c r="AN161" i="13" s="1"/>
  <c r="AN20" i="13" a="1"/>
  <c r="AN20" i="13" s="1"/>
  <c r="AN152" i="13" s="1"/>
  <c r="M73" i="13"/>
  <c r="M20" i="13" a="1"/>
  <c r="M20" i="13" s="1"/>
  <c r="V73" i="13"/>
  <c r="V161" i="13" s="1"/>
  <c r="V20" i="13" a="1"/>
  <c r="V20" i="13" s="1"/>
  <c r="V152" i="13" s="1"/>
  <c r="AT73" i="13"/>
  <c r="AT161" i="13" s="1"/>
  <c r="AT20" i="13" a="1"/>
  <c r="AT20" i="13" s="1"/>
  <c r="W54" i="12"/>
  <c r="AF54" i="12"/>
  <c r="AT50" i="14"/>
  <c r="AN50" i="14"/>
  <c r="AI50" i="14"/>
  <c r="AM50" i="14"/>
  <c r="AQ50" i="14"/>
  <c r="AP50" i="14"/>
  <c r="AS50" i="14"/>
  <c r="AO50" i="14"/>
  <c r="AR50" i="14"/>
  <c r="AJ50" i="14"/>
  <c r="AL50" i="14"/>
  <c r="AK50" i="14"/>
  <c r="T127" i="16"/>
  <c r="AJ104" i="14"/>
  <c r="AK99" i="14" s="1"/>
  <c r="AK101" i="14" s="1"/>
  <c r="P127" i="16"/>
  <c r="Q127" i="16"/>
  <c r="I127" i="16"/>
  <c r="N127" i="16"/>
  <c r="AJ31" i="14"/>
  <c r="H127" i="16"/>
  <c r="Y114" i="20"/>
  <c r="R127" i="16"/>
  <c r="X57" i="15"/>
  <c r="AA24" i="12"/>
  <c r="AC114" i="20"/>
  <c r="AK114" i="20"/>
  <c r="Q24" i="12"/>
  <c r="AL114" i="20"/>
  <c r="V24" i="12"/>
  <c r="V54" i="12"/>
  <c r="AD24" i="12"/>
  <c r="AD54" i="12"/>
  <c r="AS152" i="13"/>
  <c r="AE63" i="12"/>
  <c r="AE61" i="12" s="1"/>
  <c r="AE66" i="12" s="1"/>
  <c r="BP114" i="12" a="1"/>
  <c r="BP114" i="12" s="1"/>
  <c r="BP61" i="12"/>
  <c r="BP66" i="12" s="1"/>
  <c r="BP68" i="12" s="1"/>
  <c r="AC63" i="12"/>
  <c r="AC61" i="12" s="1"/>
  <c r="AC66" i="12" s="1"/>
  <c r="BJ61" i="12"/>
  <c r="BJ66" i="12" s="1"/>
  <c r="BJ68" i="12" s="1"/>
  <c r="BJ114" i="12" a="1"/>
  <c r="BJ114" i="12" s="1"/>
  <c r="X63" i="12"/>
  <c r="X61" i="12" s="1"/>
  <c r="X66" i="12" s="1"/>
  <c r="AU61" i="12"/>
  <c r="AU66" i="12" s="1"/>
  <c r="AU68" i="12" s="1"/>
  <c r="AU114" i="12" a="1"/>
  <c r="AU114" i="12" s="1"/>
  <c r="AB63" i="12"/>
  <c r="AB61" i="12" s="1"/>
  <c r="AB66" i="12" s="1"/>
  <c r="BG61" i="12"/>
  <c r="BG66" i="12" s="1"/>
  <c r="BG68" i="12" s="1"/>
  <c r="BG114" i="12" a="1"/>
  <c r="BG114" i="12" s="1"/>
  <c r="Z63" i="12"/>
  <c r="Z61" i="12" s="1"/>
  <c r="Z66" i="12" s="1"/>
  <c r="Q63" i="12"/>
  <c r="Q61" i="12" s="1"/>
  <c r="Q66" i="12" s="1"/>
  <c r="Q68" i="12" s="1"/>
  <c r="BA61" i="12"/>
  <c r="BA66" i="12" s="1"/>
  <c r="BA68" i="12" s="1"/>
  <c r="BA114" i="12" a="1"/>
  <c r="BA114" i="12" s="1"/>
  <c r="AF63" i="12"/>
  <c r="AF61" i="12" s="1"/>
  <c r="AF66" i="12" s="1"/>
  <c r="BS114" i="12" a="1"/>
  <c r="BS114" i="12" s="1"/>
  <c r="BS61" i="12"/>
  <c r="BS66" i="12" s="1"/>
  <c r="BS68" i="12" s="1"/>
  <c r="AD63" i="12"/>
  <c r="AD61" i="12" s="1"/>
  <c r="AD66" i="12" s="1"/>
  <c r="BM114" i="12" a="1"/>
  <c r="BM114" i="12" s="1"/>
  <c r="BM61" i="12"/>
  <c r="BM66" i="12" s="1"/>
  <c r="BM68" i="12" s="1"/>
  <c r="AA63" i="12"/>
  <c r="AA61" i="12" s="1"/>
  <c r="AA66" i="12" s="1"/>
  <c r="AA68" i="12" s="1"/>
  <c r="BD61" i="12"/>
  <c r="BD66" i="12" s="1"/>
  <c r="BD68" i="12" s="1"/>
  <c r="BD114" i="12" a="1"/>
  <c r="BD114" i="12" s="1"/>
  <c r="W63" i="12"/>
  <c r="W61" i="12" s="1"/>
  <c r="W66" i="12" s="1"/>
  <c r="AR61" i="12"/>
  <c r="AR66" i="12" s="1"/>
  <c r="AR68" i="12" s="1"/>
  <c r="AR114" i="12" a="1"/>
  <c r="AR114" i="12" s="1"/>
  <c r="BV114" i="12" a="1"/>
  <c r="BV114" i="12" s="1"/>
  <c r="BV61" i="12"/>
  <c r="BV66" i="12" s="1"/>
  <c r="BV68" i="12" s="1"/>
  <c r="Y63" i="12"/>
  <c r="Y61" i="12" s="1"/>
  <c r="Y66" i="12" s="1"/>
  <c r="AX114" i="12" a="1"/>
  <c r="AX114" i="12" s="1"/>
  <c r="AX61" i="12"/>
  <c r="AX66" i="12" s="1"/>
  <c r="AX68" i="12" s="1"/>
  <c r="V63" i="12"/>
  <c r="V61" i="12" s="1"/>
  <c r="V66" i="12" s="1"/>
  <c r="P63" i="12"/>
  <c r="P61" i="12" s="1"/>
  <c r="P66" i="12" s="1"/>
  <c r="AO61" i="12"/>
  <c r="AO66" i="12" s="1"/>
  <c r="AO68" i="12" s="1"/>
  <c r="AO114" i="12" a="1"/>
  <c r="AO114" i="12" s="1"/>
  <c r="AE114" i="20"/>
  <c r="T114" i="20"/>
  <c r="AJ114" i="20"/>
  <c r="X114" i="20"/>
  <c r="AG114" i="20"/>
  <c r="AI114" i="20"/>
  <c r="AF114" i="20"/>
  <c r="AA114" i="20"/>
  <c r="V127" i="16"/>
  <c r="W127" i="16"/>
  <c r="U127" i="16"/>
  <c r="S127" i="16"/>
  <c r="O127" i="16"/>
  <c r="AH138" i="22"/>
  <c r="M141" i="22"/>
  <c r="AI127" i="15"/>
  <c r="AI39" i="14" s="1"/>
  <c r="AU127" i="15"/>
  <c r="AU39" i="14" s="1"/>
  <c r="S39" i="14" s="1"/>
  <c r="AL127" i="15"/>
  <c r="AL39" i="14" s="1"/>
  <c r="P39" i="14" s="1"/>
  <c r="AF127" i="15"/>
  <c r="AF39" i="14" s="1"/>
  <c r="AF96" i="14" s="1"/>
  <c r="AF109" i="14" s="1"/>
  <c r="AO127" i="15"/>
  <c r="AO39" i="14" s="1"/>
  <c r="Q39" i="14" s="1"/>
  <c r="BG127" i="15"/>
  <c r="BG39" i="14" s="1"/>
  <c r="BD127" i="15"/>
  <c r="BD39" i="14" s="1"/>
  <c r="V39" i="14" s="1"/>
  <c r="AR127" i="15"/>
  <c r="AR39" i="14" s="1"/>
  <c r="R39" i="14" s="1"/>
  <c r="AX127" i="15"/>
  <c r="AX39" i="14" s="1"/>
  <c r="AH114" i="20"/>
  <c r="AD114" i="20"/>
  <c r="U114" i="20"/>
  <c r="AB114" i="20"/>
  <c r="R114" i="20"/>
  <c r="AM114" i="20"/>
  <c r="Z114" i="20"/>
  <c r="S114" i="20"/>
  <c r="N41" i="14"/>
  <c r="H41" i="14"/>
  <c r="I41" i="14"/>
  <c r="R41" i="14"/>
  <c r="S27" i="15"/>
  <c r="S127" i="15" s="1"/>
  <c r="O27" i="15"/>
  <c r="O127" i="15" s="1"/>
  <c r="BP27" i="15"/>
  <c r="Z64" i="15"/>
  <c r="Z27" i="15" s="1"/>
  <c r="K64" i="15"/>
  <c r="BL58" i="15"/>
  <c r="BK58" i="15"/>
  <c r="BJ58" i="15"/>
  <c r="BJ56" i="15"/>
  <c r="BI56" i="15"/>
  <c r="BI27" i="15" s="1"/>
  <c r="BI127" i="15" s="1"/>
  <c r="BI39" i="14" s="1"/>
  <c r="BH56" i="15"/>
  <c r="BB48" i="15"/>
  <c r="BB27" i="15" s="1"/>
  <c r="BB127" i="15" s="1"/>
  <c r="BB39" i="14" s="1"/>
  <c r="BA48" i="15"/>
  <c r="AZ48" i="15"/>
  <c r="BM59" i="15"/>
  <c r="BL59" i="15"/>
  <c r="BK59" i="15"/>
  <c r="BN60" i="15"/>
  <c r="BM60" i="15"/>
  <c r="BL60" i="15"/>
  <c r="BO61" i="15"/>
  <c r="BO27" i="15" s="1"/>
  <c r="BN61" i="15"/>
  <c r="BM61" i="15"/>
  <c r="BU67" i="15"/>
  <c r="BU27" i="15" s="1"/>
  <c r="BT67" i="15"/>
  <c r="BT27" i="15" s="1"/>
  <c r="BS67" i="15"/>
  <c r="BZ72" i="15"/>
  <c r="BZ27" i="15" s="1"/>
  <c r="BY72" i="15"/>
  <c r="BX72" i="15"/>
  <c r="N27" i="15"/>
  <c r="N127" i="15" s="1"/>
  <c r="Q27" i="15"/>
  <c r="Q127" i="15" s="1"/>
  <c r="P27" i="15"/>
  <c r="P127" i="15" s="1"/>
  <c r="R27" i="15"/>
  <c r="R127" i="15" s="1"/>
  <c r="H27" i="15"/>
  <c r="H127" i="15" s="1"/>
  <c r="V27" i="15"/>
  <c r="V127" i="15" s="1"/>
  <c r="W57" i="15"/>
  <c r="J57" i="15"/>
  <c r="P54" i="12"/>
  <c r="P24" i="12"/>
  <c r="BJ100" i="14"/>
  <c r="BK10" i="16"/>
  <c r="BJ127" i="16"/>
  <c r="BJ41" i="14" s="1"/>
  <c r="BK10" i="15"/>
  <c r="AC24" i="12"/>
  <c r="AC54" i="12"/>
  <c r="Y24" i="12"/>
  <c r="Y54" i="12"/>
  <c r="AB24" i="12"/>
  <c r="AB54" i="12"/>
  <c r="AE54" i="12"/>
  <c r="AE24" i="12"/>
  <c r="BI301" i="31" l="1"/>
  <c r="BA301" i="31"/>
  <c r="AS301" i="31"/>
  <c r="AK301" i="31"/>
  <c r="BP301" i="31"/>
  <c r="BH301" i="31"/>
  <c r="AZ301" i="31"/>
  <c r="AR301" i="31"/>
  <c r="AJ301" i="31"/>
  <c r="BO301" i="31"/>
  <c r="BG301" i="31"/>
  <c r="AY301" i="31"/>
  <c r="AQ301" i="31"/>
  <c r="AI301" i="31"/>
  <c r="BN301" i="31"/>
  <c r="BF301" i="31"/>
  <c r="AX301" i="31"/>
  <c r="AP301" i="31"/>
  <c r="BM301" i="31"/>
  <c r="BE301" i="31"/>
  <c r="AW301" i="31"/>
  <c r="AO301" i="31"/>
  <c r="BL301" i="31"/>
  <c r="BD301" i="31"/>
  <c r="AV301" i="31"/>
  <c r="AN301" i="31"/>
  <c r="BK301" i="31"/>
  <c r="BC301" i="31"/>
  <c r="AU301" i="31"/>
  <c r="AM301" i="31"/>
  <c r="BJ301" i="31"/>
  <c r="BB301" i="31"/>
  <c r="AT301" i="31"/>
  <c r="AL301" i="31"/>
  <c r="AH301" i="31"/>
  <c r="X68" i="12"/>
  <c r="X114" i="12" s="1"/>
  <c r="Z68" i="12"/>
  <c r="Z114" i="12" s="1"/>
  <c r="P50" i="14"/>
  <c r="AU73" i="13"/>
  <c r="W68" i="12"/>
  <c r="W114" i="12" s="1"/>
  <c r="AF68" i="12"/>
  <c r="AF114" i="12" s="1"/>
  <c r="Q50" i="14"/>
  <c r="I50" i="14"/>
  <c r="R50" i="14"/>
  <c r="H50" i="14"/>
  <c r="O50" i="14"/>
  <c r="AI45" i="14"/>
  <c r="AI96" i="14" s="1"/>
  <c r="AI109" i="14" s="1"/>
  <c r="AK103" i="14"/>
  <c r="AK33" i="14" s="1"/>
  <c r="O33" i="14" s="1"/>
  <c r="AK102" i="14"/>
  <c r="AK32" i="14" s="1"/>
  <c r="Y60" i="15"/>
  <c r="AK34" i="14"/>
  <c r="O34" i="14" s="1"/>
  <c r="O101" i="14"/>
  <c r="AJ36" i="14"/>
  <c r="AJ108" i="14" s="1"/>
  <c r="E51" i="14" a="1"/>
  <c r="E51" i="14" s="1"/>
  <c r="O39" i="14"/>
  <c r="N39" i="14"/>
  <c r="N96" i="14" s="1"/>
  <c r="H39" i="14"/>
  <c r="AD68" i="12"/>
  <c r="AD114" i="12" s="1"/>
  <c r="C17" i="4" a="1"/>
  <c r="C17" i="4" s="1"/>
  <c r="D17" i="4" s="1"/>
  <c r="E17" i="4" s="1"/>
  <c r="V68" i="12"/>
  <c r="V114" i="12" s="1"/>
  <c r="AB68" i="12"/>
  <c r="AB114" i="12" s="1"/>
  <c r="AE68" i="12"/>
  <c r="AE114" i="12" s="1"/>
  <c r="AH152" i="13"/>
  <c r="AT152" i="13"/>
  <c r="M152" i="13"/>
  <c r="M161" i="13"/>
  <c r="P68" i="12"/>
  <c r="P114" i="12" s="1"/>
  <c r="AC68" i="12"/>
  <c r="AC114" i="12" s="1"/>
  <c r="Y68" i="12"/>
  <c r="Y114" i="12" s="1"/>
  <c r="Q114" i="12"/>
  <c r="AA114" i="12"/>
  <c r="N109" i="14"/>
  <c r="AG107" i="14"/>
  <c r="AH107" i="14" s="1"/>
  <c r="AI138" i="22"/>
  <c r="AJ138" i="22" s="1"/>
  <c r="N138" i="22"/>
  <c r="X58" i="15"/>
  <c r="J58" i="15"/>
  <c r="BJ27" i="15"/>
  <c r="BJ127" i="15" s="1"/>
  <c r="BJ39" i="14" s="1"/>
  <c r="X56" i="15"/>
  <c r="BH27" i="15"/>
  <c r="BH127" i="15" s="1"/>
  <c r="BH39" i="14" s="1"/>
  <c r="W39" i="14" s="1"/>
  <c r="J56" i="15"/>
  <c r="W56" i="15"/>
  <c r="W27" i="15" s="1"/>
  <c r="W127" i="15" s="1"/>
  <c r="BA27" i="15"/>
  <c r="BA127" i="15" s="1"/>
  <c r="BA39" i="14" s="1"/>
  <c r="U39" i="14" s="1"/>
  <c r="U48" i="15"/>
  <c r="U27" i="15" s="1"/>
  <c r="U127" i="15" s="1"/>
  <c r="AZ27" i="15"/>
  <c r="AZ127" i="15" s="1"/>
  <c r="AZ39" i="14" s="1"/>
  <c r="I48" i="15"/>
  <c r="I27" i="15" s="1"/>
  <c r="I127" i="15" s="1"/>
  <c r="T48" i="15"/>
  <c r="T27" i="15" s="1"/>
  <c r="T127" i="15" s="1"/>
  <c r="BM27" i="15"/>
  <c r="Y59" i="15"/>
  <c r="J59" i="15"/>
  <c r="X59" i="15"/>
  <c r="J60" i="15"/>
  <c r="X60" i="15"/>
  <c r="J61" i="15"/>
  <c r="Y61" i="15"/>
  <c r="BS27" i="15"/>
  <c r="K67" i="15"/>
  <c r="AA67" i="15"/>
  <c r="AA27" i="15" s="1"/>
  <c r="BY27" i="15"/>
  <c r="AC72" i="15"/>
  <c r="AC27" i="15" s="1"/>
  <c r="BX27" i="15"/>
  <c r="K72" i="15"/>
  <c r="AB72" i="15"/>
  <c r="AB27" i="15" s="1"/>
  <c r="BL27" i="15"/>
  <c r="BK27" i="15"/>
  <c r="BN27" i="15"/>
  <c r="BL12" i="16"/>
  <c r="BK25" i="16"/>
  <c r="BK22" i="16"/>
  <c r="BK27" i="14" s="1"/>
  <c r="BL12" i="15"/>
  <c r="BK22" i="15"/>
  <c r="BK25" i="14" s="1"/>
  <c r="BK25" i="15"/>
  <c r="Z301" i="31" l="1"/>
  <c r="U301" i="31"/>
  <c r="V301" i="31"/>
  <c r="X301" i="31"/>
  <c r="S301" i="31"/>
  <c r="W301" i="31"/>
  <c r="P301" i="31"/>
  <c r="J301" i="31"/>
  <c r="R301" i="31"/>
  <c r="K301" i="31"/>
  <c r="T301" i="31"/>
  <c r="Y301" i="31"/>
  <c r="AY289" i="31"/>
  <c r="BG289" i="31"/>
  <c r="AP289" i="31"/>
  <c r="BA289" i="31"/>
  <c r="AS289" i="31"/>
  <c r="BK289" i="31"/>
  <c r="BM289" i="31"/>
  <c r="BE289" i="31"/>
  <c r="AO289" i="31"/>
  <c r="AU289" i="31"/>
  <c r="BH289" i="31"/>
  <c r="BP289" i="31"/>
  <c r="AL289" i="31"/>
  <c r="AV289" i="31"/>
  <c r="AX289" i="31"/>
  <c r="AJ289" i="31"/>
  <c r="BN289" i="31"/>
  <c r="AI289" i="31"/>
  <c r="BJ289" i="31"/>
  <c r="AM289" i="31"/>
  <c r="AR289" i="31"/>
  <c r="BD289" i="31"/>
  <c r="BB289" i="31"/>
  <c r="BL289" i="31"/>
  <c r="Z290" i="31"/>
  <c r="Z289" i="31" s="1"/>
  <c r="AH289" i="31"/>
  <c r="P290" i="31"/>
  <c r="P289" i="31" s="1"/>
  <c r="J290" i="31"/>
  <c r="J289" i="31" s="1"/>
  <c r="BI289" i="31"/>
  <c r="Y290" i="31"/>
  <c r="Y289" i="31" s="1"/>
  <c r="AN289" i="31"/>
  <c r="R290" i="31"/>
  <c r="R289" i="31" s="1"/>
  <c r="AK289" i="31"/>
  <c r="Q290" i="31"/>
  <c r="Q289" i="31" s="1"/>
  <c r="BF289" i="31"/>
  <c r="X290" i="31"/>
  <c r="X289" i="31" s="1"/>
  <c r="BO289" i="31"/>
  <c r="AZ289" i="31"/>
  <c r="V290" i="31"/>
  <c r="V289" i="31" s="1"/>
  <c r="BC289" i="31"/>
  <c r="W290" i="31"/>
  <c r="W289" i="31" s="1"/>
  <c r="AW289" i="31"/>
  <c r="U290" i="31"/>
  <c r="U289" i="31" s="1"/>
  <c r="AT289" i="31"/>
  <c r="T290" i="31"/>
  <c r="T289" i="31" s="1"/>
  <c r="K290" i="31"/>
  <c r="K289" i="31" s="1"/>
  <c r="AQ289" i="31"/>
  <c r="S290" i="31"/>
  <c r="S289" i="31" s="1"/>
  <c r="O103" i="14"/>
  <c r="O102" i="14"/>
  <c r="AK104" i="14"/>
  <c r="O104" i="14" s="1"/>
  <c r="AO51" i="14"/>
  <c r="AU51" i="14"/>
  <c r="S51" i="14" s="1"/>
  <c r="AR51" i="14"/>
  <c r="AN51" i="14"/>
  <c r="AK51" i="14"/>
  <c r="AP51" i="14"/>
  <c r="AL51" i="14"/>
  <c r="AQ51" i="14"/>
  <c r="AJ51" i="14"/>
  <c r="AT51" i="14"/>
  <c r="AS51" i="14"/>
  <c r="AM51" i="14"/>
  <c r="O32" i="14"/>
  <c r="O31" i="14" s="1"/>
  <c r="O36" i="14" s="1"/>
  <c r="AK31" i="14"/>
  <c r="N110" i="14"/>
  <c r="AI107" i="14"/>
  <c r="O107" i="14" s="1"/>
  <c r="N141" i="22"/>
  <c r="AK138" i="22"/>
  <c r="I39" i="14"/>
  <c r="T39" i="14"/>
  <c r="X27" i="15"/>
  <c r="K27" i="15"/>
  <c r="Y27" i="15"/>
  <c r="J27" i="15"/>
  <c r="X12" i="16"/>
  <c r="BL10" i="16"/>
  <c r="BK127" i="16"/>
  <c r="BK41" i="14" s="1"/>
  <c r="BK100" i="14"/>
  <c r="X12" i="15"/>
  <c r="BL10" i="15"/>
  <c r="BK127" i="15"/>
  <c r="BK39" i="14" s="1"/>
  <c r="AJ107" i="14"/>
  <c r="AK107" i="14" s="1"/>
  <c r="AL99" i="14" l="1"/>
  <c r="AL101" i="14" s="1"/>
  <c r="AL34" i="14" s="1"/>
  <c r="AJ45" i="14"/>
  <c r="AJ96" i="14" s="1"/>
  <c r="AJ109" i="14" s="1"/>
  <c r="H51" i="14"/>
  <c r="O51" i="14"/>
  <c r="P51" i="14"/>
  <c r="AK36" i="14"/>
  <c r="AK108" i="14" s="1"/>
  <c r="O108" i="14" s="1"/>
  <c r="E52" i="14" a="1"/>
  <c r="E52" i="14" s="1"/>
  <c r="R51" i="14"/>
  <c r="I51" i="14"/>
  <c r="Q51" i="14"/>
  <c r="AL138" i="22"/>
  <c r="AM138" i="22" s="1"/>
  <c r="O138" i="22"/>
  <c r="X10" i="16"/>
  <c r="X22" i="16" s="1"/>
  <c r="BM12" i="16"/>
  <c r="BL25" i="16"/>
  <c r="BL22" i="16"/>
  <c r="BL27" i="14" s="1"/>
  <c r="X10" i="15"/>
  <c r="X22" i="15" s="1"/>
  <c r="BM12" i="15"/>
  <c r="BL22" i="15"/>
  <c r="BL25" i="14" s="1"/>
  <c r="BL25" i="15"/>
  <c r="AL103" i="14" l="1"/>
  <c r="AL33" i="14" s="1"/>
  <c r="AL102" i="14"/>
  <c r="AL32" i="14" s="1"/>
  <c r="P99" i="14"/>
  <c r="AS52" i="14"/>
  <c r="AR52" i="14"/>
  <c r="AQ52" i="14"/>
  <c r="AT52" i="14"/>
  <c r="AV52" i="14"/>
  <c r="AM52" i="14"/>
  <c r="AL52" i="14"/>
  <c r="AK52" i="14"/>
  <c r="AU52" i="14"/>
  <c r="AO52" i="14"/>
  <c r="AP52" i="14"/>
  <c r="AN52" i="14"/>
  <c r="AN138" i="22"/>
  <c r="O141" i="22"/>
  <c r="BM10" i="16"/>
  <c r="X25" i="16"/>
  <c r="X127" i="16" s="1"/>
  <c r="BL127" i="16"/>
  <c r="BL41" i="14" s="1"/>
  <c r="X27" i="14"/>
  <c r="BL100" i="14"/>
  <c r="BM10" i="15"/>
  <c r="X25" i="14"/>
  <c r="X25" i="15"/>
  <c r="X127" i="15" s="1"/>
  <c r="BL127" i="15"/>
  <c r="BL39" i="14" s="1"/>
  <c r="AL31" i="14" l="1"/>
  <c r="AL104" i="14"/>
  <c r="AM99" i="14" s="1"/>
  <c r="AM103" i="14" s="1"/>
  <c r="AM33" i="14" s="1"/>
  <c r="Q52" i="14"/>
  <c r="P52" i="14"/>
  <c r="AM102" i="14"/>
  <c r="AM32" i="14" s="1"/>
  <c r="AM101" i="14"/>
  <c r="AM34" i="14" s="1"/>
  <c r="S52" i="14"/>
  <c r="R52" i="14"/>
  <c r="I52" i="14"/>
  <c r="H52" i="14"/>
  <c r="O52" i="14"/>
  <c r="O45" i="14" s="1"/>
  <c r="O96" i="14" s="1"/>
  <c r="AK45" i="14"/>
  <c r="AK96" i="14" s="1"/>
  <c r="AK109" i="14" s="1"/>
  <c r="O109" i="14" s="1"/>
  <c r="AL36" i="14"/>
  <c r="AL108" i="14" s="1"/>
  <c r="E53" i="14" a="1"/>
  <c r="E53" i="14" s="1"/>
  <c r="AO138" i="22"/>
  <c r="AP138" i="22" s="1"/>
  <c r="P138" i="22"/>
  <c r="AL107" i="14"/>
  <c r="P107" i="14" s="1"/>
  <c r="O110" i="14"/>
  <c r="BN12" i="16"/>
  <c r="BM25" i="16"/>
  <c r="BM22" i="16"/>
  <c r="BM27" i="14" s="1"/>
  <c r="X41" i="14"/>
  <c r="X100" i="14"/>
  <c r="BN12" i="15"/>
  <c r="BM22" i="15"/>
  <c r="BM25" i="14" s="1"/>
  <c r="BM25" i="15"/>
  <c r="X39" i="14"/>
  <c r="AM31" i="14" l="1"/>
  <c r="E54" i="14" s="1" a="1"/>
  <c r="E54" i="14" s="1"/>
  <c r="AM104" i="14"/>
  <c r="AN99" i="14" s="1"/>
  <c r="AN101" i="14" s="1"/>
  <c r="AV53" i="14"/>
  <c r="AU53" i="14"/>
  <c r="AR53" i="14"/>
  <c r="AO53" i="14"/>
  <c r="AP53" i="14"/>
  <c r="AQ53" i="14"/>
  <c r="AN53" i="14"/>
  <c r="AW53" i="14"/>
  <c r="AS53" i="14"/>
  <c r="AT53" i="14"/>
  <c r="AL53" i="14"/>
  <c r="AM53" i="14"/>
  <c r="P141" i="22"/>
  <c r="AQ138" i="22"/>
  <c r="G141" i="22"/>
  <c r="AM107" i="14"/>
  <c r="AN107" i="14" s="1"/>
  <c r="BN10" i="16"/>
  <c r="BM127" i="16"/>
  <c r="BM41" i="14" s="1"/>
  <c r="BM100" i="14"/>
  <c r="BN10" i="15"/>
  <c r="BM127" i="15"/>
  <c r="BM39" i="14" s="1"/>
  <c r="AN103" i="14" l="1"/>
  <c r="P103" i="14" s="1"/>
  <c r="AN102" i="14"/>
  <c r="AN32" i="14" s="1"/>
  <c r="P32" i="14" s="1"/>
  <c r="AN34" i="14"/>
  <c r="P34" i="14" s="1"/>
  <c r="P101" i="14"/>
  <c r="AM36" i="14"/>
  <c r="AM108" i="14" s="1"/>
  <c r="R53" i="14"/>
  <c r="I53" i="14"/>
  <c r="Q53" i="14"/>
  <c r="S53" i="14"/>
  <c r="AL45" i="14"/>
  <c r="AL96" i="14" s="1"/>
  <c r="AL109" i="14" s="1"/>
  <c r="H53" i="14"/>
  <c r="P53" i="14"/>
  <c r="AN54" i="14"/>
  <c r="AM54" i="14"/>
  <c r="AP54" i="14"/>
  <c r="AU54" i="14"/>
  <c r="AX54" i="14"/>
  <c r="T54" i="14" s="1"/>
  <c r="AT54" i="14"/>
  <c r="AV54" i="14"/>
  <c r="AO54" i="14"/>
  <c r="AR54" i="14"/>
  <c r="AW54" i="14"/>
  <c r="AS54" i="14"/>
  <c r="AQ54" i="14"/>
  <c r="AR138" i="22"/>
  <c r="AS138" i="22" s="1"/>
  <c r="H138" i="22"/>
  <c r="Q138" i="22"/>
  <c r="BO12" i="16"/>
  <c r="BN25" i="16"/>
  <c r="BN22" i="16"/>
  <c r="BN27" i="14" s="1"/>
  <c r="BO12" i="15"/>
  <c r="BN22" i="15"/>
  <c r="BN25" i="14" s="1"/>
  <c r="BN25" i="15"/>
  <c r="AN104" i="14" l="1"/>
  <c r="AO99" i="14" s="1"/>
  <c r="Q99" i="14" s="1"/>
  <c r="P102" i="14"/>
  <c r="AN33" i="14"/>
  <c r="P33" i="14" s="1"/>
  <c r="P31" i="14" s="1"/>
  <c r="P36" i="14" s="1"/>
  <c r="R54" i="14"/>
  <c r="I54" i="14"/>
  <c r="Q54" i="14"/>
  <c r="P54" i="14"/>
  <c r="H54" i="14"/>
  <c r="AM45" i="14"/>
  <c r="AM96" i="14" s="1"/>
  <c r="AM109" i="14" s="1"/>
  <c r="S54" i="14"/>
  <c r="AT138" i="22"/>
  <c r="Q141" i="22"/>
  <c r="Y12" i="16"/>
  <c r="J12" i="16"/>
  <c r="BO10" i="16"/>
  <c r="BN127" i="16"/>
  <c r="BN41" i="14" s="1"/>
  <c r="J12" i="15"/>
  <c r="Y12" i="15"/>
  <c r="BO10" i="15"/>
  <c r="BN127" i="15"/>
  <c r="BN39" i="14" s="1"/>
  <c r="P104" i="14" l="1"/>
  <c r="AO101" i="14"/>
  <c r="AO34" i="14" s="1"/>
  <c r="AO103" i="14"/>
  <c r="AO33" i="14" s="1"/>
  <c r="AO102" i="14"/>
  <c r="AO32" i="14" s="1"/>
  <c r="AN31" i="14"/>
  <c r="AU138" i="22"/>
  <c r="AV138" i="22" s="1"/>
  <c r="R138" i="22"/>
  <c r="Y10" i="16"/>
  <c r="Y22" i="16" s="1"/>
  <c r="J10" i="16"/>
  <c r="J22" i="16" s="1"/>
  <c r="BO22" i="16"/>
  <c r="BO27" i="14" s="1"/>
  <c r="BP12" i="16"/>
  <c r="BO25" i="16"/>
  <c r="J10" i="15"/>
  <c r="J22" i="15" s="1"/>
  <c r="Y10" i="15"/>
  <c r="Y22" i="15" s="1"/>
  <c r="BP12" i="15"/>
  <c r="BO22" i="15"/>
  <c r="BO25" i="14" s="1"/>
  <c r="BO25" i="15"/>
  <c r="AO31" i="14" l="1"/>
  <c r="E56" i="14" s="1" a="1"/>
  <c r="E56" i="14" s="1"/>
  <c r="AS56" i="14" s="1"/>
  <c r="AO104" i="14"/>
  <c r="AP99" i="14" s="1"/>
  <c r="AP102" i="14" s="1"/>
  <c r="AP32" i="14" s="1"/>
  <c r="AN36" i="14"/>
  <c r="AN108" i="14" s="1"/>
  <c r="P108" i="14" s="1"/>
  <c r="E55" i="14" a="1"/>
  <c r="E55" i="14" s="1"/>
  <c r="AO56" i="14"/>
  <c r="AT56" i="14"/>
  <c r="AX56" i="14"/>
  <c r="AQ56" i="14"/>
  <c r="AW56" i="14"/>
  <c r="AO36" i="14"/>
  <c r="AO108" i="14" s="1"/>
  <c r="AV56" i="14"/>
  <c r="AP56" i="14"/>
  <c r="AU56" i="14"/>
  <c r="AY56" i="14"/>
  <c r="AR56" i="14"/>
  <c r="R56" i="14" s="1"/>
  <c r="AZ56" i="14"/>
  <c r="T56" i="14" s="1"/>
  <c r="AW138" i="22"/>
  <c r="R141" i="22"/>
  <c r="AO107" i="14"/>
  <c r="P110" i="14"/>
  <c r="J27" i="14"/>
  <c r="Y27" i="14"/>
  <c r="BP10" i="16"/>
  <c r="Y25" i="16"/>
  <c r="Y127" i="16" s="1"/>
  <c r="J25" i="16"/>
  <c r="J127" i="16" s="1"/>
  <c r="BO127" i="16"/>
  <c r="BO41" i="14" s="1"/>
  <c r="BP10" i="15"/>
  <c r="Y25" i="14"/>
  <c r="J25" i="14"/>
  <c r="J25" i="15"/>
  <c r="J127" i="15" s="1"/>
  <c r="Y25" i="15"/>
  <c r="Y127" i="15" s="1"/>
  <c r="BO127" i="15"/>
  <c r="BO39" i="14" s="1"/>
  <c r="S56" i="14" l="1"/>
  <c r="AP103" i="14"/>
  <c r="AP33" i="14" s="1"/>
  <c r="AP101" i="14"/>
  <c r="AP34" i="14" s="1"/>
  <c r="AP55" i="14"/>
  <c r="AO55" i="14"/>
  <c r="AS55" i="14"/>
  <c r="AV55" i="14"/>
  <c r="AU55" i="14"/>
  <c r="AY55" i="14"/>
  <c r="AX55" i="14"/>
  <c r="AQ55" i="14"/>
  <c r="AT55" i="14"/>
  <c r="AR55" i="14"/>
  <c r="AW55" i="14"/>
  <c r="AN55" i="14"/>
  <c r="Q56" i="14"/>
  <c r="H56" i="14"/>
  <c r="I56" i="14"/>
  <c r="AX138" i="22"/>
  <c r="AY138" i="22" s="1"/>
  <c r="S138" i="22"/>
  <c r="AP107" i="14"/>
  <c r="AQ107" i="14" s="1"/>
  <c r="Q107" i="14"/>
  <c r="BQ12" i="16"/>
  <c r="BP25" i="16"/>
  <c r="BP22" i="16"/>
  <c r="BP27" i="14" s="1"/>
  <c r="Y41" i="14"/>
  <c r="J41" i="14"/>
  <c r="BQ12" i="15"/>
  <c r="BP22" i="15"/>
  <c r="BP25" i="14" s="1"/>
  <c r="BP25" i="15"/>
  <c r="Y39" i="14"/>
  <c r="J39" i="14"/>
  <c r="AP31" i="14" l="1"/>
  <c r="AP36" i="14" s="1"/>
  <c r="AP108" i="14" s="1"/>
  <c r="S55" i="14"/>
  <c r="Q55" i="14"/>
  <c r="AO45" i="14"/>
  <c r="AO96" i="14" s="1"/>
  <c r="AO109" i="14" s="1"/>
  <c r="AP104" i="14"/>
  <c r="AQ99" i="14" s="1"/>
  <c r="P55" i="14"/>
  <c r="P45" i="14" s="1"/>
  <c r="P96" i="14" s="1"/>
  <c r="AN45" i="14"/>
  <c r="AN96" i="14" s="1"/>
  <c r="AN109" i="14" s="1"/>
  <c r="P109" i="14" s="1"/>
  <c r="H55" i="14"/>
  <c r="R55" i="14"/>
  <c r="I55" i="14"/>
  <c r="T55" i="14"/>
  <c r="AZ138" i="22"/>
  <c r="S141" i="22"/>
  <c r="BQ10" i="16"/>
  <c r="BP127" i="16"/>
  <c r="BP41" i="14" s="1"/>
  <c r="BQ10" i="15"/>
  <c r="BP127" i="15"/>
  <c r="BP39" i="14" s="1"/>
  <c r="E57" i="14" l="1" a="1"/>
  <c r="E57" i="14" s="1"/>
  <c r="AX57" i="14" s="1"/>
  <c r="AQ103" i="14"/>
  <c r="AQ101" i="14"/>
  <c r="AQ102" i="14"/>
  <c r="AS57" i="14"/>
  <c r="AU57" i="14"/>
  <c r="AT57" i="14"/>
  <c r="AV57" i="14"/>
  <c r="AY57" i="14"/>
  <c r="AQ57" i="14"/>
  <c r="AP57" i="14"/>
  <c r="AR57" i="14"/>
  <c r="AZ57" i="14"/>
  <c r="BA57" i="14"/>
  <c r="U57" i="14" s="1"/>
  <c r="BA138" i="22"/>
  <c r="BB138" i="22" s="1"/>
  <c r="T138" i="22"/>
  <c r="BQ22" i="16"/>
  <c r="BQ27" i="14" s="1"/>
  <c r="BR12" i="16"/>
  <c r="BQ25" i="16"/>
  <c r="BR12" i="15"/>
  <c r="BQ22" i="15"/>
  <c r="BQ25" i="14" s="1"/>
  <c r="BQ25" i="15"/>
  <c r="AW57" i="14" l="1"/>
  <c r="S57" i="14"/>
  <c r="R57" i="14"/>
  <c r="H101" i="14"/>
  <c r="AQ104" i="14"/>
  <c r="Q101" i="14"/>
  <c r="AQ34" i="14"/>
  <c r="AQ33" i="14"/>
  <c r="H103" i="14"/>
  <c r="Q103" i="14"/>
  <c r="H57" i="14"/>
  <c r="Q102" i="14"/>
  <c r="AQ32" i="14"/>
  <c r="H102" i="14"/>
  <c r="AP45" i="14"/>
  <c r="AP96" i="14" s="1"/>
  <c r="AP109" i="14" s="1"/>
  <c r="Q57" i="14"/>
  <c r="T57" i="14"/>
  <c r="I57" i="14"/>
  <c r="BC138" i="22"/>
  <c r="H141" i="22"/>
  <c r="T141" i="22"/>
  <c r="Z12" i="16"/>
  <c r="BR10" i="16"/>
  <c r="BQ127" i="16"/>
  <c r="BQ41" i="14" s="1"/>
  <c r="Z12" i="15"/>
  <c r="BR10" i="15"/>
  <c r="BQ127" i="15"/>
  <c r="BQ39" i="14" s="1"/>
  <c r="H33" i="14" l="1"/>
  <c r="Q33" i="14"/>
  <c r="H34" i="14"/>
  <c r="Q34" i="14"/>
  <c r="H32" i="14"/>
  <c r="AQ31" i="14"/>
  <c r="Q32" i="14"/>
  <c r="Q104" i="14"/>
  <c r="H104" i="14"/>
  <c r="AR99" i="14"/>
  <c r="BD138" i="22"/>
  <c r="BE138" i="22" s="1"/>
  <c r="U138" i="22"/>
  <c r="I138" i="22"/>
  <c r="Q110" i="14"/>
  <c r="AR107" i="14"/>
  <c r="H110" i="14"/>
  <c r="Z10" i="16"/>
  <c r="Z22" i="16" s="1"/>
  <c r="BS12" i="16"/>
  <c r="BR25" i="16"/>
  <c r="BR22" i="16"/>
  <c r="BR27" i="14" s="1"/>
  <c r="Z10" i="15"/>
  <c r="Z22" i="15" s="1"/>
  <c r="BS12" i="15"/>
  <c r="BR22" i="15"/>
  <c r="BR25" i="14" s="1"/>
  <c r="BR25" i="15"/>
  <c r="I99" i="14" l="1"/>
  <c r="AR102" i="14"/>
  <c r="AR32" i="14" s="1"/>
  <c r="R99" i="14"/>
  <c r="AR101" i="14"/>
  <c r="AR34" i="14" s="1"/>
  <c r="AR103" i="14"/>
  <c r="AR33" i="14" s="1"/>
  <c r="Q31" i="14"/>
  <c r="Q36" i="14" s="1"/>
  <c r="E58" i="14" a="1"/>
  <c r="E58" i="14" s="1"/>
  <c r="AQ36" i="14"/>
  <c r="AQ108" i="14" s="1"/>
  <c r="H31" i="14"/>
  <c r="H36" i="14" s="1"/>
  <c r="BF138" i="22"/>
  <c r="U141" i="22"/>
  <c r="I107" i="14"/>
  <c r="R107" i="14"/>
  <c r="AS107" i="14"/>
  <c r="BS10" i="16"/>
  <c r="Z25" i="16"/>
  <c r="Z127" i="16" s="1"/>
  <c r="BR127" i="16"/>
  <c r="BR41" i="14" s="1"/>
  <c r="Z27" i="14"/>
  <c r="BS10" i="15"/>
  <c r="Z25" i="14"/>
  <c r="Z25" i="15"/>
  <c r="Z127" i="15" s="1"/>
  <c r="BR127" i="15"/>
  <c r="BR39" i="14" s="1"/>
  <c r="AR104" i="14" l="1"/>
  <c r="AS99" i="14" s="1"/>
  <c r="AS103" i="14" s="1"/>
  <c r="AS33" i="14" s="1"/>
  <c r="H108" i="14"/>
  <c r="Q108" i="14"/>
  <c r="AR31" i="14"/>
  <c r="AS58" i="14"/>
  <c r="AZ58" i="14"/>
  <c r="AT58" i="14"/>
  <c r="AR58" i="14"/>
  <c r="AX58" i="14"/>
  <c r="AQ58" i="14"/>
  <c r="AY58" i="14"/>
  <c r="AV58" i="14"/>
  <c r="AU58" i="14"/>
  <c r="BA58" i="14"/>
  <c r="BB58" i="14"/>
  <c r="AW58" i="14"/>
  <c r="AS102" i="14"/>
  <c r="AS32" i="14" s="1"/>
  <c r="BG138" i="22"/>
  <c r="BH138" i="22" s="1"/>
  <c r="V138" i="22"/>
  <c r="AT107" i="14"/>
  <c r="BS22" i="16"/>
  <c r="BS27" i="14" s="1"/>
  <c r="BT12" i="16"/>
  <c r="BS25" i="16"/>
  <c r="Z41" i="14"/>
  <c r="BT12" i="15"/>
  <c r="BS22" i="15"/>
  <c r="BS25" i="14" s="1"/>
  <c r="BS25" i="15"/>
  <c r="Z39" i="14"/>
  <c r="AS101" i="14" l="1"/>
  <c r="AS34" i="14" s="1"/>
  <c r="AS31" i="14" s="1"/>
  <c r="T58" i="14"/>
  <c r="AQ45" i="14"/>
  <c r="AQ96" i="14" s="1"/>
  <c r="AQ109" i="14" s="1"/>
  <c r="Q58" i="14"/>
  <c r="Q45" i="14" s="1"/>
  <c r="Q96" i="14" s="1"/>
  <c r="H58" i="14"/>
  <c r="H45" i="14" s="1"/>
  <c r="H96" i="14" s="1"/>
  <c r="U58" i="14"/>
  <c r="AR36" i="14"/>
  <c r="AR108" i="14" s="1"/>
  <c r="E59" i="14" a="1"/>
  <c r="E59" i="14" s="1"/>
  <c r="R58" i="14"/>
  <c r="I58" i="14"/>
  <c r="S58" i="14"/>
  <c r="BI138" i="22"/>
  <c r="V141" i="22"/>
  <c r="BT10" i="16"/>
  <c r="BS127" i="16"/>
  <c r="BS41" i="14" s="1"/>
  <c r="BT10" i="15"/>
  <c r="BS127" i="15"/>
  <c r="BS39" i="14" s="1"/>
  <c r="AS36" i="14" l="1"/>
  <c r="AS108" i="14" s="1"/>
  <c r="E60" i="14" a="1"/>
  <c r="E60" i="14" s="1"/>
  <c r="AU60" i="14" s="1"/>
  <c r="AS104" i="14"/>
  <c r="AT99" i="14" s="1"/>
  <c r="AT103" i="14" s="1"/>
  <c r="AT102" i="14"/>
  <c r="AT101" i="14"/>
  <c r="AW59" i="14"/>
  <c r="AX59" i="14"/>
  <c r="AR59" i="14"/>
  <c r="AZ59" i="14"/>
  <c r="AY59" i="14"/>
  <c r="AT59" i="14"/>
  <c r="AU59" i="14"/>
  <c r="BB59" i="14"/>
  <c r="BC59" i="14"/>
  <c r="BA59" i="14"/>
  <c r="AS59" i="14"/>
  <c r="AV59" i="14"/>
  <c r="Q109" i="14"/>
  <c r="H109" i="14"/>
  <c r="AT32" i="14"/>
  <c r="R102" i="14"/>
  <c r="AT33" i="14"/>
  <c r="R33" i="14" s="1"/>
  <c r="R103" i="14"/>
  <c r="R101" i="14"/>
  <c r="AT34" i="14"/>
  <c r="R34" i="14" s="1"/>
  <c r="BA60" i="14"/>
  <c r="BC60" i="14"/>
  <c r="AV60" i="14"/>
  <c r="AY60" i="14"/>
  <c r="AS60" i="14"/>
  <c r="AT60" i="14"/>
  <c r="AW60" i="14"/>
  <c r="AZ60" i="14"/>
  <c r="BB60" i="14"/>
  <c r="AX60" i="14"/>
  <c r="BJ138" i="22"/>
  <c r="BK138" i="22" s="1"/>
  <c r="W138" i="22"/>
  <c r="BU12" i="16"/>
  <c r="BT25" i="16"/>
  <c r="BT22" i="16"/>
  <c r="BT27" i="14" s="1"/>
  <c r="BU12" i="15"/>
  <c r="BT22" i="15"/>
  <c r="BT25" i="14" s="1"/>
  <c r="BT25" i="15"/>
  <c r="BD60" i="14" l="1"/>
  <c r="AT104" i="14"/>
  <c r="R104" i="14" s="1"/>
  <c r="S59" i="14"/>
  <c r="I59" i="14"/>
  <c r="R59" i="14"/>
  <c r="AR45" i="14"/>
  <c r="AR96" i="14" s="1"/>
  <c r="AR109" i="14" s="1"/>
  <c r="U59" i="14"/>
  <c r="T59" i="14"/>
  <c r="S60" i="14"/>
  <c r="U60" i="14"/>
  <c r="J60" i="14"/>
  <c r="V60" i="14"/>
  <c r="R60" i="14"/>
  <c r="AS45" i="14"/>
  <c r="AS96" i="14" s="1"/>
  <c r="AS109" i="14" s="1"/>
  <c r="I60" i="14"/>
  <c r="T60" i="14"/>
  <c r="R32" i="14"/>
  <c r="R31" i="14" s="1"/>
  <c r="R36" i="14" s="1"/>
  <c r="AT31" i="14"/>
  <c r="BL138" i="22"/>
  <c r="W141" i="22"/>
  <c r="AU107" i="14"/>
  <c r="R110" i="14"/>
  <c r="AA12" i="16"/>
  <c r="BU10" i="16"/>
  <c r="BT127" i="16"/>
  <c r="BT41" i="14" s="1"/>
  <c r="AA12" i="15"/>
  <c r="BU10" i="15"/>
  <c r="BT127" i="15"/>
  <c r="BT39" i="14" s="1"/>
  <c r="AU99" i="14" l="1"/>
  <c r="S99" i="14" s="1"/>
  <c r="AT36" i="14"/>
  <c r="AT108" i="14" s="1"/>
  <c r="R108" i="14" s="1"/>
  <c r="E61" i="14" a="1"/>
  <c r="E61" i="14" s="1"/>
  <c r="BM138" i="22"/>
  <c r="X138" i="22"/>
  <c r="AV107" i="14"/>
  <c r="S107" i="14"/>
  <c r="AA10" i="16"/>
  <c r="AA22" i="16" s="1"/>
  <c r="BU22" i="16"/>
  <c r="BU27" i="14" s="1"/>
  <c r="BV12" i="16"/>
  <c r="BU25" i="16"/>
  <c r="AA10" i="15"/>
  <c r="AA22" i="15" s="1"/>
  <c r="BV12" i="15"/>
  <c r="BU22" i="15"/>
  <c r="BU25" i="14" s="1"/>
  <c r="BU25" i="15"/>
  <c r="AU101" i="14" l="1"/>
  <c r="AU34" i="14" s="1"/>
  <c r="AU103" i="14"/>
  <c r="AU33" i="14" s="1"/>
  <c r="AU102" i="14"/>
  <c r="AU32" i="14" s="1"/>
  <c r="BD61" i="14"/>
  <c r="AU61" i="14"/>
  <c r="BB61" i="14"/>
  <c r="AX61" i="14"/>
  <c r="AW61" i="14"/>
  <c r="BE61" i="14"/>
  <c r="BA61" i="14"/>
  <c r="AY61" i="14"/>
  <c r="AV61" i="14"/>
  <c r="AZ61" i="14"/>
  <c r="BC61" i="14"/>
  <c r="AT61" i="14"/>
  <c r="AA27" i="14"/>
  <c r="BV10" i="16"/>
  <c r="AA25" i="16"/>
  <c r="AA127" i="16" s="1"/>
  <c r="BU127" i="16"/>
  <c r="BU41" i="14" s="1"/>
  <c r="BV10" i="15"/>
  <c r="AA25" i="14"/>
  <c r="AA25" i="15"/>
  <c r="AA127" i="15" s="1"/>
  <c r="BU127" i="15"/>
  <c r="BU39" i="14" s="1"/>
  <c r="AU31" i="14" l="1"/>
  <c r="E62" i="14" s="1" a="1"/>
  <c r="E62" i="14" s="1"/>
  <c r="AU104" i="14"/>
  <c r="AV99" i="14" s="1"/>
  <c r="AV102" i="14" s="1"/>
  <c r="AV32" i="14" s="1"/>
  <c r="AU36" i="14"/>
  <c r="AU108" i="14" s="1"/>
  <c r="BE62" i="14"/>
  <c r="BA62" i="14"/>
  <c r="AW62" i="14"/>
  <c r="AY62" i="14"/>
  <c r="BB62" i="14"/>
  <c r="BD62" i="14"/>
  <c r="AV62" i="14"/>
  <c r="BC62" i="14"/>
  <c r="U62" i="14" s="1"/>
  <c r="AZ62" i="14"/>
  <c r="AX62" i="14"/>
  <c r="T62" i="14" s="1"/>
  <c r="BF62" i="14"/>
  <c r="V62" i="14" s="1"/>
  <c r="AU62" i="14"/>
  <c r="AU45" i="14" s="1"/>
  <c r="AU96" i="14" s="1"/>
  <c r="AU109" i="14" s="1"/>
  <c r="U61" i="14"/>
  <c r="S61" i="14"/>
  <c r="I61" i="14"/>
  <c r="AT45" i="14"/>
  <c r="AT96" i="14" s="1"/>
  <c r="AT109" i="14" s="1"/>
  <c r="R109" i="14" s="1"/>
  <c r="R61" i="14"/>
  <c r="R45" i="14" s="1"/>
  <c r="R96" i="14" s="1"/>
  <c r="T61" i="14"/>
  <c r="V61" i="14"/>
  <c r="J61" i="14"/>
  <c r="BW12" i="16"/>
  <c r="BV25" i="16"/>
  <c r="BV22" i="16"/>
  <c r="BV27" i="14" s="1"/>
  <c r="AA41" i="14"/>
  <c r="BW12" i="15"/>
  <c r="BV22" i="15"/>
  <c r="BV25" i="14" s="1"/>
  <c r="BV25" i="15"/>
  <c r="AA39" i="14"/>
  <c r="AV103" i="14" l="1"/>
  <c r="AV33" i="14" s="1"/>
  <c r="AV101" i="14"/>
  <c r="J62" i="14"/>
  <c r="S62" i="14"/>
  <c r="I62" i="14"/>
  <c r="AV34" i="14"/>
  <c r="AV31" i="14" s="1"/>
  <c r="AV104" i="14"/>
  <c r="AW99" i="14" s="1"/>
  <c r="BW10" i="16"/>
  <c r="BV127" i="16"/>
  <c r="BV41" i="14" s="1"/>
  <c r="BW10" i="15"/>
  <c r="BV127" i="15"/>
  <c r="BV39" i="14" s="1"/>
  <c r="AW102" i="14" l="1"/>
  <c r="AW101" i="14"/>
  <c r="AW103" i="14"/>
  <c r="E63" i="14" a="1"/>
  <c r="E63" i="14" s="1"/>
  <c r="AV36" i="14"/>
  <c r="AV108" i="14" s="1"/>
  <c r="BW22" i="16"/>
  <c r="BW27" i="14" s="1"/>
  <c r="BX12" i="16"/>
  <c r="BW25" i="16"/>
  <c r="BX12" i="15"/>
  <c r="BW22" i="15"/>
  <c r="BW25" i="14" s="1"/>
  <c r="BW25" i="15"/>
  <c r="BC63" i="14" l="1"/>
  <c r="BB63" i="14"/>
  <c r="AY63" i="14"/>
  <c r="AW63" i="14"/>
  <c r="AV63" i="14"/>
  <c r="BG63" i="14"/>
  <c r="W63" i="14" s="1"/>
  <c r="AZ63" i="14"/>
  <c r="BD63" i="14"/>
  <c r="BF63" i="14"/>
  <c r="BE63" i="14"/>
  <c r="BA63" i="14"/>
  <c r="AX63" i="14"/>
  <c r="S103" i="14"/>
  <c r="AW33" i="14"/>
  <c r="S33" i="14" s="1"/>
  <c r="S101" i="14"/>
  <c r="AW34" i="14"/>
  <c r="S34" i="14" s="1"/>
  <c r="AW32" i="14"/>
  <c r="S102" i="14"/>
  <c r="AW104" i="14"/>
  <c r="AB12" i="16"/>
  <c r="BX10" i="16"/>
  <c r="BW127" i="16"/>
  <c r="BW41" i="14" s="1"/>
  <c r="AB12" i="15"/>
  <c r="BX10" i="15"/>
  <c r="BW127" i="15"/>
  <c r="BW39" i="14" s="1"/>
  <c r="T63" i="14" l="1"/>
  <c r="U63" i="14"/>
  <c r="I63" i="14"/>
  <c r="S63" i="14"/>
  <c r="AV45" i="14"/>
  <c r="AV96" i="14" s="1"/>
  <c r="AV109" i="14" s="1"/>
  <c r="AW107" i="14" s="1"/>
  <c r="J63" i="14"/>
  <c r="V63" i="14"/>
  <c r="S104" i="14"/>
  <c r="AX99" i="14"/>
  <c r="S32" i="14"/>
  <c r="S31" i="14" s="1"/>
  <c r="S36" i="14" s="1"/>
  <c r="AW31" i="14"/>
  <c r="AB10" i="16"/>
  <c r="AB22" i="16" s="1"/>
  <c r="BY12" i="16"/>
  <c r="BX25" i="16"/>
  <c r="BX22" i="16"/>
  <c r="BX27" i="14" s="1"/>
  <c r="AB10" i="15"/>
  <c r="AB22" i="15" s="1"/>
  <c r="BY12" i="15"/>
  <c r="BX22" i="15"/>
  <c r="BX25" i="14" s="1"/>
  <c r="BX25" i="15"/>
  <c r="T99" i="14" l="1"/>
  <c r="AX102" i="14"/>
  <c r="AX32" i="14" s="1"/>
  <c r="AX101" i="14"/>
  <c r="AX103" i="14"/>
  <c r="AX33" i="14" s="1"/>
  <c r="AW36" i="14"/>
  <c r="AW108" i="14" s="1"/>
  <c r="S108" i="14" s="1"/>
  <c r="E64" i="14" a="1"/>
  <c r="E64" i="14" s="1"/>
  <c r="S110" i="14"/>
  <c r="AX107" i="14"/>
  <c r="BY10" i="16"/>
  <c r="AB25" i="16"/>
  <c r="AB127" i="16" s="1"/>
  <c r="BX127" i="16"/>
  <c r="BX41" i="14" s="1"/>
  <c r="AB27" i="14"/>
  <c r="BY10" i="15"/>
  <c r="AB25" i="14"/>
  <c r="AB25" i="15"/>
  <c r="AB127" i="15" s="1"/>
  <c r="BX127" i="15"/>
  <c r="BX39" i="14" s="1"/>
  <c r="BD64" i="14" l="1"/>
  <c r="AX64" i="14"/>
  <c r="BA64" i="14"/>
  <c r="BG64" i="14"/>
  <c r="BE64" i="14"/>
  <c r="BB64" i="14"/>
  <c r="AZ64" i="14"/>
  <c r="BH64" i="14"/>
  <c r="AY64" i="14"/>
  <c r="BC64" i="14"/>
  <c r="AW64" i="14"/>
  <c r="BF64" i="14"/>
  <c r="AX34" i="14"/>
  <c r="AX31" i="14" s="1"/>
  <c r="AX104" i="14"/>
  <c r="AY99" i="14" s="1"/>
  <c r="T107" i="14"/>
  <c r="BZ12" i="16"/>
  <c r="BY25" i="16"/>
  <c r="BY22" i="16"/>
  <c r="BY27" i="14" s="1"/>
  <c r="AB41" i="14"/>
  <c r="BZ12" i="15"/>
  <c r="BY22" i="15"/>
  <c r="BY25" i="14" s="1"/>
  <c r="BY25" i="15"/>
  <c r="AB39" i="14"/>
  <c r="W64" i="14" l="1"/>
  <c r="AW45" i="14"/>
  <c r="AW96" i="14" s="1"/>
  <c r="AW109" i="14" s="1"/>
  <c r="S109" i="14" s="1"/>
  <c r="S64" i="14"/>
  <c r="S45" i="14" s="1"/>
  <c r="S96" i="14" s="1"/>
  <c r="I64" i="14"/>
  <c r="U64" i="14"/>
  <c r="T64" i="14"/>
  <c r="AY103" i="14"/>
  <c r="AY33" i="14" s="1"/>
  <c r="AY102" i="14"/>
  <c r="AY32" i="14" s="1"/>
  <c r="AY101" i="14"/>
  <c r="AY34" i="14" s="1"/>
  <c r="AX36" i="14"/>
  <c r="AX108" i="14" s="1"/>
  <c r="E65" i="14" a="1"/>
  <c r="E65" i="14" s="1"/>
  <c r="V64" i="14"/>
  <c r="J64" i="14"/>
  <c r="BZ10" i="16"/>
  <c r="BY127" i="16"/>
  <c r="BY41" i="14" s="1"/>
  <c r="BZ10" i="15"/>
  <c r="BY127" i="15"/>
  <c r="BY39" i="14" s="1"/>
  <c r="AY31" i="14" l="1"/>
  <c r="BD65" i="14"/>
  <c r="AX65" i="14"/>
  <c r="BA65" i="14"/>
  <c r="BF65" i="14"/>
  <c r="BE65" i="14"/>
  <c r="BG65" i="14"/>
  <c r="BH65" i="14"/>
  <c r="BC65" i="14"/>
  <c r="BB65" i="14"/>
  <c r="AY65" i="14"/>
  <c r="AZ65" i="14"/>
  <c r="BI65" i="14"/>
  <c r="AY104" i="14"/>
  <c r="AZ99" i="14" s="1"/>
  <c r="CA12" i="16"/>
  <c r="BZ22" i="16"/>
  <c r="BZ27" i="14" s="1"/>
  <c r="BZ25" i="16"/>
  <c r="CA12" i="15"/>
  <c r="BZ22" i="15"/>
  <c r="BZ25" i="14" s="1"/>
  <c r="BZ25" i="15"/>
  <c r="AZ102" i="14" l="1"/>
  <c r="AZ103" i="14"/>
  <c r="AZ101" i="14"/>
  <c r="W65" i="14"/>
  <c r="U65" i="14"/>
  <c r="AX45" i="14"/>
  <c r="AX96" i="14" s="1"/>
  <c r="AX109" i="14" s="1"/>
  <c r="AY107" i="14" s="1"/>
  <c r="T65" i="14"/>
  <c r="I65" i="14"/>
  <c r="V65" i="14"/>
  <c r="J65" i="14"/>
  <c r="E66" i="14" a="1"/>
  <c r="E66" i="14" s="1"/>
  <c r="AY36" i="14"/>
  <c r="AY108" i="14" s="1"/>
  <c r="AZ107" i="14"/>
  <c r="AC12" i="16"/>
  <c r="K12" i="16"/>
  <c r="CA10" i="16"/>
  <c r="BZ127" i="16"/>
  <c r="BZ41" i="14" s="1"/>
  <c r="AC12" i="15"/>
  <c r="K12" i="15"/>
  <c r="CA10" i="15"/>
  <c r="BZ127" i="15"/>
  <c r="BZ39" i="14" s="1"/>
  <c r="BJ66" i="14" l="1"/>
  <c r="X66" i="14" s="1"/>
  <c r="BB66" i="14"/>
  <c r="BC66" i="14"/>
  <c r="BA66" i="14"/>
  <c r="BD66" i="14"/>
  <c r="AZ66" i="14"/>
  <c r="BH66" i="14"/>
  <c r="BG66" i="14"/>
  <c r="BI66" i="14"/>
  <c r="AY66" i="14"/>
  <c r="BE66" i="14"/>
  <c r="BF66" i="14"/>
  <c r="AZ34" i="14"/>
  <c r="T34" i="14" s="1"/>
  <c r="T101" i="14"/>
  <c r="AZ104" i="14"/>
  <c r="T103" i="14"/>
  <c r="AZ33" i="14"/>
  <c r="T33" i="14" s="1"/>
  <c r="T102" i="14"/>
  <c r="AZ32" i="14"/>
  <c r="K10" i="16"/>
  <c r="K22" i="16" s="1"/>
  <c r="AC10" i="16"/>
  <c r="AC22" i="16" s="1"/>
  <c r="CA25" i="16"/>
  <c r="CA22" i="16"/>
  <c r="CA27" i="14" s="1"/>
  <c r="AC10" i="15"/>
  <c r="AC22" i="15" s="1"/>
  <c r="K10" i="15"/>
  <c r="K22" i="15" s="1"/>
  <c r="CA22" i="15"/>
  <c r="CA25" i="14" s="1"/>
  <c r="CA25" i="15"/>
  <c r="W66" i="14" l="1"/>
  <c r="U66" i="14"/>
  <c r="T66" i="14"/>
  <c r="I66" i="14"/>
  <c r="AY45" i="14"/>
  <c r="AY96" i="14" s="1"/>
  <c r="AY109" i="14" s="1"/>
  <c r="J66" i="14"/>
  <c r="V66" i="14"/>
  <c r="BA99" i="14"/>
  <c r="T104" i="14"/>
  <c r="AZ31" i="14"/>
  <c r="T32" i="14"/>
  <c r="T31" i="14" s="1"/>
  <c r="T36" i="14" s="1"/>
  <c r="T110" i="14"/>
  <c r="BA107" i="14"/>
  <c r="AC25" i="16"/>
  <c r="AC127" i="16" s="1"/>
  <c r="K25" i="16"/>
  <c r="K127" i="16" s="1"/>
  <c r="CA127" i="16"/>
  <c r="CA41" i="14" s="1"/>
  <c r="K27" i="14"/>
  <c r="AC27" i="14"/>
  <c r="AC25" i="14"/>
  <c r="K25" i="14"/>
  <c r="AC25" i="15"/>
  <c r="AC127" i="15" s="1"/>
  <c r="K25" i="15"/>
  <c r="K127" i="15" s="1"/>
  <c r="CA127" i="15"/>
  <c r="CA39" i="14" s="1"/>
  <c r="E67" i="14" l="1" a="1"/>
  <c r="E67" i="14" s="1"/>
  <c r="AZ36" i="14"/>
  <c r="AZ108" i="14" s="1"/>
  <c r="T108" i="14" s="1"/>
  <c r="U99" i="14"/>
  <c r="BA102" i="14"/>
  <c r="BA32" i="14" s="1"/>
  <c r="BA103" i="14"/>
  <c r="BA33" i="14" s="1"/>
  <c r="BA101" i="14"/>
  <c r="BA34" i="14" s="1"/>
  <c r="U107" i="14"/>
  <c r="K41" i="14"/>
  <c r="AC41" i="14"/>
  <c r="AC39" i="14"/>
  <c r="K39" i="14"/>
  <c r="BA104" i="14" l="1"/>
  <c r="BB99" i="14" s="1"/>
  <c r="BB101" i="14" s="1"/>
  <c r="BA31" i="14"/>
  <c r="E68" i="14" a="1"/>
  <c r="E68" i="14" s="1"/>
  <c r="BA36" i="14"/>
  <c r="BA108" i="14" s="1"/>
  <c r="BC67" i="14"/>
  <c r="BH67" i="14"/>
  <c r="BB67" i="14"/>
  <c r="BD67" i="14"/>
  <c r="BK67" i="14"/>
  <c r="BA67" i="14"/>
  <c r="AZ67" i="14"/>
  <c r="BJ67" i="14"/>
  <c r="X67" i="14" s="1"/>
  <c r="BE67" i="14"/>
  <c r="BG67" i="14"/>
  <c r="BI67" i="14"/>
  <c r="BF67" i="14"/>
  <c r="BC107" i="14"/>
  <c r="BB103" i="14" l="1"/>
  <c r="BB33" i="14" s="1"/>
  <c r="BB102" i="14"/>
  <c r="BB32" i="14" s="1"/>
  <c r="W67" i="14"/>
  <c r="U67" i="14"/>
  <c r="AZ45" i="14"/>
  <c r="AZ96" i="14" s="1"/>
  <c r="AZ109" i="14" s="1"/>
  <c r="T109" i="14" s="1"/>
  <c r="T67" i="14"/>
  <c r="T45" i="14" s="1"/>
  <c r="T96" i="14" s="1"/>
  <c r="I67" i="14"/>
  <c r="V67" i="14"/>
  <c r="J67" i="14"/>
  <c r="BJ68" i="14"/>
  <c r="BB68" i="14"/>
  <c r="BD68" i="14"/>
  <c r="BK68" i="14"/>
  <c r="BA68" i="14"/>
  <c r="BC68" i="14"/>
  <c r="BH68" i="14"/>
  <c r="BE68" i="14"/>
  <c r="BI68" i="14"/>
  <c r="BL68" i="14"/>
  <c r="BG68" i="14"/>
  <c r="BF68" i="14"/>
  <c r="BB34" i="14"/>
  <c r="BB104" i="14" l="1"/>
  <c r="BC99" i="14" s="1"/>
  <c r="BB31" i="14"/>
  <c r="J68" i="14"/>
  <c r="V68" i="14"/>
  <c r="X68" i="14"/>
  <c r="I68" i="14"/>
  <c r="U68" i="14"/>
  <c r="BB36" i="14"/>
  <c r="BB108" i="14" s="1"/>
  <c r="E69" i="14" a="1"/>
  <c r="E69" i="14" s="1"/>
  <c r="W68" i="14"/>
  <c r="BA45" i="14"/>
  <c r="BA96" i="14" s="1"/>
  <c r="BA109" i="14" s="1"/>
  <c r="BB107" i="14" s="1"/>
  <c r="BC103" i="14"/>
  <c r="BC101" i="14"/>
  <c r="BC102" i="14"/>
  <c r="BC34" i="14" l="1"/>
  <c r="U101" i="14"/>
  <c r="I101" i="14"/>
  <c r="BC104" i="14"/>
  <c r="U103" i="14"/>
  <c r="I103" i="14"/>
  <c r="BC33" i="14"/>
  <c r="U102" i="14"/>
  <c r="BC32" i="14"/>
  <c r="I102" i="14"/>
  <c r="BK69" i="14"/>
  <c r="BH69" i="14"/>
  <c r="BL69" i="14"/>
  <c r="BE69" i="14"/>
  <c r="BJ69" i="14"/>
  <c r="X69" i="14" s="1"/>
  <c r="BI69" i="14"/>
  <c r="BM69" i="14"/>
  <c r="Y69" i="14" s="1"/>
  <c r="BF69" i="14"/>
  <c r="BD69" i="14"/>
  <c r="BC69" i="14"/>
  <c r="BG69" i="14"/>
  <c r="BB69" i="14"/>
  <c r="U33" i="14" l="1"/>
  <c r="I33" i="14"/>
  <c r="I69" i="14"/>
  <c r="BB45" i="14"/>
  <c r="BB96" i="14" s="1"/>
  <c r="BB109" i="14" s="1"/>
  <c r="U69" i="14"/>
  <c r="BD99" i="14"/>
  <c r="U104" i="14"/>
  <c r="I104" i="14"/>
  <c r="V69" i="14"/>
  <c r="J69" i="14"/>
  <c r="U32" i="14"/>
  <c r="I32" i="14"/>
  <c r="BC31" i="14"/>
  <c r="W69" i="14"/>
  <c r="I34" i="14"/>
  <c r="U34" i="14"/>
  <c r="E70" i="14" l="1" a="1"/>
  <c r="E70" i="14" s="1"/>
  <c r="BC36" i="14"/>
  <c r="BC108" i="14" s="1"/>
  <c r="I31" i="14"/>
  <c r="I36" i="14" s="1"/>
  <c r="BD101" i="14"/>
  <c r="BD34" i="14" s="1"/>
  <c r="V99" i="14"/>
  <c r="J99" i="14"/>
  <c r="BD102" i="14"/>
  <c r="BD32" i="14" s="1"/>
  <c r="BD103" i="14"/>
  <c r="BD33" i="14" s="1"/>
  <c r="U31" i="14"/>
  <c r="U36" i="14" s="1"/>
  <c r="I110" i="14"/>
  <c r="U110" i="14"/>
  <c r="BD107" i="14"/>
  <c r="BD104" i="14" l="1"/>
  <c r="BE99" i="14" s="1"/>
  <c r="BE102" i="14" s="1"/>
  <c r="BE32" i="14" s="1"/>
  <c r="BD31" i="14"/>
  <c r="BD36" i="14" s="1"/>
  <c r="BD108" i="14" s="1"/>
  <c r="U108" i="14"/>
  <c r="I108" i="14"/>
  <c r="E71" i="14" a="1"/>
  <c r="E71" i="14" s="1"/>
  <c r="BF71" i="14" s="1"/>
  <c r="BG70" i="14"/>
  <c r="BK70" i="14"/>
  <c r="BD70" i="14"/>
  <c r="BI70" i="14"/>
  <c r="BE70" i="14"/>
  <c r="BM70" i="14"/>
  <c r="BH70" i="14"/>
  <c r="BL70" i="14"/>
  <c r="BF70" i="14"/>
  <c r="BC70" i="14"/>
  <c r="BN70" i="14"/>
  <c r="BJ70" i="14"/>
  <c r="V107" i="14"/>
  <c r="J107" i="14"/>
  <c r="BE107" i="14"/>
  <c r="Y70" i="14" l="1"/>
  <c r="BE101" i="14"/>
  <c r="BE34" i="14" s="1"/>
  <c r="BE103" i="14"/>
  <c r="BE33" i="14" s="1"/>
  <c r="BO71" i="14"/>
  <c r="BL71" i="14"/>
  <c r="BI71" i="14"/>
  <c r="BE71" i="14"/>
  <c r="BG71" i="14"/>
  <c r="BK71" i="14"/>
  <c r="BE31" i="14"/>
  <c r="BE36" i="14" s="1"/>
  <c r="BE108" i="14" s="1"/>
  <c r="BD71" i="14"/>
  <c r="BD45" i="14" s="1"/>
  <c r="BD96" i="14" s="1"/>
  <c r="BD109" i="14" s="1"/>
  <c r="BH71" i="14"/>
  <c r="W71" i="14" s="1"/>
  <c r="BE104" i="14"/>
  <c r="BF99" i="14" s="1"/>
  <c r="BF103" i="14" s="1"/>
  <c r="BF33" i="14" s="1"/>
  <c r="V33" i="14" s="1"/>
  <c r="E72" i="14" a="1"/>
  <c r="E72" i="14" s="1"/>
  <c r="BG72" i="14" s="1"/>
  <c r="BM71" i="14"/>
  <c r="BN71" i="14"/>
  <c r="BJ71" i="14"/>
  <c r="X70" i="14"/>
  <c r="I70" i="14"/>
  <c r="I45" i="14" s="1"/>
  <c r="I96" i="14" s="1"/>
  <c r="BC45" i="14"/>
  <c r="BC96" i="14" s="1"/>
  <c r="BC109" i="14" s="1"/>
  <c r="U70" i="14"/>
  <c r="U45" i="14" s="1"/>
  <c r="U96" i="14" s="1"/>
  <c r="J70" i="14"/>
  <c r="V70" i="14"/>
  <c r="W70" i="14"/>
  <c r="Y71" i="14" l="1"/>
  <c r="J71" i="14"/>
  <c r="BE72" i="14"/>
  <c r="BO72" i="14"/>
  <c r="BN72" i="14"/>
  <c r="BM72" i="14"/>
  <c r="Y72" i="14" s="1"/>
  <c r="V103" i="14"/>
  <c r="BI72" i="14"/>
  <c r="BF101" i="14"/>
  <c r="BF34" i="14" s="1"/>
  <c r="V34" i="14" s="1"/>
  <c r="BK72" i="14"/>
  <c r="BF72" i="14"/>
  <c r="V72" i="14" s="1"/>
  <c r="X71" i="14"/>
  <c r="BP72" i="14"/>
  <c r="K72" i="14" s="1"/>
  <c r="BH72" i="14"/>
  <c r="BL72" i="14"/>
  <c r="BJ72" i="14"/>
  <c r="V71" i="14"/>
  <c r="BF102" i="14"/>
  <c r="U109" i="14"/>
  <c r="I109" i="14"/>
  <c r="BE45" i="14"/>
  <c r="BE96" i="14" s="1"/>
  <c r="BE109" i="14" s="1"/>
  <c r="J72" i="14" l="1"/>
  <c r="X72" i="14"/>
  <c r="BF104" i="14"/>
  <c r="Z72" i="14"/>
  <c r="V101" i="14"/>
  <c r="BF32" i="14"/>
  <c r="V102" i="14"/>
  <c r="W72" i="14"/>
  <c r="V32" i="14"/>
  <c r="V31" i="14" s="1"/>
  <c r="V36" i="14" s="1"/>
  <c r="BF31" i="14"/>
  <c r="V104" i="14"/>
  <c r="BG99" i="14"/>
  <c r="BF107" i="14"/>
  <c r="BG103" i="14" l="1"/>
  <c r="BG33" i="14" s="1"/>
  <c r="BG101" i="14"/>
  <c r="BG102" i="14"/>
  <c r="BG32" i="14" s="1"/>
  <c r="W99" i="14"/>
  <c r="E73" i="14" a="1"/>
  <c r="E73" i="14" s="1"/>
  <c r="BF36" i="14"/>
  <c r="BF108" i="14" s="1"/>
  <c r="V108" i="14" s="1"/>
  <c r="BM73" i="14" l="1"/>
  <c r="BF73" i="14"/>
  <c r="BK73" i="14"/>
  <c r="BN73" i="14"/>
  <c r="BP73" i="14"/>
  <c r="BQ73" i="14"/>
  <c r="BL73" i="14"/>
  <c r="BJ73" i="14"/>
  <c r="X73" i="14" s="1"/>
  <c r="BG73" i="14"/>
  <c r="BH73" i="14"/>
  <c r="BI73" i="14"/>
  <c r="BO73" i="14"/>
  <c r="BG34" i="14"/>
  <c r="BG31" i="14" s="1"/>
  <c r="BG104" i="14"/>
  <c r="BH99" i="14" s="1"/>
  <c r="W73" i="14" l="1"/>
  <c r="Y73" i="14"/>
  <c r="BG36" i="14"/>
  <c r="BG108" i="14" s="1"/>
  <c r="E74" i="14" a="1"/>
  <c r="E74" i="14" s="1"/>
  <c r="BH102" i="14"/>
  <c r="BH32" i="14" s="1"/>
  <c r="BH103" i="14"/>
  <c r="BH33" i="14" s="1"/>
  <c r="BH101" i="14"/>
  <c r="BH34" i="14" s="1"/>
  <c r="K73" i="14"/>
  <c r="Z73" i="14"/>
  <c r="J73" i="14"/>
  <c r="BF45" i="14"/>
  <c r="BF96" i="14" s="1"/>
  <c r="BF109" i="14" s="1"/>
  <c r="V109" i="14" s="1"/>
  <c r="V73" i="14"/>
  <c r="V45" i="14" s="1"/>
  <c r="V96" i="14" s="1"/>
  <c r="V110" i="14"/>
  <c r="BG107" i="14"/>
  <c r="BH104" i="14" l="1"/>
  <c r="BI99" i="14" s="1"/>
  <c r="BI101" i="14" s="1"/>
  <c r="BH31" i="14"/>
  <c r="BH74" i="14"/>
  <c r="BO74" i="14"/>
  <c r="BN74" i="14"/>
  <c r="BM74" i="14"/>
  <c r="BR74" i="14"/>
  <c r="BQ74" i="14"/>
  <c r="BL74" i="14"/>
  <c r="BK74" i="14"/>
  <c r="BP74" i="14"/>
  <c r="BJ74" i="14"/>
  <c r="BI74" i="14"/>
  <c r="BG74" i="14"/>
  <c r="BH107" i="14"/>
  <c r="W107" i="14"/>
  <c r="Y74" i="14" l="1"/>
  <c r="X74" i="14"/>
  <c r="BI103" i="14"/>
  <c r="BI102" i="14"/>
  <c r="BI32" i="14" s="1"/>
  <c r="Z74" i="14"/>
  <c r="K74" i="14"/>
  <c r="BG45" i="14"/>
  <c r="BG96" i="14" s="1"/>
  <c r="BG109" i="14" s="1"/>
  <c r="J74" i="14"/>
  <c r="W74" i="14"/>
  <c r="E75" i="14" a="1"/>
  <c r="E75" i="14" s="1"/>
  <c r="BH36" i="14"/>
  <c r="BH108" i="14" s="1"/>
  <c r="W102" i="14"/>
  <c r="W101" i="14"/>
  <c r="BI34" i="14"/>
  <c r="W34" i="14" s="1"/>
  <c r="BI104" i="14" l="1"/>
  <c r="BJ99" i="14" s="1"/>
  <c r="BJ101" i="14" s="1"/>
  <c r="BI33" i="14"/>
  <c r="W33" i="14" s="1"/>
  <c r="W103" i="14"/>
  <c r="W32" i="14"/>
  <c r="BP75" i="14"/>
  <c r="BJ75" i="14"/>
  <c r="BR75" i="14"/>
  <c r="BH75" i="14"/>
  <c r="BI75" i="14"/>
  <c r="BM75" i="14"/>
  <c r="BL75" i="14"/>
  <c r="BS75" i="14"/>
  <c r="AA75" i="14" s="1"/>
  <c r="BO75" i="14"/>
  <c r="BN75" i="14"/>
  <c r="BQ75" i="14"/>
  <c r="BK75" i="14"/>
  <c r="BI107" i="14"/>
  <c r="W31" i="14" l="1"/>
  <c r="W36" i="14" s="1"/>
  <c r="BI31" i="14"/>
  <c r="E76" i="14" s="1" a="1"/>
  <c r="E76" i="14" s="1"/>
  <c r="W104" i="14"/>
  <c r="Y75" i="14"/>
  <c r="X99" i="14"/>
  <c r="BJ103" i="14"/>
  <c r="BJ33" i="14" s="1"/>
  <c r="BJ102" i="14"/>
  <c r="BJ32" i="14" s="1"/>
  <c r="BJ34" i="14"/>
  <c r="BJ104" i="14"/>
  <c r="BK99" i="14" s="1"/>
  <c r="J75" i="14"/>
  <c r="W75" i="14"/>
  <c r="BH45" i="14"/>
  <c r="BH96" i="14" s="1"/>
  <c r="BH109" i="14" s="1"/>
  <c r="X75" i="14"/>
  <c r="Z75" i="14"/>
  <c r="K75" i="14"/>
  <c r="BI36" i="14"/>
  <c r="BI108" i="14" s="1"/>
  <c r="W108" i="14" s="1"/>
  <c r="BJ31" i="14" l="1"/>
  <c r="BN76" i="14"/>
  <c r="BT76" i="14"/>
  <c r="BQ76" i="14"/>
  <c r="BI76" i="14"/>
  <c r="BR76" i="14"/>
  <c r="BK76" i="14"/>
  <c r="BO76" i="14"/>
  <c r="BM76" i="14"/>
  <c r="BP76" i="14"/>
  <c r="BS76" i="14"/>
  <c r="AA76" i="14" s="1"/>
  <c r="BL76" i="14"/>
  <c r="BJ76" i="14"/>
  <c r="BK103" i="14"/>
  <c r="BK33" i="14" s="1"/>
  <c r="BK101" i="14"/>
  <c r="BK102" i="14"/>
  <c r="BK32" i="14" s="1"/>
  <c r="BJ36" i="14"/>
  <c r="BJ108" i="14" s="1"/>
  <c r="E77" i="14" a="1"/>
  <c r="E77" i="14" s="1"/>
  <c r="Y76" i="14" l="1"/>
  <c r="X76" i="14"/>
  <c r="BI45" i="14"/>
  <c r="BI96" i="14" s="1"/>
  <c r="BI109" i="14" s="1"/>
  <c r="W109" i="14" s="1"/>
  <c r="J76" i="14"/>
  <c r="W76" i="14"/>
  <c r="W45" i="14" s="1"/>
  <c r="W96" i="14" s="1"/>
  <c r="BK104" i="14"/>
  <c r="BL99" i="14" s="1"/>
  <c r="BK34" i="14"/>
  <c r="BK31" i="14" s="1"/>
  <c r="BU77" i="14"/>
  <c r="BK77" i="14"/>
  <c r="BP77" i="14"/>
  <c r="BJ77" i="14"/>
  <c r="BR77" i="14"/>
  <c r="BT77" i="14"/>
  <c r="BO77" i="14"/>
  <c r="BM77" i="14"/>
  <c r="BQ77" i="14"/>
  <c r="BL77" i="14"/>
  <c r="BS77" i="14"/>
  <c r="BN77" i="14"/>
  <c r="K76" i="14"/>
  <c r="Z76" i="14"/>
  <c r="BJ107" i="14"/>
  <c r="W110" i="14"/>
  <c r="BK36" i="14" l="1"/>
  <c r="BK108" i="14" s="1"/>
  <c r="E78" i="14" a="1"/>
  <c r="E78" i="14" s="1"/>
  <c r="J77" i="14"/>
  <c r="X77" i="14"/>
  <c r="BJ45" i="14"/>
  <c r="BJ96" i="14" s="1"/>
  <c r="BJ109" i="14" s="1"/>
  <c r="Y77" i="14"/>
  <c r="BL101" i="14"/>
  <c r="BL103" i="14"/>
  <c r="BL102" i="14"/>
  <c r="AA77" i="14"/>
  <c r="Z77" i="14"/>
  <c r="K77" i="14"/>
  <c r="BK107" i="14"/>
  <c r="BL107" i="14" s="1"/>
  <c r="X107" i="14"/>
  <c r="X103" i="14" l="1"/>
  <c r="BL33" i="14"/>
  <c r="X33" i="14" s="1"/>
  <c r="X101" i="14"/>
  <c r="BL34" i="14"/>
  <c r="X34" i="14" s="1"/>
  <c r="BL104" i="14"/>
  <c r="BO78" i="14"/>
  <c r="BK78" i="14"/>
  <c r="BQ78" i="14"/>
  <c r="BT78" i="14"/>
  <c r="BS78" i="14"/>
  <c r="BL78" i="14"/>
  <c r="BN78" i="14"/>
  <c r="BM78" i="14"/>
  <c r="BU78" i="14"/>
  <c r="BR78" i="14"/>
  <c r="BV78" i="14"/>
  <c r="AB78" i="14" s="1"/>
  <c r="BP78" i="14"/>
  <c r="X102" i="14"/>
  <c r="BL32" i="14"/>
  <c r="AA78" i="14" l="1"/>
  <c r="Y78" i="14"/>
  <c r="Z78" i="14"/>
  <c r="K78" i="14"/>
  <c r="BK45" i="14"/>
  <c r="BK96" i="14" s="1"/>
  <c r="BK109" i="14" s="1"/>
  <c r="X78" i="14"/>
  <c r="J78" i="14"/>
  <c r="BM99" i="14"/>
  <c r="X104" i="14"/>
  <c r="X32" i="14"/>
  <c r="X31" i="14" s="1"/>
  <c r="X36" i="14" s="1"/>
  <c r="BL31" i="14"/>
  <c r="BL36" i="14" l="1"/>
  <c r="BL108" i="14" s="1"/>
  <c r="X108" i="14" s="1"/>
  <c r="E79" i="14" a="1"/>
  <c r="E79" i="14" s="1"/>
  <c r="BM103" i="14"/>
  <c r="BM33" i="14" s="1"/>
  <c r="BM102" i="14"/>
  <c r="BM32" i="14" s="1"/>
  <c r="BM101" i="14"/>
  <c r="BM34" i="14" s="1"/>
  <c r="Y99" i="14"/>
  <c r="BM104" i="14" l="1"/>
  <c r="BN99" i="14" s="1"/>
  <c r="BN103" i="14" s="1"/>
  <c r="BN33" i="14" s="1"/>
  <c r="BN79" i="14"/>
  <c r="BV79" i="14"/>
  <c r="BR79" i="14"/>
  <c r="BS79" i="14"/>
  <c r="BM79" i="14"/>
  <c r="BU79" i="14"/>
  <c r="BP79" i="14"/>
  <c r="BL79" i="14"/>
  <c r="BO79" i="14"/>
  <c r="BQ79" i="14"/>
  <c r="BW79" i="14"/>
  <c r="BT79" i="14"/>
  <c r="BM31" i="14"/>
  <c r="BM107" i="14"/>
  <c r="X110" i="14"/>
  <c r="AA79" i="14" l="1"/>
  <c r="BN102" i="14"/>
  <c r="BN32" i="14" s="1"/>
  <c r="Y79" i="14"/>
  <c r="BN101" i="14"/>
  <c r="BN34" i="14" s="1"/>
  <c r="AB79" i="14"/>
  <c r="X79" i="14"/>
  <c r="X45" i="14" s="1"/>
  <c r="X96" i="14" s="1"/>
  <c r="BL45" i="14"/>
  <c r="BL96" i="14" s="1"/>
  <c r="BL109" i="14" s="1"/>
  <c r="X109" i="14" s="1"/>
  <c r="J79" i="14"/>
  <c r="E80" i="14" a="1"/>
  <c r="E80" i="14" s="1"/>
  <c r="BM36" i="14"/>
  <c r="BM108" i="14" s="1"/>
  <c r="Z79" i="14"/>
  <c r="K79" i="14"/>
  <c r="BN107" i="14"/>
  <c r="Y107" i="14"/>
  <c r="BN31" i="14" l="1"/>
  <c r="E81" i="14" s="1" a="1"/>
  <c r="E81" i="14" s="1"/>
  <c r="BV81" i="14" s="1"/>
  <c r="BX80" i="14"/>
  <c r="BP80" i="14"/>
  <c r="BW80" i="14"/>
  <c r="BQ80" i="14"/>
  <c r="BR80" i="14"/>
  <c r="BM80" i="14"/>
  <c r="BN80" i="14"/>
  <c r="BV80" i="14"/>
  <c r="BO80" i="14"/>
  <c r="BS80" i="14"/>
  <c r="BT80" i="14"/>
  <c r="BU80" i="14"/>
  <c r="BQ81" i="14" l="1"/>
  <c r="BX81" i="14"/>
  <c r="BO81" i="14"/>
  <c r="BP81" i="14"/>
  <c r="BU81" i="14"/>
  <c r="BY81" i="14"/>
  <c r="AC81" i="14" s="1"/>
  <c r="BW81" i="14"/>
  <c r="AB81" i="14" s="1"/>
  <c r="BT81" i="14"/>
  <c r="BN81" i="14"/>
  <c r="BR81" i="14"/>
  <c r="Z81" i="14" s="1"/>
  <c r="BS81" i="14"/>
  <c r="AA81" i="14" s="1"/>
  <c r="AB80" i="14"/>
  <c r="Z80" i="14"/>
  <c r="AA80" i="14"/>
  <c r="K80" i="14"/>
  <c r="J80" i="14"/>
  <c r="Y80" i="14"/>
  <c r="BM45" i="14"/>
  <c r="BM96" i="14" s="1"/>
  <c r="BM109" i="14" s="1"/>
  <c r="AK13" i="12"/>
  <c r="AJ13" i="12"/>
  <c r="AK14" i="12"/>
  <c r="AI14" i="12"/>
  <c r="R14" i="12"/>
  <c r="AG14" i="12"/>
  <c r="AJ14" i="12"/>
  <c r="AH14" i="12"/>
  <c r="S14" i="12"/>
  <c r="S13" i="12"/>
  <c r="AH13" i="12"/>
  <c r="AI13" i="12"/>
  <c r="K81" i="14" l="1"/>
  <c r="J81" i="14"/>
  <c r="Y81" i="14"/>
  <c r="BN45" i="14"/>
  <c r="BY99" i="17"/>
  <c r="BY101" i="17" s="1"/>
  <c r="BY96" i="17" s="1"/>
  <c r="BY119" i="17" s="1"/>
  <c r="CA99" i="17"/>
  <c r="CA101" i="17" s="1"/>
  <c r="CA96" i="17" s="1"/>
  <c r="CA119" i="17" s="1"/>
  <c r="BQ99" i="17"/>
  <c r="BQ101" i="17" s="1"/>
  <c r="BQ96" i="17" s="1"/>
  <c r="BQ119" i="17" s="1"/>
  <c r="BO99" i="17"/>
  <c r="BO101" i="17" s="1"/>
  <c r="BO96" i="17" s="1"/>
  <c r="BO119" i="17" s="1"/>
  <c r="BR99" i="17"/>
  <c r="BR101" i="17" s="1"/>
  <c r="BR96" i="17" s="1"/>
  <c r="BR119" i="17" s="1"/>
  <c r="BW99" i="17"/>
  <c r="BW101" i="17" s="1"/>
  <c r="BW96" i="17" s="1"/>
  <c r="BW119" i="17" s="1"/>
  <c r="AH106" i="12"/>
  <c r="S106" i="12"/>
  <c r="AK106" i="12"/>
  <c r="BS99" i="17"/>
  <c r="BS101" i="17" s="1"/>
  <c r="BS96" i="17" s="1"/>
  <c r="BS119" i="17" s="1"/>
  <c r="BS120" i="17" s="1"/>
  <c r="AJ106" i="12"/>
  <c r="AI106" i="12"/>
  <c r="AG106" i="12"/>
  <c r="R106" i="12"/>
  <c r="BP99" i="17"/>
  <c r="BP101" i="17" s="1"/>
  <c r="BP96" i="17" s="1"/>
  <c r="BP119" i="17" s="1"/>
  <c r="BX99" i="17"/>
  <c r="BX101" i="17" s="1"/>
  <c r="BX96" i="17" s="1"/>
  <c r="BX119" i="17" s="1"/>
  <c r="BU99" i="17"/>
  <c r="BU101" i="17" s="1"/>
  <c r="BU96" i="17" s="1"/>
  <c r="BU119" i="17" s="1"/>
  <c r="BT99" i="17"/>
  <c r="BT101" i="17" s="1"/>
  <c r="BT96" i="17" s="1"/>
  <c r="BT119" i="17" s="1"/>
  <c r="BV99" i="17"/>
  <c r="BV101" i="17" s="1"/>
  <c r="BV96" i="17" s="1"/>
  <c r="BV119" i="17" s="1"/>
  <c r="BZ99" i="17"/>
  <c r="BZ101" i="17" s="1"/>
  <c r="BZ96" i="17" s="1"/>
  <c r="BZ119" i="17" s="1"/>
  <c r="BZ120" i="17" l="1"/>
  <c r="BZ121" i="17"/>
  <c r="BZ122" i="17"/>
  <c r="BV122" i="17"/>
  <c r="BV121" i="17"/>
  <c r="BV120" i="17"/>
  <c r="BT122" i="17"/>
  <c r="BT121" i="17"/>
  <c r="BT120" i="17"/>
  <c r="BX122" i="17"/>
  <c r="BX120" i="17"/>
  <c r="BX121" i="17"/>
  <c r="BP121" i="17"/>
  <c r="BP122" i="17"/>
  <c r="BP120" i="17"/>
  <c r="BU121" i="17"/>
  <c r="BU120" i="17"/>
  <c r="BU122" i="17"/>
  <c r="BS121" i="17"/>
  <c r="BS122" i="17"/>
  <c r="BW120" i="17"/>
  <c r="BW121" i="17"/>
  <c r="BW122" i="17"/>
  <c r="BR122" i="17"/>
  <c r="BR121" i="17"/>
  <c r="BR120" i="17"/>
  <c r="BO122" i="17"/>
  <c r="BO120" i="17"/>
  <c r="BO121" i="17"/>
  <c r="CA120" i="17"/>
  <c r="CA122" i="17"/>
  <c r="CA121" i="17"/>
  <c r="BQ121" i="17"/>
  <c r="BQ122" i="17"/>
  <c r="BQ120" i="17"/>
  <c r="BY121" i="17"/>
  <c r="BY122" i="17"/>
  <c r="BY120" i="17"/>
  <c r="CA125" i="17" l="1"/>
  <c r="BZ125" i="17"/>
  <c r="BU125" i="17"/>
  <c r="BU131" i="17" s="1"/>
  <c r="E177" i="17" s="1" a="1"/>
  <c r="E177" i="17" s="1"/>
  <c r="BR125" i="17"/>
  <c r="BR131" i="17" s="1"/>
  <c r="BP125" i="17"/>
  <c r="BQ125" i="17"/>
  <c r="BQ131" i="17" s="1"/>
  <c r="BS125" i="17"/>
  <c r="BX125" i="17"/>
  <c r="BX131" i="17" s="1"/>
  <c r="BY125" i="17"/>
  <c r="BT125" i="17"/>
  <c r="BT131" i="17" s="1"/>
  <c r="BO125" i="17"/>
  <c r="BO131" i="17" s="1"/>
  <c r="BV125" i="17"/>
  <c r="BW125" i="17"/>
  <c r="BW131" i="17" s="1"/>
  <c r="BU29" i="14" l="1"/>
  <c r="BU100" i="14" s="1"/>
  <c r="BU177" i="17"/>
  <c r="BV177" i="17"/>
  <c r="BY177" i="17"/>
  <c r="BX177" i="17"/>
  <c r="CA177" i="17"/>
  <c r="BZ177" i="17"/>
  <c r="BW177" i="17"/>
  <c r="E179" i="17" a="1"/>
  <c r="E179" i="17" s="1"/>
  <c r="BW29" i="14"/>
  <c r="BT29" i="14"/>
  <c r="E176" i="17" a="1"/>
  <c r="E176" i="17" s="1"/>
  <c r="AA125" i="17"/>
  <c r="BS131" i="17"/>
  <c r="AC125" i="17"/>
  <c r="BY131" i="17"/>
  <c r="AB125" i="17"/>
  <c r="BV131" i="17"/>
  <c r="CA129" i="17"/>
  <c r="CA131" i="17" s="1"/>
  <c r="BO29" i="14"/>
  <c r="E171" i="17" a="1"/>
  <c r="E171" i="17" s="1"/>
  <c r="BQ29" i="14"/>
  <c r="E173" i="17" a="1"/>
  <c r="E173" i="17" s="1"/>
  <c r="E180" i="17" a="1"/>
  <c r="E180" i="17" s="1"/>
  <c r="BX29" i="14"/>
  <c r="K125" i="17"/>
  <c r="Z125" i="17"/>
  <c r="BP131" i="17"/>
  <c r="BR29" i="14"/>
  <c r="E174" i="17" a="1"/>
  <c r="E174" i="17" s="1"/>
  <c r="AC177" i="17" l="1"/>
  <c r="AB177" i="17"/>
  <c r="BQ100" i="14"/>
  <c r="BW100" i="14"/>
  <c r="K177" i="17"/>
  <c r="AA177" i="17"/>
  <c r="BW179" i="17"/>
  <c r="BY179" i="17"/>
  <c r="CA179" i="17"/>
  <c r="BX179" i="17"/>
  <c r="BZ179" i="17"/>
  <c r="BX100" i="14"/>
  <c r="E181" i="17" a="1"/>
  <c r="E181" i="17" s="1"/>
  <c r="BY29" i="14"/>
  <c r="AB131" i="17"/>
  <c r="E178" i="17" a="1"/>
  <c r="E178" i="17" s="1"/>
  <c r="BV29" i="14"/>
  <c r="BY174" i="17"/>
  <c r="BS174" i="17"/>
  <c r="BR174" i="17"/>
  <c r="BZ174" i="17"/>
  <c r="BU174" i="17"/>
  <c r="BW174" i="17"/>
  <c r="CA174" i="17"/>
  <c r="BT174" i="17"/>
  <c r="BX174" i="17"/>
  <c r="BV174" i="17"/>
  <c r="AA131" i="17"/>
  <c r="E175" i="17" a="1"/>
  <c r="E175" i="17" s="1"/>
  <c r="BS29" i="14"/>
  <c r="BR100" i="14"/>
  <c r="BQ173" i="17"/>
  <c r="BS173" i="17"/>
  <c r="BW173" i="17"/>
  <c r="BR173" i="17"/>
  <c r="BV173" i="17"/>
  <c r="BZ173" i="17"/>
  <c r="CA173" i="17"/>
  <c r="BY173" i="17"/>
  <c r="BU173" i="17"/>
  <c r="BT173" i="17"/>
  <c r="BX173" i="17"/>
  <c r="BY180" i="17"/>
  <c r="BX180" i="17"/>
  <c r="CA180" i="17"/>
  <c r="BZ180" i="17"/>
  <c r="BY171" i="17"/>
  <c r="BS171" i="17"/>
  <c r="BV171" i="17"/>
  <c r="BX171" i="17"/>
  <c r="BQ171" i="17"/>
  <c r="BR171" i="17"/>
  <c r="BW171" i="17"/>
  <c r="BO171" i="17"/>
  <c r="BP171" i="17"/>
  <c r="BU171" i="17"/>
  <c r="BZ171" i="17"/>
  <c r="BT171" i="17"/>
  <c r="E183" i="17" a="1"/>
  <c r="E183" i="17" s="1"/>
  <c r="CA183" i="17" s="1"/>
  <c r="CA29" i="14"/>
  <c r="BO100" i="14"/>
  <c r="BY176" i="17"/>
  <c r="BV176" i="17"/>
  <c r="CA176" i="17"/>
  <c r="BX176" i="17"/>
  <c r="BZ176" i="17"/>
  <c r="BU176" i="17"/>
  <c r="BW176" i="17"/>
  <c r="BT176" i="17"/>
  <c r="BT100" i="14"/>
  <c r="Z131" i="17"/>
  <c r="E172" i="17" a="1"/>
  <c r="E172" i="17" s="1"/>
  <c r="BP29" i="14"/>
  <c r="AA173" i="17" l="1"/>
  <c r="AC180" i="17"/>
  <c r="K180" i="17"/>
  <c r="AB180" i="17"/>
  <c r="BY181" i="17"/>
  <c r="CA181" i="17"/>
  <c r="BZ181" i="17"/>
  <c r="AC173" i="17"/>
  <c r="K174" i="17"/>
  <c r="Z174" i="17"/>
  <c r="BY100" i="14"/>
  <c r="AA174" i="17"/>
  <c r="AC174" i="17"/>
  <c r="AC179" i="17"/>
  <c r="K179" i="17"/>
  <c r="AB179" i="17"/>
  <c r="CA100" i="14"/>
  <c r="J171" i="17"/>
  <c r="Y171" i="17"/>
  <c r="AC176" i="17"/>
  <c r="AA29" i="14"/>
  <c r="BS100" i="14"/>
  <c r="AA100" i="14" s="1"/>
  <c r="AB173" i="17"/>
  <c r="AB171" i="17"/>
  <c r="AA171" i="17"/>
  <c r="Z173" i="17"/>
  <c r="K173" i="17"/>
  <c r="CA175" i="17"/>
  <c r="BW175" i="17"/>
  <c r="BX175" i="17"/>
  <c r="BT175" i="17"/>
  <c r="BU175" i="17"/>
  <c r="BZ175" i="17"/>
  <c r="BS175" i="17"/>
  <c r="BV175" i="17"/>
  <c r="BY175" i="17"/>
  <c r="AB29" i="14"/>
  <c r="BV100" i="14"/>
  <c r="AB100" i="14" s="1"/>
  <c r="AA176" i="17"/>
  <c r="K176" i="17"/>
  <c r="BP100" i="14"/>
  <c r="Z29" i="14"/>
  <c r="AC171" i="17"/>
  <c r="BZ178" i="17"/>
  <c r="CA178" i="17"/>
  <c r="BW178" i="17"/>
  <c r="BX178" i="17"/>
  <c r="BY178" i="17"/>
  <c r="BV178" i="17"/>
  <c r="AC183" i="17"/>
  <c r="K183" i="17"/>
  <c r="K171" i="17"/>
  <c r="Z171" i="17"/>
  <c r="AB176" i="17"/>
  <c r="BS172" i="17"/>
  <c r="BX172" i="17"/>
  <c r="BZ172" i="17"/>
  <c r="BV172" i="17"/>
  <c r="BU172" i="17"/>
  <c r="BW172" i="17"/>
  <c r="BQ172" i="17"/>
  <c r="CA172" i="17"/>
  <c r="BY172" i="17"/>
  <c r="BR172" i="17"/>
  <c r="BT172" i="17"/>
  <c r="BP172" i="17"/>
  <c r="AB174" i="17"/>
  <c r="AB172" i="17" l="1"/>
  <c r="AB175" i="17"/>
  <c r="AA175" i="17"/>
  <c r="K175" i="17"/>
  <c r="AA172" i="17"/>
  <c r="Z100" i="14"/>
  <c r="Z172" i="17"/>
  <c r="K172" i="17"/>
  <c r="AC181" i="17"/>
  <c r="K181" i="17"/>
  <c r="K178" i="17"/>
  <c r="AB178" i="17"/>
  <c r="AC178" i="17"/>
  <c r="AC172" i="17"/>
  <c r="AC175" i="17"/>
  <c r="BN99" i="17"/>
  <c r="BN101" i="17" s="1"/>
  <c r="BN96" i="17" s="1"/>
  <c r="BN119" i="17" s="1"/>
  <c r="BN122" i="17" l="1"/>
  <c r="BN120" i="17"/>
  <c r="BN121" i="17"/>
  <c r="BN125" i="17" l="1"/>
  <c r="J125" i="17" l="1"/>
  <c r="Y125" i="17"/>
  <c r="BN131" i="17"/>
  <c r="Y131" i="17" l="1"/>
  <c r="J131" i="17"/>
  <c r="E170" i="17" a="1"/>
  <c r="E170" i="17" s="1"/>
  <c r="BZ129" i="17"/>
  <c r="BN29" i="14"/>
  <c r="Y29" i="14" l="1"/>
  <c r="J29" i="14"/>
  <c r="BN100" i="14"/>
  <c r="BN36" i="14"/>
  <c r="BN108" i="14" s="1"/>
  <c r="BO170" i="17"/>
  <c r="BO134" i="17" s="1"/>
  <c r="BN170" i="17"/>
  <c r="BQ170" i="17"/>
  <c r="BQ134" i="17" s="1"/>
  <c r="BR170" i="17"/>
  <c r="BR134" i="17" s="1"/>
  <c r="BT170" i="17"/>
  <c r="BT134" i="17" s="1"/>
  <c r="BS170" i="17"/>
  <c r="BP170" i="17"/>
  <c r="BY170" i="17"/>
  <c r="BW170" i="17"/>
  <c r="BW134" i="17" s="1"/>
  <c r="BV170" i="17"/>
  <c r="BX170" i="17"/>
  <c r="BX134" i="17" s="1"/>
  <c r="BU170" i="17"/>
  <c r="BU134" i="17" s="1"/>
  <c r="AC129" i="17"/>
  <c r="K129" i="17"/>
  <c r="BZ131" i="17"/>
  <c r="BU43" i="14" l="1"/>
  <c r="BU185" i="17"/>
  <c r="BU187" i="17" s="1"/>
  <c r="BU188" i="17" s="1"/>
  <c r="AA170" i="17"/>
  <c r="BS134" i="17"/>
  <c r="BR43" i="14"/>
  <c r="BR185" i="17"/>
  <c r="BR187" i="17" s="1"/>
  <c r="BR188" i="17" s="1"/>
  <c r="BQ185" i="17"/>
  <c r="BQ187" i="17" s="1"/>
  <c r="BQ188" i="17" s="1"/>
  <c r="BQ43" i="14"/>
  <c r="BX43" i="14"/>
  <c r="BX185" i="17"/>
  <c r="BX187" i="17" s="1"/>
  <c r="BX188" i="17" s="1"/>
  <c r="AC170" i="17"/>
  <c r="BY134" i="17"/>
  <c r="J170" i="17"/>
  <c r="Y170" i="17"/>
  <c r="BN134" i="17"/>
  <c r="AB170" i="17"/>
  <c r="BV134" i="17"/>
  <c r="BT185" i="17"/>
  <c r="BT187" i="17" s="1"/>
  <c r="BT188" i="17" s="1"/>
  <c r="BT43" i="14"/>
  <c r="BO43" i="14"/>
  <c r="BO185" i="17"/>
  <c r="BO187" i="17" s="1"/>
  <c r="BO188" i="17" s="1"/>
  <c r="AC131" i="17"/>
  <c r="K131" i="17"/>
  <c r="E182" i="17" a="1"/>
  <c r="E182" i="17" s="1"/>
  <c r="BZ29" i="14"/>
  <c r="Y100" i="14"/>
  <c r="J100" i="14"/>
  <c r="BN104" i="14"/>
  <c r="BO99" i="14" s="1"/>
  <c r="BW185" i="17"/>
  <c r="BW187" i="17" s="1"/>
  <c r="BW188" i="17" s="1"/>
  <c r="BW43" i="14"/>
  <c r="K170" i="17"/>
  <c r="Z170" i="17"/>
  <c r="BP134" i="17"/>
  <c r="BS185" i="17" l="1"/>
  <c r="AA185" i="17" s="1"/>
  <c r="AA134" i="17"/>
  <c r="BS43" i="14"/>
  <c r="BV185" i="17"/>
  <c r="AB185" i="17" s="1"/>
  <c r="AB134" i="17"/>
  <c r="BV43" i="14"/>
  <c r="Y134" i="17"/>
  <c r="BN185" i="17"/>
  <c r="BN187" i="17" s="1"/>
  <c r="BN43" i="14"/>
  <c r="J134" i="17"/>
  <c r="BP185" i="17"/>
  <c r="BP43" i="14"/>
  <c r="Z134" i="17"/>
  <c r="BO103" i="14"/>
  <c r="BO101" i="14"/>
  <c r="BO102" i="14"/>
  <c r="BY185" i="17"/>
  <c r="BY187" i="17" s="1"/>
  <c r="BY43" i="14"/>
  <c r="K29" i="14"/>
  <c r="BZ100" i="14"/>
  <c r="AC29" i="14"/>
  <c r="CA182" i="17"/>
  <c r="CA134" i="17" s="1"/>
  <c r="BZ182" i="17"/>
  <c r="BS187" i="17" l="1"/>
  <c r="AA187" i="17" s="1"/>
  <c r="AA188" i="17" s="1"/>
  <c r="BV187" i="17"/>
  <c r="BV188" i="17" s="1"/>
  <c r="BO104" i="14"/>
  <c r="Y104" i="14" s="1"/>
  <c r="AB43" i="14"/>
  <c r="CA185" i="17"/>
  <c r="CA187" i="17" s="1"/>
  <c r="CA188" i="17" s="1"/>
  <c r="CA43" i="14"/>
  <c r="Z185" i="17"/>
  <c r="Y43" i="14"/>
  <c r="BN96" i="14"/>
  <c r="J43" i="14"/>
  <c r="BY188" i="17"/>
  <c r="AB187" i="17"/>
  <c r="AB188" i="17" s="1"/>
  <c r="Y101" i="14"/>
  <c r="J101" i="14"/>
  <c r="BO34" i="14"/>
  <c r="AC182" i="17"/>
  <c r="K182" i="17"/>
  <c r="BZ134" i="17"/>
  <c r="AA43" i="14"/>
  <c r="J187" i="17"/>
  <c r="J188" i="17" s="1"/>
  <c r="BN188" i="17"/>
  <c r="Y187" i="17"/>
  <c r="Y188" i="17" s="1"/>
  <c r="Y185" i="17"/>
  <c r="J185" i="17"/>
  <c r="J103" i="14"/>
  <c r="Y103" i="14"/>
  <c r="BO33" i="14"/>
  <c r="J102" i="14"/>
  <c r="Y102" i="14"/>
  <c r="BO32" i="14"/>
  <c r="K100" i="14"/>
  <c r="AC100" i="14"/>
  <c r="Z43" i="14"/>
  <c r="BP187" i="17"/>
  <c r="BP99" i="14" l="1"/>
  <c r="J104" i="14"/>
  <c r="AU38" i="13"/>
  <c r="AU12" i="13" a="1"/>
  <c r="AU12" i="13" s="1"/>
  <c r="BS188" i="17"/>
  <c r="BN109" i="14"/>
  <c r="Y32" i="14"/>
  <c r="J32" i="14"/>
  <c r="BO31" i="14"/>
  <c r="BZ185" i="17"/>
  <c r="BZ43" i="14"/>
  <c r="K134" i="17"/>
  <c r="AC134" i="17"/>
  <c r="Z99" i="14"/>
  <c r="K99" i="14"/>
  <c r="BP101" i="14"/>
  <c r="BP103" i="14"/>
  <c r="BP102" i="14"/>
  <c r="J33" i="14"/>
  <c r="Y33" i="14"/>
  <c r="Z187" i="17"/>
  <c r="Z188" i="17" s="1"/>
  <c r="BP188" i="17"/>
  <c r="J34" i="14"/>
  <c r="Y34" i="14"/>
  <c r="BP32" i="14" l="1"/>
  <c r="AC43" i="14"/>
  <c r="K43" i="14"/>
  <c r="AC185" i="17"/>
  <c r="K185" i="17"/>
  <c r="BZ187" i="17"/>
  <c r="BO36" i="14"/>
  <c r="BO108" i="14" s="1"/>
  <c r="E82" i="14" a="1"/>
  <c r="E82" i="14" s="1"/>
  <c r="BP33" i="14"/>
  <c r="Y31" i="14"/>
  <c r="Y36" i="14" s="1"/>
  <c r="J31" i="14"/>
  <c r="J36" i="14" s="1"/>
  <c r="BP104" i="14"/>
  <c r="BQ99" i="14" s="1"/>
  <c r="BP34" i="14"/>
  <c r="BQ82" i="14" l="1"/>
  <c r="BO82" i="14"/>
  <c r="BX82" i="14"/>
  <c r="BV82" i="14"/>
  <c r="BU82" i="14"/>
  <c r="BS82" i="14"/>
  <c r="BZ82" i="14"/>
  <c r="BR82" i="14"/>
  <c r="BP82" i="14"/>
  <c r="BT82" i="14"/>
  <c r="BW82" i="14"/>
  <c r="BY82" i="14"/>
  <c r="BZ188" i="17"/>
  <c r="AC187" i="17"/>
  <c r="AC188" i="17" s="1"/>
  <c r="K187" i="17"/>
  <c r="K188" i="17" s="1"/>
  <c r="BQ103" i="14"/>
  <c r="BQ102" i="14"/>
  <c r="BQ101" i="14"/>
  <c r="BP31" i="14"/>
  <c r="Y108" i="14"/>
  <c r="J108" i="14"/>
  <c r="BQ104" i="14" l="1"/>
  <c r="BR99" i="14" s="1"/>
  <c r="BR103" i="14" s="1"/>
  <c r="J82" i="14"/>
  <c r="J45" i="14" s="1"/>
  <c r="J96" i="14" s="1"/>
  <c r="Y82" i="14"/>
  <c r="Y45" i="14" s="1"/>
  <c r="Y96" i="14" s="1"/>
  <c r="BO45" i="14"/>
  <c r="BO96" i="14" s="1"/>
  <c r="AA82" i="14"/>
  <c r="E83" i="14" a="1"/>
  <c r="E83" i="14" s="1"/>
  <c r="BP36" i="14"/>
  <c r="AB82" i="14"/>
  <c r="BQ33" i="14"/>
  <c r="BQ34" i="14"/>
  <c r="Z82" i="14"/>
  <c r="K82" i="14"/>
  <c r="BQ32" i="14"/>
  <c r="AC82" i="14"/>
  <c r="BR102" i="14" l="1"/>
  <c r="BR32" i="14" s="1"/>
  <c r="Z32" i="14" s="1"/>
  <c r="BR101" i="14"/>
  <c r="BR33" i="14"/>
  <c r="Z33" i="14" s="1"/>
  <c r="Z103" i="14"/>
  <c r="BO109" i="14"/>
  <c r="Y109" i="14" s="1"/>
  <c r="BY83" i="14"/>
  <c r="BP83" i="14"/>
  <c r="BV83" i="14"/>
  <c r="BS83" i="14"/>
  <c r="CA83" i="14"/>
  <c r="BX83" i="14"/>
  <c r="BW83" i="14"/>
  <c r="BQ83" i="14"/>
  <c r="BT83" i="14"/>
  <c r="BR83" i="14"/>
  <c r="BZ83" i="14"/>
  <c r="BU83" i="14"/>
  <c r="BQ31" i="14"/>
  <c r="BP108" i="14"/>
  <c r="J109" i="14" l="1"/>
  <c r="Z102" i="14"/>
  <c r="BR104" i="14"/>
  <c r="BR34" i="14"/>
  <c r="Z101" i="14"/>
  <c r="AA83" i="14"/>
  <c r="Z83" i="14"/>
  <c r="K83" i="14"/>
  <c r="BP45" i="14"/>
  <c r="BP96" i="14" s="1"/>
  <c r="AC83" i="14"/>
  <c r="E84" i="14" a="1"/>
  <c r="E84" i="14" s="1"/>
  <c r="BQ36" i="14"/>
  <c r="AB83" i="14"/>
  <c r="BS99" i="14" l="1"/>
  <c r="Z104" i="14"/>
  <c r="Z34" i="14"/>
  <c r="Z31" i="14" s="1"/>
  <c r="Z36" i="14" s="1"/>
  <c r="BR31" i="14"/>
  <c r="BP109" i="14"/>
  <c r="BQ108" i="14"/>
  <c r="BS84" i="14"/>
  <c r="BY84" i="14"/>
  <c r="BQ84" i="14"/>
  <c r="BU84" i="14"/>
  <c r="CA84" i="14"/>
  <c r="BV84" i="14"/>
  <c r="BR84" i="14"/>
  <c r="BT84" i="14"/>
  <c r="BZ84" i="14"/>
  <c r="BX84" i="14"/>
  <c r="BW84" i="14"/>
  <c r="BS103" i="14" l="1"/>
  <c r="BS33" i="14" s="1"/>
  <c r="AA99" i="14"/>
  <c r="BS102" i="14"/>
  <c r="BS32" i="14" s="1"/>
  <c r="BS101" i="14"/>
  <c r="E85" i="14" a="1"/>
  <c r="E85" i="14" s="1"/>
  <c r="BR36" i="14"/>
  <c r="BR108" i="14" s="1"/>
  <c r="Z108" i="14" s="1"/>
  <c r="AB84" i="14"/>
  <c r="K84" i="14"/>
  <c r="Z84" i="14"/>
  <c r="BQ45" i="14"/>
  <c r="BQ96" i="14" s="1"/>
  <c r="AC84" i="14"/>
  <c r="AA84" i="14"/>
  <c r="BS34" i="14" l="1"/>
  <c r="BS31" i="14" s="1"/>
  <c r="BS36" i="14" s="1"/>
  <c r="BS104" i="14"/>
  <c r="BT99" i="14" s="1"/>
  <c r="BW85" i="14"/>
  <c r="CA85" i="14"/>
  <c r="BY85" i="14"/>
  <c r="BZ85" i="14"/>
  <c r="BU85" i="14"/>
  <c r="BT85" i="14"/>
  <c r="BR85" i="14"/>
  <c r="BV85" i="14"/>
  <c r="BS85" i="14"/>
  <c r="BX85" i="14"/>
  <c r="BQ109" i="14"/>
  <c r="AA85" i="14" l="1"/>
  <c r="E86" i="14" a="1"/>
  <c r="E86" i="14" s="1"/>
  <c r="BS86" i="14" s="1"/>
  <c r="BT103" i="14"/>
  <c r="BT33" i="14" s="1"/>
  <c r="BT101" i="14"/>
  <c r="BT34" i="14" s="1"/>
  <c r="BT102" i="14"/>
  <c r="BT32" i="14" s="1"/>
  <c r="AB85" i="14"/>
  <c r="AC85" i="14"/>
  <c r="K85" i="14"/>
  <c r="Z85" i="14"/>
  <c r="Z45" i="14" s="1"/>
  <c r="Z96" i="14" s="1"/>
  <c r="BR45" i="14"/>
  <c r="BR96" i="14" s="1"/>
  <c r="BS108" i="14"/>
  <c r="BZ86" i="14" l="1"/>
  <c r="BT86" i="14"/>
  <c r="BW86" i="14"/>
  <c r="BY86" i="14"/>
  <c r="BX86" i="14"/>
  <c r="BV86" i="14"/>
  <c r="BT31" i="14"/>
  <c r="BT36" i="14" s="1"/>
  <c r="BT108" i="14" s="1"/>
  <c r="BU86" i="14"/>
  <c r="CA86" i="14"/>
  <c r="BT104" i="14"/>
  <c r="BU99" i="14" s="1"/>
  <c r="BU101" i="14" s="1"/>
  <c r="BR109" i="14"/>
  <c r="Z109" i="14" s="1"/>
  <c r="BS45" i="14"/>
  <c r="BS96" i="14" s="1"/>
  <c r="AB86" i="14" l="1"/>
  <c r="AC86" i="14"/>
  <c r="K86" i="14"/>
  <c r="AA86" i="14"/>
  <c r="E87" i="14" a="1"/>
  <c r="E87" i="14" s="1"/>
  <c r="BZ87" i="14" s="1"/>
  <c r="BU102" i="14"/>
  <c r="BU103" i="14"/>
  <c r="BU34" i="14"/>
  <c r="AA34" i="14" s="1"/>
  <c r="AA101" i="14"/>
  <c r="BU32" i="14"/>
  <c r="AA102" i="14"/>
  <c r="BU33" i="14"/>
  <c r="AA33" i="14" s="1"/>
  <c r="AA103" i="14"/>
  <c r="BS109" i="14"/>
  <c r="BT87" i="14" l="1"/>
  <c r="BT45" i="14" s="1"/>
  <c r="BT96" i="14" s="1"/>
  <c r="BY87" i="14"/>
  <c r="CA87" i="14"/>
  <c r="BX87" i="14"/>
  <c r="BU87" i="14"/>
  <c r="BW87" i="14"/>
  <c r="BV87" i="14"/>
  <c r="BU104" i="14"/>
  <c r="BV99" i="14" s="1"/>
  <c r="BU31" i="14"/>
  <c r="AA32" i="14"/>
  <c r="AA31" i="14" s="1"/>
  <c r="AA36" i="14" s="1"/>
  <c r="AC87" i="14" l="1"/>
  <c r="AA87" i="14"/>
  <c r="AB87" i="14"/>
  <c r="K87" i="14"/>
  <c r="AA104" i="14"/>
  <c r="BV103" i="14"/>
  <c r="BV33" i="14" s="1"/>
  <c r="BV101" i="14"/>
  <c r="AB99" i="14"/>
  <c r="BV102" i="14"/>
  <c r="BV32" i="14" s="1"/>
  <c r="E88" i="14" a="1"/>
  <c r="E88" i="14" s="1"/>
  <c r="BU36" i="14"/>
  <c r="BU108" i="14" s="1"/>
  <c r="AA108" i="14" s="1"/>
  <c r="BT109" i="14"/>
  <c r="BV34" i="14" l="1"/>
  <c r="BV31" i="14" s="1"/>
  <c r="BV104" i="14"/>
  <c r="BW99" i="14" s="1"/>
  <c r="BW88" i="14"/>
  <c r="BU88" i="14"/>
  <c r="BX88" i="14"/>
  <c r="BZ88" i="14"/>
  <c r="BY88" i="14"/>
  <c r="CA88" i="14"/>
  <c r="BV88" i="14"/>
  <c r="AB88" i="14" l="1"/>
  <c r="E89" i="14" a="1"/>
  <c r="E89" i="14" s="1"/>
  <c r="BV36" i="14"/>
  <c r="BV108" i="14" s="1"/>
  <c r="BW101" i="14"/>
  <c r="BW34" i="14" s="1"/>
  <c r="BW103" i="14"/>
  <c r="BW33" i="14" s="1"/>
  <c r="BW102" i="14"/>
  <c r="BW32" i="14" s="1"/>
  <c r="AC88" i="14"/>
  <c r="AA88" i="14"/>
  <c r="AA45" i="14" s="1"/>
  <c r="AA96" i="14" s="1"/>
  <c r="K88" i="14"/>
  <c r="BU45" i="14"/>
  <c r="BU96" i="14" s="1"/>
  <c r="BW31" i="14" l="1"/>
  <c r="E90" i="14" s="1" a="1"/>
  <c r="E90" i="14" s="1"/>
  <c r="BZ90" i="14" s="1"/>
  <c r="BW104" i="14"/>
  <c r="BX99" i="14" s="1"/>
  <c r="BX103" i="14" s="1"/>
  <c r="BW89" i="14"/>
  <c r="BZ89" i="14"/>
  <c r="BX89" i="14"/>
  <c r="CA89" i="14"/>
  <c r="BV89" i="14"/>
  <c r="BY89" i="14"/>
  <c r="BU109" i="14"/>
  <c r="AA109" i="14" s="1"/>
  <c r="BW90" i="14" l="1"/>
  <c r="BY90" i="14"/>
  <c r="CA90" i="14"/>
  <c r="BX90" i="14"/>
  <c r="BX33" i="14"/>
  <c r="AB33" i="14" s="1"/>
  <c r="AB103" i="14"/>
  <c r="AC89" i="14"/>
  <c r="BW36" i="14"/>
  <c r="BW108" i="14" s="1"/>
  <c r="BX101" i="14"/>
  <c r="BX102" i="14"/>
  <c r="AB89" i="14"/>
  <c r="K89" i="14"/>
  <c r="BV45" i="14"/>
  <c r="BV96" i="14" s="1"/>
  <c r="BV109" i="14" s="1"/>
  <c r="AC90" i="14"/>
  <c r="AB90" i="14"/>
  <c r="K90" i="14"/>
  <c r="BW45" i="14"/>
  <c r="BW96" i="14" s="1"/>
  <c r="BX34" i="14" l="1"/>
  <c r="AB34" i="14" s="1"/>
  <c r="AB101" i="14"/>
  <c r="BX104" i="14"/>
  <c r="BX32" i="14"/>
  <c r="AB102" i="14"/>
  <c r="BW109" i="14"/>
  <c r="BX31" i="14" l="1"/>
  <c r="AB32" i="14"/>
  <c r="AB31" i="14" s="1"/>
  <c r="AB36" i="14" s="1"/>
  <c r="AB104" i="14"/>
  <c r="BY99" i="14"/>
  <c r="BY102" i="14" l="1"/>
  <c r="BY32" i="14" s="1"/>
  <c r="BY101" i="14"/>
  <c r="BY103" i="14"/>
  <c r="BY33" i="14" s="1"/>
  <c r="AC99" i="14"/>
  <c r="E91" i="14" a="1"/>
  <c r="E91" i="14" s="1"/>
  <c r="BX36" i="14"/>
  <c r="BX108" i="14" s="1"/>
  <c r="AB108" i="14" s="1"/>
  <c r="CA91" i="14" l="1"/>
  <c r="BZ91" i="14"/>
  <c r="BX91" i="14"/>
  <c r="BY91" i="14"/>
  <c r="AC91" i="14" s="1"/>
  <c r="BY34" i="14"/>
  <c r="BY31" i="14" s="1"/>
  <c r="BY104" i="14"/>
  <c r="BZ99" i="14" s="1"/>
  <c r="E92" i="14" l="1" a="1"/>
  <c r="E92" i="14" s="1"/>
  <c r="BY36" i="14"/>
  <c r="BY108" i="14" s="1"/>
  <c r="BZ102" i="14"/>
  <c r="BZ32" i="14" s="1"/>
  <c r="BZ101" i="14"/>
  <c r="BZ34" i="14" s="1"/>
  <c r="BZ103" i="14"/>
  <c r="BZ33" i="14" s="1"/>
  <c r="K91" i="14"/>
  <c r="AB91" i="14"/>
  <c r="AB45" i="14" s="1"/>
  <c r="AB96" i="14" s="1"/>
  <c r="BX45" i="14"/>
  <c r="BX96" i="14" s="1"/>
  <c r="BX109" i="14" s="1"/>
  <c r="AB109" i="14" s="1"/>
  <c r="BZ104" i="14" l="1"/>
  <c r="CA99" i="14" s="1"/>
  <c r="BZ92" i="14"/>
  <c r="BY92" i="14"/>
  <c r="CA92" i="14"/>
  <c r="BZ31" i="14"/>
  <c r="BZ36" i="14" l="1"/>
  <c r="BZ108" i="14" s="1"/>
  <c r="E93" i="14" a="1"/>
  <c r="E93" i="14" s="1"/>
  <c r="K92" i="14"/>
  <c r="BY45" i="14"/>
  <c r="BY96" i="14" s="1"/>
  <c r="BY109" i="14" s="1"/>
  <c r="AC92" i="14"/>
  <c r="CA102" i="14"/>
  <c r="CA103" i="14"/>
  <c r="CA101" i="14"/>
  <c r="AG13" i="12"/>
  <c r="R13" i="12"/>
  <c r="K102" i="14" l="1"/>
  <c r="CA32" i="14"/>
  <c r="AC102" i="14"/>
  <c r="BZ93" i="14"/>
  <c r="CA93" i="14"/>
  <c r="K101" i="14"/>
  <c r="CA34" i="14"/>
  <c r="AC101" i="14"/>
  <c r="CA33" i="14"/>
  <c r="AC103" i="14"/>
  <c r="K103" i="14"/>
  <c r="CA104" i="14"/>
  <c r="AU97" i="13"/>
  <c r="AU148" i="13"/>
  <c r="AU45" i="13"/>
  <c r="AU44" i="13"/>
  <c r="BN90" i="30" s="1"/>
  <c r="AU70" i="13"/>
  <c r="AU59" i="13"/>
  <c r="AU69" i="13"/>
  <c r="AU65" i="13"/>
  <c r="AU58" i="13"/>
  <c r="AU53" i="13"/>
  <c r="AU56" i="13"/>
  <c r="AU68" i="13"/>
  <c r="AU49" i="13"/>
  <c r="AU72" i="13"/>
  <c r="AU51" i="13"/>
  <c r="AU88" i="13"/>
  <c r="BP293" i="31" s="1"/>
  <c r="AU52" i="13"/>
  <c r="AU48" i="13"/>
  <c r="AU86" i="13"/>
  <c r="BP27" i="31" s="1"/>
  <c r="AU55" i="13"/>
  <c r="AU17" i="13" a="1"/>
  <c r="AU17" i="13" s="1"/>
  <c r="AU20" i="13" a="1"/>
  <c r="AU20" i="13" s="1"/>
  <c r="AU93" i="13"/>
  <c r="AU99" i="13"/>
  <c r="AU87" i="13"/>
  <c r="BP28" i="31" s="1"/>
  <c r="AU50" i="13"/>
  <c r="AU57" i="13"/>
  <c r="AU83" i="13"/>
  <c r="AU67" i="13"/>
  <c r="AU31" i="13" a="1"/>
  <c r="AU31" i="13" s="1"/>
  <c r="AU101" i="13"/>
  <c r="AU90" i="13"/>
  <c r="BP30" i="31" s="1"/>
  <c r="AU89" i="13"/>
  <c r="BP29" i="31" s="1"/>
  <c r="AU84" i="13"/>
  <c r="BN91" i="30" s="1"/>
  <c r="BN87" i="30" s="1"/>
  <c r="AU95" i="13"/>
  <c r="AU33" i="13" a="1"/>
  <c r="AU33" i="13" s="1"/>
  <c r="AU82" i="13"/>
  <c r="BP302" i="31" l="1"/>
  <c r="BP292" i="31"/>
  <c r="K104" i="14"/>
  <c r="AC104" i="14"/>
  <c r="BZ45" i="14"/>
  <c r="BZ96" i="14" s="1"/>
  <c r="BZ109" i="14" s="1"/>
  <c r="AC93" i="14"/>
  <c r="K93" i="14"/>
  <c r="K34" i="14"/>
  <c r="AC34" i="14"/>
  <c r="CA31" i="14"/>
  <c r="AC32" i="14"/>
  <c r="K32" i="14"/>
  <c r="AC33" i="14"/>
  <c r="K33" i="14"/>
  <c r="BQ28" i="31"/>
  <c r="BP298" i="31"/>
  <c r="BQ30" i="31"/>
  <c r="BP300" i="31"/>
  <c r="BQ29" i="31"/>
  <c r="BP299" i="31"/>
  <c r="BQ27" i="31"/>
  <c r="BP297" i="31"/>
  <c r="BO84" i="30"/>
  <c r="AU21" i="13" a="1"/>
  <c r="AU21" i="13" s="1"/>
  <c r="AU15" i="13" a="1"/>
  <c r="AU15" i="13" s="1"/>
  <c r="AU28" i="13" a="1"/>
  <c r="AU28" i="13" s="1"/>
  <c r="AU30" i="13" a="1"/>
  <c r="AU30" i="13" s="1"/>
  <c r="AU27" i="13" a="1"/>
  <c r="AU27" i="13" s="1"/>
  <c r="AU47" i="13"/>
  <c r="AU13" i="13" a="1"/>
  <c r="AU13" i="13" s="1"/>
  <c r="AU19" i="13" a="1"/>
  <c r="AU19" i="13" s="1"/>
  <c r="AU16" i="13" a="1"/>
  <c r="AU16" i="13" s="1"/>
  <c r="AU18" i="13" a="1"/>
  <c r="AU18" i="13" s="1"/>
  <c r="AU96" i="13"/>
  <c r="AU98" i="13"/>
  <c r="AU85" i="13"/>
  <c r="AU100" i="13"/>
  <c r="AU92" i="13"/>
  <c r="AU81" i="13"/>
  <c r="AU64" i="13"/>
  <c r="AU66" i="13"/>
  <c r="AU71" i="13"/>
  <c r="AU46" i="13"/>
  <c r="AU54" i="13"/>
  <c r="AU43" i="13"/>
  <c r="AU74" i="13"/>
  <c r="BP26" i="31" l="1"/>
  <c r="BP25" i="31" s="1"/>
  <c r="AA30" i="31" a="1"/>
  <c r="AA30" i="31" s="1"/>
  <c r="L30" i="31" a="1"/>
  <c r="L30" i="31" s="1"/>
  <c r="AA27" i="31" a="1"/>
  <c r="AA27" i="31" s="1"/>
  <c r="L27" i="31" a="1"/>
  <c r="L27" i="31" s="1"/>
  <c r="L29" i="31" a="1"/>
  <c r="L29" i="31" s="1"/>
  <c r="AA29" i="31" a="1"/>
  <c r="AA29" i="31" s="1"/>
  <c r="L28" i="31" a="1"/>
  <c r="L28" i="31" s="1"/>
  <c r="AA28" i="31" a="1"/>
  <c r="AA28" i="31" s="1"/>
  <c r="CA36" i="14"/>
  <c r="CA108" i="14" s="1"/>
  <c r="E94" i="14" a="1"/>
  <c r="E94" i="14" s="1"/>
  <c r="CA94" i="14" s="1"/>
  <c r="K31" i="14"/>
  <c r="K36" i="14" s="1"/>
  <c r="AC31" i="14"/>
  <c r="AC36" i="14" s="1"/>
  <c r="BR27" i="31"/>
  <c r="BQ297" i="31"/>
  <c r="BR30" i="31"/>
  <c r="BQ300" i="31"/>
  <c r="BR29" i="31"/>
  <c r="BQ299" i="31"/>
  <c r="BR28" i="31"/>
  <c r="BQ298" i="31"/>
  <c r="BQ26" i="31"/>
  <c r="R18" i="12"/>
  <c r="AG18" i="12"/>
  <c r="AH19" i="7" a="1"/>
  <c r="AH19" i="7" s="1"/>
  <c r="AG103" i="12"/>
  <c r="R103" i="12"/>
  <c r="AU152" i="13"/>
  <c r="AU161" i="13"/>
  <c r="AU151" i="13"/>
  <c r="AU150" i="13"/>
  <c r="AU160" i="13"/>
  <c r="AU149" i="13"/>
  <c r="AU159" i="13"/>
  <c r="BP296" i="31" l="1"/>
  <c r="BQ296" i="31"/>
  <c r="L26" i="31" a="1"/>
  <c r="L26" i="31" s="1"/>
  <c r="L25" i="31" s="1"/>
  <c r="AA26" i="31" a="1"/>
  <c r="AA26" i="31" s="1"/>
  <c r="AA25" i="31" s="1"/>
  <c r="BX81" i="12"/>
  <c r="AA297" i="31" a="1"/>
  <c r="AA297" i="31" s="1"/>
  <c r="L297" i="31" a="1"/>
  <c r="L297" i="31" s="1"/>
  <c r="BX85" i="12"/>
  <c r="AA300" i="31" a="1"/>
  <c r="AA300" i="31" s="1"/>
  <c r="L300" i="31" a="1"/>
  <c r="L300" i="31" s="1"/>
  <c r="BX82" i="12"/>
  <c r="L298" i="31" a="1"/>
  <c r="L298" i="31" s="1"/>
  <c r="AA298" i="31" a="1"/>
  <c r="AA298" i="31" s="1"/>
  <c r="BX84" i="12"/>
  <c r="L299" i="31" a="1"/>
  <c r="L299" i="31" s="1"/>
  <c r="AA299" i="31" a="1"/>
  <c r="AA299" i="31" s="1"/>
  <c r="CA45" i="14"/>
  <c r="CA96" i="14" s="1"/>
  <c r="CA109" i="14" s="1"/>
  <c r="AC94" i="14"/>
  <c r="AC45" i="14" s="1"/>
  <c r="AC96" i="14" s="1"/>
  <c r="K94" i="14"/>
  <c r="K45" i="14" s="1"/>
  <c r="K96" i="14" s="1"/>
  <c r="K108" i="14"/>
  <c r="AC108" i="14"/>
  <c r="BS27" i="31"/>
  <c r="BR297" i="31"/>
  <c r="BY81" i="12" s="1"/>
  <c r="BS28" i="31"/>
  <c r="BR298" i="31"/>
  <c r="BY82" i="12" s="1"/>
  <c r="BS29" i="31"/>
  <c r="BR299" i="31"/>
  <c r="BY84" i="12" s="1"/>
  <c r="BS30" i="31"/>
  <c r="BR300" i="31"/>
  <c r="BY85" i="12" s="1"/>
  <c r="BQ25" i="31"/>
  <c r="BR26" i="31"/>
  <c r="BR296" i="31" s="1"/>
  <c r="BY80" i="12" s="1"/>
  <c r="AE16" i="7" a="1"/>
  <c r="AE16" i="7" s="1"/>
  <c r="AE20" i="7" a="1"/>
  <c r="AE20" i="7" s="1"/>
  <c r="AH18" i="7" a="1"/>
  <c r="AH18" i="7" s="1"/>
  <c r="AE18" i="7" a="1"/>
  <c r="AE18" i="7" s="1"/>
  <c r="AH16" i="7" a="1"/>
  <c r="AH16" i="7" s="1"/>
  <c r="AE19" i="7" a="1"/>
  <c r="AE19" i="7" s="1"/>
  <c r="AH20" i="7" a="1"/>
  <c r="AH20" i="7" s="1"/>
  <c r="AE17" i="7" a="1"/>
  <c r="AE17" i="7" s="1"/>
  <c r="AH17" i="7" a="1"/>
  <c r="AH17" i="7" s="1"/>
  <c r="BX80" i="12" l="1"/>
  <c r="L296" i="31" a="1"/>
  <c r="L296" i="31" s="1"/>
  <c r="AA296" i="31" a="1"/>
  <c r="AA296" i="31" s="1"/>
  <c r="AC109" i="14"/>
  <c r="K109" i="14"/>
  <c r="BT29" i="31"/>
  <c r="AB29" i="31" s="1" a="1"/>
  <c r="AB29" i="31" s="1"/>
  <c r="BS299" i="31"/>
  <c r="BZ84" i="12" s="1"/>
  <c r="BT30" i="31"/>
  <c r="AB30" i="31" s="1" a="1"/>
  <c r="AB30" i="31" s="1"/>
  <c r="BS300" i="31"/>
  <c r="BZ85" i="12" s="1"/>
  <c r="BT28" i="31"/>
  <c r="AB28" i="31" s="1" a="1"/>
  <c r="AB28" i="31" s="1"/>
  <c r="BS298" i="31"/>
  <c r="BZ82" i="12" s="1"/>
  <c r="BT27" i="31"/>
  <c r="AB27" i="31" s="1" a="1"/>
  <c r="AB27" i="31" s="1"/>
  <c r="BS297" i="31"/>
  <c r="BZ81" i="12" s="1"/>
  <c r="BR25" i="31"/>
  <c r="BS26" i="31"/>
  <c r="AH103" i="12"/>
  <c r="BS296" i="31" l="1"/>
  <c r="BZ80" i="12" s="1"/>
  <c r="BU27" i="31"/>
  <c r="BT297" i="31"/>
  <c r="BU28" i="31"/>
  <c r="BT298" i="31"/>
  <c r="BU30" i="31"/>
  <c r="BT300" i="31"/>
  <c r="BU29" i="31"/>
  <c r="BT299" i="31"/>
  <c r="BS25" i="31"/>
  <c r="BT26" i="31"/>
  <c r="AI103" i="12"/>
  <c r="CA85" i="12" l="1"/>
  <c r="AB300" i="31" a="1"/>
  <c r="AB300" i="31" s="1"/>
  <c r="CA84" i="12"/>
  <c r="AB299" i="31" a="1"/>
  <c r="AB299" i="31" s="1"/>
  <c r="CA82" i="12"/>
  <c r="AB298" i="31" a="1"/>
  <c r="AB298" i="31" s="1"/>
  <c r="BT296" i="31"/>
  <c r="AB26" i="31" a="1"/>
  <c r="AB26" i="31" s="1"/>
  <c r="AB25" i="31" s="1"/>
  <c r="CA81" i="12"/>
  <c r="AB297" i="31" a="1"/>
  <c r="AB297" i="31" s="1"/>
  <c r="BV27" i="31"/>
  <c r="BU297" i="31"/>
  <c r="CB81" i="12" s="1"/>
  <c r="BV29" i="31"/>
  <c r="BU299" i="31"/>
  <c r="CB84" i="12" s="1"/>
  <c r="BV30" i="31"/>
  <c r="BU300" i="31"/>
  <c r="CB85" i="12" s="1"/>
  <c r="BV28" i="31"/>
  <c r="BU298" i="31"/>
  <c r="CB82" i="12" s="1"/>
  <c r="BT25" i="31"/>
  <c r="BU26" i="31"/>
  <c r="BU296" i="31" s="1"/>
  <c r="CB80" i="12" s="1"/>
  <c r="AJ103" i="12"/>
  <c r="CA80" i="12" l="1"/>
  <c r="AB296" i="31" a="1"/>
  <c r="AB296" i="31" s="1"/>
  <c r="BW27" i="31"/>
  <c r="AC27" i="31" s="1" a="1"/>
  <c r="AC27" i="31" s="1"/>
  <c r="BV297" i="31"/>
  <c r="CC81" i="12" s="1"/>
  <c r="BW28" i="31"/>
  <c r="AC28" i="31" s="1" a="1"/>
  <c r="AC28" i="31" s="1"/>
  <c r="BV298" i="31"/>
  <c r="CC82" i="12" s="1"/>
  <c r="BW30" i="31"/>
  <c r="AC30" i="31" s="1" a="1"/>
  <c r="AC30" i="31" s="1"/>
  <c r="BV300" i="31"/>
  <c r="CC85" i="12" s="1"/>
  <c r="BW29" i="31"/>
  <c r="AC29" i="31" s="1" a="1"/>
  <c r="AC29" i="31" s="1"/>
  <c r="BV299" i="31"/>
  <c r="CC84" i="12" s="1"/>
  <c r="BU25" i="31"/>
  <c r="BV26" i="31"/>
  <c r="BV296" i="31" s="1"/>
  <c r="CC80" i="12" s="1"/>
  <c r="AK103" i="12"/>
  <c r="BX27" i="31" l="1"/>
  <c r="BW297" i="31"/>
  <c r="BX29" i="31"/>
  <c r="BW299" i="31"/>
  <c r="BX30" i="31"/>
  <c r="BW300" i="31"/>
  <c r="BX28" i="31"/>
  <c r="BW298" i="31"/>
  <c r="BV25" i="31"/>
  <c r="BW26" i="31"/>
  <c r="S103" i="12"/>
  <c r="CD85" i="12" l="1"/>
  <c r="AC300" i="31" a="1"/>
  <c r="AC300" i="31" s="1"/>
  <c r="CD82" i="12"/>
  <c r="AC298" i="31" a="1"/>
  <c r="AC298" i="31" s="1"/>
  <c r="CD84" i="12"/>
  <c r="AC299" i="31" a="1"/>
  <c r="AC299" i="31" s="1"/>
  <c r="BW296" i="31"/>
  <c r="AC26" i="31" a="1"/>
  <c r="AC26" i="31" s="1"/>
  <c r="AC25" i="31" s="1"/>
  <c r="CD81" i="12"/>
  <c r="AC297" i="31" a="1"/>
  <c r="AC297" i="31" s="1"/>
  <c r="BY27" i="31"/>
  <c r="BX297" i="31"/>
  <c r="CE81" i="12" s="1"/>
  <c r="BY28" i="31"/>
  <c r="BX298" i="31"/>
  <c r="CE82" i="12" s="1"/>
  <c r="BY30" i="31"/>
  <c r="BX300" i="31"/>
  <c r="CE85" i="12" s="1"/>
  <c r="BY29" i="31"/>
  <c r="BX299" i="31"/>
  <c r="CE84" i="12" s="1"/>
  <c r="BW25" i="31"/>
  <c r="BX26" i="31"/>
  <c r="BX296" i="31" s="1"/>
  <c r="CE80" i="12" s="1"/>
  <c r="AD45" i="9" a="1"/>
  <c r="AD45" i="9" s="1"/>
  <c r="AD11" i="9" a="1"/>
  <c r="AD11" i="9" s="1"/>
  <c r="L43" i="9" a="1"/>
  <c r="L43" i="9" s="1"/>
  <c r="L12" i="9" a="1"/>
  <c r="L12" i="9" s="1"/>
  <c r="F45" i="9" a="1"/>
  <c r="F45" i="9" s="1"/>
  <c r="M44" i="9" a="1"/>
  <c r="M44" i="9" s="1"/>
  <c r="F12" i="9" a="1"/>
  <c r="F12" i="9" s="1"/>
  <c r="AD44" i="9" a="1"/>
  <c r="AD44" i="9" s="1"/>
  <c r="L45" i="9" a="1"/>
  <c r="L45" i="9" s="1"/>
  <c r="F44" i="9" a="1"/>
  <c r="F44" i="9" s="1"/>
  <c r="L11" i="9" a="1"/>
  <c r="L11" i="9" s="1"/>
  <c r="AD43" i="9" a="1"/>
  <c r="AD43" i="9" s="1"/>
  <c r="F43" i="9" a="1"/>
  <c r="F43" i="9" s="1"/>
  <c r="M12" i="9" a="1"/>
  <c r="M12" i="9" s="1"/>
  <c r="AD12" i="9" a="1"/>
  <c r="AD12" i="9" s="1"/>
  <c r="F11" i="9" a="1"/>
  <c r="F11" i="9" s="1"/>
  <c r="L44" i="9" a="1"/>
  <c r="L44" i="9" s="1"/>
  <c r="AE42" i="9" a="1"/>
  <c r="AE42" i="9" s="1"/>
  <c r="AD42" i="9" a="1"/>
  <c r="AD42" i="9" s="1"/>
  <c r="M42" i="9" a="1"/>
  <c r="M42" i="9" s="1"/>
  <c r="I11" i="9" a="1"/>
  <c r="I11" i="9" s="1"/>
  <c r="H44" i="9" a="1"/>
  <c r="H44" i="9" s="1"/>
  <c r="G42" i="9" a="1"/>
  <c r="G42" i="9" s="1"/>
  <c r="H12" i="9" a="1"/>
  <c r="H12" i="9" s="1"/>
  <c r="AH43" i="9" a="1"/>
  <c r="AH43" i="9" s="1"/>
  <c r="G11" i="9" a="1"/>
  <c r="G11" i="9" s="1"/>
  <c r="N11" i="9" a="1"/>
  <c r="N11" i="9" s="1"/>
  <c r="AE43" i="9" a="1"/>
  <c r="AE43" i="9" s="1"/>
  <c r="AF43" i="9" a="1"/>
  <c r="AF43" i="9" s="1"/>
  <c r="AE12" i="9" a="1"/>
  <c r="AE12" i="9" s="1"/>
  <c r="M43" i="9" a="1"/>
  <c r="M43" i="9" s="1"/>
  <c r="G43" i="9" a="1"/>
  <c r="G43" i="9" s="1"/>
  <c r="AE11" i="9" a="1"/>
  <c r="AE11" i="9" s="1"/>
  <c r="AE44" i="9" a="1"/>
  <c r="AE44" i="9" s="1"/>
  <c r="AH11" i="9" a="1"/>
  <c r="AH11" i="9" s="1"/>
  <c r="G45" i="9" a="1"/>
  <c r="G45" i="9" s="1"/>
  <c r="M11" i="9" a="1"/>
  <c r="M11" i="9" s="1"/>
  <c r="G44" i="9" a="1"/>
  <c r="G44" i="9" s="1"/>
  <c r="AE45" i="9" a="1"/>
  <c r="AE45" i="9" s="1"/>
  <c r="M45" i="9" a="1"/>
  <c r="M45" i="9" s="1"/>
  <c r="F42" i="9" a="1"/>
  <c r="F42" i="9" s="1"/>
  <c r="AF44" i="9" a="1"/>
  <c r="AF44" i="9" s="1"/>
  <c r="AF11" i="9" a="1"/>
  <c r="AF11" i="9" s="1"/>
  <c r="G12" i="9" a="1"/>
  <c r="G12" i="9" s="1"/>
  <c r="H43" i="9" a="1"/>
  <c r="H43" i="9" s="1"/>
  <c r="N44" i="9" a="1"/>
  <c r="N44" i="9" s="1"/>
  <c r="AH44" i="9" a="1"/>
  <c r="AH44" i="9" s="1"/>
  <c r="AG11" i="9" a="1"/>
  <c r="AG11" i="9" s="1"/>
  <c r="AF12" i="9" a="1"/>
  <c r="AF12" i="9" s="1"/>
  <c r="AH45" i="9" a="1"/>
  <c r="AH45" i="9" s="1"/>
  <c r="H11" i="9" a="1"/>
  <c r="H11" i="9" s="1"/>
  <c r="L42" i="9" a="1"/>
  <c r="L42" i="9" s="1"/>
  <c r="N12" i="9" a="1"/>
  <c r="N12" i="9" s="1"/>
  <c r="N43" i="9" a="1"/>
  <c r="N43" i="9" s="1"/>
  <c r="AI44" i="9" a="1"/>
  <c r="AI44" i="9" s="1"/>
  <c r="AG12" i="9" a="1"/>
  <c r="AG12" i="9" s="1"/>
  <c r="AH12" i="9" a="1"/>
  <c r="AH12" i="9" s="1"/>
  <c r="AI11" i="9" a="1"/>
  <c r="AI11" i="9" s="1"/>
  <c r="AI12" i="9" a="1"/>
  <c r="AI12" i="9" s="1"/>
  <c r="AG44" i="9" a="1"/>
  <c r="AG44" i="9" s="1"/>
  <c r="N45" i="9" a="1"/>
  <c r="N45" i="9" s="1"/>
  <c r="I45" i="9" a="1"/>
  <c r="I45" i="9" s="1"/>
  <c r="AG43" i="9" a="1"/>
  <c r="AG43" i="9" s="1"/>
  <c r="I44" i="9" a="1"/>
  <c r="I44" i="9" s="1"/>
  <c r="O44" i="9" a="1"/>
  <c r="O44" i="9" s="1"/>
  <c r="H45" i="9" a="1"/>
  <c r="H45" i="9" s="1"/>
  <c r="AJ43" i="9" a="1"/>
  <c r="AJ43" i="9" s="1"/>
  <c r="O45" i="9" a="1"/>
  <c r="O45" i="9" s="1"/>
  <c r="AF45" i="9" a="1"/>
  <c r="AF45" i="9" s="1"/>
  <c r="I43" i="9" a="1"/>
  <c r="I43" i="9" s="1"/>
  <c r="I12" i="9" a="1"/>
  <c r="I12" i="9" s="1"/>
  <c r="AG45" i="9" a="1"/>
  <c r="AG45" i="9" s="1"/>
  <c r="AI43" i="9" a="1"/>
  <c r="AI43" i="9" s="1"/>
  <c r="AJ45" i="9" a="1"/>
  <c r="AJ45" i="9" s="1"/>
  <c r="O11" i="9" a="1"/>
  <c r="O11" i="9" s="1"/>
  <c r="O43" i="9" a="1"/>
  <c r="O43" i="9" s="1"/>
  <c r="O12" i="9" a="1"/>
  <c r="O12" i="9" s="1"/>
  <c r="AJ44" i="9" a="1"/>
  <c r="AJ44" i="9" s="1"/>
  <c r="P43" i="9" a="1"/>
  <c r="P43" i="9" s="1"/>
  <c r="AJ11" i="9" a="1"/>
  <c r="AJ11" i="9" s="1"/>
  <c r="AL44" i="9" a="1"/>
  <c r="AL44" i="9" s="1"/>
  <c r="AK43" i="9" a="1"/>
  <c r="AK43" i="9" s="1"/>
  <c r="H42" i="9" a="1"/>
  <c r="H42" i="9" s="1"/>
  <c r="P12" i="9" a="1"/>
  <c r="P12" i="9" s="1"/>
  <c r="P44" i="9" a="1"/>
  <c r="P44" i="9" s="1"/>
  <c r="AL45" i="9" a="1"/>
  <c r="AL45" i="9" s="1"/>
  <c r="N42" i="9" a="1"/>
  <c r="N42" i="9" s="1"/>
  <c r="AL43" i="9" a="1"/>
  <c r="AL43" i="9" s="1"/>
  <c r="AH42" i="9" a="1"/>
  <c r="AH42" i="9" s="1"/>
  <c r="AF42" i="9" a="1"/>
  <c r="AF42" i="9" s="1"/>
  <c r="AK45" i="9" a="1"/>
  <c r="AK45" i="9" s="1"/>
  <c r="AL11" i="9" a="1"/>
  <c r="AL11" i="9" s="1"/>
  <c r="AI45" i="9" a="1"/>
  <c r="AI45" i="9" s="1"/>
  <c r="I42" i="9" a="1"/>
  <c r="I42" i="9" s="1"/>
  <c r="AJ12" i="9" a="1"/>
  <c r="AJ12" i="9" s="1"/>
  <c r="AK11" i="9" a="1"/>
  <c r="AK11" i="9" s="1"/>
  <c r="AG42" i="9" a="1"/>
  <c r="AG42" i="9" s="1"/>
  <c r="P11" i="9" a="1"/>
  <c r="P11" i="9" s="1"/>
  <c r="AM45" i="9" a="1"/>
  <c r="AM45" i="9" s="1"/>
  <c r="AM11" i="9" a="1"/>
  <c r="AM11" i="9" s="1"/>
  <c r="AK42" i="9" a="1"/>
  <c r="AK42" i="9" s="1"/>
  <c r="AL12" i="9" a="1"/>
  <c r="AL12" i="9" s="1"/>
  <c r="Q45" i="9" a="1"/>
  <c r="Q45" i="9" s="1"/>
  <c r="AK12" i="9" a="1"/>
  <c r="AK12" i="9" s="1"/>
  <c r="AN11" i="9" a="1"/>
  <c r="AN11" i="9" s="1"/>
  <c r="P45" i="9" a="1"/>
  <c r="P45" i="9" s="1"/>
  <c r="Q44" i="9" a="1"/>
  <c r="Q44" i="9" s="1"/>
  <c r="AK44" i="9" a="1"/>
  <c r="AK44" i="9" s="1"/>
  <c r="AM44" i="9" a="1"/>
  <c r="AM44" i="9" s="1"/>
  <c r="AM43" i="9" a="1"/>
  <c r="AM43" i="9" s="1"/>
  <c r="AM12" i="9" a="1"/>
  <c r="AM12" i="9" s="1"/>
  <c r="Q12" i="9" a="1"/>
  <c r="Q12" i="9" s="1"/>
  <c r="Q43" i="9" a="1"/>
  <c r="Q43" i="9" s="1"/>
  <c r="Q11" i="9" a="1"/>
  <c r="Q11" i="9" s="1"/>
  <c r="AN43" i="9" a="1"/>
  <c r="AN43" i="9" s="1"/>
  <c r="O42" i="9" a="1"/>
  <c r="O42" i="9" s="1"/>
  <c r="AI42" i="9" a="1"/>
  <c r="AI42" i="9" s="1"/>
  <c r="R12" i="9" a="1"/>
  <c r="R12" i="9" s="1"/>
  <c r="AM42" i="9" a="1"/>
  <c r="AM42" i="9" s="1"/>
  <c r="AN12" i="9" a="1"/>
  <c r="AN12" i="9" s="1"/>
  <c r="P42" i="9" a="1"/>
  <c r="P42" i="9" s="1"/>
  <c r="AO11" i="9" a="1"/>
  <c r="AO11" i="9" s="1"/>
  <c r="AJ42" i="9" a="1"/>
  <c r="AJ42" i="9" s="1"/>
  <c r="AN44" i="9" a="1"/>
  <c r="AN44" i="9" s="1"/>
  <c r="R43" i="9" a="1"/>
  <c r="R43" i="9" s="1"/>
  <c r="AP45" i="9" a="1"/>
  <c r="AP45" i="9" s="1"/>
  <c r="R42" i="9" a="1"/>
  <c r="R42" i="9" s="1"/>
  <c r="AN45" i="9" a="1"/>
  <c r="AN45" i="9" s="1"/>
  <c r="AO12" i="9" a="1"/>
  <c r="AO12" i="9" s="1"/>
  <c r="AO43" i="9" a="1"/>
  <c r="AO43" i="9" s="1"/>
  <c r="R11" i="9" a="1"/>
  <c r="R11" i="9" s="1"/>
  <c r="AO45" i="9" a="1"/>
  <c r="AO45" i="9" s="1"/>
  <c r="R45" i="9" a="1"/>
  <c r="R45" i="9" s="1"/>
  <c r="R44" i="9" a="1"/>
  <c r="R44" i="9" s="1"/>
  <c r="AO44" i="9" a="1"/>
  <c r="AO44" i="9" s="1"/>
  <c r="AL42" i="9" a="1"/>
  <c r="AL42" i="9" s="1"/>
  <c r="S11" i="9" a="1"/>
  <c r="S11" i="9" s="1"/>
  <c r="AQ43" i="9" a="1"/>
  <c r="AQ43" i="9" s="1"/>
  <c r="AQ11" i="9" a="1"/>
  <c r="AQ11" i="9" s="1"/>
  <c r="Q42" i="9" a="1"/>
  <c r="Q42" i="9" s="1"/>
  <c r="AP44" i="9" a="1"/>
  <c r="AP44" i="9" s="1"/>
  <c r="AQ45" i="9" a="1"/>
  <c r="AQ45" i="9" s="1"/>
  <c r="AP11" i="9" a="1"/>
  <c r="AP11" i="9" s="1"/>
  <c r="AP43" i="9" a="1"/>
  <c r="AP43" i="9" s="1"/>
  <c r="AP12" i="9" a="1"/>
  <c r="AP12" i="9" s="1"/>
  <c r="AR12" i="9" a="1"/>
  <c r="AR12" i="9" s="1"/>
  <c r="AO42" i="9" a="1"/>
  <c r="AO42" i="9" s="1"/>
  <c r="AR44" i="9" a="1"/>
  <c r="AR44" i="9" s="1"/>
  <c r="S12" i="9" a="1"/>
  <c r="S12" i="9" s="1"/>
  <c r="S45" i="9" a="1"/>
  <c r="S45" i="9" s="1"/>
  <c r="AN42" i="9" a="1"/>
  <c r="AN42" i="9" s="1"/>
  <c r="AQ12" i="9" a="1"/>
  <c r="AQ12" i="9" s="1"/>
  <c r="AQ44" i="9" a="1"/>
  <c r="AQ44" i="9" s="1"/>
  <c r="S44" i="9" a="1"/>
  <c r="S44" i="9" s="1"/>
  <c r="AP42" i="9" a="1"/>
  <c r="AP42" i="9" s="1"/>
  <c r="S43" i="9" a="1"/>
  <c r="S43" i="9" s="1"/>
  <c r="AR43" i="9" a="1"/>
  <c r="AR43" i="9" s="1"/>
  <c r="T45" i="9" a="1"/>
  <c r="T45" i="9" s="1"/>
  <c r="AR11" i="9" a="1"/>
  <c r="AR11" i="9" s="1"/>
  <c r="T44" i="9" a="1"/>
  <c r="T44" i="9" s="1"/>
  <c r="AS44" i="9" a="1"/>
  <c r="AS44" i="9" s="1"/>
  <c r="AR45" i="9" a="1"/>
  <c r="AR45" i="9" s="1"/>
  <c r="T43" i="9" a="1"/>
  <c r="T43" i="9" s="1"/>
  <c r="AT12" i="9" a="1"/>
  <c r="AT12" i="9" s="1"/>
  <c r="AQ42" i="9" a="1"/>
  <c r="AQ42" i="9" s="1"/>
  <c r="AS11" i="9" a="1"/>
  <c r="AS11" i="9" s="1"/>
  <c r="AS12" i="9" a="1"/>
  <c r="AS12" i="9" s="1"/>
  <c r="T11" i="9" a="1"/>
  <c r="T11" i="9" s="1"/>
  <c r="AU44" i="9" a="1"/>
  <c r="AU44" i="9" s="1"/>
  <c r="T12" i="9" a="1"/>
  <c r="T12" i="9" s="1"/>
  <c r="AT42" i="9" a="1"/>
  <c r="AT42" i="9" s="1"/>
  <c r="AT11" i="9" a="1"/>
  <c r="AT11" i="9" s="1"/>
  <c r="AU11" i="9" a="1"/>
  <c r="AU11" i="9" s="1"/>
  <c r="AU12" i="9" a="1"/>
  <c r="AU12" i="9" s="1"/>
  <c r="AR42" i="9" a="1"/>
  <c r="AR42" i="9" s="1"/>
  <c r="U43" i="9" a="1"/>
  <c r="U43" i="9" s="1"/>
  <c r="U12" i="9" a="1"/>
  <c r="U12" i="9" s="1"/>
  <c r="U11" i="9" a="1"/>
  <c r="U11" i="9" s="1"/>
  <c r="AS45" i="9" a="1"/>
  <c r="AS45" i="9" s="1"/>
  <c r="AT43" i="9" a="1"/>
  <c r="AT43" i="9" s="1"/>
  <c r="AS43" i="9" a="1"/>
  <c r="AS43" i="9" s="1"/>
  <c r="AT44" i="9" a="1"/>
  <c r="AT44" i="9" s="1"/>
  <c r="AS42" i="9" a="1"/>
  <c r="AS42" i="9" s="1"/>
  <c r="V44" i="9" a="1"/>
  <c r="V44" i="9" s="1"/>
  <c r="U44" i="9" a="1"/>
  <c r="U44" i="9" s="1"/>
  <c r="U45" i="9" a="1"/>
  <c r="U45" i="9" s="1"/>
  <c r="AT45" i="9" a="1"/>
  <c r="AT45" i="9" s="1"/>
  <c r="AV12" i="9" a="1"/>
  <c r="AV12" i="9" s="1"/>
  <c r="S42" i="9" a="1"/>
  <c r="S42" i="9" s="1"/>
  <c r="AV45" i="9" a="1"/>
  <c r="AV45" i="9" s="1"/>
  <c r="AU45" i="9" a="1"/>
  <c r="AU45" i="9" s="1"/>
  <c r="V43" i="9" a="1"/>
  <c r="V43" i="9" s="1"/>
  <c r="AV44" i="9" a="1"/>
  <c r="AV44" i="9" s="1"/>
  <c r="AW45" i="9" a="1"/>
  <c r="AW45" i="9" s="1"/>
  <c r="AV11" i="9" a="1"/>
  <c r="AV11" i="9" s="1"/>
  <c r="AU43" i="9" a="1"/>
  <c r="AU43" i="9" s="1"/>
  <c r="V11" i="9" a="1"/>
  <c r="V11" i="9" s="1"/>
  <c r="AW43" i="9" a="1"/>
  <c r="AW43" i="9" s="1"/>
  <c r="AW42" i="9" a="1"/>
  <c r="AW42" i="9" s="1"/>
  <c r="AW12" i="9" a="1"/>
  <c r="AW12" i="9" s="1"/>
  <c r="AU42" i="9" a="1"/>
  <c r="AU42" i="9" s="1"/>
  <c r="T42" i="9" a="1"/>
  <c r="T42" i="9" s="1"/>
  <c r="AV43" i="9" a="1"/>
  <c r="AV43" i="9" s="1"/>
  <c r="V45" i="9" a="1"/>
  <c r="V45" i="9" s="1"/>
  <c r="V12" i="9" a="1"/>
  <c r="V12" i="9" s="1"/>
  <c r="AW44" i="9" a="1"/>
  <c r="AW44" i="9" s="1"/>
  <c r="AX12" i="9" a="1"/>
  <c r="AX12" i="9" s="1"/>
  <c r="AX11" i="9" a="1"/>
  <c r="AX11" i="9" s="1"/>
  <c r="AY11" i="9" a="1"/>
  <c r="AY11" i="9" s="1"/>
  <c r="AX44" i="9" a="1"/>
  <c r="AX44" i="9" s="1"/>
  <c r="AX43" i="9" a="1"/>
  <c r="AX43" i="9" s="1"/>
  <c r="AY44" i="9" a="1"/>
  <c r="AY44" i="9" s="1"/>
  <c r="AX45" i="9" a="1"/>
  <c r="AX45" i="9" s="1"/>
  <c r="AY43" i="9" a="1"/>
  <c r="AY43" i="9" s="1"/>
  <c r="U42" i="9" a="1"/>
  <c r="U42" i="9" s="1"/>
  <c r="AW11" i="9" a="1"/>
  <c r="AW11" i="9" s="1"/>
  <c r="AY12" i="9" a="1"/>
  <c r="AY12" i="9" s="1"/>
  <c r="W12" i="9" a="1"/>
  <c r="W12" i="9" s="1"/>
  <c r="AY45" i="9" a="1"/>
  <c r="AY45" i="9" s="1"/>
  <c r="W44" i="9" a="1"/>
  <c r="W44" i="9" s="1"/>
  <c r="W11" i="9" a="1"/>
  <c r="W11" i="9" s="1"/>
  <c r="AZ11" i="9" a="1"/>
  <c r="AZ11" i="9" s="1"/>
  <c r="AZ43" i="9" a="1"/>
  <c r="AZ43" i="9" s="1"/>
  <c r="W43" i="9" a="1"/>
  <c r="W43" i="9" s="1"/>
  <c r="BA45" i="9" a="1"/>
  <c r="BA45" i="9" s="1"/>
  <c r="AZ42" i="9" a="1"/>
  <c r="AZ42" i="9" s="1"/>
  <c r="BA44" i="9" a="1"/>
  <c r="BA44" i="9" s="1"/>
  <c r="AZ44" i="9" a="1"/>
  <c r="AZ44" i="9" s="1"/>
  <c r="AZ12" i="9" a="1"/>
  <c r="AZ12" i="9" s="1"/>
  <c r="AV42" i="9" a="1"/>
  <c r="AV42" i="9" s="1"/>
  <c r="W45" i="9" a="1"/>
  <c r="W45" i="9" s="1"/>
  <c r="X12" i="9" a="1"/>
  <c r="X12" i="9" s="1"/>
  <c r="AZ45" i="9" a="1"/>
  <c r="AZ45" i="9" s="1"/>
  <c r="BA11" i="9" a="1"/>
  <c r="BA11" i="9" s="1"/>
  <c r="X45" i="9" a="1"/>
  <c r="X45" i="9" s="1"/>
  <c r="BB44" i="9" a="1"/>
  <c r="BB44" i="9" s="1"/>
  <c r="X11" i="9" a="1"/>
  <c r="X11" i="9" s="1"/>
  <c r="BA12" i="9" a="1"/>
  <c r="BA12" i="9" s="1"/>
  <c r="X43" i="9" a="1"/>
  <c r="X43" i="9" s="1"/>
  <c r="BB43" i="9" a="1"/>
  <c r="BB43" i="9" s="1"/>
  <c r="BB11" i="9" a="1"/>
  <c r="BB11" i="9" s="1"/>
  <c r="X44" i="9" a="1"/>
  <c r="X44" i="9" s="1"/>
  <c r="Y44" i="9" a="1"/>
  <c r="Y44" i="9" s="1"/>
  <c r="BC44" i="9" a="1"/>
  <c r="BC44" i="9" s="1"/>
  <c r="BC11" i="9" a="1"/>
  <c r="BC11" i="9" s="1"/>
  <c r="Y43" i="9" a="1"/>
  <c r="Y43" i="9" s="1"/>
  <c r="Y11" i="9" a="1"/>
  <c r="Y11" i="9" s="1"/>
  <c r="V42" i="9" a="1"/>
  <c r="V42" i="9" s="1"/>
  <c r="AX42" i="9" a="1"/>
  <c r="AX42" i="9" s="1"/>
  <c r="BD12" i="9" a="1"/>
  <c r="BD12" i="9" s="1"/>
  <c r="BD42" i="9" a="1"/>
  <c r="BD42" i="9" s="1"/>
  <c r="BA43" i="9" a="1"/>
  <c r="BA43" i="9" s="1"/>
  <c r="BB12" i="9" a="1"/>
  <c r="BB12" i="9" s="1"/>
  <c r="Y45" i="9" a="1"/>
  <c r="Y45" i="9" s="1"/>
  <c r="BC12" i="9" a="1"/>
  <c r="BC12" i="9" s="1"/>
  <c r="BC45" i="9" a="1"/>
  <c r="BC45" i="9" s="1"/>
  <c r="BD43" i="9" a="1"/>
  <c r="BD43" i="9" s="1"/>
  <c r="BD44" i="9" a="1"/>
  <c r="BD44" i="9" s="1"/>
  <c r="BC43" i="9" a="1"/>
  <c r="BC43" i="9" s="1"/>
  <c r="Y12" i="9" a="1"/>
  <c r="Y12" i="9" s="1"/>
  <c r="BB42" i="9" a="1"/>
  <c r="BB42" i="9" s="1"/>
  <c r="BD45" i="9" a="1"/>
  <c r="BD45" i="9" s="1"/>
  <c r="AY42" i="9" a="1"/>
  <c r="AY42" i="9" s="1"/>
  <c r="BF43" i="9" a="1"/>
  <c r="BF43" i="9" s="1"/>
  <c r="BD11" i="9" a="1"/>
  <c r="BD11" i="9" s="1"/>
  <c r="W42" i="9" a="1"/>
  <c r="W42" i="9" s="1"/>
  <c r="Z45" i="9" a="1"/>
  <c r="Z45" i="9" s="1"/>
  <c r="BF44" i="9" a="1"/>
  <c r="BF44" i="9" s="1"/>
  <c r="X42" i="9" a="1"/>
  <c r="X42" i="9" s="1"/>
  <c r="BF12" i="9" a="1"/>
  <c r="BF12" i="9" s="1"/>
  <c r="BE43" i="9" a="1"/>
  <c r="BE43" i="9" s="1"/>
  <c r="Z44" i="9" a="1"/>
  <c r="Z44" i="9" s="1"/>
  <c r="BB45" i="9" a="1"/>
  <c r="BB45" i="9" s="1"/>
  <c r="Z12" i="9" a="1"/>
  <c r="Z12" i="9" s="1"/>
  <c r="BA42" i="9" a="1"/>
  <c r="BA42" i="9" s="1"/>
  <c r="AA11" i="9" a="1"/>
  <c r="AA11" i="9" s="1"/>
  <c r="Z11" i="9" a="1"/>
  <c r="Z11" i="9" s="1"/>
  <c r="BE11" i="9" a="1"/>
  <c r="BE11" i="9" s="1"/>
  <c r="BE12" i="9" a="1"/>
  <c r="BE12" i="9" s="1"/>
  <c r="BF11" i="9" a="1"/>
  <c r="BF11" i="9" s="1"/>
  <c r="AA12" i="9" a="1"/>
  <c r="AA12" i="9" s="1"/>
  <c r="BG11" i="9" a="1"/>
  <c r="BG11" i="9" s="1"/>
  <c r="BH12" i="9" a="1"/>
  <c r="BH12" i="9" s="1"/>
  <c r="Y42" i="9" a="1"/>
  <c r="Y42" i="9" s="1"/>
  <c r="BC42" i="9" a="1"/>
  <c r="BC42" i="9" s="1"/>
  <c r="BE42" i="9" a="1"/>
  <c r="BE42" i="9" s="1"/>
  <c r="BG12" i="9" a="1"/>
  <c r="BG12" i="9" s="1"/>
  <c r="BJ11" i="9" a="1"/>
  <c r="BJ11" i="9" s="1"/>
  <c r="BG45" i="9" a="1"/>
  <c r="BG45" i="9" s="1"/>
  <c r="BF45" i="9" a="1"/>
  <c r="BF45" i="9" s="1"/>
  <c r="BE44" i="9" a="1"/>
  <c r="BE44" i="9" s="1"/>
  <c r="BE45" i="9" a="1"/>
  <c r="BE45" i="9" s="1"/>
  <c r="BH11" i="9" a="1"/>
  <c r="BH11" i="9" s="1"/>
  <c r="Z43" i="9" a="1"/>
  <c r="Z43" i="9" s="1"/>
  <c r="AA44" i="9" a="1"/>
  <c r="AA44" i="9" s="1"/>
  <c r="BK12" i="9" a="1"/>
  <c r="BK12" i="9" s="1"/>
  <c r="Z42" i="9" a="1"/>
  <c r="Z42" i="9" s="1"/>
  <c r="BH45" i="9" a="1"/>
  <c r="BH45" i="9" s="1"/>
  <c r="AA45" i="9" a="1"/>
  <c r="AA45" i="9" s="1"/>
  <c r="BI11" i="9" a="1"/>
  <c r="BI11" i="9" s="1"/>
  <c r="BF42" i="9" a="1"/>
  <c r="BF42" i="9" s="1"/>
  <c r="BI12" i="9" a="1"/>
  <c r="BI12" i="9" s="1"/>
  <c r="BK11" i="9" a="1"/>
  <c r="BK11" i="9" s="1"/>
  <c r="BG42" i="9" a="1"/>
  <c r="BG42" i="9" s="1"/>
  <c r="BN11" i="9" a="1"/>
  <c r="BN11" i="9" s="1"/>
  <c r="BH42" i="9" a="1"/>
  <c r="BH42" i="9" s="1"/>
  <c r="BG44" i="9" a="1"/>
  <c r="BG44" i="9" s="1"/>
  <c r="AA42" i="9" a="1"/>
  <c r="AA42" i="9" s="1"/>
  <c r="BH44" i="9" a="1"/>
  <c r="BH44" i="9" s="1"/>
  <c r="BI42" i="9" a="1"/>
  <c r="BI42" i="9" s="1"/>
  <c r="BM42" i="9" a="1"/>
  <c r="BM42" i="9" s="1"/>
  <c r="AA43" i="9" a="1"/>
  <c r="AA43" i="9" s="1"/>
  <c r="BL12" i="9" a="1"/>
  <c r="BL12" i="9" s="1"/>
  <c r="BI45" i="9" a="1"/>
  <c r="BI45" i="9" s="1"/>
  <c r="BJ12" i="9" a="1"/>
  <c r="BJ12" i="9" s="1"/>
  <c r="BN42" i="9" a="1"/>
  <c r="BN42" i="9" s="1"/>
  <c r="BL45" i="9" a="1"/>
  <c r="BL45" i="9" s="1"/>
  <c r="BG43" i="9" a="1"/>
  <c r="BG43" i="9" s="1"/>
  <c r="BM45" i="9" a="1"/>
  <c r="BM45" i="9" s="1"/>
  <c r="BL42" i="9" a="1"/>
  <c r="BL42" i="9" s="1"/>
  <c r="BJ42" i="9" a="1"/>
  <c r="BJ42" i="9" s="1"/>
  <c r="BH43" i="9" a="1"/>
  <c r="BH43" i="9" s="1"/>
  <c r="BK43" i="9" a="1"/>
  <c r="BK43" i="9" s="1"/>
  <c r="BM12" i="9" a="1"/>
  <c r="BM12" i="9" s="1"/>
  <c r="BK42" i="9" a="1"/>
  <c r="BK42" i="9" s="1"/>
  <c r="BL11" i="9" a="1"/>
  <c r="BL11" i="9" s="1"/>
  <c r="BI44" i="9" a="1"/>
  <c r="BI44" i="9" s="1"/>
  <c r="BN43" i="9" a="1"/>
  <c r="BN43" i="9" s="1"/>
  <c r="BK45" i="9" a="1"/>
  <c r="BK45" i="9" s="1"/>
  <c r="BO44" i="9" a="1"/>
  <c r="BO44" i="9" s="1"/>
  <c r="BI43" i="9" a="1"/>
  <c r="BI43" i="9" s="1"/>
  <c r="BJ44" i="9" a="1"/>
  <c r="BJ44" i="9" s="1"/>
  <c r="BQ43" i="9" a="1"/>
  <c r="BQ43" i="9" s="1"/>
  <c r="BO42" i="9" a="1"/>
  <c r="BO42" i="9" s="1"/>
  <c r="BJ45" i="9" a="1"/>
  <c r="BJ45" i="9" s="1"/>
  <c r="BM44" i="9" a="1"/>
  <c r="BM44" i="9" s="1"/>
  <c r="BK44" i="9" a="1"/>
  <c r="BK44" i="9" s="1"/>
  <c r="BP44" i="9" a="1"/>
  <c r="BP44" i="9" s="1"/>
  <c r="BO45" i="9" a="1"/>
  <c r="BO45" i="9" s="1"/>
  <c r="BN44" i="9" a="1"/>
  <c r="BN44" i="9" s="1"/>
  <c r="BN45" i="9" a="1"/>
  <c r="BN45" i="9" s="1"/>
  <c r="BP45" i="9" a="1"/>
  <c r="BP45" i="9" s="1"/>
  <c r="BJ43" i="9" a="1"/>
  <c r="BJ43" i="9" s="1"/>
  <c r="BR45" i="9" a="1"/>
  <c r="BR45" i="9" s="1"/>
  <c r="BQ44" i="9" a="1"/>
  <c r="BQ44" i="9" s="1"/>
  <c r="BQ45" i="9" a="1"/>
  <c r="BQ45" i="9" s="1"/>
  <c r="BL44" i="9" a="1"/>
  <c r="BL44" i="9" s="1"/>
  <c r="BL43" i="9" a="1"/>
  <c r="BL43" i="9" s="1"/>
  <c r="BM43" i="9" a="1"/>
  <c r="BM43" i="9" s="1"/>
  <c r="BO43" i="9" a="1"/>
  <c r="BO43" i="9" s="1"/>
  <c r="BP43" i="9" a="1"/>
  <c r="BP43" i="9" s="1"/>
  <c r="BQ42" i="9" a="1"/>
  <c r="BQ42" i="9" s="1"/>
  <c r="BP42" i="9" a="1"/>
  <c r="BP42" i="9" s="1"/>
  <c r="BU45" i="9" a="1"/>
  <c r="BU45" i="9" s="1"/>
  <c r="BR43" i="9" a="1"/>
  <c r="BR43" i="9" s="1"/>
  <c r="BR42" i="9" a="1"/>
  <c r="BR42" i="9" s="1"/>
  <c r="BS43" i="9" a="1"/>
  <c r="BS43" i="9" s="1"/>
  <c r="BS45" i="9" a="1"/>
  <c r="BS45" i="9" s="1"/>
  <c r="BS44" i="9" a="1"/>
  <c r="BS44" i="9" s="1"/>
  <c r="BT45" i="9" a="1"/>
  <c r="BT45" i="9" s="1"/>
  <c r="BR44" i="9" a="1"/>
  <c r="BR44" i="9" s="1"/>
  <c r="BT44" i="9" a="1"/>
  <c r="BT44" i="9" s="1"/>
  <c r="BW42" i="9" a="1"/>
  <c r="BW42" i="9" s="1"/>
  <c r="BT42" i="9" a="1"/>
  <c r="BT42" i="9" s="1"/>
  <c r="BS42" i="9" a="1"/>
  <c r="BS42" i="9" s="1"/>
  <c r="BV44" i="9" a="1"/>
  <c r="BV44" i="9" s="1"/>
  <c r="BT43" i="9" a="1"/>
  <c r="BT43" i="9" s="1"/>
  <c r="BU43" i="9" a="1"/>
  <c r="BU43" i="9" s="1"/>
  <c r="BV43" i="9" a="1"/>
  <c r="BV43" i="9" s="1"/>
  <c r="BU44" i="9" a="1"/>
  <c r="BU44" i="9" s="1"/>
  <c r="BW43" i="9" a="1"/>
  <c r="BW43" i="9" s="1"/>
  <c r="BV42" i="9" a="1"/>
  <c r="BV42" i="9" s="1"/>
  <c r="BX45" i="9" a="1"/>
  <c r="BX45" i="9" s="1"/>
  <c r="BV45" i="9" a="1"/>
  <c r="BV45" i="9" s="1"/>
  <c r="AU104" i="13"/>
  <c r="CD80" i="12" l="1"/>
  <c r="AC296" i="31" a="1"/>
  <c r="AC296" i="31" s="1"/>
  <c r="BZ30" i="31"/>
  <c r="AD30" i="31" s="1" a="1"/>
  <c r="AD30" i="31" s="1"/>
  <c r="BY300" i="31"/>
  <c r="CF85" i="12" s="1"/>
  <c r="BZ28" i="31"/>
  <c r="AD28" i="31" s="1" a="1"/>
  <c r="AD28" i="31" s="1"/>
  <c r="BY298" i="31"/>
  <c r="CF82" i="12" s="1"/>
  <c r="BZ29" i="31"/>
  <c r="AD29" i="31" s="1" a="1"/>
  <c r="AD29" i="31" s="1"/>
  <c r="BY299" i="31"/>
  <c r="CF84" i="12" s="1"/>
  <c r="BZ27" i="31"/>
  <c r="AD27" i="31" s="1" a="1"/>
  <c r="AD27" i="31" s="1"/>
  <c r="BY297" i="31"/>
  <c r="CF81" i="12" s="1"/>
  <c r="BX25" i="31"/>
  <c r="BY26" i="31"/>
  <c r="BY296" i="31" s="1"/>
  <c r="CF80" i="12" s="1"/>
  <c r="AI47" i="11" a="1"/>
  <c r="AI47" i="11" s="1"/>
  <c r="G47" i="11" a="1"/>
  <c r="G47" i="11" s="1"/>
  <c r="BA47" i="11" a="1"/>
  <c r="BA47" i="11" s="1"/>
  <c r="AX47" i="11" a="1"/>
  <c r="AX47" i="11" s="1"/>
  <c r="AZ47" i="11" a="1"/>
  <c r="AZ47" i="11" s="1"/>
  <c r="P47" i="11" a="1"/>
  <c r="P47" i="11" s="1"/>
  <c r="BR47" i="11" a="1"/>
  <c r="BR47" i="11" s="1"/>
  <c r="Q47" i="11" a="1"/>
  <c r="Q47" i="11" s="1"/>
  <c r="U47" i="11" a="1"/>
  <c r="U47" i="11" s="1"/>
  <c r="T47" i="11" a="1"/>
  <c r="T47" i="11" s="1"/>
  <c r="BI47" i="11" a="1"/>
  <c r="BI47" i="11" s="1"/>
  <c r="L47" i="11" a="1"/>
  <c r="L47" i="11" s="1"/>
  <c r="AC47" i="11" a="1"/>
  <c r="AC47" i="11" s="1"/>
  <c r="V47" i="11" a="1"/>
  <c r="V47" i="11" s="1"/>
  <c r="BX47" i="11" a="1"/>
  <c r="BX47" i="11" s="1"/>
  <c r="Z47" i="11" a="1"/>
  <c r="Z47" i="11" s="1"/>
  <c r="H47" i="11" a="1"/>
  <c r="H47" i="11" s="1"/>
  <c r="S47" i="11" a="1"/>
  <c r="S47" i="11" s="1"/>
  <c r="AP47" i="11" a="1"/>
  <c r="AP47" i="11" s="1"/>
  <c r="AV47" i="11" a="1"/>
  <c r="AV47" i="11" s="1"/>
  <c r="BS47" i="11" a="1"/>
  <c r="BS47" i="11" s="1"/>
  <c r="BO47" i="11" a="1"/>
  <c r="BO47" i="11" s="1"/>
  <c r="AG47" i="11" a="1"/>
  <c r="AG47" i="11" s="1"/>
  <c r="BM47" i="11" a="1"/>
  <c r="BM47" i="11" s="1"/>
  <c r="AR47" i="11" a="1"/>
  <c r="AR47" i="11" s="1"/>
  <c r="N47" i="11" a="1"/>
  <c r="N47" i="11" s="1"/>
  <c r="BT47" i="11" a="1"/>
  <c r="BT47" i="11" s="1"/>
  <c r="Y47" i="11" a="1"/>
  <c r="Y47" i="11" s="1"/>
  <c r="E47" i="11" a="1"/>
  <c r="E47" i="11" s="1"/>
  <c r="BH47" i="11" a="1"/>
  <c r="BH47" i="11" s="1"/>
  <c r="AE47" i="11" a="1"/>
  <c r="AE47" i="11" s="1"/>
  <c r="AL47" i="11" a="1"/>
  <c r="AL47" i="11" s="1"/>
  <c r="W47" i="11" a="1"/>
  <c r="W47" i="11" s="1"/>
  <c r="AH47" i="11" a="1"/>
  <c r="AH47" i="11" s="1"/>
  <c r="BF47" i="11" a="1"/>
  <c r="BF47" i="11" s="1"/>
  <c r="BK47" i="11" a="1"/>
  <c r="BK47" i="11" s="1"/>
  <c r="AJ47" i="11" a="1"/>
  <c r="AJ47" i="11" s="1"/>
  <c r="BV47" i="11" a="1"/>
  <c r="BV47" i="11" s="1"/>
  <c r="BL47" i="11" a="1"/>
  <c r="BL47" i="11" s="1"/>
  <c r="BU47" i="11" a="1"/>
  <c r="BU47" i="11" s="1"/>
  <c r="AK47" i="11" a="1"/>
  <c r="AK47" i="11" s="1"/>
  <c r="AO47" i="11" a="1"/>
  <c r="AO47" i="11" s="1"/>
  <c r="O47" i="11" a="1"/>
  <c r="O47" i="11" s="1"/>
  <c r="X47" i="11" a="1"/>
  <c r="X47" i="11" s="1"/>
  <c r="BG47" i="11" a="1"/>
  <c r="BG47" i="11" s="1"/>
  <c r="BQ47" i="11" a="1"/>
  <c r="BQ47" i="11" s="1"/>
  <c r="F47" i="11" a="1"/>
  <c r="F47" i="11" s="1"/>
  <c r="AY47" i="11" a="1"/>
  <c r="AY47" i="11" s="1"/>
  <c r="BB47" i="11" a="1"/>
  <c r="BB47" i="11" s="1"/>
  <c r="M47" i="11" a="1"/>
  <c r="M47" i="11" s="1"/>
  <c r="R47" i="11" a="1"/>
  <c r="R47" i="11" s="1"/>
  <c r="AF47" i="11" a="1"/>
  <c r="AF47" i="11" s="1"/>
  <c r="AW47" i="11" a="1"/>
  <c r="AW47" i="11" s="1"/>
  <c r="BE47" i="11" a="1"/>
  <c r="BE47" i="11" s="1"/>
  <c r="AS47" i="11" a="1"/>
  <c r="AS47" i="11" s="1"/>
  <c r="AN47" i="11" a="1"/>
  <c r="AN47" i="11" s="1"/>
  <c r="BD47" i="11" a="1"/>
  <c r="BD47" i="11" s="1"/>
  <c r="AD47" i="11" a="1"/>
  <c r="AD47" i="11" s="1"/>
  <c r="AM47" i="11" a="1"/>
  <c r="AM47" i="11" s="1"/>
  <c r="BP47" i="11" a="1"/>
  <c r="BP47" i="11" s="1"/>
  <c r="AU47" i="11" a="1"/>
  <c r="AU47" i="11" s="1"/>
  <c r="K47" i="11" a="1"/>
  <c r="K47" i="11" s="1"/>
  <c r="BC47" i="11" a="1"/>
  <c r="BC47" i="11" s="1"/>
  <c r="AQ47" i="11" a="1"/>
  <c r="AQ47" i="11" s="1"/>
  <c r="BJ47" i="11" a="1"/>
  <c r="BJ47" i="11" s="1"/>
  <c r="BN47" i="11" a="1"/>
  <c r="BN47" i="11" s="1"/>
  <c r="BW47" i="11" a="1"/>
  <c r="BW47" i="11" s="1"/>
  <c r="AT47" i="11" a="1"/>
  <c r="AT47" i="11" s="1"/>
  <c r="CA27" i="31" l="1"/>
  <c r="BZ297" i="31"/>
  <c r="BZ299" i="31"/>
  <c r="CA29" i="31"/>
  <c r="CA299" i="31" s="1"/>
  <c r="CH84" i="12" s="1"/>
  <c r="CA28" i="31"/>
  <c r="BZ298" i="31"/>
  <c r="CA30" i="31"/>
  <c r="BZ300" i="31"/>
  <c r="BY25" i="31"/>
  <c r="BZ26" i="31"/>
  <c r="AU34" i="13" a="1"/>
  <c r="AU34" i="13" s="1"/>
  <c r="CG84" i="12" l="1"/>
  <c r="AD299" i="31" a="1"/>
  <c r="AD299" i="31" s="1"/>
  <c r="CG82" i="12"/>
  <c r="AD298" i="31" a="1"/>
  <c r="AD298" i="31" s="1"/>
  <c r="BZ296" i="31"/>
  <c r="AD26" i="31" a="1"/>
  <c r="AD26" i="31" s="1"/>
  <c r="AD25" i="31" s="1"/>
  <c r="CG81" i="12"/>
  <c r="AD297" i="31" a="1"/>
  <c r="AD297" i="31" s="1"/>
  <c r="CG85" i="12"/>
  <c r="AD300" i="31" a="1"/>
  <c r="AD300" i="31" s="1"/>
  <c r="CB27" i="31"/>
  <c r="CA297" i="31"/>
  <c r="CH81" i="12" s="1"/>
  <c r="CB30" i="31"/>
  <c r="CA300" i="31"/>
  <c r="CH85" i="12" s="1"/>
  <c r="CB28" i="31"/>
  <c r="CA298" i="31"/>
  <c r="CH82" i="12" s="1"/>
  <c r="CB29" i="31"/>
  <c r="BZ25" i="31"/>
  <c r="CA26" i="31"/>
  <c r="CA296" i="31" s="1"/>
  <c r="CH80" i="12" s="1"/>
  <c r="AU103" i="13"/>
  <c r="AU155" i="13"/>
  <c r="AU164" i="13" l="1"/>
  <c r="CG80" i="12"/>
  <c r="AD296" i="31" a="1"/>
  <c r="AD296" i="31" s="1"/>
  <c r="CC30" i="31"/>
  <c r="CB300" i="31"/>
  <c r="CI85" i="12" s="1"/>
  <c r="CC27" i="31"/>
  <c r="CB297" i="31"/>
  <c r="CI81" i="12" s="1"/>
  <c r="CC29" i="31"/>
  <c r="CB299" i="31"/>
  <c r="CI84" i="12" s="1"/>
  <c r="CC28" i="31"/>
  <c r="CB298" i="31"/>
  <c r="CI82" i="12" s="1"/>
  <c r="CA25" i="31"/>
  <c r="CB26" i="31"/>
  <c r="CB296" i="31" s="1"/>
  <c r="CI80" i="12" s="1"/>
  <c r="AU32" i="13" a="1"/>
  <c r="AU32" i="13" s="1"/>
  <c r="AU24" i="13" a="1"/>
  <c r="AU24" i="13" s="1"/>
  <c r="AU94" i="13"/>
  <c r="BM155" i="29" s="1"/>
  <c r="AU91" i="13"/>
  <c r="AU29" i="13" a="1"/>
  <c r="AU29" i="13" s="1"/>
  <c r="BN110" i="14"/>
  <c r="BO107" i="14" s="1"/>
  <c r="AU80" i="13"/>
  <c r="CC299" i="31" l="1"/>
  <c r="R29" i="31" a="1"/>
  <c r="R29" i="31" s="1"/>
  <c r="R25" i="31" s="1"/>
  <c r="U29" i="31" a="1"/>
  <c r="U29" i="31" s="1"/>
  <c r="M29" i="31" a="1"/>
  <c r="M29" i="31" s="1"/>
  <c r="AE29" i="31" a="1"/>
  <c r="AE29" i="31" s="1"/>
  <c r="CC297" i="31"/>
  <c r="S27" i="31" a="1"/>
  <c r="S27" i="31" s="1"/>
  <c r="T27" i="31" a="1"/>
  <c r="T27" i="31" s="1"/>
  <c r="U27" i="31" a="1"/>
  <c r="U27" i="31" s="1"/>
  <c r="AE27" i="31" a="1"/>
  <c r="AE27" i="31" s="1"/>
  <c r="M27" i="31" a="1"/>
  <c r="M27" i="31" s="1"/>
  <c r="CC300" i="31"/>
  <c r="S30" i="31" a="1"/>
  <c r="S30" i="31" s="1"/>
  <c r="U30" i="31" a="1"/>
  <c r="U30" i="31" s="1"/>
  <c r="M30" i="31" a="1"/>
  <c r="M30" i="31" s="1"/>
  <c r="AE30" i="31" a="1"/>
  <c r="AE30" i="31" s="1"/>
  <c r="CC298" i="31"/>
  <c r="T28" i="31" a="1"/>
  <c r="T28" i="31" s="1"/>
  <c r="M28" i="31" a="1"/>
  <c r="M28" i="31" s="1"/>
  <c r="AE28" i="31" a="1"/>
  <c r="AE28" i="31" s="1"/>
  <c r="CB25" i="31"/>
  <c r="CC26" i="31"/>
  <c r="BM152" i="29"/>
  <c r="BN149" i="29" s="1"/>
  <c r="BM39" i="29"/>
  <c r="BM141" i="22"/>
  <c r="BM144" i="22" s="1"/>
  <c r="AU163" i="13"/>
  <c r="AU154" i="13"/>
  <c r="E68" i="31" l="1" a="1"/>
  <c r="E68" i="31" s="1"/>
  <c r="E72" i="31" a="1"/>
  <c r="E72" i="31" s="1"/>
  <c r="E70" i="31" a="1"/>
  <c r="E70" i="31" s="1"/>
  <c r="E69" i="31" a="1"/>
  <c r="E69" i="31" s="1"/>
  <c r="E66" i="31" a="1"/>
  <c r="E66" i="31" s="1"/>
  <c r="E46" i="31" a="1"/>
  <c r="E46" i="31" s="1"/>
  <c r="E59" i="31" a="1"/>
  <c r="E59" i="31" s="1"/>
  <c r="E78" i="31" a="1"/>
  <c r="E78" i="31" s="1"/>
  <c r="E54" i="31" a="1"/>
  <c r="E54" i="31" s="1"/>
  <c r="E44" i="31" a="1"/>
  <c r="E44" i="31" s="1"/>
  <c r="E49" i="31" a="1"/>
  <c r="E49" i="31" s="1"/>
  <c r="E57" i="31" a="1"/>
  <c r="E57" i="31" s="1"/>
  <c r="T25" i="31"/>
  <c r="E53" i="31" a="1"/>
  <c r="E53" i="31" s="1"/>
  <c r="E40" i="31" a="1"/>
  <c r="E40" i="31" s="1"/>
  <c r="E39" i="31" a="1"/>
  <c r="E39" i="31" s="1"/>
  <c r="E50" i="31" a="1"/>
  <c r="E50" i="31" s="1"/>
  <c r="E37" i="31" a="1"/>
  <c r="E37" i="31" s="1"/>
  <c r="E38" i="31" a="1"/>
  <c r="E38" i="31" s="1"/>
  <c r="E77" i="31" a="1"/>
  <c r="E77" i="31" s="1"/>
  <c r="E80" i="31" a="1"/>
  <c r="E80" i="31" s="1"/>
  <c r="E36" i="31" a="1"/>
  <c r="E36" i="31" s="1"/>
  <c r="E74" i="31" a="1"/>
  <c r="E74" i="31" s="1"/>
  <c r="E52" i="31" a="1"/>
  <c r="E52" i="31" s="1"/>
  <c r="E62" i="31" a="1"/>
  <c r="E62" i="31" s="1"/>
  <c r="E51" i="31" a="1"/>
  <c r="E51" i="31" s="1"/>
  <c r="E81" i="31" a="1"/>
  <c r="E81" i="31" s="1"/>
  <c r="E63" i="31" a="1"/>
  <c r="E63" i="31" s="1"/>
  <c r="E56" i="31" a="1"/>
  <c r="E56" i="31" s="1"/>
  <c r="E48" i="31" a="1"/>
  <c r="E48" i="31" s="1"/>
  <c r="E73" i="31" a="1"/>
  <c r="E73" i="31" s="1"/>
  <c r="E58" i="31" a="1"/>
  <c r="E58" i="31" s="1"/>
  <c r="E76" i="31" a="1"/>
  <c r="E76" i="31" s="1"/>
  <c r="E65" i="31" a="1"/>
  <c r="E65" i="31" s="1"/>
  <c r="E82" i="31" a="1"/>
  <c r="E82" i="31" s="1"/>
  <c r="E55" i="31" a="1"/>
  <c r="E55" i="31" s="1"/>
  <c r="E41" i="31" a="1"/>
  <c r="E41" i="31" s="1"/>
  <c r="E42" i="31" a="1"/>
  <c r="E42" i="31" s="1"/>
  <c r="E79" i="31" a="1"/>
  <c r="E79" i="31" s="1"/>
  <c r="E45" i="31" a="1"/>
  <c r="E45" i="31" s="1"/>
  <c r="E47" i="31" a="1"/>
  <c r="E47" i="31" s="1"/>
  <c r="E67" i="31" a="1"/>
  <c r="E67" i="31" s="1"/>
  <c r="E61" i="31" a="1"/>
  <c r="E61" i="31" s="1"/>
  <c r="E60" i="31" a="1"/>
  <c r="E60" i="31" s="1"/>
  <c r="E43" i="31" a="1"/>
  <c r="E43" i="31" s="1"/>
  <c r="E75" i="31" a="1"/>
  <c r="E75" i="31" s="1"/>
  <c r="E64" i="31" a="1"/>
  <c r="E64" i="31" s="1"/>
  <c r="E71" i="31" a="1"/>
  <c r="E71" i="31" s="1"/>
  <c r="S25" i="31"/>
  <c r="CJ81" i="12"/>
  <c r="R297" i="31" a="1"/>
  <c r="R297" i="31" s="1"/>
  <c r="U297" i="31" a="1"/>
  <c r="U297" i="31" s="1"/>
  <c r="AE297" i="31" a="1"/>
  <c r="AE297" i="31" s="1"/>
  <c r="M297" i="31" a="1"/>
  <c r="M297" i="31" s="1"/>
  <c r="CC296" i="31"/>
  <c r="M26" i="31" a="1"/>
  <c r="M26" i="31" s="1"/>
  <c r="M25" i="31" s="1"/>
  <c r="AE26" i="31" a="1"/>
  <c r="AE26" i="31" s="1"/>
  <c r="AE25" i="31" s="1"/>
  <c r="CJ85" i="12"/>
  <c r="S300" i="31" a="1"/>
  <c r="S300" i="31" s="1"/>
  <c r="U300" i="31" a="1"/>
  <c r="U300" i="31" s="1"/>
  <c r="M300" i="31" a="1"/>
  <c r="M300" i="31" s="1"/>
  <c r="AE300" i="31" a="1"/>
  <c r="AE300" i="31" s="1"/>
  <c r="CJ82" i="12"/>
  <c r="S298" i="31" a="1"/>
  <c r="S298" i="31" s="1"/>
  <c r="T298" i="31" a="1"/>
  <c r="T298" i="31" s="1"/>
  <c r="U298" i="31" a="1"/>
  <c r="U298" i="31" s="1"/>
  <c r="M298" i="31" a="1"/>
  <c r="M298" i="31" s="1"/>
  <c r="AE298" i="31" a="1"/>
  <c r="AE298" i="31" s="1"/>
  <c r="U25" i="31"/>
  <c r="CJ84" i="12"/>
  <c r="AE299" i="31" a="1"/>
  <c r="AE299" i="31" s="1"/>
  <c r="M299" i="31" a="1"/>
  <c r="M299" i="31" s="1"/>
  <c r="E181" i="31" a="1"/>
  <c r="E181" i="31" s="1"/>
  <c r="E235" i="31" a="1"/>
  <c r="E235" i="31" s="1"/>
  <c r="CC235" i="31" s="1" a="1"/>
  <c r="CC235" i="31" s="1"/>
  <c r="E174" i="31" a="1"/>
  <c r="E174" i="31" s="1"/>
  <c r="E205" i="31" a="1"/>
  <c r="E205" i="31" s="1"/>
  <c r="E184" i="31" a="1"/>
  <c r="E184" i="31" s="1"/>
  <c r="CC184" i="31" s="1" a="1"/>
  <c r="CC184" i="31" s="1"/>
  <c r="E142" i="31" a="1"/>
  <c r="E142" i="31" s="1"/>
  <c r="E158" i="31" a="1"/>
  <c r="E158" i="31" s="1"/>
  <c r="E275" i="31" a="1"/>
  <c r="E275" i="31" s="1"/>
  <c r="E211" i="31" a="1"/>
  <c r="E211" i="31" s="1"/>
  <c r="E220" i="31" a="1"/>
  <c r="E220" i="31" s="1"/>
  <c r="E190" i="31" a="1"/>
  <c r="E190" i="31" s="1"/>
  <c r="E225" i="31" a="1"/>
  <c r="E225" i="31" s="1"/>
  <c r="E141" i="31" a="1"/>
  <c r="E141" i="31" s="1"/>
  <c r="E203" i="31" a="1"/>
  <c r="E203" i="31" s="1"/>
  <c r="E226" i="31" a="1"/>
  <c r="E226" i="31" s="1"/>
  <c r="E176" i="31" a="1"/>
  <c r="E176" i="31" s="1"/>
  <c r="E143" i="31" a="1"/>
  <c r="E143" i="31" s="1"/>
  <c r="E209" i="31" a="1"/>
  <c r="E209" i="31" s="1"/>
  <c r="E213" i="31" a="1"/>
  <c r="E213" i="31" s="1"/>
  <c r="E222" i="31" a="1"/>
  <c r="E222" i="31" s="1"/>
  <c r="E153" i="31" a="1"/>
  <c r="E153" i="31" s="1"/>
  <c r="E228" i="31" a="1"/>
  <c r="E228" i="31" s="1"/>
  <c r="E151" i="31" a="1"/>
  <c r="E151" i="31" s="1"/>
  <c r="E198" i="31" a="1"/>
  <c r="E198" i="31" s="1"/>
  <c r="E218" i="31" a="1"/>
  <c r="E218" i="31" s="1"/>
  <c r="E169" i="31" a="1"/>
  <c r="E169" i="31" s="1"/>
  <c r="E224" i="31" a="1"/>
  <c r="E224" i="31" s="1"/>
  <c r="E214" i="31" a="1"/>
  <c r="E214" i="31" s="1"/>
  <c r="E201" i="31" a="1"/>
  <c r="E201" i="31" s="1"/>
  <c r="E178" i="31" a="1"/>
  <c r="E178" i="31" s="1"/>
  <c r="E229" i="31" a="1"/>
  <c r="E229" i="31" s="1"/>
  <c r="E200" i="31" a="1"/>
  <c r="E200" i="31" s="1"/>
  <c r="E241" i="31" a="1"/>
  <c r="E241" i="31" s="1"/>
  <c r="E157" i="31" a="1"/>
  <c r="E157" i="31" s="1"/>
  <c r="E239" i="31" a="1"/>
  <c r="E239" i="31" s="1"/>
  <c r="E232" i="31" a="1"/>
  <c r="E232" i="31" s="1"/>
  <c r="E221" i="31" a="1"/>
  <c r="E221" i="31" s="1"/>
  <c r="E138" i="31" a="1"/>
  <c r="E138" i="31" s="1"/>
  <c r="E163" i="31" a="1"/>
  <c r="E163" i="31" s="1"/>
  <c r="E173" i="31" a="1"/>
  <c r="E173" i="31" s="1"/>
  <c r="E194" i="31" a="1"/>
  <c r="E194" i="31" s="1"/>
  <c r="E144" i="31" a="1"/>
  <c r="E144" i="31" s="1"/>
  <c r="E191" i="31" a="1"/>
  <c r="E191" i="31" s="1"/>
  <c r="E204" i="31" a="1"/>
  <c r="E204" i="31" s="1"/>
  <c r="E227" i="31" a="1"/>
  <c r="E227" i="31" s="1"/>
  <c r="E210" i="31" a="1"/>
  <c r="E210" i="31" s="1"/>
  <c r="E166" i="31" a="1"/>
  <c r="E166" i="31" s="1"/>
  <c r="E208" i="31" a="1"/>
  <c r="E208" i="31" s="1"/>
  <c r="E161" i="31" a="1"/>
  <c r="E161" i="31" s="1"/>
  <c r="E196" i="31" a="1"/>
  <c r="E196" i="31" s="1"/>
  <c r="E146" i="31" a="1"/>
  <c r="E146" i="31" s="1"/>
  <c r="E202" i="31" a="1"/>
  <c r="E202" i="31" s="1"/>
  <c r="E165" i="31" a="1"/>
  <c r="E165" i="31" s="1"/>
  <c r="E139" i="31" a="1"/>
  <c r="E139" i="31" s="1"/>
  <c r="E231" i="31" a="1"/>
  <c r="E231" i="31" s="1"/>
  <c r="E140" i="31" a="1"/>
  <c r="E140" i="31" s="1"/>
  <c r="E160" i="31" a="1"/>
  <c r="E160" i="31" s="1"/>
  <c r="E219" i="31" a="1"/>
  <c r="E219" i="31" s="1"/>
  <c r="E207" i="31" a="1"/>
  <c r="E207" i="31" s="1"/>
  <c r="E147" i="31" a="1"/>
  <c r="E147" i="31" s="1"/>
  <c r="E233" i="31" a="1"/>
  <c r="E233" i="31" s="1"/>
  <c r="E152" i="31" a="1"/>
  <c r="E152" i="31" s="1"/>
  <c r="E234" i="31" a="1"/>
  <c r="E234" i="31" s="1"/>
  <c r="E177" i="31" a="1"/>
  <c r="E177" i="31" s="1"/>
  <c r="E172" i="31" a="1"/>
  <c r="E172" i="31" s="1"/>
  <c r="E150" i="31" a="1"/>
  <c r="E150" i="31" s="1"/>
  <c r="E159" i="31" a="1"/>
  <c r="E159" i="31" s="1"/>
  <c r="E149" i="31" a="1"/>
  <c r="E149" i="31" s="1"/>
  <c r="E216" i="31" a="1"/>
  <c r="E216" i="31" s="1"/>
  <c r="E188" i="31" a="1"/>
  <c r="E188" i="31" s="1"/>
  <c r="E182" i="31" a="1"/>
  <c r="E182" i="31" s="1"/>
  <c r="E206" i="31" a="1"/>
  <c r="E206" i="31" s="1"/>
  <c r="E167" i="31" a="1"/>
  <c r="E167" i="31" s="1"/>
  <c r="E154" i="31" a="1"/>
  <c r="E154" i="31" s="1"/>
  <c r="E137" i="31" a="1"/>
  <c r="E137" i="31" s="1"/>
  <c r="E145" i="31" a="1"/>
  <c r="E145" i="31" s="1"/>
  <c r="E192" i="31" a="1"/>
  <c r="E192" i="31" s="1"/>
  <c r="E179" i="31" a="1"/>
  <c r="E179" i="31" s="1"/>
  <c r="E183" i="31" a="1"/>
  <c r="E183" i="31" s="1"/>
  <c r="E197" i="31" a="1"/>
  <c r="E197" i="31" s="1"/>
  <c r="E189" i="31" a="1"/>
  <c r="E189" i="31" s="1"/>
  <c r="E242" i="31" a="1"/>
  <c r="E242" i="31" s="1"/>
  <c r="E180" i="31" a="1"/>
  <c r="E180" i="31" s="1"/>
  <c r="E168" i="31" a="1"/>
  <c r="E168" i="31" s="1"/>
  <c r="E193" i="31" a="1"/>
  <c r="E193" i="31" s="1"/>
  <c r="E162" i="31" a="1"/>
  <c r="E162" i="31" s="1"/>
  <c r="E230" i="31" a="1"/>
  <c r="E230" i="31" s="1"/>
  <c r="E212" i="31" a="1"/>
  <c r="E212" i="31" s="1"/>
  <c r="E195" i="31" a="1"/>
  <c r="E195" i="31" s="1"/>
  <c r="E240" i="31" a="1"/>
  <c r="E240" i="31" s="1"/>
  <c r="E148" i="31" a="1"/>
  <c r="E148" i="31" s="1"/>
  <c r="E156" i="31" a="1"/>
  <c r="E156" i="31" s="1"/>
  <c r="E223" i="31" a="1"/>
  <c r="E223" i="31" s="1"/>
  <c r="E217" i="31" a="1"/>
  <c r="E217" i="31" s="1"/>
  <c r="E171" i="31" a="1"/>
  <c r="E171" i="31" s="1"/>
  <c r="E164" i="31" a="1"/>
  <c r="E164" i="31" s="1"/>
  <c r="E199" i="31" a="1"/>
  <c r="E199" i="31" s="1"/>
  <c r="E254" i="31" a="1"/>
  <c r="E254" i="31" s="1"/>
  <c r="E273" i="31" a="1"/>
  <c r="E273" i="31" s="1"/>
  <c r="E258" i="31" a="1"/>
  <c r="E258" i="31" s="1"/>
  <c r="E244" i="31" a="1"/>
  <c r="E244" i="31" s="1"/>
  <c r="E250" i="31" a="1"/>
  <c r="E250" i="31" s="1"/>
  <c r="E249" i="31" a="1"/>
  <c r="E249" i="31" s="1"/>
  <c r="E256" i="31" a="1"/>
  <c r="E256" i="31" s="1"/>
  <c r="E259" i="31" a="1"/>
  <c r="E259" i="31" s="1"/>
  <c r="E253" i="31" a="1"/>
  <c r="E253" i="31" s="1"/>
  <c r="E277" i="31" a="1"/>
  <c r="E277" i="31" s="1"/>
  <c r="E279" i="31" a="1"/>
  <c r="E279" i="31" s="1"/>
  <c r="E267" i="31" a="1"/>
  <c r="E267" i="31" s="1"/>
  <c r="E260" i="31" a="1"/>
  <c r="E260" i="31" s="1"/>
  <c r="E170" i="31" a="1"/>
  <c r="E170" i="31" s="1"/>
  <c r="E284" i="31" a="1"/>
  <c r="E284" i="31" s="1"/>
  <c r="E265" i="31" a="1"/>
  <c r="E265" i="31" s="1"/>
  <c r="E245" i="31" a="1"/>
  <c r="E245" i="31" s="1"/>
  <c r="E262" i="31" a="1"/>
  <c r="E262" i="31" s="1"/>
  <c r="E281" i="31" a="1"/>
  <c r="E281" i="31" s="1"/>
  <c r="E215" i="31" a="1"/>
  <c r="E215" i="31" s="1"/>
  <c r="E280" i="31" a="1"/>
  <c r="E280" i="31" s="1"/>
  <c r="E252" i="31" a="1"/>
  <c r="E252" i="31" s="1"/>
  <c r="E276" i="31" a="1"/>
  <c r="E276" i="31" s="1"/>
  <c r="E271" i="31" a="1"/>
  <c r="E271" i="31" s="1"/>
  <c r="E155" i="31" a="1"/>
  <c r="E155" i="31" s="1"/>
  <c r="E248" i="31" a="1"/>
  <c r="E248" i="31" s="1"/>
  <c r="E263" i="31" a="1"/>
  <c r="E263" i="31" s="1"/>
  <c r="E268" i="31" a="1"/>
  <c r="E268" i="31" s="1"/>
  <c r="E269" i="31" a="1"/>
  <c r="E269" i="31" s="1"/>
  <c r="E286" i="31" a="1"/>
  <c r="E286" i="31" s="1"/>
  <c r="CC286" i="31" s="1" a="1"/>
  <c r="CC286" i="31" s="1"/>
  <c r="E278" i="31" a="1"/>
  <c r="E278" i="31" s="1"/>
  <c r="E283" i="31" a="1"/>
  <c r="E283" i="31" s="1"/>
  <c r="E247" i="31" a="1"/>
  <c r="E247" i="31" s="1"/>
  <c r="E255" i="31" a="1"/>
  <c r="E255" i="31" s="1"/>
  <c r="E274" i="31" a="1"/>
  <c r="E274" i="31" s="1"/>
  <c r="E175" i="31" a="1"/>
  <c r="E175" i="31" s="1"/>
  <c r="E266" i="31" a="1"/>
  <c r="E266" i="31" s="1"/>
  <c r="E251" i="31" a="1"/>
  <c r="E251" i="31" s="1"/>
  <c r="E282" i="31" a="1"/>
  <c r="E282" i="31" s="1"/>
  <c r="E285" i="31" a="1"/>
  <c r="E285" i="31" s="1"/>
  <c r="E270" i="31" a="1"/>
  <c r="E270" i="31" s="1"/>
  <c r="E264" i="31" a="1"/>
  <c r="E264" i="31" s="1"/>
  <c r="E246" i="31" a="1"/>
  <c r="E246" i="31" s="1"/>
  <c r="E257" i="31" a="1"/>
  <c r="E257" i="31" s="1"/>
  <c r="E261" i="31" a="1"/>
  <c r="E261" i="31" s="1"/>
  <c r="E243" i="31" a="1"/>
  <c r="E243" i="31" s="1"/>
  <c r="E272" i="31" a="1"/>
  <c r="E272" i="31" s="1"/>
  <c r="CC25" i="31"/>
  <c r="E96" i="31" a="1"/>
  <c r="E96" i="31" s="1"/>
  <c r="E129" i="31" a="1"/>
  <c r="E129" i="31" s="1"/>
  <c r="E104" i="31" a="1"/>
  <c r="E104" i="31" s="1"/>
  <c r="E122" i="31" a="1"/>
  <c r="E122" i="31" s="1"/>
  <c r="E124" i="31" a="1"/>
  <c r="E124" i="31" s="1"/>
  <c r="E35" i="31" a="1"/>
  <c r="E35" i="31" s="1"/>
  <c r="E113" i="31" a="1"/>
  <c r="E113" i="31" s="1"/>
  <c r="E132" i="31" a="1"/>
  <c r="E132" i="31" s="1"/>
  <c r="E120" i="31" a="1"/>
  <c r="E120" i="31" s="1"/>
  <c r="E108" i="31" a="1"/>
  <c r="E108" i="31" s="1"/>
  <c r="E126" i="31" a="1"/>
  <c r="E126" i="31" s="1"/>
  <c r="E111" i="31" a="1"/>
  <c r="E111" i="31" s="1"/>
  <c r="E99" i="31" a="1"/>
  <c r="E99" i="31" s="1"/>
  <c r="E131" i="31" a="1"/>
  <c r="E131" i="31" s="1"/>
  <c r="E92" i="31" a="1"/>
  <c r="E92" i="31" s="1"/>
  <c r="E93" i="31" a="1"/>
  <c r="E93" i="31" s="1"/>
  <c r="E95" i="31" a="1"/>
  <c r="E95" i="31" s="1"/>
  <c r="E125" i="31" a="1"/>
  <c r="E125" i="31" s="1"/>
  <c r="E87" i="31" a="1"/>
  <c r="E87" i="31" s="1"/>
  <c r="E88" i="31" a="1"/>
  <c r="E88" i="31" s="1"/>
  <c r="E94" i="31" a="1"/>
  <c r="E94" i="31" s="1"/>
  <c r="E121" i="31" a="1"/>
  <c r="E121" i="31" s="1"/>
  <c r="E105" i="31" a="1"/>
  <c r="E105" i="31" s="1"/>
  <c r="E130" i="31" a="1"/>
  <c r="E130" i="31" s="1"/>
  <c r="E116" i="31" a="1"/>
  <c r="E116" i="31" s="1"/>
  <c r="E100" i="31" a="1"/>
  <c r="E100" i="31" s="1"/>
  <c r="E106" i="31" a="1"/>
  <c r="E106" i="31" s="1"/>
  <c r="E110" i="31" a="1"/>
  <c r="E110" i="31" s="1"/>
  <c r="E123" i="31" a="1"/>
  <c r="E123" i="31" s="1"/>
  <c r="E107" i="31" a="1"/>
  <c r="E107" i="31" s="1"/>
  <c r="E127" i="31" a="1"/>
  <c r="E127" i="31" s="1"/>
  <c r="E97" i="31" a="1"/>
  <c r="E97" i="31" s="1"/>
  <c r="E112" i="31" a="1"/>
  <c r="E112" i="31" s="1"/>
  <c r="E114" i="31" a="1"/>
  <c r="E114" i="31" s="1"/>
  <c r="E90" i="31" a="1"/>
  <c r="E90" i="31" s="1"/>
  <c r="E91" i="31" a="1"/>
  <c r="E91" i="31" s="1"/>
  <c r="E118" i="31" a="1"/>
  <c r="E118" i="31" s="1"/>
  <c r="E102" i="31" a="1"/>
  <c r="E102" i="31" s="1"/>
  <c r="E89" i="31" a="1"/>
  <c r="E89" i="31" s="1"/>
  <c r="E115" i="31" a="1"/>
  <c r="E115" i="31" s="1"/>
  <c r="E119" i="31" a="1"/>
  <c r="E119" i="31" s="1"/>
  <c r="E128" i="31" a="1"/>
  <c r="E128" i="31" s="1"/>
  <c r="E103" i="31" a="1"/>
  <c r="E103" i="31" s="1"/>
  <c r="E86" i="31" a="1"/>
  <c r="E86" i="31" s="1"/>
  <c r="E117" i="31" a="1"/>
  <c r="E117" i="31" s="1"/>
  <c r="E101" i="31" a="1"/>
  <c r="E101" i="31" s="1"/>
  <c r="E98" i="31" a="1"/>
  <c r="E98" i="31" s="1"/>
  <c r="E133" i="31" a="1"/>
  <c r="E133" i="31" s="1"/>
  <c r="CC133" i="31" s="1" a="1"/>
  <c r="CC133" i="31" s="1"/>
  <c r="E109" i="31" a="1"/>
  <c r="E109" i="31" s="1"/>
  <c r="E80" i="29" a="1"/>
  <c r="E80" i="29" s="1"/>
  <c r="BN138" i="22"/>
  <c r="BM25" i="22"/>
  <c r="E69" i="22" s="1" a="1"/>
  <c r="E69" i="22" s="1"/>
  <c r="CJ80" i="12" l="1"/>
  <c r="S296" i="31" a="1"/>
  <c r="S296" i="31" s="1"/>
  <c r="T296" i="31" a="1"/>
  <c r="T296" i="31" s="1"/>
  <c r="U296" i="31" a="1"/>
  <c r="U296" i="31" s="1"/>
  <c r="AE296" i="31" a="1"/>
  <c r="AE296" i="31" s="1"/>
  <c r="M296" i="31" a="1"/>
  <c r="M296" i="31" s="1"/>
  <c r="BM117" i="31" a="1"/>
  <c r="BM117" i="31" s="1"/>
  <c r="BN117" i="31" a="1"/>
  <c r="BN117" i="31" s="1"/>
  <c r="BO117" i="31" a="1"/>
  <c r="BO117" i="31" s="1"/>
  <c r="BP117" i="31" a="1"/>
  <c r="BP117" i="31" s="1"/>
  <c r="BQ117" i="31" a="1"/>
  <c r="BQ117" i="31" s="1"/>
  <c r="BR117" i="31" a="1"/>
  <c r="BR117" i="31" s="1"/>
  <c r="BS117" i="31" a="1"/>
  <c r="BS117" i="31" s="1"/>
  <c r="BT117" i="31" a="1"/>
  <c r="BT117" i="31" s="1"/>
  <c r="BU117" i="31" a="1"/>
  <c r="BU117" i="31" s="1"/>
  <c r="BV117" i="31" a="1"/>
  <c r="BV117" i="31" s="1"/>
  <c r="BW117" i="31" a="1"/>
  <c r="BW117" i="31" s="1"/>
  <c r="BX117" i="31" a="1"/>
  <c r="BX117" i="31" s="1"/>
  <c r="BY117" i="31" a="1"/>
  <c r="BY117" i="31" s="1"/>
  <c r="BZ117" i="31" a="1"/>
  <c r="BZ117" i="31" s="1"/>
  <c r="CA117" i="31" a="1"/>
  <c r="CA117" i="31" s="1"/>
  <c r="CB117" i="31" a="1"/>
  <c r="CB117" i="31" s="1"/>
  <c r="CC117" i="31" a="1"/>
  <c r="CC117" i="31" s="1"/>
  <c r="BO119" i="31" a="1"/>
  <c r="BO119" i="31" s="1"/>
  <c r="BP119" i="31" a="1"/>
  <c r="BP119" i="31" s="1"/>
  <c r="BQ119" i="31" a="1"/>
  <c r="BQ119" i="31" s="1"/>
  <c r="BR119" i="31" a="1"/>
  <c r="BR119" i="31" s="1"/>
  <c r="BS119" i="31" a="1"/>
  <c r="BS119" i="31" s="1"/>
  <c r="BT119" i="31" a="1"/>
  <c r="BT119" i="31" s="1"/>
  <c r="BU119" i="31" a="1"/>
  <c r="BU119" i="31" s="1"/>
  <c r="BV119" i="31" a="1"/>
  <c r="BV119" i="31" s="1"/>
  <c r="BW119" i="31" a="1"/>
  <c r="BW119" i="31" s="1"/>
  <c r="BX119" i="31" a="1"/>
  <c r="BX119" i="31" s="1"/>
  <c r="BY119" i="31" a="1"/>
  <c r="BY119" i="31" s="1"/>
  <c r="BZ119" i="31" a="1"/>
  <c r="BZ119" i="31" s="1"/>
  <c r="CA119" i="31" a="1"/>
  <c r="CA119" i="31" s="1"/>
  <c r="CB119" i="31" a="1"/>
  <c r="CB119" i="31" s="1"/>
  <c r="CC119" i="31" a="1"/>
  <c r="CC119" i="31" s="1"/>
  <c r="AS46" i="31" a="1"/>
  <c r="AS46" i="31" s="1"/>
  <c r="S46" i="31" s="1"/>
  <c r="AT46" i="31" a="1"/>
  <c r="AT46" i="31" s="1"/>
  <c r="AU46" i="31" a="1"/>
  <c r="AU46" i="31" s="1"/>
  <c r="AV46" i="31" a="1"/>
  <c r="AV46" i="31" s="1"/>
  <c r="AW46" i="31" a="1"/>
  <c r="AW46" i="31" s="1"/>
  <c r="AX46" i="31" a="1"/>
  <c r="AX46" i="31" s="1"/>
  <c r="AY46" i="31" a="1"/>
  <c r="AY46" i="31" s="1"/>
  <c r="AZ46" i="31" a="1"/>
  <c r="AZ46" i="31" s="1"/>
  <c r="BA46" i="31" a="1"/>
  <c r="BA46" i="31" s="1"/>
  <c r="BB46" i="31" a="1"/>
  <c r="BB46" i="31" s="1"/>
  <c r="BC46" i="31" a="1"/>
  <c r="BC46" i="31" s="1"/>
  <c r="BD46" i="31" a="1"/>
  <c r="BD46" i="31" s="1"/>
  <c r="BE46" i="31" a="1"/>
  <c r="BE46" i="31" s="1"/>
  <c r="BF46" i="31" a="1"/>
  <c r="BF46" i="31" s="1"/>
  <c r="BG46" i="31" a="1"/>
  <c r="BG46" i="31" s="1"/>
  <c r="BH46" i="31" a="1"/>
  <c r="BH46" i="31" s="1"/>
  <c r="BI46" i="31" a="1"/>
  <c r="BI46" i="31" s="1"/>
  <c r="BJ46" i="31" a="1"/>
  <c r="BJ46" i="31" s="1"/>
  <c r="BK46" i="31" a="1"/>
  <c r="BK46" i="31" s="1"/>
  <c r="BL46" i="31" a="1"/>
  <c r="BL46" i="31" s="1"/>
  <c r="BM46" i="31" a="1"/>
  <c r="BM46" i="31" s="1"/>
  <c r="BN46" i="31" a="1"/>
  <c r="BN46" i="31" s="1"/>
  <c r="BO46" i="31" a="1"/>
  <c r="BO46" i="31" s="1"/>
  <c r="BP46" i="31" a="1"/>
  <c r="BP46" i="31" s="1"/>
  <c r="BQ46" i="31" a="1"/>
  <c r="BQ46" i="31" s="1"/>
  <c r="BR46" i="31" a="1"/>
  <c r="BR46" i="31" s="1"/>
  <c r="BS46" i="31" a="1"/>
  <c r="BS46" i="31" s="1"/>
  <c r="BT46" i="31" a="1"/>
  <c r="BT46" i="31" s="1"/>
  <c r="BU46" i="31" a="1"/>
  <c r="BU46" i="31" s="1"/>
  <c r="BV46" i="31" a="1"/>
  <c r="BV46" i="31" s="1"/>
  <c r="BW46" i="31" a="1"/>
  <c r="BW46" i="31" s="1"/>
  <c r="BX46" i="31" a="1"/>
  <c r="BX46" i="31" s="1"/>
  <c r="BY46" i="31" a="1"/>
  <c r="BY46" i="31" s="1"/>
  <c r="BZ46" i="31" a="1"/>
  <c r="BZ46" i="31" s="1"/>
  <c r="CA46" i="31" a="1"/>
  <c r="CA46" i="31" s="1"/>
  <c r="CB46" i="31" a="1"/>
  <c r="CB46" i="31" s="1"/>
  <c r="CC46" i="31" a="1"/>
  <c r="CC46" i="31" s="1"/>
  <c r="BW127" i="31" a="1"/>
  <c r="BW127" i="31" s="1"/>
  <c r="BX127" i="31" a="1"/>
  <c r="BX127" i="31" s="1"/>
  <c r="BY127" i="31" a="1"/>
  <c r="BY127" i="31" s="1"/>
  <c r="BZ127" i="31" a="1"/>
  <c r="BZ127" i="31" s="1"/>
  <c r="CA127" i="31" a="1"/>
  <c r="CA127" i="31" s="1"/>
  <c r="CB127" i="31" a="1"/>
  <c r="CB127" i="31" s="1"/>
  <c r="CC127" i="31" a="1"/>
  <c r="CC127" i="31" s="1"/>
  <c r="AJ37" i="31" a="1"/>
  <c r="AJ37" i="31" s="1"/>
  <c r="AK37" i="31" a="1"/>
  <c r="AK37" i="31" s="1"/>
  <c r="AL37" i="31" a="1"/>
  <c r="AL37" i="31" s="1"/>
  <c r="AM37" i="31" a="1"/>
  <c r="AM37" i="31" s="1"/>
  <c r="AN37" i="31" a="1"/>
  <c r="AN37" i="31" s="1"/>
  <c r="AO37" i="31" a="1"/>
  <c r="AO37" i="31" s="1"/>
  <c r="AP37" i="31" a="1"/>
  <c r="AP37" i="31" s="1"/>
  <c r="AQ37" i="31" a="1"/>
  <c r="AQ37" i="31" s="1"/>
  <c r="AR37" i="31" a="1"/>
  <c r="AR37" i="31" s="1"/>
  <c r="AS37" i="31" a="1"/>
  <c r="AS37" i="31" s="1"/>
  <c r="AT37" i="31" a="1"/>
  <c r="AT37" i="31" s="1"/>
  <c r="AU37" i="31" a="1"/>
  <c r="AU37" i="31" s="1"/>
  <c r="AV37" i="31" a="1"/>
  <c r="AV37" i="31" s="1"/>
  <c r="AW37" i="31" a="1"/>
  <c r="AW37" i="31" s="1"/>
  <c r="AX37" i="31" a="1"/>
  <c r="AX37" i="31" s="1"/>
  <c r="AY37" i="31" a="1"/>
  <c r="AY37" i="31" s="1"/>
  <c r="AZ37" i="31" a="1"/>
  <c r="AZ37" i="31" s="1"/>
  <c r="BA37" i="31" a="1"/>
  <c r="BA37" i="31" s="1"/>
  <c r="BB37" i="31" a="1"/>
  <c r="BB37" i="31" s="1"/>
  <c r="BC37" i="31" a="1"/>
  <c r="BC37" i="31" s="1"/>
  <c r="BD37" i="31" a="1"/>
  <c r="BD37" i="31" s="1"/>
  <c r="BE37" i="31" a="1"/>
  <c r="BE37" i="31" s="1"/>
  <c r="BF37" i="31" a="1"/>
  <c r="BF37" i="31" s="1"/>
  <c r="BG37" i="31" a="1"/>
  <c r="BG37" i="31" s="1"/>
  <c r="BH37" i="31" a="1"/>
  <c r="BH37" i="31" s="1"/>
  <c r="BI37" i="31" a="1"/>
  <c r="BI37" i="31" s="1"/>
  <c r="BJ37" i="31" a="1"/>
  <c r="BJ37" i="31" s="1"/>
  <c r="BK37" i="31" a="1"/>
  <c r="BK37" i="31" s="1"/>
  <c r="BL37" i="31" a="1"/>
  <c r="BL37" i="31" s="1"/>
  <c r="BM37" i="31" a="1"/>
  <c r="BM37" i="31" s="1"/>
  <c r="BN37" i="31" a="1"/>
  <c r="BN37" i="31" s="1"/>
  <c r="BO37" i="31" a="1"/>
  <c r="BO37" i="31" s="1"/>
  <c r="BP37" i="31" a="1"/>
  <c r="BP37" i="31" s="1"/>
  <c r="BQ37" i="31" a="1"/>
  <c r="BQ37" i="31" s="1"/>
  <c r="BR37" i="31" a="1"/>
  <c r="BR37" i="31" s="1"/>
  <c r="BS37" i="31" a="1"/>
  <c r="BS37" i="31" s="1"/>
  <c r="BT37" i="31" a="1"/>
  <c r="BT37" i="31" s="1"/>
  <c r="BU37" i="31" a="1"/>
  <c r="BU37" i="31" s="1"/>
  <c r="BV37" i="31" a="1"/>
  <c r="BV37" i="31" s="1"/>
  <c r="BW37" i="31" a="1"/>
  <c r="BW37" i="31" s="1"/>
  <c r="BX37" i="31" a="1"/>
  <c r="BX37" i="31" s="1"/>
  <c r="BY37" i="31" a="1"/>
  <c r="BY37" i="31" s="1"/>
  <c r="BZ37" i="31" a="1"/>
  <c r="BZ37" i="31" s="1"/>
  <c r="CA37" i="31" a="1"/>
  <c r="CA37" i="31" s="1"/>
  <c r="CB37" i="31" a="1"/>
  <c r="CB37" i="31" s="1"/>
  <c r="CC37" i="31" a="1"/>
  <c r="CC37" i="31" s="1"/>
  <c r="BL116" i="31" a="1"/>
  <c r="BL116" i="31" s="1"/>
  <c r="BM116" i="31" a="1"/>
  <c r="BM116" i="31" s="1"/>
  <c r="BN116" i="31" a="1"/>
  <c r="BN116" i="31" s="1"/>
  <c r="BO116" i="31" a="1"/>
  <c r="BO116" i="31" s="1"/>
  <c r="BP116" i="31" a="1"/>
  <c r="BP116" i="31" s="1"/>
  <c r="BQ116" i="31" a="1"/>
  <c r="BQ116" i="31" s="1"/>
  <c r="BR116" i="31" a="1"/>
  <c r="BR116" i="31" s="1"/>
  <c r="BS116" i="31" a="1"/>
  <c r="BS116" i="31" s="1"/>
  <c r="BT116" i="31" a="1"/>
  <c r="BT116" i="31" s="1"/>
  <c r="BU116" i="31" a="1"/>
  <c r="BU116" i="31" s="1"/>
  <c r="BV116" i="31" a="1"/>
  <c r="BV116" i="31" s="1"/>
  <c r="BW116" i="31" a="1"/>
  <c r="BW116" i="31" s="1"/>
  <c r="BX116" i="31" a="1"/>
  <c r="BX116" i="31" s="1"/>
  <c r="BY116" i="31" a="1"/>
  <c r="BY116" i="31" s="1"/>
  <c r="BZ116" i="31" a="1"/>
  <c r="BZ116" i="31" s="1"/>
  <c r="CA116" i="31" a="1"/>
  <c r="CA116" i="31" s="1"/>
  <c r="CB116" i="31" a="1"/>
  <c r="CB116" i="31" s="1"/>
  <c r="CC116" i="31" a="1"/>
  <c r="CC116" i="31" s="1"/>
  <c r="BO68" i="31" a="1"/>
  <c r="BO68" i="31" s="1"/>
  <c r="BP68" i="31" a="1"/>
  <c r="BP68" i="31" s="1"/>
  <c r="BQ68" i="31" a="1"/>
  <c r="BQ68" i="31" s="1"/>
  <c r="BR68" i="31" a="1"/>
  <c r="BR68" i="31" s="1"/>
  <c r="BS68" i="31" a="1"/>
  <c r="BS68" i="31" s="1"/>
  <c r="BT68" i="31" a="1"/>
  <c r="BT68" i="31" s="1"/>
  <c r="BU68" i="31" a="1"/>
  <c r="BU68" i="31" s="1"/>
  <c r="BV68" i="31" a="1"/>
  <c r="BV68" i="31" s="1"/>
  <c r="BW68" i="31" a="1"/>
  <c r="BW68" i="31" s="1"/>
  <c r="BX68" i="31" a="1"/>
  <c r="BX68" i="31" s="1"/>
  <c r="BY68" i="31" a="1"/>
  <c r="BY68" i="31" s="1"/>
  <c r="BZ68" i="31" a="1"/>
  <c r="BZ68" i="31" s="1"/>
  <c r="CA68" i="31" a="1"/>
  <c r="CA68" i="31" s="1"/>
  <c r="CB68" i="31" a="1"/>
  <c r="CB68" i="31" s="1"/>
  <c r="CC68" i="31" a="1"/>
  <c r="CC68" i="31" s="1"/>
  <c r="AQ95" i="31" a="1"/>
  <c r="AQ95" i="31" s="1"/>
  <c r="AR95" i="31" a="1"/>
  <c r="AR95" i="31" s="1"/>
  <c r="AS95" i="31" a="1"/>
  <c r="AS95" i="31" s="1"/>
  <c r="AT95" i="31" a="1"/>
  <c r="AT95" i="31" s="1"/>
  <c r="AU95" i="31" a="1"/>
  <c r="AU95" i="31" s="1"/>
  <c r="AV95" i="31" a="1"/>
  <c r="AV95" i="31" s="1"/>
  <c r="AW95" i="31" a="1"/>
  <c r="AW95" i="31" s="1"/>
  <c r="AX95" i="31" a="1"/>
  <c r="AX95" i="31" s="1"/>
  <c r="AY95" i="31" a="1"/>
  <c r="AY95" i="31" s="1"/>
  <c r="AZ95" i="31" a="1"/>
  <c r="AZ95" i="31" s="1"/>
  <c r="BA95" i="31" a="1"/>
  <c r="BA95" i="31" s="1"/>
  <c r="BB95" i="31" a="1"/>
  <c r="BB95" i="31" s="1"/>
  <c r="BC95" i="31" a="1"/>
  <c r="BC95" i="31" s="1"/>
  <c r="BD95" i="31" a="1"/>
  <c r="BD95" i="31" s="1"/>
  <c r="BE95" i="31" a="1"/>
  <c r="BE95" i="31" s="1"/>
  <c r="BF95" i="31" a="1"/>
  <c r="BF95" i="31" s="1"/>
  <c r="BG95" i="31" a="1"/>
  <c r="BG95" i="31" s="1"/>
  <c r="BH95" i="31" a="1"/>
  <c r="BH95" i="31" s="1"/>
  <c r="BI95" i="31" a="1"/>
  <c r="BI95" i="31" s="1"/>
  <c r="BJ95" i="31" a="1"/>
  <c r="BJ95" i="31" s="1"/>
  <c r="BK95" i="31" a="1"/>
  <c r="BK95" i="31" s="1"/>
  <c r="BL95" i="31" a="1"/>
  <c r="BL95" i="31" s="1"/>
  <c r="BM95" i="31" a="1"/>
  <c r="BM95" i="31" s="1"/>
  <c r="BN95" i="31" a="1"/>
  <c r="BN95" i="31" s="1"/>
  <c r="BO95" i="31" a="1"/>
  <c r="BO95" i="31" s="1"/>
  <c r="BP95" i="31" a="1"/>
  <c r="BP95" i="31" s="1"/>
  <c r="BQ95" i="31" a="1"/>
  <c r="BQ95" i="31" s="1"/>
  <c r="BR95" i="31" a="1"/>
  <c r="BR95" i="31" s="1"/>
  <c r="BS95" i="31" a="1"/>
  <c r="BS95" i="31" s="1"/>
  <c r="BT95" i="31" a="1"/>
  <c r="BT95" i="31" s="1"/>
  <c r="BU95" i="31" a="1"/>
  <c r="BU95" i="31" s="1"/>
  <c r="BV95" i="31" a="1"/>
  <c r="BV95" i="31" s="1"/>
  <c r="BW95" i="31" a="1"/>
  <c r="BW95" i="31" s="1"/>
  <c r="BX95" i="31" a="1"/>
  <c r="BX95" i="31" s="1"/>
  <c r="BY95" i="31" a="1"/>
  <c r="BY95" i="31" s="1"/>
  <c r="BZ95" i="31" a="1"/>
  <c r="BZ95" i="31" s="1"/>
  <c r="CA95" i="31" a="1"/>
  <c r="CA95" i="31" s="1"/>
  <c r="CB95" i="31" a="1"/>
  <c r="CB95" i="31" s="1"/>
  <c r="CC95" i="31" a="1"/>
  <c r="CC95" i="31" s="1"/>
  <c r="AU99" i="31" a="1"/>
  <c r="AU99" i="31" s="1"/>
  <c r="AV99" i="31" a="1"/>
  <c r="AV99" i="31" s="1"/>
  <c r="AW99" i="31" a="1"/>
  <c r="AW99" i="31" s="1"/>
  <c r="AX99" i="31" a="1"/>
  <c r="AX99" i="31" s="1"/>
  <c r="AY99" i="31" a="1"/>
  <c r="AY99" i="31" s="1"/>
  <c r="AZ99" i="31" a="1"/>
  <c r="AZ99" i="31" s="1"/>
  <c r="BA99" i="31" a="1"/>
  <c r="BA99" i="31" s="1"/>
  <c r="BB99" i="31" a="1"/>
  <c r="BB99" i="31" s="1"/>
  <c r="BC99" i="31" a="1"/>
  <c r="BC99" i="31" s="1"/>
  <c r="BD99" i="31" a="1"/>
  <c r="BD99" i="31" s="1"/>
  <c r="BE99" i="31" a="1"/>
  <c r="BE99" i="31" s="1"/>
  <c r="BF99" i="31" a="1"/>
  <c r="BF99" i="31" s="1"/>
  <c r="BG99" i="31" a="1"/>
  <c r="BG99" i="31" s="1"/>
  <c r="BH99" i="31" a="1"/>
  <c r="BH99" i="31" s="1"/>
  <c r="BI99" i="31" a="1"/>
  <c r="BI99" i="31" s="1"/>
  <c r="BJ99" i="31" a="1"/>
  <c r="BJ99" i="31" s="1"/>
  <c r="BK99" i="31" a="1"/>
  <c r="BK99" i="31" s="1"/>
  <c r="BL99" i="31" a="1"/>
  <c r="BL99" i="31" s="1"/>
  <c r="BM99" i="31" a="1"/>
  <c r="BM99" i="31" s="1"/>
  <c r="BN99" i="31" a="1"/>
  <c r="BN99" i="31" s="1"/>
  <c r="BO99" i="31" a="1"/>
  <c r="BO99" i="31" s="1"/>
  <c r="BP99" i="31" a="1"/>
  <c r="BP99" i="31" s="1"/>
  <c r="BQ99" i="31" a="1"/>
  <c r="BQ99" i="31" s="1"/>
  <c r="BR99" i="31" a="1"/>
  <c r="BR99" i="31" s="1"/>
  <c r="BS99" i="31" a="1"/>
  <c r="BS99" i="31" s="1"/>
  <c r="BT99" i="31" a="1"/>
  <c r="BT99" i="31" s="1"/>
  <c r="BU99" i="31" a="1"/>
  <c r="BU99" i="31" s="1"/>
  <c r="BV99" i="31" a="1"/>
  <c r="BV99" i="31" s="1"/>
  <c r="BW99" i="31" a="1"/>
  <c r="BW99" i="31" s="1"/>
  <c r="BX99" i="31" a="1"/>
  <c r="BX99" i="31" s="1"/>
  <c r="BY99" i="31" a="1"/>
  <c r="BY99" i="31" s="1"/>
  <c r="BZ99" i="31" a="1"/>
  <c r="BZ99" i="31" s="1"/>
  <c r="CA99" i="31" a="1"/>
  <c r="CA99" i="31" s="1"/>
  <c r="CB99" i="31" a="1"/>
  <c r="CB99" i="31" s="1"/>
  <c r="CC99" i="31" a="1"/>
  <c r="CC99" i="31" s="1"/>
  <c r="AM40" i="31" a="1"/>
  <c r="AM40" i="31" s="1"/>
  <c r="Q40" i="31" s="1"/>
  <c r="AN40" i="31" a="1"/>
  <c r="AN40" i="31" s="1"/>
  <c r="AO40" i="31" a="1"/>
  <c r="AO40" i="31" s="1"/>
  <c r="AP40" i="31" a="1"/>
  <c r="AP40" i="31" s="1"/>
  <c r="AQ40" i="31" a="1"/>
  <c r="AQ40" i="31" s="1"/>
  <c r="AR40" i="31" a="1"/>
  <c r="AR40" i="31" s="1"/>
  <c r="AS40" i="31" a="1"/>
  <c r="AS40" i="31" s="1"/>
  <c r="AT40" i="31" a="1"/>
  <c r="AT40" i="31" s="1"/>
  <c r="AU40" i="31" a="1"/>
  <c r="AU40" i="31" s="1"/>
  <c r="AV40" i="31" a="1"/>
  <c r="AV40" i="31" s="1"/>
  <c r="AW40" i="31" a="1"/>
  <c r="AW40" i="31" s="1"/>
  <c r="AX40" i="31" a="1"/>
  <c r="AX40" i="31" s="1"/>
  <c r="AY40" i="31" a="1"/>
  <c r="AY40" i="31" s="1"/>
  <c r="AZ40" i="31" a="1"/>
  <c r="AZ40" i="31" s="1"/>
  <c r="BA40" i="31" a="1"/>
  <c r="BA40" i="31" s="1"/>
  <c r="BB40" i="31" a="1"/>
  <c r="BB40" i="31" s="1"/>
  <c r="BC40" i="31" a="1"/>
  <c r="BC40" i="31" s="1"/>
  <c r="BD40" i="31" a="1"/>
  <c r="BD40" i="31" s="1"/>
  <c r="BE40" i="31" a="1"/>
  <c r="BE40" i="31" s="1"/>
  <c r="BF40" i="31" a="1"/>
  <c r="BF40" i="31" s="1"/>
  <c r="BG40" i="31" a="1"/>
  <c r="BG40" i="31" s="1"/>
  <c r="BH40" i="31" a="1"/>
  <c r="BH40" i="31" s="1"/>
  <c r="BI40" i="31" a="1"/>
  <c r="BI40" i="31" s="1"/>
  <c r="BJ40" i="31" a="1"/>
  <c r="BJ40" i="31" s="1"/>
  <c r="BK40" i="31" a="1"/>
  <c r="BK40" i="31" s="1"/>
  <c r="BL40" i="31" a="1"/>
  <c r="BL40" i="31" s="1"/>
  <c r="BM40" i="31" a="1"/>
  <c r="BM40" i="31" s="1"/>
  <c r="BN40" i="31" a="1"/>
  <c r="BN40" i="31" s="1"/>
  <c r="BO40" i="31" a="1"/>
  <c r="BO40" i="31" s="1"/>
  <c r="BP40" i="31" a="1"/>
  <c r="BP40" i="31" s="1"/>
  <c r="BQ40" i="31" a="1"/>
  <c r="BQ40" i="31" s="1"/>
  <c r="BR40" i="31" a="1"/>
  <c r="BR40" i="31" s="1"/>
  <c r="BS40" i="31" a="1"/>
  <c r="BS40" i="31" s="1"/>
  <c r="BT40" i="31" a="1"/>
  <c r="BT40" i="31" s="1"/>
  <c r="BU40" i="31" a="1"/>
  <c r="BU40" i="31" s="1"/>
  <c r="BV40" i="31" a="1"/>
  <c r="BV40" i="31" s="1"/>
  <c r="BW40" i="31" a="1"/>
  <c r="BW40" i="31" s="1"/>
  <c r="BX40" i="31" a="1"/>
  <c r="BX40" i="31" s="1"/>
  <c r="BY40" i="31" a="1"/>
  <c r="BY40" i="31" s="1"/>
  <c r="BZ40" i="31" a="1"/>
  <c r="BZ40" i="31" s="1"/>
  <c r="CA40" i="31" a="1"/>
  <c r="CA40" i="31" s="1"/>
  <c r="CB40" i="31" a="1"/>
  <c r="CB40" i="31" s="1"/>
  <c r="CC40" i="31" a="1"/>
  <c r="CC40" i="31" s="1"/>
  <c r="BR122" i="31" a="1"/>
  <c r="BR122" i="31" s="1"/>
  <c r="BS122" i="31" a="1"/>
  <c r="BS122" i="31" s="1"/>
  <c r="BT122" i="31" a="1"/>
  <c r="BT122" i="31" s="1"/>
  <c r="BU122" i="31" a="1"/>
  <c r="BU122" i="31" s="1"/>
  <c r="BV122" i="31" a="1"/>
  <c r="BV122" i="31" s="1"/>
  <c r="BW122" i="31" a="1"/>
  <c r="BW122" i="31" s="1"/>
  <c r="BX122" i="31" a="1"/>
  <c r="BX122" i="31" s="1"/>
  <c r="BY122" i="31" a="1"/>
  <c r="BY122" i="31" s="1"/>
  <c r="BZ122" i="31" a="1"/>
  <c r="BZ122" i="31" s="1"/>
  <c r="CA122" i="31" a="1"/>
  <c r="CA122" i="31" s="1"/>
  <c r="CB122" i="31" a="1"/>
  <c r="CB122" i="31" s="1"/>
  <c r="CC122" i="31" a="1"/>
  <c r="CC122" i="31" s="1"/>
  <c r="BX272" i="31" a="1"/>
  <c r="BX272" i="31" s="1"/>
  <c r="BO272" i="31" a="1"/>
  <c r="BO272" i="31" s="1"/>
  <c r="BP272" i="31" a="1"/>
  <c r="BP272" i="31" s="1"/>
  <c r="BQ272" i="31" a="1"/>
  <c r="BQ272" i="31" s="1"/>
  <c r="BR272" i="31" a="1"/>
  <c r="BR272" i="31" s="1"/>
  <c r="BS272" i="31" a="1"/>
  <c r="BS272" i="31" s="1"/>
  <c r="BT272" i="31" a="1"/>
  <c r="BT272" i="31" s="1"/>
  <c r="BU272" i="31" a="1"/>
  <c r="BU272" i="31" s="1"/>
  <c r="BV272" i="31" a="1"/>
  <c r="BV272" i="31" s="1"/>
  <c r="BW272" i="31" a="1"/>
  <c r="BW272" i="31" s="1"/>
  <c r="BY272" i="31" a="1"/>
  <c r="BY272" i="31" s="1"/>
  <c r="BZ272" i="31" a="1"/>
  <c r="BZ272" i="31" s="1"/>
  <c r="CA272" i="31" a="1"/>
  <c r="CA272" i="31" s="1"/>
  <c r="CB272" i="31" a="1"/>
  <c r="CB272" i="31" s="1"/>
  <c r="CC272" i="31" a="1"/>
  <c r="CC272" i="31" s="1"/>
  <c r="CB282" i="31" a="1"/>
  <c r="CB282" i="31" s="1"/>
  <c r="BY282" i="31" a="1"/>
  <c r="BY282" i="31" s="1"/>
  <c r="BZ282" i="31" a="1"/>
  <c r="BZ282" i="31" s="1"/>
  <c r="CA282" i="31" a="1"/>
  <c r="CA282" i="31" s="1"/>
  <c r="CC282" i="31" a="1"/>
  <c r="CC282" i="31" s="1"/>
  <c r="BY278" i="31" a="1"/>
  <c r="BY278" i="31" s="1"/>
  <c r="BU278" i="31" a="1"/>
  <c r="BU278" i="31" s="1"/>
  <c r="BV278" i="31" a="1"/>
  <c r="BV278" i="31" s="1"/>
  <c r="BW278" i="31" a="1"/>
  <c r="BW278" i="31" s="1"/>
  <c r="BX278" i="31" a="1"/>
  <c r="BX278" i="31" s="1"/>
  <c r="BZ278" i="31" a="1"/>
  <c r="BZ278" i="31" s="1"/>
  <c r="CA278" i="31" a="1"/>
  <c r="CA278" i="31" s="1"/>
  <c r="CB278" i="31" a="1"/>
  <c r="CB278" i="31" s="1"/>
  <c r="CC278" i="31" a="1"/>
  <c r="CC278" i="31" s="1"/>
  <c r="BU276" i="31" a="1"/>
  <c r="BU276" i="31" s="1"/>
  <c r="BS276" i="31" a="1"/>
  <c r="BS276" i="31" s="1"/>
  <c r="BT276" i="31" a="1"/>
  <c r="BT276" i="31" s="1"/>
  <c r="BV276" i="31" a="1"/>
  <c r="BV276" i="31" s="1"/>
  <c r="BW276" i="31" a="1"/>
  <c r="BW276" i="31" s="1"/>
  <c r="BX276" i="31" a="1"/>
  <c r="BX276" i="31" s="1"/>
  <c r="BY276" i="31" a="1"/>
  <c r="BY276" i="31" s="1"/>
  <c r="BZ276" i="31" a="1"/>
  <c r="BZ276" i="31" s="1"/>
  <c r="CA276" i="31" a="1"/>
  <c r="CA276" i="31" s="1"/>
  <c r="CB276" i="31" a="1"/>
  <c r="CB276" i="31" s="1"/>
  <c r="CC276" i="31" a="1"/>
  <c r="CC276" i="31" s="1"/>
  <c r="CC284" i="31" a="1"/>
  <c r="CC284" i="31" s="1"/>
  <c r="CA284" i="31" a="1"/>
  <c r="CA284" i="31" s="1"/>
  <c r="CB284" i="31" a="1"/>
  <c r="CB284" i="31" s="1"/>
  <c r="BW256" i="31" a="1"/>
  <c r="BW256" i="31" s="1"/>
  <c r="AY256" i="31" a="1"/>
  <c r="AY256" i="31" s="1"/>
  <c r="AZ256" i="31" a="1"/>
  <c r="AZ256" i="31" s="1"/>
  <c r="BA256" i="31" a="1"/>
  <c r="BA256" i="31" s="1"/>
  <c r="BB256" i="31" a="1"/>
  <c r="BB256" i="31" s="1"/>
  <c r="BC256" i="31" a="1"/>
  <c r="BC256" i="31" s="1"/>
  <c r="BD256" i="31" a="1"/>
  <c r="BD256" i="31" s="1"/>
  <c r="BE256" i="31" a="1"/>
  <c r="BE256" i="31" s="1"/>
  <c r="BF256" i="31" a="1"/>
  <c r="BF256" i="31" s="1"/>
  <c r="BG256" i="31" a="1"/>
  <c r="BG256" i="31" s="1"/>
  <c r="BH256" i="31" a="1"/>
  <c r="BH256" i="31" s="1"/>
  <c r="BI256" i="31" a="1"/>
  <c r="BI256" i="31" s="1"/>
  <c r="BJ256" i="31" a="1"/>
  <c r="BJ256" i="31" s="1"/>
  <c r="BK256" i="31" a="1"/>
  <c r="BK256" i="31" s="1"/>
  <c r="BL256" i="31" a="1"/>
  <c r="BL256" i="31" s="1"/>
  <c r="BM256" i="31" a="1"/>
  <c r="BM256" i="31" s="1"/>
  <c r="BN256" i="31" a="1"/>
  <c r="BN256" i="31" s="1"/>
  <c r="BO256" i="31" a="1"/>
  <c r="BO256" i="31" s="1"/>
  <c r="BP256" i="31" a="1"/>
  <c r="BP256" i="31" s="1"/>
  <c r="BQ256" i="31" a="1"/>
  <c r="BQ256" i="31" s="1"/>
  <c r="BR256" i="31" a="1"/>
  <c r="BR256" i="31" s="1"/>
  <c r="BS256" i="31" a="1"/>
  <c r="BS256" i="31" s="1"/>
  <c r="BT256" i="31" a="1"/>
  <c r="BT256" i="31" s="1"/>
  <c r="BU256" i="31" a="1"/>
  <c r="BU256" i="31" s="1"/>
  <c r="BV256" i="31" a="1"/>
  <c r="BV256" i="31" s="1"/>
  <c r="BX256" i="31" a="1"/>
  <c r="BX256" i="31" s="1"/>
  <c r="BY256" i="31" a="1"/>
  <c r="BY256" i="31" s="1"/>
  <c r="BZ256" i="31" a="1"/>
  <c r="BZ256" i="31" s="1"/>
  <c r="CA256" i="31" a="1"/>
  <c r="CA256" i="31" s="1"/>
  <c r="CB256" i="31" a="1"/>
  <c r="CB256" i="31" s="1"/>
  <c r="CC256" i="31" a="1"/>
  <c r="CC256" i="31" s="1"/>
  <c r="BI164" i="31" a="1"/>
  <c r="BI164" i="31" s="1"/>
  <c r="BJ164" i="31" a="1"/>
  <c r="BJ164" i="31" s="1"/>
  <c r="BK164" i="31" a="1"/>
  <c r="BK164" i="31" s="1"/>
  <c r="BL164" i="31" a="1"/>
  <c r="BL164" i="31" s="1"/>
  <c r="BM164" i="31" a="1"/>
  <c r="BM164" i="31" s="1"/>
  <c r="BN164" i="31" a="1"/>
  <c r="BN164" i="31" s="1"/>
  <c r="BO164" i="31" a="1"/>
  <c r="BO164" i="31" s="1"/>
  <c r="BP164" i="31" a="1"/>
  <c r="BP164" i="31" s="1"/>
  <c r="BQ164" i="31" a="1"/>
  <c r="BQ164" i="31" s="1"/>
  <c r="BR164" i="31" a="1"/>
  <c r="BR164" i="31" s="1"/>
  <c r="BS164" i="31" a="1"/>
  <c r="BS164" i="31" s="1"/>
  <c r="BT164" i="31" a="1"/>
  <c r="BT164" i="31" s="1"/>
  <c r="BU164" i="31" a="1"/>
  <c r="BU164" i="31" s="1"/>
  <c r="BV164" i="31" a="1"/>
  <c r="BV164" i="31" s="1"/>
  <c r="BW164" i="31" a="1"/>
  <c r="BW164" i="31" s="1"/>
  <c r="BX164" i="31" a="1"/>
  <c r="BX164" i="31" s="1"/>
  <c r="BY164" i="31" a="1"/>
  <c r="BY164" i="31" s="1"/>
  <c r="BZ164" i="31" a="1"/>
  <c r="BZ164" i="31" s="1"/>
  <c r="CA164" i="31" a="1"/>
  <c r="CA164" i="31" s="1"/>
  <c r="CB164" i="31" a="1"/>
  <c r="CB164" i="31" s="1"/>
  <c r="CC164" i="31" a="1"/>
  <c r="CC164" i="31" s="1"/>
  <c r="BF212" i="31" a="1"/>
  <c r="BF212" i="31" s="1"/>
  <c r="BG212" i="31" a="1"/>
  <c r="BG212" i="31" s="1"/>
  <c r="BH212" i="31" a="1"/>
  <c r="BH212" i="31" s="1"/>
  <c r="BI212" i="31" a="1"/>
  <c r="BI212" i="31" s="1"/>
  <c r="BJ212" i="31" a="1"/>
  <c r="BJ212" i="31" s="1"/>
  <c r="BK212" i="31" a="1"/>
  <c r="BK212" i="31" s="1"/>
  <c r="BL212" i="31" a="1"/>
  <c r="BL212" i="31" s="1"/>
  <c r="BM212" i="31" a="1"/>
  <c r="BM212" i="31" s="1"/>
  <c r="BN212" i="31" a="1"/>
  <c r="BN212" i="31" s="1"/>
  <c r="BO212" i="31" a="1"/>
  <c r="BO212" i="31" s="1"/>
  <c r="BP212" i="31" a="1"/>
  <c r="BP212" i="31" s="1"/>
  <c r="BQ212" i="31" a="1"/>
  <c r="BQ212" i="31" s="1"/>
  <c r="BR212" i="31" a="1"/>
  <c r="BR212" i="31" s="1"/>
  <c r="BS212" i="31" a="1"/>
  <c r="BS212" i="31" s="1"/>
  <c r="BT212" i="31" a="1"/>
  <c r="BT212" i="31" s="1"/>
  <c r="BU212" i="31" a="1"/>
  <c r="BU212" i="31" s="1"/>
  <c r="BV212" i="31" a="1"/>
  <c r="BV212" i="31" s="1"/>
  <c r="BW212" i="31" a="1"/>
  <c r="BW212" i="31" s="1"/>
  <c r="BX212" i="31" a="1"/>
  <c r="BX212" i="31" s="1"/>
  <c r="BY212" i="31" a="1"/>
  <c r="BY212" i="31" s="1"/>
  <c r="BZ212" i="31" a="1"/>
  <c r="BZ212" i="31" s="1"/>
  <c r="CA212" i="31" a="1"/>
  <c r="CA212" i="31" s="1"/>
  <c r="CB212" i="31" a="1"/>
  <c r="CB212" i="31" s="1"/>
  <c r="CC212" i="31" a="1"/>
  <c r="CC212" i="31" s="1"/>
  <c r="AQ197" i="31" a="1"/>
  <c r="AQ197" i="31" s="1"/>
  <c r="AR197" i="31" a="1"/>
  <c r="AR197" i="31" s="1"/>
  <c r="AS197" i="31" a="1"/>
  <c r="AS197" i="31" s="1"/>
  <c r="AT197" i="31" a="1"/>
  <c r="AT197" i="31" s="1"/>
  <c r="AU197" i="31" a="1"/>
  <c r="AU197" i="31" s="1"/>
  <c r="AV197" i="31" a="1"/>
  <c r="AV197" i="31" s="1"/>
  <c r="AW197" i="31" a="1"/>
  <c r="AW197" i="31" s="1"/>
  <c r="AX197" i="31" a="1"/>
  <c r="AX197" i="31" s="1"/>
  <c r="AY197" i="31" a="1"/>
  <c r="AY197" i="31" s="1"/>
  <c r="AZ197" i="31" a="1"/>
  <c r="AZ197" i="31" s="1"/>
  <c r="BA197" i="31" a="1"/>
  <c r="BA197" i="31" s="1"/>
  <c r="BB197" i="31" a="1"/>
  <c r="BB197" i="31" s="1"/>
  <c r="BC197" i="31" a="1"/>
  <c r="BC197" i="31" s="1"/>
  <c r="BD197" i="31" a="1"/>
  <c r="BD197" i="31" s="1"/>
  <c r="BE197" i="31" a="1"/>
  <c r="BE197" i="31" s="1"/>
  <c r="BF197" i="31" a="1"/>
  <c r="BF197" i="31" s="1"/>
  <c r="BG197" i="31" a="1"/>
  <c r="BG197" i="31" s="1"/>
  <c r="BH197" i="31" a="1"/>
  <c r="BH197" i="31" s="1"/>
  <c r="BI197" i="31" a="1"/>
  <c r="BI197" i="31" s="1"/>
  <c r="BJ197" i="31" a="1"/>
  <c r="BJ197" i="31" s="1"/>
  <c r="BK197" i="31" a="1"/>
  <c r="BK197" i="31" s="1"/>
  <c r="BL197" i="31" a="1"/>
  <c r="BL197" i="31" s="1"/>
  <c r="BM197" i="31" a="1"/>
  <c r="BM197" i="31" s="1"/>
  <c r="BN197" i="31" a="1"/>
  <c r="BN197" i="31" s="1"/>
  <c r="BO197" i="31" a="1"/>
  <c r="BO197" i="31" s="1"/>
  <c r="BP197" i="31" a="1"/>
  <c r="BP197" i="31" s="1"/>
  <c r="BQ197" i="31" a="1"/>
  <c r="BQ197" i="31" s="1"/>
  <c r="BR197" i="31" a="1"/>
  <c r="BR197" i="31" s="1"/>
  <c r="BS197" i="31" a="1"/>
  <c r="BS197" i="31" s="1"/>
  <c r="BT197" i="31" a="1"/>
  <c r="BT197" i="31" s="1"/>
  <c r="BU197" i="31" a="1"/>
  <c r="BU197" i="31" s="1"/>
  <c r="BV197" i="31" a="1"/>
  <c r="BV197" i="31" s="1"/>
  <c r="BW197" i="31" a="1"/>
  <c r="BW197" i="31" s="1"/>
  <c r="BX197" i="31" a="1"/>
  <c r="BX197" i="31" s="1"/>
  <c r="BY197" i="31" a="1"/>
  <c r="BY197" i="31" s="1"/>
  <c r="BZ197" i="31" a="1"/>
  <c r="BZ197" i="31" s="1"/>
  <c r="CA197" i="31" a="1"/>
  <c r="CA197" i="31" s="1"/>
  <c r="CB197" i="31" a="1"/>
  <c r="CB197" i="31" s="1"/>
  <c r="CC197" i="31" a="1"/>
  <c r="CC197" i="31" s="1"/>
  <c r="AZ206" i="31" a="1"/>
  <c r="AZ206" i="31" s="1"/>
  <c r="BA206" i="31" a="1"/>
  <c r="BA206" i="31" s="1"/>
  <c r="BB206" i="31" a="1"/>
  <c r="BB206" i="31" s="1"/>
  <c r="BC206" i="31" a="1"/>
  <c r="BC206" i="31" s="1"/>
  <c r="BD206" i="31" a="1"/>
  <c r="BD206" i="31" s="1"/>
  <c r="BE206" i="31" a="1"/>
  <c r="BE206" i="31" s="1"/>
  <c r="BF206" i="31" a="1"/>
  <c r="BF206" i="31" s="1"/>
  <c r="BG206" i="31" a="1"/>
  <c r="BG206" i="31" s="1"/>
  <c r="BH206" i="31" a="1"/>
  <c r="BH206" i="31" s="1"/>
  <c r="BI206" i="31" a="1"/>
  <c r="BI206" i="31" s="1"/>
  <c r="BJ206" i="31" a="1"/>
  <c r="BJ206" i="31" s="1"/>
  <c r="BK206" i="31" a="1"/>
  <c r="BK206" i="31" s="1"/>
  <c r="BL206" i="31" a="1"/>
  <c r="BL206" i="31" s="1"/>
  <c r="BM206" i="31" a="1"/>
  <c r="BM206" i="31" s="1"/>
  <c r="BN206" i="31" a="1"/>
  <c r="BN206" i="31" s="1"/>
  <c r="BO206" i="31" a="1"/>
  <c r="BO206" i="31" s="1"/>
  <c r="BP206" i="31" a="1"/>
  <c r="BP206" i="31" s="1"/>
  <c r="BQ206" i="31" a="1"/>
  <c r="BQ206" i="31" s="1"/>
  <c r="BR206" i="31" a="1"/>
  <c r="BR206" i="31" s="1"/>
  <c r="BS206" i="31" a="1"/>
  <c r="BS206" i="31" s="1"/>
  <c r="BT206" i="31" a="1"/>
  <c r="BT206" i="31" s="1"/>
  <c r="BU206" i="31" a="1"/>
  <c r="BU206" i="31" s="1"/>
  <c r="BV206" i="31" a="1"/>
  <c r="BV206" i="31" s="1"/>
  <c r="BW206" i="31" a="1"/>
  <c r="BW206" i="31" s="1"/>
  <c r="BX206" i="31" a="1"/>
  <c r="BX206" i="31" s="1"/>
  <c r="BY206" i="31" a="1"/>
  <c r="BY206" i="31" s="1"/>
  <c r="BZ206" i="31" a="1"/>
  <c r="BZ206" i="31" s="1"/>
  <c r="CA206" i="31" a="1"/>
  <c r="CA206" i="31" s="1"/>
  <c r="CB206" i="31" a="1"/>
  <c r="CB206" i="31" s="1"/>
  <c r="CC206" i="31" a="1"/>
  <c r="CC206" i="31" s="1"/>
  <c r="BV177" i="31" a="1"/>
  <c r="BV177" i="31" s="1"/>
  <c r="BW177" i="31" a="1"/>
  <c r="BW177" i="31" s="1"/>
  <c r="BX177" i="31" a="1"/>
  <c r="BX177" i="31" s="1"/>
  <c r="BY177" i="31" a="1"/>
  <c r="BY177" i="31" s="1"/>
  <c r="BZ177" i="31" a="1"/>
  <c r="BZ177" i="31" s="1"/>
  <c r="CA177" i="31" a="1"/>
  <c r="CA177" i="31" s="1"/>
  <c r="CB177" i="31" a="1"/>
  <c r="CB177" i="31" s="1"/>
  <c r="CC177" i="31" a="1"/>
  <c r="CC177" i="31" s="1"/>
  <c r="AK140" i="31" a="1"/>
  <c r="AK140" i="31" s="1"/>
  <c r="AL140" i="31" a="1"/>
  <c r="AL140" i="31" s="1"/>
  <c r="AM140" i="31" a="1"/>
  <c r="AM140" i="31" s="1"/>
  <c r="AN140" i="31" a="1"/>
  <c r="AN140" i="31" s="1"/>
  <c r="AO140" i="31" a="1"/>
  <c r="AO140" i="31" s="1"/>
  <c r="AP140" i="31" a="1"/>
  <c r="AP140" i="31" s="1"/>
  <c r="AQ140" i="31" a="1"/>
  <c r="AQ140" i="31" s="1"/>
  <c r="AR140" i="31" a="1"/>
  <c r="AR140" i="31" s="1"/>
  <c r="AS140" i="31" a="1"/>
  <c r="AS140" i="31" s="1"/>
  <c r="AT140" i="31" a="1"/>
  <c r="AT140" i="31" s="1"/>
  <c r="AU140" i="31" a="1"/>
  <c r="AU140" i="31" s="1"/>
  <c r="AV140" i="31" a="1"/>
  <c r="AV140" i="31" s="1"/>
  <c r="AW140" i="31" a="1"/>
  <c r="AW140" i="31" s="1"/>
  <c r="AX140" i="31" a="1"/>
  <c r="AX140" i="31" s="1"/>
  <c r="AY140" i="31" a="1"/>
  <c r="AY140" i="31" s="1"/>
  <c r="AZ140" i="31" a="1"/>
  <c r="AZ140" i="31" s="1"/>
  <c r="BA140" i="31" a="1"/>
  <c r="BA140" i="31" s="1"/>
  <c r="BB140" i="31" a="1"/>
  <c r="BB140" i="31" s="1"/>
  <c r="BC140" i="31" a="1"/>
  <c r="BC140" i="31" s="1"/>
  <c r="BD140" i="31" a="1"/>
  <c r="BD140" i="31" s="1"/>
  <c r="BE140" i="31" a="1"/>
  <c r="BE140" i="31" s="1"/>
  <c r="BF140" i="31" a="1"/>
  <c r="BF140" i="31" s="1"/>
  <c r="BG140" i="31" a="1"/>
  <c r="BG140" i="31" s="1"/>
  <c r="BH140" i="31" a="1"/>
  <c r="BH140" i="31" s="1"/>
  <c r="BI140" i="31" a="1"/>
  <c r="BI140" i="31" s="1"/>
  <c r="BJ140" i="31" a="1"/>
  <c r="BJ140" i="31" s="1"/>
  <c r="BK140" i="31" a="1"/>
  <c r="BK140" i="31" s="1"/>
  <c r="BL140" i="31" a="1"/>
  <c r="BL140" i="31" s="1"/>
  <c r="BM140" i="31" a="1"/>
  <c r="BM140" i="31" s="1"/>
  <c r="BN140" i="31" a="1"/>
  <c r="BN140" i="31" s="1"/>
  <c r="BO140" i="31" a="1"/>
  <c r="BO140" i="31" s="1"/>
  <c r="BP140" i="31" a="1"/>
  <c r="BP140" i="31" s="1"/>
  <c r="BQ140" i="31" a="1"/>
  <c r="BQ140" i="31" s="1"/>
  <c r="BR140" i="31" a="1"/>
  <c r="BR140" i="31" s="1"/>
  <c r="BS140" i="31" a="1"/>
  <c r="BS140" i="31" s="1"/>
  <c r="BT140" i="31" a="1"/>
  <c r="BT140" i="31" s="1"/>
  <c r="BU140" i="31" a="1"/>
  <c r="BU140" i="31" s="1"/>
  <c r="BV140" i="31" a="1"/>
  <c r="BV140" i="31" s="1"/>
  <c r="BW140" i="31" a="1"/>
  <c r="BW140" i="31" s="1"/>
  <c r="BX140" i="31" a="1"/>
  <c r="BX140" i="31" s="1"/>
  <c r="BY140" i="31" a="1"/>
  <c r="BY140" i="31" s="1"/>
  <c r="BZ140" i="31" a="1"/>
  <c r="BZ140" i="31" s="1"/>
  <c r="CA140" i="31" a="1"/>
  <c r="CA140" i="31" s="1"/>
  <c r="CB140" i="31" a="1"/>
  <c r="CB140" i="31" s="1"/>
  <c r="CC140" i="31" a="1"/>
  <c r="CC140" i="31" s="1"/>
  <c r="BB208" i="31" a="1"/>
  <c r="BB208" i="31" s="1"/>
  <c r="BC208" i="31" a="1"/>
  <c r="BC208" i="31" s="1"/>
  <c r="BD208" i="31" a="1"/>
  <c r="BD208" i="31" s="1"/>
  <c r="BE208" i="31" a="1"/>
  <c r="BE208" i="31" s="1"/>
  <c r="BF208" i="31" a="1"/>
  <c r="BF208" i="31" s="1"/>
  <c r="BG208" i="31" a="1"/>
  <c r="BG208" i="31" s="1"/>
  <c r="BH208" i="31" a="1"/>
  <c r="BH208" i="31" s="1"/>
  <c r="BI208" i="31" a="1"/>
  <c r="BI208" i="31" s="1"/>
  <c r="BJ208" i="31" a="1"/>
  <c r="BJ208" i="31" s="1"/>
  <c r="BK208" i="31" a="1"/>
  <c r="BK208" i="31" s="1"/>
  <c r="BL208" i="31" a="1"/>
  <c r="BL208" i="31" s="1"/>
  <c r="BM208" i="31" a="1"/>
  <c r="BM208" i="31" s="1"/>
  <c r="BN208" i="31" a="1"/>
  <c r="BN208" i="31" s="1"/>
  <c r="BO208" i="31" a="1"/>
  <c r="BO208" i="31" s="1"/>
  <c r="BP208" i="31" a="1"/>
  <c r="BP208" i="31" s="1"/>
  <c r="BQ208" i="31" a="1"/>
  <c r="BQ208" i="31" s="1"/>
  <c r="BR208" i="31" a="1"/>
  <c r="BR208" i="31" s="1"/>
  <c r="BS208" i="31" a="1"/>
  <c r="BS208" i="31" s="1"/>
  <c r="BT208" i="31" a="1"/>
  <c r="BT208" i="31" s="1"/>
  <c r="BU208" i="31" a="1"/>
  <c r="BU208" i="31" s="1"/>
  <c r="BV208" i="31" a="1"/>
  <c r="BV208" i="31" s="1"/>
  <c r="BW208" i="31" a="1"/>
  <c r="BW208" i="31" s="1"/>
  <c r="BX208" i="31" a="1"/>
  <c r="BX208" i="31" s="1"/>
  <c r="BY208" i="31" a="1"/>
  <c r="BY208" i="31" s="1"/>
  <c r="BZ208" i="31" a="1"/>
  <c r="BZ208" i="31" s="1"/>
  <c r="CA208" i="31" a="1"/>
  <c r="CA208" i="31" s="1"/>
  <c r="CB208" i="31" a="1"/>
  <c r="CB208" i="31" s="1"/>
  <c r="CC208" i="31" a="1"/>
  <c r="CC208" i="31" s="1"/>
  <c r="BR173" i="31" a="1"/>
  <c r="BR173" i="31" s="1"/>
  <c r="BS173" i="31" a="1"/>
  <c r="BS173" i="31" s="1"/>
  <c r="BT173" i="31" a="1"/>
  <c r="BT173" i="31" s="1"/>
  <c r="BU173" i="31" a="1"/>
  <c r="BU173" i="31" s="1"/>
  <c r="BV173" i="31" a="1"/>
  <c r="BV173" i="31" s="1"/>
  <c r="BW173" i="31" a="1"/>
  <c r="BW173" i="31" s="1"/>
  <c r="BX173" i="31" a="1"/>
  <c r="BX173" i="31" s="1"/>
  <c r="BY173" i="31" a="1"/>
  <c r="BY173" i="31" s="1"/>
  <c r="BZ173" i="31" a="1"/>
  <c r="BZ173" i="31" s="1"/>
  <c r="CA173" i="31" a="1"/>
  <c r="CA173" i="31" s="1"/>
  <c r="CB173" i="31" a="1"/>
  <c r="CB173" i="31" s="1"/>
  <c r="CC173" i="31" a="1"/>
  <c r="CC173" i="31" s="1"/>
  <c r="AT200" i="31" a="1"/>
  <c r="AT200" i="31" s="1"/>
  <c r="AU200" i="31" a="1"/>
  <c r="AU200" i="31" s="1"/>
  <c r="AV200" i="31" a="1"/>
  <c r="AV200" i="31" s="1"/>
  <c r="AW200" i="31" a="1"/>
  <c r="AW200" i="31" s="1"/>
  <c r="AX200" i="31" a="1"/>
  <c r="AX200" i="31" s="1"/>
  <c r="AY200" i="31" a="1"/>
  <c r="AY200" i="31" s="1"/>
  <c r="AZ200" i="31" a="1"/>
  <c r="AZ200" i="31" s="1"/>
  <c r="BA200" i="31" a="1"/>
  <c r="BA200" i="31" s="1"/>
  <c r="BB200" i="31" a="1"/>
  <c r="BB200" i="31" s="1"/>
  <c r="BC200" i="31" a="1"/>
  <c r="BC200" i="31" s="1"/>
  <c r="BD200" i="31" a="1"/>
  <c r="BD200" i="31" s="1"/>
  <c r="BE200" i="31" a="1"/>
  <c r="BE200" i="31" s="1"/>
  <c r="BF200" i="31" a="1"/>
  <c r="BF200" i="31" s="1"/>
  <c r="BG200" i="31" a="1"/>
  <c r="BG200" i="31" s="1"/>
  <c r="BH200" i="31" a="1"/>
  <c r="BH200" i="31" s="1"/>
  <c r="BI200" i="31" a="1"/>
  <c r="BI200" i="31" s="1"/>
  <c r="BJ200" i="31" a="1"/>
  <c r="BJ200" i="31" s="1"/>
  <c r="BK200" i="31" a="1"/>
  <c r="BK200" i="31" s="1"/>
  <c r="BL200" i="31" a="1"/>
  <c r="BL200" i="31" s="1"/>
  <c r="BM200" i="31" a="1"/>
  <c r="BM200" i="31" s="1"/>
  <c r="BN200" i="31" a="1"/>
  <c r="BN200" i="31" s="1"/>
  <c r="BO200" i="31" a="1"/>
  <c r="BO200" i="31" s="1"/>
  <c r="BP200" i="31" a="1"/>
  <c r="BP200" i="31" s="1"/>
  <c r="BQ200" i="31" a="1"/>
  <c r="BQ200" i="31" s="1"/>
  <c r="BR200" i="31" a="1"/>
  <c r="BR200" i="31" s="1"/>
  <c r="BS200" i="31" a="1"/>
  <c r="BS200" i="31" s="1"/>
  <c r="BT200" i="31" a="1"/>
  <c r="BT200" i="31" s="1"/>
  <c r="BU200" i="31" a="1"/>
  <c r="BU200" i="31" s="1"/>
  <c r="BV200" i="31" a="1"/>
  <c r="BV200" i="31" s="1"/>
  <c r="BW200" i="31" a="1"/>
  <c r="BW200" i="31" s="1"/>
  <c r="BX200" i="31" a="1"/>
  <c r="BX200" i="31" s="1"/>
  <c r="BY200" i="31" a="1"/>
  <c r="BY200" i="31" s="1"/>
  <c r="BZ200" i="31" a="1"/>
  <c r="BZ200" i="31" s="1"/>
  <c r="CA200" i="31" a="1"/>
  <c r="CA200" i="31" s="1"/>
  <c r="CB200" i="31" a="1"/>
  <c r="CB200" i="31" s="1"/>
  <c r="CC200" i="31" a="1"/>
  <c r="CC200" i="31" s="1"/>
  <c r="AR198" i="31" a="1"/>
  <c r="AR198" i="31" s="1"/>
  <c r="AS198" i="31" a="1"/>
  <c r="AS198" i="31" s="1"/>
  <c r="AT198" i="31" a="1"/>
  <c r="AT198" i="31" s="1"/>
  <c r="AU198" i="31" a="1"/>
  <c r="AU198" i="31" s="1"/>
  <c r="AV198" i="31" a="1"/>
  <c r="AV198" i="31" s="1"/>
  <c r="AW198" i="31" a="1"/>
  <c r="AW198" i="31" s="1"/>
  <c r="AX198" i="31" a="1"/>
  <c r="AX198" i="31" s="1"/>
  <c r="AY198" i="31" a="1"/>
  <c r="AY198" i="31" s="1"/>
  <c r="AZ198" i="31" a="1"/>
  <c r="AZ198" i="31" s="1"/>
  <c r="BA198" i="31" a="1"/>
  <c r="BA198" i="31" s="1"/>
  <c r="BB198" i="31" a="1"/>
  <c r="BB198" i="31" s="1"/>
  <c r="BC198" i="31" a="1"/>
  <c r="BC198" i="31" s="1"/>
  <c r="BD198" i="31" a="1"/>
  <c r="BD198" i="31" s="1"/>
  <c r="BE198" i="31" a="1"/>
  <c r="BE198" i="31" s="1"/>
  <c r="BF198" i="31" a="1"/>
  <c r="BF198" i="31" s="1"/>
  <c r="BG198" i="31" a="1"/>
  <c r="BG198" i="31" s="1"/>
  <c r="BH198" i="31" a="1"/>
  <c r="BH198" i="31" s="1"/>
  <c r="BI198" i="31" a="1"/>
  <c r="BI198" i="31" s="1"/>
  <c r="BJ198" i="31" a="1"/>
  <c r="BJ198" i="31" s="1"/>
  <c r="BK198" i="31" a="1"/>
  <c r="BK198" i="31" s="1"/>
  <c r="BL198" i="31" a="1"/>
  <c r="BL198" i="31" s="1"/>
  <c r="BM198" i="31" a="1"/>
  <c r="BM198" i="31" s="1"/>
  <c r="BN198" i="31" a="1"/>
  <c r="BN198" i="31" s="1"/>
  <c r="BO198" i="31" a="1"/>
  <c r="BO198" i="31" s="1"/>
  <c r="BP198" i="31" a="1"/>
  <c r="BP198" i="31" s="1"/>
  <c r="BQ198" i="31" a="1"/>
  <c r="BQ198" i="31" s="1"/>
  <c r="BR198" i="31" a="1"/>
  <c r="BR198" i="31" s="1"/>
  <c r="BS198" i="31" a="1"/>
  <c r="BS198" i="31" s="1"/>
  <c r="BT198" i="31" a="1"/>
  <c r="BT198" i="31" s="1"/>
  <c r="BU198" i="31" a="1"/>
  <c r="BU198" i="31" s="1"/>
  <c r="BV198" i="31" a="1"/>
  <c r="BV198" i="31" s="1"/>
  <c r="BW198" i="31" a="1"/>
  <c r="BW198" i="31" s="1"/>
  <c r="BX198" i="31" a="1"/>
  <c r="BX198" i="31" s="1"/>
  <c r="BY198" i="31" a="1"/>
  <c r="BY198" i="31" s="1"/>
  <c r="BZ198" i="31" a="1"/>
  <c r="BZ198" i="31" s="1"/>
  <c r="CA198" i="31" a="1"/>
  <c r="CA198" i="31" s="1"/>
  <c r="CB198" i="31" a="1"/>
  <c r="CB198" i="31" s="1"/>
  <c r="CC198" i="31" a="1"/>
  <c r="CC198" i="31" s="1"/>
  <c r="BU176" i="31" a="1"/>
  <c r="BU176" i="31" s="1"/>
  <c r="BV176" i="31" a="1"/>
  <c r="BV176" i="31" s="1"/>
  <c r="BW176" i="31" a="1"/>
  <c r="BW176" i="31" s="1"/>
  <c r="BX176" i="31" a="1"/>
  <c r="BX176" i="31" s="1"/>
  <c r="BY176" i="31" a="1"/>
  <c r="BY176" i="31" s="1"/>
  <c r="BZ176" i="31" a="1"/>
  <c r="BZ176" i="31" s="1"/>
  <c r="CA176" i="31" a="1"/>
  <c r="CA176" i="31" s="1"/>
  <c r="CB176" i="31" a="1"/>
  <c r="CB176" i="31" s="1"/>
  <c r="CC176" i="31" a="1"/>
  <c r="CC176" i="31" s="1"/>
  <c r="CA275" i="31" a="1"/>
  <c r="CA275" i="31" s="1"/>
  <c r="BR275" i="31" a="1"/>
  <c r="BR275" i="31" s="1"/>
  <c r="BS275" i="31" a="1"/>
  <c r="BS275" i="31" s="1"/>
  <c r="BT275" i="31" a="1"/>
  <c r="BT275" i="31" s="1"/>
  <c r="BU275" i="31" a="1"/>
  <c r="BU275" i="31" s="1"/>
  <c r="BV275" i="31" a="1"/>
  <c r="BV275" i="31" s="1"/>
  <c r="BW275" i="31" a="1"/>
  <c r="BW275" i="31" s="1"/>
  <c r="BX275" i="31" a="1"/>
  <c r="BX275" i="31" s="1"/>
  <c r="BY275" i="31" a="1"/>
  <c r="BY275" i="31" s="1"/>
  <c r="BZ275" i="31" a="1"/>
  <c r="BZ275" i="31" s="1"/>
  <c r="CB275" i="31" a="1"/>
  <c r="CB275" i="31" s="1"/>
  <c r="CC275" i="31" a="1"/>
  <c r="CC275" i="31" s="1"/>
  <c r="AT47" i="31" a="1"/>
  <c r="AT47" i="31" s="1"/>
  <c r="AU47" i="31" a="1"/>
  <c r="AU47" i="31" s="1"/>
  <c r="AV47" i="31" a="1"/>
  <c r="AV47" i="31" s="1"/>
  <c r="AW47" i="31" a="1"/>
  <c r="AW47" i="31" s="1"/>
  <c r="AX47" i="31" a="1"/>
  <c r="AX47" i="31" s="1"/>
  <c r="AY47" i="31" a="1"/>
  <c r="AY47" i="31" s="1"/>
  <c r="AZ47" i="31" a="1"/>
  <c r="AZ47" i="31" s="1"/>
  <c r="BA47" i="31" a="1"/>
  <c r="BA47" i="31" s="1"/>
  <c r="BB47" i="31" a="1"/>
  <c r="BB47" i="31" s="1"/>
  <c r="BC47" i="31" a="1"/>
  <c r="BC47" i="31" s="1"/>
  <c r="BD47" i="31" a="1"/>
  <c r="BD47" i="31" s="1"/>
  <c r="BE47" i="31" a="1"/>
  <c r="BE47" i="31" s="1"/>
  <c r="BF47" i="31" a="1"/>
  <c r="BF47" i="31" s="1"/>
  <c r="BG47" i="31" a="1"/>
  <c r="BG47" i="31" s="1"/>
  <c r="BH47" i="31" a="1"/>
  <c r="BH47" i="31" s="1"/>
  <c r="BI47" i="31" a="1"/>
  <c r="BI47" i="31" s="1"/>
  <c r="BJ47" i="31" a="1"/>
  <c r="BJ47" i="31" s="1"/>
  <c r="BK47" i="31" a="1"/>
  <c r="BK47" i="31" s="1"/>
  <c r="BL47" i="31" a="1"/>
  <c r="BL47" i="31" s="1"/>
  <c r="BM47" i="31" a="1"/>
  <c r="BM47" i="31" s="1"/>
  <c r="BN47" i="31" a="1"/>
  <c r="BN47" i="31" s="1"/>
  <c r="BO47" i="31" a="1"/>
  <c r="BO47" i="31" s="1"/>
  <c r="BP47" i="31" a="1"/>
  <c r="BP47" i="31" s="1"/>
  <c r="BQ47" i="31" a="1"/>
  <c r="BQ47" i="31" s="1"/>
  <c r="BR47" i="31" a="1"/>
  <c r="BR47" i="31" s="1"/>
  <c r="BS47" i="31" a="1"/>
  <c r="BS47" i="31" s="1"/>
  <c r="BT47" i="31" a="1"/>
  <c r="BT47" i="31" s="1"/>
  <c r="BU47" i="31" a="1"/>
  <c r="BU47" i="31" s="1"/>
  <c r="BV47" i="31" a="1"/>
  <c r="BV47" i="31" s="1"/>
  <c r="BW47" i="31" a="1"/>
  <c r="BW47" i="31" s="1"/>
  <c r="BX47" i="31" a="1"/>
  <c r="BX47" i="31" s="1"/>
  <c r="BY47" i="31" a="1"/>
  <c r="BY47" i="31" s="1"/>
  <c r="BZ47" i="31" a="1"/>
  <c r="BZ47" i="31" s="1"/>
  <c r="CA47" i="31" a="1"/>
  <c r="CA47" i="31" s="1"/>
  <c r="CB47" i="31" a="1"/>
  <c r="CB47" i="31" s="1"/>
  <c r="CC47" i="31" a="1"/>
  <c r="CC47" i="31" s="1"/>
  <c r="AK38" i="31" a="1"/>
  <c r="AK38" i="31" s="1"/>
  <c r="AL38" i="31" a="1"/>
  <c r="AL38" i="31" s="1"/>
  <c r="AM38" i="31" a="1"/>
  <c r="AM38" i="31" s="1"/>
  <c r="AN38" i="31" a="1"/>
  <c r="AN38" i="31" s="1"/>
  <c r="AO38" i="31" a="1"/>
  <c r="AO38" i="31" s="1"/>
  <c r="AP38" i="31" a="1"/>
  <c r="AP38" i="31" s="1"/>
  <c r="AQ38" i="31" a="1"/>
  <c r="AQ38" i="31" s="1"/>
  <c r="AR38" i="31" a="1"/>
  <c r="AR38" i="31" s="1"/>
  <c r="AS38" i="31" a="1"/>
  <c r="AS38" i="31" s="1"/>
  <c r="AT38" i="31" a="1"/>
  <c r="AT38" i="31" s="1"/>
  <c r="AU38" i="31" a="1"/>
  <c r="AU38" i="31" s="1"/>
  <c r="AV38" i="31" a="1"/>
  <c r="AV38" i="31" s="1"/>
  <c r="AW38" i="31" a="1"/>
  <c r="AW38" i="31" s="1"/>
  <c r="AX38" i="31" a="1"/>
  <c r="AX38" i="31" s="1"/>
  <c r="AY38" i="31" a="1"/>
  <c r="AY38" i="31" s="1"/>
  <c r="AZ38" i="31" a="1"/>
  <c r="AZ38" i="31" s="1"/>
  <c r="BA38" i="31" a="1"/>
  <c r="BA38" i="31" s="1"/>
  <c r="BB38" i="31" a="1"/>
  <c r="BB38" i="31" s="1"/>
  <c r="BC38" i="31" a="1"/>
  <c r="BC38" i="31" s="1"/>
  <c r="BD38" i="31" a="1"/>
  <c r="BD38" i="31" s="1"/>
  <c r="BE38" i="31" a="1"/>
  <c r="BE38" i="31" s="1"/>
  <c r="BF38" i="31" a="1"/>
  <c r="BF38" i="31" s="1"/>
  <c r="BG38" i="31" a="1"/>
  <c r="BG38" i="31" s="1"/>
  <c r="BH38" i="31" a="1"/>
  <c r="BH38" i="31" s="1"/>
  <c r="BI38" i="31" a="1"/>
  <c r="BI38" i="31" s="1"/>
  <c r="BJ38" i="31" a="1"/>
  <c r="BJ38" i="31" s="1"/>
  <c r="BK38" i="31" a="1"/>
  <c r="BK38" i="31" s="1"/>
  <c r="BL38" i="31" a="1"/>
  <c r="BL38" i="31" s="1"/>
  <c r="BM38" i="31" a="1"/>
  <c r="BM38" i="31" s="1"/>
  <c r="BN38" i="31" a="1"/>
  <c r="BN38" i="31" s="1"/>
  <c r="BO38" i="31" a="1"/>
  <c r="BO38" i="31" s="1"/>
  <c r="BP38" i="31" a="1"/>
  <c r="BP38" i="31" s="1"/>
  <c r="BQ38" i="31" a="1"/>
  <c r="BQ38" i="31" s="1"/>
  <c r="BR38" i="31" a="1"/>
  <c r="BR38" i="31" s="1"/>
  <c r="BS38" i="31" a="1"/>
  <c r="BS38" i="31" s="1"/>
  <c r="BT38" i="31" a="1"/>
  <c r="BT38" i="31" s="1"/>
  <c r="BU38" i="31" a="1"/>
  <c r="BU38" i="31" s="1"/>
  <c r="BV38" i="31" a="1"/>
  <c r="BV38" i="31" s="1"/>
  <c r="BW38" i="31" a="1"/>
  <c r="BW38" i="31" s="1"/>
  <c r="BX38" i="31" a="1"/>
  <c r="BX38" i="31" s="1"/>
  <c r="BY38" i="31" a="1"/>
  <c r="BY38" i="31" s="1"/>
  <c r="BZ38" i="31" a="1"/>
  <c r="BZ38" i="31" s="1"/>
  <c r="CA38" i="31" a="1"/>
  <c r="CA38" i="31" s="1"/>
  <c r="CB38" i="31" a="1"/>
  <c r="CB38" i="31" s="1"/>
  <c r="CC38" i="31" a="1"/>
  <c r="CC38" i="31" s="1"/>
  <c r="BK115" i="31" a="1"/>
  <c r="BK115" i="31" s="1"/>
  <c r="BL115" i="31" a="1"/>
  <c r="BL115" i="31" s="1"/>
  <c r="BM115" i="31" a="1"/>
  <c r="BM115" i="31" s="1"/>
  <c r="BN115" i="31" a="1"/>
  <c r="BN115" i="31" s="1"/>
  <c r="BO115" i="31" a="1"/>
  <c r="BO115" i="31" s="1"/>
  <c r="BP115" i="31" a="1"/>
  <c r="BP115" i="31" s="1"/>
  <c r="BQ115" i="31" a="1"/>
  <c r="BQ115" i="31" s="1"/>
  <c r="BR115" i="31" a="1"/>
  <c r="BR115" i="31" s="1"/>
  <c r="BS115" i="31" a="1"/>
  <c r="BS115" i="31" s="1"/>
  <c r="BT115" i="31" a="1"/>
  <c r="BT115" i="31" s="1"/>
  <c r="BU115" i="31" a="1"/>
  <c r="BU115" i="31" s="1"/>
  <c r="BV115" i="31" a="1"/>
  <c r="BV115" i="31" s="1"/>
  <c r="BW115" i="31" a="1"/>
  <c r="BW115" i="31" s="1"/>
  <c r="BX115" i="31" a="1"/>
  <c r="BX115" i="31" s="1"/>
  <c r="BY115" i="31" a="1"/>
  <c r="BY115" i="31" s="1"/>
  <c r="BZ115" i="31" a="1"/>
  <c r="BZ115" i="31" s="1"/>
  <c r="CA115" i="31" a="1"/>
  <c r="CA115" i="31" s="1"/>
  <c r="CB115" i="31" a="1"/>
  <c r="CB115" i="31" s="1"/>
  <c r="CC115" i="31" a="1"/>
  <c r="CC115" i="31" s="1"/>
  <c r="AM91" i="31" a="1"/>
  <c r="AM91" i="31" s="1"/>
  <c r="AN91" i="31" a="1"/>
  <c r="AN91" i="31" s="1"/>
  <c r="AO91" i="31" a="1"/>
  <c r="AO91" i="31" s="1"/>
  <c r="AP91" i="31" a="1"/>
  <c r="AP91" i="31" s="1"/>
  <c r="AQ91" i="31" a="1"/>
  <c r="AQ91" i="31" s="1"/>
  <c r="AR91" i="31" a="1"/>
  <c r="AR91" i="31" s="1"/>
  <c r="AS91" i="31" a="1"/>
  <c r="AS91" i="31" s="1"/>
  <c r="AT91" i="31" a="1"/>
  <c r="AT91" i="31" s="1"/>
  <c r="AU91" i="31" a="1"/>
  <c r="AU91" i="31" s="1"/>
  <c r="AV91" i="31" a="1"/>
  <c r="AV91" i="31" s="1"/>
  <c r="AW91" i="31" a="1"/>
  <c r="AW91" i="31" s="1"/>
  <c r="AX91" i="31" a="1"/>
  <c r="AX91" i="31" s="1"/>
  <c r="AY91" i="31" a="1"/>
  <c r="AY91" i="31" s="1"/>
  <c r="AZ91" i="31" a="1"/>
  <c r="AZ91" i="31" s="1"/>
  <c r="BA91" i="31" a="1"/>
  <c r="BA91" i="31" s="1"/>
  <c r="BB91" i="31" a="1"/>
  <c r="BB91" i="31" s="1"/>
  <c r="BC91" i="31" a="1"/>
  <c r="BC91" i="31" s="1"/>
  <c r="BD91" i="31" a="1"/>
  <c r="BD91" i="31" s="1"/>
  <c r="BE91" i="31" a="1"/>
  <c r="BE91" i="31" s="1"/>
  <c r="BF91" i="31" a="1"/>
  <c r="BF91" i="31" s="1"/>
  <c r="BG91" i="31" a="1"/>
  <c r="BG91" i="31" s="1"/>
  <c r="BH91" i="31" a="1"/>
  <c r="BH91" i="31" s="1"/>
  <c r="BI91" i="31" a="1"/>
  <c r="BI91" i="31" s="1"/>
  <c r="BJ91" i="31" a="1"/>
  <c r="BJ91" i="31" s="1"/>
  <c r="BK91" i="31" a="1"/>
  <c r="BK91" i="31" s="1"/>
  <c r="BL91" i="31" a="1"/>
  <c r="BL91" i="31" s="1"/>
  <c r="BM91" i="31" a="1"/>
  <c r="BM91" i="31" s="1"/>
  <c r="BN91" i="31" a="1"/>
  <c r="BN91" i="31" s="1"/>
  <c r="BO91" i="31" a="1"/>
  <c r="BO91" i="31" s="1"/>
  <c r="BP91" i="31" a="1"/>
  <c r="BP91" i="31" s="1"/>
  <c r="BQ91" i="31" a="1"/>
  <c r="BQ91" i="31" s="1"/>
  <c r="BR91" i="31" a="1"/>
  <c r="BR91" i="31" s="1"/>
  <c r="BS91" i="31" a="1"/>
  <c r="BS91" i="31" s="1"/>
  <c r="BT91" i="31" a="1"/>
  <c r="BT91" i="31" s="1"/>
  <c r="BU91" i="31" a="1"/>
  <c r="BU91" i="31" s="1"/>
  <c r="BV91" i="31" a="1"/>
  <c r="BV91" i="31" s="1"/>
  <c r="BW91" i="31" a="1"/>
  <c r="BW91" i="31" s="1"/>
  <c r="BX91" i="31" a="1"/>
  <c r="BX91" i="31" s="1"/>
  <c r="BY91" i="31" a="1"/>
  <c r="BY91" i="31" s="1"/>
  <c r="BZ91" i="31" a="1"/>
  <c r="BZ91" i="31" s="1"/>
  <c r="CA91" i="31" a="1"/>
  <c r="CA91" i="31" s="1"/>
  <c r="CB91" i="31" a="1"/>
  <c r="CB91" i="31" s="1"/>
  <c r="CC91" i="31" a="1"/>
  <c r="CC91" i="31" s="1"/>
  <c r="BC107" i="31" a="1"/>
  <c r="BC107" i="31" s="1"/>
  <c r="BD107" i="31" a="1"/>
  <c r="BD107" i="31" s="1"/>
  <c r="BE107" i="31" a="1"/>
  <c r="BE107" i="31" s="1"/>
  <c r="BF107" i="31" a="1"/>
  <c r="BF107" i="31" s="1"/>
  <c r="BG107" i="31" a="1"/>
  <c r="BG107" i="31" s="1"/>
  <c r="BH107" i="31" a="1"/>
  <c r="BH107" i="31" s="1"/>
  <c r="BI107" i="31" a="1"/>
  <c r="BI107" i="31" s="1"/>
  <c r="BJ107" i="31" a="1"/>
  <c r="BJ107" i="31" s="1"/>
  <c r="BK107" i="31" a="1"/>
  <c r="BK107" i="31" s="1"/>
  <c r="BL107" i="31" a="1"/>
  <c r="BL107" i="31" s="1"/>
  <c r="BM107" i="31" a="1"/>
  <c r="BM107" i="31" s="1"/>
  <c r="BN107" i="31" a="1"/>
  <c r="BN107" i="31" s="1"/>
  <c r="BO107" i="31" a="1"/>
  <c r="BO107" i="31" s="1"/>
  <c r="BP107" i="31" a="1"/>
  <c r="BP107" i="31" s="1"/>
  <c r="BQ107" i="31" a="1"/>
  <c r="BQ107" i="31" s="1"/>
  <c r="BR107" i="31" a="1"/>
  <c r="BR107" i="31" s="1"/>
  <c r="BS107" i="31" a="1"/>
  <c r="BS107" i="31" s="1"/>
  <c r="BT107" i="31" a="1"/>
  <c r="BT107" i="31" s="1"/>
  <c r="BU107" i="31" a="1"/>
  <c r="BU107" i="31" s="1"/>
  <c r="BV107" i="31" a="1"/>
  <c r="BV107" i="31" s="1"/>
  <c r="BW107" i="31" a="1"/>
  <c r="BW107" i="31" s="1"/>
  <c r="BX107" i="31" a="1"/>
  <c r="BX107" i="31" s="1"/>
  <c r="BY107" i="31" a="1"/>
  <c r="BY107" i="31" s="1"/>
  <c r="BZ107" i="31" a="1"/>
  <c r="BZ107" i="31" s="1"/>
  <c r="CA107" i="31" a="1"/>
  <c r="CA107" i="31" s="1"/>
  <c r="CB107" i="31" a="1"/>
  <c r="CB107" i="31" s="1"/>
  <c r="CC107" i="31" a="1"/>
  <c r="CC107" i="31" s="1"/>
  <c r="BB106" i="31" a="1"/>
  <c r="BB106" i="31" s="1"/>
  <c r="BC106" i="31" a="1"/>
  <c r="BC106" i="31" s="1"/>
  <c r="BD106" i="31" a="1"/>
  <c r="BD106" i="31" s="1"/>
  <c r="BE106" i="31" a="1"/>
  <c r="BE106" i="31" s="1"/>
  <c r="BF106" i="31" a="1"/>
  <c r="BF106" i="31" s="1"/>
  <c r="BG106" i="31" a="1"/>
  <c r="BG106" i="31" s="1"/>
  <c r="BH106" i="31" a="1"/>
  <c r="BH106" i="31" s="1"/>
  <c r="BI106" i="31" a="1"/>
  <c r="BI106" i="31" s="1"/>
  <c r="BJ106" i="31" a="1"/>
  <c r="BJ106" i="31" s="1"/>
  <c r="BK106" i="31" a="1"/>
  <c r="BK106" i="31" s="1"/>
  <c r="BL106" i="31" a="1"/>
  <c r="BL106" i="31" s="1"/>
  <c r="BM106" i="31" a="1"/>
  <c r="BM106" i="31" s="1"/>
  <c r="BN106" i="31" a="1"/>
  <c r="BN106" i="31" s="1"/>
  <c r="BO106" i="31" a="1"/>
  <c r="BO106" i="31" s="1"/>
  <c r="BP106" i="31" a="1"/>
  <c r="BP106" i="31" s="1"/>
  <c r="BQ106" i="31" a="1"/>
  <c r="BQ106" i="31" s="1"/>
  <c r="BR106" i="31" a="1"/>
  <c r="BR106" i="31" s="1"/>
  <c r="BS106" i="31" a="1"/>
  <c r="BS106" i="31" s="1"/>
  <c r="BT106" i="31" a="1"/>
  <c r="BT106" i="31" s="1"/>
  <c r="BU106" i="31" a="1"/>
  <c r="BU106" i="31" s="1"/>
  <c r="BV106" i="31" a="1"/>
  <c r="BV106" i="31" s="1"/>
  <c r="BW106" i="31" a="1"/>
  <c r="BW106" i="31" s="1"/>
  <c r="BX106" i="31" a="1"/>
  <c r="BX106" i="31" s="1"/>
  <c r="BY106" i="31" a="1"/>
  <c r="BY106" i="31" s="1"/>
  <c r="BZ106" i="31" a="1"/>
  <c r="BZ106" i="31" s="1"/>
  <c r="CA106" i="31" a="1"/>
  <c r="CA106" i="31" s="1"/>
  <c r="CB106" i="31" a="1"/>
  <c r="CB106" i="31" s="1"/>
  <c r="CC106" i="31" a="1"/>
  <c r="CC106" i="31" s="1"/>
  <c r="AX51" i="31" a="1"/>
  <c r="AX51" i="31" s="1"/>
  <c r="AY51" i="31" a="1"/>
  <c r="AY51" i="31" s="1"/>
  <c r="AZ51" i="31" a="1"/>
  <c r="AZ51" i="31" s="1"/>
  <c r="BA51" i="31" a="1"/>
  <c r="BA51" i="31" s="1"/>
  <c r="BB51" i="31" a="1"/>
  <c r="BB51" i="31" s="1"/>
  <c r="BC51" i="31" a="1"/>
  <c r="BC51" i="31" s="1"/>
  <c r="BD51" i="31" a="1"/>
  <c r="BD51" i="31" s="1"/>
  <c r="BE51" i="31" a="1"/>
  <c r="BE51" i="31" s="1"/>
  <c r="BF51" i="31" a="1"/>
  <c r="BF51" i="31" s="1"/>
  <c r="BG51" i="31" a="1"/>
  <c r="BG51" i="31" s="1"/>
  <c r="BH51" i="31" a="1"/>
  <c r="BH51" i="31" s="1"/>
  <c r="BI51" i="31" a="1"/>
  <c r="BI51" i="31" s="1"/>
  <c r="BJ51" i="31" a="1"/>
  <c r="BJ51" i="31" s="1"/>
  <c r="BK51" i="31" a="1"/>
  <c r="BK51" i="31" s="1"/>
  <c r="BL51" i="31" a="1"/>
  <c r="BL51" i="31" s="1"/>
  <c r="BM51" i="31" a="1"/>
  <c r="BM51" i="31" s="1"/>
  <c r="BN51" i="31" a="1"/>
  <c r="BN51" i="31" s="1"/>
  <c r="BO51" i="31" a="1"/>
  <c r="BO51" i="31" s="1"/>
  <c r="BP51" i="31" a="1"/>
  <c r="BP51" i="31" s="1"/>
  <c r="BQ51" i="31" a="1"/>
  <c r="BQ51" i="31" s="1"/>
  <c r="BR51" i="31" a="1"/>
  <c r="BR51" i="31" s="1"/>
  <c r="BS51" i="31" a="1"/>
  <c r="BS51" i="31" s="1"/>
  <c r="BT51" i="31" a="1"/>
  <c r="BT51" i="31" s="1"/>
  <c r="BU51" i="31" a="1"/>
  <c r="BU51" i="31" s="1"/>
  <c r="BV51" i="31" a="1"/>
  <c r="BV51" i="31" s="1"/>
  <c r="BW51" i="31" a="1"/>
  <c r="BW51" i="31" s="1"/>
  <c r="BX51" i="31" a="1"/>
  <c r="BX51" i="31" s="1"/>
  <c r="BY51" i="31" a="1"/>
  <c r="BY51" i="31" s="1"/>
  <c r="BZ51" i="31" a="1"/>
  <c r="BZ51" i="31" s="1"/>
  <c r="CA51" i="31" a="1"/>
  <c r="CA51" i="31" s="1"/>
  <c r="CB51" i="31" a="1"/>
  <c r="CB51" i="31" s="1"/>
  <c r="CC51" i="31" a="1"/>
  <c r="CC51" i="31" s="1"/>
  <c r="BA105" i="31" a="1"/>
  <c r="BA105" i="31" s="1"/>
  <c r="BB105" i="31" a="1"/>
  <c r="BB105" i="31" s="1"/>
  <c r="BC105" i="31" a="1"/>
  <c r="BC105" i="31" s="1"/>
  <c r="BD105" i="31" a="1"/>
  <c r="BD105" i="31" s="1"/>
  <c r="BE105" i="31" a="1"/>
  <c r="BE105" i="31" s="1"/>
  <c r="BF105" i="31" a="1"/>
  <c r="BF105" i="31" s="1"/>
  <c r="BG105" i="31" a="1"/>
  <c r="BG105" i="31" s="1"/>
  <c r="BH105" i="31" a="1"/>
  <c r="BH105" i="31" s="1"/>
  <c r="BI105" i="31" a="1"/>
  <c r="BI105" i="31" s="1"/>
  <c r="BJ105" i="31" a="1"/>
  <c r="BJ105" i="31" s="1"/>
  <c r="BK105" i="31" a="1"/>
  <c r="BK105" i="31" s="1"/>
  <c r="BL105" i="31" a="1"/>
  <c r="BL105" i="31" s="1"/>
  <c r="BM105" i="31" a="1"/>
  <c r="BM105" i="31" s="1"/>
  <c r="BN105" i="31" a="1"/>
  <c r="BN105" i="31" s="1"/>
  <c r="BO105" i="31" a="1"/>
  <c r="BO105" i="31" s="1"/>
  <c r="BP105" i="31" a="1"/>
  <c r="BP105" i="31" s="1"/>
  <c r="BQ105" i="31" a="1"/>
  <c r="BQ105" i="31" s="1"/>
  <c r="BR105" i="31" a="1"/>
  <c r="BR105" i="31" s="1"/>
  <c r="BS105" i="31" a="1"/>
  <c r="BS105" i="31" s="1"/>
  <c r="BT105" i="31" a="1"/>
  <c r="BT105" i="31" s="1"/>
  <c r="BU105" i="31" a="1"/>
  <c r="BU105" i="31" s="1"/>
  <c r="BV105" i="31" a="1"/>
  <c r="BV105" i="31" s="1"/>
  <c r="BW105" i="31" a="1"/>
  <c r="BW105" i="31" s="1"/>
  <c r="BX105" i="31" a="1"/>
  <c r="BX105" i="31" s="1"/>
  <c r="BY105" i="31" a="1"/>
  <c r="BY105" i="31" s="1"/>
  <c r="BZ105" i="31" a="1"/>
  <c r="BZ105" i="31" s="1"/>
  <c r="CA105" i="31" a="1"/>
  <c r="CA105" i="31" s="1"/>
  <c r="CB105" i="31" a="1"/>
  <c r="CB105" i="31" s="1"/>
  <c r="CC105" i="31" a="1"/>
  <c r="CC105" i="31" s="1"/>
  <c r="CB81" i="31" a="1"/>
  <c r="CB81" i="31" s="1"/>
  <c r="CC81" i="31" a="1"/>
  <c r="CC81" i="31" s="1"/>
  <c r="BG111" i="31" a="1"/>
  <c r="BG111" i="31" s="1"/>
  <c r="BH111" i="31" a="1"/>
  <c r="BH111" i="31" s="1"/>
  <c r="BI111" i="31" a="1"/>
  <c r="BI111" i="31" s="1"/>
  <c r="BJ111" i="31" a="1"/>
  <c r="BJ111" i="31" s="1"/>
  <c r="BK111" i="31" a="1"/>
  <c r="BK111" i="31" s="1"/>
  <c r="BL111" i="31" a="1"/>
  <c r="BL111" i="31" s="1"/>
  <c r="BM111" i="31" a="1"/>
  <c r="BM111" i="31" s="1"/>
  <c r="BN111" i="31" a="1"/>
  <c r="BN111" i="31" s="1"/>
  <c r="BO111" i="31" a="1"/>
  <c r="BO111" i="31" s="1"/>
  <c r="BP111" i="31" a="1"/>
  <c r="BP111" i="31" s="1"/>
  <c r="BQ111" i="31" a="1"/>
  <c r="BQ111" i="31" s="1"/>
  <c r="BR111" i="31" a="1"/>
  <c r="BR111" i="31" s="1"/>
  <c r="BS111" i="31" a="1"/>
  <c r="BS111" i="31" s="1"/>
  <c r="BT111" i="31" a="1"/>
  <c r="BT111" i="31" s="1"/>
  <c r="BU111" i="31" a="1"/>
  <c r="BU111" i="31" s="1"/>
  <c r="BV111" i="31" a="1"/>
  <c r="BV111" i="31" s="1"/>
  <c r="BW111" i="31" a="1"/>
  <c r="BW111" i="31" s="1"/>
  <c r="BX111" i="31" a="1"/>
  <c r="BX111" i="31" s="1"/>
  <c r="BY111" i="31" a="1"/>
  <c r="BY111" i="31" s="1"/>
  <c r="BZ111" i="31" a="1"/>
  <c r="BZ111" i="31" s="1"/>
  <c r="CA111" i="31" a="1"/>
  <c r="CA111" i="31" s="1"/>
  <c r="CB111" i="31" a="1"/>
  <c r="CB111" i="31" s="1"/>
  <c r="CC111" i="31" a="1"/>
  <c r="CC111" i="31" s="1"/>
  <c r="BQ70" i="31" a="1"/>
  <c r="BQ70" i="31" s="1"/>
  <c r="AA70" i="31" s="1"/>
  <c r="BR70" i="31" a="1"/>
  <c r="BR70" i="31" s="1"/>
  <c r="BS70" i="31" a="1"/>
  <c r="BS70" i="31" s="1"/>
  <c r="BT70" i="31" a="1"/>
  <c r="BT70" i="31" s="1"/>
  <c r="BU70" i="31" a="1"/>
  <c r="BU70" i="31" s="1"/>
  <c r="BV70" i="31" a="1"/>
  <c r="BV70" i="31" s="1"/>
  <c r="BW70" i="31" a="1"/>
  <c r="BW70" i="31" s="1"/>
  <c r="BX70" i="31" a="1"/>
  <c r="BX70" i="31" s="1"/>
  <c r="BY70" i="31" a="1"/>
  <c r="BY70" i="31" s="1"/>
  <c r="BZ70" i="31" a="1"/>
  <c r="BZ70" i="31" s="1"/>
  <c r="CA70" i="31" a="1"/>
  <c r="CA70" i="31" s="1"/>
  <c r="CB70" i="31" a="1"/>
  <c r="CB70" i="31" s="1"/>
  <c r="CC70" i="31" a="1"/>
  <c r="CC70" i="31" s="1"/>
  <c r="AZ104" i="31" a="1"/>
  <c r="AZ104" i="31" s="1"/>
  <c r="BA104" i="31" a="1"/>
  <c r="BA104" i="31" s="1"/>
  <c r="BB104" i="31" a="1"/>
  <c r="BB104" i="31" s="1"/>
  <c r="BC104" i="31" a="1"/>
  <c r="BC104" i="31" s="1"/>
  <c r="BD104" i="31" a="1"/>
  <c r="BD104" i="31" s="1"/>
  <c r="BE104" i="31" a="1"/>
  <c r="BE104" i="31" s="1"/>
  <c r="BF104" i="31" a="1"/>
  <c r="BF104" i="31" s="1"/>
  <c r="BG104" i="31" a="1"/>
  <c r="BG104" i="31" s="1"/>
  <c r="BH104" i="31" a="1"/>
  <c r="BH104" i="31" s="1"/>
  <c r="BI104" i="31" a="1"/>
  <c r="BI104" i="31" s="1"/>
  <c r="BJ104" i="31" a="1"/>
  <c r="BJ104" i="31" s="1"/>
  <c r="BK104" i="31" a="1"/>
  <c r="BK104" i="31" s="1"/>
  <c r="BL104" i="31" a="1"/>
  <c r="BL104" i="31" s="1"/>
  <c r="BM104" i="31" a="1"/>
  <c r="BM104" i="31" s="1"/>
  <c r="BN104" i="31" a="1"/>
  <c r="BN104" i="31" s="1"/>
  <c r="BO104" i="31" a="1"/>
  <c r="BO104" i="31" s="1"/>
  <c r="BP104" i="31" a="1"/>
  <c r="BP104" i="31" s="1"/>
  <c r="BQ104" i="31" a="1"/>
  <c r="BQ104" i="31" s="1"/>
  <c r="BR104" i="31" a="1"/>
  <c r="BR104" i="31" s="1"/>
  <c r="BS104" i="31" a="1"/>
  <c r="BS104" i="31" s="1"/>
  <c r="BT104" i="31" a="1"/>
  <c r="BT104" i="31" s="1"/>
  <c r="BU104" i="31" a="1"/>
  <c r="BU104" i="31" s="1"/>
  <c r="BV104" i="31" a="1"/>
  <c r="BV104" i="31" s="1"/>
  <c r="BW104" i="31" a="1"/>
  <c r="BW104" i="31" s="1"/>
  <c r="BX104" i="31" a="1"/>
  <c r="BX104" i="31" s="1"/>
  <c r="BY104" i="31" a="1"/>
  <c r="BY104" i="31" s="1"/>
  <c r="BZ104" i="31" a="1"/>
  <c r="BZ104" i="31" s="1"/>
  <c r="CA104" i="31" a="1"/>
  <c r="CA104" i="31" s="1"/>
  <c r="CB104" i="31" a="1"/>
  <c r="CB104" i="31" s="1"/>
  <c r="CC104" i="31" a="1"/>
  <c r="CC104" i="31" s="1"/>
  <c r="AZ243" i="31" a="1"/>
  <c r="AZ243" i="31" s="1"/>
  <c r="AL243" i="31" a="1"/>
  <c r="AL243" i="31" s="1"/>
  <c r="AM243" i="31" a="1"/>
  <c r="AM243" i="31" s="1"/>
  <c r="AN243" i="31" a="1"/>
  <c r="AN243" i="31" s="1"/>
  <c r="AO243" i="31" a="1"/>
  <c r="AO243" i="31" s="1"/>
  <c r="AP243" i="31" a="1"/>
  <c r="AP243" i="31" s="1"/>
  <c r="AQ243" i="31" a="1"/>
  <c r="AQ243" i="31" s="1"/>
  <c r="AR243" i="31" a="1"/>
  <c r="AR243" i="31" s="1"/>
  <c r="AS243" i="31" a="1"/>
  <c r="AS243" i="31" s="1"/>
  <c r="AT243" i="31" a="1"/>
  <c r="AT243" i="31" s="1"/>
  <c r="AU243" i="31" a="1"/>
  <c r="AU243" i="31" s="1"/>
  <c r="AV243" i="31" a="1"/>
  <c r="AV243" i="31" s="1"/>
  <c r="AW243" i="31" a="1"/>
  <c r="AW243" i="31" s="1"/>
  <c r="AX243" i="31" a="1"/>
  <c r="AX243" i="31" s="1"/>
  <c r="AY243" i="31" a="1"/>
  <c r="AY243" i="31" s="1"/>
  <c r="BA243" i="31" a="1"/>
  <c r="BA243" i="31" s="1"/>
  <c r="BB243" i="31" a="1"/>
  <c r="BB243" i="31" s="1"/>
  <c r="BC243" i="31" a="1"/>
  <c r="BC243" i="31" s="1"/>
  <c r="BD243" i="31" a="1"/>
  <c r="BD243" i="31" s="1"/>
  <c r="BE243" i="31" a="1"/>
  <c r="BE243" i="31" s="1"/>
  <c r="BF243" i="31" a="1"/>
  <c r="BF243" i="31" s="1"/>
  <c r="BG243" i="31" a="1"/>
  <c r="BG243" i="31" s="1"/>
  <c r="BH243" i="31" a="1"/>
  <c r="BH243" i="31" s="1"/>
  <c r="BI243" i="31" a="1"/>
  <c r="BI243" i="31" s="1"/>
  <c r="BJ243" i="31" a="1"/>
  <c r="BJ243" i="31" s="1"/>
  <c r="BK243" i="31" a="1"/>
  <c r="BK243" i="31" s="1"/>
  <c r="BL243" i="31" a="1"/>
  <c r="BL243" i="31" s="1"/>
  <c r="BM243" i="31" a="1"/>
  <c r="BM243" i="31" s="1"/>
  <c r="BN243" i="31" a="1"/>
  <c r="BN243" i="31" s="1"/>
  <c r="BO243" i="31" a="1"/>
  <c r="BO243" i="31" s="1"/>
  <c r="BP243" i="31" a="1"/>
  <c r="BP243" i="31" s="1"/>
  <c r="BQ243" i="31" a="1"/>
  <c r="BQ243" i="31" s="1"/>
  <c r="BR243" i="31" a="1"/>
  <c r="BR243" i="31" s="1"/>
  <c r="BS243" i="31" a="1"/>
  <c r="BS243" i="31" s="1"/>
  <c r="BT243" i="31" a="1"/>
  <c r="BT243" i="31" s="1"/>
  <c r="BU243" i="31" a="1"/>
  <c r="BU243" i="31" s="1"/>
  <c r="BV243" i="31" a="1"/>
  <c r="BV243" i="31" s="1"/>
  <c r="BW243" i="31" a="1"/>
  <c r="BW243" i="31" s="1"/>
  <c r="BX243" i="31" a="1"/>
  <c r="BX243" i="31" s="1"/>
  <c r="BY243" i="31" a="1"/>
  <c r="BY243" i="31" s="1"/>
  <c r="BZ243" i="31" a="1"/>
  <c r="BZ243" i="31" s="1"/>
  <c r="CA243" i="31" a="1"/>
  <c r="CA243" i="31" s="1"/>
  <c r="CB243" i="31" a="1"/>
  <c r="CB243" i="31" s="1"/>
  <c r="CC243" i="31" a="1"/>
  <c r="CC243" i="31" s="1"/>
  <c r="BE251" i="31" a="1"/>
  <c r="BE251" i="31" s="1"/>
  <c r="AT251" i="31" a="1"/>
  <c r="AT251" i="31" s="1"/>
  <c r="AU251" i="31" a="1"/>
  <c r="AU251" i="31" s="1"/>
  <c r="AV251" i="31" a="1"/>
  <c r="AV251" i="31" s="1"/>
  <c r="AW251" i="31" a="1"/>
  <c r="AW251" i="31" s="1"/>
  <c r="AX251" i="31" a="1"/>
  <c r="AX251" i="31" s="1"/>
  <c r="AY251" i="31" a="1"/>
  <c r="AY251" i="31" s="1"/>
  <c r="AZ251" i="31" a="1"/>
  <c r="AZ251" i="31" s="1"/>
  <c r="BA251" i="31" a="1"/>
  <c r="BA251" i="31" s="1"/>
  <c r="BB251" i="31" a="1"/>
  <c r="BB251" i="31" s="1"/>
  <c r="BC251" i="31" a="1"/>
  <c r="BC251" i="31" s="1"/>
  <c r="BD251" i="31" a="1"/>
  <c r="BD251" i="31" s="1"/>
  <c r="BF251" i="31" a="1"/>
  <c r="BF251" i="31" s="1"/>
  <c r="BG251" i="31" a="1"/>
  <c r="BG251" i="31" s="1"/>
  <c r="BH251" i="31" a="1"/>
  <c r="BH251" i="31" s="1"/>
  <c r="BI251" i="31" a="1"/>
  <c r="BI251" i="31" s="1"/>
  <c r="BJ251" i="31" a="1"/>
  <c r="BJ251" i="31" s="1"/>
  <c r="BK251" i="31" a="1"/>
  <c r="BK251" i="31" s="1"/>
  <c r="BL251" i="31" a="1"/>
  <c r="BL251" i="31" s="1"/>
  <c r="BM251" i="31" a="1"/>
  <c r="BM251" i="31" s="1"/>
  <c r="BN251" i="31" a="1"/>
  <c r="BN251" i="31" s="1"/>
  <c r="BO251" i="31" a="1"/>
  <c r="BO251" i="31" s="1"/>
  <c r="BP251" i="31" a="1"/>
  <c r="BP251" i="31" s="1"/>
  <c r="BQ251" i="31" a="1"/>
  <c r="BQ251" i="31" s="1"/>
  <c r="BR251" i="31" a="1"/>
  <c r="BR251" i="31" s="1"/>
  <c r="BS251" i="31" a="1"/>
  <c r="BS251" i="31" s="1"/>
  <c r="BT251" i="31" a="1"/>
  <c r="BT251" i="31" s="1"/>
  <c r="BU251" i="31" a="1"/>
  <c r="BU251" i="31" s="1"/>
  <c r="BV251" i="31" a="1"/>
  <c r="BV251" i="31" s="1"/>
  <c r="BW251" i="31" a="1"/>
  <c r="BW251" i="31" s="1"/>
  <c r="BX251" i="31" a="1"/>
  <c r="BX251" i="31" s="1"/>
  <c r="BY251" i="31" a="1"/>
  <c r="BY251" i="31" s="1"/>
  <c r="BZ251" i="31" a="1"/>
  <c r="BZ251" i="31" s="1"/>
  <c r="CA251" i="31" a="1"/>
  <c r="CA251" i="31" s="1"/>
  <c r="CB251" i="31" a="1"/>
  <c r="CB251" i="31" s="1"/>
  <c r="CC251" i="31" a="1"/>
  <c r="CC251" i="31" s="1"/>
  <c r="BT252" i="31" a="1"/>
  <c r="BT252" i="31" s="1"/>
  <c r="AU252" i="31" a="1"/>
  <c r="AU252" i="31" s="1"/>
  <c r="AV252" i="31" a="1"/>
  <c r="AV252" i="31" s="1"/>
  <c r="AW252" i="31" a="1"/>
  <c r="AW252" i="31" s="1"/>
  <c r="AX252" i="31" a="1"/>
  <c r="AX252" i="31" s="1"/>
  <c r="AY252" i="31" a="1"/>
  <c r="AY252" i="31" s="1"/>
  <c r="AZ252" i="31" a="1"/>
  <c r="AZ252" i="31" s="1"/>
  <c r="BA252" i="31" a="1"/>
  <c r="BA252" i="31" s="1"/>
  <c r="BB252" i="31" a="1"/>
  <c r="BB252" i="31" s="1"/>
  <c r="BC252" i="31" a="1"/>
  <c r="BC252" i="31" s="1"/>
  <c r="BD252" i="31" a="1"/>
  <c r="BD252" i="31" s="1"/>
  <c r="BE252" i="31" a="1"/>
  <c r="BE252" i="31" s="1"/>
  <c r="BF252" i="31" a="1"/>
  <c r="BF252" i="31" s="1"/>
  <c r="BG252" i="31" a="1"/>
  <c r="BG252" i="31" s="1"/>
  <c r="BH252" i="31" a="1"/>
  <c r="BH252" i="31" s="1"/>
  <c r="BI252" i="31" a="1"/>
  <c r="BI252" i="31" s="1"/>
  <c r="BJ252" i="31" a="1"/>
  <c r="BJ252" i="31" s="1"/>
  <c r="BK252" i="31" a="1"/>
  <c r="BK252" i="31" s="1"/>
  <c r="BL252" i="31" a="1"/>
  <c r="BL252" i="31" s="1"/>
  <c r="BM252" i="31" a="1"/>
  <c r="BM252" i="31" s="1"/>
  <c r="BN252" i="31" a="1"/>
  <c r="BN252" i="31" s="1"/>
  <c r="BO252" i="31" a="1"/>
  <c r="BO252" i="31" s="1"/>
  <c r="BP252" i="31" a="1"/>
  <c r="BP252" i="31" s="1"/>
  <c r="BQ252" i="31" a="1"/>
  <c r="BQ252" i="31" s="1"/>
  <c r="BR252" i="31" a="1"/>
  <c r="BR252" i="31" s="1"/>
  <c r="BS252" i="31" a="1"/>
  <c r="BS252" i="31" s="1"/>
  <c r="BU252" i="31" a="1"/>
  <c r="BU252" i="31" s="1"/>
  <c r="BV252" i="31" a="1"/>
  <c r="BV252" i="31" s="1"/>
  <c r="BW252" i="31" a="1"/>
  <c r="BW252" i="31" s="1"/>
  <c r="BX252" i="31" a="1"/>
  <c r="BX252" i="31" s="1"/>
  <c r="BY252" i="31" a="1"/>
  <c r="BY252" i="31" s="1"/>
  <c r="BZ252" i="31" a="1"/>
  <c r="BZ252" i="31" s="1"/>
  <c r="CA252" i="31" a="1"/>
  <c r="CA252" i="31" s="1"/>
  <c r="CB252" i="31" a="1"/>
  <c r="CB252" i="31" s="1"/>
  <c r="CC252" i="31" a="1"/>
  <c r="CC252" i="31" s="1"/>
  <c r="BO170" i="31" a="1"/>
  <c r="BO170" i="31" s="1"/>
  <c r="BP170" i="31" a="1"/>
  <c r="BP170" i="31" s="1"/>
  <c r="BQ170" i="31" a="1"/>
  <c r="BQ170" i="31" s="1"/>
  <c r="BR170" i="31" a="1"/>
  <c r="BR170" i="31" s="1"/>
  <c r="BS170" i="31" a="1"/>
  <c r="BS170" i="31" s="1"/>
  <c r="BT170" i="31" a="1"/>
  <c r="BT170" i="31" s="1"/>
  <c r="BU170" i="31" a="1"/>
  <c r="BU170" i="31" s="1"/>
  <c r="BV170" i="31" a="1"/>
  <c r="BV170" i="31" s="1"/>
  <c r="BW170" i="31" a="1"/>
  <c r="BW170" i="31" s="1"/>
  <c r="BX170" i="31" a="1"/>
  <c r="BX170" i="31" s="1"/>
  <c r="BY170" i="31" a="1"/>
  <c r="BY170" i="31" s="1"/>
  <c r="BZ170" i="31" a="1"/>
  <c r="BZ170" i="31" s="1"/>
  <c r="CA170" i="31" a="1"/>
  <c r="CA170" i="31" s="1"/>
  <c r="CB170" i="31" a="1"/>
  <c r="CB170" i="31" s="1"/>
  <c r="CC170" i="31" a="1"/>
  <c r="CC170" i="31" s="1"/>
  <c r="BF249" i="31" a="1"/>
  <c r="BF249" i="31" s="1"/>
  <c r="AR249" i="31" a="1"/>
  <c r="AR249" i="31" s="1"/>
  <c r="AS249" i="31" a="1"/>
  <c r="AS249" i="31" s="1"/>
  <c r="AT249" i="31" a="1"/>
  <c r="AT249" i="31" s="1"/>
  <c r="AU249" i="31" a="1"/>
  <c r="AU249" i="31" s="1"/>
  <c r="AV249" i="31" a="1"/>
  <c r="AV249" i="31" s="1"/>
  <c r="AW249" i="31" a="1"/>
  <c r="AW249" i="31" s="1"/>
  <c r="AX249" i="31" a="1"/>
  <c r="AX249" i="31" s="1"/>
  <c r="AY249" i="31" a="1"/>
  <c r="AY249" i="31" s="1"/>
  <c r="AZ249" i="31" a="1"/>
  <c r="AZ249" i="31" s="1"/>
  <c r="BA249" i="31" a="1"/>
  <c r="BA249" i="31" s="1"/>
  <c r="BB249" i="31" a="1"/>
  <c r="BB249" i="31" s="1"/>
  <c r="BC249" i="31" a="1"/>
  <c r="BC249" i="31" s="1"/>
  <c r="BD249" i="31" a="1"/>
  <c r="BD249" i="31" s="1"/>
  <c r="BE249" i="31" a="1"/>
  <c r="BE249" i="31" s="1"/>
  <c r="BG249" i="31" a="1"/>
  <c r="BG249" i="31" s="1"/>
  <c r="BH249" i="31" a="1"/>
  <c r="BH249" i="31" s="1"/>
  <c r="BI249" i="31" a="1"/>
  <c r="BI249" i="31" s="1"/>
  <c r="BJ249" i="31" a="1"/>
  <c r="BJ249" i="31" s="1"/>
  <c r="BK249" i="31" a="1"/>
  <c r="BK249" i="31" s="1"/>
  <c r="BL249" i="31" a="1"/>
  <c r="BL249" i="31" s="1"/>
  <c r="BM249" i="31" a="1"/>
  <c r="BM249" i="31" s="1"/>
  <c r="BN249" i="31" a="1"/>
  <c r="BN249" i="31" s="1"/>
  <c r="BO249" i="31" a="1"/>
  <c r="BO249" i="31" s="1"/>
  <c r="BP249" i="31" a="1"/>
  <c r="BP249" i="31" s="1"/>
  <c r="BQ249" i="31" a="1"/>
  <c r="BQ249" i="31" s="1"/>
  <c r="BR249" i="31" a="1"/>
  <c r="BR249" i="31" s="1"/>
  <c r="BS249" i="31" a="1"/>
  <c r="BS249" i="31" s="1"/>
  <c r="BT249" i="31" a="1"/>
  <c r="BT249" i="31" s="1"/>
  <c r="BU249" i="31" a="1"/>
  <c r="BU249" i="31" s="1"/>
  <c r="BV249" i="31" a="1"/>
  <c r="BV249" i="31" s="1"/>
  <c r="BW249" i="31" a="1"/>
  <c r="BW249" i="31" s="1"/>
  <c r="BX249" i="31" a="1"/>
  <c r="BX249" i="31" s="1"/>
  <c r="BY249" i="31" a="1"/>
  <c r="BY249" i="31" s="1"/>
  <c r="BZ249" i="31" a="1"/>
  <c r="BZ249" i="31" s="1"/>
  <c r="CA249" i="31" a="1"/>
  <c r="CA249" i="31" s="1"/>
  <c r="CB249" i="31" a="1"/>
  <c r="CB249" i="31" s="1"/>
  <c r="CC249" i="31" a="1"/>
  <c r="CC249" i="31" s="1"/>
  <c r="BP171" i="31" a="1"/>
  <c r="BP171" i="31" s="1"/>
  <c r="BQ171" i="31" a="1"/>
  <c r="BQ171" i="31" s="1"/>
  <c r="BR171" i="31" a="1"/>
  <c r="BR171" i="31" s="1"/>
  <c r="BS171" i="31" a="1"/>
  <c r="BS171" i="31" s="1"/>
  <c r="BT171" i="31" a="1"/>
  <c r="BT171" i="31" s="1"/>
  <c r="BU171" i="31" a="1"/>
  <c r="BU171" i="31" s="1"/>
  <c r="BV171" i="31" a="1"/>
  <c r="BV171" i="31" s="1"/>
  <c r="BW171" i="31" a="1"/>
  <c r="BW171" i="31" s="1"/>
  <c r="BX171" i="31" a="1"/>
  <c r="BX171" i="31" s="1"/>
  <c r="BY171" i="31" a="1"/>
  <c r="BY171" i="31" s="1"/>
  <c r="BZ171" i="31" a="1"/>
  <c r="BZ171" i="31" s="1"/>
  <c r="CA171" i="31" a="1"/>
  <c r="CA171" i="31" s="1"/>
  <c r="CB171" i="31" a="1"/>
  <c r="CB171" i="31" s="1"/>
  <c r="CC171" i="31" a="1"/>
  <c r="CC171" i="31" s="1"/>
  <c r="BX230" i="31" a="1"/>
  <c r="BX230" i="31" s="1"/>
  <c r="BY230" i="31" a="1"/>
  <c r="BY230" i="31" s="1"/>
  <c r="BZ230" i="31" a="1"/>
  <c r="BZ230" i="31" s="1"/>
  <c r="CA230" i="31" a="1"/>
  <c r="CA230" i="31" s="1"/>
  <c r="CB230" i="31" a="1"/>
  <c r="CB230" i="31" s="1"/>
  <c r="CC230" i="31" a="1"/>
  <c r="CC230" i="31" s="1"/>
  <c r="CB183" i="31" a="1"/>
  <c r="CB183" i="31" s="1"/>
  <c r="CC183" i="31" a="1"/>
  <c r="CC183" i="31" s="1"/>
  <c r="CA182" i="31" a="1"/>
  <c r="CA182" i="31" s="1"/>
  <c r="CB182" i="31" a="1"/>
  <c r="CB182" i="31" s="1"/>
  <c r="CC182" i="31" a="1"/>
  <c r="CC182" i="31" s="1"/>
  <c r="CB234" i="31" a="1"/>
  <c r="CB234" i="31" s="1"/>
  <c r="CC234" i="31" a="1"/>
  <c r="CC234" i="31" s="1"/>
  <c r="BY231" i="31" a="1"/>
  <c r="BY231" i="31" s="1"/>
  <c r="BZ231" i="31" a="1"/>
  <c r="BZ231" i="31" s="1"/>
  <c r="CA231" i="31" a="1"/>
  <c r="CA231" i="31" s="1"/>
  <c r="CB231" i="31" a="1"/>
  <c r="CB231" i="31" s="1"/>
  <c r="CC231" i="31" a="1"/>
  <c r="CC231" i="31" s="1"/>
  <c r="BK166" i="31" a="1"/>
  <c r="BK166" i="31" s="1"/>
  <c r="BL166" i="31" a="1"/>
  <c r="BL166" i="31" s="1"/>
  <c r="BM166" i="31" a="1"/>
  <c r="BM166" i="31" s="1"/>
  <c r="BN166" i="31" a="1"/>
  <c r="BN166" i="31" s="1"/>
  <c r="BO166" i="31" a="1"/>
  <c r="BO166" i="31" s="1"/>
  <c r="BP166" i="31" a="1"/>
  <c r="BP166" i="31" s="1"/>
  <c r="BQ166" i="31" a="1"/>
  <c r="BQ166" i="31" s="1"/>
  <c r="BR166" i="31" a="1"/>
  <c r="BR166" i="31" s="1"/>
  <c r="BS166" i="31" a="1"/>
  <c r="BS166" i="31" s="1"/>
  <c r="BT166" i="31" a="1"/>
  <c r="BT166" i="31" s="1"/>
  <c r="BU166" i="31" a="1"/>
  <c r="BU166" i="31" s="1"/>
  <c r="BV166" i="31" a="1"/>
  <c r="BV166" i="31" s="1"/>
  <c r="BW166" i="31" a="1"/>
  <c r="BW166" i="31" s="1"/>
  <c r="BX166" i="31" a="1"/>
  <c r="BX166" i="31" s="1"/>
  <c r="BY166" i="31" a="1"/>
  <c r="BY166" i="31" s="1"/>
  <c r="BZ166" i="31" a="1"/>
  <c r="BZ166" i="31" s="1"/>
  <c r="CA166" i="31" a="1"/>
  <c r="CA166" i="31" s="1"/>
  <c r="CB166" i="31" a="1"/>
  <c r="CB166" i="31" s="1"/>
  <c r="CC166" i="31" a="1"/>
  <c r="CC166" i="31" s="1"/>
  <c r="BH163" i="31" a="1"/>
  <c r="BH163" i="31" s="1"/>
  <c r="BI163" i="31" a="1"/>
  <c r="BI163" i="31" s="1"/>
  <c r="BJ163" i="31" a="1"/>
  <c r="BJ163" i="31" s="1"/>
  <c r="BK163" i="31" a="1"/>
  <c r="BK163" i="31" s="1"/>
  <c r="BL163" i="31" a="1"/>
  <c r="BL163" i="31" s="1"/>
  <c r="BM163" i="31" a="1"/>
  <c r="BM163" i="31" s="1"/>
  <c r="BN163" i="31" a="1"/>
  <c r="BN163" i="31" s="1"/>
  <c r="BO163" i="31" a="1"/>
  <c r="BO163" i="31" s="1"/>
  <c r="BP163" i="31" a="1"/>
  <c r="BP163" i="31" s="1"/>
  <c r="BQ163" i="31" a="1"/>
  <c r="BQ163" i="31" s="1"/>
  <c r="BR163" i="31" a="1"/>
  <c r="BR163" i="31" s="1"/>
  <c r="BS163" i="31" a="1"/>
  <c r="BS163" i="31" s="1"/>
  <c r="BT163" i="31" a="1"/>
  <c r="BT163" i="31" s="1"/>
  <c r="BU163" i="31" a="1"/>
  <c r="BU163" i="31" s="1"/>
  <c r="BV163" i="31" a="1"/>
  <c r="BV163" i="31" s="1"/>
  <c r="BW163" i="31" a="1"/>
  <c r="BW163" i="31" s="1"/>
  <c r="BX163" i="31" a="1"/>
  <c r="BX163" i="31" s="1"/>
  <c r="BY163" i="31" a="1"/>
  <c r="BY163" i="31" s="1"/>
  <c r="BZ163" i="31" a="1"/>
  <c r="BZ163" i="31" s="1"/>
  <c r="CA163" i="31" a="1"/>
  <c r="CA163" i="31" s="1"/>
  <c r="CB163" i="31" a="1"/>
  <c r="CB163" i="31" s="1"/>
  <c r="CC163" i="31" a="1"/>
  <c r="CC163" i="31" s="1"/>
  <c r="BW229" i="31" a="1"/>
  <c r="BW229" i="31" s="1"/>
  <c r="BX229" i="31" a="1"/>
  <c r="BX229" i="31" s="1"/>
  <c r="BY229" i="31" a="1"/>
  <c r="BY229" i="31" s="1"/>
  <c r="BZ229" i="31" a="1"/>
  <c r="BZ229" i="31" s="1"/>
  <c r="CA229" i="31" a="1"/>
  <c r="CA229" i="31" s="1"/>
  <c r="CB229" i="31" a="1"/>
  <c r="CB229" i="31" s="1"/>
  <c r="CC229" i="31" a="1"/>
  <c r="CC229" i="31" s="1"/>
  <c r="AV151" i="31" a="1"/>
  <c r="AV151" i="31" s="1"/>
  <c r="AW151" i="31" a="1"/>
  <c r="AW151" i="31" s="1"/>
  <c r="AX151" i="31" a="1"/>
  <c r="AX151" i="31" s="1"/>
  <c r="AY151" i="31" a="1"/>
  <c r="AY151" i="31" s="1"/>
  <c r="AZ151" i="31" a="1"/>
  <c r="AZ151" i="31" s="1"/>
  <c r="BA151" i="31" a="1"/>
  <c r="BA151" i="31" s="1"/>
  <c r="BB151" i="31" a="1"/>
  <c r="BB151" i="31" s="1"/>
  <c r="BC151" i="31" a="1"/>
  <c r="BC151" i="31" s="1"/>
  <c r="BD151" i="31" a="1"/>
  <c r="BD151" i="31" s="1"/>
  <c r="BE151" i="31" a="1"/>
  <c r="BE151" i="31" s="1"/>
  <c r="BF151" i="31" a="1"/>
  <c r="BF151" i="31" s="1"/>
  <c r="BG151" i="31" a="1"/>
  <c r="BG151" i="31" s="1"/>
  <c r="BH151" i="31" a="1"/>
  <c r="BH151" i="31" s="1"/>
  <c r="BI151" i="31" a="1"/>
  <c r="BI151" i="31" s="1"/>
  <c r="BJ151" i="31" a="1"/>
  <c r="BJ151" i="31" s="1"/>
  <c r="BK151" i="31" a="1"/>
  <c r="BK151" i="31" s="1"/>
  <c r="BL151" i="31" a="1"/>
  <c r="BL151" i="31" s="1"/>
  <c r="BM151" i="31" a="1"/>
  <c r="BM151" i="31" s="1"/>
  <c r="BN151" i="31" a="1"/>
  <c r="BN151" i="31" s="1"/>
  <c r="BO151" i="31" a="1"/>
  <c r="BO151" i="31" s="1"/>
  <c r="BP151" i="31" a="1"/>
  <c r="BP151" i="31" s="1"/>
  <c r="BQ151" i="31" a="1"/>
  <c r="BQ151" i="31" s="1"/>
  <c r="BR151" i="31" a="1"/>
  <c r="BR151" i="31" s="1"/>
  <c r="BS151" i="31" a="1"/>
  <c r="BS151" i="31" s="1"/>
  <c r="BT151" i="31" a="1"/>
  <c r="BT151" i="31" s="1"/>
  <c r="BU151" i="31" a="1"/>
  <c r="BU151" i="31" s="1"/>
  <c r="BV151" i="31" a="1"/>
  <c r="BV151" i="31" s="1"/>
  <c r="BW151" i="31" a="1"/>
  <c r="BW151" i="31" s="1"/>
  <c r="BX151" i="31" a="1"/>
  <c r="BX151" i="31" s="1"/>
  <c r="BY151" i="31" a="1"/>
  <c r="BY151" i="31" s="1"/>
  <c r="BZ151" i="31" a="1"/>
  <c r="BZ151" i="31" s="1"/>
  <c r="CA151" i="31" a="1"/>
  <c r="CA151" i="31" s="1"/>
  <c r="CB151" i="31" a="1"/>
  <c r="CB151" i="31" s="1"/>
  <c r="CC151" i="31" a="1"/>
  <c r="CC151" i="31" s="1"/>
  <c r="BT226" i="31" a="1"/>
  <c r="BT226" i="31" s="1"/>
  <c r="BU226" i="31" a="1"/>
  <c r="BU226" i="31" s="1"/>
  <c r="BV226" i="31" a="1"/>
  <c r="BV226" i="31" s="1"/>
  <c r="BW226" i="31" a="1"/>
  <c r="BW226" i="31" s="1"/>
  <c r="BX226" i="31" a="1"/>
  <c r="BX226" i="31" s="1"/>
  <c r="BY226" i="31" a="1"/>
  <c r="BY226" i="31" s="1"/>
  <c r="BZ226" i="31" a="1"/>
  <c r="BZ226" i="31" s="1"/>
  <c r="CA226" i="31" a="1"/>
  <c r="CA226" i="31" s="1"/>
  <c r="CB226" i="31" a="1"/>
  <c r="CB226" i="31" s="1"/>
  <c r="CC226" i="31" a="1"/>
  <c r="CC226" i="31" s="1"/>
  <c r="BC158" i="31" a="1"/>
  <c r="BC158" i="31" s="1"/>
  <c r="BD158" i="31" a="1"/>
  <c r="BD158" i="31" s="1"/>
  <c r="BE158" i="31" a="1"/>
  <c r="BE158" i="31" s="1"/>
  <c r="BF158" i="31" a="1"/>
  <c r="BF158" i="31" s="1"/>
  <c r="BG158" i="31" a="1"/>
  <c r="BG158" i="31" s="1"/>
  <c r="BH158" i="31" a="1"/>
  <c r="BH158" i="31" s="1"/>
  <c r="BI158" i="31" a="1"/>
  <c r="BI158" i="31" s="1"/>
  <c r="BJ158" i="31" a="1"/>
  <c r="BJ158" i="31" s="1"/>
  <c r="BK158" i="31" a="1"/>
  <c r="BK158" i="31" s="1"/>
  <c r="BL158" i="31" a="1"/>
  <c r="BL158" i="31" s="1"/>
  <c r="BM158" i="31" a="1"/>
  <c r="BM158" i="31" s="1"/>
  <c r="BN158" i="31" a="1"/>
  <c r="BN158" i="31" s="1"/>
  <c r="BO158" i="31" a="1"/>
  <c r="BO158" i="31" s="1"/>
  <c r="BP158" i="31" a="1"/>
  <c r="BP158" i="31" s="1"/>
  <c r="BQ158" i="31" a="1"/>
  <c r="BQ158" i="31" s="1"/>
  <c r="BR158" i="31" a="1"/>
  <c r="BR158" i="31" s="1"/>
  <c r="BS158" i="31" a="1"/>
  <c r="BS158" i="31" s="1"/>
  <c r="BT158" i="31" a="1"/>
  <c r="BT158" i="31" s="1"/>
  <c r="BU158" i="31" a="1"/>
  <c r="BU158" i="31" s="1"/>
  <c r="BV158" i="31" a="1"/>
  <c r="BV158" i="31" s="1"/>
  <c r="BW158" i="31" a="1"/>
  <c r="BW158" i="31" s="1"/>
  <c r="BX158" i="31" a="1"/>
  <c r="BX158" i="31" s="1"/>
  <c r="BY158" i="31" a="1"/>
  <c r="BY158" i="31" s="1"/>
  <c r="BZ158" i="31" a="1"/>
  <c r="BZ158" i="31" s="1"/>
  <c r="CA158" i="31" a="1"/>
  <c r="CA158" i="31" s="1"/>
  <c r="CB158" i="31" a="1"/>
  <c r="CB158" i="31" s="1"/>
  <c r="CC158" i="31" a="1"/>
  <c r="CC158" i="31" s="1"/>
  <c r="AZ53" i="31" a="1"/>
  <c r="AZ53" i="31" s="1"/>
  <c r="BA53" i="31" a="1"/>
  <c r="BA53" i="31" s="1"/>
  <c r="BB53" i="31" a="1"/>
  <c r="BB53" i="31" s="1"/>
  <c r="BC53" i="31" a="1"/>
  <c r="BC53" i="31" s="1"/>
  <c r="BD53" i="31" a="1"/>
  <c r="BD53" i="31" s="1"/>
  <c r="BE53" i="31" a="1"/>
  <c r="BE53" i="31" s="1"/>
  <c r="BF53" i="31" a="1"/>
  <c r="BF53" i="31" s="1"/>
  <c r="BG53" i="31" a="1"/>
  <c r="BG53" i="31" s="1"/>
  <c r="BH53" i="31" a="1"/>
  <c r="BH53" i="31" s="1"/>
  <c r="BI53" i="31" a="1"/>
  <c r="BI53" i="31" s="1"/>
  <c r="BJ53" i="31" a="1"/>
  <c r="BJ53" i="31" s="1"/>
  <c r="BK53" i="31" a="1"/>
  <c r="BK53" i="31" s="1"/>
  <c r="BL53" i="31" a="1"/>
  <c r="BL53" i="31" s="1"/>
  <c r="BM53" i="31" a="1"/>
  <c r="BM53" i="31" s="1"/>
  <c r="BN53" i="31" a="1"/>
  <c r="BN53" i="31" s="1"/>
  <c r="BO53" i="31" a="1"/>
  <c r="BO53" i="31" s="1"/>
  <c r="BP53" i="31" a="1"/>
  <c r="BP53" i="31" s="1"/>
  <c r="BQ53" i="31" a="1"/>
  <c r="BQ53" i="31" s="1"/>
  <c r="BR53" i="31" a="1"/>
  <c r="BR53" i="31" s="1"/>
  <c r="BS53" i="31" a="1"/>
  <c r="BS53" i="31" s="1"/>
  <c r="BT53" i="31" a="1"/>
  <c r="BT53" i="31" s="1"/>
  <c r="BU53" i="31" a="1"/>
  <c r="BU53" i="31" s="1"/>
  <c r="BV53" i="31" a="1"/>
  <c r="BV53" i="31" s="1"/>
  <c r="BW53" i="31" a="1"/>
  <c r="BW53" i="31" s="1"/>
  <c r="BX53" i="31" a="1"/>
  <c r="BX53" i="31" s="1"/>
  <c r="BY53" i="31" a="1"/>
  <c r="BY53" i="31" s="1"/>
  <c r="BZ53" i="31" a="1"/>
  <c r="BZ53" i="31" s="1"/>
  <c r="CA53" i="31" a="1"/>
  <c r="CA53" i="31" s="1"/>
  <c r="CB53" i="31" a="1"/>
  <c r="CB53" i="31" s="1"/>
  <c r="CC53" i="31" a="1"/>
  <c r="CC53" i="31" s="1"/>
  <c r="BT73" i="31" a="1"/>
  <c r="BT73" i="31" s="1"/>
  <c r="AB73" i="31" s="1"/>
  <c r="BU73" i="31" a="1"/>
  <c r="BU73" i="31" s="1"/>
  <c r="BV73" i="31" a="1"/>
  <c r="BV73" i="31" s="1"/>
  <c r="BW73" i="31" a="1"/>
  <c r="BW73" i="31" s="1"/>
  <c r="BX73" i="31" a="1"/>
  <c r="BX73" i="31" s="1"/>
  <c r="BY73" i="31" a="1"/>
  <c r="BY73" i="31" s="1"/>
  <c r="BZ73" i="31" a="1"/>
  <c r="BZ73" i="31" s="1"/>
  <c r="CA73" i="31" a="1"/>
  <c r="CA73" i="31" s="1"/>
  <c r="CB73" i="31" a="1"/>
  <c r="CB73" i="31" s="1"/>
  <c r="CC73" i="31" a="1"/>
  <c r="CC73" i="31" s="1"/>
  <c r="AP43" i="31" a="1"/>
  <c r="AP43" i="31" s="1"/>
  <c r="AQ43" i="31" a="1"/>
  <c r="AQ43" i="31" s="1"/>
  <c r="AR43" i="31" a="1"/>
  <c r="AR43" i="31" s="1"/>
  <c r="AS43" i="31" a="1"/>
  <c r="AS43" i="31" s="1"/>
  <c r="AT43" i="31" a="1"/>
  <c r="AT43" i="31" s="1"/>
  <c r="AU43" i="31" a="1"/>
  <c r="AU43" i="31" s="1"/>
  <c r="AV43" i="31" a="1"/>
  <c r="AV43" i="31" s="1"/>
  <c r="AW43" i="31" a="1"/>
  <c r="AW43" i="31" s="1"/>
  <c r="AX43" i="31" a="1"/>
  <c r="AX43" i="31" s="1"/>
  <c r="AY43" i="31" a="1"/>
  <c r="AY43" i="31" s="1"/>
  <c r="AZ43" i="31" a="1"/>
  <c r="AZ43" i="31" s="1"/>
  <c r="BA43" i="31" a="1"/>
  <c r="BA43" i="31" s="1"/>
  <c r="BB43" i="31" a="1"/>
  <c r="BB43" i="31" s="1"/>
  <c r="BC43" i="31" a="1"/>
  <c r="BC43" i="31" s="1"/>
  <c r="BD43" i="31" a="1"/>
  <c r="BD43" i="31" s="1"/>
  <c r="BE43" i="31" a="1"/>
  <c r="BE43" i="31" s="1"/>
  <c r="BF43" i="31" a="1"/>
  <c r="BF43" i="31" s="1"/>
  <c r="BG43" i="31" a="1"/>
  <c r="BG43" i="31" s="1"/>
  <c r="BH43" i="31" a="1"/>
  <c r="BH43" i="31" s="1"/>
  <c r="BI43" i="31" a="1"/>
  <c r="BI43" i="31" s="1"/>
  <c r="BJ43" i="31" a="1"/>
  <c r="BJ43" i="31" s="1"/>
  <c r="BK43" i="31" a="1"/>
  <c r="BK43" i="31" s="1"/>
  <c r="BL43" i="31" a="1"/>
  <c r="BL43" i="31" s="1"/>
  <c r="BM43" i="31" a="1"/>
  <c r="BM43" i="31" s="1"/>
  <c r="BN43" i="31" a="1"/>
  <c r="BN43" i="31" s="1"/>
  <c r="BO43" i="31" a="1"/>
  <c r="BO43" i="31" s="1"/>
  <c r="BP43" i="31" a="1"/>
  <c r="BP43" i="31" s="1"/>
  <c r="BQ43" i="31" a="1"/>
  <c r="BQ43" i="31" s="1"/>
  <c r="BR43" i="31" a="1"/>
  <c r="BR43" i="31" s="1"/>
  <c r="BS43" i="31" a="1"/>
  <c r="BS43" i="31" s="1"/>
  <c r="BT43" i="31" a="1"/>
  <c r="BT43" i="31" s="1"/>
  <c r="BU43" i="31" a="1"/>
  <c r="BU43" i="31" s="1"/>
  <c r="BV43" i="31" a="1"/>
  <c r="BV43" i="31" s="1"/>
  <c r="BW43" i="31" a="1"/>
  <c r="BW43" i="31" s="1"/>
  <c r="BX43" i="31" a="1"/>
  <c r="BX43" i="31" s="1"/>
  <c r="BY43" i="31" a="1"/>
  <c r="BY43" i="31" s="1"/>
  <c r="BZ43" i="31" a="1"/>
  <c r="BZ43" i="31" s="1"/>
  <c r="CA43" i="31" a="1"/>
  <c r="CA43" i="31" s="1"/>
  <c r="CB43" i="31" a="1"/>
  <c r="CB43" i="31" s="1"/>
  <c r="CC43" i="31" a="1"/>
  <c r="CC43" i="31" s="1"/>
  <c r="AL90" i="31" a="1"/>
  <c r="AL90" i="31" s="1"/>
  <c r="AM90" i="31" a="1"/>
  <c r="AM90" i="31" s="1"/>
  <c r="AN90" i="31" a="1"/>
  <c r="AN90" i="31" s="1"/>
  <c r="AO90" i="31" a="1"/>
  <c r="AO90" i="31" s="1"/>
  <c r="AP90" i="31" a="1"/>
  <c r="AP90" i="31" s="1"/>
  <c r="AQ90" i="31" a="1"/>
  <c r="AQ90" i="31" s="1"/>
  <c r="AR90" i="31" a="1"/>
  <c r="AR90" i="31" s="1"/>
  <c r="AS90" i="31" a="1"/>
  <c r="AS90" i="31" s="1"/>
  <c r="AT90" i="31" a="1"/>
  <c r="AT90" i="31" s="1"/>
  <c r="AU90" i="31" a="1"/>
  <c r="AU90" i="31" s="1"/>
  <c r="AV90" i="31" a="1"/>
  <c r="AV90" i="31" s="1"/>
  <c r="AW90" i="31" a="1"/>
  <c r="AW90" i="31" s="1"/>
  <c r="AX90" i="31" a="1"/>
  <c r="AX90" i="31" s="1"/>
  <c r="AY90" i="31" a="1"/>
  <c r="AY90" i="31" s="1"/>
  <c r="AZ90" i="31" a="1"/>
  <c r="AZ90" i="31" s="1"/>
  <c r="BA90" i="31" a="1"/>
  <c r="BA90" i="31" s="1"/>
  <c r="BB90" i="31" a="1"/>
  <c r="BB90" i="31" s="1"/>
  <c r="BC90" i="31" a="1"/>
  <c r="BC90" i="31" s="1"/>
  <c r="BD90" i="31" a="1"/>
  <c r="BD90" i="31" s="1"/>
  <c r="BE90" i="31" a="1"/>
  <c r="BE90" i="31" s="1"/>
  <c r="BF90" i="31" a="1"/>
  <c r="BF90" i="31" s="1"/>
  <c r="BG90" i="31" a="1"/>
  <c r="BG90" i="31" s="1"/>
  <c r="BH90" i="31" a="1"/>
  <c r="BH90" i="31" s="1"/>
  <c r="BI90" i="31" a="1"/>
  <c r="BI90" i="31" s="1"/>
  <c r="BJ90" i="31" a="1"/>
  <c r="BJ90" i="31" s="1"/>
  <c r="BK90" i="31" a="1"/>
  <c r="BK90" i="31" s="1"/>
  <c r="BL90" i="31" a="1"/>
  <c r="BL90" i="31" s="1"/>
  <c r="BM90" i="31" a="1"/>
  <c r="BM90" i="31" s="1"/>
  <c r="BN90" i="31" a="1"/>
  <c r="BN90" i="31" s="1"/>
  <c r="BO90" i="31" a="1"/>
  <c r="BO90" i="31" s="1"/>
  <c r="BP90" i="31" a="1"/>
  <c r="BP90" i="31" s="1"/>
  <c r="BQ90" i="31" a="1"/>
  <c r="BQ90" i="31" s="1"/>
  <c r="BR90" i="31" a="1"/>
  <c r="BR90" i="31" s="1"/>
  <c r="BS90" i="31" a="1"/>
  <c r="BS90" i="31" s="1"/>
  <c r="BT90" i="31" a="1"/>
  <c r="BT90" i="31" s="1"/>
  <c r="BU90" i="31" a="1"/>
  <c r="BU90" i="31" s="1"/>
  <c r="BV90" i="31" a="1"/>
  <c r="BV90" i="31" s="1"/>
  <c r="BW90" i="31" a="1"/>
  <c r="BW90" i="31" s="1"/>
  <c r="BX90" i="31" a="1"/>
  <c r="BX90" i="31" s="1"/>
  <c r="BY90" i="31" a="1"/>
  <c r="BY90" i="31" s="1"/>
  <c r="BZ90" i="31" a="1"/>
  <c r="BZ90" i="31" s="1"/>
  <c r="CA90" i="31" a="1"/>
  <c r="CA90" i="31" s="1"/>
  <c r="CB90" i="31" a="1"/>
  <c r="CB90" i="31" s="1"/>
  <c r="CC90" i="31" a="1"/>
  <c r="CC90" i="31" s="1"/>
  <c r="BS123" i="31" a="1"/>
  <c r="BS123" i="31" s="1"/>
  <c r="BT123" i="31" a="1"/>
  <c r="BT123" i="31" s="1"/>
  <c r="BU123" i="31" a="1"/>
  <c r="BU123" i="31" s="1"/>
  <c r="BV123" i="31" a="1"/>
  <c r="BV123" i="31" s="1"/>
  <c r="BW123" i="31" a="1"/>
  <c r="BW123" i="31" s="1"/>
  <c r="BX123" i="31" a="1"/>
  <c r="BX123" i="31" s="1"/>
  <c r="BY123" i="31" a="1"/>
  <c r="BY123" i="31" s="1"/>
  <c r="BZ123" i="31" a="1"/>
  <c r="BZ123" i="31" s="1"/>
  <c r="CA123" i="31" a="1"/>
  <c r="CA123" i="31" s="1"/>
  <c r="CB123" i="31" a="1"/>
  <c r="CB123" i="31" s="1"/>
  <c r="CC123" i="31" a="1"/>
  <c r="CC123" i="31" s="1"/>
  <c r="AV100" i="31" a="1"/>
  <c r="AV100" i="31" s="1"/>
  <c r="AW100" i="31" a="1"/>
  <c r="AW100" i="31" s="1"/>
  <c r="AX100" i="31" a="1"/>
  <c r="AX100" i="31" s="1"/>
  <c r="AY100" i="31" a="1"/>
  <c r="AY100" i="31" s="1"/>
  <c r="AZ100" i="31" a="1"/>
  <c r="AZ100" i="31" s="1"/>
  <c r="BA100" i="31" a="1"/>
  <c r="BA100" i="31" s="1"/>
  <c r="BB100" i="31" a="1"/>
  <c r="BB100" i="31" s="1"/>
  <c r="BC100" i="31" a="1"/>
  <c r="BC100" i="31" s="1"/>
  <c r="BD100" i="31" a="1"/>
  <c r="BD100" i="31" s="1"/>
  <c r="BE100" i="31" a="1"/>
  <c r="BE100" i="31" s="1"/>
  <c r="BF100" i="31" a="1"/>
  <c r="BF100" i="31" s="1"/>
  <c r="BG100" i="31" a="1"/>
  <c r="BG100" i="31" s="1"/>
  <c r="BH100" i="31" a="1"/>
  <c r="BH100" i="31" s="1"/>
  <c r="BI100" i="31" a="1"/>
  <c r="BI100" i="31" s="1"/>
  <c r="BJ100" i="31" a="1"/>
  <c r="BJ100" i="31" s="1"/>
  <c r="BK100" i="31" a="1"/>
  <c r="BK100" i="31" s="1"/>
  <c r="BL100" i="31" a="1"/>
  <c r="BL100" i="31" s="1"/>
  <c r="BM100" i="31" a="1"/>
  <c r="BM100" i="31" s="1"/>
  <c r="BN100" i="31" a="1"/>
  <c r="BN100" i="31" s="1"/>
  <c r="BO100" i="31" a="1"/>
  <c r="BO100" i="31" s="1"/>
  <c r="BP100" i="31" a="1"/>
  <c r="BP100" i="31" s="1"/>
  <c r="BQ100" i="31" a="1"/>
  <c r="BQ100" i="31" s="1"/>
  <c r="BR100" i="31" a="1"/>
  <c r="BR100" i="31" s="1"/>
  <c r="BS100" i="31" a="1"/>
  <c r="BS100" i="31" s="1"/>
  <c r="BT100" i="31" a="1"/>
  <c r="BT100" i="31" s="1"/>
  <c r="BU100" i="31" a="1"/>
  <c r="BU100" i="31" s="1"/>
  <c r="BV100" i="31" a="1"/>
  <c r="BV100" i="31" s="1"/>
  <c r="BW100" i="31" a="1"/>
  <c r="BW100" i="31" s="1"/>
  <c r="BX100" i="31" a="1"/>
  <c r="BX100" i="31" s="1"/>
  <c r="BY100" i="31" a="1"/>
  <c r="BY100" i="31" s="1"/>
  <c r="BZ100" i="31" a="1"/>
  <c r="BZ100" i="31" s="1"/>
  <c r="CA100" i="31" a="1"/>
  <c r="CA100" i="31" s="1"/>
  <c r="CB100" i="31" a="1"/>
  <c r="CB100" i="31" s="1"/>
  <c r="CC100" i="31" a="1"/>
  <c r="CC100" i="31" s="1"/>
  <c r="BM66" i="31" a="1"/>
  <c r="BM66" i="31" s="1"/>
  <c r="BN66" i="31" a="1"/>
  <c r="BN66" i="31" s="1"/>
  <c r="BO66" i="31" a="1"/>
  <c r="BO66" i="31" s="1"/>
  <c r="BP66" i="31" a="1"/>
  <c r="BP66" i="31" s="1"/>
  <c r="BQ66" i="31" a="1"/>
  <c r="BQ66" i="31" s="1"/>
  <c r="BR66" i="31" a="1"/>
  <c r="BR66" i="31" s="1"/>
  <c r="BS66" i="31" a="1"/>
  <c r="BS66" i="31" s="1"/>
  <c r="BT66" i="31" a="1"/>
  <c r="BT66" i="31" s="1"/>
  <c r="BU66" i="31" a="1"/>
  <c r="BU66" i="31" s="1"/>
  <c r="BV66" i="31" a="1"/>
  <c r="BV66" i="31" s="1"/>
  <c r="BW66" i="31" a="1"/>
  <c r="BW66" i="31" s="1"/>
  <c r="BX66" i="31" a="1"/>
  <c r="BX66" i="31" s="1"/>
  <c r="BY66" i="31" a="1"/>
  <c r="BY66" i="31" s="1"/>
  <c r="BZ66" i="31" a="1"/>
  <c r="BZ66" i="31" s="1"/>
  <c r="CA66" i="31" a="1"/>
  <c r="CA66" i="31" s="1"/>
  <c r="CB66" i="31" a="1"/>
  <c r="CB66" i="31" s="1"/>
  <c r="CC66" i="31" a="1"/>
  <c r="CC66" i="31" s="1"/>
  <c r="AY52" i="31" a="1"/>
  <c r="AY52" i="31" s="1"/>
  <c r="AZ52" i="31" a="1"/>
  <c r="AZ52" i="31" s="1"/>
  <c r="BA52" i="31" a="1"/>
  <c r="BA52" i="31" s="1"/>
  <c r="BB52" i="31" a="1"/>
  <c r="BB52" i="31" s="1"/>
  <c r="BC52" i="31" a="1"/>
  <c r="BC52" i="31" s="1"/>
  <c r="BD52" i="31" a="1"/>
  <c r="BD52" i="31" s="1"/>
  <c r="BE52" i="31" a="1"/>
  <c r="BE52" i="31" s="1"/>
  <c r="BF52" i="31" a="1"/>
  <c r="BF52" i="31" s="1"/>
  <c r="BG52" i="31" a="1"/>
  <c r="BG52" i="31" s="1"/>
  <c r="BH52" i="31" a="1"/>
  <c r="BH52" i="31" s="1"/>
  <c r="BI52" i="31" a="1"/>
  <c r="BI52" i="31" s="1"/>
  <c r="BJ52" i="31" a="1"/>
  <c r="BJ52" i="31" s="1"/>
  <c r="BK52" i="31" a="1"/>
  <c r="BK52" i="31" s="1"/>
  <c r="BL52" i="31" a="1"/>
  <c r="BL52" i="31" s="1"/>
  <c r="BM52" i="31" a="1"/>
  <c r="BM52" i="31" s="1"/>
  <c r="BN52" i="31" a="1"/>
  <c r="BN52" i="31" s="1"/>
  <c r="BO52" i="31" a="1"/>
  <c r="BO52" i="31" s="1"/>
  <c r="BP52" i="31" a="1"/>
  <c r="BP52" i="31" s="1"/>
  <c r="BQ52" i="31" a="1"/>
  <c r="BQ52" i="31" s="1"/>
  <c r="BR52" i="31" a="1"/>
  <c r="BR52" i="31" s="1"/>
  <c r="BS52" i="31" a="1"/>
  <c r="BS52" i="31" s="1"/>
  <c r="BT52" i="31" a="1"/>
  <c r="BT52" i="31" s="1"/>
  <c r="BU52" i="31" a="1"/>
  <c r="BU52" i="31" s="1"/>
  <c r="BV52" i="31" a="1"/>
  <c r="BV52" i="31" s="1"/>
  <c r="BW52" i="31" a="1"/>
  <c r="BW52" i="31" s="1"/>
  <c r="BX52" i="31" a="1"/>
  <c r="BX52" i="31" s="1"/>
  <c r="BY52" i="31" a="1"/>
  <c r="BY52" i="31" s="1"/>
  <c r="BZ52" i="31" a="1"/>
  <c r="BZ52" i="31" s="1"/>
  <c r="CA52" i="31" a="1"/>
  <c r="CA52" i="31" s="1"/>
  <c r="CB52" i="31" a="1"/>
  <c r="CB52" i="31" s="1"/>
  <c r="CC52" i="31" a="1"/>
  <c r="CC52" i="31" s="1"/>
  <c r="BU74" i="31" a="1"/>
  <c r="BU74" i="31" s="1"/>
  <c r="BV74" i="31" a="1"/>
  <c r="BV74" i="31" s="1"/>
  <c r="BW74" i="31" a="1"/>
  <c r="BW74" i="31" s="1"/>
  <c r="BX74" i="31" a="1"/>
  <c r="BX74" i="31" s="1"/>
  <c r="BY74" i="31" a="1"/>
  <c r="BY74" i="31" s="1"/>
  <c r="BZ74" i="31" a="1"/>
  <c r="BZ74" i="31" s="1"/>
  <c r="CA74" i="31" a="1"/>
  <c r="CA74" i="31" s="1"/>
  <c r="CB74" i="31" a="1"/>
  <c r="CB74" i="31" s="1"/>
  <c r="CC74" i="31" a="1"/>
  <c r="CC74" i="31" s="1"/>
  <c r="BL65" i="31" a="1"/>
  <c r="BL65" i="31" s="1"/>
  <c r="BM65" i="31" a="1"/>
  <c r="BM65" i="31" s="1"/>
  <c r="BN65" i="31" a="1"/>
  <c r="BN65" i="31" s="1"/>
  <c r="BO65" i="31" a="1"/>
  <c r="BO65" i="31" s="1"/>
  <c r="BP65" i="31" a="1"/>
  <c r="BP65" i="31" s="1"/>
  <c r="BQ65" i="31" a="1"/>
  <c r="BQ65" i="31" s="1"/>
  <c r="BR65" i="31" a="1"/>
  <c r="BR65" i="31" s="1"/>
  <c r="BS65" i="31" a="1"/>
  <c r="BS65" i="31" s="1"/>
  <c r="BT65" i="31" a="1"/>
  <c r="BT65" i="31" s="1"/>
  <c r="BU65" i="31" a="1"/>
  <c r="BU65" i="31" s="1"/>
  <c r="BV65" i="31" a="1"/>
  <c r="BV65" i="31" s="1"/>
  <c r="BW65" i="31" a="1"/>
  <c r="BW65" i="31" s="1"/>
  <c r="BX65" i="31" a="1"/>
  <c r="BX65" i="31" s="1"/>
  <c r="BY65" i="31" a="1"/>
  <c r="BY65" i="31" s="1"/>
  <c r="BZ65" i="31" a="1"/>
  <c r="BZ65" i="31" s="1"/>
  <c r="CA65" i="31" a="1"/>
  <c r="CA65" i="31" s="1"/>
  <c r="CB65" i="31" a="1"/>
  <c r="CB65" i="31" s="1"/>
  <c r="CC65" i="31" a="1"/>
  <c r="CC65" i="31" s="1"/>
  <c r="CB132" i="31" a="1"/>
  <c r="CB132" i="31" s="1"/>
  <c r="CC132" i="31" a="1"/>
  <c r="CC132" i="31" s="1"/>
  <c r="BD57" i="31" a="1"/>
  <c r="BD57" i="31" s="1"/>
  <c r="BE57" i="31" a="1"/>
  <c r="BE57" i="31" s="1"/>
  <c r="BF57" i="31" a="1"/>
  <c r="BF57" i="31" s="1"/>
  <c r="BG57" i="31" a="1"/>
  <c r="BG57" i="31" s="1"/>
  <c r="BH57" i="31" a="1"/>
  <c r="BH57" i="31" s="1"/>
  <c r="BI57" i="31" a="1"/>
  <c r="BI57" i="31" s="1"/>
  <c r="BJ57" i="31" a="1"/>
  <c r="BJ57" i="31" s="1"/>
  <c r="BK57" i="31" a="1"/>
  <c r="BK57" i="31" s="1"/>
  <c r="BL57" i="31" a="1"/>
  <c r="BL57" i="31" s="1"/>
  <c r="BM57" i="31" a="1"/>
  <c r="BM57" i="31" s="1"/>
  <c r="BN57" i="31" a="1"/>
  <c r="BN57" i="31" s="1"/>
  <c r="BO57" i="31" a="1"/>
  <c r="BO57" i="31" s="1"/>
  <c r="BP57" i="31" a="1"/>
  <c r="BP57" i="31" s="1"/>
  <c r="BQ57" i="31" a="1"/>
  <c r="BQ57" i="31" s="1"/>
  <c r="BR57" i="31" a="1"/>
  <c r="BR57" i="31" s="1"/>
  <c r="BS57" i="31" a="1"/>
  <c r="BS57" i="31" s="1"/>
  <c r="BT57" i="31" a="1"/>
  <c r="BT57" i="31" s="1"/>
  <c r="BU57" i="31" a="1"/>
  <c r="BU57" i="31" s="1"/>
  <c r="BV57" i="31" a="1"/>
  <c r="BV57" i="31" s="1"/>
  <c r="BW57" i="31" a="1"/>
  <c r="BW57" i="31" s="1"/>
  <c r="BX57" i="31" a="1"/>
  <c r="BX57" i="31" s="1"/>
  <c r="BY57" i="31" a="1"/>
  <c r="BY57" i="31" s="1"/>
  <c r="BZ57" i="31" a="1"/>
  <c r="BZ57" i="31" s="1"/>
  <c r="CA57" i="31" a="1"/>
  <c r="CA57" i="31" s="1"/>
  <c r="CB57" i="31" a="1"/>
  <c r="CB57" i="31" s="1"/>
  <c r="CC57" i="31" a="1"/>
  <c r="CC57" i="31" s="1"/>
  <c r="BU261" i="31" a="1"/>
  <c r="BU261" i="31" s="1"/>
  <c r="BD261" i="31" a="1"/>
  <c r="BD261" i="31" s="1"/>
  <c r="BE261" i="31" a="1"/>
  <c r="BE261" i="31" s="1"/>
  <c r="BF261" i="31" a="1"/>
  <c r="BF261" i="31" s="1"/>
  <c r="BG261" i="31" a="1"/>
  <c r="BG261" i="31" s="1"/>
  <c r="BH261" i="31" a="1"/>
  <c r="BH261" i="31" s="1"/>
  <c r="BI261" i="31" a="1"/>
  <c r="BI261" i="31" s="1"/>
  <c r="BJ261" i="31" a="1"/>
  <c r="BJ261" i="31" s="1"/>
  <c r="BK261" i="31" a="1"/>
  <c r="BK261" i="31" s="1"/>
  <c r="BL261" i="31" a="1"/>
  <c r="BL261" i="31" s="1"/>
  <c r="BM261" i="31" a="1"/>
  <c r="BM261" i="31" s="1"/>
  <c r="BN261" i="31" a="1"/>
  <c r="BN261" i="31" s="1"/>
  <c r="BO261" i="31" a="1"/>
  <c r="BO261" i="31" s="1"/>
  <c r="BP261" i="31" a="1"/>
  <c r="BP261" i="31" s="1"/>
  <c r="BQ261" i="31" a="1"/>
  <c r="BQ261" i="31" s="1"/>
  <c r="BR261" i="31" a="1"/>
  <c r="BR261" i="31" s="1"/>
  <c r="BS261" i="31" a="1"/>
  <c r="BS261" i="31" s="1"/>
  <c r="BT261" i="31" a="1"/>
  <c r="BT261" i="31" s="1"/>
  <c r="BV261" i="31" a="1"/>
  <c r="BV261" i="31" s="1"/>
  <c r="BW261" i="31" a="1"/>
  <c r="BW261" i="31" s="1"/>
  <c r="BX261" i="31" a="1"/>
  <c r="BX261" i="31" s="1"/>
  <c r="BY261" i="31" a="1"/>
  <c r="BY261" i="31" s="1"/>
  <c r="BZ261" i="31" a="1"/>
  <c r="BZ261" i="31" s="1"/>
  <c r="CA261" i="31" a="1"/>
  <c r="CA261" i="31" s="1"/>
  <c r="CB261" i="31" a="1"/>
  <c r="CB261" i="31" s="1"/>
  <c r="CC261" i="31" a="1"/>
  <c r="CC261" i="31" s="1"/>
  <c r="BK266" i="31" a="1"/>
  <c r="BK266" i="31" s="1"/>
  <c r="BI266" i="31" a="1"/>
  <c r="BI266" i="31" s="1"/>
  <c r="BJ266" i="31" a="1"/>
  <c r="BJ266" i="31" s="1"/>
  <c r="BL266" i="31" a="1"/>
  <c r="BL266" i="31" s="1"/>
  <c r="BM266" i="31" a="1"/>
  <c r="BM266" i="31" s="1"/>
  <c r="BN266" i="31" a="1"/>
  <c r="BN266" i="31" s="1"/>
  <c r="BO266" i="31" a="1"/>
  <c r="BO266" i="31" s="1"/>
  <c r="BP266" i="31" a="1"/>
  <c r="BP266" i="31" s="1"/>
  <c r="BQ266" i="31" a="1"/>
  <c r="BQ266" i="31" s="1"/>
  <c r="BR266" i="31" a="1"/>
  <c r="BR266" i="31" s="1"/>
  <c r="BS266" i="31" a="1"/>
  <c r="BS266" i="31" s="1"/>
  <c r="BT266" i="31" a="1"/>
  <c r="BT266" i="31" s="1"/>
  <c r="BU266" i="31" a="1"/>
  <c r="BU266" i="31" s="1"/>
  <c r="BV266" i="31" a="1"/>
  <c r="BV266" i="31" s="1"/>
  <c r="BW266" i="31" a="1"/>
  <c r="BW266" i="31" s="1"/>
  <c r="BX266" i="31" a="1"/>
  <c r="BX266" i="31" s="1"/>
  <c r="BY266" i="31" a="1"/>
  <c r="BY266" i="31" s="1"/>
  <c r="BZ266" i="31" a="1"/>
  <c r="BZ266" i="31" s="1"/>
  <c r="CA266" i="31" a="1"/>
  <c r="CA266" i="31" s="1"/>
  <c r="CB266" i="31" a="1"/>
  <c r="CB266" i="31" s="1"/>
  <c r="CC266" i="31" a="1"/>
  <c r="CC266" i="31" s="1"/>
  <c r="BZ269" i="31" a="1"/>
  <c r="BZ269" i="31" s="1"/>
  <c r="BL269" i="31" a="1"/>
  <c r="BL269" i="31" s="1"/>
  <c r="BM269" i="31" a="1"/>
  <c r="BM269" i="31" s="1"/>
  <c r="BN269" i="31" a="1"/>
  <c r="BN269" i="31" s="1"/>
  <c r="BO269" i="31" a="1"/>
  <c r="BO269" i="31" s="1"/>
  <c r="BP269" i="31" a="1"/>
  <c r="BP269" i="31" s="1"/>
  <c r="BQ269" i="31" a="1"/>
  <c r="BQ269" i="31" s="1"/>
  <c r="BR269" i="31" a="1"/>
  <c r="BR269" i="31" s="1"/>
  <c r="BS269" i="31" a="1"/>
  <c r="BS269" i="31" s="1"/>
  <c r="BT269" i="31" a="1"/>
  <c r="BT269" i="31" s="1"/>
  <c r="BU269" i="31" a="1"/>
  <c r="BU269" i="31" s="1"/>
  <c r="BV269" i="31" a="1"/>
  <c r="BV269" i="31" s="1"/>
  <c r="BW269" i="31" a="1"/>
  <c r="BW269" i="31" s="1"/>
  <c r="BX269" i="31" a="1"/>
  <c r="BX269" i="31" s="1"/>
  <c r="BY269" i="31" a="1"/>
  <c r="BY269" i="31" s="1"/>
  <c r="CA269" i="31" a="1"/>
  <c r="CA269" i="31" s="1"/>
  <c r="CB269" i="31" a="1"/>
  <c r="CB269" i="31" s="1"/>
  <c r="CC269" i="31" a="1"/>
  <c r="CC269" i="31" s="1"/>
  <c r="CB280" i="31" a="1"/>
  <c r="CB280" i="31" s="1"/>
  <c r="BW280" i="31" a="1"/>
  <c r="BW280" i="31" s="1"/>
  <c r="BX280" i="31" a="1"/>
  <c r="BX280" i="31" s="1"/>
  <c r="BY280" i="31" a="1"/>
  <c r="BY280" i="31" s="1"/>
  <c r="BZ280" i="31" a="1"/>
  <c r="BZ280" i="31" s="1"/>
  <c r="CA280" i="31" a="1"/>
  <c r="CA280" i="31" s="1"/>
  <c r="CC280" i="31" a="1"/>
  <c r="CC280" i="31" s="1"/>
  <c r="BL260" i="31" a="1"/>
  <c r="BL260" i="31" s="1"/>
  <c r="BC260" i="31" a="1"/>
  <c r="BC260" i="31" s="1"/>
  <c r="BD260" i="31" a="1"/>
  <c r="BD260" i="31" s="1"/>
  <c r="BE260" i="31" a="1"/>
  <c r="BE260" i="31" s="1"/>
  <c r="BF260" i="31" a="1"/>
  <c r="BF260" i="31" s="1"/>
  <c r="BG260" i="31" a="1"/>
  <c r="BG260" i="31" s="1"/>
  <c r="BH260" i="31" a="1"/>
  <c r="BH260" i="31" s="1"/>
  <c r="BI260" i="31" a="1"/>
  <c r="BI260" i="31" s="1"/>
  <c r="BJ260" i="31" a="1"/>
  <c r="BJ260" i="31" s="1"/>
  <c r="BK260" i="31" a="1"/>
  <c r="BK260" i="31" s="1"/>
  <c r="BM260" i="31" a="1"/>
  <c r="BM260" i="31" s="1"/>
  <c r="BN260" i="31" a="1"/>
  <c r="BN260" i="31" s="1"/>
  <c r="BO260" i="31" a="1"/>
  <c r="BO260" i="31" s="1"/>
  <c r="BP260" i="31" a="1"/>
  <c r="BP260" i="31" s="1"/>
  <c r="BQ260" i="31" a="1"/>
  <c r="BQ260" i="31" s="1"/>
  <c r="BR260" i="31" a="1"/>
  <c r="BR260" i="31" s="1"/>
  <c r="BS260" i="31" a="1"/>
  <c r="BS260" i="31" s="1"/>
  <c r="BT260" i="31" a="1"/>
  <c r="BT260" i="31" s="1"/>
  <c r="BU260" i="31" a="1"/>
  <c r="BU260" i="31" s="1"/>
  <c r="BV260" i="31" a="1"/>
  <c r="BV260" i="31" s="1"/>
  <c r="BW260" i="31" a="1"/>
  <c r="BW260" i="31" s="1"/>
  <c r="BX260" i="31" a="1"/>
  <c r="BX260" i="31" s="1"/>
  <c r="BY260" i="31" a="1"/>
  <c r="BY260" i="31" s="1"/>
  <c r="BZ260" i="31" a="1"/>
  <c r="BZ260" i="31" s="1"/>
  <c r="CA260" i="31" a="1"/>
  <c r="CA260" i="31" s="1"/>
  <c r="CB260" i="31" a="1"/>
  <c r="CB260" i="31" s="1"/>
  <c r="CC260" i="31" a="1"/>
  <c r="CC260" i="31" s="1"/>
  <c r="BH250" i="31" a="1"/>
  <c r="BH250" i="31" s="1"/>
  <c r="AS250" i="31" a="1"/>
  <c r="AS250" i="31" s="1"/>
  <c r="AT250" i="31" a="1"/>
  <c r="AT250" i="31" s="1"/>
  <c r="AU250" i="31" a="1"/>
  <c r="AU250" i="31" s="1"/>
  <c r="AV250" i="31" a="1"/>
  <c r="AV250" i="31" s="1"/>
  <c r="AW250" i="31" a="1"/>
  <c r="AW250" i="31" s="1"/>
  <c r="AX250" i="31" a="1"/>
  <c r="AX250" i="31" s="1"/>
  <c r="AY250" i="31" a="1"/>
  <c r="AY250" i="31" s="1"/>
  <c r="AZ250" i="31" a="1"/>
  <c r="AZ250" i="31" s="1"/>
  <c r="BA250" i="31" a="1"/>
  <c r="BA250" i="31" s="1"/>
  <c r="BB250" i="31" a="1"/>
  <c r="BB250" i="31" s="1"/>
  <c r="BC250" i="31" a="1"/>
  <c r="BC250" i="31" s="1"/>
  <c r="BD250" i="31" a="1"/>
  <c r="BD250" i="31" s="1"/>
  <c r="BE250" i="31" a="1"/>
  <c r="BE250" i="31" s="1"/>
  <c r="BF250" i="31" a="1"/>
  <c r="BF250" i="31" s="1"/>
  <c r="BG250" i="31" a="1"/>
  <c r="BG250" i="31" s="1"/>
  <c r="BI250" i="31" a="1"/>
  <c r="BI250" i="31" s="1"/>
  <c r="BJ250" i="31" a="1"/>
  <c r="BJ250" i="31" s="1"/>
  <c r="BK250" i="31" a="1"/>
  <c r="BK250" i="31" s="1"/>
  <c r="BL250" i="31" a="1"/>
  <c r="BL250" i="31" s="1"/>
  <c r="BM250" i="31" a="1"/>
  <c r="BM250" i="31" s="1"/>
  <c r="BN250" i="31" a="1"/>
  <c r="BN250" i="31" s="1"/>
  <c r="BO250" i="31" a="1"/>
  <c r="BO250" i="31" s="1"/>
  <c r="BP250" i="31" a="1"/>
  <c r="BP250" i="31" s="1"/>
  <c r="BQ250" i="31" a="1"/>
  <c r="BQ250" i="31" s="1"/>
  <c r="BR250" i="31" a="1"/>
  <c r="BR250" i="31" s="1"/>
  <c r="BS250" i="31" a="1"/>
  <c r="BS250" i="31" s="1"/>
  <c r="BT250" i="31" a="1"/>
  <c r="BT250" i="31" s="1"/>
  <c r="BU250" i="31" a="1"/>
  <c r="BU250" i="31" s="1"/>
  <c r="BV250" i="31" a="1"/>
  <c r="BV250" i="31" s="1"/>
  <c r="BW250" i="31" a="1"/>
  <c r="BW250" i="31" s="1"/>
  <c r="BX250" i="31" a="1"/>
  <c r="BX250" i="31" s="1"/>
  <c r="BY250" i="31" a="1"/>
  <c r="BY250" i="31" s="1"/>
  <c r="BZ250" i="31" a="1"/>
  <c r="BZ250" i="31" s="1"/>
  <c r="CA250" i="31" a="1"/>
  <c r="CA250" i="31" s="1"/>
  <c r="CB250" i="31" a="1"/>
  <c r="CB250" i="31" s="1"/>
  <c r="CC250" i="31" a="1"/>
  <c r="CC250" i="31" s="1"/>
  <c r="BK217" i="31" a="1"/>
  <c r="BK217" i="31" s="1"/>
  <c r="BL217" i="31" a="1"/>
  <c r="BL217" i="31" s="1"/>
  <c r="BM217" i="31" a="1"/>
  <c r="BM217" i="31" s="1"/>
  <c r="BN217" i="31" a="1"/>
  <c r="BN217" i="31" s="1"/>
  <c r="BO217" i="31" a="1"/>
  <c r="BO217" i="31" s="1"/>
  <c r="BP217" i="31" a="1"/>
  <c r="BP217" i="31" s="1"/>
  <c r="BQ217" i="31" a="1"/>
  <c r="BQ217" i="31" s="1"/>
  <c r="BR217" i="31" a="1"/>
  <c r="BR217" i="31" s="1"/>
  <c r="BS217" i="31" a="1"/>
  <c r="BS217" i="31" s="1"/>
  <c r="BT217" i="31" a="1"/>
  <c r="BT217" i="31" s="1"/>
  <c r="BU217" i="31" a="1"/>
  <c r="BU217" i="31" s="1"/>
  <c r="BV217" i="31" a="1"/>
  <c r="BV217" i="31" s="1"/>
  <c r="BW217" i="31" a="1"/>
  <c r="BW217" i="31" s="1"/>
  <c r="BX217" i="31" a="1"/>
  <c r="BX217" i="31" s="1"/>
  <c r="BY217" i="31" a="1"/>
  <c r="BY217" i="31" s="1"/>
  <c r="BZ217" i="31" a="1"/>
  <c r="BZ217" i="31" s="1"/>
  <c r="CA217" i="31" a="1"/>
  <c r="CA217" i="31" s="1"/>
  <c r="CB217" i="31" a="1"/>
  <c r="CB217" i="31" s="1"/>
  <c r="CC217" i="31" a="1"/>
  <c r="CC217" i="31" s="1"/>
  <c r="BG162" i="31" a="1"/>
  <c r="BG162" i="31" s="1"/>
  <c r="BH162" i="31" a="1"/>
  <c r="BH162" i="31" s="1"/>
  <c r="BI162" i="31" a="1"/>
  <c r="BI162" i="31" s="1"/>
  <c r="BJ162" i="31" a="1"/>
  <c r="BJ162" i="31" s="1"/>
  <c r="BK162" i="31" a="1"/>
  <c r="BK162" i="31" s="1"/>
  <c r="BL162" i="31" a="1"/>
  <c r="BL162" i="31" s="1"/>
  <c r="BM162" i="31" a="1"/>
  <c r="BM162" i="31" s="1"/>
  <c r="BN162" i="31" a="1"/>
  <c r="BN162" i="31" s="1"/>
  <c r="BO162" i="31" a="1"/>
  <c r="BO162" i="31" s="1"/>
  <c r="BP162" i="31" a="1"/>
  <c r="BP162" i="31" s="1"/>
  <c r="BQ162" i="31" a="1"/>
  <c r="BQ162" i="31" s="1"/>
  <c r="BR162" i="31" a="1"/>
  <c r="BR162" i="31" s="1"/>
  <c r="BS162" i="31" a="1"/>
  <c r="BS162" i="31" s="1"/>
  <c r="BT162" i="31" a="1"/>
  <c r="BT162" i="31" s="1"/>
  <c r="BU162" i="31" a="1"/>
  <c r="BU162" i="31" s="1"/>
  <c r="BV162" i="31" a="1"/>
  <c r="BV162" i="31" s="1"/>
  <c r="BW162" i="31" a="1"/>
  <c r="BW162" i="31" s="1"/>
  <c r="BX162" i="31" a="1"/>
  <c r="BX162" i="31" s="1"/>
  <c r="BY162" i="31" a="1"/>
  <c r="BY162" i="31" s="1"/>
  <c r="BZ162" i="31" a="1"/>
  <c r="BZ162" i="31" s="1"/>
  <c r="CA162" i="31" a="1"/>
  <c r="CA162" i="31" s="1"/>
  <c r="CB162" i="31" a="1"/>
  <c r="CB162" i="31" s="1"/>
  <c r="CC162" i="31" a="1"/>
  <c r="CC162" i="31" s="1"/>
  <c r="BX179" i="31" a="1"/>
  <c r="BX179" i="31" s="1"/>
  <c r="BY179" i="31" a="1"/>
  <c r="BY179" i="31" s="1"/>
  <c r="BZ179" i="31" a="1"/>
  <c r="BZ179" i="31" s="1"/>
  <c r="CA179" i="31" a="1"/>
  <c r="CA179" i="31" s="1"/>
  <c r="CB179" i="31" a="1"/>
  <c r="CB179" i="31" s="1"/>
  <c r="CC179" i="31" a="1"/>
  <c r="CC179" i="31" s="1"/>
  <c r="AI188" i="31" a="1"/>
  <c r="AI188" i="31" s="1"/>
  <c r="AH188" i="31" a="1"/>
  <c r="AH188" i="31" s="1"/>
  <c r="AJ188" i="31" a="1"/>
  <c r="AJ188" i="31" s="1"/>
  <c r="AK188" i="31" a="1"/>
  <c r="AK188" i="31" s="1"/>
  <c r="AL188" i="31" a="1"/>
  <c r="AL188" i="31" s="1"/>
  <c r="AM188" i="31" a="1"/>
  <c r="AM188" i="31" s="1"/>
  <c r="AN188" i="31" a="1"/>
  <c r="AN188" i="31" s="1"/>
  <c r="AO188" i="31" a="1"/>
  <c r="AO188" i="31" s="1"/>
  <c r="AP188" i="31" a="1"/>
  <c r="AP188" i="31" s="1"/>
  <c r="AQ188" i="31" a="1"/>
  <c r="AQ188" i="31" s="1"/>
  <c r="AR188" i="31" a="1"/>
  <c r="AR188" i="31" s="1"/>
  <c r="AS188" i="31" a="1"/>
  <c r="AS188" i="31" s="1"/>
  <c r="AT188" i="31" a="1"/>
  <c r="AT188" i="31" s="1"/>
  <c r="AU188" i="31" a="1"/>
  <c r="AU188" i="31" s="1"/>
  <c r="AV188" i="31" a="1"/>
  <c r="AV188" i="31" s="1"/>
  <c r="AW188" i="31" a="1"/>
  <c r="AW188" i="31" s="1"/>
  <c r="AX188" i="31" a="1"/>
  <c r="AX188" i="31" s="1"/>
  <c r="AY188" i="31" a="1"/>
  <c r="AY188" i="31" s="1"/>
  <c r="AZ188" i="31" a="1"/>
  <c r="AZ188" i="31" s="1"/>
  <c r="BA188" i="31" a="1"/>
  <c r="BA188" i="31" s="1"/>
  <c r="BB188" i="31" a="1"/>
  <c r="BB188" i="31" s="1"/>
  <c r="BC188" i="31" a="1"/>
  <c r="BC188" i="31" s="1"/>
  <c r="BD188" i="31" a="1"/>
  <c r="BD188" i="31" s="1"/>
  <c r="BE188" i="31" a="1"/>
  <c r="BE188" i="31" s="1"/>
  <c r="BF188" i="31" a="1"/>
  <c r="BF188" i="31" s="1"/>
  <c r="BG188" i="31" a="1"/>
  <c r="BG188" i="31" s="1"/>
  <c r="BH188" i="31" a="1"/>
  <c r="BH188" i="31" s="1"/>
  <c r="BI188" i="31" a="1"/>
  <c r="BI188" i="31" s="1"/>
  <c r="BJ188" i="31" a="1"/>
  <c r="BJ188" i="31" s="1"/>
  <c r="BK188" i="31" a="1"/>
  <c r="BK188" i="31" s="1"/>
  <c r="BL188" i="31" a="1"/>
  <c r="BL188" i="31" s="1"/>
  <c r="BM188" i="31" a="1"/>
  <c r="BM188" i="31" s="1"/>
  <c r="BN188" i="31" a="1"/>
  <c r="BN188" i="31" s="1"/>
  <c r="BO188" i="31" a="1"/>
  <c r="BO188" i="31" s="1"/>
  <c r="BP188" i="31" a="1"/>
  <c r="BP188" i="31" s="1"/>
  <c r="BQ188" i="31" a="1"/>
  <c r="BQ188" i="31" s="1"/>
  <c r="BR188" i="31" a="1"/>
  <c r="BR188" i="31" s="1"/>
  <c r="BS188" i="31" a="1"/>
  <c r="BS188" i="31" s="1"/>
  <c r="BT188" i="31" a="1"/>
  <c r="BT188" i="31" s="1"/>
  <c r="BU188" i="31" a="1"/>
  <c r="BU188" i="31" s="1"/>
  <c r="BV188" i="31" a="1"/>
  <c r="BV188" i="31" s="1"/>
  <c r="BW188" i="31" a="1"/>
  <c r="BW188" i="31" s="1"/>
  <c r="BX188" i="31" a="1"/>
  <c r="BX188" i="31" s="1"/>
  <c r="BY188" i="31" a="1"/>
  <c r="BY188" i="31" s="1"/>
  <c r="BZ188" i="31" a="1"/>
  <c r="BZ188" i="31" s="1"/>
  <c r="CA188" i="31" a="1"/>
  <c r="CA188" i="31" s="1"/>
  <c r="CB188" i="31" a="1"/>
  <c r="CB188" i="31" s="1"/>
  <c r="CC188" i="31" a="1"/>
  <c r="CC188" i="31" s="1"/>
  <c r="AW152" i="31" a="1"/>
  <c r="AW152" i="31" s="1"/>
  <c r="AX152" i="31" a="1"/>
  <c r="AX152" i="31" s="1"/>
  <c r="AY152" i="31" a="1"/>
  <c r="AY152" i="31" s="1"/>
  <c r="AZ152" i="31" a="1"/>
  <c r="AZ152" i="31" s="1"/>
  <c r="BA152" i="31" a="1"/>
  <c r="BA152" i="31" s="1"/>
  <c r="BB152" i="31" a="1"/>
  <c r="BB152" i="31" s="1"/>
  <c r="BC152" i="31" a="1"/>
  <c r="BC152" i="31" s="1"/>
  <c r="BD152" i="31" a="1"/>
  <c r="BD152" i="31" s="1"/>
  <c r="BE152" i="31" a="1"/>
  <c r="BE152" i="31" s="1"/>
  <c r="BF152" i="31" a="1"/>
  <c r="BF152" i="31" s="1"/>
  <c r="BG152" i="31" a="1"/>
  <c r="BG152" i="31" s="1"/>
  <c r="BH152" i="31" a="1"/>
  <c r="BH152" i="31" s="1"/>
  <c r="BI152" i="31" a="1"/>
  <c r="BI152" i="31" s="1"/>
  <c r="BJ152" i="31" a="1"/>
  <c r="BJ152" i="31" s="1"/>
  <c r="BK152" i="31" a="1"/>
  <c r="BK152" i="31" s="1"/>
  <c r="BL152" i="31" a="1"/>
  <c r="BL152" i="31" s="1"/>
  <c r="BM152" i="31" a="1"/>
  <c r="BM152" i="31" s="1"/>
  <c r="BN152" i="31" a="1"/>
  <c r="BN152" i="31" s="1"/>
  <c r="BO152" i="31" a="1"/>
  <c r="BO152" i="31" s="1"/>
  <c r="BP152" i="31" a="1"/>
  <c r="BP152" i="31" s="1"/>
  <c r="BQ152" i="31" a="1"/>
  <c r="BQ152" i="31" s="1"/>
  <c r="BR152" i="31" a="1"/>
  <c r="BR152" i="31" s="1"/>
  <c r="BS152" i="31" a="1"/>
  <c r="BS152" i="31" s="1"/>
  <c r="BT152" i="31" a="1"/>
  <c r="BT152" i="31" s="1"/>
  <c r="BU152" i="31" a="1"/>
  <c r="BU152" i="31" s="1"/>
  <c r="BV152" i="31" a="1"/>
  <c r="BV152" i="31" s="1"/>
  <c r="BW152" i="31" a="1"/>
  <c r="BW152" i="31" s="1"/>
  <c r="BX152" i="31" a="1"/>
  <c r="BX152" i="31" s="1"/>
  <c r="BY152" i="31" a="1"/>
  <c r="BY152" i="31" s="1"/>
  <c r="BZ152" i="31" a="1"/>
  <c r="BZ152" i="31" s="1"/>
  <c r="CA152" i="31" a="1"/>
  <c r="CA152" i="31" s="1"/>
  <c r="CB152" i="31" a="1"/>
  <c r="CB152" i="31" s="1"/>
  <c r="CC152" i="31" a="1"/>
  <c r="CC152" i="31" s="1"/>
  <c r="AJ139" i="31" a="1"/>
  <c r="AJ139" i="31" s="1"/>
  <c r="AK139" i="31" a="1"/>
  <c r="AK139" i="31" s="1"/>
  <c r="AL139" i="31" a="1"/>
  <c r="AL139" i="31" s="1"/>
  <c r="AM139" i="31" a="1"/>
  <c r="AM139" i="31" s="1"/>
  <c r="AN139" i="31" a="1"/>
  <c r="AN139" i="31" s="1"/>
  <c r="AO139" i="31" a="1"/>
  <c r="AO139" i="31" s="1"/>
  <c r="AP139" i="31" a="1"/>
  <c r="AP139" i="31" s="1"/>
  <c r="AQ139" i="31" a="1"/>
  <c r="AQ139" i="31" s="1"/>
  <c r="AR139" i="31" a="1"/>
  <c r="AR139" i="31" s="1"/>
  <c r="AS139" i="31" a="1"/>
  <c r="AS139" i="31" s="1"/>
  <c r="AT139" i="31" a="1"/>
  <c r="AT139" i="31" s="1"/>
  <c r="AU139" i="31" a="1"/>
  <c r="AU139" i="31" s="1"/>
  <c r="AV139" i="31" a="1"/>
  <c r="AV139" i="31" s="1"/>
  <c r="AW139" i="31" a="1"/>
  <c r="AW139" i="31" s="1"/>
  <c r="AX139" i="31" a="1"/>
  <c r="AX139" i="31" s="1"/>
  <c r="AY139" i="31" a="1"/>
  <c r="AY139" i="31" s="1"/>
  <c r="AZ139" i="31" a="1"/>
  <c r="AZ139" i="31" s="1"/>
  <c r="BA139" i="31" a="1"/>
  <c r="BA139" i="31" s="1"/>
  <c r="BB139" i="31" a="1"/>
  <c r="BB139" i="31" s="1"/>
  <c r="BC139" i="31" a="1"/>
  <c r="BC139" i="31" s="1"/>
  <c r="BD139" i="31" a="1"/>
  <c r="BD139" i="31" s="1"/>
  <c r="BE139" i="31" a="1"/>
  <c r="BE139" i="31" s="1"/>
  <c r="BF139" i="31" a="1"/>
  <c r="BF139" i="31" s="1"/>
  <c r="BG139" i="31" a="1"/>
  <c r="BG139" i="31" s="1"/>
  <c r="BH139" i="31" a="1"/>
  <c r="BH139" i="31" s="1"/>
  <c r="BI139" i="31" a="1"/>
  <c r="BI139" i="31" s="1"/>
  <c r="BJ139" i="31" a="1"/>
  <c r="BJ139" i="31" s="1"/>
  <c r="BK139" i="31" a="1"/>
  <c r="BK139" i="31" s="1"/>
  <c r="BL139" i="31" a="1"/>
  <c r="BL139" i="31" s="1"/>
  <c r="BM139" i="31" a="1"/>
  <c r="BM139" i="31" s="1"/>
  <c r="BN139" i="31" a="1"/>
  <c r="BN139" i="31" s="1"/>
  <c r="BO139" i="31" a="1"/>
  <c r="BO139" i="31" s="1"/>
  <c r="BP139" i="31" a="1"/>
  <c r="BP139" i="31" s="1"/>
  <c r="BQ139" i="31" a="1"/>
  <c r="BQ139" i="31" s="1"/>
  <c r="BR139" i="31" a="1"/>
  <c r="BR139" i="31" s="1"/>
  <c r="BS139" i="31" a="1"/>
  <c r="BS139" i="31" s="1"/>
  <c r="BT139" i="31" a="1"/>
  <c r="BT139" i="31" s="1"/>
  <c r="BU139" i="31" a="1"/>
  <c r="BU139" i="31" s="1"/>
  <c r="BV139" i="31" a="1"/>
  <c r="BV139" i="31" s="1"/>
  <c r="BW139" i="31" a="1"/>
  <c r="BW139" i="31" s="1"/>
  <c r="BX139" i="31" a="1"/>
  <c r="BX139" i="31" s="1"/>
  <c r="BY139" i="31" a="1"/>
  <c r="BY139" i="31" s="1"/>
  <c r="BZ139" i="31" a="1"/>
  <c r="BZ139" i="31" s="1"/>
  <c r="CA139" i="31" a="1"/>
  <c r="CA139" i="31" s="1"/>
  <c r="CB139" i="31" a="1"/>
  <c r="CB139" i="31" s="1"/>
  <c r="CC139" i="31" a="1"/>
  <c r="CC139" i="31" s="1"/>
  <c r="BD210" i="31" a="1"/>
  <c r="BD210" i="31" s="1"/>
  <c r="BE210" i="31" a="1"/>
  <c r="BE210" i="31" s="1"/>
  <c r="BF210" i="31" a="1"/>
  <c r="BF210" i="31" s="1"/>
  <c r="BG210" i="31" a="1"/>
  <c r="BG210" i="31" s="1"/>
  <c r="BH210" i="31" a="1"/>
  <c r="BH210" i="31" s="1"/>
  <c r="BI210" i="31" a="1"/>
  <c r="BI210" i="31" s="1"/>
  <c r="BJ210" i="31" a="1"/>
  <c r="BJ210" i="31" s="1"/>
  <c r="BK210" i="31" a="1"/>
  <c r="BK210" i="31" s="1"/>
  <c r="BL210" i="31" a="1"/>
  <c r="BL210" i="31" s="1"/>
  <c r="BM210" i="31" a="1"/>
  <c r="BM210" i="31" s="1"/>
  <c r="BN210" i="31" a="1"/>
  <c r="BN210" i="31" s="1"/>
  <c r="BO210" i="31" a="1"/>
  <c r="BO210" i="31" s="1"/>
  <c r="BP210" i="31" a="1"/>
  <c r="BP210" i="31" s="1"/>
  <c r="BQ210" i="31" a="1"/>
  <c r="BQ210" i="31" s="1"/>
  <c r="BR210" i="31" a="1"/>
  <c r="BR210" i="31" s="1"/>
  <c r="BS210" i="31" a="1"/>
  <c r="BS210" i="31" s="1"/>
  <c r="BT210" i="31" a="1"/>
  <c r="BT210" i="31" s="1"/>
  <c r="BU210" i="31" a="1"/>
  <c r="BU210" i="31" s="1"/>
  <c r="BV210" i="31" a="1"/>
  <c r="BV210" i="31" s="1"/>
  <c r="BW210" i="31" a="1"/>
  <c r="BW210" i="31" s="1"/>
  <c r="BX210" i="31" a="1"/>
  <c r="BX210" i="31" s="1"/>
  <c r="BY210" i="31" a="1"/>
  <c r="BY210" i="31" s="1"/>
  <c r="BZ210" i="31" a="1"/>
  <c r="BZ210" i="31" s="1"/>
  <c r="CA210" i="31" a="1"/>
  <c r="CA210" i="31" s="1"/>
  <c r="CB210" i="31" a="1"/>
  <c r="CB210" i="31" s="1"/>
  <c r="CC210" i="31" a="1"/>
  <c r="CC210" i="31" s="1"/>
  <c r="AI138" i="31" a="1"/>
  <c r="AI138" i="31" s="1"/>
  <c r="AJ138" i="31" a="1"/>
  <c r="AJ138" i="31" s="1"/>
  <c r="AK138" i="31" a="1"/>
  <c r="AK138" i="31" s="1"/>
  <c r="AL138" i="31" a="1"/>
  <c r="AL138" i="31" s="1"/>
  <c r="AM138" i="31" a="1"/>
  <c r="AM138" i="31" s="1"/>
  <c r="AN138" i="31" a="1"/>
  <c r="AN138" i="31" s="1"/>
  <c r="AO138" i="31" a="1"/>
  <c r="AO138" i="31" s="1"/>
  <c r="AP138" i="31" a="1"/>
  <c r="AP138" i="31" s="1"/>
  <c r="AQ138" i="31" a="1"/>
  <c r="AQ138" i="31" s="1"/>
  <c r="AR138" i="31" a="1"/>
  <c r="AR138" i="31" s="1"/>
  <c r="AS138" i="31" a="1"/>
  <c r="AS138" i="31" s="1"/>
  <c r="AT138" i="31" a="1"/>
  <c r="AT138" i="31" s="1"/>
  <c r="AU138" i="31" a="1"/>
  <c r="AU138" i="31" s="1"/>
  <c r="AV138" i="31" a="1"/>
  <c r="AV138" i="31" s="1"/>
  <c r="AW138" i="31" a="1"/>
  <c r="AW138" i="31" s="1"/>
  <c r="AX138" i="31" a="1"/>
  <c r="AX138" i="31" s="1"/>
  <c r="AY138" i="31" a="1"/>
  <c r="AY138" i="31" s="1"/>
  <c r="AZ138" i="31" a="1"/>
  <c r="AZ138" i="31" s="1"/>
  <c r="BA138" i="31" a="1"/>
  <c r="BA138" i="31" s="1"/>
  <c r="BB138" i="31" a="1"/>
  <c r="BB138" i="31" s="1"/>
  <c r="BC138" i="31" a="1"/>
  <c r="BC138" i="31" s="1"/>
  <c r="BD138" i="31" a="1"/>
  <c r="BD138" i="31" s="1"/>
  <c r="BE138" i="31" a="1"/>
  <c r="BE138" i="31" s="1"/>
  <c r="BF138" i="31" a="1"/>
  <c r="BF138" i="31" s="1"/>
  <c r="BG138" i="31" a="1"/>
  <c r="BG138" i="31" s="1"/>
  <c r="BH138" i="31" a="1"/>
  <c r="BH138" i="31" s="1"/>
  <c r="BI138" i="31" a="1"/>
  <c r="BI138" i="31" s="1"/>
  <c r="BJ138" i="31" a="1"/>
  <c r="BJ138" i="31" s="1"/>
  <c r="BK138" i="31" a="1"/>
  <c r="BK138" i="31" s="1"/>
  <c r="BL138" i="31" a="1"/>
  <c r="BL138" i="31" s="1"/>
  <c r="BM138" i="31" a="1"/>
  <c r="BM138" i="31" s="1"/>
  <c r="BN138" i="31" a="1"/>
  <c r="BN138" i="31" s="1"/>
  <c r="BO138" i="31" a="1"/>
  <c r="BO138" i="31" s="1"/>
  <c r="BP138" i="31" a="1"/>
  <c r="BP138" i="31" s="1"/>
  <c r="BQ138" i="31" a="1"/>
  <c r="BQ138" i="31" s="1"/>
  <c r="BR138" i="31" a="1"/>
  <c r="BR138" i="31" s="1"/>
  <c r="BS138" i="31" a="1"/>
  <c r="BS138" i="31" s="1"/>
  <c r="BT138" i="31" a="1"/>
  <c r="BT138" i="31" s="1"/>
  <c r="BU138" i="31" a="1"/>
  <c r="BU138" i="31" s="1"/>
  <c r="BV138" i="31" a="1"/>
  <c r="BV138" i="31" s="1"/>
  <c r="BW138" i="31" a="1"/>
  <c r="BW138" i="31" s="1"/>
  <c r="BX138" i="31" a="1"/>
  <c r="BX138" i="31" s="1"/>
  <c r="BY138" i="31" a="1"/>
  <c r="BY138" i="31" s="1"/>
  <c r="BZ138" i="31" a="1"/>
  <c r="BZ138" i="31" s="1"/>
  <c r="CA138" i="31" a="1"/>
  <c r="CA138" i="31" s="1"/>
  <c r="CB138" i="31" a="1"/>
  <c r="CB138" i="31" s="1"/>
  <c r="CC138" i="31" a="1"/>
  <c r="CC138" i="31" s="1"/>
  <c r="BW178" i="31" a="1"/>
  <c r="BW178" i="31" s="1"/>
  <c r="BX178" i="31" a="1"/>
  <c r="BX178" i="31" s="1"/>
  <c r="BY178" i="31" a="1"/>
  <c r="BY178" i="31" s="1"/>
  <c r="BZ178" i="31" a="1"/>
  <c r="BZ178" i="31" s="1"/>
  <c r="CA178" i="31" a="1"/>
  <c r="CA178" i="31" s="1"/>
  <c r="CB178" i="31" a="1"/>
  <c r="CB178" i="31" s="1"/>
  <c r="CC178" i="31" a="1"/>
  <c r="CC178" i="31" s="1"/>
  <c r="BV228" i="31" a="1"/>
  <c r="BV228" i="31" s="1"/>
  <c r="BW228" i="31" a="1"/>
  <c r="BW228" i="31" s="1"/>
  <c r="BX228" i="31" a="1"/>
  <c r="BX228" i="31" s="1"/>
  <c r="BY228" i="31" a="1"/>
  <c r="BY228" i="31" s="1"/>
  <c r="BZ228" i="31" a="1"/>
  <c r="BZ228" i="31" s="1"/>
  <c r="CA228" i="31" a="1"/>
  <c r="CA228" i="31" s="1"/>
  <c r="CB228" i="31" a="1"/>
  <c r="CB228" i="31" s="1"/>
  <c r="CC228" i="31" a="1"/>
  <c r="CC228" i="31" s="1"/>
  <c r="AW203" i="31" a="1"/>
  <c r="AW203" i="31" s="1"/>
  <c r="AX203" i="31" a="1"/>
  <c r="AX203" i="31" s="1"/>
  <c r="AY203" i="31" a="1"/>
  <c r="AY203" i="31" s="1"/>
  <c r="AZ203" i="31" a="1"/>
  <c r="AZ203" i="31" s="1"/>
  <c r="BA203" i="31" a="1"/>
  <c r="BA203" i="31" s="1"/>
  <c r="BB203" i="31" a="1"/>
  <c r="BB203" i="31" s="1"/>
  <c r="BC203" i="31" a="1"/>
  <c r="BC203" i="31" s="1"/>
  <c r="BD203" i="31" a="1"/>
  <c r="BD203" i="31" s="1"/>
  <c r="BE203" i="31" a="1"/>
  <c r="BE203" i="31" s="1"/>
  <c r="BF203" i="31" a="1"/>
  <c r="BF203" i="31" s="1"/>
  <c r="BG203" i="31" a="1"/>
  <c r="BG203" i="31" s="1"/>
  <c r="BH203" i="31" a="1"/>
  <c r="BH203" i="31" s="1"/>
  <c r="BI203" i="31" a="1"/>
  <c r="BI203" i="31" s="1"/>
  <c r="BJ203" i="31" a="1"/>
  <c r="BJ203" i="31" s="1"/>
  <c r="BK203" i="31" a="1"/>
  <c r="BK203" i="31" s="1"/>
  <c r="BL203" i="31" a="1"/>
  <c r="BL203" i="31" s="1"/>
  <c r="BM203" i="31" a="1"/>
  <c r="BM203" i="31" s="1"/>
  <c r="BN203" i="31" a="1"/>
  <c r="BN203" i="31" s="1"/>
  <c r="BO203" i="31" a="1"/>
  <c r="BO203" i="31" s="1"/>
  <c r="BP203" i="31" a="1"/>
  <c r="BP203" i="31" s="1"/>
  <c r="BQ203" i="31" a="1"/>
  <c r="BQ203" i="31" s="1"/>
  <c r="BR203" i="31" a="1"/>
  <c r="BR203" i="31" s="1"/>
  <c r="BS203" i="31" a="1"/>
  <c r="BS203" i="31" s="1"/>
  <c r="BT203" i="31" a="1"/>
  <c r="BT203" i="31" s="1"/>
  <c r="BU203" i="31" a="1"/>
  <c r="BU203" i="31" s="1"/>
  <c r="BV203" i="31" a="1"/>
  <c r="BV203" i="31" s="1"/>
  <c r="BW203" i="31" a="1"/>
  <c r="BW203" i="31" s="1"/>
  <c r="BX203" i="31" a="1"/>
  <c r="BX203" i="31" s="1"/>
  <c r="BY203" i="31" a="1"/>
  <c r="BY203" i="31" s="1"/>
  <c r="BZ203" i="31" a="1"/>
  <c r="BZ203" i="31" s="1"/>
  <c r="CA203" i="31" a="1"/>
  <c r="CA203" i="31" s="1"/>
  <c r="CB203" i="31" a="1"/>
  <c r="CB203" i="31" s="1"/>
  <c r="CC203" i="31" a="1"/>
  <c r="CC203" i="31" s="1"/>
  <c r="AM142" i="31" a="1"/>
  <c r="AM142" i="31" s="1"/>
  <c r="AN142" i="31" a="1"/>
  <c r="AN142" i="31" s="1"/>
  <c r="AO142" i="31" a="1"/>
  <c r="AO142" i="31" s="1"/>
  <c r="AP142" i="31" a="1"/>
  <c r="AP142" i="31" s="1"/>
  <c r="AQ142" i="31" a="1"/>
  <c r="AQ142" i="31" s="1"/>
  <c r="AR142" i="31" a="1"/>
  <c r="AR142" i="31" s="1"/>
  <c r="AS142" i="31" a="1"/>
  <c r="AS142" i="31" s="1"/>
  <c r="AT142" i="31" a="1"/>
  <c r="AT142" i="31" s="1"/>
  <c r="AU142" i="31" a="1"/>
  <c r="AU142" i="31" s="1"/>
  <c r="AV142" i="31" a="1"/>
  <c r="AV142" i="31" s="1"/>
  <c r="AW142" i="31" a="1"/>
  <c r="AW142" i="31" s="1"/>
  <c r="AX142" i="31" a="1"/>
  <c r="AX142" i="31" s="1"/>
  <c r="AY142" i="31" a="1"/>
  <c r="AY142" i="31" s="1"/>
  <c r="AZ142" i="31" a="1"/>
  <c r="AZ142" i="31" s="1"/>
  <c r="BA142" i="31" a="1"/>
  <c r="BA142" i="31" s="1"/>
  <c r="BB142" i="31" a="1"/>
  <c r="BB142" i="31" s="1"/>
  <c r="BC142" i="31" a="1"/>
  <c r="BC142" i="31" s="1"/>
  <c r="BD142" i="31" a="1"/>
  <c r="BD142" i="31" s="1"/>
  <c r="BE142" i="31" a="1"/>
  <c r="BE142" i="31" s="1"/>
  <c r="BF142" i="31" a="1"/>
  <c r="BF142" i="31" s="1"/>
  <c r="BG142" i="31" a="1"/>
  <c r="BG142" i="31" s="1"/>
  <c r="BH142" i="31" a="1"/>
  <c r="BH142" i="31" s="1"/>
  <c r="BI142" i="31" a="1"/>
  <c r="BI142" i="31" s="1"/>
  <c r="BJ142" i="31" a="1"/>
  <c r="BJ142" i="31" s="1"/>
  <c r="BK142" i="31" a="1"/>
  <c r="BK142" i="31" s="1"/>
  <c r="BL142" i="31" a="1"/>
  <c r="BL142" i="31" s="1"/>
  <c r="BM142" i="31" a="1"/>
  <c r="BM142" i="31" s="1"/>
  <c r="BN142" i="31" a="1"/>
  <c r="BN142" i="31" s="1"/>
  <c r="BO142" i="31" a="1"/>
  <c r="BO142" i="31" s="1"/>
  <c r="BP142" i="31" a="1"/>
  <c r="BP142" i="31" s="1"/>
  <c r="BQ142" i="31" a="1"/>
  <c r="BQ142" i="31" s="1"/>
  <c r="BR142" i="31" a="1"/>
  <c r="BR142" i="31" s="1"/>
  <c r="BS142" i="31" a="1"/>
  <c r="BS142" i="31" s="1"/>
  <c r="BT142" i="31" a="1"/>
  <c r="BT142" i="31" s="1"/>
  <c r="BU142" i="31" a="1"/>
  <c r="BU142" i="31" s="1"/>
  <c r="BV142" i="31" a="1"/>
  <c r="BV142" i="31" s="1"/>
  <c r="BW142" i="31" a="1"/>
  <c r="BW142" i="31" s="1"/>
  <c r="BX142" i="31" a="1"/>
  <c r="BX142" i="31" s="1"/>
  <c r="BY142" i="31" a="1"/>
  <c r="BY142" i="31" s="1"/>
  <c r="BZ142" i="31" a="1"/>
  <c r="BZ142" i="31" s="1"/>
  <c r="CA142" i="31" a="1"/>
  <c r="CA142" i="31" s="1"/>
  <c r="CB142" i="31" a="1"/>
  <c r="CB142" i="31" s="1"/>
  <c r="CC142" i="31" a="1"/>
  <c r="CC142" i="31" s="1"/>
  <c r="BW76" i="31" a="1"/>
  <c r="BW76" i="31" s="1"/>
  <c r="AC76" i="31" s="1"/>
  <c r="BX76" i="31" a="1"/>
  <c r="BX76" i="31" s="1"/>
  <c r="BY76" i="31" a="1"/>
  <c r="BY76" i="31" s="1"/>
  <c r="BZ76" i="31" a="1"/>
  <c r="BZ76" i="31" s="1"/>
  <c r="CA76" i="31" a="1"/>
  <c r="CA76" i="31" s="1"/>
  <c r="CB76" i="31" a="1"/>
  <c r="CB76" i="31" s="1"/>
  <c r="CC76" i="31" a="1"/>
  <c r="CC76" i="31" s="1"/>
  <c r="AH86" i="31" a="1"/>
  <c r="AH86" i="31" s="1"/>
  <c r="AI86" i="31" a="1"/>
  <c r="AI86" i="31" s="1"/>
  <c r="AJ86" i="31" a="1"/>
  <c r="AJ86" i="31" s="1"/>
  <c r="AK86" i="31" a="1"/>
  <c r="AK86" i="31" s="1"/>
  <c r="AL86" i="31" a="1"/>
  <c r="AL86" i="31" s="1"/>
  <c r="AM86" i="31" a="1"/>
  <c r="AM86" i="31" s="1"/>
  <c r="AN86" i="31" a="1"/>
  <c r="AN86" i="31" s="1"/>
  <c r="AO86" i="31" a="1"/>
  <c r="AO86" i="31" s="1"/>
  <c r="AP86" i="31" a="1"/>
  <c r="AP86" i="31" s="1"/>
  <c r="AQ86" i="31" a="1"/>
  <c r="AQ86" i="31" s="1"/>
  <c r="AR86" i="31" a="1"/>
  <c r="AR86" i="31" s="1"/>
  <c r="AS86" i="31" a="1"/>
  <c r="AS86" i="31" s="1"/>
  <c r="AT86" i="31" a="1"/>
  <c r="AT86" i="31" s="1"/>
  <c r="AU86" i="31" a="1"/>
  <c r="AU86" i="31" s="1"/>
  <c r="AV86" i="31" a="1"/>
  <c r="AV86" i="31" s="1"/>
  <c r="AW86" i="31" a="1"/>
  <c r="AW86" i="31" s="1"/>
  <c r="AX86" i="31" a="1"/>
  <c r="AX86" i="31" s="1"/>
  <c r="AY86" i="31" a="1"/>
  <c r="AY86" i="31" s="1"/>
  <c r="AZ86" i="31" a="1"/>
  <c r="AZ86" i="31" s="1"/>
  <c r="BA86" i="31" a="1"/>
  <c r="BA86" i="31" s="1"/>
  <c r="BB86" i="31" a="1"/>
  <c r="BB86" i="31" s="1"/>
  <c r="BC86" i="31" a="1"/>
  <c r="BC86" i="31" s="1"/>
  <c r="BD86" i="31" a="1"/>
  <c r="BD86" i="31" s="1"/>
  <c r="BE86" i="31" a="1"/>
  <c r="BE86" i="31" s="1"/>
  <c r="BF86" i="31" a="1"/>
  <c r="BF86" i="31" s="1"/>
  <c r="BG86" i="31" a="1"/>
  <c r="BG86" i="31" s="1"/>
  <c r="BH86" i="31" a="1"/>
  <c r="BH86" i="31" s="1"/>
  <c r="BI86" i="31" a="1"/>
  <c r="BI86" i="31" s="1"/>
  <c r="BJ86" i="31" a="1"/>
  <c r="BJ86" i="31" s="1"/>
  <c r="BK86" i="31" a="1"/>
  <c r="BK86" i="31" s="1"/>
  <c r="BL86" i="31" a="1"/>
  <c r="BL86" i="31" s="1"/>
  <c r="BM86" i="31" a="1"/>
  <c r="BM86" i="31" s="1"/>
  <c r="BN86" i="31" a="1"/>
  <c r="BN86" i="31" s="1"/>
  <c r="BO86" i="31" a="1"/>
  <c r="BO86" i="31" s="1"/>
  <c r="BP86" i="31" a="1"/>
  <c r="BP86" i="31" s="1"/>
  <c r="BQ86" i="31" a="1"/>
  <c r="BQ86" i="31" s="1"/>
  <c r="BR86" i="31" a="1"/>
  <c r="BR86" i="31" s="1"/>
  <c r="BS86" i="31" a="1"/>
  <c r="BS86" i="31" s="1"/>
  <c r="BT86" i="31" a="1"/>
  <c r="BT86" i="31" s="1"/>
  <c r="BU86" i="31" a="1"/>
  <c r="BU86" i="31" s="1"/>
  <c r="BV86" i="31" a="1"/>
  <c r="BV86" i="31" s="1"/>
  <c r="BW86" i="31" a="1"/>
  <c r="BW86" i="31" s="1"/>
  <c r="BX86" i="31" a="1"/>
  <c r="BX86" i="31" s="1"/>
  <c r="BY86" i="31" a="1"/>
  <c r="BY86" i="31" s="1"/>
  <c r="BZ86" i="31" a="1"/>
  <c r="BZ86" i="31" s="1"/>
  <c r="CA86" i="31" a="1"/>
  <c r="CA86" i="31" s="1"/>
  <c r="CB86" i="31" a="1"/>
  <c r="CB86" i="31" s="1"/>
  <c r="CC86" i="31" a="1"/>
  <c r="CC86" i="31" s="1"/>
  <c r="AK89" i="31" a="1"/>
  <c r="AK89" i="31" s="1"/>
  <c r="AL89" i="31" a="1"/>
  <c r="AL89" i="31" s="1"/>
  <c r="AM89" i="31" a="1"/>
  <c r="AM89" i="31" s="1"/>
  <c r="AN89" i="31" a="1"/>
  <c r="AN89" i="31" s="1"/>
  <c r="AO89" i="31" a="1"/>
  <c r="AO89" i="31" s="1"/>
  <c r="AP89" i="31" a="1"/>
  <c r="AP89" i="31" s="1"/>
  <c r="AQ89" i="31" a="1"/>
  <c r="AQ89" i="31" s="1"/>
  <c r="AR89" i="31" a="1"/>
  <c r="AR89" i="31" s="1"/>
  <c r="AS89" i="31" a="1"/>
  <c r="AS89" i="31" s="1"/>
  <c r="AT89" i="31" a="1"/>
  <c r="AT89" i="31" s="1"/>
  <c r="AU89" i="31" a="1"/>
  <c r="AU89" i="31" s="1"/>
  <c r="AV89" i="31" a="1"/>
  <c r="AV89" i="31" s="1"/>
  <c r="AW89" i="31" a="1"/>
  <c r="AW89" i="31" s="1"/>
  <c r="AX89" i="31" a="1"/>
  <c r="AX89" i="31" s="1"/>
  <c r="AY89" i="31" a="1"/>
  <c r="AY89" i="31" s="1"/>
  <c r="AZ89" i="31" a="1"/>
  <c r="AZ89" i="31" s="1"/>
  <c r="BA89" i="31" a="1"/>
  <c r="BA89" i="31" s="1"/>
  <c r="BB89" i="31" a="1"/>
  <c r="BB89" i="31" s="1"/>
  <c r="BC89" i="31" a="1"/>
  <c r="BC89" i="31" s="1"/>
  <c r="BD89" i="31" a="1"/>
  <c r="BD89" i="31" s="1"/>
  <c r="BE89" i="31" a="1"/>
  <c r="BE89" i="31" s="1"/>
  <c r="BF89" i="31" a="1"/>
  <c r="BF89" i="31" s="1"/>
  <c r="BG89" i="31" a="1"/>
  <c r="BG89" i="31" s="1"/>
  <c r="BH89" i="31" a="1"/>
  <c r="BH89" i="31" s="1"/>
  <c r="BI89" i="31" a="1"/>
  <c r="BI89" i="31" s="1"/>
  <c r="BJ89" i="31" a="1"/>
  <c r="BJ89" i="31" s="1"/>
  <c r="BK89" i="31" a="1"/>
  <c r="BK89" i="31" s="1"/>
  <c r="BL89" i="31" a="1"/>
  <c r="BL89" i="31" s="1"/>
  <c r="BM89" i="31" a="1"/>
  <c r="BM89" i="31" s="1"/>
  <c r="BN89" i="31" a="1"/>
  <c r="BN89" i="31" s="1"/>
  <c r="BO89" i="31" a="1"/>
  <c r="BO89" i="31" s="1"/>
  <c r="BP89" i="31" a="1"/>
  <c r="BP89" i="31" s="1"/>
  <c r="BQ89" i="31" a="1"/>
  <c r="BQ89" i="31" s="1"/>
  <c r="BR89" i="31" a="1"/>
  <c r="BR89" i="31" s="1"/>
  <c r="BS89" i="31" a="1"/>
  <c r="BS89" i="31" s="1"/>
  <c r="BT89" i="31" a="1"/>
  <c r="BT89" i="31" s="1"/>
  <c r="BU89" i="31" a="1"/>
  <c r="BU89" i="31" s="1"/>
  <c r="BV89" i="31" a="1"/>
  <c r="BV89" i="31" s="1"/>
  <c r="BW89" i="31" a="1"/>
  <c r="BW89" i="31" s="1"/>
  <c r="BX89" i="31" a="1"/>
  <c r="BX89" i="31" s="1"/>
  <c r="BY89" i="31" a="1"/>
  <c r="BY89" i="31" s="1"/>
  <c r="BZ89" i="31" a="1"/>
  <c r="BZ89" i="31" s="1"/>
  <c r="CA89" i="31" a="1"/>
  <c r="CA89" i="31" s="1"/>
  <c r="CB89" i="31" a="1"/>
  <c r="CB89" i="31" s="1"/>
  <c r="CC89" i="31" a="1"/>
  <c r="CC89" i="31" s="1"/>
  <c r="BJ114" i="31" a="1"/>
  <c r="BJ114" i="31" s="1"/>
  <c r="BK114" i="31" a="1"/>
  <c r="BK114" i="31" s="1"/>
  <c r="BL114" i="31" a="1"/>
  <c r="BL114" i="31" s="1"/>
  <c r="BM114" i="31" a="1"/>
  <c r="BM114" i="31" s="1"/>
  <c r="BN114" i="31" a="1"/>
  <c r="BN114" i="31" s="1"/>
  <c r="BO114" i="31" a="1"/>
  <c r="BO114" i="31" s="1"/>
  <c r="BP114" i="31" a="1"/>
  <c r="BP114" i="31" s="1"/>
  <c r="BQ114" i="31" a="1"/>
  <c r="BQ114" i="31" s="1"/>
  <c r="BR114" i="31" a="1"/>
  <c r="BR114" i="31" s="1"/>
  <c r="BS114" i="31" a="1"/>
  <c r="BS114" i="31" s="1"/>
  <c r="BT114" i="31" a="1"/>
  <c r="BT114" i="31" s="1"/>
  <c r="BU114" i="31" a="1"/>
  <c r="BU114" i="31" s="1"/>
  <c r="BV114" i="31" a="1"/>
  <c r="BV114" i="31" s="1"/>
  <c r="BW114" i="31" a="1"/>
  <c r="BW114" i="31" s="1"/>
  <c r="BX114" i="31" a="1"/>
  <c r="BX114" i="31" s="1"/>
  <c r="BY114" i="31" a="1"/>
  <c r="BY114" i="31" s="1"/>
  <c r="BZ114" i="31" a="1"/>
  <c r="BZ114" i="31" s="1"/>
  <c r="CA114" i="31" a="1"/>
  <c r="CA114" i="31" s="1"/>
  <c r="CB114" i="31" a="1"/>
  <c r="CB114" i="31" s="1"/>
  <c r="CC114" i="31" a="1"/>
  <c r="CC114" i="31" s="1"/>
  <c r="BI62" i="31" a="1"/>
  <c r="BI62" i="31" s="1"/>
  <c r="BJ62" i="31" a="1"/>
  <c r="BJ62" i="31" s="1"/>
  <c r="BK62" i="31" a="1"/>
  <c r="BK62" i="31" s="1"/>
  <c r="BL62" i="31" a="1"/>
  <c r="BL62" i="31" s="1"/>
  <c r="BM62" i="31" a="1"/>
  <c r="BM62" i="31" s="1"/>
  <c r="BN62" i="31" a="1"/>
  <c r="BN62" i="31" s="1"/>
  <c r="BO62" i="31" a="1"/>
  <c r="BO62" i="31" s="1"/>
  <c r="BP62" i="31" a="1"/>
  <c r="BP62" i="31" s="1"/>
  <c r="BQ62" i="31" a="1"/>
  <c r="BQ62" i="31" s="1"/>
  <c r="BR62" i="31" a="1"/>
  <c r="BR62" i="31" s="1"/>
  <c r="BS62" i="31" a="1"/>
  <c r="BS62" i="31" s="1"/>
  <c r="BT62" i="31" a="1"/>
  <c r="BT62" i="31" s="1"/>
  <c r="BU62" i="31" a="1"/>
  <c r="BU62" i="31" s="1"/>
  <c r="BV62" i="31" a="1"/>
  <c r="BV62" i="31" s="1"/>
  <c r="BW62" i="31" a="1"/>
  <c r="BW62" i="31" s="1"/>
  <c r="BX62" i="31" a="1"/>
  <c r="BX62" i="31" s="1"/>
  <c r="BY62" i="31" a="1"/>
  <c r="BY62" i="31" s="1"/>
  <c r="BZ62" i="31" a="1"/>
  <c r="BZ62" i="31" s="1"/>
  <c r="CA62" i="31" a="1"/>
  <c r="CA62" i="31" s="1"/>
  <c r="CB62" i="31" a="1"/>
  <c r="CB62" i="31" s="1"/>
  <c r="CC62" i="31" a="1"/>
  <c r="CC62" i="31" s="1"/>
  <c r="BS72" i="31" a="1"/>
  <c r="BS72" i="31" s="1"/>
  <c r="BT72" i="31" a="1"/>
  <c r="BT72" i="31" s="1"/>
  <c r="BU72" i="31" a="1"/>
  <c r="BU72" i="31" s="1"/>
  <c r="BV72" i="31" a="1"/>
  <c r="BV72" i="31" s="1"/>
  <c r="BW72" i="31" a="1"/>
  <c r="BW72" i="31" s="1"/>
  <c r="BX72" i="31" a="1"/>
  <c r="BX72" i="31" s="1"/>
  <c r="BY72" i="31" a="1"/>
  <c r="BY72" i="31" s="1"/>
  <c r="BZ72" i="31" a="1"/>
  <c r="BZ72" i="31" s="1"/>
  <c r="CA72" i="31" a="1"/>
  <c r="CA72" i="31" s="1"/>
  <c r="CB72" i="31" a="1"/>
  <c r="CB72" i="31" s="1"/>
  <c r="CC72" i="31" a="1"/>
  <c r="CC72" i="31" s="1"/>
  <c r="AO42" i="31" a="1"/>
  <c r="AO42" i="31" s="1"/>
  <c r="AP42" i="31" a="1"/>
  <c r="AP42" i="31" s="1"/>
  <c r="AQ42" i="31" a="1"/>
  <c r="AQ42" i="31" s="1"/>
  <c r="AR42" i="31" a="1"/>
  <c r="AR42" i="31" s="1"/>
  <c r="AS42" i="31" a="1"/>
  <c r="AS42" i="31" s="1"/>
  <c r="AT42" i="31" a="1"/>
  <c r="AT42" i="31" s="1"/>
  <c r="AU42" i="31" a="1"/>
  <c r="AU42" i="31" s="1"/>
  <c r="AV42" i="31" a="1"/>
  <c r="AV42" i="31" s="1"/>
  <c r="AW42" i="31" a="1"/>
  <c r="AW42" i="31" s="1"/>
  <c r="AX42" i="31" a="1"/>
  <c r="AX42" i="31" s="1"/>
  <c r="AY42" i="31" a="1"/>
  <c r="AY42" i="31" s="1"/>
  <c r="AZ42" i="31" a="1"/>
  <c r="AZ42" i="31" s="1"/>
  <c r="BA42" i="31" a="1"/>
  <c r="BA42" i="31" s="1"/>
  <c r="BB42" i="31" a="1"/>
  <c r="BB42" i="31" s="1"/>
  <c r="BC42" i="31" a="1"/>
  <c r="BC42" i="31" s="1"/>
  <c r="BD42" i="31" a="1"/>
  <c r="BD42" i="31" s="1"/>
  <c r="BE42" i="31" a="1"/>
  <c r="BE42" i="31" s="1"/>
  <c r="BF42" i="31" a="1"/>
  <c r="BF42" i="31" s="1"/>
  <c r="BG42" i="31" a="1"/>
  <c r="BG42" i="31" s="1"/>
  <c r="BH42" i="31" a="1"/>
  <c r="BH42" i="31" s="1"/>
  <c r="BI42" i="31" a="1"/>
  <c r="BI42" i="31" s="1"/>
  <c r="BJ42" i="31" a="1"/>
  <c r="BJ42" i="31" s="1"/>
  <c r="BK42" i="31" a="1"/>
  <c r="BK42" i="31" s="1"/>
  <c r="BL42" i="31" a="1"/>
  <c r="BL42" i="31" s="1"/>
  <c r="BM42" i="31" a="1"/>
  <c r="BM42" i="31" s="1"/>
  <c r="BN42" i="31" a="1"/>
  <c r="BN42" i="31" s="1"/>
  <c r="BO42" i="31" a="1"/>
  <c r="BO42" i="31" s="1"/>
  <c r="BP42" i="31" a="1"/>
  <c r="BP42" i="31" s="1"/>
  <c r="BQ42" i="31" a="1"/>
  <c r="BQ42" i="31" s="1"/>
  <c r="BR42" i="31" a="1"/>
  <c r="BR42" i="31" s="1"/>
  <c r="BS42" i="31" a="1"/>
  <c r="BS42" i="31" s="1"/>
  <c r="BT42" i="31" a="1"/>
  <c r="BT42" i="31" s="1"/>
  <c r="BU42" i="31" a="1"/>
  <c r="BU42" i="31" s="1"/>
  <c r="BV42" i="31" a="1"/>
  <c r="BV42" i="31" s="1"/>
  <c r="BW42" i="31" a="1"/>
  <c r="BW42" i="31" s="1"/>
  <c r="BX42" i="31" a="1"/>
  <c r="BX42" i="31" s="1"/>
  <c r="BY42" i="31" a="1"/>
  <c r="BY42" i="31" s="1"/>
  <c r="BZ42" i="31" a="1"/>
  <c r="BZ42" i="31" s="1"/>
  <c r="CA42" i="31" a="1"/>
  <c r="CA42" i="31" s="1"/>
  <c r="CB42" i="31" a="1"/>
  <c r="CB42" i="31" s="1"/>
  <c r="CC42" i="31" a="1"/>
  <c r="CC42" i="31" s="1"/>
  <c r="BQ121" i="31" a="1"/>
  <c r="BQ121" i="31" s="1"/>
  <c r="BR121" i="31" a="1"/>
  <c r="BR121" i="31" s="1"/>
  <c r="BS121" i="31" a="1"/>
  <c r="BS121" i="31" s="1"/>
  <c r="BT121" i="31" a="1"/>
  <c r="BT121" i="31" s="1"/>
  <c r="BU121" i="31" a="1"/>
  <c r="BU121" i="31" s="1"/>
  <c r="BV121" i="31" a="1"/>
  <c r="BV121" i="31" s="1"/>
  <c r="BW121" i="31" a="1"/>
  <c r="BW121" i="31" s="1"/>
  <c r="BX121" i="31" a="1"/>
  <c r="BX121" i="31" s="1"/>
  <c r="BY121" i="31" a="1"/>
  <c r="BY121" i="31" s="1"/>
  <c r="BZ121" i="31" a="1"/>
  <c r="BZ121" i="31" s="1"/>
  <c r="CA121" i="31" a="1"/>
  <c r="CA121" i="31" s="1"/>
  <c r="CB121" i="31" a="1"/>
  <c r="CB121" i="31" s="1"/>
  <c r="CC121" i="31" a="1"/>
  <c r="CC121" i="31" s="1"/>
  <c r="BN67" i="31" a="1"/>
  <c r="BN67" i="31" s="1"/>
  <c r="Z67" i="31" s="1"/>
  <c r="BO67" i="31" a="1"/>
  <c r="BO67" i="31" s="1"/>
  <c r="BP67" i="31" a="1"/>
  <c r="BP67" i="31" s="1"/>
  <c r="BQ67" i="31" a="1"/>
  <c r="BQ67" i="31" s="1"/>
  <c r="BR67" i="31" a="1"/>
  <c r="BR67" i="31" s="1"/>
  <c r="BS67" i="31" a="1"/>
  <c r="BS67" i="31" s="1"/>
  <c r="BT67" i="31" a="1"/>
  <c r="BT67" i="31" s="1"/>
  <c r="BU67" i="31" a="1"/>
  <c r="BU67" i="31" s="1"/>
  <c r="BV67" i="31" a="1"/>
  <c r="BV67" i="31" s="1"/>
  <c r="BW67" i="31" a="1"/>
  <c r="BW67" i="31" s="1"/>
  <c r="BX67" i="31" a="1"/>
  <c r="BX67" i="31" s="1"/>
  <c r="BY67" i="31" a="1"/>
  <c r="BY67" i="31" s="1"/>
  <c r="BZ67" i="31" a="1"/>
  <c r="BZ67" i="31" s="1"/>
  <c r="CA67" i="31" a="1"/>
  <c r="CA67" i="31" s="1"/>
  <c r="CB67" i="31" a="1"/>
  <c r="CB67" i="31" s="1"/>
  <c r="CC67" i="31" a="1"/>
  <c r="CC67" i="31" s="1"/>
  <c r="BV126" i="31" a="1"/>
  <c r="BV126" i="31" s="1"/>
  <c r="BW126" i="31" a="1"/>
  <c r="BW126" i="31" s="1"/>
  <c r="BX126" i="31" a="1"/>
  <c r="BX126" i="31" s="1"/>
  <c r="BY126" i="31" a="1"/>
  <c r="BY126" i="31" s="1"/>
  <c r="BZ126" i="31" a="1"/>
  <c r="BZ126" i="31" s="1"/>
  <c r="CA126" i="31" a="1"/>
  <c r="CA126" i="31" s="1"/>
  <c r="CB126" i="31" a="1"/>
  <c r="CB126" i="31" s="1"/>
  <c r="CC126" i="31" a="1"/>
  <c r="CC126" i="31" s="1"/>
  <c r="BI113" i="31" a="1"/>
  <c r="BI113" i="31" s="1"/>
  <c r="BJ113" i="31" a="1"/>
  <c r="BJ113" i="31" s="1"/>
  <c r="BK113" i="31" a="1"/>
  <c r="BK113" i="31" s="1"/>
  <c r="BL113" i="31" a="1"/>
  <c r="BL113" i="31" s="1"/>
  <c r="BM113" i="31" a="1"/>
  <c r="BM113" i="31" s="1"/>
  <c r="BN113" i="31" a="1"/>
  <c r="BN113" i="31" s="1"/>
  <c r="BO113" i="31" a="1"/>
  <c r="BO113" i="31" s="1"/>
  <c r="BP113" i="31" a="1"/>
  <c r="BP113" i="31" s="1"/>
  <c r="BQ113" i="31" a="1"/>
  <c r="BQ113" i="31" s="1"/>
  <c r="BR113" i="31" a="1"/>
  <c r="BR113" i="31" s="1"/>
  <c r="BS113" i="31" a="1"/>
  <c r="BS113" i="31" s="1"/>
  <c r="BT113" i="31" a="1"/>
  <c r="BT113" i="31" s="1"/>
  <c r="BU113" i="31" a="1"/>
  <c r="BU113" i="31" s="1"/>
  <c r="BV113" i="31" a="1"/>
  <c r="BV113" i="31" s="1"/>
  <c r="BW113" i="31" a="1"/>
  <c r="BW113" i="31" s="1"/>
  <c r="BX113" i="31" a="1"/>
  <c r="BX113" i="31" s="1"/>
  <c r="BY113" i="31" a="1"/>
  <c r="BY113" i="31" s="1"/>
  <c r="BZ113" i="31" a="1"/>
  <c r="BZ113" i="31" s="1"/>
  <c r="CA113" i="31" a="1"/>
  <c r="CA113" i="31" s="1"/>
  <c r="CB113" i="31" a="1"/>
  <c r="CB113" i="31" s="1"/>
  <c r="CC113" i="31" a="1"/>
  <c r="CC113" i="31" s="1"/>
  <c r="BY129" i="31" a="1"/>
  <c r="BY129" i="31" s="1"/>
  <c r="BZ129" i="31" a="1"/>
  <c r="BZ129" i="31" s="1"/>
  <c r="CA129" i="31" a="1"/>
  <c r="CA129" i="31" s="1"/>
  <c r="CB129" i="31" a="1"/>
  <c r="CB129" i="31" s="1"/>
  <c r="CC129" i="31" a="1"/>
  <c r="CC129" i="31" s="1"/>
  <c r="BZ257" i="31" a="1"/>
  <c r="BZ257" i="31" s="1"/>
  <c r="AZ257" i="31" a="1"/>
  <c r="AZ257" i="31" s="1"/>
  <c r="BA257" i="31" a="1"/>
  <c r="BA257" i="31" s="1"/>
  <c r="BB257" i="31" a="1"/>
  <c r="BB257" i="31" s="1"/>
  <c r="BC257" i="31" a="1"/>
  <c r="BC257" i="31" s="1"/>
  <c r="BD257" i="31" a="1"/>
  <c r="BD257" i="31" s="1"/>
  <c r="BE257" i="31" a="1"/>
  <c r="BE257" i="31" s="1"/>
  <c r="BF257" i="31" a="1"/>
  <c r="BF257" i="31" s="1"/>
  <c r="BG257" i="31" a="1"/>
  <c r="BG257" i="31" s="1"/>
  <c r="BH257" i="31" a="1"/>
  <c r="BH257" i="31" s="1"/>
  <c r="BI257" i="31" a="1"/>
  <c r="BI257" i="31" s="1"/>
  <c r="BJ257" i="31" a="1"/>
  <c r="BJ257" i="31" s="1"/>
  <c r="BK257" i="31" a="1"/>
  <c r="BK257" i="31" s="1"/>
  <c r="BL257" i="31" a="1"/>
  <c r="BL257" i="31" s="1"/>
  <c r="BM257" i="31" a="1"/>
  <c r="BM257" i="31" s="1"/>
  <c r="BN257" i="31" a="1"/>
  <c r="BN257" i="31" s="1"/>
  <c r="BO257" i="31" a="1"/>
  <c r="BO257" i="31" s="1"/>
  <c r="BP257" i="31" a="1"/>
  <c r="BP257" i="31" s="1"/>
  <c r="BQ257" i="31" a="1"/>
  <c r="BQ257" i="31" s="1"/>
  <c r="BR257" i="31" a="1"/>
  <c r="BR257" i="31" s="1"/>
  <c r="BS257" i="31" a="1"/>
  <c r="BS257" i="31" s="1"/>
  <c r="BT257" i="31" a="1"/>
  <c r="BT257" i="31" s="1"/>
  <c r="BU257" i="31" a="1"/>
  <c r="BU257" i="31" s="1"/>
  <c r="BV257" i="31" a="1"/>
  <c r="BV257" i="31" s="1"/>
  <c r="BW257" i="31" a="1"/>
  <c r="BW257" i="31" s="1"/>
  <c r="BX257" i="31" a="1"/>
  <c r="BX257" i="31" s="1"/>
  <c r="BY257" i="31" a="1"/>
  <c r="BY257" i="31" s="1"/>
  <c r="CA257" i="31" a="1"/>
  <c r="CA257" i="31" s="1"/>
  <c r="CB257" i="31" a="1"/>
  <c r="CB257" i="31" s="1"/>
  <c r="CC257" i="31" a="1"/>
  <c r="CC257" i="31" s="1"/>
  <c r="BT175" i="31" a="1"/>
  <c r="BT175" i="31" s="1"/>
  <c r="BU175" i="31" a="1"/>
  <c r="BU175" i="31" s="1"/>
  <c r="BV175" i="31" a="1"/>
  <c r="BV175" i="31" s="1"/>
  <c r="BW175" i="31" a="1"/>
  <c r="BW175" i="31" s="1"/>
  <c r="BX175" i="31" a="1"/>
  <c r="BX175" i="31" s="1"/>
  <c r="BY175" i="31" a="1"/>
  <c r="BY175" i="31" s="1"/>
  <c r="BZ175" i="31" a="1"/>
  <c r="BZ175" i="31" s="1"/>
  <c r="CA175" i="31" a="1"/>
  <c r="CA175" i="31" s="1"/>
  <c r="CB175" i="31" a="1"/>
  <c r="CB175" i="31" s="1"/>
  <c r="CC175" i="31" a="1"/>
  <c r="CC175" i="31" s="1"/>
  <c r="CC268" i="31" a="1"/>
  <c r="CC268" i="31" s="1"/>
  <c r="BK268" i="31" a="1"/>
  <c r="BK268" i="31" s="1"/>
  <c r="BL268" i="31" a="1"/>
  <c r="BL268" i="31" s="1"/>
  <c r="BM268" i="31" a="1"/>
  <c r="BM268" i="31" s="1"/>
  <c r="BN268" i="31" a="1"/>
  <c r="BN268" i="31" s="1"/>
  <c r="BO268" i="31" a="1"/>
  <c r="BO268" i="31" s="1"/>
  <c r="BP268" i="31" a="1"/>
  <c r="BP268" i="31" s="1"/>
  <c r="BQ268" i="31" a="1"/>
  <c r="BQ268" i="31" s="1"/>
  <c r="BR268" i="31" a="1"/>
  <c r="BR268" i="31" s="1"/>
  <c r="BS268" i="31" a="1"/>
  <c r="BS268" i="31" s="1"/>
  <c r="BT268" i="31" a="1"/>
  <c r="BT268" i="31" s="1"/>
  <c r="BU268" i="31" a="1"/>
  <c r="BU268" i="31" s="1"/>
  <c r="BV268" i="31" a="1"/>
  <c r="BV268" i="31" s="1"/>
  <c r="BW268" i="31" a="1"/>
  <c r="BW268" i="31" s="1"/>
  <c r="BX268" i="31" a="1"/>
  <c r="BX268" i="31" s="1"/>
  <c r="BY268" i="31" a="1"/>
  <c r="BY268" i="31" s="1"/>
  <c r="BZ268" i="31" a="1"/>
  <c r="BZ268" i="31" s="1"/>
  <c r="CA268" i="31" a="1"/>
  <c r="CA268" i="31" s="1"/>
  <c r="CB268" i="31" a="1"/>
  <c r="CB268" i="31" s="1"/>
  <c r="BI215" i="31" a="1"/>
  <c r="BI215" i="31" s="1"/>
  <c r="BJ215" i="31" a="1"/>
  <c r="BJ215" i="31" s="1"/>
  <c r="BK215" i="31" a="1"/>
  <c r="BK215" i="31" s="1"/>
  <c r="BL215" i="31" a="1"/>
  <c r="BL215" i="31" s="1"/>
  <c r="BM215" i="31" a="1"/>
  <c r="BM215" i="31" s="1"/>
  <c r="BN215" i="31" a="1"/>
  <c r="BN215" i="31" s="1"/>
  <c r="BO215" i="31" a="1"/>
  <c r="BO215" i="31" s="1"/>
  <c r="BP215" i="31" a="1"/>
  <c r="BP215" i="31" s="1"/>
  <c r="BQ215" i="31" a="1"/>
  <c r="BQ215" i="31" s="1"/>
  <c r="BR215" i="31" a="1"/>
  <c r="BR215" i="31" s="1"/>
  <c r="BS215" i="31" a="1"/>
  <c r="BS215" i="31" s="1"/>
  <c r="BT215" i="31" a="1"/>
  <c r="BT215" i="31" s="1"/>
  <c r="BU215" i="31" a="1"/>
  <c r="BU215" i="31" s="1"/>
  <c r="BV215" i="31" a="1"/>
  <c r="BV215" i="31" s="1"/>
  <c r="BW215" i="31" a="1"/>
  <c r="BW215" i="31" s="1"/>
  <c r="BX215" i="31" a="1"/>
  <c r="BX215" i="31" s="1"/>
  <c r="BY215" i="31" a="1"/>
  <c r="BY215" i="31" s="1"/>
  <c r="BZ215" i="31" a="1"/>
  <c r="BZ215" i="31" s="1"/>
  <c r="CA215" i="31" a="1"/>
  <c r="CA215" i="31" s="1"/>
  <c r="CB215" i="31" a="1"/>
  <c r="CB215" i="31" s="1"/>
  <c r="CC215" i="31" a="1"/>
  <c r="CC215" i="31" s="1"/>
  <c r="BJ267" i="31" a="1"/>
  <c r="BJ267" i="31" s="1"/>
  <c r="BK267" i="31" a="1"/>
  <c r="BK267" i="31" s="1"/>
  <c r="BL267" i="31" a="1"/>
  <c r="BL267" i="31" s="1"/>
  <c r="BM267" i="31" a="1"/>
  <c r="BM267" i="31" s="1"/>
  <c r="BN267" i="31" a="1"/>
  <c r="BN267" i="31" s="1"/>
  <c r="BO267" i="31" a="1"/>
  <c r="BO267" i="31" s="1"/>
  <c r="BP267" i="31" a="1"/>
  <c r="BP267" i="31" s="1"/>
  <c r="BQ267" i="31" a="1"/>
  <c r="BQ267" i="31" s="1"/>
  <c r="BR267" i="31" a="1"/>
  <c r="BR267" i="31" s="1"/>
  <c r="BS267" i="31" a="1"/>
  <c r="BS267" i="31" s="1"/>
  <c r="BT267" i="31" a="1"/>
  <c r="BT267" i="31" s="1"/>
  <c r="BU267" i="31" a="1"/>
  <c r="BU267" i="31" s="1"/>
  <c r="BV267" i="31" a="1"/>
  <c r="BV267" i="31" s="1"/>
  <c r="BW267" i="31" a="1"/>
  <c r="BW267" i="31" s="1"/>
  <c r="BX267" i="31" a="1"/>
  <c r="BX267" i="31" s="1"/>
  <c r="BY267" i="31" a="1"/>
  <c r="BY267" i="31" s="1"/>
  <c r="BZ267" i="31" a="1"/>
  <c r="BZ267" i="31" s="1"/>
  <c r="CA267" i="31" a="1"/>
  <c r="CA267" i="31" s="1"/>
  <c r="CB267" i="31" a="1"/>
  <c r="CB267" i="31" s="1"/>
  <c r="CC267" i="31" a="1"/>
  <c r="CC267" i="31" s="1"/>
  <c r="BK244" i="31" a="1"/>
  <c r="BK244" i="31" s="1"/>
  <c r="AM244" i="31" a="1"/>
  <c r="AM244" i="31" s="1"/>
  <c r="AN244" i="31" a="1"/>
  <c r="AN244" i="31" s="1"/>
  <c r="AO244" i="31" a="1"/>
  <c r="AO244" i="31" s="1"/>
  <c r="AP244" i="31" a="1"/>
  <c r="AP244" i="31" s="1"/>
  <c r="AQ244" i="31" a="1"/>
  <c r="AQ244" i="31" s="1"/>
  <c r="AR244" i="31" a="1"/>
  <c r="AR244" i="31" s="1"/>
  <c r="AS244" i="31" a="1"/>
  <c r="AS244" i="31" s="1"/>
  <c r="AT244" i="31" a="1"/>
  <c r="AT244" i="31" s="1"/>
  <c r="AU244" i="31" a="1"/>
  <c r="AU244" i="31" s="1"/>
  <c r="AV244" i="31" a="1"/>
  <c r="AV244" i="31" s="1"/>
  <c r="AW244" i="31" a="1"/>
  <c r="AW244" i="31" s="1"/>
  <c r="AX244" i="31" a="1"/>
  <c r="AX244" i="31" s="1"/>
  <c r="AY244" i="31" a="1"/>
  <c r="AY244" i="31" s="1"/>
  <c r="AZ244" i="31" a="1"/>
  <c r="AZ244" i="31" s="1"/>
  <c r="BA244" i="31" a="1"/>
  <c r="BA244" i="31" s="1"/>
  <c r="BB244" i="31" a="1"/>
  <c r="BB244" i="31" s="1"/>
  <c r="BC244" i="31" a="1"/>
  <c r="BC244" i="31" s="1"/>
  <c r="BD244" i="31" a="1"/>
  <c r="BD244" i="31" s="1"/>
  <c r="BE244" i="31" a="1"/>
  <c r="BE244" i="31" s="1"/>
  <c r="BF244" i="31" a="1"/>
  <c r="BF244" i="31" s="1"/>
  <c r="BG244" i="31" a="1"/>
  <c r="BG244" i="31" s="1"/>
  <c r="BH244" i="31" a="1"/>
  <c r="BH244" i="31" s="1"/>
  <c r="BI244" i="31" a="1"/>
  <c r="BI244" i="31" s="1"/>
  <c r="BJ244" i="31" a="1"/>
  <c r="BJ244" i="31" s="1"/>
  <c r="BL244" i="31" a="1"/>
  <c r="BL244" i="31" s="1"/>
  <c r="BM244" i="31" a="1"/>
  <c r="BM244" i="31" s="1"/>
  <c r="BN244" i="31" a="1"/>
  <c r="BN244" i="31" s="1"/>
  <c r="BO244" i="31" a="1"/>
  <c r="BO244" i="31" s="1"/>
  <c r="BP244" i="31" a="1"/>
  <c r="BP244" i="31" s="1"/>
  <c r="BQ244" i="31" a="1"/>
  <c r="BQ244" i="31" s="1"/>
  <c r="BR244" i="31" a="1"/>
  <c r="BR244" i="31" s="1"/>
  <c r="BS244" i="31" a="1"/>
  <c r="BS244" i="31" s="1"/>
  <c r="BT244" i="31" a="1"/>
  <c r="BT244" i="31" s="1"/>
  <c r="BU244" i="31" a="1"/>
  <c r="BU244" i="31" s="1"/>
  <c r="BV244" i="31" a="1"/>
  <c r="BV244" i="31" s="1"/>
  <c r="BW244" i="31" a="1"/>
  <c r="BW244" i="31" s="1"/>
  <c r="BX244" i="31" a="1"/>
  <c r="BX244" i="31" s="1"/>
  <c r="BY244" i="31" a="1"/>
  <c r="BY244" i="31" s="1"/>
  <c r="BZ244" i="31" a="1"/>
  <c r="BZ244" i="31" s="1"/>
  <c r="CA244" i="31" a="1"/>
  <c r="CA244" i="31" s="1"/>
  <c r="CB244" i="31" a="1"/>
  <c r="CB244" i="31" s="1"/>
  <c r="CC244" i="31" a="1"/>
  <c r="CC244" i="31" s="1"/>
  <c r="BQ223" i="31" a="1"/>
  <c r="BQ223" i="31" s="1"/>
  <c r="BR223" i="31" a="1"/>
  <c r="BR223" i="31" s="1"/>
  <c r="BS223" i="31" a="1"/>
  <c r="BS223" i="31" s="1"/>
  <c r="BT223" i="31" a="1"/>
  <c r="BT223" i="31" s="1"/>
  <c r="BU223" i="31" a="1"/>
  <c r="BU223" i="31" s="1"/>
  <c r="BV223" i="31" a="1"/>
  <c r="BV223" i="31" s="1"/>
  <c r="BW223" i="31" a="1"/>
  <c r="BW223" i="31" s="1"/>
  <c r="BX223" i="31" a="1"/>
  <c r="BX223" i="31" s="1"/>
  <c r="BY223" i="31" a="1"/>
  <c r="BY223" i="31" s="1"/>
  <c r="BZ223" i="31" a="1"/>
  <c r="BZ223" i="31" s="1"/>
  <c r="CA223" i="31" a="1"/>
  <c r="CA223" i="31" s="1"/>
  <c r="CB223" i="31" a="1"/>
  <c r="CB223" i="31" s="1"/>
  <c r="CC223" i="31" a="1"/>
  <c r="CC223" i="31" s="1"/>
  <c r="AM193" i="31" a="1"/>
  <c r="AM193" i="31" s="1"/>
  <c r="AN193" i="31" a="1"/>
  <c r="AN193" i="31" s="1"/>
  <c r="AO193" i="31" a="1"/>
  <c r="AO193" i="31" s="1"/>
  <c r="AP193" i="31" a="1"/>
  <c r="AP193" i="31" s="1"/>
  <c r="AQ193" i="31" a="1"/>
  <c r="AQ193" i="31" s="1"/>
  <c r="AR193" i="31" a="1"/>
  <c r="AR193" i="31" s="1"/>
  <c r="AS193" i="31" a="1"/>
  <c r="AS193" i="31" s="1"/>
  <c r="AT193" i="31" a="1"/>
  <c r="AT193" i="31" s="1"/>
  <c r="AU193" i="31" a="1"/>
  <c r="AU193" i="31" s="1"/>
  <c r="AV193" i="31" a="1"/>
  <c r="AV193" i="31" s="1"/>
  <c r="AW193" i="31" a="1"/>
  <c r="AW193" i="31" s="1"/>
  <c r="AX193" i="31" a="1"/>
  <c r="AX193" i="31" s="1"/>
  <c r="AY193" i="31" a="1"/>
  <c r="AY193" i="31" s="1"/>
  <c r="AZ193" i="31" a="1"/>
  <c r="AZ193" i="31" s="1"/>
  <c r="BA193" i="31" a="1"/>
  <c r="BA193" i="31" s="1"/>
  <c r="BB193" i="31" a="1"/>
  <c r="BB193" i="31" s="1"/>
  <c r="BC193" i="31" a="1"/>
  <c r="BC193" i="31" s="1"/>
  <c r="BD193" i="31" a="1"/>
  <c r="BD193" i="31" s="1"/>
  <c r="BE193" i="31" a="1"/>
  <c r="BE193" i="31" s="1"/>
  <c r="BF193" i="31" a="1"/>
  <c r="BF193" i="31" s="1"/>
  <c r="BG193" i="31" a="1"/>
  <c r="BG193" i="31" s="1"/>
  <c r="BH193" i="31" a="1"/>
  <c r="BH193" i="31" s="1"/>
  <c r="BI193" i="31" a="1"/>
  <c r="BI193" i="31" s="1"/>
  <c r="BJ193" i="31" a="1"/>
  <c r="BJ193" i="31" s="1"/>
  <c r="BK193" i="31" a="1"/>
  <c r="BK193" i="31" s="1"/>
  <c r="BL193" i="31" a="1"/>
  <c r="BL193" i="31" s="1"/>
  <c r="BM193" i="31" a="1"/>
  <c r="BM193" i="31" s="1"/>
  <c r="BN193" i="31" a="1"/>
  <c r="BN193" i="31" s="1"/>
  <c r="BO193" i="31" a="1"/>
  <c r="BO193" i="31" s="1"/>
  <c r="BP193" i="31" a="1"/>
  <c r="BP193" i="31" s="1"/>
  <c r="BQ193" i="31" a="1"/>
  <c r="BQ193" i="31" s="1"/>
  <c r="BR193" i="31" a="1"/>
  <c r="BR193" i="31" s="1"/>
  <c r="BS193" i="31" a="1"/>
  <c r="BS193" i="31" s="1"/>
  <c r="BT193" i="31" a="1"/>
  <c r="BT193" i="31" s="1"/>
  <c r="BU193" i="31" a="1"/>
  <c r="BU193" i="31" s="1"/>
  <c r="BV193" i="31" a="1"/>
  <c r="BV193" i="31" s="1"/>
  <c r="BW193" i="31" a="1"/>
  <c r="BW193" i="31" s="1"/>
  <c r="BX193" i="31" a="1"/>
  <c r="BX193" i="31" s="1"/>
  <c r="BY193" i="31" a="1"/>
  <c r="BY193" i="31" s="1"/>
  <c r="BZ193" i="31" a="1"/>
  <c r="BZ193" i="31" s="1"/>
  <c r="CA193" i="31" a="1"/>
  <c r="CA193" i="31" s="1"/>
  <c r="CB193" i="31" a="1"/>
  <c r="CB193" i="31" s="1"/>
  <c r="CC193" i="31" a="1"/>
  <c r="CC193" i="31" s="1"/>
  <c r="AL192" i="31" a="1"/>
  <c r="AL192" i="31" s="1"/>
  <c r="AM192" i="31" a="1"/>
  <c r="AM192" i="31" s="1"/>
  <c r="AN192" i="31" a="1"/>
  <c r="AN192" i="31" s="1"/>
  <c r="AO192" i="31" a="1"/>
  <c r="AO192" i="31" s="1"/>
  <c r="AP192" i="31" a="1"/>
  <c r="AP192" i="31" s="1"/>
  <c r="AQ192" i="31" a="1"/>
  <c r="AQ192" i="31" s="1"/>
  <c r="AR192" i="31" a="1"/>
  <c r="AR192" i="31" s="1"/>
  <c r="AS192" i="31" a="1"/>
  <c r="AS192" i="31" s="1"/>
  <c r="AT192" i="31" a="1"/>
  <c r="AT192" i="31" s="1"/>
  <c r="AU192" i="31" a="1"/>
  <c r="AU192" i="31" s="1"/>
  <c r="AV192" i="31" a="1"/>
  <c r="AV192" i="31" s="1"/>
  <c r="AW192" i="31" a="1"/>
  <c r="AW192" i="31" s="1"/>
  <c r="AX192" i="31" a="1"/>
  <c r="AX192" i="31" s="1"/>
  <c r="AY192" i="31" a="1"/>
  <c r="AY192" i="31" s="1"/>
  <c r="AZ192" i="31" a="1"/>
  <c r="AZ192" i="31" s="1"/>
  <c r="BA192" i="31" a="1"/>
  <c r="BA192" i="31" s="1"/>
  <c r="BB192" i="31" a="1"/>
  <c r="BB192" i="31" s="1"/>
  <c r="BC192" i="31" a="1"/>
  <c r="BC192" i="31" s="1"/>
  <c r="BD192" i="31" a="1"/>
  <c r="BD192" i="31" s="1"/>
  <c r="BE192" i="31" a="1"/>
  <c r="BE192" i="31" s="1"/>
  <c r="BF192" i="31" a="1"/>
  <c r="BF192" i="31" s="1"/>
  <c r="BG192" i="31" a="1"/>
  <c r="BG192" i="31" s="1"/>
  <c r="BH192" i="31" a="1"/>
  <c r="BH192" i="31" s="1"/>
  <c r="BI192" i="31" a="1"/>
  <c r="BI192" i="31" s="1"/>
  <c r="BJ192" i="31" a="1"/>
  <c r="BJ192" i="31" s="1"/>
  <c r="BK192" i="31" a="1"/>
  <c r="BK192" i="31" s="1"/>
  <c r="BL192" i="31" a="1"/>
  <c r="BL192" i="31" s="1"/>
  <c r="BM192" i="31" a="1"/>
  <c r="BM192" i="31" s="1"/>
  <c r="BN192" i="31" a="1"/>
  <c r="BN192" i="31" s="1"/>
  <c r="BO192" i="31" a="1"/>
  <c r="BO192" i="31" s="1"/>
  <c r="BP192" i="31" a="1"/>
  <c r="BP192" i="31" s="1"/>
  <c r="BQ192" i="31" a="1"/>
  <c r="BQ192" i="31" s="1"/>
  <c r="BR192" i="31" a="1"/>
  <c r="BR192" i="31" s="1"/>
  <c r="BS192" i="31" a="1"/>
  <c r="BS192" i="31" s="1"/>
  <c r="BT192" i="31" a="1"/>
  <c r="BT192" i="31" s="1"/>
  <c r="BU192" i="31" a="1"/>
  <c r="BU192" i="31" s="1"/>
  <c r="BV192" i="31" a="1"/>
  <c r="BV192" i="31" s="1"/>
  <c r="BW192" i="31" a="1"/>
  <c r="BW192" i="31" s="1"/>
  <c r="BX192" i="31" a="1"/>
  <c r="BX192" i="31" s="1"/>
  <c r="BY192" i="31" a="1"/>
  <c r="BY192" i="31" s="1"/>
  <c r="BZ192" i="31" a="1"/>
  <c r="BZ192" i="31" s="1"/>
  <c r="CA192" i="31" a="1"/>
  <c r="CA192" i="31" s="1"/>
  <c r="CB192" i="31" a="1"/>
  <c r="CB192" i="31" s="1"/>
  <c r="CC192" i="31" a="1"/>
  <c r="CC192" i="31" s="1"/>
  <c r="BJ216" i="31" a="1"/>
  <c r="BJ216" i="31" s="1"/>
  <c r="BK216" i="31" a="1"/>
  <c r="BK216" i="31" s="1"/>
  <c r="BL216" i="31" a="1"/>
  <c r="BL216" i="31" s="1"/>
  <c r="BM216" i="31" a="1"/>
  <c r="BM216" i="31" s="1"/>
  <c r="BN216" i="31" a="1"/>
  <c r="BN216" i="31" s="1"/>
  <c r="BO216" i="31" a="1"/>
  <c r="BO216" i="31" s="1"/>
  <c r="BP216" i="31" a="1"/>
  <c r="BP216" i="31" s="1"/>
  <c r="BQ216" i="31" a="1"/>
  <c r="BQ216" i="31" s="1"/>
  <c r="BR216" i="31" a="1"/>
  <c r="BR216" i="31" s="1"/>
  <c r="BS216" i="31" a="1"/>
  <c r="BS216" i="31" s="1"/>
  <c r="BT216" i="31" a="1"/>
  <c r="BT216" i="31" s="1"/>
  <c r="BU216" i="31" a="1"/>
  <c r="BU216" i="31" s="1"/>
  <c r="BV216" i="31" a="1"/>
  <c r="BV216" i="31" s="1"/>
  <c r="BW216" i="31" a="1"/>
  <c r="BW216" i="31" s="1"/>
  <c r="BX216" i="31" a="1"/>
  <c r="BX216" i="31" s="1"/>
  <c r="BY216" i="31" a="1"/>
  <c r="BY216" i="31" s="1"/>
  <c r="BZ216" i="31" a="1"/>
  <c r="BZ216" i="31" s="1"/>
  <c r="CA216" i="31" a="1"/>
  <c r="CA216" i="31" s="1"/>
  <c r="CB216" i="31" a="1"/>
  <c r="CB216" i="31" s="1"/>
  <c r="CC216" i="31" a="1"/>
  <c r="CC216" i="31" s="1"/>
  <c r="CA233" i="31" a="1"/>
  <c r="CA233" i="31" s="1"/>
  <c r="CB233" i="31" a="1"/>
  <c r="CB233" i="31" s="1"/>
  <c r="CC233" i="31" a="1"/>
  <c r="CC233" i="31" s="1"/>
  <c r="BJ165" i="31" a="1"/>
  <c r="BJ165" i="31" s="1"/>
  <c r="BK165" i="31" a="1"/>
  <c r="BK165" i="31" s="1"/>
  <c r="BL165" i="31" a="1"/>
  <c r="BL165" i="31" s="1"/>
  <c r="BM165" i="31" a="1"/>
  <c r="BM165" i="31" s="1"/>
  <c r="BN165" i="31" a="1"/>
  <c r="BN165" i="31" s="1"/>
  <c r="BO165" i="31" a="1"/>
  <c r="BO165" i="31" s="1"/>
  <c r="BP165" i="31" a="1"/>
  <c r="BP165" i="31" s="1"/>
  <c r="BQ165" i="31" a="1"/>
  <c r="BQ165" i="31" s="1"/>
  <c r="BR165" i="31" a="1"/>
  <c r="BR165" i="31" s="1"/>
  <c r="BS165" i="31" a="1"/>
  <c r="BS165" i="31" s="1"/>
  <c r="BT165" i="31" a="1"/>
  <c r="BT165" i="31" s="1"/>
  <c r="BU165" i="31" a="1"/>
  <c r="BU165" i="31" s="1"/>
  <c r="BV165" i="31" a="1"/>
  <c r="BV165" i="31" s="1"/>
  <c r="BW165" i="31" a="1"/>
  <c r="BW165" i="31" s="1"/>
  <c r="BX165" i="31" a="1"/>
  <c r="BX165" i="31" s="1"/>
  <c r="BY165" i="31" a="1"/>
  <c r="BY165" i="31" s="1"/>
  <c r="BZ165" i="31" a="1"/>
  <c r="BZ165" i="31" s="1"/>
  <c r="CA165" i="31" a="1"/>
  <c r="CA165" i="31" s="1"/>
  <c r="CB165" i="31" a="1"/>
  <c r="CB165" i="31" s="1"/>
  <c r="CC165" i="31" a="1"/>
  <c r="CC165" i="31" s="1"/>
  <c r="BU227" i="31" a="1"/>
  <c r="BU227" i="31" s="1"/>
  <c r="BV227" i="31" a="1"/>
  <c r="BV227" i="31" s="1"/>
  <c r="BW227" i="31" a="1"/>
  <c r="BW227" i="31" s="1"/>
  <c r="BX227" i="31" a="1"/>
  <c r="BX227" i="31" s="1"/>
  <c r="BY227" i="31" a="1"/>
  <c r="BY227" i="31" s="1"/>
  <c r="BZ227" i="31" a="1"/>
  <c r="BZ227" i="31" s="1"/>
  <c r="CA227" i="31" a="1"/>
  <c r="CA227" i="31" s="1"/>
  <c r="CB227" i="31" a="1"/>
  <c r="CB227" i="31" s="1"/>
  <c r="CC227" i="31" a="1"/>
  <c r="CC227" i="31" s="1"/>
  <c r="BO221" i="31" a="1"/>
  <c r="BO221" i="31" s="1"/>
  <c r="BP221" i="31" a="1"/>
  <c r="BP221" i="31" s="1"/>
  <c r="BQ221" i="31" a="1"/>
  <c r="BQ221" i="31" s="1"/>
  <c r="BR221" i="31" a="1"/>
  <c r="BR221" i="31" s="1"/>
  <c r="BS221" i="31" a="1"/>
  <c r="BS221" i="31" s="1"/>
  <c r="BT221" i="31" a="1"/>
  <c r="BT221" i="31" s="1"/>
  <c r="BU221" i="31" a="1"/>
  <c r="BU221" i="31" s="1"/>
  <c r="BV221" i="31" a="1"/>
  <c r="BV221" i="31" s="1"/>
  <c r="BW221" i="31" a="1"/>
  <c r="BW221" i="31" s="1"/>
  <c r="BX221" i="31" a="1"/>
  <c r="BX221" i="31" s="1"/>
  <c r="BY221" i="31" a="1"/>
  <c r="BY221" i="31" s="1"/>
  <c r="BZ221" i="31" a="1"/>
  <c r="BZ221" i="31" s="1"/>
  <c r="CA221" i="31" a="1"/>
  <c r="CA221" i="31" s="1"/>
  <c r="CB221" i="31" a="1"/>
  <c r="CB221" i="31" s="1"/>
  <c r="CC221" i="31" a="1"/>
  <c r="CC221" i="31" s="1"/>
  <c r="AU201" i="31" a="1"/>
  <c r="AU201" i="31" s="1"/>
  <c r="AV201" i="31" a="1"/>
  <c r="AV201" i="31" s="1"/>
  <c r="AW201" i="31" a="1"/>
  <c r="AW201" i="31" s="1"/>
  <c r="AX201" i="31" a="1"/>
  <c r="AX201" i="31" s="1"/>
  <c r="AY201" i="31" a="1"/>
  <c r="AY201" i="31" s="1"/>
  <c r="AZ201" i="31" a="1"/>
  <c r="AZ201" i="31" s="1"/>
  <c r="BA201" i="31" a="1"/>
  <c r="BA201" i="31" s="1"/>
  <c r="BB201" i="31" a="1"/>
  <c r="BB201" i="31" s="1"/>
  <c r="BC201" i="31" a="1"/>
  <c r="BC201" i="31" s="1"/>
  <c r="BD201" i="31" a="1"/>
  <c r="BD201" i="31" s="1"/>
  <c r="BE201" i="31" a="1"/>
  <c r="BE201" i="31" s="1"/>
  <c r="BF201" i="31" a="1"/>
  <c r="BF201" i="31" s="1"/>
  <c r="BG201" i="31" a="1"/>
  <c r="BG201" i="31" s="1"/>
  <c r="BH201" i="31" a="1"/>
  <c r="BH201" i="31" s="1"/>
  <c r="BI201" i="31" a="1"/>
  <c r="BI201" i="31" s="1"/>
  <c r="BJ201" i="31" a="1"/>
  <c r="BJ201" i="31" s="1"/>
  <c r="BK201" i="31" a="1"/>
  <c r="BK201" i="31" s="1"/>
  <c r="BL201" i="31" a="1"/>
  <c r="BL201" i="31" s="1"/>
  <c r="BM201" i="31" a="1"/>
  <c r="BM201" i="31" s="1"/>
  <c r="BN201" i="31" a="1"/>
  <c r="BN201" i="31" s="1"/>
  <c r="BO201" i="31" a="1"/>
  <c r="BO201" i="31" s="1"/>
  <c r="BP201" i="31" a="1"/>
  <c r="BP201" i="31" s="1"/>
  <c r="BQ201" i="31" a="1"/>
  <c r="BQ201" i="31" s="1"/>
  <c r="BR201" i="31" a="1"/>
  <c r="BR201" i="31" s="1"/>
  <c r="BS201" i="31" a="1"/>
  <c r="BS201" i="31" s="1"/>
  <c r="BT201" i="31" a="1"/>
  <c r="BT201" i="31" s="1"/>
  <c r="BU201" i="31" a="1"/>
  <c r="BU201" i="31" s="1"/>
  <c r="BV201" i="31" a="1"/>
  <c r="BV201" i="31" s="1"/>
  <c r="BW201" i="31" a="1"/>
  <c r="BW201" i="31" s="1"/>
  <c r="BX201" i="31" a="1"/>
  <c r="BX201" i="31" s="1"/>
  <c r="BY201" i="31" a="1"/>
  <c r="BY201" i="31" s="1"/>
  <c r="BZ201" i="31" a="1"/>
  <c r="BZ201" i="31" s="1"/>
  <c r="CA201" i="31" a="1"/>
  <c r="CA201" i="31" s="1"/>
  <c r="CB201" i="31" a="1"/>
  <c r="CB201" i="31" s="1"/>
  <c r="CC201" i="31" a="1"/>
  <c r="CC201" i="31" s="1"/>
  <c r="AX153" i="31" a="1"/>
  <c r="AX153" i="31" s="1"/>
  <c r="AY153" i="31" a="1"/>
  <c r="AY153" i="31" s="1"/>
  <c r="AZ153" i="31" a="1"/>
  <c r="AZ153" i="31" s="1"/>
  <c r="BA153" i="31" a="1"/>
  <c r="BA153" i="31" s="1"/>
  <c r="BB153" i="31" a="1"/>
  <c r="BB153" i="31" s="1"/>
  <c r="BC153" i="31" a="1"/>
  <c r="BC153" i="31" s="1"/>
  <c r="BD153" i="31" a="1"/>
  <c r="BD153" i="31" s="1"/>
  <c r="BE153" i="31" a="1"/>
  <c r="BE153" i="31" s="1"/>
  <c r="BF153" i="31" a="1"/>
  <c r="BF153" i="31" s="1"/>
  <c r="BG153" i="31" a="1"/>
  <c r="BG153" i="31" s="1"/>
  <c r="BH153" i="31" a="1"/>
  <c r="BH153" i="31" s="1"/>
  <c r="BI153" i="31" a="1"/>
  <c r="BI153" i="31" s="1"/>
  <c r="BJ153" i="31" a="1"/>
  <c r="BJ153" i="31" s="1"/>
  <c r="BK153" i="31" a="1"/>
  <c r="BK153" i="31" s="1"/>
  <c r="BL153" i="31" a="1"/>
  <c r="BL153" i="31" s="1"/>
  <c r="BM153" i="31" a="1"/>
  <c r="BM153" i="31" s="1"/>
  <c r="BN153" i="31" a="1"/>
  <c r="BN153" i="31" s="1"/>
  <c r="BO153" i="31" a="1"/>
  <c r="BO153" i="31" s="1"/>
  <c r="BP153" i="31" a="1"/>
  <c r="BP153" i="31" s="1"/>
  <c r="BQ153" i="31" a="1"/>
  <c r="BQ153" i="31" s="1"/>
  <c r="BR153" i="31" a="1"/>
  <c r="BR153" i="31" s="1"/>
  <c r="BS153" i="31" a="1"/>
  <c r="BS153" i="31" s="1"/>
  <c r="BT153" i="31" a="1"/>
  <c r="BT153" i="31" s="1"/>
  <c r="BU153" i="31" a="1"/>
  <c r="BU153" i="31" s="1"/>
  <c r="BV153" i="31" a="1"/>
  <c r="BV153" i="31" s="1"/>
  <c r="BW153" i="31" a="1"/>
  <c r="BW153" i="31" s="1"/>
  <c r="BX153" i="31" a="1"/>
  <c r="BX153" i="31" s="1"/>
  <c r="BY153" i="31" a="1"/>
  <c r="BY153" i="31" s="1"/>
  <c r="BZ153" i="31" a="1"/>
  <c r="BZ153" i="31" s="1"/>
  <c r="CA153" i="31" a="1"/>
  <c r="CA153" i="31" s="1"/>
  <c r="CB153" i="31" a="1"/>
  <c r="CB153" i="31" s="1"/>
  <c r="CC153" i="31" a="1"/>
  <c r="CC153" i="31" s="1"/>
  <c r="AL141" i="31" a="1"/>
  <c r="AL141" i="31" s="1"/>
  <c r="AM141" i="31" a="1"/>
  <c r="AM141" i="31" s="1"/>
  <c r="AN141" i="31" a="1"/>
  <c r="AN141" i="31" s="1"/>
  <c r="AO141" i="31" a="1"/>
  <c r="AO141" i="31" s="1"/>
  <c r="AP141" i="31" a="1"/>
  <c r="AP141" i="31" s="1"/>
  <c r="AQ141" i="31" a="1"/>
  <c r="AQ141" i="31" s="1"/>
  <c r="AR141" i="31" a="1"/>
  <c r="AR141" i="31" s="1"/>
  <c r="AS141" i="31" a="1"/>
  <c r="AS141" i="31" s="1"/>
  <c r="AT141" i="31" a="1"/>
  <c r="AT141" i="31" s="1"/>
  <c r="AU141" i="31" a="1"/>
  <c r="AU141" i="31" s="1"/>
  <c r="AV141" i="31" a="1"/>
  <c r="AV141" i="31" s="1"/>
  <c r="AW141" i="31" a="1"/>
  <c r="AW141" i="31" s="1"/>
  <c r="AX141" i="31" a="1"/>
  <c r="AX141" i="31" s="1"/>
  <c r="AY141" i="31" a="1"/>
  <c r="AY141" i="31" s="1"/>
  <c r="AZ141" i="31" a="1"/>
  <c r="AZ141" i="31" s="1"/>
  <c r="BA141" i="31" a="1"/>
  <c r="BA141" i="31" s="1"/>
  <c r="BB141" i="31" a="1"/>
  <c r="BB141" i="31" s="1"/>
  <c r="BC141" i="31" a="1"/>
  <c r="BC141" i="31" s="1"/>
  <c r="BD141" i="31" a="1"/>
  <c r="BD141" i="31" s="1"/>
  <c r="BE141" i="31" a="1"/>
  <c r="BE141" i="31" s="1"/>
  <c r="BF141" i="31" a="1"/>
  <c r="BF141" i="31" s="1"/>
  <c r="BG141" i="31" a="1"/>
  <c r="BG141" i="31" s="1"/>
  <c r="BH141" i="31" a="1"/>
  <c r="BH141" i="31" s="1"/>
  <c r="BI141" i="31" a="1"/>
  <c r="BI141" i="31" s="1"/>
  <c r="BJ141" i="31" a="1"/>
  <c r="BJ141" i="31" s="1"/>
  <c r="BK141" i="31" a="1"/>
  <c r="BK141" i="31" s="1"/>
  <c r="BL141" i="31" a="1"/>
  <c r="BL141" i="31" s="1"/>
  <c r="BM141" i="31" a="1"/>
  <c r="BM141" i="31" s="1"/>
  <c r="BN141" i="31" a="1"/>
  <c r="BN141" i="31" s="1"/>
  <c r="BO141" i="31" a="1"/>
  <c r="BO141" i="31" s="1"/>
  <c r="BP141" i="31" a="1"/>
  <c r="BP141" i="31" s="1"/>
  <c r="BQ141" i="31" a="1"/>
  <c r="BQ141" i="31" s="1"/>
  <c r="BR141" i="31" a="1"/>
  <c r="BR141" i="31" s="1"/>
  <c r="BS141" i="31" a="1"/>
  <c r="BS141" i="31" s="1"/>
  <c r="BT141" i="31" a="1"/>
  <c r="BT141" i="31" s="1"/>
  <c r="BU141" i="31" a="1"/>
  <c r="BU141" i="31" s="1"/>
  <c r="BV141" i="31" a="1"/>
  <c r="BV141" i="31" s="1"/>
  <c r="BW141" i="31" a="1"/>
  <c r="BW141" i="31" s="1"/>
  <c r="BX141" i="31" a="1"/>
  <c r="BX141" i="31" s="1"/>
  <c r="BY141" i="31" a="1"/>
  <c r="BY141" i="31" s="1"/>
  <c r="BZ141" i="31" a="1"/>
  <c r="BZ141" i="31" s="1"/>
  <c r="CA141" i="31" a="1"/>
  <c r="CA141" i="31" s="1"/>
  <c r="CB141" i="31" a="1"/>
  <c r="CB141" i="31" s="1"/>
  <c r="CC141" i="31" a="1"/>
  <c r="CC141" i="31" s="1"/>
  <c r="AT98" i="31" a="1"/>
  <c r="AT98" i="31" s="1"/>
  <c r="AU98" i="31" a="1"/>
  <c r="AU98" i="31" s="1"/>
  <c r="AV98" i="31" a="1"/>
  <c r="AV98" i="31" s="1"/>
  <c r="AW98" i="31" a="1"/>
  <c r="AW98" i="31" s="1"/>
  <c r="AX98" i="31" a="1"/>
  <c r="AX98" i="31" s="1"/>
  <c r="AY98" i="31" a="1"/>
  <c r="AY98" i="31" s="1"/>
  <c r="AZ98" i="31" a="1"/>
  <c r="AZ98" i="31" s="1"/>
  <c r="BA98" i="31" a="1"/>
  <c r="BA98" i="31" s="1"/>
  <c r="BB98" i="31" a="1"/>
  <c r="BB98" i="31" s="1"/>
  <c r="BC98" i="31" a="1"/>
  <c r="BC98" i="31" s="1"/>
  <c r="BD98" i="31" a="1"/>
  <c r="BD98" i="31" s="1"/>
  <c r="BE98" i="31" a="1"/>
  <c r="BE98" i="31" s="1"/>
  <c r="BF98" i="31" a="1"/>
  <c r="BF98" i="31" s="1"/>
  <c r="BG98" i="31" a="1"/>
  <c r="BG98" i="31" s="1"/>
  <c r="BH98" i="31" a="1"/>
  <c r="BH98" i="31" s="1"/>
  <c r="BI98" i="31" a="1"/>
  <c r="BI98" i="31" s="1"/>
  <c r="BJ98" i="31" a="1"/>
  <c r="BJ98" i="31" s="1"/>
  <c r="BK98" i="31" a="1"/>
  <c r="BK98" i="31" s="1"/>
  <c r="BL98" i="31" a="1"/>
  <c r="BL98" i="31" s="1"/>
  <c r="BM98" i="31" a="1"/>
  <c r="BM98" i="31" s="1"/>
  <c r="BN98" i="31" a="1"/>
  <c r="BN98" i="31" s="1"/>
  <c r="BO98" i="31" a="1"/>
  <c r="BO98" i="31" s="1"/>
  <c r="BP98" i="31" a="1"/>
  <c r="BP98" i="31" s="1"/>
  <c r="BQ98" i="31" a="1"/>
  <c r="BQ98" i="31" s="1"/>
  <c r="BR98" i="31" a="1"/>
  <c r="BR98" i="31" s="1"/>
  <c r="BS98" i="31" a="1"/>
  <c r="BS98" i="31" s="1"/>
  <c r="BT98" i="31" a="1"/>
  <c r="BT98" i="31" s="1"/>
  <c r="BU98" i="31" a="1"/>
  <c r="BU98" i="31" s="1"/>
  <c r="BV98" i="31" a="1"/>
  <c r="BV98" i="31" s="1"/>
  <c r="BW98" i="31" a="1"/>
  <c r="BW98" i="31" s="1"/>
  <c r="BX98" i="31" a="1"/>
  <c r="BX98" i="31" s="1"/>
  <c r="BY98" i="31" a="1"/>
  <c r="BY98" i="31" s="1"/>
  <c r="BZ98" i="31" a="1"/>
  <c r="BZ98" i="31" s="1"/>
  <c r="CA98" i="31" a="1"/>
  <c r="CA98" i="31" s="1"/>
  <c r="CB98" i="31" a="1"/>
  <c r="CB98" i="31" s="1"/>
  <c r="CC98" i="31" a="1"/>
  <c r="CC98" i="31" s="1"/>
  <c r="AW101" i="31" a="1"/>
  <c r="AW101" i="31" s="1"/>
  <c r="AX101" i="31" a="1"/>
  <c r="AX101" i="31" s="1"/>
  <c r="AY101" i="31" a="1"/>
  <c r="AY101" i="31" s="1"/>
  <c r="AZ101" i="31" a="1"/>
  <c r="AZ101" i="31" s="1"/>
  <c r="BA101" i="31" a="1"/>
  <c r="BA101" i="31" s="1"/>
  <c r="BB101" i="31" a="1"/>
  <c r="BB101" i="31" s="1"/>
  <c r="BC101" i="31" a="1"/>
  <c r="BC101" i="31" s="1"/>
  <c r="BD101" i="31" a="1"/>
  <c r="BD101" i="31" s="1"/>
  <c r="BE101" i="31" a="1"/>
  <c r="BE101" i="31" s="1"/>
  <c r="BF101" i="31" a="1"/>
  <c r="BF101" i="31" s="1"/>
  <c r="BG101" i="31" a="1"/>
  <c r="BG101" i="31" s="1"/>
  <c r="BH101" i="31" a="1"/>
  <c r="BH101" i="31" s="1"/>
  <c r="BI101" i="31" a="1"/>
  <c r="BI101" i="31" s="1"/>
  <c r="BJ101" i="31" a="1"/>
  <c r="BJ101" i="31" s="1"/>
  <c r="BK101" i="31" a="1"/>
  <c r="BK101" i="31" s="1"/>
  <c r="BL101" i="31" a="1"/>
  <c r="BL101" i="31" s="1"/>
  <c r="BM101" i="31" a="1"/>
  <c r="BM101" i="31" s="1"/>
  <c r="BN101" i="31" a="1"/>
  <c r="BN101" i="31" s="1"/>
  <c r="BO101" i="31" a="1"/>
  <c r="BO101" i="31" s="1"/>
  <c r="BP101" i="31" a="1"/>
  <c r="BP101" i="31" s="1"/>
  <c r="BQ101" i="31" a="1"/>
  <c r="BQ101" i="31" s="1"/>
  <c r="BR101" i="31" a="1"/>
  <c r="BR101" i="31" s="1"/>
  <c r="BS101" i="31" a="1"/>
  <c r="BS101" i="31" s="1"/>
  <c r="BT101" i="31" a="1"/>
  <c r="BT101" i="31" s="1"/>
  <c r="BU101" i="31" a="1"/>
  <c r="BU101" i="31" s="1"/>
  <c r="BV101" i="31" a="1"/>
  <c r="BV101" i="31" s="1"/>
  <c r="BW101" i="31" a="1"/>
  <c r="BW101" i="31" s="1"/>
  <c r="BX101" i="31" a="1"/>
  <c r="BX101" i="31" s="1"/>
  <c r="BY101" i="31" a="1"/>
  <c r="BY101" i="31" s="1"/>
  <c r="BZ101" i="31" a="1"/>
  <c r="BZ101" i="31" s="1"/>
  <c r="CA101" i="31" a="1"/>
  <c r="CA101" i="31" s="1"/>
  <c r="CB101" i="31" a="1"/>
  <c r="CB101" i="31" s="1"/>
  <c r="CC101" i="31" a="1"/>
  <c r="CC101" i="31" s="1"/>
  <c r="AY103" i="31" a="1"/>
  <c r="AY103" i="31" s="1"/>
  <c r="AZ103" i="31" a="1"/>
  <c r="AZ103" i="31" s="1"/>
  <c r="BA103" i="31" a="1"/>
  <c r="BA103" i="31" s="1"/>
  <c r="BB103" i="31" a="1"/>
  <c r="BB103" i="31" s="1"/>
  <c r="BC103" i="31" a="1"/>
  <c r="BC103" i="31" s="1"/>
  <c r="BD103" i="31" a="1"/>
  <c r="BD103" i="31" s="1"/>
  <c r="BE103" i="31" a="1"/>
  <c r="BE103" i="31" s="1"/>
  <c r="BF103" i="31" a="1"/>
  <c r="BF103" i="31" s="1"/>
  <c r="BG103" i="31" a="1"/>
  <c r="BG103" i="31" s="1"/>
  <c r="BH103" i="31" a="1"/>
  <c r="BH103" i="31" s="1"/>
  <c r="BI103" i="31" a="1"/>
  <c r="BI103" i="31" s="1"/>
  <c r="BJ103" i="31" a="1"/>
  <c r="BJ103" i="31" s="1"/>
  <c r="BK103" i="31" a="1"/>
  <c r="BK103" i="31" s="1"/>
  <c r="BL103" i="31" a="1"/>
  <c r="BL103" i="31" s="1"/>
  <c r="BM103" i="31" a="1"/>
  <c r="BM103" i="31" s="1"/>
  <c r="BN103" i="31" a="1"/>
  <c r="BN103" i="31" s="1"/>
  <c r="BO103" i="31" a="1"/>
  <c r="BO103" i="31" s="1"/>
  <c r="BP103" i="31" a="1"/>
  <c r="BP103" i="31" s="1"/>
  <c r="BQ103" i="31" a="1"/>
  <c r="BQ103" i="31" s="1"/>
  <c r="BR103" i="31" a="1"/>
  <c r="BR103" i="31" s="1"/>
  <c r="BS103" i="31" a="1"/>
  <c r="BS103" i="31" s="1"/>
  <c r="BT103" i="31" a="1"/>
  <c r="BT103" i="31" s="1"/>
  <c r="BU103" i="31" a="1"/>
  <c r="BU103" i="31" s="1"/>
  <c r="BV103" i="31" a="1"/>
  <c r="BV103" i="31" s="1"/>
  <c r="BW103" i="31" a="1"/>
  <c r="BW103" i="31" s="1"/>
  <c r="BX103" i="31" a="1"/>
  <c r="BX103" i="31" s="1"/>
  <c r="BY103" i="31" a="1"/>
  <c r="BY103" i="31" s="1"/>
  <c r="BZ103" i="31" a="1"/>
  <c r="BZ103" i="31" s="1"/>
  <c r="CA103" i="31" a="1"/>
  <c r="CA103" i="31" s="1"/>
  <c r="CB103" i="31" a="1"/>
  <c r="CB103" i="31" s="1"/>
  <c r="CC103" i="31" a="1"/>
  <c r="CC103" i="31" s="1"/>
  <c r="AL39" i="31" a="1"/>
  <c r="AL39" i="31" s="1"/>
  <c r="AM39" i="31" a="1"/>
  <c r="AM39" i="31" s="1"/>
  <c r="AN39" i="31" a="1"/>
  <c r="AN39" i="31" s="1"/>
  <c r="AO39" i="31" a="1"/>
  <c r="AO39" i="31" s="1"/>
  <c r="AP39" i="31" a="1"/>
  <c r="AP39" i="31" s="1"/>
  <c r="AQ39" i="31" a="1"/>
  <c r="AQ39" i="31" s="1"/>
  <c r="AR39" i="31" a="1"/>
  <c r="AR39" i="31" s="1"/>
  <c r="AS39" i="31" a="1"/>
  <c r="AS39" i="31" s="1"/>
  <c r="AT39" i="31" a="1"/>
  <c r="AT39" i="31" s="1"/>
  <c r="AU39" i="31" a="1"/>
  <c r="AU39" i="31" s="1"/>
  <c r="AV39" i="31" a="1"/>
  <c r="AV39" i="31" s="1"/>
  <c r="AW39" i="31" a="1"/>
  <c r="AW39" i="31" s="1"/>
  <c r="AX39" i="31" a="1"/>
  <c r="AX39" i="31" s="1"/>
  <c r="AY39" i="31" a="1"/>
  <c r="AY39" i="31" s="1"/>
  <c r="AZ39" i="31" a="1"/>
  <c r="AZ39" i="31" s="1"/>
  <c r="BA39" i="31" a="1"/>
  <c r="BA39" i="31" s="1"/>
  <c r="BB39" i="31" a="1"/>
  <c r="BB39" i="31" s="1"/>
  <c r="BC39" i="31" a="1"/>
  <c r="BC39" i="31" s="1"/>
  <c r="BD39" i="31" a="1"/>
  <c r="BD39" i="31" s="1"/>
  <c r="BE39" i="31" a="1"/>
  <c r="BE39" i="31" s="1"/>
  <c r="BF39" i="31" a="1"/>
  <c r="BF39" i="31" s="1"/>
  <c r="BG39" i="31" a="1"/>
  <c r="BG39" i="31" s="1"/>
  <c r="BH39" i="31" a="1"/>
  <c r="BH39" i="31" s="1"/>
  <c r="BI39" i="31" a="1"/>
  <c r="BI39" i="31" s="1"/>
  <c r="BJ39" i="31" a="1"/>
  <c r="BJ39" i="31" s="1"/>
  <c r="BK39" i="31" a="1"/>
  <c r="BK39" i="31" s="1"/>
  <c r="BL39" i="31" a="1"/>
  <c r="BL39" i="31" s="1"/>
  <c r="BM39" i="31" a="1"/>
  <c r="BM39" i="31" s="1"/>
  <c r="BN39" i="31" a="1"/>
  <c r="BN39" i="31" s="1"/>
  <c r="BO39" i="31" a="1"/>
  <c r="BO39" i="31" s="1"/>
  <c r="BP39" i="31" a="1"/>
  <c r="BP39" i="31" s="1"/>
  <c r="BQ39" i="31" a="1"/>
  <c r="BQ39" i="31" s="1"/>
  <c r="BR39" i="31" a="1"/>
  <c r="BR39" i="31" s="1"/>
  <c r="BS39" i="31" a="1"/>
  <c r="BS39" i="31" s="1"/>
  <c r="BT39" i="31" a="1"/>
  <c r="BT39" i="31" s="1"/>
  <c r="BU39" i="31" a="1"/>
  <c r="BU39" i="31" s="1"/>
  <c r="BV39" i="31" a="1"/>
  <c r="BV39" i="31" s="1"/>
  <c r="BW39" i="31" a="1"/>
  <c r="BW39" i="31" s="1"/>
  <c r="BX39" i="31" a="1"/>
  <c r="BX39" i="31" s="1"/>
  <c r="BY39" i="31" a="1"/>
  <c r="BY39" i="31" s="1"/>
  <c r="BZ39" i="31" a="1"/>
  <c r="BZ39" i="31" s="1"/>
  <c r="CA39" i="31" a="1"/>
  <c r="CA39" i="31" s="1"/>
  <c r="CB39" i="31" a="1"/>
  <c r="CB39" i="31" s="1"/>
  <c r="CC39" i="31" a="1"/>
  <c r="CC39" i="31" s="1"/>
  <c r="BH112" i="31" a="1"/>
  <c r="BH112" i="31" s="1"/>
  <c r="BI112" i="31" a="1"/>
  <c r="BI112" i="31" s="1"/>
  <c r="BJ112" i="31" a="1"/>
  <c r="BJ112" i="31" s="1"/>
  <c r="BK112" i="31" a="1"/>
  <c r="BK112" i="31" s="1"/>
  <c r="BL112" i="31" a="1"/>
  <c r="BL112" i="31" s="1"/>
  <c r="BM112" i="31" a="1"/>
  <c r="BM112" i="31" s="1"/>
  <c r="BN112" i="31" a="1"/>
  <c r="BN112" i="31" s="1"/>
  <c r="BO112" i="31" a="1"/>
  <c r="BO112" i="31" s="1"/>
  <c r="BP112" i="31" a="1"/>
  <c r="BP112" i="31" s="1"/>
  <c r="BQ112" i="31" a="1"/>
  <c r="BQ112" i="31" s="1"/>
  <c r="BR112" i="31" a="1"/>
  <c r="BR112" i="31" s="1"/>
  <c r="BS112" i="31" a="1"/>
  <c r="BS112" i="31" s="1"/>
  <c r="BT112" i="31" a="1"/>
  <c r="BT112" i="31" s="1"/>
  <c r="BU112" i="31" a="1"/>
  <c r="BU112" i="31" s="1"/>
  <c r="BV112" i="31" a="1"/>
  <c r="BV112" i="31" s="1"/>
  <c r="BW112" i="31" a="1"/>
  <c r="BW112" i="31" s="1"/>
  <c r="BX112" i="31" a="1"/>
  <c r="BX112" i="31" s="1"/>
  <c r="BY112" i="31" a="1"/>
  <c r="BY112" i="31" s="1"/>
  <c r="BZ112" i="31" a="1"/>
  <c r="BZ112" i="31" s="1"/>
  <c r="CA112" i="31" a="1"/>
  <c r="CA112" i="31" s="1"/>
  <c r="CB112" i="31" a="1"/>
  <c r="CB112" i="31" s="1"/>
  <c r="CC112" i="31" a="1"/>
  <c r="CC112" i="31" s="1"/>
  <c r="BZ79" i="31" a="1"/>
  <c r="BZ79" i="31" s="1"/>
  <c r="AD79" i="31" s="1"/>
  <c r="CA79" i="31" a="1"/>
  <c r="CA79" i="31" s="1"/>
  <c r="CB79" i="31" a="1"/>
  <c r="CB79" i="31" s="1"/>
  <c r="CC79" i="31" a="1"/>
  <c r="CC79" i="31" s="1"/>
  <c r="BG60" i="31" a="1"/>
  <c r="BG60" i="31" s="1"/>
  <c r="BH60" i="31" a="1"/>
  <c r="BH60" i="31" s="1"/>
  <c r="BI60" i="31" a="1"/>
  <c r="BI60" i="31" s="1"/>
  <c r="BJ60" i="31" a="1"/>
  <c r="BJ60" i="31" s="1"/>
  <c r="BK60" i="31" a="1"/>
  <c r="BK60" i="31" s="1"/>
  <c r="BL60" i="31" a="1"/>
  <c r="BL60" i="31" s="1"/>
  <c r="BM60" i="31" a="1"/>
  <c r="BM60" i="31" s="1"/>
  <c r="BN60" i="31" a="1"/>
  <c r="BN60" i="31" s="1"/>
  <c r="BO60" i="31" a="1"/>
  <c r="BO60" i="31" s="1"/>
  <c r="BP60" i="31" a="1"/>
  <c r="BP60" i="31" s="1"/>
  <c r="BQ60" i="31" a="1"/>
  <c r="BQ60" i="31" s="1"/>
  <c r="BR60" i="31" a="1"/>
  <c r="BR60" i="31" s="1"/>
  <c r="BS60" i="31" a="1"/>
  <c r="BS60" i="31" s="1"/>
  <c r="BT60" i="31" a="1"/>
  <c r="BT60" i="31" s="1"/>
  <c r="BU60" i="31" a="1"/>
  <c r="BU60" i="31" s="1"/>
  <c r="BV60" i="31" a="1"/>
  <c r="BV60" i="31" s="1"/>
  <c r="BW60" i="31" a="1"/>
  <c r="BW60" i="31" s="1"/>
  <c r="BX60" i="31" a="1"/>
  <c r="BX60" i="31" s="1"/>
  <c r="BY60" i="31" a="1"/>
  <c r="BY60" i="31" s="1"/>
  <c r="BZ60" i="31" a="1"/>
  <c r="BZ60" i="31" s="1"/>
  <c r="CA60" i="31" a="1"/>
  <c r="CA60" i="31" s="1"/>
  <c r="CB60" i="31" a="1"/>
  <c r="CB60" i="31" s="1"/>
  <c r="CC60" i="31" a="1"/>
  <c r="CC60" i="31" s="1"/>
  <c r="BH61" i="31" a="1"/>
  <c r="BH61" i="31" s="1"/>
  <c r="X61" i="31" s="1"/>
  <c r="BI61" i="31" a="1"/>
  <c r="BI61" i="31" s="1"/>
  <c r="BJ61" i="31" a="1"/>
  <c r="BJ61" i="31" s="1"/>
  <c r="BK61" i="31" a="1"/>
  <c r="BK61" i="31" s="1"/>
  <c r="BL61" i="31" a="1"/>
  <c r="BL61" i="31" s="1"/>
  <c r="BM61" i="31" a="1"/>
  <c r="BM61" i="31" s="1"/>
  <c r="BN61" i="31" a="1"/>
  <c r="BN61" i="31" s="1"/>
  <c r="BO61" i="31" a="1"/>
  <c r="BO61" i="31" s="1"/>
  <c r="BP61" i="31" a="1"/>
  <c r="BP61" i="31" s="1"/>
  <c r="BQ61" i="31" a="1"/>
  <c r="BQ61" i="31" s="1"/>
  <c r="BR61" i="31" a="1"/>
  <c r="BR61" i="31" s="1"/>
  <c r="BS61" i="31" a="1"/>
  <c r="BS61" i="31" s="1"/>
  <c r="BT61" i="31" a="1"/>
  <c r="BT61" i="31" s="1"/>
  <c r="BU61" i="31" a="1"/>
  <c r="BU61" i="31" s="1"/>
  <c r="BV61" i="31" a="1"/>
  <c r="BV61" i="31" s="1"/>
  <c r="BW61" i="31" a="1"/>
  <c r="BW61" i="31" s="1"/>
  <c r="BX61" i="31" a="1"/>
  <c r="BX61" i="31" s="1"/>
  <c r="BY61" i="31" a="1"/>
  <c r="BY61" i="31" s="1"/>
  <c r="BZ61" i="31" a="1"/>
  <c r="BZ61" i="31" s="1"/>
  <c r="CA61" i="31" a="1"/>
  <c r="CA61" i="31" s="1"/>
  <c r="CB61" i="31" a="1"/>
  <c r="CB61" i="31" s="1"/>
  <c r="CC61" i="31" a="1"/>
  <c r="CC61" i="31" s="1"/>
  <c r="AP94" i="31" a="1"/>
  <c r="AP94" i="31" s="1"/>
  <c r="AQ94" i="31" a="1"/>
  <c r="AQ94" i="31" s="1"/>
  <c r="AR94" i="31" a="1"/>
  <c r="AR94" i="31" s="1"/>
  <c r="AS94" i="31" a="1"/>
  <c r="AS94" i="31" s="1"/>
  <c r="AT94" i="31" a="1"/>
  <c r="AT94" i="31" s="1"/>
  <c r="AU94" i="31" a="1"/>
  <c r="AU94" i="31" s="1"/>
  <c r="AV94" i="31" a="1"/>
  <c r="AV94" i="31" s="1"/>
  <c r="AW94" i="31" a="1"/>
  <c r="AW94" i="31" s="1"/>
  <c r="AX94" i="31" a="1"/>
  <c r="AX94" i="31" s="1"/>
  <c r="AY94" i="31" a="1"/>
  <c r="AY94" i="31" s="1"/>
  <c r="AZ94" i="31" a="1"/>
  <c r="AZ94" i="31" s="1"/>
  <c r="BA94" i="31" a="1"/>
  <c r="BA94" i="31" s="1"/>
  <c r="BB94" i="31" a="1"/>
  <c r="BB94" i="31" s="1"/>
  <c r="BC94" i="31" a="1"/>
  <c r="BC94" i="31" s="1"/>
  <c r="BD94" i="31" a="1"/>
  <c r="BD94" i="31" s="1"/>
  <c r="BE94" i="31" a="1"/>
  <c r="BE94" i="31" s="1"/>
  <c r="BF94" i="31" a="1"/>
  <c r="BF94" i="31" s="1"/>
  <c r="BG94" i="31" a="1"/>
  <c r="BG94" i="31" s="1"/>
  <c r="BH94" i="31" a="1"/>
  <c r="BH94" i="31" s="1"/>
  <c r="BI94" i="31" a="1"/>
  <c r="BI94" i="31" s="1"/>
  <c r="BJ94" i="31" a="1"/>
  <c r="BJ94" i="31" s="1"/>
  <c r="BK94" i="31" a="1"/>
  <c r="BK94" i="31" s="1"/>
  <c r="BL94" i="31" a="1"/>
  <c r="BL94" i="31" s="1"/>
  <c r="BM94" i="31" a="1"/>
  <c r="BM94" i="31" s="1"/>
  <c r="BN94" i="31" a="1"/>
  <c r="BN94" i="31" s="1"/>
  <c r="BO94" i="31" a="1"/>
  <c r="BO94" i="31" s="1"/>
  <c r="BP94" i="31" a="1"/>
  <c r="BP94" i="31" s="1"/>
  <c r="BQ94" i="31" a="1"/>
  <c r="BQ94" i="31" s="1"/>
  <c r="BR94" i="31" a="1"/>
  <c r="BR94" i="31" s="1"/>
  <c r="BS94" i="31" a="1"/>
  <c r="BS94" i="31" s="1"/>
  <c r="BT94" i="31" a="1"/>
  <c r="BT94" i="31" s="1"/>
  <c r="BU94" i="31" a="1"/>
  <c r="BU94" i="31" s="1"/>
  <c r="BV94" i="31" a="1"/>
  <c r="BV94" i="31" s="1"/>
  <c r="BW94" i="31" a="1"/>
  <c r="BW94" i="31" s="1"/>
  <c r="BX94" i="31" a="1"/>
  <c r="BX94" i="31" s="1"/>
  <c r="BY94" i="31" a="1"/>
  <c r="BY94" i="31" s="1"/>
  <c r="BZ94" i="31" a="1"/>
  <c r="BZ94" i="31" s="1"/>
  <c r="CA94" i="31" a="1"/>
  <c r="CA94" i="31" s="1"/>
  <c r="CB94" i="31" a="1"/>
  <c r="CB94" i="31" s="1"/>
  <c r="CC94" i="31" a="1"/>
  <c r="CC94" i="31" s="1"/>
  <c r="AV49" i="31" a="1"/>
  <c r="AV49" i="31" s="1"/>
  <c r="T49" i="31" s="1"/>
  <c r="AW49" i="31" a="1"/>
  <c r="AW49" i="31" s="1"/>
  <c r="AX49" i="31" a="1"/>
  <c r="AX49" i="31" s="1"/>
  <c r="AY49" i="31" a="1"/>
  <c r="AY49" i="31" s="1"/>
  <c r="AZ49" i="31" a="1"/>
  <c r="AZ49" i="31" s="1"/>
  <c r="BA49" i="31" a="1"/>
  <c r="BA49" i="31" s="1"/>
  <c r="BB49" i="31" a="1"/>
  <c r="BB49" i="31" s="1"/>
  <c r="BC49" i="31" a="1"/>
  <c r="BC49" i="31" s="1"/>
  <c r="BD49" i="31" a="1"/>
  <c r="BD49" i="31" s="1"/>
  <c r="BE49" i="31" a="1"/>
  <c r="BE49" i="31" s="1"/>
  <c r="BF49" i="31" a="1"/>
  <c r="BF49" i="31" s="1"/>
  <c r="BG49" i="31" a="1"/>
  <c r="BG49" i="31" s="1"/>
  <c r="BH49" i="31" a="1"/>
  <c r="BH49" i="31" s="1"/>
  <c r="BI49" i="31" a="1"/>
  <c r="BI49" i="31" s="1"/>
  <c r="BJ49" i="31" a="1"/>
  <c r="BJ49" i="31" s="1"/>
  <c r="BK49" i="31" a="1"/>
  <c r="BK49" i="31" s="1"/>
  <c r="BL49" i="31" a="1"/>
  <c r="BL49" i="31" s="1"/>
  <c r="BM49" i="31" a="1"/>
  <c r="BM49" i="31" s="1"/>
  <c r="BN49" i="31" a="1"/>
  <c r="BN49" i="31" s="1"/>
  <c r="BO49" i="31" a="1"/>
  <c r="BO49" i="31" s="1"/>
  <c r="BP49" i="31" a="1"/>
  <c r="BP49" i="31" s="1"/>
  <c r="BQ49" i="31" a="1"/>
  <c r="BQ49" i="31" s="1"/>
  <c r="BR49" i="31" a="1"/>
  <c r="BR49" i="31" s="1"/>
  <c r="BS49" i="31" a="1"/>
  <c r="BS49" i="31" s="1"/>
  <c r="BT49" i="31" a="1"/>
  <c r="BT49" i="31" s="1"/>
  <c r="BU49" i="31" a="1"/>
  <c r="BU49" i="31" s="1"/>
  <c r="BV49" i="31" a="1"/>
  <c r="BV49" i="31" s="1"/>
  <c r="BW49" i="31" a="1"/>
  <c r="BW49" i="31" s="1"/>
  <c r="BX49" i="31" a="1"/>
  <c r="BX49" i="31" s="1"/>
  <c r="BY49" i="31" a="1"/>
  <c r="BY49" i="31" s="1"/>
  <c r="BZ49" i="31" a="1"/>
  <c r="BZ49" i="31" s="1"/>
  <c r="CA49" i="31" a="1"/>
  <c r="CA49" i="31" s="1"/>
  <c r="CB49" i="31" a="1"/>
  <c r="CB49" i="31" s="1"/>
  <c r="CC49" i="31" a="1"/>
  <c r="CC49" i="31" s="1"/>
  <c r="BD108" i="31" a="1"/>
  <c r="BD108" i="31" s="1"/>
  <c r="BE108" i="31" a="1"/>
  <c r="BE108" i="31" s="1"/>
  <c r="BF108" i="31" a="1"/>
  <c r="BF108" i="31" s="1"/>
  <c r="BG108" i="31" a="1"/>
  <c r="BG108" i="31" s="1"/>
  <c r="BH108" i="31" a="1"/>
  <c r="BH108" i="31" s="1"/>
  <c r="BI108" i="31" a="1"/>
  <c r="BI108" i="31" s="1"/>
  <c r="BJ108" i="31" a="1"/>
  <c r="BJ108" i="31" s="1"/>
  <c r="BK108" i="31" a="1"/>
  <c r="BK108" i="31" s="1"/>
  <c r="BL108" i="31" a="1"/>
  <c r="BL108" i="31" s="1"/>
  <c r="BM108" i="31" a="1"/>
  <c r="BM108" i="31" s="1"/>
  <c r="BN108" i="31" a="1"/>
  <c r="BN108" i="31" s="1"/>
  <c r="BO108" i="31" a="1"/>
  <c r="BO108" i="31" s="1"/>
  <c r="BP108" i="31" a="1"/>
  <c r="BP108" i="31" s="1"/>
  <c r="BQ108" i="31" a="1"/>
  <c r="BQ108" i="31" s="1"/>
  <c r="BR108" i="31" a="1"/>
  <c r="BR108" i="31" s="1"/>
  <c r="BS108" i="31" a="1"/>
  <c r="BS108" i="31" s="1"/>
  <c r="BT108" i="31" a="1"/>
  <c r="BT108" i="31" s="1"/>
  <c r="BU108" i="31" a="1"/>
  <c r="BU108" i="31" s="1"/>
  <c r="BV108" i="31" a="1"/>
  <c r="BV108" i="31" s="1"/>
  <c r="BW108" i="31" a="1"/>
  <c r="BW108" i="31" s="1"/>
  <c r="BX108" i="31" a="1"/>
  <c r="BX108" i="31" s="1"/>
  <c r="BY108" i="31" a="1"/>
  <c r="BY108" i="31" s="1"/>
  <c r="BZ108" i="31" a="1"/>
  <c r="BZ108" i="31" s="1"/>
  <c r="CA108" i="31" a="1"/>
  <c r="CA108" i="31" s="1"/>
  <c r="CB108" i="31" a="1"/>
  <c r="CB108" i="31" s="1"/>
  <c r="CC108" i="31" a="1"/>
  <c r="CC108" i="31" s="1"/>
  <c r="AH35" i="31" a="1"/>
  <c r="AH35" i="31" s="1"/>
  <c r="AI35" i="31" a="1"/>
  <c r="AI35" i="31" s="1"/>
  <c r="AJ35" i="31" a="1"/>
  <c r="AJ35" i="31" s="1"/>
  <c r="AK35" i="31" a="1"/>
  <c r="AK35" i="31" s="1"/>
  <c r="AL35" i="31" a="1"/>
  <c r="AL35" i="31" s="1"/>
  <c r="AM35" i="31" a="1"/>
  <c r="AM35" i="31" s="1"/>
  <c r="AN35" i="31" a="1"/>
  <c r="AN35" i="31" s="1"/>
  <c r="AO35" i="31" a="1"/>
  <c r="AO35" i="31" s="1"/>
  <c r="AP35" i="31" a="1"/>
  <c r="AP35" i="31" s="1"/>
  <c r="AQ35" i="31" a="1"/>
  <c r="AQ35" i="31" s="1"/>
  <c r="AR35" i="31" a="1"/>
  <c r="AR35" i="31" s="1"/>
  <c r="AS35" i="31" a="1"/>
  <c r="AS35" i="31" s="1"/>
  <c r="AT35" i="31" a="1"/>
  <c r="AT35" i="31" s="1"/>
  <c r="AU35" i="31" a="1"/>
  <c r="AU35" i="31" s="1"/>
  <c r="AV35" i="31" a="1"/>
  <c r="AV35" i="31" s="1"/>
  <c r="AW35" i="31" a="1"/>
  <c r="AW35" i="31" s="1"/>
  <c r="AX35" i="31" a="1"/>
  <c r="AX35" i="31" s="1"/>
  <c r="AY35" i="31" a="1"/>
  <c r="AY35" i="31" s="1"/>
  <c r="AZ35" i="31" a="1"/>
  <c r="AZ35" i="31" s="1"/>
  <c r="BA35" i="31" a="1"/>
  <c r="BA35" i="31" s="1"/>
  <c r="BB35" i="31" a="1"/>
  <c r="BB35" i="31" s="1"/>
  <c r="BC35" i="31" a="1"/>
  <c r="BC35" i="31" s="1"/>
  <c r="BD35" i="31" a="1"/>
  <c r="BD35" i="31" s="1"/>
  <c r="BE35" i="31" a="1"/>
  <c r="BE35" i="31" s="1"/>
  <c r="BF35" i="31" a="1"/>
  <c r="BF35" i="31" s="1"/>
  <c r="BG35" i="31" a="1"/>
  <c r="BG35" i="31" s="1"/>
  <c r="BH35" i="31" a="1"/>
  <c r="BH35" i="31" s="1"/>
  <c r="BI35" i="31" a="1"/>
  <c r="BI35" i="31" s="1"/>
  <c r="BJ35" i="31" a="1"/>
  <c r="BJ35" i="31" s="1"/>
  <c r="BK35" i="31" a="1"/>
  <c r="BK35" i="31" s="1"/>
  <c r="BL35" i="31" a="1"/>
  <c r="BL35" i="31" s="1"/>
  <c r="BM35" i="31" a="1"/>
  <c r="BM35" i="31" s="1"/>
  <c r="BN35" i="31" a="1"/>
  <c r="BN35" i="31" s="1"/>
  <c r="BO35" i="31" a="1"/>
  <c r="BO35" i="31" s="1"/>
  <c r="BP35" i="31" a="1"/>
  <c r="BP35" i="31" s="1"/>
  <c r="BQ35" i="31" a="1"/>
  <c r="BQ35" i="31" s="1"/>
  <c r="BR35" i="31" a="1"/>
  <c r="BR35" i="31" s="1"/>
  <c r="BS35" i="31" a="1"/>
  <c r="BS35" i="31" s="1"/>
  <c r="BT35" i="31" a="1"/>
  <c r="BT35" i="31" s="1"/>
  <c r="BU35" i="31" a="1"/>
  <c r="BU35" i="31" s="1"/>
  <c r="BV35" i="31" a="1"/>
  <c r="BV35" i="31" s="1"/>
  <c r="BW35" i="31" a="1"/>
  <c r="BW35" i="31" s="1"/>
  <c r="BX35" i="31" a="1"/>
  <c r="BX35" i="31" s="1"/>
  <c r="BY35" i="31" a="1"/>
  <c r="BY35" i="31" s="1"/>
  <c r="BZ35" i="31" a="1"/>
  <c r="BZ35" i="31" s="1"/>
  <c r="CA35" i="31" a="1"/>
  <c r="CA35" i="31" s="1"/>
  <c r="CB35" i="31" a="1"/>
  <c r="CB35" i="31" s="1"/>
  <c r="CC35" i="31" a="1"/>
  <c r="CC35" i="31" s="1"/>
  <c r="BE58" i="31" a="1"/>
  <c r="BE58" i="31" s="1"/>
  <c r="W58" i="31" s="1"/>
  <c r="BF58" i="31" a="1"/>
  <c r="BF58" i="31" s="1"/>
  <c r="BG58" i="31" a="1"/>
  <c r="BG58" i="31" s="1"/>
  <c r="BH58" i="31" a="1"/>
  <c r="BH58" i="31" s="1"/>
  <c r="BI58" i="31" a="1"/>
  <c r="BI58" i="31" s="1"/>
  <c r="BJ58" i="31" a="1"/>
  <c r="BJ58" i="31" s="1"/>
  <c r="BK58" i="31" a="1"/>
  <c r="BK58" i="31" s="1"/>
  <c r="BL58" i="31" a="1"/>
  <c r="BL58" i="31" s="1"/>
  <c r="BM58" i="31" a="1"/>
  <c r="BM58" i="31" s="1"/>
  <c r="BN58" i="31" a="1"/>
  <c r="BN58" i="31" s="1"/>
  <c r="BO58" i="31" a="1"/>
  <c r="BO58" i="31" s="1"/>
  <c r="BP58" i="31" a="1"/>
  <c r="BP58" i="31" s="1"/>
  <c r="BQ58" i="31" a="1"/>
  <c r="BQ58" i="31" s="1"/>
  <c r="BR58" i="31" a="1"/>
  <c r="BR58" i="31" s="1"/>
  <c r="BS58" i="31" a="1"/>
  <c r="BS58" i="31" s="1"/>
  <c r="BT58" i="31" a="1"/>
  <c r="BT58" i="31" s="1"/>
  <c r="BU58" i="31" a="1"/>
  <c r="BU58" i="31" s="1"/>
  <c r="BV58" i="31" a="1"/>
  <c r="BV58" i="31" s="1"/>
  <c r="BW58" i="31" a="1"/>
  <c r="BW58" i="31" s="1"/>
  <c r="BX58" i="31" a="1"/>
  <c r="BX58" i="31" s="1"/>
  <c r="BY58" i="31" a="1"/>
  <c r="BY58" i="31" s="1"/>
  <c r="BZ58" i="31" a="1"/>
  <c r="BZ58" i="31" s="1"/>
  <c r="CA58" i="31" a="1"/>
  <c r="CA58" i="31" s="1"/>
  <c r="CB58" i="31" a="1"/>
  <c r="CB58" i="31" s="1"/>
  <c r="CC58" i="31" a="1"/>
  <c r="CC58" i="31" s="1"/>
  <c r="BK246" i="31" a="1"/>
  <c r="BK246" i="31" s="1"/>
  <c r="AO246" i="31" a="1"/>
  <c r="AO246" i="31" s="1"/>
  <c r="AP246" i="31" a="1"/>
  <c r="AP246" i="31" s="1"/>
  <c r="AQ246" i="31" a="1"/>
  <c r="AQ246" i="31" s="1"/>
  <c r="AR246" i="31" a="1"/>
  <c r="AR246" i="31" s="1"/>
  <c r="AS246" i="31" a="1"/>
  <c r="AS246" i="31" s="1"/>
  <c r="AT246" i="31" a="1"/>
  <c r="AT246" i="31" s="1"/>
  <c r="AU246" i="31" a="1"/>
  <c r="AU246" i="31" s="1"/>
  <c r="AV246" i="31" a="1"/>
  <c r="AV246" i="31" s="1"/>
  <c r="AW246" i="31" a="1"/>
  <c r="AW246" i="31" s="1"/>
  <c r="AX246" i="31" a="1"/>
  <c r="AX246" i="31" s="1"/>
  <c r="AY246" i="31" a="1"/>
  <c r="AY246" i="31" s="1"/>
  <c r="AZ246" i="31" a="1"/>
  <c r="AZ246" i="31" s="1"/>
  <c r="BA246" i="31" a="1"/>
  <c r="BA246" i="31" s="1"/>
  <c r="BB246" i="31" a="1"/>
  <c r="BB246" i="31" s="1"/>
  <c r="BC246" i="31" a="1"/>
  <c r="BC246" i="31" s="1"/>
  <c r="BD246" i="31" a="1"/>
  <c r="BD246" i="31" s="1"/>
  <c r="BE246" i="31" a="1"/>
  <c r="BE246" i="31" s="1"/>
  <c r="BF246" i="31" a="1"/>
  <c r="BF246" i="31" s="1"/>
  <c r="BG246" i="31" a="1"/>
  <c r="BG246" i="31" s="1"/>
  <c r="BH246" i="31" a="1"/>
  <c r="BH246" i="31" s="1"/>
  <c r="BI246" i="31" a="1"/>
  <c r="BI246" i="31" s="1"/>
  <c r="BJ246" i="31" a="1"/>
  <c r="BJ246" i="31" s="1"/>
  <c r="BL246" i="31" a="1"/>
  <c r="BL246" i="31" s="1"/>
  <c r="BM246" i="31" a="1"/>
  <c r="BM246" i="31" s="1"/>
  <c r="BN246" i="31" a="1"/>
  <c r="BN246" i="31" s="1"/>
  <c r="BO246" i="31" a="1"/>
  <c r="BO246" i="31" s="1"/>
  <c r="BP246" i="31" a="1"/>
  <c r="BP246" i="31" s="1"/>
  <c r="BQ246" i="31" a="1"/>
  <c r="BQ246" i="31" s="1"/>
  <c r="BR246" i="31" a="1"/>
  <c r="BR246" i="31" s="1"/>
  <c r="BS246" i="31" a="1"/>
  <c r="BS246" i="31" s="1"/>
  <c r="BT246" i="31" a="1"/>
  <c r="BT246" i="31" s="1"/>
  <c r="BU246" i="31" a="1"/>
  <c r="BU246" i="31" s="1"/>
  <c r="BV246" i="31" a="1"/>
  <c r="BV246" i="31" s="1"/>
  <c r="BW246" i="31" a="1"/>
  <c r="BW246" i="31" s="1"/>
  <c r="BX246" i="31" a="1"/>
  <c r="BX246" i="31" s="1"/>
  <c r="BY246" i="31" a="1"/>
  <c r="BY246" i="31" s="1"/>
  <c r="BZ246" i="31" a="1"/>
  <c r="BZ246" i="31" s="1"/>
  <c r="CA246" i="31" a="1"/>
  <c r="CA246" i="31" s="1"/>
  <c r="CB246" i="31" a="1"/>
  <c r="CB246" i="31" s="1"/>
  <c r="CC246" i="31" a="1"/>
  <c r="CC246" i="31" s="1"/>
  <c r="BU274" i="31" a="1"/>
  <c r="BU274" i="31" s="1"/>
  <c r="BQ274" i="31" a="1"/>
  <c r="BQ274" i="31" s="1"/>
  <c r="BR274" i="31" a="1"/>
  <c r="BR274" i="31" s="1"/>
  <c r="BS274" i="31" a="1"/>
  <c r="BS274" i="31" s="1"/>
  <c r="BT274" i="31" a="1"/>
  <c r="BT274" i="31" s="1"/>
  <c r="BV274" i="31" a="1"/>
  <c r="BV274" i="31" s="1"/>
  <c r="BW274" i="31" a="1"/>
  <c r="BW274" i="31" s="1"/>
  <c r="BX274" i="31" a="1"/>
  <c r="BX274" i="31" s="1"/>
  <c r="BY274" i="31" a="1"/>
  <c r="BY274" i="31" s="1"/>
  <c r="BZ274" i="31" a="1"/>
  <c r="BZ274" i="31" s="1"/>
  <c r="CA274" i="31" a="1"/>
  <c r="CA274" i="31" s="1"/>
  <c r="CB274" i="31" a="1"/>
  <c r="CB274" i="31" s="1"/>
  <c r="CC274" i="31" a="1"/>
  <c r="CC274" i="31" s="1"/>
  <c r="BH263" i="31" a="1"/>
  <c r="BH263" i="31" s="1"/>
  <c r="BF263" i="31" a="1"/>
  <c r="BF263" i="31" s="1"/>
  <c r="BG263" i="31" a="1"/>
  <c r="BG263" i="31" s="1"/>
  <c r="BI263" i="31" a="1"/>
  <c r="BI263" i="31" s="1"/>
  <c r="BJ263" i="31" a="1"/>
  <c r="BJ263" i="31" s="1"/>
  <c r="BK263" i="31" a="1"/>
  <c r="BK263" i="31" s="1"/>
  <c r="BL263" i="31" a="1"/>
  <c r="BL263" i="31" s="1"/>
  <c r="BM263" i="31" a="1"/>
  <c r="BM263" i="31" s="1"/>
  <c r="BN263" i="31" a="1"/>
  <c r="BN263" i="31" s="1"/>
  <c r="BO263" i="31" a="1"/>
  <c r="BO263" i="31" s="1"/>
  <c r="BP263" i="31" a="1"/>
  <c r="BP263" i="31" s="1"/>
  <c r="BQ263" i="31" a="1"/>
  <c r="BQ263" i="31" s="1"/>
  <c r="BR263" i="31" a="1"/>
  <c r="BR263" i="31" s="1"/>
  <c r="BS263" i="31" a="1"/>
  <c r="BS263" i="31" s="1"/>
  <c r="BT263" i="31" a="1"/>
  <c r="BT263" i="31" s="1"/>
  <c r="BU263" i="31" a="1"/>
  <c r="BU263" i="31" s="1"/>
  <c r="BV263" i="31" a="1"/>
  <c r="BV263" i="31" s="1"/>
  <c r="BW263" i="31" a="1"/>
  <c r="BW263" i="31" s="1"/>
  <c r="BX263" i="31" a="1"/>
  <c r="BX263" i="31" s="1"/>
  <c r="BY263" i="31" a="1"/>
  <c r="BY263" i="31" s="1"/>
  <c r="BZ263" i="31" a="1"/>
  <c r="BZ263" i="31" s="1"/>
  <c r="CA263" i="31" a="1"/>
  <c r="CA263" i="31" s="1"/>
  <c r="CB263" i="31" a="1"/>
  <c r="CB263" i="31" s="1"/>
  <c r="CC263" i="31" a="1"/>
  <c r="CC263" i="31" s="1"/>
  <c r="BZ281" i="31" a="1"/>
  <c r="BZ281" i="31" s="1"/>
  <c r="BX281" i="31" a="1"/>
  <c r="BX281" i="31" s="1"/>
  <c r="BY281" i="31" a="1"/>
  <c r="BY281" i="31" s="1"/>
  <c r="CA281" i="31" a="1"/>
  <c r="CA281" i="31" s="1"/>
  <c r="CB281" i="31" a="1"/>
  <c r="CB281" i="31" s="1"/>
  <c r="CC281" i="31" a="1"/>
  <c r="CC281" i="31" s="1"/>
  <c r="BY279" i="31" a="1"/>
  <c r="BY279" i="31" s="1"/>
  <c r="BV279" i="31" a="1"/>
  <c r="BV279" i="31" s="1"/>
  <c r="BW279" i="31" a="1"/>
  <c r="BW279" i="31" s="1"/>
  <c r="BX279" i="31" a="1"/>
  <c r="BX279" i="31" s="1"/>
  <c r="BZ279" i="31" a="1"/>
  <c r="BZ279" i="31" s="1"/>
  <c r="CA279" i="31" a="1"/>
  <c r="CA279" i="31" s="1"/>
  <c r="CB279" i="31" a="1"/>
  <c r="CB279" i="31" s="1"/>
  <c r="CC279" i="31" a="1"/>
  <c r="CC279" i="31" s="1"/>
  <c r="BD258" i="31" a="1"/>
  <c r="BD258" i="31" s="1"/>
  <c r="BA258" i="31" a="1"/>
  <c r="BA258" i="31" s="1"/>
  <c r="BB258" i="31" a="1"/>
  <c r="BB258" i="31" s="1"/>
  <c r="BC258" i="31" a="1"/>
  <c r="BC258" i="31" s="1"/>
  <c r="BE258" i="31" a="1"/>
  <c r="BE258" i="31" s="1"/>
  <c r="BF258" i="31" a="1"/>
  <c r="BF258" i="31" s="1"/>
  <c r="BG258" i="31" a="1"/>
  <c r="BG258" i="31" s="1"/>
  <c r="BH258" i="31" a="1"/>
  <c r="BH258" i="31" s="1"/>
  <c r="BI258" i="31" a="1"/>
  <c r="BI258" i="31" s="1"/>
  <c r="BJ258" i="31" a="1"/>
  <c r="BJ258" i="31" s="1"/>
  <c r="BK258" i="31" a="1"/>
  <c r="BK258" i="31" s="1"/>
  <c r="BL258" i="31" a="1"/>
  <c r="BL258" i="31" s="1"/>
  <c r="BM258" i="31" a="1"/>
  <c r="BM258" i="31" s="1"/>
  <c r="BN258" i="31" a="1"/>
  <c r="BN258" i="31" s="1"/>
  <c r="BO258" i="31" a="1"/>
  <c r="BO258" i="31" s="1"/>
  <c r="BP258" i="31" a="1"/>
  <c r="BP258" i="31" s="1"/>
  <c r="BQ258" i="31" a="1"/>
  <c r="BQ258" i="31" s="1"/>
  <c r="BR258" i="31" a="1"/>
  <c r="BR258" i="31" s="1"/>
  <c r="BS258" i="31" a="1"/>
  <c r="BS258" i="31" s="1"/>
  <c r="BT258" i="31" a="1"/>
  <c r="BT258" i="31" s="1"/>
  <c r="BU258" i="31" a="1"/>
  <c r="BU258" i="31" s="1"/>
  <c r="BV258" i="31" a="1"/>
  <c r="BV258" i="31" s="1"/>
  <c r="BW258" i="31" a="1"/>
  <c r="BW258" i="31" s="1"/>
  <c r="BX258" i="31" a="1"/>
  <c r="BX258" i="31" s="1"/>
  <c r="BY258" i="31" a="1"/>
  <c r="BY258" i="31" s="1"/>
  <c r="BZ258" i="31" a="1"/>
  <c r="BZ258" i="31" s="1"/>
  <c r="CA258" i="31" a="1"/>
  <c r="CA258" i="31" s="1"/>
  <c r="CB258" i="31" a="1"/>
  <c r="CB258" i="31" s="1"/>
  <c r="CC258" i="31" a="1"/>
  <c r="CC258" i="31" s="1"/>
  <c r="BA156" i="31" a="1"/>
  <c r="BA156" i="31" s="1"/>
  <c r="BB156" i="31" a="1"/>
  <c r="BB156" i="31" s="1"/>
  <c r="BC156" i="31" a="1"/>
  <c r="BC156" i="31" s="1"/>
  <c r="BD156" i="31" a="1"/>
  <c r="BD156" i="31" s="1"/>
  <c r="BE156" i="31" a="1"/>
  <c r="BE156" i="31" s="1"/>
  <c r="BF156" i="31" a="1"/>
  <c r="BF156" i="31" s="1"/>
  <c r="BG156" i="31" a="1"/>
  <c r="BG156" i="31" s="1"/>
  <c r="BH156" i="31" a="1"/>
  <c r="BH156" i="31" s="1"/>
  <c r="BI156" i="31" a="1"/>
  <c r="BI156" i="31" s="1"/>
  <c r="BJ156" i="31" a="1"/>
  <c r="BJ156" i="31" s="1"/>
  <c r="BK156" i="31" a="1"/>
  <c r="BK156" i="31" s="1"/>
  <c r="BL156" i="31" a="1"/>
  <c r="BL156" i="31" s="1"/>
  <c r="BM156" i="31" a="1"/>
  <c r="BM156" i="31" s="1"/>
  <c r="BN156" i="31" a="1"/>
  <c r="BN156" i="31" s="1"/>
  <c r="BO156" i="31" a="1"/>
  <c r="BO156" i="31" s="1"/>
  <c r="BP156" i="31" a="1"/>
  <c r="BP156" i="31" s="1"/>
  <c r="BQ156" i="31" a="1"/>
  <c r="BQ156" i="31" s="1"/>
  <c r="BR156" i="31" a="1"/>
  <c r="BR156" i="31" s="1"/>
  <c r="BS156" i="31" a="1"/>
  <c r="BS156" i="31" s="1"/>
  <c r="BT156" i="31" a="1"/>
  <c r="BT156" i="31" s="1"/>
  <c r="BU156" i="31" a="1"/>
  <c r="BU156" i="31" s="1"/>
  <c r="BV156" i="31" a="1"/>
  <c r="BV156" i="31" s="1"/>
  <c r="BW156" i="31" a="1"/>
  <c r="BW156" i="31" s="1"/>
  <c r="BX156" i="31" a="1"/>
  <c r="BX156" i="31" s="1"/>
  <c r="BY156" i="31" a="1"/>
  <c r="BY156" i="31" s="1"/>
  <c r="BZ156" i="31" a="1"/>
  <c r="BZ156" i="31" s="1"/>
  <c r="CA156" i="31" a="1"/>
  <c r="CA156" i="31" s="1"/>
  <c r="CB156" i="31" a="1"/>
  <c r="CB156" i="31" s="1"/>
  <c r="CC156" i="31" a="1"/>
  <c r="CC156" i="31" s="1"/>
  <c r="BM168" i="31" a="1"/>
  <c r="BM168" i="31" s="1"/>
  <c r="BN168" i="31" a="1"/>
  <c r="BN168" i="31" s="1"/>
  <c r="BO168" i="31" a="1"/>
  <c r="BO168" i="31" s="1"/>
  <c r="BP168" i="31" a="1"/>
  <c r="BP168" i="31" s="1"/>
  <c r="BQ168" i="31" a="1"/>
  <c r="BQ168" i="31" s="1"/>
  <c r="BR168" i="31" a="1"/>
  <c r="BR168" i="31" s="1"/>
  <c r="BS168" i="31" a="1"/>
  <c r="BS168" i="31" s="1"/>
  <c r="BT168" i="31" a="1"/>
  <c r="BT168" i="31" s="1"/>
  <c r="BU168" i="31" a="1"/>
  <c r="BU168" i="31" s="1"/>
  <c r="BV168" i="31" a="1"/>
  <c r="BV168" i="31" s="1"/>
  <c r="BW168" i="31" a="1"/>
  <c r="BW168" i="31" s="1"/>
  <c r="BX168" i="31" a="1"/>
  <c r="BX168" i="31" s="1"/>
  <c r="BY168" i="31" a="1"/>
  <c r="BY168" i="31" s="1"/>
  <c r="BZ168" i="31" a="1"/>
  <c r="BZ168" i="31" s="1"/>
  <c r="CA168" i="31" a="1"/>
  <c r="CA168" i="31" s="1"/>
  <c r="CB168" i="31" a="1"/>
  <c r="CB168" i="31" s="1"/>
  <c r="CC168" i="31" a="1"/>
  <c r="CC168" i="31" s="1"/>
  <c r="AP145" i="31" a="1"/>
  <c r="AP145" i="31" s="1"/>
  <c r="AQ145" i="31" a="1"/>
  <c r="AQ145" i="31" s="1"/>
  <c r="AR145" i="31" a="1"/>
  <c r="AR145" i="31" s="1"/>
  <c r="AS145" i="31" a="1"/>
  <c r="AS145" i="31" s="1"/>
  <c r="AT145" i="31" a="1"/>
  <c r="AT145" i="31" s="1"/>
  <c r="AU145" i="31" a="1"/>
  <c r="AU145" i="31" s="1"/>
  <c r="AV145" i="31" a="1"/>
  <c r="AV145" i="31" s="1"/>
  <c r="AW145" i="31" a="1"/>
  <c r="AW145" i="31" s="1"/>
  <c r="AX145" i="31" a="1"/>
  <c r="AX145" i="31" s="1"/>
  <c r="AY145" i="31" a="1"/>
  <c r="AY145" i="31" s="1"/>
  <c r="AZ145" i="31" a="1"/>
  <c r="AZ145" i="31" s="1"/>
  <c r="BA145" i="31" a="1"/>
  <c r="BA145" i="31" s="1"/>
  <c r="BB145" i="31" a="1"/>
  <c r="BB145" i="31" s="1"/>
  <c r="BC145" i="31" a="1"/>
  <c r="BC145" i="31" s="1"/>
  <c r="BD145" i="31" a="1"/>
  <c r="BD145" i="31" s="1"/>
  <c r="BE145" i="31" a="1"/>
  <c r="BE145" i="31" s="1"/>
  <c r="BF145" i="31" a="1"/>
  <c r="BF145" i="31" s="1"/>
  <c r="BG145" i="31" a="1"/>
  <c r="BG145" i="31" s="1"/>
  <c r="BH145" i="31" a="1"/>
  <c r="BH145" i="31" s="1"/>
  <c r="BI145" i="31" a="1"/>
  <c r="BI145" i="31" s="1"/>
  <c r="BJ145" i="31" a="1"/>
  <c r="BJ145" i="31" s="1"/>
  <c r="BK145" i="31" a="1"/>
  <c r="BK145" i="31" s="1"/>
  <c r="BL145" i="31" a="1"/>
  <c r="BL145" i="31" s="1"/>
  <c r="BM145" i="31" a="1"/>
  <c r="BM145" i="31" s="1"/>
  <c r="BN145" i="31" a="1"/>
  <c r="BN145" i="31" s="1"/>
  <c r="BO145" i="31" a="1"/>
  <c r="BO145" i="31" s="1"/>
  <c r="BP145" i="31" a="1"/>
  <c r="BP145" i="31" s="1"/>
  <c r="BQ145" i="31" a="1"/>
  <c r="BQ145" i="31" s="1"/>
  <c r="BR145" i="31" a="1"/>
  <c r="BR145" i="31" s="1"/>
  <c r="BS145" i="31" a="1"/>
  <c r="BS145" i="31" s="1"/>
  <c r="BT145" i="31" a="1"/>
  <c r="BT145" i="31" s="1"/>
  <c r="BU145" i="31" a="1"/>
  <c r="BU145" i="31" s="1"/>
  <c r="BV145" i="31" a="1"/>
  <c r="BV145" i="31" s="1"/>
  <c r="BW145" i="31" a="1"/>
  <c r="BW145" i="31" s="1"/>
  <c r="BX145" i="31" a="1"/>
  <c r="BX145" i="31" s="1"/>
  <c r="BY145" i="31" a="1"/>
  <c r="BY145" i="31" s="1"/>
  <c r="BZ145" i="31" a="1"/>
  <c r="BZ145" i="31" s="1"/>
  <c r="CA145" i="31" a="1"/>
  <c r="CA145" i="31" s="1"/>
  <c r="CB145" i="31" a="1"/>
  <c r="CB145" i="31" s="1"/>
  <c r="CC145" i="31" a="1"/>
  <c r="CC145" i="31" s="1"/>
  <c r="AT149" i="31" a="1"/>
  <c r="AT149" i="31" s="1"/>
  <c r="AU149" i="31" a="1"/>
  <c r="AU149" i="31" s="1"/>
  <c r="AV149" i="31" a="1"/>
  <c r="AV149" i="31" s="1"/>
  <c r="AW149" i="31" a="1"/>
  <c r="AW149" i="31" s="1"/>
  <c r="AX149" i="31" a="1"/>
  <c r="AX149" i="31" s="1"/>
  <c r="AY149" i="31" a="1"/>
  <c r="AY149" i="31" s="1"/>
  <c r="AZ149" i="31" a="1"/>
  <c r="AZ149" i="31" s="1"/>
  <c r="BA149" i="31" a="1"/>
  <c r="BA149" i="31" s="1"/>
  <c r="BB149" i="31" a="1"/>
  <c r="BB149" i="31" s="1"/>
  <c r="BC149" i="31" a="1"/>
  <c r="BC149" i="31" s="1"/>
  <c r="BD149" i="31" a="1"/>
  <c r="BD149" i="31" s="1"/>
  <c r="BE149" i="31" a="1"/>
  <c r="BE149" i="31" s="1"/>
  <c r="BF149" i="31" a="1"/>
  <c r="BF149" i="31" s="1"/>
  <c r="BG149" i="31" a="1"/>
  <c r="BG149" i="31" s="1"/>
  <c r="BH149" i="31" a="1"/>
  <c r="BH149" i="31" s="1"/>
  <c r="BI149" i="31" a="1"/>
  <c r="BI149" i="31" s="1"/>
  <c r="BJ149" i="31" a="1"/>
  <c r="BJ149" i="31" s="1"/>
  <c r="BK149" i="31" a="1"/>
  <c r="BK149" i="31" s="1"/>
  <c r="BL149" i="31" a="1"/>
  <c r="BL149" i="31" s="1"/>
  <c r="BM149" i="31" a="1"/>
  <c r="BM149" i="31" s="1"/>
  <c r="BN149" i="31" a="1"/>
  <c r="BN149" i="31" s="1"/>
  <c r="BO149" i="31" a="1"/>
  <c r="BO149" i="31" s="1"/>
  <c r="BP149" i="31" a="1"/>
  <c r="BP149" i="31" s="1"/>
  <c r="BQ149" i="31" a="1"/>
  <c r="BQ149" i="31" s="1"/>
  <c r="BR149" i="31" a="1"/>
  <c r="BR149" i="31" s="1"/>
  <c r="BS149" i="31" a="1"/>
  <c r="BS149" i="31" s="1"/>
  <c r="BT149" i="31" a="1"/>
  <c r="BT149" i="31" s="1"/>
  <c r="BU149" i="31" a="1"/>
  <c r="BU149" i="31" s="1"/>
  <c r="BV149" i="31" a="1"/>
  <c r="BV149" i="31" s="1"/>
  <c r="BW149" i="31" a="1"/>
  <c r="BW149" i="31" s="1"/>
  <c r="BX149" i="31" a="1"/>
  <c r="BX149" i="31" s="1"/>
  <c r="BY149" i="31" a="1"/>
  <c r="BY149" i="31" s="1"/>
  <c r="BZ149" i="31" a="1"/>
  <c r="BZ149" i="31" s="1"/>
  <c r="CA149" i="31" a="1"/>
  <c r="CA149" i="31" s="1"/>
  <c r="CB149" i="31" a="1"/>
  <c r="CB149" i="31" s="1"/>
  <c r="CC149" i="31" a="1"/>
  <c r="CC149" i="31" s="1"/>
  <c r="AR147" i="31" a="1"/>
  <c r="AR147" i="31" s="1"/>
  <c r="AS147" i="31" a="1"/>
  <c r="AS147" i="31" s="1"/>
  <c r="AT147" i="31" a="1"/>
  <c r="AT147" i="31" s="1"/>
  <c r="AU147" i="31" a="1"/>
  <c r="AU147" i="31" s="1"/>
  <c r="AV147" i="31" a="1"/>
  <c r="AV147" i="31" s="1"/>
  <c r="AW147" i="31" a="1"/>
  <c r="AW147" i="31" s="1"/>
  <c r="AX147" i="31" a="1"/>
  <c r="AX147" i="31" s="1"/>
  <c r="AY147" i="31" a="1"/>
  <c r="AY147" i="31" s="1"/>
  <c r="AZ147" i="31" a="1"/>
  <c r="AZ147" i="31" s="1"/>
  <c r="BA147" i="31" a="1"/>
  <c r="BA147" i="31" s="1"/>
  <c r="BB147" i="31" a="1"/>
  <c r="BB147" i="31" s="1"/>
  <c r="BC147" i="31" a="1"/>
  <c r="BC147" i="31" s="1"/>
  <c r="BD147" i="31" a="1"/>
  <c r="BD147" i="31" s="1"/>
  <c r="BE147" i="31" a="1"/>
  <c r="BE147" i="31" s="1"/>
  <c r="BF147" i="31" a="1"/>
  <c r="BF147" i="31" s="1"/>
  <c r="BG147" i="31" a="1"/>
  <c r="BG147" i="31" s="1"/>
  <c r="BH147" i="31" a="1"/>
  <c r="BH147" i="31" s="1"/>
  <c r="BI147" i="31" a="1"/>
  <c r="BI147" i="31" s="1"/>
  <c r="BJ147" i="31" a="1"/>
  <c r="BJ147" i="31" s="1"/>
  <c r="BK147" i="31" a="1"/>
  <c r="BK147" i="31" s="1"/>
  <c r="BL147" i="31" a="1"/>
  <c r="BL147" i="31" s="1"/>
  <c r="BM147" i="31" a="1"/>
  <c r="BM147" i="31" s="1"/>
  <c r="BN147" i="31" a="1"/>
  <c r="BN147" i="31" s="1"/>
  <c r="BO147" i="31" a="1"/>
  <c r="BO147" i="31" s="1"/>
  <c r="BP147" i="31" a="1"/>
  <c r="BP147" i="31" s="1"/>
  <c r="BQ147" i="31" a="1"/>
  <c r="BQ147" i="31" s="1"/>
  <c r="BR147" i="31" a="1"/>
  <c r="BR147" i="31" s="1"/>
  <c r="BS147" i="31" a="1"/>
  <c r="BS147" i="31" s="1"/>
  <c r="BT147" i="31" a="1"/>
  <c r="BT147" i="31" s="1"/>
  <c r="BU147" i="31" a="1"/>
  <c r="BU147" i="31" s="1"/>
  <c r="BV147" i="31" a="1"/>
  <c r="BV147" i="31" s="1"/>
  <c r="BW147" i="31" a="1"/>
  <c r="BW147" i="31" s="1"/>
  <c r="BX147" i="31" a="1"/>
  <c r="BX147" i="31" s="1"/>
  <c r="BY147" i="31" a="1"/>
  <c r="BY147" i="31" s="1"/>
  <c r="BZ147" i="31" a="1"/>
  <c r="BZ147" i="31" s="1"/>
  <c r="CA147" i="31" a="1"/>
  <c r="CA147" i="31" s="1"/>
  <c r="CB147" i="31" a="1"/>
  <c r="CB147" i="31" s="1"/>
  <c r="CC147" i="31" a="1"/>
  <c r="CC147" i="31" s="1"/>
  <c r="AV202" i="31" a="1"/>
  <c r="AV202" i="31" s="1"/>
  <c r="AW202" i="31" a="1"/>
  <c r="AW202" i="31" s="1"/>
  <c r="AX202" i="31" a="1"/>
  <c r="AX202" i="31" s="1"/>
  <c r="AY202" i="31" a="1"/>
  <c r="AY202" i="31" s="1"/>
  <c r="AZ202" i="31" a="1"/>
  <c r="AZ202" i="31" s="1"/>
  <c r="BA202" i="31" a="1"/>
  <c r="BA202" i="31" s="1"/>
  <c r="BB202" i="31" a="1"/>
  <c r="BB202" i="31" s="1"/>
  <c r="BC202" i="31" a="1"/>
  <c r="BC202" i="31" s="1"/>
  <c r="BD202" i="31" a="1"/>
  <c r="BD202" i="31" s="1"/>
  <c r="BE202" i="31" a="1"/>
  <c r="BE202" i="31" s="1"/>
  <c r="BF202" i="31" a="1"/>
  <c r="BF202" i="31" s="1"/>
  <c r="BG202" i="31" a="1"/>
  <c r="BG202" i="31" s="1"/>
  <c r="BH202" i="31" a="1"/>
  <c r="BH202" i="31" s="1"/>
  <c r="BI202" i="31" a="1"/>
  <c r="BI202" i="31" s="1"/>
  <c r="BJ202" i="31" a="1"/>
  <c r="BJ202" i="31" s="1"/>
  <c r="BK202" i="31" a="1"/>
  <c r="BK202" i="31" s="1"/>
  <c r="BL202" i="31" a="1"/>
  <c r="BL202" i="31" s="1"/>
  <c r="BM202" i="31" a="1"/>
  <c r="BM202" i="31" s="1"/>
  <c r="BN202" i="31" a="1"/>
  <c r="BN202" i="31" s="1"/>
  <c r="BO202" i="31" a="1"/>
  <c r="BO202" i="31" s="1"/>
  <c r="BP202" i="31" a="1"/>
  <c r="BP202" i="31" s="1"/>
  <c r="BQ202" i="31" a="1"/>
  <c r="BQ202" i="31" s="1"/>
  <c r="BR202" i="31" a="1"/>
  <c r="BR202" i="31" s="1"/>
  <c r="BS202" i="31" a="1"/>
  <c r="BS202" i="31" s="1"/>
  <c r="BT202" i="31" a="1"/>
  <c r="BT202" i="31" s="1"/>
  <c r="BU202" i="31" a="1"/>
  <c r="BU202" i="31" s="1"/>
  <c r="BV202" i="31" a="1"/>
  <c r="BV202" i="31" s="1"/>
  <c r="BW202" i="31" a="1"/>
  <c r="BW202" i="31" s="1"/>
  <c r="BX202" i="31" a="1"/>
  <c r="BX202" i="31" s="1"/>
  <c r="BY202" i="31" a="1"/>
  <c r="BY202" i="31" s="1"/>
  <c r="BZ202" i="31" a="1"/>
  <c r="BZ202" i="31" s="1"/>
  <c r="CA202" i="31" a="1"/>
  <c r="CA202" i="31" s="1"/>
  <c r="CB202" i="31" a="1"/>
  <c r="CB202" i="31" s="1"/>
  <c r="CC202" i="31" a="1"/>
  <c r="CC202" i="31" s="1"/>
  <c r="AX204" i="31" a="1"/>
  <c r="AX204" i="31" s="1"/>
  <c r="AY204" i="31" a="1"/>
  <c r="AY204" i="31" s="1"/>
  <c r="AZ204" i="31" a="1"/>
  <c r="AZ204" i="31" s="1"/>
  <c r="BA204" i="31" a="1"/>
  <c r="BA204" i="31" s="1"/>
  <c r="BB204" i="31" a="1"/>
  <c r="BB204" i="31" s="1"/>
  <c r="BC204" i="31" a="1"/>
  <c r="BC204" i="31" s="1"/>
  <c r="BD204" i="31" a="1"/>
  <c r="BD204" i="31" s="1"/>
  <c r="BE204" i="31" a="1"/>
  <c r="BE204" i="31" s="1"/>
  <c r="BF204" i="31" a="1"/>
  <c r="BF204" i="31" s="1"/>
  <c r="BG204" i="31" a="1"/>
  <c r="BG204" i="31" s="1"/>
  <c r="BH204" i="31" a="1"/>
  <c r="BH204" i="31" s="1"/>
  <c r="BI204" i="31" a="1"/>
  <c r="BI204" i="31" s="1"/>
  <c r="BJ204" i="31" a="1"/>
  <c r="BJ204" i="31" s="1"/>
  <c r="BK204" i="31" a="1"/>
  <c r="BK204" i="31" s="1"/>
  <c r="BL204" i="31" a="1"/>
  <c r="BL204" i="31" s="1"/>
  <c r="BM204" i="31" a="1"/>
  <c r="BM204" i="31" s="1"/>
  <c r="BN204" i="31" a="1"/>
  <c r="BN204" i="31" s="1"/>
  <c r="BO204" i="31" a="1"/>
  <c r="BO204" i="31" s="1"/>
  <c r="BP204" i="31" a="1"/>
  <c r="BP204" i="31" s="1"/>
  <c r="BQ204" i="31" a="1"/>
  <c r="BQ204" i="31" s="1"/>
  <c r="BR204" i="31" a="1"/>
  <c r="BR204" i="31" s="1"/>
  <c r="BS204" i="31" a="1"/>
  <c r="BS204" i="31" s="1"/>
  <c r="BT204" i="31" a="1"/>
  <c r="BT204" i="31" s="1"/>
  <c r="BU204" i="31" a="1"/>
  <c r="BU204" i="31" s="1"/>
  <c r="BV204" i="31" a="1"/>
  <c r="BV204" i="31" s="1"/>
  <c r="BW204" i="31" a="1"/>
  <c r="BW204" i="31" s="1"/>
  <c r="BX204" i="31" a="1"/>
  <c r="BX204" i="31" s="1"/>
  <c r="BY204" i="31" a="1"/>
  <c r="BY204" i="31" s="1"/>
  <c r="BZ204" i="31" a="1"/>
  <c r="BZ204" i="31" s="1"/>
  <c r="CA204" i="31" a="1"/>
  <c r="CA204" i="31" s="1"/>
  <c r="CB204" i="31" a="1"/>
  <c r="CB204" i="31" s="1"/>
  <c r="CC204" i="31" a="1"/>
  <c r="CC204" i="31" s="1"/>
  <c r="BZ232" i="31" a="1"/>
  <c r="BZ232" i="31" s="1"/>
  <c r="CA232" i="31" a="1"/>
  <c r="CA232" i="31" s="1"/>
  <c r="CB232" i="31" a="1"/>
  <c r="CB232" i="31" s="1"/>
  <c r="CC232" i="31" a="1"/>
  <c r="CC232" i="31" s="1"/>
  <c r="BH214" i="31" a="1"/>
  <c r="BH214" i="31" s="1"/>
  <c r="BI214" i="31" a="1"/>
  <c r="BI214" i="31" s="1"/>
  <c r="BJ214" i="31" a="1"/>
  <c r="BJ214" i="31" s="1"/>
  <c r="BK214" i="31" a="1"/>
  <c r="BK214" i="31" s="1"/>
  <c r="BL214" i="31" a="1"/>
  <c r="BL214" i="31" s="1"/>
  <c r="BM214" i="31" a="1"/>
  <c r="BM214" i="31" s="1"/>
  <c r="BN214" i="31" a="1"/>
  <c r="BN214" i="31" s="1"/>
  <c r="BO214" i="31" a="1"/>
  <c r="BO214" i="31" s="1"/>
  <c r="BP214" i="31" a="1"/>
  <c r="BP214" i="31" s="1"/>
  <c r="BQ214" i="31" a="1"/>
  <c r="BQ214" i="31" s="1"/>
  <c r="BR214" i="31" a="1"/>
  <c r="BR214" i="31" s="1"/>
  <c r="BS214" i="31" a="1"/>
  <c r="BS214" i="31" s="1"/>
  <c r="BT214" i="31" a="1"/>
  <c r="BT214" i="31" s="1"/>
  <c r="BU214" i="31" a="1"/>
  <c r="BU214" i="31" s="1"/>
  <c r="BV214" i="31" a="1"/>
  <c r="BV214" i="31" s="1"/>
  <c r="BW214" i="31" a="1"/>
  <c r="BW214" i="31" s="1"/>
  <c r="BX214" i="31" a="1"/>
  <c r="BX214" i="31" s="1"/>
  <c r="BY214" i="31" a="1"/>
  <c r="BY214" i="31" s="1"/>
  <c r="BZ214" i="31" a="1"/>
  <c r="BZ214" i="31" s="1"/>
  <c r="CA214" i="31" a="1"/>
  <c r="CA214" i="31" s="1"/>
  <c r="CB214" i="31" a="1"/>
  <c r="CB214" i="31" s="1"/>
  <c r="CC214" i="31" a="1"/>
  <c r="CC214" i="31" s="1"/>
  <c r="BP222" i="31" a="1"/>
  <c r="BP222" i="31" s="1"/>
  <c r="BQ222" i="31" a="1"/>
  <c r="BQ222" i="31" s="1"/>
  <c r="BR222" i="31" a="1"/>
  <c r="BR222" i="31" s="1"/>
  <c r="BS222" i="31" a="1"/>
  <c r="BS222" i="31" s="1"/>
  <c r="BT222" i="31" a="1"/>
  <c r="BT222" i="31" s="1"/>
  <c r="BU222" i="31" a="1"/>
  <c r="BU222" i="31" s="1"/>
  <c r="BV222" i="31" a="1"/>
  <c r="BV222" i="31" s="1"/>
  <c r="BW222" i="31" a="1"/>
  <c r="BW222" i="31" s="1"/>
  <c r="BX222" i="31" a="1"/>
  <c r="BX222" i="31" s="1"/>
  <c r="BY222" i="31" a="1"/>
  <c r="BY222" i="31" s="1"/>
  <c r="BZ222" i="31" a="1"/>
  <c r="BZ222" i="31" s="1"/>
  <c r="CA222" i="31" a="1"/>
  <c r="CA222" i="31" s="1"/>
  <c r="CB222" i="31" a="1"/>
  <c r="CB222" i="31" s="1"/>
  <c r="CC222" i="31" a="1"/>
  <c r="CC222" i="31" s="1"/>
  <c r="BS225" i="31" a="1"/>
  <c r="BS225" i="31" s="1"/>
  <c r="BT225" i="31" a="1"/>
  <c r="BT225" i="31" s="1"/>
  <c r="BU225" i="31" a="1"/>
  <c r="BU225" i="31" s="1"/>
  <c r="BV225" i="31" a="1"/>
  <c r="BV225" i="31" s="1"/>
  <c r="BW225" i="31" a="1"/>
  <c r="BW225" i="31" s="1"/>
  <c r="BX225" i="31" a="1"/>
  <c r="BX225" i="31" s="1"/>
  <c r="BY225" i="31" a="1"/>
  <c r="BY225" i="31" s="1"/>
  <c r="BZ225" i="31" a="1"/>
  <c r="BZ225" i="31" s="1"/>
  <c r="CA225" i="31" a="1"/>
  <c r="CA225" i="31" s="1"/>
  <c r="CB225" i="31" a="1"/>
  <c r="CB225" i="31" s="1"/>
  <c r="CC225" i="31" a="1"/>
  <c r="CC225" i="31" s="1"/>
  <c r="AY205" i="31" a="1"/>
  <c r="AY205" i="31" s="1"/>
  <c r="AZ205" i="31" a="1"/>
  <c r="AZ205" i="31" s="1"/>
  <c r="BA205" i="31" a="1"/>
  <c r="BA205" i="31" s="1"/>
  <c r="BB205" i="31" a="1"/>
  <c r="BB205" i="31" s="1"/>
  <c r="BC205" i="31" a="1"/>
  <c r="BC205" i="31" s="1"/>
  <c r="BD205" i="31" a="1"/>
  <c r="BD205" i="31" s="1"/>
  <c r="BE205" i="31" a="1"/>
  <c r="BE205" i="31" s="1"/>
  <c r="BF205" i="31" a="1"/>
  <c r="BF205" i="31" s="1"/>
  <c r="BG205" i="31" a="1"/>
  <c r="BG205" i="31" s="1"/>
  <c r="BH205" i="31" a="1"/>
  <c r="BH205" i="31" s="1"/>
  <c r="BI205" i="31" a="1"/>
  <c r="BI205" i="31" s="1"/>
  <c r="BJ205" i="31" a="1"/>
  <c r="BJ205" i="31" s="1"/>
  <c r="BK205" i="31" a="1"/>
  <c r="BK205" i="31" s="1"/>
  <c r="BL205" i="31" a="1"/>
  <c r="BL205" i="31" s="1"/>
  <c r="BM205" i="31" a="1"/>
  <c r="BM205" i="31" s="1"/>
  <c r="BN205" i="31" a="1"/>
  <c r="BN205" i="31" s="1"/>
  <c r="BO205" i="31" a="1"/>
  <c r="BO205" i="31" s="1"/>
  <c r="BP205" i="31" a="1"/>
  <c r="BP205" i="31" s="1"/>
  <c r="BQ205" i="31" a="1"/>
  <c r="BQ205" i="31" s="1"/>
  <c r="BR205" i="31" a="1"/>
  <c r="BR205" i="31" s="1"/>
  <c r="BS205" i="31" a="1"/>
  <c r="BS205" i="31" s="1"/>
  <c r="BT205" i="31" a="1"/>
  <c r="BT205" i="31" s="1"/>
  <c r="BU205" i="31" a="1"/>
  <c r="BU205" i="31" s="1"/>
  <c r="BV205" i="31" a="1"/>
  <c r="BV205" i="31" s="1"/>
  <c r="BW205" i="31" a="1"/>
  <c r="BW205" i="31" s="1"/>
  <c r="BX205" i="31" a="1"/>
  <c r="BX205" i="31" s="1"/>
  <c r="BY205" i="31" a="1"/>
  <c r="BY205" i="31" s="1"/>
  <c r="BZ205" i="31" a="1"/>
  <c r="BZ205" i="31" s="1"/>
  <c r="CA205" i="31" a="1"/>
  <c r="CA205" i="31" s="1"/>
  <c r="CB205" i="31" a="1"/>
  <c r="CB205" i="31" s="1"/>
  <c r="CC205" i="31" a="1"/>
  <c r="CC205" i="31" s="1"/>
  <c r="AR45" i="31" a="1"/>
  <c r="AR45" i="31" s="1"/>
  <c r="AS45" i="31" a="1"/>
  <c r="AS45" i="31" s="1"/>
  <c r="AT45" i="31" a="1"/>
  <c r="AT45" i="31" s="1"/>
  <c r="AU45" i="31" a="1"/>
  <c r="AU45" i="31" s="1"/>
  <c r="AV45" i="31" a="1"/>
  <c r="AV45" i="31" s="1"/>
  <c r="AW45" i="31" a="1"/>
  <c r="AW45" i="31" s="1"/>
  <c r="AX45" i="31" a="1"/>
  <c r="AX45" i="31" s="1"/>
  <c r="AY45" i="31" a="1"/>
  <c r="AY45" i="31" s="1"/>
  <c r="AZ45" i="31" a="1"/>
  <c r="AZ45" i="31" s="1"/>
  <c r="BA45" i="31" a="1"/>
  <c r="BA45" i="31" s="1"/>
  <c r="BB45" i="31" a="1"/>
  <c r="BB45" i="31" s="1"/>
  <c r="BC45" i="31" a="1"/>
  <c r="BC45" i="31" s="1"/>
  <c r="BD45" i="31" a="1"/>
  <c r="BD45" i="31" s="1"/>
  <c r="BE45" i="31" a="1"/>
  <c r="BE45" i="31" s="1"/>
  <c r="BF45" i="31" a="1"/>
  <c r="BF45" i="31" s="1"/>
  <c r="BG45" i="31" a="1"/>
  <c r="BG45" i="31" s="1"/>
  <c r="BH45" i="31" a="1"/>
  <c r="BH45" i="31" s="1"/>
  <c r="BI45" i="31" a="1"/>
  <c r="BI45" i="31" s="1"/>
  <c r="BJ45" i="31" a="1"/>
  <c r="BJ45" i="31" s="1"/>
  <c r="BK45" i="31" a="1"/>
  <c r="BK45" i="31" s="1"/>
  <c r="BL45" i="31" a="1"/>
  <c r="BL45" i="31" s="1"/>
  <c r="BM45" i="31" a="1"/>
  <c r="BM45" i="31" s="1"/>
  <c r="BN45" i="31" a="1"/>
  <c r="BN45" i="31" s="1"/>
  <c r="BO45" i="31" a="1"/>
  <c r="BO45" i="31" s="1"/>
  <c r="BP45" i="31" a="1"/>
  <c r="BP45" i="31" s="1"/>
  <c r="BQ45" i="31" a="1"/>
  <c r="BQ45" i="31" s="1"/>
  <c r="BR45" i="31" a="1"/>
  <c r="BR45" i="31" s="1"/>
  <c r="BS45" i="31" a="1"/>
  <c r="BS45" i="31" s="1"/>
  <c r="BT45" i="31" a="1"/>
  <c r="BT45" i="31" s="1"/>
  <c r="BU45" i="31" a="1"/>
  <c r="BU45" i="31" s="1"/>
  <c r="BV45" i="31" a="1"/>
  <c r="BV45" i="31" s="1"/>
  <c r="BW45" i="31" a="1"/>
  <c r="BW45" i="31" s="1"/>
  <c r="BX45" i="31" a="1"/>
  <c r="BX45" i="31" s="1"/>
  <c r="BY45" i="31" a="1"/>
  <c r="BY45" i="31" s="1"/>
  <c r="BZ45" i="31" a="1"/>
  <c r="BZ45" i="31" s="1"/>
  <c r="CA45" i="31" a="1"/>
  <c r="CA45" i="31" s="1"/>
  <c r="CB45" i="31" a="1"/>
  <c r="CB45" i="31" s="1"/>
  <c r="CC45" i="31" a="1"/>
  <c r="CC45" i="31" s="1"/>
  <c r="BY78" i="31" a="1"/>
  <c r="BY78" i="31" s="1"/>
  <c r="BZ78" i="31" a="1"/>
  <c r="BZ78" i="31" s="1"/>
  <c r="CA78" i="31" a="1"/>
  <c r="CA78" i="31" s="1"/>
  <c r="CB78" i="31" a="1"/>
  <c r="CB78" i="31" s="1"/>
  <c r="CC78" i="31" a="1"/>
  <c r="CC78" i="31" s="1"/>
  <c r="AQ44" i="31" a="1"/>
  <c r="AQ44" i="31" s="1"/>
  <c r="AR44" i="31" a="1"/>
  <c r="AR44" i="31" s="1"/>
  <c r="AS44" i="31" a="1"/>
  <c r="AS44" i="31" s="1"/>
  <c r="AT44" i="31" a="1"/>
  <c r="AT44" i="31" s="1"/>
  <c r="AU44" i="31" a="1"/>
  <c r="AU44" i="31" s="1"/>
  <c r="AV44" i="31" a="1"/>
  <c r="AV44" i="31" s="1"/>
  <c r="AW44" i="31" a="1"/>
  <c r="AW44" i="31" s="1"/>
  <c r="AX44" i="31" a="1"/>
  <c r="AX44" i="31" s="1"/>
  <c r="AY44" i="31" a="1"/>
  <c r="AY44" i="31" s="1"/>
  <c r="AZ44" i="31" a="1"/>
  <c r="AZ44" i="31" s="1"/>
  <c r="BA44" i="31" a="1"/>
  <c r="BA44" i="31" s="1"/>
  <c r="BB44" i="31" a="1"/>
  <c r="BB44" i="31" s="1"/>
  <c r="BC44" i="31" a="1"/>
  <c r="BC44" i="31" s="1"/>
  <c r="BD44" i="31" a="1"/>
  <c r="BD44" i="31" s="1"/>
  <c r="BE44" i="31" a="1"/>
  <c r="BE44" i="31" s="1"/>
  <c r="BF44" i="31" a="1"/>
  <c r="BF44" i="31" s="1"/>
  <c r="BG44" i="31" a="1"/>
  <c r="BG44" i="31" s="1"/>
  <c r="BH44" i="31" a="1"/>
  <c r="BH44" i="31" s="1"/>
  <c r="BI44" i="31" a="1"/>
  <c r="BI44" i="31" s="1"/>
  <c r="BJ44" i="31" a="1"/>
  <c r="BJ44" i="31" s="1"/>
  <c r="BK44" i="31" a="1"/>
  <c r="BK44" i="31" s="1"/>
  <c r="BL44" i="31" a="1"/>
  <c r="BL44" i="31" s="1"/>
  <c r="BM44" i="31" a="1"/>
  <c r="BM44" i="31" s="1"/>
  <c r="BN44" i="31" a="1"/>
  <c r="BN44" i="31" s="1"/>
  <c r="BO44" i="31" a="1"/>
  <c r="BO44" i="31" s="1"/>
  <c r="BP44" i="31" a="1"/>
  <c r="BP44" i="31" s="1"/>
  <c r="BQ44" i="31" a="1"/>
  <c r="BQ44" i="31" s="1"/>
  <c r="BR44" i="31" a="1"/>
  <c r="BR44" i="31" s="1"/>
  <c r="BS44" i="31" a="1"/>
  <c r="BS44" i="31" s="1"/>
  <c r="BT44" i="31" a="1"/>
  <c r="BT44" i="31" s="1"/>
  <c r="BU44" i="31" a="1"/>
  <c r="BU44" i="31" s="1"/>
  <c r="BV44" i="31" a="1"/>
  <c r="BV44" i="31" s="1"/>
  <c r="BW44" i="31" a="1"/>
  <c r="BW44" i="31" s="1"/>
  <c r="BX44" i="31" a="1"/>
  <c r="BX44" i="31" s="1"/>
  <c r="BY44" i="31" a="1"/>
  <c r="BY44" i="31" s="1"/>
  <c r="BZ44" i="31" a="1"/>
  <c r="BZ44" i="31" s="1"/>
  <c r="CA44" i="31" a="1"/>
  <c r="CA44" i="31" s="1"/>
  <c r="CB44" i="31" a="1"/>
  <c r="CB44" i="31" s="1"/>
  <c r="CC44" i="31" a="1"/>
  <c r="CC44" i="31" s="1"/>
  <c r="BV75" i="31" a="1"/>
  <c r="BV75" i="31" s="1"/>
  <c r="BW75" i="31" a="1"/>
  <c r="BW75" i="31" s="1"/>
  <c r="BX75" i="31" a="1"/>
  <c r="BX75" i="31" s="1"/>
  <c r="BY75" i="31" a="1"/>
  <c r="BY75" i="31" s="1"/>
  <c r="BZ75" i="31" a="1"/>
  <c r="BZ75" i="31" s="1"/>
  <c r="CA75" i="31" a="1"/>
  <c r="CA75" i="31" s="1"/>
  <c r="CB75" i="31" a="1"/>
  <c r="CB75" i="31" s="1"/>
  <c r="CC75" i="31" a="1"/>
  <c r="CC75" i="31" s="1"/>
  <c r="BF110" i="31" a="1"/>
  <c r="BF110" i="31" s="1"/>
  <c r="BG110" i="31" a="1"/>
  <c r="BG110" i="31" s="1"/>
  <c r="BH110" i="31" a="1"/>
  <c r="BH110" i="31" s="1"/>
  <c r="BI110" i="31" a="1"/>
  <c r="BI110" i="31" s="1"/>
  <c r="BJ110" i="31" a="1"/>
  <c r="BJ110" i="31" s="1"/>
  <c r="BK110" i="31" a="1"/>
  <c r="BK110" i="31" s="1"/>
  <c r="BL110" i="31" a="1"/>
  <c r="BL110" i="31" s="1"/>
  <c r="BM110" i="31" a="1"/>
  <c r="BM110" i="31" s="1"/>
  <c r="BN110" i="31" a="1"/>
  <c r="BN110" i="31" s="1"/>
  <c r="BO110" i="31" a="1"/>
  <c r="BO110" i="31" s="1"/>
  <c r="BP110" i="31" a="1"/>
  <c r="BP110" i="31" s="1"/>
  <c r="BQ110" i="31" a="1"/>
  <c r="BQ110" i="31" s="1"/>
  <c r="BR110" i="31" a="1"/>
  <c r="BR110" i="31" s="1"/>
  <c r="BS110" i="31" a="1"/>
  <c r="BS110" i="31" s="1"/>
  <c r="BT110" i="31" a="1"/>
  <c r="BT110" i="31" s="1"/>
  <c r="BU110" i="31" a="1"/>
  <c r="BU110" i="31" s="1"/>
  <c r="BV110" i="31" a="1"/>
  <c r="BV110" i="31" s="1"/>
  <c r="BW110" i="31" a="1"/>
  <c r="BW110" i="31" s="1"/>
  <c r="BX110" i="31" a="1"/>
  <c r="BX110" i="31" s="1"/>
  <c r="BY110" i="31" a="1"/>
  <c r="BY110" i="31" s="1"/>
  <c r="BZ110" i="31" a="1"/>
  <c r="BZ110" i="31" s="1"/>
  <c r="CA110" i="31" a="1"/>
  <c r="CA110" i="31" s="1"/>
  <c r="CB110" i="31" a="1"/>
  <c r="CB110" i="31" s="1"/>
  <c r="CC110" i="31" a="1"/>
  <c r="CC110" i="31" s="1"/>
  <c r="CC82" i="31" a="1"/>
  <c r="CC82" i="31" s="1"/>
  <c r="AE82" i="31" s="1"/>
  <c r="BZ130" i="31" a="1"/>
  <c r="BZ130" i="31" s="1"/>
  <c r="CA130" i="31" a="1"/>
  <c r="CA130" i="31" s="1"/>
  <c r="CB130" i="31" a="1"/>
  <c r="CB130" i="31" s="1"/>
  <c r="CC130" i="31" a="1"/>
  <c r="CC130" i="31" s="1"/>
  <c r="AJ88" i="31" a="1"/>
  <c r="AJ88" i="31" s="1"/>
  <c r="AK88" i="31" a="1"/>
  <c r="AK88" i="31" s="1"/>
  <c r="AL88" i="31" a="1"/>
  <c r="AL88" i="31" s="1"/>
  <c r="AM88" i="31" a="1"/>
  <c r="AM88" i="31" s="1"/>
  <c r="AN88" i="31" a="1"/>
  <c r="AN88" i="31" s="1"/>
  <c r="AO88" i="31" a="1"/>
  <c r="AO88" i="31" s="1"/>
  <c r="AP88" i="31" a="1"/>
  <c r="AP88" i="31" s="1"/>
  <c r="AQ88" i="31" a="1"/>
  <c r="AQ88" i="31" s="1"/>
  <c r="AR88" i="31" a="1"/>
  <c r="AR88" i="31" s="1"/>
  <c r="AS88" i="31" a="1"/>
  <c r="AS88" i="31" s="1"/>
  <c r="AT88" i="31" a="1"/>
  <c r="AT88" i="31" s="1"/>
  <c r="AU88" i="31" a="1"/>
  <c r="AU88" i="31" s="1"/>
  <c r="AV88" i="31" a="1"/>
  <c r="AV88" i="31" s="1"/>
  <c r="AW88" i="31" a="1"/>
  <c r="AW88" i="31" s="1"/>
  <c r="AX88" i="31" a="1"/>
  <c r="AX88" i="31" s="1"/>
  <c r="AY88" i="31" a="1"/>
  <c r="AY88" i="31" s="1"/>
  <c r="AZ88" i="31" a="1"/>
  <c r="AZ88" i="31" s="1"/>
  <c r="BA88" i="31" a="1"/>
  <c r="BA88" i="31" s="1"/>
  <c r="BB88" i="31" a="1"/>
  <c r="BB88" i="31" s="1"/>
  <c r="BC88" i="31" a="1"/>
  <c r="BC88" i="31" s="1"/>
  <c r="BD88" i="31" a="1"/>
  <c r="BD88" i="31" s="1"/>
  <c r="BE88" i="31" a="1"/>
  <c r="BE88" i="31" s="1"/>
  <c r="BF88" i="31" a="1"/>
  <c r="BF88" i="31" s="1"/>
  <c r="BG88" i="31" a="1"/>
  <c r="BG88" i="31" s="1"/>
  <c r="BH88" i="31" a="1"/>
  <c r="BH88" i="31" s="1"/>
  <c r="BI88" i="31" a="1"/>
  <c r="BI88" i="31" s="1"/>
  <c r="BJ88" i="31" a="1"/>
  <c r="BJ88" i="31" s="1"/>
  <c r="BK88" i="31" a="1"/>
  <c r="BK88" i="31" s="1"/>
  <c r="BL88" i="31" a="1"/>
  <c r="BL88" i="31" s="1"/>
  <c r="BM88" i="31" a="1"/>
  <c r="BM88" i="31" s="1"/>
  <c r="BN88" i="31" a="1"/>
  <c r="BN88" i="31" s="1"/>
  <c r="BO88" i="31" a="1"/>
  <c r="BO88" i="31" s="1"/>
  <c r="BP88" i="31" a="1"/>
  <c r="BP88" i="31" s="1"/>
  <c r="BQ88" i="31" a="1"/>
  <c r="BQ88" i="31" s="1"/>
  <c r="BR88" i="31" a="1"/>
  <c r="BR88" i="31" s="1"/>
  <c r="BS88" i="31" a="1"/>
  <c r="BS88" i="31" s="1"/>
  <c r="BT88" i="31" a="1"/>
  <c r="BT88" i="31" s="1"/>
  <c r="BU88" i="31" a="1"/>
  <c r="BU88" i="31" s="1"/>
  <c r="BV88" i="31" a="1"/>
  <c r="BV88" i="31" s="1"/>
  <c r="BW88" i="31" a="1"/>
  <c r="BW88" i="31" s="1"/>
  <c r="BX88" i="31" a="1"/>
  <c r="BX88" i="31" s="1"/>
  <c r="BY88" i="31" a="1"/>
  <c r="BY88" i="31" s="1"/>
  <c r="BZ88" i="31" a="1"/>
  <c r="BZ88" i="31" s="1"/>
  <c r="CA88" i="31" a="1"/>
  <c r="CA88" i="31" s="1"/>
  <c r="CB88" i="31" a="1"/>
  <c r="CB88" i="31" s="1"/>
  <c r="CC88" i="31" a="1"/>
  <c r="CC88" i="31" s="1"/>
  <c r="AO93" i="31" a="1"/>
  <c r="AO93" i="31" s="1"/>
  <c r="AP93" i="31" a="1"/>
  <c r="AP93" i="31" s="1"/>
  <c r="AQ93" i="31" a="1"/>
  <c r="AQ93" i="31" s="1"/>
  <c r="AR93" i="31" a="1"/>
  <c r="AR93" i="31" s="1"/>
  <c r="AS93" i="31" a="1"/>
  <c r="AS93" i="31" s="1"/>
  <c r="AT93" i="31" a="1"/>
  <c r="AT93" i="31" s="1"/>
  <c r="AU93" i="31" a="1"/>
  <c r="AU93" i="31" s="1"/>
  <c r="AV93" i="31" a="1"/>
  <c r="AV93" i="31" s="1"/>
  <c r="AW93" i="31" a="1"/>
  <c r="AW93" i="31" s="1"/>
  <c r="AX93" i="31" a="1"/>
  <c r="AX93" i="31" s="1"/>
  <c r="AY93" i="31" a="1"/>
  <c r="AY93" i="31" s="1"/>
  <c r="AZ93" i="31" a="1"/>
  <c r="AZ93" i="31" s="1"/>
  <c r="BA93" i="31" a="1"/>
  <c r="BA93" i="31" s="1"/>
  <c r="BB93" i="31" a="1"/>
  <c r="BB93" i="31" s="1"/>
  <c r="BC93" i="31" a="1"/>
  <c r="BC93" i="31" s="1"/>
  <c r="BD93" i="31" a="1"/>
  <c r="BD93" i="31" s="1"/>
  <c r="BE93" i="31" a="1"/>
  <c r="BE93" i="31" s="1"/>
  <c r="BF93" i="31" a="1"/>
  <c r="BF93" i="31" s="1"/>
  <c r="BG93" i="31" a="1"/>
  <c r="BG93" i="31" s="1"/>
  <c r="BH93" i="31" a="1"/>
  <c r="BH93" i="31" s="1"/>
  <c r="BI93" i="31" a="1"/>
  <c r="BI93" i="31" s="1"/>
  <c r="BJ93" i="31" a="1"/>
  <c r="BJ93" i="31" s="1"/>
  <c r="BK93" i="31" a="1"/>
  <c r="BK93" i="31" s="1"/>
  <c r="BL93" i="31" a="1"/>
  <c r="BL93" i="31" s="1"/>
  <c r="BM93" i="31" a="1"/>
  <c r="BM93" i="31" s="1"/>
  <c r="BN93" i="31" a="1"/>
  <c r="BN93" i="31" s="1"/>
  <c r="BO93" i="31" a="1"/>
  <c r="BO93" i="31" s="1"/>
  <c r="BP93" i="31" a="1"/>
  <c r="BP93" i="31" s="1"/>
  <c r="BQ93" i="31" a="1"/>
  <c r="BQ93" i="31" s="1"/>
  <c r="BR93" i="31" a="1"/>
  <c r="BR93" i="31" s="1"/>
  <c r="BS93" i="31" a="1"/>
  <c r="BS93" i="31" s="1"/>
  <c r="BT93" i="31" a="1"/>
  <c r="BT93" i="31" s="1"/>
  <c r="BU93" i="31" a="1"/>
  <c r="BU93" i="31" s="1"/>
  <c r="BV93" i="31" a="1"/>
  <c r="BV93" i="31" s="1"/>
  <c r="BW93" i="31" a="1"/>
  <c r="BW93" i="31" s="1"/>
  <c r="BX93" i="31" a="1"/>
  <c r="BX93" i="31" s="1"/>
  <c r="BY93" i="31" a="1"/>
  <c r="BY93" i="31" s="1"/>
  <c r="BZ93" i="31" a="1"/>
  <c r="BZ93" i="31" s="1"/>
  <c r="CA93" i="31" a="1"/>
  <c r="CA93" i="31" s="1"/>
  <c r="CB93" i="31" a="1"/>
  <c r="CB93" i="31" s="1"/>
  <c r="CC93" i="31" a="1"/>
  <c r="CC93" i="31" s="1"/>
  <c r="BP120" i="31" a="1"/>
  <c r="BP120" i="31" s="1"/>
  <c r="BQ120" i="31" a="1"/>
  <c r="BQ120" i="31" s="1"/>
  <c r="BR120" i="31" a="1"/>
  <c r="BR120" i="31" s="1"/>
  <c r="BS120" i="31" a="1"/>
  <c r="BS120" i="31" s="1"/>
  <c r="BT120" i="31" a="1"/>
  <c r="BT120" i="31" s="1"/>
  <c r="BU120" i="31" a="1"/>
  <c r="BU120" i="31" s="1"/>
  <c r="BV120" i="31" a="1"/>
  <c r="BV120" i="31" s="1"/>
  <c r="BW120" i="31" a="1"/>
  <c r="BW120" i="31" s="1"/>
  <c r="BX120" i="31" a="1"/>
  <c r="BX120" i="31" s="1"/>
  <c r="BY120" i="31" a="1"/>
  <c r="BY120" i="31" s="1"/>
  <c r="BZ120" i="31" a="1"/>
  <c r="BZ120" i="31" s="1"/>
  <c r="CA120" i="31" a="1"/>
  <c r="CA120" i="31" s="1"/>
  <c r="CB120" i="31" a="1"/>
  <c r="CB120" i="31" s="1"/>
  <c r="CC120" i="31" a="1"/>
  <c r="CC120" i="31" s="1"/>
  <c r="BF59" i="31" a="1"/>
  <c r="BF59" i="31" s="1"/>
  <c r="BG59" i="31" a="1"/>
  <c r="BG59" i="31" s="1"/>
  <c r="BH59" i="31" a="1"/>
  <c r="BH59" i="31" s="1"/>
  <c r="BI59" i="31" a="1"/>
  <c r="BI59" i="31" s="1"/>
  <c r="BJ59" i="31" a="1"/>
  <c r="BJ59" i="31" s="1"/>
  <c r="BK59" i="31" a="1"/>
  <c r="BK59" i="31" s="1"/>
  <c r="BL59" i="31" a="1"/>
  <c r="BL59" i="31" s="1"/>
  <c r="BM59" i="31" a="1"/>
  <c r="BM59" i="31" s="1"/>
  <c r="BN59" i="31" a="1"/>
  <c r="BN59" i="31" s="1"/>
  <c r="BO59" i="31" a="1"/>
  <c r="BO59" i="31" s="1"/>
  <c r="BP59" i="31" a="1"/>
  <c r="BP59" i="31" s="1"/>
  <c r="BQ59" i="31" a="1"/>
  <c r="BQ59" i="31" s="1"/>
  <c r="BR59" i="31" a="1"/>
  <c r="BR59" i="31" s="1"/>
  <c r="BS59" i="31" a="1"/>
  <c r="BS59" i="31" s="1"/>
  <c r="BT59" i="31" a="1"/>
  <c r="BT59" i="31" s="1"/>
  <c r="BU59" i="31" a="1"/>
  <c r="BU59" i="31" s="1"/>
  <c r="BV59" i="31" a="1"/>
  <c r="BV59" i="31" s="1"/>
  <c r="BW59" i="31" a="1"/>
  <c r="BW59" i="31" s="1"/>
  <c r="BX59" i="31" a="1"/>
  <c r="BX59" i="31" s="1"/>
  <c r="BY59" i="31" a="1"/>
  <c r="BY59" i="31" s="1"/>
  <c r="BZ59" i="31" a="1"/>
  <c r="BZ59" i="31" s="1"/>
  <c r="CA59" i="31" a="1"/>
  <c r="CA59" i="31" s="1"/>
  <c r="CB59" i="31" a="1"/>
  <c r="CB59" i="31" s="1"/>
  <c r="CC59" i="31" a="1"/>
  <c r="CC59" i="31" s="1"/>
  <c r="AU48" i="31" a="1"/>
  <c r="AU48" i="31" s="1"/>
  <c r="AV48" i="31" a="1"/>
  <c r="AV48" i="31" s="1"/>
  <c r="AW48" i="31" a="1"/>
  <c r="AW48" i="31" s="1"/>
  <c r="AX48" i="31" a="1"/>
  <c r="AX48" i="31" s="1"/>
  <c r="AY48" i="31" a="1"/>
  <c r="AY48" i="31" s="1"/>
  <c r="AZ48" i="31" a="1"/>
  <c r="AZ48" i="31" s="1"/>
  <c r="BA48" i="31" a="1"/>
  <c r="BA48" i="31" s="1"/>
  <c r="BB48" i="31" a="1"/>
  <c r="BB48" i="31" s="1"/>
  <c r="BC48" i="31" a="1"/>
  <c r="BC48" i="31" s="1"/>
  <c r="BD48" i="31" a="1"/>
  <c r="BD48" i="31" s="1"/>
  <c r="BE48" i="31" a="1"/>
  <c r="BE48" i="31" s="1"/>
  <c r="BF48" i="31" a="1"/>
  <c r="BF48" i="31" s="1"/>
  <c r="BG48" i="31" a="1"/>
  <c r="BG48" i="31" s="1"/>
  <c r="BH48" i="31" a="1"/>
  <c r="BH48" i="31" s="1"/>
  <c r="BI48" i="31" a="1"/>
  <c r="BI48" i="31" s="1"/>
  <c r="BJ48" i="31" a="1"/>
  <c r="BJ48" i="31" s="1"/>
  <c r="BK48" i="31" a="1"/>
  <c r="BK48" i="31" s="1"/>
  <c r="BL48" i="31" a="1"/>
  <c r="BL48" i="31" s="1"/>
  <c r="BM48" i="31" a="1"/>
  <c r="BM48" i="31" s="1"/>
  <c r="BN48" i="31" a="1"/>
  <c r="BN48" i="31" s="1"/>
  <c r="BO48" i="31" a="1"/>
  <c r="BO48" i="31" s="1"/>
  <c r="BP48" i="31" a="1"/>
  <c r="BP48" i="31" s="1"/>
  <c r="BQ48" i="31" a="1"/>
  <c r="BQ48" i="31" s="1"/>
  <c r="BR48" i="31" a="1"/>
  <c r="BR48" i="31" s="1"/>
  <c r="BS48" i="31" a="1"/>
  <c r="BS48" i="31" s="1"/>
  <c r="BT48" i="31" a="1"/>
  <c r="BT48" i="31" s="1"/>
  <c r="BU48" i="31" a="1"/>
  <c r="BU48" i="31" s="1"/>
  <c r="BV48" i="31" a="1"/>
  <c r="BV48" i="31" s="1"/>
  <c r="BW48" i="31" a="1"/>
  <c r="BW48" i="31" s="1"/>
  <c r="BX48" i="31" a="1"/>
  <c r="BX48" i="31" s="1"/>
  <c r="BY48" i="31" a="1"/>
  <c r="BY48" i="31" s="1"/>
  <c r="BZ48" i="31" a="1"/>
  <c r="BZ48" i="31" s="1"/>
  <c r="CA48" i="31" a="1"/>
  <c r="CA48" i="31" s="1"/>
  <c r="CB48" i="31" a="1"/>
  <c r="CB48" i="31" s="1"/>
  <c r="CC48" i="31" a="1"/>
  <c r="CC48" i="31" s="1"/>
  <c r="BZ264" i="31" a="1"/>
  <c r="BZ264" i="31" s="1"/>
  <c r="BG264" i="31" a="1"/>
  <c r="BG264" i="31" s="1"/>
  <c r="BH264" i="31" a="1"/>
  <c r="BH264" i="31" s="1"/>
  <c r="BI264" i="31" a="1"/>
  <c r="BI264" i="31" s="1"/>
  <c r="BJ264" i="31" a="1"/>
  <c r="BJ264" i="31" s="1"/>
  <c r="BK264" i="31" a="1"/>
  <c r="BK264" i="31" s="1"/>
  <c r="BL264" i="31" a="1"/>
  <c r="BL264" i="31" s="1"/>
  <c r="BM264" i="31" a="1"/>
  <c r="BM264" i="31" s="1"/>
  <c r="BN264" i="31" a="1"/>
  <c r="BN264" i="31" s="1"/>
  <c r="BO264" i="31" a="1"/>
  <c r="BO264" i="31" s="1"/>
  <c r="BP264" i="31" a="1"/>
  <c r="BP264" i="31" s="1"/>
  <c r="BQ264" i="31" a="1"/>
  <c r="BQ264" i="31" s="1"/>
  <c r="BR264" i="31" a="1"/>
  <c r="BR264" i="31" s="1"/>
  <c r="BS264" i="31" a="1"/>
  <c r="BS264" i="31" s="1"/>
  <c r="BT264" i="31" a="1"/>
  <c r="BT264" i="31" s="1"/>
  <c r="BU264" i="31" a="1"/>
  <c r="BU264" i="31" s="1"/>
  <c r="BV264" i="31" a="1"/>
  <c r="BV264" i="31" s="1"/>
  <c r="BW264" i="31" a="1"/>
  <c r="BW264" i="31" s="1"/>
  <c r="BX264" i="31" a="1"/>
  <c r="BX264" i="31" s="1"/>
  <c r="BY264" i="31" a="1"/>
  <c r="BY264" i="31" s="1"/>
  <c r="CA264" i="31" a="1"/>
  <c r="CA264" i="31" s="1"/>
  <c r="CB264" i="31" a="1"/>
  <c r="CB264" i="31" s="1"/>
  <c r="CC264" i="31" a="1"/>
  <c r="CC264" i="31" s="1"/>
  <c r="CA255" i="31" a="1"/>
  <c r="CA255" i="31" s="1"/>
  <c r="AX255" i="31" a="1"/>
  <c r="AX255" i="31" s="1"/>
  <c r="AY255" i="31" a="1"/>
  <c r="AY255" i="31" s="1"/>
  <c r="AZ255" i="31" a="1"/>
  <c r="AZ255" i="31" s="1"/>
  <c r="BA255" i="31" a="1"/>
  <c r="BA255" i="31" s="1"/>
  <c r="BB255" i="31" a="1"/>
  <c r="BB255" i="31" s="1"/>
  <c r="BC255" i="31" a="1"/>
  <c r="BC255" i="31" s="1"/>
  <c r="BD255" i="31" a="1"/>
  <c r="BD255" i="31" s="1"/>
  <c r="BE255" i="31" a="1"/>
  <c r="BE255" i="31" s="1"/>
  <c r="BF255" i="31" a="1"/>
  <c r="BF255" i="31" s="1"/>
  <c r="BG255" i="31" a="1"/>
  <c r="BG255" i="31" s="1"/>
  <c r="BH255" i="31" a="1"/>
  <c r="BH255" i="31" s="1"/>
  <c r="BI255" i="31" a="1"/>
  <c r="BI255" i="31" s="1"/>
  <c r="BJ255" i="31" a="1"/>
  <c r="BJ255" i="31" s="1"/>
  <c r="BK255" i="31" a="1"/>
  <c r="BK255" i="31" s="1"/>
  <c r="BL255" i="31" a="1"/>
  <c r="BL255" i="31" s="1"/>
  <c r="BM255" i="31" a="1"/>
  <c r="BM255" i="31" s="1"/>
  <c r="BN255" i="31" a="1"/>
  <c r="BN255" i="31" s="1"/>
  <c r="BO255" i="31" a="1"/>
  <c r="BO255" i="31" s="1"/>
  <c r="BP255" i="31" a="1"/>
  <c r="BP255" i="31" s="1"/>
  <c r="BQ255" i="31" a="1"/>
  <c r="BQ255" i="31" s="1"/>
  <c r="BR255" i="31" a="1"/>
  <c r="BR255" i="31" s="1"/>
  <c r="BS255" i="31" a="1"/>
  <c r="BS255" i="31" s="1"/>
  <c r="BT255" i="31" a="1"/>
  <c r="BT255" i="31" s="1"/>
  <c r="BU255" i="31" a="1"/>
  <c r="BU255" i="31" s="1"/>
  <c r="BV255" i="31" a="1"/>
  <c r="BV255" i="31" s="1"/>
  <c r="BW255" i="31" a="1"/>
  <c r="BW255" i="31" s="1"/>
  <c r="BX255" i="31" a="1"/>
  <c r="BX255" i="31" s="1"/>
  <c r="BY255" i="31" a="1"/>
  <c r="BY255" i="31" s="1"/>
  <c r="BZ255" i="31" a="1"/>
  <c r="BZ255" i="31" s="1"/>
  <c r="CB255" i="31" a="1"/>
  <c r="CB255" i="31" s="1"/>
  <c r="CC255" i="31" a="1"/>
  <c r="CC255" i="31" s="1"/>
  <c r="BY248" i="31" a="1"/>
  <c r="BY248" i="31" s="1"/>
  <c r="AQ248" i="31" a="1"/>
  <c r="AQ248" i="31" s="1"/>
  <c r="AR248" i="31" a="1"/>
  <c r="AR248" i="31" s="1"/>
  <c r="AS248" i="31" a="1"/>
  <c r="AS248" i="31" s="1"/>
  <c r="AT248" i="31" a="1"/>
  <c r="AT248" i="31" s="1"/>
  <c r="AU248" i="31" a="1"/>
  <c r="AU248" i="31" s="1"/>
  <c r="AV248" i="31" a="1"/>
  <c r="AV248" i="31" s="1"/>
  <c r="AW248" i="31" a="1"/>
  <c r="AW248" i="31" s="1"/>
  <c r="AX248" i="31" a="1"/>
  <c r="AX248" i="31" s="1"/>
  <c r="AY248" i="31" a="1"/>
  <c r="AY248" i="31" s="1"/>
  <c r="AZ248" i="31" a="1"/>
  <c r="AZ248" i="31" s="1"/>
  <c r="BA248" i="31" a="1"/>
  <c r="BA248" i="31" s="1"/>
  <c r="BB248" i="31" a="1"/>
  <c r="BB248" i="31" s="1"/>
  <c r="BC248" i="31" a="1"/>
  <c r="BC248" i="31" s="1"/>
  <c r="BD248" i="31" a="1"/>
  <c r="BD248" i="31" s="1"/>
  <c r="BE248" i="31" a="1"/>
  <c r="BE248" i="31" s="1"/>
  <c r="BF248" i="31" a="1"/>
  <c r="BF248" i="31" s="1"/>
  <c r="BG248" i="31" a="1"/>
  <c r="BG248" i="31" s="1"/>
  <c r="BH248" i="31" a="1"/>
  <c r="BH248" i="31" s="1"/>
  <c r="BI248" i="31" a="1"/>
  <c r="BI248" i="31" s="1"/>
  <c r="BJ248" i="31" a="1"/>
  <c r="BJ248" i="31" s="1"/>
  <c r="BK248" i="31" a="1"/>
  <c r="BK248" i="31" s="1"/>
  <c r="BL248" i="31" a="1"/>
  <c r="BL248" i="31" s="1"/>
  <c r="BM248" i="31" a="1"/>
  <c r="BM248" i="31" s="1"/>
  <c r="BN248" i="31" a="1"/>
  <c r="BN248" i="31" s="1"/>
  <c r="BO248" i="31" a="1"/>
  <c r="BO248" i="31" s="1"/>
  <c r="BP248" i="31" a="1"/>
  <c r="BP248" i="31" s="1"/>
  <c r="BQ248" i="31" a="1"/>
  <c r="BQ248" i="31" s="1"/>
  <c r="BR248" i="31" a="1"/>
  <c r="BR248" i="31" s="1"/>
  <c r="BS248" i="31" a="1"/>
  <c r="BS248" i="31" s="1"/>
  <c r="BT248" i="31" a="1"/>
  <c r="BT248" i="31" s="1"/>
  <c r="BU248" i="31" a="1"/>
  <c r="BU248" i="31" s="1"/>
  <c r="BV248" i="31" a="1"/>
  <c r="BV248" i="31" s="1"/>
  <c r="BW248" i="31" a="1"/>
  <c r="BW248" i="31" s="1"/>
  <c r="BX248" i="31" a="1"/>
  <c r="BX248" i="31" s="1"/>
  <c r="BZ248" i="31" a="1"/>
  <c r="BZ248" i="31" s="1"/>
  <c r="CA248" i="31" a="1"/>
  <c r="CA248" i="31" s="1"/>
  <c r="CB248" i="31" a="1"/>
  <c r="CB248" i="31" s="1"/>
  <c r="CC248" i="31" a="1"/>
  <c r="CC248" i="31" s="1"/>
  <c r="BL262" i="31" a="1"/>
  <c r="BL262" i="31" s="1"/>
  <c r="BE262" i="31" a="1"/>
  <c r="BE262" i="31" s="1"/>
  <c r="BF262" i="31" a="1"/>
  <c r="BF262" i="31" s="1"/>
  <c r="BG262" i="31" a="1"/>
  <c r="BG262" i="31" s="1"/>
  <c r="BH262" i="31" a="1"/>
  <c r="BH262" i="31" s="1"/>
  <c r="BI262" i="31" a="1"/>
  <c r="BI262" i="31" s="1"/>
  <c r="BJ262" i="31" a="1"/>
  <c r="BJ262" i="31" s="1"/>
  <c r="BK262" i="31" a="1"/>
  <c r="BK262" i="31" s="1"/>
  <c r="BM262" i="31" a="1"/>
  <c r="BM262" i="31" s="1"/>
  <c r="BN262" i="31" a="1"/>
  <c r="BN262" i="31" s="1"/>
  <c r="BO262" i="31" a="1"/>
  <c r="BO262" i="31" s="1"/>
  <c r="BP262" i="31" a="1"/>
  <c r="BP262" i="31" s="1"/>
  <c r="BQ262" i="31" a="1"/>
  <c r="BQ262" i="31" s="1"/>
  <c r="BR262" i="31" a="1"/>
  <c r="BR262" i="31" s="1"/>
  <c r="BS262" i="31" a="1"/>
  <c r="BS262" i="31" s="1"/>
  <c r="BT262" i="31" a="1"/>
  <c r="BT262" i="31" s="1"/>
  <c r="BU262" i="31" a="1"/>
  <c r="BU262" i="31" s="1"/>
  <c r="BV262" i="31" a="1"/>
  <c r="BV262" i="31" s="1"/>
  <c r="BW262" i="31" a="1"/>
  <c r="BW262" i="31" s="1"/>
  <c r="BX262" i="31" a="1"/>
  <c r="BX262" i="31" s="1"/>
  <c r="BY262" i="31" a="1"/>
  <c r="BY262" i="31" s="1"/>
  <c r="BZ262" i="31" a="1"/>
  <c r="BZ262" i="31" s="1"/>
  <c r="CA262" i="31" a="1"/>
  <c r="CA262" i="31" s="1"/>
  <c r="CB262" i="31" a="1"/>
  <c r="CB262" i="31" s="1"/>
  <c r="CC262" i="31" a="1"/>
  <c r="CC262" i="31" s="1"/>
  <c r="BX277" i="31" a="1"/>
  <c r="BX277" i="31" s="1"/>
  <c r="BT277" i="31" a="1"/>
  <c r="BT277" i="31" s="1"/>
  <c r="BU277" i="31" a="1"/>
  <c r="BU277" i="31" s="1"/>
  <c r="BV277" i="31" a="1"/>
  <c r="BV277" i="31" s="1"/>
  <c r="BW277" i="31" a="1"/>
  <c r="BW277" i="31" s="1"/>
  <c r="BY277" i="31" a="1"/>
  <c r="BY277" i="31" s="1"/>
  <c r="BZ277" i="31" a="1"/>
  <c r="BZ277" i="31" s="1"/>
  <c r="CA277" i="31" a="1"/>
  <c r="CA277" i="31" s="1"/>
  <c r="CB277" i="31" a="1"/>
  <c r="CB277" i="31" s="1"/>
  <c r="CC277" i="31" a="1"/>
  <c r="CC277" i="31" s="1"/>
  <c r="CA273" i="31" a="1"/>
  <c r="CA273" i="31" s="1"/>
  <c r="BP273" i="31" a="1"/>
  <c r="BP273" i="31" s="1"/>
  <c r="BQ273" i="31" a="1"/>
  <c r="BQ273" i="31" s="1"/>
  <c r="BR273" i="31" a="1"/>
  <c r="BR273" i="31" s="1"/>
  <c r="BS273" i="31" a="1"/>
  <c r="BS273" i="31" s="1"/>
  <c r="BT273" i="31" a="1"/>
  <c r="BT273" i="31" s="1"/>
  <c r="BU273" i="31" a="1"/>
  <c r="BU273" i="31" s="1"/>
  <c r="BV273" i="31" a="1"/>
  <c r="BV273" i="31" s="1"/>
  <c r="BW273" i="31" a="1"/>
  <c r="BW273" i="31" s="1"/>
  <c r="BX273" i="31" a="1"/>
  <c r="BX273" i="31" s="1"/>
  <c r="BY273" i="31" a="1"/>
  <c r="BY273" i="31" s="1"/>
  <c r="BZ273" i="31" a="1"/>
  <c r="BZ273" i="31" s="1"/>
  <c r="CB273" i="31" a="1"/>
  <c r="CB273" i="31" s="1"/>
  <c r="CC273" i="31" a="1"/>
  <c r="CC273" i="31" s="1"/>
  <c r="AS148" i="31" a="1"/>
  <c r="AS148" i="31" s="1"/>
  <c r="AT148" i="31" a="1"/>
  <c r="AT148" i="31" s="1"/>
  <c r="AU148" i="31" a="1"/>
  <c r="AU148" i="31" s="1"/>
  <c r="AV148" i="31" a="1"/>
  <c r="AV148" i="31" s="1"/>
  <c r="AW148" i="31" a="1"/>
  <c r="AW148" i="31" s="1"/>
  <c r="AX148" i="31" a="1"/>
  <c r="AX148" i="31" s="1"/>
  <c r="AY148" i="31" a="1"/>
  <c r="AY148" i="31" s="1"/>
  <c r="AZ148" i="31" a="1"/>
  <c r="AZ148" i="31" s="1"/>
  <c r="BA148" i="31" a="1"/>
  <c r="BA148" i="31" s="1"/>
  <c r="BB148" i="31" a="1"/>
  <c r="BB148" i="31" s="1"/>
  <c r="BC148" i="31" a="1"/>
  <c r="BC148" i="31" s="1"/>
  <c r="BD148" i="31" a="1"/>
  <c r="BD148" i="31" s="1"/>
  <c r="BE148" i="31" a="1"/>
  <c r="BE148" i="31" s="1"/>
  <c r="BF148" i="31" a="1"/>
  <c r="BF148" i="31" s="1"/>
  <c r="BG148" i="31" a="1"/>
  <c r="BG148" i="31" s="1"/>
  <c r="BH148" i="31" a="1"/>
  <c r="BH148" i="31" s="1"/>
  <c r="BI148" i="31" a="1"/>
  <c r="BI148" i="31" s="1"/>
  <c r="BJ148" i="31" a="1"/>
  <c r="BJ148" i="31" s="1"/>
  <c r="BK148" i="31" a="1"/>
  <c r="BK148" i="31" s="1"/>
  <c r="BL148" i="31" a="1"/>
  <c r="BL148" i="31" s="1"/>
  <c r="BM148" i="31" a="1"/>
  <c r="BM148" i="31" s="1"/>
  <c r="BN148" i="31" a="1"/>
  <c r="BN148" i="31" s="1"/>
  <c r="BO148" i="31" a="1"/>
  <c r="BO148" i="31" s="1"/>
  <c r="BP148" i="31" a="1"/>
  <c r="BP148" i="31" s="1"/>
  <c r="BQ148" i="31" a="1"/>
  <c r="BQ148" i="31" s="1"/>
  <c r="BR148" i="31" a="1"/>
  <c r="BR148" i="31" s="1"/>
  <c r="BS148" i="31" a="1"/>
  <c r="BS148" i="31" s="1"/>
  <c r="BT148" i="31" a="1"/>
  <c r="BT148" i="31" s="1"/>
  <c r="BU148" i="31" a="1"/>
  <c r="BU148" i="31" s="1"/>
  <c r="BV148" i="31" a="1"/>
  <c r="BV148" i="31" s="1"/>
  <c r="BW148" i="31" a="1"/>
  <c r="BW148" i="31" s="1"/>
  <c r="BX148" i="31" a="1"/>
  <c r="BX148" i="31" s="1"/>
  <c r="BY148" i="31" a="1"/>
  <c r="BY148" i="31" s="1"/>
  <c r="BZ148" i="31" a="1"/>
  <c r="BZ148" i="31" s="1"/>
  <c r="CA148" i="31" a="1"/>
  <c r="CA148" i="31" s="1"/>
  <c r="CB148" i="31" a="1"/>
  <c r="CB148" i="31" s="1"/>
  <c r="CC148" i="31" a="1"/>
  <c r="CC148" i="31" s="1"/>
  <c r="BY180" i="31" a="1"/>
  <c r="BY180" i="31" s="1"/>
  <c r="BZ180" i="31" a="1"/>
  <c r="BZ180" i="31" s="1"/>
  <c r="CA180" i="31" a="1"/>
  <c r="CA180" i="31" s="1"/>
  <c r="CB180" i="31" a="1"/>
  <c r="CB180" i="31" s="1"/>
  <c r="CC180" i="31" a="1"/>
  <c r="CC180" i="31" s="1"/>
  <c r="AH137" i="31" a="1"/>
  <c r="AH137" i="31" s="1"/>
  <c r="AI137" i="31" a="1"/>
  <c r="AI137" i="31" s="1"/>
  <c r="AJ137" i="31" a="1"/>
  <c r="AJ137" i="31" s="1"/>
  <c r="AK137" i="31" a="1"/>
  <c r="AK137" i="31" s="1"/>
  <c r="AL137" i="31" a="1"/>
  <c r="AL137" i="31" s="1"/>
  <c r="AM137" i="31" a="1"/>
  <c r="AM137" i="31" s="1"/>
  <c r="AN137" i="31" a="1"/>
  <c r="AN137" i="31" s="1"/>
  <c r="AO137" i="31" a="1"/>
  <c r="AO137" i="31" s="1"/>
  <c r="AP137" i="31" a="1"/>
  <c r="AP137" i="31" s="1"/>
  <c r="AQ137" i="31" a="1"/>
  <c r="AQ137" i="31" s="1"/>
  <c r="AR137" i="31" a="1"/>
  <c r="AR137" i="31" s="1"/>
  <c r="AS137" i="31" a="1"/>
  <c r="AS137" i="31" s="1"/>
  <c r="AT137" i="31" a="1"/>
  <c r="AT137" i="31" s="1"/>
  <c r="AU137" i="31" a="1"/>
  <c r="AU137" i="31" s="1"/>
  <c r="AV137" i="31" a="1"/>
  <c r="AV137" i="31" s="1"/>
  <c r="AW137" i="31" a="1"/>
  <c r="AW137" i="31" s="1"/>
  <c r="AX137" i="31" a="1"/>
  <c r="AX137" i="31" s="1"/>
  <c r="AY137" i="31" a="1"/>
  <c r="AY137" i="31" s="1"/>
  <c r="AZ137" i="31" a="1"/>
  <c r="AZ137" i="31" s="1"/>
  <c r="BA137" i="31" a="1"/>
  <c r="BA137" i="31" s="1"/>
  <c r="BB137" i="31" a="1"/>
  <c r="BB137" i="31" s="1"/>
  <c r="BC137" i="31" a="1"/>
  <c r="BC137" i="31" s="1"/>
  <c r="BD137" i="31" a="1"/>
  <c r="BD137" i="31" s="1"/>
  <c r="BE137" i="31" a="1"/>
  <c r="BE137" i="31" s="1"/>
  <c r="BF137" i="31" a="1"/>
  <c r="BF137" i="31" s="1"/>
  <c r="BG137" i="31" a="1"/>
  <c r="BG137" i="31" s="1"/>
  <c r="BH137" i="31" a="1"/>
  <c r="BH137" i="31" s="1"/>
  <c r="BI137" i="31" a="1"/>
  <c r="BI137" i="31" s="1"/>
  <c r="BJ137" i="31" a="1"/>
  <c r="BJ137" i="31" s="1"/>
  <c r="BK137" i="31" a="1"/>
  <c r="BK137" i="31" s="1"/>
  <c r="BL137" i="31" a="1"/>
  <c r="BL137" i="31" s="1"/>
  <c r="BM137" i="31" a="1"/>
  <c r="BM137" i="31" s="1"/>
  <c r="BN137" i="31" a="1"/>
  <c r="BN137" i="31" s="1"/>
  <c r="BO137" i="31" a="1"/>
  <c r="BO137" i="31" s="1"/>
  <c r="BP137" i="31" a="1"/>
  <c r="BP137" i="31" s="1"/>
  <c r="BQ137" i="31" a="1"/>
  <c r="BQ137" i="31" s="1"/>
  <c r="BR137" i="31" a="1"/>
  <c r="BR137" i="31" s="1"/>
  <c r="BS137" i="31" a="1"/>
  <c r="BS137" i="31" s="1"/>
  <c r="BT137" i="31" a="1"/>
  <c r="BT137" i="31" s="1"/>
  <c r="BU137" i="31" a="1"/>
  <c r="BU137" i="31" s="1"/>
  <c r="BV137" i="31" a="1"/>
  <c r="BV137" i="31" s="1"/>
  <c r="BW137" i="31" a="1"/>
  <c r="BW137" i="31" s="1"/>
  <c r="BX137" i="31" a="1"/>
  <c r="BX137" i="31" s="1"/>
  <c r="BY137" i="31" a="1"/>
  <c r="BY137" i="31" s="1"/>
  <c r="BZ137" i="31" a="1"/>
  <c r="BZ137" i="31" s="1"/>
  <c r="CA137" i="31" a="1"/>
  <c r="CA137" i="31" s="1"/>
  <c r="CB137" i="31" a="1"/>
  <c r="CB137" i="31" s="1"/>
  <c r="CC137" i="31" a="1"/>
  <c r="CC137" i="31" s="1"/>
  <c r="BD159" i="31" a="1"/>
  <c r="BD159" i="31" s="1"/>
  <c r="BE159" i="31" a="1"/>
  <c r="BE159" i="31" s="1"/>
  <c r="BF159" i="31" a="1"/>
  <c r="BF159" i="31" s="1"/>
  <c r="BG159" i="31" a="1"/>
  <c r="BG159" i="31" s="1"/>
  <c r="BH159" i="31" a="1"/>
  <c r="BH159" i="31" s="1"/>
  <c r="BI159" i="31" a="1"/>
  <c r="BI159" i="31" s="1"/>
  <c r="BJ159" i="31" a="1"/>
  <c r="BJ159" i="31" s="1"/>
  <c r="BK159" i="31" a="1"/>
  <c r="BK159" i="31" s="1"/>
  <c r="BL159" i="31" a="1"/>
  <c r="BL159" i="31" s="1"/>
  <c r="BM159" i="31" a="1"/>
  <c r="BM159" i="31" s="1"/>
  <c r="BN159" i="31" a="1"/>
  <c r="BN159" i="31" s="1"/>
  <c r="BO159" i="31" a="1"/>
  <c r="BO159" i="31" s="1"/>
  <c r="BP159" i="31" a="1"/>
  <c r="BP159" i="31" s="1"/>
  <c r="BQ159" i="31" a="1"/>
  <c r="BQ159" i="31" s="1"/>
  <c r="BR159" i="31" a="1"/>
  <c r="BR159" i="31" s="1"/>
  <c r="BS159" i="31" a="1"/>
  <c r="BS159" i="31" s="1"/>
  <c r="BT159" i="31" a="1"/>
  <c r="BT159" i="31" s="1"/>
  <c r="BU159" i="31" a="1"/>
  <c r="BU159" i="31" s="1"/>
  <c r="BV159" i="31" a="1"/>
  <c r="BV159" i="31" s="1"/>
  <c r="BW159" i="31" a="1"/>
  <c r="BW159" i="31" s="1"/>
  <c r="BX159" i="31" a="1"/>
  <c r="BX159" i="31" s="1"/>
  <c r="BY159" i="31" a="1"/>
  <c r="BY159" i="31" s="1"/>
  <c r="BZ159" i="31" a="1"/>
  <c r="BZ159" i="31" s="1"/>
  <c r="CA159" i="31" a="1"/>
  <c r="CA159" i="31" s="1"/>
  <c r="CB159" i="31" a="1"/>
  <c r="CB159" i="31" s="1"/>
  <c r="CC159" i="31" a="1"/>
  <c r="CC159" i="31" s="1"/>
  <c r="BA207" i="31" a="1"/>
  <c r="BA207" i="31" s="1"/>
  <c r="BB207" i="31" a="1"/>
  <c r="BB207" i="31" s="1"/>
  <c r="BC207" i="31" a="1"/>
  <c r="BC207" i="31" s="1"/>
  <c r="BD207" i="31" a="1"/>
  <c r="BD207" i="31" s="1"/>
  <c r="BE207" i="31" a="1"/>
  <c r="BE207" i="31" s="1"/>
  <c r="BF207" i="31" a="1"/>
  <c r="BF207" i="31" s="1"/>
  <c r="BG207" i="31" a="1"/>
  <c r="BG207" i="31" s="1"/>
  <c r="BH207" i="31" a="1"/>
  <c r="BH207" i="31" s="1"/>
  <c r="BI207" i="31" a="1"/>
  <c r="BI207" i="31" s="1"/>
  <c r="BJ207" i="31" a="1"/>
  <c r="BJ207" i="31" s="1"/>
  <c r="BK207" i="31" a="1"/>
  <c r="BK207" i="31" s="1"/>
  <c r="BL207" i="31" a="1"/>
  <c r="BL207" i="31" s="1"/>
  <c r="BM207" i="31" a="1"/>
  <c r="BM207" i="31" s="1"/>
  <c r="BN207" i="31" a="1"/>
  <c r="BN207" i="31" s="1"/>
  <c r="BO207" i="31" a="1"/>
  <c r="BO207" i="31" s="1"/>
  <c r="BP207" i="31" a="1"/>
  <c r="BP207" i="31" s="1"/>
  <c r="BQ207" i="31" a="1"/>
  <c r="BQ207" i="31" s="1"/>
  <c r="BR207" i="31" a="1"/>
  <c r="BR207" i="31" s="1"/>
  <c r="BS207" i="31" a="1"/>
  <c r="BS207" i="31" s="1"/>
  <c r="BT207" i="31" a="1"/>
  <c r="BT207" i="31" s="1"/>
  <c r="BU207" i="31" a="1"/>
  <c r="BU207" i="31" s="1"/>
  <c r="BV207" i="31" a="1"/>
  <c r="BV207" i="31" s="1"/>
  <c r="BW207" i="31" a="1"/>
  <c r="BW207" i="31" s="1"/>
  <c r="BX207" i="31" a="1"/>
  <c r="BX207" i="31" s="1"/>
  <c r="BY207" i="31" a="1"/>
  <c r="BY207" i="31" s="1"/>
  <c r="BZ207" i="31" a="1"/>
  <c r="BZ207" i="31" s="1"/>
  <c r="CA207" i="31" a="1"/>
  <c r="CA207" i="31" s="1"/>
  <c r="CB207" i="31" a="1"/>
  <c r="CB207" i="31" s="1"/>
  <c r="CC207" i="31" a="1"/>
  <c r="CC207" i="31" s="1"/>
  <c r="AQ146" i="31" a="1"/>
  <c r="AQ146" i="31" s="1"/>
  <c r="AR146" i="31" a="1"/>
  <c r="AR146" i="31" s="1"/>
  <c r="AS146" i="31" a="1"/>
  <c r="AS146" i="31" s="1"/>
  <c r="AT146" i="31" a="1"/>
  <c r="AT146" i="31" s="1"/>
  <c r="AU146" i="31" a="1"/>
  <c r="AU146" i="31" s="1"/>
  <c r="AV146" i="31" a="1"/>
  <c r="AV146" i="31" s="1"/>
  <c r="AW146" i="31" a="1"/>
  <c r="AW146" i="31" s="1"/>
  <c r="AX146" i="31" a="1"/>
  <c r="AX146" i="31" s="1"/>
  <c r="AY146" i="31" a="1"/>
  <c r="AY146" i="31" s="1"/>
  <c r="AZ146" i="31" a="1"/>
  <c r="AZ146" i="31" s="1"/>
  <c r="BA146" i="31" a="1"/>
  <c r="BA146" i="31" s="1"/>
  <c r="BB146" i="31" a="1"/>
  <c r="BB146" i="31" s="1"/>
  <c r="BC146" i="31" a="1"/>
  <c r="BC146" i="31" s="1"/>
  <c r="BD146" i="31" a="1"/>
  <c r="BD146" i="31" s="1"/>
  <c r="BE146" i="31" a="1"/>
  <c r="BE146" i="31" s="1"/>
  <c r="BF146" i="31" a="1"/>
  <c r="BF146" i="31" s="1"/>
  <c r="BG146" i="31" a="1"/>
  <c r="BG146" i="31" s="1"/>
  <c r="BH146" i="31" a="1"/>
  <c r="BH146" i="31" s="1"/>
  <c r="BI146" i="31" a="1"/>
  <c r="BI146" i="31" s="1"/>
  <c r="BJ146" i="31" a="1"/>
  <c r="BJ146" i="31" s="1"/>
  <c r="BK146" i="31" a="1"/>
  <c r="BK146" i="31" s="1"/>
  <c r="BL146" i="31" a="1"/>
  <c r="BL146" i="31" s="1"/>
  <c r="BM146" i="31" a="1"/>
  <c r="BM146" i="31" s="1"/>
  <c r="BN146" i="31" a="1"/>
  <c r="BN146" i="31" s="1"/>
  <c r="BO146" i="31" a="1"/>
  <c r="BO146" i="31" s="1"/>
  <c r="BP146" i="31" a="1"/>
  <c r="BP146" i="31" s="1"/>
  <c r="BQ146" i="31" a="1"/>
  <c r="BQ146" i="31" s="1"/>
  <c r="BR146" i="31" a="1"/>
  <c r="BR146" i="31" s="1"/>
  <c r="BS146" i="31" a="1"/>
  <c r="BS146" i="31" s="1"/>
  <c r="BT146" i="31" a="1"/>
  <c r="BT146" i="31" s="1"/>
  <c r="BU146" i="31" a="1"/>
  <c r="BU146" i="31" s="1"/>
  <c r="BV146" i="31" a="1"/>
  <c r="BV146" i="31" s="1"/>
  <c r="BW146" i="31" a="1"/>
  <c r="BW146" i="31" s="1"/>
  <c r="BX146" i="31" a="1"/>
  <c r="BX146" i="31" s="1"/>
  <c r="BY146" i="31" a="1"/>
  <c r="BY146" i="31" s="1"/>
  <c r="BZ146" i="31" a="1"/>
  <c r="BZ146" i="31" s="1"/>
  <c r="CA146" i="31" a="1"/>
  <c r="CA146" i="31" s="1"/>
  <c r="CB146" i="31" a="1"/>
  <c r="CB146" i="31" s="1"/>
  <c r="CC146" i="31" a="1"/>
  <c r="CC146" i="31" s="1"/>
  <c r="AK191" i="31" a="1"/>
  <c r="AK191" i="31" s="1"/>
  <c r="AL191" i="31" a="1"/>
  <c r="AL191" i="31" s="1"/>
  <c r="AM191" i="31" a="1"/>
  <c r="AM191" i="31" s="1"/>
  <c r="AN191" i="31" a="1"/>
  <c r="AN191" i="31" s="1"/>
  <c r="AO191" i="31" a="1"/>
  <c r="AO191" i="31" s="1"/>
  <c r="AP191" i="31" a="1"/>
  <c r="AP191" i="31" s="1"/>
  <c r="AQ191" i="31" a="1"/>
  <c r="AQ191" i="31" s="1"/>
  <c r="AR191" i="31" a="1"/>
  <c r="AR191" i="31" s="1"/>
  <c r="AS191" i="31" a="1"/>
  <c r="AS191" i="31" s="1"/>
  <c r="AT191" i="31" a="1"/>
  <c r="AT191" i="31" s="1"/>
  <c r="AU191" i="31" a="1"/>
  <c r="AU191" i="31" s="1"/>
  <c r="AV191" i="31" a="1"/>
  <c r="AV191" i="31" s="1"/>
  <c r="AW191" i="31" a="1"/>
  <c r="AW191" i="31" s="1"/>
  <c r="AX191" i="31" a="1"/>
  <c r="AX191" i="31" s="1"/>
  <c r="AY191" i="31" a="1"/>
  <c r="AY191" i="31" s="1"/>
  <c r="AZ191" i="31" a="1"/>
  <c r="AZ191" i="31" s="1"/>
  <c r="BA191" i="31" a="1"/>
  <c r="BA191" i="31" s="1"/>
  <c r="BB191" i="31" a="1"/>
  <c r="BB191" i="31" s="1"/>
  <c r="BC191" i="31" a="1"/>
  <c r="BC191" i="31" s="1"/>
  <c r="BD191" i="31" a="1"/>
  <c r="BD191" i="31" s="1"/>
  <c r="BE191" i="31" a="1"/>
  <c r="BE191" i="31" s="1"/>
  <c r="BF191" i="31" a="1"/>
  <c r="BF191" i="31" s="1"/>
  <c r="BG191" i="31" a="1"/>
  <c r="BG191" i="31" s="1"/>
  <c r="BH191" i="31" a="1"/>
  <c r="BH191" i="31" s="1"/>
  <c r="BI191" i="31" a="1"/>
  <c r="BI191" i="31" s="1"/>
  <c r="BJ191" i="31" a="1"/>
  <c r="BJ191" i="31" s="1"/>
  <c r="BK191" i="31" a="1"/>
  <c r="BK191" i="31" s="1"/>
  <c r="BL191" i="31" a="1"/>
  <c r="BL191" i="31" s="1"/>
  <c r="BM191" i="31" a="1"/>
  <c r="BM191" i="31" s="1"/>
  <c r="BN191" i="31" a="1"/>
  <c r="BN191" i="31" s="1"/>
  <c r="BO191" i="31" a="1"/>
  <c r="BO191" i="31" s="1"/>
  <c r="BP191" i="31" a="1"/>
  <c r="BP191" i="31" s="1"/>
  <c r="BQ191" i="31" a="1"/>
  <c r="BQ191" i="31" s="1"/>
  <c r="BR191" i="31" a="1"/>
  <c r="BR191" i="31" s="1"/>
  <c r="BS191" i="31" a="1"/>
  <c r="BS191" i="31" s="1"/>
  <c r="BT191" i="31" a="1"/>
  <c r="BT191" i="31" s="1"/>
  <c r="BU191" i="31" a="1"/>
  <c r="BU191" i="31" s="1"/>
  <c r="BV191" i="31" a="1"/>
  <c r="BV191" i="31" s="1"/>
  <c r="BW191" i="31" a="1"/>
  <c r="BW191" i="31" s="1"/>
  <c r="BX191" i="31" a="1"/>
  <c r="BX191" i="31" s="1"/>
  <c r="BY191" i="31" a="1"/>
  <c r="BY191" i="31" s="1"/>
  <c r="BZ191" i="31" a="1"/>
  <c r="BZ191" i="31" s="1"/>
  <c r="CA191" i="31" a="1"/>
  <c r="CA191" i="31" s="1"/>
  <c r="CB191" i="31" a="1"/>
  <c r="CB191" i="31" s="1"/>
  <c r="CC191" i="31" a="1"/>
  <c r="CC191" i="31" s="1"/>
  <c r="CB239" i="31" a="1"/>
  <c r="CB239" i="31" s="1"/>
  <c r="AK239" i="31" a="1"/>
  <c r="AK239" i="31" s="1"/>
  <c r="AI239" i="31" a="1"/>
  <c r="AI239" i="31" s="1"/>
  <c r="AH239" i="31" a="1"/>
  <c r="AH239" i="31" s="1"/>
  <c r="AJ239" i="31" a="1"/>
  <c r="AJ239" i="31" s="1"/>
  <c r="AL239" i="31" a="1"/>
  <c r="AL239" i="31" s="1"/>
  <c r="AM239" i="31" a="1"/>
  <c r="AM239" i="31" s="1"/>
  <c r="AN239" i="31" a="1"/>
  <c r="AN239" i="31" s="1"/>
  <c r="AO239" i="31" a="1"/>
  <c r="AO239" i="31" s="1"/>
  <c r="AP239" i="31" a="1"/>
  <c r="AP239" i="31" s="1"/>
  <c r="AQ239" i="31" a="1"/>
  <c r="AQ239" i="31" s="1"/>
  <c r="AR239" i="31" a="1"/>
  <c r="AR239" i="31" s="1"/>
  <c r="AS239" i="31" a="1"/>
  <c r="AS239" i="31" s="1"/>
  <c r="AT239" i="31" a="1"/>
  <c r="AT239" i="31" s="1"/>
  <c r="AU239" i="31" a="1"/>
  <c r="AU239" i="31" s="1"/>
  <c r="AV239" i="31" a="1"/>
  <c r="AV239" i="31" s="1"/>
  <c r="AW239" i="31" a="1"/>
  <c r="AW239" i="31" s="1"/>
  <c r="AX239" i="31" a="1"/>
  <c r="AX239" i="31" s="1"/>
  <c r="AY239" i="31" a="1"/>
  <c r="AY239" i="31" s="1"/>
  <c r="AZ239" i="31" a="1"/>
  <c r="AZ239" i="31" s="1"/>
  <c r="BA239" i="31" a="1"/>
  <c r="BA239" i="31" s="1"/>
  <c r="BB239" i="31" a="1"/>
  <c r="BB239" i="31" s="1"/>
  <c r="BC239" i="31" a="1"/>
  <c r="BC239" i="31" s="1"/>
  <c r="BD239" i="31" a="1"/>
  <c r="BD239" i="31" s="1"/>
  <c r="BE239" i="31" a="1"/>
  <c r="BE239" i="31" s="1"/>
  <c r="BF239" i="31" a="1"/>
  <c r="BF239" i="31" s="1"/>
  <c r="BG239" i="31" a="1"/>
  <c r="BG239" i="31" s="1"/>
  <c r="BH239" i="31" a="1"/>
  <c r="BH239" i="31" s="1"/>
  <c r="BI239" i="31" a="1"/>
  <c r="BI239" i="31" s="1"/>
  <c r="BJ239" i="31" a="1"/>
  <c r="BJ239" i="31" s="1"/>
  <c r="BK239" i="31" a="1"/>
  <c r="BK239" i="31" s="1"/>
  <c r="BL239" i="31" a="1"/>
  <c r="BL239" i="31" s="1"/>
  <c r="BM239" i="31" a="1"/>
  <c r="BM239" i="31" s="1"/>
  <c r="BN239" i="31" a="1"/>
  <c r="BN239" i="31" s="1"/>
  <c r="BO239" i="31" a="1"/>
  <c r="BO239" i="31" s="1"/>
  <c r="BP239" i="31" a="1"/>
  <c r="BP239" i="31" s="1"/>
  <c r="BQ239" i="31" a="1"/>
  <c r="BQ239" i="31" s="1"/>
  <c r="BR239" i="31" a="1"/>
  <c r="BR239" i="31" s="1"/>
  <c r="BS239" i="31" a="1"/>
  <c r="BS239" i="31" s="1"/>
  <c r="BT239" i="31" a="1"/>
  <c r="BT239" i="31" s="1"/>
  <c r="BU239" i="31" a="1"/>
  <c r="BU239" i="31" s="1"/>
  <c r="BV239" i="31" a="1"/>
  <c r="BV239" i="31" s="1"/>
  <c r="BW239" i="31" a="1"/>
  <c r="BW239" i="31" s="1"/>
  <c r="BX239" i="31" a="1"/>
  <c r="BX239" i="31" s="1"/>
  <c r="BY239" i="31" a="1"/>
  <c r="BY239" i="31" s="1"/>
  <c r="BZ239" i="31" a="1"/>
  <c r="BZ239" i="31" s="1"/>
  <c r="CA239" i="31" a="1"/>
  <c r="CA239" i="31" s="1"/>
  <c r="CC239" i="31" a="1"/>
  <c r="CC239" i="31" s="1"/>
  <c r="BR224" i="31" a="1"/>
  <c r="BR224" i="31" s="1"/>
  <c r="BS224" i="31" a="1"/>
  <c r="BS224" i="31" s="1"/>
  <c r="BT224" i="31" a="1"/>
  <c r="BT224" i="31" s="1"/>
  <c r="BU224" i="31" a="1"/>
  <c r="BU224" i="31" s="1"/>
  <c r="BV224" i="31" a="1"/>
  <c r="BV224" i="31" s="1"/>
  <c r="BW224" i="31" a="1"/>
  <c r="BW224" i="31" s="1"/>
  <c r="BX224" i="31" a="1"/>
  <c r="BX224" i="31" s="1"/>
  <c r="BY224" i="31" a="1"/>
  <c r="BY224" i="31" s="1"/>
  <c r="BZ224" i="31" a="1"/>
  <c r="BZ224" i="31" s="1"/>
  <c r="CA224" i="31" a="1"/>
  <c r="CA224" i="31" s="1"/>
  <c r="CB224" i="31" a="1"/>
  <c r="CB224" i="31" s="1"/>
  <c r="CC224" i="31" a="1"/>
  <c r="CC224" i="31" s="1"/>
  <c r="BG213" i="31" a="1"/>
  <c r="BG213" i="31" s="1"/>
  <c r="BH213" i="31" a="1"/>
  <c r="BH213" i="31" s="1"/>
  <c r="BI213" i="31" a="1"/>
  <c r="BI213" i="31" s="1"/>
  <c r="BJ213" i="31" a="1"/>
  <c r="BJ213" i="31" s="1"/>
  <c r="BK213" i="31" a="1"/>
  <c r="BK213" i="31" s="1"/>
  <c r="BL213" i="31" a="1"/>
  <c r="BL213" i="31" s="1"/>
  <c r="BM213" i="31" a="1"/>
  <c r="BM213" i="31" s="1"/>
  <c r="BN213" i="31" a="1"/>
  <c r="BN213" i="31" s="1"/>
  <c r="BO213" i="31" a="1"/>
  <c r="BO213" i="31" s="1"/>
  <c r="BP213" i="31" a="1"/>
  <c r="BP213" i="31" s="1"/>
  <c r="BQ213" i="31" a="1"/>
  <c r="BQ213" i="31" s="1"/>
  <c r="BR213" i="31" a="1"/>
  <c r="BR213" i="31" s="1"/>
  <c r="BS213" i="31" a="1"/>
  <c r="BS213" i="31" s="1"/>
  <c r="BT213" i="31" a="1"/>
  <c r="BT213" i="31" s="1"/>
  <c r="BU213" i="31" a="1"/>
  <c r="BU213" i="31" s="1"/>
  <c r="BV213" i="31" a="1"/>
  <c r="BV213" i="31" s="1"/>
  <c r="BW213" i="31" a="1"/>
  <c r="BW213" i="31" s="1"/>
  <c r="BX213" i="31" a="1"/>
  <c r="BX213" i="31" s="1"/>
  <c r="BY213" i="31" a="1"/>
  <c r="BY213" i="31" s="1"/>
  <c r="BZ213" i="31" a="1"/>
  <c r="BZ213" i="31" s="1"/>
  <c r="CA213" i="31" a="1"/>
  <c r="CA213" i="31" s="1"/>
  <c r="CB213" i="31" a="1"/>
  <c r="CB213" i="31" s="1"/>
  <c r="CC213" i="31" a="1"/>
  <c r="CC213" i="31" s="1"/>
  <c r="AJ190" i="31" a="1"/>
  <c r="AJ190" i="31" s="1"/>
  <c r="AK190" i="31" a="1"/>
  <c r="AK190" i="31" s="1"/>
  <c r="AL190" i="31" a="1"/>
  <c r="AL190" i="31" s="1"/>
  <c r="AM190" i="31" a="1"/>
  <c r="AM190" i="31" s="1"/>
  <c r="AN190" i="31" a="1"/>
  <c r="AN190" i="31" s="1"/>
  <c r="AO190" i="31" a="1"/>
  <c r="AO190" i="31" s="1"/>
  <c r="AP190" i="31" a="1"/>
  <c r="AP190" i="31" s="1"/>
  <c r="AQ190" i="31" a="1"/>
  <c r="AQ190" i="31" s="1"/>
  <c r="AR190" i="31" a="1"/>
  <c r="AR190" i="31" s="1"/>
  <c r="AS190" i="31" a="1"/>
  <c r="AS190" i="31" s="1"/>
  <c r="AT190" i="31" a="1"/>
  <c r="AT190" i="31" s="1"/>
  <c r="AU190" i="31" a="1"/>
  <c r="AU190" i="31" s="1"/>
  <c r="AV190" i="31" a="1"/>
  <c r="AV190" i="31" s="1"/>
  <c r="AW190" i="31" a="1"/>
  <c r="AW190" i="31" s="1"/>
  <c r="AX190" i="31" a="1"/>
  <c r="AX190" i="31" s="1"/>
  <c r="AY190" i="31" a="1"/>
  <c r="AY190" i="31" s="1"/>
  <c r="AZ190" i="31" a="1"/>
  <c r="AZ190" i="31" s="1"/>
  <c r="BA190" i="31" a="1"/>
  <c r="BA190" i="31" s="1"/>
  <c r="BB190" i="31" a="1"/>
  <c r="BB190" i="31" s="1"/>
  <c r="BC190" i="31" a="1"/>
  <c r="BC190" i="31" s="1"/>
  <c r="BD190" i="31" a="1"/>
  <c r="BD190" i="31" s="1"/>
  <c r="BE190" i="31" a="1"/>
  <c r="BE190" i="31" s="1"/>
  <c r="BF190" i="31" a="1"/>
  <c r="BF190" i="31" s="1"/>
  <c r="BG190" i="31" a="1"/>
  <c r="BG190" i="31" s="1"/>
  <c r="BH190" i="31" a="1"/>
  <c r="BH190" i="31" s="1"/>
  <c r="BI190" i="31" a="1"/>
  <c r="BI190" i="31" s="1"/>
  <c r="BJ190" i="31" a="1"/>
  <c r="BJ190" i="31" s="1"/>
  <c r="BK190" i="31" a="1"/>
  <c r="BK190" i="31" s="1"/>
  <c r="BL190" i="31" a="1"/>
  <c r="BL190" i="31" s="1"/>
  <c r="BM190" i="31" a="1"/>
  <c r="BM190" i="31" s="1"/>
  <c r="BN190" i="31" a="1"/>
  <c r="BN190" i="31" s="1"/>
  <c r="BO190" i="31" a="1"/>
  <c r="BO190" i="31" s="1"/>
  <c r="BP190" i="31" a="1"/>
  <c r="BP190" i="31" s="1"/>
  <c r="BQ190" i="31" a="1"/>
  <c r="BQ190" i="31" s="1"/>
  <c r="BR190" i="31" a="1"/>
  <c r="BR190" i="31" s="1"/>
  <c r="BS190" i="31" a="1"/>
  <c r="BS190" i="31" s="1"/>
  <c r="BT190" i="31" a="1"/>
  <c r="BT190" i="31" s="1"/>
  <c r="BU190" i="31" a="1"/>
  <c r="BU190" i="31" s="1"/>
  <c r="BV190" i="31" a="1"/>
  <c r="BV190" i="31" s="1"/>
  <c r="BW190" i="31" a="1"/>
  <c r="BW190" i="31" s="1"/>
  <c r="BX190" i="31" a="1"/>
  <c r="BX190" i="31" s="1"/>
  <c r="BY190" i="31" a="1"/>
  <c r="BY190" i="31" s="1"/>
  <c r="BZ190" i="31" a="1"/>
  <c r="BZ190" i="31" s="1"/>
  <c r="CA190" i="31" a="1"/>
  <c r="CA190" i="31" s="1"/>
  <c r="CB190" i="31" a="1"/>
  <c r="CB190" i="31" s="1"/>
  <c r="CC190" i="31" a="1"/>
  <c r="CC190" i="31" s="1"/>
  <c r="BS174" i="31" a="1"/>
  <c r="BS174" i="31" s="1"/>
  <c r="BT174" i="31" a="1"/>
  <c r="BT174" i="31" s="1"/>
  <c r="BU174" i="31" a="1"/>
  <c r="BU174" i="31" s="1"/>
  <c r="BV174" i="31" a="1"/>
  <c r="BV174" i="31" s="1"/>
  <c r="BW174" i="31" a="1"/>
  <c r="BW174" i="31" s="1"/>
  <c r="BX174" i="31" a="1"/>
  <c r="BX174" i="31" s="1"/>
  <c r="BY174" i="31" a="1"/>
  <c r="BY174" i="31" s="1"/>
  <c r="BZ174" i="31" a="1"/>
  <c r="BZ174" i="31" s="1"/>
  <c r="CA174" i="31" a="1"/>
  <c r="CA174" i="31" s="1"/>
  <c r="CB174" i="31" a="1"/>
  <c r="CB174" i="31" s="1"/>
  <c r="CC174" i="31" a="1"/>
  <c r="CC174" i="31" s="1"/>
  <c r="BP69" i="31" a="1"/>
  <c r="BP69" i="31" s="1"/>
  <c r="BQ69" i="31" a="1"/>
  <c r="BQ69" i="31" s="1"/>
  <c r="BR69" i="31" a="1"/>
  <c r="BR69" i="31" s="1"/>
  <c r="BS69" i="31" a="1"/>
  <c r="BS69" i="31" s="1"/>
  <c r="BT69" i="31" a="1"/>
  <c r="BT69" i="31" s="1"/>
  <c r="BU69" i="31" a="1"/>
  <c r="BU69" i="31" s="1"/>
  <c r="BV69" i="31" a="1"/>
  <c r="BV69" i="31" s="1"/>
  <c r="BW69" i="31" a="1"/>
  <c r="BW69" i="31" s="1"/>
  <c r="BX69" i="31" a="1"/>
  <c r="BX69" i="31" s="1"/>
  <c r="BY69" i="31" a="1"/>
  <c r="BY69" i="31" s="1"/>
  <c r="BZ69" i="31" a="1"/>
  <c r="BZ69" i="31" s="1"/>
  <c r="CA69" i="31" a="1"/>
  <c r="CA69" i="31" s="1"/>
  <c r="CB69" i="31" a="1"/>
  <c r="CB69" i="31" s="1"/>
  <c r="CC69" i="31" a="1"/>
  <c r="CC69" i="31" s="1"/>
  <c r="AX102" i="31" a="1"/>
  <c r="AX102" i="31" s="1"/>
  <c r="AY102" i="31" a="1"/>
  <c r="AY102" i="31" s="1"/>
  <c r="AZ102" i="31" a="1"/>
  <c r="AZ102" i="31" s="1"/>
  <c r="BA102" i="31" a="1"/>
  <c r="BA102" i="31" s="1"/>
  <c r="BB102" i="31" a="1"/>
  <c r="BB102" i="31" s="1"/>
  <c r="BC102" i="31" a="1"/>
  <c r="BC102" i="31" s="1"/>
  <c r="BD102" i="31" a="1"/>
  <c r="BD102" i="31" s="1"/>
  <c r="BE102" i="31" a="1"/>
  <c r="BE102" i="31" s="1"/>
  <c r="BF102" i="31" a="1"/>
  <c r="BF102" i="31" s="1"/>
  <c r="BG102" i="31" a="1"/>
  <c r="BG102" i="31" s="1"/>
  <c r="BH102" i="31" a="1"/>
  <c r="BH102" i="31" s="1"/>
  <c r="BI102" i="31" a="1"/>
  <c r="BI102" i="31" s="1"/>
  <c r="BJ102" i="31" a="1"/>
  <c r="BJ102" i="31" s="1"/>
  <c r="BK102" i="31" a="1"/>
  <c r="BK102" i="31" s="1"/>
  <c r="BL102" i="31" a="1"/>
  <c r="BL102" i="31" s="1"/>
  <c r="BM102" i="31" a="1"/>
  <c r="BM102" i="31" s="1"/>
  <c r="BN102" i="31" a="1"/>
  <c r="BN102" i="31" s="1"/>
  <c r="BO102" i="31" a="1"/>
  <c r="BO102" i="31" s="1"/>
  <c r="BP102" i="31" a="1"/>
  <c r="BP102" i="31" s="1"/>
  <c r="BQ102" i="31" a="1"/>
  <c r="BQ102" i="31" s="1"/>
  <c r="BR102" i="31" a="1"/>
  <c r="BR102" i="31" s="1"/>
  <c r="BS102" i="31" a="1"/>
  <c r="BS102" i="31" s="1"/>
  <c r="BT102" i="31" a="1"/>
  <c r="BT102" i="31" s="1"/>
  <c r="BU102" i="31" a="1"/>
  <c r="BU102" i="31" s="1"/>
  <c r="BV102" i="31" a="1"/>
  <c r="BV102" i="31" s="1"/>
  <c r="BW102" i="31" a="1"/>
  <c r="BW102" i="31" s="1"/>
  <c r="BX102" i="31" a="1"/>
  <c r="BX102" i="31" s="1"/>
  <c r="BY102" i="31" a="1"/>
  <c r="BY102" i="31" s="1"/>
  <c r="BZ102" i="31" a="1"/>
  <c r="BZ102" i="31" s="1"/>
  <c r="CA102" i="31" a="1"/>
  <c r="CA102" i="31" s="1"/>
  <c r="CB102" i="31" a="1"/>
  <c r="CB102" i="31" s="1"/>
  <c r="CC102" i="31" a="1"/>
  <c r="CC102" i="31" s="1"/>
  <c r="BR71" i="31" a="1"/>
  <c r="BR71" i="31" s="1"/>
  <c r="BS71" i="31" a="1"/>
  <c r="BS71" i="31" s="1"/>
  <c r="BT71" i="31" a="1"/>
  <c r="BT71" i="31" s="1"/>
  <c r="BU71" i="31" a="1"/>
  <c r="BU71" i="31" s="1"/>
  <c r="BV71" i="31" a="1"/>
  <c r="BV71" i="31" s="1"/>
  <c r="BW71" i="31" a="1"/>
  <c r="BW71" i="31" s="1"/>
  <c r="BX71" i="31" a="1"/>
  <c r="BX71" i="31" s="1"/>
  <c r="BY71" i="31" a="1"/>
  <c r="BY71" i="31" s="1"/>
  <c r="BZ71" i="31" a="1"/>
  <c r="BZ71" i="31" s="1"/>
  <c r="CA71" i="31" a="1"/>
  <c r="CA71" i="31" s="1"/>
  <c r="CB71" i="31" a="1"/>
  <c r="CB71" i="31" s="1"/>
  <c r="CC71" i="31" a="1"/>
  <c r="CC71" i="31" s="1"/>
  <c r="BJ63" i="31" a="1"/>
  <c r="BJ63" i="31" s="1"/>
  <c r="BK63" i="31" a="1"/>
  <c r="BK63" i="31" s="1"/>
  <c r="BL63" i="31" a="1"/>
  <c r="BL63" i="31" s="1"/>
  <c r="BM63" i="31" a="1"/>
  <c r="BM63" i="31" s="1"/>
  <c r="BN63" i="31" a="1"/>
  <c r="BN63" i="31" s="1"/>
  <c r="BO63" i="31" a="1"/>
  <c r="BO63" i="31" s="1"/>
  <c r="BP63" i="31" a="1"/>
  <c r="BP63" i="31" s="1"/>
  <c r="BQ63" i="31" a="1"/>
  <c r="BQ63" i="31" s="1"/>
  <c r="BR63" i="31" a="1"/>
  <c r="BR63" i="31" s="1"/>
  <c r="BS63" i="31" a="1"/>
  <c r="BS63" i="31" s="1"/>
  <c r="BT63" i="31" a="1"/>
  <c r="BT63" i="31" s="1"/>
  <c r="BU63" i="31" a="1"/>
  <c r="BU63" i="31" s="1"/>
  <c r="BV63" i="31" a="1"/>
  <c r="BV63" i="31" s="1"/>
  <c r="BW63" i="31" a="1"/>
  <c r="BW63" i="31" s="1"/>
  <c r="BX63" i="31" a="1"/>
  <c r="BX63" i="31" s="1"/>
  <c r="BY63" i="31" a="1"/>
  <c r="BY63" i="31" s="1"/>
  <c r="BZ63" i="31" a="1"/>
  <c r="BZ63" i="31" s="1"/>
  <c r="CA63" i="31" a="1"/>
  <c r="CA63" i="31" s="1"/>
  <c r="CB63" i="31" a="1"/>
  <c r="CB63" i="31" s="1"/>
  <c r="CC63" i="31" a="1"/>
  <c r="CC63" i="31" s="1"/>
  <c r="CA80" i="31" a="1"/>
  <c r="CA80" i="31" s="1"/>
  <c r="CB80" i="31" a="1"/>
  <c r="CB80" i="31" s="1"/>
  <c r="CC80" i="31" a="1"/>
  <c r="CC80" i="31" s="1"/>
  <c r="AW50" i="31" a="1"/>
  <c r="AW50" i="31" s="1"/>
  <c r="AX50" i="31" a="1"/>
  <c r="AX50" i="31" s="1"/>
  <c r="AY50" i="31" a="1"/>
  <c r="AY50" i="31" s="1"/>
  <c r="AZ50" i="31" a="1"/>
  <c r="AZ50" i="31" s="1"/>
  <c r="BA50" i="31" a="1"/>
  <c r="BA50" i="31" s="1"/>
  <c r="BB50" i="31" a="1"/>
  <c r="BB50" i="31" s="1"/>
  <c r="BC50" i="31" a="1"/>
  <c r="BC50" i="31" s="1"/>
  <c r="BD50" i="31" a="1"/>
  <c r="BD50" i="31" s="1"/>
  <c r="BE50" i="31" a="1"/>
  <c r="BE50" i="31" s="1"/>
  <c r="BF50" i="31" a="1"/>
  <c r="BF50" i="31" s="1"/>
  <c r="BG50" i="31" a="1"/>
  <c r="BG50" i="31" s="1"/>
  <c r="BH50" i="31" a="1"/>
  <c r="BH50" i="31" s="1"/>
  <c r="BI50" i="31" a="1"/>
  <c r="BI50" i="31" s="1"/>
  <c r="BJ50" i="31" a="1"/>
  <c r="BJ50" i="31" s="1"/>
  <c r="BK50" i="31" a="1"/>
  <c r="BK50" i="31" s="1"/>
  <c r="BL50" i="31" a="1"/>
  <c r="BL50" i="31" s="1"/>
  <c r="BM50" i="31" a="1"/>
  <c r="BM50" i="31" s="1"/>
  <c r="BN50" i="31" a="1"/>
  <c r="BN50" i="31" s="1"/>
  <c r="BO50" i="31" a="1"/>
  <c r="BO50" i="31" s="1"/>
  <c r="BP50" i="31" a="1"/>
  <c r="BP50" i="31" s="1"/>
  <c r="BQ50" i="31" a="1"/>
  <c r="BQ50" i="31" s="1"/>
  <c r="BR50" i="31" a="1"/>
  <c r="BR50" i="31" s="1"/>
  <c r="BS50" i="31" a="1"/>
  <c r="BS50" i="31" s="1"/>
  <c r="BT50" i="31" a="1"/>
  <c r="BT50" i="31" s="1"/>
  <c r="BU50" i="31" a="1"/>
  <c r="BU50" i="31" s="1"/>
  <c r="BV50" i="31" a="1"/>
  <c r="BV50" i="31" s="1"/>
  <c r="BW50" i="31" a="1"/>
  <c r="BW50" i="31" s="1"/>
  <c r="BX50" i="31" a="1"/>
  <c r="BX50" i="31" s="1"/>
  <c r="BY50" i="31" a="1"/>
  <c r="BY50" i="31" s="1"/>
  <c r="BZ50" i="31" a="1"/>
  <c r="BZ50" i="31" s="1"/>
  <c r="CA50" i="31" a="1"/>
  <c r="CA50" i="31" s="1"/>
  <c r="CB50" i="31" a="1"/>
  <c r="CB50" i="31" s="1"/>
  <c r="CC50" i="31" a="1"/>
  <c r="CC50" i="31" s="1"/>
  <c r="AI87" i="31" a="1"/>
  <c r="AI87" i="31" s="1"/>
  <c r="AJ87" i="31" a="1"/>
  <c r="AJ87" i="31" s="1"/>
  <c r="AK87" i="31" a="1"/>
  <c r="AK87" i="31" s="1"/>
  <c r="AL87" i="31" a="1"/>
  <c r="AL87" i="31" s="1"/>
  <c r="AM87" i="31" a="1"/>
  <c r="AM87" i="31" s="1"/>
  <c r="AN87" i="31" a="1"/>
  <c r="AN87" i="31" s="1"/>
  <c r="AO87" i="31" a="1"/>
  <c r="AO87" i="31" s="1"/>
  <c r="AP87" i="31" a="1"/>
  <c r="AP87" i="31" s="1"/>
  <c r="AQ87" i="31" a="1"/>
  <c r="AQ87" i="31" s="1"/>
  <c r="AR87" i="31" a="1"/>
  <c r="AR87" i="31" s="1"/>
  <c r="AS87" i="31" a="1"/>
  <c r="AS87" i="31" s="1"/>
  <c r="AT87" i="31" a="1"/>
  <c r="AT87" i="31" s="1"/>
  <c r="AU87" i="31" a="1"/>
  <c r="AU87" i="31" s="1"/>
  <c r="AV87" i="31" a="1"/>
  <c r="AV87" i="31" s="1"/>
  <c r="AW87" i="31" a="1"/>
  <c r="AW87" i="31" s="1"/>
  <c r="AX87" i="31" a="1"/>
  <c r="AX87" i="31" s="1"/>
  <c r="AY87" i="31" a="1"/>
  <c r="AY87" i="31" s="1"/>
  <c r="AZ87" i="31" a="1"/>
  <c r="AZ87" i="31" s="1"/>
  <c r="BA87" i="31" a="1"/>
  <c r="BA87" i="31" s="1"/>
  <c r="BB87" i="31" a="1"/>
  <c r="BB87" i="31" s="1"/>
  <c r="BC87" i="31" a="1"/>
  <c r="BC87" i="31" s="1"/>
  <c r="BD87" i="31" a="1"/>
  <c r="BD87" i="31" s="1"/>
  <c r="BE87" i="31" a="1"/>
  <c r="BE87" i="31" s="1"/>
  <c r="BF87" i="31" a="1"/>
  <c r="BF87" i="31" s="1"/>
  <c r="BG87" i="31" a="1"/>
  <c r="BG87" i="31" s="1"/>
  <c r="BH87" i="31" a="1"/>
  <c r="BH87" i="31" s="1"/>
  <c r="BI87" i="31" a="1"/>
  <c r="BI87" i="31" s="1"/>
  <c r="BJ87" i="31" a="1"/>
  <c r="BJ87" i="31" s="1"/>
  <c r="BK87" i="31" a="1"/>
  <c r="BK87" i="31" s="1"/>
  <c r="BL87" i="31" a="1"/>
  <c r="BL87" i="31" s="1"/>
  <c r="BM87" i="31" a="1"/>
  <c r="BM87" i="31" s="1"/>
  <c r="BN87" i="31" a="1"/>
  <c r="BN87" i="31" s="1"/>
  <c r="BO87" i="31" a="1"/>
  <c r="BO87" i="31" s="1"/>
  <c r="BP87" i="31" a="1"/>
  <c r="BP87" i="31" s="1"/>
  <c r="BQ87" i="31" a="1"/>
  <c r="BQ87" i="31" s="1"/>
  <c r="BR87" i="31" a="1"/>
  <c r="BR87" i="31" s="1"/>
  <c r="BS87" i="31" a="1"/>
  <c r="BS87" i="31" s="1"/>
  <c r="BT87" i="31" a="1"/>
  <c r="BT87" i="31" s="1"/>
  <c r="BU87" i="31" a="1"/>
  <c r="BU87" i="31" s="1"/>
  <c r="BV87" i="31" a="1"/>
  <c r="BV87" i="31" s="1"/>
  <c r="BW87" i="31" a="1"/>
  <c r="BW87" i="31" s="1"/>
  <c r="BX87" i="31" a="1"/>
  <c r="BX87" i="31" s="1"/>
  <c r="BY87" i="31" a="1"/>
  <c r="BY87" i="31" s="1"/>
  <c r="BZ87" i="31" a="1"/>
  <c r="BZ87" i="31" s="1"/>
  <c r="CA87" i="31" a="1"/>
  <c r="CA87" i="31" s="1"/>
  <c r="CB87" i="31" a="1"/>
  <c r="CB87" i="31" s="1"/>
  <c r="CC87" i="31" a="1"/>
  <c r="CC87" i="31" s="1"/>
  <c r="AN92" i="31" a="1"/>
  <c r="AN92" i="31" s="1"/>
  <c r="AO92" i="31" a="1"/>
  <c r="AO92" i="31" s="1"/>
  <c r="AP92" i="31" a="1"/>
  <c r="AP92" i="31" s="1"/>
  <c r="AQ92" i="31" a="1"/>
  <c r="AQ92" i="31" s="1"/>
  <c r="AR92" i="31" a="1"/>
  <c r="AR92" i="31" s="1"/>
  <c r="AS92" i="31" a="1"/>
  <c r="AS92" i="31" s="1"/>
  <c r="AT92" i="31" a="1"/>
  <c r="AT92" i="31" s="1"/>
  <c r="AU92" i="31" a="1"/>
  <c r="AU92" i="31" s="1"/>
  <c r="AV92" i="31" a="1"/>
  <c r="AV92" i="31" s="1"/>
  <c r="AW92" i="31" a="1"/>
  <c r="AW92" i="31" s="1"/>
  <c r="AX92" i="31" a="1"/>
  <c r="AX92" i="31" s="1"/>
  <c r="AY92" i="31" a="1"/>
  <c r="AY92" i="31" s="1"/>
  <c r="AZ92" i="31" a="1"/>
  <c r="AZ92" i="31" s="1"/>
  <c r="BA92" i="31" a="1"/>
  <c r="BA92" i="31" s="1"/>
  <c r="BB92" i="31" a="1"/>
  <c r="BB92" i="31" s="1"/>
  <c r="BC92" i="31" a="1"/>
  <c r="BC92" i="31" s="1"/>
  <c r="BD92" i="31" a="1"/>
  <c r="BD92" i="31" s="1"/>
  <c r="BE92" i="31" a="1"/>
  <c r="BE92" i="31" s="1"/>
  <c r="BF92" i="31" a="1"/>
  <c r="BF92" i="31" s="1"/>
  <c r="BG92" i="31" a="1"/>
  <c r="BG92" i="31" s="1"/>
  <c r="BH92" i="31" a="1"/>
  <c r="BH92" i="31" s="1"/>
  <c r="BI92" i="31" a="1"/>
  <c r="BI92" i="31" s="1"/>
  <c r="BJ92" i="31" a="1"/>
  <c r="BJ92" i="31" s="1"/>
  <c r="BK92" i="31" a="1"/>
  <c r="BK92" i="31" s="1"/>
  <c r="BL92" i="31" a="1"/>
  <c r="BL92" i="31" s="1"/>
  <c r="BM92" i="31" a="1"/>
  <c r="BM92" i="31" s="1"/>
  <c r="BN92" i="31" a="1"/>
  <c r="BN92" i="31" s="1"/>
  <c r="BO92" i="31" a="1"/>
  <c r="BO92" i="31" s="1"/>
  <c r="BP92" i="31" a="1"/>
  <c r="BP92" i="31" s="1"/>
  <c r="BQ92" i="31" a="1"/>
  <c r="BQ92" i="31" s="1"/>
  <c r="BR92" i="31" a="1"/>
  <c r="BR92" i="31" s="1"/>
  <c r="BS92" i="31" a="1"/>
  <c r="BS92" i="31" s="1"/>
  <c r="BT92" i="31" a="1"/>
  <c r="BT92" i="31" s="1"/>
  <c r="BU92" i="31" a="1"/>
  <c r="BU92" i="31" s="1"/>
  <c r="BV92" i="31" a="1"/>
  <c r="BV92" i="31" s="1"/>
  <c r="BW92" i="31" a="1"/>
  <c r="BW92" i="31" s="1"/>
  <c r="BX92" i="31" a="1"/>
  <c r="BX92" i="31" s="1"/>
  <c r="BY92" i="31" a="1"/>
  <c r="BY92" i="31" s="1"/>
  <c r="BZ92" i="31" a="1"/>
  <c r="BZ92" i="31" s="1"/>
  <c r="CA92" i="31" a="1"/>
  <c r="CA92" i="31" s="1"/>
  <c r="CB92" i="31" a="1"/>
  <c r="CB92" i="31" s="1"/>
  <c r="CC92" i="31" a="1"/>
  <c r="CC92" i="31" s="1"/>
  <c r="AI36" i="31" a="1"/>
  <c r="AI36" i="31" s="1"/>
  <c r="AJ36" i="31" a="1"/>
  <c r="AJ36" i="31" s="1"/>
  <c r="AK36" i="31" a="1"/>
  <c r="AK36" i="31" s="1"/>
  <c r="AL36" i="31" a="1"/>
  <c r="AL36" i="31" s="1"/>
  <c r="AM36" i="31" a="1"/>
  <c r="AM36" i="31" s="1"/>
  <c r="AN36" i="31" a="1"/>
  <c r="AN36" i="31" s="1"/>
  <c r="AO36" i="31" a="1"/>
  <c r="AO36" i="31" s="1"/>
  <c r="AP36" i="31" a="1"/>
  <c r="AP36" i="31" s="1"/>
  <c r="AQ36" i="31" a="1"/>
  <c r="AQ36" i="31" s="1"/>
  <c r="AR36" i="31" a="1"/>
  <c r="AR36" i="31" s="1"/>
  <c r="AS36" i="31" a="1"/>
  <c r="AS36" i="31" s="1"/>
  <c r="AT36" i="31" a="1"/>
  <c r="AT36" i="31" s="1"/>
  <c r="AU36" i="31" a="1"/>
  <c r="AU36" i="31" s="1"/>
  <c r="AV36" i="31" a="1"/>
  <c r="AV36" i="31" s="1"/>
  <c r="AW36" i="31" a="1"/>
  <c r="AW36" i="31" s="1"/>
  <c r="AX36" i="31" a="1"/>
  <c r="AX36" i="31" s="1"/>
  <c r="AY36" i="31" a="1"/>
  <c r="AY36" i="31" s="1"/>
  <c r="AZ36" i="31" a="1"/>
  <c r="AZ36" i="31" s="1"/>
  <c r="BA36" i="31" a="1"/>
  <c r="BA36" i="31" s="1"/>
  <c r="BB36" i="31" a="1"/>
  <c r="BB36" i="31" s="1"/>
  <c r="BC36" i="31" a="1"/>
  <c r="BC36" i="31" s="1"/>
  <c r="BD36" i="31" a="1"/>
  <c r="BD36" i="31" s="1"/>
  <c r="BE36" i="31" a="1"/>
  <c r="BE36" i="31" s="1"/>
  <c r="BF36" i="31" a="1"/>
  <c r="BF36" i="31" s="1"/>
  <c r="BG36" i="31" a="1"/>
  <c r="BG36" i="31" s="1"/>
  <c r="BH36" i="31" a="1"/>
  <c r="BH36" i="31" s="1"/>
  <c r="BI36" i="31" a="1"/>
  <c r="BI36" i="31" s="1"/>
  <c r="BJ36" i="31" a="1"/>
  <c r="BJ36" i="31" s="1"/>
  <c r="BK36" i="31" a="1"/>
  <c r="BK36" i="31" s="1"/>
  <c r="BL36" i="31" a="1"/>
  <c r="BL36" i="31" s="1"/>
  <c r="BM36" i="31" a="1"/>
  <c r="BM36" i="31" s="1"/>
  <c r="BN36" i="31" a="1"/>
  <c r="BN36" i="31" s="1"/>
  <c r="BO36" i="31" a="1"/>
  <c r="BO36" i="31" s="1"/>
  <c r="BP36" i="31" a="1"/>
  <c r="BP36" i="31" s="1"/>
  <c r="BQ36" i="31" a="1"/>
  <c r="BQ36" i="31" s="1"/>
  <c r="BR36" i="31" a="1"/>
  <c r="BR36" i="31" s="1"/>
  <c r="BS36" i="31" a="1"/>
  <c r="BS36" i="31" s="1"/>
  <c r="BT36" i="31" a="1"/>
  <c r="BT36" i="31" s="1"/>
  <c r="BU36" i="31" a="1"/>
  <c r="BU36" i="31" s="1"/>
  <c r="BV36" i="31" a="1"/>
  <c r="BV36" i="31" s="1"/>
  <c r="BW36" i="31" a="1"/>
  <c r="BW36" i="31" s="1"/>
  <c r="BX36" i="31" a="1"/>
  <c r="BX36" i="31" s="1"/>
  <c r="BY36" i="31" a="1"/>
  <c r="BY36" i="31" s="1"/>
  <c r="BZ36" i="31" a="1"/>
  <c r="BZ36" i="31" s="1"/>
  <c r="CA36" i="31" a="1"/>
  <c r="CA36" i="31" s="1"/>
  <c r="CB36" i="31" a="1"/>
  <c r="CB36" i="31" s="1"/>
  <c r="CC36" i="31" a="1"/>
  <c r="CC36" i="31" s="1"/>
  <c r="BT124" i="31" a="1"/>
  <c r="BT124" i="31" s="1"/>
  <c r="BU124" i="31" a="1"/>
  <c r="BU124" i="31" s="1"/>
  <c r="BV124" i="31" a="1"/>
  <c r="BV124" i="31" s="1"/>
  <c r="BW124" i="31" a="1"/>
  <c r="BW124" i="31" s="1"/>
  <c r="BX124" i="31" a="1"/>
  <c r="BX124" i="31" s="1"/>
  <c r="BY124" i="31" a="1"/>
  <c r="BY124" i="31" s="1"/>
  <c r="BZ124" i="31" a="1"/>
  <c r="BZ124" i="31" s="1"/>
  <c r="CA124" i="31" a="1"/>
  <c r="CA124" i="31" s="1"/>
  <c r="CB124" i="31" a="1"/>
  <c r="CB124" i="31" s="1"/>
  <c r="CC124" i="31" a="1"/>
  <c r="CC124" i="31" s="1"/>
  <c r="AR96" i="31" a="1"/>
  <c r="AR96" i="31" s="1"/>
  <c r="AS96" i="31" a="1"/>
  <c r="AS96" i="31" s="1"/>
  <c r="AT96" i="31" a="1"/>
  <c r="AT96" i="31" s="1"/>
  <c r="AU96" i="31" a="1"/>
  <c r="AU96" i="31" s="1"/>
  <c r="AV96" i="31" a="1"/>
  <c r="AV96" i="31" s="1"/>
  <c r="AW96" i="31" a="1"/>
  <c r="AW96" i="31" s="1"/>
  <c r="AX96" i="31" a="1"/>
  <c r="AX96" i="31" s="1"/>
  <c r="AY96" i="31" a="1"/>
  <c r="AY96" i="31" s="1"/>
  <c r="AZ96" i="31" a="1"/>
  <c r="AZ96" i="31" s="1"/>
  <c r="BA96" i="31" a="1"/>
  <c r="BA96" i="31" s="1"/>
  <c r="BB96" i="31" a="1"/>
  <c r="BB96" i="31" s="1"/>
  <c r="BC96" i="31" a="1"/>
  <c r="BC96" i="31" s="1"/>
  <c r="BD96" i="31" a="1"/>
  <c r="BD96" i="31" s="1"/>
  <c r="BE96" i="31" a="1"/>
  <c r="BE96" i="31" s="1"/>
  <c r="BF96" i="31" a="1"/>
  <c r="BF96" i="31" s="1"/>
  <c r="BG96" i="31" a="1"/>
  <c r="BG96" i="31" s="1"/>
  <c r="BH96" i="31" a="1"/>
  <c r="BH96" i="31" s="1"/>
  <c r="BI96" i="31" a="1"/>
  <c r="BI96" i="31" s="1"/>
  <c r="BJ96" i="31" a="1"/>
  <c r="BJ96" i="31" s="1"/>
  <c r="BK96" i="31" a="1"/>
  <c r="BK96" i="31" s="1"/>
  <c r="BL96" i="31" a="1"/>
  <c r="BL96" i="31" s="1"/>
  <c r="BM96" i="31" a="1"/>
  <c r="BM96" i="31" s="1"/>
  <c r="BN96" i="31" a="1"/>
  <c r="BN96" i="31" s="1"/>
  <c r="BO96" i="31" a="1"/>
  <c r="BO96" i="31" s="1"/>
  <c r="BP96" i="31" a="1"/>
  <c r="BP96" i="31" s="1"/>
  <c r="BQ96" i="31" a="1"/>
  <c r="BQ96" i="31" s="1"/>
  <c r="BR96" i="31" a="1"/>
  <c r="BR96" i="31" s="1"/>
  <c r="BS96" i="31" a="1"/>
  <c r="BS96" i="31" s="1"/>
  <c r="BT96" i="31" a="1"/>
  <c r="BT96" i="31" s="1"/>
  <c r="BU96" i="31" a="1"/>
  <c r="BU96" i="31" s="1"/>
  <c r="BV96" i="31" a="1"/>
  <c r="BV96" i="31" s="1"/>
  <c r="BW96" i="31" a="1"/>
  <c r="BW96" i="31" s="1"/>
  <c r="BX96" i="31" a="1"/>
  <c r="BX96" i="31" s="1"/>
  <c r="BY96" i="31" a="1"/>
  <c r="BY96" i="31" s="1"/>
  <c r="BZ96" i="31" a="1"/>
  <c r="BZ96" i="31" s="1"/>
  <c r="CA96" i="31" a="1"/>
  <c r="CA96" i="31" s="1"/>
  <c r="CB96" i="31" a="1"/>
  <c r="CB96" i="31" s="1"/>
  <c r="CC96" i="31" a="1"/>
  <c r="CC96" i="31" s="1"/>
  <c r="BS270" i="31" a="1"/>
  <c r="BS270" i="31" s="1"/>
  <c r="BM270" i="31" a="1"/>
  <c r="BM270" i="31" s="1"/>
  <c r="BN270" i="31" a="1"/>
  <c r="BN270" i="31" s="1"/>
  <c r="BO270" i="31" a="1"/>
  <c r="BO270" i="31" s="1"/>
  <c r="BP270" i="31" a="1"/>
  <c r="BP270" i="31" s="1"/>
  <c r="BQ270" i="31" a="1"/>
  <c r="BQ270" i="31" s="1"/>
  <c r="BR270" i="31" a="1"/>
  <c r="BR270" i="31" s="1"/>
  <c r="BT270" i="31" a="1"/>
  <c r="BT270" i="31" s="1"/>
  <c r="BU270" i="31" a="1"/>
  <c r="BU270" i="31" s="1"/>
  <c r="BV270" i="31" a="1"/>
  <c r="BV270" i="31" s="1"/>
  <c r="BW270" i="31" a="1"/>
  <c r="BW270" i="31" s="1"/>
  <c r="BX270" i="31" a="1"/>
  <c r="BX270" i="31" s="1"/>
  <c r="BY270" i="31" a="1"/>
  <c r="BY270" i="31" s="1"/>
  <c r="BZ270" i="31" a="1"/>
  <c r="BZ270" i="31" s="1"/>
  <c r="CA270" i="31" a="1"/>
  <c r="CA270" i="31" s="1"/>
  <c r="CB270" i="31" a="1"/>
  <c r="CB270" i="31" s="1"/>
  <c r="CC270" i="31" a="1"/>
  <c r="CC270" i="31" s="1"/>
  <c r="AX247" i="31" a="1"/>
  <c r="AX247" i="31" s="1"/>
  <c r="AP247" i="31" a="1"/>
  <c r="AP247" i="31" s="1"/>
  <c r="AQ247" i="31" a="1"/>
  <c r="AQ247" i="31" s="1"/>
  <c r="AR247" i="31" a="1"/>
  <c r="AR247" i="31" s="1"/>
  <c r="AS247" i="31" a="1"/>
  <c r="AS247" i="31" s="1"/>
  <c r="AT247" i="31" a="1"/>
  <c r="AT247" i="31" s="1"/>
  <c r="AU247" i="31" a="1"/>
  <c r="AU247" i="31" s="1"/>
  <c r="AV247" i="31" a="1"/>
  <c r="AV247" i="31" s="1"/>
  <c r="AW247" i="31" a="1"/>
  <c r="AW247" i="31" s="1"/>
  <c r="AY247" i="31" a="1"/>
  <c r="AY247" i="31" s="1"/>
  <c r="AZ247" i="31" a="1"/>
  <c r="AZ247" i="31" s="1"/>
  <c r="BA247" i="31" a="1"/>
  <c r="BA247" i="31" s="1"/>
  <c r="BB247" i="31" a="1"/>
  <c r="BB247" i="31" s="1"/>
  <c r="BC247" i="31" a="1"/>
  <c r="BC247" i="31" s="1"/>
  <c r="BD247" i="31" a="1"/>
  <c r="BD247" i="31" s="1"/>
  <c r="BE247" i="31" a="1"/>
  <c r="BE247" i="31" s="1"/>
  <c r="BF247" i="31" a="1"/>
  <c r="BF247" i="31" s="1"/>
  <c r="BG247" i="31" a="1"/>
  <c r="BG247" i="31" s="1"/>
  <c r="BH247" i="31" a="1"/>
  <c r="BH247" i="31" s="1"/>
  <c r="BI247" i="31" a="1"/>
  <c r="BI247" i="31" s="1"/>
  <c r="BJ247" i="31" a="1"/>
  <c r="BJ247" i="31" s="1"/>
  <c r="BK247" i="31" a="1"/>
  <c r="BK247" i="31" s="1"/>
  <c r="BL247" i="31" a="1"/>
  <c r="BL247" i="31" s="1"/>
  <c r="BM247" i="31" a="1"/>
  <c r="BM247" i="31" s="1"/>
  <c r="BN247" i="31" a="1"/>
  <c r="BN247" i="31" s="1"/>
  <c r="BO247" i="31" a="1"/>
  <c r="BO247" i="31" s="1"/>
  <c r="BP247" i="31" a="1"/>
  <c r="BP247" i="31" s="1"/>
  <c r="BQ247" i="31" a="1"/>
  <c r="BQ247" i="31" s="1"/>
  <c r="BR247" i="31" a="1"/>
  <c r="BR247" i="31" s="1"/>
  <c r="BS247" i="31" a="1"/>
  <c r="BS247" i="31" s="1"/>
  <c r="BT247" i="31" a="1"/>
  <c r="BT247" i="31" s="1"/>
  <c r="BU247" i="31" a="1"/>
  <c r="BU247" i="31" s="1"/>
  <c r="BV247" i="31" a="1"/>
  <c r="BV247" i="31" s="1"/>
  <c r="BW247" i="31" a="1"/>
  <c r="BW247" i="31" s="1"/>
  <c r="BX247" i="31" a="1"/>
  <c r="BX247" i="31" s="1"/>
  <c r="BY247" i="31" a="1"/>
  <c r="BY247" i="31" s="1"/>
  <c r="BZ247" i="31" a="1"/>
  <c r="BZ247" i="31" s="1"/>
  <c r="CA247" i="31" a="1"/>
  <c r="CA247" i="31" s="1"/>
  <c r="CB247" i="31" a="1"/>
  <c r="CB247" i="31" s="1"/>
  <c r="CC247" i="31" a="1"/>
  <c r="CC247" i="31" s="1"/>
  <c r="AZ155" i="31" a="1"/>
  <c r="AZ155" i="31" s="1"/>
  <c r="BA155" i="31" a="1"/>
  <c r="BA155" i="31" s="1"/>
  <c r="BB155" i="31" a="1"/>
  <c r="BB155" i="31" s="1"/>
  <c r="BC155" i="31" a="1"/>
  <c r="BC155" i="31" s="1"/>
  <c r="BD155" i="31" a="1"/>
  <c r="BD155" i="31" s="1"/>
  <c r="BE155" i="31" a="1"/>
  <c r="BE155" i="31" s="1"/>
  <c r="BF155" i="31" a="1"/>
  <c r="BF155" i="31" s="1"/>
  <c r="BG155" i="31" a="1"/>
  <c r="BG155" i="31" s="1"/>
  <c r="BH155" i="31" a="1"/>
  <c r="BH155" i="31" s="1"/>
  <c r="BI155" i="31" a="1"/>
  <c r="BI155" i="31" s="1"/>
  <c r="BJ155" i="31" a="1"/>
  <c r="BJ155" i="31" s="1"/>
  <c r="BK155" i="31" a="1"/>
  <c r="BK155" i="31" s="1"/>
  <c r="BL155" i="31" a="1"/>
  <c r="BL155" i="31" s="1"/>
  <c r="BM155" i="31" a="1"/>
  <c r="BM155" i="31" s="1"/>
  <c r="BN155" i="31" a="1"/>
  <c r="BN155" i="31" s="1"/>
  <c r="BO155" i="31" a="1"/>
  <c r="BO155" i="31" s="1"/>
  <c r="BP155" i="31" a="1"/>
  <c r="BP155" i="31" s="1"/>
  <c r="BQ155" i="31" a="1"/>
  <c r="BQ155" i="31" s="1"/>
  <c r="BR155" i="31" a="1"/>
  <c r="BR155" i="31" s="1"/>
  <c r="BS155" i="31" a="1"/>
  <c r="BS155" i="31" s="1"/>
  <c r="BT155" i="31" a="1"/>
  <c r="BT155" i="31" s="1"/>
  <c r="BU155" i="31" a="1"/>
  <c r="BU155" i="31" s="1"/>
  <c r="BV155" i="31" a="1"/>
  <c r="BV155" i="31" s="1"/>
  <c r="BW155" i="31" a="1"/>
  <c r="BW155" i="31" s="1"/>
  <c r="BX155" i="31" a="1"/>
  <c r="BX155" i="31" s="1"/>
  <c r="BY155" i="31" a="1"/>
  <c r="BY155" i="31" s="1"/>
  <c r="BZ155" i="31" a="1"/>
  <c r="BZ155" i="31" s="1"/>
  <c r="CA155" i="31" a="1"/>
  <c r="CA155" i="31" s="1"/>
  <c r="CB155" i="31" a="1"/>
  <c r="CB155" i="31" s="1"/>
  <c r="CC155" i="31" a="1"/>
  <c r="CC155" i="31" s="1"/>
  <c r="BV245" i="31" a="1"/>
  <c r="BV245" i="31" s="1"/>
  <c r="AN245" i="31" a="1"/>
  <c r="AN245" i="31" s="1"/>
  <c r="AO245" i="31" a="1"/>
  <c r="AO245" i="31" s="1"/>
  <c r="AP245" i="31" a="1"/>
  <c r="AP245" i="31" s="1"/>
  <c r="AQ245" i="31" a="1"/>
  <c r="AQ245" i="31" s="1"/>
  <c r="AR245" i="31" a="1"/>
  <c r="AR245" i="31" s="1"/>
  <c r="AS245" i="31" a="1"/>
  <c r="AS245" i="31" s="1"/>
  <c r="AT245" i="31" a="1"/>
  <c r="AT245" i="31" s="1"/>
  <c r="AU245" i="31" a="1"/>
  <c r="AU245" i="31" s="1"/>
  <c r="AV245" i="31" a="1"/>
  <c r="AV245" i="31" s="1"/>
  <c r="AW245" i="31" a="1"/>
  <c r="AW245" i="31" s="1"/>
  <c r="AX245" i="31" a="1"/>
  <c r="AX245" i="31" s="1"/>
  <c r="AY245" i="31" a="1"/>
  <c r="AY245" i="31" s="1"/>
  <c r="AZ245" i="31" a="1"/>
  <c r="AZ245" i="31" s="1"/>
  <c r="BA245" i="31" a="1"/>
  <c r="BA245" i="31" s="1"/>
  <c r="BB245" i="31" a="1"/>
  <c r="BB245" i="31" s="1"/>
  <c r="BC245" i="31" a="1"/>
  <c r="BC245" i="31" s="1"/>
  <c r="BD245" i="31" a="1"/>
  <c r="BD245" i="31" s="1"/>
  <c r="BE245" i="31" a="1"/>
  <c r="BE245" i="31" s="1"/>
  <c r="BF245" i="31" a="1"/>
  <c r="BF245" i="31" s="1"/>
  <c r="BG245" i="31" a="1"/>
  <c r="BG245" i="31" s="1"/>
  <c r="BH245" i="31" a="1"/>
  <c r="BH245" i="31" s="1"/>
  <c r="BI245" i="31" a="1"/>
  <c r="BI245" i="31" s="1"/>
  <c r="BJ245" i="31" a="1"/>
  <c r="BJ245" i="31" s="1"/>
  <c r="BK245" i="31" a="1"/>
  <c r="BK245" i="31" s="1"/>
  <c r="BL245" i="31" a="1"/>
  <c r="BL245" i="31" s="1"/>
  <c r="BM245" i="31" a="1"/>
  <c r="BM245" i="31" s="1"/>
  <c r="BN245" i="31" a="1"/>
  <c r="BN245" i="31" s="1"/>
  <c r="BO245" i="31" a="1"/>
  <c r="BO245" i="31" s="1"/>
  <c r="BP245" i="31" a="1"/>
  <c r="BP245" i="31" s="1"/>
  <c r="BQ245" i="31" a="1"/>
  <c r="BQ245" i="31" s="1"/>
  <c r="BR245" i="31" a="1"/>
  <c r="BR245" i="31" s="1"/>
  <c r="BS245" i="31" a="1"/>
  <c r="BS245" i="31" s="1"/>
  <c r="BT245" i="31" a="1"/>
  <c r="BT245" i="31" s="1"/>
  <c r="BU245" i="31" a="1"/>
  <c r="BU245" i="31" s="1"/>
  <c r="BW245" i="31" a="1"/>
  <c r="BW245" i="31" s="1"/>
  <c r="BX245" i="31" a="1"/>
  <c r="BX245" i="31" s="1"/>
  <c r="BY245" i="31" a="1"/>
  <c r="BY245" i="31" s="1"/>
  <c r="BZ245" i="31" a="1"/>
  <c r="BZ245" i="31" s="1"/>
  <c r="CA245" i="31" a="1"/>
  <c r="CA245" i="31" s="1"/>
  <c r="CB245" i="31" a="1"/>
  <c r="CB245" i="31" s="1"/>
  <c r="CC245" i="31" a="1"/>
  <c r="CC245" i="31" s="1"/>
  <c r="BP253" i="31" a="1"/>
  <c r="BP253" i="31" s="1"/>
  <c r="AV253" i="31" a="1"/>
  <c r="AV253" i="31" s="1"/>
  <c r="AW253" i="31" a="1"/>
  <c r="AW253" i="31" s="1"/>
  <c r="AX253" i="31" a="1"/>
  <c r="AX253" i="31" s="1"/>
  <c r="AY253" i="31" a="1"/>
  <c r="AY253" i="31" s="1"/>
  <c r="AZ253" i="31" a="1"/>
  <c r="AZ253" i="31" s="1"/>
  <c r="BA253" i="31" a="1"/>
  <c r="BA253" i="31" s="1"/>
  <c r="BB253" i="31" a="1"/>
  <c r="BB253" i="31" s="1"/>
  <c r="BC253" i="31" a="1"/>
  <c r="BC253" i="31" s="1"/>
  <c r="BD253" i="31" a="1"/>
  <c r="BD253" i="31" s="1"/>
  <c r="BE253" i="31" a="1"/>
  <c r="BE253" i="31" s="1"/>
  <c r="BF253" i="31" a="1"/>
  <c r="BF253" i="31" s="1"/>
  <c r="BG253" i="31" a="1"/>
  <c r="BG253" i="31" s="1"/>
  <c r="BH253" i="31" a="1"/>
  <c r="BH253" i="31" s="1"/>
  <c r="BI253" i="31" a="1"/>
  <c r="BI253" i="31" s="1"/>
  <c r="BJ253" i="31" a="1"/>
  <c r="BJ253" i="31" s="1"/>
  <c r="BK253" i="31" a="1"/>
  <c r="BK253" i="31" s="1"/>
  <c r="BL253" i="31" a="1"/>
  <c r="BL253" i="31" s="1"/>
  <c r="BM253" i="31" a="1"/>
  <c r="BM253" i="31" s="1"/>
  <c r="BN253" i="31" a="1"/>
  <c r="BN253" i="31" s="1"/>
  <c r="BO253" i="31" a="1"/>
  <c r="BO253" i="31" s="1"/>
  <c r="BQ253" i="31" a="1"/>
  <c r="BQ253" i="31" s="1"/>
  <c r="BR253" i="31" a="1"/>
  <c r="BR253" i="31" s="1"/>
  <c r="BS253" i="31" a="1"/>
  <c r="BS253" i="31" s="1"/>
  <c r="BT253" i="31" a="1"/>
  <c r="BT253" i="31" s="1"/>
  <c r="BU253" i="31" a="1"/>
  <c r="BU253" i="31" s="1"/>
  <c r="BV253" i="31" a="1"/>
  <c r="BV253" i="31" s="1"/>
  <c r="BW253" i="31" a="1"/>
  <c r="BW253" i="31" s="1"/>
  <c r="BX253" i="31" a="1"/>
  <c r="BX253" i="31" s="1"/>
  <c r="BY253" i="31" a="1"/>
  <c r="BY253" i="31" s="1"/>
  <c r="BZ253" i="31" a="1"/>
  <c r="BZ253" i="31" s="1"/>
  <c r="CA253" i="31" a="1"/>
  <c r="CA253" i="31" s="1"/>
  <c r="CB253" i="31" a="1"/>
  <c r="CB253" i="31" s="1"/>
  <c r="CC253" i="31" a="1"/>
  <c r="CC253" i="31" s="1"/>
  <c r="BX254" i="31" a="1"/>
  <c r="BX254" i="31" s="1"/>
  <c r="AW254" i="31" a="1"/>
  <c r="AW254" i="31" s="1"/>
  <c r="AX254" i="31" a="1"/>
  <c r="AX254" i="31" s="1"/>
  <c r="AY254" i="31" a="1"/>
  <c r="AY254" i="31" s="1"/>
  <c r="AZ254" i="31" a="1"/>
  <c r="AZ254" i="31" s="1"/>
  <c r="BA254" i="31" a="1"/>
  <c r="BA254" i="31" s="1"/>
  <c r="BB254" i="31" a="1"/>
  <c r="BB254" i="31" s="1"/>
  <c r="BC254" i="31" a="1"/>
  <c r="BC254" i="31" s="1"/>
  <c r="BD254" i="31" a="1"/>
  <c r="BD254" i="31" s="1"/>
  <c r="BE254" i="31" a="1"/>
  <c r="BE254" i="31" s="1"/>
  <c r="BF254" i="31" a="1"/>
  <c r="BF254" i="31" s="1"/>
  <c r="BG254" i="31" a="1"/>
  <c r="BG254" i="31" s="1"/>
  <c r="BH254" i="31" a="1"/>
  <c r="BH254" i="31" s="1"/>
  <c r="BI254" i="31" a="1"/>
  <c r="BI254" i="31" s="1"/>
  <c r="BJ254" i="31" a="1"/>
  <c r="BJ254" i="31" s="1"/>
  <c r="BK254" i="31" a="1"/>
  <c r="BK254" i="31" s="1"/>
  <c r="BL254" i="31" a="1"/>
  <c r="BL254" i="31" s="1"/>
  <c r="BM254" i="31" a="1"/>
  <c r="BM254" i="31" s="1"/>
  <c r="BN254" i="31" a="1"/>
  <c r="BN254" i="31" s="1"/>
  <c r="BO254" i="31" a="1"/>
  <c r="BO254" i="31" s="1"/>
  <c r="BP254" i="31" a="1"/>
  <c r="BP254" i="31" s="1"/>
  <c r="BQ254" i="31" a="1"/>
  <c r="BQ254" i="31" s="1"/>
  <c r="BR254" i="31" a="1"/>
  <c r="BR254" i="31" s="1"/>
  <c r="BS254" i="31" a="1"/>
  <c r="BS254" i="31" s="1"/>
  <c r="BT254" i="31" a="1"/>
  <c r="BT254" i="31" s="1"/>
  <c r="BU254" i="31" a="1"/>
  <c r="BU254" i="31" s="1"/>
  <c r="BV254" i="31" a="1"/>
  <c r="BV254" i="31" s="1"/>
  <c r="BW254" i="31" a="1"/>
  <c r="BW254" i="31" s="1"/>
  <c r="BY254" i="31" a="1"/>
  <c r="BY254" i="31" s="1"/>
  <c r="BZ254" i="31" a="1"/>
  <c r="BZ254" i="31" s="1"/>
  <c r="CA254" i="31" a="1"/>
  <c r="CA254" i="31" s="1"/>
  <c r="CB254" i="31" a="1"/>
  <c r="CB254" i="31" s="1"/>
  <c r="CC254" i="31" a="1"/>
  <c r="CC254" i="31" s="1"/>
  <c r="BD240" i="31" a="1"/>
  <c r="BD240" i="31" s="1"/>
  <c r="AL240" i="31" a="1"/>
  <c r="AL240" i="31" s="1"/>
  <c r="AK240" i="31" a="1"/>
  <c r="AK240" i="31" s="1"/>
  <c r="AI240" i="31" a="1"/>
  <c r="AI240" i="31" s="1"/>
  <c r="AJ240" i="31" a="1"/>
  <c r="AJ240" i="31" s="1"/>
  <c r="AM240" i="31" a="1"/>
  <c r="AM240" i="31" s="1"/>
  <c r="AN240" i="31" a="1"/>
  <c r="AN240" i="31" s="1"/>
  <c r="AO240" i="31" a="1"/>
  <c r="AO240" i="31" s="1"/>
  <c r="AP240" i="31" a="1"/>
  <c r="AP240" i="31" s="1"/>
  <c r="AQ240" i="31" a="1"/>
  <c r="AQ240" i="31" s="1"/>
  <c r="AR240" i="31" a="1"/>
  <c r="AR240" i="31" s="1"/>
  <c r="AS240" i="31" a="1"/>
  <c r="AS240" i="31" s="1"/>
  <c r="AT240" i="31" a="1"/>
  <c r="AT240" i="31" s="1"/>
  <c r="AU240" i="31" a="1"/>
  <c r="AU240" i="31" s="1"/>
  <c r="AV240" i="31" a="1"/>
  <c r="AV240" i="31" s="1"/>
  <c r="AW240" i="31" a="1"/>
  <c r="AW240" i="31" s="1"/>
  <c r="AX240" i="31" a="1"/>
  <c r="AX240" i="31" s="1"/>
  <c r="AY240" i="31" a="1"/>
  <c r="AY240" i="31" s="1"/>
  <c r="AZ240" i="31" a="1"/>
  <c r="AZ240" i="31" s="1"/>
  <c r="BA240" i="31" a="1"/>
  <c r="BA240" i="31" s="1"/>
  <c r="BB240" i="31" a="1"/>
  <c r="BB240" i="31" s="1"/>
  <c r="BC240" i="31" a="1"/>
  <c r="BC240" i="31" s="1"/>
  <c r="BE240" i="31" a="1"/>
  <c r="BE240" i="31" s="1"/>
  <c r="BF240" i="31" a="1"/>
  <c r="BF240" i="31" s="1"/>
  <c r="BG240" i="31" a="1"/>
  <c r="BG240" i="31" s="1"/>
  <c r="BH240" i="31" a="1"/>
  <c r="BH240" i="31" s="1"/>
  <c r="BI240" i="31" a="1"/>
  <c r="BI240" i="31" s="1"/>
  <c r="BJ240" i="31" a="1"/>
  <c r="BJ240" i="31" s="1"/>
  <c r="BK240" i="31" a="1"/>
  <c r="BK240" i="31" s="1"/>
  <c r="BL240" i="31" a="1"/>
  <c r="BL240" i="31" s="1"/>
  <c r="BM240" i="31" a="1"/>
  <c r="BM240" i="31" s="1"/>
  <c r="BN240" i="31" a="1"/>
  <c r="BN240" i="31" s="1"/>
  <c r="BO240" i="31" a="1"/>
  <c r="BO240" i="31" s="1"/>
  <c r="BP240" i="31" a="1"/>
  <c r="BP240" i="31" s="1"/>
  <c r="BQ240" i="31" a="1"/>
  <c r="BQ240" i="31" s="1"/>
  <c r="BR240" i="31" a="1"/>
  <c r="BR240" i="31" s="1"/>
  <c r="BS240" i="31" a="1"/>
  <c r="BS240" i="31" s="1"/>
  <c r="BT240" i="31" a="1"/>
  <c r="BT240" i="31" s="1"/>
  <c r="BU240" i="31" a="1"/>
  <c r="BU240" i="31" s="1"/>
  <c r="BV240" i="31" a="1"/>
  <c r="BV240" i="31" s="1"/>
  <c r="BW240" i="31" a="1"/>
  <c r="BW240" i="31" s="1"/>
  <c r="BX240" i="31" a="1"/>
  <c r="BX240" i="31" s="1"/>
  <c r="BY240" i="31" a="1"/>
  <c r="BY240" i="31" s="1"/>
  <c r="BZ240" i="31" a="1"/>
  <c r="BZ240" i="31" s="1"/>
  <c r="CA240" i="31" a="1"/>
  <c r="CA240" i="31" s="1"/>
  <c r="CB240" i="31" a="1"/>
  <c r="CB240" i="31" s="1"/>
  <c r="CC240" i="31" a="1"/>
  <c r="CC240" i="31" s="1"/>
  <c r="BR242" i="31" a="1"/>
  <c r="BR242" i="31" s="1"/>
  <c r="AK242" i="31" a="1"/>
  <c r="AK242" i="31" s="1"/>
  <c r="AL242" i="31" a="1"/>
  <c r="AL242" i="31" s="1"/>
  <c r="AM242" i="31" a="1"/>
  <c r="AM242" i="31" s="1"/>
  <c r="AN242" i="31" a="1"/>
  <c r="AN242" i="31" s="1"/>
  <c r="AO242" i="31" a="1"/>
  <c r="AO242" i="31" s="1"/>
  <c r="AP242" i="31" a="1"/>
  <c r="AP242" i="31" s="1"/>
  <c r="AQ242" i="31" a="1"/>
  <c r="AQ242" i="31" s="1"/>
  <c r="AR242" i="31" a="1"/>
  <c r="AR242" i="31" s="1"/>
  <c r="AS242" i="31" a="1"/>
  <c r="AS242" i="31" s="1"/>
  <c r="AT242" i="31" a="1"/>
  <c r="AT242" i="31" s="1"/>
  <c r="AU242" i="31" a="1"/>
  <c r="AU242" i="31" s="1"/>
  <c r="AV242" i="31" a="1"/>
  <c r="AV242" i="31" s="1"/>
  <c r="AW242" i="31" a="1"/>
  <c r="AW242" i="31" s="1"/>
  <c r="AX242" i="31" a="1"/>
  <c r="AX242" i="31" s="1"/>
  <c r="AY242" i="31" a="1"/>
  <c r="AY242" i="31" s="1"/>
  <c r="AZ242" i="31" a="1"/>
  <c r="AZ242" i="31" s="1"/>
  <c r="BA242" i="31" a="1"/>
  <c r="BA242" i="31" s="1"/>
  <c r="BB242" i="31" a="1"/>
  <c r="BB242" i="31" s="1"/>
  <c r="BC242" i="31" a="1"/>
  <c r="BC242" i="31" s="1"/>
  <c r="BD242" i="31" a="1"/>
  <c r="BD242" i="31" s="1"/>
  <c r="BE242" i="31" a="1"/>
  <c r="BE242" i="31" s="1"/>
  <c r="BF242" i="31" a="1"/>
  <c r="BF242" i="31" s="1"/>
  <c r="BG242" i="31" a="1"/>
  <c r="BG242" i="31" s="1"/>
  <c r="BH242" i="31" a="1"/>
  <c r="BH242" i="31" s="1"/>
  <c r="BI242" i="31" a="1"/>
  <c r="BI242" i="31" s="1"/>
  <c r="BJ242" i="31" a="1"/>
  <c r="BJ242" i="31" s="1"/>
  <c r="BK242" i="31" a="1"/>
  <c r="BK242" i="31" s="1"/>
  <c r="BL242" i="31" a="1"/>
  <c r="BL242" i="31" s="1"/>
  <c r="BM242" i="31" a="1"/>
  <c r="BM242" i="31" s="1"/>
  <c r="BN242" i="31" a="1"/>
  <c r="BN242" i="31" s="1"/>
  <c r="BO242" i="31" a="1"/>
  <c r="BO242" i="31" s="1"/>
  <c r="BP242" i="31" a="1"/>
  <c r="BP242" i="31" s="1"/>
  <c r="BQ242" i="31" a="1"/>
  <c r="BQ242" i="31" s="1"/>
  <c r="BS242" i="31" a="1"/>
  <c r="BS242" i="31" s="1"/>
  <c r="BT242" i="31" a="1"/>
  <c r="BT242" i="31" s="1"/>
  <c r="BU242" i="31" a="1"/>
  <c r="BU242" i="31" s="1"/>
  <c r="BV242" i="31" a="1"/>
  <c r="BV242" i="31" s="1"/>
  <c r="BW242" i="31" a="1"/>
  <c r="BW242" i="31" s="1"/>
  <c r="BX242" i="31" a="1"/>
  <c r="BX242" i="31" s="1"/>
  <c r="BY242" i="31" a="1"/>
  <c r="BY242" i="31" s="1"/>
  <c r="BZ242" i="31" a="1"/>
  <c r="BZ242" i="31" s="1"/>
  <c r="CA242" i="31" a="1"/>
  <c r="CA242" i="31" s="1"/>
  <c r="CB242" i="31" a="1"/>
  <c r="CB242" i="31" s="1"/>
  <c r="CC242" i="31" a="1"/>
  <c r="CC242" i="31" s="1"/>
  <c r="AY154" i="31" a="1"/>
  <c r="AY154" i="31" s="1"/>
  <c r="AZ154" i="31" a="1"/>
  <c r="AZ154" i="31" s="1"/>
  <c r="BA154" i="31" a="1"/>
  <c r="BA154" i="31" s="1"/>
  <c r="BB154" i="31" a="1"/>
  <c r="BB154" i="31" s="1"/>
  <c r="BC154" i="31" a="1"/>
  <c r="BC154" i="31" s="1"/>
  <c r="BD154" i="31" a="1"/>
  <c r="BD154" i="31" s="1"/>
  <c r="BE154" i="31" a="1"/>
  <c r="BE154" i="31" s="1"/>
  <c r="BF154" i="31" a="1"/>
  <c r="BF154" i="31" s="1"/>
  <c r="BG154" i="31" a="1"/>
  <c r="BG154" i="31" s="1"/>
  <c r="BH154" i="31" a="1"/>
  <c r="BH154" i="31" s="1"/>
  <c r="BI154" i="31" a="1"/>
  <c r="BI154" i="31" s="1"/>
  <c r="BJ154" i="31" a="1"/>
  <c r="BJ154" i="31" s="1"/>
  <c r="BK154" i="31" a="1"/>
  <c r="BK154" i="31" s="1"/>
  <c r="BL154" i="31" a="1"/>
  <c r="BL154" i="31" s="1"/>
  <c r="BM154" i="31" a="1"/>
  <c r="BM154" i="31" s="1"/>
  <c r="BN154" i="31" a="1"/>
  <c r="BN154" i="31" s="1"/>
  <c r="BO154" i="31" a="1"/>
  <c r="BO154" i="31" s="1"/>
  <c r="BP154" i="31" a="1"/>
  <c r="BP154" i="31" s="1"/>
  <c r="BQ154" i="31" a="1"/>
  <c r="BQ154" i="31" s="1"/>
  <c r="BR154" i="31" a="1"/>
  <c r="BR154" i="31" s="1"/>
  <c r="BS154" i="31" a="1"/>
  <c r="BS154" i="31" s="1"/>
  <c r="BT154" i="31" a="1"/>
  <c r="BT154" i="31" s="1"/>
  <c r="BU154" i="31" a="1"/>
  <c r="BU154" i="31" s="1"/>
  <c r="BV154" i="31" a="1"/>
  <c r="BV154" i="31" s="1"/>
  <c r="BW154" i="31" a="1"/>
  <c r="BW154" i="31" s="1"/>
  <c r="BX154" i="31" a="1"/>
  <c r="BX154" i="31" s="1"/>
  <c r="BY154" i="31" a="1"/>
  <c r="BY154" i="31" s="1"/>
  <c r="BZ154" i="31" a="1"/>
  <c r="BZ154" i="31" s="1"/>
  <c r="CA154" i="31" a="1"/>
  <c r="CA154" i="31" s="1"/>
  <c r="CB154" i="31" a="1"/>
  <c r="CB154" i="31" s="1"/>
  <c r="CC154" i="31" a="1"/>
  <c r="CC154" i="31" s="1"/>
  <c r="AU150" i="31" a="1"/>
  <c r="AU150" i="31" s="1"/>
  <c r="AV150" i="31" a="1"/>
  <c r="AV150" i="31" s="1"/>
  <c r="AW150" i="31" a="1"/>
  <c r="AW150" i="31" s="1"/>
  <c r="AX150" i="31" a="1"/>
  <c r="AX150" i="31" s="1"/>
  <c r="AY150" i="31" a="1"/>
  <c r="AY150" i="31" s="1"/>
  <c r="AZ150" i="31" a="1"/>
  <c r="AZ150" i="31" s="1"/>
  <c r="BA150" i="31" a="1"/>
  <c r="BA150" i="31" s="1"/>
  <c r="BB150" i="31" a="1"/>
  <c r="BB150" i="31" s="1"/>
  <c r="BC150" i="31" a="1"/>
  <c r="BC150" i="31" s="1"/>
  <c r="BD150" i="31" a="1"/>
  <c r="BD150" i="31" s="1"/>
  <c r="BE150" i="31" a="1"/>
  <c r="BE150" i="31" s="1"/>
  <c r="BF150" i="31" a="1"/>
  <c r="BF150" i="31" s="1"/>
  <c r="BG150" i="31" a="1"/>
  <c r="BG150" i="31" s="1"/>
  <c r="BH150" i="31" a="1"/>
  <c r="BH150" i="31" s="1"/>
  <c r="BI150" i="31" a="1"/>
  <c r="BI150" i="31" s="1"/>
  <c r="BJ150" i="31" a="1"/>
  <c r="BJ150" i="31" s="1"/>
  <c r="BK150" i="31" a="1"/>
  <c r="BK150" i="31" s="1"/>
  <c r="BL150" i="31" a="1"/>
  <c r="BL150" i="31" s="1"/>
  <c r="BM150" i="31" a="1"/>
  <c r="BM150" i="31" s="1"/>
  <c r="BN150" i="31" a="1"/>
  <c r="BN150" i="31" s="1"/>
  <c r="BO150" i="31" a="1"/>
  <c r="BO150" i="31" s="1"/>
  <c r="BP150" i="31" a="1"/>
  <c r="BP150" i="31" s="1"/>
  <c r="BQ150" i="31" a="1"/>
  <c r="BQ150" i="31" s="1"/>
  <c r="BR150" i="31" a="1"/>
  <c r="BR150" i="31" s="1"/>
  <c r="BS150" i="31" a="1"/>
  <c r="BS150" i="31" s="1"/>
  <c r="BT150" i="31" a="1"/>
  <c r="BT150" i="31" s="1"/>
  <c r="BU150" i="31" a="1"/>
  <c r="BU150" i="31" s="1"/>
  <c r="BV150" i="31" a="1"/>
  <c r="BV150" i="31" s="1"/>
  <c r="BW150" i="31" a="1"/>
  <c r="BW150" i="31" s="1"/>
  <c r="BX150" i="31" a="1"/>
  <c r="BX150" i="31" s="1"/>
  <c r="BY150" i="31" a="1"/>
  <c r="BY150" i="31" s="1"/>
  <c r="BZ150" i="31" a="1"/>
  <c r="BZ150" i="31" s="1"/>
  <c r="CA150" i="31" a="1"/>
  <c r="CA150" i="31" s="1"/>
  <c r="CB150" i="31" a="1"/>
  <c r="CB150" i="31" s="1"/>
  <c r="CC150" i="31" a="1"/>
  <c r="CC150" i="31" s="1"/>
  <c r="BM219" i="31" a="1"/>
  <c r="BM219" i="31" s="1"/>
  <c r="BN219" i="31" a="1"/>
  <c r="BN219" i="31" s="1"/>
  <c r="BO219" i="31" a="1"/>
  <c r="BO219" i="31" s="1"/>
  <c r="BP219" i="31" a="1"/>
  <c r="BP219" i="31" s="1"/>
  <c r="BQ219" i="31" a="1"/>
  <c r="BQ219" i="31" s="1"/>
  <c r="BR219" i="31" a="1"/>
  <c r="BR219" i="31" s="1"/>
  <c r="BS219" i="31" a="1"/>
  <c r="BS219" i="31" s="1"/>
  <c r="BT219" i="31" a="1"/>
  <c r="BT219" i="31" s="1"/>
  <c r="BU219" i="31" a="1"/>
  <c r="BU219" i="31" s="1"/>
  <c r="BV219" i="31" a="1"/>
  <c r="BV219" i="31" s="1"/>
  <c r="BW219" i="31" a="1"/>
  <c r="BW219" i="31" s="1"/>
  <c r="BX219" i="31" a="1"/>
  <c r="BX219" i="31" s="1"/>
  <c r="BY219" i="31" a="1"/>
  <c r="BY219" i="31" s="1"/>
  <c r="BZ219" i="31" a="1"/>
  <c r="BZ219" i="31" s="1"/>
  <c r="CA219" i="31" a="1"/>
  <c r="CA219" i="31" s="1"/>
  <c r="CB219" i="31" a="1"/>
  <c r="CB219" i="31" s="1"/>
  <c r="CC219" i="31" a="1"/>
  <c r="CC219" i="31" s="1"/>
  <c r="AP196" i="31" a="1"/>
  <c r="AP196" i="31" s="1"/>
  <c r="AQ196" i="31" a="1"/>
  <c r="AQ196" i="31" s="1"/>
  <c r="AR196" i="31" a="1"/>
  <c r="AR196" i="31" s="1"/>
  <c r="AS196" i="31" a="1"/>
  <c r="AS196" i="31" s="1"/>
  <c r="AT196" i="31" a="1"/>
  <c r="AT196" i="31" s="1"/>
  <c r="AU196" i="31" a="1"/>
  <c r="AU196" i="31" s="1"/>
  <c r="AV196" i="31" a="1"/>
  <c r="AV196" i="31" s="1"/>
  <c r="AW196" i="31" a="1"/>
  <c r="AW196" i="31" s="1"/>
  <c r="AX196" i="31" a="1"/>
  <c r="AX196" i="31" s="1"/>
  <c r="AY196" i="31" a="1"/>
  <c r="AY196" i="31" s="1"/>
  <c r="AZ196" i="31" a="1"/>
  <c r="AZ196" i="31" s="1"/>
  <c r="BA196" i="31" a="1"/>
  <c r="BA196" i="31" s="1"/>
  <c r="BB196" i="31" a="1"/>
  <c r="BB196" i="31" s="1"/>
  <c r="BC196" i="31" a="1"/>
  <c r="BC196" i="31" s="1"/>
  <c r="BD196" i="31" a="1"/>
  <c r="BD196" i="31" s="1"/>
  <c r="BE196" i="31" a="1"/>
  <c r="BE196" i="31" s="1"/>
  <c r="BF196" i="31" a="1"/>
  <c r="BF196" i="31" s="1"/>
  <c r="BG196" i="31" a="1"/>
  <c r="BG196" i="31" s="1"/>
  <c r="BH196" i="31" a="1"/>
  <c r="BH196" i="31" s="1"/>
  <c r="BI196" i="31" a="1"/>
  <c r="BI196" i="31" s="1"/>
  <c r="BJ196" i="31" a="1"/>
  <c r="BJ196" i="31" s="1"/>
  <c r="BK196" i="31" a="1"/>
  <c r="BK196" i="31" s="1"/>
  <c r="BL196" i="31" a="1"/>
  <c r="BL196" i="31" s="1"/>
  <c r="BM196" i="31" a="1"/>
  <c r="BM196" i="31" s="1"/>
  <c r="BN196" i="31" a="1"/>
  <c r="BN196" i="31" s="1"/>
  <c r="BO196" i="31" a="1"/>
  <c r="BO196" i="31" s="1"/>
  <c r="BP196" i="31" a="1"/>
  <c r="BP196" i="31" s="1"/>
  <c r="BQ196" i="31" a="1"/>
  <c r="BQ196" i="31" s="1"/>
  <c r="BR196" i="31" a="1"/>
  <c r="BR196" i="31" s="1"/>
  <c r="BS196" i="31" a="1"/>
  <c r="BS196" i="31" s="1"/>
  <c r="BT196" i="31" a="1"/>
  <c r="BT196" i="31" s="1"/>
  <c r="BU196" i="31" a="1"/>
  <c r="BU196" i="31" s="1"/>
  <c r="BV196" i="31" a="1"/>
  <c r="BV196" i="31" s="1"/>
  <c r="BW196" i="31" a="1"/>
  <c r="BW196" i="31" s="1"/>
  <c r="BX196" i="31" a="1"/>
  <c r="BX196" i="31" s="1"/>
  <c r="BY196" i="31" a="1"/>
  <c r="BY196" i="31" s="1"/>
  <c r="BZ196" i="31" a="1"/>
  <c r="BZ196" i="31" s="1"/>
  <c r="CA196" i="31" a="1"/>
  <c r="CA196" i="31" s="1"/>
  <c r="CB196" i="31" a="1"/>
  <c r="CB196" i="31" s="1"/>
  <c r="CC196" i="31" a="1"/>
  <c r="CC196" i="31" s="1"/>
  <c r="AO144" i="31" a="1"/>
  <c r="AO144" i="31" s="1"/>
  <c r="AP144" i="31" a="1"/>
  <c r="AP144" i="31" s="1"/>
  <c r="AQ144" i="31" a="1"/>
  <c r="AQ144" i="31" s="1"/>
  <c r="AR144" i="31" a="1"/>
  <c r="AR144" i="31" s="1"/>
  <c r="AS144" i="31" a="1"/>
  <c r="AS144" i="31" s="1"/>
  <c r="AT144" i="31" a="1"/>
  <c r="AT144" i="31" s="1"/>
  <c r="AU144" i="31" a="1"/>
  <c r="AU144" i="31" s="1"/>
  <c r="AV144" i="31" a="1"/>
  <c r="AV144" i="31" s="1"/>
  <c r="AW144" i="31" a="1"/>
  <c r="AW144" i="31" s="1"/>
  <c r="AX144" i="31" a="1"/>
  <c r="AX144" i="31" s="1"/>
  <c r="AY144" i="31" a="1"/>
  <c r="AY144" i="31" s="1"/>
  <c r="AZ144" i="31" a="1"/>
  <c r="AZ144" i="31" s="1"/>
  <c r="BA144" i="31" a="1"/>
  <c r="BA144" i="31" s="1"/>
  <c r="BB144" i="31" a="1"/>
  <c r="BB144" i="31" s="1"/>
  <c r="BC144" i="31" a="1"/>
  <c r="BC144" i="31" s="1"/>
  <c r="BD144" i="31" a="1"/>
  <c r="BD144" i="31" s="1"/>
  <c r="BE144" i="31" a="1"/>
  <c r="BE144" i="31" s="1"/>
  <c r="BF144" i="31" a="1"/>
  <c r="BF144" i="31" s="1"/>
  <c r="BG144" i="31" a="1"/>
  <c r="BG144" i="31" s="1"/>
  <c r="BH144" i="31" a="1"/>
  <c r="BH144" i="31" s="1"/>
  <c r="BI144" i="31" a="1"/>
  <c r="BI144" i="31" s="1"/>
  <c r="BJ144" i="31" a="1"/>
  <c r="BJ144" i="31" s="1"/>
  <c r="BK144" i="31" a="1"/>
  <c r="BK144" i="31" s="1"/>
  <c r="BL144" i="31" a="1"/>
  <c r="BL144" i="31" s="1"/>
  <c r="BM144" i="31" a="1"/>
  <c r="BM144" i="31" s="1"/>
  <c r="BN144" i="31" a="1"/>
  <c r="BN144" i="31" s="1"/>
  <c r="BO144" i="31" a="1"/>
  <c r="BO144" i="31" s="1"/>
  <c r="BP144" i="31" a="1"/>
  <c r="BP144" i="31" s="1"/>
  <c r="BQ144" i="31" a="1"/>
  <c r="BQ144" i="31" s="1"/>
  <c r="BR144" i="31" a="1"/>
  <c r="BR144" i="31" s="1"/>
  <c r="BS144" i="31" a="1"/>
  <c r="BS144" i="31" s="1"/>
  <c r="BT144" i="31" a="1"/>
  <c r="BT144" i="31" s="1"/>
  <c r="BU144" i="31" a="1"/>
  <c r="BU144" i="31" s="1"/>
  <c r="BV144" i="31" a="1"/>
  <c r="BV144" i="31" s="1"/>
  <c r="BW144" i="31" a="1"/>
  <c r="BW144" i="31" s="1"/>
  <c r="BX144" i="31" a="1"/>
  <c r="BX144" i="31" s="1"/>
  <c r="BY144" i="31" a="1"/>
  <c r="BY144" i="31" s="1"/>
  <c r="BZ144" i="31" a="1"/>
  <c r="BZ144" i="31" s="1"/>
  <c r="CA144" i="31" a="1"/>
  <c r="CA144" i="31" s="1"/>
  <c r="CB144" i="31" a="1"/>
  <c r="CB144" i="31" s="1"/>
  <c r="CC144" i="31" a="1"/>
  <c r="CC144" i="31" s="1"/>
  <c r="BB157" i="31" a="1"/>
  <c r="BB157" i="31" s="1"/>
  <c r="BC157" i="31" a="1"/>
  <c r="BC157" i="31" s="1"/>
  <c r="BD157" i="31" a="1"/>
  <c r="BD157" i="31" s="1"/>
  <c r="BE157" i="31" a="1"/>
  <c r="BE157" i="31" s="1"/>
  <c r="BF157" i="31" a="1"/>
  <c r="BF157" i="31" s="1"/>
  <c r="BG157" i="31" a="1"/>
  <c r="BG157" i="31" s="1"/>
  <c r="BH157" i="31" a="1"/>
  <c r="BH157" i="31" s="1"/>
  <c r="BI157" i="31" a="1"/>
  <c r="BI157" i="31" s="1"/>
  <c r="BJ157" i="31" a="1"/>
  <c r="BJ157" i="31" s="1"/>
  <c r="BK157" i="31" a="1"/>
  <c r="BK157" i="31" s="1"/>
  <c r="BL157" i="31" a="1"/>
  <c r="BL157" i="31" s="1"/>
  <c r="BM157" i="31" a="1"/>
  <c r="BM157" i="31" s="1"/>
  <c r="BN157" i="31" a="1"/>
  <c r="BN157" i="31" s="1"/>
  <c r="BO157" i="31" a="1"/>
  <c r="BO157" i="31" s="1"/>
  <c r="BP157" i="31" a="1"/>
  <c r="BP157" i="31" s="1"/>
  <c r="BQ157" i="31" a="1"/>
  <c r="BQ157" i="31" s="1"/>
  <c r="BR157" i="31" a="1"/>
  <c r="BR157" i="31" s="1"/>
  <c r="BS157" i="31" a="1"/>
  <c r="BS157" i="31" s="1"/>
  <c r="BT157" i="31" a="1"/>
  <c r="BT157" i="31" s="1"/>
  <c r="BU157" i="31" a="1"/>
  <c r="BU157" i="31" s="1"/>
  <c r="BV157" i="31" a="1"/>
  <c r="BV157" i="31" s="1"/>
  <c r="BW157" i="31" a="1"/>
  <c r="BW157" i="31" s="1"/>
  <c r="BX157" i="31" a="1"/>
  <c r="BX157" i="31" s="1"/>
  <c r="BY157" i="31" a="1"/>
  <c r="BY157" i="31" s="1"/>
  <c r="BZ157" i="31" a="1"/>
  <c r="BZ157" i="31" s="1"/>
  <c r="CA157" i="31" a="1"/>
  <c r="CA157" i="31" s="1"/>
  <c r="CB157" i="31" a="1"/>
  <c r="CB157" i="31" s="1"/>
  <c r="CC157" i="31" a="1"/>
  <c r="CC157" i="31" s="1"/>
  <c r="BN169" i="31" a="1"/>
  <c r="BN169" i="31" s="1"/>
  <c r="BO169" i="31" a="1"/>
  <c r="BO169" i="31" s="1"/>
  <c r="BP169" i="31" a="1"/>
  <c r="BP169" i="31" s="1"/>
  <c r="BQ169" i="31" a="1"/>
  <c r="BQ169" i="31" s="1"/>
  <c r="BR169" i="31" a="1"/>
  <c r="BR169" i="31" s="1"/>
  <c r="BS169" i="31" a="1"/>
  <c r="BS169" i="31" s="1"/>
  <c r="BT169" i="31" a="1"/>
  <c r="BT169" i="31" s="1"/>
  <c r="BU169" i="31" a="1"/>
  <c r="BU169" i="31" s="1"/>
  <c r="BV169" i="31" a="1"/>
  <c r="BV169" i="31" s="1"/>
  <c r="BW169" i="31" a="1"/>
  <c r="BW169" i="31" s="1"/>
  <c r="BX169" i="31" a="1"/>
  <c r="BX169" i="31" s="1"/>
  <c r="BY169" i="31" a="1"/>
  <c r="BY169" i="31" s="1"/>
  <c r="BZ169" i="31" a="1"/>
  <c r="BZ169" i="31" s="1"/>
  <c r="CA169" i="31" a="1"/>
  <c r="CA169" i="31" s="1"/>
  <c r="CB169" i="31" a="1"/>
  <c r="CB169" i="31" s="1"/>
  <c r="CC169" i="31" a="1"/>
  <c r="CC169" i="31" s="1"/>
  <c r="BC209" i="31" a="1"/>
  <c r="BC209" i="31" s="1"/>
  <c r="BD209" i="31" a="1"/>
  <c r="BD209" i="31" s="1"/>
  <c r="BE209" i="31" a="1"/>
  <c r="BE209" i="31" s="1"/>
  <c r="BF209" i="31" a="1"/>
  <c r="BF209" i="31" s="1"/>
  <c r="BG209" i="31" a="1"/>
  <c r="BG209" i="31" s="1"/>
  <c r="BH209" i="31" a="1"/>
  <c r="BH209" i="31" s="1"/>
  <c r="BI209" i="31" a="1"/>
  <c r="BI209" i="31" s="1"/>
  <c r="BJ209" i="31" a="1"/>
  <c r="BJ209" i="31" s="1"/>
  <c r="BK209" i="31" a="1"/>
  <c r="BK209" i="31" s="1"/>
  <c r="BL209" i="31" a="1"/>
  <c r="BL209" i="31" s="1"/>
  <c r="BM209" i="31" a="1"/>
  <c r="BM209" i="31" s="1"/>
  <c r="BN209" i="31" a="1"/>
  <c r="BN209" i="31" s="1"/>
  <c r="BO209" i="31" a="1"/>
  <c r="BO209" i="31" s="1"/>
  <c r="BP209" i="31" a="1"/>
  <c r="BP209" i="31" s="1"/>
  <c r="BQ209" i="31" a="1"/>
  <c r="BQ209" i="31" s="1"/>
  <c r="BR209" i="31" a="1"/>
  <c r="BR209" i="31" s="1"/>
  <c r="BS209" i="31" a="1"/>
  <c r="BS209" i="31" s="1"/>
  <c r="BT209" i="31" a="1"/>
  <c r="BT209" i="31" s="1"/>
  <c r="BU209" i="31" a="1"/>
  <c r="BU209" i="31" s="1"/>
  <c r="BV209" i="31" a="1"/>
  <c r="BV209" i="31" s="1"/>
  <c r="BW209" i="31" a="1"/>
  <c r="BW209" i="31" s="1"/>
  <c r="BX209" i="31" a="1"/>
  <c r="BX209" i="31" s="1"/>
  <c r="BY209" i="31" a="1"/>
  <c r="BY209" i="31" s="1"/>
  <c r="BZ209" i="31" a="1"/>
  <c r="BZ209" i="31" s="1"/>
  <c r="CA209" i="31" a="1"/>
  <c r="CA209" i="31" s="1"/>
  <c r="CB209" i="31" a="1"/>
  <c r="CB209" i="31" s="1"/>
  <c r="CC209" i="31" a="1"/>
  <c r="CC209" i="31" s="1"/>
  <c r="BN220" i="31" a="1"/>
  <c r="BN220" i="31" s="1"/>
  <c r="BO220" i="31" a="1"/>
  <c r="BO220" i="31" s="1"/>
  <c r="BP220" i="31" a="1"/>
  <c r="BP220" i="31" s="1"/>
  <c r="BQ220" i="31" a="1"/>
  <c r="BQ220" i="31" s="1"/>
  <c r="BR220" i="31" a="1"/>
  <c r="BR220" i="31" s="1"/>
  <c r="BS220" i="31" a="1"/>
  <c r="BS220" i="31" s="1"/>
  <c r="BT220" i="31" a="1"/>
  <c r="BT220" i="31" s="1"/>
  <c r="BU220" i="31" a="1"/>
  <c r="BU220" i="31" s="1"/>
  <c r="BV220" i="31" a="1"/>
  <c r="BV220" i="31" s="1"/>
  <c r="BW220" i="31" a="1"/>
  <c r="BW220" i="31" s="1"/>
  <c r="BX220" i="31" a="1"/>
  <c r="BX220" i="31" s="1"/>
  <c r="BY220" i="31" a="1"/>
  <c r="BY220" i="31" s="1"/>
  <c r="BZ220" i="31" a="1"/>
  <c r="BZ220" i="31" s="1"/>
  <c r="CA220" i="31" a="1"/>
  <c r="CA220" i="31" s="1"/>
  <c r="CB220" i="31" a="1"/>
  <c r="CB220" i="31" s="1"/>
  <c r="CC220" i="31" a="1"/>
  <c r="CC220" i="31" s="1"/>
  <c r="BE109" i="31" a="1"/>
  <c r="BE109" i="31" s="1"/>
  <c r="BF109" i="31" a="1"/>
  <c r="BF109" i="31" s="1"/>
  <c r="BG109" i="31" a="1"/>
  <c r="BG109" i="31" s="1"/>
  <c r="BH109" i="31" a="1"/>
  <c r="BH109" i="31" s="1"/>
  <c r="BI109" i="31" a="1"/>
  <c r="BI109" i="31" s="1"/>
  <c r="BJ109" i="31" a="1"/>
  <c r="BJ109" i="31" s="1"/>
  <c r="BK109" i="31" a="1"/>
  <c r="BK109" i="31" s="1"/>
  <c r="BL109" i="31" a="1"/>
  <c r="BL109" i="31" s="1"/>
  <c r="BM109" i="31" a="1"/>
  <c r="BM109" i="31" s="1"/>
  <c r="BN109" i="31" a="1"/>
  <c r="BN109" i="31" s="1"/>
  <c r="BO109" i="31" a="1"/>
  <c r="BO109" i="31" s="1"/>
  <c r="BP109" i="31" a="1"/>
  <c r="BP109" i="31" s="1"/>
  <c r="BQ109" i="31" a="1"/>
  <c r="BQ109" i="31" s="1"/>
  <c r="BR109" i="31" a="1"/>
  <c r="BR109" i="31" s="1"/>
  <c r="BS109" i="31" a="1"/>
  <c r="BS109" i="31" s="1"/>
  <c r="BT109" i="31" a="1"/>
  <c r="BT109" i="31" s="1"/>
  <c r="BU109" i="31" a="1"/>
  <c r="BU109" i="31" s="1"/>
  <c r="BV109" i="31" a="1"/>
  <c r="BV109" i="31" s="1"/>
  <c r="BW109" i="31" a="1"/>
  <c r="BW109" i="31" s="1"/>
  <c r="BX109" i="31" a="1"/>
  <c r="BX109" i="31" s="1"/>
  <c r="BY109" i="31" a="1"/>
  <c r="BY109" i="31" s="1"/>
  <c r="BZ109" i="31" a="1"/>
  <c r="BZ109" i="31" s="1"/>
  <c r="CA109" i="31" a="1"/>
  <c r="CA109" i="31" s="1"/>
  <c r="CB109" i="31" a="1"/>
  <c r="CB109" i="31" s="1"/>
  <c r="CC109" i="31" a="1"/>
  <c r="CC109" i="31" s="1"/>
  <c r="BK64" i="31" a="1"/>
  <c r="BK64" i="31" s="1"/>
  <c r="Y64" i="31" s="1"/>
  <c r="BL64" i="31" a="1"/>
  <c r="BL64" i="31" s="1"/>
  <c r="BM64" i="31" a="1"/>
  <c r="BM64" i="31" s="1"/>
  <c r="BN64" i="31" a="1"/>
  <c r="BN64" i="31" s="1"/>
  <c r="BO64" i="31" a="1"/>
  <c r="BO64" i="31" s="1"/>
  <c r="BP64" i="31" a="1"/>
  <c r="BP64" i="31" s="1"/>
  <c r="BQ64" i="31" a="1"/>
  <c r="BQ64" i="31" s="1"/>
  <c r="BR64" i="31" a="1"/>
  <c r="BR64" i="31" s="1"/>
  <c r="BS64" i="31" a="1"/>
  <c r="BS64" i="31" s="1"/>
  <c r="BT64" i="31" a="1"/>
  <c r="BT64" i="31" s="1"/>
  <c r="BU64" i="31" a="1"/>
  <c r="BU64" i="31" s="1"/>
  <c r="BV64" i="31" a="1"/>
  <c r="BV64" i="31" s="1"/>
  <c r="BW64" i="31" a="1"/>
  <c r="BW64" i="31" s="1"/>
  <c r="BX64" i="31" a="1"/>
  <c r="BX64" i="31" s="1"/>
  <c r="BY64" i="31" a="1"/>
  <c r="BY64" i="31" s="1"/>
  <c r="BZ64" i="31" a="1"/>
  <c r="BZ64" i="31" s="1"/>
  <c r="CA64" i="31" a="1"/>
  <c r="CA64" i="31" s="1"/>
  <c r="CB64" i="31" a="1"/>
  <c r="CB64" i="31" s="1"/>
  <c r="CC64" i="31" a="1"/>
  <c r="CC64" i="31" s="1"/>
  <c r="BX128" i="31" a="1"/>
  <c r="BX128" i="31" s="1"/>
  <c r="BY128" i="31" a="1"/>
  <c r="BY128" i="31" s="1"/>
  <c r="BZ128" i="31" a="1"/>
  <c r="BZ128" i="31" s="1"/>
  <c r="CA128" i="31" a="1"/>
  <c r="CA128" i="31" s="1"/>
  <c r="CB128" i="31" a="1"/>
  <c r="CB128" i="31" s="1"/>
  <c r="CC128" i="31" a="1"/>
  <c r="CC128" i="31" s="1"/>
  <c r="BN118" i="31" a="1"/>
  <c r="BN118" i="31" s="1"/>
  <c r="BO118" i="31" a="1"/>
  <c r="BO118" i="31" s="1"/>
  <c r="BP118" i="31" a="1"/>
  <c r="BP118" i="31" s="1"/>
  <c r="BQ118" i="31" a="1"/>
  <c r="BQ118" i="31" s="1"/>
  <c r="BR118" i="31" a="1"/>
  <c r="BR118" i="31" s="1"/>
  <c r="BS118" i="31" a="1"/>
  <c r="BS118" i="31" s="1"/>
  <c r="BT118" i="31" a="1"/>
  <c r="BT118" i="31" s="1"/>
  <c r="BU118" i="31" a="1"/>
  <c r="BU118" i="31" s="1"/>
  <c r="BV118" i="31" a="1"/>
  <c r="BV118" i="31" s="1"/>
  <c r="BW118" i="31" a="1"/>
  <c r="BW118" i="31" s="1"/>
  <c r="BX118" i="31" a="1"/>
  <c r="BX118" i="31" s="1"/>
  <c r="BY118" i="31" a="1"/>
  <c r="BY118" i="31" s="1"/>
  <c r="BZ118" i="31" a="1"/>
  <c r="BZ118" i="31" s="1"/>
  <c r="CA118" i="31" a="1"/>
  <c r="CA118" i="31" s="1"/>
  <c r="CB118" i="31" a="1"/>
  <c r="CB118" i="31" s="1"/>
  <c r="CC118" i="31" a="1"/>
  <c r="CC118" i="31" s="1"/>
  <c r="AS97" i="31" a="1"/>
  <c r="AS97" i="31" s="1"/>
  <c r="AT97" i="31" a="1"/>
  <c r="AT97" i="31" s="1"/>
  <c r="AU97" i="31" a="1"/>
  <c r="AU97" i="31" s="1"/>
  <c r="AV97" i="31" a="1"/>
  <c r="AV97" i="31" s="1"/>
  <c r="AW97" i="31" a="1"/>
  <c r="AW97" i="31" s="1"/>
  <c r="AX97" i="31" a="1"/>
  <c r="AX97" i="31" s="1"/>
  <c r="AY97" i="31" a="1"/>
  <c r="AY97" i="31" s="1"/>
  <c r="AZ97" i="31" a="1"/>
  <c r="AZ97" i="31" s="1"/>
  <c r="BA97" i="31" a="1"/>
  <c r="BA97" i="31" s="1"/>
  <c r="BB97" i="31" a="1"/>
  <c r="BB97" i="31" s="1"/>
  <c r="BC97" i="31" a="1"/>
  <c r="BC97" i="31" s="1"/>
  <c r="BD97" i="31" a="1"/>
  <c r="BD97" i="31" s="1"/>
  <c r="BE97" i="31" a="1"/>
  <c r="BE97" i="31" s="1"/>
  <c r="BF97" i="31" a="1"/>
  <c r="BF97" i="31" s="1"/>
  <c r="BG97" i="31" a="1"/>
  <c r="BG97" i="31" s="1"/>
  <c r="BH97" i="31" a="1"/>
  <c r="BH97" i="31" s="1"/>
  <c r="BI97" i="31" a="1"/>
  <c r="BI97" i="31" s="1"/>
  <c r="BJ97" i="31" a="1"/>
  <c r="BJ97" i="31" s="1"/>
  <c r="BK97" i="31" a="1"/>
  <c r="BK97" i="31" s="1"/>
  <c r="BL97" i="31" a="1"/>
  <c r="BL97" i="31" s="1"/>
  <c r="BM97" i="31" a="1"/>
  <c r="BM97" i="31" s="1"/>
  <c r="BN97" i="31" a="1"/>
  <c r="BN97" i="31" s="1"/>
  <c r="BO97" i="31" a="1"/>
  <c r="BO97" i="31" s="1"/>
  <c r="BP97" i="31" a="1"/>
  <c r="BP97" i="31" s="1"/>
  <c r="BQ97" i="31" a="1"/>
  <c r="BQ97" i="31" s="1"/>
  <c r="BR97" i="31" a="1"/>
  <c r="BR97" i="31" s="1"/>
  <c r="BS97" i="31" a="1"/>
  <c r="BS97" i="31" s="1"/>
  <c r="BT97" i="31" a="1"/>
  <c r="BT97" i="31" s="1"/>
  <c r="BU97" i="31" a="1"/>
  <c r="BU97" i="31" s="1"/>
  <c r="BV97" i="31" a="1"/>
  <c r="BV97" i="31" s="1"/>
  <c r="BW97" i="31" a="1"/>
  <c r="BW97" i="31" s="1"/>
  <c r="BX97" i="31" a="1"/>
  <c r="BX97" i="31" s="1"/>
  <c r="BY97" i="31" a="1"/>
  <c r="BY97" i="31" s="1"/>
  <c r="BZ97" i="31" a="1"/>
  <c r="BZ97" i="31" s="1"/>
  <c r="CA97" i="31" a="1"/>
  <c r="CA97" i="31" s="1"/>
  <c r="CB97" i="31" a="1"/>
  <c r="CB97" i="31" s="1"/>
  <c r="CC97" i="31" a="1"/>
  <c r="CC97" i="31" s="1"/>
  <c r="AN41" i="31" a="1"/>
  <c r="AN41" i="31" s="1"/>
  <c r="AO41" i="31" a="1"/>
  <c r="AO41" i="31" s="1"/>
  <c r="AP41" i="31" a="1"/>
  <c r="AP41" i="31" s="1"/>
  <c r="AQ41" i="31" a="1"/>
  <c r="AQ41" i="31" s="1"/>
  <c r="AR41" i="31" a="1"/>
  <c r="AR41" i="31" s="1"/>
  <c r="AS41" i="31" a="1"/>
  <c r="AS41" i="31" s="1"/>
  <c r="AT41" i="31" a="1"/>
  <c r="AT41" i="31" s="1"/>
  <c r="AU41" i="31" a="1"/>
  <c r="AU41" i="31" s="1"/>
  <c r="AV41" i="31" a="1"/>
  <c r="AV41" i="31" s="1"/>
  <c r="AW41" i="31" a="1"/>
  <c r="AW41" i="31" s="1"/>
  <c r="AX41" i="31" a="1"/>
  <c r="AX41" i="31" s="1"/>
  <c r="AY41" i="31" a="1"/>
  <c r="AY41" i="31" s="1"/>
  <c r="AZ41" i="31" a="1"/>
  <c r="AZ41" i="31" s="1"/>
  <c r="BA41" i="31" a="1"/>
  <c r="BA41" i="31" s="1"/>
  <c r="BB41" i="31" a="1"/>
  <c r="BB41" i="31" s="1"/>
  <c r="BC41" i="31" a="1"/>
  <c r="BC41" i="31" s="1"/>
  <c r="BD41" i="31" a="1"/>
  <c r="BD41" i="31" s="1"/>
  <c r="BE41" i="31" a="1"/>
  <c r="BE41" i="31" s="1"/>
  <c r="BF41" i="31" a="1"/>
  <c r="BF41" i="31" s="1"/>
  <c r="BG41" i="31" a="1"/>
  <c r="BG41" i="31" s="1"/>
  <c r="BH41" i="31" a="1"/>
  <c r="BH41" i="31" s="1"/>
  <c r="BI41" i="31" a="1"/>
  <c r="BI41" i="31" s="1"/>
  <c r="BJ41" i="31" a="1"/>
  <c r="BJ41" i="31" s="1"/>
  <c r="BK41" i="31" a="1"/>
  <c r="BK41" i="31" s="1"/>
  <c r="BL41" i="31" a="1"/>
  <c r="BL41" i="31" s="1"/>
  <c r="BM41" i="31" a="1"/>
  <c r="BM41" i="31" s="1"/>
  <c r="BN41" i="31" a="1"/>
  <c r="BN41" i="31" s="1"/>
  <c r="BO41" i="31" a="1"/>
  <c r="BO41" i="31" s="1"/>
  <c r="BP41" i="31" a="1"/>
  <c r="BP41" i="31" s="1"/>
  <c r="BQ41" i="31" a="1"/>
  <c r="BQ41" i="31" s="1"/>
  <c r="BR41" i="31" a="1"/>
  <c r="BR41" i="31" s="1"/>
  <c r="BS41" i="31" a="1"/>
  <c r="BS41" i="31" s="1"/>
  <c r="BT41" i="31" a="1"/>
  <c r="BT41" i="31" s="1"/>
  <c r="BU41" i="31" a="1"/>
  <c r="BU41" i="31" s="1"/>
  <c r="BV41" i="31" a="1"/>
  <c r="BV41" i="31" s="1"/>
  <c r="BW41" i="31" a="1"/>
  <c r="BW41" i="31" s="1"/>
  <c r="BX41" i="31" a="1"/>
  <c r="BX41" i="31" s="1"/>
  <c r="BY41" i="31" a="1"/>
  <c r="BY41" i="31" s="1"/>
  <c r="BZ41" i="31" a="1"/>
  <c r="BZ41" i="31" s="1"/>
  <c r="CA41" i="31" a="1"/>
  <c r="CA41" i="31" s="1"/>
  <c r="CB41" i="31" a="1"/>
  <c r="CB41" i="31" s="1"/>
  <c r="CC41" i="31" a="1"/>
  <c r="CC41" i="31" s="1"/>
  <c r="BC56" i="31" a="1"/>
  <c r="BC56" i="31" s="1"/>
  <c r="BD56" i="31" a="1"/>
  <c r="BD56" i="31" s="1"/>
  <c r="BE56" i="31" a="1"/>
  <c r="BE56" i="31" s="1"/>
  <c r="BF56" i="31" a="1"/>
  <c r="BF56" i="31" s="1"/>
  <c r="BG56" i="31" a="1"/>
  <c r="BG56" i="31" s="1"/>
  <c r="BH56" i="31" a="1"/>
  <c r="BH56" i="31" s="1"/>
  <c r="BI56" i="31" a="1"/>
  <c r="BI56" i="31" s="1"/>
  <c r="BJ56" i="31" a="1"/>
  <c r="BJ56" i="31" s="1"/>
  <c r="BK56" i="31" a="1"/>
  <c r="BK56" i="31" s="1"/>
  <c r="BL56" i="31" a="1"/>
  <c r="BL56" i="31" s="1"/>
  <c r="BM56" i="31" a="1"/>
  <c r="BM56" i="31" s="1"/>
  <c r="BN56" i="31" a="1"/>
  <c r="BN56" i="31" s="1"/>
  <c r="BO56" i="31" a="1"/>
  <c r="BO56" i="31" s="1"/>
  <c r="BP56" i="31" a="1"/>
  <c r="BP56" i="31" s="1"/>
  <c r="BQ56" i="31" a="1"/>
  <c r="BQ56" i="31" s="1"/>
  <c r="BR56" i="31" a="1"/>
  <c r="BR56" i="31" s="1"/>
  <c r="BS56" i="31" a="1"/>
  <c r="BS56" i="31" s="1"/>
  <c r="BT56" i="31" a="1"/>
  <c r="BT56" i="31" s="1"/>
  <c r="BU56" i="31" a="1"/>
  <c r="BU56" i="31" s="1"/>
  <c r="BV56" i="31" a="1"/>
  <c r="BV56" i="31" s="1"/>
  <c r="BW56" i="31" a="1"/>
  <c r="BW56" i="31" s="1"/>
  <c r="BX56" i="31" a="1"/>
  <c r="BX56" i="31" s="1"/>
  <c r="BY56" i="31" a="1"/>
  <c r="BY56" i="31" s="1"/>
  <c r="BZ56" i="31" a="1"/>
  <c r="BZ56" i="31" s="1"/>
  <c r="CA56" i="31" a="1"/>
  <c r="CA56" i="31" s="1"/>
  <c r="CB56" i="31" a="1"/>
  <c r="CB56" i="31" s="1"/>
  <c r="CC56" i="31" a="1"/>
  <c r="CC56" i="31" s="1"/>
  <c r="BA54" i="31" a="1"/>
  <c r="BA54" i="31" s="1"/>
  <c r="BB54" i="31" a="1"/>
  <c r="BB54" i="31" s="1"/>
  <c r="BC54" i="31" a="1"/>
  <c r="BC54" i="31" s="1"/>
  <c r="BD54" i="31" a="1"/>
  <c r="BD54" i="31" s="1"/>
  <c r="BE54" i="31" a="1"/>
  <c r="BE54" i="31" s="1"/>
  <c r="BF54" i="31" a="1"/>
  <c r="BF54" i="31" s="1"/>
  <c r="BG54" i="31" a="1"/>
  <c r="BG54" i="31" s="1"/>
  <c r="BH54" i="31" a="1"/>
  <c r="BH54" i="31" s="1"/>
  <c r="BI54" i="31" a="1"/>
  <c r="BI54" i="31" s="1"/>
  <c r="BJ54" i="31" a="1"/>
  <c r="BJ54" i="31" s="1"/>
  <c r="BK54" i="31" a="1"/>
  <c r="BK54" i="31" s="1"/>
  <c r="BL54" i="31" a="1"/>
  <c r="BL54" i="31" s="1"/>
  <c r="BM54" i="31" a="1"/>
  <c r="BM54" i="31" s="1"/>
  <c r="BN54" i="31" a="1"/>
  <c r="BN54" i="31" s="1"/>
  <c r="BO54" i="31" a="1"/>
  <c r="BO54" i="31" s="1"/>
  <c r="BP54" i="31" a="1"/>
  <c r="BP54" i="31" s="1"/>
  <c r="BQ54" i="31" a="1"/>
  <c r="BQ54" i="31" s="1"/>
  <c r="BR54" i="31" a="1"/>
  <c r="BR54" i="31" s="1"/>
  <c r="BS54" i="31" a="1"/>
  <c r="BS54" i="31" s="1"/>
  <c r="BT54" i="31" a="1"/>
  <c r="BT54" i="31" s="1"/>
  <c r="BU54" i="31" a="1"/>
  <c r="BU54" i="31" s="1"/>
  <c r="BV54" i="31" a="1"/>
  <c r="BV54" i="31" s="1"/>
  <c r="BW54" i="31" a="1"/>
  <c r="BW54" i="31" s="1"/>
  <c r="BX54" i="31" a="1"/>
  <c r="BX54" i="31" s="1"/>
  <c r="BY54" i="31" a="1"/>
  <c r="BY54" i="31" s="1"/>
  <c r="BZ54" i="31" a="1"/>
  <c r="BZ54" i="31" s="1"/>
  <c r="CA54" i="31" a="1"/>
  <c r="CA54" i="31" s="1"/>
  <c r="CB54" i="31" a="1"/>
  <c r="CB54" i="31" s="1"/>
  <c r="CC54" i="31" a="1"/>
  <c r="CC54" i="31" s="1"/>
  <c r="BU125" i="31" a="1"/>
  <c r="BU125" i="31" s="1"/>
  <c r="BV125" i="31" a="1"/>
  <c r="BV125" i="31" s="1"/>
  <c r="BW125" i="31" a="1"/>
  <c r="BW125" i="31" s="1"/>
  <c r="BX125" i="31" a="1"/>
  <c r="BX125" i="31" s="1"/>
  <c r="BY125" i="31" a="1"/>
  <c r="BY125" i="31" s="1"/>
  <c r="BZ125" i="31" a="1"/>
  <c r="BZ125" i="31" s="1"/>
  <c r="CA125" i="31" a="1"/>
  <c r="CA125" i="31" s="1"/>
  <c r="CB125" i="31" a="1"/>
  <c r="CB125" i="31" s="1"/>
  <c r="CC125" i="31" a="1"/>
  <c r="CC125" i="31" s="1"/>
  <c r="CA131" i="31" a="1"/>
  <c r="CA131" i="31" s="1"/>
  <c r="CB131" i="31" a="1"/>
  <c r="CB131" i="31" s="1"/>
  <c r="CC131" i="31" a="1"/>
  <c r="CC131" i="31" s="1"/>
  <c r="BB55" i="31" a="1"/>
  <c r="BB55" i="31" s="1"/>
  <c r="V55" i="31" s="1"/>
  <c r="BC55" i="31" a="1"/>
  <c r="BC55" i="31" s="1"/>
  <c r="BD55" i="31" a="1"/>
  <c r="BD55" i="31" s="1"/>
  <c r="BE55" i="31" a="1"/>
  <c r="BE55" i="31" s="1"/>
  <c r="BF55" i="31" a="1"/>
  <c r="BF55" i="31" s="1"/>
  <c r="BG55" i="31" a="1"/>
  <c r="BG55" i="31" s="1"/>
  <c r="BH55" i="31" a="1"/>
  <c r="BH55" i="31" s="1"/>
  <c r="BI55" i="31" a="1"/>
  <c r="BI55" i="31" s="1"/>
  <c r="BJ55" i="31" a="1"/>
  <c r="BJ55" i="31" s="1"/>
  <c r="BK55" i="31" a="1"/>
  <c r="BK55" i="31" s="1"/>
  <c r="BL55" i="31" a="1"/>
  <c r="BL55" i="31" s="1"/>
  <c r="BM55" i="31" a="1"/>
  <c r="BM55" i="31" s="1"/>
  <c r="BN55" i="31" a="1"/>
  <c r="BN55" i="31" s="1"/>
  <c r="BO55" i="31" a="1"/>
  <c r="BO55" i="31" s="1"/>
  <c r="BP55" i="31" a="1"/>
  <c r="BP55" i="31" s="1"/>
  <c r="BQ55" i="31" a="1"/>
  <c r="BQ55" i="31" s="1"/>
  <c r="BR55" i="31" a="1"/>
  <c r="BR55" i="31" s="1"/>
  <c r="BS55" i="31" a="1"/>
  <c r="BS55" i="31" s="1"/>
  <c r="BT55" i="31" a="1"/>
  <c r="BT55" i="31" s="1"/>
  <c r="BU55" i="31" a="1"/>
  <c r="BU55" i="31" s="1"/>
  <c r="BV55" i="31" a="1"/>
  <c r="BV55" i="31" s="1"/>
  <c r="BW55" i="31" a="1"/>
  <c r="BW55" i="31" s="1"/>
  <c r="BX55" i="31" a="1"/>
  <c r="BX55" i="31" s="1"/>
  <c r="BY55" i="31" a="1"/>
  <c r="BY55" i="31" s="1"/>
  <c r="BZ55" i="31" a="1"/>
  <c r="BZ55" i="31" s="1"/>
  <c r="CA55" i="31" a="1"/>
  <c r="CA55" i="31" s="1"/>
  <c r="CB55" i="31" a="1"/>
  <c r="CB55" i="31" s="1"/>
  <c r="CC55" i="31" a="1"/>
  <c r="CC55" i="31" s="1"/>
  <c r="BX77" i="31" a="1"/>
  <c r="BX77" i="31" s="1"/>
  <c r="BY77" i="31" a="1"/>
  <c r="BY77" i="31" s="1"/>
  <c r="BZ77" i="31" a="1"/>
  <c r="BZ77" i="31" s="1"/>
  <c r="CA77" i="31" a="1"/>
  <c r="CA77" i="31" s="1"/>
  <c r="CB77" i="31" a="1"/>
  <c r="CB77" i="31" s="1"/>
  <c r="CC77" i="31" a="1"/>
  <c r="CC77" i="31" s="1"/>
  <c r="CC285" i="31" a="1"/>
  <c r="CC285" i="31" s="1"/>
  <c r="CB285" i="31" a="1"/>
  <c r="CB285" i="31" s="1"/>
  <c r="CA283" i="31" a="1"/>
  <c r="CA283" i="31" s="1"/>
  <c r="BZ283" i="31" a="1"/>
  <c r="BZ283" i="31" s="1"/>
  <c r="CB283" i="31" a="1"/>
  <c r="CB283" i="31" s="1"/>
  <c r="CC283" i="31" a="1"/>
  <c r="CC283" i="31" s="1"/>
  <c r="BN271" i="31" a="1"/>
  <c r="BN271" i="31" s="1"/>
  <c r="BO271" i="31" a="1"/>
  <c r="BO271" i="31" s="1"/>
  <c r="BP271" i="31" a="1"/>
  <c r="BP271" i="31" s="1"/>
  <c r="BQ271" i="31" a="1"/>
  <c r="BQ271" i="31" s="1"/>
  <c r="BR271" i="31" a="1"/>
  <c r="BR271" i="31" s="1"/>
  <c r="BS271" i="31" a="1"/>
  <c r="BS271" i="31" s="1"/>
  <c r="BT271" i="31" a="1"/>
  <c r="BT271" i="31" s="1"/>
  <c r="BU271" i="31" a="1"/>
  <c r="BU271" i="31" s="1"/>
  <c r="BV271" i="31" a="1"/>
  <c r="BV271" i="31" s="1"/>
  <c r="BW271" i="31" a="1"/>
  <c r="BW271" i="31" s="1"/>
  <c r="BX271" i="31" a="1"/>
  <c r="BX271" i="31" s="1"/>
  <c r="BY271" i="31" a="1"/>
  <c r="BY271" i="31" s="1"/>
  <c r="BZ271" i="31" a="1"/>
  <c r="BZ271" i="31" s="1"/>
  <c r="CA271" i="31" a="1"/>
  <c r="CA271" i="31" s="1"/>
  <c r="CB271" i="31" a="1"/>
  <c r="CB271" i="31" s="1"/>
  <c r="CC271" i="31" a="1"/>
  <c r="CC271" i="31" s="1"/>
  <c r="BJ265" i="31" a="1"/>
  <c r="BJ265" i="31" s="1"/>
  <c r="BH265" i="31" a="1"/>
  <c r="BH265" i="31" s="1"/>
  <c r="BI265" i="31" a="1"/>
  <c r="BI265" i="31" s="1"/>
  <c r="BK265" i="31" a="1"/>
  <c r="BK265" i="31" s="1"/>
  <c r="BL265" i="31" a="1"/>
  <c r="BL265" i="31" s="1"/>
  <c r="BM265" i="31" a="1"/>
  <c r="BM265" i="31" s="1"/>
  <c r="BN265" i="31" a="1"/>
  <c r="BN265" i="31" s="1"/>
  <c r="BO265" i="31" a="1"/>
  <c r="BO265" i="31" s="1"/>
  <c r="BP265" i="31" a="1"/>
  <c r="BP265" i="31" s="1"/>
  <c r="BQ265" i="31" a="1"/>
  <c r="BQ265" i="31" s="1"/>
  <c r="BR265" i="31" a="1"/>
  <c r="BR265" i="31" s="1"/>
  <c r="BS265" i="31" a="1"/>
  <c r="BS265" i="31" s="1"/>
  <c r="BT265" i="31" a="1"/>
  <c r="BT265" i="31" s="1"/>
  <c r="BU265" i="31" a="1"/>
  <c r="BU265" i="31" s="1"/>
  <c r="BV265" i="31" a="1"/>
  <c r="BV265" i="31" s="1"/>
  <c r="BW265" i="31" a="1"/>
  <c r="BW265" i="31" s="1"/>
  <c r="BX265" i="31" a="1"/>
  <c r="BX265" i="31" s="1"/>
  <c r="BY265" i="31" a="1"/>
  <c r="BY265" i="31" s="1"/>
  <c r="BZ265" i="31" a="1"/>
  <c r="BZ265" i="31" s="1"/>
  <c r="CA265" i="31" a="1"/>
  <c r="CA265" i="31" s="1"/>
  <c r="CB265" i="31" a="1"/>
  <c r="CB265" i="31" s="1"/>
  <c r="CC265" i="31" a="1"/>
  <c r="CC265" i="31" s="1"/>
  <c r="BJ259" i="31" a="1"/>
  <c r="BJ259" i="31" s="1"/>
  <c r="BB259" i="31" a="1"/>
  <c r="BB259" i="31" s="1"/>
  <c r="BC259" i="31" a="1"/>
  <c r="BC259" i="31" s="1"/>
  <c r="BD259" i="31" a="1"/>
  <c r="BD259" i="31" s="1"/>
  <c r="BE259" i="31" a="1"/>
  <c r="BE259" i="31" s="1"/>
  <c r="BF259" i="31" a="1"/>
  <c r="BF259" i="31" s="1"/>
  <c r="BG259" i="31" a="1"/>
  <c r="BG259" i="31" s="1"/>
  <c r="BH259" i="31" a="1"/>
  <c r="BH259" i="31" s="1"/>
  <c r="BI259" i="31" a="1"/>
  <c r="BI259" i="31" s="1"/>
  <c r="BK259" i="31" a="1"/>
  <c r="BK259" i="31" s="1"/>
  <c r="BL259" i="31" a="1"/>
  <c r="BL259" i="31" s="1"/>
  <c r="BM259" i="31" a="1"/>
  <c r="BM259" i="31" s="1"/>
  <c r="BN259" i="31" a="1"/>
  <c r="BN259" i="31" s="1"/>
  <c r="BO259" i="31" a="1"/>
  <c r="BO259" i="31" s="1"/>
  <c r="BP259" i="31" a="1"/>
  <c r="BP259" i="31" s="1"/>
  <c r="BQ259" i="31" a="1"/>
  <c r="BQ259" i="31" s="1"/>
  <c r="BR259" i="31" a="1"/>
  <c r="BR259" i="31" s="1"/>
  <c r="BS259" i="31" a="1"/>
  <c r="BS259" i="31" s="1"/>
  <c r="BT259" i="31" a="1"/>
  <c r="BT259" i="31" s="1"/>
  <c r="BU259" i="31" a="1"/>
  <c r="BU259" i="31" s="1"/>
  <c r="BV259" i="31" a="1"/>
  <c r="BV259" i="31" s="1"/>
  <c r="BW259" i="31" a="1"/>
  <c r="BW259" i="31" s="1"/>
  <c r="BX259" i="31" a="1"/>
  <c r="BX259" i="31" s="1"/>
  <c r="BY259" i="31" a="1"/>
  <c r="BY259" i="31" s="1"/>
  <c r="BZ259" i="31" a="1"/>
  <c r="BZ259" i="31" s="1"/>
  <c r="CA259" i="31" a="1"/>
  <c r="CA259" i="31" s="1"/>
  <c r="CB259" i="31" a="1"/>
  <c r="CB259" i="31" s="1"/>
  <c r="CC259" i="31" a="1"/>
  <c r="CC259" i="31" s="1"/>
  <c r="AS199" i="31" a="1"/>
  <c r="AS199" i="31" s="1"/>
  <c r="AT199" i="31" a="1"/>
  <c r="AT199" i="31" s="1"/>
  <c r="AU199" i="31" a="1"/>
  <c r="AU199" i="31" s="1"/>
  <c r="AV199" i="31" a="1"/>
  <c r="AV199" i="31" s="1"/>
  <c r="AW199" i="31" a="1"/>
  <c r="AW199" i="31" s="1"/>
  <c r="AX199" i="31" a="1"/>
  <c r="AX199" i="31" s="1"/>
  <c r="AY199" i="31" a="1"/>
  <c r="AY199" i="31" s="1"/>
  <c r="AZ199" i="31" a="1"/>
  <c r="AZ199" i="31" s="1"/>
  <c r="BA199" i="31" a="1"/>
  <c r="BA199" i="31" s="1"/>
  <c r="BB199" i="31" a="1"/>
  <c r="BB199" i="31" s="1"/>
  <c r="BC199" i="31" a="1"/>
  <c r="BC199" i="31" s="1"/>
  <c r="BD199" i="31" a="1"/>
  <c r="BD199" i="31" s="1"/>
  <c r="BE199" i="31" a="1"/>
  <c r="BE199" i="31" s="1"/>
  <c r="BF199" i="31" a="1"/>
  <c r="BF199" i="31" s="1"/>
  <c r="BG199" i="31" a="1"/>
  <c r="BG199" i="31" s="1"/>
  <c r="BH199" i="31" a="1"/>
  <c r="BH199" i="31" s="1"/>
  <c r="BI199" i="31" a="1"/>
  <c r="BI199" i="31" s="1"/>
  <c r="BJ199" i="31" a="1"/>
  <c r="BJ199" i="31" s="1"/>
  <c r="BK199" i="31" a="1"/>
  <c r="BK199" i="31" s="1"/>
  <c r="BL199" i="31" a="1"/>
  <c r="BL199" i="31" s="1"/>
  <c r="BM199" i="31" a="1"/>
  <c r="BM199" i="31" s="1"/>
  <c r="BN199" i="31" a="1"/>
  <c r="BN199" i="31" s="1"/>
  <c r="BO199" i="31" a="1"/>
  <c r="BO199" i="31" s="1"/>
  <c r="BP199" i="31" a="1"/>
  <c r="BP199" i="31" s="1"/>
  <c r="BQ199" i="31" a="1"/>
  <c r="BQ199" i="31" s="1"/>
  <c r="BR199" i="31" a="1"/>
  <c r="BR199" i="31" s="1"/>
  <c r="BS199" i="31" a="1"/>
  <c r="BS199" i="31" s="1"/>
  <c r="BT199" i="31" a="1"/>
  <c r="BT199" i="31" s="1"/>
  <c r="BU199" i="31" a="1"/>
  <c r="BU199" i="31" s="1"/>
  <c r="BV199" i="31" a="1"/>
  <c r="BV199" i="31" s="1"/>
  <c r="BW199" i="31" a="1"/>
  <c r="BW199" i="31" s="1"/>
  <c r="BX199" i="31" a="1"/>
  <c r="BX199" i="31" s="1"/>
  <c r="BY199" i="31" a="1"/>
  <c r="BY199" i="31" s="1"/>
  <c r="BZ199" i="31" a="1"/>
  <c r="BZ199" i="31" s="1"/>
  <c r="CA199" i="31" a="1"/>
  <c r="CA199" i="31" s="1"/>
  <c r="CB199" i="31" a="1"/>
  <c r="CB199" i="31" s="1"/>
  <c r="CC199" i="31" a="1"/>
  <c r="CC199" i="31" s="1"/>
  <c r="AO195" i="31" a="1"/>
  <c r="AO195" i="31" s="1"/>
  <c r="AP195" i="31" a="1"/>
  <c r="AP195" i="31" s="1"/>
  <c r="AQ195" i="31" a="1"/>
  <c r="AQ195" i="31" s="1"/>
  <c r="AR195" i="31" a="1"/>
  <c r="AR195" i="31" s="1"/>
  <c r="AS195" i="31" a="1"/>
  <c r="AS195" i="31" s="1"/>
  <c r="AT195" i="31" a="1"/>
  <c r="AT195" i="31" s="1"/>
  <c r="AU195" i="31" a="1"/>
  <c r="AU195" i="31" s="1"/>
  <c r="AV195" i="31" a="1"/>
  <c r="AV195" i="31" s="1"/>
  <c r="AW195" i="31" a="1"/>
  <c r="AW195" i="31" s="1"/>
  <c r="AX195" i="31" a="1"/>
  <c r="AX195" i="31" s="1"/>
  <c r="AY195" i="31" a="1"/>
  <c r="AY195" i="31" s="1"/>
  <c r="AZ195" i="31" a="1"/>
  <c r="AZ195" i="31" s="1"/>
  <c r="BA195" i="31" a="1"/>
  <c r="BA195" i="31" s="1"/>
  <c r="BB195" i="31" a="1"/>
  <c r="BB195" i="31" s="1"/>
  <c r="BC195" i="31" a="1"/>
  <c r="BC195" i="31" s="1"/>
  <c r="BD195" i="31" a="1"/>
  <c r="BD195" i="31" s="1"/>
  <c r="BE195" i="31" a="1"/>
  <c r="BE195" i="31" s="1"/>
  <c r="BF195" i="31" a="1"/>
  <c r="BF195" i="31" s="1"/>
  <c r="BG195" i="31" a="1"/>
  <c r="BG195" i="31" s="1"/>
  <c r="BH195" i="31" a="1"/>
  <c r="BH195" i="31" s="1"/>
  <c r="BI195" i="31" a="1"/>
  <c r="BI195" i="31" s="1"/>
  <c r="BJ195" i="31" a="1"/>
  <c r="BJ195" i="31" s="1"/>
  <c r="BK195" i="31" a="1"/>
  <c r="BK195" i="31" s="1"/>
  <c r="BL195" i="31" a="1"/>
  <c r="BL195" i="31" s="1"/>
  <c r="BM195" i="31" a="1"/>
  <c r="BM195" i="31" s="1"/>
  <c r="BN195" i="31" a="1"/>
  <c r="BN195" i="31" s="1"/>
  <c r="BO195" i="31" a="1"/>
  <c r="BO195" i="31" s="1"/>
  <c r="BP195" i="31" a="1"/>
  <c r="BP195" i="31" s="1"/>
  <c r="BQ195" i="31" a="1"/>
  <c r="BQ195" i="31" s="1"/>
  <c r="BR195" i="31" a="1"/>
  <c r="BR195" i="31" s="1"/>
  <c r="BS195" i="31" a="1"/>
  <c r="BS195" i="31" s="1"/>
  <c r="BT195" i="31" a="1"/>
  <c r="BT195" i="31" s="1"/>
  <c r="BU195" i="31" a="1"/>
  <c r="BU195" i="31" s="1"/>
  <c r="BV195" i="31" a="1"/>
  <c r="BV195" i="31" s="1"/>
  <c r="BW195" i="31" a="1"/>
  <c r="BW195" i="31" s="1"/>
  <c r="BX195" i="31" a="1"/>
  <c r="BX195" i="31" s="1"/>
  <c r="BY195" i="31" a="1"/>
  <c r="BY195" i="31" s="1"/>
  <c r="BZ195" i="31" a="1"/>
  <c r="BZ195" i="31" s="1"/>
  <c r="CA195" i="31" a="1"/>
  <c r="CA195" i="31" s="1"/>
  <c r="CB195" i="31" a="1"/>
  <c r="CB195" i="31" s="1"/>
  <c r="CC195" i="31" a="1"/>
  <c r="CC195" i="31" s="1"/>
  <c r="AI189" i="31" a="1"/>
  <c r="AI189" i="31" s="1"/>
  <c r="AJ189" i="31" a="1"/>
  <c r="AJ189" i="31" s="1"/>
  <c r="AK189" i="31" a="1"/>
  <c r="AK189" i="31" s="1"/>
  <c r="AL189" i="31" a="1"/>
  <c r="AL189" i="31" s="1"/>
  <c r="AM189" i="31" a="1"/>
  <c r="AM189" i="31" s="1"/>
  <c r="AN189" i="31" a="1"/>
  <c r="AN189" i="31" s="1"/>
  <c r="AO189" i="31" a="1"/>
  <c r="AO189" i="31" s="1"/>
  <c r="AP189" i="31" a="1"/>
  <c r="AP189" i="31" s="1"/>
  <c r="AQ189" i="31" a="1"/>
  <c r="AQ189" i="31" s="1"/>
  <c r="AR189" i="31" a="1"/>
  <c r="AR189" i="31" s="1"/>
  <c r="AS189" i="31" a="1"/>
  <c r="AS189" i="31" s="1"/>
  <c r="AT189" i="31" a="1"/>
  <c r="AT189" i="31" s="1"/>
  <c r="AU189" i="31" a="1"/>
  <c r="AU189" i="31" s="1"/>
  <c r="AV189" i="31" a="1"/>
  <c r="AV189" i="31" s="1"/>
  <c r="AW189" i="31" a="1"/>
  <c r="AW189" i="31" s="1"/>
  <c r="AX189" i="31" a="1"/>
  <c r="AX189" i="31" s="1"/>
  <c r="AY189" i="31" a="1"/>
  <c r="AY189" i="31" s="1"/>
  <c r="AZ189" i="31" a="1"/>
  <c r="AZ189" i="31" s="1"/>
  <c r="BA189" i="31" a="1"/>
  <c r="BA189" i="31" s="1"/>
  <c r="BB189" i="31" a="1"/>
  <c r="BB189" i="31" s="1"/>
  <c r="BC189" i="31" a="1"/>
  <c r="BC189" i="31" s="1"/>
  <c r="BD189" i="31" a="1"/>
  <c r="BD189" i="31" s="1"/>
  <c r="BE189" i="31" a="1"/>
  <c r="BE189" i="31" s="1"/>
  <c r="BF189" i="31" a="1"/>
  <c r="BF189" i="31" s="1"/>
  <c r="BG189" i="31" a="1"/>
  <c r="BG189" i="31" s="1"/>
  <c r="BH189" i="31" a="1"/>
  <c r="BH189" i="31" s="1"/>
  <c r="BI189" i="31" a="1"/>
  <c r="BI189" i="31" s="1"/>
  <c r="BJ189" i="31" a="1"/>
  <c r="BJ189" i="31" s="1"/>
  <c r="BK189" i="31" a="1"/>
  <c r="BK189" i="31" s="1"/>
  <c r="BL189" i="31" a="1"/>
  <c r="BL189" i="31" s="1"/>
  <c r="BM189" i="31" a="1"/>
  <c r="BM189" i="31" s="1"/>
  <c r="BN189" i="31" a="1"/>
  <c r="BN189" i="31" s="1"/>
  <c r="BO189" i="31" a="1"/>
  <c r="BO189" i="31" s="1"/>
  <c r="BP189" i="31" a="1"/>
  <c r="BP189" i="31" s="1"/>
  <c r="BQ189" i="31" a="1"/>
  <c r="BQ189" i="31" s="1"/>
  <c r="BR189" i="31" a="1"/>
  <c r="BR189" i="31" s="1"/>
  <c r="BS189" i="31" a="1"/>
  <c r="BS189" i="31" s="1"/>
  <c r="BT189" i="31" a="1"/>
  <c r="BT189" i="31" s="1"/>
  <c r="BU189" i="31" a="1"/>
  <c r="BU189" i="31" s="1"/>
  <c r="BV189" i="31" a="1"/>
  <c r="BV189" i="31" s="1"/>
  <c r="BW189" i="31" a="1"/>
  <c r="BW189" i="31" s="1"/>
  <c r="BX189" i="31" a="1"/>
  <c r="BX189" i="31" s="1"/>
  <c r="BY189" i="31" a="1"/>
  <c r="BY189" i="31" s="1"/>
  <c r="BZ189" i="31" a="1"/>
  <c r="BZ189" i="31" s="1"/>
  <c r="CA189" i="31" a="1"/>
  <c r="CA189" i="31" s="1"/>
  <c r="CB189" i="31" a="1"/>
  <c r="CB189" i="31" s="1"/>
  <c r="CC189" i="31" a="1"/>
  <c r="CC189" i="31" s="1"/>
  <c r="BL167" i="31" a="1"/>
  <c r="BL167" i="31" s="1"/>
  <c r="BM167" i="31" a="1"/>
  <c r="BM167" i="31" s="1"/>
  <c r="BN167" i="31" a="1"/>
  <c r="BN167" i="31" s="1"/>
  <c r="BO167" i="31" a="1"/>
  <c r="BO167" i="31" s="1"/>
  <c r="BP167" i="31" a="1"/>
  <c r="BP167" i="31" s="1"/>
  <c r="BQ167" i="31" a="1"/>
  <c r="BQ167" i="31" s="1"/>
  <c r="BR167" i="31" a="1"/>
  <c r="BR167" i="31" s="1"/>
  <c r="BS167" i="31" a="1"/>
  <c r="BS167" i="31" s="1"/>
  <c r="BT167" i="31" a="1"/>
  <c r="BT167" i="31" s="1"/>
  <c r="BU167" i="31" a="1"/>
  <c r="BU167" i="31" s="1"/>
  <c r="BV167" i="31" a="1"/>
  <c r="BV167" i="31" s="1"/>
  <c r="BW167" i="31" a="1"/>
  <c r="BW167" i="31" s="1"/>
  <c r="BX167" i="31" a="1"/>
  <c r="BX167" i="31" s="1"/>
  <c r="BY167" i="31" a="1"/>
  <c r="BY167" i="31" s="1"/>
  <c r="BZ167" i="31" a="1"/>
  <c r="BZ167" i="31" s="1"/>
  <c r="CA167" i="31" a="1"/>
  <c r="CA167" i="31" s="1"/>
  <c r="CB167" i="31" a="1"/>
  <c r="CB167" i="31" s="1"/>
  <c r="CC167" i="31" a="1"/>
  <c r="CC167" i="31" s="1"/>
  <c r="BQ172" i="31" a="1"/>
  <c r="BQ172" i="31" s="1"/>
  <c r="BR172" i="31" a="1"/>
  <c r="BR172" i="31" s="1"/>
  <c r="BS172" i="31" a="1"/>
  <c r="BS172" i="31" s="1"/>
  <c r="BT172" i="31" a="1"/>
  <c r="BT172" i="31" s="1"/>
  <c r="BU172" i="31" a="1"/>
  <c r="BU172" i="31" s="1"/>
  <c r="BV172" i="31" a="1"/>
  <c r="BV172" i="31" s="1"/>
  <c r="BW172" i="31" a="1"/>
  <c r="BW172" i="31" s="1"/>
  <c r="BX172" i="31" a="1"/>
  <c r="BX172" i="31" s="1"/>
  <c r="BY172" i="31" a="1"/>
  <c r="BY172" i="31" s="1"/>
  <c r="BZ172" i="31" a="1"/>
  <c r="BZ172" i="31" s="1"/>
  <c r="CA172" i="31" a="1"/>
  <c r="CA172" i="31" s="1"/>
  <c r="CB172" i="31" a="1"/>
  <c r="CB172" i="31" s="1"/>
  <c r="CC172" i="31" a="1"/>
  <c r="CC172" i="31" s="1"/>
  <c r="BE160" i="31" a="1"/>
  <c r="BE160" i="31" s="1"/>
  <c r="BF160" i="31" a="1"/>
  <c r="BF160" i="31" s="1"/>
  <c r="BG160" i="31" a="1"/>
  <c r="BG160" i="31" s="1"/>
  <c r="BH160" i="31" a="1"/>
  <c r="BH160" i="31" s="1"/>
  <c r="BI160" i="31" a="1"/>
  <c r="BI160" i="31" s="1"/>
  <c r="BJ160" i="31" a="1"/>
  <c r="BJ160" i="31" s="1"/>
  <c r="BK160" i="31" a="1"/>
  <c r="BK160" i="31" s="1"/>
  <c r="BL160" i="31" a="1"/>
  <c r="BL160" i="31" s="1"/>
  <c r="BM160" i="31" a="1"/>
  <c r="BM160" i="31" s="1"/>
  <c r="BN160" i="31" a="1"/>
  <c r="BN160" i="31" s="1"/>
  <c r="BO160" i="31" a="1"/>
  <c r="BO160" i="31" s="1"/>
  <c r="BP160" i="31" a="1"/>
  <c r="BP160" i="31" s="1"/>
  <c r="BQ160" i="31" a="1"/>
  <c r="BQ160" i="31" s="1"/>
  <c r="BR160" i="31" a="1"/>
  <c r="BR160" i="31" s="1"/>
  <c r="BS160" i="31" a="1"/>
  <c r="BS160" i="31" s="1"/>
  <c r="BT160" i="31" a="1"/>
  <c r="BT160" i="31" s="1"/>
  <c r="BU160" i="31" a="1"/>
  <c r="BU160" i="31" s="1"/>
  <c r="BV160" i="31" a="1"/>
  <c r="BV160" i="31" s="1"/>
  <c r="BW160" i="31" a="1"/>
  <c r="BW160" i="31" s="1"/>
  <c r="BX160" i="31" a="1"/>
  <c r="BX160" i="31" s="1"/>
  <c r="BY160" i="31" a="1"/>
  <c r="BY160" i="31" s="1"/>
  <c r="BZ160" i="31" a="1"/>
  <c r="BZ160" i="31" s="1"/>
  <c r="CA160" i="31" a="1"/>
  <c r="CA160" i="31" s="1"/>
  <c r="CB160" i="31" a="1"/>
  <c r="CB160" i="31" s="1"/>
  <c r="CC160" i="31" a="1"/>
  <c r="CC160" i="31" s="1"/>
  <c r="BF161" i="31" a="1"/>
  <c r="BF161" i="31" s="1"/>
  <c r="BG161" i="31" a="1"/>
  <c r="BG161" i="31" s="1"/>
  <c r="BH161" i="31" a="1"/>
  <c r="BH161" i="31" s="1"/>
  <c r="BI161" i="31" a="1"/>
  <c r="BI161" i="31" s="1"/>
  <c r="BJ161" i="31" a="1"/>
  <c r="BJ161" i="31" s="1"/>
  <c r="BK161" i="31" a="1"/>
  <c r="BK161" i="31" s="1"/>
  <c r="BL161" i="31" a="1"/>
  <c r="BL161" i="31" s="1"/>
  <c r="BM161" i="31" a="1"/>
  <c r="BM161" i="31" s="1"/>
  <c r="BN161" i="31" a="1"/>
  <c r="BN161" i="31" s="1"/>
  <c r="BO161" i="31" a="1"/>
  <c r="BO161" i="31" s="1"/>
  <c r="BP161" i="31" a="1"/>
  <c r="BP161" i="31" s="1"/>
  <c r="BQ161" i="31" a="1"/>
  <c r="BQ161" i="31" s="1"/>
  <c r="BR161" i="31" a="1"/>
  <c r="BR161" i="31" s="1"/>
  <c r="BS161" i="31" a="1"/>
  <c r="BS161" i="31" s="1"/>
  <c r="BT161" i="31" a="1"/>
  <c r="BT161" i="31" s="1"/>
  <c r="BU161" i="31" a="1"/>
  <c r="BU161" i="31" s="1"/>
  <c r="BV161" i="31" a="1"/>
  <c r="BV161" i="31" s="1"/>
  <c r="BW161" i="31" a="1"/>
  <c r="BW161" i="31" s="1"/>
  <c r="BX161" i="31" a="1"/>
  <c r="BX161" i="31" s="1"/>
  <c r="BY161" i="31" a="1"/>
  <c r="BY161" i="31" s="1"/>
  <c r="BZ161" i="31" a="1"/>
  <c r="BZ161" i="31" s="1"/>
  <c r="CA161" i="31" a="1"/>
  <c r="CA161" i="31" s="1"/>
  <c r="CB161" i="31" a="1"/>
  <c r="CB161" i="31" s="1"/>
  <c r="CC161" i="31" a="1"/>
  <c r="CC161" i="31" s="1"/>
  <c r="AN194" i="31" a="1"/>
  <c r="AN194" i="31" s="1"/>
  <c r="AO194" i="31" a="1"/>
  <c r="AO194" i="31" s="1"/>
  <c r="AP194" i="31" a="1"/>
  <c r="AP194" i="31" s="1"/>
  <c r="AQ194" i="31" a="1"/>
  <c r="AQ194" i="31" s="1"/>
  <c r="AR194" i="31" a="1"/>
  <c r="AR194" i="31" s="1"/>
  <c r="AS194" i="31" a="1"/>
  <c r="AS194" i="31" s="1"/>
  <c r="AT194" i="31" a="1"/>
  <c r="AT194" i="31" s="1"/>
  <c r="AU194" i="31" a="1"/>
  <c r="AU194" i="31" s="1"/>
  <c r="AV194" i="31" a="1"/>
  <c r="AV194" i="31" s="1"/>
  <c r="AW194" i="31" a="1"/>
  <c r="AW194" i="31" s="1"/>
  <c r="AX194" i="31" a="1"/>
  <c r="AX194" i="31" s="1"/>
  <c r="AY194" i="31" a="1"/>
  <c r="AY194" i="31" s="1"/>
  <c r="AZ194" i="31" a="1"/>
  <c r="AZ194" i="31" s="1"/>
  <c r="BA194" i="31" a="1"/>
  <c r="BA194" i="31" s="1"/>
  <c r="BB194" i="31" a="1"/>
  <c r="BB194" i="31" s="1"/>
  <c r="BC194" i="31" a="1"/>
  <c r="BC194" i="31" s="1"/>
  <c r="BD194" i="31" a="1"/>
  <c r="BD194" i="31" s="1"/>
  <c r="BE194" i="31" a="1"/>
  <c r="BE194" i="31" s="1"/>
  <c r="BF194" i="31" a="1"/>
  <c r="BF194" i="31" s="1"/>
  <c r="BG194" i="31" a="1"/>
  <c r="BG194" i="31" s="1"/>
  <c r="BH194" i="31" a="1"/>
  <c r="BH194" i="31" s="1"/>
  <c r="BI194" i="31" a="1"/>
  <c r="BI194" i="31" s="1"/>
  <c r="BJ194" i="31" a="1"/>
  <c r="BJ194" i="31" s="1"/>
  <c r="BK194" i="31" a="1"/>
  <c r="BK194" i="31" s="1"/>
  <c r="BL194" i="31" a="1"/>
  <c r="BL194" i="31" s="1"/>
  <c r="BM194" i="31" a="1"/>
  <c r="BM194" i="31" s="1"/>
  <c r="BN194" i="31" a="1"/>
  <c r="BN194" i="31" s="1"/>
  <c r="BO194" i="31" a="1"/>
  <c r="BO194" i="31" s="1"/>
  <c r="BP194" i="31" a="1"/>
  <c r="BP194" i="31" s="1"/>
  <c r="BQ194" i="31" a="1"/>
  <c r="BQ194" i="31" s="1"/>
  <c r="BR194" i="31" a="1"/>
  <c r="BR194" i="31" s="1"/>
  <c r="BS194" i="31" a="1"/>
  <c r="BS194" i="31" s="1"/>
  <c r="BT194" i="31" a="1"/>
  <c r="BT194" i="31" s="1"/>
  <c r="BU194" i="31" a="1"/>
  <c r="BU194" i="31" s="1"/>
  <c r="BV194" i="31" a="1"/>
  <c r="BV194" i="31" s="1"/>
  <c r="BW194" i="31" a="1"/>
  <c r="BW194" i="31" s="1"/>
  <c r="BX194" i="31" a="1"/>
  <c r="BX194" i="31" s="1"/>
  <c r="BY194" i="31" a="1"/>
  <c r="BY194" i="31" s="1"/>
  <c r="BZ194" i="31" a="1"/>
  <c r="BZ194" i="31" s="1"/>
  <c r="CA194" i="31" a="1"/>
  <c r="CA194" i="31" s="1"/>
  <c r="CB194" i="31" a="1"/>
  <c r="CB194" i="31" s="1"/>
  <c r="CC194" i="31" a="1"/>
  <c r="CC194" i="31" s="1"/>
  <c r="AK241" i="31" a="1"/>
  <c r="AK241" i="31" s="1"/>
  <c r="AJ241" i="31" a="1"/>
  <c r="AJ241" i="31" s="1"/>
  <c r="AL241" i="31" a="1"/>
  <c r="AL241" i="31" s="1"/>
  <c r="AM241" i="31" a="1"/>
  <c r="AM241" i="31" s="1"/>
  <c r="AN241" i="31" a="1"/>
  <c r="AN241" i="31" s="1"/>
  <c r="AO241" i="31" a="1"/>
  <c r="AO241" i="31" s="1"/>
  <c r="AP241" i="31" a="1"/>
  <c r="AP241" i="31" s="1"/>
  <c r="AQ241" i="31" a="1"/>
  <c r="AQ241" i="31" s="1"/>
  <c r="AR241" i="31" a="1"/>
  <c r="AR241" i="31" s="1"/>
  <c r="AS241" i="31" a="1"/>
  <c r="AS241" i="31" s="1"/>
  <c r="AT241" i="31" a="1"/>
  <c r="AT241" i="31" s="1"/>
  <c r="AU241" i="31" a="1"/>
  <c r="AU241" i="31" s="1"/>
  <c r="AV241" i="31" a="1"/>
  <c r="AV241" i="31" s="1"/>
  <c r="AW241" i="31" a="1"/>
  <c r="AW241" i="31" s="1"/>
  <c r="AX241" i="31" a="1"/>
  <c r="AX241" i="31" s="1"/>
  <c r="AY241" i="31" a="1"/>
  <c r="AY241" i="31" s="1"/>
  <c r="AZ241" i="31" a="1"/>
  <c r="AZ241" i="31" s="1"/>
  <c r="BA241" i="31" a="1"/>
  <c r="BA241" i="31" s="1"/>
  <c r="BB241" i="31" a="1"/>
  <c r="BB241" i="31" s="1"/>
  <c r="BC241" i="31" a="1"/>
  <c r="BC241" i="31" s="1"/>
  <c r="BD241" i="31" a="1"/>
  <c r="BD241" i="31" s="1"/>
  <c r="BE241" i="31" a="1"/>
  <c r="BE241" i="31" s="1"/>
  <c r="BF241" i="31" a="1"/>
  <c r="BF241" i="31" s="1"/>
  <c r="BG241" i="31" a="1"/>
  <c r="BG241" i="31" s="1"/>
  <c r="BH241" i="31" a="1"/>
  <c r="BH241" i="31" s="1"/>
  <c r="BI241" i="31" a="1"/>
  <c r="BI241" i="31" s="1"/>
  <c r="BJ241" i="31" a="1"/>
  <c r="BJ241" i="31" s="1"/>
  <c r="BK241" i="31" a="1"/>
  <c r="BK241" i="31" s="1"/>
  <c r="BL241" i="31" a="1"/>
  <c r="BL241" i="31" s="1"/>
  <c r="BM241" i="31" a="1"/>
  <c r="BM241" i="31" s="1"/>
  <c r="BN241" i="31" a="1"/>
  <c r="BN241" i="31" s="1"/>
  <c r="BO241" i="31" a="1"/>
  <c r="BO241" i="31" s="1"/>
  <c r="BP241" i="31" a="1"/>
  <c r="BP241" i="31" s="1"/>
  <c r="BQ241" i="31" a="1"/>
  <c r="BQ241" i="31" s="1"/>
  <c r="BR241" i="31" a="1"/>
  <c r="BR241" i="31" s="1"/>
  <c r="BS241" i="31" a="1"/>
  <c r="BS241" i="31" s="1"/>
  <c r="BT241" i="31" a="1"/>
  <c r="BT241" i="31" s="1"/>
  <c r="BU241" i="31" a="1"/>
  <c r="BU241" i="31" s="1"/>
  <c r="BV241" i="31" a="1"/>
  <c r="BV241" i="31" s="1"/>
  <c r="BW241" i="31" a="1"/>
  <c r="BW241" i="31" s="1"/>
  <c r="BX241" i="31" a="1"/>
  <c r="BX241" i="31" s="1"/>
  <c r="BY241" i="31" a="1"/>
  <c r="BY241" i="31" s="1"/>
  <c r="BZ241" i="31" a="1"/>
  <c r="BZ241" i="31" s="1"/>
  <c r="CA241" i="31" a="1"/>
  <c r="CA241" i="31" s="1"/>
  <c r="CB241" i="31" a="1"/>
  <c r="CB241" i="31" s="1"/>
  <c r="CC241" i="31" a="1"/>
  <c r="CC241" i="31" s="1"/>
  <c r="BL218" i="31" a="1"/>
  <c r="BL218" i="31" s="1"/>
  <c r="BM218" i="31" a="1"/>
  <c r="BM218" i="31" s="1"/>
  <c r="BN218" i="31" a="1"/>
  <c r="BN218" i="31" s="1"/>
  <c r="BO218" i="31" a="1"/>
  <c r="BO218" i="31" s="1"/>
  <c r="BP218" i="31" a="1"/>
  <c r="BP218" i="31" s="1"/>
  <c r="BQ218" i="31" a="1"/>
  <c r="BQ218" i="31" s="1"/>
  <c r="BR218" i="31" a="1"/>
  <c r="BR218" i="31" s="1"/>
  <c r="BS218" i="31" a="1"/>
  <c r="BS218" i="31" s="1"/>
  <c r="BT218" i="31" a="1"/>
  <c r="BT218" i="31" s="1"/>
  <c r="BU218" i="31" a="1"/>
  <c r="BU218" i="31" s="1"/>
  <c r="BV218" i="31" a="1"/>
  <c r="BV218" i="31" s="1"/>
  <c r="BW218" i="31" a="1"/>
  <c r="BW218" i="31" s="1"/>
  <c r="BX218" i="31" a="1"/>
  <c r="BX218" i="31" s="1"/>
  <c r="BY218" i="31" a="1"/>
  <c r="BY218" i="31" s="1"/>
  <c r="BZ218" i="31" a="1"/>
  <c r="BZ218" i="31" s="1"/>
  <c r="CA218" i="31" a="1"/>
  <c r="CA218" i="31" s="1"/>
  <c r="CB218" i="31" a="1"/>
  <c r="CB218" i="31" s="1"/>
  <c r="CC218" i="31" a="1"/>
  <c r="CC218" i="31" s="1"/>
  <c r="AN143" i="31" a="1"/>
  <c r="AN143" i="31" s="1"/>
  <c r="AO143" i="31" a="1"/>
  <c r="AO143" i="31" s="1"/>
  <c r="AP143" i="31" a="1"/>
  <c r="AP143" i="31" s="1"/>
  <c r="AQ143" i="31" a="1"/>
  <c r="AQ143" i="31" s="1"/>
  <c r="AR143" i="31" a="1"/>
  <c r="AR143" i="31" s="1"/>
  <c r="AS143" i="31" a="1"/>
  <c r="AS143" i="31" s="1"/>
  <c r="AT143" i="31" a="1"/>
  <c r="AT143" i="31" s="1"/>
  <c r="AU143" i="31" a="1"/>
  <c r="AU143" i="31" s="1"/>
  <c r="AV143" i="31" a="1"/>
  <c r="AV143" i="31" s="1"/>
  <c r="AW143" i="31" a="1"/>
  <c r="AW143" i="31" s="1"/>
  <c r="AX143" i="31" a="1"/>
  <c r="AX143" i="31" s="1"/>
  <c r="AY143" i="31" a="1"/>
  <c r="AY143" i="31" s="1"/>
  <c r="AZ143" i="31" a="1"/>
  <c r="AZ143" i="31" s="1"/>
  <c r="BA143" i="31" a="1"/>
  <c r="BA143" i="31" s="1"/>
  <c r="BB143" i="31" a="1"/>
  <c r="BB143" i="31" s="1"/>
  <c r="BC143" i="31" a="1"/>
  <c r="BC143" i="31" s="1"/>
  <c r="BD143" i="31" a="1"/>
  <c r="BD143" i="31" s="1"/>
  <c r="BE143" i="31" a="1"/>
  <c r="BE143" i="31" s="1"/>
  <c r="BF143" i="31" a="1"/>
  <c r="BF143" i="31" s="1"/>
  <c r="BG143" i="31" a="1"/>
  <c r="BG143" i="31" s="1"/>
  <c r="BH143" i="31" a="1"/>
  <c r="BH143" i="31" s="1"/>
  <c r="BI143" i="31" a="1"/>
  <c r="BI143" i="31" s="1"/>
  <c r="BJ143" i="31" a="1"/>
  <c r="BJ143" i="31" s="1"/>
  <c r="BK143" i="31" a="1"/>
  <c r="BK143" i="31" s="1"/>
  <c r="BL143" i="31" a="1"/>
  <c r="BL143" i="31" s="1"/>
  <c r="BM143" i="31" a="1"/>
  <c r="BM143" i="31" s="1"/>
  <c r="BN143" i="31" a="1"/>
  <c r="BN143" i="31" s="1"/>
  <c r="BO143" i="31" a="1"/>
  <c r="BO143" i="31" s="1"/>
  <c r="BP143" i="31" a="1"/>
  <c r="BP143" i="31" s="1"/>
  <c r="BQ143" i="31" a="1"/>
  <c r="BQ143" i="31" s="1"/>
  <c r="BR143" i="31" a="1"/>
  <c r="BR143" i="31" s="1"/>
  <c r="BS143" i="31" a="1"/>
  <c r="BS143" i="31" s="1"/>
  <c r="BT143" i="31" a="1"/>
  <c r="BT143" i="31" s="1"/>
  <c r="BU143" i="31" a="1"/>
  <c r="BU143" i="31" s="1"/>
  <c r="BV143" i="31" a="1"/>
  <c r="BV143" i="31" s="1"/>
  <c r="BW143" i="31" a="1"/>
  <c r="BW143" i="31" s="1"/>
  <c r="BX143" i="31" a="1"/>
  <c r="BX143" i="31" s="1"/>
  <c r="BY143" i="31" a="1"/>
  <c r="BY143" i="31" s="1"/>
  <c r="BZ143" i="31" a="1"/>
  <c r="BZ143" i="31" s="1"/>
  <c r="CA143" i="31" a="1"/>
  <c r="CA143" i="31" s="1"/>
  <c r="CB143" i="31" a="1"/>
  <c r="CB143" i="31" s="1"/>
  <c r="CC143" i="31" a="1"/>
  <c r="CC143" i="31" s="1"/>
  <c r="BE211" i="31" a="1"/>
  <c r="BE211" i="31" s="1"/>
  <c r="BF211" i="31" a="1"/>
  <c r="BF211" i="31" s="1"/>
  <c r="BG211" i="31" a="1"/>
  <c r="BG211" i="31" s="1"/>
  <c r="BH211" i="31" a="1"/>
  <c r="BH211" i="31" s="1"/>
  <c r="BI211" i="31" a="1"/>
  <c r="BI211" i="31" s="1"/>
  <c r="BJ211" i="31" a="1"/>
  <c r="BJ211" i="31" s="1"/>
  <c r="BK211" i="31" a="1"/>
  <c r="BK211" i="31" s="1"/>
  <c r="BL211" i="31" a="1"/>
  <c r="BL211" i="31" s="1"/>
  <c r="BM211" i="31" a="1"/>
  <c r="BM211" i="31" s="1"/>
  <c r="BN211" i="31" a="1"/>
  <c r="BN211" i="31" s="1"/>
  <c r="BO211" i="31" a="1"/>
  <c r="BO211" i="31" s="1"/>
  <c r="BP211" i="31" a="1"/>
  <c r="BP211" i="31" s="1"/>
  <c r="BQ211" i="31" a="1"/>
  <c r="BQ211" i="31" s="1"/>
  <c r="BR211" i="31" a="1"/>
  <c r="BR211" i="31" s="1"/>
  <c r="BS211" i="31" a="1"/>
  <c r="BS211" i="31" s="1"/>
  <c r="BT211" i="31" a="1"/>
  <c r="BT211" i="31" s="1"/>
  <c r="BU211" i="31" a="1"/>
  <c r="BU211" i="31" s="1"/>
  <c r="BV211" i="31" a="1"/>
  <c r="BV211" i="31" s="1"/>
  <c r="BW211" i="31" a="1"/>
  <c r="BW211" i="31" s="1"/>
  <c r="BX211" i="31" a="1"/>
  <c r="BX211" i="31" s="1"/>
  <c r="BY211" i="31" a="1"/>
  <c r="BY211" i="31" s="1"/>
  <c r="BZ211" i="31" a="1"/>
  <c r="BZ211" i="31" s="1"/>
  <c r="CA211" i="31" a="1"/>
  <c r="CA211" i="31" s="1"/>
  <c r="CB211" i="31" a="1"/>
  <c r="CB211" i="31" s="1"/>
  <c r="CC211" i="31" a="1"/>
  <c r="CC211" i="31" s="1"/>
  <c r="BZ181" i="31" a="1"/>
  <c r="BZ181" i="31" s="1"/>
  <c r="CA181" i="31" a="1"/>
  <c r="CA181" i="31" s="1"/>
  <c r="CB181" i="31" a="1"/>
  <c r="CB181" i="31" s="1"/>
  <c r="CC181" i="31" a="1"/>
  <c r="CC181" i="31" s="1"/>
  <c r="J170" i="31"/>
  <c r="J109" i="31"/>
  <c r="R76" i="31"/>
  <c r="M286" i="31"/>
  <c r="AE286" i="31"/>
  <c r="J154" i="31"/>
  <c r="J163" i="31"/>
  <c r="J169" i="31"/>
  <c r="J177" i="31"/>
  <c r="J106" i="31"/>
  <c r="R60" i="31"/>
  <c r="U52" i="31"/>
  <c r="J183" i="31"/>
  <c r="J178" i="31"/>
  <c r="J111" i="31"/>
  <c r="J126" i="31"/>
  <c r="J120" i="31"/>
  <c r="M235" i="31"/>
  <c r="AE235" i="31"/>
  <c r="R77" i="31"/>
  <c r="AC57" i="31"/>
  <c r="S57" i="31"/>
  <c r="J166" i="31"/>
  <c r="AE133" i="31"/>
  <c r="M133" i="31"/>
  <c r="J98" i="31"/>
  <c r="R64" i="31"/>
  <c r="J103" i="31"/>
  <c r="J128" i="31"/>
  <c r="R43" i="31"/>
  <c r="AE184" i="31"/>
  <c r="M184" i="31"/>
  <c r="R75" i="31"/>
  <c r="S62" i="31"/>
  <c r="Q41" i="31"/>
  <c r="J100" i="31"/>
  <c r="R80" i="31"/>
  <c r="R66" i="31"/>
  <c r="J173" i="31"/>
  <c r="J176" i="31"/>
  <c r="J152" i="31"/>
  <c r="J125" i="31"/>
  <c r="J160" i="31"/>
  <c r="J131" i="31"/>
  <c r="J151" i="31"/>
  <c r="R55" i="31"/>
  <c r="AB70" i="31"/>
  <c r="AE70" i="31"/>
  <c r="R70" i="31"/>
  <c r="J113" i="31"/>
  <c r="J172" i="31"/>
  <c r="J122" i="31"/>
  <c r="J129" i="31"/>
  <c r="R53" i="31"/>
  <c r="J119" i="31"/>
  <c r="J158" i="31"/>
  <c r="J167" i="31"/>
  <c r="AD91" i="31"/>
  <c r="J164" i="31"/>
  <c r="J112" i="31"/>
  <c r="J157" i="31"/>
  <c r="R63" i="31"/>
  <c r="P37" i="31"/>
  <c r="J149" i="31"/>
  <c r="J105" i="31"/>
  <c r="Z95" i="31"/>
  <c r="S74" i="31"/>
  <c r="J168" i="31"/>
  <c r="J281" i="31"/>
  <c r="J124" i="31"/>
  <c r="BM80" i="29"/>
  <c r="BN80" i="29"/>
  <c r="BO80" i="29"/>
  <c r="BP80" i="29"/>
  <c r="BQ80" i="29"/>
  <c r="BR80" i="29"/>
  <c r="BS80" i="29"/>
  <c r="BT80" i="29"/>
  <c r="BU80" i="29"/>
  <c r="BV80" i="29"/>
  <c r="BW80" i="29"/>
  <c r="BX80" i="29"/>
  <c r="BY80" i="29"/>
  <c r="BZ80" i="29"/>
  <c r="BM69" i="22"/>
  <c r="BN69" i="22"/>
  <c r="BO69" i="22"/>
  <c r="BP69" i="22"/>
  <c r="BQ69" i="22"/>
  <c r="BR69" i="22"/>
  <c r="BS69" i="22"/>
  <c r="BT69" i="22"/>
  <c r="BU69" i="22"/>
  <c r="BV69" i="22"/>
  <c r="BW69" i="22"/>
  <c r="BX69" i="22"/>
  <c r="BY69" i="22"/>
  <c r="BZ69" i="22"/>
  <c r="AD47" i="31" l="1"/>
  <c r="AI186" i="31"/>
  <c r="AB69" i="22"/>
  <c r="Z69" i="22"/>
  <c r="X69" i="22"/>
  <c r="I69" i="22"/>
  <c r="AA69" i="22"/>
  <c r="J69" i="22"/>
  <c r="Y69" i="22"/>
  <c r="AD113" i="31"/>
  <c r="Z106" i="31"/>
  <c r="AC47" i="31"/>
  <c r="AE123" i="31"/>
  <c r="AB57" i="31"/>
  <c r="AI237" i="31"/>
  <c r="AE39" i="31"/>
  <c r="AC42" i="31"/>
  <c r="AE139" i="31"/>
  <c r="Y100" i="31"/>
  <c r="Y192" i="31"/>
  <c r="AI33" i="31"/>
  <c r="AC39" i="31"/>
  <c r="AS33" i="31"/>
  <c r="AB71" i="31"/>
  <c r="AA97" i="31"/>
  <c r="AD39" i="31"/>
  <c r="Z101" i="31"/>
  <c r="AC242" i="31"/>
  <c r="AE160" i="31"/>
  <c r="Z260" i="31"/>
  <c r="AA151" i="31"/>
  <c r="W152" i="31"/>
  <c r="AJ186" i="31"/>
  <c r="S191" i="31"/>
  <c r="AB49" i="31"/>
  <c r="AB48" i="31"/>
  <c r="AB47" i="31"/>
  <c r="AA57" i="31"/>
  <c r="Y49" i="31"/>
  <c r="R42" i="31"/>
  <c r="Z39" i="31"/>
  <c r="AD49" i="31"/>
  <c r="AD71" i="31"/>
  <c r="V48" i="31"/>
  <c r="AC71" i="31"/>
  <c r="U48" i="31"/>
  <c r="U243" i="31"/>
  <c r="Y253" i="31"/>
  <c r="AD228" i="31"/>
  <c r="Z203" i="31"/>
  <c r="AE228" i="31"/>
  <c r="V243" i="31"/>
  <c r="AE242" i="31"/>
  <c r="AD224" i="31"/>
  <c r="AA253" i="31"/>
  <c r="AC225" i="31"/>
  <c r="U191" i="31"/>
  <c r="Z189" i="31"/>
  <c r="S192" i="31"/>
  <c r="AD176" i="31"/>
  <c r="AD242" i="31"/>
  <c r="AC224" i="31"/>
  <c r="Z253" i="31"/>
  <c r="AE150" i="31"/>
  <c r="X152" i="31"/>
  <c r="Z144" i="31"/>
  <c r="AD150" i="31"/>
  <c r="R142" i="31"/>
  <c r="W154" i="31"/>
  <c r="AD160" i="31"/>
  <c r="AA144" i="31"/>
  <c r="W145" i="31"/>
  <c r="Z152" i="31"/>
  <c r="AD163" i="31"/>
  <c r="Y214" i="31"/>
  <c r="AD227" i="31"/>
  <c r="AC264" i="31"/>
  <c r="AE161" i="31"/>
  <c r="AA160" i="31"/>
  <c r="Z242" i="31"/>
  <c r="W203" i="31"/>
  <c r="AD192" i="31"/>
  <c r="V144" i="31"/>
  <c r="AC149" i="31"/>
  <c r="AD152" i="31"/>
  <c r="AD214" i="31"/>
  <c r="V197" i="31"/>
  <c r="V149" i="31"/>
  <c r="Z164" i="31"/>
  <c r="AA203" i="31"/>
  <c r="AA260" i="31"/>
  <c r="Y189" i="31"/>
  <c r="W95" i="31"/>
  <c r="AE97" i="31"/>
  <c r="U97" i="31"/>
  <c r="Z108" i="31"/>
  <c r="Z100" i="31"/>
  <c r="AD98" i="31"/>
  <c r="Z98" i="31"/>
  <c r="W91" i="31"/>
  <c r="AE106" i="31"/>
  <c r="R91" i="31"/>
  <c r="Y108" i="31"/>
  <c r="AE121" i="31"/>
  <c r="AA100" i="31"/>
  <c r="AD101" i="31"/>
  <c r="Y243" i="31"/>
  <c r="Z145" i="31"/>
  <c r="Y48" i="31"/>
  <c r="AC108" i="31"/>
  <c r="W151" i="31"/>
  <c r="AE81" i="31"/>
  <c r="AA266" i="31"/>
  <c r="R242" i="31"/>
  <c r="U42" i="31"/>
  <c r="AD253" i="31"/>
  <c r="AE203" i="31"/>
  <c r="R39" i="31"/>
  <c r="Z217" i="31"/>
  <c r="AE260" i="31"/>
  <c r="AA98" i="31"/>
  <c r="AC189" i="31"/>
  <c r="V54" i="31"/>
  <c r="AD109" i="31"/>
  <c r="V192" i="31"/>
  <c r="AA214" i="31"/>
  <c r="AB39" i="31"/>
  <c r="R191" i="31"/>
  <c r="Z57" i="31"/>
  <c r="S45" i="31"/>
  <c r="AP33" i="31"/>
  <c r="AD95" i="31"/>
  <c r="AA165" i="31"/>
  <c r="Y145" i="31"/>
  <c r="X48" i="31"/>
  <c r="Z266" i="31"/>
  <c r="T42" i="31"/>
  <c r="AC253" i="31"/>
  <c r="U100" i="31"/>
  <c r="AE225" i="31"/>
  <c r="AD203" i="31"/>
  <c r="AD260" i="31"/>
  <c r="W191" i="31"/>
  <c r="AE57" i="31"/>
  <c r="AA139" i="31"/>
  <c r="Z102" i="31"/>
  <c r="U192" i="31"/>
  <c r="V49" i="31"/>
  <c r="AD161" i="31"/>
  <c r="AC197" i="31"/>
  <c r="U49" i="31"/>
  <c r="Y157" i="31"/>
  <c r="AA91" i="31"/>
  <c r="AC243" i="31"/>
  <c r="Y264" i="31"/>
  <c r="AC48" i="31"/>
  <c r="AD67" i="31"/>
  <c r="Y152" i="31"/>
  <c r="AE266" i="31"/>
  <c r="V242" i="31"/>
  <c r="Y42" i="31"/>
  <c r="AD114" i="31"/>
  <c r="V39" i="31"/>
  <c r="AD217" i="31"/>
  <c r="U47" i="31"/>
  <c r="Q189" i="31"/>
  <c r="Z192" i="31"/>
  <c r="Z42" i="31"/>
  <c r="AE217" i="31"/>
  <c r="AA192" i="31"/>
  <c r="AC160" i="31"/>
  <c r="Y203" i="31"/>
  <c r="AA47" i="31"/>
  <c r="Z214" i="31"/>
  <c r="AE227" i="31"/>
  <c r="Z49" i="31"/>
  <c r="W97" i="31"/>
  <c r="R243" i="31"/>
  <c r="AD264" i="31"/>
  <c r="AE117" i="31"/>
  <c r="AC70" i="31"/>
  <c r="AA242" i="31"/>
  <c r="AD42" i="31"/>
  <c r="W253" i="31"/>
  <c r="AA39" i="31"/>
  <c r="Z47" i="31"/>
  <c r="V189" i="31"/>
  <c r="Y57" i="31"/>
  <c r="AE192" i="31"/>
  <c r="AE264" i="31"/>
  <c r="AD96" i="31"/>
  <c r="AS237" i="31"/>
  <c r="AE214" i="31"/>
  <c r="AM33" i="31"/>
  <c r="W197" i="31"/>
  <c r="AE49" i="31"/>
  <c r="AC95" i="31"/>
  <c r="AE71" i="31"/>
  <c r="AE167" i="31"/>
  <c r="W243" i="31"/>
  <c r="Z165" i="31"/>
  <c r="W48" i="31"/>
  <c r="AE113" i="31"/>
  <c r="AA108" i="31"/>
  <c r="AE224" i="31"/>
  <c r="S42" i="31"/>
  <c r="AD225" i="31"/>
  <c r="AC203" i="31"/>
  <c r="AE103" i="31"/>
  <c r="AC260" i="31"/>
  <c r="V191" i="31"/>
  <c r="AE47" i="31"/>
  <c r="AA189" i="31"/>
  <c r="AD57" i="31"/>
  <c r="P36" i="31"/>
  <c r="AD123" i="31"/>
  <c r="AE112" i="31"/>
  <c r="Y95" i="31"/>
  <c r="S243" i="31"/>
  <c r="AD70" i="31"/>
  <c r="AC150" i="31"/>
  <c r="W144" i="31"/>
  <c r="BE33" i="31"/>
  <c r="AD278" i="31"/>
  <c r="AP237" i="31"/>
  <c r="BB33" i="31"/>
  <c r="AL33" i="31"/>
  <c r="U149" i="31"/>
  <c r="Z161" i="31"/>
  <c r="Z151" i="31"/>
  <c r="AC67" i="31"/>
  <c r="AD266" i="31"/>
  <c r="U242" i="31"/>
  <c r="X42" i="31"/>
  <c r="W100" i="31"/>
  <c r="U39" i="31"/>
  <c r="AC217" i="31"/>
  <c r="AA191" i="31"/>
  <c r="T47" i="31"/>
  <c r="BH33" i="31"/>
  <c r="Z97" i="31"/>
  <c r="AE67" i="31"/>
  <c r="V151" i="31"/>
  <c r="AE42" i="31"/>
  <c r="Y260" i="31"/>
  <c r="W189" i="31"/>
  <c r="AO33" i="31"/>
  <c r="AC117" i="31"/>
  <c r="AE173" i="31"/>
  <c r="V253" i="31"/>
  <c r="Y47" i="31"/>
  <c r="U189" i="31"/>
  <c r="X57" i="31"/>
  <c r="Y197" i="31"/>
  <c r="AD243" i="31"/>
  <c r="W39" i="31"/>
  <c r="AE278" i="31"/>
  <c r="AJ33" i="31"/>
  <c r="AC91" i="31"/>
  <c r="AD154" i="31"/>
  <c r="AE95" i="31"/>
  <c r="Z157" i="31"/>
  <c r="AE148" i="31"/>
  <c r="W157" i="31"/>
  <c r="AE96" i="31"/>
  <c r="AM237" i="31"/>
  <c r="AY33" i="31"/>
  <c r="AA197" i="31"/>
  <c r="Z91" i="31"/>
  <c r="AA243" i="31"/>
  <c r="AA48" i="31"/>
  <c r="AE108" i="31"/>
  <c r="Y151" i="31"/>
  <c r="AB67" i="31"/>
  <c r="V152" i="31"/>
  <c r="AC266" i="31"/>
  <c r="W42" i="31"/>
  <c r="AE80" i="31"/>
  <c r="T39" i="31"/>
  <c r="Z191" i="31"/>
  <c r="AE189" i="31"/>
  <c r="AD139" i="31"/>
  <c r="X97" i="31"/>
  <c r="T91" i="31"/>
  <c r="AA117" i="31"/>
  <c r="V145" i="31"/>
  <c r="Z160" i="31"/>
  <c r="Y242" i="31"/>
  <c r="AB42" i="31"/>
  <c r="U253" i="31"/>
  <c r="V203" i="31"/>
  <c r="Y39" i="31"/>
  <c r="AE191" i="31"/>
  <c r="X47" i="31"/>
  <c r="AD102" i="31"/>
  <c r="AC192" i="31"/>
  <c r="R189" i="31"/>
  <c r="X49" i="31"/>
  <c r="U197" i="31"/>
  <c r="S142" i="31"/>
  <c r="AC49" i="31"/>
  <c r="AA95" i="31"/>
  <c r="AE100" i="31"/>
  <c r="AB153" i="31"/>
  <c r="AA103" i="31"/>
  <c r="AE98" i="31"/>
  <c r="AD106" i="31"/>
  <c r="R192" i="31"/>
  <c r="Z264" i="31"/>
  <c r="W242" i="31"/>
  <c r="AC191" i="31"/>
  <c r="AA49" i="31"/>
  <c r="V95" i="31"/>
  <c r="AV33" i="31"/>
  <c r="Z197" i="31"/>
  <c r="Z243" i="31"/>
  <c r="AA145" i="31"/>
  <c r="Z48" i="31"/>
  <c r="AC113" i="31"/>
  <c r="AD108" i="31"/>
  <c r="AA67" i="31"/>
  <c r="S242" i="31"/>
  <c r="V42" i="31"/>
  <c r="AE253" i="31"/>
  <c r="AD100" i="31"/>
  <c r="AE181" i="31"/>
  <c r="AC75" i="31"/>
  <c r="S39" i="31"/>
  <c r="AA217" i="31"/>
  <c r="Y191" i="31"/>
  <c r="AD189" i="31"/>
  <c r="AC139" i="31"/>
  <c r="W192" i="31"/>
  <c r="AD197" i="31"/>
  <c r="AD48" i="31"/>
  <c r="AD175" i="31"/>
  <c r="V47" i="31"/>
  <c r="AC214" i="31"/>
  <c r="AJ237" i="31"/>
  <c r="U144" i="31"/>
  <c r="BK33" i="31"/>
  <c r="AE197" i="31"/>
  <c r="W49" i="31"/>
  <c r="U95" i="31"/>
  <c r="AA157" i="31"/>
  <c r="Y97" i="31"/>
  <c r="AE243" i="31"/>
  <c r="AA264" i="31"/>
  <c r="AE48" i="31"/>
  <c r="T48" i="31"/>
  <c r="AE122" i="31"/>
  <c r="Y160" i="31"/>
  <c r="AC152" i="31"/>
  <c r="AA42" i="31"/>
  <c r="AE153" i="31"/>
  <c r="X39" i="31"/>
  <c r="AE175" i="31"/>
  <c r="AD191" i="31"/>
  <c r="W47" i="31"/>
  <c r="S189" i="31"/>
  <c r="AA69" i="31"/>
  <c r="Z139" i="31"/>
  <c r="Y139" i="31"/>
  <c r="W139" i="31"/>
  <c r="V139" i="31"/>
  <c r="U139" i="31"/>
  <c r="S139" i="31"/>
  <c r="R139" i="31"/>
  <c r="Q139" i="31"/>
  <c r="AE40" i="31"/>
  <c r="AD40" i="31"/>
  <c r="AC40" i="31"/>
  <c r="AB40" i="31"/>
  <c r="AA40" i="31"/>
  <c r="Z40" i="31"/>
  <c r="Y40" i="31"/>
  <c r="Y114" i="31"/>
  <c r="AD148" i="31"/>
  <c r="AC148" i="31"/>
  <c r="AA148" i="31"/>
  <c r="Z148" i="31"/>
  <c r="Y148" i="31"/>
  <c r="W148" i="31"/>
  <c r="V148" i="31"/>
  <c r="U148" i="31"/>
  <c r="AE61" i="31"/>
  <c r="AD61" i="31"/>
  <c r="AC61" i="31"/>
  <c r="AB61" i="31"/>
  <c r="AA61" i="31"/>
  <c r="Z61" i="31"/>
  <c r="Y61" i="31"/>
  <c r="AE149" i="31"/>
  <c r="AE37" i="31"/>
  <c r="AD37" i="31"/>
  <c r="AC37" i="31"/>
  <c r="AB37" i="31"/>
  <c r="AA37" i="31"/>
  <c r="Z37" i="31"/>
  <c r="Y37" i="31"/>
  <c r="X37" i="31"/>
  <c r="W37" i="31"/>
  <c r="V37" i="31"/>
  <c r="U37" i="31"/>
  <c r="T37" i="31"/>
  <c r="S37" i="31"/>
  <c r="R37" i="31"/>
  <c r="Q37" i="31"/>
  <c r="AE215" i="31"/>
  <c r="AD215" i="31"/>
  <c r="AC215" i="31"/>
  <c r="AA215" i="31"/>
  <c r="Z215" i="31"/>
  <c r="AA114" i="31"/>
  <c r="Q39" i="31"/>
  <c r="W103" i="31"/>
  <c r="T98" i="31"/>
  <c r="X40" i="31"/>
  <c r="W40" i="31"/>
  <c r="V40" i="31"/>
  <c r="U40" i="31"/>
  <c r="T40" i="31"/>
  <c r="S40" i="31"/>
  <c r="R40" i="31"/>
  <c r="AE126" i="31"/>
  <c r="AE251" i="31"/>
  <c r="AD251" i="31"/>
  <c r="AC251" i="31"/>
  <c r="AA251" i="31"/>
  <c r="Z251" i="31"/>
  <c r="Y251" i="31"/>
  <c r="W251" i="31"/>
  <c r="V251" i="31"/>
  <c r="U251" i="31"/>
  <c r="AE268" i="31"/>
  <c r="AD268" i="31"/>
  <c r="AC268" i="31"/>
  <c r="AA268" i="31"/>
  <c r="Z268" i="31"/>
  <c r="Y111" i="31"/>
  <c r="Z111" i="31"/>
  <c r="AE111" i="31"/>
  <c r="AE92" i="31"/>
  <c r="AD92" i="31"/>
  <c r="AC92" i="31"/>
  <c r="AA92" i="31"/>
  <c r="Z92" i="31"/>
  <c r="Y92" i="31"/>
  <c r="W92" i="31"/>
  <c r="V92" i="31"/>
  <c r="U92" i="31"/>
  <c r="S92" i="31"/>
  <c r="AD171" i="31"/>
  <c r="AE270" i="31"/>
  <c r="AD270" i="31"/>
  <c r="AC270" i="31"/>
  <c r="AA270" i="31"/>
  <c r="AE87" i="31"/>
  <c r="AD87" i="31"/>
  <c r="AC87" i="31"/>
  <c r="AA87" i="31"/>
  <c r="Z87" i="31"/>
  <c r="Y87" i="31"/>
  <c r="W87" i="31"/>
  <c r="V87" i="31"/>
  <c r="U87" i="31"/>
  <c r="AE220" i="31"/>
  <c r="AD220" i="31"/>
  <c r="AC220" i="31"/>
  <c r="AA220" i="31"/>
  <c r="AE274" i="31"/>
  <c r="AD274" i="31"/>
  <c r="AC274" i="31"/>
  <c r="AE277" i="31"/>
  <c r="AD277" i="31"/>
  <c r="AC277" i="31"/>
  <c r="J248" i="31"/>
  <c r="AE177" i="31"/>
  <c r="AD177" i="31"/>
  <c r="AC110" i="31"/>
  <c r="AA169" i="31"/>
  <c r="AE272" i="31"/>
  <c r="AD272" i="31"/>
  <c r="AC272" i="31"/>
  <c r="AC155" i="31"/>
  <c r="AE211" i="31"/>
  <c r="AD211" i="31"/>
  <c r="AC211" i="31"/>
  <c r="AA211" i="31"/>
  <c r="Z211" i="31"/>
  <c r="Y211" i="31"/>
  <c r="AE249" i="31"/>
  <c r="AD249" i="31"/>
  <c r="AC249" i="31"/>
  <c r="AA249" i="31"/>
  <c r="Z249" i="31"/>
  <c r="AB102" i="31"/>
  <c r="AE257" i="31"/>
  <c r="AD257" i="31"/>
  <c r="AC257" i="31"/>
  <c r="AA257" i="31"/>
  <c r="AE223" i="31"/>
  <c r="V146" i="31"/>
  <c r="W57" i="31"/>
  <c r="AE120" i="31"/>
  <c r="AD111" i="31"/>
  <c r="AE94" i="31"/>
  <c r="AD94" i="31"/>
  <c r="AA116" i="31"/>
  <c r="AE240" i="31"/>
  <c r="AD240" i="31"/>
  <c r="AC240" i="31"/>
  <c r="AA240" i="31"/>
  <c r="Z240" i="31"/>
  <c r="Y240" i="31"/>
  <c r="W240" i="31"/>
  <c r="Z155" i="31"/>
  <c r="AE90" i="31"/>
  <c r="AD90" i="31"/>
  <c r="AC90" i="31"/>
  <c r="AA90" i="31"/>
  <c r="Y102" i="31"/>
  <c r="AC163" i="31"/>
  <c r="AE115" i="31"/>
  <c r="AD115" i="31"/>
  <c r="AC115" i="31"/>
  <c r="AE219" i="31"/>
  <c r="AD219" i="31"/>
  <c r="AC219" i="31"/>
  <c r="AA219" i="31"/>
  <c r="AD179" i="31"/>
  <c r="AE179" i="31"/>
  <c r="AE146" i="31"/>
  <c r="AA146" i="31"/>
  <c r="AE154" i="31"/>
  <c r="Z109" i="31"/>
  <c r="BX237" i="31"/>
  <c r="AD239" i="31"/>
  <c r="BO237" i="31"/>
  <c r="AA239" i="31"/>
  <c r="BF237" i="31"/>
  <c r="L239" i="31"/>
  <c r="X239" i="31"/>
  <c r="AT237" i="31"/>
  <c r="K239" i="31"/>
  <c r="T239" i="31"/>
  <c r="AC278" i="31"/>
  <c r="M278" i="31"/>
  <c r="M124" i="31"/>
  <c r="AB124" i="31"/>
  <c r="BX33" i="31"/>
  <c r="AD35" i="31"/>
  <c r="BR33" i="31"/>
  <c r="AB35" i="31"/>
  <c r="BL33" i="31"/>
  <c r="Z35" i="31"/>
  <c r="BF33" i="31"/>
  <c r="X35" i="31"/>
  <c r="AZ33" i="31"/>
  <c r="V35" i="31"/>
  <c r="AQ33" i="31"/>
  <c r="S35" i="31"/>
  <c r="L214" i="31"/>
  <c r="X214" i="31"/>
  <c r="J96" i="31"/>
  <c r="S96" i="31"/>
  <c r="AB96" i="31"/>
  <c r="M96" i="31"/>
  <c r="W96" i="31"/>
  <c r="CC237" i="31"/>
  <c r="BW237" i="31"/>
  <c r="BQ237" i="31"/>
  <c r="BK237" i="31"/>
  <c r="BE237" i="31"/>
  <c r="AY237" i="31"/>
  <c r="T144" i="31"/>
  <c r="K144" i="31"/>
  <c r="R144" i="31"/>
  <c r="J144" i="31"/>
  <c r="BZ33" i="31"/>
  <c r="BT33" i="31"/>
  <c r="BQ33" i="31"/>
  <c r="AE281" i="31"/>
  <c r="W142" i="31"/>
  <c r="U142" i="31"/>
  <c r="AA168" i="31"/>
  <c r="AE93" i="31"/>
  <c r="AC93" i="31"/>
  <c r="M93" i="31"/>
  <c r="AB93" i="31"/>
  <c r="Z93" i="31"/>
  <c r="L93" i="31"/>
  <c r="X93" i="31"/>
  <c r="U93" i="31"/>
  <c r="BR237" i="31"/>
  <c r="AB239" i="31"/>
  <c r="M239" i="31"/>
  <c r="BI237" i="31"/>
  <c r="Y239" i="31"/>
  <c r="AZ237" i="31"/>
  <c r="V239" i="31"/>
  <c r="AQ237" i="31"/>
  <c r="S239" i="31"/>
  <c r="M144" i="31"/>
  <c r="CA33" i="31"/>
  <c r="AE35" i="31"/>
  <c r="BU33" i="31"/>
  <c r="AC35" i="31"/>
  <c r="BO33" i="31"/>
  <c r="AA35" i="31"/>
  <c r="BI33" i="31"/>
  <c r="Y35" i="31"/>
  <c r="BC33" i="31"/>
  <c r="W35" i="31"/>
  <c r="AW33" i="31"/>
  <c r="U35" i="31"/>
  <c r="AT33" i="31"/>
  <c r="T35" i="31"/>
  <c r="AN33" i="31"/>
  <c r="R35" i="31"/>
  <c r="AK33" i="31"/>
  <c r="Q35" i="31"/>
  <c r="L197" i="31"/>
  <c r="X197" i="31"/>
  <c r="Z96" i="31"/>
  <c r="U96" i="31"/>
  <c r="BZ237" i="31"/>
  <c r="BT237" i="31"/>
  <c r="BN237" i="31"/>
  <c r="BH237" i="31"/>
  <c r="BB237" i="31"/>
  <c r="AV237" i="31"/>
  <c r="AB144" i="31"/>
  <c r="CC33" i="31"/>
  <c r="BW33" i="31"/>
  <c r="BN33" i="31"/>
  <c r="T252" i="31"/>
  <c r="K252" i="31"/>
  <c r="AD281" i="31"/>
  <c r="M281" i="31"/>
  <c r="Y142" i="31"/>
  <c r="L142" i="31"/>
  <c r="X142" i="31"/>
  <c r="V142" i="31"/>
  <c r="J142" i="31"/>
  <c r="Q142" i="31"/>
  <c r="T99" i="31"/>
  <c r="K99" i="31"/>
  <c r="M168" i="31"/>
  <c r="AB168" i="31"/>
  <c r="AD93" i="31"/>
  <c r="AA93" i="31"/>
  <c r="Y93" i="31"/>
  <c r="W93" i="31"/>
  <c r="V93" i="31"/>
  <c r="M214" i="31"/>
  <c r="AB214" i="31"/>
  <c r="T96" i="31"/>
  <c r="K96" i="31"/>
  <c r="X96" i="31"/>
  <c r="L96" i="31"/>
  <c r="CA237" i="31"/>
  <c r="AE239" i="31"/>
  <c r="BU237" i="31"/>
  <c r="AC239" i="31"/>
  <c r="BL237" i="31"/>
  <c r="Z239" i="31"/>
  <c r="BC237" i="31"/>
  <c r="W239" i="31"/>
  <c r="AW237" i="31"/>
  <c r="U239" i="31"/>
  <c r="R239" i="31"/>
  <c r="AN237" i="31"/>
  <c r="AK237" i="31"/>
  <c r="Q239" i="31"/>
  <c r="AH237" i="31"/>
  <c r="P239" i="31"/>
  <c r="J239" i="31"/>
  <c r="AE144" i="31"/>
  <c r="AB197" i="31"/>
  <c r="M197" i="31"/>
  <c r="K197" i="31"/>
  <c r="T197" i="31"/>
  <c r="S197" i="31"/>
  <c r="J197" i="31"/>
  <c r="M227" i="31"/>
  <c r="AC227" i="31"/>
  <c r="K142" i="31"/>
  <c r="T142" i="31"/>
  <c r="Q244" i="31"/>
  <c r="J244" i="31"/>
  <c r="L168" i="31"/>
  <c r="Z168" i="31"/>
  <c r="J93" i="31"/>
  <c r="R93" i="31"/>
  <c r="AB95" i="31"/>
  <c r="M95" i="31"/>
  <c r="X95" i="31"/>
  <c r="L95" i="31"/>
  <c r="T95" i="31"/>
  <c r="K95" i="31"/>
  <c r="S95" i="31"/>
  <c r="J95" i="31"/>
  <c r="K156" i="31"/>
  <c r="V156" i="31"/>
  <c r="M148" i="31"/>
  <c r="AB148" i="31"/>
  <c r="X148" i="31"/>
  <c r="L148" i="31"/>
  <c r="K148" i="31"/>
  <c r="T148" i="31"/>
  <c r="V105" i="31"/>
  <c r="K105" i="31"/>
  <c r="T93" i="31"/>
  <c r="K93" i="31"/>
  <c r="AD74" i="31"/>
  <c r="AE88" i="31"/>
  <c r="AC88" i="31"/>
  <c r="AB88" i="31"/>
  <c r="M88" i="31"/>
  <c r="Z88" i="31"/>
  <c r="W88" i="31"/>
  <c r="U88" i="31"/>
  <c r="S88" i="31"/>
  <c r="AE156" i="31"/>
  <c r="AC156" i="31"/>
  <c r="AB156" i="31"/>
  <c r="M156" i="31"/>
  <c r="Z156" i="31"/>
  <c r="W156" i="31"/>
  <c r="AB105" i="31"/>
  <c r="M105" i="31"/>
  <c r="AA105" i="31"/>
  <c r="AE68" i="31"/>
  <c r="AC68" i="31"/>
  <c r="AA68" i="31"/>
  <c r="AD50" i="31"/>
  <c r="AB50" i="31"/>
  <c r="Z50" i="31"/>
  <c r="X50" i="31"/>
  <c r="V50" i="31"/>
  <c r="U50" i="31"/>
  <c r="AD202" i="31"/>
  <c r="AA202" i="31"/>
  <c r="Y202" i="31"/>
  <c r="L202" i="31"/>
  <c r="X202" i="31"/>
  <c r="V202" i="31"/>
  <c r="AE245" i="31"/>
  <c r="AC245" i="31"/>
  <c r="M245" i="31"/>
  <c r="AB245" i="31"/>
  <c r="Z245" i="31"/>
  <c r="W245" i="31"/>
  <c r="U245" i="31"/>
  <c r="S245" i="31"/>
  <c r="J245" i="31"/>
  <c r="R245" i="31"/>
  <c r="AD259" i="31"/>
  <c r="AA259" i="31"/>
  <c r="Y259" i="31"/>
  <c r="X259" i="31"/>
  <c r="L259" i="31"/>
  <c r="X149" i="31"/>
  <c r="AB72" i="31"/>
  <c r="AD218" i="31"/>
  <c r="AA218" i="31"/>
  <c r="L218" i="31"/>
  <c r="Z218" i="31"/>
  <c r="AD276" i="31"/>
  <c r="AD196" i="31"/>
  <c r="AA196" i="31"/>
  <c r="Y196" i="31"/>
  <c r="X196" i="31"/>
  <c r="L196" i="31"/>
  <c r="V196" i="31"/>
  <c r="S196" i="31"/>
  <c r="U205" i="31"/>
  <c r="K205" i="31"/>
  <c r="M157" i="31"/>
  <c r="AB157" i="31"/>
  <c r="L157" i="31"/>
  <c r="X157" i="31"/>
  <c r="L97" i="31"/>
  <c r="J247" i="31"/>
  <c r="R247" i="31"/>
  <c r="U255" i="31"/>
  <c r="K255" i="31"/>
  <c r="L164" i="31"/>
  <c r="V207" i="31"/>
  <c r="K207" i="31"/>
  <c r="AB243" i="31"/>
  <c r="M243" i="31"/>
  <c r="K243" i="31"/>
  <c r="T243" i="31"/>
  <c r="L267" i="31"/>
  <c r="Y267" i="31"/>
  <c r="R145" i="31"/>
  <c r="J145" i="31"/>
  <c r="AC122" i="31"/>
  <c r="P138" i="31"/>
  <c r="J138" i="31"/>
  <c r="AB108" i="31"/>
  <c r="M108" i="31"/>
  <c r="X108" i="31"/>
  <c r="L108" i="31"/>
  <c r="M234" i="31"/>
  <c r="AE234" i="31"/>
  <c r="X151" i="31"/>
  <c r="L151" i="31"/>
  <c r="K151" i="31"/>
  <c r="T151" i="31"/>
  <c r="M131" i="31"/>
  <c r="AE131" i="31"/>
  <c r="M160" i="31"/>
  <c r="AB160" i="31"/>
  <c r="L160" i="31"/>
  <c r="X160" i="31"/>
  <c r="Q193" i="31"/>
  <c r="J193" i="31"/>
  <c r="L121" i="31"/>
  <c r="AA121" i="31"/>
  <c r="M176" i="31"/>
  <c r="AC176" i="31"/>
  <c r="AD282" i="31"/>
  <c r="M282" i="31"/>
  <c r="AB266" i="31"/>
  <c r="M266" i="31"/>
  <c r="Y266" i="31"/>
  <c r="L266" i="31"/>
  <c r="AB242" i="31"/>
  <c r="M242" i="31"/>
  <c r="L242" i="31"/>
  <c r="X242" i="31"/>
  <c r="T242" i="31"/>
  <c r="K242" i="31"/>
  <c r="Q242" i="31"/>
  <c r="J242" i="31"/>
  <c r="AB224" i="31"/>
  <c r="M224" i="31"/>
  <c r="L222" i="31"/>
  <c r="AA222" i="31"/>
  <c r="M253" i="31"/>
  <c r="AB253" i="31"/>
  <c r="X253" i="31"/>
  <c r="L253" i="31"/>
  <c r="W210" i="31"/>
  <c r="K210" i="31"/>
  <c r="BB135" i="31"/>
  <c r="T150" i="31"/>
  <c r="K150" i="31"/>
  <c r="AB203" i="31"/>
  <c r="M203" i="31"/>
  <c r="L203" i="31"/>
  <c r="X203" i="31"/>
  <c r="U203" i="31"/>
  <c r="K203" i="31"/>
  <c r="M232" i="31"/>
  <c r="AD232" i="31"/>
  <c r="M153" i="31"/>
  <c r="X153" i="31"/>
  <c r="L153" i="31"/>
  <c r="AV84" i="31"/>
  <c r="CC186" i="31"/>
  <c r="BZ186" i="31"/>
  <c r="BW186" i="31"/>
  <c r="BT186" i="31"/>
  <c r="BQ186" i="31"/>
  <c r="BN186" i="31"/>
  <c r="BK186" i="31"/>
  <c r="BH186" i="31"/>
  <c r="BE186" i="31"/>
  <c r="BB186" i="31"/>
  <c r="AY186" i="31"/>
  <c r="AV186" i="31"/>
  <c r="AS186" i="31"/>
  <c r="AP186" i="31"/>
  <c r="AM186" i="31"/>
  <c r="AH186" i="31"/>
  <c r="P188" i="31"/>
  <c r="J188" i="31"/>
  <c r="S250" i="31"/>
  <c r="J250" i="31"/>
  <c r="AB217" i="31"/>
  <c r="M217" i="31"/>
  <c r="J246" i="31"/>
  <c r="R246" i="31"/>
  <c r="Q141" i="31"/>
  <c r="J141" i="31"/>
  <c r="AB175" i="31"/>
  <c r="M175" i="31"/>
  <c r="S93" i="31"/>
  <c r="AE74" i="31"/>
  <c r="AC74" i="31"/>
  <c r="AD88" i="31"/>
  <c r="AA88" i="31"/>
  <c r="Y88" i="31"/>
  <c r="L88" i="31"/>
  <c r="X88" i="31"/>
  <c r="V88" i="31"/>
  <c r="T88" i="31"/>
  <c r="K88" i="31"/>
  <c r="R88" i="31"/>
  <c r="Q88" i="31"/>
  <c r="AD156" i="31"/>
  <c r="AA156" i="31"/>
  <c r="Y156" i="31"/>
  <c r="X156" i="31"/>
  <c r="L156" i="31"/>
  <c r="S148" i="31"/>
  <c r="J148" i="31"/>
  <c r="X105" i="31"/>
  <c r="L105" i="31"/>
  <c r="AD105" i="31"/>
  <c r="AD68" i="31"/>
  <c r="AB68" i="31"/>
  <c r="AE50" i="31"/>
  <c r="AC50" i="31"/>
  <c r="AA50" i="31"/>
  <c r="Y50" i="31"/>
  <c r="W50" i="31"/>
  <c r="AE202" i="31"/>
  <c r="AC202" i="31"/>
  <c r="AB202" i="31"/>
  <c r="M202" i="31"/>
  <c r="Z202" i="31"/>
  <c r="W202" i="31"/>
  <c r="U202" i="31"/>
  <c r="AD245" i="31"/>
  <c r="AA245" i="31"/>
  <c r="Y245" i="31"/>
  <c r="L245" i="31"/>
  <c r="X245" i="31"/>
  <c r="V245" i="31"/>
  <c r="T245" i="31"/>
  <c r="K245" i="31"/>
  <c r="AE259" i="31"/>
  <c r="AC259" i="31"/>
  <c r="M259" i="31"/>
  <c r="AB259" i="31"/>
  <c r="Z259" i="31"/>
  <c r="W259" i="31"/>
  <c r="AD149" i="31"/>
  <c r="Y149" i="31"/>
  <c r="T149" i="31"/>
  <c r="K149" i="31"/>
  <c r="AE218" i="31"/>
  <c r="AC218" i="31"/>
  <c r="AB218" i="31"/>
  <c r="M218" i="31"/>
  <c r="AE276" i="31"/>
  <c r="AC276" i="31"/>
  <c r="AE196" i="31"/>
  <c r="AC196" i="31"/>
  <c r="AB196" i="31"/>
  <c r="M196" i="31"/>
  <c r="Z196" i="31"/>
  <c r="W196" i="31"/>
  <c r="U196" i="31"/>
  <c r="T196" i="31"/>
  <c r="K196" i="31"/>
  <c r="V157" i="31"/>
  <c r="K157" i="31"/>
  <c r="M97" i="31"/>
  <c r="AB97" i="31"/>
  <c r="T97" i="31"/>
  <c r="K97" i="31"/>
  <c r="X112" i="31"/>
  <c r="L112" i="31"/>
  <c r="AB91" i="31"/>
  <c r="M91" i="31"/>
  <c r="L167" i="31"/>
  <c r="Z167" i="31"/>
  <c r="L243" i="31"/>
  <c r="X243" i="31"/>
  <c r="K262" i="31"/>
  <c r="W262" i="31"/>
  <c r="M264" i="31"/>
  <c r="AB264" i="31"/>
  <c r="Z117" i="31"/>
  <c r="L117" i="31"/>
  <c r="AB174" i="31"/>
  <c r="M174" i="31"/>
  <c r="X145" i="31"/>
  <c r="L145" i="31"/>
  <c r="M231" i="31"/>
  <c r="AD231" i="31"/>
  <c r="AD129" i="31"/>
  <c r="M129" i="31"/>
  <c r="V96" i="31"/>
  <c r="AC96" i="31"/>
  <c r="AA96" i="31"/>
  <c r="Y96" i="31"/>
  <c r="CB237" i="31"/>
  <c r="BY237" i="31"/>
  <c r="BV237" i="31"/>
  <c r="BS237" i="31"/>
  <c r="BP237" i="31"/>
  <c r="BM237" i="31"/>
  <c r="BJ237" i="31"/>
  <c r="BG237" i="31"/>
  <c r="BD237" i="31"/>
  <c r="BA237" i="31"/>
  <c r="AX237" i="31"/>
  <c r="AU237" i="31"/>
  <c r="AR237" i="31"/>
  <c r="AO237" i="31"/>
  <c r="AL237" i="31"/>
  <c r="AD144" i="31"/>
  <c r="AC144" i="31"/>
  <c r="Y144" i="31"/>
  <c r="X144" i="31"/>
  <c r="L144" i="31"/>
  <c r="S144" i="31"/>
  <c r="AE124" i="31"/>
  <c r="AD124" i="31"/>
  <c r="AC124" i="31"/>
  <c r="CB33" i="31"/>
  <c r="BY33" i="31"/>
  <c r="BV33" i="31"/>
  <c r="BS33" i="31"/>
  <c r="BP33" i="31"/>
  <c r="BM33" i="31"/>
  <c r="BJ33" i="31"/>
  <c r="BG33" i="31"/>
  <c r="BD33" i="31"/>
  <c r="BA33" i="31"/>
  <c r="AX33" i="31"/>
  <c r="AU33" i="31"/>
  <c r="AR33" i="31"/>
  <c r="AH33" i="31"/>
  <c r="P35" i="31"/>
  <c r="M132" i="31"/>
  <c r="AE132" i="31"/>
  <c r="AE252" i="31"/>
  <c r="AD252" i="31"/>
  <c r="AC252" i="31"/>
  <c r="M252" i="31"/>
  <c r="AB252" i="31"/>
  <c r="AA252" i="31"/>
  <c r="Z252" i="31"/>
  <c r="Y252" i="31"/>
  <c r="L252" i="31"/>
  <c r="X252" i="31"/>
  <c r="W252" i="31"/>
  <c r="V252" i="31"/>
  <c r="U252" i="31"/>
  <c r="Z142" i="31"/>
  <c r="AE142" i="31"/>
  <c r="AD142" i="31"/>
  <c r="AC142" i="31"/>
  <c r="M142" i="31"/>
  <c r="AB142" i="31"/>
  <c r="AA142" i="31"/>
  <c r="AE206" i="31"/>
  <c r="AD206" i="31"/>
  <c r="AC206" i="31"/>
  <c r="M206" i="31"/>
  <c r="AB206" i="31"/>
  <c r="AA206" i="31"/>
  <c r="Z206" i="31"/>
  <c r="Y206" i="31"/>
  <c r="X206" i="31"/>
  <c r="L206" i="31"/>
  <c r="W206" i="31"/>
  <c r="K206" i="31"/>
  <c r="V206" i="31"/>
  <c r="AE65" i="31"/>
  <c r="AD65" i="31"/>
  <c r="AC65" i="31"/>
  <c r="AB65" i="31"/>
  <c r="AA65" i="31"/>
  <c r="Z65" i="31"/>
  <c r="AE194" i="31"/>
  <c r="AD194" i="31"/>
  <c r="AC194" i="31"/>
  <c r="M194" i="31"/>
  <c r="AB194" i="31"/>
  <c r="AA194" i="31"/>
  <c r="Z194" i="31"/>
  <c r="Y194" i="31"/>
  <c r="L194" i="31"/>
  <c r="X194" i="31"/>
  <c r="W194" i="31"/>
  <c r="V194" i="31"/>
  <c r="U194" i="31"/>
  <c r="K194" i="31"/>
  <c r="T194" i="31"/>
  <c r="S194" i="31"/>
  <c r="J194" i="31"/>
  <c r="R194" i="31"/>
  <c r="AE244" i="31"/>
  <c r="AD244" i="31"/>
  <c r="AC244" i="31"/>
  <c r="M244" i="31"/>
  <c r="AB244" i="31"/>
  <c r="AA244" i="31"/>
  <c r="Z244" i="31"/>
  <c r="Y244" i="31"/>
  <c r="L244" i="31"/>
  <c r="X244" i="31"/>
  <c r="W244" i="31"/>
  <c r="V244" i="31"/>
  <c r="U244" i="31"/>
  <c r="K244" i="31"/>
  <c r="T244" i="31"/>
  <c r="S244" i="31"/>
  <c r="R244" i="31"/>
  <c r="AE99" i="31"/>
  <c r="AD99" i="31"/>
  <c r="AC99" i="31"/>
  <c r="AB99" i="31"/>
  <c r="M99" i="31"/>
  <c r="AA99" i="31"/>
  <c r="Z99" i="31"/>
  <c r="Y99" i="31"/>
  <c r="L99" i="31"/>
  <c r="X99" i="31"/>
  <c r="W99" i="31"/>
  <c r="V99" i="31"/>
  <c r="U99" i="31"/>
  <c r="AE168" i="31"/>
  <c r="AD168" i="31"/>
  <c r="AC168" i="31"/>
  <c r="P88" i="31"/>
  <c r="J88" i="31"/>
  <c r="W105" i="31"/>
  <c r="AC105" i="31"/>
  <c r="Y105" i="31"/>
  <c r="AE105" i="31"/>
  <c r="Z105" i="31"/>
  <c r="K202" i="31"/>
  <c r="T202" i="31"/>
  <c r="AE226" i="31"/>
  <c r="AD226" i="31"/>
  <c r="AC226" i="31"/>
  <c r="V259" i="31"/>
  <c r="K259" i="31"/>
  <c r="AE56" i="31"/>
  <c r="AD56" i="31"/>
  <c r="AC56" i="31"/>
  <c r="AB56" i="31"/>
  <c r="AA56" i="31"/>
  <c r="Z56" i="31"/>
  <c r="Y56" i="31"/>
  <c r="X56" i="31"/>
  <c r="W56" i="31"/>
  <c r="L149" i="31"/>
  <c r="AA149" i="31"/>
  <c r="Z149" i="31"/>
  <c r="AB149" i="31"/>
  <c r="M149" i="31"/>
  <c r="W149" i="31"/>
  <c r="AE72" i="31"/>
  <c r="AD72" i="31"/>
  <c r="AC72" i="31"/>
  <c r="J196" i="31"/>
  <c r="R196" i="31"/>
  <c r="AE265" i="31"/>
  <c r="AD265" i="31"/>
  <c r="AC265" i="31"/>
  <c r="M265" i="31"/>
  <c r="AB265" i="31"/>
  <c r="AA265" i="31"/>
  <c r="Z265" i="31"/>
  <c r="Y265" i="31"/>
  <c r="Y63" i="31"/>
  <c r="AE79" i="31"/>
  <c r="AE157" i="31"/>
  <c r="AD157" i="31"/>
  <c r="M226" i="31"/>
  <c r="AB226" i="31"/>
  <c r="M276" i="31"/>
  <c r="AB276" i="31"/>
  <c r="L265" i="31"/>
  <c r="X265" i="31"/>
  <c r="M215" i="31"/>
  <c r="AB215" i="31"/>
  <c r="Y215" i="31"/>
  <c r="L215" i="31"/>
  <c r="AE63" i="31"/>
  <c r="AD63" i="31"/>
  <c r="AC63" i="31"/>
  <c r="AB63" i="31"/>
  <c r="AA63" i="31"/>
  <c r="Z63" i="31"/>
  <c r="AE230" i="31"/>
  <c r="AD230" i="31"/>
  <c r="M230" i="31"/>
  <c r="AE205" i="31"/>
  <c r="AD205" i="31"/>
  <c r="AC205" i="31"/>
  <c r="AB205" i="31"/>
  <c r="M205" i="31"/>
  <c r="AA205" i="31"/>
  <c r="Z205" i="31"/>
  <c r="Y205" i="31"/>
  <c r="X205" i="31"/>
  <c r="L205" i="31"/>
  <c r="W205" i="31"/>
  <c r="V205" i="31"/>
  <c r="AC157" i="31"/>
  <c r="AC97" i="31"/>
  <c r="S97" i="31"/>
  <c r="J97" i="31"/>
  <c r="AE247" i="31"/>
  <c r="AD247" i="31"/>
  <c r="AC247" i="31"/>
  <c r="AB247" i="31"/>
  <c r="M247" i="31"/>
  <c r="AA247" i="31"/>
  <c r="Z247" i="31"/>
  <c r="Y247" i="31"/>
  <c r="X247" i="31"/>
  <c r="L247" i="31"/>
  <c r="W247" i="31"/>
  <c r="V247" i="31"/>
  <c r="U247" i="31"/>
  <c r="K247" i="31"/>
  <c r="T247" i="31"/>
  <c r="S247" i="31"/>
  <c r="AD112" i="31"/>
  <c r="AC112" i="31"/>
  <c r="M112" i="31"/>
  <c r="AB112" i="31"/>
  <c r="AA112" i="31"/>
  <c r="Z112" i="31"/>
  <c r="Y112" i="31"/>
  <c r="AC164" i="31"/>
  <c r="AD164" i="31"/>
  <c r="AE164" i="31"/>
  <c r="X91" i="31"/>
  <c r="L91" i="31"/>
  <c r="Y91" i="31"/>
  <c r="K91" i="31"/>
  <c r="AE91" i="31"/>
  <c r="AD167" i="31"/>
  <c r="AC167" i="31"/>
  <c r="AB167" i="31"/>
  <c r="M167" i="31"/>
  <c r="AA167" i="31"/>
  <c r="Q243" i="31"/>
  <c r="J243" i="31"/>
  <c r="AE221" i="31"/>
  <c r="AD221" i="31"/>
  <c r="AC221" i="31"/>
  <c r="AB221" i="31"/>
  <c r="M221" i="31"/>
  <c r="L221" i="31"/>
  <c r="AA221" i="31"/>
  <c r="AE262" i="31"/>
  <c r="AD262" i="31"/>
  <c r="AC262" i="31"/>
  <c r="AB262" i="31"/>
  <c r="M262" i="31"/>
  <c r="AA262" i="31"/>
  <c r="Z262" i="31"/>
  <c r="Y262" i="31"/>
  <c r="L262" i="31"/>
  <c r="X262" i="31"/>
  <c r="X264" i="31"/>
  <c r="L264" i="31"/>
  <c r="AE158" i="31"/>
  <c r="AD158" i="31"/>
  <c r="AC158" i="31"/>
  <c r="AB158" i="31"/>
  <c r="M158" i="31"/>
  <c r="AE119" i="31"/>
  <c r="AD119" i="31"/>
  <c r="AC119" i="31"/>
  <c r="AB119" i="31"/>
  <c r="M119" i="31"/>
  <c r="L119" i="31"/>
  <c r="AA119" i="31"/>
  <c r="AE78" i="31"/>
  <c r="L165" i="31"/>
  <c r="Y165" i="31"/>
  <c r="AC228" i="31"/>
  <c r="M228" i="31"/>
  <c r="AE162" i="31"/>
  <c r="AD162" i="31"/>
  <c r="AC162" i="31"/>
  <c r="M162" i="31"/>
  <c r="AB162" i="31"/>
  <c r="AA162" i="31"/>
  <c r="Z162" i="31"/>
  <c r="Y162" i="31"/>
  <c r="AE279" i="31"/>
  <c r="AD279" i="31"/>
  <c r="M145" i="31"/>
  <c r="AB145" i="31"/>
  <c r="U145" i="31"/>
  <c r="K145" i="31"/>
  <c r="T145" i="31"/>
  <c r="S145" i="31"/>
  <c r="AE129" i="31"/>
  <c r="M229" i="31"/>
  <c r="AC229" i="31"/>
  <c r="AC161" i="31"/>
  <c r="AE275" i="31"/>
  <c r="AD275" i="31"/>
  <c r="AC275" i="31"/>
  <c r="M275" i="31"/>
  <c r="AB275" i="31"/>
  <c r="L172" i="31"/>
  <c r="AA172" i="31"/>
  <c r="AB113" i="31"/>
  <c r="M113" i="31"/>
  <c r="AE201" i="31"/>
  <c r="AD201" i="31"/>
  <c r="AC201" i="31"/>
  <c r="AB201" i="31"/>
  <c r="M201" i="31"/>
  <c r="AA201" i="31"/>
  <c r="Z201" i="31"/>
  <c r="Y201" i="31"/>
  <c r="L201" i="31"/>
  <c r="X201" i="31"/>
  <c r="W201" i="31"/>
  <c r="V201" i="31"/>
  <c r="U201" i="31"/>
  <c r="W108" i="31"/>
  <c r="K108" i="31"/>
  <c r="U151" i="31"/>
  <c r="AE193" i="31"/>
  <c r="AD193" i="31"/>
  <c r="AC193" i="31"/>
  <c r="AB193" i="31"/>
  <c r="M193" i="31"/>
  <c r="AA193" i="31"/>
  <c r="Z193" i="31"/>
  <c r="Y193" i="31"/>
  <c r="L193" i="31"/>
  <c r="X193" i="31"/>
  <c r="W193" i="31"/>
  <c r="V193" i="31"/>
  <c r="U193" i="31"/>
  <c r="T193" i="31"/>
  <c r="K193" i="31"/>
  <c r="S193" i="31"/>
  <c r="R193" i="31"/>
  <c r="AE125" i="31"/>
  <c r="M125" i="31"/>
  <c r="AC125" i="31"/>
  <c r="AB152" i="31"/>
  <c r="M152" i="31"/>
  <c r="L152" i="31"/>
  <c r="K152" i="31"/>
  <c r="U152" i="31"/>
  <c r="AD121" i="31"/>
  <c r="AC121" i="31"/>
  <c r="M121" i="31"/>
  <c r="AB121" i="31"/>
  <c r="AC173" i="31"/>
  <c r="M173" i="31"/>
  <c r="AB173" i="31"/>
  <c r="AE66" i="31"/>
  <c r="AD66" i="31"/>
  <c r="AC66" i="31"/>
  <c r="AB66" i="31"/>
  <c r="AA66" i="31"/>
  <c r="T100" i="31"/>
  <c r="K100" i="31"/>
  <c r="X100" i="31"/>
  <c r="L100" i="31"/>
  <c r="AC100" i="31"/>
  <c r="AB100" i="31"/>
  <c r="M100" i="31"/>
  <c r="AE213" i="31"/>
  <c r="AD213" i="31"/>
  <c r="AC213" i="31"/>
  <c r="M213" i="31"/>
  <c r="AB213" i="31"/>
  <c r="AA213" i="31"/>
  <c r="Z213" i="31"/>
  <c r="Y213" i="31"/>
  <c r="AC280" i="31"/>
  <c r="M280" i="31"/>
  <c r="AE143" i="31"/>
  <c r="AD143" i="31"/>
  <c r="AC143" i="31"/>
  <c r="AB143" i="31"/>
  <c r="M143" i="31"/>
  <c r="AA143" i="31"/>
  <c r="Z143" i="31"/>
  <c r="Y143" i="31"/>
  <c r="X143" i="31"/>
  <c r="L143" i="31"/>
  <c r="W143" i="31"/>
  <c r="V143" i="31"/>
  <c r="U143" i="31"/>
  <c r="K143" i="31"/>
  <c r="T143" i="31"/>
  <c r="S143" i="31"/>
  <c r="R143" i="31"/>
  <c r="J143" i="31"/>
  <c r="AE204" i="31"/>
  <c r="AD204" i="31"/>
  <c r="AC204" i="31"/>
  <c r="AB204" i="31"/>
  <c r="M204" i="31"/>
  <c r="AA204" i="31"/>
  <c r="Z204" i="31"/>
  <c r="Y204" i="31"/>
  <c r="L204" i="31"/>
  <c r="X204" i="31"/>
  <c r="W204" i="31"/>
  <c r="V204" i="31"/>
  <c r="M225" i="31"/>
  <c r="AB225" i="31"/>
  <c r="AE140" i="31"/>
  <c r="AD140" i="31"/>
  <c r="AC140" i="31"/>
  <c r="AB140" i="31"/>
  <c r="M140" i="31"/>
  <c r="AA140" i="31"/>
  <c r="Z140" i="31"/>
  <c r="Y140" i="31"/>
  <c r="X140" i="31"/>
  <c r="L140" i="31"/>
  <c r="W140" i="31"/>
  <c r="V140" i="31"/>
  <c r="U140" i="31"/>
  <c r="T140" i="31"/>
  <c r="K140" i="31"/>
  <c r="S140" i="31"/>
  <c r="R140" i="31"/>
  <c r="Q140" i="31"/>
  <c r="J140" i="31"/>
  <c r="AB150" i="31"/>
  <c r="M150" i="31"/>
  <c r="AA150" i="31"/>
  <c r="Z150" i="31"/>
  <c r="Y150" i="31"/>
  <c r="X150" i="31"/>
  <c r="L150" i="31"/>
  <c r="AE147" i="31"/>
  <c r="AD147" i="31"/>
  <c r="AC147" i="31"/>
  <c r="M147" i="31"/>
  <c r="AB147" i="31"/>
  <c r="AA147" i="31"/>
  <c r="Z147" i="31"/>
  <c r="Y147" i="31"/>
  <c r="X147" i="31"/>
  <c r="L147" i="31"/>
  <c r="W147" i="31"/>
  <c r="V147" i="31"/>
  <c r="U147" i="31"/>
  <c r="K147" i="31"/>
  <c r="T147" i="31"/>
  <c r="AC114" i="31"/>
  <c r="AE114" i="31"/>
  <c r="AE232" i="31"/>
  <c r="AD153" i="31"/>
  <c r="Y153" i="31"/>
  <c r="AC153" i="31"/>
  <c r="L118" i="31"/>
  <c r="Z118" i="31"/>
  <c r="AE89" i="31"/>
  <c r="AD89" i="31"/>
  <c r="AC89" i="31"/>
  <c r="AB89" i="31"/>
  <c r="M89" i="31"/>
  <c r="AA89" i="31"/>
  <c r="Z89" i="31"/>
  <c r="AB260" i="31"/>
  <c r="M260" i="31"/>
  <c r="L260" i="31"/>
  <c r="X260" i="31"/>
  <c r="K260" i="31"/>
  <c r="W260" i="31"/>
  <c r="M191" i="31"/>
  <c r="AB191" i="31"/>
  <c r="L191" i="31"/>
  <c r="X191" i="31"/>
  <c r="K191" i="31"/>
  <c r="T191" i="31"/>
  <c r="Q191" i="31"/>
  <c r="J191" i="31"/>
  <c r="AC101" i="31"/>
  <c r="U98" i="31"/>
  <c r="M98" i="31"/>
  <c r="AB98" i="31"/>
  <c r="M189" i="31"/>
  <c r="AB189" i="31"/>
  <c r="X189" i="31"/>
  <c r="L189" i="31"/>
  <c r="K189" i="31"/>
  <c r="T189" i="31"/>
  <c r="P190" i="31"/>
  <c r="J190" i="31"/>
  <c r="AB139" i="31"/>
  <c r="M139" i="31"/>
  <c r="L139" i="31"/>
  <c r="X139" i="31"/>
  <c r="K139" i="31"/>
  <c r="T139" i="31"/>
  <c r="K159" i="31"/>
  <c r="W159" i="31"/>
  <c r="AB120" i="31"/>
  <c r="M120" i="31"/>
  <c r="L120" i="31"/>
  <c r="AA120" i="31"/>
  <c r="AC126" i="31"/>
  <c r="M126" i="31"/>
  <c r="AB251" i="31"/>
  <c r="M251" i="31"/>
  <c r="X251" i="31"/>
  <c r="L251" i="31"/>
  <c r="T251" i="31"/>
  <c r="K251" i="31"/>
  <c r="AB268" i="31"/>
  <c r="M268" i="31"/>
  <c r="AB111" i="31"/>
  <c r="M111" i="31"/>
  <c r="M92" i="31"/>
  <c r="AB92" i="31"/>
  <c r="L92" i="31"/>
  <c r="X92" i="31"/>
  <c r="T92" i="31"/>
  <c r="K92" i="31"/>
  <c r="R92" i="31"/>
  <c r="J92" i="31"/>
  <c r="AC178" i="31"/>
  <c r="M178" i="31"/>
  <c r="L171" i="31"/>
  <c r="AA171" i="31"/>
  <c r="M270" i="31"/>
  <c r="AB270" i="31"/>
  <c r="U256" i="31"/>
  <c r="K256" i="31"/>
  <c r="AB87" i="31"/>
  <c r="M87" i="31"/>
  <c r="L87" i="31"/>
  <c r="X87" i="31"/>
  <c r="K87" i="31"/>
  <c r="T87" i="31"/>
  <c r="S87" i="31"/>
  <c r="R87" i="31"/>
  <c r="Q87" i="31"/>
  <c r="R94" i="31"/>
  <c r="J94" i="31"/>
  <c r="M220" i="31"/>
  <c r="AB220" i="31"/>
  <c r="AB274" i="31"/>
  <c r="M274" i="31"/>
  <c r="U51" i="31"/>
  <c r="AC116" i="31"/>
  <c r="M116" i="31"/>
  <c r="AB116" i="31"/>
  <c r="AE283" i="31"/>
  <c r="X60" i="31"/>
  <c r="AE216" i="31"/>
  <c r="AD216" i="31"/>
  <c r="AC216" i="31"/>
  <c r="AB216" i="31"/>
  <c r="M216" i="31"/>
  <c r="AA216" i="31"/>
  <c r="Z216" i="31"/>
  <c r="P240" i="31"/>
  <c r="J240" i="31"/>
  <c r="AB106" i="31"/>
  <c r="M106" i="31"/>
  <c r="J241" i="31"/>
  <c r="P241" i="31"/>
  <c r="AD110" i="31"/>
  <c r="Z110" i="31"/>
  <c r="AC123" i="31"/>
  <c r="M169" i="31"/>
  <c r="AB169" i="31"/>
  <c r="CC135" i="31"/>
  <c r="BZ135" i="31"/>
  <c r="BW135" i="31"/>
  <c r="BT135" i="31"/>
  <c r="BQ135" i="31"/>
  <c r="BN135" i="31"/>
  <c r="BK135" i="31"/>
  <c r="BH135" i="31"/>
  <c r="BE135" i="31"/>
  <c r="AY135" i="31"/>
  <c r="AV135" i="31"/>
  <c r="AS135" i="31"/>
  <c r="AP135" i="31"/>
  <c r="AJ135" i="31"/>
  <c r="AB272" i="31"/>
  <c r="M272" i="31"/>
  <c r="AE107" i="31"/>
  <c r="AD107" i="31"/>
  <c r="AC107" i="31"/>
  <c r="M107" i="31"/>
  <c r="AB107" i="31"/>
  <c r="AA107" i="31"/>
  <c r="Z107" i="31"/>
  <c r="Y107" i="31"/>
  <c r="L107" i="31"/>
  <c r="X107" i="31"/>
  <c r="K107" i="31"/>
  <c r="W107" i="31"/>
  <c r="AD97" i="31"/>
  <c r="V97" i="31"/>
  <c r="AE255" i="31"/>
  <c r="AD255" i="31"/>
  <c r="AC255" i="31"/>
  <c r="M255" i="31"/>
  <c r="AB255" i="31"/>
  <c r="AA255" i="31"/>
  <c r="Z255" i="31"/>
  <c r="Y255" i="31"/>
  <c r="L255" i="31"/>
  <c r="X255" i="31"/>
  <c r="W255" i="31"/>
  <c r="V255" i="31"/>
  <c r="AA164" i="31"/>
  <c r="Y164" i="31"/>
  <c r="AB164" i="31"/>
  <c r="M164" i="31"/>
  <c r="V91" i="31"/>
  <c r="J91" i="31"/>
  <c r="Q91" i="31"/>
  <c r="S91" i="31"/>
  <c r="U91" i="31"/>
  <c r="AE44" i="31"/>
  <c r="AD44" i="31"/>
  <c r="AC44" i="31"/>
  <c r="AB44" i="31"/>
  <c r="AA44" i="31"/>
  <c r="Z44" i="31"/>
  <c r="Y44" i="31"/>
  <c r="X44" i="31"/>
  <c r="W44" i="31"/>
  <c r="V44" i="31"/>
  <c r="U44" i="31"/>
  <c r="T44" i="31"/>
  <c r="S44" i="31"/>
  <c r="AE207" i="31"/>
  <c r="AD207" i="31"/>
  <c r="AC207" i="31"/>
  <c r="AB207" i="31"/>
  <c r="M207" i="31"/>
  <c r="AA207" i="31"/>
  <c r="Z207" i="31"/>
  <c r="Y207" i="31"/>
  <c r="L207" i="31"/>
  <c r="X207" i="31"/>
  <c r="W207" i="31"/>
  <c r="AA158" i="31"/>
  <c r="Z158" i="31"/>
  <c r="Y158" i="31"/>
  <c r="L158" i="31"/>
  <c r="X158" i="31"/>
  <c r="K158" i="31"/>
  <c r="W158" i="31"/>
  <c r="AD78" i="31"/>
  <c r="AE165" i="31"/>
  <c r="AD165" i="31"/>
  <c r="AC165" i="31"/>
  <c r="M165" i="31"/>
  <c r="AB165" i="31"/>
  <c r="L162" i="31"/>
  <c r="X162" i="31"/>
  <c r="AE267" i="31"/>
  <c r="AD267" i="31"/>
  <c r="AC267" i="31"/>
  <c r="AB267" i="31"/>
  <c r="M267" i="31"/>
  <c r="AA267" i="31"/>
  <c r="Z267" i="31"/>
  <c r="AD117" i="31"/>
  <c r="AB117" i="31"/>
  <c r="M117" i="31"/>
  <c r="AC279" i="31"/>
  <c r="M279" i="31"/>
  <c r="AE53" i="31"/>
  <c r="AD53" i="31"/>
  <c r="AC53" i="31"/>
  <c r="AB53" i="31"/>
  <c r="AA53" i="31"/>
  <c r="Z53" i="31"/>
  <c r="Y53" i="31"/>
  <c r="X53" i="31"/>
  <c r="W53" i="31"/>
  <c r="V53" i="31"/>
  <c r="AE174" i="31"/>
  <c r="AD174" i="31"/>
  <c r="AC174" i="31"/>
  <c r="AE145" i="31"/>
  <c r="AD145" i="31"/>
  <c r="AC145" i="31"/>
  <c r="AE231" i="31"/>
  <c r="AE229" i="31"/>
  <c r="AD229" i="31"/>
  <c r="AD122" i="31"/>
  <c r="M122" i="31"/>
  <c r="AB122" i="31"/>
  <c r="AA161" i="31"/>
  <c r="AB161" i="31"/>
  <c r="M161" i="31"/>
  <c r="Y161" i="31"/>
  <c r="X161" i="31"/>
  <c r="L161" i="31"/>
  <c r="AE172" i="31"/>
  <c r="AD172" i="31"/>
  <c r="AC172" i="31"/>
  <c r="M172" i="31"/>
  <c r="AB172" i="31"/>
  <c r="L113" i="31"/>
  <c r="Y113" i="31"/>
  <c r="Z113" i="31"/>
  <c r="AA113" i="31"/>
  <c r="AE55" i="31"/>
  <c r="AD55" i="31"/>
  <c r="AC55" i="31"/>
  <c r="AB55" i="31"/>
  <c r="AA55" i="31"/>
  <c r="Z55" i="31"/>
  <c r="Y55" i="31"/>
  <c r="X55" i="31"/>
  <c r="W55" i="31"/>
  <c r="T201" i="31"/>
  <c r="K201" i="31"/>
  <c r="AE138" i="31"/>
  <c r="AD138" i="31"/>
  <c r="AC138" i="31"/>
  <c r="AB138" i="31"/>
  <c r="M138" i="31"/>
  <c r="AA138" i="31"/>
  <c r="Z138" i="31"/>
  <c r="Y138" i="31"/>
  <c r="X138" i="31"/>
  <c r="L138" i="31"/>
  <c r="W138" i="31"/>
  <c r="V138" i="31"/>
  <c r="U138" i="31"/>
  <c r="K138" i="31"/>
  <c r="T138" i="31"/>
  <c r="S138" i="31"/>
  <c r="R138" i="31"/>
  <c r="Q138" i="31"/>
  <c r="AE285" i="31"/>
  <c r="M285" i="31"/>
  <c r="AE151" i="31"/>
  <c r="AD151" i="31"/>
  <c r="AC151" i="31"/>
  <c r="AB151" i="31"/>
  <c r="M151" i="31"/>
  <c r="K160" i="31"/>
  <c r="W160" i="31"/>
  <c r="AD125" i="31"/>
  <c r="AA152" i="31"/>
  <c r="AE152" i="31"/>
  <c r="AE176" i="31"/>
  <c r="AE282" i="31"/>
  <c r="AD173" i="31"/>
  <c r="Z66" i="31"/>
  <c r="AE222" i="31"/>
  <c r="AD222" i="31"/>
  <c r="AC222" i="31"/>
  <c r="M222" i="31"/>
  <c r="AB222" i="31"/>
  <c r="T253" i="31"/>
  <c r="K253" i="31"/>
  <c r="V100" i="31"/>
  <c r="L213" i="31"/>
  <c r="X213" i="31"/>
  <c r="AE254" i="31"/>
  <c r="AD254" i="31"/>
  <c r="AC254" i="31"/>
  <c r="M254" i="31"/>
  <c r="AB254" i="31"/>
  <c r="AA254" i="31"/>
  <c r="Z254" i="31"/>
  <c r="Y254" i="31"/>
  <c r="L254" i="31"/>
  <c r="X254" i="31"/>
  <c r="W254" i="31"/>
  <c r="V254" i="31"/>
  <c r="U254" i="31"/>
  <c r="K254" i="31"/>
  <c r="AE41" i="31"/>
  <c r="AD41" i="31"/>
  <c r="AC41" i="31"/>
  <c r="AB41" i="31"/>
  <c r="AA41" i="31"/>
  <c r="Z41" i="31"/>
  <c r="Y41" i="31"/>
  <c r="X41" i="31"/>
  <c r="W41" i="31"/>
  <c r="V41" i="31"/>
  <c r="U41" i="31"/>
  <c r="T41" i="31"/>
  <c r="S41" i="31"/>
  <c r="R41" i="31"/>
  <c r="AE280" i="31"/>
  <c r="AD280" i="31"/>
  <c r="U204" i="31"/>
  <c r="K204" i="31"/>
  <c r="AE62" i="31"/>
  <c r="AD62" i="31"/>
  <c r="AC62" i="31"/>
  <c r="AB62" i="31"/>
  <c r="AA62" i="31"/>
  <c r="Z62" i="31"/>
  <c r="Y62" i="31"/>
  <c r="AE210" i="31"/>
  <c r="AD210" i="31"/>
  <c r="AC210" i="31"/>
  <c r="M210" i="31"/>
  <c r="AB210" i="31"/>
  <c r="AA210" i="31"/>
  <c r="Z210" i="31"/>
  <c r="Y210" i="31"/>
  <c r="X210" i="31"/>
  <c r="L210" i="31"/>
  <c r="W150" i="31"/>
  <c r="V150" i="31"/>
  <c r="U150" i="31"/>
  <c r="M181" i="31"/>
  <c r="AD181" i="31"/>
  <c r="S147" i="31"/>
  <c r="J147" i="31"/>
  <c r="AE75" i="31"/>
  <c r="AD75" i="31"/>
  <c r="AB114" i="31"/>
  <c r="M114" i="31"/>
  <c r="L114" i="31"/>
  <c r="Z114" i="31"/>
  <c r="V153" i="31"/>
  <c r="W153" i="31"/>
  <c r="K153" i="31"/>
  <c r="U153" i="31"/>
  <c r="AA153" i="31"/>
  <c r="Z153" i="31"/>
  <c r="AE118" i="31"/>
  <c r="AD118" i="31"/>
  <c r="AC118" i="31"/>
  <c r="M118" i="31"/>
  <c r="AB118" i="31"/>
  <c r="AA118" i="31"/>
  <c r="AE43" i="31"/>
  <c r="AD43" i="31"/>
  <c r="AC43" i="31"/>
  <c r="AB43" i="31"/>
  <c r="AA43" i="31"/>
  <c r="Z43" i="31"/>
  <c r="Y43" i="31"/>
  <c r="X43" i="31"/>
  <c r="W43" i="31"/>
  <c r="V43" i="31"/>
  <c r="U43" i="31"/>
  <c r="T43" i="31"/>
  <c r="S43" i="31"/>
  <c r="CB186" i="31"/>
  <c r="BY186" i="31"/>
  <c r="BV186" i="31"/>
  <c r="BS186" i="31"/>
  <c r="BP186" i="31"/>
  <c r="BM186" i="31"/>
  <c r="BJ186" i="31"/>
  <c r="BG186" i="31"/>
  <c r="BD186" i="31"/>
  <c r="BA186" i="31"/>
  <c r="AX186" i="31"/>
  <c r="AU186" i="31"/>
  <c r="AR186" i="31"/>
  <c r="AO186" i="31"/>
  <c r="AL186" i="31"/>
  <c r="L217" i="31"/>
  <c r="Y217" i="31"/>
  <c r="AE128" i="31"/>
  <c r="AD128" i="31"/>
  <c r="M128" i="31"/>
  <c r="AE246" i="31"/>
  <c r="AD246" i="31"/>
  <c r="AC246" i="31"/>
  <c r="M246" i="31"/>
  <c r="AB246" i="31"/>
  <c r="AA246" i="31"/>
  <c r="Z246" i="31"/>
  <c r="Y246" i="31"/>
  <c r="X246" i="31"/>
  <c r="L246" i="31"/>
  <c r="W246" i="31"/>
  <c r="V246" i="31"/>
  <c r="U246" i="31"/>
  <c r="T246" i="31"/>
  <c r="K246" i="31"/>
  <c r="S246" i="31"/>
  <c r="Y103" i="31"/>
  <c r="Z103" i="31"/>
  <c r="V103" i="31"/>
  <c r="AB103" i="31"/>
  <c r="M103" i="31"/>
  <c r="X103" i="31"/>
  <c r="L103" i="31"/>
  <c r="AE141" i="31"/>
  <c r="AD141" i="31"/>
  <c r="AC141" i="31"/>
  <c r="AB141" i="31"/>
  <c r="M141" i="31"/>
  <c r="AA141" i="31"/>
  <c r="Z141" i="31"/>
  <c r="Y141" i="31"/>
  <c r="X141" i="31"/>
  <c r="L141" i="31"/>
  <c r="W141" i="31"/>
  <c r="V141" i="31"/>
  <c r="U141" i="31"/>
  <c r="T141" i="31"/>
  <c r="K141" i="31"/>
  <c r="S141" i="31"/>
  <c r="R141" i="31"/>
  <c r="AC175" i="31"/>
  <c r="AE73" i="31"/>
  <c r="AD73" i="31"/>
  <c r="AC73" i="31"/>
  <c r="Y101" i="31"/>
  <c r="AA101" i="31"/>
  <c r="AE101" i="31"/>
  <c r="M101" i="31"/>
  <c r="AB101" i="31"/>
  <c r="W101" i="31"/>
  <c r="K98" i="31"/>
  <c r="AC98" i="31"/>
  <c r="Y98" i="31"/>
  <c r="W98" i="31"/>
  <c r="AC166" i="31"/>
  <c r="M166" i="31"/>
  <c r="AB166" i="31"/>
  <c r="AA166" i="31"/>
  <c r="Z166" i="31"/>
  <c r="J189" i="31"/>
  <c r="P189" i="31"/>
  <c r="V258" i="31"/>
  <c r="K258" i="31"/>
  <c r="AE212" i="31"/>
  <c r="AD212" i="31"/>
  <c r="AC212" i="31"/>
  <c r="M212" i="31"/>
  <c r="AB212" i="31"/>
  <c r="AA212" i="31"/>
  <c r="Z212" i="31"/>
  <c r="Y212" i="31"/>
  <c r="X212" i="31"/>
  <c r="L212" i="31"/>
  <c r="AE208" i="31"/>
  <c r="AD208" i="31"/>
  <c r="AC208" i="31"/>
  <c r="AB208" i="31"/>
  <c r="M208" i="31"/>
  <c r="AA208" i="31"/>
  <c r="Z208" i="31"/>
  <c r="Y208" i="31"/>
  <c r="X208" i="31"/>
  <c r="L208" i="31"/>
  <c r="W208" i="31"/>
  <c r="AE104" i="31"/>
  <c r="AD104" i="31"/>
  <c r="AC104" i="31"/>
  <c r="M104" i="31"/>
  <c r="AB104" i="31"/>
  <c r="AA104" i="31"/>
  <c r="Z104" i="31"/>
  <c r="Y104" i="31"/>
  <c r="L104" i="31"/>
  <c r="X104" i="31"/>
  <c r="W104" i="31"/>
  <c r="K104" i="31"/>
  <c r="V104" i="31"/>
  <c r="AM135" i="31"/>
  <c r="P139" i="31"/>
  <c r="J139" i="31"/>
  <c r="AE159" i="31"/>
  <c r="AD159" i="31"/>
  <c r="AC159" i="31"/>
  <c r="M159" i="31"/>
  <c r="AB159" i="31"/>
  <c r="AA159" i="31"/>
  <c r="Z159" i="31"/>
  <c r="Y159" i="31"/>
  <c r="X159" i="31"/>
  <c r="L159" i="31"/>
  <c r="AE36" i="31"/>
  <c r="AD36" i="31"/>
  <c r="AC36" i="31"/>
  <c r="AB36" i="31"/>
  <c r="AA36" i="31"/>
  <c r="Z36" i="31"/>
  <c r="Y36" i="31"/>
  <c r="X36" i="31"/>
  <c r="W36" i="31"/>
  <c r="V36" i="31"/>
  <c r="U36" i="31"/>
  <c r="T36" i="31"/>
  <c r="S36" i="31"/>
  <c r="R36" i="31"/>
  <c r="Q36" i="31"/>
  <c r="Y268" i="31"/>
  <c r="L268" i="31"/>
  <c r="AC111" i="31"/>
  <c r="AE178" i="31"/>
  <c r="AD178" i="31"/>
  <c r="AB171" i="31"/>
  <c r="M171" i="31"/>
  <c r="L220" i="31"/>
  <c r="Z220" i="31"/>
  <c r="AE54" i="31"/>
  <c r="AD54" i="31"/>
  <c r="Y89" i="31"/>
  <c r="X89" i="31"/>
  <c r="L89" i="31"/>
  <c r="W89" i="31"/>
  <c r="V89" i="31"/>
  <c r="U89" i="31"/>
  <c r="T89" i="31"/>
  <c r="K89" i="31"/>
  <c r="S89" i="31"/>
  <c r="R89" i="31"/>
  <c r="Q89" i="31"/>
  <c r="J89" i="31"/>
  <c r="CA186" i="31"/>
  <c r="AE188" i="31"/>
  <c r="BX186" i="31"/>
  <c r="AD188" i="31"/>
  <c r="BU186" i="31"/>
  <c r="AC188" i="31"/>
  <c r="BR186" i="31"/>
  <c r="AB188" i="31"/>
  <c r="M188" i="31"/>
  <c r="BO186" i="31"/>
  <c r="AA188" i="31"/>
  <c r="BL186" i="31"/>
  <c r="Z188" i="31"/>
  <c r="BI186" i="31"/>
  <c r="Y188" i="31"/>
  <c r="BF186" i="31"/>
  <c r="X188" i="31"/>
  <c r="L188" i="31"/>
  <c r="BC186" i="31"/>
  <c r="W188" i="31"/>
  <c r="AZ186" i="31"/>
  <c r="V188" i="31"/>
  <c r="AW186" i="31"/>
  <c r="U188" i="31"/>
  <c r="AT186" i="31"/>
  <c r="T188" i="31"/>
  <c r="K188" i="31"/>
  <c r="AQ186" i="31"/>
  <c r="S188" i="31"/>
  <c r="AN186" i="31"/>
  <c r="R188" i="31"/>
  <c r="AK186" i="31"/>
  <c r="Q188" i="31"/>
  <c r="AE250" i="31"/>
  <c r="AD250" i="31"/>
  <c r="AC250" i="31"/>
  <c r="AB250" i="31"/>
  <c r="M250" i="31"/>
  <c r="AA250" i="31"/>
  <c r="Z250" i="31"/>
  <c r="Y250" i="31"/>
  <c r="L250" i="31"/>
  <c r="X250" i="31"/>
  <c r="W250" i="31"/>
  <c r="V250" i="31"/>
  <c r="U250" i="31"/>
  <c r="K250" i="31"/>
  <c r="T250" i="31"/>
  <c r="U103" i="31"/>
  <c r="K103" i="31"/>
  <c r="AC103" i="31"/>
  <c r="AD103" i="31"/>
  <c r="AE209" i="31"/>
  <c r="AD209" i="31"/>
  <c r="AC209" i="31"/>
  <c r="M209" i="31"/>
  <c r="AB209" i="31"/>
  <c r="AA209" i="31"/>
  <c r="Z209" i="31"/>
  <c r="Y209" i="31"/>
  <c r="L209" i="31"/>
  <c r="X209" i="31"/>
  <c r="K209" i="31"/>
  <c r="W209" i="31"/>
  <c r="AE64" i="31"/>
  <c r="AD64" i="31"/>
  <c r="AC64" i="31"/>
  <c r="AB64" i="31"/>
  <c r="AA64" i="31"/>
  <c r="Z64" i="31"/>
  <c r="X101" i="31"/>
  <c r="L101" i="31"/>
  <c r="K101" i="31"/>
  <c r="U101" i="31"/>
  <c r="V101" i="31"/>
  <c r="V98" i="31"/>
  <c r="L98" i="31"/>
  <c r="X98" i="31"/>
  <c r="AE200" i="31"/>
  <c r="AD200" i="31"/>
  <c r="AC200" i="31"/>
  <c r="AB200" i="31"/>
  <c r="M200" i="31"/>
  <c r="AA200" i="31"/>
  <c r="Z200" i="31"/>
  <c r="Y200" i="31"/>
  <c r="L200" i="31"/>
  <c r="X200" i="31"/>
  <c r="W200" i="31"/>
  <c r="V200" i="31"/>
  <c r="U200" i="31"/>
  <c r="T200" i="31"/>
  <c r="K200" i="31"/>
  <c r="AE166" i="31"/>
  <c r="AD166" i="31"/>
  <c r="Y166" i="31"/>
  <c r="L166" i="31"/>
  <c r="AE258" i="31"/>
  <c r="AD258" i="31"/>
  <c r="AC258" i="31"/>
  <c r="AB258" i="31"/>
  <c r="M258" i="31"/>
  <c r="AA258" i="31"/>
  <c r="Z258" i="31"/>
  <c r="Y258" i="31"/>
  <c r="X258" i="31"/>
  <c r="L258" i="31"/>
  <c r="W258" i="31"/>
  <c r="V208" i="31"/>
  <c r="K208" i="31"/>
  <c r="AE58" i="31"/>
  <c r="AD58" i="31"/>
  <c r="AC58" i="31"/>
  <c r="AB58" i="31"/>
  <c r="AA58" i="31"/>
  <c r="Z58" i="31"/>
  <c r="Y58" i="31"/>
  <c r="X58" i="31"/>
  <c r="AE77" i="31"/>
  <c r="AD77" i="31"/>
  <c r="AE59" i="31"/>
  <c r="AD59" i="31"/>
  <c r="AC59" i="31"/>
  <c r="AB59" i="31"/>
  <c r="AA59" i="31"/>
  <c r="Z59" i="31"/>
  <c r="Y59" i="31"/>
  <c r="X59" i="31"/>
  <c r="AE190" i="31"/>
  <c r="AD190" i="31"/>
  <c r="AC190" i="31"/>
  <c r="M190" i="31"/>
  <c r="AB190" i="31"/>
  <c r="AA190" i="31"/>
  <c r="Z190" i="31"/>
  <c r="Y190" i="31"/>
  <c r="X190" i="31"/>
  <c r="L190" i="31"/>
  <c r="W190" i="31"/>
  <c r="V190" i="31"/>
  <c r="U190" i="31"/>
  <c r="K190" i="31"/>
  <c r="T190" i="31"/>
  <c r="S190" i="31"/>
  <c r="R190" i="31"/>
  <c r="Q190" i="31"/>
  <c r="AD120" i="31"/>
  <c r="AC120" i="31"/>
  <c r="AD126" i="31"/>
  <c r="AA111" i="31"/>
  <c r="X111" i="31"/>
  <c r="L111" i="31"/>
  <c r="AC171" i="31"/>
  <c r="AE171" i="31"/>
  <c r="Z270" i="31"/>
  <c r="L270" i="31"/>
  <c r="AE256" i="31"/>
  <c r="AD256" i="31"/>
  <c r="AC256" i="31"/>
  <c r="AB256" i="31"/>
  <c r="M256" i="31"/>
  <c r="AA256" i="31"/>
  <c r="Z256" i="31"/>
  <c r="Y256" i="31"/>
  <c r="X256" i="31"/>
  <c r="L256" i="31"/>
  <c r="W256" i="31"/>
  <c r="V256" i="31"/>
  <c r="P87" i="31"/>
  <c r="J87" i="31"/>
  <c r="AC94" i="31"/>
  <c r="M94" i="31"/>
  <c r="AB94" i="31"/>
  <c r="AA94" i="31"/>
  <c r="Z94" i="31"/>
  <c r="Y94" i="31"/>
  <c r="X94" i="31"/>
  <c r="L94" i="31"/>
  <c r="W94" i="31"/>
  <c r="V94" i="31"/>
  <c r="U94" i="31"/>
  <c r="K94" i="31"/>
  <c r="T94" i="31"/>
  <c r="S94" i="31"/>
  <c r="AE183" i="31"/>
  <c r="M183" i="31"/>
  <c r="AE52" i="31"/>
  <c r="AD52" i="31"/>
  <c r="AC52" i="31"/>
  <c r="AB52" i="31"/>
  <c r="AA52" i="31"/>
  <c r="Z52" i="31"/>
  <c r="Y52" i="31"/>
  <c r="X52" i="31"/>
  <c r="W52" i="31"/>
  <c r="V52" i="31"/>
  <c r="L271" i="31"/>
  <c r="Z271" i="31"/>
  <c r="M130" i="31"/>
  <c r="AD130" i="31"/>
  <c r="Z116" i="31"/>
  <c r="L116" i="31"/>
  <c r="L216" i="31"/>
  <c r="Y216" i="31"/>
  <c r="M240" i="31"/>
  <c r="AB240" i="31"/>
  <c r="L240" i="31"/>
  <c r="X240" i="31"/>
  <c r="V240" i="31"/>
  <c r="U240" i="31"/>
  <c r="K240" i="31"/>
  <c r="T240" i="31"/>
  <c r="S240" i="31"/>
  <c r="R240" i="31"/>
  <c r="Q240" i="31"/>
  <c r="AA106" i="31"/>
  <c r="V106" i="31"/>
  <c r="K106" i="31"/>
  <c r="W106" i="31"/>
  <c r="AE248" i="31"/>
  <c r="AD248" i="31"/>
  <c r="AC248" i="31"/>
  <c r="M248" i="31"/>
  <c r="AB248" i="31"/>
  <c r="AA248" i="31"/>
  <c r="Z248" i="31"/>
  <c r="Y248" i="31"/>
  <c r="X248" i="31"/>
  <c r="L248" i="31"/>
  <c r="W248" i="31"/>
  <c r="V248" i="31"/>
  <c r="U248" i="31"/>
  <c r="T248" i="31"/>
  <c r="K248" i="31"/>
  <c r="S248" i="31"/>
  <c r="AE284" i="31"/>
  <c r="M284" i="31"/>
  <c r="AE241" i="31"/>
  <c r="AD241" i="31"/>
  <c r="AC241" i="31"/>
  <c r="M241" i="31"/>
  <c r="AB241" i="31"/>
  <c r="AA241" i="31"/>
  <c r="Z241" i="31"/>
  <c r="Y241" i="31"/>
  <c r="X241" i="31"/>
  <c r="L241" i="31"/>
  <c r="W241" i="31"/>
  <c r="V241" i="31"/>
  <c r="U241" i="31"/>
  <c r="T241" i="31"/>
  <c r="K241" i="31"/>
  <c r="S241" i="31"/>
  <c r="R241" i="31"/>
  <c r="Q241" i="31"/>
  <c r="AC177" i="31"/>
  <c r="M177" i="31"/>
  <c r="M110" i="31"/>
  <c r="AB110" i="31"/>
  <c r="AE110" i="31"/>
  <c r="AE269" i="31"/>
  <c r="AD269" i="31"/>
  <c r="AC269" i="31"/>
  <c r="M269" i="31"/>
  <c r="AB269" i="31"/>
  <c r="AA269" i="31"/>
  <c r="Z269" i="31"/>
  <c r="L269" i="31"/>
  <c r="CA135" i="31"/>
  <c r="AE137" i="31"/>
  <c r="BX135" i="31"/>
  <c r="AD137" i="31"/>
  <c r="BU135" i="31"/>
  <c r="AC137" i="31"/>
  <c r="BR135" i="31"/>
  <c r="AB137" i="31"/>
  <c r="M137" i="31"/>
  <c r="L272" i="31"/>
  <c r="AA272" i="31"/>
  <c r="M211" i="31"/>
  <c r="AB211" i="31"/>
  <c r="L211" i="31"/>
  <c r="X211" i="31"/>
  <c r="J198" i="31"/>
  <c r="S198" i="31"/>
  <c r="AB249" i="31"/>
  <c r="M249" i="31"/>
  <c r="Y249" i="31"/>
  <c r="X249" i="31"/>
  <c r="L249" i="31"/>
  <c r="W249" i="31"/>
  <c r="V249" i="31"/>
  <c r="U249" i="31"/>
  <c r="T249" i="31"/>
  <c r="K249" i="31"/>
  <c r="W261" i="31"/>
  <c r="K261" i="31"/>
  <c r="M182" i="31"/>
  <c r="AE182" i="31"/>
  <c r="AA163" i="31"/>
  <c r="L273" i="31"/>
  <c r="AA273" i="31"/>
  <c r="AB257" i="31"/>
  <c r="M257" i="31"/>
  <c r="Z257" i="31"/>
  <c r="Y257" i="31"/>
  <c r="X257" i="31"/>
  <c r="L257" i="31"/>
  <c r="W257" i="31"/>
  <c r="V257" i="31"/>
  <c r="K257" i="31"/>
  <c r="Y115" i="31"/>
  <c r="L115" i="31"/>
  <c r="AD223" i="31"/>
  <c r="AC223" i="31"/>
  <c r="AB223" i="31"/>
  <c r="M223" i="31"/>
  <c r="CB84" i="31"/>
  <c r="BY84" i="31"/>
  <c r="BV84" i="31"/>
  <c r="BS84" i="31"/>
  <c r="BP84" i="31"/>
  <c r="BM84" i="31"/>
  <c r="BJ84" i="31"/>
  <c r="BG84" i="31"/>
  <c r="BD84" i="31"/>
  <c r="BA84" i="31"/>
  <c r="AX84" i="31"/>
  <c r="AU84" i="31"/>
  <c r="AR84" i="31"/>
  <c r="AO84" i="31"/>
  <c r="AL84" i="31"/>
  <c r="AJ84" i="31"/>
  <c r="M179" i="31"/>
  <c r="AC146" i="31"/>
  <c r="M146" i="31"/>
  <c r="AB146" i="31"/>
  <c r="T146" i="31"/>
  <c r="K146" i="31"/>
  <c r="J146" i="31"/>
  <c r="S146" i="31"/>
  <c r="K154" i="31"/>
  <c r="U154" i="31"/>
  <c r="M180" i="31"/>
  <c r="AD180" i="31"/>
  <c r="K109" i="31"/>
  <c r="W109" i="31"/>
  <c r="Y109" i="31"/>
  <c r="AB192" i="31"/>
  <c r="M192" i="31"/>
  <c r="L192" i="31"/>
  <c r="X192" i="31"/>
  <c r="T192" i="31"/>
  <c r="K192" i="31"/>
  <c r="AC54" i="31"/>
  <c r="AB54" i="31"/>
  <c r="AA54" i="31"/>
  <c r="Z54" i="31"/>
  <c r="Y54" i="31"/>
  <c r="X54" i="31"/>
  <c r="W54" i="31"/>
  <c r="AA274" i="31"/>
  <c r="L274" i="31"/>
  <c r="AE271" i="31"/>
  <c r="AD271" i="31"/>
  <c r="AC271" i="31"/>
  <c r="AB271" i="31"/>
  <c r="M271" i="31"/>
  <c r="AA271" i="31"/>
  <c r="AE130" i="31"/>
  <c r="M277" i="31"/>
  <c r="AB277" i="31"/>
  <c r="AE51" i="31"/>
  <c r="AD51" i="31"/>
  <c r="AC51" i="31"/>
  <c r="AB51" i="31"/>
  <c r="AA51" i="31"/>
  <c r="Z51" i="31"/>
  <c r="Y51" i="31"/>
  <c r="X51" i="31"/>
  <c r="W51" i="31"/>
  <c r="V51" i="31"/>
  <c r="AD116" i="31"/>
  <c r="AE116" i="31"/>
  <c r="M283" i="31"/>
  <c r="AD283" i="31"/>
  <c r="AE60" i="31"/>
  <c r="AD60" i="31"/>
  <c r="AC60" i="31"/>
  <c r="AB60" i="31"/>
  <c r="AA60" i="31"/>
  <c r="Z60" i="31"/>
  <c r="Y60" i="31"/>
  <c r="AC106" i="31"/>
  <c r="X106" i="31"/>
  <c r="L106" i="31"/>
  <c r="Y106" i="31"/>
  <c r="AA110" i="31"/>
  <c r="Y110" i="31"/>
  <c r="L110" i="31"/>
  <c r="X110" i="31"/>
  <c r="AB123" i="31"/>
  <c r="M123" i="31"/>
  <c r="AE169" i="31"/>
  <c r="AD169" i="31"/>
  <c r="AC169" i="31"/>
  <c r="L169" i="31"/>
  <c r="Z169" i="31"/>
  <c r="CB135" i="31"/>
  <c r="BY135" i="31"/>
  <c r="BV135" i="31"/>
  <c r="BS135" i="31"/>
  <c r="BP135" i="31"/>
  <c r="BM135" i="31"/>
  <c r="BJ135" i="31"/>
  <c r="BG135" i="31"/>
  <c r="BD135" i="31"/>
  <c r="BA135" i="31"/>
  <c r="AX135" i="31"/>
  <c r="AU135" i="31"/>
  <c r="AR135" i="31"/>
  <c r="AO135" i="31"/>
  <c r="AL135" i="31"/>
  <c r="AH135" i="31"/>
  <c r="P137" i="31"/>
  <c r="J137" i="31"/>
  <c r="AE127" i="31"/>
  <c r="AD127" i="31"/>
  <c r="AE155" i="31"/>
  <c r="AD155" i="31"/>
  <c r="L155" i="31"/>
  <c r="X155" i="31"/>
  <c r="W155" i="31"/>
  <c r="W211" i="31"/>
  <c r="K211" i="31"/>
  <c r="AE198" i="31"/>
  <c r="AD198" i="31"/>
  <c r="AC198" i="31"/>
  <c r="AB198" i="31"/>
  <c r="M198" i="31"/>
  <c r="AA198" i="31"/>
  <c r="Z198" i="31"/>
  <c r="Y198" i="31"/>
  <c r="L198" i="31"/>
  <c r="X198" i="31"/>
  <c r="W198" i="31"/>
  <c r="V198" i="31"/>
  <c r="U198" i="31"/>
  <c r="K198" i="31"/>
  <c r="T198" i="31"/>
  <c r="Q90" i="31"/>
  <c r="J90" i="31"/>
  <c r="AE46" i="31"/>
  <c r="AD46" i="31"/>
  <c r="AC46" i="31"/>
  <c r="AB46" i="31"/>
  <c r="AA46" i="31"/>
  <c r="Z46" i="31"/>
  <c r="Y46" i="31"/>
  <c r="X46" i="31"/>
  <c r="W46" i="31"/>
  <c r="V46" i="31"/>
  <c r="U46" i="31"/>
  <c r="T46" i="31"/>
  <c r="X102" i="31"/>
  <c r="L102" i="31"/>
  <c r="AE102" i="31"/>
  <c r="V102" i="31"/>
  <c r="AE261" i="31"/>
  <c r="AD261" i="31"/>
  <c r="AC261" i="31"/>
  <c r="AB261" i="31"/>
  <c r="M261" i="31"/>
  <c r="AA261" i="31"/>
  <c r="Z261" i="31"/>
  <c r="Y261" i="31"/>
  <c r="L261" i="31"/>
  <c r="X261" i="31"/>
  <c r="Y163" i="31"/>
  <c r="AE163" i="31"/>
  <c r="AE263" i="31"/>
  <c r="AD263" i="31"/>
  <c r="AC263" i="31"/>
  <c r="M263" i="31"/>
  <c r="AB263" i="31"/>
  <c r="AA263" i="31"/>
  <c r="Z263" i="31"/>
  <c r="Y263" i="31"/>
  <c r="X263" i="31"/>
  <c r="L263" i="31"/>
  <c r="AE273" i="31"/>
  <c r="AD273" i="31"/>
  <c r="AC273" i="31"/>
  <c r="AB273" i="31"/>
  <c r="M273" i="31"/>
  <c r="AE69" i="31"/>
  <c r="AD69" i="31"/>
  <c r="AC69" i="31"/>
  <c r="AB69" i="31"/>
  <c r="AA223" i="31"/>
  <c r="L223" i="31"/>
  <c r="AE86" i="31"/>
  <c r="CA84" i="31"/>
  <c r="AD86" i="31"/>
  <c r="BX84" i="31"/>
  <c r="AC86" i="31"/>
  <c r="BU84" i="31"/>
  <c r="BR84" i="31"/>
  <c r="M86" i="31"/>
  <c r="AB86" i="31"/>
  <c r="BO84" i="31"/>
  <c r="AA86" i="31"/>
  <c r="BL84" i="31"/>
  <c r="Z86" i="31"/>
  <c r="BI84" i="31"/>
  <c r="Y86" i="31"/>
  <c r="BF84" i="31"/>
  <c r="L86" i="31"/>
  <c r="X86" i="31"/>
  <c r="BC84" i="31"/>
  <c r="W86" i="31"/>
  <c r="AZ84" i="31"/>
  <c r="V86" i="31"/>
  <c r="AW84" i="31"/>
  <c r="U86" i="31"/>
  <c r="AT84" i="31"/>
  <c r="K86" i="31"/>
  <c r="T86" i="31"/>
  <c r="AQ84" i="31"/>
  <c r="S86" i="31"/>
  <c r="AN84" i="31"/>
  <c r="R86" i="31"/>
  <c r="AK84" i="31"/>
  <c r="Q86" i="31"/>
  <c r="AH84" i="31"/>
  <c r="P86" i="31"/>
  <c r="J86" i="31"/>
  <c r="AE199" i="31"/>
  <c r="AD199" i="31"/>
  <c r="AC199" i="31"/>
  <c r="M199" i="31"/>
  <c r="AB199" i="31"/>
  <c r="AA199" i="31"/>
  <c r="Z199" i="31"/>
  <c r="Y199" i="31"/>
  <c r="X199" i="31"/>
  <c r="L199" i="31"/>
  <c r="W199" i="31"/>
  <c r="V199" i="31"/>
  <c r="U199" i="31"/>
  <c r="K199" i="31"/>
  <c r="T199" i="31"/>
  <c r="Z219" i="31"/>
  <c r="L219" i="31"/>
  <c r="AE38" i="31"/>
  <c r="AD38" i="31"/>
  <c r="AC38" i="31"/>
  <c r="AB38" i="31"/>
  <c r="AA38" i="31"/>
  <c r="Z38" i="31"/>
  <c r="Y38" i="31"/>
  <c r="X38" i="31"/>
  <c r="W38" i="31"/>
  <c r="V38" i="31"/>
  <c r="U38" i="31"/>
  <c r="T38" i="31"/>
  <c r="S38" i="31"/>
  <c r="R38" i="31"/>
  <c r="Q38" i="31"/>
  <c r="L146" i="31"/>
  <c r="X146" i="31"/>
  <c r="Y146" i="31"/>
  <c r="U146" i="31"/>
  <c r="W146" i="31"/>
  <c r="AB154" i="31"/>
  <c r="M154" i="31"/>
  <c r="AC154" i="31"/>
  <c r="Y154" i="31"/>
  <c r="AA154" i="31"/>
  <c r="Z154" i="31"/>
  <c r="AE76" i="31"/>
  <c r="AD76" i="31"/>
  <c r="J195" i="31"/>
  <c r="R195" i="31"/>
  <c r="AE180" i="31"/>
  <c r="AC109" i="31"/>
  <c r="AE109" i="31"/>
  <c r="AE233" i="31"/>
  <c r="M233" i="31"/>
  <c r="AE170" i="31"/>
  <c r="AD170" i="31"/>
  <c r="AC170" i="31"/>
  <c r="M170" i="31"/>
  <c r="AB170" i="31"/>
  <c r="L170" i="31"/>
  <c r="AA170" i="31"/>
  <c r="AE45" i="31"/>
  <c r="AD45" i="31"/>
  <c r="AC45" i="31"/>
  <c r="AB45" i="31"/>
  <c r="AA45" i="31"/>
  <c r="Z45" i="31"/>
  <c r="Y45" i="31"/>
  <c r="X45" i="31"/>
  <c r="W45" i="31"/>
  <c r="V45" i="31"/>
  <c r="U45" i="31"/>
  <c r="T45" i="31"/>
  <c r="BO135" i="31"/>
  <c r="AA137" i="31"/>
  <c r="BL135" i="31"/>
  <c r="Z137" i="31"/>
  <c r="BI135" i="31"/>
  <c r="Y137" i="31"/>
  <c r="BF135" i="31"/>
  <c r="L137" i="31"/>
  <c r="X137" i="31"/>
  <c r="BC135" i="31"/>
  <c r="W137" i="31"/>
  <c r="AZ135" i="31"/>
  <c r="V137" i="31"/>
  <c r="U137" i="31"/>
  <c r="AW135" i="31"/>
  <c r="AT135" i="31"/>
  <c r="T137" i="31"/>
  <c r="K137" i="31"/>
  <c r="AQ135" i="31"/>
  <c r="S137" i="31"/>
  <c r="R137" i="31"/>
  <c r="AN135" i="31"/>
  <c r="AK135" i="31"/>
  <c r="Q137" i="31"/>
  <c r="AI135" i="31"/>
  <c r="AC127" i="31"/>
  <c r="M127" i="31"/>
  <c r="AB155" i="31"/>
  <c r="M155" i="31"/>
  <c r="Y155" i="31"/>
  <c r="AA155" i="31"/>
  <c r="K155" i="31"/>
  <c r="V155" i="31"/>
  <c r="J249" i="31"/>
  <c r="S249" i="31"/>
  <c r="AB90" i="31"/>
  <c r="M90" i="31"/>
  <c r="Z90" i="31"/>
  <c r="Y90" i="31"/>
  <c r="L90" i="31"/>
  <c r="X90" i="31"/>
  <c r="W90" i="31"/>
  <c r="V90" i="31"/>
  <c r="U90" i="31"/>
  <c r="T90" i="31"/>
  <c r="K90" i="31"/>
  <c r="S90" i="31"/>
  <c r="R90" i="31"/>
  <c r="AC102" i="31"/>
  <c r="U102" i="31"/>
  <c r="K102" i="31"/>
  <c r="AA102" i="31"/>
  <c r="W102" i="31"/>
  <c r="M102" i="31"/>
  <c r="Z163" i="31"/>
  <c r="L163" i="31"/>
  <c r="X163" i="31"/>
  <c r="M163" i="31"/>
  <c r="AB163" i="31"/>
  <c r="AB115" i="31"/>
  <c r="M115" i="31"/>
  <c r="AA115" i="31"/>
  <c r="Z115" i="31"/>
  <c r="CC84" i="31"/>
  <c r="BZ84" i="31"/>
  <c r="BW84" i="31"/>
  <c r="BT84" i="31"/>
  <c r="BQ84" i="31"/>
  <c r="BN84" i="31"/>
  <c r="BK84" i="31"/>
  <c r="BH84" i="31"/>
  <c r="BE84" i="31"/>
  <c r="BB84" i="31"/>
  <c r="AY84" i="31"/>
  <c r="AS84" i="31"/>
  <c r="AP84" i="31"/>
  <c r="AM84" i="31"/>
  <c r="AI84" i="31"/>
  <c r="J199" i="31"/>
  <c r="S199" i="31"/>
  <c r="M219" i="31"/>
  <c r="AB219" i="31"/>
  <c r="AD146" i="31"/>
  <c r="Z146" i="31"/>
  <c r="L154" i="31"/>
  <c r="X154" i="31"/>
  <c r="V154" i="31"/>
  <c r="AE195" i="31"/>
  <c r="AD195" i="31"/>
  <c r="AC195" i="31"/>
  <c r="M195" i="31"/>
  <c r="AB195" i="31"/>
  <c r="AA195" i="31"/>
  <c r="Z195" i="31"/>
  <c r="Y195" i="31"/>
  <c r="L195" i="31"/>
  <c r="X195" i="31"/>
  <c r="W195" i="31"/>
  <c r="V195" i="31"/>
  <c r="U195" i="31"/>
  <c r="K195" i="31"/>
  <c r="T195" i="31"/>
  <c r="S195" i="31"/>
  <c r="AA109" i="31"/>
  <c r="M109" i="31"/>
  <c r="AB109" i="31"/>
  <c r="X109" i="31"/>
  <c r="L109" i="31"/>
  <c r="Q192" i="31"/>
  <c r="J192" i="31"/>
  <c r="AB80" i="29"/>
  <c r="O80" i="29"/>
  <c r="P80" i="29"/>
  <c r="N80" i="29"/>
  <c r="AA80" i="29"/>
  <c r="Z80" i="29"/>
  <c r="Y80" i="29"/>
  <c r="J80" i="29"/>
  <c r="M80" i="29"/>
  <c r="BM44" i="29"/>
  <c r="BM146" i="29" s="1"/>
  <c r="BM151" i="29" s="1"/>
  <c r="BM156" i="29" s="1"/>
  <c r="U80" i="29"/>
  <c r="V80" i="29"/>
  <c r="R80" i="29"/>
  <c r="I80" i="29"/>
  <c r="Q80" i="29"/>
  <c r="T80" i="29"/>
  <c r="X80" i="29"/>
  <c r="S80" i="29"/>
  <c r="W80" i="29"/>
  <c r="BM33" i="22"/>
  <c r="BM135" i="22" s="1"/>
  <c r="BM140" i="22" s="1"/>
  <c r="P84" i="31" l="1"/>
  <c r="P33" i="31"/>
  <c r="BK32" i="31"/>
  <c r="Q84" i="31"/>
  <c r="AJ32" i="31"/>
  <c r="AP32" i="31"/>
  <c r="P135" i="31"/>
  <c r="S135" i="31"/>
  <c r="AS32" i="31"/>
  <c r="R135" i="31"/>
  <c r="T135" i="31"/>
  <c r="AM32" i="31"/>
  <c r="W135" i="31"/>
  <c r="AY32" i="31"/>
  <c r="J135" i="31"/>
  <c r="BB32" i="31"/>
  <c r="J84" i="31"/>
  <c r="BE32" i="31"/>
  <c r="Q135" i="31"/>
  <c r="AD84" i="31"/>
  <c r="BH32" i="31"/>
  <c r="AI32" i="31"/>
  <c r="AL32" i="31"/>
  <c r="AE33" i="31"/>
  <c r="Z84" i="31"/>
  <c r="U135" i="31"/>
  <c r="AO32" i="31"/>
  <c r="AV32" i="31"/>
  <c r="K135" i="31"/>
  <c r="X135" i="31"/>
  <c r="Y135" i="31"/>
  <c r="S84" i="31"/>
  <c r="K84" i="31"/>
  <c r="L84" i="31"/>
  <c r="AA84" i="31"/>
  <c r="M84" i="31"/>
  <c r="AC84" i="31"/>
  <c r="AD135" i="31"/>
  <c r="S186" i="31"/>
  <c r="T186" i="31"/>
  <c r="W186" i="31"/>
  <c r="X186" i="31"/>
  <c r="AA186" i="31"/>
  <c r="AB186" i="31"/>
  <c r="AE186" i="31"/>
  <c r="AX32" i="31"/>
  <c r="BG32" i="31"/>
  <c r="BP32" i="31"/>
  <c r="BY32" i="31"/>
  <c r="J186" i="31"/>
  <c r="Z237" i="31"/>
  <c r="BN32" i="31"/>
  <c r="AK32" i="31"/>
  <c r="T33" i="31"/>
  <c r="AW32" i="31"/>
  <c r="Y33" i="31"/>
  <c r="BO32" i="31"/>
  <c r="S237" i="31"/>
  <c r="M237" i="31"/>
  <c r="BT32" i="31"/>
  <c r="V33" i="31"/>
  <c r="BF32" i="31"/>
  <c r="AB33" i="31"/>
  <c r="BX32" i="31"/>
  <c r="K237" i="31"/>
  <c r="L237" i="31"/>
  <c r="L135" i="31"/>
  <c r="AA135" i="31"/>
  <c r="R84" i="31"/>
  <c r="V84" i="31"/>
  <c r="AE84" i="31"/>
  <c r="M135" i="31"/>
  <c r="AC135" i="31"/>
  <c r="R186" i="31"/>
  <c r="V186" i="31"/>
  <c r="Z186" i="31"/>
  <c r="AD186" i="31"/>
  <c r="W84" i="31"/>
  <c r="AH32" i="31"/>
  <c r="AR32" i="31"/>
  <c r="BA32" i="31"/>
  <c r="BJ32" i="31"/>
  <c r="BS32" i="31"/>
  <c r="CB32" i="31"/>
  <c r="P186" i="31"/>
  <c r="J237" i="31"/>
  <c r="Q237" i="31"/>
  <c r="R237" i="31"/>
  <c r="W237" i="31"/>
  <c r="AE237" i="31"/>
  <c r="BW32" i="31"/>
  <c r="R33" i="31"/>
  <c r="AT32" i="31"/>
  <c r="W33" i="31"/>
  <c r="BI32" i="31"/>
  <c r="AC33" i="31"/>
  <c r="CA32" i="31"/>
  <c r="Y237" i="31"/>
  <c r="AB237" i="31"/>
  <c r="BZ32" i="31"/>
  <c r="S33" i="31"/>
  <c r="AZ32" i="31"/>
  <c r="Z33" i="31"/>
  <c r="BR32" i="31"/>
  <c r="AD237" i="31"/>
  <c r="V135" i="31"/>
  <c r="Z135" i="31"/>
  <c r="T84" i="31"/>
  <c r="U84" i="31"/>
  <c r="X84" i="31"/>
  <c r="Y84" i="31"/>
  <c r="AB84" i="31"/>
  <c r="AB135" i="31"/>
  <c r="AE135" i="31"/>
  <c r="Q186" i="31"/>
  <c r="K186" i="31"/>
  <c r="U186" i="31"/>
  <c r="L186" i="31"/>
  <c r="Y186" i="31"/>
  <c r="M186" i="31"/>
  <c r="AC186" i="31"/>
  <c r="AU32" i="31"/>
  <c r="BD32" i="31"/>
  <c r="BM32" i="31"/>
  <c r="BV32" i="31"/>
  <c r="P237" i="31"/>
  <c r="U237" i="31"/>
  <c r="AC237" i="31"/>
  <c r="CC32" i="31"/>
  <c r="Q33" i="31"/>
  <c r="AN32" i="31"/>
  <c r="U33" i="31"/>
  <c r="BC32" i="31"/>
  <c r="AA33" i="31"/>
  <c r="BU32" i="31"/>
  <c r="V237" i="31"/>
  <c r="BQ32" i="31"/>
  <c r="BQ293" i="31"/>
  <c r="AQ32" i="31"/>
  <c r="X33" i="31"/>
  <c r="BL32" i="31"/>
  <c r="AD33" i="31"/>
  <c r="T237" i="31"/>
  <c r="X237" i="31"/>
  <c r="AA237" i="31"/>
  <c r="H90" i="30"/>
  <c r="I90" i="30"/>
  <c r="BQ292" i="31" l="1"/>
  <c r="BQ290" i="31"/>
  <c r="BQ302" i="31"/>
  <c r="AA293" i="31" a="1"/>
  <c r="AA293" i="31" s="1"/>
  <c r="L293" i="31" a="1"/>
  <c r="L293" i="31" s="1"/>
  <c r="BR293" i="31"/>
  <c r="BR290" i="31" s="1"/>
  <c r="BQ301" i="31"/>
  <c r="Z32" i="31"/>
  <c r="S32" i="31"/>
  <c r="Q32" i="31"/>
  <c r="AD32" i="31"/>
  <c r="W32" i="31"/>
  <c r="AE32" i="31"/>
  <c r="P32" i="31"/>
  <c r="X32" i="31"/>
  <c r="AA32" i="31"/>
  <c r="R32" i="31"/>
  <c r="Y32" i="31"/>
  <c r="V32" i="31"/>
  <c r="U32" i="31"/>
  <c r="AC32" i="31"/>
  <c r="AB32" i="31"/>
  <c r="T32" i="31"/>
  <c r="P149" i="29"/>
  <c r="Q149" i="29"/>
  <c r="S149" i="29"/>
  <c r="BR302" i="31" l="1"/>
  <c r="BY83" i="12" s="1"/>
  <c r="BR292" i="31"/>
  <c r="BX83" i="12"/>
  <c r="L302" i="31" a="1"/>
  <c r="L302" i="31" s="1"/>
  <c r="AA302" i="31" a="1"/>
  <c r="AA302" i="31" s="1"/>
  <c r="BX63" i="12"/>
  <c r="R63" i="12" s="1"/>
  <c r="AA301" i="31"/>
  <c r="L301" i="31"/>
  <c r="BQ289" i="31"/>
  <c r="L290" i="31"/>
  <c r="L289" i="31" s="1"/>
  <c r="AA290" i="31"/>
  <c r="AA289" i="31" s="1"/>
  <c r="BS293" i="31"/>
  <c r="BS290" i="31" s="1"/>
  <c r="BR301" i="31"/>
  <c r="N152" i="29"/>
  <c r="O152" i="29"/>
  <c r="BS302" i="31" l="1"/>
  <c r="BZ83" i="12" s="1"/>
  <c r="BS292" i="31"/>
  <c r="AV73" i="13"/>
  <c r="AG63" i="12"/>
  <c r="BY63" i="12"/>
  <c r="AW73" i="13" s="1"/>
  <c r="BR289" i="31"/>
  <c r="BT293" i="31"/>
  <c r="Q155" i="29"/>
  <c r="O141" i="28"/>
  <c r="BT292" i="31" l="1"/>
  <c r="BT290" i="31"/>
  <c r="BT302" i="31"/>
  <c r="AB293" i="31" a="1"/>
  <c r="AB293" i="31" s="1"/>
  <c r="BS289" i="31"/>
  <c r="BS301" i="31"/>
  <c r="BU293" i="31"/>
  <c r="BU290" i="31" s="1"/>
  <c r="BT301" i="31"/>
  <c r="CA63" i="12" s="1"/>
  <c r="AY73" i="13" s="1"/>
  <c r="AQ8" i="28"/>
  <c r="AQ105" i="28" s="1"/>
  <c r="AQ6" i="28"/>
  <c r="AQ7" i="28"/>
  <c r="AQ3" i="28"/>
  <c r="AR5" i="28"/>
  <c r="AS5" i="28" s="1"/>
  <c r="AT5" i="28" s="1"/>
  <c r="BU302" i="31" l="1"/>
  <c r="CB83" i="12" s="1"/>
  <c r="BU292" i="31"/>
  <c r="CA83" i="12"/>
  <c r="AB302" i="31" a="1"/>
  <c r="AB302" i="31" s="1"/>
  <c r="BZ63" i="12"/>
  <c r="AX73" i="13" s="1"/>
  <c r="AB301" i="31"/>
  <c r="AB290" i="31"/>
  <c r="AB289" i="31" s="1"/>
  <c r="BT289" i="31"/>
  <c r="BV293" i="31"/>
  <c r="BV290" i="31" s="1"/>
  <c r="BU301" i="31"/>
  <c r="AP4" i="28"/>
  <c r="AQ117" i="28"/>
  <c r="AQ119" i="28"/>
  <c r="AQ110" i="28"/>
  <c r="AQ46" i="28"/>
  <c r="AQ57" i="28"/>
  <c r="AQ91" i="28"/>
  <c r="AQ136" i="28"/>
  <c r="AT6" i="28"/>
  <c r="AT7" i="28"/>
  <c r="AT8" i="28"/>
  <c r="AT3" i="28"/>
  <c r="AT4" i="28"/>
  <c r="AU5" i="28"/>
  <c r="AR4" i="28"/>
  <c r="AP7" i="28"/>
  <c r="AP6" i="28"/>
  <c r="AP3" i="28"/>
  <c r="AR6" i="28"/>
  <c r="AR7" i="28"/>
  <c r="AR3" i="28"/>
  <c r="AR8" i="28"/>
  <c r="AS4" i="28"/>
  <c r="AS7" i="28"/>
  <c r="AS3" i="28"/>
  <c r="AS6" i="28"/>
  <c r="AS8" i="28"/>
  <c r="AP8" i="28"/>
  <c r="AQ127" i="28"/>
  <c r="AQ53" i="28"/>
  <c r="AQ38" i="28"/>
  <c r="AQ55" i="28"/>
  <c r="AQ111" i="28"/>
  <c r="AQ39" i="28"/>
  <c r="AQ89" i="28"/>
  <c r="AQ72" i="28"/>
  <c r="AQ103" i="28"/>
  <c r="AQ77" i="28"/>
  <c r="AQ124" i="28"/>
  <c r="AQ63" i="28"/>
  <c r="AQ33" i="28"/>
  <c r="AQ118" i="28"/>
  <c r="AQ67" i="28"/>
  <c r="AQ94" i="28"/>
  <c r="AQ34" i="28"/>
  <c r="AQ61" i="28"/>
  <c r="AQ100" i="28"/>
  <c r="AQ112" i="28"/>
  <c r="AQ138" i="28"/>
  <c r="AQ64" i="28"/>
  <c r="AQ102" i="28"/>
  <c r="AQ83" i="28"/>
  <c r="AQ32" i="28"/>
  <c r="AQ45" i="28"/>
  <c r="AQ56" i="28"/>
  <c r="AQ50" i="28"/>
  <c r="AQ92" i="28"/>
  <c r="AQ129" i="28"/>
  <c r="AQ121" i="28"/>
  <c r="AQ58" i="28"/>
  <c r="AQ95" i="28"/>
  <c r="AQ43" i="28"/>
  <c r="AQ37" i="28"/>
  <c r="AQ115" i="28"/>
  <c r="AQ51" i="28"/>
  <c r="AQ128" i="28"/>
  <c r="AQ98" i="28"/>
  <c r="AQ74" i="28"/>
  <c r="AQ108" i="28"/>
  <c r="AQ113" i="28"/>
  <c r="AQ122" i="28"/>
  <c r="AQ99" i="28"/>
  <c r="AQ130" i="28"/>
  <c r="AQ120" i="28"/>
  <c r="AQ87" i="28"/>
  <c r="AQ107" i="28"/>
  <c r="AQ42" i="28"/>
  <c r="AQ79" i="28"/>
  <c r="AQ47" i="28"/>
  <c r="AQ66" i="28"/>
  <c r="AQ40" i="28"/>
  <c r="AQ25" i="28"/>
  <c r="AQ86" i="28"/>
  <c r="AQ104" i="28"/>
  <c r="AQ49" i="28"/>
  <c r="AQ44" i="28"/>
  <c r="AQ101" i="28"/>
  <c r="AQ71" i="28"/>
  <c r="AQ106" i="28"/>
  <c r="AQ59" i="28"/>
  <c r="AQ109" i="28"/>
  <c r="AQ85" i="28"/>
  <c r="AQ73" i="28"/>
  <c r="AQ75" i="28"/>
  <c r="AQ125" i="28"/>
  <c r="AQ78" i="28"/>
  <c r="AQ36" i="28"/>
  <c r="AQ116" i="28"/>
  <c r="AQ70" i="28"/>
  <c r="AQ90" i="28"/>
  <c r="AQ123" i="28"/>
  <c r="AQ62" i="28"/>
  <c r="AQ48" i="28"/>
  <c r="AQ97" i="28"/>
  <c r="AQ54" i="28"/>
  <c r="AQ88" i="28"/>
  <c r="AQ96" i="28"/>
  <c r="AQ84" i="28"/>
  <c r="AQ76" i="28"/>
  <c r="AQ35" i="28"/>
  <c r="AQ93" i="28"/>
  <c r="AQ68" i="28"/>
  <c r="AQ41" i="28"/>
  <c r="AQ126" i="28"/>
  <c r="AQ60" i="28"/>
  <c r="AQ65" i="28"/>
  <c r="AQ69" i="28"/>
  <c r="AQ52" i="28"/>
  <c r="AQ114" i="28"/>
  <c r="AH63" i="12" l="1"/>
  <c r="BV302" i="31"/>
  <c r="CC83" i="12" s="1"/>
  <c r="BV292" i="31"/>
  <c r="CB63" i="12"/>
  <c r="AZ73" i="13" s="1"/>
  <c r="BU289" i="31"/>
  <c r="BW293" i="31"/>
  <c r="AS32" i="28"/>
  <c r="AS83" i="28"/>
  <c r="AS74" i="28"/>
  <c r="AS34" i="28"/>
  <c r="AS61" i="28"/>
  <c r="AS47" i="28"/>
  <c r="AS71" i="28"/>
  <c r="AS130" i="28"/>
  <c r="AS88" i="28"/>
  <c r="AS101" i="28"/>
  <c r="AS69" i="28"/>
  <c r="AS54" i="28"/>
  <c r="AS79" i="28"/>
  <c r="AS116" i="28"/>
  <c r="AS66" i="28"/>
  <c r="AS60" i="28"/>
  <c r="AS77" i="28"/>
  <c r="AS111" i="28"/>
  <c r="AS37" i="28"/>
  <c r="AS98" i="28"/>
  <c r="AS123" i="28"/>
  <c r="AS68" i="28"/>
  <c r="AS35" i="28"/>
  <c r="AS70" i="28"/>
  <c r="AS75" i="28"/>
  <c r="AS44" i="28"/>
  <c r="AS100" i="28"/>
  <c r="AS51" i="28"/>
  <c r="AS102" i="28"/>
  <c r="AS39" i="28"/>
  <c r="AS95" i="28"/>
  <c r="AS65" i="28"/>
  <c r="AS115" i="28"/>
  <c r="AS50" i="28"/>
  <c r="AS110" i="28"/>
  <c r="AS84" i="28"/>
  <c r="AS105" i="28"/>
  <c r="AS122" i="28"/>
  <c r="AS124" i="28"/>
  <c r="AS91" i="28"/>
  <c r="AS118" i="28"/>
  <c r="AS55" i="28"/>
  <c r="AS64" i="28"/>
  <c r="AS96" i="28"/>
  <c r="AS45" i="28"/>
  <c r="AS52" i="28"/>
  <c r="AS126" i="28"/>
  <c r="AS112" i="28"/>
  <c r="AS121" i="28"/>
  <c r="AS46" i="28"/>
  <c r="AS25" i="28"/>
  <c r="AS109" i="28"/>
  <c r="AS90" i="28"/>
  <c r="AS120" i="28"/>
  <c r="AS129" i="28"/>
  <c r="AS89" i="28"/>
  <c r="AS107" i="28"/>
  <c r="AS117" i="28"/>
  <c r="AS85" i="28"/>
  <c r="AS128" i="28"/>
  <c r="AS136" i="28"/>
  <c r="AS57" i="28"/>
  <c r="AS67" i="28"/>
  <c r="AS76" i="28"/>
  <c r="AS103" i="28"/>
  <c r="AS108" i="28"/>
  <c r="AS36" i="28"/>
  <c r="AS114" i="28"/>
  <c r="AS58" i="28"/>
  <c r="AS86" i="28"/>
  <c r="AS94" i="28"/>
  <c r="AS78" i="28"/>
  <c r="AS104" i="28"/>
  <c r="AS113" i="28"/>
  <c r="AS125" i="28"/>
  <c r="AS106" i="28"/>
  <c r="AS49" i="28"/>
  <c r="AS73" i="28"/>
  <c r="AS48" i="28"/>
  <c r="AS53" i="28"/>
  <c r="AS38" i="28"/>
  <c r="AS62" i="28"/>
  <c r="AS119" i="28"/>
  <c r="AS43" i="28"/>
  <c r="AS127" i="28"/>
  <c r="AS41" i="28"/>
  <c r="AS99" i="28"/>
  <c r="AS42" i="28"/>
  <c r="AS138" i="28"/>
  <c r="AS59" i="28"/>
  <c r="AS63" i="28"/>
  <c r="AS97" i="28"/>
  <c r="AS72" i="28"/>
  <c r="AS87" i="28"/>
  <c r="AS33" i="28"/>
  <c r="AS93" i="28"/>
  <c r="AS92" i="28"/>
  <c r="AS40" i="28"/>
  <c r="AS56" i="28"/>
  <c r="AQ30" i="28"/>
  <c r="AQ81" i="28"/>
  <c r="AR83" i="28"/>
  <c r="AR138" i="28"/>
  <c r="AR32" i="28"/>
  <c r="AR118" i="28"/>
  <c r="AR84" i="28"/>
  <c r="AP114" i="28"/>
  <c r="AR79" i="28"/>
  <c r="AP85" i="28"/>
  <c r="AP101" i="28"/>
  <c r="AP109" i="28"/>
  <c r="AR66" i="28"/>
  <c r="AP65" i="28"/>
  <c r="AR104" i="28"/>
  <c r="AP66" i="28"/>
  <c r="AP68" i="28"/>
  <c r="AR76" i="28"/>
  <c r="AR119" i="28"/>
  <c r="AR98" i="28"/>
  <c r="AP45" i="28"/>
  <c r="AR45" i="28"/>
  <c r="AP92" i="28"/>
  <c r="AR88" i="28"/>
  <c r="AR113" i="28"/>
  <c r="AR123" i="28"/>
  <c r="AP63" i="28"/>
  <c r="AP136" i="28"/>
  <c r="AP77" i="28"/>
  <c r="AP84" i="28"/>
  <c r="AR43" i="28"/>
  <c r="AP112" i="28"/>
  <c r="AR62" i="28"/>
  <c r="AP95" i="28"/>
  <c r="AP73" i="28"/>
  <c r="AP55" i="28"/>
  <c r="AP125" i="28"/>
  <c r="AP75" i="28"/>
  <c r="AR41" i="28"/>
  <c r="AR38" i="28"/>
  <c r="AP128" i="28"/>
  <c r="AR25" i="28"/>
  <c r="AP83" i="28"/>
  <c r="AR127" i="28"/>
  <c r="AP46" i="28"/>
  <c r="AR111" i="28"/>
  <c r="AP113" i="28"/>
  <c r="AP118" i="28"/>
  <c r="AR121" i="28"/>
  <c r="AR54" i="28"/>
  <c r="AR37" i="28"/>
  <c r="AP70" i="28"/>
  <c r="AR36" i="28"/>
  <c r="AR51" i="28"/>
  <c r="AR77" i="28"/>
  <c r="AP49" i="28"/>
  <c r="AR78" i="28"/>
  <c r="AP41" i="28"/>
  <c r="AR91" i="28"/>
  <c r="AP67" i="28"/>
  <c r="AR97" i="28"/>
  <c r="AP76" i="28"/>
  <c r="AR100" i="28"/>
  <c r="AR105" i="28"/>
  <c r="AR35" i="28"/>
  <c r="AR124" i="28"/>
  <c r="AR126" i="28"/>
  <c r="AR42" i="28"/>
  <c r="AP120" i="28"/>
  <c r="AR63" i="28"/>
  <c r="AR34" i="28"/>
  <c r="AP56" i="28"/>
  <c r="AR73" i="28"/>
  <c r="AR128" i="28"/>
  <c r="AR59" i="28"/>
  <c r="AP89" i="28"/>
  <c r="AR101" i="28"/>
  <c r="AP69" i="28"/>
  <c r="AR92" i="28"/>
  <c r="AP47" i="28"/>
  <c r="AP94" i="28"/>
  <c r="AP126" i="28"/>
  <c r="AR48" i="28"/>
  <c r="AP25" i="28"/>
  <c r="AP39" i="28"/>
  <c r="AP60" i="28"/>
  <c r="AR67" i="28"/>
  <c r="AP42" i="28"/>
  <c r="AR109" i="28"/>
  <c r="AP36" i="28"/>
  <c r="AP138" i="28"/>
  <c r="AP48" i="28"/>
  <c r="AP34" i="28"/>
  <c r="AP127" i="28"/>
  <c r="AP121" i="28"/>
  <c r="AR57" i="28"/>
  <c r="AP97" i="28"/>
  <c r="AP102" i="28"/>
  <c r="AR47" i="28"/>
  <c r="AR75" i="28"/>
  <c r="AR93" i="28"/>
  <c r="AR68" i="28"/>
  <c r="AP98" i="28"/>
  <c r="AP62" i="28"/>
  <c r="AR53" i="28"/>
  <c r="AP111" i="28"/>
  <c r="AR129" i="28"/>
  <c r="AR65" i="28"/>
  <c r="AR44" i="28"/>
  <c r="AP51" i="28"/>
  <c r="AR72" i="28"/>
  <c r="AP61" i="28"/>
  <c r="AP103" i="28"/>
  <c r="AR125" i="28"/>
  <c r="AP50" i="28"/>
  <c r="AR69" i="28"/>
  <c r="AP115" i="28"/>
  <c r="AP74" i="28"/>
  <c r="AR95" i="28"/>
  <c r="AR122" i="28"/>
  <c r="AR89" i="28"/>
  <c r="AP116" i="28"/>
  <c r="AR49" i="28"/>
  <c r="AR87" i="28"/>
  <c r="AP99" i="28"/>
  <c r="AP93" i="28"/>
  <c r="AP130" i="28"/>
  <c r="AP53" i="28"/>
  <c r="AR103" i="28"/>
  <c r="AP90" i="28"/>
  <c r="AP108" i="28"/>
  <c r="AP96" i="28"/>
  <c r="AR50" i="28"/>
  <c r="AP106" i="28"/>
  <c r="AP54" i="28"/>
  <c r="AP57" i="28"/>
  <c r="AP78" i="28"/>
  <c r="AP40" i="28"/>
  <c r="AP110" i="28"/>
  <c r="AR33" i="28"/>
  <c r="AR61" i="28"/>
  <c r="AR40" i="28"/>
  <c r="AR64" i="28"/>
  <c r="AR90" i="28"/>
  <c r="AR107" i="28"/>
  <c r="AP79" i="28"/>
  <c r="AR106" i="28"/>
  <c r="AP107" i="28"/>
  <c r="AR85" i="28"/>
  <c r="AP124" i="28"/>
  <c r="AR96" i="28"/>
  <c r="AP32" i="28"/>
  <c r="AP64" i="28"/>
  <c r="AR46" i="28"/>
  <c r="AP129" i="28"/>
  <c r="AP88" i="28"/>
  <c r="AR115" i="28"/>
  <c r="AR136" i="28"/>
  <c r="AP119" i="28"/>
  <c r="AP72" i="28"/>
  <c r="AR108" i="28"/>
  <c r="AP105" i="28"/>
  <c r="AR39" i="28"/>
  <c r="AR102" i="28"/>
  <c r="AR110" i="28"/>
  <c r="AR55" i="28"/>
  <c r="AR114" i="28"/>
  <c r="AR56" i="28"/>
  <c r="AR74" i="28"/>
  <c r="AR94" i="28"/>
  <c r="AP86" i="28"/>
  <c r="AR116" i="28"/>
  <c r="AP87" i="28"/>
  <c r="AP117" i="28"/>
  <c r="AR52" i="28"/>
  <c r="AR71" i="28"/>
  <c r="AR99" i="28"/>
  <c r="AR58" i="28"/>
  <c r="AP35" i="28"/>
  <c r="AP58" i="28"/>
  <c r="AP100" i="28"/>
  <c r="AP59" i="28"/>
  <c r="AR70" i="28"/>
  <c r="AP91" i="28"/>
  <c r="AP104" i="28"/>
  <c r="AP44" i="28"/>
  <c r="AP52" i="28"/>
  <c r="AP37" i="28"/>
  <c r="AP33" i="28"/>
  <c r="AR112" i="28"/>
  <c r="AR86" i="28"/>
  <c r="AR120" i="28"/>
  <c r="AP43" i="28"/>
  <c r="AP71" i="28"/>
  <c r="AR60" i="28"/>
  <c r="AP38" i="28"/>
  <c r="AR117" i="28"/>
  <c r="AR130" i="28"/>
  <c r="AP122" i="28"/>
  <c r="AP123" i="28"/>
  <c r="AU7" i="28"/>
  <c r="AU3" i="28"/>
  <c r="AU6" i="28"/>
  <c r="AU8" i="28"/>
  <c r="AU4" i="28"/>
  <c r="AV5" i="28"/>
  <c r="AR135" i="28"/>
  <c r="AQ141" i="28"/>
  <c r="AT62" i="28"/>
  <c r="AT120" i="28"/>
  <c r="AT96" i="28"/>
  <c r="AT114" i="28"/>
  <c r="AT38" i="28"/>
  <c r="AT60" i="28"/>
  <c r="AT118" i="28"/>
  <c r="AT79" i="28"/>
  <c r="AT39" i="28"/>
  <c r="AT122" i="28"/>
  <c r="AT47" i="28"/>
  <c r="AT68" i="28"/>
  <c r="AT32" i="28"/>
  <c r="AT70" i="28"/>
  <c r="AT136" i="28"/>
  <c r="AT56" i="28"/>
  <c r="AT48" i="28"/>
  <c r="AT98" i="28"/>
  <c r="AT125" i="28"/>
  <c r="AT102" i="28"/>
  <c r="AT92" i="28"/>
  <c r="AT64" i="28"/>
  <c r="AT40" i="28"/>
  <c r="AT108" i="28"/>
  <c r="AT86" i="28"/>
  <c r="AT110" i="28"/>
  <c r="AT55" i="28"/>
  <c r="AT72" i="28"/>
  <c r="AT87" i="28"/>
  <c r="AT116" i="28"/>
  <c r="AT97" i="28"/>
  <c r="AT77" i="28"/>
  <c r="AT63" i="28"/>
  <c r="AT130" i="28"/>
  <c r="AT58" i="28"/>
  <c r="AT75" i="28"/>
  <c r="AT52" i="28"/>
  <c r="AT41" i="28"/>
  <c r="AT71" i="28"/>
  <c r="AT50" i="28"/>
  <c r="AT66" i="28"/>
  <c r="AT111" i="28"/>
  <c r="AT109" i="28"/>
  <c r="AT138" i="28"/>
  <c r="AT126" i="28"/>
  <c r="AT128" i="28"/>
  <c r="AT43" i="28"/>
  <c r="AT74" i="28"/>
  <c r="AT85" i="28"/>
  <c r="AT117" i="28"/>
  <c r="AT69" i="28"/>
  <c r="AT99" i="28"/>
  <c r="AT106" i="28"/>
  <c r="AT93" i="28"/>
  <c r="AT84" i="28"/>
  <c r="AT76" i="28"/>
  <c r="AT46" i="28"/>
  <c r="AT95" i="28"/>
  <c r="AT33" i="28"/>
  <c r="AT65" i="28"/>
  <c r="AT94" i="28"/>
  <c r="AT100" i="28"/>
  <c r="AT34" i="28"/>
  <c r="AT127" i="28"/>
  <c r="AT105" i="28"/>
  <c r="AT73" i="28"/>
  <c r="AT90" i="28"/>
  <c r="AT59" i="28"/>
  <c r="AT53" i="28"/>
  <c r="AT119" i="28"/>
  <c r="AT113" i="28"/>
  <c r="AT54" i="28"/>
  <c r="AT107" i="28"/>
  <c r="AT67" i="28"/>
  <c r="AT61" i="28"/>
  <c r="AT104" i="28"/>
  <c r="AT88" i="28"/>
  <c r="AT36" i="28"/>
  <c r="AT25" i="28"/>
  <c r="AT42" i="28"/>
  <c r="AT49" i="28"/>
  <c r="AT112" i="28"/>
  <c r="AT121" i="28"/>
  <c r="AT129" i="28"/>
  <c r="AT83" i="28"/>
  <c r="AT89" i="28"/>
  <c r="AT44" i="28"/>
  <c r="AT45" i="28"/>
  <c r="AT57" i="28"/>
  <c r="AT115" i="28"/>
  <c r="AT123" i="28"/>
  <c r="AT78" i="28"/>
  <c r="AT124" i="28"/>
  <c r="AT37" i="28"/>
  <c r="AT51" i="28"/>
  <c r="AT103" i="28"/>
  <c r="AT101" i="28"/>
  <c r="AT91" i="28"/>
  <c r="AT35" i="28"/>
  <c r="BW292" i="31" l="1"/>
  <c r="BW290" i="31"/>
  <c r="BW302" i="31"/>
  <c r="AC293" i="31" a="1"/>
  <c r="AC293" i="31" s="1"/>
  <c r="BV289" i="31"/>
  <c r="BV301" i="31"/>
  <c r="BX293" i="31"/>
  <c r="BX290" i="31" s="1"/>
  <c r="BW301" i="31"/>
  <c r="CD63" i="12" s="1"/>
  <c r="BB73" i="13" s="1"/>
  <c r="AS81" i="28"/>
  <c r="AT30" i="28"/>
  <c r="AT141" i="28"/>
  <c r="AU135" i="28"/>
  <c r="AP30" i="28"/>
  <c r="AR30" i="28"/>
  <c r="AS30" i="28"/>
  <c r="AS135" i="28"/>
  <c r="AR141" i="28"/>
  <c r="AQ135" i="28"/>
  <c r="AP141" i="28"/>
  <c r="AP81" i="28"/>
  <c r="AR81" i="28"/>
  <c r="AQ132" i="28"/>
  <c r="AQ137" i="28" s="1"/>
  <c r="AT81" i="28"/>
  <c r="AV3" i="28"/>
  <c r="AV6" i="28"/>
  <c r="AV7" i="28"/>
  <c r="AV8" i="28"/>
  <c r="AV4" i="28"/>
  <c r="AW5" i="28"/>
  <c r="AU58" i="28"/>
  <c r="AU39" i="28"/>
  <c r="AU35" i="28"/>
  <c r="AU76" i="28"/>
  <c r="AU103" i="28"/>
  <c r="AU129" i="28"/>
  <c r="AU138" i="28"/>
  <c r="AU107" i="28"/>
  <c r="AU60" i="28"/>
  <c r="AU44" i="28"/>
  <c r="AU91" i="28"/>
  <c r="AU95" i="28"/>
  <c r="AU120" i="28"/>
  <c r="AU62" i="28"/>
  <c r="AU102" i="28"/>
  <c r="AU119" i="28"/>
  <c r="AU92" i="28"/>
  <c r="AU45" i="28"/>
  <c r="AU40" i="28"/>
  <c r="AU124" i="28"/>
  <c r="AU115" i="28"/>
  <c r="AU78" i="28"/>
  <c r="AU86" i="28"/>
  <c r="AU68" i="28"/>
  <c r="AU100" i="28"/>
  <c r="AU42" i="28"/>
  <c r="AU126" i="28"/>
  <c r="AU128" i="28"/>
  <c r="AU56" i="28"/>
  <c r="AU83" i="28"/>
  <c r="AU117" i="28"/>
  <c r="AU41" i="28"/>
  <c r="AU101" i="28"/>
  <c r="AU136" i="28"/>
  <c r="AU33" i="28"/>
  <c r="AU113" i="28"/>
  <c r="AU118" i="28"/>
  <c r="AU109" i="28"/>
  <c r="AU63" i="28"/>
  <c r="AU54" i="28"/>
  <c r="AU48" i="28"/>
  <c r="AU72" i="28"/>
  <c r="AU34" i="28"/>
  <c r="AU122" i="28"/>
  <c r="AU75" i="28"/>
  <c r="AU116" i="28"/>
  <c r="AU55" i="28"/>
  <c r="AU130" i="28"/>
  <c r="AU106" i="28"/>
  <c r="AU93" i="28"/>
  <c r="AU84" i="28"/>
  <c r="AU77" i="28"/>
  <c r="AU112" i="28"/>
  <c r="AU87" i="28"/>
  <c r="AU59" i="28"/>
  <c r="AU43" i="28"/>
  <c r="AU52" i="28"/>
  <c r="AU47" i="28"/>
  <c r="AU71" i="28"/>
  <c r="AU46" i="28"/>
  <c r="AU25" i="28"/>
  <c r="AU110" i="28"/>
  <c r="AU114" i="28"/>
  <c r="AU36" i="28"/>
  <c r="AU79" i="28"/>
  <c r="AU57" i="28"/>
  <c r="AU88" i="28"/>
  <c r="AU74" i="28"/>
  <c r="AU125" i="28"/>
  <c r="AU104" i="28"/>
  <c r="AU96" i="28"/>
  <c r="AU65" i="28"/>
  <c r="AU85" i="28"/>
  <c r="AU90" i="28"/>
  <c r="AU61" i="28"/>
  <c r="AU53" i="28"/>
  <c r="AU49" i="28"/>
  <c r="AU64" i="28"/>
  <c r="AU37" i="28"/>
  <c r="AU66" i="28"/>
  <c r="AU67" i="28"/>
  <c r="AU127" i="28"/>
  <c r="AU97" i="28"/>
  <c r="AU111" i="28"/>
  <c r="AU99" i="28"/>
  <c r="AU38" i="28"/>
  <c r="AU105" i="28"/>
  <c r="AU51" i="28"/>
  <c r="AU121" i="28"/>
  <c r="AU108" i="28"/>
  <c r="AU94" i="28"/>
  <c r="AU70" i="28"/>
  <c r="AU73" i="28"/>
  <c r="AU89" i="28"/>
  <c r="AU98" i="28"/>
  <c r="AU32" i="28"/>
  <c r="AU50" i="28"/>
  <c r="AU123" i="28"/>
  <c r="AU69" i="28"/>
  <c r="AT135" i="28"/>
  <c r="R135" i="28" s="1"/>
  <c r="AS141" i="28"/>
  <c r="Q141" i="28" s="1"/>
  <c r="Q138" i="28"/>
  <c r="G138" i="28"/>
  <c r="P138" i="28"/>
  <c r="AS132" i="28" l="1"/>
  <c r="AS137" i="28" s="1"/>
  <c r="BX302" i="31"/>
  <c r="CE83" i="12" s="1"/>
  <c r="BX292" i="31"/>
  <c r="CD83" i="12"/>
  <c r="AC302" i="31" a="1"/>
  <c r="AC302" i="31" s="1"/>
  <c r="CC63" i="12"/>
  <c r="AI63" i="12" s="1"/>
  <c r="AC301" i="31"/>
  <c r="AC290" i="31"/>
  <c r="AC289" i="31" s="1"/>
  <c r="BW289" i="31"/>
  <c r="BY293" i="31"/>
  <c r="BY290" i="31" s="1"/>
  <c r="BX301" i="31"/>
  <c r="AT132" i="28"/>
  <c r="AT137" i="28" s="1"/>
  <c r="AW3" i="28"/>
  <c r="AW6" i="28"/>
  <c r="AW7" i="28"/>
  <c r="AW4" i="28"/>
  <c r="AW8" i="28"/>
  <c r="AX5" i="28"/>
  <c r="AU30" i="28"/>
  <c r="AU81" i="28"/>
  <c r="AP132" i="28"/>
  <c r="AR132" i="28"/>
  <c r="G141" i="28"/>
  <c r="P141" i="28"/>
  <c r="Q135" i="28"/>
  <c r="H135" i="28"/>
  <c r="AU141" i="28"/>
  <c r="AV135" i="28"/>
  <c r="AV32" i="28"/>
  <c r="AV83" i="28"/>
  <c r="AV73" i="28"/>
  <c r="AV100" i="28"/>
  <c r="AV130" i="28"/>
  <c r="AV57" i="28"/>
  <c r="AV39" i="28"/>
  <c r="AV125" i="28"/>
  <c r="AV55" i="28"/>
  <c r="AV36" i="28"/>
  <c r="AV113" i="28"/>
  <c r="AV98" i="28"/>
  <c r="AV114" i="28"/>
  <c r="AV49" i="28"/>
  <c r="AV25" i="28"/>
  <c r="AV110" i="28"/>
  <c r="AV128" i="28"/>
  <c r="AV103" i="28"/>
  <c r="AV122" i="28"/>
  <c r="AV59" i="28"/>
  <c r="AV56" i="28"/>
  <c r="AV76" i="28"/>
  <c r="AV89" i="28"/>
  <c r="AV118" i="28"/>
  <c r="AV52" i="28"/>
  <c r="AV116" i="28"/>
  <c r="AV105" i="28"/>
  <c r="AV92" i="28"/>
  <c r="AV90" i="28"/>
  <c r="AV38" i="28"/>
  <c r="AV42" i="28"/>
  <c r="AV124" i="28"/>
  <c r="AV44" i="28"/>
  <c r="AV40" i="28"/>
  <c r="AV64" i="28"/>
  <c r="AV104" i="28"/>
  <c r="AV86" i="28"/>
  <c r="AV101" i="28"/>
  <c r="AV71" i="28"/>
  <c r="AV111" i="28"/>
  <c r="AV79" i="28"/>
  <c r="AV69" i="28"/>
  <c r="AV58" i="28"/>
  <c r="AV50" i="28"/>
  <c r="AV120" i="28"/>
  <c r="AV126" i="28"/>
  <c r="AV46" i="28"/>
  <c r="AV53" i="28"/>
  <c r="AV66" i="28"/>
  <c r="AV37" i="28"/>
  <c r="AV119" i="28"/>
  <c r="AV51" i="28"/>
  <c r="AV121" i="28"/>
  <c r="AV85" i="28"/>
  <c r="AV123" i="28"/>
  <c r="AV108" i="28"/>
  <c r="AV138" i="28"/>
  <c r="AV43" i="28"/>
  <c r="AV63" i="28"/>
  <c r="AV35" i="28"/>
  <c r="AV54" i="28"/>
  <c r="AV91" i="28"/>
  <c r="AV67" i="28"/>
  <c r="AV106" i="28"/>
  <c r="AV77" i="28"/>
  <c r="AV33" i="28"/>
  <c r="AV62" i="28"/>
  <c r="AV94" i="28"/>
  <c r="AV75" i="28"/>
  <c r="AV102" i="28"/>
  <c r="AV48" i="28"/>
  <c r="AV65" i="28"/>
  <c r="AV70" i="28"/>
  <c r="AV87" i="28"/>
  <c r="AV45" i="28"/>
  <c r="AV109" i="28"/>
  <c r="AV88" i="28"/>
  <c r="AV129" i="28"/>
  <c r="AV78" i="28"/>
  <c r="AV107" i="28"/>
  <c r="AV34" i="28"/>
  <c r="AV72" i="28"/>
  <c r="AV112" i="28"/>
  <c r="AV96" i="28"/>
  <c r="AV84" i="28"/>
  <c r="AV115" i="28"/>
  <c r="AV93" i="28"/>
  <c r="AV95" i="28"/>
  <c r="AV41" i="28"/>
  <c r="AV68" i="28"/>
  <c r="AV97" i="28"/>
  <c r="AV99" i="28"/>
  <c r="AV74" i="28"/>
  <c r="AV136" i="28"/>
  <c r="AV60" i="28"/>
  <c r="AV117" i="28"/>
  <c r="AV61" i="28"/>
  <c r="AV47" i="28"/>
  <c r="AV127" i="28"/>
  <c r="BY302" i="31" l="1"/>
  <c r="CF83" i="12" s="1"/>
  <c r="BY292" i="31"/>
  <c r="BA73" i="13"/>
  <c r="CE63" i="12"/>
  <c r="BC73" i="13" s="1"/>
  <c r="BX289" i="31"/>
  <c r="BZ293" i="31"/>
  <c r="AU132" i="28"/>
  <c r="AU137" i="28" s="1"/>
  <c r="AW135" i="28"/>
  <c r="S135" i="28" s="1"/>
  <c r="AV141" i="28"/>
  <c r="R141" i="28" s="1"/>
  <c r="R138" i="28"/>
  <c r="AV81" i="28"/>
  <c r="AV30" i="28"/>
  <c r="AR137" i="28"/>
  <c r="AP137" i="28"/>
  <c r="AX4" i="28"/>
  <c r="AX8" i="28"/>
  <c r="AX6" i="28"/>
  <c r="AX3" i="28"/>
  <c r="AY5" i="28"/>
  <c r="AX7" i="28"/>
  <c r="AW83" i="28"/>
  <c r="AW32" i="28"/>
  <c r="AW87" i="28"/>
  <c r="AW25" i="28"/>
  <c r="AW91" i="28"/>
  <c r="AW122" i="28"/>
  <c r="AW50" i="28"/>
  <c r="AW126" i="28"/>
  <c r="AW51" i="28"/>
  <c r="AW136" i="28"/>
  <c r="AW56" i="28"/>
  <c r="AW65" i="28"/>
  <c r="AW88" i="28"/>
  <c r="AW36" i="28"/>
  <c r="AW79" i="28"/>
  <c r="AW66" i="28"/>
  <c r="AW72" i="28"/>
  <c r="AW73" i="28"/>
  <c r="AW60" i="28"/>
  <c r="AW94" i="28"/>
  <c r="AW85" i="28"/>
  <c r="AW46" i="28"/>
  <c r="AW37" i="28"/>
  <c r="AW92" i="28"/>
  <c r="AW68" i="28"/>
  <c r="AW33" i="28"/>
  <c r="AW62" i="28"/>
  <c r="AW86" i="28"/>
  <c r="AW105" i="28"/>
  <c r="AW89" i="28"/>
  <c r="AW76" i="28"/>
  <c r="AW61" i="28"/>
  <c r="AW129" i="28"/>
  <c r="AW115" i="28"/>
  <c r="AW121" i="28"/>
  <c r="AW53" i="28"/>
  <c r="AW98" i="28"/>
  <c r="AW69" i="28"/>
  <c r="AW47" i="28"/>
  <c r="AW48" i="28"/>
  <c r="AW101" i="28"/>
  <c r="AW59" i="28"/>
  <c r="AW44" i="28"/>
  <c r="AW77" i="28"/>
  <c r="AW58" i="28"/>
  <c r="AW41" i="28"/>
  <c r="AW54" i="28"/>
  <c r="AW106" i="28"/>
  <c r="AW116" i="28"/>
  <c r="AW90" i="28"/>
  <c r="AW127" i="28"/>
  <c r="AW112" i="28"/>
  <c r="AW70" i="28"/>
  <c r="AW74" i="28"/>
  <c r="AW124" i="28"/>
  <c r="AW109" i="28"/>
  <c r="AW43" i="28"/>
  <c r="AW130" i="28"/>
  <c r="AW95" i="28"/>
  <c r="AW52" i="28"/>
  <c r="AW35" i="28"/>
  <c r="AW117" i="28"/>
  <c r="AW96" i="28"/>
  <c r="AW39" i="28"/>
  <c r="AW103" i="28"/>
  <c r="AW34" i="28"/>
  <c r="AW42" i="28"/>
  <c r="AW125" i="28"/>
  <c r="AW78" i="28"/>
  <c r="AW45" i="28"/>
  <c r="AW119" i="28"/>
  <c r="AW104" i="28"/>
  <c r="AW93" i="28"/>
  <c r="AW40" i="28"/>
  <c r="AW57" i="28"/>
  <c r="AW64" i="28"/>
  <c r="AW111" i="28"/>
  <c r="AW63" i="28"/>
  <c r="AW108" i="28"/>
  <c r="AW102" i="28"/>
  <c r="AW100" i="28"/>
  <c r="AW97" i="28"/>
  <c r="AW55" i="28"/>
  <c r="AW128" i="28"/>
  <c r="AW75" i="28"/>
  <c r="AW110" i="28"/>
  <c r="AW114" i="28"/>
  <c r="AW67" i="28"/>
  <c r="AW38" i="28"/>
  <c r="AW99" i="28"/>
  <c r="AW138" i="28"/>
  <c r="AW118" i="28"/>
  <c r="AW123" i="28"/>
  <c r="AW107" i="28"/>
  <c r="AW84" i="28"/>
  <c r="AW120" i="28"/>
  <c r="AW113" i="28"/>
  <c r="AW49" i="28"/>
  <c r="AW71" i="28"/>
  <c r="BZ292" i="31" l="1"/>
  <c r="BZ290" i="31"/>
  <c r="AV132" i="28"/>
  <c r="AV137" i="28" s="1"/>
  <c r="BZ302" i="31"/>
  <c r="AD293" i="31" a="1"/>
  <c r="AD293" i="31" s="1"/>
  <c r="BY289" i="31"/>
  <c r="BY301" i="31"/>
  <c r="CA293" i="31"/>
  <c r="CA290" i="31" s="1"/>
  <c r="AD290" i="31"/>
  <c r="AD289" i="31" s="1"/>
  <c r="AW81" i="28"/>
  <c r="AY8" i="28"/>
  <c r="AY3" i="28"/>
  <c r="AY6" i="28"/>
  <c r="AY7" i="28"/>
  <c r="AZ5" i="28"/>
  <c r="AY4" i="28"/>
  <c r="AX83" i="28"/>
  <c r="AX32" i="28"/>
  <c r="AX102" i="28"/>
  <c r="AX119" i="28"/>
  <c r="AX126" i="28"/>
  <c r="AX25" i="28"/>
  <c r="AX105" i="28"/>
  <c r="AX100" i="28"/>
  <c r="AX90" i="28"/>
  <c r="AX38" i="28"/>
  <c r="AX53" i="28"/>
  <c r="AX40" i="28"/>
  <c r="AX64" i="28"/>
  <c r="AX47" i="28"/>
  <c r="AX87" i="28"/>
  <c r="AX51" i="28"/>
  <c r="AX108" i="28"/>
  <c r="AX46" i="28"/>
  <c r="AX121" i="28"/>
  <c r="AX103" i="28"/>
  <c r="AX97" i="28"/>
  <c r="AX74" i="28"/>
  <c r="AX127" i="28"/>
  <c r="AX62" i="28"/>
  <c r="AX129" i="28"/>
  <c r="AX106" i="28"/>
  <c r="AX115" i="28"/>
  <c r="AX89" i="28"/>
  <c r="AX95" i="28"/>
  <c r="AX70" i="28"/>
  <c r="AX104" i="28"/>
  <c r="AX114" i="28"/>
  <c r="AX138" i="28"/>
  <c r="AX101" i="28"/>
  <c r="AX136" i="28"/>
  <c r="AX35" i="28"/>
  <c r="AX78" i="28"/>
  <c r="AX54" i="28"/>
  <c r="AX122" i="28"/>
  <c r="AX116" i="28"/>
  <c r="AX124" i="28"/>
  <c r="AX44" i="28"/>
  <c r="AX71" i="28"/>
  <c r="AX37" i="28"/>
  <c r="AX48" i="28"/>
  <c r="AX45" i="28"/>
  <c r="AX63" i="28"/>
  <c r="AX109" i="28"/>
  <c r="AX79" i="28"/>
  <c r="AX56" i="28"/>
  <c r="AX42" i="28"/>
  <c r="AX67" i="28"/>
  <c r="AX36" i="28"/>
  <c r="AX68" i="28"/>
  <c r="AX93" i="28"/>
  <c r="AX113" i="28"/>
  <c r="AX96" i="28"/>
  <c r="AX43" i="28"/>
  <c r="AX39" i="28"/>
  <c r="AX125" i="28"/>
  <c r="AX50" i="28"/>
  <c r="AX72" i="28"/>
  <c r="AX107" i="28"/>
  <c r="AX117" i="28"/>
  <c r="AX75" i="28"/>
  <c r="AX91" i="28"/>
  <c r="AX34" i="28"/>
  <c r="AX130" i="28"/>
  <c r="AX66" i="28"/>
  <c r="AX33" i="28"/>
  <c r="AX55" i="28"/>
  <c r="AX52" i="28"/>
  <c r="AX112" i="28"/>
  <c r="AX86" i="28"/>
  <c r="AX60" i="28"/>
  <c r="AX84" i="28"/>
  <c r="AX59" i="28"/>
  <c r="AX77" i="28"/>
  <c r="AX88" i="28"/>
  <c r="AX73" i="28"/>
  <c r="AX41" i="28"/>
  <c r="AX92" i="28"/>
  <c r="AX99" i="28"/>
  <c r="AX57" i="28"/>
  <c r="AX110" i="28"/>
  <c r="AX65" i="28"/>
  <c r="AX111" i="28"/>
  <c r="AX123" i="28"/>
  <c r="AX85" i="28"/>
  <c r="AX118" i="28"/>
  <c r="AX98" i="28"/>
  <c r="AX58" i="28"/>
  <c r="AX76" i="28"/>
  <c r="AX94" i="28"/>
  <c r="AX49" i="28"/>
  <c r="AX61" i="28"/>
  <c r="AX120" i="28"/>
  <c r="AX69" i="28"/>
  <c r="AX128" i="28"/>
  <c r="AW30" i="28"/>
  <c r="AW141" i="28"/>
  <c r="AX135" i="28"/>
  <c r="AW132" i="28" l="1"/>
  <c r="AW137" i="28" s="1"/>
  <c r="CA302" i="31"/>
  <c r="CH83" i="12" s="1"/>
  <c r="CA292" i="31"/>
  <c r="CG83" i="12"/>
  <c r="AD302" i="31" a="1"/>
  <c r="AD302" i="31" s="1"/>
  <c r="CF63" i="12"/>
  <c r="BD73" i="13" s="1"/>
  <c r="BZ289" i="31"/>
  <c r="BZ301" i="31"/>
  <c r="CG63" i="12" s="1"/>
  <c r="BE73" i="13" s="1"/>
  <c r="CB293" i="31"/>
  <c r="CB290" i="31" s="1"/>
  <c r="CA301" i="31"/>
  <c r="AZ6" i="28"/>
  <c r="AZ7" i="28"/>
  <c r="AZ3" i="28"/>
  <c r="AZ4" i="28"/>
  <c r="AZ8" i="28"/>
  <c r="BA5" i="28"/>
  <c r="AX30" i="28"/>
  <c r="AX141" i="28"/>
  <c r="AY135" i="28"/>
  <c r="AX81" i="28"/>
  <c r="AY37" i="28"/>
  <c r="AY35" i="28"/>
  <c r="AY120" i="28"/>
  <c r="AY43" i="28"/>
  <c r="AY95" i="28"/>
  <c r="AY116" i="28"/>
  <c r="AY126" i="28"/>
  <c r="AY52" i="28"/>
  <c r="AY69" i="28"/>
  <c r="AY88" i="28"/>
  <c r="AY114" i="28"/>
  <c r="AY51" i="28"/>
  <c r="AY125" i="28"/>
  <c r="AY117" i="28"/>
  <c r="AY77" i="28"/>
  <c r="AY54" i="28"/>
  <c r="AY122" i="28"/>
  <c r="AY107" i="28"/>
  <c r="AY83" i="28"/>
  <c r="AY44" i="28"/>
  <c r="AY40" i="28"/>
  <c r="AY127" i="28"/>
  <c r="AY92" i="28"/>
  <c r="AY93" i="28"/>
  <c r="AY66" i="28"/>
  <c r="AY53" i="28"/>
  <c r="AY68" i="28"/>
  <c r="AY78" i="28"/>
  <c r="AY113" i="28"/>
  <c r="AY103" i="28"/>
  <c r="AY123" i="28"/>
  <c r="AY25" i="28"/>
  <c r="AY84" i="28"/>
  <c r="AY49" i="28"/>
  <c r="AY72" i="28"/>
  <c r="AY39" i="28"/>
  <c r="AY100" i="28"/>
  <c r="AY50" i="28"/>
  <c r="AY118" i="28"/>
  <c r="AY98" i="28"/>
  <c r="AY129" i="28"/>
  <c r="AY106" i="28"/>
  <c r="AY89" i="28"/>
  <c r="AY138" i="28"/>
  <c r="AY109" i="28"/>
  <c r="AY36" i="28"/>
  <c r="AY136" i="28"/>
  <c r="AY102" i="28"/>
  <c r="AY65" i="28"/>
  <c r="AY55" i="28"/>
  <c r="AY101" i="28"/>
  <c r="AY70" i="28"/>
  <c r="AY112" i="28"/>
  <c r="AY41" i="28"/>
  <c r="AY73" i="28"/>
  <c r="AY59" i="28"/>
  <c r="AY60" i="28"/>
  <c r="AY85" i="28"/>
  <c r="AY71" i="28"/>
  <c r="AY86" i="28"/>
  <c r="AY45" i="28"/>
  <c r="AY67" i="28"/>
  <c r="AY34" i="28"/>
  <c r="AY119" i="28"/>
  <c r="AY79" i="28"/>
  <c r="AY105" i="28"/>
  <c r="AY33" i="28"/>
  <c r="AY124" i="28"/>
  <c r="AY32" i="28"/>
  <c r="AY62" i="28"/>
  <c r="AY90" i="28"/>
  <c r="AY46" i="28"/>
  <c r="AY130" i="28"/>
  <c r="AY115" i="28"/>
  <c r="AY99" i="28"/>
  <c r="AY87" i="28"/>
  <c r="AY108" i="28"/>
  <c r="AY110" i="28"/>
  <c r="AY75" i="28"/>
  <c r="AY94" i="28"/>
  <c r="AY56" i="28"/>
  <c r="AY63" i="28"/>
  <c r="AY128" i="28"/>
  <c r="AY64" i="28"/>
  <c r="AY121" i="28"/>
  <c r="AY47" i="28"/>
  <c r="AY57" i="28"/>
  <c r="AY61" i="28"/>
  <c r="AY97" i="28"/>
  <c r="AY96" i="28"/>
  <c r="AY58" i="28"/>
  <c r="AY48" i="28"/>
  <c r="AY74" i="28"/>
  <c r="AY111" i="28"/>
  <c r="AY91" i="28"/>
  <c r="AY104" i="28"/>
  <c r="AY76" i="28"/>
  <c r="AY42" i="28"/>
  <c r="AY38" i="28"/>
  <c r="CB302" i="31" l="1"/>
  <c r="CI83" i="12" s="1"/>
  <c r="CB292" i="31"/>
  <c r="CH63" i="12"/>
  <c r="BF73" i="13" s="1"/>
  <c r="AD301" i="31"/>
  <c r="AJ63" i="12"/>
  <c r="CA289" i="31"/>
  <c r="CC293" i="31"/>
  <c r="AX132" i="28"/>
  <c r="AX137" i="28" s="1"/>
  <c r="BA4" i="28"/>
  <c r="BA8" i="28"/>
  <c r="BA7" i="28"/>
  <c r="BA3" i="28"/>
  <c r="BA6" i="28"/>
  <c r="BB5" i="28"/>
  <c r="AZ83" i="28"/>
  <c r="AZ32" i="28"/>
  <c r="AZ106" i="28"/>
  <c r="AZ36" i="28"/>
  <c r="AZ125" i="28"/>
  <c r="AZ61" i="28"/>
  <c r="AZ84" i="28"/>
  <c r="AZ129" i="28"/>
  <c r="AZ101" i="28"/>
  <c r="AZ113" i="28"/>
  <c r="AZ25" i="28"/>
  <c r="AZ49" i="28"/>
  <c r="AZ118" i="28"/>
  <c r="AZ48" i="28"/>
  <c r="AZ122" i="28"/>
  <c r="AZ114" i="28"/>
  <c r="AZ108" i="28"/>
  <c r="AZ93" i="28"/>
  <c r="AZ77" i="28"/>
  <c r="AZ63" i="28"/>
  <c r="AZ121" i="28"/>
  <c r="AZ38" i="28"/>
  <c r="AZ67" i="28"/>
  <c r="AZ136" i="28"/>
  <c r="AZ43" i="28"/>
  <c r="AZ71" i="28"/>
  <c r="AZ65" i="28"/>
  <c r="AZ85" i="28"/>
  <c r="AZ124" i="28"/>
  <c r="AZ109" i="28"/>
  <c r="AZ50" i="28"/>
  <c r="AZ128" i="28"/>
  <c r="AZ42" i="28"/>
  <c r="AZ105" i="28"/>
  <c r="AZ47" i="28"/>
  <c r="AZ117" i="28"/>
  <c r="AZ89" i="28"/>
  <c r="AZ39" i="28"/>
  <c r="AZ130" i="28"/>
  <c r="AZ58" i="28"/>
  <c r="AZ37" i="28"/>
  <c r="AZ76" i="28"/>
  <c r="AZ62" i="28"/>
  <c r="AZ44" i="28"/>
  <c r="AZ103" i="28"/>
  <c r="AZ115" i="28"/>
  <c r="AZ91" i="28"/>
  <c r="AZ90" i="28"/>
  <c r="AZ70" i="28"/>
  <c r="AZ56" i="28"/>
  <c r="AZ73" i="28"/>
  <c r="AZ123" i="28"/>
  <c r="AZ59" i="28"/>
  <c r="AZ41" i="28"/>
  <c r="AZ127" i="28"/>
  <c r="AZ112" i="28"/>
  <c r="AZ54" i="28"/>
  <c r="AZ99" i="28"/>
  <c r="AZ116" i="28"/>
  <c r="AZ96" i="28"/>
  <c r="AZ34" i="28"/>
  <c r="AZ120" i="28"/>
  <c r="AZ88" i="28"/>
  <c r="AZ35" i="28"/>
  <c r="AZ75" i="28"/>
  <c r="AZ110" i="28"/>
  <c r="AZ100" i="28"/>
  <c r="AZ79" i="28"/>
  <c r="AZ138" i="28"/>
  <c r="AZ45" i="28"/>
  <c r="AZ33" i="28"/>
  <c r="AZ94" i="28"/>
  <c r="AZ69" i="28"/>
  <c r="AZ57" i="28"/>
  <c r="AZ55" i="28"/>
  <c r="AZ95" i="28"/>
  <c r="AZ107" i="28"/>
  <c r="AZ97" i="28"/>
  <c r="AZ126" i="28"/>
  <c r="AZ111" i="28"/>
  <c r="AZ102" i="28"/>
  <c r="AZ52" i="28"/>
  <c r="AZ66" i="28"/>
  <c r="AZ53" i="28"/>
  <c r="AZ51" i="28"/>
  <c r="AZ119" i="28"/>
  <c r="AZ87" i="28"/>
  <c r="AZ104" i="28"/>
  <c r="AZ78" i="28"/>
  <c r="AZ40" i="28"/>
  <c r="AZ64" i="28"/>
  <c r="AZ72" i="28"/>
  <c r="AZ46" i="28"/>
  <c r="AZ98" i="28"/>
  <c r="AZ74" i="28"/>
  <c r="AZ92" i="28"/>
  <c r="AZ68" i="28"/>
  <c r="AZ60" i="28"/>
  <c r="AZ86" i="28"/>
  <c r="AY81" i="28"/>
  <c r="AY30" i="28"/>
  <c r="AY132" i="28" s="1"/>
  <c r="AY137" i="28" s="1"/>
  <c r="AZ135" i="28"/>
  <c r="AY141" i="28"/>
  <c r="S141" i="28" s="1"/>
  <c r="S138" i="28"/>
  <c r="CC292" i="31" l="1"/>
  <c r="CC290" i="31"/>
  <c r="R293" i="31" a="1"/>
  <c r="R293" i="31" s="1"/>
  <c r="S293" i="31" a="1"/>
  <c r="S293" i="31" s="1"/>
  <c r="U293" i="31" a="1"/>
  <c r="U293" i="31" s="1"/>
  <c r="M293" i="31" a="1"/>
  <c r="M293" i="31" s="1"/>
  <c r="AE293" i="31" a="1"/>
  <c r="AE293" i="31" s="1"/>
  <c r="CB289" i="31"/>
  <c r="CB301" i="31"/>
  <c r="CC301" i="31"/>
  <c r="CC302" i="31"/>
  <c r="BA32" i="28"/>
  <c r="BA83" i="28"/>
  <c r="BA59" i="28"/>
  <c r="BA105" i="28"/>
  <c r="BA62" i="28"/>
  <c r="BA39" i="28"/>
  <c r="BA121" i="28"/>
  <c r="BA102" i="28"/>
  <c r="BA60" i="28"/>
  <c r="BA86" i="28"/>
  <c r="BA119" i="28"/>
  <c r="BA91" i="28"/>
  <c r="BA130" i="28"/>
  <c r="BA115" i="28"/>
  <c r="BA68" i="28"/>
  <c r="BA99" i="28"/>
  <c r="BA78" i="28"/>
  <c r="BA112" i="28"/>
  <c r="BA38" i="28"/>
  <c r="BA123" i="28"/>
  <c r="BA67" i="28"/>
  <c r="BA48" i="28"/>
  <c r="BA93" i="28"/>
  <c r="BA120" i="28"/>
  <c r="BA55" i="28"/>
  <c r="BA50" i="28"/>
  <c r="BA117" i="28"/>
  <c r="BA61" i="28"/>
  <c r="BA43" i="28"/>
  <c r="BA79" i="28"/>
  <c r="BA56" i="28"/>
  <c r="BA106" i="28"/>
  <c r="BA75" i="28"/>
  <c r="BA118" i="28"/>
  <c r="BA92" i="28"/>
  <c r="BA96" i="28"/>
  <c r="BA65" i="28"/>
  <c r="BA100" i="28"/>
  <c r="BA58" i="28"/>
  <c r="BA77" i="28"/>
  <c r="BA111" i="28"/>
  <c r="BA34" i="28"/>
  <c r="BA122" i="28"/>
  <c r="BA107" i="28"/>
  <c r="BA76" i="28"/>
  <c r="BA101" i="28"/>
  <c r="BA70" i="28"/>
  <c r="BA97" i="28"/>
  <c r="BA53" i="28"/>
  <c r="BA66" i="28"/>
  <c r="BA54" i="28"/>
  <c r="BA57" i="28"/>
  <c r="BA127" i="28"/>
  <c r="BA64" i="28"/>
  <c r="BA42" i="28"/>
  <c r="BA74" i="28"/>
  <c r="BA125" i="28"/>
  <c r="BA33" i="28"/>
  <c r="BA37" i="28"/>
  <c r="BA72" i="28"/>
  <c r="BA45" i="28"/>
  <c r="BA104" i="28"/>
  <c r="BA49" i="28"/>
  <c r="BA110" i="28"/>
  <c r="BA51" i="28"/>
  <c r="BA129" i="28"/>
  <c r="BA44" i="28"/>
  <c r="BA90" i="28"/>
  <c r="BA46" i="28"/>
  <c r="BA69" i="28"/>
  <c r="BA85" i="28"/>
  <c r="BA89" i="28"/>
  <c r="BA114" i="28"/>
  <c r="BA94" i="28"/>
  <c r="BA41" i="28"/>
  <c r="BA126" i="28"/>
  <c r="BA63" i="28"/>
  <c r="BA52" i="28"/>
  <c r="BA73" i="28"/>
  <c r="BA108" i="28"/>
  <c r="BA138" i="28"/>
  <c r="BA36" i="28"/>
  <c r="BA84" i="28"/>
  <c r="BA128" i="28"/>
  <c r="BA35" i="28"/>
  <c r="BA88" i="28"/>
  <c r="BA124" i="28"/>
  <c r="BA136" i="28"/>
  <c r="BA87" i="28"/>
  <c r="BA71" i="28"/>
  <c r="BA47" i="28"/>
  <c r="BA103" i="28"/>
  <c r="BA113" i="28"/>
  <c r="BA40" i="28"/>
  <c r="BA95" i="28"/>
  <c r="BA116" i="28"/>
  <c r="BA98" i="28"/>
  <c r="BA109" i="28"/>
  <c r="BA25" i="28"/>
  <c r="BA135" i="28"/>
  <c r="AZ141" i="28"/>
  <c r="AZ30" i="28"/>
  <c r="AZ81" i="28"/>
  <c r="BB4" i="28"/>
  <c r="BB3" i="28"/>
  <c r="BB7" i="28"/>
  <c r="BB6" i="28"/>
  <c r="BB8" i="28"/>
  <c r="BC5" i="28"/>
  <c r="CJ83" i="12" l="1"/>
  <c r="T302" i="31" a="1"/>
  <c r="T302" i="31" s="1"/>
  <c r="U302" i="31" a="1"/>
  <c r="U302" i="31" s="1"/>
  <c r="AE302" i="31" a="1"/>
  <c r="AE302" i="31" s="1"/>
  <c r="M302" i="31" a="1"/>
  <c r="M302" i="31" s="1"/>
  <c r="CJ63" i="12"/>
  <c r="BH73" i="13" s="1"/>
  <c r="Q301" i="31"/>
  <c r="M301" i="31"/>
  <c r="CI63" i="12"/>
  <c r="AE301" i="31"/>
  <c r="M290" i="31"/>
  <c r="M289" i="31" s="1"/>
  <c r="CC289" i="31"/>
  <c r="AE290" i="31"/>
  <c r="AE289" i="31" s="1"/>
  <c r="BC4" i="28"/>
  <c r="BC7" i="28"/>
  <c r="BC3" i="28"/>
  <c r="BC6" i="28"/>
  <c r="BC8" i="28"/>
  <c r="BD5" i="28"/>
  <c r="BA81" i="28"/>
  <c r="BA141" i="28"/>
  <c r="BB135" i="28"/>
  <c r="BA30" i="28"/>
  <c r="BA132" i="28" s="1"/>
  <c r="BA137" i="28" s="1"/>
  <c r="BB32" i="28"/>
  <c r="BB83" i="28"/>
  <c r="BB128" i="28"/>
  <c r="BB25" i="28"/>
  <c r="BB74" i="28"/>
  <c r="BB59" i="28"/>
  <c r="BB41" i="28"/>
  <c r="BB78" i="28"/>
  <c r="BB95" i="28"/>
  <c r="BB86" i="28"/>
  <c r="BB85" i="28"/>
  <c r="BB89" i="28"/>
  <c r="BB101" i="28"/>
  <c r="BB136" i="28"/>
  <c r="BB124" i="28"/>
  <c r="BB110" i="28"/>
  <c r="BB42" i="28"/>
  <c r="BB51" i="28"/>
  <c r="BB65" i="28"/>
  <c r="BB33" i="28"/>
  <c r="BB53" i="28"/>
  <c r="BB118" i="28"/>
  <c r="BB62" i="28"/>
  <c r="BB103" i="28"/>
  <c r="BB90" i="28"/>
  <c r="BB115" i="28"/>
  <c r="BB57" i="28"/>
  <c r="BB106" i="28"/>
  <c r="BB63" i="28"/>
  <c r="BB56" i="28"/>
  <c r="BB72" i="28"/>
  <c r="BB94" i="28"/>
  <c r="BB87" i="28"/>
  <c r="BB117" i="28"/>
  <c r="BB100" i="28"/>
  <c r="BB112" i="28"/>
  <c r="BB129" i="28"/>
  <c r="BB35" i="28"/>
  <c r="BB98" i="28"/>
  <c r="BB125" i="28"/>
  <c r="BB61" i="28"/>
  <c r="BB70" i="28"/>
  <c r="BB91" i="28"/>
  <c r="BB114" i="28"/>
  <c r="BB84" i="28"/>
  <c r="BB43" i="28"/>
  <c r="BB69" i="28"/>
  <c r="BB71" i="28"/>
  <c r="BB49" i="28"/>
  <c r="BB73" i="28"/>
  <c r="BB108" i="28"/>
  <c r="BB120" i="28"/>
  <c r="BB37" i="28"/>
  <c r="BB79" i="28"/>
  <c r="BB121" i="28"/>
  <c r="BB93" i="28"/>
  <c r="BB39" i="28"/>
  <c r="BB76" i="28"/>
  <c r="BB111" i="28"/>
  <c r="BB55" i="28"/>
  <c r="BB109" i="28"/>
  <c r="BB99" i="28"/>
  <c r="BB68" i="28"/>
  <c r="BB50" i="28"/>
  <c r="BB46" i="28"/>
  <c r="BB66" i="28"/>
  <c r="BB44" i="28"/>
  <c r="BB36" i="28"/>
  <c r="BB34" i="28"/>
  <c r="BB77" i="28"/>
  <c r="BB127" i="28"/>
  <c r="BB92" i="28"/>
  <c r="BB47" i="28"/>
  <c r="BB40" i="28"/>
  <c r="BB123" i="28"/>
  <c r="BB126" i="28"/>
  <c r="BB58" i="28"/>
  <c r="BB116" i="28"/>
  <c r="BB48" i="28"/>
  <c r="BB38" i="28"/>
  <c r="BB75" i="28"/>
  <c r="BB88" i="28"/>
  <c r="BB64" i="28"/>
  <c r="BB52" i="28"/>
  <c r="BB102" i="28"/>
  <c r="BB138" i="28"/>
  <c r="BB97" i="28"/>
  <c r="BB45" i="28"/>
  <c r="BB119" i="28"/>
  <c r="BB113" i="28"/>
  <c r="BB67" i="28"/>
  <c r="BB105" i="28"/>
  <c r="BB54" i="28"/>
  <c r="BB130" i="28"/>
  <c r="BB107" i="28"/>
  <c r="BB122" i="28"/>
  <c r="BB104" i="28"/>
  <c r="BB60" i="28"/>
  <c r="BB96" i="28"/>
  <c r="AZ132" i="28"/>
  <c r="AZ137" i="28" s="1"/>
  <c r="S63" i="12" l="1"/>
  <c r="AK63" i="12"/>
  <c r="BG73" i="13"/>
  <c r="O56" i="9" s="1" a="1"/>
  <c r="O56" i="9" s="1"/>
  <c r="W56" i="9" a="1"/>
  <c r="W56" i="9" s="1"/>
  <c r="BB30" i="28"/>
  <c r="BD8" i="28"/>
  <c r="BD6" i="28"/>
  <c r="BD3" i="28"/>
  <c r="BD7" i="28"/>
  <c r="BD4" i="28"/>
  <c r="BE5" i="28"/>
  <c r="BC49" i="28"/>
  <c r="BC41" i="28"/>
  <c r="BC68" i="28"/>
  <c r="BC93" i="28"/>
  <c r="BC34" i="28"/>
  <c r="BC72" i="28"/>
  <c r="BC48" i="28"/>
  <c r="BC103" i="28"/>
  <c r="BC87" i="28"/>
  <c r="BC69" i="28"/>
  <c r="BC50" i="28"/>
  <c r="BC136" i="28"/>
  <c r="BC47" i="28"/>
  <c r="BC44" i="28"/>
  <c r="BC55" i="28"/>
  <c r="BC126" i="28"/>
  <c r="BC112" i="28"/>
  <c r="BC105" i="28"/>
  <c r="BC83" i="28"/>
  <c r="BC35" i="28"/>
  <c r="BC116" i="28"/>
  <c r="BC42" i="28"/>
  <c r="BC99" i="28"/>
  <c r="BC71" i="28"/>
  <c r="BC43" i="28"/>
  <c r="BC32" i="28"/>
  <c r="BC84" i="28"/>
  <c r="BC124" i="28"/>
  <c r="BC60" i="28"/>
  <c r="BC58" i="28"/>
  <c r="BC79" i="28"/>
  <c r="BC86" i="28"/>
  <c r="BC88" i="28"/>
  <c r="BC33" i="28"/>
  <c r="BC117" i="28"/>
  <c r="BC106" i="28"/>
  <c r="BC104" i="28"/>
  <c r="BC113" i="28"/>
  <c r="BC114" i="28"/>
  <c r="BC101" i="28"/>
  <c r="BC125" i="28"/>
  <c r="BC111" i="28"/>
  <c r="BC54" i="28"/>
  <c r="BC121" i="28"/>
  <c r="BC115" i="28"/>
  <c r="BC45" i="28"/>
  <c r="BC38" i="28"/>
  <c r="BC70" i="28"/>
  <c r="BC59" i="28"/>
  <c r="BC130" i="28"/>
  <c r="BC90" i="28"/>
  <c r="BC36" i="28"/>
  <c r="BC40" i="28"/>
  <c r="BC78" i="28"/>
  <c r="BC63" i="28"/>
  <c r="BC25" i="28"/>
  <c r="BC66" i="28"/>
  <c r="BC67" i="28"/>
  <c r="BC102" i="28"/>
  <c r="BC39" i="28"/>
  <c r="BC120" i="28"/>
  <c r="BC91" i="28"/>
  <c r="BC122" i="28"/>
  <c r="BC75" i="28"/>
  <c r="BC110" i="28"/>
  <c r="BC107" i="28"/>
  <c r="BC128" i="28"/>
  <c r="BC56" i="28"/>
  <c r="BC51" i="28"/>
  <c r="BC46" i="28"/>
  <c r="BC100" i="28"/>
  <c r="BC108" i="28"/>
  <c r="BC119" i="28"/>
  <c r="BC92" i="28"/>
  <c r="BC94" i="28"/>
  <c r="BC127" i="28"/>
  <c r="BC89" i="28"/>
  <c r="BC57" i="28"/>
  <c r="BC96" i="28"/>
  <c r="BC97" i="28"/>
  <c r="BC123" i="28"/>
  <c r="BC85" i="28"/>
  <c r="BC74" i="28"/>
  <c r="BC64" i="28"/>
  <c r="BC37" i="28"/>
  <c r="BC129" i="28"/>
  <c r="BC53" i="28"/>
  <c r="BC65" i="28"/>
  <c r="BC95" i="28"/>
  <c r="BC73" i="28"/>
  <c r="BC109" i="28"/>
  <c r="BC76" i="28"/>
  <c r="BC118" i="28"/>
  <c r="BC77" i="28"/>
  <c r="BC52" i="28"/>
  <c r="BC61" i="28"/>
  <c r="BC98" i="28"/>
  <c r="BC62" i="28"/>
  <c r="BC138" i="28"/>
  <c r="BB81" i="28"/>
  <c r="BC135" i="28"/>
  <c r="BB141" i="28"/>
  <c r="S56" i="9" l="1" a="1"/>
  <c r="S56" i="9" s="1"/>
  <c r="R56" i="9" a="1"/>
  <c r="R56" i="9" s="1"/>
  <c r="AH56" i="9" a="1"/>
  <c r="AH56" i="9" s="1"/>
  <c r="M56" i="9" a="1"/>
  <c r="M56" i="9" s="1"/>
  <c r="AM56" i="9" a="1"/>
  <c r="AM56" i="9" s="1"/>
  <c r="T56" i="9" a="1"/>
  <c r="T56" i="9" s="1"/>
  <c r="BM56" i="9" a="1"/>
  <c r="BM56" i="9" s="1"/>
  <c r="BH56" i="9" a="1"/>
  <c r="BH56" i="9" s="1"/>
  <c r="V56" i="9" a="1"/>
  <c r="V56" i="9" s="1"/>
  <c r="AY56" i="9" a="1"/>
  <c r="AY56" i="9" s="1"/>
  <c r="X56" i="9" a="1"/>
  <c r="X56" i="9" s="1"/>
  <c r="BL56" i="9" a="1"/>
  <c r="BL56" i="9" s="1"/>
  <c r="AA56" i="9" a="1"/>
  <c r="AA56" i="9" s="1"/>
  <c r="AS56" i="9" a="1"/>
  <c r="AS56" i="9" s="1"/>
  <c r="F56" i="9" a="1"/>
  <c r="F56" i="9" s="1"/>
  <c r="AW56" i="9" a="1"/>
  <c r="AW56" i="9" s="1"/>
  <c r="AE56" i="9" a="1"/>
  <c r="AE56" i="9" s="1"/>
  <c r="BT56" i="9" a="1"/>
  <c r="BT56" i="9" s="1"/>
  <c r="AN56" i="9" a="1"/>
  <c r="AN56" i="9" s="1"/>
  <c r="AD56" i="9" a="1"/>
  <c r="AD56" i="9" s="1"/>
  <c r="H56" i="9" a="1"/>
  <c r="H56" i="9" s="1"/>
  <c r="BG56" i="9" a="1"/>
  <c r="BG56" i="9" s="1"/>
  <c r="AJ56" i="9" a="1"/>
  <c r="AJ56" i="9" s="1"/>
  <c r="Q56" i="9" a="1"/>
  <c r="Q56" i="9" s="1"/>
  <c r="AT56" i="9" a="1"/>
  <c r="AT56" i="9" s="1"/>
  <c r="BE56" i="9" a="1"/>
  <c r="BE56" i="9" s="1"/>
  <c r="BO56" i="9" a="1"/>
  <c r="BO56" i="9" s="1"/>
  <c r="BC81" i="28"/>
  <c r="BE3" i="28"/>
  <c r="BE7" i="28"/>
  <c r="BE6" i="28"/>
  <c r="BE8" i="28"/>
  <c r="BE4" i="28"/>
  <c r="BF5" i="28"/>
  <c r="BD135" i="28"/>
  <c r="BC141" i="28"/>
  <c r="BD37" i="28"/>
  <c r="BD87" i="28"/>
  <c r="BD35" i="28"/>
  <c r="BD112" i="28"/>
  <c r="BD46" i="28"/>
  <c r="BD75" i="28"/>
  <c r="BD40" i="28"/>
  <c r="BD105" i="28"/>
  <c r="BD101" i="28"/>
  <c r="BD79" i="28"/>
  <c r="BD52" i="28"/>
  <c r="BD88" i="28"/>
  <c r="BD44" i="28"/>
  <c r="BD120" i="28"/>
  <c r="BD110" i="28"/>
  <c r="BD48" i="28"/>
  <c r="BD66" i="28"/>
  <c r="BD67" i="28"/>
  <c r="BD95" i="28"/>
  <c r="BD106" i="28"/>
  <c r="BD126" i="28"/>
  <c r="BD38" i="28"/>
  <c r="BD53" i="28"/>
  <c r="BD124" i="28"/>
  <c r="BD138" i="28"/>
  <c r="BD55" i="28"/>
  <c r="BD60" i="28"/>
  <c r="BD58" i="28"/>
  <c r="BD93" i="28"/>
  <c r="BD113" i="28"/>
  <c r="BD54" i="28"/>
  <c r="BD91" i="28"/>
  <c r="BD89" i="28"/>
  <c r="BD84" i="28"/>
  <c r="BD63" i="28"/>
  <c r="BD72" i="28"/>
  <c r="BD68" i="28"/>
  <c r="BD34" i="28"/>
  <c r="BD73" i="28"/>
  <c r="BD111" i="28"/>
  <c r="BD128" i="28"/>
  <c r="BD129" i="28"/>
  <c r="BD76" i="28"/>
  <c r="BD69" i="28"/>
  <c r="BD43" i="28"/>
  <c r="BD78" i="28"/>
  <c r="BD33" i="28"/>
  <c r="BD102" i="28"/>
  <c r="BD45" i="28"/>
  <c r="BD70" i="28"/>
  <c r="BD47" i="28"/>
  <c r="BD56" i="28"/>
  <c r="BD109" i="28"/>
  <c r="BD64" i="28"/>
  <c r="BD98" i="28"/>
  <c r="BD136" i="28"/>
  <c r="BD94" i="28"/>
  <c r="BD49" i="28"/>
  <c r="BD50" i="28"/>
  <c r="BD121" i="28"/>
  <c r="BD117" i="28"/>
  <c r="BD119" i="28"/>
  <c r="BD122" i="28"/>
  <c r="BD39" i="28"/>
  <c r="BD114" i="28"/>
  <c r="BD130" i="28"/>
  <c r="BD125" i="28"/>
  <c r="BD36" i="28"/>
  <c r="BD100" i="28"/>
  <c r="BD62" i="28"/>
  <c r="BD97" i="28"/>
  <c r="BD107" i="28"/>
  <c r="BD103" i="28"/>
  <c r="BD32" i="28"/>
  <c r="BD83" i="28"/>
  <c r="BD25" i="28"/>
  <c r="BD42" i="28"/>
  <c r="BD127" i="28"/>
  <c r="BD99" i="28"/>
  <c r="BD115" i="28"/>
  <c r="BD71" i="28"/>
  <c r="BD74" i="28"/>
  <c r="BD86" i="28"/>
  <c r="BD65" i="28"/>
  <c r="BD57" i="28"/>
  <c r="BD77" i="28"/>
  <c r="BD90" i="28"/>
  <c r="BD104" i="28"/>
  <c r="BD123" i="28"/>
  <c r="BD116" i="28"/>
  <c r="BD61" i="28"/>
  <c r="BD118" i="28"/>
  <c r="BD96" i="28"/>
  <c r="BD108" i="28"/>
  <c r="BD41" i="28"/>
  <c r="BD85" i="28"/>
  <c r="BD92" i="28"/>
  <c r="BD59" i="28"/>
  <c r="BD51" i="28"/>
  <c r="BC30" i="28"/>
  <c r="BB132" i="28"/>
  <c r="BB137" i="28" s="1"/>
  <c r="BC132" i="28" l="1"/>
  <c r="BC137" i="28" s="1"/>
  <c r="BF8" i="28"/>
  <c r="BF4" i="28"/>
  <c r="BF6" i="28"/>
  <c r="BF3" i="28"/>
  <c r="BF7" i="28"/>
  <c r="BG5" i="28"/>
  <c r="BD81" i="28"/>
  <c r="BE115" i="28"/>
  <c r="BE107" i="28"/>
  <c r="BE85" i="28"/>
  <c r="BE48" i="28"/>
  <c r="BE78" i="28"/>
  <c r="BE100" i="28"/>
  <c r="BE53" i="28"/>
  <c r="BE122" i="28"/>
  <c r="BE34" i="28"/>
  <c r="BE47" i="28"/>
  <c r="BE57" i="28"/>
  <c r="BE121" i="28"/>
  <c r="BE117" i="28"/>
  <c r="BE97" i="28"/>
  <c r="BE136" i="28"/>
  <c r="BE69" i="28"/>
  <c r="BE89" i="28"/>
  <c r="BE130" i="28"/>
  <c r="BE84" i="28"/>
  <c r="BE52" i="28"/>
  <c r="BE45" i="28"/>
  <c r="BE92" i="28"/>
  <c r="BE126" i="28"/>
  <c r="BE88" i="28"/>
  <c r="BE62" i="28"/>
  <c r="BE74" i="28"/>
  <c r="BE44" i="28"/>
  <c r="BE54" i="28"/>
  <c r="BE71" i="28"/>
  <c r="BE32" i="28"/>
  <c r="BE96" i="28"/>
  <c r="BE68" i="28"/>
  <c r="BE91" i="28"/>
  <c r="BE116" i="28"/>
  <c r="BE104" i="28"/>
  <c r="BE128" i="28"/>
  <c r="BE113" i="28"/>
  <c r="BE35" i="28"/>
  <c r="BE86" i="28"/>
  <c r="BE75" i="28"/>
  <c r="BE94" i="28"/>
  <c r="BE61" i="28"/>
  <c r="BE114" i="28"/>
  <c r="BE59" i="28"/>
  <c r="BE123" i="28"/>
  <c r="BE41" i="28"/>
  <c r="BE55" i="28"/>
  <c r="BE37" i="28"/>
  <c r="BE65" i="28"/>
  <c r="BE118" i="28"/>
  <c r="BE102" i="28"/>
  <c r="BE101" i="28"/>
  <c r="BE70" i="28"/>
  <c r="BE56" i="28"/>
  <c r="BE109" i="28"/>
  <c r="BE38" i="28"/>
  <c r="BE106" i="28"/>
  <c r="BE98" i="28"/>
  <c r="BE127" i="28"/>
  <c r="BE112" i="28"/>
  <c r="BE42" i="28"/>
  <c r="BE50" i="28"/>
  <c r="BE83" i="28"/>
  <c r="BE51" i="28"/>
  <c r="BE58" i="28"/>
  <c r="BE77" i="28"/>
  <c r="BE76" i="28"/>
  <c r="BE111" i="28"/>
  <c r="BE39" i="28"/>
  <c r="BE73" i="28"/>
  <c r="BE110" i="28"/>
  <c r="BE33" i="28"/>
  <c r="BE63" i="28"/>
  <c r="BE125" i="28"/>
  <c r="BE120" i="28"/>
  <c r="BE36" i="28"/>
  <c r="BE79" i="28"/>
  <c r="BE99" i="28"/>
  <c r="BE90" i="28"/>
  <c r="BE95" i="28"/>
  <c r="BE60" i="28"/>
  <c r="BE129" i="28"/>
  <c r="BE64" i="28"/>
  <c r="BE87" i="28"/>
  <c r="BE67" i="28"/>
  <c r="BE124" i="28"/>
  <c r="BE43" i="28"/>
  <c r="BE49" i="28"/>
  <c r="BE66" i="28"/>
  <c r="BE103" i="28"/>
  <c r="BE93" i="28"/>
  <c r="BE25" i="28"/>
  <c r="BE40" i="28"/>
  <c r="BE105" i="28"/>
  <c r="BE108" i="28"/>
  <c r="BE46" i="28"/>
  <c r="BE119" i="28"/>
  <c r="BE138" i="28"/>
  <c r="BE72" i="28"/>
  <c r="BD30" i="28"/>
  <c r="BD132" i="28" s="1"/>
  <c r="BD137" i="28" s="1"/>
  <c r="BE135" i="28"/>
  <c r="BD141" i="28"/>
  <c r="BG4" i="28" l="1"/>
  <c r="BG8" i="28"/>
  <c r="BG3" i="28"/>
  <c r="BG7" i="28"/>
  <c r="BG6" i="28"/>
  <c r="BH5" i="28"/>
  <c r="BF135" i="28"/>
  <c r="BE141" i="28"/>
  <c r="BE30" i="28"/>
  <c r="BE81" i="28"/>
  <c r="BF83" i="28"/>
  <c r="BF32" i="28"/>
  <c r="BF98" i="28"/>
  <c r="BF97" i="28"/>
  <c r="BF41" i="28"/>
  <c r="BF127" i="28"/>
  <c r="BF130" i="28"/>
  <c r="BF115" i="28"/>
  <c r="BF90" i="28"/>
  <c r="BF92" i="28"/>
  <c r="BF49" i="28"/>
  <c r="BF42" i="28"/>
  <c r="BF34" i="28"/>
  <c r="BF74" i="28"/>
  <c r="BF54" i="28"/>
  <c r="BF125" i="28"/>
  <c r="BF101" i="28"/>
  <c r="BF86" i="28"/>
  <c r="BF39" i="28"/>
  <c r="BF25" i="28"/>
  <c r="BF67" i="28"/>
  <c r="BF112" i="28"/>
  <c r="BF36" i="28"/>
  <c r="BF46" i="28"/>
  <c r="BF58" i="28"/>
  <c r="BF102" i="28"/>
  <c r="BF59" i="28"/>
  <c r="BF95" i="28"/>
  <c r="BF85" i="28"/>
  <c r="BF63" i="28"/>
  <c r="BF114" i="28"/>
  <c r="BF108" i="28"/>
  <c r="BF68" i="28"/>
  <c r="BF76" i="28"/>
  <c r="BF107" i="28"/>
  <c r="BF120" i="28"/>
  <c r="BF122" i="28"/>
  <c r="BF103" i="28"/>
  <c r="BF40" i="28"/>
  <c r="BF110" i="28"/>
  <c r="BF35" i="28"/>
  <c r="BF128" i="28"/>
  <c r="BF62" i="28"/>
  <c r="BF66" i="28"/>
  <c r="BF69" i="28"/>
  <c r="BF50" i="28"/>
  <c r="BF84" i="28"/>
  <c r="BF113" i="28"/>
  <c r="BF89" i="28"/>
  <c r="BF123" i="28"/>
  <c r="BF100" i="28"/>
  <c r="BF77" i="28"/>
  <c r="BF33" i="28"/>
  <c r="BF72" i="28"/>
  <c r="BF94" i="28"/>
  <c r="BF53" i="28"/>
  <c r="BF118" i="28"/>
  <c r="BF60" i="28"/>
  <c r="BF70" i="28"/>
  <c r="BF129" i="28"/>
  <c r="BF87" i="28"/>
  <c r="BF57" i="28"/>
  <c r="BF138" i="28"/>
  <c r="BF61" i="28"/>
  <c r="BF104" i="28"/>
  <c r="BF78" i="28"/>
  <c r="BF88" i="28"/>
  <c r="BF65" i="28"/>
  <c r="BF44" i="28"/>
  <c r="BF45" i="28"/>
  <c r="BF126" i="28"/>
  <c r="BF55" i="28"/>
  <c r="BF51" i="28"/>
  <c r="BF73" i="28"/>
  <c r="BF109" i="28"/>
  <c r="BF71" i="28"/>
  <c r="BF93" i="28"/>
  <c r="BF136" i="28"/>
  <c r="BF96" i="28"/>
  <c r="BF47" i="28"/>
  <c r="BF116" i="28"/>
  <c r="BF117" i="28"/>
  <c r="BF111" i="28"/>
  <c r="BF79" i="28"/>
  <c r="BF37" i="28"/>
  <c r="BF64" i="28"/>
  <c r="BF48" i="28"/>
  <c r="BF75" i="28"/>
  <c r="BF105" i="28"/>
  <c r="BF91" i="28"/>
  <c r="BF56" i="28"/>
  <c r="BF119" i="28"/>
  <c r="BF52" i="28"/>
  <c r="BF121" i="28"/>
  <c r="BF43" i="28"/>
  <c r="BF38" i="28"/>
  <c r="BF124" i="28"/>
  <c r="BF99" i="28"/>
  <c r="BF106" i="28"/>
  <c r="BE132" i="28" l="1"/>
  <c r="BE137" i="28" s="1"/>
  <c r="BF30" i="28"/>
  <c r="BH8" i="28"/>
  <c r="BH3" i="28"/>
  <c r="BH7" i="28"/>
  <c r="BH6" i="28"/>
  <c r="BI5" i="28"/>
  <c r="BH4" i="28"/>
  <c r="BF81" i="28"/>
  <c r="BG83" i="28"/>
  <c r="BG32" i="28"/>
  <c r="BG130" i="28"/>
  <c r="BG89" i="28"/>
  <c r="BG73" i="28"/>
  <c r="BG74" i="28"/>
  <c r="BG110" i="28"/>
  <c r="BG35" i="28"/>
  <c r="BG54" i="28"/>
  <c r="BG71" i="28"/>
  <c r="BG86" i="28"/>
  <c r="BG51" i="28"/>
  <c r="BG117" i="28"/>
  <c r="BG84" i="28"/>
  <c r="BG47" i="28"/>
  <c r="BG49" i="28"/>
  <c r="BG57" i="28"/>
  <c r="BG94" i="28"/>
  <c r="BG76" i="28"/>
  <c r="BG58" i="28"/>
  <c r="BG38" i="28"/>
  <c r="BG121" i="28"/>
  <c r="BG95" i="28"/>
  <c r="BG39" i="28"/>
  <c r="BG33" i="28"/>
  <c r="BG118" i="28"/>
  <c r="BG138" i="28"/>
  <c r="BG136" i="28"/>
  <c r="BG36" i="28"/>
  <c r="BG96" i="28"/>
  <c r="BG61" i="28"/>
  <c r="BG109" i="28"/>
  <c r="BG77" i="28"/>
  <c r="BG97" i="28"/>
  <c r="BG72" i="28"/>
  <c r="BG65" i="28"/>
  <c r="BG116" i="28"/>
  <c r="BG111" i="28"/>
  <c r="BG42" i="28"/>
  <c r="BG56" i="28"/>
  <c r="BG59" i="28"/>
  <c r="BG122" i="28"/>
  <c r="BG75" i="28"/>
  <c r="BG44" i="28"/>
  <c r="BG102" i="28"/>
  <c r="BG85" i="28"/>
  <c r="BG78" i="28"/>
  <c r="BG46" i="28"/>
  <c r="BG103" i="28"/>
  <c r="BG68" i="28"/>
  <c r="BG106" i="28"/>
  <c r="BG112" i="28"/>
  <c r="BG62" i="28"/>
  <c r="BG105" i="28"/>
  <c r="BG53" i="28"/>
  <c r="BG125" i="28"/>
  <c r="BG107" i="28"/>
  <c r="BG113" i="28"/>
  <c r="BG79" i="28"/>
  <c r="BG115" i="28"/>
  <c r="BG40" i="28"/>
  <c r="BG90" i="28"/>
  <c r="BG119" i="28"/>
  <c r="BG88" i="28"/>
  <c r="BG48" i="28"/>
  <c r="BG123" i="28"/>
  <c r="BG108" i="28"/>
  <c r="BG99" i="28"/>
  <c r="BG127" i="28"/>
  <c r="BG91" i="28"/>
  <c r="BG64" i="28"/>
  <c r="BG128" i="28"/>
  <c r="BG37" i="28"/>
  <c r="BG67" i="28"/>
  <c r="BG101" i="28"/>
  <c r="BG129" i="28"/>
  <c r="BG120" i="28"/>
  <c r="BG114" i="28"/>
  <c r="BG66" i="28"/>
  <c r="BG100" i="28"/>
  <c r="BG55" i="28"/>
  <c r="BG43" i="28"/>
  <c r="BG60" i="28"/>
  <c r="BG70" i="28"/>
  <c r="BG45" i="28"/>
  <c r="BG92" i="28"/>
  <c r="BG63" i="28"/>
  <c r="BG52" i="28"/>
  <c r="BG25" i="28"/>
  <c r="BG98" i="28"/>
  <c r="BG93" i="28"/>
  <c r="BG124" i="28"/>
  <c r="BG50" i="28"/>
  <c r="BG104" i="28"/>
  <c r="BG41" i="28"/>
  <c r="BG69" i="28"/>
  <c r="BG34" i="28"/>
  <c r="BG87" i="28"/>
  <c r="BG126" i="28"/>
  <c r="BG135" i="28"/>
  <c r="BF141" i="28"/>
  <c r="BG81" i="28" l="1"/>
  <c r="BI6" i="28"/>
  <c r="BI3" i="28"/>
  <c r="BI7" i="28"/>
  <c r="BI4" i="28"/>
  <c r="BI8" i="28"/>
  <c r="BJ5" i="28"/>
  <c r="BH135" i="28"/>
  <c r="BG141" i="28"/>
  <c r="BH106" i="28"/>
  <c r="BH99" i="28"/>
  <c r="BH40" i="28"/>
  <c r="BH39" i="28"/>
  <c r="BH88" i="28"/>
  <c r="BH102" i="28"/>
  <c r="BH32" i="28"/>
  <c r="BH49" i="28"/>
  <c r="BH90" i="28"/>
  <c r="BH108" i="28"/>
  <c r="BH34" i="28"/>
  <c r="BH95" i="28"/>
  <c r="BH42" i="28"/>
  <c r="BH126" i="28"/>
  <c r="BH120" i="28"/>
  <c r="BH97" i="28"/>
  <c r="BH115" i="28"/>
  <c r="BH59" i="28"/>
  <c r="BH117" i="28"/>
  <c r="BH50" i="28"/>
  <c r="BH79" i="28"/>
  <c r="BH114" i="28"/>
  <c r="BH123" i="28"/>
  <c r="BH109" i="28"/>
  <c r="BH125" i="28"/>
  <c r="BH62" i="28"/>
  <c r="BH33" i="28"/>
  <c r="BH84" i="28"/>
  <c r="BH129" i="28"/>
  <c r="BH35" i="28"/>
  <c r="BH72" i="28"/>
  <c r="BH118" i="28"/>
  <c r="BH96" i="28"/>
  <c r="BH43" i="28"/>
  <c r="BH113" i="28"/>
  <c r="BH116" i="28"/>
  <c r="BH45" i="28"/>
  <c r="BH69" i="28"/>
  <c r="BH37" i="28"/>
  <c r="BH41" i="28"/>
  <c r="BH94" i="28"/>
  <c r="BH75" i="28"/>
  <c r="BH101" i="28"/>
  <c r="BH119" i="28"/>
  <c r="BH100" i="28"/>
  <c r="BH92" i="28"/>
  <c r="BH44" i="28"/>
  <c r="BH93" i="28"/>
  <c r="BH63" i="28"/>
  <c r="BH77" i="28"/>
  <c r="BH38" i="28"/>
  <c r="BH65" i="28"/>
  <c r="BH25" i="28"/>
  <c r="BH107" i="28"/>
  <c r="BH136" i="28"/>
  <c r="BH127" i="28"/>
  <c r="BH71" i="28"/>
  <c r="BH73" i="28"/>
  <c r="BH48" i="28"/>
  <c r="BH67" i="28"/>
  <c r="BH53" i="28"/>
  <c r="BH60" i="28"/>
  <c r="BH128" i="28"/>
  <c r="BH36" i="28"/>
  <c r="BH52" i="28"/>
  <c r="BH124" i="28"/>
  <c r="BH68" i="28"/>
  <c r="BH138" i="28"/>
  <c r="BH83" i="28"/>
  <c r="BH54" i="28"/>
  <c r="BH78" i="28"/>
  <c r="BH56" i="28"/>
  <c r="BH66" i="28"/>
  <c r="BH91" i="28"/>
  <c r="BH76" i="28"/>
  <c r="BH98" i="28"/>
  <c r="BH111" i="28"/>
  <c r="BH105" i="28"/>
  <c r="BH51" i="28"/>
  <c r="BH110" i="28"/>
  <c r="BH58" i="28"/>
  <c r="BH47" i="28"/>
  <c r="BH122" i="28"/>
  <c r="BH55" i="28"/>
  <c r="BH74" i="28"/>
  <c r="BH89" i="28"/>
  <c r="BH112" i="28"/>
  <c r="BH121" i="28"/>
  <c r="BH103" i="28"/>
  <c r="BH86" i="28"/>
  <c r="BH104" i="28"/>
  <c r="BH85" i="28"/>
  <c r="BH57" i="28"/>
  <c r="BH64" i="28"/>
  <c r="BH46" i="28"/>
  <c r="BH87" i="28"/>
  <c r="BH61" i="28"/>
  <c r="BH70" i="28"/>
  <c r="BH130" i="28"/>
  <c r="BF132" i="28"/>
  <c r="BF137" i="28" s="1"/>
  <c r="BG30" i="28"/>
  <c r="BG132" i="28" s="1"/>
  <c r="BG137" i="28" s="1"/>
  <c r="BJ6" i="28" l="1"/>
  <c r="BJ4" i="28"/>
  <c r="BJ8" i="28"/>
  <c r="BJ7" i="28"/>
  <c r="BJ3" i="28"/>
  <c r="BK5" i="28"/>
  <c r="BI32" i="28"/>
  <c r="BI83" i="28"/>
  <c r="BI88" i="28"/>
  <c r="BI99" i="28"/>
  <c r="BI79" i="28"/>
  <c r="BI129" i="28"/>
  <c r="BI130" i="28"/>
  <c r="BI100" i="28"/>
  <c r="BI65" i="28"/>
  <c r="BI109" i="28"/>
  <c r="BI40" i="28"/>
  <c r="BI106" i="28"/>
  <c r="BI117" i="28"/>
  <c r="BI104" i="28"/>
  <c r="BI35" i="28"/>
  <c r="BI114" i="28"/>
  <c r="BI60" i="28"/>
  <c r="BI76" i="28"/>
  <c r="BI56" i="28"/>
  <c r="BI98" i="28"/>
  <c r="BI57" i="28"/>
  <c r="BI108" i="28"/>
  <c r="BI136" i="28"/>
  <c r="BI119" i="28"/>
  <c r="BI46" i="28"/>
  <c r="BI74" i="28"/>
  <c r="BI61" i="28"/>
  <c r="BI34" i="28"/>
  <c r="BI127" i="28"/>
  <c r="BI138" i="28"/>
  <c r="BI91" i="28"/>
  <c r="BI41" i="28"/>
  <c r="BI116" i="28"/>
  <c r="BI33" i="28"/>
  <c r="BI47" i="28"/>
  <c r="BI120" i="28"/>
  <c r="BI85" i="28"/>
  <c r="BI124" i="28"/>
  <c r="BI53" i="28"/>
  <c r="BI112" i="28"/>
  <c r="BI101" i="28"/>
  <c r="BI50" i="28"/>
  <c r="BI86" i="28"/>
  <c r="BI69" i="28"/>
  <c r="BI93" i="28"/>
  <c r="BI63" i="28"/>
  <c r="BI72" i="28"/>
  <c r="BI64" i="28"/>
  <c r="BI42" i="28"/>
  <c r="BI77" i="28"/>
  <c r="BI36" i="28"/>
  <c r="BI113" i="28"/>
  <c r="BI94" i="28"/>
  <c r="BI115" i="28"/>
  <c r="BI105" i="28"/>
  <c r="BI96" i="28"/>
  <c r="BI70" i="28"/>
  <c r="BI87" i="28"/>
  <c r="BI121" i="28"/>
  <c r="BI123" i="28"/>
  <c r="BI55" i="28"/>
  <c r="BI103" i="28"/>
  <c r="BI78" i="28"/>
  <c r="BI58" i="28"/>
  <c r="BI107" i="28"/>
  <c r="BI49" i="28"/>
  <c r="BI68" i="28"/>
  <c r="BI66" i="28"/>
  <c r="BI90" i="28"/>
  <c r="BI95" i="28"/>
  <c r="BI122" i="28"/>
  <c r="BI84" i="28"/>
  <c r="BI125" i="28"/>
  <c r="BI44" i="28"/>
  <c r="BI102" i="28"/>
  <c r="BI37" i="28"/>
  <c r="BI110" i="28"/>
  <c r="BI43" i="28"/>
  <c r="BI45" i="28"/>
  <c r="BI118" i="28"/>
  <c r="BI25" i="28"/>
  <c r="BI89" i="28"/>
  <c r="BI73" i="28"/>
  <c r="BI92" i="28"/>
  <c r="BI97" i="28"/>
  <c r="BI126" i="28"/>
  <c r="BI39" i="28"/>
  <c r="BI62" i="28"/>
  <c r="BI38" i="28"/>
  <c r="BI54" i="28"/>
  <c r="BI111" i="28"/>
  <c r="BI67" i="28"/>
  <c r="BI75" i="28"/>
  <c r="BI48" i="28"/>
  <c r="BI52" i="28"/>
  <c r="BI59" i="28"/>
  <c r="BI51" i="28"/>
  <c r="BI128" i="28"/>
  <c r="BI71" i="28"/>
  <c r="BI135" i="28"/>
  <c r="BH141" i="28"/>
  <c r="BH30" i="28"/>
  <c r="BH81" i="28"/>
  <c r="BH132" i="28" l="1"/>
  <c r="BH137" i="28" s="1"/>
  <c r="BI81" i="28"/>
  <c r="BI30" i="28"/>
  <c r="BK3" i="28"/>
  <c r="BK7" i="28"/>
  <c r="BK6" i="28"/>
  <c r="BK4" i="28"/>
  <c r="BK8" i="28"/>
  <c r="BL5" i="28"/>
  <c r="BJ83" i="28"/>
  <c r="BJ32" i="28"/>
  <c r="BJ104" i="28"/>
  <c r="BJ136" i="28"/>
  <c r="BJ105" i="28"/>
  <c r="BJ100" i="28"/>
  <c r="BJ118" i="28"/>
  <c r="BJ41" i="28"/>
  <c r="BJ128" i="28"/>
  <c r="BJ46" i="28"/>
  <c r="BJ115" i="28"/>
  <c r="BJ44" i="28"/>
  <c r="BJ126" i="28"/>
  <c r="BJ66" i="28"/>
  <c r="BJ101" i="28"/>
  <c r="BJ60" i="28"/>
  <c r="BJ111" i="28"/>
  <c r="BJ67" i="28"/>
  <c r="BJ34" i="28"/>
  <c r="BJ120" i="28"/>
  <c r="BJ130" i="28"/>
  <c r="BJ52" i="28"/>
  <c r="BJ124" i="28"/>
  <c r="BJ96" i="28"/>
  <c r="BJ43" i="28"/>
  <c r="BJ79" i="28"/>
  <c r="BJ42" i="28"/>
  <c r="BJ49" i="28"/>
  <c r="BJ53" i="28"/>
  <c r="BJ117" i="28"/>
  <c r="BJ50" i="28"/>
  <c r="BJ40" i="28"/>
  <c r="BJ110" i="28"/>
  <c r="BJ71" i="28"/>
  <c r="BJ62" i="28"/>
  <c r="BJ76" i="28"/>
  <c r="BJ95" i="28"/>
  <c r="BJ38" i="28"/>
  <c r="BJ99" i="28"/>
  <c r="BJ91" i="28"/>
  <c r="BJ98" i="28"/>
  <c r="BJ59" i="28"/>
  <c r="BJ70" i="28"/>
  <c r="BJ37" i="28"/>
  <c r="BJ56" i="28"/>
  <c r="BJ72" i="28"/>
  <c r="BJ88" i="28"/>
  <c r="BJ87" i="28"/>
  <c r="BJ78" i="28"/>
  <c r="BJ102" i="28"/>
  <c r="BJ108" i="28"/>
  <c r="BJ48" i="28"/>
  <c r="BJ116" i="28"/>
  <c r="BJ54" i="28"/>
  <c r="BJ103" i="28"/>
  <c r="BJ121" i="28"/>
  <c r="BJ58" i="28"/>
  <c r="BJ57" i="28"/>
  <c r="BJ75" i="28"/>
  <c r="BJ64" i="28"/>
  <c r="BJ113" i="28"/>
  <c r="BJ129" i="28"/>
  <c r="BJ47" i="28"/>
  <c r="BJ36" i="28"/>
  <c r="BJ109" i="28"/>
  <c r="BJ84" i="28"/>
  <c r="BJ69" i="28"/>
  <c r="BJ107" i="28"/>
  <c r="BJ25" i="28"/>
  <c r="BJ94" i="28"/>
  <c r="BJ89" i="28"/>
  <c r="BJ93" i="28"/>
  <c r="BJ77" i="28"/>
  <c r="BJ85" i="28"/>
  <c r="BJ33" i="28"/>
  <c r="BJ45" i="28"/>
  <c r="BJ63" i="28"/>
  <c r="BJ90" i="28"/>
  <c r="BJ61" i="28"/>
  <c r="BJ119" i="28"/>
  <c r="BJ122" i="28"/>
  <c r="BJ39" i="28"/>
  <c r="BJ123" i="28"/>
  <c r="BJ51" i="28"/>
  <c r="BJ106" i="28"/>
  <c r="BJ127" i="28"/>
  <c r="BJ65" i="28"/>
  <c r="BJ92" i="28"/>
  <c r="BJ138" i="28"/>
  <c r="BJ74" i="28"/>
  <c r="BJ73" i="28"/>
  <c r="BJ97" i="28"/>
  <c r="BJ112" i="28"/>
  <c r="BJ35" i="28"/>
  <c r="BJ114" i="28"/>
  <c r="BJ68" i="28"/>
  <c r="BJ86" i="28"/>
  <c r="BJ125" i="28"/>
  <c r="BJ55" i="28"/>
  <c r="BJ135" i="28"/>
  <c r="BI141" i="28"/>
  <c r="BI132" i="28" l="1"/>
  <c r="BI137" i="28" s="1"/>
  <c r="BJ30" i="28"/>
  <c r="BJ81" i="28"/>
  <c r="BL7" i="28"/>
  <c r="BL3" i="28"/>
  <c r="BL6" i="28"/>
  <c r="BL8" i="28"/>
  <c r="BL4" i="28"/>
  <c r="BM5" i="28"/>
  <c r="BK83" i="28"/>
  <c r="BK32" i="28"/>
  <c r="BK75" i="28"/>
  <c r="BK44" i="28"/>
  <c r="BK34" i="28"/>
  <c r="BK78" i="28"/>
  <c r="BK35" i="28"/>
  <c r="BK100" i="28"/>
  <c r="BK84" i="28"/>
  <c r="BK37" i="28"/>
  <c r="BK107" i="28"/>
  <c r="BK67" i="28"/>
  <c r="BK72" i="28"/>
  <c r="BK36" i="28"/>
  <c r="BK124" i="28"/>
  <c r="BK62" i="28"/>
  <c r="BK41" i="28"/>
  <c r="BK116" i="28"/>
  <c r="BK129" i="28"/>
  <c r="BK94" i="28"/>
  <c r="BK88" i="28"/>
  <c r="BK114" i="28"/>
  <c r="BK69" i="28"/>
  <c r="BK45" i="28"/>
  <c r="BK101" i="28"/>
  <c r="BK65" i="28"/>
  <c r="BK125" i="28"/>
  <c r="BK54" i="28"/>
  <c r="BK77" i="28"/>
  <c r="BK104" i="28"/>
  <c r="BK86" i="28"/>
  <c r="BK122" i="28"/>
  <c r="BK89" i="28"/>
  <c r="BK112" i="28"/>
  <c r="BK56" i="28"/>
  <c r="BK120" i="28"/>
  <c r="BK111" i="28"/>
  <c r="BK58" i="28"/>
  <c r="BK76" i="28"/>
  <c r="BK25" i="28"/>
  <c r="BK33" i="28"/>
  <c r="BK79" i="28"/>
  <c r="BK96" i="28"/>
  <c r="BK103" i="28"/>
  <c r="BK59" i="28"/>
  <c r="BK113" i="28"/>
  <c r="BK110" i="28"/>
  <c r="BK55" i="28"/>
  <c r="BK49" i="28"/>
  <c r="BK108" i="28"/>
  <c r="BK42" i="28"/>
  <c r="BK60" i="28"/>
  <c r="BK66" i="28"/>
  <c r="BK87" i="28"/>
  <c r="BK121" i="28"/>
  <c r="BK98" i="28"/>
  <c r="BK46" i="28"/>
  <c r="BK92" i="28"/>
  <c r="BK70" i="28"/>
  <c r="BK39" i="28"/>
  <c r="BK130" i="28"/>
  <c r="BK61" i="28"/>
  <c r="BK51" i="28"/>
  <c r="BK53" i="28"/>
  <c r="BK127" i="28"/>
  <c r="BK48" i="28"/>
  <c r="BK47" i="28"/>
  <c r="BK123" i="28"/>
  <c r="BK106" i="28"/>
  <c r="BK136" i="28"/>
  <c r="BK99" i="28"/>
  <c r="BK105" i="28"/>
  <c r="BK71" i="28"/>
  <c r="BK97" i="28"/>
  <c r="BK52" i="28"/>
  <c r="BK91" i="28"/>
  <c r="BK57" i="28"/>
  <c r="BK40" i="28"/>
  <c r="BK128" i="28"/>
  <c r="BK93" i="28"/>
  <c r="BK117" i="28"/>
  <c r="BK85" i="28"/>
  <c r="BK126" i="28"/>
  <c r="BK115" i="28"/>
  <c r="BK95" i="28"/>
  <c r="BK73" i="28"/>
  <c r="BK68" i="28"/>
  <c r="BK43" i="28"/>
  <c r="BK74" i="28"/>
  <c r="BK102" i="28"/>
  <c r="BK109" i="28"/>
  <c r="BK118" i="28"/>
  <c r="BK63" i="28"/>
  <c r="BK90" i="28"/>
  <c r="BK50" i="28"/>
  <c r="BK138" i="28"/>
  <c r="BK119" i="28"/>
  <c r="BK64" i="28"/>
  <c r="BK38" i="28"/>
  <c r="BK135" i="28"/>
  <c r="BJ141" i="28"/>
  <c r="BK30" i="28" l="1"/>
  <c r="BK81" i="28"/>
  <c r="BM6" i="28"/>
  <c r="BM7" i="28"/>
  <c r="BM3" i="28"/>
  <c r="BM4" i="28"/>
  <c r="BM8" i="28"/>
  <c r="BN5" i="28"/>
  <c r="BL128" i="28"/>
  <c r="BL44" i="28"/>
  <c r="BL39" i="28"/>
  <c r="BL75" i="28"/>
  <c r="BL61" i="28"/>
  <c r="BL86" i="28"/>
  <c r="BL129" i="28"/>
  <c r="BL119" i="28"/>
  <c r="BL51" i="28"/>
  <c r="BL107" i="28"/>
  <c r="BL126" i="28"/>
  <c r="BL63" i="28"/>
  <c r="BL100" i="28"/>
  <c r="BL89" i="28"/>
  <c r="BL41" i="28"/>
  <c r="BL90" i="28"/>
  <c r="BL68" i="28"/>
  <c r="BL120" i="28"/>
  <c r="BL83" i="28"/>
  <c r="BL130" i="28"/>
  <c r="BL64" i="28"/>
  <c r="BL123" i="28"/>
  <c r="BL136" i="28"/>
  <c r="BL59" i="28"/>
  <c r="BL79" i="28"/>
  <c r="BL72" i="28"/>
  <c r="BL103" i="28"/>
  <c r="BL116" i="28"/>
  <c r="BL55" i="28"/>
  <c r="BL49" i="28"/>
  <c r="BL48" i="28"/>
  <c r="BL121" i="28"/>
  <c r="BL115" i="28"/>
  <c r="BL47" i="28"/>
  <c r="BL113" i="28"/>
  <c r="BL76" i="28"/>
  <c r="BL87" i="28"/>
  <c r="BL67" i="28"/>
  <c r="BL65" i="28"/>
  <c r="BL88" i="28"/>
  <c r="BL110" i="28"/>
  <c r="BL43" i="28"/>
  <c r="BL69" i="28"/>
  <c r="BL32" i="28"/>
  <c r="BL108" i="28"/>
  <c r="BL93" i="28"/>
  <c r="BL73" i="28"/>
  <c r="BL34" i="28"/>
  <c r="BL95" i="28"/>
  <c r="BL77" i="28"/>
  <c r="BL111" i="28"/>
  <c r="BL35" i="28"/>
  <c r="BL58" i="28"/>
  <c r="BL109" i="28"/>
  <c r="BL38" i="28"/>
  <c r="BL33" i="28"/>
  <c r="BL71" i="28"/>
  <c r="BL85" i="28"/>
  <c r="BL98" i="28"/>
  <c r="BL124" i="28"/>
  <c r="BL102" i="28"/>
  <c r="BL36" i="28"/>
  <c r="BL84" i="28"/>
  <c r="BL42" i="28"/>
  <c r="BL54" i="28"/>
  <c r="BL53" i="28"/>
  <c r="BL91" i="28"/>
  <c r="BL52" i="28"/>
  <c r="BL138" i="28"/>
  <c r="BL78" i="28"/>
  <c r="BL114" i="28"/>
  <c r="BL74" i="28"/>
  <c r="BL106" i="28"/>
  <c r="BL60" i="28"/>
  <c r="BL127" i="28"/>
  <c r="BL117" i="28"/>
  <c r="BL105" i="28"/>
  <c r="BL37" i="28"/>
  <c r="BL118" i="28"/>
  <c r="BL96" i="28"/>
  <c r="BL66" i="28"/>
  <c r="BL92" i="28"/>
  <c r="BL70" i="28"/>
  <c r="BL99" i="28"/>
  <c r="BL25" i="28"/>
  <c r="BL97" i="28"/>
  <c r="BL50" i="28"/>
  <c r="BL40" i="28"/>
  <c r="BL57" i="28"/>
  <c r="BL46" i="28"/>
  <c r="BL94" i="28"/>
  <c r="BL62" i="28"/>
  <c r="BL112" i="28"/>
  <c r="BL56" i="28"/>
  <c r="BL101" i="28"/>
  <c r="BL125" i="28"/>
  <c r="BL45" i="28"/>
  <c r="BL122" i="28"/>
  <c r="BL104" i="28"/>
  <c r="BK141" i="28"/>
  <c r="BL135" i="28"/>
  <c r="BJ132" i="28"/>
  <c r="BJ137" i="28" s="1"/>
  <c r="BL141" i="28" l="1"/>
  <c r="BM135" i="28"/>
  <c r="BN8" i="28"/>
  <c r="BN7" i="28"/>
  <c r="BN3" i="28"/>
  <c r="BN6" i="28"/>
  <c r="BN4" i="28"/>
  <c r="BO5" i="28"/>
  <c r="BM83" i="28"/>
  <c r="BM58" i="28"/>
  <c r="BM32" i="28"/>
  <c r="BM138" i="28"/>
  <c r="BM68" i="28"/>
  <c r="BM123" i="28"/>
  <c r="BM101" i="28"/>
  <c r="BM49" i="28"/>
  <c r="BM92" i="28"/>
  <c r="BM85" i="28"/>
  <c r="BM67" i="28"/>
  <c r="BM54" i="28"/>
  <c r="BM90" i="28"/>
  <c r="BM109" i="28"/>
  <c r="BM33" i="28"/>
  <c r="BM127" i="28"/>
  <c r="BM105" i="28"/>
  <c r="BM60" i="28"/>
  <c r="BM69" i="28"/>
  <c r="BM37" i="28"/>
  <c r="BM89" i="28"/>
  <c r="BM86" i="28"/>
  <c r="BM121" i="28"/>
  <c r="BM70" i="28"/>
  <c r="BM59" i="28"/>
  <c r="BM99" i="28"/>
  <c r="BM113" i="28"/>
  <c r="BM104" i="28"/>
  <c r="BM129" i="28"/>
  <c r="BM98" i="28"/>
  <c r="BM75" i="28"/>
  <c r="BM44" i="28"/>
  <c r="BM47" i="28"/>
  <c r="BM36" i="28"/>
  <c r="BM116" i="28"/>
  <c r="BM122" i="28"/>
  <c r="BM97" i="28"/>
  <c r="BM106" i="28"/>
  <c r="BM77" i="28"/>
  <c r="BM48" i="28"/>
  <c r="BM42" i="28"/>
  <c r="BM118" i="28"/>
  <c r="BM124" i="28"/>
  <c r="BM57" i="28"/>
  <c r="BM55" i="28"/>
  <c r="BM71" i="28"/>
  <c r="BM34" i="28"/>
  <c r="BM45" i="28"/>
  <c r="BM52" i="28"/>
  <c r="BM35" i="28"/>
  <c r="BM103" i="28"/>
  <c r="BM79" i="28"/>
  <c r="BM111" i="28"/>
  <c r="BM94" i="28"/>
  <c r="BM125" i="28"/>
  <c r="BM39" i="28"/>
  <c r="BM91" i="28"/>
  <c r="BM84" i="28"/>
  <c r="BM72" i="28"/>
  <c r="BM117" i="28"/>
  <c r="BM76" i="28"/>
  <c r="BM107" i="28"/>
  <c r="BM100" i="28"/>
  <c r="BM87" i="28"/>
  <c r="BM130" i="28"/>
  <c r="BM95" i="28"/>
  <c r="BM41" i="28"/>
  <c r="BM43" i="28"/>
  <c r="BM88" i="28"/>
  <c r="BM115" i="28"/>
  <c r="BM93" i="28"/>
  <c r="BM74" i="28"/>
  <c r="BM38" i="28"/>
  <c r="BM78" i="28"/>
  <c r="BM65" i="28"/>
  <c r="BM46" i="28"/>
  <c r="BM64" i="28"/>
  <c r="BM110" i="28"/>
  <c r="BM126" i="28"/>
  <c r="BM53" i="28"/>
  <c r="BM63" i="28"/>
  <c r="BM102" i="28"/>
  <c r="BM108" i="28"/>
  <c r="BM40" i="28"/>
  <c r="BM73" i="28"/>
  <c r="BM62" i="28"/>
  <c r="BM119" i="28"/>
  <c r="BM61" i="28"/>
  <c r="BM114" i="28"/>
  <c r="BM56" i="28"/>
  <c r="BM136" i="28"/>
  <c r="BM96" i="28"/>
  <c r="BM112" i="28"/>
  <c r="BM51" i="28"/>
  <c r="BM128" i="28"/>
  <c r="BM120" i="28"/>
  <c r="BM50" i="28"/>
  <c r="BL30" i="28"/>
  <c r="BL81" i="28"/>
  <c r="BK132" i="28"/>
  <c r="BK137" i="28" s="1"/>
  <c r="BL132" i="28" l="1"/>
  <c r="BL137" i="28" s="1"/>
  <c r="BM81" i="28"/>
  <c r="BO3" i="28"/>
  <c r="BO4" i="28"/>
  <c r="BO6" i="28"/>
  <c r="BO7" i="28"/>
  <c r="BO8" i="28"/>
  <c r="BP5" i="28"/>
  <c r="BN130" i="28"/>
  <c r="BN72" i="28"/>
  <c r="BN86" i="28"/>
  <c r="BN128" i="28"/>
  <c r="BN93" i="28"/>
  <c r="BN68" i="28"/>
  <c r="BN32" i="28"/>
  <c r="BN97" i="28"/>
  <c r="BN113" i="28"/>
  <c r="BN78" i="28"/>
  <c r="BN112" i="28"/>
  <c r="BN42" i="28"/>
  <c r="BN95" i="28"/>
  <c r="BN124" i="28"/>
  <c r="BN36" i="28"/>
  <c r="BN43" i="28"/>
  <c r="BN45" i="28"/>
  <c r="BN74" i="28"/>
  <c r="BN92" i="28"/>
  <c r="BN58" i="28"/>
  <c r="BN107" i="28"/>
  <c r="BN53" i="28"/>
  <c r="BN64" i="28"/>
  <c r="BN96" i="28"/>
  <c r="BN116" i="28"/>
  <c r="BN94" i="28"/>
  <c r="BN49" i="28"/>
  <c r="BN103" i="28"/>
  <c r="BN35" i="28"/>
  <c r="BN109" i="28"/>
  <c r="BN110" i="28"/>
  <c r="BN125" i="28"/>
  <c r="BN111" i="28"/>
  <c r="BN79" i="28"/>
  <c r="BN102" i="28"/>
  <c r="BN90" i="28"/>
  <c r="BN40" i="28"/>
  <c r="BN105" i="28"/>
  <c r="BN69" i="28"/>
  <c r="BN87" i="28"/>
  <c r="BN73" i="28"/>
  <c r="BN70" i="28"/>
  <c r="BN63" i="28"/>
  <c r="BN99" i="28"/>
  <c r="BN115" i="28"/>
  <c r="BN108" i="28"/>
  <c r="BN117" i="28"/>
  <c r="BN76" i="28"/>
  <c r="BN106" i="28"/>
  <c r="BN48" i="28"/>
  <c r="BN75" i="28"/>
  <c r="BN119" i="28"/>
  <c r="BN41" i="28"/>
  <c r="BN56" i="28"/>
  <c r="BN127" i="28"/>
  <c r="BN34" i="28"/>
  <c r="BN38" i="28"/>
  <c r="BN55" i="28"/>
  <c r="BN37" i="28"/>
  <c r="BN39" i="28"/>
  <c r="BN114" i="28"/>
  <c r="BN121" i="28"/>
  <c r="BN120" i="28"/>
  <c r="BN44" i="28"/>
  <c r="BN65" i="28"/>
  <c r="BN101" i="28"/>
  <c r="BN62" i="28"/>
  <c r="BN60" i="28"/>
  <c r="BN77" i="28"/>
  <c r="BN50" i="28"/>
  <c r="BN57" i="28"/>
  <c r="BN59" i="28"/>
  <c r="BN51" i="28"/>
  <c r="BN104" i="28"/>
  <c r="BN71" i="28"/>
  <c r="BN129" i="28"/>
  <c r="BN84" i="28"/>
  <c r="BN61" i="28"/>
  <c r="BN52" i="28"/>
  <c r="BN33" i="28"/>
  <c r="BN46" i="28"/>
  <c r="BN122" i="28"/>
  <c r="BN83" i="28"/>
  <c r="BN91" i="28"/>
  <c r="BN88" i="28"/>
  <c r="BN85" i="28"/>
  <c r="BN123" i="28"/>
  <c r="BN54" i="28"/>
  <c r="BN47" i="28"/>
  <c r="BN100" i="28"/>
  <c r="BN98" i="28"/>
  <c r="BN126" i="28"/>
  <c r="BN89" i="28"/>
  <c r="BM141" i="28"/>
  <c r="BN135" i="28"/>
  <c r="BM25" i="28"/>
  <c r="BN136" i="28" l="1"/>
  <c r="BP3" i="28"/>
  <c r="BP7" i="28"/>
  <c r="BP4" i="28"/>
  <c r="BP6" i="28"/>
  <c r="BQ5" i="28"/>
  <c r="BP8" i="28"/>
  <c r="BO83" i="28"/>
  <c r="BO32" i="28"/>
  <c r="BO129" i="28"/>
  <c r="BO61" i="28"/>
  <c r="BO49" i="28"/>
  <c r="BO48" i="28"/>
  <c r="BO72" i="28"/>
  <c r="BO59" i="28"/>
  <c r="BO51" i="28"/>
  <c r="BO33" i="28"/>
  <c r="BO74" i="28"/>
  <c r="BO121" i="28"/>
  <c r="BO57" i="28"/>
  <c r="BO25" i="28"/>
  <c r="BO64" i="28"/>
  <c r="BO46" i="28"/>
  <c r="BO114" i="28"/>
  <c r="BO126" i="28"/>
  <c r="BO98" i="28"/>
  <c r="BO130" i="28"/>
  <c r="BO112" i="28"/>
  <c r="BO113" i="28"/>
  <c r="BO125" i="28"/>
  <c r="BO84" i="28"/>
  <c r="BO89" i="28"/>
  <c r="BO45" i="28"/>
  <c r="BO43" i="28"/>
  <c r="BO90" i="28"/>
  <c r="BO102" i="28"/>
  <c r="BO110" i="28"/>
  <c r="BO128" i="28"/>
  <c r="BO69" i="28"/>
  <c r="BO93" i="28"/>
  <c r="BO107" i="28"/>
  <c r="BO65" i="28"/>
  <c r="BO94" i="28"/>
  <c r="BO68" i="28"/>
  <c r="BO37" i="28"/>
  <c r="BO100" i="28"/>
  <c r="BO35" i="28"/>
  <c r="BO76" i="28"/>
  <c r="BO52" i="28"/>
  <c r="BO122" i="28"/>
  <c r="BO54" i="28"/>
  <c r="BO42" i="28"/>
  <c r="BO75" i="28"/>
  <c r="BO47" i="28"/>
  <c r="BO41" i="28"/>
  <c r="BO73" i="28"/>
  <c r="BO55" i="28"/>
  <c r="BO86" i="28"/>
  <c r="BO95" i="28"/>
  <c r="BO38" i="28"/>
  <c r="BO78" i="28"/>
  <c r="BO79" i="28"/>
  <c r="BO85" i="28"/>
  <c r="BO97" i="28"/>
  <c r="BO101" i="28"/>
  <c r="BO108" i="28"/>
  <c r="BO115" i="28"/>
  <c r="BO123" i="28"/>
  <c r="BO62" i="28"/>
  <c r="BO87" i="28"/>
  <c r="BO111" i="28"/>
  <c r="BO70" i="28"/>
  <c r="BO105" i="28"/>
  <c r="BO63" i="28"/>
  <c r="BO91" i="28"/>
  <c r="BO50" i="28"/>
  <c r="BO53" i="28"/>
  <c r="BO103" i="28"/>
  <c r="BO109" i="28"/>
  <c r="BO104" i="28"/>
  <c r="BO77" i="28"/>
  <c r="BO117" i="28"/>
  <c r="BO34" i="28"/>
  <c r="BO58" i="28"/>
  <c r="BO120" i="28"/>
  <c r="BO56" i="28"/>
  <c r="BO99" i="28"/>
  <c r="BO127" i="28"/>
  <c r="BO40" i="28"/>
  <c r="BO36" i="28"/>
  <c r="BO92" i="28"/>
  <c r="BO124" i="28"/>
  <c r="BO60" i="28"/>
  <c r="BO106" i="28"/>
  <c r="BO71" i="28"/>
  <c r="BO116" i="28"/>
  <c r="BO44" i="28"/>
  <c r="BO88" i="28"/>
  <c r="BO39" i="28"/>
  <c r="BO96" i="28"/>
  <c r="BO136" i="28" l="1"/>
  <c r="BP32" i="28"/>
  <c r="BP83" i="28"/>
  <c r="BP128" i="28"/>
  <c r="BP45" i="28"/>
  <c r="BP38" i="28"/>
  <c r="BP93" i="28"/>
  <c r="BP100" i="28"/>
  <c r="BP47" i="28"/>
  <c r="BP113" i="28"/>
  <c r="BP34" i="28"/>
  <c r="BP39" i="28"/>
  <c r="BP116" i="28"/>
  <c r="BP111" i="28"/>
  <c r="BP37" i="28"/>
  <c r="BP109" i="28"/>
  <c r="BP42" i="28"/>
  <c r="BP59" i="28"/>
  <c r="BP126" i="28"/>
  <c r="BP46" i="28"/>
  <c r="BP43" i="28"/>
  <c r="BP114" i="28"/>
  <c r="BP71" i="28"/>
  <c r="BP74" i="28"/>
  <c r="BP44" i="28"/>
  <c r="BP103" i="28"/>
  <c r="BP89" i="28"/>
  <c r="BP58" i="28"/>
  <c r="BP121" i="28"/>
  <c r="BP36" i="28"/>
  <c r="BP73" i="28"/>
  <c r="BP105" i="28"/>
  <c r="BP97" i="28"/>
  <c r="BP35" i="28"/>
  <c r="BP96" i="28"/>
  <c r="BP125" i="28"/>
  <c r="BP107" i="28"/>
  <c r="BP56" i="28"/>
  <c r="BP129" i="28"/>
  <c r="BP106" i="28"/>
  <c r="BP69" i="28"/>
  <c r="BP88" i="28"/>
  <c r="BP90" i="28"/>
  <c r="BP64" i="28"/>
  <c r="BP65" i="28"/>
  <c r="BP54" i="28"/>
  <c r="BP68" i="28"/>
  <c r="BP61" i="28"/>
  <c r="BP92" i="28"/>
  <c r="BP55" i="28"/>
  <c r="BP94" i="28"/>
  <c r="BP86" i="28"/>
  <c r="BP110" i="28"/>
  <c r="BP72" i="28"/>
  <c r="BP104" i="28"/>
  <c r="BP49" i="28"/>
  <c r="BP60" i="28"/>
  <c r="BP108" i="28"/>
  <c r="BP77" i="28"/>
  <c r="BP41" i="28"/>
  <c r="BP70" i="28"/>
  <c r="BP122" i="28"/>
  <c r="BP124" i="28"/>
  <c r="BP25" i="28"/>
  <c r="BP78" i="28"/>
  <c r="BP48" i="28"/>
  <c r="BP62" i="28"/>
  <c r="BP40" i="28"/>
  <c r="BP98" i="28"/>
  <c r="BP115" i="28"/>
  <c r="BP33" i="28"/>
  <c r="BP91" i="28"/>
  <c r="BP85" i="28"/>
  <c r="BP63" i="28"/>
  <c r="BP75" i="28"/>
  <c r="BP112" i="28"/>
  <c r="BP95" i="28"/>
  <c r="BP130" i="28"/>
  <c r="BP102" i="28"/>
  <c r="BP87" i="28"/>
  <c r="BP101" i="28"/>
  <c r="BP123" i="28"/>
  <c r="BP52" i="28"/>
  <c r="BP84" i="28"/>
  <c r="BP99" i="28"/>
  <c r="BP76" i="28"/>
  <c r="BP127" i="28"/>
  <c r="BP53" i="28"/>
  <c r="BP51" i="28"/>
  <c r="BP57" i="28"/>
  <c r="BP117" i="28"/>
  <c r="BP79" i="28"/>
  <c r="BP50" i="28"/>
  <c r="BQ8" i="28"/>
  <c r="BQ7" i="28"/>
  <c r="BQ3" i="28"/>
  <c r="BQ6" i="28"/>
  <c r="BQ4" i="28"/>
  <c r="BR5" i="28"/>
  <c r="BP136" i="28" l="1"/>
  <c r="BR4" i="28"/>
  <c r="BR6" i="28"/>
  <c r="BR3" i="28"/>
  <c r="BR7" i="28"/>
  <c r="BR8" i="28"/>
  <c r="BS5" i="28"/>
  <c r="BQ97" i="28"/>
  <c r="BQ57" i="28"/>
  <c r="BQ40" i="28"/>
  <c r="BQ125" i="28"/>
  <c r="BQ44" i="28"/>
  <c r="BQ63" i="28"/>
  <c r="BQ32" i="28"/>
  <c r="BQ36" i="28"/>
  <c r="BQ109" i="28"/>
  <c r="BQ49" i="28"/>
  <c r="BQ53" i="28"/>
  <c r="BQ115" i="28"/>
  <c r="BQ89" i="28"/>
  <c r="BQ60" i="28"/>
  <c r="BQ52" i="28"/>
  <c r="BQ55" i="28"/>
  <c r="BQ107" i="28"/>
  <c r="BQ78" i="28"/>
  <c r="BQ103" i="28"/>
  <c r="BQ84" i="28"/>
  <c r="BQ73" i="28"/>
  <c r="BQ114" i="28"/>
  <c r="BQ98" i="28"/>
  <c r="BQ35" i="28"/>
  <c r="BQ46" i="28"/>
  <c r="BQ48" i="28"/>
  <c r="BQ106" i="28"/>
  <c r="BQ75" i="28"/>
  <c r="BQ92" i="28"/>
  <c r="BQ93" i="28"/>
  <c r="BQ79" i="28"/>
  <c r="BQ104" i="28"/>
  <c r="BQ62" i="28"/>
  <c r="BQ100" i="28"/>
  <c r="BQ50" i="28"/>
  <c r="BQ61" i="28"/>
  <c r="BQ130" i="28"/>
  <c r="BQ85" i="28"/>
  <c r="BQ117" i="28"/>
  <c r="BQ77" i="28"/>
  <c r="BQ110" i="28"/>
  <c r="BQ39" i="28"/>
  <c r="BQ86" i="28"/>
  <c r="BQ34" i="28"/>
  <c r="BQ65" i="28"/>
  <c r="BQ43" i="28"/>
  <c r="BQ101" i="28"/>
  <c r="BQ47" i="28"/>
  <c r="BQ25" i="28"/>
  <c r="BQ108" i="28"/>
  <c r="BQ127" i="28"/>
  <c r="BQ94" i="28"/>
  <c r="BQ113" i="28"/>
  <c r="BQ69" i="28"/>
  <c r="BQ122" i="28"/>
  <c r="BQ70" i="28"/>
  <c r="BQ74" i="28"/>
  <c r="BQ38" i="28"/>
  <c r="BQ56" i="28"/>
  <c r="BQ76" i="28"/>
  <c r="BQ41" i="28"/>
  <c r="BQ68" i="28"/>
  <c r="BQ129" i="28"/>
  <c r="BQ102" i="28"/>
  <c r="BQ59" i="28"/>
  <c r="BQ72" i="28"/>
  <c r="BQ64" i="28"/>
  <c r="BQ54" i="28"/>
  <c r="BQ33" i="28"/>
  <c r="BQ87" i="28"/>
  <c r="BQ95" i="28"/>
  <c r="BQ105" i="28"/>
  <c r="BQ128" i="28"/>
  <c r="BQ126" i="28"/>
  <c r="BQ116" i="28"/>
  <c r="BQ71" i="28"/>
  <c r="BQ123" i="28"/>
  <c r="BQ42" i="28"/>
  <c r="BQ45" i="28"/>
  <c r="BQ90" i="28"/>
  <c r="BQ37" i="28"/>
  <c r="BQ99" i="28"/>
  <c r="BQ83" i="28"/>
  <c r="BQ111" i="28"/>
  <c r="BQ96" i="28"/>
  <c r="BQ88" i="28"/>
  <c r="BQ124" i="28"/>
  <c r="BQ112" i="28"/>
  <c r="BQ58" i="28"/>
  <c r="BQ51" i="28"/>
  <c r="BQ91" i="28"/>
  <c r="BS4" i="28" l="1"/>
  <c r="BS3" i="28"/>
  <c r="BS7" i="28"/>
  <c r="BS6" i="28"/>
  <c r="BS8" i="28"/>
  <c r="BT5" i="28"/>
  <c r="BR76" i="28"/>
  <c r="BR71" i="28"/>
  <c r="BR43" i="28"/>
  <c r="BR33" i="28"/>
  <c r="BR114" i="28"/>
  <c r="BR111" i="28"/>
  <c r="BR77" i="28"/>
  <c r="BR38" i="28"/>
  <c r="BR128" i="28"/>
  <c r="BR25" i="28"/>
  <c r="BR72" i="28"/>
  <c r="BR83" i="28"/>
  <c r="BR39" i="28"/>
  <c r="BR106" i="28"/>
  <c r="BR53" i="28"/>
  <c r="BR88" i="28"/>
  <c r="BR35" i="28"/>
  <c r="BR98" i="28"/>
  <c r="BR102" i="28"/>
  <c r="BR101" i="28"/>
  <c r="BR130" i="28"/>
  <c r="BR73" i="28"/>
  <c r="BR116" i="28"/>
  <c r="BR49" i="28"/>
  <c r="BR94" i="28"/>
  <c r="BR64" i="28"/>
  <c r="BR59" i="28"/>
  <c r="BR55" i="28"/>
  <c r="BR113" i="28"/>
  <c r="BR85" i="28"/>
  <c r="BR57" i="28"/>
  <c r="BR58" i="28"/>
  <c r="BR70" i="28"/>
  <c r="BR117" i="28"/>
  <c r="BR92" i="28"/>
  <c r="BR51" i="28"/>
  <c r="BR41" i="28"/>
  <c r="BR115" i="28"/>
  <c r="BR104" i="28"/>
  <c r="BR75" i="28"/>
  <c r="BR68" i="28"/>
  <c r="BR99" i="28"/>
  <c r="BR79" i="28"/>
  <c r="BR47" i="28"/>
  <c r="BR90" i="28"/>
  <c r="BR63" i="28"/>
  <c r="BR45" i="28"/>
  <c r="BR42" i="28"/>
  <c r="BR54" i="28"/>
  <c r="BR61" i="28"/>
  <c r="BR123" i="28"/>
  <c r="BR37" i="28"/>
  <c r="BR60" i="28"/>
  <c r="BR44" i="28"/>
  <c r="BR91" i="28"/>
  <c r="BR69" i="28"/>
  <c r="BR126" i="28"/>
  <c r="BR112" i="28"/>
  <c r="BR87" i="28"/>
  <c r="BR103" i="28"/>
  <c r="BR93" i="28"/>
  <c r="BR84" i="28"/>
  <c r="BR74" i="28"/>
  <c r="BR48" i="28"/>
  <c r="BR46" i="28"/>
  <c r="BR110" i="28"/>
  <c r="BR105" i="28"/>
  <c r="BR78" i="28"/>
  <c r="BR62" i="28"/>
  <c r="BR50" i="28"/>
  <c r="BR95" i="28"/>
  <c r="BR89" i="28"/>
  <c r="BR97" i="28"/>
  <c r="BR127" i="28"/>
  <c r="BR109" i="28"/>
  <c r="BR107" i="28"/>
  <c r="BR34" i="28"/>
  <c r="BR40" i="28"/>
  <c r="BR124" i="28"/>
  <c r="BR86" i="28"/>
  <c r="BR129" i="28"/>
  <c r="BR65" i="28"/>
  <c r="BR108" i="28"/>
  <c r="BR96" i="28"/>
  <c r="BR52" i="28"/>
  <c r="BR125" i="28"/>
  <c r="BR36" i="28"/>
  <c r="BR56" i="28"/>
  <c r="BR32" i="28"/>
  <c r="BR100" i="28"/>
  <c r="BQ136" i="28"/>
  <c r="BT7" i="28" l="1"/>
  <c r="BT3" i="28"/>
  <c r="BT6" i="28"/>
  <c r="BT4" i="28"/>
  <c r="BU5" i="28"/>
  <c r="BT8" i="28"/>
  <c r="BR136" i="28"/>
  <c r="BS83" i="28"/>
  <c r="BS32" i="28"/>
  <c r="BS104" i="28"/>
  <c r="BS98" i="28"/>
  <c r="BS56" i="28"/>
  <c r="BS51" i="28"/>
  <c r="BS34" i="28"/>
  <c r="BS93" i="28"/>
  <c r="BS112" i="28"/>
  <c r="BS127" i="28"/>
  <c r="BS108" i="28"/>
  <c r="BS94" i="28"/>
  <c r="BS72" i="28"/>
  <c r="BS110" i="28"/>
  <c r="BS97" i="28"/>
  <c r="BS74" i="28"/>
  <c r="BS103" i="28"/>
  <c r="BS73" i="28"/>
  <c r="BS54" i="28"/>
  <c r="BS47" i="28"/>
  <c r="BS90" i="28"/>
  <c r="BS79" i="28"/>
  <c r="BS39" i="28"/>
  <c r="BS63" i="28"/>
  <c r="BS99" i="28"/>
  <c r="BS60" i="28"/>
  <c r="BS89" i="28"/>
  <c r="BS70" i="28"/>
  <c r="BS58" i="28"/>
  <c r="BS126" i="28"/>
  <c r="BS64" i="28"/>
  <c r="BS117" i="28"/>
  <c r="BS42" i="28"/>
  <c r="BS46" i="28"/>
  <c r="BS109" i="28"/>
  <c r="BS92" i="28"/>
  <c r="BS53" i="28"/>
  <c r="BS52" i="28"/>
  <c r="BS101" i="28"/>
  <c r="BS91" i="28"/>
  <c r="BS78" i="28"/>
  <c r="BS86" i="28"/>
  <c r="BS37" i="28"/>
  <c r="BS75" i="28"/>
  <c r="BS41" i="28"/>
  <c r="BS113" i="28"/>
  <c r="BS40" i="28"/>
  <c r="BS85" i="28"/>
  <c r="BS105" i="28"/>
  <c r="BS25" i="28"/>
  <c r="BS124" i="28"/>
  <c r="BS100" i="28"/>
  <c r="BS33" i="28"/>
  <c r="BS129" i="28"/>
  <c r="BS88" i="28"/>
  <c r="BS65" i="28"/>
  <c r="BS111" i="28"/>
  <c r="BS48" i="28"/>
  <c r="BS61" i="28"/>
  <c r="BS43" i="28"/>
  <c r="BS49" i="28"/>
  <c r="BS125" i="28"/>
  <c r="BS116" i="28"/>
  <c r="BS77" i="28"/>
  <c r="BS45" i="28"/>
  <c r="BS95" i="28"/>
  <c r="BS71" i="28"/>
  <c r="BS106" i="28"/>
  <c r="BS96" i="28"/>
  <c r="BS38" i="28"/>
  <c r="BS62" i="28"/>
  <c r="BS68" i="28"/>
  <c r="BS76" i="28"/>
  <c r="BS84" i="28"/>
  <c r="BS55" i="28"/>
  <c r="BS128" i="28"/>
  <c r="BS107" i="28"/>
  <c r="BS35" i="28"/>
  <c r="BS114" i="28"/>
  <c r="BS57" i="28"/>
  <c r="BS36" i="28"/>
  <c r="BS130" i="28"/>
  <c r="BS59" i="28"/>
  <c r="BS115" i="28"/>
  <c r="BS87" i="28"/>
  <c r="BS69" i="28"/>
  <c r="BS102" i="28"/>
  <c r="BS44" i="28"/>
  <c r="BS50" i="28"/>
  <c r="BS136" i="28" l="1"/>
  <c r="BT32" i="28"/>
  <c r="BT63" i="28"/>
  <c r="BT130" i="28"/>
  <c r="BT49" i="28"/>
  <c r="BT42" i="28"/>
  <c r="BT88" i="28"/>
  <c r="BT126" i="28"/>
  <c r="BT41" i="28"/>
  <c r="BT37" i="28"/>
  <c r="BT71" i="28"/>
  <c r="BT113" i="28"/>
  <c r="BT95" i="28"/>
  <c r="BT115" i="28"/>
  <c r="BT114" i="28"/>
  <c r="BT99" i="28"/>
  <c r="BT107" i="28"/>
  <c r="BT91" i="28"/>
  <c r="BT85" i="28"/>
  <c r="BT93" i="28"/>
  <c r="BT105" i="28"/>
  <c r="BT36" i="28"/>
  <c r="BT55" i="28"/>
  <c r="BT59" i="28"/>
  <c r="BT38" i="28"/>
  <c r="BT39" i="28"/>
  <c r="BT68" i="28"/>
  <c r="BT127" i="28"/>
  <c r="BT65" i="28"/>
  <c r="BT86" i="28"/>
  <c r="BT43" i="28"/>
  <c r="BT52" i="28"/>
  <c r="BT58" i="28"/>
  <c r="BT35" i="28"/>
  <c r="BT97" i="28"/>
  <c r="BT57" i="28"/>
  <c r="BT33" i="28"/>
  <c r="BT34" i="28"/>
  <c r="BT25" i="28"/>
  <c r="BT69" i="28"/>
  <c r="BT50" i="28"/>
  <c r="BT54" i="28"/>
  <c r="BT116" i="28"/>
  <c r="BT70" i="28"/>
  <c r="BT46" i="28"/>
  <c r="BT90" i="28"/>
  <c r="BT98" i="28"/>
  <c r="BT96" i="28"/>
  <c r="BT77" i="28"/>
  <c r="BT48" i="28"/>
  <c r="BT40" i="28"/>
  <c r="BT84" i="28"/>
  <c r="BT87" i="28"/>
  <c r="BT74" i="28"/>
  <c r="BT117" i="28"/>
  <c r="BT128" i="28"/>
  <c r="BT62" i="28"/>
  <c r="BT104" i="28"/>
  <c r="BT76" i="28"/>
  <c r="BT61" i="28"/>
  <c r="BT44" i="28"/>
  <c r="BT47" i="28"/>
  <c r="BT72" i="28"/>
  <c r="BT108" i="28"/>
  <c r="BT75" i="28"/>
  <c r="BT51" i="28"/>
  <c r="BT103" i="28"/>
  <c r="BT56" i="28"/>
  <c r="BT111" i="28"/>
  <c r="BT110" i="28"/>
  <c r="BT64" i="28"/>
  <c r="BT73" i="28"/>
  <c r="BT92" i="28"/>
  <c r="BT109" i="28"/>
  <c r="BT94" i="28"/>
  <c r="BT89" i="28"/>
  <c r="BT125" i="28"/>
  <c r="BT102" i="28"/>
  <c r="BT101" i="28"/>
  <c r="BT79" i="28"/>
  <c r="BT112" i="28"/>
  <c r="BT100" i="28"/>
  <c r="BT78" i="28"/>
  <c r="BT129" i="28"/>
  <c r="BT60" i="28"/>
  <c r="BT53" i="28"/>
  <c r="BT83" i="28"/>
  <c r="BT106" i="28"/>
  <c r="BT45" i="28"/>
  <c r="BU6" i="28"/>
  <c r="BU3" i="28"/>
  <c r="BU7" i="28"/>
  <c r="BU4" i="28"/>
  <c r="BV5" i="28"/>
  <c r="BU8" i="28"/>
  <c r="BT136" i="28" l="1"/>
  <c r="BU83" i="28"/>
  <c r="BU32" i="28"/>
  <c r="BU116" i="28"/>
  <c r="BU57" i="28"/>
  <c r="BU69" i="28"/>
  <c r="BU73" i="28"/>
  <c r="BU85" i="28"/>
  <c r="BU127" i="28"/>
  <c r="BU52" i="28"/>
  <c r="BU53" i="28"/>
  <c r="BU63" i="28"/>
  <c r="BU34" i="28"/>
  <c r="BU107" i="28"/>
  <c r="BU51" i="28"/>
  <c r="BU105" i="28"/>
  <c r="BU89" i="28"/>
  <c r="BU100" i="28"/>
  <c r="BU96" i="28"/>
  <c r="BU77" i="28"/>
  <c r="BU92" i="28"/>
  <c r="BU44" i="28"/>
  <c r="BU101" i="28"/>
  <c r="BU38" i="28"/>
  <c r="BU88" i="28"/>
  <c r="BU111" i="28"/>
  <c r="BU112" i="28"/>
  <c r="BU91" i="28"/>
  <c r="BU49" i="28"/>
  <c r="BU55" i="28"/>
  <c r="BU39" i="28"/>
  <c r="BU103" i="28"/>
  <c r="BU43" i="28"/>
  <c r="BU25" i="28"/>
  <c r="BU58" i="28"/>
  <c r="BU37" i="28"/>
  <c r="BU70" i="28"/>
  <c r="BU78" i="28"/>
  <c r="BU56" i="28"/>
  <c r="BU109" i="28"/>
  <c r="BU79" i="28"/>
  <c r="BU102" i="28"/>
  <c r="BU126" i="28"/>
  <c r="BU117" i="28"/>
  <c r="BU93" i="28"/>
  <c r="BU97" i="28"/>
  <c r="BU115" i="28"/>
  <c r="BU71" i="28"/>
  <c r="BU108" i="28"/>
  <c r="BU74" i="28"/>
  <c r="BU40" i="28"/>
  <c r="BU75" i="28"/>
  <c r="BU84" i="28"/>
  <c r="BU62" i="28"/>
  <c r="BU47" i="28"/>
  <c r="BU64" i="28"/>
  <c r="BU42" i="28"/>
  <c r="BU61" i="28"/>
  <c r="BU76" i="28"/>
  <c r="BU48" i="28"/>
  <c r="BU128" i="28"/>
  <c r="BU129" i="28"/>
  <c r="BU90" i="28"/>
  <c r="BU106" i="28"/>
  <c r="BU130" i="28"/>
  <c r="BU59" i="28"/>
  <c r="BU72" i="28"/>
  <c r="BU50" i="28"/>
  <c r="BU35" i="28"/>
  <c r="BU104" i="28"/>
  <c r="BU94" i="28"/>
  <c r="BU45" i="28"/>
  <c r="BU114" i="28"/>
  <c r="BU65" i="28"/>
  <c r="BU95" i="28"/>
  <c r="BU54" i="28"/>
  <c r="BU99" i="28"/>
  <c r="BU87" i="28"/>
  <c r="BU36" i="28"/>
  <c r="BU33" i="28"/>
  <c r="BU110" i="28"/>
  <c r="BU68" i="28"/>
  <c r="BU113" i="28"/>
  <c r="BU46" i="28"/>
  <c r="BU41" i="28"/>
  <c r="BU60" i="28"/>
  <c r="BU86" i="28"/>
  <c r="BU98" i="28"/>
  <c r="BV6" i="28"/>
  <c r="BV3" i="28"/>
  <c r="BV7" i="28"/>
  <c r="BV4" i="28"/>
  <c r="BV8" i="28"/>
  <c r="BW5" i="28"/>
  <c r="BV32" i="28" l="1"/>
  <c r="BV45" i="28"/>
  <c r="BV90" i="28"/>
  <c r="BV52" i="28"/>
  <c r="BV42" i="28"/>
  <c r="BV115" i="28"/>
  <c r="BV128" i="28"/>
  <c r="BV83" i="28"/>
  <c r="BV113" i="28"/>
  <c r="BV130" i="28"/>
  <c r="BV65" i="28"/>
  <c r="BV61" i="28"/>
  <c r="BV36" i="28"/>
  <c r="BV63" i="28"/>
  <c r="BV87" i="28"/>
  <c r="BV116" i="28"/>
  <c r="BV51" i="28"/>
  <c r="BV58" i="28"/>
  <c r="BV48" i="28"/>
  <c r="BV34" i="28"/>
  <c r="BV100" i="28"/>
  <c r="BV92" i="28"/>
  <c r="BV71" i="28"/>
  <c r="BV73" i="28"/>
  <c r="BV86" i="28"/>
  <c r="BV79" i="28"/>
  <c r="BV76" i="28"/>
  <c r="BV95" i="28"/>
  <c r="BV38" i="28"/>
  <c r="BV106" i="28"/>
  <c r="BV47" i="28"/>
  <c r="BV53" i="28"/>
  <c r="BV40" i="28"/>
  <c r="BV91" i="28"/>
  <c r="BV110" i="28"/>
  <c r="BV105" i="28"/>
  <c r="BV88" i="28"/>
  <c r="BV77" i="28"/>
  <c r="BV60" i="28"/>
  <c r="BV59" i="28"/>
  <c r="BV103" i="28"/>
  <c r="BV55" i="28"/>
  <c r="BV35" i="28"/>
  <c r="BV107" i="28"/>
  <c r="BV84" i="28"/>
  <c r="BV129" i="28"/>
  <c r="BV68" i="28"/>
  <c r="BV127" i="28"/>
  <c r="BV101" i="28"/>
  <c r="BV54" i="28"/>
  <c r="BV111" i="28"/>
  <c r="BV104" i="28"/>
  <c r="BV74" i="28"/>
  <c r="BV44" i="28"/>
  <c r="BV46" i="28"/>
  <c r="BV50" i="28"/>
  <c r="BV114" i="28"/>
  <c r="BV25" i="28"/>
  <c r="BV89" i="28"/>
  <c r="BV98" i="28"/>
  <c r="BV70" i="28"/>
  <c r="BV37" i="28"/>
  <c r="BV99" i="28"/>
  <c r="BV85" i="28"/>
  <c r="BV102" i="28"/>
  <c r="BV39" i="28"/>
  <c r="BV97" i="28"/>
  <c r="BV78" i="28"/>
  <c r="BV33" i="28"/>
  <c r="BV62" i="28"/>
  <c r="BV112" i="28"/>
  <c r="BV64" i="28"/>
  <c r="BV117" i="28"/>
  <c r="BV108" i="28"/>
  <c r="BV75" i="28"/>
  <c r="BV72" i="28"/>
  <c r="BV57" i="28"/>
  <c r="BV94" i="28"/>
  <c r="BV41" i="28"/>
  <c r="BV43" i="28"/>
  <c r="BV69" i="28"/>
  <c r="BV49" i="28"/>
  <c r="BV109" i="28"/>
  <c r="BV56" i="28"/>
  <c r="BV96" i="28"/>
  <c r="BV93" i="28"/>
  <c r="BW8" i="28"/>
  <c r="BW3" i="28"/>
  <c r="BW6" i="28"/>
  <c r="BW7" i="28"/>
  <c r="BW4" i="28"/>
  <c r="BX5" i="28"/>
  <c r="BU136" i="28"/>
  <c r="BV136" i="28" l="1"/>
  <c r="BX3" i="28"/>
  <c r="BX8" i="28"/>
  <c r="BX6" i="28"/>
  <c r="BX7" i="28"/>
  <c r="BX4" i="28"/>
  <c r="BY5" i="28"/>
  <c r="BW32" i="28"/>
  <c r="BW98" i="28"/>
  <c r="BW115" i="28"/>
  <c r="BW54" i="28"/>
  <c r="BW37" i="28"/>
  <c r="BW46" i="28"/>
  <c r="BW117" i="28"/>
  <c r="BW65" i="28"/>
  <c r="BW40" i="28"/>
  <c r="BW79" i="28"/>
  <c r="BW93" i="28"/>
  <c r="BW83" i="28"/>
  <c r="BW89" i="28"/>
  <c r="BW42" i="28"/>
  <c r="BW68" i="28"/>
  <c r="BW38" i="28"/>
  <c r="BW104" i="28"/>
  <c r="BW102" i="28"/>
  <c r="BW78" i="28"/>
  <c r="BW92" i="28"/>
  <c r="BW95" i="28"/>
  <c r="BW86" i="28"/>
  <c r="BW106" i="28"/>
  <c r="BW39" i="28"/>
  <c r="BW74" i="28"/>
  <c r="BW88" i="28"/>
  <c r="BW59" i="28"/>
  <c r="BW33" i="28"/>
  <c r="BW45" i="28"/>
  <c r="BW47" i="28"/>
  <c r="BW110" i="28"/>
  <c r="BW91" i="28"/>
  <c r="BW101" i="28"/>
  <c r="BW103" i="28"/>
  <c r="BW25" i="28"/>
  <c r="BW114" i="28"/>
  <c r="BW35" i="28"/>
  <c r="BW100" i="28"/>
  <c r="BW50" i="28"/>
  <c r="BW97" i="28"/>
  <c r="BW116" i="28"/>
  <c r="BW43" i="28"/>
  <c r="BW71" i="28"/>
  <c r="BW53" i="28"/>
  <c r="BW55" i="28"/>
  <c r="BW56" i="28"/>
  <c r="BW109" i="28"/>
  <c r="BW129" i="28"/>
  <c r="BW34" i="28"/>
  <c r="BW72" i="28"/>
  <c r="BW69" i="28"/>
  <c r="BW70" i="28"/>
  <c r="BW62" i="28"/>
  <c r="BW49" i="28"/>
  <c r="BW64" i="28"/>
  <c r="BW41" i="28"/>
  <c r="BW76" i="28"/>
  <c r="BW60" i="28"/>
  <c r="BW63" i="28"/>
  <c r="BW108" i="28"/>
  <c r="BW84" i="28"/>
  <c r="BW90" i="28"/>
  <c r="BW94" i="28"/>
  <c r="BW58" i="28"/>
  <c r="BW48" i="28"/>
  <c r="BW99" i="28"/>
  <c r="BW61" i="28"/>
  <c r="BW77" i="28"/>
  <c r="BW105" i="28"/>
  <c r="BW111" i="28"/>
  <c r="BW44" i="28"/>
  <c r="BW52" i="28"/>
  <c r="BW113" i="28"/>
  <c r="BW87" i="28"/>
  <c r="BW96" i="28"/>
  <c r="BW107" i="28"/>
  <c r="BW73" i="28"/>
  <c r="BW85" i="28"/>
  <c r="BW57" i="28"/>
  <c r="BW36" i="28"/>
  <c r="BW130" i="28"/>
  <c r="BW51" i="28"/>
  <c r="BW128" i="28"/>
  <c r="BW75" i="28"/>
  <c r="BW112" i="28"/>
  <c r="BY7" i="28" l="1"/>
  <c r="BY3" i="28"/>
  <c r="BY6" i="28"/>
  <c r="BY4" i="28"/>
  <c r="BY8" i="28"/>
  <c r="BZ5" i="28"/>
  <c r="BX83" i="28"/>
  <c r="BX32" i="28"/>
  <c r="BX84" i="28"/>
  <c r="BX51" i="28"/>
  <c r="BX86" i="28"/>
  <c r="BX50" i="28"/>
  <c r="BX39" i="28"/>
  <c r="BX44" i="28"/>
  <c r="BX115" i="28"/>
  <c r="BX42" i="28"/>
  <c r="BX88" i="28"/>
  <c r="BX98" i="28"/>
  <c r="BX46" i="28"/>
  <c r="BX34" i="28"/>
  <c r="BX104" i="28"/>
  <c r="BX112" i="28"/>
  <c r="BX69" i="28"/>
  <c r="BX35" i="28"/>
  <c r="BX76" i="28"/>
  <c r="BX130" i="28"/>
  <c r="BX92" i="28"/>
  <c r="BX58" i="28"/>
  <c r="BX87" i="28"/>
  <c r="BX48" i="28"/>
  <c r="BX68" i="28"/>
  <c r="BX106" i="28"/>
  <c r="BX116" i="28"/>
  <c r="BX38" i="28"/>
  <c r="BX45" i="28"/>
  <c r="BX25" i="28"/>
  <c r="BX99" i="28"/>
  <c r="BX52" i="28"/>
  <c r="BX36" i="28"/>
  <c r="BX102" i="28"/>
  <c r="BX33" i="28"/>
  <c r="BX40" i="28"/>
  <c r="BX91" i="28"/>
  <c r="BX47" i="28"/>
  <c r="BX114" i="28"/>
  <c r="BX93" i="28"/>
  <c r="BX85" i="28"/>
  <c r="BX100" i="28"/>
  <c r="BX65" i="28"/>
  <c r="BX71" i="28"/>
  <c r="BX111" i="28"/>
  <c r="BX103" i="28"/>
  <c r="BX60" i="28"/>
  <c r="BX55" i="28"/>
  <c r="BX107" i="28"/>
  <c r="BX77" i="28"/>
  <c r="BX94" i="28"/>
  <c r="BX61" i="28"/>
  <c r="BX74" i="28"/>
  <c r="BX64" i="28"/>
  <c r="BX72" i="28"/>
  <c r="BX41" i="28"/>
  <c r="BX110" i="28"/>
  <c r="BX49" i="28"/>
  <c r="BX75" i="28"/>
  <c r="BX57" i="28"/>
  <c r="BX59" i="28"/>
  <c r="BX117" i="28"/>
  <c r="BX108" i="28"/>
  <c r="BX97" i="28"/>
  <c r="BX105" i="28"/>
  <c r="BX89" i="28"/>
  <c r="BX113" i="28"/>
  <c r="BX129" i="28"/>
  <c r="BX43" i="28"/>
  <c r="BX96" i="28"/>
  <c r="BX109" i="28"/>
  <c r="BX54" i="28"/>
  <c r="BX62" i="28"/>
  <c r="BX95" i="28"/>
  <c r="BX78" i="28"/>
  <c r="BX70" i="28"/>
  <c r="BX79" i="28"/>
  <c r="BX101" i="28"/>
  <c r="BX37" i="28"/>
  <c r="BX90" i="28"/>
  <c r="BX73" i="28"/>
  <c r="BX53" i="28"/>
  <c r="BX63" i="28"/>
  <c r="BX56" i="28"/>
  <c r="BW136" i="28"/>
  <c r="BX136" i="28" l="1"/>
  <c r="BZ4" i="28"/>
  <c r="BZ3" i="28"/>
  <c r="BZ6" i="28"/>
  <c r="BZ7" i="28"/>
  <c r="BZ8" i="28"/>
  <c r="W138" i="28"/>
  <c r="T138" i="28"/>
  <c r="T141" i="28"/>
  <c r="U141" i="28"/>
  <c r="V141" i="28"/>
  <c r="W141" i="28"/>
  <c r="V138" i="28"/>
  <c r="U138" i="28"/>
  <c r="BY32" i="28"/>
  <c r="BY48" i="28"/>
  <c r="BY96" i="28"/>
  <c r="BY95" i="28"/>
  <c r="BY35" i="28"/>
  <c r="BY97" i="28"/>
  <c r="BY34" i="28"/>
  <c r="BY52" i="28"/>
  <c r="BY47" i="28"/>
  <c r="BY38" i="28"/>
  <c r="BY64" i="28"/>
  <c r="BY59" i="28"/>
  <c r="BY63" i="28"/>
  <c r="BY98" i="28"/>
  <c r="BY114" i="28"/>
  <c r="BY43" i="28"/>
  <c r="BY107" i="28"/>
  <c r="BY106" i="28"/>
  <c r="BY89" i="28"/>
  <c r="BY91" i="28"/>
  <c r="BY103" i="28"/>
  <c r="BY90" i="28"/>
  <c r="BY36" i="28"/>
  <c r="BY115" i="28"/>
  <c r="BY112" i="28"/>
  <c r="BY54" i="28"/>
  <c r="BY25" i="28"/>
  <c r="BY79" i="28"/>
  <c r="BY110" i="28"/>
  <c r="BY105" i="28"/>
  <c r="BY51" i="28"/>
  <c r="BY88" i="28"/>
  <c r="BY76" i="28"/>
  <c r="BY74" i="28"/>
  <c r="BY99" i="28"/>
  <c r="BY60" i="28"/>
  <c r="BY94" i="28"/>
  <c r="BY93" i="28"/>
  <c r="BY40" i="28"/>
  <c r="BY49" i="28"/>
  <c r="BY71" i="28"/>
  <c r="BY83" i="28"/>
  <c r="BY44" i="28"/>
  <c r="BY85" i="28"/>
  <c r="BY109" i="28"/>
  <c r="BY78" i="28"/>
  <c r="BY57" i="28"/>
  <c r="BY46" i="28"/>
  <c r="BY104" i="28"/>
  <c r="BY130" i="28"/>
  <c r="BY72" i="28"/>
  <c r="BY102" i="28"/>
  <c r="BY86" i="28"/>
  <c r="BY61" i="28"/>
  <c r="BY39" i="28"/>
  <c r="BY68" i="28"/>
  <c r="BY116" i="28"/>
  <c r="BY84" i="28"/>
  <c r="BY101" i="28"/>
  <c r="BY65" i="28"/>
  <c r="BY87" i="28"/>
  <c r="BY37" i="28"/>
  <c r="BY77" i="28"/>
  <c r="BY70" i="28"/>
  <c r="BY117" i="28"/>
  <c r="BY41" i="28"/>
  <c r="BY42" i="28"/>
  <c r="BY111" i="28"/>
  <c r="BY56" i="28"/>
  <c r="BY33" i="28"/>
  <c r="BY75" i="28"/>
  <c r="BY69" i="28"/>
  <c r="BY58" i="28"/>
  <c r="BY92" i="28"/>
  <c r="BY55" i="28"/>
  <c r="BY100" i="28"/>
  <c r="BY50" i="28"/>
  <c r="BY62" i="28"/>
  <c r="BY45" i="28"/>
  <c r="BY53" i="28"/>
  <c r="BY113" i="28"/>
  <c r="BY73" i="28"/>
  <c r="BY108" i="28"/>
  <c r="G27" i="28" l="1"/>
  <c r="N27" i="28"/>
  <c r="M27" i="28"/>
  <c r="O27" i="28"/>
  <c r="H27" i="28"/>
  <c r="I27" i="28"/>
  <c r="J27" i="28"/>
  <c r="P27" i="28"/>
  <c r="Q27" i="28"/>
  <c r="R27" i="28"/>
  <c r="S27" i="28"/>
  <c r="T27" i="28"/>
  <c r="U27" i="28"/>
  <c r="V27" i="28"/>
  <c r="W27" i="28"/>
  <c r="X27" i="28"/>
  <c r="Y27" i="28"/>
  <c r="Z27" i="28"/>
  <c r="AA27" i="28"/>
  <c r="AB27" i="28"/>
  <c r="BY136" i="28"/>
  <c r="BZ83" i="28"/>
  <c r="AA83" i="28" s="1"/>
  <c r="BZ32" i="28"/>
  <c r="V32" i="28" s="1"/>
  <c r="BZ108" i="28"/>
  <c r="T108" i="28" s="1"/>
  <c r="BZ106" i="28"/>
  <c r="V106" i="28" s="1"/>
  <c r="BZ88" i="28"/>
  <c r="T88" i="28" s="1"/>
  <c r="BZ72" i="28"/>
  <c r="AB72" i="28" s="1"/>
  <c r="BZ77" i="28"/>
  <c r="V77" i="28" s="1"/>
  <c r="BZ89" i="28"/>
  <c r="U89" i="28" s="1"/>
  <c r="BZ100" i="28"/>
  <c r="W100" i="28" s="1"/>
  <c r="BZ51" i="28"/>
  <c r="AA51" i="28" s="1"/>
  <c r="BZ57" i="28"/>
  <c r="BZ36" i="28"/>
  <c r="T36" i="28" s="1"/>
  <c r="BZ40" i="28"/>
  <c r="BZ39" i="28"/>
  <c r="V39" i="28" s="1"/>
  <c r="BZ85" i="28"/>
  <c r="AB85" i="28" s="1"/>
  <c r="BZ71" i="28"/>
  <c r="V71" i="28" s="1"/>
  <c r="BZ97" i="28"/>
  <c r="T97" i="28" s="1"/>
  <c r="BZ78" i="28"/>
  <c r="J78" i="28" s="1"/>
  <c r="BZ110" i="28"/>
  <c r="U110" i="28" s="1"/>
  <c r="BZ116" i="28"/>
  <c r="X116" i="28" s="1"/>
  <c r="BZ117" i="28"/>
  <c r="W117" i="28" s="1"/>
  <c r="BZ56" i="28"/>
  <c r="AA56" i="28" s="1"/>
  <c r="BZ115" i="28"/>
  <c r="AB115" i="28" s="1"/>
  <c r="BZ44" i="28"/>
  <c r="Z44" i="28" s="1"/>
  <c r="BZ37" i="28"/>
  <c r="AA37" i="28" s="1"/>
  <c r="BZ61" i="28"/>
  <c r="X61" i="28" s="1"/>
  <c r="BZ94" i="28"/>
  <c r="X94" i="28" s="1"/>
  <c r="BZ46" i="28"/>
  <c r="U46" i="28" s="1"/>
  <c r="BZ34" i="28"/>
  <c r="X34" i="28" s="1"/>
  <c r="BZ59" i="28"/>
  <c r="Y59" i="28" s="1"/>
  <c r="BZ107" i="28"/>
  <c r="AA107" i="28" s="1"/>
  <c r="BZ104" i="28"/>
  <c r="Y104" i="28" s="1"/>
  <c r="BZ76" i="28"/>
  <c r="AA76" i="28" s="1"/>
  <c r="BZ103" i="28"/>
  <c r="V103" i="28" s="1"/>
  <c r="BZ42" i="28"/>
  <c r="X42" i="28" s="1"/>
  <c r="BZ75" i="28"/>
  <c r="X75" i="28" s="1"/>
  <c r="BZ79" i="28"/>
  <c r="V79" i="28" s="1"/>
  <c r="BZ84" i="28"/>
  <c r="W84" i="28" s="1"/>
  <c r="BZ38" i="28"/>
  <c r="BZ45" i="28"/>
  <c r="Z45" i="28" s="1"/>
  <c r="BZ53" i="28"/>
  <c r="V53" i="28" s="1"/>
  <c r="BZ52" i="28"/>
  <c r="AB52" i="28" s="1"/>
  <c r="BZ101" i="28"/>
  <c r="Z101" i="28" s="1"/>
  <c r="BZ58" i="28"/>
  <c r="Z58" i="28" s="1"/>
  <c r="BZ109" i="28"/>
  <c r="Y109" i="28" s="1"/>
  <c r="BZ55" i="28"/>
  <c r="U55" i="28" s="1"/>
  <c r="BZ87" i="28"/>
  <c r="T87" i="28" s="1"/>
  <c r="BZ50" i="28"/>
  <c r="W50" i="28" s="1"/>
  <c r="BZ69" i="28"/>
  <c r="W69" i="28" s="1"/>
  <c r="BZ43" i="28"/>
  <c r="X43" i="28" s="1"/>
  <c r="BZ102" i="28"/>
  <c r="J102" i="28" s="1"/>
  <c r="BZ96" i="28"/>
  <c r="AB96" i="28" s="1"/>
  <c r="BZ70" i="28"/>
  <c r="Y70" i="28" s="1"/>
  <c r="BZ48" i="28"/>
  <c r="X48" i="28" s="1"/>
  <c r="BZ35" i="28"/>
  <c r="W35" i="28" s="1"/>
  <c r="BZ105" i="28"/>
  <c r="U105" i="28" s="1"/>
  <c r="BZ90" i="28"/>
  <c r="Y90" i="28" s="1"/>
  <c r="BZ60" i="28"/>
  <c r="Z60" i="28" s="1"/>
  <c r="BZ73" i="28"/>
  <c r="Z73" i="28" s="1"/>
  <c r="BZ62" i="28"/>
  <c r="T62" i="28" s="1"/>
  <c r="BZ91" i="28"/>
  <c r="AB91" i="28" s="1"/>
  <c r="BZ98" i="28"/>
  <c r="T98" i="28" s="1"/>
  <c r="BZ25" i="28"/>
  <c r="Z25" i="28" s="1"/>
  <c r="BZ93" i="28"/>
  <c r="U93" i="28" s="1"/>
  <c r="BZ63" i="28"/>
  <c r="X63" i="28" s="1"/>
  <c r="BZ54" i="28"/>
  <c r="Y54" i="28" s="1"/>
  <c r="BZ33" i="28"/>
  <c r="U33" i="28" s="1"/>
  <c r="BZ47" i="28"/>
  <c r="BZ99" i="28"/>
  <c r="T99" i="28" s="1"/>
  <c r="BZ111" i="28"/>
  <c r="AA111" i="28" s="1"/>
  <c r="BZ113" i="28"/>
  <c r="Z113" i="28" s="1"/>
  <c r="BZ41" i="28"/>
  <c r="Z41" i="28" s="1"/>
  <c r="BZ114" i="28"/>
  <c r="Z114" i="28" s="1"/>
  <c r="BZ64" i="28"/>
  <c r="AA64" i="28" s="1"/>
  <c r="BZ65" i="28"/>
  <c r="X65" i="28" s="1"/>
  <c r="BZ68" i="28"/>
  <c r="P68" i="28" s="1"/>
  <c r="BZ112" i="28"/>
  <c r="W112" i="28" s="1"/>
  <c r="BZ92" i="28"/>
  <c r="AA92" i="28" s="1"/>
  <c r="BZ86" i="28"/>
  <c r="W86" i="28" s="1"/>
  <c r="BZ74" i="28"/>
  <c r="T74" i="28" s="1"/>
  <c r="BZ95" i="28"/>
  <c r="X95" i="28" s="1"/>
  <c r="BZ49" i="28"/>
  <c r="AA49" i="28" s="1"/>
  <c r="E120" i="28" a="1"/>
  <c r="E120" i="28" s="1"/>
  <c r="E128" i="28" a="1"/>
  <c r="E128" i="28" s="1"/>
  <c r="BZ128" i="28" s="1"/>
  <c r="E121" i="28" a="1"/>
  <c r="E121" i="28" s="1"/>
  <c r="E123" i="28" a="1"/>
  <c r="E123" i="28" s="1"/>
  <c r="BZ123" i="28" s="1"/>
  <c r="E127" i="28" a="1"/>
  <c r="E127" i="28" s="1"/>
  <c r="E119" i="28" a="1"/>
  <c r="E119" i="28" s="1"/>
  <c r="E126" i="28" a="1"/>
  <c r="E126" i="28" s="1"/>
  <c r="E129" i="28" a="1"/>
  <c r="E129" i="28" s="1"/>
  <c r="BY129" i="28" s="1"/>
  <c r="E66" i="28" a="1"/>
  <c r="E66" i="28" s="1"/>
  <c r="BZ66" i="28" s="1"/>
  <c r="E118" i="28" a="1"/>
  <c r="E118" i="28" s="1"/>
  <c r="BZ118" i="28" s="1"/>
  <c r="E122" i="28" a="1"/>
  <c r="E122" i="28" s="1"/>
  <c r="E124" i="28" a="1"/>
  <c r="E124" i="28" s="1"/>
  <c r="BZ124" i="28" s="1"/>
  <c r="E125" i="28" a="1"/>
  <c r="E125" i="28" s="1"/>
  <c r="BZ125" i="28" s="1"/>
  <c r="AA136" i="28"/>
  <c r="J95" i="28"/>
  <c r="I93" i="28"/>
  <c r="G106" i="28"/>
  <c r="I91" i="28"/>
  <c r="I33" i="28"/>
  <c r="J87" i="28"/>
  <c r="I34" i="28"/>
  <c r="I107" i="28"/>
  <c r="I55" i="28"/>
  <c r="O136" i="28"/>
  <c r="T137" i="28"/>
  <c r="G56" i="28"/>
  <c r="G59" i="28"/>
  <c r="I51" i="28"/>
  <c r="G62" i="28"/>
  <c r="I76" i="28"/>
  <c r="I77" i="28"/>
  <c r="U137" i="28"/>
  <c r="I58" i="28"/>
  <c r="I44" i="28"/>
  <c r="G38" i="28"/>
  <c r="I69" i="28"/>
  <c r="M137" i="28"/>
  <c r="I61" i="28"/>
  <c r="I90" i="28"/>
  <c r="I111" i="28"/>
  <c r="I136" i="28"/>
  <c r="X135" i="28"/>
  <c r="I52" i="28"/>
  <c r="M136" i="28"/>
  <c r="G39" i="28"/>
  <c r="I109" i="28"/>
  <c r="G49" i="28"/>
  <c r="G50" i="28"/>
  <c r="I125" i="28"/>
  <c r="I102" i="28"/>
  <c r="I36" i="28"/>
  <c r="I123" i="28"/>
  <c r="AA117" i="28"/>
  <c r="G25" i="28"/>
  <c r="U135" i="28"/>
  <c r="I124" i="28"/>
  <c r="I42" i="28"/>
  <c r="I70" i="28"/>
  <c r="I64" i="28"/>
  <c r="G47" i="28"/>
  <c r="I114" i="28"/>
  <c r="I116" i="28"/>
  <c r="G75" i="28"/>
  <c r="I117" i="28"/>
  <c r="I106" i="28"/>
  <c r="I50" i="28"/>
  <c r="G96" i="28"/>
  <c r="I113" i="28"/>
  <c r="I43" i="28"/>
  <c r="G68" i="28"/>
  <c r="I48" i="28"/>
  <c r="I41" i="28"/>
  <c r="I100" i="28"/>
  <c r="G97" i="28"/>
  <c r="I59" i="28"/>
  <c r="I32" i="28"/>
  <c r="T136" i="28"/>
  <c r="I97" i="28"/>
  <c r="I65" i="28"/>
  <c r="I130" i="28"/>
  <c r="I73" i="28"/>
  <c r="I38" i="28"/>
  <c r="G114" i="28"/>
  <c r="U136" i="28"/>
  <c r="X136" i="28"/>
  <c r="G103" i="28"/>
  <c r="I119" i="28"/>
  <c r="I95" i="28"/>
  <c r="G95" i="28"/>
  <c r="I99" i="28"/>
  <c r="G102" i="28"/>
  <c r="V135" i="28"/>
  <c r="I47" i="28"/>
  <c r="G32" i="28"/>
  <c r="I98" i="28"/>
  <c r="G122" i="28"/>
  <c r="I88" i="28"/>
  <c r="V136" i="28"/>
  <c r="G124" i="28"/>
  <c r="N136" i="28"/>
  <c r="I135" i="28"/>
  <c r="I110" i="28"/>
  <c r="G91" i="28"/>
  <c r="I103" i="28"/>
  <c r="V137" i="28"/>
  <c r="I104" i="28"/>
  <c r="I60" i="28"/>
  <c r="I62" i="28"/>
  <c r="Z108" i="28"/>
  <c r="I63" i="28"/>
  <c r="G57" i="28"/>
  <c r="G79" i="28"/>
  <c r="R137" i="28"/>
  <c r="I108" i="28"/>
  <c r="I72" i="28"/>
  <c r="I96" i="28"/>
  <c r="I127" i="28"/>
  <c r="I94" i="28"/>
  <c r="I83" i="28"/>
  <c r="I54" i="28"/>
  <c r="G35" i="28"/>
  <c r="G73" i="28"/>
  <c r="G72" i="28"/>
  <c r="G74" i="28"/>
  <c r="G43" i="28"/>
  <c r="O137" i="28"/>
  <c r="G55" i="28"/>
  <c r="I85" i="28"/>
  <c r="Y136" i="28"/>
  <c r="I105" i="28"/>
  <c r="I128" i="28"/>
  <c r="I86" i="28"/>
  <c r="I112" i="28"/>
  <c r="Y86" i="28"/>
  <c r="I45" i="28"/>
  <c r="I35" i="28"/>
  <c r="G60" i="28"/>
  <c r="G94" i="28"/>
  <c r="I129" i="28"/>
  <c r="G66" i="28"/>
  <c r="AB86" i="28"/>
  <c r="I78" i="28"/>
  <c r="G78" i="28"/>
  <c r="I115" i="28"/>
  <c r="G36" i="28"/>
  <c r="G109" i="28"/>
  <c r="Q136" i="28"/>
  <c r="G125" i="28"/>
  <c r="I75" i="28"/>
  <c r="G107" i="28"/>
  <c r="G110" i="28"/>
  <c r="G92" i="28"/>
  <c r="G93" i="28"/>
  <c r="I92" i="28"/>
  <c r="W136" i="28"/>
  <c r="G85" i="28"/>
  <c r="G90" i="28"/>
  <c r="G42" i="28"/>
  <c r="I87" i="28"/>
  <c r="G48" i="28"/>
  <c r="G46" i="28"/>
  <c r="G83" i="28"/>
  <c r="I68" i="28"/>
  <c r="G115" i="28"/>
  <c r="G108" i="28"/>
  <c r="G34" i="28"/>
  <c r="W96" i="28"/>
  <c r="G51" i="28"/>
  <c r="G70" i="28"/>
  <c r="P136" i="28"/>
  <c r="I79" i="28"/>
  <c r="G100" i="28"/>
  <c r="G119" i="28"/>
  <c r="G101" i="28"/>
  <c r="G99" i="28"/>
  <c r="G45" i="28"/>
  <c r="G128" i="28"/>
  <c r="G67" i="28"/>
  <c r="G98" i="28"/>
  <c r="G69" i="28"/>
  <c r="G87" i="28"/>
  <c r="N137" i="28"/>
  <c r="I37" i="28"/>
  <c r="G121" i="28"/>
  <c r="G52" i="28"/>
  <c r="G117" i="28"/>
  <c r="I49" i="28"/>
  <c r="G123" i="28"/>
  <c r="I122" i="28"/>
  <c r="I71" i="28"/>
  <c r="G61" i="28"/>
  <c r="G40" i="28"/>
  <c r="G113" i="28"/>
  <c r="X109" i="28"/>
  <c r="G64" i="28"/>
  <c r="I57" i="28"/>
  <c r="W135" i="28"/>
  <c r="G54" i="28"/>
  <c r="W137" i="28"/>
  <c r="G77" i="28"/>
  <c r="G89" i="28"/>
  <c r="G126" i="28"/>
  <c r="G129" i="28"/>
  <c r="G127" i="28"/>
  <c r="G120" i="28"/>
  <c r="I89" i="28"/>
  <c r="G65" i="28"/>
  <c r="G71" i="28"/>
  <c r="G116" i="28"/>
  <c r="G130" i="28"/>
  <c r="G58" i="28"/>
  <c r="G44" i="28"/>
  <c r="Z136" i="28"/>
  <c r="I46" i="28"/>
  <c r="G105" i="28"/>
  <c r="G136" i="28"/>
  <c r="G88" i="28"/>
  <c r="G86" i="28"/>
  <c r="G63" i="28"/>
  <c r="X87" i="28"/>
  <c r="G118" i="28"/>
  <c r="G104" i="28"/>
  <c r="I40" i="28"/>
  <c r="G84" i="28"/>
  <c r="G41" i="28"/>
  <c r="G33" i="28"/>
  <c r="G76" i="28"/>
  <c r="I121" i="28"/>
  <c r="AA116" i="28"/>
  <c r="I126" i="28"/>
  <c r="G112" i="28"/>
  <c r="G37" i="28"/>
  <c r="G53" i="28"/>
  <c r="Y110" i="28"/>
  <c r="I120" i="28"/>
  <c r="I101" i="28"/>
  <c r="I56" i="28"/>
  <c r="I84" i="28"/>
  <c r="I74" i="28"/>
  <c r="I53" i="28"/>
  <c r="Y116" i="28"/>
  <c r="G111" i="28"/>
  <c r="I39" i="28"/>
  <c r="P137" i="28"/>
  <c r="G137" i="28"/>
  <c r="Q137" i="28"/>
  <c r="AB117" i="28" l="1"/>
  <c r="Y88" i="28"/>
  <c r="X99" i="28"/>
  <c r="Y83" i="28"/>
  <c r="X88" i="28"/>
  <c r="U70" i="28"/>
  <c r="V88" i="28"/>
  <c r="AB108" i="28"/>
  <c r="W110" i="28"/>
  <c r="W83" i="28"/>
  <c r="AB110" i="28"/>
  <c r="W108" i="28"/>
  <c r="Z110" i="28"/>
  <c r="Y108" i="28"/>
  <c r="AA110" i="28"/>
  <c r="J93" i="28"/>
  <c r="J108" i="28"/>
  <c r="U103" i="28"/>
  <c r="AB103" i="28"/>
  <c r="AA103" i="28"/>
  <c r="AB102" i="28"/>
  <c r="J103" i="28"/>
  <c r="Z103" i="28"/>
  <c r="W103" i="28"/>
  <c r="Y103" i="28"/>
  <c r="T103" i="28"/>
  <c r="X103" i="28"/>
  <c r="X86" i="28"/>
  <c r="T86" i="28"/>
  <c r="W87" i="28"/>
  <c r="AA86" i="28"/>
  <c r="U95" i="28"/>
  <c r="T95" i="28"/>
  <c r="Y87" i="28"/>
  <c r="AB93" i="28"/>
  <c r="AB95" i="28"/>
  <c r="Z86" i="28"/>
  <c r="Y97" i="28"/>
  <c r="J86" i="28"/>
  <c r="U86" i="28"/>
  <c r="AA87" i="28"/>
  <c r="AA25" i="28"/>
  <c r="Z76" i="28"/>
  <c r="V63" i="28"/>
  <c r="W43" i="28"/>
  <c r="X74" i="28"/>
  <c r="W49" i="28"/>
  <c r="Z78" i="28"/>
  <c r="AA43" i="28"/>
  <c r="U43" i="28"/>
  <c r="U32" i="28"/>
  <c r="J63" i="28"/>
  <c r="T78" i="28"/>
  <c r="V78" i="28"/>
  <c r="AB32" i="28"/>
  <c r="AA32" i="28"/>
  <c r="W63" i="28"/>
  <c r="X32" i="28"/>
  <c r="Y43" i="28"/>
  <c r="Z49" i="28"/>
  <c r="X78" i="28"/>
  <c r="W32" i="28"/>
  <c r="J49" i="28"/>
  <c r="Y69" i="28"/>
  <c r="AB43" i="28"/>
  <c r="Y74" i="28"/>
  <c r="AB78" i="28"/>
  <c r="T43" i="28"/>
  <c r="Z63" i="28"/>
  <c r="T32" i="28"/>
  <c r="Z32" i="28"/>
  <c r="J32" i="28"/>
  <c r="W78" i="28"/>
  <c r="V43" i="28"/>
  <c r="V69" i="28"/>
  <c r="Y32" i="28"/>
  <c r="T42" i="28"/>
  <c r="U49" i="28"/>
  <c r="V49" i="28"/>
  <c r="Y63" i="28"/>
  <c r="Z43" i="28"/>
  <c r="AB49" i="28"/>
  <c r="Y78" i="28"/>
  <c r="AA78" i="28"/>
  <c r="U78" i="28"/>
  <c r="AA63" i="28"/>
  <c r="Z69" i="28"/>
  <c r="Y42" i="28"/>
  <c r="AA93" i="28"/>
  <c r="V108" i="28"/>
  <c r="AA108" i="28"/>
  <c r="AA95" i="28"/>
  <c r="Z95" i="28"/>
  <c r="V110" i="28"/>
  <c r="U63" i="28"/>
  <c r="V95" i="28"/>
  <c r="X97" i="28"/>
  <c r="AA42" i="28"/>
  <c r="U50" i="28"/>
  <c r="V83" i="28"/>
  <c r="AB69" i="28"/>
  <c r="U69" i="28"/>
  <c r="Y71" i="28"/>
  <c r="V50" i="28"/>
  <c r="U83" i="28"/>
  <c r="T63" i="28"/>
  <c r="X108" i="28"/>
  <c r="W42" i="28"/>
  <c r="AB71" i="28"/>
  <c r="X69" i="28"/>
  <c r="X93" i="28"/>
  <c r="W95" i="28"/>
  <c r="T69" i="28"/>
  <c r="U108" i="28"/>
  <c r="X110" i="28"/>
  <c r="X71" i="28"/>
  <c r="V102" i="28"/>
  <c r="AA69" i="28"/>
  <c r="V42" i="28"/>
  <c r="Y95" i="28"/>
  <c r="AB42" i="28"/>
  <c r="J69" i="28"/>
  <c r="Z83" i="28"/>
  <c r="T50" i="28"/>
  <c r="J42" i="28"/>
  <c r="W74" i="28"/>
  <c r="AB63" i="28"/>
  <c r="U97" i="28"/>
  <c r="W97" i="28"/>
  <c r="J110" i="28"/>
  <c r="U102" i="28"/>
  <c r="T110" i="28"/>
  <c r="V75" i="28"/>
  <c r="AB56" i="28"/>
  <c r="T56" i="28"/>
  <c r="U56" i="28"/>
  <c r="W99" i="28"/>
  <c r="U115" i="28"/>
  <c r="AA115" i="28"/>
  <c r="T89" i="28"/>
  <c r="U74" i="28"/>
  <c r="X106" i="28"/>
  <c r="W102" i="28"/>
  <c r="AA102" i="28"/>
  <c r="T33" i="28"/>
  <c r="Y102" i="28"/>
  <c r="Z106" i="28"/>
  <c r="W116" i="28"/>
  <c r="U106" i="28"/>
  <c r="AA33" i="28"/>
  <c r="Z116" i="28"/>
  <c r="Y50" i="28"/>
  <c r="AA106" i="28"/>
  <c r="Z102" i="28"/>
  <c r="Y106" i="28"/>
  <c r="AB33" i="28"/>
  <c r="W33" i="28"/>
  <c r="X102" i="28"/>
  <c r="U84" i="28"/>
  <c r="V70" i="28"/>
  <c r="X76" i="28"/>
  <c r="AB83" i="28"/>
  <c r="J83" i="28"/>
  <c r="Z87" i="28"/>
  <c r="Z74" i="28"/>
  <c r="AB50" i="28"/>
  <c r="AA50" i="28"/>
  <c r="J43" i="28"/>
  <c r="J71" i="28"/>
  <c r="Z50" i="28"/>
  <c r="X104" i="28"/>
  <c r="W71" i="28"/>
  <c r="Z71" i="28"/>
  <c r="V93" i="28"/>
  <c r="V86" i="28"/>
  <c r="T49" i="28"/>
  <c r="V104" i="28"/>
  <c r="U87" i="28"/>
  <c r="AB74" i="28"/>
  <c r="AB97" i="28"/>
  <c r="Z56" i="28"/>
  <c r="J76" i="28"/>
  <c r="X50" i="28"/>
  <c r="AB104" i="28"/>
  <c r="Z97" i="28"/>
  <c r="AA74" i="28"/>
  <c r="U79" i="28"/>
  <c r="J50" i="28"/>
  <c r="AB87" i="28"/>
  <c r="J97" i="28"/>
  <c r="AA97" i="28"/>
  <c r="U72" i="28"/>
  <c r="U42" i="28"/>
  <c r="J25" i="28"/>
  <c r="U76" i="28"/>
  <c r="J104" i="28"/>
  <c r="Z93" i="28"/>
  <c r="Y99" i="28"/>
  <c r="AB76" i="28"/>
  <c r="V97" i="28"/>
  <c r="J115" i="28"/>
  <c r="X49" i="28"/>
  <c r="AA104" i="28"/>
  <c r="Y93" i="28"/>
  <c r="U104" i="28"/>
  <c r="W76" i="28"/>
  <c r="T93" i="28"/>
  <c r="AA79" i="28"/>
  <c r="X83" i="28"/>
  <c r="U71" i="28"/>
  <c r="Z104" i="28"/>
  <c r="J74" i="28"/>
  <c r="W104" i="28"/>
  <c r="AB25" i="28"/>
  <c r="X54" i="28"/>
  <c r="AB84" i="28"/>
  <c r="V87" i="28"/>
  <c r="AA71" i="28"/>
  <c r="V74" i="28"/>
  <c r="W93" i="28"/>
  <c r="V76" i="28"/>
  <c r="V72" i="28"/>
  <c r="Y76" i="28"/>
  <c r="Y25" i="28"/>
  <c r="V56" i="28"/>
  <c r="T115" i="28"/>
  <c r="Z42" i="28"/>
  <c r="V90" i="28"/>
  <c r="T51" i="28"/>
  <c r="Z33" i="28"/>
  <c r="V89" i="28"/>
  <c r="Y89" i="28"/>
  <c r="X89" i="28"/>
  <c r="J113" i="28"/>
  <c r="Y113" i="28"/>
  <c r="U113" i="28"/>
  <c r="Q113" i="28"/>
  <c r="AA113" i="28"/>
  <c r="W89" i="28"/>
  <c r="Z89" i="28"/>
  <c r="AB89" i="28"/>
  <c r="J89" i="28"/>
  <c r="V113" i="28"/>
  <c r="AB113" i="28"/>
  <c r="AA89" i="28"/>
  <c r="X113" i="28"/>
  <c r="W113" i="28"/>
  <c r="Z72" i="28"/>
  <c r="Y56" i="28"/>
  <c r="U117" i="28"/>
  <c r="V117" i="28"/>
  <c r="U111" i="28"/>
  <c r="Z115" i="28"/>
  <c r="J88" i="28"/>
  <c r="V33" i="28"/>
  <c r="X56" i="28"/>
  <c r="AB106" i="28"/>
  <c r="X115" i="28"/>
  <c r="J33" i="28"/>
  <c r="Y33" i="28"/>
  <c r="Y79" i="28"/>
  <c r="J84" i="28"/>
  <c r="X111" i="28"/>
  <c r="J70" i="28"/>
  <c r="Y117" i="28"/>
  <c r="Y96" i="28"/>
  <c r="X77" i="28"/>
  <c r="Z111" i="28"/>
  <c r="AA75" i="28"/>
  <c r="W72" i="28"/>
  <c r="X33" i="28"/>
  <c r="J116" i="28"/>
  <c r="AA100" i="28"/>
  <c r="J106" i="28"/>
  <c r="T111" i="28"/>
  <c r="V115" i="28"/>
  <c r="AA99" i="28"/>
  <c r="M117" i="28"/>
  <c r="T102" i="28"/>
  <c r="T116" i="28"/>
  <c r="Z99" i="28"/>
  <c r="T96" i="28"/>
  <c r="Y84" i="28"/>
  <c r="U116" i="28"/>
  <c r="W88" i="28"/>
  <c r="V96" i="28"/>
  <c r="AB116" i="28"/>
  <c r="AA88" i="28"/>
  <c r="AB111" i="28"/>
  <c r="V84" i="28"/>
  <c r="Z88" i="28"/>
  <c r="T84" i="28"/>
  <c r="J99" i="28"/>
  <c r="W56" i="28"/>
  <c r="V99" i="28"/>
  <c r="Z70" i="28"/>
  <c r="W106" i="28"/>
  <c r="AB70" i="28"/>
  <c r="J72" i="28"/>
  <c r="X72" i="28"/>
  <c r="Y75" i="28"/>
  <c r="J75" i="28"/>
  <c r="J111" i="28"/>
  <c r="X70" i="28"/>
  <c r="AA72" i="28"/>
  <c r="Y77" i="28"/>
  <c r="AB88" i="28"/>
  <c r="V116" i="28"/>
  <c r="Y115" i="28"/>
  <c r="M88" i="28"/>
  <c r="AB105" i="28"/>
  <c r="U99" i="28"/>
  <c r="AB99" i="28"/>
  <c r="X117" i="28"/>
  <c r="V111" i="28"/>
  <c r="Y111" i="28"/>
  <c r="Y72" i="28"/>
  <c r="W70" i="28"/>
  <c r="AA70" i="28"/>
  <c r="Z117" i="28"/>
  <c r="J117" i="28"/>
  <c r="AA84" i="28"/>
  <c r="T77" i="28"/>
  <c r="U88" i="28"/>
  <c r="X84" i="28"/>
  <c r="Z84" i="28"/>
  <c r="J56" i="28"/>
  <c r="Y49" i="28"/>
  <c r="W115" i="28"/>
  <c r="AB77" i="28"/>
  <c r="Z77" i="28"/>
  <c r="U77" i="28"/>
  <c r="AA77" i="28"/>
  <c r="W77" i="28"/>
  <c r="J77" i="28"/>
  <c r="J44" i="28"/>
  <c r="AB35" i="28"/>
  <c r="U44" i="28"/>
  <c r="V35" i="28"/>
  <c r="AB44" i="28"/>
  <c r="AA44" i="28"/>
  <c r="T35" i="28"/>
  <c r="V44" i="28"/>
  <c r="U35" i="28"/>
  <c r="X44" i="28"/>
  <c r="Y35" i="28"/>
  <c r="X35" i="28"/>
  <c r="J35" i="28"/>
  <c r="Z35" i="28"/>
  <c r="Y44" i="28"/>
  <c r="AB45" i="28"/>
  <c r="T44" i="28"/>
  <c r="AA35" i="28"/>
  <c r="W44" i="28"/>
  <c r="Z105" i="28"/>
  <c r="Z100" i="28"/>
  <c r="J100" i="28"/>
  <c r="Y100" i="28"/>
  <c r="W45" i="28"/>
  <c r="J105" i="28"/>
  <c r="V100" i="28"/>
  <c r="U100" i="28"/>
  <c r="Y105" i="28"/>
  <c r="T100" i="28"/>
  <c r="AA105" i="28"/>
  <c r="AB100" i="28"/>
  <c r="T105" i="28"/>
  <c r="X105" i="28"/>
  <c r="X100" i="28"/>
  <c r="V105" i="28"/>
  <c r="W105" i="28"/>
  <c r="J64" i="28"/>
  <c r="J90" i="28"/>
  <c r="W90" i="28"/>
  <c r="J114" i="28"/>
  <c r="U90" i="28"/>
  <c r="U53" i="28"/>
  <c r="W114" i="28"/>
  <c r="U114" i="28"/>
  <c r="U61" i="28"/>
  <c r="X90" i="28"/>
  <c r="T114" i="28"/>
  <c r="AA114" i="28"/>
  <c r="X114" i="28"/>
  <c r="Y114" i="28"/>
  <c r="AB90" i="28"/>
  <c r="AA90" i="28"/>
  <c r="AB114" i="28"/>
  <c r="T90" i="28"/>
  <c r="Z90" i="28"/>
  <c r="V114" i="28"/>
  <c r="W64" i="28"/>
  <c r="W52" i="28"/>
  <c r="AB60" i="28"/>
  <c r="Z39" i="28"/>
  <c r="AB39" i="28"/>
  <c r="AB51" i="28"/>
  <c r="V51" i="28"/>
  <c r="V45" i="28"/>
  <c r="J51" i="28"/>
  <c r="U45" i="28"/>
  <c r="X41" i="28"/>
  <c r="X64" i="28"/>
  <c r="Y64" i="28"/>
  <c r="T61" i="28"/>
  <c r="W51" i="28"/>
  <c r="V41" i="28"/>
  <c r="Y61" i="28"/>
  <c r="J60" i="28"/>
  <c r="AB64" i="28"/>
  <c r="AA41" i="28"/>
  <c r="AB61" i="28"/>
  <c r="V64" i="28"/>
  <c r="Y60" i="28"/>
  <c r="X53" i="28"/>
  <c r="Y45" i="28"/>
  <c r="J61" i="28"/>
  <c r="P45" i="28"/>
  <c r="U60" i="28"/>
  <c r="Y51" i="28"/>
  <c r="AA52" i="28"/>
  <c r="T41" i="28"/>
  <c r="Z51" i="28"/>
  <c r="X60" i="28"/>
  <c r="V37" i="28"/>
  <c r="W53" i="28"/>
  <c r="Z53" i="28"/>
  <c r="T60" i="28"/>
  <c r="Y52" i="28"/>
  <c r="W60" i="28"/>
  <c r="U64" i="28"/>
  <c r="V60" i="28"/>
  <c r="T64" i="28"/>
  <c r="AB53" i="28"/>
  <c r="J45" i="28"/>
  <c r="X45" i="28"/>
  <c r="AA60" i="28"/>
  <c r="X52" i="28"/>
  <c r="AA53" i="28"/>
  <c r="U51" i="28"/>
  <c r="Z52" i="28"/>
  <c r="J53" i="28"/>
  <c r="W61" i="28"/>
  <c r="Z64" i="28"/>
  <c r="J52" i="28"/>
  <c r="J41" i="28"/>
  <c r="X51" i="28"/>
  <c r="V52" i="28"/>
  <c r="U52" i="28"/>
  <c r="AA45" i="28"/>
  <c r="W75" i="28"/>
  <c r="AB75" i="28"/>
  <c r="U75" i="28"/>
  <c r="T75" i="28"/>
  <c r="Z75" i="28"/>
  <c r="W41" i="28"/>
  <c r="Y53" i="28"/>
  <c r="AB101" i="28"/>
  <c r="J65" i="28"/>
  <c r="W46" i="28"/>
  <c r="W65" i="28"/>
  <c r="V36" i="28"/>
  <c r="V101" i="28"/>
  <c r="X101" i="28"/>
  <c r="AA61" i="28"/>
  <c r="T45" i="28"/>
  <c r="Z61" i="28"/>
  <c r="V61" i="28"/>
  <c r="U41" i="28"/>
  <c r="AB41" i="28"/>
  <c r="Y39" i="28"/>
  <c r="Z59" i="28"/>
  <c r="AA109" i="28"/>
  <c r="J112" i="28"/>
  <c r="J59" i="28"/>
  <c r="V59" i="28"/>
  <c r="V91" i="28"/>
  <c r="X112" i="28"/>
  <c r="J91" i="28"/>
  <c r="U91" i="28"/>
  <c r="V112" i="28"/>
  <c r="Z91" i="28"/>
  <c r="Z109" i="28"/>
  <c r="Z112" i="28"/>
  <c r="W91" i="28"/>
  <c r="AB109" i="28"/>
  <c r="W39" i="28"/>
  <c r="T59" i="28"/>
  <c r="J109" i="28"/>
  <c r="U109" i="28"/>
  <c r="AA39" i="28"/>
  <c r="X59" i="28"/>
  <c r="J39" i="28"/>
  <c r="AB112" i="28"/>
  <c r="X91" i="28"/>
  <c r="U112" i="28"/>
  <c r="U39" i="28"/>
  <c r="W109" i="28"/>
  <c r="U59" i="28"/>
  <c r="Y91" i="28"/>
  <c r="T112" i="28"/>
  <c r="AB59" i="28"/>
  <c r="X39" i="28"/>
  <c r="AA91" i="28"/>
  <c r="AA112" i="28"/>
  <c r="W59" i="28"/>
  <c r="Y112" i="28"/>
  <c r="AA59" i="28"/>
  <c r="V109" i="28"/>
  <c r="V92" i="28"/>
  <c r="AA98" i="28"/>
  <c r="X98" i="28"/>
  <c r="AB58" i="28"/>
  <c r="Z92" i="28"/>
  <c r="T107" i="28"/>
  <c r="X107" i="28"/>
  <c r="W85" i="28"/>
  <c r="W98" i="28"/>
  <c r="Y41" i="28"/>
  <c r="Y107" i="28"/>
  <c r="Z98" i="28"/>
  <c r="W107" i="28"/>
  <c r="J85" i="28"/>
  <c r="Y85" i="28"/>
  <c r="V107" i="28"/>
  <c r="T92" i="28"/>
  <c r="U85" i="28"/>
  <c r="W55" i="28"/>
  <c r="X55" i="28"/>
  <c r="AB55" i="28"/>
  <c r="V55" i="28"/>
  <c r="U92" i="28"/>
  <c r="X92" i="28"/>
  <c r="Z85" i="28"/>
  <c r="AA55" i="28"/>
  <c r="Y92" i="28"/>
  <c r="AA85" i="28"/>
  <c r="Y55" i="28"/>
  <c r="J92" i="28"/>
  <c r="U107" i="28"/>
  <c r="N92" i="28"/>
  <c r="V98" i="28"/>
  <c r="AB98" i="28"/>
  <c r="U98" i="28"/>
  <c r="Z107" i="28"/>
  <c r="J107" i="28"/>
  <c r="Z55" i="28"/>
  <c r="AB92" i="28"/>
  <c r="N85" i="28"/>
  <c r="W92" i="28"/>
  <c r="T85" i="28"/>
  <c r="V85" i="28"/>
  <c r="J98" i="28"/>
  <c r="X85" i="28"/>
  <c r="AB107" i="28"/>
  <c r="Y98" i="28"/>
  <c r="T55" i="28"/>
  <c r="J55" i="28"/>
  <c r="X73" i="28"/>
  <c r="U36" i="28"/>
  <c r="T68" i="28"/>
  <c r="J34" i="28"/>
  <c r="U58" i="28"/>
  <c r="U62" i="28"/>
  <c r="AA68" i="28"/>
  <c r="J73" i="28"/>
  <c r="Z36" i="28"/>
  <c r="AB36" i="28"/>
  <c r="U34" i="28"/>
  <c r="W58" i="28"/>
  <c r="U68" i="28"/>
  <c r="V62" i="28"/>
  <c r="X68" i="28"/>
  <c r="AA73" i="28"/>
  <c r="J62" i="28"/>
  <c r="Y62" i="28"/>
  <c r="V68" i="28"/>
  <c r="Y36" i="28"/>
  <c r="W36" i="28"/>
  <c r="AB65" i="28"/>
  <c r="V73" i="28"/>
  <c r="J101" i="28"/>
  <c r="W34" i="28"/>
  <c r="AB34" i="28"/>
  <c r="X62" i="28"/>
  <c r="J36" i="28"/>
  <c r="AA62" i="28"/>
  <c r="W101" i="28"/>
  <c r="J58" i="28"/>
  <c r="T34" i="28"/>
  <c r="V65" i="28"/>
  <c r="V58" i="28"/>
  <c r="J68" i="28"/>
  <c r="AB73" i="28"/>
  <c r="X58" i="28"/>
  <c r="AB68" i="28"/>
  <c r="Z68" i="28"/>
  <c r="U101" i="28"/>
  <c r="V34" i="28"/>
  <c r="V46" i="28"/>
  <c r="T73" i="28"/>
  <c r="AA36" i="28"/>
  <c r="Y65" i="28"/>
  <c r="X36" i="28"/>
  <c r="AB62" i="28"/>
  <c r="Z65" i="28"/>
  <c r="AA65" i="28"/>
  <c r="U73" i="28"/>
  <c r="Y68" i="28"/>
  <c r="Z34" i="28"/>
  <c r="Y46" i="28"/>
  <c r="W62" i="28"/>
  <c r="Y101" i="28"/>
  <c r="U65" i="28"/>
  <c r="AA58" i="28"/>
  <c r="AA101" i="28"/>
  <c r="Y58" i="28"/>
  <c r="W68" i="28"/>
  <c r="X46" i="28"/>
  <c r="Y34" i="28"/>
  <c r="T58" i="28"/>
  <c r="AA34" i="28"/>
  <c r="AA46" i="28"/>
  <c r="AB46" i="28"/>
  <c r="Z46" i="28"/>
  <c r="T101" i="28"/>
  <c r="Z62" i="28"/>
  <c r="J46" i="28"/>
  <c r="Y73" i="28"/>
  <c r="W73" i="28"/>
  <c r="T46" i="28"/>
  <c r="H123" i="28"/>
  <c r="H128" i="28"/>
  <c r="H125" i="28"/>
  <c r="H124" i="28"/>
  <c r="R47" i="28"/>
  <c r="H47" i="28"/>
  <c r="P47" i="28"/>
  <c r="Q47" i="28"/>
  <c r="N47" i="28"/>
  <c r="M47" i="28"/>
  <c r="S47" i="28"/>
  <c r="O47" i="28"/>
  <c r="R48" i="28"/>
  <c r="O48" i="28"/>
  <c r="Q48" i="28"/>
  <c r="N48" i="28"/>
  <c r="H48" i="28"/>
  <c r="S48" i="28"/>
  <c r="M48" i="28"/>
  <c r="P48" i="28"/>
  <c r="R38" i="28"/>
  <c r="S38" i="28"/>
  <c r="H38" i="28"/>
  <c r="Q38" i="28"/>
  <c r="P38" i="28"/>
  <c r="M38" i="28"/>
  <c r="N38" i="28"/>
  <c r="O38" i="28"/>
  <c r="R94" i="28"/>
  <c r="M94" i="28"/>
  <c r="N94" i="28"/>
  <c r="O94" i="28"/>
  <c r="P94" i="28"/>
  <c r="S94" i="28"/>
  <c r="H94" i="28"/>
  <c r="Q94" i="28"/>
  <c r="R40" i="28"/>
  <c r="H40" i="28"/>
  <c r="M40" i="28"/>
  <c r="P40" i="28"/>
  <c r="N40" i="28"/>
  <c r="S40" i="28"/>
  <c r="O40" i="28"/>
  <c r="Q40" i="28"/>
  <c r="X37" i="28"/>
  <c r="AB79" i="28"/>
  <c r="X96" i="28"/>
  <c r="U38" i="28"/>
  <c r="V40" i="28"/>
  <c r="U54" i="28"/>
  <c r="BR122" i="28"/>
  <c r="BS122" i="28"/>
  <c r="BT122" i="28"/>
  <c r="BU122" i="28"/>
  <c r="BV122" i="28"/>
  <c r="BW122" i="28"/>
  <c r="BX122" i="28"/>
  <c r="BY122" i="28"/>
  <c r="S74" i="28"/>
  <c r="O74" i="28"/>
  <c r="R74" i="28"/>
  <c r="M74" i="28"/>
  <c r="N74" i="28"/>
  <c r="H74" i="28"/>
  <c r="Q74" i="28"/>
  <c r="P74" i="28"/>
  <c r="R33" i="28"/>
  <c r="P33" i="28"/>
  <c r="M33" i="28"/>
  <c r="H33" i="28"/>
  <c r="Q33" i="28"/>
  <c r="O33" i="28"/>
  <c r="S33" i="28"/>
  <c r="N33" i="28"/>
  <c r="S70" i="28"/>
  <c r="R70" i="28"/>
  <c r="N70" i="28"/>
  <c r="M70" i="28"/>
  <c r="P70" i="28"/>
  <c r="H70" i="28"/>
  <c r="Q70" i="28"/>
  <c r="O70" i="28"/>
  <c r="T70" i="28"/>
  <c r="R84" i="28"/>
  <c r="P84" i="28"/>
  <c r="Q84" i="28"/>
  <c r="H84" i="28"/>
  <c r="N84" i="28"/>
  <c r="M84" i="28"/>
  <c r="S84" i="28"/>
  <c r="O84" i="28"/>
  <c r="R61" i="28"/>
  <c r="P61" i="28"/>
  <c r="M61" i="28"/>
  <c r="O61" i="28"/>
  <c r="H61" i="28"/>
  <c r="S61" i="28"/>
  <c r="N61" i="28"/>
  <c r="Q61" i="28"/>
  <c r="N36" i="28"/>
  <c r="H36" i="28"/>
  <c r="M36" i="28"/>
  <c r="O36" i="28"/>
  <c r="P36" i="28"/>
  <c r="S36" i="28"/>
  <c r="R36" i="28"/>
  <c r="Q36" i="28"/>
  <c r="Z48" i="28"/>
  <c r="R57" i="28"/>
  <c r="S57" i="28"/>
  <c r="N57" i="28"/>
  <c r="Q57" i="28"/>
  <c r="H57" i="28"/>
  <c r="O57" i="28"/>
  <c r="P57" i="28"/>
  <c r="M57" i="28"/>
  <c r="J38" i="28"/>
  <c r="G30" i="28"/>
  <c r="AA47" i="28"/>
  <c r="AB38" i="28"/>
  <c r="BM66" i="28"/>
  <c r="BN66" i="28"/>
  <c r="BO66" i="28"/>
  <c r="BP66" i="28"/>
  <c r="BQ66" i="28"/>
  <c r="BR66" i="28"/>
  <c r="BS66" i="28"/>
  <c r="BT66" i="28"/>
  <c r="BU66" i="28"/>
  <c r="BV66" i="28"/>
  <c r="BW66" i="28"/>
  <c r="BX66" i="28"/>
  <c r="BY66" i="28"/>
  <c r="R86" i="28"/>
  <c r="S86" i="28"/>
  <c r="O86" i="28"/>
  <c r="H86" i="28"/>
  <c r="Q86" i="28"/>
  <c r="P86" i="28"/>
  <c r="N86" i="28"/>
  <c r="M86" i="28"/>
  <c r="R63" i="28"/>
  <c r="S63" i="28"/>
  <c r="M63" i="28"/>
  <c r="Q63" i="28"/>
  <c r="P63" i="28"/>
  <c r="O63" i="28"/>
  <c r="H63" i="28"/>
  <c r="N63" i="28"/>
  <c r="R102" i="28"/>
  <c r="O102" i="28"/>
  <c r="S102" i="28"/>
  <c r="P102" i="28"/>
  <c r="H102" i="28"/>
  <c r="N102" i="28"/>
  <c r="Q102" i="28"/>
  <c r="M102" i="28"/>
  <c r="R75" i="28"/>
  <c r="S75" i="28"/>
  <c r="O75" i="28"/>
  <c r="H75" i="28"/>
  <c r="M75" i="28"/>
  <c r="N75" i="28"/>
  <c r="P75" i="28"/>
  <c r="Q75" i="28"/>
  <c r="R44" i="28"/>
  <c r="H44" i="28"/>
  <c r="S44" i="28"/>
  <c r="P44" i="28"/>
  <c r="N44" i="28"/>
  <c r="M44" i="28"/>
  <c r="O44" i="28"/>
  <c r="Q44" i="28"/>
  <c r="H51" i="28"/>
  <c r="R51" i="28"/>
  <c r="S51" i="28"/>
  <c r="O51" i="28"/>
  <c r="Q51" i="28"/>
  <c r="M51" i="28"/>
  <c r="P51" i="28"/>
  <c r="N51" i="28"/>
  <c r="H66" i="28"/>
  <c r="M37" i="28"/>
  <c r="R37" i="28"/>
  <c r="S37" i="28"/>
  <c r="H37" i="28"/>
  <c r="N37" i="28"/>
  <c r="O37" i="28"/>
  <c r="Q37" i="28"/>
  <c r="P37" i="28"/>
  <c r="T37" i="28"/>
  <c r="Z79" i="28"/>
  <c r="X38" i="28"/>
  <c r="AA48" i="28"/>
  <c r="J40" i="28"/>
  <c r="X57" i="28"/>
  <c r="Z96" i="28"/>
  <c r="X47" i="28"/>
  <c r="U47" i="28"/>
  <c r="J79" i="28"/>
  <c r="R92" i="28"/>
  <c r="H92" i="28"/>
  <c r="M92" i="28"/>
  <c r="P92" i="28"/>
  <c r="O92" i="28"/>
  <c r="Q92" i="28"/>
  <c r="S92" i="28"/>
  <c r="R93" i="28"/>
  <c r="N93" i="28"/>
  <c r="S93" i="28"/>
  <c r="M93" i="28"/>
  <c r="H93" i="28"/>
  <c r="O93" i="28"/>
  <c r="Q93" i="28"/>
  <c r="P93" i="28"/>
  <c r="R43" i="28"/>
  <c r="M43" i="28"/>
  <c r="Q43" i="28"/>
  <c r="S43" i="28"/>
  <c r="N43" i="28"/>
  <c r="H43" i="28"/>
  <c r="P43" i="28"/>
  <c r="O43" i="28"/>
  <c r="H67" i="28"/>
  <c r="R115" i="28"/>
  <c r="Q115" i="28"/>
  <c r="M115" i="28"/>
  <c r="H115" i="28"/>
  <c r="S115" i="28"/>
  <c r="O115" i="28"/>
  <c r="N115" i="28"/>
  <c r="P115" i="28"/>
  <c r="AB48" i="28"/>
  <c r="R54" i="28"/>
  <c r="S54" i="28"/>
  <c r="H54" i="28"/>
  <c r="M54" i="28"/>
  <c r="Q54" i="28"/>
  <c r="P54" i="28"/>
  <c r="N54" i="28"/>
  <c r="O54" i="28"/>
  <c r="T54" i="28"/>
  <c r="J37" i="28"/>
  <c r="Y37" i="28"/>
  <c r="T40" i="28"/>
  <c r="U57" i="28"/>
  <c r="Y40" i="28"/>
  <c r="BV126" i="28"/>
  <c r="BW126" i="28"/>
  <c r="BX126" i="28"/>
  <c r="BY126" i="28"/>
  <c r="R112" i="28"/>
  <c r="Q112" i="28"/>
  <c r="N112" i="28"/>
  <c r="H112" i="28"/>
  <c r="M112" i="28"/>
  <c r="O112" i="28"/>
  <c r="P112" i="28"/>
  <c r="S112" i="28"/>
  <c r="H25" i="28"/>
  <c r="R69" i="28"/>
  <c r="S69" i="28"/>
  <c r="M69" i="28"/>
  <c r="O69" i="28"/>
  <c r="P69" i="28"/>
  <c r="Q69" i="28"/>
  <c r="H69" i="28"/>
  <c r="N69" i="28"/>
  <c r="R42" i="28"/>
  <c r="P42" i="28"/>
  <c r="O42" i="28"/>
  <c r="N42" i="28"/>
  <c r="H42" i="28"/>
  <c r="Q42" i="28"/>
  <c r="M42" i="28"/>
  <c r="S42" i="28"/>
  <c r="O56" i="28"/>
  <c r="R56" i="28"/>
  <c r="H56" i="28"/>
  <c r="M56" i="28"/>
  <c r="N56" i="28"/>
  <c r="P56" i="28"/>
  <c r="Q56" i="28"/>
  <c r="S56" i="28"/>
  <c r="R100" i="28"/>
  <c r="N100" i="28"/>
  <c r="Q100" i="28"/>
  <c r="P100" i="28"/>
  <c r="M100" i="28"/>
  <c r="O100" i="28"/>
  <c r="S100" i="28"/>
  <c r="H100" i="28"/>
  <c r="BN118" i="28"/>
  <c r="BO118" i="28"/>
  <c r="BP118" i="28"/>
  <c r="BQ118" i="28"/>
  <c r="BR118" i="28"/>
  <c r="BS118" i="28"/>
  <c r="BT118" i="28"/>
  <c r="BU118" i="28"/>
  <c r="BV118" i="28"/>
  <c r="BW118" i="28"/>
  <c r="BX118" i="28"/>
  <c r="BY118" i="28"/>
  <c r="R79" i="28"/>
  <c r="Q79" i="28"/>
  <c r="S79" i="28"/>
  <c r="O79" i="28"/>
  <c r="P79" i="28"/>
  <c r="N79" i="28"/>
  <c r="H79" i="28"/>
  <c r="M79" i="28"/>
  <c r="W40" i="28"/>
  <c r="AB94" i="28"/>
  <c r="U48" i="28"/>
  <c r="T47" i="28"/>
  <c r="BO119" i="28"/>
  <c r="BP119" i="28"/>
  <c r="BQ119" i="28"/>
  <c r="BR119" i="28"/>
  <c r="BS119" i="28"/>
  <c r="BT119" i="28"/>
  <c r="BU119" i="28"/>
  <c r="BV119" i="28"/>
  <c r="BW119" i="28"/>
  <c r="BX119" i="28"/>
  <c r="BY119" i="28"/>
  <c r="O68" i="28"/>
  <c r="R68" i="28"/>
  <c r="Q68" i="28"/>
  <c r="N68" i="28"/>
  <c r="H68" i="28"/>
  <c r="S68" i="28"/>
  <c r="M68" i="28"/>
  <c r="R98" i="28"/>
  <c r="N98" i="28"/>
  <c r="M98" i="28"/>
  <c r="H98" i="28"/>
  <c r="S98" i="28"/>
  <c r="Q98" i="28"/>
  <c r="O98" i="28"/>
  <c r="P98" i="28"/>
  <c r="R50" i="28"/>
  <c r="O50" i="28"/>
  <c r="Q50" i="28"/>
  <c r="M50" i="28"/>
  <c r="P50" i="28"/>
  <c r="H50" i="28"/>
  <c r="S50" i="28"/>
  <c r="N50" i="28"/>
  <c r="R103" i="28"/>
  <c r="P103" i="28"/>
  <c r="O103" i="28"/>
  <c r="S103" i="28"/>
  <c r="H103" i="28"/>
  <c r="N103" i="28"/>
  <c r="Q103" i="28"/>
  <c r="M103" i="28"/>
  <c r="R117" i="28"/>
  <c r="Q117" i="28"/>
  <c r="P117" i="28"/>
  <c r="S117" i="28"/>
  <c r="H117" i="28"/>
  <c r="O117" i="28"/>
  <c r="N117" i="28"/>
  <c r="T117" i="28"/>
  <c r="R89" i="28"/>
  <c r="P89" i="28"/>
  <c r="N89" i="28"/>
  <c r="H89" i="28"/>
  <c r="M89" i="28"/>
  <c r="Q89" i="28"/>
  <c r="O89" i="28"/>
  <c r="S89" i="28"/>
  <c r="R96" i="28"/>
  <c r="H96" i="28"/>
  <c r="S96" i="28"/>
  <c r="M96" i="28"/>
  <c r="N96" i="28"/>
  <c r="P96" i="28"/>
  <c r="O96" i="28"/>
  <c r="Q96" i="28"/>
  <c r="Y94" i="28"/>
  <c r="W48" i="28"/>
  <c r="J57" i="28"/>
  <c r="AB47" i="28"/>
  <c r="J54" i="28"/>
  <c r="BW127" i="28"/>
  <c r="BX127" i="28"/>
  <c r="BY127" i="28"/>
  <c r="R65" i="28"/>
  <c r="Q65" i="28"/>
  <c r="S65" i="28"/>
  <c r="H65" i="28"/>
  <c r="N65" i="28"/>
  <c r="M65" i="28"/>
  <c r="O65" i="28"/>
  <c r="P65" i="28"/>
  <c r="T65" i="28"/>
  <c r="R91" i="28"/>
  <c r="H91" i="28"/>
  <c r="O91" i="28"/>
  <c r="Q91" i="28"/>
  <c r="N91" i="28"/>
  <c r="M91" i="28"/>
  <c r="S91" i="28"/>
  <c r="P91" i="28"/>
  <c r="T91" i="28"/>
  <c r="P87" i="28"/>
  <c r="R87" i="28"/>
  <c r="Q87" i="28"/>
  <c r="M87" i="28"/>
  <c r="H87" i="28"/>
  <c r="N87" i="28"/>
  <c r="S87" i="28"/>
  <c r="O87" i="28"/>
  <c r="R76" i="28"/>
  <c r="T76" i="28"/>
  <c r="S76" i="28"/>
  <c r="P76" i="28"/>
  <c r="M76" i="28"/>
  <c r="O76" i="28"/>
  <c r="H76" i="28"/>
  <c r="Q76" i="28"/>
  <c r="N76" i="28"/>
  <c r="R116" i="28"/>
  <c r="H116" i="28"/>
  <c r="N116" i="28"/>
  <c r="M116" i="28"/>
  <c r="P116" i="28"/>
  <c r="Q116" i="28"/>
  <c r="S116" i="28"/>
  <c r="O116" i="28"/>
  <c r="R77" i="28"/>
  <c r="S77" i="28"/>
  <c r="O77" i="28"/>
  <c r="H77" i="28"/>
  <c r="P77" i="28"/>
  <c r="M77" i="28"/>
  <c r="Q77" i="28"/>
  <c r="N77" i="28"/>
  <c r="V38" i="28"/>
  <c r="Z57" i="28"/>
  <c r="AA94" i="28"/>
  <c r="W94" i="28"/>
  <c r="BS123" i="28"/>
  <c r="BT123" i="28"/>
  <c r="BU123" i="28"/>
  <c r="BV123" i="28"/>
  <c r="BW123" i="28"/>
  <c r="BX123" i="28"/>
  <c r="BY123" i="28"/>
  <c r="R62" i="28"/>
  <c r="H62" i="28"/>
  <c r="M62" i="28"/>
  <c r="O62" i="28"/>
  <c r="P62" i="28"/>
  <c r="Q62" i="28"/>
  <c r="S62" i="28"/>
  <c r="N62" i="28"/>
  <c r="R55" i="28"/>
  <c r="H55" i="28"/>
  <c r="M55" i="28"/>
  <c r="Q55" i="28"/>
  <c r="P55" i="28"/>
  <c r="S55" i="28"/>
  <c r="N55" i="28"/>
  <c r="O55" i="28"/>
  <c r="R104" i="28"/>
  <c r="Q104" i="28"/>
  <c r="S104" i="28"/>
  <c r="M104" i="28"/>
  <c r="O104" i="28"/>
  <c r="P104" i="28"/>
  <c r="N104" i="28"/>
  <c r="H104" i="28"/>
  <c r="T104" i="28"/>
  <c r="R110" i="28"/>
  <c r="S110" i="28"/>
  <c r="N110" i="28"/>
  <c r="O110" i="28"/>
  <c r="H110" i="28"/>
  <c r="M110" i="28"/>
  <c r="P110" i="28"/>
  <c r="Q110" i="28"/>
  <c r="R72" i="28"/>
  <c r="O72" i="28"/>
  <c r="Q72" i="28"/>
  <c r="S72" i="28"/>
  <c r="P72" i="28"/>
  <c r="H72" i="28"/>
  <c r="M72" i="28"/>
  <c r="N72" i="28"/>
  <c r="T72" i="28"/>
  <c r="H118" i="28"/>
  <c r="V47" i="28"/>
  <c r="U37" i="28"/>
  <c r="T48" i="28"/>
  <c r="X79" i="28"/>
  <c r="BQ121" i="28"/>
  <c r="BR121" i="28"/>
  <c r="BS121" i="28"/>
  <c r="BT121" i="28"/>
  <c r="BU121" i="28"/>
  <c r="BV121" i="28"/>
  <c r="BW121" i="28"/>
  <c r="BX121" i="28"/>
  <c r="BY121" i="28"/>
  <c r="R64" i="28"/>
  <c r="N64" i="28"/>
  <c r="S64" i="28"/>
  <c r="O64" i="28"/>
  <c r="H64" i="28"/>
  <c r="Q64" i="28"/>
  <c r="P64" i="28"/>
  <c r="M64" i="28"/>
  <c r="BZ129" i="28"/>
  <c r="N109" i="28"/>
  <c r="R109" i="28"/>
  <c r="S109" i="28"/>
  <c r="Q109" i="28"/>
  <c r="P109" i="28"/>
  <c r="H109" i="28"/>
  <c r="M109" i="28"/>
  <c r="O109" i="28"/>
  <c r="T109" i="28"/>
  <c r="R107" i="28"/>
  <c r="M107" i="28"/>
  <c r="P107" i="28"/>
  <c r="Q107" i="28"/>
  <c r="H107" i="28"/>
  <c r="N107" i="28"/>
  <c r="O107" i="28"/>
  <c r="S107" i="28"/>
  <c r="R78" i="28"/>
  <c r="Q78" i="28"/>
  <c r="M78" i="28"/>
  <c r="P78" i="28"/>
  <c r="O78" i="28"/>
  <c r="S78" i="28"/>
  <c r="H78" i="28"/>
  <c r="N78" i="28"/>
  <c r="R88" i="28"/>
  <c r="S88" i="28"/>
  <c r="N88" i="28"/>
  <c r="Q88" i="28"/>
  <c r="O88" i="28"/>
  <c r="H88" i="28"/>
  <c r="P88" i="28"/>
  <c r="V48" i="28"/>
  <c r="G81" i="28"/>
  <c r="Y57" i="28"/>
  <c r="W57" i="28"/>
  <c r="T79" i="28"/>
  <c r="V57" i="28"/>
  <c r="AB54" i="28"/>
  <c r="U40" i="28"/>
  <c r="AB37" i="28"/>
  <c r="AB57" i="28"/>
  <c r="Z47" i="28"/>
  <c r="BX128" i="28"/>
  <c r="BY128" i="28"/>
  <c r="R114" i="28"/>
  <c r="H114" i="28"/>
  <c r="O114" i="28"/>
  <c r="Q114" i="28"/>
  <c r="N114" i="28"/>
  <c r="M114" i="28"/>
  <c r="P114" i="28"/>
  <c r="S114" i="28"/>
  <c r="R73" i="28"/>
  <c r="H73" i="28"/>
  <c r="Q73" i="28"/>
  <c r="S73" i="28"/>
  <c r="O73" i="28"/>
  <c r="N73" i="28"/>
  <c r="P73" i="28"/>
  <c r="M73" i="28"/>
  <c r="R58" i="28"/>
  <c r="N58" i="28"/>
  <c r="P58" i="28"/>
  <c r="O58" i="28"/>
  <c r="M58" i="28"/>
  <c r="S58" i="28"/>
  <c r="H58" i="28"/>
  <c r="Q58" i="28"/>
  <c r="R59" i="28"/>
  <c r="P59" i="28"/>
  <c r="H59" i="28"/>
  <c r="M59" i="28"/>
  <c r="S59" i="28"/>
  <c r="O59" i="28"/>
  <c r="N59" i="28"/>
  <c r="Q59" i="28"/>
  <c r="R97" i="28"/>
  <c r="Q97" i="28"/>
  <c r="S97" i="28"/>
  <c r="P97" i="28"/>
  <c r="N97" i="28"/>
  <c r="H97" i="28"/>
  <c r="M97" i="28"/>
  <c r="O97" i="28"/>
  <c r="O106" i="28"/>
  <c r="R106" i="28"/>
  <c r="H106" i="28"/>
  <c r="Q106" i="28"/>
  <c r="P106" i="28"/>
  <c r="M106" i="28"/>
  <c r="S106" i="28"/>
  <c r="N106" i="28"/>
  <c r="T106" i="28"/>
  <c r="BP120" i="28"/>
  <c r="BQ120" i="28"/>
  <c r="BR120" i="28"/>
  <c r="BS120" i="28"/>
  <c r="BT120" i="28"/>
  <c r="BU120" i="28"/>
  <c r="BV120" i="28"/>
  <c r="BW120" i="28"/>
  <c r="BX120" i="28"/>
  <c r="BY120" i="28"/>
  <c r="BZ127" i="28"/>
  <c r="R60" i="28"/>
  <c r="S60" i="28"/>
  <c r="H60" i="28"/>
  <c r="M60" i="28"/>
  <c r="O60" i="28"/>
  <c r="P60" i="28"/>
  <c r="Q60" i="28"/>
  <c r="N60" i="28"/>
  <c r="R101" i="28"/>
  <c r="S101" i="28"/>
  <c r="O101" i="28"/>
  <c r="M101" i="28"/>
  <c r="Q101" i="28"/>
  <c r="N101" i="28"/>
  <c r="H101" i="28"/>
  <c r="P101" i="28"/>
  <c r="BZ119" i="28"/>
  <c r="R71" i="28"/>
  <c r="H71" i="28"/>
  <c r="P71" i="28"/>
  <c r="S71" i="28"/>
  <c r="Q71" i="28"/>
  <c r="O71" i="28"/>
  <c r="M71" i="28"/>
  <c r="N71" i="28"/>
  <c r="T71" i="28"/>
  <c r="Z40" i="28"/>
  <c r="AA38" i="28"/>
  <c r="AA57" i="28"/>
  <c r="W37" i="28"/>
  <c r="R41" i="28"/>
  <c r="M41" i="28"/>
  <c r="N41" i="28"/>
  <c r="O41" i="28"/>
  <c r="S41" i="28"/>
  <c r="H41" i="28"/>
  <c r="P41" i="28"/>
  <c r="Q41" i="28"/>
  <c r="R90" i="28"/>
  <c r="Q90" i="28"/>
  <c r="M90" i="28"/>
  <c r="S90" i="28"/>
  <c r="O90" i="28"/>
  <c r="H90" i="28"/>
  <c r="N90" i="28"/>
  <c r="P90" i="28"/>
  <c r="R52" i="28"/>
  <c r="S52" i="28"/>
  <c r="M52" i="28"/>
  <c r="N52" i="28"/>
  <c r="O52" i="28"/>
  <c r="H52" i="28"/>
  <c r="P52" i="28"/>
  <c r="T52" i="28"/>
  <c r="Q52" i="28"/>
  <c r="BZ121" i="28"/>
  <c r="BZ120" i="28"/>
  <c r="R108" i="28"/>
  <c r="M108" i="28"/>
  <c r="Q108" i="28"/>
  <c r="S108" i="28"/>
  <c r="N108" i="28"/>
  <c r="O108" i="28"/>
  <c r="H108" i="28"/>
  <c r="P108" i="28"/>
  <c r="Z54" i="28"/>
  <c r="U94" i="28"/>
  <c r="T94" i="28"/>
  <c r="Y48" i="28"/>
  <c r="W47" i="28"/>
  <c r="T38" i="28"/>
  <c r="J94" i="28"/>
  <c r="AA54" i="28"/>
  <c r="J96" i="28"/>
  <c r="Y47" i="28"/>
  <c r="R113" i="28"/>
  <c r="N113" i="28"/>
  <c r="H113" i="28"/>
  <c r="O113" i="28"/>
  <c r="S113" i="28"/>
  <c r="T113" i="28"/>
  <c r="M113" i="28"/>
  <c r="P113" i="28"/>
  <c r="R105" i="28"/>
  <c r="M105" i="28"/>
  <c r="Q105" i="28"/>
  <c r="N105" i="28"/>
  <c r="S105" i="28"/>
  <c r="P105" i="28"/>
  <c r="O105" i="28"/>
  <c r="H105" i="28"/>
  <c r="R34" i="28"/>
  <c r="S34" i="28"/>
  <c r="N34" i="28"/>
  <c r="H34" i="28"/>
  <c r="P34" i="28"/>
  <c r="M34" i="28"/>
  <c r="Q34" i="28"/>
  <c r="O34" i="28"/>
  <c r="R85" i="28"/>
  <c r="S85" i="28"/>
  <c r="Q85" i="28"/>
  <c r="H85" i="28"/>
  <c r="M85" i="28"/>
  <c r="O85" i="28"/>
  <c r="P85" i="28"/>
  <c r="R32" i="28"/>
  <c r="N32" i="28"/>
  <c r="M32" i="28"/>
  <c r="O32" i="28"/>
  <c r="S32" i="28"/>
  <c r="P32" i="28"/>
  <c r="Q32" i="28"/>
  <c r="H32" i="28"/>
  <c r="BT124" i="28"/>
  <c r="BU124" i="28"/>
  <c r="BV124" i="28"/>
  <c r="BW124" i="28"/>
  <c r="BX124" i="28"/>
  <c r="BY124" i="28"/>
  <c r="W79" i="28"/>
  <c r="V94" i="28"/>
  <c r="AB40" i="28"/>
  <c r="X40" i="28"/>
  <c r="T57" i="28"/>
  <c r="Y38" i="28"/>
  <c r="AA40" i="28"/>
  <c r="BU125" i="28"/>
  <c r="BV125" i="28"/>
  <c r="BW125" i="28"/>
  <c r="BX125" i="28"/>
  <c r="BY125" i="28"/>
  <c r="R49" i="28"/>
  <c r="O49" i="28"/>
  <c r="Q49" i="28"/>
  <c r="H49" i="28"/>
  <c r="N49" i="28"/>
  <c r="S49" i="28"/>
  <c r="M49" i="28"/>
  <c r="P49" i="28"/>
  <c r="R111" i="28"/>
  <c r="S111" i="28"/>
  <c r="Q111" i="28"/>
  <c r="O111" i="28"/>
  <c r="M111" i="28"/>
  <c r="N111" i="28"/>
  <c r="P111" i="28"/>
  <c r="H111" i="28"/>
  <c r="BZ126" i="28"/>
  <c r="R53" i="28"/>
  <c r="M53" i="28"/>
  <c r="S53" i="28"/>
  <c r="H53" i="28"/>
  <c r="O53" i="28"/>
  <c r="N53" i="28"/>
  <c r="P53" i="28"/>
  <c r="Q53" i="28"/>
  <c r="T53" i="28"/>
  <c r="R46" i="28"/>
  <c r="N46" i="28"/>
  <c r="M46" i="28"/>
  <c r="S46" i="28"/>
  <c r="P46" i="28"/>
  <c r="H46" i="28"/>
  <c r="Q46" i="28"/>
  <c r="O46" i="28"/>
  <c r="R39" i="28"/>
  <c r="H39" i="28"/>
  <c r="M39" i="28"/>
  <c r="Q39" i="28"/>
  <c r="N39" i="28"/>
  <c r="P39" i="28"/>
  <c r="O39" i="28"/>
  <c r="S39" i="28"/>
  <c r="T39" i="28"/>
  <c r="R83" i="28"/>
  <c r="O83" i="28"/>
  <c r="M83" i="28"/>
  <c r="S83" i="28"/>
  <c r="H83" i="28"/>
  <c r="Q83" i="28"/>
  <c r="P83" i="28"/>
  <c r="T83" i="28"/>
  <c r="N83" i="28"/>
  <c r="Z38" i="28"/>
  <c r="J47" i="28"/>
  <c r="Z94" i="28"/>
  <c r="W38" i="28"/>
  <c r="W54" i="28"/>
  <c r="V54" i="28"/>
  <c r="J48" i="28"/>
  <c r="U96" i="28"/>
  <c r="Z37" i="28"/>
  <c r="AA96" i="28"/>
  <c r="W111" i="28"/>
  <c r="R95" i="28"/>
  <c r="O95" i="28"/>
  <c r="M95" i="28"/>
  <c r="P95" i="28"/>
  <c r="H95" i="28"/>
  <c r="N95" i="28"/>
  <c r="S95" i="28"/>
  <c r="Q95" i="28"/>
  <c r="R99" i="28"/>
  <c r="Q99" i="28"/>
  <c r="M99" i="28"/>
  <c r="S99" i="28"/>
  <c r="N99" i="28"/>
  <c r="H99" i="28"/>
  <c r="P99" i="28"/>
  <c r="O99" i="28"/>
  <c r="R35" i="28"/>
  <c r="O35" i="28"/>
  <c r="H35" i="28"/>
  <c r="N35" i="28"/>
  <c r="M35" i="28"/>
  <c r="S35" i="28"/>
  <c r="Q35" i="28"/>
  <c r="P35" i="28"/>
  <c r="R45" i="28"/>
  <c r="N45" i="28"/>
  <c r="Q45" i="28"/>
  <c r="O45" i="28"/>
  <c r="S45" i="28"/>
  <c r="M45" i="28"/>
  <c r="H45" i="28"/>
  <c r="BZ122" i="28"/>
  <c r="N128" i="28" l="1"/>
  <c r="AB124" i="28"/>
  <c r="R118" i="28"/>
  <c r="AA124" i="28"/>
  <c r="Z121" i="28"/>
  <c r="O66" i="28"/>
  <c r="O118" i="28"/>
  <c r="T66" i="28"/>
  <c r="P118" i="28"/>
  <c r="R124" i="28"/>
  <c r="O125" i="28"/>
  <c r="P66" i="28"/>
  <c r="S124" i="28"/>
  <c r="M118" i="28"/>
  <c r="N118" i="28"/>
  <c r="S118" i="28"/>
  <c r="AB123" i="28"/>
  <c r="Q118" i="28"/>
  <c r="O124" i="28"/>
  <c r="Q128" i="28"/>
  <c r="Z66" i="28"/>
  <c r="BZ136" i="28"/>
  <c r="E130" i="28" a="1"/>
  <c r="E130" i="28" s="1"/>
  <c r="BZ130" i="28" s="1"/>
  <c r="BZ81" i="28" s="1"/>
  <c r="R119" i="28"/>
  <c r="S119" i="28"/>
  <c r="Q119" i="28"/>
  <c r="P119" i="28"/>
  <c r="N119" i="28"/>
  <c r="H119" i="28"/>
  <c r="M119" i="28"/>
  <c r="O119" i="28"/>
  <c r="U128" i="28"/>
  <c r="X128" i="28"/>
  <c r="J128" i="28"/>
  <c r="AA128" i="28"/>
  <c r="AB128" i="28"/>
  <c r="V128" i="28"/>
  <c r="Y128" i="28"/>
  <c r="Z128" i="28"/>
  <c r="W128" i="28"/>
  <c r="T128" i="28"/>
  <c r="W121" i="28"/>
  <c r="T121" i="28"/>
  <c r="X121" i="28"/>
  <c r="J121" i="28"/>
  <c r="V121" i="28"/>
  <c r="U121" i="28"/>
  <c r="Y121" i="28"/>
  <c r="AA123" i="28"/>
  <c r="AA119" i="28"/>
  <c r="AB126" i="28"/>
  <c r="Q124" i="28"/>
  <c r="P128" i="28"/>
  <c r="N66" i="28"/>
  <c r="Y66" i="28"/>
  <c r="J66" i="28"/>
  <c r="M124" i="28"/>
  <c r="AB120" i="28"/>
  <c r="Z119" i="28"/>
  <c r="BY81" i="28"/>
  <c r="M66" i="28"/>
  <c r="P124" i="28"/>
  <c r="O128" i="28"/>
  <c r="T123" i="28"/>
  <c r="W123" i="28"/>
  <c r="J123" i="28"/>
  <c r="V123" i="28"/>
  <c r="U123" i="28"/>
  <c r="X123" i="28"/>
  <c r="Z123" i="28"/>
  <c r="Y123" i="28"/>
  <c r="Z126" i="28"/>
  <c r="J126" i="28"/>
  <c r="U126" i="28"/>
  <c r="V126" i="28"/>
  <c r="X126" i="28"/>
  <c r="AA126" i="28"/>
  <c r="W126" i="28"/>
  <c r="Y126" i="28"/>
  <c r="T126" i="28"/>
  <c r="R126" i="28"/>
  <c r="M126" i="28"/>
  <c r="N126" i="28"/>
  <c r="P126" i="28"/>
  <c r="S126" i="28"/>
  <c r="Q126" i="28"/>
  <c r="H126" i="28"/>
  <c r="O126" i="28"/>
  <c r="BX81" i="28"/>
  <c r="AB118" i="28"/>
  <c r="BM30" i="28"/>
  <c r="BM132" i="28" s="1"/>
  <c r="BM137" i="28" s="1"/>
  <c r="V66" i="28"/>
  <c r="I66" i="28"/>
  <c r="W66" i="28"/>
  <c r="U66" i="28"/>
  <c r="X66" i="28"/>
  <c r="M128" i="28"/>
  <c r="BW81" i="28"/>
  <c r="Q66" i="28"/>
  <c r="N124" i="28"/>
  <c r="S128" i="28"/>
  <c r="AB125" i="28"/>
  <c r="AA120" i="28"/>
  <c r="J119" i="28"/>
  <c r="U119" i="28"/>
  <c r="W119" i="28"/>
  <c r="V119" i="28"/>
  <c r="X119" i="28"/>
  <c r="T119" i="28"/>
  <c r="Y119" i="28"/>
  <c r="BV81" i="28"/>
  <c r="S66" i="28"/>
  <c r="AB122" i="28"/>
  <c r="R128" i="28"/>
  <c r="BU81" i="28"/>
  <c r="AA118" i="28"/>
  <c r="R66" i="28"/>
  <c r="Q125" i="28"/>
  <c r="M123" i="28"/>
  <c r="R122" i="28"/>
  <c r="O122" i="28"/>
  <c r="Q122" i="28"/>
  <c r="P122" i="28"/>
  <c r="H122" i="28"/>
  <c r="S122" i="28"/>
  <c r="N122" i="28"/>
  <c r="M122" i="28"/>
  <c r="T124" i="28"/>
  <c r="U124" i="28"/>
  <c r="J124" i="28"/>
  <c r="Z124" i="28"/>
  <c r="V124" i="28"/>
  <c r="W124" i="28"/>
  <c r="X124" i="28"/>
  <c r="Y124" i="28"/>
  <c r="BT81" i="28"/>
  <c r="O123" i="28"/>
  <c r="H30" i="28"/>
  <c r="Z120" i="28"/>
  <c r="AB121" i="28"/>
  <c r="BS81" i="28"/>
  <c r="AB66" i="28"/>
  <c r="G132" i="28"/>
  <c r="AA122" i="28"/>
  <c r="Q123" i="28"/>
  <c r="R127" i="28"/>
  <c r="P127" i="28"/>
  <c r="N127" i="28"/>
  <c r="O127" i="28"/>
  <c r="H127" i="28"/>
  <c r="S127" i="28"/>
  <c r="Q127" i="28"/>
  <c r="M127" i="28"/>
  <c r="T127" i="28"/>
  <c r="V125" i="28"/>
  <c r="U125" i="28"/>
  <c r="Y125" i="28"/>
  <c r="AA125" i="28"/>
  <c r="X125" i="28"/>
  <c r="Z125" i="28"/>
  <c r="T125" i="28"/>
  <c r="J125" i="28"/>
  <c r="W125" i="28"/>
  <c r="BR81" i="28"/>
  <c r="Z118" i="28"/>
  <c r="P125" i="28"/>
  <c r="U120" i="28"/>
  <c r="V120" i="28"/>
  <c r="W120" i="28"/>
  <c r="J120" i="28"/>
  <c r="T120" i="28"/>
  <c r="X120" i="28"/>
  <c r="Y120" i="28"/>
  <c r="AB127" i="28"/>
  <c r="BQ81" i="28"/>
  <c r="N125" i="28"/>
  <c r="P123" i="28"/>
  <c r="R129" i="28"/>
  <c r="N129" i="28"/>
  <c r="O129" i="28"/>
  <c r="S129" i="28"/>
  <c r="H129" i="28"/>
  <c r="Q129" i="28"/>
  <c r="P129" i="28"/>
  <c r="M129" i="28"/>
  <c r="AA129" i="28"/>
  <c r="AB129" i="28"/>
  <c r="X129" i="28"/>
  <c r="W129" i="28"/>
  <c r="U129" i="28"/>
  <c r="T129" i="28"/>
  <c r="Y129" i="28"/>
  <c r="V129" i="28"/>
  <c r="J129" i="28"/>
  <c r="Z129" i="28"/>
  <c r="AA121" i="28"/>
  <c r="Y127" i="28"/>
  <c r="V127" i="28"/>
  <c r="U127" i="28"/>
  <c r="W127" i="28"/>
  <c r="AA127" i="28"/>
  <c r="Z127" i="28"/>
  <c r="X127" i="28"/>
  <c r="J127" i="28"/>
  <c r="BP81" i="28"/>
  <c r="AA66" i="28"/>
  <c r="X122" i="28"/>
  <c r="T122" i="28"/>
  <c r="Z122" i="28"/>
  <c r="W122" i="28"/>
  <c r="J122" i="28"/>
  <c r="U122" i="28"/>
  <c r="V122" i="28"/>
  <c r="Y122" i="28"/>
  <c r="S125" i="28"/>
  <c r="S123" i="28"/>
  <c r="R120" i="28"/>
  <c r="M120" i="28"/>
  <c r="N120" i="28"/>
  <c r="P120" i="28"/>
  <c r="Q120" i="28"/>
  <c r="H120" i="28"/>
  <c r="O120" i="28"/>
  <c r="S120" i="28"/>
  <c r="AB119" i="28"/>
  <c r="BO81" i="28"/>
  <c r="J118" i="28"/>
  <c r="Y118" i="28"/>
  <c r="M125" i="28"/>
  <c r="N123" i="28"/>
  <c r="R121" i="28"/>
  <c r="S121" i="28"/>
  <c r="H121" i="28"/>
  <c r="M121" i="28"/>
  <c r="O121" i="28"/>
  <c r="Q121" i="28"/>
  <c r="P121" i="28"/>
  <c r="N121" i="28"/>
  <c r="BN81" i="28"/>
  <c r="U118" i="28"/>
  <c r="X118" i="28"/>
  <c r="I118" i="28"/>
  <c r="I81" i="28" s="1"/>
  <c r="V118" i="28"/>
  <c r="W118" i="28"/>
  <c r="T118" i="28"/>
  <c r="R125" i="28"/>
  <c r="R123" i="28"/>
  <c r="S137" i="28" l="1"/>
  <c r="H137" i="28"/>
  <c r="R130" i="28"/>
  <c r="R81" i="28" s="1"/>
  <c r="N130" i="28"/>
  <c r="N81" i="28" s="1"/>
  <c r="S130" i="28"/>
  <c r="S81" i="28" s="1"/>
  <c r="O130" i="28"/>
  <c r="O81" i="28" s="1"/>
  <c r="H130" i="28"/>
  <c r="H81" i="28" s="1"/>
  <c r="H132" i="28" s="1"/>
  <c r="Q130" i="28"/>
  <c r="Q81" i="28" s="1"/>
  <c r="M130" i="28"/>
  <c r="M81" i="28" s="1"/>
  <c r="P130" i="28"/>
  <c r="P81" i="28" s="1"/>
  <c r="V130" i="28"/>
  <c r="V81" i="28" s="1"/>
  <c r="J130" i="28"/>
  <c r="J81" i="28" s="1"/>
  <c r="AA130" i="28"/>
  <c r="AA81" i="28" s="1"/>
  <c r="U130" i="28"/>
  <c r="U81" i="28" s="1"/>
  <c r="T130" i="28"/>
  <c r="T81" i="28" s="1"/>
  <c r="Y130" i="28"/>
  <c r="Y81" i="28" s="1"/>
  <c r="AB130" i="28"/>
  <c r="AB81" i="28" s="1"/>
  <c r="X130" i="28"/>
  <c r="X81" i="28" s="1"/>
  <c r="Z130" i="28"/>
  <c r="Z81" i="28" s="1"/>
  <c r="W130" i="28"/>
  <c r="W81" i="28" s="1"/>
  <c r="R136" i="28"/>
  <c r="H136" i="28"/>
  <c r="S136" i="28"/>
  <c r="AB136" i="28"/>
  <c r="J136" i="28"/>
  <c r="T135" i="28" l="1"/>
  <c r="H138" i="28" l="1"/>
  <c r="H141" i="28" l="1"/>
  <c r="H85" i="30" l="1"/>
  <c r="O85" i="30"/>
  <c r="O81" i="30" l="1"/>
  <c r="BX109" i="12" a="1"/>
  <c r="BX109" i="12" s="1"/>
  <c r="E70" i="22" a="1"/>
  <c r="E70" i="22" s="1"/>
  <c r="BN70" i="22" s="1"/>
  <c r="E67" i="28" a="1"/>
  <c r="E67" i="28" s="1"/>
  <c r="BN25" i="22"/>
  <c r="BN25" i="28"/>
  <c r="X25" i="28" s="1"/>
  <c r="BO110" i="14"/>
  <c r="Y110" i="14" s="1"/>
  <c r="BX112" i="12" a="1"/>
  <c r="BX112" i="12" s="1"/>
  <c r="BX116" i="12" a="1"/>
  <c r="BX116" i="12" s="1"/>
  <c r="BX111" i="12" a="1"/>
  <c r="BX111" i="12" s="1"/>
  <c r="BX113" i="12" a="1"/>
  <c r="BX113" i="12" s="1"/>
  <c r="BX115" i="12" a="1"/>
  <c r="BX115" i="12" s="1"/>
  <c r="BX119" i="12" a="1"/>
  <c r="BX119" i="12" s="1"/>
  <c r="BX117" i="12" a="1"/>
  <c r="BX117" i="12" s="1"/>
  <c r="BX114" i="12" a="1"/>
  <c r="BX114" i="12" s="1"/>
  <c r="BN39" i="29"/>
  <c r="E81" i="29" a="1"/>
  <c r="E81" i="29" s="1"/>
  <c r="BX81" i="29" s="1"/>
  <c r="X70" i="22" l="1"/>
  <c r="I70" i="22"/>
  <c r="I33" i="22" s="1"/>
  <c r="BP107" i="14"/>
  <c r="Z107" i="14" s="1"/>
  <c r="J110" i="14"/>
  <c r="N25" i="28"/>
  <c r="U25" i="28"/>
  <c r="R25" i="28"/>
  <c r="V25" i="28"/>
  <c r="W25" i="28"/>
  <c r="M25" i="28"/>
  <c r="S25" i="28"/>
  <c r="V25" i="22"/>
  <c r="W25" i="22"/>
  <c r="Q25" i="22"/>
  <c r="M25" i="22"/>
  <c r="N25" i="22"/>
  <c r="R25" i="22"/>
  <c r="I25" i="22"/>
  <c r="S25" i="22"/>
  <c r="P25" i="22"/>
  <c r="BX44" i="29"/>
  <c r="BX146" i="29" s="1"/>
  <c r="BX151" i="29" s="1"/>
  <c r="BN81" i="29"/>
  <c r="M39" i="29"/>
  <c r="N39" i="29"/>
  <c r="P39" i="29"/>
  <c r="V39" i="29"/>
  <c r="U39" i="29"/>
  <c r="O39" i="29"/>
  <c r="S39" i="29"/>
  <c r="X39" i="29"/>
  <c r="T39" i="29"/>
  <c r="R39" i="29"/>
  <c r="I39" i="29"/>
  <c r="W39" i="29"/>
  <c r="Q39" i="29"/>
  <c r="BR67" i="28"/>
  <c r="BY67" i="28"/>
  <c r="BY30" i="28" s="1"/>
  <c r="BY132" i="28" s="1"/>
  <c r="BY137" i="28" s="1"/>
  <c r="BQ67" i="28"/>
  <c r="BQ30" i="28" s="1"/>
  <c r="BQ132" i="28" s="1"/>
  <c r="BQ137" i="28" s="1"/>
  <c r="BV67" i="28"/>
  <c r="BV30" i="28" s="1"/>
  <c r="BV132" i="28" s="1"/>
  <c r="BV137" i="28" s="1"/>
  <c r="BS67" i="28"/>
  <c r="BS30" i="28" s="1"/>
  <c r="BS132" i="28" s="1"/>
  <c r="BS137" i="28" s="1"/>
  <c r="BZ67" i="28"/>
  <c r="BZ30" i="28" s="1"/>
  <c r="BZ132" i="28" s="1"/>
  <c r="BZ137" i="28" s="1"/>
  <c r="BW67" i="28"/>
  <c r="BW30" i="28" s="1"/>
  <c r="BW132" i="28" s="1"/>
  <c r="BW137" i="28" s="1"/>
  <c r="BO67" i="28"/>
  <c r="BU67" i="28"/>
  <c r="BX67" i="28"/>
  <c r="BN67" i="28"/>
  <c r="BT67" i="28"/>
  <c r="BT30" i="28" s="1"/>
  <c r="BT132" i="28" s="1"/>
  <c r="BT137" i="28" s="1"/>
  <c r="BP67" i="28"/>
  <c r="BP30" i="28" s="1"/>
  <c r="BP132" i="28" s="1"/>
  <c r="BP137" i="28" s="1"/>
  <c r="BU81" i="29"/>
  <c r="BZ81" i="29"/>
  <c r="BZ44" i="29" s="1"/>
  <c r="BZ146" i="29" s="1"/>
  <c r="BZ151" i="29" s="1"/>
  <c r="BZ156" i="29" s="1"/>
  <c r="BP81" i="29"/>
  <c r="BP44" i="29" s="1"/>
  <c r="BP146" i="29" s="1"/>
  <c r="BP151" i="29" s="1"/>
  <c r="BP156" i="29" s="1"/>
  <c r="BZ12" i="12" s="1"/>
  <c r="BY81" i="29"/>
  <c r="BY44" i="29" s="1"/>
  <c r="BY146" i="29" s="1"/>
  <c r="BY151" i="29" s="1"/>
  <c r="BY156" i="29" s="1"/>
  <c r="CI12" i="12" s="1"/>
  <c r="BS81" i="29"/>
  <c r="BS44" i="29" s="1"/>
  <c r="BS146" i="29" s="1"/>
  <c r="BS151" i="29" s="1"/>
  <c r="BS156" i="29" s="1"/>
  <c r="CC12" i="12" s="1"/>
  <c r="BW81" i="29"/>
  <c r="BW44" i="29" s="1"/>
  <c r="BW146" i="29" s="1"/>
  <c r="BW151" i="29" s="1"/>
  <c r="BW156" i="29" s="1"/>
  <c r="BT81" i="29"/>
  <c r="BT44" i="29" s="1"/>
  <c r="BT146" i="29" s="1"/>
  <c r="BT151" i="29" s="1"/>
  <c r="BT156" i="29" s="1"/>
  <c r="BR81" i="29"/>
  <c r="BV81" i="29"/>
  <c r="BV44" i="29" s="1"/>
  <c r="BV146" i="29" s="1"/>
  <c r="BV151" i="29" s="1"/>
  <c r="BV156" i="29" s="1"/>
  <c r="CF12" i="12" s="1"/>
  <c r="BO81" i="29"/>
  <c r="BQ81" i="29"/>
  <c r="BQ44" i="29" s="1"/>
  <c r="BQ146" i="29" s="1"/>
  <c r="BQ151" i="29" s="1"/>
  <c r="BQ156" i="29" s="1"/>
  <c r="BT70" i="22"/>
  <c r="BT33" i="22" s="1"/>
  <c r="BX70" i="22"/>
  <c r="BZ70" i="22"/>
  <c r="BZ33" i="22" s="1"/>
  <c r="BQ70" i="22"/>
  <c r="BQ33" i="22" s="1"/>
  <c r="BU70" i="22"/>
  <c r="BW70" i="22"/>
  <c r="BW33" i="22" s="1"/>
  <c r="BR70" i="22"/>
  <c r="BP70" i="22"/>
  <c r="BP33" i="22" s="1"/>
  <c r="BS70" i="22"/>
  <c r="BS33" i="22" s="1"/>
  <c r="BY70" i="22"/>
  <c r="BY33" i="22" s="1"/>
  <c r="BV70" i="22"/>
  <c r="BV33" i="22" s="1"/>
  <c r="BO70" i="22"/>
  <c r="Q25" i="28"/>
  <c r="O25" i="22"/>
  <c r="T25" i="28"/>
  <c r="P25" i="28"/>
  <c r="T25" i="22"/>
  <c r="BN33" i="22"/>
  <c r="O25" i="28"/>
  <c r="U25" i="22"/>
  <c r="I25" i="28"/>
  <c r="X25" i="22"/>
  <c r="BP110" i="14" l="1"/>
  <c r="BQ107" i="14" s="1"/>
  <c r="BQ110" i="14" s="1"/>
  <c r="BR107" i="14" s="1"/>
  <c r="BR110" i="14" s="1"/>
  <c r="Z70" i="22"/>
  <c r="AA70" i="22"/>
  <c r="J70" i="22"/>
  <c r="Y70" i="22"/>
  <c r="AB70" i="22"/>
  <c r="AB33" i="22" s="1"/>
  <c r="D32" i="7"/>
  <c r="P21" i="7"/>
  <c r="V21" i="7"/>
  <c r="J21" i="7"/>
  <c r="D21" i="7"/>
  <c r="K107" i="14"/>
  <c r="T33" i="22"/>
  <c r="M33" i="22"/>
  <c r="S33" i="22"/>
  <c r="Z81" i="29"/>
  <c r="Z44" i="29" s="1"/>
  <c r="Z146" i="29" s="1"/>
  <c r="BR44" i="29"/>
  <c r="BR146" i="29" s="1"/>
  <c r="BR151" i="29" s="1"/>
  <c r="AB67" i="28"/>
  <c r="AB30" i="28" s="1"/>
  <c r="AB132" i="28" s="1"/>
  <c r="BX30" i="28"/>
  <c r="BX132" i="28" s="1"/>
  <c r="BX137" i="28" s="1"/>
  <c r="AB137" i="28" s="1"/>
  <c r="Q81" i="29"/>
  <c r="Q44" i="29" s="1"/>
  <c r="Q146" i="29" s="1"/>
  <c r="W81" i="29"/>
  <c r="W44" i="29" s="1"/>
  <c r="W146" i="29" s="1"/>
  <c r="I81" i="29"/>
  <c r="I44" i="29" s="1"/>
  <c r="I146" i="29" s="1"/>
  <c r="U81" i="29"/>
  <c r="U44" i="29" s="1"/>
  <c r="U146" i="29" s="1"/>
  <c r="S81" i="29"/>
  <c r="S44" i="29" s="1"/>
  <c r="S146" i="29" s="1"/>
  <c r="T81" i="29"/>
  <c r="T44" i="29" s="1"/>
  <c r="T146" i="29" s="1"/>
  <c r="X81" i="29"/>
  <c r="X44" i="29" s="1"/>
  <c r="X146" i="29" s="1"/>
  <c r="O81" i="29"/>
  <c r="O44" i="29" s="1"/>
  <c r="O146" i="29" s="1"/>
  <c r="R81" i="29"/>
  <c r="R44" i="29" s="1"/>
  <c r="R146" i="29" s="1"/>
  <c r="V81" i="29"/>
  <c r="V44" i="29" s="1"/>
  <c r="V146" i="29" s="1"/>
  <c r="P81" i="29"/>
  <c r="P44" i="29" s="1"/>
  <c r="P146" i="29" s="1"/>
  <c r="N81" i="29"/>
  <c r="N44" i="29" s="1"/>
  <c r="N146" i="29" s="1"/>
  <c r="BN44" i="29"/>
  <c r="BN146" i="29" s="1"/>
  <c r="BN151" i="29" s="1"/>
  <c r="M81" i="29"/>
  <c r="M44" i="29" s="1"/>
  <c r="M146" i="29" s="1"/>
  <c r="I67" i="28"/>
  <c r="I30" i="28" s="1"/>
  <c r="I132" i="28" s="1"/>
  <c r="M67" i="28"/>
  <c r="M30" i="28" s="1"/>
  <c r="M132" i="28" s="1"/>
  <c r="P67" i="28"/>
  <c r="P30" i="28" s="1"/>
  <c r="P132" i="28" s="1"/>
  <c r="X67" i="28"/>
  <c r="X30" i="28" s="1"/>
  <c r="X132" i="28" s="1"/>
  <c r="S67" i="28"/>
  <c r="S30" i="28" s="1"/>
  <c r="S132" i="28" s="1"/>
  <c r="BN30" i="28"/>
  <c r="BN132" i="28" s="1"/>
  <c r="BN137" i="28" s="1"/>
  <c r="O67" i="28"/>
  <c r="O30" i="28" s="1"/>
  <c r="O132" i="28" s="1"/>
  <c r="T67" i="28"/>
  <c r="T30" i="28" s="1"/>
  <c r="T132" i="28" s="1"/>
  <c r="Q67" i="28"/>
  <c r="Q30" i="28" s="1"/>
  <c r="Q132" i="28" s="1"/>
  <c r="N67" i="28"/>
  <c r="N30" i="28" s="1"/>
  <c r="N132" i="28" s="1"/>
  <c r="U67" i="28"/>
  <c r="U30" i="28" s="1"/>
  <c r="U132" i="28" s="1"/>
  <c r="R67" i="28"/>
  <c r="R30" i="28" s="1"/>
  <c r="R132" i="28" s="1"/>
  <c r="W67" i="28"/>
  <c r="W30" i="28" s="1"/>
  <c r="W132" i="28" s="1"/>
  <c r="V67" i="28"/>
  <c r="V30" i="28" s="1"/>
  <c r="V132" i="28" s="1"/>
  <c r="V33" i="22"/>
  <c r="CG12" i="12"/>
  <c r="AA156" i="29"/>
  <c r="Y67" i="28"/>
  <c r="Y30" i="28" s="1"/>
  <c r="Y132" i="28" s="1"/>
  <c r="BO30" i="28"/>
  <c r="BO132" i="28" s="1"/>
  <c r="BO137" i="28" s="1"/>
  <c r="J67" i="28"/>
  <c r="J30" i="28" s="1"/>
  <c r="J132" i="28" s="1"/>
  <c r="BS107" i="14"/>
  <c r="Z110" i="14"/>
  <c r="CC10" i="12"/>
  <c r="BA12" i="13" a="1"/>
  <c r="BA12" i="13" s="1"/>
  <c r="BA148" i="13" s="1"/>
  <c r="BA38" i="13"/>
  <c r="Z156" i="29"/>
  <c r="CD12" i="12"/>
  <c r="O33" i="22"/>
  <c r="BU33" i="22"/>
  <c r="AA33" i="22"/>
  <c r="CF10" i="12"/>
  <c r="BD12" i="13" a="1"/>
  <c r="BD12" i="13" s="1"/>
  <c r="BD148" i="13" s="1"/>
  <c r="BD38" i="13"/>
  <c r="Z33" i="22"/>
  <c r="BR33" i="22"/>
  <c r="AA81" i="29"/>
  <c r="AA44" i="29" s="1"/>
  <c r="AA146" i="29" s="1"/>
  <c r="BU44" i="29"/>
  <c r="BU146" i="29" s="1"/>
  <c r="BU151" i="29" s="1"/>
  <c r="CI10" i="12"/>
  <c r="BG38" i="13"/>
  <c r="BG12" i="13" a="1"/>
  <c r="BG12" i="13" s="1"/>
  <c r="BG148" i="13" s="1"/>
  <c r="AB156" i="29"/>
  <c r="J156" i="29"/>
  <c r="CJ12" i="12"/>
  <c r="BR30" i="28"/>
  <c r="BR132" i="28" s="1"/>
  <c r="BR137" i="28" s="1"/>
  <c r="Z137" i="28" s="1"/>
  <c r="Z67" i="28"/>
  <c r="Z30" i="28" s="1"/>
  <c r="Z132" i="28" s="1"/>
  <c r="X33" i="22"/>
  <c r="N33" i="22"/>
  <c r="BX33" i="22"/>
  <c r="Q33" i="22"/>
  <c r="BZ10" i="12"/>
  <c r="AX12" i="13" a="1"/>
  <c r="AX12" i="13" s="1"/>
  <c r="AX148" i="13" s="1"/>
  <c r="AX38" i="13"/>
  <c r="P33" i="22"/>
  <c r="BU30" i="28"/>
  <c r="BU132" i="28" s="1"/>
  <c r="BU137" i="28" s="1"/>
  <c r="AA137" i="28" s="1"/>
  <c r="AA67" i="28"/>
  <c r="AA30" i="28" s="1"/>
  <c r="AA132" i="28" s="1"/>
  <c r="R33" i="22"/>
  <c r="U33" i="22"/>
  <c r="Y156" i="29"/>
  <c r="CA12" i="12"/>
  <c r="BX156" i="29"/>
  <c r="CH12" i="12" s="1"/>
  <c r="AB151" i="29"/>
  <c r="J33" i="22"/>
  <c r="BO33" i="22"/>
  <c r="Y33" i="22"/>
  <c r="W33" i="22"/>
  <c r="BO44" i="29"/>
  <c r="BO146" i="29" s="1"/>
  <c r="BO151" i="29" s="1"/>
  <c r="Y81" i="29"/>
  <c r="Y44" i="29" s="1"/>
  <c r="Y146" i="29" s="1"/>
  <c r="J81" i="29"/>
  <c r="J44" i="29" s="1"/>
  <c r="J146" i="29" s="1"/>
  <c r="AB81" i="29"/>
  <c r="AB44" i="29" s="1"/>
  <c r="AB146" i="29" s="1"/>
  <c r="AK12" i="12" l="1"/>
  <c r="AK10" i="12" s="1"/>
  <c r="CH10" i="12"/>
  <c r="BF38" i="13"/>
  <c r="BF12" i="13" a="1"/>
  <c r="BF12" i="13" s="1"/>
  <c r="BF148" i="13" s="1"/>
  <c r="BN152" i="29"/>
  <c r="X151" i="29"/>
  <c r="I151" i="29"/>
  <c r="BN156" i="29"/>
  <c r="CD10" i="12"/>
  <c r="BB38" i="13"/>
  <c r="BB12" i="13" a="1"/>
  <c r="BB12" i="13" s="1"/>
  <c r="BB148" i="13" s="1"/>
  <c r="CG10" i="12"/>
  <c r="BE38" i="13"/>
  <c r="BE12" i="13" a="1"/>
  <c r="BE12" i="13" s="1"/>
  <c r="BE148" i="13" s="1"/>
  <c r="CJ10" i="12"/>
  <c r="BH38" i="13"/>
  <c r="BH12" i="13" a="1"/>
  <c r="BH12" i="13" s="1"/>
  <c r="BH148" i="13" s="1"/>
  <c r="BR156" i="29"/>
  <c r="CB12" i="12" s="1"/>
  <c r="Z151" i="29"/>
  <c r="CA10" i="12"/>
  <c r="AY12" i="13" a="1"/>
  <c r="AY12" i="13" s="1"/>
  <c r="AY148" i="13" s="1"/>
  <c r="AY38" i="13"/>
  <c r="BS110" i="14"/>
  <c r="BT107" i="14" s="1"/>
  <c r="BT110" i="14" s="1"/>
  <c r="BU107" i="14" s="1"/>
  <c r="BU110" i="14" s="1"/>
  <c r="AA107" i="14"/>
  <c r="AA151" i="29"/>
  <c r="BU156" i="29"/>
  <c r="CE12" i="12" s="1"/>
  <c r="X137" i="28"/>
  <c r="I137" i="28"/>
  <c r="BN138" i="28"/>
  <c r="J151" i="29"/>
  <c r="Y151" i="29"/>
  <c r="BO156" i="29"/>
  <c r="BY12" i="12" s="1"/>
  <c r="Y137" i="28"/>
  <c r="J137" i="28"/>
  <c r="I138" i="28" l="1"/>
  <c r="X138" i="28"/>
  <c r="BO135" i="28"/>
  <c r="BN141" i="28"/>
  <c r="I156" i="29"/>
  <c r="X156" i="29"/>
  <c r="BX12" i="12"/>
  <c r="BV107" i="14"/>
  <c r="AA110" i="14"/>
  <c r="AI12" i="12"/>
  <c r="AI10" i="12" s="1"/>
  <c r="CB10" i="12"/>
  <c r="AZ12" i="13" a="1"/>
  <c r="AZ12" i="13" s="1"/>
  <c r="AZ148" i="13" s="1"/>
  <c r="AZ38" i="13"/>
  <c r="BO149" i="29"/>
  <c r="I152" i="29"/>
  <c r="X152" i="29"/>
  <c r="BN155" i="29"/>
  <c r="AJ12" i="12"/>
  <c r="AJ10" i="12" s="1"/>
  <c r="CE10" i="12"/>
  <c r="BC38" i="13"/>
  <c r="BC12" i="13" a="1"/>
  <c r="BC12" i="13" s="1"/>
  <c r="BC148" i="13" s="1"/>
  <c r="S12" i="12"/>
  <c r="S10" i="12" s="1"/>
  <c r="AH12" i="12"/>
  <c r="AH10" i="12" s="1"/>
  <c r="BY10" i="12"/>
  <c r="AW38" i="13"/>
  <c r="AW12" i="13" a="1"/>
  <c r="AW12" i="13" s="1"/>
  <c r="AW148" i="13" s="1"/>
  <c r="R12" i="12" l="1"/>
  <c r="R10" i="12" s="1"/>
  <c r="AV38" i="13"/>
  <c r="BX10" i="12"/>
  <c r="AG12" i="12"/>
  <c r="AG10" i="12" s="1"/>
  <c r="AV12" i="13" a="1"/>
  <c r="AV12" i="13" s="1"/>
  <c r="BX75" i="12"/>
  <c r="X141" i="28"/>
  <c r="I141" i="28"/>
  <c r="J135" i="28"/>
  <c r="Y135" i="28"/>
  <c r="BO138" i="28"/>
  <c r="AB107" i="14"/>
  <c r="BV110" i="14"/>
  <c r="BW107" i="14" s="1"/>
  <c r="BW110" i="14" s="1"/>
  <c r="BX107" i="14" s="1"/>
  <c r="BX110" i="14" s="1"/>
  <c r="BX92" i="12"/>
  <c r="X155" i="29"/>
  <c r="I155" i="29"/>
  <c r="J149" i="29"/>
  <c r="Y149" i="29"/>
  <c r="BO152" i="29"/>
  <c r="G18" i="33" l="1" a="1"/>
  <c r="G18" i="33" s="1"/>
  <c r="M18" i="33" a="1"/>
  <c r="M18" i="33" s="1"/>
  <c r="M17" i="33" s="1"/>
  <c r="M99" i="33" s="1" a="1"/>
  <c r="M99" i="33" s="1"/>
  <c r="I18" i="33" a="1"/>
  <c r="I18" i="33" s="1"/>
  <c r="BX20" i="12" a="1"/>
  <c r="BX20" i="12" s="1"/>
  <c r="BY20" i="12" s="1" a="1"/>
  <c r="BY20" i="12" s="1"/>
  <c r="BP135" i="28"/>
  <c r="BP138" i="28" s="1"/>
  <c r="BO141" i="28"/>
  <c r="BY75" i="12" s="1"/>
  <c r="AV24" i="13" a="1"/>
  <c r="AV24" i="13" s="1"/>
  <c r="AG75" i="12"/>
  <c r="AV80" i="13"/>
  <c r="R75" i="12"/>
  <c r="AV148" i="13"/>
  <c r="J14" i="8" a="1"/>
  <c r="J14" i="8" s="1"/>
  <c r="J13" i="8" s="1"/>
  <c r="AO14" i="8" a="1"/>
  <c r="AO14" i="8" s="1"/>
  <c r="AO13" i="8" s="1"/>
  <c r="AB14" i="8" a="1"/>
  <c r="AB14" i="8" s="1"/>
  <c r="AB13" i="8" s="1"/>
  <c r="N14" i="8" a="1"/>
  <c r="N14" i="8" s="1"/>
  <c r="N13" i="8" s="1"/>
  <c r="AL14" i="8" a="1"/>
  <c r="AL14" i="8" s="1"/>
  <c r="AL13" i="8" s="1"/>
  <c r="BP14" i="8" a="1"/>
  <c r="BP14" i="8" s="1"/>
  <c r="BP13" i="8" s="1"/>
  <c r="BB14" i="8" a="1"/>
  <c r="BB14" i="8" s="1"/>
  <c r="BB13" i="8" s="1"/>
  <c r="O14" i="8" a="1"/>
  <c r="O14" i="8" s="1"/>
  <c r="O13" i="8" s="1"/>
  <c r="BY14" i="8" a="1"/>
  <c r="BY14" i="8" s="1"/>
  <c r="BY13" i="8" s="1"/>
  <c r="BJ14" i="8" a="1"/>
  <c r="BJ14" i="8" s="1"/>
  <c r="BJ13" i="8" s="1"/>
  <c r="CD14" i="8" a="1"/>
  <c r="CD14" i="8" s="1"/>
  <c r="CD13" i="8" s="1"/>
  <c r="Z14" i="8" a="1"/>
  <c r="Z14" i="8" s="1"/>
  <c r="Z13" i="8" s="1"/>
  <c r="CB14" i="8" a="1"/>
  <c r="CB14" i="8" s="1"/>
  <c r="CB13" i="8" s="1"/>
  <c r="BH14" i="8" a="1"/>
  <c r="BH14" i="8" s="1"/>
  <c r="BH13" i="8" s="1"/>
  <c r="BR14" i="8" a="1"/>
  <c r="BR14" i="8" s="1"/>
  <c r="BR13" i="8" s="1"/>
  <c r="AX14" i="8" a="1"/>
  <c r="AX14" i="8" s="1"/>
  <c r="AX13" i="8" s="1"/>
  <c r="AI14" i="8" a="1"/>
  <c r="AI14" i="8" s="1"/>
  <c r="AI13" i="8" s="1"/>
  <c r="BC14" i="8" a="1"/>
  <c r="BC14" i="8" s="1"/>
  <c r="BC13" i="8" s="1"/>
  <c r="T14" i="8" a="1"/>
  <c r="T14" i="8" s="1"/>
  <c r="T13" i="8" s="1"/>
  <c r="AA14" i="8" a="1"/>
  <c r="AA14" i="8" s="1"/>
  <c r="AA13" i="8" s="1"/>
  <c r="AC14" i="8" a="1"/>
  <c r="AC14" i="8" s="1"/>
  <c r="AC13" i="8" s="1"/>
  <c r="AT14" i="8" a="1"/>
  <c r="AT14" i="8" s="1"/>
  <c r="AT13" i="8" s="1"/>
  <c r="BI14" i="8" a="1"/>
  <c r="BI14" i="8" s="1"/>
  <c r="BI13" i="8" s="1"/>
  <c r="AN14" i="8" a="1"/>
  <c r="AN14" i="8" s="1"/>
  <c r="AN13" i="8" s="1"/>
  <c r="AV14" i="8" a="1"/>
  <c r="AV14" i="8" s="1"/>
  <c r="AV13" i="8" s="1"/>
  <c r="AS14" i="8" a="1"/>
  <c r="AS14" i="8" s="1"/>
  <c r="AS13" i="8" s="1"/>
  <c r="BQ14" i="8" a="1"/>
  <c r="BQ14" i="8" s="1"/>
  <c r="BQ13" i="8" s="1"/>
  <c r="BD14" i="8" a="1"/>
  <c r="BD14" i="8" s="1"/>
  <c r="BD13" i="8" s="1"/>
  <c r="BO14" i="8" a="1"/>
  <c r="BO14" i="8" s="1"/>
  <c r="BO13" i="8" s="1"/>
  <c r="AM14" i="8" a="1"/>
  <c r="AM14" i="8" s="1"/>
  <c r="AM13" i="8" s="1"/>
  <c r="Q14" i="8" a="1"/>
  <c r="Q14" i="8" s="1"/>
  <c r="Q13" i="8" s="1"/>
  <c r="CE14" i="8" a="1"/>
  <c r="CE14" i="8" s="1"/>
  <c r="CE13" i="8" s="1"/>
  <c r="AQ14" i="8" a="1"/>
  <c r="AQ14" i="8" s="1"/>
  <c r="AQ13" i="8" s="1"/>
  <c r="BM14" i="8" a="1"/>
  <c r="BM14" i="8" s="1"/>
  <c r="BM13" i="8" s="1"/>
  <c r="AE14" i="8" a="1"/>
  <c r="AE14" i="8" s="1"/>
  <c r="AE13" i="8" s="1"/>
  <c r="BL14" i="8" a="1"/>
  <c r="BL14" i="8" s="1"/>
  <c r="BL13" i="8" s="1"/>
  <c r="AZ14" i="8" a="1"/>
  <c r="AZ14" i="8" s="1"/>
  <c r="AZ13" i="8" s="1"/>
  <c r="BV14" i="8" a="1"/>
  <c r="BV14" i="8" s="1"/>
  <c r="BV13" i="8" s="1"/>
  <c r="AR14" i="8" a="1"/>
  <c r="AR14" i="8" s="1"/>
  <c r="AR13" i="8" s="1"/>
  <c r="CC14" i="8" a="1"/>
  <c r="CC14" i="8" s="1"/>
  <c r="CC13" i="8" s="1"/>
  <c r="AP14" i="8" a="1"/>
  <c r="AP14" i="8" s="1"/>
  <c r="AP13" i="8" s="1"/>
  <c r="CA14" i="8" a="1"/>
  <c r="CA14" i="8" s="1"/>
  <c r="CA13" i="8" s="1"/>
  <c r="BK14" i="8" a="1"/>
  <c r="BK14" i="8" s="1"/>
  <c r="BK13" i="8" s="1"/>
  <c r="BT14" i="8" a="1"/>
  <c r="BT14" i="8" s="1"/>
  <c r="BT13" i="8" s="1"/>
  <c r="AU14" i="8" a="1"/>
  <c r="AU14" i="8" s="1"/>
  <c r="AU13" i="8" s="1"/>
  <c r="P14" i="8" a="1"/>
  <c r="P14" i="8" s="1"/>
  <c r="P13" i="8" s="1"/>
  <c r="BX14" i="8" a="1"/>
  <c r="BX14" i="8" s="1"/>
  <c r="BX13" i="8" s="1"/>
  <c r="K14" i="8" a="1"/>
  <c r="K14" i="8" s="1"/>
  <c r="K13" i="8" s="1"/>
  <c r="BY18" i="12" a="1"/>
  <c r="BY18" i="12" s="1"/>
  <c r="BE14" i="8" a="1"/>
  <c r="BE14" i="8" s="1"/>
  <c r="BE13" i="8" s="1"/>
  <c r="BW14" i="8" a="1"/>
  <c r="BW14" i="8" s="1"/>
  <c r="BW13" i="8" s="1"/>
  <c r="AG14" i="8" a="1"/>
  <c r="AG14" i="8" s="1"/>
  <c r="AG13" i="8" s="1"/>
  <c r="U14" i="8" a="1"/>
  <c r="U14" i="8" s="1"/>
  <c r="U13" i="8" s="1"/>
  <c r="BG14" i="8" a="1"/>
  <c r="BG14" i="8" s="1"/>
  <c r="BG13" i="8" s="1"/>
  <c r="AY14" i="8" a="1"/>
  <c r="AY14" i="8" s="1"/>
  <c r="AY13" i="8" s="1"/>
  <c r="CG14" i="8" a="1"/>
  <c r="CG14" i="8" s="1"/>
  <c r="CG13" i="8" s="1"/>
  <c r="CF14" i="8" a="1"/>
  <c r="CF14" i="8" s="1"/>
  <c r="CF13" i="8" s="1"/>
  <c r="AH14" i="8" a="1"/>
  <c r="AH14" i="8" s="1"/>
  <c r="AH13" i="8" s="1"/>
  <c r="BU14" i="8" a="1"/>
  <c r="BU14" i="8" s="1"/>
  <c r="BU13" i="8" s="1"/>
  <c r="AF14" i="8" a="1"/>
  <c r="AF14" i="8" s="1"/>
  <c r="AF13" i="8" s="1"/>
  <c r="AW14" i="8" a="1"/>
  <c r="AW14" i="8" s="1"/>
  <c r="AW13" i="8" s="1"/>
  <c r="AD14" i="8" a="1"/>
  <c r="AD14" i="8" s="1"/>
  <c r="AD13" i="8" s="1"/>
  <c r="BF14" i="8" a="1"/>
  <c r="BF14" i="8" s="1"/>
  <c r="BF13" i="8" s="1"/>
  <c r="BS14" i="8" a="1"/>
  <c r="BS14" i="8" s="1"/>
  <c r="BS13" i="8" s="1"/>
  <c r="X14" i="8" a="1"/>
  <c r="X14" i="8" s="1"/>
  <c r="X13" i="8" s="1"/>
  <c r="V14" i="8" a="1"/>
  <c r="V14" i="8" s="1"/>
  <c r="V13" i="8" s="1"/>
  <c r="BA14" i="8" a="1"/>
  <c r="BA14" i="8" s="1"/>
  <c r="BA13" i="8" s="1"/>
  <c r="Y14" i="8" a="1"/>
  <c r="Y14" i="8" s="1"/>
  <c r="Y13" i="8" s="1"/>
  <c r="W14" i="8" a="1"/>
  <c r="W14" i="8" s="1"/>
  <c r="W13" i="8" s="1"/>
  <c r="BN14" i="8" a="1"/>
  <c r="BN14" i="8" s="1"/>
  <c r="BN13" i="8" s="1"/>
  <c r="BX94" i="12" a="1"/>
  <c r="BX94" i="12" s="1"/>
  <c r="BX77" i="12" a="1"/>
  <c r="BX77" i="12" s="1"/>
  <c r="BX32" i="12" a="1"/>
  <c r="BX32" i="12" s="1"/>
  <c r="BX51" i="12" a="1"/>
  <c r="BX51" i="12" s="1"/>
  <c r="BZ14" i="8" a="1"/>
  <c r="BZ14" i="8" s="1"/>
  <c r="BZ13" i="8" s="1"/>
  <c r="BX79" i="12" a="1"/>
  <c r="BX79" i="12" s="1"/>
  <c r="BX59" i="12" a="1"/>
  <c r="BX59" i="12" s="1"/>
  <c r="BX102" i="12" a="1"/>
  <c r="BX102" i="12" s="1"/>
  <c r="BX78" i="12" a="1"/>
  <c r="BX78" i="12" s="1"/>
  <c r="BX48" i="12" a="1"/>
  <c r="BX48" i="12" s="1"/>
  <c r="BX28" i="12" a="1"/>
  <c r="BX28" i="12" s="1"/>
  <c r="BX37" i="12" a="1"/>
  <c r="BX37" i="12" s="1"/>
  <c r="BX30" i="12" a="1"/>
  <c r="BX30" i="12" s="1"/>
  <c r="BX29" i="12" a="1"/>
  <c r="BX29" i="12" s="1"/>
  <c r="BX31" i="12" a="1"/>
  <c r="BX31" i="12" s="1"/>
  <c r="BX90" i="12" a="1"/>
  <c r="BX90" i="12" s="1"/>
  <c r="BX19" i="12" a="1"/>
  <c r="BX19" i="12" s="1"/>
  <c r="BX50" i="12" a="1"/>
  <c r="BX50" i="12" s="1"/>
  <c r="BX38" i="12" a="1"/>
  <c r="BX38" i="12" s="1"/>
  <c r="BX97" i="12" a="1"/>
  <c r="BX97" i="12" s="1"/>
  <c r="BX91" i="12" a="1"/>
  <c r="BX91" i="12" s="1"/>
  <c r="BX49" i="12" a="1"/>
  <c r="BX49" i="12" s="1"/>
  <c r="BX40" i="12" a="1"/>
  <c r="BX40" i="12" s="1"/>
  <c r="BX36" i="12" a="1"/>
  <c r="BX36" i="12" s="1"/>
  <c r="BX58" i="12" a="1"/>
  <c r="BX58" i="12" s="1"/>
  <c r="BX47" i="12" a="1"/>
  <c r="BX47" i="12" s="1"/>
  <c r="BX95" i="12" a="1"/>
  <c r="BX95" i="12" s="1"/>
  <c r="BX21" i="12" a="1"/>
  <c r="BX21" i="12" s="1"/>
  <c r="BX33" i="12" a="1"/>
  <c r="BX33" i="12" s="1"/>
  <c r="BX34" i="12" a="1"/>
  <c r="BX34" i="12" s="1"/>
  <c r="BX76" i="12" a="1"/>
  <c r="BX76" i="12" s="1"/>
  <c r="BX35" i="12" a="1"/>
  <c r="BX35" i="12" s="1"/>
  <c r="BX96" i="12" a="1"/>
  <c r="BX96" i="12" s="1"/>
  <c r="BX39" i="12" a="1"/>
  <c r="BX39" i="12" s="1"/>
  <c r="BX41" i="12" a="1"/>
  <c r="BX41" i="12" s="1"/>
  <c r="BX46" i="12" a="1"/>
  <c r="BX46" i="12" s="1"/>
  <c r="BX101" i="12" a="1"/>
  <c r="BX101" i="12" s="1"/>
  <c r="BX64" i="12" a="1"/>
  <c r="BX64" i="12" s="1"/>
  <c r="BX52" i="12" a="1"/>
  <c r="BX52" i="12" s="1"/>
  <c r="BX93" i="12" a="1"/>
  <c r="BX93" i="12" s="1"/>
  <c r="BC10" i="9" a="1"/>
  <c r="BC10" i="9" s="1"/>
  <c r="BC13" i="9" s="1"/>
  <c r="BN10" i="9" a="1"/>
  <c r="BN10" i="9" s="1"/>
  <c r="BN13" i="9" s="1"/>
  <c r="Z10" i="9" a="1"/>
  <c r="Z10" i="9" s="1"/>
  <c r="Z13" i="9" s="1"/>
  <c r="BG10" i="9" a="1"/>
  <c r="BG10" i="9" s="1"/>
  <c r="BG13" i="9" s="1"/>
  <c r="BX10" i="9" a="1"/>
  <c r="BX10" i="9" s="1"/>
  <c r="BX13" i="9" s="1"/>
  <c r="Y10" i="9" a="1"/>
  <c r="Y10" i="9" s="1"/>
  <c r="Y13" i="9" s="1"/>
  <c r="AL10" i="9" a="1"/>
  <c r="AL10" i="9" s="1"/>
  <c r="AL13" i="9" s="1"/>
  <c r="AX10" i="9" a="1"/>
  <c r="AX10" i="9" s="1"/>
  <c r="AX13" i="9" s="1"/>
  <c r="O10" i="9" a="1"/>
  <c r="O10" i="9" s="1"/>
  <c r="O13" i="9" s="1"/>
  <c r="I10" i="9" a="1"/>
  <c r="I10" i="9" s="1"/>
  <c r="I13" i="9" s="1"/>
  <c r="AF10" i="9" a="1"/>
  <c r="AF10" i="9" s="1"/>
  <c r="AF13" i="9" s="1"/>
  <c r="R10" i="9" a="1"/>
  <c r="R10" i="9" s="1"/>
  <c r="R13" i="9" s="1"/>
  <c r="AU10" i="9" a="1"/>
  <c r="AU10" i="9" s="1"/>
  <c r="AU13" i="9" s="1"/>
  <c r="BM10" i="9" a="1"/>
  <c r="BM10" i="9" s="1"/>
  <c r="BM13" i="9" s="1"/>
  <c r="P10" i="9" a="1"/>
  <c r="P10" i="9" s="1"/>
  <c r="P13" i="9" s="1"/>
  <c r="AY10" i="9" a="1"/>
  <c r="AY10" i="9" s="1"/>
  <c r="AY13" i="9" s="1"/>
  <c r="U10" i="9" a="1"/>
  <c r="U10" i="9" s="1"/>
  <c r="U13" i="9" s="1"/>
  <c r="AS10" i="9" a="1"/>
  <c r="AS10" i="9" s="1"/>
  <c r="AS13" i="9" s="1"/>
  <c r="BW10" i="9" a="1"/>
  <c r="BW10" i="9" s="1"/>
  <c r="BW13" i="9" s="1"/>
  <c r="X10" i="9" a="1"/>
  <c r="X10" i="9" s="1"/>
  <c r="X13" i="9" s="1"/>
  <c r="BP10" i="9" a="1"/>
  <c r="BP10" i="9" s="1"/>
  <c r="BP13" i="9" s="1"/>
  <c r="BI10" i="9" a="1"/>
  <c r="BI10" i="9" s="1"/>
  <c r="BI13" i="9" s="1"/>
  <c r="BQ10" i="9" a="1"/>
  <c r="BQ10" i="9" s="1"/>
  <c r="BQ13" i="9" s="1"/>
  <c r="BU10" i="9" a="1"/>
  <c r="BU10" i="9" s="1"/>
  <c r="BU13" i="9" s="1"/>
  <c r="BV10" i="9" a="1"/>
  <c r="BV10" i="9" s="1"/>
  <c r="BV13" i="9" s="1"/>
  <c r="AZ10" i="9" a="1"/>
  <c r="AZ10" i="9" s="1"/>
  <c r="AZ13" i="9" s="1"/>
  <c r="AO10" i="9" a="1"/>
  <c r="AO10" i="9" s="1"/>
  <c r="AO13" i="9" s="1"/>
  <c r="BJ10" i="9" a="1"/>
  <c r="BJ10" i="9" s="1"/>
  <c r="BJ13" i="9" s="1"/>
  <c r="AA10" i="9" a="1"/>
  <c r="AA10" i="9" s="1"/>
  <c r="AA13" i="9" s="1"/>
  <c r="N10" i="9" a="1"/>
  <c r="N10" i="9" s="1"/>
  <c r="N13" i="9" s="1"/>
  <c r="V10" i="9" a="1"/>
  <c r="V10" i="9" s="1"/>
  <c r="V13" i="9" s="1"/>
  <c r="AK10" i="9" a="1"/>
  <c r="AK10" i="9" s="1"/>
  <c r="AK13" i="9" s="1"/>
  <c r="AD10" i="9" a="1"/>
  <c r="AD10" i="9" s="1"/>
  <c r="AD13" i="9" s="1"/>
  <c r="BR10" i="9" a="1"/>
  <c r="BR10" i="9" s="1"/>
  <c r="BR13" i="9" s="1"/>
  <c r="AQ10" i="9" a="1"/>
  <c r="AQ10" i="9" s="1"/>
  <c r="AQ13" i="9" s="1"/>
  <c r="BF10" i="9" a="1"/>
  <c r="BF10" i="9" s="1"/>
  <c r="BF13" i="9" s="1"/>
  <c r="BB10" i="9" a="1"/>
  <c r="BB10" i="9" s="1"/>
  <c r="BB13" i="9" s="1"/>
  <c r="AN10" i="9" a="1"/>
  <c r="AN10" i="9" s="1"/>
  <c r="AN13" i="9" s="1"/>
  <c r="AE10" i="9" a="1"/>
  <c r="AE10" i="9" s="1"/>
  <c r="AE13" i="9" s="1"/>
  <c r="AT10" i="9" a="1"/>
  <c r="AT10" i="9" s="1"/>
  <c r="AT13" i="9" s="1"/>
  <c r="AG10" i="9" a="1"/>
  <c r="AG10" i="9" s="1"/>
  <c r="AG13" i="9" s="1"/>
  <c r="BL10" i="9" a="1"/>
  <c r="BL10" i="9" s="1"/>
  <c r="BL13" i="9" s="1"/>
  <c r="AI10" i="9" a="1"/>
  <c r="AI10" i="9" s="1"/>
  <c r="AI13" i="9" s="1"/>
  <c r="W10" i="9" a="1"/>
  <c r="W10" i="9" s="1"/>
  <c r="W13" i="9" s="1"/>
  <c r="AW10" i="9" a="1"/>
  <c r="AW10" i="9" s="1"/>
  <c r="AW13" i="9" s="1"/>
  <c r="M10" i="9" a="1"/>
  <c r="M10" i="9" s="1"/>
  <c r="M13" i="9" s="1"/>
  <c r="AR10" i="9" a="1"/>
  <c r="AR10" i="9" s="1"/>
  <c r="AR13" i="9" s="1"/>
  <c r="Q10" i="9" a="1"/>
  <c r="Q10" i="9" s="1"/>
  <c r="Q13" i="9" s="1"/>
  <c r="BH10" i="9" a="1"/>
  <c r="BH10" i="9" s="1"/>
  <c r="BH13" i="9" s="1"/>
  <c r="AP10" i="9" a="1"/>
  <c r="AP10" i="9" s="1"/>
  <c r="AP13" i="9" s="1"/>
  <c r="BS10" i="9" a="1"/>
  <c r="BS10" i="9" s="1"/>
  <c r="BS13" i="9" s="1"/>
  <c r="BD10" i="9" a="1"/>
  <c r="BD10" i="9" s="1"/>
  <c r="BD13" i="9" s="1"/>
  <c r="F10" i="9" a="1"/>
  <c r="F10" i="9" s="1"/>
  <c r="F13" i="9" s="1"/>
  <c r="AV10" i="9" a="1"/>
  <c r="AV10" i="9" s="1"/>
  <c r="AV13" i="9" s="1"/>
  <c r="AM10" i="9" a="1"/>
  <c r="AM10" i="9" s="1"/>
  <c r="AM13" i="9" s="1"/>
  <c r="AH10" i="9" a="1"/>
  <c r="AH10" i="9" s="1"/>
  <c r="AH13" i="9" s="1"/>
  <c r="BT10" i="9" a="1"/>
  <c r="BT10" i="9" s="1"/>
  <c r="BT13" i="9" s="1"/>
  <c r="BY10" i="9" a="1"/>
  <c r="BY10" i="9" s="1"/>
  <c r="BY13" i="9" s="1"/>
  <c r="L10" i="9" a="1"/>
  <c r="L10" i="9" s="1"/>
  <c r="L13" i="9" s="1"/>
  <c r="AJ10" i="9" a="1"/>
  <c r="AJ10" i="9" s="1"/>
  <c r="AJ13" i="9" s="1"/>
  <c r="G10" i="9" a="1"/>
  <c r="G10" i="9" s="1"/>
  <c r="G13" i="9" s="1"/>
  <c r="BK10" i="9" a="1"/>
  <c r="BK10" i="9" s="1"/>
  <c r="BK13" i="9" s="1"/>
  <c r="H10" i="9" a="1"/>
  <c r="H10" i="9" s="1"/>
  <c r="H13" i="9" s="1"/>
  <c r="BA10" i="9" a="1"/>
  <c r="BA10" i="9" s="1"/>
  <c r="BA13" i="9" s="1"/>
  <c r="T10" i="9" a="1"/>
  <c r="T10" i="9" s="1"/>
  <c r="T13" i="9" s="1"/>
  <c r="BE10" i="9" a="1"/>
  <c r="BE10" i="9" s="1"/>
  <c r="BE13" i="9" s="1"/>
  <c r="S10" i="9" a="1"/>
  <c r="S10" i="9" s="1"/>
  <c r="S13" i="9" s="1"/>
  <c r="BO10" i="9" a="1"/>
  <c r="BO10" i="9" s="1"/>
  <c r="BO13" i="9" s="1"/>
  <c r="AV32" i="13" a="1"/>
  <c r="AV32" i="13" s="1"/>
  <c r="AG92" i="12"/>
  <c r="AV94" i="13"/>
  <c r="R92" i="12"/>
  <c r="AB110" i="14"/>
  <c r="BY107" i="14"/>
  <c r="BP149" i="29"/>
  <c r="BP152" i="29" s="1"/>
  <c r="BO155" i="29"/>
  <c r="BY92" i="12" s="1"/>
  <c r="J18" i="33" l="1"/>
  <c r="K18" i="33" s="1"/>
  <c r="I17" i="33"/>
  <c r="I99" i="33" s="1" a="1"/>
  <c r="I99" i="33" s="1"/>
  <c r="G17" i="33"/>
  <c r="N18" i="33"/>
  <c r="O18" i="33" s="1"/>
  <c r="BZ20" i="12" a="1"/>
  <c r="BZ20" i="12" s="1"/>
  <c r="AV58" i="13"/>
  <c r="BY40" i="12" a="1"/>
  <c r="BY40" i="12" s="1"/>
  <c r="R40" i="12"/>
  <c r="AG40" i="12"/>
  <c r="N149" i="8" a="1"/>
  <c r="N149" i="8" s="1"/>
  <c r="T65" i="9" a="1"/>
  <c r="T65" i="9" s="1"/>
  <c r="BY65" i="9" a="1"/>
  <c r="BY65" i="9" s="1"/>
  <c r="AR65" i="9" a="1"/>
  <c r="AR65" i="9" s="1"/>
  <c r="V65" i="9" a="1"/>
  <c r="V65" i="9" s="1"/>
  <c r="P65" i="9" a="1"/>
  <c r="P65" i="9" s="1"/>
  <c r="AV17" i="13" a="1"/>
  <c r="AV17" i="13" s="1"/>
  <c r="AV64" i="13"/>
  <c r="BY46" i="12" a="1"/>
  <c r="BY46" i="12" s="1"/>
  <c r="R46" i="12"/>
  <c r="AG46" i="12"/>
  <c r="AV67" i="13"/>
  <c r="BY49" i="12" a="1"/>
  <c r="BY49" i="12" s="1"/>
  <c r="AG49" i="12"/>
  <c r="R49" i="12"/>
  <c r="AV19" i="13" a="1"/>
  <c r="AV19" i="13" s="1"/>
  <c r="AV66" i="13"/>
  <c r="BY48" i="12" a="1"/>
  <c r="BY48" i="12" s="1"/>
  <c r="R48" i="12"/>
  <c r="AG48" i="12"/>
  <c r="BA149" i="8" a="1"/>
  <c r="BA149" i="8" s="1"/>
  <c r="BW149" i="8" a="1"/>
  <c r="BW149" i="8" s="1"/>
  <c r="AE149" i="8" a="1"/>
  <c r="AE149" i="8" s="1"/>
  <c r="T149" i="8" a="1"/>
  <c r="T149" i="8" s="1"/>
  <c r="AB149" i="8" a="1"/>
  <c r="AB149" i="8" s="1"/>
  <c r="AJ65" i="9" a="1"/>
  <c r="AJ65" i="9" s="1"/>
  <c r="AM65" i="9" a="1"/>
  <c r="AM65" i="9" s="1"/>
  <c r="AW65" i="9" a="1"/>
  <c r="AW65" i="9" s="1"/>
  <c r="AA65" i="9" a="1"/>
  <c r="AA65" i="9" s="1"/>
  <c r="AU65" i="9" a="1"/>
  <c r="AU65" i="9" s="1"/>
  <c r="AV57" i="13"/>
  <c r="BY39" i="12" a="1"/>
  <c r="BY39" i="12" s="1"/>
  <c r="AG39" i="12"/>
  <c r="R39" i="12"/>
  <c r="AV28" i="13" a="1"/>
  <c r="AV28" i="13" s="1"/>
  <c r="AV85" i="13"/>
  <c r="R80" i="12"/>
  <c r="AG80" i="12"/>
  <c r="AV101" i="13"/>
  <c r="BY102" i="12" a="1"/>
  <c r="BY102" i="12" s="1"/>
  <c r="BZ102" i="12" s="1" a="1"/>
  <c r="BZ102" i="12" s="1"/>
  <c r="R102" i="12"/>
  <c r="AG102" i="12"/>
  <c r="X149" i="8" a="1"/>
  <c r="X149" i="8" s="1"/>
  <c r="AW42" i="13"/>
  <c r="BZ18" i="12" a="1"/>
  <c r="BZ18" i="12" s="1"/>
  <c r="CA18" i="12" s="1" a="1"/>
  <c r="CA18" i="12" s="1"/>
  <c r="AQ149" i="8" a="1"/>
  <c r="AQ149" i="8" s="1"/>
  <c r="AI149" i="8" a="1"/>
  <c r="AI149" i="8" s="1"/>
  <c r="Q65" i="9" a="1"/>
  <c r="Q65" i="9" s="1"/>
  <c r="AG149" i="8" a="1"/>
  <c r="AG149" i="8" s="1"/>
  <c r="AO149" i="8" a="1"/>
  <c r="AO149" i="8" s="1"/>
  <c r="W65" i="9" a="1"/>
  <c r="W65" i="9" s="1"/>
  <c r="BJ65" i="9" a="1"/>
  <c r="BJ65" i="9" s="1"/>
  <c r="R65" i="9" a="1"/>
  <c r="R65" i="9" s="1"/>
  <c r="AV31" i="13" a="1"/>
  <c r="AV31" i="13" s="1"/>
  <c r="AV98" i="13"/>
  <c r="BY96" i="12" a="1"/>
  <c r="BY96" i="12" s="1"/>
  <c r="R96" i="12"/>
  <c r="AG96" i="12"/>
  <c r="AV99" i="13"/>
  <c r="BY97" i="12" a="1"/>
  <c r="BY97" i="12" s="1"/>
  <c r="R97" i="12"/>
  <c r="AG97" i="12"/>
  <c r="AV88" i="13"/>
  <c r="R83" i="12"/>
  <c r="AG83" i="12"/>
  <c r="BS149" i="8" a="1"/>
  <c r="BS149" i="8" s="1"/>
  <c r="K149" i="8" a="1"/>
  <c r="K149" i="8" s="1"/>
  <c r="CE149" i="8" a="1"/>
  <c r="CE149" i="8" s="1"/>
  <c r="AX149" i="8" a="1"/>
  <c r="AX149" i="8" s="1"/>
  <c r="AY65" i="9" a="1"/>
  <c r="AY65" i="9" s="1"/>
  <c r="N65" i="9" a="1"/>
  <c r="N65" i="9" s="1"/>
  <c r="V149" i="8" a="1"/>
  <c r="V149" i="8" s="1"/>
  <c r="AI65" i="9" a="1"/>
  <c r="AI65" i="9" s="1"/>
  <c r="AO65" i="9" a="1"/>
  <c r="AO65" i="9" s="1"/>
  <c r="AF65" i="9" a="1"/>
  <c r="AF65" i="9" s="1"/>
  <c r="AV56" i="13"/>
  <c r="BY38" i="12" a="1"/>
  <c r="BY38" i="12" s="1"/>
  <c r="BZ38" i="12" s="1" a="1"/>
  <c r="BZ38" i="12" s="1"/>
  <c r="R38" i="12"/>
  <c r="AG38" i="12"/>
  <c r="AV72" i="13"/>
  <c r="BY59" i="12" a="1"/>
  <c r="BY59" i="12" s="1"/>
  <c r="R59" i="12"/>
  <c r="AG59" i="12"/>
  <c r="BF149" i="8" a="1"/>
  <c r="BF149" i="8" s="1"/>
  <c r="BX149" i="8" a="1"/>
  <c r="BX149" i="8" s="1"/>
  <c r="Q149" i="8" a="1"/>
  <c r="Q149" i="8" s="1"/>
  <c r="BR149" i="8" a="1"/>
  <c r="BR149" i="8" s="1"/>
  <c r="AV93" i="13"/>
  <c r="BY91" i="12" a="1"/>
  <c r="BY91" i="12" s="1"/>
  <c r="AG91" i="12"/>
  <c r="R91" i="12"/>
  <c r="BA65" i="9" a="1"/>
  <c r="BA65" i="9" s="1"/>
  <c r="BL65" i="9" a="1"/>
  <c r="BL65" i="9" s="1"/>
  <c r="AZ65" i="9" a="1"/>
  <c r="AZ65" i="9" s="1"/>
  <c r="I65" i="9" a="1"/>
  <c r="I65" i="9" s="1"/>
  <c r="AV53" i="13"/>
  <c r="BY35" i="12" a="1"/>
  <c r="BY35" i="12" s="1"/>
  <c r="AG35" i="12"/>
  <c r="R35" i="12"/>
  <c r="AD149" i="8" a="1"/>
  <c r="AD149" i="8" s="1"/>
  <c r="P149" i="8" a="1"/>
  <c r="P149" i="8" s="1"/>
  <c r="AM149" i="8" a="1"/>
  <c r="AM149" i="8" s="1"/>
  <c r="BH149" i="8" a="1"/>
  <c r="BH149" i="8" s="1"/>
  <c r="AK65" i="9" a="1"/>
  <c r="AK65" i="9" s="1"/>
  <c r="F65" i="9" a="1"/>
  <c r="F65" i="9" s="1"/>
  <c r="BE149" i="8" a="1"/>
  <c r="BE149" i="8" s="1"/>
  <c r="AG65" i="9" a="1"/>
  <c r="AG65" i="9" s="1"/>
  <c r="BV65" i="9" a="1"/>
  <c r="BV65" i="9" s="1"/>
  <c r="O65" i="9" a="1"/>
  <c r="O65" i="9" s="1"/>
  <c r="AV90" i="13"/>
  <c r="R85" i="12"/>
  <c r="AG85" i="12"/>
  <c r="AV27" i="13" a="1"/>
  <c r="AV27" i="13" s="1"/>
  <c r="AV81" i="13"/>
  <c r="BY76" i="12" a="1"/>
  <c r="BY76" i="12" s="1"/>
  <c r="R76" i="12"/>
  <c r="AG76" i="12"/>
  <c r="AV68" i="13"/>
  <c r="BY50" i="12" a="1"/>
  <c r="BY50" i="12" s="1"/>
  <c r="BZ50" i="12" s="1" a="1"/>
  <c r="BZ50" i="12" s="1"/>
  <c r="CA50" i="12" s="1" a="1"/>
  <c r="CA50" i="12" s="1"/>
  <c r="R50" i="12"/>
  <c r="AG50" i="12"/>
  <c r="BY79" i="12" a="1"/>
  <c r="BY79" i="12" s="1"/>
  <c r="R79" i="12"/>
  <c r="AG79" i="12"/>
  <c r="AV84" i="13"/>
  <c r="AW149" i="8" a="1"/>
  <c r="AW149" i="8" s="1"/>
  <c r="AU149" i="8" a="1"/>
  <c r="AU149" i="8" s="1"/>
  <c r="BO149" i="8" a="1"/>
  <c r="BO149" i="8" s="1"/>
  <c r="CB149" i="8" a="1"/>
  <c r="CB149" i="8" s="1"/>
  <c r="AV83" i="13"/>
  <c r="BY78" i="12" a="1"/>
  <c r="BY78" i="12" s="1"/>
  <c r="BZ78" i="12" s="1" a="1"/>
  <c r="BZ78" i="12" s="1"/>
  <c r="R78" i="12"/>
  <c r="AG78" i="12"/>
  <c r="BK65" i="9" a="1"/>
  <c r="BK65" i="9" s="1"/>
  <c r="AV65" i="9" a="1"/>
  <c r="AV65" i="9" s="1"/>
  <c r="AT65" i="9" a="1"/>
  <c r="AT65" i="9" s="1"/>
  <c r="BU65" i="9" a="1"/>
  <c r="BU65" i="9" s="1"/>
  <c r="AX65" i="9" a="1"/>
  <c r="AX65" i="9" s="1"/>
  <c r="AV86" i="13"/>
  <c r="R81" i="12"/>
  <c r="AG81" i="12"/>
  <c r="BZ149" i="8" a="1"/>
  <c r="BZ149" i="8" s="1"/>
  <c r="AF149" i="8" a="1"/>
  <c r="AF149" i="8" s="1"/>
  <c r="BT149" i="8" a="1"/>
  <c r="BT149" i="8" s="1"/>
  <c r="BD149" i="8" a="1"/>
  <c r="BD149" i="8" s="1"/>
  <c r="Z149" i="8" a="1"/>
  <c r="Z149" i="8" s="1"/>
  <c r="J149" i="8" a="1"/>
  <c r="J149" i="8" s="1"/>
  <c r="AV87" i="13"/>
  <c r="R82" i="12"/>
  <c r="AG82" i="12"/>
  <c r="BM65" i="9" a="1"/>
  <c r="BM65" i="9" s="1"/>
  <c r="H65" i="9" a="1"/>
  <c r="H65" i="9" s="1"/>
  <c r="BT65" i="9" a="1"/>
  <c r="BT65" i="9" s="1"/>
  <c r="AE65" i="9" a="1"/>
  <c r="AE65" i="9" s="1"/>
  <c r="BQ65" i="9" a="1"/>
  <c r="BQ65" i="9" s="1"/>
  <c r="AL65" i="9" a="1"/>
  <c r="AL65" i="9" s="1"/>
  <c r="AV95" i="13"/>
  <c r="BY93" i="12" a="1"/>
  <c r="BY93" i="12" s="1"/>
  <c r="R93" i="12"/>
  <c r="AG93" i="12"/>
  <c r="AV52" i="13"/>
  <c r="BY34" i="12" a="1"/>
  <c r="BY34" i="12" s="1"/>
  <c r="R34" i="12"/>
  <c r="AG34" i="12"/>
  <c r="AV43" i="13"/>
  <c r="BY19" i="12" a="1"/>
  <c r="BY19" i="12" s="1"/>
  <c r="R19" i="12"/>
  <c r="AG19" i="12"/>
  <c r="AV69" i="13"/>
  <c r="BY51" i="12" a="1"/>
  <c r="BY51" i="12" s="1"/>
  <c r="AG51" i="12"/>
  <c r="R51" i="12"/>
  <c r="BU149" i="8" a="1"/>
  <c r="BU149" i="8" s="1"/>
  <c r="BK149" i="8" a="1"/>
  <c r="BK149" i="8" s="1"/>
  <c r="BQ149" i="8" a="1"/>
  <c r="BQ149" i="8" s="1"/>
  <c r="CD149" i="8" a="1"/>
  <c r="CD149" i="8" s="1"/>
  <c r="AA149" i="8" a="1"/>
  <c r="AA149" i="8" s="1"/>
  <c r="S65" i="9" a="1"/>
  <c r="S65" i="9" s="1"/>
  <c r="AN65" i="9" a="1"/>
  <c r="AN65" i="9" s="1"/>
  <c r="BI65" i="9" a="1"/>
  <c r="BI65" i="9" s="1"/>
  <c r="Y65" i="9" a="1"/>
  <c r="Y65" i="9" s="1"/>
  <c r="AV70" i="13"/>
  <c r="BY52" i="12" a="1"/>
  <c r="BY52" i="12" s="1"/>
  <c r="BZ52" i="12" s="1" a="1"/>
  <c r="BZ52" i="12" s="1"/>
  <c r="AG52" i="12"/>
  <c r="R52" i="12"/>
  <c r="AV51" i="13"/>
  <c r="BY33" i="12" a="1"/>
  <c r="BY33" i="12" s="1"/>
  <c r="R33" i="12"/>
  <c r="AG33" i="12"/>
  <c r="AV92" i="13"/>
  <c r="AV30" i="13" a="1"/>
  <c r="AV30" i="13" s="1"/>
  <c r="BY90" i="12" a="1"/>
  <c r="BY90" i="12" s="1"/>
  <c r="BZ90" i="12" s="1" a="1"/>
  <c r="BZ90" i="12" s="1"/>
  <c r="AG90" i="12"/>
  <c r="R90" i="12"/>
  <c r="AH149" i="8" a="1"/>
  <c r="AH149" i="8" s="1"/>
  <c r="CA149" i="8" a="1"/>
  <c r="CA149" i="8" s="1"/>
  <c r="AS149" i="8" a="1"/>
  <c r="AS149" i="8" s="1"/>
  <c r="BJ149" i="8" a="1"/>
  <c r="BJ149" i="8" s="1"/>
  <c r="AV16" i="13" a="1"/>
  <c r="AV16" i="13" s="1"/>
  <c r="BY28" i="12" a="1"/>
  <c r="BY28" i="12" s="1"/>
  <c r="BZ28" i="12" s="1" a="1"/>
  <c r="BZ28" i="12" s="1"/>
  <c r="AG28" i="12"/>
  <c r="R28" i="12"/>
  <c r="BX26" i="12"/>
  <c r="AV46" i="13"/>
  <c r="BO65" i="9" a="1"/>
  <c r="BO65" i="9" s="1"/>
  <c r="BB65" i="9" a="1"/>
  <c r="BB65" i="9" s="1"/>
  <c r="BP65" i="9" a="1"/>
  <c r="BP65" i="9" s="1"/>
  <c r="BX65" i="9" a="1"/>
  <c r="BX65" i="9" s="1"/>
  <c r="AV89" i="13"/>
  <c r="AG84" i="12"/>
  <c r="R84" i="12"/>
  <c r="AV45" i="13"/>
  <c r="BY21" i="12" a="1"/>
  <c r="BY21" i="12" s="1"/>
  <c r="BZ21" i="12" s="1" a="1"/>
  <c r="BZ21" i="12" s="1"/>
  <c r="AG21" i="12"/>
  <c r="R21" i="12"/>
  <c r="AV49" i="13"/>
  <c r="BY31" i="12" a="1"/>
  <c r="BY31" i="12" s="1"/>
  <c r="AG31" i="12"/>
  <c r="R31" i="12"/>
  <c r="AV50" i="13"/>
  <c r="BY32" i="12" a="1"/>
  <c r="BY32" i="12" s="1"/>
  <c r="BZ32" i="12" s="1" a="1"/>
  <c r="BZ32" i="12" s="1"/>
  <c r="R32" i="12"/>
  <c r="AG32" i="12"/>
  <c r="CF149" i="8" a="1"/>
  <c r="CF149" i="8" s="1"/>
  <c r="AP149" i="8" a="1"/>
  <c r="AP149" i="8" s="1"/>
  <c r="AV149" i="8" a="1"/>
  <c r="AV149" i="8" s="1"/>
  <c r="BY149" i="8" a="1"/>
  <c r="BY149" i="8" s="1"/>
  <c r="BL149" i="8" a="1"/>
  <c r="BL149" i="8" s="1"/>
  <c r="AV59" i="13"/>
  <c r="BY41" i="12" a="1"/>
  <c r="BY41" i="12" s="1"/>
  <c r="R41" i="12"/>
  <c r="AG41" i="12"/>
  <c r="BE65" i="9" a="1"/>
  <c r="BE65" i="9" s="1"/>
  <c r="L65" i="9" a="1"/>
  <c r="L65" i="9" s="1"/>
  <c r="BD65" i="9" a="1"/>
  <c r="BD65" i="9" s="1"/>
  <c r="BF65" i="9" a="1"/>
  <c r="BF65" i="9" s="1"/>
  <c r="X65" i="9" a="1"/>
  <c r="X65" i="9" s="1"/>
  <c r="BG65" i="9" a="1"/>
  <c r="BG65" i="9" s="1"/>
  <c r="AV97" i="13"/>
  <c r="BY95" i="12" a="1"/>
  <c r="BY95" i="12" s="1"/>
  <c r="BZ95" i="12" s="1" a="1"/>
  <c r="BZ95" i="12" s="1"/>
  <c r="R95" i="12"/>
  <c r="AG95" i="12"/>
  <c r="AV82" i="13"/>
  <c r="BY77" i="12" a="1"/>
  <c r="BY77" i="12" s="1"/>
  <c r="BZ77" i="12" s="1" a="1"/>
  <c r="BZ77" i="12" s="1"/>
  <c r="R77" i="12"/>
  <c r="AG77" i="12"/>
  <c r="CG149" i="8" a="1"/>
  <c r="CG149" i="8" s="1"/>
  <c r="CC149" i="8" a="1"/>
  <c r="CC149" i="8" s="1"/>
  <c r="AN149" i="8" a="1"/>
  <c r="AN149" i="8" s="1"/>
  <c r="O149" i="8" a="1"/>
  <c r="O149" i="8" s="1"/>
  <c r="Y149" i="8" a="1"/>
  <c r="Y149" i="8" s="1"/>
  <c r="BC149" i="8" a="1"/>
  <c r="BC149" i="8" s="1"/>
  <c r="AW32" i="13" a="1"/>
  <c r="AW32" i="13" s="1"/>
  <c r="AW94" i="13"/>
  <c r="BS65" i="9" a="1"/>
  <c r="BS65" i="9" s="1"/>
  <c r="AQ65" i="9" a="1"/>
  <c r="AQ65" i="9" s="1"/>
  <c r="BW65" i="9" a="1"/>
  <c r="BW65" i="9" s="1"/>
  <c r="Z65" i="9" a="1"/>
  <c r="Z65" i="9" s="1"/>
  <c r="AV65" i="13"/>
  <c r="BY47" i="12" a="1"/>
  <c r="BY47" i="12" s="1"/>
  <c r="AG47" i="12"/>
  <c r="R47" i="12"/>
  <c r="AV47" i="13"/>
  <c r="BY29" i="12" a="1"/>
  <c r="BY29" i="12" s="1"/>
  <c r="AV13" i="13" a="1"/>
  <c r="AV13" i="13" s="1"/>
  <c r="AG29" i="12"/>
  <c r="R29" i="12"/>
  <c r="AV96" i="13"/>
  <c r="BY94" i="12" a="1"/>
  <c r="BY94" i="12" s="1"/>
  <c r="BZ94" i="12" s="1" a="1"/>
  <c r="BZ94" i="12" s="1"/>
  <c r="AG94" i="12"/>
  <c r="R94" i="12"/>
  <c r="AY149" i="8" a="1"/>
  <c r="AY149" i="8" s="1"/>
  <c r="AR149" i="8" a="1"/>
  <c r="AR149" i="8" s="1"/>
  <c r="BI149" i="8" a="1"/>
  <c r="BI149" i="8" s="1"/>
  <c r="BB149" i="8" a="1"/>
  <c r="BB149" i="8" s="1"/>
  <c r="M65" i="9" a="1"/>
  <c r="M65" i="9" s="1"/>
  <c r="BM149" i="8" a="1"/>
  <c r="BM149" i="8" s="1"/>
  <c r="G65" i="9" a="1"/>
  <c r="G65" i="9" s="1"/>
  <c r="AH65" i="9" a="1"/>
  <c r="AH65" i="9" s="1"/>
  <c r="AP65" i="9" a="1"/>
  <c r="AP65" i="9" s="1"/>
  <c r="BR65" i="9" a="1"/>
  <c r="BR65" i="9" s="1"/>
  <c r="AS65" i="9" a="1"/>
  <c r="AS65" i="9" s="1"/>
  <c r="BN65" i="9" a="1"/>
  <c r="BN65" i="9" s="1"/>
  <c r="AV74" i="13"/>
  <c r="BY64" i="12" a="1"/>
  <c r="BY64" i="12" s="1"/>
  <c r="AG64" i="12"/>
  <c r="AG61" i="12" s="1"/>
  <c r="R64" i="12"/>
  <c r="R61" i="12" s="1"/>
  <c r="BX61" i="12"/>
  <c r="AV20" i="13" a="1"/>
  <c r="AV20" i="13" s="1"/>
  <c r="AV21" i="13" a="1"/>
  <c r="AV21" i="13" s="1"/>
  <c r="BY58" i="12" a="1"/>
  <c r="BY58" i="12" s="1"/>
  <c r="BZ58" i="12" s="1" a="1"/>
  <c r="BZ58" i="12" s="1"/>
  <c r="AG58" i="12"/>
  <c r="BX56" i="12"/>
  <c r="AV71" i="13"/>
  <c r="R58" i="12"/>
  <c r="AV48" i="13"/>
  <c r="BY30" i="12" a="1"/>
  <c r="BY30" i="12" s="1"/>
  <c r="AG30" i="12"/>
  <c r="R30" i="12"/>
  <c r="BN149" i="8" a="1"/>
  <c r="BN149" i="8" s="1"/>
  <c r="BG149" i="8" a="1"/>
  <c r="BG149" i="8" s="1"/>
  <c r="BV149" i="8" a="1"/>
  <c r="BV149" i="8" s="1"/>
  <c r="AT149" i="8" a="1"/>
  <c r="AT149" i="8" s="1"/>
  <c r="BP149" i="8" a="1"/>
  <c r="BP149" i="8" s="1"/>
  <c r="AW24" i="13" a="1"/>
  <c r="AW24" i="13" s="1"/>
  <c r="AW80" i="13"/>
  <c r="BP155" i="29"/>
  <c r="BZ92" i="12" s="1"/>
  <c r="BQ149" i="29"/>
  <c r="BQ152" i="29" s="1"/>
  <c r="BY110" i="14"/>
  <c r="BZ107" i="14" s="1"/>
  <c r="BZ110" i="14" s="1"/>
  <c r="CA107" i="14" s="1"/>
  <c r="CA110" i="14" s="1"/>
  <c r="AC107" i="14"/>
  <c r="BH65" i="9" a="1"/>
  <c r="BH65" i="9" s="1"/>
  <c r="AD65" i="9" a="1"/>
  <c r="AD65" i="9" s="1"/>
  <c r="U65" i="9" a="1"/>
  <c r="U65" i="9" s="1"/>
  <c r="BC65" i="9" a="1"/>
  <c r="BC65" i="9" s="1"/>
  <c r="AV33" i="13" a="1"/>
  <c r="AV33" i="13" s="1"/>
  <c r="BY101" i="12" a="1"/>
  <c r="BY101" i="12" s="1"/>
  <c r="AV100" i="13"/>
  <c r="R101" i="12"/>
  <c r="AG101" i="12"/>
  <c r="AV54" i="13"/>
  <c r="AV18" i="13" a="1"/>
  <c r="AV18" i="13" s="1"/>
  <c r="BY36" i="12" a="1"/>
  <c r="BY36" i="12" s="1"/>
  <c r="R36" i="12"/>
  <c r="AG36" i="12"/>
  <c r="AV55" i="13"/>
  <c r="BY37" i="12" a="1"/>
  <c r="BY37" i="12" s="1"/>
  <c r="BZ37" i="12" s="1" a="1"/>
  <c r="BZ37" i="12" s="1"/>
  <c r="AG37" i="12"/>
  <c r="R37" i="12"/>
  <c r="W149" i="8" a="1"/>
  <c r="W149" i="8" s="1"/>
  <c r="U149" i="8" a="1"/>
  <c r="U149" i="8" s="1"/>
  <c r="AZ149" i="8" a="1"/>
  <c r="AZ149" i="8" s="1"/>
  <c r="AC149" i="8" a="1"/>
  <c r="AC149" i="8" s="1"/>
  <c r="AL149" i="8" a="1"/>
  <c r="AL149" i="8" s="1"/>
  <c r="BQ135" i="28"/>
  <c r="BQ138" i="28" s="1"/>
  <c r="BP141" i="28"/>
  <c r="BZ75" i="12" s="1"/>
  <c r="N17" i="33" l="1"/>
  <c r="O17" i="33" s="1"/>
  <c r="J17" i="33"/>
  <c r="K17" i="33" s="1"/>
  <c r="G99" i="33" a="1"/>
  <c r="G99" i="33" s="1"/>
  <c r="CA20" i="12" a="1"/>
  <c r="CA20" i="12" s="1"/>
  <c r="CB20" i="12" s="1" a="1"/>
  <c r="CB20" i="12" s="1"/>
  <c r="R56" i="12"/>
  <c r="R66" i="12" s="1"/>
  <c r="AG56" i="12"/>
  <c r="CA95" i="12" a="1"/>
  <c r="CA95" i="12" s="1"/>
  <c r="AH95" i="12" s="1"/>
  <c r="BZ31" i="12" a="1"/>
  <c r="BZ31" i="12" s="1"/>
  <c r="CA31" i="12" s="1" a="1"/>
  <c r="CA31" i="12" s="1"/>
  <c r="CA21" i="12" a="1"/>
  <c r="CA21" i="12" s="1"/>
  <c r="AH21" i="12" s="1"/>
  <c r="BZ51" i="12" a="1"/>
  <c r="BZ51" i="12" s="1"/>
  <c r="CA51" i="12" s="1" a="1"/>
  <c r="CA51" i="12" s="1"/>
  <c r="BZ34" i="12" a="1"/>
  <c r="BZ34" i="12" s="1"/>
  <c r="CA34" i="12" s="1" a="1"/>
  <c r="CA34" i="12" s="1"/>
  <c r="AY52" i="13" s="1"/>
  <c r="BZ93" i="12" a="1"/>
  <c r="BZ93" i="12" s="1"/>
  <c r="CA93" i="12" s="1" a="1"/>
  <c r="CA93" i="12" s="1"/>
  <c r="CA38" i="12" a="1"/>
  <c r="CA38" i="12" s="1"/>
  <c r="AY56" i="13" s="1"/>
  <c r="AX83" i="13"/>
  <c r="CA78" i="12" a="1"/>
  <c r="CA78" i="12" s="1"/>
  <c r="CB78" i="12" s="1" a="1"/>
  <c r="CB78" i="12" s="1"/>
  <c r="AX101" i="13"/>
  <c r="CA102" i="12" a="1"/>
  <c r="CA102" i="12" s="1"/>
  <c r="CB102" i="12" s="1" a="1"/>
  <c r="CB102" i="12" s="1"/>
  <c r="AX85" i="13"/>
  <c r="AX55" i="13"/>
  <c r="CA37" i="12" a="1"/>
  <c r="CA37" i="12" s="1"/>
  <c r="CB37" i="12" s="1" a="1"/>
  <c r="CB37" i="12" s="1"/>
  <c r="AX71" i="13"/>
  <c r="AX92" i="13"/>
  <c r="AX82" i="13"/>
  <c r="CA77" i="12" a="1"/>
  <c r="CA77" i="12" s="1"/>
  <c r="CB77" i="12" s="1" a="1"/>
  <c r="CB77" i="12" s="1"/>
  <c r="AY42" i="13"/>
  <c r="AH18" i="12"/>
  <c r="AY68" i="13"/>
  <c r="AW70" i="13"/>
  <c r="AW90" i="13"/>
  <c r="AW99" i="13"/>
  <c r="AV150" i="13"/>
  <c r="AW49" i="13"/>
  <c r="AV159" i="13"/>
  <c r="CA52" i="12" a="1"/>
  <c r="CA52" i="12" s="1"/>
  <c r="AW69" i="13"/>
  <c r="AX70" i="13"/>
  <c r="R26" i="12"/>
  <c r="AW87" i="13"/>
  <c r="AG26" i="12"/>
  <c r="AW92" i="13"/>
  <c r="AW30" i="13" a="1"/>
  <c r="AW30" i="13" s="1"/>
  <c r="AX87" i="13"/>
  <c r="AX68" i="13"/>
  <c r="AW53" i="13"/>
  <c r="AW98" i="13"/>
  <c r="AW31" i="13" a="1"/>
  <c r="AW31" i="13" s="1"/>
  <c r="AW28" i="13" a="1"/>
  <c r="AW28" i="13" s="1"/>
  <c r="AW85" i="13"/>
  <c r="BR135" i="28"/>
  <c r="Y138" i="28"/>
  <c r="BQ141" i="28"/>
  <c r="AW46" i="13"/>
  <c r="BY26" i="12"/>
  <c r="AW16" i="13" a="1"/>
  <c r="AW16" i="13" s="1"/>
  <c r="CA90" i="12" a="1"/>
  <c r="CA90" i="12" s="1"/>
  <c r="AW95" i="13"/>
  <c r="AH50" i="12"/>
  <c r="CB50" i="12" a="1"/>
  <c r="CB50" i="12" s="1"/>
  <c r="AW68" i="13"/>
  <c r="BZ35" i="12" a="1"/>
  <c r="BZ35" i="12" s="1"/>
  <c r="CB18" i="12" a="1"/>
  <c r="CB18" i="12" s="1"/>
  <c r="CC18" i="12" s="1" a="1"/>
  <c r="CC18" i="12" s="1"/>
  <c r="AW67" i="13"/>
  <c r="AW33" i="13" a="1"/>
  <c r="AW33" i="13" s="1"/>
  <c r="AW100" i="13"/>
  <c r="AV152" i="13"/>
  <c r="AW59" i="13"/>
  <c r="AX46" i="13"/>
  <c r="AW86" i="13"/>
  <c r="BZ96" i="12" a="1"/>
  <c r="BZ96" i="12" s="1"/>
  <c r="CA96" i="12" s="1" a="1"/>
  <c r="CA96" i="12" s="1"/>
  <c r="BZ49" i="12" a="1"/>
  <c r="BZ49" i="12" s="1"/>
  <c r="CA49" i="12" s="1" a="1"/>
  <c r="CA49" i="12" s="1"/>
  <c r="AV151" i="13"/>
  <c r="AX45" i="13"/>
  <c r="CA28" i="12" a="1"/>
  <c r="CA28" i="12" s="1"/>
  <c r="AX42" i="13"/>
  <c r="BZ29" i="12" a="1"/>
  <c r="BZ29" i="12" s="1"/>
  <c r="AX24" i="13" a="1"/>
  <c r="AX24" i="13" s="1"/>
  <c r="AX80" i="13"/>
  <c r="BQ155" i="29"/>
  <c r="Y152" i="29"/>
  <c r="BR149" i="29"/>
  <c r="AW65" i="13"/>
  <c r="BZ41" i="12" a="1"/>
  <c r="BZ41" i="12" s="1"/>
  <c r="AW45" i="13"/>
  <c r="AW72" i="13"/>
  <c r="AW88" i="13"/>
  <c r="BZ101" i="12" a="1"/>
  <c r="BZ101" i="12" s="1"/>
  <c r="AW74" i="13"/>
  <c r="AW161" i="13" s="1"/>
  <c r="AW20" i="13" a="1"/>
  <c r="AW20" i="13" s="1"/>
  <c r="BY61" i="12"/>
  <c r="AW54" i="13"/>
  <c r="AW18" i="13" a="1"/>
  <c r="AW18" i="13" s="1"/>
  <c r="BZ30" i="12" a="1"/>
  <c r="BZ30" i="12" s="1"/>
  <c r="BZ47" i="12" a="1"/>
  <c r="BZ47" i="12" s="1"/>
  <c r="CA47" i="12" s="1" a="1"/>
  <c r="CA47" i="12" s="1"/>
  <c r="AW43" i="13"/>
  <c r="BZ59" i="12" a="1"/>
  <c r="BZ59" i="12" s="1"/>
  <c r="CA59" i="12" s="1" a="1"/>
  <c r="CA59" i="12" s="1"/>
  <c r="K110" i="14"/>
  <c r="AC110" i="14"/>
  <c r="AX32" i="13" a="1"/>
  <c r="AX32" i="13" s="1"/>
  <c r="AX94" i="13"/>
  <c r="BZ64" i="12" a="1"/>
  <c r="BZ64" i="12" s="1"/>
  <c r="CA64" i="12" s="1" a="1"/>
  <c r="CA64" i="12" s="1"/>
  <c r="AW51" i="13"/>
  <c r="BZ19" i="12" a="1"/>
  <c r="BZ19" i="12" s="1"/>
  <c r="CA19" i="12" s="1" a="1"/>
  <c r="CA19" i="12" s="1"/>
  <c r="AW81" i="13"/>
  <c r="AW27" i="13" a="1"/>
  <c r="AW27" i="13" s="1"/>
  <c r="AW93" i="13"/>
  <c r="AW57" i="13"/>
  <c r="AW71" i="13"/>
  <c r="AW21" i="13" a="1"/>
  <c r="AW21" i="13" s="1"/>
  <c r="BY56" i="12"/>
  <c r="AX97" i="13"/>
  <c r="AW55" i="13"/>
  <c r="AW48" i="13"/>
  <c r="BZ36" i="12" a="1"/>
  <c r="BZ36" i="12" s="1"/>
  <c r="CA36" i="12" s="1" a="1"/>
  <c r="CA36" i="12" s="1"/>
  <c r="AW50" i="13"/>
  <c r="BZ33" i="12" a="1"/>
  <c r="BZ33" i="12" s="1"/>
  <c r="BZ76" i="12" a="1"/>
  <c r="BZ76" i="12" s="1"/>
  <c r="AW17" i="13" a="1"/>
  <c r="AW17" i="13" s="1"/>
  <c r="AW64" i="13"/>
  <c r="AW13" i="13" a="1"/>
  <c r="AW13" i="13" s="1"/>
  <c r="AW47" i="13"/>
  <c r="AW97" i="13"/>
  <c r="AV161" i="13"/>
  <c r="AW96" i="13"/>
  <c r="AV160" i="13"/>
  <c r="CA94" i="12" a="1"/>
  <c r="CA94" i="12" s="1"/>
  <c r="CB94" i="12" s="1" a="1"/>
  <c r="CB94" i="12" s="1"/>
  <c r="CA32" i="12" a="1"/>
  <c r="CA32" i="12" s="1"/>
  <c r="BZ91" i="12" a="1"/>
  <c r="BZ91" i="12" s="1"/>
  <c r="BZ39" i="12" a="1"/>
  <c r="BZ39" i="12" s="1"/>
  <c r="CA39" i="12" s="1" a="1"/>
  <c r="CA39" i="12" s="1"/>
  <c r="BZ46" i="12" a="1"/>
  <c r="BZ46" i="12" s="1"/>
  <c r="AW58" i="13"/>
  <c r="CA58" i="12" a="1"/>
  <c r="CA58" i="12" s="1"/>
  <c r="AH58" i="12" s="1"/>
  <c r="BX66" i="12"/>
  <c r="AX96" i="13"/>
  <c r="AW82" i="13"/>
  <c r="AX50" i="13"/>
  <c r="AW89" i="13"/>
  <c r="BZ40" i="12" a="1"/>
  <c r="BZ40" i="12" s="1"/>
  <c r="CA40" i="12" s="1" a="1"/>
  <c r="CA40" i="12" s="1"/>
  <c r="AG66" i="12"/>
  <c r="AX89" i="13"/>
  <c r="AW84" i="13"/>
  <c r="AX56" i="13"/>
  <c r="BZ97" i="12" a="1"/>
  <c r="BZ97" i="12" s="1"/>
  <c r="CA97" i="12" s="1" a="1"/>
  <c r="CA97" i="12" s="1"/>
  <c r="AW66" i="13"/>
  <c r="AW19" i="13" a="1"/>
  <c r="AW19" i="13" s="1"/>
  <c r="AW52" i="13"/>
  <c r="AW83" i="13"/>
  <c r="BZ79" i="12" a="1"/>
  <c r="BZ79" i="12" s="1"/>
  <c r="AW56" i="13"/>
  <c r="AW101" i="13"/>
  <c r="BZ48" i="12" a="1"/>
  <c r="BZ48" i="12" s="1"/>
  <c r="AH37" i="12" l="1"/>
  <c r="CB95" i="12" a="1"/>
  <c r="CB95" i="12" s="1"/>
  <c r="AZ97" i="13" s="1"/>
  <c r="AY97" i="13"/>
  <c r="CC20" i="12" a="1"/>
  <c r="CC20" i="12" s="1"/>
  <c r="CB38" i="12" a="1"/>
  <c r="CB38" i="12" s="1"/>
  <c r="CC38" i="12" s="1" a="1"/>
  <c r="CC38" i="12" s="1"/>
  <c r="AH38" i="12"/>
  <c r="AX49" i="13"/>
  <c r="AX95" i="13"/>
  <c r="AY45" i="13"/>
  <c r="CB93" i="12" a="1"/>
  <c r="CB93" i="12" s="1"/>
  <c r="CC93" i="12" s="1" a="1"/>
  <c r="CC93" i="12" s="1"/>
  <c r="BA95" i="13" s="1"/>
  <c r="AH93" i="12"/>
  <c r="AX52" i="13"/>
  <c r="AH34" i="12"/>
  <c r="CB34" i="12" a="1"/>
  <c r="CB34" i="12" s="1"/>
  <c r="AZ52" i="13" s="1"/>
  <c r="CB21" i="12" a="1"/>
  <c r="CB21" i="12" s="1"/>
  <c r="AZ45" i="13" s="1"/>
  <c r="AX69" i="13"/>
  <c r="BY66" i="12"/>
  <c r="AY95" i="13"/>
  <c r="AH31" i="12"/>
  <c r="AY49" i="13"/>
  <c r="CB31" i="12" a="1"/>
  <c r="CB31" i="12" s="1"/>
  <c r="CC31" i="12" s="1" a="1"/>
  <c r="CC31" i="12" s="1"/>
  <c r="AH51" i="12"/>
  <c r="CB51" i="12" a="1"/>
  <c r="CB51" i="12" s="1"/>
  <c r="CC51" i="12" s="1" a="1"/>
  <c r="CC51" i="12" s="1"/>
  <c r="AY69" i="13"/>
  <c r="CB40" i="12" a="1"/>
  <c r="CB40" i="12" s="1"/>
  <c r="AZ58" i="13" s="1"/>
  <c r="CB47" i="12" a="1"/>
  <c r="CB47" i="12" s="1"/>
  <c r="AZ65" i="13" s="1"/>
  <c r="AZ89" i="13"/>
  <c r="AY74" i="13"/>
  <c r="AY161" i="13" s="1"/>
  <c r="CA61" i="12"/>
  <c r="AY20" i="13" a="1"/>
  <c r="AY20" i="13" s="1"/>
  <c r="AY152" i="13" s="1"/>
  <c r="CB59" i="12" a="1"/>
  <c r="CB59" i="12" s="1"/>
  <c r="CC59" i="12" s="1" a="1"/>
  <c r="CC59" i="12" s="1"/>
  <c r="CD59" i="12" s="1" a="1"/>
  <c r="CD59" i="12" s="1"/>
  <c r="AY57" i="13"/>
  <c r="AW151" i="13"/>
  <c r="AY54" i="13"/>
  <c r="AY18" i="13" a="1"/>
  <c r="AY18" i="13" s="1"/>
  <c r="AW160" i="13"/>
  <c r="AZ96" i="13"/>
  <c r="CC94" i="12" a="1"/>
  <c r="CC94" i="12" s="1"/>
  <c r="CD94" i="12" s="1" a="1"/>
  <c r="CD94" i="12" s="1"/>
  <c r="AX13" i="13" a="1"/>
  <c r="AX13" i="13" s="1"/>
  <c r="AX47" i="13"/>
  <c r="CA29" i="12" a="1"/>
  <c r="CA29" i="12" s="1"/>
  <c r="BZ26" i="12"/>
  <c r="AY72" i="13"/>
  <c r="AX84" i="13"/>
  <c r="CA79" i="12" a="1"/>
  <c r="CA79" i="12" s="1"/>
  <c r="CB79" i="12" s="1" a="1"/>
  <c r="CB79" i="12" s="1"/>
  <c r="AX88" i="13"/>
  <c r="AX48" i="13"/>
  <c r="CA30" i="12" a="1"/>
  <c r="CA30" i="12" s="1"/>
  <c r="CB30" i="12" s="1" a="1"/>
  <c r="CB30" i="12" s="1"/>
  <c r="AX16" i="13" a="1"/>
  <c r="AX16" i="13" s="1"/>
  <c r="AH59" i="12"/>
  <c r="AH56" i="12" s="1"/>
  <c r="AZ83" i="13"/>
  <c r="AZ82" i="13"/>
  <c r="AY43" i="13"/>
  <c r="CB58" i="12" a="1"/>
  <c r="CB58" i="12" s="1"/>
  <c r="CC58" i="12" s="1" a="1"/>
  <c r="CC58" i="12" s="1"/>
  <c r="AY50" i="13"/>
  <c r="AX51" i="13"/>
  <c r="CA33" i="12" a="1"/>
  <c r="CA33" i="12" s="1"/>
  <c r="AH33" i="12" s="1"/>
  <c r="AX18" i="13" a="1"/>
  <c r="AX18" i="13" s="1"/>
  <c r="AX54" i="13"/>
  <c r="AX19" i="13" a="1"/>
  <c r="AX19" i="13" s="1"/>
  <c r="AX66" i="13"/>
  <c r="CA48" i="12" a="1"/>
  <c r="CA48" i="12" s="1"/>
  <c r="CB48" i="12" s="1" a="1"/>
  <c r="CB48" i="12" s="1"/>
  <c r="AX17" i="13" a="1"/>
  <c r="AX17" i="13" s="1"/>
  <c r="AX64" i="13"/>
  <c r="AH32" i="12"/>
  <c r="AX57" i="13"/>
  <c r="AX72" i="13"/>
  <c r="AX160" i="13" s="1"/>
  <c r="BZ56" i="12"/>
  <c r="AX21" i="13" a="1"/>
  <c r="AX21" i="13" s="1"/>
  <c r="AX151" i="13" s="1"/>
  <c r="AH36" i="12"/>
  <c r="AZ101" i="13"/>
  <c r="AW150" i="13"/>
  <c r="CB32" i="12" a="1"/>
  <c r="CB32" i="12" s="1"/>
  <c r="AH97" i="12"/>
  <c r="AY99" i="13"/>
  <c r="AY89" i="13"/>
  <c r="AH84" i="12"/>
  <c r="AX99" i="13"/>
  <c r="CB97" i="12" a="1"/>
  <c r="CB97" i="12" s="1"/>
  <c r="AX43" i="13"/>
  <c r="AH19" i="12"/>
  <c r="CB36" i="12" a="1"/>
  <c r="CB36" i="12" s="1"/>
  <c r="CC36" i="12" s="1" a="1"/>
  <c r="CC36" i="12" s="1"/>
  <c r="AY65" i="13"/>
  <c r="AX58" i="13"/>
  <c r="CB39" i="12" a="1"/>
  <c r="CB39" i="12" s="1"/>
  <c r="CB19" i="12" a="1"/>
  <c r="CB19" i="12" s="1"/>
  <c r="AH64" i="12"/>
  <c r="AH61" i="12" s="1"/>
  <c r="BA85" i="13"/>
  <c r="AY58" i="13"/>
  <c r="AX93" i="13"/>
  <c r="CA91" i="12" a="1"/>
  <c r="CA91" i="12" s="1"/>
  <c r="AY30" i="13" s="1" a="1"/>
  <c r="AY30" i="13" s="1"/>
  <c r="AX30" i="13" a="1"/>
  <c r="AX30" i="13" s="1"/>
  <c r="CB64" i="12" a="1"/>
  <c r="CB64" i="12" s="1"/>
  <c r="CC64" i="12" s="1" a="1"/>
  <c r="CC64" i="12" s="1"/>
  <c r="CA56" i="12"/>
  <c r="AY21" i="13" a="1"/>
  <c r="AY21" i="13" s="1"/>
  <c r="AY151" i="13" s="1"/>
  <c r="AY71" i="13"/>
  <c r="AZ55" i="13"/>
  <c r="AH39" i="12"/>
  <c r="AX65" i="13"/>
  <c r="AH47" i="12"/>
  <c r="AW152" i="13"/>
  <c r="AH94" i="12"/>
  <c r="AY96" i="13"/>
  <c r="AH40" i="12"/>
  <c r="AX81" i="13"/>
  <c r="AX27" i="13" a="1"/>
  <c r="AX27" i="13" s="1"/>
  <c r="CA76" i="12" a="1"/>
  <c r="CA76" i="12" s="1"/>
  <c r="BZ61" i="12"/>
  <c r="AX20" i="13" a="1"/>
  <c r="AX20" i="13" s="1"/>
  <c r="AX74" i="13"/>
  <c r="AX28" i="13" a="1"/>
  <c r="AX28" i="13" s="1"/>
  <c r="AY31" i="13" a="1"/>
  <c r="AY31" i="13" s="1"/>
  <c r="AH96" i="12"/>
  <c r="AY98" i="13"/>
  <c r="CA46" i="12" a="1"/>
  <c r="CA46" i="12" s="1"/>
  <c r="AX33" i="13" a="1"/>
  <c r="AX33" i="13" s="1"/>
  <c r="AX100" i="13"/>
  <c r="CA101" i="12" a="1"/>
  <c r="CA101" i="12" s="1"/>
  <c r="CB101" i="12" s="1" a="1"/>
  <c r="CB101" i="12" s="1"/>
  <c r="CA92" i="12"/>
  <c r="Y155" i="29"/>
  <c r="BA42" i="13"/>
  <c r="AW159" i="13"/>
  <c r="AY55" i="13"/>
  <c r="AX53" i="13"/>
  <c r="AX67" i="13"/>
  <c r="CA35" i="12" a="1"/>
  <c r="CA35" i="12" s="1"/>
  <c r="AH35" i="12" s="1"/>
  <c r="AZ85" i="13"/>
  <c r="CC37" i="12" a="1"/>
  <c r="CC37" i="12" s="1"/>
  <c r="AY46" i="13"/>
  <c r="AY82" i="13"/>
  <c r="AH77" i="12"/>
  <c r="AZ68" i="13"/>
  <c r="CC77" i="12" a="1"/>
  <c r="CC77" i="12" s="1"/>
  <c r="CD77" i="12" s="1" a="1"/>
  <c r="CD77" i="12" s="1"/>
  <c r="AX86" i="13"/>
  <c r="CB96" i="12" a="1"/>
  <c r="CB96" i="12" s="1"/>
  <c r="CC96" i="12" s="1" a="1"/>
  <c r="CC96" i="12" s="1"/>
  <c r="AX90" i="13"/>
  <c r="AH49" i="12"/>
  <c r="AH82" i="12"/>
  <c r="AY87" i="13"/>
  <c r="AY101" i="13"/>
  <c r="AH102" i="12"/>
  <c r="AX59" i="13"/>
  <c r="CB90" i="12" a="1"/>
  <c r="CB90" i="12" s="1"/>
  <c r="CC102" i="12" a="1"/>
  <c r="CC102" i="12" s="1"/>
  <c r="CD102" i="12" s="1" a="1"/>
  <c r="CD102" i="12" s="1"/>
  <c r="AY67" i="13"/>
  <c r="CA41" i="12" a="1"/>
  <c r="CA41" i="12" s="1"/>
  <c r="CA75" i="12"/>
  <c r="Y141" i="28"/>
  <c r="AH52" i="12"/>
  <c r="CB49" i="12" a="1"/>
  <c r="CB49" i="12" s="1"/>
  <c r="AH80" i="12"/>
  <c r="AY85" i="13"/>
  <c r="AH90" i="12"/>
  <c r="AY92" i="13"/>
  <c r="BR138" i="28"/>
  <c r="Z135" i="28"/>
  <c r="AY70" i="13"/>
  <c r="CB52" i="12" a="1"/>
  <c r="CB52" i="12" s="1"/>
  <c r="AZ42" i="13"/>
  <c r="AH28" i="12"/>
  <c r="AY83" i="13"/>
  <c r="AH78" i="12"/>
  <c r="BR152" i="29"/>
  <c r="Z149" i="29"/>
  <c r="AX31" i="13" a="1"/>
  <c r="AX31" i="13" s="1"/>
  <c r="AX98" i="13"/>
  <c r="CC78" i="12" a="1"/>
  <c r="CC78" i="12" s="1"/>
  <c r="CB28" i="12" a="1"/>
  <c r="CB28" i="12" s="1"/>
  <c r="CC28" i="12" s="1" a="1"/>
  <c r="CC28" i="12" s="1"/>
  <c r="CC50" i="12" a="1"/>
  <c r="CC50" i="12" s="1"/>
  <c r="CD18" i="12" a="1"/>
  <c r="CD18" i="12" s="1"/>
  <c r="CC95" i="12" l="1" a="1"/>
  <c r="CC95" i="12" s="1"/>
  <c r="CD95" i="12" s="1" a="1"/>
  <c r="CD95" i="12" s="1"/>
  <c r="CE95" i="12" s="1" a="1"/>
  <c r="CE95" i="12" s="1"/>
  <c r="AZ56" i="13"/>
  <c r="CD20" i="12" a="1"/>
  <c r="CD20" i="12" s="1"/>
  <c r="CE20" i="12" s="1" a="1"/>
  <c r="CE20" i="12" s="1"/>
  <c r="CD93" i="12" a="1"/>
  <c r="CD93" i="12" s="1"/>
  <c r="BB95" i="13" s="1"/>
  <c r="AZ95" i="13"/>
  <c r="CC34" i="12" a="1"/>
  <c r="CC34" i="12" s="1"/>
  <c r="CD34" i="12" s="1" a="1"/>
  <c r="CD34" i="12" s="1"/>
  <c r="BB52" i="13" s="1"/>
  <c r="CC47" i="12" a="1"/>
  <c r="CC47" i="12" s="1"/>
  <c r="CD47" i="12" s="1" a="1"/>
  <c r="CD47" i="12" s="1"/>
  <c r="BB65" i="13" s="1"/>
  <c r="CA66" i="12"/>
  <c r="CC21" i="12" a="1"/>
  <c r="CC21" i="12" s="1"/>
  <c r="BA45" i="13" s="1"/>
  <c r="AZ69" i="13"/>
  <c r="AX159" i="13"/>
  <c r="CC40" i="12" a="1"/>
  <c r="CC40" i="12" s="1"/>
  <c r="BA58" i="13" s="1"/>
  <c r="CB35" i="12" a="1"/>
  <c r="CB35" i="12" s="1"/>
  <c r="CC35" i="12" s="1" a="1"/>
  <c r="CC35" i="12" s="1"/>
  <c r="AZ49" i="13"/>
  <c r="CD31" i="12" a="1"/>
  <c r="CD31" i="12" s="1"/>
  <c r="BB49" i="13" s="1"/>
  <c r="BA49" i="13"/>
  <c r="CD51" i="12" a="1"/>
  <c r="CD51" i="12" s="1"/>
  <c r="CE51" i="12" s="1" a="1"/>
  <c r="CE51" i="12" s="1"/>
  <c r="BA69" i="13"/>
  <c r="CE18" i="12" a="1"/>
  <c r="CE18" i="12" s="1"/>
  <c r="BC42" i="13" s="1"/>
  <c r="AI18" i="12"/>
  <c r="CD78" i="12" a="1"/>
  <c r="CD78" i="12" s="1"/>
  <c r="CE78" i="12" s="1" a="1"/>
  <c r="CE78" i="12" s="1"/>
  <c r="BC83" i="13" s="1"/>
  <c r="AY16" i="13" a="1"/>
  <c r="AY16" i="13" s="1"/>
  <c r="AH41" i="12"/>
  <c r="CD64" i="12" a="1"/>
  <c r="CD64" i="12" s="1"/>
  <c r="CE64" i="12" s="1" a="1"/>
  <c r="CE64" i="12" s="1"/>
  <c r="CC48" i="12" a="1"/>
  <c r="CC48" i="12" s="1"/>
  <c r="CD48" i="12" s="1" a="1"/>
  <c r="CD48" i="12" s="1"/>
  <c r="AH48" i="12"/>
  <c r="AH66" i="12"/>
  <c r="CC30" i="12" a="1"/>
  <c r="CC30" i="12" s="1"/>
  <c r="BA48" i="13" s="1"/>
  <c r="BB85" i="13"/>
  <c r="AI80" i="12"/>
  <c r="AX152" i="13"/>
  <c r="AZ84" i="13"/>
  <c r="AI77" i="12"/>
  <c r="BB82" i="13"/>
  <c r="BB72" i="13"/>
  <c r="AZ92" i="13"/>
  <c r="CC90" i="12" a="1"/>
  <c r="CC90" i="12" s="1"/>
  <c r="BA98" i="13"/>
  <c r="BR155" i="29"/>
  <c r="CB92" i="12" s="1"/>
  <c r="BS149" i="29"/>
  <c r="BS152" i="29" s="1"/>
  <c r="AY24" i="13" a="1"/>
  <c r="AY24" i="13" s="1"/>
  <c r="AH75" i="12"/>
  <c r="AY80" i="13"/>
  <c r="AH85" i="12"/>
  <c r="AY90" i="13"/>
  <c r="AY47" i="13"/>
  <c r="AY13" i="13" a="1"/>
  <c r="AY13" i="13" s="1"/>
  <c r="AH29" i="12"/>
  <c r="CA26" i="12"/>
  <c r="CB29" i="12" a="1"/>
  <c r="CB29" i="12" s="1"/>
  <c r="BS135" i="28"/>
  <c r="BS138" i="28" s="1"/>
  <c r="BR141" i="28"/>
  <c r="CB75" i="12" s="1"/>
  <c r="AZ70" i="13"/>
  <c r="CC52" i="12" a="1"/>
  <c r="CC52" i="12" s="1"/>
  <c r="CD52" i="12" s="1" a="1"/>
  <c r="CD52" i="12" s="1"/>
  <c r="BA101" i="13"/>
  <c r="CE102" i="12" a="1"/>
  <c r="CE102" i="12" s="1"/>
  <c r="CF102" i="12" s="1" a="1"/>
  <c r="CF102" i="12" s="1"/>
  <c r="CG102" i="12" s="1" a="1"/>
  <c r="CG102" i="12" s="1"/>
  <c r="BA83" i="13"/>
  <c r="AI102" i="12"/>
  <c r="BB101" i="13"/>
  <c r="BA46" i="13"/>
  <c r="AY86" i="13"/>
  <c r="AH81" i="12"/>
  <c r="AY28" i="13" a="1"/>
  <c r="AY28" i="13" s="1"/>
  <c r="AZ67" i="13"/>
  <c r="CC49" i="12" a="1"/>
  <c r="CC49" i="12" s="1"/>
  <c r="CD49" i="12" s="1" a="1"/>
  <c r="CD49" i="12" s="1"/>
  <c r="BA54" i="13"/>
  <c r="BB42" i="13"/>
  <c r="AZ31" i="13" a="1"/>
  <c r="AZ31" i="13" s="1"/>
  <c r="AZ98" i="13"/>
  <c r="CD96" i="12" a="1"/>
  <c r="CD96" i="12" s="1"/>
  <c r="BA82" i="13"/>
  <c r="CE77" i="12" a="1"/>
  <c r="CE77" i="12" s="1"/>
  <c r="BB96" i="13"/>
  <c r="AI94" i="12"/>
  <c r="BA68" i="13"/>
  <c r="AZ46" i="13"/>
  <c r="CD28" i="12" a="1"/>
  <c r="CD28" i="12" s="1"/>
  <c r="CE28" i="12" s="1" a="1"/>
  <c r="CE28" i="12" s="1"/>
  <c r="AZ87" i="13"/>
  <c r="CD50" i="12" a="1"/>
  <c r="CD50" i="12" s="1"/>
  <c r="CE50" i="12" s="1" a="1"/>
  <c r="CE50" i="12" s="1"/>
  <c r="AZ48" i="13"/>
  <c r="AH76" i="12"/>
  <c r="AY81" i="13"/>
  <c r="AY27" i="13" a="1"/>
  <c r="AY27" i="13" s="1"/>
  <c r="AH83" i="12"/>
  <c r="AY88" i="13"/>
  <c r="AY64" i="13"/>
  <c r="AY17" i="13" a="1"/>
  <c r="AY17" i="13" s="1"/>
  <c r="CB46" i="12" a="1"/>
  <c r="CB46" i="12" s="1"/>
  <c r="AZ43" i="13"/>
  <c r="CC19" i="12" a="1"/>
  <c r="CC19" i="12" s="1"/>
  <c r="CD19" i="12" s="1" a="1"/>
  <c r="CD19" i="12" s="1"/>
  <c r="AY48" i="13"/>
  <c r="AH30" i="12"/>
  <c r="AZ99" i="13"/>
  <c r="AZ50" i="13"/>
  <c r="CC32" i="12" a="1"/>
  <c r="CC32" i="12" s="1"/>
  <c r="CD32" i="12" s="1" a="1"/>
  <c r="CD32" i="12" s="1"/>
  <c r="CE32" i="12" s="1" a="1"/>
  <c r="CE32" i="12" s="1"/>
  <c r="AZ71" i="13"/>
  <c r="CB56" i="12"/>
  <c r="AZ21" i="13" a="1"/>
  <c r="AZ21" i="13" s="1"/>
  <c r="BA56" i="13"/>
  <c r="AH46" i="12"/>
  <c r="CD38" i="12" a="1"/>
  <c r="CD38" i="12" s="1"/>
  <c r="AI38" i="12" s="1"/>
  <c r="CC56" i="12"/>
  <c r="BA21" i="13" a="1"/>
  <c r="BA21" i="13" s="1"/>
  <c r="BA151" i="13" s="1"/>
  <c r="BA71" i="13"/>
  <c r="CC97" i="12" a="1"/>
  <c r="CC97" i="12" s="1"/>
  <c r="CD97" i="12" s="1" a="1"/>
  <c r="CD97" i="12" s="1"/>
  <c r="AX150" i="13"/>
  <c r="AY53" i="13"/>
  <c r="AY160" i="13"/>
  <c r="AZ57" i="13"/>
  <c r="BA52" i="13"/>
  <c r="AI59" i="12"/>
  <c r="CE59" i="12" a="1"/>
  <c r="CE59" i="12" s="1"/>
  <c r="CF59" i="12" s="1" a="1"/>
  <c r="CF59" i="12" s="1"/>
  <c r="AZ72" i="13"/>
  <c r="CD58" i="12" a="1"/>
  <c r="CD58" i="12" s="1"/>
  <c r="AY93" i="13"/>
  <c r="AH91" i="12"/>
  <c r="BB89" i="13"/>
  <c r="AI84" i="12"/>
  <c r="AZ18" i="13" a="1"/>
  <c r="AZ18" i="13" s="1"/>
  <c r="AZ54" i="13"/>
  <c r="AY51" i="13"/>
  <c r="AY59" i="13"/>
  <c r="AZ33" i="13" a="1"/>
  <c r="AZ33" i="13" s="1"/>
  <c r="AZ100" i="13"/>
  <c r="CB41" i="12" a="1"/>
  <c r="CB41" i="12" s="1"/>
  <c r="CC39" i="12" a="1"/>
  <c r="CC39" i="12" s="1"/>
  <c r="BA55" i="13"/>
  <c r="AY100" i="13"/>
  <c r="AY33" i="13" a="1"/>
  <c r="AY33" i="13" s="1"/>
  <c r="AH101" i="12"/>
  <c r="CB33" i="12" a="1"/>
  <c r="CB33" i="12" s="1"/>
  <c r="CC33" i="12" s="1" a="1"/>
  <c r="CC33" i="12" s="1"/>
  <c r="BA89" i="13"/>
  <c r="CC101" i="12" a="1"/>
  <c r="CC101" i="12" s="1"/>
  <c r="CD101" i="12" s="1" a="1"/>
  <c r="CD101" i="12" s="1"/>
  <c r="CE101" i="12" s="1" a="1"/>
  <c r="CE101" i="12" s="1"/>
  <c r="CB76" i="12" a="1"/>
  <c r="CB76" i="12" s="1"/>
  <c r="AX161" i="13"/>
  <c r="AH79" i="12"/>
  <c r="AY84" i="13"/>
  <c r="BA96" i="13"/>
  <c r="CB91" i="12" a="1"/>
  <c r="CB91" i="12" s="1"/>
  <c r="AZ30" i="13" s="1" a="1"/>
  <c r="AZ30" i="13" s="1"/>
  <c r="CD37" i="12" a="1"/>
  <c r="CD37" i="12" s="1"/>
  <c r="AI37" i="12" s="1"/>
  <c r="BA74" i="13"/>
  <c r="BA161" i="13" s="1"/>
  <c r="BA20" i="13" a="1"/>
  <c r="BA20" i="13" s="1"/>
  <c r="BA152" i="13" s="1"/>
  <c r="CC61" i="12"/>
  <c r="AZ74" i="13"/>
  <c r="CB61" i="12"/>
  <c r="AZ20" i="13" a="1"/>
  <c r="AZ20" i="13" s="1"/>
  <c r="BZ66" i="12"/>
  <c r="CC79" i="12" a="1"/>
  <c r="CC79" i="12" s="1"/>
  <c r="CD79" i="12" s="1" a="1"/>
  <c r="CD79" i="12" s="1"/>
  <c r="CE94" i="12" a="1"/>
  <c r="CE94" i="12" s="1"/>
  <c r="CD36" i="12" a="1"/>
  <c r="CD36" i="12" s="1"/>
  <c r="AY94" i="13"/>
  <c r="AY32" i="13" a="1"/>
  <c r="AY32" i="13" s="1"/>
  <c r="AH92" i="12"/>
  <c r="BA72" i="13"/>
  <c r="AZ66" i="13"/>
  <c r="AZ19" i="13" a="1"/>
  <c r="AZ19" i="13" s="1"/>
  <c r="AY66" i="13"/>
  <c r="AY19" i="13" a="1"/>
  <c r="AY19" i="13" s="1"/>
  <c r="BA97" i="13" l="1"/>
  <c r="AI34" i="12"/>
  <c r="BA65" i="13"/>
  <c r="AI47" i="12"/>
  <c r="AI93" i="12"/>
  <c r="CE93" i="12" a="1"/>
  <c r="CE93" i="12" s="1"/>
  <c r="BC95" i="13" s="1"/>
  <c r="CE34" i="12" a="1"/>
  <c r="CE34" i="12" s="1"/>
  <c r="CF34" i="12" s="1" a="1"/>
  <c r="CF34" i="12" s="1"/>
  <c r="CF20" i="12" a="1"/>
  <c r="CF20" i="12" s="1"/>
  <c r="CE47" i="12" a="1"/>
  <c r="CE47" i="12" s="1"/>
  <c r="CF47" i="12" s="1" a="1"/>
  <c r="CF47" i="12" s="1"/>
  <c r="BD65" i="13" s="1"/>
  <c r="CD21" i="12" a="1"/>
  <c r="CD21" i="12" s="1"/>
  <c r="CE21" i="12" s="1" a="1"/>
  <c r="CE21" i="12" s="1"/>
  <c r="CD30" i="12" a="1"/>
  <c r="CD30" i="12" s="1"/>
  <c r="AI30" i="12" s="1"/>
  <c r="CF18" i="12" a="1"/>
  <c r="CF18" i="12" s="1"/>
  <c r="CG18" i="12" s="1" a="1"/>
  <c r="CG18" i="12" s="1"/>
  <c r="BE42" i="13" s="1"/>
  <c r="CD40" i="12" a="1"/>
  <c r="CD40" i="12" s="1"/>
  <c r="CE40" i="12" s="1" a="1"/>
  <c r="CE40" i="12" s="1"/>
  <c r="BC58" i="13" s="1"/>
  <c r="AZ53" i="13"/>
  <c r="CF78" i="12" a="1"/>
  <c r="CF78" i="12" s="1"/>
  <c r="BD83" i="13" s="1"/>
  <c r="AI78" i="12"/>
  <c r="CD61" i="12"/>
  <c r="BB74" i="13"/>
  <c r="BB161" i="13" s="1"/>
  <c r="BB69" i="13"/>
  <c r="BB20" i="13" a="1"/>
  <c r="BB20" i="13" s="1"/>
  <c r="BB152" i="13" s="1"/>
  <c r="AI64" i="12"/>
  <c r="AI61" i="12" s="1"/>
  <c r="AI51" i="12"/>
  <c r="BA66" i="13"/>
  <c r="BB83" i="13"/>
  <c r="CE38" i="12" a="1"/>
  <c r="CE38" i="12" s="1"/>
  <c r="BC56" i="13" s="1"/>
  <c r="BC69" i="13"/>
  <c r="CF51" i="12" a="1"/>
  <c r="CF51" i="12" s="1"/>
  <c r="CG51" i="12" s="1" a="1"/>
  <c r="CG51" i="12" s="1"/>
  <c r="BE69" i="13" s="1"/>
  <c r="CE31" i="12" a="1"/>
  <c r="CE31" i="12" s="1"/>
  <c r="CF31" i="12" s="1" a="1"/>
  <c r="CF31" i="12" s="1"/>
  <c r="AI31" i="12"/>
  <c r="CE96" i="12" a="1"/>
  <c r="CE96" i="12" s="1"/>
  <c r="CF96" i="12" s="1" a="1"/>
  <c r="CF96" i="12" s="1"/>
  <c r="BD98" i="13" s="1"/>
  <c r="CE52" i="12" a="1"/>
  <c r="CE52" i="12" s="1"/>
  <c r="CF52" i="12" s="1" a="1"/>
  <c r="CF52" i="12" s="1"/>
  <c r="CG52" i="12" s="1" a="1"/>
  <c r="CG52" i="12" s="1"/>
  <c r="AH26" i="12"/>
  <c r="BC33" i="13" a="1"/>
  <c r="BC33" i="13" s="1"/>
  <c r="BC100" i="13"/>
  <c r="BD72" i="13"/>
  <c r="CG59" i="12" a="1"/>
  <c r="CG59" i="12" s="1"/>
  <c r="AJ59" i="12" s="1"/>
  <c r="AI97" i="12"/>
  <c r="BB99" i="13"/>
  <c r="CE97" i="12" a="1"/>
  <c r="CE97" i="12" s="1"/>
  <c r="CF97" i="12" s="1" a="1"/>
  <c r="CF97" i="12" s="1"/>
  <c r="BB66" i="13"/>
  <c r="BB19" i="13" a="1"/>
  <c r="BB19" i="13" s="1"/>
  <c r="CE48" i="12" a="1"/>
  <c r="CE48" i="12" s="1"/>
  <c r="AZ161" i="13"/>
  <c r="CB66" i="12"/>
  <c r="BC96" i="13"/>
  <c r="BC68" i="13"/>
  <c r="CF50" i="12" a="1"/>
  <c r="CF50" i="12" s="1"/>
  <c r="CG50" i="12" s="1" a="1"/>
  <c r="CG50" i="12" s="1"/>
  <c r="CH50" i="12" s="1" a="1"/>
  <c r="CH50" i="12" s="1"/>
  <c r="BC97" i="13"/>
  <c r="CF94" i="12" a="1"/>
  <c r="CF94" i="12" s="1"/>
  <c r="BA88" i="13"/>
  <c r="AI79" i="12"/>
  <c r="BB84" i="13"/>
  <c r="AI48" i="12"/>
  <c r="AI95" i="12"/>
  <c r="BB97" i="13"/>
  <c r="CF95" i="12" a="1"/>
  <c r="CF95" i="12" s="1"/>
  <c r="AZ17" i="13" a="1"/>
  <c r="AZ17" i="13" s="1"/>
  <c r="AZ64" i="13"/>
  <c r="CC46" i="12" a="1"/>
  <c r="CC46" i="12" s="1"/>
  <c r="CD46" i="12" s="1" a="1"/>
  <c r="CD46" i="12" s="1"/>
  <c r="CE46" i="12" s="1" a="1"/>
  <c r="CE46" i="12" s="1"/>
  <c r="BB67" i="13"/>
  <c r="CE49" i="12" a="1"/>
  <c r="CE49" i="12" s="1"/>
  <c r="CF49" i="12" s="1" a="1"/>
  <c r="CF49" i="12" s="1"/>
  <c r="AZ24" i="13" a="1"/>
  <c r="AZ24" i="13" s="1"/>
  <c r="AZ80" i="13"/>
  <c r="AZ160" i="13"/>
  <c r="BB33" i="13" a="1"/>
  <c r="BB33" i="13" s="1"/>
  <c r="BB100" i="13"/>
  <c r="AI101" i="12"/>
  <c r="BC50" i="13"/>
  <c r="AZ152" i="13"/>
  <c r="BB54" i="13"/>
  <c r="CE36" i="12" a="1"/>
  <c r="CE36" i="12" s="1"/>
  <c r="AI36" i="12"/>
  <c r="BD89" i="13"/>
  <c r="BC74" i="13"/>
  <c r="BC20" i="13" a="1"/>
  <c r="BC20" i="13" s="1"/>
  <c r="BC152" i="13" s="1"/>
  <c r="CE61" i="12"/>
  <c r="AZ13" i="13" a="1"/>
  <c r="AZ13" i="13" s="1"/>
  <c r="AZ47" i="13"/>
  <c r="CB26" i="12"/>
  <c r="CC29" i="12" a="1"/>
  <c r="CC29" i="12" s="1"/>
  <c r="BC89" i="13"/>
  <c r="AZ93" i="13"/>
  <c r="BA53" i="13"/>
  <c r="CD35" i="12" a="1"/>
  <c r="CD35" i="12" s="1"/>
  <c r="CE35" i="12" s="1" a="1"/>
  <c r="CE35" i="12" s="1"/>
  <c r="BB43" i="13"/>
  <c r="AI19" i="12"/>
  <c r="BB50" i="13"/>
  <c r="AZ51" i="13"/>
  <c r="AZ59" i="13"/>
  <c r="CC41" i="12" a="1"/>
  <c r="CC41" i="12" s="1"/>
  <c r="AZ16" i="13" a="1"/>
  <c r="AZ16" i="13" s="1"/>
  <c r="BA51" i="13"/>
  <c r="AZ88" i="13"/>
  <c r="BA57" i="13"/>
  <c r="CD39" i="12" a="1"/>
  <c r="CD39" i="12" s="1"/>
  <c r="CE39" i="12" s="1" a="1"/>
  <c r="CE39" i="12" s="1"/>
  <c r="BA18" i="13" a="1"/>
  <c r="BA18" i="13" s="1"/>
  <c r="CC91" i="12" a="1"/>
  <c r="CC91" i="12" s="1"/>
  <c r="BA30" i="13" s="1" a="1"/>
  <c r="BA30" i="13" s="1"/>
  <c r="BA160" i="13"/>
  <c r="BA90" i="13"/>
  <c r="AZ90" i="13"/>
  <c r="BA33" i="13" a="1"/>
  <c r="BA33" i="13" s="1"/>
  <c r="BA100" i="13"/>
  <c r="CF101" i="12" a="1"/>
  <c r="CF101" i="12" s="1"/>
  <c r="CD33" i="12" a="1"/>
  <c r="CD33" i="12" s="1"/>
  <c r="CE33" i="12" s="1" a="1"/>
  <c r="CE33" i="12" s="1"/>
  <c r="CC66" i="12"/>
  <c r="BB55" i="13"/>
  <c r="CE37" i="12" a="1"/>
  <c r="CE37" i="12" s="1"/>
  <c r="AZ81" i="13"/>
  <c r="AZ27" i="13" a="1"/>
  <c r="AZ27" i="13" s="1"/>
  <c r="CC76" i="12" a="1"/>
  <c r="CC76" i="12" s="1"/>
  <c r="CD76" i="12" s="1" a="1"/>
  <c r="CD76" i="12" s="1"/>
  <c r="AY159" i="13"/>
  <c r="BA84" i="13"/>
  <c r="CE79" i="12" a="1"/>
  <c r="CE79" i="12" s="1"/>
  <c r="BE101" i="13"/>
  <c r="AJ102" i="12"/>
  <c r="BB87" i="13"/>
  <c r="AI82" i="12"/>
  <c r="CF64" i="12" a="1"/>
  <c r="CF64" i="12" s="1"/>
  <c r="AZ151" i="13"/>
  <c r="AZ86" i="13"/>
  <c r="AZ28" i="13" a="1"/>
  <c r="AZ28" i="13" s="1"/>
  <c r="BA99" i="13"/>
  <c r="CE58" i="12" a="1"/>
  <c r="CE58" i="12" s="1"/>
  <c r="AI52" i="12"/>
  <c r="BT135" i="28"/>
  <c r="BT138" i="28" s="1"/>
  <c r="BS141" i="28"/>
  <c r="CC75" i="12" s="1"/>
  <c r="BA92" i="13"/>
  <c r="CD90" i="12" a="1"/>
  <c r="CD90" i="12" s="1"/>
  <c r="CE90" i="12" s="1" a="1"/>
  <c r="CE90" i="12" s="1"/>
  <c r="BB68" i="13"/>
  <c r="CH102" i="12" a="1"/>
  <c r="CH102" i="12" s="1"/>
  <c r="BF101" i="13" s="1"/>
  <c r="BC101" i="13"/>
  <c r="BA87" i="13"/>
  <c r="BA67" i="13"/>
  <c r="BD101" i="13"/>
  <c r="BC85" i="13"/>
  <c r="AI49" i="12"/>
  <c r="AY150" i="13"/>
  <c r="BS155" i="29"/>
  <c r="CC92" i="12" s="1"/>
  <c r="BT149" i="29"/>
  <c r="BT152" i="29" s="1"/>
  <c r="BA31" i="13" a="1"/>
  <c r="BA31" i="13" s="1"/>
  <c r="CD56" i="12"/>
  <c r="BB21" i="13" a="1"/>
  <c r="BB21" i="13" s="1"/>
  <c r="BB71" i="13"/>
  <c r="BC72" i="13"/>
  <c r="BB46" i="13"/>
  <c r="AZ32" i="13" a="1"/>
  <c r="AZ32" i="13" s="1"/>
  <c r="AZ94" i="13"/>
  <c r="BC82" i="13"/>
  <c r="AI50" i="12"/>
  <c r="AI28" i="12"/>
  <c r="BA19" i="13" a="1"/>
  <c r="BA19" i="13" s="1"/>
  <c r="BA43" i="13"/>
  <c r="CF77" i="12" a="1"/>
  <c r="CF77" i="12" s="1"/>
  <c r="CF32" i="12" a="1"/>
  <c r="CF32" i="12" s="1"/>
  <c r="BA50" i="13"/>
  <c r="BB98" i="13"/>
  <c r="BB31" i="13" a="1"/>
  <c r="BB31" i="13" s="1"/>
  <c r="AI96" i="12"/>
  <c r="BC46" i="13"/>
  <c r="BB70" i="13"/>
  <c r="BB56" i="13"/>
  <c r="AI58" i="12"/>
  <c r="AI56" i="12" s="1"/>
  <c r="AI32" i="12"/>
  <c r="CE19" i="12" a="1"/>
  <c r="CE19" i="12" s="1"/>
  <c r="CF19" i="12" s="1" a="1"/>
  <c r="CF19" i="12" s="1"/>
  <c r="CF28" i="12" a="1"/>
  <c r="CF28" i="12" s="1"/>
  <c r="BA70" i="13"/>
  <c r="CF93" i="12" l="1" a="1"/>
  <c r="CF93" i="12" s="1"/>
  <c r="CG47" i="12" a="1"/>
  <c r="CG47" i="12" s="1"/>
  <c r="BC65" i="13"/>
  <c r="BC52" i="13"/>
  <c r="AI21" i="12"/>
  <c r="BB45" i="13"/>
  <c r="AJ18" i="12"/>
  <c r="CH18" i="12" a="1"/>
  <c r="CH18" i="12" s="1"/>
  <c r="CI18" i="12" s="1" a="1"/>
  <c r="CI18" i="12" s="1"/>
  <c r="CJ18" i="12" s="1" a="1"/>
  <c r="CJ18" i="12" s="1"/>
  <c r="BD42" i="13"/>
  <c r="CF40" i="12" a="1"/>
  <c r="CF40" i="12" s="1"/>
  <c r="CG40" i="12" s="1" a="1"/>
  <c r="CG40" i="12" s="1"/>
  <c r="AJ40" i="12" s="1"/>
  <c r="CG20" i="12" a="1"/>
  <c r="CG20" i="12" s="1"/>
  <c r="CH20" i="12" s="1" a="1"/>
  <c r="CH20" i="12" s="1"/>
  <c r="AI40" i="12"/>
  <c r="BB58" i="13"/>
  <c r="BC98" i="13"/>
  <c r="BC31" i="13" a="1"/>
  <c r="BC31" i="13" s="1"/>
  <c r="BC70" i="13"/>
  <c r="CG96" i="12" a="1"/>
  <c r="CG96" i="12" s="1"/>
  <c r="BE98" i="13" s="1"/>
  <c r="CG78" i="12" a="1"/>
  <c r="CG78" i="12" s="1"/>
  <c r="BE83" i="13" s="1"/>
  <c r="CE30" i="12" a="1"/>
  <c r="CE30" i="12" s="1"/>
  <c r="CF30" i="12" s="1" a="1"/>
  <c r="CF30" i="12" s="1"/>
  <c r="BD48" i="13" s="1"/>
  <c r="BB48" i="13"/>
  <c r="CF38" i="12" a="1"/>
  <c r="CF38" i="12" s="1"/>
  <c r="CG38" i="12" s="1" a="1"/>
  <c r="CG38" i="12" s="1"/>
  <c r="CD66" i="12"/>
  <c r="AJ51" i="12"/>
  <c r="CH51" i="12" a="1"/>
  <c r="CH51" i="12" s="1"/>
  <c r="CI51" i="12" s="1" a="1"/>
  <c r="CI51" i="12" s="1"/>
  <c r="BG69" i="13" s="1"/>
  <c r="BD69" i="13"/>
  <c r="AI66" i="12"/>
  <c r="AZ159" i="13"/>
  <c r="CH59" i="12" a="1"/>
  <c r="CH59" i="12" s="1"/>
  <c r="BF72" i="13" s="1"/>
  <c r="CI102" i="12" a="1"/>
  <c r="CI102" i="12" s="1"/>
  <c r="BG101" i="13" s="1"/>
  <c r="BD49" i="13"/>
  <c r="BC49" i="13"/>
  <c r="CG31" i="12" a="1"/>
  <c r="CG31" i="12" s="1"/>
  <c r="AJ31" i="12" s="1"/>
  <c r="CG28" i="12" a="1"/>
  <c r="CG28" i="12" s="1"/>
  <c r="CH28" i="12" s="1" a="1"/>
  <c r="CH28" i="12" s="1"/>
  <c r="CH47" i="12" a="1"/>
  <c r="CH47" i="12" s="1"/>
  <c r="CI47" i="12" s="1" a="1"/>
  <c r="CI47" i="12" s="1"/>
  <c r="BG65" i="13" s="1"/>
  <c r="BD88" i="13"/>
  <c r="AI46" i="12"/>
  <c r="BF85" i="13"/>
  <c r="BD50" i="13"/>
  <c r="CG32" i="12" a="1"/>
  <c r="CG32" i="12" s="1"/>
  <c r="BD82" i="13"/>
  <c r="CG77" i="12" a="1"/>
  <c r="CG77" i="12" s="1"/>
  <c r="BD87" i="13"/>
  <c r="BF87" i="13"/>
  <c r="BD95" i="13"/>
  <c r="BC43" i="13"/>
  <c r="CG19" i="12" a="1"/>
  <c r="CG19" i="12" s="1"/>
  <c r="BB27" i="13" a="1"/>
  <c r="BB27" i="13" s="1"/>
  <c r="BB81" i="13"/>
  <c r="AI76" i="12"/>
  <c r="BD43" i="13"/>
  <c r="BB160" i="13"/>
  <c r="BB151" i="13"/>
  <c r="AJ80" i="12"/>
  <c r="BE85" i="13"/>
  <c r="BC57" i="13"/>
  <c r="BD70" i="13"/>
  <c r="CH52" i="12" a="1"/>
  <c r="CH52" i="12" s="1"/>
  <c r="CI52" i="12" s="1" a="1"/>
  <c r="CI52" i="12" s="1"/>
  <c r="BG70" i="13" s="1"/>
  <c r="AJ52" i="12"/>
  <c r="CG93" i="12" a="1"/>
  <c r="CG93" i="12" s="1"/>
  <c r="BD46" i="13"/>
  <c r="BE70" i="13"/>
  <c r="BF68" i="13"/>
  <c r="BT155" i="29"/>
  <c r="Z152" i="29"/>
  <c r="BU149" i="29"/>
  <c r="BA32" i="13" a="1"/>
  <c r="BA32" i="13" s="1"/>
  <c r="BA94" i="13"/>
  <c r="BC51" i="13"/>
  <c r="CF33" i="12" a="1"/>
  <c r="CF33" i="12" s="1"/>
  <c r="CG33" i="12" s="1" a="1"/>
  <c r="CG33" i="12" s="1"/>
  <c r="BC17" i="13" a="1"/>
  <c r="BC17" i="13" s="1"/>
  <c r="BC64" i="13"/>
  <c r="BD67" i="13"/>
  <c r="BC55" i="13"/>
  <c r="CF37" i="12" a="1"/>
  <c r="CF37" i="12" s="1"/>
  <c r="BA59" i="13"/>
  <c r="BA16" i="13" a="1"/>
  <c r="BA16" i="13" s="1"/>
  <c r="CD41" i="12" a="1"/>
  <c r="CD41" i="12" s="1"/>
  <c r="BF89" i="13"/>
  <c r="BC18" i="13" a="1"/>
  <c r="BC18" i="13" s="1"/>
  <c r="BC54" i="13"/>
  <c r="BC99" i="13"/>
  <c r="BD85" i="13"/>
  <c r="BB90" i="13"/>
  <c r="AI85" i="12"/>
  <c r="AI33" i="12"/>
  <c r="CG64" i="12" a="1"/>
  <c r="CG64" i="12" s="1"/>
  <c r="CH64" i="12" s="1" a="1"/>
  <c r="CH64" i="12" s="1"/>
  <c r="CI64" i="12" s="1" a="1"/>
  <c r="CI64" i="12" s="1"/>
  <c r="CF36" i="12" a="1"/>
  <c r="CF36" i="12" s="1"/>
  <c r="CG36" i="12" s="1" a="1"/>
  <c r="CG36" i="12" s="1"/>
  <c r="CG97" i="12" a="1"/>
  <c r="CG97" i="12" s="1"/>
  <c r="CH97" i="12" s="1" a="1"/>
  <c r="CH97" i="12" s="1"/>
  <c r="BF99" i="13" s="1"/>
  <c r="BA47" i="13"/>
  <c r="BA13" i="13" a="1"/>
  <c r="BA13" i="13" s="1"/>
  <c r="CC26" i="12"/>
  <c r="BC87" i="13"/>
  <c r="BC45" i="13"/>
  <c r="BC92" i="13"/>
  <c r="BB92" i="13"/>
  <c r="AI90" i="12"/>
  <c r="BE65" i="13"/>
  <c r="BB18" i="13" a="1"/>
  <c r="BB18" i="13" s="1"/>
  <c r="BE72" i="13"/>
  <c r="AJ47" i="12"/>
  <c r="BB51" i="13"/>
  <c r="CD29" i="12" a="1"/>
  <c r="CD29" i="12" s="1"/>
  <c r="AI29" i="12" s="1"/>
  <c r="BC161" i="13"/>
  <c r="BC84" i="13"/>
  <c r="BB53" i="13"/>
  <c r="BD96" i="13"/>
  <c r="CG94" i="12" a="1"/>
  <c r="CG94" i="12" s="1"/>
  <c r="CH94" i="12" s="1" a="1"/>
  <c r="CH94" i="12" s="1"/>
  <c r="BF96" i="13" s="1"/>
  <c r="CF90" i="12" a="1"/>
  <c r="CF90" i="12" s="1"/>
  <c r="BD33" i="13" a="1"/>
  <c r="BD33" i="13" s="1"/>
  <c r="BD100" i="13"/>
  <c r="BC53" i="13"/>
  <c r="AZ150" i="13"/>
  <c r="BD97" i="13"/>
  <c r="CF79" i="12" a="1"/>
  <c r="CF79" i="12" s="1"/>
  <c r="BA93" i="13"/>
  <c r="CD91" i="12" a="1"/>
  <c r="CD91" i="12" s="1"/>
  <c r="CE91" i="12" s="1" a="1"/>
  <c r="CE91" i="12" s="1"/>
  <c r="AI35" i="12"/>
  <c r="BC66" i="13"/>
  <c r="BC19" i="13" a="1"/>
  <c r="BC19" i="13" s="1"/>
  <c r="BC21" i="13" a="1"/>
  <c r="BC21" i="13" s="1"/>
  <c r="BC71" i="13"/>
  <c r="CE56" i="12"/>
  <c r="CE66" i="12" s="1"/>
  <c r="BD52" i="13"/>
  <c r="CF58" i="12" a="1"/>
  <c r="CF58" i="12" s="1"/>
  <c r="CF48" i="12" a="1"/>
  <c r="CF48" i="12" s="1"/>
  <c r="CG48" i="12" s="1" a="1"/>
  <c r="CG48" i="12" s="1"/>
  <c r="CH48" i="12" s="1" a="1"/>
  <c r="CH48" i="12" s="1"/>
  <c r="BD99" i="13"/>
  <c r="BA86" i="13"/>
  <c r="BA28" i="13" a="1"/>
  <c r="BA28" i="13" s="1"/>
  <c r="CF61" i="12"/>
  <c r="BD74" i="13"/>
  <c r="BD20" i="13" a="1"/>
  <c r="BD20" i="13" s="1"/>
  <c r="CF35" i="12" a="1"/>
  <c r="CF35" i="12" s="1"/>
  <c r="BC67" i="13"/>
  <c r="CG95" i="12" a="1"/>
  <c r="CG95" i="12" s="1"/>
  <c r="CG34" i="12" a="1"/>
  <c r="CG34" i="12" s="1"/>
  <c r="AJ34" i="12" s="1"/>
  <c r="BA81" i="13"/>
  <c r="BA27" i="13" a="1"/>
  <c r="BA27" i="13" s="1"/>
  <c r="BB57" i="13"/>
  <c r="CG101" i="12" a="1"/>
  <c r="CG101" i="12" s="1"/>
  <c r="CH101" i="12" s="1" a="1"/>
  <c r="CH101" i="12" s="1"/>
  <c r="CG49" i="12" a="1"/>
  <c r="CG49" i="12" s="1"/>
  <c r="AJ49" i="12" s="1"/>
  <c r="CF21" i="12" a="1"/>
  <c r="CF21" i="12" s="1"/>
  <c r="BA24" i="13" a="1"/>
  <c r="BA24" i="13" s="1"/>
  <c r="BA80" i="13"/>
  <c r="BD31" i="13" a="1"/>
  <c r="BD31" i="13" s="1"/>
  <c r="CF39" i="12" a="1"/>
  <c r="CF39" i="12" s="1"/>
  <c r="CG39" i="12" s="1" a="1"/>
  <c r="CG39" i="12" s="1"/>
  <c r="BB17" i="13" a="1"/>
  <c r="BB17" i="13" s="1"/>
  <c r="BB64" i="13"/>
  <c r="CI50" i="12" a="1"/>
  <c r="CI50" i="12" s="1"/>
  <c r="CJ50" i="12" s="1" a="1"/>
  <c r="CJ50" i="12" s="1"/>
  <c r="BD68" i="13"/>
  <c r="BE68" i="13"/>
  <c r="BU135" i="28"/>
  <c r="BT141" i="28"/>
  <c r="Z138" i="28"/>
  <c r="CE76" i="12" a="1"/>
  <c r="CE76" i="12" s="1"/>
  <c r="AI83" i="12"/>
  <c r="BB88" i="13"/>
  <c r="AJ84" i="12"/>
  <c r="BE89" i="13"/>
  <c r="BA17" i="13" a="1"/>
  <c r="BA17" i="13" s="1"/>
  <c r="BA64" i="13"/>
  <c r="CF46" i="12" a="1"/>
  <c r="CF46" i="12" s="1"/>
  <c r="AI39" i="12"/>
  <c r="AJ50" i="12"/>
  <c r="CH40" i="12" l="1" a="1"/>
  <c r="CH40" i="12" s="1"/>
  <c r="CI40" i="12" s="1" a="1"/>
  <c r="CI40" i="12" s="1"/>
  <c r="BG58" i="13" s="1"/>
  <c r="BD58" i="13"/>
  <c r="BE58" i="13"/>
  <c r="BF42" i="13"/>
  <c r="BG42" i="13"/>
  <c r="CI20" i="12" a="1"/>
  <c r="CI20" i="12" s="1"/>
  <c r="CJ20" i="12" s="1" a="1"/>
  <c r="CJ20" i="12" s="1"/>
  <c r="AJ78" i="12"/>
  <c r="CH96" i="12" a="1"/>
  <c r="CH96" i="12" s="1"/>
  <c r="BF31" i="13" s="1" a="1"/>
  <c r="BF31" i="13" s="1"/>
  <c r="AJ96" i="12"/>
  <c r="CH78" i="12" a="1"/>
  <c r="CH78" i="12" s="1"/>
  <c r="BF83" i="13" s="1"/>
  <c r="BC48" i="13"/>
  <c r="CG30" i="12" a="1"/>
  <c r="CG30" i="12" s="1"/>
  <c r="BE48" i="13" s="1"/>
  <c r="BD56" i="13"/>
  <c r="CI59" i="12" a="1"/>
  <c r="CI59" i="12" s="1"/>
  <c r="BG72" i="13" s="1"/>
  <c r="CH38" i="12" a="1"/>
  <c r="CH38" i="12" s="1"/>
  <c r="CI38" i="12" s="1" a="1"/>
  <c r="CI38" i="12" s="1"/>
  <c r="BG56" i="13" s="1"/>
  <c r="AJ38" i="12"/>
  <c r="BE56" i="13"/>
  <c r="BF69" i="13"/>
  <c r="CJ51" i="12" a="1"/>
  <c r="CJ51" i="12" s="1"/>
  <c r="S51" i="12" s="1"/>
  <c r="CI97" i="12" a="1"/>
  <c r="CI97" i="12" s="1"/>
  <c r="BG99" i="13" s="1"/>
  <c r="BF65" i="13"/>
  <c r="CJ102" i="12" a="1"/>
  <c r="CJ102" i="12" s="1"/>
  <c r="S102" i="12" s="1"/>
  <c r="BC88" i="13"/>
  <c r="CJ47" i="12" a="1"/>
  <c r="CJ47" i="12" s="1"/>
  <c r="BH65" i="13" s="1"/>
  <c r="AJ83" i="12"/>
  <c r="BE46" i="13"/>
  <c r="CH34" i="12" a="1"/>
  <c r="CH34" i="12" s="1"/>
  <c r="CI34" i="12" s="1" a="1"/>
  <c r="CI34" i="12" s="1"/>
  <c r="BG52" i="13" s="1"/>
  <c r="BF46" i="13"/>
  <c r="CI28" i="12" a="1"/>
  <c r="CI28" i="12" s="1"/>
  <c r="CJ28" i="12" s="1" a="1"/>
  <c r="CJ28" i="12" s="1"/>
  <c r="BH68" i="13"/>
  <c r="S50" i="12"/>
  <c r="AJ28" i="12"/>
  <c r="CH31" i="12" a="1"/>
  <c r="CH31" i="12" s="1"/>
  <c r="CI31" i="12" s="1" a="1"/>
  <c r="CI31" i="12" s="1"/>
  <c r="BG49" i="13" s="1"/>
  <c r="AJ64" i="12"/>
  <c r="AJ61" i="12" s="1"/>
  <c r="CJ52" i="12" a="1"/>
  <c r="CJ52" i="12" s="1"/>
  <c r="BH70" i="13" s="1"/>
  <c r="BE49" i="13"/>
  <c r="CI101" i="12" a="1"/>
  <c r="CI101" i="12" s="1"/>
  <c r="CJ101" i="12" s="1" a="1"/>
  <c r="CJ101" i="12" s="1"/>
  <c r="CH36" i="12" a="1"/>
  <c r="CH36" i="12" s="1"/>
  <c r="BF54" i="13" s="1"/>
  <c r="CH33" i="12" a="1"/>
  <c r="CH33" i="12" s="1"/>
  <c r="CI33" i="12" s="1" a="1"/>
  <c r="CI33" i="12" s="1"/>
  <c r="BG51" i="13" s="1"/>
  <c r="BF66" i="13"/>
  <c r="BE57" i="13"/>
  <c r="Z141" i="28"/>
  <c r="CD75" i="12"/>
  <c r="BG68" i="13"/>
  <c r="AK50" i="12"/>
  <c r="BC151" i="13"/>
  <c r="BE88" i="13"/>
  <c r="BU138" i="28"/>
  <c r="AA135" i="28"/>
  <c r="AJ95" i="12"/>
  <c r="BE97" i="13"/>
  <c r="BE52" i="13"/>
  <c r="BD17" i="13" a="1"/>
  <c r="BD17" i="13" s="1"/>
  <c r="BD64" i="13"/>
  <c r="BC93" i="13"/>
  <c r="BC30" i="13" a="1"/>
  <c r="BC30" i="13" s="1"/>
  <c r="BD84" i="13"/>
  <c r="CG79" i="12" a="1"/>
  <c r="CG79" i="12" s="1"/>
  <c r="CH79" i="12" s="1" a="1"/>
  <c r="CH79" i="12" s="1"/>
  <c r="BF84" i="13" s="1"/>
  <c r="BE67" i="13"/>
  <c r="CH49" i="12" a="1"/>
  <c r="CH49" i="12" s="1"/>
  <c r="BD53" i="13"/>
  <c r="CG35" i="12" a="1"/>
  <c r="CG35" i="12" s="1"/>
  <c r="CH35" i="12" s="1" a="1"/>
  <c r="CH35" i="12" s="1"/>
  <c r="BD152" i="13"/>
  <c r="BC27" i="13" a="1"/>
  <c r="BC27" i="13" s="1"/>
  <c r="BC81" i="13"/>
  <c r="BE33" i="13" a="1"/>
  <c r="BE33" i="13" s="1"/>
  <c r="BE100" i="13"/>
  <c r="AJ101" i="12"/>
  <c r="BF33" i="13" a="1"/>
  <c r="BF33" i="13" s="1"/>
  <c r="BF100" i="13"/>
  <c r="BG74" i="13"/>
  <c r="BG161" i="13" s="1"/>
  <c r="BG20" i="13" a="1"/>
  <c r="BG20" i="13" s="1"/>
  <c r="BG152" i="13" s="1"/>
  <c r="CI61" i="12"/>
  <c r="BC86" i="13"/>
  <c r="BC28" i="13" a="1"/>
  <c r="BC28" i="13" s="1"/>
  <c r="BE19" i="13" a="1"/>
  <c r="BE19" i="13" s="1"/>
  <c r="BE66" i="13"/>
  <c r="AJ48" i="12"/>
  <c r="CF91" i="12" a="1"/>
  <c r="CF91" i="12" s="1"/>
  <c r="BD30" i="13" s="1" a="1"/>
  <c r="BD30" i="13" s="1"/>
  <c r="CI94" i="12" a="1"/>
  <c r="CI94" i="12" s="1"/>
  <c r="BG96" i="13" s="1"/>
  <c r="CH95" i="12" a="1"/>
  <c r="CH95" i="12" s="1"/>
  <c r="BF97" i="13" s="1"/>
  <c r="BD90" i="13"/>
  <c r="BD57" i="13"/>
  <c r="AJ39" i="12"/>
  <c r="CG46" i="12" a="1"/>
  <c r="CG46" i="12" s="1"/>
  <c r="CH39" i="12" a="1"/>
  <c r="CH39" i="12" s="1"/>
  <c r="BC160" i="13"/>
  <c r="BD45" i="13"/>
  <c r="CG21" i="12" a="1"/>
  <c r="CG21" i="12" s="1"/>
  <c r="CF76" i="12" a="1"/>
  <c r="CF76" i="12" s="1"/>
  <c r="BD92" i="13"/>
  <c r="CG90" i="12" a="1"/>
  <c r="CG90" i="12" s="1"/>
  <c r="CH90" i="12" s="1" a="1"/>
  <c r="CH90" i="12" s="1"/>
  <c r="BB13" i="13" a="1"/>
  <c r="BB13" i="13" s="1"/>
  <c r="BB47" i="13"/>
  <c r="CD26" i="12"/>
  <c r="BA150" i="13"/>
  <c r="CJ64" i="12" a="1"/>
  <c r="CJ64" i="12" s="1"/>
  <c r="AK64" i="12" s="1"/>
  <c r="AK61" i="12" s="1"/>
  <c r="CG61" i="12"/>
  <c r="BE20" i="13" a="1"/>
  <c r="BE20" i="13" s="1"/>
  <c r="BE74" i="13"/>
  <c r="BD161" i="13"/>
  <c r="CF56" i="12"/>
  <c r="CF66" i="12" s="1"/>
  <c r="BD21" i="13" a="1"/>
  <c r="BD21" i="13" s="1"/>
  <c r="BD151" i="13" s="1"/>
  <c r="BD71" i="13"/>
  <c r="BD160" i="13" s="1"/>
  <c r="CG58" i="12" a="1"/>
  <c r="CG58" i="12" s="1"/>
  <c r="CH58" i="12" s="1" a="1"/>
  <c r="CH58" i="12" s="1"/>
  <c r="CI58" i="12" s="1" a="1"/>
  <c r="CI58" i="12" s="1"/>
  <c r="AI91" i="12"/>
  <c r="BB93" i="13"/>
  <c r="BA159" i="13"/>
  <c r="BE99" i="13"/>
  <c r="AJ97" i="12"/>
  <c r="BB59" i="13"/>
  <c r="BB16" i="13" a="1"/>
  <c r="BB16" i="13" s="1"/>
  <c r="CE41" i="12" a="1"/>
  <c r="CE41" i="12" s="1"/>
  <c r="AI41" i="12"/>
  <c r="AI26" i="12" s="1"/>
  <c r="Z155" i="29"/>
  <c r="CD92" i="12"/>
  <c r="AJ93" i="12"/>
  <c r="BE95" i="13"/>
  <c r="BE82" i="13"/>
  <c r="AJ77" i="12"/>
  <c r="CH77" i="12" a="1"/>
  <c r="CH77" i="12" s="1"/>
  <c r="BF82" i="13" s="1"/>
  <c r="BB86" i="13"/>
  <c r="AI81" i="12"/>
  <c r="BB28" i="13" a="1"/>
  <c r="BB28" i="13" s="1"/>
  <c r="CI48" i="12" a="1"/>
  <c r="CI48" i="12" s="1"/>
  <c r="BD19" i="13" a="1"/>
  <c r="BD19" i="13" s="1"/>
  <c r="BD66" i="13"/>
  <c r="CE29" i="12" a="1"/>
  <c r="CE29" i="12" s="1"/>
  <c r="BC90" i="13"/>
  <c r="BF70" i="13"/>
  <c r="BE43" i="13"/>
  <c r="BF90" i="13"/>
  <c r="BG85" i="13"/>
  <c r="CH61" i="12"/>
  <c r="BF74" i="13"/>
  <c r="BF161" i="13" s="1"/>
  <c r="BF20" i="13" a="1"/>
  <c r="BF20" i="13" s="1"/>
  <c r="BF152" i="13" s="1"/>
  <c r="BE87" i="13"/>
  <c r="AJ82" i="12"/>
  <c r="BD18" i="13" a="1"/>
  <c r="BD18" i="13" s="1"/>
  <c r="BD54" i="13"/>
  <c r="AJ19" i="12"/>
  <c r="BG87" i="13"/>
  <c r="BE50" i="13"/>
  <c r="AJ32" i="12"/>
  <c r="BE96" i="13"/>
  <c r="AJ94" i="12"/>
  <c r="BH42" i="13"/>
  <c r="S18" i="12"/>
  <c r="CH19" i="12" a="1"/>
  <c r="CH19" i="12" s="1"/>
  <c r="CI19" i="12" s="1" a="1"/>
  <c r="CI19" i="12" s="1"/>
  <c r="CH32" i="12" a="1"/>
  <c r="CH32" i="12" s="1"/>
  <c r="CI32" i="12" s="1" a="1"/>
  <c r="CI32" i="12" s="1"/>
  <c r="BG50" i="13" s="1"/>
  <c r="BE54" i="13"/>
  <c r="BE51" i="13"/>
  <c r="BE31" i="13" a="1"/>
  <c r="BE31" i="13" s="1"/>
  <c r="BB30" i="13" a="1"/>
  <c r="BB30" i="13" s="1"/>
  <c r="AK18" i="12"/>
  <c r="BD55" i="13"/>
  <c r="CG37" i="12" a="1"/>
  <c r="CG37" i="12" s="1"/>
  <c r="BD51" i="13"/>
  <c r="CH93" i="12" a="1"/>
  <c r="CH93" i="12" s="1"/>
  <c r="BF58" i="13"/>
  <c r="AJ36" i="12"/>
  <c r="AJ33" i="12"/>
  <c r="BU152" i="29"/>
  <c r="AA149" i="29"/>
  <c r="CI78" i="12" l="1" a="1"/>
  <c r="CI78" i="12" s="1"/>
  <c r="CJ40" i="12" a="1"/>
  <c r="CJ40" i="12" s="1"/>
  <c r="BH58" i="13" s="1"/>
  <c r="H15" i="9" a="1"/>
  <c r="H15" i="9" s="1"/>
  <c r="BH101" i="13"/>
  <c r="CI96" i="12" a="1"/>
  <c r="CI96" i="12" s="1"/>
  <c r="CJ96" i="12" s="1" a="1"/>
  <c r="CJ96" i="12" s="1"/>
  <c r="S96" i="12" s="1"/>
  <c r="BF98" i="13"/>
  <c r="AJ30" i="12"/>
  <c r="CH30" i="12" a="1"/>
  <c r="CH30" i="12" s="1"/>
  <c r="BG46" i="13"/>
  <c r="CJ38" i="12" a="1"/>
  <c r="CJ38" i="12" s="1"/>
  <c r="BH56" i="13" s="1"/>
  <c r="BF56" i="13"/>
  <c r="AK102" i="12"/>
  <c r="CJ59" i="12" a="1"/>
  <c r="CJ59" i="12" s="1"/>
  <c r="AK59" i="12" s="1"/>
  <c r="AD47" i="9" a="1"/>
  <c r="AD47" i="9" s="1"/>
  <c r="X47" i="9" a="1"/>
  <c r="X47" i="9" s="1"/>
  <c r="I47" i="9" a="1"/>
  <c r="I47" i="9" s="1"/>
  <c r="BF52" i="13"/>
  <c r="BH69" i="13"/>
  <c r="BH30" i="9" s="1" a="1"/>
  <c r="BH30" i="9" s="1"/>
  <c r="U29" i="9" a="1"/>
  <c r="U29" i="9" s="1"/>
  <c r="BD47" i="9" a="1"/>
  <c r="BD47" i="9" s="1"/>
  <c r="BM47" i="9" a="1"/>
  <c r="BM47" i="9" s="1"/>
  <c r="BF88" i="13"/>
  <c r="CJ94" i="12" a="1"/>
  <c r="CJ94" i="12" s="1"/>
  <c r="BH96" i="13" s="1"/>
  <c r="AU47" i="9" a="1"/>
  <c r="AU47" i="9" s="1"/>
  <c r="M47" i="9" a="1"/>
  <c r="M47" i="9" s="1"/>
  <c r="BJ47" i="9" a="1"/>
  <c r="BJ47" i="9" s="1"/>
  <c r="AA47" i="9" a="1"/>
  <c r="AA47" i="9" s="1"/>
  <c r="AK51" i="12"/>
  <c r="AK47" i="12"/>
  <c r="BL47" i="9" a="1"/>
  <c r="BL47" i="9" s="1"/>
  <c r="T47" i="9" a="1"/>
  <c r="T47" i="9" s="1"/>
  <c r="BV47" i="9" a="1"/>
  <c r="BV47" i="9" s="1"/>
  <c r="BO47" i="9" a="1"/>
  <c r="BO47" i="9" s="1"/>
  <c r="BR47" i="9" a="1"/>
  <c r="BR47" i="9" s="1"/>
  <c r="AT47" i="9" a="1"/>
  <c r="AT47" i="9" s="1"/>
  <c r="AJ47" i="9" a="1"/>
  <c r="AJ47" i="9" s="1"/>
  <c r="AG47" i="9" a="1"/>
  <c r="AG47" i="9" s="1"/>
  <c r="BE47" i="9" a="1"/>
  <c r="BE47" i="9" s="1"/>
  <c r="AM47" i="9" a="1"/>
  <c r="AM47" i="9" s="1"/>
  <c r="L47" i="9" a="1"/>
  <c r="L47" i="9" s="1"/>
  <c r="BC47" i="9" a="1"/>
  <c r="BC47" i="9" s="1"/>
  <c r="N47" i="9" a="1"/>
  <c r="N47" i="9" s="1"/>
  <c r="AS47" i="9" a="1"/>
  <c r="AS47" i="9" s="1"/>
  <c r="AX47" i="9" a="1"/>
  <c r="AX47" i="9" s="1"/>
  <c r="BW47" i="9" a="1"/>
  <c r="BW47" i="9" s="1"/>
  <c r="W47" i="9" a="1"/>
  <c r="W47" i="9" s="1"/>
  <c r="AZ47" i="9" a="1"/>
  <c r="AZ47" i="9" s="1"/>
  <c r="BB47" i="9" a="1"/>
  <c r="BB47" i="9" s="1"/>
  <c r="G47" i="9" a="1"/>
  <c r="G47" i="9" s="1"/>
  <c r="H47" i="9" a="1"/>
  <c r="H47" i="9" s="1"/>
  <c r="AK47" i="9" a="1"/>
  <c r="AK47" i="9" s="1"/>
  <c r="BK47" i="9" a="1"/>
  <c r="BK47" i="9" s="1"/>
  <c r="S47" i="12"/>
  <c r="BA47" i="9" a="1"/>
  <c r="BA47" i="9" s="1"/>
  <c r="AW47" i="9" a="1"/>
  <c r="AW47" i="9" s="1"/>
  <c r="R47" i="9" a="1"/>
  <c r="R47" i="9" s="1"/>
  <c r="CJ97" i="12" a="1"/>
  <c r="CJ97" i="12" s="1"/>
  <c r="BH99" i="13" s="1"/>
  <c r="AQ47" i="9" a="1"/>
  <c r="AQ47" i="9" s="1"/>
  <c r="S47" i="9" a="1"/>
  <c r="S47" i="9" s="1"/>
  <c r="Y47" i="9" a="1"/>
  <c r="Y47" i="9" s="1"/>
  <c r="AA29" i="9" a="1"/>
  <c r="AA29" i="9" s="1"/>
  <c r="AO47" i="9" a="1"/>
  <c r="AO47" i="9" s="1"/>
  <c r="V47" i="9" a="1"/>
  <c r="V47" i="9" s="1"/>
  <c r="AV47" i="9" a="1"/>
  <c r="AV47" i="9" s="1"/>
  <c r="P47" i="9" a="1"/>
  <c r="P47" i="9" s="1"/>
  <c r="BG47" i="9" a="1"/>
  <c r="BG47" i="9" s="1"/>
  <c r="AL47" i="9" a="1"/>
  <c r="AL47" i="9" s="1"/>
  <c r="F47" i="9" a="1"/>
  <c r="F47" i="9" s="1"/>
  <c r="AY47" i="9" a="1"/>
  <c r="AY47" i="9" s="1"/>
  <c r="BX47" i="9" a="1"/>
  <c r="BX47" i="9" s="1"/>
  <c r="AR47" i="9" a="1"/>
  <c r="AR47" i="9" s="1"/>
  <c r="BS47" i="9" a="1"/>
  <c r="BS47" i="9" s="1"/>
  <c r="AP47" i="9" a="1"/>
  <c r="AP47" i="9" s="1"/>
  <c r="BY47" i="9" a="1"/>
  <c r="BY47" i="9" s="1"/>
  <c r="BN47" i="9" a="1"/>
  <c r="BN47" i="9" s="1"/>
  <c r="AF47" i="9" a="1"/>
  <c r="AF47" i="9" s="1"/>
  <c r="AH29" i="9" a="1"/>
  <c r="AH29" i="9" s="1"/>
  <c r="AF29" i="9" a="1"/>
  <c r="AF29" i="9" s="1"/>
  <c r="W29" i="9" a="1"/>
  <c r="W29" i="9" s="1"/>
  <c r="BH29" i="9" a="1"/>
  <c r="BH29" i="9" s="1"/>
  <c r="BX29" i="9" a="1"/>
  <c r="BX29" i="9" s="1"/>
  <c r="AR29" i="9" a="1"/>
  <c r="AR29" i="9" s="1"/>
  <c r="Y29" i="9" a="1"/>
  <c r="Y29" i="9" s="1"/>
  <c r="AD29" i="9" a="1"/>
  <c r="AD29" i="9" s="1"/>
  <c r="AV29" i="9" a="1"/>
  <c r="AV29" i="9" s="1"/>
  <c r="BG29" i="9" a="1"/>
  <c r="BG29" i="9" s="1"/>
  <c r="BT29" i="9" a="1"/>
  <c r="BT29" i="9" s="1"/>
  <c r="V29" i="9" a="1"/>
  <c r="V29" i="9" s="1"/>
  <c r="BL29" i="9" a="1"/>
  <c r="BL29" i="9" s="1"/>
  <c r="AK40" i="12"/>
  <c r="I29" i="9" a="1"/>
  <c r="I29" i="9" s="1"/>
  <c r="BQ29" i="9" a="1"/>
  <c r="BQ29" i="9" s="1"/>
  <c r="S29" i="9" a="1"/>
  <c r="S29" i="9" s="1"/>
  <c r="BU29" i="9" a="1"/>
  <c r="BU29" i="9" s="1"/>
  <c r="Z29" i="9" a="1"/>
  <c r="Z29" i="9" s="1"/>
  <c r="BC29" i="9" a="1"/>
  <c r="BC29" i="9" s="1"/>
  <c r="BI29" i="9" a="1"/>
  <c r="BI29" i="9" s="1"/>
  <c r="BF47" i="9" a="1"/>
  <c r="BF47" i="9" s="1"/>
  <c r="BQ47" i="9" a="1"/>
  <c r="BQ47" i="9" s="1"/>
  <c r="AI47" i="9" a="1"/>
  <c r="AI47" i="9" s="1"/>
  <c r="BH47" i="9" a="1"/>
  <c r="BH47" i="9" s="1"/>
  <c r="AE47" i="9" a="1"/>
  <c r="AE47" i="9" s="1"/>
  <c r="BP47" i="9" a="1"/>
  <c r="BP47" i="9" s="1"/>
  <c r="Z47" i="9" a="1"/>
  <c r="Z47" i="9" s="1"/>
  <c r="BI47" i="9" a="1"/>
  <c r="BI47" i="9" s="1"/>
  <c r="BU47" i="9" a="1"/>
  <c r="BU47" i="9" s="1"/>
  <c r="Q47" i="9" a="1"/>
  <c r="Q47" i="9" s="1"/>
  <c r="R29" i="9" a="1"/>
  <c r="R29" i="9" s="1"/>
  <c r="AJ29" i="9" a="1"/>
  <c r="AJ29" i="9" s="1"/>
  <c r="BE29" i="9" a="1"/>
  <c r="BE29" i="9" s="1"/>
  <c r="AG29" i="9" a="1"/>
  <c r="AG29" i="9" s="1"/>
  <c r="AP29" i="9" a="1"/>
  <c r="AP29" i="9" s="1"/>
  <c r="BK29" i="9" a="1"/>
  <c r="BK29" i="9" s="1"/>
  <c r="P29" i="9" a="1"/>
  <c r="P29" i="9" s="1"/>
  <c r="AH47" i="9" a="1"/>
  <c r="AH47" i="9" s="1"/>
  <c r="T29" i="9" a="1"/>
  <c r="T29" i="9" s="1"/>
  <c r="BD29" i="9" a="1"/>
  <c r="BD29" i="9" s="1"/>
  <c r="AZ29" i="9" a="1"/>
  <c r="AZ29" i="9" s="1"/>
  <c r="Q29" i="9" a="1"/>
  <c r="Q29" i="9" s="1"/>
  <c r="AO29" i="9" a="1"/>
  <c r="AO29" i="9" s="1"/>
  <c r="BW29" i="9" a="1"/>
  <c r="BW29" i="9" s="1"/>
  <c r="AM29" i="9" a="1"/>
  <c r="AM29" i="9" s="1"/>
  <c r="BT47" i="9" a="1"/>
  <c r="BT47" i="9" s="1"/>
  <c r="AD40" i="9" a="1"/>
  <c r="AD40" i="9" s="1"/>
  <c r="BM29" i="9" a="1"/>
  <c r="BM29" i="9" s="1"/>
  <c r="AI29" i="9" a="1"/>
  <c r="AI29" i="9" s="1"/>
  <c r="BJ29" i="9" a="1"/>
  <c r="BJ29" i="9" s="1"/>
  <c r="S40" i="12"/>
  <c r="BP29" i="9" a="1"/>
  <c r="BP29" i="9" s="1"/>
  <c r="BB29" i="9" a="1"/>
  <c r="BB29" i="9" s="1"/>
  <c r="BA29" i="9" a="1"/>
  <c r="BA29" i="9" s="1"/>
  <c r="L29" i="9" a="1"/>
  <c r="L29" i="9" s="1"/>
  <c r="AQ29" i="9" a="1"/>
  <c r="AQ29" i="9" s="1"/>
  <c r="AX29" i="9" a="1"/>
  <c r="AX29" i="9" s="1"/>
  <c r="U47" i="9" a="1"/>
  <c r="U47" i="9" s="1"/>
  <c r="AL15" i="9" a="1"/>
  <c r="AL15" i="9" s="1"/>
  <c r="AF15" i="9" a="1"/>
  <c r="AF15" i="9" s="1"/>
  <c r="CG91" i="12" a="1"/>
  <c r="CG91" i="12" s="1"/>
  <c r="BE93" i="13" s="1"/>
  <c r="AV15" i="9" a="1"/>
  <c r="AV15" i="9" s="1"/>
  <c r="BF51" i="13"/>
  <c r="BD15" i="9" a="1"/>
  <c r="BD15" i="9" s="1"/>
  <c r="T15" i="9" a="1"/>
  <c r="T15" i="9" s="1"/>
  <c r="AQ15" i="9" a="1"/>
  <c r="AQ15" i="9" s="1"/>
  <c r="Z15" i="9" a="1"/>
  <c r="Z15" i="9" s="1"/>
  <c r="BY15" i="9" a="1"/>
  <c r="BY15" i="9" s="1"/>
  <c r="BG100" i="13"/>
  <c r="BH15" i="9" a="1"/>
  <c r="BH15" i="9" s="1"/>
  <c r="S52" i="12"/>
  <c r="AK52" i="12"/>
  <c r="BG33" i="13" a="1"/>
  <c r="BG33" i="13" s="1"/>
  <c r="AZ15" i="9" a="1"/>
  <c r="AZ15" i="9" s="1"/>
  <c r="S15" i="9" a="1"/>
  <c r="S15" i="9" s="1"/>
  <c r="AK15" i="9" a="1"/>
  <c r="AK15" i="9" s="1"/>
  <c r="CI36" i="12" a="1"/>
  <c r="CI36" i="12" s="1"/>
  <c r="CJ36" i="12" s="1" a="1"/>
  <c r="CJ36" i="12" s="1"/>
  <c r="O29" i="9" a="1"/>
  <c r="O29" i="9" s="1"/>
  <c r="AG15" i="9" a="1"/>
  <c r="AG15" i="9" s="1"/>
  <c r="BP15" i="9" a="1"/>
  <c r="BP15" i="9" s="1"/>
  <c r="BF49" i="13"/>
  <c r="AI40" i="9" a="1"/>
  <c r="AI40" i="9" s="1"/>
  <c r="R15" i="9" a="1"/>
  <c r="R15" i="9" s="1"/>
  <c r="BJ15" i="9" a="1"/>
  <c r="BJ15" i="9" s="1"/>
  <c r="AM15" i="9" a="1"/>
  <c r="AM15" i="9" s="1"/>
  <c r="BX15" i="9" a="1"/>
  <c r="BX15" i="9" s="1"/>
  <c r="BS15" i="9" a="1"/>
  <c r="BS15" i="9" s="1"/>
  <c r="AY15" i="9" a="1"/>
  <c r="AY15" i="9" s="1"/>
  <c r="N15" i="9" a="1"/>
  <c r="N15" i="9" s="1"/>
  <c r="U15" i="9" a="1"/>
  <c r="U15" i="9" s="1"/>
  <c r="AW15" i="9" a="1"/>
  <c r="AW15" i="9" s="1"/>
  <c r="CJ31" i="12" a="1"/>
  <c r="CJ31" i="12" s="1"/>
  <c r="BH49" i="13" s="1"/>
  <c r="BI48" i="9" a="1"/>
  <c r="BI48" i="9" s="1"/>
  <c r="BF48" i="9" a="1"/>
  <c r="BF48" i="9" s="1"/>
  <c r="AP15" i="9" a="1"/>
  <c r="AP15" i="9" s="1"/>
  <c r="AT15" i="9" a="1"/>
  <c r="AT15" i="9" s="1"/>
  <c r="BL15" i="9" a="1"/>
  <c r="BL15" i="9" s="1"/>
  <c r="AN15" i="9" a="1"/>
  <c r="AN15" i="9" s="1"/>
  <c r="BM15" i="9" a="1"/>
  <c r="BM15" i="9" s="1"/>
  <c r="P15" i="9" a="1"/>
  <c r="P15" i="9" s="1"/>
  <c r="O15" i="9" a="1"/>
  <c r="O15" i="9" s="1"/>
  <c r="BW15" i="9" a="1"/>
  <c r="BW15" i="9" s="1"/>
  <c r="BF15" i="9" a="1"/>
  <c r="BF15" i="9" s="1"/>
  <c r="I15" i="9" a="1"/>
  <c r="I15" i="9" s="1"/>
  <c r="BR15" i="9" a="1"/>
  <c r="BR15" i="9" s="1"/>
  <c r="V15" i="9" a="1"/>
  <c r="V15" i="9" s="1"/>
  <c r="BN15" i="9" a="1"/>
  <c r="BN15" i="9" s="1"/>
  <c r="AX15" i="9" a="1"/>
  <c r="AX15" i="9" s="1"/>
  <c r="AH15" i="9" a="1"/>
  <c r="AH15" i="9" s="1"/>
  <c r="AE15" i="9" a="1"/>
  <c r="AE15" i="9" s="1"/>
  <c r="AI15" i="9" a="1"/>
  <c r="AI15" i="9" s="1"/>
  <c r="BE15" i="9" a="1"/>
  <c r="BE15" i="9" s="1"/>
  <c r="BA15" i="9" a="1"/>
  <c r="BA15" i="9" s="1"/>
  <c r="BT15" i="9" a="1"/>
  <c r="BT15" i="9" s="1"/>
  <c r="AO15" i="9" a="1"/>
  <c r="AO15" i="9" s="1"/>
  <c r="BI15" i="9" a="1"/>
  <c r="BI15" i="9" s="1"/>
  <c r="W15" i="9" a="1"/>
  <c r="W15" i="9" s="1"/>
  <c r="AJ21" i="12"/>
  <c r="CH21" i="12" a="1"/>
  <c r="CH21" i="12" s="1"/>
  <c r="BF45" i="13" s="1"/>
  <c r="BF28" i="13" a="1"/>
  <c r="BF28" i="13" s="1"/>
  <c r="BG21" i="13" a="1"/>
  <c r="BG21" i="13" s="1"/>
  <c r="BG151" i="13" s="1"/>
  <c r="BG71" i="13"/>
  <c r="BG160" i="13" s="1"/>
  <c r="CI56" i="12"/>
  <c r="CI66" i="12" s="1"/>
  <c r="BU155" i="29"/>
  <c r="CE92" i="12" s="1"/>
  <c r="BV149" i="29"/>
  <c r="BV152" i="29" s="1"/>
  <c r="BE55" i="13"/>
  <c r="AJ37" i="12"/>
  <c r="BE18" i="13" a="1"/>
  <c r="BE18" i="13" s="1"/>
  <c r="CH37" i="12" a="1"/>
  <c r="CH37" i="12" s="1"/>
  <c r="BG83" i="13"/>
  <c r="CJ78" i="12" a="1"/>
  <c r="CJ78" i="12" s="1"/>
  <c r="BF95" i="13"/>
  <c r="CI93" i="12" a="1"/>
  <c r="CI93" i="12" s="1"/>
  <c r="BG95" i="13" s="1"/>
  <c r="BG89" i="13"/>
  <c r="BF92" i="13"/>
  <c r="BH48" i="9" a="1"/>
  <c r="BH48" i="9" s="1"/>
  <c r="BV48" i="9" a="1"/>
  <c r="BV48" i="9" s="1"/>
  <c r="AQ48" i="9" a="1"/>
  <c r="AQ48" i="9" s="1"/>
  <c r="AX48" i="9" a="1"/>
  <c r="AX48" i="9" s="1"/>
  <c r="BW48" i="9" a="1"/>
  <c r="BW48" i="9" s="1"/>
  <c r="AV48" i="9" a="1"/>
  <c r="AV48" i="9" s="1"/>
  <c r="BS48" i="9" a="1"/>
  <c r="BS48" i="9" s="1"/>
  <c r="AK96" i="12"/>
  <c r="BU40" i="9" a="1"/>
  <c r="BU40" i="9" s="1"/>
  <c r="BF43" i="13"/>
  <c r="AA15" i="9" a="1"/>
  <c r="AA15" i="9" s="1"/>
  <c r="AS40" i="9" a="1"/>
  <c r="AS40" i="9" s="1"/>
  <c r="AF40" i="9" a="1"/>
  <c r="AF40" i="9" s="1"/>
  <c r="AO40" i="9" a="1"/>
  <c r="AO40" i="9" s="1"/>
  <c r="BU15" i="9" a="1"/>
  <c r="BU15" i="9" s="1"/>
  <c r="CJ19" i="12" a="1"/>
  <c r="CJ19" i="12" s="1"/>
  <c r="BG40" i="9" a="1"/>
  <c r="BG40" i="9" s="1"/>
  <c r="Q40" i="9" a="1"/>
  <c r="Q40" i="9" s="1"/>
  <c r="BJ40" i="9" a="1"/>
  <c r="BJ40" i="9" s="1"/>
  <c r="Q15" i="9" a="1"/>
  <c r="Q15" i="9" s="1"/>
  <c r="AJ90" i="12"/>
  <c r="BE92" i="13"/>
  <c r="CI95" i="12" a="1"/>
  <c r="CI95" i="12" s="1"/>
  <c r="BG97" i="13" s="1"/>
  <c r="BG43" i="13"/>
  <c r="AJ40" i="9" a="1"/>
  <c r="AJ40" i="9" s="1"/>
  <c r="AZ40" i="9" a="1"/>
  <c r="AZ40" i="9" s="1"/>
  <c r="H40" i="9" a="1"/>
  <c r="H40" i="9" s="1"/>
  <c r="BC46" i="11" a="1"/>
  <c r="BC46" i="11" s="1"/>
  <c r="BI46" i="11" a="1"/>
  <c r="BI46" i="11" s="1"/>
  <c r="BQ46" i="11" a="1"/>
  <c r="BQ46" i="11" s="1"/>
  <c r="BH46" i="11" a="1"/>
  <c r="BH46" i="11" s="1"/>
  <c r="AR46" i="11" a="1"/>
  <c r="AR46" i="11" s="1"/>
  <c r="BR46" i="11" a="1"/>
  <c r="BR46" i="11" s="1"/>
  <c r="L46" i="11" a="1"/>
  <c r="L46" i="11" s="1"/>
  <c r="N46" i="11" a="1"/>
  <c r="N46" i="11" s="1"/>
  <c r="O46" i="11" a="1"/>
  <c r="O46" i="11" s="1"/>
  <c r="BD46" i="11" a="1"/>
  <c r="BD46" i="11" s="1"/>
  <c r="K46" i="11" a="1"/>
  <c r="K46" i="11" s="1"/>
  <c r="AY46" i="11" a="1"/>
  <c r="AY46" i="11" s="1"/>
  <c r="AV46" i="11" a="1"/>
  <c r="AV46" i="11" s="1"/>
  <c r="AC46" i="11" a="1"/>
  <c r="AC46" i="11" s="1"/>
  <c r="M46" i="11" a="1"/>
  <c r="M46" i="11" s="1"/>
  <c r="AX46" i="11" a="1"/>
  <c r="AX46" i="11" s="1"/>
  <c r="W46" i="11" a="1"/>
  <c r="W46" i="11" s="1"/>
  <c r="BS46" i="11" a="1"/>
  <c r="BS46" i="11" s="1"/>
  <c r="AK46" i="11" a="1"/>
  <c r="AK46" i="11" s="1"/>
  <c r="G46" i="11" a="1"/>
  <c r="G46" i="11" s="1"/>
  <c r="AI46" i="11" a="1"/>
  <c r="AI46" i="11" s="1"/>
  <c r="Z46" i="11" a="1"/>
  <c r="Z46" i="11" s="1"/>
  <c r="BJ46" i="11" a="1"/>
  <c r="BJ46" i="11" s="1"/>
  <c r="BN46" i="11" a="1"/>
  <c r="BN46" i="11" s="1"/>
  <c r="AZ46" i="11" a="1"/>
  <c r="AZ46" i="11" s="1"/>
  <c r="AP46" i="11" a="1"/>
  <c r="AP46" i="11" s="1"/>
  <c r="BX46" i="11" a="1"/>
  <c r="BX46" i="11" s="1"/>
  <c r="R46" i="11" a="1"/>
  <c r="R46" i="11" s="1"/>
  <c r="AE46" i="11" a="1"/>
  <c r="AE46" i="11" s="1"/>
  <c r="BM46" i="11" a="1"/>
  <c r="BM46" i="11" s="1"/>
  <c r="BG46" i="11" a="1"/>
  <c r="BG46" i="11" s="1"/>
  <c r="BV46" i="11" a="1"/>
  <c r="BV46" i="11" s="1"/>
  <c r="BT46" i="11" a="1"/>
  <c r="BT46" i="11" s="1"/>
  <c r="S46" i="11" a="1"/>
  <c r="S46" i="11" s="1"/>
  <c r="V46" i="11" a="1"/>
  <c r="V46" i="11" s="1"/>
  <c r="BU46" i="11" a="1"/>
  <c r="BU46" i="11" s="1"/>
  <c r="AU46" i="11" a="1"/>
  <c r="AU46" i="11" s="1"/>
  <c r="AQ46" i="11" a="1"/>
  <c r="AQ46" i="11" s="1"/>
  <c r="X46" i="11" a="1"/>
  <c r="X46" i="11" s="1"/>
  <c r="P46" i="11" a="1"/>
  <c r="P46" i="11" s="1"/>
  <c r="U46" i="11" a="1"/>
  <c r="U46" i="11" s="1"/>
  <c r="AL46" i="11" a="1"/>
  <c r="AL46" i="11" s="1"/>
  <c r="BA46" i="11" a="1"/>
  <c r="BA46" i="11" s="1"/>
  <c r="BE46" i="11" a="1"/>
  <c r="BE46" i="11" s="1"/>
  <c r="AS46" i="11" a="1"/>
  <c r="AS46" i="11" s="1"/>
  <c r="AO46" i="11" a="1"/>
  <c r="AO46" i="11" s="1"/>
  <c r="BW46" i="11" a="1"/>
  <c r="BW46" i="11" s="1"/>
  <c r="BK46" i="11" a="1"/>
  <c r="BK46" i="11" s="1"/>
  <c r="BH33" i="13" a="1"/>
  <c r="BH33" i="13" s="1"/>
  <c r="BH100" i="13"/>
  <c r="S101" i="12"/>
  <c r="AK101" i="12"/>
  <c r="BE53" i="13"/>
  <c r="AV40" i="9" a="1"/>
  <c r="AV40" i="9" s="1"/>
  <c r="AU40" i="9" a="1"/>
  <c r="AU40" i="9" s="1"/>
  <c r="X40" i="9" a="1"/>
  <c r="X40" i="9" s="1"/>
  <c r="BC13" i="13" a="1"/>
  <c r="BC13" i="13" s="1"/>
  <c r="BC47" i="13"/>
  <c r="CE26" i="12"/>
  <c r="BF53" i="13"/>
  <c r="AJ79" i="12"/>
  <c r="BE84" i="13"/>
  <c r="CI30" i="12" a="1"/>
  <c r="CI30" i="12" s="1"/>
  <c r="BH85" i="13"/>
  <c r="BG34" i="11" s="1" a="1"/>
  <c r="BG34" i="11" s="1"/>
  <c r="AK80" i="12"/>
  <c r="S80" i="12"/>
  <c r="BQ15" i="9" a="1"/>
  <c r="BQ15" i="9" s="1"/>
  <c r="AG48" i="9" a="1"/>
  <c r="AG48" i="9" s="1"/>
  <c r="AT48" i="9" a="1"/>
  <c r="AT48" i="9" s="1"/>
  <c r="N48" i="9" a="1"/>
  <c r="N48" i="9" s="1"/>
  <c r="AR48" i="9" a="1"/>
  <c r="AR48" i="9" s="1"/>
  <c r="AF48" i="9" a="1"/>
  <c r="AF48" i="9" s="1"/>
  <c r="P40" i="9" a="1"/>
  <c r="P40" i="9" s="1"/>
  <c r="AR40" i="9" a="1"/>
  <c r="AR40" i="9" s="1"/>
  <c r="BG15" i="9" a="1"/>
  <c r="BG15" i="9" s="1"/>
  <c r="AJ48" i="9" a="1"/>
  <c r="AJ48" i="9" s="1"/>
  <c r="CI90" i="12" a="1"/>
  <c r="CI90" i="12" s="1"/>
  <c r="BD81" i="13"/>
  <c r="BD27" i="13" a="1"/>
  <c r="BD27" i="13" s="1"/>
  <c r="BD86" i="13"/>
  <c r="BD28" i="13" a="1"/>
  <c r="BD28" i="13" s="1"/>
  <c r="CI35" i="12" a="1"/>
  <c r="CI35" i="12" s="1"/>
  <c r="BG53" i="13" s="1"/>
  <c r="CJ33" i="12" a="1"/>
  <c r="CJ33" i="12" s="1"/>
  <c r="AK33" i="12" s="1"/>
  <c r="CJ32" i="12" a="1"/>
  <c r="CJ32" i="12" s="1"/>
  <c r="AK32" i="12" s="1"/>
  <c r="BE90" i="13"/>
  <c r="AJ85" i="12"/>
  <c r="AK40" i="9" a="1"/>
  <c r="AK40" i="9" s="1"/>
  <c r="S40" i="9" a="1"/>
  <c r="S40" i="9" s="1"/>
  <c r="CI79" i="12" a="1"/>
  <c r="CI79" i="12" s="1"/>
  <c r="AH40" i="9" a="1"/>
  <c r="AH40" i="9" s="1"/>
  <c r="AJ15" i="9" a="1"/>
  <c r="AJ15" i="9" s="1"/>
  <c r="BO15" i="9" a="1"/>
  <c r="BO15" i="9" s="1"/>
  <c r="BV15" i="9" a="1"/>
  <c r="BV15" i="9" s="1"/>
  <c r="BB15" i="9" a="1"/>
  <c r="BB15" i="9" s="1"/>
  <c r="AU15" i="9" a="1"/>
  <c r="AU15" i="9" s="1"/>
  <c r="AR15" i="9" a="1"/>
  <c r="AR15" i="9" s="1"/>
  <c r="M15" i="9" a="1"/>
  <c r="M15" i="9" s="1"/>
  <c r="L15" i="9" a="1"/>
  <c r="L15" i="9" s="1"/>
  <c r="X15" i="9" a="1"/>
  <c r="X15" i="9" s="1"/>
  <c r="AQ40" i="9" a="1"/>
  <c r="AQ40" i="9" s="1"/>
  <c r="BN40" i="9" a="1"/>
  <c r="BN40" i="9" s="1"/>
  <c r="L40" i="9" a="1"/>
  <c r="L40" i="9" s="1"/>
  <c r="BG66" i="13"/>
  <c r="BC59" i="13"/>
  <c r="BC16" i="13" a="1"/>
  <c r="BC16" i="13" s="1"/>
  <c r="CF41" i="12" a="1"/>
  <c r="CF41" i="12" s="1"/>
  <c r="BF57" i="13"/>
  <c r="BD93" i="13"/>
  <c r="CG76" i="12" a="1"/>
  <c r="CG76" i="12" s="1"/>
  <c r="CH76" i="12" s="1" a="1"/>
  <c r="CH76" i="12" s="1"/>
  <c r="BF67" i="13"/>
  <c r="BV40" i="9" a="1"/>
  <c r="BV40" i="9" s="1"/>
  <c r="R40" i="9" a="1"/>
  <c r="R40" i="9" s="1"/>
  <c r="CI49" i="12" a="1"/>
  <c r="CI49" i="12" s="1"/>
  <c r="BG67" i="13" s="1"/>
  <c r="CJ34" i="12" a="1"/>
  <c r="CJ34" i="12" s="1"/>
  <c r="AK34" i="12" s="1"/>
  <c r="BP40" i="9" a="1"/>
  <c r="BP40" i="9" s="1"/>
  <c r="BX40" i="9" a="1"/>
  <c r="BX40" i="9" s="1"/>
  <c r="AN40" i="9" a="1"/>
  <c r="AN40" i="9" s="1"/>
  <c r="BH40" i="9" a="1"/>
  <c r="BH40" i="9" s="1"/>
  <c r="BE45" i="13"/>
  <c r="AG40" i="9" a="1"/>
  <c r="AG40" i="9" s="1"/>
  <c r="W40" i="9" a="1"/>
  <c r="W40" i="9" s="1"/>
  <c r="AJ81" i="12"/>
  <c r="BE86" i="13"/>
  <c r="BE28" i="13" a="1"/>
  <c r="BE28" i="13" s="1"/>
  <c r="Y15" i="9" a="1"/>
  <c r="Y15" i="9" s="1"/>
  <c r="BG90" i="13"/>
  <c r="BW40" i="9" a="1"/>
  <c r="BW40" i="9" s="1"/>
  <c r="BE40" i="9" a="1"/>
  <c r="BE40" i="9" s="1"/>
  <c r="V40" i="9" a="1"/>
  <c r="V40" i="9" s="1"/>
  <c r="AS15" i="9" a="1"/>
  <c r="AS15" i="9" s="1"/>
  <c r="G15" i="9" a="1"/>
  <c r="G15" i="9" s="1"/>
  <c r="BB159" i="13"/>
  <c r="BE17" i="13" a="1"/>
  <c r="BE17" i="13" s="1"/>
  <c r="BE64" i="13"/>
  <c r="N29" i="9" a="1"/>
  <c r="N29" i="9" s="1"/>
  <c r="BN29" i="9" a="1"/>
  <c r="BN29" i="9" s="1"/>
  <c r="BY29" i="9" a="1"/>
  <c r="BY29" i="9" s="1"/>
  <c r="BR29" i="9" a="1"/>
  <c r="BR29" i="9" s="1"/>
  <c r="BS29" i="9" a="1"/>
  <c r="BS29" i="9" s="1"/>
  <c r="BF29" i="9" a="1"/>
  <c r="BF29" i="9" s="1"/>
  <c r="BO29" i="9" a="1"/>
  <c r="BO29" i="9" s="1"/>
  <c r="G29" i="9" a="1"/>
  <c r="G29" i="9" s="1"/>
  <c r="AY29" i="9" a="1"/>
  <c r="AY29" i="9" s="1"/>
  <c r="M29" i="9" a="1"/>
  <c r="M29" i="9" s="1"/>
  <c r="AL40" i="9" a="1"/>
  <c r="AL40" i="9" s="1"/>
  <c r="BS40" i="9" a="1"/>
  <c r="BS40" i="9" s="1"/>
  <c r="BB40" i="9" a="1"/>
  <c r="BB40" i="9" s="1"/>
  <c r="BF71" i="13"/>
  <c r="BF160" i="13" s="1"/>
  <c r="BF21" i="13" a="1"/>
  <c r="BF21" i="13" s="1"/>
  <c r="BF151" i="13" s="1"/>
  <c r="CH56" i="12"/>
  <c r="CH66" i="12" s="1"/>
  <c r="BK15" i="9" a="1"/>
  <c r="BK15" i="9" s="1"/>
  <c r="BB24" i="13" a="1"/>
  <c r="BB24" i="13" s="1"/>
  <c r="AI75" i="12"/>
  <c r="BB80" i="13"/>
  <c r="AJ35" i="12"/>
  <c r="AY40" i="9" a="1"/>
  <c r="AY40" i="9" s="1"/>
  <c r="AE40" i="9" a="1"/>
  <c r="AE40" i="9" s="1"/>
  <c r="BK40" i="9" a="1"/>
  <c r="BK40" i="9" s="1"/>
  <c r="Y40" i="9" a="1"/>
  <c r="Y40" i="9" s="1"/>
  <c r="BL40" i="9" a="1"/>
  <c r="BL40" i="9" s="1"/>
  <c r="BO40" i="9" a="1"/>
  <c r="BO40" i="9" s="1"/>
  <c r="AT40" i="9" a="1"/>
  <c r="AT40" i="9" s="1"/>
  <c r="BY40" i="9" a="1"/>
  <c r="BY40" i="9" s="1"/>
  <c r="N40" i="9" a="1"/>
  <c r="N40" i="9" s="1"/>
  <c r="AA40" i="9" a="1"/>
  <c r="AA40" i="9" s="1"/>
  <c r="O40" i="9" a="1"/>
  <c r="O40" i="9" s="1"/>
  <c r="BI40" i="9" a="1"/>
  <c r="BI40" i="9" s="1"/>
  <c r="BA40" i="9" a="1"/>
  <c r="BA40" i="9" s="1"/>
  <c r="AP40" i="9" a="1"/>
  <c r="AP40" i="9" s="1"/>
  <c r="AM40" i="9" a="1"/>
  <c r="AM40" i="9" s="1"/>
  <c r="BH46" i="13"/>
  <c r="S28" i="12"/>
  <c r="BC40" i="9" a="1"/>
  <c r="BC40" i="9" s="1"/>
  <c r="U40" i="9" a="1"/>
  <c r="U40" i="9" s="1"/>
  <c r="BD40" i="9" a="1"/>
  <c r="BD40" i="9" s="1"/>
  <c r="CJ58" i="12" a="1"/>
  <c r="CJ58" i="12" s="1"/>
  <c r="S58" i="12" s="1"/>
  <c r="BE71" i="13"/>
  <c r="BE160" i="13" s="1"/>
  <c r="BE21" i="13" a="1"/>
  <c r="BE21" i="13" s="1"/>
  <c r="BE151" i="13" s="1"/>
  <c r="CG56" i="12"/>
  <c r="CG66" i="12" s="1"/>
  <c r="AJ58" i="12"/>
  <c r="AJ56" i="12" s="1"/>
  <c r="AJ66" i="12" s="1"/>
  <c r="BE161" i="13"/>
  <c r="BB150" i="13"/>
  <c r="BF48" i="13"/>
  <c r="BF19" i="13" a="1"/>
  <c r="BF19" i="13" s="1"/>
  <c r="CI77" i="12" a="1"/>
  <c r="CI77" i="12" s="1"/>
  <c r="BG82" i="13" s="1"/>
  <c r="F40" i="9" a="1"/>
  <c r="F40" i="9" s="1"/>
  <c r="G40" i="9" a="1"/>
  <c r="G40" i="9" s="1"/>
  <c r="BQ40" i="9" a="1"/>
  <c r="BQ40" i="9" s="1"/>
  <c r="BB94" i="13"/>
  <c r="AI92" i="12"/>
  <c r="BB32" i="13" a="1"/>
  <c r="BB32" i="13" s="1"/>
  <c r="AD15" i="9" a="1"/>
  <c r="AD15" i="9" s="1"/>
  <c r="BE152" i="13"/>
  <c r="AK28" i="12"/>
  <c r="CI39" i="12" a="1"/>
  <c r="CI39" i="12" s="1"/>
  <c r="BG57" i="13" s="1"/>
  <c r="AJ46" i="12"/>
  <c r="BV135" i="28"/>
  <c r="BV138" i="28" s="1"/>
  <c r="BU141" i="28"/>
  <c r="CE75" i="12" s="1"/>
  <c r="CF29" i="12" a="1"/>
  <c r="CF29" i="12" s="1"/>
  <c r="BF50" i="13"/>
  <c r="AW40" i="9" a="1"/>
  <c r="AW40" i="9" s="1"/>
  <c r="BM40" i="9" a="1"/>
  <c r="BM40" i="9" s="1"/>
  <c r="I40" i="9" a="1"/>
  <c r="I40" i="9" s="1"/>
  <c r="BR40" i="9" a="1"/>
  <c r="BR40" i="9" s="1"/>
  <c r="F15" i="9" a="1"/>
  <c r="F15" i="9" s="1"/>
  <c r="CH46" i="12" a="1"/>
  <c r="CH46" i="12" s="1"/>
  <c r="BG88" i="13"/>
  <c r="BF40" i="9" a="1"/>
  <c r="BF40" i="9" s="1"/>
  <c r="AX40" i="9" a="1"/>
  <c r="AX40" i="9" s="1"/>
  <c r="M40" i="9" a="1"/>
  <c r="M40" i="9" s="1"/>
  <c r="T40" i="9" a="1"/>
  <c r="T40" i="9" s="1"/>
  <c r="BH74" i="13"/>
  <c r="CJ61" i="12"/>
  <c r="BH20" i="13" a="1"/>
  <c r="BH20" i="13" s="1"/>
  <c r="S64" i="12"/>
  <c r="S61" i="12" s="1"/>
  <c r="CJ48" i="12" a="1"/>
  <c r="CJ48" i="12" s="1"/>
  <c r="BG98" i="13" l="1"/>
  <c r="BH98" i="13"/>
  <c r="BH72" i="13"/>
  <c r="S59" i="12"/>
  <c r="S38" i="12"/>
  <c r="BG31" i="13" a="1"/>
  <c r="BG31" i="13" s="1"/>
  <c r="AK38" i="12"/>
  <c r="BH31" i="13" a="1"/>
  <c r="BH31" i="13" s="1"/>
  <c r="S97" i="12"/>
  <c r="AO44" i="11" a="1"/>
  <c r="AO44" i="11" s="1"/>
  <c r="AE44" i="11" a="1"/>
  <c r="AE44" i="11" s="1"/>
  <c r="BU44" i="11" a="1"/>
  <c r="BU44" i="11" s="1"/>
  <c r="AP44" i="11" a="1"/>
  <c r="AP44" i="11" s="1"/>
  <c r="AS30" i="9" a="1"/>
  <c r="AS30" i="9" s="1"/>
  <c r="BL30" i="9" a="1"/>
  <c r="BL30" i="9" s="1"/>
  <c r="BQ30" i="9" a="1"/>
  <c r="BQ30" i="9" s="1"/>
  <c r="AE30" i="9" a="1"/>
  <c r="AE30" i="9" s="1"/>
  <c r="X30" i="9" a="1"/>
  <c r="X30" i="9" s="1"/>
  <c r="O30" i="9" a="1"/>
  <c r="O30" i="9" s="1"/>
  <c r="AL30" i="9" a="1"/>
  <c r="AL30" i="9" s="1"/>
  <c r="BO30" i="9" a="1"/>
  <c r="BO30" i="9" s="1"/>
  <c r="BV30" i="9" a="1"/>
  <c r="BV30" i="9" s="1"/>
  <c r="BU30" i="9" a="1"/>
  <c r="BU30" i="9" s="1"/>
  <c r="AU30" i="9" a="1"/>
  <c r="AU30" i="9" s="1"/>
  <c r="AQ30" i="9" a="1"/>
  <c r="AQ30" i="9" s="1"/>
  <c r="AP30" i="9" a="1"/>
  <c r="AP30" i="9" s="1"/>
  <c r="BE30" i="9" a="1"/>
  <c r="BE30" i="9" s="1"/>
  <c r="F30" i="9" a="1"/>
  <c r="F30" i="9" s="1"/>
  <c r="BB30" i="9" a="1"/>
  <c r="BB30" i="9" s="1"/>
  <c r="V30" i="9" a="1"/>
  <c r="V30" i="9" s="1"/>
  <c r="AT30" i="9" a="1"/>
  <c r="AT30" i="9" s="1"/>
  <c r="AI30" i="9" a="1"/>
  <c r="AI30" i="9" s="1"/>
  <c r="AR30" i="9" a="1"/>
  <c r="AR30" i="9" s="1"/>
  <c r="W30" i="9" a="1"/>
  <c r="W30" i="9" s="1"/>
  <c r="AN30" i="9" a="1"/>
  <c r="AN30" i="9" s="1"/>
  <c r="G30" i="9" a="1"/>
  <c r="G30" i="9" s="1"/>
  <c r="BW30" i="9" a="1"/>
  <c r="BW30" i="9" s="1"/>
  <c r="BG30" i="9" a="1"/>
  <c r="BG30" i="9" s="1"/>
  <c r="AK97" i="12"/>
  <c r="AJ30" i="9" a="1"/>
  <c r="AJ30" i="9" s="1"/>
  <c r="AD30" i="9" a="1"/>
  <c r="AD30" i="9" s="1"/>
  <c r="AK30" i="9" a="1"/>
  <c r="AK30" i="9" s="1"/>
  <c r="BY30" i="9" a="1"/>
  <c r="BY30" i="9" s="1"/>
  <c r="U30" i="9" a="1"/>
  <c r="U30" i="9" s="1"/>
  <c r="I30" i="9" a="1"/>
  <c r="I30" i="9" s="1"/>
  <c r="AX30" i="9" a="1"/>
  <c r="AX30" i="9" s="1"/>
  <c r="BF30" i="9" a="1"/>
  <c r="BF30" i="9" s="1"/>
  <c r="BX30" i="9" a="1"/>
  <c r="BX30" i="9" s="1"/>
  <c r="P30" i="9" a="1"/>
  <c r="P30" i="9" s="1"/>
  <c r="BA30" i="9" a="1"/>
  <c r="BA30" i="9" s="1"/>
  <c r="AV30" i="9" a="1"/>
  <c r="AV30" i="9" s="1"/>
  <c r="AO30" i="9" a="1"/>
  <c r="AO30" i="9" s="1"/>
  <c r="R30" i="9" a="1"/>
  <c r="R30" i="9" s="1"/>
  <c r="AG30" i="9" a="1"/>
  <c r="AG30" i="9" s="1"/>
  <c r="BT30" i="9" a="1"/>
  <c r="BT30" i="9" s="1"/>
  <c r="AY30" i="9" a="1"/>
  <c r="AY30" i="9" s="1"/>
  <c r="AA30" i="9" a="1"/>
  <c r="AA30" i="9" s="1"/>
  <c r="BS30" i="9" a="1"/>
  <c r="BS30" i="9" s="1"/>
  <c r="Y30" i="9" a="1"/>
  <c r="Y30" i="9" s="1"/>
  <c r="T30" i="9" a="1"/>
  <c r="T30" i="9" s="1"/>
  <c r="AW30" i="9" a="1"/>
  <c r="AW30" i="9" s="1"/>
  <c r="BP30" i="9" a="1"/>
  <c r="BP30" i="9" s="1"/>
  <c r="N30" i="9" a="1"/>
  <c r="N30" i="9" s="1"/>
  <c r="L30" i="9" a="1"/>
  <c r="L30" i="9" s="1"/>
  <c r="AF30" i="9" a="1"/>
  <c r="AF30" i="9" s="1"/>
  <c r="BC30" i="9" a="1"/>
  <c r="BC30" i="9" s="1"/>
  <c r="BR30" i="9" a="1"/>
  <c r="BR30" i="9" s="1"/>
  <c r="BI30" i="9" a="1"/>
  <c r="BI30" i="9" s="1"/>
  <c r="Z30" i="9" a="1"/>
  <c r="Z30" i="9" s="1"/>
  <c r="BN30" i="9" a="1"/>
  <c r="BN30" i="9" s="1"/>
  <c r="AM30" i="9" a="1"/>
  <c r="AM30" i="9" s="1"/>
  <c r="S30" i="9" a="1"/>
  <c r="S30" i="9" s="1"/>
  <c r="Q30" i="9" a="1"/>
  <c r="Q30" i="9" s="1"/>
  <c r="BK30" i="9" a="1"/>
  <c r="BK30" i="9" s="1"/>
  <c r="AZ30" i="9" a="1"/>
  <c r="AZ30" i="9" s="1"/>
  <c r="AH30" i="9" a="1"/>
  <c r="AH30" i="9" s="1"/>
  <c r="BJ30" i="9" a="1"/>
  <c r="BJ30" i="9" s="1"/>
  <c r="BM30" i="9" a="1"/>
  <c r="BM30" i="9" s="1"/>
  <c r="BR56" i="9" a="1"/>
  <c r="BR56" i="9" s="1"/>
  <c r="BV56" i="9" a="1"/>
  <c r="BV56" i="9" s="1"/>
  <c r="BD56" i="9" a="1"/>
  <c r="BD56" i="9" s="1"/>
  <c r="AI56" i="9" a="1"/>
  <c r="AI56" i="9" s="1"/>
  <c r="BF56" i="9" a="1"/>
  <c r="BF56" i="9" s="1"/>
  <c r="G56" i="9" a="1"/>
  <c r="G56" i="9" s="1"/>
  <c r="BP56" i="9" a="1"/>
  <c r="BP56" i="9" s="1"/>
  <c r="AR56" i="9" a="1"/>
  <c r="AR56" i="9" s="1"/>
  <c r="N56" i="9" a="1"/>
  <c r="N56" i="9" s="1"/>
  <c r="Z56" i="9" a="1"/>
  <c r="Z56" i="9" s="1"/>
  <c r="BC56" i="9" a="1"/>
  <c r="BC56" i="9" s="1"/>
  <c r="Y56" i="9" a="1"/>
  <c r="Y56" i="9" s="1"/>
  <c r="BI56" i="9" a="1"/>
  <c r="BI56" i="9" s="1"/>
  <c r="AO56" i="9" a="1"/>
  <c r="AO56" i="9" s="1"/>
  <c r="U56" i="9" a="1"/>
  <c r="U56" i="9" s="1"/>
  <c r="I56" i="9" a="1"/>
  <c r="I56" i="9" s="1"/>
  <c r="BS56" i="9" a="1"/>
  <c r="BS56" i="9" s="1"/>
  <c r="AZ56" i="9" a="1"/>
  <c r="AZ56" i="9" s="1"/>
  <c r="L56" i="9" a="1"/>
  <c r="L56" i="9" s="1"/>
  <c r="AV56" i="9" a="1"/>
  <c r="AV56" i="9" s="1"/>
  <c r="BJ56" i="9" a="1"/>
  <c r="BJ56" i="9" s="1"/>
  <c r="AF56" i="9" a="1"/>
  <c r="AF56" i="9" s="1"/>
  <c r="AU56" i="9" a="1"/>
  <c r="AU56" i="9" s="1"/>
  <c r="BW56" i="9" a="1"/>
  <c r="BW56" i="9" s="1"/>
  <c r="AX56" i="9" a="1"/>
  <c r="AX56" i="9" s="1"/>
  <c r="BK56" i="9" a="1"/>
  <c r="BK56" i="9" s="1"/>
  <c r="BA56" i="9" a="1"/>
  <c r="BA56" i="9" s="1"/>
  <c r="BU56" i="9" a="1"/>
  <c r="BU56" i="9" s="1"/>
  <c r="BN56" i="9" a="1"/>
  <c r="BN56" i="9" s="1"/>
  <c r="BQ56" i="9" a="1"/>
  <c r="BQ56" i="9" s="1"/>
  <c r="AL56" i="9" a="1"/>
  <c r="AL56" i="9" s="1"/>
  <c r="AP56" i="9" a="1"/>
  <c r="AP56" i="9" s="1"/>
  <c r="BY56" i="9" a="1"/>
  <c r="BY56" i="9" s="1"/>
  <c r="BB56" i="9" a="1"/>
  <c r="BB56" i="9" s="1"/>
  <c r="AQ56" i="9" a="1"/>
  <c r="AQ56" i="9" s="1"/>
  <c r="AG56" i="9" a="1"/>
  <c r="AG56" i="9" s="1"/>
  <c r="P56" i="9" a="1"/>
  <c r="P56" i="9" s="1"/>
  <c r="AK56" i="9" a="1"/>
  <c r="AK56" i="9" s="1"/>
  <c r="BX56" i="9" a="1"/>
  <c r="BX56" i="9" s="1"/>
  <c r="AR44" i="11" a="1"/>
  <c r="AR44" i="11" s="1"/>
  <c r="BN28" i="11" a="1"/>
  <c r="BN28" i="11" s="1"/>
  <c r="H28" i="11" a="1"/>
  <c r="H28" i="11" s="1"/>
  <c r="AE28" i="11" a="1"/>
  <c r="AE28" i="11" s="1"/>
  <c r="P28" i="11" a="1"/>
  <c r="P28" i="11" s="1"/>
  <c r="BA44" i="11" a="1"/>
  <c r="BA44" i="11" s="1"/>
  <c r="AK94" i="12"/>
  <c r="BC44" i="11" a="1"/>
  <c r="BC44" i="11" s="1"/>
  <c r="S94" i="12"/>
  <c r="AX44" i="11" a="1"/>
  <c r="AX44" i="11" s="1"/>
  <c r="W44" i="11" a="1"/>
  <c r="W44" i="11" s="1"/>
  <c r="CI21" i="12" a="1"/>
  <c r="CI21" i="12" s="1"/>
  <c r="BG45" i="13" s="1"/>
  <c r="CJ95" i="12" a="1"/>
  <c r="CJ95" i="12" s="1"/>
  <c r="AK95" i="12" s="1"/>
  <c r="AG43" i="11" a="1"/>
  <c r="AG43" i="11" s="1"/>
  <c r="AG45" i="11" a="1"/>
  <c r="AG45" i="11" s="1"/>
  <c r="O68" i="8" a="1"/>
  <c r="O68" i="8" s="1"/>
  <c r="H30" i="9" a="1"/>
  <c r="H30" i="9" s="1"/>
  <c r="BD30" i="9" a="1"/>
  <c r="BD30" i="9" s="1"/>
  <c r="AY44" i="11" a="1"/>
  <c r="AY44" i="11" s="1"/>
  <c r="AV44" i="11" a="1"/>
  <c r="AV44" i="11" s="1"/>
  <c r="E44" i="11" a="1"/>
  <c r="E44" i="11" s="1"/>
  <c r="U44" i="11" a="1"/>
  <c r="U44" i="11" s="1"/>
  <c r="AL44" i="11" a="1"/>
  <c r="AL44" i="11" s="1"/>
  <c r="AD44" i="11" a="1"/>
  <c r="AD44" i="11" s="1"/>
  <c r="AG44" i="11" a="1"/>
  <c r="AG44" i="11" s="1"/>
  <c r="BQ44" i="11" a="1"/>
  <c r="BQ44" i="11" s="1"/>
  <c r="N44" i="11" a="1"/>
  <c r="N44" i="11" s="1"/>
  <c r="K44" i="11" a="1"/>
  <c r="K44" i="11" s="1"/>
  <c r="BG44" i="11" a="1"/>
  <c r="BG44" i="11" s="1"/>
  <c r="BK44" i="11" a="1"/>
  <c r="BK44" i="11" s="1"/>
  <c r="X44" i="11" a="1"/>
  <c r="X44" i="11" s="1"/>
  <c r="F44" i="11" a="1"/>
  <c r="F44" i="11" s="1"/>
  <c r="BG54" i="13"/>
  <c r="BD44" i="11" a="1"/>
  <c r="BD44" i="11" s="1"/>
  <c r="L44" i="11" a="1"/>
  <c r="L44" i="11" s="1"/>
  <c r="Q44" i="11" a="1"/>
  <c r="Q44" i="11" s="1"/>
  <c r="AN44" i="11" a="1"/>
  <c r="AN44" i="11" s="1"/>
  <c r="BP44" i="11" a="1"/>
  <c r="BP44" i="11" s="1"/>
  <c r="BR44" i="11" a="1"/>
  <c r="BR44" i="11" s="1"/>
  <c r="BJ44" i="11" a="1"/>
  <c r="BJ44" i="11" s="1"/>
  <c r="N68" i="8" a="1"/>
  <c r="N68" i="8" s="1"/>
  <c r="BT34" i="11" a="1"/>
  <c r="BT34" i="11" s="1"/>
  <c r="BK34" i="11" a="1"/>
  <c r="BK34" i="11" s="1"/>
  <c r="AR68" i="8" a="1"/>
  <c r="AR68" i="8" s="1"/>
  <c r="AV34" i="11" a="1"/>
  <c r="AV34" i="11" s="1"/>
  <c r="BB34" i="11" a="1"/>
  <c r="BB34" i="11" s="1"/>
  <c r="AJ34" i="11" a="1"/>
  <c r="AJ34" i="11" s="1"/>
  <c r="J68" i="8" a="1"/>
  <c r="J68" i="8" s="1"/>
  <c r="AR34" i="11" a="1"/>
  <c r="AR34" i="11" s="1"/>
  <c r="AV45" i="11" a="1"/>
  <c r="AV45" i="11" s="1"/>
  <c r="AH45" i="11" a="1"/>
  <c r="AH45" i="11" s="1"/>
  <c r="AF43" i="11" a="1"/>
  <c r="AF43" i="11" s="1"/>
  <c r="U43" i="11" a="1"/>
  <c r="U43" i="11" s="1"/>
  <c r="BC45" i="11" a="1"/>
  <c r="BC45" i="11" s="1"/>
  <c r="BE30" i="13" a="1"/>
  <c r="BE30" i="13" s="1"/>
  <c r="CJ39" i="12" a="1"/>
  <c r="CJ39" i="12" s="1"/>
  <c r="S39" i="12" s="1"/>
  <c r="R44" i="11" a="1"/>
  <c r="R44" i="11" s="1"/>
  <c r="AU44" i="11" a="1"/>
  <c r="AU44" i="11" s="1"/>
  <c r="BS44" i="11" a="1"/>
  <c r="BS44" i="11" s="1"/>
  <c r="BE44" i="11" a="1"/>
  <c r="BE44" i="11" s="1"/>
  <c r="T44" i="11" a="1"/>
  <c r="T44" i="11" s="1"/>
  <c r="N45" i="11" a="1"/>
  <c r="N45" i="11" s="1"/>
  <c r="H35" i="9" a="1"/>
  <c r="H35" i="9" s="1"/>
  <c r="CH91" i="12" a="1"/>
  <c r="CH91" i="12" s="1"/>
  <c r="BF93" i="13" s="1"/>
  <c r="AJ91" i="12"/>
  <c r="AK36" i="12"/>
  <c r="BH54" i="13"/>
  <c r="S36" i="12"/>
  <c r="AQ43" i="11" a="1"/>
  <c r="AQ43" i="11" s="1"/>
  <c r="BE64" i="8" a="1"/>
  <c r="BE64" i="8" s="1"/>
  <c r="AO45" i="11" a="1"/>
  <c r="AO45" i="11" s="1"/>
  <c r="AM45" i="11" a="1"/>
  <c r="AM45" i="11" s="1"/>
  <c r="Y35" i="9" a="1"/>
  <c r="Y35" i="9" s="1"/>
  <c r="AW43" i="11" a="1"/>
  <c r="AW43" i="11" s="1"/>
  <c r="AI43" i="11" a="1"/>
  <c r="AI43" i="11" s="1"/>
  <c r="AP43" i="11" a="1"/>
  <c r="AP43" i="11" s="1"/>
  <c r="AJ45" i="11" a="1"/>
  <c r="AJ45" i="11" s="1"/>
  <c r="H45" i="11" a="1"/>
  <c r="H45" i="11" s="1"/>
  <c r="AZ35" i="9" a="1"/>
  <c r="AZ35" i="9" s="1"/>
  <c r="K43" i="11" a="1"/>
  <c r="K43" i="11" s="1"/>
  <c r="BX45" i="11" a="1"/>
  <c r="BX45" i="11" s="1"/>
  <c r="BH45" i="11" a="1"/>
  <c r="BH45" i="11" s="1"/>
  <c r="BF86" i="13"/>
  <c r="O35" i="9" a="1"/>
  <c r="O35" i="9" s="1"/>
  <c r="BQ45" i="11" a="1"/>
  <c r="BQ45" i="11" s="1"/>
  <c r="BG35" i="9" a="1"/>
  <c r="BG35" i="9" s="1"/>
  <c r="CF64" i="8" a="1"/>
  <c r="CF64" i="8" s="1"/>
  <c r="R35" i="9" a="1"/>
  <c r="R35" i="9" s="1"/>
  <c r="R43" i="11" a="1"/>
  <c r="R43" i="11" s="1"/>
  <c r="AF35" i="9" a="1"/>
  <c r="AF35" i="9" s="1"/>
  <c r="F45" i="11" a="1"/>
  <c r="F45" i="11" s="1"/>
  <c r="AL43" i="11" a="1"/>
  <c r="AL43" i="11" s="1"/>
  <c r="I35" i="9" a="1"/>
  <c r="I35" i="9" s="1"/>
  <c r="BS43" i="11" a="1"/>
  <c r="BS43" i="11" s="1"/>
  <c r="BH43" i="11" a="1"/>
  <c r="BH43" i="11" s="1"/>
  <c r="AK43" i="11" a="1"/>
  <c r="AK43" i="11" s="1"/>
  <c r="AU64" i="8" a="1"/>
  <c r="AU64" i="8" s="1"/>
  <c r="BI43" i="11" a="1"/>
  <c r="BI43" i="11" s="1"/>
  <c r="F43" i="11" a="1"/>
  <c r="F43" i="11" s="1"/>
  <c r="BV43" i="11" a="1"/>
  <c r="BV43" i="11" s="1"/>
  <c r="AV43" i="11" a="1"/>
  <c r="AV43" i="11" s="1"/>
  <c r="N43" i="11" a="1"/>
  <c r="N43" i="11" s="1"/>
  <c r="AH34" i="11" a="1"/>
  <c r="AH34" i="11" s="1"/>
  <c r="BS45" i="11" a="1"/>
  <c r="BS45" i="11" s="1"/>
  <c r="U45" i="11" a="1"/>
  <c r="U45" i="11" s="1"/>
  <c r="AS45" i="11" a="1"/>
  <c r="AS45" i="11" s="1"/>
  <c r="AI45" i="11" a="1"/>
  <c r="AI45" i="11" s="1"/>
  <c r="V45" i="11" a="1"/>
  <c r="V45" i="11" s="1"/>
  <c r="AD45" i="11" a="1"/>
  <c r="AD45" i="11" s="1"/>
  <c r="Q45" i="11" a="1"/>
  <c r="Q45" i="11" s="1"/>
  <c r="BR45" i="11" a="1"/>
  <c r="BR45" i="11" s="1"/>
  <c r="Z35" i="9" a="1"/>
  <c r="Z35" i="9" s="1"/>
  <c r="AI35" i="9" a="1"/>
  <c r="AI35" i="9" s="1"/>
  <c r="V64" i="8" a="1"/>
  <c r="V64" i="8" s="1"/>
  <c r="AI28" i="11" a="1"/>
  <c r="AI28" i="11" s="1"/>
  <c r="AK44" i="11" a="1"/>
  <c r="AK44" i="11" s="1"/>
  <c r="AI44" i="11" a="1"/>
  <c r="AI44" i="11" s="1"/>
  <c r="BX44" i="11" a="1"/>
  <c r="BX44" i="11" s="1"/>
  <c r="BV44" i="11" a="1"/>
  <c r="BV44" i="11" s="1"/>
  <c r="O44" i="11" a="1"/>
  <c r="O44" i="11" s="1"/>
  <c r="S44" i="11" a="1"/>
  <c r="S44" i="11" s="1"/>
  <c r="AT44" i="11" a="1"/>
  <c r="AT44" i="11" s="1"/>
  <c r="AM44" i="11" a="1"/>
  <c r="AM44" i="11" s="1"/>
  <c r="H44" i="11" a="1"/>
  <c r="H44" i="11" s="1"/>
  <c r="AF44" i="11" a="1"/>
  <c r="AF44" i="11" s="1"/>
  <c r="BT44" i="11" a="1"/>
  <c r="BT44" i="11" s="1"/>
  <c r="M44" i="11" a="1"/>
  <c r="M44" i="11" s="1"/>
  <c r="AJ44" i="11" a="1"/>
  <c r="AJ44" i="11" s="1"/>
  <c r="AC44" i="11" a="1"/>
  <c r="AC44" i="11" s="1"/>
  <c r="AQ44" i="11" a="1"/>
  <c r="AQ44" i="11" s="1"/>
  <c r="AW44" i="11" a="1"/>
  <c r="AW44" i="11" s="1"/>
  <c r="Y44" i="11" a="1"/>
  <c r="Y44" i="11" s="1"/>
  <c r="AH44" i="11" a="1"/>
  <c r="AH44" i="11" s="1"/>
  <c r="BL34" i="11" a="1"/>
  <c r="BL34" i="11" s="1"/>
  <c r="CJ49" i="12" a="1"/>
  <c r="CJ49" i="12" s="1"/>
  <c r="BH67" i="13" s="1"/>
  <c r="AF28" i="9" s="1" a="1"/>
  <c r="AF28" i="9" s="1"/>
  <c r="S34" i="11" a="1"/>
  <c r="S34" i="11" s="1"/>
  <c r="BT45" i="11" a="1"/>
  <c r="BT45" i="11" s="1"/>
  <c r="AY45" i="11" a="1"/>
  <c r="AY45" i="11" s="1"/>
  <c r="P45" i="11" a="1"/>
  <c r="P45" i="11" s="1"/>
  <c r="BB45" i="11" a="1"/>
  <c r="BB45" i="11" s="1"/>
  <c r="BP45" i="11" a="1"/>
  <c r="BP45" i="11" s="1"/>
  <c r="Y45" i="11" a="1"/>
  <c r="Y45" i="11" s="1"/>
  <c r="AC45" i="11" a="1"/>
  <c r="AC45" i="11" s="1"/>
  <c r="AE35" i="9" a="1"/>
  <c r="AE35" i="9" s="1"/>
  <c r="BX35" i="9" a="1"/>
  <c r="BX35" i="9" s="1"/>
  <c r="AU35" i="9" a="1"/>
  <c r="AU35" i="9" s="1"/>
  <c r="BY35" i="9" a="1"/>
  <c r="BY35" i="9" s="1"/>
  <c r="AY35" i="9" a="1"/>
  <c r="AY35" i="9" s="1"/>
  <c r="BM35" i="9" a="1"/>
  <c r="BM35" i="9" s="1"/>
  <c r="BB35" i="9" a="1"/>
  <c r="BB35" i="9" s="1"/>
  <c r="BS35" i="9" a="1"/>
  <c r="BS35" i="9" s="1"/>
  <c r="AD35" i="9" a="1"/>
  <c r="AD35" i="9" s="1"/>
  <c r="S35" i="9" a="1"/>
  <c r="S35" i="9" s="1"/>
  <c r="AT35" i="9" a="1"/>
  <c r="AT35" i="9" s="1"/>
  <c r="AW35" i="9" a="1"/>
  <c r="AW35" i="9" s="1"/>
  <c r="BD35" i="9" a="1"/>
  <c r="BD35" i="9" s="1"/>
  <c r="AR35" i="9" a="1"/>
  <c r="AR35" i="9" s="1"/>
  <c r="BC35" i="9" a="1"/>
  <c r="BC35" i="9" s="1"/>
  <c r="BR35" i="9" a="1"/>
  <c r="BR35" i="9" s="1"/>
  <c r="T35" i="9" a="1"/>
  <c r="T35" i="9" s="1"/>
  <c r="BF35" i="9" a="1"/>
  <c r="BF35" i="9" s="1"/>
  <c r="BW35" i="9" a="1"/>
  <c r="BW35" i="9" s="1"/>
  <c r="BN35" i="9" a="1"/>
  <c r="BN35" i="9" s="1"/>
  <c r="S31" i="12"/>
  <c r="AR28" i="11" a="1"/>
  <c r="AR28" i="11" s="1"/>
  <c r="T28" i="11" a="1"/>
  <c r="T28" i="11" s="1"/>
  <c r="AN68" i="8" a="1"/>
  <c r="AN68" i="8" s="1"/>
  <c r="AX35" i="9" a="1"/>
  <c r="AX35" i="9" s="1"/>
  <c r="AG35" i="9" a="1"/>
  <c r="AG35" i="9" s="1"/>
  <c r="BE35" i="9" a="1"/>
  <c r="BE35" i="9" s="1"/>
  <c r="AP35" i="9" a="1"/>
  <c r="AP35" i="9" s="1"/>
  <c r="BP35" i="9" a="1"/>
  <c r="BP35" i="9" s="1"/>
  <c r="BT35" i="9" a="1"/>
  <c r="BT35" i="9" s="1"/>
  <c r="F35" i="9" a="1"/>
  <c r="F35" i="9" s="1"/>
  <c r="M35" i="9" a="1"/>
  <c r="M35" i="9" s="1"/>
  <c r="AM35" i="9" a="1"/>
  <c r="AM35" i="9" s="1"/>
  <c r="BK35" i="9" a="1"/>
  <c r="BK35" i="9" s="1"/>
  <c r="AL35" i="9" a="1"/>
  <c r="AL35" i="9" s="1"/>
  <c r="AN35" i="9" a="1"/>
  <c r="AN35" i="9" s="1"/>
  <c r="AH35" i="9" a="1"/>
  <c r="AH35" i="9" s="1"/>
  <c r="BO35" i="9" a="1"/>
  <c r="BO35" i="9" s="1"/>
  <c r="AJ35" i="9" a="1"/>
  <c r="AJ35" i="9" s="1"/>
  <c r="X35" i="9" a="1"/>
  <c r="X35" i="9" s="1"/>
  <c r="V35" i="9" a="1"/>
  <c r="V35" i="9" s="1"/>
  <c r="AV35" i="9" a="1"/>
  <c r="AV35" i="9" s="1"/>
  <c r="W35" i="9" a="1"/>
  <c r="W35" i="9" s="1"/>
  <c r="BI35" i="9" a="1"/>
  <c r="BI35" i="9" s="1"/>
  <c r="BV35" i="9" a="1"/>
  <c r="BV35" i="9" s="1"/>
  <c r="BJ35" i="9" a="1"/>
  <c r="BJ35" i="9" s="1"/>
  <c r="AK31" i="12"/>
  <c r="L35" i="9" a="1"/>
  <c r="L35" i="9" s="1"/>
  <c r="AA35" i="9" a="1"/>
  <c r="AA35" i="9" s="1"/>
  <c r="AK35" i="9" a="1"/>
  <c r="AK35" i="9" s="1"/>
  <c r="BL35" i="9" a="1"/>
  <c r="BL35" i="9" s="1"/>
  <c r="G35" i="9" a="1"/>
  <c r="G35" i="9" s="1"/>
  <c r="Q35" i="9" a="1"/>
  <c r="Q35" i="9" s="1"/>
  <c r="BQ35" i="9" a="1"/>
  <c r="BQ35" i="9" s="1"/>
  <c r="BA35" i="9" a="1"/>
  <c r="BA35" i="9" s="1"/>
  <c r="BH35" i="9" a="1"/>
  <c r="BH35" i="9" s="1"/>
  <c r="AQ35" i="9" a="1"/>
  <c r="AQ35" i="9" s="1"/>
  <c r="N35" i="9" a="1"/>
  <c r="N35" i="9" s="1"/>
  <c r="AS35" i="9" a="1"/>
  <c r="AS35" i="9" s="1"/>
  <c r="BU35" i="9" a="1"/>
  <c r="BU35" i="9" s="1"/>
  <c r="P35" i="9" a="1"/>
  <c r="P35" i="9" s="1"/>
  <c r="BH152" i="13"/>
  <c r="AV37" i="8" a="1"/>
  <c r="AV37" i="8" s="1"/>
  <c r="AV36" i="8" s="1"/>
  <c r="AV153" i="8" s="1" a="1"/>
  <c r="AV153" i="8" s="1"/>
  <c r="AD57" i="9" a="1"/>
  <c r="AD57" i="9" s="1"/>
  <c r="AD58" i="9" s="1"/>
  <c r="AD69" i="9" s="1" a="1"/>
  <c r="AD69" i="9" s="1"/>
  <c r="BL57" i="9" a="1"/>
  <c r="BL57" i="9" s="1"/>
  <c r="BL58" i="9" s="1"/>
  <c r="BL69" i="9" s="1" a="1"/>
  <c r="BL69" i="9" s="1"/>
  <c r="AL57" i="9" a="1"/>
  <c r="AL57" i="9" s="1"/>
  <c r="BO57" i="9" a="1"/>
  <c r="BO57" i="9" s="1"/>
  <c r="BO58" i="9" s="1"/>
  <c r="BO69" i="9" s="1" a="1"/>
  <c r="BO69" i="9" s="1"/>
  <c r="BT57" i="9" a="1"/>
  <c r="BT57" i="9" s="1"/>
  <c r="BT58" i="9" s="1"/>
  <c r="BT69" i="9" s="1" a="1"/>
  <c r="BT69" i="9" s="1"/>
  <c r="BR57" i="9" a="1"/>
  <c r="BR57" i="9" s="1"/>
  <c r="AY28" i="11" a="1"/>
  <c r="AY28" i="11" s="1"/>
  <c r="AC28" i="11" a="1"/>
  <c r="AC28" i="11" s="1"/>
  <c r="BS28" i="11" a="1"/>
  <c r="BS28" i="11" s="1"/>
  <c r="AN28" i="11" a="1"/>
  <c r="AN28" i="11" s="1"/>
  <c r="L28" i="11" a="1"/>
  <c r="L28" i="11" s="1"/>
  <c r="AQ28" i="11" a="1"/>
  <c r="AQ28" i="11" s="1"/>
  <c r="AH28" i="11" a="1"/>
  <c r="AH28" i="11" s="1"/>
  <c r="S56" i="12"/>
  <c r="S66" i="12" s="1"/>
  <c r="AC43" i="11" a="1"/>
  <c r="AC43" i="11" s="1"/>
  <c r="L43" i="11" a="1"/>
  <c r="L43" i="11" s="1"/>
  <c r="AH43" i="11" a="1"/>
  <c r="AH43" i="11" s="1"/>
  <c r="AM43" i="11" a="1"/>
  <c r="AM43" i="11" s="1"/>
  <c r="BG84" i="13"/>
  <c r="CJ79" i="12" a="1"/>
  <c r="CJ79" i="12" s="1"/>
  <c r="BH84" i="13" s="1"/>
  <c r="BD47" i="13"/>
  <c r="BD13" i="13" a="1"/>
  <c r="BD13" i="13" s="1"/>
  <c r="CF26" i="12"/>
  <c r="BC24" i="13" a="1"/>
  <c r="BC24" i="13" s="1"/>
  <c r="BC80" i="13"/>
  <c r="BV141" i="28"/>
  <c r="CF75" i="12" s="1"/>
  <c r="BW135" i="28"/>
  <c r="BW138" i="28" s="1"/>
  <c r="AK57" i="9" a="1"/>
  <c r="AK57" i="9" s="1"/>
  <c r="BM57" i="9" a="1"/>
  <c r="BM57" i="9" s="1"/>
  <c r="BM58" i="9" s="1"/>
  <c r="BM69" i="9" s="1" a="1"/>
  <c r="BM69" i="9" s="1"/>
  <c r="AS57" i="9" a="1"/>
  <c r="AS57" i="9" s="1"/>
  <c r="AS58" i="9" s="1"/>
  <c r="AS69" i="9" s="1" a="1"/>
  <c r="AS69" i="9" s="1"/>
  <c r="BL44" i="11" a="1"/>
  <c r="BL44" i="11" s="1"/>
  <c r="P44" i="11" a="1"/>
  <c r="P44" i="11" s="1"/>
  <c r="AZ44" i="11" a="1"/>
  <c r="AZ44" i="11" s="1"/>
  <c r="BW44" i="11" a="1"/>
  <c r="BW44" i="11" s="1"/>
  <c r="G44" i="11" a="1"/>
  <c r="G44" i="11" s="1"/>
  <c r="BI44" i="11" a="1"/>
  <c r="BI44" i="11" s="1"/>
  <c r="BB44" i="11" a="1"/>
  <c r="BB44" i="11" s="1"/>
  <c r="BF44" i="11" a="1"/>
  <c r="BF44" i="11" s="1"/>
  <c r="AS44" i="11" a="1"/>
  <c r="AS44" i="11" s="1"/>
  <c r="V44" i="11" a="1"/>
  <c r="V44" i="11" s="1"/>
  <c r="Z44" i="11" a="1"/>
  <c r="Z44" i="11" s="1"/>
  <c r="BO44" i="11" a="1"/>
  <c r="BO44" i="11" s="1"/>
  <c r="BH44" i="11" a="1"/>
  <c r="BH44" i="11" s="1"/>
  <c r="CG29" i="12" a="1"/>
  <c r="CG29" i="12" s="1"/>
  <c r="CH29" i="12" s="1" a="1"/>
  <c r="CH29" i="12" s="1"/>
  <c r="BG86" i="13"/>
  <c r="BG28" i="13" a="1"/>
  <c r="BG28" i="13" s="1"/>
  <c r="BH43" i="13"/>
  <c r="Z16" i="9" s="1" a="1"/>
  <c r="Z16" i="9" s="1"/>
  <c r="S19" i="12"/>
  <c r="BI53" i="9" a="1"/>
  <c r="BI53" i="9" s="1"/>
  <c r="BM53" i="9" a="1"/>
  <c r="BM53" i="9" s="1"/>
  <c r="BF53" i="9" a="1"/>
  <c r="BF53" i="9" s="1"/>
  <c r="AK53" i="9" a="1"/>
  <c r="AK53" i="9" s="1"/>
  <c r="BH53" i="9" a="1"/>
  <c r="BH53" i="9" s="1"/>
  <c r="AA53" i="9" a="1"/>
  <c r="AA53" i="9" s="1"/>
  <c r="AV53" i="9" a="1"/>
  <c r="AV53" i="9" s="1"/>
  <c r="BA53" i="9" a="1"/>
  <c r="BA53" i="9" s="1"/>
  <c r="L57" i="9" a="1"/>
  <c r="L57" i="9" s="1"/>
  <c r="N57" i="9" a="1"/>
  <c r="N57" i="9" s="1"/>
  <c r="X57" i="9" a="1"/>
  <c r="X57" i="9" s="1"/>
  <c r="X58" i="9" s="1"/>
  <c r="X69" i="9" s="1" a="1"/>
  <c r="X69" i="9" s="1"/>
  <c r="AJ76" i="12"/>
  <c r="BE27" i="13" a="1"/>
  <c r="BE27" i="13" s="1"/>
  <c r="BE81" i="13"/>
  <c r="BH87" i="13"/>
  <c r="AK82" i="12"/>
  <c r="S82" i="12"/>
  <c r="AG57" i="9" a="1"/>
  <c r="AG57" i="9" s="1"/>
  <c r="BJ57" i="9" a="1"/>
  <c r="BJ57" i="9" s="1"/>
  <c r="AY57" i="9" a="1"/>
  <c r="AY57" i="9" s="1"/>
  <c r="AY58" i="9" s="1"/>
  <c r="AY69" i="9" s="1" a="1"/>
  <c r="AY69" i="9" s="1"/>
  <c r="BI57" i="9" a="1"/>
  <c r="BI57" i="9" s="1"/>
  <c r="M57" i="9" a="1"/>
  <c r="M57" i="9" s="1"/>
  <c r="M58" i="9" s="1"/>
  <c r="M69" i="9" s="1" a="1"/>
  <c r="M69" i="9" s="1"/>
  <c r="BH51" i="13"/>
  <c r="AY37" i="9" s="1" a="1"/>
  <c r="AY37" i="9" s="1"/>
  <c r="S33" i="12"/>
  <c r="BD59" i="13"/>
  <c r="BD16" i="13" a="1"/>
  <c r="BD16" i="13" s="1"/>
  <c r="CG41" i="12" a="1"/>
  <c r="CG41" i="12" s="1"/>
  <c r="CH41" i="12" s="1" a="1"/>
  <c r="CH41" i="12" s="1"/>
  <c r="BD57" i="9" a="1"/>
  <c r="BD57" i="9" s="1"/>
  <c r="BY57" i="9" a="1"/>
  <c r="BY57" i="9" s="1"/>
  <c r="AN57" i="9" a="1"/>
  <c r="AN57" i="9" s="1"/>
  <c r="AN58" i="9" s="1"/>
  <c r="AN69" i="9" s="1" a="1"/>
  <c r="AN69" i="9" s="1"/>
  <c r="H57" i="9" a="1"/>
  <c r="H57" i="9" s="1"/>
  <c r="H58" i="9" s="1"/>
  <c r="H69" i="9" s="1" a="1"/>
  <c r="H69" i="9" s="1"/>
  <c r="AR43" i="11" a="1"/>
  <c r="AR43" i="11" s="1"/>
  <c r="G43" i="11" a="1"/>
  <c r="G43" i="11" s="1"/>
  <c r="AS43" i="11" a="1"/>
  <c r="AS43" i="11" s="1"/>
  <c r="P43" i="11" a="1"/>
  <c r="P43" i="11" s="1"/>
  <c r="BG43" i="11" a="1"/>
  <c r="BG43" i="11" s="1"/>
  <c r="AT43" i="11" a="1"/>
  <c r="AT43" i="11" s="1"/>
  <c r="Q43" i="11" a="1"/>
  <c r="Q43" i="11" s="1"/>
  <c r="CI76" i="12" a="1"/>
  <c r="CI76" i="12" s="1"/>
  <c r="BG48" i="13"/>
  <c r="V53" i="9" a="1"/>
  <c r="V53" i="9" s="1"/>
  <c r="BF32" i="9" a="1"/>
  <c r="BF32" i="9" s="1"/>
  <c r="BV57" i="9" a="1"/>
  <c r="BV57" i="9" s="1"/>
  <c r="AJ57" i="9" a="1"/>
  <c r="AJ57" i="9" s="1"/>
  <c r="AJ58" i="9" s="1"/>
  <c r="AJ69" i="9" s="1" a="1"/>
  <c r="AJ69" i="9" s="1"/>
  <c r="S57" i="9" a="1"/>
  <c r="S57" i="9" s="1"/>
  <c r="S58" i="9" s="1"/>
  <c r="S69" i="9" s="1" a="1"/>
  <c r="S69" i="9" s="1"/>
  <c r="BF27" i="13" a="1"/>
  <c r="BF27" i="13" s="1"/>
  <c r="BF81" i="13"/>
  <c r="BG92" i="13"/>
  <c r="AF34" i="11" a="1"/>
  <c r="AF34" i="11" s="1"/>
  <c r="BS34" i="11" a="1"/>
  <c r="BS34" i="11" s="1"/>
  <c r="AK34" i="11" a="1"/>
  <c r="AK34" i="11" s="1"/>
  <c r="V34" i="11" a="1"/>
  <c r="V34" i="11" s="1"/>
  <c r="Q34" i="11" a="1"/>
  <c r="Q34" i="11" s="1"/>
  <c r="BQ34" i="11" a="1"/>
  <c r="BQ34" i="11" s="1"/>
  <c r="AS34" i="11" a="1"/>
  <c r="AS34" i="11" s="1"/>
  <c r="AY34" i="11" a="1"/>
  <c r="AY34" i="11" s="1"/>
  <c r="AW34" i="11" a="1"/>
  <c r="AW34" i="11" s="1"/>
  <c r="AC34" i="11" a="1"/>
  <c r="AC34" i="11" s="1"/>
  <c r="BJ34" i="11" a="1"/>
  <c r="BJ34" i="11" s="1"/>
  <c r="AP34" i="11" a="1"/>
  <c r="AP34" i="11" s="1"/>
  <c r="AU34" i="11" a="1"/>
  <c r="AU34" i="11" s="1"/>
  <c r="E34" i="11" a="1"/>
  <c r="E34" i="11" s="1"/>
  <c r="P34" i="11" a="1"/>
  <c r="P34" i="11" s="1"/>
  <c r="AM34" i="11" a="1"/>
  <c r="AM34" i="11" s="1"/>
  <c r="M34" i="11" a="1"/>
  <c r="M34" i="11" s="1"/>
  <c r="AN34" i="11" a="1"/>
  <c r="AN34" i="11" s="1"/>
  <c r="BW34" i="11" a="1"/>
  <c r="BW34" i="11" s="1"/>
  <c r="AO34" i="11" a="1"/>
  <c r="AO34" i="11" s="1"/>
  <c r="BI34" i="11" a="1"/>
  <c r="BI34" i="11" s="1"/>
  <c r="N34" i="11" a="1"/>
  <c r="N34" i="11" s="1"/>
  <c r="BA34" i="11" a="1"/>
  <c r="BA34" i="11" s="1"/>
  <c r="BD34" i="11" a="1"/>
  <c r="BD34" i="11" s="1"/>
  <c r="G34" i="11" a="1"/>
  <c r="G34" i="11" s="1"/>
  <c r="U34" i="11" a="1"/>
  <c r="U34" i="11" s="1"/>
  <c r="AQ34" i="11" a="1"/>
  <c r="AQ34" i="11" s="1"/>
  <c r="Z34" i="11" a="1"/>
  <c r="Z34" i="11" s="1"/>
  <c r="BE34" i="11" a="1"/>
  <c r="BE34" i="11" s="1"/>
  <c r="BV34" i="11" a="1"/>
  <c r="BV34" i="11" s="1"/>
  <c r="AG34" i="11" a="1"/>
  <c r="AG34" i="11" s="1"/>
  <c r="Y34" i="11" a="1"/>
  <c r="Y34" i="11" s="1"/>
  <c r="AX34" i="11" a="1"/>
  <c r="AX34" i="11" s="1"/>
  <c r="BC53" i="9" a="1"/>
  <c r="BC53" i="9" s="1"/>
  <c r="AK84" i="12"/>
  <c r="S84" i="12"/>
  <c r="BH89" i="13"/>
  <c r="AF37" i="11" s="1" a="1"/>
  <c r="AF37" i="11" s="1"/>
  <c r="CJ93" i="12" a="1"/>
  <c r="CJ93" i="12" s="1"/>
  <c r="BF55" i="13"/>
  <c r="BF18" i="13" a="1"/>
  <c r="BF18" i="13" s="1"/>
  <c r="BF17" i="13" a="1"/>
  <c r="BF17" i="13" s="1"/>
  <c r="BF64" i="13"/>
  <c r="R57" i="9" a="1"/>
  <c r="R57" i="9" s="1"/>
  <c r="R58" i="9" s="1"/>
  <c r="R69" i="9" s="1" a="1"/>
  <c r="R69" i="9" s="1"/>
  <c r="AE57" i="9" a="1"/>
  <c r="AE57" i="9" s="1"/>
  <c r="AE58" i="9" s="1"/>
  <c r="AE69" i="9" s="1" a="1"/>
  <c r="AE69" i="9" s="1"/>
  <c r="BP57" i="9" a="1"/>
  <c r="BP57" i="9" s="1"/>
  <c r="U53" i="9" a="1"/>
  <c r="U53" i="9" s="1"/>
  <c r="CJ90" i="12" a="1"/>
  <c r="CJ90" i="12" s="1"/>
  <c r="I57" i="9" a="1"/>
  <c r="I57" i="9" s="1"/>
  <c r="AR57" i="9" a="1"/>
  <c r="AR57" i="9" s="1"/>
  <c r="AU57" i="9" a="1"/>
  <c r="AU57" i="9" s="1"/>
  <c r="AF57" i="9" a="1"/>
  <c r="AF57" i="9" s="1"/>
  <c r="AK58" i="12"/>
  <c r="AK56" i="12" s="1"/>
  <c r="AK66" i="12" s="1"/>
  <c r="CJ77" i="12" a="1"/>
  <c r="CJ77" i="12" s="1"/>
  <c r="BC159" i="13"/>
  <c r="BS53" i="9" a="1"/>
  <c r="BS53" i="9" s="1"/>
  <c r="CI46" i="12" a="1"/>
  <c r="CI46" i="12" s="1"/>
  <c r="CJ46" i="12" s="1" a="1"/>
  <c r="CJ46" i="12" s="1"/>
  <c r="CI37" i="12" a="1"/>
  <c r="CI37" i="12" s="1"/>
  <c r="CJ37" i="12" s="1" a="1"/>
  <c r="CJ37" i="12" s="1"/>
  <c r="AH57" i="9" a="1"/>
  <c r="AH57" i="9" s="1"/>
  <c r="AH58" i="9" s="1"/>
  <c r="AH69" i="9" s="1" a="1"/>
  <c r="AH69" i="9" s="1"/>
  <c r="F57" i="9" a="1"/>
  <c r="F57" i="9" s="1"/>
  <c r="F58" i="9" s="1"/>
  <c r="F69" i="9" s="1" a="1"/>
  <c r="F69" i="9" s="1"/>
  <c r="AT57" i="9" a="1"/>
  <c r="AT57" i="9" s="1"/>
  <c r="AT58" i="9" s="1"/>
  <c r="AT69" i="9" s="1" a="1"/>
  <c r="AT69" i="9" s="1"/>
  <c r="BH86" i="13"/>
  <c r="AK81" i="12"/>
  <c r="S81" i="12"/>
  <c r="BH161" i="13"/>
  <c r="AU29" i="9" a="1"/>
  <c r="AU29" i="9" s="1"/>
  <c r="M24" i="9" a="1"/>
  <c r="M24" i="9" s="1"/>
  <c r="U35" i="9" a="1"/>
  <c r="U35" i="9" s="1"/>
  <c r="AO35" i="9" a="1"/>
  <c r="AO35" i="9" s="1"/>
  <c r="BC15" i="9" a="1"/>
  <c r="BC15" i="9" s="1"/>
  <c r="H29" i="9" a="1"/>
  <c r="H29" i="9" s="1"/>
  <c r="AL32" i="9" a="1"/>
  <c r="AL32" i="9" s="1"/>
  <c r="BU32" i="9" a="1"/>
  <c r="BU32" i="9" s="1"/>
  <c r="AQ32" i="9" a="1"/>
  <c r="AQ32" i="9" s="1"/>
  <c r="AL29" i="9" a="1"/>
  <c r="AL29" i="9" s="1"/>
  <c r="BX32" i="9" a="1"/>
  <c r="BX32" i="9" s="1"/>
  <c r="BL32" i="9" a="1"/>
  <c r="BL32" i="9" s="1"/>
  <c r="BE32" i="9" a="1"/>
  <c r="BE32" i="9" s="1"/>
  <c r="AI24" i="9" a="1"/>
  <c r="AI24" i="9" s="1"/>
  <c r="BV32" i="9" a="1"/>
  <c r="BV32" i="9" s="1"/>
  <c r="AJ32" i="9" a="1"/>
  <c r="AJ32" i="9" s="1"/>
  <c r="F29" i="9" a="1"/>
  <c r="F29" i="9" s="1"/>
  <c r="AP32" i="9" a="1"/>
  <c r="AP32" i="9" s="1"/>
  <c r="BS32" i="9" a="1"/>
  <c r="BS32" i="9" s="1"/>
  <c r="BJ32" i="9" a="1"/>
  <c r="BJ32" i="9" s="1"/>
  <c r="I32" i="9" a="1"/>
  <c r="I32" i="9" s="1"/>
  <c r="AS29" i="9" a="1"/>
  <c r="AS29" i="9" s="1"/>
  <c r="AN29" i="9" a="1"/>
  <c r="AN29" i="9" s="1"/>
  <c r="AW32" i="9" a="1"/>
  <c r="AW32" i="9" s="1"/>
  <c r="Q32" i="9" a="1"/>
  <c r="Q32" i="9" s="1"/>
  <c r="Y57" i="9" a="1"/>
  <c r="Y57" i="9" s="1"/>
  <c r="Y58" i="9" s="1"/>
  <c r="Y69" i="9" s="1" a="1"/>
  <c r="Y69" i="9" s="1"/>
  <c r="AU53" i="9" a="1"/>
  <c r="AU53" i="9" s="1"/>
  <c r="AT32" i="9" a="1"/>
  <c r="AT32" i="9" s="1"/>
  <c r="AM32" i="9" a="1"/>
  <c r="AM32" i="9" s="1"/>
  <c r="T32" i="9" a="1"/>
  <c r="T32" i="9" s="1"/>
  <c r="BT32" i="9" a="1"/>
  <c r="BT32" i="9" s="1"/>
  <c r="BA32" i="9" a="1"/>
  <c r="BA32" i="9" s="1"/>
  <c r="BC32" i="9" a="1"/>
  <c r="BC32" i="9" s="1"/>
  <c r="BH32" i="9" a="1"/>
  <c r="BH32" i="9" s="1"/>
  <c r="Y53" i="9" a="1"/>
  <c r="Y53" i="9" s="1"/>
  <c r="G32" i="9" a="1"/>
  <c r="G32" i="9" s="1"/>
  <c r="AX32" i="9" a="1"/>
  <c r="AX32" i="9" s="1"/>
  <c r="AV32" i="9" a="1"/>
  <c r="AV32" i="9" s="1"/>
  <c r="M30" i="9" a="1"/>
  <c r="M30" i="9" s="1"/>
  <c r="AY32" i="9" a="1"/>
  <c r="AY32" i="9" s="1"/>
  <c r="N32" i="9" a="1"/>
  <c r="N32" i="9" s="1"/>
  <c r="BW32" i="9" a="1"/>
  <c r="BW32" i="9" s="1"/>
  <c r="O47" i="9" a="1"/>
  <c r="O47" i="9" s="1"/>
  <c r="BM32" i="9" a="1"/>
  <c r="BM32" i="9" s="1"/>
  <c r="AF32" i="9" a="1"/>
  <c r="AF32" i="9" s="1"/>
  <c r="AU32" i="9" a="1"/>
  <c r="AU32" i="9" s="1"/>
  <c r="L32" i="9" a="1"/>
  <c r="L32" i="9" s="1"/>
  <c r="BS24" i="9" a="1"/>
  <c r="BS24" i="9" s="1"/>
  <c r="W32" i="9" a="1"/>
  <c r="W32" i="9" s="1"/>
  <c r="R32" i="9" a="1"/>
  <c r="R32" i="9" s="1"/>
  <c r="AN47" i="9" a="1"/>
  <c r="AN47" i="9" s="1"/>
  <c r="BV29" i="9" a="1"/>
  <c r="BV29" i="9" s="1"/>
  <c r="AF53" i="9" a="1"/>
  <c r="AF53" i="9" s="1"/>
  <c r="U32" i="9" a="1"/>
  <c r="U32" i="9" s="1"/>
  <c r="AS32" i="9" a="1"/>
  <c r="AS32" i="9" s="1"/>
  <c r="V32" i="9" a="1"/>
  <c r="V32" i="9" s="1"/>
  <c r="BO32" i="9" a="1"/>
  <c r="BO32" i="9" s="1"/>
  <c r="BY32" i="9" a="1"/>
  <c r="BY32" i="9" s="1"/>
  <c r="AN32" i="9" a="1"/>
  <c r="AN32" i="9" s="1"/>
  <c r="BN32" i="9" a="1"/>
  <c r="BN32" i="9" s="1"/>
  <c r="S32" i="9" a="1"/>
  <c r="S32" i="9" s="1"/>
  <c r="BK32" i="9" a="1"/>
  <c r="BK32" i="9" s="1"/>
  <c r="AI32" i="9" a="1"/>
  <c r="AI32" i="9" s="1"/>
  <c r="BQ24" i="9" a="1"/>
  <c r="BQ24" i="9" s="1"/>
  <c r="AD32" i="9" a="1"/>
  <c r="AD32" i="9" s="1"/>
  <c r="AE32" i="9" a="1"/>
  <c r="AE32" i="9" s="1"/>
  <c r="F32" i="9" a="1"/>
  <c r="F32" i="9" s="1"/>
  <c r="BQ32" i="9" a="1"/>
  <c r="BQ32" i="9" s="1"/>
  <c r="AZ32" i="9" a="1"/>
  <c r="AZ32" i="9" s="1"/>
  <c r="AK29" i="9" a="1"/>
  <c r="AK29" i="9" s="1"/>
  <c r="AR32" i="9" a="1"/>
  <c r="AR32" i="9" s="1"/>
  <c r="BB32" i="9" a="1"/>
  <c r="BB32" i="9" s="1"/>
  <c r="M32" i="9" a="1"/>
  <c r="M32" i="9" s="1"/>
  <c r="AA57" i="9" a="1"/>
  <c r="AA57" i="9" s="1"/>
  <c r="AA58" i="9" s="1"/>
  <c r="AA69" i="9" s="1" a="1"/>
  <c r="AA69" i="9" s="1"/>
  <c r="AE29" i="9" a="1"/>
  <c r="AE29" i="9" s="1"/>
  <c r="AW29" i="9" a="1"/>
  <c r="AW29" i="9" s="1"/>
  <c r="BT40" i="9" a="1"/>
  <c r="BT40" i="9" s="1"/>
  <c r="X29" i="9" a="1"/>
  <c r="X29" i="9" s="1"/>
  <c r="AT29" i="9" a="1"/>
  <c r="AT29" i="9" s="1"/>
  <c r="AM24" i="9" a="1"/>
  <c r="AM24" i="9" s="1"/>
  <c r="Q24" i="9" a="1"/>
  <c r="Q24" i="9" s="1"/>
  <c r="BO24" i="9" a="1"/>
  <c r="BO24" i="9" s="1"/>
  <c r="AH24" i="9" a="1"/>
  <c r="AH24" i="9" s="1"/>
  <c r="U48" i="9" a="1"/>
  <c r="U48" i="9" s="1"/>
  <c r="BK57" i="9" a="1"/>
  <c r="BK57" i="9" s="1"/>
  <c r="BK58" i="9" s="1"/>
  <c r="BK69" i="9" s="1" a="1"/>
  <c r="BK69" i="9" s="1"/>
  <c r="O48" i="9" a="1"/>
  <c r="O48" i="9" s="1"/>
  <c r="BK48" i="9" a="1"/>
  <c r="BK48" i="9" s="1"/>
  <c r="R53" i="9" a="1"/>
  <c r="R53" i="9" s="1"/>
  <c r="O32" i="9" a="1"/>
  <c r="O32" i="9" s="1"/>
  <c r="BB48" i="9" a="1"/>
  <c r="BB48" i="9" s="1"/>
  <c r="BL24" i="9" a="1"/>
  <c r="BL24" i="9" s="1"/>
  <c r="H24" i="9" a="1"/>
  <c r="H24" i="9" s="1"/>
  <c r="BT24" i="9" a="1"/>
  <c r="BT24" i="9" s="1"/>
  <c r="Y24" i="9" a="1"/>
  <c r="Y24" i="9" s="1"/>
  <c r="AM57" i="9" a="1"/>
  <c r="AM57" i="9" s="1"/>
  <c r="AM58" i="9" s="1"/>
  <c r="AM69" i="9" s="1" a="1"/>
  <c r="AM69" i="9" s="1"/>
  <c r="BJ48" i="9" a="1"/>
  <c r="BJ48" i="9" s="1"/>
  <c r="Y48" i="9" a="1"/>
  <c r="Y48" i="9" s="1"/>
  <c r="BX53" i="9" a="1"/>
  <c r="BX53" i="9" s="1"/>
  <c r="AO48" i="9" a="1"/>
  <c r="AO48" i="9" s="1"/>
  <c r="N53" i="9" a="1"/>
  <c r="N53" i="9" s="1"/>
  <c r="G48" i="9" a="1"/>
  <c r="G48" i="9" s="1"/>
  <c r="AW57" i="9" a="1"/>
  <c r="AW57" i="9" s="1"/>
  <c r="AW58" i="9" s="1"/>
  <c r="AW69" i="9" s="1" a="1"/>
  <c r="AW69" i="9" s="1"/>
  <c r="BI32" i="9" a="1"/>
  <c r="BI32" i="9" s="1"/>
  <c r="BX48" i="9" a="1"/>
  <c r="BX48" i="9" s="1"/>
  <c r="BM24" i="9" a="1"/>
  <c r="BM24" i="9" s="1"/>
  <c r="Z24" i="9" a="1"/>
  <c r="Z24" i="9" s="1"/>
  <c r="T24" i="9" a="1"/>
  <c r="T24" i="9" s="1"/>
  <c r="P24" i="9" a="1"/>
  <c r="P24" i="9" s="1"/>
  <c r="BP32" i="9" a="1"/>
  <c r="BP32" i="9" s="1"/>
  <c r="AL53" i="9" a="1"/>
  <c r="AL53" i="9" s="1"/>
  <c r="AK32" i="9" a="1"/>
  <c r="AK32" i="9" s="1"/>
  <c r="V48" i="9" a="1"/>
  <c r="V48" i="9" s="1"/>
  <c r="BQ48" i="9" a="1"/>
  <c r="BQ48" i="9" s="1"/>
  <c r="AA48" i="9" a="1"/>
  <c r="AA48" i="9" s="1"/>
  <c r="BR53" i="9" a="1"/>
  <c r="BR53" i="9" s="1"/>
  <c r="AP48" i="9" a="1"/>
  <c r="AP48" i="9" s="1"/>
  <c r="BO48" i="9" a="1"/>
  <c r="BO48" i="9" s="1"/>
  <c r="AM48" i="9" a="1"/>
  <c r="AM48" i="9" s="1"/>
  <c r="AH53" i="9" a="1"/>
  <c r="AH53" i="9" s="1"/>
  <c r="AY53" i="9" a="1"/>
  <c r="AY53" i="9" s="1"/>
  <c r="BB53" i="9" a="1"/>
  <c r="BB53" i="9" s="1"/>
  <c r="AS53" i="9" a="1"/>
  <c r="AS53" i="9" s="1"/>
  <c r="X53" i="9" a="1"/>
  <c r="X53" i="9" s="1"/>
  <c r="AP24" i="9" a="1"/>
  <c r="AP24" i="9" s="1"/>
  <c r="AU24" i="9" a="1"/>
  <c r="AU24" i="9" s="1"/>
  <c r="N24" i="9" a="1"/>
  <c r="N24" i="9" s="1"/>
  <c r="AX24" i="9" a="1"/>
  <c r="AX24" i="9" s="1"/>
  <c r="BW53" i="9" a="1"/>
  <c r="BW53" i="9" s="1"/>
  <c r="BA48" i="9" a="1"/>
  <c r="BA48" i="9" s="1"/>
  <c r="AK48" i="9" a="1"/>
  <c r="AK48" i="9" s="1"/>
  <c r="BT48" i="9" a="1"/>
  <c r="BT48" i="9" s="1"/>
  <c r="AH48" i="9" a="1"/>
  <c r="AH48" i="9" s="1"/>
  <c r="O53" i="9" a="1"/>
  <c r="O53" i="9" s="1"/>
  <c r="H48" i="9" a="1"/>
  <c r="H48" i="9" s="1"/>
  <c r="AI48" i="9" a="1"/>
  <c r="AI48" i="9" s="1"/>
  <c r="Z48" i="9" a="1"/>
  <c r="Z48" i="9" s="1"/>
  <c r="S53" i="9" a="1"/>
  <c r="S53" i="9" s="1"/>
  <c r="BG48" i="9" a="1"/>
  <c r="BG48" i="9" s="1"/>
  <c r="T48" i="9" a="1"/>
  <c r="T48" i="9" s="1"/>
  <c r="G53" i="9" a="1"/>
  <c r="G53" i="9" s="1"/>
  <c r="AQ24" i="9" a="1"/>
  <c r="AQ24" i="9" s="1"/>
  <c r="BX24" i="9" a="1"/>
  <c r="BX24" i="9" s="1"/>
  <c r="AK24" i="9" a="1"/>
  <c r="AK24" i="9" s="1"/>
  <c r="U24" i="9" a="1"/>
  <c r="U24" i="9" s="1"/>
  <c r="BO53" i="9" a="1"/>
  <c r="BO53" i="9" s="1"/>
  <c r="BU48" i="9" a="1"/>
  <c r="BU48" i="9" s="1"/>
  <c r="Q48" i="9" a="1"/>
  <c r="Q48" i="9" s="1"/>
  <c r="X48" i="9" a="1"/>
  <c r="X48" i="9" s="1"/>
  <c r="AE48" i="9" a="1"/>
  <c r="AE48" i="9" s="1"/>
  <c r="AG32" i="9" a="1"/>
  <c r="AG32" i="9" s="1"/>
  <c r="H32" i="9" a="1"/>
  <c r="H32" i="9" s="1"/>
  <c r="AG24" i="9" a="1"/>
  <c r="AG24" i="9" s="1"/>
  <c r="BG24" i="9" a="1"/>
  <c r="BG24" i="9" s="1"/>
  <c r="BU24" i="9" a="1"/>
  <c r="BU24" i="9" s="1"/>
  <c r="BP24" i="9" a="1"/>
  <c r="BP24" i="9" s="1"/>
  <c r="AU48" i="9" a="1"/>
  <c r="AU48" i="9" s="1"/>
  <c r="Z53" i="9" a="1"/>
  <c r="Z53" i="9" s="1"/>
  <c r="AD48" i="9" a="1"/>
  <c r="AD48" i="9" s="1"/>
  <c r="BL53" i="9" a="1"/>
  <c r="BL53" i="9" s="1"/>
  <c r="AD53" i="9" a="1"/>
  <c r="AD53" i="9" s="1"/>
  <c r="BD48" i="9" a="1"/>
  <c r="BD48" i="9" s="1"/>
  <c r="AT53" i="9" a="1"/>
  <c r="AT53" i="9" s="1"/>
  <c r="BL48" i="9" a="1"/>
  <c r="BL48" i="9" s="1"/>
  <c r="S48" i="9" a="1"/>
  <c r="S48" i="9" s="1"/>
  <c r="AA32" i="9" a="1"/>
  <c r="AA32" i="9" s="1"/>
  <c r="AW53" i="9" a="1"/>
  <c r="AW53" i="9" s="1"/>
  <c r="BR24" i="9" a="1"/>
  <c r="BR24" i="9" s="1"/>
  <c r="AT24" i="9" a="1"/>
  <c r="AT24" i="9" s="1"/>
  <c r="BA24" i="9" a="1"/>
  <c r="BA24" i="9" s="1"/>
  <c r="BN24" i="9" a="1"/>
  <c r="BN24" i="9" s="1"/>
  <c r="AR53" i="9" a="1"/>
  <c r="AR53" i="9" s="1"/>
  <c r="AN48" i="9" a="1"/>
  <c r="AN48" i="9" s="1"/>
  <c r="AP53" i="9" a="1"/>
  <c r="AP53" i="9" s="1"/>
  <c r="AY48" i="9" a="1"/>
  <c r="AY48" i="9" s="1"/>
  <c r="BB57" i="9" a="1"/>
  <c r="BB57" i="9" s="1"/>
  <c r="BI24" i="9" a="1"/>
  <c r="BI24" i="9" s="1"/>
  <c r="X24" i="9" a="1"/>
  <c r="X24" i="9" s="1"/>
  <c r="BE24" i="9" a="1"/>
  <c r="BE24" i="9" s="1"/>
  <c r="L24" i="9" a="1"/>
  <c r="L24" i="9" s="1"/>
  <c r="BR48" i="9" a="1"/>
  <c r="BR48" i="9" s="1"/>
  <c r="BN57" i="9" a="1"/>
  <c r="BN57" i="9" s="1"/>
  <c r="W53" i="9" a="1"/>
  <c r="W53" i="9" s="1"/>
  <c r="O57" i="9" a="1"/>
  <c r="O57" i="9" s="1"/>
  <c r="O58" i="9" s="1"/>
  <c r="O69" i="9" s="1" a="1"/>
  <c r="O69" i="9" s="1"/>
  <c r="BG32" i="9" a="1"/>
  <c r="BG32" i="9" s="1"/>
  <c r="AO53" i="9" a="1"/>
  <c r="AO53" i="9" s="1"/>
  <c r="AE24" i="9" a="1"/>
  <c r="AE24" i="9" s="1"/>
  <c r="O24" i="9" a="1"/>
  <c r="O24" i="9" s="1"/>
  <c r="AW24" i="9" a="1"/>
  <c r="AW24" i="9" s="1"/>
  <c r="BF24" i="9" a="1"/>
  <c r="BF24" i="9" s="1"/>
  <c r="BN48" i="9" a="1"/>
  <c r="BN48" i="9" s="1"/>
  <c r="AP57" i="9" a="1"/>
  <c r="AP57" i="9" s="1"/>
  <c r="BU57" i="9" a="1"/>
  <c r="BU57" i="9" s="1"/>
  <c r="BE53" i="9" a="1"/>
  <c r="BE53" i="9" s="1"/>
  <c r="BJ24" i="9" a="1"/>
  <c r="BJ24" i="9" s="1"/>
  <c r="AR24" i="9" a="1"/>
  <c r="AR24" i="9" s="1"/>
  <c r="BD24" i="9" a="1"/>
  <c r="BD24" i="9" s="1"/>
  <c r="AS24" i="9" a="1"/>
  <c r="AS24" i="9" s="1"/>
  <c r="X32" i="9" a="1"/>
  <c r="X32" i="9" s="1"/>
  <c r="AL48" i="9" a="1"/>
  <c r="AL48" i="9" s="1"/>
  <c r="G57" i="9" a="1"/>
  <c r="G57" i="9" s="1"/>
  <c r="BV53" i="9" a="1"/>
  <c r="BV53" i="9" s="1"/>
  <c r="L53" i="9" a="1"/>
  <c r="L53" i="9" s="1"/>
  <c r="P32" i="9" a="1"/>
  <c r="P32" i="9" s="1"/>
  <c r="BU53" i="9" a="1"/>
  <c r="BU53" i="9" s="1"/>
  <c r="BK53" i="9" a="1"/>
  <c r="BK53" i="9" s="1"/>
  <c r="AZ48" i="9" a="1"/>
  <c r="AZ48" i="9" s="1"/>
  <c r="I53" i="9" a="1"/>
  <c r="I53" i="9" s="1"/>
  <c r="BY48" i="9" a="1"/>
  <c r="BY48" i="9" s="1"/>
  <c r="BS57" i="9" a="1"/>
  <c r="BS57" i="9" s="1"/>
  <c r="AV24" i="9" a="1"/>
  <c r="AV24" i="9" s="1"/>
  <c r="BC24" i="9" a="1"/>
  <c r="BC24" i="9" s="1"/>
  <c r="BH24" i="9" a="1"/>
  <c r="BH24" i="9" s="1"/>
  <c r="S24" i="9" a="1"/>
  <c r="S24" i="9" s="1"/>
  <c r="F48" i="9" a="1"/>
  <c r="F48" i="9" s="1"/>
  <c r="AN53" i="9" a="1"/>
  <c r="AN53" i="9" s="1"/>
  <c r="AJ53" i="9" a="1"/>
  <c r="AJ53" i="9" s="1"/>
  <c r="R48" i="9" a="1"/>
  <c r="R48" i="9" s="1"/>
  <c r="Z32" i="9" a="1"/>
  <c r="Z32" i="9" s="1"/>
  <c r="BY53" i="9" a="1"/>
  <c r="BY53" i="9" s="1"/>
  <c r="BT53" i="9" a="1"/>
  <c r="BT53" i="9" s="1"/>
  <c r="AX53" i="9" a="1"/>
  <c r="AX53" i="9" s="1"/>
  <c r="AZ53" i="9" a="1"/>
  <c r="AZ53" i="9" s="1"/>
  <c r="BW24" i="9" a="1"/>
  <c r="BW24" i="9" s="1"/>
  <c r="AN24" i="9" a="1"/>
  <c r="AN24" i="9" s="1"/>
  <c r="AY24" i="9" a="1"/>
  <c r="AY24" i="9" s="1"/>
  <c r="AL24" i="9" a="1"/>
  <c r="AL24" i="9" s="1"/>
  <c r="BP53" i="9" a="1"/>
  <c r="BP53" i="9" s="1"/>
  <c r="BD53" i="9" a="1"/>
  <c r="BD53" i="9" s="1"/>
  <c r="BD32" i="9" a="1"/>
  <c r="BD32" i="9" s="1"/>
  <c r="AI53" i="9" a="1"/>
  <c r="AI53" i="9" s="1"/>
  <c r="W48" i="9" a="1"/>
  <c r="W48" i="9" s="1"/>
  <c r="AO24" i="9" a="1"/>
  <c r="AO24" i="9" s="1"/>
  <c r="AA24" i="9" a="1"/>
  <c r="AA24" i="9" s="1"/>
  <c r="R24" i="9" a="1"/>
  <c r="R24" i="9" s="1"/>
  <c r="BY24" i="9" a="1"/>
  <c r="BY24" i="9" s="1"/>
  <c r="Z40" i="9" a="1"/>
  <c r="Z40" i="9" s="1"/>
  <c r="Y32" i="9" a="1"/>
  <c r="Y32" i="9" s="1"/>
  <c r="AM53" i="9" a="1"/>
  <c r="AM53" i="9" s="1"/>
  <c r="BB24" i="9" a="1"/>
  <c r="BB24" i="9" s="1"/>
  <c r="F24" i="9" a="1"/>
  <c r="F24" i="9" s="1"/>
  <c r="BK24" i="9" a="1"/>
  <c r="BK24" i="9" s="1"/>
  <c r="I24" i="9" a="1"/>
  <c r="I24" i="9" s="1"/>
  <c r="P53" i="9" a="1"/>
  <c r="P53" i="9" s="1"/>
  <c r="F53" i="9" a="1"/>
  <c r="F53" i="9" s="1"/>
  <c r="M48" i="9" a="1"/>
  <c r="M48" i="9" s="1"/>
  <c r="H53" i="9" a="1"/>
  <c r="H53" i="9" s="1"/>
  <c r="G24" i="9" a="1"/>
  <c r="G24" i="9" s="1"/>
  <c r="AF24" i="9" a="1"/>
  <c r="AF24" i="9" s="1"/>
  <c r="AZ24" i="9" a="1"/>
  <c r="AZ24" i="9" s="1"/>
  <c r="V24" i="9" a="1"/>
  <c r="V24" i="9" s="1"/>
  <c r="AQ53" i="9" a="1"/>
  <c r="AQ53" i="9" s="1"/>
  <c r="M53" i="9" a="1"/>
  <c r="M53" i="9" s="1"/>
  <c r="BC48" i="9" a="1"/>
  <c r="BC48" i="9" s="1"/>
  <c r="BJ53" i="9" a="1"/>
  <c r="BJ53" i="9" s="1"/>
  <c r="BE57" i="9" a="1"/>
  <c r="BE57" i="9" s="1"/>
  <c r="BE58" i="9" s="1"/>
  <c r="BE69" i="9" s="1" a="1"/>
  <c r="BE69" i="9" s="1"/>
  <c r="BV24" i="9" a="1"/>
  <c r="BV24" i="9" s="1"/>
  <c r="W24" i="9" a="1"/>
  <c r="W24" i="9" s="1"/>
  <c r="AD24" i="9" a="1"/>
  <c r="AD24" i="9" s="1"/>
  <c r="AJ24" i="9" a="1"/>
  <c r="AJ24" i="9" s="1"/>
  <c r="AE53" i="9" a="1"/>
  <c r="AE53" i="9" s="1"/>
  <c r="BN53" i="9" a="1"/>
  <c r="BN53" i="9" s="1"/>
  <c r="BP48" i="9" a="1"/>
  <c r="BP48" i="9" s="1"/>
  <c r="AH32" i="9" a="1"/>
  <c r="AH32" i="9" s="1"/>
  <c r="P48" i="9" a="1"/>
  <c r="P48" i="9" s="1"/>
  <c r="L48" i="9" a="1"/>
  <c r="L48" i="9" s="1"/>
  <c r="U57" i="9" a="1"/>
  <c r="U57" i="9" s="1"/>
  <c r="T53" i="9" a="1"/>
  <c r="T53" i="9" s="1"/>
  <c r="BR32" i="9" a="1"/>
  <c r="BR32" i="9" s="1"/>
  <c r="AS48" i="9" a="1"/>
  <c r="AS48" i="9" s="1"/>
  <c r="BE48" i="9" a="1"/>
  <c r="BE48" i="9" s="1"/>
  <c r="BM48" i="9" a="1"/>
  <c r="BM48" i="9" s="1"/>
  <c r="AW48" i="9" a="1"/>
  <c r="AW48" i="9" s="1"/>
  <c r="I48" i="9" a="1"/>
  <c r="I48" i="9" s="1"/>
  <c r="AO32" i="9" a="1"/>
  <c r="AO32" i="9" s="1"/>
  <c r="BG53" i="9" a="1"/>
  <c r="BG53" i="9" s="1"/>
  <c r="AG53" i="9" a="1"/>
  <c r="AG53" i="9" s="1"/>
  <c r="Q53" i="9" a="1"/>
  <c r="Q53" i="9" s="1"/>
  <c r="BQ53" i="9" a="1"/>
  <c r="BQ53" i="9" s="1"/>
  <c r="AQ57" i="9" a="1"/>
  <c r="AQ57" i="9" s="1"/>
  <c r="BW57" i="9" a="1"/>
  <c r="BW57" i="9" s="1"/>
  <c r="BC57" i="9" a="1"/>
  <c r="BC57" i="9" s="1"/>
  <c r="BC150" i="13"/>
  <c r="CJ35" i="12" a="1"/>
  <c r="CJ35" i="12" s="1"/>
  <c r="AK35" i="12" s="1"/>
  <c r="V57" i="9" a="1"/>
  <c r="V57" i="9" s="1"/>
  <c r="V58" i="9" s="1"/>
  <c r="V69" i="9" s="1" a="1"/>
  <c r="V69" i="9" s="1"/>
  <c r="BX57" i="9" a="1"/>
  <c r="BX57" i="9" s="1"/>
  <c r="BH57" i="9" a="1"/>
  <c r="BH57" i="9" s="1"/>
  <c r="BH58" i="9" s="1"/>
  <c r="BH69" i="9" s="1" a="1"/>
  <c r="BH69" i="9" s="1"/>
  <c r="AK19" i="12"/>
  <c r="BV155" i="29"/>
  <c r="CF92" i="12" s="1"/>
  <c r="BW149" i="29"/>
  <c r="BW152" i="29" s="1"/>
  <c r="AX57" i="9" a="1"/>
  <c r="AX57" i="9" s="1"/>
  <c r="Z57" i="9" a="1"/>
  <c r="Z57" i="9" s="1"/>
  <c r="Z58" i="9" s="1"/>
  <c r="Z69" i="9" s="1" a="1"/>
  <c r="Z69" i="9" s="1"/>
  <c r="BF57" i="9" a="1"/>
  <c r="BF57" i="9" s="1"/>
  <c r="BC94" i="13"/>
  <c r="BC32" i="13" a="1"/>
  <c r="BC32" i="13" s="1"/>
  <c r="BH66" i="13"/>
  <c r="N27" i="9" s="1" a="1"/>
  <c r="N27" i="9" s="1"/>
  <c r="S48" i="12"/>
  <c r="AK48" i="12"/>
  <c r="P57" i="9" a="1"/>
  <c r="P57" i="9" s="1"/>
  <c r="T57" i="9" a="1"/>
  <c r="T57" i="9" s="1"/>
  <c r="T58" i="9" s="1"/>
  <c r="T69" i="9" s="1" a="1"/>
  <c r="T69" i="9" s="1"/>
  <c r="W57" i="9" a="1"/>
  <c r="W57" i="9" s="1"/>
  <c r="W58" i="9" s="1"/>
  <c r="W69" i="9" s="1" a="1"/>
  <c r="W69" i="9" s="1"/>
  <c r="BH21" i="13" a="1"/>
  <c r="BH21" i="13" s="1"/>
  <c r="BH71" i="13"/>
  <c r="BH160" i="13" s="1"/>
  <c r="CJ56" i="12"/>
  <c r="CJ66" i="12" s="1"/>
  <c r="BG19" i="13" a="1"/>
  <c r="BG19" i="13" s="1"/>
  <c r="T45" i="11" a="1"/>
  <c r="T45" i="11" s="1"/>
  <c r="AU45" i="11" a="1"/>
  <c r="AU45" i="11" s="1"/>
  <c r="BM45" i="11" a="1"/>
  <c r="BM45" i="11" s="1"/>
  <c r="BA45" i="11" a="1"/>
  <c r="BA45" i="11" s="1"/>
  <c r="BV45" i="11" a="1"/>
  <c r="BV45" i="11" s="1"/>
  <c r="BH83" i="13"/>
  <c r="X17" i="11" s="1" a="1"/>
  <c r="X17" i="11" s="1"/>
  <c r="S78" i="12"/>
  <c r="AK78" i="12"/>
  <c r="Q57" i="9" a="1"/>
  <c r="Q57" i="9" s="1"/>
  <c r="Q58" i="9" s="1"/>
  <c r="Q69" i="9" s="1" a="1"/>
  <c r="Q69" i="9" s="1"/>
  <c r="AI57" i="9" a="1"/>
  <c r="AI57" i="9" s="1"/>
  <c r="AZ57" i="9" a="1"/>
  <c r="AZ57" i="9" s="1"/>
  <c r="BQ57" i="9" a="1"/>
  <c r="BQ57" i="9" s="1"/>
  <c r="AO57" i="9" a="1"/>
  <c r="AO57" i="9" s="1"/>
  <c r="BH50" i="13"/>
  <c r="BB36" i="9" s="1" a="1"/>
  <c r="BB36" i="9" s="1"/>
  <c r="S32" i="12"/>
  <c r="AV57" i="9" a="1"/>
  <c r="AV57" i="9" s="1"/>
  <c r="BA57" i="9" a="1"/>
  <c r="BA57" i="9" s="1"/>
  <c r="BG57" i="9" a="1"/>
  <c r="BG57" i="9" s="1"/>
  <c r="BG58" i="9" s="1"/>
  <c r="BG69" i="9" s="1" a="1"/>
  <c r="BG69" i="9" s="1"/>
  <c r="BH52" i="13"/>
  <c r="S34" i="12"/>
  <c r="CJ30" i="12" a="1"/>
  <c r="CJ30" i="12" s="1"/>
  <c r="AC64" i="8" l="1" a="1"/>
  <c r="AC64" i="8" s="1"/>
  <c r="I38" i="33" a="1"/>
  <c r="I38" i="33" s="1"/>
  <c r="I36" i="33" s="1"/>
  <c r="I102" i="33" s="1" a="1"/>
  <c r="I102" i="33" s="1"/>
  <c r="M38" i="33" a="1"/>
  <c r="M38" i="33" s="1"/>
  <c r="M36" i="33" s="1"/>
  <c r="M102" i="33" s="1" a="1"/>
  <c r="M102" i="33" s="1"/>
  <c r="M43" i="33" a="1"/>
  <c r="M43" i="33" s="1"/>
  <c r="M40" i="33" s="1"/>
  <c r="M103" i="33" s="1" a="1"/>
  <c r="M103" i="33" s="1"/>
  <c r="M42" i="33" a="1"/>
  <c r="M42" i="33" s="1"/>
  <c r="I42" i="33" a="1"/>
  <c r="I42" i="33" s="1"/>
  <c r="G42" i="33" a="1"/>
  <c r="G42" i="33" s="1"/>
  <c r="I43" i="33" a="1"/>
  <c r="I43" i="33" s="1"/>
  <c r="I40" i="33" s="1"/>
  <c r="I103" i="33" s="1" a="1"/>
  <c r="I103" i="33" s="1"/>
  <c r="G43" i="33" a="1"/>
  <c r="G43" i="33" s="1"/>
  <c r="G38" i="33" a="1"/>
  <c r="G38" i="33" s="1"/>
  <c r="BI64" i="8" a="1"/>
  <c r="BI64" i="8" s="1"/>
  <c r="BV64" i="8" a="1"/>
  <c r="BV64" i="8" s="1"/>
  <c r="BA64" i="8" a="1"/>
  <c r="BA64" i="8" s="1"/>
  <c r="BB64" i="8" a="1"/>
  <c r="BB64" i="8" s="1"/>
  <c r="AE64" i="8" a="1"/>
  <c r="AE64" i="8" s="1"/>
  <c r="Z64" i="8" a="1"/>
  <c r="Z64" i="8" s="1"/>
  <c r="AW64" i="8" a="1"/>
  <c r="AW64" i="8" s="1"/>
  <c r="CD64" i="8" a="1"/>
  <c r="CD64" i="8" s="1"/>
  <c r="AY64" i="8" a="1"/>
  <c r="AY64" i="8" s="1"/>
  <c r="AL58" i="9"/>
  <c r="AL69" i="9" s="1" a="1"/>
  <c r="AL69" i="9" s="1"/>
  <c r="BU58" i="9"/>
  <c r="BU69" i="9" s="1" a="1"/>
  <c r="BU69" i="9" s="1"/>
  <c r="H16" i="9" a="1"/>
  <c r="H16" i="9" s="1"/>
  <c r="AM16" i="9" a="1"/>
  <c r="AM16" i="9" s="1"/>
  <c r="BM28" i="9" a="1"/>
  <c r="BM28" i="9" s="1"/>
  <c r="N28" i="9" a="1"/>
  <c r="N28" i="9" s="1"/>
  <c r="N31" i="9" s="1"/>
  <c r="BT28" i="9" a="1"/>
  <c r="BT28" i="9" s="1"/>
  <c r="BR28" i="9" a="1"/>
  <c r="BR28" i="9" s="1"/>
  <c r="BF28" i="9" a="1"/>
  <c r="BF28" i="9" s="1"/>
  <c r="S95" i="12"/>
  <c r="BH97" i="13"/>
  <c r="BH29" i="11" s="1" a="1"/>
  <c r="BH29" i="11" s="1"/>
  <c r="AG58" i="9"/>
  <c r="AG69" i="9" s="1" a="1"/>
  <c r="AG69" i="9" s="1"/>
  <c r="BW16" i="9" a="1"/>
  <c r="BW16" i="9" s="1"/>
  <c r="W16" i="9" a="1"/>
  <c r="W16" i="9" s="1"/>
  <c r="AV58" i="9"/>
  <c r="AV69" i="9" s="1" a="1"/>
  <c r="AV69" i="9" s="1"/>
  <c r="BI16" i="9" a="1"/>
  <c r="BI16" i="9" s="1"/>
  <c r="AQ16" i="9" a="1"/>
  <c r="AQ16" i="9" s="1"/>
  <c r="BH57" i="13"/>
  <c r="BH25" i="9" s="1" a="1"/>
  <c r="BH25" i="9" s="1"/>
  <c r="AI58" i="9"/>
  <c r="AI69" i="9" s="1" a="1"/>
  <c r="AI69" i="9" s="1"/>
  <c r="AZ58" i="9"/>
  <c r="AZ69" i="9" s="1" a="1"/>
  <c r="AZ69" i="9" s="1"/>
  <c r="AD16" i="9" a="1"/>
  <c r="AD16" i="9" s="1"/>
  <c r="BV16" i="9" a="1"/>
  <c r="BV16" i="9" s="1"/>
  <c r="BT16" i="9" a="1"/>
  <c r="BT16" i="9" s="1"/>
  <c r="BY16" i="9" a="1"/>
  <c r="BY16" i="9" s="1"/>
  <c r="BA16" i="9" a="1"/>
  <c r="BA16" i="9" s="1"/>
  <c r="BH16" i="9" a="1"/>
  <c r="BH16" i="9" s="1"/>
  <c r="Q16" i="9" a="1"/>
  <c r="Q16" i="9" s="1"/>
  <c r="S16" i="9" a="1"/>
  <c r="S16" i="9" s="1"/>
  <c r="BO16" i="9" a="1"/>
  <c r="BO16" i="9" s="1"/>
  <c r="I16" i="9" a="1"/>
  <c r="I16" i="9" s="1"/>
  <c r="AO58" i="9"/>
  <c r="AO69" i="9" s="1" a="1"/>
  <c r="AO69" i="9" s="1"/>
  <c r="BQ58" i="9"/>
  <c r="BQ69" i="9" s="1" a="1"/>
  <c r="BQ69" i="9" s="1"/>
  <c r="BF58" i="9"/>
  <c r="BF69" i="9" s="1" a="1"/>
  <c r="BF69" i="9" s="1"/>
  <c r="BI28" i="9" a="1"/>
  <c r="BI28" i="9" s="1"/>
  <c r="AI28" i="9" a="1"/>
  <c r="AI28" i="9" s="1"/>
  <c r="AH28" i="9" a="1"/>
  <c r="AH28" i="9" s="1"/>
  <c r="AR28" i="9" a="1"/>
  <c r="AR28" i="9" s="1"/>
  <c r="G28" i="9" a="1"/>
  <c r="G28" i="9" s="1"/>
  <c r="AV28" i="9" a="1"/>
  <c r="AV28" i="9" s="1"/>
  <c r="AE28" i="9" a="1"/>
  <c r="AE28" i="9" s="1"/>
  <c r="P58" i="9"/>
  <c r="P69" i="9" s="1" a="1"/>
  <c r="P69" i="9" s="1"/>
  <c r="BI58" i="9"/>
  <c r="BI69" i="9" s="1" a="1"/>
  <c r="BI69" i="9" s="1"/>
  <c r="V28" i="9" a="1"/>
  <c r="V28" i="9" s="1"/>
  <c r="BN58" i="9"/>
  <c r="BN69" i="9" s="1" a="1"/>
  <c r="BN69" i="9" s="1"/>
  <c r="S28" i="9" a="1"/>
  <c r="S28" i="9" s="1"/>
  <c r="AZ28" i="9" a="1"/>
  <c r="AZ28" i="9" s="1"/>
  <c r="AK28" i="9" a="1"/>
  <c r="AK28" i="9" s="1"/>
  <c r="BD28" i="9" a="1"/>
  <c r="BD28" i="9" s="1"/>
  <c r="AW28" i="9" a="1"/>
  <c r="AW28" i="9" s="1"/>
  <c r="BJ58" i="9"/>
  <c r="BJ69" i="9" s="1" a="1"/>
  <c r="BJ69" i="9" s="1"/>
  <c r="BT37" i="9" a="1"/>
  <c r="BT37" i="9" s="1"/>
  <c r="BY37" i="9" a="1"/>
  <c r="BY37" i="9" s="1"/>
  <c r="U58" i="9"/>
  <c r="U69" i="9" s="1" a="1"/>
  <c r="U69" i="9" s="1"/>
  <c r="BJ16" i="9" a="1"/>
  <c r="BJ16" i="9" s="1"/>
  <c r="BL16" i="9" a="1"/>
  <c r="BL16" i="9" s="1"/>
  <c r="Q28" i="9" a="1"/>
  <c r="Q28" i="9" s="1"/>
  <c r="AU28" i="9" a="1"/>
  <c r="AU28" i="9" s="1"/>
  <c r="BE28" i="9" a="1"/>
  <c r="BE28" i="9" s="1"/>
  <c r="AG28" i="9" a="1"/>
  <c r="AG28" i="9" s="1"/>
  <c r="BS28" i="9" a="1"/>
  <c r="BS28" i="9" s="1"/>
  <c r="AU58" i="9"/>
  <c r="AU69" i="9" s="1" a="1"/>
  <c r="AU69" i="9" s="1"/>
  <c r="BX58" i="9"/>
  <c r="BX69" i="9" s="1" a="1"/>
  <c r="BX69" i="9" s="1"/>
  <c r="BP58" i="9"/>
  <c r="BP69" i="9" s="1" a="1"/>
  <c r="BP69" i="9" s="1"/>
  <c r="AF58" i="9"/>
  <c r="AF69" i="9" s="1" a="1"/>
  <c r="AF69" i="9" s="1"/>
  <c r="G58" i="9"/>
  <c r="G69" i="9" s="1" a="1"/>
  <c r="G69" i="9" s="1"/>
  <c r="AK58" i="9"/>
  <c r="AK69" i="9" s="1" a="1"/>
  <c r="AK69" i="9" s="1"/>
  <c r="AX58" i="9"/>
  <c r="AX69" i="9" s="1" a="1"/>
  <c r="AX69" i="9" s="1"/>
  <c r="N58" i="9"/>
  <c r="N69" i="9" s="1" a="1"/>
  <c r="N69" i="9" s="1"/>
  <c r="BW58" i="9"/>
  <c r="BW69" i="9" s="1" a="1"/>
  <c r="BW69" i="9" s="1"/>
  <c r="BY58" i="9"/>
  <c r="BY69" i="9" s="1" a="1"/>
  <c r="BY69" i="9" s="1"/>
  <c r="I22" i="9" a="1"/>
  <c r="I22" i="9" s="1"/>
  <c r="BS58" i="9"/>
  <c r="BS69" i="9" s="1" a="1"/>
  <c r="BS69" i="9" s="1"/>
  <c r="X28" i="9" a="1"/>
  <c r="X28" i="9" s="1"/>
  <c r="BK28" i="9" a="1"/>
  <c r="BK28" i="9" s="1"/>
  <c r="BR58" i="9"/>
  <c r="BR69" i="9" s="1" a="1"/>
  <c r="BR69" i="9" s="1"/>
  <c r="P35" i="11" a="1"/>
  <c r="P35" i="11" s="1"/>
  <c r="BV58" i="9"/>
  <c r="BV69" i="9" s="1" a="1"/>
  <c r="BV69" i="9" s="1"/>
  <c r="BB58" i="9"/>
  <c r="BB69" i="9" s="1" a="1"/>
  <c r="BB69" i="9" s="1"/>
  <c r="BA58" i="9"/>
  <c r="BA69" i="9" s="1" a="1"/>
  <c r="BA69" i="9" s="1"/>
  <c r="BC58" i="9"/>
  <c r="BC69" i="9" s="1" a="1"/>
  <c r="BC69" i="9" s="1"/>
  <c r="L58" i="9"/>
  <c r="L69" i="9" s="1" a="1"/>
  <c r="L69" i="9" s="1"/>
  <c r="AQ58" i="9"/>
  <c r="AQ69" i="9" s="1" a="1"/>
  <c r="AQ69" i="9" s="1"/>
  <c r="BD58" i="9"/>
  <c r="BD69" i="9" s="1" a="1"/>
  <c r="BD69" i="9" s="1"/>
  <c r="CJ21" i="12" a="1"/>
  <c r="CJ21" i="12" s="1"/>
  <c r="AK21" i="12" s="1"/>
  <c r="AR58" i="9"/>
  <c r="AR69" i="9" s="1" a="1"/>
  <c r="AR69" i="9" s="1"/>
  <c r="I58" i="9"/>
  <c r="I69" i="9" s="1" a="1"/>
  <c r="I69" i="9" s="1"/>
  <c r="AP58" i="9"/>
  <c r="AP69" i="9" s="1" a="1"/>
  <c r="AP69" i="9" s="1"/>
  <c r="G35" i="11" a="1"/>
  <c r="G35" i="11" s="1"/>
  <c r="BH35" i="11" a="1"/>
  <c r="BH35" i="11" s="1"/>
  <c r="BT35" i="11" a="1"/>
  <c r="BT35" i="11" s="1"/>
  <c r="BV37" i="9" a="1"/>
  <c r="BV37" i="9" s="1"/>
  <c r="AP22" i="9" a="1"/>
  <c r="AP22" i="9" s="1"/>
  <c r="H28" i="9" a="1"/>
  <c r="H28" i="9" s="1"/>
  <c r="L28" i="9" a="1"/>
  <c r="L28" i="9" s="1"/>
  <c r="BG28" i="9" a="1"/>
  <c r="BG28" i="9" s="1"/>
  <c r="BV28" i="9" a="1"/>
  <c r="BV28" i="9" s="1"/>
  <c r="BL28" i="9" a="1"/>
  <c r="BL28" i="9" s="1"/>
  <c r="BY28" i="9" a="1"/>
  <c r="BY28" i="9" s="1"/>
  <c r="BX28" i="9" a="1"/>
  <c r="BX28" i="9" s="1"/>
  <c r="O28" i="9" a="1"/>
  <c r="O28" i="9" s="1"/>
  <c r="Z28" i="9" a="1"/>
  <c r="Z28" i="9" s="1"/>
  <c r="BC28" i="9" a="1"/>
  <c r="BC28" i="9" s="1"/>
  <c r="BB28" i="9" a="1"/>
  <c r="BB28" i="9" s="1"/>
  <c r="P28" i="9" a="1"/>
  <c r="P28" i="9" s="1"/>
  <c r="AO28" i="9" a="1"/>
  <c r="AO28" i="9" s="1"/>
  <c r="BM22" i="9" a="1"/>
  <c r="BM22" i="9" s="1"/>
  <c r="AP28" i="9" a="1"/>
  <c r="AP28" i="9" s="1"/>
  <c r="AD28" i="9" a="1"/>
  <c r="AD28" i="9" s="1"/>
  <c r="F28" i="9" a="1"/>
  <c r="F28" i="9" s="1"/>
  <c r="AJ28" i="9" a="1"/>
  <c r="AJ28" i="9" s="1"/>
  <c r="T28" i="9" a="1"/>
  <c r="T28" i="9" s="1"/>
  <c r="R28" i="9" a="1"/>
  <c r="R28" i="9" s="1"/>
  <c r="AA28" i="9" a="1"/>
  <c r="AA28" i="9" s="1"/>
  <c r="AS28" i="9" a="1"/>
  <c r="AS28" i="9" s="1"/>
  <c r="AQ28" i="9" a="1"/>
  <c r="AQ28" i="9" s="1"/>
  <c r="BP28" i="9" a="1"/>
  <c r="BP28" i="9" s="1"/>
  <c r="BN28" i="9" a="1"/>
  <c r="BN28" i="9" s="1"/>
  <c r="I28" i="9" a="1"/>
  <c r="I28" i="9" s="1"/>
  <c r="BQ28" i="9" a="1"/>
  <c r="BQ28" i="9" s="1"/>
  <c r="BC37" i="9" a="1"/>
  <c r="BC37" i="9" s="1"/>
  <c r="BJ28" i="9" a="1"/>
  <c r="BJ28" i="9" s="1"/>
  <c r="AA22" i="9" a="1"/>
  <c r="AA22" i="9" s="1"/>
  <c r="AY28" i="9" a="1"/>
  <c r="AY28" i="9" s="1"/>
  <c r="BX35" i="11" a="1"/>
  <c r="BX35" i="11" s="1"/>
  <c r="BA35" i="11" a="1"/>
  <c r="BA35" i="11" s="1"/>
  <c r="U28" i="9" a="1"/>
  <c r="U28" i="9" s="1"/>
  <c r="BA28" i="9" a="1"/>
  <c r="BA28" i="9" s="1"/>
  <c r="BU28" i="9" a="1"/>
  <c r="BU28" i="9" s="1"/>
  <c r="S49" i="12"/>
  <c r="AL28" i="9" a="1"/>
  <c r="AL28" i="9" s="1"/>
  <c r="BW28" i="9" a="1"/>
  <c r="BW28" i="9" s="1"/>
  <c r="BS37" i="9" a="1"/>
  <c r="BS37" i="9" s="1"/>
  <c r="AM28" i="9" a="1"/>
  <c r="AM28" i="9" s="1"/>
  <c r="BQ37" i="9" a="1"/>
  <c r="BQ37" i="9" s="1"/>
  <c r="AX28" i="9" a="1"/>
  <c r="AX28" i="9" s="1"/>
  <c r="BH19" i="13" a="1"/>
  <c r="BH19" i="13" s="1"/>
  <c r="AU28" i="8" s="1" a="1"/>
  <c r="AU28" i="8" s="1"/>
  <c r="S37" i="9" a="1"/>
  <c r="S37" i="9" s="1"/>
  <c r="M28" i="9" a="1"/>
  <c r="M28" i="9" s="1"/>
  <c r="Y28" i="9" a="1"/>
  <c r="Y28" i="9" s="1"/>
  <c r="BO28" i="9" a="1"/>
  <c r="BO28" i="9" s="1"/>
  <c r="AN28" i="9" a="1"/>
  <c r="AN28" i="9" s="1"/>
  <c r="BH28" i="9" a="1"/>
  <c r="BH28" i="9" s="1"/>
  <c r="W28" i="9" a="1"/>
  <c r="W28" i="9" s="1"/>
  <c r="AT28" i="9" a="1"/>
  <c r="AT28" i="9" s="1"/>
  <c r="BK35" i="11" a="1"/>
  <c r="BK35" i="11" s="1"/>
  <c r="AM22" i="9" a="1"/>
  <c r="AM22" i="9" s="1"/>
  <c r="AG22" i="9" a="1"/>
  <c r="AG22" i="9" s="1"/>
  <c r="AK35" i="11" a="1"/>
  <c r="AK35" i="11" s="1"/>
  <c r="AD22" i="9" a="1"/>
  <c r="AD22" i="9" s="1"/>
  <c r="U37" i="9" a="1"/>
  <c r="U37" i="9" s="1"/>
  <c r="AF22" i="9" a="1"/>
  <c r="AF22" i="9" s="1"/>
  <c r="AW22" i="9" a="1"/>
  <c r="AW22" i="9" s="1"/>
  <c r="AF36" i="9" a="1"/>
  <c r="AF36" i="9" s="1"/>
  <c r="BJ35" i="11" a="1"/>
  <c r="BJ35" i="11" s="1"/>
  <c r="BT22" i="9" a="1"/>
  <c r="BT22" i="9" s="1"/>
  <c r="BC22" i="9" a="1"/>
  <c r="BC22" i="9" s="1"/>
  <c r="AO35" i="11" a="1"/>
  <c r="AO35" i="11" s="1"/>
  <c r="V22" i="9" a="1"/>
  <c r="V22" i="9" s="1"/>
  <c r="N35" i="11" a="1"/>
  <c r="N35" i="11" s="1"/>
  <c r="BP22" i="9" a="1"/>
  <c r="BP22" i="9" s="1"/>
  <c r="O22" i="9" a="1"/>
  <c r="O22" i="9" s="1"/>
  <c r="BL37" i="9" a="1"/>
  <c r="BL37" i="9" s="1"/>
  <c r="BR35" i="11" a="1"/>
  <c r="BR35" i="11" s="1"/>
  <c r="AK37" i="9" a="1"/>
  <c r="AK37" i="9" s="1"/>
  <c r="AE22" i="9" a="1"/>
  <c r="AE22" i="9" s="1"/>
  <c r="BH22" i="9" a="1"/>
  <c r="BH22" i="9" s="1"/>
  <c r="W37" i="9" a="1"/>
  <c r="W37" i="9" s="1"/>
  <c r="AW35" i="11" a="1"/>
  <c r="AW35" i="11" s="1"/>
  <c r="BO35" i="11" a="1"/>
  <c r="BO35" i="11" s="1"/>
  <c r="P37" i="9" a="1"/>
  <c r="P37" i="9" s="1"/>
  <c r="X22" i="9" a="1"/>
  <c r="X22" i="9" s="1"/>
  <c r="BG37" i="9" a="1"/>
  <c r="BG37" i="9" s="1"/>
  <c r="AG37" i="9" a="1"/>
  <c r="AG37" i="9" s="1"/>
  <c r="AR37" i="9" a="1"/>
  <c r="AR37" i="9" s="1"/>
  <c r="BE37" i="9" a="1"/>
  <c r="BE37" i="9" s="1"/>
  <c r="BQ22" i="9" a="1"/>
  <c r="BQ22" i="9" s="1"/>
  <c r="BI22" i="9" a="1"/>
  <c r="BI22" i="9" s="1"/>
  <c r="AL37" i="9" a="1"/>
  <c r="AL37" i="9" s="1"/>
  <c r="AU35" i="11" a="1"/>
  <c r="AU35" i="11" s="1"/>
  <c r="AE37" i="9" a="1"/>
  <c r="AE37" i="9" s="1"/>
  <c r="BM37" i="9" a="1"/>
  <c r="BM37" i="9" s="1"/>
  <c r="AT22" i="9" a="1"/>
  <c r="AT22" i="9" s="1"/>
  <c r="BW22" i="9" a="1"/>
  <c r="BW22" i="9" s="1"/>
  <c r="AU22" i="9" a="1"/>
  <c r="AU22" i="9" s="1"/>
  <c r="BX37" i="9" a="1"/>
  <c r="BX37" i="9" s="1"/>
  <c r="O37" i="9" a="1"/>
  <c r="O37" i="9" s="1"/>
  <c r="BA37" i="9" a="1"/>
  <c r="BA37" i="9" s="1"/>
  <c r="BW35" i="11" a="1"/>
  <c r="BW35" i="11" s="1"/>
  <c r="AM37" i="9" a="1"/>
  <c r="AM37" i="9" s="1"/>
  <c r="BO37" i="9" a="1"/>
  <c r="BO37" i="9" s="1"/>
  <c r="BB22" i="9" a="1"/>
  <c r="BB22" i="9" s="1"/>
  <c r="Q37" i="9" a="1"/>
  <c r="Q37" i="9" s="1"/>
  <c r="AN37" i="9" a="1"/>
  <c r="AN37" i="9" s="1"/>
  <c r="AD37" i="9" a="1"/>
  <c r="AD37" i="9" s="1"/>
  <c r="G37" i="9" a="1"/>
  <c r="G37" i="9" s="1"/>
  <c r="P22" i="9" a="1"/>
  <c r="P22" i="9" s="1"/>
  <c r="H22" i="9" a="1"/>
  <c r="H22" i="9" s="1"/>
  <c r="AJ37" i="11" a="1"/>
  <c r="AJ37" i="11" s="1"/>
  <c r="L22" i="9" a="1"/>
  <c r="L22" i="9" s="1"/>
  <c r="Q22" i="9" a="1"/>
  <c r="Q22" i="9" s="1"/>
  <c r="BO22" i="9" a="1"/>
  <c r="BO22" i="9" s="1"/>
  <c r="BR22" i="9" a="1"/>
  <c r="BR22" i="9" s="1"/>
  <c r="AJ22" i="9" a="1"/>
  <c r="AJ22" i="9" s="1"/>
  <c r="BL22" i="9" a="1"/>
  <c r="BL22" i="9" s="1"/>
  <c r="BF22" i="9" a="1"/>
  <c r="BF22" i="9" s="1"/>
  <c r="AS37" i="9" a="1"/>
  <c r="AS37" i="9" s="1"/>
  <c r="Y22" i="9" a="1"/>
  <c r="Y22" i="9" s="1"/>
  <c r="Z22" i="9" a="1"/>
  <c r="Z22" i="9" s="1"/>
  <c r="BV22" i="9" a="1"/>
  <c r="BV22" i="9" s="1"/>
  <c r="AI22" i="9" a="1"/>
  <c r="AI22" i="9" s="1"/>
  <c r="AO22" i="9" a="1"/>
  <c r="AO22" i="9" s="1"/>
  <c r="I37" i="9" a="1"/>
  <c r="I37" i="9" s="1"/>
  <c r="BS22" i="9" a="1"/>
  <c r="BS22" i="9" s="1"/>
  <c r="AX22" i="9" a="1"/>
  <c r="AX22" i="9" s="1"/>
  <c r="AR22" i="9" a="1"/>
  <c r="AR22" i="9" s="1"/>
  <c r="AS22" i="9" a="1"/>
  <c r="AS22" i="9" s="1"/>
  <c r="BK22" i="9" a="1"/>
  <c r="BK22" i="9" s="1"/>
  <c r="W22" i="9" a="1"/>
  <c r="W22" i="9" s="1"/>
  <c r="AN22" i="9" a="1"/>
  <c r="AN22" i="9" s="1"/>
  <c r="BN22" i="9" a="1"/>
  <c r="BN22" i="9" s="1"/>
  <c r="AZ22" i="9" a="1"/>
  <c r="AZ22" i="9" s="1"/>
  <c r="AL22" i="9" a="1"/>
  <c r="AL22" i="9" s="1"/>
  <c r="BU22" i="9" a="1"/>
  <c r="BU22" i="9" s="1"/>
  <c r="BJ22" i="9" a="1"/>
  <c r="BJ22" i="9" s="1"/>
  <c r="N22" i="9" a="1"/>
  <c r="N22" i="9" s="1"/>
  <c r="BX22" i="9" a="1"/>
  <c r="BX22" i="9" s="1"/>
  <c r="BA22" i="9" a="1"/>
  <c r="BA22" i="9" s="1"/>
  <c r="AK22" i="9" a="1"/>
  <c r="AK22" i="9" s="1"/>
  <c r="M22" i="9" a="1"/>
  <c r="M22" i="9" s="1"/>
  <c r="R22" i="9" a="1"/>
  <c r="R22" i="9" s="1"/>
  <c r="AH22" i="9" a="1"/>
  <c r="AH22" i="9" s="1"/>
  <c r="BG22" i="9" a="1"/>
  <c r="BG22" i="9" s="1"/>
  <c r="G22" i="9" a="1"/>
  <c r="G22" i="9" s="1"/>
  <c r="BY22" i="9" a="1"/>
  <c r="BY22" i="9" s="1"/>
  <c r="AQ22" i="9" a="1"/>
  <c r="AQ22" i="9" s="1"/>
  <c r="BE22" i="9" a="1"/>
  <c r="BE22" i="9" s="1"/>
  <c r="BD22" i="9" a="1"/>
  <c r="BD22" i="9" s="1"/>
  <c r="BB37" i="11" a="1"/>
  <c r="BB37" i="11" s="1"/>
  <c r="E35" i="11" a="1"/>
  <c r="E35" i="11" s="1"/>
  <c r="CI91" i="12" a="1"/>
  <c r="CI91" i="12" s="1"/>
  <c r="BG93" i="13" s="1"/>
  <c r="BF30" i="13" a="1"/>
  <c r="BF30" i="13" s="1"/>
  <c r="AK39" i="12"/>
  <c r="R17" i="11" a="1"/>
  <c r="R17" i="11" s="1"/>
  <c r="Y17" i="11" a="1"/>
  <c r="Y17" i="11" s="1"/>
  <c r="V16" i="9" a="1"/>
  <c r="V16" i="9" s="1"/>
  <c r="AU16" i="9" a="1"/>
  <c r="AU16" i="9" s="1"/>
  <c r="AN16" i="9" a="1"/>
  <c r="AN16" i="9" s="1"/>
  <c r="BP16" i="9" a="1"/>
  <c r="BP16" i="9" s="1"/>
  <c r="AU37" i="11" a="1"/>
  <c r="AU37" i="11" s="1"/>
  <c r="AL16" i="9" a="1"/>
  <c r="AL16" i="9" s="1"/>
  <c r="AH35" i="11" a="1"/>
  <c r="AH35" i="11" s="1"/>
  <c r="AT16" i="9" a="1"/>
  <c r="AT16" i="9" s="1"/>
  <c r="BN35" i="11" a="1"/>
  <c r="BN35" i="11" s="1"/>
  <c r="AY16" i="9" a="1"/>
  <c r="AY16" i="9" s="1"/>
  <c r="BI35" i="11" a="1"/>
  <c r="BI35" i="11" s="1"/>
  <c r="AX16" i="9" a="1"/>
  <c r="AX16" i="9" s="1"/>
  <c r="O35" i="11" a="1"/>
  <c r="O35" i="11" s="1"/>
  <c r="AS16" i="9" a="1"/>
  <c r="AS16" i="9" s="1"/>
  <c r="L35" i="11" a="1"/>
  <c r="L35" i="11" s="1"/>
  <c r="BC16" i="9" a="1"/>
  <c r="BC16" i="9" s="1"/>
  <c r="Y35" i="11" a="1"/>
  <c r="Y35" i="11" s="1"/>
  <c r="BQ16" i="9" a="1"/>
  <c r="BQ16" i="9" s="1"/>
  <c r="BI37" i="11" a="1"/>
  <c r="BI37" i="11" s="1"/>
  <c r="G16" i="9" a="1"/>
  <c r="G16" i="9" s="1"/>
  <c r="AJ16" i="9" a="1"/>
  <c r="AJ16" i="9" s="1"/>
  <c r="BB16" i="9" a="1"/>
  <c r="BB16" i="9" s="1"/>
  <c r="AJ17" i="11" a="1"/>
  <c r="AJ17" i="11" s="1"/>
  <c r="BN16" i="9" a="1"/>
  <c r="BN16" i="9" s="1"/>
  <c r="BQ35" i="11" a="1"/>
  <c r="BQ35" i="11" s="1"/>
  <c r="AV35" i="11" a="1"/>
  <c r="AV35" i="11" s="1"/>
  <c r="M16" i="9" a="1"/>
  <c r="M16" i="9" s="1"/>
  <c r="BH37" i="11" a="1"/>
  <c r="BH37" i="11" s="1"/>
  <c r="BG16" i="9" a="1"/>
  <c r="BG16" i="9" s="1"/>
  <c r="AP16" i="9" a="1"/>
  <c r="AP16" i="9" s="1"/>
  <c r="AI16" i="9" a="1"/>
  <c r="AI16" i="9" s="1"/>
  <c r="AH16" i="9" a="1"/>
  <c r="AH16" i="9" s="1"/>
  <c r="AW16" i="9" a="1"/>
  <c r="AW16" i="9" s="1"/>
  <c r="AA16" i="9" a="1"/>
  <c r="AA16" i="9" s="1"/>
  <c r="U17" i="11" a="1"/>
  <c r="U17" i="11" s="1"/>
  <c r="BK16" i="9" a="1"/>
  <c r="BK16" i="9" s="1"/>
  <c r="BD35" i="11" a="1"/>
  <c r="BD35" i="11" s="1"/>
  <c r="AL35" i="11" a="1"/>
  <c r="AL35" i="11" s="1"/>
  <c r="AV16" i="9" a="1"/>
  <c r="AV16" i="9" s="1"/>
  <c r="O16" i="9" a="1"/>
  <c r="O16" i="9" s="1"/>
  <c r="H35" i="11" a="1"/>
  <c r="H35" i="11" s="1"/>
  <c r="AO17" i="11" a="1"/>
  <c r="AO17" i="11" s="1"/>
  <c r="BD16" i="9" a="1"/>
  <c r="BD16" i="9" s="1"/>
  <c r="BX16" i="9" a="1"/>
  <c r="BX16" i="9" s="1"/>
  <c r="AE16" i="9" a="1"/>
  <c r="AE16" i="9" s="1"/>
  <c r="AG16" i="9" a="1"/>
  <c r="AG16" i="9" s="1"/>
  <c r="W37" i="11" a="1"/>
  <c r="W37" i="11" s="1"/>
  <c r="Y16" i="9" a="1"/>
  <c r="Y16" i="9" s="1"/>
  <c r="AR16" i="9" a="1"/>
  <c r="AR16" i="9" s="1"/>
  <c r="U16" i="9" a="1"/>
  <c r="U16" i="9" s="1"/>
  <c r="AK49" i="12"/>
  <c r="BV17" i="11" a="1"/>
  <c r="BV17" i="11" s="1"/>
  <c r="P16" i="9" a="1"/>
  <c r="P16" i="9" s="1"/>
  <c r="AF16" i="9" a="1"/>
  <c r="AF16" i="9" s="1"/>
  <c r="AZ16" i="9" a="1"/>
  <c r="AZ16" i="9" s="1"/>
  <c r="AM37" i="11" a="1"/>
  <c r="AM37" i="11" s="1"/>
  <c r="T16" i="9" a="1"/>
  <c r="T16" i="9" s="1"/>
  <c r="BU16" i="9" a="1"/>
  <c r="BU16" i="9" s="1"/>
  <c r="BS16" i="9" a="1"/>
  <c r="BS16" i="9" s="1"/>
  <c r="S22" i="9" a="1"/>
  <c r="S22" i="9" s="1"/>
  <c r="K37" i="11" a="1"/>
  <c r="K37" i="11" s="1"/>
  <c r="F16" i="9" a="1"/>
  <c r="F16" i="9" s="1"/>
  <c r="X16" i="9" a="1"/>
  <c r="X16" i="9" s="1"/>
  <c r="AJ29" i="12"/>
  <c r="AX37" i="11" a="1"/>
  <c r="AX37" i="11" s="1"/>
  <c r="BE16" i="9" a="1"/>
  <c r="BE16" i="9" s="1"/>
  <c r="L16" i="9" a="1"/>
  <c r="L16" i="9" s="1"/>
  <c r="S79" i="12"/>
  <c r="G27" i="9" a="1"/>
  <c r="G27" i="9" s="1"/>
  <c r="AT37" i="11" a="1"/>
  <c r="AT37" i="11" s="1"/>
  <c r="BF37" i="9" a="1"/>
  <c r="BF37" i="9" s="1"/>
  <c r="AU27" i="9" a="1"/>
  <c r="AU27" i="9" s="1"/>
  <c r="M37" i="9" a="1"/>
  <c r="M37" i="9" s="1"/>
  <c r="BE37" i="11" a="1"/>
  <c r="BE37" i="11" s="1"/>
  <c r="R16" i="9" a="1"/>
  <c r="R16" i="9" s="1"/>
  <c r="AP37" i="9" a="1"/>
  <c r="AP37" i="9" s="1"/>
  <c r="AQ37" i="9" a="1"/>
  <c r="AQ37" i="9" s="1"/>
  <c r="BR37" i="9" a="1"/>
  <c r="BR37" i="9" s="1"/>
  <c r="AR37" i="11" a="1"/>
  <c r="AR37" i="11" s="1"/>
  <c r="AO16" i="9" a="1"/>
  <c r="AO16" i="9" s="1"/>
  <c r="BK37" i="9" a="1"/>
  <c r="BK37" i="9" s="1"/>
  <c r="AI37" i="9" a="1"/>
  <c r="AI37" i="9" s="1"/>
  <c r="BR37" i="11" a="1"/>
  <c r="BR37" i="11" s="1"/>
  <c r="AT37" i="9" a="1"/>
  <c r="AT37" i="9" s="1"/>
  <c r="Y37" i="9" a="1"/>
  <c r="Y37" i="9" s="1"/>
  <c r="Z37" i="11" a="1"/>
  <c r="Z37" i="11" s="1"/>
  <c r="BD37" i="9" a="1"/>
  <c r="BD37" i="9" s="1"/>
  <c r="AX37" i="9" a="1"/>
  <c r="AX37" i="9" s="1"/>
  <c r="Y37" i="11" a="1"/>
  <c r="Y37" i="11" s="1"/>
  <c r="R37" i="9" a="1"/>
  <c r="R37" i="9" s="1"/>
  <c r="T22" i="9" a="1"/>
  <c r="T22" i="9" s="1"/>
  <c r="F22" i="9" a="1"/>
  <c r="F22" i="9" s="1"/>
  <c r="U22" i="9" a="1"/>
  <c r="U22" i="9" s="1"/>
  <c r="AV22" i="9" a="1"/>
  <c r="AV22" i="9" s="1"/>
  <c r="AY22" i="9" a="1"/>
  <c r="AY22" i="9" s="1"/>
  <c r="BM27" i="9" a="1"/>
  <c r="BM27" i="9" s="1"/>
  <c r="BC27" i="9" a="1"/>
  <c r="BC27" i="9" s="1"/>
  <c r="AW18" i="11" a="1"/>
  <c r="AW18" i="11" s="1"/>
  <c r="Z27" i="9" a="1"/>
  <c r="Z27" i="9" s="1"/>
  <c r="BO27" i="9" a="1"/>
  <c r="BO27" i="9" s="1"/>
  <c r="BF37" i="11" a="1"/>
  <c r="BF37" i="11" s="1"/>
  <c r="AY37" i="11" a="1"/>
  <c r="AY37" i="11" s="1"/>
  <c r="AS37" i="11" a="1"/>
  <c r="AS37" i="11" s="1"/>
  <c r="BX37" i="11" a="1"/>
  <c r="BX37" i="11" s="1"/>
  <c r="H37" i="11" a="1"/>
  <c r="H37" i="11" s="1"/>
  <c r="AG37" i="11" a="1"/>
  <c r="AG37" i="11" s="1"/>
  <c r="BW37" i="11" a="1"/>
  <c r="BW37" i="11" s="1"/>
  <c r="L37" i="9" a="1"/>
  <c r="L37" i="9" s="1"/>
  <c r="AJ37" i="9" a="1"/>
  <c r="AJ37" i="9" s="1"/>
  <c r="AK79" i="12"/>
  <c r="BD17" i="11" a="1"/>
  <c r="BD17" i="11" s="1"/>
  <c r="BG17" i="11" a="1"/>
  <c r="BG17" i="11" s="1"/>
  <c r="AW37" i="9" a="1"/>
  <c r="AW37" i="9" s="1"/>
  <c r="AZ37" i="9" a="1"/>
  <c r="AZ37" i="9" s="1"/>
  <c r="BJ37" i="9" a="1"/>
  <c r="BJ37" i="9" s="1"/>
  <c r="AF37" i="9" a="1"/>
  <c r="AF37" i="9" s="1"/>
  <c r="BI37" i="9" a="1"/>
  <c r="BI37" i="9" s="1"/>
  <c r="BG38" i="9" a="1"/>
  <c r="BG38" i="9" s="1"/>
  <c r="AS38" i="9" a="1"/>
  <c r="AS38" i="9" s="1"/>
  <c r="BK38" i="9" a="1"/>
  <c r="BK38" i="9" s="1"/>
  <c r="Y38" i="9" a="1"/>
  <c r="Y38" i="9" s="1"/>
  <c r="X38" i="9" a="1"/>
  <c r="X38" i="9" s="1"/>
  <c r="BU38" i="9" a="1"/>
  <c r="BU38" i="9" s="1"/>
  <c r="BL38" i="9" a="1"/>
  <c r="BL38" i="9" s="1"/>
  <c r="AH38" i="9" a="1"/>
  <c r="AH38" i="9" s="1"/>
  <c r="AR35" i="11" a="1"/>
  <c r="AR35" i="11" s="1"/>
  <c r="AC35" i="11" a="1"/>
  <c r="AC35" i="11" s="1"/>
  <c r="V35" i="11" a="1"/>
  <c r="V35" i="11" s="1"/>
  <c r="AK37" i="12"/>
  <c r="CI29" i="12" a="1"/>
  <c r="CI29" i="12" s="1"/>
  <c r="BG47" i="13" s="1"/>
  <c r="R36" i="9" a="1"/>
  <c r="R36" i="9" s="1"/>
  <c r="Z36" i="9" a="1"/>
  <c r="Z36" i="9" s="1"/>
  <c r="AK85" i="12"/>
  <c r="S85" i="12"/>
  <c r="BH90" i="13"/>
  <c r="Q38" i="9" a="1"/>
  <c r="Q38" i="9" s="1"/>
  <c r="U38" i="9" a="1"/>
  <c r="U38" i="9" s="1"/>
  <c r="AI27" i="9" a="1"/>
  <c r="AI27" i="9" s="1"/>
  <c r="BD27" i="9" a="1"/>
  <c r="BD27" i="9" s="1"/>
  <c r="BD31" i="9" s="1"/>
  <c r="L52" i="9" a="1"/>
  <c r="L52" i="9" s="1"/>
  <c r="L54" i="9" s="1"/>
  <c r="BU27" i="9" a="1"/>
  <c r="BU27" i="9" s="1"/>
  <c r="O52" i="9" a="1"/>
  <c r="O52" i="9" s="1"/>
  <c r="O54" i="9" s="1"/>
  <c r="AM52" i="9" a="1"/>
  <c r="AM52" i="9" s="1"/>
  <c r="AM54" i="9" s="1"/>
  <c r="BC52" i="9" a="1"/>
  <c r="BC52" i="9" s="1"/>
  <c r="BC54" i="9" s="1"/>
  <c r="AH52" i="9" a="1"/>
  <c r="AH52" i="9" s="1"/>
  <c r="AH54" i="9" s="1"/>
  <c r="AF27" i="9" a="1"/>
  <c r="AF27" i="9" s="1"/>
  <c r="AF31" i="9" s="1"/>
  <c r="BJ36" i="9" a="1"/>
  <c r="BJ36" i="9" s="1"/>
  <c r="AJ36" i="9" a="1"/>
  <c r="AJ36" i="9" s="1"/>
  <c r="V27" i="9" a="1"/>
  <c r="V27" i="9" s="1"/>
  <c r="AN36" i="9" a="1"/>
  <c r="AN36" i="9" s="1"/>
  <c r="BO38" i="9" a="1"/>
  <c r="BO38" i="9" s="1"/>
  <c r="L36" i="9" a="1"/>
  <c r="L36" i="9" s="1"/>
  <c r="T38" i="9" a="1"/>
  <c r="T38" i="9" s="1"/>
  <c r="AO27" i="9" a="1"/>
  <c r="AO27" i="9" s="1"/>
  <c r="L38" i="9" a="1"/>
  <c r="L38" i="9" s="1"/>
  <c r="AR52" i="9" a="1"/>
  <c r="AR52" i="9" s="1"/>
  <c r="AR54" i="9" s="1"/>
  <c r="AO36" i="9" a="1"/>
  <c r="AO36" i="9" s="1"/>
  <c r="AP36" i="9" a="1"/>
  <c r="AP36" i="9" s="1"/>
  <c r="I38" i="9" a="1"/>
  <c r="I38" i="9" s="1"/>
  <c r="BP37" i="9" a="1"/>
  <c r="BP37" i="9" s="1"/>
  <c r="T37" i="9" a="1"/>
  <c r="T37" i="9" s="1"/>
  <c r="Z37" i="9" a="1"/>
  <c r="Z37" i="9" s="1"/>
  <c r="AO37" i="9" a="1"/>
  <c r="AO37" i="9" s="1"/>
  <c r="AA37" i="9" a="1"/>
  <c r="AA37" i="9" s="1"/>
  <c r="AI38" i="9" a="1"/>
  <c r="AI38" i="9" s="1"/>
  <c r="H37" i="9" a="1"/>
  <c r="H37" i="9" s="1"/>
  <c r="BH53" i="13"/>
  <c r="BS39" i="9" s="1" a="1"/>
  <c r="BS39" i="9" s="1"/>
  <c r="S35" i="12"/>
  <c r="BK27" i="9" a="1"/>
  <c r="BK27" i="9" s="1"/>
  <c r="BI52" i="9" a="1"/>
  <c r="BI52" i="9" s="1"/>
  <c r="BI54" i="9" s="1"/>
  <c r="R52" i="9" a="1"/>
  <c r="R52" i="9" s="1"/>
  <c r="R54" i="9" s="1"/>
  <c r="AD27" i="9" a="1"/>
  <c r="AD27" i="9" s="1"/>
  <c r="AJ52" i="9" a="1"/>
  <c r="AJ52" i="9" s="1"/>
  <c r="AJ54" i="9" s="1"/>
  <c r="M52" i="9" a="1"/>
  <c r="M52" i="9" s="1"/>
  <c r="M54" i="9" s="1"/>
  <c r="AI52" i="9" a="1"/>
  <c r="AI52" i="9" s="1"/>
  <c r="AI54" i="9" s="1"/>
  <c r="BI36" i="9" a="1"/>
  <c r="BI36" i="9" s="1"/>
  <c r="AW38" i="9" a="1"/>
  <c r="AW38" i="9" s="1"/>
  <c r="BH88" i="13"/>
  <c r="S83" i="12"/>
  <c r="AK83" i="12"/>
  <c r="BJ38" i="9" a="1"/>
  <c r="BJ38" i="9" s="1"/>
  <c r="AK38" i="9" a="1"/>
  <c r="AK38" i="9" s="1"/>
  <c r="BD150" i="13"/>
  <c r="BH55" i="13"/>
  <c r="S37" i="12"/>
  <c r="BH18" i="13" a="1"/>
  <c r="BH18" i="13" s="1"/>
  <c r="BW38" i="9" a="1"/>
  <c r="BW38" i="9" s="1"/>
  <c r="P52" i="9" a="1"/>
  <c r="P52" i="9" s="1"/>
  <c r="P54" i="9" s="1"/>
  <c r="BM38" i="9" a="1"/>
  <c r="BM38" i="9" s="1"/>
  <c r="AG27" i="9" a="1"/>
  <c r="AG27" i="9" s="1"/>
  <c r="AE27" i="9" a="1"/>
  <c r="AE27" i="9" s="1"/>
  <c r="Q52" i="9" a="1"/>
  <c r="Q52" i="9" s="1"/>
  <c r="Q54" i="9" s="1"/>
  <c r="F52" i="9" a="1"/>
  <c r="F52" i="9" s="1"/>
  <c r="F54" i="9" s="1"/>
  <c r="BE52" i="9" a="1"/>
  <c r="BE52" i="9" s="1"/>
  <c r="BE54" i="9" s="1"/>
  <c r="AD36" i="9" a="1"/>
  <c r="AD36" i="9" s="1"/>
  <c r="AT36" i="9" a="1"/>
  <c r="AT36" i="9" s="1"/>
  <c r="BE35" i="11" a="1"/>
  <c r="BE35" i="11" s="1"/>
  <c r="X35" i="11" a="1"/>
  <c r="X35" i="11" s="1"/>
  <c r="AY35" i="11" a="1"/>
  <c r="AY35" i="11" s="1"/>
  <c r="AJ35" i="11" a="1"/>
  <c r="AJ35" i="11" s="1"/>
  <c r="AS35" i="11" a="1"/>
  <c r="AS35" i="11" s="1"/>
  <c r="BW141" i="28"/>
  <c r="BX135" i="28"/>
  <c r="AA138" i="28"/>
  <c r="AK16" i="9" a="1"/>
  <c r="AK16" i="9" s="1"/>
  <c r="BD159" i="13"/>
  <c r="BX36" i="9" a="1"/>
  <c r="BX36" i="9" s="1"/>
  <c r="F36" i="9" a="1"/>
  <c r="F36" i="9" s="1"/>
  <c r="BC36" i="9" a="1"/>
  <c r="BC36" i="9" s="1"/>
  <c r="G36" i="9" a="1"/>
  <c r="G36" i="9" s="1"/>
  <c r="BX149" i="29"/>
  <c r="BW155" i="29"/>
  <c r="AA152" i="29"/>
  <c r="M38" i="9" a="1"/>
  <c r="M38" i="9" s="1"/>
  <c r="L27" i="9" a="1"/>
  <c r="L27" i="9" s="1"/>
  <c r="AK52" i="9" a="1"/>
  <c r="AK52" i="9" s="1"/>
  <c r="AK54" i="9" s="1"/>
  <c r="BI27" i="9" a="1"/>
  <c r="BI27" i="9" s="1"/>
  <c r="BJ52" i="9" a="1"/>
  <c r="BJ52" i="9" s="1"/>
  <c r="BJ54" i="9" s="1"/>
  <c r="BF52" i="9" a="1"/>
  <c r="BF52" i="9" s="1"/>
  <c r="BF54" i="9" s="1"/>
  <c r="AM36" i="9" a="1"/>
  <c r="AM36" i="9" s="1"/>
  <c r="H38" i="9" a="1"/>
  <c r="H38" i="9" s="1"/>
  <c r="AK77" i="12"/>
  <c r="S77" i="12"/>
  <c r="BH82" i="13"/>
  <c r="W36" i="9" a="1"/>
  <c r="W36" i="9" s="1"/>
  <c r="P36" i="9" a="1"/>
  <c r="P36" i="9" s="1"/>
  <c r="BD24" i="13" a="1"/>
  <c r="BD24" i="13" s="1"/>
  <c r="BD80" i="13"/>
  <c r="M27" i="9" a="1"/>
  <c r="M27" i="9" s="1"/>
  <c r="Y27" i="9" a="1"/>
  <c r="Y27" i="9" s="1"/>
  <c r="I36" i="9" a="1"/>
  <c r="I36" i="9" s="1"/>
  <c r="BH151" i="13"/>
  <c r="AP37" i="8" a="1"/>
  <c r="AP37" i="8" s="1"/>
  <c r="AP36" i="8" s="1"/>
  <c r="AP153" i="8" s="1" a="1"/>
  <c r="AP153" i="8" s="1"/>
  <c r="CC34" i="8" a="1"/>
  <c r="CC34" i="8" s="1"/>
  <c r="CC33" i="8" s="1"/>
  <c r="BT34" i="8" a="1"/>
  <c r="BT34" i="8" s="1"/>
  <c r="BT33" i="8" s="1"/>
  <c r="CF34" i="8" a="1"/>
  <c r="CF34" i="8" s="1"/>
  <c r="CF33" i="8" s="1"/>
  <c r="CG34" i="8" a="1"/>
  <c r="CG34" i="8" s="1"/>
  <c r="CG33" i="8" s="1"/>
  <c r="AM34" i="8" a="1"/>
  <c r="AM34" i="8" s="1"/>
  <c r="AM33" i="8" s="1"/>
  <c r="BO34" i="8" a="1"/>
  <c r="BO34" i="8" s="1"/>
  <c r="BO33" i="8" s="1"/>
  <c r="BD34" i="8" a="1"/>
  <c r="BD34" i="8" s="1"/>
  <c r="BD33" i="8" s="1"/>
  <c r="AC37" i="8" a="1"/>
  <c r="AC37" i="8" s="1"/>
  <c r="AC36" i="8" s="1"/>
  <c r="AC153" i="8" s="1" a="1"/>
  <c r="AC153" i="8" s="1"/>
  <c r="BT37" i="8" a="1"/>
  <c r="BT37" i="8" s="1"/>
  <c r="BT36" i="8" s="1"/>
  <c r="BT153" i="8" s="1" a="1"/>
  <c r="BT153" i="8" s="1"/>
  <c r="CA37" i="8" a="1"/>
  <c r="CA37" i="8" s="1"/>
  <c r="CA36" i="8" s="1"/>
  <c r="CA153" i="8" s="1" a="1"/>
  <c r="CA153" i="8" s="1"/>
  <c r="BJ34" i="8" a="1"/>
  <c r="BJ34" i="8" s="1"/>
  <c r="BJ33" i="8" s="1"/>
  <c r="AG37" i="8" a="1"/>
  <c r="AG37" i="8" s="1"/>
  <c r="AG36" i="8" s="1"/>
  <c r="AG153" i="8" s="1" a="1"/>
  <c r="AG153" i="8" s="1"/>
  <c r="AD34" i="8" a="1"/>
  <c r="AD34" i="8" s="1"/>
  <c r="AD33" i="8" s="1"/>
  <c r="BU34" i="8" a="1"/>
  <c r="BU34" i="8" s="1"/>
  <c r="BU33" i="8" s="1"/>
  <c r="AF37" i="8" a="1"/>
  <c r="AF37" i="8" s="1"/>
  <c r="AF36" i="8" s="1"/>
  <c r="AF153" i="8" s="1" a="1"/>
  <c r="AF153" i="8" s="1"/>
  <c r="BY34" i="8" a="1"/>
  <c r="BY34" i="8" s="1"/>
  <c r="BY33" i="8" s="1"/>
  <c r="CD37" i="8" a="1"/>
  <c r="CD37" i="8" s="1"/>
  <c r="CD36" i="8" s="1"/>
  <c r="CD153" i="8" s="1" a="1"/>
  <c r="CD153" i="8" s="1"/>
  <c r="CG37" i="8" a="1"/>
  <c r="CG37" i="8" s="1"/>
  <c r="CG36" i="8" s="1"/>
  <c r="CG153" i="8" s="1" a="1"/>
  <c r="CG153" i="8" s="1"/>
  <c r="U37" i="8" a="1"/>
  <c r="U37" i="8" s="1"/>
  <c r="U36" i="8" s="1"/>
  <c r="U153" i="8" s="1" a="1"/>
  <c r="U153" i="8" s="1"/>
  <c r="BE37" i="8" a="1"/>
  <c r="BE37" i="8" s="1"/>
  <c r="BE36" i="8" s="1"/>
  <c r="BE153" i="8" s="1" a="1"/>
  <c r="BE153" i="8" s="1"/>
  <c r="AW34" i="8" a="1"/>
  <c r="AW34" i="8" s="1"/>
  <c r="AW33" i="8" s="1"/>
  <c r="BV34" i="8" a="1"/>
  <c r="BV34" i="8" s="1"/>
  <c r="BV33" i="8" s="1"/>
  <c r="BF34" i="8" a="1"/>
  <c r="BF34" i="8" s="1"/>
  <c r="BF33" i="8" s="1"/>
  <c r="AU34" i="8" a="1"/>
  <c r="AU34" i="8" s="1"/>
  <c r="AU33" i="8" s="1"/>
  <c r="AO34" i="8" a="1"/>
  <c r="AO34" i="8" s="1"/>
  <c r="AO33" i="8" s="1"/>
  <c r="P37" i="8" a="1"/>
  <c r="P37" i="8" s="1"/>
  <c r="P36" i="8" s="1"/>
  <c r="P153" i="8" s="1" a="1"/>
  <c r="P153" i="8" s="1"/>
  <c r="X37" i="8" a="1"/>
  <c r="X37" i="8" s="1"/>
  <c r="X36" i="8" s="1"/>
  <c r="X153" i="8" s="1" a="1"/>
  <c r="X153" i="8" s="1"/>
  <c r="BZ37" i="8" a="1"/>
  <c r="BZ37" i="8" s="1"/>
  <c r="BZ36" i="8" s="1"/>
  <c r="BZ153" i="8" s="1" a="1"/>
  <c r="BZ153" i="8" s="1"/>
  <c r="BC34" i="8" a="1"/>
  <c r="BC34" i="8" s="1"/>
  <c r="BC33" i="8" s="1"/>
  <c r="AN37" i="8" a="1"/>
  <c r="AN37" i="8" s="1"/>
  <c r="AN36" i="8" s="1"/>
  <c r="AN153" i="8" s="1" a="1"/>
  <c r="AN153" i="8" s="1"/>
  <c r="AD37" i="8" a="1"/>
  <c r="AD37" i="8" s="1"/>
  <c r="AD36" i="8" s="1"/>
  <c r="AD153" i="8" s="1" a="1"/>
  <c r="AD153" i="8" s="1"/>
  <c r="K37" i="8" a="1"/>
  <c r="K37" i="8" s="1"/>
  <c r="K36" i="8" s="1"/>
  <c r="K153" i="8" s="1" a="1"/>
  <c r="K153" i="8" s="1"/>
  <c r="AG34" i="8" a="1"/>
  <c r="AG34" i="8" s="1"/>
  <c r="AG33" i="8" s="1"/>
  <c r="BB34" i="8" a="1"/>
  <c r="BB34" i="8" s="1"/>
  <c r="BB33" i="8" s="1"/>
  <c r="AQ37" i="8" a="1"/>
  <c r="AQ37" i="8" s="1"/>
  <c r="AQ36" i="8" s="1"/>
  <c r="AQ153" i="8" s="1" a="1"/>
  <c r="AQ153" i="8" s="1"/>
  <c r="AL37" i="8" a="1"/>
  <c r="AL37" i="8" s="1"/>
  <c r="AL36" i="8" s="1"/>
  <c r="AL153" i="8" s="1" a="1"/>
  <c r="AL153" i="8" s="1"/>
  <c r="T37" i="8" a="1"/>
  <c r="T37" i="8" s="1"/>
  <c r="T36" i="8" s="1"/>
  <c r="T153" i="8" s="1" a="1"/>
  <c r="T153" i="8" s="1"/>
  <c r="AO37" i="8" a="1"/>
  <c r="AO37" i="8" s="1"/>
  <c r="AO36" i="8" s="1"/>
  <c r="AO153" i="8" s="1" a="1"/>
  <c r="AO153" i="8" s="1"/>
  <c r="BV37" i="8" a="1"/>
  <c r="BV37" i="8" s="1"/>
  <c r="BV36" i="8" s="1"/>
  <c r="BV153" i="8" s="1" a="1"/>
  <c r="BV153" i="8" s="1"/>
  <c r="AB34" i="8" a="1"/>
  <c r="AB34" i="8" s="1"/>
  <c r="AB33" i="8" s="1"/>
  <c r="Y34" i="8" a="1"/>
  <c r="Y34" i="8" s="1"/>
  <c r="Y33" i="8" s="1"/>
  <c r="W37" i="8" a="1"/>
  <c r="W37" i="8" s="1"/>
  <c r="W36" i="8" s="1"/>
  <c r="W153" i="8" s="1" a="1"/>
  <c r="W153" i="8" s="1"/>
  <c r="BB37" i="8" a="1"/>
  <c r="BB37" i="8" s="1"/>
  <c r="BB36" i="8" s="1"/>
  <c r="BB153" i="8" s="1" a="1"/>
  <c r="BB153" i="8" s="1"/>
  <c r="AS34" i="8" a="1"/>
  <c r="AS34" i="8" s="1"/>
  <c r="AS33" i="8" s="1"/>
  <c r="V34" i="8" a="1"/>
  <c r="V34" i="8" s="1"/>
  <c r="V33" i="8" s="1"/>
  <c r="AU37" i="8" a="1"/>
  <c r="AU37" i="8" s="1"/>
  <c r="AU36" i="8" s="1"/>
  <c r="AU153" i="8" s="1" a="1"/>
  <c r="AU153" i="8" s="1"/>
  <c r="BR34" i="8" a="1"/>
  <c r="BR34" i="8" s="1"/>
  <c r="BR33" i="8" s="1"/>
  <c r="AT37" i="8" a="1"/>
  <c r="AT37" i="8" s="1"/>
  <c r="AT36" i="8" s="1"/>
  <c r="AT153" i="8" s="1" a="1"/>
  <c r="AT153" i="8" s="1"/>
  <c r="CB37" i="8" a="1"/>
  <c r="CB37" i="8" s="1"/>
  <c r="CB36" i="8" s="1"/>
  <c r="CB153" i="8" s="1" a="1"/>
  <c r="CB153" i="8" s="1"/>
  <c r="BR37" i="8" a="1"/>
  <c r="BR37" i="8" s="1"/>
  <c r="BR36" i="8" s="1"/>
  <c r="BR153" i="8" s="1" a="1"/>
  <c r="BR153" i="8" s="1"/>
  <c r="AR37" i="8" a="1"/>
  <c r="AR37" i="8" s="1"/>
  <c r="AR36" i="8" s="1"/>
  <c r="AR153" i="8" s="1" a="1"/>
  <c r="AR153" i="8" s="1"/>
  <c r="Z37" i="8" a="1"/>
  <c r="Z37" i="8" s="1"/>
  <c r="Z36" i="8" s="1"/>
  <c r="Z153" i="8" s="1" a="1"/>
  <c r="Z153" i="8" s="1"/>
  <c r="BX37" i="8" a="1"/>
  <c r="BX37" i="8" s="1"/>
  <c r="BX36" i="8" s="1"/>
  <c r="BX153" i="8" s="1" a="1"/>
  <c r="BX153" i="8" s="1"/>
  <c r="BJ37" i="8" a="1"/>
  <c r="BJ37" i="8" s="1"/>
  <c r="BJ36" i="8" s="1"/>
  <c r="BJ153" i="8" s="1" a="1"/>
  <c r="BJ153" i="8" s="1"/>
  <c r="AM37" i="8" a="1"/>
  <c r="AM37" i="8" s="1"/>
  <c r="AM36" i="8" s="1"/>
  <c r="AM153" i="8" s="1" a="1"/>
  <c r="AM153" i="8" s="1"/>
  <c r="BG37" i="8" a="1"/>
  <c r="BG37" i="8" s="1"/>
  <c r="BG36" i="8" s="1"/>
  <c r="BG153" i="8" s="1" a="1"/>
  <c r="BG153" i="8" s="1"/>
  <c r="CF37" i="8" a="1"/>
  <c r="CF37" i="8" s="1"/>
  <c r="CF36" i="8" s="1"/>
  <c r="CF153" i="8" s="1" a="1"/>
  <c r="CF153" i="8" s="1"/>
  <c r="BH37" i="8" a="1"/>
  <c r="BH37" i="8" s="1"/>
  <c r="BH36" i="8" s="1"/>
  <c r="BH153" i="8" s="1" a="1"/>
  <c r="BH153" i="8" s="1"/>
  <c r="BM37" i="8" a="1"/>
  <c r="BM37" i="8" s="1"/>
  <c r="BM36" i="8" s="1"/>
  <c r="BM153" i="8" s="1" a="1"/>
  <c r="BM153" i="8" s="1"/>
  <c r="BK37" i="8" a="1"/>
  <c r="BK37" i="8" s="1"/>
  <c r="BK36" i="8" s="1"/>
  <c r="BK153" i="8" s="1" a="1"/>
  <c r="BK153" i="8" s="1"/>
  <c r="AW37" i="8" a="1"/>
  <c r="AW37" i="8" s="1"/>
  <c r="AW36" i="8" s="1"/>
  <c r="AW153" i="8" s="1" a="1"/>
  <c r="AW153" i="8" s="1"/>
  <c r="BS37" i="8" a="1"/>
  <c r="BS37" i="8" s="1"/>
  <c r="BS36" i="8" s="1"/>
  <c r="BS153" i="8" s="1" a="1"/>
  <c r="BS153" i="8" s="1"/>
  <c r="AI37" i="8" a="1"/>
  <c r="AI37" i="8" s="1"/>
  <c r="AI36" i="8" s="1"/>
  <c r="AI153" i="8" s="1" a="1"/>
  <c r="AI153" i="8" s="1"/>
  <c r="BY37" i="8" a="1"/>
  <c r="BY37" i="8" s="1"/>
  <c r="BY36" i="8" s="1"/>
  <c r="BY153" i="8" s="1" a="1"/>
  <c r="BY153" i="8" s="1"/>
  <c r="BP37" i="8" a="1"/>
  <c r="BP37" i="8" s="1"/>
  <c r="BP36" i="8" s="1"/>
  <c r="BP153" i="8" s="1" a="1"/>
  <c r="BP153" i="8" s="1"/>
  <c r="O37" i="8" a="1"/>
  <c r="O37" i="8" s="1"/>
  <c r="O36" i="8" s="1"/>
  <c r="O153" i="8" s="1" a="1"/>
  <c r="O153" i="8" s="1"/>
  <c r="AS37" i="8" a="1"/>
  <c r="AS37" i="8" s="1"/>
  <c r="AS36" i="8" s="1"/>
  <c r="AS153" i="8" s="1" a="1"/>
  <c r="AS153" i="8" s="1"/>
  <c r="AY37" i="8" a="1"/>
  <c r="AY37" i="8" s="1"/>
  <c r="AY36" i="8" s="1"/>
  <c r="AY153" i="8" s="1" a="1"/>
  <c r="AY153" i="8" s="1"/>
  <c r="CE37" i="8" a="1"/>
  <c r="CE37" i="8" s="1"/>
  <c r="CE36" i="8" s="1"/>
  <c r="CE153" i="8" s="1" a="1"/>
  <c r="CE153" i="8" s="1"/>
  <c r="BC37" i="8" a="1"/>
  <c r="BC37" i="8" s="1"/>
  <c r="BC36" i="8" s="1"/>
  <c r="BC153" i="8" s="1" a="1"/>
  <c r="BC153" i="8" s="1"/>
  <c r="BL37" i="8" a="1"/>
  <c r="BL37" i="8" s="1"/>
  <c r="BL36" i="8" s="1"/>
  <c r="BL153" i="8" s="1" a="1"/>
  <c r="BL153" i="8" s="1"/>
  <c r="AB37" i="8" a="1"/>
  <c r="AB37" i="8" s="1"/>
  <c r="AB36" i="8" s="1"/>
  <c r="AB153" i="8" s="1" a="1"/>
  <c r="AB153" i="8" s="1"/>
  <c r="J37" i="8" a="1"/>
  <c r="J37" i="8" s="1"/>
  <c r="J36" i="8" s="1"/>
  <c r="J153" i="8" s="1" a="1"/>
  <c r="J153" i="8" s="1"/>
  <c r="V37" i="8" a="1"/>
  <c r="V37" i="8" s="1"/>
  <c r="V36" i="8" s="1"/>
  <c r="V153" i="8" s="1" a="1"/>
  <c r="V153" i="8" s="1"/>
  <c r="AX37" i="8" a="1"/>
  <c r="AX37" i="8" s="1"/>
  <c r="AX36" i="8" s="1"/>
  <c r="AX153" i="8" s="1" a="1"/>
  <c r="AX153" i="8" s="1"/>
  <c r="AH37" i="8" a="1"/>
  <c r="AH37" i="8" s="1"/>
  <c r="AH36" i="8" s="1"/>
  <c r="AH153" i="8" s="1" a="1"/>
  <c r="AH153" i="8" s="1"/>
  <c r="BQ37" i="8" a="1"/>
  <c r="BQ37" i="8" s="1"/>
  <c r="BQ36" i="8" s="1"/>
  <c r="BQ153" i="8" s="1" a="1"/>
  <c r="BQ153" i="8" s="1"/>
  <c r="AZ37" i="8" a="1"/>
  <c r="AZ37" i="8" s="1"/>
  <c r="AZ36" i="8" s="1"/>
  <c r="AZ153" i="8" s="1" a="1"/>
  <c r="AZ153" i="8" s="1"/>
  <c r="BN37" i="8" a="1"/>
  <c r="BN37" i="8" s="1"/>
  <c r="BN36" i="8" s="1"/>
  <c r="BN153" i="8" s="1" a="1"/>
  <c r="BN153" i="8" s="1"/>
  <c r="BA37" i="8" a="1"/>
  <c r="BA37" i="8" s="1"/>
  <c r="BA36" i="8" s="1"/>
  <c r="BA153" i="8" s="1" a="1"/>
  <c r="BA153" i="8" s="1"/>
  <c r="BD37" i="8" a="1"/>
  <c r="BD37" i="8" s="1"/>
  <c r="BD36" i="8" s="1"/>
  <c r="BD153" i="8" s="1" a="1"/>
  <c r="BD153" i="8" s="1"/>
  <c r="Y37" i="8" a="1"/>
  <c r="Y37" i="8" s="1"/>
  <c r="Y36" i="8" s="1"/>
  <c r="Y153" i="8" s="1" a="1"/>
  <c r="Y153" i="8" s="1"/>
  <c r="AA37" i="8" a="1"/>
  <c r="AA37" i="8" s="1"/>
  <c r="AA36" i="8" s="1"/>
  <c r="AA153" i="8" s="1" a="1"/>
  <c r="AA153" i="8" s="1"/>
  <c r="BI37" i="8" a="1"/>
  <c r="BI37" i="8" s="1"/>
  <c r="BI36" i="8" s="1"/>
  <c r="BI153" i="8" s="1" a="1"/>
  <c r="BI153" i="8" s="1"/>
  <c r="BU37" i="8" a="1"/>
  <c r="BU37" i="8" s="1"/>
  <c r="BU36" i="8" s="1"/>
  <c r="BU153" i="8" s="1" a="1"/>
  <c r="BU153" i="8" s="1"/>
  <c r="BW37" i="8" a="1"/>
  <c r="BW37" i="8" s="1"/>
  <c r="BW36" i="8" s="1"/>
  <c r="BW153" i="8" s="1" a="1"/>
  <c r="BW153" i="8" s="1"/>
  <c r="Q37" i="8" a="1"/>
  <c r="Q37" i="8" s="1"/>
  <c r="Q36" i="8" s="1"/>
  <c r="Q153" i="8" s="1" a="1"/>
  <c r="Q153" i="8" s="1"/>
  <c r="CC37" i="8" a="1"/>
  <c r="CC37" i="8" s="1"/>
  <c r="CC36" i="8" s="1"/>
  <c r="CC153" i="8" s="1" a="1"/>
  <c r="CC153" i="8" s="1"/>
  <c r="AY34" i="8" a="1"/>
  <c r="AY34" i="8" s="1"/>
  <c r="AY33" i="8" s="1"/>
  <c r="J34" i="8" a="1"/>
  <c r="J34" i="8" s="1"/>
  <c r="J33" i="8" s="1"/>
  <c r="BS34" i="8" a="1"/>
  <c r="BS34" i="8" s="1"/>
  <c r="BS33" i="8" s="1"/>
  <c r="AE37" i="8" a="1"/>
  <c r="AE37" i="8" s="1"/>
  <c r="AE36" i="8" s="1"/>
  <c r="AE153" i="8" s="1" a="1"/>
  <c r="AE153" i="8" s="1"/>
  <c r="CB34" i="8" a="1"/>
  <c r="CB34" i="8" s="1"/>
  <c r="CB33" i="8" s="1"/>
  <c r="CD34" i="8" a="1"/>
  <c r="CD34" i="8" s="1"/>
  <c r="CD33" i="8" s="1"/>
  <c r="AF34" i="8" a="1"/>
  <c r="AF34" i="8" s="1"/>
  <c r="AF33" i="8" s="1"/>
  <c r="N37" i="8" a="1"/>
  <c r="N37" i="8" s="1"/>
  <c r="N36" i="8" s="1"/>
  <c r="N153" i="8" s="1" a="1"/>
  <c r="N153" i="8" s="1"/>
  <c r="AL34" i="8" a="1"/>
  <c r="AL34" i="8" s="1"/>
  <c r="AL33" i="8" s="1"/>
  <c r="Q34" i="8" a="1"/>
  <c r="Q34" i="8" s="1"/>
  <c r="Q33" i="8" s="1"/>
  <c r="U34" i="8" a="1"/>
  <c r="U34" i="8" s="1"/>
  <c r="U33" i="8" s="1"/>
  <c r="BF37" i="8" a="1"/>
  <c r="BF37" i="8" s="1"/>
  <c r="BF36" i="8" s="1"/>
  <c r="BF153" i="8" s="1" a="1"/>
  <c r="BF153" i="8" s="1"/>
  <c r="BP34" i="8" a="1"/>
  <c r="BP34" i="8" s="1"/>
  <c r="BP33" i="8" s="1"/>
  <c r="AI34" i="8" a="1"/>
  <c r="AI34" i="8" s="1"/>
  <c r="AI33" i="8" s="1"/>
  <c r="AT34" i="8" a="1"/>
  <c r="AT34" i="8" s="1"/>
  <c r="AT33" i="8" s="1"/>
  <c r="K34" i="8" a="1"/>
  <c r="K34" i="8" s="1"/>
  <c r="K33" i="8" s="1"/>
  <c r="BH34" i="8" a="1"/>
  <c r="BH34" i="8" s="1"/>
  <c r="BH33" i="8" s="1"/>
  <c r="AZ34" i="8" a="1"/>
  <c r="AZ34" i="8" s="1"/>
  <c r="AZ33" i="8" s="1"/>
  <c r="T34" i="8" a="1"/>
  <c r="T34" i="8" s="1"/>
  <c r="T33" i="8" s="1"/>
  <c r="N34" i="8" a="1"/>
  <c r="N34" i="8" s="1"/>
  <c r="N33" i="8" s="1"/>
  <c r="CE34" i="8" a="1"/>
  <c r="CE34" i="8" s="1"/>
  <c r="CE33" i="8" s="1"/>
  <c r="AC34" i="8" a="1"/>
  <c r="AC34" i="8" s="1"/>
  <c r="AC33" i="8" s="1"/>
  <c r="BE34" i="8" a="1"/>
  <c r="BE34" i="8" s="1"/>
  <c r="BE33" i="8" s="1"/>
  <c r="AA34" i="8" a="1"/>
  <c r="AA34" i="8" s="1"/>
  <c r="AA33" i="8" s="1"/>
  <c r="CA34" i="8" a="1"/>
  <c r="CA34" i="8" s="1"/>
  <c r="CA33" i="8" s="1"/>
  <c r="BW34" i="8" a="1"/>
  <c r="BW34" i="8" s="1"/>
  <c r="BW33" i="8" s="1"/>
  <c r="P34" i="8" a="1"/>
  <c r="P34" i="8" s="1"/>
  <c r="P33" i="8" s="1"/>
  <c r="BN34" i="8" a="1"/>
  <c r="BN34" i="8" s="1"/>
  <c r="BN33" i="8" s="1"/>
  <c r="BM34" i="8" a="1"/>
  <c r="BM34" i="8" s="1"/>
  <c r="BM33" i="8" s="1"/>
  <c r="W34" i="8" a="1"/>
  <c r="W34" i="8" s="1"/>
  <c r="W33" i="8" s="1"/>
  <c r="BI34" i="8" a="1"/>
  <c r="BI34" i="8" s="1"/>
  <c r="BI33" i="8" s="1"/>
  <c r="BG34" i="8" a="1"/>
  <c r="BG34" i="8" s="1"/>
  <c r="BG33" i="8" s="1"/>
  <c r="AV34" i="8" a="1"/>
  <c r="AV34" i="8" s="1"/>
  <c r="AV33" i="8" s="1"/>
  <c r="BQ34" i="8" a="1"/>
  <c r="BQ34" i="8" s="1"/>
  <c r="BQ33" i="8" s="1"/>
  <c r="O34" i="8" a="1"/>
  <c r="O34" i="8" s="1"/>
  <c r="O33" i="8" s="1"/>
  <c r="AP34" i="8" a="1"/>
  <c r="AP34" i="8" s="1"/>
  <c r="AP33" i="8" s="1"/>
  <c r="AR34" i="8" a="1"/>
  <c r="AR34" i="8" s="1"/>
  <c r="AR33" i="8" s="1"/>
  <c r="AE34" i="8" a="1"/>
  <c r="AE34" i="8" s="1"/>
  <c r="AE33" i="8" s="1"/>
  <c r="BA34" i="8" a="1"/>
  <c r="BA34" i="8" s="1"/>
  <c r="BA33" i="8" s="1"/>
  <c r="BZ34" i="8" a="1"/>
  <c r="BZ34" i="8" s="1"/>
  <c r="BZ33" i="8" s="1"/>
  <c r="X34" i="8" a="1"/>
  <c r="X34" i="8" s="1"/>
  <c r="X33" i="8" s="1"/>
  <c r="AQ34" i="8" a="1"/>
  <c r="AQ34" i="8" s="1"/>
  <c r="AQ33" i="8" s="1"/>
  <c r="BL34" i="8" a="1"/>
  <c r="BL34" i="8" s="1"/>
  <c r="BL33" i="8" s="1"/>
  <c r="AX34" i="8" a="1"/>
  <c r="AX34" i="8" s="1"/>
  <c r="AX33" i="8" s="1"/>
  <c r="BK34" i="8" a="1"/>
  <c r="BK34" i="8" s="1"/>
  <c r="BK33" i="8" s="1"/>
  <c r="BX34" i="8" a="1"/>
  <c r="BX34" i="8" s="1"/>
  <c r="BX33" i="8" s="1"/>
  <c r="AN34" i="8" a="1"/>
  <c r="AN34" i="8" s="1"/>
  <c r="AN33" i="8" s="1"/>
  <c r="AH34" i="8" a="1"/>
  <c r="AH34" i="8" s="1"/>
  <c r="AH33" i="8" s="1"/>
  <c r="Z34" i="8" a="1"/>
  <c r="Z34" i="8" s="1"/>
  <c r="Z33" i="8" s="1"/>
  <c r="BO37" i="8" a="1"/>
  <c r="BO37" i="8" s="1"/>
  <c r="BO36" i="8" s="1"/>
  <c r="BO153" i="8" s="1" a="1"/>
  <c r="BO153" i="8" s="1"/>
  <c r="BD94" i="13"/>
  <c r="BD32" i="13" a="1"/>
  <c r="BD32" i="13" s="1"/>
  <c r="BD36" i="9" a="1"/>
  <c r="BD36" i="9" s="1"/>
  <c r="AX27" i="9" a="1"/>
  <c r="AX27" i="9" s="1"/>
  <c r="AQ38" i="9" a="1"/>
  <c r="AQ38" i="9" s="1"/>
  <c r="I52" i="9" a="1"/>
  <c r="I52" i="9" s="1"/>
  <c r="I54" i="9" s="1"/>
  <c r="AP52" i="9" a="1"/>
  <c r="AP52" i="9" s="1"/>
  <c r="AP54" i="9" s="1"/>
  <c r="U52" i="9" a="1"/>
  <c r="U52" i="9" s="1"/>
  <c r="U54" i="9" s="1"/>
  <c r="G52" i="9" a="1"/>
  <c r="G52" i="9" s="1"/>
  <c r="G54" i="9" s="1"/>
  <c r="Y36" i="9" a="1"/>
  <c r="Y36" i="9" s="1"/>
  <c r="N38" i="9" a="1"/>
  <c r="N38" i="9" s="1"/>
  <c r="BP36" i="9" a="1"/>
  <c r="BP36" i="9" s="1"/>
  <c r="V37" i="9" a="1"/>
  <c r="V37" i="9" s="1"/>
  <c r="AI36" i="9" a="1"/>
  <c r="AI36" i="9" s="1"/>
  <c r="V38" i="9" a="1"/>
  <c r="V38" i="9" s="1"/>
  <c r="BH28" i="13" a="1"/>
  <c r="BH28" i="13" s="1"/>
  <c r="AH36" i="9" a="1"/>
  <c r="AH36" i="9" s="1"/>
  <c r="BL36" i="9" a="1"/>
  <c r="BL36" i="9" s="1"/>
  <c r="BR27" i="9" a="1"/>
  <c r="BR27" i="9" s="1"/>
  <c r="H52" i="9" a="1"/>
  <c r="H52" i="9" s="1"/>
  <c r="H54" i="9" s="1"/>
  <c r="BL52" i="9" a="1"/>
  <c r="BL52" i="9" s="1"/>
  <c r="BL54" i="9" s="1"/>
  <c r="AY52" i="9" a="1"/>
  <c r="AY52" i="9" s="1"/>
  <c r="AY54" i="9" s="1"/>
  <c r="Y52" i="9" a="1"/>
  <c r="Y52" i="9" s="1"/>
  <c r="Y54" i="9" s="1"/>
  <c r="BU52" i="9" a="1"/>
  <c r="BU52" i="9" s="1"/>
  <c r="BU54" i="9" s="1"/>
  <c r="Z52" i="9" a="1"/>
  <c r="Z52" i="9" s="1"/>
  <c r="Z54" i="9" s="1"/>
  <c r="AO52" i="9" a="1"/>
  <c r="AO52" i="9" s="1"/>
  <c r="AO54" i="9" s="1"/>
  <c r="BS36" i="9" a="1"/>
  <c r="BS36" i="9" s="1"/>
  <c r="BH95" i="13"/>
  <c r="AK93" i="12"/>
  <c r="S93" i="12"/>
  <c r="T36" i="9" a="1"/>
  <c r="T36" i="9" s="1"/>
  <c r="AG36" i="9" a="1"/>
  <c r="AG36" i="9" s="1"/>
  <c r="BW37" i="9" a="1"/>
  <c r="BW37" i="9" s="1"/>
  <c r="V36" i="9" a="1"/>
  <c r="V36" i="9" s="1"/>
  <c r="AY38" i="9" a="1"/>
  <c r="AY38" i="9" s="1"/>
  <c r="BR16" i="9" a="1"/>
  <c r="BR16" i="9" s="1"/>
  <c r="BF16" i="9" a="1"/>
  <c r="BF16" i="9" s="1"/>
  <c r="BY36" i="9" a="1"/>
  <c r="BY36" i="9" s="1"/>
  <c r="AQ36" i="9" a="1"/>
  <c r="AQ36" i="9" s="1"/>
  <c r="AP27" i="9" a="1"/>
  <c r="AP27" i="9" s="1"/>
  <c r="P38" i="9" a="1"/>
  <c r="P38" i="9" s="1"/>
  <c r="I27" i="9" a="1"/>
  <c r="I27" i="9" s="1"/>
  <c r="BN52" i="9" a="1"/>
  <c r="BN52" i="9" s="1"/>
  <c r="BN54" i="9" s="1"/>
  <c r="AU52" i="9" a="1"/>
  <c r="AU52" i="9" s="1"/>
  <c r="AU54" i="9" s="1"/>
  <c r="AQ52" i="9" a="1"/>
  <c r="AQ52" i="9" s="1"/>
  <c r="AQ54" i="9" s="1"/>
  <c r="BB38" i="9" a="1"/>
  <c r="BB38" i="9" s="1"/>
  <c r="AV52" i="9" a="1"/>
  <c r="AV52" i="9" s="1"/>
  <c r="AV54" i="9" s="1"/>
  <c r="AW36" i="9" a="1"/>
  <c r="AW36" i="9" s="1"/>
  <c r="AR36" i="9" a="1"/>
  <c r="AR36" i="9" s="1"/>
  <c r="BF36" i="9" a="1"/>
  <c r="BF36" i="9" s="1"/>
  <c r="BB37" i="9" a="1"/>
  <c r="BB37" i="9" s="1"/>
  <c r="BH36" i="9" a="1"/>
  <c r="BH36" i="9" s="1"/>
  <c r="AA36" i="9" a="1"/>
  <c r="AA36" i="9" s="1"/>
  <c r="BJ27" i="9" a="1"/>
  <c r="BJ27" i="9" s="1"/>
  <c r="BY27" i="9" a="1"/>
  <c r="BY27" i="9" s="1"/>
  <c r="AL52" i="9" a="1"/>
  <c r="AL52" i="9" s="1"/>
  <c r="AL54" i="9" s="1"/>
  <c r="BQ52" i="9" a="1"/>
  <c r="BQ52" i="9" s="1"/>
  <c r="BQ54" i="9" s="1"/>
  <c r="BY52" i="9" a="1"/>
  <c r="BY52" i="9" s="1"/>
  <c r="BY54" i="9" s="1"/>
  <c r="X52" i="9" a="1"/>
  <c r="X52" i="9" s="1"/>
  <c r="X54" i="9" s="1"/>
  <c r="BS52" i="9" a="1"/>
  <c r="BS52" i="9" s="1"/>
  <c r="BS54" i="9" s="1"/>
  <c r="BO36" i="9" a="1"/>
  <c r="BO36" i="9" s="1"/>
  <c r="AD38" i="9" a="1"/>
  <c r="AD38" i="9" s="1"/>
  <c r="BT36" i="9" a="1"/>
  <c r="BT36" i="9" s="1"/>
  <c r="V36" i="11" a="1"/>
  <c r="V36" i="11" s="1"/>
  <c r="AW36" i="11" a="1"/>
  <c r="AW36" i="11" s="1"/>
  <c r="AJ36" i="11" a="1"/>
  <c r="AJ36" i="11" s="1"/>
  <c r="BD36" i="11" a="1"/>
  <c r="BD36" i="11" s="1"/>
  <c r="BX36" i="11" a="1"/>
  <c r="BX36" i="11" s="1"/>
  <c r="BL36" i="11" a="1"/>
  <c r="BL36" i="11" s="1"/>
  <c r="BH37" i="9" a="1"/>
  <c r="BH37" i="9" s="1"/>
  <c r="BH48" i="13"/>
  <c r="BN34" i="9" s="1" a="1"/>
  <c r="BN34" i="9" s="1"/>
  <c r="S30" i="12"/>
  <c r="AK30" i="12"/>
  <c r="P27" i="9" a="1"/>
  <c r="P27" i="9" s="1"/>
  <c r="AU36" i="9" a="1"/>
  <c r="AU36" i="9" s="1"/>
  <c r="AL27" i="9" a="1"/>
  <c r="AL27" i="9" s="1"/>
  <c r="BD38" i="9" a="1"/>
  <c r="BD38" i="9" s="1"/>
  <c r="BE38" i="9" a="1"/>
  <c r="BE38" i="9" s="1"/>
  <c r="R38" i="9" a="1"/>
  <c r="R38" i="9" s="1"/>
  <c r="BS38" i="9" a="1"/>
  <c r="BS38" i="9" s="1"/>
  <c r="BH38" i="9" a="1"/>
  <c r="BH38" i="9" s="1"/>
  <c r="AT38" i="9" a="1"/>
  <c r="AT38" i="9" s="1"/>
  <c r="AE38" i="9" a="1"/>
  <c r="AE38" i="9" s="1"/>
  <c r="AR38" i="9" a="1"/>
  <c r="AR38" i="9" s="1"/>
  <c r="AL38" i="9" a="1"/>
  <c r="AL38" i="9" s="1"/>
  <c r="AZ38" i="9" a="1"/>
  <c r="AZ38" i="9" s="1"/>
  <c r="AU38" i="9" a="1"/>
  <c r="AU38" i="9" s="1"/>
  <c r="BN38" i="9" a="1"/>
  <c r="BN38" i="9" s="1"/>
  <c r="AX38" i="9" a="1"/>
  <c r="AX38" i="9" s="1"/>
  <c r="BI38" i="9" a="1"/>
  <c r="BI38" i="9" s="1"/>
  <c r="AM38" i="9" a="1"/>
  <c r="AM38" i="9" s="1"/>
  <c r="F38" i="9" a="1"/>
  <c r="F38" i="9" s="1"/>
  <c r="AO38" i="9" a="1"/>
  <c r="AO38" i="9" s="1"/>
  <c r="AA38" i="9" a="1"/>
  <c r="AA38" i="9" s="1"/>
  <c r="BX38" i="9" a="1"/>
  <c r="BX38" i="9" s="1"/>
  <c r="BT38" i="9" a="1"/>
  <c r="BT38" i="9" s="1"/>
  <c r="O38" i="9" a="1"/>
  <c r="O38" i="9" s="1"/>
  <c r="S38" i="9" a="1"/>
  <c r="S38" i="9" s="1"/>
  <c r="AP38" i="9" a="1"/>
  <c r="AP38" i="9" s="1"/>
  <c r="AK27" i="9" a="1"/>
  <c r="AK27" i="9" s="1"/>
  <c r="BX27" i="9" a="1"/>
  <c r="BX27" i="9" s="1"/>
  <c r="BA36" i="9" a="1"/>
  <c r="BA36" i="9" s="1"/>
  <c r="O36" i="9" a="1"/>
  <c r="O36" i="9" s="1"/>
  <c r="AJ27" i="9" a="1"/>
  <c r="AJ27" i="9" s="1"/>
  <c r="AA52" i="9" a="1"/>
  <c r="AA52" i="9" s="1"/>
  <c r="AA54" i="9" s="1"/>
  <c r="AR27" i="9" a="1"/>
  <c r="AR27" i="9" s="1"/>
  <c r="AG52" i="9" a="1"/>
  <c r="AG52" i="9" s="1"/>
  <c r="AG54" i="9" s="1"/>
  <c r="BO52" i="9" a="1"/>
  <c r="BO52" i="9" s="1"/>
  <c r="BO54" i="9" s="1"/>
  <c r="BX52" i="9" a="1"/>
  <c r="BX52" i="9" s="1"/>
  <c r="BX54" i="9" s="1"/>
  <c r="AD52" i="9" a="1"/>
  <c r="AD52" i="9" s="1"/>
  <c r="AD54" i="9" s="1"/>
  <c r="S52" i="9" a="1"/>
  <c r="S52" i="9" s="1"/>
  <c r="S54" i="9" s="1"/>
  <c r="AT52" i="9" a="1"/>
  <c r="AT52" i="9" s="1"/>
  <c r="AT54" i="9" s="1"/>
  <c r="BL27" i="9" a="1"/>
  <c r="BL27" i="9" s="1"/>
  <c r="BF38" i="9" a="1"/>
  <c r="BF38" i="9" s="1"/>
  <c r="AK90" i="12"/>
  <c r="S90" i="12"/>
  <c r="BH92" i="13"/>
  <c r="BV38" i="9" a="1"/>
  <c r="BV38" i="9" s="1"/>
  <c r="S36" i="9" a="1"/>
  <c r="S36" i="9" s="1"/>
  <c r="BE36" i="9" a="1"/>
  <c r="BE36" i="9" s="1"/>
  <c r="AV36" i="9" a="1"/>
  <c r="AV36" i="9" s="1"/>
  <c r="BT27" i="9" a="1"/>
  <c r="BT27" i="9" s="1"/>
  <c r="BH27" i="9" a="1"/>
  <c r="BH27" i="9" s="1"/>
  <c r="S27" i="9" a="1"/>
  <c r="S27" i="9" s="1"/>
  <c r="AM27" i="9" a="1"/>
  <c r="AM27" i="9" s="1"/>
  <c r="AF52" i="9" a="1"/>
  <c r="AF52" i="9" s="1"/>
  <c r="AF54" i="9" s="1"/>
  <c r="BP52" i="9" a="1"/>
  <c r="BP52" i="9" s="1"/>
  <c r="BP54" i="9" s="1"/>
  <c r="BD52" i="9" a="1"/>
  <c r="BD52" i="9" s="1"/>
  <c r="BD54" i="9" s="1"/>
  <c r="BC38" i="9" a="1"/>
  <c r="BC38" i="9" s="1"/>
  <c r="BG81" i="13"/>
  <c r="BG27" i="13" a="1"/>
  <c r="BG27" i="13" s="1"/>
  <c r="BE59" i="13"/>
  <c r="BE16" i="13" a="1"/>
  <c r="BE16" i="13" s="1"/>
  <c r="U36" i="9" a="1"/>
  <c r="U36" i="9" s="1"/>
  <c r="W27" i="9" a="1"/>
  <c r="W27" i="9" s="1"/>
  <c r="BH64" i="13"/>
  <c r="BH17" i="13" a="1"/>
  <c r="BH17" i="13" s="1"/>
  <c r="S46" i="12"/>
  <c r="X36" i="9" a="1"/>
  <c r="X36" i="9" s="1"/>
  <c r="F27" i="9" a="1"/>
  <c r="F27" i="9" s="1"/>
  <c r="AS52" i="9" a="1"/>
  <c r="AS52" i="9" s="1"/>
  <c r="AS54" i="9" s="1"/>
  <c r="AT27" i="9" a="1"/>
  <c r="AT27" i="9" s="1"/>
  <c r="BA27" i="9" a="1"/>
  <c r="BA27" i="9" s="1"/>
  <c r="BV27" i="9" a="1"/>
  <c r="BV27" i="9" s="1"/>
  <c r="G38" i="9" a="1"/>
  <c r="G38" i="9" s="1"/>
  <c r="U27" i="9" a="1"/>
  <c r="U27" i="9" s="1"/>
  <c r="BB27" i="9" a="1"/>
  <c r="BB27" i="9" s="1"/>
  <c r="BP27" i="9" a="1"/>
  <c r="BP27" i="9" s="1"/>
  <c r="BH52" i="9" a="1"/>
  <c r="BH52" i="9" s="1"/>
  <c r="BH54" i="9" s="1"/>
  <c r="W52" i="9" a="1"/>
  <c r="W52" i="9" s="1"/>
  <c r="W54" i="9" s="1"/>
  <c r="X27" i="9" a="1"/>
  <c r="X27" i="9" s="1"/>
  <c r="BG17" i="13" a="1"/>
  <c r="BG17" i="13" s="1"/>
  <c r="BG64" i="13"/>
  <c r="Q36" i="9" a="1"/>
  <c r="Q36" i="9" s="1"/>
  <c r="W38" i="9" a="1"/>
  <c r="W38" i="9" s="1"/>
  <c r="CJ76" i="12" a="1"/>
  <c r="CJ76" i="12" s="1"/>
  <c r="F37" i="9" a="1"/>
  <c r="F37" i="9" s="1"/>
  <c r="O27" i="9" a="1"/>
  <c r="O27" i="9" s="1"/>
  <c r="BP38" i="9" a="1"/>
  <c r="BP38" i="9" s="1"/>
  <c r="BW27" i="9" a="1"/>
  <c r="BW27" i="9" s="1"/>
  <c r="BF27" i="9" a="1"/>
  <c r="BF27" i="9" s="1"/>
  <c r="BQ27" i="9" a="1"/>
  <c r="BQ27" i="9" s="1"/>
  <c r="AS27" i="9" a="1"/>
  <c r="AS27" i="9" s="1"/>
  <c r="AH27" i="9" a="1"/>
  <c r="AH27" i="9" s="1"/>
  <c r="AW27" i="9" a="1"/>
  <c r="AW27" i="9" s="1"/>
  <c r="AZ27" i="9" a="1"/>
  <c r="AZ27" i="9" s="1"/>
  <c r="V52" i="9" a="1"/>
  <c r="V52" i="9" s="1"/>
  <c r="V54" i="9" s="1"/>
  <c r="AZ52" i="9" a="1"/>
  <c r="AZ52" i="9" s="1"/>
  <c r="AZ54" i="9" s="1"/>
  <c r="BR52" i="9" a="1"/>
  <c r="BR52" i="9" s="1"/>
  <c r="BR54" i="9" s="1"/>
  <c r="AE52" i="9" a="1"/>
  <c r="AE52" i="9" s="1"/>
  <c r="AE54" i="9" s="1"/>
  <c r="AV38" i="9" a="1"/>
  <c r="AV38" i="9" s="1"/>
  <c r="AK46" i="12"/>
  <c r="CI41" i="12" a="1"/>
  <c r="CI41" i="12" s="1"/>
  <c r="AV37" i="9" a="1"/>
  <c r="AV37" i="9" s="1"/>
  <c r="AL36" i="9" a="1"/>
  <c r="AL36" i="9" s="1"/>
  <c r="BY38" i="9" a="1"/>
  <c r="BY38" i="9" s="1"/>
  <c r="AH37" i="9" a="1"/>
  <c r="AH37" i="9" s="1"/>
  <c r="BM36" i="9" a="1"/>
  <c r="BM36" i="9" s="1"/>
  <c r="BE13" i="13" a="1"/>
  <c r="BE13" i="13" s="1"/>
  <c r="BE47" i="13"/>
  <c r="CG26" i="12"/>
  <c r="BN27" i="9" a="1"/>
  <c r="BN27" i="9" s="1"/>
  <c r="BM52" i="9" a="1"/>
  <c r="BM52" i="9" s="1"/>
  <c r="BM54" i="9" s="1"/>
  <c r="AY27" i="9" a="1"/>
  <c r="AY27" i="9" s="1"/>
  <c r="H27" i="9" a="1"/>
  <c r="H27" i="9" s="1"/>
  <c r="BG27" i="9" a="1"/>
  <c r="BG27" i="9" s="1"/>
  <c r="AN27" i="9" a="1"/>
  <c r="AN27" i="9" s="1"/>
  <c r="BB52" i="9" a="1"/>
  <c r="BB52" i="9" s="1"/>
  <c r="BB54" i="9" s="1"/>
  <c r="BK52" i="9" a="1"/>
  <c r="BK52" i="9" s="1"/>
  <c r="BK54" i="9" s="1"/>
  <c r="BG52" i="9" a="1"/>
  <c r="BG52" i="9" s="1"/>
  <c r="BG54" i="9" s="1"/>
  <c r="AN52" i="9" a="1"/>
  <c r="AN52" i="9" s="1"/>
  <c r="AN54" i="9" s="1"/>
  <c r="BV36" i="9" a="1"/>
  <c r="BV36" i="9" s="1"/>
  <c r="Z38" i="9" a="1"/>
  <c r="Z38" i="9" s="1"/>
  <c r="BG36" i="9" a="1"/>
  <c r="BG36" i="9" s="1"/>
  <c r="N37" i="9" a="1"/>
  <c r="N37" i="9" s="1"/>
  <c r="BW36" i="9" a="1"/>
  <c r="BW36" i="9" s="1"/>
  <c r="N16" i="9" a="1"/>
  <c r="N16" i="9" s="1"/>
  <c r="AS36" i="9" a="1"/>
  <c r="AS36" i="9" s="1"/>
  <c r="AK36" i="9" a="1"/>
  <c r="AK36" i="9" s="1"/>
  <c r="AV27" i="9" a="1"/>
  <c r="AV27" i="9" s="1"/>
  <c r="BR36" i="9" a="1"/>
  <c r="BR36" i="9" s="1"/>
  <c r="BN36" i="9" a="1"/>
  <c r="BN36" i="9" s="1"/>
  <c r="BQ38" i="9" a="1"/>
  <c r="BQ38" i="9" s="1"/>
  <c r="R27" i="9" a="1"/>
  <c r="R27" i="9" s="1"/>
  <c r="AF38" i="9" a="1"/>
  <c r="AF38" i="9" s="1"/>
  <c r="Q27" i="9" a="1"/>
  <c r="Q27" i="9" s="1"/>
  <c r="BE27" i="9" a="1"/>
  <c r="BE27" i="9" s="1"/>
  <c r="BS27" i="9" a="1"/>
  <c r="BS27" i="9" s="1"/>
  <c r="BA38" i="9" a="1"/>
  <c r="BA38" i="9" s="1"/>
  <c r="AW52" i="9" a="1"/>
  <c r="AW52" i="9" s="1"/>
  <c r="AW54" i="9" s="1"/>
  <c r="N52" i="9" a="1"/>
  <c r="N52" i="9" s="1"/>
  <c r="N54" i="9" s="1"/>
  <c r="AX52" i="9" a="1"/>
  <c r="AX52" i="9" s="1"/>
  <c r="AX54" i="9" s="1"/>
  <c r="BA52" i="9" a="1"/>
  <c r="BA52" i="9" s="1"/>
  <c r="BA54" i="9" s="1"/>
  <c r="BW52" i="9" a="1"/>
  <c r="BW52" i="9" s="1"/>
  <c r="BW54" i="9" s="1"/>
  <c r="BG55" i="13"/>
  <c r="BG18" i="13" a="1"/>
  <c r="BG18" i="13" s="1"/>
  <c r="BU36" i="9" a="1"/>
  <c r="BU36" i="9" s="1"/>
  <c r="AJ38" i="9" a="1"/>
  <c r="AJ38" i="9" s="1"/>
  <c r="BF59" i="13"/>
  <c r="BF16" i="13" a="1"/>
  <c r="BF16" i="13" s="1"/>
  <c r="BU37" i="9" a="1"/>
  <c r="BU37" i="9" s="1"/>
  <c r="X37" i="9" a="1"/>
  <c r="X37" i="9" s="1"/>
  <c r="M36" i="9" a="1"/>
  <c r="M36" i="9" s="1"/>
  <c r="BN37" i="9" a="1"/>
  <c r="BN37" i="9" s="1"/>
  <c r="AJ41" i="12"/>
  <c r="AQ27" i="9" a="1"/>
  <c r="AQ27" i="9" s="1"/>
  <c r="BK36" i="9" a="1"/>
  <c r="BK36" i="9" s="1"/>
  <c r="N36" i="9" a="1"/>
  <c r="N36" i="9" s="1"/>
  <c r="AG38" i="9" a="1"/>
  <c r="AG38" i="9" s="1"/>
  <c r="AN38" i="9" a="1"/>
  <c r="AN38" i="9" s="1"/>
  <c r="AA27" i="9" a="1"/>
  <c r="AA27" i="9" s="1"/>
  <c r="BT52" i="9" a="1"/>
  <c r="BT52" i="9" s="1"/>
  <c r="BT54" i="9" s="1"/>
  <c r="T52" i="9" a="1"/>
  <c r="T52" i="9" s="1"/>
  <c r="T54" i="9" s="1"/>
  <c r="BV52" i="9" a="1"/>
  <c r="BV52" i="9" s="1"/>
  <c r="BV54" i="9" s="1"/>
  <c r="AX36" i="9" a="1"/>
  <c r="AX36" i="9" s="1"/>
  <c r="BF47" i="13"/>
  <c r="BF13" i="13" a="1"/>
  <c r="BF13" i="13" s="1"/>
  <c r="CH26" i="12"/>
  <c r="BR38" i="9" a="1"/>
  <c r="BR38" i="9" s="1"/>
  <c r="BM16" i="9" a="1"/>
  <c r="BM16" i="9" s="1"/>
  <c r="AY36" i="9" a="1"/>
  <c r="AY36" i="9" s="1"/>
  <c r="AU37" i="9" a="1"/>
  <c r="AU37" i="9" s="1"/>
  <c r="G30" i="33" l="1" a="1"/>
  <c r="G30" i="33" s="1"/>
  <c r="G29" i="33" a="1"/>
  <c r="G29" i="33" s="1"/>
  <c r="I31" i="33" a="1"/>
  <c r="I31" i="33" s="1"/>
  <c r="M29" i="33" a="1"/>
  <c r="M29" i="33" s="1"/>
  <c r="N29" i="33" s="1"/>
  <c r="O29" i="33" s="1"/>
  <c r="I30" i="33" a="1"/>
  <c r="I30" i="33" s="1"/>
  <c r="I29" i="33" a="1"/>
  <c r="I29" i="33" s="1"/>
  <c r="J29" i="33" s="1"/>
  <c r="K29" i="33" s="1"/>
  <c r="M31" i="33" a="1"/>
  <c r="M31" i="33" s="1"/>
  <c r="M30" i="33" a="1"/>
  <c r="M30" i="33" s="1"/>
  <c r="N30" i="33" s="1"/>
  <c r="O30" i="33" s="1"/>
  <c r="G31" i="33" a="1"/>
  <c r="G31" i="33" s="1"/>
  <c r="N42" i="33"/>
  <c r="O42" i="33" s="1"/>
  <c r="J42" i="33"/>
  <c r="K42" i="33" s="1"/>
  <c r="J38" i="33"/>
  <c r="K38" i="33" s="1"/>
  <c r="G36" i="33"/>
  <c r="N38" i="33"/>
  <c r="O38" i="33" s="1"/>
  <c r="I45" i="33"/>
  <c r="G40" i="33"/>
  <c r="N43" i="33"/>
  <c r="O43" i="33" s="1"/>
  <c r="J43" i="33"/>
  <c r="K43" i="33" s="1"/>
  <c r="M45" i="33"/>
  <c r="BM31" i="9"/>
  <c r="BT31" i="9"/>
  <c r="AX31" i="9"/>
  <c r="BS31" i="9"/>
  <c r="AJ31" i="9"/>
  <c r="X31" i="9"/>
  <c r="AU31" i="9"/>
  <c r="BF31" i="9"/>
  <c r="BR31" i="9"/>
  <c r="CG28" i="8" a="1"/>
  <c r="CG28" i="8" s="1"/>
  <c r="AL28" i="8" a="1"/>
  <c r="AL28" i="8" s="1"/>
  <c r="BB31" i="9"/>
  <c r="BQ31" i="9"/>
  <c r="BV25" i="9" a="1"/>
  <c r="BV25" i="9" s="1"/>
  <c r="AH31" i="9"/>
  <c r="AR28" i="8" a="1"/>
  <c r="AR28" i="8" s="1"/>
  <c r="AE31" i="9"/>
  <c r="BC28" i="8" a="1"/>
  <c r="BC28" i="8" s="1"/>
  <c r="BP28" i="8" a="1"/>
  <c r="BP28" i="8" s="1"/>
  <c r="BT28" i="8" a="1"/>
  <c r="BT28" i="8" s="1"/>
  <c r="BG28" i="8" a="1"/>
  <c r="BG28" i="8" s="1"/>
  <c r="AF28" i="8" a="1"/>
  <c r="AF28" i="8" s="1"/>
  <c r="AY28" i="8" a="1"/>
  <c r="AY28" i="8" s="1"/>
  <c r="BN28" i="8" a="1"/>
  <c r="BN28" i="8" s="1"/>
  <c r="Y29" i="11" a="1"/>
  <c r="Y29" i="11" s="1"/>
  <c r="S31" i="9"/>
  <c r="N25" i="9" a="1"/>
  <c r="N25" i="9" s="1"/>
  <c r="W25" i="9" a="1"/>
  <c r="W25" i="9" s="1"/>
  <c r="BL25" i="9" a="1"/>
  <c r="BL25" i="9" s="1"/>
  <c r="AD25" i="9" a="1"/>
  <c r="AD25" i="9" s="1"/>
  <c r="AU25" i="9" a="1"/>
  <c r="AU25" i="9" s="1"/>
  <c r="V31" i="9"/>
  <c r="BS25" i="9" a="1"/>
  <c r="BS25" i="9" s="1"/>
  <c r="BP25" i="9" a="1"/>
  <c r="BP25" i="9" s="1"/>
  <c r="BM25" i="9" a="1"/>
  <c r="BM25" i="9" s="1"/>
  <c r="AJ26" i="12"/>
  <c r="AA31" i="9"/>
  <c r="BK25" i="9" a="1"/>
  <c r="BK25" i="9" s="1"/>
  <c r="AG25" i="9" a="1"/>
  <c r="AG25" i="9" s="1"/>
  <c r="Z25" i="9" a="1"/>
  <c r="Z25" i="9" s="1"/>
  <c r="L25" i="9" a="1"/>
  <c r="L25" i="9" s="1"/>
  <c r="BX25" i="9" a="1"/>
  <c r="BX25" i="9" s="1"/>
  <c r="M25" i="9" a="1"/>
  <c r="M25" i="9" s="1"/>
  <c r="AI25" i="9" a="1"/>
  <c r="AI25" i="9" s="1"/>
  <c r="AY25" i="9" a="1"/>
  <c r="AY25" i="9" s="1"/>
  <c r="BQ25" i="9" a="1"/>
  <c r="BQ25" i="9" s="1"/>
  <c r="AE25" i="9" a="1"/>
  <c r="AE25" i="9" s="1"/>
  <c r="BF25" i="9" a="1"/>
  <c r="BF25" i="9" s="1"/>
  <c r="AQ25" i="9" a="1"/>
  <c r="AQ25" i="9" s="1"/>
  <c r="AA25" i="9" a="1"/>
  <c r="AA25" i="9" s="1"/>
  <c r="AF25" i="9" a="1"/>
  <c r="AF25" i="9" s="1"/>
  <c r="F25" i="9" a="1"/>
  <c r="F25" i="9" s="1"/>
  <c r="AX25" i="9" a="1"/>
  <c r="AX25" i="9" s="1"/>
  <c r="AL25" i="9" a="1"/>
  <c r="AL25" i="9" s="1"/>
  <c r="BT25" i="9" a="1"/>
  <c r="BT25" i="9" s="1"/>
  <c r="S25" i="9" a="1"/>
  <c r="S25" i="9" s="1"/>
  <c r="BC25" i="9" a="1"/>
  <c r="BC25" i="9" s="1"/>
  <c r="T25" i="9" a="1"/>
  <c r="T25" i="9" s="1"/>
  <c r="H25" i="9" a="1"/>
  <c r="H25" i="9" s="1"/>
  <c r="I25" i="9" a="1"/>
  <c r="I25" i="9" s="1"/>
  <c r="BA25" i="9" a="1"/>
  <c r="BA25" i="9" s="1"/>
  <c r="P25" i="9" a="1"/>
  <c r="P25" i="9" s="1"/>
  <c r="AJ25" i="9" a="1"/>
  <c r="AJ25" i="9" s="1"/>
  <c r="AS25" i="9" a="1"/>
  <c r="AS25" i="9" s="1"/>
  <c r="AT25" i="9" a="1"/>
  <c r="AT25" i="9" s="1"/>
  <c r="R25" i="9" a="1"/>
  <c r="R25" i="9" s="1"/>
  <c r="BO25" i="9" a="1"/>
  <c r="BO25" i="9" s="1"/>
  <c r="AR25" i="9" a="1"/>
  <c r="AR25" i="9" s="1"/>
  <c r="BG25" i="9" a="1"/>
  <c r="BG25" i="9" s="1"/>
  <c r="BD25" i="9" a="1"/>
  <c r="BD25" i="9" s="1"/>
  <c r="V25" i="9" a="1"/>
  <c r="V25" i="9" s="1"/>
  <c r="AH25" i="9" a="1"/>
  <c r="AH25" i="9" s="1"/>
  <c r="O25" i="9" a="1"/>
  <c r="O25" i="9" s="1"/>
  <c r="BJ25" i="9" a="1"/>
  <c r="BJ25" i="9" s="1"/>
  <c r="AN25" i="9" a="1"/>
  <c r="AN25" i="9" s="1"/>
  <c r="AO25" i="9" a="1"/>
  <c r="AO25" i="9" s="1"/>
  <c r="BN25" i="9" a="1"/>
  <c r="BN25" i="9" s="1"/>
  <c r="AM25" i="9" a="1"/>
  <c r="AM25" i="9" s="1"/>
  <c r="X25" i="9" a="1"/>
  <c r="X25" i="9" s="1"/>
  <c r="BW25" i="9" a="1"/>
  <c r="BW25" i="9" s="1"/>
  <c r="BI25" i="9" a="1"/>
  <c r="BI25" i="9" s="1"/>
  <c r="BB25" i="9" a="1"/>
  <c r="BB25" i="9" s="1"/>
  <c r="U25" i="9" a="1"/>
  <c r="U25" i="9" s="1"/>
  <c r="AW25" i="9" a="1"/>
  <c r="AW25" i="9" s="1"/>
  <c r="BU25" i="9" a="1"/>
  <c r="BU25" i="9" s="1"/>
  <c r="BR25" i="9" a="1"/>
  <c r="BR25" i="9" s="1"/>
  <c r="BE25" i="9" a="1"/>
  <c r="BE25" i="9" s="1"/>
  <c r="AK25" i="9" a="1"/>
  <c r="AK25" i="9" s="1"/>
  <c r="AP25" i="9" a="1"/>
  <c r="AP25" i="9" s="1"/>
  <c r="Q25" i="9" a="1"/>
  <c r="Q25" i="9" s="1"/>
  <c r="G25" i="9" a="1"/>
  <c r="G25" i="9" s="1"/>
  <c r="AV25" i="9" a="1"/>
  <c r="AV25" i="9" s="1"/>
  <c r="AZ25" i="9" a="1"/>
  <c r="AZ25" i="9" s="1"/>
  <c r="BY25" i="9" a="1"/>
  <c r="BY25" i="9" s="1"/>
  <c r="Y25" i="9" a="1"/>
  <c r="Y25" i="9" s="1"/>
  <c r="BH45" i="13"/>
  <c r="BY18" i="9" s="1" a="1"/>
  <c r="BY18" i="9" s="1"/>
  <c r="Q31" i="9"/>
  <c r="AR31" i="9"/>
  <c r="BA31" i="9"/>
  <c r="R31" i="9"/>
  <c r="BG31" i="9"/>
  <c r="BF23" i="9" a="1"/>
  <c r="BF23" i="9" s="1"/>
  <c r="AW31" i="9"/>
  <c r="W31" i="9"/>
  <c r="BI31" i="9"/>
  <c r="AI31" i="9"/>
  <c r="BJ31" i="9"/>
  <c r="BL31" i="9"/>
  <c r="AG31" i="9"/>
  <c r="AK31" i="9"/>
  <c r="AV31" i="9"/>
  <c r="AZ31" i="9"/>
  <c r="S21" i="12"/>
  <c r="G31" i="9"/>
  <c r="BV31" i="9"/>
  <c r="W28" i="8" a="1"/>
  <c r="W28" i="8" s="1"/>
  <c r="V28" i="8" a="1"/>
  <c r="V28" i="8" s="1"/>
  <c r="AM28" i="8" a="1"/>
  <c r="AM28" i="8" s="1"/>
  <c r="AI28" i="8" a="1"/>
  <c r="AI28" i="8" s="1"/>
  <c r="AW28" i="8" a="1"/>
  <c r="AW28" i="8" s="1"/>
  <c r="AO28" i="8" a="1"/>
  <c r="AO28" i="8" s="1"/>
  <c r="AT28" i="8" a="1"/>
  <c r="AT28" i="8" s="1"/>
  <c r="AN28" i="8" a="1"/>
  <c r="AN28" i="8" s="1"/>
  <c r="BV28" i="8" a="1"/>
  <c r="BV28" i="8" s="1"/>
  <c r="BW28" i="8" a="1"/>
  <c r="BW28" i="8" s="1"/>
  <c r="AZ28" i="8" a="1"/>
  <c r="AZ28" i="8" s="1"/>
  <c r="BZ28" i="8" a="1"/>
  <c r="BZ28" i="8" s="1"/>
  <c r="Z28" i="8" a="1"/>
  <c r="Z28" i="8" s="1"/>
  <c r="AB28" i="8" a="1"/>
  <c r="AB28" i="8" s="1"/>
  <c r="BO28" i="8" a="1"/>
  <c r="BO28" i="8" s="1"/>
  <c r="BJ28" i="8" a="1"/>
  <c r="BJ28" i="8" s="1"/>
  <c r="BQ28" i="8" a="1"/>
  <c r="BQ28" i="8" s="1"/>
  <c r="BE31" i="9"/>
  <c r="AT31" i="9"/>
  <c r="P31" i="9"/>
  <c r="BK28" i="8" a="1"/>
  <c r="BK28" i="8" s="1"/>
  <c r="BM28" i="8" a="1"/>
  <c r="BM28" i="8" s="1"/>
  <c r="AV28" i="8" a="1"/>
  <c r="AV28" i="8" s="1"/>
  <c r="AS28" i="8" a="1"/>
  <c r="AS28" i="8" s="1"/>
  <c r="BR28" i="8" a="1"/>
  <c r="BR28" i="8" s="1"/>
  <c r="T28" i="8" a="1"/>
  <c r="T28" i="8" s="1"/>
  <c r="J28" i="8" a="1"/>
  <c r="J28" i="8" s="1"/>
  <c r="BU31" i="9"/>
  <c r="Y28" i="8" a="1"/>
  <c r="Y28" i="8" s="1"/>
  <c r="U28" i="8" a="1"/>
  <c r="U28" i="8" s="1"/>
  <c r="O28" i="8" a="1"/>
  <c r="O28" i="8" s="1"/>
  <c r="AX28" i="8" a="1"/>
  <c r="AX28" i="8" s="1"/>
  <c r="CA28" i="8" a="1"/>
  <c r="CA28" i="8" s="1"/>
  <c r="BH28" i="8" a="1"/>
  <c r="BH28" i="8" s="1"/>
  <c r="BA28" i="8" a="1"/>
  <c r="BA28" i="8" s="1"/>
  <c r="BS28" i="8" a="1"/>
  <c r="BS28" i="8" s="1"/>
  <c r="CC28" i="8" a="1"/>
  <c r="CC28" i="8" s="1"/>
  <c r="BL28" i="8" a="1"/>
  <c r="BL28" i="8" s="1"/>
  <c r="AA28" i="8" a="1"/>
  <c r="AA28" i="8" s="1"/>
  <c r="AD28" i="8" a="1"/>
  <c r="AD28" i="8" s="1"/>
  <c r="AE28" i="8" a="1"/>
  <c r="AE28" i="8" s="1"/>
  <c r="N28" i="8" a="1"/>
  <c r="N28" i="8" s="1"/>
  <c r="AP28" i="8" a="1"/>
  <c r="AP28" i="8" s="1"/>
  <c r="AG28" i="8" a="1"/>
  <c r="AG28" i="8" s="1"/>
  <c r="P28" i="8" a="1"/>
  <c r="P28" i="8" s="1"/>
  <c r="BU28" i="8" a="1"/>
  <c r="BU28" i="8" s="1"/>
  <c r="BK31" i="9"/>
  <c r="K28" i="8" a="1"/>
  <c r="K28" i="8" s="1"/>
  <c r="BB28" i="8" a="1"/>
  <c r="BB28" i="8" s="1"/>
  <c r="AC28" i="8" a="1"/>
  <c r="AC28" i="8" s="1"/>
  <c r="BF28" i="8" a="1"/>
  <c r="BF28" i="8" s="1"/>
  <c r="X28" i="8" a="1"/>
  <c r="X28" i="8" s="1"/>
  <c r="CE28" i="8" a="1"/>
  <c r="CE28" i="8" s="1"/>
  <c r="BY28" i="8" a="1"/>
  <c r="BY28" i="8" s="1"/>
  <c r="BE28" i="8" a="1"/>
  <c r="BE28" i="8" s="1"/>
  <c r="Q28" i="8" a="1"/>
  <c r="Q28" i="8" s="1"/>
  <c r="BI28" i="8" a="1"/>
  <c r="BI28" i="8" s="1"/>
  <c r="BD28" i="8" a="1"/>
  <c r="BD28" i="8" s="1"/>
  <c r="CF28" i="8" a="1"/>
  <c r="CF28" i="8" s="1"/>
  <c r="CD28" i="8" a="1"/>
  <c r="CD28" i="8" s="1"/>
  <c r="AH28" i="8" a="1"/>
  <c r="AH28" i="8" s="1"/>
  <c r="CB28" i="8" a="1"/>
  <c r="CB28" i="8" s="1"/>
  <c r="AQ28" i="8" a="1"/>
  <c r="AQ28" i="8" s="1"/>
  <c r="BX28" i="8" a="1"/>
  <c r="BX28" i="8" s="1"/>
  <c r="U31" i="9"/>
  <c r="I31" i="9"/>
  <c r="AN31" i="9"/>
  <c r="BI34" i="9" a="1"/>
  <c r="BI34" i="9" s="1"/>
  <c r="AS31" i="9"/>
  <c r="AM31" i="9"/>
  <c r="M31" i="9"/>
  <c r="AK34" i="9" a="1"/>
  <c r="AK34" i="9" s="1"/>
  <c r="BY31" i="9"/>
  <c r="AL31" i="9"/>
  <c r="AL34" i="9" a="1"/>
  <c r="AL34" i="9" s="1"/>
  <c r="AY31" i="9"/>
  <c r="CJ29" i="12" a="1"/>
  <c r="CJ29" i="12" s="1"/>
  <c r="AK29" i="12" s="1"/>
  <c r="F31" i="9"/>
  <c r="Z31" i="9"/>
  <c r="BE150" i="13"/>
  <c r="BN31" i="9"/>
  <c r="H31" i="9"/>
  <c r="BX31" i="9"/>
  <c r="O31" i="9"/>
  <c r="AQ31" i="9"/>
  <c r="AG34" i="9" a="1"/>
  <c r="AG34" i="9" s="1"/>
  <c r="AD31" i="9"/>
  <c r="BW31" i="9"/>
  <c r="BP31" i="9"/>
  <c r="AP31" i="9"/>
  <c r="Y31" i="9"/>
  <c r="BO31" i="9"/>
  <c r="BG30" i="13" a="1"/>
  <c r="BG30" i="13" s="1"/>
  <c r="BH31" i="9"/>
  <c r="AO31" i="9"/>
  <c r="AI27" i="8" a="1"/>
  <c r="AI27" i="8" s="1"/>
  <c r="L31" i="9"/>
  <c r="BC31" i="9"/>
  <c r="BJ39" i="9" a="1"/>
  <c r="BJ39" i="9" s="1"/>
  <c r="BS34" i="9" a="1"/>
  <c r="BS34" i="9" s="1"/>
  <c r="BA39" i="9" a="1"/>
  <c r="BA39" i="9" s="1"/>
  <c r="CJ91" i="12" a="1"/>
  <c r="CJ91" i="12" s="1"/>
  <c r="BH30" i="13" s="1" a="1"/>
  <c r="BH30" i="13" s="1"/>
  <c r="BV39" i="9" a="1"/>
  <c r="BV39" i="9" s="1"/>
  <c r="AO26" i="8" a="1"/>
  <c r="AO26" i="8" s="1"/>
  <c r="AQ46" i="9" a="1"/>
  <c r="AQ46" i="9" s="1"/>
  <c r="BG13" i="13" a="1"/>
  <c r="BG13" i="13" s="1"/>
  <c r="Z26" i="8" a="1"/>
  <c r="Z26" i="8" s="1"/>
  <c r="P26" i="8" a="1"/>
  <c r="P26" i="8" s="1"/>
  <c r="BV26" i="8" a="1"/>
  <c r="BV26" i="8" s="1"/>
  <c r="I34" i="9" a="1"/>
  <c r="I34" i="9" s="1"/>
  <c r="BD26" i="8" a="1"/>
  <c r="BD26" i="8" s="1"/>
  <c r="AN34" i="9" a="1"/>
  <c r="AN34" i="9" s="1"/>
  <c r="AZ26" i="8" a="1"/>
  <c r="AZ26" i="8" s="1"/>
  <c r="AW46" i="9" a="1"/>
  <c r="AW46" i="9" s="1"/>
  <c r="BL26" i="8" a="1"/>
  <c r="BL26" i="8" s="1"/>
  <c r="AT26" i="8" a="1"/>
  <c r="AT26" i="8" s="1"/>
  <c r="BM34" i="9" a="1"/>
  <c r="BM34" i="9" s="1"/>
  <c r="AP46" i="9" a="1"/>
  <c r="AP46" i="9" s="1"/>
  <c r="AD34" i="9" a="1"/>
  <c r="AD34" i="9" s="1"/>
  <c r="AE34" i="9" a="1"/>
  <c r="AE34" i="9" s="1"/>
  <c r="AO34" i="9" a="1"/>
  <c r="AO34" i="9" s="1"/>
  <c r="BI46" i="9" a="1"/>
  <c r="BI46" i="9" s="1"/>
  <c r="L46" i="9" a="1"/>
  <c r="L46" i="9" s="1"/>
  <c r="BL34" i="9" a="1"/>
  <c r="BL34" i="9" s="1"/>
  <c r="BP34" i="9" a="1"/>
  <c r="BP34" i="9" s="1"/>
  <c r="BY34" i="9" a="1"/>
  <c r="BY34" i="9" s="1"/>
  <c r="AE46" i="9" a="1"/>
  <c r="AE46" i="9" s="1"/>
  <c r="AL46" i="9" a="1"/>
  <c r="AL46" i="9" s="1"/>
  <c r="M34" i="9" a="1"/>
  <c r="M34" i="9" s="1"/>
  <c r="M46" i="9" a="1"/>
  <c r="M46" i="9" s="1"/>
  <c r="U34" i="9" a="1"/>
  <c r="U34" i="9" s="1"/>
  <c r="Y34" i="9" a="1"/>
  <c r="Y34" i="9" s="1"/>
  <c r="AZ34" i="9" a="1"/>
  <c r="AZ34" i="9" s="1"/>
  <c r="AT34" i="9" a="1"/>
  <c r="AT34" i="9" s="1"/>
  <c r="AZ46" i="9" a="1"/>
  <c r="AZ46" i="9" s="1"/>
  <c r="AQ34" i="9" a="1"/>
  <c r="AQ34" i="9" s="1"/>
  <c r="X26" i="8" a="1"/>
  <c r="X26" i="8" s="1"/>
  <c r="AF34" i="9" a="1"/>
  <c r="AF34" i="9" s="1"/>
  <c r="AI34" i="9" a="1"/>
  <c r="AI34" i="9" s="1"/>
  <c r="G34" i="9" a="1"/>
  <c r="G34" i="9" s="1"/>
  <c r="O34" i="9" a="1"/>
  <c r="O34" i="9" s="1"/>
  <c r="AV26" i="8" a="1"/>
  <c r="AV26" i="8" s="1"/>
  <c r="AW34" i="9" a="1"/>
  <c r="AW34" i="9" s="1"/>
  <c r="BF46" i="9" a="1"/>
  <c r="BF46" i="9" s="1"/>
  <c r="L34" i="9" a="1"/>
  <c r="L34" i="9" s="1"/>
  <c r="T26" i="8" a="1"/>
  <c r="T26" i="8" s="1"/>
  <c r="AW26" i="8" a="1"/>
  <c r="AW26" i="8" s="1"/>
  <c r="BR34" i="9" a="1"/>
  <c r="BR34" i="9" s="1"/>
  <c r="BF150" i="13"/>
  <c r="BC46" i="9" a="1"/>
  <c r="BC46" i="9" s="1"/>
  <c r="AN68" i="9" a="1"/>
  <c r="AN68" i="9" s="1"/>
  <c r="AN59" i="9"/>
  <c r="S46" i="9" a="1"/>
  <c r="S46" i="9" s="1"/>
  <c r="BC26" i="8" a="1"/>
  <c r="BC26" i="8" s="1"/>
  <c r="Y68" i="9" a="1"/>
  <c r="Y68" i="9" s="1"/>
  <c r="Y59" i="9"/>
  <c r="G68" i="9" a="1"/>
  <c r="G68" i="9" s="1"/>
  <c r="G59" i="9"/>
  <c r="BZ27" i="8" a="1"/>
  <c r="BZ27" i="8" s="1"/>
  <c r="AS27" i="8" a="1"/>
  <c r="AS27" i="8" s="1"/>
  <c r="AV27" i="8" a="1"/>
  <c r="AV27" i="8" s="1"/>
  <c r="AT27" i="8" a="1"/>
  <c r="AT27" i="8" s="1"/>
  <c r="AP26" i="8" a="1"/>
  <c r="AP26" i="8" s="1"/>
  <c r="Z152" i="8" a="1"/>
  <c r="Z152" i="8" s="1"/>
  <c r="Z40" i="8"/>
  <c r="AP40" i="8"/>
  <c r="AP152" i="8" a="1"/>
  <c r="AP152" i="8" s="1"/>
  <c r="CE40" i="8"/>
  <c r="CE152" i="8" a="1"/>
  <c r="CE152" i="8" s="1"/>
  <c r="BT46" i="9" a="1"/>
  <c r="BT46" i="9" s="1"/>
  <c r="CE27" i="8" a="1"/>
  <c r="CE27" i="8" s="1"/>
  <c r="BE26" i="8" a="1"/>
  <c r="BE26" i="8" s="1"/>
  <c r="BW68" i="9" a="1"/>
  <c r="BW68" i="9" s="1"/>
  <c r="BW59" i="9"/>
  <c r="BG59" i="9"/>
  <c r="BG68" i="9" a="1"/>
  <c r="BG68" i="9" s="1"/>
  <c r="AX23" i="9" a="1"/>
  <c r="AX23" i="9" s="1"/>
  <c r="BG46" i="9" a="1"/>
  <c r="BG46" i="9" s="1"/>
  <c r="H34" i="9" a="1"/>
  <c r="H34" i="9" s="1"/>
  <c r="BX26" i="8" a="1"/>
  <c r="BX26" i="8" s="1"/>
  <c r="BI27" i="8" a="1"/>
  <c r="BI27" i="8" s="1"/>
  <c r="AH27" i="8" a="1"/>
  <c r="AH27" i="8" s="1"/>
  <c r="AF27" i="8" a="1"/>
  <c r="AF27" i="8" s="1"/>
  <c r="AM27" i="8" a="1"/>
  <c r="AM27" i="8" s="1"/>
  <c r="AH152" i="8" a="1"/>
  <c r="AH152" i="8" s="1"/>
  <c r="AH40" i="8"/>
  <c r="O40" i="8"/>
  <c r="O152" i="8" a="1"/>
  <c r="O152" i="8" s="1"/>
  <c r="N152" i="8" a="1"/>
  <c r="N152" i="8" s="1"/>
  <c r="N40" i="8"/>
  <c r="BC152" i="8" a="1"/>
  <c r="BC152" i="8" s="1"/>
  <c r="BC40" i="8"/>
  <c r="AD27" i="8" a="1"/>
  <c r="AD27" i="8" s="1"/>
  <c r="Q68" i="9" a="1"/>
  <c r="Q68" i="9" s="1"/>
  <c r="Q59" i="9"/>
  <c r="Q23" i="9" a="1"/>
  <c r="Q23" i="9" s="1"/>
  <c r="W39" i="9" a="1"/>
  <c r="W39" i="9" s="1"/>
  <c r="Z39" i="9" a="1"/>
  <c r="Z39" i="9" s="1"/>
  <c r="AU39" i="9" a="1"/>
  <c r="AU39" i="9" s="1"/>
  <c r="AR39" i="9" a="1"/>
  <c r="AR39" i="9" s="1"/>
  <c r="AV39" i="9" a="1"/>
  <c r="AV39" i="9" s="1"/>
  <c r="R39" i="9" a="1"/>
  <c r="R39" i="9" s="1"/>
  <c r="AX39" i="9" a="1"/>
  <c r="AX39" i="9" s="1"/>
  <c r="BR39" i="9" a="1"/>
  <c r="BR39" i="9" s="1"/>
  <c r="AZ39" i="9" a="1"/>
  <c r="AZ39" i="9" s="1"/>
  <c r="T39" i="9" a="1"/>
  <c r="T39" i="9" s="1"/>
  <c r="BK39" i="9" a="1"/>
  <c r="BK39" i="9" s="1"/>
  <c r="BG39" i="9" a="1"/>
  <c r="BG39" i="9" s="1"/>
  <c r="BC39" i="9" a="1"/>
  <c r="BC39" i="9" s="1"/>
  <c r="Q39" i="9" a="1"/>
  <c r="Q39" i="9" s="1"/>
  <c r="BD39" i="9" a="1"/>
  <c r="BD39" i="9" s="1"/>
  <c r="M39" i="9" a="1"/>
  <c r="M39" i="9" s="1"/>
  <c r="BU39" i="9" a="1"/>
  <c r="BU39" i="9" s="1"/>
  <c r="BE39" i="9" a="1"/>
  <c r="BE39" i="9" s="1"/>
  <c r="X39" i="9" a="1"/>
  <c r="X39" i="9" s="1"/>
  <c r="BF39" i="9" a="1"/>
  <c r="BF39" i="9" s="1"/>
  <c r="H39" i="9" a="1"/>
  <c r="H39" i="9" s="1"/>
  <c r="U39" i="9" a="1"/>
  <c r="U39" i="9" s="1"/>
  <c r="AS39" i="9" a="1"/>
  <c r="AS39" i="9" s="1"/>
  <c r="AP39" i="9" a="1"/>
  <c r="AP39" i="9" s="1"/>
  <c r="AN39" i="9" a="1"/>
  <c r="AN39" i="9" s="1"/>
  <c r="BP39" i="9" a="1"/>
  <c r="BP39" i="9" s="1"/>
  <c r="AL39" i="9" a="1"/>
  <c r="AL39" i="9" s="1"/>
  <c r="O39" i="9" a="1"/>
  <c r="O39" i="9" s="1"/>
  <c r="L39" i="9" a="1"/>
  <c r="L39" i="9" s="1"/>
  <c r="BW39" i="9" a="1"/>
  <c r="BW39" i="9" s="1"/>
  <c r="AA39" i="9" a="1"/>
  <c r="AA39" i="9" s="1"/>
  <c r="AK39" i="9" a="1"/>
  <c r="AK39" i="9" s="1"/>
  <c r="P39" i="9" a="1"/>
  <c r="P39" i="9" s="1"/>
  <c r="AE39" i="9" a="1"/>
  <c r="AE39" i="9" s="1"/>
  <c r="G39" i="9" a="1"/>
  <c r="G39" i="9" s="1"/>
  <c r="AY39" i="9" a="1"/>
  <c r="AY39" i="9" s="1"/>
  <c r="S39" i="9" a="1"/>
  <c r="S39" i="9" s="1"/>
  <c r="V39" i="9" a="1"/>
  <c r="V39" i="9" s="1"/>
  <c r="BT39" i="9" a="1"/>
  <c r="BT39" i="9" s="1"/>
  <c r="N39" i="9" a="1"/>
  <c r="N39" i="9" s="1"/>
  <c r="AH39" i="9" a="1"/>
  <c r="AH39" i="9" s="1"/>
  <c r="F39" i="9" a="1"/>
  <c r="F39" i="9" s="1"/>
  <c r="AT39" i="9" a="1"/>
  <c r="AT39" i="9" s="1"/>
  <c r="AF39" i="9" a="1"/>
  <c r="AF39" i="9" s="1"/>
  <c r="AQ39" i="9" a="1"/>
  <c r="AQ39" i="9" s="1"/>
  <c r="BI39" i="9" a="1"/>
  <c r="BI39" i="9" s="1"/>
  <c r="BM39" i="9" a="1"/>
  <c r="BM39" i="9" s="1"/>
  <c r="BX39" i="9" a="1"/>
  <c r="BX39" i="9" s="1"/>
  <c r="AD39" i="9" a="1"/>
  <c r="AD39" i="9" s="1"/>
  <c r="AJ39" i="9" a="1"/>
  <c r="AJ39" i="9" s="1"/>
  <c r="AO39" i="9" a="1"/>
  <c r="AO39" i="9" s="1"/>
  <c r="BQ39" i="9" a="1"/>
  <c r="BQ39" i="9" s="1"/>
  <c r="Y39" i="9" a="1"/>
  <c r="Y39" i="9" s="1"/>
  <c r="AM39" i="9" a="1"/>
  <c r="AM39" i="9" s="1"/>
  <c r="BH39" i="9" a="1"/>
  <c r="BH39" i="9" s="1"/>
  <c r="AW39" i="9" a="1"/>
  <c r="AW39" i="9" s="1"/>
  <c r="BL39" i="9" a="1"/>
  <c r="BL39" i="9" s="1"/>
  <c r="AG39" i="9" a="1"/>
  <c r="AG39" i="9" s="1"/>
  <c r="AR59" i="9"/>
  <c r="AR68" i="9" a="1"/>
  <c r="AR68" i="9" s="1"/>
  <c r="BY26" i="8" a="1"/>
  <c r="BY26" i="8" s="1"/>
  <c r="R46" i="9" a="1"/>
  <c r="R46" i="9" s="1"/>
  <c r="BA59" i="9"/>
  <c r="BA68" i="9" a="1"/>
  <c r="BA68" i="9" s="1"/>
  <c r="AA46" i="9" a="1"/>
  <c r="AA46" i="9" s="1"/>
  <c r="AA26" i="8" a="1"/>
  <c r="AA26" i="8" s="1"/>
  <c r="BW46" i="9" a="1"/>
  <c r="BW46" i="9" s="1"/>
  <c r="BK26" i="8" a="1"/>
  <c r="BK26" i="8" s="1"/>
  <c r="AY59" i="9"/>
  <c r="AY68" i="9" a="1"/>
  <c r="AY68" i="9" s="1"/>
  <c r="U59" i="9"/>
  <c r="U68" i="9" a="1"/>
  <c r="U68" i="9" s="1"/>
  <c r="CA27" i="8" a="1"/>
  <c r="CA27" i="8" s="1"/>
  <c r="BA27" i="8" a="1"/>
  <c r="BA27" i="8" s="1"/>
  <c r="BS27" i="8" a="1"/>
  <c r="BS27" i="8" s="1"/>
  <c r="AN152" i="8" a="1"/>
  <c r="AN152" i="8" s="1"/>
  <c r="AN40" i="8"/>
  <c r="BQ40" i="8"/>
  <c r="BQ152" i="8" a="1"/>
  <c r="BQ152" i="8" s="1"/>
  <c r="T40" i="8"/>
  <c r="T152" i="8" a="1"/>
  <c r="T152" i="8" s="1"/>
  <c r="V152" i="8" a="1"/>
  <c r="V152" i="8" s="1"/>
  <c r="V40" i="8"/>
  <c r="CG92" i="12"/>
  <c r="AA155" i="29"/>
  <c r="U27" i="8" a="1"/>
  <c r="U27" i="8" s="1"/>
  <c r="AI68" i="9" a="1"/>
  <c r="AI68" i="9" s="1"/>
  <c r="AI59" i="9"/>
  <c r="AN26" i="8" a="1"/>
  <c r="AN26" i="8" s="1"/>
  <c r="AH46" i="9" a="1"/>
  <c r="AH46" i="9" s="1"/>
  <c r="AX59" i="9"/>
  <c r="AX68" i="9" a="1"/>
  <c r="AX68" i="9" s="1"/>
  <c r="AJ23" i="9" a="1"/>
  <c r="AJ23" i="9" s="1"/>
  <c r="BK68" i="9" a="1"/>
  <c r="BK68" i="9" s="1"/>
  <c r="BK59" i="9"/>
  <c r="BE46" i="9" a="1"/>
  <c r="BE46" i="9" s="1"/>
  <c r="W59" i="9"/>
  <c r="W68" i="9" a="1"/>
  <c r="W68" i="9" s="1"/>
  <c r="CC26" i="8" a="1"/>
  <c r="CC26" i="8" s="1"/>
  <c r="BM46" i="9" a="1"/>
  <c r="BM46" i="9" s="1"/>
  <c r="AV59" i="9"/>
  <c r="AV68" i="9" a="1"/>
  <c r="AV68" i="9" s="1"/>
  <c r="BM26" i="8" a="1"/>
  <c r="BM26" i="8" s="1"/>
  <c r="BL68" i="9" a="1"/>
  <c r="BL68" i="9" s="1"/>
  <c r="BL59" i="9"/>
  <c r="P46" i="9" a="1"/>
  <c r="P46" i="9" s="1"/>
  <c r="AP59" i="9"/>
  <c r="AP68" i="9" a="1"/>
  <c r="AP68" i="9" s="1"/>
  <c r="AQ27" i="8" a="1"/>
  <c r="AQ27" i="8" s="1"/>
  <c r="AU26" i="8" a="1"/>
  <c r="AU26" i="8" s="1"/>
  <c r="BX40" i="8"/>
  <c r="BX152" i="8" a="1"/>
  <c r="BX152" i="8" s="1"/>
  <c r="AV40" i="8"/>
  <c r="AV152" i="8" a="1"/>
  <c r="AV152" i="8" s="1"/>
  <c r="AF40" i="8"/>
  <c r="AF152" i="8" a="1"/>
  <c r="AF152" i="8" s="1"/>
  <c r="CG152" i="8" a="1"/>
  <c r="CG152" i="8" s="1"/>
  <c r="CG40" i="8"/>
  <c r="BG27" i="8" a="1"/>
  <c r="BG27" i="8" s="1"/>
  <c r="BX152" i="29"/>
  <c r="AB149" i="29"/>
  <c r="Z34" i="9" a="1"/>
  <c r="Z34" i="9" s="1"/>
  <c r="AB27" i="8" a="1"/>
  <c r="AB27" i="8" s="1"/>
  <c r="BX46" i="9" a="1"/>
  <c r="BX46" i="9" s="1"/>
  <c r="BV59" i="9"/>
  <c r="BV68" i="9" a="1"/>
  <c r="BV68" i="9" s="1"/>
  <c r="N59" i="9"/>
  <c r="N68" i="9" a="1"/>
  <c r="N68" i="9" s="1"/>
  <c r="BB59" i="9"/>
  <c r="BB68" i="9" a="1"/>
  <c r="BB68" i="9" s="1"/>
  <c r="AE68" i="9" a="1"/>
  <c r="AE68" i="9" s="1"/>
  <c r="AE59" i="9"/>
  <c r="AJ46" i="9" a="1"/>
  <c r="AJ46" i="9" s="1"/>
  <c r="AL26" i="8" a="1"/>
  <c r="AL26" i="8" s="1"/>
  <c r="AM23" i="9" a="1"/>
  <c r="AM23" i="9" s="1"/>
  <c r="AU46" i="9" a="1"/>
  <c r="AU46" i="9" s="1"/>
  <c r="U26" i="8" a="1"/>
  <c r="U26" i="8" s="1"/>
  <c r="H68" i="9" a="1"/>
  <c r="H68" i="9" s="1"/>
  <c r="H59" i="9"/>
  <c r="Y46" i="9" a="1"/>
  <c r="Y46" i="9" s="1"/>
  <c r="I68" i="9" a="1"/>
  <c r="I68" i="9" s="1"/>
  <c r="I59" i="9"/>
  <c r="T46" i="9" a="1"/>
  <c r="T46" i="9" s="1"/>
  <c r="BF27" i="8" a="1"/>
  <c r="BF27" i="8" s="1"/>
  <c r="AO27" i="8" a="1"/>
  <c r="AO27" i="8" s="1"/>
  <c r="BY27" i="8" a="1"/>
  <c r="BY27" i="8" s="1"/>
  <c r="Y27" i="8" a="1"/>
  <c r="Y27" i="8" s="1"/>
  <c r="BK40" i="8"/>
  <c r="BK152" i="8" a="1"/>
  <c r="BK152" i="8" s="1"/>
  <c r="BG40" i="8"/>
  <c r="BG152" i="8" a="1"/>
  <c r="BG152" i="8" s="1"/>
  <c r="AZ40" i="8"/>
  <c r="AZ152" i="8" a="1"/>
  <c r="AZ152" i="8" s="1"/>
  <c r="CD152" i="8" a="1"/>
  <c r="CD152" i="8" s="1"/>
  <c r="CD40" i="8"/>
  <c r="AS40" i="8"/>
  <c r="AS152" i="8" a="1"/>
  <c r="AS152" i="8" s="1"/>
  <c r="BV152" i="8" a="1"/>
  <c r="BV152" i="8" s="1"/>
  <c r="BV40" i="8"/>
  <c r="CF152" i="8" a="1"/>
  <c r="CF152" i="8" s="1"/>
  <c r="CF40" i="8"/>
  <c r="BB26" i="8" a="1"/>
  <c r="BB26" i="8" s="1"/>
  <c r="BC34" i="9" a="1"/>
  <c r="BC34" i="9" s="1"/>
  <c r="BK27" i="8" a="1"/>
  <c r="BK27" i="8" s="1"/>
  <c r="AY26" i="8" a="1"/>
  <c r="AY26" i="8" s="1"/>
  <c r="Y26" i="8" a="1"/>
  <c r="Y26" i="8" s="1"/>
  <c r="O26" i="8" a="1"/>
  <c r="O26" i="8" s="1"/>
  <c r="W26" i="8" a="1"/>
  <c r="W26" i="8" s="1"/>
  <c r="CE26" i="8" a="1"/>
  <c r="CE26" i="8" s="1"/>
  <c r="BP26" i="8" a="1"/>
  <c r="BP26" i="8" s="1"/>
  <c r="Q26" i="8" a="1"/>
  <c r="Q26" i="8" s="1"/>
  <c r="BR26" i="8" a="1"/>
  <c r="BR26" i="8" s="1"/>
  <c r="BA26" i="8" a="1"/>
  <c r="BA26" i="8" s="1"/>
  <c r="N26" i="8" a="1"/>
  <c r="N26" i="8" s="1"/>
  <c r="BW26" i="8" a="1"/>
  <c r="BW26" i="8" s="1"/>
  <c r="AD26" i="8" a="1"/>
  <c r="AD26" i="8" s="1"/>
  <c r="AM26" i="8" a="1"/>
  <c r="AM26" i="8" s="1"/>
  <c r="AI26" i="8" a="1"/>
  <c r="AI26" i="8" s="1"/>
  <c r="M59" i="9"/>
  <c r="M68" i="9" a="1"/>
  <c r="M68" i="9" s="1"/>
  <c r="AG46" i="9" a="1"/>
  <c r="AG46" i="9" s="1"/>
  <c r="N46" i="9" a="1"/>
  <c r="N46" i="9" s="1"/>
  <c r="BR59" i="9"/>
  <c r="BR68" i="9" a="1"/>
  <c r="BR68" i="9" s="1"/>
  <c r="AK76" i="12"/>
  <c r="BH27" i="13" a="1"/>
  <c r="BH27" i="13" s="1"/>
  <c r="BH81" i="13"/>
  <c r="S76" i="12"/>
  <c r="BH59" i="9"/>
  <c r="BH68" i="9" a="1"/>
  <c r="BH68" i="9" s="1"/>
  <c r="BI26" i="8" a="1"/>
  <c r="BI26" i="8" s="1"/>
  <c r="BD68" i="9" a="1"/>
  <c r="BD68" i="9" s="1"/>
  <c r="BD59" i="9"/>
  <c r="AK46" i="9" a="1"/>
  <c r="AK46" i="9" s="1"/>
  <c r="AQ59" i="9"/>
  <c r="AQ68" i="9" a="1"/>
  <c r="AQ68" i="9" s="1"/>
  <c r="BB46" i="9" a="1"/>
  <c r="BB46" i="9" s="1"/>
  <c r="Q46" i="9" a="1"/>
  <c r="Q46" i="9" s="1"/>
  <c r="CB27" i="8" a="1"/>
  <c r="CB27" i="8" s="1"/>
  <c r="AE26" i="8" a="1"/>
  <c r="AE26" i="8" s="1"/>
  <c r="BP27" i="8" a="1"/>
  <c r="BP27" i="8" s="1"/>
  <c r="BJ27" i="8" a="1"/>
  <c r="BJ27" i="8" s="1"/>
  <c r="AX152" i="8" a="1"/>
  <c r="AX152" i="8" s="1"/>
  <c r="AX40" i="8"/>
  <c r="BI40" i="8"/>
  <c r="BI152" i="8" a="1"/>
  <c r="BI152" i="8" s="1"/>
  <c r="BH152" i="8" a="1"/>
  <c r="BH152" i="8" s="1"/>
  <c r="BH40" i="8"/>
  <c r="CB152" i="8" a="1"/>
  <c r="CB152" i="8" s="1"/>
  <c r="CB40" i="8"/>
  <c r="AW152" i="8" a="1"/>
  <c r="AW152" i="8" s="1"/>
  <c r="AW40" i="8"/>
  <c r="AF26" i="8" a="1"/>
  <c r="AF26" i="8" s="1"/>
  <c r="BW34" i="9" a="1"/>
  <c r="BW34" i="9" s="1"/>
  <c r="Z27" i="8" a="1"/>
  <c r="Z27" i="8" s="1"/>
  <c r="P59" i="9"/>
  <c r="P68" i="9" a="1"/>
  <c r="P68" i="9" s="1"/>
  <c r="AA34" i="9" a="1"/>
  <c r="AA34" i="9" s="1"/>
  <c r="AJ68" i="9" a="1"/>
  <c r="AJ68" i="9" s="1"/>
  <c r="AJ59" i="9"/>
  <c r="V46" i="9" a="1"/>
  <c r="V46" i="9" s="1"/>
  <c r="BH23" i="9" a="1"/>
  <c r="BH23" i="9" s="1"/>
  <c r="BG59" i="13"/>
  <c r="BG159" i="13" s="1"/>
  <c r="BG16" i="13" a="1"/>
  <c r="BG16" i="13" s="1"/>
  <c r="AZ59" i="9"/>
  <c r="AZ68" i="9" a="1"/>
  <c r="AZ68" i="9" s="1"/>
  <c r="BS68" i="9" a="1"/>
  <c r="BS68" i="9" s="1"/>
  <c r="BS59" i="9"/>
  <c r="AU59" i="9"/>
  <c r="AU68" i="9" a="1"/>
  <c r="AU68" i="9" s="1"/>
  <c r="Z46" i="9" a="1"/>
  <c r="Z46" i="9" s="1"/>
  <c r="F34" i="9" a="1"/>
  <c r="F34" i="9" s="1"/>
  <c r="BN46" i="9" a="1"/>
  <c r="BN46" i="9" s="1"/>
  <c r="BV27" i="8" a="1"/>
  <c r="BV27" i="8" s="1"/>
  <c r="Q27" i="8" a="1"/>
  <c r="Q27" i="8" s="1"/>
  <c r="AP27" i="8" a="1"/>
  <c r="AP27" i="8" s="1"/>
  <c r="BN27" i="8" a="1"/>
  <c r="BN27" i="8" s="1"/>
  <c r="CF26" i="8" a="1"/>
  <c r="CF26" i="8" s="1"/>
  <c r="W152" i="8" a="1"/>
  <c r="W152" i="8" s="1"/>
  <c r="W40" i="8"/>
  <c r="K152" i="8" a="1"/>
  <c r="K152" i="8" s="1"/>
  <c r="K40" i="8"/>
  <c r="BU152" i="8" a="1"/>
  <c r="BU152" i="8" s="1"/>
  <c r="BU40" i="8"/>
  <c r="BD152" i="8" a="1"/>
  <c r="BD152" i="8" s="1"/>
  <c r="BD40" i="8"/>
  <c r="AR26" i="8" a="1"/>
  <c r="AR26" i="8" s="1"/>
  <c r="O27" i="8" a="1"/>
  <c r="O27" i="8" s="1"/>
  <c r="BD34" i="9" a="1"/>
  <c r="BD34" i="9" s="1"/>
  <c r="BA46" i="9" a="1"/>
  <c r="BA46" i="9" s="1"/>
  <c r="R34" i="9" a="1"/>
  <c r="R34" i="9" s="1"/>
  <c r="BF159" i="13"/>
  <c r="V68" i="9" a="1"/>
  <c r="V68" i="9" s="1"/>
  <c r="V59" i="9"/>
  <c r="BP68" i="9" a="1"/>
  <c r="BP68" i="9" s="1"/>
  <c r="BP59" i="9"/>
  <c r="AT59" i="9"/>
  <c r="AT68" i="9" a="1"/>
  <c r="AT68" i="9" s="1"/>
  <c r="BA34" i="9" a="1"/>
  <c r="BA34" i="9" s="1"/>
  <c r="X68" i="9" a="1"/>
  <c r="X68" i="9" s="1"/>
  <c r="X59" i="9"/>
  <c r="AR46" i="9" a="1"/>
  <c r="AR46" i="9" s="1"/>
  <c r="X46" i="9" a="1"/>
  <c r="X46" i="9" s="1"/>
  <c r="BM27" i="8" a="1"/>
  <c r="BM27" i="8" s="1"/>
  <c r="X27" i="8" a="1"/>
  <c r="X27" i="8" s="1"/>
  <c r="BB27" i="8" a="1"/>
  <c r="BB27" i="8" s="1"/>
  <c r="BM40" i="8"/>
  <c r="BM152" i="8" a="1"/>
  <c r="BM152" i="8" s="1"/>
  <c r="BB40" i="8"/>
  <c r="BB152" i="8" a="1"/>
  <c r="BB152" i="8" s="1"/>
  <c r="AD40" i="8"/>
  <c r="AD152" i="8" a="1"/>
  <c r="AD152" i="8" s="1"/>
  <c r="BO152" i="8" a="1"/>
  <c r="BO152" i="8" s="1"/>
  <c r="BO40" i="8"/>
  <c r="BF26" i="8" a="1"/>
  <c r="BF26" i="8" s="1"/>
  <c r="BR27" i="8" a="1"/>
  <c r="BR27" i="8" s="1"/>
  <c r="BQ46" i="9" a="1"/>
  <c r="BQ46" i="9" s="1"/>
  <c r="BQ34" i="9" a="1"/>
  <c r="BQ34" i="9" s="1"/>
  <c r="R68" i="9" a="1"/>
  <c r="R68" i="9" s="1"/>
  <c r="R59" i="9"/>
  <c r="AI46" i="9" a="1"/>
  <c r="AI46" i="9" s="1"/>
  <c r="BT68" i="9" a="1"/>
  <c r="BT68" i="9" s="1"/>
  <c r="BT59" i="9"/>
  <c r="BX23" i="9" a="1"/>
  <c r="BX23" i="9" s="1"/>
  <c r="AF68" i="9" a="1"/>
  <c r="AF68" i="9" s="1"/>
  <c r="AF59" i="9"/>
  <c r="AX26" i="8" a="1"/>
  <c r="AX26" i="8" s="1"/>
  <c r="BF34" i="9" a="1"/>
  <c r="BF34" i="9" s="1"/>
  <c r="AR34" i="9" a="1"/>
  <c r="AR34" i="9" s="1"/>
  <c r="Q34" i="9" a="1"/>
  <c r="Q34" i="9" s="1"/>
  <c r="N34" i="9" a="1"/>
  <c r="N34" i="9" s="1"/>
  <c r="W34" i="9" a="1"/>
  <c r="W34" i="9" s="1"/>
  <c r="BK34" i="9" a="1"/>
  <c r="BK34" i="9" s="1"/>
  <c r="S34" i="9" a="1"/>
  <c r="S34" i="9" s="1"/>
  <c r="BT34" i="9" a="1"/>
  <c r="BT34" i="9" s="1"/>
  <c r="BH34" i="9" a="1"/>
  <c r="BH34" i="9" s="1"/>
  <c r="AU34" i="9" a="1"/>
  <c r="AU34" i="9" s="1"/>
  <c r="BY59" i="9"/>
  <c r="BY68" i="9" a="1"/>
  <c r="BY68" i="9" s="1"/>
  <c r="BD27" i="8" a="1"/>
  <c r="BD27" i="8" s="1"/>
  <c r="BH27" i="8" a="1"/>
  <c r="BH27" i="8" s="1"/>
  <c r="K27" i="8" a="1"/>
  <c r="K27" i="8" s="1"/>
  <c r="CG27" i="8" a="1"/>
  <c r="CG27" i="8" s="1"/>
  <c r="BT27" i="8" a="1"/>
  <c r="BT27" i="8" s="1"/>
  <c r="BL40" i="8"/>
  <c r="BL152" i="8" a="1"/>
  <c r="BL152" i="8" s="1"/>
  <c r="BN40" i="8"/>
  <c r="BN152" i="8" a="1"/>
  <c r="BN152" i="8" s="1"/>
  <c r="AT152" i="8" a="1"/>
  <c r="AT152" i="8" s="1"/>
  <c r="AT40" i="8"/>
  <c r="BS152" i="8" a="1"/>
  <c r="BS152" i="8" s="1"/>
  <c r="BS40" i="8"/>
  <c r="AG152" i="8" a="1"/>
  <c r="AG152" i="8" s="1"/>
  <c r="AG40" i="8"/>
  <c r="AO152" i="8" a="1"/>
  <c r="AO152" i="8" s="1"/>
  <c r="AO40" i="8"/>
  <c r="AR27" i="8" a="1"/>
  <c r="AR27" i="8" s="1"/>
  <c r="BP46" i="9" a="1"/>
  <c r="BP46" i="9" s="1"/>
  <c r="BI68" i="9" a="1"/>
  <c r="BI68" i="9" s="1"/>
  <c r="BI59" i="9"/>
  <c r="K26" i="8" a="1"/>
  <c r="K26" i="8" s="1"/>
  <c r="BU34" i="9" a="1"/>
  <c r="BU34" i="9" s="1"/>
  <c r="AH68" i="9" a="1"/>
  <c r="AH68" i="9" s="1"/>
  <c r="AH59" i="9"/>
  <c r="AS46" i="9" a="1"/>
  <c r="AS46" i="9" s="1"/>
  <c r="BE159" i="13"/>
  <c r="AZ36" i="9" a="1"/>
  <c r="AZ36" i="9" s="1"/>
  <c r="BQ36" i="9" a="1"/>
  <c r="BQ36" i="9" s="1"/>
  <c r="H36" i="9" a="1"/>
  <c r="H36" i="9" s="1"/>
  <c r="T27" i="9" a="1"/>
  <c r="T27" i="9" s="1"/>
  <c r="T31" i="9" s="1"/>
  <c r="AI39" i="9" a="1"/>
  <c r="AI39" i="9" s="1"/>
  <c r="I39" i="9" a="1"/>
  <c r="I39" i="9" s="1"/>
  <c r="AE36" i="9" a="1"/>
  <c r="AE36" i="9" s="1"/>
  <c r="S59" i="9"/>
  <c r="S68" i="9" a="1"/>
  <c r="S68" i="9" s="1"/>
  <c r="V26" i="8" a="1"/>
  <c r="V26" i="8" s="1"/>
  <c r="BQ68" i="9" a="1"/>
  <c r="BQ68" i="9" s="1"/>
  <c r="BQ59" i="9"/>
  <c r="O46" i="9" a="1"/>
  <c r="O46" i="9" s="1"/>
  <c r="BN59" i="9"/>
  <c r="BN68" i="9" a="1"/>
  <c r="BN68" i="9" s="1"/>
  <c r="BG34" i="9" a="1"/>
  <c r="BG34" i="9" s="1"/>
  <c r="BQ27" i="8" a="1"/>
  <c r="BQ27" i="8" s="1"/>
  <c r="BO27" i="8" a="1"/>
  <c r="BO27" i="8" s="1"/>
  <c r="BC27" i="8" a="1"/>
  <c r="BC27" i="8" s="1"/>
  <c r="AQ152" i="8" a="1"/>
  <c r="AQ152" i="8" s="1"/>
  <c r="AQ40" i="8"/>
  <c r="W27" i="8" a="1"/>
  <c r="W27" i="8" s="1"/>
  <c r="AI40" i="8"/>
  <c r="AI152" i="8" a="1"/>
  <c r="AI152" i="8" s="1"/>
  <c r="J40" i="8"/>
  <c r="J152" i="8" a="1"/>
  <c r="J152" i="8" s="1"/>
  <c r="AU40" i="8"/>
  <c r="AU152" i="8" a="1"/>
  <c r="AU152" i="8" s="1"/>
  <c r="AN27" i="8" a="1"/>
  <c r="AN27" i="8" s="1"/>
  <c r="F46" i="9" a="1"/>
  <c r="F46" i="9" s="1"/>
  <c r="BT26" i="8" a="1"/>
  <c r="BT26" i="8" s="1"/>
  <c r="AK23" i="9" a="1"/>
  <c r="AK23" i="9" s="1"/>
  <c r="AM34" i="9" a="1"/>
  <c r="AM34" i="9" s="1"/>
  <c r="BC68" i="9" a="1"/>
  <c r="BC68" i="9" s="1"/>
  <c r="BC59" i="9"/>
  <c r="CI26" i="12"/>
  <c r="T59" i="9"/>
  <c r="T68" i="9" a="1"/>
  <c r="T68" i="9" s="1"/>
  <c r="AW23" i="9" a="1"/>
  <c r="AW23" i="9" s="1"/>
  <c r="BJ46" i="9" a="1"/>
  <c r="BJ46" i="9" s="1"/>
  <c r="AD59" i="9"/>
  <c r="AD68" i="9" a="1"/>
  <c r="AD68" i="9" s="1"/>
  <c r="BN26" i="8" a="1"/>
  <c r="BN26" i="8" s="1"/>
  <c r="BJ34" i="9" a="1"/>
  <c r="BJ34" i="9" s="1"/>
  <c r="AL68" i="9" a="1"/>
  <c r="AL68" i="9" s="1"/>
  <c r="AL59" i="9"/>
  <c r="AF46" i="9" a="1"/>
  <c r="AF46" i="9" s="1"/>
  <c r="BE34" i="9" a="1"/>
  <c r="BE34" i="9" s="1"/>
  <c r="AV46" i="9" a="1"/>
  <c r="AV46" i="9" s="1"/>
  <c r="BB34" i="9" a="1"/>
  <c r="BB34" i="9" s="1"/>
  <c r="BV34" i="9" a="1"/>
  <c r="BV34" i="9" s="1"/>
  <c r="AL27" i="8" a="1"/>
  <c r="AL27" i="8" s="1"/>
  <c r="N27" i="8" a="1"/>
  <c r="N27" i="8" s="1"/>
  <c r="BG26" i="8" a="1"/>
  <c r="BG26" i="8" s="1"/>
  <c r="BS26" i="8" a="1"/>
  <c r="BS26" i="8" s="1"/>
  <c r="T27" i="8" a="1"/>
  <c r="T27" i="8" s="1"/>
  <c r="X152" i="8" a="1"/>
  <c r="X152" i="8" s="1"/>
  <c r="X40" i="8"/>
  <c r="P152" i="8" a="1"/>
  <c r="P152" i="8" s="1"/>
  <c r="P40" i="8"/>
  <c r="BP152" i="8" a="1"/>
  <c r="BP152" i="8" s="1"/>
  <c r="BP40" i="8"/>
  <c r="AY152" i="8" a="1"/>
  <c r="AY152" i="8" s="1"/>
  <c r="AY40" i="8"/>
  <c r="AY34" i="9" a="1"/>
  <c r="AY34" i="9" s="1"/>
  <c r="BX138" i="28"/>
  <c r="AB135" i="28"/>
  <c r="BO46" i="9" a="1"/>
  <c r="BO46" i="9" s="1"/>
  <c r="CG26" i="8" a="1"/>
  <c r="CG26" i="8" s="1"/>
  <c r="AD46" i="9" a="1"/>
  <c r="AD46" i="9" s="1"/>
  <c r="BO34" i="9" a="1"/>
  <c r="BO34" i="9" s="1"/>
  <c r="AM59" i="9"/>
  <c r="AM68" i="9" a="1"/>
  <c r="AM68" i="9" s="1"/>
  <c r="M38" i="11" a="1"/>
  <c r="M38" i="11" s="1"/>
  <c r="AI38" i="11" a="1"/>
  <c r="AI38" i="11" s="1"/>
  <c r="S38" i="11" a="1"/>
  <c r="S38" i="11" s="1"/>
  <c r="BH26" i="8" a="1"/>
  <c r="BH26" i="8" s="1"/>
  <c r="AW68" i="9" a="1"/>
  <c r="AW68" i="9" s="1"/>
  <c r="AW59" i="9"/>
  <c r="AU23" i="9" a="1"/>
  <c r="AU23" i="9" s="1"/>
  <c r="AR23" i="9" a="1"/>
  <c r="AR23" i="9" s="1"/>
  <c r="AH23" i="9" a="1"/>
  <c r="AH23" i="9" s="1"/>
  <c r="S23" i="9" a="1"/>
  <c r="S23" i="9" s="1"/>
  <c r="BY23" i="9" a="1"/>
  <c r="BY23" i="9" s="1"/>
  <c r="AD23" i="9" a="1"/>
  <c r="AD23" i="9" s="1"/>
  <c r="BE23" i="9" a="1"/>
  <c r="BE23" i="9" s="1"/>
  <c r="H23" i="9" a="1"/>
  <c r="H23" i="9" s="1"/>
  <c r="F23" i="9" a="1"/>
  <c r="F23" i="9" s="1"/>
  <c r="BJ23" i="9" a="1"/>
  <c r="BJ23" i="9" s="1"/>
  <c r="BV23" i="9" a="1"/>
  <c r="BV23" i="9" s="1"/>
  <c r="I23" i="9" a="1"/>
  <c r="I23" i="9" s="1"/>
  <c r="N23" i="9" a="1"/>
  <c r="N23" i="9" s="1"/>
  <c r="T23" i="9" a="1"/>
  <c r="T23" i="9" s="1"/>
  <c r="AP23" i="9" a="1"/>
  <c r="AP23" i="9" s="1"/>
  <c r="V23" i="9" a="1"/>
  <c r="V23" i="9" s="1"/>
  <c r="AI23" i="9" a="1"/>
  <c r="AI23" i="9" s="1"/>
  <c r="BQ23" i="9" a="1"/>
  <c r="BQ23" i="9" s="1"/>
  <c r="M23" i="9" a="1"/>
  <c r="M23" i="9" s="1"/>
  <c r="W23" i="9" a="1"/>
  <c r="W23" i="9" s="1"/>
  <c r="BT23" i="9" a="1"/>
  <c r="BT23" i="9" s="1"/>
  <c r="BU23" i="9" a="1"/>
  <c r="BU23" i="9" s="1"/>
  <c r="BO23" i="9" a="1"/>
  <c r="BO23" i="9" s="1"/>
  <c r="Z23" i="9" a="1"/>
  <c r="Z23" i="9" s="1"/>
  <c r="BK23" i="9" a="1"/>
  <c r="BK23" i="9" s="1"/>
  <c r="AZ23" i="9" a="1"/>
  <c r="AZ23" i="9" s="1"/>
  <c r="AS23" i="9" a="1"/>
  <c r="AS23" i="9" s="1"/>
  <c r="AY23" i="9" a="1"/>
  <c r="AY23" i="9" s="1"/>
  <c r="BL23" i="9" a="1"/>
  <c r="BL23" i="9" s="1"/>
  <c r="BI23" i="9" a="1"/>
  <c r="BI23" i="9" s="1"/>
  <c r="BA23" i="9" a="1"/>
  <c r="BA23" i="9" s="1"/>
  <c r="AN23" i="9" a="1"/>
  <c r="AN23" i="9" s="1"/>
  <c r="G23" i="9" a="1"/>
  <c r="G23" i="9" s="1"/>
  <c r="BB23" i="9" a="1"/>
  <c r="BB23" i="9" s="1"/>
  <c r="AG23" i="9" a="1"/>
  <c r="AG23" i="9" s="1"/>
  <c r="AQ23" i="9" a="1"/>
  <c r="AQ23" i="9" s="1"/>
  <c r="AO23" i="9" a="1"/>
  <c r="AO23" i="9" s="1"/>
  <c r="Y23" i="9" a="1"/>
  <c r="Y23" i="9" s="1"/>
  <c r="AA23" i="9" a="1"/>
  <c r="AA23" i="9" s="1"/>
  <c r="AT23" i="9" a="1"/>
  <c r="AT23" i="9" s="1"/>
  <c r="AL23" i="9" a="1"/>
  <c r="AL23" i="9" s="1"/>
  <c r="BP23" i="9" a="1"/>
  <c r="BP23" i="9" s="1"/>
  <c r="AF23" i="9" a="1"/>
  <c r="AF23" i="9" s="1"/>
  <c r="BN23" i="9" a="1"/>
  <c r="BN23" i="9" s="1"/>
  <c r="U23" i="9" a="1"/>
  <c r="U23" i="9" s="1"/>
  <c r="BG23" i="9" a="1"/>
  <c r="BG23" i="9" s="1"/>
  <c r="BD23" i="9" a="1"/>
  <c r="BD23" i="9" s="1"/>
  <c r="BS23" i="9" a="1"/>
  <c r="BS23" i="9" s="1"/>
  <c r="BR23" i="9" a="1"/>
  <c r="BR23" i="9" s="1"/>
  <c r="P23" i="9" a="1"/>
  <c r="P23" i="9" s="1"/>
  <c r="AV23" i="9" a="1"/>
  <c r="AV23" i="9" s="1"/>
  <c r="AE23" i="9" a="1"/>
  <c r="AE23" i="9" s="1"/>
  <c r="X23" i="9" a="1"/>
  <c r="X23" i="9" s="1"/>
  <c r="R23" i="9" a="1"/>
  <c r="R23" i="9" s="1"/>
  <c r="BM59" i="9"/>
  <c r="BM68" i="9" a="1"/>
  <c r="BM68" i="9" s="1"/>
  <c r="BD46" i="9" a="1"/>
  <c r="BD46" i="9" s="1"/>
  <c r="AY46" i="9" a="1"/>
  <c r="AY46" i="9" s="1"/>
  <c r="BX68" i="9" a="1"/>
  <c r="BX68" i="9" s="1"/>
  <c r="BX59" i="9"/>
  <c r="AS26" i="8" a="1"/>
  <c r="AS26" i="8" s="1"/>
  <c r="AC26" i="8" a="1"/>
  <c r="AC26" i="8" s="1"/>
  <c r="V34" i="9" a="1"/>
  <c r="V34" i="9" s="1"/>
  <c r="AO46" i="9" a="1"/>
  <c r="AO46" i="9" s="1"/>
  <c r="T34" i="9" a="1"/>
  <c r="T34" i="9" s="1"/>
  <c r="BS46" i="9" a="1"/>
  <c r="BS46" i="9" s="1"/>
  <c r="P34" i="9" a="1"/>
  <c r="P34" i="9" s="1"/>
  <c r="BB27" i="11" a="1"/>
  <c r="BB27" i="11" s="1"/>
  <c r="BG27" i="11" a="1"/>
  <c r="BG27" i="11" s="1"/>
  <c r="AZ27" i="11" a="1"/>
  <c r="AZ27" i="11" s="1"/>
  <c r="O27" i="11" a="1"/>
  <c r="O27" i="11" s="1"/>
  <c r="X27" i="11" a="1"/>
  <c r="X27" i="11" s="1"/>
  <c r="BE27" i="11" a="1"/>
  <c r="BE27" i="11" s="1"/>
  <c r="BA27" i="11" a="1"/>
  <c r="BA27" i="11" s="1"/>
  <c r="AC27" i="11" a="1"/>
  <c r="AC27" i="11" s="1"/>
  <c r="BM27" i="11" a="1"/>
  <c r="BM27" i="11" s="1"/>
  <c r="AH27" i="11" a="1"/>
  <c r="AH27" i="11" s="1"/>
  <c r="BP27" i="11" a="1"/>
  <c r="BP27" i="11" s="1"/>
  <c r="AT27" i="11" a="1"/>
  <c r="AT27" i="11" s="1"/>
  <c r="AO27" i="11" a="1"/>
  <c r="AO27" i="11" s="1"/>
  <c r="BO27" i="11" a="1"/>
  <c r="BO27" i="11" s="1"/>
  <c r="BC27" i="11" a="1"/>
  <c r="BC27" i="11" s="1"/>
  <c r="AX27" i="11" a="1"/>
  <c r="AX27" i="11" s="1"/>
  <c r="AL27" i="11" a="1"/>
  <c r="AL27" i="11" s="1"/>
  <c r="Z27" i="11" a="1"/>
  <c r="Z27" i="11" s="1"/>
  <c r="AN27" i="11" a="1"/>
  <c r="AN27" i="11" s="1"/>
  <c r="Y27" i="11" a="1"/>
  <c r="Y27" i="11" s="1"/>
  <c r="AK27" i="11" a="1"/>
  <c r="AK27" i="11" s="1"/>
  <c r="K27" i="11" a="1"/>
  <c r="K27" i="11" s="1"/>
  <c r="AR27" i="11" a="1"/>
  <c r="AR27" i="11" s="1"/>
  <c r="H27" i="11" a="1"/>
  <c r="H27" i="11" s="1"/>
  <c r="T27" i="11" a="1"/>
  <c r="T27" i="11" s="1"/>
  <c r="AD27" i="11" a="1"/>
  <c r="AD27" i="11" s="1"/>
  <c r="AY27" i="11" a="1"/>
  <c r="AY27" i="11" s="1"/>
  <c r="BX27" i="11" a="1"/>
  <c r="BX27" i="11" s="1"/>
  <c r="W27" i="11" a="1"/>
  <c r="W27" i="11" s="1"/>
  <c r="AG27" i="11" a="1"/>
  <c r="AG27" i="11" s="1"/>
  <c r="BK27" i="11" a="1"/>
  <c r="BK27" i="11" s="1"/>
  <c r="BR27" i="11" a="1"/>
  <c r="BR27" i="11" s="1"/>
  <c r="S27" i="11" a="1"/>
  <c r="S27" i="11" s="1"/>
  <c r="V27" i="11" a="1"/>
  <c r="V27" i="11" s="1"/>
  <c r="U27" i="11" a="1"/>
  <c r="U27" i="11" s="1"/>
  <c r="BI27" i="11" a="1"/>
  <c r="BI27" i="11" s="1"/>
  <c r="AU27" i="11" a="1"/>
  <c r="AU27" i="11" s="1"/>
  <c r="P27" i="11" a="1"/>
  <c r="P27" i="11" s="1"/>
  <c r="BW27" i="11" a="1"/>
  <c r="BW27" i="11" s="1"/>
  <c r="BJ27" i="11" a="1"/>
  <c r="BJ27" i="11" s="1"/>
  <c r="BL27" i="11" a="1"/>
  <c r="BL27" i="11" s="1"/>
  <c r="N27" i="11" a="1"/>
  <c r="N27" i="11" s="1"/>
  <c r="BT27" i="11" a="1"/>
  <c r="BT27" i="11" s="1"/>
  <c r="BN27" i="11" a="1"/>
  <c r="BN27" i="11" s="1"/>
  <c r="AQ27" i="11" a="1"/>
  <c r="AQ27" i="11" s="1"/>
  <c r="L27" i="11" a="1"/>
  <c r="L27" i="11" s="1"/>
  <c r="BH27" i="11" a="1"/>
  <c r="BH27" i="11" s="1"/>
  <c r="AE27" i="11" a="1"/>
  <c r="AE27" i="11" s="1"/>
  <c r="BV27" i="11" a="1"/>
  <c r="BV27" i="11" s="1"/>
  <c r="E27" i="11" a="1"/>
  <c r="E27" i="11" s="1"/>
  <c r="AS27" i="11" a="1"/>
  <c r="AS27" i="11" s="1"/>
  <c r="BQ27" i="11" a="1"/>
  <c r="BQ27" i="11" s="1"/>
  <c r="AP27" i="11" a="1"/>
  <c r="AP27" i="11" s="1"/>
  <c r="F27" i="11" a="1"/>
  <c r="F27" i="11" s="1"/>
  <c r="AJ27" i="11" a="1"/>
  <c r="AJ27" i="11" s="1"/>
  <c r="AW27" i="11" a="1"/>
  <c r="AW27" i="11" s="1"/>
  <c r="BD27" i="11" a="1"/>
  <c r="BD27" i="11" s="1"/>
  <c r="M27" i="11" a="1"/>
  <c r="M27" i="11" s="1"/>
  <c r="R27" i="11" a="1"/>
  <c r="R27" i="11" s="1"/>
  <c r="AM27" i="11" a="1"/>
  <c r="AM27" i="11" s="1"/>
  <c r="BS27" i="11" a="1"/>
  <c r="BS27" i="11" s="1"/>
  <c r="G27" i="11" a="1"/>
  <c r="G27" i="11" s="1"/>
  <c r="AF27" i="11" a="1"/>
  <c r="AF27" i="11" s="1"/>
  <c r="AQ26" i="8" a="1"/>
  <c r="AQ26" i="8" s="1"/>
  <c r="AP34" i="9" a="1"/>
  <c r="AP34" i="9" s="1"/>
  <c r="AW27" i="8" a="1"/>
  <c r="AW27" i="8" s="1"/>
  <c r="AA27" i="8" a="1"/>
  <c r="AA27" i="8" s="1"/>
  <c r="BZ152" i="8" a="1"/>
  <c r="BZ152" i="8" s="1"/>
  <c r="BZ40" i="8"/>
  <c r="BW40" i="8"/>
  <c r="BW152" i="8" a="1"/>
  <c r="BW152" i="8" s="1"/>
  <c r="BR40" i="8"/>
  <c r="BR152" i="8" a="1"/>
  <c r="BR152" i="8" s="1"/>
  <c r="BT40" i="8"/>
  <c r="BT152" i="8" a="1"/>
  <c r="BT152" i="8" s="1"/>
  <c r="BX34" i="9" a="1"/>
  <c r="BX34" i="9" s="1"/>
  <c r="BF68" i="9" a="1"/>
  <c r="BF68" i="9" s="1"/>
  <c r="BF59" i="9"/>
  <c r="AA141" i="28"/>
  <c r="CG75" i="12"/>
  <c r="BE59" i="9"/>
  <c r="BE68" i="9" a="1"/>
  <c r="BE68" i="9" s="1"/>
  <c r="CB26" i="8" a="1"/>
  <c r="CB26" i="8" s="1"/>
  <c r="BO39" i="9" a="1"/>
  <c r="BO39" i="9" s="1"/>
  <c r="BO26" i="8" a="1"/>
  <c r="BO26" i="8" s="1"/>
  <c r="BY46" i="9" a="1"/>
  <c r="BY46" i="9" s="1"/>
  <c r="AX34" i="9" a="1"/>
  <c r="AX34" i="9" s="1"/>
  <c r="O68" i="9" a="1"/>
  <c r="O68" i="9" s="1"/>
  <c r="O59" i="9"/>
  <c r="AN46" i="9" a="1"/>
  <c r="AN46" i="9" s="1"/>
  <c r="BO68" i="9" a="1"/>
  <c r="BO68" i="9" s="1"/>
  <c r="BO59" i="9"/>
  <c r="BU26" i="8" a="1"/>
  <c r="BU26" i="8" s="1"/>
  <c r="AV34" i="9" a="1"/>
  <c r="AV34" i="9" s="1"/>
  <c r="BV46" i="9" a="1"/>
  <c r="BV46" i="9" s="1"/>
  <c r="AS34" i="9" a="1"/>
  <c r="AS34" i="9" s="1"/>
  <c r="BU46" i="9" a="1"/>
  <c r="BU46" i="9" s="1"/>
  <c r="AO59" i="9"/>
  <c r="AO68" i="9" a="1"/>
  <c r="AO68" i="9" s="1"/>
  <c r="BQ26" i="8" a="1"/>
  <c r="BQ26" i="8" s="1"/>
  <c r="X34" i="9" a="1"/>
  <c r="X34" i="9" s="1"/>
  <c r="BE27" i="8" a="1"/>
  <c r="BE27" i="8" s="1"/>
  <c r="P27" i="8" a="1"/>
  <c r="P27" i="8" s="1"/>
  <c r="AU27" i="8" a="1"/>
  <c r="AU27" i="8" s="1"/>
  <c r="BZ26" i="8" a="1"/>
  <c r="BZ26" i="8" s="1"/>
  <c r="BA152" i="8" a="1"/>
  <c r="BA152" i="8" s="1"/>
  <c r="BA40" i="8"/>
  <c r="CA40" i="8"/>
  <c r="CA152" i="8" a="1"/>
  <c r="CA152" i="8" s="1"/>
  <c r="Y152" i="8" a="1"/>
  <c r="Y152" i="8" s="1"/>
  <c r="Y40" i="8"/>
  <c r="CC152" i="8" a="1"/>
  <c r="CC152" i="8" s="1"/>
  <c r="CC40" i="8"/>
  <c r="AH34" i="9" a="1"/>
  <c r="AH34" i="9" s="1"/>
  <c r="AH26" i="8" a="1"/>
  <c r="AH26" i="8" s="1"/>
  <c r="U46" i="9" a="1"/>
  <c r="U46" i="9" s="1"/>
  <c r="BC23" i="9" a="1"/>
  <c r="BC23" i="9" s="1"/>
  <c r="AM46" i="9" a="1"/>
  <c r="AM46" i="9" s="1"/>
  <c r="AX46" i="9" a="1"/>
  <c r="AX46" i="9" s="1"/>
  <c r="AG68" i="9" a="1"/>
  <c r="AG68" i="9" s="1"/>
  <c r="AG59" i="9"/>
  <c r="BW23" i="9" a="1"/>
  <c r="BW23" i="9" s="1"/>
  <c r="W46" i="9" a="1"/>
  <c r="W46" i="9" s="1"/>
  <c r="AT46" i="9" a="1"/>
  <c r="AT46" i="9" s="1"/>
  <c r="J26" i="8" a="1"/>
  <c r="J26" i="8" s="1"/>
  <c r="CA26" i="8" a="1"/>
  <c r="CA26" i="8" s="1"/>
  <c r="AY27" i="8" a="1"/>
  <c r="AY27" i="8" s="1"/>
  <c r="AG27" i="8" a="1"/>
  <c r="AG27" i="8" s="1"/>
  <c r="BL27" i="8" a="1"/>
  <c r="BL27" i="8" s="1"/>
  <c r="CF27" i="8" a="1"/>
  <c r="CF27" i="8" s="1"/>
  <c r="AC27" i="8" a="1"/>
  <c r="AC27" i="8" s="1"/>
  <c r="BX27" i="8" a="1"/>
  <c r="BX27" i="8" s="1"/>
  <c r="AE152" i="8" a="1"/>
  <c r="AE152" i="8" s="1"/>
  <c r="AE40" i="8"/>
  <c r="AA40" i="8"/>
  <c r="AA152" i="8" a="1"/>
  <c r="AA152" i="8" s="1"/>
  <c r="U152" i="8" a="1"/>
  <c r="U152" i="8" s="1"/>
  <c r="U40" i="8"/>
  <c r="AB152" i="8" a="1"/>
  <c r="AB152" i="8" s="1"/>
  <c r="AB40" i="8"/>
  <c r="BF40" i="8"/>
  <c r="BF152" i="8" a="1"/>
  <c r="BF152" i="8" s="1"/>
  <c r="AM152" i="8" a="1"/>
  <c r="AM152" i="8" s="1"/>
  <c r="AM40" i="8"/>
  <c r="BJ68" i="9" a="1"/>
  <c r="BJ68" i="9" s="1"/>
  <c r="BJ59" i="9"/>
  <c r="BK46" i="9" a="1"/>
  <c r="BK46" i="9" s="1"/>
  <c r="AZ27" i="8" a="1"/>
  <c r="AZ27" i="8" s="1"/>
  <c r="BB39" i="9" a="1"/>
  <c r="BB39" i="9" s="1"/>
  <c r="BH46" i="9" a="1"/>
  <c r="BH46" i="9" s="1"/>
  <c r="AS68" i="9" a="1"/>
  <c r="AS68" i="9" s="1"/>
  <c r="AS59" i="9"/>
  <c r="H46" i="9" a="1"/>
  <c r="H46" i="9" s="1"/>
  <c r="G46" i="9" a="1"/>
  <c r="G46" i="9" s="1"/>
  <c r="L23" i="9" a="1"/>
  <c r="L23" i="9" s="1"/>
  <c r="BM23" i="9" a="1"/>
  <c r="BM23" i="9" s="1"/>
  <c r="BL46" i="9" a="1"/>
  <c r="BL46" i="9" s="1"/>
  <c r="AJ34" i="9" a="1"/>
  <c r="AJ34" i="9" s="1"/>
  <c r="Z59" i="9"/>
  <c r="Z68" i="9" a="1"/>
  <c r="Z68" i="9" s="1"/>
  <c r="CD26" i="8" a="1"/>
  <c r="CD26" i="8" s="1"/>
  <c r="BU27" i="8" a="1"/>
  <c r="BU27" i="8" s="1"/>
  <c r="V27" i="8" a="1"/>
  <c r="V27" i="8" s="1"/>
  <c r="BW27" i="8" a="1"/>
  <c r="BW27" i="8" s="1"/>
  <c r="CC27" i="8" a="1"/>
  <c r="CC27" i="8" s="1"/>
  <c r="BJ26" i="8" a="1"/>
  <c r="BJ26" i="8" s="1"/>
  <c r="AR40" i="8"/>
  <c r="AR152" i="8" a="1"/>
  <c r="AR152" i="8" s="1"/>
  <c r="BE152" i="8" a="1"/>
  <c r="BE152" i="8" s="1"/>
  <c r="BE40" i="8"/>
  <c r="Q40" i="8"/>
  <c r="Q152" i="8" a="1"/>
  <c r="Q152" i="8" s="1"/>
  <c r="BY152" i="8" a="1"/>
  <c r="BY152" i="8" s="1"/>
  <c r="BY40" i="8"/>
  <c r="BJ152" i="8" a="1"/>
  <c r="BJ152" i="8" s="1"/>
  <c r="BJ40" i="8"/>
  <c r="I46" i="9" a="1"/>
  <c r="I46" i="9" s="1"/>
  <c r="AE27" i="8" a="1"/>
  <c r="AE27" i="8" s="1"/>
  <c r="BN39" i="9" a="1"/>
  <c r="BN39" i="9" s="1"/>
  <c r="L59" i="9"/>
  <c r="L68" i="9" a="1"/>
  <c r="L68" i="9" s="1"/>
  <c r="BR46" i="9" a="1"/>
  <c r="BR46" i="9" s="1"/>
  <c r="CJ41" i="12" a="1"/>
  <c r="CJ41" i="12" s="1"/>
  <c r="AA59" i="9"/>
  <c r="AA68" i="9" a="1"/>
  <c r="AA68" i="9" s="1"/>
  <c r="AG26" i="8" a="1"/>
  <c r="AG26" i="8" s="1"/>
  <c r="O23" i="9" a="1"/>
  <c r="O23" i="9" s="1"/>
  <c r="BU59" i="9"/>
  <c r="BU68" i="9" a="1"/>
  <c r="BU68" i="9" s="1"/>
  <c r="AB26" i="8" a="1"/>
  <c r="AB26" i="8" s="1"/>
  <c r="CD27" i="8" a="1"/>
  <c r="CD27" i="8" s="1"/>
  <c r="J27" i="8" a="1"/>
  <c r="J27" i="8" s="1"/>
  <c r="AX27" i="8" a="1"/>
  <c r="AX27" i="8" s="1"/>
  <c r="AC40" i="8"/>
  <c r="AC152" i="8" a="1"/>
  <c r="AC152" i="8" s="1"/>
  <c r="AL40" i="8"/>
  <c r="AL152" i="8" a="1"/>
  <c r="AL152" i="8" s="1"/>
  <c r="AK68" i="9" a="1"/>
  <c r="AK68" i="9" s="1"/>
  <c r="AK59" i="9"/>
  <c r="F68" i="9" a="1"/>
  <c r="F68" i="9" s="1"/>
  <c r="F59" i="9"/>
  <c r="BY39" i="9" a="1"/>
  <c r="BY39" i="9" s="1"/>
  <c r="J30" i="33" l="1"/>
  <c r="K30" i="33" s="1"/>
  <c r="N31" i="33"/>
  <c r="O31" i="33" s="1"/>
  <c r="J31" i="33"/>
  <c r="K31" i="33" s="1"/>
  <c r="G103" i="33" a="1"/>
  <c r="G103" i="33" s="1"/>
  <c r="N40" i="33"/>
  <c r="O40" i="33" s="1"/>
  <c r="J40" i="33"/>
  <c r="K40" i="33" s="1"/>
  <c r="G102" i="33" a="1"/>
  <c r="G102" i="33" s="1"/>
  <c r="J36" i="33"/>
  <c r="K36" i="33" s="1"/>
  <c r="G45" i="33"/>
  <c r="N36" i="33"/>
  <c r="O36" i="33" s="1"/>
  <c r="AY18" i="9" a="1"/>
  <c r="AY18" i="9" s="1"/>
  <c r="G18" i="9" a="1"/>
  <c r="G18" i="9" s="1"/>
  <c r="H18" i="9" a="1"/>
  <c r="H18" i="9" s="1"/>
  <c r="BE18" i="9" a="1"/>
  <c r="BE18" i="9" s="1"/>
  <c r="AO18" i="9" a="1"/>
  <c r="AO18" i="9" s="1"/>
  <c r="BH93" i="13"/>
  <c r="BH18" i="9" a="1"/>
  <c r="BH18" i="9" s="1"/>
  <c r="AW18" i="9" a="1"/>
  <c r="AW18" i="9" s="1"/>
  <c r="AP18" i="9" a="1"/>
  <c r="AP18" i="9" s="1"/>
  <c r="BR18" i="9" a="1"/>
  <c r="BR18" i="9" s="1"/>
  <c r="AF18" i="9" a="1"/>
  <c r="AF18" i="9" s="1"/>
  <c r="V18" i="9" a="1"/>
  <c r="V18" i="9" s="1"/>
  <c r="AV18" i="9" a="1"/>
  <c r="AV18" i="9" s="1"/>
  <c r="BS18" i="9" a="1"/>
  <c r="BS18" i="9" s="1"/>
  <c r="BM18" i="9" a="1"/>
  <c r="BM18" i="9" s="1"/>
  <c r="AI18" i="9" a="1"/>
  <c r="AI18" i="9" s="1"/>
  <c r="L18" i="9" a="1"/>
  <c r="L18" i="9" s="1"/>
  <c r="AS18" i="9" a="1"/>
  <c r="AS18" i="9" s="1"/>
  <c r="BB18" i="9" a="1"/>
  <c r="BB18" i="9" s="1"/>
  <c r="BK18" i="9" a="1"/>
  <c r="BK18" i="9" s="1"/>
  <c r="BQ18" i="9" a="1"/>
  <c r="BQ18" i="9" s="1"/>
  <c r="BA18" i="9" a="1"/>
  <c r="BA18" i="9" s="1"/>
  <c r="BG18" i="9" a="1"/>
  <c r="BG18" i="9" s="1"/>
  <c r="AK18" i="9" a="1"/>
  <c r="AK18" i="9" s="1"/>
  <c r="AJ18" i="9" a="1"/>
  <c r="AJ18" i="9" s="1"/>
  <c r="AR18" i="9" a="1"/>
  <c r="AR18" i="9" s="1"/>
  <c r="S18" i="9" a="1"/>
  <c r="S18" i="9" s="1"/>
  <c r="AD18" i="9" a="1"/>
  <c r="AD18" i="9" s="1"/>
  <c r="BL18" i="9" a="1"/>
  <c r="BL18" i="9" s="1"/>
  <c r="BT18" i="9" a="1"/>
  <c r="BT18" i="9" s="1"/>
  <c r="AE18" i="9" a="1"/>
  <c r="AE18" i="9" s="1"/>
  <c r="O18" i="9" a="1"/>
  <c r="O18" i="9" s="1"/>
  <c r="P18" i="9" a="1"/>
  <c r="P18" i="9" s="1"/>
  <c r="BU18" i="9" a="1"/>
  <c r="BU18" i="9" s="1"/>
  <c r="AX18" i="9" a="1"/>
  <c r="AX18" i="9" s="1"/>
  <c r="M18" i="9" a="1"/>
  <c r="M18" i="9" s="1"/>
  <c r="Q18" i="9" a="1"/>
  <c r="Q18" i="9" s="1"/>
  <c r="AL18" i="9" a="1"/>
  <c r="AL18" i="9" s="1"/>
  <c r="BO18" i="9" a="1"/>
  <c r="BO18" i="9" s="1"/>
  <c r="R18" i="9" a="1"/>
  <c r="R18" i="9" s="1"/>
  <c r="F18" i="9" a="1"/>
  <c r="F18" i="9" s="1"/>
  <c r="T18" i="9" a="1"/>
  <c r="T18" i="9" s="1"/>
  <c r="AT18" i="9" a="1"/>
  <c r="AT18" i="9" s="1"/>
  <c r="Z18" i="9" a="1"/>
  <c r="Z18" i="9" s="1"/>
  <c r="AN18" i="9" a="1"/>
  <c r="AN18" i="9" s="1"/>
  <c r="BW18" i="9" a="1"/>
  <c r="BW18" i="9" s="1"/>
  <c r="Y18" i="9" a="1"/>
  <c r="Y18" i="9" s="1"/>
  <c r="BV18" i="9" a="1"/>
  <c r="BV18" i="9" s="1"/>
  <c r="BX18" i="9" a="1"/>
  <c r="BX18" i="9" s="1"/>
  <c r="AG18" i="9" a="1"/>
  <c r="AG18" i="9" s="1"/>
  <c r="BC18" i="9" a="1"/>
  <c r="BC18" i="9" s="1"/>
  <c r="AU18" i="9" a="1"/>
  <c r="AU18" i="9" s="1"/>
  <c r="X18" i="9" a="1"/>
  <c r="X18" i="9" s="1"/>
  <c r="AA18" i="9" a="1"/>
  <c r="AA18" i="9" s="1"/>
  <c r="AZ18" i="9" a="1"/>
  <c r="AZ18" i="9" s="1"/>
  <c r="AQ18" i="9" a="1"/>
  <c r="AQ18" i="9" s="1"/>
  <c r="AM18" i="9" a="1"/>
  <c r="AM18" i="9" s="1"/>
  <c r="BN18" i="9" a="1"/>
  <c r="BN18" i="9" s="1"/>
  <c r="N18" i="9" a="1"/>
  <c r="N18" i="9" s="1"/>
  <c r="BP18" i="9" a="1"/>
  <c r="BP18" i="9" s="1"/>
  <c r="I18" i="9" a="1"/>
  <c r="I18" i="9" s="1"/>
  <c r="U18" i="9" a="1"/>
  <c r="U18" i="9" s="1"/>
  <c r="BD18" i="9" a="1"/>
  <c r="BD18" i="9" s="1"/>
  <c r="BF18" i="9" a="1"/>
  <c r="BF18" i="9" s="1"/>
  <c r="BF26" i="9"/>
  <c r="AH18" i="9" a="1"/>
  <c r="AH18" i="9" s="1"/>
  <c r="W18" i="9" a="1"/>
  <c r="W18" i="9" s="1"/>
  <c r="BI18" i="9" a="1"/>
  <c r="BI18" i="9" s="1"/>
  <c r="BJ18" i="9" a="1"/>
  <c r="BJ18" i="9" s="1"/>
  <c r="BH13" i="13" a="1"/>
  <c r="BH13" i="13" s="1"/>
  <c r="K25" i="8" s="1" a="1"/>
  <c r="K25" i="8" s="1"/>
  <c r="S29" i="12"/>
  <c r="BH47" i="13"/>
  <c r="L33" i="9" s="1" a="1"/>
  <c r="L33" i="9" s="1"/>
  <c r="BG150" i="13"/>
  <c r="S91" i="12"/>
  <c r="AK91" i="12"/>
  <c r="X26" i="9"/>
  <c r="AO26" i="9"/>
  <c r="BT26" i="9"/>
  <c r="BY26" i="9"/>
  <c r="AE26" i="9"/>
  <c r="AQ26" i="9"/>
  <c r="W26" i="9"/>
  <c r="S26" i="9"/>
  <c r="AV26" i="9"/>
  <c r="AG26" i="9"/>
  <c r="M26" i="9"/>
  <c r="AH26" i="9"/>
  <c r="BT33" i="9" a="1"/>
  <c r="BT33" i="9" s="1"/>
  <c r="AX26" i="9"/>
  <c r="P26" i="9"/>
  <c r="BB26" i="9"/>
  <c r="BQ26" i="9"/>
  <c r="AR26" i="9"/>
  <c r="BC26" i="9"/>
  <c r="BE24" i="13" a="1"/>
  <c r="BE24" i="13" s="1"/>
  <c r="AJ75" i="12"/>
  <c r="BE80" i="13"/>
  <c r="BR26" i="9"/>
  <c r="G26" i="9"/>
  <c r="AI26" i="9"/>
  <c r="AU26" i="9"/>
  <c r="V26" i="9"/>
  <c r="BD26" i="9"/>
  <c r="BA26" i="9"/>
  <c r="AP26" i="9"/>
  <c r="AW26" i="9"/>
  <c r="AK26" i="9"/>
  <c r="BW26" i="9"/>
  <c r="BG26" i="9"/>
  <c r="BI26" i="9"/>
  <c r="T26" i="9"/>
  <c r="BX26" i="9"/>
  <c r="AM26" i="9"/>
  <c r="BM26" i="9"/>
  <c r="BH59" i="13"/>
  <c r="S41" i="12"/>
  <c r="BH16" i="13" a="1"/>
  <c r="BH16" i="13" s="1"/>
  <c r="BU24" i="8" s="1" a="1"/>
  <c r="BU24" i="8" s="1"/>
  <c r="AK41" i="12"/>
  <c r="AK26" i="12" s="1"/>
  <c r="U26" i="9"/>
  <c r="BL26" i="9"/>
  <c r="N26" i="9"/>
  <c r="AJ26" i="9"/>
  <c r="BN26" i="9"/>
  <c r="AY26" i="9"/>
  <c r="I26" i="9"/>
  <c r="AF26" i="9"/>
  <c r="AS26" i="9"/>
  <c r="BV26" i="9"/>
  <c r="BH26" i="9"/>
  <c r="BP26" i="9"/>
  <c r="AZ26" i="9"/>
  <c r="BJ26" i="9"/>
  <c r="BY135" i="28"/>
  <c r="BY138" i="28" s="1"/>
  <c r="BX141" i="28"/>
  <c r="CH75" i="12" s="1"/>
  <c r="L26" i="9"/>
  <c r="AL26" i="9"/>
  <c r="BK26" i="9"/>
  <c r="F26" i="9"/>
  <c r="AN26" i="9"/>
  <c r="CJ26" i="12"/>
  <c r="AT26" i="9"/>
  <c r="Z26" i="9"/>
  <c r="H26" i="9"/>
  <c r="BY149" i="29"/>
  <c r="BY152" i="29" s="1"/>
  <c r="BX155" i="29"/>
  <c r="CH92" i="12" s="1"/>
  <c r="AJ92" i="12"/>
  <c r="BE32" i="13" a="1"/>
  <c r="BE32" i="13" s="1"/>
  <c r="BE94" i="13"/>
  <c r="O26" i="9"/>
  <c r="AA26" i="9"/>
  <c r="BO26" i="9"/>
  <c r="BE26" i="9"/>
  <c r="BS26" i="9"/>
  <c r="R26" i="9"/>
  <c r="Y26" i="9"/>
  <c r="BU26" i="9"/>
  <c r="AD26" i="9"/>
  <c r="Q26" i="9"/>
  <c r="I28" i="33" l="1" a="1"/>
  <c r="I28" i="33" s="1"/>
  <c r="G28" i="33" a="1"/>
  <c r="G28" i="33" s="1"/>
  <c r="I27" i="33" a="1"/>
  <c r="I27" i="33" s="1"/>
  <c r="M27" i="33" a="1"/>
  <c r="M27" i="33" s="1"/>
  <c r="G27" i="33" a="1"/>
  <c r="G27" i="33" s="1"/>
  <c r="M28" i="33" a="1"/>
  <c r="M28" i="33" s="1"/>
  <c r="N28" i="33" s="1"/>
  <c r="O28" i="33" s="1"/>
  <c r="J45" i="33"/>
  <c r="K45" i="33" s="1"/>
  <c r="N45" i="33"/>
  <c r="O45" i="33" s="1"/>
  <c r="I33" i="9" a="1"/>
  <c r="I33" i="9" s="1"/>
  <c r="Y33" i="9" a="1"/>
  <c r="Y33" i="9" s="1"/>
  <c r="W33" i="9" a="1"/>
  <c r="W33" i="9" s="1"/>
  <c r="BD33" i="9" a="1"/>
  <c r="BD33" i="9" s="1"/>
  <c r="H33" i="9" a="1"/>
  <c r="H33" i="9" s="1"/>
  <c r="AX33" i="9" a="1"/>
  <c r="AX33" i="9" s="1"/>
  <c r="AE33" i="9" a="1"/>
  <c r="AE33" i="9" s="1"/>
  <c r="S33" i="9" a="1"/>
  <c r="S33" i="9" s="1"/>
  <c r="G33" i="9" a="1"/>
  <c r="G33" i="9" s="1"/>
  <c r="X33" i="9" a="1"/>
  <c r="X33" i="9" s="1"/>
  <c r="AP33" i="9" a="1"/>
  <c r="AP33" i="9" s="1"/>
  <c r="AQ33" i="9" a="1"/>
  <c r="AQ33" i="9" s="1"/>
  <c r="AR33" i="9" a="1"/>
  <c r="AR33" i="9" s="1"/>
  <c r="BI33" i="9" a="1"/>
  <c r="BI33" i="9" s="1"/>
  <c r="M33" i="9" a="1"/>
  <c r="M33" i="9" s="1"/>
  <c r="AZ33" i="9" a="1"/>
  <c r="AZ33" i="9" s="1"/>
  <c r="P33" i="9" a="1"/>
  <c r="P33" i="9" s="1"/>
  <c r="U33" i="9" a="1"/>
  <c r="U33" i="9" s="1"/>
  <c r="AY33" i="9" a="1"/>
  <c r="AY33" i="9" s="1"/>
  <c r="Z25" i="8" a="1"/>
  <c r="Z25" i="8" s="1"/>
  <c r="AA33" i="9" a="1"/>
  <c r="AA33" i="9" s="1"/>
  <c r="BE25" i="8" a="1"/>
  <c r="BE25" i="8" s="1"/>
  <c r="CB25" i="8" a="1"/>
  <c r="CB25" i="8" s="1"/>
  <c r="CA25" i="8" a="1"/>
  <c r="CA25" i="8" s="1"/>
  <c r="AU25" i="8" a="1"/>
  <c r="AU25" i="8" s="1"/>
  <c r="U25" i="8" a="1"/>
  <c r="U25" i="8" s="1"/>
  <c r="AM25" i="8" a="1"/>
  <c r="AM25" i="8" s="1"/>
  <c r="AB25" i="8" a="1"/>
  <c r="AB25" i="8" s="1"/>
  <c r="CC25" i="8" a="1"/>
  <c r="CC25" i="8" s="1"/>
  <c r="X25" i="8" a="1"/>
  <c r="X25" i="8" s="1"/>
  <c r="AN25" i="8" a="1"/>
  <c r="AN25" i="8" s="1"/>
  <c r="BU25" i="8" a="1"/>
  <c r="BU25" i="8" s="1"/>
  <c r="BU23" i="8" s="1"/>
  <c r="BU151" i="8" s="1" a="1"/>
  <c r="BU151" i="8" s="1"/>
  <c r="J25" i="8" a="1"/>
  <c r="J25" i="8" s="1"/>
  <c r="AV25" i="8" a="1"/>
  <c r="AV25" i="8" s="1"/>
  <c r="BT25" i="8" a="1"/>
  <c r="BT25" i="8" s="1"/>
  <c r="AR25" i="8" a="1"/>
  <c r="AR25" i="8" s="1"/>
  <c r="CG25" i="8" a="1"/>
  <c r="CG25" i="8" s="1"/>
  <c r="BO25" i="8" a="1"/>
  <c r="BO25" i="8" s="1"/>
  <c r="BZ25" i="8" a="1"/>
  <c r="BZ25" i="8" s="1"/>
  <c r="AP25" i="8" a="1"/>
  <c r="AP25" i="8" s="1"/>
  <c r="Y25" i="8" a="1"/>
  <c r="Y25" i="8" s="1"/>
  <c r="AD33" i="9" a="1"/>
  <c r="AD33" i="9" s="1"/>
  <c r="AG33" i="9" a="1"/>
  <c r="AG33" i="9" s="1"/>
  <c r="BN33" i="9" a="1"/>
  <c r="BN33" i="9" s="1"/>
  <c r="AW33" i="9" a="1"/>
  <c r="AW33" i="9" s="1"/>
  <c r="T33" i="9" a="1"/>
  <c r="T33" i="9" s="1"/>
  <c r="R33" i="9" a="1"/>
  <c r="R33" i="9" s="1"/>
  <c r="BV33" i="9" a="1"/>
  <c r="BV33" i="9" s="1"/>
  <c r="BX33" i="9" a="1"/>
  <c r="BX33" i="9" s="1"/>
  <c r="AF25" i="8" a="1"/>
  <c r="AF25" i="8" s="1"/>
  <c r="BJ25" i="8" a="1"/>
  <c r="BJ25" i="8" s="1"/>
  <c r="BU33" i="9" a="1"/>
  <c r="BU33" i="9" s="1"/>
  <c r="AK33" i="9" a="1"/>
  <c r="AK33" i="9" s="1"/>
  <c r="Q33" i="9" a="1"/>
  <c r="Q33" i="9" s="1"/>
  <c r="BW33" i="9" a="1"/>
  <c r="BW33" i="9" s="1"/>
  <c r="AO33" i="9" a="1"/>
  <c r="AO33" i="9" s="1"/>
  <c r="BC25" i="8" a="1"/>
  <c r="BC25" i="8" s="1"/>
  <c r="CF25" i="8" a="1"/>
  <c r="CF25" i="8" s="1"/>
  <c r="BA25" i="8" a="1"/>
  <c r="BA25" i="8" s="1"/>
  <c r="O25" i="8" a="1"/>
  <c r="O25" i="8" s="1"/>
  <c r="BG25" i="8" a="1"/>
  <c r="BG25" i="8" s="1"/>
  <c r="CD25" i="8" a="1"/>
  <c r="CD25" i="8" s="1"/>
  <c r="AE25" i="8" a="1"/>
  <c r="AE25" i="8" s="1"/>
  <c r="AN33" i="9" a="1"/>
  <c r="AN33" i="9" s="1"/>
  <c r="BS25" i="8" a="1"/>
  <c r="BS25" i="8" s="1"/>
  <c r="BM33" i="9" a="1"/>
  <c r="BM33" i="9" s="1"/>
  <c r="BF25" i="8" a="1"/>
  <c r="BF25" i="8" s="1"/>
  <c r="AS33" i="9" a="1"/>
  <c r="AS33" i="9" s="1"/>
  <c r="BV25" i="8" a="1"/>
  <c r="BV25" i="8" s="1"/>
  <c r="AA25" i="8" a="1"/>
  <c r="AA25" i="8" s="1"/>
  <c r="AX25" i="8" a="1"/>
  <c r="AX25" i="8" s="1"/>
  <c r="BQ25" i="8" a="1"/>
  <c r="BQ25" i="8" s="1"/>
  <c r="W25" i="8" a="1"/>
  <c r="W25" i="8" s="1"/>
  <c r="V25" i="8" a="1"/>
  <c r="V25" i="8" s="1"/>
  <c r="AZ25" i="8" a="1"/>
  <c r="AZ25" i="8" s="1"/>
  <c r="BR33" i="9" a="1"/>
  <c r="BR33" i="9" s="1"/>
  <c r="AO25" i="8" a="1"/>
  <c r="AO25" i="8" s="1"/>
  <c r="BB33" i="9" a="1"/>
  <c r="BB33" i="9" s="1"/>
  <c r="BH33" i="9" a="1"/>
  <c r="BH33" i="9" s="1"/>
  <c r="BJ33" i="9" a="1"/>
  <c r="BJ33" i="9" s="1"/>
  <c r="BN25" i="8" a="1"/>
  <c r="BN25" i="8" s="1"/>
  <c r="BH25" i="8" a="1"/>
  <c r="BH25" i="8" s="1"/>
  <c r="BY25" i="8" a="1"/>
  <c r="BY25" i="8" s="1"/>
  <c r="Q25" i="8" a="1"/>
  <c r="Q25" i="8" s="1"/>
  <c r="N33" i="9" a="1"/>
  <c r="N33" i="9" s="1"/>
  <c r="BB25" i="8" a="1"/>
  <c r="BB25" i="8" s="1"/>
  <c r="AW25" i="8" a="1"/>
  <c r="AW25" i="8" s="1"/>
  <c r="BL25" i="8" a="1"/>
  <c r="BL25" i="8" s="1"/>
  <c r="V33" i="9" a="1"/>
  <c r="V33" i="9" s="1"/>
  <c r="BE33" i="9" a="1"/>
  <c r="BE33" i="9" s="1"/>
  <c r="BI25" i="8" a="1"/>
  <c r="BI25" i="8" s="1"/>
  <c r="BO33" i="9" a="1"/>
  <c r="BO33" i="9" s="1"/>
  <c r="P25" i="8" a="1"/>
  <c r="P25" i="8" s="1"/>
  <c r="BP25" i="8" a="1"/>
  <c r="BP25" i="8" s="1"/>
  <c r="O33" i="9" a="1"/>
  <c r="O33" i="9" s="1"/>
  <c r="AD25" i="8" a="1"/>
  <c r="AD25" i="8" s="1"/>
  <c r="BR25" i="8" a="1"/>
  <c r="BR25" i="8" s="1"/>
  <c r="BC33" i="9" a="1"/>
  <c r="BC33" i="9" s="1"/>
  <c r="AH25" i="8" a="1"/>
  <c r="AH25" i="8" s="1"/>
  <c r="AS25" i="8" a="1"/>
  <c r="AS25" i="8" s="1"/>
  <c r="BA33" i="9" a="1"/>
  <c r="BA33" i="9" s="1"/>
  <c r="N25" i="8" a="1"/>
  <c r="N25" i="8" s="1"/>
  <c r="CE25" i="8" a="1"/>
  <c r="CE25" i="8" s="1"/>
  <c r="BQ33" i="9" a="1"/>
  <c r="BQ33" i="9" s="1"/>
  <c r="AT25" i="8" a="1"/>
  <c r="AT25" i="8" s="1"/>
  <c r="BL33" i="9" a="1"/>
  <c r="BL33" i="9" s="1"/>
  <c r="AY25" i="8" a="1"/>
  <c r="AY25" i="8" s="1"/>
  <c r="BK25" i="8" a="1"/>
  <c r="BK25" i="8" s="1"/>
  <c r="AG25" i="8" a="1"/>
  <c r="AG25" i="8" s="1"/>
  <c r="AC25" i="8" a="1"/>
  <c r="AC25" i="8" s="1"/>
  <c r="BD25" i="8" a="1"/>
  <c r="BD25" i="8" s="1"/>
  <c r="AM33" i="9" a="1"/>
  <c r="AM33" i="9" s="1"/>
  <c r="BW25" i="8" a="1"/>
  <c r="BW25" i="8" s="1"/>
  <c r="AV33" i="9" a="1"/>
  <c r="AV33" i="9" s="1"/>
  <c r="BS33" i="9" a="1"/>
  <c r="BS33" i="9" s="1"/>
  <c r="BF33" i="9" a="1"/>
  <c r="BF33" i="9" s="1"/>
  <c r="BX25" i="8" a="1"/>
  <c r="BX25" i="8" s="1"/>
  <c r="AJ33" i="9" a="1"/>
  <c r="AJ33" i="9" s="1"/>
  <c r="AI25" i="8" a="1"/>
  <c r="AI25" i="8" s="1"/>
  <c r="AQ25" i="8" a="1"/>
  <c r="AQ25" i="8" s="1"/>
  <c r="BP33" i="9" a="1"/>
  <c r="BP33" i="9" s="1"/>
  <c r="AL25" i="8" a="1"/>
  <c r="AL25" i="8" s="1"/>
  <c r="AH33" i="9" a="1"/>
  <c r="AH33" i="9" s="1"/>
  <c r="BY33" i="9" a="1"/>
  <c r="BY33" i="9" s="1"/>
  <c r="BG33" i="9" a="1"/>
  <c r="BG33" i="9" s="1"/>
  <c r="BK33" i="9" a="1"/>
  <c r="BK33" i="9" s="1"/>
  <c r="BM25" i="8" a="1"/>
  <c r="BM25" i="8" s="1"/>
  <c r="F33" i="9" a="1"/>
  <c r="F33" i="9" s="1"/>
  <c r="AI33" i="9" a="1"/>
  <c r="AI33" i="9" s="1"/>
  <c r="AU33" i="9" a="1"/>
  <c r="AU33" i="9" s="1"/>
  <c r="T25" i="8" a="1"/>
  <c r="T25" i="8" s="1"/>
  <c r="AF33" i="9" a="1"/>
  <c r="AF33" i="9" s="1"/>
  <c r="AT33" i="9" a="1"/>
  <c r="AT33" i="9" s="1"/>
  <c r="AL33" i="9" a="1"/>
  <c r="AL33" i="9" s="1"/>
  <c r="S26" i="12"/>
  <c r="BG29" i="22" a="1"/>
  <c r="BG29" i="22" s="1"/>
  <c r="BH159" i="13"/>
  <c r="AR29" i="22" a="1"/>
  <c r="AR29" i="22" s="1"/>
  <c r="CE24" i="8" a="1"/>
  <c r="CE24" i="8" s="1"/>
  <c r="CD24" i="8" a="1"/>
  <c r="CD24" i="8" s="1"/>
  <c r="BG24" i="8" a="1"/>
  <c r="BG24" i="8" s="1"/>
  <c r="BL29" i="22" a="1"/>
  <c r="BL29" i="22" s="1"/>
  <c r="BD29" i="22" a="1"/>
  <c r="BD29" i="22" s="1"/>
  <c r="BE24" i="8" a="1"/>
  <c r="BE24" i="8" s="1"/>
  <c r="AQ29" i="22" a="1"/>
  <c r="AQ29" i="22" s="1"/>
  <c r="AL24" i="8" a="1"/>
  <c r="AL24" i="8" s="1"/>
  <c r="BT24" i="8" a="1"/>
  <c r="BT24" i="8" s="1"/>
  <c r="BT23" i="8" s="1"/>
  <c r="BT151" i="8" s="1" a="1"/>
  <c r="BT151" i="8" s="1"/>
  <c r="AK29" i="22" a="1"/>
  <c r="AK29" i="22" s="1"/>
  <c r="AM29" i="22" a="1"/>
  <c r="AM29" i="22" s="1"/>
  <c r="CC24" i="8" a="1"/>
  <c r="CC24" i="8" s="1"/>
  <c r="BL24" i="8" a="1"/>
  <c r="BL24" i="8" s="1"/>
  <c r="BH29" i="22" a="1"/>
  <c r="BH29" i="22" s="1"/>
  <c r="BJ29" i="22" a="1"/>
  <c r="BJ29" i="22" s="1"/>
  <c r="AG29" i="22" a="1"/>
  <c r="AG29" i="22" s="1"/>
  <c r="AZ24" i="8" a="1"/>
  <c r="AZ24" i="8" s="1"/>
  <c r="BK29" i="22" a="1"/>
  <c r="BK29" i="22" s="1"/>
  <c r="BF29" i="22" a="1"/>
  <c r="BF29" i="22" s="1"/>
  <c r="BA29" i="22" a="1"/>
  <c r="BA29" i="22" s="1"/>
  <c r="BV24" i="8" a="1"/>
  <c r="BV24" i="8" s="1"/>
  <c r="AB24" i="8" a="1"/>
  <c r="AB24" i="8" s="1"/>
  <c r="BN24" i="8" a="1"/>
  <c r="BN24" i="8" s="1"/>
  <c r="AN29" i="22" a="1"/>
  <c r="AN29" i="22" s="1"/>
  <c r="BX24" i="8" a="1"/>
  <c r="BX24" i="8" s="1"/>
  <c r="BH24" i="8" a="1"/>
  <c r="BH24" i="8" s="1"/>
  <c r="N24" i="8" a="1"/>
  <c r="N24" i="8" s="1"/>
  <c r="BC29" i="22" a="1"/>
  <c r="BC29" i="22" s="1"/>
  <c r="BJ24" i="8" a="1"/>
  <c r="BJ24" i="8" s="1"/>
  <c r="BH150" i="13"/>
  <c r="BW29" i="22" a="1"/>
  <c r="BW29" i="22" s="1"/>
  <c r="AT24" i="8" a="1"/>
  <c r="AT24" i="8" s="1"/>
  <c r="AR24" i="8" a="1"/>
  <c r="AR24" i="8" s="1"/>
  <c r="BR24" i="8" a="1"/>
  <c r="BR24" i="8" s="1"/>
  <c r="AQ24" i="8" a="1"/>
  <c r="AQ24" i="8" s="1"/>
  <c r="CG24" i="8" a="1"/>
  <c r="CG24" i="8" s="1"/>
  <c r="BI24" i="8" a="1"/>
  <c r="BI24" i="8" s="1"/>
  <c r="BB29" i="22" a="1"/>
  <c r="BB29" i="22" s="1"/>
  <c r="AX29" i="22" a="1"/>
  <c r="AX29" i="22" s="1"/>
  <c r="AY29" i="22" a="1"/>
  <c r="AY29" i="22" s="1"/>
  <c r="AM24" i="8" a="1"/>
  <c r="AM24" i="8" s="1"/>
  <c r="O24" i="8" a="1"/>
  <c r="O24" i="8" s="1"/>
  <c r="AI29" i="22" a="1"/>
  <c r="AI29" i="22" s="1"/>
  <c r="BM24" i="8" a="1"/>
  <c r="BM24" i="8" s="1"/>
  <c r="BQ24" i="8" a="1"/>
  <c r="BQ24" i="8" s="1"/>
  <c r="AP29" i="22" a="1"/>
  <c r="AP29" i="22" s="1"/>
  <c r="BB24" i="8" a="1"/>
  <c r="BB24" i="8" s="1"/>
  <c r="AI24" i="8" a="1"/>
  <c r="AI24" i="8" s="1"/>
  <c r="U24" i="8" a="1"/>
  <c r="U24" i="8" s="1"/>
  <c r="Y24" i="8" a="1"/>
  <c r="Y24" i="8" s="1"/>
  <c r="BN29" i="22" a="1"/>
  <c r="BN29" i="22" s="1"/>
  <c r="AU24" i="8" a="1"/>
  <c r="AU24" i="8" s="1"/>
  <c r="BV29" i="22" a="1"/>
  <c r="BV29" i="22" s="1"/>
  <c r="AX24" i="8" a="1"/>
  <c r="AX24" i="8" s="1"/>
  <c r="BO24" i="8" a="1"/>
  <c r="BO24" i="8" s="1"/>
  <c r="CA24" i="8" a="1"/>
  <c r="CA24" i="8" s="1"/>
  <c r="BY29" i="22" a="1"/>
  <c r="BY29" i="22" s="1"/>
  <c r="T24" i="8" a="1"/>
  <c r="T24" i="8" s="1"/>
  <c r="AF24" i="8" a="1"/>
  <c r="AF24" i="8" s="1"/>
  <c r="Z24" i="8" a="1"/>
  <c r="Z24" i="8" s="1"/>
  <c r="BS24" i="8" a="1"/>
  <c r="BS24" i="8" s="1"/>
  <c r="AH29" i="22" a="1"/>
  <c r="AH29" i="22" s="1"/>
  <c r="AE24" i="8" a="1"/>
  <c r="AE24" i="8" s="1"/>
  <c r="BX29" i="22" a="1"/>
  <c r="BX29" i="22" s="1"/>
  <c r="AL29" i="22" a="1"/>
  <c r="AL29" i="22" s="1"/>
  <c r="CB24" i="8" a="1"/>
  <c r="CB24" i="8" s="1"/>
  <c r="AT29" i="22" a="1"/>
  <c r="AT29" i="22" s="1"/>
  <c r="AG24" i="8" a="1"/>
  <c r="AG24" i="8" s="1"/>
  <c r="BI29" i="22" a="1"/>
  <c r="BI29" i="22" s="1"/>
  <c r="Q24" i="8" a="1"/>
  <c r="Q24" i="8" s="1"/>
  <c r="AA24" i="8" a="1"/>
  <c r="AA24" i="8" s="1"/>
  <c r="AS24" i="8" a="1"/>
  <c r="AS24" i="8" s="1"/>
  <c r="BA24" i="8" a="1"/>
  <c r="BA24" i="8" s="1"/>
  <c r="AY24" i="8" a="1"/>
  <c r="AY24" i="8" s="1"/>
  <c r="AP24" i="8" a="1"/>
  <c r="AP24" i="8" s="1"/>
  <c r="BR29" i="22" a="1"/>
  <c r="BR29" i="22" s="1"/>
  <c r="AV29" i="22" a="1"/>
  <c r="AV29" i="22" s="1"/>
  <c r="CF24" i="8" a="1"/>
  <c r="CF24" i="8" s="1"/>
  <c r="BU29" i="22" a="1"/>
  <c r="BU29" i="22" s="1"/>
  <c r="AW24" i="8" a="1"/>
  <c r="AW24" i="8" s="1"/>
  <c r="AS29" i="22" a="1"/>
  <c r="AS29" i="22" s="1"/>
  <c r="BE29" i="22" a="1"/>
  <c r="BE29" i="22" s="1"/>
  <c r="K24" i="8" a="1"/>
  <c r="K24" i="8" s="1"/>
  <c r="K23" i="8" s="1"/>
  <c r="BF94" i="13"/>
  <c r="BF32" i="13" a="1"/>
  <c r="BF32" i="13" s="1"/>
  <c r="AY41" i="9" a="1"/>
  <c r="AY41" i="9" s="1"/>
  <c r="AW41" i="9" a="1"/>
  <c r="AW41" i="9" s="1"/>
  <c r="Y41" i="9" a="1"/>
  <c r="Y41" i="9" s="1"/>
  <c r="Y49" i="9" s="1"/>
  <c r="BN41" i="9" a="1"/>
  <c r="BN41" i="9" s="1"/>
  <c r="T41" i="9" a="1"/>
  <c r="T41" i="9" s="1"/>
  <c r="BB41" i="9" a="1"/>
  <c r="BB41" i="9" s="1"/>
  <c r="S41" i="9" a="1"/>
  <c r="S41" i="9" s="1"/>
  <c r="BC41" i="9" a="1"/>
  <c r="BC41" i="9" s="1"/>
  <c r="G41" i="9" a="1"/>
  <c r="G41" i="9" s="1"/>
  <c r="Q41" i="9" a="1"/>
  <c r="Q41" i="9" s="1"/>
  <c r="BE41" i="9" a="1"/>
  <c r="BE41" i="9" s="1"/>
  <c r="BE49" i="9" s="1"/>
  <c r="BR41" i="9" a="1"/>
  <c r="BR41" i="9" s="1"/>
  <c r="BD41" i="9" a="1"/>
  <c r="BD41" i="9" s="1"/>
  <c r="AU41" i="9" a="1"/>
  <c r="AU41" i="9" s="1"/>
  <c r="U41" i="9" a="1"/>
  <c r="U41" i="9" s="1"/>
  <c r="AK41" i="9" a="1"/>
  <c r="AK41" i="9" s="1"/>
  <c r="AM41" i="9" a="1"/>
  <c r="AM41" i="9" s="1"/>
  <c r="AM49" i="9" s="1"/>
  <c r="AM67" i="9" s="1" a="1"/>
  <c r="AM67" i="9" s="1"/>
  <c r="AD41" i="9" a="1"/>
  <c r="AD41" i="9" s="1"/>
  <c r="AS41" i="9" a="1"/>
  <c r="AS41" i="9" s="1"/>
  <c r="V41" i="9" a="1"/>
  <c r="V41" i="9" s="1"/>
  <c r="BH41" i="9" a="1"/>
  <c r="BH41" i="9" s="1"/>
  <c r="P41" i="9" a="1"/>
  <c r="P41" i="9" s="1"/>
  <c r="L41" i="9" a="1"/>
  <c r="L41" i="9" s="1"/>
  <c r="L49" i="9" s="1"/>
  <c r="AO41" i="9" a="1"/>
  <c r="AO41" i="9" s="1"/>
  <c r="AJ41" i="9" a="1"/>
  <c r="AJ41" i="9" s="1"/>
  <c r="AV41" i="9" a="1"/>
  <c r="AV41" i="9" s="1"/>
  <c r="BF41" i="9" a="1"/>
  <c r="BF41" i="9" s="1"/>
  <c r="AZ41" i="9" a="1"/>
  <c r="AZ41" i="9" s="1"/>
  <c r="Z41" i="9" a="1"/>
  <c r="Z41" i="9" s="1"/>
  <c r="BO41" i="9" a="1"/>
  <c r="BO41" i="9" s="1"/>
  <c r="W41" i="9" a="1"/>
  <c r="W41" i="9" s="1"/>
  <c r="AI41" i="9" a="1"/>
  <c r="AI41" i="9" s="1"/>
  <c r="AF41" i="9" a="1"/>
  <c r="AF41" i="9" s="1"/>
  <c r="AT41" i="9" a="1"/>
  <c r="AT41" i="9" s="1"/>
  <c r="X41" i="9" a="1"/>
  <c r="X41" i="9" s="1"/>
  <c r="O41" i="9" a="1"/>
  <c r="O41" i="9" s="1"/>
  <c r="AR41" i="9" a="1"/>
  <c r="AR41" i="9" s="1"/>
  <c r="BQ41" i="9" a="1"/>
  <c r="BQ41" i="9" s="1"/>
  <c r="AX41" i="9" a="1"/>
  <c r="AX41" i="9" s="1"/>
  <c r="AX49" i="9" s="1"/>
  <c r="BG41" i="9" a="1"/>
  <c r="BG41" i="9" s="1"/>
  <c r="AP41" i="9" a="1"/>
  <c r="AP41" i="9" s="1"/>
  <c r="AL41" i="9" a="1"/>
  <c r="AL41" i="9" s="1"/>
  <c r="BM41" i="9" a="1"/>
  <c r="BM41" i="9" s="1"/>
  <c r="AG41" i="9" a="1"/>
  <c r="AG41" i="9" s="1"/>
  <c r="BU41" i="9" a="1"/>
  <c r="BU41" i="9" s="1"/>
  <c r="M41" i="9" a="1"/>
  <c r="M41" i="9" s="1"/>
  <c r="BK41" i="9" a="1"/>
  <c r="BK41" i="9" s="1"/>
  <c r="AE41" i="9" a="1"/>
  <c r="AE41" i="9" s="1"/>
  <c r="BY41" i="9" a="1"/>
  <c r="BY41" i="9" s="1"/>
  <c r="N41" i="9" a="1"/>
  <c r="N41" i="9" s="1"/>
  <c r="BI41" i="9" a="1"/>
  <c r="BI41" i="9" s="1"/>
  <c r="BL41" i="9" a="1"/>
  <c r="BL41" i="9" s="1"/>
  <c r="H41" i="9" a="1"/>
  <c r="H41" i="9" s="1"/>
  <c r="AA41" i="9" a="1"/>
  <c r="AA41" i="9" s="1"/>
  <c r="AN41" i="9" a="1"/>
  <c r="AN41" i="9" s="1"/>
  <c r="F41" i="9" a="1"/>
  <c r="F41" i="9" s="1"/>
  <c r="BS41" i="9" a="1"/>
  <c r="BS41" i="9" s="1"/>
  <c r="R41" i="9" a="1"/>
  <c r="R41" i="9" s="1"/>
  <c r="BT41" i="9" a="1"/>
  <c r="BT41" i="9" s="1"/>
  <c r="BT49" i="9" s="1"/>
  <c r="BP41" i="9" a="1"/>
  <c r="BP41" i="9" s="1"/>
  <c r="BW41" i="9" a="1"/>
  <c r="BW41" i="9" s="1"/>
  <c r="BA41" i="9" a="1"/>
  <c r="BA41" i="9" s="1"/>
  <c r="BX41" i="9" a="1"/>
  <c r="BX41" i="9" s="1"/>
  <c r="BV41" i="9" a="1"/>
  <c r="BV41" i="9" s="1"/>
  <c r="Z33" i="9" a="1"/>
  <c r="Z33" i="9" s="1"/>
  <c r="AQ41" i="9" a="1"/>
  <c r="AQ41" i="9" s="1"/>
  <c r="AH41" i="9" a="1"/>
  <c r="AH41" i="9" s="1"/>
  <c r="BJ41" i="9" a="1"/>
  <c r="BJ41" i="9" s="1"/>
  <c r="I41" i="9" a="1"/>
  <c r="I41" i="9" s="1"/>
  <c r="I49" i="9" s="1"/>
  <c r="BZ29" i="22" a="1"/>
  <c r="BZ29" i="22" s="1"/>
  <c r="BZ24" i="8" a="1"/>
  <c r="BZ24" i="8" s="1"/>
  <c r="BY24" i="8" a="1"/>
  <c r="BY24" i="8" s="1"/>
  <c r="AO29" i="22" a="1"/>
  <c r="AO29" i="22" s="1"/>
  <c r="AO24" i="8" a="1"/>
  <c r="AO24" i="8" s="1"/>
  <c r="BK24" i="8" a="1"/>
  <c r="BK24" i="8" s="1"/>
  <c r="W24" i="8" a="1"/>
  <c r="W24" i="8" s="1"/>
  <c r="BD24" i="8" a="1"/>
  <c r="BD24" i="8" s="1"/>
  <c r="AU29" i="22" a="1"/>
  <c r="AU29" i="22" s="1"/>
  <c r="V24" i="8" a="1"/>
  <c r="V24" i="8" s="1"/>
  <c r="BP29" i="22" a="1"/>
  <c r="BP29" i="22" s="1"/>
  <c r="BY141" i="28"/>
  <c r="CI75" i="12" s="1"/>
  <c r="BZ135" i="28"/>
  <c r="BZ138" i="28" s="1"/>
  <c r="AC24" i="8" a="1"/>
  <c r="AC24" i="8" s="1"/>
  <c r="P24" i="8" a="1"/>
  <c r="P24" i="8" s="1"/>
  <c r="AH24" i="8" a="1"/>
  <c r="AH24" i="8" s="1"/>
  <c r="BP24" i="8" a="1"/>
  <c r="BP24" i="8" s="1"/>
  <c r="BF24" i="8" a="1"/>
  <c r="BF24" i="8" s="1"/>
  <c r="AZ29" i="22" a="1"/>
  <c r="AZ29" i="22" s="1"/>
  <c r="AW29" i="22" a="1"/>
  <c r="AW29" i="22" s="1"/>
  <c r="AJ29" i="22" a="1"/>
  <c r="AJ29" i="22" s="1"/>
  <c r="BQ29" i="22" a="1"/>
  <c r="BQ29" i="22" s="1"/>
  <c r="AD24" i="8" a="1"/>
  <c r="AD24" i="8" s="1"/>
  <c r="J24" i="8" a="1"/>
  <c r="J24" i="8" s="1"/>
  <c r="BW24" i="8" a="1"/>
  <c r="BW24" i="8" s="1"/>
  <c r="BZ149" i="29"/>
  <c r="BZ152" i="29" s="1"/>
  <c r="BY155" i="29"/>
  <c r="CI92" i="12" s="1"/>
  <c r="AE29" i="22" a="1"/>
  <c r="AE29" i="22" s="1"/>
  <c r="BO29" i="22" a="1"/>
  <c r="BO29" i="22" s="1"/>
  <c r="AF29" i="22" a="1"/>
  <c r="AF29" i="22" s="1"/>
  <c r="X24" i="8" a="1"/>
  <c r="X24" i="8" s="1"/>
  <c r="AV24" i="8" a="1"/>
  <c r="AV24" i="8" s="1"/>
  <c r="BF24" i="13" a="1"/>
  <c r="BF24" i="13" s="1"/>
  <c r="BF80" i="13"/>
  <c r="BS29" i="22" a="1"/>
  <c r="BS29" i="22" s="1"/>
  <c r="BM29" i="22" a="1"/>
  <c r="BM29" i="22" s="1"/>
  <c r="AN24" i="8" a="1"/>
  <c r="AN24" i="8" s="1"/>
  <c r="BT29" i="22" a="1"/>
  <c r="BT29" i="22" s="1"/>
  <c r="BC24" i="8" a="1"/>
  <c r="BC24" i="8" s="1"/>
  <c r="I26" i="33" l="1"/>
  <c r="I101" i="33" s="1" a="1"/>
  <c r="I101" i="33" s="1"/>
  <c r="W49" i="9"/>
  <c r="G26" i="33"/>
  <c r="N27" i="33"/>
  <c r="O27" i="33" s="1"/>
  <c r="J27" i="33"/>
  <c r="K27" i="33" s="1"/>
  <c r="M26" i="33"/>
  <c r="BY23" i="8"/>
  <c r="J28" i="33"/>
  <c r="K28" i="33" s="1"/>
  <c r="BD49" i="9"/>
  <c r="BD67" i="9" s="1" a="1"/>
  <c r="BD67" i="9" s="1"/>
  <c r="G49" i="9"/>
  <c r="AE49" i="9"/>
  <c r="X49" i="9"/>
  <c r="BK49" i="9"/>
  <c r="BK67" i="9" s="1" a="1"/>
  <c r="BK67" i="9" s="1"/>
  <c r="H49" i="9"/>
  <c r="H67" i="9" s="1" a="1"/>
  <c r="H67" i="9" s="1"/>
  <c r="AQ49" i="9"/>
  <c r="AQ67" i="9" s="1" a="1"/>
  <c r="AQ67" i="9" s="1"/>
  <c r="BZ23" i="8"/>
  <c r="BZ151" i="8" s="1" a="1"/>
  <c r="BZ151" i="8" s="1"/>
  <c r="AC23" i="8"/>
  <c r="AC151" i="8" s="1" a="1"/>
  <c r="AC151" i="8" s="1"/>
  <c r="BI49" i="9"/>
  <c r="AB23" i="8"/>
  <c r="AB151" i="8" s="1" a="1"/>
  <c r="AB151" i="8" s="1"/>
  <c r="BR49" i="9"/>
  <c r="BR67" i="9" s="1" a="1"/>
  <c r="BR67" i="9" s="1"/>
  <c r="AP49" i="9"/>
  <c r="AP67" i="9" s="1" a="1"/>
  <c r="AP67" i="9" s="1"/>
  <c r="BN49" i="9"/>
  <c r="BN67" i="9" s="1" a="1"/>
  <c r="BN67" i="9" s="1"/>
  <c r="AO23" i="8"/>
  <c r="AO151" i="8" s="1" a="1"/>
  <c r="AO151" i="8" s="1"/>
  <c r="AO49" i="9"/>
  <c r="AO67" i="9" s="1" a="1"/>
  <c r="AO67" i="9" s="1"/>
  <c r="S49" i="9"/>
  <c r="S67" i="9" s="1" a="1"/>
  <c r="S67" i="9" s="1"/>
  <c r="CC23" i="8"/>
  <c r="CC151" i="8" s="1" a="1"/>
  <c r="CC151" i="8" s="1"/>
  <c r="AR49" i="9"/>
  <c r="AR67" i="9" s="1" a="1"/>
  <c r="AR67" i="9" s="1"/>
  <c r="X23" i="8"/>
  <c r="X151" i="8" s="1" a="1"/>
  <c r="X151" i="8" s="1"/>
  <c r="M49" i="9"/>
  <c r="M67" i="9" s="1" a="1"/>
  <c r="M67" i="9" s="1"/>
  <c r="U49" i="9"/>
  <c r="U67" i="9" s="1" a="1"/>
  <c r="U67" i="9" s="1"/>
  <c r="AD23" i="8"/>
  <c r="AD151" i="8" s="1" a="1"/>
  <c r="AD151" i="8" s="1"/>
  <c r="AZ49" i="9"/>
  <c r="AZ67" i="9" s="1" a="1"/>
  <c r="AZ67" i="9" s="1"/>
  <c r="AN23" i="8"/>
  <c r="AN151" i="8" s="1" a="1"/>
  <c r="AN151" i="8" s="1"/>
  <c r="BC49" i="9"/>
  <c r="BC67" i="9" s="1" a="1"/>
  <c r="BC67" i="9" s="1"/>
  <c r="BS23" i="8"/>
  <c r="BS151" i="8" s="1" a="1"/>
  <c r="BS151" i="8" s="1"/>
  <c r="BQ23" i="8"/>
  <c r="BQ151" i="8" s="1" a="1"/>
  <c r="BQ151" i="8" s="1"/>
  <c r="AN49" i="9"/>
  <c r="AN67" i="9" s="1" a="1"/>
  <c r="AN67" i="9" s="1"/>
  <c r="BP23" i="8"/>
  <c r="BP151" i="8" s="1" a="1"/>
  <c r="BP151" i="8" s="1"/>
  <c r="P49" i="9"/>
  <c r="P67" i="9" s="1" a="1"/>
  <c r="P67" i="9" s="1"/>
  <c r="BX49" i="9"/>
  <c r="BX67" i="9" s="1" a="1"/>
  <c r="BX67" i="9" s="1"/>
  <c r="BJ49" i="9"/>
  <c r="BJ67" i="9" s="1" a="1"/>
  <c r="BJ67" i="9" s="1"/>
  <c r="J23" i="8"/>
  <c r="J151" i="8" s="1" a="1"/>
  <c r="J151" i="8" s="1"/>
  <c r="BW23" i="8"/>
  <c r="BW151" i="8" s="1" a="1"/>
  <c r="BW151" i="8" s="1"/>
  <c r="AV23" i="8"/>
  <c r="AV151" i="8" s="1" a="1"/>
  <c r="AV151" i="8" s="1"/>
  <c r="AF23" i="8"/>
  <c r="AF151" i="8" s="1" a="1"/>
  <c r="AF151" i="8" s="1"/>
  <c r="BH23" i="8"/>
  <c r="BH151" i="8" s="1" a="1"/>
  <c r="BH151" i="8" s="1"/>
  <c r="T29" i="22"/>
  <c r="F49" i="9"/>
  <c r="F67" i="9" s="1" a="1"/>
  <c r="F67" i="9" s="1"/>
  <c r="BM23" i="8"/>
  <c r="BJ23" i="8"/>
  <c r="BJ151" i="8" s="1" a="1"/>
  <c r="BJ151" i="8" s="1"/>
  <c r="BG49" i="9"/>
  <c r="BG67" i="9" s="1" a="1"/>
  <c r="BG67" i="9" s="1"/>
  <c r="G29" i="22"/>
  <c r="W29" i="22"/>
  <c r="I29" i="22"/>
  <c r="P29" i="22"/>
  <c r="Y29" i="22"/>
  <c r="J29" i="22"/>
  <c r="H29" i="22"/>
  <c r="AA29" i="22"/>
  <c r="Z29" i="22"/>
  <c r="Z23" i="8"/>
  <c r="Z151" i="8" s="1" a="1"/>
  <c r="Z151" i="8" s="1"/>
  <c r="U29" i="22"/>
  <c r="Q29" i="22"/>
  <c r="M29" i="22"/>
  <c r="AY49" i="9"/>
  <c r="AY67" i="9" s="1" a="1"/>
  <c r="AY67" i="9" s="1"/>
  <c r="Q23" i="8"/>
  <c r="Q151" i="8" s="1" a="1"/>
  <c r="Q151" i="8" s="1"/>
  <c r="X29" i="22"/>
  <c r="O29" i="22"/>
  <c r="R29" i="22"/>
  <c r="V29" i="22"/>
  <c r="AR23" i="8"/>
  <c r="AR151" i="8" s="1" a="1"/>
  <c r="AR151" i="8" s="1"/>
  <c r="AB29" i="22"/>
  <c r="S29" i="22"/>
  <c r="AJ49" i="9"/>
  <c r="AJ67" i="9" s="1" a="1"/>
  <c r="AJ67" i="9" s="1"/>
  <c r="N29" i="22"/>
  <c r="BQ49" i="9"/>
  <c r="BQ67" i="9" s="1" a="1"/>
  <c r="BQ67" i="9" s="1"/>
  <c r="AP23" i="8"/>
  <c r="AP151" i="8" s="1" a="1"/>
  <c r="AP151" i="8" s="1"/>
  <c r="CA23" i="8"/>
  <c r="CA151" i="8" s="1" a="1"/>
  <c r="CA151" i="8" s="1"/>
  <c r="CF23" i="8"/>
  <c r="CF151" i="8" s="1" a="1"/>
  <c r="CF151" i="8" s="1"/>
  <c r="AD49" i="9"/>
  <c r="AD67" i="9" s="1" a="1"/>
  <c r="AD67" i="9" s="1"/>
  <c r="BD23" i="8"/>
  <c r="BD151" i="8" s="1" a="1"/>
  <c r="BD151" i="8" s="1"/>
  <c r="U23" i="8"/>
  <c r="U151" i="8" s="1" a="1"/>
  <c r="U151" i="8" s="1"/>
  <c r="AL49" i="9"/>
  <c r="AL67" i="9" s="1" a="1"/>
  <c r="AL67" i="9" s="1"/>
  <c r="Q49" i="9"/>
  <c r="Q67" i="9" s="1" a="1"/>
  <c r="Q67" i="9" s="1"/>
  <c r="BB23" i="8"/>
  <c r="BB151" i="8" s="1" a="1"/>
  <c r="BB151" i="8" s="1"/>
  <c r="AA23" i="8"/>
  <c r="AA151" i="8" s="1" a="1"/>
  <c r="AA151" i="8" s="1"/>
  <c r="BO23" i="8"/>
  <c r="BO151" i="8" s="1" a="1"/>
  <c r="BO151" i="8" s="1"/>
  <c r="BE23" i="8"/>
  <c r="BE151" i="8" s="1" a="1"/>
  <c r="BE151" i="8" s="1"/>
  <c r="AQ23" i="8"/>
  <c r="AQ151" i="8" s="1" a="1"/>
  <c r="AQ151" i="8" s="1"/>
  <c r="AA49" i="9"/>
  <c r="AA67" i="9" s="1" a="1"/>
  <c r="AA67" i="9" s="1"/>
  <c r="AX23" i="8"/>
  <c r="AX151" i="8" s="1" a="1"/>
  <c r="AX151" i="8" s="1"/>
  <c r="CB23" i="8"/>
  <c r="CB151" i="8" s="1" a="1"/>
  <c r="CB151" i="8" s="1"/>
  <c r="CE23" i="8"/>
  <c r="CE151" i="8" s="1" a="1"/>
  <c r="CE151" i="8" s="1"/>
  <c r="BA23" i="8"/>
  <c r="BA151" i="8" s="1" a="1"/>
  <c r="BA151" i="8" s="1"/>
  <c r="AM23" i="8"/>
  <c r="AM151" i="8" s="1" a="1"/>
  <c r="AM151" i="8" s="1"/>
  <c r="AH49" i="9"/>
  <c r="AH67" i="9" s="1" a="1"/>
  <c r="AH67" i="9" s="1"/>
  <c r="AG49" i="9"/>
  <c r="AG67" i="9" s="1" a="1"/>
  <c r="AG67" i="9" s="1"/>
  <c r="N49" i="9"/>
  <c r="N67" i="9" s="1" a="1"/>
  <c r="N67" i="9" s="1"/>
  <c r="AU23" i="8"/>
  <c r="AU151" i="8" s="1" a="1"/>
  <c r="AU151" i="8" s="1"/>
  <c r="CG23" i="8"/>
  <c r="CG151" i="8" s="1" a="1"/>
  <c r="CG151" i="8" s="1"/>
  <c r="Y23" i="8"/>
  <c r="Y151" i="8" s="1" a="1"/>
  <c r="Y151" i="8" s="1"/>
  <c r="BC23" i="8"/>
  <c r="BC151" i="8" s="1" a="1"/>
  <c r="BC151" i="8" s="1"/>
  <c r="W23" i="8"/>
  <c r="W151" i="8" s="1" a="1"/>
  <c r="W151" i="8" s="1"/>
  <c r="AT23" i="8"/>
  <c r="AT151" i="8" s="1" a="1"/>
  <c r="AT151" i="8" s="1"/>
  <c r="AZ23" i="8"/>
  <c r="AZ151" i="8" s="1" a="1"/>
  <c r="AZ151" i="8" s="1"/>
  <c r="BF49" i="9"/>
  <c r="BF67" i="9" s="1" a="1"/>
  <c r="BF67" i="9" s="1"/>
  <c r="R49" i="9"/>
  <c r="R67" i="9" s="1" a="1"/>
  <c r="R67" i="9" s="1"/>
  <c r="BA49" i="9"/>
  <c r="BA67" i="9" s="1" a="1"/>
  <c r="BA67" i="9" s="1"/>
  <c r="CD23" i="8"/>
  <c r="CD151" i="8" s="1" a="1"/>
  <c r="CD151" i="8" s="1"/>
  <c r="V49" i="9"/>
  <c r="V67" i="9" s="1" a="1"/>
  <c r="V67" i="9" s="1"/>
  <c r="AF49" i="9"/>
  <c r="AF67" i="9" s="1" a="1"/>
  <c r="AF67" i="9" s="1"/>
  <c r="AU49" i="9"/>
  <c r="AU67" i="9" s="1" a="1"/>
  <c r="AU67" i="9" s="1"/>
  <c r="AV49" i="9"/>
  <c r="AV67" i="9" s="1" a="1"/>
  <c r="AV67" i="9" s="1"/>
  <c r="AS23" i="8"/>
  <c r="AS151" i="8" s="1" a="1"/>
  <c r="AS151" i="8" s="1"/>
  <c r="T23" i="8"/>
  <c r="T151" i="8" s="1" a="1"/>
  <c r="T151" i="8" s="1"/>
  <c r="AH23" i="8"/>
  <c r="AH151" i="8" s="1" a="1"/>
  <c r="AH151" i="8" s="1"/>
  <c r="BS49" i="9"/>
  <c r="BS67" i="9" s="1" a="1"/>
  <c r="BS67" i="9" s="1"/>
  <c r="V23" i="8"/>
  <c r="V151" i="8" s="1" a="1"/>
  <c r="V151" i="8" s="1"/>
  <c r="O23" i="8"/>
  <c r="O151" i="8" s="1" a="1"/>
  <c r="O151" i="8" s="1"/>
  <c r="N23" i="8"/>
  <c r="N151" i="8" s="1" a="1"/>
  <c r="N151" i="8" s="1"/>
  <c r="BL23" i="8"/>
  <c r="BL151" i="8" s="1" a="1"/>
  <c r="BL151" i="8" s="1"/>
  <c r="T49" i="9"/>
  <c r="T67" i="9" s="1" a="1"/>
  <c r="T67" i="9" s="1"/>
  <c r="BG23" i="8"/>
  <c r="BG151" i="8" s="1" a="1"/>
  <c r="BG151" i="8" s="1"/>
  <c r="AS49" i="9"/>
  <c r="AS67" i="9" s="1" a="1"/>
  <c r="AS67" i="9" s="1"/>
  <c r="BX23" i="8"/>
  <c r="BX151" i="8" s="1" a="1"/>
  <c r="BX151" i="8" s="1"/>
  <c r="AT49" i="9"/>
  <c r="AT67" i="9" s="1" a="1"/>
  <c r="AT67" i="9" s="1"/>
  <c r="AW49" i="9"/>
  <c r="AW67" i="9" s="1" a="1"/>
  <c r="AW67" i="9" s="1"/>
  <c r="BV49" i="9"/>
  <c r="BV67" i="9" s="1" a="1"/>
  <c r="BV67" i="9" s="1"/>
  <c r="AI49" i="9"/>
  <c r="AI67" i="9" s="1" a="1"/>
  <c r="AI67" i="9" s="1"/>
  <c r="AE23" i="8"/>
  <c r="AE151" i="8" s="1" a="1"/>
  <c r="AE151" i="8" s="1"/>
  <c r="AW23" i="8"/>
  <c r="AW151" i="8" s="1" a="1"/>
  <c r="AW151" i="8" s="1"/>
  <c r="BI23" i="8"/>
  <c r="BI151" i="8" s="1" a="1"/>
  <c r="BI151" i="8" s="1"/>
  <c r="AI23" i="8"/>
  <c r="AI151" i="8" s="1" a="1"/>
  <c r="AI151" i="8" s="1"/>
  <c r="BK23" i="8"/>
  <c r="BK151" i="8" s="1" a="1"/>
  <c r="BK151" i="8" s="1"/>
  <c r="BV23" i="8"/>
  <c r="BV151" i="8" s="1" a="1"/>
  <c r="BV151" i="8" s="1"/>
  <c r="BY49" i="9"/>
  <c r="BY67" i="9" s="1" a="1"/>
  <c r="BY67" i="9" s="1"/>
  <c r="BR23" i="8"/>
  <c r="BR151" i="8" s="1" a="1"/>
  <c r="BR151" i="8" s="1"/>
  <c r="BH49" i="9"/>
  <c r="BH67" i="9" s="1" a="1"/>
  <c r="BH67" i="9" s="1"/>
  <c r="BL49" i="9"/>
  <c r="BL67" i="9" s="1" a="1"/>
  <c r="BL67" i="9" s="1"/>
  <c r="O49" i="9"/>
  <c r="O67" i="9" s="1" a="1"/>
  <c r="O67" i="9" s="1"/>
  <c r="AG23" i="8"/>
  <c r="AG151" i="8" s="1" a="1"/>
  <c r="AG151" i="8" s="1"/>
  <c r="BO49" i="9"/>
  <c r="BO67" i="9" s="1" a="1"/>
  <c r="BO67" i="9" s="1"/>
  <c r="BN23" i="8"/>
  <c r="BN151" i="8" s="1" a="1"/>
  <c r="BN151" i="8" s="1"/>
  <c r="AL23" i="8"/>
  <c r="AL151" i="8" s="1" a="1"/>
  <c r="AL151" i="8" s="1"/>
  <c r="P23" i="8"/>
  <c r="P151" i="8" s="1" a="1"/>
  <c r="P151" i="8" s="1"/>
  <c r="BW49" i="9"/>
  <c r="BW67" i="9" s="1" a="1"/>
  <c r="BW67" i="9" s="1"/>
  <c r="BU49" i="9"/>
  <c r="BU67" i="9" s="1" a="1"/>
  <c r="BU67" i="9" s="1"/>
  <c r="BP49" i="9"/>
  <c r="BM49" i="9"/>
  <c r="BM67" i="9" s="1" a="1"/>
  <c r="BM67" i="9" s="1"/>
  <c r="AY23" i="8"/>
  <c r="AY151" i="8" s="1" a="1"/>
  <c r="AY151" i="8" s="1"/>
  <c r="AK49" i="9"/>
  <c r="AK67" i="9" s="1" a="1"/>
  <c r="AK67" i="9" s="1"/>
  <c r="BF23" i="8"/>
  <c r="BF151" i="8" s="1" a="1"/>
  <c r="BF151" i="8" s="1"/>
  <c r="BB49" i="9"/>
  <c r="BB67" i="9" s="1" a="1"/>
  <c r="BB67" i="9" s="1"/>
  <c r="Z49" i="9"/>
  <c r="Z67" i="9" s="1" a="1"/>
  <c r="Z67" i="9" s="1"/>
  <c r="W67" i="9" a="1"/>
  <c r="W67" i="9" s="1"/>
  <c r="BE67" i="9" a="1"/>
  <c r="BE67" i="9" s="1"/>
  <c r="I67" i="9" a="1"/>
  <c r="I67" i="9" s="1"/>
  <c r="G67" i="9" a="1"/>
  <c r="G67" i="9" s="1"/>
  <c r="AX67" i="9" a="1"/>
  <c r="AX67" i="9" s="1"/>
  <c r="BT67" i="9" a="1"/>
  <c r="BT67" i="9" s="1"/>
  <c r="BI67" i="9" a="1"/>
  <c r="BI67" i="9" s="1"/>
  <c r="X67" i="9" a="1"/>
  <c r="X67" i="9" s="1"/>
  <c r="AE67" i="9" a="1"/>
  <c r="AE67" i="9" s="1"/>
  <c r="Y67" i="9" a="1"/>
  <c r="Y67" i="9" s="1"/>
  <c r="BG32" i="13" a="1"/>
  <c r="BG32" i="13" s="1"/>
  <c r="BG94" i="13"/>
  <c r="BZ155" i="29"/>
  <c r="AB152" i="29"/>
  <c r="J152" i="29"/>
  <c r="BY151" i="8" a="1"/>
  <c r="BY151" i="8" s="1"/>
  <c r="BZ141" i="28"/>
  <c r="J138" i="28"/>
  <c r="AB138" i="28"/>
  <c r="BG24" i="13" a="1"/>
  <c r="BG24" i="13" s="1"/>
  <c r="BG80" i="13"/>
  <c r="BM151" i="8" a="1"/>
  <c r="BM151" i="8" s="1"/>
  <c r="K151" i="8" a="1"/>
  <c r="K151" i="8" s="1"/>
  <c r="L67" i="9" a="1"/>
  <c r="L67" i="9" s="1"/>
  <c r="N26" i="33" l="1"/>
  <c r="O26" i="33" s="1"/>
  <c r="M101" i="33" a="1"/>
  <c r="M101" i="33" s="1"/>
  <c r="J26" i="33"/>
  <c r="K26" i="33" s="1"/>
  <c r="G101" i="33" a="1"/>
  <c r="G101" i="33" s="1"/>
  <c r="BP67" i="9" a="1"/>
  <c r="BP67" i="9" s="1"/>
  <c r="J141" i="28"/>
  <c r="AB141" i="28"/>
  <c r="CJ75" i="12"/>
  <c r="CJ92" i="12"/>
  <c r="AB155" i="29"/>
  <c r="J155" i="29"/>
  <c r="BU36" i="11" a="1"/>
  <c r="BU36" i="11" s="1"/>
  <c r="AH18" i="11" a="1"/>
  <c r="AH18" i="11" s="1"/>
  <c r="E46" i="11" a="1"/>
  <c r="E46" i="11" s="1"/>
  <c r="M45" i="11" a="1"/>
  <c r="M45" i="11" s="1"/>
  <c r="W28" i="11" a="1"/>
  <c r="W28" i="11" s="1"/>
  <c r="AG16" i="11" a="1"/>
  <c r="AG16" i="11" s="1"/>
  <c r="AO37" i="11" a="1"/>
  <c r="AO37" i="11" s="1"/>
  <c r="K16" i="11" a="1"/>
  <c r="K16" i="11" s="1"/>
  <c r="P37" i="11" a="1"/>
  <c r="P37" i="11" s="1"/>
  <c r="BF17" i="11" a="1"/>
  <c r="BF17" i="11" s="1"/>
  <c r="AM16" i="11" a="1"/>
  <c r="AM16" i="11" s="1"/>
  <c r="BQ16" i="11" a="1"/>
  <c r="BQ16" i="11" s="1"/>
  <c r="AX16" i="11" a="1"/>
  <c r="AX16" i="11" s="1"/>
  <c r="AQ16" i="11" a="1"/>
  <c r="AQ16" i="11" s="1"/>
  <c r="N16" i="11" a="1"/>
  <c r="N16" i="11" s="1"/>
  <c r="BB18" i="11" a="1"/>
  <c r="BB18" i="11" s="1"/>
  <c r="AF36" i="11" a="1"/>
  <c r="AF36" i="11" s="1"/>
  <c r="F17" i="11" a="1"/>
  <c r="F17" i="11" s="1"/>
  <c r="AI17" i="11" a="1"/>
  <c r="AI17" i="11" s="1"/>
  <c r="BC16" i="11" a="1"/>
  <c r="BC16" i="11" s="1"/>
  <c r="BP16" i="11" a="1"/>
  <c r="BP16" i="11" s="1"/>
  <c r="AJ16" i="11" a="1"/>
  <c r="AJ16" i="11" s="1"/>
  <c r="AS18" i="11" a="1"/>
  <c r="AS18" i="11" s="1"/>
  <c r="AZ18" i="11" a="1"/>
  <c r="AZ18" i="11" s="1"/>
  <c r="P17" i="11" a="1"/>
  <c r="P17" i="11" s="1"/>
  <c r="G16" i="11" a="1"/>
  <c r="G16" i="11" s="1"/>
  <c r="BF16" i="11" a="1"/>
  <c r="BF16" i="11" s="1"/>
  <c r="X16" i="11" a="1"/>
  <c r="X16" i="11" s="1"/>
  <c r="Q46" i="11" a="1"/>
  <c r="Q46" i="11" s="1"/>
  <c r="Y46" i="11" a="1"/>
  <c r="Y46" i="11" s="1"/>
  <c r="BP17" i="11" a="1"/>
  <c r="BP17" i="11" s="1"/>
  <c r="AY16" i="11" a="1"/>
  <c r="AY16" i="11" s="1"/>
  <c r="Z16" i="11" a="1"/>
  <c r="Z16" i="11" s="1"/>
  <c r="AE16" i="11" a="1"/>
  <c r="AE16" i="11" s="1"/>
  <c r="L18" i="11" a="1"/>
  <c r="L18" i="11" s="1"/>
  <c r="BB46" i="11" a="1"/>
  <c r="BB46" i="11" s="1"/>
  <c r="F18" i="11" a="1"/>
  <c r="F18" i="11" s="1"/>
  <c r="AC18" i="11" a="1"/>
  <c r="AC18" i="11" s="1"/>
  <c r="T17" i="11" a="1"/>
  <c r="T17" i="11" s="1"/>
  <c r="BC17" i="11" a="1"/>
  <c r="BC17" i="11" s="1"/>
  <c r="L16" i="11" a="1"/>
  <c r="L16" i="11" s="1"/>
  <c r="U16" i="11" a="1"/>
  <c r="U16" i="11" s="1"/>
  <c r="BD16" i="11" a="1"/>
  <c r="BD16" i="11" s="1"/>
  <c r="BU18" i="11" a="1"/>
  <c r="BU18" i="11" s="1"/>
  <c r="AU43" i="11" a="1"/>
  <c r="AU43" i="11" s="1"/>
  <c r="AM46" i="11" a="1"/>
  <c r="AM46" i="11" s="1"/>
  <c r="BN17" i="11" a="1"/>
  <c r="BN17" i="11" s="1"/>
  <c r="AG17" i="11" a="1"/>
  <c r="AG17" i="11" s="1"/>
  <c r="AV16" i="11" a="1"/>
  <c r="AV16" i="11" s="1"/>
  <c r="AO16" i="11" a="1"/>
  <c r="AO16" i="11" s="1"/>
  <c r="BX16" i="11" a="1"/>
  <c r="BX16" i="11" s="1"/>
  <c r="BT18" i="11" a="1"/>
  <c r="BT18" i="11" s="1"/>
  <c r="X18" i="11" a="1"/>
  <c r="X18" i="11" s="1"/>
  <c r="AF46" i="11" a="1"/>
  <c r="AF46" i="11" s="1"/>
  <c r="BB17" i="11" a="1"/>
  <c r="BB17" i="11" s="1"/>
  <c r="V16" i="11" a="1"/>
  <c r="V16" i="11" s="1"/>
  <c r="F16" i="11" a="1"/>
  <c r="F16" i="11" s="1"/>
  <c r="AY18" i="11" a="1"/>
  <c r="AY18" i="11" s="1"/>
  <c r="K17" i="11" a="1"/>
  <c r="K17" i="11" s="1"/>
  <c r="BI16" i="11" a="1"/>
  <c r="BI16" i="11" s="1"/>
  <c r="BL16" i="11" a="1"/>
  <c r="BL16" i="11" s="1"/>
  <c r="H16" i="11" a="1"/>
  <c r="H16" i="11" s="1"/>
  <c r="BM37" i="11" a="1"/>
  <c r="BM37" i="11" s="1"/>
  <c r="AH17" i="11" a="1"/>
  <c r="AH17" i="11" s="1"/>
  <c r="Y16" i="11" a="1"/>
  <c r="Y16" i="11" s="1"/>
  <c r="BR16" i="11" a="1"/>
  <c r="BR16" i="11" s="1"/>
  <c r="T46" i="11" a="1"/>
  <c r="T46" i="11" s="1"/>
  <c r="AU17" i="11" a="1"/>
  <c r="AU17" i="11" s="1"/>
  <c r="BT16" i="11" a="1"/>
  <c r="BT16" i="11" s="1"/>
  <c r="AR16" i="11" a="1"/>
  <c r="AR16" i="11" s="1"/>
  <c r="AZ16" i="11" a="1"/>
  <c r="AZ16" i="11" s="1"/>
  <c r="AE24" i="11" a="1"/>
  <c r="AE24" i="11" s="1"/>
  <c r="AY15" i="11" a="1"/>
  <c r="AY15" i="11" s="1"/>
  <c r="BN34" i="11" a="1"/>
  <c r="BN34" i="11" s="1"/>
  <c r="BK17" i="11" a="1"/>
  <c r="BK17" i="11" s="1"/>
  <c r="AI16" i="11" a="1"/>
  <c r="AI16" i="11" s="1"/>
  <c r="AU16" i="11" a="1"/>
  <c r="AU16" i="11" s="1"/>
  <c r="BB16" i="11" a="1"/>
  <c r="BB16" i="11" s="1"/>
  <c r="BF45" i="11" a="1"/>
  <c r="BF45" i="11" s="1"/>
  <c r="AD46" i="11" a="1"/>
  <c r="AD46" i="11" s="1"/>
  <c r="BC37" i="11" a="1"/>
  <c r="BC37" i="11" s="1"/>
  <c r="BJ17" i="11" a="1"/>
  <c r="BJ17" i="11" s="1"/>
  <c r="E16" i="11" a="1"/>
  <c r="E16" i="11" s="1"/>
  <c r="AF16" i="11" a="1"/>
  <c r="AF16" i="11" s="1"/>
  <c r="AT16" i="11" a="1"/>
  <c r="AT16" i="11" s="1"/>
  <c r="AD18" i="11" a="1"/>
  <c r="AD18" i="11" s="1"/>
  <c r="BG45" i="11" a="1"/>
  <c r="BG45" i="11" s="1"/>
  <c r="BS18" i="11" a="1"/>
  <c r="BS18" i="11" s="1"/>
  <c r="BR18" i="11" a="1"/>
  <c r="BR18" i="11" s="1"/>
  <c r="AN16" i="11" a="1"/>
  <c r="AN16" i="11" s="1"/>
  <c r="Z17" i="11" a="1"/>
  <c r="Z17" i="11" s="1"/>
  <c r="BM16" i="11" a="1"/>
  <c r="BM16" i="11" s="1"/>
  <c r="W16" i="11" a="1"/>
  <c r="W16" i="11" s="1"/>
  <c r="AD16" i="11" a="1"/>
  <c r="AD16" i="11" s="1"/>
  <c r="BO18" i="11" a="1"/>
  <c r="BO18" i="11" s="1"/>
  <c r="BI45" i="11" a="1"/>
  <c r="BI45" i="11" s="1"/>
  <c r="N18" i="11" a="1"/>
  <c r="N18" i="11" s="1"/>
  <c r="Q36" i="11" a="1"/>
  <c r="Q36" i="11" s="1"/>
  <c r="BC36" i="11" a="1"/>
  <c r="BC36" i="11" s="1"/>
  <c r="Q17" i="11" a="1"/>
  <c r="Q17" i="11" s="1"/>
  <c r="BF27" i="11" a="1"/>
  <c r="BF27" i="11" s="1"/>
  <c r="BN43" i="11" a="1"/>
  <c r="BN43" i="11" s="1"/>
  <c r="O16" i="11" a="1"/>
  <c r="O16" i="11" s="1"/>
  <c r="BS16" i="11" a="1"/>
  <c r="BS16" i="11" s="1"/>
  <c r="S16" i="11" a="1"/>
  <c r="S16" i="11" s="1"/>
  <c r="AK18" i="11" a="1"/>
  <c r="AK18" i="11" s="1"/>
  <c r="BD18" i="11" a="1"/>
  <c r="BD18" i="11" s="1"/>
  <c r="U37" i="11" a="1"/>
  <c r="U37" i="11" s="1"/>
  <c r="AQ18" i="11" a="1"/>
  <c r="AQ18" i="11" s="1"/>
  <c r="AW46" i="11" a="1"/>
  <c r="AW46" i="11" s="1"/>
  <c r="P16" i="11" a="1"/>
  <c r="P16" i="11" s="1"/>
  <c r="Q16" i="11" a="1"/>
  <c r="Q16" i="11" s="1"/>
  <c r="BA16" i="11" a="1"/>
  <c r="BA16" i="11" s="1"/>
  <c r="AV18" i="11" a="1"/>
  <c r="AV18" i="11" s="1"/>
  <c r="AU18" i="11" a="1"/>
  <c r="AU18" i="11" s="1"/>
  <c r="AG46" i="11" a="1"/>
  <c r="AG46" i="11" s="1"/>
  <c r="BM18" i="11" a="1"/>
  <c r="BM18" i="11" s="1"/>
  <c r="BO46" i="11" a="1"/>
  <c r="BO46" i="11" s="1"/>
  <c r="BL18" i="11" a="1"/>
  <c r="BL18" i="11" s="1"/>
  <c r="E18" i="11" a="1"/>
  <c r="E18" i="11" s="1"/>
  <c r="BL46" i="11" a="1"/>
  <c r="BL46" i="11" s="1"/>
  <c r="BF46" i="11" a="1"/>
  <c r="BF46" i="11" s="1"/>
  <c r="AZ24" i="11" a="1"/>
  <c r="AZ24" i="11" s="1"/>
  <c r="V37" i="11" a="1"/>
  <c r="V37" i="11" s="1"/>
  <c r="AH46" i="11" a="1"/>
  <c r="AH46" i="11" s="1"/>
  <c r="S45" i="11" a="1"/>
  <c r="S45" i="11" s="1"/>
  <c r="AJ46" i="11" a="1"/>
  <c r="AJ46" i="11" s="1"/>
  <c r="AF18" i="11" a="1"/>
  <c r="AF18" i="11" s="1"/>
  <c r="H46" i="11" a="1"/>
  <c r="H46" i="11" s="1"/>
  <c r="BJ18" i="11" a="1"/>
  <c r="BJ18" i="11" s="1"/>
  <c r="AE18" i="11" a="1"/>
  <c r="AE18" i="11" s="1"/>
  <c r="AL37" i="11" a="1"/>
  <c r="AL37" i="11" s="1"/>
  <c r="K18" i="11" a="1"/>
  <c r="K18" i="11" s="1"/>
  <c r="BK16" i="11" a="1"/>
  <c r="BK16" i="11" s="1"/>
  <c r="AO18" i="11" a="1"/>
  <c r="AO18" i="11" s="1"/>
  <c r="F46" i="11" a="1"/>
  <c r="F46" i="11" s="1"/>
  <c r="AS16" i="11" a="1"/>
  <c r="AS16" i="11" s="1"/>
  <c r="P18" i="11" a="1"/>
  <c r="P18" i="11" s="1"/>
  <c r="H18" i="11" a="1"/>
  <c r="H18" i="11" s="1"/>
  <c r="AX45" i="11" a="1"/>
  <c r="AX45" i="11" s="1"/>
  <c r="F37" i="11" a="1"/>
  <c r="F37" i="11" s="1"/>
  <c r="BE18" i="11" a="1"/>
  <c r="BE18" i="11" s="1"/>
  <c r="BU17" i="11" a="1"/>
  <c r="BU17" i="11" s="1"/>
  <c r="G18" i="11" a="1"/>
  <c r="G18" i="11" s="1"/>
  <c r="AT46" i="11" a="1"/>
  <c r="AT46" i="11" s="1"/>
  <c r="AM18" i="11" a="1"/>
  <c r="AM18" i="11" s="1"/>
  <c r="BP46" i="11" a="1"/>
  <c r="BP46" i="11" s="1"/>
  <c r="BK18" i="11" a="1"/>
  <c r="BK18" i="11" s="1"/>
  <c r="BN18" i="11" a="1"/>
  <c r="BN18" i="11" s="1"/>
  <c r="AN46" i="11" a="1"/>
  <c r="AN46" i="11" s="1"/>
  <c r="O18" i="11" a="1"/>
  <c r="O18" i="11" s="1"/>
  <c r="W18" i="11" a="1"/>
  <c r="W18" i="11" s="1"/>
  <c r="AI18" i="11" a="1"/>
  <c r="AI18" i="11" s="1"/>
  <c r="AX18" i="11" a="1"/>
  <c r="AX18" i="11" s="1"/>
  <c r="BG18" i="11" a="1"/>
  <c r="BG18" i="11" s="1"/>
  <c r="M18" i="11" a="1"/>
  <c r="M18" i="11" s="1"/>
  <c r="BA18" i="11" a="1"/>
  <c r="BA18" i="11" s="1"/>
  <c r="BX18" i="11" a="1"/>
  <c r="BX18" i="11" s="1"/>
  <c r="BV18" i="11" a="1"/>
  <c r="BV18" i="11" s="1"/>
  <c r="AK37" i="11" a="1"/>
  <c r="AK37" i="11" s="1"/>
  <c r="BI18" i="11" a="1"/>
  <c r="BI18" i="11" s="1"/>
  <c r="AP45" i="11" a="1"/>
  <c r="AP45" i="11" s="1"/>
  <c r="BK37" i="11" a="1"/>
  <c r="BK37" i="11" s="1"/>
  <c r="BJ37" i="11" a="1"/>
  <c r="BJ37" i="11" s="1"/>
  <c r="AQ45" i="11" a="1"/>
  <c r="AQ45" i="11" s="1"/>
  <c r="M43" i="11" a="1"/>
  <c r="M43" i="11" s="1"/>
  <c r="G17" i="11" a="1"/>
  <c r="G17" i="11" s="1"/>
  <c r="BB43" i="11" a="1"/>
  <c r="BB43" i="11" s="1"/>
  <c r="W84" i="8" a="1"/>
  <c r="W84" i="8" s="1"/>
  <c r="AE34" i="11" a="1"/>
  <c r="AE34" i="11" s="1"/>
  <c r="AZ43" i="11" a="1"/>
  <c r="AZ43" i="11" s="1"/>
  <c r="CD84" i="8" a="1"/>
  <c r="CD84" i="8" s="1"/>
  <c r="E37" i="11" a="1"/>
  <c r="E37" i="11" s="1"/>
  <c r="AX36" i="11" a="1"/>
  <c r="AX36" i="11" s="1"/>
  <c r="AZ17" i="11" a="1"/>
  <c r="AZ17" i="11" s="1"/>
  <c r="O34" i="11" a="1"/>
  <c r="O34" i="11" s="1"/>
  <c r="AK17" i="11" a="1"/>
  <c r="AK17" i="11" s="1"/>
  <c r="BA36" i="11" a="1"/>
  <c r="BA36" i="11" s="1"/>
  <c r="CB84" i="8" a="1"/>
  <c r="CB84" i="8" s="1"/>
  <c r="BF36" i="11" a="1"/>
  <c r="BF36" i="11" s="1"/>
  <c r="BN84" i="8" a="1"/>
  <c r="BN84" i="8" s="1"/>
  <c r="AS17" i="11" a="1"/>
  <c r="AS17" i="11" s="1"/>
  <c r="BV84" i="8" a="1"/>
  <c r="BV84" i="8" s="1"/>
  <c r="S43" i="11" a="1"/>
  <c r="S43" i="11" s="1"/>
  <c r="T43" i="11" a="1"/>
  <c r="T43" i="11" s="1"/>
  <c r="AH36" i="11" a="1"/>
  <c r="AH36" i="11" s="1"/>
  <c r="BT17" i="11" a="1"/>
  <c r="BT17" i="11" s="1"/>
  <c r="BO45" i="11" a="1"/>
  <c r="BO45" i="11" s="1"/>
  <c r="AT38" i="11" a="1"/>
  <c r="AT38" i="11" s="1"/>
  <c r="AW84" i="8" a="1"/>
  <c r="AW84" i="8" s="1"/>
  <c r="R37" i="11" a="1"/>
  <c r="R37" i="11" s="1"/>
  <c r="G37" i="11" a="1"/>
  <c r="G37" i="11" s="1"/>
  <c r="AZ45" i="11" a="1"/>
  <c r="AZ45" i="11" s="1"/>
  <c r="L45" i="11" a="1"/>
  <c r="L45" i="11" s="1"/>
  <c r="AX17" i="11" a="1"/>
  <c r="AX17" i="11" s="1"/>
  <c r="M36" i="11" a="1"/>
  <c r="M36" i="11" s="1"/>
  <c r="T36" i="11" a="1"/>
  <c r="T36" i="11" s="1"/>
  <c r="BC84" i="8" a="1"/>
  <c r="BC84" i="8" s="1"/>
  <c r="BA43" i="11" a="1"/>
  <c r="BA43" i="11" s="1"/>
  <c r="AD17" i="11" a="1"/>
  <c r="AD17" i="11" s="1"/>
  <c r="R36" i="11" a="1"/>
  <c r="R36" i="11" s="1"/>
  <c r="E17" i="11" a="1"/>
  <c r="E17" i="11" s="1"/>
  <c r="W34" i="11" a="1"/>
  <c r="W34" i="11" s="1"/>
  <c r="P84" i="8" a="1"/>
  <c r="P84" i="8" s="1"/>
  <c r="BT24" i="11" a="1"/>
  <c r="BT24" i="11" s="1"/>
  <c r="BG28" i="11" a="1"/>
  <c r="BG28" i="11" s="1"/>
  <c r="BU37" i="11" a="1"/>
  <c r="BU37" i="11" s="1"/>
  <c r="M37" i="11" a="1"/>
  <c r="M37" i="11" s="1"/>
  <c r="BA24" i="11" a="1"/>
  <c r="BA24" i="11" s="1"/>
  <c r="AS84" i="8" a="1"/>
  <c r="AS84" i="8" s="1"/>
  <c r="BH34" i="11" a="1"/>
  <c r="BH34" i="11" s="1"/>
  <c r="BF43" i="11" a="1"/>
  <c r="BF43" i="11" s="1"/>
  <c r="BQ17" i="11" a="1"/>
  <c r="BQ17" i="11" s="1"/>
  <c r="K36" i="11" a="1"/>
  <c r="K36" i="11" s="1"/>
  <c r="N17" i="11" a="1"/>
  <c r="N17" i="11" s="1"/>
  <c r="AP36" i="11" a="1"/>
  <c r="AP36" i="11" s="1"/>
  <c r="AG36" i="11" a="1"/>
  <c r="AG36" i="11" s="1"/>
  <c r="AI36" i="11" a="1"/>
  <c r="AI36" i="11" s="1"/>
  <c r="O36" i="11" a="1"/>
  <c r="O36" i="11" s="1"/>
  <c r="BI17" i="11" a="1"/>
  <c r="BI17" i="11" s="1"/>
  <c r="BP34" i="11" a="1"/>
  <c r="BP34" i="11" s="1"/>
  <c r="AU36" i="11" a="1"/>
  <c r="AU36" i="11" s="1"/>
  <c r="AF45" i="11" a="1"/>
  <c r="AF45" i="11" s="1"/>
  <c r="G24" i="11" a="1"/>
  <c r="G24" i="11" s="1"/>
  <c r="AH37" i="11" a="1"/>
  <c r="AH37" i="11" s="1"/>
  <c r="T37" i="11" a="1"/>
  <c r="T37" i="11" s="1"/>
  <c r="BZ84" i="8" a="1"/>
  <c r="BZ84" i="8" s="1"/>
  <c r="BX34" i="11" a="1"/>
  <c r="BX34" i="11" s="1"/>
  <c r="F36" i="11" a="1"/>
  <c r="F36" i="11" s="1"/>
  <c r="S17" i="11" a="1"/>
  <c r="S17" i="11" s="1"/>
  <c r="Z36" i="11" a="1"/>
  <c r="Z36" i="11" s="1"/>
  <c r="BS17" i="11" a="1"/>
  <c r="BS17" i="11" s="1"/>
  <c r="G36" i="11" a="1"/>
  <c r="G36" i="11" s="1"/>
  <c r="BW36" i="11" a="1"/>
  <c r="BW36" i="11" s="1"/>
  <c r="BO36" i="11" a="1"/>
  <c r="BO36" i="11" s="1"/>
  <c r="AD43" i="11" a="1"/>
  <c r="AD43" i="11" s="1"/>
  <c r="BM36" i="11" a="1"/>
  <c r="BM36" i="11" s="1"/>
  <c r="Y43" i="11" a="1"/>
  <c r="Y43" i="11" s="1"/>
  <c r="BK19" i="11" a="1"/>
  <c r="BK19" i="11" s="1"/>
  <c r="R45" i="11" a="1"/>
  <c r="R45" i="11" s="1"/>
  <c r="Z18" i="11" a="1"/>
  <c r="Z18" i="11" s="1"/>
  <c r="BO37" i="11" a="1"/>
  <c r="BO37" i="11" s="1"/>
  <c r="BN19" i="11" a="1"/>
  <c r="BN19" i="11" s="1"/>
  <c r="X43" i="11" a="1"/>
  <c r="X43" i="11" s="1"/>
  <c r="AD36" i="11" a="1"/>
  <c r="AD36" i="11" s="1"/>
  <c r="AY17" i="11" a="1"/>
  <c r="AY17" i="11" s="1"/>
  <c r="BU43" i="11" a="1"/>
  <c r="BU43" i="11" s="1"/>
  <c r="W36" i="11" a="1"/>
  <c r="W36" i="11" s="1"/>
  <c r="AZ36" i="11" a="1"/>
  <c r="AZ36" i="11" s="1"/>
  <c r="BX43" i="11" a="1"/>
  <c r="BX43" i="11" s="1"/>
  <c r="BW43" i="11" a="1"/>
  <c r="BW43" i="11" s="1"/>
  <c r="AK36" i="11" a="1"/>
  <c r="AK36" i="11" s="1"/>
  <c r="E45" i="11" a="1"/>
  <c r="E45" i="11" s="1"/>
  <c r="AN45" i="11" a="1"/>
  <c r="AN45" i="11" s="1"/>
  <c r="AR18" i="11" a="1"/>
  <c r="AR18" i="11" s="1"/>
  <c r="AD37" i="11" a="1"/>
  <c r="AD37" i="11" s="1"/>
  <c r="CF84" i="8" a="1"/>
  <c r="CF84" i="8" s="1"/>
  <c r="BE36" i="11" a="1"/>
  <c r="BE36" i="11" s="1"/>
  <c r="L17" i="11" a="1"/>
  <c r="L17" i="11" s="1"/>
  <c r="P36" i="11" a="1"/>
  <c r="P36" i="11" s="1"/>
  <c r="BJ36" i="11" a="1"/>
  <c r="BJ36" i="11" s="1"/>
  <c r="BQ43" i="11" a="1"/>
  <c r="BQ43" i="11" s="1"/>
  <c r="AQ84" i="8" a="1"/>
  <c r="AQ84" i="8" s="1"/>
  <c r="AT45" i="11" a="1"/>
  <c r="AT45" i="11" s="1"/>
  <c r="AK45" i="11" a="1"/>
  <c r="AK45" i="11" s="1"/>
  <c r="BQ18" i="11" a="1"/>
  <c r="BQ18" i="11" s="1"/>
  <c r="BI24" i="11" a="1"/>
  <c r="BI24" i="11" s="1"/>
  <c r="BV37" i="11" a="1"/>
  <c r="BV37" i="11" s="1"/>
  <c r="G45" i="11" a="1"/>
  <c r="G45" i="11" s="1"/>
  <c r="AZ34" i="11" a="1"/>
  <c r="AZ34" i="11" s="1"/>
  <c r="AN36" i="11" a="1"/>
  <c r="AN36" i="11" s="1"/>
  <c r="BC43" i="11" a="1"/>
  <c r="BC43" i="11" s="1"/>
  <c r="AT17" i="11" a="1"/>
  <c r="AT17" i="11" s="1"/>
  <c r="BO43" i="11" a="1"/>
  <c r="BO43" i="11" s="1"/>
  <c r="AO36" i="11" a="1"/>
  <c r="AO36" i="11" s="1"/>
  <c r="BA84" i="8" a="1"/>
  <c r="BA84" i="8" s="1"/>
  <c r="BJ43" i="11" a="1"/>
  <c r="BJ43" i="11" s="1"/>
  <c r="Y18" i="11" a="1"/>
  <c r="Y18" i="11" s="1"/>
  <c r="AW24" i="11" a="1"/>
  <c r="AW24" i="11" s="1"/>
  <c r="BU28" i="11" a="1"/>
  <c r="BU28" i="11" s="1"/>
  <c r="BA37" i="11" a="1"/>
  <c r="BA37" i="11" s="1"/>
  <c r="AZ37" i="11" a="1"/>
  <c r="AZ37" i="11" s="1"/>
  <c r="BU45" i="11" a="1"/>
  <c r="BU45" i="11" s="1"/>
  <c r="BI36" i="11" a="1"/>
  <c r="BI36" i="11" s="1"/>
  <c r="M17" i="11" a="1"/>
  <c r="M17" i="11" s="1"/>
  <c r="AL45" i="11" a="1"/>
  <c r="AL45" i="11" s="1"/>
  <c r="AP18" i="11" a="1"/>
  <c r="AP18" i="11" s="1"/>
  <c r="BK24" i="11" a="1"/>
  <c r="BK24" i="11" s="1"/>
  <c r="BD37" i="11" a="1"/>
  <c r="BD37" i="11" s="1"/>
  <c r="BN37" i="11" a="1"/>
  <c r="BN37" i="11" s="1"/>
  <c r="BK36" i="11" a="1"/>
  <c r="BK36" i="11" s="1"/>
  <c r="AV17" i="11" a="1"/>
  <c r="AV17" i="11" s="1"/>
  <c r="AN17" i="11" a="1"/>
  <c r="AN17" i="11" s="1"/>
  <c r="BJ84" i="8" a="1"/>
  <c r="BJ84" i="8" s="1"/>
  <c r="W43" i="11" a="1"/>
  <c r="W43" i="11" s="1"/>
  <c r="AV36" i="11" a="1"/>
  <c r="AV36" i="11" s="1"/>
  <c r="BT84" i="8" a="1"/>
  <c r="BT84" i="8" s="1"/>
  <c r="AE36" i="11" a="1"/>
  <c r="AE36" i="11" s="1"/>
  <c r="AU84" i="8" a="1"/>
  <c r="AU84" i="8" s="1"/>
  <c r="BD43" i="11" a="1"/>
  <c r="BD43" i="11" s="1"/>
  <c r="BO34" i="11" a="1"/>
  <c r="BO34" i="11" s="1"/>
  <c r="BR34" i="11" a="1"/>
  <c r="BR34" i="11" s="1"/>
  <c r="AY36" i="11" a="1"/>
  <c r="AY36" i="11" s="1"/>
  <c r="BB36" i="11" a="1"/>
  <c r="BB36" i="11" s="1"/>
  <c r="AE45" i="11" a="1"/>
  <c r="AE45" i="11" s="1"/>
  <c r="AG18" i="11" a="1"/>
  <c r="AG18" i="11" s="1"/>
  <c r="R28" i="11" a="1"/>
  <c r="R28" i="11" s="1"/>
  <c r="AP37" i="11" a="1"/>
  <c r="AP37" i="11" s="1"/>
  <c r="L37" i="11" a="1"/>
  <c r="L37" i="11" s="1"/>
  <c r="BW45" i="11" a="1"/>
  <c r="BW45" i="11" s="1"/>
  <c r="W45" i="11" a="1"/>
  <c r="W45" i="11" s="1"/>
  <c r="BV36" i="11" a="1"/>
  <c r="BV36" i="11" s="1"/>
  <c r="BR17" i="11" a="1"/>
  <c r="BR17" i="11" s="1"/>
  <c r="BW17" i="11" a="1"/>
  <c r="BW17" i="11" s="1"/>
  <c r="BR36" i="11" a="1"/>
  <c r="BR36" i="11" s="1"/>
  <c r="AO43" i="11" a="1"/>
  <c r="AO43" i="11" s="1"/>
  <c r="J84" i="8" a="1"/>
  <c r="J84" i="8" s="1"/>
  <c r="S36" i="11" a="1"/>
  <c r="S36" i="11" s="1"/>
  <c r="BM34" i="11" a="1"/>
  <c r="BM34" i="11" s="1"/>
  <c r="AR36" i="11" a="1"/>
  <c r="AR36" i="11" s="1"/>
  <c r="H43" i="11" a="1"/>
  <c r="H43" i="11" s="1"/>
  <c r="BD84" i="8" a="1"/>
  <c r="BD84" i="8" s="1"/>
  <c r="AW45" i="11" a="1"/>
  <c r="AW45" i="11" s="1"/>
  <c r="BG37" i="11" a="1"/>
  <c r="BG37" i="11" s="1"/>
  <c r="O45" i="11" a="1"/>
  <c r="O45" i="11" s="1"/>
  <c r="AY43" i="11" a="1"/>
  <c r="AY43" i="11" s="1"/>
  <c r="AL17" i="11" a="1"/>
  <c r="AL17" i="11" s="1"/>
  <c r="N36" i="11" a="1"/>
  <c r="N36" i="11" s="1"/>
  <c r="H34" i="11" a="1"/>
  <c r="H34" i="11" s="1"/>
  <c r="BS36" i="11" a="1"/>
  <c r="BS36" i="11" s="1"/>
  <c r="F34" i="11" a="1"/>
  <c r="F34" i="11" s="1"/>
  <c r="BE43" i="11" a="1"/>
  <c r="BE43" i="11" s="1"/>
  <c r="BJ45" i="11" a="1"/>
  <c r="BJ45" i="11" s="1"/>
  <c r="O37" i="11" a="1"/>
  <c r="O37" i="11" s="1"/>
  <c r="BL37" i="11" a="1"/>
  <c r="BL37" i="11" s="1"/>
  <c r="R18" i="11" a="1"/>
  <c r="R18" i="11" s="1"/>
  <c r="AE17" i="11" a="1"/>
  <c r="AE17" i="11" s="1"/>
  <c r="V84" i="8" a="1"/>
  <c r="V84" i="8" s="1"/>
  <c r="Z45" i="11" a="1"/>
  <c r="Z45" i="11" s="1"/>
  <c r="Q37" i="11" a="1"/>
  <c r="Q37" i="11" s="1"/>
  <c r="Q18" i="11" a="1"/>
  <c r="Q18" i="11" s="1"/>
  <c r="BR43" i="11" a="1"/>
  <c r="BR43" i="11" s="1"/>
  <c r="AC36" i="11" a="1"/>
  <c r="AC36" i="11" s="1"/>
  <c r="H17" i="11" a="1"/>
  <c r="H17" i="11" s="1"/>
  <c r="BP84" i="8" a="1"/>
  <c r="BP84" i="8" s="1"/>
  <c r="E43" i="11" a="1"/>
  <c r="E43" i="11" s="1"/>
  <c r="BN44" i="11" a="1"/>
  <c r="BN44" i="11" s="1"/>
  <c r="BN36" i="11" a="1"/>
  <c r="BN36" i="11" s="1"/>
  <c r="BE84" i="8" a="1"/>
  <c r="BE84" i="8" s="1"/>
  <c r="BR84" i="8" a="1"/>
  <c r="BR84" i="8" s="1"/>
  <c r="E36" i="11" a="1"/>
  <c r="E36" i="11" s="1"/>
  <c r="BL45" i="11" a="1"/>
  <c r="BL45" i="11" s="1"/>
  <c r="X45" i="11" a="1"/>
  <c r="X45" i="11" s="1"/>
  <c r="BS37" i="11" a="1"/>
  <c r="BS37" i="11" s="1"/>
  <c r="X37" i="11" a="1"/>
  <c r="X37" i="11" s="1"/>
  <c r="Y36" i="11" a="1"/>
  <c r="Y36" i="11" s="1"/>
  <c r="AC17" i="11" a="1"/>
  <c r="AC17" i="11" s="1"/>
  <c r="L34" i="11" a="1"/>
  <c r="L34" i="11" s="1"/>
  <c r="AX43" i="11" a="1"/>
  <c r="AX43" i="11" s="1"/>
  <c r="AD34" i="11" a="1"/>
  <c r="AD34" i="11" s="1"/>
  <c r="X36" i="11" a="1"/>
  <c r="X36" i="11" s="1"/>
  <c r="BX84" i="8" a="1"/>
  <c r="BX84" i="8" s="1"/>
  <c r="K84" i="8" a="1"/>
  <c r="K84" i="8" s="1"/>
  <c r="L36" i="11" a="1"/>
  <c r="L36" i="11" s="1"/>
  <c r="BM17" i="11" a="1"/>
  <c r="BM17" i="11" s="1"/>
  <c r="AI37" i="11" a="1"/>
  <c r="AI37" i="11" s="1"/>
  <c r="K45" i="11" a="1"/>
  <c r="K45" i="11" s="1"/>
  <c r="AR45" i="11" a="1"/>
  <c r="AR45" i="11" s="1"/>
  <c r="AV37" i="11" a="1"/>
  <c r="AV37" i="11" s="1"/>
  <c r="BN45" i="11" a="1"/>
  <c r="BN45" i="11" s="1"/>
  <c r="AJ43" i="11" a="1"/>
  <c r="AJ43" i="11" s="1"/>
  <c r="BH36" i="11" a="1"/>
  <c r="BH36" i="11" s="1"/>
  <c r="AP17" i="11" a="1"/>
  <c r="AP17" i="11" s="1"/>
  <c r="Y84" i="8" a="1"/>
  <c r="Y84" i="8" s="1"/>
  <c r="AL34" i="11" a="1"/>
  <c r="AL34" i="11" s="1"/>
  <c r="BG36" i="11" a="1"/>
  <c r="BG36" i="11" s="1"/>
  <c r="R34" i="11" a="1"/>
  <c r="R34" i="11" s="1"/>
  <c r="BC34" i="11" a="1"/>
  <c r="BC34" i="11" s="1"/>
  <c r="BP36" i="11" a="1"/>
  <c r="BP36" i="11" s="1"/>
  <c r="BF34" i="11" a="1"/>
  <c r="BF34" i="11" s="1"/>
  <c r="AS36" i="11" a="1"/>
  <c r="AS36" i="11" s="1"/>
  <c r="AT36" i="11" a="1"/>
  <c r="AT36" i="11" s="1"/>
  <c r="AQ36" i="11" a="1"/>
  <c r="AQ36" i="11" s="1"/>
  <c r="H36" i="11" a="1"/>
  <c r="H36" i="11" s="1"/>
  <c r="CA84" i="8" a="1"/>
  <c r="CA84" i="8" s="1"/>
  <c r="AR17" i="11" a="1"/>
  <c r="AR17" i="11" s="1"/>
  <c r="AM36" i="11" a="1"/>
  <c r="AM36" i="11" s="1"/>
  <c r="AG84" i="8" a="1"/>
  <c r="AG84" i="8" s="1"/>
  <c r="X34" i="11" a="1"/>
  <c r="X34" i="11" s="1"/>
  <c r="Z43" i="11" a="1"/>
  <c r="Z43" i="11" s="1"/>
  <c r="BQ36" i="11" a="1"/>
  <c r="BQ36" i="11" s="1"/>
  <c r="AL36" i="11" a="1"/>
  <c r="AL36" i="11" s="1"/>
  <c r="BT36" i="11" a="1"/>
  <c r="BT36" i="11" s="1"/>
  <c r="BI84" i="8" a="1"/>
  <c r="BI84" i="8" s="1"/>
  <c r="BK43" i="11" a="1"/>
  <c r="BK43" i="11" s="1"/>
  <c r="BP43" i="11" a="1"/>
  <c r="BP43" i="11" s="1"/>
  <c r="G19" i="11" a="1"/>
  <c r="G19" i="11" s="1"/>
  <c r="AH25" i="11" a="1"/>
  <c r="AH25" i="11" s="1"/>
  <c r="AX24" i="11" a="1"/>
  <c r="AX24" i="11" s="1"/>
  <c r="AU24" i="11" a="1"/>
  <c r="AU24" i="11" s="1"/>
  <c r="S29" i="11" a="1"/>
  <c r="S29" i="11" s="1"/>
  <c r="X24" i="11" a="1"/>
  <c r="X24" i="11" s="1"/>
  <c r="L29" i="11" a="1"/>
  <c r="L29" i="11" s="1"/>
  <c r="Y24" i="11" a="1"/>
  <c r="Y24" i="11" s="1"/>
  <c r="CC84" i="8" a="1"/>
  <c r="CC84" i="8" s="1"/>
  <c r="S18" i="11" a="1"/>
  <c r="S18" i="11" s="1"/>
  <c r="BE16" i="11" a="1"/>
  <c r="BE16" i="11" s="1"/>
  <c r="N25" i="11" a="1"/>
  <c r="N25" i="11" s="1"/>
  <c r="K28" i="11" a="1"/>
  <c r="K28" i="11" s="1"/>
  <c r="BQ29" i="11" a="1"/>
  <c r="BQ29" i="11" s="1"/>
  <c r="AS25" i="11" a="1"/>
  <c r="AS25" i="11" s="1"/>
  <c r="BP25" i="11" a="1"/>
  <c r="BP25" i="11" s="1"/>
  <c r="AF28" i="11" a="1"/>
  <c r="AF28" i="11" s="1"/>
  <c r="AG15" i="11" a="1"/>
  <c r="AG15" i="11" s="1"/>
  <c r="BI29" i="11" a="1"/>
  <c r="BI29" i="11" s="1"/>
  <c r="BF24" i="11" a="1"/>
  <c r="BF24" i="11" s="1"/>
  <c r="AU15" i="11" a="1"/>
  <c r="AU15" i="11" s="1"/>
  <c r="G29" i="11" a="1"/>
  <c r="G29" i="11" s="1"/>
  <c r="AC24" i="11" a="1"/>
  <c r="AC24" i="11" s="1"/>
  <c r="F15" i="11" a="1"/>
  <c r="F15" i="11" s="1"/>
  <c r="BD15" i="11" a="1"/>
  <c r="BD15" i="11" s="1"/>
  <c r="W29" i="11" a="1"/>
  <c r="W29" i="11" s="1"/>
  <c r="V25" i="11" a="1"/>
  <c r="V25" i="11" s="1"/>
  <c r="BR15" i="11" a="1"/>
  <c r="BR15" i="11" s="1"/>
  <c r="BV24" i="11" a="1"/>
  <c r="BV24" i="11" s="1"/>
  <c r="BJ29" i="11" a="1"/>
  <c r="BJ29" i="11" s="1"/>
  <c r="AW25" i="11" a="1"/>
  <c r="AW25" i="11" s="1"/>
  <c r="AK24" i="11" a="1"/>
  <c r="AK24" i="11" s="1"/>
  <c r="AJ24" i="11" a="1"/>
  <c r="AJ24" i="11" s="1"/>
  <c r="E29" i="11" a="1"/>
  <c r="E29" i="11" s="1"/>
  <c r="N15" i="11" a="1"/>
  <c r="N15" i="11" s="1"/>
  <c r="R29" i="11" a="1"/>
  <c r="R29" i="11" s="1"/>
  <c r="H24" i="11" a="1"/>
  <c r="H24" i="11" s="1"/>
  <c r="AI34" i="11" a="1"/>
  <c r="AI34" i="11" s="1"/>
  <c r="T34" i="11" a="1"/>
  <c r="T34" i="11" s="1"/>
  <c r="BF29" i="11" a="1"/>
  <c r="BF29" i="11" s="1"/>
  <c r="BS25" i="11" a="1"/>
  <c r="BS25" i="11" s="1"/>
  <c r="AT18" i="11" a="1"/>
  <c r="AT18" i="11" s="1"/>
  <c r="AK16" i="11" a="1"/>
  <c r="AK16" i="11" s="1"/>
  <c r="BB25" i="11" a="1"/>
  <c r="BB25" i="11" s="1"/>
  <c r="BF28" i="11" a="1"/>
  <c r="BF28" i="11" s="1"/>
  <c r="AH29" i="11" a="1"/>
  <c r="AH29" i="11" s="1"/>
  <c r="AG24" i="11" a="1"/>
  <c r="AG24" i="11" s="1"/>
  <c r="Q29" i="11" a="1"/>
  <c r="Q29" i="11" s="1"/>
  <c r="BQ24" i="11" a="1"/>
  <c r="BQ24" i="11" s="1"/>
  <c r="P15" i="11" a="1"/>
  <c r="P15" i="11" s="1"/>
  <c r="BR29" i="11" a="1"/>
  <c r="BR29" i="11" s="1"/>
  <c r="BB24" i="11" a="1"/>
  <c r="BB24" i="11" s="1"/>
  <c r="U15" i="11" a="1"/>
  <c r="U15" i="11" s="1"/>
  <c r="AU25" i="11" a="1"/>
  <c r="AU25" i="11" s="1"/>
  <c r="AH15" i="11" a="1"/>
  <c r="AH15" i="11" s="1"/>
  <c r="BW25" i="11" a="1"/>
  <c r="BW25" i="11" s="1"/>
  <c r="BL24" i="11" a="1"/>
  <c r="BL24" i="11" s="1"/>
  <c r="AJ15" i="11" a="1"/>
  <c r="AJ15" i="11" s="1"/>
  <c r="V29" i="11" a="1"/>
  <c r="V29" i="11" s="1"/>
  <c r="E24" i="11" a="1"/>
  <c r="E24" i="11" s="1"/>
  <c r="F24" i="11" a="1"/>
  <c r="F24" i="11" s="1"/>
  <c r="W15" i="11" a="1"/>
  <c r="W15" i="11" s="1"/>
  <c r="AP24" i="11" a="1"/>
  <c r="AP24" i="11" s="1"/>
  <c r="BH84" i="8" a="1"/>
  <c r="BH84" i="8" s="1"/>
  <c r="BV29" i="11" a="1"/>
  <c r="BV29" i="11" s="1"/>
  <c r="AP25" i="11" a="1"/>
  <c r="AP25" i="11" s="1"/>
  <c r="AJ18" i="11" a="1"/>
  <c r="AJ18" i="11" s="1"/>
  <c r="Q15" i="11" a="1"/>
  <c r="Q15" i="11" s="1"/>
  <c r="AP16" i="11" a="1"/>
  <c r="AP16" i="11" s="1"/>
  <c r="AV24" i="11" a="1"/>
  <c r="AV24" i="11" s="1"/>
  <c r="AC29" i="11" a="1"/>
  <c r="AC29" i="11" s="1"/>
  <c r="AY24" i="11" a="1"/>
  <c r="AY24" i="11" s="1"/>
  <c r="AK15" i="11" a="1"/>
  <c r="AK15" i="11" s="1"/>
  <c r="BT29" i="11" a="1"/>
  <c r="BT29" i="11" s="1"/>
  <c r="BU15" i="11" a="1"/>
  <c r="BU15" i="11" s="1"/>
  <c r="BG29" i="11" a="1"/>
  <c r="BG29" i="11" s="1"/>
  <c r="BF15" i="11" a="1"/>
  <c r="BF15" i="11" s="1"/>
  <c r="BW16" i="11" a="1"/>
  <c r="BW16" i="11" s="1"/>
  <c r="U36" i="11" a="1"/>
  <c r="U36" i="11" s="1"/>
  <c r="BU29" i="11" a="1"/>
  <c r="BU29" i="11" s="1"/>
  <c r="AT24" i="11" a="1"/>
  <c r="AT24" i="11" s="1"/>
  <c r="AG29" i="11" a="1"/>
  <c r="AG29" i="11" s="1"/>
  <c r="BL25" i="11" a="1"/>
  <c r="BL25" i="11" s="1"/>
  <c r="BX24" i="11" a="1"/>
  <c r="BX24" i="11" s="1"/>
  <c r="AS28" i="11" a="1"/>
  <c r="AS28" i="11" s="1"/>
  <c r="AZ28" i="11" a="1"/>
  <c r="AZ28" i="11" s="1"/>
  <c r="BU84" i="8" a="1"/>
  <c r="BU84" i="8" s="1"/>
  <c r="AJ29" i="11" a="1"/>
  <c r="AJ29" i="11" s="1"/>
  <c r="Q25" i="11" a="1"/>
  <c r="Q25" i="11" s="1"/>
  <c r="BW18" i="11" a="1"/>
  <c r="BW18" i="11" s="1"/>
  <c r="R15" i="11" a="1"/>
  <c r="R15" i="11" s="1"/>
  <c r="AW16" i="11" a="1"/>
  <c r="AW16" i="11" s="1"/>
  <c r="AM29" i="11" a="1"/>
  <c r="AM29" i="11" s="1"/>
  <c r="BU24" i="11" a="1"/>
  <c r="BU24" i="11" s="1"/>
  <c r="BS29" i="11" a="1"/>
  <c r="BS29" i="11" s="1"/>
  <c r="AE15" i="11" a="1"/>
  <c r="AE15" i="11" s="1"/>
  <c r="AX28" i="11" a="1"/>
  <c r="AX28" i="11" s="1"/>
  <c r="BE29" i="11" a="1"/>
  <c r="BE29" i="11" s="1"/>
  <c r="X25" i="11" a="1"/>
  <c r="X25" i="11" s="1"/>
  <c r="AZ15" i="11" a="1"/>
  <c r="AZ15" i="11" s="1"/>
  <c r="BK29" i="11" a="1"/>
  <c r="BK29" i="11" s="1"/>
  <c r="BS24" i="11" a="1"/>
  <c r="BS24" i="11" s="1"/>
  <c r="AS29" i="11" a="1"/>
  <c r="AS29" i="11" s="1"/>
  <c r="AK25" i="11" a="1"/>
  <c r="AK25" i="11" s="1"/>
  <c r="BN24" i="11" a="1"/>
  <c r="BN24" i="11" s="1"/>
  <c r="BW28" i="11" a="1"/>
  <c r="BW28" i="11" s="1"/>
  <c r="AU28" i="11" a="1"/>
  <c r="AU28" i="11" s="1"/>
  <c r="BE45" i="11" a="1"/>
  <c r="BE45" i="11" s="1"/>
  <c r="BD45" i="11" a="1"/>
  <c r="BD45" i="11" s="1"/>
  <c r="AM84" i="8" a="1"/>
  <c r="AM84" i="8" s="1"/>
  <c r="K29" i="11" a="1"/>
  <c r="K29" i="11" s="1"/>
  <c r="BO24" i="11" a="1"/>
  <c r="BO24" i="11" s="1"/>
  <c r="R16" i="11" a="1"/>
  <c r="R16" i="11" s="1"/>
  <c r="P29" i="11" a="1"/>
  <c r="P29" i="11" s="1"/>
  <c r="BH15" i="11" a="1"/>
  <c r="BH15" i="11" s="1"/>
  <c r="BG15" i="11" a="1"/>
  <c r="BG15" i="11" s="1"/>
  <c r="BB28" i="11" a="1"/>
  <c r="BB28" i="11" s="1"/>
  <c r="P25" i="11" a="1"/>
  <c r="P25" i="11" s="1"/>
  <c r="AJ28" i="11" a="1"/>
  <c r="AJ28" i="11" s="1"/>
  <c r="X29" i="11" a="1"/>
  <c r="X29" i="11" s="1"/>
  <c r="BT25" i="11" a="1"/>
  <c r="BT25" i="11" s="1"/>
  <c r="AX25" i="11" a="1"/>
  <c r="AX25" i="11" s="1"/>
  <c r="F29" i="11" a="1"/>
  <c r="F29" i="11" s="1"/>
  <c r="AR29" i="11" a="1"/>
  <c r="AR29" i="11" s="1"/>
  <c r="BR25" i="11" a="1"/>
  <c r="BR25" i="11" s="1"/>
  <c r="Q24" i="11" a="1"/>
  <c r="Q24" i="11" s="1"/>
  <c r="U28" i="11" a="1"/>
  <c r="U28" i="11" s="1"/>
  <c r="AK28" i="11" a="1"/>
  <c r="AK28" i="11" s="1"/>
  <c r="BC24" i="11" a="1"/>
  <c r="BC24" i="11" s="1"/>
  <c r="BU16" i="11" a="1"/>
  <c r="BU16" i="11" s="1"/>
  <c r="BN29" i="11" a="1"/>
  <c r="BN29" i="11" s="1"/>
  <c r="O15" i="11" a="1"/>
  <c r="O15" i="11" s="1"/>
  <c r="BP28" i="11" a="1"/>
  <c r="BP28" i="11" s="1"/>
  <c r="V19" i="11" a="1"/>
  <c r="V19" i="11" s="1"/>
  <c r="BG25" i="11" a="1"/>
  <c r="BG25" i="11" s="1"/>
  <c r="BO29" i="11" a="1"/>
  <c r="BO29" i="11" s="1"/>
  <c r="AI25" i="11" a="1"/>
  <c r="AI25" i="11" s="1"/>
  <c r="AY29" i="11" a="1"/>
  <c r="AY29" i="11" s="1"/>
  <c r="AL25" i="11" a="1"/>
  <c r="AL25" i="11" s="1"/>
  <c r="BV25" i="11" a="1"/>
  <c r="BV25" i="11" s="1"/>
  <c r="BP24" i="11" a="1"/>
  <c r="BP24" i="11" s="1"/>
  <c r="AT34" i="11" a="1"/>
  <c r="AT34" i="11" s="1"/>
  <c r="AZ29" i="11" a="1"/>
  <c r="AZ29" i="11" s="1"/>
  <c r="AF24" i="11" a="1"/>
  <c r="AF24" i="11" s="1"/>
  <c r="BM24" i="11" a="1"/>
  <c r="BM24" i="11" s="1"/>
  <c r="AP28" i="11" a="1"/>
  <c r="AP28" i="11" s="1"/>
  <c r="BI28" i="11" a="1"/>
  <c r="BI28" i="11" s="1"/>
  <c r="E28" i="11" a="1"/>
  <c r="E28" i="11" s="1"/>
  <c r="T24" i="11" a="1"/>
  <c r="T24" i="11" s="1"/>
  <c r="AN18" i="11" a="1"/>
  <c r="AN18" i="11" s="1"/>
  <c r="M16" i="11" a="1"/>
  <c r="M16" i="11" s="1"/>
  <c r="AE29" i="11" a="1"/>
  <c r="AE29" i="11" s="1"/>
  <c r="BS84" i="8" a="1"/>
  <c r="BS84" i="8" s="1"/>
  <c r="M28" i="11" a="1"/>
  <c r="M28" i="11" s="1"/>
  <c r="BL19" i="11" a="1"/>
  <c r="BL19" i="11" s="1"/>
  <c r="U25" i="11" a="1"/>
  <c r="U25" i="11" s="1"/>
  <c r="N28" i="11" a="1"/>
  <c r="N28" i="11" s="1"/>
  <c r="AV29" i="11" a="1"/>
  <c r="AV29" i="11" s="1"/>
  <c r="O24" i="11" a="1"/>
  <c r="O24" i="11" s="1"/>
  <c r="BT28" i="11" a="1"/>
  <c r="BT28" i="11" s="1"/>
  <c r="R24" i="11" a="1"/>
  <c r="R24" i="11" s="1"/>
  <c r="W24" i="11" a="1"/>
  <c r="W24" i="11" s="1"/>
  <c r="CG84" i="8" a="1"/>
  <c r="CG84" i="8" s="1"/>
  <c r="BH24" i="11" a="1"/>
  <c r="BH24" i="11" s="1"/>
  <c r="AT15" i="11" a="1"/>
  <c r="AT15" i="11" s="1"/>
  <c r="BW15" i="11" a="1"/>
  <c r="BW15" i="11" s="1"/>
  <c r="BD25" i="11" a="1"/>
  <c r="BD25" i="11" s="1"/>
  <c r="BX29" i="11" a="1"/>
  <c r="BX29" i="11" s="1"/>
  <c r="BC19" i="11" a="1"/>
  <c r="BC19" i="11" s="1"/>
  <c r="K34" i="11" a="1"/>
  <c r="K34" i="11" s="1"/>
  <c r="BQ28" i="11" a="1"/>
  <c r="BQ28" i="11" s="1"/>
  <c r="BE38" i="11" a="1"/>
  <c r="BE38" i="11" s="1"/>
  <c r="BC29" i="11" a="1"/>
  <c r="BC29" i="11" s="1"/>
  <c r="BW24" i="11" a="1"/>
  <c r="BW24" i="11" s="1"/>
  <c r="U24" i="11" a="1"/>
  <c r="U24" i="11" s="1"/>
  <c r="BX28" i="11" a="1"/>
  <c r="BX28" i="11" s="1"/>
  <c r="AF38" i="11" a="1"/>
  <c r="AF38" i="11" s="1"/>
  <c r="AW28" i="11" a="1"/>
  <c r="AW28" i="11" s="1"/>
  <c r="AL18" i="11" a="1"/>
  <c r="AL18" i="11" s="1"/>
  <c r="BN16" i="11" a="1"/>
  <c r="BN16" i="11" s="1"/>
  <c r="O28" i="11" a="1"/>
  <c r="O28" i="11" s="1"/>
  <c r="AQ15" i="11" a="1"/>
  <c r="AQ15" i="11" s="1"/>
  <c r="BV28" i="11" a="1"/>
  <c r="BV28" i="11" s="1"/>
  <c r="AT19" i="11" a="1"/>
  <c r="AT19" i="11" s="1"/>
  <c r="F25" i="11" a="1"/>
  <c r="F25" i="11" s="1"/>
  <c r="AM28" i="11" a="1"/>
  <c r="AM28" i="11" s="1"/>
  <c r="BB29" i="11" a="1"/>
  <c r="BB29" i="11" s="1"/>
  <c r="AS24" i="11" a="1"/>
  <c r="AS24" i="11" s="1"/>
  <c r="BD24" i="11" a="1"/>
  <c r="BD24" i="11" s="1"/>
  <c r="V24" i="11" a="1"/>
  <c r="V24" i="11" s="1"/>
  <c r="AZ25" i="11" a="1"/>
  <c r="AZ25" i="11" s="1"/>
  <c r="Z15" i="11" a="1"/>
  <c r="Z15" i="11" s="1"/>
  <c r="BL84" i="8" a="1"/>
  <c r="BL84" i="8" s="1"/>
  <c r="BA28" i="11" a="1"/>
  <c r="BA28" i="11" s="1"/>
  <c r="BD28" i="11" a="1"/>
  <c r="BD28" i="11" s="1"/>
  <c r="BC18" i="11" a="1"/>
  <c r="BC18" i="11" s="1"/>
  <c r="T16" i="11" a="1"/>
  <c r="T16" i="11" s="1"/>
  <c r="AL28" i="11" a="1"/>
  <c r="AL28" i="11" s="1"/>
  <c r="Y15" i="11" a="1"/>
  <c r="Y15" i="11" s="1"/>
  <c r="BN25" i="11" a="1"/>
  <c r="BN25" i="11" s="1"/>
  <c r="T19" i="11" a="1"/>
  <c r="T19" i="11" s="1"/>
  <c r="AO24" i="11" a="1"/>
  <c r="AO24" i="11" s="1"/>
  <c r="BA29" i="11" a="1"/>
  <c r="BA29" i="11" s="1"/>
  <c r="K24" i="11" a="1"/>
  <c r="K24" i="11" s="1"/>
  <c r="H19" i="11" a="1"/>
  <c r="H19" i="11" s="1"/>
  <c r="AO29" i="11" a="1"/>
  <c r="AO29" i="11" s="1"/>
  <c r="BG24" i="11" a="1"/>
  <c r="BG24" i="11" s="1"/>
  <c r="H25" i="11" a="1"/>
  <c r="H25" i="11" s="1"/>
  <c r="AV28" i="11" a="1"/>
  <c r="AV28" i="11" s="1"/>
  <c r="AO15" i="11" a="1"/>
  <c r="AO15" i="11" s="1"/>
  <c r="BE24" i="11" a="1"/>
  <c r="BE24" i="11" s="1"/>
  <c r="BX15" i="11" a="1"/>
  <c r="BX15" i="11" s="1"/>
  <c r="AO28" i="11" a="1"/>
  <c r="AO28" i="11" s="1"/>
  <c r="BF18" i="11" a="1"/>
  <c r="BF18" i="11" s="1"/>
  <c r="BM43" i="11" a="1"/>
  <c r="BM43" i="11" s="1"/>
  <c r="AL16" i="11" a="1"/>
  <c r="AL16" i="11" s="1"/>
  <c r="AD28" i="11" a="1"/>
  <c r="AD28" i="11" s="1"/>
  <c r="BM15" i="11" a="1"/>
  <c r="BM15" i="11" s="1"/>
  <c r="AQ29" i="11" a="1"/>
  <c r="AQ29" i="11" s="1"/>
  <c r="BO25" i="11" a="1"/>
  <c r="BO25" i="11" s="1"/>
  <c r="AK29" i="11" a="1"/>
  <c r="AK29" i="11" s="1"/>
  <c r="AL24" i="11" a="1"/>
  <c r="AL24" i="11" s="1"/>
  <c r="Z28" i="11" a="1"/>
  <c r="Z28" i="11" s="1"/>
  <c r="AW29" i="11" a="1"/>
  <c r="AW29" i="11" s="1"/>
  <c r="AA84" i="8" a="1"/>
  <c r="AA84" i="8" s="1"/>
  <c r="AT28" i="11" a="1"/>
  <c r="AT28" i="11" s="1"/>
  <c r="BJ15" i="11" a="1"/>
  <c r="BJ15" i="11" s="1"/>
  <c r="BJ24" i="11" a="1"/>
  <c r="BJ24" i="11" s="1"/>
  <c r="BV15" i="11" a="1"/>
  <c r="BV15" i="11" s="1"/>
  <c r="BK28" i="11" a="1"/>
  <c r="BK28" i="11" s="1"/>
  <c r="BH18" i="11" a="1"/>
  <c r="BH18" i="11" s="1"/>
  <c r="BO16" i="11" a="1"/>
  <c r="BO16" i="11" s="1"/>
  <c r="Y28" i="11" a="1"/>
  <c r="Y28" i="11" s="1"/>
  <c r="AD29" i="11" a="1"/>
  <c r="AD29" i="11" s="1"/>
  <c r="AN25" i="11" a="1"/>
  <c r="AN25" i="11" s="1"/>
  <c r="Z29" i="11" a="1"/>
  <c r="Z29" i="11" s="1"/>
  <c r="V28" i="11" a="1"/>
  <c r="V28" i="11" s="1"/>
  <c r="BL15" i="11" a="1"/>
  <c r="BL15" i="11" s="1"/>
  <c r="W19" i="11" a="1"/>
  <c r="W19" i="11" s="1"/>
  <c r="AF29" i="11" a="1"/>
  <c r="AF29" i="11" s="1"/>
  <c r="BL29" i="11" a="1"/>
  <c r="BL29" i="11" s="1"/>
  <c r="T29" i="11" a="1"/>
  <c r="T29" i="11" s="1"/>
  <c r="BP15" i="11" a="1"/>
  <c r="BP15" i="11" s="1"/>
  <c r="AU29" i="11" a="1"/>
  <c r="AU29" i="11" s="1"/>
  <c r="AC15" i="11" a="1"/>
  <c r="AC15" i="11" s="1"/>
  <c r="BJ28" i="11" a="1"/>
  <c r="BJ28" i="11" s="1"/>
  <c r="BL28" i="11" a="1"/>
  <c r="BL28" i="11" s="1"/>
  <c r="BR24" i="11" a="1"/>
  <c r="BR24" i="11" s="1"/>
  <c r="AC25" i="11" a="1"/>
  <c r="AC25" i="11" s="1"/>
  <c r="U18" i="11" a="1"/>
  <c r="U18" i="11" s="1"/>
  <c r="AC16" i="11" a="1"/>
  <c r="AC16" i="11" s="1"/>
  <c r="H29" i="11" a="1"/>
  <c r="H29" i="11" s="1"/>
  <c r="Z24" i="11" a="1"/>
  <c r="Z24" i="11" s="1"/>
  <c r="BL43" i="11" a="1"/>
  <c r="BL43" i="11" s="1"/>
  <c r="O19" i="11" a="1"/>
  <c r="O19" i="11" s="1"/>
  <c r="BC25" i="11" a="1"/>
  <c r="BC25" i="11" s="1"/>
  <c r="BD29" i="11" a="1"/>
  <c r="BD29" i="11" s="1"/>
  <c r="BH28" i="11" a="1"/>
  <c r="BH28" i="11" s="1"/>
  <c r="AV15" i="11" a="1"/>
  <c r="AV15" i="11" s="1"/>
  <c r="BB38" i="11" a="1"/>
  <c r="BB38" i="11" s="1"/>
  <c r="Q19" i="11" a="1"/>
  <c r="Q19" i="11" s="1"/>
  <c r="BM28" i="11" a="1"/>
  <c r="BM28" i="11" s="1"/>
  <c r="N29" i="11" a="1"/>
  <c r="N29" i="11" s="1"/>
  <c r="BJ16" i="11" a="1"/>
  <c r="BJ16" i="11" s="1"/>
  <c r="AM24" i="11" a="1"/>
  <c r="AM24" i="11" s="1"/>
  <c r="BM44" i="11" a="1"/>
  <c r="BM44" i="11" s="1"/>
  <c r="S28" i="11" a="1"/>
  <c r="S28" i="11" s="1"/>
  <c r="AI15" i="11" a="1"/>
  <c r="AI15" i="11" s="1"/>
  <c r="AI24" i="11" a="1"/>
  <c r="AI24" i="11" s="1"/>
  <c r="AY25" i="11" a="1"/>
  <c r="AY25" i="11" s="1"/>
  <c r="V43" i="11" a="1"/>
  <c r="V43" i="11" s="1"/>
  <c r="BH16" i="11" a="1"/>
  <c r="BH16" i="11" s="1"/>
  <c r="BM29" i="11" a="1"/>
  <c r="BM29" i="11" s="1"/>
  <c r="L24" i="11" a="1"/>
  <c r="L24" i="11" s="1"/>
  <c r="AR25" i="11" a="1"/>
  <c r="AR25" i="11" s="1"/>
  <c r="M29" i="11" a="1"/>
  <c r="M29" i="11" s="1"/>
  <c r="S25" i="11" a="1"/>
  <c r="S25" i="11" s="1"/>
  <c r="BK38" i="11" a="1"/>
  <c r="BK38" i="11" s="1"/>
  <c r="Q28" i="11" a="1"/>
  <c r="Q28" i="11" s="1"/>
  <c r="AP15" i="11" a="1"/>
  <c r="AP15" i="11" s="1"/>
  <c r="P19" i="11" a="1"/>
  <c r="P19" i="11" s="1"/>
  <c r="AD24" i="11" a="1"/>
  <c r="AD24" i="11" s="1"/>
  <c r="BH19" i="11" a="1"/>
  <c r="BH19" i="11" s="1"/>
  <c r="AN43" i="11" a="1"/>
  <c r="AN43" i="11" s="1"/>
  <c r="AR19" i="11" a="1"/>
  <c r="AR19" i="11" s="1"/>
  <c r="F28" i="11" a="1"/>
  <c r="F28" i="11" s="1"/>
  <c r="AF15" i="11" a="1"/>
  <c r="AF15" i="11" s="1"/>
  <c r="F38" i="11" a="1"/>
  <c r="F38" i="11" s="1"/>
  <c r="S24" i="11" a="1"/>
  <c r="S24" i="11" s="1"/>
  <c r="BJ25" i="11" a="1"/>
  <c r="BJ25" i="11" s="1"/>
  <c r="O43" i="11" a="1"/>
  <c r="O43" i="11" s="1"/>
  <c r="AT25" i="11" a="1"/>
  <c r="AT25" i="11" s="1"/>
  <c r="N84" i="8" a="1"/>
  <c r="N84" i="8" s="1"/>
  <c r="BG16" i="11" a="1"/>
  <c r="BG16" i="11" s="1"/>
  <c r="BT43" i="11" a="1"/>
  <c r="BT43" i="11" s="1"/>
  <c r="X28" i="11" a="1"/>
  <c r="X28" i="11" s="1"/>
  <c r="BX25" i="11" a="1"/>
  <c r="BX25" i="11" s="1"/>
  <c r="BR28" i="11" a="1"/>
  <c r="BR28" i="11" s="1"/>
  <c r="H15" i="11" a="1"/>
  <c r="H15" i="11" s="1"/>
  <c r="AO38" i="11" a="1"/>
  <c r="AO38" i="11" s="1"/>
  <c r="G28" i="11" a="1"/>
  <c r="G28" i="11" s="1"/>
  <c r="BP29" i="11" a="1"/>
  <c r="BP29" i="11" s="1"/>
  <c r="BW29" i="11" a="1"/>
  <c r="BW29" i="11" s="1"/>
  <c r="N24" i="11" a="1"/>
  <c r="N24" i="11" s="1"/>
  <c r="AI29" i="11" a="1"/>
  <c r="AI29" i="11" s="1"/>
  <c r="AL29" i="11" a="1"/>
  <c r="AL29" i="11" s="1"/>
  <c r="AN24" i="11" a="1"/>
  <c r="AN24" i="11" s="1"/>
  <c r="AJ25" i="11" a="1"/>
  <c r="AJ25" i="11" s="1"/>
  <c r="V15" i="11" a="1"/>
  <c r="V15" i="11" s="1"/>
  <c r="BK45" i="11" a="1"/>
  <c r="BK45" i="11" s="1"/>
  <c r="AE43" i="11" a="1"/>
  <c r="AE43" i="11" s="1"/>
  <c r="BU34" i="11" a="1"/>
  <c r="BU34" i="11" s="1"/>
  <c r="AP19" i="11" a="1"/>
  <c r="AP19" i="11" s="1"/>
  <c r="BM19" i="11" a="1"/>
  <c r="BM19" i="11" s="1"/>
  <c r="AG28" i="11" a="1"/>
  <c r="AG28" i="11" s="1"/>
  <c r="AR24" i="11" a="1"/>
  <c r="AR24" i="11" s="1"/>
  <c r="U29" i="11" a="1"/>
  <c r="U29" i="11" s="1"/>
  <c r="M24" i="11" a="1"/>
  <c r="M24" i="11" s="1"/>
  <c r="AX29" i="11" a="1"/>
  <c r="AX29" i="11" s="1"/>
  <c r="BE25" i="11" a="1"/>
  <c r="BE25" i="11" s="1"/>
  <c r="BP18" i="11" a="1"/>
  <c r="BP18" i="11" s="1"/>
  <c r="BK84" i="8" a="1"/>
  <c r="BK84" i="8" s="1"/>
  <c r="AH16" i="11" a="1"/>
  <c r="AH16" i="11" s="1"/>
  <c r="BO28" i="11" a="1"/>
  <c r="BO28" i="11" s="1"/>
  <c r="BF25" i="11" a="1"/>
  <c r="BF25" i="11" s="1"/>
  <c r="BC28" i="11" a="1"/>
  <c r="BC28" i="11" s="1"/>
  <c r="AW15" i="11" a="1"/>
  <c r="AW15" i="11" s="1"/>
  <c r="W25" i="11" a="1"/>
  <c r="W25" i="11" s="1"/>
  <c r="BB15" i="11" a="1"/>
  <c r="BB15" i="11" s="1"/>
  <c r="AT29" i="11" a="1"/>
  <c r="AT29" i="11" s="1"/>
  <c r="E25" i="11" a="1"/>
  <c r="E25" i="11" s="1"/>
  <c r="E15" i="11" a="1"/>
  <c r="E15" i="11" s="1"/>
  <c r="BE28" i="11" a="1"/>
  <c r="BE28" i="11" s="1"/>
  <c r="AP29" i="11" a="1"/>
  <c r="AP29" i="11" s="1"/>
  <c r="BR19" i="11" a="1"/>
  <c r="BR19" i="11" s="1"/>
  <c r="BK25" i="11" a="1"/>
  <c r="BK25" i="11" s="1"/>
  <c r="K19" i="11" a="1"/>
  <c r="K19" i="11" s="1"/>
  <c r="AQ24" i="11" a="1"/>
  <c r="AQ24" i="11" s="1"/>
  <c r="AN29" i="11" a="1"/>
  <c r="AN29" i="11" s="1"/>
  <c r="AH24" i="11" a="1"/>
  <c r="AH24" i="11" s="1"/>
  <c r="O29" i="11" a="1"/>
  <c r="O29" i="11" s="1"/>
  <c r="Y25" i="11" a="1"/>
  <c r="Y25" i="11" s="1"/>
  <c r="V18" i="11" a="1"/>
  <c r="V18" i="11" s="1"/>
  <c r="L25" i="11" a="1"/>
  <c r="L25" i="11" s="1"/>
  <c r="Z25" i="11" a="1"/>
  <c r="Z25" i="11" s="1"/>
  <c r="AE19" i="11" a="1"/>
  <c r="AE19" i="11" s="1"/>
  <c r="AH19" i="11" a="1"/>
  <c r="AH19" i="11" s="1"/>
  <c r="S19" i="11" a="1"/>
  <c r="S19" i="11" s="1"/>
  <c r="X38" i="11" a="1"/>
  <c r="X38" i="11" s="1"/>
  <c r="S35" i="11" a="1"/>
  <c r="S35" i="11" s="1"/>
  <c r="BH38" i="11" a="1"/>
  <c r="BH38" i="11" s="1"/>
  <c r="AP84" i="8" a="1"/>
  <c r="AP84" i="8" s="1"/>
  <c r="AY38" i="11" a="1"/>
  <c r="AY38" i="11" s="1"/>
  <c r="Q27" i="11" a="1"/>
  <c r="Q27" i="11" s="1"/>
  <c r="M35" i="11" a="1"/>
  <c r="M35" i="11" s="1"/>
  <c r="AF25" i="11" a="1"/>
  <c r="AF25" i="11" s="1"/>
  <c r="BR38" i="11" a="1"/>
  <c r="BR38" i="11" s="1"/>
  <c r="BF38" i="11" a="1"/>
  <c r="BF38" i="11" s="1"/>
  <c r="BL17" i="11" a="1"/>
  <c r="BL17" i="11" s="1"/>
  <c r="BH17" i="11" a="1"/>
  <c r="BH17" i="11" s="1"/>
  <c r="AG19" i="11" a="1"/>
  <c r="AG19" i="11" s="1"/>
  <c r="AM19" i="11" a="1"/>
  <c r="AM19" i="11" s="1"/>
  <c r="BF19" i="11" a="1"/>
  <c r="BF19" i="11" s="1"/>
  <c r="AJ38" i="11" a="1"/>
  <c r="AJ38" i="11" s="1"/>
  <c r="AJ40" i="11" s="1"/>
  <c r="AF35" i="11" a="1"/>
  <c r="AF35" i="11" s="1"/>
  <c r="BS35" i="11" a="1"/>
  <c r="BS35" i="11" s="1"/>
  <c r="BG84" i="8" a="1"/>
  <c r="BG84" i="8" s="1"/>
  <c r="Q84" i="8" a="1"/>
  <c r="Q84" i="8" s="1"/>
  <c r="AH38" i="11" a="1"/>
  <c r="AH38" i="11" s="1"/>
  <c r="BU27" i="11" a="1"/>
  <c r="BU27" i="11" s="1"/>
  <c r="K38" i="11" a="1"/>
  <c r="K38" i="11" s="1"/>
  <c r="Y38" i="11" a="1"/>
  <c r="Y38" i="11" s="1"/>
  <c r="AV25" i="11" a="1"/>
  <c r="AV25" i="11" s="1"/>
  <c r="R25" i="11" a="1"/>
  <c r="R25" i="11" s="1"/>
  <c r="AQ17" i="11" a="1"/>
  <c r="AQ17" i="11" s="1"/>
  <c r="BA17" i="11" a="1"/>
  <c r="BA17" i="11" s="1"/>
  <c r="AM25" i="11" a="1"/>
  <c r="AM25" i="11" s="1"/>
  <c r="AJ19" i="11" a="1"/>
  <c r="AJ19" i="11" s="1"/>
  <c r="L19" i="11" a="1"/>
  <c r="L19" i="11" s="1"/>
  <c r="AS19" i="11" a="1"/>
  <c r="AS19" i="11" s="1"/>
  <c r="AP35" i="11" a="1"/>
  <c r="AP35" i="11" s="1"/>
  <c r="V38" i="11" a="1"/>
  <c r="V38" i="11" s="1"/>
  <c r="U35" i="11" a="1"/>
  <c r="U35" i="11" s="1"/>
  <c r="K35" i="11" a="1"/>
  <c r="K35" i="11" s="1"/>
  <c r="CE84" i="8" a="1"/>
  <c r="CE84" i="8" s="1"/>
  <c r="O84" i="8" a="1"/>
  <c r="O84" i="8" s="1"/>
  <c r="U84" i="8" a="1"/>
  <c r="U84" i="8" s="1"/>
  <c r="AF84" i="8" a="1"/>
  <c r="AF84" i="8" s="1"/>
  <c r="G25" i="11" a="1"/>
  <c r="G25" i="11" s="1"/>
  <c r="AR38" i="11" a="1"/>
  <c r="AR38" i="11" s="1"/>
  <c r="BO38" i="11" a="1"/>
  <c r="BO38" i="11" s="1"/>
  <c r="AD25" i="11" a="1"/>
  <c r="AD25" i="11" s="1"/>
  <c r="K25" i="11" a="1"/>
  <c r="K25" i="11" s="1"/>
  <c r="BO19" i="11" a="1"/>
  <c r="BO19" i="11" s="1"/>
  <c r="AI19" i="11" a="1"/>
  <c r="AI19" i="11" s="1"/>
  <c r="AW19" i="11" a="1"/>
  <c r="AW19" i="11" s="1"/>
  <c r="BV35" i="11" a="1"/>
  <c r="BV35" i="11" s="1"/>
  <c r="AM35" i="11" a="1"/>
  <c r="AM35" i="11" s="1"/>
  <c r="AH84" i="8" a="1"/>
  <c r="AH84" i="8" s="1"/>
  <c r="AD84" i="8" a="1"/>
  <c r="AD84" i="8" s="1"/>
  <c r="BQ38" i="11" a="1"/>
  <c r="BQ38" i="11" s="1"/>
  <c r="U38" i="11" a="1"/>
  <c r="U38" i="11" s="1"/>
  <c r="BL38" i="11" a="1"/>
  <c r="BL38" i="11" s="1"/>
  <c r="BH25" i="11" a="1"/>
  <c r="BH25" i="11" s="1"/>
  <c r="BX19" i="11" a="1"/>
  <c r="BX19" i="11" s="1"/>
  <c r="U19" i="11" a="1"/>
  <c r="U19" i="11" s="1"/>
  <c r="BP19" i="11" a="1"/>
  <c r="BP19" i="11" s="1"/>
  <c r="R35" i="11" a="1"/>
  <c r="R35" i="11" s="1"/>
  <c r="AZ35" i="11" a="1"/>
  <c r="AZ35" i="11" s="1"/>
  <c r="AI84" i="8" a="1"/>
  <c r="AI84" i="8" s="1"/>
  <c r="AY84" i="8" a="1"/>
  <c r="AY84" i="8" s="1"/>
  <c r="AC84" i="8" a="1"/>
  <c r="AC84" i="8" s="1"/>
  <c r="N37" i="11" a="1"/>
  <c r="N37" i="11" s="1"/>
  <c r="AQ37" i="11" a="1"/>
  <c r="AQ37" i="11" s="1"/>
  <c r="AE25" i="11" a="1"/>
  <c r="AE25" i="11" s="1"/>
  <c r="AD38" i="11" a="1"/>
  <c r="AD38" i="11" s="1"/>
  <c r="N38" i="11" a="1"/>
  <c r="N38" i="11" s="1"/>
  <c r="BO17" i="11" a="1"/>
  <c r="BO17" i="11" s="1"/>
  <c r="AN19" i="11" a="1"/>
  <c r="AN19" i="11" s="1"/>
  <c r="AK19" i="11" a="1"/>
  <c r="AK19" i="11" s="1"/>
  <c r="AZ19" i="11" a="1"/>
  <c r="AZ19" i="11" s="1"/>
  <c r="W35" i="11" a="1"/>
  <c r="W35" i="11" s="1"/>
  <c r="BB84" i="8" a="1"/>
  <c r="BB84" i="8" s="1"/>
  <c r="X84" i="8" a="1"/>
  <c r="X84" i="8" s="1"/>
  <c r="T84" i="8" a="1"/>
  <c r="T84" i="8" s="1"/>
  <c r="AQ38" i="11" a="1"/>
  <c r="AQ38" i="11" s="1"/>
  <c r="AS38" i="11" a="1"/>
  <c r="AS38" i="11" s="1"/>
  <c r="T38" i="11" a="1"/>
  <c r="T38" i="11" s="1"/>
  <c r="BS19" i="11" a="1"/>
  <c r="BS19" i="11" s="1"/>
  <c r="AV19" i="11" a="1"/>
  <c r="AV19" i="11" s="1"/>
  <c r="AU19" i="11" a="1"/>
  <c r="AU19" i="11" s="1"/>
  <c r="AD35" i="11" a="1"/>
  <c r="AD35" i="11" s="1"/>
  <c r="M25" i="11" a="1"/>
  <c r="M25" i="11" s="1"/>
  <c r="BY84" i="8" a="1"/>
  <c r="BY84" i="8" s="1"/>
  <c r="BV16" i="11" a="1"/>
  <c r="BV16" i="11" s="1"/>
  <c r="BC35" i="11" a="1"/>
  <c r="BC35" i="11" s="1"/>
  <c r="BD38" i="11" a="1"/>
  <c r="BD38" i="11" s="1"/>
  <c r="BM38" i="11" a="1"/>
  <c r="BM38" i="11" s="1"/>
  <c r="BI38" i="11" a="1"/>
  <c r="BI38" i="11" s="1"/>
  <c r="BE17" i="11" a="1"/>
  <c r="BE17" i="11" s="1"/>
  <c r="AM38" i="11" a="1"/>
  <c r="AM38" i="11" s="1"/>
  <c r="O38" i="11" a="1"/>
  <c r="O38" i="11" s="1"/>
  <c r="W17" i="11" a="1"/>
  <c r="W17" i="11" s="1"/>
  <c r="AV38" i="11" a="1"/>
  <c r="AV38" i="11" s="1"/>
  <c r="BU35" i="11" a="1"/>
  <c r="BU35" i="11" s="1"/>
  <c r="BB35" i="11" a="1"/>
  <c r="BB35" i="11" s="1"/>
  <c r="AC38" i="11" a="1"/>
  <c r="AC38" i="11" s="1"/>
  <c r="AQ19" i="11" a="1"/>
  <c r="AQ19" i="11" s="1"/>
  <c r="BI19" i="11" a="1"/>
  <c r="BI19" i="11" s="1"/>
  <c r="AC19" i="11" a="1"/>
  <c r="AC19" i="11" s="1"/>
  <c r="AX35" i="11" a="1"/>
  <c r="AX35" i="11" s="1"/>
  <c r="Z84" i="8" a="1"/>
  <c r="Z84" i="8" s="1"/>
  <c r="BT38" i="11" a="1"/>
  <c r="BT38" i="11" s="1"/>
  <c r="BP37" i="11" a="1"/>
  <c r="BP37" i="11" s="1"/>
  <c r="AN37" i="11" a="1"/>
  <c r="AN37" i="11" s="1"/>
  <c r="BJ38" i="11" a="1"/>
  <c r="BJ38" i="11" s="1"/>
  <c r="AN38" i="11" a="1"/>
  <c r="AN38" i="11" s="1"/>
  <c r="AF17" i="11" a="1"/>
  <c r="AF17" i="11" s="1"/>
  <c r="P38" i="11" a="1"/>
  <c r="P38" i="11" s="1"/>
  <c r="AI35" i="11" a="1"/>
  <c r="AI35" i="11" s="1"/>
  <c r="BG38" i="11" a="1"/>
  <c r="BG38" i="11" s="1"/>
  <c r="BW19" i="11" a="1"/>
  <c r="BW19" i="11" s="1"/>
  <c r="BU19" i="11" a="1"/>
  <c r="BU19" i="11" s="1"/>
  <c r="X19" i="11" a="1"/>
  <c r="X19" i="11" s="1"/>
  <c r="AE35" i="11" a="1"/>
  <c r="AE35" i="11" s="1"/>
  <c r="BW84" i="8" a="1"/>
  <c r="BW84" i="8" s="1"/>
  <c r="AZ38" i="11" a="1"/>
  <c r="AZ38" i="11" s="1"/>
  <c r="AC37" i="11" a="1"/>
  <c r="AC37" i="11" s="1"/>
  <c r="AE37" i="11" a="1"/>
  <c r="AE37" i="11" s="1"/>
  <c r="BW38" i="11" a="1"/>
  <c r="BW38" i="11" s="1"/>
  <c r="BC38" i="11" a="1"/>
  <c r="BC38" i="11" s="1"/>
  <c r="AW38" i="11" a="1"/>
  <c r="AW38" i="11" s="1"/>
  <c r="BX17" i="11" a="1"/>
  <c r="BX17" i="11" s="1"/>
  <c r="E38" i="11" a="1"/>
  <c r="E38" i="11" s="1"/>
  <c r="AM17" i="11" a="1"/>
  <c r="AM17" i="11" s="1"/>
  <c r="F35" i="11" a="1"/>
  <c r="F35" i="11" s="1"/>
  <c r="AL19" i="11" a="1"/>
  <c r="AL19" i="11" s="1"/>
  <c r="R19" i="11" a="1"/>
  <c r="R19" i="11" s="1"/>
  <c r="E19" i="11" a="1"/>
  <c r="E19" i="11" s="1"/>
  <c r="Z38" i="11" a="1"/>
  <c r="Z38" i="11" s="1"/>
  <c r="AG35" i="11" a="1"/>
  <c r="AG35" i="11" s="1"/>
  <c r="AL84" i="8" a="1"/>
  <c r="AL84" i="8" s="1"/>
  <c r="AZ84" i="8" a="1"/>
  <c r="AZ84" i="8" s="1"/>
  <c r="AK38" i="11" a="1"/>
  <c r="AK38" i="11" s="1"/>
  <c r="AU38" i="11" a="1"/>
  <c r="AU38" i="11" s="1"/>
  <c r="AQ35" i="11" a="1"/>
  <c r="AQ35" i="11" s="1"/>
  <c r="AO19" i="11" a="1"/>
  <c r="AO19" i="11" s="1"/>
  <c r="BA19" i="11" a="1"/>
  <c r="BA19" i="11" s="1"/>
  <c r="Z19" i="11" a="1"/>
  <c r="Z19" i="11" s="1"/>
  <c r="W38" i="11" a="1"/>
  <c r="W38" i="11" s="1"/>
  <c r="T35" i="11" a="1"/>
  <c r="T35" i="11" s="1"/>
  <c r="BQ25" i="11" a="1"/>
  <c r="BQ25" i="11" s="1"/>
  <c r="AW37" i="11" a="1"/>
  <c r="AW37" i="11" s="1"/>
  <c r="BQ37" i="11" a="1"/>
  <c r="BQ37" i="11" s="1"/>
  <c r="Q38" i="11" a="1"/>
  <c r="Q38" i="11" s="1"/>
  <c r="BS38" i="11" a="1"/>
  <c r="BS38" i="11" s="1"/>
  <c r="BP38" i="11" a="1"/>
  <c r="BP38" i="11" s="1"/>
  <c r="O17" i="11" a="1"/>
  <c r="O17" i="11" s="1"/>
  <c r="BA25" i="11" a="1"/>
  <c r="BA25" i="11" s="1"/>
  <c r="BM35" i="11" a="1"/>
  <c r="BM35" i="11" s="1"/>
  <c r="BQ19" i="11" a="1"/>
  <c r="BQ19" i="11" s="1"/>
  <c r="BB19" i="11" a="1"/>
  <c r="BB19" i="11" s="1"/>
  <c r="BV19" i="11" a="1"/>
  <c r="BV19" i="11" s="1"/>
  <c r="BJ19" i="11" a="1"/>
  <c r="BJ19" i="11" s="1"/>
  <c r="BX38" i="11" a="1"/>
  <c r="BX38" i="11" s="1"/>
  <c r="BM25" i="11" a="1"/>
  <c r="BM25" i="11" s="1"/>
  <c r="AX84" i="8" a="1"/>
  <c r="AX84" i="8" s="1"/>
  <c r="AE84" i="8" a="1"/>
  <c r="AE84" i="8" s="1"/>
  <c r="BF84" i="8" a="1"/>
  <c r="BF84" i="8" s="1"/>
  <c r="Q35" i="11" a="1"/>
  <c r="Q35" i="11" s="1"/>
  <c r="L38" i="11" a="1"/>
  <c r="L38" i="11" s="1"/>
  <c r="AE38" i="11" a="1"/>
  <c r="AE38" i="11" s="1"/>
  <c r="P24" i="11" a="1"/>
  <c r="P24" i="11" s="1"/>
  <c r="AX19" i="11" a="1"/>
  <c r="AX19" i="11" s="1"/>
  <c r="BE19" i="11" a="1"/>
  <c r="BE19" i="11" s="1"/>
  <c r="N19" i="11" a="1"/>
  <c r="N19" i="11" s="1"/>
  <c r="BI25" i="11" a="1"/>
  <c r="BI25" i="11" s="1"/>
  <c r="AT84" i="8" a="1"/>
  <c r="AT84" i="8" s="1"/>
  <c r="AB84" i="8" a="1"/>
  <c r="AB84" i="8" s="1"/>
  <c r="AN35" i="11" a="1"/>
  <c r="AN35" i="11" s="1"/>
  <c r="BU25" i="11" a="1"/>
  <c r="BU25" i="11" s="1"/>
  <c r="G38" i="11" a="1"/>
  <c r="G38" i="11" s="1"/>
  <c r="BV38" i="11" a="1"/>
  <c r="BV38" i="11" s="1"/>
  <c r="AD19" i="11" a="1"/>
  <c r="AD19" i="11" s="1"/>
  <c r="Y19" i="11" a="1"/>
  <c r="Y19" i="11" s="1"/>
  <c r="M19" i="11" a="1"/>
  <c r="M19" i="11" s="1"/>
  <c r="T25" i="11" a="1"/>
  <c r="T25" i="11" s="1"/>
  <c r="AN84" i="8" a="1"/>
  <c r="AN84" i="8" s="1"/>
  <c r="BO84" i="8" a="1"/>
  <c r="BO84" i="8" s="1"/>
  <c r="AO84" i="8" a="1"/>
  <c r="AO84" i="8" s="1"/>
  <c r="Z35" i="11" a="1"/>
  <c r="Z35" i="11" s="1"/>
  <c r="BF35" i="11" a="1"/>
  <c r="BF35" i="11" s="1"/>
  <c r="AG38" i="11" a="1"/>
  <c r="AG38" i="11" s="1"/>
  <c r="BN38" i="11" a="1"/>
  <c r="BN38" i="11" s="1"/>
  <c r="T18" i="11" a="1"/>
  <c r="T18" i="11" s="1"/>
  <c r="F19" i="11" a="1"/>
  <c r="F19" i="11" s="1"/>
  <c r="AY19" i="11" a="1"/>
  <c r="AY19" i="11" s="1"/>
  <c r="BG19" i="11" a="1"/>
  <c r="BG19" i="11" s="1"/>
  <c r="BU38" i="11" a="1"/>
  <c r="BU38" i="11" s="1"/>
  <c r="BM84" i="8" a="1"/>
  <c r="BM84" i="8" s="1"/>
  <c r="AV84" i="8" a="1"/>
  <c r="AV84" i="8" s="1"/>
  <c r="BG35" i="11" a="1"/>
  <c r="BG35" i="11" s="1"/>
  <c r="BT37" i="11" a="1"/>
  <c r="BT37" i="11" s="1"/>
  <c r="S37" i="11" a="1"/>
  <c r="S37" i="11" s="1"/>
  <c r="AI27" i="11" a="1"/>
  <c r="AI27" i="11" s="1"/>
  <c r="AT35" i="11" a="1"/>
  <c r="AT35" i="11" s="1"/>
  <c r="H38" i="11" a="1"/>
  <c r="H38" i="11" s="1"/>
  <c r="AO25" i="11" a="1"/>
  <c r="AO25" i="11" s="1"/>
  <c r="AW17" i="11" a="1"/>
  <c r="AW17" i="11" s="1"/>
  <c r="V17" i="11" a="1"/>
  <c r="V17" i="11" s="1"/>
  <c r="AQ25" i="11" a="1"/>
  <c r="AQ25" i="11" s="1"/>
  <c r="BD19" i="11" a="1"/>
  <c r="BD19" i="11" s="1"/>
  <c r="BT19" i="11" a="1"/>
  <c r="BT19" i="11" s="1"/>
  <c r="AF19" i="11" a="1"/>
  <c r="AF19" i="11" s="1"/>
  <c r="BL35" i="11" a="1"/>
  <c r="BL35" i="11" s="1"/>
  <c r="R38" i="11" a="1"/>
  <c r="R38" i="11" s="1"/>
  <c r="BQ84" i="8" a="1"/>
  <c r="BQ84" i="8" s="1"/>
  <c r="AR84" i="8" a="1"/>
  <c r="AR84" i="8" s="1"/>
  <c r="AL38" i="11" a="1"/>
  <c r="AL38" i="11" s="1"/>
  <c r="AV27" i="11" a="1"/>
  <c r="AV27" i="11" s="1"/>
  <c r="BP35" i="11" a="1"/>
  <c r="BP35" i="11" s="1"/>
  <c r="BA38" i="11" a="1"/>
  <c r="BA38" i="11" s="1"/>
  <c r="AP38" i="11" a="1"/>
  <c r="AP38" i="11" s="1"/>
  <c r="AX38" i="11" a="1"/>
  <c r="AX38" i="11" s="1"/>
  <c r="BC15" i="11" a="1"/>
  <c r="BC15" i="11" s="1"/>
  <c r="BK15" i="11" a="1"/>
  <c r="BK15" i="11" s="1"/>
  <c r="O25" i="11" a="1"/>
  <c r="O25" i="11" s="1"/>
  <c r="L15" i="11" a="1"/>
  <c r="L15" i="11" s="1"/>
  <c r="AX15" i="11" a="1"/>
  <c r="AX15" i="11" s="1"/>
  <c r="G15" i="11" a="1"/>
  <c r="G15" i="11" s="1"/>
  <c r="S15" i="11" a="1"/>
  <c r="S15" i="11" s="1"/>
  <c r="M15" i="11" a="1"/>
  <c r="M15" i="11" s="1"/>
  <c r="AM15" i="11" a="1"/>
  <c r="AM15" i="11" s="1"/>
  <c r="BN15" i="11" a="1"/>
  <c r="BN15" i="11" s="1"/>
  <c r="T15" i="11" a="1"/>
  <c r="T15" i="11" s="1"/>
  <c r="AN15" i="11" a="1"/>
  <c r="AN15" i="11" s="1"/>
  <c r="AR15" i="11" a="1"/>
  <c r="AR15" i="11" s="1"/>
  <c r="BE15" i="11" a="1"/>
  <c r="BE15" i="11" s="1"/>
  <c r="AL15" i="11" a="1"/>
  <c r="AL15" i="11" s="1"/>
  <c r="AS15" i="11" a="1"/>
  <c r="AS15" i="11" s="1"/>
  <c r="AD15" i="11" a="1"/>
  <c r="AD15" i="11" s="1"/>
  <c r="BT15" i="11" a="1"/>
  <c r="BT15" i="11" s="1"/>
  <c r="BQ15" i="11" a="1"/>
  <c r="BQ15" i="11" s="1"/>
  <c r="X15" i="11" a="1"/>
  <c r="X15" i="11" s="1"/>
  <c r="BA15" i="11" a="1"/>
  <c r="BA15" i="11" s="1"/>
  <c r="K15" i="11" a="1"/>
  <c r="K15" i="11" s="1"/>
  <c r="BI15" i="11" a="1"/>
  <c r="BI15" i="11" s="1"/>
  <c r="BO15" i="11" a="1"/>
  <c r="BO15" i="11" s="1"/>
  <c r="BS15" i="11" a="1"/>
  <c r="BS15" i="11" s="1"/>
  <c r="AG25" i="11" a="1"/>
  <c r="AG25" i="11" s="1"/>
  <c r="BG40" i="11" l="1"/>
  <c r="AF40" i="11"/>
  <c r="M40" i="11"/>
  <c r="AQ40" i="11"/>
  <c r="Z40" i="11"/>
  <c r="BL40" i="11"/>
  <c r="BS40" i="11"/>
  <c r="BU40" i="11"/>
  <c r="AL40" i="11"/>
  <c r="AU40" i="11"/>
  <c r="AM40" i="11"/>
  <c r="P40" i="11"/>
  <c r="BO40" i="11"/>
  <c r="AX40" i="11"/>
  <c r="K40" i="11"/>
  <c r="AK40" i="11"/>
  <c r="BP40" i="11"/>
  <c r="AE40" i="11"/>
  <c r="BD40" i="11"/>
  <c r="BA40" i="11"/>
  <c r="BV40" i="11"/>
  <c r="BE40" i="11"/>
  <c r="BN40" i="11"/>
  <c r="U40" i="11"/>
  <c r="BX40" i="11"/>
  <c r="O40" i="11"/>
  <c r="AV40" i="11"/>
  <c r="BB40" i="11"/>
  <c r="AP40" i="11"/>
  <c r="AD40" i="11"/>
  <c r="F40" i="11"/>
  <c r="AR40" i="11"/>
  <c r="V40" i="11"/>
  <c r="BT40" i="11"/>
  <c r="E40" i="11"/>
  <c r="BM40" i="11"/>
  <c r="AO40" i="11"/>
  <c r="AH40" i="11"/>
  <c r="AS40" i="11"/>
  <c r="H40" i="11"/>
  <c r="S40" i="11"/>
  <c r="BQ40" i="11"/>
  <c r="L40" i="11"/>
  <c r="N40" i="11"/>
  <c r="Q40" i="11"/>
  <c r="T40" i="11"/>
  <c r="BF40" i="11"/>
  <c r="W40" i="11"/>
  <c r="AK92" i="12"/>
  <c r="BH32" i="13" a="1"/>
  <c r="BH32" i="13" s="1"/>
  <c r="S92" i="12"/>
  <c r="BH94" i="13"/>
  <c r="BH24" i="13" a="1"/>
  <c r="BH24" i="13" s="1"/>
  <c r="S75" i="12"/>
  <c r="BH80" i="13"/>
  <c r="AK75" i="12"/>
  <c r="AI40" i="11"/>
  <c r="X40" i="11"/>
  <c r="Y40" i="11"/>
  <c r="BC40" i="11"/>
  <c r="BI40" i="11"/>
  <c r="AG40" i="11"/>
  <c r="AT40" i="11"/>
  <c r="R40" i="11"/>
  <c r="BK40" i="11"/>
  <c r="BW40" i="11"/>
  <c r="BH40" i="11"/>
  <c r="AN40" i="11"/>
  <c r="AW40" i="11"/>
  <c r="AY40" i="11"/>
  <c r="AC40" i="11"/>
  <c r="BR40" i="11"/>
  <c r="AZ40" i="11"/>
  <c r="BJ40" i="11"/>
  <c r="G40" i="11"/>
  <c r="V14" i="11" l="1" a="1"/>
  <c r="V14" i="11" s="1"/>
  <c r="AV14" i="11" a="1"/>
  <c r="AV14" i="11" s="1"/>
  <c r="BX14" i="11" a="1"/>
  <c r="BX14" i="11" s="1"/>
  <c r="G14" i="11" a="1"/>
  <c r="G14" i="11" s="1"/>
  <c r="W14" i="11" a="1"/>
  <c r="W14" i="11" s="1"/>
  <c r="BH14" i="11" a="1"/>
  <c r="BH14" i="11" s="1"/>
  <c r="BM14" i="11" a="1"/>
  <c r="BM14" i="11" s="1"/>
  <c r="AC14" i="11" a="1"/>
  <c r="AC14" i="11" s="1"/>
  <c r="AO14" i="11" a="1"/>
  <c r="AO14" i="11" s="1"/>
  <c r="S14" i="11" a="1"/>
  <c r="S14" i="11" s="1"/>
  <c r="AP14" i="11" a="1"/>
  <c r="AP14" i="11" s="1"/>
  <c r="BR14" i="11" a="1"/>
  <c r="BR14" i="11" s="1"/>
  <c r="BO14" i="11" a="1"/>
  <c r="BO14" i="11" s="1"/>
  <c r="BF14" i="11" a="1"/>
  <c r="BF14" i="11" s="1"/>
  <c r="O14" i="11" a="1"/>
  <c r="O14" i="11" s="1"/>
  <c r="L14" i="11" a="1"/>
  <c r="L14" i="11" s="1"/>
  <c r="H14" i="11" a="1"/>
  <c r="H14" i="11" s="1"/>
  <c r="BU14" i="11" a="1"/>
  <c r="BU14" i="11" s="1"/>
  <c r="AE14" i="11" a="1"/>
  <c r="AE14" i="11" s="1"/>
  <c r="AG14" i="11" a="1"/>
  <c r="AG14" i="11" s="1"/>
  <c r="Q14" i="11" a="1"/>
  <c r="Q14" i="11" s="1"/>
  <c r="N14" i="11" a="1"/>
  <c r="N14" i="11" s="1"/>
  <c r="AF14" i="11" a="1"/>
  <c r="AF14" i="11" s="1"/>
  <c r="AX14" i="11" a="1"/>
  <c r="AX14" i="11" s="1"/>
  <c r="AM14" i="11" a="1"/>
  <c r="AM14" i="11" s="1"/>
  <c r="AQ14" i="11" a="1"/>
  <c r="AQ14" i="11" s="1"/>
  <c r="T14" i="11" a="1"/>
  <c r="T14" i="11" s="1"/>
  <c r="E14" i="11" a="1"/>
  <c r="E14" i="11" s="1"/>
  <c r="BN14" i="11" a="1"/>
  <c r="BN14" i="11" s="1"/>
  <c r="BW14" i="11" a="1"/>
  <c r="BW14" i="11" s="1"/>
  <c r="BE14" i="11" a="1"/>
  <c r="BE14" i="11" s="1"/>
  <c r="AI14" i="11" a="1"/>
  <c r="AI14" i="11" s="1"/>
  <c r="BT14" i="11" a="1"/>
  <c r="BT14" i="11" s="1"/>
  <c r="BL14" i="11" a="1"/>
  <c r="BL14" i="11" s="1"/>
  <c r="AK14" i="11" a="1"/>
  <c r="AK14" i="11" s="1"/>
  <c r="Z14" i="11" a="1"/>
  <c r="Z14" i="11" s="1"/>
  <c r="AW14" i="11" a="1"/>
  <c r="AW14" i="11" s="1"/>
  <c r="BG14" i="11" a="1"/>
  <c r="BG14" i="11" s="1"/>
  <c r="BS14" i="11" a="1"/>
  <c r="BS14" i="11" s="1"/>
  <c r="U14" i="11" a="1"/>
  <c r="U14" i="11" s="1"/>
  <c r="BC14" i="11" a="1"/>
  <c r="BC14" i="11" s="1"/>
  <c r="BI14" i="11" a="1"/>
  <c r="BI14" i="11" s="1"/>
  <c r="X14" i="11" a="1"/>
  <c r="X14" i="11" s="1"/>
  <c r="AU14" i="11" a="1"/>
  <c r="AU14" i="11" s="1"/>
  <c r="AT14" i="11" a="1"/>
  <c r="AT14" i="11" s="1"/>
  <c r="AY14" i="11" a="1"/>
  <c r="AY14" i="11" s="1"/>
  <c r="AZ14" i="11" a="1"/>
  <c r="AZ14" i="11" s="1"/>
  <c r="BJ14" i="11" a="1"/>
  <c r="BJ14" i="11" s="1"/>
  <c r="Y14" i="11" a="1"/>
  <c r="Y14" i="11" s="1"/>
  <c r="BK14" i="11" a="1"/>
  <c r="BK14" i="11" s="1"/>
  <c r="AL14" i="11" a="1"/>
  <c r="AL14" i="11" s="1"/>
  <c r="P14" i="11" a="1"/>
  <c r="P14" i="11" s="1"/>
  <c r="K14" i="11" a="1"/>
  <c r="K14" i="11" s="1"/>
  <c r="AJ14" i="11" a="1"/>
  <c r="AJ14" i="11" s="1"/>
  <c r="AS14" i="11" a="1"/>
  <c r="AS14" i="11" s="1"/>
  <c r="M14" i="11" a="1"/>
  <c r="M14" i="11" s="1"/>
  <c r="BP14" i="11" a="1"/>
  <c r="BP14" i="11" s="1"/>
  <c r="F14" i="11" a="1"/>
  <c r="F14" i="11" s="1"/>
  <c r="BQ14" i="11" a="1"/>
  <c r="BQ14" i="11" s="1"/>
  <c r="AD14" i="11" a="1"/>
  <c r="AD14" i="11" s="1"/>
  <c r="BA14" i="11" a="1"/>
  <c r="BA14" i="11" s="1"/>
  <c r="BD14" i="11" a="1"/>
  <c r="BD14" i="11" s="1"/>
  <c r="BV14" i="11" a="1"/>
  <c r="BV14" i="11" s="1"/>
  <c r="AR14" i="11" a="1"/>
  <c r="AR14" i="11" s="1"/>
  <c r="BB14" i="11" a="1"/>
  <c r="BB14" i="11" s="1"/>
  <c r="R14" i="11" a="1"/>
  <c r="R14" i="11" s="1"/>
  <c r="AN14" i="11" a="1"/>
  <c r="AN14" i="11" s="1"/>
  <c r="AH14" i="11" a="1"/>
  <c r="AH14" i="11" s="1"/>
  <c r="BA26" i="11" a="1"/>
  <c r="BA26" i="11" s="1"/>
  <c r="AI26" i="11" a="1"/>
  <c r="AI26" i="11" s="1"/>
  <c r="AL26" i="11" a="1"/>
  <c r="AL26" i="11" s="1"/>
  <c r="AK26" i="11" a="1"/>
  <c r="AK26" i="11" s="1"/>
  <c r="BG26" i="11" a="1"/>
  <c r="BG26" i="11" s="1"/>
  <c r="AT26" i="11" a="1"/>
  <c r="AT26" i="11" s="1"/>
  <c r="AW26" i="11" a="1"/>
  <c r="AW26" i="11" s="1"/>
  <c r="AD26" i="11" a="1"/>
  <c r="AD26" i="11" s="1"/>
  <c r="AR26" i="11" a="1"/>
  <c r="AR26" i="11" s="1"/>
  <c r="BL26" i="11" a="1"/>
  <c r="BL26" i="11" s="1"/>
  <c r="AO26" i="11" a="1"/>
  <c r="AO26" i="11" s="1"/>
  <c r="P26" i="11" a="1"/>
  <c r="P26" i="11" s="1"/>
  <c r="BF26" i="11" a="1"/>
  <c r="BF26" i="11" s="1"/>
  <c r="AN26" i="11" a="1"/>
  <c r="AN26" i="11" s="1"/>
  <c r="BS26" i="11" a="1"/>
  <c r="BS26" i="11" s="1"/>
  <c r="AS26" i="11" a="1"/>
  <c r="AS26" i="11" s="1"/>
  <c r="AU26" i="11" a="1"/>
  <c r="AU26" i="11" s="1"/>
  <c r="BJ26" i="11" a="1"/>
  <c r="BJ26" i="11" s="1"/>
  <c r="R26" i="11" a="1"/>
  <c r="R26" i="11" s="1"/>
  <c r="E26" i="11" a="1"/>
  <c r="E26" i="11" s="1"/>
  <c r="BM26" i="11" a="1"/>
  <c r="BM26" i="11" s="1"/>
  <c r="X26" i="11" a="1"/>
  <c r="X26" i="11" s="1"/>
  <c r="AG26" i="11" a="1"/>
  <c r="AG26" i="11" s="1"/>
  <c r="BH26" i="11" a="1"/>
  <c r="BH26" i="11" s="1"/>
  <c r="BU26" i="11" a="1"/>
  <c r="BU26" i="11" s="1"/>
  <c r="U26" i="11" a="1"/>
  <c r="U26" i="11" s="1"/>
  <c r="AE26" i="11" a="1"/>
  <c r="AE26" i="11" s="1"/>
  <c r="Y26" i="11" a="1"/>
  <c r="Y26" i="11" s="1"/>
  <c r="F26" i="11" a="1"/>
  <c r="F26" i="11" s="1"/>
  <c r="BW26" i="11" a="1"/>
  <c r="BW26" i="11" s="1"/>
  <c r="BR26" i="11" a="1"/>
  <c r="BR26" i="11" s="1"/>
  <c r="BD26" i="11" a="1"/>
  <c r="BD26" i="11" s="1"/>
  <c r="W26" i="11" a="1"/>
  <c r="W26" i="11" s="1"/>
  <c r="AF26" i="11" a="1"/>
  <c r="AF26" i="11" s="1"/>
  <c r="AQ26" i="11" a="1"/>
  <c r="AQ26" i="11" s="1"/>
  <c r="AM26" i="11" a="1"/>
  <c r="AM26" i="11" s="1"/>
  <c r="BV26" i="11" a="1"/>
  <c r="BV26" i="11" s="1"/>
  <c r="M26" i="11" a="1"/>
  <c r="M26" i="11" s="1"/>
  <c r="AX26" i="11" a="1"/>
  <c r="AX26" i="11" s="1"/>
  <c r="O26" i="11" a="1"/>
  <c r="O26" i="11" s="1"/>
  <c r="S26" i="11" a="1"/>
  <c r="S26" i="11" s="1"/>
  <c r="AH26" i="11" a="1"/>
  <c r="AH26" i="11" s="1"/>
  <c r="BP26" i="11" a="1"/>
  <c r="BP26" i="11" s="1"/>
  <c r="BI26" i="11" a="1"/>
  <c r="BI26" i="11" s="1"/>
  <c r="T26" i="11" a="1"/>
  <c r="T26" i="11" s="1"/>
  <c r="AP26" i="11" a="1"/>
  <c r="AP26" i="11" s="1"/>
  <c r="BT26" i="11" a="1"/>
  <c r="BT26" i="11" s="1"/>
  <c r="V26" i="11" a="1"/>
  <c r="V26" i="11" s="1"/>
  <c r="AC26" i="11" a="1"/>
  <c r="AC26" i="11" s="1"/>
  <c r="AY26" i="11" a="1"/>
  <c r="AY26" i="11" s="1"/>
  <c r="G26" i="11" a="1"/>
  <c r="G26" i="11" s="1"/>
  <c r="BB26" i="11" a="1"/>
  <c r="BB26" i="11" s="1"/>
  <c r="BN26" i="11" a="1"/>
  <c r="BN26" i="11" s="1"/>
  <c r="H26" i="11" a="1"/>
  <c r="H26" i="11" s="1"/>
  <c r="AJ26" i="11" a="1"/>
  <c r="AJ26" i="11" s="1"/>
  <c r="BQ26" i="11" a="1"/>
  <c r="BQ26" i="11" s="1"/>
  <c r="Z26" i="11" a="1"/>
  <c r="Z26" i="11" s="1"/>
  <c r="BC26" i="11" a="1"/>
  <c r="BC26" i="11" s="1"/>
  <c r="BK26" i="11" a="1"/>
  <c r="BK26" i="11" s="1"/>
  <c r="BE26" i="11" a="1"/>
  <c r="BE26" i="11" s="1"/>
  <c r="L26" i="11" a="1"/>
  <c r="L26" i="11" s="1"/>
  <c r="AV26" i="11" a="1"/>
  <c r="AV26" i="11" s="1"/>
  <c r="AZ26" i="11" a="1"/>
  <c r="AZ26" i="11" s="1"/>
  <c r="BX26" i="11" a="1"/>
  <c r="BX26" i="11" s="1"/>
  <c r="N26" i="11" a="1"/>
  <c r="N26" i="11" s="1"/>
  <c r="Q26" i="11" a="1"/>
  <c r="Q26" i="11" s="1"/>
  <c r="BO26" i="11" a="1"/>
  <c r="BO26" i="11" s="1"/>
  <c r="K26" i="11" a="1"/>
  <c r="K26" i="11" s="1"/>
  <c r="AM68" i="8" l="1" a="1"/>
  <c r="AM68" i="8" s="1"/>
  <c r="BM65" i="8" a="1"/>
  <c r="BM65" i="8" s="1"/>
  <c r="CC63" i="8" a="1"/>
  <c r="CC63" i="8" s="1"/>
  <c r="BR55" i="8" a="1"/>
  <c r="BR55" i="8" s="1"/>
  <c r="BD64" i="8" a="1"/>
  <c r="BD64" i="8" s="1"/>
  <c r="AH65" i="8" a="1"/>
  <c r="AH65" i="8" s="1"/>
  <c r="P65" i="8" a="1"/>
  <c r="P65" i="8" s="1"/>
  <c r="N65" i="8" a="1"/>
  <c r="N65" i="8" s="1"/>
  <c r="BP65" i="8" a="1"/>
  <c r="BP65" i="8" s="1"/>
  <c r="AQ65" i="8" a="1"/>
  <c r="AQ65" i="8" s="1"/>
  <c r="Z68" i="8" a="1"/>
  <c r="Z68" i="8" s="1"/>
  <c r="BK68" i="8" a="1"/>
  <c r="BK68" i="8" s="1"/>
  <c r="AW65" i="8" a="1"/>
  <c r="AW65" i="8" s="1"/>
  <c r="AO65" i="8" a="1"/>
  <c r="AO65" i="8" s="1"/>
  <c r="BT65" i="8" a="1"/>
  <c r="BT65" i="8" s="1"/>
  <c r="AC65" i="8" a="1"/>
  <c r="AC65" i="8" s="1"/>
  <c r="AZ65" i="8" a="1"/>
  <c r="AZ65" i="8" s="1"/>
  <c r="AA68" i="8" a="1"/>
  <c r="AA68" i="8" s="1"/>
  <c r="AT63" i="8" a="1"/>
  <c r="AT63" i="8" s="1"/>
  <c r="AT65" i="8" a="1"/>
  <c r="AT65" i="8" s="1"/>
  <c r="AP65" i="8" a="1"/>
  <c r="AP65" i="8" s="1"/>
  <c r="CA65" i="8" a="1"/>
  <c r="CA65" i="8" s="1"/>
  <c r="AX68" i="8" a="1"/>
  <c r="AX68" i="8" s="1"/>
  <c r="BI65" i="8" a="1"/>
  <c r="BI65" i="8" s="1"/>
  <c r="BQ65" i="8" a="1"/>
  <c r="BQ65" i="8" s="1"/>
  <c r="Q65" i="8" a="1"/>
  <c r="Q65" i="8" s="1"/>
  <c r="CD65" i="8" a="1"/>
  <c r="CD65" i="8" s="1"/>
  <c r="T68" i="8" a="1"/>
  <c r="T68" i="8" s="1"/>
  <c r="V68" i="8" a="1"/>
  <c r="V68" i="8" s="1"/>
  <c r="BS64" i="8" a="1"/>
  <c r="BS64" i="8" s="1"/>
  <c r="T65" i="8" a="1"/>
  <c r="T65" i="8" s="1"/>
  <c r="O65" i="8" a="1"/>
  <c r="O65" i="8" s="1"/>
  <c r="BR68" i="8" a="1"/>
  <c r="BR68" i="8" s="1"/>
  <c r="AH68" i="8" a="1"/>
  <c r="AH68" i="8" s="1"/>
  <c r="AF68" i="8" a="1"/>
  <c r="AF68" i="8" s="1"/>
  <c r="AY65" i="8" a="1"/>
  <c r="AY65" i="8" s="1"/>
  <c r="AX57" i="8" a="1"/>
  <c r="AX57" i="8" s="1"/>
  <c r="AM65" i="8" a="1"/>
  <c r="AM65" i="8" s="1"/>
  <c r="BR65" i="8" a="1"/>
  <c r="BR65" i="8" s="1"/>
  <c r="X65" i="8" a="1"/>
  <c r="X65" i="8" s="1"/>
  <c r="BG68" i="8" a="1"/>
  <c r="BG68" i="8" s="1"/>
  <c r="V65" i="8" a="1"/>
  <c r="V65" i="8" s="1"/>
  <c r="AI65" i="8" a="1"/>
  <c r="AI65" i="8" s="1"/>
  <c r="AD65" i="8" a="1"/>
  <c r="AD65" i="8" s="1"/>
  <c r="BN65" i="8" a="1"/>
  <c r="BN65" i="8" s="1"/>
  <c r="BP68" i="8" a="1"/>
  <c r="BP68" i="8" s="1"/>
  <c r="AW68" i="8" a="1"/>
  <c r="AW68" i="8" s="1"/>
  <c r="BE65" i="8" a="1"/>
  <c r="BE65" i="8" s="1"/>
  <c r="AS65" i="8" a="1"/>
  <c r="AS65" i="8" s="1"/>
  <c r="AL68" i="8" a="1"/>
  <c r="AL68" i="8" s="1"/>
  <c r="AR65" i="8" a="1"/>
  <c r="AR65" i="8" s="1"/>
  <c r="BK65" i="8" a="1"/>
  <c r="BK65" i="8" s="1"/>
  <c r="AE65" i="8" a="1"/>
  <c r="AE65" i="8" s="1"/>
  <c r="Y68" i="8" a="1"/>
  <c r="Y68" i="8" s="1"/>
  <c r="BW65" i="8" a="1"/>
  <c r="BW65" i="8" s="1"/>
  <c r="AB65" i="8" a="1"/>
  <c r="AB65" i="8" s="1"/>
  <c r="BZ68" i="8" a="1"/>
  <c r="BZ68" i="8" s="1"/>
  <c r="CC65" i="8" a="1"/>
  <c r="CC65" i="8" s="1"/>
  <c r="BB65" i="8" a="1"/>
  <c r="BB65" i="8" s="1"/>
  <c r="CC68" i="8" a="1"/>
  <c r="CC68" i="8" s="1"/>
  <c r="AT68" i="8" a="1"/>
  <c r="AT68" i="8" s="1"/>
  <c r="BF68" i="8" a="1"/>
  <c r="BF68" i="8" s="1"/>
  <c r="BE68" i="8" a="1"/>
  <c r="BE68" i="8" s="1"/>
  <c r="Q68" i="8" a="1"/>
  <c r="Q68" i="8" s="1"/>
  <c r="AO68" i="8" a="1"/>
  <c r="AO68" i="8" s="1"/>
  <c r="BT68" i="8" a="1"/>
  <c r="BT68" i="8" s="1"/>
  <c r="AS68" i="8" a="1"/>
  <c r="AS68" i="8" s="1"/>
  <c r="BN68" i="8" a="1"/>
  <c r="BN68" i="8" s="1"/>
  <c r="BX68" i="8" a="1"/>
  <c r="BX68" i="8" s="1"/>
  <c r="CA68" i="8" a="1"/>
  <c r="CA68" i="8" s="1"/>
  <c r="W68" i="8" a="1"/>
  <c r="W68" i="8" s="1"/>
  <c r="CE68" i="8" a="1"/>
  <c r="CE68" i="8" s="1"/>
  <c r="AI68" i="8" a="1"/>
  <c r="AI68" i="8" s="1"/>
  <c r="BV68" i="8" a="1"/>
  <c r="BV68" i="8" s="1"/>
  <c r="BQ68" i="8" a="1"/>
  <c r="BQ68" i="8" s="1"/>
  <c r="CB68" i="8" a="1"/>
  <c r="CB68" i="8" s="1"/>
  <c r="CF68" i="8" a="1"/>
  <c r="CF68" i="8" s="1"/>
  <c r="AD68" i="8" a="1"/>
  <c r="AD68" i="8" s="1"/>
  <c r="BJ68" i="8" a="1"/>
  <c r="BJ68" i="8" s="1"/>
  <c r="AB68" i="8" a="1"/>
  <c r="AB68" i="8" s="1"/>
  <c r="BH68" i="8" a="1"/>
  <c r="BH68" i="8" s="1"/>
  <c r="AP68" i="8" a="1"/>
  <c r="AP68" i="8" s="1"/>
  <c r="BD68" i="8" a="1"/>
  <c r="BD68" i="8" s="1"/>
  <c r="BO68" i="8" a="1"/>
  <c r="BO68" i="8" s="1"/>
  <c r="BL68" i="8" a="1"/>
  <c r="BL68" i="8" s="1"/>
  <c r="U68" i="8" a="1"/>
  <c r="U68" i="8" s="1"/>
  <c r="AU65" i="8" a="1"/>
  <c r="AU65" i="8" s="1"/>
  <c r="K68" i="8" a="1"/>
  <c r="K68" i="8" s="1"/>
  <c r="BF65" i="8" a="1"/>
  <c r="BF65" i="8" s="1"/>
  <c r="AC68" i="8" a="1"/>
  <c r="AC68" i="8" s="1"/>
  <c r="BN63" i="8" a="1"/>
  <c r="BN63" i="8" s="1"/>
  <c r="AE68" i="8" a="1"/>
  <c r="AE68" i="8" s="1"/>
  <c r="CB65" i="8" a="1"/>
  <c r="CB65" i="8" s="1"/>
  <c r="BU68" i="8" a="1"/>
  <c r="BU68" i="8" s="1"/>
  <c r="BY68" i="8" a="1"/>
  <c r="BY68" i="8" s="1"/>
  <c r="BC65" i="8" a="1"/>
  <c r="BC65" i="8" s="1"/>
  <c r="AU68" i="8" a="1"/>
  <c r="AU68" i="8" s="1"/>
  <c r="AV68" i="8" a="1"/>
  <c r="AV68" i="8" s="1"/>
  <c r="BC68" i="8" a="1"/>
  <c r="BC68" i="8" s="1"/>
  <c r="CB55" i="8" a="1"/>
  <c r="CB55" i="8" s="1"/>
  <c r="J64" i="8" a="1"/>
  <c r="J64" i="8" s="1"/>
  <c r="Q64" i="8" a="1"/>
  <c r="Q64" i="8" s="1"/>
  <c r="BD65" i="8" a="1"/>
  <c r="BD65" i="8" s="1"/>
  <c r="BY65" i="8" a="1"/>
  <c r="BY65" i="8" s="1"/>
  <c r="AY68" i="8" a="1"/>
  <c r="AY68" i="8" s="1"/>
  <c r="J65" i="8" a="1"/>
  <c r="J65" i="8" s="1"/>
  <c r="K65" i="8" a="1"/>
  <c r="K65" i="8" s="1"/>
  <c r="BM68" i="8" a="1"/>
  <c r="BM68" i="8" s="1"/>
  <c r="X68" i="8" a="1"/>
  <c r="X68" i="8" s="1"/>
  <c r="BF64" i="8" a="1"/>
  <c r="BF64" i="8" s="1"/>
  <c r="O64" i="8" a="1"/>
  <c r="O64" i="8" s="1"/>
  <c r="BX64" i="8" a="1"/>
  <c r="BX64" i="8" s="1"/>
  <c r="BV65" i="8" a="1"/>
  <c r="BV65" i="8" s="1"/>
  <c r="AY55" i="8" a="1"/>
  <c r="AY55" i="8" s="1"/>
  <c r="BY64" i="8" a="1"/>
  <c r="BY64" i="8" s="1"/>
  <c r="AG64" i="8" a="1"/>
  <c r="AG64" i="8" s="1"/>
  <c r="AO64" i="8" a="1"/>
  <c r="AO64" i="8" s="1"/>
  <c r="BH65" i="8" a="1"/>
  <c r="BH65" i="8" s="1"/>
  <c r="AL65" i="8" a="1"/>
  <c r="AL65" i="8" s="1"/>
  <c r="BA68" i="8" a="1"/>
  <c r="BA68" i="8" s="1"/>
  <c r="BP55" i="8" a="1"/>
  <c r="BP55" i="8" s="1"/>
  <c r="Y64" i="8" a="1"/>
  <c r="Y64" i="8" s="1"/>
  <c r="Y65" i="8" a="1"/>
  <c r="Y65" i="8" s="1"/>
  <c r="AX65" i="8" a="1"/>
  <c r="AX65" i="8" s="1"/>
  <c r="AZ68" i="8" a="1"/>
  <c r="AZ68" i="8" s="1"/>
  <c r="BB68" i="8" a="1"/>
  <c r="BB68" i="8" s="1"/>
  <c r="AR64" i="8" a="1"/>
  <c r="AR64" i="8" s="1"/>
  <c r="U64" i="8" a="1"/>
  <c r="U64" i="8" s="1"/>
  <c r="AA65" i="8" a="1"/>
  <c r="AA65" i="8" s="1"/>
  <c r="P68" i="8" a="1"/>
  <c r="P68" i="8" s="1"/>
  <c r="BX55" i="8" a="1"/>
  <c r="BX55" i="8" s="1"/>
  <c r="AP55" i="8" a="1"/>
  <c r="AP55" i="8" s="1"/>
  <c r="AP64" i="8" a="1"/>
  <c r="AP64" i="8" s="1"/>
  <c r="AT64" i="8" a="1"/>
  <c r="AT64" i="8" s="1"/>
  <c r="AF64" i="8" a="1"/>
  <c r="AF64" i="8" s="1"/>
  <c r="AN65" i="8" a="1"/>
  <c r="AN65" i="8" s="1"/>
  <c r="AF65" i="8" a="1"/>
  <c r="AF65" i="8" s="1"/>
  <c r="BR64" i="8" a="1"/>
  <c r="BR64" i="8" s="1"/>
  <c r="BG64" i="8" a="1"/>
  <c r="BG64" i="8" s="1"/>
  <c r="AA64" i="8" a="1"/>
  <c r="AA64" i="8" s="1"/>
  <c r="Z65" i="8" a="1"/>
  <c r="Z65" i="8" s="1"/>
  <c r="BZ65" i="8" a="1"/>
  <c r="BZ65" i="8" s="1"/>
  <c r="AG68" i="8" a="1"/>
  <c r="AG68" i="8" s="1"/>
  <c r="N55" i="8" a="1"/>
  <c r="N55" i="8" s="1"/>
  <c r="W65" i="8" a="1"/>
  <c r="W65" i="8" s="1"/>
  <c r="AS64" i="8" a="1"/>
  <c r="AS64" i="8" s="1"/>
  <c r="BC64" i="8" a="1"/>
  <c r="BC64" i="8" s="1"/>
  <c r="BS68" i="8" a="1"/>
  <c r="BS68" i="8" s="1"/>
  <c r="W64" i="8" a="1"/>
  <c r="W64" i="8" s="1"/>
  <c r="CG64" i="8" a="1"/>
  <c r="CG64" i="8" s="1"/>
  <c r="CG68" i="8" a="1"/>
  <c r="CG68" i="8" s="1"/>
  <c r="BG65" i="8" a="1"/>
  <c r="BG65" i="8" s="1"/>
  <c r="AG65" i="8" a="1"/>
  <c r="AG65" i="8" s="1"/>
  <c r="BL65" i="8" a="1"/>
  <c r="BL65" i="8" s="1"/>
  <c r="T64" i="8" a="1"/>
  <c r="T64" i="8" s="1"/>
  <c r="CE65" i="8" a="1"/>
  <c r="CE65" i="8" s="1"/>
  <c r="AQ68" i="8" a="1"/>
  <c r="AQ68" i="8" s="1"/>
  <c r="AV65" i="8" a="1"/>
  <c r="AV65" i="8" s="1"/>
  <c r="CE64" i="8" a="1"/>
  <c r="CE64" i="8" s="1"/>
  <c r="BQ64" i="8" a="1"/>
  <c r="BQ64" i="8" s="1"/>
  <c r="AD64" i="8" a="1"/>
  <c r="AD64" i="8" s="1"/>
  <c r="BK64" i="8" a="1"/>
  <c r="BK64" i="8" s="1"/>
  <c r="BO64" i="8" a="1"/>
  <c r="BO64" i="8" s="1"/>
  <c r="BU65" i="8" a="1"/>
  <c r="BU65" i="8" s="1"/>
  <c r="BS65" i="8" a="1"/>
  <c r="BS65" i="8" s="1"/>
  <c r="BP64" i="8" a="1"/>
  <c r="BP64" i="8" s="1"/>
  <c r="X64" i="8" a="1"/>
  <c r="X64" i="8" s="1"/>
  <c r="CD68" i="8" a="1"/>
  <c r="CD68" i="8" s="1"/>
  <c r="BN64" i="8" a="1"/>
  <c r="BN64" i="8" s="1"/>
  <c r="AV64" i="8" a="1"/>
  <c r="AV64" i="8" s="1"/>
  <c r="BJ65" i="8" a="1"/>
  <c r="BJ65" i="8" s="1"/>
  <c r="BA65" i="8" a="1"/>
  <c r="BA65" i="8" s="1"/>
  <c r="BO65" i="8" a="1"/>
  <c r="BO65" i="8" s="1"/>
  <c r="BI68" i="8" a="1"/>
  <c r="BI68" i="8" s="1"/>
  <c r="CG65" i="8" a="1"/>
  <c r="CG65" i="8" s="1"/>
  <c r="BX65" i="8" a="1"/>
  <c r="BX65" i="8" s="1"/>
  <c r="CF65" i="8" a="1"/>
  <c r="CF65" i="8" s="1"/>
  <c r="BW68" i="8" a="1"/>
  <c r="BW68" i="8" s="1"/>
  <c r="U65" i="8" a="1"/>
  <c r="U65" i="8" s="1"/>
  <c r="BT64" i="8" a="1"/>
  <c r="BT64" i="8" s="1"/>
  <c r="AL63" i="8" a="1"/>
  <c r="AL63" i="8" s="1"/>
  <c r="O63" i="8" a="1"/>
  <c r="O63" i="8" s="1"/>
  <c r="BU63" i="8" a="1"/>
  <c r="BU63" i="8" s="1"/>
  <c r="BX63" i="8" a="1"/>
  <c r="BX63" i="8" s="1"/>
  <c r="BM64" i="8" a="1"/>
  <c r="BM64" i="8" s="1"/>
  <c r="BB63" i="8" a="1"/>
  <c r="BB63" i="8" s="1"/>
  <c r="AF63" i="8" a="1"/>
  <c r="AF63" i="8" s="1"/>
  <c r="BC63" i="8" a="1"/>
  <c r="BC63" i="8" s="1"/>
  <c r="BW58" i="8" a="1"/>
  <c r="BW58" i="8" s="1"/>
  <c r="X63" i="8" a="1"/>
  <c r="X63" i="8" s="1"/>
  <c r="BZ58" i="8" a="1"/>
  <c r="BZ58" i="8" s="1"/>
  <c r="AL58" i="8" a="1"/>
  <c r="AL58" i="8" s="1"/>
  <c r="AT58" i="8" a="1"/>
  <c r="AT58" i="8" s="1"/>
  <c r="AA63" i="8" a="1"/>
  <c r="AA63" i="8" s="1"/>
  <c r="BM63" i="8" a="1"/>
  <c r="BM63" i="8" s="1"/>
  <c r="BP63" i="8" a="1"/>
  <c r="BP63" i="8" s="1"/>
  <c r="AF58" i="8" a="1"/>
  <c r="AF58" i="8" s="1"/>
  <c r="AC63" i="8" a="1"/>
  <c r="AC63" i="8" s="1"/>
  <c r="BV63" i="8" a="1"/>
  <c r="BV63" i="8" s="1"/>
  <c r="V63" i="8" a="1"/>
  <c r="V63" i="8" s="1"/>
  <c r="BQ63" i="8" a="1"/>
  <c r="BQ63" i="8" s="1"/>
  <c r="P63" i="8" a="1"/>
  <c r="P63" i="8" s="1"/>
  <c r="BY63" i="8" a="1"/>
  <c r="BY63" i="8" s="1"/>
  <c r="BL64" i="8" a="1"/>
  <c r="BL64" i="8" s="1"/>
  <c r="BI63" i="8" a="1"/>
  <c r="BI63" i="8" s="1"/>
  <c r="BT63" i="8" a="1"/>
  <c r="BT63" i="8" s="1"/>
  <c r="BJ63" i="8" a="1"/>
  <c r="BJ63" i="8" s="1"/>
  <c r="AD58" i="8" a="1"/>
  <c r="AD58" i="8" s="1"/>
  <c r="N64" i="8" a="1"/>
  <c r="N64" i="8" s="1"/>
  <c r="J63" i="8" a="1"/>
  <c r="J63" i="8" s="1"/>
  <c r="Q63" i="8" a="1"/>
  <c r="Q63" i="8" s="1"/>
  <c r="BZ64" i="8" a="1"/>
  <c r="BZ64" i="8" s="1"/>
  <c r="BM58" i="8" a="1"/>
  <c r="BM58" i="8" s="1"/>
  <c r="Q58" i="8" a="1"/>
  <c r="Q58" i="8" s="1"/>
  <c r="N63" i="8" a="1"/>
  <c r="N63" i="8" s="1"/>
  <c r="BZ63" i="8" a="1"/>
  <c r="BZ63" i="8" s="1"/>
  <c r="AW63" i="8" a="1"/>
  <c r="AW63" i="8" s="1"/>
  <c r="AI63" i="8" a="1"/>
  <c r="AI63" i="8" s="1"/>
  <c r="AW58" i="8" a="1"/>
  <c r="AW58" i="8" s="1"/>
  <c r="AH64" i="8" a="1"/>
  <c r="AH64" i="8" s="1"/>
  <c r="AG63" i="8" a="1"/>
  <c r="AG63" i="8" s="1"/>
  <c r="AO63" i="8" a="1"/>
  <c r="AO63" i="8" s="1"/>
  <c r="AN63" i="8" a="1"/>
  <c r="AN63" i="8" s="1"/>
  <c r="Y63" i="8" a="1"/>
  <c r="Y63" i="8" s="1"/>
  <c r="AH58" i="8" a="1"/>
  <c r="AH58" i="8" s="1"/>
  <c r="AX64" i="8" a="1"/>
  <c r="AX64" i="8" s="1"/>
  <c r="BJ64" i="8" a="1"/>
  <c r="BJ64" i="8" s="1"/>
  <c r="AZ64" i="8" a="1"/>
  <c r="AZ64" i="8" s="1"/>
  <c r="AL64" i="8" a="1"/>
  <c r="AL64" i="8" s="1"/>
  <c r="AX63" i="8" a="1"/>
  <c r="AX63" i="8" s="1"/>
  <c r="BS63" i="8" a="1"/>
  <c r="BS63" i="8" s="1"/>
  <c r="AH63" i="8" a="1"/>
  <c r="AH63" i="8" s="1"/>
  <c r="AB63" i="8" a="1"/>
  <c r="AB63" i="8" s="1"/>
  <c r="AQ58" i="8" a="1"/>
  <c r="AQ58" i="8" s="1"/>
  <c r="AB64" i="8" a="1"/>
  <c r="AB64" i="8" s="1"/>
  <c r="CA64" i="8" a="1"/>
  <c r="CA64" i="8" s="1"/>
  <c r="AM58" i="8" a="1"/>
  <c r="AM58" i="8" s="1"/>
  <c r="BO63" i="8" a="1"/>
  <c r="BO63" i="8" s="1"/>
  <c r="AM63" i="8" a="1"/>
  <c r="AM63" i="8" s="1"/>
  <c r="AQ63" i="8" a="1"/>
  <c r="AQ63" i="8" s="1"/>
  <c r="BK63" i="8" a="1"/>
  <c r="BK63" i="8" s="1"/>
  <c r="CF63" i="8" a="1"/>
  <c r="CF63" i="8" s="1"/>
  <c r="CB64" i="8" a="1"/>
  <c r="CB64" i="8" s="1"/>
  <c r="AM64" i="8" a="1"/>
  <c r="AM64" i="8" s="1"/>
  <c r="AP63" i="8" a="1"/>
  <c r="AP63" i="8" s="1"/>
  <c r="K63" i="8" a="1"/>
  <c r="K63" i="8" s="1"/>
  <c r="AV63" i="8" a="1"/>
  <c r="AV63" i="8" s="1"/>
  <c r="CG63" i="8" a="1"/>
  <c r="CG63" i="8" s="1"/>
  <c r="BU64" i="8" a="1"/>
  <c r="BU64" i="8" s="1"/>
  <c r="CC64" i="8" a="1"/>
  <c r="CC64" i="8" s="1"/>
  <c r="BW64" i="8" a="1"/>
  <c r="BW64" i="8" s="1"/>
  <c r="AN64" i="8" a="1"/>
  <c r="AN64" i="8" s="1"/>
  <c r="AY63" i="8" a="1"/>
  <c r="AY63" i="8" s="1"/>
  <c r="BW63" i="8" a="1"/>
  <c r="BW63" i="8" s="1"/>
  <c r="BA63" i="8" a="1"/>
  <c r="BA63" i="8" s="1"/>
  <c r="CA63" i="8" a="1"/>
  <c r="CA63" i="8" s="1"/>
  <c r="BH63" i="8" a="1"/>
  <c r="BH63" i="8" s="1"/>
  <c r="BH64" i="8" a="1"/>
  <c r="BH64" i="8" s="1"/>
  <c r="P64" i="8" a="1"/>
  <c r="P64" i="8" s="1"/>
  <c r="AQ64" i="8" a="1"/>
  <c r="AQ64" i="8" s="1"/>
  <c r="BE58" i="8" a="1"/>
  <c r="BE58" i="8" s="1"/>
  <c r="AR63" i="8" a="1"/>
  <c r="AR63" i="8" s="1"/>
  <c r="BE63" i="8" a="1"/>
  <c r="BE63" i="8" s="1"/>
  <c r="AS63" i="8" a="1"/>
  <c r="AS63" i="8" s="1"/>
  <c r="AE63" i="8" a="1"/>
  <c r="AE63" i="8" s="1"/>
  <c r="Z63" i="8" a="1"/>
  <c r="Z63" i="8" s="1"/>
  <c r="CD63" i="8" a="1"/>
  <c r="CD63" i="8" s="1"/>
  <c r="AI64" i="8" a="1"/>
  <c r="AI64" i="8" s="1"/>
  <c r="BR63" i="8" a="1"/>
  <c r="BR63" i="8" s="1"/>
  <c r="W63" i="8" a="1"/>
  <c r="W63" i="8" s="1"/>
  <c r="BG63" i="8" a="1"/>
  <c r="BG63" i="8" s="1"/>
  <c r="BF63" i="8" a="1"/>
  <c r="BF63" i="8" s="1"/>
  <c r="BL63" i="8" a="1"/>
  <c r="BL63" i="8" s="1"/>
  <c r="BD63" i="8" a="1"/>
  <c r="BD63" i="8" s="1"/>
  <c r="K64" i="8" a="1"/>
  <c r="K64" i="8" s="1"/>
  <c r="AU63" i="8" a="1"/>
  <c r="AU63" i="8" s="1"/>
  <c r="CB63" i="8" a="1"/>
  <c r="CB63" i="8" s="1"/>
  <c r="CE63" i="8" a="1"/>
  <c r="CE63" i="8" s="1"/>
  <c r="AZ58" i="8" a="1"/>
  <c r="AZ58" i="8" s="1"/>
  <c r="J55" i="8" a="1"/>
  <c r="J55" i="8" s="1"/>
  <c r="BE55" i="8" a="1"/>
  <c r="BE55" i="8" s="1"/>
  <c r="AE55" i="8" a="1"/>
  <c r="AE55" i="8" s="1"/>
  <c r="AC55" i="8" a="1"/>
  <c r="AC55" i="8" s="1"/>
  <c r="K57" i="8" a="1"/>
  <c r="K57" i="8" s="1"/>
  <c r="O58" i="8" a="1"/>
  <c r="O58" i="8" s="1"/>
  <c r="J58" i="8" a="1"/>
  <c r="J58" i="8" s="1"/>
  <c r="T58" i="8" a="1"/>
  <c r="T58" i="8" s="1"/>
  <c r="BC55" i="8" a="1"/>
  <c r="BC55" i="8" s="1"/>
  <c r="AF55" i="8" a="1"/>
  <c r="AF55" i="8" s="1"/>
  <c r="BZ55" i="8" a="1"/>
  <c r="BZ55" i="8" s="1"/>
  <c r="BQ55" i="8" a="1"/>
  <c r="BQ55" i="8" s="1"/>
  <c r="BU58" i="8" a="1"/>
  <c r="BU58" i="8" s="1"/>
  <c r="AT57" i="8" a="1"/>
  <c r="AT57" i="8" s="1"/>
  <c r="Y58" i="8" a="1"/>
  <c r="Y58" i="8" s="1"/>
  <c r="BN55" i="8" a="1"/>
  <c r="BN55" i="8" s="1"/>
  <c r="AI55" i="8" a="1"/>
  <c r="AI55" i="8" s="1"/>
  <c r="AM55" i="8" a="1"/>
  <c r="AM55" i="8" s="1"/>
  <c r="BO55" i="8" a="1"/>
  <c r="BO55" i="8" s="1"/>
  <c r="BG58" i="8" a="1"/>
  <c r="BG58" i="8" s="1"/>
  <c r="AE57" i="8" a="1"/>
  <c r="AE57" i="8" s="1"/>
  <c r="AP58" i="8" a="1"/>
  <c r="AP58" i="8" s="1"/>
  <c r="BD58" i="8" a="1"/>
  <c r="BD58" i="8" s="1"/>
  <c r="BF58" i="8" a="1"/>
  <c r="BF58" i="8" s="1"/>
  <c r="AG58" i="8" a="1"/>
  <c r="AG58" i="8" s="1"/>
  <c r="BK55" i="8" a="1"/>
  <c r="BK55" i="8" s="1"/>
  <c r="Y55" i="8" a="1"/>
  <c r="Y55" i="8" s="1"/>
  <c r="AS55" i="8" a="1"/>
  <c r="AS55" i="8" s="1"/>
  <c r="CA55" i="8" a="1"/>
  <c r="CA55" i="8" s="1"/>
  <c r="AB58" i="8" a="1"/>
  <c r="AB58" i="8" s="1"/>
  <c r="N57" i="8" a="1"/>
  <c r="N57" i="8" s="1"/>
  <c r="BP58" i="8" a="1"/>
  <c r="BP58" i="8" s="1"/>
  <c r="BK58" i="8" a="1"/>
  <c r="BK58" i="8" s="1"/>
  <c r="AX55" i="8" a="1"/>
  <c r="AX55" i="8" s="1"/>
  <c r="AQ55" i="8" a="1"/>
  <c r="AQ55" i="8" s="1"/>
  <c r="BI55" i="8" a="1"/>
  <c r="BI55" i="8" s="1"/>
  <c r="BG55" i="8" a="1"/>
  <c r="BG55" i="8" s="1"/>
  <c r="BW57" i="8" a="1"/>
  <c r="BW57" i="8" s="1"/>
  <c r="CG58" i="8" a="1"/>
  <c r="CG58" i="8" s="1"/>
  <c r="AX58" i="8" a="1"/>
  <c r="AX58" i="8" s="1"/>
  <c r="AA58" i="8" a="1"/>
  <c r="AA58" i="8" s="1"/>
  <c r="P58" i="8" a="1"/>
  <c r="P58" i="8" s="1"/>
  <c r="BX58" i="8" a="1"/>
  <c r="BX58" i="8" s="1"/>
  <c r="BY58" i="8" a="1"/>
  <c r="BY58" i="8" s="1"/>
  <c r="AG55" i="8" a="1"/>
  <c r="AG55" i="8" s="1"/>
  <c r="BF55" i="8" a="1"/>
  <c r="BF55" i="8" s="1"/>
  <c r="V55" i="8" a="1"/>
  <c r="V55" i="8" s="1"/>
  <c r="CG55" i="8" a="1"/>
  <c r="CG55" i="8" s="1"/>
  <c r="CG57" i="8" a="1"/>
  <c r="CG57" i="8" s="1"/>
  <c r="K58" i="8" a="1"/>
  <c r="K58" i="8" s="1"/>
  <c r="AC58" i="8" a="1"/>
  <c r="AC58" i="8" s="1"/>
  <c r="BB58" i="8" a="1"/>
  <c r="BB58" i="8" s="1"/>
  <c r="BO58" i="8" a="1"/>
  <c r="BO58" i="8" s="1"/>
  <c r="AN55" i="8" a="1"/>
  <c r="AN55" i="8" s="1"/>
  <c r="BS55" i="8" a="1"/>
  <c r="BS55" i="8" s="1"/>
  <c r="BU55" i="8" a="1"/>
  <c r="BU55" i="8" s="1"/>
  <c r="BW55" i="8" a="1"/>
  <c r="BW55" i="8" s="1"/>
  <c r="AD57" i="8" a="1"/>
  <c r="AD57" i="8" s="1"/>
  <c r="AR58" i="8" a="1"/>
  <c r="AR58" i="8" s="1"/>
  <c r="BQ58" i="8" a="1"/>
  <c r="BQ58" i="8" s="1"/>
  <c r="AS58" i="8" a="1"/>
  <c r="AS58" i="8" s="1"/>
  <c r="X58" i="8" a="1"/>
  <c r="X58" i="8" s="1"/>
  <c r="BA58" i="8" a="1"/>
  <c r="BA58" i="8" s="1"/>
  <c r="CB58" i="8" a="1"/>
  <c r="CB58" i="8" s="1"/>
  <c r="BC58" i="8" a="1"/>
  <c r="BC58" i="8" s="1"/>
  <c r="AW55" i="8" a="1"/>
  <c r="AW55" i="8" s="1"/>
  <c r="BD55" i="8" a="1"/>
  <c r="BD55" i="8" s="1"/>
  <c r="AT55" i="8" a="1"/>
  <c r="AT55" i="8" s="1"/>
  <c r="CC55" i="8" a="1"/>
  <c r="CC55" i="8" s="1"/>
  <c r="AQ57" i="8" a="1"/>
  <c r="AQ57" i="8" s="1"/>
  <c r="AE58" i="8" a="1"/>
  <c r="AE58" i="8" s="1"/>
  <c r="Z58" i="8" a="1"/>
  <c r="Z58" i="8" s="1"/>
  <c r="BS58" i="8" a="1"/>
  <c r="BS58" i="8" s="1"/>
  <c r="CE58" i="8" a="1"/>
  <c r="CE58" i="8" s="1"/>
  <c r="W58" i="8" a="1"/>
  <c r="W58" i="8" s="1"/>
  <c r="N58" i="8" a="1"/>
  <c r="N58" i="8" s="1"/>
  <c r="BJ58" i="8" a="1"/>
  <c r="BJ58" i="8" s="1"/>
  <c r="CA58" i="8" a="1"/>
  <c r="CA58" i="8" s="1"/>
  <c r="AA55" i="8" a="1"/>
  <c r="AA55" i="8" s="1"/>
  <c r="U55" i="8" a="1"/>
  <c r="U55" i="8" s="1"/>
  <c r="Q55" i="8" a="1"/>
  <c r="Q55" i="8" s="1"/>
  <c r="CE55" i="8" a="1"/>
  <c r="CE55" i="8" s="1"/>
  <c r="AV58" i="8" a="1"/>
  <c r="AV58" i="8" s="1"/>
  <c r="V58" i="8" a="1"/>
  <c r="V58" i="8" s="1"/>
  <c r="BI58" i="8" a="1"/>
  <c r="BI58" i="8" s="1"/>
  <c r="BH58" i="8" a="1"/>
  <c r="BH58" i="8" s="1"/>
  <c r="BM55" i="8" a="1"/>
  <c r="BM55" i="8" s="1"/>
  <c r="BV55" i="8" a="1"/>
  <c r="BV55" i="8" s="1"/>
  <c r="AU55" i="8" a="1"/>
  <c r="AU55" i="8" s="1"/>
  <c r="CD58" i="8" a="1"/>
  <c r="CD58" i="8" s="1"/>
  <c r="U58" i="8" a="1"/>
  <c r="U58" i="8" s="1"/>
  <c r="CC58" i="8" a="1"/>
  <c r="CC58" i="8" s="1"/>
  <c r="AR55" i="8" a="1"/>
  <c r="AR55" i="8" s="1"/>
  <c r="AV55" i="8" a="1"/>
  <c r="AV55" i="8" s="1"/>
  <c r="O55" i="8" a="1"/>
  <c r="O55" i="8" s="1"/>
  <c r="AL55" i="8" a="1"/>
  <c r="AL55" i="8" s="1"/>
  <c r="AO58" i="8" a="1"/>
  <c r="AO58" i="8" s="1"/>
  <c r="AI58" i="8" a="1"/>
  <c r="AI58" i="8" s="1"/>
  <c r="BY55" i="8" a="1"/>
  <c r="BY55" i="8" s="1"/>
  <c r="AD55" i="8" a="1"/>
  <c r="AD55" i="8" s="1"/>
  <c r="BA55" i="8" a="1"/>
  <c r="BA55" i="8" s="1"/>
  <c r="T55" i="8" a="1"/>
  <c r="T55" i="8" s="1"/>
  <c r="CD57" i="8" a="1"/>
  <c r="CD57" i="8" s="1"/>
  <c r="AY58" i="8" a="1"/>
  <c r="AY58" i="8" s="1"/>
  <c r="BB55" i="8" a="1"/>
  <c r="BB55" i="8" s="1"/>
  <c r="P55" i="8" a="1"/>
  <c r="P55" i="8" s="1"/>
  <c r="W55" i="8" a="1"/>
  <c r="W55" i="8" s="1"/>
  <c r="AO55" i="8" a="1"/>
  <c r="AO55" i="8" s="1"/>
  <c r="BQ57" i="8" a="1"/>
  <c r="BQ57" i="8" s="1"/>
  <c r="K55" i="8" a="1"/>
  <c r="K55" i="8" s="1"/>
  <c r="CF55" i="8" a="1"/>
  <c r="CF55" i="8" s="1"/>
  <c r="BL55" i="8" a="1"/>
  <c r="BL55" i="8" s="1"/>
  <c r="Z55" i="8" a="1"/>
  <c r="Z55" i="8" s="1"/>
  <c r="AV57" i="8" a="1"/>
  <c r="AV57" i="8" s="1"/>
  <c r="CD55" i="8" a="1"/>
  <c r="CD55" i="8" s="1"/>
  <c r="BT55" i="8" a="1"/>
  <c r="BT55" i="8" s="1"/>
  <c r="AB55" i="8" a="1"/>
  <c r="AB55" i="8" s="1"/>
  <c r="BH55" i="8" a="1"/>
  <c r="BH55" i="8" s="1"/>
  <c r="AN57" i="8" a="1"/>
  <c r="AN57" i="8" s="1"/>
  <c r="AU58" i="8" a="1"/>
  <c r="AU58" i="8" s="1"/>
  <c r="BT58" i="8" a="1"/>
  <c r="BT58" i="8" s="1"/>
  <c r="AH55" i="8" a="1"/>
  <c r="AH55" i="8" s="1"/>
  <c r="AZ55" i="8" a="1"/>
  <c r="AZ55" i="8" s="1"/>
  <c r="X55" i="8" a="1"/>
  <c r="X55" i="8" s="1"/>
  <c r="BJ55" i="8" a="1"/>
  <c r="BJ55" i="8" s="1"/>
  <c r="BZ57" i="8" a="1"/>
  <c r="BZ57" i="8" s="1"/>
  <c r="BR58" i="8" a="1"/>
  <c r="BR58" i="8" s="1"/>
  <c r="CF58" i="8" a="1"/>
  <c r="CF58" i="8" s="1"/>
  <c r="AM57" i="8" a="1"/>
  <c r="AM57" i="8" s="1"/>
  <c r="BL57" i="8" a="1"/>
  <c r="BL57" i="8" s="1"/>
  <c r="BV57" i="8" a="1"/>
  <c r="BV57" i="8" s="1"/>
  <c r="AY57" i="8" a="1"/>
  <c r="AY57" i="8" s="1"/>
  <c r="CE57" i="8" a="1"/>
  <c r="CE57" i="8" s="1"/>
  <c r="BI57" i="8" a="1"/>
  <c r="BI57" i="8" s="1"/>
  <c r="AW57" i="8" a="1"/>
  <c r="AW57" i="8" s="1"/>
  <c r="BX57" i="8" a="1"/>
  <c r="BX57" i="8" s="1"/>
  <c r="AA57" i="8" a="1"/>
  <c r="AA57" i="8" s="1"/>
  <c r="AB57" i="8" a="1"/>
  <c r="AB57" i="8" s="1"/>
  <c r="O57" i="8" a="1"/>
  <c r="O57" i="8" s="1"/>
  <c r="Y57" i="8" a="1"/>
  <c r="Y57" i="8" s="1"/>
  <c r="BF57" i="8" a="1"/>
  <c r="BF57" i="8" s="1"/>
  <c r="BK57" i="8" a="1"/>
  <c r="BK57" i="8" s="1"/>
  <c r="BM57" i="8" a="1"/>
  <c r="BM57" i="8" s="1"/>
  <c r="AH57" i="8" a="1"/>
  <c r="AH57" i="8" s="1"/>
  <c r="CA57" i="8" a="1"/>
  <c r="CA57" i="8" s="1"/>
  <c r="BT57" i="8" a="1"/>
  <c r="BT57" i="8" s="1"/>
  <c r="AO57" i="8" a="1"/>
  <c r="AO57" i="8" s="1"/>
  <c r="BS57" i="8" a="1"/>
  <c r="BS57" i="8" s="1"/>
  <c r="BE57" i="8" a="1"/>
  <c r="BE57" i="8" s="1"/>
  <c r="BJ57" i="8" a="1"/>
  <c r="BJ57" i="8" s="1"/>
  <c r="W57" i="8" a="1"/>
  <c r="W57" i="8" s="1"/>
  <c r="AR57" i="8" a="1"/>
  <c r="AR57" i="8" s="1"/>
  <c r="AC57" i="8" a="1"/>
  <c r="AC57" i="8" s="1"/>
  <c r="BH57" i="8" a="1"/>
  <c r="BH57" i="8" s="1"/>
  <c r="AU57" i="8" a="1"/>
  <c r="AU57" i="8" s="1"/>
  <c r="BD57" i="8" a="1"/>
  <c r="BD57" i="8" s="1"/>
  <c r="X57" i="8" a="1"/>
  <c r="X57" i="8" s="1"/>
  <c r="CF57" i="8" a="1"/>
  <c r="CF57" i="8" s="1"/>
  <c r="BO57" i="8" a="1"/>
  <c r="BO57" i="8" s="1"/>
  <c r="Q57" i="8" a="1"/>
  <c r="Q57" i="8" s="1"/>
  <c r="AG57" i="8" a="1"/>
  <c r="AG57" i="8" s="1"/>
  <c r="CB57" i="8" a="1"/>
  <c r="CB57" i="8" s="1"/>
  <c r="T63" i="8" a="1"/>
  <c r="T63" i="8" s="1"/>
  <c r="BG57" i="8" a="1"/>
  <c r="BG57" i="8" s="1"/>
  <c r="BN57" i="8" a="1"/>
  <c r="BN57" i="8" s="1"/>
  <c r="BU57" i="8" a="1"/>
  <c r="BU57" i="8" s="1"/>
  <c r="T57" i="8" a="1"/>
  <c r="T57" i="8" s="1"/>
  <c r="AZ63" i="8" a="1"/>
  <c r="AZ63" i="8" s="1"/>
  <c r="AI57" i="8" a="1"/>
  <c r="AI57" i="8" s="1"/>
  <c r="CC57" i="8" a="1"/>
  <c r="CC57" i="8" s="1"/>
  <c r="P57" i="8" a="1"/>
  <c r="P57" i="8" s="1"/>
  <c r="AD63" i="8" a="1"/>
  <c r="AD63" i="8" s="1"/>
  <c r="AL57" i="8" a="1"/>
  <c r="AL57" i="8" s="1"/>
  <c r="BA57" i="8" a="1"/>
  <c r="BA57" i="8" s="1"/>
  <c r="V57" i="8" a="1"/>
  <c r="V57" i="8" s="1"/>
  <c r="AN58" i="8" a="1"/>
  <c r="AN58" i="8" s="1"/>
  <c r="U63" i="8" a="1"/>
  <c r="U63" i="8" s="1"/>
  <c r="AS57" i="8" a="1"/>
  <c r="AS57" i="8" s="1"/>
  <c r="J57" i="8" a="1"/>
  <c r="J57" i="8" s="1"/>
  <c r="U57" i="8" a="1"/>
  <c r="U57" i="8" s="1"/>
  <c r="BV58" i="8" a="1"/>
  <c r="BV58" i="8" s="1"/>
  <c r="BY57" i="8" a="1"/>
  <c r="BY57" i="8" s="1"/>
  <c r="AF57" i="8" a="1"/>
  <c r="AF57" i="8" s="1"/>
  <c r="BB57" i="8" a="1"/>
  <c r="BB57" i="8" s="1"/>
  <c r="BN58" i="8" a="1"/>
  <c r="BN58" i="8" s="1"/>
  <c r="AP57" i="8" a="1"/>
  <c r="AP57" i="8" s="1"/>
  <c r="BC57" i="8" a="1"/>
  <c r="BC57" i="8" s="1"/>
  <c r="Z57" i="8" a="1"/>
  <c r="Z57" i="8" s="1"/>
  <c r="BL58" i="8" a="1"/>
  <c r="BL58" i="8" s="1"/>
  <c r="BP57" i="8" a="1"/>
  <c r="BP57" i="8" s="1"/>
  <c r="BR57" i="8" a="1"/>
  <c r="BR57" i="8" s="1"/>
  <c r="AZ57" i="8" a="1"/>
  <c r="AZ57" i="8" s="1"/>
  <c r="L35" i="31" l="1"/>
  <c r="M35" i="31"/>
  <c r="K39" i="31"/>
  <c r="K42" i="31"/>
  <c r="L42" i="31"/>
  <c r="K37" i="31"/>
  <c r="M37" i="31"/>
  <c r="K56" i="31"/>
  <c r="L44" i="31"/>
  <c r="K46" i="31"/>
  <c r="J35" i="31"/>
  <c r="M50" i="31"/>
  <c r="L39" i="31"/>
  <c r="J39" i="31"/>
  <c r="K47" i="31"/>
  <c r="M56" i="31"/>
  <c r="L36" i="31"/>
  <c r="J41" i="31"/>
  <c r="M39" i="31"/>
  <c r="L45" i="31"/>
  <c r="K41" i="31"/>
  <c r="M55" i="31"/>
  <c r="M47" i="31"/>
  <c r="L81" i="31"/>
  <c r="M46" i="31"/>
  <c r="L40" i="31"/>
  <c r="K36" i="31"/>
  <c r="L64" i="31"/>
  <c r="K49" i="31"/>
  <c r="L43" i="31"/>
  <c r="M38" i="31"/>
  <c r="M54" i="31"/>
  <c r="M53" i="31"/>
  <c r="L37" i="31"/>
  <c r="J62" i="31"/>
  <c r="L59" i="31"/>
  <c r="L60" i="31"/>
  <c r="J37" i="31"/>
  <c r="L41" i="31"/>
  <c r="K45" i="31"/>
  <c r="M36" i="31"/>
  <c r="K50" i="31"/>
  <c r="L62" i="31"/>
  <c r="M67" i="31"/>
  <c r="J49" i="31"/>
  <c r="L46" i="31"/>
  <c r="L63" i="31"/>
  <c r="J40" i="31"/>
  <c r="M66" i="31"/>
  <c r="M49" i="31"/>
  <c r="M51" i="31"/>
  <c r="J55" i="31"/>
  <c r="L48" i="31"/>
  <c r="K57" i="31"/>
  <c r="K69" i="31"/>
  <c r="L47" i="31"/>
  <c r="M40" i="31"/>
  <c r="K58" i="31"/>
  <c r="L38" i="31"/>
  <c r="M68" i="31"/>
  <c r="M59" i="31"/>
  <c r="K38" i="31"/>
  <c r="L49" i="31"/>
  <c r="L73" i="31"/>
  <c r="J58" i="31"/>
  <c r="K43" i="31"/>
  <c r="M42" i="31"/>
  <c r="L56" i="31"/>
  <c r="L55" i="31"/>
  <c r="L54" i="31"/>
  <c r="J63" i="31"/>
  <c r="J42" i="31"/>
  <c r="M70" i="31"/>
  <c r="M61" i="31"/>
  <c r="M58" i="31"/>
  <c r="K51" i="31"/>
  <c r="K73" i="31"/>
  <c r="M48" i="31"/>
  <c r="J46" i="31"/>
  <c r="K54" i="31"/>
  <c r="K63" i="31"/>
  <c r="L58" i="31"/>
  <c r="K71" i="31"/>
  <c r="L78" i="31"/>
  <c r="K77" i="31"/>
  <c r="J38" i="31"/>
  <c r="M73" i="31"/>
  <c r="M74" i="31"/>
  <c r="M62" i="31"/>
  <c r="L51" i="31"/>
  <c r="J36" i="31"/>
  <c r="J67" i="31"/>
  <c r="K67" i="31"/>
  <c r="M81" i="31"/>
  <c r="K35" i="31"/>
  <c r="J54" i="31"/>
  <c r="J79" i="31"/>
  <c r="K48" i="31"/>
  <c r="K79" i="31"/>
  <c r="J52" i="31"/>
  <c r="J61" i="31"/>
  <c r="J43" i="31"/>
  <c r="M44" i="31"/>
  <c r="M71" i="31"/>
  <c r="L67" i="31"/>
  <c r="K53" i="31"/>
  <c r="K70" i="31"/>
  <c r="L69" i="31"/>
  <c r="M41" i="31"/>
  <c r="J57" i="31"/>
  <c r="L57" i="31"/>
  <c r="K52" i="31"/>
  <c r="J70" i="31"/>
  <c r="K40" i="31"/>
  <c r="L76" i="31"/>
  <c r="M65" i="31"/>
  <c r="K76" i="31"/>
  <c r="M79" i="31"/>
  <c r="M64" i="31"/>
  <c r="K55" i="31"/>
  <c r="M57" i="31"/>
  <c r="M45" i="31"/>
  <c r="L68" i="31"/>
  <c r="M69" i="31"/>
  <c r="J60" i="31"/>
  <c r="M43" i="31"/>
  <c r="M52" i="31"/>
  <c r="J82" i="31"/>
  <c r="K72" i="31"/>
  <c r="J66" i="31"/>
  <c r="K61" i="31"/>
  <c r="K74" i="31"/>
  <c r="L50" i="31"/>
  <c r="J72" i="31"/>
  <c r="M63" i="31"/>
  <c r="L72" i="31"/>
  <c r="M78" i="31"/>
  <c r="J78" i="31"/>
  <c r="L53" i="31"/>
  <c r="M75" i="31"/>
  <c r="K66" i="31"/>
  <c r="M82" i="31"/>
  <c r="L70" i="31"/>
  <c r="K64" i="31"/>
  <c r="J74" i="31"/>
  <c r="M76" i="31"/>
  <c r="M60" i="31"/>
  <c r="K80" i="31"/>
  <c r="K44" i="31"/>
  <c r="K81" i="31"/>
  <c r="J44" i="31"/>
  <c r="K78" i="31"/>
  <c r="J68" i="31"/>
  <c r="M77" i="31"/>
  <c r="J51" i="31"/>
  <c r="J48" i="31"/>
  <c r="L65" i="31"/>
  <c r="J59" i="31"/>
  <c r="L66" i="31"/>
  <c r="M80" i="31"/>
  <c r="M72" i="31"/>
  <c r="J77" i="31"/>
  <c r="J53" i="31"/>
  <c r="J80" i="31"/>
  <c r="J50" i="31"/>
  <c r="J56" i="31"/>
  <c r="K60" i="31"/>
  <c r="J69" i="31"/>
  <c r="L52" i="31"/>
  <c r="J64" i="31"/>
  <c r="K59" i="31"/>
  <c r="L80" i="31"/>
  <c r="L82" i="31"/>
  <c r="L75" i="31"/>
  <c r="K65" i="31"/>
  <c r="L61" i="31"/>
  <c r="K82" i="31"/>
  <c r="J81" i="31"/>
  <c r="L77" i="31"/>
  <c r="J71" i="31"/>
  <c r="K62" i="31"/>
  <c r="L74" i="31"/>
  <c r="J76" i="31"/>
  <c r="J65" i="31"/>
  <c r="J75" i="31"/>
  <c r="L71" i="31"/>
  <c r="J73" i="31"/>
  <c r="J45" i="31"/>
  <c r="L79" i="31"/>
  <c r="J47" i="31"/>
  <c r="K75" i="31"/>
  <c r="K68" i="31"/>
  <c r="K33" i="31" l="1"/>
  <c r="K32" i="31" s="1"/>
  <c r="J33" i="31"/>
  <c r="J32" i="31" s="1"/>
  <c r="M33" i="31"/>
  <c r="M32" i="31" s="1"/>
  <c r="L33" i="31"/>
  <c r="L32" i="31" s="1"/>
  <c r="P292" i="31" l="1"/>
  <c r="Q292" i="31" l="1"/>
  <c r="R292" i="31" l="1"/>
  <c r="S292" i="31" l="1"/>
  <c r="T292" i="31" l="1"/>
  <c r="U292" i="31" l="1"/>
  <c r="V292" i="31" l="1"/>
  <c r="W292" i="31" l="1"/>
  <c r="X292" i="31" l="1"/>
  <c r="Y292" i="31" l="1"/>
  <c r="Z292" i="31" l="1"/>
  <c r="AA292" i="31" l="1"/>
  <c r="AB292" i="31" l="1"/>
  <c r="AC292" i="31" l="1"/>
  <c r="AD292" i="31" l="1"/>
  <c r="J292" i="31" l="1"/>
  <c r="K292" i="31"/>
  <c r="L292" i="31"/>
  <c r="M292" i="31"/>
  <c r="AE292" i="31"/>
  <c r="AY15" i="13" a="1"/>
  <c r="AY15" i="13" s="1"/>
  <c r="AY149" i="13" s="1"/>
  <c r="AZ15" i="13" a="1"/>
  <c r="AZ15" i="13" s="1"/>
  <c r="AZ149" i="13" s="1"/>
  <c r="BF15" i="13" a="1"/>
  <c r="BF15" i="13" s="1"/>
  <c r="BF149" i="13" s="1"/>
  <c r="BE15" i="13" a="1"/>
  <c r="BE15" i="13" s="1"/>
  <c r="BE149" i="13" s="1"/>
  <c r="BY16" i="12"/>
  <c r="BY23" i="12" s="1"/>
  <c r="BY54" i="12" s="1"/>
  <c r="BY68" i="12" s="1"/>
  <c r="AW15" i="13" a="1"/>
  <c r="AW15" i="13" s="1"/>
  <c r="AW149" i="13" s="1"/>
  <c r="AX15" i="13" a="1"/>
  <c r="AX15" i="13" s="1"/>
  <c r="AX149" i="13" s="1"/>
  <c r="CA16" i="12"/>
  <c r="CA23" i="12" s="1"/>
  <c r="BZ16" i="12"/>
  <c r="BZ23" i="12" s="1"/>
  <c r="AH20" i="12"/>
  <c r="AH16" i="12" s="1"/>
  <c r="AH23" i="12" s="1"/>
  <c r="BC15" i="13" a="1"/>
  <c r="BC15" i="13" s="1"/>
  <c r="BC149" i="13" s="1"/>
  <c r="CE16" i="12"/>
  <c r="CE23" i="12" s="1"/>
  <c r="BD15" i="13" a="1"/>
  <c r="BD15" i="13" s="1"/>
  <c r="BD149" i="13" s="1"/>
  <c r="CG16" i="12"/>
  <c r="CG23" i="12" s="1"/>
  <c r="CG54" i="12" s="1"/>
  <c r="CG68" i="12" s="1"/>
  <c r="CF16" i="12"/>
  <c r="CF23" i="12" s="1"/>
  <c r="BG15" i="13" a="1"/>
  <c r="BG15" i="13" s="1"/>
  <c r="BG149" i="13" s="1"/>
  <c r="CH16" i="12"/>
  <c r="CH23" i="12" s="1"/>
  <c r="CB16" i="12"/>
  <c r="CB23" i="12" s="1"/>
  <c r="CB54" i="12" s="1"/>
  <c r="CB68" i="12" s="1"/>
  <c r="AW44" i="13"/>
  <c r="BP90" i="30" s="1"/>
  <c r="AX44" i="13"/>
  <c r="BQ90" i="30" s="1"/>
  <c r="BQ28" i="30" s="1"/>
  <c r="AY44" i="13"/>
  <c r="BR90" i="30" s="1"/>
  <c r="BR28" i="30" s="1"/>
  <c r="AZ44" i="13"/>
  <c r="BS90" i="30" s="1"/>
  <c r="AJ20" i="12"/>
  <c r="AJ16" i="12" s="1"/>
  <c r="AJ23" i="12" s="1"/>
  <c r="BE44" i="13"/>
  <c r="BX90" i="30" s="1"/>
  <c r="BX28" i="30" s="1"/>
  <c r="BX86" i="30" s="1"/>
  <c r="BG44" i="13"/>
  <c r="BZ90" i="30" s="1"/>
  <c r="BZ28" i="30" s="1"/>
  <c r="BZ86" i="30" s="1"/>
  <c r="BD44" i="13"/>
  <c r="BW90" i="30" s="1"/>
  <c r="BW28" i="30" s="1"/>
  <c r="BC44" i="13"/>
  <c r="BV90" i="30" s="1"/>
  <c r="CI16" i="12"/>
  <c r="CI23" i="12" s="1"/>
  <c r="BH15" i="13" a="1"/>
  <c r="BH15" i="13" s="1"/>
  <c r="BH149" i="13" s="1"/>
  <c r="CJ16" i="12"/>
  <c r="CJ23" i="12" s="1"/>
  <c r="AK20" i="12"/>
  <c r="AK16" i="12" s="1"/>
  <c r="AK23" i="12" s="1"/>
  <c r="BF44" i="13"/>
  <c r="BY90" i="30" s="1"/>
  <c r="BH44" i="13"/>
  <c r="CA90" i="30" s="1"/>
  <c r="CA28" i="30" s="1"/>
  <c r="CJ24" i="12" l="1"/>
  <c r="CJ54" i="12"/>
  <c r="CJ68" i="12" s="1"/>
  <c r="CA86" i="30"/>
  <c r="E80" i="30" a="1"/>
  <c r="E80" i="30" s="1"/>
  <c r="AC90" i="30"/>
  <c r="BY28" i="30"/>
  <c r="AK24" i="12"/>
  <c r="AK54" i="12"/>
  <c r="AK68" i="12" s="1"/>
  <c r="AB90" i="30"/>
  <c r="BV28" i="30"/>
  <c r="BS28" i="30"/>
  <c r="BW86" i="30"/>
  <c r="E76" i="30" a="1"/>
  <c r="E76" i="30" s="1"/>
  <c r="CI24" i="12"/>
  <c r="CI54" i="12"/>
  <c r="CI68" i="12" s="1"/>
  <c r="AJ54" i="12"/>
  <c r="AJ68" i="12" s="1"/>
  <c r="AJ24" i="12"/>
  <c r="E79" i="30" a="1"/>
  <c r="E79" i="30" s="1"/>
  <c r="E77" i="30" a="1"/>
  <c r="E77" i="30" s="1"/>
  <c r="BR86" i="30"/>
  <c r="E71" i="30" a="1"/>
  <c r="E71" i="30" s="1"/>
  <c r="Z90" i="30"/>
  <c r="BP28" i="30"/>
  <c r="CB24" i="12"/>
  <c r="BQ86" i="30"/>
  <c r="E70" i="30" a="1"/>
  <c r="E70" i="30" s="1"/>
  <c r="CH54" i="12"/>
  <c r="CH68" i="12" s="1"/>
  <c r="CH24" i="12"/>
  <c r="CF24" i="12"/>
  <c r="CF54" i="12"/>
  <c r="CF68" i="12" s="1"/>
  <c r="AH24" i="12"/>
  <c r="AH54" i="12"/>
  <c r="AH68" i="12" s="1"/>
  <c r="CE54" i="12"/>
  <c r="CE68" i="12" s="1"/>
  <c r="CE24" i="12"/>
  <c r="BZ54" i="12"/>
  <c r="BZ68" i="12" s="1"/>
  <c r="BZ24" i="12"/>
  <c r="CA24" i="12"/>
  <c r="CA54" i="12"/>
  <c r="CA68" i="12" s="1"/>
  <c r="CG24" i="12"/>
  <c r="BY24" i="12"/>
  <c r="AH114" i="12" l="1"/>
  <c r="AJ114" i="12"/>
  <c r="AK114" i="12"/>
  <c r="AX71" i="30" a="1"/>
  <c r="AX71" i="30" s="1"/>
  <c r="BJ71" i="30" a="1"/>
  <c r="BJ71" i="30" s="1"/>
  <c r="BV71" i="30" a="1"/>
  <c r="BV71" i="30" s="1"/>
  <c r="BG71" i="30" a="1"/>
  <c r="BG71" i="30" s="1"/>
  <c r="BS71" i="30" a="1"/>
  <c r="BS71" i="30" s="1"/>
  <c r="AR71" i="30" a="1"/>
  <c r="AR71" i="30" s="1"/>
  <c r="AU71" i="30" a="1"/>
  <c r="AU71" i="30" s="1"/>
  <c r="AO71" i="30" a="1"/>
  <c r="AO71" i="30" s="1"/>
  <c r="BP71" i="30" a="1"/>
  <c r="BP71" i="30" s="1"/>
  <c r="AI71" i="30" a="1"/>
  <c r="AI71" i="30" s="1"/>
  <c r="BA71" i="30" a="1"/>
  <c r="BA71" i="30" s="1"/>
  <c r="BD71" i="30" a="1"/>
  <c r="BD71" i="30" s="1"/>
  <c r="BY71" i="30" a="1"/>
  <c r="BY71" i="30" s="1"/>
  <c r="BM71" i="30" a="1"/>
  <c r="BM71" i="30" s="1"/>
  <c r="AF71" i="30" a="1"/>
  <c r="AF71" i="30" s="1"/>
  <c r="BH71" i="30" a="1"/>
  <c r="BH71" i="30" s="1"/>
  <c r="AH71" i="30" a="1"/>
  <c r="AH71" i="30" s="1"/>
  <c r="BB71" i="30" a="1"/>
  <c r="BB71" i="30" s="1"/>
  <c r="AY71" i="30" a="1"/>
  <c r="AY71" i="30" s="1"/>
  <c r="BF71" i="30" a="1"/>
  <c r="BF71" i="30" s="1"/>
  <c r="BW71" i="30" a="1"/>
  <c r="BW71" i="30" s="1"/>
  <c r="BU71" i="30" a="1"/>
  <c r="BU71" i="30" s="1"/>
  <c r="AM71" i="30" a="1"/>
  <c r="AM71" i="30" s="1"/>
  <c r="BX71" i="30" a="1"/>
  <c r="BX71" i="30" s="1"/>
  <c r="BT71" i="30" a="1"/>
  <c r="BT71" i="30" s="1"/>
  <c r="AN71" i="30" a="1"/>
  <c r="AN71" i="30" s="1"/>
  <c r="CA71" i="30" a="1"/>
  <c r="CA71" i="30" s="1"/>
  <c r="BQ71" i="30" a="1"/>
  <c r="BQ71" i="30" s="1"/>
  <c r="AT71" i="30" a="1"/>
  <c r="AT71" i="30" s="1"/>
  <c r="BN71" i="30" a="1"/>
  <c r="BN71" i="30" s="1"/>
  <c r="BE71" i="30" a="1"/>
  <c r="BE71" i="30" s="1"/>
  <c r="AV71" i="30" a="1"/>
  <c r="AV71" i="30" s="1"/>
  <c r="BO71" i="30" a="1"/>
  <c r="BO71" i="30" s="1"/>
  <c r="AQ71" i="30" a="1"/>
  <c r="AQ71" i="30" s="1"/>
  <c r="BI71" i="30" a="1"/>
  <c r="BI71" i="30" s="1"/>
  <c r="AG71" i="30" a="1"/>
  <c r="AG71" i="30" s="1"/>
  <c r="BC71" i="30" a="1"/>
  <c r="BC71" i="30" s="1"/>
  <c r="AW71" i="30" a="1"/>
  <c r="AW71" i="30" s="1"/>
  <c r="BR71" i="30" a="1"/>
  <c r="BR71" i="30" s="1"/>
  <c r="AP71" i="30" a="1"/>
  <c r="AP71" i="30" s="1"/>
  <c r="AL71" i="30" a="1"/>
  <c r="AL71" i="30" s="1"/>
  <c r="AJ71" i="30" a="1"/>
  <c r="AJ71" i="30" s="1"/>
  <c r="AS71" i="30" a="1"/>
  <c r="AS71" i="30" s="1"/>
  <c r="AZ71" i="30" a="1"/>
  <c r="AZ71" i="30" s="1"/>
  <c r="AK71" i="30" a="1"/>
  <c r="AK71" i="30" s="1"/>
  <c r="BZ71" i="30" a="1"/>
  <c r="BZ71" i="30" s="1"/>
  <c r="BL71" i="30" a="1"/>
  <c r="BL71" i="30" s="1"/>
  <c r="BK71" i="30" a="1"/>
  <c r="BK71" i="30" s="1"/>
  <c r="BG79" i="30" a="1"/>
  <c r="BG79" i="30" s="1"/>
  <c r="BA79" i="30" a="1"/>
  <c r="BA79" i="30" s="1"/>
  <c r="AI79" i="30" a="1"/>
  <c r="AI79" i="30" s="1"/>
  <c r="AO79" i="30" a="1"/>
  <c r="AO79" i="30" s="1"/>
  <c r="AL79" i="30" a="1"/>
  <c r="AL79" i="30" s="1"/>
  <c r="AF79" i="30" a="1"/>
  <c r="AF79" i="30" s="1"/>
  <c r="BY79" i="30" a="1"/>
  <c r="BY79" i="30" s="1"/>
  <c r="AU79" i="30" a="1"/>
  <c r="AU79" i="30" s="1"/>
  <c r="BM79" i="30" a="1"/>
  <c r="BM79" i="30" s="1"/>
  <c r="AR79" i="30" a="1"/>
  <c r="AR79" i="30" s="1"/>
  <c r="BV79" i="30" a="1"/>
  <c r="BV79" i="30" s="1"/>
  <c r="AX79" i="30" a="1"/>
  <c r="AX79" i="30" s="1"/>
  <c r="BD79" i="30" a="1"/>
  <c r="BD79" i="30" s="1"/>
  <c r="BK79" i="30" a="1"/>
  <c r="BK79" i="30" s="1"/>
  <c r="BQ79" i="30" a="1"/>
  <c r="BQ79" i="30" s="1"/>
  <c r="AZ79" i="30" a="1"/>
  <c r="AZ79" i="30" s="1"/>
  <c r="BZ79" i="30" a="1"/>
  <c r="BZ79" i="30" s="1"/>
  <c r="AN79" i="30" a="1"/>
  <c r="AN79" i="30" s="1"/>
  <c r="AP79" i="30" a="1"/>
  <c r="AP79" i="30" s="1"/>
  <c r="BO79" i="30" a="1"/>
  <c r="BO79" i="30" s="1"/>
  <c r="BL79" i="30" a="1"/>
  <c r="BL79" i="30" s="1"/>
  <c r="AS79" i="30" a="1"/>
  <c r="AS79" i="30" s="1"/>
  <c r="BF79" i="30" a="1"/>
  <c r="BF79" i="30" s="1"/>
  <c r="AY79" i="30" a="1"/>
  <c r="AY79" i="30" s="1"/>
  <c r="AQ79" i="30" a="1"/>
  <c r="AQ79" i="30" s="1"/>
  <c r="BJ79" i="30" a="1"/>
  <c r="BJ79" i="30" s="1"/>
  <c r="BP79" i="30" a="1"/>
  <c r="BP79" i="30" s="1"/>
  <c r="BH79" i="30" a="1"/>
  <c r="BH79" i="30" s="1"/>
  <c r="AG79" i="30" a="1"/>
  <c r="AG79" i="30" s="1"/>
  <c r="AT79" i="30" a="1"/>
  <c r="AT79" i="30" s="1"/>
  <c r="BR79" i="30" a="1"/>
  <c r="BR79" i="30" s="1"/>
  <c r="AW79" i="30" a="1"/>
  <c r="AW79" i="30" s="1"/>
  <c r="AM79" i="30" a="1"/>
  <c r="AM79" i="30" s="1"/>
  <c r="BT79" i="30" a="1"/>
  <c r="BT79" i="30" s="1"/>
  <c r="BE79" i="30" a="1"/>
  <c r="BE79" i="30" s="1"/>
  <c r="BX79" i="30" a="1"/>
  <c r="BX79" i="30" s="1"/>
  <c r="BU79" i="30" a="1"/>
  <c r="BU79" i="30" s="1"/>
  <c r="BS79" i="30" a="1"/>
  <c r="BS79" i="30" s="1"/>
  <c r="BW79" i="30" a="1"/>
  <c r="BW79" i="30" s="1"/>
  <c r="CA79" i="30" a="1"/>
  <c r="CA79" i="30" s="1"/>
  <c r="AV79" i="30" a="1"/>
  <c r="AV79" i="30" s="1"/>
  <c r="BI79" i="30" a="1"/>
  <c r="BI79" i="30" s="1"/>
  <c r="BB79" i="30" a="1"/>
  <c r="BB79" i="30" s="1"/>
  <c r="AK79" i="30" a="1"/>
  <c r="AK79" i="30" s="1"/>
  <c r="BC79" i="30" a="1"/>
  <c r="BC79" i="30" s="1"/>
  <c r="BN79" i="30" a="1"/>
  <c r="BN79" i="30" s="1"/>
  <c r="AJ79" i="30" a="1"/>
  <c r="AJ79" i="30" s="1"/>
  <c r="AH79" i="30" a="1"/>
  <c r="AH79" i="30" s="1"/>
  <c r="BV86" i="30"/>
  <c r="AB86" i="30" s="1"/>
  <c r="AB28" i="30"/>
  <c r="E75" i="30" a="1"/>
  <c r="E75" i="30" s="1"/>
  <c r="AU80" i="30" a="1"/>
  <c r="AU80" i="30" s="1"/>
  <c r="BY80" i="30" a="1"/>
  <c r="BY80" i="30" s="1"/>
  <c r="BS80" i="30" a="1"/>
  <c r="BS80" i="30" s="1"/>
  <c r="BG80" i="30" a="1"/>
  <c r="BG80" i="30" s="1"/>
  <c r="AF80" i="30" a="1"/>
  <c r="AF80" i="30" s="1"/>
  <c r="AO80" i="30" a="1"/>
  <c r="AO80" i="30" s="1"/>
  <c r="AR80" i="30" a="1"/>
  <c r="AR80" i="30" s="1"/>
  <c r="BA80" i="30" a="1"/>
  <c r="BA80" i="30" s="1"/>
  <c r="BV80" i="30" a="1"/>
  <c r="BV80" i="30" s="1"/>
  <c r="BJ80" i="30" a="1"/>
  <c r="BJ80" i="30" s="1"/>
  <c r="BP80" i="30" a="1"/>
  <c r="BP80" i="30" s="1"/>
  <c r="BM80" i="30" a="1"/>
  <c r="BM80" i="30" s="1"/>
  <c r="AI80" i="30" a="1"/>
  <c r="AI80" i="30" s="1"/>
  <c r="AL80" i="30" a="1"/>
  <c r="AL80" i="30" s="1"/>
  <c r="AX80" i="30" a="1"/>
  <c r="AX80" i="30" s="1"/>
  <c r="BK80" i="30" a="1"/>
  <c r="BK80" i="30" s="1"/>
  <c r="BB80" i="30" a="1"/>
  <c r="BB80" i="30" s="1"/>
  <c r="AV80" i="30" a="1"/>
  <c r="AV80" i="30" s="1"/>
  <c r="BL80" i="30" a="1"/>
  <c r="BL80" i="30" s="1"/>
  <c r="AH80" i="30" a="1"/>
  <c r="AH80" i="30" s="1"/>
  <c r="BC80" i="30" a="1"/>
  <c r="BC80" i="30" s="1"/>
  <c r="BX80" i="30" a="1"/>
  <c r="BX80" i="30" s="1"/>
  <c r="AK80" i="30" a="1"/>
  <c r="AK80" i="30" s="1"/>
  <c r="AZ80" i="30" a="1"/>
  <c r="AZ80" i="30" s="1"/>
  <c r="AM80" i="30" a="1"/>
  <c r="AM80" i="30" s="1"/>
  <c r="BI80" i="30" a="1"/>
  <c r="BI80" i="30" s="1"/>
  <c r="BW80" i="30" a="1"/>
  <c r="BW80" i="30" s="1"/>
  <c r="BD80" i="30" a="1"/>
  <c r="BD80" i="30" s="1"/>
  <c r="AJ80" i="30" a="1"/>
  <c r="AJ80" i="30" s="1"/>
  <c r="BE80" i="30" a="1"/>
  <c r="BE80" i="30" s="1"/>
  <c r="CA80" i="30" a="1"/>
  <c r="CA80" i="30" s="1"/>
  <c r="BZ80" i="30" a="1"/>
  <c r="BZ80" i="30" s="1"/>
  <c r="BO80" i="30" a="1"/>
  <c r="BO80" i="30" s="1"/>
  <c r="AY80" i="30" a="1"/>
  <c r="AY80" i="30" s="1"/>
  <c r="BF80" i="30" a="1"/>
  <c r="BF80" i="30" s="1"/>
  <c r="BU80" i="30" a="1"/>
  <c r="BU80" i="30" s="1"/>
  <c r="AG80" i="30" a="1"/>
  <c r="AG80" i="30" s="1"/>
  <c r="AT80" i="30" a="1"/>
  <c r="AT80" i="30" s="1"/>
  <c r="BN80" i="30" a="1"/>
  <c r="BN80" i="30" s="1"/>
  <c r="AP80" i="30" a="1"/>
  <c r="AP80" i="30" s="1"/>
  <c r="BH80" i="30" a="1"/>
  <c r="BH80" i="30" s="1"/>
  <c r="AS80" i="30" a="1"/>
  <c r="AS80" i="30" s="1"/>
  <c r="AQ80" i="30" a="1"/>
  <c r="AQ80" i="30" s="1"/>
  <c r="AN80" i="30" a="1"/>
  <c r="AN80" i="30" s="1"/>
  <c r="AW80" i="30" a="1"/>
  <c r="AW80" i="30" s="1"/>
  <c r="BT80" i="30" a="1"/>
  <c r="BT80" i="30" s="1"/>
  <c r="BQ80" i="30" a="1"/>
  <c r="BQ80" i="30" s="1"/>
  <c r="BR80" i="30" a="1"/>
  <c r="BR80" i="30" s="1"/>
  <c r="AF77" i="30" a="1"/>
  <c r="AF77" i="30" s="1"/>
  <c r="BJ77" i="30" a="1"/>
  <c r="BJ77" i="30" s="1"/>
  <c r="BY77" i="30" a="1"/>
  <c r="BY77" i="30" s="1"/>
  <c r="BM77" i="30" a="1"/>
  <c r="BM77" i="30" s="1"/>
  <c r="AI77" i="30" a="1"/>
  <c r="AI77" i="30" s="1"/>
  <c r="AU77" i="30" a="1"/>
  <c r="AU77" i="30" s="1"/>
  <c r="BD77" i="30" a="1"/>
  <c r="BD77" i="30" s="1"/>
  <c r="AR77" i="30" a="1"/>
  <c r="AR77" i="30" s="1"/>
  <c r="AO77" i="30" a="1"/>
  <c r="AO77" i="30" s="1"/>
  <c r="BP77" i="30" a="1"/>
  <c r="BP77" i="30" s="1"/>
  <c r="BA77" i="30" a="1"/>
  <c r="BA77" i="30" s="1"/>
  <c r="BS77" i="30" a="1"/>
  <c r="BS77" i="30" s="1"/>
  <c r="CA77" i="30" a="1"/>
  <c r="CA77" i="30" s="1"/>
  <c r="AM77" i="30" a="1"/>
  <c r="AM77" i="30" s="1"/>
  <c r="BR77" i="30" a="1"/>
  <c r="BR77" i="30" s="1"/>
  <c r="AG77" i="30" a="1"/>
  <c r="AG77" i="30" s="1"/>
  <c r="AS77" i="30" a="1"/>
  <c r="AS77" i="30" s="1"/>
  <c r="BB77" i="30" a="1"/>
  <c r="BB77" i="30" s="1"/>
  <c r="BQ77" i="30" a="1"/>
  <c r="BQ77" i="30" s="1"/>
  <c r="BZ77" i="30" a="1"/>
  <c r="BZ77" i="30" s="1"/>
  <c r="BI77" i="30" a="1"/>
  <c r="BI77" i="30" s="1"/>
  <c r="AQ77" i="30" a="1"/>
  <c r="AQ77" i="30" s="1"/>
  <c r="BU77" i="30" a="1"/>
  <c r="BU77" i="30" s="1"/>
  <c r="BW77" i="30" a="1"/>
  <c r="BW77" i="30" s="1"/>
  <c r="AX77" i="30" a="1"/>
  <c r="AX77" i="30" s="1"/>
  <c r="AT77" i="30" a="1"/>
  <c r="AT77" i="30" s="1"/>
  <c r="BF77" i="30" a="1"/>
  <c r="BF77" i="30" s="1"/>
  <c r="AJ77" i="30" a="1"/>
  <c r="AJ77" i="30" s="1"/>
  <c r="AV77" i="30" a="1"/>
  <c r="AV77" i="30" s="1"/>
  <c r="BT77" i="30" a="1"/>
  <c r="BT77" i="30" s="1"/>
  <c r="AN77" i="30" a="1"/>
  <c r="AN77" i="30" s="1"/>
  <c r="AK77" i="30" a="1"/>
  <c r="AK77" i="30" s="1"/>
  <c r="BE77" i="30" a="1"/>
  <c r="BE77" i="30" s="1"/>
  <c r="AH77" i="30" a="1"/>
  <c r="AH77" i="30" s="1"/>
  <c r="BK77" i="30" a="1"/>
  <c r="BK77" i="30" s="1"/>
  <c r="BG77" i="30" a="1"/>
  <c r="BG77" i="30" s="1"/>
  <c r="BV77" i="30" a="1"/>
  <c r="BV77" i="30" s="1"/>
  <c r="AL77" i="30" a="1"/>
  <c r="AL77" i="30" s="1"/>
  <c r="BH77" i="30" a="1"/>
  <c r="BH77" i="30" s="1"/>
  <c r="BC77" i="30" a="1"/>
  <c r="BC77" i="30" s="1"/>
  <c r="BO77" i="30" a="1"/>
  <c r="BO77" i="30" s="1"/>
  <c r="AW77" i="30" a="1"/>
  <c r="AW77" i="30" s="1"/>
  <c r="BX77" i="30" a="1"/>
  <c r="BX77" i="30" s="1"/>
  <c r="AZ77" i="30" a="1"/>
  <c r="AZ77" i="30" s="1"/>
  <c r="BL77" i="30" a="1"/>
  <c r="BL77" i="30" s="1"/>
  <c r="BN77" i="30" a="1"/>
  <c r="BN77" i="30" s="1"/>
  <c r="AY77" i="30" a="1"/>
  <c r="AY77" i="30" s="1"/>
  <c r="AP77" i="30" a="1"/>
  <c r="AP77" i="30" s="1"/>
  <c r="AX76" i="30" a="1"/>
  <c r="AX76" i="30" s="1"/>
  <c r="BJ76" i="30" a="1"/>
  <c r="BJ76" i="30" s="1"/>
  <c r="AR76" i="30" a="1"/>
  <c r="AR76" i="30" s="1"/>
  <c r="AU76" i="30" a="1"/>
  <c r="AU76" i="30" s="1"/>
  <c r="BM76" i="30" a="1"/>
  <c r="BM76" i="30" s="1"/>
  <c r="BP76" i="30" a="1"/>
  <c r="BP76" i="30" s="1"/>
  <c r="BD76" i="30" a="1"/>
  <c r="BD76" i="30" s="1"/>
  <c r="BY76" i="30" a="1"/>
  <c r="BY76" i="30" s="1"/>
  <c r="AO76" i="30" a="1"/>
  <c r="AO76" i="30" s="1"/>
  <c r="AG76" i="30" a="1"/>
  <c r="AG76" i="30" s="1"/>
  <c r="AQ76" i="30" a="1"/>
  <c r="AQ76" i="30" s="1"/>
  <c r="BK76" i="30" a="1"/>
  <c r="BK76" i="30" s="1"/>
  <c r="BF76" i="30" a="1"/>
  <c r="BF76" i="30" s="1"/>
  <c r="AN76" i="30" a="1"/>
  <c r="AN76" i="30" s="1"/>
  <c r="BB76" i="30" a="1"/>
  <c r="BB76" i="30" s="1"/>
  <c r="AM76" i="30" a="1"/>
  <c r="AM76" i="30" s="1"/>
  <c r="AT76" i="30" a="1"/>
  <c r="AT76" i="30" s="1"/>
  <c r="AK76" i="30" a="1"/>
  <c r="AK76" i="30" s="1"/>
  <c r="BI76" i="30" a="1"/>
  <c r="BI76" i="30" s="1"/>
  <c r="BX76" i="30" a="1"/>
  <c r="BX76" i="30" s="1"/>
  <c r="BH76" i="30" a="1"/>
  <c r="BH76" i="30" s="1"/>
  <c r="BV76" i="30" a="1"/>
  <c r="BV76" i="30" s="1"/>
  <c r="BS76" i="30" a="1"/>
  <c r="BS76" i="30" s="1"/>
  <c r="BC76" i="30" a="1"/>
  <c r="BC76" i="30" s="1"/>
  <c r="AY76" i="30" a="1"/>
  <c r="AY76" i="30" s="1"/>
  <c r="AZ76" i="30" a="1"/>
  <c r="AZ76" i="30" s="1"/>
  <c r="AP76" i="30" a="1"/>
  <c r="AP76" i="30" s="1"/>
  <c r="BN76" i="30" a="1"/>
  <c r="BN76" i="30" s="1"/>
  <c r="BQ76" i="30" a="1"/>
  <c r="BQ76" i="30" s="1"/>
  <c r="AS76" i="30" a="1"/>
  <c r="AS76" i="30" s="1"/>
  <c r="BL76" i="30" a="1"/>
  <c r="BL76" i="30" s="1"/>
  <c r="BZ76" i="30" a="1"/>
  <c r="BZ76" i="30" s="1"/>
  <c r="AW76" i="30" a="1"/>
  <c r="AW76" i="30" s="1"/>
  <c r="AL76" i="30" a="1"/>
  <c r="AL76" i="30" s="1"/>
  <c r="BA76" i="30" a="1"/>
  <c r="BA76" i="30" s="1"/>
  <c r="AF76" i="30" a="1"/>
  <c r="AF76" i="30" s="1"/>
  <c r="AI76" i="30" a="1"/>
  <c r="AI76" i="30" s="1"/>
  <c r="BG76" i="30" a="1"/>
  <c r="BG76" i="30" s="1"/>
  <c r="BO76" i="30" a="1"/>
  <c r="BO76" i="30" s="1"/>
  <c r="BT76" i="30" a="1"/>
  <c r="BT76" i="30" s="1"/>
  <c r="CA76" i="30" a="1"/>
  <c r="CA76" i="30" s="1"/>
  <c r="AV76" i="30" a="1"/>
  <c r="AV76" i="30" s="1"/>
  <c r="BE76" i="30" a="1"/>
  <c r="BE76" i="30" s="1"/>
  <c r="AH76" i="30" a="1"/>
  <c r="AH76" i="30" s="1"/>
  <c r="BR76" i="30" a="1"/>
  <c r="BR76" i="30" s="1"/>
  <c r="AJ76" i="30" a="1"/>
  <c r="AJ76" i="30" s="1"/>
  <c r="BW76" i="30" a="1"/>
  <c r="BW76" i="30" s="1"/>
  <c r="BU76" i="30" a="1"/>
  <c r="BU76" i="30" s="1"/>
  <c r="AI70" i="30" a="1"/>
  <c r="AI70" i="30" s="1"/>
  <c r="AL70" i="30" a="1"/>
  <c r="AL70" i="30" s="1"/>
  <c r="BS70" i="30" a="1"/>
  <c r="BS70" i="30" s="1"/>
  <c r="BG70" i="30" a="1"/>
  <c r="BG70" i="30" s="1"/>
  <c r="BY70" i="30" a="1"/>
  <c r="BY70" i="30" s="1"/>
  <c r="BJ70" i="30" a="1"/>
  <c r="BJ70" i="30" s="1"/>
  <c r="AO70" i="30" a="1"/>
  <c r="AO70" i="30" s="1"/>
  <c r="BM70" i="30" a="1"/>
  <c r="BM70" i="30" s="1"/>
  <c r="BA70" i="30" a="1"/>
  <c r="BA70" i="30" s="1"/>
  <c r="BV70" i="30" a="1"/>
  <c r="BV70" i="30" s="1"/>
  <c r="BP70" i="30" a="1"/>
  <c r="BP70" i="30" s="1"/>
  <c r="AF70" i="30" a="1"/>
  <c r="AF70" i="30" s="1"/>
  <c r="AX70" i="30" a="1"/>
  <c r="AX70" i="30" s="1"/>
  <c r="AU70" i="30" a="1"/>
  <c r="AU70" i="30" s="1"/>
  <c r="BD70" i="30" a="1"/>
  <c r="BD70" i="30" s="1"/>
  <c r="BL70" i="30" a="1"/>
  <c r="BL70" i="30" s="1"/>
  <c r="AW70" i="30" a="1"/>
  <c r="AW70" i="30" s="1"/>
  <c r="AK70" i="30" a="1"/>
  <c r="AK70" i="30" s="1"/>
  <c r="BB70" i="30" a="1"/>
  <c r="BB70" i="30" s="1"/>
  <c r="AV70" i="30" a="1"/>
  <c r="AV70" i="30" s="1"/>
  <c r="CA70" i="30" a="1"/>
  <c r="CA70" i="30" s="1"/>
  <c r="BU70" i="30" a="1"/>
  <c r="BU70" i="30" s="1"/>
  <c r="BW70" i="30" a="1"/>
  <c r="BW70" i="30" s="1"/>
  <c r="AQ70" i="30" a="1"/>
  <c r="AQ70" i="30" s="1"/>
  <c r="BZ70" i="30" a="1"/>
  <c r="BZ70" i="30" s="1"/>
  <c r="AG70" i="30" a="1"/>
  <c r="AG70" i="30" s="1"/>
  <c r="BO70" i="30" a="1"/>
  <c r="BO70" i="30" s="1"/>
  <c r="AM70" i="30" a="1"/>
  <c r="AM70" i="30" s="1"/>
  <c r="BC70" i="30" a="1"/>
  <c r="BC70" i="30" s="1"/>
  <c r="BI70" i="30" a="1"/>
  <c r="BI70" i="30" s="1"/>
  <c r="AY70" i="30" a="1"/>
  <c r="AY70" i="30" s="1"/>
  <c r="BR70" i="30" a="1"/>
  <c r="BR70" i="30" s="1"/>
  <c r="BQ70" i="30" a="1"/>
  <c r="BQ70" i="30" s="1"/>
  <c r="BN70" i="30" a="1"/>
  <c r="BN70" i="30" s="1"/>
  <c r="AT70" i="30" a="1"/>
  <c r="AT70" i="30" s="1"/>
  <c r="AN70" i="30" a="1"/>
  <c r="AN70" i="30" s="1"/>
  <c r="BX70" i="30" a="1"/>
  <c r="BX70" i="30" s="1"/>
  <c r="AP70" i="30" a="1"/>
  <c r="AP70" i="30" s="1"/>
  <c r="AH70" i="30" a="1"/>
  <c r="AH70" i="30" s="1"/>
  <c r="BE70" i="30" a="1"/>
  <c r="BE70" i="30" s="1"/>
  <c r="BT70" i="30" a="1"/>
  <c r="BT70" i="30" s="1"/>
  <c r="AR70" i="30" a="1"/>
  <c r="AR70" i="30" s="1"/>
  <c r="AS70" i="30" a="1"/>
  <c r="AS70" i="30" s="1"/>
  <c r="AJ70" i="30" a="1"/>
  <c r="AJ70" i="30" s="1"/>
  <c r="AZ70" i="30" a="1"/>
  <c r="AZ70" i="30" s="1"/>
  <c r="BF70" i="30" a="1"/>
  <c r="BF70" i="30" s="1"/>
  <c r="BH70" i="30" a="1"/>
  <c r="BH70" i="30" s="1"/>
  <c r="BK70" i="30" a="1"/>
  <c r="BK70" i="30" s="1"/>
  <c r="BP86" i="30"/>
  <c r="E69" i="30" a="1"/>
  <c r="E69" i="30" s="1"/>
  <c r="Z28" i="30"/>
  <c r="BS86" i="30"/>
  <c r="E72" i="30" a="1"/>
  <c r="E72" i="30" s="1"/>
  <c r="AC28" i="30"/>
  <c r="E78" i="30" a="1"/>
  <c r="E78" i="30" s="1"/>
  <c r="BY86" i="30"/>
  <c r="AC86" i="30" s="1"/>
  <c r="P76" i="30" l="1"/>
  <c r="T77" i="30"/>
  <c r="AB76" i="30"/>
  <c r="P71" i="30"/>
  <c r="Q70" i="30"/>
  <c r="X79" i="30"/>
  <c r="S76" i="30"/>
  <c r="U76" i="30"/>
  <c r="AA79" i="30"/>
  <c r="O80" i="30"/>
  <c r="AR72" i="30" a="1"/>
  <c r="AR72" i="30" s="1"/>
  <c r="BY72" i="30" a="1"/>
  <c r="BY72" i="30" s="1"/>
  <c r="BS72" i="30" a="1"/>
  <c r="BS72" i="30" s="1"/>
  <c r="BP72" i="30" a="1"/>
  <c r="BP72" i="30" s="1"/>
  <c r="BM72" i="30" a="1"/>
  <c r="BM72" i="30" s="1"/>
  <c r="AO72" i="30" a="1"/>
  <c r="AO72" i="30" s="1"/>
  <c r="AX72" i="30" a="1"/>
  <c r="AX72" i="30" s="1"/>
  <c r="AL72" i="30" a="1"/>
  <c r="AL72" i="30" s="1"/>
  <c r="BV72" i="30" a="1"/>
  <c r="BV72" i="30" s="1"/>
  <c r="BG72" i="30" a="1"/>
  <c r="BG72" i="30" s="1"/>
  <c r="AI72" i="30" a="1"/>
  <c r="AI72" i="30" s="1"/>
  <c r="BJ72" i="30" a="1"/>
  <c r="BJ72" i="30" s="1"/>
  <c r="AU72" i="30" a="1"/>
  <c r="AU72" i="30" s="1"/>
  <c r="AF72" i="30" a="1"/>
  <c r="AF72" i="30" s="1"/>
  <c r="AJ72" i="30" a="1"/>
  <c r="AJ72" i="30" s="1"/>
  <c r="BL72" i="30" a="1"/>
  <c r="BL72" i="30" s="1"/>
  <c r="BD72" i="30" a="1"/>
  <c r="BD72" i="30" s="1"/>
  <c r="BB72" i="30" a="1"/>
  <c r="BB72" i="30" s="1"/>
  <c r="BC72" i="30" a="1"/>
  <c r="BC72" i="30" s="1"/>
  <c r="CA72" i="30" a="1"/>
  <c r="CA72" i="30" s="1"/>
  <c r="AM72" i="30" a="1"/>
  <c r="AM72" i="30" s="1"/>
  <c r="BX72" i="30" a="1"/>
  <c r="BX72" i="30" s="1"/>
  <c r="AP72" i="30" a="1"/>
  <c r="AP72" i="30" s="1"/>
  <c r="AV72" i="30" a="1"/>
  <c r="AV72" i="30" s="1"/>
  <c r="AK72" i="30" a="1"/>
  <c r="AK72" i="30" s="1"/>
  <c r="BT72" i="30" a="1"/>
  <c r="BT72" i="30" s="1"/>
  <c r="BF72" i="30" a="1"/>
  <c r="BF72" i="30" s="1"/>
  <c r="BE72" i="30" a="1"/>
  <c r="BE72" i="30" s="1"/>
  <c r="BK72" i="30" a="1"/>
  <c r="BK72" i="30" s="1"/>
  <c r="BI72" i="30" a="1"/>
  <c r="BI72" i="30" s="1"/>
  <c r="BQ72" i="30" a="1"/>
  <c r="BQ72" i="30" s="1"/>
  <c r="AW72" i="30" a="1"/>
  <c r="AW72" i="30" s="1"/>
  <c r="AS72" i="30" a="1"/>
  <c r="AS72" i="30" s="1"/>
  <c r="AT72" i="30" a="1"/>
  <c r="AT72" i="30" s="1"/>
  <c r="BW72" i="30" a="1"/>
  <c r="BW72" i="30" s="1"/>
  <c r="AZ72" i="30" a="1"/>
  <c r="AZ72" i="30" s="1"/>
  <c r="AG72" i="30" a="1"/>
  <c r="AG72" i="30" s="1"/>
  <c r="BU72" i="30" a="1"/>
  <c r="BU72" i="30" s="1"/>
  <c r="AH72" i="30" a="1"/>
  <c r="AH72" i="30" s="1"/>
  <c r="BO72" i="30" a="1"/>
  <c r="BO72" i="30" s="1"/>
  <c r="AY72" i="30" a="1"/>
  <c r="AY72" i="30" s="1"/>
  <c r="AQ72" i="30" a="1"/>
  <c r="AQ72" i="30" s="1"/>
  <c r="BR72" i="30" a="1"/>
  <c r="BR72" i="30" s="1"/>
  <c r="BN72" i="30" a="1"/>
  <c r="BN72" i="30" s="1"/>
  <c r="BH72" i="30" a="1"/>
  <c r="BH72" i="30" s="1"/>
  <c r="AN72" i="30" a="1"/>
  <c r="AN72" i="30" s="1"/>
  <c r="BZ72" i="30" a="1"/>
  <c r="BZ72" i="30" s="1"/>
  <c r="BA72" i="30" a="1"/>
  <c r="BA72" i="30" s="1"/>
  <c r="Z86" i="30"/>
  <c r="T70" i="30"/>
  <c r="W70" i="30"/>
  <c r="O70" i="30"/>
  <c r="O76" i="30"/>
  <c r="J76" i="30"/>
  <c r="V76" i="30"/>
  <c r="T76" i="30"/>
  <c r="AB77" i="30"/>
  <c r="Z77" i="30"/>
  <c r="K77" i="30"/>
  <c r="J77" i="30"/>
  <c r="V77" i="30"/>
  <c r="Y77" i="30"/>
  <c r="H77" i="30"/>
  <c r="N77" i="30"/>
  <c r="V80" i="30"/>
  <c r="J80" i="30"/>
  <c r="X80" i="30"/>
  <c r="R80" i="30"/>
  <c r="I80" i="30"/>
  <c r="W80" i="30"/>
  <c r="S80" i="30"/>
  <c r="V79" i="30"/>
  <c r="J79" i="30"/>
  <c r="I79" i="30"/>
  <c r="R79" i="30"/>
  <c r="AC79" i="30"/>
  <c r="Q79" i="30"/>
  <c r="W79" i="30"/>
  <c r="AC71" i="30"/>
  <c r="O71" i="30"/>
  <c r="S71" i="30"/>
  <c r="W71" i="30"/>
  <c r="T71" i="30"/>
  <c r="AB70" i="30"/>
  <c r="AX78" i="30" a="1"/>
  <c r="AX78" i="30" s="1"/>
  <c r="BY78" i="30" a="1"/>
  <c r="BY78" i="30" s="1"/>
  <c r="BG78" i="30" a="1"/>
  <c r="BG78" i="30" s="1"/>
  <c r="BS78" i="30" a="1"/>
  <c r="BS78" i="30" s="1"/>
  <c r="BM78" i="30" a="1"/>
  <c r="BM78" i="30" s="1"/>
  <c r="AF78" i="30" a="1"/>
  <c r="AF78" i="30" s="1"/>
  <c r="BP78" i="30" a="1"/>
  <c r="BP78" i="30" s="1"/>
  <c r="BD78" i="30" a="1"/>
  <c r="BD78" i="30" s="1"/>
  <c r="AO78" i="30" a="1"/>
  <c r="AO78" i="30" s="1"/>
  <c r="BA78" i="30" a="1"/>
  <c r="BA78" i="30" s="1"/>
  <c r="AI78" i="30" a="1"/>
  <c r="AI78" i="30" s="1"/>
  <c r="AT78" i="30" a="1"/>
  <c r="AT78" i="30" s="1"/>
  <c r="AJ78" i="30" a="1"/>
  <c r="AJ78" i="30" s="1"/>
  <c r="BL78" i="30" a="1"/>
  <c r="BL78" i="30" s="1"/>
  <c r="AQ78" i="30" a="1"/>
  <c r="AQ78" i="30" s="1"/>
  <c r="AV78" i="30" a="1"/>
  <c r="AV78" i="30" s="1"/>
  <c r="BI78" i="30" a="1"/>
  <c r="BI78" i="30" s="1"/>
  <c r="AZ78" i="30" a="1"/>
  <c r="AZ78" i="30" s="1"/>
  <c r="BX78" i="30" a="1"/>
  <c r="BX78" i="30" s="1"/>
  <c r="BF78" i="30" a="1"/>
  <c r="BF78" i="30" s="1"/>
  <c r="BB78" i="30" a="1"/>
  <c r="BB78" i="30" s="1"/>
  <c r="AR78" i="30" a="1"/>
  <c r="AR78" i="30" s="1"/>
  <c r="BV78" i="30" a="1"/>
  <c r="BV78" i="30" s="1"/>
  <c r="BJ78" i="30" a="1"/>
  <c r="BJ78" i="30" s="1"/>
  <c r="AL78" i="30" a="1"/>
  <c r="AL78" i="30" s="1"/>
  <c r="AN78" i="30" a="1"/>
  <c r="AN78" i="30" s="1"/>
  <c r="BQ78" i="30" a="1"/>
  <c r="BQ78" i="30" s="1"/>
  <c r="AH78" i="30" a="1"/>
  <c r="AH78" i="30" s="1"/>
  <c r="AW78" i="30" a="1"/>
  <c r="AW78" i="30" s="1"/>
  <c r="AK78" i="30" a="1"/>
  <c r="AK78" i="30" s="1"/>
  <c r="BT78" i="30" a="1"/>
  <c r="BT78" i="30" s="1"/>
  <c r="BN78" i="30" a="1"/>
  <c r="BN78" i="30" s="1"/>
  <c r="BK78" i="30" a="1"/>
  <c r="BK78" i="30" s="1"/>
  <c r="BE78" i="30" a="1"/>
  <c r="BE78" i="30" s="1"/>
  <c r="BC78" i="30" a="1"/>
  <c r="BC78" i="30" s="1"/>
  <c r="AU78" i="30" a="1"/>
  <c r="AU78" i="30" s="1"/>
  <c r="BU78" i="30" a="1"/>
  <c r="BU78" i="30" s="1"/>
  <c r="BO78" i="30" a="1"/>
  <c r="BO78" i="30" s="1"/>
  <c r="AY78" i="30" a="1"/>
  <c r="AY78" i="30" s="1"/>
  <c r="AS78" i="30" a="1"/>
  <c r="AS78" i="30" s="1"/>
  <c r="AM78" i="30" a="1"/>
  <c r="AM78" i="30" s="1"/>
  <c r="BR78" i="30" a="1"/>
  <c r="BR78" i="30" s="1"/>
  <c r="AP78" i="30" a="1"/>
  <c r="AP78" i="30" s="1"/>
  <c r="CA78" i="30" a="1"/>
  <c r="CA78" i="30" s="1"/>
  <c r="BZ78" i="30" a="1"/>
  <c r="BZ78" i="30" s="1"/>
  <c r="AG78" i="30" a="1"/>
  <c r="AG78" i="30" s="1"/>
  <c r="BH78" i="30" a="1"/>
  <c r="BH78" i="30" s="1"/>
  <c r="BW78" i="30" a="1"/>
  <c r="BW78" i="30" s="1"/>
  <c r="I70" i="30"/>
  <c r="R70" i="30"/>
  <c r="J70" i="30"/>
  <c r="V70" i="30"/>
  <c r="N70" i="30"/>
  <c r="H70" i="30"/>
  <c r="U70" i="30"/>
  <c r="X70" i="30"/>
  <c r="AA70" i="30"/>
  <c r="N76" i="30"/>
  <c r="H76" i="30"/>
  <c r="Q76" i="30"/>
  <c r="K76" i="30"/>
  <c r="Z76" i="30"/>
  <c r="R76" i="30"/>
  <c r="I76" i="30"/>
  <c r="W77" i="30"/>
  <c r="AA77" i="30"/>
  <c r="Q77" i="30"/>
  <c r="S77" i="30"/>
  <c r="AC77" i="30"/>
  <c r="T80" i="30"/>
  <c r="Y80" i="30"/>
  <c r="AB80" i="30"/>
  <c r="Q80" i="30"/>
  <c r="AA80" i="30"/>
  <c r="AF75" i="30" a="1"/>
  <c r="AF75" i="30" s="1"/>
  <c r="BP75" i="30" a="1"/>
  <c r="BP75" i="30" s="1"/>
  <c r="BD75" i="30" a="1"/>
  <c r="BD75" i="30" s="1"/>
  <c r="AU75" i="30" a="1"/>
  <c r="AU75" i="30" s="1"/>
  <c r="AO75" i="30" a="1"/>
  <c r="AO75" i="30" s="1"/>
  <c r="BM75" i="30" a="1"/>
  <c r="BM75" i="30" s="1"/>
  <c r="BS75" i="30" a="1"/>
  <c r="BS75" i="30" s="1"/>
  <c r="AX75" i="30" a="1"/>
  <c r="AX75" i="30" s="1"/>
  <c r="AR75" i="30" a="1"/>
  <c r="AR75" i="30" s="1"/>
  <c r="BJ75" i="30" a="1"/>
  <c r="BJ75" i="30" s="1"/>
  <c r="AI75" i="30" a="1"/>
  <c r="AI75" i="30" s="1"/>
  <c r="AZ75" i="30" a="1"/>
  <c r="AZ75" i="30" s="1"/>
  <c r="BX75" i="30" a="1"/>
  <c r="BX75" i="30" s="1"/>
  <c r="BO75" i="30" a="1"/>
  <c r="BO75" i="30" s="1"/>
  <c r="AY75" i="30" a="1"/>
  <c r="AY75" i="30" s="1"/>
  <c r="BR75" i="30" a="1"/>
  <c r="BR75" i="30" s="1"/>
  <c r="AT75" i="30" a="1"/>
  <c r="AT75" i="30" s="1"/>
  <c r="BH75" i="30" a="1"/>
  <c r="BH75" i="30" s="1"/>
  <c r="BF75" i="30" a="1"/>
  <c r="BF75" i="30" s="1"/>
  <c r="BZ75" i="30" a="1"/>
  <c r="BZ75" i="30" s="1"/>
  <c r="AP75" i="30" a="1"/>
  <c r="AP75" i="30" s="1"/>
  <c r="AL75" i="30" a="1"/>
  <c r="AL75" i="30" s="1"/>
  <c r="CA75" i="30" a="1"/>
  <c r="CA75" i="30" s="1"/>
  <c r="AK75" i="30" a="1"/>
  <c r="AK75" i="30" s="1"/>
  <c r="BK75" i="30" a="1"/>
  <c r="BK75" i="30" s="1"/>
  <c r="AW75" i="30" a="1"/>
  <c r="AW75" i="30" s="1"/>
  <c r="BI75" i="30" a="1"/>
  <c r="BI75" i="30" s="1"/>
  <c r="AV75" i="30" a="1"/>
  <c r="AV75" i="30" s="1"/>
  <c r="BU75" i="30" a="1"/>
  <c r="BU75" i="30" s="1"/>
  <c r="BE75" i="30" a="1"/>
  <c r="BE75" i="30" s="1"/>
  <c r="AJ75" i="30" a="1"/>
  <c r="AJ75" i="30" s="1"/>
  <c r="BQ75" i="30" a="1"/>
  <c r="BQ75" i="30" s="1"/>
  <c r="BV75" i="30" a="1"/>
  <c r="BV75" i="30" s="1"/>
  <c r="BA75" i="30" a="1"/>
  <c r="BA75" i="30" s="1"/>
  <c r="BY75" i="30" a="1"/>
  <c r="BY75" i="30" s="1"/>
  <c r="AN75" i="30" a="1"/>
  <c r="AN75" i="30" s="1"/>
  <c r="AQ75" i="30" a="1"/>
  <c r="AQ75" i="30" s="1"/>
  <c r="BL75" i="30" a="1"/>
  <c r="BL75" i="30" s="1"/>
  <c r="BC75" i="30" a="1"/>
  <c r="BC75" i="30" s="1"/>
  <c r="AG75" i="30" a="1"/>
  <c r="AG75" i="30" s="1"/>
  <c r="AM75" i="30" a="1"/>
  <c r="AM75" i="30" s="1"/>
  <c r="AH75" i="30" a="1"/>
  <c r="AH75" i="30" s="1"/>
  <c r="BT75" i="30" a="1"/>
  <c r="BT75" i="30" s="1"/>
  <c r="BW75" i="30" a="1"/>
  <c r="BW75" i="30" s="1"/>
  <c r="AS75" i="30" a="1"/>
  <c r="AS75" i="30" s="1"/>
  <c r="BB75" i="30" a="1"/>
  <c r="BB75" i="30" s="1"/>
  <c r="BN75" i="30" a="1"/>
  <c r="BN75" i="30" s="1"/>
  <c r="BG75" i="30" a="1"/>
  <c r="BG75" i="30" s="1"/>
  <c r="Z79" i="30"/>
  <c r="K79" i="30"/>
  <c r="T79" i="30"/>
  <c r="Y79" i="30"/>
  <c r="N79" i="30"/>
  <c r="H79" i="30"/>
  <c r="O79" i="30"/>
  <c r="N71" i="30"/>
  <c r="H71" i="30"/>
  <c r="V71" i="30"/>
  <c r="J71" i="30"/>
  <c r="K71" i="30"/>
  <c r="Z71" i="30"/>
  <c r="R71" i="30"/>
  <c r="I71" i="30"/>
  <c r="AB71" i="30"/>
  <c r="AX69" i="30" a="1"/>
  <c r="AX69" i="30" s="1"/>
  <c r="BA69" i="30" a="1"/>
  <c r="BA69" i="30" s="1"/>
  <c r="BG69" i="30" a="1"/>
  <c r="BG69" i="30" s="1"/>
  <c r="BY69" i="30" a="1"/>
  <c r="BY69" i="30" s="1"/>
  <c r="AR69" i="30" a="1"/>
  <c r="AR69" i="30" s="1"/>
  <c r="BP69" i="30" a="1"/>
  <c r="BP69" i="30" s="1"/>
  <c r="BJ69" i="30" a="1"/>
  <c r="BJ69" i="30" s="1"/>
  <c r="BV69" i="30" a="1"/>
  <c r="BV69" i="30" s="1"/>
  <c r="AI69" i="30" a="1"/>
  <c r="AI69" i="30" s="1"/>
  <c r="BS69" i="30" a="1"/>
  <c r="BS69" i="30" s="1"/>
  <c r="AL69" i="30" a="1"/>
  <c r="AL69" i="30" s="1"/>
  <c r="AF69" i="30" a="1"/>
  <c r="AF69" i="30" s="1"/>
  <c r="BM69" i="30" a="1"/>
  <c r="BM69" i="30" s="1"/>
  <c r="BQ69" i="30" a="1"/>
  <c r="BQ69" i="30" s="1"/>
  <c r="BB69" i="30" a="1"/>
  <c r="BB69" i="30" s="1"/>
  <c r="AV69" i="30" a="1"/>
  <c r="AV69" i="30" s="1"/>
  <c r="AT69" i="30" a="1"/>
  <c r="AT69" i="30" s="1"/>
  <c r="BH69" i="30" a="1"/>
  <c r="BH69" i="30" s="1"/>
  <c r="BT69" i="30" a="1"/>
  <c r="BT69" i="30" s="1"/>
  <c r="BZ69" i="30" a="1"/>
  <c r="BZ69" i="30" s="1"/>
  <c r="AK69" i="30" a="1"/>
  <c r="AK69" i="30" s="1"/>
  <c r="AZ69" i="30" a="1"/>
  <c r="AZ69" i="30" s="1"/>
  <c r="AP69" i="30" a="1"/>
  <c r="AP69" i="30" s="1"/>
  <c r="BE69" i="30" a="1"/>
  <c r="BE69" i="30" s="1"/>
  <c r="BR69" i="30" a="1"/>
  <c r="BR69" i="30" s="1"/>
  <c r="BX69" i="30" a="1"/>
  <c r="BX69" i="30" s="1"/>
  <c r="BN69" i="30" a="1"/>
  <c r="BN69" i="30" s="1"/>
  <c r="AJ69" i="30" a="1"/>
  <c r="AJ69" i="30" s="1"/>
  <c r="AN69" i="30" a="1"/>
  <c r="AN69" i="30" s="1"/>
  <c r="AW69" i="30" a="1"/>
  <c r="AW69" i="30" s="1"/>
  <c r="BL69" i="30" a="1"/>
  <c r="BL69" i="30" s="1"/>
  <c r="BO69" i="30" a="1"/>
  <c r="BO69" i="30" s="1"/>
  <c r="BK69" i="30" a="1"/>
  <c r="BK69" i="30" s="1"/>
  <c r="BU69" i="30" a="1"/>
  <c r="BU69" i="30" s="1"/>
  <c r="AH69" i="30" a="1"/>
  <c r="AH69" i="30" s="1"/>
  <c r="AU69" i="30" a="1"/>
  <c r="AU69" i="30" s="1"/>
  <c r="AQ69" i="30" a="1"/>
  <c r="AQ69" i="30" s="1"/>
  <c r="BW69" i="30" a="1"/>
  <c r="BW69" i="30" s="1"/>
  <c r="AM69" i="30" a="1"/>
  <c r="AM69" i="30" s="1"/>
  <c r="BF69" i="30" a="1"/>
  <c r="BF69" i="30" s="1"/>
  <c r="AS69" i="30" a="1"/>
  <c r="AS69" i="30" s="1"/>
  <c r="BC69" i="30" a="1"/>
  <c r="BC69" i="30" s="1"/>
  <c r="AO69" i="30" a="1"/>
  <c r="AO69" i="30" s="1"/>
  <c r="BD69" i="30" a="1"/>
  <c r="BD69" i="30" s="1"/>
  <c r="AG69" i="30" a="1"/>
  <c r="AG69" i="30" s="1"/>
  <c r="BI69" i="30" a="1"/>
  <c r="BI69" i="30" s="1"/>
  <c r="AY69" i="30" a="1"/>
  <c r="AY69" i="30" s="1"/>
  <c r="CA69" i="30" a="1"/>
  <c r="CA69" i="30" s="1"/>
  <c r="S70" i="30"/>
  <c r="Z70" i="30"/>
  <c r="K70" i="30"/>
  <c r="Y70" i="30"/>
  <c r="AC70" i="30"/>
  <c r="P70" i="30"/>
  <c r="W76" i="30"/>
  <c r="AA76" i="30"/>
  <c r="AC76" i="30"/>
  <c r="Y76" i="30"/>
  <c r="X76" i="30"/>
  <c r="P77" i="30"/>
  <c r="U77" i="30"/>
  <c r="I77" i="30"/>
  <c r="R77" i="30"/>
  <c r="O77" i="30"/>
  <c r="X77" i="30"/>
  <c r="P80" i="30"/>
  <c r="Z80" i="30"/>
  <c r="K80" i="30"/>
  <c r="U80" i="30"/>
  <c r="H80" i="30"/>
  <c r="N80" i="30"/>
  <c r="AC80" i="30"/>
  <c r="AB79" i="30"/>
  <c r="S79" i="30"/>
  <c r="P79" i="30"/>
  <c r="U79" i="30"/>
  <c r="Y71" i="30"/>
  <c r="U71" i="30"/>
  <c r="Q71" i="30"/>
  <c r="AA71" i="30"/>
  <c r="X71" i="30"/>
  <c r="U72" i="30" l="1"/>
  <c r="Q69" i="30"/>
  <c r="O75" i="30"/>
  <c r="T75" i="30"/>
  <c r="AC75" i="30"/>
  <c r="O78" i="30"/>
  <c r="W75" i="30"/>
  <c r="Y69" i="30"/>
  <c r="AB78" i="30"/>
  <c r="AA69" i="30"/>
  <c r="X69" i="30"/>
  <c r="AC69" i="30"/>
  <c r="T69" i="30"/>
  <c r="Q75" i="30"/>
  <c r="K75" i="30"/>
  <c r="Z75" i="30"/>
  <c r="J78" i="30"/>
  <c r="V78" i="30"/>
  <c r="Y78" i="30"/>
  <c r="AC78" i="30"/>
  <c r="X72" i="30"/>
  <c r="AB72" i="30"/>
  <c r="Q72" i="30"/>
  <c r="AA72" i="30"/>
  <c r="S69" i="30"/>
  <c r="N69" i="30"/>
  <c r="H69" i="30"/>
  <c r="O69" i="30"/>
  <c r="Z69" i="30"/>
  <c r="K69" i="30"/>
  <c r="W69" i="30"/>
  <c r="U75" i="30"/>
  <c r="P75" i="30"/>
  <c r="X75" i="30"/>
  <c r="AA75" i="30"/>
  <c r="S75" i="30"/>
  <c r="N75" i="30"/>
  <c r="H75" i="30"/>
  <c r="P78" i="30"/>
  <c r="I78" i="30"/>
  <c r="R78" i="30"/>
  <c r="U78" i="30"/>
  <c r="K78" i="30"/>
  <c r="Z78" i="30"/>
  <c r="AA78" i="30"/>
  <c r="T78" i="30"/>
  <c r="V72" i="30"/>
  <c r="J72" i="30"/>
  <c r="N72" i="30"/>
  <c r="H72" i="30"/>
  <c r="O72" i="30"/>
  <c r="P72" i="30"/>
  <c r="Y72" i="30"/>
  <c r="AC72" i="30"/>
  <c r="J69" i="30"/>
  <c r="V69" i="30"/>
  <c r="P69" i="30"/>
  <c r="AB69" i="30"/>
  <c r="I69" i="30"/>
  <c r="R69" i="30"/>
  <c r="U69" i="30"/>
  <c r="AB75" i="30"/>
  <c r="I75" i="30"/>
  <c r="R75" i="30"/>
  <c r="Y75" i="30"/>
  <c r="V75" i="30"/>
  <c r="J75" i="30"/>
  <c r="S78" i="30"/>
  <c r="X78" i="30"/>
  <c r="Q78" i="30"/>
  <c r="H78" i="30"/>
  <c r="N78" i="30"/>
  <c r="W78" i="30"/>
  <c r="S72" i="30"/>
  <c r="W72" i="30"/>
  <c r="T72" i="30"/>
  <c r="Z72" i="30"/>
  <c r="K72" i="30"/>
  <c r="R72" i="30"/>
  <c r="I72" i="30"/>
  <c r="BA15" i="13" l="1" a="1"/>
  <c r="BA15" i="13" s="1"/>
  <c r="BA149" i="13" s="1"/>
  <c r="AI20" i="12"/>
  <c r="AI16" i="12" s="1"/>
  <c r="AI23" i="12" s="1"/>
  <c r="R20" i="12"/>
  <c r="R16" i="12" s="1"/>
  <c r="R23" i="12" s="1"/>
  <c r="CC16" i="12"/>
  <c r="CC23" i="12" s="1"/>
  <c r="BX16" i="12"/>
  <c r="BX23" i="12" s="1"/>
  <c r="AG20" i="12"/>
  <c r="AG16" i="12" s="1"/>
  <c r="AG23" i="12" s="1"/>
  <c r="AG24" i="12" s="1"/>
  <c r="S20" i="12"/>
  <c r="S16" i="12" s="1"/>
  <c r="S23" i="12" s="1"/>
  <c r="BB15" i="13" a="1"/>
  <c r="BB15" i="13" s="1"/>
  <c r="BB149" i="13" s="1"/>
  <c r="BB44" i="13"/>
  <c r="BU90" i="30" s="1"/>
  <c r="BU28" i="30" s="1"/>
  <c r="BU86" i="30" s="1"/>
  <c r="CD16" i="12"/>
  <c r="CD23" i="12" s="1"/>
  <c r="CD54" i="12" s="1"/>
  <c r="CD68" i="12" s="1"/>
  <c r="BA44" i="13"/>
  <c r="BT90" i="30" s="1"/>
  <c r="BT28" i="30" s="1"/>
  <c r="AV44" i="13"/>
  <c r="AV15" i="13" a="1"/>
  <c r="AV15" i="13" s="1"/>
  <c r="AD18" i="7" l="1" a="1"/>
  <c r="AD18" i="7" s="1"/>
  <c r="AD20" i="7" a="1"/>
  <c r="AD20" i="7" s="1"/>
  <c r="AD19" i="7" a="1"/>
  <c r="AD19" i="7" s="1"/>
  <c r="AD16" i="7" a="1"/>
  <c r="AD16" i="7" s="1"/>
  <c r="AD17" i="7" a="1"/>
  <c r="AD17" i="7" s="1"/>
  <c r="I21" i="33" a="1"/>
  <c r="I21" i="33" s="1"/>
  <c r="I20" i="33" s="1"/>
  <c r="I100" i="33" s="1" a="1"/>
  <c r="I100" i="33" s="1"/>
  <c r="M21" i="33" a="1"/>
  <c r="M21" i="33" s="1"/>
  <c r="M20" i="33" s="1"/>
  <c r="M100" i="33" s="1" a="1"/>
  <c r="M100" i="33" s="1"/>
  <c r="BO90" i="30"/>
  <c r="BO28" i="30" s="1"/>
  <c r="E68" i="30" s="1" a="1"/>
  <c r="E68" i="30" s="1"/>
  <c r="G21" i="33" a="1"/>
  <c r="G21" i="33" s="1"/>
  <c r="AA28" i="30"/>
  <c r="BT86" i="30"/>
  <c r="K86" i="30" s="1"/>
  <c r="BX54" i="12"/>
  <c r="BX68" i="12" s="1"/>
  <c r="BX24" i="12"/>
  <c r="BO86" i="30"/>
  <c r="W17" i="9" a="1"/>
  <c r="W17" i="9" s="1"/>
  <c r="W19" i="9" s="1"/>
  <c r="AW17" i="9" a="1"/>
  <c r="AW17" i="9" s="1"/>
  <c r="AW19" i="9" s="1"/>
  <c r="AP17" i="9" a="1"/>
  <c r="AP17" i="9" s="1"/>
  <c r="AP19" i="9" s="1"/>
  <c r="BY17" i="9" a="1"/>
  <c r="BY17" i="9" s="1"/>
  <c r="BY19" i="9" s="1"/>
  <c r="R17" i="9" a="1"/>
  <c r="R17" i="9" s="1"/>
  <c r="R19" i="9" s="1"/>
  <c r="AI17" i="9" a="1"/>
  <c r="AI17" i="9" s="1"/>
  <c r="AI19" i="9" s="1"/>
  <c r="V17" i="9" a="1"/>
  <c r="V17" i="9" s="1"/>
  <c r="V19" i="9" s="1"/>
  <c r="S17" i="9" a="1"/>
  <c r="S17" i="9" s="1"/>
  <c r="S19" i="9" s="1"/>
  <c r="BW17" i="9" a="1"/>
  <c r="BW17" i="9" s="1"/>
  <c r="BW19" i="9" s="1"/>
  <c r="BL17" i="9" a="1"/>
  <c r="BL17" i="9" s="1"/>
  <c r="BL19" i="9" s="1"/>
  <c r="F17" i="9" a="1"/>
  <c r="F17" i="9" s="1"/>
  <c r="F19" i="9" s="1"/>
  <c r="BX17" i="9" a="1"/>
  <c r="BX17" i="9" s="1"/>
  <c r="BX19" i="9" s="1"/>
  <c r="BI17" i="9" a="1"/>
  <c r="BI17" i="9" s="1"/>
  <c r="BI19" i="9" s="1"/>
  <c r="BN17" i="9" a="1"/>
  <c r="BN17" i="9" s="1"/>
  <c r="BN19" i="9" s="1"/>
  <c r="BJ17" i="9" a="1"/>
  <c r="BJ17" i="9" s="1"/>
  <c r="BJ19" i="9" s="1"/>
  <c r="AS17" i="9" a="1"/>
  <c r="AS17" i="9" s="1"/>
  <c r="AS19" i="9" s="1"/>
  <c r="BQ17" i="9" a="1"/>
  <c r="BQ17" i="9" s="1"/>
  <c r="BQ19" i="9" s="1"/>
  <c r="BC17" i="9" a="1"/>
  <c r="BC17" i="9" s="1"/>
  <c r="BC19" i="9" s="1"/>
  <c r="BO17" i="9" a="1"/>
  <c r="BO17" i="9" s="1"/>
  <c r="BO19" i="9" s="1"/>
  <c r="AO17" i="9" a="1"/>
  <c r="AO17" i="9" s="1"/>
  <c r="AO19" i="9" s="1"/>
  <c r="AV17" i="9" a="1"/>
  <c r="AV17" i="9" s="1"/>
  <c r="AV19" i="9" s="1"/>
  <c r="BV17" i="9" a="1"/>
  <c r="BV17" i="9" s="1"/>
  <c r="BV19" i="9" s="1"/>
  <c r="AU17" i="9" a="1"/>
  <c r="AU17" i="9" s="1"/>
  <c r="AU19" i="9" s="1"/>
  <c r="AZ17" i="9" a="1"/>
  <c r="AZ17" i="9" s="1"/>
  <c r="AZ19" i="9" s="1"/>
  <c r="AN17" i="9" a="1"/>
  <c r="AN17" i="9" s="1"/>
  <c r="AN19" i="9" s="1"/>
  <c r="Q17" i="9" a="1"/>
  <c r="Q17" i="9" s="1"/>
  <c r="Q19" i="9" s="1"/>
  <c r="BA17" i="9" a="1"/>
  <c r="BA17" i="9" s="1"/>
  <c r="BA19" i="9" s="1"/>
  <c r="AR17" i="9" a="1"/>
  <c r="AR17" i="9" s="1"/>
  <c r="AR19" i="9" s="1"/>
  <c r="BS17" i="9" a="1"/>
  <c r="BS17" i="9" s="1"/>
  <c r="BS19" i="9" s="1"/>
  <c r="H17" i="9" a="1"/>
  <c r="H17" i="9" s="1"/>
  <c r="H19" i="9" s="1"/>
  <c r="Y17" i="9" a="1"/>
  <c r="Y17" i="9" s="1"/>
  <c r="Y19" i="9" s="1"/>
  <c r="BR17" i="9" a="1"/>
  <c r="BR17" i="9" s="1"/>
  <c r="BR19" i="9" s="1"/>
  <c r="AA17" i="9" a="1"/>
  <c r="AA17" i="9" s="1"/>
  <c r="AA19" i="9" s="1"/>
  <c r="Z17" i="9" a="1"/>
  <c r="Z17" i="9" s="1"/>
  <c r="Z19" i="9" s="1"/>
  <c r="BG17" i="9" a="1"/>
  <c r="BG17" i="9" s="1"/>
  <c r="BG19" i="9" s="1"/>
  <c r="O17" i="9" a="1"/>
  <c r="O17" i="9" s="1"/>
  <c r="O19" i="9" s="1"/>
  <c r="AD17" i="9" a="1"/>
  <c r="AD17" i="9" s="1"/>
  <c r="AD19" i="9" s="1"/>
  <c r="L17" i="9" a="1"/>
  <c r="L17" i="9" s="1"/>
  <c r="L19" i="9" s="1"/>
  <c r="AJ17" i="9" a="1"/>
  <c r="AJ17" i="9" s="1"/>
  <c r="AJ19" i="9" s="1"/>
  <c r="P17" i="9" a="1"/>
  <c r="P17" i="9" s="1"/>
  <c r="P19" i="9" s="1"/>
  <c r="BP17" i="9" a="1"/>
  <c r="BP17" i="9" s="1"/>
  <c r="BP19" i="9" s="1"/>
  <c r="BF17" i="9" a="1"/>
  <c r="BF17" i="9" s="1"/>
  <c r="BF19" i="9" s="1"/>
  <c r="BB17" i="9" a="1"/>
  <c r="BB17" i="9" s="1"/>
  <c r="BB19" i="9" s="1"/>
  <c r="K10" i="11" a="1"/>
  <c r="K10" i="11" s="1"/>
  <c r="AF17" i="9" a="1"/>
  <c r="AF17" i="9" s="1"/>
  <c r="AF19" i="9" s="1"/>
  <c r="BK17" i="9" a="1"/>
  <c r="BK17" i="9" s="1"/>
  <c r="BK19" i="9" s="1"/>
  <c r="BT17" i="9" a="1"/>
  <c r="BT17" i="9" s="1"/>
  <c r="BT19" i="9" s="1"/>
  <c r="X17" i="9" a="1"/>
  <c r="X17" i="9" s="1"/>
  <c r="X19" i="9" s="1"/>
  <c r="BM17" i="9" a="1"/>
  <c r="BM17" i="9" s="1"/>
  <c r="BM19" i="9" s="1"/>
  <c r="N17" i="9" a="1"/>
  <c r="N17" i="9" s="1"/>
  <c r="N19" i="9" s="1"/>
  <c r="M17" i="9" a="1"/>
  <c r="M17" i="9" s="1"/>
  <c r="M19" i="9" s="1"/>
  <c r="AK17" i="9" a="1"/>
  <c r="AK17" i="9" s="1"/>
  <c r="AK19" i="9" s="1"/>
  <c r="AD21" i="7" a="1"/>
  <c r="AD21" i="7" s="1"/>
  <c r="AT17" i="9" a="1"/>
  <c r="AT17" i="9" s="1"/>
  <c r="AT19" i="9" s="1"/>
  <c r="AE17" i="9" a="1"/>
  <c r="AE17" i="9" s="1"/>
  <c r="AE19" i="9" s="1"/>
  <c r="T17" i="9" a="1"/>
  <c r="T17" i="9" s="1"/>
  <c r="T19" i="9" s="1"/>
  <c r="BD17" i="9" a="1"/>
  <c r="BD17" i="9" s="1"/>
  <c r="BD19" i="9" s="1"/>
  <c r="U17" i="9" a="1"/>
  <c r="U17" i="9" s="1"/>
  <c r="U19" i="9" s="1"/>
  <c r="AX17" i="9" a="1"/>
  <c r="AX17" i="9" s="1"/>
  <c r="AX19" i="9" s="1"/>
  <c r="BU17" i="9" a="1"/>
  <c r="BU17" i="9" s="1"/>
  <c r="BU19" i="9" s="1"/>
  <c r="AX10" i="11" a="1"/>
  <c r="AX10" i="11" s="1"/>
  <c r="F10" i="11" a="1"/>
  <c r="F10" i="11" s="1"/>
  <c r="AN10" i="11" a="1"/>
  <c r="AN10" i="11" s="1"/>
  <c r="AM10" i="11" a="1"/>
  <c r="AM10" i="11" s="1"/>
  <c r="AQ17" i="9" a="1"/>
  <c r="AQ17" i="9" s="1"/>
  <c r="AQ19" i="9" s="1"/>
  <c r="BL10" i="11" a="1"/>
  <c r="BL10" i="11" s="1"/>
  <c r="AY17" i="9" a="1"/>
  <c r="AY17" i="9" s="1"/>
  <c r="AY19" i="9" s="1"/>
  <c r="AM17" i="9" a="1"/>
  <c r="AM17" i="9" s="1"/>
  <c r="AM19" i="9" s="1"/>
  <c r="BE17" i="9" a="1"/>
  <c r="BE17" i="9" s="1"/>
  <c r="BE19" i="9" s="1"/>
  <c r="AL17" i="9" a="1"/>
  <c r="AL17" i="9" s="1"/>
  <c r="AL19" i="9" s="1"/>
  <c r="AH17" i="9" a="1"/>
  <c r="AH17" i="9" s="1"/>
  <c r="AH19" i="9" s="1"/>
  <c r="AS10" i="11" a="1"/>
  <c r="AS10" i="11" s="1"/>
  <c r="BO10" i="11" a="1"/>
  <c r="BO10" i="11" s="1"/>
  <c r="I17" i="9" a="1"/>
  <c r="I17" i="9" s="1"/>
  <c r="I19" i="9" s="1"/>
  <c r="BV10" i="11" a="1"/>
  <c r="BV10" i="11" s="1"/>
  <c r="AG17" i="9" a="1"/>
  <c r="AG17" i="9" s="1"/>
  <c r="AG19" i="9" s="1"/>
  <c r="BH10" i="11" a="1"/>
  <c r="BH10" i="11" s="1"/>
  <c r="BR10" i="11" a="1"/>
  <c r="BR10" i="11" s="1"/>
  <c r="BH17" i="9" a="1"/>
  <c r="BH17" i="9" s="1"/>
  <c r="BH19" i="9" s="1"/>
  <c r="O10" i="11" a="1"/>
  <c r="O10" i="11" s="1"/>
  <c r="AF10" i="11" a="1"/>
  <c r="AF10" i="11" s="1"/>
  <c r="BP10" i="11" a="1"/>
  <c r="BP10" i="11" s="1"/>
  <c r="Y10" i="11" a="1"/>
  <c r="Y10" i="11" s="1"/>
  <c r="S10" i="11" a="1"/>
  <c r="S10" i="11" s="1"/>
  <c r="G17" i="9" a="1"/>
  <c r="G17" i="9" s="1"/>
  <c r="G19" i="9" s="1"/>
  <c r="R10" i="11" a="1"/>
  <c r="R10" i="11" s="1"/>
  <c r="BB10" i="11" a="1"/>
  <c r="BB10" i="11" s="1"/>
  <c r="U10" i="11" a="1"/>
  <c r="U10" i="11" s="1"/>
  <c r="BG10" i="11" a="1"/>
  <c r="BG10" i="11" s="1"/>
  <c r="E10" i="11" a="1"/>
  <c r="E10" i="11" s="1"/>
  <c r="P10" i="11" a="1"/>
  <c r="P10" i="11" s="1"/>
  <c r="BF10" i="11" a="1"/>
  <c r="BF10" i="11" s="1"/>
  <c r="AD10" i="11" a="1"/>
  <c r="AD10" i="11" s="1"/>
  <c r="BN10" i="11" a="1"/>
  <c r="BN10" i="11" s="1"/>
  <c r="AY10" i="11" a="1"/>
  <c r="AY10" i="11" s="1"/>
  <c r="AR10" i="11" a="1"/>
  <c r="AR10" i="11" s="1"/>
  <c r="N10" i="11" a="1"/>
  <c r="N10" i="11" s="1"/>
  <c r="L10" i="11" a="1"/>
  <c r="L10" i="11" s="1"/>
  <c r="BI10" i="11" a="1"/>
  <c r="BI10" i="11" s="1"/>
  <c r="BT10" i="11" a="1"/>
  <c r="BT10" i="11" s="1"/>
  <c r="G10" i="11" a="1"/>
  <c r="G10" i="11" s="1"/>
  <c r="AU10" i="11" a="1"/>
  <c r="AU10" i="11" s="1"/>
  <c r="BM10" i="11" a="1"/>
  <c r="BM10" i="11" s="1"/>
  <c r="W10" i="11" a="1"/>
  <c r="W10" i="11" s="1"/>
  <c r="H10" i="11" a="1"/>
  <c r="H10" i="11" s="1"/>
  <c r="BW10" i="11" a="1"/>
  <c r="BW10" i="11" s="1"/>
  <c r="M10" i="11" a="1"/>
  <c r="M10" i="11" s="1"/>
  <c r="AG10" i="11" a="1"/>
  <c r="AG10" i="11" s="1"/>
  <c r="BX10" i="11" a="1"/>
  <c r="BX10" i="11" s="1"/>
  <c r="AH10" i="11" a="1"/>
  <c r="AH10" i="11" s="1"/>
  <c r="AL10" i="11" a="1"/>
  <c r="AL10" i="11" s="1"/>
  <c r="V10" i="11" a="1"/>
  <c r="V10" i="11" s="1"/>
  <c r="BA10" i="11" a="1"/>
  <c r="BA10" i="11" s="1"/>
  <c r="Z10" i="11" a="1"/>
  <c r="Z10" i="11" s="1"/>
  <c r="BS10" i="11" a="1"/>
  <c r="BS10" i="11" s="1"/>
  <c r="X10" i="11" a="1"/>
  <c r="X10" i="11" s="1"/>
  <c r="AE10" i="11" a="1"/>
  <c r="AE10" i="11" s="1"/>
  <c r="AO10" i="11" a="1"/>
  <c r="AO10" i="11" s="1"/>
  <c r="AZ10" i="11" a="1"/>
  <c r="AZ10" i="11" s="1"/>
  <c r="AQ10" i="11" a="1"/>
  <c r="AQ10" i="11" s="1"/>
  <c r="BQ10" i="11" a="1"/>
  <c r="BQ10" i="11" s="1"/>
  <c r="BD10" i="11" a="1"/>
  <c r="BD10" i="11" s="1"/>
  <c r="BC10" i="11" a="1"/>
  <c r="BC10" i="11" s="1"/>
  <c r="BK10" i="11" a="1"/>
  <c r="BK10" i="11" s="1"/>
  <c r="AT10" i="11" a="1"/>
  <c r="AT10" i="11" s="1"/>
  <c r="AW10" i="11" a="1"/>
  <c r="AW10" i="11" s="1"/>
  <c r="AI10" i="11" a="1"/>
  <c r="AI10" i="11" s="1"/>
  <c r="AP10" i="11" a="1"/>
  <c r="AP10" i="11" s="1"/>
  <c r="AC10" i="11" a="1"/>
  <c r="AC10" i="11" s="1"/>
  <c r="BE10" i="11" a="1"/>
  <c r="BE10" i="11" s="1"/>
  <c r="BU10" i="11" a="1"/>
  <c r="BU10" i="11" s="1"/>
  <c r="AK10" i="11" a="1"/>
  <c r="AK10" i="11" s="1"/>
  <c r="T10" i="11" a="1"/>
  <c r="T10" i="11" s="1"/>
  <c r="BJ10" i="11" a="1"/>
  <c r="BJ10" i="11" s="1"/>
  <c r="AJ10" i="11" a="1"/>
  <c r="AJ10" i="11" s="1"/>
  <c r="AV10" i="11" a="1"/>
  <c r="AV10" i="11" s="1"/>
  <c r="Q10" i="11" a="1"/>
  <c r="Q10" i="11" s="1"/>
  <c r="AE21" i="7" a="1"/>
  <c r="AE21" i="7" s="1"/>
  <c r="AH21" i="7" a="1"/>
  <c r="AH21" i="7" s="1"/>
  <c r="BY105" i="12" a="1"/>
  <c r="BY105" i="12" s="1"/>
  <c r="AW104" i="13" s="1"/>
  <c r="BD28" i="22" a="1"/>
  <c r="BD28" i="22" s="1"/>
  <c r="BD27" i="22" s="1"/>
  <c r="CC105" i="12" a="1"/>
  <c r="CC105" i="12" s="1"/>
  <c r="BA104" i="13" s="1"/>
  <c r="AO28" i="22" a="1"/>
  <c r="AO28" i="22" s="1"/>
  <c r="AO27" i="22" s="1"/>
  <c r="CH105" i="12" a="1"/>
  <c r="CH105" i="12" s="1"/>
  <c r="BF104" i="13" s="1"/>
  <c r="AS28" i="22" a="1"/>
  <c r="AS28" i="22" s="1"/>
  <c r="AS27" i="22" s="1"/>
  <c r="BQ18" i="8" a="1"/>
  <c r="BQ18" i="8" s="1"/>
  <c r="BQ17" i="8" s="1"/>
  <c r="AU28" i="22" a="1"/>
  <c r="AU28" i="22" s="1"/>
  <c r="AU27" i="22" s="1"/>
  <c r="Q18" i="8" a="1"/>
  <c r="Q18" i="8" s="1"/>
  <c r="Q17" i="8" s="1"/>
  <c r="AU18" i="8" a="1"/>
  <c r="AU18" i="8" s="1"/>
  <c r="AU17" i="8" s="1"/>
  <c r="O18" i="8" a="1"/>
  <c r="O18" i="8" s="1"/>
  <c r="O17" i="8" s="1"/>
  <c r="CB105" i="12" a="1"/>
  <c r="CB105" i="12" s="1"/>
  <c r="AZ104" i="13" s="1"/>
  <c r="AF28" i="22" a="1"/>
  <c r="AF28" i="22" s="1"/>
  <c r="AF27" i="22" s="1"/>
  <c r="CI105" i="12" a="1"/>
  <c r="CI105" i="12" s="1"/>
  <c r="BG104" i="13" s="1"/>
  <c r="BZ105" i="12" a="1"/>
  <c r="BZ105" i="12" s="1"/>
  <c r="AX104" i="13" s="1"/>
  <c r="AG28" i="22" a="1"/>
  <c r="AG28" i="22" s="1"/>
  <c r="AG27" i="22" s="1"/>
  <c r="BG28" i="22" a="1"/>
  <c r="BG28" i="22" s="1"/>
  <c r="BG27" i="22" s="1"/>
  <c r="CF105" i="12" a="1"/>
  <c r="CF105" i="12" s="1"/>
  <c r="BD104" i="13" s="1"/>
  <c r="BE28" i="22" a="1"/>
  <c r="BE28" i="22" s="1"/>
  <c r="BE27" i="22" s="1"/>
  <c r="AL28" i="22" a="1"/>
  <c r="AL28" i="22" s="1"/>
  <c r="AL27" i="22" s="1"/>
  <c r="BL28" i="22" a="1"/>
  <c r="BL28" i="22" s="1"/>
  <c r="BA28" i="22" a="1"/>
  <c r="BA28" i="22" s="1"/>
  <c r="BA27" i="22" s="1"/>
  <c r="AP28" i="22" a="1"/>
  <c r="AP28" i="22" s="1"/>
  <c r="AP27" i="22" s="1"/>
  <c r="AX18" i="8" a="1"/>
  <c r="AX18" i="8" s="1"/>
  <c r="AX17" i="8" s="1"/>
  <c r="CD105" i="12" a="1"/>
  <c r="CD105" i="12" s="1"/>
  <c r="BC28" i="22" a="1"/>
  <c r="BC28" i="22" s="1"/>
  <c r="U18" i="8" a="1"/>
  <c r="U18" i="8" s="1"/>
  <c r="U17" i="8" s="1"/>
  <c r="BM18" i="8" a="1"/>
  <c r="BM18" i="8" s="1"/>
  <c r="BM17" i="8" s="1"/>
  <c r="AY28" i="22" a="1"/>
  <c r="AY28" i="22" s="1"/>
  <c r="AY27" i="22" s="1"/>
  <c r="CG18" i="8" a="1"/>
  <c r="CG18" i="8" s="1"/>
  <c r="CG17" i="8" s="1"/>
  <c r="N18" i="8" a="1"/>
  <c r="N18" i="8" s="1"/>
  <c r="N17" i="8" s="1"/>
  <c r="BE18" i="8" a="1"/>
  <c r="BE18" i="8" s="1"/>
  <c r="BE17" i="8" s="1"/>
  <c r="BF18" i="8" a="1"/>
  <c r="BF18" i="8" s="1"/>
  <c r="BF17" i="8" s="1"/>
  <c r="AR18" i="8" a="1"/>
  <c r="AR18" i="8" s="1"/>
  <c r="AR17" i="8" s="1"/>
  <c r="BM28" i="22" a="1"/>
  <c r="BM28" i="22" s="1"/>
  <c r="BM27" i="22" s="1"/>
  <c r="AX28" i="22" a="1"/>
  <c r="AX28" i="22" s="1"/>
  <c r="AX27" i="22" s="1"/>
  <c r="AM18" i="8" a="1"/>
  <c r="AM18" i="8" s="1"/>
  <c r="AM17" i="8" s="1"/>
  <c r="BX18" i="8" a="1"/>
  <c r="BX18" i="8" s="1"/>
  <c r="BX17" i="8" s="1"/>
  <c r="AT18" i="8" a="1"/>
  <c r="AT18" i="8" s="1"/>
  <c r="AT17" i="8" s="1"/>
  <c r="CE18" i="8" a="1"/>
  <c r="CE18" i="8" s="1"/>
  <c r="CE17" i="8" s="1"/>
  <c r="AZ28" i="22" a="1"/>
  <c r="AZ28" i="22" s="1"/>
  <c r="BA18" i="8" a="1"/>
  <c r="BA18" i="8" s="1"/>
  <c r="BA17" i="8" s="1"/>
  <c r="AV28" i="22" a="1"/>
  <c r="AV28" i="22" s="1"/>
  <c r="AV27" i="22" s="1"/>
  <c r="BJ28" i="22" a="1"/>
  <c r="BJ28" i="22" s="1"/>
  <c r="BJ27" i="22" s="1"/>
  <c r="AA18" i="8" a="1"/>
  <c r="AA18" i="8" s="1"/>
  <c r="AA17" i="8" s="1"/>
  <c r="P18" i="8" a="1"/>
  <c r="P18" i="8" s="1"/>
  <c r="P17" i="8" s="1"/>
  <c r="BY18" i="8" a="1"/>
  <c r="BY18" i="8" s="1"/>
  <c r="BY17" i="8" s="1"/>
  <c r="AC18" i="8" a="1"/>
  <c r="AC18" i="8" s="1"/>
  <c r="AC17" i="8" s="1"/>
  <c r="BU18" i="8" a="1"/>
  <c r="BU18" i="8" s="1"/>
  <c r="BU17" i="8" s="1"/>
  <c r="AQ28" i="22" a="1"/>
  <c r="AQ28" i="22" s="1"/>
  <c r="W18" i="8" a="1"/>
  <c r="W18" i="8" s="1"/>
  <c r="W17" i="8" s="1"/>
  <c r="AG18" i="8" a="1"/>
  <c r="AG18" i="8" s="1"/>
  <c r="AG17" i="8" s="1"/>
  <c r="AS18" i="8" a="1"/>
  <c r="AS18" i="8" s="1"/>
  <c r="AS17" i="8" s="1"/>
  <c r="BK28" i="22" a="1"/>
  <c r="BK28" i="22" s="1"/>
  <c r="BK27" i="22" s="1"/>
  <c r="CE105" i="12" a="1"/>
  <c r="CE105" i="12" s="1"/>
  <c r="BC104" i="13" s="1"/>
  <c r="BH28" i="22" a="1"/>
  <c r="BH28" i="22" s="1"/>
  <c r="BH27" i="22" s="1"/>
  <c r="AZ18" i="8" a="1"/>
  <c r="AZ18" i="8" s="1"/>
  <c r="AZ17" i="8" s="1"/>
  <c r="AW18" i="8" a="1"/>
  <c r="AW18" i="8" s="1"/>
  <c r="AW17" i="8" s="1"/>
  <c r="AE18" i="8" a="1"/>
  <c r="AE18" i="8" s="1"/>
  <c r="AE17" i="8" s="1"/>
  <c r="AW28" i="22" a="1"/>
  <c r="AW28" i="22" s="1"/>
  <c r="AJ28" i="22" a="1"/>
  <c r="AJ28" i="22" s="1"/>
  <c r="AJ27" i="22" s="1"/>
  <c r="CA18" i="8" a="1"/>
  <c r="CA18" i="8" s="1"/>
  <c r="CA17" i="8" s="1"/>
  <c r="CJ105" i="12" a="1"/>
  <c r="CJ105" i="12" s="1"/>
  <c r="BB18" i="8" a="1"/>
  <c r="BB18" i="8" s="1"/>
  <c r="BB17" i="8" s="1"/>
  <c r="BI18" i="8" a="1"/>
  <c r="BI18" i="8" s="1"/>
  <c r="BI17" i="8" s="1"/>
  <c r="CC18" i="8" a="1"/>
  <c r="CC18" i="8" s="1"/>
  <c r="CC17" i="8" s="1"/>
  <c r="X18" i="8" a="1"/>
  <c r="X18" i="8" s="1"/>
  <c r="X17" i="8" s="1"/>
  <c r="AY18" i="8" a="1"/>
  <c r="AY18" i="8" s="1"/>
  <c r="AY17" i="8" s="1"/>
  <c r="AT28" i="22" a="1"/>
  <c r="AT28" i="22" s="1"/>
  <c r="BG18" i="8" a="1"/>
  <c r="BG18" i="8" s="1"/>
  <c r="BG17" i="8" s="1"/>
  <c r="AP18" i="8" a="1"/>
  <c r="AP18" i="8" s="1"/>
  <c r="AP17" i="8" s="1"/>
  <c r="AN28" i="22" a="1"/>
  <c r="AN28" i="22" s="1"/>
  <c r="BD18" i="8" a="1"/>
  <c r="BD18" i="8" s="1"/>
  <c r="BD17" i="8" s="1"/>
  <c r="AL18" i="8" a="1"/>
  <c r="AL18" i="8" s="1"/>
  <c r="AL17" i="8" s="1"/>
  <c r="CB18" i="8" a="1"/>
  <c r="CB18" i="8" s="1"/>
  <c r="CB17" i="8" s="1"/>
  <c r="BP28" i="22" a="1"/>
  <c r="BP28" i="22" s="1"/>
  <c r="BP27" i="22" s="1"/>
  <c r="BK18" i="8" a="1"/>
  <c r="BK18" i="8" s="1"/>
  <c r="BK17" i="8" s="1"/>
  <c r="BB28" i="22" a="1"/>
  <c r="BB28" i="22" s="1"/>
  <c r="BB27" i="22" s="1"/>
  <c r="AF18" i="8" a="1"/>
  <c r="AF18" i="8" s="1"/>
  <c r="AF17" i="8" s="1"/>
  <c r="BW18" i="8" a="1"/>
  <c r="BW18" i="8" s="1"/>
  <c r="BW17" i="8" s="1"/>
  <c r="AH18" i="8" a="1"/>
  <c r="AH18" i="8" s="1"/>
  <c r="AH17" i="8" s="1"/>
  <c r="AI28" i="22" a="1"/>
  <c r="AI28" i="22" s="1"/>
  <c r="AI27" i="22" s="1"/>
  <c r="BS18" i="8" a="1"/>
  <c r="BS18" i="8" s="1"/>
  <c r="BS17" i="8" s="1"/>
  <c r="CD18" i="8" a="1"/>
  <c r="CD18" i="8" s="1"/>
  <c r="CD17" i="8" s="1"/>
  <c r="AD18" i="8" a="1"/>
  <c r="AD18" i="8" s="1"/>
  <c r="AD17" i="8" s="1"/>
  <c r="V18" i="8" a="1"/>
  <c r="V18" i="8" s="1"/>
  <c r="V17" i="8" s="1"/>
  <c r="AV18" i="8" a="1"/>
  <c r="AV18" i="8" s="1"/>
  <c r="AV17" i="8" s="1"/>
  <c r="AH28" i="22" a="1"/>
  <c r="AH28" i="22" s="1"/>
  <c r="CA105" i="12" a="1"/>
  <c r="CA105" i="12" s="1"/>
  <c r="BW28" i="22" a="1"/>
  <c r="BW28" i="22" s="1"/>
  <c r="BW27" i="22" s="1"/>
  <c r="BV28" i="22" a="1"/>
  <c r="BV28" i="22" s="1"/>
  <c r="BV27" i="22" s="1"/>
  <c r="BJ18" i="8" a="1"/>
  <c r="BJ18" i="8" s="1"/>
  <c r="BJ17" i="8" s="1"/>
  <c r="CF18" i="8" a="1"/>
  <c r="CF18" i="8" s="1"/>
  <c r="CF17" i="8" s="1"/>
  <c r="BP18" i="8" a="1"/>
  <c r="BP18" i="8" s="1"/>
  <c r="BP17" i="8" s="1"/>
  <c r="AR28" i="22" a="1"/>
  <c r="AR28" i="22" s="1"/>
  <c r="AR27" i="22" s="1"/>
  <c r="AO18" i="8" a="1"/>
  <c r="AO18" i="8" s="1"/>
  <c r="AO17" i="8" s="1"/>
  <c r="T18" i="8" a="1"/>
  <c r="T18" i="8" s="1"/>
  <c r="T17" i="8" s="1"/>
  <c r="BY28" i="22" a="1"/>
  <c r="BY28" i="22" s="1"/>
  <c r="BY27" i="22" s="1"/>
  <c r="BX28" i="22" a="1"/>
  <c r="BX28" i="22" s="1"/>
  <c r="BF28" i="22" a="1"/>
  <c r="BF28" i="22" s="1"/>
  <c r="BR18" i="8" a="1"/>
  <c r="BR18" i="8" s="1"/>
  <c r="BR17" i="8" s="1"/>
  <c r="AQ18" i="8" a="1"/>
  <c r="AQ18" i="8" s="1"/>
  <c r="AQ17" i="8" s="1"/>
  <c r="BL18" i="8" a="1"/>
  <c r="BL18" i="8" s="1"/>
  <c r="BL17" i="8" s="1"/>
  <c r="BH18" i="8" a="1"/>
  <c r="BH18" i="8" s="1"/>
  <c r="BH17" i="8" s="1"/>
  <c r="BU28" i="22" a="1"/>
  <c r="BU28" i="22" s="1"/>
  <c r="Z18" i="8" a="1"/>
  <c r="Z18" i="8" s="1"/>
  <c r="Z17" i="8" s="1"/>
  <c r="CG105" i="12" a="1"/>
  <c r="CG105" i="12" s="1"/>
  <c r="AB18" i="8" a="1"/>
  <c r="AB18" i="8" s="1"/>
  <c r="AB17" i="8" s="1"/>
  <c r="BZ18" i="8" a="1"/>
  <c r="BZ18" i="8" s="1"/>
  <c r="BZ17" i="8" s="1"/>
  <c r="AK28" i="22" a="1"/>
  <c r="AK28" i="22" s="1"/>
  <c r="Y18" i="8" a="1"/>
  <c r="Y18" i="8" s="1"/>
  <c r="Y17" i="8" s="1"/>
  <c r="BV18" i="8" a="1"/>
  <c r="BV18" i="8" s="1"/>
  <c r="BV17" i="8" s="1"/>
  <c r="BC18" i="8" a="1"/>
  <c r="BC18" i="8" s="1"/>
  <c r="BC17" i="8" s="1"/>
  <c r="K18" i="8" a="1"/>
  <c r="K18" i="8" s="1"/>
  <c r="K17" i="8" s="1"/>
  <c r="BI28" i="22" a="1"/>
  <c r="BI28" i="22" s="1"/>
  <c r="AI18" i="8" a="1"/>
  <c r="AI18" i="8" s="1"/>
  <c r="AI17" i="8" s="1"/>
  <c r="BZ28" i="22" a="1"/>
  <c r="BZ28" i="22" s="1"/>
  <c r="BZ27" i="22" s="1"/>
  <c r="BN18" i="8" a="1"/>
  <c r="BN18" i="8" s="1"/>
  <c r="BN17" i="8" s="1"/>
  <c r="BQ28" i="22" a="1"/>
  <c r="BQ28" i="22" s="1"/>
  <c r="BQ27" i="22" s="1"/>
  <c r="BT28" i="22" a="1"/>
  <c r="BT28" i="22" s="1"/>
  <c r="BT27" i="22" s="1"/>
  <c r="BS28" i="22" a="1"/>
  <c r="BS28" i="22" s="1"/>
  <c r="BS27" i="22" s="1"/>
  <c r="BO18" i="8" a="1"/>
  <c r="BO18" i="8" s="1"/>
  <c r="BO17" i="8" s="1"/>
  <c r="AM28" i="22" a="1"/>
  <c r="AM28" i="22" s="1"/>
  <c r="AM27" i="22" s="1"/>
  <c r="BT18" i="8" a="1"/>
  <c r="BT18" i="8" s="1"/>
  <c r="BT17" i="8" s="1"/>
  <c r="AN18" i="8" a="1"/>
  <c r="AN18" i="8" s="1"/>
  <c r="AN17" i="8" s="1"/>
  <c r="AE28" i="22" a="1"/>
  <c r="AE28" i="22" s="1"/>
  <c r="BO28" i="22" a="1"/>
  <c r="BO28" i="22" s="1"/>
  <c r="BR28" i="22" a="1"/>
  <c r="BR28" i="22" s="1"/>
  <c r="BX105" i="12" a="1"/>
  <c r="BX105" i="12" s="1"/>
  <c r="AV149" i="13"/>
  <c r="J18" i="8" a="1"/>
  <c r="J18" i="8" s="1"/>
  <c r="J17" i="8" s="1"/>
  <c r="BN28" i="22" a="1"/>
  <c r="BN28" i="22" s="1"/>
  <c r="BN27" i="22" s="1"/>
  <c r="Y90" i="30"/>
  <c r="J90" i="30"/>
  <c r="AA86" i="30"/>
  <c r="E73" i="30" a="1"/>
  <c r="E73" i="30" s="1"/>
  <c r="K28" i="30"/>
  <c r="AA90" i="30"/>
  <c r="K90" i="30"/>
  <c r="S24" i="12"/>
  <c r="S54" i="12"/>
  <c r="S68" i="12" s="1"/>
  <c r="CC54" i="12"/>
  <c r="CC68" i="12" s="1"/>
  <c r="CC24" i="12"/>
  <c r="CD24" i="12"/>
  <c r="R54" i="12"/>
  <c r="R68" i="12" s="1"/>
  <c r="R114" i="12" s="1"/>
  <c r="R24" i="12"/>
  <c r="AI54" i="12"/>
  <c r="AI68" i="12" s="1"/>
  <c r="AI24" i="12"/>
  <c r="AG54" i="12"/>
  <c r="AG68" i="12" s="1"/>
  <c r="AG114" i="12" s="1"/>
  <c r="E74" i="30" a="1"/>
  <c r="E74" i="30" s="1"/>
  <c r="J28" i="30" l="1"/>
  <c r="Y28" i="30"/>
  <c r="AN17" i="7" a="1"/>
  <c r="AN17" i="7" s="1"/>
  <c r="H15" i="7" s="1"/>
  <c r="AK17" i="7"/>
  <c r="AL17" i="7" s="1"/>
  <c r="AF17" i="7"/>
  <c r="AI17" i="7"/>
  <c r="AI16" i="7"/>
  <c r="AK16" i="7"/>
  <c r="AL16" i="7" s="1"/>
  <c r="AN16" i="7" a="1"/>
  <c r="AN16" i="7" s="1"/>
  <c r="B15" i="7" s="1"/>
  <c r="AF16" i="7"/>
  <c r="AI19" i="7"/>
  <c r="AK19" i="7"/>
  <c r="AL19" i="7" s="1"/>
  <c r="AN19" i="7" a="1"/>
  <c r="AN19" i="7" s="1"/>
  <c r="T15" i="7" s="1"/>
  <c r="AF19" i="7"/>
  <c r="AN20" i="7" a="1"/>
  <c r="AN20" i="7" s="1"/>
  <c r="B26" i="7" s="1"/>
  <c r="AK20" i="7"/>
  <c r="AL20" i="7" s="1"/>
  <c r="AI20" i="7"/>
  <c r="AF20" i="7"/>
  <c r="AF18" i="7"/>
  <c r="AI18" i="7"/>
  <c r="AK18" i="7"/>
  <c r="AL18" i="7" s="1"/>
  <c r="AN18" i="7" a="1"/>
  <c r="AN18" i="7" s="1"/>
  <c r="N15" i="7" s="1"/>
  <c r="G20" i="33"/>
  <c r="J21" i="33"/>
  <c r="K21" i="33" s="1"/>
  <c r="N21" i="33"/>
  <c r="O21" i="33" s="1"/>
  <c r="M23" i="33"/>
  <c r="M24" i="33" s="1"/>
  <c r="I23" i="33"/>
  <c r="I24" i="33" s="1"/>
  <c r="V28" i="22"/>
  <c r="W28" i="22"/>
  <c r="I28" i="22"/>
  <c r="X28" i="22"/>
  <c r="H28" i="22"/>
  <c r="J28" i="22"/>
  <c r="M28" i="22"/>
  <c r="G28" i="22"/>
  <c r="S28" i="22"/>
  <c r="U28" i="22"/>
  <c r="T28" i="22"/>
  <c r="AA28" i="22"/>
  <c r="N28" i="22"/>
  <c r="P28" i="22"/>
  <c r="R28" i="22"/>
  <c r="AB28" i="22"/>
  <c r="Q28" i="22"/>
  <c r="Z28" i="22"/>
  <c r="Y28" i="22"/>
  <c r="O28" i="22"/>
  <c r="AI114" i="12"/>
  <c r="AW20" i="8"/>
  <c r="AW21" i="8" s="1"/>
  <c r="AW150" i="8" a="1"/>
  <c r="AW150" i="8" s="1"/>
  <c r="Q20" i="8"/>
  <c r="Q21" i="8" s="1"/>
  <c r="Q150" i="8" a="1"/>
  <c r="Q150" i="8" s="1"/>
  <c r="BH60" i="9"/>
  <c r="BH70" i="9" s="1" a="1"/>
  <c r="BH70" i="9" s="1"/>
  <c r="BH50" i="9"/>
  <c r="BH66" i="9" a="1"/>
  <c r="BH66" i="9" s="1"/>
  <c r="BH20" i="9"/>
  <c r="AY60" i="9"/>
  <c r="AY70" i="9" s="1" a="1"/>
  <c r="AY70" i="9" s="1"/>
  <c r="AY50" i="9"/>
  <c r="AY66" i="9" a="1"/>
  <c r="AY66" i="9" s="1"/>
  <c r="AY20" i="9"/>
  <c r="AE60" i="9"/>
  <c r="AE70" i="9" s="1" a="1"/>
  <c r="AE70" i="9" s="1"/>
  <c r="AE20" i="9"/>
  <c r="AE66" i="9" a="1"/>
  <c r="AE66" i="9" s="1"/>
  <c r="AE50" i="9"/>
  <c r="BN66" i="9" a="1"/>
  <c r="BN66" i="9" s="1"/>
  <c r="BN20" i="9"/>
  <c r="BN60" i="9"/>
  <c r="BN70" i="9" s="1" a="1"/>
  <c r="BN70" i="9" s="1"/>
  <c r="BN50" i="9"/>
  <c r="BJ150" i="8" a="1"/>
  <c r="BJ150" i="8" s="1"/>
  <c r="BJ20" i="8"/>
  <c r="BJ21" i="8" s="1"/>
  <c r="BO150" i="8" a="1"/>
  <c r="BO150" i="8" s="1"/>
  <c r="BO20" i="8"/>
  <c r="BO21" i="8" s="1"/>
  <c r="AI105" i="12"/>
  <c r="BB104" i="13"/>
  <c r="BA73" i="30" a="1"/>
  <c r="BA73" i="30" s="1"/>
  <c r="AV73" i="30" a="1"/>
  <c r="AV73" i="30" s="1"/>
  <c r="CA73" i="30" a="1"/>
  <c r="CA73" i="30" s="1"/>
  <c r="AZ73" i="30" a="1"/>
  <c r="AZ73" i="30" s="1"/>
  <c r="AG73" i="30" a="1"/>
  <c r="AG73" i="30" s="1"/>
  <c r="BM73" i="30" a="1"/>
  <c r="BM73" i="30" s="1"/>
  <c r="BF73" i="30" a="1"/>
  <c r="BF73" i="30" s="1"/>
  <c r="BE73" i="30" a="1"/>
  <c r="BE73" i="30" s="1"/>
  <c r="BX73" i="30" a="1"/>
  <c r="BX73" i="30" s="1"/>
  <c r="AK73" i="30" a="1"/>
  <c r="AK73" i="30" s="1"/>
  <c r="BY73" i="30" a="1"/>
  <c r="BY73" i="30" s="1"/>
  <c r="BR73" i="30" a="1"/>
  <c r="BR73" i="30" s="1"/>
  <c r="AS73" i="30" a="1"/>
  <c r="AS73" i="30" s="1"/>
  <c r="BW73" i="30" a="1"/>
  <c r="BW73" i="30" s="1"/>
  <c r="BH73" i="30" a="1"/>
  <c r="BH73" i="30" s="1"/>
  <c r="BG73" i="30" a="1"/>
  <c r="BG73" i="30" s="1"/>
  <c r="AX73" i="30" a="1"/>
  <c r="AX73" i="30" s="1"/>
  <c r="BD73" i="30" a="1"/>
  <c r="BD73" i="30" s="1"/>
  <c r="AW73" i="30" a="1"/>
  <c r="AW73" i="30" s="1"/>
  <c r="AQ73" i="30" a="1"/>
  <c r="AQ73" i="30" s="1"/>
  <c r="BT73" i="30" a="1"/>
  <c r="BT73" i="30" s="1"/>
  <c r="AI73" i="30" a="1"/>
  <c r="AI73" i="30" s="1"/>
  <c r="BC73" i="30" a="1"/>
  <c r="BC73" i="30" s="1"/>
  <c r="AF73" i="30" a="1"/>
  <c r="AF73" i="30" s="1"/>
  <c r="AU73" i="30" a="1"/>
  <c r="AU73" i="30" s="1"/>
  <c r="BO73" i="30" a="1"/>
  <c r="BO73" i="30" s="1"/>
  <c r="AY73" i="30" a="1"/>
  <c r="AY73" i="30" s="1"/>
  <c r="BQ73" i="30" a="1"/>
  <c r="BQ73" i="30" s="1"/>
  <c r="AR73" i="30" a="1"/>
  <c r="AR73" i="30" s="1"/>
  <c r="AP73" i="30" a="1"/>
  <c r="AP73" i="30" s="1"/>
  <c r="AO73" i="30" a="1"/>
  <c r="AO73" i="30" s="1"/>
  <c r="BZ73" i="30" a="1"/>
  <c r="BZ73" i="30" s="1"/>
  <c r="BI73" i="30" a="1"/>
  <c r="BI73" i="30" s="1"/>
  <c r="AH73" i="30" a="1"/>
  <c r="AH73" i="30" s="1"/>
  <c r="BS73" i="30" a="1"/>
  <c r="BS73" i="30" s="1"/>
  <c r="AJ73" i="30" a="1"/>
  <c r="AJ73" i="30" s="1"/>
  <c r="BV73" i="30" a="1"/>
  <c r="BV73" i="30" s="1"/>
  <c r="AM73" i="30" a="1"/>
  <c r="AM73" i="30" s="1"/>
  <c r="AT73" i="30" a="1"/>
  <c r="AT73" i="30" s="1"/>
  <c r="AL73" i="30" a="1"/>
  <c r="AL73" i="30" s="1"/>
  <c r="BL73" i="30" a="1"/>
  <c r="BL73" i="30" s="1"/>
  <c r="BU73" i="30" a="1"/>
  <c r="BU73" i="30" s="1"/>
  <c r="BN73" i="30" a="1"/>
  <c r="BN73" i="30" s="1"/>
  <c r="BP73" i="30" a="1"/>
  <c r="BP73" i="30" s="1"/>
  <c r="BK73" i="30" a="1"/>
  <c r="BK73" i="30" s="1"/>
  <c r="AN73" i="30" a="1"/>
  <c r="AN73" i="30" s="1"/>
  <c r="BJ73" i="30" a="1"/>
  <c r="BJ73" i="30" s="1"/>
  <c r="BB73" i="30" a="1"/>
  <c r="BB73" i="30" s="1"/>
  <c r="AT50" i="9"/>
  <c r="AT60" i="9"/>
  <c r="AT70" i="9" s="1" a="1"/>
  <c r="AT70" i="9" s="1"/>
  <c r="AT66" i="9" a="1"/>
  <c r="AT66" i="9" s="1"/>
  <c r="AT20" i="9"/>
  <c r="P60" i="9"/>
  <c r="P70" i="9" s="1" a="1"/>
  <c r="P70" i="9" s="1"/>
  <c r="P20" i="9"/>
  <c r="P50" i="9"/>
  <c r="P66" i="9" a="1"/>
  <c r="P66" i="9" s="1"/>
  <c r="BI60" i="9"/>
  <c r="BI70" i="9" s="1" a="1"/>
  <c r="BI70" i="9" s="1"/>
  <c r="BI66" i="9" a="1"/>
  <c r="BI66" i="9" s="1"/>
  <c r="BI50" i="9"/>
  <c r="BI20" i="9"/>
  <c r="AY104" i="13"/>
  <c r="AH105" i="12"/>
  <c r="AH27" i="22"/>
  <c r="N27" i="22" s="1"/>
  <c r="AP150" i="8" a="1"/>
  <c r="AP150" i="8" s="1"/>
  <c r="AP20" i="8"/>
  <c r="AP21" i="8" s="1"/>
  <c r="BN150" i="8" a="1"/>
  <c r="BN150" i="8" s="1"/>
  <c r="BN20" i="8"/>
  <c r="BN21" i="8" s="1"/>
  <c r="BG150" i="8" a="1"/>
  <c r="BG150" i="8" s="1"/>
  <c r="BG20" i="8"/>
  <c r="BG21" i="8" s="1"/>
  <c r="BX150" i="8" a="1"/>
  <c r="BX150" i="8" s="1"/>
  <c r="BX20" i="8"/>
  <c r="BX21" i="8" s="1"/>
  <c r="AF21" i="7"/>
  <c r="AN21" i="7" a="1"/>
  <c r="AN21" i="7" s="1"/>
  <c r="H26" i="7" s="1"/>
  <c r="AK21" i="7"/>
  <c r="AL21" i="7" s="1"/>
  <c r="AI21" i="7"/>
  <c r="AJ60" i="9"/>
  <c r="AJ70" i="9" s="1" a="1"/>
  <c r="AJ70" i="9" s="1"/>
  <c r="AJ66" i="9" a="1"/>
  <c r="AJ66" i="9" s="1"/>
  <c r="AJ20" i="9"/>
  <c r="AJ50" i="9"/>
  <c r="Q60" i="9"/>
  <c r="Q70" i="9" s="1" a="1"/>
  <c r="Q70" i="9" s="1"/>
  <c r="Q50" i="9"/>
  <c r="Q66" i="9" a="1"/>
  <c r="Q66" i="9" s="1"/>
  <c r="Q20" i="9"/>
  <c r="BX60" i="9"/>
  <c r="BX70" i="9" s="1" a="1"/>
  <c r="BX70" i="9" s="1"/>
  <c r="BX50" i="9"/>
  <c r="BX20" i="9"/>
  <c r="BX66" i="9" a="1"/>
  <c r="BX66" i="9" s="1"/>
  <c r="AW66" i="9" a="1"/>
  <c r="AW66" i="9" s="1"/>
  <c r="AW20" i="9"/>
  <c r="AW60" i="9"/>
  <c r="AW70" i="9" s="1" a="1"/>
  <c r="AW70" i="9" s="1"/>
  <c r="AW50" i="9"/>
  <c r="BS139" i="22"/>
  <c r="E126" i="22" a="1"/>
  <c r="E126" i="22" s="1"/>
  <c r="BH150" i="8" a="1"/>
  <c r="BH150" i="8" s="1"/>
  <c r="BH20" i="8"/>
  <c r="BH21" i="8" s="1"/>
  <c r="AV20" i="8"/>
  <c r="AV21" i="8" s="1"/>
  <c r="AV150" i="8" a="1"/>
  <c r="AV150" i="8" s="1"/>
  <c r="V150" i="8" a="1"/>
  <c r="V150" i="8" s="1"/>
  <c r="V20" i="8"/>
  <c r="V21" i="8" s="1"/>
  <c r="E133" i="22" a="1"/>
  <c r="E133" i="22" s="1"/>
  <c r="BZ133" i="22" s="1"/>
  <c r="BZ139" i="22"/>
  <c r="BR20" i="8"/>
  <c r="BR21" i="8" s="1"/>
  <c r="BR150" i="8" a="1"/>
  <c r="BR150" i="8" s="1"/>
  <c r="AD150" i="8" a="1"/>
  <c r="AD150" i="8" s="1"/>
  <c r="AD20" i="8"/>
  <c r="AD21" i="8" s="1"/>
  <c r="AT27" i="22"/>
  <c r="R27" i="22" s="1"/>
  <c r="AS20" i="8"/>
  <c r="AS21" i="8" s="1"/>
  <c r="AS150" i="8" a="1"/>
  <c r="AS150" i="8" s="1"/>
  <c r="AM20" i="8"/>
  <c r="AM21" i="8" s="1"/>
  <c r="AM150" i="8" a="1"/>
  <c r="AM150" i="8" s="1"/>
  <c r="BL27" i="22"/>
  <c r="X27" i="22" s="1"/>
  <c r="E121" i="22" a="1"/>
  <c r="E121" i="22" s="1"/>
  <c r="BN139" i="22"/>
  <c r="AI150" i="8" a="1"/>
  <c r="AI150" i="8" s="1"/>
  <c r="AI20" i="8"/>
  <c r="AI21" i="8" s="1"/>
  <c r="BF27" i="22"/>
  <c r="V27" i="22" s="1"/>
  <c r="CD150" i="8" a="1"/>
  <c r="CD150" i="8" s="1"/>
  <c r="CD20" i="8"/>
  <c r="CD21" i="8" s="1"/>
  <c r="AY20" i="8"/>
  <c r="AY21" i="8" s="1"/>
  <c r="AY150" i="8" a="1"/>
  <c r="AY150" i="8" s="1"/>
  <c r="AG150" i="8" a="1"/>
  <c r="AG150" i="8" s="1"/>
  <c r="AG20" i="8"/>
  <c r="AG21" i="8" s="1"/>
  <c r="AQ50" i="9"/>
  <c r="AQ20" i="9"/>
  <c r="AQ66" i="9" a="1"/>
  <c r="AQ66" i="9" s="1"/>
  <c r="AQ60" i="9"/>
  <c r="AQ70" i="9" s="1" a="1"/>
  <c r="AQ70" i="9" s="1"/>
  <c r="AK66" i="9" a="1"/>
  <c r="AK66" i="9" s="1"/>
  <c r="AK60" i="9"/>
  <c r="AK70" i="9" s="1" a="1"/>
  <c r="AK70" i="9" s="1"/>
  <c r="AK20" i="9"/>
  <c r="AK50" i="9"/>
  <c r="L60" i="9"/>
  <c r="L70" i="9" s="1" a="1"/>
  <c r="L70" i="9" s="1"/>
  <c r="L66" i="9" a="1"/>
  <c r="L66" i="9" s="1"/>
  <c r="L20" i="9"/>
  <c r="L50" i="9"/>
  <c r="AN50" i="9"/>
  <c r="AN20" i="9"/>
  <c r="AN66" i="9" a="1"/>
  <c r="AN66" i="9" s="1"/>
  <c r="AN60" i="9"/>
  <c r="AN70" i="9" s="1" a="1"/>
  <c r="AN70" i="9" s="1"/>
  <c r="F66" i="9" a="1"/>
  <c r="F66" i="9" s="1"/>
  <c r="F50" i="9"/>
  <c r="F20" i="9"/>
  <c r="F60" i="9"/>
  <c r="F70" i="9" s="1" a="1"/>
  <c r="F70" i="9" s="1"/>
  <c r="BT150" i="8" a="1"/>
  <c r="BT150" i="8" s="1"/>
  <c r="BT20" i="8"/>
  <c r="BT21" i="8" s="1"/>
  <c r="BP139" i="22"/>
  <c r="E123" i="22" a="1"/>
  <c r="E123" i="22" s="1"/>
  <c r="Z150" i="8" a="1"/>
  <c r="Z150" i="8" s="1"/>
  <c r="Z20" i="8"/>
  <c r="Z21" i="8" s="1"/>
  <c r="BC27" i="22"/>
  <c r="BX27" i="22"/>
  <c r="W20" i="8"/>
  <c r="W21" i="8" s="1"/>
  <c r="W150" i="8" a="1"/>
  <c r="W150" i="8" s="1"/>
  <c r="M60" i="9"/>
  <c r="M70" i="9" s="1" a="1"/>
  <c r="M70" i="9" s="1"/>
  <c r="M66" i="9" a="1"/>
  <c r="M66" i="9" s="1"/>
  <c r="M20" i="9"/>
  <c r="M50" i="9"/>
  <c r="AD60" i="9"/>
  <c r="AD70" i="9" s="1" a="1"/>
  <c r="AD70" i="9" s="1"/>
  <c r="AD50" i="9"/>
  <c r="AD66" i="9" a="1"/>
  <c r="AD66" i="9" s="1"/>
  <c r="AD20" i="9"/>
  <c r="AZ66" i="9" a="1"/>
  <c r="AZ66" i="9" s="1"/>
  <c r="AZ60" i="9"/>
  <c r="AZ70" i="9" s="1" a="1"/>
  <c r="AZ70" i="9" s="1"/>
  <c r="AZ50" i="9"/>
  <c r="AZ20" i="9"/>
  <c r="BL60" i="9"/>
  <c r="BL70" i="9" s="1" a="1"/>
  <c r="BL70" i="9" s="1"/>
  <c r="BL66" i="9" a="1"/>
  <c r="BL66" i="9" s="1"/>
  <c r="BL50" i="9"/>
  <c r="BL20" i="9"/>
  <c r="BU27" i="22"/>
  <c r="E127" i="22" a="1"/>
  <c r="E127" i="22" s="1"/>
  <c r="BT139" i="22"/>
  <c r="X150" i="8" a="1"/>
  <c r="X150" i="8" s="1"/>
  <c r="X20" i="8"/>
  <c r="X21" i="8" s="1"/>
  <c r="AG60" i="9"/>
  <c r="AG70" i="9" s="1" a="1"/>
  <c r="AG70" i="9" s="1"/>
  <c r="AG66" i="9" a="1"/>
  <c r="AG66" i="9" s="1"/>
  <c r="AG20" i="9"/>
  <c r="AG50" i="9"/>
  <c r="N66" i="9" a="1"/>
  <c r="N66" i="9" s="1"/>
  <c r="N20" i="9"/>
  <c r="N50" i="9"/>
  <c r="N60" i="9"/>
  <c r="N70" i="9" s="1" a="1"/>
  <c r="N70" i="9" s="1"/>
  <c r="O50" i="9"/>
  <c r="O20" i="9"/>
  <c r="O66" i="9" a="1"/>
  <c r="O66" i="9" s="1"/>
  <c r="O60" i="9"/>
  <c r="O70" i="9" s="1" a="1"/>
  <c r="O70" i="9" s="1"/>
  <c r="AU50" i="9"/>
  <c r="AU66" i="9" a="1"/>
  <c r="AU66" i="9" s="1"/>
  <c r="AU20" i="9"/>
  <c r="AU60" i="9"/>
  <c r="AU70" i="9" s="1" a="1"/>
  <c r="AU70" i="9" s="1"/>
  <c r="AL20" i="8"/>
  <c r="AL21" i="8" s="1"/>
  <c r="AL150" i="8" a="1"/>
  <c r="AL150" i="8" s="1"/>
  <c r="AG105" i="12"/>
  <c r="R105" i="12"/>
  <c r="AV104" i="13"/>
  <c r="BC150" i="8" a="1"/>
  <c r="BC150" i="8" s="1"/>
  <c r="BC20" i="8"/>
  <c r="BC21" i="8" s="1"/>
  <c r="T20" i="8"/>
  <c r="T21" i="8" s="1"/>
  <c r="T150" i="8" a="1"/>
  <c r="T150" i="8" s="1"/>
  <c r="AH150" i="8" a="1"/>
  <c r="AH150" i="8" s="1"/>
  <c r="AH20" i="8"/>
  <c r="AH21" i="8" s="1"/>
  <c r="BI150" i="8" a="1"/>
  <c r="BI150" i="8" s="1"/>
  <c r="BI20" i="8"/>
  <c r="BI21" i="8" s="1"/>
  <c r="BU150" i="8" a="1"/>
  <c r="BU150" i="8" s="1"/>
  <c r="BU20" i="8"/>
  <c r="BU21" i="8" s="1"/>
  <c r="BF20" i="8"/>
  <c r="BF21" i="8" s="1"/>
  <c r="BF150" i="8" a="1"/>
  <c r="BF150" i="8" s="1"/>
  <c r="BM66" i="9" a="1"/>
  <c r="BM66" i="9" s="1"/>
  <c r="BM50" i="9"/>
  <c r="BM60" i="9"/>
  <c r="BM70" i="9" s="1" a="1"/>
  <c r="BM70" i="9" s="1"/>
  <c r="BM20" i="9"/>
  <c r="BG66" i="9" a="1"/>
  <c r="BG66" i="9" s="1"/>
  <c r="BG60" i="9"/>
  <c r="BG70" i="9" s="1" a="1"/>
  <c r="BG70" i="9" s="1"/>
  <c r="BG20" i="9"/>
  <c r="BG50" i="9"/>
  <c r="BW50" i="9"/>
  <c r="BW60" i="9"/>
  <c r="BW70" i="9" s="1" a="1"/>
  <c r="BW70" i="9" s="1"/>
  <c r="BW66" i="9" a="1"/>
  <c r="BW66" i="9" s="1"/>
  <c r="BW20" i="9"/>
  <c r="AZ150" i="8" a="1"/>
  <c r="AZ150" i="8" s="1"/>
  <c r="AZ20" i="8"/>
  <c r="AZ21" i="8" s="1"/>
  <c r="BQ139" i="22"/>
  <c r="E124" i="22" a="1"/>
  <c r="E124" i="22" s="1"/>
  <c r="BQ150" i="8" a="1"/>
  <c r="BQ150" i="8" s="1"/>
  <c r="BQ20" i="8"/>
  <c r="BQ21" i="8" s="1"/>
  <c r="AI74" i="30" a="1"/>
  <c r="AI74" i="30" s="1"/>
  <c r="BJ74" i="30" a="1"/>
  <c r="BJ74" i="30" s="1"/>
  <c r="BP74" i="30" a="1"/>
  <c r="BP74" i="30" s="1"/>
  <c r="BA74" i="30" a="1"/>
  <c r="BA74" i="30" s="1"/>
  <c r="AU74" i="30" a="1"/>
  <c r="AU74" i="30" s="1"/>
  <c r="BL74" i="30" a="1"/>
  <c r="BL74" i="30" s="1"/>
  <c r="AG74" i="30" a="1"/>
  <c r="AG74" i="30" s="1"/>
  <c r="AT74" i="30" a="1"/>
  <c r="AT74" i="30" s="1"/>
  <c r="BW74" i="30" a="1"/>
  <c r="BW74" i="30" s="1"/>
  <c r="AO74" i="30" a="1"/>
  <c r="AO74" i="30" s="1"/>
  <c r="AL74" i="30" a="1"/>
  <c r="AL74" i="30" s="1"/>
  <c r="BQ74" i="30" a="1"/>
  <c r="BQ74" i="30" s="1"/>
  <c r="AM74" i="30" a="1"/>
  <c r="AM74" i="30" s="1"/>
  <c r="BK74" i="30" a="1"/>
  <c r="BK74" i="30" s="1"/>
  <c r="AS74" i="30" a="1"/>
  <c r="AS74" i="30" s="1"/>
  <c r="AF74" i="30" a="1"/>
  <c r="AF74" i="30" s="1"/>
  <c r="BD74" i="30" a="1"/>
  <c r="BD74" i="30" s="1"/>
  <c r="BF74" i="30" a="1"/>
  <c r="BF74" i="30" s="1"/>
  <c r="BE74" i="30" a="1"/>
  <c r="BE74" i="30" s="1"/>
  <c r="AQ74" i="30" a="1"/>
  <c r="AQ74" i="30" s="1"/>
  <c r="AH74" i="30" a="1"/>
  <c r="AH74" i="30" s="1"/>
  <c r="BY74" i="30" a="1"/>
  <c r="BY74" i="30" s="1"/>
  <c r="AR74" i="30" a="1"/>
  <c r="AR74" i="30" s="1"/>
  <c r="AX74" i="30" a="1"/>
  <c r="AX74" i="30" s="1"/>
  <c r="BO74" i="30" a="1"/>
  <c r="BO74" i="30" s="1"/>
  <c r="BN74" i="30" a="1"/>
  <c r="BN74" i="30" s="1"/>
  <c r="AP74" i="30" a="1"/>
  <c r="AP74" i="30" s="1"/>
  <c r="AW74" i="30" a="1"/>
  <c r="AW74" i="30" s="1"/>
  <c r="BV74" i="30" a="1"/>
  <c r="BV74" i="30" s="1"/>
  <c r="AK74" i="30" a="1"/>
  <c r="AK74" i="30" s="1"/>
  <c r="AN74" i="30" a="1"/>
  <c r="AN74" i="30" s="1"/>
  <c r="BB74" i="30" a="1"/>
  <c r="BB74" i="30" s="1"/>
  <c r="BR74" i="30" a="1"/>
  <c r="BR74" i="30" s="1"/>
  <c r="BG74" i="30" a="1"/>
  <c r="BG74" i="30" s="1"/>
  <c r="BS74" i="30" a="1"/>
  <c r="BS74" i="30" s="1"/>
  <c r="BM74" i="30" a="1"/>
  <c r="BM74" i="30" s="1"/>
  <c r="AV74" i="30" a="1"/>
  <c r="AV74" i="30" s="1"/>
  <c r="CA74" i="30" a="1"/>
  <c r="CA74" i="30" s="1"/>
  <c r="AZ74" i="30" a="1"/>
  <c r="AZ74" i="30" s="1"/>
  <c r="BX74" i="30" a="1"/>
  <c r="BX74" i="30" s="1"/>
  <c r="BI74" i="30" a="1"/>
  <c r="BI74" i="30" s="1"/>
  <c r="BU74" i="30" a="1"/>
  <c r="BU74" i="30" s="1"/>
  <c r="BC74" i="30" a="1"/>
  <c r="BC74" i="30" s="1"/>
  <c r="AY74" i="30" a="1"/>
  <c r="AY74" i="30" s="1"/>
  <c r="BZ74" i="30" a="1"/>
  <c r="BZ74" i="30" s="1"/>
  <c r="AJ74" i="30" a="1"/>
  <c r="AJ74" i="30" s="1"/>
  <c r="BT74" i="30" a="1"/>
  <c r="BT74" i="30" s="1"/>
  <c r="BH74" i="30" a="1"/>
  <c r="BH74" i="30" s="1"/>
  <c r="BI27" i="22"/>
  <c r="W27" i="22" s="1"/>
  <c r="CC150" i="8" a="1"/>
  <c r="CC150" i="8" s="1"/>
  <c r="CC20" i="8"/>
  <c r="CC21" i="8" s="1"/>
  <c r="AO150" i="8" a="1"/>
  <c r="AO150" i="8" s="1"/>
  <c r="AO20" i="8"/>
  <c r="AO21" i="8" s="1"/>
  <c r="AC150" i="8" a="1"/>
  <c r="AC150" i="8" s="1"/>
  <c r="AC20" i="8"/>
  <c r="AC21" i="8" s="1"/>
  <c r="I50" i="9"/>
  <c r="I66" i="9" a="1"/>
  <c r="I66" i="9" s="1"/>
  <c r="I20" i="9"/>
  <c r="I60" i="9"/>
  <c r="I70" i="9" s="1" a="1"/>
  <c r="I70" i="9" s="1"/>
  <c r="X50" i="9"/>
  <c r="X60" i="9"/>
  <c r="X70" i="9" s="1" a="1"/>
  <c r="X70" i="9" s="1"/>
  <c r="X20" i="9"/>
  <c r="X66" i="9" a="1"/>
  <c r="X66" i="9" s="1"/>
  <c r="Z20" i="9"/>
  <c r="Z60" i="9"/>
  <c r="Z70" i="9" s="1" a="1"/>
  <c r="Z70" i="9" s="1"/>
  <c r="Z66" i="9" a="1"/>
  <c r="Z66" i="9" s="1"/>
  <c r="Z50" i="9"/>
  <c r="BV20" i="9"/>
  <c r="BV60" i="9"/>
  <c r="BV70" i="9" s="1" a="1"/>
  <c r="BV70" i="9" s="1"/>
  <c r="BV50" i="9"/>
  <c r="BV66" i="9" a="1"/>
  <c r="BV66" i="9" s="1"/>
  <c r="S50" i="9"/>
  <c r="S60" i="9"/>
  <c r="S70" i="9" s="1" a="1"/>
  <c r="S70" i="9" s="1"/>
  <c r="S66" i="9" a="1"/>
  <c r="S66" i="9" s="1"/>
  <c r="S20" i="9"/>
  <c r="W20" i="9"/>
  <c r="W60" i="9"/>
  <c r="W70" i="9" s="1" a="1"/>
  <c r="W70" i="9" s="1"/>
  <c r="W50" i="9"/>
  <c r="W66" i="9" a="1"/>
  <c r="W66" i="9" s="1"/>
  <c r="BT60" i="9"/>
  <c r="BT70" i="9" s="1" a="1"/>
  <c r="BT70" i="9" s="1"/>
  <c r="BT50" i="9"/>
  <c r="BT20" i="9"/>
  <c r="BT66" i="9" a="1"/>
  <c r="BT66" i="9" s="1"/>
  <c r="AA20" i="9"/>
  <c r="AA66" i="9" a="1"/>
  <c r="AA66" i="9" s="1"/>
  <c r="AA60" i="9"/>
  <c r="AA70" i="9" s="1" a="1"/>
  <c r="AA70" i="9" s="1"/>
  <c r="AA50" i="9"/>
  <c r="BL150" i="8" a="1"/>
  <c r="BL150" i="8" s="1"/>
  <c r="BL20" i="8"/>
  <c r="BL21" i="8" s="1"/>
  <c r="J20" i="8"/>
  <c r="J21" i="8" s="1"/>
  <c r="J150" i="8" a="1"/>
  <c r="J150" i="8" s="1"/>
  <c r="BV20" i="8"/>
  <c r="BV21" i="8" s="1"/>
  <c r="BV150" i="8" a="1"/>
  <c r="BV150" i="8" s="1"/>
  <c r="BB20" i="8"/>
  <c r="BB21" i="8" s="1"/>
  <c r="BB150" i="8" a="1"/>
  <c r="BB150" i="8" s="1"/>
  <c r="BO27" i="22"/>
  <c r="BH104" i="13"/>
  <c r="S105" i="12"/>
  <c r="AK105" i="12"/>
  <c r="BY150" i="8" a="1"/>
  <c r="BY150" i="8" s="1"/>
  <c r="BY20" i="8"/>
  <c r="BY21" i="8" s="1"/>
  <c r="N150" i="8" a="1"/>
  <c r="N150" i="8" s="1"/>
  <c r="N20" i="8"/>
  <c r="N21" i="8" s="1"/>
  <c r="AE27" i="22"/>
  <c r="BP150" i="8" a="1"/>
  <c r="BP150" i="8" s="1"/>
  <c r="BP20" i="8"/>
  <c r="BP21" i="8" s="1"/>
  <c r="CA150" i="8" a="1"/>
  <c r="CA150" i="8" s="1"/>
  <c r="CA20" i="8"/>
  <c r="CA21" i="8" s="1"/>
  <c r="CG150" i="8" a="1"/>
  <c r="CG150" i="8" s="1"/>
  <c r="CG20" i="8"/>
  <c r="CG21" i="8" s="1"/>
  <c r="BK60" i="9"/>
  <c r="BK70" i="9" s="1" a="1"/>
  <c r="BK70" i="9" s="1"/>
  <c r="BK66" i="9" a="1"/>
  <c r="BK66" i="9" s="1"/>
  <c r="BK50" i="9"/>
  <c r="BK20" i="9"/>
  <c r="BR66" i="9" a="1"/>
  <c r="BR66" i="9" s="1"/>
  <c r="BR50" i="9"/>
  <c r="BR60" i="9"/>
  <c r="BR70" i="9" s="1" a="1"/>
  <c r="BR70" i="9" s="1"/>
  <c r="BR20" i="9"/>
  <c r="AV60" i="9"/>
  <c r="AV70" i="9" s="1" a="1"/>
  <c r="AV70" i="9" s="1"/>
  <c r="AV50" i="9"/>
  <c r="AV66" i="9" a="1"/>
  <c r="AV66" i="9" s="1"/>
  <c r="AV20" i="9"/>
  <c r="AP60" i="9"/>
  <c r="AP70" i="9" s="1" a="1"/>
  <c r="AP70" i="9" s="1"/>
  <c r="AP50" i="9"/>
  <c r="AP20" i="9"/>
  <c r="AP66" i="9" a="1"/>
  <c r="AP66" i="9" s="1"/>
  <c r="AT150" i="8" a="1"/>
  <c r="AT150" i="8" s="1"/>
  <c r="AT20" i="8"/>
  <c r="AT21" i="8" s="1"/>
  <c r="AQ150" i="8" a="1"/>
  <c r="AQ150" i="8" s="1"/>
  <c r="AQ20" i="8"/>
  <c r="AQ21" i="8" s="1"/>
  <c r="BS20" i="8"/>
  <c r="BS21" i="8" s="1"/>
  <c r="BS150" i="8" a="1"/>
  <c r="BS150" i="8" s="1"/>
  <c r="K150" i="8" a="1"/>
  <c r="K150" i="8" s="1"/>
  <c r="K20" i="8"/>
  <c r="K21" i="8" s="1"/>
  <c r="BY139" i="22"/>
  <c r="E132" i="22" a="1"/>
  <c r="E132" i="22" s="1"/>
  <c r="AQ27" i="22"/>
  <c r="AR20" i="8"/>
  <c r="AR21" i="8" s="1"/>
  <c r="AR150" i="8" a="1"/>
  <c r="AR150" i="8" s="1"/>
  <c r="BR27" i="22"/>
  <c r="BW150" i="8" a="1"/>
  <c r="BW150" i="8" s="1"/>
  <c r="BW20" i="8"/>
  <c r="BW21" i="8" s="1"/>
  <c r="BE150" i="8" a="1"/>
  <c r="BE150" i="8" s="1"/>
  <c r="BE20" i="8"/>
  <c r="BE21" i="8" s="1"/>
  <c r="Y150" i="8" a="1"/>
  <c r="Y150" i="8" s="1"/>
  <c r="Y20" i="8"/>
  <c r="Y21" i="8" s="1"/>
  <c r="AF20" i="8"/>
  <c r="AF21" i="8" s="1"/>
  <c r="AF150" i="8" a="1"/>
  <c r="AF150" i="8" s="1"/>
  <c r="AK27" i="22"/>
  <c r="O27" i="22" s="1"/>
  <c r="P20" i="8"/>
  <c r="P21" i="8" s="1"/>
  <c r="P150" i="8" a="1"/>
  <c r="P150" i="8" s="1"/>
  <c r="S114" i="12"/>
  <c r="AN20" i="8"/>
  <c r="AN21" i="8" s="1"/>
  <c r="AN150" i="8" a="1"/>
  <c r="AN150" i="8" s="1"/>
  <c r="BZ150" i="8" a="1"/>
  <c r="BZ150" i="8" s="1"/>
  <c r="BZ20" i="8"/>
  <c r="BZ21" i="8" s="1"/>
  <c r="CF150" i="8" a="1"/>
  <c r="CF150" i="8" s="1"/>
  <c r="CF20" i="8"/>
  <c r="CF21" i="8" s="1"/>
  <c r="BK150" i="8" a="1"/>
  <c r="BK150" i="8" s="1"/>
  <c r="BK20" i="8"/>
  <c r="BK21" i="8" s="1"/>
  <c r="AA150" i="8" a="1"/>
  <c r="AA150" i="8" s="1"/>
  <c r="AA20" i="8"/>
  <c r="AA21" i="8" s="1"/>
  <c r="G60" i="9"/>
  <c r="G70" i="9" s="1" a="1"/>
  <c r="G70" i="9" s="1"/>
  <c r="G66" i="9" a="1"/>
  <c r="G66" i="9" s="1"/>
  <c r="G20" i="9"/>
  <c r="G50" i="9"/>
  <c r="AH20" i="9"/>
  <c r="AH66" i="9" a="1"/>
  <c r="AH66" i="9" s="1"/>
  <c r="AH50" i="9"/>
  <c r="AH60" i="9"/>
  <c r="AH70" i="9" s="1" a="1"/>
  <c r="AH70" i="9" s="1"/>
  <c r="BU50" i="9"/>
  <c r="BU60" i="9"/>
  <c r="BU70" i="9" s="1" a="1"/>
  <c r="BU70" i="9" s="1"/>
  <c r="BU20" i="9"/>
  <c r="BU66" i="9" a="1"/>
  <c r="BU66" i="9" s="1"/>
  <c r="AF60" i="9"/>
  <c r="AF70" i="9" s="1" a="1"/>
  <c r="AF70" i="9" s="1"/>
  <c r="AF66" i="9" a="1"/>
  <c r="AF66" i="9" s="1"/>
  <c r="AF50" i="9"/>
  <c r="AF20" i="9"/>
  <c r="Y50" i="9"/>
  <c r="Y20" i="9"/>
  <c r="Y66" i="9" a="1"/>
  <c r="Y66" i="9" s="1"/>
  <c r="Y60" i="9"/>
  <c r="Y70" i="9" s="1" a="1"/>
  <c r="Y70" i="9" s="1"/>
  <c r="AO20" i="9"/>
  <c r="AO60" i="9"/>
  <c r="AO70" i="9" s="1" a="1"/>
  <c r="AO70" i="9" s="1"/>
  <c r="AO66" i="9" a="1"/>
  <c r="AO66" i="9" s="1"/>
  <c r="AO50" i="9"/>
  <c r="V60" i="9"/>
  <c r="V70" i="9" s="1" a="1"/>
  <c r="V70" i="9" s="1"/>
  <c r="V66" i="9" a="1"/>
  <c r="V66" i="9" s="1"/>
  <c r="V20" i="9"/>
  <c r="V50" i="9"/>
  <c r="AX60" i="9"/>
  <c r="AX70" i="9" s="1" a="1"/>
  <c r="AX70" i="9" s="1"/>
  <c r="AX50" i="9"/>
  <c r="AX66" i="9" a="1"/>
  <c r="AX66" i="9" s="1"/>
  <c r="AX20" i="9"/>
  <c r="H60" i="9"/>
  <c r="H70" i="9" s="1" a="1"/>
  <c r="H70" i="9" s="1"/>
  <c r="H20" i="9"/>
  <c r="H66" i="9" a="1"/>
  <c r="H66" i="9" s="1"/>
  <c r="H50" i="9"/>
  <c r="BO60" i="9"/>
  <c r="BO70" i="9" s="1" a="1"/>
  <c r="BO70" i="9" s="1"/>
  <c r="BO66" i="9" a="1"/>
  <c r="BO66" i="9" s="1"/>
  <c r="BO20" i="9"/>
  <c r="BO50" i="9"/>
  <c r="AI60" i="9"/>
  <c r="AI70" i="9" s="1" a="1"/>
  <c r="AI70" i="9" s="1"/>
  <c r="AI50" i="9"/>
  <c r="AI20" i="9"/>
  <c r="AI66" i="9" a="1"/>
  <c r="AI66" i="9" s="1"/>
  <c r="AJ105" i="12"/>
  <c r="BE104" i="13"/>
  <c r="BV139" i="22"/>
  <c r="E129" i="22" a="1"/>
  <c r="E129" i="22" s="1"/>
  <c r="CB20" i="8"/>
  <c r="CB21" i="8" s="1"/>
  <c r="CB150" i="8" a="1"/>
  <c r="CB150" i="8" s="1"/>
  <c r="AE150" i="8" a="1"/>
  <c r="AE150" i="8" s="1"/>
  <c r="AE20" i="8"/>
  <c r="AE21" i="8" s="1"/>
  <c r="U150" i="8" a="1"/>
  <c r="U150" i="8" s="1"/>
  <c r="U20" i="8"/>
  <c r="U21" i="8" s="1"/>
  <c r="O20" i="8"/>
  <c r="O21" i="8" s="1"/>
  <c r="O150" i="8" a="1"/>
  <c r="O150" i="8" s="1"/>
  <c r="AL60" i="9"/>
  <c r="AL70" i="9" s="1" a="1"/>
  <c r="AL70" i="9" s="1"/>
  <c r="AL20" i="9"/>
  <c r="AL66" i="9" a="1"/>
  <c r="AL66" i="9" s="1"/>
  <c r="AL50" i="9"/>
  <c r="U60" i="9"/>
  <c r="U70" i="9" s="1" a="1"/>
  <c r="U70" i="9" s="1"/>
  <c r="U66" i="9" a="1"/>
  <c r="U66" i="9" s="1"/>
  <c r="U50" i="9"/>
  <c r="U20" i="9"/>
  <c r="BB50" i="9"/>
  <c r="BB66" i="9" a="1"/>
  <c r="BB66" i="9" s="1"/>
  <c r="BB60" i="9"/>
  <c r="BB70" i="9" s="1" a="1"/>
  <c r="BB70" i="9" s="1"/>
  <c r="BB20" i="9"/>
  <c r="BS60" i="9"/>
  <c r="BS70" i="9" s="1" a="1"/>
  <c r="BS70" i="9" s="1"/>
  <c r="BS66" i="9" a="1"/>
  <c r="BS66" i="9" s="1"/>
  <c r="BS20" i="9"/>
  <c r="BS50" i="9"/>
  <c r="BC20" i="9"/>
  <c r="BC50" i="9"/>
  <c r="BC60" i="9"/>
  <c r="BC70" i="9" s="1" a="1"/>
  <c r="BC70" i="9" s="1"/>
  <c r="BC66" i="9" a="1"/>
  <c r="BC66" i="9" s="1"/>
  <c r="R60" i="9"/>
  <c r="R70" i="9" s="1" a="1"/>
  <c r="R70" i="9" s="1"/>
  <c r="R66" i="9" a="1"/>
  <c r="R66" i="9" s="1"/>
  <c r="R20" i="9"/>
  <c r="R50" i="9"/>
  <c r="AI68" i="30" a="1"/>
  <c r="AI68" i="30" s="1"/>
  <c r="AX68" i="30" a="1"/>
  <c r="AX68" i="30" s="1"/>
  <c r="AL68" i="30" a="1"/>
  <c r="AL68" i="30" s="1"/>
  <c r="BG68" i="30" a="1"/>
  <c r="BG68" i="30" s="1"/>
  <c r="AF68" i="30" a="1"/>
  <c r="AF68" i="30" s="1"/>
  <c r="AO68" i="30" a="1"/>
  <c r="AO68" i="30" s="1"/>
  <c r="AU68" i="30" a="1"/>
  <c r="AU68" i="30" s="1"/>
  <c r="BD68" i="30" a="1"/>
  <c r="BD68" i="30" s="1"/>
  <c r="BT68" i="30" a="1"/>
  <c r="BT68" i="30" s="1"/>
  <c r="BJ68" i="30" a="1"/>
  <c r="BJ68" i="30" s="1"/>
  <c r="BR68" i="30" a="1"/>
  <c r="BR68" i="30" s="1"/>
  <c r="BA68" i="30" a="1"/>
  <c r="BA68" i="30" s="1"/>
  <c r="BM68" i="30" a="1"/>
  <c r="BM68" i="30" s="1"/>
  <c r="BQ68" i="30" a="1"/>
  <c r="BQ68" i="30" s="1"/>
  <c r="AR68" i="30" a="1"/>
  <c r="AR68" i="30" s="1"/>
  <c r="BP68" i="30" a="1"/>
  <c r="BP68" i="30" s="1"/>
  <c r="BU68" i="30" a="1"/>
  <c r="BU68" i="30" s="1"/>
  <c r="BS68" i="30" a="1"/>
  <c r="BS68" i="30" s="1"/>
  <c r="BZ68" i="30" a="1"/>
  <c r="BZ68" i="30" s="1"/>
  <c r="BV68" i="30" a="1"/>
  <c r="BV68" i="30" s="1"/>
  <c r="CA68" i="30" a="1"/>
  <c r="CA68" i="30" s="1"/>
  <c r="BX68" i="30" a="1"/>
  <c r="BX68" i="30" s="1"/>
  <c r="BY68" i="30" a="1"/>
  <c r="BY68" i="30" s="1"/>
  <c r="BI68" i="30" a="1"/>
  <c r="BI68" i="30" s="1"/>
  <c r="BN68" i="30" a="1"/>
  <c r="BN68" i="30" s="1"/>
  <c r="BK68" i="30" a="1"/>
  <c r="BK68" i="30" s="1"/>
  <c r="BW68" i="30" a="1"/>
  <c r="BW68" i="30" s="1"/>
  <c r="AQ68" i="30" a="1"/>
  <c r="AQ68" i="30" s="1"/>
  <c r="AG68" i="30" a="1"/>
  <c r="AG68" i="30" s="1"/>
  <c r="BE68" i="30" a="1"/>
  <c r="BE68" i="30" s="1"/>
  <c r="BO68" i="30" a="1"/>
  <c r="BO68" i="30" s="1"/>
  <c r="BH68" i="30" a="1"/>
  <c r="BH68" i="30" s="1"/>
  <c r="BB68" i="30" a="1"/>
  <c r="BB68" i="30" s="1"/>
  <c r="AT68" i="30" a="1"/>
  <c r="AT68" i="30" s="1"/>
  <c r="BL68" i="30" a="1"/>
  <c r="BL68" i="30" s="1"/>
  <c r="AN68" i="30" a="1"/>
  <c r="AN68" i="30" s="1"/>
  <c r="AV68" i="30" a="1"/>
  <c r="AV68" i="30" s="1"/>
  <c r="BC68" i="30" a="1"/>
  <c r="BC68" i="30" s="1"/>
  <c r="AK68" i="30" a="1"/>
  <c r="AK68" i="30" s="1"/>
  <c r="AH68" i="30" a="1"/>
  <c r="AH68" i="30" s="1"/>
  <c r="AJ68" i="30" a="1"/>
  <c r="AJ68" i="30" s="1"/>
  <c r="AS68" i="30" a="1"/>
  <c r="AS68" i="30" s="1"/>
  <c r="BF68" i="30" a="1"/>
  <c r="BF68" i="30" s="1"/>
  <c r="AY68" i="30" a="1"/>
  <c r="AY68" i="30" s="1"/>
  <c r="AZ68" i="30" a="1"/>
  <c r="AZ68" i="30" s="1"/>
  <c r="AP68" i="30" a="1"/>
  <c r="AP68" i="30" s="1"/>
  <c r="AM68" i="30" a="1"/>
  <c r="AM68" i="30" s="1"/>
  <c r="AW68" i="30" a="1"/>
  <c r="AW68" i="30" s="1"/>
  <c r="BE66" i="9" a="1"/>
  <c r="BE66" i="9" s="1"/>
  <c r="BE20" i="9"/>
  <c r="BE50" i="9"/>
  <c r="BE60" i="9"/>
  <c r="BE70" i="9" s="1" a="1"/>
  <c r="BE70" i="9" s="1"/>
  <c r="BD60" i="9"/>
  <c r="BD70" i="9" s="1" a="1"/>
  <c r="BD70" i="9" s="1"/>
  <c r="BD50" i="9"/>
  <c r="BD20" i="9"/>
  <c r="BD66" i="9" a="1"/>
  <c r="BD66" i="9" s="1"/>
  <c r="BF60" i="9"/>
  <c r="BF70" i="9" s="1" a="1"/>
  <c r="BF70" i="9" s="1"/>
  <c r="BF20" i="9"/>
  <c r="BF66" i="9" a="1"/>
  <c r="BF66" i="9" s="1"/>
  <c r="BF50" i="9"/>
  <c r="BQ50" i="9"/>
  <c r="BQ66" i="9" a="1"/>
  <c r="BQ66" i="9" s="1"/>
  <c r="BQ20" i="9"/>
  <c r="BQ60" i="9"/>
  <c r="BQ70" i="9" s="1" a="1"/>
  <c r="BQ70" i="9" s="1"/>
  <c r="BY60" i="9"/>
  <c r="BY70" i="9" s="1" a="1"/>
  <c r="BY70" i="9" s="1"/>
  <c r="BY50" i="9"/>
  <c r="BY66" i="9" a="1"/>
  <c r="BY66" i="9" s="1"/>
  <c r="BY20" i="9"/>
  <c r="J86" i="30"/>
  <c r="Y86" i="30"/>
  <c r="BA150" i="8" a="1"/>
  <c r="BA150" i="8" s="1"/>
  <c r="BA20" i="8"/>
  <c r="BA21" i="8" s="1"/>
  <c r="AZ27" i="22"/>
  <c r="T27" i="22" s="1"/>
  <c r="BP50" i="9"/>
  <c r="BP20" i="9"/>
  <c r="BP60" i="9"/>
  <c r="BP70" i="9" s="1" a="1"/>
  <c r="BP70" i="9" s="1"/>
  <c r="BP66" i="9" a="1"/>
  <c r="BP66" i="9" s="1"/>
  <c r="AR60" i="9"/>
  <c r="AR70" i="9" s="1" a="1"/>
  <c r="AR70" i="9" s="1"/>
  <c r="AR66" i="9" a="1"/>
  <c r="AR66" i="9" s="1"/>
  <c r="AR20" i="9"/>
  <c r="AR50" i="9"/>
  <c r="AS20" i="9"/>
  <c r="AS66" i="9" a="1"/>
  <c r="AS66" i="9" s="1"/>
  <c r="AS50" i="9"/>
  <c r="AS60" i="9"/>
  <c r="AS70" i="9" s="1" a="1"/>
  <c r="AS70" i="9" s="1"/>
  <c r="AB20" i="8"/>
  <c r="AB21" i="8" s="1"/>
  <c r="AB150" i="8" a="1"/>
  <c r="AB150" i="8" s="1"/>
  <c r="AW27" i="22"/>
  <c r="S27" i="22" s="1"/>
  <c r="BM150" i="8" a="1"/>
  <c r="BM150" i="8" s="1"/>
  <c r="BM20" i="8"/>
  <c r="BM21" i="8" s="1"/>
  <c r="BW139" i="22"/>
  <c r="E130" i="22" a="1"/>
  <c r="E130" i="22" s="1"/>
  <c r="AU20" i="8"/>
  <c r="AU21" i="8" s="1"/>
  <c r="AU150" i="8" a="1"/>
  <c r="AU150" i="8" s="1"/>
  <c r="BD150" i="8" a="1"/>
  <c r="BD150" i="8" s="1"/>
  <c r="BD20" i="8"/>
  <c r="BD21" i="8" s="1"/>
  <c r="AN27" i="22"/>
  <c r="P27" i="22" s="1"/>
  <c r="CE150" i="8" a="1"/>
  <c r="CE150" i="8" s="1"/>
  <c r="CE20" i="8"/>
  <c r="CE21" i="8" s="1"/>
  <c r="AX20" i="8"/>
  <c r="AX21" i="8" s="1"/>
  <c r="AX150" i="8" a="1"/>
  <c r="AX150" i="8" s="1"/>
  <c r="AM60" i="9"/>
  <c r="AM70" i="9" s="1" a="1"/>
  <c r="AM70" i="9" s="1"/>
  <c r="AM66" i="9" a="1"/>
  <c r="AM66" i="9" s="1"/>
  <c r="AM20" i="9"/>
  <c r="AM50" i="9"/>
  <c r="T20" i="9"/>
  <c r="T66" i="9" a="1"/>
  <c r="T66" i="9" s="1"/>
  <c r="T50" i="9"/>
  <c r="T60" i="9"/>
  <c r="T70" i="9" s="1" a="1"/>
  <c r="T70" i="9" s="1"/>
  <c r="BA20" i="9"/>
  <c r="BA66" i="9" a="1"/>
  <c r="BA66" i="9" s="1"/>
  <c r="BA50" i="9"/>
  <c r="BA60" i="9"/>
  <c r="BA70" i="9" s="1" a="1"/>
  <c r="BA70" i="9" s="1"/>
  <c r="BJ60" i="9"/>
  <c r="BJ70" i="9" s="1" a="1"/>
  <c r="BJ70" i="9" s="1"/>
  <c r="BJ50" i="9"/>
  <c r="BJ20" i="9"/>
  <c r="BJ66" i="9" a="1"/>
  <c r="BJ66" i="9" s="1"/>
  <c r="AO20" i="7" l="1" a="1"/>
  <c r="AO20" i="7" s="1"/>
  <c r="E30" i="7" s="1"/>
  <c r="AG20" i="7"/>
  <c r="F30" i="7" s="1"/>
  <c r="D30" i="7"/>
  <c r="AO16" i="7" a="1"/>
  <c r="AO16" i="7" s="1"/>
  <c r="E19" i="7" s="1"/>
  <c r="AG16" i="7"/>
  <c r="F19" i="7" s="1"/>
  <c r="D19" i="7"/>
  <c r="AP20" i="7" a="1"/>
  <c r="AP20" i="7" s="1"/>
  <c r="E31" i="7" s="1"/>
  <c r="AJ20" i="7"/>
  <c r="F31" i="7" s="1"/>
  <c r="D31" i="7"/>
  <c r="AQ20" i="7" a="1"/>
  <c r="AQ20" i="7" s="1"/>
  <c r="E32" i="7" s="1"/>
  <c r="AM20" i="7"/>
  <c r="F32" i="7" s="1"/>
  <c r="AM16" i="7"/>
  <c r="F21" i="7" s="1"/>
  <c r="AQ16" i="7" a="1"/>
  <c r="AQ16" i="7" s="1"/>
  <c r="E21" i="7" s="1"/>
  <c r="D20" i="7"/>
  <c r="AJ16" i="7"/>
  <c r="F20" i="7" s="1"/>
  <c r="AP16" i="7" a="1"/>
  <c r="AP16" i="7" s="1"/>
  <c r="E20" i="7" s="1"/>
  <c r="AG19" i="7"/>
  <c r="V19" i="7"/>
  <c r="AO19" i="7" a="1"/>
  <c r="AO19" i="7" s="1"/>
  <c r="W19" i="7" s="1"/>
  <c r="AP17" i="7" a="1"/>
  <c r="AP17" i="7" s="1"/>
  <c r="K20" i="7" s="1"/>
  <c r="AJ17" i="7"/>
  <c r="L20" i="7" s="1"/>
  <c r="J20" i="7"/>
  <c r="AQ18" i="7" a="1"/>
  <c r="AQ18" i="7" s="1"/>
  <c r="Q21" i="7" s="1"/>
  <c r="AM18" i="7"/>
  <c r="R21" i="7" s="1"/>
  <c r="J19" i="7"/>
  <c r="AO17" i="7" a="1"/>
  <c r="AO17" i="7" s="1"/>
  <c r="K19" i="7" s="1"/>
  <c r="AG17" i="7"/>
  <c r="L19" i="7" s="1"/>
  <c r="AP18" i="7" a="1"/>
  <c r="AP18" i="7" s="1"/>
  <c r="Q20" i="7" s="1"/>
  <c r="AJ18" i="7"/>
  <c r="R20" i="7" s="1"/>
  <c r="P20" i="7"/>
  <c r="AM19" i="7"/>
  <c r="AQ19" i="7" a="1"/>
  <c r="AQ19" i="7" s="1"/>
  <c r="W21" i="7" s="1"/>
  <c r="AQ17" i="7" a="1"/>
  <c r="AQ17" i="7" s="1"/>
  <c r="K21" i="7" s="1"/>
  <c r="AM17" i="7"/>
  <c r="L21" i="7" s="1"/>
  <c r="AG18" i="7"/>
  <c r="R19" i="7" s="1"/>
  <c r="P19" i="7"/>
  <c r="AO18" i="7" a="1"/>
  <c r="AO18" i="7" s="1"/>
  <c r="Q19" i="7" s="1"/>
  <c r="AJ19" i="7"/>
  <c r="V20" i="7"/>
  <c r="AP19" i="7" a="1"/>
  <c r="AP19" i="7" s="1"/>
  <c r="W20" i="7" s="1"/>
  <c r="M88" i="33" a="1"/>
  <c r="M88" i="33" s="1"/>
  <c r="I88" i="33" a="1"/>
  <c r="I88" i="33" s="1"/>
  <c r="G88" i="33" a="1"/>
  <c r="G88" i="33" s="1"/>
  <c r="I33" i="33"/>
  <c r="M33" i="33"/>
  <c r="N20" i="33"/>
  <c r="O20" i="33" s="1"/>
  <c r="J20" i="33"/>
  <c r="K20" i="33" s="1"/>
  <c r="G100" i="33" a="1"/>
  <c r="G100" i="33" s="1"/>
  <c r="G23" i="33"/>
  <c r="G24" i="33" s="1"/>
  <c r="BU31" i="30"/>
  <c r="W30" i="22"/>
  <c r="BQ31" i="30"/>
  <c r="R30" i="22"/>
  <c r="I139" i="22"/>
  <c r="X139" i="22"/>
  <c r="AB133" i="22"/>
  <c r="J133" i="22"/>
  <c r="O74" i="30"/>
  <c r="X73" i="30"/>
  <c r="Q73" i="30"/>
  <c r="J32" i="7"/>
  <c r="CA31" i="30"/>
  <c r="BR31" i="30"/>
  <c r="AA73" i="30"/>
  <c r="BT31" i="30"/>
  <c r="S30" i="22"/>
  <c r="O73" i="30"/>
  <c r="BZ31" i="30"/>
  <c r="P74" i="30"/>
  <c r="T74" i="30"/>
  <c r="T73" i="30"/>
  <c r="U73" i="30"/>
  <c r="N30" i="22"/>
  <c r="T30" i="22"/>
  <c r="AA74" i="30"/>
  <c r="S68" i="30"/>
  <c r="X74" i="30"/>
  <c r="AC73" i="30"/>
  <c r="S73" i="30"/>
  <c r="W68" i="30"/>
  <c r="V30" i="22"/>
  <c r="AQ21" i="7" a="1"/>
  <c r="AQ21" i="7" s="1"/>
  <c r="K32" i="7" s="1"/>
  <c r="AM21" i="7"/>
  <c r="L32" i="7" s="1"/>
  <c r="BX31" i="30"/>
  <c r="Q68" i="30"/>
  <c r="BK30" i="8"/>
  <c r="BP30" i="8"/>
  <c r="BB30" i="8"/>
  <c r="Q74" i="30"/>
  <c r="C10" i="4" a="1"/>
  <c r="C10" i="4" s="1"/>
  <c r="D10" i="4" s="1"/>
  <c r="E10" i="4" s="1"/>
  <c r="V30" i="8"/>
  <c r="W73" i="30"/>
  <c r="BS30" i="8"/>
  <c r="W30" i="8"/>
  <c r="BE30" i="8"/>
  <c r="CF30" i="8"/>
  <c r="AQ30" i="8"/>
  <c r="M27" i="22"/>
  <c r="M30" i="22" s="1"/>
  <c r="G27" i="22"/>
  <c r="G30" i="22" s="1"/>
  <c r="BV30" i="8"/>
  <c r="AC30" i="8"/>
  <c r="AL30" i="8"/>
  <c r="AB27" i="22"/>
  <c r="AB30" i="22" s="1"/>
  <c r="E131" i="22" a="1"/>
  <c r="E131" i="22" s="1"/>
  <c r="BX139" i="22"/>
  <c r="AB139" i="22" s="1"/>
  <c r="X30" i="22"/>
  <c r="BX30" i="8"/>
  <c r="BO30" i="8"/>
  <c r="BW30" i="8"/>
  <c r="R74" i="30"/>
  <c r="I74" i="30"/>
  <c r="BF30" i="8"/>
  <c r="AV30" i="8"/>
  <c r="I73" i="30"/>
  <c r="R73" i="30"/>
  <c r="AU30" i="8"/>
  <c r="BW121" i="22"/>
  <c r="BQ121" i="22"/>
  <c r="BS121" i="22"/>
  <c r="BY121" i="22"/>
  <c r="BU121" i="22"/>
  <c r="BV121" i="22"/>
  <c r="BT121" i="22"/>
  <c r="BR121" i="22"/>
  <c r="BP121" i="22"/>
  <c r="BX121" i="22"/>
  <c r="BZ121" i="22"/>
  <c r="P121" i="22" s="1"/>
  <c r="BN121" i="22"/>
  <c r="BO121" i="22"/>
  <c r="P68" i="30"/>
  <c r="BM30" i="8"/>
  <c r="AA68" i="30"/>
  <c r="BS31" i="30"/>
  <c r="T68" i="30"/>
  <c r="AE30" i="8"/>
  <c r="BZ30" i="8"/>
  <c r="AT30" i="8"/>
  <c r="J30" i="8"/>
  <c r="AO30" i="8"/>
  <c r="AC74" i="30"/>
  <c r="BU30" i="8"/>
  <c r="BH30" i="8"/>
  <c r="BG30" i="8"/>
  <c r="K73" i="30"/>
  <c r="Z73" i="30"/>
  <c r="BJ30" i="8"/>
  <c r="O68" i="30"/>
  <c r="BR139" i="22"/>
  <c r="Z139" i="22" s="1"/>
  <c r="Z27" i="22"/>
  <c r="Z30" i="22" s="1"/>
  <c r="E125" i="22" a="1"/>
  <c r="E125" i="22" s="1"/>
  <c r="N30" i="8"/>
  <c r="BL30" i="8"/>
  <c r="S74" i="30"/>
  <c r="I27" i="22"/>
  <c r="I30" i="22" s="1"/>
  <c r="U27" i="22"/>
  <c r="U30" i="22" s="1"/>
  <c r="AM30" i="8"/>
  <c r="AB68" i="30"/>
  <c r="BV31" i="30"/>
  <c r="U30" i="8"/>
  <c r="K68" i="30"/>
  <c r="Z68" i="30"/>
  <c r="BP31" i="30"/>
  <c r="CC30" i="8"/>
  <c r="Y74" i="30"/>
  <c r="U74" i="30"/>
  <c r="BI30" i="8"/>
  <c r="X30" i="8"/>
  <c r="AG30" i="8"/>
  <c r="BX126" i="22"/>
  <c r="BW126" i="22"/>
  <c r="BT126" i="22"/>
  <c r="BU126" i="22"/>
  <c r="BS126" i="22"/>
  <c r="BY126" i="22"/>
  <c r="BZ126" i="22"/>
  <c r="BV126" i="22"/>
  <c r="BN30" i="8"/>
  <c r="BO31" i="30"/>
  <c r="I68" i="30"/>
  <c r="R68" i="30"/>
  <c r="CB30" i="8"/>
  <c r="AN30" i="8"/>
  <c r="Z30" i="8"/>
  <c r="AS30" i="8"/>
  <c r="AC68" i="30"/>
  <c r="BY31" i="30"/>
  <c r="Y30" i="8"/>
  <c r="BY30" i="8"/>
  <c r="K74" i="30"/>
  <c r="Z74" i="30"/>
  <c r="BW129" i="22"/>
  <c r="BZ129" i="22"/>
  <c r="BY129" i="22"/>
  <c r="BX129" i="22"/>
  <c r="BV129" i="22"/>
  <c r="AR30" i="8"/>
  <c r="W74" i="30"/>
  <c r="AH30" i="8"/>
  <c r="AJ21" i="7"/>
  <c r="L31" i="7" s="1"/>
  <c r="AP21" i="7" a="1"/>
  <c r="AP21" i="7" s="1"/>
  <c r="K31" i="7" s="1"/>
  <c r="J31" i="7"/>
  <c r="AP30" i="8"/>
  <c r="P73" i="30"/>
  <c r="H73" i="30"/>
  <c r="N73" i="30"/>
  <c r="BX130" i="22"/>
  <c r="BZ130" i="22"/>
  <c r="Q130" i="22" s="1"/>
  <c r="BY130" i="22"/>
  <c r="BW130" i="22"/>
  <c r="V74" i="30"/>
  <c r="J74" i="30"/>
  <c r="BU127" i="22"/>
  <c r="BX127" i="22"/>
  <c r="BT127" i="22"/>
  <c r="BW127" i="22"/>
  <c r="BZ127" i="22"/>
  <c r="P127" i="22" s="1"/>
  <c r="BY127" i="22"/>
  <c r="BV127" i="22"/>
  <c r="BU123" i="22"/>
  <c r="BR123" i="22"/>
  <c r="BV123" i="22"/>
  <c r="BW123" i="22"/>
  <c r="BT123" i="22"/>
  <c r="BX123" i="22"/>
  <c r="BP123" i="22"/>
  <c r="BS123" i="22"/>
  <c r="BQ123" i="22"/>
  <c r="BY123" i="22"/>
  <c r="BZ123" i="22"/>
  <c r="P123" i="22" s="1"/>
  <c r="AY30" i="8"/>
  <c r="O30" i="8"/>
  <c r="CE30" i="8"/>
  <c r="U68" i="30"/>
  <c r="P30" i="8"/>
  <c r="N74" i="30"/>
  <c r="H74" i="30"/>
  <c r="BQ30" i="8"/>
  <c r="AA27" i="22"/>
  <c r="AA30" i="22" s="1"/>
  <c r="BU139" i="22"/>
  <c r="AA139" i="22" s="1"/>
  <c r="E128" i="22" a="1"/>
  <c r="E128" i="22" s="1"/>
  <c r="CD30" i="8"/>
  <c r="AD30" i="8"/>
  <c r="Y73" i="30"/>
  <c r="AX30" i="8"/>
  <c r="AB30" i="8"/>
  <c r="H27" i="22"/>
  <c r="H30" i="22" s="1"/>
  <c r="Q27" i="22"/>
  <c r="Q30" i="22" s="1"/>
  <c r="BT30" i="8"/>
  <c r="AB73" i="30"/>
  <c r="Q30" i="8"/>
  <c r="H68" i="30"/>
  <c r="N68" i="30"/>
  <c r="BA30" i="8"/>
  <c r="BW31" i="30"/>
  <c r="T30" i="8"/>
  <c r="P30" i="22"/>
  <c r="X68" i="30"/>
  <c r="O30" i="22"/>
  <c r="BZ132" i="22"/>
  <c r="P132" i="22" s="1"/>
  <c r="BY132" i="22"/>
  <c r="CG30" i="8"/>
  <c r="Y27" i="22"/>
  <c r="Y30" i="22" s="1"/>
  <c r="J27" i="22"/>
  <c r="J30" i="22" s="1"/>
  <c r="BO139" i="22"/>
  <c r="E122" i="22" a="1"/>
  <c r="E122" i="22" s="1"/>
  <c r="BX124" i="22"/>
  <c r="BU124" i="22"/>
  <c r="BZ124" i="22"/>
  <c r="P124" i="22" s="1"/>
  <c r="BW124" i="22"/>
  <c r="BT124" i="22"/>
  <c r="BY124" i="22"/>
  <c r="BS124" i="22"/>
  <c r="BV124" i="22"/>
  <c r="BR124" i="22"/>
  <c r="BQ124" i="22"/>
  <c r="BC30" i="8"/>
  <c r="Y68" i="30"/>
  <c r="AB74" i="30"/>
  <c r="BR30" i="8"/>
  <c r="AG21" i="7"/>
  <c r="L30" i="7" s="1"/>
  <c r="J30" i="7"/>
  <c r="AO21" i="7" a="1"/>
  <c r="AO21" i="7" s="1"/>
  <c r="K30" i="7" s="1"/>
  <c r="AW30" i="8"/>
  <c r="BD30" i="8"/>
  <c r="V68" i="30"/>
  <c r="J68" i="30"/>
  <c r="AA30" i="8"/>
  <c r="AF30" i="8"/>
  <c r="K30" i="8"/>
  <c r="CA30" i="8"/>
  <c r="AZ30" i="8"/>
  <c r="BX104" i="12" a="1"/>
  <c r="BX104" i="12" s="1"/>
  <c r="AI30" i="8"/>
  <c r="V73" i="30"/>
  <c r="J73" i="30"/>
  <c r="M47" i="33" l="1"/>
  <c r="M48" i="33" s="1"/>
  <c r="M34" i="33"/>
  <c r="I47" i="33"/>
  <c r="I48" i="33" s="1"/>
  <c r="I34" i="33"/>
  <c r="N23" i="33"/>
  <c r="O23" i="33" s="1"/>
  <c r="J23" i="33"/>
  <c r="K23" i="33" s="1"/>
  <c r="G33" i="33"/>
  <c r="G34" i="33" s="1"/>
  <c r="N88" i="33"/>
  <c r="O88" i="33" s="1"/>
  <c r="J88" i="33"/>
  <c r="K88" i="33" s="1"/>
  <c r="BM42" i="8"/>
  <c r="BM43" i="8" s="1"/>
  <c r="BM31" i="8"/>
  <c r="AR42" i="8"/>
  <c r="AR43" i="8" s="1"/>
  <c r="AR31" i="8"/>
  <c r="AV42" i="8"/>
  <c r="AV43" i="8" s="1"/>
  <c r="AV31" i="8"/>
  <c r="W42" i="8"/>
  <c r="W43" i="8" s="1"/>
  <c r="W31" i="8"/>
  <c r="AM42" i="8"/>
  <c r="AM43" i="8" s="1"/>
  <c r="AM31" i="8"/>
  <c r="CC42" i="8"/>
  <c r="CC43" i="8" s="1"/>
  <c r="CC31" i="8"/>
  <c r="AQ42" i="8"/>
  <c r="AQ43" i="8" s="1"/>
  <c r="AQ31" i="8"/>
  <c r="AA42" i="8"/>
  <c r="AA43" i="8" s="1"/>
  <c r="AA31" i="8"/>
  <c r="BU42" i="8"/>
  <c r="BU43" i="8" s="1"/>
  <c r="BU31" i="8"/>
  <c r="BO42" i="8"/>
  <c r="BO43" i="8" s="1"/>
  <c r="BO31" i="8"/>
  <c r="AW42" i="8"/>
  <c r="AW43" i="8" s="1"/>
  <c r="AW31" i="8"/>
  <c r="Y42" i="8"/>
  <c r="Y43" i="8" s="1"/>
  <c r="Y31" i="8"/>
  <c r="AO42" i="8"/>
  <c r="AO43" i="8" s="1"/>
  <c r="AO31" i="8"/>
  <c r="BX42" i="8"/>
  <c r="BX43" i="8" s="1"/>
  <c r="BX31" i="8"/>
  <c r="V42" i="8"/>
  <c r="V43" i="8" s="1"/>
  <c r="V31" i="8"/>
  <c r="K42" i="8"/>
  <c r="K43" i="8" s="1"/>
  <c r="K31" i="8"/>
  <c r="BF42" i="8"/>
  <c r="BF43" i="8" s="1"/>
  <c r="BF31" i="8"/>
  <c r="U42" i="8"/>
  <c r="U43" i="8" s="1"/>
  <c r="U31" i="8"/>
  <c r="J42" i="8"/>
  <c r="J43" i="8" s="1"/>
  <c r="J31" i="8"/>
  <c r="BV42" i="8"/>
  <c r="BV43" i="8" s="1"/>
  <c r="BV31" i="8"/>
  <c r="AD42" i="8"/>
  <c r="AD43" i="8" s="1"/>
  <c r="AD31" i="8"/>
  <c r="CD42" i="8"/>
  <c r="CD43" i="8" s="1"/>
  <c r="CD31" i="8"/>
  <c r="CF42" i="8"/>
  <c r="CF43" i="8" s="1"/>
  <c r="CF31" i="8"/>
  <c r="BG42" i="8"/>
  <c r="BG43" i="8" s="1"/>
  <c r="BG31" i="8"/>
  <c r="BH42" i="8"/>
  <c r="BH43" i="8" s="1"/>
  <c r="BH31" i="8"/>
  <c r="BW42" i="8"/>
  <c r="BW43" i="8" s="1"/>
  <c r="BW31" i="8"/>
  <c r="AP42" i="8"/>
  <c r="AP43" i="8" s="1"/>
  <c r="AP31" i="8"/>
  <c r="AT42" i="8"/>
  <c r="AT43" i="8" s="1"/>
  <c r="AT31" i="8"/>
  <c r="AX42" i="8"/>
  <c r="AX43" i="8" s="1"/>
  <c r="AX31" i="8"/>
  <c r="AZ42" i="8"/>
  <c r="AZ43" i="8" s="1"/>
  <c r="AZ31" i="8"/>
  <c r="CA42" i="8"/>
  <c r="CA43" i="8" s="1"/>
  <c r="CA31" i="8"/>
  <c r="BY42" i="8"/>
  <c r="BY43" i="8" s="1"/>
  <c r="BY31" i="8"/>
  <c r="P42" i="8"/>
  <c r="P43" i="8" s="1"/>
  <c r="P31" i="8"/>
  <c r="BT42" i="8"/>
  <c r="BT43" i="8" s="1"/>
  <c r="BT31" i="8"/>
  <c r="CE42" i="8"/>
  <c r="CE43" i="8" s="1"/>
  <c r="CE31" i="8"/>
  <c r="AS42" i="8"/>
  <c r="AS43" i="8" s="1"/>
  <c r="AS31" i="8"/>
  <c r="AG42" i="8"/>
  <c r="AG43" i="8" s="1"/>
  <c r="AG31" i="8"/>
  <c r="BL42" i="8"/>
  <c r="BL43" i="8" s="1"/>
  <c r="BL31" i="8"/>
  <c r="BZ42" i="8"/>
  <c r="BZ43" i="8" s="1"/>
  <c r="BZ31" i="8"/>
  <c r="BB42" i="8"/>
  <c r="BB43" i="8" s="1"/>
  <c r="BB31" i="8"/>
  <c r="BC42" i="8"/>
  <c r="BC43" i="8" s="1"/>
  <c r="BC31" i="8"/>
  <c r="AF42" i="8"/>
  <c r="AF43" i="8" s="1"/>
  <c r="AF31" i="8"/>
  <c r="BA42" i="8"/>
  <c r="BA43" i="8" s="1"/>
  <c r="BA31" i="8"/>
  <c r="BD42" i="8"/>
  <c r="BD43" i="8" s="1"/>
  <c r="BD31" i="8"/>
  <c r="BR42" i="8"/>
  <c r="BR43" i="8" s="1"/>
  <c r="BR31" i="8"/>
  <c r="O42" i="8"/>
  <c r="O43" i="8" s="1"/>
  <c r="O31" i="8"/>
  <c r="Z42" i="8"/>
  <c r="Z43" i="8" s="1"/>
  <c r="Z31" i="8"/>
  <c r="X42" i="8"/>
  <c r="X43" i="8" s="1"/>
  <c r="X31" i="8"/>
  <c r="N42" i="8"/>
  <c r="N43" i="8" s="1"/>
  <c r="N31" i="8"/>
  <c r="AE42" i="8"/>
  <c r="AE43" i="8" s="1"/>
  <c r="AE31" i="8"/>
  <c r="BP42" i="8"/>
  <c r="BP43" i="8" s="1"/>
  <c r="BP31" i="8"/>
  <c r="AU42" i="8"/>
  <c r="AU43" i="8" s="1"/>
  <c r="AU31" i="8"/>
  <c r="BJ42" i="8"/>
  <c r="BJ43" i="8" s="1"/>
  <c r="BJ31" i="8"/>
  <c r="T42" i="8"/>
  <c r="T43" i="8" s="1"/>
  <c r="T31" i="8"/>
  <c r="BE42" i="8"/>
  <c r="BE43" i="8" s="1"/>
  <c r="BE31" i="8"/>
  <c r="BS42" i="8"/>
  <c r="BS43" i="8" s="1"/>
  <c r="BS31" i="8"/>
  <c r="Q42" i="8"/>
  <c r="Q43" i="8" s="1"/>
  <c r="Q31" i="8"/>
  <c r="AY42" i="8"/>
  <c r="AY43" i="8" s="1"/>
  <c r="AY31" i="8"/>
  <c r="AH42" i="8"/>
  <c r="AH43" i="8" s="1"/>
  <c r="AH31" i="8"/>
  <c r="AN42" i="8"/>
  <c r="AN43" i="8" s="1"/>
  <c r="AN31" i="8"/>
  <c r="BI42" i="8"/>
  <c r="BI43" i="8" s="1"/>
  <c r="BI31" i="8"/>
  <c r="AL42" i="8"/>
  <c r="AL43" i="8" s="1"/>
  <c r="AL31" i="8"/>
  <c r="BK42" i="8"/>
  <c r="BK43" i="8" s="1"/>
  <c r="BK31" i="8"/>
  <c r="BN42" i="8"/>
  <c r="BN43" i="8" s="1"/>
  <c r="BN31" i="8"/>
  <c r="BQ42" i="8"/>
  <c r="BQ43" i="8" s="1"/>
  <c r="BQ31" i="8"/>
  <c r="AI42" i="8"/>
  <c r="AI43" i="8" s="1"/>
  <c r="AI31" i="8"/>
  <c r="CG42" i="8"/>
  <c r="CG43" i="8" s="1"/>
  <c r="CG31" i="8"/>
  <c r="AB42" i="8"/>
  <c r="AB43" i="8" s="1"/>
  <c r="AB31" i="8"/>
  <c r="CB42" i="8"/>
  <c r="CB43" i="8" s="1"/>
  <c r="CB31" i="8"/>
  <c r="AC42" i="8"/>
  <c r="AC43" i="8" s="1"/>
  <c r="AC31" i="8"/>
  <c r="AB129" i="22"/>
  <c r="W31" i="30"/>
  <c r="O31" i="30"/>
  <c r="Z124" i="22"/>
  <c r="AB127" i="22"/>
  <c r="AA126" i="22"/>
  <c r="AB126" i="22"/>
  <c r="J139" i="22"/>
  <c r="Y139" i="22"/>
  <c r="J127" i="22"/>
  <c r="Z127" i="22"/>
  <c r="Y121" i="22"/>
  <c r="J121" i="22"/>
  <c r="AA127" i="22"/>
  <c r="I121" i="22"/>
  <c r="I84" i="22" s="1"/>
  <c r="I135" i="22" s="1"/>
  <c r="X121" i="22"/>
  <c r="J126" i="22"/>
  <c r="Z126" i="22"/>
  <c r="AB121" i="22"/>
  <c r="Y124" i="22"/>
  <c r="J124" i="22"/>
  <c r="J132" i="22"/>
  <c r="AB132" i="22"/>
  <c r="Y123" i="22"/>
  <c r="J123" i="22"/>
  <c r="J130" i="22"/>
  <c r="AA130" i="22"/>
  <c r="AB123" i="22"/>
  <c r="AA129" i="22"/>
  <c r="J129" i="22"/>
  <c r="Z121" i="22"/>
  <c r="AB130" i="22"/>
  <c r="P129" i="22"/>
  <c r="Q129" i="22"/>
  <c r="AA121" i="22"/>
  <c r="AA123" i="22"/>
  <c r="AA124" i="22"/>
  <c r="Z123" i="22"/>
  <c r="AB124" i="22"/>
  <c r="T31" i="30"/>
  <c r="AA31" i="30"/>
  <c r="X31" i="30"/>
  <c r="Y31" i="30"/>
  <c r="J31" i="30"/>
  <c r="R31" i="30"/>
  <c r="I31" i="30"/>
  <c r="S31" i="30"/>
  <c r="N31" i="30"/>
  <c r="H31" i="30"/>
  <c r="AC31" i="30"/>
  <c r="Z31" i="30"/>
  <c r="BO81" i="30"/>
  <c r="BO85" i="30" s="1"/>
  <c r="V31" i="30"/>
  <c r="BS125" i="22"/>
  <c r="BZ125" i="22"/>
  <c r="Q125" i="22" s="1"/>
  <c r="BX125" i="22"/>
  <c r="BW125" i="22"/>
  <c r="BT125" i="22"/>
  <c r="BV125" i="22"/>
  <c r="BY125" i="22"/>
  <c r="BU125" i="22"/>
  <c r="BR125" i="22"/>
  <c r="P31" i="30"/>
  <c r="BU128" i="22"/>
  <c r="BX128" i="22"/>
  <c r="BV128" i="22"/>
  <c r="BY128" i="22"/>
  <c r="BZ128" i="22"/>
  <c r="Q128" i="22" s="1"/>
  <c r="BW128" i="22"/>
  <c r="K31" i="30"/>
  <c r="BN84" i="22"/>
  <c r="BN135" i="22" s="1"/>
  <c r="BN140" i="22" s="1"/>
  <c r="BX131" i="22"/>
  <c r="BZ131" i="22"/>
  <c r="BY131" i="22"/>
  <c r="U31" i="30"/>
  <c r="Q31" i="30"/>
  <c r="AB31" i="30"/>
  <c r="AV103" i="13"/>
  <c r="AV34" i="13" a="1"/>
  <c r="AV34" i="13" s="1"/>
  <c r="BY104" i="12" a="1"/>
  <c r="BY104" i="12" s="1"/>
  <c r="BX99" i="12"/>
  <c r="R104" i="12"/>
  <c r="AG104" i="12"/>
  <c r="BX110" i="12" a="1"/>
  <c r="BX110" i="12" s="1"/>
  <c r="BR122" i="22"/>
  <c r="BU122" i="22"/>
  <c r="BX122" i="22"/>
  <c r="BQ122" i="22"/>
  <c r="BQ84" i="22" s="1"/>
  <c r="BQ135" i="22" s="1"/>
  <c r="BQ140" i="22" s="1"/>
  <c r="BW122" i="22"/>
  <c r="BP122" i="22"/>
  <c r="BP84" i="22" s="1"/>
  <c r="BP135" i="22" s="1"/>
  <c r="BP140" i="22" s="1"/>
  <c r="BY122" i="22"/>
  <c r="BV122" i="22"/>
  <c r="BZ122" i="22"/>
  <c r="P122" i="22" s="1"/>
  <c r="BO122" i="22"/>
  <c r="BT122" i="22"/>
  <c r="BS122" i="22"/>
  <c r="N34" i="33" l="1"/>
  <c r="O34" i="33" s="1"/>
  <c r="J34" i="33"/>
  <c r="K34" i="33" s="1"/>
  <c r="J33" i="33"/>
  <c r="K33" i="33" s="1"/>
  <c r="G47" i="33"/>
  <c r="G48" i="33" s="1"/>
  <c r="N33" i="33"/>
  <c r="O33" i="33" s="1"/>
  <c r="N24" i="33"/>
  <c r="O24" i="33" s="1"/>
  <c r="J24" i="33"/>
  <c r="K24" i="33" s="1"/>
  <c r="AA122" i="22"/>
  <c r="Z122" i="22"/>
  <c r="AA125" i="22"/>
  <c r="AA128" i="22"/>
  <c r="J128" i="22"/>
  <c r="BO84" i="22"/>
  <c r="BO135" i="22" s="1"/>
  <c r="BO140" i="22" s="1"/>
  <c r="Y122" i="22"/>
  <c r="J122" i="22"/>
  <c r="Z125" i="22"/>
  <c r="J125" i="22"/>
  <c r="AB128" i="22"/>
  <c r="J131" i="22"/>
  <c r="AB131" i="22"/>
  <c r="Q131" i="22"/>
  <c r="R131" i="22"/>
  <c r="AB122" i="22"/>
  <c r="X140" i="22"/>
  <c r="I140" i="22"/>
  <c r="AB125" i="22"/>
  <c r="BR84" i="22"/>
  <c r="BR135" i="22" s="1"/>
  <c r="BR140" i="22" s="1"/>
  <c r="BV84" i="22"/>
  <c r="BV135" i="22" s="1"/>
  <c r="BV140" i="22" s="1"/>
  <c r="BZ84" i="22"/>
  <c r="BZ135" i="22" s="1"/>
  <c r="BZ140" i="22" s="1"/>
  <c r="P140" i="22" s="1"/>
  <c r="BW84" i="22"/>
  <c r="BW135" i="22" s="1"/>
  <c r="BW140" i="22" s="1"/>
  <c r="BT84" i="22"/>
  <c r="BT135" i="22" s="1"/>
  <c r="BT140" i="22" s="1"/>
  <c r="BY84" i="22"/>
  <c r="BY135" i="22" s="1"/>
  <c r="BY140" i="22" s="1"/>
  <c r="BS84" i="22"/>
  <c r="BS135" i="22" s="1"/>
  <c r="BS140" i="22" s="1"/>
  <c r="BN141" i="22"/>
  <c r="AW34" i="13" a="1"/>
  <c r="AW34" i="13" s="1"/>
  <c r="AW155" i="13" s="1"/>
  <c r="AW103" i="13"/>
  <c r="AW164" i="13" s="1"/>
  <c r="BY110" i="12" a="1"/>
  <c r="BY110" i="12" s="1"/>
  <c r="BY99" i="12"/>
  <c r="BZ104" i="12" a="1"/>
  <c r="BZ104" i="12" s="1"/>
  <c r="AV164" i="13"/>
  <c r="BU84" i="22"/>
  <c r="BU135" i="22" s="1"/>
  <c r="BU140" i="22" s="1"/>
  <c r="BX84" i="22"/>
  <c r="BX135" i="22" s="1"/>
  <c r="BX140" i="22" s="1"/>
  <c r="AV155" i="13"/>
  <c r="J85" i="30"/>
  <c r="Y85" i="30"/>
  <c r="BO87" i="30"/>
  <c r="J81" i="30"/>
  <c r="Y81" i="30"/>
  <c r="N48" i="33" l="1"/>
  <c r="O48" i="33" s="1"/>
  <c r="J48" i="33"/>
  <c r="K48" i="33" s="1"/>
  <c r="N47" i="33"/>
  <c r="O47" i="33" s="1"/>
  <c r="J47" i="33"/>
  <c r="K47" i="33" s="1"/>
  <c r="AA140" i="22"/>
  <c r="AB140" i="22"/>
  <c r="J140" i="22"/>
  <c r="Y140" i="22"/>
  <c r="Z140" i="22"/>
  <c r="U84" i="22"/>
  <c r="U135" i="22" s="1"/>
  <c r="P84" i="22"/>
  <c r="P135" i="22" s="1"/>
  <c r="X84" i="22"/>
  <c r="X135" i="22" s="1"/>
  <c r="S84" i="22"/>
  <c r="S135" i="22" s="1"/>
  <c r="J84" i="22"/>
  <c r="J135" i="22" s="1"/>
  <c r="O84" i="22"/>
  <c r="O135" i="22" s="1"/>
  <c r="AB84" i="22"/>
  <c r="AB135" i="22" s="1"/>
  <c r="N84" i="22"/>
  <c r="N135" i="22" s="1"/>
  <c r="Z84" i="22"/>
  <c r="Z135" i="22" s="1"/>
  <c r="M84" i="22"/>
  <c r="M135" i="22" s="1"/>
  <c r="T84" i="22"/>
  <c r="T135" i="22" s="1"/>
  <c r="V84" i="22"/>
  <c r="V135" i="22" s="1"/>
  <c r="Y84" i="22"/>
  <c r="Y135" i="22" s="1"/>
  <c r="AA84" i="22"/>
  <c r="AA135" i="22" s="1"/>
  <c r="W84" i="22"/>
  <c r="W135" i="22" s="1"/>
  <c r="R84" i="22"/>
  <c r="R135" i="22" s="1"/>
  <c r="Q84" i="22"/>
  <c r="Q135" i="22" s="1"/>
  <c r="I141" i="22"/>
  <c r="X141" i="22"/>
  <c r="BO138" i="22"/>
  <c r="BN144" i="22"/>
  <c r="Y87" i="30"/>
  <c r="BO91" i="30"/>
  <c r="J87" i="30"/>
  <c r="BP84" i="30"/>
  <c r="AX103" i="13"/>
  <c r="BZ99" i="12"/>
  <c r="AX34" i="13" a="1"/>
  <c r="AX34" i="13" s="1"/>
  <c r="BZ110" i="12" a="1"/>
  <c r="BZ110" i="12" s="1"/>
  <c r="CA104" i="12" a="1"/>
  <c r="CA104" i="12" s="1"/>
  <c r="AX164" i="13" l="1"/>
  <c r="J91" i="30"/>
  <c r="Y91" i="30"/>
  <c r="X144" i="22"/>
  <c r="I144" i="22"/>
  <c r="BX89" i="12"/>
  <c r="AY34" i="13" a="1"/>
  <c r="AY34" i="13" s="1"/>
  <c r="AY155" i="13" s="1"/>
  <c r="AH104" i="12"/>
  <c r="CA99" i="12"/>
  <c r="AY103" i="13"/>
  <c r="CA110" i="12" a="1"/>
  <c r="CA110" i="12" s="1"/>
  <c r="CB104" i="12" a="1"/>
  <c r="CB104" i="12" s="1"/>
  <c r="Y138" i="22"/>
  <c r="J138" i="22"/>
  <c r="BO141" i="22"/>
  <c r="BP81" i="30"/>
  <c r="K84" i="30"/>
  <c r="Z84" i="30"/>
  <c r="AX155" i="13"/>
  <c r="AZ34" i="13" l="1" a="1"/>
  <c r="AZ34" i="13" s="1"/>
  <c r="AZ103" i="13"/>
  <c r="CB99" i="12"/>
  <c r="CB110" i="12" a="1"/>
  <c r="CB110" i="12" s="1"/>
  <c r="CC104" i="12" a="1"/>
  <c r="CC104" i="12" s="1"/>
  <c r="AY164" i="13"/>
  <c r="AG89" i="12"/>
  <c r="AG87" i="12" s="1"/>
  <c r="R89" i="12"/>
  <c r="R87" i="12" s="1"/>
  <c r="BX87" i="12"/>
  <c r="AV29" i="13" a="1"/>
  <c r="AV29" i="13" s="1"/>
  <c r="AV91" i="13"/>
  <c r="BP85" i="30"/>
  <c r="BO144" i="22"/>
  <c r="BY89" i="12" s="1"/>
  <c r="BP138" i="22"/>
  <c r="BP141" i="22" s="1"/>
  <c r="BP87" i="30" l="1"/>
  <c r="AV163" i="13"/>
  <c r="AV154" i="13"/>
  <c r="BA103" i="13"/>
  <c r="BA34" i="13" a="1"/>
  <c r="BA34" i="13" s="1"/>
  <c r="CC110" i="12" a="1"/>
  <c r="CC110" i="12" s="1"/>
  <c r="CC99" i="12"/>
  <c r="CD104" i="12" a="1"/>
  <c r="CD104" i="12" s="1"/>
  <c r="AZ164" i="13"/>
  <c r="AZ155" i="13"/>
  <c r="BP144" i="22"/>
  <c r="BZ89" i="12" s="1"/>
  <c r="BQ138" i="22"/>
  <c r="BQ141" i="22" s="1"/>
  <c r="AW91" i="13"/>
  <c r="AW163" i="13" s="1"/>
  <c r="BY87" i="12"/>
  <c r="AW29" i="13" a="1"/>
  <c r="AW29" i="13" s="1"/>
  <c r="AW154" i="13" s="1"/>
  <c r="BB34" i="13" l="1" a="1"/>
  <c r="BB34" i="13" s="1"/>
  <c r="BB103" i="13"/>
  <c r="CD110" i="12" a="1"/>
  <c r="CD110" i="12" s="1"/>
  <c r="AI104" i="12"/>
  <c r="CD99" i="12"/>
  <c r="CE104" i="12" a="1"/>
  <c r="CE104" i="12" s="1"/>
  <c r="AX91" i="13"/>
  <c r="AX29" i="13" a="1"/>
  <c r="AX29" i="13" s="1"/>
  <c r="BZ87" i="12"/>
  <c r="BP91" i="30"/>
  <c r="BQ84" i="30"/>
  <c r="BA155" i="13"/>
  <c r="Y141" i="22"/>
  <c r="BQ144" i="22"/>
  <c r="BR138" i="22"/>
  <c r="BA164" i="13"/>
  <c r="BB164" i="13" l="1"/>
  <c r="BB155" i="13"/>
  <c r="BQ81" i="30"/>
  <c r="Z138" i="22"/>
  <c r="BR141" i="22"/>
  <c r="Y144" i="22"/>
  <c r="CA89" i="12"/>
  <c r="AX154" i="13"/>
  <c r="BC34" i="13" a="1"/>
  <c r="BC34" i="13" s="1"/>
  <c r="BC103" i="13"/>
  <c r="CE99" i="12"/>
  <c r="CF104" i="12" a="1"/>
  <c r="CF104" i="12" s="1"/>
  <c r="CE110" i="12" a="1"/>
  <c r="CE110" i="12" s="1"/>
  <c r="AX163" i="13"/>
  <c r="CF110" i="12" l="1" a="1"/>
  <c r="CF110" i="12" s="1"/>
  <c r="CF99" i="12"/>
  <c r="BD34" i="13" a="1"/>
  <c r="BD34" i="13" s="1"/>
  <c r="BD103" i="13"/>
  <c r="BD164" i="13" s="1"/>
  <c r="CG104" i="12" a="1"/>
  <c r="CG104" i="12" s="1"/>
  <c r="BC164" i="13"/>
  <c r="BC155" i="13"/>
  <c r="AY29" i="13" a="1"/>
  <c r="AY29" i="13" s="1"/>
  <c r="AH89" i="12"/>
  <c r="AH87" i="12" s="1"/>
  <c r="CA87" i="12"/>
  <c r="AY91" i="13"/>
  <c r="BQ85" i="30"/>
  <c r="BR144" i="22"/>
  <c r="CB89" i="12" s="1"/>
  <c r="BS138" i="22"/>
  <c r="BS141" i="22" s="1"/>
  <c r="AY163" i="13" l="1"/>
  <c r="BS144" i="22"/>
  <c r="CC89" i="12" s="1"/>
  <c r="BT138" i="22"/>
  <c r="BT141" i="22" s="1"/>
  <c r="AZ91" i="13"/>
  <c r="AZ163" i="13" s="1"/>
  <c r="CB87" i="12"/>
  <c r="AZ29" i="13" a="1"/>
  <c r="AZ29" i="13" s="1"/>
  <c r="AZ154" i="13" s="1"/>
  <c r="AY154" i="13"/>
  <c r="BQ87" i="30"/>
  <c r="BE34" i="13" a="1"/>
  <c r="BE34" i="13" s="1"/>
  <c r="BE155" i="13" s="1"/>
  <c r="AJ104" i="12"/>
  <c r="BE103" i="13"/>
  <c r="BE164" i="13" s="1"/>
  <c r="CG110" i="12" a="1"/>
  <c r="CG110" i="12" s="1"/>
  <c r="CG99" i="12"/>
  <c r="CH104" i="12" a="1"/>
  <c r="CH104" i="12" s="1"/>
  <c r="BD155" i="13"/>
  <c r="Z141" i="22" l="1"/>
  <c r="BU138" i="22"/>
  <c r="BT144" i="22"/>
  <c r="CC87" i="12"/>
  <c r="BA29" i="13" a="1"/>
  <c r="BA29" i="13" s="1"/>
  <c r="BA91" i="13"/>
  <c r="BQ91" i="30"/>
  <c r="BR84" i="30"/>
  <c r="BF103" i="13"/>
  <c r="BF164" i="13" s="1"/>
  <c r="BF34" i="13" a="1"/>
  <c r="BF34" i="13" s="1"/>
  <c r="BF155" i="13" s="1"/>
  <c r="CH110" i="12" a="1"/>
  <c r="CH110" i="12" s="1"/>
  <c r="CI104" i="12" a="1"/>
  <c r="CI104" i="12" s="1"/>
  <c r="CH99" i="12"/>
  <c r="BA163" i="13" l="1"/>
  <c r="BA154" i="13"/>
  <c r="BG34" i="13" a="1"/>
  <c r="BG34" i="13" s="1"/>
  <c r="BG155" i="13" s="1"/>
  <c r="CJ104" i="12" a="1"/>
  <c r="CJ104" i="12" s="1"/>
  <c r="CI110" i="12" a="1"/>
  <c r="CI110" i="12" s="1"/>
  <c r="CI99" i="12"/>
  <c r="BG103" i="13"/>
  <c r="BG164" i="13" s="1"/>
  <c r="Z144" i="22"/>
  <c r="CD89" i="12"/>
  <c r="BR81" i="30"/>
  <c r="AA138" i="22"/>
  <c r="BU141" i="22"/>
  <c r="BU144" i="22" l="1"/>
  <c r="CE89" i="12" s="1"/>
  <c r="BV138" i="22"/>
  <c r="BV141" i="22" s="1"/>
  <c r="BR85" i="30"/>
  <c r="Z81" i="30"/>
  <c r="BH34" i="13" a="1"/>
  <c r="BH34" i="13" s="1"/>
  <c r="CJ110" i="12" a="1"/>
  <c r="CJ110" i="12" s="1"/>
  <c r="AK104" i="12"/>
  <c r="S104" i="12"/>
  <c r="BH103" i="13"/>
  <c r="CJ99" i="12"/>
  <c r="BB91" i="13"/>
  <c r="AI89" i="12"/>
  <c r="AI87" i="12" s="1"/>
  <c r="CD87" i="12"/>
  <c r="BB29" i="13" a="1"/>
  <c r="BB29" i="13" s="1"/>
  <c r="I90" i="33" l="1" a="1"/>
  <c r="I90" i="33" s="1"/>
  <c r="I89" i="33" s="1" a="1"/>
  <c r="I89" i="33" s="1"/>
  <c r="M90" i="33" a="1"/>
  <c r="M90" i="33" s="1"/>
  <c r="M89" i="33" s="1" a="1"/>
  <c r="M89" i="33" s="1"/>
  <c r="M74" i="33" a="1"/>
  <c r="M74" i="33" s="1"/>
  <c r="M61" i="33" a="1"/>
  <c r="M61" i="33" s="1"/>
  <c r="G62" i="33" a="1"/>
  <c r="G62" i="33" s="1"/>
  <c r="M73" i="33" a="1"/>
  <c r="M73" i="33" s="1"/>
  <c r="M63" i="33" a="1"/>
  <c r="M63" i="33" s="1"/>
  <c r="I62" i="33" a="1"/>
  <c r="I62" i="33" s="1"/>
  <c r="G73" i="33" a="1"/>
  <c r="G73" i="33" s="1"/>
  <c r="I73" i="33" a="1"/>
  <c r="I73" i="33" s="1"/>
  <c r="I59" i="33" a="1"/>
  <c r="I59" i="33" s="1"/>
  <c r="I74" i="33" a="1"/>
  <c r="I74" i="33" s="1"/>
  <c r="G59" i="33" a="1"/>
  <c r="G59" i="33" s="1"/>
  <c r="M59" i="33" a="1"/>
  <c r="M59" i="33" s="1"/>
  <c r="M62" i="33" a="1"/>
  <c r="M62" i="33" s="1"/>
  <c r="I61" i="33" a="1"/>
  <c r="I61" i="33" s="1"/>
  <c r="I63" i="33" a="1"/>
  <c r="I63" i="33" s="1"/>
  <c r="G61" i="33" a="1"/>
  <c r="G61" i="33" s="1"/>
  <c r="G90" i="33" a="1"/>
  <c r="G90" i="33" s="1"/>
  <c r="G63" i="33" a="1"/>
  <c r="G63" i="33" s="1"/>
  <c r="G74" i="33" a="1"/>
  <c r="G74" i="33" s="1"/>
  <c r="BB163" i="13"/>
  <c r="BH164" i="13"/>
  <c r="G49" i="11" a="1"/>
  <c r="G49" i="11" s="1"/>
  <c r="G51" i="11" s="1"/>
  <c r="L49" i="11" a="1"/>
  <c r="L49" i="11" s="1"/>
  <c r="L51" i="11" s="1"/>
  <c r="BT49" i="11" a="1"/>
  <c r="BT49" i="11" s="1"/>
  <c r="BT51" i="11" s="1"/>
  <c r="BA49" i="11" a="1"/>
  <c r="BA49" i="11" s="1"/>
  <c r="BA51" i="11" s="1"/>
  <c r="AZ49" i="11" a="1"/>
  <c r="AZ49" i="11" s="1"/>
  <c r="AZ51" i="11" s="1"/>
  <c r="P49" i="11" a="1"/>
  <c r="P49" i="11" s="1"/>
  <c r="P51" i="11" s="1"/>
  <c r="AW49" i="11" a="1"/>
  <c r="AW49" i="11" s="1"/>
  <c r="AW51" i="11" s="1"/>
  <c r="AF49" i="11" a="1"/>
  <c r="AF49" i="11" s="1"/>
  <c r="AF51" i="11" s="1"/>
  <c r="N49" i="11" a="1"/>
  <c r="N49" i="11" s="1"/>
  <c r="N51" i="11" s="1"/>
  <c r="CD86" i="8" a="1"/>
  <c r="CD86" i="8" s="1"/>
  <c r="CD85" i="8" s="1" a="1"/>
  <c r="CD85" i="8" s="1"/>
  <c r="X49" i="11" a="1"/>
  <c r="X49" i="11" s="1"/>
  <c r="X51" i="11" s="1"/>
  <c r="BW49" i="11" a="1"/>
  <c r="BW49" i="11" s="1"/>
  <c r="BW51" i="11" s="1"/>
  <c r="AM49" i="11" a="1"/>
  <c r="AM49" i="11" s="1"/>
  <c r="AM51" i="11" s="1"/>
  <c r="Q49" i="11" a="1"/>
  <c r="Q49" i="11" s="1"/>
  <c r="Q51" i="11" s="1"/>
  <c r="AD49" i="11" a="1"/>
  <c r="AD49" i="11" s="1"/>
  <c r="AD51" i="11" s="1"/>
  <c r="BQ49" i="11" a="1"/>
  <c r="BQ49" i="11" s="1"/>
  <c r="BQ51" i="11" s="1"/>
  <c r="Y49" i="11" a="1"/>
  <c r="Y49" i="11" s="1"/>
  <c r="Y51" i="11" s="1"/>
  <c r="E49" i="11" a="1"/>
  <c r="E49" i="11" s="1"/>
  <c r="E51" i="11" s="1"/>
  <c r="O49" i="11" a="1"/>
  <c r="O49" i="11" s="1"/>
  <c r="O51" i="11" s="1"/>
  <c r="M49" i="11" a="1"/>
  <c r="M49" i="11" s="1"/>
  <c r="M51" i="11" s="1"/>
  <c r="BU49" i="11" a="1"/>
  <c r="BU49" i="11" s="1"/>
  <c r="BU51" i="11" s="1"/>
  <c r="AI49" i="11" a="1"/>
  <c r="AI49" i="11" s="1"/>
  <c r="AI51" i="11" s="1"/>
  <c r="V49" i="11" a="1"/>
  <c r="V49" i="11" s="1"/>
  <c r="V51" i="11" s="1"/>
  <c r="AX49" i="11" a="1"/>
  <c r="AX49" i="11" s="1"/>
  <c r="AX51" i="11" s="1"/>
  <c r="AG49" i="11" a="1"/>
  <c r="AG49" i="11" s="1"/>
  <c r="AG51" i="11" s="1"/>
  <c r="BR49" i="11" a="1"/>
  <c r="BR49" i="11" s="1"/>
  <c r="BR51" i="11" s="1"/>
  <c r="BI49" i="11" a="1"/>
  <c r="BI49" i="11" s="1"/>
  <c r="BI51" i="11" s="1"/>
  <c r="AQ49" i="11" a="1"/>
  <c r="AQ49" i="11" s="1"/>
  <c r="AQ51" i="11" s="1"/>
  <c r="AU49" i="11" a="1"/>
  <c r="AU49" i="11" s="1"/>
  <c r="AU51" i="11" s="1"/>
  <c r="AL49" i="11" a="1"/>
  <c r="AL49" i="11" s="1"/>
  <c r="AL51" i="11" s="1"/>
  <c r="R49" i="11" a="1"/>
  <c r="R49" i="11" s="1"/>
  <c r="R51" i="11" s="1"/>
  <c r="AT49" i="11" a="1"/>
  <c r="AT49" i="11" s="1"/>
  <c r="AT51" i="11" s="1"/>
  <c r="AR49" i="11" a="1"/>
  <c r="AR49" i="11" s="1"/>
  <c r="AR51" i="11" s="1"/>
  <c r="BD49" i="11" a="1"/>
  <c r="BD49" i="11" s="1"/>
  <c r="BD51" i="11" s="1"/>
  <c r="BH49" i="11" a="1"/>
  <c r="BH49" i="11" s="1"/>
  <c r="BH51" i="11" s="1"/>
  <c r="BN49" i="11" a="1"/>
  <c r="BN49" i="11" s="1"/>
  <c r="BN51" i="11" s="1"/>
  <c r="T49" i="11" a="1"/>
  <c r="T49" i="11" s="1"/>
  <c r="T51" i="11" s="1"/>
  <c r="BJ49" i="11" a="1"/>
  <c r="BJ49" i="11" s="1"/>
  <c r="BJ51" i="11" s="1"/>
  <c r="BX49" i="11" a="1"/>
  <c r="BX49" i="11" s="1"/>
  <c r="BX51" i="11" s="1"/>
  <c r="BM49" i="11" a="1"/>
  <c r="BM49" i="11" s="1"/>
  <c r="BM51" i="11" s="1"/>
  <c r="AN49" i="11" a="1"/>
  <c r="AN49" i="11" s="1"/>
  <c r="AN51" i="11" s="1"/>
  <c r="BB49" i="11" a="1"/>
  <c r="BB49" i="11" s="1"/>
  <c r="BB51" i="11" s="1"/>
  <c r="BO49" i="11" a="1"/>
  <c r="BO49" i="11" s="1"/>
  <c r="BO51" i="11" s="1"/>
  <c r="AP49" i="11" a="1"/>
  <c r="AP49" i="11" s="1"/>
  <c r="AP51" i="11" s="1"/>
  <c r="Z49" i="11" a="1"/>
  <c r="Z49" i="11" s="1"/>
  <c r="Z51" i="11" s="1"/>
  <c r="W49" i="11" a="1"/>
  <c r="W49" i="11" s="1"/>
  <c r="W51" i="11" s="1"/>
  <c r="AO49" i="11" a="1"/>
  <c r="AO49" i="11" s="1"/>
  <c r="AO51" i="11" s="1"/>
  <c r="AV49" i="11" a="1"/>
  <c r="AV49" i="11" s="1"/>
  <c r="AV51" i="11" s="1"/>
  <c r="AK49" i="11" a="1"/>
  <c r="AK49" i="11" s="1"/>
  <c r="AK51" i="11" s="1"/>
  <c r="F49" i="11" a="1"/>
  <c r="F49" i="11" s="1"/>
  <c r="F51" i="11" s="1"/>
  <c r="AJ49" i="11" a="1"/>
  <c r="AJ49" i="11" s="1"/>
  <c r="AJ51" i="11" s="1"/>
  <c r="BP49" i="11" a="1"/>
  <c r="BP49" i="11" s="1"/>
  <c r="BP51" i="11" s="1"/>
  <c r="AC49" i="11" a="1"/>
  <c r="AC49" i="11" s="1"/>
  <c r="AC51" i="11" s="1"/>
  <c r="BG49" i="11" a="1"/>
  <c r="BG49" i="11" s="1"/>
  <c r="BG51" i="11" s="1"/>
  <c r="H49" i="11" a="1"/>
  <c r="H49" i="11" s="1"/>
  <c r="H51" i="11" s="1"/>
  <c r="AH49" i="11" a="1"/>
  <c r="AH49" i="11" s="1"/>
  <c r="AH51" i="11" s="1"/>
  <c r="BK49" i="11" a="1"/>
  <c r="BK49" i="11" s="1"/>
  <c r="BK51" i="11" s="1"/>
  <c r="BC49" i="11" a="1"/>
  <c r="BC49" i="11" s="1"/>
  <c r="BC51" i="11" s="1"/>
  <c r="K49" i="11" a="1"/>
  <c r="K49" i="11" s="1"/>
  <c r="K51" i="11" s="1"/>
  <c r="BV49" i="11" a="1"/>
  <c r="BV49" i="11" s="1"/>
  <c r="BV51" i="11" s="1"/>
  <c r="BE49" i="11" a="1"/>
  <c r="BE49" i="11" s="1"/>
  <c r="BE51" i="11" s="1"/>
  <c r="AE49" i="11" a="1"/>
  <c r="AE49" i="11" s="1"/>
  <c r="AE51" i="11" s="1"/>
  <c r="U86" i="8" a="1"/>
  <c r="U86" i="8" s="1"/>
  <c r="U85" i="8" s="1" a="1"/>
  <c r="U85" i="8" s="1"/>
  <c r="AS49" i="11" a="1"/>
  <c r="AS49" i="11" s="1"/>
  <c r="AS51" i="11" s="1"/>
  <c r="BL49" i="11" a="1"/>
  <c r="BL49" i="11" s="1"/>
  <c r="BL51" i="11" s="1"/>
  <c r="BS49" i="11" a="1"/>
  <c r="BS49" i="11" s="1"/>
  <c r="BS51" i="11" s="1"/>
  <c r="AY49" i="11" a="1"/>
  <c r="AY49" i="11" s="1"/>
  <c r="AY51" i="11" s="1"/>
  <c r="S49" i="11" a="1"/>
  <c r="S49" i="11" s="1"/>
  <c r="S51" i="11" s="1"/>
  <c r="BF49" i="11" a="1"/>
  <c r="BF49" i="11" s="1"/>
  <c r="BF51" i="11" s="1"/>
  <c r="U49" i="11" a="1"/>
  <c r="U49" i="11" s="1"/>
  <c r="U51" i="11" s="1"/>
  <c r="BL86" i="8" a="1"/>
  <c r="BL86" i="8" s="1"/>
  <c r="BL85" i="8" s="1" a="1"/>
  <c r="BL85" i="8" s="1"/>
  <c r="AB86" i="8" a="1"/>
  <c r="AB86" i="8" s="1"/>
  <c r="AB85" i="8" s="1" a="1"/>
  <c r="AB85" i="8" s="1"/>
  <c r="BC86" i="8" a="1"/>
  <c r="BC86" i="8" s="1"/>
  <c r="BC85" i="8" s="1" a="1"/>
  <c r="BC85" i="8" s="1"/>
  <c r="AU86" i="8" a="1"/>
  <c r="AU86" i="8" s="1"/>
  <c r="AU85" i="8" s="1" a="1"/>
  <c r="AU85" i="8" s="1"/>
  <c r="CG86" i="8" a="1"/>
  <c r="CG86" i="8" s="1"/>
  <c r="CG85" i="8" s="1" a="1"/>
  <c r="CG85" i="8" s="1"/>
  <c r="AL86" i="8" a="1"/>
  <c r="AL86" i="8" s="1"/>
  <c r="AL85" i="8" s="1" a="1"/>
  <c r="AL85" i="8" s="1"/>
  <c r="Y86" i="8" a="1"/>
  <c r="Y86" i="8" s="1"/>
  <c r="Y85" i="8" s="1" a="1"/>
  <c r="Y85" i="8" s="1"/>
  <c r="BX86" i="8" a="1"/>
  <c r="BX86" i="8" s="1"/>
  <c r="BX85" i="8" s="1" a="1"/>
  <c r="BX85" i="8" s="1"/>
  <c r="AM86" i="8" a="1"/>
  <c r="AM86" i="8" s="1"/>
  <c r="AM85" i="8" s="1" a="1"/>
  <c r="AM85" i="8" s="1"/>
  <c r="W86" i="8" a="1"/>
  <c r="W86" i="8" s="1"/>
  <c r="W85" i="8" s="1" a="1"/>
  <c r="W85" i="8" s="1"/>
  <c r="K86" i="8" a="1"/>
  <c r="K86" i="8" s="1"/>
  <c r="K85" i="8" s="1" a="1"/>
  <c r="K85" i="8" s="1"/>
  <c r="AQ86" i="8" a="1"/>
  <c r="AQ86" i="8" s="1"/>
  <c r="AQ85" i="8" s="1" a="1"/>
  <c r="AQ85" i="8" s="1"/>
  <c r="BQ86" i="8" a="1"/>
  <c r="BQ86" i="8" s="1"/>
  <c r="BQ85" i="8" s="1" a="1"/>
  <c r="BQ85" i="8" s="1"/>
  <c r="BE86" i="8" a="1"/>
  <c r="BE86" i="8" s="1"/>
  <c r="BE85" i="8" s="1" a="1"/>
  <c r="BE85" i="8" s="1"/>
  <c r="BO86" i="8" a="1"/>
  <c r="BO86" i="8" s="1"/>
  <c r="BO85" i="8" s="1" a="1"/>
  <c r="BO85" i="8" s="1"/>
  <c r="BV86" i="8" a="1"/>
  <c r="BV86" i="8" s="1"/>
  <c r="BV85" i="8" s="1" a="1"/>
  <c r="BV85" i="8" s="1"/>
  <c r="CC86" i="8" a="1"/>
  <c r="CC86" i="8" s="1"/>
  <c r="CC85" i="8" s="1" a="1"/>
  <c r="CC85" i="8" s="1"/>
  <c r="AC86" i="8" a="1"/>
  <c r="AC86" i="8" s="1"/>
  <c r="AC85" i="8" s="1" a="1"/>
  <c r="AC85" i="8" s="1"/>
  <c r="BP86" i="8" a="1"/>
  <c r="BP86" i="8" s="1"/>
  <c r="BP85" i="8" s="1" a="1"/>
  <c r="BP85" i="8" s="1"/>
  <c r="AP86" i="8" a="1"/>
  <c r="AP86" i="8" s="1"/>
  <c r="AP85" i="8" s="1" a="1"/>
  <c r="AP85" i="8" s="1"/>
  <c r="BT86" i="8" a="1"/>
  <c r="BT86" i="8" s="1"/>
  <c r="BT85" i="8" s="1" a="1"/>
  <c r="BT85" i="8" s="1"/>
  <c r="AD86" i="8" a="1"/>
  <c r="AD86" i="8" s="1"/>
  <c r="AD85" i="8" s="1" a="1"/>
  <c r="AD85" i="8" s="1"/>
  <c r="BD86" i="8" a="1"/>
  <c r="BD86" i="8" s="1"/>
  <c r="BD85" i="8" s="1" a="1"/>
  <c r="BD85" i="8" s="1"/>
  <c r="T86" i="8" a="1"/>
  <c r="T86" i="8" s="1"/>
  <c r="T85" i="8" s="1" a="1"/>
  <c r="T85" i="8" s="1"/>
  <c r="BB86" i="8" a="1"/>
  <c r="BB86" i="8" s="1"/>
  <c r="BB85" i="8" s="1" a="1"/>
  <c r="BB85" i="8" s="1"/>
  <c r="N86" i="8" a="1"/>
  <c r="N86" i="8" s="1"/>
  <c r="N85" i="8" s="1" a="1"/>
  <c r="N85" i="8" s="1"/>
  <c r="AN86" i="8" a="1"/>
  <c r="AN86" i="8" s="1"/>
  <c r="AN85" i="8" s="1" a="1"/>
  <c r="AN85" i="8" s="1"/>
  <c r="BS86" i="8" a="1"/>
  <c r="BS86" i="8" s="1"/>
  <c r="BS85" i="8" s="1" a="1"/>
  <c r="BS85" i="8" s="1"/>
  <c r="BW86" i="8" a="1"/>
  <c r="BW86" i="8" s="1"/>
  <c r="BW85" i="8" s="1" a="1"/>
  <c r="BW85" i="8" s="1"/>
  <c r="V86" i="8" a="1"/>
  <c r="V86" i="8" s="1"/>
  <c r="V85" i="8" s="1" a="1"/>
  <c r="V85" i="8" s="1"/>
  <c r="BZ86" i="8" a="1"/>
  <c r="BZ86" i="8" s="1"/>
  <c r="BZ85" i="8" s="1" a="1"/>
  <c r="BZ85" i="8" s="1"/>
  <c r="BG86" i="8" a="1"/>
  <c r="BG86" i="8" s="1"/>
  <c r="BG85" i="8" s="1" a="1"/>
  <c r="BG85" i="8" s="1"/>
  <c r="AI86" i="8" a="1"/>
  <c r="AI86" i="8" s="1"/>
  <c r="AI85" i="8" s="1" a="1"/>
  <c r="AI85" i="8" s="1"/>
  <c r="BK86" i="8" a="1"/>
  <c r="BK86" i="8" s="1"/>
  <c r="BK85" i="8" s="1" a="1"/>
  <c r="BK85" i="8" s="1"/>
  <c r="BY86" i="8" a="1"/>
  <c r="BY86" i="8" s="1"/>
  <c r="BY85" i="8" s="1" a="1"/>
  <c r="BY85" i="8" s="1"/>
  <c r="CF86" i="8" a="1"/>
  <c r="CF86" i="8" s="1"/>
  <c r="CF85" i="8" s="1" a="1"/>
  <c r="CF85" i="8" s="1"/>
  <c r="CB86" i="8" a="1"/>
  <c r="CB86" i="8" s="1"/>
  <c r="CB85" i="8" s="1" a="1"/>
  <c r="CB85" i="8" s="1"/>
  <c r="AX86" i="8" a="1"/>
  <c r="AX86" i="8" s="1"/>
  <c r="AX85" i="8" s="1" a="1"/>
  <c r="AX85" i="8" s="1"/>
  <c r="BJ86" i="8" a="1"/>
  <c r="BJ86" i="8" s="1"/>
  <c r="BJ85" i="8" s="1" a="1"/>
  <c r="BJ85" i="8" s="1"/>
  <c r="O86" i="8" a="1"/>
  <c r="O86" i="8" s="1"/>
  <c r="O85" i="8" s="1" a="1"/>
  <c r="O85" i="8" s="1"/>
  <c r="P86" i="8" a="1"/>
  <c r="P86" i="8" s="1"/>
  <c r="P85" i="8" s="1" a="1"/>
  <c r="P85" i="8" s="1"/>
  <c r="AV86" i="8" a="1"/>
  <c r="AV86" i="8" s="1"/>
  <c r="AV85" i="8" s="1" a="1"/>
  <c r="AV85" i="8" s="1"/>
  <c r="BA86" i="8" a="1"/>
  <c r="BA86" i="8" s="1"/>
  <c r="BA85" i="8" s="1" a="1"/>
  <c r="BA85" i="8" s="1"/>
  <c r="AG86" i="8" a="1"/>
  <c r="AG86" i="8" s="1"/>
  <c r="AG85" i="8" s="1" a="1"/>
  <c r="AG85" i="8" s="1"/>
  <c r="AY86" i="8" a="1"/>
  <c r="AY86" i="8" s="1"/>
  <c r="AY85" i="8" s="1" a="1"/>
  <c r="AY85" i="8" s="1"/>
  <c r="CE86" i="8" a="1"/>
  <c r="CE86" i="8" s="1"/>
  <c r="CE85" i="8" s="1" a="1"/>
  <c r="CE85" i="8" s="1"/>
  <c r="BM86" i="8" a="1"/>
  <c r="BM86" i="8" s="1"/>
  <c r="BM85" i="8" s="1" a="1"/>
  <c r="BM85" i="8" s="1"/>
  <c r="J86" i="8" a="1"/>
  <c r="J86" i="8" s="1"/>
  <c r="J85" i="8" s="1" a="1"/>
  <c r="J85" i="8" s="1"/>
  <c r="BH86" i="8" a="1"/>
  <c r="BH86" i="8" s="1"/>
  <c r="BH85" i="8" s="1" a="1"/>
  <c r="BH85" i="8" s="1"/>
  <c r="Z86" i="8" a="1"/>
  <c r="Z86" i="8" s="1"/>
  <c r="Z85" i="8" s="1" a="1"/>
  <c r="Z85" i="8" s="1"/>
  <c r="AW86" i="8" a="1"/>
  <c r="AW86" i="8" s="1"/>
  <c r="AW85" i="8" s="1" a="1"/>
  <c r="AW85" i="8" s="1"/>
  <c r="AO86" i="8" a="1"/>
  <c r="AO86" i="8" s="1"/>
  <c r="AO85" i="8" s="1" a="1"/>
  <c r="AO85" i="8" s="1"/>
  <c r="CA86" i="8" a="1"/>
  <c r="CA86" i="8" s="1"/>
  <c r="CA85" i="8" s="1" a="1"/>
  <c r="CA85" i="8" s="1"/>
  <c r="AH86" i="8" a="1"/>
  <c r="AH86" i="8" s="1"/>
  <c r="AH85" i="8" s="1" a="1"/>
  <c r="AH85" i="8" s="1"/>
  <c r="AE86" i="8" a="1"/>
  <c r="AE86" i="8" s="1"/>
  <c r="AE85" i="8" s="1" a="1"/>
  <c r="AE85" i="8" s="1"/>
  <c r="Q86" i="8" a="1"/>
  <c r="Q86" i="8" s="1"/>
  <c r="Q85" i="8" s="1" a="1"/>
  <c r="Q85" i="8" s="1"/>
  <c r="AS86" i="8" a="1"/>
  <c r="AS86" i="8" s="1"/>
  <c r="AS85" i="8" s="1" a="1"/>
  <c r="AS85" i="8" s="1"/>
  <c r="BU86" i="8" a="1"/>
  <c r="BU86" i="8" s="1"/>
  <c r="BU85" i="8" s="1" a="1"/>
  <c r="BU85" i="8" s="1"/>
  <c r="AZ86" i="8" a="1"/>
  <c r="AZ86" i="8" s="1"/>
  <c r="AZ85" i="8" s="1" a="1"/>
  <c r="AZ85" i="8" s="1"/>
  <c r="AR86" i="8" a="1"/>
  <c r="AR86" i="8" s="1"/>
  <c r="AR85" i="8" s="1" a="1"/>
  <c r="AR85" i="8" s="1"/>
  <c r="AF86" i="8" a="1"/>
  <c r="AF86" i="8" s="1"/>
  <c r="AF85" i="8" s="1" a="1"/>
  <c r="AF85" i="8" s="1"/>
  <c r="BI86" i="8" a="1"/>
  <c r="BI86" i="8" s="1"/>
  <c r="BI85" i="8" s="1" a="1"/>
  <c r="BI85" i="8" s="1"/>
  <c r="BR86" i="8" a="1"/>
  <c r="BR86" i="8" s="1"/>
  <c r="BR85" i="8" s="1" a="1"/>
  <c r="BR85" i="8" s="1"/>
  <c r="AA86" i="8" a="1"/>
  <c r="AA86" i="8" s="1"/>
  <c r="AA85" i="8" s="1" a="1"/>
  <c r="AA85" i="8" s="1"/>
  <c r="AT86" i="8" a="1"/>
  <c r="AT86" i="8" s="1"/>
  <c r="AT85" i="8" s="1" a="1"/>
  <c r="AT85" i="8" s="1"/>
  <c r="BN86" i="8" a="1"/>
  <c r="BN86" i="8" s="1"/>
  <c r="BN85" i="8" s="1" a="1"/>
  <c r="BN85" i="8" s="1"/>
  <c r="BF86" i="8" a="1"/>
  <c r="BF86" i="8" s="1"/>
  <c r="BF85" i="8" s="1" a="1"/>
  <c r="BF85" i="8" s="1"/>
  <c r="X86" i="8" a="1"/>
  <c r="X86" i="8" s="1"/>
  <c r="X85" i="8" s="1" a="1"/>
  <c r="X85" i="8" s="1"/>
  <c r="BB154" i="13"/>
  <c r="BH155" i="13"/>
  <c r="BF69" i="8" a="1"/>
  <c r="BF69" i="8" s="1"/>
  <c r="BF67" i="8" s="1"/>
  <c r="BF156" i="8" s="1" a="1"/>
  <c r="BF156" i="8" s="1"/>
  <c r="BS69" i="8" a="1"/>
  <c r="BS69" i="8" s="1"/>
  <c r="BS67" i="8" s="1"/>
  <c r="BS156" i="8" s="1" a="1"/>
  <c r="BS156" i="8" s="1"/>
  <c r="BP69" i="8" a="1"/>
  <c r="BP69" i="8" s="1"/>
  <c r="BP67" i="8" s="1"/>
  <c r="BP156" i="8" s="1" a="1"/>
  <c r="BP156" i="8" s="1"/>
  <c r="Z69" i="8" a="1"/>
  <c r="Z69" i="8" s="1"/>
  <c r="Z67" i="8" s="1"/>
  <c r="Z156" i="8" s="1" a="1"/>
  <c r="Z156" i="8" s="1"/>
  <c r="AB69" i="8" a="1"/>
  <c r="AB69" i="8" s="1"/>
  <c r="AB67" i="8" s="1"/>
  <c r="AB156" i="8" s="1" a="1"/>
  <c r="AB156" i="8" s="1"/>
  <c r="BA69" i="8" a="1"/>
  <c r="BA69" i="8" s="1"/>
  <c r="BA67" i="8" s="1"/>
  <c r="BA156" i="8" s="1" a="1"/>
  <c r="BA156" i="8" s="1"/>
  <c r="CA69" i="8" a="1"/>
  <c r="CA69" i="8" s="1"/>
  <c r="CA67" i="8" s="1"/>
  <c r="CA156" i="8" s="1" a="1"/>
  <c r="CA156" i="8" s="1"/>
  <c r="CE69" i="8" a="1"/>
  <c r="CE69" i="8" s="1"/>
  <c r="CE67" i="8" s="1"/>
  <c r="CE156" i="8" s="1" a="1"/>
  <c r="CE156" i="8" s="1"/>
  <c r="AL69" i="8" a="1"/>
  <c r="AL69" i="8" s="1"/>
  <c r="AL67" i="8" s="1"/>
  <c r="AL156" i="8" s="1" a="1"/>
  <c r="AL156" i="8" s="1"/>
  <c r="K69" i="8" a="1"/>
  <c r="K69" i="8" s="1"/>
  <c r="K67" i="8" s="1"/>
  <c r="K156" i="8" s="1" a="1"/>
  <c r="K156" i="8" s="1"/>
  <c r="CG69" i="8" a="1"/>
  <c r="CG69" i="8" s="1"/>
  <c r="CG67" i="8" s="1"/>
  <c r="CG156" i="8" s="1" a="1"/>
  <c r="CG156" i="8" s="1"/>
  <c r="BN69" i="8" a="1"/>
  <c r="BN69" i="8" s="1"/>
  <c r="BN67" i="8" s="1"/>
  <c r="BN156" i="8" s="1" a="1"/>
  <c r="BN156" i="8" s="1"/>
  <c r="CC69" i="8" a="1"/>
  <c r="CC69" i="8" s="1"/>
  <c r="CC67" i="8" s="1"/>
  <c r="CC156" i="8" s="1" a="1"/>
  <c r="CC156" i="8" s="1"/>
  <c r="AX69" i="8" a="1"/>
  <c r="AX69" i="8" s="1"/>
  <c r="AX67" i="8" s="1"/>
  <c r="AX156" i="8" s="1" a="1"/>
  <c r="AX156" i="8" s="1"/>
  <c r="CB69" i="8" a="1"/>
  <c r="CB69" i="8" s="1"/>
  <c r="CB67" i="8" s="1"/>
  <c r="CB156" i="8" s="1" a="1"/>
  <c r="CB156" i="8" s="1"/>
  <c r="AM69" i="8" a="1"/>
  <c r="AM69" i="8" s="1"/>
  <c r="AM67" i="8" s="1"/>
  <c r="AM156" i="8" s="1" a="1"/>
  <c r="AM156" i="8" s="1"/>
  <c r="P69" i="8" a="1"/>
  <c r="P69" i="8" s="1"/>
  <c r="P67" i="8" s="1"/>
  <c r="P156" i="8" s="1" a="1"/>
  <c r="P156" i="8" s="1"/>
  <c r="BB69" i="8" a="1"/>
  <c r="BB69" i="8" s="1"/>
  <c r="BB67" i="8" s="1"/>
  <c r="BB156" i="8" s="1" a="1"/>
  <c r="BB156" i="8" s="1"/>
  <c r="AY69" i="8" a="1"/>
  <c r="AY69" i="8" s="1"/>
  <c r="AY67" i="8" s="1"/>
  <c r="AY156" i="8" s="1" a="1"/>
  <c r="AY156" i="8" s="1"/>
  <c r="AS69" i="8" a="1"/>
  <c r="AS69" i="8" s="1"/>
  <c r="AS67" i="8" s="1"/>
  <c r="AS156" i="8" s="1" a="1"/>
  <c r="AS156" i="8" s="1"/>
  <c r="BE69" i="8" a="1"/>
  <c r="BE69" i="8" s="1"/>
  <c r="BE67" i="8" s="1"/>
  <c r="BE156" i="8" s="1" a="1"/>
  <c r="BE156" i="8" s="1"/>
  <c r="U69" i="8" a="1"/>
  <c r="U69" i="8" s="1"/>
  <c r="U67" i="8" s="1"/>
  <c r="U156" i="8" s="1" a="1"/>
  <c r="U156" i="8" s="1"/>
  <c r="CD69" i="8" a="1"/>
  <c r="CD69" i="8" s="1"/>
  <c r="CD67" i="8" s="1"/>
  <c r="CD156" i="8" s="1" a="1"/>
  <c r="CD156" i="8" s="1"/>
  <c r="BV69" i="8" a="1"/>
  <c r="BV69" i="8" s="1"/>
  <c r="BV67" i="8" s="1"/>
  <c r="BV156" i="8" s="1" a="1"/>
  <c r="BV156" i="8" s="1"/>
  <c r="BL69" i="8" a="1"/>
  <c r="BL69" i="8" s="1"/>
  <c r="BL67" i="8" s="1"/>
  <c r="BL156" i="8" s="1" a="1"/>
  <c r="BL156" i="8" s="1"/>
  <c r="BX69" i="8" a="1"/>
  <c r="BX69" i="8" s="1"/>
  <c r="BX67" i="8" s="1"/>
  <c r="BX156" i="8" s="1" a="1"/>
  <c r="BX156" i="8" s="1"/>
  <c r="AA69" i="8" a="1"/>
  <c r="AA69" i="8" s="1"/>
  <c r="AA67" i="8" s="1"/>
  <c r="AA156" i="8" s="1" a="1"/>
  <c r="AA156" i="8" s="1"/>
  <c r="AD69" i="8" a="1"/>
  <c r="AD69" i="8" s="1"/>
  <c r="AD67" i="8" s="1"/>
  <c r="AD156" i="8" s="1" a="1"/>
  <c r="AD156" i="8" s="1"/>
  <c r="CF69" i="8" a="1"/>
  <c r="CF69" i="8" s="1"/>
  <c r="CF67" i="8" s="1"/>
  <c r="CF156" i="8" s="1" a="1"/>
  <c r="CF156" i="8" s="1"/>
  <c r="BZ69" i="8" a="1"/>
  <c r="BZ69" i="8" s="1"/>
  <c r="BZ67" i="8" s="1"/>
  <c r="BZ156" i="8" s="1" a="1"/>
  <c r="BZ156" i="8" s="1"/>
  <c r="Q69" i="8" a="1"/>
  <c r="Q69" i="8" s="1"/>
  <c r="Q67" i="8" s="1"/>
  <c r="Q156" i="8" s="1" a="1"/>
  <c r="Q156" i="8" s="1"/>
  <c r="BK69" i="8" a="1"/>
  <c r="BK69" i="8" s="1"/>
  <c r="BK67" i="8" s="1"/>
  <c r="BK156" i="8" s="1" a="1"/>
  <c r="BK156" i="8" s="1"/>
  <c r="BY69" i="8" a="1"/>
  <c r="BY69" i="8" s="1"/>
  <c r="BY67" i="8" s="1"/>
  <c r="BY156" i="8" s="1" a="1"/>
  <c r="BY156" i="8" s="1"/>
  <c r="BC69" i="8" a="1"/>
  <c r="BC69" i="8" s="1"/>
  <c r="BC67" i="8" s="1"/>
  <c r="BC156" i="8" s="1" a="1"/>
  <c r="BC156" i="8" s="1"/>
  <c r="T69" i="8" a="1"/>
  <c r="T69" i="8" s="1"/>
  <c r="T67" i="8" s="1"/>
  <c r="T156" i="8" s="1" a="1"/>
  <c r="T156" i="8" s="1"/>
  <c r="N69" i="8" a="1"/>
  <c r="N69" i="8" s="1"/>
  <c r="N67" i="8" s="1"/>
  <c r="N156" i="8" s="1" a="1"/>
  <c r="N156" i="8" s="1"/>
  <c r="BQ69" i="8" a="1"/>
  <c r="BQ69" i="8" s="1"/>
  <c r="BQ67" i="8" s="1"/>
  <c r="BQ156" i="8" s="1" a="1"/>
  <c r="BQ156" i="8" s="1"/>
  <c r="W69" i="8" a="1"/>
  <c r="W69" i="8" s="1"/>
  <c r="W67" i="8" s="1"/>
  <c r="W156" i="8" s="1" a="1"/>
  <c r="W156" i="8" s="1"/>
  <c r="X69" i="8" a="1"/>
  <c r="X69" i="8" s="1"/>
  <c r="X67" i="8" s="1"/>
  <c r="X156" i="8" s="1" a="1"/>
  <c r="X156" i="8" s="1"/>
  <c r="AG69" i="8" a="1"/>
  <c r="AG69" i="8" s="1"/>
  <c r="AG67" i="8" s="1"/>
  <c r="AG156" i="8" s="1" a="1"/>
  <c r="AG156" i="8" s="1"/>
  <c r="BW69" i="8" a="1"/>
  <c r="BW69" i="8" s="1"/>
  <c r="BW67" i="8" s="1"/>
  <c r="BW156" i="8" s="1" a="1"/>
  <c r="BW156" i="8" s="1"/>
  <c r="AV69" i="8" a="1"/>
  <c r="AV69" i="8" s="1"/>
  <c r="AV67" i="8" s="1"/>
  <c r="AV156" i="8" s="1" a="1"/>
  <c r="AV156" i="8" s="1"/>
  <c r="AR69" i="8" a="1"/>
  <c r="AR69" i="8" s="1"/>
  <c r="AR67" i="8" s="1"/>
  <c r="AR156" i="8" s="1" a="1"/>
  <c r="AR156" i="8" s="1"/>
  <c r="AI69" i="8" a="1"/>
  <c r="AI69" i="8" s="1"/>
  <c r="AI67" i="8" s="1"/>
  <c r="AI156" i="8" s="1" a="1"/>
  <c r="AI156" i="8" s="1"/>
  <c r="AH69" i="8" a="1"/>
  <c r="AH69" i="8" s="1"/>
  <c r="AH67" i="8" s="1"/>
  <c r="AH156" i="8" s="1" a="1"/>
  <c r="AH156" i="8" s="1"/>
  <c r="AC69" i="8" a="1"/>
  <c r="AC69" i="8" s="1"/>
  <c r="AC67" i="8" s="1"/>
  <c r="AC156" i="8" s="1" a="1"/>
  <c r="AC156" i="8" s="1"/>
  <c r="BU69" i="8" a="1"/>
  <c r="BU69" i="8" s="1"/>
  <c r="BU67" i="8" s="1"/>
  <c r="BU156" i="8" s="1" a="1"/>
  <c r="BU156" i="8" s="1"/>
  <c r="BD69" i="8" a="1"/>
  <c r="BD69" i="8" s="1"/>
  <c r="BD67" i="8" s="1"/>
  <c r="BD156" i="8" s="1" a="1"/>
  <c r="BD156" i="8" s="1"/>
  <c r="AP69" i="8" a="1"/>
  <c r="AP69" i="8" s="1"/>
  <c r="AP67" i="8" s="1"/>
  <c r="AP156" i="8" s="1" a="1"/>
  <c r="AP156" i="8" s="1"/>
  <c r="BH69" i="8" a="1"/>
  <c r="BH69" i="8" s="1"/>
  <c r="BH67" i="8" s="1"/>
  <c r="BH156" i="8" s="1" a="1"/>
  <c r="BH156" i="8" s="1"/>
  <c r="BJ69" i="8" a="1"/>
  <c r="BJ69" i="8" s="1"/>
  <c r="BJ67" i="8" s="1"/>
  <c r="BJ156" i="8" s="1" a="1"/>
  <c r="BJ156" i="8" s="1"/>
  <c r="AE69" i="8" a="1"/>
  <c r="AE69" i="8" s="1"/>
  <c r="AE67" i="8" s="1"/>
  <c r="AE156" i="8" s="1" a="1"/>
  <c r="AE156" i="8" s="1"/>
  <c r="AT69" i="8" a="1"/>
  <c r="AT69" i="8" s="1"/>
  <c r="AT67" i="8" s="1"/>
  <c r="AT156" i="8" s="1" a="1"/>
  <c r="AT156" i="8" s="1"/>
  <c r="AQ69" i="8" a="1"/>
  <c r="AQ69" i="8" s="1"/>
  <c r="AQ67" i="8" s="1"/>
  <c r="AQ156" i="8" s="1" a="1"/>
  <c r="AQ156" i="8" s="1"/>
  <c r="AU69" i="8" a="1"/>
  <c r="AU69" i="8" s="1"/>
  <c r="AU67" i="8" s="1"/>
  <c r="AU156" i="8" s="1" a="1"/>
  <c r="AU156" i="8" s="1"/>
  <c r="Y69" i="8" a="1"/>
  <c r="Y69" i="8" s="1"/>
  <c r="Y67" i="8" s="1"/>
  <c r="Y156" i="8" s="1" a="1"/>
  <c r="Y156" i="8" s="1"/>
  <c r="BM69" i="8" a="1"/>
  <c r="BM69" i="8" s="1"/>
  <c r="BM67" i="8" s="1"/>
  <c r="BM156" i="8" s="1" a="1"/>
  <c r="BM156" i="8" s="1"/>
  <c r="AO69" i="8" a="1"/>
  <c r="AO69" i="8" s="1"/>
  <c r="AO67" i="8" s="1"/>
  <c r="AO156" i="8" s="1" a="1"/>
  <c r="AO156" i="8" s="1"/>
  <c r="BT69" i="8" a="1"/>
  <c r="BT69" i="8" s="1"/>
  <c r="BT67" i="8" s="1"/>
  <c r="BT156" i="8" s="1" a="1"/>
  <c r="BT156" i="8" s="1"/>
  <c r="AF69" i="8" a="1"/>
  <c r="AF69" i="8" s="1"/>
  <c r="AF67" i="8" s="1"/>
  <c r="AF156" i="8" s="1" a="1"/>
  <c r="AF156" i="8" s="1"/>
  <c r="BG69" i="8" a="1"/>
  <c r="BG69" i="8" s="1"/>
  <c r="BG67" i="8" s="1"/>
  <c r="BG156" i="8" s="1" a="1"/>
  <c r="BG156" i="8" s="1"/>
  <c r="BI69" i="8" a="1"/>
  <c r="BI69" i="8" s="1"/>
  <c r="BI67" i="8" s="1"/>
  <c r="BI156" i="8" s="1" a="1"/>
  <c r="BI156" i="8" s="1"/>
  <c r="V69" i="8" a="1"/>
  <c r="V69" i="8" s="1"/>
  <c r="V67" i="8" s="1"/>
  <c r="V156" i="8" s="1" a="1"/>
  <c r="V156" i="8" s="1"/>
  <c r="AN69" i="8" a="1"/>
  <c r="AN69" i="8" s="1"/>
  <c r="AN67" i="8" s="1"/>
  <c r="AN156" i="8" s="1" a="1"/>
  <c r="AN156" i="8" s="1"/>
  <c r="BO69" i="8" a="1"/>
  <c r="BO69" i="8" s="1"/>
  <c r="BO67" i="8" s="1"/>
  <c r="BO156" i="8" s="1" a="1"/>
  <c r="BO156" i="8" s="1"/>
  <c r="AZ69" i="8" a="1"/>
  <c r="AZ69" i="8" s="1"/>
  <c r="AZ67" i="8" s="1"/>
  <c r="AZ156" i="8" s="1" a="1"/>
  <c r="AZ156" i="8" s="1"/>
  <c r="J69" i="8" a="1"/>
  <c r="J69" i="8" s="1"/>
  <c r="J67" i="8" s="1"/>
  <c r="J156" i="8" s="1" a="1"/>
  <c r="J156" i="8" s="1"/>
  <c r="AW69" i="8" a="1"/>
  <c r="AW69" i="8" s="1"/>
  <c r="AW67" i="8" s="1"/>
  <c r="AW156" i="8" s="1" a="1"/>
  <c r="AW156" i="8" s="1"/>
  <c r="BR69" i="8" a="1"/>
  <c r="BR69" i="8" s="1"/>
  <c r="BR67" i="8" s="1"/>
  <c r="BR156" i="8" s="1" a="1"/>
  <c r="BR156" i="8" s="1"/>
  <c r="O69" i="8" a="1"/>
  <c r="O69" i="8" s="1"/>
  <c r="O67" i="8" s="1"/>
  <c r="O156" i="8" s="1" a="1"/>
  <c r="O156" i="8" s="1"/>
  <c r="Z85" i="30"/>
  <c r="BR87" i="30"/>
  <c r="BV144" i="22"/>
  <c r="CF89" i="12" s="1"/>
  <c r="BW138" i="22"/>
  <c r="BW141" i="22" s="1"/>
  <c r="BC29" i="13" a="1"/>
  <c r="BC29" i="13" s="1"/>
  <c r="BC154" i="13" s="1"/>
  <c r="BC91" i="13"/>
  <c r="BC163" i="13" s="1"/>
  <c r="CE87" i="12"/>
  <c r="M71" i="33" l="1"/>
  <c r="I71" i="33"/>
  <c r="I106" i="33" s="1" a="1"/>
  <c r="I106" i="33" s="1"/>
  <c r="G71" i="33"/>
  <c r="M106" i="33" a="1"/>
  <c r="M106" i="33" s="1"/>
  <c r="N59" i="33"/>
  <c r="O59" i="33" s="1"/>
  <c r="J59" i="33"/>
  <c r="K59" i="33" s="1"/>
  <c r="J62" i="33"/>
  <c r="K62" i="33" s="1"/>
  <c r="N62" i="33"/>
  <c r="O62" i="33" s="1"/>
  <c r="J61" i="33"/>
  <c r="K61" i="33" s="1"/>
  <c r="N61" i="33"/>
  <c r="O61" i="33" s="1"/>
  <c r="N73" i="33"/>
  <c r="O73" i="33" s="1"/>
  <c r="J73" i="33"/>
  <c r="K73" i="33" s="1"/>
  <c r="J74" i="33"/>
  <c r="K74" i="33" s="1"/>
  <c r="N74" i="33"/>
  <c r="O74" i="33" s="1"/>
  <c r="N63" i="33"/>
  <c r="O63" i="33" s="1"/>
  <c r="J63" i="33"/>
  <c r="K63" i="33" s="1"/>
  <c r="J90" i="33"/>
  <c r="K90" i="33" s="1"/>
  <c r="G89" i="33" a="1"/>
  <c r="G89" i="33" s="1"/>
  <c r="N90" i="33"/>
  <c r="O90" i="33" s="1"/>
  <c r="AA141" i="22"/>
  <c r="BW144" i="22"/>
  <c r="BX138" i="22"/>
  <c r="Z87" i="30"/>
  <c r="BR91" i="30"/>
  <c r="Z91" i="30" s="1"/>
  <c r="BS84" i="30"/>
  <c r="BD29" i="13" a="1"/>
  <c r="BD29" i="13" s="1"/>
  <c r="BD91" i="13"/>
  <c r="CF87" i="12"/>
  <c r="J89" i="33" l="1"/>
  <c r="K89" i="33" s="1"/>
  <c r="N89" i="33"/>
  <c r="O89" i="33" s="1"/>
  <c r="J71" i="33"/>
  <c r="K71" i="33" s="1"/>
  <c r="G106" i="33" a="1"/>
  <c r="G106" i="33" s="1"/>
  <c r="N71" i="33"/>
  <c r="O71" i="33" s="1"/>
  <c r="BS81" i="30"/>
  <c r="AA84" i="30"/>
  <c r="BD163" i="13"/>
  <c r="BD154" i="13"/>
  <c r="AB138" i="22"/>
  <c r="BX141" i="22"/>
  <c r="AA144" i="22"/>
  <c r="CG89" i="12"/>
  <c r="BY138" i="22" l="1"/>
  <c r="BY141" i="22" s="1"/>
  <c r="BX144" i="22"/>
  <c r="CH89" i="12" s="1"/>
  <c r="BS85" i="30"/>
  <c r="AJ89" i="12"/>
  <c r="AJ87" i="12" s="1"/>
  <c r="BE29" i="13" a="1"/>
  <c r="BE29" i="13" s="1"/>
  <c r="BE91" i="13"/>
  <c r="CG87" i="12"/>
  <c r="BE163" i="13" l="1"/>
  <c r="BE154" i="13"/>
  <c r="BS87" i="30"/>
  <c r="BF91" i="13"/>
  <c r="BF163" i="13" s="1"/>
  <c r="BF29" i="13" a="1"/>
  <c r="BF29" i="13" s="1"/>
  <c r="BF154" i="13" s="1"/>
  <c r="CH87" i="12"/>
  <c r="BY144" i="22"/>
  <c r="CI89" i="12" s="1"/>
  <c r="BZ138" i="22"/>
  <c r="BZ141" i="22" s="1"/>
  <c r="BS91" i="30" l="1"/>
  <c r="BT84" i="30"/>
  <c r="AB141" i="22"/>
  <c r="J141" i="22"/>
  <c r="BZ144" i="22"/>
  <c r="BG91" i="13"/>
  <c r="CI87" i="12"/>
  <c r="BG29" i="13" a="1"/>
  <c r="BG29" i="13" s="1"/>
  <c r="BG154" i="13" l="1"/>
  <c r="BT81" i="30"/>
  <c r="BG163" i="13"/>
  <c r="J144" i="22"/>
  <c r="AB144" i="22"/>
  <c r="CJ89" i="12"/>
  <c r="BT85" i="30" l="1"/>
  <c r="S89" i="12"/>
  <c r="S87" i="12" s="1"/>
  <c r="AK89" i="12"/>
  <c r="AK87" i="12" s="1"/>
  <c r="BH29" i="13" a="1"/>
  <c r="BH29" i="13" s="1"/>
  <c r="BH91" i="13"/>
  <c r="CJ87" i="12"/>
  <c r="M67" i="33" l="1" a="1"/>
  <c r="M67" i="33" s="1"/>
  <c r="I68" i="33" a="1"/>
  <c r="I68" i="33" s="1"/>
  <c r="I69" i="33" a="1"/>
  <c r="I69" i="33" s="1"/>
  <c r="I67" i="33" a="1"/>
  <c r="I67" i="33" s="1"/>
  <c r="M68" i="33" a="1"/>
  <c r="M68" i="33" s="1"/>
  <c r="M66" i="33" a="1"/>
  <c r="M66" i="33" s="1"/>
  <c r="M69" i="33" a="1"/>
  <c r="M69" i="33" s="1"/>
  <c r="G67" i="33" a="1"/>
  <c r="G67" i="33" s="1"/>
  <c r="I66" i="33" a="1"/>
  <c r="I66" i="33" s="1"/>
  <c r="G66" i="33" a="1"/>
  <c r="G66" i="33" s="1"/>
  <c r="G68" i="33" a="1"/>
  <c r="G68" i="33" s="1"/>
  <c r="I87" i="33" a="1"/>
  <c r="I87" i="33" s="1"/>
  <c r="M87" i="33" a="1"/>
  <c r="M87" i="33" s="1"/>
  <c r="G87" i="33" a="1"/>
  <c r="G87" i="33" s="1"/>
  <c r="G69" i="33" a="1"/>
  <c r="G69" i="33" s="1"/>
  <c r="BH154" i="13"/>
  <c r="O62" i="8" a="1"/>
  <c r="O62" i="8" s="1"/>
  <c r="O61" i="8" s="1"/>
  <c r="O155" i="8" s="1" a="1"/>
  <c r="O155" i="8" s="1"/>
  <c r="AE62" i="8" a="1"/>
  <c r="AE62" i="8" s="1"/>
  <c r="AE61" i="8" s="1"/>
  <c r="AE155" i="8" s="1" a="1"/>
  <c r="AE155" i="8" s="1"/>
  <c r="AP62" i="8" a="1"/>
  <c r="AP62" i="8" s="1"/>
  <c r="AP61" i="8" s="1"/>
  <c r="AP155" i="8" s="1" a="1"/>
  <c r="AP155" i="8" s="1"/>
  <c r="BA62" i="8" a="1"/>
  <c r="BA62" i="8" s="1"/>
  <c r="BA61" i="8" s="1"/>
  <c r="BA155" i="8" s="1" a="1"/>
  <c r="BA155" i="8" s="1"/>
  <c r="BC62" i="8" a="1"/>
  <c r="BC62" i="8" s="1"/>
  <c r="BC61" i="8" s="1"/>
  <c r="BC155" i="8" s="1" a="1"/>
  <c r="BC155" i="8" s="1"/>
  <c r="AF62" i="8" a="1"/>
  <c r="AF62" i="8" s="1"/>
  <c r="AF61" i="8" s="1"/>
  <c r="AF155" i="8" s="1" a="1"/>
  <c r="AF155" i="8" s="1"/>
  <c r="AD62" i="8" a="1"/>
  <c r="AD62" i="8" s="1"/>
  <c r="AD61" i="8" s="1"/>
  <c r="AD155" i="8" s="1" a="1"/>
  <c r="AD155" i="8" s="1"/>
  <c r="BW62" i="8" a="1"/>
  <c r="BW62" i="8" s="1"/>
  <c r="BW61" i="8" s="1"/>
  <c r="BW155" i="8" s="1" a="1"/>
  <c r="BW155" i="8" s="1"/>
  <c r="AQ62" i="8" a="1"/>
  <c r="AQ62" i="8" s="1"/>
  <c r="AQ61" i="8" s="1"/>
  <c r="AQ155" i="8" s="1" a="1"/>
  <c r="AQ155" i="8" s="1"/>
  <c r="BJ62" i="8" a="1"/>
  <c r="BJ62" i="8" s="1"/>
  <c r="BJ61" i="8" s="1"/>
  <c r="BJ155" i="8" s="1" a="1"/>
  <c r="BJ155" i="8" s="1"/>
  <c r="BM62" i="8" a="1"/>
  <c r="BM62" i="8" s="1"/>
  <c r="BM61" i="8" s="1"/>
  <c r="BM155" i="8" s="1" a="1"/>
  <c r="BM155" i="8" s="1"/>
  <c r="AH62" i="8" a="1"/>
  <c r="AH62" i="8" s="1"/>
  <c r="AH61" i="8" s="1"/>
  <c r="AH155" i="8" s="1" a="1"/>
  <c r="AH155" i="8" s="1"/>
  <c r="BS62" i="8" a="1"/>
  <c r="BS62" i="8" s="1"/>
  <c r="BS61" i="8" s="1"/>
  <c r="BS155" i="8" s="1" a="1"/>
  <c r="BS155" i="8" s="1"/>
  <c r="AT62" i="8" a="1"/>
  <c r="AT62" i="8" s="1"/>
  <c r="AT61" i="8" s="1"/>
  <c r="AT155" i="8" s="1" a="1"/>
  <c r="AT155" i="8" s="1"/>
  <c r="BZ62" i="8" a="1"/>
  <c r="BZ62" i="8" s="1"/>
  <c r="BZ61" i="8" s="1"/>
  <c r="BZ155" i="8" s="1" a="1"/>
  <c r="BZ155" i="8" s="1"/>
  <c r="J62" i="8" a="1"/>
  <c r="J62" i="8" s="1"/>
  <c r="J61" i="8" s="1"/>
  <c r="J155" i="8" s="1" a="1"/>
  <c r="J155" i="8" s="1"/>
  <c r="Z62" i="8" a="1"/>
  <c r="Z62" i="8" s="1"/>
  <c r="Z61" i="8" s="1"/>
  <c r="Z155" i="8" s="1" a="1"/>
  <c r="Z155" i="8" s="1"/>
  <c r="BO62" i="8" a="1"/>
  <c r="BO62" i="8" s="1"/>
  <c r="BO61" i="8" s="1"/>
  <c r="BO155" i="8" s="1" a="1"/>
  <c r="BO155" i="8" s="1"/>
  <c r="CB62" i="8" a="1"/>
  <c r="CB62" i="8" s="1"/>
  <c r="CB61" i="8" s="1"/>
  <c r="CB155" i="8" s="1" a="1"/>
  <c r="CB155" i="8" s="1"/>
  <c r="AV62" i="8" a="1"/>
  <c r="AV62" i="8" s="1"/>
  <c r="AV61" i="8" s="1"/>
  <c r="AV155" i="8" s="1" a="1"/>
  <c r="AV155" i="8" s="1"/>
  <c r="BK62" i="8" a="1"/>
  <c r="BK62" i="8" s="1"/>
  <c r="BK61" i="8" s="1"/>
  <c r="BK155" i="8" s="1" a="1"/>
  <c r="BK155" i="8" s="1"/>
  <c r="AN62" i="8" a="1"/>
  <c r="AN62" i="8" s="1"/>
  <c r="AN61" i="8" s="1"/>
  <c r="AN155" i="8" s="1" a="1"/>
  <c r="AN155" i="8" s="1"/>
  <c r="BY62" i="8" a="1"/>
  <c r="BY62" i="8" s="1"/>
  <c r="BY61" i="8" s="1"/>
  <c r="BY155" i="8" s="1" a="1"/>
  <c r="BY155" i="8" s="1"/>
  <c r="BU62" i="8" a="1"/>
  <c r="BU62" i="8" s="1"/>
  <c r="BU61" i="8" s="1"/>
  <c r="BU155" i="8" s="1" a="1"/>
  <c r="BU155" i="8" s="1"/>
  <c r="BB62" i="8" a="1"/>
  <c r="BB62" i="8" s="1"/>
  <c r="BB61" i="8" s="1"/>
  <c r="BB155" i="8" s="1" a="1"/>
  <c r="BB155" i="8" s="1"/>
  <c r="AG62" i="8" a="1"/>
  <c r="AG62" i="8" s="1"/>
  <c r="AG61" i="8" s="1"/>
  <c r="AG155" i="8" s="1" a="1"/>
  <c r="AG155" i="8" s="1"/>
  <c r="BL62" i="8" a="1"/>
  <c r="BL62" i="8" s="1"/>
  <c r="BL61" i="8" s="1"/>
  <c r="BL155" i="8" s="1" a="1"/>
  <c r="BL155" i="8" s="1"/>
  <c r="K62" i="8" a="1"/>
  <c r="K62" i="8" s="1"/>
  <c r="K61" i="8" s="1"/>
  <c r="K155" i="8" s="1" a="1"/>
  <c r="K155" i="8" s="1"/>
  <c r="AC62" i="8" a="1"/>
  <c r="AC62" i="8" s="1"/>
  <c r="AC61" i="8" s="1"/>
  <c r="AC155" i="8" s="1" a="1"/>
  <c r="AC155" i="8" s="1"/>
  <c r="BH62" i="8" a="1"/>
  <c r="BH62" i="8" s="1"/>
  <c r="BH61" i="8" s="1"/>
  <c r="BH155" i="8" s="1" a="1"/>
  <c r="BH155" i="8" s="1"/>
  <c r="Q62" i="8" a="1"/>
  <c r="Q62" i="8" s="1"/>
  <c r="Q61" i="8" s="1"/>
  <c r="Q155" i="8" s="1" a="1"/>
  <c r="Q155" i="8" s="1"/>
  <c r="N62" i="8" a="1"/>
  <c r="N62" i="8" s="1"/>
  <c r="N61" i="8" s="1"/>
  <c r="N155" i="8" s="1" a="1"/>
  <c r="N155" i="8" s="1"/>
  <c r="AR62" i="8" a="1"/>
  <c r="AR62" i="8" s="1"/>
  <c r="AR61" i="8" s="1"/>
  <c r="AR155" i="8" s="1" a="1"/>
  <c r="AR155" i="8" s="1"/>
  <c r="BF62" i="8" a="1"/>
  <c r="BF62" i="8" s="1"/>
  <c r="BF61" i="8" s="1"/>
  <c r="BF155" i="8" s="1" a="1"/>
  <c r="BF155" i="8" s="1"/>
  <c r="AS62" i="8" a="1"/>
  <c r="AS62" i="8" s="1"/>
  <c r="AS61" i="8" s="1"/>
  <c r="AS155" i="8" s="1" a="1"/>
  <c r="AS155" i="8" s="1"/>
  <c r="AZ62" i="8" a="1"/>
  <c r="AZ62" i="8" s="1"/>
  <c r="AZ61" i="8" s="1"/>
  <c r="AZ155" i="8" s="1" a="1"/>
  <c r="AZ155" i="8" s="1"/>
  <c r="BD62" i="8" a="1"/>
  <c r="BD62" i="8" s="1"/>
  <c r="BD61" i="8" s="1"/>
  <c r="BD155" i="8" s="1" a="1"/>
  <c r="BD155" i="8" s="1"/>
  <c r="AW62" i="8" a="1"/>
  <c r="AW62" i="8" s="1"/>
  <c r="AW61" i="8" s="1"/>
  <c r="AW155" i="8" s="1" a="1"/>
  <c r="AW155" i="8" s="1"/>
  <c r="BV62" i="8" a="1"/>
  <c r="BV62" i="8" s="1"/>
  <c r="BV61" i="8" s="1"/>
  <c r="BV155" i="8" s="1" a="1"/>
  <c r="BV155" i="8" s="1"/>
  <c r="CC62" i="8" a="1"/>
  <c r="CC62" i="8" s="1"/>
  <c r="CC61" i="8" s="1"/>
  <c r="CC155" i="8" s="1" a="1"/>
  <c r="CC155" i="8" s="1"/>
  <c r="BQ62" i="8" a="1"/>
  <c r="BQ62" i="8" s="1"/>
  <c r="BQ61" i="8" s="1"/>
  <c r="BQ155" i="8" s="1" a="1"/>
  <c r="BQ155" i="8" s="1"/>
  <c r="AX62" i="8" a="1"/>
  <c r="AX62" i="8" s="1"/>
  <c r="AX61" i="8" s="1"/>
  <c r="AX155" i="8" s="1" a="1"/>
  <c r="AX155" i="8" s="1"/>
  <c r="T62" i="8" a="1"/>
  <c r="T62" i="8" s="1"/>
  <c r="T61" i="8" s="1"/>
  <c r="T155" i="8" s="1" a="1"/>
  <c r="T155" i="8" s="1"/>
  <c r="AY62" i="8" a="1"/>
  <c r="AY62" i="8" s="1"/>
  <c r="AY61" i="8" s="1"/>
  <c r="AY155" i="8" s="1" a="1"/>
  <c r="AY155" i="8" s="1"/>
  <c r="BE62" i="8" a="1"/>
  <c r="BE62" i="8" s="1"/>
  <c r="BE61" i="8" s="1"/>
  <c r="BE155" i="8" s="1" a="1"/>
  <c r="BE155" i="8" s="1"/>
  <c r="Y62" i="8" a="1"/>
  <c r="Y62" i="8" s="1"/>
  <c r="Y61" i="8" s="1"/>
  <c r="Y155" i="8" s="1" a="1"/>
  <c r="Y155" i="8" s="1"/>
  <c r="BX62" i="8" a="1"/>
  <c r="BX62" i="8" s="1"/>
  <c r="BX61" i="8" s="1"/>
  <c r="BX155" i="8" s="1" a="1"/>
  <c r="BX155" i="8" s="1"/>
  <c r="BR62" i="8" a="1"/>
  <c r="BR62" i="8" s="1"/>
  <c r="BR61" i="8" s="1"/>
  <c r="BR155" i="8" s="1" a="1"/>
  <c r="BR155" i="8" s="1"/>
  <c r="AO62" i="8" a="1"/>
  <c r="AO62" i="8" s="1"/>
  <c r="AO61" i="8" s="1"/>
  <c r="AO155" i="8" s="1" a="1"/>
  <c r="AO155" i="8" s="1"/>
  <c r="AB62" i="8" a="1"/>
  <c r="AB62" i="8" s="1"/>
  <c r="AB61" i="8" s="1"/>
  <c r="AB155" i="8" s="1" a="1"/>
  <c r="AB155" i="8" s="1"/>
  <c r="P62" i="8" a="1"/>
  <c r="P62" i="8" s="1"/>
  <c r="P61" i="8" s="1"/>
  <c r="P155" i="8" s="1" a="1"/>
  <c r="P155" i="8" s="1"/>
  <c r="BP62" i="8" a="1"/>
  <c r="BP62" i="8" s="1"/>
  <c r="BP61" i="8" s="1"/>
  <c r="BP155" i="8" s="1" a="1"/>
  <c r="BP155" i="8" s="1"/>
  <c r="V62" i="8" a="1"/>
  <c r="V62" i="8" s="1"/>
  <c r="V61" i="8" s="1"/>
  <c r="V155" i="8" s="1" a="1"/>
  <c r="V155" i="8" s="1"/>
  <c r="BG62" i="8" a="1"/>
  <c r="BG62" i="8" s="1"/>
  <c r="BG61" i="8" s="1"/>
  <c r="BG155" i="8" s="1" a="1"/>
  <c r="BG155" i="8" s="1"/>
  <c r="CE62" i="8" a="1"/>
  <c r="CE62" i="8" s="1"/>
  <c r="CE61" i="8" s="1"/>
  <c r="CE155" i="8" s="1" a="1"/>
  <c r="CE155" i="8" s="1"/>
  <c r="BI62" i="8" a="1"/>
  <c r="BI62" i="8" s="1"/>
  <c r="BI61" i="8" s="1"/>
  <c r="BI155" i="8" s="1" a="1"/>
  <c r="BI155" i="8" s="1"/>
  <c r="BT62" i="8" a="1"/>
  <c r="BT62" i="8" s="1"/>
  <c r="BT61" i="8" s="1"/>
  <c r="BT155" i="8" s="1" a="1"/>
  <c r="BT155" i="8" s="1"/>
  <c r="AU62" i="8" a="1"/>
  <c r="AU62" i="8" s="1"/>
  <c r="AU61" i="8" s="1"/>
  <c r="AU155" i="8" s="1" a="1"/>
  <c r="AU155" i="8" s="1"/>
  <c r="X62" i="8" a="1"/>
  <c r="X62" i="8" s="1"/>
  <c r="X61" i="8" s="1"/>
  <c r="X155" i="8" s="1" a="1"/>
  <c r="X155" i="8" s="1"/>
  <c r="W62" i="8" a="1"/>
  <c r="W62" i="8" s="1"/>
  <c r="W61" i="8" s="1"/>
  <c r="W155" i="8" s="1" a="1"/>
  <c r="W155" i="8" s="1"/>
  <c r="AA62" i="8" a="1"/>
  <c r="AA62" i="8" s="1"/>
  <c r="AA61" i="8" s="1"/>
  <c r="AA155" i="8" s="1" a="1"/>
  <c r="AA155" i="8" s="1"/>
  <c r="AL62" i="8" a="1"/>
  <c r="AL62" i="8" s="1"/>
  <c r="AL61" i="8" s="1"/>
  <c r="AL155" i="8" s="1" a="1"/>
  <c r="AL155" i="8" s="1"/>
  <c r="CF62" i="8" a="1"/>
  <c r="CF62" i="8" s="1"/>
  <c r="CF61" i="8" s="1"/>
  <c r="CF155" i="8" s="1" a="1"/>
  <c r="CF155" i="8" s="1"/>
  <c r="CG62" i="8" a="1"/>
  <c r="CG62" i="8" s="1"/>
  <c r="CG61" i="8" s="1"/>
  <c r="CG155" i="8" s="1" a="1"/>
  <c r="CG155" i="8" s="1"/>
  <c r="AI62" i="8" a="1"/>
  <c r="AI62" i="8" s="1"/>
  <c r="AI61" i="8" s="1"/>
  <c r="AI155" i="8" s="1" a="1"/>
  <c r="AI155" i="8" s="1"/>
  <c r="CA62" i="8" a="1"/>
  <c r="CA62" i="8" s="1"/>
  <c r="CA61" i="8" s="1"/>
  <c r="CA155" i="8" s="1" a="1"/>
  <c r="CA155" i="8" s="1"/>
  <c r="CD62" i="8" a="1"/>
  <c r="CD62" i="8" s="1"/>
  <c r="CD61" i="8" s="1"/>
  <c r="CD155" i="8" s="1" a="1"/>
  <c r="CD155" i="8" s="1"/>
  <c r="BN62" i="8" a="1"/>
  <c r="BN62" i="8" s="1"/>
  <c r="BN61" i="8" s="1"/>
  <c r="BN155" i="8" s="1" a="1"/>
  <c r="BN155" i="8" s="1"/>
  <c r="AM62" i="8" a="1"/>
  <c r="AM62" i="8" s="1"/>
  <c r="AM61" i="8" s="1"/>
  <c r="AM155" i="8" s="1" a="1"/>
  <c r="AM155" i="8" s="1"/>
  <c r="U62" i="8" a="1"/>
  <c r="U62" i="8" s="1"/>
  <c r="U61" i="8" s="1"/>
  <c r="U155" i="8" s="1" a="1"/>
  <c r="U155" i="8" s="1"/>
  <c r="BH163" i="13"/>
  <c r="AP23" i="11" a="1"/>
  <c r="AP23" i="11" s="1"/>
  <c r="AP31" i="11" s="1"/>
  <c r="AP53" i="11" s="1"/>
  <c r="G23" i="11" a="1"/>
  <c r="G23" i="11" s="1"/>
  <c r="G31" i="11" s="1"/>
  <c r="G53" i="11" s="1"/>
  <c r="BG74" i="12" a="1"/>
  <c r="BG74" i="12" s="1"/>
  <c r="AT74" i="12" a="1"/>
  <c r="AT74" i="12" s="1"/>
  <c r="BH74" i="12" a="1"/>
  <c r="BH74" i="12" s="1"/>
  <c r="AC23" i="11" a="1"/>
  <c r="AC23" i="11" s="1"/>
  <c r="AC31" i="11" s="1"/>
  <c r="AC53" i="11" s="1"/>
  <c r="AX74" i="12" a="1"/>
  <c r="AX74" i="12" s="1"/>
  <c r="BB74" i="12" a="1"/>
  <c r="BB74" i="12" s="1"/>
  <c r="AW23" i="11" a="1"/>
  <c r="AW23" i="11" s="1"/>
  <c r="AW31" i="11" s="1"/>
  <c r="AW53" i="11" s="1"/>
  <c r="BT74" i="12" a="1"/>
  <c r="BT74" i="12" s="1"/>
  <c r="AN74" i="12" a="1"/>
  <c r="AN74" i="12" s="1"/>
  <c r="N23" i="11" a="1"/>
  <c r="N23" i="11" s="1"/>
  <c r="N31" i="11" s="1"/>
  <c r="N53" i="11" s="1"/>
  <c r="V23" i="11" a="1"/>
  <c r="V23" i="11" s="1"/>
  <c r="V31" i="11" s="1"/>
  <c r="V53" i="11" s="1"/>
  <c r="BN74" i="12" a="1"/>
  <c r="BN74" i="12" s="1"/>
  <c r="Q23" i="11" a="1"/>
  <c r="Q23" i="11" s="1"/>
  <c r="Q31" i="11" s="1"/>
  <c r="Q53" i="11" s="1"/>
  <c r="BH23" i="11" a="1"/>
  <c r="BH23" i="11" s="1"/>
  <c r="BH31" i="11" s="1"/>
  <c r="BH53" i="11" s="1"/>
  <c r="U23" i="11" a="1"/>
  <c r="U23" i="11" s="1"/>
  <c r="U31" i="11" s="1"/>
  <c r="U53" i="11" s="1"/>
  <c r="BD23" i="11" a="1"/>
  <c r="BD23" i="11" s="1"/>
  <c r="BD31" i="11" s="1"/>
  <c r="BD53" i="11" s="1"/>
  <c r="AJ23" i="11" a="1"/>
  <c r="AJ23" i="11" s="1"/>
  <c r="AJ31" i="11" s="1"/>
  <c r="AJ53" i="11" s="1"/>
  <c r="AO23" i="11" a="1"/>
  <c r="AO23" i="11" s="1"/>
  <c r="AO31" i="11" s="1"/>
  <c r="AO53" i="11" s="1"/>
  <c r="BF23" i="11" a="1"/>
  <c r="BF23" i="11" s="1"/>
  <c r="BF31" i="11" s="1"/>
  <c r="BF53" i="11" s="1"/>
  <c r="AX23" i="11" a="1"/>
  <c r="AX23" i="11" s="1"/>
  <c r="AX31" i="11" s="1"/>
  <c r="AX53" i="11" s="1"/>
  <c r="BS74" i="12" a="1"/>
  <c r="BS74" i="12" s="1"/>
  <c r="BW23" i="11" a="1"/>
  <c r="BW23" i="11" s="1"/>
  <c r="BW31" i="11" s="1"/>
  <c r="BW53" i="11" s="1"/>
  <c r="AN23" i="11" a="1"/>
  <c r="AN23" i="11" s="1"/>
  <c r="AN31" i="11" s="1"/>
  <c r="AN53" i="11" s="1"/>
  <c r="BV74" i="12" a="1"/>
  <c r="BV74" i="12" s="1"/>
  <c r="AQ23" i="11" a="1"/>
  <c r="AQ23" i="11" s="1"/>
  <c r="AQ31" i="11" s="1"/>
  <c r="AQ53" i="11" s="1"/>
  <c r="AK23" i="11" a="1"/>
  <c r="AK23" i="11" s="1"/>
  <c r="AK31" i="11" s="1"/>
  <c r="AK53" i="11" s="1"/>
  <c r="AR23" i="11" a="1"/>
  <c r="AR23" i="11" s="1"/>
  <c r="AR31" i="11" s="1"/>
  <c r="AR53" i="11" s="1"/>
  <c r="BN23" i="11" a="1"/>
  <c r="BN23" i="11" s="1"/>
  <c r="BN31" i="11" s="1"/>
  <c r="BN53" i="11" s="1"/>
  <c r="AY23" i="11" a="1"/>
  <c r="AY23" i="11" s="1"/>
  <c r="AY31" i="11" s="1"/>
  <c r="AY53" i="11" s="1"/>
  <c r="BW74" i="12" a="1"/>
  <c r="BW74" i="12" s="1"/>
  <c r="BI74" i="12" a="1"/>
  <c r="BI74" i="12" s="1"/>
  <c r="BQ74" i="12" a="1"/>
  <c r="BQ74" i="12" s="1"/>
  <c r="AT23" i="11" a="1"/>
  <c r="AT23" i="11" s="1"/>
  <c r="AT31" i="11" s="1"/>
  <c r="AT53" i="11" s="1"/>
  <c r="BQ23" i="11" a="1"/>
  <c r="BQ23" i="11" s="1"/>
  <c r="BQ31" i="11" s="1"/>
  <c r="BQ53" i="11" s="1"/>
  <c r="T23" i="11" a="1"/>
  <c r="T23" i="11" s="1"/>
  <c r="T31" i="11" s="1"/>
  <c r="T53" i="11" s="1"/>
  <c r="BO23" i="11" a="1"/>
  <c r="BO23" i="11" s="1"/>
  <c r="BO31" i="11" s="1"/>
  <c r="BO53" i="11" s="1"/>
  <c r="BE23" i="11" a="1"/>
  <c r="BE23" i="11" s="1"/>
  <c r="BE31" i="11" s="1"/>
  <c r="BE53" i="11" s="1"/>
  <c r="S23" i="11" a="1"/>
  <c r="S23" i="11" s="1"/>
  <c r="S31" i="11" s="1"/>
  <c r="S53" i="11" s="1"/>
  <c r="AQ74" i="12" a="1"/>
  <c r="AQ74" i="12" s="1"/>
  <c r="Z23" i="11" a="1"/>
  <c r="Z23" i="11" s="1"/>
  <c r="Z31" i="11" s="1"/>
  <c r="Z53" i="11" s="1"/>
  <c r="AE23" i="11" a="1"/>
  <c r="AE23" i="11" s="1"/>
  <c r="AE31" i="11" s="1"/>
  <c r="AE53" i="11" s="1"/>
  <c r="AY74" i="12" a="1"/>
  <c r="AY74" i="12" s="1"/>
  <c r="BK23" i="11" a="1"/>
  <c r="BK23" i="11" s="1"/>
  <c r="BK31" i="11" s="1"/>
  <c r="BK53" i="11" s="1"/>
  <c r="X83" i="8" a="1"/>
  <c r="X83" i="8" s="1"/>
  <c r="Z83" i="8" a="1"/>
  <c r="Z83" i="8" s="1"/>
  <c r="AS74" i="12" a="1"/>
  <c r="AS74" i="12" s="1"/>
  <c r="AR83" i="8" a="1"/>
  <c r="AR83" i="8" s="1"/>
  <c r="BO83" i="8" a="1"/>
  <c r="BO83" i="8" s="1"/>
  <c r="BD83" i="8" a="1"/>
  <c r="BD83" i="8" s="1"/>
  <c r="BQ83" i="8" a="1"/>
  <c r="BQ83" i="8" s="1"/>
  <c r="AW83" i="8" a="1"/>
  <c r="AW83" i="8" s="1"/>
  <c r="AO83" i="8" a="1"/>
  <c r="AO83" i="8" s="1"/>
  <c r="O83" i="8" a="1"/>
  <c r="O83" i="8" s="1"/>
  <c r="BL74" i="12" a="1"/>
  <c r="BL74" i="12" s="1"/>
  <c r="AH83" i="8" a="1"/>
  <c r="AH83" i="8" s="1"/>
  <c r="BP23" i="11" a="1"/>
  <c r="BP23" i="11" s="1"/>
  <c r="BP31" i="11" s="1"/>
  <c r="BP53" i="11" s="1"/>
  <c r="AM83" i="8" a="1"/>
  <c r="AM83" i="8" s="1"/>
  <c r="BS23" i="11" a="1"/>
  <c r="BS23" i="11" s="1"/>
  <c r="BS31" i="11" s="1"/>
  <c r="BS53" i="11" s="1"/>
  <c r="AG83" i="8" a="1"/>
  <c r="AG83" i="8" s="1"/>
  <c r="AT83" i="8" a="1"/>
  <c r="AT83" i="8" s="1"/>
  <c r="BU23" i="11" a="1"/>
  <c r="BU23" i="11" s="1"/>
  <c r="BU31" i="11" s="1"/>
  <c r="BU53" i="11" s="1"/>
  <c r="BU83" i="8" a="1"/>
  <c r="BU83" i="8" s="1"/>
  <c r="BR74" i="12" a="1"/>
  <c r="BR74" i="12" s="1"/>
  <c r="BS83" i="8" a="1"/>
  <c r="BS83" i="8" s="1"/>
  <c r="BK83" i="8" a="1"/>
  <c r="BK83" i="8" s="1"/>
  <c r="BG23" i="11" a="1"/>
  <c r="BG23" i="11" s="1"/>
  <c r="BG31" i="11" s="1"/>
  <c r="BG53" i="11" s="1"/>
  <c r="CC83" i="8" a="1"/>
  <c r="CC83" i="8" s="1"/>
  <c r="AG23" i="11" a="1"/>
  <c r="AG23" i="11" s="1"/>
  <c r="AG31" i="11" s="1"/>
  <c r="AG53" i="11" s="1"/>
  <c r="AN83" i="8" a="1"/>
  <c r="AN83" i="8" s="1"/>
  <c r="AL23" i="11" a="1"/>
  <c r="AL23" i="11" s="1"/>
  <c r="AL31" i="11" s="1"/>
  <c r="AL53" i="11" s="1"/>
  <c r="BW83" i="8" a="1"/>
  <c r="BW83" i="8" s="1"/>
  <c r="L23" i="11" a="1"/>
  <c r="L23" i="11" s="1"/>
  <c r="L31" i="11" s="1"/>
  <c r="L53" i="11" s="1"/>
  <c r="BJ23" i="11" a="1"/>
  <c r="BJ23" i="11" s="1"/>
  <c r="BJ31" i="11" s="1"/>
  <c r="BJ53" i="11" s="1"/>
  <c r="BC74" i="12" a="1"/>
  <c r="BC74" i="12" s="1"/>
  <c r="AI83" i="8" a="1"/>
  <c r="AI83" i="8" s="1"/>
  <c r="Y23" i="11" a="1"/>
  <c r="Y23" i="11" s="1"/>
  <c r="Y31" i="11" s="1"/>
  <c r="Y53" i="11" s="1"/>
  <c r="BM23" i="11" a="1"/>
  <c r="BM23" i="11" s="1"/>
  <c r="BM31" i="11" s="1"/>
  <c r="BM53" i="11" s="1"/>
  <c r="BP83" i="8" a="1"/>
  <c r="BP83" i="8" s="1"/>
  <c r="AZ74" i="12" a="1"/>
  <c r="AZ74" i="12" s="1"/>
  <c r="Q83" i="8" a="1"/>
  <c r="Q83" i="8" s="1"/>
  <c r="BE83" i="8" a="1"/>
  <c r="BE83" i="8" s="1"/>
  <c r="K23" i="11" a="1"/>
  <c r="K23" i="11" s="1"/>
  <c r="K31" i="11" s="1"/>
  <c r="K53" i="11" s="1"/>
  <c r="J83" i="8" a="1"/>
  <c r="J83" i="8" s="1"/>
  <c r="E23" i="11" a="1"/>
  <c r="E23" i="11" s="1"/>
  <c r="E31" i="11" s="1"/>
  <c r="E53" i="11" s="1"/>
  <c r="BA74" i="12" a="1"/>
  <c r="BA74" i="12" s="1"/>
  <c r="BR83" i="8" a="1"/>
  <c r="BR83" i="8" s="1"/>
  <c r="BX83" i="8" a="1"/>
  <c r="BX83" i="8" s="1"/>
  <c r="BA83" i="8" a="1"/>
  <c r="BA83" i="8" s="1"/>
  <c r="BY83" i="8" a="1"/>
  <c r="BY83" i="8" s="1"/>
  <c r="BI83" i="8" a="1"/>
  <c r="BI83" i="8" s="1"/>
  <c r="BN83" i="8" a="1"/>
  <c r="BN83" i="8" s="1"/>
  <c r="BJ74" i="12" a="1"/>
  <c r="BJ74" i="12" s="1"/>
  <c r="AI23" i="11" a="1"/>
  <c r="AI23" i="11" s="1"/>
  <c r="AI31" i="11" s="1"/>
  <c r="AI53" i="11" s="1"/>
  <c r="BT83" i="8" a="1"/>
  <c r="BT83" i="8" s="1"/>
  <c r="BX23" i="11" a="1"/>
  <c r="BX23" i="11" s="1"/>
  <c r="BX31" i="11" s="1"/>
  <c r="BX53" i="11" s="1"/>
  <c r="AD23" i="11" a="1"/>
  <c r="AD23" i="11" s="1"/>
  <c r="AD31" i="11" s="1"/>
  <c r="AD53" i="11" s="1"/>
  <c r="AA83" i="8" a="1"/>
  <c r="AA83" i="8" s="1"/>
  <c r="BG83" i="8" a="1"/>
  <c r="BG83" i="8" s="1"/>
  <c r="CA83" i="8" a="1"/>
  <c r="CA83" i="8" s="1"/>
  <c r="AE83" i="8" a="1"/>
  <c r="AE83" i="8" s="1"/>
  <c r="H23" i="11" a="1"/>
  <c r="H23" i="11" s="1"/>
  <c r="H31" i="11" s="1"/>
  <c r="H53" i="11" s="1"/>
  <c r="AL83" i="8" a="1"/>
  <c r="AL83" i="8" s="1"/>
  <c r="BJ83" i="8" a="1"/>
  <c r="BJ83" i="8" s="1"/>
  <c r="AP83" i="8" a="1"/>
  <c r="AP83" i="8" s="1"/>
  <c r="AV74" i="12" a="1"/>
  <c r="AV74" i="12" s="1"/>
  <c r="N83" i="8" a="1"/>
  <c r="N83" i="8" s="1"/>
  <c r="O23" i="11" a="1"/>
  <c r="O23" i="11" s="1"/>
  <c r="O31" i="11" s="1"/>
  <c r="O53" i="11" s="1"/>
  <c r="BZ83" i="8" a="1"/>
  <c r="BZ83" i="8" s="1"/>
  <c r="AS83" i="8" a="1"/>
  <c r="AS83" i="8" s="1"/>
  <c r="T83" i="8" a="1"/>
  <c r="T83" i="8" s="1"/>
  <c r="AR74" i="12" a="1"/>
  <c r="AR74" i="12" s="1"/>
  <c r="P83" i="8" a="1"/>
  <c r="P83" i="8" s="1"/>
  <c r="BR23" i="11" a="1"/>
  <c r="BR23" i="11" s="1"/>
  <c r="BR31" i="11" s="1"/>
  <c r="BR53" i="11" s="1"/>
  <c r="CE83" i="8" a="1"/>
  <c r="CE83" i="8" s="1"/>
  <c r="BD74" i="12" a="1"/>
  <c r="BD74" i="12" s="1"/>
  <c r="V83" i="8" a="1"/>
  <c r="V83" i="8" s="1"/>
  <c r="AY83" i="8" a="1"/>
  <c r="AY83" i="8" s="1"/>
  <c r="AS23" i="11" a="1"/>
  <c r="AS23" i="11" s="1"/>
  <c r="AS31" i="11" s="1"/>
  <c r="AS53" i="11" s="1"/>
  <c r="AV23" i="11" a="1"/>
  <c r="AV23" i="11" s="1"/>
  <c r="AV31" i="11" s="1"/>
  <c r="AV53" i="11" s="1"/>
  <c r="BA23" i="11" a="1"/>
  <c r="BA23" i="11" s="1"/>
  <c r="BA31" i="11" s="1"/>
  <c r="BA53" i="11" s="1"/>
  <c r="AM23" i="11" a="1"/>
  <c r="AM23" i="11" s="1"/>
  <c r="AM31" i="11" s="1"/>
  <c r="AM53" i="11" s="1"/>
  <c r="BV83" i="8" a="1"/>
  <c r="BV83" i="8" s="1"/>
  <c r="AC83" i="8" a="1"/>
  <c r="AC83" i="8" s="1"/>
  <c r="BP74" i="12" a="1"/>
  <c r="BP74" i="12" s="1"/>
  <c r="AW74" i="12" a="1"/>
  <c r="AW74" i="12" s="1"/>
  <c r="BK74" i="12" a="1"/>
  <c r="BK74" i="12" s="1"/>
  <c r="AO74" i="12" a="1"/>
  <c r="AO74" i="12" s="1"/>
  <c r="AX83" i="8" a="1"/>
  <c r="AX83" i="8" s="1"/>
  <c r="BF74" i="12" a="1"/>
  <c r="BF74" i="12" s="1"/>
  <c r="BM83" i="8" a="1"/>
  <c r="BM83" i="8" s="1"/>
  <c r="AU23" i="11" a="1"/>
  <c r="AU23" i="11" s="1"/>
  <c r="AU31" i="11" s="1"/>
  <c r="AU53" i="11" s="1"/>
  <c r="BB23" i="11" a="1"/>
  <c r="BB23" i="11" s="1"/>
  <c r="BB31" i="11" s="1"/>
  <c r="BB53" i="11" s="1"/>
  <c r="BE74" i="12" a="1"/>
  <c r="BE74" i="12" s="1"/>
  <c r="BO74" i="12" a="1"/>
  <c r="BO74" i="12" s="1"/>
  <c r="BT23" i="11" a="1"/>
  <c r="BT23" i="11" s="1"/>
  <c r="BT31" i="11" s="1"/>
  <c r="BT53" i="11" s="1"/>
  <c r="U83" i="8" a="1"/>
  <c r="U83" i="8" s="1"/>
  <c r="AU74" i="12" a="1"/>
  <c r="AU74" i="12" s="1"/>
  <c r="BC83" i="8" a="1"/>
  <c r="BC83" i="8" s="1"/>
  <c r="BH83" i="8" a="1"/>
  <c r="BH83" i="8" s="1"/>
  <c r="X23" i="11" a="1"/>
  <c r="X23" i="11" s="1"/>
  <c r="X31" i="11" s="1"/>
  <c r="X53" i="11" s="1"/>
  <c r="W23" i="11" a="1"/>
  <c r="W23" i="11" s="1"/>
  <c r="W31" i="11" s="1"/>
  <c r="W53" i="11" s="1"/>
  <c r="AP74" i="12" a="1"/>
  <c r="AP74" i="12" s="1"/>
  <c r="AV83" i="8" a="1"/>
  <c r="AV83" i="8" s="1"/>
  <c r="CF83" i="8" a="1"/>
  <c r="CF83" i="8" s="1"/>
  <c r="F23" i="11" a="1"/>
  <c r="F23" i="11" s="1"/>
  <c r="F31" i="11" s="1"/>
  <c r="F53" i="11" s="1"/>
  <c r="CB83" i="8" a="1"/>
  <c r="CB83" i="8" s="1"/>
  <c r="AB83" i="8" a="1"/>
  <c r="AB83" i="8" s="1"/>
  <c r="AZ83" i="8" a="1"/>
  <c r="AZ83" i="8" s="1"/>
  <c r="BM74" i="12" a="1"/>
  <c r="BM74" i="12" s="1"/>
  <c r="P23" i="11" a="1"/>
  <c r="P23" i="11" s="1"/>
  <c r="P31" i="11" s="1"/>
  <c r="P53" i="11" s="1"/>
  <c r="R23" i="11" a="1"/>
  <c r="R23" i="11" s="1"/>
  <c r="R31" i="11" s="1"/>
  <c r="R53" i="11" s="1"/>
  <c r="BU74" i="12" a="1"/>
  <c r="BU74" i="12" s="1"/>
  <c r="AF83" i="8" a="1"/>
  <c r="AF83" i="8" s="1"/>
  <c r="BB83" i="8" a="1"/>
  <c r="BB83" i="8" s="1"/>
  <c r="AQ83" i="8" a="1"/>
  <c r="AQ83" i="8" s="1"/>
  <c r="K83" i="8" a="1"/>
  <c r="K83" i="8" s="1"/>
  <c r="CD83" i="8" a="1"/>
  <c r="CD83" i="8" s="1"/>
  <c r="BC23" i="11" a="1"/>
  <c r="BC23" i="11" s="1"/>
  <c r="BC31" i="11" s="1"/>
  <c r="BC53" i="11" s="1"/>
  <c r="BI23" i="11" a="1"/>
  <c r="BI23" i="11" s="1"/>
  <c r="BI31" i="11" s="1"/>
  <c r="BI53" i="11" s="1"/>
  <c r="CG83" i="8" a="1"/>
  <c r="CG83" i="8" s="1"/>
  <c r="Y83" i="8" a="1"/>
  <c r="Y83" i="8" s="1"/>
  <c r="BL23" i="11" a="1"/>
  <c r="BL23" i="11" s="1"/>
  <c r="BL31" i="11" s="1"/>
  <c r="BL53" i="11" s="1"/>
  <c r="M23" i="11" a="1"/>
  <c r="M23" i="11" s="1"/>
  <c r="M31" i="11" s="1"/>
  <c r="M53" i="11" s="1"/>
  <c r="AD83" i="8" a="1"/>
  <c r="AD83" i="8" s="1"/>
  <c r="BV23" i="11" a="1"/>
  <c r="BV23" i="11" s="1"/>
  <c r="BV31" i="11" s="1"/>
  <c r="BV53" i="11" s="1"/>
  <c r="AF23" i="11" a="1"/>
  <c r="AF23" i="11" s="1"/>
  <c r="AF31" i="11" s="1"/>
  <c r="AF53" i="11" s="1"/>
  <c r="AU83" i="8" a="1"/>
  <c r="AU83" i="8" s="1"/>
  <c r="W83" i="8" a="1"/>
  <c r="W83" i="8" s="1"/>
  <c r="BF83" i="8" a="1"/>
  <c r="BF83" i="8" s="1"/>
  <c r="AZ23" i="11" a="1"/>
  <c r="AZ23" i="11" s="1"/>
  <c r="AZ31" i="11" s="1"/>
  <c r="AZ53" i="11" s="1"/>
  <c r="AH23" i="11" a="1"/>
  <c r="AH23" i="11" s="1"/>
  <c r="AH31" i="11" s="1"/>
  <c r="AH53" i="11" s="1"/>
  <c r="BL83" i="8" a="1"/>
  <c r="BL83" i="8" s="1"/>
  <c r="BT87" i="30"/>
  <c r="I65" i="33" l="1"/>
  <c r="I105" i="33" s="1" a="1"/>
  <c r="I105" i="33" s="1"/>
  <c r="M65" i="33"/>
  <c r="M105" i="33" s="1" a="1"/>
  <c r="M105" i="33" s="1"/>
  <c r="G65" i="33"/>
  <c r="N68" i="33"/>
  <c r="O68" i="33" s="1"/>
  <c r="J68" i="33"/>
  <c r="K68" i="33" s="1"/>
  <c r="J66" i="33"/>
  <c r="K66" i="33" s="1"/>
  <c r="N66" i="33"/>
  <c r="O66" i="33" s="1"/>
  <c r="N67" i="33"/>
  <c r="O67" i="33" s="1"/>
  <c r="J67" i="33"/>
  <c r="K67" i="33" s="1"/>
  <c r="N69" i="33"/>
  <c r="O69" i="33" s="1"/>
  <c r="J69" i="33"/>
  <c r="K69" i="33" s="1"/>
  <c r="M94" i="33"/>
  <c r="M86" i="33"/>
  <c r="I86" i="33"/>
  <c r="I94" i="33"/>
  <c r="G86" i="33"/>
  <c r="N87" i="33"/>
  <c r="O87" i="33" s="1"/>
  <c r="G94" i="33"/>
  <c r="J87" i="33"/>
  <c r="K87" i="33" s="1"/>
  <c r="AF90" i="8"/>
  <c r="AF82" i="8"/>
  <c r="AU71" i="12"/>
  <c r="AU119" i="12" a="1"/>
  <c r="AU119" i="12" s="1"/>
  <c r="AU115" i="12" a="1"/>
  <c r="AU115" i="12" s="1"/>
  <c r="AU118" i="12"/>
  <c r="S26" i="13" a="1"/>
  <c r="S26" i="13" s="1"/>
  <c r="S79" i="13"/>
  <c r="AV71" i="12"/>
  <c r="AV115" i="12" a="1"/>
  <c r="AV115" i="12" s="1"/>
  <c r="AV119" i="12" a="1"/>
  <c r="AV119" i="12" s="1"/>
  <c r="T26" i="13" a="1"/>
  <c r="T26" i="13" s="1"/>
  <c r="AV118" i="12"/>
  <c r="T79" i="13"/>
  <c r="BN90" i="8"/>
  <c r="BN82" i="8"/>
  <c r="Z82" i="8"/>
  <c r="Z90" i="8"/>
  <c r="AU26" i="13" a="1"/>
  <c r="AU26" i="13" s="1"/>
  <c r="BW71" i="12"/>
  <c r="BW118" i="12"/>
  <c r="BW119" i="12" a="1"/>
  <c r="BW119" i="12" s="1"/>
  <c r="BW115" i="12" a="1"/>
  <c r="BW115" i="12" s="1"/>
  <c r="AU79" i="13"/>
  <c r="W90" i="8"/>
  <c r="W82" i="8"/>
  <c r="U82" i="8"/>
  <c r="U90" i="8"/>
  <c r="AP82" i="8"/>
  <c r="AP90" i="8"/>
  <c r="BI82" i="8"/>
  <c r="BI90" i="8"/>
  <c r="AT82" i="8"/>
  <c r="AT90" i="8"/>
  <c r="X82" i="8"/>
  <c r="X90" i="8"/>
  <c r="AF26" i="13" a="1"/>
  <c r="AF26" i="13" s="1"/>
  <c r="BH71" i="12"/>
  <c r="BH118" i="12"/>
  <c r="BH119" i="12" a="1"/>
  <c r="BH119" i="12" s="1"/>
  <c r="BH115" i="12" a="1"/>
  <c r="BH115" i="12" s="1"/>
  <c r="AF79" i="13"/>
  <c r="CD90" i="8"/>
  <c r="CD82" i="8"/>
  <c r="BF90" i="8"/>
  <c r="BF82" i="8"/>
  <c r="BJ82" i="8"/>
  <c r="BJ90" i="8"/>
  <c r="BY82" i="8"/>
  <c r="BY90" i="8"/>
  <c r="AI82" i="8"/>
  <c r="AI90" i="8"/>
  <c r="AG82" i="8"/>
  <c r="AG90" i="8"/>
  <c r="R26" i="13" a="1"/>
  <c r="R26" i="13" s="1"/>
  <c r="AT71" i="12"/>
  <c r="W74" i="12"/>
  <c r="W71" i="12" s="1"/>
  <c r="AT119" i="12" a="1"/>
  <c r="AT119" i="12" s="1"/>
  <c r="AT115" i="12" a="1"/>
  <c r="AT115" i="12" s="1"/>
  <c r="AT118" i="12"/>
  <c r="R79" i="13"/>
  <c r="BB90" i="8"/>
  <c r="BB82" i="8"/>
  <c r="AS26" i="13" a="1"/>
  <c r="AS26" i="13" s="1"/>
  <c r="BU71" i="12"/>
  <c r="BU119" i="12" a="1"/>
  <c r="BU119" i="12" s="1"/>
  <c r="BU118" i="12"/>
  <c r="BU115" i="12" a="1"/>
  <c r="BU115" i="12" s="1"/>
  <c r="AF74" i="12"/>
  <c r="AF71" i="12" s="1"/>
  <c r="AS79" i="13"/>
  <c r="AD74" i="12"/>
  <c r="AD71" i="12" s="1"/>
  <c r="BO115" i="12" a="1"/>
  <c r="BO115" i="12" s="1"/>
  <c r="BO71" i="12"/>
  <c r="BO118" i="12"/>
  <c r="BO119" i="12" a="1"/>
  <c r="BO119" i="12" s="1"/>
  <c r="AM26" i="13" a="1"/>
  <c r="AM26" i="13" s="1"/>
  <c r="AM79" i="13"/>
  <c r="AL90" i="8"/>
  <c r="AL82" i="8"/>
  <c r="BA90" i="8"/>
  <c r="BA82" i="8"/>
  <c r="AA26" i="13" a="1"/>
  <c r="AA26" i="13" s="1"/>
  <c r="Z74" i="12"/>
  <c r="Z71" i="12" s="1"/>
  <c r="BC118" i="12"/>
  <c r="BC119" i="12" a="1"/>
  <c r="BC119" i="12" s="1"/>
  <c r="BC115" i="12" a="1"/>
  <c r="BC115" i="12" s="1"/>
  <c r="BC71" i="12"/>
  <c r="AA79" i="13"/>
  <c r="AY115" i="12" a="1"/>
  <c r="AY115" i="12" s="1"/>
  <c r="W26" i="13" a="1"/>
  <c r="W26" i="13" s="1"/>
  <c r="AY71" i="12"/>
  <c r="AY119" i="12" a="1"/>
  <c r="AY119" i="12" s="1"/>
  <c r="AY118" i="12"/>
  <c r="W79" i="13"/>
  <c r="BN119" i="12" a="1"/>
  <c r="BN119" i="12" s="1"/>
  <c r="AL26" i="13" a="1"/>
  <c r="AL26" i="13" s="1"/>
  <c r="BN71" i="12"/>
  <c r="BN115" i="12" a="1"/>
  <c r="BN115" i="12" s="1"/>
  <c r="BN118" i="12"/>
  <c r="AL79" i="13"/>
  <c r="BG118" i="12"/>
  <c r="BG119" i="12" a="1"/>
  <c r="BG119" i="12" s="1"/>
  <c r="BG115" i="12" a="1"/>
  <c r="BG115" i="12" s="1"/>
  <c r="BG71" i="12"/>
  <c r="AE26" i="13" a="1"/>
  <c r="AE26" i="13" s="1"/>
  <c r="AE79" i="13"/>
  <c r="BL82" i="8"/>
  <c r="BL90" i="8"/>
  <c r="AU90" i="8"/>
  <c r="AU82" i="8"/>
  <c r="BM118" i="12"/>
  <c r="BM71" i="12"/>
  <c r="BM115" i="12" a="1"/>
  <c r="BM115" i="12" s="1"/>
  <c r="BM119" i="12" a="1"/>
  <c r="BM119" i="12" s="1"/>
  <c r="AK26" i="13" a="1"/>
  <c r="AK26" i="13" s="1"/>
  <c r="AK79" i="13"/>
  <c r="AC26" i="13" a="1"/>
  <c r="AC26" i="13" s="1"/>
  <c r="BE118" i="12"/>
  <c r="BE119" i="12" a="1"/>
  <c r="BE119" i="12" s="1"/>
  <c r="BE71" i="12"/>
  <c r="BE115" i="12" a="1"/>
  <c r="BE115" i="12" s="1"/>
  <c r="AC79" i="13"/>
  <c r="AY90" i="8"/>
  <c r="AY82" i="8"/>
  <c r="BX82" i="8"/>
  <c r="BX90" i="8"/>
  <c r="AM90" i="8"/>
  <c r="AM82" i="8"/>
  <c r="AD82" i="8"/>
  <c r="AD90" i="8"/>
  <c r="AZ90" i="8"/>
  <c r="AZ82" i="8"/>
  <c r="V82" i="8"/>
  <c r="V90" i="8"/>
  <c r="AE90" i="8"/>
  <c r="AE82" i="8"/>
  <c r="BR82" i="8"/>
  <c r="BR90" i="8"/>
  <c r="BD119" i="12" a="1"/>
  <c r="BD119" i="12" s="1"/>
  <c r="BD118" i="12"/>
  <c r="BD71" i="12"/>
  <c r="AB26" i="13" a="1"/>
  <c r="AB26" i="13" s="1"/>
  <c r="BD115" i="12" a="1"/>
  <c r="BD115" i="12" s="1"/>
  <c r="AB79" i="13"/>
  <c r="CA90" i="8"/>
  <c r="CA82" i="8"/>
  <c r="BW82" i="8"/>
  <c r="BW90" i="8"/>
  <c r="AH90" i="8"/>
  <c r="AH82" i="8"/>
  <c r="AQ115" i="12" a="1"/>
  <c r="AQ115" i="12" s="1"/>
  <c r="AQ118" i="12"/>
  <c r="V74" i="12"/>
  <c r="V71" i="12" s="1"/>
  <c r="O26" i="13" a="1"/>
  <c r="O26" i="13" s="1"/>
  <c r="AQ71" i="12"/>
  <c r="AQ119" i="12" a="1"/>
  <c r="AQ119" i="12" s="1"/>
  <c r="O79" i="13"/>
  <c r="BV118" i="12"/>
  <c r="BV115" i="12" a="1"/>
  <c r="BV115" i="12" s="1"/>
  <c r="AT26" i="13" a="1"/>
  <c r="AT26" i="13" s="1"/>
  <c r="BV119" i="12" a="1"/>
  <c r="BV119" i="12" s="1"/>
  <c r="BV71" i="12"/>
  <c r="AT79" i="13"/>
  <c r="BX74" i="12" a="1"/>
  <c r="BX74" i="12" s="1"/>
  <c r="CB90" i="8"/>
  <c r="CB82" i="8"/>
  <c r="BM90" i="8"/>
  <c r="BM82" i="8"/>
  <c r="CE90" i="8"/>
  <c r="CE82" i="8"/>
  <c r="BG82" i="8"/>
  <c r="BG90" i="8"/>
  <c r="BA115" i="12" a="1"/>
  <c r="BA115" i="12" s="1"/>
  <c r="BA118" i="12"/>
  <c r="BA71" i="12"/>
  <c r="BA119" i="12" a="1"/>
  <c r="BA119" i="12" s="1"/>
  <c r="Y26" i="13" a="1"/>
  <c r="Y26" i="13" s="1"/>
  <c r="Y79" i="13"/>
  <c r="AC74" i="12"/>
  <c r="AC71" i="12" s="1"/>
  <c r="BL118" i="12"/>
  <c r="BL119" i="12" a="1"/>
  <c r="BL119" i="12" s="1"/>
  <c r="AJ26" i="13" a="1"/>
  <c r="AJ26" i="13" s="1"/>
  <c r="BL71" i="12"/>
  <c r="Q74" i="12"/>
  <c r="Q71" i="12" s="1"/>
  <c r="BL115" i="12" a="1"/>
  <c r="BL115" i="12" s="1"/>
  <c r="AJ79" i="13"/>
  <c r="AB82" i="8"/>
  <c r="AB90" i="8"/>
  <c r="Y90" i="8"/>
  <c r="Y82" i="8"/>
  <c r="AA74" i="12"/>
  <c r="AA71" i="12" s="1"/>
  <c r="BF115" i="12" a="1"/>
  <c r="BF115" i="12" s="1"/>
  <c r="BF119" i="12" a="1"/>
  <c r="BF119" i="12" s="1"/>
  <c r="BF118" i="12"/>
  <c r="BF71" i="12"/>
  <c r="AD26" i="13" a="1"/>
  <c r="AD26" i="13" s="1"/>
  <c r="AD79" i="13"/>
  <c r="AN82" i="8"/>
  <c r="AN90" i="8"/>
  <c r="O90" i="8"/>
  <c r="O82" i="8"/>
  <c r="AN71" i="12"/>
  <c r="AN115" i="12" a="1"/>
  <c r="AN115" i="12" s="1"/>
  <c r="L26" i="13" a="1"/>
  <c r="L26" i="13" s="1"/>
  <c r="AN118" i="12"/>
  <c r="AN119" i="12" a="1"/>
  <c r="AN119" i="12" s="1"/>
  <c r="L79" i="13"/>
  <c r="CF82" i="8"/>
  <c r="CF90" i="8"/>
  <c r="AX82" i="8"/>
  <c r="AX90" i="8"/>
  <c r="P90" i="8"/>
  <c r="P82" i="8"/>
  <c r="AA90" i="8"/>
  <c r="AA82" i="8"/>
  <c r="J90" i="8"/>
  <c r="J82" i="8"/>
  <c r="AO90" i="8"/>
  <c r="AO82" i="8"/>
  <c r="BS71" i="12"/>
  <c r="AQ26" i="13" a="1"/>
  <c r="AQ26" i="13" s="1"/>
  <c r="BS118" i="12"/>
  <c r="BS119" i="12" a="1"/>
  <c r="BS119" i="12" s="1"/>
  <c r="BS115" i="12" a="1"/>
  <c r="BS115" i="12" s="1"/>
  <c r="AQ79" i="13"/>
  <c r="CG90" i="8"/>
  <c r="CG82" i="8"/>
  <c r="BT91" i="30"/>
  <c r="BU84" i="30"/>
  <c r="AO71" i="12"/>
  <c r="AO119" i="12" a="1"/>
  <c r="AO119" i="12" s="1"/>
  <c r="AO115" i="12" a="1"/>
  <c r="AO115" i="12" s="1"/>
  <c r="AO118" i="12"/>
  <c r="M26" i="13" a="1"/>
  <c r="M26" i="13" s="1"/>
  <c r="M79" i="13"/>
  <c r="P26" i="13" a="1"/>
  <c r="P26" i="13" s="1"/>
  <c r="AR119" i="12" a="1"/>
  <c r="AR119" i="12" s="1"/>
  <c r="AR71" i="12"/>
  <c r="AR118" i="12"/>
  <c r="AR115" i="12" a="1"/>
  <c r="AR115" i="12" s="1"/>
  <c r="P79" i="13"/>
  <c r="AW90" i="8"/>
  <c r="AW82" i="8"/>
  <c r="AR26" i="13" a="1"/>
  <c r="AR26" i="13" s="1"/>
  <c r="BT71" i="12"/>
  <c r="BT119" i="12" a="1"/>
  <c r="BT119" i="12" s="1"/>
  <c r="BT118" i="12"/>
  <c r="BT115" i="12" a="1"/>
  <c r="BT115" i="12" s="1"/>
  <c r="AR79" i="13"/>
  <c r="AV82" i="8"/>
  <c r="AV90" i="8"/>
  <c r="CC82" i="8"/>
  <c r="CC90" i="8"/>
  <c r="N26" i="13" a="1"/>
  <c r="N26" i="13" s="1"/>
  <c r="AP115" i="12" a="1"/>
  <c r="AP115" i="12" s="1"/>
  <c r="AP119" i="12" a="1"/>
  <c r="AP119" i="12" s="1"/>
  <c r="AP118" i="12"/>
  <c r="AP71" i="12"/>
  <c r="N79" i="13"/>
  <c r="BK115" i="12" a="1"/>
  <c r="BK115" i="12" s="1"/>
  <c r="BK71" i="12"/>
  <c r="AI26" i="13" a="1"/>
  <c r="AI26" i="13" s="1"/>
  <c r="BK119" i="12" a="1"/>
  <c r="BK119" i="12" s="1"/>
  <c r="BK118" i="12"/>
  <c r="AI79" i="13"/>
  <c r="T82" i="8"/>
  <c r="T90" i="8"/>
  <c r="BE90" i="8"/>
  <c r="BE82" i="8"/>
  <c r="BQ90" i="8"/>
  <c r="BQ82" i="8"/>
  <c r="X74" i="12"/>
  <c r="X71" i="12" s="1"/>
  <c r="AW115" i="12" a="1"/>
  <c r="AW115" i="12" s="1"/>
  <c r="AW119" i="12" a="1"/>
  <c r="AW119" i="12" s="1"/>
  <c r="AW71" i="12"/>
  <c r="AW118" i="12"/>
  <c r="U26" i="13" a="1"/>
  <c r="U26" i="13" s="1"/>
  <c r="U79" i="13"/>
  <c r="AS90" i="8"/>
  <c r="AS82" i="8"/>
  <c r="Q82" i="8"/>
  <c r="Q90" i="8"/>
  <c r="BK82" i="8"/>
  <c r="BK90" i="8"/>
  <c r="BD82" i="8"/>
  <c r="BD90" i="8"/>
  <c r="BP115" i="12" a="1"/>
  <c r="BP115" i="12" s="1"/>
  <c r="BP119" i="12" a="1"/>
  <c r="BP119" i="12" s="1"/>
  <c r="BP71" i="12"/>
  <c r="AN26" i="13" a="1"/>
  <c r="AN26" i="13" s="1"/>
  <c r="BP118" i="12"/>
  <c r="AN79" i="13"/>
  <c r="BZ82" i="8"/>
  <c r="BZ90" i="8"/>
  <c r="BT82" i="8"/>
  <c r="BT90" i="8"/>
  <c r="Y74" i="12"/>
  <c r="Y71" i="12" s="1"/>
  <c r="X26" i="13" a="1"/>
  <c r="X26" i="13" s="1"/>
  <c r="AZ119" i="12" a="1"/>
  <c r="AZ119" i="12" s="1"/>
  <c r="AZ115" i="12" a="1"/>
  <c r="AZ115" i="12" s="1"/>
  <c r="AZ118" i="12"/>
  <c r="AZ71" i="12"/>
  <c r="P74" i="12"/>
  <c r="P71" i="12" s="1"/>
  <c r="X79" i="13"/>
  <c r="BS90" i="8"/>
  <c r="BS82" i="8"/>
  <c r="BO90" i="8"/>
  <c r="BO82" i="8"/>
  <c r="Z26" i="13" a="1"/>
  <c r="Z26" i="13" s="1"/>
  <c r="BB118" i="12"/>
  <c r="BB71" i="12"/>
  <c r="BB115" i="12" a="1"/>
  <c r="BB115" i="12" s="1"/>
  <c r="BB119" i="12" a="1"/>
  <c r="BB119" i="12" s="1"/>
  <c r="Z79" i="13"/>
  <c r="K82" i="8"/>
  <c r="K90" i="8"/>
  <c r="BH90" i="8"/>
  <c r="BH82" i="8"/>
  <c r="AC82" i="8"/>
  <c r="AC90" i="8"/>
  <c r="BP82" i="8"/>
  <c r="BP90" i="8"/>
  <c r="AE74" i="12"/>
  <c r="AE71" i="12" s="1"/>
  <c r="BR119" i="12" a="1"/>
  <c r="BR119" i="12" s="1"/>
  <c r="AP26" i="13" a="1"/>
  <c r="AP26" i="13" s="1"/>
  <c r="BR115" i="12" a="1"/>
  <c r="BR115" i="12" s="1"/>
  <c r="BR118" i="12"/>
  <c r="BR71" i="12"/>
  <c r="AP79" i="13"/>
  <c r="AR82" i="8"/>
  <c r="AR90" i="8"/>
  <c r="BQ119" i="12" a="1"/>
  <c r="BQ119" i="12" s="1"/>
  <c r="BQ71" i="12"/>
  <c r="BQ115" i="12" a="1"/>
  <c r="BQ115" i="12" s="1"/>
  <c r="BQ118" i="12"/>
  <c r="AO26" i="13" a="1"/>
  <c r="AO26" i="13" s="1"/>
  <c r="AO79" i="13"/>
  <c r="AX71" i="12"/>
  <c r="AX115" i="12" a="1"/>
  <c r="AX115" i="12" s="1"/>
  <c r="AX118" i="12"/>
  <c r="V26" i="13" a="1"/>
  <c r="V26" i="13" s="1"/>
  <c r="AX119" i="12" a="1"/>
  <c r="AX119" i="12" s="1"/>
  <c r="V79" i="13"/>
  <c r="AQ82" i="8"/>
  <c r="AQ90" i="8"/>
  <c r="BC90" i="8"/>
  <c r="BC82" i="8"/>
  <c r="BV82" i="8"/>
  <c r="BV90" i="8"/>
  <c r="N90" i="8"/>
  <c r="N82" i="8"/>
  <c r="AH26" i="13" a="1"/>
  <c r="AH26" i="13" s="1"/>
  <c r="BJ118" i="12"/>
  <c r="BJ119" i="12" a="1"/>
  <c r="BJ119" i="12" s="1"/>
  <c r="BJ71" i="12"/>
  <c r="BJ115" i="12" a="1"/>
  <c r="BJ115" i="12" s="1"/>
  <c r="AH79" i="13"/>
  <c r="BU82" i="8"/>
  <c r="BU90" i="8"/>
  <c r="Q26" i="13" a="1"/>
  <c r="Q26" i="13" s="1"/>
  <c r="AS118" i="12"/>
  <c r="AS71" i="12"/>
  <c r="AS115" i="12" a="1"/>
  <c r="AS115" i="12" s="1"/>
  <c r="AS119" i="12" a="1"/>
  <c r="AS119" i="12" s="1"/>
  <c r="Q79" i="13"/>
  <c r="BI115" i="12" a="1"/>
  <c r="BI115" i="12" s="1"/>
  <c r="BI119" i="12" a="1"/>
  <c r="BI119" i="12" s="1"/>
  <c r="AB74" i="12"/>
  <c r="AB71" i="12" s="1"/>
  <c r="BI71" i="12"/>
  <c r="BI118" i="12"/>
  <c r="AG26" i="13" a="1"/>
  <c r="AG26" i="13" s="1"/>
  <c r="AG79" i="13"/>
  <c r="J86" i="33" l="1"/>
  <c r="K86" i="33" s="1"/>
  <c r="N86" i="33"/>
  <c r="O86" i="33" s="1"/>
  <c r="J94" i="33"/>
  <c r="K94" i="33" s="1"/>
  <c r="N94" i="33"/>
  <c r="O94" i="33" s="1"/>
  <c r="G105" i="33" a="1"/>
  <c r="G105" i="33" s="1"/>
  <c r="N65" i="33"/>
  <c r="O65" i="33" s="1"/>
  <c r="J65" i="33"/>
  <c r="K65" i="33" s="1"/>
  <c r="AT156" i="13"/>
  <c r="AT153" i="13"/>
  <c r="AS15" i="10" a="1"/>
  <c r="AS15" i="10" s="1"/>
  <c r="AS16" i="10" s="1"/>
  <c r="AS41" i="10" a="1"/>
  <c r="AS41" i="10" s="1"/>
  <c r="AS12" i="10" a="1"/>
  <c r="AS12" i="10" s="1"/>
  <c r="AS18" i="10" a="1"/>
  <c r="AS18" i="10" s="1"/>
  <c r="AS54" i="10" a="1"/>
  <c r="AS54" i="10" s="1"/>
  <c r="AS49" i="10" a="1"/>
  <c r="AS49" i="10" s="1"/>
  <c r="AS25" i="10" a="1"/>
  <c r="AS25" i="10" s="1"/>
  <c r="AS37" i="10" a="1"/>
  <c r="AS37" i="10" s="1"/>
  <c r="AS56" i="10" a="1"/>
  <c r="AS56" i="10" s="1"/>
  <c r="AS42" i="10" a="1"/>
  <c r="AS42" i="10" s="1"/>
  <c r="AS21" i="10" a="1"/>
  <c r="AS21" i="10" s="1"/>
  <c r="AS30" i="10" a="1"/>
  <c r="AS30" i="10" s="1"/>
  <c r="AS57" i="10" a="1"/>
  <c r="AS57" i="10" s="1"/>
  <c r="AS19" i="10" a="1"/>
  <c r="AS19" i="10" s="1"/>
  <c r="AS55" i="10" a="1"/>
  <c r="AS55" i="10" s="1"/>
  <c r="AS29" i="10" a="1"/>
  <c r="AS29" i="10" s="1"/>
  <c r="AS38" i="10" a="1"/>
  <c r="AS38" i="10" s="1"/>
  <c r="AS50" i="10" a="1"/>
  <c r="AS50" i="10" s="1"/>
  <c r="AS20" i="10" a="1"/>
  <c r="AS20" i="10" s="1"/>
  <c r="AS26" i="10" a="1"/>
  <c r="AS26" i="10" s="1"/>
  <c r="AB165" i="13"/>
  <c r="AS58" i="10" a="1"/>
  <c r="AS58" i="10" s="1"/>
  <c r="AB162" i="13"/>
  <c r="AS45" i="10" a="1"/>
  <c r="AS45" i="10" s="1"/>
  <c r="AS44" i="10" a="1"/>
  <c r="AS44" i="10" s="1"/>
  <c r="AS28" i="10" a="1"/>
  <c r="AS28" i="10" s="1"/>
  <c r="AS59" i="10" a="1"/>
  <c r="AS59" i="10" s="1"/>
  <c r="AS27" i="10" a="1"/>
  <c r="AS27" i="10" s="1"/>
  <c r="AS43" i="10" a="1"/>
  <c r="AS43" i="10" s="1"/>
  <c r="AS13" i="10" a="1"/>
  <c r="AS13" i="10" s="1"/>
  <c r="AL156" i="13"/>
  <c r="AL153" i="13"/>
  <c r="AS153" i="13"/>
  <c r="AS156" i="13"/>
  <c r="BI15" i="10" a="1"/>
  <c r="BI15" i="10" s="1"/>
  <c r="BI16" i="10" s="1"/>
  <c r="BI25" i="10" a="1"/>
  <c r="BI25" i="10" s="1"/>
  <c r="BI12" i="10" a="1"/>
  <c r="BI12" i="10" s="1"/>
  <c r="BI18" i="10" a="1"/>
  <c r="BI18" i="10" s="1"/>
  <c r="BI37" i="10" a="1"/>
  <c r="BI37" i="10" s="1"/>
  <c r="BI41" i="10" a="1"/>
  <c r="BI41" i="10" s="1"/>
  <c r="BI54" i="10" a="1"/>
  <c r="BI54" i="10" s="1"/>
  <c r="BI49" i="10" a="1"/>
  <c r="BI49" i="10" s="1"/>
  <c r="BI55" i="10" a="1"/>
  <c r="BI55" i="10" s="1"/>
  <c r="BI28" i="10" a="1"/>
  <c r="BI28" i="10" s="1"/>
  <c r="BI57" i="10" a="1"/>
  <c r="BI57" i="10" s="1"/>
  <c r="BI44" i="10" a="1"/>
  <c r="BI44" i="10" s="1"/>
  <c r="BI42" i="10" a="1"/>
  <c r="BI42" i="10" s="1"/>
  <c r="BI50" i="10" a="1"/>
  <c r="BI50" i="10" s="1"/>
  <c r="BI26" i="10" a="1"/>
  <c r="BI26" i="10" s="1"/>
  <c r="BI13" i="10" a="1"/>
  <c r="BI13" i="10" s="1"/>
  <c r="BI59" i="10" a="1"/>
  <c r="BI59" i="10" s="1"/>
  <c r="BI30" i="10" a="1"/>
  <c r="BI30" i="10" s="1"/>
  <c r="BI56" i="10" a="1"/>
  <c r="BI56" i="10" s="1"/>
  <c r="BI58" i="10" a="1"/>
  <c r="BI58" i="10" s="1"/>
  <c r="AR162" i="13"/>
  <c r="BI43" i="10" a="1"/>
  <c r="BI43" i="10" s="1"/>
  <c r="BI21" i="10" a="1"/>
  <c r="BI21" i="10" s="1"/>
  <c r="BI45" i="10" a="1"/>
  <c r="BI45" i="10" s="1"/>
  <c r="BI38" i="10" a="1"/>
  <c r="BI38" i="10" s="1"/>
  <c r="BI20" i="10" a="1"/>
  <c r="BI20" i="10" s="1"/>
  <c r="AR165" i="13"/>
  <c r="BI29" i="10" a="1"/>
  <c r="BI29" i="10" s="1"/>
  <c r="BI27" i="10" a="1"/>
  <c r="BI27" i="10" s="1"/>
  <c r="BI19" i="10" a="1"/>
  <c r="BI19" i="10" s="1"/>
  <c r="AH153" i="13"/>
  <c r="AH156" i="13"/>
  <c r="AO153" i="13"/>
  <c r="AO156" i="13"/>
  <c r="F15" i="10" a="1"/>
  <c r="F15" i="10" s="1"/>
  <c r="F16" i="10" s="1"/>
  <c r="AO41" i="10" a="1"/>
  <c r="AO41" i="10" s="1"/>
  <c r="AO49" i="10" a="1"/>
  <c r="AO49" i="10" s="1"/>
  <c r="F25" i="10" a="1"/>
  <c r="F25" i="10" s="1"/>
  <c r="O49" i="10" a="1"/>
  <c r="O49" i="10" s="1"/>
  <c r="AO54" i="10" a="1"/>
  <c r="AO54" i="10" s="1"/>
  <c r="O18" i="10" a="1"/>
  <c r="O18" i="10" s="1"/>
  <c r="O41" i="10" a="1"/>
  <c r="O41" i="10" s="1"/>
  <c r="O15" i="10" a="1"/>
  <c r="O15" i="10" s="1"/>
  <c r="O16" i="10" s="1"/>
  <c r="AO15" i="10" a="1"/>
  <c r="AO15" i="10" s="1"/>
  <c r="AO16" i="10" s="1"/>
  <c r="O54" i="10" a="1"/>
  <c r="O54" i="10" s="1"/>
  <c r="F18" i="10" a="1"/>
  <c r="F18" i="10" s="1"/>
  <c r="F41" i="10" a="1"/>
  <c r="F41" i="10" s="1"/>
  <c r="AO12" i="10" a="1"/>
  <c r="AO12" i="10" s="1"/>
  <c r="F49" i="10" a="1"/>
  <c r="F49" i="10" s="1"/>
  <c r="O12" i="10" a="1"/>
  <c r="O12" i="10" s="1"/>
  <c r="F54" i="10" a="1"/>
  <c r="F54" i="10" s="1"/>
  <c r="O37" i="10" a="1"/>
  <c r="O37" i="10" s="1"/>
  <c r="AO37" i="10" a="1"/>
  <c r="AO37" i="10" s="1"/>
  <c r="AO25" i="10" a="1"/>
  <c r="AO25" i="10" s="1"/>
  <c r="O56" i="10" a="1"/>
  <c r="O56" i="10" s="1"/>
  <c r="AO30" i="10" a="1"/>
  <c r="AO30" i="10" s="1"/>
  <c r="F43" i="10" a="1"/>
  <c r="F43" i="10" s="1"/>
  <c r="F50" i="10" a="1"/>
  <c r="F50" i="10" s="1"/>
  <c r="O55" i="10" a="1"/>
  <c r="O55" i="10" s="1"/>
  <c r="F57" i="10" a="1"/>
  <c r="F57" i="10" s="1"/>
  <c r="AO43" i="10" a="1"/>
  <c r="AO43" i="10" s="1"/>
  <c r="F13" i="10" a="1"/>
  <c r="F13" i="10" s="1"/>
  <c r="F12" i="10" a="1"/>
  <c r="F12" i="10" s="1"/>
  <c r="F29" i="10" a="1"/>
  <c r="F29" i="10" s="1"/>
  <c r="O27" i="10" a="1"/>
  <c r="O27" i="10" s="1"/>
  <c r="AO26" i="10" a="1"/>
  <c r="AO26" i="10" s="1"/>
  <c r="O26" i="10" a="1"/>
  <c r="O26" i="10" s="1"/>
  <c r="O38" i="10" a="1"/>
  <c r="O38" i="10" s="1"/>
  <c r="F30" i="10" a="1"/>
  <c r="F30" i="10" s="1"/>
  <c r="AO44" i="10" a="1"/>
  <c r="AO44" i="10" s="1"/>
  <c r="AO18" i="10" a="1"/>
  <c r="AO18" i="10" s="1"/>
  <c r="O30" i="10" a="1"/>
  <c r="O30" i="10" s="1"/>
  <c r="O42" i="10" a="1"/>
  <c r="O42" i="10" s="1"/>
  <c r="F19" i="10" a="1"/>
  <c r="F19" i="10" s="1"/>
  <c r="O19" i="10" a="1"/>
  <c r="O19" i="10" s="1"/>
  <c r="O29" i="10" a="1"/>
  <c r="O29" i="10" s="1"/>
  <c r="F56" i="10" a="1"/>
  <c r="F56" i="10" s="1"/>
  <c r="AO42" i="10" a="1"/>
  <c r="AO42" i="10" s="1"/>
  <c r="AO56" i="10" a="1"/>
  <c r="AO56" i="10" s="1"/>
  <c r="O43" i="10" a="1"/>
  <c r="O43" i="10" s="1"/>
  <c r="AO45" i="10" a="1"/>
  <c r="AO45" i="10" s="1"/>
  <c r="F20" i="10" a="1"/>
  <c r="F20" i="10" s="1"/>
  <c r="AO59" i="10" a="1"/>
  <c r="AO59" i="10" s="1"/>
  <c r="AO58" i="10" a="1"/>
  <c r="AO58" i="10" s="1"/>
  <c r="AO20" i="10" a="1"/>
  <c r="AO20" i="10" s="1"/>
  <c r="O25" i="10" a="1"/>
  <c r="O25" i="10" s="1"/>
  <c r="O20" i="10" a="1"/>
  <c r="O20" i="10" s="1"/>
  <c r="AO27" i="10" a="1"/>
  <c r="AO27" i="10" s="1"/>
  <c r="AO38" i="10" a="1"/>
  <c r="AO38" i="10" s="1"/>
  <c r="F37" i="10" a="1"/>
  <c r="F37" i="10" s="1"/>
  <c r="F28" i="10" a="1"/>
  <c r="F28" i="10" s="1"/>
  <c r="O45" i="10" a="1"/>
  <c r="O45" i="10" s="1"/>
  <c r="F55" i="10" a="1"/>
  <c r="F55" i="10" s="1"/>
  <c r="O50" i="10" a="1"/>
  <c r="O50" i="10" s="1"/>
  <c r="O57" i="10" a="1"/>
  <c r="O57" i="10" s="1"/>
  <c r="AO19" i="10" a="1"/>
  <c r="AO19" i="10" s="1"/>
  <c r="O58" i="10" a="1"/>
  <c r="O58" i="10" s="1"/>
  <c r="F59" i="10" a="1"/>
  <c r="F59" i="10" s="1"/>
  <c r="F58" i="10" a="1"/>
  <c r="F58" i="10" s="1"/>
  <c r="O28" i="10" a="1"/>
  <c r="O28" i="10" s="1"/>
  <c r="X165" i="13"/>
  <c r="F44" i="10" a="1"/>
  <c r="F44" i="10" s="1"/>
  <c r="AO29" i="10" a="1"/>
  <c r="AO29" i="10" s="1"/>
  <c r="F21" i="10" a="1"/>
  <c r="F21" i="10" s="1"/>
  <c r="AO13" i="10" a="1"/>
  <c r="AO13" i="10" s="1"/>
  <c r="F27" i="10" a="1"/>
  <c r="F27" i="10" s="1"/>
  <c r="X162" i="13"/>
  <c r="F26" i="10" a="1"/>
  <c r="F26" i="10" s="1"/>
  <c r="F45" i="10" a="1"/>
  <c r="F45" i="10" s="1"/>
  <c r="AO57" i="10" a="1"/>
  <c r="AO57" i="10" s="1"/>
  <c r="O59" i="10" a="1"/>
  <c r="O59" i="10" s="1"/>
  <c r="F42" i="10" a="1"/>
  <c r="F42" i="10" s="1"/>
  <c r="AO50" i="10" a="1"/>
  <c r="AO50" i="10" s="1"/>
  <c r="AO55" i="10" a="1"/>
  <c r="AO55" i="10" s="1"/>
  <c r="AO21" i="10" a="1"/>
  <c r="AO21" i="10" s="1"/>
  <c r="O21" i="10" a="1"/>
  <c r="O21" i="10" s="1"/>
  <c r="F38" i="10" a="1"/>
  <c r="F38" i="10" s="1"/>
  <c r="O44" i="10" a="1"/>
  <c r="O44" i="10" s="1"/>
  <c r="AO28" i="10" a="1"/>
  <c r="AO28" i="10" s="1"/>
  <c r="O13" i="10" a="1"/>
  <c r="O13" i="10" s="1"/>
  <c r="N153" i="13"/>
  <c r="N156" i="13"/>
  <c r="AB156" i="13"/>
  <c r="AB153" i="13"/>
  <c r="AN49" i="10" a="1"/>
  <c r="AN49" i="10" s="1"/>
  <c r="AN15" i="10" a="1"/>
  <c r="AN15" i="10" s="1"/>
  <c r="AN16" i="10" s="1"/>
  <c r="AN41" i="10" a="1"/>
  <c r="AN41" i="10" s="1"/>
  <c r="AN25" i="10" a="1"/>
  <c r="AN25" i="10" s="1"/>
  <c r="AN18" i="10" a="1"/>
  <c r="AN18" i="10" s="1"/>
  <c r="AN54" i="10" a="1"/>
  <c r="AN54" i="10" s="1"/>
  <c r="AN13" i="10" a="1"/>
  <c r="AN13" i="10" s="1"/>
  <c r="AN12" i="10" a="1"/>
  <c r="AN12" i="10" s="1"/>
  <c r="AN37" i="10" a="1"/>
  <c r="AN37" i="10" s="1"/>
  <c r="AN29" i="10" a="1"/>
  <c r="AN29" i="10" s="1"/>
  <c r="AN28" i="10" a="1"/>
  <c r="AN28" i="10" s="1"/>
  <c r="AN50" i="10" a="1"/>
  <c r="AN50" i="10" s="1"/>
  <c r="AN58" i="10" a="1"/>
  <c r="AN58" i="10" s="1"/>
  <c r="AN43" i="10" a="1"/>
  <c r="AN43" i="10" s="1"/>
  <c r="AN20" i="10" a="1"/>
  <c r="AN20" i="10" s="1"/>
  <c r="W162" i="13"/>
  <c r="AN26" i="10" a="1"/>
  <c r="AN26" i="10" s="1"/>
  <c r="AN30" i="10" a="1"/>
  <c r="AN30" i="10" s="1"/>
  <c r="AN19" i="10" a="1"/>
  <c r="AN19" i="10" s="1"/>
  <c r="W165" i="13"/>
  <c r="AN21" i="10" a="1"/>
  <c r="AN21" i="10" s="1"/>
  <c r="AN57" i="10" a="1"/>
  <c r="AN57" i="10" s="1"/>
  <c r="AN38" i="10" a="1"/>
  <c r="AN38" i="10" s="1"/>
  <c r="AN59" i="10" a="1"/>
  <c r="AN59" i="10" s="1"/>
  <c r="AN44" i="10" a="1"/>
  <c r="AN44" i="10" s="1"/>
  <c r="AN45" i="10" a="1"/>
  <c r="AN45" i="10" s="1"/>
  <c r="AN56" i="10" a="1"/>
  <c r="AN56" i="10" s="1"/>
  <c r="AN55" i="10" a="1"/>
  <c r="AN55" i="10" s="1"/>
  <c r="AN42" i="10" a="1"/>
  <c r="AN42" i="10" s="1"/>
  <c r="AN27" i="10" a="1"/>
  <c r="AN27" i="10" s="1"/>
  <c r="AK25" i="10" a="1"/>
  <c r="AK25" i="10" s="1"/>
  <c r="AK15" i="10" a="1"/>
  <c r="AK15" i="10" s="1"/>
  <c r="AK16" i="10" s="1"/>
  <c r="AK41" i="10" a="1"/>
  <c r="AK41" i="10" s="1"/>
  <c r="AK49" i="10" a="1"/>
  <c r="AK49" i="10" s="1"/>
  <c r="AK54" i="10" a="1"/>
  <c r="AK54" i="10" s="1"/>
  <c r="AK37" i="10" a="1"/>
  <c r="AK37" i="10" s="1"/>
  <c r="AK18" i="10" a="1"/>
  <c r="AK18" i="10" s="1"/>
  <c r="AK12" i="10" a="1"/>
  <c r="AK12" i="10" s="1"/>
  <c r="AK43" i="10" a="1"/>
  <c r="AK43" i="10" s="1"/>
  <c r="AK59" i="10" a="1"/>
  <c r="AK59" i="10" s="1"/>
  <c r="T165" i="13"/>
  <c r="AK13" i="10" a="1"/>
  <c r="AK13" i="10" s="1"/>
  <c r="AK50" i="10" a="1"/>
  <c r="AK50" i="10" s="1"/>
  <c r="AK42" i="10" a="1"/>
  <c r="AK42" i="10" s="1"/>
  <c r="AK45" i="10" a="1"/>
  <c r="AK45" i="10" s="1"/>
  <c r="T162" i="13"/>
  <c r="AK21" i="10" a="1"/>
  <c r="AK21" i="10" s="1"/>
  <c r="AK56" i="10" a="1"/>
  <c r="AK56" i="10" s="1"/>
  <c r="AK55" i="10" a="1"/>
  <c r="AK55" i="10" s="1"/>
  <c r="AK20" i="10" a="1"/>
  <c r="AK20" i="10" s="1"/>
  <c r="AK19" i="10" a="1"/>
  <c r="AK19" i="10" s="1"/>
  <c r="AK29" i="10" a="1"/>
  <c r="AK29" i="10" s="1"/>
  <c r="AK44" i="10" a="1"/>
  <c r="AK44" i="10" s="1"/>
  <c r="AK28" i="10" a="1"/>
  <c r="AK28" i="10" s="1"/>
  <c r="AK38" i="10" a="1"/>
  <c r="AK38" i="10" s="1"/>
  <c r="AK30" i="10" a="1"/>
  <c r="AK30" i="10" s="1"/>
  <c r="AK27" i="10" a="1"/>
  <c r="AK27" i="10" s="1"/>
  <c r="AK58" i="10" a="1"/>
  <c r="AK58" i="10" s="1"/>
  <c r="AK26" i="10" a="1"/>
  <c r="AK26" i="10" s="1"/>
  <c r="AK57" i="10" a="1"/>
  <c r="AK57" i="10" s="1"/>
  <c r="BG15" i="10" a="1"/>
  <c r="BG15" i="10" s="1"/>
  <c r="BG16" i="10" s="1"/>
  <c r="U15" i="10" a="1"/>
  <c r="U15" i="10" s="1"/>
  <c r="U16" i="10" s="1"/>
  <c r="BG12" i="10" a="1"/>
  <c r="BG12" i="10" s="1"/>
  <c r="BG49" i="10" a="1"/>
  <c r="BG49" i="10" s="1"/>
  <c r="BG18" i="10" a="1"/>
  <c r="BG18" i="10" s="1"/>
  <c r="U18" i="10" a="1"/>
  <c r="U18" i="10" s="1"/>
  <c r="U12" i="10" a="1"/>
  <c r="U12" i="10" s="1"/>
  <c r="U41" i="10" a="1"/>
  <c r="U41" i="10" s="1"/>
  <c r="BG25" i="10" a="1"/>
  <c r="BG25" i="10" s="1"/>
  <c r="U25" i="10" a="1"/>
  <c r="U25" i="10" s="1"/>
  <c r="U37" i="10" a="1"/>
  <c r="U37" i="10" s="1"/>
  <c r="U54" i="10" a="1"/>
  <c r="U54" i="10" s="1"/>
  <c r="U49" i="10" a="1"/>
  <c r="U49" i="10" s="1"/>
  <c r="BG54" i="10" a="1"/>
  <c r="BG54" i="10" s="1"/>
  <c r="BG37" i="10" a="1"/>
  <c r="BG37" i="10" s="1"/>
  <c r="BG41" i="10" a="1"/>
  <c r="BG41" i="10" s="1"/>
  <c r="BG42" i="10" a="1"/>
  <c r="BG42" i="10" s="1"/>
  <c r="BG30" i="10" a="1"/>
  <c r="BG30" i="10" s="1"/>
  <c r="U57" i="10" a="1"/>
  <c r="U57" i="10" s="1"/>
  <c r="U19" i="10" a="1"/>
  <c r="U19" i="10" s="1"/>
  <c r="AP165" i="13"/>
  <c r="U26" i="10" a="1"/>
  <c r="U26" i="10" s="1"/>
  <c r="U44" i="10" a="1"/>
  <c r="U44" i="10" s="1"/>
  <c r="U56" i="10" a="1"/>
  <c r="U56" i="10" s="1"/>
  <c r="U21" i="10" a="1"/>
  <c r="U21" i="10" s="1"/>
  <c r="U50" i="10" a="1"/>
  <c r="U50" i="10" s="1"/>
  <c r="BG28" i="10" a="1"/>
  <c r="BG28" i="10" s="1"/>
  <c r="U59" i="10" a="1"/>
  <c r="U59" i="10" s="1"/>
  <c r="AP162" i="13"/>
  <c r="BG44" i="10" a="1"/>
  <c r="BG44" i="10" s="1"/>
  <c r="U45" i="10" a="1"/>
  <c r="U45" i="10" s="1"/>
  <c r="U58" i="10" a="1"/>
  <c r="U58" i="10" s="1"/>
  <c r="U20" i="10" a="1"/>
  <c r="U20" i="10" s="1"/>
  <c r="BG45" i="10" a="1"/>
  <c r="BG45" i="10" s="1"/>
  <c r="U55" i="10" a="1"/>
  <c r="U55" i="10" s="1"/>
  <c r="BG55" i="10" a="1"/>
  <c r="BG55" i="10" s="1"/>
  <c r="BG19" i="10" a="1"/>
  <c r="BG19" i="10" s="1"/>
  <c r="U30" i="10" a="1"/>
  <c r="U30" i="10" s="1"/>
  <c r="BG20" i="10" a="1"/>
  <c r="BG20" i="10" s="1"/>
  <c r="U42" i="10" a="1"/>
  <c r="U42" i="10" s="1"/>
  <c r="BG21" i="10" a="1"/>
  <c r="BG21" i="10" s="1"/>
  <c r="BG43" i="10" a="1"/>
  <c r="BG43" i="10" s="1"/>
  <c r="BG58" i="10" a="1"/>
  <c r="BG58" i="10" s="1"/>
  <c r="BG13" i="10" a="1"/>
  <c r="BG13" i="10" s="1"/>
  <c r="U43" i="10" a="1"/>
  <c r="U43" i="10" s="1"/>
  <c r="U29" i="10" a="1"/>
  <c r="U29" i="10" s="1"/>
  <c r="U28" i="10" a="1"/>
  <c r="U28" i="10" s="1"/>
  <c r="U27" i="10" a="1"/>
  <c r="U27" i="10" s="1"/>
  <c r="BG26" i="10" a="1"/>
  <c r="BG26" i="10" s="1"/>
  <c r="BG27" i="10" a="1"/>
  <c r="BG27" i="10" s="1"/>
  <c r="BG29" i="10" a="1"/>
  <c r="BG29" i="10" s="1"/>
  <c r="BG57" i="10" a="1"/>
  <c r="BG57" i="10" s="1"/>
  <c r="BG59" i="10" a="1"/>
  <c r="BG59" i="10" s="1"/>
  <c r="BG50" i="10" a="1"/>
  <c r="BG50" i="10" s="1"/>
  <c r="U38" i="10" a="1"/>
  <c r="U38" i="10" s="1"/>
  <c r="BG38" i="10" a="1"/>
  <c r="BG38" i="10" s="1"/>
  <c r="BG56" i="10" a="1"/>
  <c r="BG56" i="10" s="1"/>
  <c r="U13" i="10" a="1"/>
  <c r="U13" i="10" s="1"/>
  <c r="L165" i="13"/>
  <c r="L162" i="13"/>
  <c r="AH15" i="10" a="1"/>
  <c r="AH15" i="10" s="1"/>
  <c r="AH16" i="10" s="1"/>
  <c r="AH54" i="10" a="1"/>
  <c r="AH54" i="10" s="1"/>
  <c r="AH49" i="10" a="1"/>
  <c r="AH49" i="10" s="1"/>
  <c r="AH37" i="10" a="1"/>
  <c r="AH37" i="10" s="1"/>
  <c r="AH25" i="10" a="1"/>
  <c r="AH25" i="10" s="1"/>
  <c r="AH18" i="10" a="1"/>
  <c r="AH18" i="10" s="1"/>
  <c r="AH12" i="10" a="1"/>
  <c r="AH12" i="10" s="1"/>
  <c r="AH41" i="10" a="1"/>
  <c r="AH41" i="10" s="1"/>
  <c r="AH50" i="10" a="1"/>
  <c r="AH50" i="10" s="1"/>
  <c r="AH43" i="10" a="1"/>
  <c r="AH43" i="10" s="1"/>
  <c r="AH21" i="10" a="1"/>
  <c r="AH21" i="10" s="1"/>
  <c r="AH19" i="10" a="1"/>
  <c r="AH19" i="10" s="1"/>
  <c r="AH38" i="10" a="1"/>
  <c r="AH38" i="10" s="1"/>
  <c r="AH55" i="10" a="1"/>
  <c r="AH55" i="10" s="1"/>
  <c r="AH20" i="10" a="1"/>
  <c r="AH20" i="10" s="1"/>
  <c r="Q162" i="13"/>
  <c r="Q165" i="13"/>
  <c r="AH26" i="10" a="1"/>
  <c r="AH26" i="10" s="1"/>
  <c r="AH44" i="10" a="1"/>
  <c r="AH44" i="10" s="1"/>
  <c r="AH13" i="10" a="1"/>
  <c r="AH13" i="10" s="1"/>
  <c r="AH28" i="10" a="1"/>
  <c r="AH28" i="10" s="1"/>
  <c r="AH58" i="10" a="1"/>
  <c r="AH58" i="10" s="1"/>
  <c r="AH59" i="10" a="1"/>
  <c r="AH59" i="10" s="1"/>
  <c r="AH27" i="10" a="1"/>
  <c r="AH27" i="10" s="1"/>
  <c r="AH29" i="10" a="1"/>
  <c r="AH29" i="10" s="1"/>
  <c r="AH42" i="10" a="1"/>
  <c r="AH42" i="10" s="1"/>
  <c r="AH30" i="10" a="1"/>
  <c r="AH30" i="10" s="1"/>
  <c r="AH56" i="10" a="1"/>
  <c r="AH56" i="10" s="1"/>
  <c r="AH57" i="10" a="1"/>
  <c r="AH57" i="10" s="1"/>
  <c r="AH45" i="10" a="1"/>
  <c r="AH45" i="10" s="1"/>
  <c r="AQ153" i="13"/>
  <c r="AQ156" i="13"/>
  <c r="L15" i="10" a="1"/>
  <c r="L15" i="10" s="1"/>
  <c r="L16" i="10" s="1"/>
  <c r="L49" i="10" a="1"/>
  <c r="L49" i="10" s="1"/>
  <c r="AF15" i="10" a="1"/>
  <c r="AF15" i="10" s="1"/>
  <c r="AF16" i="10" s="1"/>
  <c r="L25" i="10" a="1"/>
  <c r="L25" i="10" s="1"/>
  <c r="L37" i="10" a="1"/>
  <c r="L37" i="10" s="1"/>
  <c r="L54" i="10" a="1"/>
  <c r="L54" i="10" s="1"/>
  <c r="AF25" i="10" a="1"/>
  <c r="AF25" i="10" s="1"/>
  <c r="AF49" i="10" a="1"/>
  <c r="AF49" i="10" s="1"/>
  <c r="AF37" i="10" a="1"/>
  <c r="AF37" i="10" s="1"/>
  <c r="AF12" i="10" a="1"/>
  <c r="AF12" i="10" s="1"/>
  <c r="L41" i="10" a="1"/>
  <c r="L41" i="10" s="1"/>
  <c r="AF54" i="10" a="1"/>
  <c r="AF54" i="10" s="1"/>
  <c r="L12" i="10" a="1"/>
  <c r="L12" i="10" s="1"/>
  <c r="AF41" i="10" a="1"/>
  <c r="AF41" i="10" s="1"/>
  <c r="L18" i="10" a="1"/>
  <c r="L18" i="10" s="1"/>
  <c r="AF18" i="10" a="1"/>
  <c r="AF18" i="10" s="1"/>
  <c r="L20" i="10" a="1"/>
  <c r="L20" i="10" s="1"/>
  <c r="AF26" i="10" a="1"/>
  <c r="AF26" i="10" s="1"/>
  <c r="AF59" i="10" a="1"/>
  <c r="AF59" i="10" s="1"/>
  <c r="AF55" i="10" a="1"/>
  <c r="AF55" i="10" s="1"/>
  <c r="L56" i="10" a="1"/>
  <c r="L56" i="10" s="1"/>
  <c r="AF19" i="10" a="1"/>
  <c r="AF19" i="10" s="1"/>
  <c r="L28" i="10" a="1"/>
  <c r="L28" i="10" s="1"/>
  <c r="AF56" i="10" a="1"/>
  <c r="AF56" i="10" s="1"/>
  <c r="L58" i="10" a="1"/>
  <c r="L58" i="10" s="1"/>
  <c r="AF30" i="10" a="1"/>
  <c r="AF30" i="10" s="1"/>
  <c r="AF29" i="10" a="1"/>
  <c r="AF29" i="10" s="1"/>
  <c r="AF58" i="10" a="1"/>
  <c r="AF58" i="10" s="1"/>
  <c r="AF13" i="10" a="1"/>
  <c r="AF13" i="10" s="1"/>
  <c r="L50" i="10" a="1"/>
  <c r="L50" i="10" s="1"/>
  <c r="L55" i="10" a="1"/>
  <c r="L55" i="10" s="1"/>
  <c r="L27" i="10" a="1"/>
  <c r="L27" i="10" s="1"/>
  <c r="AF27" i="10" a="1"/>
  <c r="AF27" i="10" s="1"/>
  <c r="AF20" i="10" a="1"/>
  <c r="AF20" i="10" s="1"/>
  <c r="O165" i="13"/>
  <c r="AF42" i="10" a="1"/>
  <c r="AF42" i="10" s="1"/>
  <c r="L57" i="10" a="1"/>
  <c r="L57" i="10" s="1"/>
  <c r="L30" i="10" a="1"/>
  <c r="L30" i="10" s="1"/>
  <c r="L45" i="10" a="1"/>
  <c r="L45" i="10" s="1"/>
  <c r="L42" i="10" a="1"/>
  <c r="L42" i="10" s="1"/>
  <c r="AF44" i="10" a="1"/>
  <c r="AF44" i="10" s="1"/>
  <c r="L21" i="10" a="1"/>
  <c r="L21" i="10" s="1"/>
  <c r="L29" i="10" a="1"/>
  <c r="L29" i="10" s="1"/>
  <c r="AF43" i="10" a="1"/>
  <c r="AF43" i="10" s="1"/>
  <c r="L59" i="10" a="1"/>
  <c r="L59" i="10" s="1"/>
  <c r="L26" i="10" a="1"/>
  <c r="L26" i="10" s="1"/>
  <c r="O162" i="13"/>
  <c r="AF28" i="10" a="1"/>
  <c r="AF28" i="10" s="1"/>
  <c r="AF45" i="10" a="1"/>
  <c r="AF45" i="10" s="1"/>
  <c r="L13" i="10" a="1"/>
  <c r="L13" i="10" s="1"/>
  <c r="AF50" i="10" a="1"/>
  <c r="AF50" i="10" s="1"/>
  <c r="L44" i="10" a="1"/>
  <c r="L44" i="10" s="1"/>
  <c r="AF57" i="10" a="1"/>
  <c r="AF57" i="10" s="1"/>
  <c r="AF21" i="10" a="1"/>
  <c r="AF21" i="10" s="1"/>
  <c r="L19" i="10" a="1"/>
  <c r="L19" i="10" s="1"/>
  <c r="L38" i="10" a="1"/>
  <c r="L38" i="10" s="1"/>
  <c r="AF38" i="10" a="1"/>
  <c r="AF38" i="10" s="1"/>
  <c r="L43" i="10" a="1"/>
  <c r="L43" i="10" s="1"/>
  <c r="BD15" i="10" a="1"/>
  <c r="BD15" i="10" s="1"/>
  <c r="BD16" i="10" s="1"/>
  <c r="T15" i="10" a="1"/>
  <c r="T15" i="10" s="1"/>
  <c r="T16" i="10" s="1"/>
  <c r="BD41" i="10" a="1"/>
  <c r="BD41" i="10" s="1"/>
  <c r="T54" i="10" a="1"/>
  <c r="T54" i="10" s="1"/>
  <c r="BD18" i="10" a="1"/>
  <c r="BD18" i="10" s="1"/>
  <c r="T37" i="10" a="1"/>
  <c r="T37" i="10" s="1"/>
  <c r="BD54" i="10" a="1"/>
  <c r="BD54" i="10" s="1"/>
  <c r="BD12" i="10" a="1"/>
  <c r="BD12" i="10" s="1"/>
  <c r="T41" i="10" a="1"/>
  <c r="T41" i="10" s="1"/>
  <c r="BD25" i="10" a="1"/>
  <c r="BD25" i="10" s="1"/>
  <c r="T18" i="10" a="1"/>
  <c r="T18" i="10" s="1"/>
  <c r="T25" i="10" a="1"/>
  <c r="T25" i="10" s="1"/>
  <c r="BD49" i="10" a="1"/>
  <c r="BD49" i="10" s="1"/>
  <c r="BD37" i="10" a="1"/>
  <c r="BD37" i="10" s="1"/>
  <c r="T12" i="10" a="1"/>
  <c r="T12" i="10" s="1"/>
  <c r="T49" i="10" a="1"/>
  <c r="T49" i="10" s="1"/>
  <c r="T13" i="10" a="1"/>
  <c r="T13" i="10" s="1"/>
  <c r="BD13" i="10" a="1"/>
  <c r="BD13" i="10" s="1"/>
  <c r="AM162" i="13"/>
  <c r="T57" i="10" a="1"/>
  <c r="T57" i="10" s="1"/>
  <c r="BD50" i="10" a="1"/>
  <c r="BD50" i="10" s="1"/>
  <c r="BD58" i="10" a="1"/>
  <c r="BD58" i="10" s="1"/>
  <c r="T44" i="10" a="1"/>
  <c r="T44" i="10" s="1"/>
  <c r="BD43" i="10" a="1"/>
  <c r="BD43" i="10" s="1"/>
  <c r="BD45" i="10" a="1"/>
  <c r="BD45" i="10" s="1"/>
  <c r="T19" i="10" a="1"/>
  <c r="T19" i="10" s="1"/>
  <c r="BD29" i="10" a="1"/>
  <c r="BD29" i="10" s="1"/>
  <c r="BD19" i="10" a="1"/>
  <c r="BD19" i="10" s="1"/>
  <c r="BD38" i="10" a="1"/>
  <c r="BD38" i="10" s="1"/>
  <c r="T43" i="10" a="1"/>
  <c r="T43" i="10" s="1"/>
  <c r="BD28" i="10" a="1"/>
  <c r="BD28" i="10" s="1"/>
  <c r="T58" i="10" a="1"/>
  <c r="T58" i="10" s="1"/>
  <c r="T56" i="10" a="1"/>
  <c r="T56" i="10" s="1"/>
  <c r="T20" i="10" a="1"/>
  <c r="T20" i="10" s="1"/>
  <c r="T42" i="10" a="1"/>
  <c r="T42" i="10" s="1"/>
  <c r="T29" i="10" a="1"/>
  <c r="T29" i="10" s="1"/>
  <c r="BD20" i="10" a="1"/>
  <c r="BD20" i="10" s="1"/>
  <c r="T38" i="10" a="1"/>
  <c r="T38" i="10" s="1"/>
  <c r="BD26" i="10" a="1"/>
  <c r="BD26" i="10" s="1"/>
  <c r="BD30" i="10" a="1"/>
  <c r="BD30" i="10" s="1"/>
  <c r="T21" i="10" a="1"/>
  <c r="T21" i="10" s="1"/>
  <c r="BD56" i="10" a="1"/>
  <c r="BD56" i="10" s="1"/>
  <c r="BD57" i="10" a="1"/>
  <c r="BD57" i="10" s="1"/>
  <c r="T30" i="10" a="1"/>
  <c r="T30" i="10" s="1"/>
  <c r="T55" i="10" a="1"/>
  <c r="T55" i="10" s="1"/>
  <c r="T50" i="10" a="1"/>
  <c r="T50" i="10" s="1"/>
  <c r="BD21" i="10" a="1"/>
  <c r="BD21" i="10" s="1"/>
  <c r="BD59" i="10" a="1"/>
  <c r="BD59" i="10" s="1"/>
  <c r="T45" i="10" a="1"/>
  <c r="T45" i="10" s="1"/>
  <c r="BD55" i="10" a="1"/>
  <c r="BD55" i="10" s="1"/>
  <c r="T28" i="10" a="1"/>
  <c r="T28" i="10" s="1"/>
  <c r="BD42" i="10" a="1"/>
  <c r="BD42" i="10" s="1"/>
  <c r="BD44" i="10" a="1"/>
  <c r="BD44" i="10" s="1"/>
  <c r="T26" i="10" a="1"/>
  <c r="T26" i="10" s="1"/>
  <c r="T27" i="10" a="1"/>
  <c r="T27" i="10" s="1"/>
  <c r="BD27" i="10" a="1"/>
  <c r="BD27" i="10" s="1"/>
  <c r="AM165" i="13"/>
  <c r="T59" i="10" a="1"/>
  <c r="T59" i="10" s="1"/>
  <c r="M25" i="10" a="1"/>
  <c r="M25" i="10" s="1"/>
  <c r="M49" i="10" a="1"/>
  <c r="M49" i="10" s="1"/>
  <c r="M54" i="10" a="1"/>
  <c r="M54" i="10" s="1"/>
  <c r="AI18" i="10" a="1"/>
  <c r="AI18" i="10" s="1"/>
  <c r="M15" i="10" a="1"/>
  <c r="M15" i="10" s="1"/>
  <c r="M16" i="10" s="1"/>
  <c r="AI25" i="10" a="1"/>
  <c r="AI25" i="10" s="1"/>
  <c r="M37" i="10" a="1"/>
  <c r="M37" i="10" s="1"/>
  <c r="AI54" i="10" a="1"/>
  <c r="AI54" i="10" s="1"/>
  <c r="M12" i="10" a="1"/>
  <c r="M12" i="10" s="1"/>
  <c r="AI41" i="10" a="1"/>
  <c r="AI41" i="10" s="1"/>
  <c r="AI12" i="10" a="1"/>
  <c r="AI12" i="10" s="1"/>
  <c r="AI49" i="10" a="1"/>
  <c r="AI49" i="10" s="1"/>
  <c r="M41" i="10" a="1"/>
  <c r="M41" i="10" s="1"/>
  <c r="AI15" i="10" a="1"/>
  <c r="AI15" i="10" s="1"/>
  <c r="AI16" i="10" s="1"/>
  <c r="AI37" i="10" a="1"/>
  <c r="AI37" i="10" s="1"/>
  <c r="M18" i="10" a="1"/>
  <c r="M18" i="10" s="1"/>
  <c r="AI13" i="10" a="1"/>
  <c r="AI13" i="10" s="1"/>
  <c r="M42" i="10" a="1"/>
  <c r="M42" i="10" s="1"/>
  <c r="AI59" i="10" a="1"/>
  <c r="AI59" i="10" s="1"/>
  <c r="AI21" i="10" a="1"/>
  <c r="AI21" i="10" s="1"/>
  <c r="M55" i="10" a="1"/>
  <c r="M55" i="10" s="1"/>
  <c r="AI42" i="10" a="1"/>
  <c r="AI42" i="10" s="1"/>
  <c r="M58" i="10" a="1"/>
  <c r="M58" i="10" s="1"/>
  <c r="M19" i="10" a="1"/>
  <c r="M19" i="10" s="1"/>
  <c r="AI50" i="10" a="1"/>
  <c r="AI50" i="10" s="1"/>
  <c r="M20" i="10" a="1"/>
  <c r="M20" i="10" s="1"/>
  <c r="M28" i="10" a="1"/>
  <c r="M28" i="10" s="1"/>
  <c r="AI58" i="10" a="1"/>
  <c r="AI58" i="10" s="1"/>
  <c r="M43" i="10" a="1"/>
  <c r="M43" i="10" s="1"/>
  <c r="AI57" i="10" a="1"/>
  <c r="AI57" i="10" s="1"/>
  <c r="M45" i="10" a="1"/>
  <c r="M45" i="10" s="1"/>
  <c r="M38" i="10" a="1"/>
  <c r="M38" i="10" s="1"/>
  <c r="AI29" i="10" a="1"/>
  <c r="AI29" i="10" s="1"/>
  <c r="AI30" i="10" a="1"/>
  <c r="AI30" i="10" s="1"/>
  <c r="AI55" i="10" a="1"/>
  <c r="AI55" i="10" s="1"/>
  <c r="M21" i="10" a="1"/>
  <c r="M21" i="10" s="1"/>
  <c r="M56" i="10" a="1"/>
  <c r="M56" i="10" s="1"/>
  <c r="M30" i="10" a="1"/>
  <c r="M30" i="10" s="1"/>
  <c r="AI56" i="10" a="1"/>
  <c r="AI56" i="10" s="1"/>
  <c r="AI38" i="10" a="1"/>
  <c r="AI38" i="10" s="1"/>
  <c r="AI43" i="10" a="1"/>
  <c r="AI43" i="10" s="1"/>
  <c r="AI28" i="10" a="1"/>
  <c r="AI28" i="10" s="1"/>
  <c r="M50" i="10" a="1"/>
  <c r="M50" i="10" s="1"/>
  <c r="M13" i="10" a="1"/>
  <c r="M13" i="10" s="1"/>
  <c r="AI44" i="10" a="1"/>
  <c r="AI44" i="10" s="1"/>
  <c r="AI20" i="10" a="1"/>
  <c r="AI20" i="10" s="1"/>
  <c r="M44" i="10" a="1"/>
  <c r="M44" i="10" s="1"/>
  <c r="R162" i="13"/>
  <c r="AI26" i="10" a="1"/>
  <c r="AI26" i="10" s="1"/>
  <c r="M26" i="10" a="1"/>
  <c r="M26" i="10" s="1"/>
  <c r="M57" i="10" a="1"/>
  <c r="M57" i="10" s="1"/>
  <c r="M29" i="10" a="1"/>
  <c r="M29" i="10" s="1"/>
  <c r="R165" i="13"/>
  <c r="M27" i="10" a="1"/>
  <c r="M27" i="10" s="1"/>
  <c r="M59" i="10" a="1"/>
  <c r="M59" i="10" s="1"/>
  <c r="AI27" i="10" a="1"/>
  <c r="AI27" i="10" s="1"/>
  <c r="AI19" i="10" a="1"/>
  <c r="AI19" i="10" s="1"/>
  <c r="AI45" i="10" a="1"/>
  <c r="AI45" i="10" s="1"/>
  <c r="P153" i="13"/>
  <c r="P156" i="13"/>
  <c r="L156" i="13"/>
  <c r="L153" i="13"/>
  <c r="AM156" i="13"/>
  <c r="AM153" i="13"/>
  <c r="T156" i="13"/>
  <c r="T153" i="13"/>
  <c r="AZ15" i="10" a="1"/>
  <c r="AZ15" i="10" s="1"/>
  <c r="AZ16" i="10" s="1"/>
  <c r="AZ18" i="10" a="1"/>
  <c r="AZ18" i="10" s="1"/>
  <c r="AZ41" i="10" a="1"/>
  <c r="AZ41" i="10" s="1"/>
  <c r="AZ59" i="10" a="1"/>
  <c r="AZ59" i="10" s="1"/>
  <c r="AZ49" i="10" a="1"/>
  <c r="AZ49" i="10" s="1"/>
  <c r="AZ20" i="10" a="1"/>
  <c r="AZ20" i="10" s="1"/>
  <c r="AZ50" i="10" a="1"/>
  <c r="AZ50" i="10" s="1"/>
  <c r="AZ25" i="10" a="1"/>
  <c r="AZ25" i="10" s="1"/>
  <c r="AZ54" i="10" a="1"/>
  <c r="AZ54" i="10" s="1"/>
  <c r="AZ21" i="10" a="1"/>
  <c r="AZ21" i="10" s="1"/>
  <c r="AZ12" i="10" a="1"/>
  <c r="AZ12" i="10" s="1"/>
  <c r="AZ38" i="10" a="1"/>
  <c r="AZ38" i="10" s="1"/>
  <c r="AZ42" i="10" a="1"/>
  <c r="AZ42" i="10" s="1"/>
  <c r="AI162" i="13"/>
  <c r="AZ57" i="10" a="1"/>
  <c r="AZ57" i="10" s="1"/>
  <c r="AZ58" i="10" a="1"/>
  <c r="AZ58" i="10" s="1"/>
  <c r="AH23" i="7" a="1"/>
  <c r="AH23" i="7" s="1"/>
  <c r="AZ37" i="10" a="1"/>
  <c r="AZ37" i="10" s="1"/>
  <c r="AZ30" i="10" a="1"/>
  <c r="AZ30" i="10" s="1"/>
  <c r="AZ28" i="10" a="1"/>
  <c r="AZ28" i="10" s="1"/>
  <c r="AH22" i="7" a="1"/>
  <c r="AH22" i="7" s="1"/>
  <c r="AZ27" i="10" a="1"/>
  <c r="AZ27" i="10" s="1"/>
  <c r="AZ56" i="10" a="1"/>
  <c r="AZ56" i="10" s="1"/>
  <c r="AI165" i="13"/>
  <c r="AZ44" i="10" a="1"/>
  <c r="AZ44" i="10" s="1"/>
  <c r="AZ19" i="10" a="1"/>
  <c r="AZ19" i="10" s="1"/>
  <c r="AZ26" i="10" a="1"/>
  <c r="AZ26" i="10" s="1"/>
  <c r="AZ29" i="10" a="1"/>
  <c r="AZ29" i="10" s="1"/>
  <c r="AZ43" i="10" a="1"/>
  <c r="AZ43" i="10" s="1"/>
  <c r="AZ55" i="10" a="1"/>
  <c r="AZ55" i="10" s="1"/>
  <c r="AZ45" i="10" a="1"/>
  <c r="AZ45" i="10" s="1"/>
  <c r="AZ13" i="10" a="1"/>
  <c r="AZ13" i="10" s="1"/>
  <c r="AD15" i="10" a="1"/>
  <c r="AD15" i="10" s="1"/>
  <c r="AD16" i="10" s="1"/>
  <c r="AD41" i="10" a="1"/>
  <c r="AD41" i="10" s="1"/>
  <c r="AD12" i="10" a="1"/>
  <c r="AD12" i="10" s="1"/>
  <c r="AD49" i="10" a="1"/>
  <c r="AD49" i="10" s="1"/>
  <c r="AD25" i="10" a="1"/>
  <c r="AD25" i="10" s="1"/>
  <c r="AD54" i="10" a="1"/>
  <c r="AD54" i="10" s="1"/>
  <c r="AD37" i="10" a="1"/>
  <c r="AD37" i="10" s="1"/>
  <c r="AD18" i="10" a="1"/>
  <c r="AD18" i="10" s="1"/>
  <c r="AD30" i="10" a="1"/>
  <c r="AD30" i="10" s="1"/>
  <c r="AD29" i="10" a="1"/>
  <c r="AD29" i="10" s="1"/>
  <c r="AD42" i="10" a="1"/>
  <c r="AD42" i="10" s="1"/>
  <c r="M165" i="13"/>
  <c r="AD50" i="10" a="1"/>
  <c r="AD50" i="10" s="1"/>
  <c r="AD38" i="10" a="1"/>
  <c r="AD38" i="10" s="1"/>
  <c r="AD44" i="10" a="1"/>
  <c r="AD44" i="10" s="1"/>
  <c r="AD28" i="10" a="1"/>
  <c r="AD28" i="10" s="1"/>
  <c r="AD55" i="10" a="1"/>
  <c r="AD55" i="10" s="1"/>
  <c r="AD58" i="10" a="1"/>
  <c r="AD58" i="10" s="1"/>
  <c r="AD43" i="10" a="1"/>
  <c r="AD43" i="10" s="1"/>
  <c r="AD56" i="10" a="1"/>
  <c r="AD56" i="10" s="1"/>
  <c r="AD26" i="10" a="1"/>
  <c r="AD26" i="10" s="1"/>
  <c r="AD19" i="10" a="1"/>
  <c r="AD19" i="10" s="1"/>
  <c r="AD45" i="10" a="1"/>
  <c r="AD45" i="10" s="1"/>
  <c r="M162" i="13"/>
  <c r="AD57" i="10" a="1"/>
  <c r="AD57" i="10" s="1"/>
  <c r="AD21" i="10" a="1"/>
  <c r="AD21" i="10" s="1"/>
  <c r="AD59" i="10" a="1"/>
  <c r="AD59" i="10" s="1"/>
  <c r="AD20" i="10" a="1"/>
  <c r="AD20" i="10" s="1"/>
  <c r="AD27" i="10" a="1"/>
  <c r="AD27" i="10" s="1"/>
  <c r="AD13" i="10" a="1"/>
  <c r="AD13" i="10" s="1"/>
  <c r="AQ15" i="10" a="1"/>
  <c r="AQ15" i="10" s="1"/>
  <c r="AQ16" i="10" s="1"/>
  <c r="AQ25" i="10" a="1"/>
  <c r="AQ25" i="10" s="1"/>
  <c r="AQ41" i="10" a="1"/>
  <c r="AQ41" i="10" s="1"/>
  <c r="AQ18" i="10" a="1"/>
  <c r="AQ18" i="10" s="1"/>
  <c r="AQ49" i="10" a="1"/>
  <c r="AQ49" i="10" s="1"/>
  <c r="AQ37" i="10" a="1"/>
  <c r="AQ37" i="10" s="1"/>
  <c r="AQ54" i="10" a="1"/>
  <c r="AQ54" i="10" s="1"/>
  <c r="AQ12" i="10" a="1"/>
  <c r="AQ12" i="10" s="1"/>
  <c r="AQ58" i="10" a="1"/>
  <c r="AQ58" i="10" s="1"/>
  <c r="AQ26" i="10" a="1"/>
  <c r="AQ26" i="10" s="1"/>
  <c r="AQ29" i="10" a="1"/>
  <c r="AQ29" i="10" s="1"/>
  <c r="AQ27" i="10" a="1"/>
  <c r="AQ27" i="10" s="1"/>
  <c r="AQ45" i="10" a="1"/>
  <c r="AQ45" i="10" s="1"/>
  <c r="AQ21" i="10" a="1"/>
  <c r="AQ21" i="10" s="1"/>
  <c r="AQ57" i="10" a="1"/>
  <c r="AQ57" i="10" s="1"/>
  <c r="AQ43" i="10" a="1"/>
  <c r="AQ43" i="10" s="1"/>
  <c r="Z165" i="13"/>
  <c r="AQ55" i="10" a="1"/>
  <c r="AQ55" i="10" s="1"/>
  <c r="AQ56" i="10" a="1"/>
  <c r="AQ56" i="10" s="1"/>
  <c r="AQ38" i="10" a="1"/>
  <c r="AQ38" i="10" s="1"/>
  <c r="AQ44" i="10" a="1"/>
  <c r="AQ44" i="10" s="1"/>
  <c r="Z162" i="13"/>
  <c r="AQ20" i="10" a="1"/>
  <c r="AQ20" i="10" s="1"/>
  <c r="AQ42" i="10" a="1"/>
  <c r="AQ42" i="10" s="1"/>
  <c r="AQ13" i="10" a="1"/>
  <c r="AQ13" i="10" s="1"/>
  <c r="AQ28" i="10" a="1"/>
  <c r="AQ28" i="10" s="1"/>
  <c r="AQ19" i="10" a="1"/>
  <c r="AQ19" i="10" s="1"/>
  <c r="AQ59" i="10" a="1"/>
  <c r="AQ59" i="10" s="1"/>
  <c r="AQ30" i="10" a="1"/>
  <c r="AQ30" i="10" s="1"/>
  <c r="AQ50" i="10" a="1"/>
  <c r="AQ50" i="10" s="1"/>
  <c r="X156" i="13"/>
  <c r="X153" i="13"/>
  <c r="M156" i="13"/>
  <c r="M153" i="13"/>
  <c r="G15" i="10" a="1"/>
  <c r="G15" i="10" s="1"/>
  <c r="G16" i="10" s="1"/>
  <c r="S15" i="10" a="1"/>
  <c r="S15" i="10" s="1"/>
  <c r="S16" i="10" s="1"/>
  <c r="BA15" i="10" a="1"/>
  <c r="BA15" i="10" s="1"/>
  <c r="BA16" i="10" s="1"/>
  <c r="G12" i="10" a="1"/>
  <c r="G12" i="10" s="1"/>
  <c r="G49" i="10" a="1"/>
  <c r="G49" i="10" s="1"/>
  <c r="BA12" i="10" a="1"/>
  <c r="BA12" i="10" s="1"/>
  <c r="BA18" i="10" a="1"/>
  <c r="BA18" i="10" s="1"/>
  <c r="S18" i="10" a="1"/>
  <c r="S18" i="10" s="1"/>
  <c r="G25" i="10" a="1"/>
  <c r="G25" i="10" s="1"/>
  <c r="S49" i="10" a="1"/>
  <c r="S49" i="10" s="1"/>
  <c r="G54" i="10" a="1"/>
  <c r="G54" i="10" s="1"/>
  <c r="S25" i="10" a="1"/>
  <c r="S25" i="10" s="1"/>
  <c r="G37" i="10" a="1"/>
  <c r="G37" i="10" s="1"/>
  <c r="BA54" i="10" a="1"/>
  <c r="BA54" i="10" s="1"/>
  <c r="S41" i="10" a="1"/>
  <c r="S41" i="10" s="1"/>
  <c r="G18" i="10" a="1"/>
  <c r="G18" i="10" s="1"/>
  <c r="BA41" i="10" a="1"/>
  <c r="BA41" i="10" s="1"/>
  <c r="S54" i="10" a="1"/>
  <c r="S54" i="10" s="1"/>
  <c r="G41" i="10" a="1"/>
  <c r="G41" i="10" s="1"/>
  <c r="BA37" i="10" a="1"/>
  <c r="BA37" i="10" s="1"/>
  <c r="BA49" i="10" a="1"/>
  <c r="BA49" i="10" s="1"/>
  <c r="S37" i="10" a="1"/>
  <c r="S37" i="10" s="1"/>
  <c r="G13" i="10" a="1"/>
  <c r="G13" i="10" s="1"/>
  <c r="BA25" i="10" a="1"/>
  <c r="BA25" i="10" s="1"/>
  <c r="S12" i="10" a="1"/>
  <c r="S12" i="10" s="1"/>
  <c r="AJ165" i="13"/>
  <c r="G28" i="10" a="1"/>
  <c r="G28" i="10" s="1"/>
  <c r="S44" i="10" a="1"/>
  <c r="S44" i="10" s="1"/>
  <c r="S20" i="10" a="1"/>
  <c r="S20" i="10" s="1"/>
  <c r="G26" i="10" a="1"/>
  <c r="G26" i="10" s="1"/>
  <c r="BA57" i="10" a="1"/>
  <c r="BA57" i="10" s="1"/>
  <c r="S42" i="10" a="1"/>
  <c r="S42" i="10" s="1"/>
  <c r="G20" i="10" a="1"/>
  <c r="G20" i="10" s="1"/>
  <c r="BA55" i="10" a="1"/>
  <c r="BA55" i="10" s="1"/>
  <c r="AJ162" i="13"/>
  <c r="BA30" i="10" a="1"/>
  <c r="BA30" i="10" s="1"/>
  <c r="BA58" i="10" a="1"/>
  <c r="BA58" i="10" s="1"/>
  <c r="S45" i="10" a="1"/>
  <c r="S45" i="10" s="1"/>
  <c r="G27" i="10" a="1"/>
  <c r="G27" i="10" s="1"/>
  <c r="G29" i="10" a="1"/>
  <c r="G29" i="10" s="1"/>
  <c r="G58" i="10" a="1"/>
  <c r="G58" i="10" s="1"/>
  <c r="BA13" i="10" a="1"/>
  <c r="BA13" i="10" s="1"/>
  <c r="S59" i="10" a="1"/>
  <c r="S59" i="10" s="1"/>
  <c r="BA59" i="10" a="1"/>
  <c r="BA59" i="10" s="1"/>
  <c r="S58" i="10" a="1"/>
  <c r="S58" i="10" s="1"/>
  <c r="S28" i="10" a="1"/>
  <c r="S28" i="10" s="1"/>
  <c r="S43" i="10" a="1"/>
  <c r="S43" i="10" s="1"/>
  <c r="S19" i="10" a="1"/>
  <c r="S19" i="10" s="1"/>
  <c r="G50" i="10" a="1"/>
  <c r="G50" i="10" s="1"/>
  <c r="S26" i="10" a="1"/>
  <c r="S26" i="10" s="1"/>
  <c r="BA20" i="10" a="1"/>
  <c r="BA20" i="10" s="1"/>
  <c r="BA26" i="10" a="1"/>
  <c r="BA26" i="10" s="1"/>
  <c r="S56" i="10" a="1"/>
  <c r="S56" i="10" s="1"/>
  <c r="BA21" i="10" a="1"/>
  <c r="BA21" i="10" s="1"/>
  <c r="BA38" i="10" a="1"/>
  <c r="BA38" i="10" s="1"/>
  <c r="S27" i="10" a="1"/>
  <c r="S27" i="10" s="1"/>
  <c r="S57" i="10" a="1"/>
  <c r="S57" i="10" s="1"/>
  <c r="G44" i="10" a="1"/>
  <c r="G44" i="10" s="1"/>
  <c r="BA50" i="10" a="1"/>
  <c r="BA50" i="10" s="1"/>
  <c r="S13" i="10" a="1"/>
  <c r="S13" i="10" s="1"/>
  <c r="G30" i="10" a="1"/>
  <c r="G30" i="10" s="1"/>
  <c r="G43" i="10" a="1"/>
  <c r="G43" i="10" s="1"/>
  <c r="G19" i="10" a="1"/>
  <c r="G19" i="10" s="1"/>
  <c r="G56" i="10" a="1"/>
  <c r="G56" i="10" s="1"/>
  <c r="S21" i="10" a="1"/>
  <c r="S21" i="10" s="1"/>
  <c r="S30" i="10" a="1"/>
  <c r="S30" i="10" s="1"/>
  <c r="S29" i="10" a="1"/>
  <c r="S29" i="10" s="1"/>
  <c r="G42" i="10" a="1"/>
  <c r="G42" i="10" s="1"/>
  <c r="BA29" i="10" a="1"/>
  <c r="BA29" i="10" s="1"/>
  <c r="BA28" i="10" a="1"/>
  <c r="BA28" i="10" s="1"/>
  <c r="BA56" i="10" a="1"/>
  <c r="BA56" i="10" s="1"/>
  <c r="BA19" i="10" a="1"/>
  <c r="BA19" i="10" s="1"/>
  <c r="G21" i="10" a="1"/>
  <c r="G21" i="10" s="1"/>
  <c r="BA45" i="10" a="1"/>
  <c r="BA45" i="10" s="1"/>
  <c r="BA42" i="10" a="1"/>
  <c r="BA42" i="10" s="1"/>
  <c r="BA43" i="10" a="1"/>
  <c r="BA43" i="10" s="1"/>
  <c r="G55" i="10" a="1"/>
  <c r="G55" i="10" s="1"/>
  <c r="G57" i="10" a="1"/>
  <c r="G57" i="10" s="1"/>
  <c r="G59" i="10" a="1"/>
  <c r="G59" i="10" s="1"/>
  <c r="S55" i="10" a="1"/>
  <c r="S55" i="10" s="1"/>
  <c r="G38" i="10" a="1"/>
  <c r="G38" i="10" s="1"/>
  <c r="BA44" i="10" a="1"/>
  <c r="BA44" i="10" s="1"/>
  <c r="G45" i="10" a="1"/>
  <c r="G45" i="10" s="1"/>
  <c r="BA27" i="10" a="1"/>
  <c r="BA27" i="10" s="1"/>
  <c r="S50" i="10" a="1"/>
  <c r="S50" i="10" s="1"/>
  <c r="S38" i="10" a="1"/>
  <c r="S38" i="10" s="1"/>
  <c r="O156" i="13"/>
  <c r="O153" i="13"/>
  <c r="AT15" i="10" a="1"/>
  <c r="AT15" i="10" s="1"/>
  <c r="AT16" i="10" s="1"/>
  <c r="AT54" i="10" a="1"/>
  <c r="AT54" i="10" s="1"/>
  <c r="AT12" i="10" a="1"/>
  <c r="AT12" i="10" s="1"/>
  <c r="AT18" i="10" a="1"/>
  <c r="AT18" i="10" s="1"/>
  <c r="AT37" i="10" a="1"/>
  <c r="AT37" i="10" s="1"/>
  <c r="AT49" i="10" a="1"/>
  <c r="AT49" i="10" s="1"/>
  <c r="AT41" i="10" a="1"/>
  <c r="AT41" i="10" s="1"/>
  <c r="AT25" i="10" a="1"/>
  <c r="AT25" i="10" s="1"/>
  <c r="AT45" i="10" a="1"/>
  <c r="AT45" i="10" s="1"/>
  <c r="AT26" i="10" a="1"/>
  <c r="AT26" i="10" s="1"/>
  <c r="AC165" i="13"/>
  <c r="AT38" i="10" a="1"/>
  <c r="AT38" i="10" s="1"/>
  <c r="AT28" i="10" a="1"/>
  <c r="AT28" i="10" s="1"/>
  <c r="AT30" i="10" a="1"/>
  <c r="AT30" i="10" s="1"/>
  <c r="AT59" i="10" a="1"/>
  <c r="AT59" i="10" s="1"/>
  <c r="AC162" i="13"/>
  <c r="AT55" i="10" a="1"/>
  <c r="AT55" i="10" s="1"/>
  <c r="AT27" i="10" a="1"/>
  <c r="AT27" i="10" s="1"/>
  <c r="AT29" i="10" a="1"/>
  <c r="AT29" i="10" s="1"/>
  <c r="AT13" i="10" a="1"/>
  <c r="AT13" i="10" s="1"/>
  <c r="AT58" i="10" a="1"/>
  <c r="AT58" i="10" s="1"/>
  <c r="AT56" i="10" a="1"/>
  <c r="AT56" i="10" s="1"/>
  <c r="AT21" i="10" a="1"/>
  <c r="AT21" i="10" s="1"/>
  <c r="AT19" i="10" a="1"/>
  <c r="AT19" i="10" s="1"/>
  <c r="AT20" i="10" a="1"/>
  <c r="AT20" i="10" s="1"/>
  <c r="AT50" i="10" a="1"/>
  <c r="AT50" i="10" s="1"/>
  <c r="AT43" i="10" a="1"/>
  <c r="AT43" i="10" s="1"/>
  <c r="AT42" i="10" a="1"/>
  <c r="AT42" i="10" s="1"/>
  <c r="AT44" i="10" a="1"/>
  <c r="AT44" i="10" s="1"/>
  <c r="AT57" i="10" a="1"/>
  <c r="AT57" i="10" s="1"/>
  <c r="AV15" i="10" a="1"/>
  <c r="AV15" i="10" s="1"/>
  <c r="AV16" i="10" s="1"/>
  <c r="AV12" i="10" a="1"/>
  <c r="AV12" i="10" s="1"/>
  <c r="AV18" i="10" a="1"/>
  <c r="AV18" i="10" s="1"/>
  <c r="AV37" i="10" a="1"/>
  <c r="AV37" i="10" s="1"/>
  <c r="AV41" i="10" a="1"/>
  <c r="AV41" i="10" s="1"/>
  <c r="AV54" i="10" a="1"/>
  <c r="AV54" i="10" s="1"/>
  <c r="AV49" i="10" a="1"/>
  <c r="AV49" i="10" s="1"/>
  <c r="AV56" i="10" a="1"/>
  <c r="AV56" i="10" s="1"/>
  <c r="AV57" i="10" a="1"/>
  <c r="AV57" i="10" s="1"/>
  <c r="AV55" i="10" a="1"/>
  <c r="AV55" i="10" s="1"/>
  <c r="AV45" i="10" a="1"/>
  <c r="AV45" i="10" s="1"/>
  <c r="AV50" i="10" a="1"/>
  <c r="AV50" i="10" s="1"/>
  <c r="AV28" i="10" a="1"/>
  <c r="AV28" i="10" s="1"/>
  <c r="AV19" i="10" a="1"/>
  <c r="AV19" i="10" s="1"/>
  <c r="AE162" i="13"/>
  <c r="AV25" i="10" a="1"/>
  <c r="AV25" i="10" s="1"/>
  <c r="AV26" i="10" a="1"/>
  <c r="AV26" i="10" s="1"/>
  <c r="AV58" i="10" a="1"/>
  <c r="AV58" i="10" s="1"/>
  <c r="AE165" i="13"/>
  <c r="AV59" i="10" a="1"/>
  <c r="AV59" i="10" s="1"/>
  <c r="AV29" i="10" a="1"/>
  <c r="AV29" i="10" s="1"/>
  <c r="AV21" i="10" a="1"/>
  <c r="AV21" i="10" s="1"/>
  <c r="AV20" i="10" a="1"/>
  <c r="AV20" i="10" s="1"/>
  <c r="AV30" i="10" a="1"/>
  <c r="AV30" i="10" s="1"/>
  <c r="AV44" i="10" a="1"/>
  <c r="AV44" i="10" s="1"/>
  <c r="AV43" i="10" a="1"/>
  <c r="AV43" i="10" s="1"/>
  <c r="AV27" i="10" a="1"/>
  <c r="AV27" i="10" s="1"/>
  <c r="AV38" i="10" a="1"/>
  <c r="AV38" i="10" s="1"/>
  <c r="AV42" i="10" a="1"/>
  <c r="AV42" i="10" s="1"/>
  <c r="AV13" i="10" a="1"/>
  <c r="AV13" i="10" s="1"/>
  <c r="W156" i="13"/>
  <c r="W153" i="13"/>
  <c r="AW15" i="10" a="1"/>
  <c r="AW15" i="10" s="1"/>
  <c r="AW16" i="10" s="1"/>
  <c r="AW49" i="10" a="1"/>
  <c r="AW49" i="10" s="1"/>
  <c r="AW37" i="10" a="1"/>
  <c r="AW37" i="10" s="1"/>
  <c r="AW18" i="10" a="1"/>
  <c r="AW18" i="10" s="1"/>
  <c r="AW41" i="10" a="1"/>
  <c r="AW41" i="10" s="1"/>
  <c r="AW25" i="10" a="1"/>
  <c r="AW25" i="10" s="1"/>
  <c r="AW12" i="10" a="1"/>
  <c r="AW12" i="10" s="1"/>
  <c r="AW58" i="10" a="1"/>
  <c r="AW58" i="10" s="1"/>
  <c r="AW54" i="10" a="1"/>
  <c r="AW54" i="10" s="1"/>
  <c r="AW20" i="10" a="1"/>
  <c r="AW20" i="10" s="1"/>
  <c r="AW29" i="10" a="1"/>
  <c r="AW29" i="10" s="1"/>
  <c r="AW13" i="10" a="1"/>
  <c r="AW13" i="10" s="1"/>
  <c r="AW38" i="10" a="1"/>
  <c r="AW38" i="10" s="1"/>
  <c r="AW21" i="10" a="1"/>
  <c r="AW21" i="10" s="1"/>
  <c r="AW59" i="10" a="1"/>
  <c r="AW59" i="10" s="1"/>
  <c r="AW28" i="10" a="1"/>
  <c r="AW28" i="10" s="1"/>
  <c r="AW26" i="10" a="1"/>
  <c r="AW26" i="10" s="1"/>
  <c r="AF162" i="13"/>
  <c r="AW44" i="10" a="1"/>
  <c r="AW44" i="10" s="1"/>
  <c r="AW55" i="10" a="1"/>
  <c r="AW55" i="10" s="1"/>
  <c r="AF165" i="13"/>
  <c r="AW27" i="10" a="1"/>
  <c r="AW27" i="10" s="1"/>
  <c r="AW30" i="10" a="1"/>
  <c r="AW30" i="10" s="1"/>
  <c r="AW45" i="10" a="1"/>
  <c r="AW45" i="10" s="1"/>
  <c r="AW56" i="10" a="1"/>
  <c r="AW56" i="10" s="1"/>
  <c r="AW42" i="10" a="1"/>
  <c r="AW42" i="10" s="1"/>
  <c r="AW50" i="10" a="1"/>
  <c r="AW50" i="10" s="1"/>
  <c r="AW43" i="10" a="1"/>
  <c r="AW43" i="10" s="1"/>
  <c r="AW57" i="10" a="1"/>
  <c r="AW57" i="10" s="1"/>
  <c r="AW19" i="10" a="1"/>
  <c r="AW19" i="10" s="1"/>
  <c r="AE156" i="13"/>
  <c r="AE153" i="13"/>
  <c r="AR15" i="10" a="1"/>
  <c r="AR15" i="10" s="1"/>
  <c r="AR16" i="10" s="1"/>
  <c r="AR41" i="10" a="1"/>
  <c r="AR41" i="10" s="1"/>
  <c r="P18" i="10" a="1"/>
  <c r="P18" i="10" s="1"/>
  <c r="P15" i="10" a="1"/>
  <c r="P15" i="10" s="1"/>
  <c r="P16" i="10" s="1"/>
  <c r="AR18" i="10" a="1"/>
  <c r="AR18" i="10" s="1"/>
  <c r="P25" i="10" a="1"/>
  <c r="P25" i="10" s="1"/>
  <c r="AR49" i="10" a="1"/>
  <c r="AR49" i="10" s="1"/>
  <c r="P41" i="10" a="1"/>
  <c r="P41" i="10" s="1"/>
  <c r="AR12" i="10" a="1"/>
  <c r="AR12" i="10" s="1"/>
  <c r="AR54" i="10" a="1"/>
  <c r="AR54" i="10" s="1"/>
  <c r="P54" i="10" a="1"/>
  <c r="P54" i="10" s="1"/>
  <c r="AR25" i="10" a="1"/>
  <c r="AR25" i="10" s="1"/>
  <c r="P12" i="10" a="1"/>
  <c r="P12" i="10" s="1"/>
  <c r="AR37" i="10" a="1"/>
  <c r="AR37" i="10" s="1"/>
  <c r="P37" i="10" a="1"/>
  <c r="P37" i="10" s="1"/>
  <c r="P49" i="10" a="1"/>
  <c r="P49" i="10" s="1"/>
  <c r="P13" i="10" a="1"/>
  <c r="P13" i="10" s="1"/>
  <c r="AR13" i="10" a="1"/>
  <c r="AR13" i="10" s="1"/>
  <c r="P30" i="10" a="1"/>
  <c r="P30" i="10" s="1"/>
  <c r="P56" i="10" a="1"/>
  <c r="P56" i="10" s="1"/>
  <c r="AR28" i="10" a="1"/>
  <c r="AR28" i="10" s="1"/>
  <c r="P57" i="10" a="1"/>
  <c r="P57" i="10" s="1"/>
  <c r="AR58" i="10" a="1"/>
  <c r="AR58" i="10" s="1"/>
  <c r="AA162" i="13"/>
  <c r="AR26" i="10" a="1"/>
  <c r="AR26" i="10" s="1"/>
  <c r="P26" i="10" a="1"/>
  <c r="P26" i="10" s="1"/>
  <c r="AR20" i="10" a="1"/>
  <c r="AR20" i="10" s="1"/>
  <c r="P21" i="10" a="1"/>
  <c r="P21" i="10" s="1"/>
  <c r="P38" i="10" a="1"/>
  <c r="P38" i="10" s="1"/>
  <c r="P59" i="10" a="1"/>
  <c r="P59" i="10" s="1"/>
  <c r="P45" i="10" a="1"/>
  <c r="P45" i="10" s="1"/>
  <c r="P29" i="10" a="1"/>
  <c r="P29" i="10" s="1"/>
  <c r="P42" i="10" a="1"/>
  <c r="P42" i="10" s="1"/>
  <c r="AR45" i="10" a="1"/>
  <c r="AR45" i="10" s="1"/>
  <c r="P28" i="10" a="1"/>
  <c r="P28" i="10" s="1"/>
  <c r="AR44" i="10" a="1"/>
  <c r="AR44" i="10" s="1"/>
  <c r="AR19" i="10" a="1"/>
  <c r="AR19" i="10" s="1"/>
  <c r="AR50" i="10" a="1"/>
  <c r="AR50" i="10" s="1"/>
  <c r="P44" i="10" a="1"/>
  <c r="P44" i="10" s="1"/>
  <c r="P50" i="10" a="1"/>
  <c r="P50" i="10" s="1"/>
  <c r="P27" i="10" a="1"/>
  <c r="P27" i="10" s="1"/>
  <c r="P58" i="10" a="1"/>
  <c r="P58" i="10" s="1"/>
  <c r="AA165" i="13"/>
  <c r="AR30" i="10" a="1"/>
  <c r="AR30" i="10" s="1"/>
  <c r="AR59" i="10" a="1"/>
  <c r="AR59" i="10" s="1"/>
  <c r="AR29" i="10" a="1"/>
  <c r="AR29" i="10" s="1"/>
  <c r="AR43" i="10" a="1"/>
  <c r="AR43" i="10" s="1"/>
  <c r="P55" i="10" a="1"/>
  <c r="P55" i="10" s="1"/>
  <c r="P20" i="10" a="1"/>
  <c r="P20" i="10" s="1"/>
  <c r="AR27" i="10" a="1"/>
  <c r="AR27" i="10" s="1"/>
  <c r="P19" i="10" a="1"/>
  <c r="P19" i="10" s="1"/>
  <c r="AR57" i="10" a="1"/>
  <c r="AR57" i="10" s="1"/>
  <c r="AR55" i="10" a="1"/>
  <c r="AR55" i="10" s="1"/>
  <c r="AR21" i="10" a="1"/>
  <c r="AR21" i="10" s="1"/>
  <c r="AR38" i="10" a="1"/>
  <c r="AR38" i="10" s="1"/>
  <c r="AR56" i="10" a="1"/>
  <c r="AR56" i="10" s="1"/>
  <c r="AR42" i="10" a="1"/>
  <c r="AR42" i="10" s="1"/>
  <c r="P43" i="10" a="1"/>
  <c r="P43" i="10" s="1"/>
  <c r="BL15" i="10" a="1"/>
  <c r="BL15" i="10" s="1"/>
  <c r="BL16" i="10" s="1"/>
  <c r="BL41" i="10" a="1"/>
  <c r="BL41" i="10" s="1"/>
  <c r="BL25" i="10" a="1"/>
  <c r="BL25" i="10" s="1"/>
  <c r="BL49" i="10" a="1"/>
  <c r="BL49" i="10" s="1"/>
  <c r="BL18" i="10" a="1"/>
  <c r="BL18" i="10" s="1"/>
  <c r="BL54" i="10" a="1"/>
  <c r="BL54" i="10" s="1"/>
  <c r="BL12" i="10" a="1"/>
  <c r="BL12" i="10" s="1"/>
  <c r="BL27" i="10" a="1"/>
  <c r="BL27" i="10" s="1"/>
  <c r="BL45" i="10" a="1"/>
  <c r="BL45" i="10" s="1"/>
  <c r="BL55" i="10" a="1"/>
  <c r="BL55" i="10" s="1"/>
  <c r="BL29" i="10" a="1"/>
  <c r="BL29" i="10" s="1"/>
  <c r="BL30" i="10" a="1"/>
  <c r="BL30" i="10" s="1"/>
  <c r="BL57" i="10" a="1"/>
  <c r="BL57" i="10" s="1"/>
  <c r="BL20" i="10" a="1"/>
  <c r="BL20" i="10" s="1"/>
  <c r="BL59" i="10" a="1"/>
  <c r="BL59" i="10" s="1"/>
  <c r="BL26" i="10" a="1"/>
  <c r="BL26" i="10" s="1"/>
  <c r="BL38" i="10" a="1"/>
  <c r="BL38" i="10" s="1"/>
  <c r="BL56" i="10" a="1"/>
  <c r="BL56" i="10" s="1"/>
  <c r="BL50" i="10" a="1"/>
  <c r="BL50" i="10" s="1"/>
  <c r="BL44" i="10" a="1"/>
  <c r="BL44" i="10" s="1"/>
  <c r="BL42" i="10" a="1"/>
  <c r="BL42" i="10" s="1"/>
  <c r="BL37" i="10" a="1"/>
  <c r="BL37" i="10" s="1"/>
  <c r="AU165" i="13"/>
  <c r="BL58" i="10" a="1"/>
  <c r="BL58" i="10" s="1"/>
  <c r="AU162" i="13"/>
  <c r="BL19" i="10" a="1"/>
  <c r="BL19" i="10" s="1"/>
  <c r="BL21" i="10" a="1"/>
  <c r="BL21" i="10" s="1"/>
  <c r="BL43" i="10" a="1"/>
  <c r="BL43" i="10" s="1"/>
  <c r="BL28" i="10" a="1"/>
  <c r="BL28" i="10" s="1"/>
  <c r="BL13" i="10" a="1"/>
  <c r="BL13" i="10" s="1"/>
  <c r="AJ15" i="10" a="1"/>
  <c r="AJ15" i="10" s="1"/>
  <c r="AJ16" i="10" s="1"/>
  <c r="AJ37" i="10" a="1"/>
  <c r="AJ37" i="10" s="1"/>
  <c r="AJ18" i="10" a="1"/>
  <c r="AJ18" i="10" s="1"/>
  <c r="AJ54" i="10" a="1"/>
  <c r="AJ54" i="10" s="1"/>
  <c r="AJ49" i="10" a="1"/>
  <c r="AJ49" i="10" s="1"/>
  <c r="AJ13" i="10" a="1"/>
  <c r="AJ13" i="10" s="1"/>
  <c r="AJ25" i="10" a="1"/>
  <c r="AJ25" i="10" s="1"/>
  <c r="AJ58" i="10" a="1"/>
  <c r="AJ58" i="10" s="1"/>
  <c r="AJ45" i="10" a="1"/>
  <c r="AJ45" i="10" s="1"/>
  <c r="AJ12" i="10" a="1"/>
  <c r="AJ12" i="10" s="1"/>
  <c r="AJ43" i="10" a="1"/>
  <c r="AJ43" i="10" s="1"/>
  <c r="AJ50" i="10" a="1"/>
  <c r="AJ50" i="10" s="1"/>
  <c r="AJ29" i="10" a="1"/>
  <c r="AJ29" i="10" s="1"/>
  <c r="AJ19" i="10" a="1"/>
  <c r="AJ19" i="10" s="1"/>
  <c r="AJ21" i="10" a="1"/>
  <c r="AJ21" i="10" s="1"/>
  <c r="AJ27" i="10" a="1"/>
  <c r="AJ27" i="10" s="1"/>
  <c r="AJ38" i="10" a="1"/>
  <c r="AJ38" i="10" s="1"/>
  <c r="S165" i="13"/>
  <c r="AJ41" i="10" a="1"/>
  <c r="AJ41" i="10" s="1"/>
  <c r="AJ26" i="10" a="1"/>
  <c r="AJ26" i="10" s="1"/>
  <c r="AJ44" i="10" a="1"/>
  <c r="AJ44" i="10" s="1"/>
  <c r="AJ30" i="10" a="1"/>
  <c r="AJ30" i="10" s="1"/>
  <c r="AJ20" i="10" a="1"/>
  <c r="AJ20" i="10" s="1"/>
  <c r="AJ57" i="10" a="1"/>
  <c r="AJ57" i="10" s="1"/>
  <c r="AJ55" i="10" a="1"/>
  <c r="AJ55" i="10" s="1"/>
  <c r="AJ28" i="10" a="1"/>
  <c r="AJ28" i="10" s="1"/>
  <c r="S162" i="13"/>
  <c r="AJ56" i="10" a="1"/>
  <c r="AJ56" i="10" s="1"/>
  <c r="AJ59" i="10" a="1"/>
  <c r="AJ59" i="10" s="1"/>
  <c r="AJ42" i="10" a="1"/>
  <c r="AJ42" i="10" s="1"/>
  <c r="R153" i="13"/>
  <c r="R156" i="13"/>
  <c r="S153" i="13"/>
  <c r="S156" i="13"/>
  <c r="AL25" i="10" a="1"/>
  <c r="AL25" i="10" s="1"/>
  <c r="N15" i="10" a="1"/>
  <c r="N15" i="10" s="1"/>
  <c r="N16" i="10" s="1"/>
  <c r="N12" i="10" a="1"/>
  <c r="N12" i="10" s="1"/>
  <c r="AL15" i="10" a="1"/>
  <c r="AL15" i="10" s="1"/>
  <c r="AL16" i="10" s="1"/>
  <c r="AL12" i="10" a="1"/>
  <c r="AL12" i="10" s="1"/>
  <c r="N18" i="10" a="1"/>
  <c r="N18" i="10" s="1"/>
  <c r="N41" i="10" a="1"/>
  <c r="N41" i="10" s="1"/>
  <c r="AL41" i="10" a="1"/>
  <c r="AL41" i="10" s="1"/>
  <c r="N25" i="10" a="1"/>
  <c r="N25" i="10" s="1"/>
  <c r="N54" i="10" a="1"/>
  <c r="N54" i="10" s="1"/>
  <c r="N49" i="10" a="1"/>
  <c r="N49" i="10" s="1"/>
  <c r="AL37" i="10" a="1"/>
  <c r="AL37" i="10" s="1"/>
  <c r="AL18" i="10" a="1"/>
  <c r="AL18" i="10" s="1"/>
  <c r="AL54" i="10" a="1"/>
  <c r="AL54" i="10" s="1"/>
  <c r="AL49" i="10" a="1"/>
  <c r="AL49" i="10" s="1"/>
  <c r="N37" i="10" a="1"/>
  <c r="N37" i="10" s="1"/>
  <c r="AL30" i="10" a="1"/>
  <c r="AL30" i="10" s="1"/>
  <c r="AL55" i="10" a="1"/>
  <c r="AL55" i="10" s="1"/>
  <c r="AL59" i="10" a="1"/>
  <c r="AL59" i="10" s="1"/>
  <c r="N56" i="10" a="1"/>
  <c r="N56" i="10" s="1"/>
  <c r="AL42" i="10" a="1"/>
  <c r="AL42" i="10" s="1"/>
  <c r="N59" i="10" a="1"/>
  <c r="N59" i="10" s="1"/>
  <c r="U165" i="13"/>
  <c r="N28" i="10" a="1"/>
  <c r="N28" i="10" s="1"/>
  <c r="AL43" i="10" a="1"/>
  <c r="AL43" i="10" s="1"/>
  <c r="N30" i="10" a="1"/>
  <c r="N30" i="10" s="1"/>
  <c r="N55" i="10" a="1"/>
  <c r="N55" i="10" s="1"/>
  <c r="AL38" i="10" a="1"/>
  <c r="AL38" i="10" s="1"/>
  <c r="N20" i="10" a="1"/>
  <c r="N20" i="10" s="1"/>
  <c r="U162" i="13"/>
  <c r="N57" i="10" a="1"/>
  <c r="N57" i="10" s="1"/>
  <c r="AL13" i="10" a="1"/>
  <c r="AL13" i="10" s="1"/>
  <c r="N27" i="10" a="1"/>
  <c r="N27" i="10" s="1"/>
  <c r="N58" i="10" a="1"/>
  <c r="N58" i="10" s="1"/>
  <c r="N29" i="10" a="1"/>
  <c r="N29" i="10" s="1"/>
  <c r="AL50" i="10" a="1"/>
  <c r="AL50" i="10" s="1"/>
  <c r="AL28" i="10" a="1"/>
  <c r="AL28" i="10" s="1"/>
  <c r="N45" i="10" a="1"/>
  <c r="N45" i="10" s="1"/>
  <c r="AL58" i="10" a="1"/>
  <c r="AL58" i="10" s="1"/>
  <c r="AL26" i="10" a="1"/>
  <c r="AL26" i="10" s="1"/>
  <c r="AL27" i="10" a="1"/>
  <c r="AL27" i="10" s="1"/>
  <c r="AL21" i="10" a="1"/>
  <c r="AL21" i="10" s="1"/>
  <c r="N44" i="10" a="1"/>
  <c r="N44" i="10" s="1"/>
  <c r="AL57" i="10" a="1"/>
  <c r="AL57" i="10" s="1"/>
  <c r="N42" i="10" a="1"/>
  <c r="N42" i="10" s="1"/>
  <c r="AL44" i="10" a="1"/>
  <c r="AL44" i="10" s="1"/>
  <c r="AL45" i="10" a="1"/>
  <c r="AL45" i="10" s="1"/>
  <c r="N50" i="10" a="1"/>
  <c r="N50" i="10" s="1"/>
  <c r="AL56" i="10" a="1"/>
  <c r="AL56" i="10" s="1"/>
  <c r="AL29" i="10" a="1"/>
  <c r="AL29" i="10" s="1"/>
  <c r="N43" i="10" a="1"/>
  <c r="N43" i="10" s="1"/>
  <c r="N21" i="10" a="1"/>
  <c r="N21" i="10" s="1"/>
  <c r="AL19" i="10" a="1"/>
  <c r="AL19" i="10" s="1"/>
  <c r="N19" i="10" a="1"/>
  <c r="N19" i="10" s="1"/>
  <c r="AL20" i="10" a="1"/>
  <c r="AL20" i="10" s="1"/>
  <c r="N38" i="10" a="1"/>
  <c r="N38" i="10" s="1"/>
  <c r="N26" i="10" a="1"/>
  <c r="N26" i="10" s="1"/>
  <c r="N13" i="10" a="1"/>
  <c r="N13" i="10" s="1"/>
  <c r="AI153" i="13"/>
  <c r="AI156" i="13"/>
  <c r="AJ156" i="13"/>
  <c r="AJ153" i="13"/>
  <c r="V15" i="10" a="1"/>
  <c r="V15" i="10" s="1"/>
  <c r="V16" i="10" s="1"/>
  <c r="BJ15" i="10" a="1"/>
  <c r="BJ15" i="10" s="1"/>
  <c r="BJ16" i="10" s="1"/>
  <c r="BJ54" i="10" a="1"/>
  <c r="BJ54" i="10" s="1"/>
  <c r="BJ49" i="10" a="1"/>
  <c r="BJ49" i="10" s="1"/>
  <c r="V41" i="10" a="1"/>
  <c r="V41" i="10" s="1"/>
  <c r="V25" i="10" a="1"/>
  <c r="V25" i="10" s="1"/>
  <c r="BJ41" i="10" a="1"/>
  <c r="BJ41" i="10" s="1"/>
  <c r="BJ18" i="10" a="1"/>
  <c r="BJ18" i="10" s="1"/>
  <c r="V18" i="10" a="1"/>
  <c r="V18" i="10" s="1"/>
  <c r="V54" i="10" a="1"/>
  <c r="V54" i="10" s="1"/>
  <c r="V49" i="10" a="1"/>
  <c r="V49" i="10" s="1"/>
  <c r="BJ37" i="10" a="1"/>
  <c r="BJ37" i="10" s="1"/>
  <c r="BJ25" i="10" a="1"/>
  <c r="BJ25" i="10" s="1"/>
  <c r="V37" i="10" a="1"/>
  <c r="V37" i="10" s="1"/>
  <c r="BJ12" i="10" a="1"/>
  <c r="BJ12" i="10" s="1"/>
  <c r="V13" i="10" a="1"/>
  <c r="V13" i="10" s="1"/>
  <c r="BJ55" i="10" a="1"/>
  <c r="BJ55" i="10" s="1"/>
  <c r="V56" i="10" a="1"/>
  <c r="V56" i="10" s="1"/>
  <c r="V50" i="10" a="1"/>
  <c r="V50" i="10" s="1"/>
  <c r="V29" i="10" a="1"/>
  <c r="V29" i="10" s="1"/>
  <c r="V21" i="10" a="1"/>
  <c r="V21" i="10" s="1"/>
  <c r="V43" i="10" a="1"/>
  <c r="V43" i="10" s="1"/>
  <c r="V38" i="10" a="1"/>
  <c r="V38" i="10" s="1"/>
  <c r="AS165" i="13"/>
  <c r="BJ21" i="10" a="1"/>
  <c r="BJ21" i="10" s="1"/>
  <c r="BJ20" i="10" a="1"/>
  <c r="BJ20" i="10" s="1"/>
  <c r="BJ29" i="10" a="1"/>
  <c r="BJ29" i="10" s="1"/>
  <c r="V58" i="10" a="1"/>
  <c r="V58" i="10" s="1"/>
  <c r="V42" i="10" a="1"/>
  <c r="V42" i="10" s="1"/>
  <c r="BJ45" i="10" a="1"/>
  <c r="BJ45" i="10" s="1"/>
  <c r="BJ59" i="10" a="1"/>
  <c r="BJ59" i="10" s="1"/>
  <c r="V30" i="10" a="1"/>
  <c r="V30" i="10" s="1"/>
  <c r="V45" i="10" a="1"/>
  <c r="V45" i="10" s="1"/>
  <c r="V55" i="10" a="1"/>
  <c r="V55" i="10" s="1"/>
  <c r="BJ58" i="10" a="1"/>
  <c r="BJ58" i="10" s="1"/>
  <c r="V28" i="10" a="1"/>
  <c r="V28" i="10" s="1"/>
  <c r="BJ19" i="10" a="1"/>
  <c r="BJ19" i="10" s="1"/>
  <c r="BJ38" i="10" a="1"/>
  <c r="BJ38" i="10" s="1"/>
  <c r="V12" i="10" a="1"/>
  <c r="V12" i="10" s="1"/>
  <c r="V57" i="10" a="1"/>
  <c r="V57" i="10" s="1"/>
  <c r="BJ50" i="10" a="1"/>
  <c r="BJ50" i="10" s="1"/>
  <c r="BJ13" i="10" a="1"/>
  <c r="BJ13" i="10" s="1"/>
  <c r="V20" i="10" a="1"/>
  <c r="V20" i="10" s="1"/>
  <c r="AS162" i="13"/>
  <c r="V26" i="10" a="1"/>
  <c r="V26" i="10" s="1"/>
  <c r="V19" i="10" a="1"/>
  <c r="V19" i="10" s="1"/>
  <c r="BJ57" i="10" a="1"/>
  <c r="BJ57" i="10" s="1"/>
  <c r="BJ56" i="10" a="1"/>
  <c r="BJ56" i="10" s="1"/>
  <c r="BJ43" i="10" a="1"/>
  <c r="BJ43" i="10" s="1"/>
  <c r="V44" i="10" a="1"/>
  <c r="V44" i="10" s="1"/>
  <c r="BJ28" i="10" a="1"/>
  <c r="BJ28" i="10" s="1"/>
  <c r="BJ26" i="10" a="1"/>
  <c r="BJ26" i="10" s="1"/>
  <c r="V27" i="10" a="1"/>
  <c r="V27" i="10" s="1"/>
  <c r="BJ42" i="10" a="1"/>
  <c r="BJ42" i="10" s="1"/>
  <c r="V59" i="10" a="1"/>
  <c r="V59" i="10" s="1"/>
  <c r="BJ27" i="10" a="1"/>
  <c r="BJ27" i="10" s="1"/>
  <c r="BJ30" i="10" a="1"/>
  <c r="BJ30" i="10" s="1"/>
  <c r="BJ44" i="10" a="1"/>
  <c r="BJ44" i="10" s="1"/>
  <c r="AY15" i="10" a="1"/>
  <c r="AY15" i="10" s="1"/>
  <c r="AY16" i="10" s="1"/>
  <c r="AY49" i="10" a="1"/>
  <c r="AY49" i="10" s="1"/>
  <c r="AY25" i="10" a="1"/>
  <c r="AY25" i="10" s="1"/>
  <c r="AY12" i="10" a="1"/>
  <c r="AY12" i="10" s="1"/>
  <c r="AY54" i="10" a="1"/>
  <c r="AY54" i="10" s="1"/>
  <c r="AY37" i="10" a="1"/>
  <c r="AY37" i="10" s="1"/>
  <c r="AY41" i="10" a="1"/>
  <c r="AY41" i="10" s="1"/>
  <c r="AY18" i="10" a="1"/>
  <c r="AY18" i="10" s="1"/>
  <c r="AY30" i="10" a="1"/>
  <c r="AY30" i="10" s="1"/>
  <c r="AY56" i="10" a="1"/>
  <c r="AY56" i="10" s="1"/>
  <c r="AY29" i="10" a="1"/>
  <c r="AY29" i="10" s="1"/>
  <c r="AH165" i="13"/>
  <c r="AY27" i="10" a="1"/>
  <c r="AY27" i="10" s="1"/>
  <c r="AY59" i="10" a="1"/>
  <c r="AY59" i="10" s="1"/>
  <c r="AY43" i="10" a="1"/>
  <c r="AY43" i="10" s="1"/>
  <c r="AY19" i="10" a="1"/>
  <c r="AY19" i="10" s="1"/>
  <c r="AY26" i="10" a="1"/>
  <c r="AY26" i="10" s="1"/>
  <c r="AY57" i="10" a="1"/>
  <c r="AY57" i="10" s="1"/>
  <c r="AY42" i="10" a="1"/>
  <c r="AY42" i="10" s="1"/>
  <c r="AY28" i="10" a="1"/>
  <c r="AY28" i="10" s="1"/>
  <c r="AY38" i="10" a="1"/>
  <c r="AY38" i="10" s="1"/>
  <c r="AH162" i="13"/>
  <c r="AY45" i="10" a="1"/>
  <c r="AY45" i="10" s="1"/>
  <c r="AY13" i="10" a="1"/>
  <c r="AY13" i="10" s="1"/>
  <c r="AY58" i="10" a="1"/>
  <c r="AY58" i="10" s="1"/>
  <c r="AY21" i="10" a="1"/>
  <c r="AY21" i="10" s="1"/>
  <c r="AY20" i="10" a="1"/>
  <c r="AY20" i="10" s="1"/>
  <c r="AY55" i="10" a="1"/>
  <c r="AY55" i="10" s="1"/>
  <c r="AY50" i="10" a="1"/>
  <c r="AY50" i="10" s="1"/>
  <c r="AY44" i="10" a="1"/>
  <c r="AY44" i="10" s="1"/>
  <c r="V153" i="13"/>
  <c r="V156" i="13"/>
  <c r="AP156" i="13"/>
  <c r="AP153" i="13"/>
  <c r="Z156" i="13"/>
  <c r="Z153" i="13"/>
  <c r="U156" i="13"/>
  <c r="U153" i="13"/>
  <c r="BU81" i="30"/>
  <c r="AU15" i="10" a="1"/>
  <c r="AU15" i="10" s="1"/>
  <c r="AU16" i="10" s="1"/>
  <c r="AU18" i="10" a="1"/>
  <c r="AU18" i="10" s="1"/>
  <c r="Q41" i="10" a="1"/>
  <c r="Q41" i="10" s="1"/>
  <c r="Q15" i="10" a="1"/>
  <c r="Q15" i="10" s="1"/>
  <c r="Q16" i="10" s="1"/>
  <c r="Q25" i="10" a="1"/>
  <c r="Q25" i="10" s="1"/>
  <c r="AU12" i="10" a="1"/>
  <c r="AU12" i="10" s="1"/>
  <c r="Q37" i="10" a="1"/>
  <c r="Q37" i="10" s="1"/>
  <c r="Q18" i="10" a="1"/>
  <c r="Q18" i="10" s="1"/>
  <c r="Q12" i="10" a="1"/>
  <c r="Q12" i="10" s="1"/>
  <c r="AU49" i="10" a="1"/>
  <c r="AU49" i="10" s="1"/>
  <c r="AU54" i="10" a="1"/>
  <c r="AU54" i="10" s="1"/>
  <c r="AU41" i="10" a="1"/>
  <c r="AU41" i="10" s="1"/>
  <c r="AU37" i="10" a="1"/>
  <c r="AU37" i="10" s="1"/>
  <c r="Q54" i="10" a="1"/>
  <c r="Q54" i="10" s="1"/>
  <c r="Q13" i="10" a="1"/>
  <c r="Q13" i="10" s="1"/>
  <c r="AU25" i="10" a="1"/>
  <c r="AU25" i="10" s="1"/>
  <c r="Q49" i="10" a="1"/>
  <c r="Q49" i="10" s="1"/>
  <c r="AU21" i="10" a="1"/>
  <c r="AU21" i="10" s="1"/>
  <c r="Q50" i="10" a="1"/>
  <c r="Q50" i="10" s="1"/>
  <c r="Q44" i="10" a="1"/>
  <c r="Q44" i="10" s="1"/>
  <c r="AU38" i="10" a="1"/>
  <c r="AU38" i="10" s="1"/>
  <c r="AU43" i="10" a="1"/>
  <c r="AU43" i="10" s="1"/>
  <c r="AU44" i="10" a="1"/>
  <c r="AU44" i="10" s="1"/>
  <c r="AU13" i="10" a="1"/>
  <c r="AU13" i="10" s="1"/>
  <c r="Q55" i="10" a="1"/>
  <c r="Q55" i="10" s="1"/>
  <c r="Q45" i="10" a="1"/>
  <c r="Q45" i="10" s="1"/>
  <c r="AU30" i="10" a="1"/>
  <c r="AU30" i="10" s="1"/>
  <c r="Q27" i="10" a="1"/>
  <c r="Q27" i="10" s="1"/>
  <c r="AU27" i="10" a="1"/>
  <c r="AU27" i="10" s="1"/>
  <c r="AU59" i="10" a="1"/>
  <c r="AU59" i="10" s="1"/>
  <c r="AD165" i="13"/>
  <c r="Q21" i="10" a="1"/>
  <c r="Q21" i="10" s="1"/>
  <c r="AU45" i="10" a="1"/>
  <c r="AU45" i="10" s="1"/>
  <c r="AU55" i="10" a="1"/>
  <c r="AU55" i="10" s="1"/>
  <c r="AU56" i="10" a="1"/>
  <c r="AU56" i="10" s="1"/>
  <c r="AD162" i="13"/>
  <c r="AU26" i="10" a="1"/>
  <c r="AU26" i="10" s="1"/>
  <c r="Q30" i="10" a="1"/>
  <c r="Q30" i="10" s="1"/>
  <c r="Q29" i="10" a="1"/>
  <c r="Q29" i="10" s="1"/>
  <c r="AU19" i="10" a="1"/>
  <c r="AU19" i="10" s="1"/>
  <c r="AU28" i="10" a="1"/>
  <c r="AU28" i="10" s="1"/>
  <c r="Q57" i="10" a="1"/>
  <c r="Q57" i="10" s="1"/>
  <c r="AU50" i="10" a="1"/>
  <c r="AU50" i="10" s="1"/>
  <c r="Q42" i="10" a="1"/>
  <c r="Q42" i="10" s="1"/>
  <c r="Q28" i="10" a="1"/>
  <c r="Q28" i="10" s="1"/>
  <c r="AU20" i="10" a="1"/>
  <c r="AU20" i="10" s="1"/>
  <c r="Q19" i="10" a="1"/>
  <c r="Q19" i="10" s="1"/>
  <c r="AU29" i="10" a="1"/>
  <c r="AU29" i="10" s="1"/>
  <c r="AU58" i="10" a="1"/>
  <c r="AU58" i="10" s="1"/>
  <c r="Q58" i="10" a="1"/>
  <c r="Q58" i="10" s="1"/>
  <c r="Q38" i="10" a="1"/>
  <c r="Q38" i="10" s="1"/>
  <c r="Q59" i="10" a="1"/>
  <c r="Q59" i="10" s="1"/>
  <c r="Q26" i="10" a="1"/>
  <c r="Q26" i="10" s="1"/>
  <c r="AU42" i="10" a="1"/>
  <c r="AU42" i="10" s="1"/>
  <c r="Q56" i="10" a="1"/>
  <c r="Q56" i="10" s="1"/>
  <c r="Q43" i="10" a="1"/>
  <c r="Q43" i="10" s="1"/>
  <c r="Q20" i="10" a="1"/>
  <c r="Q20" i="10" s="1"/>
  <c r="AU57" i="10" a="1"/>
  <c r="AU57" i="10" s="1"/>
  <c r="AC153" i="13"/>
  <c r="AC156" i="13"/>
  <c r="AF153" i="13"/>
  <c r="AF156" i="13"/>
  <c r="BE15" i="10" a="1"/>
  <c r="BE15" i="10" s="1"/>
  <c r="BE16" i="10" s="1"/>
  <c r="BE25" i="10" a="1"/>
  <c r="BE25" i="10" s="1"/>
  <c r="BE37" i="10" a="1"/>
  <c r="BE37" i="10" s="1"/>
  <c r="BE54" i="10" a="1"/>
  <c r="BE54" i="10" s="1"/>
  <c r="BE49" i="10" a="1"/>
  <c r="BE49" i="10" s="1"/>
  <c r="BE12" i="10" a="1"/>
  <c r="BE12" i="10" s="1"/>
  <c r="BE18" i="10" a="1"/>
  <c r="BE18" i="10" s="1"/>
  <c r="BE41" i="10" a="1"/>
  <c r="BE41" i="10" s="1"/>
  <c r="AN162" i="13"/>
  <c r="BE28" i="10" a="1"/>
  <c r="BE28" i="10" s="1"/>
  <c r="BE43" i="10" a="1"/>
  <c r="BE43" i="10" s="1"/>
  <c r="BE42" i="10" a="1"/>
  <c r="BE42" i="10" s="1"/>
  <c r="BE58" i="10" a="1"/>
  <c r="BE58" i="10" s="1"/>
  <c r="BE59" i="10" a="1"/>
  <c r="BE59" i="10" s="1"/>
  <c r="BE27" i="10" a="1"/>
  <c r="BE27" i="10" s="1"/>
  <c r="BE30" i="10" a="1"/>
  <c r="BE30" i="10" s="1"/>
  <c r="BE26" i="10" a="1"/>
  <c r="BE26" i="10" s="1"/>
  <c r="BE44" i="10" a="1"/>
  <c r="BE44" i="10" s="1"/>
  <c r="BE29" i="10" a="1"/>
  <c r="BE29" i="10" s="1"/>
  <c r="BE57" i="10" a="1"/>
  <c r="BE57" i="10" s="1"/>
  <c r="BE21" i="10" a="1"/>
  <c r="BE21" i="10" s="1"/>
  <c r="BE50" i="10" a="1"/>
  <c r="BE50" i="10" s="1"/>
  <c r="BE19" i="10" a="1"/>
  <c r="BE19" i="10" s="1"/>
  <c r="BE20" i="10" a="1"/>
  <c r="BE20" i="10" s="1"/>
  <c r="BE38" i="10" a="1"/>
  <c r="BE38" i="10" s="1"/>
  <c r="BE45" i="10" a="1"/>
  <c r="BE45" i="10" s="1"/>
  <c r="BE56" i="10" a="1"/>
  <c r="BE56" i="10" s="1"/>
  <c r="AN165" i="13"/>
  <c r="BE55" i="10" a="1"/>
  <c r="BE55" i="10" s="1"/>
  <c r="BE13" i="10" a="1"/>
  <c r="BE13" i="10" s="1"/>
  <c r="AR156" i="13"/>
  <c r="AR153" i="13"/>
  <c r="AD153" i="13"/>
  <c r="AD156" i="13"/>
  <c r="BB15" i="10" a="1"/>
  <c r="BB15" i="10" s="1"/>
  <c r="BB16" i="10" s="1"/>
  <c r="BB18" i="10" a="1"/>
  <c r="BB18" i="10" s="1"/>
  <c r="BB37" i="10" a="1"/>
  <c r="BB37" i="10" s="1"/>
  <c r="BB49" i="10" a="1"/>
  <c r="BB49" i="10" s="1"/>
  <c r="BB54" i="10" a="1"/>
  <c r="BB54" i="10" s="1"/>
  <c r="BB41" i="10" a="1"/>
  <c r="BB41" i="10" s="1"/>
  <c r="BB12" i="10" a="1"/>
  <c r="BB12" i="10" s="1"/>
  <c r="BB25" i="10" a="1"/>
  <c r="BB25" i="10" s="1"/>
  <c r="BB44" i="10" a="1"/>
  <c r="BB44" i="10" s="1"/>
  <c r="BB30" i="10" a="1"/>
  <c r="BB30" i="10" s="1"/>
  <c r="BB42" i="10" a="1"/>
  <c r="BB42" i="10" s="1"/>
  <c r="BB59" i="10" a="1"/>
  <c r="BB59" i="10" s="1"/>
  <c r="BB19" i="10" a="1"/>
  <c r="BB19" i="10" s="1"/>
  <c r="AK162" i="13"/>
  <c r="BB58" i="10" a="1"/>
  <c r="BB58" i="10" s="1"/>
  <c r="BB43" i="10" a="1"/>
  <c r="BB43" i="10" s="1"/>
  <c r="BB21" i="10" a="1"/>
  <c r="BB21" i="10" s="1"/>
  <c r="BB27" i="10" a="1"/>
  <c r="BB27" i="10" s="1"/>
  <c r="BB57" i="10" a="1"/>
  <c r="BB57" i="10" s="1"/>
  <c r="BB28" i="10" a="1"/>
  <c r="BB28" i="10" s="1"/>
  <c r="BB29" i="10" a="1"/>
  <c r="BB29" i="10" s="1"/>
  <c r="BB20" i="10" a="1"/>
  <c r="BB20" i="10" s="1"/>
  <c r="BB50" i="10" a="1"/>
  <c r="BB50" i="10" s="1"/>
  <c r="BB26" i="10" a="1"/>
  <c r="BB26" i="10" s="1"/>
  <c r="BB56" i="10" a="1"/>
  <c r="BB56" i="10" s="1"/>
  <c r="BB45" i="10" a="1"/>
  <c r="BB45" i="10" s="1"/>
  <c r="BB38" i="10" a="1"/>
  <c r="BB38" i="10" s="1"/>
  <c r="AK165" i="13"/>
  <c r="BB13" i="10" a="1"/>
  <c r="BB13" i="10" s="1"/>
  <c r="BB55" i="10" a="1"/>
  <c r="BB55" i="10" s="1"/>
  <c r="R74" i="12"/>
  <c r="R71" i="12" s="1"/>
  <c r="BX118" i="12"/>
  <c r="BX71" i="12"/>
  <c r="AG74" i="12"/>
  <c r="AG71" i="12" s="1"/>
  <c r="AV26" i="13" a="1"/>
  <c r="AV26" i="13" s="1"/>
  <c r="AV79" i="13"/>
  <c r="AD22" i="7" s="1" a="1"/>
  <c r="AD22" i="7" s="1"/>
  <c r="BY74" i="12" a="1"/>
  <c r="BY74" i="12" s="1"/>
  <c r="BC15" i="10" a="1"/>
  <c r="BC15" i="10" s="1"/>
  <c r="BC16" i="10" s="1"/>
  <c r="BC41" i="10" a="1"/>
  <c r="BC41" i="10" s="1"/>
  <c r="BC18" i="10" a="1"/>
  <c r="BC18" i="10" s="1"/>
  <c r="BC25" i="10" a="1"/>
  <c r="BC25" i="10" s="1"/>
  <c r="BC49" i="10" a="1"/>
  <c r="BC49" i="10" s="1"/>
  <c r="BC37" i="10" a="1"/>
  <c r="BC37" i="10" s="1"/>
  <c r="BC54" i="10" a="1"/>
  <c r="BC54" i="10" s="1"/>
  <c r="AL165" i="13"/>
  <c r="BC50" i="10" a="1"/>
  <c r="BC50" i="10" s="1"/>
  <c r="BC28" i="10" a="1"/>
  <c r="BC28" i="10" s="1"/>
  <c r="BC56" i="10" a="1"/>
  <c r="BC56" i="10" s="1"/>
  <c r="BC12" i="10" a="1"/>
  <c r="BC12" i="10" s="1"/>
  <c r="BC43" i="10" a="1"/>
  <c r="BC43" i="10" s="1"/>
  <c r="BC59" i="10" a="1"/>
  <c r="BC59" i="10" s="1"/>
  <c r="BC29" i="10" a="1"/>
  <c r="BC29" i="10" s="1"/>
  <c r="BC57" i="10" a="1"/>
  <c r="BC57" i="10" s="1"/>
  <c r="AL162" i="13"/>
  <c r="BC26" i="10" a="1"/>
  <c r="BC26" i="10" s="1"/>
  <c r="BC58" i="10" a="1"/>
  <c r="BC58" i="10" s="1"/>
  <c r="BC38" i="10" a="1"/>
  <c r="BC38" i="10" s="1"/>
  <c r="BC44" i="10" a="1"/>
  <c r="BC44" i="10" s="1"/>
  <c r="BC45" i="10" a="1"/>
  <c r="BC45" i="10" s="1"/>
  <c r="BC13" i="10" a="1"/>
  <c r="BC13" i="10" s="1"/>
  <c r="BC27" i="10" a="1"/>
  <c r="BC27" i="10" s="1"/>
  <c r="BC55" i="10" a="1"/>
  <c r="BC55" i="10" s="1"/>
  <c r="BC21" i="10" a="1"/>
  <c r="BC21" i="10" s="1"/>
  <c r="BC20" i="10" a="1"/>
  <c r="BC20" i="10" s="1"/>
  <c r="BC19" i="10" a="1"/>
  <c r="BC19" i="10" s="1"/>
  <c r="BC30" i="10" a="1"/>
  <c r="BC30" i="10" s="1"/>
  <c r="BC42" i="10" a="1"/>
  <c r="BC42" i="10" s="1"/>
  <c r="AG153" i="13"/>
  <c r="AG156" i="13"/>
  <c r="AE15" i="10" a="1"/>
  <c r="AE15" i="10" s="1"/>
  <c r="AE16" i="10" s="1"/>
  <c r="AE49" i="10" a="1"/>
  <c r="AE49" i="10" s="1"/>
  <c r="AE18" i="10" a="1"/>
  <c r="AE18" i="10" s="1"/>
  <c r="AE12" i="10" a="1"/>
  <c r="AE12" i="10" s="1"/>
  <c r="AE25" i="10" a="1"/>
  <c r="AE25" i="10" s="1"/>
  <c r="AE54" i="10" a="1"/>
  <c r="AE54" i="10" s="1"/>
  <c r="AE41" i="10" a="1"/>
  <c r="AE41" i="10" s="1"/>
  <c r="AE37" i="10" a="1"/>
  <c r="AE37" i="10" s="1"/>
  <c r="AE57" i="10" a="1"/>
  <c r="AE57" i="10" s="1"/>
  <c r="AE27" i="10" a="1"/>
  <c r="AE27" i="10" s="1"/>
  <c r="N162" i="13"/>
  <c r="AE19" i="10" a="1"/>
  <c r="AE19" i="10" s="1"/>
  <c r="AE26" i="10" a="1"/>
  <c r="AE26" i="10" s="1"/>
  <c r="AE29" i="10" a="1"/>
  <c r="AE29" i="10" s="1"/>
  <c r="AE43" i="10" a="1"/>
  <c r="AE43" i="10" s="1"/>
  <c r="AE28" i="10" a="1"/>
  <c r="AE28" i="10" s="1"/>
  <c r="AE30" i="10" a="1"/>
  <c r="AE30" i="10" s="1"/>
  <c r="AE21" i="10" a="1"/>
  <c r="AE21" i="10" s="1"/>
  <c r="AE38" i="10" a="1"/>
  <c r="AE38" i="10" s="1"/>
  <c r="AE45" i="10" a="1"/>
  <c r="AE45" i="10" s="1"/>
  <c r="AE44" i="10" a="1"/>
  <c r="AE44" i="10" s="1"/>
  <c r="AE58" i="10" a="1"/>
  <c r="AE58" i="10" s="1"/>
  <c r="N165" i="13"/>
  <c r="AE50" i="10" a="1"/>
  <c r="AE50" i="10" s="1"/>
  <c r="AE20" i="10" a="1"/>
  <c r="AE20" i="10" s="1"/>
  <c r="AE42" i="10" a="1"/>
  <c r="AE42" i="10" s="1"/>
  <c r="AE13" i="10" a="1"/>
  <c r="AE13" i="10" s="1"/>
  <c r="AE56" i="10" a="1"/>
  <c r="AE56" i="10" s="1"/>
  <c r="AE59" i="10" a="1"/>
  <c r="AE59" i="10" s="1"/>
  <c r="AE55" i="10" a="1"/>
  <c r="AE55" i="10" s="1"/>
  <c r="BK15" i="10" a="1"/>
  <c r="BK15" i="10" s="1"/>
  <c r="BK16" i="10" s="1"/>
  <c r="BK18" i="10" a="1"/>
  <c r="BK18" i="10" s="1"/>
  <c r="BK54" i="10" a="1"/>
  <c r="BK54" i="10" s="1"/>
  <c r="BK12" i="10" a="1"/>
  <c r="BK12" i="10" s="1"/>
  <c r="BK49" i="10" a="1"/>
  <c r="BK49" i="10" s="1"/>
  <c r="BK41" i="10" a="1"/>
  <c r="BK41" i="10" s="1"/>
  <c r="BK37" i="10" a="1"/>
  <c r="BK37" i="10" s="1"/>
  <c r="BK25" i="10" a="1"/>
  <c r="BK25" i="10" s="1"/>
  <c r="BK58" i="10" a="1"/>
  <c r="BK58" i="10" s="1"/>
  <c r="BK44" i="10" a="1"/>
  <c r="BK44" i="10" s="1"/>
  <c r="BK56" i="10" a="1"/>
  <c r="BK56" i="10" s="1"/>
  <c r="BK29" i="10" a="1"/>
  <c r="BK29" i="10" s="1"/>
  <c r="AT162" i="13"/>
  <c r="BK30" i="10" a="1"/>
  <c r="BK30" i="10" s="1"/>
  <c r="BK57" i="10" a="1"/>
  <c r="BK57" i="10" s="1"/>
  <c r="BK13" i="10" a="1"/>
  <c r="BK13" i="10" s="1"/>
  <c r="BK26" i="10" a="1"/>
  <c r="BK26" i="10" s="1"/>
  <c r="AE22" i="7" a="1"/>
  <c r="AE22" i="7" s="1"/>
  <c r="BK20" i="10" a="1"/>
  <c r="BK20" i="10" s="1"/>
  <c r="AT165" i="13"/>
  <c r="BK55" i="10" a="1"/>
  <c r="BK55" i="10" s="1"/>
  <c r="BK43" i="10" a="1"/>
  <c r="BK43" i="10" s="1"/>
  <c r="BK42" i="10" a="1"/>
  <c r="BK42" i="10" s="1"/>
  <c r="BK50" i="10" a="1"/>
  <c r="BK50" i="10" s="1"/>
  <c r="BK19" i="10" a="1"/>
  <c r="BK19" i="10" s="1"/>
  <c r="BK27" i="10" a="1"/>
  <c r="BK27" i="10" s="1"/>
  <c r="BK28" i="10" a="1"/>
  <c r="BK28" i="10" s="1"/>
  <c r="BK21" i="10" a="1"/>
  <c r="BK21" i="10" s="1"/>
  <c r="BK59" i="10" a="1"/>
  <c r="BK59" i="10" s="1"/>
  <c r="BK45" i="10" a="1"/>
  <c r="BK45" i="10" s="1"/>
  <c r="BK38" i="10" a="1"/>
  <c r="BK38" i="10" s="1"/>
  <c r="AE23" i="7" a="1"/>
  <c r="AE23" i="7" s="1"/>
  <c r="AK153" i="13"/>
  <c r="AK156" i="13"/>
  <c r="AU156" i="13"/>
  <c r="AU153" i="13"/>
  <c r="AN153" i="13"/>
  <c r="AN156" i="13"/>
  <c r="AP15" i="10" a="1"/>
  <c r="AP15" i="10" s="1"/>
  <c r="AP16" i="10" s="1"/>
  <c r="AP25" i="10" a="1"/>
  <c r="AP25" i="10" s="1"/>
  <c r="AP37" i="10" a="1"/>
  <c r="AP37" i="10" s="1"/>
  <c r="AP12" i="10" a="1"/>
  <c r="AP12" i="10" s="1"/>
  <c r="AP49" i="10" a="1"/>
  <c r="AP49" i="10" s="1"/>
  <c r="AP54" i="10" a="1"/>
  <c r="AP54" i="10" s="1"/>
  <c r="AP18" i="10" a="1"/>
  <c r="AP18" i="10" s="1"/>
  <c r="AP41" i="10" a="1"/>
  <c r="AP41" i="10" s="1"/>
  <c r="AP59" i="10" a="1"/>
  <c r="AP59" i="10" s="1"/>
  <c r="AP43" i="10" a="1"/>
  <c r="AP43" i="10" s="1"/>
  <c r="AP20" i="10" a="1"/>
  <c r="AP20" i="10" s="1"/>
  <c r="AP30" i="10" a="1"/>
  <c r="AP30" i="10" s="1"/>
  <c r="AP57" i="10" a="1"/>
  <c r="AP57" i="10" s="1"/>
  <c r="AP58" i="10" a="1"/>
  <c r="AP58" i="10" s="1"/>
  <c r="AP19" i="10" a="1"/>
  <c r="AP19" i="10" s="1"/>
  <c r="AP27" i="10" a="1"/>
  <c r="AP27" i="10" s="1"/>
  <c r="Y162" i="13"/>
  <c r="AP38" i="10" a="1"/>
  <c r="AP38" i="10" s="1"/>
  <c r="AP50" i="10" a="1"/>
  <c r="AP50" i="10" s="1"/>
  <c r="AP56" i="10" a="1"/>
  <c r="AP56" i="10" s="1"/>
  <c r="AP21" i="10" a="1"/>
  <c r="AP21" i="10" s="1"/>
  <c r="AP28" i="10" a="1"/>
  <c r="AP28" i="10" s="1"/>
  <c r="AP13" i="10" a="1"/>
  <c r="AP13" i="10" s="1"/>
  <c r="AP55" i="10" a="1"/>
  <c r="AP55" i="10" s="1"/>
  <c r="AP45" i="10" a="1"/>
  <c r="AP45" i="10" s="1"/>
  <c r="AP29" i="10" a="1"/>
  <c r="AP29" i="10" s="1"/>
  <c r="AP44" i="10" a="1"/>
  <c r="AP44" i="10" s="1"/>
  <c r="Y165" i="13"/>
  <c r="AP42" i="10" a="1"/>
  <c r="AP42" i="10" s="1"/>
  <c r="AP26" i="10" a="1"/>
  <c r="AP26" i="10" s="1"/>
  <c r="AA156" i="13"/>
  <c r="AA153" i="13"/>
  <c r="Q153" i="13"/>
  <c r="Q156" i="13"/>
  <c r="AM15" i="10" a="1"/>
  <c r="AM15" i="10" s="1"/>
  <c r="AM16" i="10" s="1"/>
  <c r="AM25" i="10" a="1"/>
  <c r="AM25" i="10" s="1"/>
  <c r="AM49" i="10" a="1"/>
  <c r="AM49" i="10" s="1"/>
  <c r="AM41" i="10" a="1"/>
  <c r="AM41" i="10" s="1"/>
  <c r="AM54" i="10" a="1"/>
  <c r="AM54" i="10" s="1"/>
  <c r="AM12" i="10" a="1"/>
  <c r="AM12" i="10" s="1"/>
  <c r="AM55" i="10" a="1"/>
  <c r="AM55" i="10" s="1"/>
  <c r="AM29" i="10" a="1"/>
  <c r="AM29" i="10" s="1"/>
  <c r="AM21" i="10" a="1"/>
  <c r="AM21" i="10" s="1"/>
  <c r="AM37" i="10" a="1"/>
  <c r="AM37" i="10" s="1"/>
  <c r="AM28" i="10" a="1"/>
  <c r="AM28" i="10" s="1"/>
  <c r="AM44" i="10" a="1"/>
  <c r="AM44" i="10" s="1"/>
  <c r="AM45" i="10" a="1"/>
  <c r="AM45" i="10" s="1"/>
  <c r="AM13" i="10" a="1"/>
  <c r="AM13" i="10" s="1"/>
  <c r="AM59" i="10" a="1"/>
  <c r="AM59" i="10" s="1"/>
  <c r="AM19" i="10" a="1"/>
  <c r="AM19" i="10" s="1"/>
  <c r="AM50" i="10" a="1"/>
  <c r="AM50" i="10" s="1"/>
  <c r="V162" i="13"/>
  <c r="V165" i="13"/>
  <c r="AM20" i="10" a="1"/>
  <c r="AM20" i="10" s="1"/>
  <c r="AM30" i="10" a="1"/>
  <c r="AM30" i="10" s="1"/>
  <c r="AM57" i="10" a="1"/>
  <c r="AM57" i="10" s="1"/>
  <c r="AM56" i="10" a="1"/>
  <c r="AM56" i="10" s="1"/>
  <c r="AM38" i="10" a="1"/>
  <c r="AM38" i="10" s="1"/>
  <c r="AM43" i="10" a="1"/>
  <c r="AM43" i="10" s="1"/>
  <c r="AM18" i="10" a="1"/>
  <c r="AM18" i="10" s="1"/>
  <c r="AM42" i="10" a="1"/>
  <c r="AM42" i="10" s="1"/>
  <c r="AM26" i="10" a="1"/>
  <c r="AM26" i="10" s="1"/>
  <c r="AM27" i="10" a="1"/>
  <c r="AM27" i="10" s="1"/>
  <c r="AM58" i="10" a="1"/>
  <c r="AM58" i="10" s="1"/>
  <c r="R15" i="10" a="1"/>
  <c r="R15" i="10" s="1"/>
  <c r="R16" i="10" s="1"/>
  <c r="AX15" i="10" a="1"/>
  <c r="AX15" i="10" s="1"/>
  <c r="AX16" i="10" s="1"/>
  <c r="R25" i="10" a="1"/>
  <c r="R25" i="10" s="1"/>
  <c r="AX25" i="10" a="1"/>
  <c r="AX25" i="10" s="1"/>
  <c r="R49" i="10" a="1"/>
  <c r="R49" i="10" s="1"/>
  <c r="R54" i="10" a="1"/>
  <c r="R54" i="10" s="1"/>
  <c r="R12" i="10" a="1"/>
  <c r="R12" i="10" s="1"/>
  <c r="AX41" i="10" a="1"/>
  <c r="AX41" i="10" s="1"/>
  <c r="AX37" i="10" a="1"/>
  <c r="AX37" i="10" s="1"/>
  <c r="R41" i="10" a="1"/>
  <c r="R41" i="10" s="1"/>
  <c r="AX12" i="10" a="1"/>
  <c r="AX12" i="10" s="1"/>
  <c r="AX49" i="10" a="1"/>
  <c r="AX49" i="10" s="1"/>
  <c r="R18" i="10" a="1"/>
  <c r="R18" i="10" s="1"/>
  <c r="AX18" i="10" a="1"/>
  <c r="AX18" i="10" s="1"/>
  <c r="AX54" i="10" a="1"/>
  <c r="AX54" i="10" s="1"/>
  <c r="R19" i="10" a="1"/>
  <c r="R19" i="10" s="1"/>
  <c r="AG162" i="13"/>
  <c r="AX50" i="10" a="1"/>
  <c r="AX50" i="10" s="1"/>
  <c r="R21" i="10" a="1"/>
  <c r="R21" i="10" s="1"/>
  <c r="AX42" i="10" a="1"/>
  <c r="AX42" i="10" s="1"/>
  <c r="AX58" i="10" a="1"/>
  <c r="AX58" i="10" s="1"/>
  <c r="AX30" i="10" a="1"/>
  <c r="AX30" i="10" s="1"/>
  <c r="R20" i="10" a="1"/>
  <c r="R20" i="10" s="1"/>
  <c r="R57" i="10" a="1"/>
  <c r="R57" i="10" s="1"/>
  <c r="AX28" i="10" a="1"/>
  <c r="AX28" i="10" s="1"/>
  <c r="R29" i="10" a="1"/>
  <c r="R29" i="10" s="1"/>
  <c r="AX21" i="10" a="1"/>
  <c r="AX21" i="10" s="1"/>
  <c r="R45" i="10" a="1"/>
  <c r="R45" i="10" s="1"/>
  <c r="R26" i="10" a="1"/>
  <c r="R26" i="10" s="1"/>
  <c r="R59" i="10" a="1"/>
  <c r="R59" i="10" s="1"/>
  <c r="AX57" i="10" a="1"/>
  <c r="AX57" i="10" s="1"/>
  <c r="R50" i="10" a="1"/>
  <c r="R50" i="10" s="1"/>
  <c r="AX27" i="10" a="1"/>
  <c r="AX27" i="10" s="1"/>
  <c r="R58" i="10" a="1"/>
  <c r="R58" i="10" s="1"/>
  <c r="AG165" i="13"/>
  <c r="AX55" i="10" a="1"/>
  <c r="AX55" i="10" s="1"/>
  <c r="R43" i="10" a="1"/>
  <c r="R43" i="10" s="1"/>
  <c r="AX20" i="10" a="1"/>
  <c r="AX20" i="10" s="1"/>
  <c r="R44" i="10" a="1"/>
  <c r="R44" i="10" s="1"/>
  <c r="R42" i="10" a="1"/>
  <c r="R42" i="10" s="1"/>
  <c r="AX56" i="10" a="1"/>
  <c r="AX56" i="10" s="1"/>
  <c r="R28" i="10" a="1"/>
  <c r="R28" i="10" s="1"/>
  <c r="R56" i="10" a="1"/>
  <c r="R56" i="10" s="1"/>
  <c r="AX29" i="10" a="1"/>
  <c r="AX29" i="10" s="1"/>
  <c r="AX59" i="10" a="1"/>
  <c r="AX59" i="10" s="1"/>
  <c r="R38" i="10" a="1"/>
  <c r="R38" i="10" s="1"/>
  <c r="AX19" i="10" a="1"/>
  <c r="AX19" i="10" s="1"/>
  <c r="AX44" i="10" a="1"/>
  <c r="AX44" i="10" s="1"/>
  <c r="AX26" i="10" a="1"/>
  <c r="AX26" i="10" s="1"/>
  <c r="AX43" i="10" a="1"/>
  <c r="AX43" i="10" s="1"/>
  <c r="AX38" i="10" a="1"/>
  <c r="AX38" i="10" s="1"/>
  <c r="R30" i="10" a="1"/>
  <c r="R30" i="10" s="1"/>
  <c r="R27" i="10" a="1"/>
  <c r="R27" i="10" s="1"/>
  <c r="R37" i="10" a="1"/>
  <c r="R37" i="10" s="1"/>
  <c r="AX13" i="10" a="1"/>
  <c r="AX13" i="10" s="1"/>
  <c r="AX45" i="10" a="1"/>
  <c r="AX45" i="10" s="1"/>
  <c r="R55" i="10" a="1"/>
  <c r="R55" i="10" s="1"/>
  <c r="R13" i="10" a="1"/>
  <c r="R13" i="10" s="1"/>
  <c r="BF15" i="10" a="1"/>
  <c r="BF15" i="10" s="1"/>
  <c r="BF16" i="10" s="1"/>
  <c r="BF49" i="10" a="1"/>
  <c r="BF49" i="10" s="1"/>
  <c r="BF25" i="10" a="1"/>
  <c r="BF25" i="10" s="1"/>
  <c r="BF12" i="10" a="1"/>
  <c r="BF12" i="10" s="1"/>
  <c r="BF37" i="10" a="1"/>
  <c r="BF37" i="10" s="1"/>
  <c r="BF18" i="10" a="1"/>
  <c r="BF18" i="10" s="1"/>
  <c r="BF50" i="10" a="1"/>
  <c r="BF50" i="10" s="1"/>
  <c r="AO162" i="13"/>
  <c r="BF56" i="10" a="1"/>
  <c r="BF56" i="10" s="1"/>
  <c r="BF38" i="10" a="1"/>
  <c r="BF38" i="10" s="1"/>
  <c r="BF26" i="10" a="1"/>
  <c r="BF26" i="10" s="1"/>
  <c r="BF27" i="10" a="1"/>
  <c r="BF27" i="10" s="1"/>
  <c r="BF13" i="10" a="1"/>
  <c r="BF13" i="10" s="1"/>
  <c r="BF29" i="10" a="1"/>
  <c r="BF29" i="10" s="1"/>
  <c r="BF43" i="10" a="1"/>
  <c r="BF43" i="10" s="1"/>
  <c r="BF28" i="10" a="1"/>
  <c r="BF28" i="10" s="1"/>
  <c r="BF54" i="10" a="1"/>
  <c r="BF54" i="10" s="1"/>
  <c r="BF21" i="10" a="1"/>
  <c r="BF21" i="10" s="1"/>
  <c r="BF55" i="10" a="1"/>
  <c r="BF55" i="10" s="1"/>
  <c r="BF45" i="10" a="1"/>
  <c r="BF45" i="10" s="1"/>
  <c r="AO165" i="13"/>
  <c r="BF42" i="10" a="1"/>
  <c r="BF42" i="10" s="1"/>
  <c r="BF44" i="10" a="1"/>
  <c r="BF44" i="10" s="1"/>
  <c r="BF20" i="10" a="1"/>
  <c r="BF20" i="10" s="1"/>
  <c r="BF41" i="10" a="1"/>
  <c r="BF41" i="10" s="1"/>
  <c r="BF58" i="10" a="1"/>
  <c r="BF58" i="10" s="1"/>
  <c r="BF19" i="10" a="1"/>
  <c r="BF19" i="10" s="1"/>
  <c r="BF30" i="10" a="1"/>
  <c r="BF30" i="10" s="1"/>
  <c r="BF59" i="10" a="1"/>
  <c r="BF59" i="10" s="1"/>
  <c r="BF57" i="10" a="1"/>
  <c r="BF57" i="10" s="1"/>
  <c r="AG12" i="10" a="1"/>
  <c r="AG12" i="10" s="1"/>
  <c r="AG18" i="10" a="1"/>
  <c r="AG18" i="10" s="1"/>
  <c r="AG25" i="10" a="1"/>
  <c r="AG25" i="10" s="1"/>
  <c r="AG49" i="10" a="1"/>
  <c r="AG49" i="10" s="1"/>
  <c r="AG37" i="10" a="1"/>
  <c r="AG37" i="10" s="1"/>
  <c r="AG54" i="10" a="1"/>
  <c r="AG54" i="10" s="1"/>
  <c r="AG15" i="10" a="1"/>
  <c r="AG15" i="10" s="1"/>
  <c r="AG16" i="10" s="1"/>
  <c r="AG41" i="10" a="1"/>
  <c r="AG41" i="10" s="1"/>
  <c r="P165" i="13"/>
  <c r="AG29" i="10" a="1"/>
  <c r="AG29" i="10" s="1"/>
  <c r="AG50" i="10" a="1"/>
  <c r="AG50" i="10" s="1"/>
  <c r="AG55" i="10" a="1"/>
  <c r="AG55" i="10" s="1"/>
  <c r="AG43" i="10" a="1"/>
  <c r="AG43" i="10" s="1"/>
  <c r="AG42" i="10" a="1"/>
  <c r="AG42" i="10" s="1"/>
  <c r="AG21" i="10" a="1"/>
  <c r="AG21" i="10" s="1"/>
  <c r="AG44" i="10" a="1"/>
  <c r="AG44" i="10" s="1"/>
  <c r="AG27" i="10" a="1"/>
  <c r="AG27" i="10" s="1"/>
  <c r="AG59" i="10" a="1"/>
  <c r="AG59" i="10" s="1"/>
  <c r="AG13" i="10" a="1"/>
  <c r="AG13" i="10" s="1"/>
  <c r="AG26" i="10" a="1"/>
  <c r="AG26" i="10" s="1"/>
  <c r="AG57" i="10" a="1"/>
  <c r="AG57" i="10" s="1"/>
  <c r="AG45" i="10" a="1"/>
  <c r="AG45" i="10" s="1"/>
  <c r="AG58" i="10" a="1"/>
  <c r="AG58" i="10" s="1"/>
  <c r="AG56" i="10" a="1"/>
  <c r="AG56" i="10" s="1"/>
  <c r="P162" i="13"/>
  <c r="AG30" i="10" a="1"/>
  <c r="AG30" i="10" s="1"/>
  <c r="AG28" i="10" a="1"/>
  <c r="AG28" i="10" s="1"/>
  <c r="AG20" i="10" a="1"/>
  <c r="AG20" i="10" s="1"/>
  <c r="AG38" i="10" a="1"/>
  <c r="AG38" i="10" s="1"/>
  <c r="AG19" i="10" a="1"/>
  <c r="AG19" i="10" s="1"/>
  <c r="BH15" i="10" a="1"/>
  <c r="BH15" i="10" s="1"/>
  <c r="BH16" i="10" s="1"/>
  <c r="BH12" i="10" a="1"/>
  <c r="BH12" i="10" s="1"/>
  <c r="BH54" i="10" a="1"/>
  <c r="BH54" i="10" s="1"/>
  <c r="BH49" i="10" a="1"/>
  <c r="BH49" i="10" s="1"/>
  <c r="BH18" i="10" a="1"/>
  <c r="BH18" i="10" s="1"/>
  <c r="BH41" i="10" a="1"/>
  <c r="BH41" i="10" s="1"/>
  <c r="BH25" i="10" a="1"/>
  <c r="BH25" i="10" s="1"/>
  <c r="BH37" i="10" a="1"/>
  <c r="BH37" i="10" s="1"/>
  <c r="BH59" i="10" a="1"/>
  <c r="BH59" i="10" s="1"/>
  <c r="BH45" i="10" a="1"/>
  <c r="BH45" i="10" s="1"/>
  <c r="BH19" i="10" a="1"/>
  <c r="BH19" i="10" s="1"/>
  <c r="BH43" i="10" a="1"/>
  <c r="BH43" i="10" s="1"/>
  <c r="BH50" i="10" a="1"/>
  <c r="BH50" i="10" s="1"/>
  <c r="BH56" i="10" a="1"/>
  <c r="BH56" i="10" s="1"/>
  <c r="BH30" i="10" a="1"/>
  <c r="BH30" i="10" s="1"/>
  <c r="BH29" i="10" a="1"/>
  <c r="BH29" i="10" s="1"/>
  <c r="AQ165" i="13"/>
  <c r="BH27" i="10" a="1"/>
  <c r="BH27" i="10" s="1"/>
  <c r="BH28" i="10" a="1"/>
  <c r="BH28" i="10" s="1"/>
  <c r="BH20" i="10" a="1"/>
  <c r="BH20" i="10" s="1"/>
  <c r="BH55" i="10" a="1"/>
  <c r="BH55" i="10" s="1"/>
  <c r="BH26" i="10" a="1"/>
  <c r="BH26" i="10" s="1"/>
  <c r="AQ162" i="13"/>
  <c r="BH42" i="10" a="1"/>
  <c r="BH42" i="10" s="1"/>
  <c r="BH38" i="10" a="1"/>
  <c r="BH38" i="10" s="1"/>
  <c r="BH57" i="10" a="1"/>
  <c r="BH57" i="10" s="1"/>
  <c r="BH58" i="10" a="1"/>
  <c r="BH58" i="10" s="1"/>
  <c r="BH44" i="10" a="1"/>
  <c r="BH44" i="10" s="1"/>
  <c r="BH21" i="10" a="1"/>
  <c r="BH21" i="10" s="1"/>
  <c r="BH13" i="10" a="1"/>
  <c r="BH13" i="10" s="1"/>
  <c r="Y156" i="13"/>
  <c r="Y153" i="13"/>
  <c r="AD23" i="7" l="1" a="1"/>
  <c r="AD23" i="7" s="1"/>
  <c r="BF51" i="10"/>
  <c r="AX51" i="10"/>
  <c r="AG51" i="10"/>
  <c r="BH46" i="10"/>
  <c r="AM46" i="10"/>
  <c r="BI51" i="10"/>
  <c r="R60" i="10"/>
  <c r="R68" i="10" s="1" a="1"/>
  <c r="R68" i="10" s="1"/>
  <c r="AH51" i="10"/>
  <c r="AU51" i="10"/>
  <c r="BK51" i="10"/>
  <c r="AP60" i="10"/>
  <c r="AP68" i="10" s="1" a="1"/>
  <c r="AP68" i="10" s="1"/>
  <c r="Q51" i="10"/>
  <c r="AY22" i="10"/>
  <c r="AY23" i="10" s="1"/>
  <c r="BL46" i="10"/>
  <c r="S60" i="10"/>
  <c r="S68" i="10" s="1" a="1"/>
  <c r="S68" i="10" s="1"/>
  <c r="BG51" i="10"/>
  <c r="BK22" i="10"/>
  <c r="BK23" i="10" s="1"/>
  <c r="AP22" i="10"/>
  <c r="AP23" i="10" s="1"/>
  <c r="AU46" i="10"/>
  <c r="AY51" i="10"/>
  <c r="AV60" i="10"/>
  <c r="AV68" i="10" s="1" a="1"/>
  <c r="AV68" i="10" s="1"/>
  <c r="AT22" i="10"/>
  <c r="AT23" i="10" s="1"/>
  <c r="BC51" i="10"/>
  <c r="AW22" i="10"/>
  <c r="AW23" i="10" s="1"/>
  <c r="AZ60" i="10"/>
  <c r="AZ68" i="10" s="1" a="1"/>
  <c r="AZ68" i="10" s="1"/>
  <c r="AD22" i="10"/>
  <c r="AZ31" i="10"/>
  <c r="AF46" i="10"/>
  <c r="AZ51" i="10"/>
  <c r="AM22" i="10"/>
  <c r="AM23" i="10" s="1"/>
  <c r="BB22" i="10"/>
  <c r="BB23" i="10" s="1"/>
  <c r="AJ46" i="10"/>
  <c r="AJ22" i="10"/>
  <c r="AJ23" i="10" s="1"/>
  <c r="AQ51" i="10"/>
  <c r="AK46" i="10"/>
  <c r="AN51" i="10"/>
  <c r="BU85" i="30"/>
  <c r="AA81" i="30"/>
  <c r="AY46" i="10"/>
  <c r="N39" i="10"/>
  <c r="AJ39" i="10"/>
  <c r="AR31" i="10"/>
  <c r="AI46" i="10"/>
  <c r="T60" i="10"/>
  <c r="T68" i="10" s="1" a="1"/>
  <c r="T68" i="10" s="1"/>
  <c r="R51" i="10"/>
  <c r="AM51" i="10"/>
  <c r="AP51" i="10"/>
  <c r="Q60" i="10"/>
  <c r="Q68" i="10" s="1" a="1"/>
  <c r="Q68" i="10" s="1"/>
  <c r="AY39" i="10"/>
  <c r="AL51" i="10"/>
  <c r="P60" i="10"/>
  <c r="P68" i="10" s="1" a="1"/>
  <c r="P68" i="10" s="1"/>
  <c r="BA46" i="10"/>
  <c r="AD39" i="10"/>
  <c r="BD46" i="10"/>
  <c r="AK31" i="10"/>
  <c r="AX31" i="10"/>
  <c r="AM31" i="10"/>
  <c r="AE39" i="10"/>
  <c r="AU39" i="10"/>
  <c r="AY60" i="10"/>
  <c r="AY68" i="10" s="1" a="1"/>
  <c r="AY68" i="10" s="1"/>
  <c r="AL60" i="10"/>
  <c r="AL68" i="10" s="1" a="1"/>
  <c r="AL68" i="10" s="1"/>
  <c r="AR60" i="10"/>
  <c r="AR68" i="10" s="1" a="1"/>
  <c r="AR68" i="10" s="1"/>
  <c r="AT31" i="10"/>
  <c r="G22" i="10"/>
  <c r="G23" i="10" s="1"/>
  <c r="AD60" i="10"/>
  <c r="AD68" i="10" s="1" a="1"/>
  <c r="AD68" i="10" s="1"/>
  <c r="AI60" i="10"/>
  <c r="AI68" i="10" s="1" a="1"/>
  <c r="AI68" i="10" s="1"/>
  <c r="AF60" i="10"/>
  <c r="AF68" i="10" s="1" a="1"/>
  <c r="AF68" i="10" s="1"/>
  <c r="F39" i="10"/>
  <c r="O46" i="10"/>
  <c r="BF46" i="10"/>
  <c r="R31" i="10"/>
  <c r="AP39" i="10"/>
  <c r="AE46" i="10"/>
  <c r="BC60" i="10"/>
  <c r="BC68" i="10" s="1" a="1"/>
  <c r="BC68" i="10" s="1"/>
  <c r="AL22" i="10"/>
  <c r="AL23" i="10" s="1"/>
  <c r="AW60" i="10"/>
  <c r="AW68" i="10" s="1" a="1"/>
  <c r="AW68" i="10" s="1"/>
  <c r="AT46" i="10"/>
  <c r="S46" i="10"/>
  <c r="AQ60" i="10"/>
  <c r="AQ68" i="10" s="1" a="1"/>
  <c r="AQ68" i="10" s="1"/>
  <c r="AD31" i="10"/>
  <c r="M39" i="10"/>
  <c r="L46" i="10"/>
  <c r="O22" i="10"/>
  <c r="O23" i="10" s="1"/>
  <c r="R39" i="10"/>
  <c r="AP31" i="10"/>
  <c r="BK31" i="10"/>
  <c r="AE60" i="10"/>
  <c r="AE68" i="10" s="1" a="1"/>
  <c r="AE68" i="10" s="1"/>
  <c r="BC39" i="10"/>
  <c r="AU60" i="10"/>
  <c r="AU68" i="10" s="1" a="1"/>
  <c r="AU68" i="10" s="1"/>
  <c r="AY31" i="10"/>
  <c r="V39" i="10"/>
  <c r="AL39" i="10"/>
  <c r="P46" i="10"/>
  <c r="AT51" i="10"/>
  <c r="BA60" i="10"/>
  <c r="BA68" i="10" s="1" a="1"/>
  <c r="BA68" i="10" s="1"/>
  <c r="AQ39" i="10"/>
  <c r="AD51" i="10"/>
  <c r="AI31" i="10"/>
  <c r="T51" i="10"/>
  <c r="BG46" i="10"/>
  <c r="AO60" i="10"/>
  <c r="AO68" i="10" s="1" a="1"/>
  <c r="AO68" i="10" s="1"/>
  <c r="BK39" i="10"/>
  <c r="AE31" i="10"/>
  <c r="BJ31" i="10"/>
  <c r="N51" i="10"/>
  <c r="AR51" i="10"/>
  <c r="AV51" i="10"/>
  <c r="AT39" i="10"/>
  <c r="G39" i="10"/>
  <c r="AZ46" i="10"/>
  <c r="AF39" i="10"/>
  <c r="BG39" i="10"/>
  <c r="AO22" i="10"/>
  <c r="AO23" i="10" s="1"/>
  <c r="O51" i="10"/>
  <c r="BI60" i="10"/>
  <c r="BI68" i="10" s="1" a="1"/>
  <c r="BI68" i="10" s="1"/>
  <c r="AM39" i="10"/>
  <c r="BK46" i="10"/>
  <c r="BC31" i="10"/>
  <c r="BJ39" i="10"/>
  <c r="N60" i="10"/>
  <c r="N68" i="10" s="1" a="1"/>
  <c r="N68" i="10" s="1"/>
  <c r="AK22" i="7"/>
  <c r="AL22" i="7" s="1"/>
  <c r="AF22" i="7"/>
  <c r="AN22" i="7" a="1"/>
  <c r="AN22" i="7" s="1"/>
  <c r="N26" i="7" s="1"/>
  <c r="AI22" i="7"/>
  <c r="P31" i="10"/>
  <c r="AW31" i="10"/>
  <c r="S31" i="10"/>
  <c r="AQ22" i="10"/>
  <c r="AD46" i="10"/>
  <c r="AZ39" i="10"/>
  <c r="AZ22" i="10"/>
  <c r="AZ23" i="10" s="1"/>
  <c r="AI22" i="10"/>
  <c r="AI23" i="10" s="1"/>
  <c r="BD39" i="10"/>
  <c r="AF51" i="10"/>
  <c r="AH46" i="10"/>
  <c r="BG60" i="10"/>
  <c r="BG68" i="10" s="1" a="1"/>
  <c r="BG68" i="10" s="1"/>
  <c r="O31" i="10"/>
  <c r="AO31" i="10"/>
  <c r="F31" i="10"/>
  <c r="BI46" i="10"/>
  <c r="AS39" i="10"/>
  <c r="AG46" i="10"/>
  <c r="BF39" i="10"/>
  <c r="AX60" i="10"/>
  <c r="AX68" i="10" s="1" a="1"/>
  <c r="AX68" i="10" s="1"/>
  <c r="AE22" i="10"/>
  <c r="AE23" i="10" s="1"/>
  <c r="BC22" i="10"/>
  <c r="BC23" i="10" s="1"/>
  <c r="BB31" i="10"/>
  <c r="Q22" i="10"/>
  <c r="V51" i="10"/>
  <c r="N31" i="10"/>
  <c r="AR22" i="10"/>
  <c r="AR23" i="10" s="1"/>
  <c r="AW46" i="10"/>
  <c r="AV46" i="10"/>
  <c r="G60" i="10"/>
  <c r="G68" i="10" s="1" a="1"/>
  <c r="G68" i="10" s="1"/>
  <c r="AQ46" i="10"/>
  <c r="M60" i="10"/>
  <c r="M68" i="10" s="1" a="1"/>
  <c r="M68" i="10" s="1"/>
  <c r="BD51" i="10"/>
  <c r="AF31" i="10"/>
  <c r="U51" i="10"/>
  <c r="AN39" i="10"/>
  <c r="AO39" i="10"/>
  <c r="AO51" i="10"/>
  <c r="BI39" i="10"/>
  <c r="AS31" i="10"/>
  <c r="BH39" i="10"/>
  <c r="AG60" i="10"/>
  <c r="AG68" i="10" s="1" a="1"/>
  <c r="AG68" i="10" s="1"/>
  <c r="AX22" i="10"/>
  <c r="AX23" i="10" s="1"/>
  <c r="AE51" i="10"/>
  <c r="BC46" i="10"/>
  <c r="Q39" i="10"/>
  <c r="V60" i="10"/>
  <c r="V68" i="10" s="1" a="1"/>
  <c r="V68" i="10" s="1"/>
  <c r="AL46" i="10"/>
  <c r="AV39" i="10"/>
  <c r="AT60" i="10"/>
  <c r="AT68" i="10" s="1" a="1"/>
  <c r="AT68" i="10" s="1"/>
  <c r="S51" i="10"/>
  <c r="AQ31" i="10"/>
  <c r="M51" i="10"/>
  <c r="T31" i="10"/>
  <c r="L60" i="10"/>
  <c r="L68" i="10" s="1" a="1"/>
  <c r="L68" i="10" s="1"/>
  <c r="AH22" i="10"/>
  <c r="U60" i="10"/>
  <c r="U68" i="10" s="1" a="1"/>
  <c r="U68" i="10" s="1"/>
  <c r="O39" i="10"/>
  <c r="AO46" i="10"/>
  <c r="BI22" i="10"/>
  <c r="AS51" i="10"/>
  <c r="BF22" i="10"/>
  <c r="BH31" i="10"/>
  <c r="AG39" i="10"/>
  <c r="BF31" i="10"/>
  <c r="R22" i="10"/>
  <c r="R23" i="10" s="1"/>
  <c r="BK60" i="10"/>
  <c r="BK68" i="10" s="1" a="1"/>
  <c r="BK68" i="10" s="1"/>
  <c r="BB46" i="10"/>
  <c r="BE46" i="10"/>
  <c r="V22" i="10"/>
  <c r="N46" i="10"/>
  <c r="P22" i="10"/>
  <c r="P23" i="10" s="1"/>
  <c r="AW39" i="10"/>
  <c r="AV22" i="10"/>
  <c r="AV23" i="10" s="1"/>
  <c r="G31" i="10"/>
  <c r="M31" i="10"/>
  <c r="T22" i="10"/>
  <c r="T23" i="10" s="1"/>
  <c r="L39" i="10"/>
  <c r="AH31" i="10"/>
  <c r="U39" i="10"/>
  <c r="F60" i="10"/>
  <c r="F68" i="10" s="1" a="1"/>
  <c r="F68" i="10" s="1"/>
  <c r="AS60" i="10"/>
  <c r="AS68" i="10" s="1" a="1"/>
  <c r="AS68" i="10" s="1"/>
  <c r="BY71" i="12"/>
  <c r="BY118" i="12"/>
  <c r="AW26" i="13" a="1"/>
  <c r="AW26" i="13" s="1"/>
  <c r="AW79" i="13"/>
  <c r="BZ74" i="12" a="1"/>
  <c r="BZ74" i="12" s="1"/>
  <c r="BB60" i="10"/>
  <c r="BB68" i="10" s="1" a="1"/>
  <c r="BB68" i="10" s="1"/>
  <c r="BE22" i="10"/>
  <c r="BE23" i="10" s="1"/>
  <c r="Q31" i="10"/>
  <c r="BJ22" i="10"/>
  <c r="N22" i="10"/>
  <c r="N23" i="10" s="1"/>
  <c r="AN23" i="7" a="1"/>
  <c r="AN23" i="7" s="1"/>
  <c r="T26" i="7" s="1"/>
  <c r="AK23" i="7"/>
  <c r="AL23" i="7" s="1"/>
  <c r="AI23" i="7"/>
  <c r="AF23" i="7"/>
  <c r="AR46" i="10"/>
  <c r="AW51" i="10"/>
  <c r="BA31" i="10"/>
  <c r="S22" i="10"/>
  <c r="M22" i="10"/>
  <c r="M23" i="10" s="1"/>
  <c r="BD31" i="10"/>
  <c r="L31" i="10"/>
  <c r="AH39" i="10"/>
  <c r="U31" i="10"/>
  <c r="AN60" i="10"/>
  <c r="AN68" i="10" s="1" a="1"/>
  <c r="AN68" i="10" s="1"/>
  <c r="BI31" i="10"/>
  <c r="AS22" i="10"/>
  <c r="AS23" i="10" s="1"/>
  <c r="BH22" i="10"/>
  <c r="BH23" i="10" s="1"/>
  <c r="AG31" i="10"/>
  <c r="BF60" i="10"/>
  <c r="BF68" i="10" s="1" a="1"/>
  <c r="BF68" i="10" s="1"/>
  <c r="BM18" i="10" a="1"/>
  <c r="BM18" i="10" s="1"/>
  <c r="W15" i="10" a="1"/>
  <c r="W15" i="10" s="1"/>
  <c r="W16" i="10" s="1"/>
  <c r="BM49" i="10" a="1"/>
  <c r="BM49" i="10" s="1"/>
  <c r="H41" i="10" a="1"/>
  <c r="H41" i="10" s="1"/>
  <c r="BM12" i="10" a="1"/>
  <c r="BM12" i="10" s="1"/>
  <c r="BM15" i="10" a="1"/>
  <c r="BM15" i="10" s="1"/>
  <c r="BM16" i="10" s="1"/>
  <c r="W12" i="10" a="1"/>
  <c r="W12" i="10" s="1"/>
  <c r="BM54" i="10" a="1"/>
  <c r="BM54" i="10" s="1"/>
  <c r="BM25" i="10" a="1"/>
  <c r="BM25" i="10" s="1"/>
  <c r="BM41" i="10" a="1"/>
  <c r="BM41" i="10" s="1"/>
  <c r="H49" i="10" a="1"/>
  <c r="H49" i="10" s="1"/>
  <c r="H18" i="10" a="1"/>
  <c r="H18" i="10" s="1"/>
  <c r="BM37" i="10" a="1"/>
  <c r="BM37" i="10" s="1"/>
  <c r="H37" i="10" a="1"/>
  <c r="H37" i="10" s="1"/>
  <c r="W41" i="10" a="1"/>
  <c r="W41" i="10" s="1"/>
  <c r="H54" i="10" a="1"/>
  <c r="H54" i="10" s="1"/>
  <c r="H12" i="10" a="1"/>
  <c r="H12" i="10" s="1"/>
  <c r="W25" i="10" a="1"/>
  <c r="W25" i="10" s="1"/>
  <c r="W49" i="10" a="1"/>
  <c r="W49" i="10" s="1"/>
  <c r="W37" i="10" a="1"/>
  <c r="W37" i="10" s="1"/>
  <c r="H15" i="10" a="1"/>
  <c r="H15" i="10" s="1"/>
  <c r="H16" i="10" s="1"/>
  <c r="W18" i="10" a="1"/>
  <c r="W18" i="10" s="1"/>
  <c r="W54" i="10" a="1"/>
  <c r="W54" i="10" s="1"/>
  <c r="H25" i="10" a="1"/>
  <c r="H25" i="10" s="1"/>
  <c r="BM13" i="10" a="1"/>
  <c r="BM13" i="10" s="1"/>
  <c r="W13" i="10" a="1"/>
  <c r="W13" i="10" s="1"/>
  <c r="BM20" i="10" a="1"/>
  <c r="BM20" i="10" s="1"/>
  <c r="W29" i="10" a="1"/>
  <c r="W29" i="10" s="1"/>
  <c r="W55" i="10" a="1"/>
  <c r="W55" i="10" s="1"/>
  <c r="BM56" i="10" a="1"/>
  <c r="BM56" i="10" s="1"/>
  <c r="BM44" i="10" a="1"/>
  <c r="BM44" i="10" s="1"/>
  <c r="BM26" i="10" a="1"/>
  <c r="BM26" i="10" s="1"/>
  <c r="AV162" i="13"/>
  <c r="BM55" i="10" a="1"/>
  <c r="BM55" i="10" s="1"/>
  <c r="BM50" i="10" a="1"/>
  <c r="BM50" i="10" s="1"/>
  <c r="W42" i="10" a="1"/>
  <c r="W42" i="10" s="1"/>
  <c r="H38" i="10" a="1"/>
  <c r="H38" i="10" s="1"/>
  <c r="H56" i="10" a="1"/>
  <c r="H56" i="10" s="1"/>
  <c r="BM29" i="10" a="1"/>
  <c r="BM29" i="10" s="1"/>
  <c r="W27" i="10" a="1"/>
  <c r="W27" i="10" s="1"/>
  <c r="H55" i="10" a="1"/>
  <c r="H55" i="10" s="1"/>
  <c r="BM42" i="10" a="1"/>
  <c r="BM42" i="10" s="1"/>
  <c r="W19" i="10" a="1"/>
  <c r="W19" i="10" s="1"/>
  <c r="H19" i="10" a="1"/>
  <c r="H19" i="10" s="1"/>
  <c r="W28" i="10" a="1"/>
  <c r="W28" i="10" s="1"/>
  <c r="BM19" i="10" a="1"/>
  <c r="BM19" i="10" s="1"/>
  <c r="W57" i="10" a="1"/>
  <c r="W57" i="10" s="1"/>
  <c r="H21" i="10" a="1"/>
  <c r="H21" i="10" s="1"/>
  <c r="BM21" i="10" a="1"/>
  <c r="BM21" i="10" s="1"/>
  <c r="BM58" i="10" a="1"/>
  <c r="BM58" i="10" s="1"/>
  <c r="H50" i="10" a="1"/>
  <c r="H50" i="10" s="1"/>
  <c r="H43" i="10" a="1"/>
  <c r="H43" i="10" s="1"/>
  <c r="W20" i="10" a="1"/>
  <c r="W20" i="10" s="1"/>
  <c r="BM27" i="10" a="1"/>
  <c r="BM27" i="10" s="1"/>
  <c r="BM30" i="10" a="1"/>
  <c r="BM30" i="10" s="1"/>
  <c r="W30" i="10" a="1"/>
  <c r="W30" i="10" s="1"/>
  <c r="H28" i="10" a="1"/>
  <c r="H28" i="10" s="1"/>
  <c r="W56" i="10" a="1"/>
  <c r="W56" i="10" s="1"/>
  <c r="H59" i="10" a="1"/>
  <c r="H59" i="10" s="1"/>
  <c r="W21" i="10" a="1"/>
  <c r="W21" i="10" s="1"/>
  <c r="BM28" i="10" a="1"/>
  <c r="BM28" i="10" s="1"/>
  <c r="H13" i="10" a="1"/>
  <c r="H13" i="10" s="1"/>
  <c r="W50" i="10" a="1"/>
  <c r="W50" i="10" s="1"/>
  <c r="W26" i="10" a="1"/>
  <c r="W26" i="10" s="1"/>
  <c r="BM57" i="10" a="1"/>
  <c r="BM57" i="10" s="1"/>
  <c r="W43" i="10" a="1"/>
  <c r="W43" i="10" s="1"/>
  <c r="W45" i="10" a="1"/>
  <c r="W45" i="10" s="1"/>
  <c r="H42" i="10" a="1"/>
  <c r="H42" i="10" s="1"/>
  <c r="W59" i="10" a="1"/>
  <c r="W59" i="10" s="1"/>
  <c r="H44" i="10" a="1"/>
  <c r="H44" i="10" s="1"/>
  <c r="BM43" i="10" a="1"/>
  <c r="BM43" i="10" s="1"/>
  <c r="H58" i="10" a="1"/>
  <c r="H58" i="10" s="1"/>
  <c r="BM38" i="10" a="1"/>
  <c r="BM38" i="10" s="1"/>
  <c r="BM59" i="10" a="1"/>
  <c r="BM59" i="10" s="1"/>
  <c r="H29" i="10" a="1"/>
  <c r="H29" i="10" s="1"/>
  <c r="H27" i="10" a="1"/>
  <c r="H27" i="10" s="1"/>
  <c r="H20" i="10" a="1"/>
  <c r="H20" i="10" s="1"/>
  <c r="H57" i="10" a="1"/>
  <c r="H57" i="10" s="1"/>
  <c r="H30" i="10" a="1"/>
  <c r="H30" i="10" s="1"/>
  <c r="W58" i="10" a="1"/>
  <c r="W58" i="10" s="1"/>
  <c r="H45" i="10" a="1"/>
  <c r="H45" i="10" s="1"/>
  <c r="W38" i="10" a="1"/>
  <c r="W38" i="10" s="1"/>
  <c r="H26" i="10" a="1"/>
  <c r="H26" i="10" s="1"/>
  <c r="BM45" i="10" a="1"/>
  <c r="BM45" i="10" s="1"/>
  <c r="W44" i="10" a="1"/>
  <c r="W44" i="10" s="1"/>
  <c r="AV165" i="13"/>
  <c r="BB51" i="10"/>
  <c r="BJ46" i="10"/>
  <c r="AJ31" i="10"/>
  <c r="BL39" i="10"/>
  <c r="BA22" i="10"/>
  <c r="BA23" i="10" s="1"/>
  <c r="AI39" i="10"/>
  <c r="T46" i="10"/>
  <c r="BG31" i="10"/>
  <c r="AK22" i="10"/>
  <c r="AK23" i="10" s="1"/>
  <c r="AN22" i="10"/>
  <c r="F51" i="10"/>
  <c r="BH51" i="10"/>
  <c r="AG22" i="10"/>
  <c r="AG23" i="10" s="1"/>
  <c r="R46" i="10"/>
  <c r="AV156" i="13"/>
  <c r="AV153" i="13"/>
  <c r="BB39" i="10"/>
  <c r="BE51" i="10"/>
  <c r="Q46" i="10"/>
  <c r="V31" i="10"/>
  <c r="BL60" i="10"/>
  <c r="BL68" i="10" s="1" a="1"/>
  <c r="BL68" i="10" s="1"/>
  <c r="P51" i="10"/>
  <c r="AV31" i="10"/>
  <c r="S39" i="10"/>
  <c r="L51" i="10"/>
  <c r="AH60" i="10"/>
  <c r="AH68" i="10" s="1" a="1"/>
  <c r="AH68" i="10" s="1"/>
  <c r="U46" i="10"/>
  <c r="AK39" i="10"/>
  <c r="AN31" i="10"/>
  <c r="AS46" i="10"/>
  <c r="AX39" i="10"/>
  <c r="BE60" i="10"/>
  <c r="BE68" i="10" s="1" a="1"/>
  <c r="BE68" i="10" s="1"/>
  <c r="AU22" i="10"/>
  <c r="AU23" i="10" s="1"/>
  <c r="V46" i="10"/>
  <c r="AJ51" i="10"/>
  <c r="BL22" i="10"/>
  <c r="P39" i="10"/>
  <c r="BA51" i="10"/>
  <c r="G51" i="10"/>
  <c r="M46" i="10"/>
  <c r="BD60" i="10"/>
  <c r="BD68" i="10" s="1" a="1"/>
  <c r="BD68" i="10" s="1"/>
  <c r="AK60" i="10"/>
  <c r="AK68" i="10" s="1" a="1"/>
  <c r="AK68" i="10" s="1"/>
  <c r="AN46" i="10"/>
  <c r="F46" i="10"/>
  <c r="BH60" i="10"/>
  <c r="BH68" i="10" s="1" a="1"/>
  <c r="BH68" i="10" s="1"/>
  <c r="AX46" i="10"/>
  <c r="AP46" i="10"/>
  <c r="AP47" i="10" s="1"/>
  <c r="BE39" i="10"/>
  <c r="BJ51" i="10"/>
  <c r="AJ60" i="10"/>
  <c r="AJ68" i="10" s="1" a="1"/>
  <c r="AJ68" i="10" s="1"/>
  <c r="BL51" i="10"/>
  <c r="AR39" i="10"/>
  <c r="BA39" i="10"/>
  <c r="AI51" i="10"/>
  <c r="T39" i="10"/>
  <c r="AF22" i="10"/>
  <c r="U22" i="10"/>
  <c r="U23" i="10" s="1"/>
  <c r="AK51" i="10"/>
  <c r="F22" i="10"/>
  <c r="F23" i="10" s="1"/>
  <c r="AM60" i="10"/>
  <c r="AM68" i="10" s="1" a="1"/>
  <c r="AM68" i="10" s="1"/>
  <c r="BE31" i="10"/>
  <c r="AU31" i="10"/>
  <c r="BJ60" i="10"/>
  <c r="BJ68" i="10" s="1" a="1"/>
  <c r="BJ68" i="10" s="1"/>
  <c r="AL31" i="10"/>
  <c r="BL31" i="10"/>
  <c r="G46" i="10"/>
  <c r="BD22" i="10"/>
  <c r="BD23" i="10" s="1"/>
  <c r="L22" i="10"/>
  <c r="BG22" i="10"/>
  <c r="BG23" i="10" s="1"/>
  <c r="O60" i="10"/>
  <c r="O68" i="10" s="1" a="1"/>
  <c r="O68" i="10" s="1"/>
  <c r="BH47" i="10" l="1"/>
  <c r="R32" i="10"/>
  <c r="AS47" i="10"/>
  <c r="AM32" i="10"/>
  <c r="BL47" i="10"/>
  <c r="BL52" i="10" s="1"/>
  <c r="BL67" i="10" s="1" a="1"/>
  <c r="BL67" i="10" s="1"/>
  <c r="N47" i="10"/>
  <c r="N52" i="10" s="1"/>
  <c r="N67" i="10" s="1" a="1"/>
  <c r="N67" i="10" s="1"/>
  <c r="BB47" i="10"/>
  <c r="BB52" i="10" s="1"/>
  <c r="V47" i="10"/>
  <c r="V52" i="10" s="1"/>
  <c r="V67" i="10" s="1" a="1"/>
  <c r="V67" i="10" s="1"/>
  <c r="AY32" i="10"/>
  <c r="V32" i="7"/>
  <c r="P32" i="7"/>
  <c r="AP32" i="10"/>
  <c r="AI47" i="10"/>
  <c r="AI52" i="10" s="1"/>
  <c r="AI67" i="10" s="1" a="1"/>
  <c r="AI67" i="10" s="1"/>
  <c r="S47" i="10"/>
  <c r="S52" i="10" s="1"/>
  <c r="S67" i="10" s="1" a="1"/>
  <c r="S67" i="10" s="1"/>
  <c r="AR47" i="10"/>
  <c r="AR52" i="10" s="1"/>
  <c r="AR67" i="10" s="1" a="1"/>
  <c r="AR67" i="10" s="1"/>
  <c r="BE47" i="10"/>
  <c r="BE52" i="10" s="1"/>
  <c r="BE67" i="10" s="1" a="1"/>
  <c r="BE67" i="10" s="1"/>
  <c r="AW47" i="10"/>
  <c r="AJ47" i="10"/>
  <c r="AJ52" i="10" s="1"/>
  <c r="AJ67" i="10" s="1" a="1"/>
  <c r="AJ67" i="10" s="1"/>
  <c r="AD23" i="10"/>
  <c r="AD32" i="10" s="1"/>
  <c r="AJ32" i="10"/>
  <c r="AT32" i="10"/>
  <c r="AU47" i="10"/>
  <c r="AU52" i="10" s="1"/>
  <c r="AU67" i="10" s="1" a="1"/>
  <c r="AU67" i="10" s="1"/>
  <c r="AK47" i="10"/>
  <c r="AK52" i="10" s="1"/>
  <c r="AK67" i="10" s="1" a="1"/>
  <c r="AK67" i="10" s="1"/>
  <c r="AN47" i="10"/>
  <c r="AN52" i="10" s="1"/>
  <c r="AN67" i="10" s="1" a="1"/>
  <c r="AN67" i="10" s="1"/>
  <c r="O47" i="10"/>
  <c r="O52" i="10" s="1"/>
  <c r="O67" i="10" s="1" a="1"/>
  <c r="O67" i="10" s="1"/>
  <c r="R47" i="10"/>
  <c r="R52" i="10" s="1"/>
  <c r="R67" i="10" s="1" a="1"/>
  <c r="R67" i="10" s="1"/>
  <c r="AE32" i="10"/>
  <c r="BB32" i="10"/>
  <c r="G32" i="10"/>
  <c r="BA47" i="10"/>
  <c r="BA52" i="10" s="1"/>
  <c r="BA67" i="10" s="1" a="1"/>
  <c r="BA67" i="10" s="1"/>
  <c r="BK32" i="10"/>
  <c r="AX32" i="10"/>
  <c r="BF23" i="10"/>
  <c r="BF32" i="10" s="1"/>
  <c r="M32" i="10"/>
  <c r="BC47" i="10"/>
  <c r="BC52" i="10" s="1"/>
  <c r="AW32" i="10"/>
  <c r="L47" i="10"/>
  <c r="L52" i="10" s="1"/>
  <c r="L67" i="10" s="1" a="1"/>
  <c r="L67" i="10" s="1"/>
  <c r="AG47" i="10"/>
  <c r="AG52" i="10" s="1"/>
  <c r="AG67" i="10" s="1" a="1"/>
  <c r="AG67" i="10" s="1"/>
  <c r="U32" i="10"/>
  <c r="O32" i="10"/>
  <c r="AD47" i="10"/>
  <c r="AD52" i="10" s="1"/>
  <c r="AO32" i="10"/>
  <c r="BH32" i="10"/>
  <c r="AS32" i="10"/>
  <c r="AR32" i="10"/>
  <c r="AZ32" i="10"/>
  <c r="AY47" i="10"/>
  <c r="F32" i="10"/>
  <c r="BJ47" i="10"/>
  <c r="BJ52" i="10" s="1"/>
  <c r="BJ67" i="10" s="1" a="1"/>
  <c r="BJ67" i="10" s="1"/>
  <c r="AL32" i="10"/>
  <c r="AG32" i="10"/>
  <c r="V23" i="10"/>
  <c r="V32" i="10" s="1"/>
  <c r="N32" i="10"/>
  <c r="BD47" i="10"/>
  <c r="BD52" i="10" s="1"/>
  <c r="BD32" i="10"/>
  <c r="AI32" i="10"/>
  <c r="AL47" i="10"/>
  <c r="AL52" i="10" s="1"/>
  <c r="AL67" i="10" s="1" a="1"/>
  <c r="AL67" i="10" s="1"/>
  <c r="BC32" i="10"/>
  <c r="AE47" i="10"/>
  <c r="AE52" i="10" s="1"/>
  <c r="AE67" i="10" s="1" a="1"/>
  <c r="AE67" i="10" s="1"/>
  <c r="BA32" i="10"/>
  <c r="AV32" i="10"/>
  <c r="BE32" i="10"/>
  <c r="S23" i="10"/>
  <c r="S32" i="10" s="1"/>
  <c r="AH23" i="10"/>
  <c r="AH32" i="10" s="1"/>
  <c r="AQ22" i="7" a="1"/>
  <c r="AQ22" i="7" s="1"/>
  <c r="Q32" i="7" s="1"/>
  <c r="AM22" i="7"/>
  <c r="R32" i="7" s="1"/>
  <c r="W39" i="10"/>
  <c r="H46" i="10"/>
  <c r="U47" i="10"/>
  <c r="AV47" i="10"/>
  <c r="AU32" i="10"/>
  <c r="Q23" i="10"/>
  <c r="Q32" i="10" s="1"/>
  <c r="W51" i="10"/>
  <c r="BM51" i="10"/>
  <c r="P32" i="10"/>
  <c r="W31" i="10"/>
  <c r="BH52" i="10"/>
  <c r="BH67" i="10" s="1" a="1"/>
  <c r="BH67" i="10" s="1"/>
  <c r="AK32" i="10"/>
  <c r="AF23" i="10"/>
  <c r="AF32" i="10" s="1"/>
  <c r="F47" i="10"/>
  <c r="F52" i="10" s="1"/>
  <c r="F67" i="10" s="1" a="1"/>
  <c r="F67" i="10" s="1"/>
  <c r="AQ23" i="10"/>
  <c r="AQ32" i="10" s="1"/>
  <c r="P47" i="10"/>
  <c r="BL23" i="10"/>
  <c r="BL32" i="10" s="1"/>
  <c r="BM22" i="10"/>
  <c r="BM23" i="10" s="1"/>
  <c r="BK47" i="10"/>
  <c r="BK52" i="10" s="1"/>
  <c r="T32" i="10"/>
  <c r="H60" i="10"/>
  <c r="H68" i="10" s="1" a="1"/>
  <c r="H68" i="10" s="1"/>
  <c r="P31" i="7"/>
  <c r="AP22" i="7" a="1"/>
  <c r="AP22" i="7" s="1"/>
  <c r="Q31" i="7" s="1"/>
  <c r="AJ22" i="7"/>
  <c r="R31" i="7" s="1"/>
  <c r="G47" i="10"/>
  <c r="G52" i="10" s="1"/>
  <c r="G67" i="10" s="1" a="1"/>
  <c r="G67" i="10" s="1"/>
  <c r="BJ23" i="10"/>
  <c r="BJ32" i="10" s="1"/>
  <c r="BZ118" i="12"/>
  <c r="BZ71" i="12"/>
  <c r="AX26" i="13" a="1"/>
  <c r="AX26" i="13" s="1"/>
  <c r="AX79" i="13"/>
  <c r="CA74" i="12" a="1"/>
  <c r="CA74" i="12" s="1"/>
  <c r="AN23" i="10"/>
  <c r="AN32" i="10" s="1"/>
  <c r="AZ47" i="10"/>
  <c r="AZ52" i="10" s="1"/>
  <c r="AZ67" i="10" s="1" a="1"/>
  <c r="AZ67" i="10" s="1"/>
  <c r="AM47" i="10"/>
  <c r="M47" i="10"/>
  <c r="M52" i="10" s="1"/>
  <c r="M67" i="10" s="1" a="1"/>
  <c r="M67" i="10" s="1"/>
  <c r="T47" i="10"/>
  <c r="AX47" i="10"/>
  <c r="AX52" i="10" s="1"/>
  <c r="H39" i="10"/>
  <c r="BN15" i="10" a="1"/>
  <c r="BN15" i="10" s="1"/>
  <c r="BN16" i="10" s="1"/>
  <c r="BN25" i="10" a="1"/>
  <c r="BN25" i="10" s="1"/>
  <c r="BN54" i="10" a="1"/>
  <c r="BN54" i="10" s="1"/>
  <c r="BN12" i="10" a="1"/>
  <c r="BN12" i="10" s="1"/>
  <c r="BN18" i="10" a="1"/>
  <c r="BN18" i="10" s="1"/>
  <c r="BN41" i="10" a="1"/>
  <c r="BN41" i="10" s="1"/>
  <c r="BN49" i="10" a="1"/>
  <c r="BN49" i="10" s="1"/>
  <c r="BN37" i="10" a="1"/>
  <c r="BN37" i="10" s="1"/>
  <c r="BN30" i="10" a="1"/>
  <c r="BN30" i="10" s="1"/>
  <c r="BN19" i="10" a="1"/>
  <c r="BN19" i="10" s="1"/>
  <c r="BN27" i="10" a="1"/>
  <c r="BN27" i="10" s="1"/>
  <c r="BN42" i="10" a="1"/>
  <c r="BN42" i="10" s="1"/>
  <c r="BN43" i="10" a="1"/>
  <c r="BN43" i="10" s="1"/>
  <c r="BN45" i="10" a="1"/>
  <c r="BN45" i="10" s="1"/>
  <c r="BN29" i="10" a="1"/>
  <c r="BN29" i="10" s="1"/>
  <c r="BN55" i="10" a="1"/>
  <c r="BN55" i="10" s="1"/>
  <c r="BN57" i="10" a="1"/>
  <c r="BN57" i="10" s="1"/>
  <c r="BN21" i="10" a="1"/>
  <c r="BN21" i="10" s="1"/>
  <c r="BN20" i="10" a="1"/>
  <c r="BN20" i="10" s="1"/>
  <c r="AW162" i="13"/>
  <c r="AW165" i="13"/>
  <c r="BN44" i="10" a="1"/>
  <c r="BN44" i="10" s="1"/>
  <c r="BN28" i="10" a="1"/>
  <c r="BN28" i="10" s="1"/>
  <c r="BN56" i="10" a="1"/>
  <c r="BN56" i="10" s="1"/>
  <c r="BN38" i="10" a="1"/>
  <c r="BN38" i="10" s="1"/>
  <c r="BN13" i="10" a="1"/>
  <c r="BN13" i="10" s="1"/>
  <c r="BN26" i="10" a="1"/>
  <c r="BN26" i="10" s="1"/>
  <c r="BN50" i="10" a="1"/>
  <c r="BN50" i="10" s="1"/>
  <c r="BN59" i="10" a="1"/>
  <c r="BN59" i="10" s="1"/>
  <c r="BN58" i="10" a="1"/>
  <c r="BN58" i="10" s="1"/>
  <c r="BF47" i="10"/>
  <c r="BF52" i="10" s="1"/>
  <c r="BF67" i="10" s="1" a="1"/>
  <c r="BF67" i="10" s="1"/>
  <c r="L23" i="10"/>
  <c r="L32" i="10" s="1"/>
  <c r="BM39" i="10"/>
  <c r="AW156" i="13"/>
  <c r="AW153" i="13"/>
  <c r="BG32" i="10"/>
  <c r="AG22" i="7"/>
  <c r="R30" i="7" s="1"/>
  <c r="AO22" i="7" a="1"/>
  <c r="AO22" i="7" s="1"/>
  <c r="Q30" i="7" s="1"/>
  <c r="P30" i="7"/>
  <c r="AQ47" i="10"/>
  <c r="AQ52" i="10" s="1"/>
  <c r="H22" i="10"/>
  <c r="AH47" i="10"/>
  <c r="H51" i="10"/>
  <c r="Q47" i="10"/>
  <c r="Q52" i="10" s="1"/>
  <c r="Q67" i="10" s="1" a="1"/>
  <c r="Q67" i="10" s="1"/>
  <c r="BI47" i="10"/>
  <c r="BI52" i="10" s="1"/>
  <c r="AT47" i="10"/>
  <c r="AT52" i="10" s="1"/>
  <c r="BM46" i="10"/>
  <c r="AG23" i="7"/>
  <c r="X30" i="7" s="1"/>
  <c r="AO23" i="7" a="1"/>
  <c r="AO23" i="7" s="1"/>
  <c r="W30" i="7" s="1"/>
  <c r="V30" i="7"/>
  <c r="AS52" i="10"/>
  <c r="AS67" i="10" s="1" a="1"/>
  <c r="AS67" i="10" s="1"/>
  <c r="AP52" i="10"/>
  <c r="AP67" i="10" s="1" a="1"/>
  <c r="AP67" i="10" s="1"/>
  <c r="AA85" i="30"/>
  <c r="BU87" i="30"/>
  <c r="BM31" i="10"/>
  <c r="AM23" i="7"/>
  <c r="X32" i="7" s="1"/>
  <c r="AQ23" i="7" a="1"/>
  <c r="AQ23" i="7" s="1"/>
  <c r="W32" i="7" s="1"/>
  <c r="BI23" i="10"/>
  <c r="BI32" i="10" s="1"/>
  <c r="AF47" i="10"/>
  <c r="AF52" i="10" s="1"/>
  <c r="AF67" i="10" s="1" a="1"/>
  <c r="AF67" i="10" s="1"/>
  <c r="H31" i="10"/>
  <c r="BM60" i="10"/>
  <c r="BM68" i="10" s="1" a="1"/>
  <c r="BM68" i="10" s="1"/>
  <c r="AP23" i="7" a="1"/>
  <c r="AP23" i="7" s="1"/>
  <c r="W31" i="7" s="1"/>
  <c r="V31" i="7"/>
  <c r="AJ23" i="7"/>
  <c r="X31" i="7" s="1"/>
  <c r="AO47" i="10"/>
  <c r="AO52" i="10" s="1"/>
  <c r="AO67" i="10" s="1" a="1"/>
  <c r="AO67" i="10" s="1"/>
  <c r="W46" i="10"/>
  <c r="W60" i="10"/>
  <c r="W68" i="10" s="1" a="1"/>
  <c r="W68" i="10" s="1"/>
  <c r="BG47" i="10"/>
  <c r="W22" i="10"/>
  <c r="W23" i="10" s="1"/>
  <c r="AR61" i="10" l="1"/>
  <c r="AR69" i="10" s="1"/>
  <c r="BB61" i="10"/>
  <c r="BB69" i="10" s="1"/>
  <c r="BB67" i="10" a="1"/>
  <c r="BB67" i="10" s="1"/>
  <c r="AW52" i="10"/>
  <c r="AW67" i="10" s="1" a="1"/>
  <c r="AW67" i="10" s="1"/>
  <c r="V61" i="10"/>
  <c r="W47" i="10"/>
  <c r="N61" i="10"/>
  <c r="N69" i="10" s="1"/>
  <c r="W32" i="10"/>
  <c r="H47" i="10"/>
  <c r="H52" i="10" s="1"/>
  <c r="H67" i="10" s="1" a="1"/>
  <c r="H67" i="10" s="1"/>
  <c r="AJ61" i="10"/>
  <c r="AJ69" i="10" s="1"/>
  <c r="AD67" i="10" a="1"/>
  <c r="AD67" i="10" s="1"/>
  <c r="AD61" i="10"/>
  <c r="AD69" i="10" s="1"/>
  <c r="BC67" i="10" a="1"/>
  <c r="BC67" i="10" s="1"/>
  <c r="BC61" i="10"/>
  <c r="BC69" i="10" s="1"/>
  <c r="BN46" i="10"/>
  <c r="AG61" i="10"/>
  <c r="AG69" i="10" s="1"/>
  <c r="AI61" i="10"/>
  <c r="AI69" i="10" s="1"/>
  <c r="BD61" i="10"/>
  <c r="BD69" i="10" s="1"/>
  <c r="BD67" i="10" a="1"/>
  <c r="BD67" i="10" s="1"/>
  <c r="BN22" i="10"/>
  <c r="BN23" i="10" s="1"/>
  <c r="BM32" i="10"/>
  <c r="BM47" i="10"/>
  <c r="BM52" i="10" s="1"/>
  <c r="BM67" i="10" s="1" a="1"/>
  <c r="BM67" i="10" s="1"/>
  <c r="W52" i="10"/>
  <c r="W67" i="10" s="1" a="1"/>
  <c r="W67" i="10" s="1"/>
  <c r="AY52" i="10"/>
  <c r="AY67" i="10" s="1" a="1"/>
  <c r="AY67" i="10" s="1"/>
  <c r="V69" i="10"/>
  <c r="BA61" i="10"/>
  <c r="BA69" i="10" s="1"/>
  <c r="BF61" i="10"/>
  <c r="BF69" i="10" s="1"/>
  <c r="Q61" i="10"/>
  <c r="Q69" i="10" s="1"/>
  <c r="P52" i="10"/>
  <c r="P67" i="10" s="1" a="1"/>
  <c r="P67" i="10" s="1"/>
  <c r="BJ61" i="10"/>
  <c r="BJ69" i="10" s="1"/>
  <c r="AU61" i="10"/>
  <c r="AU69" i="10" s="1"/>
  <c r="BN51" i="10"/>
  <c r="AE61" i="10"/>
  <c r="AE69" i="10" s="1"/>
  <c r="S61" i="10"/>
  <c r="S69" i="10" s="1"/>
  <c r="AQ67" i="10" a="1"/>
  <c r="AQ67" i="10" s="1"/>
  <c r="AQ61" i="10"/>
  <c r="AQ69" i="10" s="1"/>
  <c r="BK67" i="10" a="1"/>
  <c r="BK67" i="10" s="1"/>
  <c r="BK61" i="10"/>
  <c r="BK69" i="10" s="1"/>
  <c r="AX67" i="10" a="1"/>
  <c r="AX67" i="10" s="1"/>
  <c r="AX61" i="10"/>
  <c r="AX69" i="10" s="1"/>
  <c r="AT67" i="10" a="1"/>
  <c r="AT67" i="10" s="1"/>
  <c r="AT61" i="10"/>
  <c r="AT69" i="10" s="1"/>
  <c r="BI67" i="10" a="1"/>
  <c r="BI67" i="10" s="1"/>
  <c r="BI61" i="10"/>
  <c r="BI69" i="10" s="1"/>
  <c r="L61" i="10"/>
  <c r="L69" i="10" s="1"/>
  <c r="AO61" i="10"/>
  <c r="AO69" i="10" s="1"/>
  <c r="AS61" i="10"/>
  <c r="AS69" i="10" s="1"/>
  <c r="BN39" i="10"/>
  <c r="AK61" i="10"/>
  <c r="AK69" i="10" s="1"/>
  <c r="AH52" i="10"/>
  <c r="AH67" i="10" s="1" a="1"/>
  <c r="AH67" i="10" s="1"/>
  <c r="T52" i="10"/>
  <c r="T67" i="10" s="1" a="1"/>
  <c r="T67" i="10" s="1"/>
  <c r="BE61" i="10"/>
  <c r="BE69" i="10" s="1"/>
  <c r="AF61" i="10"/>
  <c r="AF69" i="10" s="1"/>
  <c r="AH74" i="12"/>
  <c r="AH71" i="12" s="1"/>
  <c r="CA71" i="12"/>
  <c r="AY26" i="13" a="1"/>
  <c r="AY26" i="13" s="1"/>
  <c r="CA118" i="12"/>
  <c r="AY79" i="13"/>
  <c r="CB74" i="12" a="1"/>
  <c r="CB74" i="12" s="1"/>
  <c r="AV52" i="10"/>
  <c r="AV67" i="10" s="1" a="1"/>
  <c r="AV67" i="10" s="1"/>
  <c r="G61" i="10"/>
  <c r="G69" i="10" s="1"/>
  <c r="AZ61" i="10"/>
  <c r="AZ69" i="10" s="1"/>
  <c r="BO15" i="10" a="1"/>
  <c r="BO15" i="10" s="1"/>
  <c r="BO16" i="10" s="1"/>
  <c r="BO12" i="10" a="1"/>
  <c r="BO12" i="10" s="1"/>
  <c r="BO25" i="10" a="1"/>
  <c r="BO25" i="10" s="1"/>
  <c r="BO18" i="10" a="1"/>
  <c r="BO18" i="10" s="1"/>
  <c r="BO41" i="10" a="1"/>
  <c r="BO41" i="10" s="1"/>
  <c r="BO49" i="10" a="1"/>
  <c r="BO49" i="10" s="1"/>
  <c r="BO54" i="10" a="1"/>
  <c r="BO54" i="10" s="1"/>
  <c r="BO37" i="10" a="1"/>
  <c r="BO37" i="10" s="1"/>
  <c r="BO55" i="10" a="1"/>
  <c r="BO55" i="10" s="1"/>
  <c r="BO44" i="10" a="1"/>
  <c r="BO44" i="10" s="1"/>
  <c r="AX162" i="13"/>
  <c r="BO19" i="10" a="1"/>
  <c r="BO19" i="10" s="1"/>
  <c r="BO50" i="10" a="1"/>
  <c r="BO50" i="10" s="1"/>
  <c r="BO43" i="10" a="1"/>
  <c r="BO43" i="10" s="1"/>
  <c r="BO27" i="10" a="1"/>
  <c r="BO27" i="10" s="1"/>
  <c r="BO56" i="10" a="1"/>
  <c r="BO56" i="10" s="1"/>
  <c r="BO29" i="10" a="1"/>
  <c r="BO29" i="10" s="1"/>
  <c r="BO26" i="10" a="1"/>
  <c r="BO26" i="10" s="1"/>
  <c r="BO45" i="10" a="1"/>
  <c r="BO45" i="10" s="1"/>
  <c r="BO57" i="10" a="1"/>
  <c r="BO57" i="10" s="1"/>
  <c r="BO20" i="10" a="1"/>
  <c r="BO20" i="10" s="1"/>
  <c r="BO30" i="10" a="1"/>
  <c r="BO30" i="10" s="1"/>
  <c r="BO59" i="10" a="1"/>
  <c r="BO59" i="10" s="1"/>
  <c r="BO38" i="10" a="1"/>
  <c r="BO38" i="10" s="1"/>
  <c r="BO58" i="10" a="1"/>
  <c r="BO58" i="10" s="1"/>
  <c r="AX165" i="13"/>
  <c r="BO13" i="10" a="1"/>
  <c r="BO13" i="10" s="1"/>
  <c r="BO28" i="10" a="1"/>
  <c r="BO28" i="10" s="1"/>
  <c r="BO42" i="10" a="1"/>
  <c r="BO42" i="10" s="1"/>
  <c r="BO21" i="10" a="1"/>
  <c r="BO21" i="10" s="1"/>
  <c r="BG52" i="10"/>
  <c r="BG67" i="10" s="1" a="1"/>
  <c r="BG67" i="10" s="1"/>
  <c r="BN60" i="10"/>
  <c r="BN68" i="10" s="1" a="1"/>
  <c r="BN68" i="10" s="1"/>
  <c r="AX156" i="13"/>
  <c r="AX153" i="13"/>
  <c r="O61" i="10"/>
  <c r="O69" i="10" s="1"/>
  <c r="AL61" i="10"/>
  <c r="AL69" i="10" s="1"/>
  <c r="BN31" i="10"/>
  <c r="AP61" i="10"/>
  <c r="AP69" i="10" s="1"/>
  <c r="H23" i="10"/>
  <c r="H32" i="10" s="1"/>
  <c r="M61" i="10"/>
  <c r="M69" i="10" s="1"/>
  <c r="F61" i="10"/>
  <c r="F69" i="10" s="1"/>
  <c r="R61" i="10"/>
  <c r="R69" i="10" s="1"/>
  <c r="AN61" i="10"/>
  <c r="AN69" i="10" s="1"/>
  <c r="BL61" i="10"/>
  <c r="BL69" i="10" s="1"/>
  <c r="U52" i="10"/>
  <c r="U67" i="10" s="1" a="1"/>
  <c r="U67" i="10" s="1"/>
  <c r="AM52" i="10"/>
  <c r="AM67" i="10" s="1" a="1"/>
  <c r="AM67" i="10" s="1"/>
  <c r="BU91" i="30"/>
  <c r="AA91" i="30" s="1"/>
  <c r="AA87" i="30"/>
  <c r="BV84" i="30"/>
  <c r="BH61" i="10"/>
  <c r="BH69" i="10" s="1"/>
  <c r="AW61" i="10" l="1"/>
  <c r="AW69" i="10" s="1"/>
  <c r="H61" i="10"/>
  <c r="H69" i="10" s="1"/>
  <c r="P61" i="10"/>
  <c r="P69" i="10" s="1"/>
  <c r="BN32" i="10"/>
  <c r="BO51" i="10"/>
  <c r="BO46" i="10"/>
  <c r="W61" i="10"/>
  <c r="W69" i="10" s="1"/>
  <c r="AY61" i="10"/>
  <c r="AY69" i="10" s="1"/>
  <c r="BO39" i="10"/>
  <c r="BO60" i="10"/>
  <c r="BO68" i="10" s="1" a="1"/>
  <c r="BO68" i="10" s="1"/>
  <c r="T61" i="10"/>
  <c r="T69" i="10" s="1"/>
  <c r="AV61" i="10"/>
  <c r="AV69" i="10" s="1"/>
  <c r="AZ26" i="13" a="1"/>
  <c r="AZ26" i="13" s="1"/>
  <c r="CB118" i="12"/>
  <c r="CB71" i="12"/>
  <c r="AZ79" i="13"/>
  <c r="CC74" i="12" a="1"/>
  <c r="CC74" i="12" s="1"/>
  <c r="BO22" i="10"/>
  <c r="BO23" i="10" s="1"/>
  <c r="BP25" i="10" a="1"/>
  <c r="BP25" i="10" s="1"/>
  <c r="X15" i="10" a="1"/>
  <c r="X15" i="10" s="1"/>
  <c r="X16" i="10" s="1"/>
  <c r="X49" i="10" a="1"/>
  <c r="X49" i="10" s="1"/>
  <c r="X18" i="10" a="1"/>
  <c r="X18" i="10" s="1"/>
  <c r="BP41" i="10" a="1"/>
  <c r="BP41" i="10" s="1"/>
  <c r="BP49" i="10" a="1"/>
  <c r="BP49" i="10" s="1"/>
  <c r="X12" i="10" a="1"/>
  <c r="X12" i="10" s="1"/>
  <c r="X25" i="10" a="1"/>
  <c r="X25" i="10" s="1"/>
  <c r="BP15" i="10" a="1"/>
  <c r="BP15" i="10" s="1"/>
  <c r="BP16" i="10" s="1"/>
  <c r="X13" i="10" a="1"/>
  <c r="X13" i="10" s="1"/>
  <c r="BP20" i="10" a="1"/>
  <c r="BP20" i="10" s="1"/>
  <c r="BP29" i="10" a="1"/>
  <c r="BP29" i="10" s="1"/>
  <c r="X43" i="10" a="1"/>
  <c r="X43" i="10" s="1"/>
  <c r="BP45" i="10" a="1"/>
  <c r="BP45" i="10" s="1"/>
  <c r="BP42" i="10" a="1"/>
  <c r="BP42" i="10" s="1"/>
  <c r="X54" i="10" a="1"/>
  <c r="X54" i="10" s="1"/>
  <c r="BP19" i="10" a="1"/>
  <c r="BP19" i="10" s="1"/>
  <c r="X20" i="10" a="1"/>
  <c r="X20" i="10" s="1"/>
  <c r="BP26" i="10" a="1"/>
  <c r="BP26" i="10" s="1"/>
  <c r="BP50" i="10" a="1"/>
  <c r="BP50" i="10" s="1"/>
  <c r="X29" i="10" a="1"/>
  <c r="X29" i="10" s="1"/>
  <c r="X57" i="10" a="1"/>
  <c r="X57" i="10" s="1"/>
  <c r="X28" i="10" a="1"/>
  <c r="X28" i="10" s="1"/>
  <c r="BP28" i="10" a="1"/>
  <c r="BP28" i="10" s="1"/>
  <c r="BP56" i="10" a="1"/>
  <c r="BP56" i="10" s="1"/>
  <c r="BP55" i="10" a="1"/>
  <c r="BP55" i="10" s="1"/>
  <c r="X58" i="10" a="1"/>
  <c r="X58" i="10" s="1"/>
  <c r="BP27" i="10" a="1"/>
  <c r="BP27" i="10" s="1"/>
  <c r="X55" i="10" a="1"/>
  <c r="X55" i="10" s="1"/>
  <c r="X45" i="10" a="1"/>
  <c r="X45" i="10" s="1"/>
  <c r="BP59" i="10" a="1"/>
  <c r="BP59" i="10" s="1"/>
  <c r="X41" i="10" a="1"/>
  <c r="X41" i="10" s="1"/>
  <c r="AY165" i="13"/>
  <c r="X21" i="10" a="1"/>
  <c r="X21" i="10" s="1"/>
  <c r="X19" i="10" a="1"/>
  <c r="X19" i="10" s="1"/>
  <c r="BP21" i="10" a="1"/>
  <c r="BP21" i="10" s="1"/>
  <c r="BP57" i="10" a="1"/>
  <c r="BP57" i="10" s="1"/>
  <c r="X56" i="10" a="1"/>
  <c r="X56" i="10" s="1"/>
  <c r="X37" i="10" a="1"/>
  <c r="X37" i="10" s="1"/>
  <c r="BP38" i="10" a="1"/>
  <c r="BP38" i="10" s="1"/>
  <c r="X30" i="10" a="1"/>
  <c r="X30" i="10" s="1"/>
  <c r="BP30" i="10" a="1"/>
  <c r="BP30" i="10" s="1"/>
  <c r="BP54" i="10" a="1"/>
  <c r="BP54" i="10" s="1"/>
  <c r="X38" i="10" a="1"/>
  <c r="X38" i="10" s="1"/>
  <c r="X42" i="10" a="1"/>
  <c r="X42" i="10" s="1"/>
  <c r="X50" i="10" a="1"/>
  <c r="X50" i="10" s="1"/>
  <c r="X44" i="10" a="1"/>
  <c r="X44" i="10" s="1"/>
  <c r="X27" i="10" a="1"/>
  <c r="X27" i="10" s="1"/>
  <c r="BP18" i="10" a="1"/>
  <c r="BP18" i="10" s="1"/>
  <c r="BP44" i="10" a="1"/>
  <c r="BP44" i="10" s="1"/>
  <c r="AY162" i="13"/>
  <c r="X26" i="10" a="1"/>
  <c r="X26" i="10" s="1"/>
  <c r="BP43" i="10" a="1"/>
  <c r="BP43" i="10" s="1"/>
  <c r="BP58" i="10" a="1"/>
  <c r="BP58" i="10" s="1"/>
  <c r="BP12" i="10" a="1"/>
  <c r="BP12" i="10" s="1"/>
  <c r="BP37" i="10" a="1"/>
  <c r="BP37" i="10" s="1"/>
  <c r="X59" i="10" a="1"/>
  <c r="X59" i="10" s="1"/>
  <c r="BP13" i="10" a="1"/>
  <c r="BP13" i="10" s="1"/>
  <c r="BO31" i="10"/>
  <c r="AY153" i="13"/>
  <c r="AY156" i="13"/>
  <c r="BV81" i="30"/>
  <c r="AB84" i="30"/>
  <c r="BM61" i="10"/>
  <c r="BM69" i="10" s="1"/>
  <c r="AM61" i="10"/>
  <c r="AM69" i="10" s="1"/>
  <c r="BN47" i="10"/>
  <c r="BN52" i="10" s="1"/>
  <c r="BG61" i="10"/>
  <c r="BG69" i="10" s="1"/>
  <c r="U61" i="10"/>
  <c r="U69" i="10" s="1"/>
  <c r="AH61" i="10"/>
  <c r="AH69" i="10" s="1"/>
  <c r="BO47" i="10" l="1"/>
  <c r="BO52" i="10" s="1"/>
  <c r="BO67" i="10" s="1" a="1"/>
  <c r="BO67" i="10" s="1"/>
  <c r="BP51" i="10"/>
  <c r="BO32" i="10"/>
  <c r="BP22" i="10"/>
  <c r="BN67" i="10" a="1"/>
  <c r="BN67" i="10" s="1"/>
  <c r="BN61" i="10"/>
  <c r="BN69" i="10" s="1"/>
  <c r="BP39" i="10"/>
  <c r="X31" i="10"/>
  <c r="BP23" i="10"/>
  <c r="X39" i="10"/>
  <c r="BP46" i="10"/>
  <c r="BV85" i="30"/>
  <c r="X22" i="10"/>
  <c r="X23" i="10" s="1"/>
  <c r="X51" i="10"/>
  <c r="BP31" i="10"/>
  <c r="X46" i="10"/>
  <c r="X60" i="10"/>
  <c r="X68" i="10" s="1" a="1"/>
  <c r="X68" i="10" s="1"/>
  <c r="BA26" i="13" a="1"/>
  <c r="BA26" i="13" s="1"/>
  <c r="CC118" i="12"/>
  <c r="CC71" i="12"/>
  <c r="BA79" i="13"/>
  <c r="CD74" i="12" a="1"/>
  <c r="CD74" i="12" s="1"/>
  <c r="BQ12" i="10" a="1"/>
  <c r="BQ12" i="10" s="1"/>
  <c r="BQ41" i="10" a="1"/>
  <c r="BQ41" i="10" s="1"/>
  <c r="BQ15" i="10" a="1"/>
  <c r="BQ15" i="10" s="1"/>
  <c r="BQ16" i="10" s="1"/>
  <c r="BQ18" i="10" a="1"/>
  <c r="BQ18" i="10" s="1"/>
  <c r="BQ49" i="10" a="1"/>
  <c r="BQ49" i="10" s="1"/>
  <c r="BQ25" i="10" a="1"/>
  <c r="BQ25" i="10" s="1"/>
  <c r="BQ37" i="10" a="1"/>
  <c r="BQ37" i="10" s="1"/>
  <c r="BQ29" i="10" a="1"/>
  <c r="BQ29" i="10" s="1"/>
  <c r="BQ38" i="10" a="1"/>
  <c r="BQ38" i="10" s="1"/>
  <c r="BQ30" i="10" a="1"/>
  <c r="BQ30" i="10" s="1"/>
  <c r="BQ54" i="10" a="1"/>
  <c r="BQ54" i="10" s="1"/>
  <c r="BQ21" i="10" a="1"/>
  <c r="BQ21" i="10" s="1"/>
  <c r="BQ27" i="10" a="1"/>
  <c r="BQ27" i="10" s="1"/>
  <c r="BQ57" i="10" a="1"/>
  <c r="BQ57" i="10" s="1"/>
  <c r="BQ44" i="10" a="1"/>
  <c r="BQ44" i="10" s="1"/>
  <c r="BQ50" i="10" a="1"/>
  <c r="BQ50" i="10" s="1"/>
  <c r="AZ165" i="13"/>
  <c r="AZ162" i="13"/>
  <c r="BQ28" i="10" a="1"/>
  <c r="BQ28" i="10" s="1"/>
  <c r="BQ45" i="10" a="1"/>
  <c r="BQ45" i="10" s="1"/>
  <c r="BQ56" i="10" a="1"/>
  <c r="BQ56" i="10" s="1"/>
  <c r="BQ58" i="10" a="1"/>
  <c r="BQ58" i="10" s="1"/>
  <c r="BQ42" i="10" a="1"/>
  <c r="BQ42" i="10" s="1"/>
  <c r="BQ13" i="10" a="1"/>
  <c r="BQ13" i="10" s="1"/>
  <c r="BQ43" i="10" a="1"/>
  <c r="BQ43" i="10" s="1"/>
  <c r="BQ20" i="10" a="1"/>
  <c r="BQ20" i="10" s="1"/>
  <c r="BQ26" i="10" a="1"/>
  <c r="BQ26" i="10" s="1"/>
  <c r="BQ19" i="10" a="1"/>
  <c r="BQ19" i="10" s="1"/>
  <c r="BQ59" i="10" a="1"/>
  <c r="BQ59" i="10" s="1"/>
  <c r="BQ55" i="10" a="1"/>
  <c r="BQ55" i="10" s="1"/>
  <c r="BP60" i="10"/>
  <c r="BP68" i="10" s="1" a="1"/>
  <c r="BP68" i="10" s="1"/>
  <c r="AZ153" i="13"/>
  <c r="AZ156" i="13"/>
  <c r="BO61" i="10" l="1"/>
  <c r="BO69" i="10" s="1"/>
  <c r="X32" i="10"/>
  <c r="BP32" i="10"/>
  <c r="X47" i="10"/>
  <c r="X52" i="10" s="1"/>
  <c r="X67" i="10" s="1" a="1"/>
  <c r="X67" i="10" s="1"/>
  <c r="BQ51" i="10"/>
  <c r="BP47" i="10"/>
  <c r="BP52" i="10" s="1"/>
  <c r="BP67" i="10" s="1" a="1"/>
  <c r="BP67" i="10" s="1"/>
  <c r="BQ60" i="10"/>
  <c r="BQ68" i="10" s="1" a="1"/>
  <c r="BQ68" i="10" s="1"/>
  <c r="BA153" i="13"/>
  <c r="BA156" i="13"/>
  <c r="BR15" i="10" a="1"/>
  <c r="BR15" i="10" s="1"/>
  <c r="BR16" i="10" s="1"/>
  <c r="BR54" i="10" a="1"/>
  <c r="BR54" i="10" s="1"/>
  <c r="BR13" i="10" a="1"/>
  <c r="BR13" i="10" s="1"/>
  <c r="BR49" i="10" a="1"/>
  <c r="BR49" i="10" s="1"/>
  <c r="BR25" i="10" a="1"/>
  <c r="BR25" i="10" s="1"/>
  <c r="BR29" i="10" a="1"/>
  <c r="BR29" i="10" s="1"/>
  <c r="BR20" i="10" a="1"/>
  <c r="BR20" i="10" s="1"/>
  <c r="BA162" i="13"/>
  <c r="BR26" i="10" a="1"/>
  <c r="BR26" i="10" s="1"/>
  <c r="BR41" i="10" a="1"/>
  <c r="BR41" i="10" s="1"/>
  <c r="BR18" i="10" a="1"/>
  <c r="BR18" i="10" s="1"/>
  <c r="BR45" i="10" a="1"/>
  <c r="BR45" i="10" s="1"/>
  <c r="BR56" i="10" a="1"/>
  <c r="BR56" i="10" s="1"/>
  <c r="BR59" i="10" a="1"/>
  <c r="BR59" i="10" s="1"/>
  <c r="BR12" i="10" a="1"/>
  <c r="BR12" i="10" s="1"/>
  <c r="BR50" i="10" a="1"/>
  <c r="BR50" i="10" s="1"/>
  <c r="BR44" i="10" a="1"/>
  <c r="BR44" i="10" s="1"/>
  <c r="BR43" i="10" a="1"/>
  <c r="BR43" i="10" s="1"/>
  <c r="BR38" i="10" a="1"/>
  <c r="BR38" i="10" s="1"/>
  <c r="BA165" i="13"/>
  <c r="BR57" i="10" a="1"/>
  <c r="BR57" i="10" s="1"/>
  <c r="BR37" i="10" a="1"/>
  <c r="BR37" i="10" s="1"/>
  <c r="BR27" i="10" a="1"/>
  <c r="BR27" i="10" s="1"/>
  <c r="BR28" i="10" a="1"/>
  <c r="BR28" i="10" s="1"/>
  <c r="BR55" i="10" a="1"/>
  <c r="BR55" i="10" s="1"/>
  <c r="BR19" i="10" a="1"/>
  <c r="BR19" i="10" s="1"/>
  <c r="BR42" i="10" a="1"/>
  <c r="BR42" i="10" s="1"/>
  <c r="BR21" i="10" a="1"/>
  <c r="BR21" i="10" s="1"/>
  <c r="BR30" i="10" a="1"/>
  <c r="BR30" i="10" s="1"/>
  <c r="BR58" i="10" a="1"/>
  <c r="BR58" i="10" s="1"/>
  <c r="BQ39" i="10"/>
  <c r="AI74" i="12"/>
  <c r="AI71" i="12" s="1"/>
  <c r="BB26" i="13" a="1"/>
  <c r="BB26" i="13" s="1"/>
  <c r="CD118" i="12"/>
  <c r="CD71" i="12"/>
  <c r="BB79" i="13"/>
  <c r="CE74" i="12" a="1"/>
  <c r="CE74" i="12" s="1"/>
  <c r="BQ31" i="10"/>
  <c r="BQ22" i="10"/>
  <c r="BV87" i="30"/>
  <c r="BQ46" i="10"/>
  <c r="X61" i="10" l="1"/>
  <c r="X69" i="10" s="1"/>
  <c r="BP61" i="10"/>
  <c r="BP69" i="10" s="1"/>
  <c r="BQ23" i="10"/>
  <c r="BQ32" i="10" s="1"/>
  <c r="BR46" i="10"/>
  <c r="BV91" i="30"/>
  <c r="BW84" i="30"/>
  <c r="BR39" i="10"/>
  <c r="BR31" i="10"/>
  <c r="BR51" i="10"/>
  <c r="BS49" i="10" a="1"/>
  <c r="BS49" i="10" s="1"/>
  <c r="Y18" i="10" a="1"/>
  <c r="Y18" i="10" s="1"/>
  <c r="Y49" i="10" a="1"/>
  <c r="Y49" i="10" s="1"/>
  <c r="Y15" i="10" a="1"/>
  <c r="Y15" i="10" s="1"/>
  <c r="Y16" i="10" s="1"/>
  <c r="Y25" i="10" a="1"/>
  <c r="Y25" i="10" s="1"/>
  <c r="BS25" i="10" a="1"/>
  <c r="BS25" i="10" s="1"/>
  <c r="BS41" i="10" a="1"/>
  <c r="BS41" i="10" s="1"/>
  <c r="Y12" i="10" a="1"/>
  <c r="Y12" i="10" s="1"/>
  <c r="Y41" i="10" a="1"/>
  <c r="Y41" i="10" s="1"/>
  <c r="BS12" i="10" a="1"/>
  <c r="BS12" i="10" s="1"/>
  <c r="BS18" i="10" a="1"/>
  <c r="BS18" i="10" s="1"/>
  <c r="Y54" i="10" a="1"/>
  <c r="Y54" i="10" s="1"/>
  <c r="BS54" i="10" a="1"/>
  <c r="BS54" i="10" s="1"/>
  <c r="BS13" i="10" a="1"/>
  <c r="BS13" i="10" s="1"/>
  <c r="BS37" i="10" a="1"/>
  <c r="BS37" i="10" s="1"/>
  <c r="BS15" i="10" a="1"/>
  <c r="BS15" i="10" s="1"/>
  <c r="BS16" i="10" s="1"/>
  <c r="Y56" i="10" a="1"/>
  <c r="Y56" i="10" s="1"/>
  <c r="Y21" i="10" a="1"/>
  <c r="Y21" i="10" s="1"/>
  <c r="BS43" i="10" a="1"/>
  <c r="BS43" i="10" s="1"/>
  <c r="BS29" i="10" a="1"/>
  <c r="BS29" i="10" s="1"/>
  <c r="BS27" i="10" a="1"/>
  <c r="BS27" i="10" s="1"/>
  <c r="BS20" i="10" a="1"/>
  <c r="BS20" i="10" s="1"/>
  <c r="Y29" i="10" a="1"/>
  <c r="Y29" i="10" s="1"/>
  <c r="Y20" i="10" a="1"/>
  <c r="Y20" i="10" s="1"/>
  <c r="BS56" i="10" a="1"/>
  <c r="BS56" i="10" s="1"/>
  <c r="BB162" i="13"/>
  <c r="BS55" i="10" a="1"/>
  <c r="BS55" i="10" s="1"/>
  <c r="BS44" i="10" a="1"/>
  <c r="BS44" i="10" s="1"/>
  <c r="BS19" i="10" a="1"/>
  <c r="BS19" i="10" s="1"/>
  <c r="BS50" i="10" a="1"/>
  <c r="BS50" i="10" s="1"/>
  <c r="BS30" i="10" a="1"/>
  <c r="BS30" i="10" s="1"/>
  <c r="Y26" i="10" a="1"/>
  <c r="Y26" i="10" s="1"/>
  <c r="BS59" i="10" a="1"/>
  <c r="BS59" i="10" s="1"/>
  <c r="Y44" i="10" a="1"/>
  <c r="Y44" i="10" s="1"/>
  <c r="Y59" i="10" a="1"/>
  <c r="Y59" i="10" s="1"/>
  <c r="Y55" i="10" a="1"/>
  <c r="Y55" i="10" s="1"/>
  <c r="Y45" i="10" a="1"/>
  <c r="Y45" i="10" s="1"/>
  <c r="BS38" i="10" a="1"/>
  <c r="BS38" i="10" s="1"/>
  <c r="BS28" i="10" a="1"/>
  <c r="BS28" i="10" s="1"/>
  <c r="Y28" i="10" a="1"/>
  <c r="Y28" i="10" s="1"/>
  <c r="Y43" i="10" a="1"/>
  <c r="Y43" i="10" s="1"/>
  <c r="BB165" i="13"/>
  <c r="Y37" i="10" a="1"/>
  <c r="Y37" i="10" s="1"/>
  <c r="Y57" i="10" a="1"/>
  <c r="Y57" i="10" s="1"/>
  <c r="Y38" i="10" a="1"/>
  <c r="Y38" i="10" s="1"/>
  <c r="Y42" i="10" a="1"/>
  <c r="Y42" i="10" s="1"/>
  <c r="Y58" i="10" a="1"/>
  <c r="Y58" i="10" s="1"/>
  <c r="Y27" i="10" a="1"/>
  <c r="Y27" i="10" s="1"/>
  <c r="BS57" i="10" a="1"/>
  <c r="BS57" i="10" s="1"/>
  <c r="BS45" i="10" a="1"/>
  <c r="BS45" i="10" s="1"/>
  <c r="Y30" i="10" a="1"/>
  <c r="Y30" i="10" s="1"/>
  <c r="BS42" i="10" a="1"/>
  <c r="BS42" i="10" s="1"/>
  <c r="Y50" i="10" a="1"/>
  <c r="Y50" i="10" s="1"/>
  <c r="BS21" i="10" a="1"/>
  <c r="BS21" i="10" s="1"/>
  <c r="BS58" i="10" a="1"/>
  <c r="BS58" i="10" s="1"/>
  <c r="BS26" i="10" a="1"/>
  <c r="BS26" i="10" s="1"/>
  <c r="Y19" i="10" a="1"/>
  <c r="Y19" i="10" s="1"/>
  <c r="Y13" i="10" a="1"/>
  <c r="Y13" i="10" s="1"/>
  <c r="BR60" i="10"/>
  <c r="BR68" i="10" s="1" a="1"/>
  <c r="BR68" i="10" s="1"/>
  <c r="CE118" i="12"/>
  <c r="CE71" i="12"/>
  <c r="BC26" i="13" a="1"/>
  <c r="BC26" i="13" s="1"/>
  <c r="BC79" i="13"/>
  <c r="CF74" i="12" a="1"/>
  <c r="CF74" i="12" s="1"/>
  <c r="BB153" i="13"/>
  <c r="BB156" i="13"/>
  <c r="BQ47" i="10"/>
  <c r="BR22" i="10"/>
  <c r="BR47" i="10" l="1"/>
  <c r="BS60" i="10"/>
  <c r="BS68" i="10" s="1" a="1"/>
  <c r="BS68" i="10" s="1"/>
  <c r="Y60" i="10"/>
  <c r="Y68" i="10" s="1" a="1"/>
  <c r="Y68" i="10" s="1"/>
  <c r="Y39" i="10"/>
  <c r="BS22" i="10"/>
  <c r="BS23" i="10" s="1"/>
  <c r="CF118" i="12"/>
  <c r="CF71" i="12"/>
  <c r="BD26" i="13" a="1"/>
  <c r="BD26" i="13" s="1"/>
  <c r="BD79" i="13"/>
  <c r="CG74" i="12" a="1"/>
  <c r="CG74" i="12" s="1"/>
  <c r="Y46" i="10"/>
  <c r="BT18" i="10" a="1"/>
  <c r="BT18" i="10" s="1"/>
  <c r="BT12" i="10" a="1"/>
  <c r="BT12" i="10" s="1"/>
  <c r="BT49" i="10" a="1"/>
  <c r="BT49" i="10" s="1"/>
  <c r="BT13" i="10" a="1"/>
  <c r="BT13" i="10" s="1"/>
  <c r="BT15" i="10" a="1"/>
  <c r="BT15" i="10" s="1"/>
  <c r="BT16" i="10" s="1"/>
  <c r="BT54" i="10" a="1"/>
  <c r="BT54" i="10" s="1"/>
  <c r="BT41" i="10" a="1"/>
  <c r="BT41" i="10" s="1"/>
  <c r="BT55" i="10" a="1"/>
  <c r="BT55" i="10" s="1"/>
  <c r="BT37" i="10" a="1"/>
  <c r="BT37" i="10" s="1"/>
  <c r="BT43" i="10" a="1"/>
  <c r="BT43" i="10" s="1"/>
  <c r="BT56" i="10" a="1"/>
  <c r="BT56" i="10" s="1"/>
  <c r="BT30" i="10" a="1"/>
  <c r="BT30" i="10" s="1"/>
  <c r="BT44" i="10" a="1"/>
  <c r="BT44" i="10" s="1"/>
  <c r="BT59" i="10" a="1"/>
  <c r="BT59" i="10" s="1"/>
  <c r="BT42" i="10" a="1"/>
  <c r="BT42" i="10" s="1"/>
  <c r="BT57" i="10" a="1"/>
  <c r="BT57" i="10" s="1"/>
  <c r="BT20" i="10" a="1"/>
  <c r="BT20" i="10" s="1"/>
  <c r="BT27" i="10" a="1"/>
  <c r="BT27" i="10" s="1"/>
  <c r="BT28" i="10" a="1"/>
  <c r="BT28" i="10" s="1"/>
  <c r="BT45" i="10" a="1"/>
  <c r="BT45" i="10" s="1"/>
  <c r="BT50" i="10" a="1"/>
  <c r="BT50" i="10" s="1"/>
  <c r="BT38" i="10" a="1"/>
  <c r="BT38" i="10" s="1"/>
  <c r="BT25" i="10" a="1"/>
  <c r="BT25" i="10" s="1"/>
  <c r="BT19" i="10" a="1"/>
  <c r="BT19" i="10" s="1"/>
  <c r="BT58" i="10" a="1"/>
  <c r="BT58" i="10" s="1"/>
  <c r="BT26" i="10" a="1"/>
  <c r="BT26" i="10" s="1"/>
  <c r="BT29" i="10" a="1"/>
  <c r="BT29" i="10" s="1"/>
  <c r="BC162" i="13"/>
  <c r="BT21" i="10" a="1"/>
  <c r="BT21" i="10" s="1"/>
  <c r="BC165" i="13"/>
  <c r="BR52" i="10"/>
  <c r="BR67" i="10" s="1" a="1"/>
  <c r="BR67" i="10" s="1"/>
  <c r="BC153" i="13"/>
  <c r="BC156" i="13"/>
  <c r="BS46" i="10"/>
  <c r="BS31" i="10"/>
  <c r="Y31" i="10"/>
  <c r="BW81" i="30"/>
  <c r="Y51" i="10"/>
  <c r="Y22" i="10"/>
  <c r="Y23" i="10" s="1"/>
  <c r="BS51" i="10"/>
  <c r="BQ52" i="10"/>
  <c r="BQ67" i="10" s="1" a="1"/>
  <c r="BQ67" i="10" s="1"/>
  <c r="BR23" i="10"/>
  <c r="BR32" i="10" s="1"/>
  <c r="BS39" i="10"/>
  <c r="Y47" i="10" l="1"/>
  <c r="Y52" i="10" s="1"/>
  <c r="Y67" i="10" s="1" a="1"/>
  <c r="Y67" i="10" s="1"/>
  <c r="BS32" i="10"/>
  <c r="BT51" i="10"/>
  <c r="BS47" i="10"/>
  <c r="BS52" i="10" s="1"/>
  <c r="BT31" i="10"/>
  <c r="BD156" i="13"/>
  <c r="BD153" i="13"/>
  <c r="BR61" i="10"/>
  <c r="BR69" i="10" s="1"/>
  <c r="BT39" i="10"/>
  <c r="Y32" i="10"/>
  <c r="BT46" i="10"/>
  <c r="BT60" i="10"/>
  <c r="BT68" i="10" s="1" a="1"/>
  <c r="BT68" i="10" s="1"/>
  <c r="BT22" i="10"/>
  <c r="BQ61" i="10"/>
  <c r="BQ69" i="10" s="1"/>
  <c r="CG71" i="12"/>
  <c r="AJ74" i="12"/>
  <c r="AJ71" i="12" s="1"/>
  <c r="CG118" i="12"/>
  <c r="BE26" i="13" a="1"/>
  <c r="BE26" i="13" s="1"/>
  <c r="BE79" i="13"/>
  <c r="CH74" i="12" a="1"/>
  <c r="CH74" i="12" s="1"/>
  <c r="BW85" i="30"/>
  <c r="BU41" i="10" a="1"/>
  <c r="BU41" i="10" s="1"/>
  <c r="BU12" i="10" a="1"/>
  <c r="BU12" i="10" s="1"/>
  <c r="BU13" i="10" a="1"/>
  <c r="BU13" i="10" s="1"/>
  <c r="BU18" i="10" a="1"/>
  <c r="BU18" i="10" s="1"/>
  <c r="BU15" i="10" a="1"/>
  <c r="BU15" i="10" s="1"/>
  <c r="BU16" i="10" s="1"/>
  <c r="BU49" i="10" a="1"/>
  <c r="BU49" i="10" s="1"/>
  <c r="BU37" i="10" a="1"/>
  <c r="BU37" i="10" s="1"/>
  <c r="BU25" i="10" a="1"/>
  <c r="BU25" i="10" s="1"/>
  <c r="BU19" i="10" a="1"/>
  <c r="BU19" i="10" s="1"/>
  <c r="BU26" i="10" a="1"/>
  <c r="BU26" i="10" s="1"/>
  <c r="BU43" i="10" a="1"/>
  <c r="BU43" i="10" s="1"/>
  <c r="BU44" i="10" a="1"/>
  <c r="BU44" i="10" s="1"/>
  <c r="BU50" i="10" a="1"/>
  <c r="BU50" i="10" s="1"/>
  <c r="BD165" i="13"/>
  <c r="BU38" i="10" a="1"/>
  <c r="BU38" i="10" s="1"/>
  <c r="BU56" i="10" a="1"/>
  <c r="BU56" i="10" s="1"/>
  <c r="BU58" i="10" a="1"/>
  <c r="BU58" i="10" s="1"/>
  <c r="BU29" i="10" a="1"/>
  <c r="BU29" i="10" s="1"/>
  <c r="BU54" i="10" a="1"/>
  <c r="BU54" i="10" s="1"/>
  <c r="BU30" i="10" a="1"/>
  <c r="BU30" i="10" s="1"/>
  <c r="BU42" i="10" a="1"/>
  <c r="BU42" i="10" s="1"/>
  <c r="BU20" i="10" a="1"/>
  <c r="BU20" i="10" s="1"/>
  <c r="BU57" i="10" a="1"/>
  <c r="BU57" i="10" s="1"/>
  <c r="BU21" i="10" a="1"/>
  <c r="BU21" i="10" s="1"/>
  <c r="BD162" i="13"/>
  <c r="BU45" i="10" a="1"/>
  <c r="BU45" i="10" s="1"/>
  <c r="BU55" i="10" a="1"/>
  <c r="BU55" i="10" s="1"/>
  <c r="BU28" i="10" a="1"/>
  <c r="BU28" i="10" s="1"/>
  <c r="BU27" i="10" a="1"/>
  <c r="BU27" i="10" s="1"/>
  <c r="BU59" i="10" a="1"/>
  <c r="BU59" i="10" s="1"/>
  <c r="BU51" i="10" l="1"/>
  <c r="BS67" i="10" a="1"/>
  <c r="BS67" i="10" s="1"/>
  <c r="BS61" i="10"/>
  <c r="BS69" i="10" s="1"/>
  <c r="BU31" i="10"/>
  <c r="BE153" i="13"/>
  <c r="BE156" i="13"/>
  <c r="BV13" i="10" a="1"/>
  <c r="BV13" i="10" s="1"/>
  <c r="Z54" i="10" a="1"/>
  <c r="Z54" i="10" s="1"/>
  <c r="Z15" i="10" a="1"/>
  <c r="Z15" i="10" s="1"/>
  <c r="Z16" i="10" s="1"/>
  <c r="BV49" i="10" a="1"/>
  <c r="BV49" i="10" s="1"/>
  <c r="BV18" i="10" a="1"/>
  <c r="BV18" i="10" s="1"/>
  <c r="Z49" i="10" a="1"/>
  <c r="Z49" i="10" s="1"/>
  <c r="Z13" i="10" a="1"/>
  <c r="Z13" i="10" s="1"/>
  <c r="BV12" i="10" a="1"/>
  <c r="BV12" i="10" s="1"/>
  <c r="Z41" i="10" a="1"/>
  <c r="Z41" i="10" s="1"/>
  <c r="Z25" i="10" a="1"/>
  <c r="Z25" i="10" s="1"/>
  <c r="BV41" i="10" a="1"/>
  <c r="BV41" i="10" s="1"/>
  <c r="BV15" i="10" a="1"/>
  <c r="BV15" i="10" s="1"/>
  <c r="BV16" i="10" s="1"/>
  <c r="Z18" i="10" a="1"/>
  <c r="Z18" i="10" s="1"/>
  <c r="BV25" i="10" a="1"/>
  <c r="BV25" i="10" s="1"/>
  <c r="Z12" i="10" a="1"/>
  <c r="Z12" i="10" s="1"/>
  <c r="BV30" i="10" a="1"/>
  <c r="BV30" i="10" s="1"/>
  <c r="Z19" i="10" a="1"/>
  <c r="Z19" i="10" s="1"/>
  <c r="Z42" i="10" a="1"/>
  <c r="Z42" i="10" s="1"/>
  <c r="Z28" i="10" a="1"/>
  <c r="Z28" i="10" s="1"/>
  <c r="BV59" i="10" a="1"/>
  <c r="BV59" i="10" s="1"/>
  <c r="BV19" i="10" a="1"/>
  <c r="BV19" i="10" s="1"/>
  <c r="Z45" i="10" a="1"/>
  <c r="Z45" i="10" s="1"/>
  <c r="Z29" i="10" a="1"/>
  <c r="Z29" i="10" s="1"/>
  <c r="Z59" i="10" a="1"/>
  <c r="Z59" i="10" s="1"/>
  <c r="BE162" i="13"/>
  <c r="Z26" i="10" a="1"/>
  <c r="Z26" i="10" s="1"/>
  <c r="BV56" i="10" a="1"/>
  <c r="BV56" i="10" s="1"/>
  <c r="BV37" i="10" a="1"/>
  <c r="BV37" i="10" s="1"/>
  <c r="Z55" i="10" a="1"/>
  <c r="Z55" i="10" s="1"/>
  <c r="Z43" i="10" a="1"/>
  <c r="Z43" i="10" s="1"/>
  <c r="Z30" i="10" a="1"/>
  <c r="Z30" i="10" s="1"/>
  <c r="BV45" i="10" a="1"/>
  <c r="BV45" i="10" s="1"/>
  <c r="BV29" i="10" a="1"/>
  <c r="BV29" i="10" s="1"/>
  <c r="BV28" i="10" a="1"/>
  <c r="BV28" i="10" s="1"/>
  <c r="BV38" i="10" a="1"/>
  <c r="BV38" i="10" s="1"/>
  <c r="BV44" i="10" a="1"/>
  <c r="BV44" i="10" s="1"/>
  <c r="BV26" i="10" a="1"/>
  <c r="BV26" i="10" s="1"/>
  <c r="Z38" i="10" a="1"/>
  <c r="Z38" i="10" s="1"/>
  <c r="Z50" i="10" a="1"/>
  <c r="Z50" i="10" s="1"/>
  <c r="BV43" i="10" a="1"/>
  <c r="BV43" i="10" s="1"/>
  <c r="BV42" i="10" a="1"/>
  <c r="BV42" i="10" s="1"/>
  <c r="Z20" i="10" a="1"/>
  <c r="Z20" i="10" s="1"/>
  <c r="BV27" i="10" a="1"/>
  <c r="BV27" i="10" s="1"/>
  <c r="BV50" i="10" a="1"/>
  <c r="BV50" i="10" s="1"/>
  <c r="Z21" i="10" a="1"/>
  <c r="Z21" i="10" s="1"/>
  <c r="Z44" i="10" a="1"/>
  <c r="Z44" i="10" s="1"/>
  <c r="BV54" i="10" a="1"/>
  <c r="BV54" i="10" s="1"/>
  <c r="BV57" i="10" a="1"/>
  <c r="BV57" i="10" s="1"/>
  <c r="BV21" i="10" a="1"/>
  <c r="BV21" i="10" s="1"/>
  <c r="Z58" i="10" a="1"/>
  <c r="Z58" i="10" s="1"/>
  <c r="Z37" i="10" a="1"/>
  <c r="Z37" i="10" s="1"/>
  <c r="Z56" i="10" a="1"/>
  <c r="Z56" i="10" s="1"/>
  <c r="BV55" i="10" a="1"/>
  <c r="BV55" i="10" s="1"/>
  <c r="BV20" i="10" a="1"/>
  <c r="BV20" i="10" s="1"/>
  <c r="Z27" i="10" a="1"/>
  <c r="Z27" i="10" s="1"/>
  <c r="Z57" i="10" a="1"/>
  <c r="Z57" i="10" s="1"/>
  <c r="BV58" i="10" a="1"/>
  <c r="BV58" i="10" s="1"/>
  <c r="BE165" i="13"/>
  <c r="BU22" i="10"/>
  <c r="BU23" i="10" s="1"/>
  <c r="BT47" i="10"/>
  <c r="BT52" i="10" s="1"/>
  <c r="BT67" i="10" s="1" a="1"/>
  <c r="BT67" i="10" s="1"/>
  <c r="BU60" i="10"/>
  <c r="BU68" i="10" s="1" a="1"/>
  <c r="BU68" i="10" s="1"/>
  <c r="BT23" i="10"/>
  <c r="BT32" i="10" s="1"/>
  <c r="BF26" i="13" a="1"/>
  <c r="BF26" i="13" s="1"/>
  <c r="CH118" i="12"/>
  <c r="CH71" i="12"/>
  <c r="BF79" i="13"/>
  <c r="CI74" i="12" a="1"/>
  <c r="CI74" i="12" s="1"/>
  <c r="BU39" i="10"/>
  <c r="BU46" i="10"/>
  <c r="BW87" i="30"/>
  <c r="Y61" i="10"/>
  <c r="Y69" i="10" s="1"/>
  <c r="BU32" i="10" l="1"/>
  <c r="BV51" i="10"/>
  <c r="BU47" i="10"/>
  <c r="BU52" i="10" s="1"/>
  <c r="BU67" i="10" s="1" a="1"/>
  <c r="BU67" i="10" s="1"/>
  <c r="BV22" i="10"/>
  <c r="BV23" i="10" s="1"/>
  <c r="BF156" i="13"/>
  <c r="BF153" i="13"/>
  <c r="BW91" i="30"/>
  <c r="BX84" i="30"/>
  <c r="Z60" i="10"/>
  <c r="Z68" i="10" s="1" a="1"/>
  <c r="Z68" i="10" s="1"/>
  <c r="BG26" i="13" a="1"/>
  <c r="BG26" i="13" s="1"/>
  <c r="CI71" i="12"/>
  <c r="CI118" i="12"/>
  <c r="BG79" i="13"/>
  <c r="CJ74" i="12" a="1"/>
  <c r="CJ74" i="12" s="1"/>
  <c r="BV60" i="10"/>
  <c r="BV68" i="10" s="1" a="1"/>
  <c r="BV68" i="10" s="1"/>
  <c r="BV31" i="10"/>
  <c r="Z22" i="10"/>
  <c r="Z23" i="10" s="1"/>
  <c r="BV39" i="10"/>
  <c r="BV46" i="10"/>
  <c r="BT61" i="10"/>
  <c r="BT69" i="10" s="1"/>
  <c r="BW18" i="10" a="1"/>
  <c r="BW18" i="10" s="1"/>
  <c r="BW12" i="10" a="1"/>
  <c r="BW12" i="10" s="1"/>
  <c r="BW41" i="10" a="1"/>
  <c r="BW41" i="10" s="1"/>
  <c r="BW25" i="10" a="1"/>
  <c r="BW25" i="10" s="1"/>
  <c r="BW37" i="10" a="1"/>
  <c r="BW37" i="10" s="1"/>
  <c r="BW49" i="10" a="1"/>
  <c r="BW49" i="10" s="1"/>
  <c r="BW15" i="10" a="1"/>
  <c r="BW15" i="10" s="1"/>
  <c r="BW16" i="10" s="1"/>
  <c r="BW13" i="10" a="1"/>
  <c r="BW13" i="10" s="1"/>
  <c r="BW27" i="10" a="1"/>
  <c r="BW27" i="10" s="1"/>
  <c r="BW54" i="10" a="1"/>
  <c r="BW54" i="10" s="1"/>
  <c r="BW20" i="10" a="1"/>
  <c r="BW20" i="10" s="1"/>
  <c r="BW44" i="10" a="1"/>
  <c r="BW44" i="10" s="1"/>
  <c r="BW29" i="10" a="1"/>
  <c r="BW29" i="10" s="1"/>
  <c r="BW28" i="10" a="1"/>
  <c r="BW28" i="10" s="1"/>
  <c r="BW26" i="10" a="1"/>
  <c r="BW26" i="10" s="1"/>
  <c r="BW59" i="10" a="1"/>
  <c r="BW59" i="10" s="1"/>
  <c r="BW42" i="10" a="1"/>
  <c r="BW42" i="10" s="1"/>
  <c r="BW43" i="10" a="1"/>
  <c r="BW43" i="10" s="1"/>
  <c r="BW38" i="10" a="1"/>
  <c r="BW38" i="10" s="1"/>
  <c r="BW57" i="10" a="1"/>
  <c r="BW57" i="10" s="1"/>
  <c r="BW30" i="10" a="1"/>
  <c r="BW30" i="10" s="1"/>
  <c r="BW58" i="10" a="1"/>
  <c r="BW58" i="10" s="1"/>
  <c r="BF165" i="13"/>
  <c r="BW19" i="10" a="1"/>
  <c r="BW19" i="10" s="1"/>
  <c r="BW55" i="10" a="1"/>
  <c r="BW55" i="10" s="1"/>
  <c r="BW45" i="10" a="1"/>
  <c r="BW45" i="10" s="1"/>
  <c r="BF162" i="13"/>
  <c r="BW56" i="10" a="1"/>
  <c r="BW56" i="10" s="1"/>
  <c r="BW50" i="10" a="1"/>
  <c r="BW50" i="10" s="1"/>
  <c r="BW21" i="10" a="1"/>
  <c r="BW21" i="10" s="1"/>
  <c r="Z31" i="10"/>
  <c r="Z51" i="10"/>
  <c r="Z39" i="10"/>
  <c r="Z46" i="10"/>
  <c r="BV47" i="10" l="1"/>
  <c r="BV52" i="10" s="1"/>
  <c r="BV67" i="10" s="1" a="1"/>
  <c r="BV67" i="10" s="1"/>
  <c r="BV32" i="10"/>
  <c r="BU61" i="10"/>
  <c r="BU69" i="10" s="1"/>
  <c r="Z47" i="10"/>
  <c r="BW60" i="10"/>
  <c r="BW68" i="10" s="1" a="1"/>
  <c r="BW68" i="10" s="1"/>
  <c r="BX81" i="30"/>
  <c r="BG153" i="13"/>
  <c r="BG156" i="13"/>
  <c r="BW39" i="10"/>
  <c r="Z32" i="10"/>
  <c r="Z52" i="10"/>
  <c r="Z67" i="10" s="1" a="1"/>
  <c r="Z67" i="10" s="1"/>
  <c r="BW31" i="10"/>
  <c r="BW51" i="10"/>
  <c r="BW46" i="10"/>
  <c r="BH26" i="13" a="1"/>
  <c r="BH26" i="13" s="1"/>
  <c r="S74" i="12"/>
  <c r="S71" i="12" s="1"/>
  <c r="CJ71" i="12"/>
  <c r="AK74" i="12"/>
  <c r="AK71" i="12" s="1"/>
  <c r="CJ118" i="12"/>
  <c r="C13" i="4" s="1" a="1"/>
  <c r="C13" i="4" s="1"/>
  <c r="D13" i="4" s="1"/>
  <c r="E13" i="4" s="1"/>
  <c r="BH79" i="13"/>
  <c r="BW22" i="10"/>
  <c r="BW23" i="10" s="1"/>
  <c r="BX18" i="10" a="1"/>
  <c r="BX18" i="10" s="1"/>
  <c r="BX41" i="10" a="1"/>
  <c r="BX41" i="10" s="1"/>
  <c r="BX12" i="10" a="1"/>
  <c r="BX12" i="10" s="1"/>
  <c r="BX25" i="10" a="1"/>
  <c r="BX25" i="10" s="1"/>
  <c r="BX49" i="10" a="1"/>
  <c r="BX49" i="10" s="1"/>
  <c r="BX54" i="10" a="1"/>
  <c r="BX54" i="10" s="1"/>
  <c r="BX37" i="10" a="1"/>
  <c r="BX37" i="10" s="1"/>
  <c r="BX15" i="10" a="1"/>
  <c r="BX15" i="10" s="1"/>
  <c r="BX16" i="10" s="1"/>
  <c r="BX13" i="10" a="1"/>
  <c r="BX13" i="10" s="1"/>
  <c r="BX44" i="10" a="1"/>
  <c r="BX44" i="10" s="1"/>
  <c r="BX58" i="10" a="1"/>
  <c r="BX58" i="10" s="1"/>
  <c r="BX55" i="10" a="1"/>
  <c r="BX55" i="10" s="1"/>
  <c r="BX30" i="10" a="1"/>
  <c r="BX30" i="10" s="1"/>
  <c r="BX56" i="10" a="1"/>
  <c r="BX56" i="10" s="1"/>
  <c r="BX29" i="10" a="1"/>
  <c r="BX29" i="10" s="1"/>
  <c r="BX59" i="10" a="1"/>
  <c r="BX59" i="10" s="1"/>
  <c r="BX19" i="10" a="1"/>
  <c r="BX19" i="10" s="1"/>
  <c r="BX27" i="10" a="1"/>
  <c r="BX27" i="10" s="1"/>
  <c r="BX21" i="10" a="1"/>
  <c r="BX21" i="10" s="1"/>
  <c r="BX20" i="10" a="1"/>
  <c r="BX20" i="10" s="1"/>
  <c r="BX45" i="10" a="1"/>
  <c r="BX45" i="10" s="1"/>
  <c r="BX38" i="10" a="1"/>
  <c r="BX38" i="10" s="1"/>
  <c r="BG165" i="13"/>
  <c r="BX26" i="10" a="1"/>
  <c r="BX26" i="10" s="1"/>
  <c r="BG162" i="13"/>
  <c r="BX42" i="10" a="1"/>
  <c r="BX42" i="10" s="1"/>
  <c r="BX28" i="10" a="1"/>
  <c r="BX28" i="10" s="1"/>
  <c r="BX50" i="10" a="1"/>
  <c r="BX50" i="10" s="1"/>
  <c r="BX43" i="10" a="1"/>
  <c r="BX43" i="10" s="1"/>
  <c r="BX57" i="10" a="1"/>
  <c r="BX57" i="10" s="1"/>
  <c r="I60" i="33" l="1" a="1"/>
  <c r="I60" i="33" s="1"/>
  <c r="I58" i="33" s="1"/>
  <c r="I104" i="33" s="1" a="1"/>
  <c r="I104" i="33" s="1"/>
  <c r="G60" i="33" a="1"/>
  <c r="G60" i="33" s="1"/>
  <c r="M60" i="33" a="1"/>
  <c r="M60" i="33" s="1"/>
  <c r="M58" i="33" s="1"/>
  <c r="M104" i="33" s="1" a="1"/>
  <c r="M104" i="33" s="1"/>
  <c r="I84" i="33" a="1"/>
  <c r="I84" i="33" s="1"/>
  <c r="M84" i="33" a="1"/>
  <c r="M84" i="33" s="1"/>
  <c r="M92" i="33" s="1"/>
  <c r="M107" i="33" s="1" a="1"/>
  <c r="M107" i="33" s="1"/>
  <c r="G84" i="33" a="1"/>
  <c r="G84" i="33" s="1"/>
  <c r="BP66" i="10" a="1"/>
  <c r="BP66" i="10" s="1"/>
  <c r="BV61" i="10"/>
  <c r="BV69" i="10" s="1"/>
  <c r="BS66" i="10" a="1"/>
  <c r="BS66" i="10" s="1"/>
  <c r="BX22" i="10"/>
  <c r="BT66" i="10" a="1"/>
  <c r="BT66" i="10" s="1"/>
  <c r="Z66" i="10" a="1"/>
  <c r="Z66" i="10" s="1"/>
  <c r="BW47" i="10"/>
  <c r="BW32" i="10"/>
  <c r="BH153" i="13"/>
  <c r="BH156" i="13"/>
  <c r="BD56" i="8" a="1"/>
  <c r="BD56" i="8" s="1"/>
  <c r="BD54" i="8" s="1"/>
  <c r="BD154" i="8" s="1" a="1"/>
  <c r="BD154" i="8" s="1"/>
  <c r="BK56" i="8" a="1"/>
  <c r="BK56" i="8" s="1"/>
  <c r="BK54" i="8" s="1"/>
  <c r="BK154" i="8" s="1" a="1"/>
  <c r="BK154" i="8" s="1"/>
  <c r="W56" i="8" a="1"/>
  <c r="W56" i="8" s="1"/>
  <c r="W54" i="8" s="1"/>
  <c r="W154" i="8" s="1" a="1"/>
  <c r="W154" i="8" s="1"/>
  <c r="AN56" i="8" a="1"/>
  <c r="AN56" i="8" s="1"/>
  <c r="AN54" i="8" s="1"/>
  <c r="AN154" i="8" s="1" a="1"/>
  <c r="AN154" i="8" s="1"/>
  <c r="V56" i="8" a="1"/>
  <c r="V56" i="8" s="1"/>
  <c r="V54" i="8" s="1"/>
  <c r="V154" i="8" s="1" a="1"/>
  <c r="V154" i="8" s="1"/>
  <c r="P56" i="8" a="1"/>
  <c r="P56" i="8" s="1"/>
  <c r="P54" i="8" s="1"/>
  <c r="P154" i="8" s="1" a="1"/>
  <c r="P154" i="8" s="1"/>
  <c r="AG66" i="10" a="1"/>
  <c r="AG66" i="10" s="1"/>
  <c r="J56" i="8" a="1"/>
  <c r="J56" i="8" s="1"/>
  <c r="J54" i="8" s="1"/>
  <c r="J154" i="8" s="1" a="1"/>
  <c r="J154" i="8" s="1"/>
  <c r="BX56" i="8" a="1"/>
  <c r="BX56" i="8" s="1"/>
  <c r="BX54" i="8" s="1"/>
  <c r="BX154" i="8" s="1" a="1"/>
  <c r="BX154" i="8" s="1"/>
  <c r="Q56" i="8" a="1"/>
  <c r="Q56" i="8" s="1"/>
  <c r="Q54" i="8" s="1"/>
  <c r="Q154" i="8" s="1" a="1"/>
  <c r="Q154" i="8" s="1"/>
  <c r="BF56" i="8" a="1"/>
  <c r="BF56" i="8" s="1"/>
  <c r="BF54" i="8" s="1"/>
  <c r="BF154" i="8" s="1" a="1"/>
  <c r="BF154" i="8" s="1"/>
  <c r="CF56" i="8" a="1"/>
  <c r="CF56" i="8" s="1"/>
  <c r="CF54" i="8" s="1"/>
  <c r="CF154" i="8" s="1" a="1"/>
  <c r="CF154" i="8" s="1"/>
  <c r="T56" i="8" a="1"/>
  <c r="T56" i="8" s="1"/>
  <c r="T54" i="8" s="1"/>
  <c r="T154" i="8" s="1" a="1"/>
  <c r="T154" i="8" s="1"/>
  <c r="BN56" i="8" a="1"/>
  <c r="BN56" i="8" s="1"/>
  <c r="BN54" i="8" s="1"/>
  <c r="BN154" i="8" s="1" a="1"/>
  <c r="BN154" i="8" s="1"/>
  <c r="CD56" i="8" a="1"/>
  <c r="CD56" i="8" s="1"/>
  <c r="CD54" i="8" s="1"/>
  <c r="CD154" i="8" s="1" a="1"/>
  <c r="CD154" i="8" s="1"/>
  <c r="CG56" i="8" a="1"/>
  <c r="CG56" i="8" s="1"/>
  <c r="CG54" i="8" s="1"/>
  <c r="CG154" i="8" s="1" a="1"/>
  <c r="CG154" i="8" s="1"/>
  <c r="CE56" i="8" a="1"/>
  <c r="CE56" i="8" s="1"/>
  <c r="CE54" i="8" s="1"/>
  <c r="CE154" i="8" s="1" a="1"/>
  <c r="CE154" i="8" s="1"/>
  <c r="BW56" i="8" a="1"/>
  <c r="BW56" i="8" s="1"/>
  <c r="BW54" i="8" s="1"/>
  <c r="BW154" i="8" s="1" a="1"/>
  <c r="BW154" i="8" s="1"/>
  <c r="AA56" i="8" a="1"/>
  <c r="AA56" i="8" s="1"/>
  <c r="AA54" i="8" s="1"/>
  <c r="AA154" i="8" s="1" a="1"/>
  <c r="AA154" i="8" s="1"/>
  <c r="AW56" i="8" a="1"/>
  <c r="AW56" i="8" s="1"/>
  <c r="AW54" i="8" s="1"/>
  <c r="AW154" i="8" s="1" a="1"/>
  <c r="AW154" i="8" s="1"/>
  <c r="BL56" i="8" a="1"/>
  <c r="BL56" i="8" s="1"/>
  <c r="BL54" i="8" s="1"/>
  <c r="BL154" i="8" s="1" a="1"/>
  <c r="BL154" i="8" s="1"/>
  <c r="BI56" i="8" a="1"/>
  <c r="BI56" i="8" s="1"/>
  <c r="BI54" i="8" s="1"/>
  <c r="BI154" i="8" s="1" a="1"/>
  <c r="BI154" i="8" s="1"/>
  <c r="K56" i="8" a="1"/>
  <c r="K56" i="8" s="1"/>
  <c r="K54" i="8" s="1"/>
  <c r="K154" i="8" s="1" a="1"/>
  <c r="K154" i="8" s="1"/>
  <c r="BJ56" i="8" a="1"/>
  <c r="BJ56" i="8" s="1"/>
  <c r="BJ54" i="8" s="1"/>
  <c r="BJ154" i="8" s="1" a="1"/>
  <c r="BJ154" i="8" s="1"/>
  <c r="U56" i="8" a="1"/>
  <c r="U56" i="8" s="1"/>
  <c r="U54" i="8" s="1"/>
  <c r="U154" i="8" s="1" a="1"/>
  <c r="U154" i="8" s="1"/>
  <c r="N56" i="8" a="1"/>
  <c r="N56" i="8" s="1"/>
  <c r="N54" i="8" s="1"/>
  <c r="N154" i="8" s="1" a="1"/>
  <c r="N154" i="8" s="1"/>
  <c r="AO56" i="8" a="1"/>
  <c r="AO56" i="8" s="1"/>
  <c r="AO54" i="8" s="1"/>
  <c r="AO154" i="8" s="1" a="1"/>
  <c r="AO154" i="8" s="1"/>
  <c r="BB56" i="8" a="1"/>
  <c r="BB56" i="8" s="1"/>
  <c r="BB54" i="8" s="1"/>
  <c r="BB154" i="8" s="1" a="1"/>
  <c r="BB154" i="8" s="1"/>
  <c r="AF56" i="8" a="1"/>
  <c r="AF56" i="8" s="1"/>
  <c r="AF54" i="8" s="1"/>
  <c r="AF154" i="8" s="1" a="1"/>
  <c r="AF154" i="8" s="1"/>
  <c r="BO56" i="8" a="1"/>
  <c r="BO56" i="8" s="1"/>
  <c r="BO54" i="8" s="1"/>
  <c r="BO154" i="8" s="1" a="1"/>
  <c r="BO154" i="8" s="1"/>
  <c r="BM56" i="8" a="1"/>
  <c r="BM56" i="8" s="1"/>
  <c r="BM54" i="8" s="1"/>
  <c r="BM154" i="8" s="1" a="1"/>
  <c r="BM154" i="8" s="1"/>
  <c r="BT56" i="8" a="1"/>
  <c r="BT56" i="8" s="1"/>
  <c r="BT54" i="8" s="1"/>
  <c r="BT154" i="8" s="1" a="1"/>
  <c r="BT154" i="8" s="1"/>
  <c r="AV56" i="8" a="1"/>
  <c r="AV56" i="8" s="1"/>
  <c r="AV54" i="8" s="1"/>
  <c r="AV154" i="8" s="1" a="1"/>
  <c r="AV154" i="8" s="1"/>
  <c r="BR56" i="8" a="1"/>
  <c r="BR56" i="8" s="1"/>
  <c r="BR54" i="8" s="1"/>
  <c r="BR154" i="8" s="1" a="1"/>
  <c r="BR154" i="8" s="1"/>
  <c r="AX56" i="8" a="1"/>
  <c r="AX56" i="8" s="1"/>
  <c r="AX54" i="8" s="1"/>
  <c r="AX154" i="8" s="1" a="1"/>
  <c r="AX154" i="8" s="1"/>
  <c r="AB56" i="8" a="1"/>
  <c r="AB56" i="8" s="1"/>
  <c r="AB54" i="8" s="1"/>
  <c r="AB154" i="8" s="1" a="1"/>
  <c r="AB154" i="8" s="1"/>
  <c r="AH56" i="8" a="1"/>
  <c r="AH56" i="8" s="1"/>
  <c r="AH54" i="8" s="1"/>
  <c r="AH154" i="8" s="1" a="1"/>
  <c r="AH154" i="8" s="1"/>
  <c r="BE56" i="8" a="1"/>
  <c r="BE56" i="8" s="1"/>
  <c r="BE54" i="8" s="1"/>
  <c r="BE154" i="8" s="1" a="1"/>
  <c r="BE154" i="8" s="1"/>
  <c r="CB56" i="8" a="1"/>
  <c r="CB56" i="8" s="1"/>
  <c r="CB54" i="8" s="1"/>
  <c r="CB154" i="8" s="1" a="1"/>
  <c r="CB154" i="8" s="1"/>
  <c r="AG56" i="8" a="1"/>
  <c r="AG56" i="8" s="1"/>
  <c r="AG54" i="8" s="1"/>
  <c r="AG154" i="8" s="1" a="1"/>
  <c r="AG154" i="8" s="1"/>
  <c r="BV56" i="8" a="1"/>
  <c r="BV56" i="8" s="1"/>
  <c r="BV54" i="8" s="1"/>
  <c r="BV154" i="8" s="1" a="1"/>
  <c r="BV154" i="8" s="1"/>
  <c r="Y56" i="8" a="1"/>
  <c r="Y56" i="8" s="1"/>
  <c r="Y54" i="8" s="1"/>
  <c r="Y154" i="8" s="1" a="1"/>
  <c r="Y154" i="8" s="1"/>
  <c r="AI56" i="8" a="1"/>
  <c r="AI56" i="8" s="1"/>
  <c r="AI54" i="8" s="1"/>
  <c r="AI154" i="8" s="1" a="1"/>
  <c r="AI154" i="8" s="1"/>
  <c r="AY56" i="8" a="1"/>
  <c r="AY56" i="8" s="1"/>
  <c r="AY54" i="8" s="1"/>
  <c r="AY154" i="8" s="1" a="1"/>
  <c r="AY154" i="8" s="1"/>
  <c r="BZ56" i="8" a="1"/>
  <c r="BZ56" i="8" s="1"/>
  <c r="BZ54" i="8" s="1"/>
  <c r="BZ154" i="8" s="1" a="1"/>
  <c r="BZ154" i="8" s="1"/>
  <c r="AP56" i="8" a="1"/>
  <c r="AP56" i="8" s="1"/>
  <c r="AP54" i="8" s="1"/>
  <c r="AP154" i="8" s="1" a="1"/>
  <c r="AP154" i="8" s="1"/>
  <c r="X56" i="8" a="1"/>
  <c r="X56" i="8" s="1"/>
  <c r="X54" i="8" s="1"/>
  <c r="X154" i="8" s="1" a="1"/>
  <c r="X154" i="8" s="1"/>
  <c r="AT56" i="8" a="1"/>
  <c r="AT56" i="8" s="1"/>
  <c r="AT54" i="8" s="1"/>
  <c r="AT154" i="8" s="1" a="1"/>
  <c r="AT154" i="8" s="1"/>
  <c r="BH56" i="8" a="1"/>
  <c r="BH56" i="8" s="1"/>
  <c r="BH54" i="8" s="1"/>
  <c r="BH154" i="8" s="1" a="1"/>
  <c r="BH154" i="8" s="1"/>
  <c r="AX66" i="10" a="1"/>
  <c r="AX66" i="10" s="1"/>
  <c r="CC56" i="8" a="1"/>
  <c r="CC56" i="8" s="1"/>
  <c r="CC54" i="8" s="1"/>
  <c r="CC154" i="8" s="1" a="1"/>
  <c r="CC154" i="8" s="1"/>
  <c r="BP56" i="8" a="1"/>
  <c r="BP56" i="8" s="1"/>
  <c r="BP54" i="8" s="1"/>
  <c r="BP154" i="8" s="1" a="1"/>
  <c r="BP154" i="8" s="1"/>
  <c r="BD66" i="10" a="1"/>
  <c r="BD66" i="10" s="1"/>
  <c r="G66" i="10" a="1"/>
  <c r="G66" i="10" s="1"/>
  <c r="AZ56" i="8" a="1"/>
  <c r="AZ56" i="8" s="1"/>
  <c r="AZ54" i="8" s="1"/>
  <c r="AZ154" i="8" s="1" a="1"/>
  <c r="AZ154" i="8" s="1"/>
  <c r="AR56" i="8" a="1"/>
  <c r="AR56" i="8" s="1"/>
  <c r="AR54" i="8" s="1"/>
  <c r="AR154" i="8" s="1" a="1"/>
  <c r="AR154" i="8" s="1"/>
  <c r="AE56" i="8" a="1"/>
  <c r="AE56" i="8" s="1"/>
  <c r="AE54" i="8" s="1"/>
  <c r="AE154" i="8" s="1" a="1"/>
  <c r="AE154" i="8" s="1"/>
  <c r="AQ56" i="8" a="1"/>
  <c r="AQ56" i="8" s="1"/>
  <c r="AQ54" i="8" s="1"/>
  <c r="AQ154" i="8" s="1" a="1"/>
  <c r="AQ154" i="8" s="1"/>
  <c r="BC56" i="8" a="1"/>
  <c r="BC56" i="8" s="1"/>
  <c r="BC54" i="8" s="1"/>
  <c r="BC154" i="8" s="1" a="1"/>
  <c r="BC154" i="8" s="1"/>
  <c r="AM56" i="8" a="1"/>
  <c r="AM56" i="8" s="1"/>
  <c r="AM54" i="8" s="1"/>
  <c r="AM154" i="8" s="1" a="1"/>
  <c r="AM154" i="8" s="1"/>
  <c r="AL56" i="8" a="1"/>
  <c r="AL56" i="8" s="1"/>
  <c r="AL54" i="8" s="1"/>
  <c r="AL154" i="8" s="1" a="1"/>
  <c r="AL154" i="8" s="1"/>
  <c r="N66" i="10" a="1"/>
  <c r="N66" i="10" s="1"/>
  <c r="AE66" i="10" a="1"/>
  <c r="AE66" i="10" s="1"/>
  <c r="BA56" i="8" a="1"/>
  <c r="BA56" i="8" s="1"/>
  <c r="BA54" i="8" s="1"/>
  <c r="BA154" i="8" s="1" a="1"/>
  <c r="BA154" i="8" s="1"/>
  <c r="O66" i="10" a="1"/>
  <c r="O66" i="10" s="1"/>
  <c r="AD66" i="10" a="1"/>
  <c r="AD66" i="10" s="1"/>
  <c r="AU56" i="8" a="1"/>
  <c r="AU56" i="8" s="1"/>
  <c r="AU54" i="8" s="1"/>
  <c r="AU154" i="8" s="1" a="1"/>
  <c r="AU154" i="8" s="1"/>
  <c r="BQ56" i="8" a="1"/>
  <c r="BQ56" i="8" s="1"/>
  <c r="BQ54" i="8" s="1"/>
  <c r="BQ154" i="8" s="1" a="1"/>
  <c r="BQ154" i="8" s="1"/>
  <c r="BS56" i="8" a="1"/>
  <c r="BS56" i="8" s="1"/>
  <c r="BS54" i="8" s="1"/>
  <c r="BS154" i="8" s="1" a="1"/>
  <c r="BS154" i="8" s="1"/>
  <c r="BU56" i="8" a="1"/>
  <c r="BU56" i="8" s="1"/>
  <c r="BU54" i="8" s="1"/>
  <c r="BU154" i="8" s="1" a="1"/>
  <c r="BU154" i="8" s="1"/>
  <c r="CA56" i="8" a="1"/>
  <c r="CA56" i="8" s="1"/>
  <c r="CA54" i="8" s="1"/>
  <c r="CA154" i="8" s="1" a="1"/>
  <c r="CA154" i="8" s="1"/>
  <c r="BY56" i="8" a="1"/>
  <c r="BY56" i="8" s="1"/>
  <c r="BY54" i="8" s="1"/>
  <c r="BY154" i="8" s="1" a="1"/>
  <c r="BY154" i="8" s="1"/>
  <c r="Z56" i="8" a="1"/>
  <c r="Z56" i="8" s="1"/>
  <c r="Z54" i="8" s="1"/>
  <c r="Z154" i="8" s="1" a="1"/>
  <c r="Z154" i="8" s="1"/>
  <c r="AD56" i="8" a="1"/>
  <c r="AD56" i="8" s="1"/>
  <c r="AD54" i="8" s="1"/>
  <c r="AD154" i="8" s="1" a="1"/>
  <c r="AD154" i="8" s="1"/>
  <c r="BG56" i="8" a="1"/>
  <c r="BG56" i="8" s="1"/>
  <c r="BG54" i="8" s="1"/>
  <c r="BG154" i="8" s="1" a="1"/>
  <c r="BG154" i="8" s="1"/>
  <c r="AC56" i="8" a="1"/>
  <c r="AC56" i="8" s="1"/>
  <c r="AC54" i="8" s="1"/>
  <c r="AC154" i="8" s="1" a="1"/>
  <c r="AC154" i="8" s="1"/>
  <c r="O56" i="8" a="1"/>
  <c r="O56" i="8" s="1"/>
  <c r="O54" i="8" s="1"/>
  <c r="O154" i="8" s="1" a="1"/>
  <c r="O154" i="8" s="1"/>
  <c r="AS56" i="8" a="1"/>
  <c r="AS56" i="8" s="1"/>
  <c r="AS54" i="8" s="1"/>
  <c r="AS154" i="8" s="1" a="1"/>
  <c r="AS154" i="8" s="1"/>
  <c r="AP66" i="10" a="1"/>
  <c r="AP66" i="10" s="1"/>
  <c r="BF66" i="10" a="1"/>
  <c r="BF66" i="10" s="1"/>
  <c r="V66" i="10" a="1"/>
  <c r="V66" i="10" s="1"/>
  <c r="BE66" i="10" a="1"/>
  <c r="BE66" i="10" s="1"/>
  <c r="BI66" i="10" a="1"/>
  <c r="BI66" i="10" s="1"/>
  <c r="BK66" i="10" a="1"/>
  <c r="BK66" i="10" s="1"/>
  <c r="BB66" i="10" a="1"/>
  <c r="BB66" i="10" s="1"/>
  <c r="U66" i="10" a="1"/>
  <c r="U66" i="10" s="1"/>
  <c r="AK66" i="10" a="1"/>
  <c r="AK66" i="10" s="1"/>
  <c r="BN66" i="10" a="1"/>
  <c r="BN66" i="10" s="1"/>
  <c r="BC66" i="10" a="1"/>
  <c r="BC66" i="10" s="1"/>
  <c r="F66" i="10" a="1"/>
  <c r="F66" i="10" s="1"/>
  <c r="BA66" i="10" a="1"/>
  <c r="BA66" i="10" s="1"/>
  <c r="Q66" i="10" a="1"/>
  <c r="Q66" i="10" s="1"/>
  <c r="AQ66" i="10" a="1"/>
  <c r="AQ66" i="10" s="1"/>
  <c r="AS66" i="10" a="1"/>
  <c r="AS66" i="10" s="1"/>
  <c r="BH66" i="10" a="1"/>
  <c r="BH66" i="10" s="1"/>
  <c r="S66" i="10" a="1"/>
  <c r="S66" i="10" s="1"/>
  <c r="AN66" i="10" a="1"/>
  <c r="AN66" i="10" s="1"/>
  <c r="M66" i="10" a="1"/>
  <c r="M66" i="10" s="1"/>
  <c r="AY66" i="10" a="1"/>
  <c r="AY66" i="10" s="1"/>
  <c r="AR66" i="10" a="1"/>
  <c r="AR66" i="10" s="1"/>
  <c r="AZ66" i="10" a="1"/>
  <c r="AZ66" i="10" s="1"/>
  <c r="L66" i="10" a="1"/>
  <c r="L66" i="10" s="1"/>
  <c r="AH66" i="10" a="1"/>
  <c r="AH66" i="10" s="1"/>
  <c r="P66" i="10" a="1"/>
  <c r="P66" i="10" s="1"/>
  <c r="AV66" i="10" a="1"/>
  <c r="AV66" i="10" s="1"/>
  <c r="AT66" i="10" a="1"/>
  <c r="AT66" i="10" s="1"/>
  <c r="R66" i="10" a="1"/>
  <c r="R66" i="10" s="1"/>
  <c r="AJ66" i="10" a="1"/>
  <c r="AJ66" i="10" s="1"/>
  <c r="BJ66" i="10" a="1"/>
  <c r="BJ66" i="10" s="1"/>
  <c r="W66" i="10" a="1"/>
  <c r="W66" i="10" s="1"/>
  <c r="AI66" i="10" a="1"/>
  <c r="AI66" i="10" s="1"/>
  <c r="AM66" i="10" a="1"/>
  <c r="AM66" i="10" s="1"/>
  <c r="BM66" i="10" a="1"/>
  <c r="BM66" i="10" s="1"/>
  <c r="AL66" i="10" a="1"/>
  <c r="AL66" i="10" s="1"/>
  <c r="T66" i="10" a="1"/>
  <c r="T66" i="10" s="1"/>
  <c r="AW66" i="10" a="1"/>
  <c r="AW66" i="10" s="1"/>
  <c r="AO66" i="10" a="1"/>
  <c r="AO66" i="10" s="1"/>
  <c r="BO66" i="10" a="1"/>
  <c r="BO66" i="10" s="1"/>
  <c r="BL66" i="10" a="1"/>
  <c r="BL66" i="10" s="1"/>
  <c r="H66" i="10" a="1"/>
  <c r="H66" i="10" s="1"/>
  <c r="AF66" i="10" a="1"/>
  <c r="AF66" i="10" s="1"/>
  <c r="BG66" i="10" a="1"/>
  <c r="BG66" i="10" s="1"/>
  <c r="X66" i="10" a="1"/>
  <c r="X66" i="10" s="1"/>
  <c r="AU66" i="10" a="1"/>
  <c r="AU66" i="10" s="1"/>
  <c r="BQ66" i="10" a="1"/>
  <c r="BQ66" i="10" s="1"/>
  <c r="BR66" i="10" a="1"/>
  <c r="BR66" i="10" s="1"/>
  <c r="I12" i="10" a="1"/>
  <c r="I12" i="10" s="1"/>
  <c r="BY18" i="10" a="1"/>
  <c r="BY18" i="10" s="1"/>
  <c r="AA13" i="10" a="1"/>
  <c r="AA13" i="10" s="1"/>
  <c r="BY41" i="10" a="1"/>
  <c r="BY41" i="10" s="1"/>
  <c r="I18" i="10" a="1"/>
  <c r="I18" i="10" s="1"/>
  <c r="BY15" i="10" a="1"/>
  <c r="BY15" i="10" s="1"/>
  <c r="BY16" i="10" s="1"/>
  <c r="I15" i="10" a="1"/>
  <c r="I15" i="10" s="1"/>
  <c r="I16" i="10" s="1"/>
  <c r="BY54" i="10" a="1"/>
  <c r="BY54" i="10" s="1"/>
  <c r="BY49" i="10" a="1"/>
  <c r="BY49" i="10" s="1"/>
  <c r="AA41" i="10" a="1"/>
  <c r="AA41" i="10" s="1"/>
  <c r="I13" i="10" a="1"/>
  <c r="I13" i="10" s="1"/>
  <c r="AA12" i="10" a="1"/>
  <c r="AA12" i="10" s="1"/>
  <c r="BY13" i="10" a="1"/>
  <c r="BY13" i="10" s="1"/>
  <c r="AA18" i="10" a="1"/>
  <c r="AA18" i="10" s="1"/>
  <c r="AA25" i="10" a="1"/>
  <c r="AA25" i="10" s="1"/>
  <c r="I54" i="10" a="1"/>
  <c r="I54" i="10" s="1"/>
  <c r="AA15" i="10" a="1"/>
  <c r="AA15" i="10" s="1"/>
  <c r="AA16" i="10" s="1"/>
  <c r="I37" i="10" a="1"/>
  <c r="I37" i="10" s="1"/>
  <c r="BY37" i="10" a="1"/>
  <c r="BY37" i="10" s="1"/>
  <c r="AA49" i="10" a="1"/>
  <c r="AA49" i="10" s="1"/>
  <c r="I25" i="10" a="1"/>
  <c r="I25" i="10" s="1"/>
  <c r="I41" i="10" a="1"/>
  <c r="I41" i="10" s="1"/>
  <c r="I49" i="10" a="1"/>
  <c r="I49" i="10" s="1"/>
  <c r="BY12" i="10" a="1"/>
  <c r="BY12" i="10" s="1"/>
  <c r="I20" i="10" a="1"/>
  <c r="I20" i="10" s="1"/>
  <c r="BY25" i="10" a="1"/>
  <c r="BY25" i="10" s="1"/>
  <c r="I30" i="10" a="1"/>
  <c r="I30" i="10" s="1"/>
  <c r="AA27" i="10" a="1"/>
  <c r="AA27" i="10" s="1"/>
  <c r="AA20" i="10" a="1"/>
  <c r="AA20" i="10" s="1"/>
  <c r="AA19" i="10" a="1"/>
  <c r="AA19" i="10" s="1"/>
  <c r="BY45" i="10" a="1"/>
  <c r="BY45" i="10" s="1"/>
  <c r="AA45" i="10" a="1"/>
  <c r="AA45" i="10" s="1"/>
  <c r="AA37" i="10" a="1"/>
  <c r="AA37" i="10" s="1"/>
  <c r="I29" i="10" a="1"/>
  <c r="I29" i="10" s="1"/>
  <c r="I38" i="10" a="1"/>
  <c r="I38" i="10" s="1"/>
  <c r="BY19" i="10" a="1"/>
  <c r="BY19" i="10" s="1"/>
  <c r="I19" i="10" a="1"/>
  <c r="I19" i="10" s="1"/>
  <c r="AA28" i="10" a="1"/>
  <c r="AA28" i="10" s="1"/>
  <c r="I56" i="10" a="1"/>
  <c r="I56" i="10" s="1"/>
  <c r="BY44" i="10" a="1"/>
  <c r="BY44" i="10" s="1"/>
  <c r="BY50" i="10" a="1"/>
  <c r="BY50" i="10" s="1"/>
  <c r="BY42" i="10" a="1"/>
  <c r="BY42" i="10" s="1"/>
  <c r="BY55" i="10" a="1"/>
  <c r="BY55" i="10" s="1"/>
  <c r="I57" i="10" a="1"/>
  <c r="I57" i="10" s="1"/>
  <c r="AA26" i="10" a="1"/>
  <c r="AA26" i="10" s="1"/>
  <c r="BY58" i="10" a="1"/>
  <c r="BY58" i="10" s="1"/>
  <c r="AA55" i="10" a="1"/>
  <c r="AA55" i="10" s="1"/>
  <c r="I58" i="10" a="1"/>
  <c r="I58" i="10" s="1"/>
  <c r="I28" i="10" a="1"/>
  <c r="I28" i="10" s="1"/>
  <c r="AA56" i="10" a="1"/>
  <c r="AA56" i="10" s="1"/>
  <c r="BH162" i="13"/>
  <c r="I21" i="10" a="1"/>
  <c r="I21" i="10" s="1"/>
  <c r="AA21" i="10" a="1"/>
  <c r="AA21" i="10" s="1"/>
  <c r="AA58" i="10" a="1"/>
  <c r="AA58" i="10" s="1"/>
  <c r="BY26" i="10" a="1"/>
  <c r="BY26" i="10" s="1"/>
  <c r="BY38" i="10" a="1"/>
  <c r="BY38" i="10" s="1"/>
  <c r="I27" i="10" a="1"/>
  <c r="I27" i="10" s="1"/>
  <c r="I55" i="10" a="1"/>
  <c r="I55" i="10" s="1"/>
  <c r="BY21" i="10" a="1"/>
  <c r="BY21" i="10" s="1"/>
  <c r="AA29" i="10" a="1"/>
  <c r="AA29" i="10" s="1"/>
  <c r="I59" i="10" a="1"/>
  <c r="I59" i="10" s="1"/>
  <c r="I45" i="10" a="1"/>
  <c r="I45" i="10" s="1"/>
  <c r="I44" i="10" a="1"/>
  <c r="I44" i="10" s="1"/>
  <c r="AA30" i="10" a="1"/>
  <c r="AA30" i="10" s="1"/>
  <c r="AA43" i="10" a="1"/>
  <c r="AA43" i="10" s="1"/>
  <c r="BY28" i="10" a="1"/>
  <c r="BY28" i="10" s="1"/>
  <c r="AA50" i="10" a="1"/>
  <c r="AA50" i="10" s="1"/>
  <c r="BY59" i="10" a="1"/>
  <c r="BY59" i="10" s="1"/>
  <c r="AA44" i="10" a="1"/>
  <c r="AA44" i="10" s="1"/>
  <c r="AA57" i="10" a="1"/>
  <c r="AA57" i="10" s="1"/>
  <c r="I42" i="10" a="1"/>
  <c r="I42" i="10" s="1"/>
  <c r="I26" i="10" a="1"/>
  <c r="I26" i="10" s="1"/>
  <c r="AA42" i="10" a="1"/>
  <c r="AA42" i="10" s="1"/>
  <c r="AA38" i="10" a="1"/>
  <c r="AA38" i="10" s="1"/>
  <c r="BY20" i="10" a="1"/>
  <c r="BY20" i="10" s="1"/>
  <c r="I43" i="10" a="1"/>
  <c r="I43" i="10" s="1"/>
  <c r="BY30" i="10" a="1"/>
  <c r="BY30" i="10" s="1"/>
  <c r="BY29" i="10" a="1"/>
  <c r="BY29" i="10" s="1"/>
  <c r="BH165" i="13"/>
  <c r="BY27" i="10" a="1"/>
  <c r="BY27" i="10" s="1"/>
  <c r="BY57" i="10" a="1"/>
  <c r="BY57" i="10" s="1"/>
  <c r="AA54" i="10" a="1"/>
  <c r="AA54" i="10" s="1"/>
  <c r="BY43" i="10" a="1"/>
  <c r="BY43" i="10" s="1"/>
  <c r="AA59" i="10" a="1"/>
  <c r="AA59" i="10" s="1"/>
  <c r="BY56" i="10" a="1"/>
  <c r="BY56" i="10" s="1"/>
  <c r="I50" i="10" a="1"/>
  <c r="I50" i="10" s="1"/>
  <c r="BE80" i="8" a="1"/>
  <c r="BE80" i="8" s="1"/>
  <c r="BE88" i="8" s="1"/>
  <c r="BE157" i="8" s="1" a="1"/>
  <c r="BE157" i="8" s="1"/>
  <c r="BB55" i="11" a="1"/>
  <c r="BB55" i="11" s="1"/>
  <c r="BB56" i="11" s="1"/>
  <c r="BB60" i="11" s="1" a="1"/>
  <c r="BB60" i="11" s="1"/>
  <c r="BA55" i="11" a="1"/>
  <c r="BA55" i="11" s="1"/>
  <c r="BA56" i="11" s="1"/>
  <c r="BA60" i="11" s="1" a="1"/>
  <c r="BA60" i="11" s="1"/>
  <c r="N55" i="11" a="1"/>
  <c r="N55" i="11" s="1"/>
  <c r="N56" i="11" s="1"/>
  <c r="N60" i="11" s="1" a="1"/>
  <c r="N60" i="11" s="1"/>
  <c r="BP80" i="8" a="1"/>
  <c r="BP80" i="8" s="1"/>
  <c r="BP88" i="8" s="1"/>
  <c r="BP157" i="8" s="1" a="1"/>
  <c r="BP157" i="8" s="1"/>
  <c r="BL80" i="8" a="1"/>
  <c r="BL80" i="8" s="1"/>
  <c r="BL88" i="8" s="1"/>
  <c r="BL157" i="8" s="1" a="1"/>
  <c r="BL157" i="8" s="1"/>
  <c r="AX80" i="8" a="1"/>
  <c r="AX80" i="8" s="1"/>
  <c r="AX88" i="8" s="1"/>
  <c r="AX157" i="8" s="1" a="1"/>
  <c r="AX157" i="8" s="1"/>
  <c r="BV80" i="8" a="1"/>
  <c r="BV80" i="8" s="1"/>
  <c r="BV88" i="8" s="1"/>
  <c r="BV157" i="8" s="1" a="1"/>
  <c r="BV157" i="8" s="1"/>
  <c r="BL55" i="11" a="1"/>
  <c r="BL55" i="11" s="1"/>
  <c r="BL56" i="11" s="1"/>
  <c r="BL60" i="11" s="1" a="1"/>
  <c r="BL60" i="11" s="1"/>
  <c r="CB80" i="8" a="1"/>
  <c r="CB80" i="8" s="1"/>
  <c r="CB88" i="8" s="1"/>
  <c r="CB157" i="8" s="1" a="1"/>
  <c r="CB157" i="8" s="1"/>
  <c r="AU55" i="11" a="1"/>
  <c r="AU55" i="11" s="1"/>
  <c r="AU56" i="11" s="1"/>
  <c r="AU60" i="11" s="1" a="1"/>
  <c r="AU60" i="11" s="1"/>
  <c r="AM80" i="8" a="1"/>
  <c r="AM80" i="8" s="1"/>
  <c r="AM88" i="8" s="1"/>
  <c r="AM157" i="8" s="1" a="1"/>
  <c r="AM157" i="8" s="1"/>
  <c r="BP55" i="11" a="1"/>
  <c r="BP55" i="11" s="1"/>
  <c r="BP56" i="11" s="1"/>
  <c r="BP60" i="11" s="1" a="1"/>
  <c r="BP60" i="11" s="1"/>
  <c r="AE80" i="8" a="1"/>
  <c r="AE80" i="8" s="1"/>
  <c r="AE88" i="8" s="1"/>
  <c r="AE157" i="8" s="1" a="1"/>
  <c r="AE157" i="8" s="1"/>
  <c r="AI55" i="11" a="1"/>
  <c r="AI55" i="11" s="1"/>
  <c r="AI56" i="11" s="1"/>
  <c r="AI60" i="11" s="1" a="1"/>
  <c r="AI60" i="11" s="1"/>
  <c r="BF55" i="11" a="1"/>
  <c r="BF55" i="11" s="1"/>
  <c r="BF56" i="11" s="1"/>
  <c r="BF60" i="11" s="1" a="1"/>
  <c r="BF60" i="11" s="1"/>
  <c r="BY80" i="8" a="1"/>
  <c r="BY80" i="8" s="1"/>
  <c r="BY88" i="8" s="1"/>
  <c r="BY157" i="8" s="1" a="1"/>
  <c r="BY157" i="8" s="1"/>
  <c r="CE80" i="8" a="1"/>
  <c r="CE80" i="8" s="1"/>
  <c r="CE88" i="8" s="1"/>
  <c r="CE157" i="8" s="1" a="1"/>
  <c r="CE157" i="8" s="1"/>
  <c r="AO55" i="11" a="1"/>
  <c r="AO55" i="11" s="1"/>
  <c r="AO56" i="11" s="1"/>
  <c r="AO60" i="11" s="1" a="1"/>
  <c r="AO60" i="11" s="1"/>
  <c r="J80" i="8" a="1"/>
  <c r="J80" i="8" s="1"/>
  <c r="J88" i="8" s="1"/>
  <c r="J157" i="8" s="1" a="1"/>
  <c r="J157" i="8" s="1"/>
  <c r="AN55" i="11" a="1"/>
  <c r="AN55" i="11" s="1"/>
  <c r="AN56" i="11" s="1"/>
  <c r="AN60" i="11" s="1" a="1"/>
  <c r="AN60" i="11" s="1"/>
  <c r="AR55" i="11" a="1"/>
  <c r="AR55" i="11" s="1"/>
  <c r="AR56" i="11" s="1"/>
  <c r="AR60" i="11" s="1" a="1"/>
  <c r="AR60" i="11" s="1"/>
  <c r="P80" i="8" a="1"/>
  <c r="P80" i="8" s="1"/>
  <c r="P88" i="8" s="1"/>
  <c r="P157" i="8" s="1" a="1"/>
  <c r="P157" i="8" s="1"/>
  <c r="K55" i="11" a="1"/>
  <c r="K55" i="11" s="1"/>
  <c r="K56" i="11" s="1"/>
  <c r="K60" i="11" s="1" a="1"/>
  <c r="K60" i="11" s="1"/>
  <c r="U80" i="8" a="1"/>
  <c r="U80" i="8" s="1"/>
  <c r="U88" i="8" s="1"/>
  <c r="U157" i="8" s="1" a="1"/>
  <c r="U157" i="8" s="1"/>
  <c r="BN80" i="8" a="1"/>
  <c r="BN80" i="8" s="1"/>
  <c r="BN88" i="8" s="1"/>
  <c r="BN157" i="8" s="1" a="1"/>
  <c r="BN157" i="8" s="1"/>
  <c r="W55" i="11" a="1"/>
  <c r="W55" i="11" s="1"/>
  <c r="W56" i="11" s="1"/>
  <c r="W60" i="11" s="1" a="1"/>
  <c r="W60" i="11" s="1"/>
  <c r="AD80" i="8" a="1"/>
  <c r="AD80" i="8" s="1"/>
  <c r="AD88" i="8" s="1"/>
  <c r="AD157" i="8" s="1" a="1"/>
  <c r="AD157" i="8" s="1"/>
  <c r="AD55" i="11" a="1"/>
  <c r="AD55" i="11" s="1"/>
  <c r="AD56" i="11" s="1"/>
  <c r="AD60" i="11" s="1" a="1"/>
  <c r="AD60" i="11" s="1"/>
  <c r="BD55" i="11" a="1"/>
  <c r="BD55" i="11" s="1"/>
  <c r="BD56" i="11" s="1"/>
  <c r="BD60" i="11" s="1" a="1"/>
  <c r="BD60" i="11" s="1"/>
  <c r="AT55" i="11" a="1"/>
  <c r="AT55" i="11" s="1"/>
  <c r="AT56" i="11" s="1"/>
  <c r="AT60" i="11" s="1" a="1"/>
  <c r="AT60" i="11" s="1"/>
  <c r="AL80" i="8" a="1"/>
  <c r="AL80" i="8" s="1"/>
  <c r="AL88" i="8" s="1"/>
  <c r="AL157" i="8" s="1" a="1"/>
  <c r="AL157" i="8" s="1"/>
  <c r="T55" i="11" a="1"/>
  <c r="T55" i="11" s="1"/>
  <c r="T56" i="11" s="1"/>
  <c r="T60" i="11" s="1" a="1"/>
  <c r="T60" i="11" s="1"/>
  <c r="CA80" i="8" a="1"/>
  <c r="CA80" i="8" s="1"/>
  <c r="CA88" i="8" s="1"/>
  <c r="CA157" i="8" s="1" a="1"/>
  <c r="CA157" i="8" s="1"/>
  <c r="BT55" i="11" a="1"/>
  <c r="BT55" i="11" s="1"/>
  <c r="BT56" i="11" s="1"/>
  <c r="BT60" i="11" s="1" a="1"/>
  <c r="BT60" i="11" s="1"/>
  <c r="BO55" i="11" a="1"/>
  <c r="BO55" i="11" s="1"/>
  <c r="BO56" i="11" s="1"/>
  <c r="BO60" i="11" s="1" a="1"/>
  <c r="BO60" i="11" s="1"/>
  <c r="BZ80" i="8" a="1"/>
  <c r="BZ80" i="8" s="1"/>
  <c r="BZ88" i="8" s="1"/>
  <c r="BZ157" i="8" s="1" a="1"/>
  <c r="BZ157" i="8" s="1"/>
  <c r="AS55" i="11" a="1"/>
  <c r="AS55" i="11" s="1"/>
  <c r="AS56" i="11" s="1"/>
  <c r="AS60" i="11" s="1" a="1"/>
  <c r="AS60" i="11" s="1"/>
  <c r="BS80" i="8" a="1"/>
  <c r="BS80" i="8" s="1"/>
  <c r="BS88" i="8" s="1"/>
  <c r="BS157" i="8" s="1" a="1"/>
  <c r="BS157" i="8" s="1"/>
  <c r="Z55" i="11" a="1"/>
  <c r="Z55" i="11" s="1"/>
  <c r="Z56" i="11" s="1"/>
  <c r="Z60" i="11" s="1" a="1"/>
  <c r="Z60" i="11" s="1"/>
  <c r="BI55" i="11" a="1"/>
  <c r="BI55" i="11" s="1"/>
  <c r="BI56" i="11" s="1"/>
  <c r="BI60" i="11" s="1" a="1"/>
  <c r="BI60" i="11" s="1"/>
  <c r="BT80" i="8" a="1"/>
  <c r="BT80" i="8" s="1"/>
  <c r="BT88" i="8" s="1"/>
  <c r="BT157" i="8" s="1" a="1"/>
  <c r="BT157" i="8" s="1"/>
  <c r="AZ55" i="11" a="1"/>
  <c r="AZ55" i="11" s="1"/>
  <c r="AZ56" i="11" s="1"/>
  <c r="AZ60" i="11" s="1" a="1"/>
  <c r="AZ60" i="11" s="1"/>
  <c r="AY80" i="8" a="1"/>
  <c r="AY80" i="8" s="1"/>
  <c r="AY88" i="8" s="1"/>
  <c r="AY157" i="8" s="1" a="1"/>
  <c r="AY157" i="8" s="1"/>
  <c r="L55" i="11" a="1"/>
  <c r="L55" i="11" s="1"/>
  <c r="L56" i="11" s="1"/>
  <c r="L60" i="11" s="1" a="1"/>
  <c r="L60" i="11" s="1"/>
  <c r="BU55" i="11" a="1"/>
  <c r="BU55" i="11" s="1"/>
  <c r="BU56" i="11" s="1"/>
  <c r="BU60" i="11" s="1" a="1"/>
  <c r="BU60" i="11" s="1"/>
  <c r="O55" i="11" a="1"/>
  <c r="O55" i="11" s="1"/>
  <c r="O56" i="11" s="1"/>
  <c r="O60" i="11" s="1" a="1"/>
  <c r="O60" i="11" s="1"/>
  <c r="AR80" i="8" a="1"/>
  <c r="AR80" i="8" s="1"/>
  <c r="AR88" i="8" s="1"/>
  <c r="AR157" i="8" s="1" a="1"/>
  <c r="AR157" i="8" s="1"/>
  <c r="BC55" i="11" a="1"/>
  <c r="BC55" i="11" s="1"/>
  <c r="BC56" i="11" s="1"/>
  <c r="BC60" i="11" s="1" a="1"/>
  <c r="BC60" i="11" s="1"/>
  <c r="AG80" i="8" a="1"/>
  <c r="AG80" i="8" s="1"/>
  <c r="AG88" i="8" s="1"/>
  <c r="AG157" i="8" s="1" a="1"/>
  <c r="AG157" i="8" s="1"/>
  <c r="H55" i="11" a="1"/>
  <c r="H55" i="11" s="1"/>
  <c r="H56" i="11" s="1"/>
  <c r="H60" i="11" s="1" a="1"/>
  <c r="H60" i="11" s="1"/>
  <c r="BJ80" i="8" a="1"/>
  <c r="BJ80" i="8" s="1"/>
  <c r="BJ88" i="8" s="1"/>
  <c r="BJ157" i="8" s="1" a="1"/>
  <c r="BJ157" i="8" s="1"/>
  <c r="Q80" i="8" a="1"/>
  <c r="Q80" i="8" s="1"/>
  <c r="Q88" i="8" s="1"/>
  <c r="Q157" i="8" s="1" a="1"/>
  <c r="Q157" i="8" s="1"/>
  <c r="BB80" i="8" a="1"/>
  <c r="BB80" i="8" s="1"/>
  <c r="BB88" i="8" s="1"/>
  <c r="BB157" i="8" s="1" a="1"/>
  <c r="BB157" i="8" s="1"/>
  <c r="AZ80" i="8" a="1"/>
  <c r="AZ80" i="8" s="1"/>
  <c r="AZ88" i="8" s="1"/>
  <c r="AZ157" i="8" s="1" a="1"/>
  <c r="AZ157" i="8" s="1"/>
  <c r="BW80" i="8" a="1"/>
  <c r="BW80" i="8" s="1"/>
  <c r="BW88" i="8" s="1"/>
  <c r="BW157" i="8" s="1" a="1"/>
  <c r="BW157" i="8" s="1"/>
  <c r="BW55" i="11" a="1"/>
  <c r="BW55" i="11" s="1"/>
  <c r="BW56" i="11" s="1"/>
  <c r="BW60" i="11" s="1" a="1"/>
  <c r="BW60" i="11" s="1"/>
  <c r="AY55" i="11" a="1"/>
  <c r="AY55" i="11" s="1"/>
  <c r="AY56" i="11" s="1"/>
  <c r="AY60" i="11" s="1" a="1"/>
  <c r="AY60" i="11" s="1"/>
  <c r="AJ55" i="11" a="1"/>
  <c r="AJ55" i="11" s="1"/>
  <c r="AJ56" i="11" s="1"/>
  <c r="AJ60" i="11" s="1" a="1"/>
  <c r="AJ60" i="11" s="1"/>
  <c r="E55" i="11" a="1"/>
  <c r="E55" i="11" s="1"/>
  <c r="E56" i="11" s="1"/>
  <c r="E60" i="11" s="1" a="1"/>
  <c r="E60" i="11" s="1"/>
  <c r="CD80" i="8" a="1"/>
  <c r="CD80" i="8" s="1"/>
  <c r="CD88" i="8" s="1"/>
  <c r="CD157" i="8" s="1" a="1"/>
  <c r="CD157" i="8" s="1"/>
  <c r="AQ55" i="11" a="1"/>
  <c r="AQ55" i="11" s="1"/>
  <c r="AQ56" i="11" s="1"/>
  <c r="AQ60" i="11" s="1" a="1"/>
  <c r="AQ60" i="11" s="1"/>
  <c r="BF80" i="8" a="1"/>
  <c r="BF80" i="8" s="1"/>
  <c r="BF88" i="8" s="1"/>
  <c r="BF157" i="8" s="1" a="1"/>
  <c r="BF157" i="8" s="1"/>
  <c r="AC80" i="8" a="1"/>
  <c r="AC80" i="8" s="1"/>
  <c r="AC88" i="8" s="1"/>
  <c r="AC157" i="8" s="1" a="1"/>
  <c r="AC157" i="8" s="1"/>
  <c r="BQ55" i="11" a="1"/>
  <c r="BQ55" i="11" s="1"/>
  <c r="BQ56" i="11" s="1"/>
  <c r="BQ60" i="11" s="1" a="1"/>
  <c r="BQ60" i="11" s="1"/>
  <c r="CF80" i="8" a="1"/>
  <c r="CF80" i="8" s="1"/>
  <c r="CF88" i="8" s="1"/>
  <c r="CF157" i="8" s="1" a="1"/>
  <c r="CF157" i="8" s="1"/>
  <c r="BR80" i="8" a="1"/>
  <c r="BR80" i="8" s="1"/>
  <c r="BR88" i="8" s="1"/>
  <c r="BR157" i="8" s="1" a="1"/>
  <c r="BR157" i="8" s="1"/>
  <c r="AP55" i="11" a="1"/>
  <c r="AP55" i="11" s="1"/>
  <c r="AP56" i="11" s="1"/>
  <c r="AP60" i="11" s="1" a="1"/>
  <c r="AP60" i="11" s="1"/>
  <c r="AF80" i="8" a="1"/>
  <c r="AF80" i="8" s="1"/>
  <c r="AF88" i="8" s="1"/>
  <c r="AF157" i="8" s="1" a="1"/>
  <c r="AF157" i="8" s="1"/>
  <c r="S55" i="11" a="1"/>
  <c r="S55" i="11" s="1"/>
  <c r="S56" i="11" s="1"/>
  <c r="S60" i="11" s="1" a="1"/>
  <c r="S60" i="11" s="1"/>
  <c r="BI80" i="8" a="1"/>
  <c r="BI80" i="8" s="1"/>
  <c r="BI88" i="8" s="1"/>
  <c r="BI157" i="8" s="1" a="1"/>
  <c r="BI157" i="8" s="1"/>
  <c r="N80" i="8" a="1"/>
  <c r="N80" i="8" s="1"/>
  <c r="N88" i="8" s="1"/>
  <c r="N157" i="8" s="1" a="1"/>
  <c r="N157" i="8" s="1"/>
  <c r="O80" i="8" a="1"/>
  <c r="O80" i="8" s="1"/>
  <c r="O88" i="8" s="1"/>
  <c r="O157" i="8" s="1" a="1"/>
  <c r="O157" i="8" s="1"/>
  <c r="BG55" i="11" a="1"/>
  <c r="BG55" i="11" s="1"/>
  <c r="BG56" i="11" s="1"/>
  <c r="BG60" i="11" s="1" a="1"/>
  <c r="BG60" i="11" s="1"/>
  <c r="AH80" i="8" a="1"/>
  <c r="AH80" i="8" s="1"/>
  <c r="AH88" i="8" s="1"/>
  <c r="AH157" i="8" s="1" a="1"/>
  <c r="AH157" i="8" s="1"/>
  <c r="BM55" i="11" a="1"/>
  <c r="BM55" i="11" s="1"/>
  <c r="BM56" i="11" s="1"/>
  <c r="BM60" i="11" s="1" a="1"/>
  <c r="BM60" i="11" s="1"/>
  <c r="AB80" i="8" a="1"/>
  <c r="AB80" i="8" s="1"/>
  <c r="AB88" i="8" s="1"/>
  <c r="AB157" i="8" s="1" a="1"/>
  <c r="AB157" i="8" s="1"/>
  <c r="BJ55" i="11" a="1"/>
  <c r="BJ55" i="11" s="1"/>
  <c r="BJ56" i="11" s="1"/>
  <c r="BJ60" i="11" s="1" a="1"/>
  <c r="BJ60" i="11" s="1"/>
  <c r="AO80" i="8" a="1"/>
  <c r="AO80" i="8" s="1"/>
  <c r="AO88" i="8" s="1"/>
  <c r="AO157" i="8" s="1" a="1"/>
  <c r="AO157" i="8" s="1"/>
  <c r="AN80" i="8" a="1"/>
  <c r="AN80" i="8" s="1"/>
  <c r="AN88" i="8" s="1"/>
  <c r="AN157" i="8" s="1" a="1"/>
  <c r="AN157" i="8" s="1"/>
  <c r="BA80" i="8" a="1"/>
  <c r="BA80" i="8" s="1"/>
  <c r="BA88" i="8" s="1"/>
  <c r="BA157" i="8" s="1" a="1"/>
  <c r="BA157" i="8" s="1"/>
  <c r="BH80" i="8" a="1"/>
  <c r="BH80" i="8" s="1"/>
  <c r="BH88" i="8" s="1"/>
  <c r="BH157" i="8" s="1" a="1"/>
  <c r="BH157" i="8" s="1"/>
  <c r="BQ80" i="8" a="1"/>
  <c r="BQ80" i="8" s="1"/>
  <c r="BQ88" i="8" s="1"/>
  <c r="BQ157" i="8" s="1" a="1"/>
  <c r="BQ157" i="8" s="1"/>
  <c r="AP80" i="8" a="1"/>
  <c r="AP80" i="8" s="1"/>
  <c r="AP88" i="8" s="1"/>
  <c r="AP157" i="8" s="1" a="1"/>
  <c r="AP157" i="8" s="1"/>
  <c r="AF55" i="11" a="1"/>
  <c r="AF55" i="11" s="1"/>
  <c r="AF56" i="11" s="1"/>
  <c r="AF60" i="11" s="1" a="1"/>
  <c r="AF60" i="11" s="1"/>
  <c r="AX55" i="11" a="1"/>
  <c r="AX55" i="11" s="1"/>
  <c r="AX56" i="11" s="1"/>
  <c r="AX60" i="11" s="1" a="1"/>
  <c r="AX60" i="11" s="1"/>
  <c r="BN55" i="11" a="1"/>
  <c r="BN55" i="11" s="1"/>
  <c r="BN56" i="11" s="1"/>
  <c r="BN60" i="11" s="1" a="1"/>
  <c r="BN60" i="11" s="1"/>
  <c r="X55" i="11" a="1"/>
  <c r="X55" i="11" s="1"/>
  <c r="X56" i="11" s="1"/>
  <c r="X60" i="11" s="1" a="1"/>
  <c r="X60" i="11" s="1"/>
  <c r="BO80" i="8" a="1"/>
  <c r="BO80" i="8" s="1"/>
  <c r="BO88" i="8" s="1"/>
  <c r="BO157" i="8" s="1" a="1"/>
  <c r="BO157" i="8" s="1"/>
  <c r="AE55" i="11" a="1"/>
  <c r="AE55" i="11" s="1"/>
  <c r="AE56" i="11" s="1"/>
  <c r="AE60" i="11" s="1" a="1"/>
  <c r="AE60" i="11" s="1"/>
  <c r="AT80" i="8" a="1"/>
  <c r="AT80" i="8" s="1"/>
  <c r="AT88" i="8" s="1"/>
  <c r="AT157" i="8" s="1" a="1"/>
  <c r="AT157" i="8" s="1"/>
  <c r="BM80" i="8" a="1"/>
  <c r="BM80" i="8" s="1"/>
  <c r="BM88" i="8" s="1"/>
  <c r="BM157" i="8" s="1" a="1"/>
  <c r="BM157" i="8" s="1"/>
  <c r="V80" i="8" a="1"/>
  <c r="V80" i="8" s="1"/>
  <c r="V88" i="8" s="1"/>
  <c r="V157" i="8" s="1" a="1"/>
  <c r="V157" i="8" s="1"/>
  <c r="X80" i="8" a="1"/>
  <c r="X80" i="8" s="1"/>
  <c r="X88" i="8" s="1"/>
  <c r="X157" i="8" s="1" a="1"/>
  <c r="X157" i="8" s="1"/>
  <c r="P55" i="11" a="1"/>
  <c r="P55" i="11" s="1"/>
  <c r="P56" i="11" s="1"/>
  <c r="P60" i="11" s="1" a="1"/>
  <c r="P60" i="11" s="1"/>
  <c r="AA80" i="8" a="1"/>
  <c r="AA80" i="8" s="1"/>
  <c r="AA88" i="8" s="1"/>
  <c r="AA157" i="8" s="1" a="1"/>
  <c r="AA157" i="8" s="1"/>
  <c r="CG80" i="8" a="1"/>
  <c r="CG80" i="8" s="1"/>
  <c r="CG88" i="8" s="1"/>
  <c r="CG157" i="8" s="1" a="1"/>
  <c r="CG157" i="8" s="1"/>
  <c r="F55" i="11" a="1"/>
  <c r="F55" i="11" s="1"/>
  <c r="F56" i="11" s="1"/>
  <c r="F60" i="11" s="1" a="1"/>
  <c r="F60" i="11" s="1"/>
  <c r="Y80" i="8" a="1"/>
  <c r="Y80" i="8" s="1"/>
  <c r="Y88" i="8" s="1"/>
  <c r="Y157" i="8" s="1" a="1"/>
  <c r="Y157" i="8" s="1"/>
  <c r="AV80" i="8" a="1"/>
  <c r="AV80" i="8" s="1"/>
  <c r="AV88" i="8" s="1"/>
  <c r="AV157" i="8" s="1" a="1"/>
  <c r="AV157" i="8" s="1"/>
  <c r="Y55" i="11" a="1"/>
  <c r="Y55" i="11" s="1"/>
  <c r="Y56" i="11" s="1"/>
  <c r="Y60" i="11" s="1" a="1"/>
  <c r="Y60" i="11" s="1"/>
  <c r="AM55" i="11" a="1"/>
  <c r="AM55" i="11" s="1"/>
  <c r="AM56" i="11" s="1"/>
  <c r="AM60" i="11" s="1" a="1"/>
  <c r="AM60" i="11" s="1"/>
  <c r="BE55" i="11" a="1"/>
  <c r="BE55" i="11" s="1"/>
  <c r="BE56" i="11" s="1"/>
  <c r="BE60" i="11" s="1" a="1"/>
  <c r="BE60" i="11" s="1"/>
  <c r="M55" i="11" a="1"/>
  <c r="M55" i="11" s="1"/>
  <c r="M56" i="11" s="1"/>
  <c r="M60" i="11" s="1" a="1"/>
  <c r="M60" i="11" s="1"/>
  <c r="BX55" i="11" a="1"/>
  <c r="BX55" i="11" s="1"/>
  <c r="BX56" i="11" s="1"/>
  <c r="BX60" i="11" s="1" a="1"/>
  <c r="BX60" i="11" s="1"/>
  <c r="CC80" i="8" a="1"/>
  <c r="CC80" i="8" s="1"/>
  <c r="CC88" i="8" s="1"/>
  <c r="CC157" i="8" s="1" a="1"/>
  <c r="CC157" i="8" s="1"/>
  <c r="AG55" i="11" a="1"/>
  <c r="AG55" i="11" s="1"/>
  <c r="AG56" i="11" s="1"/>
  <c r="AG60" i="11" s="1" a="1"/>
  <c r="AG60" i="11" s="1"/>
  <c r="AC55" i="11" a="1"/>
  <c r="AC55" i="11" s="1"/>
  <c r="AC56" i="11" s="1"/>
  <c r="AC60" i="11" s="1" a="1"/>
  <c r="AC60" i="11" s="1"/>
  <c r="BU80" i="8" a="1"/>
  <c r="BU80" i="8" s="1"/>
  <c r="BU88" i="8" s="1"/>
  <c r="BU157" i="8" s="1" a="1"/>
  <c r="BU157" i="8" s="1"/>
  <c r="T80" i="8" a="1"/>
  <c r="T80" i="8" s="1"/>
  <c r="T88" i="8" s="1"/>
  <c r="T157" i="8" s="1" a="1"/>
  <c r="T157" i="8" s="1"/>
  <c r="BK55" i="11" a="1"/>
  <c r="BK55" i="11" s="1"/>
  <c r="BK56" i="11" s="1"/>
  <c r="BK60" i="11" s="1" a="1"/>
  <c r="BK60" i="11" s="1"/>
  <c r="BS55" i="11" a="1"/>
  <c r="BS55" i="11" s="1"/>
  <c r="BS56" i="11" s="1"/>
  <c r="BS60" i="11" s="1" a="1"/>
  <c r="BS60" i="11" s="1"/>
  <c r="Q55" i="11" a="1"/>
  <c r="Q55" i="11" s="1"/>
  <c r="Q56" i="11" s="1"/>
  <c r="Q60" i="11" s="1" a="1"/>
  <c r="Q60" i="11" s="1"/>
  <c r="AQ80" i="8" a="1"/>
  <c r="AQ80" i="8" s="1"/>
  <c r="AQ88" i="8" s="1"/>
  <c r="AQ157" i="8" s="1" a="1"/>
  <c r="AQ157" i="8" s="1"/>
  <c r="G55" i="11" a="1"/>
  <c r="G55" i="11" s="1"/>
  <c r="G56" i="11" s="1"/>
  <c r="G60" i="11" s="1" a="1"/>
  <c r="G60" i="11" s="1"/>
  <c r="AH55" i="11" a="1"/>
  <c r="AH55" i="11" s="1"/>
  <c r="AH56" i="11" s="1"/>
  <c r="AH60" i="11" s="1" a="1"/>
  <c r="AH60" i="11" s="1"/>
  <c r="AS80" i="8" a="1"/>
  <c r="AS80" i="8" s="1"/>
  <c r="AS88" i="8" s="1"/>
  <c r="AS157" i="8" s="1" a="1"/>
  <c r="AS157" i="8" s="1"/>
  <c r="AW80" i="8" a="1"/>
  <c r="AW80" i="8" s="1"/>
  <c r="AW88" i="8" s="1"/>
  <c r="AW157" i="8" s="1" a="1"/>
  <c r="AW157" i="8" s="1"/>
  <c r="U55" i="11" a="1"/>
  <c r="U55" i="11" s="1"/>
  <c r="U56" i="11" s="1"/>
  <c r="U60" i="11" s="1" a="1"/>
  <c r="U60" i="11" s="1"/>
  <c r="BC80" i="8" a="1"/>
  <c r="BC80" i="8" s="1"/>
  <c r="BC88" i="8" s="1"/>
  <c r="BC157" i="8" s="1" a="1"/>
  <c r="BC157" i="8" s="1"/>
  <c r="V55" i="11" a="1"/>
  <c r="V55" i="11" s="1"/>
  <c r="V56" i="11" s="1"/>
  <c r="V60" i="11" s="1" a="1"/>
  <c r="V60" i="11" s="1"/>
  <c r="Z80" i="8" a="1"/>
  <c r="Z80" i="8" s="1"/>
  <c r="Z88" i="8" s="1"/>
  <c r="Z157" i="8" s="1" a="1"/>
  <c r="Z157" i="8" s="1"/>
  <c r="BR55" i="11" a="1"/>
  <c r="BR55" i="11" s="1"/>
  <c r="BR56" i="11" s="1"/>
  <c r="BR60" i="11" s="1" a="1"/>
  <c r="BR60" i="11" s="1"/>
  <c r="AL55" i="11" a="1"/>
  <c r="AL55" i="11" s="1"/>
  <c r="AL56" i="11" s="1"/>
  <c r="AL60" i="11" s="1" a="1"/>
  <c r="AL60" i="11" s="1"/>
  <c r="W80" i="8" a="1"/>
  <c r="W80" i="8" s="1"/>
  <c r="W88" i="8" s="1"/>
  <c r="W157" i="8" s="1" a="1"/>
  <c r="W157" i="8" s="1"/>
  <c r="AW55" i="11" a="1"/>
  <c r="AW55" i="11" s="1"/>
  <c r="AW56" i="11" s="1"/>
  <c r="AW60" i="11" s="1" a="1"/>
  <c r="AW60" i="11" s="1"/>
  <c r="BG80" i="8" a="1"/>
  <c r="BG80" i="8" s="1"/>
  <c r="BG88" i="8" s="1"/>
  <c r="BG157" i="8" s="1" a="1"/>
  <c r="BG157" i="8" s="1"/>
  <c r="BH55" i="11" a="1"/>
  <c r="BH55" i="11" s="1"/>
  <c r="BH56" i="11" s="1"/>
  <c r="BH60" i="11" s="1" a="1"/>
  <c r="BH60" i="11" s="1"/>
  <c r="AU80" i="8" a="1"/>
  <c r="AU80" i="8" s="1"/>
  <c r="AU88" i="8" s="1"/>
  <c r="AU157" i="8" s="1" a="1"/>
  <c r="AU157" i="8" s="1"/>
  <c r="BK80" i="8" a="1"/>
  <c r="BK80" i="8" s="1"/>
  <c r="BK88" i="8" s="1"/>
  <c r="BK157" i="8" s="1" a="1"/>
  <c r="BK157" i="8" s="1"/>
  <c r="AK55" i="11" a="1"/>
  <c r="AK55" i="11" s="1"/>
  <c r="AK56" i="11" s="1"/>
  <c r="AK60" i="11" s="1" a="1"/>
  <c r="AK60" i="11" s="1"/>
  <c r="R55" i="11" a="1"/>
  <c r="R55" i="11" s="1"/>
  <c r="R56" i="11" s="1"/>
  <c r="R60" i="11" s="1" a="1"/>
  <c r="R60" i="11" s="1"/>
  <c r="AV55" i="11" a="1"/>
  <c r="AV55" i="11" s="1"/>
  <c r="AV56" i="11" s="1"/>
  <c r="AV60" i="11" s="1" a="1"/>
  <c r="AV60" i="11" s="1"/>
  <c r="BX80" i="8" a="1"/>
  <c r="BX80" i="8" s="1"/>
  <c r="BX88" i="8" s="1"/>
  <c r="BX157" i="8" s="1" a="1"/>
  <c r="BX157" i="8" s="1"/>
  <c r="K80" i="8" a="1"/>
  <c r="K80" i="8" s="1"/>
  <c r="K88" i="8" s="1"/>
  <c r="K157" i="8" s="1" a="1"/>
  <c r="K157" i="8" s="1"/>
  <c r="AI80" i="8" a="1"/>
  <c r="AI80" i="8" s="1"/>
  <c r="AI88" i="8" s="1"/>
  <c r="AI157" i="8" s="1" a="1"/>
  <c r="AI157" i="8" s="1"/>
  <c r="BV55" i="11" a="1"/>
  <c r="BV55" i="11" s="1"/>
  <c r="BV56" i="11" s="1"/>
  <c r="BV60" i="11" s="1" a="1"/>
  <c r="BV60" i="11" s="1"/>
  <c r="BD80" i="8" a="1"/>
  <c r="BD80" i="8" s="1"/>
  <c r="BD88" i="8" s="1"/>
  <c r="BD157" i="8" s="1" a="1"/>
  <c r="BD157" i="8" s="1"/>
  <c r="BX39" i="10"/>
  <c r="BV66" i="10" a="1"/>
  <c r="BV66" i="10" s="1"/>
  <c r="BX60" i="10"/>
  <c r="BX68" i="10" s="1" a="1"/>
  <c r="BX68" i="10" s="1"/>
  <c r="BX51" i="10"/>
  <c r="BX85" i="30"/>
  <c r="AB81" i="30"/>
  <c r="BX23" i="10"/>
  <c r="Y66" i="10" a="1"/>
  <c r="Y66" i="10" s="1"/>
  <c r="BU66" i="10" a="1"/>
  <c r="BU66" i="10" s="1"/>
  <c r="BX31" i="10"/>
  <c r="BX46" i="10"/>
  <c r="Z61" i="10"/>
  <c r="Z69" i="10" s="1"/>
  <c r="G58" i="33" l="1"/>
  <c r="N60" i="33"/>
  <c r="O60" i="33" s="1"/>
  <c r="J60" i="33"/>
  <c r="K60" i="33" s="1"/>
  <c r="J84" i="33"/>
  <c r="K84" i="33" s="1"/>
  <c r="I92" i="33"/>
  <c r="I107" i="33" s="1" a="1"/>
  <c r="I107" i="33" s="1"/>
  <c r="N84" i="33"/>
  <c r="O84" i="33" s="1"/>
  <c r="G92" i="33"/>
  <c r="BY31" i="10"/>
  <c r="AA46" i="10"/>
  <c r="BX47" i="10"/>
  <c r="BX52" i="10" s="1"/>
  <c r="BX67" i="10" s="1" a="1"/>
  <c r="BX67" i="10" s="1"/>
  <c r="C9" i="4" a="1"/>
  <c r="C9" i="4" s="1"/>
  <c r="D9" i="4" s="1"/>
  <c r="BX32" i="10"/>
  <c r="BX66" i="10" s="1" a="1"/>
  <c r="BX66" i="10" s="1"/>
  <c r="I51" i="10"/>
  <c r="BY51" i="10"/>
  <c r="AB85" i="30"/>
  <c r="BX87" i="30"/>
  <c r="BY60" i="10"/>
  <c r="BY68" i="10" s="1" a="1"/>
  <c r="BY68" i="10" s="1"/>
  <c r="I46" i="10"/>
  <c r="I31" i="10"/>
  <c r="I22" i="10"/>
  <c r="I23" i="10" s="1"/>
  <c r="AA51" i="10"/>
  <c r="BY46" i="10"/>
  <c r="BY39" i="10"/>
  <c r="C12" i="4" a="1"/>
  <c r="C12" i="4" s="1"/>
  <c r="D12" i="4" s="1"/>
  <c r="E12" i="4" s="1"/>
  <c r="AA60" i="10"/>
  <c r="AA68" i="10" s="1" a="1"/>
  <c r="AA68" i="10" s="1"/>
  <c r="I39" i="10"/>
  <c r="BY22" i="10"/>
  <c r="BY23" i="10" s="1"/>
  <c r="AA39" i="10"/>
  <c r="AA47" i="10" s="1"/>
  <c r="I60" i="10"/>
  <c r="I68" i="10" s="1" a="1"/>
  <c r="I68" i="10" s="1"/>
  <c r="BW66" i="10" a="1"/>
  <c r="BW66" i="10" s="1"/>
  <c r="C14" i="4" a="1"/>
  <c r="C14" i="4" s="1"/>
  <c r="D14" i="4" s="1"/>
  <c r="E14" i="4" s="1"/>
  <c r="AA31" i="10"/>
  <c r="AA22" i="10"/>
  <c r="BW52" i="10"/>
  <c r="BW67" i="10" s="1" a="1"/>
  <c r="BW67" i="10" s="1"/>
  <c r="N58" i="33" l="1"/>
  <c r="O58" i="33" s="1"/>
  <c r="J58" i="33"/>
  <c r="K58" i="33" s="1"/>
  <c r="G104" i="33" a="1"/>
  <c r="G104" i="33" s="1"/>
  <c r="N92" i="33"/>
  <c r="O92" i="33" s="1"/>
  <c r="G107" i="33" a="1"/>
  <c r="G107" i="33" s="1"/>
  <c r="J92" i="33"/>
  <c r="K92" i="33" s="1"/>
  <c r="BX61" i="10"/>
  <c r="BX69" i="10" s="1"/>
  <c r="I32" i="10"/>
  <c r="I66" i="10" s="1" a="1"/>
  <c r="I66" i="10" s="1"/>
  <c r="BY47" i="10"/>
  <c r="BY52" i="10" s="1"/>
  <c r="I47" i="10"/>
  <c r="I52" i="10" s="1"/>
  <c r="I67" i="10" s="1" a="1"/>
  <c r="I67" i="10" s="1"/>
  <c r="AA52" i="10"/>
  <c r="AA67" i="10" s="1" a="1"/>
  <c r="AA67" i="10" s="1"/>
  <c r="E9" i="4"/>
  <c r="AA23" i="10"/>
  <c r="AA32" i="10" s="1"/>
  <c r="BY32" i="10"/>
  <c r="BX91" i="30"/>
  <c r="AB91" i="30" s="1"/>
  <c r="AB87" i="30"/>
  <c r="BY84" i="30"/>
  <c r="BW61" i="10"/>
  <c r="BW69" i="10" s="1"/>
  <c r="C18" i="4" l="1" a="1"/>
  <c r="C18" i="4" s="1"/>
  <c r="D18" i="4" s="1"/>
  <c r="E18" i="4" s="1"/>
  <c r="AA61" i="10"/>
  <c r="AA69" i="10" s="1"/>
  <c r="BY67" i="10" a="1"/>
  <c r="BY67" i="10" s="1"/>
  <c r="BY61" i="10"/>
  <c r="BY69" i="10" s="1"/>
  <c r="I61" i="10"/>
  <c r="I69" i="10" s="1"/>
  <c r="AA66" i="10" a="1"/>
  <c r="AA66" i="10" s="1"/>
  <c r="BY66" i="10" a="1"/>
  <c r="BY66" i="10" s="1"/>
  <c r="BY81" i="30"/>
  <c r="AC84" i="30"/>
  <c r="C11" i="4" l="1" a="1"/>
  <c r="C11" i="4" s="1"/>
  <c r="D11" i="4" s="1"/>
  <c r="BY85" i="30"/>
  <c r="C20" i="4" l="1"/>
  <c r="BY87" i="30"/>
  <c r="E11" i="4"/>
  <c r="D20" i="4"/>
  <c r="C4" i="33" s="1"/>
  <c r="D4" i="5" l="1"/>
  <c r="A3" i="20"/>
  <c r="A3" i="28"/>
  <c r="A3" i="9"/>
  <c r="A3" i="17"/>
  <c r="A3" i="12"/>
  <c r="A3" i="16"/>
  <c r="A3" i="11"/>
  <c r="A3" i="15"/>
  <c r="A3" i="29"/>
  <c r="A3" i="13"/>
  <c r="A3" i="10"/>
  <c r="A3" i="30"/>
  <c r="A3" i="14"/>
  <c r="C4" i="7"/>
  <c r="A3" i="31"/>
  <c r="D4" i="6"/>
  <c r="A3" i="22"/>
  <c r="A3" i="8"/>
  <c r="BZ84" i="30"/>
  <c r="BY91" i="30"/>
  <c r="BZ81" i="30" l="1"/>
  <c r="BZ85" i="30" l="1"/>
  <c r="BZ87" i="30" l="1"/>
  <c r="BZ91" i="30" l="1"/>
  <c r="CA84" i="30"/>
  <c r="CA81" i="30" l="1"/>
  <c r="CA85" i="30" l="1"/>
  <c r="K81" i="30"/>
  <c r="AC81" i="30"/>
  <c r="K85" i="30" l="1"/>
  <c r="AC85" i="30"/>
  <c r="CA87" i="30"/>
  <c r="K87" i="30" l="1"/>
  <c r="AC87" i="30"/>
  <c r="CA91" i="30"/>
  <c r="AC91" i="30" l="1"/>
  <c r="K91" i="3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9">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futureMetadata>
  <cellMetadata count="1">
    <bk>
      <rc t="1" v="0"/>
    </bk>
  </cellMetadata>
  <valueMetadata count="9">
    <bk>
      <rc t="2" v="0"/>
    </bk>
    <bk>
      <rc t="2" v="1"/>
    </bk>
    <bk>
      <rc t="2" v="2"/>
    </bk>
    <bk>
      <rc t="2" v="3"/>
    </bk>
    <bk>
      <rc t="2" v="4"/>
    </bk>
    <bk>
      <rc t="2" v="5"/>
    </bk>
    <bk>
      <rc t="2" v="6"/>
    </bk>
    <bk>
      <rc t="2" v="7"/>
    </bk>
    <bk>
      <rc t="2" v="8"/>
    </bk>
  </valueMetadata>
</metadata>
</file>

<file path=xl/sharedStrings.xml><?xml version="1.0" encoding="utf-8"?>
<sst xmlns="http://schemas.openxmlformats.org/spreadsheetml/2006/main" count="8467" uniqueCount="711">
  <si>
    <t>Model Wiz</t>
  </si>
  <si>
    <t>Book A Free Demo</t>
  </si>
  <si>
    <t>Book Now</t>
  </si>
  <si>
    <t>Legal Disclaimer</t>
  </si>
  <si>
    <t>Instructions</t>
  </si>
  <si>
    <t>This document is provided as a reference and template, and the financial information included should not be considered a certified business valuation or projection. The information provided by Model Wiz (“we,” “us,” or “our”) is for general informational purposes only. All information is provided in good faith; however, we make no representation or warranty of any kind, express or implied, regarding the accuracy, adequacy, validity, reliability, availability, or completeness of any information.
UNDER NO CIRCUMSTANCE SHALL WE HAVE ANY LIABILITY TO YOU FOR ANY LOSS OR DAMAGE OF ANY KIND INCURRED AS A RESULT OF THE USE OF MODEL WIZ OR RELIANCE ON ANY INFORMATION PROVIDED. YOUR USE OF MODEL WIZ AND YOUR RELIANCE ON ANY INFORMATION IS SOLELY AT YOUR OWN RISK.
Model Wiz does not provide financial advice. The financial information is provided for general informational and educational purposes only and is not a substitute for professional advice. Before taking any actions based on such information, you should consult with appropriate professionals.
THE USE OR RELIANCE ON ANY INFORMATION PROVIDED BY MODEL WIZ IS SOLELY AT YOUR OWN RISK.</t>
  </si>
  <si>
    <t>Get your free Financial Model connected to your data.</t>
  </si>
  <si>
    <t>⚠️ Open a new worksheet and then follow these steps:</t>
  </si>
  <si>
    <t>1. Register and create your Model Wiz account.</t>
  </si>
  <si>
    <t>4. Set Last Month of Actuals.</t>
  </si>
  <si>
    <t>2. Connect your QuickBooks or Xero account.</t>
  </si>
  <si>
    <t>5. Turn on Include Projections.</t>
  </si>
  <si>
    <t>3. Click Create Financial Package.</t>
  </si>
  <si>
    <t>6. Click Create.</t>
  </si>
  <si>
    <t>Report:</t>
  </si>
  <si>
    <t>This Month</t>
  </si>
  <si>
    <t>Financial Summary</t>
  </si>
  <si>
    <t>Confidential</t>
  </si>
  <si>
    <t>Items in blue</t>
  </si>
  <si>
    <t>Editable</t>
  </si>
  <si>
    <t>These are inputs that can be adjusted</t>
  </si>
  <si>
    <t>Items in Purple</t>
  </si>
  <si>
    <t>Read Only</t>
  </si>
  <si>
    <t>These are references to other cells, and should not be edited</t>
  </si>
  <si>
    <t>Items in Black</t>
  </si>
  <si>
    <t>These are calculations, and should not be edited</t>
  </si>
  <si>
    <t>Items in Red</t>
  </si>
  <si>
    <t>These items are error checks, and the full details can be found in the Error Check tab</t>
  </si>
  <si>
    <t>Input: Editable parameters and assumptions</t>
  </si>
  <si>
    <t>Outputs: Dashboards, reports, or information displays</t>
  </si>
  <si>
    <t>Source: Data connections that can be refreshed</t>
  </si>
  <si>
    <t>Tab (click to navigate)</t>
  </si>
  <si>
    <t>Type</t>
  </si>
  <si>
    <t>Edit Status</t>
  </si>
  <si>
    <t>Description</t>
  </si>
  <si>
    <t>Drivers</t>
  </si>
  <si>
    <t>Input</t>
  </si>
  <si>
    <t>Edit the values feeding into the Profit &amp; Loss and Balance Sheet, as well as several other key inputs</t>
  </si>
  <si>
    <t>Headcount</t>
  </si>
  <si>
    <t>Edit existing &amp; projected hires</t>
  </si>
  <si>
    <t>Capex</t>
  </si>
  <si>
    <t>Edit projections for fixed &amp; intangible assets</t>
  </si>
  <si>
    <t>AR</t>
  </si>
  <si>
    <t>Edit assumptions for AR</t>
  </si>
  <si>
    <t>AP</t>
  </si>
  <si>
    <t>Edit assumptions for AP</t>
  </si>
  <si>
    <t>Revenue - Summary</t>
  </si>
  <si>
    <t>Review projections from existing, pipeline, and new customers</t>
  </si>
  <si>
    <t>KPI Dashboard</t>
  </si>
  <si>
    <t>Output</t>
  </si>
  <si>
    <t>Dashboard showcasing current period values vs comparison period</t>
  </si>
  <si>
    <t>Summary Financials</t>
  </si>
  <si>
    <t>Summarized view of P&amp;L, Balance Sheet, Cashflows</t>
  </si>
  <si>
    <t>Income Statement</t>
  </si>
  <si>
    <t>Detailed Profit &amp; Loss</t>
  </si>
  <si>
    <t>Balance Sheet</t>
  </si>
  <si>
    <t>Detailed Balance Sheet</t>
  </si>
  <si>
    <t>Cash Flows</t>
  </si>
  <si>
    <t>Detailed Cash Flows</t>
  </si>
  <si>
    <t>Error Check</t>
  </si>
  <si>
    <t>Tab to calculate any errors in the model</t>
  </si>
  <si>
    <t>Data Summary</t>
  </si>
  <si>
    <t>Read Only(Hidden)</t>
  </si>
  <si>
    <t>Tab for aggregating data to be later used in calculations</t>
  </si>
  <si>
    <t>Lists</t>
  </si>
  <si>
    <t>This tab is used for data validation and various lookup purposes</t>
  </si>
  <si>
    <t>PBC Tables</t>
  </si>
  <si>
    <t>Source</t>
  </si>
  <si>
    <t>Imported data from accounting system</t>
  </si>
  <si>
    <t>Last Month</t>
  </si>
  <si>
    <t>Compare:</t>
  </si>
  <si>
    <t>Prior Period</t>
  </si>
  <si>
    <t>Start Date</t>
  </si>
  <si>
    <t>Prior Year</t>
  </si>
  <si>
    <t>End Date:</t>
  </si>
  <si>
    <t>Budget</t>
  </si>
  <si>
    <t>Period</t>
  </si>
  <si>
    <t>Display Text</t>
  </si>
  <si>
    <t>End Date</t>
  </si>
  <si>
    <t>Current</t>
  </si>
  <si>
    <t>COGS</t>
  </si>
  <si>
    <t>Gross Profit</t>
  </si>
  <si>
    <t>Gross Margin</t>
  </si>
  <si>
    <t>Metric</t>
  </si>
  <si>
    <t>Metric Type</t>
  </si>
  <si>
    <t>Identifier</t>
  </si>
  <si>
    <t>PP</t>
  </si>
  <si>
    <t>Var - PP #</t>
  </si>
  <si>
    <t>Var - PP %</t>
  </si>
  <si>
    <t>PY</t>
  </si>
  <si>
    <t>Var - PY #</t>
  </si>
  <si>
    <t>Var - PY %</t>
  </si>
  <si>
    <t>Var - Budget #</t>
  </si>
  <si>
    <t>Var - Budget %</t>
  </si>
  <si>
    <t>Format Current</t>
  </si>
  <si>
    <t>Format Var - PP</t>
  </si>
  <si>
    <t>Format Var - PY</t>
  </si>
  <si>
    <t>Format Var - Budget</t>
  </si>
  <si>
    <t>Revenue</t>
  </si>
  <si>
    <t>Section</t>
  </si>
  <si>
    <t>Calculated Metric</t>
  </si>
  <si>
    <t>Opex</t>
  </si>
  <si>
    <t>Net Income</t>
  </si>
  <si>
    <t>Net Income (P&amp;L)</t>
  </si>
  <si>
    <t>Sum(Bank Accounts)</t>
  </si>
  <si>
    <t>Ending Cash</t>
  </si>
  <si>
    <t>Account</t>
  </si>
  <si>
    <t>ARR DASHBOARD</t>
  </si>
  <si>
    <t>DO NOT EDIT</t>
  </si>
  <si>
    <t>Opening</t>
  </si>
  <si>
    <t>New</t>
  </si>
  <si>
    <t>Lost</t>
  </si>
  <si>
    <t>Expansion</t>
  </si>
  <si>
    <t>Contraction</t>
  </si>
  <si>
    <t>Ending</t>
  </si>
  <si>
    <t>ARR</t>
  </si>
  <si>
    <t xml:space="preserve">Profit &amp; Loss </t>
  </si>
  <si>
    <t>vs Prior Period</t>
  </si>
  <si>
    <t>vs Prior Year</t>
  </si>
  <si>
    <t>Summary Grouping</t>
  </si>
  <si>
    <t>▲</t>
  </si>
  <si>
    <t>%</t>
  </si>
  <si>
    <t>Operating Expenses</t>
  </si>
  <si>
    <t>Marketing &amp; Advertising</t>
  </si>
  <si>
    <t>G&amp;A</t>
  </si>
  <si>
    <t>Payroll</t>
  </si>
  <si>
    <t>Professional Services</t>
  </si>
  <si>
    <t>Travel &amp; Entertainment</t>
  </si>
  <si>
    <t>Net Operating Income</t>
  </si>
  <si>
    <t>Operating Margin</t>
  </si>
  <si>
    <t>Other Income</t>
  </si>
  <si>
    <t>Other Expenses</t>
  </si>
  <si>
    <t>Depreciation &amp; Amortization</t>
  </si>
  <si>
    <t>Net Other Income</t>
  </si>
  <si>
    <t>Net Margin</t>
  </si>
  <si>
    <t>Assets</t>
  </si>
  <si>
    <t>Accounts Receivable</t>
  </si>
  <si>
    <t>Cash</t>
  </si>
  <si>
    <t>Current Assets</t>
  </si>
  <si>
    <t>Fixed Assets</t>
  </si>
  <si>
    <t>Intangible Assets</t>
  </si>
  <si>
    <t>Liabilities</t>
  </si>
  <si>
    <t>Accounts Payable</t>
  </si>
  <si>
    <t>Current Liabilities</t>
  </si>
  <si>
    <t>Debt</t>
  </si>
  <si>
    <t>Deferred Revenue</t>
  </si>
  <si>
    <t>Owners Equity</t>
  </si>
  <si>
    <t>Contributed Capital</t>
  </si>
  <si>
    <t>Retained Earnings</t>
  </si>
  <si>
    <t>Beginning Cash</t>
  </si>
  <si>
    <t>Cash From Operating Activities</t>
  </si>
  <si>
    <t>Cash From Investing Activities</t>
  </si>
  <si>
    <t>Cash From Financing Activities</t>
  </si>
  <si>
    <t>Adjustments to Retained Earnings</t>
  </si>
  <si>
    <t>Cash Burn</t>
  </si>
  <si>
    <t>Check</t>
  </si>
  <si>
    <t>Check Flag</t>
  </si>
  <si>
    <t>Ending Cash (consolidated)</t>
  </si>
  <si>
    <t>Custom</t>
  </si>
  <si>
    <t>Annual</t>
  </si>
  <si>
    <t>Quarterly</t>
  </si>
  <si>
    <t>Monthly</t>
  </si>
  <si>
    <t>Year</t>
  </si>
  <si>
    <t>Quarter</t>
  </si>
  <si>
    <t>Class</t>
  </si>
  <si>
    <t>Department</t>
  </si>
  <si>
    <t>YTD</t>
  </si>
  <si>
    <t>TTM</t>
  </si>
  <si>
    <t>Product Revenue</t>
  </si>
  <si>
    <t>Net Operating Margin</t>
  </si>
  <si>
    <t>Total Cash Flows</t>
  </si>
  <si>
    <t>Cash from Operating Activities</t>
  </si>
  <si>
    <t>Cash from Investing Activities</t>
  </si>
  <si>
    <t>Cash from Financing Activities</t>
  </si>
  <si>
    <t>Adjustment to Retained Earnings</t>
  </si>
  <si>
    <t>Department ID</t>
  </si>
  <si>
    <t>Account ID</t>
  </si>
  <si>
    <t>Hires</t>
  </si>
  <si>
    <t>General &amp; Administrative</t>
  </si>
  <si>
    <t>H1</t>
  </si>
  <si>
    <t>Sales &amp; Marketing</t>
  </si>
  <si>
    <t>H2</t>
  </si>
  <si>
    <t>Engineering</t>
  </si>
  <si>
    <t>H3</t>
  </si>
  <si>
    <t>Product</t>
  </si>
  <si>
    <t>H4</t>
  </si>
  <si>
    <t>Customer Support</t>
  </si>
  <si>
    <t>H5</t>
  </si>
  <si>
    <t>Expenses</t>
  </si>
  <si>
    <t>Salaries &amp; Wages</t>
  </si>
  <si>
    <t>FTE-Salary</t>
  </si>
  <si>
    <t>Consultant Salary</t>
  </si>
  <si>
    <t>Consultant-Salary</t>
  </si>
  <si>
    <t>Payroll Taxes</t>
  </si>
  <si>
    <t>Payroll-Taxes</t>
  </si>
  <si>
    <t>Health Benefits</t>
  </si>
  <si>
    <t>Health-Benefits</t>
  </si>
  <si>
    <t>Payroll Admin Fees</t>
  </si>
  <si>
    <t>Payroll-Admin-Fees</t>
  </si>
  <si>
    <t>Bonuses</t>
  </si>
  <si>
    <t>Bonus</t>
  </si>
  <si>
    <t>check Flag</t>
  </si>
  <si>
    <t>Budget Vs Actuals</t>
  </si>
  <si>
    <t>BUDGET</t>
  </si>
  <si>
    <t>ACTUAL</t>
  </si>
  <si>
    <t>KPI</t>
  </si>
  <si>
    <t>Value</t>
  </si>
  <si>
    <t>Negative</t>
  </si>
  <si>
    <t>Negative (b)</t>
  </si>
  <si>
    <t>Postive</t>
  </si>
  <si>
    <t>Positive (b)</t>
  </si>
  <si>
    <t>Advertising &amp; Marketing</t>
  </si>
  <si>
    <t>Other G&amp;A</t>
  </si>
  <si>
    <t>Software &amp; Tech</t>
  </si>
  <si>
    <t>Professional Fees</t>
  </si>
  <si>
    <t>Travel, Meals &amp; Entertainment</t>
  </si>
  <si>
    <t>Total Opex</t>
  </si>
  <si>
    <t>ID</t>
  </si>
  <si>
    <t>Income</t>
  </si>
  <si>
    <t>40100 Sales</t>
  </si>
  <si>
    <t>Sales of Product Income</t>
  </si>
  <si>
    <t>Services</t>
  </si>
  <si>
    <t>Total Income</t>
  </si>
  <si>
    <t>sum(Income)</t>
  </si>
  <si>
    <t>Cost of Goods Sold</t>
  </si>
  <si>
    <t>50100 Web Domain &amp; Hosting Fees</t>
  </si>
  <si>
    <t>50200 Merchant Account Fees</t>
  </si>
  <si>
    <t>Cost of goods sold</t>
  </si>
  <si>
    <t>Inventory Shrinkage</t>
  </si>
  <si>
    <t>Total Cost of Goods Sold</t>
  </si>
  <si>
    <t>sum(Cost of Goods Sold)</t>
  </si>
  <si>
    <t>GrossProfit</t>
  </si>
  <si>
    <t>60700 Professional Services</t>
  </si>
  <si>
    <t>60710 Accounting Fees</t>
  </si>
  <si>
    <t>60720 Consulting Fees</t>
  </si>
  <si>
    <t>60730 Legal Fees</t>
  </si>
  <si>
    <t>Total 60700 Professional Services</t>
  </si>
  <si>
    <t>sum(172)</t>
  </si>
  <si>
    <t>61000 Travel, Meals &amp; Entertainment</t>
  </si>
  <si>
    <t>61010 Lodging</t>
  </si>
  <si>
    <t>61020 Meals &amp; Entertainment</t>
  </si>
  <si>
    <t>61030 Travel</t>
  </si>
  <si>
    <t>Total 61000 Travel, Meals &amp; Entertainment</t>
  </si>
  <si>
    <t>sum(184)</t>
  </si>
  <si>
    <t>60100 Advertising &amp; Marketing</t>
  </si>
  <si>
    <t>60200 Bank Charges &amp; Fees</t>
  </si>
  <si>
    <t>60300 Conferences &amp; Events</t>
  </si>
  <si>
    <t>60400 Dues &amp; Subscriptions</t>
  </si>
  <si>
    <t>60500 Insurance</t>
  </si>
  <si>
    <t>60610 Office Supplies &amp; Software</t>
  </si>
  <si>
    <t>60620 Rent &amp; Lease</t>
  </si>
  <si>
    <t>60630 Utilities</t>
  </si>
  <si>
    <t>60740 Recruiting Fees</t>
  </si>
  <si>
    <t>60750 Contractors</t>
  </si>
  <si>
    <t>60810 Salary &amp; Wages</t>
  </si>
  <si>
    <t>60820 Payroll Taxes</t>
  </si>
  <si>
    <t>60830 Health Insurance</t>
  </si>
  <si>
    <t>60840 Payroll Processing Fees</t>
  </si>
  <si>
    <t>60850 Commissions Expense</t>
  </si>
  <si>
    <t>60900 Taxes &amp; Licenses</t>
  </si>
  <si>
    <t>Purchases</t>
  </si>
  <si>
    <t>Total Expenses</t>
  </si>
  <si>
    <t>sum(Expenses)</t>
  </si>
  <si>
    <t>NetOperatingIncome</t>
  </si>
  <si>
    <t>80100 Interest Income</t>
  </si>
  <si>
    <t>80200 Other Income</t>
  </si>
  <si>
    <t>Total Other Income</t>
  </si>
  <si>
    <t>sum(Other Income)</t>
  </si>
  <si>
    <t>90100 Depreciation Expense</t>
  </si>
  <si>
    <t>90200 Interest Expense</t>
  </si>
  <si>
    <t>Total Other Expenses</t>
  </si>
  <si>
    <t>sum(Other Expenses)</t>
  </si>
  <si>
    <t>NetOtherIncome</t>
  </si>
  <si>
    <t>ASSETS</t>
  </si>
  <si>
    <t>Bank Accounts</t>
  </si>
  <si>
    <t>1000000 American Bank</t>
  </si>
  <si>
    <t>Total Bank Accounts</t>
  </si>
  <si>
    <t>sum(Bank Accounts)</t>
  </si>
  <si>
    <t>10200 Accounts receivable (A/R)</t>
  </si>
  <si>
    <t>Total Accounts Receivable</t>
  </si>
  <si>
    <t>sum(Accounts Receivable)</t>
  </si>
  <si>
    <t>Other Current Assets</t>
  </si>
  <si>
    <t>10310 Prepaid Expenses</t>
  </si>
  <si>
    <t>10320 Security Deposit</t>
  </si>
  <si>
    <t>10330 Due to/from Officers</t>
  </si>
  <si>
    <t>Inventory Asset</t>
  </si>
  <si>
    <t>Total Other Current Assets</t>
  </si>
  <si>
    <t>sum(Other Current Assets)</t>
  </si>
  <si>
    <t>Total Current Assets</t>
  </si>
  <si>
    <t>sum(Current Assets)</t>
  </si>
  <si>
    <t>10410 Computers</t>
  </si>
  <si>
    <t>10420 Furniture</t>
  </si>
  <si>
    <t>10430 Equipment</t>
  </si>
  <si>
    <t>10440 Accumulated Depreciation</t>
  </si>
  <si>
    <t>Copyrights</t>
  </si>
  <si>
    <t>Trademarks</t>
  </si>
  <si>
    <t>Total Fixed Assets</t>
  </si>
  <si>
    <t>sum(Fixed Assets)</t>
  </si>
  <si>
    <t>TOTAL ASSETS</t>
  </si>
  <si>
    <t>sum(ASSETS)</t>
  </si>
  <si>
    <t>LIABILITIES AND EQUITY</t>
  </si>
  <si>
    <t>20100 Accounts Payable</t>
  </si>
  <si>
    <t>Accounts Payable (A/P)</t>
  </si>
  <si>
    <t>Total Accounts Payable</t>
  </si>
  <si>
    <t>sum(Accounts Payable)</t>
  </si>
  <si>
    <t>Other Current Liabilities</t>
  </si>
  <si>
    <t>20310 Accrued Expenses</t>
  </si>
  <si>
    <t>20320 Accrued Payroll</t>
  </si>
  <si>
    <t>20330 Deferred Revenue</t>
  </si>
  <si>
    <t>20340 Sales Tax Payable</t>
  </si>
  <si>
    <t>Payroll wages and tax to pay</t>
  </si>
  <si>
    <t>Total Other Current Liabilities</t>
  </si>
  <si>
    <t>sum(Other Current Liabilities)</t>
  </si>
  <si>
    <t>Total Current Liabilities</t>
  </si>
  <si>
    <t>sum(Current Liabilities)</t>
  </si>
  <si>
    <t>Long-Term Liabilities</t>
  </si>
  <si>
    <t>20411 Principal</t>
  </si>
  <si>
    <t>20412 Accrued Interest</t>
  </si>
  <si>
    <t>Total Long-Term Liabilities</t>
  </si>
  <si>
    <t>sum(Long-Term Liabilities)</t>
  </si>
  <si>
    <t>Total Liabilities</t>
  </si>
  <si>
    <t>sum(Liabilities)</t>
  </si>
  <si>
    <t>Equity</t>
  </si>
  <si>
    <t>30100 Common Stock</t>
  </si>
  <si>
    <t>30200 Preferred Stock</t>
  </si>
  <si>
    <t>30300 Additional Paid in Capital</t>
  </si>
  <si>
    <t>30400 Retained Earnings</t>
  </si>
  <si>
    <t>Opening balance equity</t>
  </si>
  <si>
    <t>Total Equity</t>
  </si>
  <si>
    <t>sum(Equity)</t>
  </si>
  <si>
    <t>TOTAL LIABILITIES AND EQUITY</t>
  </si>
  <si>
    <t>sum(LIABILITIES AND EQUITY)</t>
  </si>
  <si>
    <t>sum(Assets)</t>
  </si>
  <si>
    <t>Accounting Equation</t>
  </si>
  <si>
    <t>sum(Liabilities and Equity)</t>
  </si>
  <si>
    <t>OPERATING ACTIVITIES</t>
  </si>
  <si>
    <t>Δ in Current Assets</t>
  </si>
  <si>
    <t>Accumulated Amortization</t>
  </si>
  <si>
    <t>Δ in Current Liabilities</t>
  </si>
  <si>
    <t>CASH FROM OPERATING ACTIVITIES</t>
  </si>
  <si>
    <t>INVESTING ACTIVITIES</t>
  </si>
  <si>
    <t>CASH FROM INVESTING ACTIVITIES</t>
  </si>
  <si>
    <t>FINANCING ACTIVITIES</t>
  </si>
  <si>
    <t>Adjustment Row</t>
  </si>
  <si>
    <t>CASH FROM FINANCING ACTIVITIES</t>
  </si>
  <si>
    <t>Driver</t>
  </si>
  <si>
    <t>% / Buffer</t>
  </si>
  <si>
    <t>Assumption</t>
  </si>
  <si>
    <t>Drivers Section</t>
  </si>
  <si>
    <t>Cash Flow Section</t>
  </si>
  <si>
    <t>Account Type</t>
  </si>
  <si>
    <t>Annual assumption</t>
  </si>
  <si>
    <t xml:space="preserve">                                       </t>
  </si>
  <si>
    <t>12 month avg</t>
  </si>
  <si>
    <t>6 month avg</t>
  </si>
  <si>
    <t>Quarterly assumption</t>
  </si>
  <si>
    <t>Fixed &amp; Intangibles</t>
  </si>
  <si>
    <t>formula</t>
  </si>
  <si>
    <t>Prior month</t>
  </si>
  <si>
    <t xml:space="preserve"> </t>
  </si>
  <si>
    <t>Retained Earnings Validation</t>
  </si>
  <si>
    <t>Detailed Payroll</t>
  </si>
  <si>
    <t>Title</t>
  </si>
  <si>
    <t>First Name</t>
  </si>
  <si>
    <t>Last Name</t>
  </si>
  <si>
    <t>Location</t>
  </si>
  <si>
    <t>Initial Salary</t>
  </si>
  <si>
    <t>New Salary</t>
  </si>
  <si>
    <t>New Salary Date</t>
  </si>
  <si>
    <t>Annual Bonus</t>
  </si>
  <si>
    <t>CEO</t>
  </si>
  <si>
    <t>Matt</t>
  </si>
  <si>
    <t>Matthews</t>
  </si>
  <si>
    <t>USA</t>
  </si>
  <si>
    <t>FTE</t>
  </si>
  <si>
    <t>Product Designer</t>
  </si>
  <si>
    <t>Steven</t>
  </si>
  <si>
    <t>Colbert</t>
  </si>
  <si>
    <t>Overseas</t>
  </si>
  <si>
    <t>Consultant</t>
  </si>
  <si>
    <t xml:space="preserve">Account Executive </t>
  </si>
  <si>
    <t>Melissa</t>
  </si>
  <si>
    <t>F'sheezy</t>
  </si>
  <si>
    <t>VP of Sales</t>
  </si>
  <si>
    <t xml:space="preserve">George </t>
  </si>
  <si>
    <t>Castanza</t>
  </si>
  <si>
    <t>CTO</t>
  </si>
  <si>
    <t>Guillermina</t>
  </si>
  <si>
    <t>San de Vajo</t>
  </si>
  <si>
    <t>BDR</t>
  </si>
  <si>
    <t>Roger</t>
  </si>
  <si>
    <t>Clemens</t>
  </si>
  <si>
    <t>Lady</t>
  </si>
  <si>
    <t>Madonna</t>
  </si>
  <si>
    <t>COO</t>
  </si>
  <si>
    <t>Front End Engineer</t>
  </si>
  <si>
    <t>Product Manager</t>
  </si>
  <si>
    <t>Bulk Add Payroll</t>
  </si>
  <si>
    <t>Avg Cost per Hire</t>
  </si>
  <si>
    <t>New Hires by Department (Incremental)</t>
  </si>
  <si>
    <t>New Hires by Department (Cumulative)</t>
  </si>
  <si>
    <t>Hires by Department</t>
  </si>
  <si>
    <t>Total Hires</t>
  </si>
  <si>
    <t>Expenses by Department</t>
  </si>
  <si>
    <t>Headcount ID</t>
  </si>
  <si>
    <t>Drivers Account</t>
  </si>
  <si>
    <t>FTE Salary</t>
  </si>
  <si>
    <t>Headcount Costs Summary</t>
  </si>
  <si>
    <t>Costs</t>
  </si>
  <si>
    <t>Check (Total = Departmental Spend)</t>
  </si>
  <si>
    <t>Check (Total Gross Salary = Departmental Spend)</t>
  </si>
  <si>
    <t>Assumptions</t>
  </si>
  <si>
    <t>Payroll tax</t>
  </si>
  <si>
    <t>of FTE Salary</t>
  </si>
  <si>
    <t>Bonus Month</t>
  </si>
  <si>
    <t>expand to view</t>
  </si>
  <si>
    <t>Existing Deferred Revenue</t>
  </si>
  <si>
    <t>Projected Deferred Revenue</t>
  </si>
  <si>
    <t>Activity</t>
  </si>
  <si>
    <t>New Sales</t>
  </si>
  <si>
    <t>Revenue Recognition</t>
  </si>
  <si>
    <t>Total</t>
  </si>
  <si>
    <t>Deferred Revenue Balance</t>
  </si>
  <si>
    <t>Beginning Balance</t>
  </si>
  <si>
    <t>Add:New Invoices</t>
  </si>
  <si>
    <t>Less: Revenue</t>
  </si>
  <si>
    <t>Ending Balance</t>
  </si>
  <si>
    <t>Deferred revenue</t>
  </si>
  <si>
    <t>Existing AP</t>
  </si>
  <si>
    <t>Projected AP</t>
  </si>
  <si>
    <t>New Expenses</t>
  </si>
  <si>
    <t>% for AP</t>
  </si>
  <si>
    <t>Cash Disbursements</t>
  </si>
  <si>
    <t>Accounts Payable Balance</t>
  </si>
  <si>
    <t>Add:New Expenses</t>
  </si>
  <si>
    <t>Less: Payments</t>
  </si>
  <si>
    <t>Existing AR</t>
  </si>
  <si>
    <t>Projected AR</t>
  </si>
  <si>
    <t>Accounts Receivable Balance</t>
  </si>
  <si>
    <t>Less: Collections</t>
  </si>
  <si>
    <t>Asset</t>
  </si>
  <si>
    <t>Depreciation
/ Amortization Months</t>
  </si>
  <si>
    <t>Asset ID</t>
  </si>
  <si>
    <t>Depreciation
/ Amortization ID</t>
  </si>
  <si>
    <t>Accumulated Depreciation
/ Amortization ID</t>
  </si>
  <si>
    <t>Depr ID</t>
  </si>
  <si>
    <t>Acc. Depr. ID</t>
  </si>
  <si>
    <t>Additions</t>
  </si>
  <si>
    <t>Ending Asset Balance</t>
  </si>
  <si>
    <t>Depreciation - Asset Specific</t>
  </si>
  <si>
    <t>Deperciation - Consolidated</t>
  </si>
  <si>
    <t>Accumulated Depreciation</t>
  </si>
  <si>
    <t>Computers</t>
  </si>
  <si>
    <t>Furniture</t>
  </si>
  <si>
    <t>Equipment</t>
  </si>
  <si>
    <t>Depreciation Expense</t>
  </si>
  <si>
    <t>Purchase period (incremental)</t>
  </si>
  <si>
    <t>Minimum Inventory Balance</t>
  </si>
  <si>
    <t>Total Purchases</t>
  </si>
  <si>
    <t>Additional Purchase for Minimum Balance</t>
  </si>
  <si>
    <t>Summary</t>
  </si>
  <si>
    <t>Add: Purchases</t>
  </si>
  <si>
    <t>Less: COGS</t>
  </si>
  <si>
    <t>Inventory</t>
  </si>
  <si>
    <t>By Class &amp; Summary</t>
  </si>
  <si>
    <t>Profit &amp; Loss</t>
  </si>
  <si>
    <t>By GL</t>
  </si>
  <si>
    <t>Amortization expenses</t>
  </si>
  <si>
    <t>Summary Revenue</t>
  </si>
  <si>
    <t>Summary COGS</t>
  </si>
  <si>
    <t>Summary Opex</t>
  </si>
  <si>
    <t>Summary Other Income</t>
  </si>
  <si>
    <t>Summary Other Expense</t>
  </si>
  <si>
    <t>Summary Assets</t>
  </si>
  <si>
    <t>Summary Liabilities</t>
  </si>
  <si>
    <t>Summary Owners Equity</t>
  </si>
  <si>
    <t>Summary Accounting Equation</t>
  </si>
  <si>
    <t>GL Revenue</t>
  </si>
  <si>
    <t>GL COGS</t>
  </si>
  <si>
    <t>GL Opex</t>
  </si>
  <si>
    <t>GL Other Income</t>
  </si>
  <si>
    <t>GL Other Expenses</t>
  </si>
  <si>
    <t>GL Assets</t>
  </si>
  <si>
    <t>GL Liabilities</t>
  </si>
  <si>
    <t>GL Owners Equity</t>
  </si>
  <si>
    <t>GL Accounting Equation</t>
  </si>
  <si>
    <t>Churn</t>
  </si>
  <si>
    <t>Stages</t>
  </si>
  <si>
    <t>Stage</t>
  </si>
  <si>
    <t>Likelihood</t>
  </si>
  <si>
    <t>Data Imported or Data Review</t>
  </si>
  <si>
    <t>Process and Value Alignment</t>
  </si>
  <si>
    <t>Meeting Held with next steps</t>
  </si>
  <si>
    <t>Closed won</t>
  </si>
  <si>
    <t>Closed lost</t>
  </si>
  <si>
    <t>Pricing Conversation Complete</t>
  </si>
  <si>
    <t>Billings</t>
  </si>
  <si>
    <t>Existing</t>
  </si>
  <si>
    <t>Pipeline</t>
  </si>
  <si>
    <t>Net additions to ARR</t>
  </si>
  <si>
    <t>Net Additions to ARR</t>
  </si>
  <si>
    <t>Add: Invoices</t>
  </si>
  <si>
    <t>Initial</t>
  </si>
  <si>
    <t>Renewal</t>
  </si>
  <si>
    <t>Annually</t>
  </si>
  <si>
    <t>ASSUMPTION</t>
  </si>
  <si>
    <t>Sales price</t>
  </si>
  <si>
    <t>Product 1</t>
  </si>
  <si>
    <t>Product 2</t>
  </si>
  <si>
    <t>Product 3</t>
  </si>
  <si>
    <t>Assumed Customer Split</t>
  </si>
  <si>
    <t>COGS Assumption</t>
  </si>
  <si>
    <t>ACQUISITION</t>
  </si>
  <si>
    <t>Acquisition Channels</t>
  </si>
  <si>
    <t>Sales Reps</t>
  </si>
  <si>
    <t>Digital Marketing</t>
  </si>
  <si>
    <t>Partnerships</t>
  </si>
  <si>
    <t>Organic</t>
  </si>
  <si>
    <t>Ramp Period</t>
  </si>
  <si>
    <t>Annual Sales Quota</t>
  </si>
  <si>
    <t>Utilization</t>
  </si>
  <si>
    <t>Annnual Sales Quota (Net)</t>
  </si>
  <si>
    <t>New Sales Reps</t>
  </si>
  <si>
    <t>Cumulative Sales Reps</t>
  </si>
  <si>
    <t>Cumulative Sales Reps (Ramped)</t>
  </si>
  <si>
    <t>Total Customers</t>
  </si>
  <si>
    <t>Paid Spend</t>
  </si>
  <si>
    <t>Cost per Lead</t>
  </si>
  <si>
    <t>Total Leads</t>
  </si>
  <si>
    <t>Conversion: Lead to Customer</t>
  </si>
  <si>
    <t>New partners</t>
  </si>
  <si>
    <t>Total Partners</t>
  </si>
  <si>
    <t>Monthly Referrals per Partner</t>
  </si>
  <si>
    <t>Website Visitors</t>
  </si>
  <si>
    <t>Conversion: Visitors to Leads</t>
  </si>
  <si>
    <t>USERS</t>
  </si>
  <si>
    <t>New Users</t>
  </si>
  <si>
    <t>BOOKINGS</t>
  </si>
  <si>
    <t>Initial Bookings</t>
  </si>
  <si>
    <t>Setup Fees</t>
  </si>
  <si>
    <t>Recurring Fees</t>
  </si>
  <si>
    <t>Renewal Bookings</t>
  </si>
  <si>
    <t>Total Bookings</t>
  </si>
  <si>
    <t>Revenue &amp; COGS</t>
  </si>
  <si>
    <t>COMPANY</t>
  </si>
  <si>
    <t>BILLING PERIOD</t>
  </si>
  <si>
    <t>Invoice Amount</t>
  </si>
  <si>
    <t>Invoice Date</t>
  </si>
  <si>
    <t>Example Company</t>
  </si>
  <si>
    <t>Every month</t>
  </si>
  <si>
    <t>Every Year</t>
  </si>
  <si>
    <t>Every Quarter</t>
  </si>
  <si>
    <t>Id</t>
  </si>
  <si>
    <t>Date</t>
  </si>
  <si>
    <t>AccountBalance</t>
  </si>
  <si>
    <t>Class ID</t>
  </si>
  <si>
    <t>Name</t>
  </si>
  <si>
    <t>SubAccount</t>
  </si>
  <si>
    <t>ParentRef</t>
  </si>
  <si>
    <t>Classification</t>
  </si>
  <si>
    <t>AccountType</t>
  </si>
  <si>
    <t>AccountSubType</t>
  </si>
  <si>
    <t>Cash Flow Sub-Section</t>
  </si>
  <si>
    <t>Sign_for_total_cashflow</t>
  </si>
  <si>
    <t>Drivers Sorting Key</t>
  </si>
  <si>
    <t>ClassName</t>
  </si>
  <si>
    <t>Headcount Department</t>
  </si>
  <si>
    <t/>
  </si>
  <si>
    <t>RetainedEarnings</t>
  </si>
  <si>
    <t>ServiceFeeIncome</t>
  </si>
  <si>
    <t>Liability</t>
  </si>
  <si>
    <t>AccountsPayable</t>
  </si>
  <si>
    <t>Accounts receivable (A/R)</t>
  </si>
  <si>
    <t>AccountsReceivable</t>
  </si>
  <si>
    <t>Expense</t>
  </si>
  <si>
    <t>Other Expense</t>
  </si>
  <si>
    <t>Amortization</t>
  </si>
  <si>
    <t>SuppliesMaterialsCogs</t>
  </si>
  <si>
    <t>Other Current Asset</t>
  </si>
  <si>
    <t>OpeningBalanceEquity</t>
  </si>
  <si>
    <t>Fixed Asset</t>
  </si>
  <si>
    <t>IntangibleAssets</t>
  </si>
  <si>
    <t>Other Current Liability</t>
  </si>
  <si>
    <t>PayrollTaxPayable</t>
  </si>
  <si>
    <t>SalesOfProductIncome</t>
  </si>
  <si>
    <t>Security Deposit</t>
  </si>
  <si>
    <t>OtherCurrentAssets</t>
  </si>
  <si>
    <t>Due to/from Officers</t>
  </si>
  <si>
    <t>OtherFixedAssets</t>
  </si>
  <si>
    <t>Accrued Expenses</t>
  </si>
  <si>
    <t>OtherCurrentLiabilities</t>
  </si>
  <si>
    <t>Accrued Payroll</t>
  </si>
  <si>
    <t>Sales Tax Payable</t>
  </si>
  <si>
    <t>Principal</t>
  </si>
  <si>
    <t>Long Term Liability</t>
  </si>
  <si>
    <t>NotesPayable</t>
  </si>
  <si>
    <t>Accrued Interest</t>
  </si>
  <si>
    <t>Web Domain &amp; Hosting Fees</t>
  </si>
  <si>
    <t>OtherCostsOfServiceCos</t>
  </si>
  <si>
    <t>Merchant Account Fees</t>
  </si>
  <si>
    <t>Bank Charges &amp; Fees</t>
  </si>
  <si>
    <t>OtherBusinessExpenses</t>
  </si>
  <si>
    <t>Conferences &amp; Events</t>
  </si>
  <si>
    <t>Dues &amp; Subscriptions</t>
  </si>
  <si>
    <t>Office Supplies &amp; Software</t>
  </si>
  <si>
    <t>Rent &amp; Lease</t>
  </si>
  <si>
    <t>Accounting Fees</t>
  </si>
  <si>
    <t>Consulting Fees</t>
  </si>
  <si>
    <t>Legal Fees</t>
  </si>
  <si>
    <t>Recruiting Fees</t>
  </si>
  <si>
    <t>Contractors</t>
  </si>
  <si>
    <t>Salary &amp; Wages</t>
  </si>
  <si>
    <t>Health Insurance</t>
  </si>
  <si>
    <t>Payroll Processing Fees</t>
  </si>
  <si>
    <t>Commissions Expense</t>
  </si>
  <si>
    <t>Taxes &amp; Licenses</t>
  </si>
  <si>
    <t>Lodging</t>
  </si>
  <si>
    <t>Meals &amp; Entertainment</t>
  </si>
  <si>
    <t>Interest Income</t>
  </si>
  <si>
    <t>OtherMiscellaneousIncome</t>
  </si>
  <si>
    <t>Depreciation</t>
  </si>
  <si>
    <t>Interest Expense</t>
  </si>
  <si>
    <t>OtherMiscellaneousExpense</t>
  </si>
  <si>
    <t>Prepaid Expenses</t>
  </si>
  <si>
    <t>AccumulatedDepreciation</t>
  </si>
  <si>
    <t>AccumulatedAmortization</t>
  </si>
  <si>
    <t>Common Stock</t>
  </si>
  <si>
    <t>CommonStock</t>
  </si>
  <si>
    <t>Preferred Stock</t>
  </si>
  <si>
    <t>PreferredStock</t>
  </si>
  <si>
    <t>Additional Paid in Capital</t>
  </si>
  <si>
    <t>PaidInCapitalOrSurplus</t>
  </si>
  <si>
    <t>Sales</t>
  </si>
  <si>
    <t>Insurance</t>
  </si>
  <si>
    <t>Utilities</t>
  </si>
  <si>
    <t>Travel</t>
  </si>
  <si>
    <t>SuppliesMaterials</t>
  </si>
  <si>
    <t>American Bank</t>
  </si>
  <si>
    <t>Bank</t>
  </si>
  <si>
    <t>Checking</t>
  </si>
  <si>
    <t>Record ID</t>
  </si>
  <si>
    <t>Deal Name</t>
  </si>
  <si>
    <t>Length</t>
  </si>
  <si>
    <t>Deal Stage</t>
  </si>
  <si>
    <t>Close Date</t>
  </si>
  <si>
    <t>Amount</t>
  </si>
  <si>
    <t>Close Likehihood</t>
  </si>
  <si>
    <t>Weight Average</t>
  </si>
  <si>
    <t>Example Deal</t>
  </si>
  <si>
    <t>Every Month</t>
  </si>
  <si>
    <t>Every year</t>
  </si>
  <si>
    <t>eriod</t>
  </si>
  <si>
    <t>Formats</t>
  </si>
  <si>
    <t>Start date</t>
  </si>
  <si>
    <t>End date</t>
  </si>
  <si>
    <t>Display text</t>
  </si>
  <si>
    <t>Periods</t>
  </si>
  <si>
    <t>Prior Period Start</t>
  </si>
  <si>
    <t>Prior Period End</t>
  </si>
  <si>
    <t>Prior Period Display text</t>
  </si>
  <si>
    <t>Prior Year Start</t>
  </si>
  <si>
    <t>Prior Year End</t>
  </si>
  <si>
    <t>Prior Year Display Text</t>
  </si>
  <si>
    <t>Format</t>
  </si>
  <si>
    <t>Code</t>
  </si>
  <si>
    <t>Comma</t>
  </si>
  <si>
    <t>#,##0; (#,##0);-</t>
  </si>
  <si>
    <t>Comma Var</t>
  </si>
  <si>
    <t>+#,##0; -#,##0;-</t>
  </si>
  <si>
    <t>Next Month</t>
  </si>
  <si>
    <t>Millions</t>
  </si>
  <si>
    <t>#.0#,,"M";(#.0#,,"M")</t>
  </si>
  <si>
    <t>This Quarter</t>
  </si>
  <si>
    <t>Millions var</t>
  </si>
  <si>
    <t>+#.0#,,"M";(#.0#,,"M")</t>
  </si>
  <si>
    <t>Last Quarter</t>
  </si>
  <si>
    <t>Thousands</t>
  </si>
  <si>
    <t>#,"K";(#,"K")</t>
  </si>
  <si>
    <t>Next Quarter</t>
  </si>
  <si>
    <t>Thousands Var</t>
  </si>
  <si>
    <t>+#,"K";(#,"K")</t>
  </si>
  <si>
    <t>This Year</t>
  </si>
  <si>
    <t>#,##0%;(#,##0%);-</t>
  </si>
  <si>
    <t>Last Year</t>
  </si>
  <si>
    <t>% Var</t>
  </si>
  <si>
    <t>+#,##0%;(#,##0%);-</t>
  </si>
  <si>
    <t>Next Year</t>
  </si>
  <si>
    <t>2 Decimal</t>
  </si>
  <si>
    <t>#.00;(#.00);-</t>
  </si>
  <si>
    <t>2 Decimal Var</t>
  </si>
  <si>
    <t>+#.00;(#.00);-</t>
  </si>
  <si>
    <t>Forecast</t>
  </si>
  <si>
    <t>Months</t>
  </si>
  <si>
    <t># "Months"</t>
  </si>
  <si>
    <t>Quarter to Date</t>
  </si>
  <si>
    <t>Trailing 3 Months</t>
  </si>
  <si>
    <t>Trailing 6 Months</t>
  </si>
  <si>
    <t>Trailing 12 Months</t>
  </si>
  <si>
    <t>Error Check Message</t>
  </si>
  <si>
    <t>On</t>
  </si>
  <si>
    <t>Success Message</t>
  </si>
  <si>
    <t>Model Functioning Properly</t>
  </si>
  <si>
    <t>Error</t>
  </si>
  <si>
    <t>Error Message</t>
  </si>
  <si>
    <t>ERROR: Please check the 'Error Check' tab</t>
  </si>
  <si>
    <t>No Errors</t>
  </si>
  <si>
    <t>Sheet</t>
  </si>
  <si>
    <t>Result</t>
  </si>
  <si>
    <t>Comparison</t>
  </si>
  <si>
    <t>Revenue Summary</t>
  </si>
  <si>
    <t>Overall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</si>
</sst>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
    <numFmt numFmtId="167" formatCode="_([$$-409]* #,##0_);_([$$-409]* \(#,##0\);_([$$-409]* &quot;-&quot;??_);_(@_)"/>
    <numFmt numFmtId="168" formatCode="_(&quot;$&quot;* #,##0_);_(&quot;$&quot;* \(#,##0\);_(&quot;$&quot;* &quot;-&quot;??_);_(@_)"/>
    <numFmt numFmtId="169" formatCode="&quot;$&quot;* #,##0\ _€"/>
    <numFmt numFmtId="170" formatCode="0;\-0;;@"/>
    <numFmt numFmtId="171" formatCode="#,##0_);\(#,##0\);\-"/>
    <numFmt numFmtId="172" formatCode="0%;\(0%\);\-"/>
    <numFmt numFmtId="173" formatCode="#;\(#\);\-"/>
    <numFmt numFmtId="174" formatCode="_([$$-409]* #,##0.00_);_([$$-409]* \(#,##0.00\);_([$$-409]* &quot;-&quot;??_);_(@_)"/>
    <numFmt numFmtId="175" formatCode="&quot;$&quot;#,##0"/>
    <numFmt numFmtId="176" formatCode="&quot;$&quot;* #,##0.00\ _€"/>
    <numFmt numFmtId="177" formatCode="#.0;\(#.0\);\-"/>
    <numFmt numFmtId="178" formatCode="#.00;\(#.00\);\-"/>
    <numFmt numFmtId="179" formatCode="#\ &quot;Customers&quot;"/>
    <numFmt numFmtId="180" formatCode="&quot;Month &quot;#"/>
    <numFmt numFmtId="181" formatCode="mmmm"/>
    <numFmt numFmtId="182" formatCode="#,##0;\(#,##0\);\-"/>
    <numFmt numFmtId="183" formatCode="&quot;$&quot;#,##0.00"/>
    <numFmt numFmtId="184" formatCode="0%\ &quot;savings&quot;;0%\ &quot;miss&quot;;"/>
    <numFmt numFmtId="185" formatCode="#,###;\(#,###\);\-"/>
    <numFmt numFmtId="186" formatCode="#,##0%;\(#,##0%\);\-"/>
    <numFmt numFmtId="187" formatCode="&quot;Month 0&quot;#;\ 0#\ &quot;Months Prior&quot;;&quot;Same Month&quot;"/>
    <numFmt numFmtId="188" formatCode="&quot;Month&quot;\ 0#;\ 0#\ &quot;Months Prior&quot;;&quot;Same Month&quot;"/>
    <numFmt numFmtId="189" formatCode="#\ ??/??;\-#\ ??/??;\-"/>
    <numFmt numFmtId="190" formatCode="&quot;Month &quot;#;#\ &quot;Month prior&quot;;&quot;Same Month&quot;"/>
    <numFmt numFmtId="191" formatCode="[$-409]mmmm\-yy;@"/>
  </numFmts>
  <fonts count="156">
    <font>
      <sz val="11"/>
      <color theme="1"/>
      <name val="Aptos Narrow"/>
      <family val="2"/>
      <scheme val="minor"/>
    </font>
    <font>
      <sz val="12"/>
      <color theme="1"/>
      <name val="Aptos Narrow"/>
      <family val="2"/>
      <scheme val="minor"/>
    </font>
    <font>
      <sz val="11"/>
      <color theme="1"/>
      <name val="Aptos Narrow"/>
      <family val="2"/>
      <scheme val="minor"/>
    </font>
    <font>
      <b/>
      <sz val="12"/>
      <color theme="1"/>
      <name val="Aptos Narrow"/>
      <family val="2"/>
      <scheme val="minor"/>
    </font>
    <font>
      <b/>
      <sz val="11"/>
      <color theme="0"/>
      <name val="Aptos Narrow"/>
      <family val="2"/>
      <scheme val="minor"/>
    </font>
    <font>
      <b/>
      <sz val="11"/>
      <color theme="1"/>
      <name val="Aptos Narrow"/>
      <family val="2"/>
      <scheme val="minor"/>
    </font>
    <font>
      <sz val="11"/>
      <color rgb="FF38434D"/>
      <name val="SF Pro Text"/>
      <family val="3"/>
    </font>
    <font>
      <b/>
      <sz val="10"/>
      <color theme="1"/>
      <name val="Aptos Narrow"/>
      <family val="2"/>
      <scheme val="minor"/>
    </font>
    <font>
      <b/>
      <sz val="10"/>
      <color rgb="FF38434D"/>
      <name val="Aptos Narrow"/>
      <family val="2"/>
      <scheme val="minor"/>
    </font>
    <font>
      <b/>
      <sz val="11"/>
      <color rgb="FF4A4A6A"/>
      <name val="Aptos Narrow"/>
      <family val="2"/>
      <scheme val="minor"/>
    </font>
    <font>
      <b/>
      <sz val="12"/>
      <color rgb="FF38434D"/>
      <name val="Aptos Narrow"/>
      <family val="2"/>
      <scheme val="minor"/>
    </font>
    <font>
      <sz val="10"/>
      <color theme="1"/>
      <name val="Aptos Narrow"/>
      <family val="2"/>
      <scheme val="minor"/>
    </font>
    <font>
      <sz val="9"/>
      <color rgb="FFB00000"/>
      <name val="Aptos Narrow"/>
      <family val="2"/>
      <scheme val="minor"/>
    </font>
    <font>
      <sz val="9"/>
      <color rgb="FF38434D"/>
      <name val="SF Pro Text"/>
      <family val="3"/>
    </font>
    <font>
      <sz val="9"/>
      <color rgb="FF85B440"/>
      <name val="Aptos Narrow"/>
      <family val="2"/>
      <scheme val="minor"/>
    </font>
    <font>
      <sz val="9"/>
      <color rgb="FF0070C0"/>
      <name val="Aptos Narrow"/>
      <family val="2"/>
      <scheme val="minor"/>
    </font>
    <font>
      <b/>
      <sz val="18"/>
      <color theme="1"/>
      <name val="Aptos Narrow"/>
      <family val="2"/>
      <scheme val="minor"/>
    </font>
    <font>
      <b/>
      <sz val="45"/>
      <color rgb="FF85B440"/>
      <name val="Aptos Narrow"/>
      <family val="2"/>
      <scheme val="minor"/>
    </font>
    <font>
      <b/>
      <sz val="72"/>
      <color rgb="FF4A4A6A"/>
      <name val="Ge\"/>
    </font>
    <font>
      <b/>
      <sz val="72"/>
      <color rgb="FF38434D"/>
      <name val="Ge\"/>
    </font>
    <font>
      <sz val="36"/>
      <color rgb="FF718184"/>
      <name val="SF Pro Text"/>
      <family val="3"/>
    </font>
    <font>
      <b/>
      <sz val="36"/>
      <color rgb="FF9D9241"/>
      <name val="Aptos Narrow"/>
      <family val="2"/>
      <scheme val="minor"/>
    </font>
    <font>
      <b/>
      <sz val="72"/>
      <color rgb="FF38434D"/>
      <name val="Roboto"/>
    </font>
    <font>
      <b/>
      <sz val="48"/>
      <color theme="1"/>
      <name val="Georgia"/>
      <family val="1"/>
    </font>
    <font>
      <sz val="24"/>
      <color rgb="FF38434D"/>
      <name val="Roboto"/>
    </font>
    <font>
      <b/>
      <sz val="40"/>
      <color theme="3" tint="-0.249977111117893"/>
      <name val="Aptos Narrow"/>
      <family val="2"/>
      <scheme val="minor"/>
    </font>
    <font>
      <b/>
      <sz val="36"/>
      <color theme="1"/>
      <name val="Georgia"/>
      <family val="1"/>
    </font>
    <font>
      <sz val="28"/>
      <color rgb="FF4A4A6A"/>
      <name val="Aptos Narrow"/>
      <family val="2"/>
      <scheme val="minor"/>
    </font>
    <font>
      <sz val="24"/>
      <color rgb="FF38434D"/>
      <name val="Poppins"/>
    </font>
    <font>
      <b/>
      <sz val="55"/>
      <color theme="3"/>
      <name val="Aptos Narrow"/>
      <family val="2"/>
      <scheme val="minor"/>
    </font>
    <font>
      <sz val="9"/>
      <color theme="1"/>
      <name val="Roboto"/>
    </font>
    <font>
      <sz val="9"/>
      <color rgb="FF38434D"/>
      <name val="Roboto"/>
    </font>
    <font>
      <sz val="14"/>
      <color rgb="FF0070C0"/>
      <name val="Aptos Narrow"/>
      <family val="2"/>
      <scheme val="minor"/>
    </font>
    <font>
      <b/>
      <sz val="14"/>
      <color rgb="FF38434D"/>
      <name val="Roboto"/>
    </font>
    <font>
      <b/>
      <sz val="16"/>
      <color rgb="FF38434D"/>
      <name val="Roboto"/>
    </font>
    <font>
      <sz val="9"/>
      <color theme="1" tint="0.34998626667073579"/>
      <name val="Aptos Narrow"/>
      <family val="2"/>
      <scheme val="minor"/>
    </font>
    <font>
      <sz val="11"/>
      <color theme="1"/>
      <name val="Arial"/>
      <family val="2"/>
    </font>
    <font>
      <sz val="11"/>
      <color rgb="FF38434D"/>
      <name val="Aptos Narrow"/>
      <family val="2"/>
      <scheme val="minor"/>
    </font>
    <font>
      <u/>
      <sz val="11"/>
      <color theme="10"/>
      <name val="Aptos Narrow"/>
      <family val="2"/>
      <scheme val="minor"/>
    </font>
    <font>
      <sz val="11"/>
      <name val="Aptos Narrow"/>
      <family val="2"/>
      <scheme val="minor"/>
    </font>
    <font>
      <sz val="10"/>
      <color theme="1" tint="0.499984740745262"/>
      <name val="Aptos Narrow"/>
      <family val="2"/>
      <scheme val="minor"/>
    </font>
    <font>
      <sz val="8"/>
      <color theme="1" tint="0.34998626667073579"/>
      <name val="Aptos Narrow"/>
      <family val="2"/>
      <scheme val="minor"/>
    </font>
    <font>
      <sz val="10"/>
      <color rgb="FF38434D"/>
      <name val="Aptos Narrow"/>
      <family val="2"/>
      <scheme val="minor"/>
    </font>
    <font>
      <sz val="10"/>
      <name val="Aptos Narrow"/>
      <family val="2"/>
      <scheme val="minor"/>
    </font>
    <font>
      <u/>
      <sz val="10"/>
      <name val="Aptos Narrow"/>
      <family val="2"/>
      <scheme val="minor"/>
    </font>
    <font>
      <sz val="10"/>
      <color rgb="FF0070C0"/>
      <name val="Aptos Narrow"/>
      <family val="2"/>
      <scheme val="minor"/>
    </font>
    <font>
      <b/>
      <sz val="8"/>
      <color theme="1"/>
      <name val="Aptos Narrow"/>
      <family val="2"/>
      <scheme val="minor"/>
    </font>
    <font>
      <sz val="11"/>
      <color theme="1" tint="0.499984740745262"/>
      <name val="Aptos Narrow"/>
      <family val="2"/>
      <scheme val="minor"/>
    </font>
    <font>
      <sz val="9"/>
      <color theme="1"/>
      <name val="Aptos Narrow"/>
      <family val="2"/>
      <scheme val="minor"/>
    </font>
    <font>
      <sz val="8"/>
      <color theme="1" tint="0.499984740745262"/>
      <name val="Aptos Narrow"/>
      <family val="2"/>
      <scheme val="minor"/>
    </font>
    <font>
      <sz val="8"/>
      <name val="Aptos Narrow"/>
      <family val="2"/>
      <scheme val="minor"/>
    </font>
    <font>
      <b/>
      <sz val="9"/>
      <color rgb="FFFF0000"/>
      <name val="Aptos Narrow"/>
      <family val="2"/>
      <scheme val="minor"/>
    </font>
    <font>
      <b/>
      <sz val="9"/>
      <name val="Aptos Narrow"/>
      <family val="2"/>
      <scheme val="minor"/>
    </font>
    <font>
      <b/>
      <sz val="9"/>
      <color rgb="FF7030A0"/>
      <name val="Aptos Narrow"/>
      <family val="2"/>
      <scheme val="minor"/>
    </font>
    <font>
      <sz val="8"/>
      <color rgb="FF0070C0"/>
      <name val="Aptos Narrow"/>
      <family val="2"/>
      <scheme val="minor"/>
    </font>
    <font>
      <b/>
      <sz val="9"/>
      <color rgb="FF0070C0"/>
      <name val="Aptos Narrow"/>
      <family val="2"/>
      <scheme val="minor"/>
    </font>
    <font>
      <b/>
      <sz val="20"/>
      <color rgb="FF38434D"/>
      <name val="Roboto"/>
    </font>
    <font>
      <sz val="16"/>
      <color rgb="FF99A8B5"/>
      <name val="Roboto"/>
    </font>
    <font>
      <sz val="8"/>
      <color rgb="FF38434D"/>
      <name val="Roboto"/>
    </font>
    <font>
      <b/>
      <sz val="9"/>
      <color rgb="FF38434D"/>
      <name val="Roboto"/>
    </font>
    <font>
      <sz val="9"/>
      <color rgb="FF99A8B5"/>
      <name val="Roboto"/>
    </font>
    <font>
      <sz val="8"/>
      <color rgb="FF99A8B5"/>
      <name val="Roboto"/>
    </font>
    <font>
      <i/>
      <sz val="9"/>
      <color rgb="FF99A8B5"/>
      <name val="Roboto"/>
    </font>
    <font>
      <sz val="28"/>
      <color rgb="FF38434D"/>
      <name val="Roboto"/>
    </font>
    <font>
      <b/>
      <sz val="12"/>
      <color rgb="FF38434D"/>
      <name val="Roboto"/>
    </font>
    <font>
      <sz val="11"/>
      <color rgb="FF0070C0"/>
      <name val="Aptos Narrow"/>
      <family val="2"/>
      <scheme val="minor"/>
    </font>
    <font>
      <sz val="9"/>
      <color rgb="FF0070C0"/>
      <name val="Roboto"/>
    </font>
    <font>
      <sz val="9"/>
      <color theme="0"/>
      <name val="Roboto"/>
    </font>
    <font>
      <b/>
      <sz val="9"/>
      <color theme="0"/>
      <name val="Roboto"/>
    </font>
    <font>
      <sz val="11"/>
      <color rgb="FFFF0000"/>
      <name val="Aptos Narrow"/>
      <family val="2"/>
      <scheme val="minor"/>
    </font>
    <font>
      <sz val="11"/>
      <color rgb="FFFF0000"/>
      <name val="SF Pro Text"/>
      <family val="3"/>
    </font>
    <font>
      <b/>
      <sz val="11"/>
      <color rgb="FF38434D"/>
      <name val="Aptos Narrow"/>
      <family val="2"/>
      <scheme val="minor"/>
    </font>
    <font>
      <b/>
      <sz val="11"/>
      <color rgb="FF38434D"/>
      <name val="SF Pro Text"/>
      <family val="3"/>
    </font>
    <font>
      <sz val="8"/>
      <color theme="1"/>
      <name val="Aptos Narrow"/>
      <family val="2"/>
      <scheme val="minor"/>
    </font>
    <font>
      <b/>
      <sz val="28"/>
      <color rgb="FF38434D"/>
      <name val="Roboto Black"/>
    </font>
    <font>
      <sz val="9"/>
      <color rgb="FF38434D"/>
      <name val="Aptos Narrow"/>
      <family val="2"/>
      <scheme val="minor"/>
    </font>
    <font>
      <b/>
      <sz val="11"/>
      <color rgb="FF38434D"/>
      <name val="SF Pro Text"/>
    </font>
    <font>
      <b/>
      <sz val="11"/>
      <color rgb="FFFF0000"/>
      <name val="Aptos Narrow"/>
      <family val="2"/>
      <scheme val="minor"/>
    </font>
    <font>
      <sz val="11"/>
      <color rgb="FF000000"/>
      <name val="Aptos Narrow"/>
      <family val="2"/>
      <scheme val="minor"/>
    </font>
    <font>
      <b/>
      <sz val="11"/>
      <name val="Aptos Narrow"/>
      <family val="2"/>
      <scheme val="minor"/>
    </font>
    <font>
      <sz val="11"/>
      <color theme="1"/>
      <name val="Aptos Narrow"/>
      <family val="2"/>
      <charset val="238"/>
      <scheme val="minor"/>
    </font>
    <font>
      <sz val="14"/>
      <color theme="1"/>
      <name val="Calibri"/>
      <family val="2"/>
    </font>
    <font>
      <sz val="11"/>
      <color theme="0"/>
      <name val="Aptos Narrow"/>
      <family val="2"/>
      <scheme val="minor"/>
    </font>
    <font>
      <b/>
      <sz val="14"/>
      <color theme="1"/>
      <name val="Aptos Narrow"/>
      <family val="2"/>
      <scheme val="minor"/>
    </font>
    <font>
      <sz val="11"/>
      <color rgb="FF2F64BA"/>
      <name val="Aptos Narrow"/>
      <family val="2"/>
      <scheme val="minor"/>
    </font>
    <font>
      <sz val="9"/>
      <color rgb="FF2F64BA"/>
      <name val="SF Pro Text"/>
      <family val="3"/>
    </font>
    <font>
      <b/>
      <sz val="9"/>
      <color rgb="FF38434D"/>
      <name val="SF Pro Text"/>
      <family val="3"/>
    </font>
    <font>
      <b/>
      <sz val="18"/>
      <color rgb="FF38434D"/>
      <name val="SF Pro Text"/>
      <family val="3"/>
    </font>
    <font>
      <sz val="18"/>
      <color rgb="FF38434D"/>
      <name val="SF Pro Text"/>
      <family val="3"/>
    </font>
    <font>
      <b/>
      <sz val="9"/>
      <color theme="1"/>
      <name val="Aptos Narrow"/>
      <family val="2"/>
      <scheme val="minor"/>
    </font>
    <font>
      <b/>
      <sz val="16"/>
      <color theme="1"/>
      <name val="Aptos Narrow"/>
      <family val="2"/>
      <scheme val="minor"/>
    </font>
    <font>
      <b/>
      <sz val="16"/>
      <color rgb="FF38434D"/>
      <name val="Aptos Narrow"/>
      <family val="2"/>
      <scheme val="minor"/>
    </font>
    <font>
      <b/>
      <sz val="16"/>
      <color rgb="FF38434D"/>
      <name val="SF Pro Text"/>
      <family val="3"/>
    </font>
    <font>
      <sz val="16"/>
      <color theme="1"/>
      <name val="Aptos Narrow"/>
      <family val="2"/>
      <scheme val="minor"/>
    </font>
    <font>
      <sz val="14"/>
      <color theme="1"/>
      <name val="Aptos Narrow"/>
      <family val="2"/>
      <scheme val="minor"/>
    </font>
    <font>
      <sz val="16"/>
      <color rgb="FF38434D"/>
      <name val="Aptos Narrow"/>
      <family val="2"/>
      <scheme val="minor"/>
    </font>
    <font>
      <sz val="9"/>
      <color rgb="FF000000"/>
      <name val="SF Pro Text"/>
      <family val="3"/>
    </font>
    <font>
      <sz val="10"/>
      <color rgb="FFFF0000"/>
      <name val="Aptos Narrow"/>
      <family val="2"/>
      <scheme val="minor"/>
    </font>
    <font>
      <b/>
      <sz val="11"/>
      <color rgb="FF000000"/>
      <name val="Aptos Narrow"/>
      <family val="2"/>
      <scheme val="minor"/>
    </font>
    <font>
      <b/>
      <sz val="14"/>
      <color rgb="FF38434D"/>
      <name val="SF Pro Text"/>
      <family val="3"/>
    </font>
    <font>
      <b/>
      <sz val="10"/>
      <name val="Aptos Narrow"/>
      <family val="2"/>
      <scheme val="minor"/>
    </font>
    <font>
      <sz val="9"/>
      <color rgb="FF0070C0"/>
      <name val="SF Pro Text"/>
      <family val="3"/>
    </font>
    <font>
      <sz val="11"/>
      <color rgb="FF7030A0"/>
      <name val="Aptos Narrow"/>
      <family val="2"/>
      <scheme val="minor"/>
    </font>
    <font>
      <i/>
      <sz val="11"/>
      <color theme="1"/>
      <name val="Aptos Narrow"/>
      <family val="2"/>
      <scheme val="minor"/>
    </font>
    <font>
      <sz val="10"/>
      <color rgb="FF000000"/>
      <name val="Aptos Narrow"/>
      <family val="2"/>
      <scheme val="minor"/>
    </font>
    <font>
      <sz val="11"/>
      <color indexed="8"/>
      <name val="Aptos Narrow"/>
      <family val="2"/>
      <scheme val="minor"/>
    </font>
    <font>
      <sz val="9"/>
      <color rgb="FFFF0000"/>
      <name val="SF Pro Text"/>
      <family val="3"/>
    </font>
    <font>
      <b/>
      <sz val="13"/>
      <color theme="1"/>
      <name val="Aptos Narrow"/>
      <family val="2"/>
      <scheme val="minor"/>
    </font>
    <font>
      <b/>
      <sz val="11"/>
      <color indexed="8"/>
      <name val="Aptos Narrow"/>
      <family val="2"/>
      <scheme val="minor"/>
    </font>
    <font>
      <b/>
      <sz val="9"/>
      <color rgb="FF38434D"/>
      <name val="SF Pro Text"/>
    </font>
    <font>
      <sz val="8"/>
      <color indexed="8"/>
      <name val="Aptos Narrow"/>
      <family val="2"/>
      <scheme val="minor"/>
    </font>
    <font>
      <b/>
      <sz val="8"/>
      <color indexed="8"/>
      <name val="Aptos Narrow"/>
      <family val="2"/>
      <scheme val="minor"/>
    </font>
    <font>
      <sz val="18"/>
      <color rgb="FF38434D"/>
      <name val="SF Pro Text"/>
    </font>
    <font>
      <sz val="11"/>
      <color theme="8"/>
      <name val="Aptos Narrow"/>
      <family val="2"/>
      <scheme val="minor"/>
    </font>
    <font>
      <sz val="9"/>
      <color theme="8"/>
      <name val="SF Pro Text"/>
      <family val="3"/>
    </font>
    <font>
      <sz val="9"/>
      <color rgb="FF7030A0"/>
      <name val="SF Pro Text"/>
      <family val="3"/>
    </font>
    <font>
      <sz val="11"/>
      <color rgb="FF718184"/>
      <name val="Aptos Narrow"/>
      <family val="2"/>
      <scheme val="minor"/>
    </font>
    <font>
      <sz val="11"/>
      <color rgb="FF718184"/>
      <name val="SF Pro Text"/>
    </font>
    <font>
      <sz val="12"/>
      <color rgb="FF38434D"/>
      <name val="Poppins"/>
    </font>
    <font>
      <b/>
      <sz val="12"/>
      <color rgb="FF38434D"/>
      <name val="Poppins"/>
    </font>
    <font>
      <sz val="11"/>
      <color theme="1"/>
      <name val="SF Pro Text"/>
    </font>
    <font>
      <sz val="16"/>
      <color theme="1"/>
      <name val="Poppins"/>
    </font>
    <font>
      <b/>
      <sz val="22"/>
      <color theme="1"/>
      <name val="Poppins"/>
    </font>
    <font>
      <b/>
      <sz val="28"/>
      <color rgb="FF38434D"/>
      <name val="Aptos Narrow"/>
      <family val="2"/>
      <scheme val="minor"/>
    </font>
    <font>
      <b/>
      <sz val="14"/>
      <color rgb="FF38434D"/>
      <name val="Aptos Narrow"/>
      <family val="2"/>
      <scheme val="minor"/>
    </font>
    <font>
      <sz val="14"/>
      <name val="Aptos Narrow"/>
      <family val="2"/>
      <scheme val="minor"/>
    </font>
    <font>
      <sz val="14"/>
      <color rgb="FF38434C"/>
      <name val="Aptos Narrow"/>
      <family val="2"/>
      <scheme val="minor"/>
    </font>
    <font>
      <b/>
      <sz val="11"/>
      <color rgb="FF7030A0"/>
      <name val="Aptos Narrow"/>
      <family val="2"/>
      <scheme val="minor"/>
    </font>
    <font>
      <b/>
      <sz val="11"/>
      <color rgb="FF0070C0"/>
      <name val="Aptos Narrow"/>
      <family val="2"/>
      <scheme val="minor"/>
    </font>
    <font>
      <i/>
      <sz val="9"/>
      <color rgb="FF38434D"/>
      <name val="SF Pro Text"/>
    </font>
    <font>
      <i/>
      <sz val="11"/>
      <name val="Aptos Narrow"/>
      <family val="2"/>
      <scheme val="minor"/>
    </font>
    <font>
      <sz val="11"/>
      <color theme="1"/>
      <name val="Calibri"/>
      <family val="2"/>
      <charset val="238"/>
    </font>
    <font>
      <b/>
      <sz val="26"/>
      <color rgb="FF38434D"/>
      <name val="Roboto"/>
    </font>
    <font>
      <sz val="20"/>
      <color rgb="FF38434D"/>
      <name val="Roboto"/>
    </font>
    <font>
      <b/>
      <sz val="11"/>
      <color theme="0"/>
      <name val="Roboto"/>
    </font>
    <font>
      <b/>
      <sz val="24"/>
      <color rgb="FFFFFFFF"/>
      <name val="Arial"/>
      <family val="2"/>
      <charset val="238"/>
    </font>
    <font>
      <sz val="11"/>
      <color rgb="FFFFFFFF"/>
      <name val="Aptos Narrow"/>
      <family val="2"/>
      <scheme val="minor"/>
    </font>
    <font>
      <b/>
      <sz val="16"/>
      <color rgb="FF38434D"/>
      <name val="Poppins"/>
      <family val="3"/>
    </font>
    <font>
      <sz val="18"/>
      <color theme="1"/>
      <name val="Aptos Narrow"/>
      <family val="2"/>
      <scheme val="minor"/>
    </font>
    <font>
      <sz val="10"/>
      <color rgb="FF718184"/>
      <name val="Arial"/>
      <family val="2"/>
    </font>
    <font>
      <b/>
      <sz val="14"/>
      <name val="Roboto"/>
    </font>
    <font>
      <sz val="14"/>
      <color theme="1" tint="0.34998626667073579"/>
      <name val="Aptos Narrow"/>
      <family val="2"/>
      <scheme val="minor"/>
    </font>
    <font>
      <sz val="10"/>
      <color rgb="FF718184"/>
      <name val="Aptos Narrow"/>
      <family val="2"/>
      <scheme val="minor"/>
    </font>
    <font>
      <sz val="14"/>
      <color rgb="FF38434D"/>
      <name val="Aptos Narrow"/>
      <family val="2"/>
      <scheme val="minor"/>
    </font>
    <font>
      <b/>
      <sz val="14"/>
      <color theme="1"/>
      <name val="Roboto"/>
    </font>
    <font>
      <b/>
      <sz val="14"/>
      <color theme="1"/>
      <name val="Aptos Narrow"/>
      <scheme val="minor"/>
    </font>
    <font>
      <sz val="8"/>
      <color rgb="FF718184"/>
      <name val="Roboto"/>
    </font>
    <font>
      <sz val="11"/>
      <color theme="3"/>
      <name val="Aptos Narrow"/>
      <family val="2"/>
      <scheme val="minor"/>
    </font>
    <font>
      <sz val="11"/>
      <color rgb="FF718184"/>
      <name val="Roboto"/>
    </font>
    <font>
      <sz val="11"/>
      <color rgb="FF38434D"/>
      <name val="SF Pro Text"/>
    </font>
    <font>
      <sz val="11"/>
      <color rgb="FFFF0000"/>
      <name val="SF Pro Text"/>
    </font>
    <font>
      <sz val="10"/>
      <color rgb="FF38434D"/>
      <name val="SF Pro Text"/>
    </font>
    <font>
      <i/>
      <sz val="9"/>
      <color rgb="FF38434D"/>
      <name val="Aptos Narrow"/>
      <family val="2"/>
      <scheme val="minor"/>
    </font>
    <font>
      <i/>
      <sz val="9"/>
      <name val="Aptos Narrow"/>
      <family val="2"/>
      <scheme val="minor"/>
    </font>
    <font>
      <sz val="9"/>
      <color rgb="FF38434D"/>
      <name val="SF Pro Text"/>
    </font>
    <font>
      <sz val="16"/>
      <color rgb="FF38434D"/>
      <name val="Roboto"/>
    </font>
  </fonts>
  <fills count="13">
    <fill>
      <patternFill patternType="none"/>
    </fill>
    <fill>
      <patternFill patternType="gray125"/>
    </fill>
    <fill>
      <patternFill patternType="solid">
        <fgColor rgb="FF38434D"/>
        <bgColor indexed="64"/>
      </patternFill>
    </fill>
    <fill>
      <patternFill patternType="solid">
        <fgColor theme="0" tint="-4.9989318521683403E-2"/>
        <bgColor indexed="64"/>
      </patternFill>
    </fill>
    <fill>
      <patternFill patternType="solid">
        <fgColor rgb="FFEAE9CB"/>
        <bgColor indexed="64"/>
      </patternFill>
    </fill>
    <fill>
      <patternFill patternType="solid">
        <fgColor rgb="FFF5F5E7"/>
        <bgColor indexed="64"/>
      </patternFill>
    </fill>
    <fill>
      <patternFill patternType="solid">
        <fgColor theme="0"/>
        <bgColor indexed="64"/>
      </patternFill>
    </fill>
    <fill>
      <patternFill patternType="solid">
        <fgColor rgb="FFF9F9F9"/>
        <bgColor indexed="64"/>
      </patternFill>
    </fill>
    <fill>
      <patternFill patternType="solid">
        <fgColor rgb="FFFDFDF9"/>
        <bgColor indexed="64"/>
      </patternFill>
    </fill>
    <fill>
      <patternFill patternType="solid">
        <fgColor rgb="FFFFFFFF"/>
        <bgColor rgb="FF000000"/>
      </patternFill>
    </fill>
    <fill>
      <patternFill patternType="solid">
        <fgColor rgb="FFF4F4F6"/>
        <bgColor indexed="64"/>
      </patternFill>
    </fill>
    <fill>
      <patternFill patternType="solid">
        <fgColor rgb="FFF2F1DE"/>
        <bgColor indexed="64"/>
      </patternFill>
    </fill>
    <fill>
      <patternFill patternType="solid">
        <fgColor theme="1" tint="0.249977111117893"/>
        <bgColor indexed="64"/>
      </patternFill>
    </fill>
  </fills>
  <borders count="64">
    <border>
      <left/>
      <right/>
      <top/>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right/>
      <top style="thin">
        <color theme="0" tint="-0.14999847407452621"/>
      </top>
      <bottom style="thin">
        <color theme="0" tint="-0.14999847407452621"/>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style="thin">
        <color theme="0" tint="-0.14999847407452621"/>
      </top>
      <bottom/>
      <diagonal/>
    </border>
    <border>
      <left/>
      <right/>
      <top style="thin">
        <color theme="0" tint="-0.14999847407452621"/>
      </top>
      <bottom/>
      <diagonal/>
    </border>
    <border>
      <left style="thin">
        <color theme="0" tint="-0.14999847407452621"/>
      </left>
      <right/>
      <top style="thin">
        <color theme="0" tint="-0.14999847407452621"/>
      </top>
      <bottom/>
      <diagonal/>
    </border>
    <border>
      <left style="thin">
        <color theme="0" tint="-4.9989318521683403E-2"/>
      </left>
      <right/>
      <top/>
      <bottom/>
      <diagonal/>
    </border>
    <border>
      <left/>
      <right/>
      <top style="thin">
        <color theme="0" tint="-4.9989318521683403E-2"/>
      </top>
      <bottom/>
      <diagonal/>
    </border>
    <border>
      <left style="thin">
        <color theme="0" tint="-4.9989318521683403E-2"/>
      </left>
      <right/>
      <top style="thin">
        <color theme="0" tint="-4.9989318521683403E-2"/>
      </top>
      <bottom/>
      <diagonal/>
    </border>
    <border>
      <left/>
      <right style="thin">
        <color theme="0" tint="-4.9989318521683403E-2"/>
      </right>
      <top/>
      <bottom style="thin">
        <color theme="0" tint="-4.9989318521683403E-2"/>
      </bottom>
      <diagonal/>
    </border>
    <border>
      <left/>
      <right/>
      <top/>
      <bottom style="thin">
        <color theme="0" tint="-4.9989318521683403E-2"/>
      </bottom>
      <diagonal/>
    </border>
    <border>
      <left style="thin">
        <color theme="0" tint="-4.9989318521683403E-2"/>
      </left>
      <right/>
      <top/>
      <bottom style="thin">
        <color theme="0" tint="-4.9989318521683403E-2"/>
      </bottom>
      <diagonal/>
    </border>
    <border>
      <left/>
      <right style="thin">
        <color theme="0" tint="-4.9989318521683403E-2"/>
      </right>
      <top/>
      <bottom/>
      <diagonal/>
    </border>
    <border>
      <left/>
      <right style="thin">
        <color theme="0" tint="-4.9989318521683403E-2"/>
      </right>
      <top/>
      <bottom style="thin">
        <color theme="0" tint="-0.14999847407452621"/>
      </bottom>
      <diagonal/>
    </border>
    <border>
      <left style="thin">
        <color theme="0" tint="-4.9989318521683403E-2"/>
      </left>
      <right/>
      <top/>
      <bottom style="thin">
        <color theme="0" tint="-0.14999847407452621"/>
      </bottom>
      <diagonal/>
    </border>
    <border>
      <left/>
      <right style="thin">
        <color theme="0" tint="-4.9989318521683403E-2"/>
      </right>
      <top style="thin">
        <color theme="0" tint="-4.9989318521683403E-2"/>
      </top>
      <bottom/>
      <diagonal/>
    </border>
    <border>
      <left/>
      <right style="thin">
        <color theme="0" tint="-0.14999847407452621"/>
      </right>
      <top/>
      <bottom style="thin">
        <color theme="0" tint="-0.14999847407452621"/>
      </bottom>
      <diagonal/>
    </border>
    <border>
      <left/>
      <right style="thin">
        <color theme="0" tint="-0.14999847407452621"/>
      </right>
      <top/>
      <bottom/>
      <diagonal/>
    </border>
    <border>
      <left style="thin">
        <color theme="0" tint="-0.14999847407452621"/>
      </left>
      <right/>
      <top/>
      <bottom/>
      <diagonal/>
    </border>
    <border>
      <left/>
      <right style="thin">
        <color theme="0" tint="-0.14999847407452621"/>
      </right>
      <top/>
      <bottom style="thin">
        <color theme="0" tint="-4.9989318521683403E-2"/>
      </bottom>
      <diagonal/>
    </border>
    <border>
      <left style="thin">
        <color theme="0" tint="-0.14999847407452621"/>
      </left>
      <right/>
      <top/>
      <bottom style="thin">
        <color theme="0" tint="-4.9989318521683403E-2"/>
      </bottom>
      <diagonal/>
    </border>
    <border>
      <left/>
      <right/>
      <top style="thin">
        <color theme="0" tint="-0.14999847407452621"/>
      </top>
      <bottom style="thick">
        <color rgb="FFA2A065"/>
      </bottom>
      <diagonal/>
    </border>
    <border>
      <left/>
      <right style="thin">
        <color rgb="FFE5EAF0"/>
      </right>
      <top/>
      <bottom style="thin">
        <color rgb="FFE5EAF0"/>
      </bottom>
      <diagonal/>
    </border>
    <border>
      <left/>
      <right/>
      <top/>
      <bottom style="thin">
        <color rgb="FFE5EAF0"/>
      </bottom>
      <diagonal/>
    </border>
    <border>
      <left style="thin">
        <color rgb="FFE5EAF0"/>
      </left>
      <right/>
      <top/>
      <bottom style="thin">
        <color rgb="FFE5EAF0"/>
      </bottom>
      <diagonal/>
    </border>
    <border>
      <left/>
      <right style="thin">
        <color rgb="FFE5EAF0"/>
      </right>
      <top/>
      <bottom/>
      <diagonal/>
    </border>
    <border>
      <left style="thin">
        <color rgb="FFE5EAF0"/>
      </left>
      <right/>
      <top/>
      <bottom/>
      <diagonal/>
    </border>
    <border>
      <left/>
      <right style="thin">
        <color rgb="FFE5EAF0"/>
      </right>
      <top style="thin">
        <color rgb="FFE5EAF0"/>
      </top>
      <bottom/>
      <diagonal/>
    </border>
    <border>
      <left/>
      <right/>
      <top style="thin">
        <color rgb="FFE5EAF0"/>
      </top>
      <bottom/>
      <diagonal/>
    </border>
    <border>
      <left style="thin">
        <color rgb="FFE5EAF0"/>
      </left>
      <right/>
      <top style="thin">
        <color rgb="FFE5EAF0"/>
      </top>
      <bottom/>
      <diagonal/>
    </border>
    <border>
      <left/>
      <right/>
      <top style="thin">
        <color theme="0" tint="-0.14999847407452621"/>
      </top>
      <bottom style="thin">
        <color theme="0" tint="-0.249977111117893"/>
      </bottom>
      <diagonal/>
    </border>
    <border>
      <left style="thin">
        <color theme="0" tint="-0.14999847407452621"/>
      </left>
      <right style="thin">
        <color theme="0" tint="-0.14999847407452621"/>
      </right>
      <top style="thin">
        <color theme="0" tint="-0.14999847407452621"/>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right/>
      <top/>
      <bottom style="thin">
        <color rgb="FFD9D9D9"/>
      </bottom>
      <diagonal/>
    </border>
    <border>
      <left/>
      <right style="thin">
        <color rgb="FFD9D9D9"/>
      </right>
      <top/>
      <bottom style="thin">
        <color rgb="FFD9D9D9"/>
      </bottom>
      <diagonal/>
    </border>
    <border>
      <left style="thin">
        <color rgb="FFD9D9D9"/>
      </left>
      <right/>
      <top/>
      <bottom style="thin">
        <color rgb="FFD9D9D9"/>
      </bottom>
      <diagonal/>
    </border>
    <border>
      <left/>
      <right style="thin">
        <color rgb="FFD9D9D9"/>
      </right>
      <top/>
      <bottom/>
      <diagonal/>
    </border>
    <border>
      <left style="thin">
        <color rgb="FFD9D9D9"/>
      </left>
      <right/>
      <top/>
      <bottom/>
      <diagonal/>
    </border>
    <border>
      <left style="thin">
        <color theme="0" tint="-0.14999847407452621"/>
      </left>
      <right style="thin">
        <color theme="0" tint="-0.14999847407452621"/>
      </right>
      <top/>
      <bottom/>
      <diagonal/>
    </border>
    <border>
      <left/>
      <right/>
      <top style="thin">
        <color theme="4"/>
      </top>
      <bottom style="double">
        <color theme="4"/>
      </bottom>
      <diagonal/>
    </border>
    <border>
      <left style="dotted">
        <color theme="0" tint="-0.249977111117893"/>
      </left>
      <right/>
      <top style="dotted">
        <color theme="0" tint="-0.249977111117893"/>
      </top>
      <bottom style="dotted">
        <color theme="0" tint="-0.249977111117893"/>
      </bottom>
      <diagonal/>
    </border>
    <border>
      <left/>
      <right/>
      <top style="dotted">
        <color theme="0" tint="-0.249977111117893"/>
      </top>
      <bottom style="dotted">
        <color theme="0" tint="-0.249977111117893"/>
      </bottom>
      <diagonal/>
    </border>
    <border>
      <left/>
      <right style="dotted">
        <color theme="0" tint="-0.249977111117893"/>
      </right>
      <top style="dotted">
        <color theme="0" tint="-0.249977111117893"/>
      </top>
      <bottom style="dotted">
        <color theme="0" tint="-0.249977111117893"/>
      </bottom>
      <diagonal/>
    </border>
    <border>
      <left/>
      <right/>
      <top/>
      <bottom style="thin">
        <color indexed="64"/>
      </bottom>
      <diagonal/>
    </border>
    <border>
      <left style="dotted">
        <color theme="0" tint="-0.249977111117893"/>
      </left>
      <right style="dotted">
        <color theme="0" tint="-0.249977111117893"/>
      </right>
      <top style="dotted">
        <color theme="0" tint="-0.249977111117893"/>
      </top>
      <bottom style="dotted">
        <color theme="0" tint="-0.249977111117893"/>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rgb="FF0D1D42"/>
      </bottom>
      <diagonal/>
    </border>
  </borders>
  <cellStyleXfs count="15">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36" fillId="0" borderId="0"/>
    <xf numFmtId="0" fontId="38" fillId="0" borderId="0" applyNumberFormat="0" applyFill="0" applyBorder="0" applyAlignment="0" applyProtection="0"/>
    <xf numFmtId="9" fontId="2" fillId="0" borderId="0" applyFont="0" applyFill="0" applyBorder="0" applyAlignment="0" applyProtection="0"/>
    <xf numFmtId="0" fontId="104" fillId="0" borderId="0"/>
    <xf numFmtId="0" fontId="105" fillId="0" borderId="0"/>
    <xf numFmtId="0" fontId="5" fillId="0" borderId="49" applyNumberFormat="0" applyFill="0" applyAlignment="0" applyProtection="0"/>
    <xf numFmtId="0" fontId="80" fillId="0" borderId="0"/>
    <xf numFmtId="0" fontId="80" fillId="0" borderId="0"/>
    <xf numFmtId="0" fontId="38" fillId="0" borderId="0" applyNumberFormat="0" applyFill="0" applyBorder="0" applyAlignment="0" applyProtection="0"/>
  </cellStyleXfs>
  <cellXfs count="860">
    <xf numFmtId="0" fontId="0" fillId="0" borderId="0" xfId="0"/>
    <xf numFmtId="49" fontId="0" fillId="0" borderId="0" xfId="0" applyNumberFormat="1"/>
    <xf numFmtId="14" fontId="0" fillId="0" borderId="0" xfId="0" applyNumberFormat="1"/>
    <xf numFmtId="14" fontId="0" fillId="0" borderId="0" xfId="0" applyNumberFormat="1" applyAlignment="1">
      <alignment horizontal="right" vertical="center" wrapText="1"/>
    </xf>
    <xf numFmtId="14" fontId="0" fillId="0" borderId="0" xfId="0" applyNumberFormat="1" applyAlignment="1">
      <alignment horizontal="center"/>
    </xf>
    <xf numFmtId="0" fontId="0" fillId="0" borderId="0" xfId="0" applyAlignment="1">
      <alignment horizontal="left"/>
    </xf>
    <xf numFmtId="0" fontId="0" fillId="0" borderId="0" xfId="0" quotePrefix="1"/>
    <xf numFmtId="9" fontId="0" fillId="0" borderId="0" xfId="0" quotePrefix="1" applyNumberFormat="1"/>
    <xf numFmtId="0" fontId="0" fillId="0" borderId="0" xfId="0" applyAlignment="1">
      <alignment wrapText="1"/>
    </xf>
    <xf numFmtId="0" fontId="0" fillId="0" borderId="0" xfId="0" applyAlignment="1">
      <alignment horizontal="center" vertical="center" wrapText="1"/>
    </xf>
    <xf numFmtId="0" fontId="5" fillId="0" borderId="0" xfId="0" applyFont="1"/>
    <xf numFmtId="0" fontId="5" fillId="0" borderId="0" xfId="0" applyFont="1" applyAlignment="1">
      <alignment horizontal="center" vertical="center" wrapText="1"/>
    </xf>
    <xf numFmtId="0" fontId="0" fillId="0" borderId="0" xfId="0" applyAlignment="1">
      <alignment horizontal="center"/>
    </xf>
    <xf numFmtId="0" fontId="2" fillId="0" borderId="0" xfId="4" applyProtection="1">
      <protection hidden="1"/>
    </xf>
    <xf numFmtId="0" fontId="2" fillId="0" borderId="0" xfId="4" applyAlignment="1" applyProtection="1">
      <alignment horizontal="center"/>
      <protection hidden="1"/>
    </xf>
    <xf numFmtId="0" fontId="6" fillId="0" borderId="0" xfId="4" applyFont="1" applyProtection="1">
      <protection hidden="1"/>
    </xf>
    <xf numFmtId="0" fontId="4" fillId="2" borderId="1" xfId="4" applyFont="1" applyFill="1" applyBorder="1" applyAlignment="1" applyProtection="1">
      <alignment horizontal="left" vertical="center" wrapText="1" indent="1"/>
      <protection hidden="1"/>
    </xf>
    <xf numFmtId="0" fontId="4" fillId="2" borderId="2" xfId="4" applyFont="1" applyFill="1" applyBorder="1" applyAlignment="1" applyProtection="1">
      <alignment horizontal="left" vertical="center" wrapText="1" indent="1"/>
      <protection hidden="1"/>
    </xf>
    <xf numFmtId="164" fontId="4" fillId="2" borderId="3" xfId="5" applyNumberFormat="1" applyFont="1" applyFill="1" applyBorder="1" applyAlignment="1" applyProtection="1">
      <alignment horizontal="left" vertical="center" indent="1"/>
      <protection hidden="1"/>
    </xf>
    <xf numFmtId="0" fontId="4" fillId="2" borderId="3" xfId="4" applyFont="1" applyFill="1" applyBorder="1" applyAlignment="1" applyProtection="1">
      <alignment horizontal="left" vertical="center" indent="1"/>
      <protection hidden="1"/>
    </xf>
    <xf numFmtId="0" fontId="7" fillId="0" borderId="3" xfId="4" applyFont="1" applyBorder="1" applyAlignment="1" applyProtection="1">
      <alignment horizontal="center" vertical="center" wrapText="1"/>
      <protection hidden="1"/>
    </xf>
    <xf numFmtId="0" fontId="5" fillId="0" borderId="3" xfId="4" quotePrefix="1" applyFont="1" applyBorder="1" applyAlignment="1" applyProtection="1">
      <alignment horizontal="left" vertical="center" wrapText="1" indent="1"/>
      <protection hidden="1"/>
    </xf>
    <xf numFmtId="43" fontId="2" fillId="0" borderId="3" xfId="5" applyFont="1" applyFill="1" applyBorder="1" applyAlignment="1" applyProtection="1">
      <alignment horizontal="left" vertical="center" indent="1"/>
      <protection hidden="1"/>
    </xf>
    <xf numFmtId="0" fontId="2" fillId="0" borderId="3" xfId="4" applyBorder="1" applyAlignment="1" applyProtection="1">
      <alignment horizontal="left" vertical="center" wrapText="1" indent="1"/>
      <protection hidden="1"/>
    </xf>
    <xf numFmtId="0" fontId="8" fillId="3" borderId="4" xfId="4" applyFont="1" applyFill="1" applyBorder="1" applyAlignment="1" applyProtection="1">
      <alignment horizontal="left" vertical="center" indent="1"/>
      <protection hidden="1"/>
    </xf>
    <xf numFmtId="0" fontId="9" fillId="4" borderId="1" xfId="4" applyFont="1" applyFill="1" applyBorder="1" applyAlignment="1" applyProtection="1">
      <alignment horizontal="left" vertical="center"/>
      <protection hidden="1"/>
    </xf>
    <xf numFmtId="0" fontId="9" fillId="4" borderId="5" xfId="4" applyFont="1" applyFill="1" applyBorder="1" applyAlignment="1" applyProtection="1">
      <alignment horizontal="left" vertical="center"/>
      <protection hidden="1"/>
    </xf>
    <xf numFmtId="0" fontId="10" fillId="4" borderId="2" xfId="4" applyFont="1" applyFill="1" applyBorder="1" applyAlignment="1" applyProtection="1">
      <alignment horizontal="left" vertical="center" indent="1"/>
      <protection hidden="1"/>
    </xf>
    <xf numFmtId="0" fontId="7" fillId="3" borderId="3" xfId="4" applyFont="1" applyFill="1" applyBorder="1" applyAlignment="1" applyProtection="1">
      <alignment horizontal="left" vertical="center" indent="1"/>
      <protection hidden="1"/>
    </xf>
    <xf numFmtId="0" fontId="11" fillId="3" borderId="3" xfId="4" applyFont="1" applyFill="1" applyBorder="1" applyAlignment="1" applyProtection="1">
      <alignment horizontal="center" vertical="center"/>
      <protection hidden="1"/>
    </xf>
    <xf numFmtId="0" fontId="2" fillId="0" borderId="5" xfId="4" applyBorder="1" applyAlignment="1" applyProtection="1">
      <alignment horizontal="center" vertical="center"/>
      <protection hidden="1"/>
    </xf>
    <xf numFmtId="0" fontId="13" fillId="0" borderId="6" xfId="4" applyFont="1" applyBorder="1" applyAlignment="1">
      <alignment horizontal="left" vertical="center" indent="1"/>
    </xf>
    <xf numFmtId="0" fontId="2" fillId="0" borderId="7" xfId="4" applyBorder="1" applyAlignment="1">
      <alignment vertical="center"/>
    </xf>
    <xf numFmtId="0" fontId="9" fillId="4" borderId="8" xfId="4" applyFont="1" applyFill="1" applyBorder="1" applyAlignment="1" applyProtection="1">
      <alignment horizontal="left" vertical="center" indent="1"/>
      <protection hidden="1"/>
    </xf>
    <xf numFmtId="0" fontId="9" fillId="4" borderId="9" xfId="4" applyFont="1" applyFill="1" applyBorder="1" applyAlignment="1" applyProtection="1">
      <alignment horizontal="left" vertical="center" indent="1"/>
      <protection hidden="1"/>
    </xf>
    <xf numFmtId="0" fontId="9" fillId="4" borderId="5" xfId="4" applyFont="1" applyFill="1" applyBorder="1" applyAlignment="1" applyProtection="1">
      <alignment horizontal="left" vertical="center" indent="1"/>
      <protection hidden="1"/>
    </xf>
    <xf numFmtId="0" fontId="2" fillId="0" borderId="8" xfId="4" applyBorder="1" applyProtection="1">
      <protection hidden="1"/>
    </xf>
    <xf numFmtId="0" fontId="2" fillId="0" borderId="9" xfId="4" applyBorder="1" applyProtection="1">
      <protection hidden="1"/>
    </xf>
    <xf numFmtId="0" fontId="2" fillId="0" borderId="9" xfId="4" applyBorder="1" applyAlignment="1" applyProtection="1">
      <alignment horizontal="center"/>
      <protection hidden="1"/>
    </xf>
    <xf numFmtId="0" fontId="16" fillId="0" borderId="10" xfId="4" applyFont="1" applyBorder="1" applyAlignment="1" applyProtection="1">
      <alignment horizontal="left" vertical="center" indent="1"/>
      <protection hidden="1"/>
    </xf>
    <xf numFmtId="0" fontId="17" fillId="0" borderId="0" xfId="0" applyFont="1" applyAlignment="1">
      <alignment vertical="center"/>
    </xf>
    <xf numFmtId="0" fontId="18" fillId="0" borderId="0" xfId="0" applyFont="1" applyAlignment="1">
      <alignment vertical="justify" wrapText="1"/>
    </xf>
    <xf numFmtId="0" fontId="19" fillId="0" borderId="0" xfId="0" applyFont="1" applyAlignment="1">
      <alignment vertical="justify" wrapText="1"/>
    </xf>
    <xf numFmtId="0" fontId="23" fillId="0" borderId="0" xfId="0" applyFont="1" applyAlignment="1">
      <alignment vertical="center" wrapText="1"/>
    </xf>
    <xf numFmtId="0" fontId="25" fillId="0" borderId="0" xfId="0" applyFont="1" applyAlignment="1">
      <alignment vertical="center"/>
    </xf>
    <xf numFmtId="0" fontId="26" fillId="0" borderId="0" xfId="0" applyFont="1" applyAlignment="1">
      <alignment vertical="center" wrapText="1"/>
    </xf>
    <xf numFmtId="0" fontId="27" fillId="0" borderId="0" xfId="0" applyFont="1" applyAlignment="1">
      <alignment vertical="center"/>
    </xf>
    <xf numFmtId="0" fontId="28" fillId="0" borderId="0" xfId="0" applyFont="1" applyAlignment="1">
      <alignment vertical="top"/>
    </xf>
    <xf numFmtId="0" fontId="29" fillId="0" borderId="0" xfId="0" applyFont="1" applyAlignment="1">
      <alignment vertical="center"/>
    </xf>
    <xf numFmtId="0" fontId="0" fillId="5" borderId="0" xfId="0" applyFill="1"/>
    <xf numFmtId="0" fontId="0" fillId="6" borderId="0" xfId="0" applyFill="1"/>
    <xf numFmtId="0" fontId="0" fillId="6" borderId="0" xfId="0" applyFill="1" applyAlignment="1">
      <alignment vertical="center"/>
    </xf>
    <xf numFmtId="0" fontId="0" fillId="5" borderId="11" xfId="0" applyFill="1" applyBorder="1"/>
    <xf numFmtId="0" fontId="30" fillId="6" borderId="0" xfId="0" applyFont="1" applyFill="1" applyAlignment="1">
      <alignment vertical="center"/>
    </xf>
    <xf numFmtId="0" fontId="31" fillId="6" borderId="0" xfId="0" quotePrefix="1" applyFont="1" applyFill="1" applyAlignment="1">
      <alignment horizontal="left" vertical="center"/>
    </xf>
    <xf numFmtId="0" fontId="0" fillId="6" borderId="0" xfId="0" applyFill="1" applyAlignment="1">
      <alignment horizontal="center" vertical="center"/>
    </xf>
    <xf numFmtId="0" fontId="33" fillId="6" borderId="0" xfId="0" applyFont="1" applyFill="1" applyAlignment="1">
      <alignment horizontal="right" vertical="center"/>
    </xf>
    <xf numFmtId="0" fontId="34" fillId="6" borderId="0" xfId="0" applyFont="1" applyFill="1" applyAlignment="1">
      <alignment horizontal="left" vertical="center"/>
    </xf>
    <xf numFmtId="0" fontId="0" fillId="5" borderId="12" xfId="0" applyFill="1" applyBorder="1"/>
    <xf numFmtId="0" fontId="0" fillId="5" borderId="13" xfId="0" applyFill="1" applyBorder="1"/>
    <xf numFmtId="0" fontId="35" fillId="6" borderId="0" xfId="0" applyFont="1" applyFill="1" applyAlignment="1">
      <alignment horizontal="left" vertical="top" wrapText="1"/>
    </xf>
    <xf numFmtId="0" fontId="37" fillId="6" borderId="0" xfId="6" applyFont="1" applyFill="1" applyAlignment="1">
      <alignment horizontal="left" vertical="center" indent="1"/>
    </xf>
    <xf numFmtId="0" fontId="39" fillId="6" borderId="0" xfId="7" applyFont="1" applyFill="1" applyAlignment="1">
      <alignment horizontal="left" vertical="center" indent="1"/>
    </xf>
    <xf numFmtId="0" fontId="0" fillId="0" borderId="14" xfId="0" applyBorder="1"/>
    <xf numFmtId="0" fontId="0" fillId="0" borderId="15" xfId="0" applyBorder="1"/>
    <xf numFmtId="0" fontId="0" fillId="6" borderId="15" xfId="0" applyFill="1" applyBorder="1"/>
    <xf numFmtId="0" fontId="35" fillId="6" borderId="15" xfId="0" applyFont="1" applyFill="1" applyBorder="1" applyAlignment="1">
      <alignment horizontal="left" vertical="top" wrapText="1"/>
    </xf>
    <xf numFmtId="0" fontId="40" fillId="0" borderId="15" xfId="6" applyFont="1" applyBorder="1" applyAlignment="1">
      <alignment horizontal="center" vertical="top" wrapText="1"/>
    </xf>
    <xf numFmtId="0" fontId="37" fillId="6" borderId="15" xfId="6" applyFont="1" applyFill="1" applyBorder="1" applyAlignment="1">
      <alignment horizontal="left" vertical="center" indent="1"/>
    </xf>
    <xf numFmtId="0" fontId="39" fillId="6" borderId="15" xfId="7" applyFont="1" applyFill="1" applyBorder="1" applyAlignment="1">
      <alignment horizontal="left" vertical="center" indent="1"/>
    </xf>
    <xf numFmtId="0" fontId="0" fillId="0" borderId="16" xfId="0" applyBorder="1"/>
    <xf numFmtId="0" fontId="0" fillId="0" borderId="17" xfId="0" applyBorder="1" applyAlignment="1">
      <alignment horizontal="left" indent="1"/>
    </xf>
    <xf numFmtId="0" fontId="0" fillId="0" borderId="11" xfId="0" applyBorder="1"/>
    <xf numFmtId="0" fontId="35" fillId="0" borderId="17" xfId="0" applyFont="1" applyBorder="1" applyAlignment="1">
      <alignment vertical="top" wrapText="1"/>
    </xf>
    <xf numFmtId="0" fontId="0" fillId="0" borderId="0" xfId="0" applyAlignment="1">
      <alignment vertical="center"/>
    </xf>
    <xf numFmtId="0" fontId="0" fillId="0" borderId="17" xfId="0" applyBorder="1" applyAlignment="1">
      <alignment horizontal="left" vertical="center" indent="1"/>
    </xf>
    <xf numFmtId="0" fontId="0" fillId="0" borderId="11" xfId="0" applyBorder="1" applyAlignment="1">
      <alignment vertical="center"/>
    </xf>
    <xf numFmtId="0" fontId="0" fillId="0" borderId="17" xfId="0" applyBorder="1" applyAlignment="1">
      <alignment vertical="center"/>
    </xf>
    <xf numFmtId="0" fontId="40" fillId="6" borderId="0" xfId="6" applyFont="1" applyFill="1" applyAlignment="1">
      <alignment horizontal="center" vertical="top" wrapText="1"/>
    </xf>
    <xf numFmtId="0" fontId="47" fillId="6" borderId="0" xfId="6" applyFont="1" applyFill="1" applyAlignment="1">
      <alignment horizontal="center" vertical="top" wrapText="1"/>
    </xf>
    <xf numFmtId="0" fontId="0" fillId="7" borderId="17" xfId="0" applyFill="1" applyBorder="1" applyAlignment="1">
      <alignment vertical="center"/>
    </xf>
    <xf numFmtId="0" fontId="48" fillId="7" borderId="5" xfId="7" applyFont="1" applyFill="1" applyBorder="1" applyAlignment="1">
      <alignment horizontal="left" vertical="center" indent="1"/>
    </xf>
    <xf numFmtId="0" fontId="0" fillId="7" borderId="11" xfId="0" applyFill="1" applyBorder="1" applyAlignment="1">
      <alignment vertical="center"/>
    </xf>
    <xf numFmtId="0" fontId="49" fillId="7" borderId="0" xfId="6" applyFont="1" applyFill="1" applyAlignment="1">
      <alignment horizontal="left" vertical="center" wrapText="1"/>
    </xf>
    <xf numFmtId="0" fontId="50" fillId="7" borderId="0" xfId="6" applyFont="1" applyFill="1" applyAlignment="1">
      <alignment horizontal="left" vertical="center"/>
    </xf>
    <xf numFmtId="0" fontId="51" fillId="7" borderId="0" xfId="6" applyFont="1" applyFill="1" applyAlignment="1">
      <alignment horizontal="left" vertical="center"/>
    </xf>
    <xf numFmtId="0" fontId="0" fillId="7" borderId="0" xfId="0" applyFill="1" applyAlignment="1">
      <alignment vertical="center"/>
    </xf>
    <xf numFmtId="0" fontId="52" fillId="7" borderId="0" xfId="6" applyFont="1" applyFill="1" applyAlignment="1">
      <alignment horizontal="left" vertical="center"/>
    </xf>
    <xf numFmtId="0" fontId="50" fillId="6" borderId="7" xfId="6" applyFont="1" applyFill="1" applyBorder="1" applyAlignment="1">
      <alignment horizontal="left" vertical="center"/>
    </xf>
    <xf numFmtId="0" fontId="0" fillId="6" borderId="2" xfId="0" applyFill="1" applyBorder="1" applyAlignment="1">
      <alignment vertical="center"/>
    </xf>
    <xf numFmtId="0" fontId="50" fillId="6" borderId="5" xfId="6" applyFont="1" applyFill="1" applyBorder="1" applyAlignment="1">
      <alignment horizontal="left" vertical="center"/>
    </xf>
    <xf numFmtId="0" fontId="54" fillId="6" borderId="5" xfId="6" applyFont="1" applyFill="1" applyBorder="1" applyAlignment="1">
      <alignment horizontal="left" vertical="center"/>
    </xf>
    <xf numFmtId="0" fontId="0" fillId="7" borderId="0" xfId="0" applyFill="1"/>
    <xf numFmtId="17" fontId="57" fillId="7" borderId="0" xfId="0" applyNumberFormat="1" applyFont="1" applyFill="1" applyAlignment="1">
      <alignment vertical="center"/>
    </xf>
    <xf numFmtId="0" fontId="0" fillId="7" borderId="17" xfId="0" applyFill="1" applyBorder="1"/>
    <xf numFmtId="0" fontId="0" fillId="7" borderId="11" xfId="0" applyFill="1" applyBorder="1"/>
    <xf numFmtId="0" fontId="0" fillId="5" borderId="18" xfId="0" applyFill="1" applyBorder="1"/>
    <xf numFmtId="0" fontId="0" fillId="5" borderId="7" xfId="0" applyFill="1" applyBorder="1"/>
    <xf numFmtId="0" fontId="0" fillId="5" borderId="19" xfId="0" applyFill="1" applyBorder="1"/>
    <xf numFmtId="0" fontId="0" fillId="5" borderId="17" xfId="0" applyFill="1" applyBorder="1"/>
    <xf numFmtId="0" fontId="58" fillId="6" borderId="0" xfId="0" quotePrefix="1" applyFont="1" applyFill="1" applyAlignment="1">
      <alignment horizontal="left" vertical="center"/>
    </xf>
    <xf numFmtId="0" fontId="59" fillId="0" borderId="0" xfId="0" applyFont="1" applyAlignment="1">
      <alignment horizontal="right" vertical="center"/>
    </xf>
    <xf numFmtId="0" fontId="33" fillId="6" borderId="0" xfId="0" applyFont="1" applyFill="1" applyAlignment="1">
      <alignment horizontal="left" vertical="center"/>
    </xf>
    <xf numFmtId="0" fontId="0" fillId="5" borderId="20" xfId="0" applyFill="1" applyBorder="1"/>
    <xf numFmtId="165" fontId="0" fillId="8" borderId="21" xfId="0" applyNumberFormat="1" applyFill="1" applyBorder="1"/>
    <xf numFmtId="0" fontId="0" fillId="8" borderId="7" xfId="0" applyFill="1" applyBorder="1"/>
    <xf numFmtId="0" fontId="0" fillId="8" borderId="6" xfId="0" applyFill="1" applyBorder="1"/>
    <xf numFmtId="0" fontId="0" fillId="8" borderId="21" xfId="0" applyFill="1" applyBorder="1"/>
    <xf numFmtId="165" fontId="60" fillId="8" borderId="22" xfId="0" applyNumberFormat="1" applyFont="1" applyFill="1" applyBorder="1" applyAlignment="1">
      <alignment horizontal="left" vertical="center"/>
    </xf>
    <xf numFmtId="6" fontId="60" fillId="8" borderId="0" xfId="0" applyNumberFormat="1" applyFont="1" applyFill="1" applyAlignment="1">
      <alignment horizontal="center" vertical="center"/>
    </xf>
    <xf numFmtId="166" fontId="61" fillId="8" borderId="0" xfId="0" applyNumberFormat="1" applyFont="1" applyFill="1" applyAlignment="1">
      <alignment horizontal="center" vertical="center"/>
    </xf>
    <xf numFmtId="0" fontId="0" fillId="8" borderId="24" xfId="0" applyFill="1" applyBorder="1"/>
    <xf numFmtId="0" fontId="0" fillId="8" borderId="15" xfId="0" applyFill="1" applyBorder="1"/>
    <xf numFmtId="0" fontId="61" fillId="8" borderId="25" xfId="0" applyFont="1" applyFill="1" applyBorder="1" applyAlignment="1">
      <alignment horizontal="left" vertical="center" indent="2"/>
    </xf>
    <xf numFmtId="0" fontId="0" fillId="8" borderId="22" xfId="0" applyFill="1" applyBorder="1"/>
    <xf numFmtId="0" fontId="0" fillId="8" borderId="0" xfId="0" applyFill="1"/>
    <xf numFmtId="0" fontId="0" fillId="8" borderId="23" xfId="0" applyFill="1" applyBorder="1"/>
    <xf numFmtId="0" fontId="0" fillId="0" borderId="3" xfId="0" applyBorder="1"/>
    <xf numFmtId="9" fontId="0" fillId="0" borderId="3" xfId="3" applyFont="1" applyBorder="1"/>
    <xf numFmtId="164" fontId="0" fillId="0" borderId="3" xfId="0" applyNumberFormat="1" applyBorder="1"/>
    <xf numFmtId="164" fontId="39" fillId="0" borderId="3" xfId="1" applyNumberFormat="1" applyFont="1" applyBorder="1"/>
    <xf numFmtId="0" fontId="39" fillId="0" borderId="3" xfId="0" applyFont="1" applyBorder="1" applyAlignment="1">
      <alignment horizontal="left"/>
    </xf>
    <xf numFmtId="0" fontId="39" fillId="0" borderId="3" xfId="0" applyFont="1" applyBorder="1"/>
    <xf numFmtId="0" fontId="0" fillId="0" borderId="26" xfId="0" applyBorder="1"/>
    <xf numFmtId="9" fontId="60" fillId="8" borderId="22" xfId="0" applyNumberFormat="1" applyFont="1" applyFill="1" applyBorder="1" applyAlignment="1">
      <alignment horizontal="left" vertical="center"/>
    </xf>
    <xf numFmtId="9" fontId="39" fillId="0" borderId="3" xfId="3" applyFont="1" applyBorder="1"/>
    <xf numFmtId="0" fontId="5" fillId="0" borderId="3" xfId="0" applyFont="1" applyBorder="1"/>
    <xf numFmtId="164" fontId="65" fillId="0" borderId="0" xfId="1" applyNumberFormat="1" applyFont="1"/>
    <xf numFmtId="0" fontId="65" fillId="0" borderId="0" xfId="0" applyFont="1"/>
    <xf numFmtId="14" fontId="0" fillId="0" borderId="3" xfId="0" applyNumberFormat="1" applyBorder="1"/>
    <xf numFmtId="0" fontId="0" fillId="0" borderId="7" xfId="0" applyBorder="1"/>
    <xf numFmtId="0" fontId="0" fillId="5" borderId="0" xfId="0" applyFill="1" applyAlignment="1">
      <alignment vertical="center"/>
    </xf>
    <xf numFmtId="0" fontId="0" fillId="6" borderId="27" xfId="0" applyFill="1" applyBorder="1"/>
    <xf numFmtId="0" fontId="0" fillId="6" borderId="28" xfId="0" applyFill="1" applyBorder="1"/>
    <xf numFmtId="0" fontId="0" fillId="6" borderId="29" xfId="0" applyFill="1" applyBorder="1" applyAlignment="1">
      <alignment vertical="center"/>
    </xf>
    <xf numFmtId="0" fontId="0" fillId="6" borderId="30" xfId="0" applyFill="1" applyBorder="1"/>
    <xf numFmtId="14" fontId="66" fillId="6" borderId="0" xfId="0" applyNumberFormat="1" applyFont="1" applyFill="1" applyAlignment="1">
      <alignment horizontal="center" vertical="center"/>
    </xf>
    <xf numFmtId="0" fontId="65" fillId="6" borderId="0" xfId="0" applyFont="1" applyFill="1" applyAlignment="1">
      <alignment horizontal="center" vertical="center"/>
      <extLst>
        <ext xmlns:xfpb="http://schemas.microsoft.com/office/spreadsheetml/2022/featurepropertybag" uri="{C7286773-470A-42A8-94C5-96B5CB345126}">
          <xfpb:xfComplement i="0"/>
        </ext>
      </extLst>
    </xf>
    <xf numFmtId="0" fontId="30" fillId="6" borderId="0" xfId="0" applyFont="1" applyFill="1" applyAlignment="1">
      <alignment horizontal="right" vertical="center"/>
    </xf>
    <xf numFmtId="0" fontId="68" fillId="6" borderId="0" xfId="0" applyFont="1" applyFill="1" applyAlignment="1">
      <alignment horizontal="right" vertical="center"/>
    </xf>
    <xf numFmtId="0" fontId="31" fillId="6" borderId="0" xfId="0" applyFont="1" applyFill="1" applyAlignment="1">
      <alignment horizontal="left" vertical="center" indent="2"/>
    </xf>
    <xf numFmtId="0" fontId="0" fillId="6" borderId="31" xfId="0" applyFill="1" applyBorder="1" applyAlignment="1">
      <alignment horizontal="right" vertical="center" indent="1"/>
    </xf>
    <xf numFmtId="0" fontId="31" fillId="6" borderId="0" xfId="0" quotePrefix="1" applyFont="1" applyFill="1" applyAlignment="1">
      <alignment horizontal="left" vertical="center" indent="2"/>
    </xf>
    <xf numFmtId="0" fontId="59" fillId="6" borderId="0" xfId="0" applyFont="1" applyFill="1" applyAlignment="1">
      <alignment horizontal="right" vertical="center"/>
    </xf>
    <xf numFmtId="0" fontId="34" fillId="6" borderId="0" xfId="0" applyFont="1" applyFill="1" applyAlignment="1">
      <alignment horizontal="left" vertical="center" indent="2"/>
    </xf>
    <xf numFmtId="0" fontId="0" fillId="6" borderId="32" xfId="0" applyFill="1" applyBorder="1"/>
    <xf numFmtId="0" fontId="0" fillId="6" borderId="33" xfId="0" applyFill="1" applyBorder="1"/>
    <xf numFmtId="0" fontId="0" fillId="6" borderId="34" xfId="0" applyFill="1" applyBorder="1" applyAlignment="1">
      <alignment vertical="center"/>
    </xf>
    <xf numFmtId="0" fontId="37" fillId="0" borderId="0" xfId="0" applyFont="1"/>
    <xf numFmtId="0" fontId="6" fillId="0" borderId="0" xfId="0" applyFont="1" applyAlignment="1">
      <alignment horizontal="left"/>
    </xf>
    <xf numFmtId="0" fontId="6" fillId="0" borderId="0" xfId="0" applyFont="1"/>
    <xf numFmtId="0" fontId="69" fillId="0" borderId="0" xfId="0" applyFont="1"/>
    <xf numFmtId="43" fontId="69" fillId="0" borderId="0" xfId="1" applyFont="1" applyFill="1"/>
    <xf numFmtId="164" fontId="69" fillId="0" borderId="0" xfId="1" applyNumberFormat="1" applyFont="1" applyFill="1"/>
    <xf numFmtId="164" fontId="70" fillId="0" borderId="0" xfId="1" applyNumberFormat="1" applyFont="1" applyFill="1" applyAlignment="1">
      <alignment horizontal="left" indent="1"/>
    </xf>
    <xf numFmtId="0" fontId="70" fillId="0" borderId="0" xfId="0" applyFont="1"/>
    <xf numFmtId="0" fontId="70" fillId="0" borderId="0" xfId="0" applyFont="1" applyAlignment="1">
      <alignment horizontal="left"/>
    </xf>
    <xf numFmtId="0" fontId="71" fillId="0" borderId="0" xfId="0" applyFont="1"/>
    <xf numFmtId="167" fontId="71" fillId="0" borderId="5" xfId="1" applyNumberFormat="1" applyFont="1" applyFill="1" applyBorder="1"/>
    <xf numFmtId="167" fontId="71" fillId="0" borderId="0" xfId="0" applyNumberFormat="1" applyFont="1"/>
    <xf numFmtId="0" fontId="72" fillId="0" borderId="0" xfId="0" applyFont="1" applyAlignment="1">
      <alignment horizontal="left"/>
    </xf>
    <xf numFmtId="0" fontId="72" fillId="0" borderId="0" xfId="0" applyFont="1"/>
    <xf numFmtId="164" fontId="37" fillId="0" borderId="0" xfId="1" applyNumberFormat="1" applyFont="1" applyAlignment="1">
      <alignment wrapText="1"/>
    </xf>
    <xf numFmtId="0" fontId="6" fillId="0" borderId="0" xfId="0" applyFont="1" applyAlignment="1">
      <alignment horizontal="left" indent="1"/>
    </xf>
    <xf numFmtId="0" fontId="6" fillId="0" borderId="0" xfId="0" applyFont="1" applyAlignment="1">
      <alignment horizontal="left" indent="2"/>
    </xf>
    <xf numFmtId="0" fontId="37" fillId="4" borderId="0" xfId="0" applyFont="1" applyFill="1"/>
    <xf numFmtId="0" fontId="6" fillId="4" borderId="0" xfId="0" applyFont="1" applyFill="1" applyAlignment="1">
      <alignment horizontal="left"/>
    </xf>
    <xf numFmtId="0" fontId="6" fillId="4" borderId="0" xfId="0" applyFont="1" applyFill="1"/>
    <xf numFmtId="0" fontId="13" fillId="4" borderId="0" xfId="0" applyFont="1" applyFill="1" applyAlignment="1">
      <alignment horizontal="right"/>
    </xf>
    <xf numFmtId="17" fontId="8" fillId="0" borderId="7" xfId="0" applyNumberFormat="1" applyFont="1" applyBorder="1" applyAlignment="1">
      <alignment horizontal="center" vertical="center"/>
    </xf>
    <xf numFmtId="17" fontId="71" fillId="0" borderId="0" xfId="0" applyNumberFormat="1" applyFont="1" applyAlignment="1">
      <alignment horizontal="center" vertical="center"/>
    </xf>
    <xf numFmtId="17" fontId="71" fillId="0" borderId="7" xfId="0" applyNumberFormat="1" applyFont="1" applyBorder="1" applyAlignment="1">
      <alignment horizontal="center" vertical="center"/>
    </xf>
    <xf numFmtId="0" fontId="71" fillId="0" borderId="0" xfId="0" applyFont="1" applyAlignment="1">
      <alignment horizontal="center"/>
    </xf>
    <xf numFmtId="0" fontId="71" fillId="0" borderId="7" xfId="0" applyFont="1" applyBorder="1" applyAlignment="1">
      <alignment horizontal="center" vertical="center"/>
    </xf>
    <xf numFmtId="0" fontId="6" fillId="0" borderId="0" xfId="0" applyFont="1" applyAlignment="1">
      <alignment horizontal="right"/>
    </xf>
    <xf numFmtId="0" fontId="73" fillId="0" borderId="0" xfId="0" applyFont="1" applyAlignment="1">
      <alignment horizontal="center"/>
    </xf>
    <xf numFmtId="14" fontId="39" fillId="0" borderId="0" xfId="0" applyNumberFormat="1" applyFont="1" applyAlignment="1">
      <alignment horizontal="center"/>
    </xf>
    <xf numFmtId="14" fontId="73" fillId="0" borderId="0" xfId="0" applyNumberFormat="1" applyFont="1" applyAlignment="1">
      <alignment horizontal="center"/>
    </xf>
    <xf numFmtId="0" fontId="39" fillId="0" borderId="0" xfId="0" applyFont="1" applyAlignment="1">
      <alignment horizontal="center"/>
    </xf>
    <xf numFmtId="0" fontId="42" fillId="0" borderId="0" xfId="0" applyFont="1" applyAlignment="1">
      <alignment horizontal="center"/>
    </xf>
    <xf numFmtId="0" fontId="37" fillId="0" borderId="35" xfId="0" applyFont="1" applyBorder="1"/>
    <xf numFmtId="0" fontId="74" fillId="0" borderId="35" xfId="0" applyFont="1" applyBorder="1" applyAlignment="1">
      <alignment horizontal="left" vertical="center"/>
    </xf>
    <xf numFmtId="0" fontId="74" fillId="0" borderId="35" xfId="0" applyFont="1" applyBorder="1" applyAlignment="1">
      <alignment vertical="center"/>
    </xf>
    <xf numFmtId="0" fontId="71" fillId="0" borderId="35" xfId="0" applyFont="1" applyBorder="1"/>
    <xf numFmtId="164" fontId="37" fillId="0" borderId="0" xfId="1" applyNumberFormat="1" applyFont="1" applyFill="1"/>
    <xf numFmtId="167" fontId="71" fillId="0" borderId="0" xfId="1" applyNumberFormat="1" applyFont="1" applyFill="1" applyBorder="1"/>
    <xf numFmtId="0" fontId="75" fillId="0" borderId="0" xfId="0" applyFont="1"/>
    <xf numFmtId="9" fontId="75" fillId="0" borderId="0" xfId="3" applyFont="1" applyFill="1"/>
    <xf numFmtId="0" fontId="13" fillId="0" borderId="0" xfId="0" applyFont="1" applyAlignment="1">
      <alignment horizontal="left" indent="1"/>
    </xf>
    <xf numFmtId="0" fontId="13" fillId="0" borderId="0" xfId="0" applyFont="1"/>
    <xf numFmtId="0" fontId="76" fillId="0" borderId="0" xfId="0" applyFont="1" applyAlignment="1">
      <alignment horizontal="center"/>
    </xf>
    <xf numFmtId="0" fontId="37" fillId="0" borderId="0" xfId="0" applyFont="1" applyAlignment="1">
      <alignment horizontal="left"/>
    </xf>
    <xf numFmtId="0" fontId="42" fillId="0" borderId="0" xfId="0" quotePrefix="1" applyFont="1"/>
    <xf numFmtId="0" fontId="8" fillId="0" borderId="0" xfId="0" applyFont="1"/>
    <xf numFmtId="42" fontId="0" fillId="0" borderId="0" xfId="2" applyNumberFormat="1" applyFont="1" applyFill="1" applyBorder="1" applyProtection="1"/>
    <xf numFmtId="42" fontId="0" fillId="0" borderId="0" xfId="2" applyNumberFormat="1" applyFont="1" applyFill="1" applyProtection="1"/>
    <xf numFmtId="42" fontId="0" fillId="0" borderId="0" xfId="2" applyNumberFormat="1" applyFont="1" applyFill="1" applyAlignment="1" applyProtection="1">
      <alignment horizontal="center" vertical="center"/>
    </xf>
    <xf numFmtId="0" fontId="0" fillId="0" borderId="0" xfId="0" applyAlignment="1">
      <alignment horizontal="center" vertical="center"/>
    </xf>
    <xf numFmtId="1" fontId="0" fillId="0" borderId="0" xfId="0" applyNumberFormat="1" applyAlignment="1">
      <alignment horizontal="left"/>
    </xf>
    <xf numFmtId="168" fontId="0" fillId="0" borderId="0" xfId="0" applyNumberFormat="1"/>
    <xf numFmtId="164" fontId="2" fillId="0" borderId="0" xfId="1" quotePrefix="1" applyNumberFormat="1" applyFont="1" applyFill="1" applyBorder="1" applyProtection="1"/>
    <xf numFmtId="168" fontId="5" fillId="0" borderId="0" xfId="0" applyNumberFormat="1" applyFont="1"/>
    <xf numFmtId="169" fontId="5" fillId="0" borderId="0" xfId="0" applyNumberFormat="1" applyFont="1" applyAlignment="1">
      <alignment horizontal="center" vertical="center"/>
    </xf>
    <xf numFmtId="169" fontId="5" fillId="0" borderId="0" xfId="0" applyNumberFormat="1" applyFont="1"/>
    <xf numFmtId="0" fontId="0" fillId="0" borderId="0" xfId="0" applyAlignment="1">
      <alignment horizontal="left" indent="1"/>
    </xf>
    <xf numFmtId="168" fontId="69" fillId="0" borderId="0" xfId="0" applyNumberFormat="1" applyFont="1"/>
    <xf numFmtId="0" fontId="69" fillId="0" borderId="0" xfId="2" quotePrefix="1" applyNumberFormat="1" applyFont="1" applyFill="1" applyBorder="1" applyProtection="1"/>
    <xf numFmtId="164" fontId="69" fillId="0" borderId="0" xfId="1" quotePrefix="1" applyNumberFormat="1" applyFont="1" applyFill="1" applyBorder="1" applyProtection="1"/>
    <xf numFmtId="164" fontId="77" fillId="0" borderId="0" xfId="0" applyNumberFormat="1" applyFont="1"/>
    <xf numFmtId="164" fontId="77" fillId="0" borderId="0" xfId="0" applyNumberFormat="1" applyFont="1" applyAlignment="1">
      <alignment horizontal="center" vertical="center"/>
    </xf>
    <xf numFmtId="164" fontId="0" fillId="0" borderId="0" xfId="0" applyNumberFormat="1" applyAlignment="1">
      <alignment horizontal="left"/>
    </xf>
    <xf numFmtId="164" fontId="69" fillId="0" borderId="0" xfId="0" applyNumberFormat="1" applyFont="1" applyAlignment="1">
      <alignment horizontal="left" indent="1"/>
    </xf>
    <xf numFmtId="164" fontId="69" fillId="0" borderId="0" xfId="0" applyNumberFormat="1" applyFont="1"/>
    <xf numFmtId="164" fontId="69" fillId="0" borderId="0" xfId="2" quotePrefix="1" applyNumberFormat="1" applyFont="1" applyFill="1" applyBorder="1" applyProtection="1"/>
    <xf numFmtId="164" fontId="5" fillId="0" borderId="0" xfId="2" quotePrefix="1" applyNumberFormat="1" applyFont="1" applyFill="1" applyBorder="1" applyProtection="1"/>
    <xf numFmtId="164" fontId="5" fillId="0" borderId="0" xfId="0" applyNumberFormat="1" applyFont="1"/>
    <xf numFmtId="164" fontId="5" fillId="0" borderId="0" xfId="0" applyNumberFormat="1" applyFont="1" applyAlignment="1">
      <alignment horizontal="center" vertical="center"/>
    </xf>
    <xf numFmtId="164" fontId="69" fillId="0" borderId="0" xfId="0" applyNumberFormat="1" applyFont="1" applyAlignment="1">
      <alignment horizontal="left"/>
    </xf>
    <xf numFmtId="164" fontId="0" fillId="0" borderId="0" xfId="0" applyNumberFormat="1" applyAlignment="1">
      <alignment horizontal="left" indent="1"/>
    </xf>
    <xf numFmtId="0" fontId="5" fillId="0" borderId="0" xfId="0" applyFont="1" applyAlignment="1">
      <alignment horizontal="left" vertical="center"/>
    </xf>
    <xf numFmtId="0" fontId="0" fillId="0" borderId="0" xfId="0" applyAlignment="1">
      <alignment horizontal="left" vertical="center"/>
    </xf>
    <xf numFmtId="42" fontId="78" fillId="0" borderId="0" xfId="2" applyNumberFormat="1" applyFont="1" applyFill="1" applyProtection="1"/>
    <xf numFmtId="42" fontId="78" fillId="0" borderId="0" xfId="2" applyNumberFormat="1" applyFont="1" applyFill="1" applyAlignment="1" applyProtection="1">
      <alignment horizontal="center" vertical="center"/>
    </xf>
    <xf numFmtId="0" fontId="78" fillId="0" borderId="0" xfId="0" applyFont="1" applyAlignment="1">
      <alignment horizontal="center" vertical="center"/>
    </xf>
    <xf numFmtId="0" fontId="78" fillId="0" borderId="0" xfId="0" applyFont="1"/>
    <xf numFmtId="1" fontId="78" fillId="0" borderId="0" xfId="0" applyNumberFormat="1" applyFont="1" applyAlignment="1">
      <alignment horizontal="left"/>
    </xf>
    <xf numFmtId="0" fontId="78" fillId="0" borderId="0" xfId="0" applyFont="1" applyAlignment="1">
      <alignment horizontal="left"/>
    </xf>
    <xf numFmtId="168" fontId="78" fillId="0" borderId="0" xfId="0" applyNumberFormat="1" applyFont="1"/>
    <xf numFmtId="164" fontId="77" fillId="0" borderId="0" xfId="2" quotePrefix="1" applyNumberFormat="1" applyFont="1" applyFill="1" applyBorder="1" applyProtection="1"/>
    <xf numFmtId="164" fontId="69" fillId="0" borderId="0" xfId="0" applyNumberFormat="1" applyFont="1" applyAlignment="1">
      <alignment horizontal="center"/>
    </xf>
    <xf numFmtId="43" fontId="77" fillId="0" borderId="0" xfId="0" applyNumberFormat="1" applyFont="1" applyAlignment="1">
      <alignment horizontal="center" vertical="center"/>
    </xf>
    <xf numFmtId="164" fontId="0" fillId="0" borderId="0" xfId="0" applyNumberFormat="1" applyAlignment="1">
      <alignment horizontal="center"/>
    </xf>
    <xf numFmtId="42" fontId="39" fillId="0" borderId="0" xfId="2" applyNumberFormat="1" applyFont="1" applyFill="1" applyProtection="1"/>
    <xf numFmtId="0" fontId="39" fillId="0" borderId="0" xfId="0" applyFont="1" applyAlignment="1">
      <alignment horizontal="left"/>
    </xf>
    <xf numFmtId="0" fontId="39" fillId="0" borderId="0" xfId="0" applyFont="1"/>
    <xf numFmtId="164" fontId="69" fillId="0" borderId="0" xfId="1" applyNumberFormat="1" applyFont="1" applyFill="1" applyAlignment="1">
      <alignment wrapText="1"/>
    </xf>
    <xf numFmtId="164" fontId="39" fillId="0" borderId="0" xfId="1" applyNumberFormat="1" applyFont="1" applyAlignment="1">
      <alignment horizontal="left"/>
    </xf>
    <xf numFmtId="0" fontId="69" fillId="0" borderId="0" xfId="0" applyFont="1" applyAlignment="1">
      <alignment horizontal="left" indent="1"/>
    </xf>
    <xf numFmtId="0" fontId="69" fillId="0" borderId="0" xfId="0" applyFont="1" applyAlignment="1">
      <alignment horizontal="left"/>
    </xf>
    <xf numFmtId="164" fontId="77" fillId="0" borderId="0" xfId="1" quotePrefix="1" applyNumberFormat="1" applyFont="1" applyFill="1" applyBorder="1" applyProtection="1"/>
    <xf numFmtId="0" fontId="0" fillId="0" borderId="0" xfId="0" applyAlignment="1">
      <alignment horizontal="left" indent="3"/>
    </xf>
    <xf numFmtId="0" fontId="79" fillId="0" borderId="0" xfId="0" applyFont="1"/>
    <xf numFmtId="168" fontId="79" fillId="0" borderId="0" xfId="2" quotePrefix="1" applyNumberFormat="1" applyFont="1" applyFill="1" applyBorder="1" applyProtection="1"/>
    <xf numFmtId="168" fontId="5" fillId="0" borderId="0" xfId="2" applyNumberFormat="1" applyFont="1" applyAlignment="1">
      <alignment horizontal="left" indent="1"/>
    </xf>
    <xf numFmtId="0" fontId="5" fillId="0" borderId="0" xfId="0" applyFont="1" applyAlignment="1">
      <alignment horizontal="left" indent="1"/>
    </xf>
    <xf numFmtId="0" fontId="5" fillId="0" borderId="0" xfId="0" applyFont="1" applyAlignment="1">
      <alignment horizontal="left"/>
    </xf>
    <xf numFmtId="164" fontId="0" fillId="0" borderId="0" xfId="1" quotePrefix="1" applyNumberFormat="1" applyFont="1" applyFill="1" applyBorder="1" applyAlignment="1" applyProtection="1">
      <alignment indent="1"/>
    </xf>
    <xf numFmtId="164" fontId="0" fillId="0" borderId="0" xfId="1" applyNumberFormat="1" applyFont="1" applyAlignment="1">
      <alignment horizontal="left" indent="1"/>
    </xf>
    <xf numFmtId="164" fontId="2" fillId="0" borderId="0" xfId="1" applyNumberFormat="1" applyFont="1" applyFill="1"/>
    <xf numFmtId="164" fontId="80" fillId="0" borderId="0" xfId="1" applyNumberFormat="1" applyFont="1" applyAlignment="1">
      <alignment horizontal="left" indent="3"/>
    </xf>
    <xf numFmtId="0" fontId="80" fillId="0" borderId="0" xfId="0" applyFont="1" applyAlignment="1">
      <alignment horizontal="left" indent="3"/>
    </xf>
    <xf numFmtId="0" fontId="80" fillId="0" borderId="0" xfId="0" applyFont="1" applyAlignment="1">
      <alignment horizontal="left"/>
    </xf>
    <xf numFmtId="168" fontId="79" fillId="0" borderId="0" xfId="0" applyNumberFormat="1" applyFont="1"/>
    <xf numFmtId="164" fontId="39" fillId="0" borderId="0" xfId="1" applyNumberFormat="1" applyFont="1" applyFill="1" applyBorder="1" applyProtection="1"/>
    <xf numFmtId="168" fontId="0" fillId="0" borderId="0" xfId="2" quotePrefix="1" applyNumberFormat="1" applyFont="1" applyFill="1"/>
    <xf numFmtId="164" fontId="0" fillId="0" borderId="0" xfId="1" applyNumberFormat="1" applyFont="1" applyAlignment="1">
      <alignment horizontal="center" vertical="center"/>
    </xf>
    <xf numFmtId="164" fontId="0" fillId="0" borderId="0" xfId="1" quotePrefix="1" applyNumberFormat="1" applyFont="1" applyFill="1"/>
    <xf numFmtId="0" fontId="81" fillId="0" borderId="0" xfId="0" applyFont="1" applyAlignment="1">
      <alignment horizontal="left" indent="1"/>
    </xf>
    <xf numFmtId="0" fontId="81" fillId="0" borderId="0" xfId="0" applyFont="1" applyAlignment="1">
      <alignment horizontal="left"/>
    </xf>
    <xf numFmtId="0" fontId="79" fillId="0" borderId="0" xfId="0" applyFont="1" applyAlignment="1">
      <alignment vertical="center"/>
    </xf>
    <xf numFmtId="164" fontId="79" fillId="0" borderId="0" xfId="1" applyNumberFormat="1" applyFont="1" applyAlignment="1">
      <alignment horizontal="left" vertical="center"/>
    </xf>
    <xf numFmtId="0" fontId="79" fillId="0" borderId="0" xfId="0" applyFont="1" applyAlignment="1">
      <alignment horizontal="left" vertical="center"/>
    </xf>
    <xf numFmtId="0" fontId="50" fillId="0" borderId="0" xfId="0" applyFont="1" applyAlignment="1">
      <alignment horizontal="center"/>
    </xf>
    <xf numFmtId="0" fontId="50" fillId="0" borderId="0" xfId="0" applyFont="1" applyAlignment="1">
      <alignment horizontal="left"/>
    </xf>
    <xf numFmtId="14" fontId="39" fillId="0" borderId="0" xfId="0" applyNumberFormat="1" applyFont="1" applyAlignment="1">
      <alignment horizontal="left"/>
    </xf>
    <xf numFmtId="0" fontId="2" fillId="0" borderId="0" xfId="4"/>
    <xf numFmtId="0" fontId="2" fillId="0" borderId="0" xfId="4" applyAlignment="1">
      <alignment horizontal="center" vertical="center"/>
    </xf>
    <xf numFmtId="0" fontId="82" fillId="0" borderId="0" xfId="4" applyFont="1"/>
    <xf numFmtId="0" fontId="2" fillId="0" borderId="0" xfId="4" applyAlignment="1">
      <alignment horizontal="left"/>
    </xf>
    <xf numFmtId="0" fontId="3" fillId="0" borderId="0" xfId="4" applyFont="1" applyAlignment="1">
      <alignment horizontal="left"/>
    </xf>
    <xf numFmtId="0" fontId="83" fillId="0" borderId="0" xfId="4" applyFont="1"/>
    <xf numFmtId="164" fontId="69" fillId="0" borderId="0" xfId="1" quotePrefix="1" applyNumberFormat="1" applyFont="1" applyFill="1"/>
    <xf numFmtId="169" fontId="5" fillId="0" borderId="0" xfId="4" applyNumberFormat="1" applyFont="1" applyAlignment="1">
      <alignment horizontal="center" vertical="center"/>
    </xf>
    <xf numFmtId="0" fontId="69" fillId="0" borderId="0" xfId="4" applyFont="1" applyAlignment="1">
      <alignment horizontal="left" indent="1"/>
    </xf>
    <xf numFmtId="0" fontId="69" fillId="0" borderId="0" xfId="4" applyFont="1" applyAlignment="1">
      <alignment horizontal="left"/>
    </xf>
    <xf numFmtId="49" fontId="2" fillId="0" borderId="0" xfId="4" applyNumberFormat="1"/>
    <xf numFmtId="0" fontId="13" fillId="0" borderId="0" xfId="4" applyFont="1" applyAlignment="1">
      <alignment horizontal="left" vertical="top" indent="1"/>
    </xf>
    <xf numFmtId="170" fontId="13" fillId="0" borderId="0" xfId="4" applyNumberFormat="1" applyFont="1" applyAlignment="1">
      <alignment horizontal="left" vertical="top" indent="1"/>
    </xf>
    <xf numFmtId="170" fontId="13" fillId="0" borderId="0" xfId="4" applyNumberFormat="1" applyFont="1" applyAlignment="1">
      <alignment horizontal="left" indent="1"/>
    </xf>
    <xf numFmtId="0" fontId="84" fillId="0" borderId="0" xfId="4" applyFont="1" applyAlignment="1">
      <alignment horizontal="right" vertical="center"/>
    </xf>
    <xf numFmtId="170" fontId="85" fillId="0" borderId="0" xfId="4" applyNumberFormat="1" applyFont="1" applyAlignment="1">
      <alignment horizontal="left" indent="1"/>
    </xf>
    <xf numFmtId="168" fontId="71" fillId="0" borderId="5" xfId="4" applyNumberFormat="1" applyFont="1" applyBorder="1" applyAlignment="1">
      <alignment horizontal="center" vertical="center"/>
    </xf>
    <xf numFmtId="0" fontId="71" fillId="0" borderId="0" xfId="4" applyFont="1" applyAlignment="1">
      <alignment horizontal="right" vertical="center" wrapText="1"/>
    </xf>
    <xf numFmtId="0" fontId="86" fillId="0" borderId="0" xfId="4" applyFont="1" applyAlignment="1">
      <alignment horizontal="left" indent="1"/>
    </xf>
    <xf numFmtId="0" fontId="83" fillId="0" borderId="0" xfId="4" applyFont="1" applyAlignment="1">
      <alignment horizontal="center" vertical="center" textRotation="90"/>
    </xf>
    <xf numFmtId="0" fontId="5" fillId="0" borderId="0" xfId="4" applyFont="1"/>
    <xf numFmtId="171" fontId="37" fillId="0" borderId="0" xfId="5" applyNumberFormat="1" applyFont="1" applyFill="1" applyBorder="1" applyAlignment="1">
      <alignment horizontal="right" vertical="center"/>
    </xf>
    <xf numFmtId="0" fontId="39" fillId="0" borderId="0" xfId="4" applyFont="1"/>
    <xf numFmtId="0" fontId="42" fillId="0" borderId="0" xfId="4" applyFont="1" applyAlignment="1">
      <alignment horizontal="left" vertical="center" wrapText="1"/>
    </xf>
    <xf numFmtId="164" fontId="37" fillId="0" borderId="0" xfId="5" applyNumberFormat="1" applyFont="1" applyFill="1" applyBorder="1" applyAlignment="1">
      <alignment horizontal="right" vertical="center"/>
    </xf>
    <xf numFmtId="0" fontId="2" fillId="0" borderId="0" xfId="4" applyAlignment="1">
      <alignment vertical="center"/>
    </xf>
    <xf numFmtId="0" fontId="87" fillId="5" borderId="0" xfId="4" applyFont="1" applyFill="1" applyAlignment="1">
      <alignment horizontal="left" indent="1"/>
    </xf>
    <xf numFmtId="0" fontId="13" fillId="5" borderId="0" xfId="4" applyFont="1" applyFill="1" applyAlignment="1">
      <alignment horizontal="right"/>
    </xf>
    <xf numFmtId="169" fontId="5" fillId="5" borderId="0" xfId="4" applyNumberFormat="1" applyFont="1" applyFill="1" applyAlignment="1">
      <alignment horizontal="center" vertical="center"/>
    </xf>
    <xf numFmtId="0" fontId="2" fillId="6" borderId="0" xfId="4" applyFill="1"/>
    <xf numFmtId="169" fontId="5" fillId="6" borderId="0" xfId="4" applyNumberFormat="1" applyFont="1" applyFill="1" applyAlignment="1">
      <alignment horizontal="center" vertical="center"/>
    </xf>
    <xf numFmtId="0" fontId="82" fillId="6" borderId="0" xfId="4" applyFont="1" applyFill="1"/>
    <xf numFmtId="170" fontId="13" fillId="5" borderId="0" xfId="4" applyNumberFormat="1" applyFont="1" applyFill="1" applyAlignment="1">
      <alignment horizontal="right"/>
    </xf>
    <xf numFmtId="170" fontId="88" fillId="5" borderId="0" xfId="4" applyNumberFormat="1" applyFont="1" applyFill="1" applyAlignment="1">
      <alignment horizontal="left" indent="1"/>
    </xf>
    <xf numFmtId="0" fontId="87" fillId="5" borderId="0" xfId="4" applyFont="1" applyFill="1" applyAlignment="1">
      <alignment horizontal="left"/>
    </xf>
    <xf numFmtId="172" fontId="37" fillId="0" borderId="0" xfId="8" applyNumberFormat="1" applyFont="1" applyFill="1" applyBorder="1" applyAlignment="1">
      <alignment horizontal="right" vertical="center"/>
    </xf>
    <xf numFmtId="172" fontId="5" fillId="0" borderId="0" xfId="8" applyNumberFormat="1" applyFont="1" applyFill="1" applyAlignment="1">
      <alignment horizontal="center" vertical="center"/>
    </xf>
    <xf numFmtId="172" fontId="39" fillId="0" borderId="0" xfId="8" applyNumberFormat="1" applyFont="1" applyFill="1"/>
    <xf numFmtId="0" fontId="88" fillId="5" borderId="0" xfId="4" applyFont="1" applyFill="1" applyAlignment="1">
      <alignment horizontal="left" indent="1"/>
    </xf>
    <xf numFmtId="0" fontId="89" fillId="0" borderId="0" xfId="4" applyFont="1" applyAlignment="1">
      <alignment horizontal="center" vertical="center"/>
    </xf>
    <xf numFmtId="0" fontId="2" fillId="0" borderId="0" xfId="4" applyAlignment="1">
      <alignment horizontal="left" vertical="center"/>
    </xf>
    <xf numFmtId="0" fontId="3" fillId="0" borderId="0" xfId="4" applyFont="1" applyAlignment="1">
      <alignment horizontal="left" vertical="center"/>
    </xf>
    <xf numFmtId="0" fontId="83" fillId="0" borderId="0" xfId="4" applyFont="1" applyAlignment="1">
      <alignment vertical="center"/>
    </xf>
    <xf numFmtId="0" fontId="2" fillId="0" borderId="0" xfId="4" quotePrefix="1"/>
    <xf numFmtId="0" fontId="90" fillId="0" borderId="0" xfId="4" applyFont="1"/>
    <xf numFmtId="164" fontId="69" fillId="0" borderId="0" xfId="4" quotePrefix="1" applyNumberFormat="1" applyFont="1"/>
    <xf numFmtId="171" fontId="69" fillId="0" borderId="0" xfId="4" quotePrefix="1" applyNumberFormat="1" applyFont="1"/>
    <xf numFmtId="0" fontId="37" fillId="0" borderId="0" xfId="4" applyFont="1" applyAlignment="1">
      <alignment horizontal="right" vertical="center" wrapText="1"/>
    </xf>
    <xf numFmtId="164" fontId="2" fillId="0" borderId="0" xfId="1" quotePrefix="1" applyNumberFormat="1"/>
    <xf numFmtId="170" fontId="82" fillId="0" borderId="0" xfId="4" applyNumberFormat="1" applyFont="1"/>
    <xf numFmtId="0" fontId="91" fillId="0" borderId="0" xfId="4" applyFont="1" applyAlignment="1">
      <alignment horizontal="left" vertical="center"/>
    </xf>
    <xf numFmtId="0" fontId="42" fillId="0" borderId="0" xfId="4" applyFont="1" applyAlignment="1">
      <alignment horizontal="left" vertical="center" wrapText="1" indent="1"/>
    </xf>
    <xf numFmtId="170" fontId="2" fillId="0" borderId="0" xfId="4" applyNumberFormat="1"/>
    <xf numFmtId="170" fontId="84" fillId="0" borderId="0" xfId="4" applyNumberFormat="1" applyFont="1" applyAlignment="1">
      <alignment horizontal="right" vertical="center" wrapText="1"/>
    </xf>
    <xf numFmtId="170" fontId="82" fillId="6" borderId="0" xfId="4" applyNumberFormat="1" applyFont="1" applyFill="1"/>
    <xf numFmtId="0" fontId="92" fillId="5" borderId="0" xfId="4" applyFont="1" applyFill="1" applyAlignment="1">
      <alignment horizontal="left"/>
    </xf>
    <xf numFmtId="0" fontId="0" fillId="0" borderId="0" xfId="4" applyFont="1" applyAlignment="1">
      <alignment horizontal="left"/>
    </xf>
    <xf numFmtId="164" fontId="37" fillId="0" borderId="0" xfId="5" quotePrefix="1" applyNumberFormat="1" applyFont="1" applyFill="1" applyBorder="1" applyAlignment="1">
      <alignment horizontal="left" vertical="center"/>
    </xf>
    <xf numFmtId="0" fontId="90" fillId="0" borderId="0" xfId="4" applyFont="1" applyAlignment="1">
      <alignment horizontal="center" vertical="center" textRotation="90"/>
    </xf>
    <xf numFmtId="171" fontId="37" fillId="0" borderId="0" xfId="5" applyNumberFormat="1" applyFont="1" applyFill="1" applyBorder="1" applyAlignment="1">
      <alignment horizontal="left" vertical="center"/>
    </xf>
    <xf numFmtId="0" fontId="93" fillId="0" borderId="0" xfId="4" applyFont="1" applyAlignment="1">
      <alignment horizontal="center" vertical="center" textRotation="90"/>
    </xf>
    <xf numFmtId="0" fontId="94" fillId="0" borderId="0" xfId="4" applyFont="1" applyAlignment="1">
      <alignment horizontal="center" vertical="center" textRotation="90"/>
    </xf>
    <xf numFmtId="170" fontId="0" fillId="0" borderId="0" xfId="4" applyNumberFormat="1" applyFont="1"/>
    <xf numFmtId="0" fontId="95" fillId="0" borderId="0" xfId="4" applyFont="1" applyAlignment="1">
      <alignment horizontal="left" vertical="center"/>
    </xf>
    <xf numFmtId="9" fontId="84" fillId="0" borderId="0" xfId="4" applyNumberFormat="1" applyFont="1" applyAlignment="1">
      <alignment horizontal="right" vertical="center" wrapText="1"/>
    </xf>
    <xf numFmtId="0" fontId="90" fillId="0" borderId="0" xfId="4" applyFont="1" applyAlignment="1">
      <alignment vertical="center"/>
    </xf>
    <xf numFmtId="49" fontId="6" fillId="0" borderId="0" xfId="0" applyNumberFormat="1" applyFont="1" applyAlignment="1">
      <alignment horizontal="left" indent="1"/>
    </xf>
    <xf numFmtId="9" fontId="84" fillId="0" borderId="0" xfId="4" applyNumberFormat="1" applyFont="1" applyAlignment="1">
      <alignment horizontal="right" vertical="center"/>
    </xf>
    <xf numFmtId="164" fontId="39" fillId="0" borderId="0" xfId="4" applyNumberFormat="1" applyFont="1"/>
    <xf numFmtId="164" fontId="0" fillId="0" borderId="0" xfId="4" applyNumberFormat="1" applyFont="1" applyAlignment="1">
      <alignment horizontal="center" vertical="center"/>
    </xf>
    <xf numFmtId="164" fontId="84" fillId="0" borderId="0" xfId="5" applyNumberFormat="1" applyFont="1" applyFill="1" applyBorder="1" applyAlignment="1">
      <alignment horizontal="right" vertical="center"/>
    </xf>
    <xf numFmtId="0" fontId="11" fillId="0" borderId="0" xfId="4" applyFont="1" applyAlignment="1">
      <alignment horizontal="left"/>
    </xf>
    <xf numFmtId="164" fontId="0" fillId="0" borderId="0" xfId="4" applyNumberFormat="1" applyFont="1"/>
    <xf numFmtId="170" fontId="96" fillId="0" borderId="0" xfId="4" applyNumberFormat="1" applyFont="1" applyAlignment="1">
      <alignment horizontal="left" indent="1"/>
    </xf>
    <xf numFmtId="164" fontId="78" fillId="0" borderId="0" xfId="4" applyNumberFormat="1" applyFont="1"/>
    <xf numFmtId="0" fontId="97" fillId="0" borderId="0" xfId="4" applyFont="1" applyAlignment="1">
      <alignment horizontal="left" indent="1"/>
    </xf>
    <xf numFmtId="164" fontId="97" fillId="0" borderId="0" xfId="1" quotePrefix="1" applyNumberFormat="1" applyFont="1" applyFill="1" applyAlignment="1">
      <alignment horizontal="center"/>
    </xf>
    <xf numFmtId="164" fontId="5" fillId="0" borderId="0" xfId="0" applyNumberFormat="1" applyFont="1" applyAlignment="1">
      <alignment horizontal="left" indent="1"/>
    </xf>
    <xf numFmtId="164" fontId="5" fillId="0" borderId="0" xfId="0" applyNumberFormat="1" applyFont="1" applyAlignment="1">
      <alignment horizontal="left"/>
    </xf>
    <xf numFmtId="164" fontId="5" fillId="0" borderId="0" xfId="1" quotePrefix="1" applyNumberFormat="1" applyFont="1" applyFill="1" applyBorder="1" applyProtection="1"/>
    <xf numFmtId="164" fontId="5" fillId="0" borderId="0" xfId="1" quotePrefix="1" applyNumberFormat="1" applyFont="1" applyFill="1" applyBorder="1" applyAlignment="1" applyProtection="1"/>
    <xf numFmtId="164" fontId="5" fillId="0" borderId="0" xfId="1" quotePrefix="1" applyNumberFormat="1" applyFont="1" applyFill="1" applyBorder="1" applyAlignment="1" applyProtection="1">
      <alignment indent="1"/>
    </xf>
    <xf numFmtId="164" fontId="0" fillId="0" borderId="0" xfId="1" quotePrefix="1" applyNumberFormat="1" applyFont="1" applyFill="1" applyBorder="1" applyAlignment="1" applyProtection="1">
      <alignment indent="2"/>
    </xf>
    <xf numFmtId="164" fontId="5" fillId="0" borderId="0" xfId="0" applyNumberFormat="1" applyFont="1" applyAlignment="1">
      <alignment horizontal="left" indent="2"/>
    </xf>
    <xf numFmtId="164" fontId="5" fillId="0" borderId="0" xfId="0" applyNumberFormat="1" applyFont="1" applyAlignment="1">
      <alignment horizontal="left" indent="3"/>
    </xf>
    <xf numFmtId="168" fontId="98" fillId="0" borderId="0" xfId="0" applyNumberFormat="1" applyFont="1"/>
    <xf numFmtId="164" fontId="5" fillId="0" borderId="0" xfId="1" quotePrefix="1" applyNumberFormat="1" applyFont="1" applyFill="1" applyBorder="1" applyAlignment="1" applyProtection="1">
      <alignment indent="2"/>
    </xf>
    <xf numFmtId="164" fontId="0" fillId="0" borderId="0" xfId="1" quotePrefix="1" applyNumberFormat="1" applyFont="1" applyFill="1" applyBorder="1" applyAlignment="1" applyProtection="1">
      <alignment indent="3"/>
    </xf>
    <xf numFmtId="164" fontId="5" fillId="0" borderId="0" xfId="1" quotePrefix="1" applyNumberFormat="1" applyFont="1" applyFill="1" applyBorder="1" applyAlignment="1" applyProtection="1">
      <alignment indent="3"/>
    </xf>
    <xf numFmtId="164" fontId="0" fillId="0" borderId="0" xfId="1" quotePrefix="1" applyNumberFormat="1" applyFont="1" applyFill="1" applyBorder="1" applyAlignment="1" applyProtection="1">
      <alignment indent="4"/>
    </xf>
    <xf numFmtId="0" fontId="3" fillId="6" borderId="0" xfId="0" applyFont="1" applyFill="1" applyAlignment="1">
      <alignment horizontal="left"/>
    </xf>
    <xf numFmtId="0" fontId="83" fillId="6" borderId="0" xfId="0" applyFont="1" applyFill="1"/>
    <xf numFmtId="0" fontId="5" fillId="6" borderId="0" xfId="0" applyFont="1" applyFill="1"/>
    <xf numFmtId="167" fontId="5" fillId="6" borderId="0" xfId="0" applyNumberFormat="1" applyFont="1" applyFill="1"/>
    <xf numFmtId="169" fontId="5" fillId="6" borderId="0" xfId="0" applyNumberFormat="1" applyFont="1" applyFill="1" applyAlignment="1">
      <alignment horizontal="center" vertical="center"/>
    </xf>
    <xf numFmtId="0" fontId="86" fillId="6" borderId="0" xfId="0" applyFont="1" applyFill="1"/>
    <xf numFmtId="164" fontId="2" fillId="6" borderId="0" xfId="1" quotePrefix="1" applyNumberFormat="1" applyFont="1" applyFill="1" applyBorder="1" applyAlignment="1" applyProtection="1">
      <alignment horizontal="right"/>
    </xf>
    <xf numFmtId="164" fontId="0" fillId="6" borderId="0" xfId="1" applyNumberFormat="1" applyFont="1" applyFill="1" applyAlignment="1">
      <alignment horizontal="right"/>
    </xf>
    <xf numFmtId="0" fontId="13" fillId="6" borderId="0" xfId="0" applyFont="1" applyFill="1"/>
    <xf numFmtId="167" fontId="5" fillId="6" borderId="5" xfId="1" quotePrefix="1" applyNumberFormat="1" applyFont="1" applyFill="1" applyBorder="1" applyAlignment="1" applyProtection="1">
      <alignment horizontal="center"/>
    </xf>
    <xf numFmtId="0" fontId="86" fillId="6" borderId="0" xfId="0" applyFont="1" applyFill="1" applyAlignment="1">
      <alignment horizontal="left" indent="1"/>
    </xf>
    <xf numFmtId="0" fontId="71" fillId="6" borderId="0" xfId="0" applyFont="1" applyFill="1" applyAlignment="1">
      <alignment horizontal="right" vertical="center" wrapText="1"/>
    </xf>
    <xf numFmtId="0" fontId="83" fillId="6" borderId="0" xfId="0" applyFont="1" applyFill="1" applyAlignment="1">
      <alignment horizontal="center" vertical="center" textRotation="90"/>
    </xf>
    <xf numFmtId="168" fontId="0" fillId="6" borderId="0" xfId="2" quotePrefix="1" applyNumberFormat="1" applyFont="1" applyFill="1" applyProtection="1"/>
    <xf numFmtId="0" fontId="0" fillId="6" borderId="0" xfId="0" applyFill="1" applyAlignment="1">
      <alignment horizontal="center"/>
    </xf>
    <xf numFmtId="0" fontId="3" fillId="6" borderId="0" xfId="0" applyFont="1" applyFill="1" applyAlignment="1">
      <alignment horizontal="left" vertical="center" textRotation="90"/>
    </xf>
    <xf numFmtId="164" fontId="0" fillId="6" borderId="0" xfId="1" quotePrefix="1" applyNumberFormat="1" applyFont="1" applyFill="1" applyBorder="1" applyProtection="1"/>
    <xf numFmtId="164" fontId="0" fillId="6" borderId="0" xfId="1" applyNumberFormat="1" applyFont="1" applyFill="1"/>
    <xf numFmtId="164" fontId="0" fillId="6" borderId="0" xfId="1" applyNumberFormat="1" applyFont="1" applyFill="1" applyAlignment="1">
      <alignment horizontal="center"/>
    </xf>
    <xf numFmtId="17" fontId="5" fillId="6" borderId="0" xfId="0" applyNumberFormat="1" applyFont="1" applyFill="1" applyAlignment="1">
      <alignment horizontal="right"/>
    </xf>
    <xf numFmtId="168" fontId="0" fillId="6" borderId="0" xfId="2" quotePrefix="1" applyNumberFormat="1" applyFont="1" applyFill="1" applyBorder="1" applyProtection="1"/>
    <xf numFmtId="0" fontId="5" fillId="6" borderId="0" xfId="0" applyFont="1" applyFill="1" applyAlignment="1">
      <alignment horizontal="right"/>
    </xf>
    <xf numFmtId="167" fontId="0" fillId="6" borderId="5" xfId="1" applyNumberFormat="1" applyFont="1" applyFill="1" applyBorder="1" applyAlignment="1">
      <alignment horizontal="center"/>
    </xf>
    <xf numFmtId="167" fontId="2" fillId="6" borderId="5" xfId="1" quotePrefix="1" applyNumberFormat="1" applyFont="1" applyFill="1" applyBorder="1" applyAlignment="1" applyProtection="1">
      <alignment horizontal="center"/>
    </xf>
    <xf numFmtId="167" fontId="0" fillId="6" borderId="0" xfId="0" applyNumberFormat="1" applyFill="1"/>
    <xf numFmtId="0" fontId="1" fillId="6" borderId="0" xfId="0" applyFont="1" applyFill="1" applyAlignment="1">
      <alignment horizontal="left"/>
    </xf>
    <xf numFmtId="0" fontId="94" fillId="6" borderId="0" xfId="0" applyFont="1" applyFill="1" applyAlignment="1">
      <alignment horizontal="center" vertical="center" textRotation="90"/>
    </xf>
    <xf numFmtId="173" fontId="2" fillId="6" borderId="0" xfId="1" quotePrefix="1" applyNumberFormat="1" applyFont="1" applyFill="1" applyBorder="1" applyAlignment="1" applyProtection="1">
      <alignment horizontal="center"/>
    </xf>
    <xf numFmtId="0" fontId="13" fillId="6" borderId="0" xfId="0" applyFont="1" applyFill="1" applyAlignment="1">
      <alignment horizontal="left" indent="1"/>
    </xf>
    <xf numFmtId="17" fontId="100" fillId="6" borderId="0" xfId="0" applyNumberFormat="1" applyFont="1" applyFill="1" applyAlignment="1">
      <alignment horizontal="center" vertical="center"/>
    </xf>
    <xf numFmtId="0" fontId="5" fillId="6" borderId="0" xfId="0" applyFont="1" applyFill="1" applyAlignment="1">
      <alignment horizontal="center" vertical="center" wrapText="1"/>
    </xf>
    <xf numFmtId="0" fontId="3" fillId="6" borderId="0" xfId="0" applyFont="1" applyFill="1" applyAlignment="1">
      <alignment horizontal="left" vertical="center"/>
    </xf>
    <xf numFmtId="0" fontId="83" fillId="6" borderId="0" xfId="0" applyFont="1" applyFill="1" applyAlignment="1">
      <alignment vertical="center"/>
    </xf>
    <xf numFmtId="9" fontId="101" fillId="6" borderId="36" xfId="3" applyFont="1" applyFill="1" applyBorder="1" applyAlignment="1">
      <alignment horizontal="center"/>
    </xf>
    <xf numFmtId="0" fontId="13" fillId="6" borderId="36" xfId="0" applyFont="1" applyFill="1" applyBorder="1" applyAlignment="1">
      <alignment horizontal="left" indent="1"/>
    </xf>
    <xf numFmtId="9" fontId="101" fillId="6" borderId="3" xfId="3" applyFont="1" applyFill="1" applyBorder="1" applyAlignment="1">
      <alignment horizontal="center"/>
    </xf>
    <xf numFmtId="0" fontId="13" fillId="6" borderId="3" xfId="0" applyFont="1" applyFill="1" applyBorder="1" applyAlignment="1">
      <alignment horizontal="left" indent="1"/>
    </xf>
    <xf numFmtId="0" fontId="5" fillId="6" borderId="0" xfId="0" applyFont="1" applyFill="1" applyAlignment="1">
      <alignment vertical="center"/>
    </xf>
    <xf numFmtId="9" fontId="65" fillId="6" borderId="0" xfId="0" applyNumberFormat="1" applyFont="1" applyFill="1" applyAlignment="1">
      <alignment horizontal="center"/>
    </xf>
    <xf numFmtId="9" fontId="2" fillId="6" borderId="5" xfId="3" applyFont="1" applyFill="1" applyBorder="1" applyAlignment="1" applyProtection="1">
      <alignment horizontal="center"/>
    </xf>
    <xf numFmtId="17" fontId="8" fillId="6" borderId="7" xfId="0" applyNumberFormat="1" applyFont="1" applyFill="1" applyBorder="1" applyAlignment="1">
      <alignment horizontal="center" vertical="center"/>
    </xf>
    <xf numFmtId="17" fontId="71" fillId="6" borderId="0" xfId="0" applyNumberFormat="1" applyFont="1" applyFill="1" applyAlignment="1">
      <alignment horizontal="center" vertical="center"/>
    </xf>
    <xf numFmtId="17" fontId="71" fillId="6" borderId="7" xfId="0" applyNumberFormat="1" applyFont="1" applyFill="1" applyBorder="1" applyAlignment="1">
      <alignment horizontal="center" vertical="center"/>
    </xf>
    <xf numFmtId="0" fontId="71" fillId="6" borderId="7" xfId="0" applyFont="1" applyFill="1" applyBorder="1" applyAlignment="1">
      <alignment horizontal="center" vertical="center"/>
    </xf>
    <xf numFmtId="0" fontId="73" fillId="6" borderId="0" xfId="0" applyFont="1" applyFill="1" applyAlignment="1">
      <alignment horizontal="center"/>
    </xf>
    <xf numFmtId="0" fontId="3" fillId="6" borderId="0" xfId="0" applyFont="1" applyFill="1" applyAlignment="1">
      <alignment horizontal="center" vertical="center"/>
    </xf>
    <xf numFmtId="0" fontId="83" fillId="6" borderId="0" xfId="0" applyFont="1" applyFill="1" applyAlignment="1">
      <alignment horizontal="center" vertical="center"/>
    </xf>
    <xf numFmtId="14" fontId="0" fillId="6" borderId="0" xfId="0" applyNumberFormat="1" applyFill="1" applyAlignment="1">
      <alignment horizontal="center"/>
    </xf>
    <xf numFmtId="14" fontId="39" fillId="6" borderId="0" xfId="0" applyNumberFormat="1" applyFont="1" applyFill="1" applyAlignment="1">
      <alignment horizontal="center"/>
    </xf>
    <xf numFmtId="14" fontId="73" fillId="6" borderId="0" xfId="0" applyNumberFormat="1" applyFont="1" applyFill="1" applyAlignment="1">
      <alignment horizontal="center"/>
    </xf>
    <xf numFmtId="0" fontId="39" fillId="6" borderId="0" xfId="0" applyFont="1" applyFill="1" applyAlignment="1">
      <alignment horizontal="center"/>
    </xf>
    <xf numFmtId="0" fontId="42" fillId="6" borderId="0" xfId="0" applyFont="1" applyFill="1" applyAlignment="1">
      <alignment horizontal="center"/>
    </xf>
    <xf numFmtId="0" fontId="37" fillId="6" borderId="0" xfId="0" applyFont="1" applyFill="1"/>
    <xf numFmtId="164" fontId="2" fillId="6" borderId="0" xfId="1" quotePrefix="1" applyNumberFormat="1" applyFont="1" applyFill="1" applyBorder="1" applyAlignment="1" applyProtection="1">
      <alignment horizontal="center"/>
    </xf>
    <xf numFmtId="164" fontId="5" fillId="6" borderId="0" xfId="1" applyNumberFormat="1" applyFont="1" applyFill="1" applyAlignment="1">
      <alignment horizontal="center" vertical="center"/>
    </xf>
    <xf numFmtId="164" fontId="39" fillId="6" borderId="0" xfId="1" applyNumberFormat="1" applyFont="1" applyFill="1"/>
    <xf numFmtId="168" fontId="5" fillId="6" borderId="5" xfId="1" quotePrefix="1" applyNumberFormat="1" applyFont="1" applyFill="1" applyBorder="1" applyAlignment="1" applyProtection="1">
      <alignment horizontal="right"/>
    </xf>
    <xf numFmtId="167" fontId="0" fillId="6" borderId="0" xfId="2" quotePrefix="1" applyNumberFormat="1" applyFont="1" applyFill="1" applyProtection="1"/>
    <xf numFmtId="167" fontId="0" fillId="6" borderId="0" xfId="0" applyNumberFormat="1" applyFill="1" applyAlignment="1">
      <alignment vertical="center"/>
    </xf>
    <xf numFmtId="173" fontId="2" fillId="6" borderId="0" xfId="1" quotePrefix="1" applyNumberFormat="1" applyFont="1" applyFill="1" applyBorder="1" applyAlignment="1" applyProtection="1">
      <alignment horizontal="right"/>
    </xf>
    <xf numFmtId="167" fontId="0" fillId="6" borderId="0" xfId="0" applyNumberFormat="1" applyFill="1" applyAlignment="1">
      <alignment horizontal="right"/>
    </xf>
    <xf numFmtId="9" fontId="2" fillId="6" borderId="5" xfId="3" quotePrefix="1" applyFont="1" applyFill="1" applyBorder="1" applyAlignment="1" applyProtection="1">
      <alignment horizontal="center"/>
    </xf>
    <xf numFmtId="174" fontId="0" fillId="6" borderId="0" xfId="0" applyNumberFormat="1" applyFill="1"/>
    <xf numFmtId="164" fontId="65" fillId="6" borderId="0" xfId="1" quotePrefix="1" applyNumberFormat="1" applyFont="1" applyFill="1" applyBorder="1" applyAlignment="1" applyProtection="1">
      <alignment horizontal="right"/>
    </xf>
    <xf numFmtId="0" fontId="37" fillId="6" borderId="0" xfId="0" applyFont="1" applyFill="1" applyAlignment="1">
      <alignment horizontal="left" vertical="center" wrapText="1"/>
    </xf>
    <xf numFmtId="164" fontId="102" fillId="6" borderId="0" xfId="1" quotePrefix="1" applyNumberFormat="1" applyFont="1" applyFill="1" applyBorder="1" applyAlignment="1" applyProtection="1">
      <alignment horizontal="right"/>
    </xf>
    <xf numFmtId="0" fontId="65" fillId="6" borderId="0" xfId="0" applyFont="1" applyFill="1"/>
    <xf numFmtId="167" fontId="65" fillId="6" borderId="0" xfId="0" applyNumberFormat="1" applyFont="1" applyFill="1"/>
    <xf numFmtId="167" fontId="0" fillId="6" borderId="0" xfId="0" applyNumberFormat="1" applyFill="1" applyAlignment="1">
      <alignment horizontal="center" vertical="center"/>
    </xf>
    <xf numFmtId="167" fontId="102" fillId="6" borderId="0" xfId="1" quotePrefix="1" applyNumberFormat="1" applyFont="1" applyFill="1" applyBorder="1" applyAlignment="1" applyProtection="1">
      <alignment horizontal="center"/>
    </xf>
    <xf numFmtId="167" fontId="79" fillId="6" borderId="5" xfId="1" quotePrefix="1" applyNumberFormat="1" applyFont="1" applyFill="1" applyBorder="1" applyAlignment="1" applyProtection="1">
      <alignment horizontal="center"/>
    </xf>
    <xf numFmtId="167" fontId="39" fillId="6" borderId="0" xfId="0" applyNumberFormat="1" applyFont="1" applyFill="1"/>
    <xf numFmtId="5" fontId="2" fillId="6" borderId="5" xfId="3" quotePrefix="1" applyNumberFormat="1" applyFont="1" applyFill="1" applyBorder="1" applyAlignment="1" applyProtection="1">
      <alignment horizontal="center"/>
    </xf>
    <xf numFmtId="167" fontId="102" fillId="6" borderId="0" xfId="0" applyNumberFormat="1" applyFont="1" applyFill="1"/>
    <xf numFmtId="9" fontId="0" fillId="6" borderId="0" xfId="3" applyFont="1" applyFill="1"/>
    <xf numFmtId="175" fontId="0" fillId="6" borderId="0" xfId="0" applyNumberFormat="1" applyFill="1" applyAlignment="1">
      <alignment horizontal="center"/>
    </xf>
    <xf numFmtId="176" fontId="5" fillId="6" borderId="0" xfId="0" applyNumberFormat="1" applyFont="1" applyFill="1" applyAlignment="1">
      <alignment horizontal="center" vertical="center"/>
    </xf>
    <xf numFmtId="0" fontId="5" fillId="6" borderId="0" xfId="0" applyFont="1" applyFill="1" applyAlignment="1">
      <alignment horizontal="center" vertical="center"/>
    </xf>
    <xf numFmtId="164" fontId="0" fillId="6" borderId="0" xfId="0" applyNumberFormat="1" applyFill="1"/>
    <xf numFmtId="168" fontId="0" fillId="6" borderId="0" xfId="0" applyNumberFormat="1" applyFill="1" applyAlignment="1">
      <alignment horizontal="center" vertical="center"/>
    </xf>
    <xf numFmtId="164" fontId="5" fillId="6" borderId="5" xfId="1" applyNumberFormat="1" applyFont="1" applyFill="1" applyBorder="1" applyAlignment="1">
      <alignment horizontal="center"/>
    </xf>
    <xf numFmtId="9" fontId="65" fillId="6" borderId="0" xfId="0" applyNumberFormat="1" applyFont="1" applyFill="1"/>
    <xf numFmtId="9" fontId="65" fillId="6" borderId="0" xfId="3" applyFont="1" applyFill="1"/>
    <xf numFmtId="164" fontId="65" fillId="6" borderId="0" xfId="1" applyNumberFormat="1" applyFont="1" applyFill="1"/>
    <xf numFmtId="164" fontId="0" fillId="6" borderId="5" xfId="1" quotePrefix="1" applyNumberFormat="1" applyFont="1" applyFill="1" applyBorder="1" applyAlignment="1">
      <alignment horizontal="center"/>
    </xf>
    <xf numFmtId="164" fontId="2" fillId="6" borderId="5" xfId="1" quotePrefix="1" applyNumberFormat="1" applyFont="1" applyFill="1" applyBorder="1" applyAlignment="1" applyProtection="1">
      <alignment horizontal="center"/>
    </xf>
    <xf numFmtId="177" fontId="0" fillId="6" borderId="0" xfId="0" applyNumberFormat="1" applyFill="1" applyAlignment="1">
      <alignment horizontal="center" vertical="center"/>
    </xf>
    <xf numFmtId="177" fontId="0" fillId="6" borderId="0" xfId="0" applyNumberFormat="1" applyFill="1"/>
    <xf numFmtId="43" fontId="0" fillId="6" borderId="0" xfId="0" applyNumberFormat="1" applyFill="1"/>
    <xf numFmtId="43" fontId="0" fillId="6" borderId="0" xfId="1" applyFont="1" applyFill="1" applyBorder="1" applyProtection="1"/>
    <xf numFmtId="177" fontId="0" fillId="6" borderId="0" xfId="1" quotePrefix="1" applyNumberFormat="1" applyFont="1" applyFill="1" applyBorder="1" applyProtection="1"/>
    <xf numFmtId="43" fontId="0" fillId="6" borderId="0" xfId="1" applyFont="1" applyFill="1" applyBorder="1" applyAlignment="1" applyProtection="1">
      <alignment horizontal="center"/>
    </xf>
    <xf numFmtId="177" fontId="0" fillId="6" borderId="0" xfId="2" quotePrefix="1" applyNumberFormat="1" applyFont="1" applyFill="1" applyBorder="1" applyProtection="1"/>
    <xf numFmtId="178" fontId="0" fillId="6" borderId="0" xfId="1" applyNumberFormat="1" applyFont="1" applyFill="1" applyAlignment="1" applyProtection="1">
      <alignment vertical="center"/>
    </xf>
    <xf numFmtId="177" fontId="0" fillId="6" borderId="0" xfId="0" applyNumberFormat="1" applyFill="1" applyAlignment="1">
      <alignment vertical="center"/>
    </xf>
    <xf numFmtId="173" fontId="0" fillId="6" borderId="0" xfId="0" applyNumberFormat="1" applyFill="1" applyAlignment="1">
      <alignment vertical="center"/>
    </xf>
    <xf numFmtId="177" fontId="0" fillId="6" borderId="0" xfId="2" quotePrefix="1" applyNumberFormat="1" applyFont="1" applyFill="1" applyAlignment="1" applyProtection="1">
      <alignment vertical="center"/>
    </xf>
    <xf numFmtId="179" fontId="39" fillId="6" borderId="3" xfId="0" applyNumberFormat="1" applyFont="1" applyFill="1" applyBorder="1" applyAlignment="1">
      <alignment horizontal="center" vertical="center"/>
    </xf>
    <xf numFmtId="9" fontId="65" fillId="6" borderId="3" xfId="0" applyNumberFormat="1" applyFont="1" applyFill="1" applyBorder="1" applyAlignment="1">
      <alignment horizontal="center" vertical="center"/>
    </xf>
    <xf numFmtId="179" fontId="65" fillId="6" borderId="3" xfId="0" applyNumberFormat="1" applyFont="1" applyFill="1" applyBorder="1" applyAlignment="1">
      <alignment horizontal="center" vertical="center"/>
    </xf>
    <xf numFmtId="180" fontId="0" fillId="6" borderId="0" xfId="0" applyNumberFormat="1" applyFill="1" applyAlignment="1">
      <alignment vertical="center"/>
    </xf>
    <xf numFmtId="0" fontId="103" fillId="6" borderId="0" xfId="0" applyFont="1" applyFill="1" applyAlignment="1">
      <alignment horizontal="center" vertical="center"/>
    </xf>
    <xf numFmtId="164" fontId="2" fillId="6" borderId="5" xfId="1" applyNumberFormat="1" applyFont="1" applyFill="1" applyBorder="1" applyAlignment="1" applyProtection="1">
      <alignment horizontal="center"/>
    </xf>
    <xf numFmtId="9" fontId="65" fillId="6" borderId="0" xfId="3" quotePrefix="1" applyFont="1" applyFill="1" applyBorder="1" applyAlignment="1" applyProtection="1">
      <alignment horizontal="center"/>
    </xf>
    <xf numFmtId="9" fontId="65" fillId="6" borderId="0" xfId="3" applyFont="1" applyFill="1" applyAlignment="1">
      <alignment horizontal="center"/>
    </xf>
    <xf numFmtId="14" fontId="11" fillId="0" borderId="37" xfId="9" applyNumberFormat="1" applyFont="1" applyBorder="1" applyAlignment="1">
      <alignment horizontal="center"/>
    </xf>
    <xf numFmtId="175" fontId="11" fillId="0" borderId="38" xfId="9" applyNumberFormat="1" applyFont="1" applyBorder="1" applyAlignment="1">
      <alignment horizontal="center"/>
    </xf>
    <xf numFmtId="0" fontId="11" fillId="0" borderId="38" xfId="9" applyFont="1" applyBorder="1"/>
    <xf numFmtId="0" fontId="7" fillId="0" borderId="39" xfId="9" applyFont="1" applyBorder="1"/>
    <xf numFmtId="14" fontId="11" fillId="0" borderId="38" xfId="9" applyNumberFormat="1" applyFont="1" applyBorder="1" applyAlignment="1">
      <alignment horizontal="center"/>
    </xf>
    <xf numFmtId="0" fontId="7" fillId="0" borderId="40" xfId="9" applyFont="1" applyBorder="1" applyAlignment="1">
      <alignment vertical="center"/>
    </xf>
    <xf numFmtId="0" fontId="7" fillId="0" borderId="41" xfId="9" applyFont="1" applyBorder="1" applyAlignment="1">
      <alignment vertical="center"/>
    </xf>
    <xf numFmtId="0" fontId="105" fillId="0" borderId="0" xfId="10"/>
    <xf numFmtId="9" fontId="105" fillId="0" borderId="0" xfId="3" applyFont="1" applyFill="1"/>
    <xf numFmtId="164" fontId="105" fillId="0" borderId="0" xfId="1" applyNumberFormat="1" applyFont="1"/>
    <xf numFmtId="14" fontId="105" fillId="0" borderId="0" xfId="10" applyNumberFormat="1"/>
    <xf numFmtId="181" fontId="65" fillId="6" borderId="3" xfId="0" applyNumberFormat="1" applyFont="1" applyFill="1" applyBorder="1"/>
    <xf numFmtId="0" fontId="103" fillId="6" borderId="0" xfId="0" applyFont="1" applyFill="1"/>
    <xf numFmtId="10" fontId="65" fillId="6" borderId="3" xfId="0" applyNumberFormat="1" applyFont="1" applyFill="1" applyBorder="1"/>
    <xf numFmtId="9" fontId="65" fillId="6" borderId="3" xfId="0" applyNumberFormat="1" applyFont="1" applyFill="1" applyBorder="1"/>
    <xf numFmtId="0" fontId="13" fillId="5" borderId="0" xfId="0" applyFont="1" applyFill="1" applyAlignment="1">
      <alignment horizontal="right"/>
    </xf>
    <xf numFmtId="0" fontId="87" fillId="5" borderId="0" xfId="0" applyFont="1" applyFill="1" applyAlignment="1">
      <alignment horizontal="left"/>
    </xf>
    <xf numFmtId="182" fontId="69" fillId="6" borderId="0" xfId="1" applyNumberFormat="1" applyFont="1" applyFill="1" applyProtection="1"/>
    <xf numFmtId="0" fontId="106" fillId="6" borderId="0" xfId="0" applyFont="1" applyFill="1" applyAlignment="1">
      <alignment horizontal="left" indent="1"/>
    </xf>
    <xf numFmtId="182" fontId="37" fillId="6" borderId="0" xfId="2" applyNumberFormat="1" applyFont="1" applyFill="1" applyAlignment="1" applyProtection="1">
      <alignment horizontal="right" vertical="center"/>
    </xf>
    <xf numFmtId="167" fontId="5" fillId="6" borderId="5" xfId="1" quotePrefix="1" applyNumberFormat="1" applyFont="1" applyFill="1" applyBorder="1" applyAlignment="1" applyProtection="1">
      <alignment horizontal="right" vertical="center"/>
    </xf>
    <xf numFmtId="168" fontId="71" fillId="6" borderId="5" xfId="4" applyNumberFormat="1" applyFont="1" applyFill="1" applyBorder="1" applyAlignment="1">
      <alignment horizontal="right" vertical="center"/>
    </xf>
    <xf numFmtId="164" fontId="5" fillId="6" borderId="5" xfId="1" quotePrefix="1" applyNumberFormat="1" applyFont="1" applyFill="1" applyBorder="1" applyAlignment="1" applyProtection="1">
      <alignment horizontal="right" vertical="center"/>
    </xf>
    <xf numFmtId="164" fontId="5" fillId="6" borderId="0" xfId="0" applyNumberFormat="1" applyFont="1" applyFill="1"/>
    <xf numFmtId="14" fontId="65" fillId="6" borderId="0" xfId="0" applyNumberFormat="1" applyFont="1" applyFill="1"/>
    <xf numFmtId="168" fontId="65" fillId="6" borderId="0" xfId="2" applyNumberFormat="1" applyFont="1" applyFill="1"/>
    <xf numFmtId="0" fontId="65" fillId="6" borderId="0" xfId="0" applyFont="1" applyFill="1" applyAlignment="1">
      <alignment wrapText="1"/>
    </xf>
    <xf numFmtId="0" fontId="65" fillId="6" borderId="0" xfId="0" applyFont="1" applyFill="1" applyAlignment="1">
      <alignment horizontal="left"/>
    </xf>
    <xf numFmtId="0" fontId="65" fillId="6" borderId="0" xfId="0" applyFont="1" applyFill="1" applyAlignment="1">
      <alignment horizontal="center"/>
    </xf>
    <xf numFmtId="164" fontId="100" fillId="6" borderId="5" xfId="1" applyNumberFormat="1" applyFont="1" applyFill="1" applyBorder="1" applyAlignment="1">
      <alignment horizontal="center" vertical="center"/>
    </xf>
    <xf numFmtId="0" fontId="5" fillId="6" borderId="7" xfId="0" applyFont="1" applyFill="1" applyBorder="1" applyAlignment="1">
      <alignment horizontal="left" vertical="center" wrapText="1"/>
    </xf>
    <xf numFmtId="0" fontId="107" fillId="6" borderId="0" xfId="0" applyFont="1" applyFill="1" applyAlignment="1">
      <alignment horizontal="left" vertical="center"/>
    </xf>
    <xf numFmtId="183" fontId="0" fillId="6" borderId="0" xfId="0" applyNumberFormat="1" applyFill="1" applyAlignment="1">
      <alignment vertical="center"/>
    </xf>
    <xf numFmtId="0" fontId="73" fillId="6" borderId="0" xfId="0" applyFont="1" applyFill="1"/>
    <xf numFmtId="164" fontId="73" fillId="6" borderId="0" xfId="1" applyNumberFormat="1" applyFont="1" applyFill="1"/>
    <xf numFmtId="43" fontId="73" fillId="6" borderId="0" xfId="1" applyFont="1" applyFill="1"/>
    <xf numFmtId="0" fontId="46" fillId="6" borderId="0" xfId="0" applyFont="1" applyFill="1" applyAlignment="1">
      <alignment horizontal="left"/>
    </xf>
    <xf numFmtId="0" fontId="46" fillId="6" borderId="0" xfId="0" applyFont="1" applyFill="1"/>
    <xf numFmtId="164" fontId="73" fillId="6" borderId="0" xfId="1" applyNumberFormat="1" applyFont="1" applyFill="1" applyAlignment="1">
      <alignment horizontal="center"/>
    </xf>
    <xf numFmtId="43" fontId="73" fillId="6" borderId="0" xfId="1" applyFont="1" applyFill="1" applyAlignment="1">
      <alignment horizontal="center"/>
    </xf>
    <xf numFmtId="0" fontId="46" fillId="6" borderId="0" xfId="0" applyFont="1" applyFill="1" applyAlignment="1">
      <alignment horizontal="center"/>
    </xf>
    <xf numFmtId="43" fontId="0" fillId="6" borderId="0" xfId="1" applyFont="1" applyFill="1"/>
    <xf numFmtId="0" fontId="105" fillId="6" borderId="0" xfId="10" applyFill="1"/>
    <xf numFmtId="0" fontId="108" fillId="6" borderId="0" xfId="10" applyFont="1" applyFill="1"/>
    <xf numFmtId="164" fontId="0" fillId="0" borderId="0" xfId="1" applyNumberFormat="1" applyFont="1" applyBorder="1" applyAlignment="1">
      <alignment wrapText="1"/>
    </xf>
    <xf numFmtId="167" fontId="108" fillId="6" borderId="5" xfId="10" applyNumberFormat="1" applyFont="1" applyFill="1" applyBorder="1"/>
    <xf numFmtId="0" fontId="109" fillId="4" borderId="0" xfId="0" applyFont="1" applyFill="1" applyAlignment="1">
      <alignment horizontal="left"/>
    </xf>
    <xf numFmtId="164" fontId="105" fillId="6" borderId="0" xfId="1" applyNumberFormat="1" applyFont="1" applyFill="1"/>
    <xf numFmtId="167" fontId="105" fillId="6" borderId="0" xfId="10" applyNumberFormat="1" applyFill="1"/>
    <xf numFmtId="0" fontId="108" fillId="6" borderId="0" xfId="10" applyFont="1" applyFill="1" applyAlignment="1">
      <alignment horizontal="center"/>
    </xf>
    <xf numFmtId="174" fontId="105" fillId="6" borderId="0" xfId="10" applyNumberFormat="1" applyFill="1"/>
    <xf numFmtId="0" fontId="65" fillId="6" borderId="0" xfId="10" applyFont="1" applyFill="1" applyAlignment="1">
      <alignment horizontal="center"/>
    </xf>
    <xf numFmtId="0" fontId="65" fillId="6" borderId="42" xfId="10" applyFont="1" applyFill="1" applyBorder="1" applyAlignment="1">
      <alignment horizontal="center"/>
    </xf>
    <xf numFmtId="164" fontId="0" fillId="0" borderId="0" xfId="1" applyNumberFormat="1" applyFont="1" applyAlignment="1">
      <alignment wrapText="1"/>
    </xf>
    <xf numFmtId="14" fontId="105" fillId="6" borderId="0" xfId="10" applyNumberFormat="1" applyFill="1"/>
    <xf numFmtId="0" fontId="110" fillId="6" borderId="0" xfId="10" applyFont="1" applyFill="1"/>
    <xf numFmtId="0" fontId="111" fillId="6" borderId="0" xfId="10" applyFont="1" applyFill="1"/>
    <xf numFmtId="164" fontId="0" fillId="6" borderId="0" xfId="1" applyNumberFormat="1" applyFont="1" applyFill="1" applyProtection="1"/>
    <xf numFmtId="168" fontId="5" fillId="6" borderId="5" xfId="2" applyNumberFormat="1" applyFont="1" applyFill="1" applyBorder="1" applyProtection="1"/>
    <xf numFmtId="164" fontId="5" fillId="6" borderId="0" xfId="1" applyNumberFormat="1" applyFont="1" applyFill="1" applyAlignment="1">
      <alignment horizontal="center"/>
    </xf>
    <xf numFmtId="182" fontId="65" fillId="6" borderId="0" xfId="2" applyNumberFormat="1" applyFont="1" applyFill="1" applyAlignment="1" applyProtection="1">
      <alignment horizontal="right" vertical="center"/>
    </xf>
    <xf numFmtId="0" fontId="0" fillId="6" borderId="0" xfId="0" applyFill="1" applyAlignment="1">
      <alignment horizontal="right"/>
    </xf>
    <xf numFmtId="164" fontId="109" fillId="6" borderId="0" xfId="1" applyNumberFormat="1" applyFont="1" applyFill="1" applyAlignment="1">
      <alignment horizontal="left" indent="1"/>
    </xf>
    <xf numFmtId="0" fontId="109" fillId="6" borderId="0" xfId="0" applyFont="1" applyFill="1" applyAlignment="1">
      <alignment horizontal="left" indent="1"/>
    </xf>
    <xf numFmtId="182" fontId="37" fillId="6" borderId="0" xfId="2" applyNumberFormat="1" applyFont="1" applyFill="1" applyAlignment="1" applyProtection="1">
      <alignment horizontal="center" vertical="center"/>
    </xf>
    <xf numFmtId="0" fontId="5" fillId="6" borderId="0" xfId="0" applyFont="1" applyFill="1" applyAlignment="1">
      <alignment horizontal="left"/>
    </xf>
    <xf numFmtId="164" fontId="0" fillId="6" borderId="0" xfId="1" applyNumberFormat="1" applyFont="1" applyFill="1" applyAlignment="1">
      <alignment vertical="center"/>
    </xf>
    <xf numFmtId="0" fontId="0" fillId="6" borderId="0" xfId="0" applyFill="1" applyAlignment="1">
      <alignment horizontal="left" vertical="center"/>
    </xf>
    <xf numFmtId="0" fontId="0" fillId="6" borderId="0" xfId="0" applyFill="1" applyAlignment="1">
      <alignment horizontal="right" vertical="center"/>
    </xf>
    <xf numFmtId="0" fontId="13" fillId="6" borderId="0" xfId="0" applyFont="1" applyFill="1" applyAlignment="1">
      <alignment horizontal="right" indent="1"/>
    </xf>
    <xf numFmtId="164" fontId="5" fillId="6" borderId="0" xfId="1" applyNumberFormat="1" applyFont="1" applyFill="1" applyAlignment="1">
      <alignment horizontal="center" vertical="center" wrapText="1"/>
    </xf>
    <xf numFmtId="0" fontId="5" fillId="6" borderId="0" xfId="0" applyFont="1" applyFill="1" applyAlignment="1">
      <alignment horizontal="center" vertical="center" textRotation="90"/>
    </xf>
    <xf numFmtId="9" fontId="65" fillId="6" borderId="3" xfId="0" applyNumberFormat="1" applyFont="1" applyFill="1" applyBorder="1" applyAlignment="1" applyProtection="1">
      <alignment horizontal="center"/>
      <protection locked="0"/>
    </xf>
    <xf numFmtId="0" fontId="0" fillId="0" borderId="0" xfId="0" applyAlignment="1">
      <alignment horizontal="center" wrapText="1"/>
    </xf>
    <xf numFmtId="0" fontId="73" fillId="0" borderId="0" xfId="0" applyFont="1" applyAlignment="1">
      <alignment horizontal="center" wrapText="1"/>
    </xf>
    <xf numFmtId="164" fontId="5" fillId="6" borderId="0" xfId="1" applyNumberFormat="1" applyFont="1" applyFill="1"/>
    <xf numFmtId="0" fontId="0" fillId="6" borderId="0" xfId="0" applyFill="1" applyAlignment="1">
      <alignment horizontal="left"/>
    </xf>
    <xf numFmtId="164" fontId="0" fillId="6" borderId="0" xfId="1" applyNumberFormat="1" applyFont="1" applyFill="1" applyBorder="1" applyAlignment="1">
      <alignment horizontal="center" vertical="center"/>
    </xf>
    <xf numFmtId="164" fontId="113" fillId="0" borderId="0" xfId="4" applyNumberFormat="1" applyFont="1"/>
    <xf numFmtId="170" fontId="114" fillId="0" borderId="0" xfId="4" applyNumberFormat="1" applyFont="1" applyAlignment="1">
      <alignment horizontal="left" indent="1"/>
    </xf>
    <xf numFmtId="0" fontId="13" fillId="9" borderId="0" xfId="0" applyFont="1" applyFill="1" applyAlignment="1">
      <alignment horizontal="left" indent="1"/>
    </xf>
    <xf numFmtId="164" fontId="113" fillId="0" borderId="0" xfId="5" applyNumberFormat="1" applyFont="1" applyFill="1" applyBorder="1" applyAlignment="1">
      <alignment horizontal="right" vertical="center"/>
    </xf>
    <xf numFmtId="0" fontId="43" fillId="0" borderId="3" xfId="7" applyFont="1" applyBorder="1" applyAlignment="1">
      <alignment horizontal="left" vertical="center" indent="1"/>
    </xf>
    <xf numFmtId="170" fontId="115" fillId="0" borderId="0" xfId="4" applyNumberFormat="1" applyFont="1" applyAlignment="1">
      <alignment horizontal="left" indent="1"/>
    </xf>
    <xf numFmtId="0" fontId="101" fillId="9" borderId="0" xfId="0" applyFont="1" applyFill="1" applyAlignment="1">
      <alignment horizontal="left" indent="1"/>
    </xf>
    <xf numFmtId="164" fontId="102" fillId="6" borderId="0" xfId="1" quotePrefix="1" applyNumberFormat="1" applyFont="1" applyFill="1" applyAlignment="1" applyProtection="1">
      <alignment vertical="center"/>
    </xf>
    <xf numFmtId="175" fontId="0" fillId="0" borderId="0" xfId="0" applyNumberFormat="1"/>
    <xf numFmtId="164" fontId="0" fillId="0" borderId="0" xfId="0" applyNumberFormat="1"/>
    <xf numFmtId="0" fontId="0" fillId="0" borderId="43" xfId="0" applyBorder="1"/>
    <xf numFmtId="0" fontId="0" fillId="0" borderId="44" xfId="0" applyBorder="1"/>
    <xf numFmtId="0" fontId="0" fillId="0" borderId="45" xfId="0" applyBorder="1"/>
    <xf numFmtId="0" fontId="0" fillId="0" borderId="46" xfId="0" applyBorder="1"/>
    <xf numFmtId="0" fontId="0" fillId="0" borderId="47" xfId="0" applyBorder="1"/>
    <xf numFmtId="0" fontId="0" fillId="0" borderId="23" xfId="0" applyBorder="1"/>
    <xf numFmtId="0" fontId="0" fillId="0" borderId="22" xfId="0" applyBorder="1"/>
    <xf numFmtId="9" fontId="71" fillId="4" borderId="4" xfId="3" applyFont="1" applyFill="1" applyBorder="1"/>
    <xf numFmtId="167" fontId="71" fillId="4" borderId="6" xfId="0" applyNumberFormat="1" applyFont="1" applyFill="1" applyBorder="1"/>
    <xf numFmtId="167" fontId="71" fillId="4" borderId="23" xfId="0" applyNumberFormat="1" applyFont="1" applyFill="1" applyBorder="1"/>
    <xf numFmtId="0" fontId="76" fillId="4" borderId="6" xfId="0" applyFont="1" applyFill="1" applyBorder="1"/>
    <xf numFmtId="9" fontId="71" fillId="4" borderId="36" xfId="3" applyFont="1" applyFill="1" applyBorder="1"/>
    <xf numFmtId="167" fontId="71" fillId="4" borderId="10" xfId="0" applyNumberFormat="1" applyFont="1" applyFill="1" applyBorder="1"/>
    <xf numFmtId="0" fontId="76" fillId="4" borderId="10" xfId="0" applyFont="1" applyFill="1" applyBorder="1"/>
    <xf numFmtId="0" fontId="116" fillId="0" borderId="0" xfId="0" applyFont="1"/>
    <xf numFmtId="0" fontId="117" fillId="0" borderId="0" xfId="0" applyFont="1"/>
    <xf numFmtId="184" fontId="1" fillId="0" borderId="0" xfId="0" applyNumberFormat="1" applyFont="1" applyAlignment="1">
      <alignment horizontal="center"/>
    </xf>
    <xf numFmtId="9" fontId="71" fillId="4" borderId="3" xfId="3" applyFont="1" applyFill="1" applyBorder="1"/>
    <xf numFmtId="0" fontId="76" fillId="4" borderId="2" xfId="0" applyFont="1" applyFill="1" applyBorder="1"/>
    <xf numFmtId="185" fontId="118" fillId="0" borderId="0" xfId="0" applyNumberFormat="1" applyFont="1" applyAlignment="1">
      <alignment horizontal="center"/>
    </xf>
    <xf numFmtId="0" fontId="119" fillId="0" borderId="0" xfId="0" applyFont="1" applyAlignment="1">
      <alignment horizontal="center"/>
    </xf>
    <xf numFmtId="9" fontId="116" fillId="0" borderId="48" xfId="3" applyFont="1" applyBorder="1"/>
    <xf numFmtId="164" fontId="116" fillId="0" borderId="23" xfId="1" applyNumberFormat="1" applyFont="1" applyBorder="1"/>
    <xf numFmtId="0" fontId="117" fillId="0" borderId="23" xfId="0" applyFont="1" applyBorder="1"/>
    <xf numFmtId="9" fontId="0" fillId="0" borderId="0" xfId="3" applyFont="1"/>
    <xf numFmtId="9" fontId="116" fillId="0" borderId="36" xfId="3" applyFont="1" applyBorder="1"/>
    <xf numFmtId="164" fontId="116" fillId="0" borderId="10" xfId="1" applyNumberFormat="1" applyFont="1" applyBorder="1"/>
    <xf numFmtId="0" fontId="117" fillId="0" borderId="10" xfId="0" applyFont="1" applyBorder="1"/>
    <xf numFmtId="9" fontId="71" fillId="4" borderId="6" xfId="3" applyFont="1" applyFill="1" applyBorder="1"/>
    <xf numFmtId="9" fontId="71" fillId="4" borderId="48" xfId="3" applyFont="1" applyFill="1" applyBorder="1"/>
    <xf numFmtId="0" fontId="76" fillId="4" borderId="23" xfId="0" applyFont="1" applyFill="1" applyBorder="1"/>
    <xf numFmtId="0" fontId="76" fillId="0" borderId="3" xfId="0" applyFont="1" applyBorder="1" applyAlignment="1">
      <alignment horizontal="center"/>
    </xf>
    <xf numFmtId="0" fontId="76" fillId="0" borderId="2" xfId="0" applyFont="1" applyBorder="1" applyAlignment="1">
      <alignment horizontal="center"/>
    </xf>
    <xf numFmtId="0" fontId="120" fillId="0" borderId="2" xfId="0" applyFont="1" applyBorder="1"/>
    <xf numFmtId="0" fontId="0" fillId="10" borderId="22" xfId="0" applyFill="1" applyBorder="1"/>
    <xf numFmtId="0" fontId="0" fillId="10" borderId="0" xfId="0" applyFill="1"/>
    <xf numFmtId="0" fontId="0" fillId="10" borderId="23" xfId="0" applyFill="1" applyBorder="1"/>
    <xf numFmtId="0" fontId="0" fillId="0" borderId="8" xfId="0" applyBorder="1"/>
    <xf numFmtId="0" fontId="0" fillId="0" borderId="9" xfId="0" applyBorder="1"/>
    <xf numFmtId="0" fontId="0" fillId="0" borderId="10" xfId="0" applyBorder="1"/>
    <xf numFmtId="14" fontId="65" fillId="0" borderId="0" xfId="0" applyNumberFormat="1" applyFont="1"/>
    <xf numFmtId="0" fontId="0" fillId="6" borderId="0" xfId="0" applyFill="1" applyProtection="1">
      <protection locked="0"/>
    </xf>
    <xf numFmtId="0" fontId="123" fillId="6" borderId="50" xfId="0" applyFont="1" applyFill="1" applyBorder="1" applyAlignment="1" applyProtection="1">
      <alignment horizontal="left" vertical="center" indent="2"/>
      <protection locked="0"/>
    </xf>
    <xf numFmtId="0" fontId="0" fillId="6" borderId="51" xfId="0" applyFill="1" applyBorder="1" applyProtection="1">
      <protection locked="0"/>
    </xf>
    <xf numFmtId="0" fontId="0" fillId="3" borderId="0" xfId="0" applyFill="1" applyProtection="1">
      <protection locked="0"/>
    </xf>
    <xf numFmtId="0" fontId="0" fillId="6" borderId="0" xfId="0" applyFill="1" applyAlignment="1" applyProtection="1">
      <alignment vertical="center"/>
      <protection locked="0"/>
    </xf>
    <xf numFmtId="0" fontId="0" fillId="6" borderId="0" xfId="0" applyFill="1" applyAlignment="1" applyProtection="1">
      <alignment horizontal="right" vertical="center"/>
      <protection locked="0"/>
    </xf>
    <xf numFmtId="0" fontId="0" fillId="3" borderId="0" xfId="0" applyFill="1" applyAlignment="1" applyProtection="1">
      <alignment vertical="center"/>
      <protection locked="0"/>
    </xf>
    <xf numFmtId="0" fontId="0" fillId="6" borderId="0" xfId="0" applyFill="1" applyAlignment="1" applyProtection="1">
      <alignment horizontal="left" vertical="center" wrapText="1"/>
      <protection locked="0"/>
    </xf>
    <xf numFmtId="164" fontId="0" fillId="6" borderId="0" xfId="0" applyNumberFormat="1" applyFill="1" applyAlignment="1" applyProtection="1">
      <alignment horizontal="center" vertical="center" wrapText="1"/>
      <protection locked="0"/>
    </xf>
    <xf numFmtId="0" fontId="5" fillId="3" borderId="0" xfId="0" applyFont="1" applyFill="1" applyProtection="1">
      <protection locked="0"/>
    </xf>
    <xf numFmtId="164" fontId="5" fillId="3" borderId="0" xfId="1" quotePrefix="1" applyNumberFormat="1" applyFont="1" applyFill="1" applyBorder="1" applyAlignment="1" applyProtection="1">
      <alignment horizontal="center"/>
      <protection locked="0"/>
    </xf>
    <xf numFmtId="164" fontId="0" fillId="6" borderId="0" xfId="0" applyNumberFormat="1" applyFill="1" applyProtection="1">
      <protection locked="0"/>
    </xf>
    <xf numFmtId="164" fontId="5" fillId="6" borderId="0" xfId="0" applyNumberFormat="1" applyFont="1" applyFill="1" applyProtection="1">
      <protection locked="0"/>
    </xf>
    <xf numFmtId="0" fontId="0" fillId="6" borderId="0" xfId="0" applyFill="1" applyAlignment="1" applyProtection="1">
      <alignment horizontal="left"/>
      <protection locked="0"/>
    </xf>
    <xf numFmtId="186" fontId="0" fillId="6" borderId="0" xfId="3" quotePrefix="1" applyNumberFormat="1" applyFont="1" applyFill="1" applyProtection="1">
      <protection locked="0"/>
    </xf>
    <xf numFmtId="0" fontId="124" fillId="5" borderId="54" xfId="0" applyFont="1" applyFill="1" applyBorder="1" applyAlignment="1" applyProtection="1">
      <alignment horizontal="center" vertical="center"/>
      <protection locked="0"/>
    </xf>
    <xf numFmtId="17" fontId="124" fillId="5" borderId="54" xfId="0" applyNumberFormat="1" applyFont="1" applyFill="1" applyBorder="1" applyAlignment="1">
      <alignment horizontal="center" vertical="center"/>
    </xf>
    <xf numFmtId="0" fontId="5" fillId="6" borderId="0" xfId="0" applyFont="1" applyFill="1" applyProtection="1">
      <protection locked="0"/>
    </xf>
    <xf numFmtId="0" fontId="94" fillId="6" borderId="54" xfId="0" applyFont="1" applyFill="1" applyBorder="1" applyAlignment="1" applyProtection="1">
      <alignment horizontal="left" vertical="center" wrapText="1"/>
      <protection locked="0"/>
    </xf>
    <xf numFmtId="164" fontId="125" fillId="6" borderId="54" xfId="1" applyNumberFormat="1" applyFont="1" applyFill="1" applyBorder="1"/>
    <xf numFmtId="164" fontId="94" fillId="6" borderId="54" xfId="1" applyNumberFormat="1" applyFont="1" applyFill="1" applyBorder="1"/>
    <xf numFmtId="0" fontId="80" fillId="3" borderId="0" xfId="12" applyFill="1"/>
    <xf numFmtId="0" fontId="94" fillId="6" borderId="54" xfId="0" applyFont="1" applyFill="1" applyBorder="1"/>
    <xf numFmtId="0" fontId="2" fillId="3" borderId="0" xfId="12" applyFont="1" applyFill="1"/>
    <xf numFmtId="0" fontId="126" fillId="3" borderId="0" xfId="12" applyFont="1" applyFill="1" applyAlignment="1">
      <alignment horizontal="left" indent="3"/>
    </xf>
    <xf numFmtId="0" fontId="83" fillId="6" borderId="54" xfId="0" applyFont="1" applyFill="1" applyBorder="1" applyAlignment="1">
      <alignment horizontal="left"/>
    </xf>
    <xf numFmtId="167" fontId="83" fillId="6" borderId="54" xfId="11" applyNumberFormat="1" applyFont="1" applyFill="1" applyBorder="1"/>
    <xf numFmtId="0" fontId="0" fillId="3" borderId="0" xfId="0" applyFill="1" applyAlignment="1" applyProtection="1">
      <alignment horizontal="left"/>
      <protection locked="0"/>
    </xf>
    <xf numFmtId="0" fontId="0" fillId="3" borderId="0" xfId="0" applyFill="1"/>
    <xf numFmtId="9" fontId="0" fillId="3" borderId="0" xfId="3" quotePrefix="1" applyFont="1" applyFill="1" applyProtection="1">
      <protection locked="0"/>
    </xf>
    <xf numFmtId="168" fontId="0" fillId="3" borderId="0" xfId="2" quotePrefix="1" applyNumberFormat="1" applyFont="1" applyFill="1" applyProtection="1">
      <protection locked="0"/>
    </xf>
    <xf numFmtId="164" fontId="0" fillId="3" borderId="0" xfId="1" applyNumberFormat="1" applyFont="1" applyFill="1" applyProtection="1">
      <protection locked="0"/>
    </xf>
    <xf numFmtId="0" fontId="0" fillId="3" borderId="0" xfId="0" applyFill="1" applyAlignment="1" applyProtection="1">
      <alignment horizontal="right"/>
      <protection locked="0"/>
    </xf>
    <xf numFmtId="164" fontId="0" fillId="0" borderId="0" xfId="0" applyNumberFormat="1" applyAlignment="1">
      <alignment horizontal="left" indent="2"/>
    </xf>
    <xf numFmtId="164" fontId="0" fillId="0" borderId="0" xfId="0" applyNumberFormat="1" applyAlignment="1">
      <alignment horizontal="left" indent="3"/>
    </xf>
    <xf numFmtId="164" fontId="0" fillId="0" borderId="0" xfId="0" applyNumberFormat="1" applyAlignment="1">
      <alignment horizontal="left" indent="4"/>
    </xf>
    <xf numFmtId="182" fontId="102" fillId="6" borderId="0" xfId="2" applyNumberFormat="1" applyFont="1" applyFill="1" applyAlignment="1" applyProtection="1">
      <alignment horizontal="right" vertical="center"/>
    </xf>
    <xf numFmtId="9" fontId="65" fillId="6" borderId="0" xfId="3" applyFont="1" applyFill="1" applyAlignment="1" applyProtection="1">
      <alignment horizontal="right" vertical="center"/>
    </xf>
    <xf numFmtId="164" fontId="5" fillId="6" borderId="5" xfId="1" quotePrefix="1" applyNumberFormat="1" applyFont="1" applyFill="1" applyBorder="1" applyAlignment="1" applyProtection="1">
      <alignment horizontal="center"/>
    </xf>
    <xf numFmtId="164" fontId="127" fillId="6" borderId="5" xfId="1" applyNumberFormat="1" applyFont="1" applyFill="1" applyBorder="1" applyAlignment="1" applyProtection="1">
      <alignment horizontal="center"/>
    </xf>
    <xf numFmtId="164" fontId="65" fillId="6" borderId="0" xfId="1" applyNumberFormat="1" applyFont="1" applyFill="1" applyAlignment="1">
      <alignment horizontal="center"/>
    </xf>
    <xf numFmtId="164" fontId="2" fillId="6" borderId="0" xfId="1" applyNumberFormat="1" applyFont="1" applyFill="1" applyBorder="1" applyProtection="1"/>
    <xf numFmtId="164" fontId="0" fillId="6" borderId="0" xfId="1" applyNumberFormat="1" applyFont="1" applyFill="1" applyBorder="1"/>
    <xf numFmtId="0" fontId="87" fillId="5" borderId="0" xfId="0" applyFont="1" applyFill="1" applyAlignment="1">
      <alignment horizontal="left" indent="1"/>
    </xf>
    <xf numFmtId="164" fontId="87" fillId="5" borderId="0" xfId="1" applyNumberFormat="1" applyFont="1" applyFill="1" applyAlignment="1">
      <alignment horizontal="left" indent="1"/>
    </xf>
    <xf numFmtId="0" fontId="112" fillId="5" borderId="0" xfId="0" applyFont="1" applyFill="1" applyAlignment="1">
      <alignment horizontal="left" indent="1"/>
    </xf>
    <xf numFmtId="0" fontId="99" fillId="5" borderId="0" xfId="0" applyFont="1" applyFill="1" applyAlignment="1">
      <alignment horizontal="left"/>
    </xf>
    <xf numFmtId="187" fontId="0" fillId="6" borderId="0" xfId="0" applyNumberFormat="1" applyFill="1" applyAlignment="1">
      <alignment horizontal="right"/>
    </xf>
    <xf numFmtId="164" fontId="128" fillId="6" borderId="5" xfId="1" quotePrefix="1" applyNumberFormat="1" applyFont="1" applyFill="1" applyBorder="1" applyAlignment="1" applyProtection="1">
      <alignment horizontal="center"/>
    </xf>
    <xf numFmtId="0" fontId="129" fillId="6" borderId="0" xfId="0" applyFont="1" applyFill="1" applyAlignment="1">
      <alignment horizontal="left" indent="1"/>
    </xf>
    <xf numFmtId="188" fontId="0" fillId="6" borderId="0" xfId="0" applyNumberFormat="1" applyFill="1" applyAlignment="1">
      <alignment horizontal="right"/>
    </xf>
    <xf numFmtId="189" fontId="65" fillId="6" borderId="3" xfId="0" applyNumberFormat="1" applyFont="1" applyFill="1" applyBorder="1" applyAlignment="1" applyProtection="1">
      <alignment horizontal="center"/>
      <protection locked="0"/>
    </xf>
    <xf numFmtId="0" fontId="83" fillId="6" borderId="0" xfId="0" applyFont="1" applyFill="1" applyAlignment="1">
      <alignment horizontal="center"/>
    </xf>
    <xf numFmtId="0" fontId="3" fillId="6" borderId="0" xfId="0" applyFont="1" applyFill="1" applyAlignment="1">
      <alignment horizontal="center"/>
    </xf>
    <xf numFmtId="164" fontId="0" fillId="6" borderId="0" xfId="5" applyNumberFormat="1" applyFont="1" applyFill="1"/>
    <xf numFmtId="164" fontId="5" fillId="6" borderId="0" xfId="5" applyNumberFormat="1" applyFont="1" applyFill="1" applyAlignment="1">
      <alignment horizontal="center" vertical="center"/>
    </xf>
    <xf numFmtId="164" fontId="65" fillId="6" borderId="0" xfId="5" quotePrefix="1" applyNumberFormat="1" applyFont="1" applyFill="1" applyBorder="1" applyAlignment="1" applyProtection="1">
      <alignment horizontal="center"/>
    </xf>
    <xf numFmtId="0" fontId="103" fillId="6" borderId="0" xfId="0" applyFont="1" applyFill="1" applyAlignment="1">
      <alignment horizontal="center"/>
    </xf>
    <xf numFmtId="190" fontId="0" fillId="6" borderId="0" xfId="0" applyNumberFormat="1" applyFill="1" applyAlignment="1">
      <alignment vertical="center"/>
    </xf>
    <xf numFmtId="9" fontId="65" fillId="6" borderId="0" xfId="0" applyNumberFormat="1" applyFont="1" applyFill="1" applyAlignment="1">
      <alignment horizontal="center" vertical="center"/>
    </xf>
    <xf numFmtId="164" fontId="0" fillId="6" borderId="0" xfId="5" quotePrefix="1" applyNumberFormat="1" applyFont="1" applyFill="1" applyBorder="1" applyProtection="1"/>
    <xf numFmtId="164" fontId="65" fillId="6" borderId="0" xfId="5" applyNumberFormat="1" applyFont="1" applyFill="1"/>
    <xf numFmtId="9" fontId="130" fillId="6" borderId="0" xfId="0" applyNumberFormat="1" applyFont="1" applyFill="1" applyAlignment="1">
      <alignment horizontal="center" vertical="center"/>
    </xf>
    <xf numFmtId="43" fontId="5" fillId="6" borderId="0" xfId="0" applyNumberFormat="1" applyFont="1" applyFill="1"/>
    <xf numFmtId="164" fontId="0" fillId="6" borderId="0" xfId="5" applyNumberFormat="1" applyFont="1" applyFill="1" applyAlignment="1">
      <alignment horizontal="center"/>
    </xf>
    <xf numFmtId="164" fontId="0" fillId="6" borderId="0" xfId="5" applyNumberFormat="1" applyFont="1" applyFill="1" applyBorder="1" applyProtection="1"/>
    <xf numFmtId="14" fontId="0" fillId="6" borderId="0" xfId="0" applyNumberFormat="1" applyFill="1"/>
    <xf numFmtId="164" fontId="84" fillId="0" borderId="0" xfId="1" applyNumberFormat="1" applyFont="1" applyAlignment="1">
      <alignment horizontal="right" vertical="center"/>
    </xf>
    <xf numFmtId="164" fontId="102" fillId="6" borderId="0" xfId="5" quotePrefix="1" applyNumberFormat="1" applyFont="1" applyFill="1" applyBorder="1" applyAlignment="1" applyProtection="1">
      <alignment horizontal="center"/>
    </xf>
    <xf numFmtId="9" fontId="2" fillId="6" borderId="0" xfId="3" quotePrefix="1" applyFont="1" applyFill="1" applyBorder="1" applyAlignment="1" applyProtection="1">
      <alignment horizontal="center"/>
    </xf>
    <xf numFmtId="0" fontId="71" fillId="6" borderId="0" xfId="0" applyFont="1" applyFill="1" applyAlignment="1">
      <alignment horizontal="center" vertical="center" wrapText="1"/>
    </xf>
    <xf numFmtId="164" fontId="65" fillId="6" borderId="3" xfId="1" applyNumberFormat="1" applyFont="1" applyFill="1" applyBorder="1" applyAlignment="1">
      <alignment horizontal="center" vertical="center"/>
    </xf>
    <xf numFmtId="164" fontId="39" fillId="6" borderId="0" xfId="5" applyNumberFormat="1" applyFont="1" applyFill="1"/>
    <xf numFmtId="164" fontId="39" fillId="6" borderId="0" xfId="0" applyNumberFormat="1" applyFont="1" applyFill="1"/>
    <xf numFmtId="164" fontId="102" fillId="6" borderId="0" xfId="5" applyNumberFormat="1" applyFont="1" applyFill="1" applyBorder="1" applyAlignment="1" applyProtection="1">
      <alignment horizontal="center"/>
    </xf>
    <xf numFmtId="17" fontId="105" fillId="6" borderId="0" xfId="10" applyNumberFormat="1" applyFill="1"/>
    <xf numFmtId="0" fontId="65" fillId="6" borderId="55" xfId="10" applyFont="1" applyFill="1" applyBorder="1"/>
    <xf numFmtId="0" fontId="65" fillId="6" borderId="56" xfId="10" applyFont="1" applyFill="1" applyBorder="1" applyAlignment="1">
      <alignment horizontal="center"/>
    </xf>
    <xf numFmtId="0" fontId="108" fillId="6" borderId="57" xfId="10" applyFont="1" applyFill="1" applyBorder="1" applyAlignment="1">
      <alignment horizontal="center" vertical="center"/>
    </xf>
    <xf numFmtId="0" fontId="108" fillId="6" borderId="58" xfId="10" applyFont="1" applyFill="1" applyBorder="1" applyAlignment="1">
      <alignment horizontal="center" vertical="center" wrapText="1"/>
    </xf>
    <xf numFmtId="0" fontId="108" fillId="6" borderId="59" xfId="10" applyFont="1" applyFill="1" applyBorder="1" applyAlignment="1">
      <alignment horizontal="center" vertical="center" wrapText="1"/>
    </xf>
    <xf numFmtId="0" fontId="65" fillId="6" borderId="60" xfId="10" applyFont="1" applyFill="1" applyBorder="1"/>
    <xf numFmtId="0" fontId="65" fillId="6" borderId="61" xfId="10" applyFont="1" applyFill="1" applyBorder="1" applyAlignment="1">
      <alignment horizontal="center"/>
    </xf>
    <xf numFmtId="0" fontId="65" fillId="6" borderId="62" xfId="10" applyFont="1" applyFill="1" applyBorder="1" applyAlignment="1">
      <alignment horizontal="center"/>
    </xf>
    <xf numFmtId="164" fontId="5" fillId="0" borderId="0" xfId="1" quotePrefix="1" applyNumberFormat="1" applyFont="1"/>
    <xf numFmtId="170" fontId="86" fillId="0" borderId="0" xfId="4" applyNumberFormat="1" applyFont="1" applyAlignment="1">
      <alignment horizontal="left" vertical="top" indent="1"/>
    </xf>
    <xf numFmtId="0" fontId="0" fillId="0" borderId="0" xfId="4" applyFont="1"/>
    <xf numFmtId="164" fontId="37" fillId="0" borderId="0" xfId="1" applyNumberFormat="1" applyFont="1"/>
    <xf numFmtId="0" fontId="13" fillId="6" borderId="0" xfId="0" applyFont="1" applyFill="1" applyAlignment="1">
      <alignment horizontal="left" indent="2"/>
    </xf>
    <xf numFmtId="164" fontId="71" fillId="0" borderId="0" xfId="1" applyNumberFormat="1" applyFont="1"/>
    <xf numFmtId="164" fontId="71" fillId="0" borderId="5" xfId="1" applyNumberFormat="1" applyFont="1" applyFill="1" applyBorder="1"/>
    <xf numFmtId="0" fontId="13" fillId="6" borderId="0" xfId="0" applyFont="1" applyFill="1" applyAlignment="1">
      <alignment horizontal="left" vertical="center"/>
    </xf>
    <xf numFmtId="170" fontId="13" fillId="0" borderId="0" xfId="4" applyNumberFormat="1" applyFont="1" applyAlignment="1">
      <alignment horizontal="left" vertical="center"/>
    </xf>
    <xf numFmtId="170" fontId="82" fillId="0" borderId="0" xfId="4" applyNumberFormat="1" applyFont="1" applyAlignment="1">
      <alignment vertical="center"/>
    </xf>
    <xf numFmtId="0" fontId="82" fillId="0" borderId="0" xfId="4" applyFont="1" applyAlignment="1">
      <alignment vertical="center"/>
    </xf>
    <xf numFmtId="164" fontId="2" fillId="0" borderId="0" xfId="1" quotePrefix="1" applyNumberFormat="1" applyAlignment="1">
      <alignment vertical="center"/>
    </xf>
    <xf numFmtId="0" fontId="2" fillId="0" borderId="0" xfId="0" applyFont="1" applyAlignment="1">
      <alignment horizontal="left" indent="3"/>
    </xf>
    <xf numFmtId="0" fontId="5" fillId="0" borderId="0" xfId="4" applyFont="1" applyAlignment="1">
      <alignment horizontal="left" vertical="center"/>
    </xf>
    <xf numFmtId="0" fontId="131" fillId="5" borderId="0" xfId="13" applyFont="1" applyFill="1"/>
    <xf numFmtId="0" fontId="80" fillId="5" borderId="0" xfId="13" applyFill="1"/>
    <xf numFmtId="0" fontId="80" fillId="11" borderId="0" xfId="13" applyFill="1"/>
    <xf numFmtId="0" fontId="133" fillId="5" borderId="0" xfId="13" applyFont="1" applyFill="1" applyAlignment="1">
      <alignment vertical="center"/>
    </xf>
    <xf numFmtId="0" fontId="135" fillId="5" borderId="0" xfId="13" applyFont="1" applyFill="1" applyAlignment="1">
      <alignment vertical="center"/>
    </xf>
    <xf numFmtId="0" fontId="136" fillId="5" borderId="0" xfId="13" applyFont="1" applyFill="1" applyAlignment="1">
      <alignment horizontal="left" indent="4"/>
    </xf>
    <xf numFmtId="0" fontId="80" fillId="5" borderId="63" xfId="13" applyFill="1" applyBorder="1"/>
    <xf numFmtId="0" fontId="0" fillId="0" borderId="0" xfId="13" applyFont="1"/>
    <xf numFmtId="0" fontId="0" fillId="3" borderId="0" xfId="13" applyFont="1" applyFill="1"/>
    <xf numFmtId="0" fontId="80" fillId="0" borderId="0" xfId="13"/>
    <xf numFmtId="0" fontId="0" fillId="0" borderId="0" xfId="13" applyFont="1" applyAlignment="1">
      <alignment vertical="center"/>
    </xf>
    <xf numFmtId="0" fontId="64" fillId="0" borderId="0" xfId="13" applyFont="1" applyAlignment="1">
      <alignment horizontal="left" vertical="center"/>
    </xf>
    <xf numFmtId="0" fontId="137" fillId="0" borderId="0" xfId="13" applyFont="1" applyAlignment="1">
      <alignment horizontal="right" vertical="center"/>
    </xf>
    <xf numFmtId="0" fontId="0" fillId="3" borderId="0" xfId="13" applyFont="1" applyFill="1" applyAlignment="1">
      <alignment vertical="center"/>
    </xf>
    <xf numFmtId="0" fontId="137" fillId="0" borderId="0" xfId="13" applyFont="1" applyAlignment="1">
      <alignment horizontal="center" vertical="center"/>
    </xf>
    <xf numFmtId="0" fontId="138" fillId="0" borderId="0" xfId="13" applyFont="1" applyAlignment="1">
      <alignment vertical="center"/>
    </xf>
    <xf numFmtId="0" fontId="80" fillId="0" borderId="0" xfId="13" applyAlignment="1">
      <alignment vertical="center"/>
    </xf>
    <xf numFmtId="0" fontId="0" fillId="0" borderId="0" xfId="13" applyFont="1" applyAlignment="1">
      <alignment vertical="top"/>
    </xf>
    <xf numFmtId="0" fontId="139" fillId="0" borderId="0" xfId="13" applyFont="1" applyAlignment="1">
      <alignment vertical="center" wrapText="1"/>
    </xf>
    <xf numFmtId="0" fontId="140" fillId="0" borderId="0" xfId="13" applyFont="1"/>
    <xf numFmtId="0" fontId="140" fillId="0" borderId="0" xfId="13" applyFont="1" applyAlignment="1">
      <alignment wrapText="1"/>
    </xf>
    <xf numFmtId="0" fontId="140" fillId="0" borderId="0" xfId="13" applyFont="1" applyAlignment="1">
      <alignment vertical="top" wrapText="1"/>
    </xf>
    <xf numFmtId="0" fontId="116" fillId="0" borderId="0" xfId="13" applyFont="1" applyAlignment="1">
      <alignment vertical="center" wrapText="1"/>
    </xf>
    <xf numFmtId="0" fontId="116" fillId="0" borderId="0" xfId="13" applyFont="1" applyAlignment="1">
      <alignment vertical="top" wrapText="1"/>
    </xf>
    <xf numFmtId="0" fontId="65" fillId="0" borderId="0" xfId="5" applyNumberFormat="1" applyFont="1" applyFill="1" applyBorder="1" applyAlignment="1">
      <alignment horizontal="left" vertical="center"/>
    </xf>
    <xf numFmtId="0" fontId="95" fillId="0" borderId="0" xfId="13" applyFont="1" applyAlignment="1">
      <alignment vertical="center" wrapText="1"/>
    </xf>
    <xf numFmtId="14" fontId="65" fillId="0" borderId="0" xfId="5" applyNumberFormat="1" applyFont="1" applyFill="1" applyBorder="1" applyAlignment="1">
      <alignment horizontal="left" vertical="center"/>
    </xf>
    <xf numFmtId="0" fontId="5" fillId="0" borderId="0" xfId="13" applyFont="1" applyAlignment="1">
      <alignment vertical="center"/>
    </xf>
    <xf numFmtId="0" fontId="116" fillId="0" borderId="0" xfId="13" applyFont="1" applyAlignment="1">
      <alignment vertical="center"/>
    </xf>
    <xf numFmtId="0" fontId="141" fillId="0" borderId="0" xfId="13" applyFont="1" applyAlignment="1">
      <alignment vertical="center"/>
    </xf>
    <xf numFmtId="0" fontId="42" fillId="0" borderId="0" xfId="14" applyFont="1" applyFill="1" applyAlignment="1">
      <alignment vertical="center"/>
    </xf>
    <xf numFmtId="0" fontId="142" fillId="0" borderId="0" xfId="13" applyFont="1" applyAlignment="1">
      <alignment vertical="center"/>
    </xf>
    <xf numFmtId="0" fontId="143" fillId="0" borderId="0" xfId="14" applyFont="1" applyFill="1" applyAlignment="1">
      <alignment vertical="center"/>
    </xf>
    <xf numFmtId="0" fontId="144" fillId="0" borderId="0" xfId="13" applyFont="1" applyAlignment="1">
      <alignment vertical="center"/>
    </xf>
    <xf numFmtId="0" fontId="30" fillId="0" borderId="0" xfId="13" applyFont="1" applyAlignment="1">
      <alignment vertical="center" wrapText="1"/>
    </xf>
    <xf numFmtId="0" fontId="116" fillId="0" borderId="0" xfId="13" applyFont="1" applyAlignment="1">
      <alignment vertical="top"/>
    </xf>
    <xf numFmtId="0" fontId="126" fillId="0" borderId="0" xfId="13" applyFont="1" applyAlignment="1">
      <alignment horizontal="left" indent="3"/>
    </xf>
    <xf numFmtId="0" fontId="95" fillId="0" borderId="0" xfId="13" applyFont="1" applyAlignment="1">
      <alignment vertical="center"/>
    </xf>
    <xf numFmtId="0" fontId="80" fillId="0" borderId="0" xfId="13" applyAlignment="1">
      <alignment horizontal="left"/>
    </xf>
    <xf numFmtId="0" fontId="146" fillId="0" borderId="0" xfId="13" applyFont="1" applyAlignment="1">
      <alignment vertical="top" wrapText="1"/>
    </xf>
    <xf numFmtId="0" fontId="141" fillId="0" borderId="0" xfId="13" applyFont="1" applyAlignment="1">
      <alignment horizontal="left" vertical="center" indent="2"/>
    </xf>
    <xf numFmtId="191" fontId="147" fillId="0" borderId="0" xfId="13" applyNumberFormat="1" applyFont="1" applyAlignment="1">
      <alignment horizontal="center" vertical="center"/>
    </xf>
    <xf numFmtId="0" fontId="80" fillId="12" borderId="0" xfId="13" applyFill="1"/>
    <xf numFmtId="0" fontId="149" fillId="6" borderId="0" xfId="0" applyFont="1" applyFill="1" applyAlignment="1">
      <alignment horizontal="left"/>
    </xf>
    <xf numFmtId="0" fontId="149" fillId="0" borderId="0" xfId="0" applyFont="1" applyAlignment="1">
      <alignment horizontal="left"/>
    </xf>
    <xf numFmtId="164" fontId="69" fillId="0" borderId="0" xfId="1" quotePrefix="1" applyNumberFormat="1" applyFont="1"/>
    <xf numFmtId="0" fontId="150" fillId="0" borderId="0" xfId="0" applyFont="1" applyAlignment="1">
      <alignment horizontal="left"/>
    </xf>
    <xf numFmtId="164" fontId="69" fillId="0" borderId="0" xfId="1" applyNumberFormat="1" applyFont="1"/>
    <xf numFmtId="164" fontId="150" fillId="6" borderId="0" xfId="1" applyNumberFormat="1" applyFont="1" applyFill="1" applyAlignment="1">
      <alignment horizontal="left" indent="1"/>
    </xf>
    <xf numFmtId="0" fontId="150" fillId="6" borderId="0" xfId="0" applyFont="1" applyFill="1" applyAlignment="1">
      <alignment horizontal="left"/>
    </xf>
    <xf numFmtId="172" fontId="71" fillId="0" borderId="5" xfId="3" applyNumberFormat="1" applyFont="1" applyBorder="1"/>
    <xf numFmtId="167" fontId="71" fillId="0" borderId="5" xfId="1" applyNumberFormat="1" applyFont="1" applyBorder="1"/>
    <xf numFmtId="0" fontId="76" fillId="6" borderId="0" xfId="0" applyFont="1" applyFill="1" applyAlignment="1">
      <alignment horizontal="left"/>
    </xf>
    <xf numFmtId="0" fontId="76" fillId="0" borderId="0" xfId="0" applyFont="1" applyAlignment="1">
      <alignment horizontal="left"/>
    </xf>
    <xf numFmtId="172" fontId="37" fillId="0" borderId="0" xfId="3" quotePrefix="1" applyNumberFormat="1" applyFont="1"/>
    <xf numFmtId="164" fontId="37" fillId="0" borderId="0" xfId="1" quotePrefix="1" applyNumberFormat="1" applyFont="1"/>
    <xf numFmtId="0" fontId="149" fillId="6" borderId="0" xfId="0" applyFont="1" applyFill="1" applyAlignment="1">
      <alignment horizontal="left" indent="1"/>
    </xf>
    <xf numFmtId="167" fontId="71" fillId="0" borderId="5" xfId="1" quotePrefix="1" applyNumberFormat="1" applyFont="1" applyBorder="1"/>
    <xf numFmtId="0" fontId="37" fillId="5" borderId="0" xfId="0" applyFont="1" applyFill="1" applyAlignment="1">
      <alignment horizontal="left"/>
    </xf>
    <xf numFmtId="0" fontId="149" fillId="5" borderId="0" xfId="0" applyFont="1" applyFill="1" applyAlignment="1">
      <alignment horizontal="left"/>
    </xf>
    <xf numFmtId="0" fontId="37" fillId="0" borderId="0" xfId="0" applyFont="1" applyAlignment="1">
      <alignment horizontal="center"/>
    </xf>
    <xf numFmtId="0" fontId="8" fillId="8" borderId="7" xfId="0" applyFont="1" applyFill="1" applyBorder="1" applyAlignment="1">
      <alignment horizontal="center" vertical="center"/>
    </xf>
    <xf numFmtId="0" fontId="149" fillId="6" borderId="0" xfId="0" applyFont="1" applyFill="1" applyAlignment="1">
      <alignment horizontal="center"/>
    </xf>
    <xf numFmtId="0" fontId="149" fillId="0" borderId="0" xfId="0" applyFont="1" applyAlignment="1">
      <alignment horizontal="center"/>
    </xf>
    <xf numFmtId="0" fontId="149" fillId="6" borderId="0" xfId="0" applyFont="1" applyFill="1" applyAlignment="1">
      <alignment horizontal="right"/>
    </xf>
    <xf numFmtId="0" fontId="151" fillId="0" borderId="0" xfId="0" applyFont="1" applyAlignment="1">
      <alignment horizontal="right" indent="1"/>
    </xf>
    <xf numFmtId="0" fontId="152" fillId="0" borderId="0" xfId="0" applyFont="1" applyAlignment="1">
      <alignment horizontal="centerContinuous"/>
    </xf>
    <xf numFmtId="0" fontId="153" fillId="6" borderId="0" xfId="0" applyFont="1" applyFill="1" applyAlignment="1">
      <alignment horizontal="center"/>
    </xf>
    <xf numFmtId="0" fontId="149" fillId="0" borderId="0" xfId="0" applyFont="1" applyAlignment="1">
      <alignment horizontal="right"/>
    </xf>
    <xf numFmtId="0" fontId="71" fillId="0" borderId="0" xfId="0" applyFont="1" applyAlignment="1">
      <alignment horizontal="centerContinuous"/>
    </xf>
    <xf numFmtId="0" fontId="74" fillId="6" borderId="0" xfId="0" applyFont="1" applyFill="1" applyAlignment="1">
      <alignment vertical="center"/>
    </xf>
    <xf numFmtId="0" fontId="74" fillId="0" borderId="0" xfId="0" applyFont="1" applyAlignment="1">
      <alignment vertical="center"/>
    </xf>
    <xf numFmtId="0" fontId="74" fillId="6" borderId="35" xfId="0" applyFont="1" applyFill="1" applyBorder="1" applyAlignment="1">
      <alignment vertical="center"/>
    </xf>
    <xf numFmtId="172" fontId="37" fillId="0" borderId="0" xfId="3" quotePrefix="1" applyNumberFormat="1" applyFont="1" applyAlignment="1"/>
    <xf numFmtId="164" fontId="37" fillId="0" borderId="0" xfId="1" quotePrefix="1" applyNumberFormat="1" applyFont="1" applyAlignment="1"/>
    <xf numFmtId="172" fontId="71" fillId="0" borderId="5" xfId="3" applyNumberFormat="1" applyFont="1" applyBorder="1" applyAlignment="1"/>
    <xf numFmtId="167" fontId="71" fillId="0" borderId="5" xfId="1" applyNumberFormat="1" applyFont="1" applyBorder="1" applyAlignment="1"/>
    <xf numFmtId="0" fontId="149" fillId="0" borderId="0" xfId="0" applyFont="1" applyAlignment="1">
      <alignment horizontal="left" vertical="top"/>
    </xf>
    <xf numFmtId="167" fontId="71" fillId="0" borderId="0" xfId="1" applyNumberFormat="1" applyFont="1" applyBorder="1"/>
    <xf numFmtId="172" fontId="37" fillId="0" borderId="0" xfId="3" applyNumberFormat="1" applyFont="1"/>
    <xf numFmtId="0" fontId="149" fillId="0" borderId="0" xfId="0" applyFont="1" applyAlignment="1">
      <alignment horizontal="left" indent="1"/>
    </xf>
    <xf numFmtId="9" fontId="37" fillId="0" borderId="0" xfId="3" quotePrefix="1" applyFont="1"/>
    <xf numFmtId="9" fontId="75" fillId="0" borderId="0" xfId="3" applyFont="1"/>
    <xf numFmtId="0" fontId="154" fillId="6" borderId="0" xfId="0" applyFont="1" applyFill="1" applyAlignment="1">
      <alignment horizontal="left" indent="1"/>
    </xf>
    <xf numFmtId="0" fontId="154" fillId="0" borderId="0" xfId="0" applyFont="1" applyAlignment="1">
      <alignment horizontal="left" indent="1"/>
    </xf>
    <xf numFmtId="0" fontId="155" fillId="6" borderId="0" xfId="0" applyFont="1" applyFill="1" applyAlignment="1">
      <alignment horizontal="left" vertical="center" indent="1"/>
    </xf>
    <xf numFmtId="0" fontId="155" fillId="0" borderId="0" xfId="0" applyFont="1" applyAlignment="1">
      <alignment horizontal="left" vertical="center" indent="1"/>
    </xf>
    <xf numFmtId="0" fontId="37" fillId="5" borderId="0" xfId="0" applyFont="1" applyFill="1"/>
    <xf numFmtId="0" fontId="65" fillId="6" borderId="0" xfId="0" applyFont="1" applyFill="1" applyAlignment="1">
      <alignment horizontal="center" vertical="center"/>
    </xf>
    <xf numFmtId="164" fontId="37" fillId="0" borderId="0" xfId="1" applyNumberFormat="1" applyFont="1" applyAlignment="1"/>
    <xf numFmtId="164" fontId="84" fillId="0" borderId="0" xfId="4" applyNumberFormat="1" applyFont="1" applyAlignment="1">
      <alignment horizontal="right" vertical="center"/>
    </xf>
    <xf numFmtId="0" fontId="122" fillId="10" borderId="0" xfId="0" applyFont="1" applyFill="1" applyAlignment="1">
      <alignment horizontal="left" vertical="center"/>
    </xf>
    <xf numFmtId="0" fontId="121" fillId="10" borderId="0" xfId="0" applyFont="1" applyFill="1" applyAlignment="1">
      <alignment horizontal="left" vertical="center"/>
    </xf>
    <xf numFmtId="0" fontId="146" fillId="0" borderId="0" xfId="13" applyFont="1" applyAlignment="1">
      <alignment horizontal="center" vertical="top" wrapText="1"/>
    </xf>
    <xf numFmtId="0" fontId="80" fillId="5" borderId="0" xfId="13" applyFill="1" applyAlignment="1">
      <alignment horizontal="center"/>
    </xf>
    <xf numFmtId="0" fontId="80" fillId="5" borderId="63" xfId="13" applyFill="1" applyBorder="1" applyAlignment="1">
      <alignment horizontal="center"/>
    </xf>
    <xf numFmtId="0" fontId="132" fillId="5" borderId="0" xfId="13" applyFont="1" applyFill="1" applyAlignment="1">
      <alignment horizontal="left" vertical="center"/>
    </xf>
    <xf numFmtId="0" fontId="133" fillId="5" borderId="0" xfId="13" applyFont="1" applyFill="1" applyAlignment="1">
      <alignment horizontal="center" vertical="center"/>
    </xf>
    <xf numFmtId="0" fontId="134" fillId="2" borderId="0" xfId="14" applyFont="1" applyFill="1" applyAlignment="1">
      <alignment horizontal="center" vertical="center"/>
    </xf>
    <xf numFmtId="0" fontId="148" fillId="0" borderId="0" xfId="13" applyFont="1" applyAlignment="1">
      <alignment horizontal="left" vertical="top" wrapText="1"/>
    </xf>
    <xf numFmtId="0" fontId="145" fillId="0" borderId="0" xfId="13" applyFont="1" applyAlignment="1">
      <alignment horizontal="left" vertical="center"/>
    </xf>
    <xf numFmtId="0" fontId="22" fillId="0" borderId="0" xfId="0" applyFont="1" applyAlignment="1">
      <alignment horizontal="left" vertical="center" wrapText="1"/>
    </xf>
    <xf numFmtId="0" fontId="32" fillId="0" borderId="0" xfId="0" applyFont="1" applyAlignment="1">
      <alignment horizontal="left" vertical="center"/>
    </xf>
    <xf numFmtId="0" fontId="21" fillId="0" borderId="0" xfId="0" applyFont="1" applyAlignment="1">
      <alignment horizontal="left" vertical="center"/>
    </xf>
    <xf numFmtId="0" fontId="20" fillId="0" borderId="0" xfId="0" applyFont="1" applyAlignment="1">
      <alignment horizontal="left" vertical="center" readingOrder="1"/>
    </xf>
    <xf numFmtId="0" fontId="0" fillId="6" borderId="0" xfId="0" applyFill="1" applyAlignment="1">
      <alignment horizontal="center" vertical="center"/>
    </xf>
    <xf numFmtId="0" fontId="24" fillId="0" borderId="0" xfId="0" applyFont="1" applyAlignment="1">
      <alignment horizontal="left" vertical="center"/>
    </xf>
    <xf numFmtId="0" fontId="44" fillId="0" borderId="3" xfId="7" applyFont="1" applyBorder="1" applyAlignment="1">
      <alignment horizontal="left" vertical="center" indent="1"/>
    </xf>
    <xf numFmtId="0" fontId="43" fillId="0" borderId="3" xfId="7" applyFont="1" applyBorder="1" applyAlignment="1">
      <alignment horizontal="left" vertical="center" indent="1"/>
    </xf>
    <xf numFmtId="0" fontId="42" fillId="0" borderId="2" xfId="6" applyFont="1" applyBorder="1" applyAlignment="1">
      <alignment horizontal="left" vertical="center" indent="1"/>
    </xf>
    <xf numFmtId="0" fontId="42" fillId="0" borderId="5" xfId="6" applyFont="1" applyBorder="1" applyAlignment="1">
      <alignment horizontal="left" vertical="center" indent="1"/>
    </xf>
    <xf numFmtId="0" fontId="42" fillId="0" borderId="1" xfId="6" applyFont="1" applyBorder="1" applyAlignment="1">
      <alignment horizontal="left" vertical="center" indent="1"/>
    </xf>
    <xf numFmtId="0" fontId="35" fillId="0" borderId="2" xfId="0" applyFont="1" applyBorder="1" applyAlignment="1">
      <alignment horizontal="left" vertical="center" wrapText="1" indent="1"/>
    </xf>
    <xf numFmtId="0" fontId="35" fillId="0" borderId="5" xfId="0" applyFont="1" applyBorder="1" applyAlignment="1">
      <alignment horizontal="left" vertical="center" wrapText="1" indent="1"/>
    </xf>
    <xf numFmtId="0" fontId="35" fillId="0" borderId="1" xfId="0" applyFont="1" applyBorder="1" applyAlignment="1">
      <alignment horizontal="left" vertical="center" wrapText="1" indent="1"/>
    </xf>
    <xf numFmtId="0" fontId="41" fillId="0" borderId="2" xfId="0" applyFont="1" applyBorder="1" applyAlignment="1">
      <alignment horizontal="center" vertical="center" wrapText="1"/>
    </xf>
    <xf numFmtId="0" fontId="41" fillId="0" borderId="1" xfId="0" applyFont="1" applyBorder="1" applyAlignment="1">
      <alignment horizontal="center" vertical="center" wrapText="1"/>
    </xf>
    <xf numFmtId="0" fontId="38" fillId="0" borderId="2" xfId="7" applyBorder="1" applyAlignment="1">
      <alignment horizontal="center" vertical="center" wrapText="1"/>
    </xf>
    <xf numFmtId="0" fontId="38" fillId="0" borderId="1" xfId="7" applyBorder="1" applyAlignment="1">
      <alignment horizontal="center" vertical="center" wrapText="1"/>
    </xf>
    <xf numFmtId="0" fontId="45" fillId="0" borderId="2" xfId="6" applyFont="1" applyBorder="1" applyAlignment="1">
      <alignment horizontal="left" vertical="center" indent="1"/>
    </xf>
    <xf numFmtId="0" fontId="45" fillId="0" borderId="5" xfId="6" applyFont="1" applyBorder="1" applyAlignment="1">
      <alignment horizontal="left" vertical="center" indent="1"/>
    </xf>
    <xf numFmtId="0" fontId="45" fillId="0" borderId="1" xfId="6" applyFont="1" applyBorder="1" applyAlignment="1">
      <alignment horizontal="left" vertical="center" indent="1"/>
    </xf>
    <xf numFmtId="0" fontId="41" fillId="0" borderId="2" xfId="0" applyFont="1" applyBorder="1" applyAlignment="1">
      <alignment horizontal="left" vertical="center" wrapText="1" indent="1"/>
    </xf>
    <xf numFmtId="0" fontId="41" fillId="0" borderId="5" xfId="0" applyFont="1" applyBorder="1" applyAlignment="1">
      <alignment horizontal="left" vertical="center" wrapText="1" indent="1"/>
    </xf>
    <xf numFmtId="0" fontId="41" fillId="0" borderId="1" xfId="0" applyFont="1" applyBorder="1" applyAlignment="1">
      <alignment horizontal="left" vertical="center" wrapText="1" indent="1"/>
    </xf>
    <xf numFmtId="0" fontId="0" fillId="0" borderId="10" xfId="0" applyBorder="1" applyAlignment="1">
      <alignment horizontal="center"/>
    </xf>
    <xf numFmtId="0" fontId="0" fillId="0" borderId="8" xfId="0" applyBorder="1" applyAlignment="1">
      <alignment horizontal="center"/>
    </xf>
    <xf numFmtId="0" fontId="46" fillId="5" borderId="3" xfId="0" applyFont="1" applyFill="1" applyBorder="1" applyAlignment="1">
      <alignment horizontal="left" vertical="center" wrapText="1" indent="1"/>
    </xf>
    <xf numFmtId="0" fontId="46" fillId="5" borderId="3" xfId="0" applyFont="1" applyFill="1" applyBorder="1" applyAlignment="1">
      <alignment horizontal="left" vertical="center" indent="1"/>
    </xf>
    <xf numFmtId="0" fontId="46" fillId="5" borderId="2" xfId="0" applyFont="1" applyFill="1" applyBorder="1" applyAlignment="1">
      <alignment horizontal="left" vertical="center" wrapText="1" indent="1"/>
    </xf>
    <xf numFmtId="0" fontId="46" fillId="5" borderId="5" xfId="0" applyFont="1" applyFill="1" applyBorder="1" applyAlignment="1">
      <alignment horizontal="left" vertical="center" wrapText="1" indent="1"/>
    </xf>
    <xf numFmtId="0" fontId="46" fillId="5" borderId="1" xfId="0" applyFont="1" applyFill="1" applyBorder="1" applyAlignment="1">
      <alignment horizontal="left" vertical="center" wrapText="1" indent="1"/>
    </xf>
    <xf numFmtId="0" fontId="46" fillId="5" borderId="2" xfId="0" applyFont="1" applyFill="1" applyBorder="1" applyAlignment="1">
      <alignment horizontal="left" vertical="center" indent="1"/>
    </xf>
    <xf numFmtId="0" fontId="46" fillId="5" borderId="5" xfId="0" applyFont="1" applyFill="1" applyBorder="1" applyAlignment="1">
      <alignment horizontal="left" vertical="center" indent="1"/>
    </xf>
    <xf numFmtId="0" fontId="46" fillId="5" borderId="1" xfId="0" applyFont="1" applyFill="1" applyBorder="1" applyAlignment="1">
      <alignment horizontal="left" vertical="center" indent="1"/>
    </xf>
    <xf numFmtId="0" fontId="46" fillId="5" borderId="2"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5" xfId="6" applyFont="1" applyFill="1" applyBorder="1" applyAlignment="1">
      <alignment horizontal="left" vertical="center"/>
    </xf>
    <xf numFmtId="0" fontId="49" fillId="6" borderId="5" xfId="6" applyFont="1" applyFill="1" applyBorder="1" applyAlignment="1">
      <alignment horizontal="left" vertical="center" wrapText="1"/>
    </xf>
    <xf numFmtId="0" fontId="51" fillId="6" borderId="5" xfId="6" applyFont="1" applyFill="1" applyBorder="1" applyAlignment="1">
      <alignment horizontal="left" vertical="center"/>
    </xf>
    <xf numFmtId="0" fontId="49" fillId="6" borderId="1" xfId="6" applyFont="1" applyFill="1" applyBorder="1" applyAlignment="1">
      <alignment horizontal="left" vertical="center" wrapText="1"/>
    </xf>
    <xf numFmtId="0" fontId="48" fillId="6" borderId="3" xfId="7" applyFont="1" applyFill="1" applyBorder="1" applyAlignment="1">
      <alignment horizontal="left" vertical="center" indent="1"/>
    </xf>
    <xf numFmtId="0" fontId="56" fillId="7" borderId="0" xfId="0" applyFont="1" applyFill="1" applyAlignment="1">
      <alignment horizontal="left" vertical="center"/>
    </xf>
    <xf numFmtId="49" fontId="57" fillId="7" borderId="0" xfId="0" applyNumberFormat="1" applyFont="1" applyFill="1" applyAlignment="1">
      <alignment horizontal="right" vertical="center"/>
    </xf>
    <xf numFmtId="0" fontId="55" fillId="6" borderId="5" xfId="6" applyFont="1" applyFill="1" applyBorder="1" applyAlignment="1">
      <alignment horizontal="left" vertical="center"/>
    </xf>
    <xf numFmtId="0" fontId="53" fillId="6" borderId="5" xfId="6" applyFont="1" applyFill="1" applyBorder="1" applyAlignment="1">
      <alignment horizontal="left" vertical="center"/>
    </xf>
    <xf numFmtId="0" fontId="62" fillId="8" borderId="23" xfId="0" applyFont="1" applyFill="1" applyBorder="1" applyAlignment="1">
      <alignment horizontal="left" vertical="center" indent="2"/>
    </xf>
    <xf numFmtId="0" fontId="62" fillId="8" borderId="0" xfId="0" applyFont="1" applyFill="1" applyAlignment="1">
      <alignment horizontal="left" vertical="center" indent="2"/>
    </xf>
    <xf numFmtId="6" fontId="63" fillId="8" borderId="23" xfId="0" applyNumberFormat="1" applyFont="1" applyFill="1" applyBorder="1" applyAlignment="1">
      <alignment horizontal="left" vertical="center" indent="1"/>
    </xf>
    <xf numFmtId="0" fontId="63" fillId="8" borderId="0" xfId="0" applyFont="1" applyFill="1" applyAlignment="1">
      <alignment horizontal="left" vertical="center" indent="1"/>
    </xf>
    <xf numFmtId="0" fontId="63" fillId="8" borderId="22" xfId="0" applyFont="1" applyFill="1" applyBorder="1" applyAlignment="1">
      <alignment horizontal="left" vertical="center" indent="1"/>
    </xf>
    <xf numFmtId="0" fontId="63" fillId="8" borderId="23" xfId="0" applyFont="1" applyFill="1" applyBorder="1" applyAlignment="1">
      <alignment horizontal="left" vertical="center" indent="1"/>
    </xf>
    <xf numFmtId="0" fontId="64" fillId="8" borderId="23" xfId="0" applyFont="1" applyFill="1" applyBorder="1" applyAlignment="1">
      <alignment horizontal="left" indent="2"/>
    </xf>
    <xf numFmtId="0" fontId="64" fillId="8" borderId="0" xfId="0" applyFont="1" applyFill="1" applyAlignment="1">
      <alignment horizontal="left" indent="2"/>
    </xf>
    <xf numFmtId="0" fontId="64" fillId="8" borderId="22" xfId="0" applyFont="1" applyFill="1" applyBorder="1" applyAlignment="1">
      <alignment horizontal="left" indent="2"/>
    </xf>
    <xf numFmtId="0" fontId="57" fillId="0" borderId="0" xfId="0" applyFont="1" applyAlignment="1">
      <alignment horizontal="right" vertical="center"/>
    </xf>
    <xf numFmtId="14" fontId="67" fillId="6" borderId="0" xfId="0" applyNumberFormat="1" applyFont="1" applyFill="1" applyAlignment="1">
      <alignment horizontal="center" vertical="center"/>
    </xf>
    <xf numFmtId="0" fontId="0" fillId="6" borderId="31" xfId="0" applyFill="1" applyBorder="1" applyAlignment="1">
      <alignment horizontal="right" vertical="center" indent="1"/>
    </xf>
    <xf numFmtId="14" fontId="66" fillId="6" borderId="0" xfId="0" applyNumberFormat="1" applyFont="1" applyFill="1" applyAlignment="1">
      <alignment horizontal="center" vertical="center"/>
    </xf>
    <xf numFmtId="0" fontId="56" fillId="0" borderId="0" xfId="0" applyFont="1" applyAlignment="1">
      <alignment horizontal="left" vertical="center"/>
    </xf>
    <xf numFmtId="0" fontId="0" fillId="6" borderId="51" xfId="0" applyFill="1" applyBorder="1" applyAlignment="1" applyProtection="1">
      <alignment horizontal="left" vertical="center"/>
      <protection locked="0"/>
    </xf>
    <xf numFmtId="0" fontId="0" fillId="6" borderId="52" xfId="0" applyFill="1" applyBorder="1" applyAlignment="1" applyProtection="1">
      <alignment horizontal="left" vertical="center"/>
      <protection locked="0"/>
    </xf>
    <xf numFmtId="0" fontId="5" fillId="6" borderId="53" xfId="0" applyFont="1" applyFill="1" applyBorder="1" applyAlignment="1" applyProtection="1">
      <alignment horizontal="center"/>
      <protection locked="0"/>
    </xf>
    <xf numFmtId="0" fontId="2" fillId="6" borderId="31" xfId="4" applyFill="1" applyBorder="1" applyAlignment="1">
      <alignment horizontal="center" vertical="center"/>
    </xf>
    <xf numFmtId="0" fontId="5" fillId="0" borderId="22" xfId="0" applyFont="1" applyBorder="1" applyAlignment="1">
      <alignment horizontal="center" vertical="center" textRotation="90"/>
    </xf>
    <xf numFmtId="0" fontId="5" fillId="0" borderId="22" xfId="4" applyFont="1" applyBorder="1" applyAlignment="1">
      <alignment horizontal="center" vertical="center" textRotation="90"/>
    </xf>
    <xf numFmtId="0" fontId="5" fillId="6" borderId="22" xfId="0" applyFont="1" applyFill="1" applyBorder="1" applyAlignment="1">
      <alignment horizontal="center" vertical="center" textRotation="90"/>
    </xf>
    <xf numFmtId="0" fontId="15" fillId="0" borderId="2" xfId="4" applyFont="1" applyBorder="1" applyAlignment="1" applyProtection="1">
      <alignment horizontal="left" vertical="center" indent="1"/>
      <protection locked="0"/>
    </xf>
    <xf numFmtId="0" fontId="15" fillId="0" borderId="1" xfId="4" applyFont="1" applyBorder="1" applyAlignment="1" applyProtection="1">
      <alignment horizontal="left" vertical="center" indent="1"/>
      <protection locked="0"/>
    </xf>
    <xf numFmtId="0" fontId="14" fillId="0" borderId="2" xfId="4" applyFont="1" applyBorder="1" applyAlignment="1" applyProtection="1">
      <alignment horizontal="left" vertical="center" wrapText="1" indent="1"/>
      <protection hidden="1"/>
    </xf>
    <xf numFmtId="0" fontId="14" fillId="0" borderId="1" xfId="4" applyFont="1" applyBorder="1" applyAlignment="1" applyProtection="1">
      <alignment horizontal="left" vertical="center" wrapText="1" indent="1"/>
      <protection hidden="1"/>
    </xf>
    <xf numFmtId="0" fontId="12" fillId="0" borderId="2" xfId="4" applyFont="1" applyBorder="1" applyAlignment="1" applyProtection="1">
      <alignment horizontal="left" vertical="center" wrapText="1" indent="1"/>
      <protection hidden="1"/>
    </xf>
    <xf numFmtId="0" fontId="12" fillId="0" borderId="1" xfId="4" applyFont="1" applyBorder="1" applyAlignment="1" applyProtection="1">
      <alignment horizontal="left" vertical="center" wrapText="1" indent="1"/>
      <protection hidden="1"/>
    </xf>
  </cellXfs>
  <cellStyles count="15">
    <cellStyle name="Comma" xfId="1" builtinId="3"/>
    <cellStyle name="Comma 2" xfId="5" xr:uid="{C4F4D502-82D6-B642-9B01-5D3056387B6D}"/>
    <cellStyle name="Currency" xfId="2" builtinId="4"/>
    <cellStyle name="Hyperlink" xfId="7" builtinId="8"/>
    <cellStyle name="Hyperlink 2" xfId="14" xr:uid="{31275B09-7E68-4345-9A25-1BE1FB222B2C}"/>
    <cellStyle name="Normal" xfId="0" builtinId="0"/>
    <cellStyle name="Normal 11 2" xfId="6" xr:uid="{081B3136-730A-9546-BE4F-596FF922D272}"/>
    <cellStyle name="Normal 2" xfId="12" xr:uid="{EAF6650A-D12B-44CD-9BDB-41F1B85D0024}"/>
    <cellStyle name="Normal 2 2" xfId="10" xr:uid="{92ED8F9D-D25A-9142-BF28-0B338872231C}"/>
    <cellStyle name="Normal 2 3" xfId="4" xr:uid="{27742E38-3782-DE4D-AC37-49F160371F17}"/>
    <cellStyle name="Normal 2 3 2" xfId="13" xr:uid="{E4AF83E8-0653-0D42-B373-973C8C61F0CF}"/>
    <cellStyle name="Normal 4" xfId="9" xr:uid="{347848FD-DC0E-5C40-8B74-782396FF53A4}"/>
    <cellStyle name="Percent" xfId="3" builtinId="5"/>
    <cellStyle name="Percent 2" xfId="8" xr:uid="{B218DAF7-A8B6-2F44-B90A-28A58BCCD309}"/>
    <cellStyle name="Total" xfId="11" builtinId="25"/>
  </cellStyles>
  <dxfs count="72">
    <dxf>
      <border>
        <left style="dotted">
          <color auto="1"/>
        </left>
        <right/>
        <vertical/>
        <horizontal/>
      </border>
    </dxf>
    <dxf>
      <border>
        <left style="dotted">
          <color auto="1"/>
        </left>
        <right/>
        <vertical/>
        <horizontal/>
      </border>
    </dxf>
    <dxf>
      <border>
        <left style="dotted">
          <color auto="1"/>
        </left>
        <right/>
        <vertical/>
        <horizontal/>
      </border>
    </dxf>
    <dxf>
      <border>
        <left style="dotted">
          <color auto="1"/>
        </left>
        <right/>
        <vertical/>
        <horizontal/>
      </border>
    </dxf>
    <dxf>
      <border>
        <left style="dotted">
          <color auto="1"/>
        </left>
        <right/>
        <vertical/>
        <horizontal/>
      </border>
    </dxf>
    <dxf>
      <font>
        <color rgb="FF0070C0"/>
      </font>
    </dxf>
    <dxf>
      <border>
        <left style="dotted">
          <color auto="1"/>
        </left>
        <right/>
        <vertical/>
        <horizontal/>
      </border>
    </dxf>
    <dxf>
      <font>
        <color auto="1"/>
      </font>
    </dxf>
    <dxf>
      <font>
        <color rgb="FFE84B3A"/>
      </font>
    </dxf>
    <dxf>
      <font>
        <color rgb="FF2EB263"/>
      </font>
    </dxf>
    <dxf>
      <font>
        <color rgb="FFE84B3A"/>
      </font>
    </dxf>
    <dxf>
      <font>
        <color rgb="FF2EB263"/>
      </font>
    </dxf>
    <dxf>
      <font>
        <color rgb="FFE84B3A"/>
      </font>
    </dxf>
    <dxf>
      <font>
        <color rgb="FF2EB263"/>
      </font>
    </dxf>
    <dxf>
      <font>
        <color rgb="FFE84B3A"/>
      </font>
    </dxf>
    <dxf>
      <font>
        <color rgb="FF2EB263"/>
      </font>
    </dxf>
    <dxf>
      <font>
        <color rgb="FF0070C0"/>
      </font>
    </dxf>
    <dxf>
      <font>
        <color rgb="FFE84B3A"/>
      </font>
    </dxf>
    <dxf>
      <font>
        <color rgb="FF2EB263"/>
      </font>
    </dxf>
    <dxf>
      <font>
        <color rgb="FFE84B3A"/>
      </font>
    </dxf>
    <dxf>
      <font>
        <color rgb="FF2EB263"/>
      </font>
    </dxf>
    <dxf>
      <font>
        <color auto="1"/>
      </font>
    </dxf>
    <dxf>
      <font>
        <color rgb="FFE84B3A"/>
      </font>
    </dxf>
    <dxf>
      <font>
        <color rgb="FF2EB263"/>
      </font>
    </dxf>
    <dxf>
      <font>
        <color rgb="FFE84B3A"/>
      </font>
    </dxf>
    <dxf>
      <font>
        <color rgb="FF2EB263"/>
      </font>
    </dxf>
    <dxf>
      <fill>
        <patternFill patternType="none">
          <fgColor indexed="64"/>
          <bgColor indexed="65"/>
        </patternFill>
      </fill>
    </dxf>
    <dxf>
      <alignment horizontal="center" vertical="center" textRotation="0" wrapText="1" indent="0" justifyLastLine="0" shrinkToFit="0" readingOrder="0"/>
    </dxf>
    <dxf>
      <alignment horizontal="general" vertical="bottom" textRotation="0" wrapText="0" indent="0" justifyLastLine="0" shrinkToFit="0" readingOrder="0"/>
    </dxf>
    <dxf>
      <numFmt numFmtId="19" formatCode="m/d/yyyy"/>
      <alignment horizontal="general" vertical="bottom" textRotation="0" wrapText="0" indent="0" justifyLastLine="0" shrinkToFit="0" readingOrder="0"/>
    </dxf>
    <dxf>
      <numFmt numFmtId="19" formatCode="m/d/yyyy"/>
      <alignment horizontal="general" vertical="bottom" textRotation="0" wrapText="0" indent="0" justifyLastLine="0" shrinkToFit="0" readingOrder="0"/>
    </dxf>
    <dxf>
      <alignment horizontal="left" vertical="bottom" textRotation="0" wrapText="0" indent="0" justifyLastLine="0" shrinkToFit="0" readingOrder="0"/>
    </dxf>
    <dxf>
      <numFmt numFmtId="19" formatCode="m/d/yyyy"/>
      <alignment horizontal="general" vertical="bottom" textRotation="0" wrapText="0" indent="0" justifyLastLine="0" shrinkToFit="0" readingOrder="0"/>
    </dxf>
    <dxf>
      <numFmt numFmtId="19" formatCode="m/d/yyyy"/>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left" vertical="bottom" textRotation="0" wrapText="0" indent="0" justifyLastLine="0" shrinkToFit="0" readingOrder="0"/>
    </dxf>
    <dxf>
      <numFmt numFmtId="19" formatCode="m/d/yyyy"/>
      <alignment horizontal="general" vertical="bottom" textRotation="0" wrapText="0" indent="0" justifyLastLine="0" shrinkToFit="0" readingOrder="0"/>
    </dxf>
    <dxf>
      <numFmt numFmtId="19" formatCode="m/d/yyyy"/>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font>
      <alignment horizontal="general" vertical="bottom" textRotation="0" wrapText="0" indent="0" justifyLastLine="0" shrinkToFit="0" readingOrder="0"/>
    </dxf>
    <dxf>
      <font>
        <b val="0"/>
        <i val="0"/>
        <strike val="0"/>
        <condense val="0"/>
        <extend val="0"/>
        <outline val="0"/>
        <shadow val="0"/>
        <u val="none"/>
        <vertAlign val="baseline"/>
        <sz val="10"/>
        <color theme="1"/>
        <name val="Aptos Narrow"/>
        <family val="2"/>
        <scheme val="minor"/>
      </font>
      <numFmt numFmtId="34" formatCode="_(&quot;$&quot;* #,##0.00_);_(&quot;$&quot;* \(#,##0.00\);_(&quot;$&quot;* &quot;-&quot;??_);_(@_)"/>
      <alignment horizontal="general" vertical="bottom" textRotation="0" wrapText="0" indent="0" justifyLastLine="0" shrinkToFit="0" readingOrder="0"/>
    </dxf>
    <dxf>
      <font>
        <b val="0"/>
        <i val="0"/>
        <strike val="0"/>
        <condense val="0"/>
        <extend val="0"/>
        <outline val="0"/>
        <shadow val="0"/>
        <u val="none"/>
        <vertAlign val="baseline"/>
        <sz val="10"/>
        <color indexed="8"/>
        <name val="Aptos Narrow"/>
        <family val="2"/>
        <scheme val="minor"/>
      </font>
      <numFmt numFmtId="34" formatCode="_(&quot;$&quot;* #,##0.00_);_(&quot;$&quot;* \(#,##0.0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indexed="8"/>
        <name val="Aptos Narrow"/>
        <family val="2"/>
        <scheme val="minor"/>
      </font>
      <numFmt numFmtId="164" formatCode="_(* #,##0_);_(* \(#,##0\);_(* &quot;-&quot;??_);_(@_)"/>
      <fill>
        <patternFill patternType="solid">
          <fgColor indexed="64"/>
          <bgColor rgb="FFFFFF00"/>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ptos Narrow"/>
        <family val="2"/>
        <scheme val="minor"/>
      </font>
      <numFmt numFmtId="19" formatCode="m/d/yyyy"/>
      <fill>
        <patternFill patternType="solid">
          <fgColor indexed="64"/>
          <bgColor rgb="FFFFFF00"/>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ptos Narrow"/>
        <family val="2"/>
        <scheme val="minor"/>
      </font>
      <numFmt numFmtId="34" formatCode="_(&quot;$&quot;* #,##0.00_);_(&quot;$&quot;* \(#,##0.00\);_(&quot;$&quot;* &quot;-&quot;??_);_(@_)"/>
      <fill>
        <patternFill patternType="solid">
          <fgColor indexed="64"/>
          <bgColor rgb="FFFFFF00"/>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ptos Narrow"/>
        <family val="2"/>
        <scheme val="minor"/>
      </font>
      <numFmt numFmtId="34" formatCode="_(&quot;$&quot;* #,##0.00_);_(&quot;$&quot;* \(#,##0.00\);_(&quot;$&quot;* &quot;-&quot;??_);_(@_)"/>
      <fill>
        <patternFill patternType="solid">
          <fgColor indexed="64"/>
          <bgColor rgb="FFFFFF00"/>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ptos Narrow"/>
        <family val="2"/>
        <scheme val="minor"/>
      </font>
      <numFmt numFmtId="34" formatCode="_(&quot;$&quot;* #,##0.00_);_(&quot;$&quot;* \(#,##0.00\);_(&quot;$&quot;* &quot;-&quot;??_);_(@_)"/>
      <fill>
        <patternFill patternType="solid">
          <fgColor indexed="64"/>
          <bgColor rgb="FFFFFF00"/>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ptos Narrow"/>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0"/>
        <color theme="1"/>
        <name val="Aptos Narrow"/>
        <family val="2"/>
        <scheme val="minor"/>
      </font>
      <alignment horizontal="general" vertical="bottom" textRotation="0" wrapText="0" indent="0" justifyLastLine="0" shrinkToFit="0" readingOrder="0"/>
    </dxf>
    <dxf>
      <font>
        <b/>
        <i val="0"/>
        <strike val="0"/>
        <condense val="0"/>
        <extend val="0"/>
        <outline val="0"/>
        <shadow val="0"/>
        <u val="none"/>
        <vertAlign val="baseline"/>
        <sz val="10"/>
        <color theme="1"/>
        <name val="Aptos Narrow"/>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0"/>
        <color theme="1"/>
        <name val="Aptos Narrow"/>
        <family val="2"/>
        <scheme val="minor"/>
      </font>
      <numFmt numFmtId="19" formatCode="m/d/yyyy"/>
      <alignment horizontal="center" vertical="bottom"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Aptos Narrow"/>
        <family val="2"/>
        <scheme val="minor"/>
      </font>
      <numFmt numFmtId="175" formatCode="&quot;$&quot;#,##0"/>
      <alignment horizontal="center" vertical="bottom"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Aptos Narrow"/>
        <family val="2"/>
        <scheme val="minor"/>
      </font>
      <border diagonalUp="0" diagonalDown="0">
        <left style="thin">
          <color rgb="FF000000"/>
        </left>
        <right style="thin">
          <color rgb="FF000000"/>
        </right>
        <top style="thin">
          <color rgb="FF000000"/>
        </top>
        <bottom style="thin">
          <color rgb="FF000000"/>
        </bottom>
        <vertical/>
        <horizontal/>
      </border>
    </dxf>
    <dxf>
      <font>
        <b/>
        <i val="0"/>
        <strike val="0"/>
        <condense val="0"/>
        <extend val="0"/>
        <outline val="0"/>
        <shadow val="0"/>
        <u val="none"/>
        <vertAlign val="baseline"/>
        <sz val="10"/>
        <color theme="1"/>
        <name val="Aptos Narrow"/>
        <family val="2"/>
        <scheme val="minor"/>
      </font>
      <border diagonalUp="0" diagonalDown="0">
        <left/>
        <right style="thin">
          <color rgb="FF000000"/>
        </right>
        <top style="thin">
          <color rgb="FF000000"/>
        </top>
        <bottom style="thin">
          <color rgb="FF000000"/>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Aptos Narrow"/>
        <family val="2"/>
        <scheme val="minor"/>
      </font>
    </dxf>
    <dxf>
      <font>
        <b/>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9"/>
        <color rgb="FF0070C0"/>
        <name val="SF Pro Text"/>
        <family val="3"/>
        <scheme val="none"/>
      </font>
      <fill>
        <patternFill patternType="solid">
          <fgColor indexed="64"/>
          <bgColor theme="0"/>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font>
        <b val="0"/>
        <i val="0"/>
        <strike val="0"/>
        <condense val="0"/>
        <extend val="0"/>
        <outline val="0"/>
        <shadow val="0"/>
        <u val="none"/>
        <vertAlign val="baseline"/>
        <sz val="9"/>
        <color rgb="FF38434D"/>
        <name val="SF Pro Text"/>
        <family val="3"/>
        <scheme val="none"/>
      </font>
      <fill>
        <patternFill patternType="solid">
          <fgColor indexed="64"/>
          <bgColor theme="0"/>
        </patternFill>
      </fill>
      <alignment horizontal="left" vertical="bottom" textRotation="0" wrapText="0" indent="1"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dxf>
    <dxf>
      <border outline="0">
        <bottom style="thin">
          <color theme="0" tint="-0.14999847407452621"/>
        </bottom>
      </border>
    </dxf>
    <dxf>
      <font>
        <b/>
        <i val="0"/>
        <strike val="0"/>
        <condense val="0"/>
        <extend val="0"/>
        <outline val="0"/>
        <shadow val="0"/>
        <u val="none"/>
        <vertAlign val="baseline"/>
        <sz val="9"/>
        <color rgb="FF38434D"/>
        <name val="SF Pro Text"/>
        <scheme val="none"/>
      </font>
      <fill>
        <patternFill patternType="solid">
          <fgColor indexed="64"/>
          <bgColor theme="0"/>
        </patternFill>
      </fill>
    </dxf>
    <dxf>
      <font>
        <b val="0"/>
        <i val="0"/>
        <strike val="0"/>
        <condense val="0"/>
        <extend val="0"/>
        <outline val="0"/>
        <shadow val="0"/>
        <u val="none"/>
        <vertAlign val="baseline"/>
        <sz val="11"/>
        <color rgb="FF0070C0"/>
        <name val="Aptos Narrow"/>
        <family val="2"/>
        <scheme val="minor"/>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rgb="FF0070C0"/>
        <name val="Aptos Narrow"/>
        <family val="2"/>
        <scheme val="minor"/>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70C0"/>
        <name val="Aptos Narrow"/>
        <family val="2"/>
        <scheme val="minor"/>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70C0"/>
        <name val="Aptos Narrow"/>
        <family val="2"/>
        <scheme val="minor"/>
      </fon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70C0"/>
        <name val="Aptos Narrow"/>
        <family val="2"/>
        <scheme val="minor"/>
      </font>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70C0"/>
        <name val="Aptos Narrow"/>
        <family val="2"/>
        <scheme val="minor"/>
      </font>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indexed="8"/>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Medium9"/>
  <colors>
    <mruColors>
      <color rgb="FF38434D"/>
      <color rgb="FF00733B"/>
      <color rgb="FFA4A37E"/>
      <color rgb="FFF5F5E7"/>
      <color rgb="FFF5F9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microsoft.com/office/2017/06/relationships/rdRichValue" Target="richData/rdrichvalue.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microsoft.com/office/2022/11/relationships/FeaturePropertyBag" Target="featurePropertyBag/featurePropertyBag.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microsoft.com/office/2017/06/relationships/rdRichValueStructure" Target="richData/rdrichvaluestructure.xml"/><Relationship Id="rId43" Type="http://schemas.microsoft.com/office/2011/relationships/webextensionTaskPanes" Target="webextensions/taskpan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22/10/relationships/richValueRel" Target="richData/richValueRel.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C1C2A4"/>
            </a:solidFill>
            <a:ln>
              <a:solidFill>
                <a:srgbClr val="EAE9CB"/>
              </a:solidFill>
              <a:prstDash val="solid"/>
            </a:ln>
            <a:effectLst/>
          </c:spPr>
          <c:invertIfNegative val="0"/>
          <c:cat>
            <c:numRef>
              <c:f>'ARR Dashboard'!$D$26:$O$26</c:f>
              <c:numCache>
                <c:formatCode>mmm\-yy</c:formatCode>
                <c:ptCount val="12"/>
                <c:pt idx="0">
                  <c:v>45688</c:v>
                </c:pt>
                <c:pt idx="1">
                  <c:v>45716</c:v>
                </c:pt>
                <c:pt idx="2">
                  <c:v>45747</c:v>
                </c:pt>
                <c:pt idx="3">
                  <c:v>45777</c:v>
                </c:pt>
                <c:pt idx="4">
                  <c:v>45808</c:v>
                </c:pt>
                <c:pt idx="5">
                  <c:v>45838</c:v>
                </c:pt>
                <c:pt idx="6">
                  <c:v>45869</c:v>
                </c:pt>
                <c:pt idx="7">
                  <c:v>45900</c:v>
                </c:pt>
                <c:pt idx="8">
                  <c:v>45930</c:v>
                </c:pt>
                <c:pt idx="9">
                  <c:v>45961</c:v>
                </c:pt>
                <c:pt idx="10">
                  <c:v>45991</c:v>
                </c:pt>
                <c:pt idx="11">
                  <c:v>46022</c:v>
                </c:pt>
              </c:numCache>
            </c:numRef>
          </c:cat>
          <c:val>
            <c:numRef>
              <c:f>'ARR Dashboard'!$D$32:$O$32</c:f>
              <c:numCache>
                <c:formatCode>_([$$-409]* #,##0_);_([$$-409]* \(#,##0\);_([$$-409]* "-"??_);_(@_)</c:formatCode>
                <c:ptCount val="12"/>
                <c:pt idx="0">
                  <c:v>369000</c:v>
                </c:pt>
                <c:pt idx="1">
                  <c:v>374500</c:v>
                </c:pt>
                <c:pt idx="2">
                  <c:v>382000</c:v>
                </c:pt>
                <c:pt idx="3">
                  <c:v>402000</c:v>
                </c:pt>
                <c:pt idx="4">
                  <c:v>407500</c:v>
                </c:pt>
                <c:pt idx="5">
                  <c:v>415000</c:v>
                </c:pt>
                <c:pt idx="6">
                  <c:v>435000</c:v>
                </c:pt>
                <c:pt idx="7">
                  <c:v>440500</c:v>
                </c:pt>
                <c:pt idx="8">
                  <c:v>448000</c:v>
                </c:pt>
                <c:pt idx="9">
                  <c:v>468000</c:v>
                </c:pt>
                <c:pt idx="10">
                  <c:v>473500</c:v>
                </c:pt>
                <c:pt idx="11">
                  <c:v>481000</c:v>
                </c:pt>
              </c:numCache>
            </c:numRef>
          </c:val>
          <c:extLst>
            <c:ext xmlns:c16="http://schemas.microsoft.com/office/drawing/2014/chart" uri="{C3380CC4-5D6E-409C-BE32-E72D297353CC}">
              <c16:uniqueId val="{00000000-4BB2-4074-8C6E-08F03340586A}"/>
            </c:ext>
          </c:extLst>
        </c:ser>
        <c:dLbls>
          <c:showLegendKey val="0"/>
          <c:showVal val="0"/>
          <c:showCatName val="0"/>
          <c:showSerName val="0"/>
          <c:showPercent val="0"/>
          <c:showBubbleSize val="0"/>
        </c:dLbls>
        <c:gapWidth val="219"/>
        <c:overlap val="-27"/>
        <c:axId val="1729219456"/>
        <c:axId val="1729220416"/>
      </c:barChart>
      <c:dateAx>
        <c:axId val="172921945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29220416"/>
        <c:crosses val="autoZero"/>
        <c:auto val="1"/>
        <c:lblOffset val="100"/>
        <c:baseTimeUnit val="months"/>
      </c:dateAx>
      <c:valAx>
        <c:axId val="1729220416"/>
        <c:scaling>
          <c:orientation val="minMax"/>
        </c:scaling>
        <c:delete val="0"/>
        <c:axPos val="l"/>
        <c:majorGridlines>
          <c:spPr>
            <a:ln w="9525" cap="flat" cmpd="sng" algn="ctr">
              <a:solidFill>
                <a:schemeClr val="tx1">
                  <a:lumMod val="15000"/>
                  <a:lumOff val="85000"/>
                </a:schemeClr>
              </a:solidFill>
              <a:round/>
            </a:ln>
            <a:effectLst/>
          </c:spPr>
        </c:majorGridlines>
        <c:numFmt formatCode="_([$$-409]* #,##0_);_([$$-409]* \(#,##0\);_([$$-409]*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2921945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AE9CB"/>
              </a:solidFill>
              <a:ln w="19050">
                <a:solidFill>
                  <a:schemeClr val="lt1"/>
                </a:solidFill>
              </a:ln>
              <a:effectLst/>
            </c:spPr>
            <c:extLst>
              <c:ext xmlns:c16="http://schemas.microsoft.com/office/drawing/2014/chart" uri="{C3380CC4-5D6E-409C-BE32-E72D297353CC}">
                <c16:uniqueId val="{00000001-979E-471A-936F-E6A9DCE0BB04}"/>
              </c:ext>
            </c:extLst>
          </c:dPt>
          <c:dPt>
            <c:idx val="1"/>
            <c:bubble3D val="0"/>
            <c:spPr>
              <a:solidFill>
                <a:schemeClr val="bg1">
                  <a:lumMod val="95000"/>
                </a:schemeClr>
              </a:solidFill>
              <a:ln w="19050">
                <a:solidFill>
                  <a:schemeClr val="lt1"/>
                </a:solidFill>
              </a:ln>
              <a:effectLst/>
            </c:spPr>
            <c:extLst>
              <c:ext xmlns:c16="http://schemas.microsoft.com/office/drawing/2014/chart" uri="{C3380CC4-5D6E-409C-BE32-E72D297353CC}">
                <c16:uniqueId val="{00000003-979E-471A-936F-E6A9DCE0BB04}"/>
              </c:ext>
            </c:extLst>
          </c:dPt>
          <c:dPt>
            <c:idx val="2"/>
            <c:bubble3D val="0"/>
            <c:spPr>
              <a:solidFill>
                <a:srgbClr val="718184"/>
              </a:solidFill>
              <a:ln w="19050">
                <a:solidFill>
                  <a:schemeClr val="lt1"/>
                </a:solidFill>
              </a:ln>
              <a:effectLst/>
            </c:spPr>
            <c:extLst>
              <c:ext xmlns:c16="http://schemas.microsoft.com/office/drawing/2014/chart" uri="{C3380CC4-5D6E-409C-BE32-E72D297353CC}">
                <c16:uniqueId val="{00000005-979E-471A-936F-E6A9DCE0BB04}"/>
              </c:ext>
            </c:extLst>
          </c:dPt>
          <c:dPt>
            <c:idx val="3"/>
            <c:bubble3D val="0"/>
            <c:spPr>
              <a:solidFill>
                <a:schemeClr val="bg1">
                  <a:lumMod val="95000"/>
                </a:schemeClr>
              </a:solidFill>
              <a:ln w="19050">
                <a:solidFill>
                  <a:schemeClr val="lt1"/>
                </a:solidFill>
              </a:ln>
              <a:effectLst/>
            </c:spPr>
            <c:extLst>
              <c:ext xmlns:c16="http://schemas.microsoft.com/office/drawing/2014/chart" uri="{C3380CC4-5D6E-409C-BE32-E72D297353CC}">
                <c16:uniqueId val="{00000007-979E-471A-936F-E6A9DCE0BB04}"/>
              </c:ext>
            </c:extLst>
          </c:dPt>
          <c:val>
            <c:numRef>
              <c:f>'Budget vs Actuals'!$X$16:$AA$16</c:f>
              <c:numCache>
                <c:formatCode>0%</c:formatCode>
                <c:ptCount val="4"/>
                <c:pt idx="0">
                  <c:v>0.1</c:v>
                </c:pt>
                <c:pt idx="1">
                  <c:v>0.9</c:v>
                </c:pt>
                <c:pt idx="2">
                  <c:v>0</c:v>
                </c:pt>
                <c:pt idx="3">
                  <c:v>0</c:v>
                </c:pt>
              </c:numCache>
            </c:numRef>
          </c:val>
          <c:extLst>
            <c:ext xmlns:c16="http://schemas.microsoft.com/office/drawing/2014/chart" uri="{C3380CC4-5D6E-409C-BE32-E72D297353CC}">
              <c16:uniqueId val="{00000008-979E-471A-936F-E6A9DCE0BB04}"/>
            </c:ext>
          </c:extLst>
        </c:ser>
        <c:dLbls>
          <c:showLegendKey val="0"/>
          <c:showVal val="0"/>
          <c:showCatName val="0"/>
          <c:showSerName val="0"/>
          <c:showPercent val="0"/>
          <c:showBubbleSize val="0"/>
          <c:showLeaderLines val="1"/>
        </c:dLbls>
        <c:firstSliceAng val="0"/>
        <c:holeSize val="9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AE9CB"/>
              </a:solidFill>
              <a:ln w="19050">
                <a:solidFill>
                  <a:schemeClr val="lt1"/>
                </a:solidFill>
              </a:ln>
              <a:effectLst/>
            </c:spPr>
            <c:extLst>
              <c:ext xmlns:c16="http://schemas.microsoft.com/office/drawing/2014/chart" uri="{C3380CC4-5D6E-409C-BE32-E72D297353CC}">
                <c16:uniqueId val="{00000001-C9D0-4BA5-9F5D-719C923A395C}"/>
              </c:ext>
            </c:extLst>
          </c:dPt>
          <c:dPt>
            <c:idx val="1"/>
            <c:bubble3D val="0"/>
            <c:spPr>
              <a:solidFill>
                <a:schemeClr val="bg1">
                  <a:lumMod val="95000"/>
                </a:schemeClr>
              </a:solidFill>
              <a:ln w="19050">
                <a:solidFill>
                  <a:schemeClr val="lt1"/>
                </a:solidFill>
              </a:ln>
              <a:effectLst/>
            </c:spPr>
            <c:extLst>
              <c:ext xmlns:c16="http://schemas.microsoft.com/office/drawing/2014/chart" uri="{C3380CC4-5D6E-409C-BE32-E72D297353CC}">
                <c16:uniqueId val="{00000003-C9D0-4BA5-9F5D-719C923A395C}"/>
              </c:ext>
            </c:extLst>
          </c:dPt>
          <c:dPt>
            <c:idx val="2"/>
            <c:bubble3D val="0"/>
            <c:spPr>
              <a:solidFill>
                <a:srgbClr val="718184"/>
              </a:solidFill>
              <a:ln w="19050">
                <a:solidFill>
                  <a:schemeClr val="lt1"/>
                </a:solidFill>
              </a:ln>
              <a:effectLst/>
            </c:spPr>
            <c:extLst>
              <c:ext xmlns:c16="http://schemas.microsoft.com/office/drawing/2014/chart" uri="{C3380CC4-5D6E-409C-BE32-E72D297353CC}">
                <c16:uniqueId val="{00000005-C9D0-4BA5-9F5D-719C923A395C}"/>
              </c:ext>
            </c:extLst>
          </c:dPt>
          <c:dPt>
            <c:idx val="3"/>
            <c:bubble3D val="0"/>
            <c:spPr>
              <a:solidFill>
                <a:schemeClr val="bg1">
                  <a:lumMod val="95000"/>
                </a:schemeClr>
              </a:solidFill>
              <a:ln w="19050">
                <a:solidFill>
                  <a:schemeClr val="lt1"/>
                </a:solidFill>
              </a:ln>
              <a:effectLst/>
            </c:spPr>
            <c:extLst>
              <c:ext xmlns:c16="http://schemas.microsoft.com/office/drawing/2014/chart" uri="{C3380CC4-5D6E-409C-BE32-E72D297353CC}">
                <c16:uniqueId val="{00000007-C9D0-4BA5-9F5D-719C923A395C}"/>
              </c:ext>
            </c:extLst>
          </c:dPt>
          <c:val>
            <c:numRef>
              <c:f>'Budget vs Actuals'!$X$17:$AA$17</c:f>
              <c:numCache>
                <c:formatCode>0%</c:formatCode>
                <c:ptCount val="4"/>
                <c:pt idx="0">
                  <c:v>0.72099795273377898</c:v>
                </c:pt>
                <c:pt idx="1">
                  <c:v>0.27900204726622102</c:v>
                </c:pt>
                <c:pt idx="2">
                  <c:v>0</c:v>
                </c:pt>
                <c:pt idx="3">
                  <c:v>0</c:v>
                </c:pt>
              </c:numCache>
            </c:numRef>
          </c:val>
          <c:extLst>
            <c:ext xmlns:c16="http://schemas.microsoft.com/office/drawing/2014/chart" uri="{C3380CC4-5D6E-409C-BE32-E72D297353CC}">
              <c16:uniqueId val="{00000008-C9D0-4BA5-9F5D-719C923A395C}"/>
            </c:ext>
          </c:extLst>
        </c:ser>
        <c:dLbls>
          <c:showLegendKey val="0"/>
          <c:showVal val="0"/>
          <c:showCatName val="0"/>
          <c:showSerName val="0"/>
          <c:showPercent val="0"/>
          <c:showBubbleSize val="0"/>
          <c:showLeaderLines val="1"/>
        </c:dLbls>
        <c:firstSliceAng val="0"/>
        <c:holeSize val="9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AE9CB"/>
              </a:solidFill>
              <a:ln w="19050">
                <a:solidFill>
                  <a:schemeClr val="lt1"/>
                </a:solidFill>
              </a:ln>
              <a:effectLst/>
            </c:spPr>
            <c:extLst>
              <c:ext xmlns:c16="http://schemas.microsoft.com/office/drawing/2014/chart" uri="{C3380CC4-5D6E-409C-BE32-E72D297353CC}">
                <c16:uniqueId val="{00000001-3B60-465C-AD0D-3E1A4EF7CAA6}"/>
              </c:ext>
            </c:extLst>
          </c:dPt>
          <c:dPt>
            <c:idx val="1"/>
            <c:bubble3D val="0"/>
            <c:spPr>
              <a:solidFill>
                <a:schemeClr val="bg1">
                  <a:lumMod val="95000"/>
                </a:schemeClr>
              </a:solidFill>
              <a:ln w="19050">
                <a:solidFill>
                  <a:schemeClr val="lt1"/>
                </a:solidFill>
              </a:ln>
              <a:effectLst/>
            </c:spPr>
            <c:extLst>
              <c:ext xmlns:c16="http://schemas.microsoft.com/office/drawing/2014/chart" uri="{C3380CC4-5D6E-409C-BE32-E72D297353CC}">
                <c16:uniqueId val="{00000003-3B60-465C-AD0D-3E1A4EF7CAA6}"/>
              </c:ext>
            </c:extLst>
          </c:dPt>
          <c:dPt>
            <c:idx val="2"/>
            <c:bubble3D val="0"/>
            <c:spPr>
              <a:solidFill>
                <a:srgbClr val="718184"/>
              </a:solidFill>
              <a:ln w="19050">
                <a:solidFill>
                  <a:schemeClr val="lt1"/>
                </a:solidFill>
              </a:ln>
              <a:effectLst/>
            </c:spPr>
            <c:extLst>
              <c:ext xmlns:c16="http://schemas.microsoft.com/office/drawing/2014/chart" uri="{C3380CC4-5D6E-409C-BE32-E72D297353CC}">
                <c16:uniqueId val="{00000005-3B60-465C-AD0D-3E1A4EF7CAA6}"/>
              </c:ext>
            </c:extLst>
          </c:dPt>
          <c:dPt>
            <c:idx val="3"/>
            <c:bubble3D val="0"/>
            <c:spPr>
              <a:solidFill>
                <a:schemeClr val="bg1">
                  <a:lumMod val="95000"/>
                </a:schemeClr>
              </a:solidFill>
              <a:ln w="19050">
                <a:solidFill>
                  <a:schemeClr val="lt1"/>
                </a:solidFill>
              </a:ln>
              <a:effectLst/>
            </c:spPr>
            <c:extLst>
              <c:ext xmlns:c16="http://schemas.microsoft.com/office/drawing/2014/chart" uri="{C3380CC4-5D6E-409C-BE32-E72D297353CC}">
                <c16:uniqueId val="{00000007-3B60-465C-AD0D-3E1A4EF7CAA6}"/>
              </c:ext>
            </c:extLst>
          </c:dPt>
          <c:val>
            <c:numRef>
              <c:f>'Budget vs Actuals'!$X$18:$AA$18</c:f>
              <c:numCache>
                <c:formatCode>0%</c:formatCode>
                <c:ptCount val="4"/>
                <c:pt idx="0">
                  <c:v>0</c:v>
                </c:pt>
                <c:pt idx="1">
                  <c:v>0</c:v>
                </c:pt>
                <c:pt idx="2">
                  <c:v>0.38754461740670448</c:v>
                </c:pt>
                <c:pt idx="3">
                  <c:v>0.61245538259329546</c:v>
                </c:pt>
              </c:numCache>
            </c:numRef>
          </c:val>
          <c:extLst>
            <c:ext xmlns:c16="http://schemas.microsoft.com/office/drawing/2014/chart" uri="{C3380CC4-5D6E-409C-BE32-E72D297353CC}">
              <c16:uniqueId val="{00000008-3B60-465C-AD0D-3E1A4EF7CAA6}"/>
            </c:ext>
          </c:extLst>
        </c:ser>
        <c:dLbls>
          <c:showLegendKey val="0"/>
          <c:showVal val="0"/>
          <c:showCatName val="0"/>
          <c:showSerName val="0"/>
          <c:showPercent val="0"/>
          <c:showBubbleSize val="0"/>
          <c:showLeaderLines val="1"/>
        </c:dLbls>
        <c:firstSliceAng val="0"/>
        <c:holeSize val="9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EAE9CB"/>
              </a:solidFill>
              <a:ln w="19050">
                <a:solidFill>
                  <a:schemeClr val="lt1"/>
                </a:solidFill>
              </a:ln>
              <a:effectLst/>
            </c:spPr>
            <c:extLst>
              <c:ext xmlns:c16="http://schemas.microsoft.com/office/drawing/2014/chart" uri="{C3380CC4-5D6E-409C-BE32-E72D297353CC}">
                <c16:uniqueId val="{00000001-2506-49E9-94AB-9E6245EE8F0D}"/>
              </c:ext>
            </c:extLst>
          </c:dPt>
          <c:dPt>
            <c:idx val="1"/>
            <c:bubble3D val="0"/>
            <c:spPr>
              <a:solidFill>
                <a:schemeClr val="bg1">
                  <a:lumMod val="95000"/>
                </a:schemeClr>
              </a:solidFill>
              <a:ln w="19050">
                <a:solidFill>
                  <a:schemeClr val="lt1"/>
                </a:solidFill>
              </a:ln>
              <a:effectLst/>
            </c:spPr>
            <c:extLst>
              <c:ext xmlns:c16="http://schemas.microsoft.com/office/drawing/2014/chart" uri="{C3380CC4-5D6E-409C-BE32-E72D297353CC}">
                <c16:uniqueId val="{00000003-2506-49E9-94AB-9E6245EE8F0D}"/>
              </c:ext>
            </c:extLst>
          </c:dPt>
          <c:dPt>
            <c:idx val="2"/>
            <c:bubble3D val="0"/>
            <c:spPr>
              <a:solidFill>
                <a:srgbClr val="718184"/>
              </a:solidFill>
              <a:ln w="19050">
                <a:solidFill>
                  <a:schemeClr val="lt1"/>
                </a:solidFill>
              </a:ln>
              <a:effectLst/>
            </c:spPr>
            <c:extLst>
              <c:ext xmlns:c16="http://schemas.microsoft.com/office/drawing/2014/chart" uri="{C3380CC4-5D6E-409C-BE32-E72D297353CC}">
                <c16:uniqueId val="{00000005-2506-49E9-94AB-9E6245EE8F0D}"/>
              </c:ext>
            </c:extLst>
          </c:dPt>
          <c:dPt>
            <c:idx val="3"/>
            <c:bubble3D val="0"/>
            <c:spPr>
              <a:solidFill>
                <a:schemeClr val="bg1">
                  <a:lumMod val="95000"/>
                </a:schemeClr>
              </a:solidFill>
              <a:ln w="19050">
                <a:solidFill>
                  <a:schemeClr val="lt1"/>
                </a:solidFill>
              </a:ln>
              <a:effectLst/>
            </c:spPr>
            <c:extLst>
              <c:ext xmlns:c16="http://schemas.microsoft.com/office/drawing/2014/chart" uri="{C3380CC4-5D6E-409C-BE32-E72D297353CC}">
                <c16:uniqueId val="{00000007-2506-49E9-94AB-9E6245EE8F0D}"/>
              </c:ext>
            </c:extLst>
          </c:dPt>
          <c:val>
            <c:numRef>
              <c:f>'Budget vs Actuals'!$X$19:$AA$19</c:f>
              <c:numCache>
                <c:formatCode>0%</c:formatCode>
                <c:ptCount val="4"/>
                <c:pt idx="0">
                  <c:v>0</c:v>
                </c:pt>
                <c:pt idx="1">
                  <c:v>0</c:v>
                </c:pt>
                <c:pt idx="2">
                  <c:v>3.5791247011867637E-2</c:v>
                </c:pt>
                <c:pt idx="3">
                  <c:v>0.96420875298813236</c:v>
                </c:pt>
              </c:numCache>
            </c:numRef>
          </c:val>
          <c:extLst>
            <c:ext xmlns:c16="http://schemas.microsoft.com/office/drawing/2014/chart" uri="{C3380CC4-5D6E-409C-BE32-E72D297353CC}">
              <c16:uniqueId val="{00000008-2506-49E9-94AB-9E6245EE8F0D}"/>
            </c:ext>
          </c:extLst>
        </c:ser>
        <c:dLbls>
          <c:showLegendKey val="0"/>
          <c:showVal val="0"/>
          <c:showCatName val="0"/>
          <c:showSerName val="0"/>
          <c:showPercent val="0"/>
          <c:showBubbleSize val="0"/>
          <c:showLeaderLines val="1"/>
        </c:dLbls>
        <c:firstSliceAng val="0"/>
        <c:holeSize val="9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plotArea>
      <cx:plotAreaRegion>
        <cx:series layoutId="waterfall" uniqueId="{89C85171-E275-4681-A310-E2A0239BD516}">
          <cx:dataPt idx="0">
            <cx:spPr>
              <a:solidFill>
                <a:srgbClr val="38434D"/>
              </a:solidFill>
            </cx:spPr>
          </cx:dataPt>
          <cx:dataPt idx="1">
            <cx:spPr>
              <a:solidFill>
                <a:srgbClr val="C1C2A4"/>
              </a:solidFill>
            </cx:spPr>
          </cx:dataPt>
          <cx:dataPt idx="2">
            <cx:spPr>
              <a:solidFill>
                <a:srgbClr val="D0D0D0"/>
              </a:solidFill>
            </cx:spPr>
          </cx:dataPt>
          <cx:dataPt idx="3">
            <cx:spPr>
              <a:solidFill>
                <a:srgbClr val="C1C2A4">
                  <a:alpha val="98824"/>
                </a:srgbClr>
              </a:solidFill>
            </cx:spPr>
          </cx:dataPt>
          <cx:dataPt idx="4">
            <cx:spPr>
              <a:solidFill>
                <a:srgbClr val="D0D0D0"/>
              </a:solidFill>
            </cx:spPr>
          </cx:dataPt>
          <cx:dataPt idx="5">
            <cx:spPr>
              <a:solidFill>
                <a:srgbClr val="38434D"/>
              </a:solidFill>
            </cx:spPr>
          </cx:dataPt>
          <cx:dataLabels pos="outEnd">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sz="1200"/>
              </a:p>
            </cx:txPr>
            <cx:visibility seriesName="0" categoryName="0" value="1"/>
          </cx:dataLabels>
          <cx:dataId val="0"/>
          <cx:layoutPr>
            <cx:subtotals>
              <cx:idx val="5"/>
            </cx:subtotals>
          </cx:layoutPr>
        </cx:series>
      </cx:plotAreaRegion>
      <cx:axis id="0">
        <cx:catScaling gapWidth="0.5"/>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sz="1200"/>
          </a:p>
        </cx:txPr>
      </cx:axis>
      <cx:axis id="1" hidden="1">
        <cx:valScaling/>
        <cx:tickLabels/>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5.xml.rels><?xml version="1.0" encoding="UTF-8" standalone="yes"?>
<Relationships xmlns="http://schemas.openxmlformats.org/package/2006/relationships"><Relationship Id="rId2" Type="http://schemas.microsoft.com/office/2014/relationships/chartEx" Target="../charts/chartEx1.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oneCellAnchor>
    <xdr:from>
      <xdr:col>1</xdr:col>
      <xdr:colOff>62413</xdr:colOff>
      <xdr:row>0</xdr:row>
      <xdr:rowOff>167601</xdr:rowOff>
    </xdr:from>
    <xdr:ext cx="480099" cy="480099"/>
    <xdr:pic>
      <xdr:nvPicPr>
        <xdr:cNvPr id="2" name="Picture 1">
          <a:extLst>
            <a:ext uri="{FF2B5EF4-FFF2-40B4-BE49-F238E27FC236}">
              <a16:creationId xmlns:a16="http://schemas.microsoft.com/office/drawing/2014/main" id="{ED283C7F-BCB3-2146-827F-13E49E3C21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02113" y="167601"/>
          <a:ext cx="480099" cy="480099"/>
        </a:xfrm>
        <a:prstGeom prst="rect">
          <a:avLst/>
        </a:prstGeom>
        <a:ln>
          <a:solidFill>
            <a:schemeClr val="bg1">
              <a:lumMod val="95000"/>
            </a:schemeClr>
          </a:solidFill>
        </a:ln>
      </xdr:spPr>
    </xdr:pic>
    <xdr:clientData/>
  </xdr:oneCellAnchor>
  <xdr:oneCellAnchor>
    <xdr:from>
      <xdr:col>9</xdr:col>
      <xdr:colOff>80963</xdr:colOff>
      <xdr:row>9</xdr:row>
      <xdr:rowOff>192069</xdr:rowOff>
    </xdr:from>
    <xdr:ext cx="6934200" cy="3542053"/>
    <xdr:pic>
      <xdr:nvPicPr>
        <xdr:cNvPr id="3" name="Picture 2">
          <a:extLst>
            <a:ext uri="{FF2B5EF4-FFF2-40B4-BE49-F238E27FC236}">
              <a16:creationId xmlns:a16="http://schemas.microsoft.com/office/drawing/2014/main" id="{F0011C96-0940-BC43-BACF-71A11EDC41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4243388" y="2106594"/>
          <a:ext cx="6934200" cy="354205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169325</xdr:colOff>
      <xdr:row>40</xdr:row>
      <xdr:rowOff>160763</xdr:rowOff>
    </xdr:from>
    <xdr:to>
      <xdr:col>2</xdr:col>
      <xdr:colOff>500743</xdr:colOff>
      <xdr:row>41</xdr:row>
      <xdr:rowOff>52253</xdr:rowOff>
    </xdr:to>
    <xdr:sp macro="" textlink="">
      <xdr:nvSpPr>
        <xdr:cNvPr id="2" name="Rectangle 1">
          <a:extLst>
            <a:ext uri="{FF2B5EF4-FFF2-40B4-BE49-F238E27FC236}">
              <a16:creationId xmlns:a16="http://schemas.microsoft.com/office/drawing/2014/main" id="{4DB960F6-4E3A-0B48-80A2-B7E0C53B3C19}"/>
            </a:ext>
          </a:extLst>
        </xdr:cNvPr>
        <xdr:cNvSpPr/>
      </xdr:nvSpPr>
      <xdr:spPr>
        <a:xfrm>
          <a:off x="1515525" y="7780763"/>
          <a:ext cx="331418" cy="81990"/>
        </a:xfrm>
        <a:prstGeom prst="rect">
          <a:avLst/>
        </a:prstGeom>
        <a:solidFill>
          <a:srgbClr val="71818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2</xdr:col>
      <xdr:colOff>35037</xdr:colOff>
      <xdr:row>10</xdr:row>
      <xdr:rowOff>92257</xdr:rowOff>
    </xdr:from>
    <xdr:ext cx="517563" cy="528228"/>
    <xdr:pic>
      <xdr:nvPicPr>
        <xdr:cNvPr id="3" name="Picture 2">
          <a:extLst>
            <a:ext uri="{FF2B5EF4-FFF2-40B4-BE49-F238E27FC236}">
              <a16:creationId xmlns:a16="http://schemas.microsoft.com/office/drawing/2014/main" id="{47686216-4493-4E4C-99A9-F89E9A9182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1237" y="1997257"/>
          <a:ext cx="517563" cy="528228"/>
        </a:xfrm>
        <a:prstGeom prst="rect">
          <a:avLst/>
        </a:prstGeom>
      </xdr:spPr>
    </xdr:pic>
    <xdr:clientData/>
  </xdr:oneCellAnchor>
  <xdr:oneCellAnchor>
    <xdr:from>
      <xdr:col>10</xdr:col>
      <xdr:colOff>353396</xdr:colOff>
      <xdr:row>9</xdr:row>
      <xdr:rowOff>94127</xdr:rowOff>
    </xdr:from>
    <xdr:ext cx="6929146" cy="6971349"/>
    <xdr:pic>
      <xdr:nvPicPr>
        <xdr:cNvPr id="4" name="Picture 3">
          <a:extLst>
            <a:ext uri="{FF2B5EF4-FFF2-40B4-BE49-F238E27FC236}">
              <a16:creationId xmlns:a16="http://schemas.microsoft.com/office/drawing/2014/main" id="{5615B148-7613-2E40-9A57-7F2AF4F78F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084396" y="1808627"/>
          <a:ext cx="6929146" cy="6971349"/>
        </a:xfrm>
        <a:prstGeom prst="rect">
          <a:avLst/>
        </a:prstGeom>
      </xdr:spPr>
    </xdr:pic>
    <xdr:clientData/>
  </xdr:oneCellAnchor>
  <xdr:twoCellAnchor>
    <xdr:from>
      <xdr:col>1</xdr:col>
      <xdr:colOff>0</xdr:colOff>
      <xdr:row>1</xdr:row>
      <xdr:rowOff>7621</xdr:rowOff>
    </xdr:from>
    <xdr:to>
      <xdr:col>22</xdr:col>
      <xdr:colOff>0</xdr:colOff>
      <xdr:row>5</xdr:row>
      <xdr:rowOff>0</xdr:rowOff>
    </xdr:to>
    <xdr:sp macro="" textlink="">
      <xdr:nvSpPr>
        <xdr:cNvPr id="5" name="Rectangle: Rounded Corners 4">
          <a:extLst>
            <a:ext uri="{FF2B5EF4-FFF2-40B4-BE49-F238E27FC236}">
              <a16:creationId xmlns:a16="http://schemas.microsoft.com/office/drawing/2014/main" id="{373BE6AA-52D6-0043-B5C1-AE7AC86627DC}"/>
            </a:ext>
          </a:extLst>
        </xdr:cNvPr>
        <xdr:cNvSpPr/>
      </xdr:nvSpPr>
      <xdr:spPr>
        <a:xfrm>
          <a:off x="673100" y="198121"/>
          <a:ext cx="14135100" cy="754379"/>
        </a:xfrm>
        <a:prstGeom prst="roundRect">
          <a:avLst>
            <a:gd name="adj" fmla="val 12439"/>
          </a:avLst>
        </a:prstGeom>
        <a:noFill/>
        <a:ln w="6350">
          <a:solidFill>
            <a:srgbClr val="E5EAF0"/>
          </a:solidFill>
        </a:ln>
        <a:effectLst>
          <a:outerShdw blurRad="127000" sx="102000" sy="102000" algn="ctr" rotWithShape="0">
            <a:prstClr val="black">
              <a:alpha val="2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effectLst>
              <a:outerShdw blurRad="50800" dist="50800" dir="5400000" sx="162000" sy="162000" algn="ctr" rotWithShape="0">
                <a:srgbClr val="FF0000">
                  <a:alpha val="37000"/>
                </a:srgb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7621</xdr:rowOff>
    </xdr:from>
    <xdr:to>
      <xdr:col>23</xdr:col>
      <xdr:colOff>0</xdr:colOff>
      <xdr:row>5</xdr:row>
      <xdr:rowOff>0</xdr:rowOff>
    </xdr:to>
    <xdr:sp macro="" textlink="">
      <xdr:nvSpPr>
        <xdr:cNvPr id="2" name="Rectangle: Rounded Corners 1">
          <a:extLst>
            <a:ext uri="{FF2B5EF4-FFF2-40B4-BE49-F238E27FC236}">
              <a16:creationId xmlns:a16="http://schemas.microsoft.com/office/drawing/2014/main" id="{30B9D4E0-E993-D049-B835-0DF12BB8A954}"/>
            </a:ext>
          </a:extLst>
        </xdr:cNvPr>
        <xdr:cNvSpPr/>
      </xdr:nvSpPr>
      <xdr:spPr>
        <a:xfrm>
          <a:off x="673100" y="198121"/>
          <a:ext cx="14808200" cy="754379"/>
        </a:xfrm>
        <a:prstGeom prst="roundRect">
          <a:avLst>
            <a:gd name="adj" fmla="val 12439"/>
          </a:avLst>
        </a:prstGeom>
        <a:noFill/>
        <a:ln w="6350">
          <a:solidFill>
            <a:srgbClr val="E5EAF0"/>
          </a:solidFill>
        </a:ln>
        <a:effectLst>
          <a:outerShdw blurRad="127000" sx="102000" sy="102000" algn="ctr" rotWithShape="0">
            <a:prstClr val="black">
              <a:alpha val="2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effectLst>
              <a:outerShdw blurRad="50800" dist="50800" dir="5400000" sx="162000" sy="162000" algn="ctr" rotWithShape="0">
                <a:srgbClr val="FF0000">
                  <a:alpha val="37000"/>
                </a:srgbClr>
              </a:outerShdw>
            </a:effectLst>
          </a:endParaRPr>
        </a:p>
      </xdr:txBody>
    </xdr:sp>
    <xdr:clientData/>
  </xdr:twoCellAnchor>
  <xdr:oneCellAnchor>
    <xdr:from>
      <xdr:col>1</xdr:col>
      <xdr:colOff>62341</xdr:colOff>
      <xdr:row>9</xdr:row>
      <xdr:rowOff>56672</xdr:rowOff>
    </xdr:from>
    <xdr:ext cx="168436" cy="169268"/>
    <xdr:pic>
      <xdr:nvPicPr>
        <xdr:cNvPr id="3" name="Picture 2">
          <a:extLst>
            <a:ext uri="{FF2B5EF4-FFF2-40B4-BE49-F238E27FC236}">
              <a16:creationId xmlns:a16="http://schemas.microsoft.com/office/drawing/2014/main" id="{EE3DF976-2242-5E42-92E9-98D839372F47}"/>
            </a:ext>
          </a:extLst>
        </xdr:cNvPr>
        <xdr:cNvPicPr>
          <a:picLocks noChangeAspect="1"/>
        </xdr:cNvPicPr>
      </xdr:nvPicPr>
      <xdr:blipFill>
        <a:blip xmlns:r="http://schemas.openxmlformats.org/officeDocument/2006/relationships" r:embed="rId1"/>
        <a:stretch>
          <a:fillRect/>
        </a:stretch>
      </xdr:blipFill>
      <xdr:spPr>
        <a:xfrm>
          <a:off x="735441" y="1771172"/>
          <a:ext cx="168436" cy="169268"/>
        </a:xfrm>
        <a:prstGeom prst="rect">
          <a:avLst/>
        </a:prstGeom>
      </xdr:spPr>
    </xdr:pic>
    <xdr:clientData/>
  </xdr:oneCellAnchor>
  <xdr:oneCellAnchor>
    <xdr:from>
      <xdr:col>12</xdr:col>
      <xdr:colOff>58344</xdr:colOff>
      <xdr:row>9</xdr:row>
      <xdr:rowOff>50346</xdr:rowOff>
    </xdr:from>
    <xdr:ext cx="172161" cy="176763"/>
    <xdr:pic>
      <xdr:nvPicPr>
        <xdr:cNvPr id="4" name="Picture 3">
          <a:extLst>
            <a:ext uri="{FF2B5EF4-FFF2-40B4-BE49-F238E27FC236}">
              <a16:creationId xmlns:a16="http://schemas.microsoft.com/office/drawing/2014/main" id="{273D311D-4D71-9B45-AFE0-B0C4DD6F4435}"/>
            </a:ext>
          </a:extLst>
        </xdr:cNvPr>
        <xdr:cNvPicPr>
          <a:picLocks noChangeAspect="1"/>
        </xdr:cNvPicPr>
      </xdr:nvPicPr>
      <xdr:blipFill>
        <a:blip xmlns:r="http://schemas.openxmlformats.org/officeDocument/2006/relationships" r:embed="rId2"/>
        <a:stretch>
          <a:fillRect/>
        </a:stretch>
      </xdr:blipFill>
      <xdr:spPr>
        <a:xfrm>
          <a:off x="8135544" y="1764846"/>
          <a:ext cx="172161" cy="176763"/>
        </a:xfrm>
        <a:prstGeom prst="rect">
          <a:avLst/>
        </a:prstGeom>
      </xdr:spPr>
    </xdr:pic>
    <xdr:clientData/>
  </xdr:oneCellAnchor>
  <xdr:oneCellAnchor>
    <xdr:from>
      <xdr:col>12</xdr:col>
      <xdr:colOff>63090</xdr:colOff>
      <xdr:row>10</xdr:row>
      <xdr:rowOff>56198</xdr:rowOff>
    </xdr:from>
    <xdr:ext cx="167415" cy="169899"/>
    <xdr:pic>
      <xdr:nvPicPr>
        <xdr:cNvPr id="5" name="Picture 4">
          <a:extLst>
            <a:ext uri="{FF2B5EF4-FFF2-40B4-BE49-F238E27FC236}">
              <a16:creationId xmlns:a16="http://schemas.microsoft.com/office/drawing/2014/main" id="{B6F9AB40-8A34-1641-AF78-DFCDEBD133A9}"/>
            </a:ext>
          </a:extLst>
        </xdr:cNvPr>
        <xdr:cNvPicPr>
          <a:picLocks noChangeAspect="1"/>
        </xdr:cNvPicPr>
      </xdr:nvPicPr>
      <xdr:blipFill>
        <a:blip xmlns:r="http://schemas.openxmlformats.org/officeDocument/2006/relationships" r:embed="rId3"/>
        <a:stretch>
          <a:fillRect/>
        </a:stretch>
      </xdr:blipFill>
      <xdr:spPr>
        <a:xfrm>
          <a:off x="8140290" y="1961198"/>
          <a:ext cx="167415" cy="169899"/>
        </a:xfrm>
        <a:prstGeom prst="rect">
          <a:avLst/>
        </a:prstGeom>
      </xdr:spPr>
    </xdr:pic>
    <xdr:clientData/>
  </xdr:oneCellAnchor>
  <xdr:oneCellAnchor>
    <xdr:from>
      <xdr:col>1</xdr:col>
      <xdr:colOff>58138</xdr:colOff>
      <xdr:row>10</xdr:row>
      <xdr:rowOff>39807</xdr:rowOff>
    </xdr:from>
    <xdr:ext cx="172368" cy="172779"/>
    <xdr:pic>
      <xdr:nvPicPr>
        <xdr:cNvPr id="6" name="Picture 5">
          <a:extLst>
            <a:ext uri="{FF2B5EF4-FFF2-40B4-BE49-F238E27FC236}">
              <a16:creationId xmlns:a16="http://schemas.microsoft.com/office/drawing/2014/main" id="{BB2D2E8D-44F3-2242-BC97-47C99F15EF00}"/>
            </a:ext>
          </a:extLst>
        </xdr:cNvPr>
        <xdr:cNvPicPr>
          <a:picLocks noChangeAspect="1"/>
        </xdr:cNvPicPr>
      </xdr:nvPicPr>
      <xdr:blipFill>
        <a:blip xmlns:r="http://schemas.openxmlformats.org/officeDocument/2006/relationships" r:embed="rId4"/>
        <a:stretch>
          <a:fillRect/>
        </a:stretch>
      </xdr:blipFill>
      <xdr:spPr>
        <a:xfrm>
          <a:off x="731238" y="1944807"/>
          <a:ext cx="172368" cy="17277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5</xdr:col>
      <xdr:colOff>58615</xdr:colOff>
      <xdr:row>12</xdr:row>
      <xdr:rowOff>111369</xdr:rowOff>
    </xdr:from>
    <xdr:ext cx="359700" cy="360677"/>
    <xdr:pic>
      <xdr:nvPicPr>
        <xdr:cNvPr id="2" name="Picture 1">
          <a:extLst>
            <a:ext uri="{FF2B5EF4-FFF2-40B4-BE49-F238E27FC236}">
              <a16:creationId xmlns:a16="http://schemas.microsoft.com/office/drawing/2014/main" id="{33EA7E98-B15C-B243-8677-72666BF430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4115" y="2397369"/>
          <a:ext cx="359700" cy="360677"/>
        </a:xfrm>
        <a:prstGeom prst="rect">
          <a:avLst/>
        </a:prstGeom>
      </xdr:spPr>
    </xdr:pic>
    <xdr:clientData/>
  </xdr:oneCellAnchor>
  <xdr:oneCellAnchor>
    <xdr:from>
      <xdr:col>5</xdr:col>
      <xdr:colOff>58615</xdr:colOff>
      <xdr:row>23</xdr:row>
      <xdr:rowOff>128015</xdr:rowOff>
    </xdr:from>
    <xdr:ext cx="359700" cy="359700"/>
    <xdr:pic>
      <xdr:nvPicPr>
        <xdr:cNvPr id="3" name="Picture 2">
          <a:extLst>
            <a:ext uri="{FF2B5EF4-FFF2-40B4-BE49-F238E27FC236}">
              <a16:creationId xmlns:a16="http://schemas.microsoft.com/office/drawing/2014/main" id="{18D7202E-9478-9044-A9B2-B31A80AF4A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4115" y="4509515"/>
          <a:ext cx="359700" cy="359700"/>
        </a:xfrm>
        <a:prstGeom prst="rect">
          <a:avLst/>
        </a:prstGeom>
      </xdr:spPr>
    </xdr:pic>
    <xdr:clientData/>
  </xdr:oneCellAnchor>
  <xdr:oneCellAnchor>
    <xdr:from>
      <xdr:col>17</xdr:col>
      <xdr:colOff>59677</xdr:colOff>
      <xdr:row>12</xdr:row>
      <xdr:rowOff>111369</xdr:rowOff>
    </xdr:from>
    <xdr:ext cx="359700" cy="360677"/>
    <xdr:pic>
      <xdr:nvPicPr>
        <xdr:cNvPr id="4" name="Picture 3">
          <a:extLst>
            <a:ext uri="{FF2B5EF4-FFF2-40B4-BE49-F238E27FC236}">
              <a16:creationId xmlns:a16="http://schemas.microsoft.com/office/drawing/2014/main" id="{616522BE-166F-6F4E-89E6-775676EF197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02377" y="2397369"/>
          <a:ext cx="359700" cy="360677"/>
        </a:xfrm>
        <a:prstGeom prst="rect">
          <a:avLst/>
        </a:prstGeom>
      </xdr:spPr>
    </xdr:pic>
    <xdr:clientData/>
  </xdr:oneCellAnchor>
  <xdr:oneCellAnchor>
    <xdr:from>
      <xdr:col>17</xdr:col>
      <xdr:colOff>59677</xdr:colOff>
      <xdr:row>23</xdr:row>
      <xdr:rowOff>128015</xdr:rowOff>
    </xdr:from>
    <xdr:ext cx="359700" cy="359700"/>
    <xdr:pic>
      <xdr:nvPicPr>
        <xdr:cNvPr id="5" name="Picture 4">
          <a:extLst>
            <a:ext uri="{FF2B5EF4-FFF2-40B4-BE49-F238E27FC236}">
              <a16:creationId xmlns:a16="http://schemas.microsoft.com/office/drawing/2014/main" id="{B332D33E-980A-084F-A120-4B324078458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502377" y="4509515"/>
          <a:ext cx="359700" cy="359700"/>
        </a:xfrm>
        <a:prstGeom prst="rect">
          <a:avLst/>
        </a:prstGeom>
      </xdr:spPr>
    </xdr:pic>
    <xdr:clientData/>
  </xdr:oneCellAnchor>
  <xdr:oneCellAnchor>
    <xdr:from>
      <xdr:col>11</xdr:col>
      <xdr:colOff>59566</xdr:colOff>
      <xdr:row>12</xdr:row>
      <xdr:rowOff>111369</xdr:rowOff>
    </xdr:from>
    <xdr:ext cx="359700" cy="360677"/>
    <xdr:pic>
      <xdr:nvPicPr>
        <xdr:cNvPr id="6" name="Picture 5">
          <a:extLst>
            <a:ext uri="{FF2B5EF4-FFF2-40B4-BE49-F238E27FC236}">
              <a16:creationId xmlns:a16="http://schemas.microsoft.com/office/drawing/2014/main" id="{9F899D9D-FECE-7048-8E73-4E95051978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463666" y="2397369"/>
          <a:ext cx="359700" cy="360677"/>
        </a:xfrm>
        <a:prstGeom prst="rect">
          <a:avLst/>
        </a:prstGeom>
      </xdr:spPr>
    </xdr:pic>
    <xdr:clientData/>
  </xdr:oneCellAnchor>
  <xdr:oneCellAnchor>
    <xdr:from>
      <xdr:col>11</xdr:col>
      <xdr:colOff>59566</xdr:colOff>
      <xdr:row>23</xdr:row>
      <xdr:rowOff>128015</xdr:rowOff>
    </xdr:from>
    <xdr:ext cx="359700" cy="359700"/>
    <xdr:pic>
      <xdr:nvPicPr>
        <xdr:cNvPr id="7" name="Picture 6">
          <a:extLst>
            <a:ext uri="{FF2B5EF4-FFF2-40B4-BE49-F238E27FC236}">
              <a16:creationId xmlns:a16="http://schemas.microsoft.com/office/drawing/2014/main" id="{60734F4D-FC33-4C4F-8E2F-0A3DBE33EE2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63666" y="4509515"/>
          <a:ext cx="359700" cy="359700"/>
        </a:xfrm>
        <a:prstGeom prst="rect">
          <a:avLst/>
        </a:prstGeom>
      </xdr:spPr>
    </xdr:pic>
    <xdr:clientData/>
  </xdr:oneCellAnchor>
  <xdr:oneCellAnchor>
    <xdr:from>
      <xdr:col>23</xdr:col>
      <xdr:colOff>37768</xdr:colOff>
      <xdr:row>12</xdr:row>
      <xdr:rowOff>111369</xdr:rowOff>
    </xdr:from>
    <xdr:ext cx="359700" cy="360677"/>
    <xdr:pic>
      <xdr:nvPicPr>
        <xdr:cNvPr id="8" name="Picture 7">
          <a:extLst>
            <a:ext uri="{FF2B5EF4-FFF2-40B4-BE49-F238E27FC236}">
              <a16:creationId xmlns:a16="http://schemas.microsoft.com/office/drawing/2014/main" id="{59579F17-9D6B-EF4B-81D4-DED8645C98B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519068" y="2397369"/>
          <a:ext cx="359700" cy="360677"/>
        </a:xfrm>
        <a:prstGeom prst="rect">
          <a:avLst/>
        </a:prstGeom>
      </xdr:spPr>
    </xdr:pic>
    <xdr:clientData/>
  </xdr:oneCellAnchor>
  <xdr:oneCellAnchor>
    <xdr:from>
      <xdr:col>23</xdr:col>
      <xdr:colOff>37768</xdr:colOff>
      <xdr:row>23</xdr:row>
      <xdr:rowOff>128015</xdr:rowOff>
    </xdr:from>
    <xdr:ext cx="359700" cy="359700"/>
    <xdr:pic>
      <xdr:nvPicPr>
        <xdr:cNvPr id="9" name="Picture 8">
          <a:extLst>
            <a:ext uri="{FF2B5EF4-FFF2-40B4-BE49-F238E27FC236}">
              <a16:creationId xmlns:a16="http://schemas.microsoft.com/office/drawing/2014/main" id="{CD4A19A7-9A0B-074D-8536-ABA9C7EC56C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519068" y="4509515"/>
          <a:ext cx="359700" cy="3597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8</xdr:col>
      <xdr:colOff>392023</xdr:colOff>
      <xdr:row>16</xdr:row>
      <xdr:rowOff>657225</xdr:rowOff>
    </xdr:to>
    <xdr:grpSp>
      <xdr:nvGrpSpPr>
        <xdr:cNvPr id="2" name="Group 31">
          <a:extLst>
            <a:ext uri="{FF2B5EF4-FFF2-40B4-BE49-F238E27FC236}">
              <a16:creationId xmlns:a16="http://schemas.microsoft.com/office/drawing/2014/main" id="{736F8444-67A1-4711-AECB-127E3A0468F5}"/>
            </a:ext>
            <a:ext uri="{147F2762-F138-4A5C-976F-8EAC2B608ADB}">
              <a16:predDERef xmlns:a16="http://schemas.microsoft.com/office/drawing/2014/main" pred="{4F10192C-466C-47B9-B4EE-F3EDC09F5104}"/>
            </a:ext>
          </a:extLst>
        </xdr:cNvPr>
        <xdr:cNvGrpSpPr/>
      </xdr:nvGrpSpPr>
      <xdr:grpSpPr>
        <a:xfrm>
          <a:off x="333375" y="936625"/>
          <a:ext cx="6059398" cy="3324225"/>
          <a:chOff x="1504951" y="771526"/>
          <a:chExt cx="6048375" cy="3857624"/>
        </a:xfrm>
      </xdr:grpSpPr>
      <xdr:graphicFrame macro="">
        <xdr:nvGraphicFramePr>
          <xdr:cNvPr id="3" name="Chart 2">
            <a:extLst>
              <a:ext uri="{FF2B5EF4-FFF2-40B4-BE49-F238E27FC236}">
                <a16:creationId xmlns:a16="http://schemas.microsoft.com/office/drawing/2014/main" id="{938090B8-7A03-8480-F2D2-D629D2868890}"/>
              </a:ext>
              <a:ext uri="{147F2762-F138-4A5C-976F-8EAC2B608ADB}">
                <a16:predDERef xmlns:a16="http://schemas.microsoft.com/office/drawing/2014/main" pred="{B0752641-7190-1B1E-D1F7-4F2F11CF23A5}"/>
              </a:ext>
            </a:extLst>
          </xdr:cNvPr>
          <xdr:cNvGraphicFramePr>
            <a:graphicFrameLocks/>
          </xdr:cNvGraphicFramePr>
        </xdr:nvGraphicFramePr>
        <xdr:xfrm>
          <a:off x="1647826" y="1447800"/>
          <a:ext cx="5667374" cy="3076575"/>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4" name="Group 30">
            <a:extLst>
              <a:ext uri="{FF2B5EF4-FFF2-40B4-BE49-F238E27FC236}">
                <a16:creationId xmlns:a16="http://schemas.microsoft.com/office/drawing/2014/main" id="{3C0921A7-5A4E-3605-A919-7B7B1287C6DF}"/>
              </a:ext>
            </a:extLst>
          </xdr:cNvPr>
          <xdr:cNvGrpSpPr/>
        </xdr:nvGrpSpPr>
        <xdr:grpSpPr>
          <a:xfrm>
            <a:off x="1504951" y="771526"/>
            <a:ext cx="6048375" cy="3857624"/>
            <a:chOff x="1504951" y="771526"/>
            <a:chExt cx="6048375" cy="3857624"/>
          </a:xfrm>
        </xdr:grpSpPr>
        <xdr:sp macro="" textlink="">
          <xdr:nvSpPr>
            <xdr:cNvPr id="5" name="Rectangle 26">
              <a:extLst>
                <a:ext uri="{FF2B5EF4-FFF2-40B4-BE49-F238E27FC236}">
                  <a16:creationId xmlns:a16="http://schemas.microsoft.com/office/drawing/2014/main" id="{55E7E322-B8FD-D2B9-5924-63FA00C261D3}"/>
                </a:ext>
                <a:ext uri="{147F2762-F138-4A5C-976F-8EAC2B608ADB}">
                  <a16:predDERef xmlns:a16="http://schemas.microsoft.com/office/drawing/2014/main" pred="{53E8F973-31E6-406E-A826-FC317F13D251}"/>
                </a:ext>
              </a:extLst>
            </xdr:cNvPr>
            <xdr:cNvSpPr/>
          </xdr:nvSpPr>
          <xdr:spPr>
            <a:xfrm>
              <a:off x="1628776" y="857251"/>
              <a:ext cx="5762624" cy="428624"/>
            </a:xfrm>
            <a:prstGeom prst="rect">
              <a:avLst/>
            </a:prstGeom>
            <a:solidFill>
              <a:srgbClr val="38434D"/>
            </a:solidFill>
            <a:ln>
              <a:no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marL="0" indent="0" algn="ctr"/>
              <a:r>
                <a:rPr lang="en-US" sz="2400" b="1" i="0" u="none" strike="noStrike">
                  <a:solidFill>
                    <a:schemeClr val="bg1"/>
                  </a:solidFill>
                  <a:latin typeface="Aptos Narrow" panose="020B0004020202020204" pitchFamily="34" charset="0"/>
                </a:rPr>
                <a:t>Summary</a:t>
              </a:r>
            </a:p>
          </xdr:txBody>
        </xdr:sp>
        <xdr:sp macro="" textlink="">
          <xdr:nvSpPr>
            <xdr:cNvPr id="6" name="Rectangle 27">
              <a:extLst>
                <a:ext uri="{FF2B5EF4-FFF2-40B4-BE49-F238E27FC236}">
                  <a16:creationId xmlns:a16="http://schemas.microsoft.com/office/drawing/2014/main" id="{977D092D-7B80-4A33-B5D4-D681C9E428F4}"/>
                </a:ext>
                <a:ext uri="{147F2762-F138-4A5C-976F-8EAC2B608ADB}">
                  <a16:predDERef xmlns:a16="http://schemas.microsoft.com/office/drawing/2014/main" pred="{F53D89E8-1757-E218-F8C8-C4664B243F2F}"/>
                </a:ext>
              </a:extLst>
            </xdr:cNvPr>
            <xdr:cNvSpPr/>
          </xdr:nvSpPr>
          <xdr:spPr>
            <a:xfrm>
              <a:off x="1504951" y="771526"/>
              <a:ext cx="6048375" cy="3857624"/>
            </a:xfrm>
            <a:prstGeom prst="rect">
              <a:avLst/>
            </a:prstGeom>
            <a:noFill/>
            <a:ln w="9525">
              <a:solidFill>
                <a:schemeClr val="tx1">
                  <a:lumMod val="50000"/>
                  <a:lumOff val="50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spcFirstLastPara="0" vertOverflow="clip" horzOverflow="clip" wrap="square" lIns="91440" tIns="45720" rIns="91440" bIns="45720" rtlCol="0" anchor="t">
              <a:noAutofit/>
            </a:bodyPr>
            <a:lstStyle/>
            <a:p>
              <a:pPr marL="0" indent="0" algn="l"/>
              <a:endParaRPr lang="en-US" sz="1100">
                <a:solidFill>
                  <a:schemeClr val="lt1"/>
                </a:solidFill>
                <a:latin typeface="+mn-lt"/>
                <a:ea typeface="+mn-lt"/>
                <a:cs typeface="+mn-lt"/>
              </a:endParaRPr>
            </a:p>
          </xdr:txBody>
        </xdr:sp>
      </xdr:grpSp>
    </xdr:grpSp>
    <xdr:clientData/>
  </xdr:twoCellAnchor>
  <xdr:twoCellAnchor>
    <xdr:from>
      <xdr:col>8</xdr:col>
      <xdr:colOff>657225</xdr:colOff>
      <xdr:row>2</xdr:row>
      <xdr:rowOff>0</xdr:rowOff>
    </xdr:from>
    <xdr:to>
      <xdr:col>15</xdr:col>
      <xdr:colOff>29970</xdr:colOff>
      <xdr:row>16</xdr:row>
      <xdr:rowOff>657225</xdr:rowOff>
    </xdr:to>
    <xdr:grpSp>
      <xdr:nvGrpSpPr>
        <xdr:cNvPr id="7" name="Group 32">
          <a:extLst>
            <a:ext uri="{FF2B5EF4-FFF2-40B4-BE49-F238E27FC236}">
              <a16:creationId xmlns:a16="http://schemas.microsoft.com/office/drawing/2014/main" id="{4669A907-8753-4E24-9FD7-8EEE215E56A4}"/>
            </a:ext>
            <a:ext uri="{147F2762-F138-4A5C-976F-8EAC2B608ADB}">
              <a16:predDERef xmlns:a16="http://schemas.microsoft.com/office/drawing/2014/main" pred="{4CC38787-50CA-4C4A-B618-2B90DA4ADEBD}"/>
            </a:ext>
          </a:extLst>
        </xdr:cNvPr>
        <xdr:cNvGrpSpPr/>
      </xdr:nvGrpSpPr>
      <xdr:grpSpPr>
        <a:xfrm>
          <a:off x="6657975" y="936625"/>
          <a:ext cx="5817995" cy="3324225"/>
          <a:chOff x="7991476" y="762001"/>
          <a:chExt cx="6638924" cy="3857624"/>
        </a:xfrm>
      </xdr:grpSpPr>
      <mc:AlternateContent xmlns:mc="http://schemas.openxmlformats.org/markup-compatibility/2006">
        <mc:Choice xmlns:cx1="http://schemas.microsoft.com/office/drawing/2015/9/8/chartex" Requires="cx1">
          <xdr:graphicFrame macro="">
            <xdr:nvGraphicFramePr>
              <xdr:cNvPr id="8" name="Chart 2">
                <a:extLst>
                  <a:ext uri="{FF2B5EF4-FFF2-40B4-BE49-F238E27FC236}">
                    <a16:creationId xmlns:a16="http://schemas.microsoft.com/office/drawing/2014/main" id="{6305D25B-6EF2-1ABC-153F-9CFDF5CE6B6C}"/>
                  </a:ext>
                </a:extLst>
              </xdr:cNvPr>
              <xdr:cNvGraphicFramePr/>
            </xdr:nvGraphicFramePr>
            <xdr:xfrm>
              <a:off x="8134351" y="1390650"/>
              <a:ext cx="6210300" cy="304800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8134351" y="1390650"/>
                <a:ext cx="6210300" cy="30480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sp macro="" textlink="">
        <xdr:nvSpPr>
          <xdr:cNvPr id="9" name="Rectangle 28">
            <a:extLst>
              <a:ext uri="{FF2B5EF4-FFF2-40B4-BE49-F238E27FC236}">
                <a16:creationId xmlns:a16="http://schemas.microsoft.com/office/drawing/2014/main" id="{A99A1EDE-4654-66BA-50A2-638A67D1A7FE}"/>
              </a:ext>
              <a:ext uri="{147F2762-F138-4A5C-976F-8EAC2B608ADB}">
                <a16:predDERef xmlns:a16="http://schemas.microsoft.com/office/drawing/2014/main" pred="{49EA66C4-CA86-A44B-13F4-66E1122D2626}"/>
              </a:ext>
            </a:extLst>
          </xdr:cNvPr>
          <xdr:cNvSpPr/>
        </xdr:nvSpPr>
        <xdr:spPr>
          <a:xfrm>
            <a:off x="7991476" y="762001"/>
            <a:ext cx="6638924" cy="3857624"/>
          </a:xfrm>
          <a:prstGeom prst="rect">
            <a:avLst/>
          </a:prstGeom>
          <a:noFill/>
          <a:ln w="9525">
            <a:solidFill>
              <a:srgbClr val="EAE9CB">
                <a:alpha val="0"/>
              </a:srgb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l"/>
            <a:endParaRPr lang="en-US" sz="1100">
              <a:solidFill>
                <a:schemeClr val="lt1"/>
              </a:solidFill>
              <a:latin typeface="+mn-lt"/>
              <a:ea typeface="+mn-lt"/>
              <a:cs typeface="+mn-lt"/>
            </a:endParaRPr>
          </a:p>
        </xdr:txBody>
      </xdr:sp>
      <xdr:sp macro="" textlink="">
        <xdr:nvSpPr>
          <xdr:cNvPr id="10" name="Rectangle 29">
            <a:extLst>
              <a:ext uri="{FF2B5EF4-FFF2-40B4-BE49-F238E27FC236}">
                <a16:creationId xmlns:a16="http://schemas.microsoft.com/office/drawing/2014/main" id="{AC7E45E3-80CA-2A46-AE40-ABD5500FFB6D}"/>
              </a:ext>
              <a:ext uri="{147F2762-F138-4A5C-976F-8EAC2B608ADB}">
                <a16:predDERef xmlns:a16="http://schemas.microsoft.com/office/drawing/2014/main" pred="{C40B0366-673B-4218-A79D-4AC14B448313}"/>
              </a:ext>
            </a:extLst>
          </xdr:cNvPr>
          <xdr:cNvSpPr/>
        </xdr:nvSpPr>
        <xdr:spPr>
          <a:xfrm>
            <a:off x="8077201" y="847726"/>
            <a:ext cx="6419850" cy="428624"/>
          </a:xfrm>
          <a:prstGeom prst="rect">
            <a:avLst/>
          </a:prstGeom>
          <a:solidFill>
            <a:srgbClr val="38434D"/>
          </a:solidFill>
          <a:ln>
            <a:solidFill>
              <a:srgbClr val="EAE9CB">
                <a:alpha val="0"/>
              </a:srgbClr>
            </a:solidFill>
          </a:ln>
        </xdr:spPr>
        <xdr:style>
          <a:lnRef idx="1">
            <a:schemeClr val="accent4"/>
          </a:lnRef>
          <a:fillRef idx="3">
            <a:schemeClr val="accent4"/>
          </a:fillRef>
          <a:effectRef idx="2">
            <a:schemeClr val="accent4"/>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2400" b="1" i="0" u="none" strike="noStrike">
                <a:solidFill>
                  <a:schemeClr val="bg1"/>
                </a:solidFill>
                <a:latin typeface="Aptos Narrow" panose="020B0004020202020204" pitchFamily="34" charset="0"/>
              </a:rPr>
              <a:t>Detail</a:t>
            </a:r>
          </a:p>
        </xdr:txBody>
      </xdr:sp>
    </xdr:grpSp>
    <xdr:clientData/>
  </xdr:twoCellAnchor>
  <xdr:twoCellAnchor>
    <xdr:from>
      <xdr:col>4</xdr:col>
      <xdr:colOff>123515</xdr:colOff>
      <xdr:row>16</xdr:row>
      <xdr:rowOff>838200</xdr:rowOff>
    </xdr:from>
    <xdr:to>
      <xdr:col>6</xdr:col>
      <xdr:colOff>213431</xdr:colOff>
      <xdr:row>24</xdr:row>
      <xdr:rowOff>29337</xdr:rowOff>
    </xdr:to>
    <xdr:grpSp>
      <xdr:nvGrpSpPr>
        <xdr:cNvPr id="11" name="Group 8">
          <a:extLst>
            <a:ext uri="{FF2B5EF4-FFF2-40B4-BE49-F238E27FC236}">
              <a16:creationId xmlns:a16="http://schemas.microsoft.com/office/drawing/2014/main" id="{8E7B62DB-4CF4-4F83-8DD5-E09522387646}"/>
            </a:ext>
            <a:ext uri="{147F2762-F138-4A5C-976F-8EAC2B608ADB}">
              <a16:predDERef xmlns:a16="http://schemas.microsoft.com/office/drawing/2014/main" pred="{9B88DF1D-154A-40B7-86C2-46AD5286B341}"/>
            </a:ext>
          </a:extLst>
        </xdr:cNvPr>
        <xdr:cNvGrpSpPr/>
      </xdr:nvGrpSpPr>
      <xdr:grpSpPr>
        <a:xfrm>
          <a:off x="2441265" y="4441825"/>
          <a:ext cx="1931416" cy="1667637"/>
          <a:chOff x="285750" y="4648200"/>
          <a:chExt cx="1962150" cy="1524000"/>
        </a:xfrm>
      </xdr:grpSpPr>
      <xdr:sp macro="" textlink="">
        <xdr:nvSpPr>
          <xdr:cNvPr id="12" name="Rectangle: Rounded Corners 9">
            <a:extLst>
              <a:ext uri="{FF2B5EF4-FFF2-40B4-BE49-F238E27FC236}">
                <a16:creationId xmlns:a16="http://schemas.microsoft.com/office/drawing/2014/main" id="{0E79C860-64F7-4BAA-19A7-31292964B00D}"/>
              </a:ext>
            </a:extLst>
          </xdr:cNvPr>
          <xdr:cNvSpPr/>
        </xdr:nvSpPr>
        <xdr:spPr>
          <a:xfrm>
            <a:off x="285750" y="4648200"/>
            <a:ext cx="1962150" cy="1524000"/>
          </a:xfrm>
          <a:prstGeom prst="roundRect">
            <a:avLst>
              <a:gd name="adj" fmla="val 1042"/>
            </a:avLst>
          </a:prstGeom>
          <a:no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Rectangle: Top Corners Rounded 10">
            <a:extLst>
              <a:ext uri="{FF2B5EF4-FFF2-40B4-BE49-F238E27FC236}">
                <a16:creationId xmlns:a16="http://schemas.microsoft.com/office/drawing/2014/main" id="{0E171224-7116-1FB4-DF06-3163B6AAB1AD}"/>
              </a:ext>
            </a:extLst>
          </xdr:cNvPr>
          <xdr:cNvSpPr/>
        </xdr:nvSpPr>
        <xdr:spPr>
          <a:xfrm>
            <a:off x="288925" y="4650318"/>
            <a:ext cx="1955800" cy="61382"/>
          </a:xfrm>
          <a:prstGeom prst="round2SameRect">
            <a:avLst/>
          </a:prstGeom>
          <a:solidFill>
            <a:srgbClr val="F5F5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123515</xdr:colOff>
      <xdr:row>16</xdr:row>
      <xdr:rowOff>904876</xdr:rowOff>
    </xdr:from>
    <xdr:to>
      <xdr:col>6</xdr:col>
      <xdr:colOff>213431</xdr:colOff>
      <xdr:row>18</xdr:row>
      <xdr:rowOff>40310</xdr:rowOff>
    </xdr:to>
    <xdr:sp macro="" textlink="">
      <xdr:nvSpPr>
        <xdr:cNvPr id="14" name="TextBox 11">
          <a:extLst>
            <a:ext uri="{FF2B5EF4-FFF2-40B4-BE49-F238E27FC236}">
              <a16:creationId xmlns:a16="http://schemas.microsoft.com/office/drawing/2014/main" id="{19AC47A5-DF70-4FD4-858F-3FD513CB6E4F}"/>
            </a:ext>
            <a:ext uri="{147F2762-F138-4A5C-976F-8EAC2B608ADB}">
              <a16:predDERef xmlns:a16="http://schemas.microsoft.com/office/drawing/2014/main" pred="{0F2D27C2-8049-41FB-B519-668E68946744}"/>
            </a:ext>
          </a:extLst>
        </xdr:cNvPr>
        <xdr:cNvSpPr txBox="1"/>
      </xdr:nvSpPr>
      <xdr:spPr>
        <a:xfrm>
          <a:off x="2457140" y="4505326"/>
          <a:ext cx="1899666" cy="468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n-US" sz="1800" b="1">
              <a:solidFill>
                <a:srgbClr val="38434D"/>
              </a:solidFill>
            </a:rPr>
            <a:t>NEW</a:t>
          </a:r>
        </a:p>
      </xdr:txBody>
    </xdr:sp>
    <xdr:clientData/>
  </xdr:twoCellAnchor>
  <xdr:twoCellAnchor>
    <xdr:from>
      <xdr:col>4</xdr:col>
      <xdr:colOff>123515</xdr:colOff>
      <xdr:row>18</xdr:row>
      <xdr:rowOff>71438</xdr:rowOff>
    </xdr:from>
    <xdr:to>
      <xdr:col>6</xdr:col>
      <xdr:colOff>189300</xdr:colOff>
      <xdr:row>21</xdr:row>
      <xdr:rowOff>22099</xdr:rowOff>
    </xdr:to>
    <xdr:sp macro="" textlink="$T$3">
      <xdr:nvSpPr>
        <xdr:cNvPr id="15" name="TextBox 12">
          <a:extLst>
            <a:ext uri="{FF2B5EF4-FFF2-40B4-BE49-F238E27FC236}">
              <a16:creationId xmlns:a16="http://schemas.microsoft.com/office/drawing/2014/main" id="{9E8F79C9-D8C4-4F63-9CB9-54F0F2C7AF3F}"/>
            </a:ext>
            <a:ext uri="{147F2762-F138-4A5C-976F-8EAC2B608ADB}">
              <a16:predDERef xmlns:a16="http://schemas.microsoft.com/office/drawing/2014/main" pred="{D229F5FF-E3DB-4F9F-A110-FD8F58B90A3C}"/>
            </a:ext>
          </a:extLst>
        </xdr:cNvPr>
        <xdr:cNvSpPr txBox="1"/>
      </xdr:nvSpPr>
      <xdr:spPr>
        <a:xfrm>
          <a:off x="2457140" y="5005388"/>
          <a:ext cx="1875535" cy="522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1F8436B-49EC-4C7B-857A-4A77682712DB}" type="TxLink">
            <a:rPr lang="en-US" sz="2400" b="0" i="0" u="none" strike="noStrike">
              <a:solidFill>
                <a:srgbClr val="38434D"/>
              </a:solidFill>
              <a:latin typeface="Aptos Narrow"/>
              <a:ea typeface="+mn-ea"/>
              <a:cs typeface="+mn-cs"/>
            </a:rPr>
            <a:pPr marL="0" indent="0" algn="ctr"/>
            <a:t> 120,000 </a:t>
          </a:fld>
          <a:endParaRPr lang="en-US" sz="2400" b="0" i="0" u="none" strike="noStrike">
            <a:solidFill>
              <a:srgbClr val="38434D"/>
            </a:solidFill>
            <a:latin typeface="Aptos Narrow"/>
            <a:ea typeface="+mn-ea"/>
            <a:cs typeface="+mn-cs"/>
          </a:endParaRPr>
        </a:p>
      </xdr:txBody>
    </xdr:sp>
    <xdr:clientData/>
  </xdr:twoCellAnchor>
  <xdr:twoCellAnchor>
    <xdr:from>
      <xdr:col>4</xdr:col>
      <xdr:colOff>123514</xdr:colOff>
      <xdr:row>20</xdr:row>
      <xdr:rowOff>185737</xdr:rowOff>
    </xdr:from>
    <xdr:to>
      <xdr:col>6</xdr:col>
      <xdr:colOff>222574</xdr:colOff>
      <xdr:row>23</xdr:row>
      <xdr:rowOff>98298</xdr:rowOff>
    </xdr:to>
    <xdr:sp macro="" textlink="$T$9">
      <xdr:nvSpPr>
        <xdr:cNvPr id="16" name="TextBox 12">
          <a:extLst>
            <a:ext uri="{FF2B5EF4-FFF2-40B4-BE49-F238E27FC236}">
              <a16:creationId xmlns:a16="http://schemas.microsoft.com/office/drawing/2014/main" id="{6607DAAD-1A94-4EC9-840D-04987EF53145}"/>
            </a:ext>
            <a:ext uri="{147F2762-F138-4A5C-976F-8EAC2B608ADB}">
              <a16:predDERef xmlns:a16="http://schemas.microsoft.com/office/drawing/2014/main" pred="{6DB867DE-2AFE-490C-A350-F04B3EC37097}"/>
            </a:ext>
          </a:extLst>
        </xdr:cNvPr>
        <xdr:cNvSpPr txBox="1"/>
      </xdr:nvSpPr>
      <xdr:spPr>
        <a:xfrm>
          <a:off x="2457139" y="5500687"/>
          <a:ext cx="1908810" cy="484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1F7EDB2-5E18-4BF8-AE50-5F70629BEF94}" type="TxLink">
            <a:rPr lang="en-US" sz="1400" b="0" i="0" u="none" strike="noStrike">
              <a:solidFill>
                <a:srgbClr val="38434D"/>
              </a:solidFill>
              <a:latin typeface="Aptos Narrow"/>
              <a:ea typeface="+mn-ea"/>
              <a:cs typeface="+mn-cs"/>
            </a:rPr>
            <a:pPr marL="0" indent="0" algn="ctr"/>
            <a:t>34%</a:t>
          </a:fld>
          <a:endParaRPr lang="en-US" sz="1400" b="0" i="0" u="none" strike="noStrike">
            <a:solidFill>
              <a:srgbClr val="38434D"/>
            </a:solidFill>
            <a:latin typeface="Aptos Narrow"/>
            <a:ea typeface="+mn-ea"/>
            <a:cs typeface="+mn-cs"/>
          </a:endParaRPr>
        </a:p>
      </xdr:txBody>
    </xdr:sp>
    <xdr:clientData/>
  </xdr:twoCellAnchor>
  <xdr:twoCellAnchor>
    <xdr:from>
      <xdr:col>6</xdr:col>
      <xdr:colOff>494677</xdr:colOff>
      <xdr:row>16</xdr:row>
      <xdr:rowOff>838200</xdr:rowOff>
    </xdr:from>
    <xdr:to>
      <xdr:col>8</xdr:col>
      <xdr:colOff>375043</xdr:colOff>
      <xdr:row>24</xdr:row>
      <xdr:rowOff>29337</xdr:rowOff>
    </xdr:to>
    <xdr:grpSp>
      <xdr:nvGrpSpPr>
        <xdr:cNvPr id="17" name="Group 13">
          <a:extLst>
            <a:ext uri="{FF2B5EF4-FFF2-40B4-BE49-F238E27FC236}">
              <a16:creationId xmlns:a16="http://schemas.microsoft.com/office/drawing/2014/main" id="{07DEF8C8-C2CB-4AD4-8B2B-FA5C8F24123D}"/>
            </a:ext>
            <a:ext uri="{147F2762-F138-4A5C-976F-8EAC2B608ADB}">
              <a16:predDERef xmlns:a16="http://schemas.microsoft.com/office/drawing/2014/main" pred="{03EC9B35-F429-4969-BDF8-022C19434967}"/>
            </a:ext>
          </a:extLst>
        </xdr:cNvPr>
        <xdr:cNvGrpSpPr/>
      </xdr:nvGrpSpPr>
      <xdr:grpSpPr>
        <a:xfrm>
          <a:off x="4653927" y="4441825"/>
          <a:ext cx="1721866" cy="1667637"/>
          <a:chOff x="285750" y="4648200"/>
          <a:chExt cx="1962150" cy="1524000"/>
        </a:xfrm>
      </xdr:grpSpPr>
      <xdr:sp macro="" textlink="">
        <xdr:nvSpPr>
          <xdr:cNvPr id="18" name="Rectangle: Rounded Corners 14">
            <a:extLst>
              <a:ext uri="{FF2B5EF4-FFF2-40B4-BE49-F238E27FC236}">
                <a16:creationId xmlns:a16="http://schemas.microsoft.com/office/drawing/2014/main" id="{90DDEA7A-462F-C82F-83A1-0A149B76B0BE}"/>
              </a:ext>
            </a:extLst>
          </xdr:cNvPr>
          <xdr:cNvSpPr/>
        </xdr:nvSpPr>
        <xdr:spPr>
          <a:xfrm>
            <a:off x="285750" y="4648200"/>
            <a:ext cx="1962150" cy="1524000"/>
          </a:xfrm>
          <a:prstGeom prst="roundRect">
            <a:avLst>
              <a:gd name="adj" fmla="val 1042"/>
            </a:avLst>
          </a:prstGeom>
          <a:no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Rectangle: Top Corners Rounded 15">
            <a:extLst>
              <a:ext uri="{FF2B5EF4-FFF2-40B4-BE49-F238E27FC236}">
                <a16:creationId xmlns:a16="http://schemas.microsoft.com/office/drawing/2014/main" id="{24449435-1D70-B80A-52B1-16E15B3F4903}"/>
              </a:ext>
            </a:extLst>
          </xdr:cNvPr>
          <xdr:cNvSpPr/>
        </xdr:nvSpPr>
        <xdr:spPr>
          <a:xfrm>
            <a:off x="288925" y="4650318"/>
            <a:ext cx="1955800" cy="61382"/>
          </a:xfrm>
          <a:prstGeom prst="round2SameRect">
            <a:avLst/>
          </a:prstGeom>
          <a:solidFill>
            <a:srgbClr val="F5F5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6</xdr:col>
      <xdr:colOff>511657</xdr:colOff>
      <xdr:row>16</xdr:row>
      <xdr:rowOff>904876</xdr:rowOff>
    </xdr:from>
    <xdr:to>
      <xdr:col>8</xdr:col>
      <xdr:colOff>392023</xdr:colOff>
      <xdr:row>18</xdr:row>
      <xdr:rowOff>135560</xdr:rowOff>
    </xdr:to>
    <xdr:sp macro="" textlink="">
      <xdr:nvSpPr>
        <xdr:cNvPr id="20" name="TextBox 16">
          <a:extLst>
            <a:ext uri="{FF2B5EF4-FFF2-40B4-BE49-F238E27FC236}">
              <a16:creationId xmlns:a16="http://schemas.microsoft.com/office/drawing/2014/main" id="{71DB0815-3582-4274-9DCA-D2B8C506A847}"/>
            </a:ext>
            <a:ext uri="{147F2762-F138-4A5C-976F-8EAC2B608ADB}">
              <a16:predDERef xmlns:a16="http://schemas.microsoft.com/office/drawing/2014/main" pred="{4149B863-F453-40A7-8297-48819D990455}"/>
            </a:ext>
          </a:extLst>
        </xdr:cNvPr>
        <xdr:cNvSpPr txBox="1"/>
      </xdr:nvSpPr>
      <xdr:spPr>
        <a:xfrm>
          <a:off x="4655032" y="4505326"/>
          <a:ext cx="1728216" cy="5641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lvl="0" indent="0" algn="ctr"/>
          <a:r>
            <a:rPr lang="en-US" sz="1800" b="1">
              <a:solidFill>
                <a:srgbClr val="38434D"/>
              </a:solidFill>
              <a:latin typeface="+mn-lt"/>
              <a:ea typeface="+mn-ea"/>
              <a:cs typeface="+mn-cs"/>
            </a:rPr>
            <a:t>CHURN</a:t>
          </a:r>
        </a:p>
      </xdr:txBody>
    </xdr:sp>
    <xdr:clientData/>
  </xdr:twoCellAnchor>
  <xdr:twoCellAnchor>
    <xdr:from>
      <xdr:col>6</xdr:col>
      <xdr:colOff>511657</xdr:colOff>
      <xdr:row>18</xdr:row>
      <xdr:rowOff>14288</xdr:rowOff>
    </xdr:from>
    <xdr:to>
      <xdr:col>8</xdr:col>
      <xdr:colOff>392023</xdr:colOff>
      <xdr:row>21</xdr:row>
      <xdr:rowOff>79249</xdr:rowOff>
    </xdr:to>
    <xdr:sp macro="" textlink="$T$4">
      <xdr:nvSpPr>
        <xdr:cNvPr id="21" name="TextBox 17">
          <a:extLst>
            <a:ext uri="{FF2B5EF4-FFF2-40B4-BE49-F238E27FC236}">
              <a16:creationId xmlns:a16="http://schemas.microsoft.com/office/drawing/2014/main" id="{209071B1-DC68-4578-99E1-717ADE780365}"/>
            </a:ext>
            <a:ext uri="{147F2762-F138-4A5C-976F-8EAC2B608ADB}">
              <a16:predDERef xmlns:a16="http://schemas.microsoft.com/office/drawing/2014/main" pred="{B87A43E4-BCE2-4F30-A487-E86077894BCF}"/>
            </a:ext>
          </a:extLst>
        </xdr:cNvPr>
        <xdr:cNvSpPr txBox="1"/>
      </xdr:nvSpPr>
      <xdr:spPr>
        <a:xfrm>
          <a:off x="4655032" y="4948238"/>
          <a:ext cx="1728216" cy="636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2C6810F6-FDDB-4678-AB48-217AC111E757}" type="TxLink">
            <a:rPr lang="en-US" sz="2400" b="0" i="0" u="none" strike="noStrike">
              <a:solidFill>
                <a:srgbClr val="38434D"/>
              </a:solidFill>
              <a:latin typeface="Aptos Narrow"/>
              <a:ea typeface="+mn-ea"/>
              <a:cs typeface="+mn-cs"/>
            </a:rPr>
            <a:pPr marL="0" indent="0" algn="ctr"/>
            <a:t> (16,000)</a:t>
          </a:fld>
          <a:endParaRPr lang="en-US" sz="2400" b="0" i="0" u="none" strike="noStrike">
            <a:solidFill>
              <a:srgbClr val="38434D"/>
            </a:solidFill>
            <a:latin typeface="Aptos Narrow"/>
            <a:ea typeface="+mn-ea"/>
            <a:cs typeface="+mn-cs"/>
          </a:endParaRPr>
        </a:p>
      </xdr:txBody>
    </xdr:sp>
    <xdr:clientData/>
  </xdr:twoCellAnchor>
  <xdr:twoCellAnchor>
    <xdr:from>
      <xdr:col>6</xdr:col>
      <xdr:colOff>511657</xdr:colOff>
      <xdr:row>20</xdr:row>
      <xdr:rowOff>185737</xdr:rowOff>
    </xdr:from>
    <xdr:to>
      <xdr:col>8</xdr:col>
      <xdr:colOff>392023</xdr:colOff>
      <xdr:row>23</xdr:row>
      <xdr:rowOff>98298</xdr:rowOff>
    </xdr:to>
    <xdr:sp macro="" textlink="$T$10">
      <xdr:nvSpPr>
        <xdr:cNvPr id="22" name="TextBox 17">
          <a:extLst>
            <a:ext uri="{FF2B5EF4-FFF2-40B4-BE49-F238E27FC236}">
              <a16:creationId xmlns:a16="http://schemas.microsoft.com/office/drawing/2014/main" id="{20BF7C05-0479-4339-B909-7FA33DE26E3A}"/>
            </a:ext>
            <a:ext uri="{147F2762-F138-4A5C-976F-8EAC2B608ADB}">
              <a16:predDERef xmlns:a16="http://schemas.microsoft.com/office/drawing/2014/main" pred="{720F0D89-8DC4-4C6C-BF1E-B413D14FF413}"/>
            </a:ext>
          </a:extLst>
        </xdr:cNvPr>
        <xdr:cNvSpPr txBox="1"/>
      </xdr:nvSpPr>
      <xdr:spPr>
        <a:xfrm>
          <a:off x="4655032" y="5500687"/>
          <a:ext cx="1728216" cy="484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B3184C3-A6A4-4AF2-A4E8-0C2A318AE7C9}" type="TxLink">
            <a:rPr lang="en-US" sz="1400" b="0" i="0" u="none" strike="noStrike">
              <a:solidFill>
                <a:srgbClr val="38434D"/>
              </a:solidFill>
              <a:latin typeface="Aptos Narrow"/>
              <a:ea typeface="+mn-ea"/>
              <a:cs typeface="+mn-cs"/>
            </a:rPr>
            <a:pPr marL="0" indent="0" algn="ctr"/>
            <a:t>(5%)</a:t>
          </a:fld>
          <a:endParaRPr lang="en-US" sz="1400" b="0" i="0" u="none" strike="noStrike">
            <a:solidFill>
              <a:srgbClr val="38434D"/>
            </a:solidFill>
            <a:latin typeface="Aptos Narrow"/>
            <a:ea typeface="+mn-ea"/>
            <a:cs typeface="+mn-cs"/>
          </a:endParaRPr>
        </a:p>
      </xdr:txBody>
    </xdr:sp>
    <xdr:clientData/>
  </xdr:twoCellAnchor>
  <xdr:twoCellAnchor>
    <xdr:from>
      <xdr:col>8</xdr:col>
      <xdr:colOff>664126</xdr:colOff>
      <xdr:row>16</xdr:row>
      <xdr:rowOff>838200</xdr:rowOff>
    </xdr:from>
    <xdr:to>
      <xdr:col>10</xdr:col>
      <xdr:colOff>544492</xdr:colOff>
      <xdr:row>24</xdr:row>
      <xdr:rowOff>29337</xdr:rowOff>
    </xdr:to>
    <xdr:grpSp>
      <xdr:nvGrpSpPr>
        <xdr:cNvPr id="23" name="Group 18">
          <a:extLst>
            <a:ext uri="{FF2B5EF4-FFF2-40B4-BE49-F238E27FC236}">
              <a16:creationId xmlns:a16="http://schemas.microsoft.com/office/drawing/2014/main" id="{015AEE97-696C-4068-BBFE-2A9124935C78}"/>
            </a:ext>
            <a:ext uri="{147F2762-F138-4A5C-976F-8EAC2B608ADB}">
              <a16:predDERef xmlns:a16="http://schemas.microsoft.com/office/drawing/2014/main" pred="{E93CCF0C-BC81-43B5-8563-DDB04DA29E5C}"/>
            </a:ext>
          </a:extLst>
        </xdr:cNvPr>
        <xdr:cNvGrpSpPr/>
      </xdr:nvGrpSpPr>
      <xdr:grpSpPr>
        <a:xfrm>
          <a:off x="6664876" y="4441825"/>
          <a:ext cx="1721866" cy="1667637"/>
          <a:chOff x="285750" y="4648200"/>
          <a:chExt cx="1962150" cy="1524000"/>
        </a:xfrm>
      </xdr:grpSpPr>
      <xdr:sp macro="" textlink="">
        <xdr:nvSpPr>
          <xdr:cNvPr id="24" name="Rectangle: Rounded Corners 19">
            <a:extLst>
              <a:ext uri="{FF2B5EF4-FFF2-40B4-BE49-F238E27FC236}">
                <a16:creationId xmlns:a16="http://schemas.microsoft.com/office/drawing/2014/main" id="{9543145C-50F5-F01A-4FCD-AD0D6373CB65}"/>
              </a:ext>
            </a:extLst>
          </xdr:cNvPr>
          <xdr:cNvSpPr/>
        </xdr:nvSpPr>
        <xdr:spPr>
          <a:xfrm>
            <a:off x="285750" y="4648200"/>
            <a:ext cx="1962150" cy="1524000"/>
          </a:xfrm>
          <a:prstGeom prst="roundRect">
            <a:avLst>
              <a:gd name="adj" fmla="val 1042"/>
            </a:avLst>
          </a:prstGeom>
          <a:no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Rectangle: Top Corners Rounded 20">
            <a:extLst>
              <a:ext uri="{FF2B5EF4-FFF2-40B4-BE49-F238E27FC236}">
                <a16:creationId xmlns:a16="http://schemas.microsoft.com/office/drawing/2014/main" id="{6CA09D67-9596-FBFA-8A99-6BCFE7642C5C}"/>
              </a:ext>
            </a:extLst>
          </xdr:cNvPr>
          <xdr:cNvSpPr/>
        </xdr:nvSpPr>
        <xdr:spPr>
          <a:xfrm>
            <a:off x="288925" y="4650318"/>
            <a:ext cx="1955800" cy="61382"/>
          </a:xfrm>
          <a:prstGeom prst="round2SameRect">
            <a:avLst/>
          </a:prstGeom>
          <a:solidFill>
            <a:srgbClr val="F5F5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8</xdr:col>
      <xdr:colOff>702226</xdr:colOff>
      <xdr:row>16</xdr:row>
      <xdr:rowOff>904876</xdr:rowOff>
    </xdr:from>
    <xdr:to>
      <xdr:col>10</xdr:col>
      <xdr:colOff>582592</xdr:colOff>
      <xdr:row>18</xdr:row>
      <xdr:rowOff>114301</xdr:rowOff>
    </xdr:to>
    <xdr:sp macro="" textlink="">
      <xdr:nvSpPr>
        <xdr:cNvPr id="26" name="TextBox 21">
          <a:extLst>
            <a:ext uri="{FF2B5EF4-FFF2-40B4-BE49-F238E27FC236}">
              <a16:creationId xmlns:a16="http://schemas.microsoft.com/office/drawing/2014/main" id="{ED14B447-148D-4A0E-81D9-BE14938EB393}"/>
            </a:ext>
            <a:ext uri="{147F2762-F138-4A5C-976F-8EAC2B608ADB}">
              <a16:predDERef xmlns:a16="http://schemas.microsoft.com/office/drawing/2014/main" pred="{9EB5835C-FF0F-4CCD-B9DD-D060FCAFC1F6}"/>
            </a:ext>
          </a:extLst>
        </xdr:cNvPr>
        <xdr:cNvSpPr txBox="1"/>
      </xdr:nvSpPr>
      <xdr:spPr>
        <a:xfrm>
          <a:off x="6693451" y="4505326"/>
          <a:ext cx="1728216" cy="542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lvl="0" indent="0" algn="ctr"/>
          <a:r>
            <a:rPr lang="en-US" sz="1800" b="1">
              <a:solidFill>
                <a:srgbClr val="38434D"/>
              </a:solidFill>
              <a:latin typeface="+mn-lt"/>
              <a:ea typeface="+mn-ea"/>
              <a:cs typeface="+mn-cs"/>
            </a:rPr>
            <a:t>EXPANSION</a:t>
          </a:r>
        </a:p>
      </xdr:txBody>
    </xdr:sp>
    <xdr:clientData/>
  </xdr:twoCellAnchor>
  <xdr:twoCellAnchor>
    <xdr:from>
      <xdr:col>8</xdr:col>
      <xdr:colOff>702226</xdr:colOff>
      <xdr:row>18</xdr:row>
      <xdr:rowOff>61913</xdr:rowOff>
    </xdr:from>
    <xdr:to>
      <xdr:col>10</xdr:col>
      <xdr:colOff>582592</xdr:colOff>
      <xdr:row>21</xdr:row>
      <xdr:rowOff>31624</xdr:rowOff>
    </xdr:to>
    <xdr:sp macro="" textlink="$T$5">
      <xdr:nvSpPr>
        <xdr:cNvPr id="27" name="TextBox 22">
          <a:extLst>
            <a:ext uri="{FF2B5EF4-FFF2-40B4-BE49-F238E27FC236}">
              <a16:creationId xmlns:a16="http://schemas.microsoft.com/office/drawing/2014/main" id="{010F7761-07C1-43B8-9932-6E963382A333}"/>
            </a:ext>
            <a:ext uri="{147F2762-F138-4A5C-976F-8EAC2B608ADB}">
              <a16:predDERef xmlns:a16="http://schemas.microsoft.com/office/drawing/2014/main" pred="{580A2E07-C435-469E-A712-2BAC26375A67}"/>
            </a:ext>
          </a:extLst>
        </xdr:cNvPr>
        <xdr:cNvSpPr txBox="1"/>
      </xdr:nvSpPr>
      <xdr:spPr>
        <a:xfrm>
          <a:off x="6693451" y="4995863"/>
          <a:ext cx="1728216" cy="541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4C9DDC5-1A35-4C16-ACEB-5AA37F52DBCF}" type="TxLink">
            <a:rPr lang="en-US" sz="2400" b="0" i="0" u="none" strike="noStrike">
              <a:solidFill>
                <a:srgbClr val="38434D"/>
              </a:solidFill>
              <a:latin typeface="Aptos Narrow"/>
              <a:ea typeface="+mn-ea"/>
              <a:cs typeface="+mn-cs"/>
            </a:rPr>
            <a:pPr marL="0" indent="0" algn="ctr"/>
            <a:t> 66,000 </a:t>
          </a:fld>
          <a:endParaRPr lang="en-US" sz="2400" b="0" i="0" u="none" strike="noStrike">
            <a:solidFill>
              <a:srgbClr val="38434D"/>
            </a:solidFill>
            <a:latin typeface="Aptos Narrow"/>
            <a:ea typeface="+mn-ea"/>
            <a:cs typeface="+mn-cs"/>
          </a:endParaRPr>
        </a:p>
      </xdr:txBody>
    </xdr:sp>
    <xdr:clientData/>
  </xdr:twoCellAnchor>
  <xdr:twoCellAnchor>
    <xdr:from>
      <xdr:col>8</xdr:col>
      <xdr:colOff>702226</xdr:colOff>
      <xdr:row>20</xdr:row>
      <xdr:rowOff>185737</xdr:rowOff>
    </xdr:from>
    <xdr:to>
      <xdr:col>10</xdr:col>
      <xdr:colOff>582592</xdr:colOff>
      <xdr:row>23</xdr:row>
      <xdr:rowOff>98298</xdr:rowOff>
    </xdr:to>
    <xdr:sp macro="" textlink="$T$11">
      <xdr:nvSpPr>
        <xdr:cNvPr id="28" name="TextBox 22">
          <a:extLst>
            <a:ext uri="{FF2B5EF4-FFF2-40B4-BE49-F238E27FC236}">
              <a16:creationId xmlns:a16="http://schemas.microsoft.com/office/drawing/2014/main" id="{726EE257-0022-429C-8ABE-6AC2E9CD71FB}"/>
            </a:ext>
            <a:ext uri="{147F2762-F138-4A5C-976F-8EAC2B608ADB}">
              <a16:predDERef xmlns:a16="http://schemas.microsoft.com/office/drawing/2014/main" pred="{4743AE94-E7AE-4A40-8338-495DB32467DA}"/>
            </a:ext>
          </a:extLst>
        </xdr:cNvPr>
        <xdr:cNvSpPr txBox="1"/>
      </xdr:nvSpPr>
      <xdr:spPr>
        <a:xfrm>
          <a:off x="6693451" y="5500687"/>
          <a:ext cx="1728216" cy="484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FDF474D6-9A71-438A-A01F-0B2B56CA3BD9}" type="TxLink">
            <a:rPr lang="en-US" sz="1400" b="0" i="0" u="none" strike="noStrike">
              <a:solidFill>
                <a:srgbClr val="38434D"/>
              </a:solidFill>
              <a:latin typeface="Aptos Narrow"/>
              <a:ea typeface="+mn-ea"/>
              <a:cs typeface="+mn-cs"/>
            </a:rPr>
            <a:pPr marL="0" indent="0" algn="ctr"/>
            <a:t>19%</a:t>
          </a:fld>
          <a:endParaRPr lang="en-US" sz="1400" b="0" i="0" u="none" strike="noStrike">
            <a:solidFill>
              <a:srgbClr val="38434D"/>
            </a:solidFill>
            <a:latin typeface="Aptos Narrow"/>
            <a:ea typeface="+mn-ea"/>
            <a:cs typeface="+mn-cs"/>
          </a:endParaRPr>
        </a:p>
      </xdr:txBody>
    </xdr:sp>
    <xdr:clientData/>
  </xdr:twoCellAnchor>
  <xdr:twoCellAnchor>
    <xdr:from>
      <xdr:col>10</xdr:col>
      <xdr:colOff>854695</xdr:colOff>
      <xdr:row>16</xdr:row>
      <xdr:rowOff>838200</xdr:rowOff>
    </xdr:from>
    <xdr:to>
      <xdr:col>12</xdr:col>
      <xdr:colOff>735061</xdr:colOff>
      <xdr:row>24</xdr:row>
      <xdr:rowOff>29337</xdr:rowOff>
    </xdr:to>
    <xdr:grpSp>
      <xdr:nvGrpSpPr>
        <xdr:cNvPr id="29" name="Group 23">
          <a:extLst>
            <a:ext uri="{FF2B5EF4-FFF2-40B4-BE49-F238E27FC236}">
              <a16:creationId xmlns:a16="http://schemas.microsoft.com/office/drawing/2014/main" id="{11CB4867-5AB5-41EC-9139-10F81179E782}"/>
            </a:ext>
            <a:ext uri="{147F2762-F138-4A5C-976F-8EAC2B608ADB}">
              <a16:predDERef xmlns:a16="http://schemas.microsoft.com/office/drawing/2014/main" pred="{E49CF214-95FB-4462-9B4A-3ABE000C6EDE}"/>
            </a:ext>
          </a:extLst>
        </xdr:cNvPr>
        <xdr:cNvGrpSpPr/>
      </xdr:nvGrpSpPr>
      <xdr:grpSpPr>
        <a:xfrm>
          <a:off x="8696945" y="4441825"/>
          <a:ext cx="1721866" cy="1667637"/>
          <a:chOff x="285750" y="4648200"/>
          <a:chExt cx="1962150" cy="1524000"/>
        </a:xfrm>
      </xdr:grpSpPr>
      <xdr:sp macro="" textlink="">
        <xdr:nvSpPr>
          <xdr:cNvPr id="30" name="Rectangle: Rounded Corners 24">
            <a:extLst>
              <a:ext uri="{FF2B5EF4-FFF2-40B4-BE49-F238E27FC236}">
                <a16:creationId xmlns:a16="http://schemas.microsoft.com/office/drawing/2014/main" id="{EE3D6333-0D60-B973-9F10-09300BE8437D}"/>
              </a:ext>
            </a:extLst>
          </xdr:cNvPr>
          <xdr:cNvSpPr/>
        </xdr:nvSpPr>
        <xdr:spPr>
          <a:xfrm>
            <a:off x="285750" y="4648200"/>
            <a:ext cx="1962150" cy="1524000"/>
          </a:xfrm>
          <a:prstGeom prst="roundRect">
            <a:avLst>
              <a:gd name="adj" fmla="val 1042"/>
            </a:avLst>
          </a:prstGeom>
          <a:noFill/>
          <a:ln w="6350">
            <a:solidFill>
              <a:schemeClr val="bg1">
                <a:lumMod val="85000"/>
              </a:schemeClr>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Rectangle: Top Corners Rounded 25">
            <a:extLst>
              <a:ext uri="{FF2B5EF4-FFF2-40B4-BE49-F238E27FC236}">
                <a16:creationId xmlns:a16="http://schemas.microsoft.com/office/drawing/2014/main" id="{C9286A84-DEEA-F129-E3DE-7B1674745256}"/>
              </a:ext>
            </a:extLst>
          </xdr:cNvPr>
          <xdr:cNvSpPr/>
        </xdr:nvSpPr>
        <xdr:spPr>
          <a:xfrm>
            <a:off x="288925" y="4650318"/>
            <a:ext cx="1955800" cy="61382"/>
          </a:xfrm>
          <a:prstGeom prst="round2SameRect">
            <a:avLst/>
          </a:prstGeom>
          <a:solidFill>
            <a:srgbClr val="F5F5E7"/>
          </a:solidFill>
          <a:ln>
            <a:no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923854</xdr:colOff>
      <xdr:row>16</xdr:row>
      <xdr:rowOff>904876</xdr:rowOff>
    </xdr:from>
    <xdr:to>
      <xdr:col>12</xdr:col>
      <xdr:colOff>804220</xdr:colOff>
      <xdr:row>18</xdr:row>
      <xdr:rowOff>135560</xdr:rowOff>
    </xdr:to>
    <xdr:sp macro="" textlink="">
      <xdr:nvSpPr>
        <xdr:cNvPr id="32" name="TextBox 26">
          <a:extLst>
            <a:ext uri="{FF2B5EF4-FFF2-40B4-BE49-F238E27FC236}">
              <a16:creationId xmlns:a16="http://schemas.microsoft.com/office/drawing/2014/main" id="{E7BF0895-74DF-4AA3-8761-FA8DE43E40A4}"/>
            </a:ext>
            <a:ext uri="{147F2762-F138-4A5C-976F-8EAC2B608ADB}">
              <a16:predDERef xmlns:a16="http://schemas.microsoft.com/office/drawing/2014/main" pred="{DE04A486-AF44-4C1E-A895-C486EE5CA46F}"/>
            </a:ext>
          </a:extLst>
        </xdr:cNvPr>
        <xdr:cNvSpPr txBox="1"/>
      </xdr:nvSpPr>
      <xdr:spPr>
        <a:xfrm>
          <a:off x="8762929" y="4505326"/>
          <a:ext cx="1728216" cy="5641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lvl="0" indent="0" algn="ctr"/>
          <a:r>
            <a:rPr lang="en-US" sz="1800" b="1">
              <a:solidFill>
                <a:srgbClr val="38434D"/>
              </a:solidFill>
              <a:latin typeface="+mn-lt"/>
              <a:ea typeface="+mn-ea"/>
              <a:cs typeface="+mn-cs"/>
            </a:rPr>
            <a:t>CONTRACTION</a:t>
          </a:r>
        </a:p>
      </xdr:txBody>
    </xdr:sp>
    <xdr:clientData/>
  </xdr:twoCellAnchor>
  <xdr:twoCellAnchor>
    <xdr:from>
      <xdr:col>10</xdr:col>
      <xdr:colOff>923855</xdr:colOff>
      <xdr:row>18</xdr:row>
      <xdr:rowOff>28575</xdr:rowOff>
    </xdr:from>
    <xdr:to>
      <xdr:col>12</xdr:col>
      <xdr:colOff>804221</xdr:colOff>
      <xdr:row>21</xdr:row>
      <xdr:rowOff>64961</xdr:rowOff>
    </xdr:to>
    <xdr:sp macro="" textlink="$T$6">
      <xdr:nvSpPr>
        <xdr:cNvPr id="33" name="TextBox 27">
          <a:extLst>
            <a:ext uri="{FF2B5EF4-FFF2-40B4-BE49-F238E27FC236}">
              <a16:creationId xmlns:a16="http://schemas.microsoft.com/office/drawing/2014/main" id="{929620B0-3E01-4826-AB58-AD87C85B6DFE}"/>
            </a:ext>
            <a:ext uri="{147F2762-F138-4A5C-976F-8EAC2B608ADB}">
              <a16:predDERef xmlns:a16="http://schemas.microsoft.com/office/drawing/2014/main" pred="{E18584A3-D921-40BC-BA5E-692F8D62C5EF}"/>
            </a:ext>
          </a:extLst>
        </xdr:cNvPr>
        <xdr:cNvSpPr txBox="1"/>
      </xdr:nvSpPr>
      <xdr:spPr>
        <a:xfrm>
          <a:off x="8762930" y="4962525"/>
          <a:ext cx="1728216" cy="607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31DA1B25-0257-4396-95F6-1AC20EC50337}" type="TxLink">
            <a:rPr lang="en-US" sz="2400" b="0" i="0" u="none" strike="noStrike">
              <a:solidFill>
                <a:srgbClr val="38434D"/>
              </a:solidFill>
              <a:latin typeface="Aptos Narrow"/>
              <a:ea typeface="+mn-ea"/>
              <a:cs typeface="+mn-cs"/>
            </a:rPr>
            <a:pPr marL="0" indent="0" algn="ctr"/>
            <a:t> (38,000)</a:t>
          </a:fld>
          <a:endParaRPr lang="en-US" sz="2400" b="0" i="0" u="none" strike="noStrike">
            <a:solidFill>
              <a:srgbClr val="38434D"/>
            </a:solidFill>
            <a:latin typeface="Aptos Narrow"/>
            <a:ea typeface="+mn-ea"/>
            <a:cs typeface="+mn-cs"/>
          </a:endParaRPr>
        </a:p>
      </xdr:txBody>
    </xdr:sp>
    <xdr:clientData/>
  </xdr:twoCellAnchor>
  <xdr:twoCellAnchor>
    <xdr:from>
      <xdr:col>10</xdr:col>
      <xdr:colOff>923855</xdr:colOff>
      <xdr:row>20</xdr:row>
      <xdr:rowOff>185737</xdr:rowOff>
    </xdr:from>
    <xdr:to>
      <xdr:col>12</xdr:col>
      <xdr:colOff>804221</xdr:colOff>
      <xdr:row>23</xdr:row>
      <xdr:rowOff>98298</xdr:rowOff>
    </xdr:to>
    <xdr:sp macro="" textlink="$T$12">
      <xdr:nvSpPr>
        <xdr:cNvPr id="34" name="TextBox 27">
          <a:extLst>
            <a:ext uri="{FF2B5EF4-FFF2-40B4-BE49-F238E27FC236}">
              <a16:creationId xmlns:a16="http://schemas.microsoft.com/office/drawing/2014/main" id="{B97DD539-C2FE-45BA-A010-CCA2DEF9B351}"/>
            </a:ext>
            <a:ext uri="{147F2762-F138-4A5C-976F-8EAC2B608ADB}">
              <a16:predDERef xmlns:a16="http://schemas.microsoft.com/office/drawing/2014/main" pred="{7A2DB59F-08C1-4089-8E3D-8260AB25AC16}"/>
            </a:ext>
          </a:extLst>
        </xdr:cNvPr>
        <xdr:cNvSpPr txBox="1"/>
      </xdr:nvSpPr>
      <xdr:spPr>
        <a:xfrm>
          <a:off x="8762930" y="5500687"/>
          <a:ext cx="1728216" cy="484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66E5BB74-5351-4848-B04C-0B2B49F8AD8E}" type="TxLink">
            <a:rPr lang="en-US" sz="1400" b="0" i="0" u="none" strike="noStrike">
              <a:solidFill>
                <a:srgbClr val="38434D"/>
              </a:solidFill>
              <a:latin typeface="Aptos Narrow"/>
              <a:ea typeface="+mn-ea"/>
              <a:cs typeface="+mn-cs"/>
            </a:rPr>
            <a:pPr marL="0" indent="0" algn="ctr"/>
            <a:t>(11%)</a:t>
          </a:fld>
          <a:endParaRPr lang="en-US" sz="1400" b="0" i="0" u="none" strike="noStrike">
            <a:solidFill>
              <a:srgbClr val="38434D"/>
            </a:solidFill>
            <a:latin typeface="Aptos Narrow"/>
            <a:ea typeface="+mn-ea"/>
            <a:cs typeface="+mn-cs"/>
          </a:endParaRPr>
        </a:p>
      </xdr:txBody>
    </xdr:sp>
    <xdr:clientData/>
  </xdr:twoCellAnchor>
  <xdr:twoCellAnchor>
    <xdr:from>
      <xdr:col>2</xdr:col>
      <xdr:colOff>0</xdr:colOff>
      <xdr:row>16</xdr:row>
      <xdr:rowOff>838962</xdr:rowOff>
    </xdr:from>
    <xdr:to>
      <xdr:col>3</xdr:col>
      <xdr:colOff>670561</xdr:colOff>
      <xdr:row>24</xdr:row>
      <xdr:rowOff>29337</xdr:rowOff>
    </xdr:to>
    <xdr:grpSp>
      <xdr:nvGrpSpPr>
        <xdr:cNvPr id="35" name="Group 8">
          <a:extLst>
            <a:ext uri="{FF2B5EF4-FFF2-40B4-BE49-F238E27FC236}">
              <a16:creationId xmlns:a16="http://schemas.microsoft.com/office/drawing/2014/main" id="{C8854E03-38B8-4D3E-A8C1-93ECD1B00C70}"/>
            </a:ext>
            <a:ext uri="{147F2762-F138-4A5C-976F-8EAC2B608ADB}">
              <a16:predDERef xmlns:a16="http://schemas.microsoft.com/office/drawing/2014/main" pred="{C35E2839-2FEF-43E4-9417-5C911EF796F2}"/>
            </a:ext>
          </a:extLst>
        </xdr:cNvPr>
        <xdr:cNvGrpSpPr/>
      </xdr:nvGrpSpPr>
      <xdr:grpSpPr>
        <a:xfrm>
          <a:off x="333375" y="4442587"/>
          <a:ext cx="1734186" cy="1666875"/>
          <a:chOff x="285750" y="4648200"/>
          <a:chExt cx="1962150" cy="1524000"/>
        </a:xfrm>
      </xdr:grpSpPr>
      <xdr:sp macro="" textlink="">
        <xdr:nvSpPr>
          <xdr:cNvPr id="36" name="Rectangle: Rounded Corners 9">
            <a:extLst>
              <a:ext uri="{FF2B5EF4-FFF2-40B4-BE49-F238E27FC236}">
                <a16:creationId xmlns:a16="http://schemas.microsoft.com/office/drawing/2014/main" id="{95A7F3EE-3BD3-6D55-5598-5CCA44106399}"/>
              </a:ext>
            </a:extLst>
          </xdr:cNvPr>
          <xdr:cNvSpPr/>
        </xdr:nvSpPr>
        <xdr:spPr>
          <a:xfrm>
            <a:off x="285750" y="4648200"/>
            <a:ext cx="1962150" cy="1524000"/>
          </a:xfrm>
          <a:prstGeom prst="roundRect">
            <a:avLst>
              <a:gd name="adj" fmla="val 1042"/>
            </a:avLst>
          </a:prstGeom>
          <a:noFill/>
          <a:ln w="6350">
            <a:solidFill>
              <a:schemeClr val="bg1">
                <a:lumMod val="85000"/>
              </a:schemeClr>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Rectangle: Top Corners Rounded 10">
            <a:extLst>
              <a:ext uri="{FF2B5EF4-FFF2-40B4-BE49-F238E27FC236}">
                <a16:creationId xmlns:a16="http://schemas.microsoft.com/office/drawing/2014/main" id="{4E5AB926-66DA-D735-BA67-EBEAB64ABBE4}"/>
              </a:ext>
            </a:extLst>
          </xdr:cNvPr>
          <xdr:cNvSpPr/>
        </xdr:nvSpPr>
        <xdr:spPr>
          <a:xfrm>
            <a:off x="288925" y="4648378"/>
            <a:ext cx="1955800" cy="61382"/>
          </a:xfrm>
          <a:prstGeom prst="round2SameRect">
            <a:avLst/>
          </a:prstGeom>
          <a:solidFill>
            <a:srgbClr val="F5F5E7"/>
          </a:solidFill>
          <a:ln w="3175">
            <a:no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0</xdr:colOff>
      <xdr:row>16</xdr:row>
      <xdr:rowOff>904876</xdr:rowOff>
    </xdr:from>
    <xdr:to>
      <xdr:col>3</xdr:col>
      <xdr:colOff>661416</xdr:colOff>
      <xdr:row>18</xdr:row>
      <xdr:rowOff>54259</xdr:rowOff>
    </xdr:to>
    <xdr:sp macro="" textlink="">
      <xdr:nvSpPr>
        <xdr:cNvPr id="38" name="TextBox 11">
          <a:extLst>
            <a:ext uri="{FF2B5EF4-FFF2-40B4-BE49-F238E27FC236}">
              <a16:creationId xmlns:a16="http://schemas.microsoft.com/office/drawing/2014/main" id="{5842F0F7-D872-44CA-94AA-EB837DC4F74C}"/>
            </a:ext>
            <a:ext uri="{147F2762-F138-4A5C-976F-8EAC2B608ADB}">
              <a16:predDERef xmlns:a16="http://schemas.microsoft.com/office/drawing/2014/main" pred="{36E016B6-03E5-432A-9AD3-ACCE8CF3BE61}"/>
            </a:ext>
          </a:extLst>
        </xdr:cNvPr>
        <xdr:cNvSpPr txBox="1"/>
      </xdr:nvSpPr>
      <xdr:spPr>
        <a:xfrm>
          <a:off x="352425" y="4505326"/>
          <a:ext cx="1718691" cy="482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lvl="0" indent="0" algn="ctr"/>
          <a:r>
            <a:rPr lang="en-US" sz="1800" b="1">
              <a:solidFill>
                <a:srgbClr val="38434D"/>
              </a:solidFill>
              <a:latin typeface="+mn-lt"/>
              <a:ea typeface="+mn-ea"/>
              <a:cs typeface="+mn-cs"/>
            </a:rPr>
            <a:t>OPENING</a:t>
          </a:r>
        </a:p>
      </xdr:txBody>
    </xdr:sp>
    <xdr:clientData/>
  </xdr:twoCellAnchor>
  <xdr:twoCellAnchor>
    <xdr:from>
      <xdr:col>2</xdr:col>
      <xdr:colOff>0</xdr:colOff>
      <xdr:row>18</xdr:row>
      <xdr:rowOff>62996</xdr:rowOff>
    </xdr:from>
    <xdr:to>
      <xdr:col>3</xdr:col>
      <xdr:colOff>634824</xdr:colOff>
      <xdr:row>21</xdr:row>
      <xdr:rowOff>30540</xdr:rowOff>
    </xdr:to>
    <xdr:sp macro="" textlink="$T$2">
      <xdr:nvSpPr>
        <xdr:cNvPr id="39" name="TextBox 12">
          <a:extLst>
            <a:ext uri="{FF2B5EF4-FFF2-40B4-BE49-F238E27FC236}">
              <a16:creationId xmlns:a16="http://schemas.microsoft.com/office/drawing/2014/main" id="{CBFCABDA-11E9-4BA8-AF69-2B3BE15427F6}"/>
            </a:ext>
            <a:ext uri="{147F2762-F138-4A5C-976F-8EAC2B608ADB}">
              <a16:predDERef xmlns:a16="http://schemas.microsoft.com/office/drawing/2014/main" pred="{E310F3C5-5B0E-4C8B-AE5B-F724A121D1BF}"/>
            </a:ext>
          </a:extLst>
        </xdr:cNvPr>
        <xdr:cNvSpPr txBox="1"/>
      </xdr:nvSpPr>
      <xdr:spPr>
        <a:xfrm>
          <a:off x="352425" y="4996946"/>
          <a:ext cx="1692099" cy="539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D266E18-3148-41C0-9C5B-DEDD72E36EFD}" type="TxLink">
            <a:rPr lang="en-US" sz="2400" b="0" i="0" u="none" strike="noStrike">
              <a:solidFill>
                <a:srgbClr val="38434D"/>
              </a:solidFill>
              <a:latin typeface="Aptos Narrow"/>
              <a:ea typeface="+mn-ea"/>
              <a:cs typeface="+mn-cs"/>
            </a:rPr>
            <a:pPr marL="0" indent="0" algn="ctr"/>
            <a:t> 349,000 </a:t>
          </a:fld>
          <a:endParaRPr lang="en-US" sz="2400" b="0" i="0" u="none" strike="noStrike">
            <a:solidFill>
              <a:srgbClr val="38434D"/>
            </a:solidFill>
            <a:latin typeface="Aptos Narrow"/>
            <a:ea typeface="+mn-ea"/>
            <a:cs typeface="+mn-cs"/>
          </a:endParaRPr>
        </a:p>
      </xdr:txBody>
    </xdr:sp>
    <xdr:clientData/>
  </xdr:twoCellAnchor>
  <xdr:twoCellAnchor>
    <xdr:from>
      <xdr:col>13</xdr:col>
      <xdr:colOff>152401</xdr:colOff>
      <xdr:row>16</xdr:row>
      <xdr:rowOff>838200</xdr:rowOff>
    </xdr:from>
    <xdr:to>
      <xdr:col>15</xdr:col>
      <xdr:colOff>32767</xdr:colOff>
      <xdr:row>24</xdr:row>
      <xdr:rowOff>29337</xdr:rowOff>
    </xdr:to>
    <xdr:grpSp>
      <xdr:nvGrpSpPr>
        <xdr:cNvPr id="40" name="Group 8">
          <a:extLst>
            <a:ext uri="{FF2B5EF4-FFF2-40B4-BE49-F238E27FC236}">
              <a16:creationId xmlns:a16="http://schemas.microsoft.com/office/drawing/2014/main" id="{054286D0-C31A-4484-9717-668C57C39FF8}"/>
            </a:ext>
            <a:ext uri="{147F2762-F138-4A5C-976F-8EAC2B608ADB}">
              <a16:predDERef xmlns:a16="http://schemas.microsoft.com/office/drawing/2014/main" pred="{45C01169-CB36-444F-8302-1F0C205BE399}"/>
            </a:ext>
          </a:extLst>
        </xdr:cNvPr>
        <xdr:cNvGrpSpPr/>
      </xdr:nvGrpSpPr>
      <xdr:grpSpPr>
        <a:xfrm>
          <a:off x="10756901" y="4441825"/>
          <a:ext cx="1721866" cy="1667637"/>
          <a:chOff x="285750" y="4648200"/>
          <a:chExt cx="1962150" cy="1524000"/>
        </a:xfrm>
      </xdr:grpSpPr>
      <xdr:sp macro="" textlink="">
        <xdr:nvSpPr>
          <xdr:cNvPr id="41" name="Rectangle: Rounded Corners 9">
            <a:extLst>
              <a:ext uri="{FF2B5EF4-FFF2-40B4-BE49-F238E27FC236}">
                <a16:creationId xmlns:a16="http://schemas.microsoft.com/office/drawing/2014/main" id="{3647E24E-60E5-C173-4C4E-2171BBE184CA}"/>
              </a:ext>
            </a:extLst>
          </xdr:cNvPr>
          <xdr:cNvSpPr/>
        </xdr:nvSpPr>
        <xdr:spPr>
          <a:xfrm>
            <a:off x="285750" y="4648200"/>
            <a:ext cx="1962150" cy="1524000"/>
          </a:xfrm>
          <a:prstGeom prst="roundRect">
            <a:avLst>
              <a:gd name="adj" fmla="val 1042"/>
            </a:avLst>
          </a:prstGeom>
          <a:no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Rectangle: Top Corners Rounded 10">
            <a:extLst>
              <a:ext uri="{FF2B5EF4-FFF2-40B4-BE49-F238E27FC236}">
                <a16:creationId xmlns:a16="http://schemas.microsoft.com/office/drawing/2014/main" id="{7A33D309-5E5D-35E3-DDC9-DFC9795B2B72}"/>
              </a:ext>
            </a:extLst>
          </xdr:cNvPr>
          <xdr:cNvSpPr/>
        </xdr:nvSpPr>
        <xdr:spPr>
          <a:xfrm>
            <a:off x="288925" y="4650318"/>
            <a:ext cx="1955800" cy="61382"/>
          </a:xfrm>
          <a:prstGeom prst="round2SameRect">
            <a:avLst/>
          </a:prstGeom>
          <a:solidFill>
            <a:srgbClr val="F5F5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13</xdr:col>
      <xdr:colOff>152401</xdr:colOff>
      <xdr:row>16</xdr:row>
      <xdr:rowOff>904875</xdr:rowOff>
    </xdr:from>
    <xdr:to>
      <xdr:col>15</xdr:col>
      <xdr:colOff>32767</xdr:colOff>
      <xdr:row>18</xdr:row>
      <xdr:rowOff>132588</xdr:rowOff>
    </xdr:to>
    <xdr:sp macro="" textlink="">
      <xdr:nvSpPr>
        <xdr:cNvPr id="43" name="TextBox 11">
          <a:extLst>
            <a:ext uri="{FF2B5EF4-FFF2-40B4-BE49-F238E27FC236}">
              <a16:creationId xmlns:a16="http://schemas.microsoft.com/office/drawing/2014/main" id="{2777E89D-1691-4816-AFFC-F1A3B33C19B9}"/>
            </a:ext>
            <a:ext uri="{147F2762-F138-4A5C-976F-8EAC2B608ADB}">
              <a16:predDERef xmlns:a16="http://schemas.microsoft.com/office/drawing/2014/main" pred="{9FD768E5-6521-4CB3-B17F-95943FACF36B}"/>
            </a:ext>
          </a:extLst>
        </xdr:cNvPr>
        <xdr:cNvSpPr txBox="1"/>
      </xdr:nvSpPr>
      <xdr:spPr>
        <a:xfrm>
          <a:off x="10763251" y="4505325"/>
          <a:ext cx="1728216" cy="561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lvl="0" indent="0" algn="ctr"/>
          <a:r>
            <a:rPr lang="en-US" sz="1800" b="1">
              <a:solidFill>
                <a:srgbClr val="38434D"/>
              </a:solidFill>
              <a:latin typeface="+mn-lt"/>
              <a:ea typeface="+mn-ea"/>
              <a:cs typeface="+mn-cs"/>
            </a:rPr>
            <a:t>ENDING</a:t>
          </a:r>
        </a:p>
      </xdr:txBody>
    </xdr:sp>
    <xdr:clientData/>
  </xdr:twoCellAnchor>
  <xdr:twoCellAnchor>
    <xdr:from>
      <xdr:col>13</xdr:col>
      <xdr:colOff>152401</xdr:colOff>
      <xdr:row>17</xdr:row>
      <xdr:rowOff>152400</xdr:rowOff>
    </xdr:from>
    <xdr:to>
      <xdr:col>15</xdr:col>
      <xdr:colOff>32767</xdr:colOff>
      <xdr:row>21</xdr:row>
      <xdr:rowOff>131636</xdr:rowOff>
    </xdr:to>
    <xdr:sp macro="" textlink="$T$7">
      <xdr:nvSpPr>
        <xdr:cNvPr id="44" name="TextBox 12">
          <a:extLst>
            <a:ext uri="{FF2B5EF4-FFF2-40B4-BE49-F238E27FC236}">
              <a16:creationId xmlns:a16="http://schemas.microsoft.com/office/drawing/2014/main" id="{F144D57F-01F3-4FC1-B989-ECB85C1ABF29}"/>
            </a:ext>
            <a:ext uri="{147F2762-F138-4A5C-976F-8EAC2B608ADB}">
              <a16:predDERef xmlns:a16="http://schemas.microsoft.com/office/drawing/2014/main" pred="{1502CD39-D945-4E2B-8E9D-7B3F984457E8}"/>
            </a:ext>
          </a:extLst>
        </xdr:cNvPr>
        <xdr:cNvSpPr txBox="1"/>
      </xdr:nvSpPr>
      <xdr:spPr>
        <a:xfrm>
          <a:off x="10763251" y="4895850"/>
          <a:ext cx="1728216" cy="7412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1A7A7E00-A78D-4B54-AD53-B56D54EC31B4}" type="TxLink">
            <a:rPr lang="en-US" sz="2400" b="0" i="0" u="none" strike="noStrike">
              <a:solidFill>
                <a:srgbClr val="38434D"/>
              </a:solidFill>
              <a:latin typeface="Aptos Narrow"/>
              <a:ea typeface="+mn-ea"/>
              <a:cs typeface="+mn-cs"/>
            </a:rPr>
            <a:pPr marL="0" indent="0" algn="ctr"/>
            <a:t> 481,000 </a:t>
          </a:fld>
          <a:endParaRPr lang="en-US" sz="2400" b="0" i="0" u="none" strike="noStrike">
            <a:solidFill>
              <a:srgbClr val="38434D"/>
            </a:solidFill>
            <a:latin typeface="Aptos Narrow"/>
            <a:ea typeface="+mn-ea"/>
            <a:cs typeface="+mn-cs"/>
          </a:endParaRPr>
        </a:p>
      </xdr:txBody>
    </xdr:sp>
    <xdr:clientData/>
  </xdr:twoCellAnchor>
  <xdr:twoCellAnchor>
    <xdr:from>
      <xdr:col>8</xdr:col>
      <xdr:colOff>657225</xdr:colOff>
      <xdr:row>2</xdr:row>
      <xdr:rowOff>0</xdr:rowOff>
    </xdr:from>
    <xdr:to>
      <xdr:col>15</xdr:col>
      <xdr:colOff>0</xdr:colOff>
      <xdr:row>16</xdr:row>
      <xdr:rowOff>657225</xdr:rowOff>
    </xdr:to>
    <xdr:sp macro="" textlink="">
      <xdr:nvSpPr>
        <xdr:cNvPr id="45" name="Rectangle 27">
          <a:extLst>
            <a:ext uri="{FF2B5EF4-FFF2-40B4-BE49-F238E27FC236}">
              <a16:creationId xmlns:a16="http://schemas.microsoft.com/office/drawing/2014/main" id="{73620BAC-134C-4F33-A7E1-9C7C977EC97C}"/>
            </a:ext>
            <a:ext uri="{147F2762-F138-4A5C-976F-8EAC2B608ADB}">
              <a16:predDERef xmlns:a16="http://schemas.microsoft.com/office/drawing/2014/main" pred="{F53D89E8-1757-E218-F8C8-C4664B243F2F}"/>
            </a:ext>
          </a:extLst>
        </xdr:cNvPr>
        <xdr:cNvSpPr/>
      </xdr:nvSpPr>
      <xdr:spPr>
        <a:xfrm>
          <a:off x="6648450" y="933450"/>
          <a:ext cx="5810250" cy="3324225"/>
        </a:xfrm>
        <a:prstGeom prst="rect">
          <a:avLst/>
        </a:prstGeom>
        <a:noFill/>
        <a:ln w="9525">
          <a:solidFill>
            <a:schemeClr val="tx1">
              <a:lumMod val="50000"/>
              <a:lumOff val="50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spcFirstLastPara="0" vertOverflow="clip" horzOverflow="clip" wrap="square" lIns="91440" tIns="45720" rIns="91440" bIns="45720" rtlCol="0" anchor="t">
          <a:noAutofit/>
        </a:bodyPr>
        <a:lstStyle/>
        <a:p>
          <a:pPr marL="0" indent="0" algn="l"/>
          <a:endParaRPr lang="en-US" sz="1100">
            <a:solidFill>
              <a:schemeClr val="lt1"/>
            </a:solidFill>
            <a:latin typeface="+mn-lt"/>
            <a:ea typeface="+mn-lt"/>
            <a:cs typeface="+mn-l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90487</xdr:colOff>
      <xdr:row>8</xdr:row>
      <xdr:rowOff>695325</xdr:rowOff>
    </xdr:from>
    <xdr:to>
      <xdr:col>2</xdr:col>
      <xdr:colOff>577970</xdr:colOff>
      <xdr:row>8</xdr:row>
      <xdr:rowOff>697230</xdr:rowOff>
    </xdr:to>
    <xdr:sp macro="" textlink="">
      <xdr:nvSpPr>
        <xdr:cNvPr id="2" name="Rectangle 1">
          <a:extLst>
            <a:ext uri="{FF2B5EF4-FFF2-40B4-BE49-F238E27FC236}">
              <a16:creationId xmlns:a16="http://schemas.microsoft.com/office/drawing/2014/main" id="{127FBBF5-EF6C-46F0-B6F5-3125C179F73F}"/>
            </a:ext>
          </a:extLst>
        </xdr:cNvPr>
        <xdr:cNvSpPr/>
      </xdr:nvSpPr>
      <xdr:spPr>
        <a:xfrm>
          <a:off x="1309687" y="1714500"/>
          <a:ext cx="487483" cy="1905"/>
        </a:xfrm>
        <a:prstGeom prst="rect">
          <a:avLst/>
        </a:prstGeom>
        <a:solidFill>
          <a:srgbClr val="EAE9CB"/>
        </a:solidFill>
        <a:ln w="19050">
          <a:solidFill>
            <a:srgbClr val="3843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53009</xdr:colOff>
      <xdr:row>49</xdr:row>
      <xdr:rowOff>708991</xdr:rowOff>
    </xdr:from>
    <xdr:to>
      <xdr:col>2</xdr:col>
      <xdr:colOff>540492</xdr:colOff>
      <xdr:row>49</xdr:row>
      <xdr:rowOff>710896</xdr:rowOff>
    </xdr:to>
    <xdr:sp macro="" textlink="">
      <xdr:nvSpPr>
        <xdr:cNvPr id="3" name="Rectangle 2">
          <a:extLst>
            <a:ext uri="{FF2B5EF4-FFF2-40B4-BE49-F238E27FC236}">
              <a16:creationId xmlns:a16="http://schemas.microsoft.com/office/drawing/2014/main" id="{07B37179-830B-486F-BEFC-712525D5ABE8}"/>
            </a:ext>
          </a:extLst>
        </xdr:cNvPr>
        <xdr:cNvSpPr/>
      </xdr:nvSpPr>
      <xdr:spPr>
        <a:xfrm>
          <a:off x="1272209" y="7814641"/>
          <a:ext cx="487483" cy="0"/>
        </a:xfrm>
        <a:prstGeom prst="rect">
          <a:avLst/>
        </a:prstGeom>
        <a:solidFill>
          <a:srgbClr val="EAE9CB"/>
        </a:solidFill>
        <a:ln w="19050">
          <a:solidFill>
            <a:srgbClr val="3843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46382</xdr:colOff>
      <xdr:row>75</xdr:row>
      <xdr:rowOff>695740</xdr:rowOff>
    </xdr:from>
    <xdr:to>
      <xdr:col>2</xdr:col>
      <xdr:colOff>533865</xdr:colOff>
      <xdr:row>75</xdr:row>
      <xdr:rowOff>697645</xdr:rowOff>
    </xdr:to>
    <xdr:sp macro="" textlink="">
      <xdr:nvSpPr>
        <xdr:cNvPr id="4" name="Rectangle 3">
          <a:extLst>
            <a:ext uri="{FF2B5EF4-FFF2-40B4-BE49-F238E27FC236}">
              <a16:creationId xmlns:a16="http://schemas.microsoft.com/office/drawing/2014/main" id="{36B6FB44-A946-4996-9A49-390131EF3534}"/>
            </a:ext>
          </a:extLst>
        </xdr:cNvPr>
        <xdr:cNvSpPr/>
      </xdr:nvSpPr>
      <xdr:spPr>
        <a:xfrm>
          <a:off x="1265582" y="11049415"/>
          <a:ext cx="487483" cy="1905"/>
        </a:xfrm>
        <a:prstGeom prst="rect">
          <a:avLst/>
        </a:prstGeom>
        <a:solidFill>
          <a:srgbClr val="EAE9CB"/>
        </a:solidFill>
        <a:ln w="19050">
          <a:solidFill>
            <a:srgbClr val="3843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76200</xdr:colOff>
      <xdr:row>4</xdr:row>
      <xdr:rowOff>0</xdr:rowOff>
    </xdr:from>
    <xdr:to>
      <xdr:col>2</xdr:col>
      <xdr:colOff>563683</xdr:colOff>
      <xdr:row>4</xdr:row>
      <xdr:rowOff>1905</xdr:rowOff>
    </xdr:to>
    <xdr:sp macro="" textlink="">
      <xdr:nvSpPr>
        <xdr:cNvPr id="2" name="Rectangle 1">
          <a:extLst>
            <a:ext uri="{FF2B5EF4-FFF2-40B4-BE49-F238E27FC236}">
              <a16:creationId xmlns:a16="http://schemas.microsoft.com/office/drawing/2014/main" id="{5F9D28E4-F881-9442-9C6A-8BFCA9D63005}"/>
            </a:ext>
          </a:extLst>
        </xdr:cNvPr>
        <xdr:cNvSpPr/>
      </xdr:nvSpPr>
      <xdr:spPr>
        <a:xfrm>
          <a:off x="1473200" y="762000"/>
          <a:ext cx="487483" cy="1905"/>
        </a:xfrm>
        <a:prstGeom prst="rect">
          <a:avLst/>
        </a:prstGeom>
        <a:solidFill>
          <a:srgbClr val="EAE9CB"/>
        </a:solidFill>
        <a:ln w="19050">
          <a:solidFill>
            <a:srgbClr val="3843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0</xdr:colOff>
      <xdr:row>45</xdr:row>
      <xdr:rowOff>0</xdr:rowOff>
    </xdr:from>
    <xdr:to>
      <xdr:col>2</xdr:col>
      <xdr:colOff>487483</xdr:colOff>
      <xdr:row>45</xdr:row>
      <xdr:rowOff>1905</xdr:rowOff>
    </xdr:to>
    <xdr:sp macro="" textlink="">
      <xdr:nvSpPr>
        <xdr:cNvPr id="3" name="Rectangle 2">
          <a:extLst>
            <a:ext uri="{FF2B5EF4-FFF2-40B4-BE49-F238E27FC236}">
              <a16:creationId xmlns:a16="http://schemas.microsoft.com/office/drawing/2014/main" id="{7D7A6B1B-35AA-214A-8A82-7DDA539623F8}"/>
            </a:ext>
          </a:extLst>
        </xdr:cNvPr>
        <xdr:cNvSpPr/>
      </xdr:nvSpPr>
      <xdr:spPr>
        <a:xfrm>
          <a:off x="1397000" y="7048500"/>
          <a:ext cx="487483" cy="1905"/>
        </a:xfrm>
        <a:prstGeom prst="rect">
          <a:avLst/>
        </a:prstGeom>
        <a:solidFill>
          <a:srgbClr val="EAE9CB"/>
        </a:solidFill>
        <a:ln w="19050">
          <a:solidFill>
            <a:srgbClr val="3843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0</xdr:colOff>
      <xdr:row>71</xdr:row>
      <xdr:rowOff>0</xdr:rowOff>
    </xdr:from>
    <xdr:to>
      <xdr:col>2</xdr:col>
      <xdr:colOff>487483</xdr:colOff>
      <xdr:row>71</xdr:row>
      <xdr:rowOff>1905</xdr:rowOff>
    </xdr:to>
    <xdr:sp macro="" textlink="">
      <xdr:nvSpPr>
        <xdr:cNvPr id="4" name="Rectangle 3">
          <a:extLst>
            <a:ext uri="{FF2B5EF4-FFF2-40B4-BE49-F238E27FC236}">
              <a16:creationId xmlns:a16="http://schemas.microsoft.com/office/drawing/2014/main" id="{C69D7A8E-8CAC-E343-BEA3-61DEF6A96238}"/>
            </a:ext>
          </a:extLst>
        </xdr:cNvPr>
        <xdr:cNvSpPr/>
      </xdr:nvSpPr>
      <xdr:spPr>
        <a:xfrm>
          <a:off x="1397000" y="10477500"/>
          <a:ext cx="487483" cy="1905"/>
        </a:xfrm>
        <a:prstGeom prst="rect">
          <a:avLst/>
        </a:prstGeom>
        <a:solidFill>
          <a:srgbClr val="EAE9CB"/>
        </a:solidFill>
        <a:ln w="19050">
          <a:solidFill>
            <a:srgbClr val="3843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0</xdr:colOff>
      <xdr:row>92</xdr:row>
      <xdr:rowOff>0</xdr:rowOff>
    </xdr:from>
    <xdr:to>
      <xdr:col>2</xdr:col>
      <xdr:colOff>487483</xdr:colOff>
      <xdr:row>92</xdr:row>
      <xdr:rowOff>1905</xdr:rowOff>
    </xdr:to>
    <xdr:sp macro="" textlink="">
      <xdr:nvSpPr>
        <xdr:cNvPr id="7" name="Rectangle 6">
          <a:extLst>
            <a:ext uri="{FF2B5EF4-FFF2-40B4-BE49-F238E27FC236}">
              <a16:creationId xmlns:a16="http://schemas.microsoft.com/office/drawing/2014/main" id="{0BFD3E76-6E2A-4D6A-AD46-F12559B12621}"/>
            </a:ext>
          </a:extLst>
        </xdr:cNvPr>
        <xdr:cNvSpPr/>
      </xdr:nvSpPr>
      <xdr:spPr>
        <a:xfrm>
          <a:off x="350520" y="12428220"/>
          <a:ext cx="487483" cy="1905"/>
        </a:xfrm>
        <a:prstGeom prst="rect">
          <a:avLst/>
        </a:prstGeom>
        <a:solidFill>
          <a:srgbClr val="EAE9CB"/>
        </a:solidFill>
        <a:ln w="19050">
          <a:solidFill>
            <a:srgbClr val="3843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466726</xdr:colOff>
      <xdr:row>10</xdr:row>
      <xdr:rowOff>147637</xdr:rowOff>
    </xdr:from>
    <xdr:to>
      <xdr:col>9</xdr:col>
      <xdr:colOff>1022533</xdr:colOff>
      <xdr:row>23</xdr:row>
      <xdr:rowOff>19050</xdr:rowOff>
    </xdr:to>
    <xdr:graphicFrame macro="">
      <xdr:nvGraphicFramePr>
        <xdr:cNvPr id="2" name="Chart 1">
          <a:extLst>
            <a:ext uri="{FF2B5EF4-FFF2-40B4-BE49-F238E27FC236}">
              <a16:creationId xmlns:a16="http://schemas.microsoft.com/office/drawing/2014/main" id="{9E86A941-B4F8-40C2-B7B6-67B0E5A6E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428625</xdr:colOff>
      <xdr:row>10</xdr:row>
      <xdr:rowOff>147637</xdr:rowOff>
    </xdr:from>
    <xdr:to>
      <xdr:col>12</xdr:col>
      <xdr:colOff>365307</xdr:colOff>
      <xdr:row>23</xdr:row>
      <xdr:rowOff>19050</xdr:rowOff>
    </xdr:to>
    <xdr:graphicFrame macro="">
      <xdr:nvGraphicFramePr>
        <xdr:cNvPr id="3" name="Chart 2">
          <a:extLst>
            <a:ext uri="{FF2B5EF4-FFF2-40B4-BE49-F238E27FC236}">
              <a16:creationId xmlns:a16="http://schemas.microsoft.com/office/drawing/2014/main" id="{ABC7CCC7-55DF-4DEA-ADAF-C6FA271D59F7}"/>
            </a:ext>
            <a:ext uri="{147F2762-F138-4A5C-976F-8EAC2B608ADB}">
              <a16:predDERef xmlns:a16="http://schemas.microsoft.com/office/drawing/2014/main" pred="{7B314DE8-7905-8864-630A-E2D082F22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466726</xdr:colOff>
      <xdr:row>23</xdr:row>
      <xdr:rowOff>104775</xdr:rowOff>
    </xdr:from>
    <xdr:to>
      <xdr:col>9</xdr:col>
      <xdr:colOff>1022533</xdr:colOff>
      <xdr:row>35</xdr:row>
      <xdr:rowOff>166688</xdr:rowOff>
    </xdr:to>
    <xdr:graphicFrame macro="">
      <xdr:nvGraphicFramePr>
        <xdr:cNvPr id="4" name="Chart 3">
          <a:extLst>
            <a:ext uri="{FF2B5EF4-FFF2-40B4-BE49-F238E27FC236}">
              <a16:creationId xmlns:a16="http://schemas.microsoft.com/office/drawing/2014/main" id="{EF7B40E6-75CA-4091-AFE2-310BCE6477D4}"/>
            </a:ext>
            <a:ext uri="{147F2762-F138-4A5C-976F-8EAC2B608ADB}">
              <a16:predDERef xmlns:a16="http://schemas.microsoft.com/office/drawing/2014/main" pred="{F5601092-7548-4FB7-AF1A-C3F6B67D0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428625</xdr:colOff>
      <xdr:row>23</xdr:row>
      <xdr:rowOff>104775</xdr:rowOff>
    </xdr:from>
    <xdr:to>
      <xdr:col>12</xdr:col>
      <xdr:colOff>365307</xdr:colOff>
      <xdr:row>35</xdr:row>
      <xdr:rowOff>166688</xdr:rowOff>
    </xdr:to>
    <xdr:graphicFrame macro="">
      <xdr:nvGraphicFramePr>
        <xdr:cNvPr id="5" name="Chart 4">
          <a:extLst>
            <a:ext uri="{FF2B5EF4-FFF2-40B4-BE49-F238E27FC236}">
              <a16:creationId xmlns:a16="http://schemas.microsoft.com/office/drawing/2014/main" id="{E0423183-0C13-4F6E-8084-6E819041B545}"/>
            </a:ext>
            <a:ext uri="{147F2762-F138-4A5C-976F-8EAC2B608ADB}">
              <a16:predDERef xmlns:a16="http://schemas.microsoft.com/office/drawing/2014/main" pred="{041D38C7-B229-4DF4-8817-1B79DB3023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5</xdr:row>
      <xdr:rowOff>38100</xdr:rowOff>
    </xdr:from>
    <xdr:to>
      <xdr:col>13</xdr:col>
      <xdr:colOff>0</xdr:colOff>
      <xdr:row>7</xdr:row>
      <xdr:rowOff>171450</xdr:rowOff>
    </xdr:to>
    <xdr:sp macro="" textlink="">
      <xdr:nvSpPr>
        <xdr:cNvPr id="6" name="Rectangle 5">
          <a:extLst>
            <a:ext uri="{FF2B5EF4-FFF2-40B4-BE49-F238E27FC236}">
              <a16:creationId xmlns:a16="http://schemas.microsoft.com/office/drawing/2014/main" id="{616B1F0B-C526-4255-AFBA-3F0F3E7B5CC3}"/>
            </a:ext>
          </a:extLst>
        </xdr:cNvPr>
        <xdr:cNvSpPr/>
      </xdr:nvSpPr>
      <xdr:spPr>
        <a:xfrm>
          <a:off x="619125" y="990600"/>
          <a:ext cx="7305675" cy="514350"/>
        </a:xfrm>
        <a:prstGeom prst="rect">
          <a:avLst/>
        </a:prstGeom>
        <a:solidFill>
          <a:sysClr val="window" lastClr="FFFFFF"/>
        </a:solidFill>
        <a:ln>
          <a:noFill/>
        </a:ln>
        <a:effectLst>
          <a:outerShdw blurRad="50800" dist="38100" dir="5400000" algn="ctr" rotWithShape="0">
            <a:srgbClr val="38434D">
              <a:alpha val="6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-22336125</xdr:colOff>
      <xdr:row>0</xdr:row>
      <xdr:rowOff>238125</xdr:rowOff>
    </xdr:from>
    <xdr:to>
      <xdr:col>0</xdr:col>
      <xdr:colOff>-22336125</xdr:colOff>
      <xdr:row>0</xdr:row>
      <xdr:rowOff>238125</xdr:rowOff>
    </xdr:to>
    <xdr:pic>
      <xdr:nvPicPr>
        <xdr:cNvPr id="3" name="Picture 2">
          <a:extLst>
            <a:ext uri="{FF2B5EF4-FFF2-40B4-BE49-F238E27FC236}">
              <a16:creationId xmlns:a16="http://schemas.microsoft.com/office/drawing/2014/main" id="{A4F24933-DD3E-E21A-5813-F4203911C586}"/>
            </a:ext>
          </a:extLst>
        </xdr:cNvPr>
        <xdr:cNvPicPr>
          <a:picLocks noChangeAspect="1"/>
        </xdr:cNvPicPr>
      </xdr:nvPicPr>
      <xdr:blipFill>
        <a:blip xmlns:r="http://schemas.openxmlformats.org/officeDocument/2006/relationships" r:embed="rId1"/>
        <a:stretch>
          <a:fillRect/>
        </a:stretch>
      </xdr:blipFill>
      <xdr:spPr>
        <a:xfrm>
          <a:off x="-22336125" y="238125"/>
          <a:ext cx="0" cy="0"/>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9">
  <rv s="0">
    <v>0</v>
    <v>5</v>
  </rv>
  <rv s="0">
    <v>1</v>
    <v>5</v>
  </rv>
  <rv s="0">
    <v>2</v>
    <v>5</v>
  </rv>
  <rv s="0">
    <v>3</v>
    <v>5</v>
  </rv>
  <rv s="0">
    <v>4</v>
    <v>5</v>
  </rv>
  <rv s="0">
    <v>5</v>
    <v>5</v>
  </rv>
  <rv s="0">
    <v>6</v>
    <v>5</v>
  </rv>
  <rv s="0">
    <v>7</v>
    <v>5</v>
  </rv>
  <rv s="0">
    <v>7</v>
    <v>4</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ACC6589-E2C2-496D-8969-6BE51EC24EC5}" name="FixedAssets" displayName="FixedAssets" ref="C10:G15" totalsRowShown="0" headerRowDxfId="71" dataDxfId="69" headerRowBorderDxfId="70" tableBorderDxfId="68" totalsRowBorderDxfId="67" headerRowCellStyle="Normal 2 2" dataCellStyle="Normal 2 2">
  <autoFilter ref="C10:G15" xr:uid="{7ACC6589-E2C2-496D-8969-6BE51EC24EC5}"/>
  <tableColumns count="5">
    <tableColumn id="1" xr3:uid="{C01C9B70-9F1E-4729-8ECD-6AFFFDA41552}" name="Asset" dataDxfId="66" dataCellStyle="Normal 2 2">
      <calculatedColumnFormula array="1">INDEX(PBC_ACCOUNT_LIST[Name],_xlfn.XMATCH(E11,PBC_ACCOUNT_LIST[Id]))</calculatedColumnFormula>
    </tableColumn>
    <tableColumn id="2" xr3:uid="{10D9C1FB-0CD0-48BD-BF31-20E9DBFB81A7}" name="Depreciation_x000a_/ Amortization Months" dataDxfId="65" dataCellStyle="Normal 2 2"/>
    <tableColumn id="3" xr3:uid="{B1B44E7B-FBB3-4138-A7AE-60F6D5BAAD7B}" name="Asset ID" dataDxfId="64" dataCellStyle="Normal 2 2"/>
    <tableColumn id="4" xr3:uid="{55937578-F6B3-44C8-BE17-42D7318B7B50}" name="Depreciation_x000a_/ Amortization ID" dataDxfId="63" dataCellStyle="Normal 2 2"/>
    <tableColumn id="5" xr3:uid="{F641E720-B1A4-4B3E-AF21-29334A8EF07C}" name="Accumulated Depreciation_x000a_/ Amortization ID" dataDxfId="62" dataCellStyle="Normal 2 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8BE2C43-635C-5843-9141-D05ED05EEC0A}" name="FormatTable" displayName="FormatTable" ref="Q5:R16" totalsRowShown="0" headerRowDxfId="27">
  <autoFilter ref="Q5:R16" xr:uid="{232DE94C-87F1-4C93-ACBF-B44F2E774953}"/>
  <tableColumns count="2">
    <tableColumn id="1" xr3:uid="{9E9EFBA4-7EFF-4538-A279-1383D6285D7E}" name="Format"/>
    <tableColumn id="2" xr3:uid="{546501F9-5C40-4C87-8335-2B058BC16CA2}" name="Code" dataDxfId="2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8F9D0BD-CD99-A644-9E99-034EDFC4366B}" name="Stages" displayName="Stages" ref="D16:E22" totalsRowShown="0" headerRowDxfId="61" tableBorderDxfId="60">
  <autoFilter ref="D16:E22" xr:uid="{3A697495-53C1-4618-BD44-76ABA1F700A1}"/>
  <tableColumns count="2">
    <tableColumn id="1" xr3:uid="{5AF7D77C-E56C-4D29-87B9-776E993BFF8A}" name="Stage" dataDxfId="59"/>
    <tableColumn id="2" xr3:uid="{E1A53870-86E0-426A-8B1A-E99F49CE3412}" name="Likelihood" dataDxfId="5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DB1A9D2-998A-824C-9E83-BE3277AE2078}" name="ExistingImport" displayName="ExistingImport" ref="B2:E18" totalsRowShown="0" headerRowDxfId="57" dataDxfId="56" tableBorderDxfId="55" headerRowCellStyle="Normal 4" dataCellStyle="Normal 4">
  <autoFilter ref="B2:E18" xr:uid="{9D3580B5-E901-43CF-B7F3-975687CF02F3}"/>
  <tableColumns count="4">
    <tableColumn id="1" xr3:uid="{A27C167F-72E2-4FE3-9D9A-C1C5D52413B1}" name="COMPANY" dataDxfId="54" dataCellStyle="Normal 4"/>
    <tableColumn id="6" xr3:uid="{1EC24857-1188-48BF-96B6-24E5C13859ED}" name="BILLING PERIOD" dataDxfId="53" dataCellStyle="Normal 4"/>
    <tableColumn id="7" xr3:uid="{4EDD9B80-8373-41E5-AA5C-5C1F3FDE6C2D}" name="Invoice Amount" dataDxfId="52" dataCellStyle="Normal 4"/>
    <tableColumn id="10" xr3:uid="{7A08D3E4-7955-4321-BB37-3E1962ED41F3}" name="Invoice Date" dataDxfId="51" dataCellStyle="Normal 4"/>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80E3412-C9B4-6D45-8531-72AEA58EDAB4}" name="PBC_PROFIT_AND_LOSS" displayName="PBC_PROFIT_AND_LOSS" ref="A1:F1193" totalsRowShown="0">
  <autoFilter ref="A1:F1193" xr:uid="{C80E3412-C9B4-6D45-8531-72AEA58EDAB4}"/>
  <tableColumns count="6">
    <tableColumn id="1" xr3:uid="{2DDBD536-3F78-0C4D-B380-8014C0D04651}" name="Account"/>
    <tableColumn id="2" xr3:uid="{CFDCF2A9-740F-784E-991D-39DE05822588}" name="Id"/>
    <tableColumn id="3" xr3:uid="{99D6461E-3734-D146-91AD-AB84B9D5BFCD}" name="Date"/>
    <tableColumn id="4" xr3:uid="{605FB987-D3CF-E742-BF4B-EEFEEA40F468}" name="AccountBalance"/>
    <tableColumn id="5" xr3:uid="{2599B907-7B66-354E-B34E-F6355463BE57}" name="Class"/>
    <tableColumn id="6" xr3:uid="{2A60BE69-C18B-0C4B-B4A6-688EADEE9C09}" name="Class ID"/>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B5B45FA-9101-1F4A-98DE-8257BF84D2E1}" name="PBC_BALANCE_SHEET" displayName="PBC_BALANCE_SHEET" ref="H1:M1226" totalsRowShown="0">
  <autoFilter ref="H1:M1226" xr:uid="{7B5B45FA-9101-1F4A-98DE-8257BF84D2E1}"/>
  <tableColumns count="6">
    <tableColumn id="1" xr3:uid="{29D808A7-094F-0A49-802B-3BD3B5A29DB1}" name="Account"/>
    <tableColumn id="2" xr3:uid="{A23D94C7-521E-5B41-AEA3-8032973AF028}" name="Id"/>
    <tableColumn id="3" xr3:uid="{DA2C4EC5-9C4D-E541-8006-FE5DFC2C7AFA}" name="Date"/>
    <tableColumn id="4" xr3:uid="{5E205FF6-A77E-CF4E-9CFD-B3966FC7259D}" name="AccountBalance"/>
    <tableColumn id="5" xr3:uid="{020299BF-27CE-BC48-9E7D-9F52771C5327}" name="Class"/>
    <tableColumn id="6" xr3:uid="{378D2720-CAAC-424B-A3EA-A67BA3FC7B32}" name="Class ID"/>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7605658-A7F3-804C-894B-DB021AB3810C}" name="PBC_ACCOUNT_LIST" displayName="PBC_ACCOUNT_LIST" ref="O1:AA66" totalsRowShown="0">
  <autoFilter ref="O1:AA66" xr:uid="{67605658-A7F3-804C-894B-DB021AB3810C}"/>
  <tableColumns count="13">
    <tableColumn id="1" xr3:uid="{23C6CF03-BB4C-4440-8F00-D5AFE3C70F26}" name="Id"/>
    <tableColumn id="2" xr3:uid="{C590317B-B4FF-8E48-ABAC-E5DFF086F9D5}" name="Name"/>
    <tableColumn id="3" xr3:uid="{9896328F-954D-894C-B6D8-1819A5E6F4D0}" name="SubAccount"/>
    <tableColumn id="4" xr3:uid="{C6354713-ACBD-6B42-9915-C8CB339E7E24}" name="ParentRef"/>
    <tableColumn id="5" xr3:uid="{7B1F8DDA-0F1B-E04B-B747-9B21852AE8C0}" name="Classification"/>
    <tableColumn id="6" xr3:uid="{E04CBDCB-6341-FA41-9BA5-90CF3BBE758B}" name="AccountType"/>
    <tableColumn id="7" xr3:uid="{2F7C35D3-DA23-324E-8172-3DD9045CCAEC}" name="AccountSubType"/>
    <tableColumn id="8" xr3:uid="{70631C71-6DD7-5445-9154-DECB523E248A}" name="Cash Flow Section"/>
    <tableColumn id="9" xr3:uid="{396E3F78-591D-974A-9F79-6538F77D487B}" name="Cash Flow Sub-Section"/>
    <tableColumn id="10" xr3:uid="{86F25FD2-1BD4-D849-BA24-7D20AB352D1D}" name="Sign_for_total_cashflow"/>
    <tableColumn id="11" xr3:uid="{4ECDD5A0-9006-DB4D-B925-547781167F12}" name="Drivers Section"/>
    <tableColumn id="12" xr3:uid="{A10AA169-7C08-8943-910E-B480C2C1AEC9}" name="Drivers Sorting Key"/>
    <tableColumn id="13" xr3:uid="{BF1A3B01-3E64-B94E-82A6-13DE47EF6B37}" name="Summary Grouping"/>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82967C0-61C5-AB47-8006-A2DE64E579C1}" name="PBC_CLASS_LIST" displayName="PBC_CLASS_LIST" ref="AC1:AD2" totalsRowShown="0">
  <autoFilter ref="AC1:AD2" xr:uid="{D82967C0-61C5-AB47-8006-A2DE64E579C1}"/>
  <tableColumns count="2">
    <tableColumn id="1" xr3:uid="{62199B6B-F485-B544-9292-459E39DD14E9}" name="Id"/>
    <tableColumn id="2" xr3:uid="{47AF4EF0-F0B4-8544-8881-AB452DF42AA0}" name="ClassNam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BB21F1A-476B-F14B-BD3B-568B8C526AFA}" name="PipelineImport" displayName="PipelineImport" ref="B2:I161" totalsRowShown="0" headerRowDxfId="50" dataDxfId="49">
  <autoFilter ref="B2:I161" xr:uid="{7E661C2B-A18F-4EAE-913C-AC3C35AF6EEB}"/>
  <tableColumns count="8">
    <tableColumn id="1" xr3:uid="{CBC9D05F-4BC4-4125-B771-4B48B9A410F0}" name="Record ID" dataDxfId="48" dataCellStyle="Normal 2 2"/>
    <tableColumn id="3" xr3:uid="{EDF08C89-FA22-488A-B1B4-213B541300EB}" name="Deal Name" dataDxfId="47" dataCellStyle="Normal 2 2"/>
    <tableColumn id="4" xr3:uid="{E604C3B1-59EC-4368-A0EA-9034BD894DF2}" name="Length" dataDxfId="46" dataCellStyle="Normal 2 2"/>
    <tableColumn id="5" xr3:uid="{A97621A5-AA9C-48AB-A061-DA690ABB9E0B}" name="Deal Stage" dataDxfId="45" dataCellStyle="Normal 2 2"/>
    <tableColumn id="6" xr3:uid="{28277186-FD1C-49B6-8A0B-C52E2789FEB6}" name="Close Date" dataDxfId="44" dataCellStyle="Normal 2 2"/>
    <tableColumn id="7" xr3:uid="{9A1586C3-3C6D-41FC-9DC2-AE17E3A90140}" name="Amount" dataDxfId="43"/>
    <tableColumn id="8" xr3:uid="{40F2ECF9-AEB1-4BC4-B033-45964C2CE476}" name="Close Likehihood" dataDxfId="42"/>
    <tableColumn id="9" xr3:uid="{7ED6C3F0-AC19-42E4-A88D-86EDAF6FEE09}" name="Weight Average" dataDxfId="41" dataCellStyle="Normal 2 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AE30EA6-6EA4-9C42-B4F6-122D9D86BF98}" name="PeriodTable" displayName="PeriodTable" ref="E5:O20" totalsRowShown="0" headerRowDxfId="40" dataDxfId="39">
  <autoFilter ref="E5:O20" xr:uid="{46DFC06E-5420-496F-B1B9-945AD9D72B85}"/>
  <tableColumns count="11">
    <tableColumn id="1" xr3:uid="{08E7D7BD-9620-4EFF-85AC-80A2C9070757}" name="Period" dataDxfId="38"/>
    <tableColumn id="2" xr3:uid="{DB49978C-C1AD-47AF-B709-DEC2309176F6}" name="Start date" dataDxfId="37"/>
    <tableColumn id="3" xr3:uid="{6F99EAC4-FB13-435D-ABC1-F1437C171F5F}" name="End date" dataDxfId="36">
      <calculatedColumnFormula>LatestMonthOfActuals</calculatedColumnFormula>
    </tableColumn>
    <tableColumn id="4" xr3:uid="{B6A19CB3-EF23-4F4A-8402-72A4CFFEE93A}" name="Display text" dataDxfId="35"/>
    <tableColumn id="8" xr3:uid="{53BD2AF3-78A9-418B-8C19-756831964C4E}" name="Periods" dataDxfId="34">
      <calculatedColumnFormula>(YEAR(PeriodTable[[#This Row],[End date]])-YEAR(PeriodTable[[#This Row],[Start date]]))*12+(MONTH(PeriodTable[[#This Row],[End date]])-MONTH(PeriodTable[[#This Row],[Start date]]))+1</calculatedColumnFormula>
    </tableColumn>
    <tableColumn id="5" xr3:uid="{A81C3D1A-026F-4277-9B19-4E3E4578EB31}" name="Prior Period Start" dataDxfId="33">
      <calculatedColumnFormula>EOMONTH(PeriodTable[[#This Row],[Start date]],-PeriodTable[[#This Row],[Periods]]-1)+1</calculatedColumnFormula>
    </tableColumn>
    <tableColumn id="6" xr3:uid="{8259C40F-413D-4AB3-9F54-E16A2107DFA5}" name="Prior Period End" dataDxfId="32">
      <calculatedColumnFormula>EOMONTH(PeriodTable[[#This Row],[Prior Period Start]],PeriodTable[[#This Row],[Periods]]-1)</calculatedColumnFormula>
    </tableColumn>
    <tableColumn id="7" xr3:uid="{E53DE773-37B9-490F-8A09-18CD2B6569BA}" name="Prior Period Display text" dataDxfId="31"/>
    <tableColumn id="9" xr3:uid="{A0EB23BB-CCE8-477E-8151-942728B3C3EB}" name="Prior Year Start" dataDxfId="30">
      <calculatedColumnFormula>EOMONTH(PeriodTable[[#This Row],[Start date]],-13)+1</calculatedColumnFormula>
    </tableColumn>
    <tableColumn id="10" xr3:uid="{DB4605AA-55E9-4F94-9496-EDB2F9CE9D62}" name="Prior Year End" dataDxfId="29">
      <calculatedColumnFormula>EOMONTH(PeriodTable[[#This Row],[Prior Year Start]],PeriodTable[[#This Row],[Periods]]-1)</calculatedColumnFormula>
    </tableColumn>
    <tableColumn id="11" xr3:uid="{F3882B49-6CE3-4286-BB49-DCBB9B3667EE}" name="Prior Year Display Text" dataDxfId="2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1" width="350" row="4">
    <wetp:webextensionref xmlns:r="http://schemas.openxmlformats.org/officeDocument/2006/relationships" r:id="rId1"/>
  </wetp:taskpane>
</wetp:taskpanes>
</file>

<file path=xl/webextensions/webextension1.xml><?xml version="1.0" encoding="utf-8"?>
<we:webextension xmlns:we="http://schemas.microsoft.com/office/webextensions/webextension/2010/11" id="{b7806706-07b7-4e93-b525-54828edf7087}">
  <we:reference id="WA200006775" version="1.2.2.9" store="en-US" storeType="OMEX"/>
  <we:alternateReferences/>
  <we:properties>
    <we:property name="mw_execution_history" value="&quot;{\&quot;v\&quot;:1,\&quot;entries\&quot;:[{\&quot;id\&quot;:\&quot;exec_32634df76b83\&quot;,\&quot;ts\&quot;:\&quot;2026-03-30T13:16:25.946Z\&quot;,\&quot;op\&quot;:\&quot;TemplateDownload\&quot;,\&quot;ok\&quot;:true,\&quot;dur\&quot;:272522,\&quot;meta\&quot;:\&quot;Comparison Financials\&quot;,\&quot;app\&quot;:\&quot;2.1\&quot;,\&quot;err\&quot;:\&quot;ERROR FLAG DETECTED in error check sheet\&quot;}]}&quot;"/>
  </we:properties>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modelwiz.com/get-started" TargetMode="Externa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customProperty" Target="../customProperty14.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customProperty" Target="../customProperty18.bin"/><Relationship Id="rId1" Type="http://schemas.openxmlformats.org/officeDocument/2006/relationships/customProperty" Target="../customProperty17.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customProperty" Target="../customProperty20.bin"/><Relationship Id="rId1" Type="http://schemas.openxmlformats.org/officeDocument/2006/relationships/printerSettings" Target="../printerSettings/printerSettings6.bin"/><Relationship Id="rId6" Type="http://schemas.openxmlformats.org/officeDocument/2006/relationships/drawing" Target="../drawings/drawing9.xml"/><Relationship Id="rId5" Type="http://schemas.openxmlformats.org/officeDocument/2006/relationships/customProperty" Target="../customProperty23.bin"/><Relationship Id="rId4" Type="http://schemas.openxmlformats.org/officeDocument/2006/relationships/customProperty" Target="../customProperty2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customProperty" Target="../customProperty26.bin"/><Relationship Id="rId1" Type="http://schemas.openxmlformats.org/officeDocument/2006/relationships/printerSettings" Target="../printerSettings/printerSettings11.bin"/><Relationship Id="rId4" Type="http://schemas.openxmlformats.org/officeDocument/2006/relationships/table" Target="../tables/table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29.bin"/><Relationship Id="rId2" Type="http://schemas.openxmlformats.org/officeDocument/2006/relationships/customProperty" Target="../customProperty28.bin"/><Relationship Id="rId1" Type="http://schemas.openxmlformats.org/officeDocument/2006/relationships/printerSettings" Target="../printerSettings/printerSettings13.bin"/><Relationship Id="rId4" Type="http://schemas.openxmlformats.org/officeDocument/2006/relationships/customProperty" Target="../customProperty3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customProperty" Target="../customProperty31.bin"/><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customProperty" Target="../customProperty35.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customProperty" Target="../customProperty36.bin"/><Relationship Id="rId5" Type="http://schemas.openxmlformats.org/officeDocument/2006/relationships/table" Target="../tables/table7.xml"/><Relationship Id="rId4" Type="http://schemas.openxmlformats.org/officeDocument/2006/relationships/table" Target="../tables/table6.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customProperty" Target="../customProperty37.bin"/><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customProperty" Target="../customProperty38.bin"/><Relationship Id="rId1" Type="http://schemas.openxmlformats.org/officeDocument/2006/relationships/printerSettings" Target="../printerSettings/printerSettings19.bin"/><Relationship Id="rId4" Type="http://schemas.openxmlformats.org/officeDocument/2006/relationships/table" Target="../tables/table10.xml"/></Relationships>
</file>

<file path=xl/worksheets/_rels/sheet28.xml.rels><?xml version="1.0" encoding="UTF-8" standalone="yes"?>
<Relationships xmlns="http://schemas.openxmlformats.org/package/2006/relationships"><Relationship Id="rId1" Type="http://schemas.openxmlformats.org/officeDocument/2006/relationships/customProperty" Target="../customProperty3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modelwiz.com/templates/summarized-balance-sheet" TargetMode="External"/><Relationship Id="rId7" Type="http://schemas.openxmlformats.org/officeDocument/2006/relationships/drawing" Target="../drawings/drawing3.xml"/><Relationship Id="rId2" Type="http://schemas.openxmlformats.org/officeDocument/2006/relationships/hyperlink" Target="https://www.modelwiz.com/templates/summarized-p%26l" TargetMode="External"/><Relationship Id="rId1" Type="http://schemas.openxmlformats.org/officeDocument/2006/relationships/hyperlink" Target="https://www.modelwiz.com/templates/kpi-dashboard" TargetMode="External"/><Relationship Id="rId6" Type="http://schemas.openxmlformats.org/officeDocument/2006/relationships/customProperty" Target="../customProperty2.bin"/><Relationship Id="rId5" Type="http://schemas.openxmlformats.org/officeDocument/2006/relationships/hyperlink" Target="https://www.modelwiz.com/templates/error-check" TargetMode="External"/><Relationship Id="rId4" Type="http://schemas.openxmlformats.org/officeDocument/2006/relationships/hyperlink" Target="https://www.modelwiz.com/templates/summarized-cash-flow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customProperty" Target="../customProperty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2.bin"/><Relationship Id="rId5" Type="http://schemas.openxmlformats.org/officeDocument/2006/relationships/drawing" Target="../drawings/drawing6.xml"/><Relationship Id="rId4"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3.bin"/><Relationship Id="rId5" Type="http://schemas.openxmlformats.org/officeDocument/2006/relationships/drawing" Target="../drawings/drawing7.xml"/><Relationship Id="rId4" Type="http://schemas.openxmlformats.org/officeDocument/2006/relationships/customProperty" Target="../customProperty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0.bin"/><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5.bin"/><Relationship Id="rId4" Type="http://schemas.openxmlformats.org/officeDocument/2006/relationships/customProperty" Target="../customProperty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C0723-5549-754A-A67E-DE7DBE6F3309}">
  <sheetPr>
    <tabColor rgb="FF38434D"/>
  </sheetPr>
  <dimension ref="A1:X67"/>
  <sheetViews>
    <sheetView showGridLines="0" zoomScale="80" zoomScaleNormal="80" workbookViewId="0">
      <selection activeCell="J8" sqref="J8"/>
    </sheetView>
  </sheetViews>
  <sheetFormatPr defaultColWidth="0" defaultRowHeight="15" zeroHeight="1"/>
  <cols>
    <col min="1" max="1" width="1.85546875" style="696" customWidth="1"/>
    <col min="2" max="6" width="10.28515625" style="696" customWidth="1"/>
    <col min="7" max="7" width="1.85546875" style="696" customWidth="1"/>
    <col min="8" max="8" width="0.7109375" style="729" customWidth="1"/>
    <col min="9" max="9" width="1.85546875" style="696" customWidth="1"/>
    <col min="10" max="20" width="9.42578125" style="696" customWidth="1"/>
    <col min="21" max="21" width="1.85546875" style="696" customWidth="1"/>
    <col min="22" max="24" width="0" style="696" hidden="1" customWidth="1"/>
    <col min="25" max="16384" width="9.140625" style="696" hidden="1"/>
  </cols>
  <sheetData>
    <row r="1" spans="1:21" s="689" customFormat="1" ht="15" customHeight="1">
      <c r="A1" s="687"/>
      <c r="B1" s="781"/>
      <c r="C1" s="688"/>
      <c r="D1" s="688"/>
      <c r="E1" s="688"/>
      <c r="F1" s="688"/>
      <c r="G1" s="688"/>
      <c r="H1" s="688"/>
      <c r="I1" s="688"/>
      <c r="J1" s="688"/>
      <c r="K1" s="688"/>
      <c r="L1" s="688"/>
      <c r="M1" s="688"/>
      <c r="N1" s="688"/>
      <c r="O1" s="688"/>
      <c r="P1" s="688"/>
      <c r="Q1" s="688"/>
      <c r="R1" s="688"/>
      <c r="S1" s="688"/>
      <c r="T1" s="688"/>
      <c r="U1" s="688"/>
    </row>
    <row r="2" spans="1:21" s="689" customFormat="1" ht="17.100000000000001" customHeight="1">
      <c r="A2" s="688"/>
      <c r="B2" s="781"/>
      <c r="C2" s="783" t="s">
        <v>0</v>
      </c>
      <c r="D2" s="783"/>
      <c r="E2" s="783"/>
      <c r="F2" s="783"/>
      <c r="G2" s="783"/>
      <c r="H2" s="783"/>
      <c r="I2" s="783"/>
      <c r="J2" s="783"/>
      <c r="K2" s="783"/>
      <c r="L2" s="688"/>
      <c r="M2" s="688"/>
      <c r="N2" s="690"/>
      <c r="O2" s="784" t="s">
        <v>1</v>
      </c>
      <c r="P2" s="784"/>
      <c r="Q2" s="784"/>
      <c r="R2" s="784"/>
      <c r="S2" s="785" t="s">
        <v>2</v>
      </c>
      <c r="T2" s="785"/>
      <c r="U2" s="688"/>
    </row>
    <row r="3" spans="1:21" s="689" customFormat="1" ht="17.100000000000001" customHeight="1">
      <c r="A3" s="691"/>
      <c r="B3" s="781"/>
      <c r="C3" s="783"/>
      <c r="D3" s="783"/>
      <c r="E3" s="783"/>
      <c r="F3" s="783"/>
      <c r="G3" s="783"/>
      <c r="H3" s="783"/>
      <c r="I3" s="783"/>
      <c r="J3" s="783"/>
      <c r="K3" s="783"/>
      <c r="L3" s="688"/>
      <c r="M3" s="690"/>
      <c r="N3" s="690"/>
      <c r="O3" s="784"/>
      <c r="P3" s="784"/>
      <c r="Q3" s="784"/>
      <c r="R3" s="784"/>
      <c r="S3" s="785"/>
      <c r="T3" s="785"/>
      <c r="U3" s="688"/>
    </row>
    <row r="4" spans="1:21" s="689" customFormat="1" ht="15" customHeight="1">
      <c r="A4" s="692"/>
      <c r="B4" s="782"/>
      <c r="C4" s="693"/>
      <c r="D4" s="693"/>
      <c r="E4" s="693"/>
      <c r="F4" s="693"/>
      <c r="G4" s="693"/>
      <c r="H4" s="693"/>
      <c r="I4" s="693"/>
      <c r="J4" s="693"/>
      <c r="K4" s="693"/>
      <c r="L4" s="693"/>
      <c r="M4" s="693"/>
      <c r="N4" s="693"/>
      <c r="O4" s="693"/>
      <c r="P4" s="693"/>
      <c r="Q4" s="693"/>
      <c r="R4" s="693"/>
      <c r="S4" s="693"/>
      <c r="T4" s="693"/>
      <c r="U4" s="688"/>
    </row>
    <row r="5" spans="1:21" ht="17.100000000000001" customHeight="1">
      <c r="A5" s="694"/>
      <c r="B5" s="694"/>
      <c r="C5" s="694"/>
      <c r="D5" s="694"/>
      <c r="E5" s="694"/>
      <c r="F5" s="694"/>
      <c r="G5" s="694"/>
      <c r="H5" s="695"/>
      <c r="I5" s="694"/>
      <c r="J5" s="694"/>
      <c r="K5" s="694"/>
      <c r="L5" s="694"/>
      <c r="M5" s="694"/>
      <c r="N5" s="694"/>
      <c r="O5" s="694"/>
    </row>
    <row r="6" spans="1:21" s="703" customFormat="1" ht="17.100000000000001" customHeight="1">
      <c r="A6" s="697"/>
      <c r="B6" s="698" t="s">
        <v>3</v>
      </c>
      <c r="C6" s="697"/>
      <c r="D6" s="699"/>
      <c r="E6" s="697"/>
      <c r="F6" s="697"/>
      <c r="G6" s="697"/>
      <c r="H6" s="700"/>
      <c r="I6" s="697"/>
      <c r="J6" s="698" t="s">
        <v>4</v>
      </c>
      <c r="K6" s="697"/>
      <c r="L6" s="701"/>
      <c r="M6" s="702"/>
      <c r="N6" s="697"/>
      <c r="O6" s="697"/>
      <c r="T6" s="701"/>
    </row>
    <row r="7" spans="1:21" ht="17.100000000000001" customHeight="1">
      <c r="A7" s="694"/>
      <c r="B7" s="694"/>
      <c r="C7" s="694"/>
      <c r="D7" s="694"/>
      <c r="E7" s="694"/>
      <c r="F7" s="694"/>
      <c r="G7" s="694"/>
      <c r="H7" s="695"/>
      <c r="I7" s="694"/>
      <c r="K7" s="704"/>
      <c r="L7" s="704"/>
      <c r="M7" s="704"/>
      <c r="N7" s="704"/>
      <c r="O7" s="694"/>
    </row>
    <row r="8" spans="1:21" ht="17.100000000000001" customHeight="1">
      <c r="A8" s="705"/>
      <c r="B8" s="786" t="s">
        <v>5</v>
      </c>
      <c r="C8" s="786"/>
      <c r="D8" s="786"/>
      <c r="E8" s="786"/>
      <c r="F8" s="786"/>
      <c r="G8" s="694"/>
      <c r="H8" s="695"/>
      <c r="I8" s="694"/>
      <c r="J8" s="706" t="s">
        <v>6</v>
      </c>
      <c r="K8" s="707"/>
      <c r="L8" s="708"/>
      <c r="M8" s="708"/>
      <c r="N8" s="708"/>
    </row>
    <row r="9" spans="1:21" ht="17.100000000000001" customHeight="1">
      <c r="A9" s="705"/>
      <c r="B9" s="786"/>
      <c r="C9" s="786"/>
      <c r="D9" s="786"/>
      <c r="E9" s="786"/>
      <c r="F9" s="786"/>
      <c r="G9" s="694"/>
      <c r="H9" s="695"/>
      <c r="I9" s="694"/>
      <c r="J9" s="708"/>
      <c r="K9" s="708"/>
      <c r="L9" s="708"/>
      <c r="M9" s="708"/>
      <c r="N9" s="708"/>
    </row>
    <row r="10" spans="1:21" ht="17.100000000000001" customHeight="1">
      <c r="A10" s="705"/>
      <c r="B10" s="786"/>
      <c r="C10" s="786"/>
      <c r="D10" s="786"/>
      <c r="E10" s="786"/>
      <c r="F10" s="786"/>
      <c r="G10" s="694"/>
      <c r="H10" s="695"/>
      <c r="I10" s="709"/>
      <c r="J10" s="708"/>
      <c r="K10" s="708"/>
      <c r="L10" s="708"/>
      <c r="M10" s="708"/>
      <c r="N10" s="708"/>
    </row>
    <row r="11" spans="1:21" ht="17.100000000000001" customHeight="1">
      <c r="A11" s="705"/>
      <c r="B11" s="786"/>
      <c r="C11" s="786"/>
      <c r="D11" s="786"/>
      <c r="E11" s="786"/>
      <c r="F11" s="786"/>
      <c r="G11" s="694"/>
      <c r="H11" s="695"/>
      <c r="I11" s="709"/>
      <c r="K11" s="709"/>
      <c r="L11" s="709"/>
      <c r="M11" s="709"/>
    </row>
    <row r="12" spans="1:21" ht="17.100000000000001" customHeight="1">
      <c r="A12" s="705"/>
      <c r="B12" s="786"/>
      <c r="C12" s="786"/>
      <c r="D12" s="786"/>
      <c r="E12" s="786"/>
      <c r="F12" s="786"/>
      <c r="G12" s="694"/>
      <c r="H12" s="695"/>
      <c r="I12" s="710"/>
      <c r="K12" s="709"/>
      <c r="L12" s="711"/>
      <c r="M12" s="711"/>
    </row>
    <row r="13" spans="1:21" ht="17.100000000000001" customHeight="1">
      <c r="A13" s="705"/>
      <c r="B13" s="786"/>
      <c r="C13" s="786"/>
      <c r="D13" s="786"/>
      <c r="E13" s="786"/>
      <c r="F13" s="786"/>
      <c r="G13" s="694"/>
      <c r="H13" s="695"/>
      <c r="I13" s="710"/>
      <c r="K13" s="712"/>
      <c r="L13" s="713"/>
      <c r="M13" s="713"/>
    </row>
    <row r="14" spans="1:21" ht="17.100000000000001" customHeight="1">
      <c r="A14" s="705"/>
      <c r="B14" s="786"/>
      <c r="C14" s="786"/>
      <c r="D14" s="786"/>
      <c r="E14" s="786"/>
      <c r="F14" s="786"/>
      <c r="G14" s="694"/>
      <c r="H14" s="695"/>
      <c r="I14" s="710"/>
      <c r="K14" s="712"/>
      <c r="L14" s="712"/>
      <c r="M14" s="712"/>
      <c r="N14" s="712"/>
      <c r="O14" s="710"/>
    </row>
    <row r="15" spans="1:21" ht="17.100000000000001" customHeight="1">
      <c r="A15" s="705"/>
      <c r="B15" s="786"/>
      <c r="C15" s="786"/>
      <c r="D15" s="786"/>
      <c r="E15" s="786"/>
      <c r="F15" s="786"/>
      <c r="G15" s="694"/>
      <c r="H15" s="695"/>
      <c r="I15" s="694"/>
      <c r="K15" s="703"/>
      <c r="L15" s="714"/>
      <c r="M15" s="703"/>
      <c r="N15" s="715"/>
      <c r="O15" s="712"/>
    </row>
    <row r="16" spans="1:21" ht="17.100000000000001" customHeight="1">
      <c r="A16" s="705"/>
      <c r="B16" s="786"/>
      <c r="C16" s="786"/>
      <c r="D16" s="786"/>
      <c r="E16" s="786"/>
      <c r="F16" s="786"/>
      <c r="G16" s="694"/>
      <c r="H16" s="695"/>
      <c r="I16" s="694"/>
      <c r="J16" s="716"/>
      <c r="K16" s="717"/>
      <c r="L16" s="718"/>
      <c r="M16" s="719"/>
      <c r="N16" s="719"/>
      <c r="O16" s="712"/>
    </row>
    <row r="17" spans="1:21" ht="17.100000000000001" customHeight="1">
      <c r="A17" s="705"/>
      <c r="B17" s="786"/>
      <c r="C17" s="786"/>
      <c r="D17" s="786"/>
      <c r="E17" s="786"/>
      <c r="F17" s="786"/>
      <c r="G17" s="694"/>
      <c r="H17" s="695"/>
      <c r="I17" s="710"/>
      <c r="J17" s="716"/>
      <c r="K17" s="718"/>
      <c r="L17" s="718"/>
      <c r="M17" s="719"/>
      <c r="N17" s="719"/>
      <c r="O17" s="710"/>
    </row>
    <row r="18" spans="1:21" ht="17.100000000000001" customHeight="1">
      <c r="A18" s="705"/>
      <c r="B18" s="786"/>
      <c r="C18" s="786"/>
      <c r="D18" s="786"/>
      <c r="E18" s="786"/>
      <c r="F18" s="786"/>
      <c r="G18" s="694"/>
      <c r="H18" s="695"/>
      <c r="I18" s="710"/>
      <c r="J18" s="704"/>
      <c r="K18" s="704"/>
      <c r="L18" s="704"/>
      <c r="M18" s="704"/>
      <c r="N18" s="704"/>
      <c r="O18" s="710"/>
      <c r="R18" s="715"/>
      <c r="S18" s="719"/>
    </row>
    <row r="19" spans="1:21" ht="17.100000000000001" customHeight="1">
      <c r="A19" s="705"/>
      <c r="B19" s="786"/>
      <c r="C19" s="786"/>
      <c r="D19" s="786"/>
      <c r="E19" s="786"/>
      <c r="F19" s="786"/>
      <c r="G19" s="694"/>
      <c r="H19" s="695"/>
      <c r="I19" s="710"/>
      <c r="J19" s="720"/>
      <c r="K19" s="720"/>
      <c r="L19" s="720"/>
      <c r="M19" s="720"/>
      <c r="N19" s="720"/>
      <c r="O19" s="710"/>
      <c r="R19" s="703"/>
      <c r="S19" s="703"/>
      <c r="T19" s="703"/>
    </row>
    <row r="20" spans="1:21" ht="17.100000000000001" customHeight="1">
      <c r="A20" s="705"/>
      <c r="B20" s="786"/>
      <c r="C20" s="786"/>
      <c r="D20" s="786"/>
      <c r="E20" s="786"/>
      <c r="F20" s="786"/>
      <c r="G20" s="694"/>
      <c r="H20" s="695"/>
      <c r="I20" s="710"/>
      <c r="J20" s="721"/>
      <c r="K20" s="721"/>
      <c r="L20" s="721"/>
      <c r="M20" s="721"/>
      <c r="N20" s="721"/>
      <c r="O20" s="710"/>
    </row>
    <row r="21" spans="1:21" ht="17.100000000000001" customHeight="1">
      <c r="A21" s="705"/>
      <c r="B21" s="786"/>
      <c r="C21" s="786"/>
      <c r="D21" s="786"/>
      <c r="E21" s="786"/>
      <c r="F21" s="786"/>
      <c r="G21" s="694"/>
      <c r="H21" s="695"/>
      <c r="I21" s="694"/>
      <c r="J21" s="721"/>
      <c r="K21" s="721"/>
      <c r="L21" s="721"/>
      <c r="M21" s="721"/>
      <c r="N21" s="721"/>
      <c r="O21" s="694"/>
      <c r="R21" s="722"/>
      <c r="S21" s="694"/>
      <c r="T21" s="694"/>
    </row>
    <row r="22" spans="1:21" ht="17.100000000000001" customHeight="1">
      <c r="A22" s="705"/>
      <c r="B22" s="786"/>
      <c r="C22" s="786"/>
      <c r="D22" s="786"/>
      <c r="E22" s="786"/>
      <c r="F22" s="786"/>
      <c r="G22" s="694"/>
      <c r="H22" s="695"/>
      <c r="I22" s="694"/>
      <c r="J22" s="721"/>
      <c r="K22" s="721"/>
      <c r="L22" s="721"/>
      <c r="N22" s="721"/>
      <c r="O22" s="694"/>
      <c r="Q22" s="723"/>
      <c r="R22" s="697"/>
      <c r="S22" s="724"/>
      <c r="T22" s="724"/>
      <c r="U22" s="725"/>
    </row>
    <row r="23" spans="1:21" ht="17.100000000000001" customHeight="1">
      <c r="A23" s="705"/>
      <c r="B23" s="786"/>
      <c r="C23" s="786"/>
      <c r="D23" s="786"/>
      <c r="E23" s="786"/>
      <c r="F23" s="786"/>
      <c r="G23" s="694"/>
      <c r="H23" s="695"/>
      <c r="I23" s="694"/>
      <c r="J23" s="697"/>
      <c r="K23" s="697"/>
      <c r="L23" s="697"/>
      <c r="N23" s="697"/>
      <c r="O23" s="694"/>
      <c r="R23" s="697"/>
      <c r="S23" s="724"/>
      <c r="T23" s="724"/>
      <c r="U23" s="725"/>
    </row>
    <row r="24" spans="1:21" ht="17.100000000000001" customHeight="1">
      <c r="A24" s="705"/>
      <c r="B24" s="786"/>
      <c r="C24" s="786"/>
      <c r="D24" s="786"/>
      <c r="E24" s="786"/>
      <c r="F24" s="786"/>
      <c r="G24" s="694"/>
      <c r="H24" s="695"/>
      <c r="I24" s="694"/>
      <c r="J24" s="697"/>
      <c r="N24" s="697"/>
      <c r="O24" s="694"/>
      <c r="Q24" s="723"/>
      <c r="R24" s="697"/>
      <c r="S24" s="724"/>
      <c r="T24" s="724"/>
      <c r="U24" s="725"/>
    </row>
    <row r="25" spans="1:21" ht="17.100000000000001" customHeight="1">
      <c r="A25" s="705"/>
      <c r="B25" s="786"/>
      <c r="C25" s="786"/>
      <c r="D25" s="786"/>
      <c r="E25" s="786"/>
      <c r="F25" s="786"/>
      <c r="G25" s="694"/>
      <c r="H25" s="695"/>
      <c r="I25" s="694"/>
      <c r="J25" s="697"/>
      <c r="N25" s="697"/>
      <c r="O25" s="694"/>
      <c r="Q25" s="723"/>
      <c r="R25" s="697"/>
      <c r="S25" s="724"/>
      <c r="T25" s="724"/>
      <c r="U25" s="725"/>
    </row>
    <row r="26" spans="1:21" ht="17.100000000000001" customHeight="1">
      <c r="A26" s="705"/>
      <c r="B26" s="786"/>
      <c r="C26" s="786"/>
      <c r="D26" s="786"/>
      <c r="E26" s="786"/>
      <c r="F26" s="786"/>
      <c r="G26" s="694"/>
      <c r="H26" s="695"/>
      <c r="I26" s="694"/>
      <c r="J26" s="697"/>
      <c r="K26" s="697"/>
      <c r="N26" s="697"/>
      <c r="O26" s="694"/>
      <c r="R26" s="719"/>
      <c r="S26" s="719"/>
      <c r="T26" s="719"/>
      <c r="U26" s="725"/>
    </row>
    <row r="27" spans="1:21" ht="17.100000000000001" customHeight="1">
      <c r="A27" s="705"/>
      <c r="B27" s="786"/>
      <c r="C27" s="786"/>
      <c r="D27" s="786"/>
      <c r="E27" s="786"/>
      <c r="F27" s="786"/>
      <c r="G27" s="694"/>
      <c r="H27" s="695"/>
      <c r="I27" s="694"/>
      <c r="O27" s="694"/>
      <c r="Q27" s="723"/>
      <c r="R27" s="694"/>
      <c r="S27" s="694"/>
      <c r="T27" s="694"/>
      <c r="U27" s="725"/>
    </row>
    <row r="28" spans="1:21" ht="17.100000000000001" customHeight="1">
      <c r="A28" s="705"/>
      <c r="B28" s="786"/>
      <c r="C28" s="786"/>
      <c r="D28" s="786"/>
      <c r="E28" s="786"/>
      <c r="F28" s="786"/>
      <c r="G28" s="694"/>
      <c r="H28" s="695"/>
      <c r="I28" s="694"/>
      <c r="O28" s="694"/>
      <c r="R28" s="694"/>
      <c r="S28" s="694"/>
      <c r="T28" s="694"/>
      <c r="U28" s="725"/>
    </row>
    <row r="29" spans="1:21" ht="17.100000000000001" customHeight="1">
      <c r="A29" s="694"/>
      <c r="B29" s="786"/>
      <c r="C29" s="786"/>
      <c r="D29" s="786"/>
      <c r="E29" s="786"/>
      <c r="F29" s="786"/>
      <c r="G29" s="694"/>
      <c r="H29" s="695"/>
      <c r="I29" s="694"/>
      <c r="J29" s="787" t="s">
        <v>7</v>
      </c>
      <c r="K29" s="787"/>
      <c r="L29" s="787"/>
      <c r="M29" s="787"/>
      <c r="N29" s="787"/>
      <c r="O29" s="787"/>
      <c r="P29" s="787"/>
      <c r="Q29" s="787"/>
      <c r="R29" s="787"/>
      <c r="S29" s="787"/>
      <c r="T29" s="787"/>
      <c r="U29" s="725"/>
    </row>
    <row r="30" spans="1:21" ht="17.100000000000001" customHeight="1">
      <c r="A30" s="694"/>
      <c r="D30" s="726"/>
      <c r="E30" s="726"/>
      <c r="F30" s="726"/>
      <c r="G30" s="694"/>
      <c r="H30" s="695"/>
      <c r="I30" s="694"/>
      <c r="J30" s="787"/>
      <c r="K30" s="787"/>
      <c r="L30" s="787"/>
      <c r="M30" s="787"/>
      <c r="N30" s="787"/>
      <c r="O30" s="787"/>
      <c r="P30" s="787"/>
      <c r="Q30" s="787"/>
      <c r="R30" s="787"/>
      <c r="S30" s="787"/>
      <c r="T30" s="787"/>
      <c r="U30" s="725"/>
    </row>
    <row r="31" spans="1:21" ht="17.100000000000001" customHeight="1">
      <c r="A31" s="694"/>
      <c r="B31" s="780" t="e" vm="1">
        <v>#VALUE!</v>
      </c>
      <c r="C31" s="780"/>
      <c r="D31" s="726"/>
      <c r="E31" s="726"/>
      <c r="F31" s="726"/>
      <c r="G31" s="694"/>
      <c r="H31" s="695"/>
      <c r="I31" s="694"/>
      <c r="J31" s="727" t="s">
        <v>8</v>
      </c>
      <c r="L31" s="727"/>
      <c r="N31" s="694"/>
      <c r="O31" s="694"/>
      <c r="P31" s="727" t="s">
        <v>9</v>
      </c>
      <c r="R31" s="694"/>
      <c r="S31" s="694"/>
      <c r="T31" s="694"/>
      <c r="U31" s="725"/>
    </row>
    <row r="32" spans="1:21" ht="17.100000000000001" customHeight="1">
      <c r="A32" s="694"/>
      <c r="B32" s="780"/>
      <c r="C32" s="780"/>
      <c r="D32" s="726"/>
      <c r="E32" s="726"/>
      <c r="F32" s="726"/>
      <c r="G32" s="694"/>
      <c r="H32" s="695"/>
      <c r="I32" s="694"/>
      <c r="J32" s="727" t="s">
        <v>10</v>
      </c>
      <c r="L32" s="727"/>
      <c r="N32" s="694"/>
      <c r="O32" s="694"/>
      <c r="P32" s="727" t="s">
        <v>11</v>
      </c>
      <c r="R32" s="694"/>
      <c r="S32" s="694"/>
      <c r="T32" s="694"/>
      <c r="U32" s="725"/>
    </row>
    <row r="33" spans="1:21" ht="17.100000000000001" customHeight="1">
      <c r="A33" s="694"/>
      <c r="D33" s="726"/>
      <c r="E33" s="726"/>
      <c r="F33" s="726"/>
      <c r="G33" s="694"/>
      <c r="H33" s="695"/>
      <c r="I33" s="694"/>
      <c r="J33" s="727" t="s">
        <v>12</v>
      </c>
      <c r="L33" s="727"/>
      <c r="N33" s="694"/>
      <c r="O33" s="694"/>
      <c r="P33" s="727" t="s">
        <v>13</v>
      </c>
      <c r="R33" s="694"/>
      <c r="S33" s="694"/>
      <c r="T33" s="694"/>
      <c r="U33" s="725"/>
    </row>
    <row r="34" spans="1:21" ht="18.75" hidden="1">
      <c r="A34" s="694"/>
      <c r="D34" s="726"/>
      <c r="E34" s="726"/>
      <c r="F34" s="726"/>
      <c r="G34" s="694"/>
      <c r="H34" s="695"/>
      <c r="I34" s="694"/>
      <c r="L34" s="727"/>
      <c r="N34" s="694"/>
      <c r="O34" s="694"/>
      <c r="R34" s="694"/>
      <c r="S34" s="694"/>
      <c r="T34" s="694"/>
      <c r="U34" s="725"/>
    </row>
    <row r="35" spans="1:21" ht="18.75" hidden="1">
      <c r="A35" s="694"/>
      <c r="D35" s="726"/>
      <c r="E35" s="726"/>
      <c r="F35" s="726"/>
      <c r="G35" s="694"/>
      <c r="H35" s="695"/>
      <c r="I35" s="694"/>
      <c r="L35" s="727"/>
      <c r="N35" s="694"/>
      <c r="O35" s="694"/>
      <c r="R35" s="694"/>
      <c r="S35" s="694"/>
      <c r="T35" s="694"/>
      <c r="U35" s="725"/>
    </row>
    <row r="36" spans="1:21" ht="16.350000000000001" hidden="1" customHeight="1">
      <c r="A36" s="694"/>
      <c r="B36" s="694"/>
      <c r="C36" s="694"/>
      <c r="D36" s="694"/>
      <c r="E36" s="694"/>
      <c r="F36" s="694"/>
      <c r="G36" s="694"/>
      <c r="H36" s="695"/>
      <c r="I36" s="694"/>
      <c r="L36" s="694"/>
      <c r="M36" s="694"/>
      <c r="N36" s="694"/>
      <c r="O36" s="694"/>
      <c r="R36" s="728"/>
      <c r="S36" s="728"/>
      <c r="T36" s="728"/>
      <c r="U36" s="725"/>
    </row>
    <row r="37" spans="1:21" ht="16.350000000000001" hidden="1" customHeight="1">
      <c r="A37" s="694"/>
      <c r="B37" s="694"/>
      <c r="C37" s="694"/>
      <c r="D37" s="694"/>
      <c r="E37" s="694"/>
      <c r="F37" s="694"/>
      <c r="G37" s="694"/>
      <c r="H37" s="695"/>
      <c r="I37" s="694"/>
      <c r="J37" s="694"/>
      <c r="K37" s="694"/>
      <c r="L37" s="694"/>
      <c r="M37" s="694"/>
      <c r="N37" s="694"/>
      <c r="O37" s="694"/>
    </row>
    <row r="38" spans="1:21" ht="16.350000000000001" hidden="1" customHeight="1">
      <c r="A38" s="694"/>
      <c r="B38" s="694"/>
      <c r="C38" s="694"/>
      <c r="D38" s="694"/>
      <c r="E38" s="694"/>
      <c r="F38" s="694"/>
      <c r="G38" s="694"/>
      <c r="H38" s="695"/>
      <c r="I38" s="694"/>
      <c r="J38" s="694"/>
      <c r="K38" s="694"/>
      <c r="L38" s="694"/>
      <c r="M38" s="694"/>
      <c r="N38" s="694"/>
      <c r="O38" s="694"/>
    </row>
    <row r="39" spans="1:21" ht="16.350000000000001" hidden="1" customHeight="1">
      <c r="A39" s="694"/>
      <c r="B39" s="694"/>
      <c r="C39" s="694"/>
      <c r="D39" s="694"/>
      <c r="E39" s="694"/>
      <c r="F39" s="694"/>
      <c r="G39" s="694"/>
      <c r="H39" s="695"/>
      <c r="I39" s="694"/>
      <c r="J39" s="694"/>
      <c r="K39" s="694"/>
      <c r="L39" s="694"/>
      <c r="M39" s="694"/>
      <c r="N39" s="694"/>
      <c r="O39" s="694"/>
    </row>
    <row r="40" spans="1:21" ht="16.350000000000001" hidden="1" customHeight="1">
      <c r="A40" s="694"/>
      <c r="B40" s="694"/>
      <c r="C40" s="694"/>
      <c r="D40" s="694"/>
      <c r="E40" s="694"/>
      <c r="F40" s="694"/>
      <c r="G40" s="694"/>
      <c r="H40" s="695"/>
      <c r="I40" s="694"/>
      <c r="J40" s="694"/>
      <c r="K40" s="694"/>
      <c r="L40" s="694"/>
      <c r="M40" s="694"/>
      <c r="N40" s="694"/>
      <c r="O40" s="694"/>
    </row>
    <row r="41" spans="1:21" ht="16.350000000000001" hidden="1" customHeight="1">
      <c r="A41" s="694"/>
      <c r="B41" s="694"/>
      <c r="C41" s="694"/>
      <c r="D41" s="694"/>
      <c r="E41" s="694"/>
      <c r="F41" s="694"/>
      <c r="G41" s="694"/>
      <c r="H41" s="695"/>
      <c r="I41" s="694"/>
      <c r="J41" s="694"/>
      <c r="K41" s="694"/>
      <c r="L41" s="694"/>
      <c r="M41" s="694"/>
      <c r="N41" s="694"/>
      <c r="O41" s="694"/>
    </row>
    <row r="42" spans="1:21" ht="16.350000000000001" hidden="1" customHeight="1">
      <c r="A42" s="694"/>
      <c r="B42" s="694"/>
      <c r="C42" s="694"/>
      <c r="D42" s="694"/>
      <c r="E42" s="694"/>
      <c r="F42" s="694"/>
      <c r="G42" s="694"/>
      <c r="H42" s="695"/>
      <c r="I42" s="694"/>
      <c r="J42" s="694"/>
      <c r="K42" s="694"/>
      <c r="L42" s="694"/>
      <c r="M42" s="694"/>
      <c r="N42" s="694"/>
      <c r="O42" s="694"/>
    </row>
    <row r="43" spans="1:21" ht="16.350000000000001" hidden="1" customHeight="1">
      <c r="A43" s="694"/>
      <c r="B43" s="694"/>
      <c r="C43" s="694"/>
      <c r="D43" s="694"/>
      <c r="E43" s="694"/>
      <c r="F43" s="694"/>
      <c r="G43" s="694"/>
      <c r="H43" s="695"/>
      <c r="I43" s="694"/>
      <c r="J43" s="694"/>
      <c r="K43" s="694"/>
      <c r="L43" s="694"/>
      <c r="M43" s="694"/>
      <c r="N43" s="694"/>
      <c r="O43" s="694"/>
    </row>
    <row r="44" spans="1:21" ht="16.350000000000001" hidden="1" customHeight="1">
      <c r="A44" s="694"/>
      <c r="B44" s="694"/>
      <c r="C44" s="694"/>
      <c r="D44" s="694"/>
      <c r="E44" s="694"/>
      <c r="F44" s="694"/>
      <c r="G44" s="694"/>
      <c r="H44" s="695"/>
      <c r="I44" s="694"/>
      <c r="J44" s="694"/>
      <c r="K44" s="694"/>
      <c r="L44" s="694"/>
      <c r="M44" s="694"/>
      <c r="N44" s="694"/>
      <c r="O44" s="694"/>
    </row>
    <row r="45" spans="1:21" ht="16.350000000000001" hidden="1" customHeight="1">
      <c r="A45" s="694"/>
      <c r="B45" s="694"/>
      <c r="C45" s="694"/>
      <c r="D45" s="694"/>
      <c r="E45" s="694"/>
      <c r="F45" s="694"/>
      <c r="G45" s="694"/>
      <c r="H45" s="695"/>
      <c r="I45" s="694"/>
      <c r="J45" s="694"/>
      <c r="K45" s="694"/>
      <c r="L45" s="694"/>
      <c r="M45" s="694"/>
      <c r="N45" s="694"/>
      <c r="O45" s="694"/>
    </row>
    <row r="46" spans="1:21" ht="16.350000000000001" hidden="1" customHeight="1">
      <c r="A46" s="694"/>
      <c r="B46" s="694"/>
      <c r="C46" s="694"/>
      <c r="D46" s="694"/>
      <c r="E46" s="694"/>
      <c r="F46" s="694"/>
      <c r="G46" s="694"/>
      <c r="H46" s="695"/>
      <c r="I46" s="694"/>
      <c r="J46" s="694"/>
      <c r="K46" s="694"/>
      <c r="L46" s="694"/>
      <c r="M46" s="694"/>
      <c r="N46" s="694"/>
      <c r="O46" s="694"/>
    </row>
    <row r="47" spans="1:21" ht="16.350000000000001" hidden="1" customHeight="1">
      <c r="A47" s="694"/>
      <c r="B47" s="694"/>
      <c r="C47" s="694"/>
      <c r="D47" s="694"/>
      <c r="E47" s="694"/>
      <c r="F47" s="694"/>
      <c r="G47" s="694"/>
      <c r="H47" s="695"/>
      <c r="I47" s="694"/>
      <c r="J47" s="694"/>
      <c r="K47" s="694"/>
      <c r="L47" s="694"/>
      <c r="M47" s="694"/>
      <c r="N47" s="694"/>
      <c r="O47" s="694"/>
    </row>
    <row r="48" spans="1:21" ht="16.350000000000001" hidden="1" customHeight="1">
      <c r="A48" s="694"/>
      <c r="B48" s="694"/>
      <c r="C48" s="694"/>
      <c r="D48" s="694"/>
      <c r="E48" s="694"/>
      <c r="F48" s="694"/>
      <c r="G48" s="694"/>
      <c r="H48" s="695"/>
      <c r="I48" s="694"/>
      <c r="J48" s="694"/>
      <c r="K48" s="694"/>
      <c r="L48" s="694"/>
      <c r="M48" s="694"/>
      <c r="N48" s="694"/>
      <c r="O48" s="694"/>
    </row>
    <row r="49" spans="1:15" ht="16.350000000000001" hidden="1" customHeight="1">
      <c r="A49" s="694"/>
      <c r="B49" s="694"/>
      <c r="C49" s="694"/>
      <c r="D49" s="694"/>
      <c r="E49" s="694"/>
      <c r="F49" s="694"/>
      <c r="G49" s="694"/>
      <c r="H49" s="695"/>
      <c r="I49" s="694"/>
      <c r="J49" s="694"/>
      <c r="K49" s="694"/>
      <c r="L49" s="694"/>
      <c r="M49" s="694"/>
      <c r="N49" s="694"/>
      <c r="O49" s="694"/>
    </row>
    <row r="50" spans="1:15" ht="16.350000000000001" hidden="1" customHeight="1">
      <c r="A50" s="694"/>
      <c r="B50" s="694"/>
      <c r="C50" s="694"/>
      <c r="D50" s="694"/>
      <c r="E50" s="694"/>
      <c r="F50" s="694"/>
      <c r="G50" s="694"/>
      <c r="H50" s="695"/>
      <c r="I50" s="694"/>
      <c r="J50" s="694"/>
      <c r="K50" s="694"/>
      <c r="L50" s="694"/>
      <c r="M50" s="694"/>
      <c r="N50" s="694"/>
      <c r="O50" s="694"/>
    </row>
    <row r="51" spans="1:15" ht="16.350000000000001" hidden="1" customHeight="1">
      <c r="A51" s="694"/>
      <c r="B51" s="694"/>
      <c r="C51" s="694"/>
      <c r="D51" s="694"/>
      <c r="E51" s="694"/>
      <c r="F51" s="694"/>
      <c r="G51" s="694"/>
      <c r="H51" s="695"/>
      <c r="I51" s="694"/>
      <c r="J51" s="694"/>
      <c r="K51" s="694"/>
      <c r="L51" s="694"/>
      <c r="M51" s="694"/>
      <c r="N51" s="694"/>
      <c r="O51" s="694"/>
    </row>
    <row r="52" spans="1:15" ht="16.350000000000001" hidden="1" customHeight="1">
      <c r="A52" s="694"/>
      <c r="B52" s="694"/>
      <c r="C52" s="694"/>
      <c r="D52" s="694"/>
      <c r="E52" s="694"/>
      <c r="F52" s="694"/>
      <c r="G52" s="694"/>
      <c r="H52" s="695"/>
      <c r="I52" s="694"/>
      <c r="J52" s="694"/>
      <c r="K52" s="694"/>
      <c r="L52" s="694"/>
      <c r="M52" s="694"/>
      <c r="N52" s="694"/>
      <c r="O52" s="694"/>
    </row>
    <row r="53" spans="1:15" ht="16.350000000000001" hidden="1" customHeight="1">
      <c r="A53" s="694"/>
      <c r="B53" s="694"/>
      <c r="C53" s="694"/>
      <c r="D53" s="694"/>
      <c r="E53" s="694"/>
      <c r="F53" s="694"/>
      <c r="G53" s="694"/>
      <c r="H53" s="695"/>
      <c r="I53" s="694"/>
      <c r="J53" s="694"/>
      <c r="K53" s="694"/>
      <c r="L53" s="694"/>
      <c r="M53" s="694"/>
      <c r="N53" s="694"/>
      <c r="O53" s="694"/>
    </row>
    <row r="54" spans="1:15" ht="16.350000000000001" hidden="1" customHeight="1">
      <c r="A54" s="694"/>
      <c r="B54" s="694"/>
      <c r="C54" s="694"/>
      <c r="D54" s="694"/>
      <c r="E54" s="694"/>
      <c r="F54" s="694"/>
      <c r="G54" s="694"/>
      <c r="H54" s="695"/>
      <c r="I54" s="694"/>
      <c r="J54" s="694"/>
      <c r="K54" s="694"/>
      <c r="L54" s="694"/>
      <c r="M54" s="694"/>
      <c r="N54" s="694"/>
      <c r="O54" s="694"/>
    </row>
    <row r="55" spans="1:15" ht="16.350000000000001" hidden="1" customHeight="1">
      <c r="A55" s="694"/>
      <c r="B55" s="694"/>
      <c r="C55" s="694"/>
      <c r="D55" s="694"/>
      <c r="E55" s="694"/>
      <c r="F55" s="694"/>
      <c r="G55" s="694"/>
      <c r="H55" s="695"/>
      <c r="I55" s="694"/>
      <c r="J55" s="694"/>
      <c r="K55" s="694"/>
      <c r="L55" s="694"/>
      <c r="M55" s="694"/>
      <c r="N55" s="694"/>
      <c r="O55" s="694"/>
    </row>
    <row r="56" spans="1:15" ht="16.350000000000001" hidden="1" customHeight="1">
      <c r="A56" s="694"/>
      <c r="B56" s="694"/>
      <c r="C56" s="694"/>
      <c r="D56" s="694"/>
      <c r="E56" s="694"/>
      <c r="F56" s="694"/>
      <c r="G56" s="694"/>
      <c r="H56" s="695"/>
      <c r="I56" s="694"/>
      <c r="J56" s="694"/>
      <c r="K56" s="694"/>
      <c r="L56" s="694"/>
      <c r="M56" s="694"/>
      <c r="N56" s="694"/>
      <c r="O56" s="694"/>
    </row>
    <row r="57" spans="1:15" ht="16.350000000000001" hidden="1" customHeight="1">
      <c r="A57" s="694"/>
      <c r="B57" s="694"/>
      <c r="C57" s="694"/>
      <c r="D57" s="694"/>
      <c r="E57" s="694"/>
      <c r="F57" s="694"/>
      <c r="G57" s="694"/>
      <c r="H57" s="695"/>
      <c r="I57" s="694"/>
      <c r="J57" s="694"/>
      <c r="K57" s="694"/>
      <c r="L57" s="694"/>
      <c r="M57" s="694"/>
      <c r="N57" s="694"/>
      <c r="O57" s="694"/>
    </row>
    <row r="58" spans="1:15" ht="16.350000000000001" hidden="1" customHeight="1">
      <c r="A58" s="694"/>
      <c r="B58" s="694"/>
      <c r="C58" s="694"/>
      <c r="D58" s="694"/>
      <c r="E58" s="694"/>
      <c r="F58" s="694"/>
      <c r="G58" s="694"/>
      <c r="H58" s="695"/>
      <c r="I58" s="694"/>
      <c r="J58" s="694"/>
      <c r="K58" s="694"/>
      <c r="L58" s="694"/>
      <c r="M58" s="694"/>
      <c r="N58" s="694"/>
      <c r="O58" s="694"/>
    </row>
    <row r="59" spans="1:15" ht="16.350000000000001" hidden="1" customHeight="1">
      <c r="A59" s="694"/>
      <c r="B59" s="694"/>
      <c r="C59" s="694"/>
      <c r="D59" s="694"/>
      <c r="E59" s="694"/>
      <c r="F59" s="694"/>
      <c r="G59" s="694"/>
      <c r="H59" s="695"/>
      <c r="I59" s="694"/>
      <c r="J59" s="694"/>
      <c r="K59" s="694"/>
      <c r="L59" s="694"/>
      <c r="M59" s="694"/>
      <c r="N59" s="694"/>
      <c r="O59" s="694"/>
    </row>
    <row r="60" spans="1:15" ht="16.350000000000001" hidden="1" customHeight="1">
      <c r="A60" s="694"/>
      <c r="B60" s="694"/>
      <c r="C60" s="694"/>
      <c r="D60" s="694"/>
      <c r="E60" s="694"/>
      <c r="F60" s="694"/>
      <c r="G60" s="694"/>
      <c r="H60" s="695"/>
      <c r="I60" s="694"/>
      <c r="J60" s="694"/>
      <c r="N60" s="694"/>
      <c r="O60" s="694"/>
    </row>
    <row r="61" spans="1:15" ht="16.350000000000001" hidden="1" customHeight="1">
      <c r="A61" s="694"/>
      <c r="B61" s="694"/>
      <c r="C61" s="694"/>
      <c r="D61" s="694"/>
      <c r="E61" s="694"/>
      <c r="F61" s="694"/>
      <c r="G61" s="694"/>
      <c r="H61" s="695"/>
      <c r="I61" s="694"/>
      <c r="J61" s="694"/>
      <c r="N61" s="694"/>
      <c r="O61" s="694"/>
    </row>
    <row r="62" spans="1:15" ht="15" hidden="1" customHeight="1"/>
    <row r="63" spans="1:15" ht="15" hidden="1" customHeight="1"/>
    <row r="64" spans="1:15" ht="15" hidden="1" customHeight="1"/>
    <row r="65" ht="15" hidden="1" customHeight="1"/>
    <row r="66" ht="15" hidden="1" customHeight="1"/>
    <row r="67" ht="15" hidden="1" customHeight="1"/>
  </sheetData>
  <mergeCells count="7">
    <mergeCell ref="B31:C32"/>
    <mergeCell ref="B1:B4"/>
    <mergeCell ref="C2:K3"/>
    <mergeCell ref="O2:R3"/>
    <mergeCell ref="S2:T3"/>
    <mergeCell ref="B8:F29"/>
    <mergeCell ref="J29:T30"/>
  </mergeCells>
  <hyperlinks>
    <hyperlink ref="S2:T3" r:id="rId1" display="Book Now" xr:uid="{D8097F55-989C-694E-AA96-A082A3CAA62B}"/>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9335B-28FC-D049-9C82-4046B274EE36}">
  <sheetPr>
    <tabColor rgb="FFEAE9CB"/>
    <outlinePr summaryBelow="0" summaryRight="0"/>
  </sheetPr>
  <dimension ref="A1:BZ70"/>
  <sheetViews>
    <sheetView showGridLines="0" zoomScaleNormal="100" workbookViewId="0">
      <pane xSplit="4" ySplit="8" topLeftCell="AC29" activePane="bottomRight" state="frozen"/>
      <selection pane="topRight" activeCell="D54" sqref="D54"/>
      <selection pane="bottomLeft" activeCell="D54" sqref="D54"/>
      <selection pane="bottomRight" activeCell="AC29" sqref="AC29"/>
    </sheetView>
  </sheetViews>
  <sheetFormatPr defaultColWidth="9.140625" defaultRowHeight="15" customHeight="1" outlineLevelRow="2" outlineLevelCol="2"/>
  <cols>
    <col min="1" max="1" width="2.42578125" style="224" customWidth="1"/>
    <col min="2" max="2" width="40.7109375" style="226" bestFit="1" customWidth="1" collapsed="1"/>
    <col min="3" max="3" width="29" style="225" hidden="1" customWidth="1" outlineLevel="2"/>
    <col min="4" max="4" width="2.42578125" style="224" customWidth="1"/>
    <col min="5" max="5" width="4.140625" style="223" bestFit="1" customWidth="1" collapsed="1"/>
    <col min="6" max="9" width="13.140625" style="221" hidden="1" customWidth="1" outlineLevel="2"/>
    <col min="10" max="10" width="2.42578125" style="221" customWidth="1"/>
    <col min="11" max="11" width="4.140625" style="222" bestFit="1" customWidth="1" collapsed="1"/>
    <col min="12" max="12" width="11.7109375" style="221" hidden="1" customWidth="1" outlineLevel="2"/>
    <col min="13" max="27" width="13.140625" style="221" hidden="1" customWidth="1" outlineLevel="2"/>
    <col min="28" max="28" width="2.42578125" style="221" customWidth="1"/>
    <col min="29" max="29" width="4.140625" style="221" customWidth="1"/>
    <col min="30" max="34" width="13.28515625" style="221" bestFit="1" customWidth="1" outlineLevel="1"/>
    <col min="35" max="77" width="14.42578125" style="221" bestFit="1" customWidth="1" outlineLevel="1"/>
    <col min="78" max="78" width="9.140625" style="221" customWidth="1"/>
    <col min="79" max="16384" width="9.140625" style="221"/>
  </cols>
  <sheetData>
    <row r="1" spans="1:78" s="224" customFormat="1" ht="21" customHeight="1">
      <c r="A1" s="10" t="str">
        <f>Company_Name</f>
        <v>Model Wiz Demo *</v>
      </c>
      <c r="B1" s="5"/>
      <c r="C1" s="198"/>
      <c r="D1"/>
      <c r="E1" s="197"/>
      <c r="F1"/>
      <c r="G1"/>
      <c r="H1"/>
      <c r="I1"/>
      <c r="J1"/>
      <c r="K1" s="197"/>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row>
    <row r="2" spans="1:78" s="224" customFormat="1" ht="21" customHeight="1">
      <c r="A2" t="str" cm="1">
        <f t="array" aca="1" ref="A2" ca="1">IFERROR(MID(CELL("filename",A1),FIND("]",CELL("filename",A1))+1,LEN(CELL("filename",A1))),"")</f>
        <v>Balance Sheet</v>
      </c>
      <c r="B2" s="5"/>
      <c r="C2" s="198"/>
      <c r="D2"/>
      <c r="E2" s="851" t="s">
        <v>159</v>
      </c>
      <c r="F2" s="148"/>
      <c r="G2" s="148"/>
      <c r="H2" s="148"/>
      <c r="I2" s="148"/>
      <c r="J2" s="148"/>
      <c r="K2" s="851" t="s">
        <v>160</v>
      </c>
      <c r="L2" s="176"/>
      <c r="M2" s="148"/>
      <c r="N2" s="148"/>
      <c r="O2" s="148"/>
      <c r="P2" s="148"/>
      <c r="Q2" s="148"/>
      <c r="R2" s="148"/>
      <c r="S2" s="148"/>
      <c r="T2" s="148"/>
      <c r="U2" s="148"/>
      <c r="V2" s="148"/>
      <c r="W2" s="148"/>
      <c r="X2" s="148"/>
      <c r="Y2" s="148"/>
      <c r="Z2" s="148"/>
      <c r="AA2" s="148"/>
      <c r="AB2" s="148"/>
      <c r="AC2" s="851" t="s">
        <v>161</v>
      </c>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row>
    <row r="3" spans="1:78" s="224" customFormat="1" ht="21" customHeight="1" collapsed="1">
      <c r="A3" s="6" t="str">
        <f>Error_Check</f>
        <v>Model Functioning Properly</v>
      </c>
      <c r="B3" s="5"/>
      <c r="C3" s="198"/>
      <c r="D3"/>
      <c r="E3" s="851"/>
      <c r="F3" s="178" t="str">
        <f>IF(F$5&lt;=LatestMonthOfActuals,"Actual","Projected")</f>
        <v>Actual</v>
      </c>
      <c r="G3" s="178" t="str">
        <f>IF(G$5&lt;=LatestMonthOfActuals,"Actual","Projected")</f>
        <v>Actual</v>
      </c>
      <c r="H3" s="178" t="str">
        <f>IF(H$5&lt;=LatestMonthOfActuals,"Actual","Projected")</f>
        <v>Projected</v>
      </c>
      <c r="I3" s="178" t="str">
        <f>IF(I$5&lt;=LatestMonthOfActuals,"Actual","Projected")</f>
        <v>Projected</v>
      </c>
      <c r="J3" s="148"/>
      <c r="K3" s="851"/>
      <c r="L3" s="178" t="str">
        <f t="shared" ref="L3:AA3" si="0">IF(L$5&lt;=LatestMonthOfActuals,"Actual","Projected")</f>
        <v>Actual</v>
      </c>
      <c r="M3" s="178" t="str">
        <f t="shared" si="0"/>
        <v>Actual</v>
      </c>
      <c r="N3" s="178" t="str">
        <f t="shared" si="0"/>
        <v>Actual</v>
      </c>
      <c r="O3" s="178" t="str">
        <f t="shared" si="0"/>
        <v>Actual</v>
      </c>
      <c r="P3" s="178" t="str">
        <f t="shared" si="0"/>
        <v>Actual</v>
      </c>
      <c r="Q3" s="178" t="str">
        <f t="shared" si="0"/>
        <v>Actual</v>
      </c>
      <c r="R3" s="178" t="str">
        <f t="shared" si="0"/>
        <v>Actual</v>
      </c>
      <c r="S3" s="178" t="str">
        <f t="shared" si="0"/>
        <v>Actual</v>
      </c>
      <c r="T3" s="178" t="str">
        <f t="shared" si="0"/>
        <v>Actual</v>
      </c>
      <c r="U3" s="178" t="str">
        <f t="shared" si="0"/>
        <v>Actual</v>
      </c>
      <c r="V3" s="178" t="str">
        <f t="shared" si="0"/>
        <v>Actual</v>
      </c>
      <c r="W3" s="178" t="str">
        <f t="shared" si="0"/>
        <v>Projected</v>
      </c>
      <c r="X3" s="178" t="str">
        <f t="shared" si="0"/>
        <v>Projected</v>
      </c>
      <c r="Y3" s="178" t="str">
        <f t="shared" si="0"/>
        <v>Projected</v>
      </c>
      <c r="Z3" s="178" t="str">
        <f t="shared" si="0"/>
        <v>Projected</v>
      </c>
      <c r="AA3" s="178" t="str">
        <f t="shared" si="0"/>
        <v>Projected</v>
      </c>
      <c r="AB3" s="179"/>
      <c r="AC3" s="851"/>
      <c r="AD3" s="178" t="str">
        <f t="shared" ref="AD3:BY3" si="1">IF(AD$5&lt;=LatestMonthOfActuals,"Actual","Projected")</f>
        <v>Actual</v>
      </c>
      <c r="AE3" s="178" t="str">
        <f t="shared" si="1"/>
        <v>Actual</v>
      </c>
      <c r="AF3" s="178" t="str">
        <f t="shared" si="1"/>
        <v>Actual</v>
      </c>
      <c r="AG3" s="178" t="str">
        <f t="shared" si="1"/>
        <v>Actual</v>
      </c>
      <c r="AH3" s="178" t="str">
        <f t="shared" si="1"/>
        <v>Actual</v>
      </c>
      <c r="AI3" s="178" t="str">
        <f t="shared" si="1"/>
        <v>Actual</v>
      </c>
      <c r="AJ3" s="178" t="str">
        <f t="shared" si="1"/>
        <v>Actual</v>
      </c>
      <c r="AK3" s="178" t="str">
        <f t="shared" si="1"/>
        <v>Actual</v>
      </c>
      <c r="AL3" s="178" t="str">
        <f t="shared" si="1"/>
        <v>Actual</v>
      </c>
      <c r="AM3" s="178" t="str">
        <f t="shared" si="1"/>
        <v>Actual</v>
      </c>
      <c r="AN3" s="178" t="str">
        <f t="shared" si="1"/>
        <v>Actual</v>
      </c>
      <c r="AO3" s="178" t="str">
        <f t="shared" si="1"/>
        <v>Actual</v>
      </c>
      <c r="AP3" s="178" t="str">
        <f t="shared" si="1"/>
        <v>Actual</v>
      </c>
      <c r="AQ3" s="178" t="str">
        <f t="shared" si="1"/>
        <v>Actual</v>
      </c>
      <c r="AR3" s="178" t="str">
        <f t="shared" si="1"/>
        <v>Actual</v>
      </c>
      <c r="AS3" s="178" t="str">
        <f t="shared" si="1"/>
        <v>Actual</v>
      </c>
      <c r="AT3" s="178" t="str">
        <f t="shared" si="1"/>
        <v>Actual</v>
      </c>
      <c r="AU3" s="178" t="str">
        <f t="shared" si="1"/>
        <v>Actual</v>
      </c>
      <c r="AV3" s="178" t="str">
        <f t="shared" si="1"/>
        <v>Actual</v>
      </c>
      <c r="AW3" s="178" t="str">
        <f t="shared" si="1"/>
        <v>Actual</v>
      </c>
      <c r="AX3" s="178" t="str">
        <f t="shared" si="1"/>
        <v>Actual</v>
      </c>
      <c r="AY3" s="178" t="str">
        <f t="shared" si="1"/>
        <v>Actual</v>
      </c>
      <c r="AZ3" s="178" t="str">
        <f t="shared" si="1"/>
        <v>Actual</v>
      </c>
      <c r="BA3" s="178" t="str">
        <f t="shared" si="1"/>
        <v>Actual</v>
      </c>
      <c r="BB3" s="178" t="str">
        <f t="shared" si="1"/>
        <v>Actual</v>
      </c>
      <c r="BC3" s="178" t="str">
        <f t="shared" si="1"/>
        <v>Actual</v>
      </c>
      <c r="BD3" s="178" t="str">
        <f t="shared" si="1"/>
        <v>Actual</v>
      </c>
      <c r="BE3" s="178" t="str">
        <f t="shared" si="1"/>
        <v>Actual</v>
      </c>
      <c r="BF3" s="178" t="str">
        <f t="shared" si="1"/>
        <v>Actual</v>
      </c>
      <c r="BG3" s="178" t="str">
        <f t="shared" si="1"/>
        <v>Actual</v>
      </c>
      <c r="BH3" s="178" t="str">
        <f t="shared" si="1"/>
        <v>Actual</v>
      </c>
      <c r="BI3" s="178" t="str">
        <f t="shared" si="1"/>
        <v>Actual</v>
      </c>
      <c r="BJ3" s="178" t="str">
        <f t="shared" si="1"/>
        <v>Actual</v>
      </c>
      <c r="BK3" s="178" t="str">
        <f t="shared" si="1"/>
        <v>Actual</v>
      </c>
      <c r="BL3" s="178" t="str">
        <f t="shared" si="1"/>
        <v>Actual</v>
      </c>
      <c r="BM3" s="178" t="str">
        <f t="shared" si="1"/>
        <v>Projected</v>
      </c>
      <c r="BN3" s="178" t="str">
        <f t="shared" si="1"/>
        <v>Projected</v>
      </c>
      <c r="BO3" s="178" t="str">
        <f t="shared" si="1"/>
        <v>Projected</v>
      </c>
      <c r="BP3" s="178" t="str">
        <f t="shared" si="1"/>
        <v>Projected</v>
      </c>
      <c r="BQ3" s="178" t="str">
        <f t="shared" si="1"/>
        <v>Projected</v>
      </c>
      <c r="BR3" s="178" t="str">
        <f t="shared" si="1"/>
        <v>Projected</v>
      </c>
      <c r="BS3" s="178" t="str">
        <f t="shared" si="1"/>
        <v>Projected</v>
      </c>
      <c r="BT3" s="178" t="str">
        <f t="shared" si="1"/>
        <v>Projected</v>
      </c>
      <c r="BU3" s="178" t="str">
        <f t="shared" si="1"/>
        <v>Projected</v>
      </c>
      <c r="BV3" s="178" t="str">
        <f t="shared" si="1"/>
        <v>Projected</v>
      </c>
      <c r="BW3" s="178" t="str">
        <f t="shared" si="1"/>
        <v>Projected</v>
      </c>
      <c r="BX3" s="178" t="str">
        <f t="shared" si="1"/>
        <v>Projected</v>
      </c>
      <c r="BY3" s="178" t="str">
        <f t="shared" si="1"/>
        <v>Projected</v>
      </c>
      <c r="BZ3"/>
    </row>
    <row r="4" spans="1:78" s="224" customFormat="1" ht="21" hidden="1" customHeight="1" outlineLevel="2">
      <c r="A4"/>
      <c r="B4" s="5"/>
      <c r="C4" s="198"/>
      <c r="D4"/>
      <c r="E4" s="851"/>
      <c r="F4" s="176">
        <f>Start_Date</f>
        <v>44927</v>
      </c>
      <c r="G4" s="176">
        <f>F5+1</f>
        <v>45292</v>
      </c>
      <c r="H4" s="176">
        <f>G5+1</f>
        <v>45658</v>
      </c>
      <c r="I4" s="176">
        <f>H5+1</f>
        <v>46023</v>
      </c>
      <c r="J4" s="148"/>
      <c r="K4" s="851"/>
      <c r="L4" s="176">
        <f>Start_Date</f>
        <v>44927</v>
      </c>
      <c r="M4" s="4">
        <f t="shared" ref="M4:AA4" si="2">L5+1</f>
        <v>45017</v>
      </c>
      <c r="N4" s="4">
        <f t="shared" si="2"/>
        <v>45108</v>
      </c>
      <c r="O4" s="4">
        <f t="shared" si="2"/>
        <v>45200</v>
      </c>
      <c r="P4" s="4">
        <f t="shared" si="2"/>
        <v>45292</v>
      </c>
      <c r="Q4" s="4">
        <f t="shared" si="2"/>
        <v>45383</v>
      </c>
      <c r="R4" s="4">
        <f t="shared" si="2"/>
        <v>45474</v>
      </c>
      <c r="S4" s="4">
        <f t="shared" si="2"/>
        <v>45566</v>
      </c>
      <c r="T4" s="4">
        <f t="shared" si="2"/>
        <v>45658</v>
      </c>
      <c r="U4" s="4">
        <f t="shared" si="2"/>
        <v>45748</v>
      </c>
      <c r="V4" s="4">
        <f t="shared" si="2"/>
        <v>45839</v>
      </c>
      <c r="W4" s="4">
        <f t="shared" si="2"/>
        <v>45931</v>
      </c>
      <c r="X4" s="4">
        <f t="shared" si="2"/>
        <v>46023</v>
      </c>
      <c r="Y4" s="4">
        <f t="shared" si="2"/>
        <v>46113</v>
      </c>
      <c r="Z4" s="4">
        <f t="shared" si="2"/>
        <v>46204</v>
      </c>
      <c r="AA4" s="4">
        <f t="shared" si="2"/>
        <v>46296</v>
      </c>
      <c r="AB4" s="177"/>
      <c r="AC4" s="851"/>
      <c r="AD4" s="176">
        <f>Start_Date</f>
        <v>44927</v>
      </c>
      <c r="AE4" s="176">
        <f t="shared" ref="AE4:BY4" si="3">EOMONTH(AE5,-1)+1</f>
        <v>44958</v>
      </c>
      <c r="AF4" s="176">
        <f t="shared" si="3"/>
        <v>44986</v>
      </c>
      <c r="AG4" s="176">
        <f t="shared" si="3"/>
        <v>45017</v>
      </c>
      <c r="AH4" s="176">
        <f t="shared" si="3"/>
        <v>45047</v>
      </c>
      <c r="AI4" s="176">
        <f t="shared" si="3"/>
        <v>45078</v>
      </c>
      <c r="AJ4" s="176">
        <f t="shared" si="3"/>
        <v>45108</v>
      </c>
      <c r="AK4" s="176">
        <f t="shared" si="3"/>
        <v>45139</v>
      </c>
      <c r="AL4" s="176">
        <f t="shared" si="3"/>
        <v>45170</v>
      </c>
      <c r="AM4" s="176">
        <f t="shared" si="3"/>
        <v>45200</v>
      </c>
      <c r="AN4" s="176">
        <f t="shared" si="3"/>
        <v>45231</v>
      </c>
      <c r="AO4" s="176">
        <f t="shared" si="3"/>
        <v>45261</v>
      </c>
      <c r="AP4" s="176">
        <f t="shared" si="3"/>
        <v>45292</v>
      </c>
      <c r="AQ4" s="176">
        <f t="shared" si="3"/>
        <v>45323</v>
      </c>
      <c r="AR4" s="176">
        <f t="shared" si="3"/>
        <v>45352</v>
      </c>
      <c r="AS4" s="176">
        <f t="shared" si="3"/>
        <v>45383</v>
      </c>
      <c r="AT4" s="176">
        <f t="shared" si="3"/>
        <v>45413</v>
      </c>
      <c r="AU4" s="176">
        <f t="shared" si="3"/>
        <v>45444</v>
      </c>
      <c r="AV4" s="176">
        <f t="shared" si="3"/>
        <v>45474</v>
      </c>
      <c r="AW4" s="176">
        <f t="shared" si="3"/>
        <v>45505</v>
      </c>
      <c r="AX4" s="176">
        <f t="shared" si="3"/>
        <v>45536</v>
      </c>
      <c r="AY4" s="176">
        <f t="shared" si="3"/>
        <v>45566</v>
      </c>
      <c r="AZ4" s="176">
        <f t="shared" si="3"/>
        <v>45597</v>
      </c>
      <c r="BA4" s="176">
        <f t="shared" si="3"/>
        <v>45627</v>
      </c>
      <c r="BB4" s="176">
        <f t="shared" si="3"/>
        <v>45658</v>
      </c>
      <c r="BC4" s="176">
        <f t="shared" si="3"/>
        <v>45689</v>
      </c>
      <c r="BD4" s="176">
        <f t="shared" si="3"/>
        <v>45717</v>
      </c>
      <c r="BE4" s="176">
        <f t="shared" si="3"/>
        <v>45748</v>
      </c>
      <c r="BF4" s="176">
        <f t="shared" si="3"/>
        <v>45778</v>
      </c>
      <c r="BG4" s="176">
        <f t="shared" si="3"/>
        <v>45809</v>
      </c>
      <c r="BH4" s="176">
        <f t="shared" si="3"/>
        <v>45839</v>
      </c>
      <c r="BI4" s="176">
        <f t="shared" si="3"/>
        <v>45870</v>
      </c>
      <c r="BJ4" s="176">
        <f t="shared" si="3"/>
        <v>45901</v>
      </c>
      <c r="BK4" s="176">
        <f t="shared" si="3"/>
        <v>45931</v>
      </c>
      <c r="BL4" s="176">
        <f t="shared" si="3"/>
        <v>45962</v>
      </c>
      <c r="BM4" s="176">
        <f t="shared" si="3"/>
        <v>45992</v>
      </c>
      <c r="BN4" s="176">
        <f t="shared" si="3"/>
        <v>46023</v>
      </c>
      <c r="BO4" s="176">
        <f t="shared" si="3"/>
        <v>46054</v>
      </c>
      <c r="BP4" s="176">
        <f t="shared" si="3"/>
        <v>46082</v>
      </c>
      <c r="BQ4" s="176">
        <f t="shared" si="3"/>
        <v>46113</v>
      </c>
      <c r="BR4" s="176">
        <f t="shared" si="3"/>
        <v>46143</v>
      </c>
      <c r="BS4" s="176">
        <f t="shared" si="3"/>
        <v>46174</v>
      </c>
      <c r="BT4" s="176">
        <f t="shared" si="3"/>
        <v>46204</v>
      </c>
      <c r="BU4" s="176">
        <f t="shared" si="3"/>
        <v>46235</v>
      </c>
      <c r="BV4" s="176">
        <f t="shared" si="3"/>
        <v>46266</v>
      </c>
      <c r="BW4" s="176">
        <f t="shared" si="3"/>
        <v>46296</v>
      </c>
      <c r="BX4" s="176">
        <f t="shared" si="3"/>
        <v>46327</v>
      </c>
      <c r="BY4" s="176">
        <f t="shared" si="3"/>
        <v>46357</v>
      </c>
      <c r="BZ4"/>
    </row>
    <row r="5" spans="1:78" s="224" customFormat="1" ht="21" hidden="1" customHeight="1" outlineLevel="2">
      <c r="A5"/>
      <c r="B5" s="5"/>
      <c r="C5" s="198"/>
      <c r="D5"/>
      <c r="E5" s="851"/>
      <c r="F5" s="176">
        <f>EOMONTH(DATE(YEAR(Start_Date),1,1),Fiscal_Offset+IF(L6&lt;YEAR(Start_Date),-1,11))</f>
        <v>45291</v>
      </c>
      <c r="G5" s="4">
        <f>MIN(EOMONTH(F5,12),End_Date)</f>
        <v>45657</v>
      </c>
      <c r="H5" s="4">
        <f>MIN(EOMONTH(G5,12),End_Date)</f>
        <v>46022</v>
      </c>
      <c r="I5" s="4">
        <f>MIN(EOMONTH(H5,12),End_Date)</f>
        <v>46387</v>
      </c>
      <c r="J5" s="148"/>
      <c r="K5" s="851"/>
      <c r="L5" s="4">
        <f>EOMONTH(DATE(YEAR(Start_Date),1,1),MOD(ROUNDUP(MONTH(EOMONTH(Start_Date,-Fiscal_Offset))/3,0)*3+Fiscal_Offset-1,12))</f>
        <v>45016</v>
      </c>
      <c r="M5" s="4">
        <f t="shared" ref="M5:AA5" si="4">MIN(EOMONTH(M$4,2),End_Date)</f>
        <v>45107</v>
      </c>
      <c r="N5" s="4">
        <f t="shared" si="4"/>
        <v>45199</v>
      </c>
      <c r="O5" s="4">
        <f t="shared" si="4"/>
        <v>45291</v>
      </c>
      <c r="P5" s="4">
        <f t="shared" si="4"/>
        <v>45382</v>
      </c>
      <c r="Q5" s="4">
        <f t="shared" si="4"/>
        <v>45473</v>
      </c>
      <c r="R5" s="4">
        <f t="shared" si="4"/>
        <v>45565</v>
      </c>
      <c r="S5" s="4">
        <f t="shared" si="4"/>
        <v>45657</v>
      </c>
      <c r="T5" s="4">
        <f t="shared" si="4"/>
        <v>45747</v>
      </c>
      <c r="U5" s="4">
        <f t="shared" si="4"/>
        <v>45838</v>
      </c>
      <c r="V5" s="4">
        <f t="shared" si="4"/>
        <v>45930</v>
      </c>
      <c r="W5" s="4">
        <f t="shared" si="4"/>
        <v>46022</v>
      </c>
      <c r="X5" s="4">
        <f t="shared" si="4"/>
        <v>46112</v>
      </c>
      <c r="Y5" s="4">
        <f t="shared" si="4"/>
        <v>46203</v>
      </c>
      <c r="Z5" s="4">
        <f t="shared" si="4"/>
        <v>46295</v>
      </c>
      <c r="AA5" s="4">
        <f t="shared" si="4"/>
        <v>46387</v>
      </c>
      <c r="AB5" s="177"/>
      <c r="AC5" s="851"/>
      <c r="AD5" s="176" cm="1">
        <f t="array" ref="AD5">EOM_Start_Date</f>
        <v>44957</v>
      </c>
      <c r="AE5" s="4">
        <f t="shared" ref="AE5:BY5" si="5">EOMONTH(AD5,1)</f>
        <v>44985</v>
      </c>
      <c r="AF5" s="4">
        <f t="shared" si="5"/>
        <v>45016</v>
      </c>
      <c r="AG5" s="4">
        <f t="shared" si="5"/>
        <v>45046</v>
      </c>
      <c r="AH5" s="4">
        <f t="shared" si="5"/>
        <v>45077</v>
      </c>
      <c r="AI5" s="4">
        <f t="shared" si="5"/>
        <v>45107</v>
      </c>
      <c r="AJ5" s="4">
        <f t="shared" si="5"/>
        <v>45138</v>
      </c>
      <c r="AK5" s="4">
        <f t="shared" si="5"/>
        <v>45169</v>
      </c>
      <c r="AL5" s="4">
        <f t="shared" si="5"/>
        <v>45199</v>
      </c>
      <c r="AM5" s="4">
        <f t="shared" si="5"/>
        <v>45230</v>
      </c>
      <c r="AN5" s="4">
        <f t="shared" si="5"/>
        <v>45260</v>
      </c>
      <c r="AO5" s="4">
        <f t="shared" si="5"/>
        <v>45291</v>
      </c>
      <c r="AP5" s="4">
        <f t="shared" si="5"/>
        <v>45322</v>
      </c>
      <c r="AQ5" s="4">
        <f t="shared" si="5"/>
        <v>45351</v>
      </c>
      <c r="AR5" s="4">
        <f t="shared" si="5"/>
        <v>45382</v>
      </c>
      <c r="AS5" s="4">
        <f t="shared" si="5"/>
        <v>45412</v>
      </c>
      <c r="AT5" s="4">
        <f t="shared" si="5"/>
        <v>45443</v>
      </c>
      <c r="AU5" s="4">
        <f t="shared" si="5"/>
        <v>45473</v>
      </c>
      <c r="AV5" s="4">
        <f t="shared" si="5"/>
        <v>45504</v>
      </c>
      <c r="AW5" s="4">
        <f t="shared" si="5"/>
        <v>45535</v>
      </c>
      <c r="AX5" s="4">
        <f t="shared" si="5"/>
        <v>45565</v>
      </c>
      <c r="AY5" s="4">
        <f t="shared" si="5"/>
        <v>45596</v>
      </c>
      <c r="AZ5" s="4">
        <f t="shared" si="5"/>
        <v>45626</v>
      </c>
      <c r="BA5" s="4">
        <f t="shared" si="5"/>
        <v>45657</v>
      </c>
      <c r="BB5" s="4">
        <f t="shared" si="5"/>
        <v>45688</v>
      </c>
      <c r="BC5" s="4">
        <f t="shared" si="5"/>
        <v>45716</v>
      </c>
      <c r="BD5" s="4">
        <f t="shared" si="5"/>
        <v>45747</v>
      </c>
      <c r="BE5" s="4">
        <f t="shared" si="5"/>
        <v>45777</v>
      </c>
      <c r="BF5" s="4">
        <f t="shared" si="5"/>
        <v>45808</v>
      </c>
      <c r="BG5" s="4">
        <f t="shared" si="5"/>
        <v>45838</v>
      </c>
      <c r="BH5" s="4">
        <f t="shared" si="5"/>
        <v>45869</v>
      </c>
      <c r="BI5" s="4">
        <f t="shared" si="5"/>
        <v>45900</v>
      </c>
      <c r="BJ5" s="4">
        <f t="shared" si="5"/>
        <v>45930</v>
      </c>
      <c r="BK5" s="4">
        <f t="shared" si="5"/>
        <v>45961</v>
      </c>
      <c r="BL5" s="4">
        <f t="shared" si="5"/>
        <v>45991</v>
      </c>
      <c r="BM5" s="4">
        <f t="shared" si="5"/>
        <v>46022</v>
      </c>
      <c r="BN5" s="4">
        <f t="shared" si="5"/>
        <v>46053</v>
      </c>
      <c r="BO5" s="4">
        <f t="shared" si="5"/>
        <v>46081</v>
      </c>
      <c r="BP5" s="4">
        <f t="shared" si="5"/>
        <v>46112</v>
      </c>
      <c r="BQ5" s="4">
        <f t="shared" si="5"/>
        <v>46142</v>
      </c>
      <c r="BR5" s="4">
        <f t="shared" si="5"/>
        <v>46173</v>
      </c>
      <c r="BS5" s="4">
        <f t="shared" si="5"/>
        <v>46203</v>
      </c>
      <c r="BT5" s="4">
        <f t="shared" si="5"/>
        <v>46234</v>
      </c>
      <c r="BU5" s="4">
        <f t="shared" si="5"/>
        <v>46265</v>
      </c>
      <c r="BV5" s="4">
        <f t="shared" si="5"/>
        <v>46295</v>
      </c>
      <c r="BW5" s="4">
        <f t="shared" si="5"/>
        <v>46326</v>
      </c>
      <c r="BX5" s="4">
        <f t="shared" si="5"/>
        <v>46356</v>
      </c>
      <c r="BY5" s="4">
        <f t="shared" si="5"/>
        <v>46387</v>
      </c>
      <c r="BZ5"/>
    </row>
    <row r="6" spans="1:78" s="224" customFormat="1" ht="15" hidden="1" customHeight="1" outlineLevel="2">
      <c r="A6"/>
      <c r="B6" s="5"/>
      <c r="C6" s="198"/>
      <c r="D6"/>
      <c r="E6" s="851"/>
      <c r="F6" s="12">
        <f>YEAR(EOMONTH(F5,-Fiscal_Offset))</f>
        <v>2023</v>
      </c>
      <c r="G6" s="12">
        <f>YEAR(EOMONTH(G5,-Fiscal_Offset))</f>
        <v>2024</v>
      </c>
      <c r="H6" s="12">
        <f>YEAR(EOMONTH(H5,-Fiscal_Offset))</f>
        <v>2025</v>
      </c>
      <c r="I6" s="12">
        <f>YEAR(EOMONTH(I5,-Fiscal_Offset))</f>
        <v>2026</v>
      </c>
      <c r="J6" s="148"/>
      <c r="K6" s="851"/>
      <c r="L6" s="12">
        <f t="shared" ref="L6:AA6" si="6">YEAR(EOMONTH(L5,-Fiscal_Offset))</f>
        <v>2023</v>
      </c>
      <c r="M6" s="12">
        <f t="shared" si="6"/>
        <v>2023</v>
      </c>
      <c r="N6" s="12">
        <f t="shared" si="6"/>
        <v>2023</v>
      </c>
      <c r="O6" s="12">
        <f t="shared" si="6"/>
        <v>2023</v>
      </c>
      <c r="P6" s="12">
        <f t="shared" si="6"/>
        <v>2024</v>
      </c>
      <c r="Q6" s="12">
        <f t="shared" si="6"/>
        <v>2024</v>
      </c>
      <c r="R6" s="12">
        <f t="shared" si="6"/>
        <v>2024</v>
      </c>
      <c r="S6" s="12">
        <f t="shared" si="6"/>
        <v>2024</v>
      </c>
      <c r="T6" s="12">
        <f t="shared" si="6"/>
        <v>2025</v>
      </c>
      <c r="U6" s="12">
        <f t="shared" si="6"/>
        <v>2025</v>
      </c>
      <c r="V6" s="12">
        <f t="shared" si="6"/>
        <v>2025</v>
      </c>
      <c r="W6" s="12">
        <f t="shared" si="6"/>
        <v>2025</v>
      </c>
      <c r="X6" s="12">
        <f t="shared" si="6"/>
        <v>2026</v>
      </c>
      <c r="Y6" s="12">
        <f t="shared" si="6"/>
        <v>2026</v>
      </c>
      <c r="Z6" s="12">
        <f t="shared" si="6"/>
        <v>2026</v>
      </c>
      <c r="AA6" s="12">
        <f t="shared" si="6"/>
        <v>2026</v>
      </c>
      <c r="AB6" s="175"/>
      <c r="AC6" s="851"/>
      <c r="AD6" s="12">
        <f t="shared" ref="AD6:BY6" si="7">YEAR(EOMONTH(AD5,-Fiscal_Offset))</f>
        <v>2023</v>
      </c>
      <c r="AE6" s="12">
        <f t="shared" si="7"/>
        <v>2023</v>
      </c>
      <c r="AF6" s="12">
        <f t="shared" si="7"/>
        <v>2023</v>
      </c>
      <c r="AG6" s="12">
        <f t="shared" si="7"/>
        <v>2023</v>
      </c>
      <c r="AH6" s="12">
        <f t="shared" si="7"/>
        <v>2023</v>
      </c>
      <c r="AI6" s="12">
        <f t="shared" si="7"/>
        <v>2023</v>
      </c>
      <c r="AJ6" s="12">
        <f t="shared" si="7"/>
        <v>2023</v>
      </c>
      <c r="AK6" s="12">
        <f t="shared" si="7"/>
        <v>2023</v>
      </c>
      <c r="AL6" s="12">
        <f t="shared" si="7"/>
        <v>2023</v>
      </c>
      <c r="AM6" s="12">
        <f t="shared" si="7"/>
        <v>2023</v>
      </c>
      <c r="AN6" s="12">
        <f t="shared" si="7"/>
        <v>2023</v>
      </c>
      <c r="AO6" s="12">
        <f t="shared" si="7"/>
        <v>2023</v>
      </c>
      <c r="AP6" s="12">
        <f t="shared" si="7"/>
        <v>2024</v>
      </c>
      <c r="AQ6" s="12">
        <f t="shared" si="7"/>
        <v>2024</v>
      </c>
      <c r="AR6" s="12">
        <f t="shared" si="7"/>
        <v>2024</v>
      </c>
      <c r="AS6" s="12">
        <f t="shared" si="7"/>
        <v>2024</v>
      </c>
      <c r="AT6" s="12">
        <f t="shared" si="7"/>
        <v>2024</v>
      </c>
      <c r="AU6" s="12">
        <f t="shared" si="7"/>
        <v>2024</v>
      </c>
      <c r="AV6" s="12">
        <f t="shared" si="7"/>
        <v>2024</v>
      </c>
      <c r="AW6" s="12">
        <f t="shared" si="7"/>
        <v>2024</v>
      </c>
      <c r="AX6" s="12">
        <f t="shared" si="7"/>
        <v>2024</v>
      </c>
      <c r="AY6" s="12">
        <f t="shared" si="7"/>
        <v>2024</v>
      </c>
      <c r="AZ6" s="12">
        <f t="shared" si="7"/>
        <v>2024</v>
      </c>
      <c r="BA6" s="12">
        <f t="shared" si="7"/>
        <v>2024</v>
      </c>
      <c r="BB6" s="12">
        <f t="shared" si="7"/>
        <v>2025</v>
      </c>
      <c r="BC6" s="12">
        <f t="shared" si="7"/>
        <v>2025</v>
      </c>
      <c r="BD6" s="12">
        <f t="shared" si="7"/>
        <v>2025</v>
      </c>
      <c r="BE6" s="12">
        <f t="shared" si="7"/>
        <v>2025</v>
      </c>
      <c r="BF6" s="12">
        <f t="shared" si="7"/>
        <v>2025</v>
      </c>
      <c r="BG6" s="12">
        <f t="shared" si="7"/>
        <v>2025</v>
      </c>
      <c r="BH6" s="12">
        <f t="shared" si="7"/>
        <v>2025</v>
      </c>
      <c r="BI6" s="12">
        <f t="shared" si="7"/>
        <v>2025</v>
      </c>
      <c r="BJ6" s="12">
        <f t="shared" si="7"/>
        <v>2025</v>
      </c>
      <c r="BK6" s="12">
        <f t="shared" si="7"/>
        <v>2025</v>
      </c>
      <c r="BL6" s="12">
        <f t="shared" si="7"/>
        <v>2025</v>
      </c>
      <c r="BM6" s="12">
        <f t="shared" si="7"/>
        <v>2025</v>
      </c>
      <c r="BN6" s="12">
        <f t="shared" si="7"/>
        <v>2026</v>
      </c>
      <c r="BO6" s="12">
        <f t="shared" si="7"/>
        <v>2026</v>
      </c>
      <c r="BP6" s="12">
        <f t="shared" si="7"/>
        <v>2026</v>
      </c>
      <c r="BQ6" s="12">
        <f t="shared" si="7"/>
        <v>2026</v>
      </c>
      <c r="BR6" s="12">
        <f t="shared" si="7"/>
        <v>2026</v>
      </c>
      <c r="BS6" s="12">
        <f t="shared" si="7"/>
        <v>2026</v>
      </c>
      <c r="BT6" s="12">
        <f t="shared" si="7"/>
        <v>2026</v>
      </c>
      <c r="BU6" s="12">
        <f t="shared" si="7"/>
        <v>2026</v>
      </c>
      <c r="BV6" s="12">
        <f t="shared" si="7"/>
        <v>2026</v>
      </c>
      <c r="BW6" s="12">
        <f t="shared" si="7"/>
        <v>2026</v>
      </c>
      <c r="BX6" s="12">
        <f t="shared" si="7"/>
        <v>2026</v>
      </c>
      <c r="BY6" s="12">
        <f t="shared" si="7"/>
        <v>2026</v>
      </c>
      <c r="BZ6"/>
    </row>
    <row r="7" spans="1:78" s="224" customFormat="1" ht="21" hidden="1" customHeight="1" outlineLevel="2">
      <c r="A7"/>
      <c r="B7" s="5"/>
      <c r="C7" s="198"/>
      <c r="D7"/>
      <c r="E7" s="851"/>
      <c r="F7" s="12" t="str">
        <f>"Q"&amp; ROUNDUP(MONTH(EOMONTH(F5,-Fiscal_Offset))/3,0)</f>
        <v>Q4</v>
      </c>
      <c r="G7" s="12" t="str">
        <f>"Q"&amp; ROUNDUP(MONTH(EOMONTH(G5,-Fiscal_Offset))/3,0)</f>
        <v>Q4</v>
      </c>
      <c r="H7" s="12" t="str">
        <f>"Q"&amp; ROUNDUP(MONTH(EOMONTH(H5,-Fiscal_Offset))/3,0)</f>
        <v>Q4</v>
      </c>
      <c r="I7" s="12" t="str">
        <f>"Q"&amp; ROUNDUP(MONTH(EOMONTH(I5,-Fiscal_Offset))/3,0)</f>
        <v>Q4</v>
      </c>
      <c r="J7" s="148"/>
      <c r="K7" s="851"/>
      <c r="L7" s="12" t="str">
        <f t="shared" ref="L7:AA7" si="8">"Q"&amp; ROUNDUP(MONTH(EOMONTH(L5,-Fiscal_Offset))/3,0)</f>
        <v>Q1</v>
      </c>
      <c r="M7" s="12" t="str">
        <f t="shared" si="8"/>
        <v>Q2</v>
      </c>
      <c r="N7" s="12" t="str">
        <f t="shared" si="8"/>
        <v>Q3</v>
      </c>
      <c r="O7" s="12" t="str">
        <f t="shared" si="8"/>
        <v>Q4</v>
      </c>
      <c r="P7" s="12" t="str">
        <f t="shared" si="8"/>
        <v>Q1</v>
      </c>
      <c r="Q7" s="12" t="str">
        <f t="shared" si="8"/>
        <v>Q2</v>
      </c>
      <c r="R7" s="12" t="str">
        <f t="shared" si="8"/>
        <v>Q3</v>
      </c>
      <c r="S7" s="12" t="str">
        <f t="shared" si="8"/>
        <v>Q4</v>
      </c>
      <c r="T7" s="12" t="str">
        <f t="shared" si="8"/>
        <v>Q1</v>
      </c>
      <c r="U7" s="12" t="str">
        <f t="shared" si="8"/>
        <v>Q2</v>
      </c>
      <c r="V7" s="12" t="str">
        <f t="shared" si="8"/>
        <v>Q3</v>
      </c>
      <c r="W7" s="12" t="str">
        <f t="shared" si="8"/>
        <v>Q4</v>
      </c>
      <c r="X7" s="12" t="str">
        <f t="shared" si="8"/>
        <v>Q1</v>
      </c>
      <c r="Y7" s="12" t="str">
        <f t="shared" si="8"/>
        <v>Q2</v>
      </c>
      <c r="Z7" s="12" t="str">
        <f t="shared" si="8"/>
        <v>Q3</v>
      </c>
      <c r="AA7" s="12" t="str">
        <f t="shared" si="8"/>
        <v>Q4</v>
      </c>
      <c r="AB7" s="175"/>
      <c r="AC7" s="851"/>
      <c r="AD7" s="12" t="str">
        <f t="shared" ref="AD7:BY7" si="9">"Q"&amp; ROUNDUP(MONTH(EOMONTH(AD5,-Fiscal_Offset))/3,0)</f>
        <v>Q1</v>
      </c>
      <c r="AE7" s="12" t="str">
        <f t="shared" si="9"/>
        <v>Q1</v>
      </c>
      <c r="AF7" s="12" t="str">
        <f t="shared" si="9"/>
        <v>Q1</v>
      </c>
      <c r="AG7" s="12" t="str">
        <f t="shared" si="9"/>
        <v>Q2</v>
      </c>
      <c r="AH7" s="12" t="str">
        <f t="shared" si="9"/>
        <v>Q2</v>
      </c>
      <c r="AI7" s="12" t="str">
        <f t="shared" si="9"/>
        <v>Q2</v>
      </c>
      <c r="AJ7" s="12" t="str">
        <f t="shared" si="9"/>
        <v>Q3</v>
      </c>
      <c r="AK7" s="12" t="str">
        <f t="shared" si="9"/>
        <v>Q3</v>
      </c>
      <c r="AL7" s="12" t="str">
        <f t="shared" si="9"/>
        <v>Q3</v>
      </c>
      <c r="AM7" s="12" t="str">
        <f t="shared" si="9"/>
        <v>Q4</v>
      </c>
      <c r="AN7" s="12" t="str">
        <f t="shared" si="9"/>
        <v>Q4</v>
      </c>
      <c r="AO7" s="12" t="str">
        <f t="shared" si="9"/>
        <v>Q4</v>
      </c>
      <c r="AP7" s="12" t="str">
        <f t="shared" si="9"/>
        <v>Q1</v>
      </c>
      <c r="AQ7" s="12" t="str">
        <f t="shared" si="9"/>
        <v>Q1</v>
      </c>
      <c r="AR7" s="12" t="str">
        <f t="shared" si="9"/>
        <v>Q1</v>
      </c>
      <c r="AS7" s="12" t="str">
        <f t="shared" si="9"/>
        <v>Q2</v>
      </c>
      <c r="AT7" s="12" t="str">
        <f t="shared" si="9"/>
        <v>Q2</v>
      </c>
      <c r="AU7" s="12" t="str">
        <f t="shared" si="9"/>
        <v>Q2</v>
      </c>
      <c r="AV7" s="12" t="str">
        <f t="shared" si="9"/>
        <v>Q3</v>
      </c>
      <c r="AW7" s="12" t="str">
        <f t="shared" si="9"/>
        <v>Q3</v>
      </c>
      <c r="AX7" s="12" t="str">
        <f t="shared" si="9"/>
        <v>Q3</v>
      </c>
      <c r="AY7" s="12" t="str">
        <f t="shared" si="9"/>
        <v>Q4</v>
      </c>
      <c r="AZ7" s="12" t="str">
        <f t="shared" si="9"/>
        <v>Q4</v>
      </c>
      <c r="BA7" s="12" t="str">
        <f t="shared" si="9"/>
        <v>Q4</v>
      </c>
      <c r="BB7" s="12" t="str">
        <f t="shared" si="9"/>
        <v>Q1</v>
      </c>
      <c r="BC7" s="12" t="str">
        <f t="shared" si="9"/>
        <v>Q1</v>
      </c>
      <c r="BD7" s="12" t="str">
        <f t="shared" si="9"/>
        <v>Q1</v>
      </c>
      <c r="BE7" s="12" t="str">
        <f t="shared" si="9"/>
        <v>Q2</v>
      </c>
      <c r="BF7" s="12" t="str">
        <f t="shared" si="9"/>
        <v>Q2</v>
      </c>
      <c r="BG7" s="12" t="str">
        <f t="shared" si="9"/>
        <v>Q2</v>
      </c>
      <c r="BH7" s="12" t="str">
        <f t="shared" si="9"/>
        <v>Q3</v>
      </c>
      <c r="BI7" s="12" t="str">
        <f t="shared" si="9"/>
        <v>Q3</v>
      </c>
      <c r="BJ7" s="12" t="str">
        <f t="shared" si="9"/>
        <v>Q3</v>
      </c>
      <c r="BK7" s="12" t="str">
        <f t="shared" si="9"/>
        <v>Q4</v>
      </c>
      <c r="BL7" s="12" t="str">
        <f t="shared" si="9"/>
        <v>Q4</v>
      </c>
      <c r="BM7" s="12" t="str">
        <f t="shared" si="9"/>
        <v>Q4</v>
      </c>
      <c r="BN7" s="12" t="str">
        <f t="shared" si="9"/>
        <v>Q1</v>
      </c>
      <c r="BO7" s="12" t="str">
        <f t="shared" si="9"/>
        <v>Q1</v>
      </c>
      <c r="BP7" s="12" t="str">
        <f t="shared" si="9"/>
        <v>Q1</v>
      </c>
      <c r="BQ7" s="12" t="str">
        <f t="shared" si="9"/>
        <v>Q2</v>
      </c>
      <c r="BR7" s="12" t="str">
        <f t="shared" si="9"/>
        <v>Q2</v>
      </c>
      <c r="BS7" s="12" t="str">
        <f t="shared" si="9"/>
        <v>Q2</v>
      </c>
      <c r="BT7" s="12" t="str">
        <f t="shared" si="9"/>
        <v>Q3</v>
      </c>
      <c r="BU7" s="12" t="str">
        <f t="shared" si="9"/>
        <v>Q3</v>
      </c>
      <c r="BV7" s="12" t="str">
        <f t="shared" si="9"/>
        <v>Q3</v>
      </c>
      <c r="BW7" s="12" t="str">
        <f t="shared" si="9"/>
        <v>Q4</v>
      </c>
      <c r="BX7" s="12" t="str">
        <f t="shared" si="9"/>
        <v>Q4</v>
      </c>
      <c r="BY7" s="12" t="str">
        <f t="shared" si="9"/>
        <v>Q4</v>
      </c>
      <c r="BZ7"/>
    </row>
    <row r="8" spans="1:78" s="224" customFormat="1" ht="21" customHeight="1">
      <c r="A8"/>
      <c r="B8" s="220"/>
      <c r="C8" s="219" t="s">
        <v>217</v>
      </c>
      <c r="D8"/>
      <c r="E8" s="851"/>
      <c r="F8" s="173">
        <f>F6</f>
        <v>2023</v>
      </c>
      <c r="G8" s="173">
        <f>G6</f>
        <v>2024</v>
      </c>
      <c r="H8" s="173">
        <f>H6</f>
        <v>2025</v>
      </c>
      <c r="I8" s="173">
        <f>I6</f>
        <v>2026</v>
      </c>
      <c r="J8" s="172"/>
      <c r="K8" s="851"/>
      <c r="L8" s="171" t="str">
        <f t="shared" ref="L8:AA8" si="10">CONCATENATE(CONCATENATE(L$7," ",L$6))</f>
        <v>Q1 2023</v>
      </c>
      <c r="M8" s="171" t="str">
        <f t="shared" si="10"/>
        <v>Q2 2023</v>
      </c>
      <c r="N8" s="171" t="str">
        <f t="shared" si="10"/>
        <v>Q3 2023</v>
      </c>
      <c r="O8" s="171" t="str">
        <f t="shared" si="10"/>
        <v>Q4 2023</v>
      </c>
      <c r="P8" s="171" t="str">
        <f t="shared" si="10"/>
        <v>Q1 2024</v>
      </c>
      <c r="Q8" s="171" t="str">
        <f t="shared" si="10"/>
        <v>Q2 2024</v>
      </c>
      <c r="R8" s="171" t="str">
        <f t="shared" si="10"/>
        <v>Q3 2024</v>
      </c>
      <c r="S8" s="171" t="str">
        <f t="shared" si="10"/>
        <v>Q4 2024</v>
      </c>
      <c r="T8" s="171" t="str">
        <f t="shared" si="10"/>
        <v>Q1 2025</v>
      </c>
      <c r="U8" s="171" t="str">
        <f t="shared" si="10"/>
        <v>Q2 2025</v>
      </c>
      <c r="V8" s="171" t="str">
        <f t="shared" si="10"/>
        <v>Q3 2025</v>
      </c>
      <c r="W8" s="171" t="str">
        <f t="shared" si="10"/>
        <v>Q4 2025</v>
      </c>
      <c r="X8" s="171" t="str">
        <f t="shared" si="10"/>
        <v>Q1 2026</v>
      </c>
      <c r="Y8" s="171" t="str">
        <f t="shared" si="10"/>
        <v>Q2 2026</v>
      </c>
      <c r="Z8" s="171" t="str">
        <f t="shared" si="10"/>
        <v>Q3 2026</v>
      </c>
      <c r="AA8" s="171" t="str">
        <f t="shared" si="10"/>
        <v>Q4 2026</v>
      </c>
      <c r="AB8" s="170"/>
      <c r="AC8" s="851"/>
      <c r="AD8" s="169">
        <f t="shared" ref="AD8:BY8" si="11">AD5</f>
        <v>44957</v>
      </c>
      <c r="AE8" s="169">
        <f t="shared" si="11"/>
        <v>44985</v>
      </c>
      <c r="AF8" s="169">
        <f t="shared" si="11"/>
        <v>45016</v>
      </c>
      <c r="AG8" s="169">
        <f t="shared" si="11"/>
        <v>45046</v>
      </c>
      <c r="AH8" s="169">
        <f t="shared" si="11"/>
        <v>45077</v>
      </c>
      <c r="AI8" s="169">
        <f t="shared" si="11"/>
        <v>45107</v>
      </c>
      <c r="AJ8" s="169">
        <f t="shared" si="11"/>
        <v>45138</v>
      </c>
      <c r="AK8" s="169">
        <f t="shared" si="11"/>
        <v>45169</v>
      </c>
      <c r="AL8" s="169">
        <f t="shared" si="11"/>
        <v>45199</v>
      </c>
      <c r="AM8" s="169">
        <f t="shared" si="11"/>
        <v>45230</v>
      </c>
      <c r="AN8" s="169">
        <f t="shared" si="11"/>
        <v>45260</v>
      </c>
      <c r="AO8" s="169">
        <f t="shared" si="11"/>
        <v>45291</v>
      </c>
      <c r="AP8" s="169">
        <f t="shared" si="11"/>
        <v>45322</v>
      </c>
      <c r="AQ8" s="169">
        <f t="shared" si="11"/>
        <v>45351</v>
      </c>
      <c r="AR8" s="169">
        <f t="shared" si="11"/>
        <v>45382</v>
      </c>
      <c r="AS8" s="169">
        <f t="shared" si="11"/>
        <v>45412</v>
      </c>
      <c r="AT8" s="169">
        <f t="shared" si="11"/>
        <v>45443</v>
      </c>
      <c r="AU8" s="169">
        <f t="shared" si="11"/>
        <v>45473</v>
      </c>
      <c r="AV8" s="169">
        <f t="shared" si="11"/>
        <v>45504</v>
      </c>
      <c r="AW8" s="169">
        <f t="shared" si="11"/>
        <v>45535</v>
      </c>
      <c r="AX8" s="169">
        <f t="shared" si="11"/>
        <v>45565</v>
      </c>
      <c r="AY8" s="169">
        <f t="shared" si="11"/>
        <v>45596</v>
      </c>
      <c r="AZ8" s="169">
        <f t="shared" si="11"/>
        <v>45626</v>
      </c>
      <c r="BA8" s="169">
        <f t="shared" si="11"/>
        <v>45657</v>
      </c>
      <c r="BB8" s="169">
        <f t="shared" si="11"/>
        <v>45688</v>
      </c>
      <c r="BC8" s="169">
        <f t="shared" si="11"/>
        <v>45716</v>
      </c>
      <c r="BD8" s="169">
        <f t="shared" si="11"/>
        <v>45747</v>
      </c>
      <c r="BE8" s="169">
        <f t="shared" si="11"/>
        <v>45777</v>
      </c>
      <c r="BF8" s="169">
        <f t="shared" si="11"/>
        <v>45808</v>
      </c>
      <c r="BG8" s="169">
        <f t="shared" si="11"/>
        <v>45838</v>
      </c>
      <c r="BH8" s="169">
        <f t="shared" si="11"/>
        <v>45869</v>
      </c>
      <c r="BI8" s="169">
        <f t="shared" si="11"/>
        <v>45900</v>
      </c>
      <c r="BJ8" s="169">
        <f t="shared" si="11"/>
        <v>45930</v>
      </c>
      <c r="BK8" s="169">
        <f t="shared" si="11"/>
        <v>45961</v>
      </c>
      <c r="BL8" s="169">
        <f t="shared" si="11"/>
        <v>45991</v>
      </c>
      <c r="BM8" s="169">
        <f t="shared" si="11"/>
        <v>46022</v>
      </c>
      <c r="BN8" s="169">
        <f t="shared" si="11"/>
        <v>46053</v>
      </c>
      <c r="BO8" s="169">
        <f t="shared" si="11"/>
        <v>46081</v>
      </c>
      <c r="BP8" s="169">
        <f t="shared" si="11"/>
        <v>46112</v>
      </c>
      <c r="BQ8" s="169">
        <f t="shared" si="11"/>
        <v>46142</v>
      </c>
      <c r="BR8" s="169">
        <f t="shared" si="11"/>
        <v>46173</v>
      </c>
      <c r="BS8" s="169">
        <f t="shared" si="11"/>
        <v>46203</v>
      </c>
      <c r="BT8" s="169">
        <f t="shared" si="11"/>
        <v>46234</v>
      </c>
      <c r="BU8" s="169">
        <f t="shared" si="11"/>
        <v>46265</v>
      </c>
      <c r="BV8" s="169">
        <f t="shared" si="11"/>
        <v>46295</v>
      </c>
      <c r="BW8" s="169">
        <f t="shared" si="11"/>
        <v>46326</v>
      </c>
      <c r="BX8" s="169">
        <f t="shared" si="11"/>
        <v>46356</v>
      </c>
      <c r="BY8" s="169">
        <f t="shared" si="11"/>
        <v>46387</v>
      </c>
      <c r="BZ8"/>
    </row>
    <row r="9" spans="1:78" s="350" customFormat="1" ht="21" customHeight="1">
      <c r="A9" s="215"/>
      <c r="B9" s="343" t="s">
        <v>273</v>
      </c>
      <c r="C9" s="343" t="s">
        <v>273</v>
      </c>
      <c r="D9" s="215"/>
      <c r="E9" s="216"/>
      <c r="F9" s="345"/>
      <c r="G9" s="345"/>
      <c r="H9" s="345"/>
      <c r="I9" s="345"/>
      <c r="J9" s="344"/>
      <c r="K9" s="344"/>
      <c r="L9" s="345"/>
      <c r="M9" s="345"/>
      <c r="N9" s="345"/>
      <c r="O9" s="345"/>
      <c r="P9" s="345"/>
      <c r="Q9" s="345"/>
      <c r="R9" s="345"/>
      <c r="S9" s="345"/>
      <c r="T9" s="345"/>
      <c r="U9" s="345"/>
      <c r="V9" s="345"/>
      <c r="W9" s="345"/>
      <c r="X9" s="345"/>
      <c r="Y9" s="345"/>
      <c r="Z9" s="345"/>
      <c r="AA9" s="345"/>
      <c r="AB9" s="215"/>
      <c r="AC9" s="344"/>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5"/>
      <c r="BU9" s="345"/>
      <c r="BV9" s="345"/>
      <c r="BW9" s="345"/>
      <c r="BX9" s="345"/>
      <c r="BY9" s="345"/>
      <c r="BZ9" s="201"/>
    </row>
    <row r="10" spans="1:78" s="350" customFormat="1" ht="21" customHeight="1">
      <c r="A10" s="215"/>
      <c r="B10" s="342" t="s">
        <v>138</v>
      </c>
      <c r="C10" s="343" t="s">
        <v>138</v>
      </c>
      <c r="D10" s="215"/>
      <c r="E10" s="216"/>
      <c r="F10" s="346"/>
      <c r="G10" s="346"/>
      <c r="H10" s="346"/>
      <c r="I10" s="346"/>
      <c r="J10" s="344"/>
      <c r="K10" s="344"/>
      <c r="L10" s="346"/>
      <c r="M10" s="346"/>
      <c r="N10" s="346"/>
      <c r="O10" s="346"/>
      <c r="P10" s="346"/>
      <c r="Q10" s="346"/>
      <c r="R10" s="346"/>
      <c r="S10" s="346"/>
      <c r="T10" s="346"/>
      <c r="U10" s="346"/>
      <c r="V10" s="346"/>
      <c r="W10" s="346"/>
      <c r="X10" s="346"/>
      <c r="Y10" s="346"/>
      <c r="Z10" s="346"/>
      <c r="AA10" s="346"/>
      <c r="AB10" s="215"/>
      <c r="AC10" s="344"/>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6"/>
      <c r="BU10" s="346"/>
      <c r="BV10" s="346"/>
      <c r="BW10" s="346"/>
      <c r="BX10" s="346"/>
      <c r="BY10" s="346"/>
      <c r="BZ10" s="201"/>
    </row>
    <row r="11" spans="1:78" s="350" customFormat="1" ht="21" customHeight="1">
      <c r="A11" s="215"/>
      <c r="B11" s="348" t="s">
        <v>274</v>
      </c>
      <c r="C11" s="343" t="s">
        <v>274</v>
      </c>
      <c r="D11" s="215"/>
      <c r="E11" s="216"/>
      <c r="F11" s="351"/>
      <c r="G11" s="351"/>
      <c r="H11" s="351"/>
      <c r="I11" s="351"/>
      <c r="J11" s="344"/>
      <c r="K11" s="344"/>
      <c r="L11" s="351"/>
      <c r="M11" s="351"/>
      <c r="N11" s="351"/>
      <c r="O11" s="351"/>
      <c r="P11" s="351"/>
      <c r="Q11" s="351"/>
      <c r="R11" s="351"/>
      <c r="S11" s="351"/>
      <c r="T11" s="351"/>
      <c r="U11" s="351"/>
      <c r="V11" s="351"/>
      <c r="W11" s="351"/>
      <c r="X11" s="351"/>
      <c r="Y11" s="351"/>
      <c r="Z11" s="351"/>
      <c r="AA11" s="351"/>
      <c r="AB11" s="215"/>
      <c r="AC11" s="344"/>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51"/>
      <c r="AZ11" s="351"/>
      <c r="BA11" s="351"/>
      <c r="BB11" s="351"/>
      <c r="BC11" s="351"/>
      <c r="BD11" s="351"/>
      <c r="BE11" s="351"/>
      <c r="BF11" s="351"/>
      <c r="BG11" s="351"/>
      <c r="BH11" s="351"/>
      <c r="BI11" s="351"/>
      <c r="BJ11" s="351"/>
      <c r="BK11" s="351"/>
      <c r="BL11" s="351"/>
      <c r="BM11" s="351"/>
      <c r="BN11" s="351"/>
      <c r="BO11" s="351"/>
      <c r="BP11" s="351"/>
      <c r="BQ11" s="351"/>
      <c r="BR11" s="351"/>
      <c r="BS11" s="351"/>
      <c r="BT11" s="351"/>
      <c r="BU11" s="351"/>
      <c r="BV11" s="351"/>
      <c r="BW11" s="351"/>
      <c r="BX11" s="351"/>
      <c r="BY11" s="351"/>
      <c r="BZ11" s="201"/>
    </row>
    <row r="12" spans="1:78" s="350" customFormat="1" ht="21" customHeight="1">
      <c r="A12" s="215"/>
      <c r="B12" s="623" t="s">
        <v>275</v>
      </c>
      <c r="C12" s="343">
        <v>1150040000</v>
      </c>
      <c r="D12" s="215"/>
      <c r="E12" s="216"/>
      <c r="F12" s="352" cm="1">
        <f t="array" ref="F12">SUM(_xlfn._xlws.FILTER(_xlfn._xlws.FILTER(dataGLBS,endDates=F$5),dataGLBSAcctIDs=$C12))</f>
        <v>4285000.5</v>
      </c>
      <c r="G12" s="352" cm="1">
        <f t="array" ref="G12">SUM(_xlfn._xlws.FILTER(_xlfn._xlws.FILTER(dataGLBS,endDates=G$5),dataGLBSAcctIDs=$C12))</f>
        <v>2744982.5</v>
      </c>
      <c r="H12" s="352" cm="1">
        <f t="array" ref="H12">SUM(_xlfn._xlws.FILTER(_xlfn._xlws.FILTER(dataGLBS,endDates=H$5),dataGLBSAcctIDs=$C12))</f>
        <v>0</v>
      </c>
      <c r="I12" s="352" cm="1">
        <f t="array" ref="I12">SUM(_xlfn._xlws.FILTER(_xlfn._xlws.FILTER(dataGLBS,endDates=I$5),dataGLBSAcctIDs=$C12))</f>
        <v>0</v>
      </c>
      <c r="J12" s="344"/>
      <c r="K12" s="344"/>
      <c r="L12" s="352" cm="1">
        <f t="array" ref="L12">SUM(_xlfn._xlws.FILTER(_xlfn._xlws.FILTER(dataGLBS,endDates=L$5),dataGLBSAcctIDs=$C12))</f>
        <v>822468.5</v>
      </c>
      <c r="M12" s="352" cm="1">
        <f t="array" ref="M12">SUM(_xlfn._xlws.FILTER(_xlfn._xlws.FILTER(dataGLBS,endDates=M$5),dataGLBSAcctIDs=$C12))</f>
        <v>2139776.5</v>
      </c>
      <c r="N12" s="352" cm="1">
        <f t="array" ref="N12">SUM(_xlfn._xlws.FILTER(_xlfn._xlws.FILTER(dataGLBS,endDates=N$5),dataGLBSAcctIDs=$C12))</f>
        <v>2007838.5</v>
      </c>
      <c r="O12" s="352" cm="1">
        <f t="array" ref="O12">SUM(_xlfn._xlws.FILTER(_xlfn._xlws.FILTER(dataGLBS,endDates=O$5),dataGLBSAcctIDs=$C12))</f>
        <v>4285000.5</v>
      </c>
      <c r="P12" s="352" cm="1">
        <f t="array" ref="P12">SUM(_xlfn._xlws.FILTER(_xlfn._xlws.FILTER(dataGLBS,endDates=P$5),dataGLBSAcctIDs=$C12))</f>
        <v>4004840.5</v>
      </c>
      <c r="Q12" s="352" cm="1">
        <f t="array" ref="Q12">SUM(_xlfn._xlws.FILTER(_xlfn._xlws.FILTER(dataGLBS,endDates=Q$5),dataGLBSAcctIDs=$C12))</f>
        <v>3656851.5</v>
      </c>
      <c r="R12" s="352" cm="1">
        <f t="array" ref="R12">SUM(_xlfn._xlws.FILTER(_xlfn._xlws.FILTER(dataGLBS,endDates=R$5),dataGLBSAcctIDs=$C12))</f>
        <v>3217220.5</v>
      </c>
      <c r="S12" s="352" cm="1">
        <f t="array" ref="S12">SUM(_xlfn._xlws.FILTER(_xlfn._xlws.FILTER(dataGLBS,endDates=S$5),dataGLBSAcctIDs=$C12))</f>
        <v>2744982.5</v>
      </c>
      <c r="T12" s="352" cm="1">
        <f t="array" ref="T12">SUM(_xlfn._xlws.FILTER(_xlfn._xlws.FILTER(dataGLBS,endDates=T$5),dataGLBSAcctIDs=$C12))</f>
        <v>2207358.48</v>
      </c>
      <c r="U12" s="352" cm="1">
        <f t="array" ref="U12">SUM(_xlfn._xlws.FILTER(_xlfn._xlws.FILTER(dataGLBS,endDates=U$5),dataGLBSAcctIDs=$C12))</f>
        <v>1594040.15</v>
      </c>
      <c r="V12" s="352" cm="1">
        <f t="array" ref="V12">SUM(_xlfn._xlws.FILTER(_xlfn._xlws.FILTER(dataGLBS,endDates=V$5),dataGLBSAcctIDs=$C12))</f>
        <v>893122.77</v>
      </c>
      <c r="W12" s="352" cm="1">
        <f t="array" ref="W12">SUM(_xlfn._xlws.FILTER(_xlfn._xlws.FILTER(dataGLBS,endDates=W$5),dataGLBSAcctIDs=$C12))</f>
        <v>0</v>
      </c>
      <c r="X12" s="352" cm="1">
        <f t="array" ref="X12">SUM(_xlfn._xlws.FILTER(_xlfn._xlws.FILTER(dataGLBS,endDates=X$5),dataGLBSAcctIDs=$C12))</f>
        <v>0</v>
      </c>
      <c r="Y12" s="352" cm="1">
        <f t="array" ref="Y12">SUM(_xlfn._xlws.FILTER(_xlfn._xlws.FILTER(dataGLBS,endDates=Y$5),dataGLBSAcctIDs=$C12))</f>
        <v>0</v>
      </c>
      <c r="Z12" s="352" cm="1">
        <f t="array" ref="Z12">SUM(_xlfn._xlws.FILTER(_xlfn._xlws.FILTER(dataGLBS,endDates=Z$5),dataGLBSAcctIDs=$C12))</f>
        <v>0</v>
      </c>
      <c r="AA12" s="352" cm="1">
        <f t="array" ref="AA12">SUM(_xlfn._xlws.FILTER(_xlfn._xlws.FILTER(dataGLBS,endDates=AA$5),dataGLBSAcctIDs=$C12))</f>
        <v>0</v>
      </c>
      <c r="AB12" s="215"/>
      <c r="AC12" s="344"/>
      <c r="AD12" s="352" cm="1">
        <f t="array" ref="AD12">SUM(_xlfn._xlws.FILTER(_xlfn._xlws.FILTER(dataGLBS,endDates=AD$5),dataGLBSAcctIDs=$C12))</f>
        <v>912877</v>
      </c>
      <c r="AE12" s="352" cm="1">
        <f t="array" ref="AE12">SUM(_xlfn._xlws.FILTER(_xlfn._xlws.FILTER(dataGLBS,endDates=AE$5),dataGLBSAcctIDs=$C12))</f>
        <v>872266.5</v>
      </c>
      <c r="AF12" s="352" cm="1">
        <f t="array" ref="AF12">SUM(_xlfn._xlws.FILTER(_xlfn._xlws.FILTER(dataGLBS,endDates=AF$5),dataGLBSAcctIDs=$C12))</f>
        <v>822468.5</v>
      </c>
      <c r="AG12" s="352" cm="1">
        <f t="array" ref="AG12">SUM(_xlfn._xlws.FILTER(_xlfn._xlws.FILTER(dataGLBS,endDates=AG$5),dataGLBSAcctIDs=$C12))</f>
        <v>740459</v>
      </c>
      <c r="AH12" s="352" cm="1">
        <f t="array" ref="AH12">SUM(_xlfn._xlws.FILTER(_xlfn._xlws.FILTER(dataGLBS,endDates=AH$5),dataGLBSAcctIDs=$C12))</f>
        <v>698801.5</v>
      </c>
      <c r="AI12" s="352" cm="1">
        <f t="array" ref="AI12">SUM(_xlfn._xlws.FILTER(_xlfn._xlws.FILTER(dataGLBS,endDates=AI$5),dataGLBSAcctIDs=$C12))</f>
        <v>2139776.5</v>
      </c>
      <c r="AJ12" s="352" cm="1">
        <f t="array" ref="AJ12">SUM(_xlfn._xlws.FILTER(_xlfn._xlws.FILTER(dataGLBS,endDates=AJ$5),dataGLBSAcctIDs=$C12))</f>
        <v>2100546</v>
      </c>
      <c r="AK12" s="352" cm="1">
        <f t="array" ref="AK12">SUM(_xlfn._xlws.FILTER(_xlfn._xlws.FILTER(dataGLBS,endDates=AK$5),dataGLBSAcctIDs=$C12))</f>
        <v>2050413.5</v>
      </c>
      <c r="AL12" s="352" cm="1">
        <f t="array" ref="AL12">SUM(_xlfn._xlws.FILTER(_xlfn._xlws.FILTER(dataGLBS,endDates=AL$5),dataGLBSAcctIDs=$C12))</f>
        <v>2007838.5</v>
      </c>
      <c r="AM12" s="352" cm="1">
        <f t="array" ref="AM12">SUM(_xlfn._xlws.FILTER(_xlfn._xlws.FILTER(dataGLBS,endDates=AM$5),dataGLBSAcctIDs=$C12))</f>
        <v>2963592.5</v>
      </c>
      <c r="AN12" s="352" cm="1">
        <f t="array" ref="AN12">SUM(_xlfn._xlws.FILTER(_xlfn._xlws.FILTER(dataGLBS,endDates=AN$5),dataGLBSAcctIDs=$C12))</f>
        <v>3396134.5</v>
      </c>
      <c r="AO12" s="352" cm="1">
        <f t="array" ref="AO12">SUM(_xlfn._xlws.FILTER(_xlfn._xlws.FILTER(dataGLBS,endDates=AO$5),dataGLBSAcctIDs=$C12))</f>
        <v>4285000.5</v>
      </c>
      <c r="AP12" s="352" cm="1">
        <f t="array" ref="AP12">SUM(_xlfn._xlws.FILTER(_xlfn._xlws.FILTER(dataGLBS,endDates=AP$5),dataGLBSAcctIDs=$C12))</f>
        <v>4191288.5</v>
      </c>
      <c r="AQ12" s="352" cm="1">
        <f t="array" ref="AQ12">SUM(_xlfn._xlws.FILTER(_xlfn._xlws.FILTER(dataGLBS,endDates=AQ$5),dataGLBSAcctIDs=$C12))</f>
        <v>4076334.5</v>
      </c>
      <c r="AR12" s="352" cm="1">
        <f t="array" ref="AR12">SUM(_xlfn._xlws.FILTER(_xlfn._xlws.FILTER(dataGLBS,endDates=AR$5),dataGLBSAcctIDs=$C12))</f>
        <v>4004840.5</v>
      </c>
      <c r="AS12" s="352" cm="1">
        <f t="array" ref="AS12">SUM(_xlfn._xlws.FILTER(_xlfn._xlws.FILTER(dataGLBS,endDates=AS$5),dataGLBSAcctIDs=$C12))</f>
        <v>3870793.5</v>
      </c>
      <c r="AT12" s="352" cm="1">
        <f t="array" ref="AT12">SUM(_xlfn._xlws.FILTER(_xlfn._xlws.FILTER(dataGLBS,endDates=AT$5),dataGLBSAcctIDs=$C12))</f>
        <v>3794994.5</v>
      </c>
      <c r="AU12" s="352" cm="1">
        <f t="array" ref="AU12">SUM(_xlfn._xlws.FILTER(_xlfn._xlws.FILTER(dataGLBS,endDates=AU$5),dataGLBSAcctIDs=$C12))</f>
        <v>3656851.5</v>
      </c>
      <c r="AV12" s="352" cm="1">
        <f t="array" ref="AV12">SUM(_xlfn._xlws.FILTER(_xlfn._xlws.FILTER(dataGLBS,endDates=AV$5),dataGLBSAcctIDs=$C12))</f>
        <v>3512188.5</v>
      </c>
      <c r="AW12" s="352" cm="1">
        <f t="array" ref="AW12">SUM(_xlfn._xlws.FILTER(_xlfn._xlws.FILTER(dataGLBS,endDates=AW$5),dataGLBSAcctIDs=$C12))</f>
        <v>3367871.5</v>
      </c>
      <c r="AX12" s="352" cm="1">
        <f t="array" ref="AX12">SUM(_xlfn._xlws.FILTER(_xlfn._xlws.FILTER(dataGLBS,endDates=AX$5),dataGLBSAcctIDs=$C12))</f>
        <v>3217220.5</v>
      </c>
      <c r="AY12" s="352" cm="1">
        <f t="array" ref="AY12">SUM(_xlfn._xlws.FILTER(_xlfn._xlws.FILTER(dataGLBS,endDates=AY$5),dataGLBSAcctIDs=$C12))</f>
        <v>3066455.5</v>
      </c>
      <c r="AZ12" s="352" cm="1">
        <f t="array" ref="AZ12">SUM(_xlfn._xlws.FILTER(_xlfn._xlws.FILTER(dataGLBS,endDates=AZ$5),dataGLBSAcctIDs=$C12))</f>
        <v>2909186.5</v>
      </c>
      <c r="BA12" s="352" cm="1">
        <f t="array" ref="BA12">SUM(_xlfn._xlws.FILTER(_xlfn._xlws.FILTER(dataGLBS,endDates=BA$5),dataGLBSAcctIDs=$C12))</f>
        <v>2744982.5</v>
      </c>
      <c r="BB12" s="352" cm="1">
        <f t="array" ref="BB12">SUM(_xlfn._xlws.FILTER(_xlfn._xlws.FILTER(dataGLBS,endDates=BB$5),dataGLBSAcctIDs=$C12))</f>
        <v>2573511.48</v>
      </c>
      <c r="BC12" s="352" cm="1">
        <f t="array" ref="BC12">SUM(_xlfn._xlws.FILTER(_xlfn._xlws.FILTER(dataGLBS,endDates=BC$5),dataGLBSAcctIDs=$C12))</f>
        <v>2394437.48</v>
      </c>
      <c r="BD12" s="352" cm="1">
        <f t="array" ref="BD12">SUM(_xlfn._xlws.FILTER(_xlfn._xlws.FILTER(dataGLBS,endDates=BD$5),dataGLBSAcctIDs=$C12))</f>
        <v>2207358.48</v>
      </c>
      <c r="BE12" s="352" cm="1">
        <f t="array" ref="BE12">SUM(_xlfn._xlws.FILTER(_xlfn._xlws.FILTER(dataGLBS,endDates=BE$5),dataGLBSAcctIDs=$C12))</f>
        <v>2011881.48</v>
      </c>
      <c r="BF12" s="352" cm="1">
        <f t="array" ref="BF12">SUM(_xlfn._xlws.FILTER(_xlfn._xlws.FILTER(dataGLBS,endDates=BF$5),dataGLBSAcctIDs=$C12))</f>
        <v>1807588.48</v>
      </c>
      <c r="BG12" s="352" cm="1">
        <f t="array" ref="BG12">SUM(_xlfn._xlws.FILTER(_xlfn._xlws.FILTER(dataGLBS,endDates=BG$5),dataGLBSAcctIDs=$C12))</f>
        <v>1594040.15</v>
      </c>
      <c r="BH12" s="352" cm="1">
        <f t="array" ref="BH12">SUM(_xlfn._xlws.FILTER(_xlfn._xlws.FILTER(dataGLBS,endDates=BH$5),dataGLBSAcctIDs=$C12))</f>
        <v>1370773.78</v>
      </c>
      <c r="BI12" s="352" cm="1">
        <f t="array" ref="BI12">SUM(_xlfn._xlws.FILTER(_xlfn._xlws.FILTER(dataGLBS,endDates=BI$5),dataGLBSAcctIDs=$C12))</f>
        <v>1137304.6599999999</v>
      </c>
      <c r="BJ12" s="352" cm="1">
        <f t="array" ref="BJ12">SUM(_xlfn._xlws.FILTER(_xlfn._xlws.FILTER(dataGLBS,endDates=BJ$5),dataGLBSAcctIDs=$C12))</f>
        <v>893122.77</v>
      </c>
      <c r="BK12" s="352" cm="1">
        <f t="array" ref="BK12">SUM(_xlfn._xlws.FILTER(_xlfn._xlws.FILTER(dataGLBS,endDates=BK$5),dataGLBSAcctIDs=$C12))</f>
        <v>637693.89</v>
      </c>
      <c r="BL12" s="352" cm="1">
        <f t="array" ref="BL12">SUM(_xlfn._xlws.FILTER(_xlfn._xlws.FILTER(dataGLBS,endDates=BL$5),dataGLBSAcctIDs=$C12))</f>
        <v>370456.63</v>
      </c>
      <c r="BM12" s="352" cm="1">
        <f t="array" ref="BM12">SUM(_xlfn._xlws.FILTER(_xlfn._xlws.FILTER(dataGLBS,endDates=BM$5),dataGLBSAcctIDs=$C12))</f>
        <v>0</v>
      </c>
      <c r="BN12" s="352" cm="1">
        <f t="array" ref="BN12">SUM(_xlfn._xlws.FILTER(_xlfn._xlws.FILTER(dataGLBS,endDates=BN$5),dataGLBSAcctIDs=$C12))</f>
        <v>0</v>
      </c>
      <c r="BO12" s="352" cm="1">
        <f t="array" ref="BO12">SUM(_xlfn._xlws.FILTER(_xlfn._xlws.FILTER(dataGLBS,endDates=BO$5),dataGLBSAcctIDs=$C12))</f>
        <v>0</v>
      </c>
      <c r="BP12" s="352" cm="1">
        <f t="array" ref="BP12">SUM(_xlfn._xlws.FILTER(_xlfn._xlws.FILTER(dataGLBS,endDates=BP$5),dataGLBSAcctIDs=$C12))</f>
        <v>0</v>
      </c>
      <c r="BQ12" s="352" cm="1">
        <f t="array" ref="BQ12">SUM(_xlfn._xlws.FILTER(_xlfn._xlws.FILTER(dataGLBS,endDates=BQ$5),dataGLBSAcctIDs=$C12))</f>
        <v>0</v>
      </c>
      <c r="BR12" s="352" cm="1">
        <f t="array" ref="BR12">SUM(_xlfn._xlws.FILTER(_xlfn._xlws.FILTER(dataGLBS,endDates=BR$5),dataGLBSAcctIDs=$C12))</f>
        <v>0</v>
      </c>
      <c r="BS12" s="352" cm="1">
        <f t="array" ref="BS12">SUM(_xlfn._xlws.FILTER(_xlfn._xlws.FILTER(dataGLBS,endDates=BS$5),dataGLBSAcctIDs=$C12))</f>
        <v>0</v>
      </c>
      <c r="BT12" s="352" cm="1">
        <f t="array" ref="BT12">SUM(_xlfn._xlws.FILTER(_xlfn._xlws.FILTER(dataGLBS,endDates=BT$5),dataGLBSAcctIDs=$C12))</f>
        <v>0</v>
      </c>
      <c r="BU12" s="352" cm="1">
        <f t="array" ref="BU12">SUM(_xlfn._xlws.FILTER(_xlfn._xlws.FILTER(dataGLBS,endDates=BU$5),dataGLBSAcctIDs=$C12))</f>
        <v>0</v>
      </c>
      <c r="BV12" s="352" cm="1">
        <f t="array" ref="BV12">SUM(_xlfn._xlws.FILTER(_xlfn._xlws.FILTER(dataGLBS,endDates=BV$5),dataGLBSAcctIDs=$C12))</f>
        <v>0</v>
      </c>
      <c r="BW12" s="352" cm="1">
        <f t="array" ref="BW12">SUM(_xlfn._xlws.FILTER(_xlfn._xlws.FILTER(dataGLBS,endDates=BW$5),dataGLBSAcctIDs=$C12))</f>
        <v>0</v>
      </c>
      <c r="BX12" s="352" cm="1">
        <f t="array" ref="BX12">SUM(_xlfn._xlws.FILTER(_xlfn._xlws.FILTER(dataGLBS,endDates=BX$5),dataGLBSAcctIDs=$C12))</f>
        <v>0</v>
      </c>
      <c r="BY12" s="352" cm="1">
        <f t="array" ref="BY12">SUM(_xlfn._xlws.FILTER(_xlfn._xlws.FILTER(dataGLBS,endDates=BY$5),dataGLBSAcctIDs=$C12))</f>
        <v>0</v>
      </c>
      <c r="BZ12" s="201"/>
    </row>
    <row r="13" spans="1:78" s="350" customFormat="1" ht="21" customHeight="1">
      <c r="A13" s="215"/>
      <c r="B13" s="348" t="s">
        <v>276</v>
      </c>
      <c r="C13" s="343" t="s">
        <v>277</v>
      </c>
      <c r="D13" s="215"/>
      <c r="E13" s="216"/>
      <c r="F13" s="351" cm="1">
        <f t="array" ref="F13">SUM(_xlfn._xlws.FILTER(_xlfn._xlws.FILTER(dataGLBS,endDates=F$5),dataGLBSAcctIDs=$C13))</f>
        <v>4285000.5</v>
      </c>
      <c r="G13" s="351" cm="1">
        <f t="array" ref="G13">SUM(_xlfn._xlws.FILTER(_xlfn._xlws.FILTER(dataGLBS,endDates=G$5),dataGLBSAcctIDs=$C13))</f>
        <v>2744982.5</v>
      </c>
      <c r="H13" s="351" cm="1">
        <f t="array" ref="H13">SUM(_xlfn._xlws.FILTER(_xlfn._xlws.FILTER(dataGLBS,endDates=H$5),dataGLBSAcctIDs=$C13))</f>
        <v>1156879.011009091</v>
      </c>
      <c r="I13" s="351" cm="1">
        <f t="array" ref="I13">SUM(_xlfn._xlws.FILTER(_xlfn._xlws.FILTER(dataGLBS,endDates=I$5),dataGLBSAcctIDs=$C13))</f>
        <v>-1438973.6823828642</v>
      </c>
      <c r="J13" s="344"/>
      <c r="K13" s="344"/>
      <c r="L13" s="351" cm="1">
        <f t="array" ref="L13">SUM(_xlfn._xlws.FILTER(_xlfn._xlws.FILTER(dataGLBS,endDates=L$5),dataGLBSAcctIDs=$C13))</f>
        <v>822468.5</v>
      </c>
      <c r="M13" s="351" cm="1">
        <f t="array" ref="M13">SUM(_xlfn._xlws.FILTER(_xlfn._xlws.FILTER(dataGLBS,endDates=M$5),dataGLBSAcctIDs=$C13))</f>
        <v>2139776.5</v>
      </c>
      <c r="N13" s="351" cm="1">
        <f t="array" ref="N13">SUM(_xlfn._xlws.FILTER(_xlfn._xlws.FILTER(dataGLBS,endDates=N$5),dataGLBSAcctIDs=$C13))</f>
        <v>2007838.5</v>
      </c>
      <c r="O13" s="351" cm="1">
        <f t="array" ref="O13">SUM(_xlfn._xlws.FILTER(_xlfn._xlws.FILTER(dataGLBS,endDates=O$5),dataGLBSAcctIDs=$C13))</f>
        <v>4285000.5</v>
      </c>
      <c r="P13" s="351" cm="1">
        <f t="array" ref="P13">SUM(_xlfn._xlws.FILTER(_xlfn._xlws.FILTER(dataGLBS,endDates=P$5),dataGLBSAcctIDs=$C13))</f>
        <v>4004840.5</v>
      </c>
      <c r="Q13" s="351" cm="1">
        <f t="array" ref="Q13">SUM(_xlfn._xlws.FILTER(_xlfn._xlws.FILTER(dataGLBS,endDates=Q$5),dataGLBSAcctIDs=$C13))</f>
        <v>3656851.5</v>
      </c>
      <c r="R13" s="351" cm="1">
        <f t="array" ref="R13">SUM(_xlfn._xlws.FILTER(_xlfn._xlws.FILTER(dataGLBS,endDates=R$5),dataGLBSAcctIDs=$C13))</f>
        <v>3217220.5</v>
      </c>
      <c r="S13" s="351" cm="1">
        <f t="array" ref="S13">SUM(_xlfn._xlws.FILTER(_xlfn._xlws.FILTER(dataGLBS,endDates=S$5),dataGLBSAcctIDs=$C13))</f>
        <v>2744982.5</v>
      </c>
      <c r="T13" s="351" cm="1">
        <f t="array" ref="T13">SUM(_xlfn._xlws.FILTER(_xlfn._xlws.FILTER(dataGLBS,endDates=T$5),dataGLBSAcctIDs=$C13))</f>
        <v>2207358.48</v>
      </c>
      <c r="U13" s="351" cm="1">
        <f t="array" ref="U13">SUM(_xlfn._xlws.FILTER(_xlfn._xlws.FILTER(dataGLBS,endDates=U$5),dataGLBSAcctIDs=$C13))</f>
        <v>1594040.15</v>
      </c>
      <c r="V13" s="351" cm="1">
        <f t="array" ref="V13">SUM(_xlfn._xlws.FILTER(_xlfn._xlws.FILTER(dataGLBS,endDates=V$5),dataGLBSAcctIDs=$C13))</f>
        <v>893122.77</v>
      </c>
      <c r="W13" s="351" cm="1">
        <f t="array" ref="W13">SUM(_xlfn._xlws.FILTER(_xlfn._xlws.FILTER(dataGLBS,endDates=W$5),dataGLBSAcctIDs=$C13))</f>
        <v>1156879.011009091</v>
      </c>
      <c r="X13" s="351" cm="1">
        <f t="array" ref="X13">SUM(_xlfn._xlws.FILTER(_xlfn._xlws.FILTER(dataGLBS,endDates=X$5),dataGLBSAcctIDs=$C13))</f>
        <v>733998.54778743605</v>
      </c>
      <c r="Y13" s="351" cm="1">
        <f t="array" ref="Y13">SUM(_xlfn._xlws.FILTER(_xlfn._xlws.FILTER(dataGLBS,endDates=Y$5),dataGLBSAcctIDs=$C13))</f>
        <v>50877.329930825552</v>
      </c>
      <c r="Z13" s="351" cm="1">
        <f t="array" ref="Z13">SUM(_xlfn._xlws.FILTER(_xlfn._xlws.FILTER(dataGLBS,endDates=Z$5),dataGLBSAcctIDs=$C13))</f>
        <v>-672164.29362152971</v>
      </c>
      <c r="AA13" s="351" cm="1">
        <f t="array" ref="AA13">SUM(_xlfn._xlws.FILTER(_xlfn._xlws.FILTER(dataGLBS,endDates=AA$5),dataGLBSAcctIDs=$C13))</f>
        <v>-1438973.6823828642</v>
      </c>
      <c r="AB13" s="215"/>
      <c r="AC13" s="344"/>
      <c r="AD13" s="351" cm="1">
        <f t="array" ref="AD13">SUM(_xlfn._xlws.FILTER(_xlfn._xlws.FILTER(dataGLBS,endDates=AD$5),dataGLBSAcctIDs=$C13))</f>
        <v>912877</v>
      </c>
      <c r="AE13" s="351" cm="1">
        <f t="array" ref="AE13">SUM(_xlfn._xlws.FILTER(_xlfn._xlws.FILTER(dataGLBS,endDates=AE$5),dataGLBSAcctIDs=$C13))</f>
        <v>872266.5</v>
      </c>
      <c r="AF13" s="351" cm="1">
        <f t="array" ref="AF13">SUM(_xlfn._xlws.FILTER(_xlfn._xlws.FILTER(dataGLBS,endDates=AF$5),dataGLBSAcctIDs=$C13))</f>
        <v>822468.5</v>
      </c>
      <c r="AG13" s="351" cm="1">
        <f t="array" ref="AG13">SUM(_xlfn._xlws.FILTER(_xlfn._xlws.FILTER(dataGLBS,endDates=AG$5),dataGLBSAcctIDs=$C13))</f>
        <v>740459</v>
      </c>
      <c r="AH13" s="351" cm="1">
        <f t="array" ref="AH13">SUM(_xlfn._xlws.FILTER(_xlfn._xlws.FILTER(dataGLBS,endDates=AH$5),dataGLBSAcctIDs=$C13))</f>
        <v>698801.5</v>
      </c>
      <c r="AI13" s="351" cm="1">
        <f t="array" ref="AI13">SUM(_xlfn._xlws.FILTER(_xlfn._xlws.FILTER(dataGLBS,endDates=AI$5),dataGLBSAcctIDs=$C13))</f>
        <v>2139776.5</v>
      </c>
      <c r="AJ13" s="351" cm="1">
        <f t="array" ref="AJ13">SUM(_xlfn._xlws.FILTER(_xlfn._xlws.FILTER(dataGLBS,endDates=AJ$5),dataGLBSAcctIDs=$C13))</f>
        <v>2100546</v>
      </c>
      <c r="AK13" s="351" cm="1">
        <f t="array" ref="AK13">SUM(_xlfn._xlws.FILTER(_xlfn._xlws.FILTER(dataGLBS,endDates=AK$5),dataGLBSAcctIDs=$C13))</f>
        <v>2050413.5</v>
      </c>
      <c r="AL13" s="351" cm="1">
        <f t="array" ref="AL13">SUM(_xlfn._xlws.FILTER(_xlfn._xlws.FILTER(dataGLBS,endDates=AL$5),dataGLBSAcctIDs=$C13))</f>
        <v>2007838.5</v>
      </c>
      <c r="AM13" s="351" cm="1">
        <f t="array" ref="AM13">SUM(_xlfn._xlws.FILTER(_xlfn._xlws.FILTER(dataGLBS,endDates=AM$5),dataGLBSAcctIDs=$C13))</f>
        <v>2963592.5</v>
      </c>
      <c r="AN13" s="351" cm="1">
        <f t="array" ref="AN13">SUM(_xlfn._xlws.FILTER(_xlfn._xlws.FILTER(dataGLBS,endDates=AN$5),dataGLBSAcctIDs=$C13))</f>
        <v>3396134.5</v>
      </c>
      <c r="AO13" s="351" cm="1">
        <f t="array" ref="AO13">SUM(_xlfn._xlws.FILTER(_xlfn._xlws.FILTER(dataGLBS,endDates=AO$5),dataGLBSAcctIDs=$C13))</f>
        <v>4285000.5</v>
      </c>
      <c r="AP13" s="351" cm="1">
        <f t="array" ref="AP13">SUM(_xlfn._xlws.FILTER(_xlfn._xlws.FILTER(dataGLBS,endDates=AP$5),dataGLBSAcctIDs=$C13))</f>
        <v>4191288.5</v>
      </c>
      <c r="AQ13" s="351" cm="1">
        <f t="array" ref="AQ13">SUM(_xlfn._xlws.FILTER(_xlfn._xlws.FILTER(dataGLBS,endDates=AQ$5),dataGLBSAcctIDs=$C13))</f>
        <v>4076334.5</v>
      </c>
      <c r="AR13" s="351" cm="1">
        <f t="array" ref="AR13">SUM(_xlfn._xlws.FILTER(_xlfn._xlws.FILTER(dataGLBS,endDates=AR$5),dataGLBSAcctIDs=$C13))</f>
        <v>4004840.5</v>
      </c>
      <c r="AS13" s="351" cm="1">
        <f t="array" ref="AS13">SUM(_xlfn._xlws.FILTER(_xlfn._xlws.FILTER(dataGLBS,endDates=AS$5),dataGLBSAcctIDs=$C13))</f>
        <v>3870793.5</v>
      </c>
      <c r="AT13" s="351" cm="1">
        <f t="array" ref="AT13">SUM(_xlfn._xlws.FILTER(_xlfn._xlws.FILTER(dataGLBS,endDates=AT$5),dataGLBSAcctIDs=$C13))</f>
        <v>3794994.5</v>
      </c>
      <c r="AU13" s="351" cm="1">
        <f t="array" ref="AU13">SUM(_xlfn._xlws.FILTER(_xlfn._xlws.FILTER(dataGLBS,endDates=AU$5),dataGLBSAcctIDs=$C13))</f>
        <v>3656851.5</v>
      </c>
      <c r="AV13" s="351" cm="1">
        <f t="array" ref="AV13">SUM(_xlfn._xlws.FILTER(_xlfn._xlws.FILTER(dataGLBS,endDates=AV$5),dataGLBSAcctIDs=$C13))</f>
        <v>3512188.5</v>
      </c>
      <c r="AW13" s="351" cm="1">
        <f t="array" ref="AW13">SUM(_xlfn._xlws.FILTER(_xlfn._xlws.FILTER(dataGLBS,endDates=AW$5),dataGLBSAcctIDs=$C13))</f>
        <v>3367871.5</v>
      </c>
      <c r="AX13" s="351" cm="1">
        <f t="array" ref="AX13">SUM(_xlfn._xlws.FILTER(_xlfn._xlws.FILTER(dataGLBS,endDates=AX$5),dataGLBSAcctIDs=$C13))</f>
        <v>3217220.5</v>
      </c>
      <c r="AY13" s="351" cm="1">
        <f t="array" ref="AY13">SUM(_xlfn._xlws.FILTER(_xlfn._xlws.FILTER(dataGLBS,endDates=AY$5),dataGLBSAcctIDs=$C13))</f>
        <v>3066455.5</v>
      </c>
      <c r="AZ13" s="351" cm="1">
        <f t="array" ref="AZ13">SUM(_xlfn._xlws.FILTER(_xlfn._xlws.FILTER(dataGLBS,endDates=AZ$5),dataGLBSAcctIDs=$C13))</f>
        <v>2909186.5</v>
      </c>
      <c r="BA13" s="351" cm="1">
        <f t="array" ref="BA13">SUM(_xlfn._xlws.FILTER(_xlfn._xlws.FILTER(dataGLBS,endDates=BA$5),dataGLBSAcctIDs=$C13))</f>
        <v>2744982.5</v>
      </c>
      <c r="BB13" s="351" cm="1">
        <f t="array" ref="BB13">SUM(_xlfn._xlws.FILTER(_xlfn._xlws.FILTER(dataGLBS,endDates=BB$5),dataGLBSAcctIDs=$C13))</f>
        <v>2573511.48</v>
      </c>
      <c r="BC13" s="351" cm="1">
        <f t="array" ref="BC13">SUM(_xlfn._xlws.FILTER(_xlfn._xlws.FILTER(dataGLBS,endDates=BC$5),dataGLBSAcctIDs=$C13))</f>
        <v>2394437.48</v>
      </c>
      <c r="BD13" s="351" cm="1">
        <f t="array" ref="BD13">SUM(_xlfn._xlws.FILTER(_xlfn._xlws.FILTER(dataGLBS,endDates=BD$5),dataGLBSAcctIDs=$C13))</f>
        <v>2207358.48</v>
      </c>
      <c r="BE13" s="351" cm="1">
        <f t="array" ref="BE13">SUM(_xlfn._xlws.FILTER(_xlfn._xlws.FILTER(dataGLBS,endDates=BE$5),dataGLBSAcctIDs=$C13))</f>
        <v>2011881.48</v>
      </c>
      <c r="BF13" s="351" cm="1">
        <f t="array" ref="BF13">SUM(_xlfn._xlws.FILTER(_xlfn._xlws.FILTER(dataGLBS,endDates=BF$5),dataGLBSAcctIDs=$C13))</f>
        <v>1807588.48</v>
      </c>
      <c r="BG13" s="351" cm="1">
        <f t="array" ref="BG13">SUM(_xlfn._xlws.FILTER(_xlfn._xlws.FILTER(dataGLBS,endDates=BG$5),dataGLBSAcctIDs=$C13))</f>
        <v>1594040.15</v>
      </c>
      <c r="BH13" s="351" cm="1">
        <f t="array" ref="BH13">SUM(_xlfn._xlws.FILTER(_xlfn._xlws.FILTER(dataGLBS,endDates=BH$5),dataGLBSAcctIDs=$C13))</f>
        <v>1370773.78</v>
      </c>
      <c r="BI13" s="351" cm="1">
        <f t="array" ref="BI13">SUM(_xlfn._xlws.FILTER(_xlfn._xlws.FILTER(dataGLBS,endDates=BI$5),dataGLBSAcctIDs=$C13))</f>
        <v>1137304.6599999999</v>
      </c>
      <c r="BJ13" s="351" cm="1">
        <f t="array" ref="BJ13">SUM(_xlfn._xlws.FILTER(_xlfn._xlws.FILTER(dataGLBS,endDates=BJ$5),dataGLBSAcctIDs=$C13))</f>
        <v>893122.77</v>
      </c>
      <c r="BK13" s="351" cm="1">
        <f t="array" ref="BK13">SUM(_xlfn._xlws.FILTER(_xlfn._xlws.FILTER(dataGLBS,endDates=BK$5),dataGLBSAcctIDs=$C13))</f>
        <v>637693.89</v>
      </c>
      <c r="BL13" s="351" cm="1">
        <f t="array" ref="BL13">SUM(_xlfn._xlws.FILTER(_xlfn._xlws.FILTER(dataGLBS,endDates=BL$5),dataGLBSAcctIDs=$C13))</f>
        <v>370456.63</v>
      </c>
      <c r="BM13" s="351" cm="1">
        <f t="array" ref="BM13">SUM(_xlfn._xlws.FILTER(_xlfn._xlws.FILTER(dataGLBS,endDates=BM$5),dataGLBSAcctIDs=$C13))</f>
        <v>1156879.011009091</v>
      </c>
      <c r="BN13" s="351" cm="1">
        <f t="array" ref="BN13">SUM(_xlfn._xlws.FILTER(_xlfn._xlws.FILTER(dataGLBS,endDates=BN$5),dataGLBSAcctIDs=$C13))</f>
        <v>1045956.8245014361</v>
      </c>
      <c r="BO13" s="351" cm="1">
        <f t="array" ref="BO13">SUM(_xlfn._xlws.FILTER(_xlfn._xlws.FILTER(dataGLBS,endDates=BO$5),dataGLBSAcctIDs=$C13))</f>
        <v>926406.13015326345</v>
      </c>
      <c r="BP13" s="351" cm="1">
        <f t="array" ref="BP13">SUM(_xlfn._xlws.FILTER(_xlfn._xlws.FILTER(dataGLBS,endDates=BP$5),dataGLBSAcctIDs=$C13))</f>
        <v>733998.54778743605</v>
      </c>
      <c r="BQ13" s="351" cm="1">
        <f t="array" ref="BQ13">SUM(_xlfn._xlws.FILTER(_xlfn._xlws.FILTER(dataGLBS,endDates=BQ$5),dataGLBSAcctIDs=$C13))</f>
        <v>520063.62136957853</v>
      </c>
      <c r="BR13" s="351" cm="1">
        <f t="array" ref="BR13">SUM(_xlfn._xlws.FILTER(_xlfn._xlws.FILTER(dataGLBS,endDates=BR$5),dataGLBSAcctIDs=$C13))</f>
        <v>280302.37280449527</v>
      </c>
      <c r="BS13" s="351" cm="1">
        <f t="array" ref="BS13">SUM(_xlfn._xlws.FILTER(_xlfn._xlws.FILTER(dataGLBS,endDates=BS$5),dataGLBSAcctIDs=$C13))</f>
        <v>50877.329930825552</v>
      </c>
      <c r="BT13" s="351" cm="1">
        <f t="array" ref="BT13">SUM(_xlfn._xlws.FILTER(_xlfn._xlws.FILTER(dataGLBS,endDates=BT$5),dataGLBSAcctIDs=$C13))</f>
        <v>-185524.38643821474</v>
      </c>
      <c r="BU13" s="351" cm="1">
        <f t="array" ref="BU13">SUM(_xlfn._xlws.FILTER(_xlfn._xlws.FILTER(dataGLBS,endDates=BU$5),dataGLBSAcctIDs=$C13))</f>
        <v>-426979.09637953027</v>
      </c>
      <c r="BV13" s="351" cm="1">
        <f t="array" ref="BV13">SUM(_xlfn._xlws.FILTER(_xlfn._xlws.FILTER(dataGLBS,endDates=BV$5),dataGLBSAcctIDs=$C13))</f>
        <v>-672164.29362152971</v>
      </c>
      <c r="BW13" s="351" cm="1">
        <f t="array" ref="BW13">SUM(_xlfn._xlws.FILTER(_xlfn._xlws.FILTER(dataGLBS,endDates=BW$5),dataGLBSAcctIDs=$C13))</f>
        <v>-920873.55731980898</v>
      </c>
      <c r="BX13" s="351" cm="1">
        <f t="array" ref="BX13">SUM(_xlfn._xlws.FILTER(_xlfn._xlws.FILTER(dataGLBS,endDates=BX$5),dataGLBSAcctIDs=$C13))</f>
        <v>-1172971.1509452418</v>
      </c>
      <c r="BY13" s="351" cm="1">
        <f t="array" ref="BY13">SUM(_xlfn._xlws.FILTER(_xlfn._xlws.FILTER(dataGLBS,endDates=BY$5),dataGLBSAcctIDs=$C13))</f>
        <v>-1438973.6823828642</v>
      </c>
      <c r="BZ13" s="201"/>
    </row>
    <row r="14" spans="1:78" s="350" customFormat="1" ht="21" customHeight="1">
      <c r="A14" s="215"/>
      <c r="B14" s="348" t="s">
        <v>136</v>
      </c>
      <c r="C14" s="343" t="s">
        <v>136</v>
      </c>
      <c r="D14" s="215"/>
      <c r="E14" s="216"/>
      <c r="F14" s="351"/>
      <c r="G14" s="351"/>
      <c r="H14" s="351"/>
      <c r="I14" s="351"/>
      <c r="J14" s="344"/>
      <c r="K14" s="344"/>
      <c r="L14" s="351"/>
      <c r="M14" s="351"/>
      <c r="N14" s="351"/>
      <c r="O14" s="351"/>
      <c r="P14" s="351"/>
      <c r="Q14" s="351"/>
      <c r="R14" s="351"/>
      <c r="S14" s="351"/>
      <c r="T14" s="351"/>
      <c r="U14" s="351"/>
      <c r="V14" s="351"/>
      <c r="W14" s="351"/>
      <c r="X14" s="351"/>
      <c r="Y14" s="351"/>
      <c r="Z14" s="351"/>
      <c r="AA14" s="351"/>
      <c r="AB14" s="215"/>
      <c r="AC14" s="344"/>
      <c r="AD14" s="351"/>
      <c r="AE14" s="351"/>
      <c r="AF14" s="351"/>
      <c r="AG14" s="351"/>
      <c r="AH14" s="351"/>
      <c r="AI14" s="351"/>
      <c r="AJ14" s="351"/>
      <c r="AK14" s="351"/>
      <c r="AL14" s="351"/>
      <c r="AM14" s="351"/>
      <c r="AN14" s="351"/>
      <c r="AO14" s="351"/>
      <c r="AP14" s="351"/>
      <c r="AQ14" s="351"/>
      <c r="AR14" s="351"/>
      <c r="AS14" s="351"/>
      <c r="AT14" s="351"/>
      <c r="AU14" s="351"/>
      <c r="AV14" s="351"/>
      <c r="AW14" s="351"/>
      <c r="AX14" s="351"/>
      <c r="AY14" s="351"/>
      <c r="AZ14" s="351"/>
      <c r="BA14" s="351"/>
      <c r="BB14" s="351"/>
      <c r="BC14" s="351"/>
      <c r="BD14" s="351"/>
      <c r="BE14" s="351"/>
      <c r="BF14" s="351"/>
      <c r="BG14" s="351"/>
      <c r="BH14" s="351"/>
      <c r="BI14" s="351"/>
      <c r="BJ14" s="351"/>
      <c r="BK14" s="351"/>
      <c r="BL14" s="351"/>
      <c r="BM14" s="351"/>
      <c r="BN14" s="351"/>
      <c r="BO14" s="351"/>
      <c r="BP14" s="351"/>
      <c r="BQ14" s="351"/>
      <c r="BR14" s="351"/>
      <c r="BS14" s="351"/>
      <c r="BT14" s="351"/>
      <c r="BU14" s="351"/>
      <c r="BV14" s="351"/>
      <c r="BW14" s="351"/>
      <c r="BX14" s="351"/>
      <c r="BY14" s="351"/>
      <c r="BZ14" s="201"/>
    </row>
    <row r="15" spans="1:78" s="350" customFormat="1" ht="21" customHeight="1">
      <c r="A15" s="215"/>
      <c r="B15" s="623" t="s">
        <v>278</v>
      </c>
      <c r="C15" s="343">
        <v>8</v>
      </c>
      <c r="D15" s="215"/>
      <c r="E15" s="216"/>
      <c r="F15" s="352" cm="1">
        <f t="array" ref="F15">SUM(_xlfn._xlws.FILTER(_xlfn._xlws.FILTER(dataGLBS,endDates=F$5),dataGLBSAcctIDs=$C15))</f>
        <v>34169</v>
      </c>
      <c r="G15" s="352" cm="1">
        <f t="array" ref="G15">SUM(_xlfn._xlws.FILTER(_xlfn._xlws.FILTER(dataGLBS,endDates=G$5),dataGLBSAcctIDs=$C15))</f>
        <v>52314</v>
      </c>
      <c r="H15" s="352" cm="1">
        <f t="array" ref="H15">SUM(_xlfn._xlws.FILTER(_xlfn._xlws.FILTER(dataGLBS,endDates=H$5),dataGLBSAcctIDs=$C15))</f>
        <v>183599.24</v>
      </c>
      <c r="I15" s="352" cm="1">
        <f t="array" ref="I15">SUM(_xlfn._xlws.FILTER(_xlfn._xlws.FILTER(dataGLBS,endDates=I$5),dataGLBSAcctIDs=$C15))</f>
        <v>0</v>
      </c>
      <c r="J15" s="344"/>
      <c r="K15" s="344"/>
      <c r="L15" s="352" cm="1">
        <f t="array" ref="L15">SUM(_xlfn._xlws.FILTER(_xlfn._xlws.FILTER(dataGLBS,endDates=L$5),dataGLBSAcctIDs=$C15))</f>
        <v>20100</v>
      </c>
      <c r="M15" s="352" cm="1">
        <f t="array" ref="M15">SUM(_xlfn._xlws.FILTER(_xlfn._xlws.FILTER(dataGLBS,endDates=M$5),dataGLBSAcctIDs=$C15))</f>
        <v>26753</v>
      </c>
      <c r="N15" s="352" cm="1">
        <f t="array" ref="N15">SUM(_xlfn._xlws.FILTER(_xlfn._xlws.FILTER(dataGLBS,endDates=N$5),dataGLBSAcctIDs=$C15))</f>
        <v>35608</v>
      </c>
      <c r="O15" s="352" cm="1">
        <f t="array" ref="O15">SUM(_xlfn._xlws.FILTER(_xlfn._xlws.FILTER(dataGLBS,endDates=O$5),dataGLBSAcctIDs=$C15))</f>
        <v>34169</v>
      </c>
      <c r="P15" s="352" cm="1">
        <f t="array" ref="P15">SUM(_xlfn._xlws.FILTER(_xlfn._xlws.FILTER(dataGLBS,endDates=P$5),dataGLBSAcctIDs=$C15))</f>
        <v>40987</v>
      </c>
      <c r="Q15" s="352" cm="1">
        <f t="array" ref="Q15">SUM(_xlfn._xlws.FILTER(_xlfn._xlws.FILTER(dataGLBS,endDates=Q$5),dataGLBSAcctIDs=$C15))</f>
        <v>44983</v>
      </c>
      <c r="R15" s="352" cm="1">
        <f t="array" ref="R15">SUM(_xlfn._xlws.FILTER(_xlfn._xlws.FILTER(dataGLBS,endDates=R$5),dataGLBSAcctIDs=$C15))</f>
        <v>48580</v>
      </c>
      <c r="S15" s="352" cm="1">
        <f t="array" ref="S15">SUM(_xlfn._xlws.FILTER(_xlfn._xlws.FILTER(dataGLBS,endDates=S$5),dataGLBSAcctIDs=$C15))</f>
        <v>52314</v>
      </c>
      <c r="T15" s="352" cm="1">
        <f t="array" ref="T15">SUM(_xlfn._xlws.FILTER(_xlfn._xlws.FILTER(dataGLBS,endDates=T$5),dataGLBSAcctIDs=$C15))</f>
        <v>56307.77</v>
      </c>
      <c r="U15" s="352" cm="1">
        <f t="array" ref="U15">SUM(_xlfn._xlws.FILTER(_xlfn._xlws.FILTER(dataGLBS,endDates=U$5),dataGLBSAcctIDs=$C15))</f>
        <v>69302.55</v>
      </c>
      <c r="V15" s="352" cm="1">
        <f t="array" ref="V15">SUM(_xlfn._xlws.FILTER(_xlfn._xlws.FILTER(dataGLBS,endDates=V$5),dataGLBSAcctIDs=$C15))</f>
        <v>98423.66</v>
      </c>
      <c r="W15" s="352" cm="1">
        <f t="array" ref="W15">SUM(_xlfn._xlws.FILTER(_xlfn._xlws.FILTER(dataGLBS,endDates=W$5),dataGLBSAcctIDs=$C15))</f>
        <v>183599.24</v>
      </c>
      <c r="X15" s="352" cm="1">
        <f t="array" ref="X15">SUM(_xlfn._xlws.FILTER(_xlfn._xlws.FILTER(dataGLBS,endDates=X$5),dataGLBSAcctIDs=$C15))</f>
        <v>0</v>
      </c>
      <c r="Y15" s="352" cm="1">
        <f t="array" ref="Y15">SUM(_xlfn._xlws.FILTER(_xlfn._xlws.FILTER(dataGLBS,endDates=Y$5),dataGLBSAcctIDs=$C15))</f>
        <v>0</v>
      </c>
      <c r="Z15" s="352" cm="1">
        <f t="array" ref="Z15">SUM(_xlfn._xlws.FILTER(_xlfn._xlws.FILTER(dataGLBS,endDates=Z$5),dataGLBSAcctIDs=$C15))</f>
        <v>0</v>
      </c>
      <c r="AA15" s="352" cm="1">
        <f t="array" ref="AA15">SUM(_xlfn._xlws.FILTER(_xlfn._xlws.FILTER(dataGLBS,endDates=AA$5),dataGLBSAcctIDs=$C15))</f>
        <v>0</v>
      </c>
      <c r="AB15" s="215"/>
      <c r="AC15" s="344"/>
      <c r="AD15" s="352" cm="1">
        <f t="array" ref="AD15">SUM(_xlfn._xlws.FILTER(_xlfn._xlws.FILTER(dataGLBS,endDates=AD$5),dataGLBSAcctIDs=$C15))</f>
        <v>10000</v>
      </c>
      <c r="AE15" s="352" cm="1">
        <f t="array" ref="AE15">SUM(_xlfn._xlws.FILTER(_xlfn._xlws.FILTER(dataGLBS,endDates=AE$5),dataGLBSAcctIDs=$C15))</f>
        <v>16000</v>
      </c>
      <c r="AF15" s="352" cm="1">
        <f t="array" ref="AF15">SUM(_xlfn._xlws.FILTER(_xlfn._xlws.FILTER(dataGLBS,endDates=AF$5),dataGLBSAcctIDs=$C15))</f>
        <v>20100</v>
      </c>
      <c r="AG15" s="352" cm="1">
        <f t="array" ref="AG15">SUM(_xlfn._xlws.FILTER(_xlfn._xlws.FILTER(dataGLBS,endDates=AG$5),dataGLBSAcctIDs=$C15))</f>
        <v>22110</v>
      </c>
      <c r="AH15" s="352" cm="1">
        <f t="array" ref="AH15">SUM(_xlfn._xlws.FILTER(_xlfn._xlws.FILTER(dataGLBS,endDates=AH$5),dataGLBSAcctIDs=$C15))</f>
        <v>24321</v>
      </c>
      <c r="AI15" s="352" cm="1">
        <f t="array" ref="AI15">SUM(_xlfn._xlws.FILTER(_xlfn._xlws.FILTER(dataGLBS,endDates=AI$5),dataGLBSAcctIDs=$C15))</f>
        <v>26753</v>
      </c>
      <c r="AJ15" s="352" cm="1">
        <f t="array" ref="AJ15">SUM(_xlfn._xlws.FILTER(_xlfn._xlws.FILTER(dataGLBS,endDates=AJ$5),dataGLBSAcctIDs=$C15))</f>
        <v>29428</v>
      </c>
      <c r="AK15" s="352" cm="1">
        <f t="array" ref="AK15">SUM(_xlfn._xlws.FILTER(_xlfn._xlws.FILTER(dataGLBS,endDates=AK$5),dataGLBSAcctIDs=$C15))</f>
        <v>32371</v>
      </c>
      <c r="AL15" s="352" cm="1">
        <f t="array" ref="AL15">SUM(_xlfn._xlws.FILTER(_xlfn._xlws.FILTER(dataGLBS,endDates=AL$5),dataGLBSAcctIDs=$C15))</f>
        <v>35608</v>
      </c>
      <c r="AM15" s="352" cm="1">
        <f t="array" ref="AM15">SUM(_xlfn._xlws.FILTER(_xlfn._xlws.FILTER(dataGLBS,endDates=AM$5),dataGLBSAcctIDs=$C15))</f>
        <v>39169</v>
      </c>
      <c r="AN15" s="352" cm="1">
        <f t="array" ref="AN15">SUM(_xlfn._xlws.FILTER(_xlfn._xlws.FILTER(dataGLBS,endDates=AN$5),dataGLBSAcctIDs=$C15))</f>
        <v>44169</v>
      </c>
      <c r="AO15" s="352" cm="1">
        <f t="array" ref="AO15">SUM(_xlfn._xlws.FILTER(_xlfn._xlws.FILTER(dataGLBS,endDates=AO$5),dataGLBSAcctIDs=$C15))</f>
        <v>34169</v>
      </c>
      <c r="AP15" s="352" cm="1">
        <f t="array" ref="AP15">SUM(_xlfn._xlws.FILTER(_xlfn._xlws.FILTER(dataGLBS,endDates=AP$5),dataGLBSAcctIDs=$C15))</f>
        <v>41127</v>
      </c>
      <c r="AQ15" s="352" cm="1">
        <f t="array" ref="AQ15">SUM(_xlfn._xlws.FILTER(_xlfn._xlws.FILTER(dataGLBS,endDates=AQ$5),dataGLBSAcctIDs=$C15))</f>
        <v>41812</v>
      </c>
      <c r="AR15" s="352" cm="1">
        <f t="array" ref="AR15">SUM(_xlfn._xlws.FILTER(_xlfn._xlws.FILTER(dataGLBS,endDates=AR$5),dataGLBSAcctIDs=$C15))</f>
        <v>40987</v>
      </c>
      <c r="AS15" s="352" cm="1">
        <f t="array" ref="AS15">SUM(_xlfn._xlws.FILTER(_xlfn._xlws.FILTER(dataGLBS,endDates=AS$5),dataGLBSAcctIDs=$C15))</f>
        <v>43374</v>
      </c>
      <c r="AT15" s="352" cm="1">
        <f t="array" ref="AT15">SUM(_xlfn._xlws.FILTER(_xlfn._xlws.FILTER(dataGLBS,endDates=AT$5),dataGLBSAcctIDs=$C15))</f>
        <v>44161</v>
      </c>
      <c r="AU15" s="352" cm="1">
        <f t="array" ref="AU15">SUM(_xlfn._xlws.FILTER(_xlfn._xlws.FILTER(dataGLBS,endDates=AU$5),dataGLBSAcctIDs=$C15))</f>
        <v>44983</v>
      </c>
      <c r="AV15" s="352" cm="1">
        <f t="array" ref="AV15">SUM(_xlfn._xlws.FILTER(_xlfn._xlws.FILTER(dataGLBS,endDates=AV$5),dataGLBSAcctIDs=$C15))</f>
        <v>46381</v>
      </c>
      <c r="AW15" s="352" cm="1">
        <f t="array" ref="AW15">SUM(_xlfn._xlws.FILTER(_xlfn._xlws.FILTER(dataGLBS,endDates=AW$5),dataGLBSAcctIDs=$C15))</f>
        <v>47434</v>
      </c>
      <c r="AX15" s="352" cm="1">
        <f t="array" ref="AX15">SUM(_xlfn._xlws.FILTER(_xlfn._xlws.FILTER(dataGLBS,endDates=AX$5),dataGLBSAcctIDs=$C15))</f>
        <v>48580</v>
      </c>
      <c r="AY15" s="352" cm="1">
        <f t="array" ref="AY15">SUM(_xlfn._xlws.FILTER(_xlfn._xlws.FILTER(dataGLBS,endDates=AY$5),dataGLBSAcctIDs=$C15))</f>
        <v>49839</v>
      </c>
      <c r="AZ15" s="352" cm="1">
        <f t="array" ref="AZ15">SUM(_xlfn._xlws.FILTER(_xlfn._xlws.FILTER(dataGLBS,endDates=AZ$5),dataGLBSAcctIDs=$C15))</f>
        <v>51049</v>
      </c>
      <c r="BA15" s="352" cm="1">
        <f t="array" ref="BA15">SUM(_xlfn._xlws.FILTER(_xlfn._xlws.FILTER(dataGLBS,endDates=BA$5),dataGLBSAcctIDs=$C15))</f>
        <v>52314</v>
      </c>
      <c r="BB15" s="352" cm="1">
        <f t="array" ref="BB15">SUM(_xlfn._xlws.FILTER(_xlfn._xlws.FILTER(dataGLBS,endDates=BB$5),dataGLBSAcctIDs=$C15))</f>
        <v>53620.77</v>
      </c>
      <c r="BC15" s="352" cm="1">
        <f t="array" ref="BC15">SUM(_xlfn._xlws.FILTER(_xlfn._xlws.FILTER(dataGLBS,endDates=BC$5),dataGLBSAcctIDs=$C15))</f>
        <v>54944.77</v>
      </c>
      <c r="BD15" s="352" cm="1">
        <f t="array" ref="BD15">SUM(_xlfn._xlws.FILTER(_xlfn._xlws.FILTER(dataGLBS,endDates=BD$5),dataGLBSAcctIDs=$C15))</f>
        <v>56307.77</v>
      </c>
      <c r="BE15" s="352" cm="1">
        <f t="array" ref="BE15">SUM(_xlfn._xlws.FILTER(_xlfn._xlws.FILTER(dataGLBS,endDates=BE$5),dataGLBSAcctIDs=$C15))</f>
        <v>57705.77</v>
      </c>
      <c r="BF15" s="352" cm="1">
        <f t="array" ref="BF15">SUM(_xlfn._xlws.FILTER(_xlfn._xlws.FILTER(dataGLBS,endDates=BF$5),dataGLBSAcctIDs=$C15))</f>
        <v>59135.77</v>
      </c>
      <c r="BG15" s="352" cm="1">
        <f t="array" ref="BG15">SUM(_xlfn._xlws.FILTER(_xlfn._xlws.FILTER(dataGLBS,endDates=BG$5),dataGLBSAcctIDs=$C15))</f>
        <v>69302.55</v>
      </c>
      <c r="BH15" s="352" cm="1">
        <f t="array" ref="BH15">SUM(_xlfn._xlws.FILTER(_xlfn._xlws.FILTER(dataGLBS,endDates=BH$5),dataGLBSAcctIDs=$C15))</f>
        <v>77305.53</v>
      </c>
      <c r="BI15" s="352" cm="1">
        <f t="array" ref="BI15">SUM(_xlfn._xlws.FILTER(_xlfn._xlws.FILTER(dataGLBS,endDates=BI$5),dataGLBSAcctIDs=$C15))</f>
        <v>78845.320000000007</v>
      </c>
      <c r="BJ15" s="352" cm="1">
        <f t="array" ref="BJ15">SUM(_xlfn._xlws.FILTER(_xlfn._xlws.FILTER(dataGLBS,endDates=BJ$5),dataGLBSAcctIDs=$C15))</f>
        <v>98423.66</v>
      </c>
      <c r="BK15" s="352" cm="1">
        <f t="array" ref="BK15">SUM(_xlfn._xlws.FILTER(_xlfn._xlws.FILTER(dataGLBS,endDates=BK$5),dataGLBSAcctIDs=$C15))</f>
        <v>110041.05</v>
      </c>
      <c r="BL15" s="352" cm="1">
        <f t="array" ref="BL15">SUM(_xlfn._xlws.FILTER(_xlfn._xlws.FILTER(dataGLBS,endDates=BL$5),dataGLBSAcctIDs=$C15))</f>
        <v>127198.48</v>
      </c>
      <c r="BM15" s="352" cm="1">
        <f t="array" ref="BM15">SUM(_xlfn._xlws.FILTER(_xlfn._xlws.FILTER(dataGLBS,endDates=BM$5),dataGLBSAcctIDs=$C15))</f>
        <v>183599.24</v>
      </c>
      <c r="BN15" s="352" cm="1">
        <f t="array" ref="BN15">SUM(_xlfn._xlws.FILTER(_xlfn._xlws.FILTER(dataGLBS,endDates=BN$5),dataGLBSAcctIDs=$C15))</f>
        <v>91799.62</v>
      </c>
      <c r="BO15" s="352" cm="1">
        <f t="array" ref="BO15">SUM(_xlfn._xlws.FILTER(_xlfn._xlws.FILTER(dataGLBS,endDates=BO$5),dataGLBSAcctIDs=$C15))</f>
        <v>0</v>
      </c>
      <c r="BP15" s="352" cm="1">
        <f t="array" ref="BP15">SUM(_xlfn._xlws.FILTER(_xlfn._xlws.FILTER(dataGLBS,endDates=BP$5),dataGLBSAcctIDs=$C15))</f>
        <v>0</v>
      </c>
      <c r="BQ15" s="352" cm="1">
        <f t="array" ref="BQ15">SUM(_xlfn._xlws.FILTER(_xlfn._xlws.FILTER(dataGLBS,endDates=BQ$5),dataGLBSAcctIDs=$C15))</f>
        <v>0</v>
      </c>
      <c r="BR15" s="352" cm="1">
        <f t="array" ref="BR15">SUM(_xlfn._xlws.FILTER(_xlfn._xlws.FILTER(dataGLBS,endDates=BR$5),dataGLBSAcctIDs=$C15))</f>
        <v>0</v>
      </c>
      <c r="BS15" s="352" cm="1">
        <f t="array" ref="BS15">SUM(_xlfn._xlws.FILTER(_xlfn._xlws.FILTER(dataGLBS,endDates=BS$5),dataGLBSAcctIDs=$C15))</f>
        <v>0</v>
      </c>
      <c r="BT15" s="352" cm="1">
        <f t="array" ref="BT15">SUM(_xlfn._xlws.FILTER(_xlfn._xlws.FILTER(dataGLBS,endDates=BT$5),dataGLBSAcctIDs=$C15))</f>
        <v>0</v>
      </c>
      <c r="BU15" s="352" cm="1">
        <f t="array" ref="BU15">SUM(_xlfn._xlws.FILTER(_xlfn._xlws.FILTER(dataGLBS,endDates=BU$5),dataGLBSAcctIDs=$C15))</f>
        <v>0</v>
      </c>
      <c r="BV15" s="352" cm="1">
        <f t="array" ref="BV15">SUM(_xlfn._xlws.FILTER(_xlfn._xlws.FILTER(dataGLBS,endDates=BV$5),dataGLBSAcctIDs=$C15))</f>
        <v>0</v>
      </c>
      <c r="BW15" s="352" cm="1">
        <f t="array" ref="BW15">SUM(_xlfn._xlws.FILTER(_xlfn._xlws.FILTER(dataGLBS,endDates=BW$5),dataGLBSAcctIDs=$C15))</f>
        <v>0</v>
      </c>
      <c r="BX15" s="352" cm="1">
        <f t="array" ref="BX15">SUM(_xlfn._xlws.FILTER(_xlfn._xlws.FILTER(dataGLBS,endDates=BX$5),dataGLBSAcctIDs=$C15))</f>
        <v>0</v>
      </c>
      <c r="BY15" s="352" cm="1">
        <f t="array" ref="BY15">SUM(_xlfn._xlws.FILTER(_xlfn._xlws.FILTER(dataGLBS,endDates=BY$5),dataGLBSAcctIDs=$C15))</f>
        <v>0</v>
      </c>
      <c r="BZ15" s="201"/>
    </row>
    <row r="16" spans="1:78" s="350" customFormat="1" ht="21" customHeight="1">
      <c r="A16" s="215"/>
      <c r="B16" s="348" t="s">
        <v>279</v>
      </c>
      <c r="C16" s="343" t="s">
        <v>280</v>
      </c>
      <c r="D16" s="215"/>
      <c r="E16" s="216"/>
      <c r="F16" s="351">
        <f t="shared" ref="F16:I16" si="12">_xlfn.AGGREGATE(9,0, F$14:F$15)</f>
        <v>34169</v>
      </c>
      <c r="G16" s="351">
        <f t="shared" si="12"/>
        <v>52314</v>
      </c>
      <c r="H16" s="351">
        <f t="shared" si="12"/>
        <v>183599.24</v>
      </c>
      <c r="I16" s="351">
        <f t="shared" si="12"/>
        <v>0</v>
      </c>
      <c r="J16" s="344"/>
      <c r="K16" s="344"/>
      <c r="L16" s="351">
        <f t="shared" ref="L16:AA16" si="13">_xlfn.AGGREGATE(9,0, L$14:L$15)</f>
        <v>20100</v>
      </c>
      <c r="M16" s="351">
        <f t="shared" si="13"/>
        <v>26753</v>
      </c>
      <c r="N16" s="351">
        <f t="shared" si="13"/>
        <v>35608</v>
      </c>
      <c r="O16" s="351">
        <f t="shared" si="13"/>
        <v>34169</v>
      </c>
      <c r="P16" s="351">
        <f t="shared" si="13"/>
        <v>40987</v>
      </c>
      <c r="Q16" s="351">
        <f t="shared" si="13"/>
        <v>44983</v>
      </c>
      <c r="R16" s="351">
        <f t="shared" si="13"/>
        <v>48580</v>
      </c>
      <c r="S16" s="351">
        <f t="shared" si="13"/>
        <v>52314</v>
      </c>
      <c r="T16" s="351">
        <f t="shared" si="13"/>
        <v>56307.77</v>
      </c>
      <c r="U16" s="351">
        <f t="shared" si="13"/>
        <v>69302.55</v>
      </c>
      <c r="V16" s="351">
        <f t="shared" si="13"/>
        <v>98423.66</v>
      </c>
      <c r="W16" s="351">
        <f t="shared" si="13"/>
        <v>183599.24</v>
      </c>
      <c r="X16" s="351">
        <f t="shared" si="13"/>
        <v>0</v>
      </c>
      <c r="Y16" s="351">
        <f t="shared" si="13"/>
        <v>0</v>
      </c>
      <c r="Z16" s="351">
        <f t="shared" si="13"/>
        <v>0</v>
      </c>
      <c r="AA16" s="351">
        <f t="shared" si="13"/>
        <v>0</v>
      </c>
      <c r="AB16" s="215"/>
      <c r="AC16" s="344"/>
      <c r="AD16" s="351">
        <f>_xlfn.AGGREGATE(9,0, AD$14:AD$15)</f>
        <v>10000</v>
      </c>
      <c r="AE16" s="351">
        <f t="shared" ref="AE16:BY16" si="14">_xlfn.AGGREGATE(9,0, AE$14:AE$15)</f>
        <v>16000</v>
      </c>
      <c r="AF16" s="351">
        <f t="shared" si="14"/>
        <v>20100</v>
      </c>
      <c r="AG16" s="351">
        <f t="shared" si="14"/>
        <v>22110</v>
      </c>
      <c r="AH16" s="351">
        <f t="shared" si="14"/>
        <v>24321</v>
      </c>
      <c r="AI16" s="351">
        <f t="shared" si="14"/>
        <v>26753</v>
      </c>
      <c r="AJ16" s="351">
        <f t="shared" si="14"/>
        <v>29428</v>
      </c>
      <c r="AK16" s="351">
        <f t="shared" si="14"/>
        <v>32371</v>
      </c>
      <c r="AL16" s="351">
        <f t="shared" si="14"/>
        <v>35608</v>
      </c>
      <c r="AM16" s="351">
        <f t="shared" si="14"/>
        <v>39169</v>
      </c>
      <c r="AN16" s="351">
        <f t="shared" si="14"/>
        <v>44169</v>
      </c>
      <c r="AO16" s="351">
        <f t="shared" si="14"/>
        <v>34169</v>
      </c>
      <c r="AP16" s="351">
        <f t="shared" si="14"/>
        <v>41127</v>
      </c>
      <c r="AQ16" s="351">
        <f t="shared" si="14"/>
        <v>41812</v>
      </c>
      <c r="AR16" s="351">
        <f t="shared" si="14"/>
        <v>40987</v>
      </c>
      <c r="AS16" s="351">
        <f t="shared" si="14"/>
        <v>43374</v>
      </c>
      <c r="AT16" s="351">
        <f t="shared" si="14"/>
        <v>44161</v>
      </c>
      <c r="AU16" s="351">
        <f t="shared" si="14"/>
        <v>44983</v>
      </c>
      <c r="AV16" s="351">
        <f t="shared" si="14"/>
        <v>46381</v>
      </c>
      <c r="AW16" s="351">
        <f t="shared" si="14"/>
        <v>47434</v>
      </c>
      <c r="AX16" s="351">
        <f t="shared" si="14"/>
        <v>48580</v>
      </c>
      <c r="AY16" s="351">
        <f t="shared" si="14"/>
        <v>49839</v>
      </c>
      <c r="AZ16" s="351">
        <f t="shared" si="14"/>
        <v>51049</v>
      </c>
      <c r="BA16" s="351">
        <f t="shared" si="14"/>
        <v>52314</v>
      </c>
      <c r="BB16" s="351">
        <f t="shared" si="14"/>
        <v>53620.77</v>
      </c>
      <c r="BC16" s="351">
        <f t="shared" si="14"/>
        <v>54944.77</v>
      </c>
      <c r="BD16" s="351">
        <f t="shared" si="14"/>
        <v>56307.77</v>
      </c>
      <c r="BE16" s="351">
        <f t="shared" si="14"/>
        <v>57705.77</v>
      </c>
      <c r="BF16" s="351">
        <f t="shared" si="14"/>
        <v>59135.77</v>
      </c>
      <c r="BG16" s="351">
        <f t="shared" si="14"/>
        <v>69302.55</v>
      </c>
      <c r="BH16" s="351">
        <f t="shared" si="14"/>
        <v>77305.53</v>
      </c>
      <c r="BI16" s="351">
        <f t="shared" si="14"/>
        <v>78845.320000000007</v>
      </c>
      <c r="BJ16" s="351">
        <f t="shared" si="14"/>
        <v>98423.66</v>
      </c>
      <c r="BK16" s="351">
        <f t="shared" si="14"/>
        <v>110041.05</v>
      </c>
      <c r="BL16" s="351">
        <f t="shared" si="14"/>
        <v>127198.48</v>
      </c>
      <c r="BM16" s="351">
        <f t="shared" si="14"/>
        <v>183599.24</v>
      </c>
      <c r="BN16" s="351">
        <f t="shared" si="14"/>
        <v>91799.62</v>
      </c>
      <c r="BO16" s="351">
        <f t="shared" si="14"/>
        <v>0</v>
      </c>
      <c r="BP16" s="351">
        <f t="shared" si="14"/>
        <v>0</v>
      </c>
      <c r="BQ16" s="351">
        <f t="shared" si="14"/>
        <v>0</v>
      </c>
      <c r="BR16" s="351">
        <f t="shared" si="14"/>
        <v>0</v>
      </c>
      <c r="BS16" s="351">
        <f t="shared" si="14"/>
        <v>0</v>
      </c>
      <c r="BT16" s="351">
        <f t="shared" si="14"/>
        <v>0</v>
      </c>
      <c r="BU16" s="351">
        <f t="shared" si="14"/>
        <v>0</v>
      </c>
      <c r="BV16" s="351">
        <f t="shared" si="14"/>
        <v>0</v>
      </c>
      <c r="BW16" s="351">
        <f t="shared" si="14"/>
        <v>0</v>
      </c>
      <c r="BX16" s="351">
        <f t="shared" si="14"/>
        <v>0</v>
      </c>
      <c r="BY16" s="351">
        <f t="shared" si="14"/>
        <v>0</v>
      </c>
      <c r="BZ16" s="201"/>
    </row>
    <row r="17" spans="1:78" s="350" customFormat="1" ht="21" customHeight="1">
      <c r="A17" s="215"/>
      <c r="B17" s="348" t="s">
        <v>281</v>
      </c>
      <c r="C17" s="343" t="s">
        <v>281</v>
      </c>
      <c r="D17" s="215"/>
      <c r="E17" s="216"/>
      <c r="F17" s="351"/>
      <c r="G17" s="351"/>
      <c r="H17" s="351"/>
      <c r="I17" s="351"/>
      <c r="J17" s="344"/>
      <c r="K17" s="344"/>
      <c r="L17" s="351"/>
      <c r="M17" s="351"/>
      <c r="N17" s="351"/>
      <c r="O17" s="351"/>
      <c r="P17" s="351"/>
      <c r="Q17" s="351"/>
      <c r="R17" s="351"/>
      <c r="S17" s="351"/>
      <c r="T17" s="351"/>
      <c r="U17" s="351"/>
      <c r="V17" s="351"/>
      <c r="W17" s="351"/>
      <c r="X17" s="351"/>
      <c r="Y17" s="351"/>
      <c r="Z17" s="351"/>
      <c r="AA17" s="351"/>
      <c r="AB17" s="215"/>
      <c r="AC17" s="344"/>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c r="BC17" s="351"/>
      <c r="BD17" s="351"/>
      <c r="BE17" s="351"/>
      <c r="BF17" s="351"/>
      <c r="BG17" s="351"/>
      <c r="BH17" s="351"/>
      <c r="BI17" s="351"/>
      <c r="BJ17" s="351"/>
      <c r="BK17" s="351"/>
      <c r="BL17" s="351"/>
      <c r="BM17" s="351"/>
      <c r="BN17" s="351"/>
      <c r="BO17" s="351"/>
      <c r="BP17" s="351"/>
      <c r="BQ17" s="351"/>
      <c r="BR17" s="351"/>
      <c r="BS17" s="351"/>
      <c r="BT17" s="351"/>
      <c r="BU17" s="351"/>
      <c r="BV17" s="351"/>
      <c r="BW17" s="351"/>
      <c r="BX17" s="351"/>
      <c r="BY17" s="351"/>
      <c r="BZ17" s="201"/>
    </row>
    <row r="18" spans="1:78" s="350" customFormat="1" ht="21" customHeight="1">
      <c r="A18" s="215"/>
      <c r="B18" s="623" t="s">
        <v>282</v>
      </c>
      <c r="C18" s="343">
        <v>193</v>
      </c>
      <c r="D18" s="215"/>
      <c r="E18" s="216"/>
      <c r="F18" s="352" cm="1">
        <f t="array" ref="F18">SUM(_xlfn._xlws.FILTER(_xlfn._xlws.FILTER(dataGLBS,endDates=F$5),dataGLBSAcctIDs=$C18))</f>
        <v>1119.5</v>
      </c>
      <c r="G18" s="352" cm="1">
        <f t="array" ref="G18">SUM(_xlfn._xlws.FILTER(_xlfn._xlws.FILTER(dataGLBS,endDates=G$5),dataGLBSAcctIDs=$C18))</f>
        <v>1119.5</v>
      </c>
      <c r="H18" s="352" cm="1">
        <f t="array" ref="H18">SUM(_xlfn._xlws.FILTER(_xlfn._xlws.FILTER(dataGLBS,endDates=H$5),dataGLBSAcctIDs=$C18))</f>
        <v>-5730.5</v>
      </c>
      <c r="I18" s="352" cm="1">
        <f t="array" ref="I18">SUM(_xlfn._xlws.FILTER(_xlfn._xlws.FILTER(dataGLBS,endDates=I$5),dataGLBSAcctIDs=$C18))</f>
        <v>-5730.5</v>
      </c>
      <c r="J18" s="344"/>
      <c r="K18" s="344"/>
      <c r="L18" s="352" cm="1">
        <f t="array" ref="L18">SUM(_xlfn._xlws.FILTER(_xlfn._xlws.FILTER(dataGLBS,endDates=L$5),dataGLBSAcctIDs=$C18))</f>
        <v>623.5</v>
      </c>
      <c r="M18" s="352" cm="1">
        <f t="array" ref="M18">SUM(_xlfn._xlws.FILTER(_xlfn._xlws.FILTER(dataGLBS,endDates=M$5),dataGLBSAcctIDs=$C18))</f>
        <v>6402</v>
      </c>
      <c r="N18" s="352" cm="1">
        <f t="array" ref="N18">SUM(_xlfn._xlws.FILTER(_xlfn._xlws.FILTER(dataGLBS,endDates=N$5),dataGLBSAcctIDs=$C18))</f>
        <v>6222.5</v>
      </c>
      <c r="O18" s="352" cm="1">
        <f t="array" ref="O18">SUM(_xlfn._xlws.FILTER(_xlfn._xlws.FILTER(dataGLBS,endDates=O$5),dataGLBSAcctIDs=$C18))</f>
        <v>1119.5</v>
      </c>
      <c r="P18" s="352" cm="1">
        <f t="array" ref="P18">SUM(_xlfn._xlws.FILTER(_xlfn._xlws.FILTER(dataGLBS,endDates=P$5),dataGLBSAcctIDs=$C18))</f>
        <v>1119.5</v>
      </c>
      <c r="Q18" s="352" cm="1">
        <f t="array" ref="Q18">SUM(_xlfn._xlws.FILTER(_xlfn._xlws.FILTER(dataGLBS,endDates=Q$5),dataGLBSAcctIDs=$C18))</f>
        <v>1119.5</v>
      </c>
      <c r="R18" s="352" cm="1">
        <f t="array" ref="R18">SUM(_xlfn._xlws.FILTER(_xlfn._xlws.FILTER(dataGLBS,endDates=R$5),dataGLBSAcctIDs=$C18))</f>
        <v>1119.5</v>
      </c>
      <c r="S18" s="352" cm="1">
        <f t="array" ref="S18">SUM(_xlfn._xlws.FILTER(_xlfn._xlws.FILTER(dataGLBS,endDates=S$5),dataGLBSAcctIDs=$C18))</f>
        <v>1119.5</v>
      </c>
      <c r="T18" s="352" cm="1">
        <f t="array" ref="T18">SUM(_xlfn._xlws.FILTER(_xlfn._xlws.FILTER(dataGLBS,endDates=T$5),dataGLBSAcctIDs=$C18))</f>
        <v>1119.5</v>
      </c>
      <c r="U18" s="352" cm="1">
        <f t="array" ref="U18">SUM(_xlfn._xlws.FILTER(_xlfn._xlws.FILTER(dataGLBS,endDates=U$5),dataGLBSAcctIDs=$C18))</f>
        <v>1119.5</v>
      </c>
      <c r="V18" s="352" cm="1">
        <f t="array" ref="V18">SUM(_xlfn._xlws.FILTER(_xlfn._xlws.FILTER(dataGLBS,endDates=V$5),dataGLBSAcctIDs=$C18))</f>
        <v>-680.5</v>
      </c>
      <c r="W18" s="352" cm="1">
        <f t="array" ref="W18">SUM(_xlfn._xlws.FILTER(_xlfn._xlws.FILTER(dataGLBS,endDates=W$5),dataGLBSAcctIDs=$C18))</f>
        <v>-5730.5</v>
      </c>
      <c r="X18" s="352" cm="1">
        <f t="array" ref="X18">SUM(_xlfn._xlws.FILTER(_xlfn._xlws.FILTER(dataGLBS,endDates=X$5),dataGLBSAcctIDs=$C18))</f>
        <v>-5730.5</v>
      </c>
      <c r="Y18" s="352" cm="1">
        <f t="array" ref="Y18">SUM(_xlfn._xlws.FILTER(_xlfn._xlws.FILTER(dataGLBS,endDates=Y$5),dataGLBSAcctIDs=$C18))</f>
        <v>-5730.5</v>
      </c>
      <c r="Z18" s="352" cm="1">
        <f t="array" ref="Z18">SUM(_xlfn._xlws.FILTER(_xlfn._xlws.FILTER(dataGLBS,endDates=Z$5),dataGLBSAcctIDs=$C18))</f>
        <v>-5730.5</v>
      </c>
      <c r="AA18" s="352" cm="1">
        <f t="array" ref="AA18">SUM(_xlfn._xlws.FILTER(_xlfn._xlws.FILTER(dataGLBS,endDates=AA$5),dataGLBSAcctIDs=$C18))</f>
        <v>-5730.5</v>
      </c>
      <c r="AB18" s="215"/>
      <c r="AC18" s="344"/>
      <c r="AD18" s="352" cm="1">
        <f t="array" ref="AD18">SUM(_xlfn._xlws.FILTER(_xlfn._xlws.FILTER(dataGLBS,endDates=AD$5),dataGLBSAcctIDs=$C18))</f>
        <v>3970</v>
      </c>
      <c r="AE18" s="352" cm="1">
        <f t="array" ref="AE18">SUM(_xlfn._xlws.FILTER(_xlfn._xlws.FILTER(dataGLBS,endDates=AE$5),dataGLBSAcctIDs=$C18))</f>
        <v>1333.5</v>
      </c>
      <c r="AF18" s="352" cm="1">
        <f t="array" ref="AF18">SUM(_xlfn._xlws.FILTER(_xlfn._xlws.FILTER(dataGLBS,endDates=AF$5),dataGLBSAcctIDs=$C18))</f>
        <v>623.5</v>
      </c>
      <c r="AG18" s="352" cm="1">
        <f t="array" ref="AG18">SUM(_xlfn._xlws.FILTER(_xlfn._xlws.FILTER(dataGLBS,endDates=AG$5),dataGLBSAcctIDs=$C18))</f>
        <v>6437.5</v>
      </c>
      <c r="AH18" s="352" cm="1">
        <f t="array" ref="AH18">SUM(_xlfn._xlws.FILTER(_xlfn._xlws.FILTER(dataGLBS,endDates=AH$5),dataGLBSAcctIDs=$C18))</f>
        <v>1713</v>
      </c>
      <c r="AI18" s="352" cm="1">
        <f t="array" ref="AI18">SUM(_xlfn._xlws.FILTER(_xlfn._xlws.FILTER(dataGLBS,endDates=AI$5),dataGLBSAcctIDs=$C18))</f>
        <v>6402</v>
      </c>
      <c r="AJ18" s="352" cm="1">
        <f t="array" ref="AJ18">SUM(_xlfn._xlws.FILTER(_xlfn._xlws.FILTER(dataGLBS,endDates=AJ$5),dataGLBSAcctIDs=$C18))</f>
        <v>2773.5</v>
      </c>
      <c r="AK18" s="352" cm="1">
        <f t="array" ref="AK18">SUM(_xlfn._xlws.FILTER(_xlfn._xlws.FILTER(dataGLBS,endDates=AK$5),dataGLBSAcctIDs=$C18))</f>
        <v>5752.5</v>
      </c>
      <c r="AL18" s="352" cm="1">
        <f t="array" ref="AL18">SUM(_xlfn._xlws.FILTER(_xlfn._xlws.FILTER(dataGLBS,endDates=AL$5),dataGLBSAcctIDs=$C18))</f>
        <v>6222.5</v>
      </c>
      <c r="AM18" s="352" cm="1">
        <f t="array" ref="AM18">SUM(_xlfn._xlws.FILTER(_xlfn._xlws.FILTER(dataGLBS,endDates=AM$5),dataGLBSAcctIDs=$C18))</f>
        <v>1119.5</v>
      </c>
      <c r="AN18" s="352" cm="1">
        <f t="array" ref="AN18">SUM(_xlfn._xlws.FILTER(_xlfn._xlws.FILTER(dataGLBS,endDates=AN$5),dataGLBSAcctIDs=$C18))</f>
        <v>1119.5</v>
      </c>
      <c r="AO18" s="352" cm="1">
        <f t="array" ref="AO18">SUM(_xlfn._xlws.FILTER(_xlfn._xlws.FILTER(dataGLBS,endDates=AO$5),dataGLBSAcctIDs=$C18))</f>
        <v>1119.5</v>
      </c>
      <c r="AP18" s="352" cm="1">
        <f t="array" ref="AP18">SUM(_xlfn._xlws.FILTER(_xlfn._xlws.FILTER(dataGLBS,endDates=AP$5),dataGLBSAcctIDs=$C18))</f>
        <v>1119.5</v>
      </c>
      <c r="AQ18" s="352" cm="1">
        <f t="array" ref="AQ18">SUM(_xlfn._xlws.FILTER(_xlfn._xlws.FILTER(dataGLBS,endDates=AQ$5),dataGLBSAcctIDs=$C18))</f>
        <v>1119.5</v>
      </c>
      <c r="AR18" s="352" cm="1">
        <f t="array" ref="AR18">SUM(_xlfn._xlws.FILTER(_xlfn._xlws.FILTER(dataGLBS,endDates=AR$5),dataGLBSAcctIDs=$C18))</f>
        <v>1119.5</v>
      </c>
      <c r="AS18" s="352" cm="1">
        <f t="array" ref="AS18">SUM(_xlfn._xlws.FILTER(_xlfn._xlws.FILTER(dataGLBS,endDates=AS$5),dataGLBSAcctIDs=$C18))</f>
        <v>1119.5</v>
      </c>
      <c r="AT18" s="352" cm="1">
        <f t="array" ref="AT18">SUM(_xlfn._xlws.FILTER(_xlfn._xlws.FILTER(dataGLBS,endDates=AT$5),dataGLBSAcctIDs=$C18))</f>
        <v>1119.5</v>
      </c>
      <c r="AU18" s="352" cm="1">
        <f t="array" ref="AU18">SUM(_xlfn._xlws.FILTER(_xlfn._xlws.FILTER(dataGLBS,endDates=AU$5),dataGLBSAcctIDs=$C18))</f>
        <v>1119.5</v>
      </c>
      <c r="AV18" s="352" cm="1">
        <f t="array" ref="AV18">SUM(_xlfn._xlws.FILTER(_xlfn._xlws.FILTER(dataGLBS,endDates=AV$5),dataGLBSAcctIDs=$C18))</f>
        <v>1119.5</v>
      </c>
      <c r="AW18" s="352" cm="1">
        <f t="array" ref="AW18">SUM(_xlfn._xlws.FILTER(_xlfn._xlws.FILTER(dataGLBS,endDates=AW$5),dataGLBSAcctIDs=$C18))</f>
        <v>1119.5</v>
      </c>
      <c r="AX18" s="352" cm="1">
        <f t="array" ref="AX18">SUM(_xlfn._xlws.FILTER(_xlfn._xlws.FILTER(dataGLBS,endDates=AX$5),dataGLBSAcctIDs=$C18))</f>
        <v>1119.5</v>
      </c>
      <c r="AY18" s="352" cm="1">
        <f t="array" ref="AY18">SUM(_xlfn._xlws.FILTER(_xlfn._xlws.FILTER(dataGLBS,endDates=AY$5),dataGLBSAcctIDs=$C18))</f>
        <v>1119.5</v>
      </c>
      <c r="AZ18" s="352" cm="1">
        <f t="array" ref="AZ18">SUM(_xlfn._xlws.FILTER(_xlfn._xlws.FILTER(dataGLBS,endDates=AZ$5),dataGLBSAcctIDs=$C18))</f>
        <v>1119.5</v>
      </c>
      <c r="BA18" s="352" cm="1">
        <f t="array" ref="BA18">SUM(_xlfn._xlws.FILTER(_xlfn._xlws.FILTER(dataGLBS,endDates=BA$5),dataGLBSAcctIDs=$C18))</f>
        <v>1119.5</v>
      </c>
      <c r="BB18" s="352" cm="1">
        <f t="array" ref="BB18">SUM(_xlfn._xlws.FILTER(_xlfn._xlws.FILTER(dataGLBS,endDates=BB$5),dataGLBSAcctIDs=$C18))</f>
        <v>1119.5</v>
      </c>
      <c r="BC18" s="352" cm="1">
        <f t="array" ref="BC18">SUM(_xlfn._xlws.FILTER(_xlfn._xlws.FILTER(dataGLBS,endDates=BC$5),dataGLBSAcctIDs=$C18))</f>
        <v>1119.5</v>
      </c>
      <c r="BD18" s="352" cm="1">
        <f t="array" ref="BD18">SUM(_xlfn._xlws.FILTER(_xlfn._xlws.FILTER(dataGLBS,endDates=BD$5),dataGLBSAcctIDs=$C18))</f>
        <v>1119.5</v>
      </c>
      <c r="BE18" s="352" cm="1">
        <f t="array" ref="BE18">SUM(_xlfn._xlws.FILTER(_xlfn._xlws.FILTER(dataGLBS,endDates=BE$5),dataGLBSAcctIDs=$C18))</f>
        <v>1119.5</v>
      </c>
      <c r="BF18" s="352" cm="1">
        <f t="array" ref="BF18">SUM(_xlfn._xlws.FILTER(_xlfn._xlws.FILTER(dataGLBS,endDates=BF$5),dataGLBSAcctIDs=$C18))</f>
        <v>1119.5</v>
      </c>
      <c r="BG18" s="352" cm="1">
        <f t="array" ref="BG18">SUM(_xlfn._xlws.FILTER(_xlfn._xlws.FILTER(dataGLBS,endDates=BG$5),dataGLBSAcctIDs=$C18))</f>
        <v>1119.5</v>
      </c>
      <c r="BH18" s="352" cm="1">
        <f t="array" ref="BH18">SUM(_xlfn._xlws.FILTER(_xlfn._xlws.FILTER(dataGLBS,endDates=BH$5),dataGLBSAcctIDs=$C18))</f>
        <v>-680.5</v>
      </c>
      <c r="BI18" s="352" cm="1">
        <f t="array" ref="BI18">SUM(_xlfn._xlws.FILTER(_xlfn._xlws.FILTER(dataGLBS,endDates=BI$5),dataGLBSAcctIDs=$C18))</f>
        <v>-680.5</v>
      </c>
      <c r="BJ18" s="352" cm="1">
        <f t="array" ref="BJ18">SUM(_xlfn._xlws.FILTER(_xlfn._xlws.FILTER(dataGLBS,endDates=BJ$5),dataGLBSAcctIDs=$C18))</f>
        <v>-680.5</v>
      </c>
      <c r="BK18" s="352" cm="1">
        <f t="array" ref="BK18">SUM(_xlfn._xlws.FILTER(_xlfn._xlws.FILTER(dataGLBS,endDates=BK$5),dataGLBSAcctIDs=$C18))</f>
        <v>-680.5</v>
      </c>
      <c r="BL18" s="352" cm="1">
        <f t="array" ref="BL18">SUM(_xlfn._xlws.FILTER(_xlfn._xlws.FILTER(dataGLBS,endDates=BL$5),dataGLBSAcctIDs=$C18))</f>
        <v>-5730.5</v>
      </c>
      <c r="BM18" s="352" cm="1">
        <f t="array" ref="BM18">SUM(_xlfn._xlws.FILTER(_xlfn._xlws.FILTER(dataGLBS,endDates=BM$5),dataGLBSAcctIDs=$C18))</f>
        <v>-5730.5</v>
      </c>
      <c r="BN18" s="352" cm="1">
        <f t="array" ref="BN18">SUM(_xlfn._xlws.FILTER(_xlfn._xlws.FILTER(dataGLBS,endDates=BN$5),dataGLBSAcctIDs=$C18))</f>
        <v>-5730.5</v>
      </c>
      <c r="BO18" s="352" cm="1">
        <f t="array" ref="BO18">SUM(_xlfn._xlws.FILTER(_xlfn._xlws.FILTER(dataGLBS,endDates=BO$5),dataGLBSAcctIDs=$C18))</f>
        <v>-5730.5</v>
      </c>
      <c r="BP18" s="352" cm="1">
        <f t="array" ref="BP18">SUM(_xlfn._xlws.FILTER(_xlfn._xlws.FILTER(dataGLBS,endDates=BP$5),dataGLBSAcctIDs=$C18))</f>
        <v>-5730.5</v>
      </c>
      <c r="BQ18" s="352" cm="1">
        <f t="array" ref="BQ18">SUM(_xlfn._xlws.FILTER(_xlfn._xlws.FILTER(dataGLBS,endDates=BQ$5),dataGLBSAcctIDs=$C18))</f>
        <v>-5730.5</v>
      </c>
      <c r="BR18" s="352" cm="1">
        <f t="array" ref="BR18">SUM(_xlfn._xlws.FILTER(_xlfn._xlws.FILTER(dataGLBS,endDates=BR$5),dataGLBSAcctIDs=$C18))</f>
        <v>-5730.5</v>
      </c>
      <c r="BS18" s="352" cm="1">
        <f t="array" ref="BS18">SUM(_xlfn._xlws.FILTER(_xlfn._xlws.FILTER(dataGLBS,endDates=BS$5),dataGLBSAcctIDs=$C18))</f>
        <v>-5730.5</v>
      </c>
      <c r="BT18" s="352" cm="1">
        <f t="array" ref="BT18">SUM(_xlfn._xlws.FILTER(_xlfn._xlws.FILTER(dataGLBS,endDates=BT$5),dataGLBSAcctIDs=$C18))</f>
        <v>-5730.5</v>
      </c>
      <c r="BU18" s="352" cm="1">
        <f t="array" ref="BU18">SUM(_xlfn._xlws.FILTER(_xlfn._xlws.FILTER(dataGLBS,endDates=BU$5),dataGLBSAcctIDs=$C18))</f>
        <v>-5730.5</v>
      </c>
      <c r="BV18" s="352" cm="1">
        <f t="array" ref="BV18">SUM(_xlfn._xlws.FILTER(_xlfn._xlws.FILTER(dataGLBS,endDates=BV$5),dataGLBSAcctIDs=$C18))</f>
        <v>-5730.5</v>
      </c>
      <c r="BW18" s="352" cm="1">
        <f t="array" ref="BW18">SUM(_xlfn._xlws.FILTER(_xlfn._xlws.FILTER(dataGLBS,endDates=BW$5),dataGLBSAcctIDs=$C18))</f>
        <v>-5730.5</v>
      </c>
      <c r="BX18" s="352" cm="1">
        <f t="array" ref="BX18">SUM(_xlfn._xlws.FILTER(_xlfn._xlws.FILTER(dataGLBS,endDates=BX$5),dataGLBSAcctIDs=$C18))</f>
        <v>-5730.5</v>
      </c>
      <c r="BY18" s="352" cm="1">
        <f t="array" ref="BY18">SUM(_xlfn._xlws.FILTER(_xlfn._xlws.FILTER(dataGLBS,endDates=BY$5),dataGLBSAcctIDs=$C18))</f>
        <v>-5730.5</v>
      </c>
      <c r="BZ18" s="201"/>
    </row>
    <row r="19" spans="1:78" s="350" customFormat="1" ht="21" customHeight="1">
      <c r="A19" s="215"/>
      <c r="B19" s="623" t="s">
        <v>283</v>
      </c>
      <c r="C19" s="343">
        <v>150</v>
      </c>
      <c r="D19" s="215"/>
      <c r="E19" s="216"/>
      <c r="F19" s="352" cm="1">
        <f t="array" ref="F19">SUM(_xlfn._xlws.FILTER(_xlfn._xlws.FILTER(dataGLBS,endDates=F$5),dataGLBSAcctIDs=$C19))</f>
        <v>25000</v>
      </c>
      <c r="G19" s="352" cm="1">
        <f t="array" ref="G19">SUM(_xlfn._xlws.FILTER(_xlfn._xlws.FILTER(dataGLBS,endDates=G$5),dataGLBSAcctIDs=$C19))</f>
        <v>25000</v>
      </c>
      <c r="H19" s="352" cm="1">
        <f t="array" ref="H19">SUM(_xlfn._xlws.FILTER(_xlfn._xlws.FILTER(dataGLBS,endDates=H$5),dataGLBSAcctIDs=$C19))</f>
        <v>25000</v>
      </c>
      <c r="I19" s="352" cm="1">
        <f t="array" ref="I19">SUM(_xlfn._xlws.FILTER(_xlfn._xlws.FILTER(dataGLBS,endDates=I$5),dataGLBSAcctIDs=$C19))</f>
        <v>25000</v>
      </c>
      <c r="J19" s="344"/>
      <c r="K19" s="344"/>
      <c r="L19" s="352" cm="1">
        <f t="array" ref="L19">SUM(_xlfn._xlws.FILTER(_xlfn._xlws.FILTER(dataGLBS,endDates=L$5),dataGLBSAcctIDs=$C19))</f>
        <v>25000</v>
      </c>
      <c r="M19" s="352" cm="1">
        <f t="array" ref="M19">SUM(_xlfn._xlws.FILTER(_xlfn._xlws.FILTER(dataGLBS,endDates=M$5),dataGLBSAcctIDs=$C19))</f>
        <v>25000</v>
      </c>
      <c r="N19" s="352" cm="1">
        <f t="array" ref="N19">SUM(_xlfn._xlws.FILTER(_xlfn._xlws.FILTER(dataGLBS,endDates=N$5),dataGLBSAcctIDs=$C19))</f>
        <v>25000</v>
      </c>
      <c r="O19" s="352" cm="1">
        <f t="array" ref="O19">SUM(_xlfn._xlws.FILTER(_xlfn._xlws.FILTER(dataGLBS,endDates=O$5),dataGLBSAcctIDs=$C19))</f>
        <v>25000</v>
      </c>
      <c r="P19" s="352" cm="1">
        <f t="array" ref="P19">SUM(_xlfn._xlws.FILTER(_xlfn._xlws.FILTER(dataGLBS,endDates=P$5),dataGLBSAcctIDs=$C19))</f>
        <v>25000</v>
      </c>
      <c r="Q19" s="352" cm="1">
        <f t="array" ref="Q19">SUM(_xlfn._xlws.FILTER(_xlfn._xlws.FILTER(dataGLBS,endDates=Q$5),dataGLBSAcctIDs=$C19))</f>
        <v>25000</v>
      </c>
      <c r="R19" s="352" cm="1">
        <f t="array" ref="R19">SUM(_xlfn._xlws.FILTER(_xlfn._xlws.FILTER(dataGLBS,endDates=R$5),dataGLBSAcctIDs=$C19))</f>
        <v>25000</v>
      </c>
      <c r="S19" s="352" cm="1">
        <f t="array" ref="S19">SUM(_xlfn._xlws.FILTER(_xlfn._xlws.FILTER(dataGLBS,endDates=S$5),dataGLBSAcctIDs=$C19))</f>
        <v>25000</v>
      </c>
      <c r="T19" s="352" cm="1">
        <f t="array" ref="T19">SUM(_xlfn._xlws.FILTER(_xlfn._xlws.FILTER(dataGLBS,endDates=T$5),dataGLBSAcctIDs=$C19))</f>
        <v>25000</v>
      </c>
      <c r="U19" s="352" cm="1">
        <f t="array" ref="U19">SUM(_xlfn._xlws.FILTER(_xlfn._xlws.FILTER(dataGLBS,endDates=U$5),dataGLBSAcctIDs=$C19))</f>
        <v>25000</v>
      </c>
      <c r="V19" s="352" cm="1">
        <f t="array" ref="V19">SUM(_xlfn._xlws.FILTER(_xlfn._xlws.FILTER(dataGLBS,endDates=V$5),dataGLBSAcctIDs=$C19))</f>
        <v>25000</v>
      </c>
      <c r="W19" s="352" cm="1">
        <f t="array" ref="W19">SUM(_xlfn._xlws.FILTER(_xlfn._xlws.FILTER(dataGLBS,endDates=W$5),dataGLBSAcctIDs=$C19))</f>
        <v>25000</v>
      </c>
      <c r="X19" s="352" cm="1">
        <f t="array" ref="X19">SUM(_xlfn._xlws.FILTER(_xlfn._xlws.FILTER(dataGLBS,endDates=X$5),dataGLBSAcctIDs=$C19))</f>
        <v>25000</v>
      </c>
      <c r="Y19" s="352" cm="1">
        <f t="array" ref="Y19">SUM(_xlfn._xlws.FILTER(_xlfn._xlws.FILTER(dataGLBS,endDates=Y$5),dataGLBSAcctIDs=$C19))</f>
        <v>25000</v>
      </c>
      <c r="Z19" s="352" cm="1">
        <f t="array" ref="Z19">SUM(_xlfn._xlws.FILTER(_xlfn._xlws.FILTER(dataGLBS,endDates=Z$5),dataGLBSAcctIDs=$C19))</f>
        <v>25000</v>
      </c>
      <c r="AA19" s="352" cm="1">
        <f t="array" ref="AA19">SUM(_xlfn._xlws.FILTER(_xlfn._xlws.FILTER(dataGLBS,endDates=AA$5),dataGLBSAcctIDs=$C19))</f>
        <v>25000</v>
      </c>
      <c r="AB19" s="215"/>
      <c r="AC19" s="344"/>
      <c r="AD19" s="352" cm="1">
        <f t="array" ref="AD19">SUM(_xlfn._xlws.FILTER(_xlfn._xlws.FILTER(dataGLBS,endDates=AD$5),dataGLBSAcctIDs=$C19))</f>
        <v>25000</v>
      </c>
      <c r="AE19" s="352" cm="1">
        <f t="array" ref="AE19">SUM(_xlfn._xlws.FILTER(_xlfn._xlws.FILTER(dataGLBS,endDates=AE$5),dataGLBSAcctIDs=$C19))</f>
        <v>25000</v>
      </c>
      <c r="AF19" s="352" cm="1">
        <f t="array" ref="AF19">SUM(_xlfn._xlws.FILTER(_xlfn._xlws.FILTER(dataGLBS,endDates=AF$5),dataGLBSAcctIDs=$C19))</f>
        <v>25000</v>
      </c>
      <c r="AG19" s="352" cm="1">
        <f t="array" ref="AG19">SUM(_xlfn._xlws.FILTER(_xlfn._xlws.FILTER(dataGLBS,endDates=AG$5),dataGLBSAcctIDs=$C19))</f>
        <v>25000</v>
      </c>
      <c r="AH19" s="352" cm="1">
        <f t="array" ref="AH19">SUM(_xlfn._xlws.FILTER(_xlfn._xlws.FILTER(dataGLBS,endDates=AH$5),dataGLBSAcctIDs=$C19))</f>
        <v>25000</v>
      </c>
      <c r="AI19" s="352" cm="1">
        <f t="array" ref="AI19">SUM(_xlfn._xlws.FILTER(_xlfn._xlws.FILTER(dataGLBS,endDates=AI$5),dataGLBSAcctIDs=$C19))</f>
        <v>25000</v>
      </c>
      <c r="AJ19" s="352" cm="1">
        <f t="array" ref="AJ19">SUM(_xlfn._xlws.FILTER(_xlfn._xlws.FILTER(dataGLBS,endDates=AJ$5),dataGLBSAcctIDs=$C19))</f>
        <v>25000</v>
      </c>
      <c r="AK19" s="352" cm="1">
        <f t="array" ref="AK19">SUM(_xlfn._xlws.FILTER(_xlfn._xlws.FILTER(dataGLBS,endDates=AK$5),dataGLBSAcctIDs=$C19))</f>
        <v>25000</v>
      </c>
      <c r="AL19" s="352" cm="1">
        <f t="array" ref="AL19">SUM(_xlfn._xlws.FILTER(_xlfn._xlws.FILTER(dataGLBS,endDates=AL$5),dataGLBSAcctIDs=$C19))</f>
        <v>25000</v>
      </c>
      <c r="AM19" s="352" cm="1">
        <f t="array" ref="AM19">SUM(_xlfn._xlws.FILTER(_xlfn._xlws.FILTER(dataGLBS,endDates=AM$5),dataGLBSAcctIDs=$C19))</f>
        <v>25000</v>
      </c>
      <c r="AN19" s="352" cm="1">
        <f t="array" ref="AN19">SUM(_xlfn._xlws.FILTER(_xlfn._xlws.FILTER(dataGLBS,endDates=AN$5),dataGLBSAcctIDs=$C19))</f>
        <v>25000</v>
      </c>
      <c r="AO19" s="352" cm="1">
        <f t="array" ref="AO19">SUM(_xlfn._xlws.FILTER(_xlfn._xlws.FILTER(dataGLBS,endDates=AO$5),dataGLBSAcctIDs=$C19))</f>
        <v>25000</v>
      </c>
      <c r="AP19" s="352" cm="1">
        <f t="array" ref="AP19">SUM(_xlfn._xlws.FILTER(_xlfn._xlws.FILTER(dataGLBS,endDates=AP$5),dataGLBSAcctIDs=$C19))</f>
        <v>25000</v>
      </c>
      <c r="AQ19" s="352" cm="1">
        <f t="array" ref="AQ19">SUM(_xlfn._xlws.FILTER(_xlfn._xlws.FILTER(dataGLBS,endDates=AQ$5),dataGLBSAcctIDs=$C19))</f>
        <v>25000</v>
      </c>
      <c r="AR19" s="352" cm="1">
        <f t="array" ref="AR19">SUM(_xlfn._xlws.FILTER(_xlfn._xlws.FILTER(dataGLBS,endDates=AR$5),dataGLBSAcctIDs=$C19))</f>
        <v>25000</v>
      </c>
      <c r="AS19" s="352" cm="1">
        <f t="array" ref="AS19">SUM(_xlfn._xlws.FILTER(_xlfn._xlws.FILTER(dataGLBS,endDates=AS$5),dataGLBSAcctIDs=$C19))</f>
        <v>25000</v>
      </c>
      <c r="AT19" s="352" cm="1">
        <f t="array" ref="AT19">SUM(_xlfn._xlws.FILTER(_xlfn._xlws.FILTER(dataGLBS,endDates=AT$5),dataGLBSAcctIDs=$C19))</f>
        <v>25000</v>
      </c>
      <c r="AU19" s="352" cm="1">
        <f t="array" ref="AU19">SUM(_xlfn._xlws.FILTER(_xlfn._xlws.FILTER(dataGLBS,endDates=AU$5),dataGLBSAcctIDs=$C19))</f>
        <v>25000</v>
      </c>
      <c r="AV19" s="352" cm="1">
        <f t="array" ref="AV19">SUM(_xlfn._xlws.FILTER(_xlfn._xlws.FILTER(dataGLBS,endDates=AV$5),dataGLBSAcctIDs=$C19))</f>
        <v>25000</v>
      </c>
      <c r="AW19" s="352" cm="1">
        <f t="array" ref="AW19">SUM(_xlfn._xlws.FILTER(_xlfn._xlws.FILTER(dataGLBS,endDates=AW$5),dataGLBSAcctIDs=$C19))</f>
        <v>25000</v>
      </c>
      <c r="AX19" s="352" cm="1">
        <f t="array" ref="AX19">SUM(_xlfn._xlws.FILTER(_xlfn._xlws.FILTER(dataGLBS,endDates=AX$5),dataGLBSAcctIDs=$C19))</f>
        <v>25000</v>
      </c>
      <c r="AY19" s="352" cm="1">
        <f t="array" ref="AY19">SUM(_xlfn._xlws.FILTER(_xlfn._xlws.FILTER(dataGLBS,endDates=AY$5),dataGLBSAcctIDs=$C19))</f>
        <v>25000</v>
      </c>
      <c r="AZ19" s="352" cm="1">
        <f t="array" ref="AZ19">SUM(_xlfn._xlws.FILTER(_xlfn._xlws.FILTER(dataGLBS,endDates=AZ$5),dataGLBSAcctIDs=$C19))</f>
        <v>25000</v>
      </c>
      <c r="BA19" s="352" cm="1">
        <f t="array" ref="BA19">SUM(_xlfn._xlws.FILTER(_xlfn._xlws.FILTER(dataGLBS,endDates=BA$5),dataGLBSAcctIDs=$C19))</f>
        <v>25000</v>
      </c>
      <c r="BB19" s="352" cm="1">
        <f t="array" ref="BB19">SUM(_xlfn._xlws.FILTER(_xlfn._xlws.FILTER(dataGLBS,endDates=BB$5),dataGLBSAcctIDs=$C19))</f>
        <v>25000</v>
      </c>
      <c r="BC19" s="352" cm="1">
        <f t="array" ref="BC19">SUM(_xlfn._xlws.FILTER(_xlfn._xlws.FILTER(dataGLBS,endDates=BC$5),dataGLBSAcctIDs=$C19))</f>
        <v>25000</v>
      </c>
      <c r="BD19" s="352" cm="1">
        <f t="array" ref="BD19">SUM(_xlfn._xlws.FILTER(_xlfn._xlws.FILTER(dataGLBS,endDates=BD$5),dataGLBSAcctIDs=$C19))</f>
        <v>25000</v>
      </c>
      <c r="BE19" s="352" cm="1">
        <f t="array" ref="BE19">SUM(_xlfn._xlws.FILTER(_xlfn._xlws.FILTER(dataGLBS,endDates=BE$5),dataGLBSAcctIDs=$C19))</f>
        <v>25000</v>
      </c>
      <c r="BF19" s="352" cm="1">
        <f t="array" ref="BF19">SUM(_xlfn._xlws.FILTER(_xlfn._xlws.FILTER(dataGLBS,endDates=BF$5),dataGLBSAcctIDs=$C19))</f>
        <v>25000</v>
      </c>
      <c r="BG19" s="352" cm="1">
        <f t="array" ref="BG19">SUM(_xlfn._xlws.FILTER(_xlfn._xlws.FILTER(dataGLBS,endDates=BG$5),dataGLBSAcctIDs=$C19))</f>
        <v>25000</v>
      </c>
      <c r="BH19" s="352" cm="1">
        <f t="array" ref="BH19">SUM(_xlfn._xlws.FILTER(_xlfn._xlws.FILTER(dataGLBS,endDates=BH$5),dataGLBSAcctIDs=$C19))</f>
        <v>25000</v>
      </c>
      <c r="BI19" s="352" cm="1">
        <f t="array" ref="BI19">SUM(_xlfn._xlws.FILTER(_xlfn._xlws.FILTER(dataGLBS,endDates=BI$5),dataGLBSAcctIDs=$C19))</f>
        <v>25000</v>
      </c>
      <c r="BJ19" s="352" cm="1">
        <f t="array" ref="BJ19">SUM(_xlfn._xlws.FILTER(_xlfn._xlws.FILTER(dataGLBS,endDates=BJ$5),dataGLBSAcctIDs=$C19))</f>
        <v>25000</v>
      </c>
      <c r="BK19" s="352" cm="1">
        <f t="array" ref="BK19">SUM(_xlfn._xlws.FILTER(_xlfn._xlws.FILTER(dataGLBS,endDates=BK$5),dataGLBSAcctIDs=$C19))</f>
        <v>25000</v>
      </c>
      <c r="BL19" s="352" cm="1">
        <f t="array" ref="BL19">SUM(_xlfn._xlws.FILTER(_xlfn._xlws.FILTER(dataGLBS,endDates=BL$5),dataGLBSAcctIDs=$C19))</f>
        <v>25000</v>
      </c>
      <c r="BM19" s="352" cm="1">
        <f t="array" ref="BM19">SUM(_xlfn._xlws.FILTER(_xlfn._xlws.FILTER(dataGLBS,endDates=BM$5),dataGLBSAcctIDs=$C19))</f>
        <v>25000</v>
      </c>
      <c r="BN19" s="352" cm="1">
        <f t="array" ref="BN19">SUM(_xlfn._xlws.FILTER(_xlfn._xlws.FILTER(dataGLBS,endDates=BN$5),dataGLBSAcctIDs=$C19))</f>
        <v>25000</v>
      </c>
      <c r="BO19" s="352" cm="1">
        <f t="array" ref="BO19">SUM(_xlfn._xlws.FILTER(_xlfn._xlws.FILTER(dataGLBS,endDates=BO$5),dataGLBSAcctIDs=$C19))</f>
        <v>25000</v>
      </c>
      <c r="BP19" s="352" cm="1">
        <f t="array" ref="BP19">SUM(_xlfn._xlws.FILTER(_xlfn._xlws.FILTER(dataGLBS,endDates=BP$5),dataGLBSAcctIDs=$C19))</f>
        <v>25000</v>
      </c>
      <c r="BQ19" s="352" cm="1">
        <f t="array" ref="BQ19">SUM(_xlfn._xlws.FILTER(_xlfn._xlws.FILTER(dataGLBS,endDates=BQ$5),dataGLBSAcctIDs=$C19))</f>
        <v>25000</v>
      </c>
      <c r="BR19" s="352" cm="1">
        <f t="array" ref="BR19">SUM(_xlfn._xlws.FILTER(_xlfn._xlws.FILTER(dataGLBS,endDates=BR$5),dataGLBSAcctIDs=$C19))</f>
        <v>25000</v>
      </c>
      <c r="BS19" s="352" cm="1">
        <f t="array" ref="BS19">SUM(_xlfn._xlws.FILTER(_xlfn._xlws.FILTER(dataGLBS,endDates=BS$5),dataGLBSAcctIDs=$C19))</f>
        <v>25000</v>
      </c>
      <c r="BT19" s="352" cm="1">
        <f t="array" ref="BT19">SUM(_xlfn._xlws.FILTER(_xlfn._xlws.FILTER(dataGLBS,endDates=BT$5),dataGLBSAcctIDs=$C19))</f>
        <v>25000</v>
      </c>
      <c r="BU19" s="352" cm="1">
        <f t="array" ref="BU19">SUM(_xlfn._xlws.FILTER(_xlfn._xlws.FILTER(dataGLBS,endDates=BU$5),dataGLBSAcctIDs=$C19))</f>
        <v>25000</v>
      </c>
      <c r="BV19" s="352" cm="1">
        <f t="array" ref="BV19">SUM(_xlfn._xlws.FILTER(_xlfn._xlws.FILTER(dataGLBS,endDates=BV$5),dataGLBSAcctIDs=$C19))</f>
        <v>25000</v>
      </c>
      <c r="BW19" s="352" cm="1">
        <f t="array" ref="BW19">SUM(_xlfn._xlws.FILTER(_xlfn._xlws.FILTER(dataGLBS,endDates=BW$5),dataGLBSAcctIDs=$C19))</f>
        <v>25000</v>
      </c>
      <c r="BX19" s="352" cm="1">
        <f t="array" ref="BX19">SUM(_xlfn._xlws.FILTER(_xlfn._xlws.FILTER(dataGLBS,endDates=BX$5),dataGLBSAcctIDs=$C19))</f>
        <v>25000</v>
      </c>
      <c r="BY19" s="352" cm="1">
        <f t="array" ref="BY19">SUM(_xlfn._xlws.FILTER(_xlfn._xlws.FILTER(dataGLBS,endDates=BY$5),dataGLBSAcctIDs=$C19))</f>
        <v>25000</v>
      </c>
      <c r="BZ19" s="201"/>
    </row>
    <row r="20" spans="1:78" s="350" customFormat="1" ht="21" customHeight="1">
      <c r="A20" s="215"/>
      <c r="B20" s="623" t="s">
        <v>284</v>
      </c>
      <c r="C20" s="343">
        <v>151</v>
      </c>
      <c r="D20" s="215"/>
      <c r="E20" s="216"/>
      <c r="F20" s="352" cm="1">
        <f t="array" ref="F20">SUM(_xlfn._xlws.FILTER(_xlfn._xlws.FILTER(dataGLBS,endDates=F$5),dataGLBSAcctIDs=$C20))</f>
        <v>0</v>
      </c>
      <c r="G20" s="352" cm="1">
        <f t="array" ref="G20">SUM(_xlfn._xlws.FILTER(_xlfn._xlws.FILTER(dataGLBS,endDates=G$5),dataGLBSAcctIDs=$C20))</f>
        <v>0</v>
      </c>
      <c r="H20" s="352" cm="1">
        <f t="array" ref="H20">SUM(_xlfn._xlws.FILTER(_xlfn._xlws.FILTER(dataGLBS,endDates=H$5),dataGLBSAcctIDs=$C20))</f>
        <v>0</v>
      </c>
      <c r="I20" s="352" cm="1">
        <f t="array" ref="I20">SUM(_xlfn._xlws.FILTER(_xlfn._xlws.FILTER(dataGLBS,endDates=I$5),dataGLBSAcctIDs=$C20))</f>
        <v>0</v>
      </c>
      <c r="J20" s="344"/>
      <c r="K20" s="344"/>
      <c r="L20" s="352" cm="1">
        <f t="array" ref="L20">SUM(_xlfn._xlws.FILTER(_xlfn._xlws.FILTER(dataGLBS,endDates=L$5),dataGLBSAcctIDs=$C20))</f>
        <v>0</v>
      </c>
      <c r="M20" s="352" cm="1">
        <f t="array" ref="M20">SUM(_xlfn._xlws.FILTER(_xlfn._xlws.FILTER(dataGLBS,endDates=M$5),dataGLBSAcctIDs=$C20))</f>
        <v>0</v>
      </c>
      <c r="N20" s="352" cm="1">
        <f t="array" ref="N20">SUM(_xlfn._xlws.FILTER(_xlfn._xlws.FILTER(dataGLBS,endDates=N$5),dataGLBSAcctIDs=$C20))</f>
        <v>0</v>
      </c>
      <c r="O20" s="352" cm="1">
        <f t="array" ref="O20">SUM(_xlfn._xlws.FILTER(_xlfn._xlws.FILTER(dataGLBS,endDates=O$5),dataGLBSAcctIDs=$C20))</f>
        <v>0</v>
      </c>
      <c r="P20" s="352" cm="1">
        <f t="array" ref="P20">SUM(_xlfn._xlws.FILTER(_xlfn._xlws.FILTER(dataGLBS,endDates=P$5),dataGLBSAcctIDs=$C20))</f>
        <v>0</v>
      </c>
      <c r="Q20" s="352" cm="1">
        <f t="array" ref="Q20">SUM(_xlfn._xlws.FILTER(_xlfn._xlws.FILTER(dataGLBS,endDates=Q$5),dataGLBSAcctIDs=$C20))</f>
        <v>0</v>
      </c>
      <c r="R20" s="352" cm="1">
        <f t="array" ref="R20">SUM(_xlfn._xlws.FILTER(_xlfn._xlws.FILTER(dataGLBS,endDates=R$5),dataGLBSAcctIDs=$C20))</f>
        <v>0</v>
      </c>
      <c r="S20" s="352" cm="1">
        <f t="array" ref="S20">SUM(_xlfn._xlws.FILTER(_xlfn._xlws.FILTER(dataGLBS,endDates=S$5),dataGLBSAcctIDs=$C20))</f>
        <v>0</v>
      </c>
      <c r="T20" s="352" cm="1">
        <f t="array" ref="T20">SUM(_xlfn._xlws.FILTER(_xlfn._xlws.FILTER(dataGLBS,endDates=T$5),dataGLBSAcctIDs=$C20))</f>
        <v>0</v>
      </c>
      <c r="U20" s="352" cm="1">
        <f t="array" ref="U20">SUM(_xlfn._xlws.FILTER(_xlfn._xlws.FILTER(dataGLBS,endDates=U$5),dataGLBSAcctIDs=$C20))</f>
        <v>0</v>
      </c>
      <c r="V20" s="352" cm="1">
        <f t="array" ref="V20">SUM(_xlfn._xlws.FILTER(_xlfn._xlws.FILTER(dataGLBS,endDates=V$5),dataGLBSAcctIDs=$C20))</f>
        <v>0</v>
      </c>
      <c r="W20" s="352" cm="1">
        <f t="array" ref="W20">SUM(_xlfn._xlws.FILTER(_xlfn._xlws.FILTER(dataGLBS,endDates=W$5),dataGLBSAcctIDs=$C20))</f>
        <v>0</v>
      </c>
      <c r="X20" s="352" cm="1">
        <f t="array" ref="X20">SUM(_xlfn._xlws.FILTER(_xlfn._xlws.FILTER(dataGLBS,endDates=X$5),dataGLBSAcctIDs=$C20))</f>
        <v>0</v>
      </c>
      <c r="Y20" s="352" cm="1">
        <f t="array" ref="Y20">SUM(_xlfn._xlws.FILTER(_xlfn._xlws.FILTER(dataGLBS,endDates=Y$5),dataGLBSAcctIDs=$C20))</f>
        <v>0</v>
      </c>
      <c r="Z20" s="352" cm="1">
        <f t="array" ref="Z20">SUM(_xlfn._xlws.FILTER(_xlfn._xlws.FILTER(dataGLBS,endDates=Z$5),dataGLBSAcctIDs=$C20))</f>
        <v>0</v>
      </c>
      <c r="AA20" s="352" cm="1">
        <f t="array" ref="AA20">SUM(_xlfn._xlws.FILTER(_xlfn._xlws.FILTER(dataGLBS,endDates=AA$5),dataGLBSAcctIDs=$C20))</f>
        <v>0</v>
      </c>
      <c r="AB20" s="215"/>
      <c r="AC20" s="344"/>
      <c r="AD20" s="352" cm="1">
        <f t="array" ref="AD20">SUM(_xlfn._xlws.FILTER(_xlfn._xlws.FILTER(dataGLBS,endDates=AD$5),dataGLBSAcctIDs=$C20))</f>
        <v>0</v>
      </c>
      <c r="AE20" s="352" cm="1">
        <f t="array" ref="AE20">SUM(_xlfn._xlws.FILTER(_xlfn._xlws.FILTER(dataGLBS,endDates=AE$5),dataGLBSAcctIDs=$C20))</f>
        <v>0</v>
      </c>
      <c r="AF20" s="352" cm="1">
        <f t="array" ref="AF20">SUM(_xlfn._xlws.FILTER(_xlfn._xlws.FILTER(dataGLBS,endDates=AF$5),dataGLBSAcctIDs=$C20))</f>
        <v>0</v>
      </c>
      <c r="AG20" s="352" cm="1">
        <f t="array" ref="AG20">SUM(_xlfn._xlws.FILTER(_xlfn._xlws.FILTER(dataGLBS,endDates=AG$5),dataGLBSAcctIDs=$C20))</f>
        <v>0</v>
      </c>
      <c r="AH20" s="352" cm="1">
        <f t="array" ref="AH20">SUM(_xlfn._xlws.FILTER(_xlfn._xlws.FILTER(dataGLBS,endDates=AH$5),dataGLBSAcctIDs=$C20))</f>
        <v>0</v>
      </c>
      <c r="AI20" s="352" cm="1">
        <f t="array" ref="AI20">SUM(_xlfn._xlws.FILTER(_xlfn._xlws.FILTER(dataGLBS,endDates=AI$5),dataGLBSAcctIDs=$C20))</f>
        <v>0</v>
      </c>
      <c r="AJ20" s="352" cm="1">
        <f t="array" ref="AJ20">SUM(_xlfn._xlws.FILTER(_xlfn._xlws.FILTER(dataGLBS,endDates=AJ$5),dataGLBSAcctIDs=$C20))</f>
        <v>0</v>
      </c>
      <c r="AK20" s="352" cm="1">
        <f t="array" ref="AK20">SUM(_xlfn._xlws.FILTER(_xlfn._xlws.FILTER(dataGLBS,endDates=AK$5),dataGLBSAcctIDs=$C20))</f>
        <v>0</v>
      </c>
      <c r="AL20" s="352" cm="1">
        <f t="array" ref="AL20">SUM(_xlfn._xlws.FILTER(_xlfn._xlws.FILTER(dataGLBS,endDates=AL$5),dataGLBSAcctIDs=$C20))</f>
        <v>0</v>
      </c>
      <c r="AM20" s="352" cm="1">
        <f t="array" ref="AM20">SUM(_xlfn._xlws.FILTER(_xlfn._xlws.FILTER(dataGLBS,endDates=AM$5),dataGLBSAcctIDs=$C20))</f>
        <v>0</v>
      </c>
      <c r="AN20" s="352" cm="1">
        <f t="array" ref="AN20">SUM(_xlfn._xlws.FILTER(_xlfn._xlws.FILTER(dataGLBS,endDates=AN$5),dataGLBSAcctIDs=$C20))</f>
        <v>0</v>
      </c>
      <c r="AO20" s="352" cm="1">
        <f t="array" ref="AO20">SUM(_xlfn._xlws.FILTER(_xlfn._xlws.FILTER(dataGLBS,endDates=AO$5),dataGLBSAcctIDs=$C20))</f>
        <v>0</v>
      </c>
      <c r="AP20" s="352" cm="1">
        <f t="array" ref="AP20">SUM(_xlfn._xlws.FILTER(_xlfn._xlws.FILTER(dataGLBS,endDates=AP$5),dataGLBSAcctIDs=$C20))</f>
        <v>0</v>
      </c>
      <c r="AQ20" s="352" cm="1">
        <f t="array" ref="AQ20">SUM(_xlfn._xlws.FILTER(_xlfn._xlws.FILTER(dataGLBS,endDates=AQ$5),dataGLBSAcctIDs=$C20))</f>
        <v>0</v>
      </c>
      <c r="AR20" s="352" cm="1">
        <f t="array" ref="AR20">SUM(_xlfn._xlws.FILTER(_xlfn._xlws.FILTER(dataGLBS,endDates=AR$5),dataGLBSAcctIDs=$C20))</f>
        <v>0</v>
      </c>
      <c r="AS20" s="352" cm="1">
        <f t="array" ref="AS20">SUM(_xlfn._xlws.FILTER(_xlfn._xlws.FILTER(dataGLBS,endDates=AS$5),dataGLBSAcctIDs=$C20))</f>
        <v>0</v>
      </c>
      <c r="AT20" s="352" cm="1">
        <f t="array" ref="AT20">SUM(_xlfn._xlws.FILTER(_xlfn._xlws.FILTER(dataGLBS,endDates=AT$5),dataGLBSAcctIDs=$C20))</f>
        <v>0</v>
      </c>
      <c r="AU20" s="352" cm="1">
        <f t="array" ref="AU20">SUM(_xlfn._xlws.FILTER(_xlfn._xlws.FILTER(dataGLBS,endDates=AU$5),dataGLBSAcctIDs=$C20))</f>
        <v>0</v>
      </c>
      <c r="AV20" s="352" cm="1">
        <f t="array" ref="AV20">SUM(_xlfn._xlws.FILTER(_xlfn._xlws.FILTER(dataGLBS,endDates=AV$5),dataGLBSAcctIDs=$C20))</f>
        <v>0</v>
      </c>
      <c r="AW20" s="352" cm="1">
        <f t="array" ref="AW20">SUM(_xlfn._xlws.FILTER(_xlfn._xlws.FILTER(dataGLBS,endDates=AW$5),dataGLBSAcctIDs=$C20))</f>
        <v>0</v>
      </c>
      <c r="AX20" s="352" cm="1">
        <f t="array" ref="AX20">SUM(_xlfn._xlws.FILTER(_xlfn._xlws.FILTER(dataGLBS,endDates=AX$5),dataGLBSAcctIDs=$C20))</f>
        <v>0</v>
      </c>
      <c r="AY20" s="352" cm="1">
        <f t="array" ref="AY20">SUM(_xlfn._xlws.FILTER(_xlfn._xlws.FILTER(dataGLBS,endDates=AY$5),dataGLBSAcctIDs=$C20))</f>
        <v>0</v>
      </c>
      <c r="AZ20" s="352" cm="1">
        <f t="array" ref="AZ20">SUM(_xlfn._xlws.FILTER(_xlfn._xlws.FILTER(dataGLBS,endDates=AZ$5),dataGLBSAcctIDs=$C20))</f>
        <v>0</v>
      </c>
      <c r="BA20" s="352" cm="1">
        <f t="array" ref="BA20">SUM(_xlfn._xlws.FILTER(_xlfn._xlws.FILTER(dataGLBS,endDates=BA$5),dataGLBSAcctIDs=$C20))</f>
        <v>0</v>
      </c>
      <c r="BB20" s="352" cm="1">
        <f t="array" ref="BB20">SUM(_xlfn._xlws.FILTER(_xlfn._xlws.FILTER(dataGLBS,endDates=BB$5),dataGLBSAcctIDs=$C20))</f>
        <v>0</v>
      </c>
      <c r="BC20" s="352" cm="1">
        <f t="array" ref="BC20">SUM(_xlfn._xlws.FILTER(_xlfn._xlws.FILTER(dataGLBS,endDates=BC$5),dataGLBSAcctIDs=$C20))</f>
        <v>0</v>
      </c>
      <c r="BD20" s="352" cm="1">
        <f t="array" ref="BD20">SUM(_xlfn._xlws.FILTER(_xlfn._xlws.FILTER(dataGLBS,endDates=BD$5),dataGLBSAcctIDs=$C20))</f>
        <v>0</v>
      </c>
      <c r="BE20" s="352" cm="1">
        <f t="array" ref="BE20">SUM(_xlfn._xlws.FILTER(_xlfn._xlws.FILTER(dataGLBS,endDates=BE$5),dataGLBSAcctIDs=$C20))</f>
        <v>0</v>
      </c>
      <c r="BF20" s="352" cm="1">
        <f t="array" ref="BF20">SUM(_xlfn._xlws.FILTER(_xlfn._xlws.FILTER(dataGLBS,endDates=BF$5),dataGLBSAcctIDs=$C20))</f>
        <v>0</v>
      </c>
      <c r="BG20" s="352" cm="1">
        <f t="array" ref="BG20">SUM(_xlfn._xlws.FILTER(_xlfn._xlws.FILTER(dataGLBS,endDates=BG$5),dataGLBSAcctIDs=$C20))</f>
        <v>0</v>
      </c>
      <c r="BH20" s="352" cm="1">
        <f t="array" ref="BH20">SUM(_xlfn._xlws.FILTER(_xlfn._xlws.FILTER(dataGLBS,endDates=BH$5),dataGLBSAcctIDs=$C20))</f>
        <v>0</v>
      </c>
      <c r="BI20" s="352" cm="1">
        <f t="array" ref="BI20">SUM(_xlfn._xlws.FILTER(_xlfn._xlws.FILTER(dataGLBS,endDates=BI$5),dataGLBSAcctIDs=$C20))</f>
        <v>0</v>
      </c>
      <c r="BJ20" s="352" cm="1">
        <f t="array" ref="BJ20">SUM(_xlfn._xlws.FILTER(_xlfn._xlws.FILTER(dataGLBS,endDates=BJ$5),dataGLBSAcctIDs=$C20))</f>
        <v>0</v>
      </c>
      <c r="BK20" s="352" cm="1">
        <f t="array" ref="BK20">SUM(_xlfn._xlws.FILTER(_xlfn._xlws.FILTER(dataGLBS,endDates=BK$5),dataGLBSAcctIDs=$C20))</f>
        <v>0</v>
      </c>
      <c r="BL20" s="352" cm="1">
        <f t="array" ref="BL20">SUM(_xlfn._xlws.FILTER(_xlfn._xlws.FILTER(dataGLBS,endDates=BL$5),dataGLBSAcctIDs=$C20))</f>
        <v>0</v>
      </c>
      <c r="BM20" s="352" cm="1">
        <f t="array" ref="BM20">SUM(_xlfn._xlws.FILTER(_xlfn._xlws.FILTER(dataGLBS,endDates=BM$5),dataGLBSAcctIDs=$C20))</f>
        <v>0</v>
      </c>
      <c r="BN20" s="352" cm="1">
        <f t="array" ref="BN20">SUM(_xlfn._xlws.FILTER(_xlfn._xlws.FILTER(dataGLBS,endDates=BN$5),dataGLBSAcctIDs=$C20))</f>
        <v>0</v>
      </c>
      <c r="BO20" s="352" cm="1">
        <f t="array" ref="BO20">SUM(_xlfn._xlws.FILTER(_xlfn._xlws.FILTER(dataGLBS,endDates=BO$5),dataGLBSAcctIDs=$C20))</f>
        <v>0</v>
      </c>
      <c r="BP20" s="352" cm="1">
        <f t="array" ref="BP20">SUM(_xlfn._xlws.FILTER(_xlfn._xlws.FILTER(dataGLBS,endDates=BP$5),dataGLBSAcctIDs=$C20))</f>
        <v>0</v>
      </c>
      <c r="BQ20" s="352" cm="1">
        <f t="array" ref="BQ20">SUM(_xlfn._xlws.FILTER(_xlfn._xlws.FILTER(dataGLBS,endDates=BQ$5),dataGLBSAcctIDs=$C20))</f>
        <v>0</v>
      </c>
      <c r="BR20" s="352" cm="1">
        <f t="array" ref="BR20">SUM(_xlfn._xlws.FILTER(_xlfn._xlws.FILTER(dataGLBS,endDates=BR$5),dataGLBSAcctIDs=$C20))</f>
        <v>0</v>
      </c>
      <c r="BS20" s="352" cm="1">
        <f t="array" ref="BS20">SUM(_xlfn._xlws.FILTER(_xlfn._xlws.FILTER(dataGLBS,endDates=BS$5),dataGLBSAcctIDs=$C20))</f>
        <v>0</v>
      </c>
      <c r="BT20" s="352" cm="1">
        <f t="array" ref="BT20">SUM(_xlfn._xlws.FILTER(_xlfn._xlws.FILTER(dataGLBS,endDates=BT$5),dataGLBSAcctIDs=$C20))</f>
        <v>0</v>
      </c>
      <c r="BU20" s="352" cm="1">
        <f t="array" ref="BU20">SUM(_xlfn._xlws.FILTER(_xlfn._xlws.FILTER(dataGLBS,endDates=BU$5),dataGLBSAcctIDs=$C20))</f>
        <v>0</v>
      </c>
      <c r="BV20" s="352" cm="1">
        <f t="array" ref="BV20">SUM(_xlfn._xlws.FILTER(_xlfn._xlws.FILTER(dataGLBS,endDates=BV$5),dataGLBSAcctIDs=$C20))</f>
        <v>0</v>
      </c>
      <c r="BW20" s="352" cm="1">
        <f t="array" ref="BW20">SUM(_xlfn._xlws.FILTER(_xlfn._xlws.FILTER(dataGLBS,endDates=BW$5),dataGLBSAcctIDs=$C20))</f>
        <v>0</v>
      </c>
      <c r="BX20" s="352" cm="1">
        <f t="array" ref="BX20">SUM(_xlfn._xlws.FILTER(_xlfn._xlws.FILTER(dataGLBS,endDates=BX$5),dataGLBSAcctIDs=$C20))</f>
        <v>0</v>
      </c>
      <c r="BY20" s="352" cm="1">
        <f t="array" ref="BY20">SUM(_xlfn._xlws.FILTER(_xlfn._xlws.FILTER(dataGLBS,endDates=BY$5),dataGLBSAcctIDs=$C20))</f>
        <v>0</v>
      </c>
      <c r="BZ20" s="201"/>
    </row>
    <row r="21" spans="1:78" s="350" customFormat="1" ht="21" customHeight="1">
      <c r="A21" s="215"/>
      <c r="B21" s="623" t="s">
        <v>285</v>
      </c>
      <c r="C21" s="343">
        <v>42</v>
      </c>
      <c r="D21" s="215"/>
      <c r="E21" s="216"/>
      <c r="F21" s="352" cm="1">
        <f t="array" ref="F21">SUM(_xlfn._xlws.FILTER(_xlfn._xlws.FILTER(dataGLBS,endDates=F$5),dataGLBSAcctIDs=$C21))</f>
        <v>0</v>
      </c>
      <c r="G21" s="352" cm="1">
        <f t="array" ref="G21">SUM(_xlfn._xlws.FILTER(_xlfn._xlws.FILTER(dataGLBS,endDates=G$5),dataGLBSAcctIDs=$C21))</f>
        <v>0</v>
      </c>
      <c r="H21" s="352" cm="1">
        <f t="array" ref="H21">SUM(_xlfn._xlws.FILTER(_xlfn._xlws.FILTER(dataGLBS,endDates=H$5),dataGLBSAcctIDs=$C21))</f>
        <v>700</v>
      </c>
      <c r="I21" s="352" cm="1">
        <f t="array" ref="I21">SUM(_xlfn._xlws.FILTER(_xlfn._xlws.FILTER(dataGLBS,endDates=I$5),dataGLBSAcctIDs=$C21))</f>
        <v>700</v>
      </c>
      <c r="J21" s="344"/>
      <c r="K21" s="344"/>
      <c r="L21" s="352" cm="1">
        <f t="array" ref="L21">SUM(_xlfn._xlws.FILTER(_xlfn._xlws.FILTER(dataGLBS,endDates=L$5),dataGLBSAcctIDs=$C21))</f>
        <v>0</v>
      </c>
      <c r="M21" s="352" cm="1">
        <f t="array" ref="M21">SUM(_xlfn._xlws.FILTER(_xlfn._xlws.FILTER(dataGLBS,endDates=M$5),dataGLBSAcctIDs=$C21))</f>
        <v>0</v>
      </c>
      <c r="N21" s="352" cm="1">
        <f t="array" ref="N21">SUM(_xlfn._xlws.FILTER(_xlfn._xlws.FILTER(dataGLBS,endDates=N$5),dataGLBSAcctIDs=$C21))</f>
        <v>0</v>
      </c>
      <c r="O21" s="352" cm="1">
        <f t="array" ref="O21">SUM(_xlfn._xlws.FILTER(_xlfn._xlws.FILTER(dataGLBS,endDates=O$5),dataGLBSAcctIDs=$C21))</f>
        <v>0</v>
      </c>
      <c r="P21" s="352" cm="1">
        <f t="array" ref="P21">SUM(_xlfn._xlws.FILTER(_xlfn._xlws.FILTER(dataGLBS,endDates=P$5),dataGLBSAcctIDs=$C21))</f>
        <v>0</v>
      </c>
      <c r="Q21" s="352" cm="1">
        <f t="array" ref="Q21">SUM(_xlfn._xlws.FILTER(_xlfn._xlws.FILTER(dataGLBS,endDates=Q$5),dataGLBSAcctIDs=$C21))</f>
        <v>0</v>
      </c>
      <c r="R21" s="352" cm="1">
        <f t="array" ref="R21">SUM(_xlfn._xlws.FILTER(_xlfn._xlws.FILTER(dataGLBS,endDates=R$5),dataGLBSAcctIDs=$C21))</f>
        <v>0</v>
      </c>
      <c r="S21" s="352" cm="1">
        <f t="array" ref="S21">SUM(_xlfn._xlws.FILTER(_xlfn._xlws.FILTER(dataGLBS,endDates=S$5),dataGLBSAcctIDs=$C21))</f>
        <v>0</v>
      </c>
      <c r="T21" s="352" cm="1">
        <f t="array" ref="T21">SUM(_xlfn._xlws.FILTER(_xlfn._xlws.FILTER(dataGLBS,endDates=T$5),dataGLBSAcctIDs=$C21))</f>
        <v>0</v>
      </c>
      <c r="U21" s="352" cm="1">
        <f t="array" ref="U21">SUM(_xlfn._xlws.FILTER(_xlfn._xlws.FILTER(dataGLBS,endDates=U$5),dataGLBSAcctIDs=$C21))</f>
        <v>-300</v>
      </c>
      <c r="V21" s="352" cm="1">
        <f t="array" ref="V21">SUM(_xlfn._xlws.FILTER(_xlfn._xlws.FILTER(dataGLBS,endDates=V$5),dataGLBSAcctIDs=$C21))</f>
        <v>700</v>
      </c>
      <c r="W21" s="352" cm="1">
        <f t="array" ref="W21">SUM(_xlfn._xlws.FILTER(_xlfn._xlws.FILTER(dataGLBS,endDates=W$5),dataGLBSAcctIDs=$C21))</f>
        <v>700</v>
      </c>
      <c r="X21" s="352" cm="1">
        <f t="array" ref="X21">SUM(_xlfn._xlws.FILTER(_xlfn._xlws.FILTER(dataGLBS,endDates=X$5),dataGLBSAcctIDs=$C21))</f>
        <v>700</v>
      </c>
      <c r="Y21" s="352" cm="1">
        <f t="array" ref="Y21">SUM(_xlfn._xlws.FILTER(_xlfn._xlws.FILTER(dataGLBS,endDates=Y$5),dataGLBSAcctIDs=$C21))</f>
        <v>700</v>
      </c>
      <c r="Z21" s="352" cm="1">
        <f t="array" ref="Z21">SUM(_xlfn._xlws.FILTER(_xlfn._xlws.FILTER(dataGLBS,endDates=Z$5),dataGLBSAcctIDs=$C21))</f>
        <v>700</v>
      </c>
      <c r="AA21" s="352" cm="1">
        <f t="array" ref="AA21">SUM(_xlfn._xlws.FILTER(_xlfn._xlws.FILTER(dataGLBS,endDates=AA$5),dataGLBSAcctIDs=$C21))</f>
        <v>700</v>
      </c>
      <c r="AB21" s="215"/>
      <c r="AC21" s="344"/>
      <c r="AD21" s="352" cm="1">
        <f t="array" ref="AD21">SUM(_xlfn._xlws.FILTER(_xlfn._xlws.FILTER(dataGLBS,endDates=AD$5),dataGLBSAcctIDs=$C21))</f>
        <v>0</v>
      </c>
      <c r="AE21" s="352" cm="1">
        <f t="array" ref="AE21">SUM(_xlfn._xlws.FILTER(_xlfn._xlws.FILTER(dataGLBS,endDates=AE$5),dataGLBSAcctIDs=$C21))</f>
        <v>0</v>
      </c>
      <c r="AF21" s="352" cm="1">
        <f t="array" ref="AF21">SUM(_xlfn._xlws.FILTER(_xlfn._xlws.FILTER(dataGLBS,endDates=AF$5),dataGLBSAcctIDs=$C21))</f>
        <v>0</v>
      </c>
      <c r="AG21" s="352" cm="1">
        <f t="array" ref="AG21">SUM(_xlfn._xlws.FILTER(_xlfn._xlws.FILTER(dataGLBS,endDates=AG$5),dataGLBSAcctIDs=$C21))</f>
        <v>0</v>
      </c>
      <c r="AH21" s="352" cm="1">
        <f t="array" ref="AH21">SUM(_xlfn._xlws.FILTER(_xlfn._xlws.FILTER(dataGLBS,endDates=AH$5),dataGLBSAcctIDs=$C21))</f>
        <v>0</v>
      </c>
      <c r="AI21" s="352" cm="1">
        <f t="array" ref="AI21">SUM(_xlfn._xlws.FILTER(_xlfn._xlws.FILTER(dataGLBS,endDates=AI$5),dataGLBSAcctIDs=$C21))</f>
        <v>0</v>
      </c>
      <c r="AJ21" s="352" cm="1">
        <f t="array" ref="AJ21">SUM(_xlfn._xlws.FILTER(_xlfn._xlws.FILTER(dataGLBS,endDates=AJ$5),dataGLBSAcctIDs=$C21))</f>
        <v>0</v>
      </c>
      <c r="AK21" s="352" cm="1">
        <f t="array" ref="AK21">SUM(_xlfn._xlws.FILTER(_xlfn._xlws.FILTER(dataGLBS,endDates=AK$5),dataGLBSAcctIDs=$C21))</f>
        <v>0</v>
      </c>
      <c r="AL21" s="352" cm="1">
        <f t="array" ref="AL21">SUM(_xlfn._xlws.FILTER(_xlfn._xlws.FILTER(dataGLBS,endDates=AL$5),dataGLBSAcctIDs=$C21))</f>
        <v>0</v>
      </c>
      <c r="AM21" s="352" cm="1">
        <f t="array" ref="AM21">SUM(_xlfn._xlws.FILTER(_xlfn._xlws.FILTER(dataGLBS,endDates=AM$5),dataGLBSAcctIDs=$C21))</f>
        <v>0</v>
      </c>
      <c r="AN21" s="352" cm="1">
        <f t="array" ref="AN21">SUM(_xlfn._xlws.FILTER(_xlfn._xlws.FILTER(dataGLBS,endDates=AN$5),dataGLBSAcctIDs=$C21))</f>
        <v>0</v>
      </c>
      <c r="AO21" s="352" cm="1">
        <f t="array" ref="AO21">SUM(_xlfn._xlws.FILTER(_xlfn._xlws.FILTER(dataGLBS,endDates=AO$5),dataGLBSAcctIDs=$C21))</f>
        <v>0</v>
      </c>
      <c r="AP21" s="352" cm="1">
        <f t="array" ref="AP21">SUM(_xlfn._xlws.FILTER(_xlfn._xlws.FILTER(dataGLBS,endDates=AP$5),dataGLBSAcctIDs=$C21))</f>
        <v>0</v>
      </c>
      <c r="AQ21" s="352" cm="1">
        <f t="array" ref="AQ21">SUM(_xlfn._xlws.FILTER(_xlfn._xlws.FILTER(dataGLBS,endDates=AQ$5),dataGLBSAcctIDs=$C21))</f>
        <v>0</v>
      </c>
      <c r="AR21" s="352" cm="1">
        <f t="array" ref="AR21">SUM(_xlfn._xlws.FILTER(_xlfn._xlws.FILTER(dataGLBS,endDates=AR$5),dataGLBSAcctIDs=$C21))</f>
        <v>0</v>
      </c>
      <c r="AS21" s="352" cm="1">
        <f t="array" ref="AS21">SUM(_xlfn._xlws.FILTER(_xlfn._xlws.FILTER(dataGLBS,endDates=AS$5),dataGLBSAcctIDs=$C21))</f>
        <v>0</v>
      </c>
      <c r="AT21" s="352" cm="1">
        <f t="array" ref="AT21">SUM(_xlfn._xlws.FILTER(_xlfn._xlws.FILTER(dataGLBS,endDates=AT$5),dataGLBSAcctIDs=$C21))</f>
        <v>0</v>
      </c>
      <c r="AU21" s="352" cm="1">
        <f t="array" ref="AU21">SUM(_xlfn._xlws.FILTER(_xlfn._xlws.FILTER(dataGLBS,endDates=AU$5),dataGLBSAcctIDs=$C21))</f>
        <v>0</v>
      </c>
      <c r="AV21" s="352" cm="1">
        <f t="array" ref="AV21">SUM(_xlfn._xlws.FILTER(_xlfn._xlws.FILTER(dataGLBS,endDates=AV$5),dataGLBSAcctIDs=$C21))</f>
        <v>0</v>
      </c>
      <c r="AW21" s="352" cm="1">
        <f t="array" ref="AW21">SUM(_xlfn._xlws.FILTER(_xlfn._xlws.FILTER(dataGLBS,endDates=AW$5),dataGLBSAcctIDs=$C21))</f>
        <v>0</v>
      </c>
      <c r="AX21" s="352" cm="1">
        <f t="array" ref="AX21">SUM(_xlfn._xlws.FILTER(_xlfn._xlws.FILTER(dataGLBS,endDates=AX$5),dataGLBSAcctIDs=$C21))</f>
        <v>0</v>
      </c>
      <c r="AY21" s="352" cm="1">
        <f t="array" ref="AY21">SUM(_xlfn._xlws.FILTER(_xlfn._xlws.FILTER(dataGLBS,endDates=AY$5),dataGLBSAcctIDs=$C21))</f>
        <v>0</v>
      </c>
      <c r="AZ21" s="352" cm="1">
        <f t="array" ref="AZ21">SUM(_xlfn._xlws.FILTER(_xlfn._xlws.FILTER(dataGLBS,endDates=AZ$5),dataGLBSAcctIDs=$C21))</f>
        <v>0</v>
      </c>
      <c r="BA21" s="352" cm="1">
        <f t="array" ref="BA21">SUM(_xlfn._xlws.FILTER(_xlfn._xlws.FILTER(dataGLBS,endDates=BA$5),dataGLBSAcctIDs=$C21))</f>
        <v>0</v>
      </c>
      <c r="BB21" s="352" cm="1">
        <f t="array" ref="BB21">SUM(_xlfn._xlws.FILTER(_xlfn._xlws.FILTER(dataGLBS,endDates=BB$5),dataGLBSAcctIDs=$C21))</f>
        <v>0</v>
      </c>
      <c r="BC21" s="352" cm="1">
        <f t="array" ref="BC21">SUM(_xlfn._xlws.FILTER(_xlfn._xlws.FILTER(dataGLBS,endDates=BC$5),dataGLBSAcctIDs=$C21))</f>
        <v>0</v>
      </c>
      <c r="BD21" s="352" cm="1">
        <f t="array" ref="BD21">SUM(_xlfn._xlws.FILTER(_xlfn._xlws.FILTER(dataGLBS,endDates=BD$5),dataGLBSAcctIDs=$C21))</f>
        <v>0</v>
      </c>
      <c r="BE21" s="352" cm="1">
        <f t="array" ref="BE21">SUM(_xlfn._xlws.FILTER(_xlfn._xlws.FILTER(dataGLBS,endDates=BE$5),dataGLBSAcctIDs=$C21))</f>
        <v>0</v>
      </c>
      <c r="BF21" s="352" cm="1">
        <f t="array" ref="BF21">SUM(_xlfn._xlws.FILTER(_xlfn._xlws.FILTER(dataGLBS,endDates=BF$5),dataGLBSAcctIDs=$C21))</f>
        <v>0</v>
      </c>
      <c r="BG21" s="352" cm="1">
        <f t="array" ref="BG21">SUM(_xlfn._xlws.FILTER(_xlfn._xlws.FILTER(dataGLBS,endDates=BG$5),dataGLBSAcctIDs=$C21))</f>
        <v>-300</v>
      </c>
      <c r="BH21" s="352" cm="1">
        <f t="array" ref="BH21">SUM(_xlfn._xlws.FILTER(_xlfn._xlws.FILTER(dataGLBS,endDates=BH$5),dataGLBSAcctIDs=$C21))</f>
        <v>700</v>
      </c>
      <c r="BI21" s="352" cm="1">
        <f t="array" ref="BI21">SUM(_xlfn._xlws.FILTER(_xlfn._xlws.FILTER(dataGLBS,endDates=BI$5),dataGLBSAcctIDs=$C21))</f>
        <v>700</v>
      </c>
      <c r="BJ21" s="352" cm="1">
        <f t="array" ref="BJ21">SUM(_xlfn._xlws.FILTER(_xlfn._xlws.FILTER(dataGLBS,endDates=BJ$5),dataGLBSAcctIDs=$C21))</f>
        <v>700</v>
      </c>
      <c r="BK21" s="352" cm="1">
        <f t="array" ref="BK21">SUM(_xlfn._xlws.FILTER(_xlfn._xlws.FILTER(dataGLBS,endDates=BK$5),dataGLBSAcctIDs=$C21))</f>
        <v>700</v>
      </c>
      <c r="BL21" s="352" cm="1">
        <f t="array" ref="BL21">SUM(_xlfn._xlws.FILTER(_xlfn._xlws.FILTER(dataGLBS,endDates=BL$5),dataGLBSAcctIDs=$C21))</f>
        <v>700</v>
      </c>
      <c r="BM21" s="352" cm="1">
        <f t="array" ref="BM21">SUM(_xlfn._xlws.FILTER(_xlfn._xlws.FILTER(dataGLBS,endDates=BM$5),dataGLBSAcctIDs=$C21))</f>
        <v>700</v>
      </c>
      <c r="BN21" s="352" cm="1">
        <f t="array" ref="BN21">SUM(_xlfn._xlws.FILTER(_xlfn._xlws.FILTER(dataGLBS,endDates=BN$5),dataGLBSAcctIDs=$C21))</f>
        <v>700</v>
      </c>
      <c r="BO21" s="352" cm="1">
        <f t="array" ref="BO21">SUM(_xlfn._xlws.FILTER(_xlfn._xlws.FILTER(dataGLBS,endDates=BO$5),dataGLBSAcctIDs=$C21))</f>
        <v>700</v>
      </c>
      <c r="BP21" s="352" cm="1">
        <f t="array" ref="BP21">SUM(_xlfn._xlws.FILTER(_xlfn._xlws.FILTER(dataGLBS,endDates=BP$5),dataGLBSAcctIDs=$C21))</f>
        <v>700</v>
      </c>
      <c r="BQ21" s="352" cm="1">
        <f t="array" ref="BQ21">SUM(_xlfn._xlws.FILTER(_xlfn._xlws.FILTER(dataGLBS,endDates=BQ$5),dataGLBSAcctIDs=$C21))</f>
        <v>700</v>
      </c>
      <c r="BR21" s="352" cm="1">
        <f t="array" ref="BR21">SUM(_xlfn._xlws.FILTER(_xlfn._xlws.FILTER(dataGLBS,endDates=BR$5),dataGLBSAcctIDs=$C21))</f>
        <v>700</v>
      </c>
      <c r="BS21" s="352" cm="1">
        <f t="array" ref="BS21">SUM(_xlfn._xlws.FILTER(_xlfn._xlws.FILTER(dataGLBS,endDates=BS$5),dataGLBSAcctIDs=$C21))</f>
        <v>700</v>
      </c>
      <c r="BT21" s="352" cm="1">
        <f t="array" ref="BT21">SUM(_xlfn._xlws.FILTER(_xlfn._xlws.FILTER(dataGLBS,endDates=BT$5),dataGLBSAcctIDs=$C21))</f>
        <v>700</v>
      </c>
      <c r="BU21" s="352" cm="1">
        <f t="array" ref="BU21">SUM(_xlfn._xlws.FILTER(_xlfn._xlws.FILTER(dataGLBS,endDates=BU$5),dataGLBSAcctIDs=$C21))</f>
        <v>700</v>
      </c>
      <c r="BV21" s="352" cm="1">
        <f t="array" ref="BV21">SUM(_xlfn._xlws.FILTER(_xlfn._xlws.FILTER(dataGLBS,endDates=BV$5),dataGLBSAcctIDs=$C21))</f>
        <v>700</v>
      </c>
      <c r="BW21" s="352" cm="1">
        <f t="array" ref="BW21">SUM(_xlfn._xlws.FILTER(_xlfn._xlws.FILTER(dataGLBS,endDates=BW$5),dataGLBSAcctIDs=$C21))</f>
        <v>700</v>
      </c>
      <c r="BX21" s="352" cm="1">
        <f t="array" ref="BX21">SUM(_xlfn._xlws.FILTER(_xlfn._xlws.FILTER(dataGLBS,endDates=BX$5),dataGLBSAcctIDs=$C21))</f>
        <v>700</v>
      </c>
      <c r="BY21" s="352" cm="1">
        <f t="array" ref="BY21">SUM(_xlfn._xlws.FILTER(_xlfn._xlws.FILTER(dataGLBS,endDates=BY$5),dataGLBSAcctIDs=$C21))</f>
        <v>700</v>
      </c>
      <c r="BZ21" s="201"/>
    </row>
    <row r="22" spans="1:78" s="350" customFormat="1" ht="21" customHeight="1">
      <c r="A22" s="215"/>
      <c r="B22" s="348" t="s">
        <v>286</v>
      </c>
      <c r="C22" s="343" t="s">
        <v>287</v>
      </c>
      <c r="D22" s="215"/>
      <c r="E22" s="216"/>
      <c r="F22" s="351">
        <f t="shared" ref="F22:I22" si="15">_xlfn.AGGREGATE(9,0, F$17:F$21)</f>
        <v>26119.5</v>
      </c>
      <c r="G22" s="351">
        <f t="shared" si="15"/>
        <v>26119.5</v>
      </c>
      <c r="H22" s="351">
        <f t="shared" si="15"/>
        <v>19969.5</v>
      </c>
      <c r="I22" s="351">
        <f t="shared" si="15"/>
        <v>19969.5</v>
      </c>
      <c r="J22" s="344"/>
      <c r="K22" s="344"/>
      <c r="L22" s="351">
        <f t="shared" ref="L22:AA22" si="16">_xlfn.AGGREGATE(9,0, L$17:L$21)</f>
        <v>25623.5</v>
      </c>
      <c r="M22" s="351">
        <f t="shared" si="16"/>
        <v>31402</v>
      </c>
      <c r="N22" s="351">
        <f t="shared" si="16"/>
        <v>31222.5</v>
      </c>
      <c r="O22" s="351">
        <f t="shared" si="16"/>
        <v>26119.5</v>
      </c>
      <c r="P22" s="351">
        <f t="shared" si="16"/>
        <v>26119.5</v>
      </c>
      <c r="Q22" s="351">
        <f t="shared" si="16"/>
        <v>26119.5</v>
      </c>
      <c r="R22" s="351">
        <f t="shared" si="16"/>
        <v>26119.5</v>
      </c>
      <c r="S22" s="351">
        <f t="shared" si="16"/>
        <v>26119.5</v>
      </c>
      <c r="T22" s="351">
        <f t="shared" si="16"/>
        <v>26119.5</v>
      </c>
      <c r="U22" s="351">
        <f t="shared" si="16"/>
        <v>25819.5</v>
      </c>
      <c r="V22" s="351">
        <f t="shared" si="16"/>
        <v>25019.5</v>
      </c>
      <c r="W22" s="351">
        <f t="shared" si="16"/>
        <v>19969.5</v>
      </c>
      <c r="X22" s="351">
        <f t="shared" si="16"/>
        <v>19969.5</v>
      </c>
      <c r="Y22" s="351">
        <f t="shared" si="16"/>
        <v>19969.5</v>
      </c>
      <c r="Z22" s="351">
        <f t="shared" si="16"/>
        <v>19969.5</v>
      </c>
      <c r="AA22" s="351">
        <f t="shared" si="16"/>
        <v>19969.5</v>
      </c>
      <c r="AB22" s="215"/>
      <c r="AC22" s="344"/>
      <c r="AD22" s="351">
        <f>_xlfn.AGGREGATE(9,0, AD$17:AD$21)</f>
        <v>28970</v>
      </c>
      <c r="AE22" s="351">
        <f t="shared" ref="AE22:BY22" si="17">_xlfn.AGGREGATE(9,0, AE$17:AE$21)</f>
        <v>26333.5</v>
      </c>
      <c r="AF22" s="351">
        <f t="shared" si="17"/>
        <v>25623.5</v>
      </c>
      <c r="AG22" s="351">
        <f t="shared" si="17"/>
        <v>31437.5</v>
      </c>
      <c r="AH22" s="351">
        <f t="shared" si="17"/>
        <v>26713</v>
      </c>
      <c r="AI22" s="351">
        <f t="shared" si="17"/>
        <v>31402</v>
      </c>
      <c r="AJ22" s="351">
        <f t="shared" si="17"/>
        <v>27773.5</v>
      </c>
      <c r="AK22" s="351">
        <f t="shared" si="17"/>
        <v>30752.5</v>
      </c>
      <c r="AL22" s="351">
        <f t="shared" si="17"/>
        <v>31222.5</v>
      </c>
      <c r="AM22" s="351">
        <f t="shared" si="17"/>
        <v>26119.5</v>
      </c>
      <c r="AN22" s="351">
        <f t="shared" si="17"/>
        <v>26119.5</v>
      </c>
      <c r="AO22" s="351">
        <f t="shared" si="17"/>
        <v>26119.5</v>
      </c>
      <c r="AP22" s="351">
        <f t="shared" si="17"/>
        <v>26119.5</v>
      </c>
      <c r="AQ22" s="351">
        <f t="shared" si="17"/>
        <v>26119.5</v>
      </c>
      <c r="AR22" s="351">
        <f t="shared" si="17"/>
        <v>26119.5</v>
      </c>
      <c r="AS22" s="351">
        <f t="shared" si="17"/>
        <v>26119.5</v>
      </c>
      <c r="AT22" s="351">
        <f t="shared" si="17"/>
        <v>26119.5</v>
      </c>
      <c r="AU22" s="351">
        <f t="shared" si="17"/>
        <v>26119.5</v>
      </c>
      <c r="AV22" s="351">
        <f t="shared" si="17"/>
        <v>26119.5</v>
      </c>
      <c r="AW22" s="351">
        <f t="shared" si="17"/>
        <v>26119.5</v>
      </c>
      <c r="AX22" s="351">
        <f t="shared" si="17"/>
        <v>26119.5</v>
      </c>
      <c r="AY22" s="351">
        <f t="shared" si="17"/>
        <v>26119.5</v>
      </c>
      <c r="AZ22" s="351">
        <f t="shared" si="17"/>
        <v>26119.5</v>
      </c>
      <c r="BA22" s="351">
        <f t="shared" si="17"/>
        <v>26119.5</v>
      </c>
      <c r="BB22" s="351">
        <f t="shared" si="17"/>
        <v>26119.5</v>
      </c>
      <c r="BC22" s="351">
        <f t="shared" si="17"/>
        <v>26119.5</v>
      </c>
      <c r="BD22" s="351">
        <f t="shared" si="17"/>
        <v>26119.5</v>
      </c>
      <c r="BE22" s="351">
        <f t="shared" si="17"/>
        <v>26119.5</v>
      </c>
      <c r="BF22" s="351">
        <f t="shared" si="17"/>
        <v>26119.5</v>
      </c>
      <c r="BG22" s="351">
        <f t="shared" si="17"/>
        <v>25819.5</v>
      </c>
      <c r="BH22" s="351">
        <f t="shared" si="17"/>
        <v>25019.5</v>
      </c>
      <c r="BI22" s="351">
        <f t="shared" si="17"/>
        <v>25019.5</v>
      </c>
      <c r="BJ22" s="351">
        <f t="shared" si="17"/>
        <v>25019.5</v>
      </c>
      <c r="BK22" s="351">
        <f t="shared" si="17"/>
        <v>25019.5</v>
      </c>
      <c r="BL22" s="351">
        <f t="shared" si="17"/>
        <v>19969.5</v>
      </c>
      <c r="BM22" s="351">
        <f t="shared" si="17"/>
        <v>19969.5</v>
      </c>
      <c r="BN22" s="351">
        <f t="shared" si="17"/>
        <v>19969.5</v>
      </c>
      <c r="BO22" s="351">
        <f t="shared" si="17"/>
        <v>19969.5</v>
      </c>
      <c r="BP22" s="351">
        <f t="shared" si="17"/>
        <v>19969.5</v>
      </c>
      <c r="BQ22" s="351">
        <f t="shared" si="17"/>
        <v>19969.5</v>
      </c>
      <c r="BR22" s="351">
        <f t="shared" si="17"/>
        <v>19969.5</v>
      </c>
      <c r="BS22" s="351">
        <f t="shared" si="17"/>
        <v>19969.5</v>
      </c>
      <c r="BT22" s="351">
        <f t="shared" si="17"/>
        <v>19969.5</v>
      </c>
      <c r="BU22" s="351">
        <f t="shared" si="17"/>
        <v>19969.5</v>
      </c>
      <c r="BV22" s="351">
        <f t="shared" si="17"/>
        <v>19969.5</v>
      </c>
      <c r="BW22" s="351">
        <f t="shared" si="17"/>
        <v>19969.5</v>
      </c>
      <c r="BX22" s="351">
        <f t="shared" si="17"/>
        <v>19969.5</v>
      </c>
      <c r="BY22" s="351">
        <f t="shared" si="17"/>
        <v>19969.5</v>
      </c>
      <c r="BZ22" s="201"/>
    </row>
    <row r="23" spans="1:78" s="350" customFormat="1" ht="21" customHeight="1">
      <c r="A23" s="215"/>
      <c r="B23" s="342" t="s">
        <v>288</v>
      </c>
      <c r="C23" s="343" t="s">
        <v>289</v>
      </c>
      <c r="D23" s="215"/>
      <c r="E23" s="216"/>
      <c r="F23" s="346">
        <f t="shared" ref="F23:I23" si="18">_xlfn.AGGREGATE(9,0, F$10:F$22)</f>
        <v>8630289.5</v>
      </c>
      <c r="G23" s="346">
        <f t="shared" si="18"/>
        <v>5568398.5</v>
      </c>
      <c r="H23" s="346">
        <f t="shared" si="18"/>
        <v>1360447.751009091</v>
      </c>
      <c r="I23" s="346">
        <f t="shared" si="18"/>
        <v>-1419004.1823828642</v>
      </c>
      <c r="J23" s="344"/>
      <c r="K23" s="344"/>
      <c r="L23" s="346">
        <f t="shared" ref="L23:AA23" si="19">_xlfn.AGGREGATE(9,0, L$10:L$22)</f>
        <v>1690660.5</v>
      </c>
      <c r="M23" s="346">
        <f t="shared" si="19"/>
        <v>4337708</v>
      </c>
      <c r="N23" s="346">
        <f t="shared" si="19"/>
        <v>4082507.5</v>
      </c>
      <c r="O23" s="346">
        <f t="shared" si="19"/>
        <v>8630289.5</v>
      </c>
      <c r="P23" s="346">
        <f t="shared" si="19"/>
        <v>8076787.5</v>
      </c>
      <c r="Q23" s="346">
        <f t="shared" si="19"/>
        <v>7384805.5</v>
      </c>
      <c r="R23" s="346">
        <f t="shared" si="19"/>
        <v>6509140.5</v>
      </c>
      <c r="S23" s="346">
        <f t="shared" si="19"/>
        <v>5568398.5</v>
      </c>
      <c r="T23" s="346">
        <f t="shared" si="19"/>
        <v>4497144.2299999995</v>
      </c>
      <c r="U23" s="346">
        <f t="shared" si="19"/>
        <v>3283202.3499999996</v>
      </c>
      <c r="V23" s="346">
        <f t="shared" si="19"/>
        <v>1909688.7</v>
      </c>
      <c r="W23" s="346">
        <f t="shared" si="19"/>
        <v>1360447.751009091</v>
      </c>
      <c r="X23" s="346">
        <f t="shared" si="19"/>
        <v>753968.04778743605</v>
      </c>
      <c r="Y23" s="346">
        <f t="shared" si="19"/>
        <v>70846.829930825552</v>
      </c>
      <c r="Z23" s="346">
        <f t="shared" si="19"/>
        <v>-652194.79362152971</v>
      </c>
      <c r="AA23" s="346">
        <f t="shared" si="19"/>
        <v>-1419004.1823828642</v>
      </c>
      <c r="AB23" s="215"/>
      <c r="AC23" s="344"/>
      <c r="AD23" s="346">
        <f>_xlfn.AGGREGATE(9,0, AD$10:AD$22)</f>
        <v>1864724</v>
      </c>
      <c r="AE23" s="346">
        <f t="shared" ref="AE23:BY23" si="20">_xlfn.AGGREGATE(9,0, AE$10:AE$22)</f>
        <v>1786866.5</v>
      </c>
      <c r="AF23" s="346">
        <f t="shared" si="20"/>
        <v>1690660.5</v>
      </c>
      <c r="AG23" s="346">
        <f t="shared" si="20"/>
        <v>1534465.5</v>
      </c>
      <c r="AH23" s="346">
        <f t="shared" si="20"/>
        <v>1448637</v>
      </c>
      <c r="AI23" s="346">
        <f t="shared" si="20"/>
        <v>4337708</v>
      </c>
      <c r="AJ23" s="346">
        <f t="shared" si="20"/>
        <v>4258293.5</v>
      </c>
      <c r="AK23" s="346">
        <f t="shared" si="20"/>
        <v>4163950.5</v>
      </c>
      <c r="AL23" s="346">
        <f t="shared" si="20"/>
        <v>4082507.5</v>
      </c>
      <c r="AM23" s="346">
        <f t="shared" si="20"/>
        <v>5992473.5</v>
      </c>
      <c r="AN23" s="346">
        <f t="shared" si="20"/>
        <v>6862557.5</v>
      </c>
      <c r="AO23" s="346">
        <f t="shared" si="20"/>
        <v>8630289.5</v>
      </c>
      <c r="AP23" s="346">
        <f t="shared" si="20"/>
        <v>8449823.5</v>
      </c>
      <c r="AQ23" s="346">
        <f t="shared" si="20"/>
        <v>8220600.5</v>
      </c>
      <c r="AR23" s="346">
        <f t="shared" si="20"/>
        <v>8076787.5</v>
      </c>
      <c r="AS23" s="346">
        <f t="shared" si="20"/>
        <v>7811080.5</v>
      </c>
      <c r="AT23" s="346">
        <f t="shared" si="20"/>
        <v>7660269.5</v>
      </c>
      <c r="AU23" s="346">
        <f t="shared" si="20"/>
        <v>7384805.5</v>
      </c>
      <c r="AV23" s="346">
        <f t="shared" si="20"/>
        <v>7096877.5</v>
      </c>
      <c r="AW23" s="346">
        <f t="shared" si="20"/>
        <v>6809296.5</v>
      </c>
      <c r="AX23" s="346">
        <f t="shared" si="20"/>
        <v>6509140.5</v>
      </c>
      <c r="AY23" s="346">
        <f t="shared" si="20"/>
        <v>6208869.5</v>
      </c>
      <c r="AZ23" s="346">
        <f t="shared" si="20"/>
        <v>5895541.5</v>
      </c>
      <c r="BA23" s="346">
        <f t="shared" si="20"/>
        <v>5568398.5</v>
      </c>
      <c r="BB23" s="346">
        <f t="shared" si="20"/>
        <v>5226763.2299999995</v>
      </c>
      <c r="BC23" s="346">
        <f t="shared" si="20"/>
        <v>4869939.2299999995</v>
      </c>
      <c r="BD23" s="346">
        <f t="shared" si="20"/>
        <v>4497144.2299999995</v>
      </c>
      <c r="BE23" s="346">
        <f t="shared" si="20"/>
        <v>4107588.23</v>
      </c>
      <c r="BF23" s="346">
        <f t="shared" si="20"/>
        <v>3700432.23</v>
      </c>
      <c r="BG23" s="346">
        <f t="shared" si="20"/>
        <v>3283202.3499999996</v>
      </c>
      <c r="BH23" s="346">
        <f t="shared" si="20"/>
        <v>2843872.59</v>
      </c>
      <c r="BI23" s="346">
        <f t="shared" si="20"/>
        <v>2378474.1399999997</v>
      </c>
      <c r="BJ23" s="346">
        <f t="shared" si="20"/>
        <v>1909688.7</v>
      </c>
      <c r="BK23" s="346">
        <f t="shared" si="20"/>
        <v>1410448.33</v>
      </c>
      <c r="BL23" s="346">
        <f t="shared" si="20"/>
        <v>888081.24</v>
      </c>
      <c r="BM23" s="346">
        <f t="shared" si="20"/>
        <v>1360447.751009091</v>
      </c>
      <c r="BN23" s="346">
        <f t="shared" si="20"/>
        <v>1157725.9445014361</v>
      </c>
      <c r="BO23" s="346">
        <f t="shared" si="20"/>
        <v>946375.63015326345</v>
      </c>
      <c r="BP23" s="346">
        <f t="shared" si="20"/>
        <v>753968.04778743605</v>
      </c>
      <c r="BQ23" s="346">
        <f t="shared" si="20"/>
        <v>540033.12136957853</v>
      </c>
      <c r="BR23" s="346">
        <f t="shared" si="20"/>
        <v>300271.87280449527</v>
      </c>
      <c r="BS23" s="346">
        <f t="shared" si="20"/>
        <v>70846.829930825552</v>
      </c>
      <c r="BT23" s="346">
        <f t="shared" si="20"/>
        <v>-165554.88643821474</v>
      </c>
      <c r="BU23" s="346">
        <f t="shared" si="20"/>
        <v>-407009.59637953027</v>
      </c>
      <c r="BV23" s="346">
        <f t="shared" si="20"/>
        <v>-652194.79362152971</v>
      </c>
      <c r="BW23" s="346">
        <f t="shared" si="20"/>
        <v>-900904.05731980898</v>
      </c>
      <c r="BX23" s="346">
        <f t="shared" si="20"/>
        <v>-1153001.6509452418</v>
      </c>
      <c r="BY23" s="346">
        <f t="shared" si="20"/>
        <v>-1419004.1823828642</v>
      </c>
      <c r="BZ23" s="201"/>
    </row>
    <row r="24" spans="1:78" s="350" customFormat="1" ht="21" customHeight="1">
      <c r="A24" s="215"/>
      <c r="B24" s="342" t="s">
        <v>139</v>
      </c>
      <c r="C24" s="343" t="s">
        <v>139</v>
      </c>
      <c r="D24" s="215"/>
      <c r="E24" s="216"/>
      <c r="F24" s="346"/>
      <c r="G24" s="346"/>
      <c r="H24" s="346"/>
      <c r="I24" s="346"/>
      <c r="J24" s="344"/>
      <c r="K24" s="344"/>
      <c r="L24" s="346"/>
      <c r="M24" s="346"/>
      <c r="N24" s="346"/>
      <c r="O24" s="346"/>
      <c r="P24" s="346"/>
      <c r="Q24" s="346"/>
      <c r="R24" s="346"/>
      <c r="S24" s="346"/>
      <c r="T24" s="346"/>
      <c r="U24" s="346"/>
      <c r="V24" s="346"/>
      <c r="W24" s="346"/>
      <c r="X24" s="346"/>
      <c r="Y24" s="346"/>
      <c r="Z24" s="346"/>
      <c r="AA24" s="346"/>
      <c r="AB24" s="215"/>
      <c r="AC24" s="344"/>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201"/>
    </row>
    <row r="25" spans="1:78" s="350" customFormat="1" ht="21" customHeight="1">
      <c r="A25" s="215"/>
      <c r="B25" s="622" t="s">
        <v>290</v>
      </c>
      <c r="C25" s="343">
        <v>152</v>
      </c>
      <c r="D25" s="215"/>
      <c r="E25" s="216"/>
      <c r="F25" s="347" cm="1">
        <f t="array" ref="F25">SUM(_xlfn._xlws.FILTER(_xlfn._xlws.FILTER(dataGLBS,endDates=F$5),dataGLBSAcctIDs=$C25))</f>
        <v>10000</v>
      </c>
      <c r="G25" s="347" cm="1">
        <f t="array" ref="G25">SUM(_xlfn._xlws.FILTER(_xlfn._xlws.FILTER(dataGLBS,endDates=G$5),dataGLBSAcctIDs=$C25))</f>
        <v>15000</v>
      </c>
      <c r="H25" s="347" cm="1">
        <f t="array" ref="H25">SUM(_xlfn._xlws.FILTER(_xlfn._xlws.FILTER(dataGLBS,endDates=H$5),dataGLBSAcctIDs=$C25))</f>
        <v>35000</v>
      </c>
      <c r="I25" s="347" cm="1">
        <f t="array" ref="I25">SUM(_xlfn._xlws.FILTER(_xlfn._xlws.FILTER(dataGLBS,endDates=I$5),dataGLBSAcctIDs=$C25))</f>
        <v>35000</v>
      </c>
      <c r="J25" s="344"/>
      <c r="K25" s="344"/>
      <c r="L25" s="347" cm="1">
        <f t="array" ref="L25">SUM(_xlfn._xlws.FILTER(_xlfn._xlws.FILTER(dataGLBS,endDates=L$5),dataGLBSAcctIDs=$C25))</f>
        <v>5000</v>
      </c>
      <c r="M25" s="347" cm="1">
        <f t="array" ref="M25">SUM(_xlfn._xlws.FILTER(_xlfn._xlws.FILTER(dataGLBS,endDates=M$5),dataGLBSAcctIDs=$C25))</f>
        <v>7500</v>
      </c>
      <c r="N25" s="347" cm="1">
        <f t="array" ref="N25">SUM(_xlfn._xlws.FILTER(_xlfn._xlws.FILTER(dataGLBS,endDates=N$5),dataGLBSAcctIDs=$C25))</f>
        <v>10000</v>
      </c>
      <c r="O25" s="347" cm="1">
        <f t="array" ref="O25">SUM(_xlfn._xlws.FILTER(_xlfn._xlws.FILTER(dataGLBS,endDates=O$5),dataGLBSAcctIDs=$C25))</f>
        <v>10000</v>
      </c>
      <c r="P25" s="347" cm="1">
        <f t="array" ref="P25">SUM(_xlfn._xlws.FILTER(_xlfn._xlws.FILTER(dataGLBS,endDates=P$5),dataGLBSAcctIDs=$C25))</f>
        <v>15000</v>
      </c>
      <c r="Q25" s="347" cm="1">
        <f t="array" ref="Q25">SUM(_xlfn._xlws.FILTER(_xlfn._xlws.FILTER(dataGLBS,endDates=Q$5),dataGLBSAcctIDs=$C25))</f>
        <v>15000</v>
      </c>
      <c r="R25" s="347" cm="1">
        <f t="array" ref="R25">SUM(_xlfn._xlws.FILTER(_xlfn._xlws.FILTER(dataGLBS,endDates=R$5),dataGLBSAcctIDs=$C25))</f>
        <v>15000</v>
      </c>
      <c r="S25" s="347" cm="1">
        <f t="array" ref="S25">SUM(_xlfn._xlws.FILTER(_xlfn._xlws.FILTER(dataGLBS,endDates=S$5),dataGLBSAcctIDs=$C25))</f>
        <v>15000</v>
      </c>
      <c r="T25" s="347" cm="1">
        <f t="array" ref="T25">SUM(_xlfn._xlws.FILTER(_xlfn._xlws.FILTER(dataGLBS,endDates=T$5),dataGLBSAcctIDs=$C25))</f>
        <v>15000</v>
      </c>
      <c r="U25" s="347" cm="1">
        <f t="array" ref="U25">SUM(_xlfn._xlws.FILTER(_xlfn._xlws.FILTER(dataGLBS,endDates=U$5),dataGLBSAcctIDs=$C25))</f>
        <v>15000</v>
      </c>
      <c r="V25" s="347" cm="1">
        <f t="array" ref="V25">SUM(_xlfn._xlws.FILTER(_xlfn._xlws.FILTER(dataGLBS,endDates=V$5),dataGLBSAcctIDs=$C25))</f>
        <v>15000</v>
      </c>
      <c r="W25" s="347" cm="1">
        <f t="array" ref="W25">SUM(_xlfn._xlws.FILTER(_xlfn._xlws.FILTER(dataGLBS,endDates=W$5),dataGLBSAcctIDs=$C25))</f>
        <v>35000</v>
      </c>
      <c r="X25" s="347" cm="1">
        <f t="array" ref="X25">SUM(_xlfn._xlws.FILTER(_xlfn._xlws.FILTER(dataGLBS,endDates=X$5),dataGLBSAcctIDs=$C25))</f>
        <v>35000</v>
      </c>
      <c r="Y25" s="347" cm="1">
        <f t="array" ref="Y25">SUM(_xlfn._xlws.FILTER(_xlfn._xlws.FILTER(dataGLBS,endDates=Y$5),dataGLBSAcctIDs=$C25))</f>
        <v>35000</v>
      </c>
      <c r="Z25" s="347" cm="1">
        <f t="array" ref="Z25">SUM(_xlfn._xlws.FILTER(_xlfn._xlws.FILTER(dataGLBS,endDates=Z$5),dataGLBSAcctIDs=$C25))</f>
        <v>35000</v>
      </c>
      <c r="AA25" s="347" cm="1">
        <f t="array" ref="AA25">SUM(_xlfn._xlws.FILTER(_xlfn._xlws.FILTER(dataGLBS,endDates=AA$5),dataGLBSAcctIDs=$C25))</f>
        <v>35000</v>
      </c>
      <c r="AB25" s="215"/>
      <c r="AC25" s="344"/>
      <c r="AD25" s="347" cm="1">
        <f t="array" ref="AD25">SUM(_xlfn._xlws.FILTER(_xlfn._xlws.FILTER(dataGLBS,endDates=AD$5),dataGLBSAcctIDs=$C25))</f>
        <v>2500</v>
      </c>
      <c r="AE25" s="347" cm="1">
        <f t="array" ref="AE25">SUM(_xlfn._xlws.FILTER(_xlfn._xlws.FILTER(dataGLBS,endDates=AE$5),dataGLBSAcctIDs=$C25))</f>
        <v>2500</v>
      </c>
      <c r="AF25" s="347" cm="1">
        <f t="array" ref="AF25">SUM(_xlfn._xlws.FILTER(_xlfn._xlws.FILTER(dataGLBS,endDates=AF$5),dataGLBSAcctIDs=$C25))</f>
        <v>5000</v>
      </c>
      <c r="AG25" s="347" cm="1">
        <f t="array" ref="AG25">SUM(_xlfn._xlws.FILTER(_xlfn._xlws.FILTER(dataGLBS,endDates=AG$5),dataGLBSAcctIDs=$C25))</f>
        <v>5000</v>
      </c>
      <c r="AH25" s="347" cm="1">
        <f t="array" ref="AH25">SUM(_xlfn._xlws.FILTER(_xlfn._xlws.FILTER(dataGLBS,endDates=AH$5),dataGLBSAcctIDs=$C25))</f>
        <v>7500</v>
      </c>
      <c r="AI25" s="347" cm="1">
        <f t="array" ref="AI25">SUM(_xlfn._xlws.FILTER(_xlfn._xlws.FILTER(dataGLBS,endDates=AI$5),dataGLBSAcctIDs=$C25))</f>
        <v>7500</v>
      </c>
      <c r="AJ25" s="347" cm="1">
        <f t="array" ref="AJ25">SUM(_xlfn._xlws.FILTER(_xlfn._xlws.FILTER(dataGLBS,endDates=AJ$5),dataGLBSAcctIDs=$C25))</f>
        <v>7500</v>
      </c>
      <c r="AK25" s="347" cm="1">
        <f t="array" ref="AK25">SUM(_xlfn._xlws.FILTER(_xlfn._xlws.FILTER(dataGLBS,endDates=AK$5),dataGLBSAcctIDs=$C25))</f>
        <v>10000</v>
      </c>
      <c r="AL25" s="347" cm="1">
        <f t="array" ref="AL25">SUM(_xlfn._xlws.FILTER(_xlfn._xlws.FILTER(dataGLBS,endDates=AL$5),dataGLBSAcctIDs=$C25))</f>
        <v>10000</v>
      </c>
      <c r="AM25" s="347" cm="1">
        <f t="array" ref="AM25">SUM(_xlfn._xlws.FILTER(_xlfn._xlws.FILTER(dataGLBS,endDates=AM$5),dataGLBSAcctIDs=$C25))</f>
        <v>10000</v>
      </c>
      <c r="AN25" s="347" cm="1">
        <f t="array" ref="AN25">SUM(_xlfn._xlws.FILTER(_xlfn._xlws.FILTER(dataGLBS,endDates=AN$5),dataGLBSAcctIDs=$C25))</f>
        <v>10000</v>
      </c>
      <c r="AO25" s="347" cm="1">
        <f t="array" ref="AO25">SUM(_xlfn._xlws.FILTER(_xlfn._xlws.FILTER(dataGLBS,endDates=AO$5),dataGLBSAcctIDs=$C25))</f>
        <v>10000</v>
      </c>
      <c r="AP25" s="347" cm="1">
        <f t="array" ref="AP25">SUM(_xlfn._xlws.FILTER(_xlfn._xlws.FILTER(dataGLBS,endDates=AP$5),dataGLBSAcctIDs=$C25))</f>
        <v>15000</v>
      </c>
      <c r="AQ25" s="347" cm="1">
        <f t="array" ref="AQ25">SUM(_xlfn._xlws.FILTER(_xlfn._xlws.FILTER(dataGLBS,endDates=AQ$5),dataGLBSAcctIDs=$C25))</f>
        <v>15000</v>
      </c>
      <c r="AR25" s="347" cm="1">
        <f t="array" ref="AR25">SUM(_xlfn._xlws.FILTER(_xlfn._xlws.FILTER(dataGLBS,endDates=AR$5),dataGLBSAcctIDs=$C25))</f>
        <v>15000</v>
      </c>
      <c r="AS25" s="347" cm="1">
        <f t="array" ref="AS25">SUM(_xlfn._xlws.FILTER(_xlfn._xlws.FILTER(dataGLBS,endDates=AS$5),dataGLBSAcctIDs=$C25))</f>
        <v>15000</v>
      </c>
      <c r="AT25" s="347" cm="1">
        <f t="array" ref="AT25">SUM(_xlfn._xlws.FILTER(_xlfn._xlws.FILTER(dataGLBS,endDates=AT$5),dataGLBSAcctIDs=$C25))</f>
        <v>15000</v>
      </c>
      <c r="AU25" s="347" cm="1">
        <f t="array" ref="AU25">SUM(_xlfn._xlws.FILTER(_xlfn._xlws.FILTER(dataGLBS,endDates=AU$5),dataGLBSAcctIDs=$C25))</f>
        <v>15000</v>
      </c>
      <c r="AV25" s="347" cm="1">
        <f t="array" ref="AV25">SUM(_xlfn._xlws.FILTER(_xlfn._xlws.FILTER(dataGLBS,endDates=AV$5),dataGLBSAcctIDs=$C25))</f>
        <v>15000</v>
      </c>
      <c r="AW25" s="347" cm="1">
        <f t="array" ref="AW25">SUM(_xlfn._xlws.FILTER(_xlfn._xlws.FILTER(dataGLBS,endDates=AW$5),dataGLBSAcctIDs=$C25))</f>
        <v>15000</v>
      </c>
      <c r="AX25" s="347" cm="1">
        <f t="array" ref="AX25">SUM(_xlfn._xlws.FILTER(_xlfn._xlws.FILTER(dataGLBS,endDates=AX$5),dataGLBSAcctIDs=$C25))</f>
        <v>15000</v>
      </c>
      <c r="AY25" s="347" cm="1">
        <f t="array" ref="AY25">SUM(_xlfn._xlws.FILTER(_xlfn._xlws.FILTER(dataGLBS,endDates=AY$5),dataGLBSAcctIDs=$C25))</f>
        <v>15000</v>
      </c>
      <c r="AZ25" s="347" cm="1">
        <f t="array" ref="AZ25">SUM(_xlfn._xlws.FILTER(_xlfn._xlws.FILTER(dataGLBS,endDates=AZ$5),dataGLBSAcctIDs=$C25))</f>
        <v>15000</v>
      </c>
      <c r="BA25" s="347" cm="1">
        <f t="array" ref="BA25">SUM(_xlfn._xlws.FILTER(_xlfn._xlws.FILTER(dataGLBS,endDates=BA$5),dataGLBSAcctIDs=$C25))</f>
        <v>15000</v>
      </c>
      <c r="BB25" s="347" cm="1">
        <f t="array" ref="BB25">SUM(_xlfn._xlws.FILTER(_xlfn._xlws.FILTER(dataGLBS,endDates=BB$5),dataGLBSAcctIDs=$C25))</f>
        <v>15000</v>
      </c>
      <c r="BC25" s="347" cm="1">
        <f t="array" ref="BC25">SUM(_xlfn._xlws.FILTER(_xlfn._xlws.FILTER(dataGLBS,endDates=BC$5),dataGLBSAcctIDs=$C25))</f>
        <v>15000</v>
      </c>
      <c r="BD25" s="347" cm="1">
        <f t="array" ref="BD25">SUM(_xlfn._xlws.FILTER(_xlfn._xlws.FILTER(dataGLBS,endDates=BD$5),dataGLBSAcctIDs=$C25))</f>
        <v>15000</v>
      </c>
      <c r="BE25" s="347" cm="1">
        <f t="array" ref="BE25">SUM(_xlfn._xlws.FILTER(_xlfn._xlws.FILTER(dataGLBS,endDates=BE$5),dataGLBSAcctIDs=$C25))</f>
        <v>15000</v>
      </c>
      <c r="BF25" s="347" cm="1">
        <f t="array" ref="BF25">SUM(_xlfn._xlws.FILTER(_xlfn._xlws.FILTER(dataGLBS,endDates=BF$5),dataGLBSAcctIDs=$C25))</f>
        <v>15000</v>
      </c>
      <c r="BG25" s="347" cm="1">
        <f t="array" ref="BG25">SUM(_xlfn._xlws.FILTER(_xlfn._xlws.FILTER(dataGLBS,endDates=BG$5),dataGLBSAcctIDs=$C25))</f>
        <v>15000</v>
      </c>
      <c r="BH25" s="347" cm="1">
        <f t="array" ref="BH25">SUM(_xlfn._xlws.FILTER(_xlfn._xlws.FILTER(dataGLBS,endDates=BH$5),dataGLBSAcctIDs=$C25))</f>
        <v>15000</v>
      </c>
      <c r="BI25" s="347" cm="1">
        <f t="array" ref="BI25">SUM(_xlfn._xlws.FILTER(_xlfn._xlws.FILTER(dataGLBS,endDates=BI$5),dataGLBSAcctIDs=$C25))</f>
        <v>15000</v>
      </c>
      <c r="BJ25" s="347" cm="1">
        <f t="array" ref="BJ25">SUM(_xlfn._xlws.FILTER(_xlfn._xlws.FILTER(dataGLBS,endDates=BJ$5),dataGLBSAcctIDs=$C25))</f>
        <v>15000</v>
      </c>
      <c r="BK25" s="347" cm="1">
        <f t="array" ref="BK25">SUM(_xlfn._xlws.FILTER(_xlfn._xlws.FILTER(dataGLBS,endDates=BK$5),dataGLBSAcctIDs=$C25))</f>
        <v>15000</v>
      </c>
      <c r="BL25" s="347" cm="1">
        <f t="array" ref="BL25">SUM(_xlfn._xlws.FILTER(_xlfn._xlws.FILTER(dataGLBS,endDates=BL$5),dataGLBSAcctIDs=$C25))</f>
        <v>15000</v>
      </c>
      <c r="BM25" s="347" cm="1">
        <f t="array" ref="BM25">SUM(_xlfn._xlws.FILTER(_xlfn._xlws.FILTER(dataGLBS,endDates=BM$5),dataGLBSAcctIDs=$C25))</f>
        <v>35000</v>
      </c>
      <c r="BN25" s="347" cm="1">
        <f t="array" ref="BN25">SUM(_xlfn._xlws.FILTER(_xlfn._xlws.FILTER(dataGLBS,endDates=BN$5),dataGLBSAcctIDs=$C25))</f>
        <v>35000</v>
      </c>
      <c r="BO25" s="347" cm="1">
        <f t="array" ref="BO25">SUM(_xlfn._xlws.FILTER(_xlfn._xlws.FILTER(dataGLBS,endDates=BO$5),dataGLBSAcctIDs=$C25))</f>
        <v>35000</v>
      </c>
      <c r="BP25" s="347" cm="1">
        <f t="array" ref="BP25">SUM(_xlfn._xlws.FILTER(_xlfn._xlws.FILTER(dataGLBS,endDates=BP$5),dataGLBSAcctIDs=$C25))</f>
        <v>35000</v>
      </c>
      <c r="BQ25" s="347" cm="1">
        <f t="array" ref="BQ25">SUM(_xlfn._xlws.FILTER(_xlfn._xlws.FILTER(dataGLBS,endDates=BQ$5),dataGLBSAcctIDs=$C25))</f>
        <v>35000</v>
      </c>
      <c r="BR25" s="347" cm="1">
        <f t="array" ref="BR25">SUM(_xlfn._xlws.FILTER(_xlfn._xlws.FILTER(dataGLBS,endDates=BR$5),dataGLBSAcctIDs=$C25))</f>
        <v>35000</v>
      </c>
      <c r="BS25" s="347" cm="1">
        <f t="array" ref="BS25">SUM(_xlfn._xlws.FILTER(_xlfn._xlws.FILTER(dataGLBS,endDates=BS$5),dataGLBSAcctIDs=$C25))</f>
        <v>35000</v>
      </c>
      <c r="BT25" s="347" cm="1">
        <f t="array" ref="BT25">SUM(_xlfn._xlws.FILTER(_xlfn._xlws.FILTER(dataGLBS,endDates=BT$5),dataGLBSAcctIDs=$C25))</f>
        <v>35000</v>
      </c>
      <c r="BU25" s="347" cm="1">
        <f t="array" ref="BU25">SUM(_xlfn._xlws.FILTER(_xlfn._xlws.FILTER(dataGLBS,endDates=BU$5),dataGLBSAcctIDs=$C25))</f>
        <v>35000</v>
      </c>
      <c r="BV25" s="347" cm="1">
        <f t="array" ref="BV25">SUM(_xlfn._xlws.FILTER(_xlfn._xlws.FILTER(dataGLBS,endDates=BV$5),dataGLBSAcctIDs=$C25))</f>
        <v>35000</v>
      </c>
      <c r="BW25" s="347" cm="1">
        <f t="array" ref="BW25">SUM(_xlfn._xlws.FILTER(_xlfn._xlws.FILTER(dataGLBS,endDates=BW$5),dataGLBSAcctIDs=$C25))</f>
        <v>35000</v>
      </c>
      <c r="BX25" s="347" cm="1">
        <f t="array" ref="BX25">SUM(_xlfn._xlws.FILTER(_xlfn._xlws.FILTER(dataGLBS,endDates=BX$5),dataGLBSAcctIDs=$C25))</f>
        <v>35000</v>
      </c>
      <c r="BY25" s="347" cm="1">
        <f t="array" ref="BY25">SUM(_xlfn._xlws.FILTER(_xlfn._xlws.FILTER(dataGLBS,endDates=BY$5),dataGLBSAcctIDs=$C25))</f>
        <v>35000</v>
      </c>
      <c r="BZ25" s="201"/>
    </row>
    <row r="26" spans="1:78" s="350" customFormat="1" ht="21" customHeight="1">
      <c r="A26" s="215"/>
      <c r="B26" s="622" t="s">
        <v>291</v>
      </c>
      <c r="C26" s="343">
        <v>153</v>
      </c>
      <c r="D26" s="215"/>
      <c r="E26" s="216"/>
      <c r="F26" s="347" cm="1">
        <f t="array" ref="F26">SUM(_xlfn._xlws.FILTER(_xlfn._xlws.FILTER(dataGLBS,endDates=F$5),dataGLBSAcctIDs=$C26))</f>
        <v>35000</v>
      </c>
      <c r="G26" s="347" cm="1">
        <f t="array" ref="G26">SUM(_xlfn._xlws.FILTER(_xlfn._xlws.FILTER(dataGLBS,endDates=G$5),dataGLBSAcctIDs=$C26))</f>
        <v>35000</v>
      </c>
      <c r="H26" s="347" cm="1">
        <f t="array" ref="H26">SUM(_xlfn._xlws.FILTER(_xlfn._xlws.FILTER(dataGLBS,endDates=H$5),dataGLBSAcctIDs=$C26))</f>
        <v>35000</v>
      </c>
      <c r="I26" s="347" cm="1">
        <f t="array" ref="I26">SUM(_xlfn._xlws.FILTER(_xlfn._xlws.FILTER(dataGLBS,endDates=I$5),dataGLBSAcctIDs=$C26))</f>
        <v>50000</v>
      </c>
      <c r="J26" s="344"/>
      <c r="K26" s="344"/>
      <c r="L26" s="347" cm="1">
        <f t="array" ref="L26">SUM(_xlfn._xlws.FILTER(_xlfn._xlws.FILTER(dataGLBS,endDates=L$5),dataGLBSAcctIDs=$C26))</f>
        <v>0</v>
      </c>
      <c r="M26" s="347" cm="1">
        <f t="array" ref="M26">SUM(_xlfn._xlws.FILTER(_xlfn._xlws.FILTER(dataGLBS,endDates=M$5),dataGLBSAcctIDs=$C26))</f>
        <v>35000</v>
      </c>
      <c r="N26" s="347" cm="1">
        <f t="array" ref="N26">SUM(_xlfn._xlws.FILTER(_xlfn._xlws.FILTER(dataGLBS,endDates=N$5),dataGLBSAcctIDs=$C26))</f>
        <v>35000</v>
      </c>
      <c r="O26" s="347" cm="1">
        <f t="array" ref="O26">SUM(_xlfn._xlws.FILTER(_xlfn._xlws.FILTER(dataGLBS,endDates=O$5),dataGLBSAcctIDs=$C26))</f>
        <v>35000</v>
      </c>
      <c r="P26" s="347" cm="1">
        <f t="array" ref="P26">SUM(_xlfn._xlws.FILTER(_xlfn._xlws.FILTER(dataGLBS,endDates=P$5),dataGLBSAcctIDs=$C26))</f>
        <v>35000</v>
      </c>
      <c r="Q26" s="347" cm="1">
        <f t="array" ref="Q26">SUM(_xlfn._xlws.FILTER(_xlfn._xlws.FILTER(dataGLBS,endDates=Q$5),dataGLBSAcctIDs=$C26))</f>
        <v>35000</v>
      </c>
      <c r="R26" s="347" cm="1">
        <f t="array" ref="R26">SUM(_xlfn._xlws.FILTER(_xlfn._xlws.FILTER(dataGLBS,endDates=R$5),dataGLBSAcctIDs=$C26))</f>
        <v>35000</v>
      </c>
      <c r="S26" s="347" cm="1">
        <f t="array" ref="S26">SUM(_xlfn._xlws.FILTER(_xlfn._xlws.FILTER(dataGLBS,endDates=S$5),dataGLBSAcctIDs=$C26))</f>
        <v>35000</v>
      </c>
      <c r="T26" s="347" cm="1">
        <f t="array" ref="T26">SUM(_xlfn._xlws.FILTER(_xlfn._xlws.FILTER(dataGLBS,endDates=T$5),dataGLBSAcctIDs=$C26))</f>
        <v>35000</v>
      </c>
      <c r="U26" s="347" cm="1">
        <f t="array" ref="U26">SUM(_xlfn._xlws.FILTER(_xlfn._xlws.FILTER(dataGLBS,endDates=U$5),dataGLBSAcctIDs=$C26))</f>
        <v>35000</v>
      </c>
      <c r="V26" s="347" cm="1">
        <f t="array" ref="V26">SUM(_xlfn._xlws.FILTER(_xlfn._xlws.FILTER(dataGLBS,endDates=V$5),dataGLBSAcctIDs=$C26))</f>
        <v>35000</v>
      </c>
      <c r="W26" s="347" cm="1">
        <f t="array" ref="W26">SUM(_xlfn._xlws.FILTER(_xlfn._xlws.FILTER(dataGLBS,endDates=W$5),dataGLBSAcctIDs=$C26))</f>
        <v>35000</v>
      </c>
      <c r="X26" s="347" cm="1">
        <f t="array" ref="X26">SUM(_xlfn._xlws.FILTER(_xlfn._xlws.FILTER(dataGLBS,endDates=X$5),dataGLBSAcctIDs=$C26))</f>
        <v>35000</v>
      </c>
      <c r="Y26" s="347" cm="1">
        <f t="array" ref="Y26">SUM(_xlfn._xlws.FILTER(_xlfn._xlws.FILTER(dataGLBS,endDates=Y$5),dataGLBSAcctIDs=$C26))</f>
        <v>50000</v>
      </c>
      <c r="Z26" s="347" cm="1">
        <f t="array" ref="Z26">SUM(_xlfn._xlws.FILTER(_xlfn._xlws.FILTER(dataGLBS,endDates=Z$5),dataGLBSAcctIDs=$C26))</f>
        <v>50000</v>
      </c>
      <c r="AA26" s="347" cm="1">
        <f t="array" ref="AA26">SUM(_xlfn._xlws.FILTER(_xlfn._xlws.FILTER(dataGLBS,endDates=AA$5),dataGLBSAcctIDs=$C26))</f>
        <v>50000</v>
      </c>
      <c r="AB26" s="215"/>
      <c r="AC26" s="344"/>
      <c r="AD26" s="347" cm="1">
        <f t="array" ref="AD26">SUM(_xlfn._xlws.FILTER(_xlfn._xlws.FILTER(dataGLBS,endDates=AD$5),dataGLBSAcctIDs=$C26))</f>
        <v>0</v>
      </c>
      <c r="AE26" s="347" cm="1">
        <f t="array" ref="AE26">SUM(_xlfn._xlws.FILTER(_xlfn._xlws.FILTER(dataGLBS,endDates=AE$5),dataGLBSAcctIDs=$C26))</f>
        <v>0</v>
      </c>
      <c r="AF26" s="347" cm="1">
        <f t="array" ref="AF26">SUM(_xlfn._xlws.FILTER(_xlfn._xlws.FILTER(dataGLBS,endDates=AF$5),dataGLBSAcctIDs=$C26))</f>
        <v>0</v>
      </c>
      <c r="AG26" s="347" cm="1">
        <f t="array" ref="AG26">SUM(_xlfn._xlws.FILTER(_xlfn._xlws.FILTER(dataGLBS,endDates=AG$5),dataGLBSAcctIDs=$C26))</f>
        <v>35000</v>
      </c>
      <c r="AH26" s="347" cm="1">
        <f t="array" ref="AH26">SUM(_xlfn._xlws.FILTER(_xlfn._xlws.FILTER(dataGLBS,endDates=AH$5),dataGLBSAcctIDs=$C26))</f>
        <v>35000</v>
      </c>
      <c r="AI26" s="347" cm="1">
        <f t="array" ref="AI26">SUM(_xlfn._xlws.FILTER(_xlfn._xlws.FILTER(dataGLBS,endDates=AI$5),dataGLBSAcctIDs=$C26))</f>
        <v>35000</v>
      </c>
      <c r="AJ26" s="347" cm="1">
        <f t="array" ref="AJ26">SUM(_xlfn._xlws.FILTER(_xlfn._xlws.FILTER(dataGLBS,endDates=AJ$5),dataGLBSAcctIDs=$C26))</f>
        <v>35000</v>
      </c>
      <c r="AK26" s="347" cm="1">
        <f t="array" ref="AK26">SUM(_xlfn._xlws.FILTER(_xlfn._xlws.FILTER(dataGLBS,endDates=AK$5),dataGLBSAcctIDs=$C26))</f>
        <v>35000</v>
      </c>
      <c r="AL26" s="347" cm="1">
        <f t="array" ref="AL26">SUM(_xlfn._xlws.FILTER(_xlfn._xlws.FILTER(dataGLBS,endDates=AL$5),dataGLBSAcctIDs=$C26))</f>
        <v>35000</v>
      </c>
      <c r="AM26" s="347" cm="1">
        <f t="array" ref="AM26">SUM(_xlfn._xlws.FILTER(_xlfn._xlws.FILTER(dataGLBS,endDates=AM$5),dataGLBSAcctIDs=$C26))</f>
        <v>35000</v>
      </c>
      <c r="AN26" s="347" cm="1">
        <f t="array" ref="AN26">SUM(_xlfn._xlws.FILTER(_xlfn._xlws.FILTER(dataGLBS,endDates=AN$5),dataGLBSAcctIDs=$C26))</f>
        <v>35000</v>
      </c>
      <c r="AO26" s="347" cm="1">
        <f t="array" ref="AO26">SUM(_xlfn._xlws.FILTER(_xlfn._xlws.FILTER(dataGLBS,endDates=AO$5),dataGLBSAcctIDs=$C26))</f>
        <v>35000</v>
      </c>
      <c r="AP26" s="347" cm="1">
        <f t="array" ref="AP26">SUM(_xlfn._xlws.FILTER(_xlfn._xlws.FILTER(dataGLBS,endDates=AP$5),dataGLBSAcctIDs=$C26))</f>
        <v>45000</v>
      </c>
      <c r="AQ26" s="347" cm="1">
        <f t="array" ref="AQ26">SUM(_xlfn._xlws.FILTER(_xlfn._xlws.FILTER(dataGLBS,endDates=AQ$5),dataGLBSAcctIDs=$C26))</f>
        <v>35000</v>
      </c>
      <c r="AR26" s="347" cm="1">
        <f t="array" ref="AR26">SUM(_xlfn._xlws.FILTER(_xlfn._xlws.FILTER(dataGLBS,endDates=AR$5),dataGLBSAcctIDs=$C26))</f>
        <v>35000</v>
      </c>
      <c r="AS26" s="347" cm="1">
        <f t="array" ref="AS26">SUM(_xlfn._xlws.FILTER(_xlfn._xlws.FILTER(dataGLBS,endDates=AS$5),dataGLBSAcctIDs=$C26))</f>
        <v>35000</v>
      </c>
      <c r="AT26" s="347" cm="1">
        <f t="array" ref="AT26">SUM(_xlfn._xlws.FILTER(_xlfn._xlws.FILTER(dataGLBS,endDates=AT$5),dataGLBSAcctIDs=$C26))</f>
        <v>35000</v>
      </c>
      <c r="AU26" s="347" cm="1">
        <f t="array" ref="AU26">SUM(_xlfn._xlws.FILTER(_xlfn._xlws.FILTER(dataGLBS,endDates=AU$5),dataGLBSAcctIDs=$C26))</f>
        <v>35000</v>
      </c>
      <c r="AV26" s="347" cm="1">
        <f t="array" ref="AV26">SUM(_xlfn._xlws.FILTER(_xlfn._xlws.FILTER(dataGLBS,endDates=AV$5),dataGLBSAcctIDs=$C26))</f>
        <v>35000</v>
      </c>
      <c r="AW26" s="347" cm="1">
        <f t="array" ref="AW26">SUM(_xlfn._xlws.FILTER(_xlfn._xlws.FILTER(dataGLBS,endDates=AW$5),dataGLBSAcctIDs=$C26))</f>
        <v>35000</v>
      </c>
      <c r="AX26" s="347" cm="1">
        <f t="array" ref="AX26">SUM(_xlfn._xlws.FILTER(_xlfn._xlws.FILTER(dataGLBS,endDates=AX$5),dataGLBSAcctIDs=$C26))</f>
        <v>35000</v>
      </c>
      <c r="AY26" s="347" cm="1">
        <f t="array" ref="AY26">SUM(_xlfn._xlws.FILTER(_xlfn._xlws.FILTER(dataGLBS,endDates=AY$5),dataGLBSAcctIDs=$C26))</f>
        <v>35000</v>
      </c>
      <c r="AZ26" s="347" cm="1">
        <f t="array" ref="AZ26">SUM(_xlfn._xlws.FILTER(_xlfn._xlws.FILTER(dataGLBS,endDates=AZ$5),dataGLBSAcctIDs=$C26))</f>
        <v>35000</v>
      </c>
      <c r="BA26" s="347" cm="1">
        <f t="array" ref="BA26">SUM(_xlfn._xlws.FILTER(_xlfn._xlws.FILTER(dataGLBS,endDates=BA$5),dataGLBSAcctIDs=$C26))</f>
        <v>35000</v>
      </c>
      <c r="BB26" s="347" cm="1">
        <f t="array" ref="BB26">SUM(_xlfn._xlws.FILTER(_xlfn._xlws.FILTER(dataGLBS,endDates=BB$5),dataGLBSAcctIDs=$C26))</f>
        <v>35000</v>
      </c>
      <c r="BC26" s="347" cm="1">
        <f t="array" ref="BC26">SUM(_xlfn._xlws.FILTER(_xlfn._xlws.FILTER(dataGLBS,endDates=BC$5),dataGLBSAcctIDs=$C26))</f>
        <v>35000</v>
      </c>
      <c r="BD26" s="347" cm="1">
        <f t="array" ref="BD26">SUM(_xlfn._xlws.FILTER(_xlfn._xlws.FILTER(dataGLBS,endDates=BD$5),dataGLBSAcctIDs=$C26))</f>
        <v>35000</v>
      </c>
      <c r="BE26" s="347" cm="1">
        <f t="array" ref="BE26">SUM(_xlfn._xlws.FILTER(_xlfn._xlws.FILTER(dataGLBS,endDates=BE$5),dataGLBSAcctIDs=$C26))</f>
        <v>35000</v>
      </c>
      <c r="BF26" s="347" cm="1">
        <f t="array" ref="BF26">SUM(_xlfn._xlws.FILTER(_xlfn._xlws.FILTER(dataGLBS,endDates=BF$5),dataGLBSAcctIDs=$C26))</f>
        <v>35000</v>
      </c>
      <c r="BG26" s="347" cm="1">
        <f t="array" ref="BG26">SUM(_xlfn._xlws.FILTER(_xlfn._xlws.FILTER(dataGLBS,endDates=BG$5),dataGLBSAcctIDs=$C26))</f>
        <v>35000</v>
      </c>
      <c r="BH26" s="347" cm="1">
        <f t="array" ref="BH26">SUM(_xlfn._xlws.FILTER(_xlfn._xlws.FILTER(dataGLBS,endDates=BH$5),dataGLBSAcctIDs=$C26))</f>
        <v>35000</v>
      </c>
      <c r="BI26" s="347" cm="1">
        <f t="array" ref="BI26">SUM(_xlfn._xlws.FILTER(_xlfn._xlws.FILTER(dataGLBS,endDates=BI$5),dataGLBSAcctIDs=$C26))</f>
        <v>35000</v>
      </c>
      <c r="BJ26" s="347" cm="1">
        <f t="array" ref="BJ26">SUM(_xlfn._xlws.FILTER(_xlfn._xlws.FILTER(dataGLBS,endDates=BJ$5),dataGLBSAcctIDs=$C26))</f>
        <v>35000</v>
      </c>
      <c r="BK26" s="347" cm="1">
        <f t="array" ref="BK26">SUM(_xlfn._xlws.FILTER(_xlfn._xlws.FILTER(dataGLBS,endDates=BK$5),dataGLBSAcctIDs=$C26))</f>
        <v>35000</v>
      </c>
      <c r="BL26" s="347" cm="1">
        <f t="array" ref="BL26">SUM(_xlfn._xlws.FILTER(_xlfn._xlws.FILTER(dataGLBS,endDates=BL$5),dataGLBSAcctIDs=$C26))</f>
        <v>35000</v>
      </c>
      <c r="BM26" s="347" cm="1">
        <f t="array" ref="BM26">SUM(_xlfn._xlws.FILTER(_xlfn._xlws.FILTER(dataGLBS,endDates=BM$5),dataGLBSAcctIDs=$C26))</f>
        <v>35000</v>
      </c>
      <c r="BN26" s="347" cm="1">
        <f t="array" ref="BN26">SUM(_xlfn._xlws.FILTER(_xlfn._xlws.FILTER(dataGLBS,endDates=BN$5),dataGLBSAcctIDs=$C26))</f>
        <v>35000</v>
      </c>
      <c r="BO26" s="347" cm="1">
        <f t="array" ref="BO26">SUM(_xlfn._xlws.FILTER(_xlfn._xlws.FILTER(dataGLBS,endDates=BO$5),dataGLBSAcctIDs=$C26))</f>
        <v>35000</v>
      </c>
      <c r="BP26" s="347" cm="1">
        <f t="array" ref="BP26">SUM(_xlfn._xlws.FILTER(_xlfn._xlws.FILTER(dataGLBS,endDates=BP$5),dataGLBSAcctIDs=$C26))</f>
        <v>35000</v>
      </c>
      <c r="BQ26" s="347" cm="1">
        <f t="array" ref="BQ26">SUM(_xlfn._xlws.FILTER(_xlfn._xlws.FILTER(dataGLBS,endDates=BQ$5),dataGLBSAcctIDs=$C26))</f>
        <v>35000</v>
      </c>
      <c r="BR26" s="347" cm="1">
        <f t="array" ref="BR26">SUM(_xlfn._xlws.FILTER(_xlfn._xlws.FILTER(dataGLBS,endDates=BR$5),dataGLBSAcctIDs=$C26))</f>
        <v>50000</v>
      </c>
      <c r="BS26" s="347" cm="1">
        <f t="array" ref="BS26">SUM(_xlfn._xlws.FILTER(_xlfn._xlws.FILTER(dataGLBS,endDates=BS$5),dataGLBSAcctIDs=$C26))</f>
        <v>50000</v>
      </c>
      <c r="BT26" s="347" cm="1">
        <f t="array" ref="BT26">SUM(_xlfn._xlws.FILTER(_xlfn._xlws.FILTER(dataGLBS,endDates=BT$5),dataGLBSAcctIDs=$C26))</f>
        <v>50000</v>
      </c>
      <c r="BU26" s="347" cm="1">
        <f t="array" ref="BU26">SUM(_xlfn._xlws.FILTER(_xlfn._xlws.FILTER(dataGLBS,endDates=BU$5),dataGLBSAcctIDs=$C26))</f>
        <v>50000</v>
      </c>
      <c r="BV26" s="347" cm="1">
        <f t="array" ref="BV26">SUM(_xlfn._xlws.FILTER(_xlfn._xlws.FILTER(dataGLBS,endDates=BV$5),dataGLBSAcctIDs=$C26))</f>
        <v>50000</v>
      </c>
      <c r="BW26" s="347" cm="1">
        <f t="array" ref="BW26">SUM(_xlfn._xlws.FILTER(_xlfn._xlws.FILTER(dataGLBS,endDates=BW$5),dataGLBSAcctIDs=$C26))</f>
        <v>50000</v>
      </c>
      <c r="BX26" s="347" cm="1">
        <f t="array" ref="BX26">SUM(_xlfn._xlws.FILTER(_xlfn._xlws.FILTER(dataGLBS,endDates=BX$5),dataGLBSAcctIDs=$C26))</f>
        <v>50000</v>
      </c>
      <c r="BY26" s="347" cm="1">
        <f t="array" ref="BY26">SUM(_xlfn._xlws.FILTER(_xlfn._xlws.FILTER(dataGLBS,endDates=BY$5),dataGLBSAcctIDs=$C26))</f>
        <v>50000</v>
      </c>
      <c r="BZ26" s="201"/>
    </row>
    <row r="27" spans="1:78" s="350" customFormat="1" ht="21" customHeight="1">
      <c r="A27" s="215"/>
      <c r="B27" s="622" t="s">
        <v>292</v>
      </c>
      <c r="C27" s="343">
        <v>154</v>
      </c>
      <c r="D27" s="215"/>
      <c r="E27" s="216"/>
      <c r="F27" s="347" cm="1">
        <f t="array" ref="F27">SUM(_xlfn._xlws.FILTER(_xlfn._xlws.FILTER(dataGLBS,endDates=F$5),dataGLBSAcctIDs=$C27))</f>
        <v>8000</v>
      </c>
      <c r="G27" s="347" cm="1">
        <f t="array" ref="G27">SUM(_xlfn._xlws.FILTER(_xlfn._xlws.FILTER(dataGLBS,endDates=G$5),dataGLBSAcctIDs=$C27))</f>
        <v>8000</v>
      </c>
      <c r="H27" s="347" cm="1">
        <f t="array" ref="H27">SUM(_xlfn._xlws.FILTER(_xlfn._xlws.FILTER(dataGLBS,endDates=H$5),dataGLBSAcctIDs=$C27))</f>
        <v>8000</v>
      </c>
      <c r="I27" s="347" cm="1">
        <f t="array" ref="I27">SUM(_xlfn._xlws.FILTER(_xlfn._xlws.FILTER(dataGLBS,endDates=I$5),dataGLBSAcctIDs=$C27))</f>
        <v>18000</v>
      </c>
      <c r="J27" s="344"/>
      <c r="K27" s="344"/>
      <c r="L27" s="347" cm="1">
        <f t="array" ref="L27">SUM(_xlfn._xlws.FILTER(_xlfn._xlws.FILTER(dataGLBS,endDates=L$5),dataGLBSAcctIDs=$C27))</f>
        <v>0</v>
      </c>
      <c r="M27" s="347" cm="1">
        <f t="array" ref="M27">SUM(_xlfn._xlws.FILTER(_xlfn._xlws.FILTER(dataGLBS,endDates=M$5),dataGLBSAcctIDs=$C27))</f>
        <v>8000</v>
      </c>
      <c r="N27" s="347" cm="1">
        <f t="array" ref="N27">SUM(_xlfn._xlws.FILTER(_xlfn._xlws.FILTER(dataGLBS,endDates=N$5),dataGLBSAcctIDs=$C27))</f>
        <v>8000</v>
      </c>
      <c r="O27" s="347" cm="1">
        <f t="array" ref="O27">SUM(_xlfn._xlws.FILTER(_xlfn._xlws.FILTER(dataGLBS,endDates=O$5),dataGLBSAcctIDs=$C27))</f>
        <v>8000</v>
      </c>
      <c r="P27" s="347" cm="1">
        <f t="array" ref="P27">SUM(_xlfn._xlws.FILTER(_xlfn._xlws.FILTER(dataGLBS,endDates=P$5),dataGLBSAcctIDs=$C27))</f>
        <v>8000</v>
      </c>
      <c r="Q27" s="347" cm="1">
        <f t="array" ref="Q27">SUM(_xlfn._xlws.FILTER(_xlfn._xlws.FILTER(dataGLBS,endDates=Q$5),dataGLBSAcctIDs=$C27))</f>
        <v>8000</v>
      </c>
      <c r="R27" s="347" cm="1">
        <f t="array" ref="R27">SUM(_xlfn._xlws.FILTER(_xlfn._xlws.FILTER(dataGLBS,endDates=R$5),dataGLBSAcctIDs=$C27))</f>
        <v>8000</v>
      </c>
      <c r="S27" s="347" cm="1">
        <f t="array" ref="S27">SUM(_xlfn._xlws.FILTER(_xlfn._xlws.FILTER(dataGLBS,endDates=S$5),dataGLBSAcctIDs=$C27))</f>
        <v>8000</v>
      </c>
      <c r="T27" s="347" cm="1">
        <f t="array" ref="T27">SUM(_xlfn._xlws.FILTER(_xlfn._xlws.FILTER(dataGLBS,endDates=T$5),dataGLBSAcctIDs=$C27))</f>
        <v>8000</v>
      </c>
      <c r="U27" s="347" cm="1">
        <f t="array" ref="U27">SUM(_xlfn._xlws.FILTER(_xlfn._xlws.FILTER(dataGLBS,endDates=U$5),dataGLBSAcctIDs=$C27))</f>
        <v>8000</v>
      </c>
      <c r="V27" s="347" cm="1">
        <f t="array" ref="V27">SUM(_xlfn._xlws.FILTER(_xlfn._xlws.FILTER(dataGLBS,endDates=V$5),dataGLBSAcctIDs=$C27))</f>
        <v>8000</v>
      </c>
      <c r="W27" s="347" cm="1">
        <f t="array" ref="W27">SUM(_xlfn._xlws.FILTER(_xlfn._xlws.FILTER(dataGLBS,endDates=W$5),dataGLBSAcctIDs=$C27))</f>
        <v>8000</v>
      </c>
      <c r="X27" s="347" cm="1">
        <f t="array" ref="X27">SUM(_xlfn._xlws.FILTER(_xlfn._xlws.FILTER(dataGLBS,endDates=X$5),dataGLBSAcctIDs=$C27))</f>
        <v>18000</v>
      </c>
      <c r="Y27" s="347" cm="1">
        <f t="array" ref="Y27">SUM(_xlfn._xlws.FILTER(_xlfn._xlws.FILTER(dataGLBS,endDates=Y$5),dataGLBSAcctIDs=$C27))</f>
        <v>18000</v>
      </c>
      <c r="Z27" s="347" cm="1">
        <f t="array" ref="Z27">SUM(_xlfn._xlws.FILTER(_xlfn._xlws.FILTER(dataGLBS,endDates=Z$5),dataGLBSAcctIDs=$C27))</f>
        <v>18000</v>
      </c>
      <c r="AA27" s="347" cm="1">
        <f t="array" ref="AA27">SUM(_xlfn._xlws.FILTER(_xlfn._xlws.FILTER(dataGLBS,endDates=AA$5),dataGLBSAcctIDs=$C27))</f>
        <v>18000</v>
      </c>
      <c r="AB27" s="215"/>
      <c r="AC27" s="344"/>
      <c r="AD27" s="347" cm="1">
        <f t="array" ref="AD27">SUM(_xlfn._xlws.FILTER(_xlfn._xlws.FILTER(dataGLBS,endDates=AD$5),dataGLBSAcctIDs=$C27))</f>
        <v>0</v>
      </c>
      <c r="AE27" s="347" cm="1">
        <f t="array" ref="AE27">SUM(_xlfn._xlws.FILTER(_xlfn._xlws.FILTER(dataGLBS,endDates=AE$5),dataGLBSAcctIDs=$C27))</f>
        <v>0</v>
      </c>
      <c r="AF27" s="347" cm="1">
        <f t="array" ref="AF27">SUM(_xlfn._xlws.FILTER(_xlfn._xlws.FILTER(dataGLBS,endDates=AF$5),dataGLBSAcctIDs=$C27))</f>
        <v>0</v>
      </c>
      <c r="AG27" s="347" cm="1">
        <f t="array" ref="AG27">SUM(_xlfn._xlws.FILTER(_xlfn._xlws.FILTER(dataGLBS,endDates=AG$5),dataGLBSAcctIDs=$C27))</f>
        <v>0</v>
      </c>
      <c r="AH27" s="347" cm="1">
        <f t="array" ref="AH27">SUM(_xlfn._xlws.FILTER(_xlfn._xlws.FILTER(dataGLBS,endDates=AH$5),dataGLBSAcctIDs=$C27))</f>
        <v>0</v>
      </c>
      <c r="AI27" s="347" cm="1">
        <f t="array" ref="AI27">SUM(_xlfn._xlws.FILTER(_xlfn._xlws.FILTER(dataGLBS,endDates=AI$5),dataGLBSAcctIDs=$C27))</f>
        <v>8000</v>
      </c>
      <c r="AJ27" s="347" cm="1">
        <f t="array" ref="AJ27">SUM(_xlfn._xlws.FILTER(_xlfn._xlws.FILTER(dataGLBS,endDates=AJ$5),dataGLBSAcctIDs=$C27))</f>
        <v>8000</v>
      </c>
      <c r="AK27" s="347" cm="1">
        <f t="array" ref="AK27">SUM(_xlfn._xlws.FILTER(_xlfn._xlws.FILTER(dataGLBS,endDates=AK$5),dataGLBSAcctIDs=$C27))</f>
        <v>8000</v>
      </c>
      <c r="AL27" s="347" cm="1">
        <f t="array" ref="AL27">SUM(_xlfn._xlws.FILTER(_xlfn._xlws.FILTER(dataGLBS,endDates=AL$5),dataGLBSAcctIDs=$C27))</f>
        <v>8000</v>
      </c>
      <c r="AM27" s="347" cm="1">
        <f t="array" ref="AM27">SUM(_xlfn._xlws.FILTER(_xlfn._xlws.FILTER(dataGLBS,endDates=AM$5),dataGLBSAcctIDs=$C27))</f>
        <v>8000</v>
      </c>
      <c r="AN27" s="347" cm="1">
        <f t="array" ref="AN27">SUM(_xlfn._xlws.FILTER(_xlfn._xlws.FILTER(dataGLBS,endDates=AN$5),dataGLBSAcctIDs=$C27))</f>
        <v>8000</v>
      </c>
      <c r="AO27" s="347" cm="1">
        <f t="array" ref="AO27">SUM(_xlfn._xlws.FILTER(_xlfn._xlws.FILTER(dataGLBS,endDates=AO$5),dataGLBSAcctIDs=$C27))</f>
        <v>8000</v>
      </c>
      <c r="AP27" s="347" cm="1">
        <f t="array" ref="AP27">SUM(_xlfn._xlws.FILTER(_xlfn._xlws.FILTER(dataGLBS,endDates=AP$5),dataGLBSAcctIDs=$C27))</f>
        <v>10000</v>
      </c>
      <c r="AQ27" s="347" cm="1">
        <f t="array" ref="AQ27">SUM(_xlfn._xlws.FILTER(_xlfn._xlws.FILTER(dataGLBS,endDates=AQ$5),dataGLBSAcctIDs=$C27))</f>
        <v>8000</v>
      </c>
      <c r="AR27" s="347" cm="1">
        <f t="array" ref="AR27">SUM(_xlfn._xlws.FILTER(_xlfn._xlws.FILTER(dataGLBS,endDates=AR$5),dataGLBSAcctIDs=$C27))</f>
        <v>8000</v>
      </c>
      <c r="AS27" s="347" cm="1">
        <f t="array" ref="AS27">SUM(_xlfn._xlws.FILTER(_xlfn._xlws.FILTER(dataGLBS,endDates=AS$5),dataGLBSAcctIDs=$C27))</f>
        <v>8000</v>
      </c>
      <c r="AT27" s="347" cm="1">
        <f t="array" ref="AT27">SUM(_xlfn._xlws.FILTER(_xlfn._xlws.FILTER(dataGLBS,endDates=AT$5),dataGLBSAcctIDs=$C27))</f>
        <v>8000</v>
      </c>
      <c r="AU27" s="347" cm="1">
        <f t="array" ref="AU27">SUM(_xlfn._xlws.FILTER(_xlfn._xlws.FILTER(dataGLBS,endDates=AU$5),dataGLBSAcctIDs=$C27))</f>
        <v>8000</v>
      </c>
      <c r="AV27" s="347" cm="1">
        <f t="array" ref="AV27">SUM(_xlfn._xlws.FILTER(_xlfn._xlws.FILTER(dataGLBS,endDates=AV$5),dataGLBSAcctIDs=$C27))</f>
        <v>8000</v>
      </c>
      <c r="AW27" s="347" cm="1">
        <f t="array" ref="AW27">SUM(_xlfn._xlws.FILTER(_xlfn._xlws.FILTER(dataGLBS,endDates=AW$5),dataGLBSAcctIDs=$C27))</f>
        <v>8000</v>
      </c>
      <c r="AX27" s="347" cm="1">
        <f t="array" ref="AX27">SUM(_xlfn._xlws.FILTER(_xlfn._xlws.FILTER(dataGLBS,endDates=AX$5),dataGLBSAcctIDs=$C27))</f>
        <v>8000</v>
      </c>
      <c r="AY27" s="347" cm="1">
        <f t="array" ref="AY27">SUM(_xlfn._xlws.FILTER(_xlfn._xlws.FILTER(dataGLBS,endDates=AY$5),dataGLBSAcctIDs=$C27))</f>
        <v>8000</v>
      </c>
      <c r="AZ27" s="347" cm="1">
        <f t="array" ref="AZ27">SUM(_xlfn._xlws.FILTER(_xlfn._xlws.FILTER(dataGLBS,endDates=AZ$5),dataGLBSAcctIDs=$C27))</f>
        <v>8000</v>
      </c>
      <c r="BA27" s="347" cm="1">
        <f t="array" ref="BA27">SUM(_xlfn._xlws.FILTER(_xlfn._xlws.FILTER(dataGLBS,endDates=BA$5),dataGLBSAcctIDs=$C27))</f>
        <v>8000</v>
      </c>
      <c r="BB27" s="347" cm="1">
        <f t="array" ref="BB27">SUM(_xlfn._xlws.FILTER(_xlfn._xlws.FILTER(dataGLBS,endDates=BB$5),dataGLBSAcctIDs=$C27))</f>
        <v>8000</v>
      </c>
      <c r="BC27" s="347" cm="1">
        <f t="array" ref="BC27">SUM(_xlfn._xlws.FILTER(_xlfn._xlws.FILTER(dataGLBS,endDates=BC$5),dataGLBSAcctIDs=$C27))</f>
        <v>8000</v>
      </c>
      <c r="BD27" s="347" cm="1">
        <f t="array" ref="BD27">SUM(_xlfn._xlws.FILTER(_xlfn._xlws.FILTER(dataGLBS,endDates=BD$5),dataGLBSAcctIDs=$C27))</f>
        <v>8000</v>
      </c>
      <c r="BE27" s="347" cm="1">
        <f t="array" ref="BE27">SUM(_xlfn._xlws.FILTER(_xlfn._xlws.FILTER(dataGLBS,endDates=BE$5),dataGLBSAcctIDs=$C27))</f>
        <v>8000</v>
      </c>
      <c r="BF27" s="347" cm="1">
        <f t="array" ref="BF27">SUM(_xlfn._xlws.FILTER(_xlfn._xlws.FILTER(dataGLBS,endDates=BF$5),dataGLBSAcctIDs=$C27))</f>
        <v>8000</v>
      </c>
      <c r="BG27" s="347" cm="1">
        <f t="array" ref="BG27">SUM(_xlfn._xlws.FILTER(_xlfn._xlws.FILTER(dataGLBS,endDates=BG$5),dataGLBSAcctIDs=$C27))</f>
        <v>8000</v>
      </c>
      <c r="BH27" s="347" cm="1">
        <f t="array" ref="BH27">SUM(_xlfn._xlws.FILTER(_xlfn._xlws.FILTER(dataGLBS,endDates=BH$5),dataGLBSAcctIDs=$C27))</f>
        <v>8000</v>
      </c>
      <c r="BI27" s="347" cm="1">
        <f t="array" ref="BI27">SUM(_xlfn._xlws.FILTER(_xlfn._xlws.FILTER(dataGLBS,endDates=BI$5),dataGLBSAcctIDs=$C27))</f>
        <v>8000</v>
      </c>
      <c r="BJ27" s="347" cm="1">
        <f t="array" ref="BJ27">SUM(_xlfn._xlws.FILTER(_xlfn._xlws.FILTER(dataGLBS,endDates=BJ$5),dataGLBSAcctIDs=$C27))</f>
        <v>8000</v>
      </c>
      <c r="BK27" s="347" cm="1">
        <f t="array" ref="BK27">SUM(_xlfn._xlws.FILTER(_xlfn._xlws.FILTER(dataGLBS,endDates=BK$5),dataGLBSAcctIDs=$C27))</f>
        <v>8000</v>
      </c>
      <c r="BL27" s="347" cm="1">
        <f t="array" ref="BL27">SUM(_xlfn._xlws.FILTER(_xlfn._xlws.FILTER(dataGLBS,endDates=BL$5),dataGLBSAcctIDs=$C27))</f>
        <v>8000</v>
      </c>
      <c r="BM27" s="347" cm="1">
        <f t="array" ref="BM27">SUM(_xlfn._xlws.FILTER(_xlfn._xlws.FILTER(dataGLBS,endDates=BM$5),dataGLBSAcctIDs=$C27))</f>
        <v>8000</v>
      </c>
      <c r="BN27" s="347" cm="1">
        <f t="array" ref="BN27">SUM(_xlfn._xlws.FILTER(_xlfn._xlws.FILTER(dataGLBS,endDates=BN$5),dataGLBSAcctIDs=$C27))</f>
        <v>8000</v>
      </c>
      <c r="BO27" s="347" cm="1">
        <f t="array" ref="BO27">SUM(_xlfn._xlws.FILTER(_xlfn._xlws.FILTER(dataGLBS,endDates=BO$5),dataGLBSAcctIDs=$C27))</f>
        <v>18000</v>
      </c>
      <c r="BP27" s="347" cm="1">
        <f t="array" ref="BP27">SUM(_xlfn._xlws.FILTER(_xlfn._xlws.FILTER(dataGLBS,endDates=BP$5),dataGLBSAcctIDs=$C27))</f>
        <v>18000</v>
      </c>
      <c r="BQ27" s="347" cm="1">
        <f t="array" ref="BQ27">SUM(_xlfn._xlws.FILTER(_xlfn._xlws.FILTER(dataGLBS,endDates=BQ$5),dataGLBSAcctIDs=$C27))</f>
        <v>18000</v>
      </c>
      <c r="BR27" s="347" cm="1">
        <f t="array" ref="BR27">SUM(_xlfn._xlws.FILTER(_xlfn._xlws.FILTER(dataGLBS,endDates=BR$5),dataGLBSAcctIDs=$C27))</f>
        <v>18000</v>
      </c>
      <c r="BS27" s="347" cm="1">
        <f t="array" ref="BS27">SUM(_xlfn._xlws.FILTER(_xlfn._xlws.FILTER(dataGLBS,endDates=BS$5),dataGLBSAcctIDs=$C27))</f>
        <v>18000</v>
      </c>
      <c r="BT27" s="347" cm="1">
        <f t="array" ref="BT27">SUM(_xlfn._xlws.FILTER(_xlfn._xlws.FILTER(dataGLBS,endDates=BT$5),dataGLBSAcctIDs=$C27))</f>
        <v>18000</v>
      </c>
      <c r="BU27" s="347" cm="1">
        <f t="array" ref="BU27">SUM(_xlfn._xlws.FILTER(_xlfn._xlws.FILTER(dataGLBS,endDates=BU$5),dataGLBSAcctIDs=$C27))</f>
        <v>18000</v>
      </c>
      <c r="BV27" s="347" cm="1">
        <f t="array" ref="BV27">SUM(_xlfn._xlws.FILTER(_xlfn._xlws.FILTER(dataGLBS,endDates=BV$5),dataGLBSAcctIDs=$C27))</f>
        <v>18000</v>
      </c>
      <c r="BW27" s="347" cm="1">
        <f t="array" ref="BW27">SUM(_xlfn._xlws.FILTER(_xlfn._xlws.FILTER(dataGLBS,endDates=BW$5),dataGLBSAcctIDs=$C27))</f>
        <v>18000</v>
      </c>
      <c r="BX27" s="347" cm="1">
        <f t="array" ref="BX27">SUM(_xlfn._xlws.FILTER(_xlfn._xlws.FILTER(dataGLBS,endDates=BX$5),dataGLBSAcctIDs=$C27))</f>
        <v>18000</v>
      </c>
      <c r="BY27" s="347" cm="1">
        <f t="array" ref="BY27">SUM(_xlfn._xlws.FILTER(_xlfn._xlws.FILTER(dataGLBS,endDates=BY$5),dataGLBSAcctIDs=$C27))</f>
        <v>18000</v>
      </c>
      <c r="BZ27" s="201"/>
    </row>
    <row r="28" spans="1:78" s="350" customFormat="1" ht="21" customHeight="1">
      <c r="A28" s="215"/>
      <c r="B28" s="622" t="s">
        <v>293</v>
      </c>
      <c r="C28" s="343">
        <v>194</v>
      </c>
      <c r="D28" s="215"/>
      <c r="E28" s="216"/>
      <c r="F28" s="347" cm="1">
        <f t="array" ref="F28">SUM(_xlfn._xlws.FILTER(_xlfn._xlws.FILTER(dataGLBS,endDates=F$5),dataGLBSAcctIDs=$C28))</f>
        <v>-15202</v>
      </c>
      <c r="G28" s="347" cm="1">
        <f t="array" ref="G28">SUM(_xlfn._xlws.FILTER(_xlfn._xlws.FILTER(dataGLBS,endDates=G$5),dataGLBSAcctIDs=$C28))</f>
        <v>-51811.5</v>
      </c>
      <c r="H28" s="347" cm="1">
        <f t="array" ref="H28">SUM(_xlfn._xlws.FILTER(_xlfn._xlws.FILTER(dataGLBS,endDates=H$5),dataGLBSAcctIDs=$C28))</f>
        <v>-88546.57666666666</v>
      </c>
      <c r="I28" s="347" cm="1">
        <f t="array" ref="I28">SUM(_xlfn._xlws.FILTER(_xlfn._xlws.FILTER(dataGLBS,endDates=I$5),dataGLBSAcctIDs=$C28))</f>
        <v>-120333.15444444443</v>
      </c>
      <c r="J28" s="344"/>
      <c r="K28" s="344"/>
      <c r="L28" s="347" cm="1">
        <f t="array" ref="L28">SUM(_xlfn._xlws.FILTER(_xlfn._xlws.FILTER(dataGLBS,endDates=L$5),dataGLBSAcctIDs=$C28))</f>
        <v>-277</v>
      </c>
      <c r="M28" s="347" cm="1">
        <f t="array" ref="M28">SUM(_xlfn._xlws.FILTER(_xlfn._xlws.FILTER(dataGLBS,endDates=M$5),dataGLBSAcctIDs=$C28))</f>
        <v>-3972</v>
      </c>
      <c r="N28" s="347" cm="1">
        <f t="array" ref="N28">SUM(_xlfn._xlws.FILTER(_xlfn._xlws.FILTER(dataGLBS,endDates=N$5),dataGLBSAcctIDs=$C28))</f>
        <v>-8319</v>
      </c>
      <c r="O28" s="347" cm="1">
        <f t="array" ref="O28">SUM(_xlfn._xlws.FILTER(_xlfn._xlws.FILTER(dataGLBS,endDates=O$5),dataGLBSAcctIDs=$C28))</f>
        <v>-15202</v>
      </c>
      <c r="P28" s="347" cm="1">
        <f t="array" ref="P28">SUM(_xlfn._xlws.FILTER(_xlfn._xlws.FILTER(dataGLBS,endDates=P$5),dataGLBSAcctIDs=$C28))</f>
        <v>-24354</v>
      </c>
      <c r="Q28" s="347" cm="1">
        <f t="array" ref="Q28">SUM(_xlfn._xlws.FILTER(_xlfn._xlws.FILTER(dataGLBS,endDates=Q$5),dataGLBSAcctIDs=$C28))</f>
        <v>-33506</v>
      </c>
      <c r="R28" s="347" cm="1">
        <f t="array" ref="R28">SUM(_xlfn._xlws.FILTER(_xlfn._xlws.FILTER(dataGLBS,endDates=R$5),dataGLBSAcctIDs=$C28))</f>
        <v>-42659</v>
      </c>
      <c r="S28" s="347" cm="1">
        <f t="array" ref="S28">SUM(_xlfn._xlws.FILTER(_xlfn._xlws.FILTER(dataGLBS,endDates=S$5),dataGLBSAcctIDs=$C28))</f>
        <v>-51811.5</v>
      </c>
      <c r="T28" s="347" cm="1">
        <f t="array" ref="T28">SUM(_xlfn._xlws.FILTER(_xlfn._xlws.FILTER(dataGLBS,endDates=T$5),dataGLBSAcctIDs=$C28))</f>
        <v>-60963.48</v>
      </c>
      <c r="U28" s="347" cm="1">
        <f t="array" ref="U28">SUM(_xlfn._xlws.FILTER(_xlfn._xlws.FILTER(dataGLBS,endDates=U$5),dataGLBSAcctIDs=$C28))</f>
        <v>-70115.460000000006</v>
      </c>
      <c r="V28" s="347" cm="1">
        <f t="array" ref="V28">SUM(_xlfn._xlws.FILTER(_xlfn._xlws.FILTER(dataGLBS,endDates=V$5),dataGLBSAcctIDs=$C28))</f>
        <v>-79267.44</v>
      </c>
      <c r="W28" s="347" cm="1">
        <f t="array" ref="W28">SUM(_xlfn._xlws.FILTER(_xlfn._xlws.FILTER(dataGLBS,endDates=W$5),dataGLBSAcctIDs=$C28))</f>
        <v>-88546.57666666666</v>
      </c>
      <c r="X28" s="347" cm="1">
        <f t="array" ref="X28">SUM(_xlfn._xlws.FILTER(_xlfn._xlws.FILTER(dataGLBS,endDates=X$5),dataGLBSAcctIDs=$C28))</f>
        <v>-98357.804444444439</v>
      </c>
      <c r="Y28" s="347" cm="1">
        <f t="array" ref="Y28">SUM(_xlfn._xlws.FILTER(_xlfn._xlws.FILTER(dataGLBS,endDates=Y$5),dataGLBSAcctIDs=$C28))</f>
        <v>-105863.47666666667</v>
      </c>
      <c r="Z28" s="347" cm="1">
        <f t="array" ref="Z28">SUM(_xlfn._xlws.FILTER(_xlfn._xlws.FILTER(dataGLBS,endDates=Z$5),dataGLBSAcctIDs=$C28))</f>
        <v>-113133.03777777778</v>
      </c>
      <c r="AA28" s="347" cm="1">
        <f t="array" ref="AA28">SUM(_xlfn._xlws.FILTER(_xlfn._xlws.FILTER(dataGLBS,endDates=AA$5),dataGLBSAcctIDs=$C28))</f>
        <v>-120333.15444444443</v>
      </c>
      <c r="AB28" s="215"/>
      <c r="AC28" s="344"/>
      <c r="AD28" s="347" cm="1">
        <f t="array" ref="AD28">SUM(_xlfn._xlws.FILTER(_xlfn._xlws.FILTER(dataGLBS,endDates=AD$5),dataGLBSAcctIDs=$C28))</f>
        <v>-69</v>
      </c>
      <c r="AE28" s="347" cm="1">
        <f t="array" ref="AE28">SUM(_xlfn._xlws.FILTER(_xlfn._xlws.FILTER(dataGLBS,endDates=AE$5),dataGLBSAcctIDs=$C28))</f>
        <v>-138</v>
      </c>
      <c r="AF28" s="347" cm="1">
        <f t="array" ref="AF28">SUM(_xlfn._xlws.FILTER(_xlfn._xlws.FILTER(dataGLBS,endDates=AF$5),dataGLBSAcctIDs=$C28))</f>
        <v>-277</v>
      </c>
      <c r="AG28" s="347" cm="1">
        <f t="array" ref="AG28">SUM(_xlfn._xlws.FILTER(_xlfn._xlws.FILTER(dataGLBS,endDates=AG$5),dataGLBSAcctIDs=$C28))</f>
        <v>-1388</v>
      </c>
      <c r="AH28" s="347" cm="1">
        <f t="array" ref="AH28">SUM(_xlfn._xlws.FILTER(_xlfn._xlws.FILTER(dataGLBS,endDates=AH$5),dataGLBSAcctIDs=$C28))</f>
        <v>-2569</v>
      </c>
      <c r="AI28" s="347" cm="1">
        <f t="array" ref="AI28">SUM(_xlfn._xlws.FILTER(_xlfn._xlws.FILTER(dataGLBS,endDates=AI$5),dataGLBSAcctIDs=$C28))</f>
        <v>-3972</v>
      </c>
      <c r="AJ28" s="347" cm="1">
        <f t="array" ref="AJ28">SUM(_xlfn._xlws.FILTER(_xlfn._xlws.FILTER(dataGLBS,endDates=AJ$5),dataGLBSAcctIDs=$C28))</f>
        <v>-5375</v>
      </c>
      <c r="AK28" s="347" cm="1">
        <f t="array" ref="AK28">SUM(_xlfn._xlws.FILTER(_xlfn._xlws.FILTER(dataGLBS,endDates=AK$5),dataGLBSAcctIDs=$C28))</f>
        <v>-6847</v>
      </c>
      <c r="AL28" s="347" cm="1">
        <f t="array" ref="AL28">SUM(_xlfn._xlws.FILTER(_xlfn._xlws.FILTER(dataGLBS,endDates=AL$5),dataGLBSAcctIDs=$C28))</f>
        <v>-8319</v>
      </c>
      <c r="AM28" s="347" cm="1">
        <f t="array" ref="AM28">SUM(_xlfn._xlws.FILTER(_xlfn._xlws.FILTER(dataGLBS,endDates=AM$5),dataGLBSAcctIDs=$C28))</f>
        <v>-9791</v>
      </c>
      <c r="AN28" s="347" cm="1">
        <f t="array" ref="AN28">SUM(_xlfn._xlws.FILTER(_xlfn._xlws.FILTER(dataGLBS,endDates=AN$5),dataGLBSAcctIDs=$C28))</f>
        <v>-12151</v>
      </c>
      <c r="AO28" s="347" cm="1">
        <f t="array" ref="AO28">SUM(_xlfn._xlws.FILTER(_xlfn._xlws.FILTER(dataGLBS,endDates=AO$5),dataGLBSAcctIDs=$C28))</f>
        <v>-15202</v>
      </c>
      <c r="AP28" s="347" cm="1">
        <f t="array" ref="AP28">SUM(_xlfn._xlws.FILTER(_xlfn._xlws.FILTER(dataGLBS,endDates=AP$5),dataGLBSAcctIDs=$C28))</f>
        <v>-18252.5</v>
      </c>
      <c r="AQ28" s="347" cm="1">
        <f t="array" ref="AQ28">SUM(_xlfn._xlws.FILTER(_xlfn._xlws.FILTER(dataGLBS,endDates=AQ$5),dataGLBSAcctIDs=$C28))</f>
        <v>-21303.5</v>
      </c>
      <c r="AR28" s="347" cm="1">
        <f t="array" ref="AR28">SUM(_xlfn._xlws.FILTER(_xlfn._xlws.FILTER(dataGLBS,endDates=AR$5),dataGLBSAcctIDs=$C28))</f>
        <v>-24354</v>
      </c>
      <c r="AS28" s="347" cm="1">
        <f t="array" ref="AS28">SUM(_xlfn._xlws.FILTER(_xlfn._xlws.FILTER(dataGLBS,endDates=AS$5),dataGLBSAcctIDs=$C28))</f>
        <v>-27404.5</v>
      </c>
      <c r="AT28" s="347" cm="1">
        <f t="array" ref="AT28">SUM(_xlfn._xlws.FILTER(_xlfn._xlws.FILTER(dataGLBS,endDates=AT$5),dataGLBSAcctIDs=$C28))</f>
        <v>-30455</v>
      </c>
      <c r="AU28" s="347" cm="1">
        <f t="array" ref="AU28">SUM(_xlfn._xlws.FILTER(_xlfn._xlws.FILTER(dataGLBS,endDates=AU$5),dataGLBSAcctIDs=$C28))</f>
        <v>-33506</v>
      </c>
      <c r="AV28" s="347" cm="1">
        <f t="array" ref="AV28">SUM(_xlfn._xlws.FILTER(_xlfn._xlws.FILTER(dataGLBS,endDates=AV$5),dataGLBSAcctIDs=$C28))</f>
        <v>-36557</v>
      </c>
      <c r="AW28" s="347" cm="1">
        <f t="array" ref="AW28">SUM(_xlfn._xlws.FILTER(_xlfn._xlws.FILTER(dataGLBS,endDates=AW$5),dataGLBSAcctIDs=$C28))</f>
        <v>-39608</v>
      </c>
      <c r="AX28" s="347" cm="1">
        <f t="array" ref="AX28">SUM(_xlfn._xlws.FILTER(_xlfn._xlws.FILTER(dataGLBS,endDates=AX$5),dataGLBSAcctIDs=$C28))</f>
        <v>-42659</v>
      </c>
      <c r="AY28" s="347" cm="1">
        <f t="array" ref="AY28">SUM(_xlfn._xlws.FILTER(_xlfn._xlws.FILTER(dataGLBS,endDates=AY$5),dataGLBSAcctIDs=$C28))</f>
        <v>-45710</v>
      </c>
      <c r="AZ28" s="347" cm="1">
        <f t="array" ref="AZ28">SUM(_xlfn._xlws.FILTER(_xlfn._xlws.FILTER(dataGLBS,endDates=AZ$5),dataGLBSAcctIDs=$C28))</f>
        <v>-48761</v>
      </c>
      <c r="BA28" s="347" cm="1">
        <f t="array" ref="BA28">SUM(_xlfn._xlws.FILTER(_xlfn._xlws.FILTER(dataGLBS,endDates=BA$5),dataGLBSAcctIDs=$C28))</f>
        <v>-51811.5</v>
      </c>
      <c r="BB28" s="347" cm="1">
        <f t="array" ref="BB28">SUM(_xlfn._xlws.FILTER(_xlfn._xlws.FILTER(dataGLBS,endDates=BB$5),dataGLBSAcctIDs=$C28))</f>
        <v>-54862.16</v>
      </c>
      <c r="BC28" s="347" cm="1">
        <f t="array" ref="BC28">SUM(_xlfn._xlws.FILTER(_xlfn._xlws.FILTER(dataGLBS,endDates=BC$5),dataGLBSAcctIDs=$C28))</f>
        <v>-57912.82</v>
      </c>
      <c r="BD28" s="347" cm="1">
        <f t="array" ref="BD28">SUM(_xlfn._xlws.FILTER(_xlfn._xlws.FILTER(dataGLBS,endDates=BD$5),dataGLBSAcctIDs=$C28))</f>
        <v>-60963.48</v>
      </c>
      <c r="BE28" s="347" cm="1">
        <f t="array" ref="BE28">SUM(_xlfn._xlws.FILTER(_xlfn._xlws.FILTER(dataGLBS,endDates=BE$5),dataGLBSAcctIDs=$C28))</f>
        <v>-64014.14</v>
      </c>
      <c r="BF28" s="347" cm="1">
        <f t="array" ref="BF28">SUM(_xlfn._xlws.FILTER(_xlfn._xlws.FILTER(dataGLBS,endDates=BF$5),dataGLBSAcctIDs=$C28))</f>
        <v>-67064.800000000003</v>
      </c>
      <c r="BG28" s="347" cm="1">
        <f t="array" ref="BG28">SUM(_xlfn._xlws.FILTER(_xlfn._xlws.FILTER(dataGLBS,endDates=BG$5),dataGLBSAcctIDs=$C28))</f>
        <v>-70115.460000000006</v>
      </c>
      <c r="BH28" s="347" cm="1">
        <f t="array" ref="BH28">SUM(_xlfn._xlws.FILTER(_xlfn._xlws.FILTER(dataGLBS,endDates=BH$5),dataGLBSAcctIDs=$C28))</f>
        <v>-73166.12</v>
      </c>
      <c r="BI28" s="347" cm="1">
        <f t="array" ref="BI28">SUM(_xlfn._xlws.FILTER(_xlfn._xlws.FILTER(dataGLBS,endDates=BI$5),dataGLBSAcctIDs=$C28))</f>
        <v>-76216.78</v>
      </c>
      <c r="BJ28" s="347" cm="1">
        <f t="array" ref="BJ28">SUM(_xlfn._xlws.FILTER(_xlfn._xlws.FILTER(dataGLBS,endDates=BJ$5),dataGLBSAcctIDs=$C28))</f>
        <v>-79267.44</v>
      </c>
      <c r="BK28" s="347" cm="1">
        <f t="array" ref="BK28">SUM(_xlfn._xlws.FILTER(_xlfn._xlws.FILTER(dataGLBS,endDates=BK$5),dataGLBSAcctIDs=$C28))</f>
        <v>-82318.100000000006</v>
      </c>
      <c r="BL28" s="347" cm="1">
        <f t="array" ref="BL28">SUM(_xlfn._xlws.FILTER(_xlfn._xlws.FILTER(dataGLBS,endDates=BL$5),dataGLBSAcctIDs=$C28))</f>
        <v>-85368.76</v>
      </c>
      <c r="BM28" s="347" cm="1">
        <f t="array" ref="BM28">SUM(_xlfn._xlws.FILTER(_xlfn._xlws.FILTER(dataGLBS,endDates=BM$5),dataGLBSAcctIDs=$C28))</f>
        <v>-88546.57666666666</v>
      </c>
      <c r="BN28" s="347" cm="1">
        <f t="array" ref="BN28">SUM(_xlfn._xlws.FILTER(_xlfn._xlws.FILTER(dataGLBS,endDates=BN$5),dataGLBSAcctIDs=$C28))</f>
        <v>-91654.948888888888</v>
      </c>
      <c r="BO28" s="347" cm="1">
        <f t="array" ref="BO28">SUM(_xlfn._xlws.FILTER(_xlfn._xlws.FILTER(dataGLBS,endDates=BO$5),dataGLBSAcctIDs=$C28))</f>
        <v>-95041.098888888882</v>
      </c>
      <c r="BP28" s="347" cm="1">
        <f t="array" ref="BP28">SUM(_xlfn._xlws.FILTER(_xlfn._xlws.FILTER(dataGLBS,endDates=BP$5),dataGLBSAcctIDs=$C28))</f>
        <v>-98357.804444444439</v>
      </c>
      <c r="BQ28" s="347" cm="1">
        <f t="array" ref="BQ28">SUM(_xlfn._xlws.FILTER(_xlfn._xlws.FILTER(dataGLBS,endDates=BQ$5),dataGLBSAcctIDs=$C28))</f>
        <v>-100702.28777777778</v>
      </c>
      <c r="BR28" s="347" cm="1">
        <f t="array" ref="BR28">SUM(_xlfn._xlws.FILTER(_xlfn._xlws.FILTER(dataGLBS,endDates=BR$5),dataGLBSAcctIDs=$C28))</f>
        <v>-103393.99333333333</v>
      </c>
      <c r="BS28" s="347" cm="1">
        <f t="array" ref="BS28">SUM(_xlfn._xlws.FILTER(_xlfn._xlws.FILTER(dataGLBS,endDates=BS$5),dataGLBSAcctIDs=$C28))</f>
        <v>-105863.47666666667</v>
      </c>
      <c r="BT28" s="347" cm="1">
        <f t="array" ref="BT28">SUM(_xlfn._xlws.FILTER(_xlfn._xlws.FILTER(dataGLBS,endDates=BT$5),dataGLBSAcctIDs=$C28))</f>
        <v>-108332.96</v>
      </c>
      <c r="BU28" s="347" cm="1">
        <f t="array" ref="BU28">SUM(_xlfn._xlws.FILTER(_xlfn._xlws.FILTER(dataGLBS,endDates=BU$5),dataGLBSAcctIDs=$C28))</f>
        <v>-110732.99888888889</v>
      </c>
      <c r="BV28" s="347" cm="1">
        <f t="array" ref="BV28">SUM(_xlfn._xlws.FILTER(_xlfn._xlws.FILTER(dataGLBS,endDates=BV$5),dataGLBSAcctIDs=$C28))</f>
        <v>-113133.03777777778</v>
      </c>
      <c r="BW28" s="347" cm="1">
        <f t="array" ref="BW28">SUM(_xlfn._xlws.FILTER(_xlfn._xlws.FILTER(dataGLBS,endDates=BW$5),dataGLBSAcctIDs=$C28))</f>
        <v>-115533.07666666666</v>
      </c>
      <c r="BX28" s="347" cm="1">
        <f t="array" ref="BX28">SUM(_xlfn._xlws.FILTER(_xlfn._xlws.FILTER(dataGLBS,endDates=BX$5),dataGLBSAcctIDs=$C28))</f>
        <v>-117933.11555555555</v>
      </c>
      <c r="BY28" s="347" cm="1">
        <f t="array" ref="BY28">SUM(_xlfn._xlws.FILTER(_xlfn._xlws.FILTER(dataGLBS,endDates=BY$5),dataGLBSAcctIDs=$C28))</f>
        <v>-120333.15444444443</v>
      </c>
      <c r="BZ28" s="201"/>
    </row>
    <row r="29" spans="1:78" s="350" customFormat="1" ht="21" customHeight="1">
      <c r="A29" s="215"/>
      <c r="B29" s="622" t="s">
        <v>294</v>
      </c>
      <c r="C29" s="343">
        <v>60</v>
      </c>
      <c r="D29" s="215"/>
      <c r="E29" s="216"/>
      <c r="F29" s="347" cm="1">
        <f t="array" ref="F29">SUM(_xlfn._xlws.FILTER(_xlfn._xlws.FILTER(dataGLBS,endDates=F$5),dataGLBSAcctIDs=$C29))</f>
        <v>52718</v>
      </c>
      <c r="G29" s="347" cm="1">
        <f t="array" ref="G29">SUM(_xlfn._xlws.FILTER(_xlfn._xlws.FILTER(dataGLBS,endDates=G$5),dataGLBSAcctIDs=$C29))</f>
        <v>52718</v>
      </c>
      <c r="H29" s="347" cm="1">
        <f t="array" ref="H29">SUM(_xlfn._xlws.FILTER(_xlfn._xlws.FILTER(dataGLBS,endDates=H$5),dataGLBSAcctIDs=$C29))</f>
        <v>52718</v>
      </c>
      <c r="I29" s="347" cm="1">
        <f t="array" ref="I29">SUM(_xlfn._xlws.FILTER(_xlfn._xlws.FILTER(dataGLBS,endDates=I$5),dataGLBSAcctIDs=$C29))</f>
        <v>52718</v>
      </c>
      <c r="J29" s="344"/>
      <c r="K29" s="344"/>
      <c r="L29" s="347" cm="1">
        <f t="array" ref="L29">SUM(_xlfn._xlws.FILTER(_xlfn._xlws.FILTER(dataGLBS,endDates=L$5),dataGLBSAcctIDs=$C29))</f>
        <v>52718</v>
      </c>
      <c r="M29" s="347" cm="1">
        <f t="array" ref="M29">SUM(_xlfn._xlws.FILTER(_xlfn._xlws.FILTER(dataGLBS,endDates=M$5),dataGLBSAcctIDs=$C29))</f>
        <v>52718</v>
      </c>
      <c r="N29" s="347" cm="1">
        <f t="array" ref="N29">SUM(_xlfn._xlws.FILTER(_xlfn._xlws.FILTER(dataGLBS,endDates=N$5),dataGLBSAcctIDs=$C29))</f>
        <v>52718</v>
      </c>
      <c r="O29" s="347" cm="1">
        <f t="array" ref="O29">SUM(_xlfn._xlws.FILTER(_xlfn._xlws.FILTER(dataGLBS,endDates=O$5),dataGLBSAcctIDs=$C29))</f>
        <v>52718</v>
      </c>
      <c r="P29" s="347" cm="1">
        <f t="array" ref="P29">SUM(_xlfn._xlws.FILTER(_xlfn._xlws.FILTER(dataGLBS,endDates=P$5),dataGLBSAcctIDs=$C29))</f>
        <v>52718</v>
      </c>
      <c r="Q29" s="347" cm="1">
        <f t="array" ref="Q29">SUM(_xlfn._xlws.FILTER(_xlfn._xlws.FILTER(dataGLBS,endDates=Q$5),dataGLBSAcctIDs=$C29))</f>
        <v>52718</v>
      </c>
      <c r="R29" s="347" cm="1">
        <f t="array" ref="R29">SUM(_xlfn._xlws.FILTER(_xlfn._xlws.FILTER(dataGLBS,endDates=R$5),dataGLBSAcctIDs=$C29))</f>
        <v>52718</v>
      </c>
      <c r="S29" s="347" cm="1">
        <f t="array" ref="S29">SUM(_xlfn._xlws.FILTER(_xlfn._xlws.FILTER(dataGLBS,endDates=S$5),dataGLBSAcctIDs=$C29))</f>
        <v>52718</v>
      </c>
      <c r="T29" s="347" cm="1">
        <f t="array" ref="T29">SUM(_xlfn._xlws.FILTER(_xlfn._xlws.FILTER(dataGLBS,endDates=T$5),dataGLBSAcctIDs=$C29))</f>
        <v>52718</v>
      </c>
      <c r="U29" s="347" cm="1">
        <f t="array" ref="U29">SUM(_xlfn._xlws.FILTER(_xlfn._xlws.FILTER(dataGLBS,endDates=U$5),dataGLBSAcctIDs=$C29))</f>
        <v>52718</v>
      </c>
      <c r="V29" s="347" cm="1">
        <f t="array" ref="V29">SUM(_xlfn._xlws.FILTER(_xlfn._xlws.FILTER(dataGLBS,endDates=V$5),dataGLBSAcctIDs=$C29))</f>
        <v>52718</v>
      </c>
      <c r="W29" s="347" cm="1">
        <f t="array" ref="W29">SUM(_xlfn._xlws.FILTER(_xlfn._xlws.FILTER(dataGLBS,endDates=W$5),dataGLBSAcctIDs=$C29))</f>
        <v>52718</v>
      </c>
      <c r="X29" s="347" cm="1">
        <f t="array" ref="X29">SUM(_xlfn._xlws.FILTER(_xlfn._xlws.FILTER(dataGLBS,endDates=X$5),dataGLBSAcctIDs=$C29))</f>
        <v>52718</v>
      </c>
      <c r="Y29" s="347" cm="1">
        <f t="array" ref="Y29">SUM(_xlfn._xlws.FILTER(_xlfn._xlws.FILTER(dataGLBS,endDates=Y$5),dataGLBSAcctIDs=$C29))</f>
        <v>52718</v>
      </c>
      <c r="Z29" s="347" cm="1">
        <f t="array" ref="Z29">SUM(_xlfn._xlws.FILTER(_xlfn._xlws.FILTER(dataGLBS,endDates=Z$5),dataGLBSAcctIDs=$C29))</f>
        <v>52718</v>
      </c>
      <c r="AA29" s="347" cm="1">
        <f t="array" ref="AA29">SUM(_xlfn._xlws.FILTER(_xlfn._xlws.FILTER(dataGLBS,endDates=AA$5),dataGLBSAcctIDs=$C29))</f>
        <v>52718</v>
      </c>
      <c r="AB29" s="215"/>
      <c r="AC29" s="344"/>
      <c r="AD29" s="347" cm="1">
        <f t="array" ref="AD29">SUM(_xlfn._xlws.FILTER(_xlfn._xlws.FILTER(dataGLBS,endDates=AD$5),dataGLBSAcctIDs=$C29))</f>
        <v>52718</v>
      </c>
      <c r="AE29" s="347" cm="1">
        <f t="array" ref="AE29">SUM(_xlfn._xlws.FILTER(_xlfn._xlws.FILTER(dataGLBS,endDates=AE$5),dataGLBSAcctIDs=$C29))</f>
        <v>52718</v>
      </c>
      <c r="AF29" s="347" cm="1">
        <f t="array" ref="AF29">SUM(_xlfn._xlws.FILTER(_xlfn._xlws.FILTER(dataGLBS,endDates=AF$5),dataGLBSAcctIDs=$C29))</f>
        <v>52718</v>
      </c>
      <c r="AG29" s="347" cm="1">
        <f t="array" ref="AG29">SUM(_xlfn._xlws.FILTER(_xlfn._xlws.FILTER(dataGLBS,endDates=AG$5),dataGLBSAcctIDs=$C29))</f>
        <v>52718</v>
      </c>
      <c r="AH29" s="347" cm="1">
        <f t="array" ref="AH29">SUM(_xlfn._xlws.FILTER(_xlfn._xlws.FILTER(dataGLBS,endDates=AH$5),dataGLBSAcctIDs=$C29))</f>
        <v>52718</v>
      </c>
      <c r="AI29" s="347" cm="1">
        <f t="array" ref="AI29">SUM(_xlfn._xlws.FILTER(_xlfn._xlws.FILTER(dataGLBS,endDates=AI$5),dataGLBSAcctIDs=$C29))</f>
        <v>52718</v>
      </c>
      <c r="AJ29" s="347" cm="1">
        <f t="array" ref="AJ29">SUM(_xlfn._xlws.FILTER(_xlfn._xlws.FILTER(dataGLBS,endDates=AJ$5),dataGLBSAcctIDs=$C29))</f>
        <v>52718</v>
      </c>
      <c r="AK29" s="347" cm="1">
        <f t="array" ref="AK29">SUM(_xlfn._xlws.FILTER(_xlfn._xlws.FILTER(dataGLBS,endDates=AK$5),dataGLBSAcctIDs=$C29))</f>
        <v>52718</v>
      </c>
      <c r="AL29" s="347" cm="1">
        <f t="array" ref="AL29">SUM(_xlfn._xlws.FILTER(_xlfn._xlws.FILTER(dataGLBS,endDates=AL$5),dataGLBSAcctIDs=$C29))</f>
        <v>52718</v>
      </c>
      <c r="AM29" s="347" cm="1">
        <f t="array" ref="AM29">SUM(_xlfn._xlws.FILTER(_xlfn._xlws.FILTER(dataGLBS,endDates=AM$5),dataGLBSAcctIDs=$C29))</f>
        <v>52718</v>
      </c>
      <c r="AN29" s="347" cm="1">
        <f t="array" ref="AN29">SUM(_xlfn._xlws.FILTER(_xlfn._xlws.FILTER(dataGLBS,endDates=AN$5),dataGLBSAcctIDs=$C29))</f>
        <v>52718</v>
      </c>
      <c r="AO29" s="347" cm="1">
        <f t="array" ref="AO29">SUM(_xlfn._xlws.FILTER(_xlfn._xlws.FILTER(dataGLBS,endDates=AO$5),dataGLBSAcctIDs=$C29))</f>
        <v>52718</v>
      </c>
      <c r="AP29" s="347" cm="1">
        <f t="array" ref="AP29">SUM(_xlfn._xlws.FILTER(_xlfn._xlws.FILTER(dataGLBS,endDates=AP$5),dataGLBSAcctIDs=$C29))</f>
        <v>52718</v>
      </c>
      <c r="AQ29" s="347" cm="1">
        <f t="array" ref="AQ29">SUM(_xlfn._xlws.FILTER(_xlfn._xlws.FILTER(dataGLBS,endDates=AQ$5),dataGLBSAcctIDs=$C29))</f>
        <v>52718</v>
      </c>
      <c r="AR29" s="347" cm="1">
        <f t="array" ref="AR29">SUM(_xlfn._xlws.FILTER(_xlfn._xlws.FILTER(dataGLBS,endDates=AR$5),dataGLBSAcctIDs=$C29))</f>
        <v>52718</v>
      </c>
      <c r="AS29" s="347" cm="1">
        <f t="array" ref="AS29">SUM(_xlfn._xlws.FILTER(_xlfn._xlws.FILTER(dataGLBS,endDates=AS$5),dataGLBSAcctIDs=$C29))</f>
        <v>52718</v>
      </c>
      <c r="AT29" s="347" cm="1">
        <f t="array" ref="AT29">SUM(_xlfn._xlws.FILTER(_xlfn._xlws.FILTER(dataGLBS,endDates=AT$5),dataGLBSAcctIDs=$C29))</f>
        <v>52718</v>
      </c>
      <c r="AU29" s="347" cm="1">
        <f t="array" ref="AU29">SUM(_xlfn._xlws.FILTER(_xlfn._xlws.FILTER(dataGLBS,endDates=AU$5),dataGLBSAcctIDs=$C29))</f>
        <v>52718</v>
      </c>
      <c r="AV29" s="347" cm="1">
        <f t="array" ref="AV29">SUM(_xlfn._xlws.FILTER(_xlfn._xlws.FILTER(dataGLBS,endDates=AV$5),dataGLBSAcctIDs=$C29))</f>
        <v>52718</v>
      </c>
      <c r="AW29" s="347" cm="1">
        <f t="array" ref="AW29">SUM(_xlfn._xlws.FILTER(_xlfn._xlws.FILTER(dataGLBS,endDates=AW$5),dataGLBSAcctIDs=$C29))</f>
        <v>52718</v>
      </c>
      <c r="AX29" s="347" cm="1">
        <f t="array" ref="AX29">SUM(_xlfn._xlws.FILTER(_xlfn._xlws.FILTER(dataGLBS,endDates=AX$5),dataGLBSAcctIDs=$C29))</f>
        <v>52718</v>
      </c>
      <c r="AY29" s="347" cm="1">
        <f t="array" ref="AY29">SUM(_xlfn._xlws.FILTER(_xlfn._xlws.FILTER(dataGLBS,endDates=AY$5),dataGLBSAcctIDs=$C29))</f>
        <v>52718</v>
      </c>
      <c r="AZ29" s="347" cm="1">
        <f t="array" ref="AZ29">SUM(_xlfn._xlws.FILTER(_xlfn._xlws.FILTER(dataGLBS,endDates=AZ$5),dataGLBSAcctIDs=$C29))</f>
        <v>52718</v>
      </c>
      <c r="BA29" s="347" cm="1">
        <f t="array" ref="BA29">SUM(_xlfn._xlws.FILTER(_xlfn._xlws.FILTER(dataGLBS,endDates=BA$5),dataGLBSAcctIDs=$C29))</f>
        <v>52718</v>
      </c>
      <c r="BB29" s="347" cm="1">
        <f t="array" ref="BB29">SUM(_xlfn._xlws.FILTER(_xlfn._xlws.FILTER(dataGLBS,endDates=BB$5),dataGLBSAcctIDs=$C29))</f>
        <v>52718</v>
      </c>
      <c r="BC29" s="347" cm="1">
        <f t="array" ref="BC29">SUM(_xlfn._xlws.FILTER(_xlfn._xlws.FILTER(dataGLBS,endDates=BC$5),dataGLBSAcctIDs=$C29))</f>
        <v>52718</v>
      </c>
      <c r="BD29" s="347" cm="1">
        <f t="array" ref="BD29">SUM(_xlfn._xlws.FILTER(_xlfn._xlws.FILTER(dataGLBS,endDates=BD$5),dataGLBSAcctIDs=$C29))</f>
        <v>52718</v>
      </c>
      <c r="BE29" s="347" cm="1">
        <f t="array" ref="BE29">SUM(_xlfn._xlws.FILTER(_xlfn._xlws.FILTER(dataGLBS,endDates=BE$5),dataGLBSAcctIDs=$C29))</f>
        <v>52718</v>
      </c>
      <c r="BF29" s="347" cm="1">
        <f t="array" ref="BF29">SUM(_xlfn._xlws.FILTER(_xlfn._xlws.FILTER(dataGLBS,endDates=BF$5),dataGLBSAcctIDs=$C29))</f>
        <v>52718</v>
      </c>
      <c r="BG29" s="347" cm="1">
        <f t="array" ref="BG29">SUM(_xlfn._xlws.FILTER(_xlfn._xlws.FILTER(dataGLBS,endDates=BG$5),dataGLBSAcctIDs=$C29))</f>
        <v>52718</v>
      </c>
      <c r="BH29" s="347" cm="1">
        <f t="array" ref="BH29">SUM(_xlfn._xlws.FILTER(_xlfn._xlws.FILTER(dataGLBS,endDates=BH$5),dataGLBSAcctIDs=$C29))</f>
        <v>52718</v>
      </c>
      <c r="BI29" s="347" cm="1">
        <f t="array" ref="BI29">SUM(_xlfn._xlws.FILTER(_xlfn._xlws.FILTER(dataGLBS,endDates=BI$5),dataGLBSAcctIDs=$C29))</f>
        <v>52718</v>
      </c>
      <c r="BJ29" s="347" cm="1">
        <f t="array" ref="BJ29">SUM(_xlfn._xlws.FILTER(_xlfn._xlws.FILTER(dataGLBS,endDates=BJ$5),dataGLBSAcctIDs=$C29))</f>
        <v>52718</v>
      </c>
      <c r="BK29" s="347" cm="1">
        <f t="array" ref="BK29">SUM(_xlfn._xlws.FILTER(_xlfn._xlws.FILTER(dataGLBS,endDates=BK$5),dataGLBSAcctIDs=$C29))</f>
        <v>52718</v>
      </c>
      <c r="BL29" s="347" cm="1">
        <f t="array" ref="BL29">SUM(_xlfn._xlws.FILTER(_xlfn._xlws.FILTER(dataGLBS,endDates=BL$5),dataGLBSAcctIDs=$C29))</f>
        <v>52718</v>
      </c>
      <c r="BM29" s="347" cm="1">
        <f t="array" ref="BM29">SUM(_xlfn._xlws.FILTER(_xlfn._xlws.FILTER(dataGLBS,endDates=BM$5),dataGLBSAcctIDs=$C29))</f>
        <v>52718</v>
      </c>
      <c r="BN29" s="347" cm="1">
        <f t="array" ref="BN29">SUM(_xlfn._xlws.FILTER(_xlfn._xlws.FILTER(dataGLBS,endDates=BN$5),dataGLBSAcctIDs=$C29))</f>
        <v>52718</v>
      </c>
      <c r="BO29" s="347" cm="1">
        <f t="array" ref="BO29">SUM(_xlfn._xlws.FILTER(_xlfn._xlws.FILTER(dataGLBS,endDates=BO$5),dataGLBSAcctIDs=$C29))</f>
        <v>52718</v>
      </c>
      <c r="BP29" s="347" cm="1">
        <f t="array" ref="BP29">SUM(_xlfn._xlws.FILTER(_xlfn._xlws.FILTER(dataGLBS,endDates=BP$5),dataGLBSAcctIDs=$C29))</f>
        <v>52718</v>
      </c>
      <c r="BQ29" s="347" cm="1">
        <f t="array" ref="BQ29">SUM(_xlfn._xlws.FILTER(_xlfn._xlws.FILTER(dataGLBS,endDates=BQ$5),dataGLBSAcctIDs=$C29))</f>
        <v>52718</v>
      </c>
      <c r="BR29" s="347" cm="1">
        <f t="array" ref="BR29">SUM(_xlfn._xlws.FILTER(_xlfn._xlws.FILTER(dataGLBS,endDates=BR$5),dataGLBSAcctIDs=$C29))</f>
        <v>52718</v>
      </c>
      <c r="BS29" s="347" cm="1">
        <f t="array" ref="BS29">SUM(_xlfn._xlws.FILTER(_xlfn._xlws.FILTER(dataGLBS,endDates=BS$5),dataGLBSAcctIDs=$C29))</f>
        <v>52718</v>
      </c>
      <c r="BT29" s="347" cm="1">
        <f t="array" ref="BT29">SUM(_xlfn._xlws.FILTER(_xlfn._xlws.FILTER(dataGLBS,endDates=BT$5),dataGLBSAcctIDs=$C29))</f>
        <v>52718</v>
      </c>
      <c r="BU29" s="347" cm="1">
        <f t="array" ref="BU29">SUM(_xlfn._xlws.FILTER(_xlfn._xlws.FILTER(dataGLBS,endDates=BU$5),dataGLBSAcctIDs=$C29))</f>
        <v>52718</v>
      </c>
      <c r="BV29" s="347" cm="1">
        <f t="array" ref="BV29">SUM(_xlfn._xlws.FILTER(_xlfn._xlws.FILTER(dataGLBS,endDates=BV$5),dataGLBSAcctIDs=$C29))</f>
        <v>52718</v>
      </c>
      <c r="BW29" s="347" cm="1">
        <f t="array" ref="BW29">SUM(_xlfn._xlws.FILTER(_xlfn._xlws.FILTER(dataGLBS,endDates=BW$5),dataGLBSAcctIDs=$C29))</f>
        <v>52718</v>
      </c>
      <c r="BX29" s="347" cm="1">
        <f t="array" ref="BX29">SUM(_xlfn._xlws.FILTER(_xlfn._xlws.FILTER(dataGLBS,endDates=BX$5),dataGLBSAcctIDs=$C29))</f>
        <v>52718</v>
      </c>
      <c r="BY29" s="347" cm="1">
        <f t="array" ref="BY29">SUM(_xlfn._xlws.FILTER(_xlfn._xlws.FILTER(dataGLBS,endDates=BY$5),dataGLBSAcctIDs=$C29))</f>
        <v>52718</v>
      </c>
      <c r="BZ29" s="201"/>
    </row>
    <row r="30" spans="1:78" s="350" customFormat="1" ht="21" customHeight="1">
      <c r="A30" s="215"/>
      <c r="B30" s="622" t="s">
        <v>295</v>
      </c>
      <c r="C30" s="343">
        <v>1150040001</v>
      </c>
      <c r="D30" s="215"/>
      <c r="E30" s="216"/>
      <c r="F30" s="347" cm="1">
        <f t="array" ref="F30">SUM(_xlfn._xlws.FILTER(_xlfn._xlws.FILTER(dataGLBS,endDates=F$5),dataGLBSAcctIDs=$C30))</f>
        <v>7951</v>
      </c>
      <c r="G30" s="347" cm="1">
        <f t="array" ref="G30">SUM(_xlfn._xlws.FILTER(_xlfn._xlws.FILTER(dataGLBS,endDates=G$5),dataGLBSAcctIDs=$C30))</f>
        <v>7951</v>
      </c>
      <c r="H30" s="347" cm="1">
        <f t="array" ref="H30">SUM(_xlfn._xlws.FILTER(_xlfn._xlws.FILTER(dataGLBS,endDates=H$5),dataGLBSAcctIDs=$C30))</f>
        <v>7951</v>
      </c>
      <c r="I30" s="347" cm="1">
        <f t="array" ref="I30">SUM(_xlfn._xlws.FILTER(_xlfn._xlws.FILTER(dataGLBS,endDates=I$5),dataGLBSAcctIDs=$C30))</f>
        <v>7951</v>
      </c>
      <c r="J30" s="344"/>
      <c r="K30" s="344"/>
      <c r="L30" s="347" cm="1">
        <f t="array" ref="L30">SUM(_xlfn._xlws.FILTER(_xlfn._xlws.FILTER(dataGLBS,endDates=L$5),dataGLBSAcctIDs=$C30))</f>
        <v>7951</v>
      </c>
      <c r="M30" s="347" cm="1">
        <f t="array" ref="M30">SUM(_xlfn._xlws.FILTER(_xlfn._xlws.FILTER(dataGLBS,endDates=M$5),dataGLBSAcctIDs=$C30))</f>
        <v>7951</v>
      </c>
      <c r="N30" s="347" cm="1">
        <f t="array" ref="N30">SUM(_xlfn._xlws.FILTER(_xlfn._xlws.FILTER(dataGLBS,endDates=N$5),dataGLBSAcctIDs=$C30))</f>
        <v>7951</v>
      </c>
      <c r="O30" s="347" cm="1">
        <f t="array" ref="O30">SUM(_xlfn._xlws.FILTER(_xlfn._xlws.FILTER(dataGLBS,endDates=O$5),dataGLBSAcctIDs=$C30))</f>
        <v>7951</v>
      </c>
      <c r="P30" s="347" cm="1">
        <f t="array" ref="P30">SUM(_xlfn._xlws.FILTER(_xlfn._xlws.FILTER(dataGLBS,endDates=P$5),dataGLBSAcctIDs=$C30))</f>
        <v>7951</v>
      </c>
      <c r="Q30" s="347" cm="1">
        <f t="array" ref="Q30">SUM(_xlfn._xlws.FILTER(_xlfn._xlws.FILTER(dataGLBS,endDates=Q$5),dataGLBSAcctIDs=$C30))</f>
        <v>7951</v>
      </c>
      <c r="R30" s="347" cm="1">
        <f t="array" ref="R30">SUM(_xlfn._xlws.FILTER(_xlfn._xlws.FILTER(dataGLBS,endDates=R$5),dataGLBSAcctIDs=$C30))</f>
        <v>7951</v>
      </c>
      <c r="S30" s="347" cm="1">
        <f t="array" ref="S30">SUM(_xlfn._xlws.FILTER(_xlfn._xlws.FILTER(dataGLBS,endDates=S$5),dataGLBSAcctIDs=$C30))</f>
        <v>7951</v>
      </c>
      <c r="T30" s="347" cm="1">
        <f t="array" ref="T30">SUM(_xlfn._xlws.FILTER(_xlfn._xlws.FILTER(dataGLBS,endDates=T$5),dataGLBSAcctIDs=$C30))</f>
        <v>7951</v>
      </c>
      <c r="U30" s="347" cm="1">
        <f t="array" ref="U30">SUM(_xlfn._xlws.FILTER(_xlfn._xlws.FILTER(dataGLBS,endDates=U$5),dataGLBSAcctIDs=$C30))</f>
        <v>7951</v>
      </c>
      <c r="V30" s="347" cm="1">
        <f t="array" ref="V30">SUM(_xlfn._xlws.FILTER(_xlfn._xlws.FILTER(dataGLBS,endDates=V$5),dataGLBSAcctIDs=$C30))</f>
        <v>7951</v>
      </c>
      <c r="W30" s="347" cm="1">
        <f t="array" ref="W30">SUM(_xlfn._xlws.FILTER(_xlfn._xlws.FILTER(dataGLBS,endDates=W$5),dataGLBSAcctIDs=$C30))</f>
        <v>7951</v>
      </c>
      <c r="X30" s="347" cm="1">
        <f t="array" ref="X30">SUM(_xlfn._xlws.FILTER(_xlfn._xlws.FILTER(dataGLBS,endDates=X$5),dataGLBSAcctIDs=$C30))</f>
        <v>7951</v>
      </c>
      <c r="Y30" s="347" cm="1">
        <f t="array" ref="Y30">SUM(_xlfn._xlws.FILTER(_xlfn._xlws.FILTER(dataGLBS,endDates=Y$5),dataGLBSAcctIDs=$C30))</f>
        <v>7951</v>
      </c>
      <c r="Z30" s="347" cm="1">
        <f t="array" ref="Z30">SUM(_xlfn._xlws.FILTER(_xlfn._xlws.FILTER(dataGLBS,endDates=Z$5),dataGLBSAcctIDs=$C30))</f>
        <v>7951</v>
      </c>
      <c r="AA30" s="347" cm="1">
        <f t="array" ref="AA30">SUM(_xlfn._xlws.FILTER(_xlfn._xlws.FILTER(dataGLBS,endDates=AA$5),dataGLBSAcctIDs=$C30))</f>
        <v>7951</v>
      </c>
      <c r="AB30" s="215"/>
      <c r="AC30" s="344"/>
      <c r="AD30" s="347" cm="1">
        <f t="array" ref="AD30">SUM(_xlfn._xlws.FILTER(_xlfn._xlws.FILTER(dataGLBS,endDates=AD$5),dataGLBSAcctIDs=$C30))</f>
        <v>7951</v>
      </c>
      <c r="AE30" s="347" cm="1">
        <f t="array" ref="AE30">SUM(_xlfn._xlws.FILTER(_xlfn._xlws.FILTER(dataGLBS,endDates=AE$5),dataGLBSAcctIDs=$C30))</f>
        <v>7951</v>
      </c>
      <c r="AF30" s="347" cm="1">
        <f t="array" ref="AF30">SUM(_xlfn._xlws.FILTER(_xlfn._xlws.FILTER(dataGLBS,endDates=AF$5),dataGLBSAcctIDs=$C30))</f>
        <v>7951</v>
      </c>
      <c r="AG30" s="347" cm="1">
        <f t="array" ref="AG30">SUM(_xlfn._xlws.FILTER(_xlfn._xlws.FILTER(dataGLBS,endDates=AG$5),dataGLBSAcctIDs=$C30))</f>
        <v>7951</v>
      </c>
      <c r="AH30" s="347" cm="1">
        <f t="array" ref="AH30">SUM(_xlfn._xlws.FILTER(_xlfn._xlws.FILTER(dataGLBS,endDates=AH$5),dataGLBSAcctIDs=$C30))</f>
        <v>7951</v>
      </c>
      <c r="AI30" s="347" cm="1">
        <f t="array" ref="AI30">SUM(_xlfn._xlws.FILTER(_xlfn._xlws.FILTER(dataGLBS,endDates=AI$5),dataGLBSAcctIDs=$C30))</f>
        <v>7951</v>
      </c>
      <c r="AJ30" s="347" cm="1">
        <f t="array" ref="AJ30">SUM(_xlfn._xlws.FILTER(_xlfn._xlws.FILTER(dataGLBS,endDates=AJ$5),dataGLBSAcctIDs=$C30))</f>
        <v>7951</v>
      </c>
      <c r="AK30" s="347" cm="1">
        <f t="array" ref="AK30">SUM(_xlfn._xlws.FILTER(_xlfn._xlws.FILTER(dataGLBS,endDates=AK$5),dataGLBSAcctIDs=$C30))</f>
        <v>7951</v>
      </c>
      <c r="AL30" s="347" cm="1">
        <f t="array" ref="AL30">SUM(_xlfn._xlws.FILTER(_xlfn._xlws.FILTER(dataGLBS,endDates=AL$5),dataGLBSAcctIDs=$C30))</f>
        <v>7951</v>
      </c>
      <c r="AM30" s="347" cm="1">
        <f t="array" ref="AM30">SUM(_xlfn._xlws.FILTER(_xlfn._xlws.FILTER(dataGLBS,endDates=AM$5),dataGLBSAcctIDs=$C30))</f>
        <v>7951</v>
      </c>
      <c r="AN30" s="347" cm="1">
        <f t="array" ref="AN30">SUM(_xlfn._xlws.FILTER(_xlfn._xlws.FILTER(dataGLBS,endDates=AN$5),dataGLBSAcctIDs=$C30))</f>
        <v>7951</v>
      </c>
      <c r="AO30" s="347" cm="1">
        <f t="array" ref="AO30">SUM(_xlfn._xlws.FILTER(_xlfn._xlws.FILTER(dataGLBS,endDates=AO$5),dataGLBSAcctIDs=$C30))</f>
        <v>7951</v>
      </c>
      <c r="AP30" s="347" cm="1">
        <f t="array" ref="AP30">SUM(_xlfn._xlws.FILTER(_xlfn._xlws.FILTER(dataGLBS,endDates=AP$5),dataGLBSAcctIDs=$C30))</f>
        <v>7951</v>
      </c>
      <c r="AQ30" s="347" cm="1">
        <f t="array" ref="AQ30">SUM(_xlfn._xlws.FILTER(_xlfn._xlws.FILTER(dataGLBS,endDates=AQ$5),dataGLBSAcctIDs=$C30))</f>
        <v>7951</v>
      </c>
      <c r="AR30" s="347" cm="1">
        <f t="array" ref="AR30">SUM(_xlfn._xlws.FILTER(_xlfn._xlws.FILTER(dataGLBS,endDates=AR$5),dataGLBSAcctIDs=$C30))</f>
        <v>7951</v>
      </c>
      <c r="AS30" s="347" cm="1">
        <f t="array" ref="AS30">SUM(_xlfn._xlws.FILTER(_xlfn._xlws.FILTER(dataGLBS,endDates=AS$5),dataGLBSAcctIDs=$C30))</f>
        <v>7951</v>
      </c>
      <c r="AT30" s="347" cm="1">
        <f t="array" ref="AT30">SUM(_xlfn._xlws.FILTER(_xlfn._xlws.FILTER(dataGLBS,endDates=AT$5),dataGLBSAcctIDs=$C30))</f>
        <v>7951</v>
      </c>
      <c r="AU30" s="347" cm="1">
        <f t="array" ref="AU30">SUM(_xlfn._xlws.FILTER(_xlfn._xlws.FILTER(dataGLBS,endDates=AU$5),dataGLBSAcctIDs=$C30))</f>
        <v>7951</v>
      </c>
      <c r="AV30" s="347" cm="1">
        <f t="array" ref="AV30">SUM(_xlfn._xlws.FILTER(_xlfn._xlws.FILTER(dataGLBS,endDates=AV$5),dataGLBSAcctIDs=$C30))</f>
        <v>7951</v>
      </c>
      <c r="AW30" s="347" cm="1">
        <f t="array" ref="AW30">SUM(_xlfn._xlws.FILTER(_xlfn._xlws.FILTER(dataGLBS,endDates=AW$5),dataGLBSAcctIDs=$C30))</f>
        <v>7951</v>
      </c>
      <c r="AX30" s="347" cm="1">
        <f t="array" ref="AX30">SUM(_xlfn._xlws.FILTER(_xlfn._xlws.FILTER(dataGLBS,endDates=AX$5),dataGLBSAcctIDs=$C30))</f>
        <v>7951</v>
      </c>
      <c r="AY30" s="347" cm="1">
        <f t="array" ref="AY30">SUM(_xlfn._xlws.FILTER(_xlfn._xlws.FILTER(dataGLBS,endDates=AY$5),dataGLBSAcctIDs=$C30))</f>
        <v>7951</v>
      </c>
      <c r="AZ30" s="347" cm="1">
        <f t="array" ref="AZ30">SUM(_xlfn._xlws.FILTER(_xlfn._xlws.FILTER(dataGLBS,endDates=AZ$5),dataGLBSAcctIDs=$C30))</f>
        <v>7951</v>
      </c>
      <c r="BA30" s="347" cm="1">
        <f t="array" ref="BA30">SUM(_xlfn._xlws.FILTER(_xlfn._xlws.FILTER(dataGLBS,endDates=BA$5),dataGLBSAcctIDs=$C30))</f>
        <v>7951</v>
      </c>
      <c r="BB30" s="347" cm="1">
        <f t="array" ref="BB30">SUM(_xlfn._xlws.FILTER(_xlfn._xlws.FILTER(dataGLBS,endDates=BB$5),dataGLBSAcctIDs=$C30))</f>
        <v>7951</v>
      </c>
      <c r="BC30" s="347" cm="1">
        <f t="array" ref="BC30">SUM(_xlfn._xlws.FILTER(_xlfn._xlws.FILTER(dataGLBS,endDates=BC$5),dataGLBSAcctIDs=$C30))</f>
        <v>7951</v>
      </c>
      <c r="BD30" s="347" cm="1">
        <f t="array" ref="BD30">SUM(_xlfn._xlws.FILTER(_xlfn._xlws.FILTER(dataGLBS,endDates=BD$5),dataGLBSAcctIDs=$C30))</f>
        <v>7951</v>
      </c>
      <c r="BE30" s="347" cm="1">
        <f t="array" ref="BE30">SUM(_xlfn._xlws.FILTER(_xlfn._xlws.FILTER(dataGLBS,endDates=BE$5),dataGLBSAcctIDs=$C30))</f>
        <v>7951</v>
      </c>
      <c r="BF30" s="347" cm="1">
        <f t="array" ref="BF30">SUM(_xlfn._xlws.FILTER(_xlfn._xlws.FILTER(dataGLBS,endDates=BF$5),dataGLBSAcctIDs=$C30))</f>
        <v>7951</v>
      </c>
      <c r="BG30" s="347" cm="1">
        <f t="array" ref="BG30">SUM(_xlfn._xlws.FILTER(_xlfn._xlws.FILTER(dataGLBS,endDates=BG$5),dataGLBSAcctIDs=$C30))</f>
        <v>7951</v>
      </c>
      <c r="BH30" s="347" cm="1">
        <f t="array" ref="BH30">SUM(_xlfn._xlws.FILTER(_xlfn._xlws.FILTER(dataGLBS,endDates=BH$5),dataGLBSAcctIDs=$C30))</f>
        <v>7951</v>
      </c>
      <c r="BI30" s="347" cm="1">
        <f t="array" ref="BI30">SUM(_xlfn._xlws.FILTER(_xlfn._xlws.FILTER(dataGLBS,endDates=BI$5),dataGLBSAcctIDs=$C30))</f>
        <v>7951</v>
      </c>
      <c r="BJ30" s="347" cm="1">
        <f t="array" ref="BJ30">SUM(_xlfn._xlws.FILTER(_xlfn._xlws.FILTER(dataGLBS,endDates=BJ$5),dataGLBSAcctIDs=$C30))</f>
        <v>7951</v>
      </c>
      <c r="BK30" s="347" cm="1">
        <f t="array" ref="BK30">SUM(_xlfn._xlws.FILTER(_xlfn._xlws.FILTER(dataGLBS,endDates=BK$5),dataGLBSAcctIDs=$C30))</f>
        <v>7951</v>
      </c>
      <c r="BL30" s="347" cm="1">
        <f t="array" ref="BL30">SUM(_xlfn._xlws.FILTER(_xlfn._xlws.FILTER(dataGLBS,endDates=BL$5),dataGLBSAcctIDs=$C30))</f>
        <v>7951</v>
      </c>
      <c r="BM30" s="347" cm="1">
        <f t="array" ref="BM30">SUM(_xlfn._xlws.FILTER(_xlfn._xlws.FILTER(dataGLBS,endDates=BM$5),dataGLBSAcctIDs=$C30))</f>
        <v>7951</v>
      </c>
      <c r="BN30" s="347" cm="1">
        <f t="array" ref="BN30">SUM(_xlfn._xlws.FILTER(_xlfn._xlws.FILTER(dataGLBS,endDates=BN$5),dataGLBSAcctIDs=$C30))</f>
        <v>7951</v>
      </c>
      <c r="BO30" s="347" cm="1">
        <f t="array" ref="BO30">SUM(_xlfn._xlws.FILTER(_xlfn._xlws.FILTER(dataGLBS,endDates=BO$5),dataGLBSAcctIDs=$C30))</f>
        <v>7951</v>
      </c>
      <c r="BP30" s="347" cm="1">
        <f t="array" ref="BP30">SUM(_xlfn._xlws.FILTER(_xlfn._xlws.FILTER(dataGLBS,endDates=BP$5),dataGLBSAcctIDs=$C30))</f>
        <v>7951</v>
      </c>
      <c r="BQ30" s="347" cm="1">
        <f t="array" ref="BQ30">SUM(_xlfn._xlws.FILTER(_xlfn._xlws.FILTER(dataGLBS,endDates=BQ$5),dataGLBSAcctIDs=$C30))</f>
        <v>7951</v>
      </c>
      <c r="BR30" s="347" cm="1">
        <f t="array" ref="BR30">SUM(_xlfn._xlws.FILTER(_xlfn._xlws.FILTER(dataGLBS,endDates=BR$5),dataGLBSAcctIDs=$C30))</f>
        <v>7951</v>
      </c>
      <c r="BS30" s="347" cm="1">
        <f t="array" ref="BS30">SUM(_xlfn._xlws.FILTER(_xlfn._xlws.FILTER(dataGLBS,endDates=BS$5),dataGLBSAcctIDs=$C30))</f>
        <v>7951</v>
      </c>
      <c r="BT30" s="347" cm="1">
        <f t="array" ref="BT30">SUM(_xlfn._xlws.FILTER(_xlfn._xlws.FILTER(dataGLBS,endDates=BT$5),dataGLBSAcctIDs=$C30))</f>
        <v>7951</v>
      </c>
      <c r="BU30" s="347" cm="1">
        <f t="array" ref="BU30">SUM(_xlfn._xlws.FILTER(_xlfn._xlws.FILTER(dataGLBS,endDates=BU$5),dataGLBSAcctIDs=$C30))</f>
        <v>7951</v>
      </c>
      <c r="BV30" s="347" cm="1">
        <f t="array" ref="BV30">SUM(_xlfn._xlws.FILTER(_xlfn._xlws.FILTER(dataGLBS,endDates=BV$5),dataGLBSAcctIDs=$C30))</f>
        <v>7951</v>
      </c>
      <c r="BW30" s="347" cm="1">
        <f t="array" ref="BW30">SUM(_xlfn._xlws.FILTER(_xlfn._xlws.FILTER(dataGLBS,endDates=BW$5),dataGLBSAcctIDs=$C30))</f>
        <v>7951</v>
      </c>
      <c r="BX30" s="347" cm="1">
        <f t="array" ref="BX30">SUM(_xlfn._xlws.FILTER(_xlfn._xlws.FILTER(dataGLBS,endDates=BX$5),dataGLBSAcctIDs=$C30))</f>
        <v>7951</v>
      </c>
      <c r="BY30" s="347" cm="1">
        <f t="array" ref="BY30">SUM(_xlfn._xlws.FILTER(_xlfn._xlws.FILTER(dataGLBS,endDates=BY$5),dataGLBSAcctIDs=$C30))</f>
        <v>7951</v>
      </c>
      <c r="BZ30" s="201"/>
    </row>
    <row r="31" spans="1:78" s="350" customFormat="1" ht="21" customHeight="1">
      <c r="A31" s="215"/>
      <c r="B31" s="342" t="s">
        <v>296</v>
      </c>
      <c r="C31" s="343" t="s">
        <v>297</v>
      </c>
      <c r="D31" s="215"/>
      <c r="E31" s="216"/>
      <c r="F31" s="346">
        <f t="shared" ref="F31:I31" si="21">_xlfn.AGGREGATE(9,0, F$24:F$30)</f>
        <v>98467</v>
      </c>
      <c r="G31" s="346">
        <f t="shared" si="21"/>
        <v>66857.5</v>
      </c>
      <c r="H31" s="346">
        <f t="shared" si="21"/>
        <v>50122.42333333334</v>
      </c>
      <c r="I31" s="346">
        <f t="shared" si="21"/>
        <v>43335.84555555557</v>
      </c>
      <c r="J31" s="344"/>
      <c r="K31" s="344"/>
      <c r="L31" s="346">
        <f t="shared" ref="L31:AA31" si="22">_xlfn.AGGREGATE(9,0, L$24:L$30)</f>
        <v>65392</v>
      </c>
      <c r="M31" s="346">
        <f t="shared" si="22"/>
        <v>107197</v>
      </c>
      <c r="N31" s="346">
        <f t="shared" si="22"/>
        <v>105350</v>
      </c>
      <c r="O31" s="346">
        <f t="shared" si="22"/>
        <v>98467</v>
      </c>
      <c r="P31" s="346">
        <f t="shared" si="22"/>
        <v>94315</v>
      </c>
      <c r="Q31" s="346">
        <f t="shared" si="22"/>
        <v>85163</v>
      </c>
      <c r="R31" s="346">
        <f t="shared" si="22"/>
        <v>76010</v>
      </c>
      <c r="S31" s="346">
        <f t="shared" si="22"/>
        <v>66857.5</v>
      </c>
      <c r="T31" s="346">
        <f t="shared" si="22"/>
        <v>57705.52</v>
      </c>
      <c r="U31" s="346">
        <f t="shared" si="22"/>
        <v>48553.539999999994</v>
      </c>
      <c r="V31" s="346">
        <f t="shared" si="22"/>
        <v>39401.56</v>
      </c>
      <c r="W31" s="346">
        <f t="shared" si="22"/>
        <v>50122.42333333334</v>
      </c>
      <c r="X31" s="346">
        <f t="shared" si="22"/>
        <v>50311.195555555561</v>
      </c>
      <c r="Y31" s="346">
        <f t="shared" si="22"/>
        <v>57805.523333333331</v>
      </c>
      <c r="Z31" s="346">
        <f t="shared" si="22"/>
        <v>50535.962222222224</v>
      </c>
      <c r="AA31" s="346">
        <f t="shared" si="22"/>
        <v>43335.84555555557</v>
      </c>
      <c r="AB31" s="215"/>
      <c r="AC31" s="344"/>
      <c r="AD31" s="346">
        <f>_xlfn.AGGREGATE(9,0, AD$24:AD$30)</f>
        <v>63100</v>
      </c>
      <c r="AE31" s="346">
        <f t="shared" ref="AE31:BY31" si="23">_xlfn.AGGREGATE(9,0, AE$24:AE$30)</f>
        <v>63031</v>
      </c>
      <c r="AF31" s="346">
        <f t="shared" si="23"/>
        <v>65392</v>
      </c>
      <c r="AG31" s="346">
        <f t="shared" si="23"/>
        <v>99281</v>
      </c>
      <c r="AH31" s="346">
        <f t="shared" si="23"/>
        <v>100600</v>
      </c>
      <c r="AI31" s="346">
        <f t="shared" si="23"/>
        <v>107197</v>
      </c>
      <c r="AJ31" s="346">
        <f t="shared" si="23"/>
        <v>105794</v>
      </c>
      <c r="AK31" s="346">
        <f t="shared" si="23"/>
        <v>106822</v>
      </c>
      <c r="AL31" s="346">
        <f t="shared" si="23"/>
        <v>105350</v>
      </c>
      <c r="AM31" s="346">
        <f t="shared" si="23"/>
        <v>103878</v>
      </c>
      <c r="AN31" s="346">
        <f t="shared" si="23"/>
        <v>101518</v>
      </c>
      <c r="AO31" s="346">
        <f t="shared" si="23"/>
        <v>98467</v>
      </c>
      <c r="AP31" s="346">
        <f t="shared" si="23"/>
        <v>112416.5</v>
      </c>
      <c r="AQ31" s="346">
        <f t="shared" si="23"/>
        <v>97365.5</v>
      </c>
      <c r="AR31" s="346">
        <f t="shared" si="23"/>
        <v>94315</v>
      </c>
      <c r="AS31" s="346">
        <f t="shared" si="23"/>
        <v>91264.5</v>
      </c>
      <c r="AT31" s="346">
        <f t="shared" si="23"/>
        <v>88214</v>
      </c>
      <c r="AU31" s="346">
        <f t="shared" si="23"/>
        <v>85163</v>
      </c>
      <c r="AV31" s="346">
        <f t="shared" si="23"/>
        <v>82112</v>
      </c>
      <c r="AW31" s="346">
        <f t="shared" si="23"/>
        <v>79061</v>
      </c>
      <c r="AX31" s="346">
        <f t="shared" si="23"/>
        <v>76010</v>
      </c>
      <c r="AY31" s="346">
        <f t="shared" si="23"/>
        <v>72959</v>
      </c>
      <c r="AZ31" s="346">
        <f t="shared" si="23"/>
        <v>69908</v>
      </c>
      <c r="BA31" s="346">
        <f t="shared" si="23"/>
        <v>66857.5</v>
      </c>
      <c r="BB31" s="346">
        <f t="shared" si="23"/>
        <v>63806.84</v>
      </c>
      <c r="BC31" s="346">
        <f t="shared" si="23"/>
        <v>60756.18</v>
      </c>
      <c r="BD31" s="346">
        <f t="shared" si="23"/>
        <v>57705.52</v>
      </c>
      <c r="BE31" s="346">
        <f t="shared" si="23"/>
        <v>54654.86</v>
      </c>
      <c r="BF31" s="346">
        <f t="shared" si="23"/>
        <v>51604.2</v>
      </c>
      <c r="BG31" s="346">
        <f t="shared" si="23"/>
        <v>48553.539999999994</v>
      </c>
      <c r="BH31" s="346">
        <f t="shared" si="23"/>
        <v>45502.880000000005</v>
      </c>
      <c r="BI31" s="346">
        <f t="shared" si="23"/>
        <v>42452.22</v>
      </c>
      <c r="BJ31" s="346">
        <f t="shared" si="23"/>
        <v>39401.56</v>
      </c>
      <c r="BK31" s="346">
        <f t="shared" si="23"/>
        <v>36350.899999999994</v>
      </c>
      <c r="BL31" s="346">
        <f t="shared" si="23"/>
        <v>33300.240000000005</v>
      </c>
      <c r="BM31" s="346">
        <f t="shared" si="23"/>
        <v>50122.42333333334</v>
      </c>
      <c r="BN31" s="346">
        <f t="shared" si="23"/>
        <v>47014.051111111112</v>
      </c>
      <c r="BO31" s="346">
        <f t="shared" si="23"/>
        <v>53627.901111111118</v>
      </c>
      <c r="BP31" s="346">
        <f t="shared" si="23"/>
        <v>50311.195555555561</v>
      </c>
      <c r="BQ31" s="346">
        <f t="shared" si="23"/>
        <v>47966.712222222224</v>
      </c>
      <c r="BR31" s="346">
        <f t="shared" si="23"/>
        <v>60275.006666666668</v>
      </c>
      <c r="BS31" s="346">
        <f t="shared" si="23"/>
        <v>57805.523333333331</v>
      </c>
      <c r="BT31" s="346">
        <f t="shared" si="23"/>
        <v>55336.039999999994</v>
      </c>
      <c r="BU31" s="346">
        <f t="shared" si="23"/>
        <v>52936.001111111109</v>
      </c>
      <c r="BV31" s="346">
        <f t="shared" si="23"/>
        <v>50535.962222222224</v>
      </c>
      <c r="BW31" s="346">
        <f t="shared" si="23"/>
        <v>48135.92333333334</v>
      </c>
      <c r="BX31" s="346">
        <f t="shared" si="23"/>
        <v>45735.884444444455</v>
      </c>
      <c r="BY31" s="346">
        <f t="shared" si="23"/>
        <v>43335.84555555557</v>
      </c>
      <c r="BZ31" s="201"/>
    </row>
    <row r="32" spans="1:78" s="350" customFormat="1" ht="21" customHeight="1">
      <c r="A32" s="215"/>
      <c r="B32" s="343" t="s">
        <v>298</v>
      </c>
      <c r="C32" s="343" t="s">
        <v>299</v>
      </c>
      <c r="D32" s="215"/>
      <c r="E32" s="216"/>
      <c r="F32" s="345">
        <f t="shared" ref="F32:I32" si="24">_xlfn.AGGREGATE(9,0, F$13:F$31)</f>
        <v>4443756</v>
      </c>
      <c r="G32" s="345">
        <f t="shared" si="24"/>
        <v>2890273.5</v>
      </c>
      <c r="H32" s="345">
        <f t="shared" si="24"/>
        <v>1410570.1743424244</v>
      </c>
      <c r="I32" s="345">
        <f t="shared" si="24"/>
        <v>-1375668.3368273086</v>
      </c>
      <c r="J32" s="344"/>
      <c r="K32" s="344"/>
      <c r="L32" s="345">
        <f t="shared" ref="L32:AA32" si="25">_xlfn.AGGREGATE(9,0, L$13:L$31)</f>
        <v>933584</v>
      </c>
      <c r="M32" s="345">
        <f t="shared" si="25"/>
        <v>2305128.5</v>
      </c>
      <c r="N32" s="345">
        <f t="shared" si="25"/>
        <v>2180019</v>
      </c>
      <c r="O32" s="345">
        <f t="shared" si="25"/>
        <v>4443756</v>
      </c>
      <c r="P32" s="345">
        <f t="shared" si="25"/>
        <v>4166262</v>
      </c>
      <c r="Q32" s="345">
        <f t="shared" si="25"/>
        <v>3813117</v>
      </c>
      <c r="R32" s="345">
        <f t="shared" si="25"/>
        <v>3367930</v>
      </c>
      <c r="S32" s="345">
        <f t="shared" si="25"/>
        <v>2890273.5</v>
      </c>
      <c r="T32" s="345">
        <f t="shared" si="25"/>
        <v>2347491.27</v>
      </c>
      <c r="U32" s="345">
        <f t="shared" si="25"/>
        <v>1737715.74</v>
      </c>
      <c r="V32" s="345">
        <f t="shared" si="25"/>
        <v>1055967.4900000002</v>
      </c>
      <c r="W32" s="345">
        <f t="shared" si="25"/>
        <v>1410570.1743424244</v>
      </c>
      <c r="X32" s="345">
        <f t="shared" si="25"/>
        <v>804279.24334299157</v>
      </c>
      <c r="Y32" s="345">
        <f t="shared" si="25"/>
        <v>128652.3532641589</v>
      </c>
      <c r="Z32" s="345">
        <f t="shared" si="25"/>
        <v>-601658.83139930747</v>
      </c>
      <c r="AA32" s="345">
        <f t="shared" si="25"/>
        <v>-1375668.3368273086</v>
      </c>
      <c r="AB32" s="215"/>
      <c r="AC32" s="344"/>
      <c r="AD32" s="345">
        <f>_xlfn.AGGREGATE(9,0, AD$13:AD$31)</f>
        <v>1014947</v>
      </c>
      <c r="AE32" s="345">
        <f t="shared" ref="AE32:BY32" si="26">_xlfn.AGGREGATE(9,0, AE$13:AE$31)</f>
        <v>977631</v>
      </c>
      <c r="AF32" s="345">
        <f t="shared" si="26"/>
        <v>933584</v>
      </c>
      <c r="AG32" s="345">
        <f t="shared" si="26"/>
        <v>893287.5</v>
      </c>
      <c r="AH32" s="345">
        <f t="shared" si="26"/>
        <v>850435.5</v>
      </c>
      <c r="AI32" s="345">
        <f t="shared" si="26"/>
        <v>2305128.5</v>
      </c>
      <c r="AJ32" s="345">
        <f t="shared" si="26"/>
        <v>2263541.5</v>
      </c>
      <c r="AK32" s="345">
        <f t="shared" si="26"/>
        <v>2220359</v>
      </c>
      <c r="AL32" s="345">
        <f t="shared" si="26"/>
        <v>2180019</v>
      </c>
      <c r="AM32" s="345">
        <f t="shared" si="26"/>
        <v>3132759</v>
      </c>
      <c r="AN32" s="345">
        <f t="shared" si="26"/>
        <v>3567941</v>
      </c>
      <c r="AO32" s="345">
        <f t="shared" si="26"/>
        <v>4443756</v>
      </c>
      <c r="AP32" s="345">
        <f t="shared" si="26"/>
        <v>4370951.5</v>
      </c>
      <c r="AQ32" s="345">
        <f t="shared" si="26"/>
        <v>4241631.5</v>
      </c>
      <c r="AR32" s="345">
        <f t="shared" si="26"/>
        <v>4166262</v>
      </c>
      <c r="AS32" s="345">
        <f t="shared" si="26"/>
        <v>4031551.5</v>
      </c>
      <c r="AT32" s="345">
        <f t="shared" si="26"/>
        <v>3953489</v>
      </c>
      <c r="AU32" s="345">
        <f t="shared" si="26"/>
        <v>3813117</v>
      </c>
      <c r="AV32" s="345">
        <f t="shared" si="26"/>
        <v>3666801</v>
      </c>
      <c r="AW32" s="345">
        <f t="shared" si="26"/>
        <v>3520486</v>
      </c>
      <c r="AX32" s="345">
        <f t="shared" si="26"/>
        <v>3367930</v>
      </c>
      <c r="AY32" s="345">
        <f t="shared" si="26"/>
        <v>3215373</v>
      </c>
      <c r="AZ32" s="345">
        <f t="shared" si="26"/>
        <v>3056263</v>
      </c>
      <c r="BA32" s="345">
        <f t="shared" si="26"/>
        <v>2890273.5</v>
      </c>
      <c r="BB32" s="345">
        <f t="shared" si="26"/>
        <v>2717058.59</v>
      </c>
      <c r="BC32" s="345">
        <f t="shared" si="26"/>
        <v>2536257.9300000002</v>
      </c>
      <c r="BD32" s="345">
        <f t="shared" si="26"/>
        <v>2347491.27</v>
      </c>
      <c r="BE32" s="345">
        <f t="shared" si="26"/>
        <v>2150361.6100000003</v>
      </c>
      <c r="BF32" s="345">
        <f t="shared" si="26"/>
        <v>1944447.95</v>
      </c>
      <c r="BG32" s="345">
        <f t="shared" si="26"/>
        <v>1737715.74</v>
      </c>
      <c r="BH32" s="345">
        <f t="shared" si="26"/>
        <v>1518601.69</v>
      </c>
      <c r="BI32" s="345">
        <f t="shared" si="26"/>
        <v>1283621.7</v>
      </c>
      <c r="BJ32" s="345">
        <f t="shared" si="26"/>
        <v>1055967.4900000002</v>
      </c>
      <c r="BK32" s="345">
        <f t="shared" si="26"/>
        <v>809105.34000000008</v>
      </c>
      <c r="BL32" s="345">
        <f t="shared" si="26"/>
        <v>550924.85</v>
      </c>
      <c r="BM32" s="345">
        <f t="shared" si="26"/>
        <v>1410570.1743424244</v>
      </c>
      <c r="BN32" s="345">
        <f t="shared" si="26"/>
        <v>1204739.9956125473</v>
      </c>
      <c r="BO32" s="345">
        <f t="shared" si="26"/>
        <v>1000003.5312643746</v>
      </c>
      <c r="BP32" s="345">
        <f t="shared" si="26"/>
        <v>804279.24334299157</v>
      </c>
      <c r="BQ32" s="345">
        <f t="shared" si="26"/>
        <v>587999.83359180077</v>
      </c>
      <c r="BR32" s="345">
        <f t="shared" si="26"/>
        <v>360546.87947116193</v>
      </c>
      <c r="BS32" s="345">
        <f t="shared" si="26"/>
        <v>128652.3532641589</v>
      </c>
      <c r="BT32" s="345">
        <f t="shared" si="26"/>
        <v>-110218.84643821476</v>
      </c>
      <c r="BU32" s="345">
        <f t="shared" si="26"/>
        <v>-354073.59526841913</v>
      </c>
      <c r="BV32" s="345">
        <f t="shared" si="26"/>
        <v>-601658.83139930747</v>
      </c>
      <c r="BW32" s="345">
        <f t="shared" si="26"/>
        <v>-852768.13398647564</v>
      </c>
      <c r="BX32" s="345">
        <f t="shared" si="26"/>
        <v>-1107265.7665007974</v>
      </c>
      <c r="BY32" s="345">
        <f t="shared" si="26"/>
        <v>-1375668.3368273086</v>
      </c>
      <c r="BZ32" s="201"/>
    </row>
    <row r="33" spans="1:78" s="350" customFormat="1" ht="21" customHeight="1">
      <c r="A33" s="215"/>
      <c r="B33" s="343" t="s">
        <v>300</v>
      </c>
      <c r="C33" s="343" t="s">
        <v>300</v>
      </c>
      <c r="D33" s="215"/>
      <c r="E33" s="216"/>
      <c r="F33" s="345"/>
      <c r="G33" s="345"/>
      <c r="H33" s="345"/>
      <c r="I33" s="345"/>
      <c r="J33" s="344"/>
      <c r="K33" s="344"/>
      <c r="L33" s="345"/>
      <c r="M33" s="345"/>
      <c r="N33" s="345"/>
      <c r="O33" s="345"/>
      <c r="P33" s="345"/>
      <c r="Q33" s="345"/>
      <c r="R33" s="345"/>
      <c r="S33" s="345"/>
      <c r="T33" s="345"/>
      <c r="U33" s="345"/>
      <c r="V33" s="345"/>
      <c r="W33" s="345"/>
      <c r="X33" s="345"/>
      <c r="Y33" s="345"/>
      <c r="Z33" s="345"/>
      <c r="AA33" s="345"/>
      <c r="AB33" s="215"/>
      <c r="AC33" s="344"/>
      <c r="AD33" s="345"/>
      <c r="AE33" s="345"/>
      <c r="AF33" s="345"/>
      <c r="AG33" s="345"/>
      <c r="AH33" s="345"/>
      <c r="AI33" s="345"/>
      <c r="AJ33" s="345"/>
      <c r="AK33" s="345"/>
      <c r="AL33" s="345"/>
      <c r="AM33" s="345"/>
      <c r="AN33" s="345"/>
      <c r="AO33" s="345"/>
      <c r="AP33" s="345"/>
      <c r="AQ33" s="345"/>
      <c r="AR33" s="345"/>
      <c r="AS33" s="345"/>
      <c r="AT33" s="345"/>
      <c r="AU33" s="345"/>
      <c r="AV33" s="345"/>
      <c r="AW33" s="345"/>
      <c r="AX33" s="345"/>
      <c r="AY33" s="345"/>
      <c r="AZ33" s="345"/>
      <c r="BA33" s="345"/>
      <c r="BB33" s="345"/>
      <c r="BC33" s="345"/>
      <c r="BD33" s="345"/>
      <c r="BE33" s="345"/>
      <c r="BF33" s="345"/>
      <c r="BG33" s="345"/>
      <c r="BH33" s="345"/>
      <c r="BI33" s="345"/>
      <c r="BJ33" s="345"/>
      <c r="BK33" s="345"/>
      <c r="BL33" s="345"/>
      <c r="BM33" s="345"/>
      <c r="BN33" s="345"/>
      <c r="BO33" s="345"/>
      <c r="BP33" s="345"/>
      <c r="BQ33" s="345"/>
      <c r="BR33" s="345"/>
      <c r="BS33" s="345"/>
      <c r="BT33" s="345"/>
      <c r="BU33" s="345"/>
      <c r="BV33" s="345"/>
      <c r="BW33" s="345"/>
      <c r="BX33" s="345"/>
      <c r="BY33" s="345"/>
      <c r="BZ33" s="201"/>
    </row>
    <row r="34" spans="1:78" s="350" customFormat="1" ht="21" customHeight="1">
      <c r="A34" s="215"/>
      <c r="B34" s="342" t="s">
        <v>141</v>
      </c>
      <c r="C34" s="343" t="s">
        <v>141</v>
      </c>
      <c r="D34" s="215"/>
      <c r="E34" s="216"/>
      <c r="F34" s="346"/>
      <c r="G34" s="346"/>
      <c r="H34" s="346"/>
      <c r="I34" s="346"/>
      <c r="J34" s="344"/>
      <c r="K34" s="344"/>
      <c r="L34" s="346"/>
      <c r="M34" s="346"/>
      <c r="N34" s="346"/>
      <c r="O34" s="346"/>
      <c r="P34" s="346"/>
      <c r="Q34" s="346"/>
      <c r="R34" s="346"/>
      <c r="S34" s="346"/>
      <c r="T34" s="346"/>
      <c r="U34" s="346"/>
      <c r="V34" s="346"/>
      <c r="W34" s="346"/>
      <c r="X34" s="346"/>
      <c r="Y34" s="346"/>
      <c r="Z34" s="346"/>
      <c r="AA34" s="346"/>
      <c r="AB34" s="215"/>
      <c r="AC34" s="344"/>
      <c r="AD34" s="346"/>
      <c r="AE34" s="346"/>
      <c r="AF34" s="346"/>
      <c r="AG34" s="346"/>
      <c r="AH34" s="346"/>
      <c r="AI34" s="346"/>
      <c r="AJ34" s="346"/>
      <c r="AK34" s="346"/>
      <c r="AL34" s="346"/>
      <c r="AM34" s="346"/>
      <c r="AN34" s="346"/>
      <c r="AO34" s="346"/>
      <c r="AP34" s="346"/>
      <c r="AQ34" s="346"/>
      <c r="AR34" s="346"/>
      <c r="AS34" s="346"/>
      <c r="AT34" s="346"/>
      <c r="AU34" s="346"/>
      <c r="AV34" s="346"/>
      <c r="AW34" s="346"/>
      <c r="AX34" s="346"/>
      <c r="AY34" s="346"/>
      <c r="AZ34" s="346"/>
      <c r="BA34" s="346"/>
      <c r="BB34" s="346"/>
      <c r="BC34" s="346"/>
      <c r="BD34" s="346"/>
      <c r="BE34" s="346"/>
      <c r="BF34" s="346"/>
      <c r="BG34" s="346"/>
      <c r="BH34" s="346"/>
      <c r="BI34" s="346"/>
      <c r="BJ34" s="346"/>
      <c r="BK34" s="346"/>
      <c r="BL34" s="346"/>
      <c r="BM34" s="346"/>
      <c r="BN34" s="346"/>
      <c r="BO34" s="346"/>
      <c r="BP34" s="346"/>
      <c r="BQ34" s="346"/>
      <c r="BR34" s="346"/>
      <c r="BS34" s="346"/>
      <c r="BT34" s="346"/>
      <c r="BU34" s="346"/>
      <c r="BV34" s="346"/>
      <c r="BW34" s="346"/>
      <c r="BX34" s="346"/>
      <c r="BY34" s="346"/>
      <c r="BZ34" s="201"/>
    </row>
    <row r="35" spans="1:78" s="350" customFormat="1" ht="21" customHeight="1">
      <c r="A35" s="215"/>
      <c r="B35" s="348" t="s">
        <v>143</v>
      </c>
      <c r="C35" s="343" t="s">
        <v>143</v>
      </c>
      <c r="D35" s="215"/>
      <c r="E35" s="216"/>
      <c r="F35" s="351"/>
      <c r="G35" s="351"/>
      <c r="H35" s="351"/>
      <c r="I35" s="351"/>
      <c r="J35" s="344"/>
      <c r="K35" s="344"/>
      <c r="L35" s="351"/>
      <c r="M35" s="351"/>
      <c r="N35" s="351"/>
      <c r="O35" s="351"/>
      <c r="P35" s="351"/>
      <c r="Q35" s="351"/>
      <c r="R35" s="351"/>
      <c r="S35" s="351"/>
      <c r="T35" s="351"/>
      <c r="U35" s="351"/>
      <c r="V35" s="351"/>
      <c r="W35" s="351"/>
      <c r="X35" s="351"/>
      <c r="Y35" s="351"/>
      <c r="Z35" s="351"/>
      <c r="AA35" s="351"/>
      <c r="AB35" s="215"/>
      <c r="AC35" s="344"/>
      <c r="AD35" s="351"/>
      <c r="AE35" s="351"/>
      <c r="AF35" s="351"/>
      <c r="AG35" s="351"/>
      <c r="AH35" s="351"/>
      <c r="AI35" s="351"/>
      <c r="AJ35" s="351"/>
      <c r="AK35" s="351"/>
      <c r="AL35" s="351"/>
      <c r="AM35" s="351"/>
      <c r="AN35" s="351"/>
      <c r="AO35" s="351"/>
      <c r="AP35" s="351"/>
      <c r="AQ35" s="351"/>
      <c r="AR35" s="351"/>
      <c r="AS35" s="351"/>
      <c r="AT35" s="351"/>
      <c r="AU35" s="351"/>
      <c r="AV35" s="351"/>
      <c r="AW35" s="351"/>
      <c r="AX35" s="351"/>
      <c r="AY35" s="351"/>
      <c r="AZ35" s="351"/>
      <c r="BA35" s="351"/>
      <c r="BB35" s="351"/>
      <c r="BC35" s="351"/>
      <c r="BD35" s="351"/>
      <c r="BE35" s="351"/>
      <c r="BF35" s="351"/>
      <c r="BG35" s="351"/>
      <c r="BH35" s="351"/>
      <c r="BI35" s="351"/>
      <c r="BJ35" s="351"/>
      <c r="BK35" s="351"/>
      <c r="BL35" s="351"/>
      <c r="BM35" s="351"/>
      <c r="BN35" s="351"/>
      <c r="BO35" s="351"/>
      <c r="BP35" s="351"/>
      <c r="BQ35" s="351"/>
      <c r="BR35" s="351"/>
      <c r="BS35" s="351"/>
      <c r="BT35" s="351"/>
      <c r="BU35" s="351"/>
      <c r="BV35" s="351"/>
      <c r="BW35" s="351"/>
      <c r="BX35" s="351"/>
      <c r="BY35" s="351"/>
      <c r="BZ35" s="201"/>
    </row>
    <row r="36" spans="1:78" s="350" customFormat="1" ht="21" customHeight="1">
      <c r="A36" s="215"/>
      <c r="B36" s="349" t="s">
        <v>142</v>
      </c>
      <c r="C36" s="343" t="s">
        <v>142</v>
      </c>
      <c r="D36" s="215"/>
      <c r="E36" s="216"/>
      <c r="F36" s="353"/>
      <c r="G36" s="353"/>
      <c r="H36" s="353"/>
      <c r="I36" s="353"/>
      <c r="J36" s="344"/>
      <c r="K36" s="344"/>
      <c r="L36" s="353"/>
      <c r="M36" s="353"/>
      <c r="N36" s="353"/>
      <c r="O36" s="353"/>
      <c r="P36" s="353"/>
      <c r="Q36" s="353"/>
      <c r="R36" s="353"/>
      <c r="S36" s="353"/>
      <c r="T36" s="353"/>
      <c r="U36" s="353"/>
      <c r="V36" s="353"/>
      <c r="W36" s="353"/>
      <c r="X36" s="353"/>
      <c r="Y36" s="353"/>
      <c r="Z36" s="353"/>
      <c r="AA36" s="353"/>
      <c r="AB36" s="215"/>
      <c r="AC36" s="344"/>
      <c r="AD36" s="353"/>
      <c r="AE36" s="353"/>
      <c r="AF36" s="353"/>
      <c r="AG36" s="353"/>
      <c r="AH36" s="353"/>
      <c r="AI36" s="353"/>
      <c r="AJ36" s="353"/>
      <c r="AK36" s="353"/>
      <c r="AL36" s="353"/>
      <c r="AM36" s="353"/>
      <c r="AN36" s="353"/>
      <c r="AO36" s="353"/>
      <c r="AP36" s="353"/>
      <c r="AQ36" s="353"/>
      <c r="AR36" s="353"/>
      <c r="AS36" s="353"/>
      <c r="AT36" s="353"/>
      <c r="AU36" s="353"/>
      <c r="AV36" s="353"/>
      <c r="AW36" s="353"/>
      <c r="AX36" s="353"/>
      <c r="AY36" s="353"/>
      <c r="AZ36" s="353"/>
      <c r="BA36" s="353"/>
      <c r="BB36" s="353"/>
      <c r="BC36" s="353"/>
      <c r="BD36" s="353"/>
      <c r="BE36" s="353"/>
      <c r="BF36" s="353"/>
      <c r="BG36" s="353"/>
      <c r="BH36" s="353"/>
      <c r="BI36" s="353"/>
      <c r="BJ36" s="353"/>
      <c r="BK36" s="353"/>
      <c r="BL36" s="353"/>
      <c r="BM36" s="353"/>
      <c r="BN36" s="353"/>
      <c r="BO36" s="353"/>
      <c r="BP36" s="353"/>
      <c r="BQ36" s="353"/>
      <c r="BR36" s="353"/>
      <c r="BS36" s="353"/>
      <c r="BT36" s="353"/>
      <c r="BU36" s="353"/>
      <c r="BV36" s="353"/>
      <c r="BW36" s="353"/>
      <c r="BX36" s="353"/>
      <c r="BY36" s="353"/>
      <c r="BZ36" s="201"/>
    </row>
    <row r="37" spans="1:78" s="350" customFormat="1" ht="21" customHeight="1">
      <c r="A37" s="215"/>
      <c r="B37" s="624" t="s">
        <v>301</v>
      </c>
      <c r="C37" s="343">
        <v>155</v>
      </c>
      <c r="D37" s="215"/>
      <c r="E37" s="216"/>
      <c r="F37" s="354" cm="1">
        <f t="array" ref="F37">SUM(_xlfn._xlws.FILTER(_xlfn._xlws.FILTER(dataGLBS,endDates=F$5),dataGLBSAcctIDs=$C37))</f>
        <v>55349.5</v>
      </c>
      <c r="G37" s="354" cm="1">
        <f t="array" ref="G37">SUM(_xlfn._xlws.FILTER(_xlfn._xlws.FILTER(dataGLBS,endDates=G$5),dataGLBSAcctIDs=$C37))</f>
        <v>55349.5</v>
      </c>
      <c r="H37" s="354" cm="1">
        <f t="array" ref="H37">SUM(_xlfn._xlws.FILTER(_xlfn._xlws.FILTER(dataGLBS,endDates=H$5),dataGLBSAcctIDs=$C37))</f>
        <v>118804.0832818182</v>
      </c>
      <c r="I37" s="354" cm="1">
        <f t="array" ref="I37">SUM(_xlfn._xlws.FILTER(_xlfn._xlws.FILTER(dataGLBS,endDates=I$5),dataGLBSAcctIDs=$C37))</f>
        <v>111381.40120151216</v>
      </c>
      <c r="J37" s="344"/>
      <c r="K37" s="344"/>
      <c r="L37" s="354" cm="1">
        <f t="array" ref="L37">SUM(_xlfn._xlws.FILTER(_xlfn._xlws.FILTER(dataGLBS,endDates=L$5),dataGLBSAcctIDs=$C37))</f>
        <v>43504</v>
      </c>
      <c r="M37" s="354" cm="1">
        <f t="array" ref="M37">SUM(_xlfn._xlws.FILTER(_xlfn._xlws.FILTER(dataGLBS,endDates=M$5),dataGLBSAcctIDs=$C37))</f>
        <v>48234</v>
      </c>
      <c r="N37" s="354" cm="1">
        <f t="array" ref="N37">SUM(_xlfn._xlws.FILTER(_xlfn._xlws.FILTER(dataGLBS,endDates=N$5),dataGLBSAcctIDs=$C37))</f>
        <v>53477.5</v>
      </c>
      <c r="O37" s="354" cm="1">
        <f t="array" ref="O37">SUM(_xlfn._xlws.FILTER(_xlfn._xlws.FILTER(dataGLBS,endDates=O$5),dataGLBSAcctIDs=$C37))</f>
        <v>55349.5</v>
      </c>
      <c r="P37" s="354" cm="1">
        <f t="array" ref="P37">SUM(_xlfn._xlws.FILTER(_xlfn._xlws.FILTER(dataGLBS,endDates=P$5),dataGLBSAcctIDs=$C37))</f>
        <v>55349.5</v>
      </c>
      <c r="Q37" s="354" cm="1">
        <f t="array" ref="Q37">SUM(_xlfn._xlws.FILTER(_xlfn._xlws.FILTER(dataGLBS,endDates=Q$5),dataGLBSAcctIDs=$C37))</f>
        <v>55349.5</v>
      </c>
      <c r="R37" s="354" cm="1">
        <f t="array" ref="R37">SUM(_xlfn._xlws.FILTER(_xlfn._xlws.FILTER(dataGLBS,endDates=R$5),dataGLBSAcctIDs=$C37))</f>
        <v>55349.5</v>
      </c>
      <c r="S37" s="354" cm="1">
        <f t="array" ref="S37">SUM(_xlfn._xlws.FILTER(_xlfn._xlws.FILTER(dataGLBS,endDates=S$5),dataGLBSAcctIDs=$C37))</f>
        <v>55349.5</v>
      </c>
      <c r="T37" s="354" cm="1">
        <f t="array" ref="T37">SUM(_xlfn._xlws.FILTER(_xlfn._xlws.FILTER(dataGLBS,endDates=T$5),dataGLBSAcctIDs=$C37))</f>
        <v>55349.5</v>
      </c>
      <c r="U37" s="354" cm="1">
        <f t="array" ref="U37">SUM(_xlfn._xlws.FILTER(_xlfn._xlws.FILTER(dataGLBS,endDates=U$5),dataGLBSAcctIDs=$C37))</f>
        <v>55349.5</v>
      </c>
      <c r="V37" s="354" cm="1">
        <f t="array" ref="V37">SUM(_xlfn._xlws.FILTER(_xlfn._xlws.FILTER(dataGLBS,endDates=V$5),dataGLBSAcctIDs=$C37))</f>
        <v>55349.5</v>
      </c>
      <c r="W37" s="354" cm="1">
        <f t="array" ref="W37">SUM(_xlfn._xlws.FILTER(_xlfn._xlws.FILTER(dataGLBS,endDates=W$5),dataGLBSAcctIDs=$C37))</f>
        <v>118804.0832818182</v>
      </c>
      <c r="X37" s="354" cm="1">
        <f t="array" ref="X37">SUM(_xlfn._xlws.FILTER(_xlfn._xlws.FILTER(dataGLBS,endDates=X$5),dataGLBSAcctIDs=$C37))</f>
        <v>88895.486110663274</v>
      </c>
      <c r="Y37" s="354" cm="1">
        <f t="array" ref="Y37">SUM(_xlfn._xlws.FILTER(_xlfn._xlws.FILTER(dataGLBS,endDates=Y$5),dataGLBSAcctIDs=$C37))</f>
        <v>99759.810845031418</v>
      </c>
      <c r="Z37" s="354" cm="1">
        <f t="array" ref="Z37">SUM(_xlfn._xlws.FILTER(_xlfn._xlws.FILTER(dataGLBS,endDates=Z$5),dataGLBSAcctIDs=$C37))</f>
        <v>104093.6066991484</v>
      </c>
      <c r="AA37" s="354" cm="1">
        <f t="array" ref="AA37">SUM(_xlfn._xlws.FILTER(_xlfn._xlws.FILTER(dataGLBS,endDates=AA$5),dataGLBSAcctIDs=$C37))</f>
        <v>111381.40120151216</v>
      </c>
      <c r="AB37" s="215"/>
      <c r="AC37" s="344"/>
      <c r="AD37" s="354" cm="1">
        <f t="array" ref="AD37">SUM(_xlfn._xlws.FILTER(_xlfn._xlws.FILTER(dataGLBS,endDates=AD$5),dataGLBSAcctIDs=$C37))</f>
        <v>37350</v>
      </c>
      <c r="AE37" s="354" cm="1">
        <f t="array" ref="AE37">SUM(_xlfn._xlws.FILTER(_xlfn._xlws.FILTER(dataGLBS,endDates=AE$5),dataGLBSAcctIDs=$C37))</f>
        <v>42033</v>
      </c>
      <c r="AF37" s="354" cm="1">
        <f t="array" ref="AF37">SUM(_xlfn._xlws.FILTER(_xlfn._xlws.FILTER(dataGLBS,endDates=AF$5),dataGLBSAcctIDs=$C37))</f>
        <v>43504</v>
      </c>
      <c r="AG37" s="354" cm="1">
        <f t="array" ref="AG37">SUM(_xlfn._xlws.FILTER(_xlfn._xlws.FILTER(dataGLBS,endDates=AG$5),dataGLBSAcctIDs=$C37))</f>
        <v>45027</v>
      </c>
      <c r="AH37" s="354" cm="1">
        <f t="array" ref="AH37">SUM(_xlfn._xlws.FILTER(_xlfn._xlws.FILTER(dataGLBS,endDates=AH$5),dataGLBSAcctIDs=$C37))</f>
        <v>46603</v>
      </c>
      <c r="AI37" s="354" cm="1">
        <f t="array" ref="AI37">SUM(_xlfn._xlws.FILTER(_xlfn._xlws.FILTER(dataGLBS,endDates=AI$5),dataGLBSAcctIDs=$C37))</f>
        <v>48234</v>
      </c>
      <c r="AJ37" s="354" cm="1">
        <f t="array" ref="AJ37">SUM(_xlfn._xlws.FILTER(_xlfn._xlws.FILTER(dataGLBS,endDates=AJ$5),dataGLBSAcctIDs=$C37))</f>
        <v>49922</v>
      </c>
      <c r="AK37" s="354" cm="1">
        <f t="array" ref="AK37">SUM(_xlfn._xlws.FILTER(_xlfn._xlws.FILTER(dataGLBS,endDates=AK$5),dataGLBSAcctIDs=$C37))</f>
        <v>51669.5</v>
      </c>
      <c r="AL37" s="354" cm="1">
        <f t="array" ref="AL37">SUM(_xlfn._xlws.FILTER(_xlfn._xlws.FILTER(dataGLBS,endDates=AL$5),dataGLBSAcctIDs=$C37))</f>
        <v>53477.5</v>
      </c>
      <c r="AM37" s="354" cm="1">
        <f t="array" ref="AM37">SUM(_xlfn._xlws.FILTER(_xlfn._xlws.FILTER(dataGLBS,endDates=AM$5),dataGLBSAcctIDs=$C37))</f>
        <v>55349.5</v>
      </c>
      <c r="AN37" s="354" cm="1">
        <f t="array" ref="AN37">SUM(_xlfn._xlws.FILTER(_xlfn._xlws.FILTER(dataGLBS,endDates=AN$5),dataGLBSAcctIDs=$C37))</f>
        <v>55349.5</v>
      </c>
      <c r="AO37" s="354" cm="1">
        <f t="array" ref="AO37">SUM(_xlfn._xlws.FILTER(_xlfn._xlws.FILTER(dataGLBS,endDates=AO$5),dataGLBSAcctIDs=$C37))</f>
        <v>55349.5</v>
      </c>
      <c r="AP37" s="354" cm="1">
        <f t="array" ref="AP37">SUM(_xlfn._xlws.FILTER(_xlfn._xlws.FILTER(dataGLBS,endDates=AP$5),dataGLBSAcctIDs=$C37))</f>
        <v>55349.5</v>
      </c>
      <c r="AQ37" s="354" cm="1">
        <f t="array" ref="AQ37">SUM(_xlfn._xlws.FILTER(_xlfn._xlws.FILTER(dataGLBS,endDates=AQ$5),dataGLBSAcctIDs=$C37))</f>
        <v>55349.5</v>
      </c>
      <c r="AR37" s="354" cm="1">
        <f t="array" ref="AR37">SUM(_xlfn._xlws.FILTER(_xlfn._xlws.FILTER(dataGLBS,endDates=AR$5),dataGLBSAcctIDs=$C37))</f>
        <v>55349.5</v>
      </c>
      <c r="AS37" s="354" cm="1">
        <f t="array" ref="AS37">SUM(_xlfn._xlws.FILTER(_xlfn._xlws.FILTER(dataGLBS,endDates=AS$5),dataGLBSAcctIDs=$C37))</f>
        <v>55349.5</v>
      </c>
      <c r="AT37" s="354" cm="1">
        <f t="array" ref="AT37">SUM(_xlfn._xlws.FILTER(_xlfn._xlws.FILTER(dataGLBS,endDates=AT$5),dataGLBSAcctIDs=$C37))</f>
        <v>55349.5</v>
      </c>
      <c r="AU37" s="354" cm="1">
        <f t="array" ref="AU37">SUM(_xlfn._xlws.FILTER(_xlfn._xlws.FILTER(dataGLBS,endDates=AU$5),dataGLBSAcctIDs=$C37))</f>
        <v>55349.5</v>
      </c>
      <c r="AV37" s="354" cm="1">
        <f t="array" ref="AV37">SUM(_xlfn._xlws.FILTER(_xlfn._xlws.FILTER(dataGLBS,endDates=AV$5),dataGLBSAcctIDs=$C37))</f>
        <v>55349.5</v>
      </c>
      <c r="AW37" s="354" cm="1">
        <f t="array" ref="AW37">SUM(_xlfn._xlws.FILTER(_xlfn._xlws.FILTER(dataGLBS,endDates=AW$5),dataGLBSAcctIDs=$C37))</f>
        <v>55349.5</v>
      </c>
      <c r="AX37" s="354" cm="1">
        <f t="array" ref="AX37">SUM(_xlfn._xlws.FILTER(_xlfn._xlws.FILTER(dataGLBS,endDates=AX$5),dataGLBSAcctIDs=$C37))</f>
        <v>55349.5</v>
      </c>
      <c r="AY37" s="354" cm="1">
        <f t="array" ref="AY37">SUM(_xlfn._xlws.FILTER(_xlfn._xlws.FILTER(dataGLBS,endDates=AY$5),dataGLBSAcctIDs=$C37))</f>
        <v>55349.5</v>
      </c>
      <c r="AZ37" s="354" cm="1">
        <f t="array" ref="AZ37">SUM(_xlfn._xlws.FILTER(_xlfn._xlws.FILTER(dataGLBS,endDates=AZ$5),dataGLBSAcctIDs=$C37))</f>
        <v>55349.5</v>
      </c>
      <c r="BA37" s="354" cm="1">
        <f t="array" ref="BA37">SUM(_xlfn._xlws.FILTER(_xlfn._xlws.FILTER(dataGLBS,endDates=BA$5),dataGLBSAcctIDs=$C37))</f>
        <v>55349.5</v>
      </c>
      <c r="BB37" s="354" cm="1">
        <f t="array" ref="BB37">SUM(_xlfn._xlws.FILTER(_xlfn._xlws.FILTER(dataGLBS,endDates=BB$5),dataGLBSAcctIDs=$C37))</f>
        <v>55349.5</v>
      </c>
      <c r="BC37" s="354" cm="1">
        <f t="array" ref="BC37">SUM(_xlfn._xlws.FILTER(_xlfn._xlws.FILTER(dataGLBS,endDates=BC$5),dataGLBSAcctIDs=$C37))</f>
        <v>55349.5</v>
      </c>
      <c r="BD37" s="354" cm="1">
        <f t="array" ref="BD37">SUM(_xlfn._xlws.FILTER(_xlfn._xlws.FILTER(dataGLBS,endDates=BD$5),dataGLBSAcctIDs=$C37))</f>
        <v>55349.5</v>
      </c>
      <c r="BE37" s="354" cm="1">
        <f t="array" ref="BE37">SUM(_xlfn._xlws.FILTER(_xlfn._xlws.FILTER(dataGLBS,endDates=BE$5),dataGLBSAcctIDs=$C37))</f>
        <v>55349.5</v>
      </c>
      <c r="BF37" s="354" cm="1">
        <f t="array" ref="BF37">SUM(_xlfn._xlws.FILTER(_xlfn._xlws.FILTER(dataGLBS,endDates=BF$5),dataGLBSAcctIDs=$C37))</f>
        <v>55349.5</v>
      </c>
      <c r="BG37" s="354" cm="1">
        <f t="array" ref="BG37">SUM(_xlfn._xlws.FILTER(_xlfn._xlws.FILTER(dataGLBS,endDates=BG$5),dataGLBSAcctIDs=$C37))</f>
        <v>55349.5</v>
      </c>
      <c r="BH37" s="354" cm="1">
        <f t="array" ref="BH37">SUM(_xlfn._xlws.FILTER(_xlfn._xlws.FILTER(dataGLBS,endDates=BH$5),dataGLBSAcctIDs=$C37))</f>
        <v>55349.5</v>
      </c>
      <c r="BI37" s="354" cm="1">
        <f t="array" ref="BI37">SUM(_xlfn._xlws.FILTER(_xlfn._xlws.FILTER(dataGLBS,endDates=BI$5),dataGLBSAcctIDs=$C37))</f>
        <v>55349.5</v>
      </c>
      <c r="BJ37" s="354" cm="1">
        <f t="array" ref="BJ37">SUM(_xlfn._xlws.FILTER(_xlfn._xlws.FILTER(dataGLBS,endDates=BJ$5),dataGLBSAcctIDs=$C37))</f>
        <v>55349.5</v>
      </c>
      <c r="BK37" s="354" cm="1">
        <f t="array" ref="BK37">SUM(_xlfn._xlws.FILTER(_xlfn._xlws.FILTER(dataGLBS,endDates=BK$5),dataGLBSAcctIDs=$C37))</f>
        <v>55349.5</v>
      </c>
      <c r="BL37" s="354" cm="1">
        <f t="array" ref="BL37">SUM(_xlfn._xlws.FILTER(_xlfn._xlws.FILTER(dataGLBS,endDates=BL$5),dataGLBSAcctIDs=$C37))</f>
        <v>55349.5</v>
      </c>
      <c r="BM37" s="354" cm="1">
        <f t="array" ref="BM37">SUM(_xlfn._xlws.FILTER(_xlfn._xlws.FILTER(dataGLBS,endDates=BM$5),dataGLBSAcctIDs=$C37))</f>
        <v>118804.0832818182</v>
      </c>
      <c r="BN37" s="354" cm="1">
        <f t="array" ref="BN37">SUM(_xlfn._xlws.FILTER(_xlfn._xlws.FILTER(dataGLBS,endDates=BN$5),dataGLBSAcctIDs=$C37))</f>
        <v>99863.107246787215</v>
      </c>
      <c r="BO37" s="354" cm="1">
        <f t="array" ref="BO37">SUM(_xlfn._xlws.FILTER(_xlfn._xlws.FILTER(dataGLBS,endDates=BO$5),dataGLBSAcctIDs=$C37))</f>
        <v>87543.935255415185</v>
      </c>
      <c r="BP37" s="354" cm="1">
        <f t="array" ref="BP37">SUM(_xlfn._xlws.FILTER(_xlfn._xlws.FILTER(dataGLBS,endDates=BP$5),dataGLBSAcctIDs=$C37))</f>
        <v>88895.486110663274</v>
      </c>
      <c r="BQ37" s="354" cm="1">
        <f t="array" ref="BQ37">SUM(_xlfn._xlws.FILTER(_xlfn._xlws.FILTER(dataGLBS,endDates=BQ$5),dataGLBSAcctIDs=$C37))</f>
        <v>97430.048159655038</v>
      </c>
      <c r="BR37" s="354" cm="1">
        <f t="array" ref="BR37">SUM(_xlfn._xlws.FILTER(_xlfn._xlws.FILTER(dataGLBS,endDates=BR$5),dataGLBSAcctIDs=$C37))</f>
        <v>98280.388463798256</v>
      </c>
      <c r="BS37" s="354" cm="1">
        <f t="array" ref="BS37">SUM(_xlfn._xlws.FILTER(_xlfn._xlws.FILTER(dataGLBS,endDates=BS$5),dataGLBSAcctIDs=$C37))</f>
        <v>99759.810845031418</v>
      </c>
      <c r="BT37" s="354" cm="1">
        <f t="array" ref="BT37">SUM(_xlfn._xlws.FILTER(_xlfn._xlws.FILTER(dataGLBS,endDates=BT$5),dataGLBSAcctIDs=$C37))</f>
        <v>102002.91827537332</v>
      </c>
      <c r="BU37" s="354" cm="1">
        <f t="array" ref="BU37">SUM(_xlfn._xlws.FILTER(_xlfn._xlws.FILTER(dataGLBS,endDates=BU$5),dataGLBSAcctIDs=$C37))</f>
        <v>103086.65220098443</v>
      </c>
      <c r="BV37" s="354" cm="1">
        <f t="array" ref="BV37">SUM(_xlfn._xlws.FILTER(_xlfn._xlws.FILTER(dataGLBS,endDates=BV$5),dataGLBSAcctIDs=$C37))</f>
        <v>104093.6066991484</v>
      </c>
      <c r="BW37" s="354" cm="1">
        <f t="array" ref="BW37">SUM(_xlfn._xlws.FILTER(_xlfn._xlws.FILTER(dataGLBS,endDates=BW$5),dataGLBSAcctIDs=$C37))</f>
        <v>105039.42272510206</v>
      </c>
      <c r="BX37" s="354" cm="1">
        <f t="array" ref="BX37">SUM(_xlfn._xlws.FILTER(_xlfn._xlws.FILTER(dataGLBS,endDates=BX$5),dataGLBSAcctIDs=$C37))</f>
        <v>105949.63869410295</v>
      </c>
      <c r="BY37" s="354" cm="1">
        <f t="array" ref="BY37">SUM(_xlfn._xlws.FILTER(_xlfn._xlws.FILTER(dataGLBS,endDates=BY$5),dataGLBSAcctIDs=$C37))</f>
        <v>111381.40120151216</v>
      </c>
      <c r="BZ37" s="201"/>
    </row>
    <row r="38" spans="1:78" s="350" customFormat="1" ht="21" customHeight="1">
      <c r="A38" s="215"/>
      <c r="B38" s="624" t="s">
        <v>302</v>
      </c>
      <c r="C38" s="343">
        <v>7</v>
      </c>
      <c r="D38" s="215"/>
      <c r="E38" s="216"/>
      <c r="F38" s="354" cm="1">
        <f t="array" ref="F38">SUM(_xlfn._xlws.FILTER(_xlfn._xlws.FILTER(dataGLBS,endDates=F$5),dataGLBSAcctIDs=$C38))</f>
        <v>0</v>
      </c>
      <c r="G38" s="354" cm="1">
        <f t="array" ref="G38">SUM(_xlfn._xlws.FILTER(_xlfn._xlws.FILTER(dataGLBS,endDates=G$5),dataGLBSAcctIDs=$C38))</f>
        <v>0</v>
      </c>
      <c r="H38" s="354" cm="1">
        <f t="array" ref="H38">SUM(_xlfn._xlws.FILTER(_xlfn._xlws.FILTER(dataGLBS,endDates=H$5),dataGLBSAcctIDs=$C38))</f>
        <v>2500</v>
      </c>
      <c r="I38" s="354" cm="1">
        <f t="array" ref="I38">SUM(_xlfn._xlws.FILTER(_xlfn._xlws.FILTER(dataGLBS,endDates=I$5),dataGLBSAcctIDs=$C38))</f>
        <v>2500</v>
      </c>
      <c r="J38" s="344"/>
      <c r="K38" s="344"/>
      <c r="L38" s="354" cm="1">
        <f t="array" ref="L38">SUM(_xlfn._xlws.FILTER(_xlfn._xlws.FILTER(dataGLBS,endDates=L$5),dataGLBSAcctIDs=$C38))</f>
        <v>0</v>
      </c>
      <c r="M38" s="354" cm="1">
        <f t="array" ref="M38">SUM(_xlfn._xlws.FILTER(_xlfn._xlws.FILTER(dataGLBS,endDates=M$5),dataGLBSAcctIDs=$C38))</f>
        <v>0</v>
      </c>
      <c r="N38" s="354" cm="1">
        <f t="array" ref="N38">SUM(_xlfn._xlws.FILTER(_xlfn._xlws.FILTER(dataGLBS,endDates=N$5),dataGLBSAcctIDs=$C38))</f>
        <v>0</v>
      </c>
      <c r="O38" s="354" cm="1">
        <f t="array" ref="O38">SUM(_xlfn._xlws.FILTER(_xlfn._xlws.FILTER(dataGLBS,endDates=O$5),dataGLBSAcctIDs=$C38))</f>
        <v>0</v>
      </c>
      <c r="P38" s="354" cm="1">
        <f t="array" ref="P38">SUM(_xlfn._xlws.FILTER(_xlfn._xlws.FILTER(dataGLBS,endDates=P$5),dataGLBSAcctIDs=$C38))</f>
        <v>0</v>
      </c>
      <c r="Q38" s="354" cm="1">
        <f t="array" ref="Q38">SUM(_xlfn._xlws.FILTER(_xlfn._xlws.FILTER(dataGLBS,endDates=Q$5),dataGLBSAcctIDs=$C38))</f>
        <v>0</v>
      </c>
      <c r="R38" s="354" cm="1">
        <f t="array" ref="R38">SUM(_xlfn._xlws.FILTER(_xlfn._xlws.FILTER(dataGLBS,endDates=R$5),dataGLBSAcctIDs=$C38))</f>
        <v>0</v>
      </c>
      <c r="S38" s="354" cm="1">
        <f t="array" ref="S38">SUM(_xlfn._xlws.FILTER(_xlfn._xlws.FILTER(dataGLBS,endDates=S$5),dataGLBSAcctIDs=$C38))</f>
        <v>0</v>
      </c>
      <c r="T38" s="354" cm="1">
        <f t="array" ref="T38">SUM(_xlfn._xlws.FILTER(_xlfn._xlws.FILTER(dataGLBS,endDates=T$5),dataGLBSAcctIDs=$C38))</f>
        <v>0</v>
      </c>
      <c r="U38" s="354" cm="1">
        <f t="array" ref="U38">SUM(_xlfn._xlws.FILTER(_xlfn._xlws.FILTER(dataGLBS,endDates=U$5),dataGLBSAcctIDs=$C38))</f>
        <v>1000</v>
      </c>
      <c r="V38" s="354" cm="1">
        <f t="array" ref="V38">SUM(_xlfn._xlws.FILTER(_xlfn._xlws.FILTER(dataGLBS,endDates=V$5),dataGLBSAcctIDs=$C38))</f>
        <v>1500</v>
      </c>
      <c r="W38" s="354" cm="1">
        <f t="array" ref="W38">SUM(_xlfn._xlws.FILTER(_xlfn._xlws.FILTER(dataGLBS,endDates=W$5),dataGLBSAcctIDs=$C38))</f>
        <v>2500</v>
      </c>
      <c r="X38" s="354" cm="1">
        <f t="array" ref="X38">SUM(_xlfn._xlws.FILTER(_xlfn._xlws.FILTER(dataGLBS,endDates=X$5),dataGLBSAcctIDs=$C38))</f>
        <v>2500</v>
      </c>
      <c r="Y38" s="354" cm="1">
        <f t="array" ref="Y38">SUM(_xlfn._xlws.FILTER(_xlfn._xlws.FILTER(dataGLBS,endDates=Y$5),dataGLBSAcctIDs=$C38))</f>
        <v>2500</v>
      </c>
      <c r="Z38" s="354" cm="1">
        <f t="array" ref="Z38">SUM(_xlfn._xlws.FILTER(_xlfn._xlws.FILTER(dataGLBS,endDates=Z$5),dataGLBSAcctIDs=$C38))</f>
        <v>2500</v>
      </c>
      <c r="AA38" s="354" cm="1">
        <f t="array" ref="AA38">SUM(_xlfn._xlws.FILTER(_xlfn._xlws.FILTER(dataGLBS,endDates=AA$5),dataGLBSAcctIDs=$C38))</f>
        <v>2500</v>
      </c>
      <c r="AB38" s="215"/>
      <c r="AC38" s="344"/>
      <c r="AD38" s="354" cm="1">
        <f t="array" ref="AD38">SUM(_xlfn._xlws.FILTER(_xlfn._xlws.FILTER(dataGLBS,endDates=AD$5),dataGLBSAcctIDs=$C38))</f>
        <v>0</v>
      </c>
      <c r="AE38" s="354" cm="1">
        <f t="array" ref="AE38">SUM(_xlfn._xlws.FILTER(_xlfn._xlws.FILTER(dataGLBS,endDates=AE$5),dataGLBSAcctIDs=$C38))</f>
        <v>0</v>
      </c>
      <c r="AF38" s="354" cm="1">
        <f t="array" ref="AF38">SUM(_xlfn._xlws.FILTER(_xlfn._xlws.FILTER(dataGLBS,endDates=AF$5),dataGLBSAcctIDs=$C38))</f>
        <v>0</v>
      </c>
      <c r="AG38" s="354" cm="1">
        <f t="array" ref="AG38">SUM(_xlfn._xlws.FILTER(_xlfn._xlws.FILTER(dataGLBS,endDates=AG$5),dataGLBSAcctIDs=$C38))</f>
        <v>0</v>
      </c>
      <c r="AH38" s="354" cm="1">
        <f t="array" ref="AH38">SUM(_xlfn._xlws.FILTER(_xlfn._xlws.FILTER(dataGLBS,endDates=AH$5),dataGLBSAcctIDs=$C38))</f>
        <v>0</v>
      </c>
      <c r="AI38" s="354" cm="1">
        <f t="array" ref="AI38">SUM(_xlfn._xlws.FILTER(_xlfn._xlws.FILTER(dataGLBS,endDates=AI$5),dataGLBSAcctIDs=$C38))</f>
        <v>0</v>
      </c>
      <c r="AJ38" s="354" cm="1">
        <f t="array" ref="AJ38">SUM(_xlfn._xlws.FILTER(_xlfn._xlws.FILTER(dataGLBS,endDates=AJ$5),dataGLBSAcctIDs=$C38))</f>
        <v>0</v>
      </c>
      <c r="AK38" s="354" cm="1">
        <f t="array" ref="AK38">SUM(_xlfn._xlws.FILTER(_xlfn._xlws.FILTER(dataGLBS,endDates=AK$5),dataGLBSAcctIDs=$C38))</f>
        <v>0</v>
      </c>
      <c r="AL38" s="354" cm="1">
        <f t="array" ref="AL38">SUM(_xlfn._xlws.FILTER(_xlfn._xlws.FILTER(dataGLBS,endDates=AL$5),dataGLBSAcctIDs=$C38))</f>
        <v>0</v>
      </c>
      <c r="AM38" s="354" cm="1">
        <f t="array" ref="AM38">SUM(_xlfn._xlws.FILTER(_xlfn._xlws.FILTER(dataGLBS,endDates=AM$5),dataGLBSAcctIDs=$C38))</f>
        <v>0</v>
      </c>
      <c r="AN38" s="354" cm="1">
        <f t="array" ref="AN38">SUM(_xlfn._xlws.FILTER(_xlfn._xlws.FILTER(dataGLBS,endDates=AN$5),dataGLBSAcctIDs=$C38))</f>
        <v>0</v>
      </c>
      <c r="AO38" s="354" cm="1">
        <f t="array" ref="AO38">SUM(_xlfn._xlws.FILTER(_xlfn._xlws.FILTER(dataGLBS,endDates=AO$5),dataGLBSAcctIDs=$C38))</f>
        <v>0</v>
      </c>
      <c r="AP38" s="354" cm="1">
        <f t="array" ref="AP38">SUM(_xlfn._xlws.FILTER(_xlfn._xlws.FILTER(dataGLBS,endDates=AP$5),dataGLBSAcctIDs=$C38))</f>
        <v>0</v>
      </c>
      <c r="AQ38" s="354" cm="1">
        <f t="array" ref="AQ38">SUM(_xlfn._xlws.FILTER(_xlfn._xlws.FILTER(dataGLBS,endDates=AQ$5),dataGLBSAcctIDs=$C38))</f>
        <v>0</v>
      </c>
      <c r="AR38" s="354" cm="1">
        <f t="array" ref="AR38">SUM(_xlfn._xlws.FILTER(_xlfn._xlws.FILTER(dataGLBS,endDates=AR$5),dataGLBSAcctIDs=$C38))</f>
        <v>0</v>
      </c>
      <c r="AS38" s="354" cm="1">
        <f t="array" ref="AS38">SUM(_xlfn._xlws.FILTER(_xlfn._xlws.FILTER(dataGLBS,endDates=AS$5),dataGLBSAcctIDs=$C38))</f>
        <v>0</v>
      </c>
      <c r="AT38" s="354" cm="1">
        <f t="array" ref="AT38">SUM(_xlfn._xlws.FILTER(_xlfn._xlws.FILTER(dataGLBS,endDates=AT$5),dataGLBSAcctIDs=$C38))</f>
        <v>0</v>
      </c>
      <c r="AU38" s="354" cm="1">
        <f t="array" ref="AU38">SUM(_xlfn._xlws.FILTER(_xlfn._xlws.FILTER(dataGLBS,endDates=AU$5),dataGLBSAcctIDs=$C38))</f>
        <v>0</v>
      </c>
      <c r="AV38" s="354" cm="1">
        <f t="array" ref="AV38">SUM(_xlfn._xlws.FILTER(_xlfn._xlws.FILTER(dataGLBS,endDates=AV$5),dataGLBSAcctIDs=$C38))</f>
        <v>0</v>
      </c>
      <c r="AW38" s="354" cm="1">
        <f t="array" ref="AW38">SUM(_xlfn._xlws.FILTER(_xlfn._xlws.FILTER(dataGLBS,endDates=AW$5),dataGLBSAcctIDs=$C38))</f>
        <v>0</v>
      </c>
      <c r="AX38" s="354" cm="1">
        <f t="array" ref="AX38">SUM(_xlfn._xlws.FILTER(_xlfn._xlws.FILTER(dataGLBS,endDates=AX$5),dataGLBSAcctIDs=$C38))</f>
        <v>0</v>
      </c>
      <c r="AY38" s="354" cm="1">
        <f t="array" ref="AY38">SUM(_xlfn._xlws.FILTER(_xlfn._xlws.FILTER(dataGLBS,endDates=AY$5),dataGLBSAcctIDs=$C38))</f>
        <v>0</v>
      </c>
      <c r="AZ38" s="354" cm="1">
        <f t="array" ref="AZ38">SUM(_xlfn._xlws.FILTER(_xlfn._xlws.FILTER(dataGLBS,endDates=AZ$5),dataGLBSAcctIDs=$C38))</f>
        <v>0</v>
      </c>
      <c r="BA38" s="354" cm="1">
        <f t="array" ref="BA38">SUM(_xlfn._xlws.FILTER(_xlfn._xlws.FILTER(dataGLBS,endDates=BA$5),dataGLBSAcctIDs=$C38))</f>
        <v>0</v>
      </c>
      <c r="BB38" s="354" cm="1">
        <f t="array" ref="BB38">SUM(_xlfn._xlws.FILTER(_xlfn._xlws.FILTER(dataGLBS,endDates=BB$5),dataGLBSAcctIDs=$C38))</f>
        <v>0</v>
      </c>
      <c r="BC38" s="354" cm="1">
        <f t="array" ref="BC38">SUM(_xlfn._xlws.FILTER(_xlfn._xlws.FILTER(dataGLBS,endDates=BC$5),dataGLBSAcctIDs=$C38))</f>
        <v>0</v>
      </c>
      <c r="BD38" s="354" cm="1">
        <f t="array" ref="BD38">SUM(_xlfn._xlws.FILTER(_xlfn._xlws.FILTER(dataGLBS,endDates=BD$5),dataGLBSAcctIDs=$C38))</f>
        <v>0</v>
      </c>
      <c r="BE38" s="354" cm="1">
        <f t="array" ref="BE38">SUM(_xlfn._xlws.FILTER(_xlfn._xlws.FILTER(dataGLBS,endDates=BE$5),dataGLBSAcctIDs=$C38))</f>
        <v>0</v>
      </c>
      <c r="BF38" s="354" cm="1">
        <f t="array" ref="BF38">SUM(_xlfn._xlws.FILTER(_xlfn._xlws.FILTER(dataGLBS,endDates=BF$5),dataGLBSAcctIDs=$C38))</f>
        <v>0</v>
      </c>
      <c r="BG38" s="354" cm="1">
        <f t="array" ref="BG38">SUM(_xlfn._xlws.FILTER(_xlfn._xlws.FILTER(dataGLBS,endDates=BG$5),dataGLBSAcctIDs=$C38))</f>
        <v>1000</v>
      </c>
      <c r="BH38" s="354" cm="1">
        <f t="array" ref="BH38">SUM(_xlfn._xlws.FILTER(_xlfn._xlws.FILTER(dataGLBS,endDates=BH$5),dataGLBSAcctIDs=$C38))</f>
        <v>1000</v>
      </c>
      <c r="BI38" s="354" cm="1">
        <f t="array" ref="BI38">SUM(_xlfn._xlws.FILTER(_xlfn._xlws.FILTER(dataGLBS,endDates=BI$5),dataGLBSAcctIDs=$C38))</f>
        <v>1500</v>
      </c>
      <c r="BJ38" s="354" cm="1">
        <f t="array" ref="BJ38">SUM(_xlfn._xlws.FILTER(_xlfn._xlws.FILTER(dataGLBS,endDates=BJ$5),dataGLBSAcctIDs=$C38))</f>
        <v>1500</v>
      </c>
      <c r="BK38" s="354" cm="1">
        <f t="array" ref="BK38">SUM(_xlfn._xlws.FILTER(_xlfn._xlws.FILTER(dataGLBS,endDates=BK$5),dataGLBSAcctIDs=$C38))</f>
        <v>1500</v>
      </c>
      <c r="BL38" s="354" cm="1">
        <f t="array" ref="BL38">SUM(_xlfn._xlws.FILTER(_xlfn._xlws.FILTER(dataGLBS,endDates=BL$5),dataGLBSAcctIDs=$C38))</f>
        <v>2500</v>
      </c>
      <c r="BM38" s="354" cm="1">
        <f t="array" ref="BM38">SUM(_xlfn._xlws.FILTER(_xlfn._xlws.FILTER(dataGLBS,endDates=BM$5),dataGLBSAcctIDs=$C38))</f>
        <v>2500</v>
      </c>
      <c r="BN38" s="354" cm="1">
        <f t="array" ref="BN38">SUM(_xlfn._xlws.FILTER(_xlfn._xlws.FILTER(dataGLBS,endDates=BN$5),dataGLBSAcctIDs=$C38))</f>
        <v>2500</v>
      </c>
      <c r="BO38" s="354" cm="1">
        <f t="array" ref="BO38">SUM(_xlfn._xlws.FILTER(_xlfn._xlws.FILTER(dataGLBS,endDates=BO$5),dataGLBSAcctIDs=$C38))</f>
        <v>2500</v>
      </c>
      <c r="BP38" s="354" cm="1">
        <f t="array" ref="BP38">SUM(_xlfn._xlws.FILTER(_xlfn._xlws.FILTER(dataGLBS,endDates=BP$5),dataGLBSAcctIDs=$C38))</f>
        <v>2500</v>
      </c>
      <c r="BQ38" s="354" cm="1">
        <f t="array" ref="BQ38">SUM(_xlfn._xlws.FILTER(_xlfn._xlws.FILTER(dataGLBS,endDates=BQ$5),dataGLBSAcctIDs=$C38))</f>
        <v>2500</v>
      </c>
      <c r="BR38" s="354" cm="1">
        <f t="array" ref="BR38">SUM(_xlfn._xlws.FILTER(_xlfn._xlws.FILTER(dataGLBS,endDates=BR$5),dataGLBSAcctIDs=$C38))</f>
        <v>2500</v>
      </c>
      <c r="BS38" s="354" cm="1">
        <f t="array" ref="BS38">SUM(_xlfn._xlws.FILTER(_xlfn._xlws.FILTER(dataGLBS,endDates=BS$5),dataGLBSAcctIDs=$C38))</f>
        <v>2500</v>
      </c>
      <c r="BT38" s="354" cm="1">
        <f t="array" ref="BT38">SUM(_xlfn._xlws.FILTER(_xlfn._xlws.FILTER(dataGLBS,endDates=BT$5),dataGLBSAcctIDs=$C38))</f>
        <v>2500</v>
      </c>
      <c r="BU38" s="354" cm="1">
        <f t="array" ref="BU38">SUM(_xlfn._xlws.FILTER(_xlfn._xlws.FILTER(dataGLBS,endDates=BU$5),dataGLBSAcctIDs=$C38))</f>
        <v>2500</v>
      </c>
      <c r="BV38" s="354" cm="1">
        <f t="array" ref="BV38">SUM(_xlfn._xlws.FILTER(_xlfn._xlws.FILTER(dataGLBS,endDates=BV$5),dataGLBSAcctIDs=$C38))</f>
        <v>2500</v>
      </c>
      <c r="BW38" s="354" cm="1">
        <f t="array" ref="BW38">SUM(_xlfn._xlws.FILTER(_xlfn._xlws.FILTER(dataGLBS,endDates=BW$5),dataGLBSAcctIDs=$C38))</f>
        <v>2500</v>
      </c>
      <c r="BX38" s="354" cm="1">
        <f t="array" ref="BX38">SUM(_xlfn._xlws.FILTER(_xlfn._xlws.FILTER(dataGLBS,endDates=BX$5),dataGLBSAcctIDs=$C38))</f>
        <v>2500</v>
      </c>
      <c r="BY38" s="354" cm="1">
        <f t="array" ref="BY38">SUM(_xlfn._xlws.FILTER(_xlfn._xlws.FILTER(dataGLBS,endDates=BY$5),dataGLBSAcctIDs=$C38))</f>
        <v>2500</v>
      </c>
      <c r="BZ38" s="201"/>
    </row>
    <row r="39" spans="1:78" s="350" customFormat="1" ht="21" customHeight="1">
      <c r="A39" s="215"/>
      <c r="B39" s="349" t="s">
        <v>303</v>
      </c>
      <c r="C39" s="343" t="s">
        <v>304</v>
      </c>
      <c r="D39" s="215"/>
      <c r="E39" s="216"/>
      <c r="F39" s="353">
        <f t="shared" ref="F39:I39" si="27">_xlfn.AGGREGATE(9,0, F$36:F$38)</f>
        <v>55349.5</v>
      </c>
      <c r="G39" s="353">
        <f t="shared" si="27"/>
        <v>55349.5</v>
      </c>
      <c r="H39" s="353">
        <f t="shared" si="27"/>
        <v>121304.0832818182</v>
      </c>
      <c r="I39" s="353">
        <f t="shared" si="27"/>
        <v>113881.40120151216</v>
      </c>
      <c r="J39" s="344"/>
      <c r="K39" s="344"/>
      <c r="L39" s="353">
        <f t="shared" ref="L39:AA39" si="28">_xlfn.AGGREGATE(9,0, L$36:L$38)</f>
        <v>43504</v>
      </c>
      <c r="M39" s="353">
        <f t="shared" si="28"/>
        <v>48234</v>
      </c>
      <c r="N39" s="353">
        <f t="shared" si="28"/>
        <v>53477.5</v>
      </c>
      <c r="O39" s="353">
        <f t="shared" si="28"/>
        <v>55349.5</v>
      </c>
      <c r="P39" s="353">
        <f t="shared" si="28"/>
        <v>55349.5</v>
      </c>
      <c r="Q39" s="353">
        <f t="shared" si="28"/>
        <v>55349.5</v>
      </c>
      <c r="R39" s="353">
        <f t="shared" si="28"/>
        <v>55349.5</v>
      </c>
      <c r="S39" s="353">
        <f t="shared" si="28"/>
        <v>55349.5</v>
      </c>
      <c r="T39" s="353">
        <f t="shared" si="28"/>
        <v>55349.5</v>
      </c>
      <c r="U39" s="353">
        <f t="shared" si="28"/>
        <v>56349.5</v>
      </c>
      <c r="V39" s="353">
        <f t="shared" si="28"/>
        <v>56849.5</v>
      </c>
      <c r="W39" s="353">
        <f t="shared" si="28"/>
        <v>121304.0832818182</v>
      </c>
      <c r="X39" s="353">
        <f t="shared" si="28"/>
        <v>91395.486110663274</v>
      </c>
      <c r="Y39" s="353">
        <f t="shared" si="28"/>
        <v>102259.81084503142</v>
      </c>
      <c r="Z39" s="353">
        <f t="shared" si="28"/>
        <v>106593.6066991484</v>
      </c>
      <c r="AA39" s="353">
        <f t="shared" si="28"/>
        <v>113881.40120151216</v>
      </c>
      <c r="AB39" s="215"/>
      <c r="AC39" s="344"/>
      <c r="AD39" s="353">
        <f>_xlfn.AGGREGATE(9,0, AD$36:AD$38)</f>
        <v>37350</v>
      </c>
      <c r="AE39" s="353">
        <f t="shared" ref="AE39:BY39" si="29">_xlfn.AGGREGATE(9,0, AE$36:AE$38)</f>
        <v>42033</v>
      </c>
      <c r="AF39" s="353">
        <f t="shared" si="29"/>
        <v>43504</v>
      </c>
      <c r="AG39" s="353">
        <f t="shared" si="29"/>
        <v>45027</v>
      </c>
      <c r="AH39" s="353">
        <f t="shared" si="29"/>
        <v>46603</v>
      </c>
      <c r="AI39" s="353">
        <f t="shared" si="29"/>
        <v>48234</v>
      </c>
      <c r="AJ39" s="353">
        <f t="shared" si="29"/>
        <v>49922</v>
      </c>
      <c r="AK39" s="353">
        <f t="shared" si="29"/>
        <v>51669.5</v>
      </c>
      <c r="AL39" s="353">
        <f t="shared" si="29"/>
        <v>53477.5</v>
      </c>
      <c r="AM39" s="353">
        <f t="shared" si="29"/>
        <v>55349.5</v>
      </c>
      <c r="AN39" s="353">
        <f t="shared" si="29"/>
        <v>55349.5</v>
      </c>
      <c r="AO39" s="353">
        <f t="shared" si="29"/>
        <v>55349.5</v>
      </c>
      <c r="AP39" s="353">
        <f t="shared" si="29"/>
        <v>55349.5</v>
      </c>
      <c r="AQ39" s="353">
        <f t="shared" si="29"/>
        <v>55349.5</v>
      </c>
      <c r="AR39" s="353">
        <f t="shared" si="29"/>
        <v>55349.5</v>
      </c>
      <c r="AS39" s="353">
        <f t="shared" si="29"/>
        <v>55349.5</v>
      </c>
      <c r="AT39" s="353">
        <f t="shared" si="29"/>
        <v>55349.5</v>
      </c>
      <c r="AU39" s="353">
        <f t="shared" si="29"/>
        <v>55349.5</v>
      </c>
      <c r="AV39" s="353">
        <f t="shared" si="29"/>
        <v>55349.5</v>
      </c>
      <c r="AW39" s="353">
        <f t="shared" si="29"/>
        <v>55349.5</v>
      </c>
      <c r="AX39" s="353">
        <f t="shared" si="29"/>
        <v>55349.5</v>
      </c>
      <c r="AY39" s="353">
        <f t="shared" si="29"/>
        <v>55349.5</v>
      </c>
      <c r="AZ39" s="353">
        <f t="shared" si="29"/>
        <v>55349.5</v>
      </c>
      <c r="BA39" s="353">
        <f t="shared" si="29"/>
        <v>55349.5</v>
      </c>
      <c r="BB39" s="353">
        <f t="shared" si="29"/>
        <v>55349.5</v>
      </c>
      <c r="BC39" s="353">
        <f t="shared" si="29"/>
        <v>55349.5</v>
      </c>
      <c r="BD39" s="353">
        <f t="shared" si="29"/>
        <v>55349.5</v>
      </c>
      <c r="BE39" s="353">
        <f t="shared" si="29"/>
        <v>55349.5</v>
      </c>
      <c r="BF39" s="353">
        <f t="shared" si="29"/>
        <v>55349.5</v>
      </c>
      <c r="BG39" s="353">
        <f t="shared" si="29"/>
        <v>56349.5</v>
      </c>
      <c r="BH39" s="353">
        <f t="shared" si="29"/>
        <v>56349.5</v>
      </c>
      <c r="BI39" s="353">
        <f t="shared" si="29"/>
        <v>56849.5</v>
      </c>
      <c r="BJ39" s="353">
        <f t="shared" si="29"/>
        <v>56849.5</v>
      </c>
      <c r="BK39" s="353">
        <f t="shared" si="29"/>
        <v>56849.5</v>
      </c>
      <c r="BL39" s="353">
        <f t="shared" si="29"/>
        <v>57849.5</v>
      </c>
      <c r="BM39" s="353">
        <f t="shared" si="29"/>
        <v>121304.0832818182</v>
      </c>
      <c r="BN39" s="353">
        <f t="shared" si="29"/>
        <v>102363.10724678721</v>
      </c>
      <c r="BO39" s="353">
        <f t="shared" si="29"/>
        <v>90043.935255415185</v>
      </c>
      <c r="BP39" s="353">
        <f t="shared" si="29"/>
        <v>91395.486110663274</v>
      </c>
      <c r="BQ39" s="353">
        <f t="shared" si="29"/>
        <v>99930.048159655038</v>
      </c>
      <c r="BR39" s="353">
        <f t="shared" si="29"/>
        <v>100780.38846379826</v>
      </c>
      <c r="BS39" s="353">
        <f t="shared" si="29"/>
        <v>102259.81084503142</v>
      </c>
      <c r="BT39" s="353">
        <f t="shared" si="29"/>
        <v>104502.91827537332</v>
      </c>
      <c r="BU39" s="353">
        <f t="shared" si="29"/>
        <v>105586.65220098443</v>
      </c>
      <c r="BV39" s="353">
        <f t="shared" si="29"/>
        <v>106593.6066991484</v>
      </c>
      <c r="BW39" s="353">
        <f t="shared" si="29"/>
        <v>107539.42272510206</v>
      </c>
      <c r="BX39" s="353">
        <f t="shared" si="29"/>
        <v>108449.63869410295</v>
      </c>
      <c r="BY39" s="353">
        <f t="shared" si="29"/>
        <v>113881.40120151216</v>
      </c>
      <c r="BZ39" s="201"/>
    </row>
    <row r="40" spans="1:78" s="350" customFormat="1" ht="21" customHeight="1">
      <c r="A40" s="215"/>
      <c r="B40" s="349" t="s">
        <v>305</v>
      </c>
      <c r="C40" s="343" t="s">
        <v>305</v>
      </c>
      <c r="D40" s="215"/>
      <c r="E40" s="216"/>
      <c r="F40" s="353"/>
      <c r="G40" s="353"/>
      <c r="H40" s="353"/>
      <c r="I40" s="353"/>
      <c r="J40" s="344"/>
      <c r="K40" s="344"/>
      <c r="L40" s="353"/>
      <c r="M40" s="353"/>
      <c r="N40" s="353"/>
      <c r="O40" s="353"/>
      <c r="P40" s="353"/>
      <c r="Q40" s="353"/>
      <c r="R40" s="353"/>
      <c r="S40" s="353"/>
      <c r="T40" s="353"/>
      <c r="U40" s="353"/>
      <c r="V40" s="353"/>
      <c r="W40" s="353"/>
      <c r="X40" s="353"/>
      <c r="Y40" s="353"/>
      <c r="Z40" s="353"/>
      <c r="AA40" s="353"/>
      <c r="AB40" s="215"/>
      <c r="AC40" s="344"/>
      <c r="AD40" s="353"/>
      <c r="AE40" s="353"/>
      <c r="AF40" s="353"/>
      <c r="AG40" s="353"/>
      <c r="AH40" s="353"/>
      <c r="AI40" s="353"/>
      <c r="AJ40" s="353"/>
      <c r="AK40" s="353"/>
      <c r="AL40" s="353"/>
      <c r="AM40" s="353"/>
      <c r="AN40" s="353"/>
      <c r="AO40" s="353"/>
      <c r="AP40" s="353"/>
      <c r="AQ40" s="353"/>
      <c r="AR40" s="353"/>
      <c r="AS40" s="353"/>
      <c r="AT40" s="353"/>
      <c r="AU40" s="353"/>
      <c r="AV40" s="353"/>
      <c r="AW40" s="353"/>
      <c r="AX40" s="353"/>
      <c r="AY40" s="353"/>
      <c r="AZ40" s="353"/>
      <c r="BA40" s="353"/>
      <c r="BB40" s="353"/>
      <c r="BC40" s="353"/>
      <c r="BD40" s="353"/>
      <c r="BE40" s="353"/>
      <c r="BF40" s="353"/>
      <c r="BG40" s="353"/>
      <c r="BH40" s="353"/>
      <c r="BI40" s="353"/>
      <c r="BJ40" s="353"/>
      <c r="BK40" s="353"/>
      <c r="BL40" s="353"/>
      <c r="BM40" s="353"/>
      <c r="BN40" s="353"/>
      <c r="BO40" s="353"/>
      <c r="BP40" s="353"/>
      <c r="BQ40" s="353"/>
      <c r="BR40" s="353"/>
      <c r="BS40" s="353"/>
      <c r="BT40" s="353"/>
      <c r="BU40" s="353"/>
      <c r="BV40" s="353"/>
      <c r="BW40" s="353"/>
      <c r="BX40" s="353"/>
      <c r="BY40" s="353"/>
      <c r="BZ40" s="201"/>
    </row>
    <row r="41" spans="1:78" s="350" customFormat="1" ht="21" customHeight="1">
      <c r="A41" s="215"/>
      <c r="B41" s="624" t="s">
        <v>306</v>
      </c>
      <c r="C41" s="343">
        <v>156</v>
      </c>
      <c r="D41" s="215"/>
      <c r="E41" s="216"/>
      <c r="F41" s="354" cm="1">
        <f t="array" ref="F41">SUM(_xlfn._xlws.FILTER(_xlfn._xlws.FILTER(dataGLBS,endDates=F$5),dataGLBSAcctIDs=$C41))</f>
        <v>1624.5</v>
      </c>
      <c r="G41" s="354" cm="1">
        <f t="array" ref="G41">SUM(_xlfn._xlws.FILTER(_xlfn._xlws.FILTER(dataGLBS,endDates=G$5),dataGLBSAcctIDs=$C41))</f>
        <v>1624.5</v>
      </c>
      <c r="H41" s="354" cm="1">
        <f t="array" ref="H41">SUM(_xlfn._xlws.FILTER(_xlfn._xlws.FILTER(dataGLBS,endDates=H$5),dataGLBSAcctIDs=$C41))</f>
        <v>1624.5</v>
      </c>
      <c r="I41" s="354" cm="1">
        <f t="array" ref="I41">SUM(_xlfn._xlws.FILTER(_xlfn._xlws.FILTER(dataGLBS,endDates=I$5),dataGLBSAcctIDs=$C41))</f>
        <v>1624.5</v>
      </c>
      <c r="J41" s="344"/>
      <c r="K41" s="344"/>
      <c r="L41" s="354" cm="1">
        <f t="array" ref="L41">SUM(_xlfn._xlws.FILTER(_xlfn._xlws.FILTER(dataGLBS,endDates=L$5),dataGLBSAcctIDs=$C41))</f>
        <v>1026</v>
      </c>
      <c r="M41" s="354" cm="1">
        <f t="array" ref="M41">SUM(_xlfn._xlws.FILTER(_xlfn._xlws.FILTER(dataGLBS,endDates=M$5),dataGLBSAcctIDs=$C41))</f>
        <v>1160.5</v>
      </c>
      <c r="N41" s="354" cm="1">
        <f t="array" ref="N41">SUM(_xlfn._xlws.FILTER(_xlfn._xlws.FILTER(dataGLBS,endDates=N$5),dataGLBSAcctIDs=$C41))</f>
        <v>1940.5</v>
      </c>
      <c r="O41" s="354" cm="1">
        <f t="array" ref="O41">SUM(_xlfn._xlws.FILTER(_xlfn._xlws.FILTER(dataGLBS,endDates=O$5),dataGLBSAcctIDs=$C41))</f>
        <v>1624.5</v>
      </c>
      <c r="P41" s="354" cm="1">
        <f t="array" ref="P41">SUM(_xlfn._xlws.FILTER(_xlfn._xlws.FILTER(dataGLBS,endDates=P$5),dataGLBSAcctIDs=$C41))</f>
        <v>1624.5</v>
      </c>
      <c r="Q41" s="354" cm="1">
        <f t="array" ref="Q41">SUM(_xlfn._xlws.FILTER(_xlfn._xlws.FILTER(dataGLBS,endDates=Q$5),dataGLBSAcctIDs=$C41))</f>
        <v>1624.5</v>
      </c>
      <c r="R41" s="354" cm="1">
        <f t="array" ref="R41">SUM(_xlfn._xlws.FILTER(_xlfn._xlws.FILTER(dataGLBS,endDates=R$5),dataGLBSAcctIDs=$C41))</f>
        <v>1624.5</v>
      </c>
      <c r="S41" s="354" cm="1">
        <f t="array" ref="S41">SUM(_xlfn._xlws.FILTER(_xlfn._xlws.FILTER(dataGLBS,endDates=S$5),dataGLBSAcctIDs=$C41))</f>
        <v>1624.5</v>
      </c>
      <c r="T41" s="354" cm="1">
        <f t="array" ref="T41">SUM(_xlfn._xlws.FILTER(_xlfn._xlws.FILTER(dataGLBS,endDates=T$5),dataGLBSAcctIDs=$C41))</f>
        <v>1624.5</v>
      </c>
      <c r="U41" s="354" cm="1">
        <f t="array" ref="U41">SUM(_xlfn._xlws.FILTER(_xlfn._xlws.FILTER(dataGLBS,endDates=U$5),dataGLBSAcctIDs=$C41))</f>
        <v>1624.5</v>
      </c>
      <c r="V41" s="354" cm="1">
        <f t="array" ref="V41">SUM(_xlfn._xlws.FILTER(_xlfn._xlws.FILTER(dataGLBS,endDates=V$5),dataGLBSAcctIDs=$C41))</f>
        <v>1624.5</v>
      </c>
      <c r="W41" s="354" cm="1">
        <f t="array" ref="W41">SUM(_xlfn._xlws.FILTER(_xlfn._xlws.FILTER(dataGLBS,endDates=W$5),dataGLBSAcctIDs=$C41))</f>
        <v>1624.5</v>
      </c>
      <c r="X41" s="354" cm="1">
        <f t="array" ref="X41">SUM(_xlfn._xlws.FILTER(_xlfn._xlws.FILTER(dataGLBS,endDates=X$5),dataGLBSAcctIDs=$C41))</f>
        <v>1624.5</v>
      </c>
      <c r="Y41" s="354" cm="1">
        <f t="array" ref="Y41">SUM(_xlfn._xlws.FILTER(_xlfn._xlws.FILTER(dataGLBS,endDates=Y$5),dataGLBSAcctIDs=$C41))</f>
        <v>1624.5</v>
      </c>
      <c r="Z41" s="354" cm="1">
        <f t="array" ref="Z41">SUM(_xlfn._xlws.FILTER(_xlfn._xlws.FILTER(dataGLBS,endDates=Z$5),dataGLBSAcctIDs=$C41))</f>
        <v>1624.5</v>
      </c>
      <c r="AA41" s="354" cm="1">
        <f t="array" ref="AA41">SUM(_xlfn._xlws.FILTER(_xlfn._xlws.FILTER(dataGLBS,endDates=AA$5),dataGLBSAcctIDs=$C41))</f>
        <v>1624.5</v>
      </c>
      <c r="AB41" s="215"/>
      <c r="AC41" s="344"/>
      <c r="AD41" s="354" cm="1">
        <f t="array" ref="AD41">SUM(_xlfn._xlws.FILTER(_xlfn._xlws.FILTER(dataGLBS,endDates=AD$5),dataGLBSAcctIDs=$C41))</f>
        <v>2942</v>
      </c>
      <c r="AE41" s="354" cm="1">
        <f t="array" ref="AE41">SUM(_xlfn._xlws.FILTER(_xlfn._xlws.FILTER(dataGLBS,endDates=AE$5),dataGLBSAcctIDs=$C41))</f>
        <v>1584</v>
      </c>
      <c r="AF41" s="354" cm="1">
        <f t="array" ref="AF41">SUM(_xlfn._xlws.FILTER(_xlfn._xlws.FILTER(dataGLBS,endDates=AF$5),dataGLBSAcctIDs=$C41))</f>
        <v>1026</v>
      </c>
      <c r="AG41" s="354" cm="1">
        <f t="array" ref="AG41">SUM(_xlfn._xlws.FILTER(_xlfn._xlws.FILTER(dataGLBS,endDates=AG$5),dataGLBSAcctIDs=$C41))</f>
        <v>1024</v>
      </c>
      <c r="AH41" s="354" cm="1">
        <f t="array" ref="AH41">SUM(_xlfn._xlws.FILTER(_xlfn._xlws.FILTER(dataGLBS,endDates=AH$5),dataGLBSAcctIDs=$C41))</f>
        <v>2667</v>
      </c>
      <c r="AI41" s="354" cm="1">
        <f t="array" ref="AI41">SUM(_xlfn._xlws.FILTER(_xlfn._xlws.FILTER(dataGLBS,endDates=AI$5),dataGLBSAcctIDs=$C41))</f>
        <v>1160.5</v>
      </c>
      <c r="AJ41" s="354" cm="1">
        <f t="array" ref="AJ41">SUM(_xlfn._xlws.FILTER(_xlfn._xlws.FILTER(dataGLBS,endDates=AJ$5),dataGLBSAcctIDs=$C41))</f>
        <v>2328.5</v>
      </c>
      <c r="AK41" s="354" cm="1">
        <f t="array" ref="AK41">SUM(_xlfn._xlws.FILTER(_xlfn._xlws.FILTER(dataGLBS,endDates=AK$5),dataGLBSAcctIDs=$C41))</f>
        <v>2690.5</v>
      </c>
      <c r="AL41" s="354" cm="1">
        <f t="array" ref="AL41">SUM(_xlfn._xlws.FILTER(_xlfn._xlws.FILTER(dataGLBS,endDates=AL$5),dataGLBSAcctIDs=$C41))</f>
        <v>1940.5</v>
      </c>
      <c r="AM41" s="354" cm="1">
        <f t="array" ref="AM41">SUM(_xlfn._xlws.FILTER(_xlfn._xlws.FILTER(dataGLBS,endDates=AM$5),dataGLBSAcctIDs=$C41))</f>
        <v>1624.5</v>
      </c>
      <c r="AN41" s="354" cm="1">
        <f t="array" ref="AN41">SUM(_xlfn._xlws.FILTER(_xlfn._xlws.FILTER(dataGLBS,endDates=AN$5),dataGLBSAcctIDs=$C41))</f>
        <v>1624.5</v>
      </c>
      <c r="AO41" s="354" cm="1">
        <f t="array" ref="AO41">SUM(_xlfn._xlws.FILTER(_xlfn._xlws.FILTER(dataGLBS,endDates=AO$5),dataGLBSAcctIDs=$C41))</f>
        <v>1624.5</v>
      </c>
      <c r="AP41" s="354" cm="1">
        <f t="array" ref="AP41">SUM(_xlfn._xlws.FILTER(_xlfn._xlws.FILTER(dataGLBS,endDates=AP$5),dataGLBSAcctIDs=$C41))</f>
        <v>1624.5</v>
      </c>
      <c r="AQ41" s="354" cm="1">
        <f t="array" ref="AQ41">SUM(_xlfn._xlws.FILTER(_xlfn._xlws.FILTER(dataGLBS,endDates=AQ$5),dataGLBSAcctIDs=$C41))</f>
        <v>1624.5</v>
      </c>
      <c r="AR41" s="354" cm="1">
        <f t="array" ref="AR41">SUM(_xlfn._xlws.FILTER(_xlfn._xlws.FILTER(dataGLBS,endDates=AR$5),dataGLBSAcctIDs=$C41))</f>
        <v>1624.5</v>
      </c>
      <c r="AS41" s="354" cm="1">
        <f t="array" ref="AS41">SUM(_xlfn._xlws.FILTER(_xlfn._xlws.FILTER(dataGLBS,endDates=AS$5),dataGLBSAcctIDs=$C41))</f>
        <v>1624.5</v>
      </c>
      <c r="AT41" s="354" cm="1">
        <f t="array" ref="AT41">SUM(_xlfn._xlws.FILTER(_xlfn._xlws.FILTER(dataGLBS,endDates=AT$5),dataGLBSAcctIDs=$C41))</f>
        <v>1624.5</v>
      </c>
      <c r="AU41" s="354" cm="1">
        <f t="array" ref="AU41">SUM(_xlfn._xlws.FILTER(_xlfn._xlws.FILTER(dataGLBS,endDates=AU$5),dataGLBSAcctIDs=$C41))</f>
        <v>1624.5</v>
      </c>
      <c r="AV41" s="354" cm="1">
        <f t="array" ref="AV41">SUM(_xlfn._xlws.FILTER(_xlfn._xlws.FILTER(dataGLBS,endDates=AV$5),dataGLBSAcctIDs=$C41))</f>
        <v>1624.5</v>
      </c>
      <c r="AW41" s="354" cm="1">
        <f t="array" ref="AW41">SUM(_xlfn._xlws.FILTER(_xlfn._xlws.FILTER(dataGLBS,endDates=AW$5),dataGLBSAcctIDs=$C41))</f>
        <v>1624.5</v>
      </c>
      <c r="AX41" s="354" cm="1">
        <f t="array" ref="AX41">SUM(_xlfn._xlws.FILTER(_xlfn._xlws.FILTER(dataGLBS,endDates=AX$5),dataGLBSAcctIDs=$C41))</f>
        <v>1624.5</v>
      </c>
      <c r="AY41" s="354" cm="1">
        <f t="array" ref="AY41">SUM(_xlfn._xlws.FILTER(_xlfn._xlws.FILTER(dataGLBS,endDates=AY$5),dataGLBSAcctIDs=$C41))</f>
        <v>1624.5</v>
      </c>
      <c r="AZ41" s="354" cm="1">
        <f t="array" ref="AZ41">SUM(_xlfn._xlws.FILTER(_xlfn._xlws.FILTER(dataGLBS,endDates=AZ$5),dataGLBSAcctIDs=$C41))</f>
        <v>1624.5</v>
      </c>
      <c r="BA41" s="354" cm="1">
        <f t="array" ref="BA41">SUM(_xlfn._xlws.FILTER(_xlfn._xlws.FILTER(dataGLBS,endDates=BA$5),dataGLBSAcctIDs=$C41))</f>
        <v>1624.5</v>
      </c>
      <c r="BB41" s="354" cm="1">
        <f t="array" ref="BB41">SUM(_xlfn._xlws.FILTER(_xlfn._xlws.FILTER(dataGLBS,endDates=BB$5),dataGLBSAcctIDs=$C41))</f>
        <v>1624.5</v>
      </c>
      <c r="BC41" s="354" cm="1">
        <f t="array" ref="BC41">SUM(_xlfn._xlws.FILTER(_xlfn._xlws.FILTER(dataGLBS,endDates=BC$5),dataGLBSAcctIDs=$C41))</f>
        <v>1624.5</v>
      </c>
      <c r="BD41" s="354" cm="1">
        <f t="array" ref="BD41">SUM(_xlfn._xlws.FILTER(_xlfn._xlws.FILTER(dataGLBS,endDates=BD$5),dataGLBSAcctIDs=$C41))</f>
        <v>1624.5</v>
      </c>
      <c r="BE41" s="354" cm="1">
        <f t="array" ref="BE41">SUM(_xlfn._xlws.FILTER(_xlfn._xlws.FILTER(dataGLBS,endDates=BE$5),dataGLBSAcctIDs=$C41))</f>
        <v>1624.5</v>
      </c>
      <c r="BF41" s="354" cm="1">
        <f t="array" ref="BF41">SUM(_xlfn._xlws.FILTER(_xlfn._xlws.FILTER(dataGLBS,endDates=BF$5),dataGLBSAcctIDs=$C41))</f>
        <v>1624.5</v>
      </c>
      <c r="BG41" s="354" cm="1">
        <f t="array" ref="BG41">SUM(_xlfn._xlws.FILTER(_xlfn._xlws.FILTER(dataGLBS,endDates=BG$5),dataGLBSAcctIDs=$C41))</f>
        <v>1624.5</v>
      </c>
      <c r="BH41" s="354" cm="1">
        <f t="array" ref="BH41">SUM(_xlfn._xlws.FILTER(_xlfn._xlws.FILTER(dataGLBS,endDates=BH$5),dataGLBSAcctIDs=$C41))</f>
        <v>1624.5</v>
      </c>
      <c r="BI41" s="354" cm="1">
        <f t="array" ref="BI41">SUM(_xlfn._xlws.FILTER(_xlfn._xlws.FILTER(dataGLBS,endDates=BI$5),dataGLBSAcctIDs=$C41))</f>
        <v>1624.5</v>
      </c>
      <c r="BJ41" s="354" cm="1">
        <f t="array" ref="BJ41">SUM(_xlfn._xlws.FILTER(_xlfn._xlws.FILTER(dataGLBS,endDates=BJ$5),dataGLBSAcctIDs=$C41))</f>
        <v>1624.5</v>
      </c>
      <c r="BK41" s="354" cm="1">
        <f t="array" ref="BK41">SUM(_xlfn._xlws.FILTER(_xlfn._xlws.FILTER(dataGLBS,endDates=BK$5),dataGLBSAcctIDs=$C41))</f>
        <v>1624.5</v>
      </c>
      <c r="BL41" s="354" cm="1">
        <f t="array" ref="BL41">SUM(_xlfn._xlws.FILTER(_xlfn._xlws.FILTER(dataGLBS,endDates=BL$5),dataGLBSAcctIDs=$C41))</f>
        <v>1624.5</v>
      </c>
      <c r="BM41" s="354" cm="1">
        <f t="array" ref="BM41">SUM(_xlfn._xlws.FILTER(_xlfn._xlws.FILTER(dataGLBS,endDates=BM$5),dataGLBSAcctIDs=$C41))</f>
        <v>1624.5</v>
      </c>
      <c r="BN41" s="354" cm="1">
        <f t="array" ref="BN41">SUM(_xlfn._xlws.FILTER(_xlfn._xlws.FILTER(dataGLBS,endDates=BN$5),dataGLBSAcctIDs=$C41))</f>
        <v>1624.5</v>
      </c>
      <c r="BO41" s="354" cm="1">
        <f t="array" ref="BO41">SUM(_xlfn._xlws.FILTER(_xlfn._xlws.FILTER(dataGLBS,endDates=BO$5),dataGLBSAcctIDs=$C41))</f>
        <v>1624.5</v>
      </c>
      <c r="BP41" s="354" cm="1">
        <f t="array" ref="BP41">SUM(_xlfn._xlws.FILTER(_xlfn._xlws.FILTER(dataGLBS,endDates=BP$5),dataGLBSAcctIDs=$C41))</f>
        <v>1624.5</v>
      </c>
      <c r="BQ41" s="354" cm="1">
        <f t="array" ref="BQ41">SUM(_xlfn._xlws.FILTER(_xlfn._xlws.FILTER(dataGLBS,endDates=BQ$5),dataGLBSAcctIDs=$C41))</f>
        <v>1624.5</v>
      </c>
      <c r="BR41" s="354" cm="1">
        <f t="array" ref="BR41">SUM(_xlfn._xlws.FILTER(_xlfn._xlws.FILTER(dataGLBS,endDates=BR$5),dataGLBSAcctIDs=$C41))</f>
        <v>1624.5</v>
      </c>
      <c r="BS41" s="354" cm="1">
        <f t="array" ref="BS41">SUM(_xlfn._xlws.FILTER(_xlfn._xlws.FILTER(dataGLBS,endDates=BS$5),dataGLBSAcctIDs=$C41))</f>
        <v>1624.5</v>
      </c>
      <c r="BT41" s="354" cm="1">
        <f t="array" ref="BT41">SUM(_xlfn._xlws.FILTER(_xlfn._xlws.FILTER(dataGLBS,endDates=BT$5),dataGLBSAcctIDs=$C41))</f>
        <v>1624.5</v>
      </c>
      <c r="BU41" s="354" cm="1">
        <f t="array" ref="BU41">SUM(_xlfn._xlws.FILTER(_xlfn._xlws.FILTER(dataGLBS,endDates=BU$5),dataGLBSAcctIDs=$C41))</f>
        <v>1624.5</v>
      </c>
      <c r="BV41" s="354" cm="1">
        <f t="array" ref="BV41">SUM(_xlfn._xlws.FILTER(_xlfn._xlws.FILTER(dataGLBS,endDates=BV$5),dataGLBSAcctIDs=$C41))</f>
        <v>1624.5</v>
      </c>
      <c r="BW41" s="354" cm="1">
        <f t="array" ref="BW41">SUM(_xlfn._xlws.FILTER(_xlfn._xlws.FILTER(dataGLBS,endDates=BW$5),dataGLBSAcctIDs=$C41))</f>
        <v>1624.5</v>
      </c>
      <c r="BX41" s="354" cm="1">
        <f t="array" ref="BX41">SUM(_xlfn._xlws.FILTER(_xlfn._xlws.FILTER(dataGLBS,endDates=BX$5),dataGLBSAcctIDs=$C41))</f>
        <v>1624.5</v>
      </c>
      <c r="BY41" s="354" cm="1">
        <f t="array" ref="BY41">SUM(_xlfn._xlws.FILTER(_xlfn._xlws.FILTER(dataGLBS,endDates=BY$5),dataGLBSAcctIDs=$C41))</f>
        <v>1624.5</v>
      </c>
      <c r="BZ41" s="201"/>
    </row>
    <row r="42" spans="1:78" s="350" customFormat="1" ht="21" customHeight="1">
      <c r="A42" s="215"/>
      <c r="B42" s="624" t="s">
        <v>307</v>
      </c>
      <c r="C42" s="343">
        <v>157</v>
      </c>
      <c r="D42" s="215"/>
      <c r="E42" s="216"/>
      <c r="F42" s="354" cm="1">
        <f t="array" ref="F42">SUM(_xlfn._xlws.FILTER(_xlfn._xlws.FILTER(dataGLBS,endDates=F$5),dataGLBSAcctIDs=$C42))</f>
        <v>1353.5</v>
      </c>
      <c r="G42" s="354" cm="1">
        <f t="array" ref="G42">SUM(_xlfn._xlws.FILTER(_xlfn._xlws.FILTER(dataGLBS,endDates=G$5),dataGLBSAcctIDs=$C42))</f>
        <v>1353.5</v>
      </c>
      <c r="H42" s="354" cm="1">
        <f t="array" ref="H42">SUM(_xlfn._xlws.FILTER(_xlfn._xlws.FILTER(dataGLBS,endDates=H$5),dataGLBSAcctIDs=$C42))</f>
        <v>1353.5</v>
      </c>
      <c r="I42" s="354" cm="1">
        <f t="array" ref="I42">SUM(_xlfn._xlws.FILTER(_xlfn._xlws.FILTER(dataGLBS,endDates=I$5),dataGLBSAcctIDs=$C42))</f>
        <v>1353.5</v>
      </c>
      <c r="J42" s="344"/>
      <c r="K42" s="344"/>
      <c r="L42" s="354" cm="1">
        <f t="array" ref="L42">SUM(_xlfn._xlws.FILTER(_xlfn._xlws.FILTER(dataGLBS,endDates=L$5),dataGLBSAcctIDs=$C42))</f>
        <v>676</v>
      </c>
      <c r="M42" s="354" cm="1">
        <f t="array" ref="M42">SUM(_xlfn._xlws.FILTER(_xlfn._xlws.FILTER(dataGLBS,endDates=M$5),dataGLBSAcctIDs=$C42))</f>
        <v>1486.5</v>
      </c>
      <c r="N42" s="354" cm="1">
        <f t="array" ref="N42">SUM(_xlfn._xlws.FILTER(_xlfn._xlws.FILTER(dataGLBS,endDates=N$5),dataGLBSAcctIDs=$C42))</f>
        <v>3274.5</v>
      </c>
      <c r="O42" s="354" cm="1">
        <f t="array" ref="O42">SUM(_xlfn._xlws.FILTER(_xlfn._xlws.FILTER(dataGLBS,endDates=O$5),dataGLBSAcctIDs=$C42))</f>
        <v>1353.5</v>
      </c>
      <c r="P42" s="354" cm="1">
        <f t="array" ref="P42">SUM(_xlfn._xlws.FILTER(_xlfn._xlws.FILTER(dataGLBS,endDates=P$5),dataGLBSAcctIDs=$C42))</f>
        <v>1353.5</v>
      </c>
      <c r="Q42" s="354" cm="1">
        <f t="array" ref="Q42">SUM(_xlfn._xlws.FILTER(_xlfn._xlws.FILTER(dataGLBS,endDates=Q$5),dataGLBSAcctIDs=$C42))</f>
        <v>1353.5</v>
      </c>
      <c r="R42" s="354" cm="1">
        <f t="array" ref="R42">SUM(_xlfn._xlws.FILTER(_xlfn._xlws.FILTER(dataGLBS,endDates=R$5),dataGLBSAcctIDs=$C42))</f>
        <v>1353.5</v>
      </c>
      <c r="S42" s="354" cm="1">
        <f t="array" ref="S42">SUM(_xlfn._xlws.FILTER(_xlfn._xlws.FILTER(dataGLBS,endDates=S$5),dataGLBSAcctIDs=$C42))</f>
        <v>1353.5</v>
      </c>
      <c r="T42" s="354" cm="1">
        <f t="array" ref="T42">SUM(_xlfn._xlws.FILTER(_xlfn._xlws.FILTER(dataGLBS,endDates=T$5),dataGLBSAcctIDs=$C42))</f>
        <v>1353.5</v>
      </c>
      <c r="U42" s="354" cm="1">
        <f t="array" ref="U42">SUM(_xlfn._xlws.FILTER(_xlfn._xlws.FILTER(dataGLBS,endDates=U$5),dataGLBSAcctIDs=$C42))</f>
        <v>1353.5</v>
      </c>
      <c r="V42" s="354" cm="1">
        <f t="array" ref="V42">SUM(_xlfn._xlws.FILTER(_xlfn._xlws.FILTER(dataGLBS,endDates=V$5),dataGLBSAcctIDs=$C42))</f>
        <v>1353.5</v>
      </c>
      <c r="W42" s="354" cm="1">
        <f t="array" ref="W42">SUM(_xlfn._xlws.FILTER(_xlfn._xlws.FILTER(dataGLBS,endDates=W$5),dataGLBSAcctIDs=$C42))</f>
        <v>1353.5</v>
      </c>
      <c r="X42" s="354" cm="1">
        <f t="array" ref="X42">SUM(_xlfn._xlws.FILTER(_xlfn._xlws.FILTER(dataGLBS,endDates=X$5),dataGLBSAcctIDs=$C42))</f>
        <v>1353.5</v>
      </c>
      <c r="Y42" s="354" cm="1">
        <f t="array" ref="Y42">SUM(_xlfn._xlws.FILTER(_xlfn._xlws.FILTER(dataGLBS,endDates=Y$5),dataGLBSAcctIDs=$C42))</f>
        <v>1353.5</v>
      </c>
      <c r="Z42" s="354" cm="1">
        <f t="array" ref="Z42">SUM(_xlfn._xlws.FILTER(_xlfn._xlws.FILTER(dataGLBS,endDates=Z$5),dataGLBSAcctIDs=$C42))</f>
        <v>1353.5</v>
      </c>
      <c r="AA42" s="354" cm="1">
        <f t="array" ref="AA42">SUM(_xlfn._xlws.FILTER(_xlfn._xlws.FILTER(dataGLBS,endDates=AA$5),dataGLBSAcctIDs=$C42))</f>
        <v>1353.5</v>
      </c>
      <c r="AB42" s="215"/>
      <c r="AC42" s="344"/>
      <c r="AD42" s="354" cm="1">
        <f t="array" ref="AD42">SUM(_xlfn._xlws.FILTER(_xlfn._xlws.FILTER(dataGLBS,endDates=AD$5),dataGLBSAcctIDs=$C42))</f>
        <v>2150</v>
      </c>
      <c r="AE42" s="354" cm="1">
        <f t="array" ref="AE42">SUM(_xlfn._xlws.FILTER(_xlfn._xlws.FILTER(dataGLBS,endDates=AE$5),dataGLBSAcctIDs=$C42))</f>
        <v>3394</v>
      </c>
      <c r="AF42" s="354" cm="1">
        <f t="array" ref="AF42">SUM(_xlfn._xlws.FILTER(_xlfn._xlws.FILTER(dataGLBS,endDates=AF$5),dataGLBSAcctIDs=$C42))</f>
        <v>676</v>
      </c>
      <c r="AG42" s="354" cm="1">
        <f t="array" ref="AG42">SUM(_xlfn._xlws.FILTER(_xlfn._xlws.FILTER(dataGLBS,endDates=AG$5),dataGLBSAcctIDs=$C42))</f>
        <v>2390</v>
      </c>
      <c r="AH42" s="354" cm="1">
        <f t="array" ref="AH42">SUM(_xlfn._xlws.FILTER(_xlfn._xlws.FILTER(dataGLBS,endDates=AH$5),dataGLBSAcctIDs=$C42))</f>
        <v>1981</v>
      </c>
      <c r="AI42" s="354" cm="1">
        <f t="array" ref="AI42">SUM(_xlfn._xlws.FILTER(_xlfn._xlws.FILTER(dataGLBS,endDates=AI$5),dataGLBSAcctIDs=$C42))</f>
        <v>1486.5</v>
      </c>
      <c r="AJ42" s="354" cm="1">
        <f t="array" ref="AJ42">SUM(_xlfn._xlws.FILTER(_xlfn._xlws.FILTER(dataGLBS,endDates=AJ$5),dataGLBSAcctIDs=$C42))</f>
        <v>433.5</v>
      </c>
      <c r="AK42" s="354" cm="1">
        <f t="array" ref="AK42">SUM(_xlfn._xlws.FILTER(_xlfn._xlws.FILTER(dataGLBS,endDates=AK$5),dataGLBSAcctIDs=$C42))</f>
        <v>2928.5</v>
      </c>
      <c r="AL42" s="354" cm="1">
        <f t="array" ref="AL42">SUM(_xlfn._xlws.FILTER(_xlfn._xlws.FILTER(dataGLBS,endDates=AL$5),dataGLBSAcctIDs=$C42))</f>
        <v>3274.5</v>
      </c>
      <c r="AM42" s="354" cm="1">
        <f t="array" ref="AM42">SUM(_xlfn._xlws.FILTER(_xlfn._xlws.FILTER(dataGLBS,endDates=AM$5),dataGLBSAcctIDs=$C42))</f>
        <v>1353.5</v>
      </c>
      <c r="AN42" s="354" cm="1">
        <f t="array" ref="AN42">SUM(_xlfn._xlws.FILTER(_xlfn._xlws.FILTER(dataGLBS,endDates=AN$5),dataGLBSAcctIDs=$C42))</f>
        <v>1353.5</v>
      </c>
      <c r="AO42" s="354" cm="1">
        <f t="array" ref="AO42">SUM(_xlfn._xlws.FILTER(_xlfn._xlws.FILTER(dataGLBS,endDates=AO$5),dataGLBSAcctIDs=$C42))</f>
        <v>1353.5</v>
      </c>
      <c r="AP42" s="354" cm="1">
        <f t="array" ref="AP42">SUM(_xlfn._xlws.FILTER(_xlfn._xlws.FILTER(dataGLBS,endDates=AP$5),dataGLBSAcctIDs=$C42))</f>
        <v>1353.5</v>
      </c>
      <c r="AQ42" s="354" cm="1">
        <f t="array" ref="AQ42">SUM(_xlfn._xlws.FILTER(_xlfn._xlws.FILTER(dataGLBS,endDates=AQ$5),dataGLBSAcctIDs=$C42))</f>
        <v>1353.5</v>
      </c>
      <c r="AR42" s="354" cm="1">
        <f t="array" ref="AR42">SUM(_xlfn._xlws.FILTER(_xlfn._xlws.FILTER(dataGLBS,endDates=AR$5),dataGLBSAcctIDs=$C42))</f>
        <v>1353.5</v>
      </c>
      <c r="AS42" s="354" cm="1">
        <f t="array" ref="AS42">SUM(_xlfn._xlws.FILTER(_xlfn._xlws.FILTER(dataGLBS,endDates=AS$5),dataGLBSAcctIDs=$C42))</f>
        <v>1353.5</v>
      </c>
      <c r="AT42" s="354" cm="1">
        <f t="array" ref="AT42">SUM(_xlfn._xlws.FILTER(_xlfn._xlws.FILTER(dataGLBS,endDates=AT$5),dataGLBSAcctIDs=$C42))</f>
        <v>1353.5</v>
      </c>
      <c r="AU42" s="354" cm="1">
        <f t="array" ref="AU42">SUM(_xlfn._xlws.FILTER(_xlfn._xlws.FILTER(dataGLBS,endDates=AU$5),dataGLBSAcctIDs=$C42))</f>
        <v>1353.5</v>
      </c>
      <c r="AV42" s="354" cm="1">
        <f t="array" ref="AV42">SUM(_xlfn._xlws.FILTER(_xlfn._xlws.FILTER(dataGLBS,endDates=AV$5),dataGLBSAcctIDs=$C42))</f>
        <v>1353.5</v>
      </c>
      <c r="AW42" s="354" cm="1">
        <f t="array" ref="AW42">SUM(_xlfn._xlws.FILTER(_xlfn._xlws.FILTER(dataGLBS,endDates=AW$5),dataGLBSAcctIDs=$C42))</f>
        <v>1353.5</v>
      </c>
      <c r="AX42" s="354" cm="1">
        <f t="array" ref="AX42">SUM(_xlfn._xlws.FILTER(_xlfn._xlws.FILTER(dataGLBS,endDates=AX$5),dataGLBSAcctIDs=$C42))</f>
        <v>1353.5</v>
      </c>
      <c r="AY42" s="354" cm="1">
        <f t="array" ref="AY42">SUM(_xlfn._xlws.FILTER(_xlfn._xlws.FILTER(dataGLBS,endDates=AY$5),dataGLBSAcctIDs=$C42))</f>
        <v>1353.5</v>
      </c>
      <c r="AZ42" s="354" cm="1">
        <f t="array" ref="AZ42">SUM(_xlfn._xlws.FILTER(_xlfn._xlws.FILTER(dataGLBS,endDates=AZ$5),dataGLBSAcctIDs=$C42))</f>
        <v>1353.5</v>
      </c>
      <c r="BA42" s="354" cm="1">
        <f t="array" ref="BA42">SUM(_xlfn._xlws.FILTER(_xlfn._xlws.FILTER(dataGLBS,endDates=BA$5),dataGLBSAcctIDs=$C42))</f>
        <v>1353.5</v>
      </c>
      <c r="BB42" s="354" cm="1">
        <f t="array" ref="BB42">SUM(_xlfn._xlws.FILTER(_xlfn._xlws.FILTER(dataGLBS,endDates=BB$5),dataGLBSAcctIDs=$C42))</f>
        <v>1353.5</v>
      </c>
      <c r="BC42" s="354" cm="1">
        <f t="array" ref="BC42">SUM(_xlfn._xlws.FILTER(_xlfn._xlws.FILTER(dataGLBS,endDates=BC$5),dataGLBSAcctIDs=$C42))</f>
        <v>1353.5</v>
      </c>
      <c r="BD42" s="354" cm="1">
        <f t="array" ref="BD42">SUM(_xlfn._xlws.FILTER(_xlfn._xlws.FILTER(dataGLBS,endDates=BD$5),dataGLBSAcctIDs=$C42))</f>
        <v>1353.5</v>
      </c>
      <c r="BE42" s="354" cm="1">
        <f t="array" ref="BE42">SUM(_xlfn._xlws.FILTER(_xlfn._xlws.FILTER(dataGLBS,endDates=BE$5),dataGLBSAcctIDs=$C42))</f>
        <v>1353.5</v>
      </c>
      <c r="BF42" s="354" cm="1">
        <f t="array" ref="BF42">SUM(_xlfn._xlws.FILTER(_xlfn._xlws.FILTER(dataGLBS,endDates=BF$5),dataGLBSAcctIDs=$C42))</f>
        <v>1353.5</v>
      </c>
      <c r="BG42" s="354" cm="1">
        <f t="array" ref="BG42">SUM(_xlfn._xlws.FILTER(_xlfn._xlws.FILTER(dataGLBS,endDates=BG$5),dataGLBSAcctIDs=$C42))</f>
        <v>1353.5</v>
      </c>
      <c r="BH42" s="354" cm="1">
        <f t="array" ref="BH42">SUM(_xlfn._xlws.FILTER(_xlfn._xlws.FILTER(dataGLBS,endDates=BH$5),dataGLBSAcctIDs=$C42))</f>
        <v>1353.5</v>
      </c>
      <c r="BI42" s="354" cm="1">
        <f t="array" ref="BI42">SUM(_xlfn._xlws.FILTER(_xlfn._xlws.FILTER(dataGLBS,endDates=BI$5),dataGLBSAcctIDs=$C42))</f>
        <v>1353.5</v>
      </c>
      <c r="BJ42" s="354" cm="1">
        <f t="array" ref="BJ42">SUM(_xlfn._xlws.FILTER(_xlfn._xlws.FILTER(dataGLBS,endDates=BJ$5),dataGLBSAcctIDs=$C42))</f>
        <v>1353.5</v>
      </c>
      <c r="BK42" s="354" cm="1">
        <f t="array" ref="BK42">SUM(_xlfn._xlws.FILTER(_xlfn._xlws.FILTER(dataGLBS,endDates=BK$5),dataGLBSAcctIDs=$C42))</f>
        <v>1353.5</v>
      </c>
      <c r="BL42" s="354" cm="1">
        <f t="array" ref="BL42">SUM(_xlfn._xlws.FILTER(_xlfn._xlws.FILTER(dataGLBS,endDates=BL$5),dataGLBSAcctIDs=$C42))</f>
        <v>1353.5</v>
      </c>
      <c r="BM42" s="354" cm="1">
        <f t="array" ref="BM42">SUM(_xlfn._xlws.FILTER(_xlfn._xlws.FILTER(dataGLBS,endDates=BM$5),dataGLBSAcctIDs=$C42))</f>
        <v>1353.5</v>
      </c>
      <c r="BN42" s="354" cm="1">
        <f t="array" ref="BN42">SUM(_xlfn._xlws.FILTER(_xlfn._xlws.FILTER(dataGLBS,endDates=BN$5),dataGLBSAcctIDs=$C42))</f>
        <v>1353.5</v>
      </c>
      <c r="BO42" s="354" cm="1">
        <f t="array" ref="BO42">SUM(_xlfn._xlws.FILTER(_xlfn._xlws.FILTER(dataGLBS,endDates=BO$5),dataGLBSAcctIDs=$C42))</f>
        <v>1353.5</v>
      </c>
      <c r="BP42" s="354" cm="1">
        <f t="array" ref="BP42">SUM(_xlfn._xlws.FILTER(_xlfn._xlws.FILTER(dataGLBS,endDates=BP$5),dataGLBSAcctIDs=$C42))</f>
        <v>1353.5</v>
      </c>
      <c r="BQ42" s="354" cm="1">
        <f t="array" ref="BQ42">SUM(_xlfn._xlws.FILTER(_xlfn._xlws.FILTER(dataGLBS,endDates=BQ$5),dataGLBSAcctIDs=$C42))</f>
        <v>1353.5</v>
      </c>
      <c r="BR42" s="354" cm="1">
        <f t="array" ref="BR42">SUM(_xlfn._xlws.FILTER(_xlfn._xlws.FILTER(dataGLBS,endDates=BR$5),dataGLBSAcctIDs=$C42))</f>
        <v>1353.5</v>
      </c>
      <c r="BS42" s="354" cm="1">
        <f t="array" ref="BS42">SUM(_xlfn._xlws.FILTER(_xlfn._xlws.FILTER(dataGLBS,endDates=BS$5),dataGLBSAcctIDs=$C42))</f>
        <v>1353.5</v>
      </c>
      <c r="BT42" s="354" cm="1">
        <f t="array" ref="BT42">SUM(_xlfn._xlws.FILTER(_xlfn._xlws.FILTER(dataGLBS,endDates=BT$5),dataGLBSAcctIDs=$C42))</f>
        <v>1353.5</v>
      </c>
      <c r="BU42" s="354" cm="1">
        <f t="array" ref="BU42">SUM(_xlfn._xlws.FILTER(_xlfn._xlws.FILTER(dataGLBS,endDates=BU$5),dataGLBSAcctIDs=$C42))</f>
        <v>1353.5</v>
      </c>
      <c r="BV42" s="354" cm="1">
        <f t="array" ref="BV42">SUM(_xlfn._xlws.FILTER(_xlfn._xlws.FILTER(dataGLBS,endDates=BV$5),dataGLBSAcctIDs=$C42))</f>
        <v>1353.5</v>
      </c>
      <c r="BW42" s="354" cm="1">
        <f t="array" ref="BW42">SUM(_xlfn._xlws.FILTER(_xlfn._xlws.FILTER(dataGLBS,endDates=BW$5),dataGLBSAcctIDs=$C42))</f>
        <v>1353.5</v>
      </c>
      <c r="BX42" s="354" cm="1">
        <f t="array" ref="BX42">SUM(_xlfn._xlws.FILTER(_xlfn._xlws.FILTER(dataGLBS,endDates=BX$5),dataGLBSAcctIDs=$C42))</f>
        <v>1353.5</v>
      </c>
      <c r="BY42" s="354" cm="1">
        <f t="array" ref="BY42">SUM(_xlfn._xlws.FILTER(_xlfn._xlws.FILTER(dataGLBS,endDates=BY$5),dataGLBSAcctIDs=$C42))</f>
        <v>1353.5</v>
      </c>
      <c r="BZ42" s="201"/>
    </row>
    <row r="43" spans="1:78" s="350" customFormat="1" ht="21" customHeight="1">
      <c r="A43" s="215"/>
      <c r="B43" s="624" t="s">
        <v>308</v>
      </c>
      <c r="C43" s="343">
        <v>158</v>
      </c>
      <c r="D43" s="215"/>
      <c r="E43" s="216"/>
      <c r="F43" s="354" cm="1">
        <f t="array" ref="F43">SUM(_xlfn._xlws.FILTER(_xlfn._xlws.FILTER(dataGLBS,endDates=F$5),dataGLBSAcctIDs=$C43))</f>
        <v>23270</v>
      </c>
      <c r="G43" s="354" cm="1">
        <f t="array" ref="G43">SUM(_xlfn._xlws.FILTER(_xlfn._xlws.FILTER(dataGLBS,endDates=G$5),dataGLBSAcctIDs=$C43))</f>
        <v>23270</v>
      </c>
      <c r="H43" s="354" cm="1">
        <f t="array" ref="H43">SUM(_xlfn._xlws.FILTER(_xlfn._xlws.FILTER(dataGLBS,endDates=H$5),dataGLBSAcctIDs=$C43))</f>
        <v>101330.83333333334</v>
      </c>
      <c r="I43" s="354" cm="1">
        <f t="array" ref="I43">SUM(_xlfn._xlws.FILTER(_xlfn._xlws.FILTER(dataGLBS,endDates=I$5),dataGLBSAcctIDs=$C43))</f>
        <v>119999.99999999983</v>
      </c>
      <c r="J43" s="344"/>
      <c r="K43" s="344"/>
      <c r="L43" s="354" cm="1">
        <f t="array" ref="L43">SUM(_xlfn._xlws.FILTER(_xlfn._xlws.FILTER(dataGLBS,endDates=L$5),dataGLBSAcctIDs=$C43))</f>
        <v>16538</v>
      </c>
      <c r="M43" s="354" cm="1">
        <f t="array" ref="M43">SUM(_xlfn._xlws.FILTER(_xlfn._xlws.FILTER(dataGLBS,endDates=M$5),dataGLBSAcctIDs=$C43))</f>
        <v>19145</v>
      </c>
      <c r="N43" s="354" cm="1">
        <f t="array" ref="N43">SUM(_xlfn._xlws.FILTER(_xlfn._xlws.FILTER(dataGLBS,endDates=N$5),dataGLBSAcctIDs=$C43))</f>
        <v>22162</v>
      </c>
      <c r="O43" s="354" cm="1">
        <f t="array" ref="O43">SUM(_xlfn._xlws.FILTER(_xlfn._xlws.FILTER(dataGLBS,endDates=O$5),dataGLBSAcctIDs=$C43))</f>
        <v>23270</v>
      </c>
      <c r="P43" s="354" cm="1">
        <f t="array" ref="P43">SUM(_xlfn._xlws.FILTER(_xlfn._xlws.FILTER(dataGLBS,endDates=P$5),dataGLBSAcctIDs=$C43))</f>
        <v>23270</v>
      </c>
      <c r="Q43" s="354" cm="1">
        <f t="array" ref="Q43">SUM(_xlfn._xlws.FILTER(_xlfn._xlws.FILTER(dataGLBS,endDates=Q$5),dataGLBSAcctIDs=$C43))</f>
        <v>23270</v>
      </c>
      <c r="R43" s="354" cm="1">
        <f t="array" ref="R43">SUM(_xlfn._xlws.FILTER(_xlfn._xlws.FILTER(dataGLBS,endDates=R$5),dataGLBSAcctIDs=$C43))</f>
        <v>23270</v>
      </c>
      <c r="S43" s="354" cm="1">
        <f t="array" ref="S43">SUM(_xlfn._xlws.FILTER(_xlfn._xlws.FILTER(dataGLBS,endDates=S$5),dataGLBSAcctIDs=$C43))</f>
        <v>23270</v>
      </c>
      <c r="T43" s="354" cm="1">
        <f t="array" ref="T43">SUM(_xlfn._xlws.FILTER(_xlfn._xlws.FILTER(dataGLBS,endDates=T$5),dataGLBSAcctIDs=$C43))</f>
        <v>23270</v>
      </c>
      <c r="U43" s="354" cm="1">
        <f t="array" ref="U43">SUM(_xlfn._xlws.FILTER(_xlfn._xlws.FILTER(dataGLBS,endDates=U$5),dataGLBSAcctIDs=$C43))</f>
        <v>23270</v>
      </c>
      <c r="V43" s="354" cm="1">
        <f t="array" ref="V43">SUM(_xlfn._xlws.FILTER(_xlfn._xlws.FILTER(dataGLBS,endDates=V$5),dataGLBSAcctIDs=$C43))</f>
        <v>23270</v>
      </c>
      <c r="W43" s="354" cm="1">
        <f t="array" ref="W43">SUM(_xlfn._xlws.FILTER(_xlfn._xlws.FILTER(dataGLBS,endDates=W$5),dataGLBSAcctIDs=$C43))</f>
        <v>101330.83333333334</v>
      </c>
      <c r="X43" s="354" cm="1">
        <f t="array" ref="X43">SUM(_xlfn._xlws.FILTER(_xlfn._xlws.FILTER(dataGLBS,endDates=X$5),dataGLBSAcctIDs=$C43))</f>
        <v>135513.33333333331</v>
      </c>
      <c r="Y43" s="354" cm="1">
        <f t="array" ref="Y43">SUM(_xlfn._xlws.FILTER(_xlfn._xlws.FILTER(dataGLBS,endDates=Y$5),dataGLBSAcctIDs=$C43))</f>
        <v>129695.83333333327</v>
      </c>
      <c r="Z43" s="354" cm="1">
        <f t="array" ref="Z43">SUM(_xlfn._xlws.FILTER(_xlfn._xlws.FILTER(dataGLBS,endDates=Z$5),dataGLBSAcctIDs=$C43))</f>
        <v>123878.33333333321</v>
      </c>
      <c r="AA43" s="354" cm="1">
        <f t="array" ref="AA43">SUM(_xlfn._xlws.FILTER(_xlfn._xlws.FILTER(dataGLBS,endDates=AA$5),dataGLBSAcctIDs=$C43))</f>
        <v>119999.99999999983</v>
      </c>
      <c r="AB43" s="215"/>
      <c r="AC43" s="344"/>
      <c r="AD43" s="354" cm="1">
        <f t="array" ref="AD43">SUM(_xlfn._xlws.FILTER(_xlfn._xlws.FILTER(dataGLBS,endDates=AD$5),dataGLBSAcctIDs=$C43))</f>
        <v>15000</v>
      </c>
      <c r="AE43" s="354" cm="1">
        <f t="array" ref="AE43">SUM(_xlfn._xlws.FILTER(_xlfn._xlws.FILTER(dataGLBS,endDates=AE$5),dataGLBSAcctIDs=$C43))</f>
        <v>15750</v>
      </c>
      <c r="AF43" s="354" cm="1">
        <f t="array" ref="AF43">SUM(_xlfn._xlws.FILTER(_xlfn._xlws.FILTER(dataGLBS,endDates=AF$5),dataGLBSAcctIDs=$C43))</f>
        <v>16538</v>
      </c>
      <c r="AG43" s="354" cm="1">
        <f t="array" ref="AG43">SUM(_xlfn._xlws.FILTER(_xlfn._xlws.FILTER(dataGLBS,endDates=AG$5),dataGLBSAcctIDs=$C43))</f>
        <v>17365</v>
      </c>
      <c r="AH43" s="354" cm="1">
        <f t="array" ref="AH43">SUM(_xlfn._xlws.FILTER(_xlfn._xlws.FILTER(dataGLBS,endDates=AH$5),dataGLBSAcctIDs=$C43))</f>
        <v>18233</v>
      </c>
      <c r="AI43" s="354" cm="1">
        <f t="array" ref="AI43">SUM(_xlfn._xlws.FILTER(_xlfn._xlws.FILTER(dataGLBS,endDates=AI$5),dataGLBSAcctIDs=$C43))</f>
        <v>19145</v>
      </c>
      <c r="AJ43" s="354" cm="1">
        <f t="array" ref="AJ43">SUM(_xlfn._xlws.FILTER(_xlfn._xlws.FILTER(dataGLBS,endDates=AJ$5),dataGLBSAcctIDs=$C43))</f>
        <v>20102</v>
      </c>
      <c r="AK43" s="354" cm="1">
        <f t="array" ref="AK43">SUM(_xlfn._xlws.FILTER(_xlfn._xlws.FILTER(dataGLBS,endDates=AK$5),dataGLBSAcctIDs=$C43))</f>
        <v>21107</v>
      </c>
      <c r="AL43" s="354" cm="1">
        <f t="array" ref="AL43">SUM(_xlfn._xlws.FILTER(_xlfn._xlws.FILTER(dataGLBS,endDates=AL$5),dataGLBSAcctIDs=$C43))</f>
        <v>22162</v>
      </c>
      <c r="AM43" s="354" cm="1">
        <f t="array" ref="AM43">SUM(_xlfn._xlws.FILTER(_xlfn._xlws.FILTER(dataGLBS,endDates=AM$5),dataGLBSAcctIDs=$C43))</f>
        <v>23270</v>
      </c>
      <c r="AN43" s="354" cm="1">
        <f t="array" ref="AN43">SUM(_xlfn._xlws.FILTER(_xlfn._xlws.FILTER(dataGLBS,endDates=AN$5),dataGLBSAcctIDs=$C43))</f>
        <v>23270</v>
      </c>
      <c r="AO43" s="354" cm="1">
        <f t="array" ref="AO43">SUM(_xlfn._xlws.FILTER(_xlfn._xlws.FILTER(dataGLBS,endDates=AO$5),dataGLBSAcctIDs=$C43))</f>
        <v>23270</v>
      </c>
      <c r="AP43" s="354" cm="1">
        <f t="array" ref="AP43">SUM(_xlfn._xlws.FILTER(_xlfn._xlws.FILTER(dataGLBS,endDates=AP$5),dataGLBSAcctIDs=$C43))</f>
        <v>23270</v>
      </c>
      <c r="AQ43" s="354" cm="1">
        <f t="array" ref="AQ43">SUM(_xlfn._xlws.FILTER(_xlfn._xlws.FILTER(dataGLBS,endDates=AQ$5),dataGLBSAcctIDs=$C43))</f>
        <v>23270</v>
      </c>
      <c r="AR43" s="354" cm="1">
        <f t="array" ref="AR43">SUM(_xlfn._xlws.FILTER(_xlfn._xlws.FILTER(dataGLBS,endDates=AR$5),dataGLBSAcctIDs=$C43))</f>
        <v>23270</v>
      </c>
      <c r="AS43" s="354" cm="1">
        <f t="array" ref="AS43">SUM(_xlfn._xlws.FILTER(_xlfn._xlws.FILTER(dataGLBS,endDates=AS$5),dataGLBSAcctIDs=$C43))</f>
        <v>23270</v>
      </c>
      <c r="AT43" s="354" cm="1">
        <f t="array" ref="AT43">SUM(_xlfn._xlws.FILTER(_xlfn._xlws.FILTER(dataGLBS,endDates=AT$5),dataGLBSAcctIDs=$C43))</f>
        <v>23270</v>
      </c>
      <c r="AU43" s="354" cm="1">
        <f t="array" ref="AU43">SUM(_xlfn._xlws.FILTER(_xlfn._xlws.FILTER(dataGLBS,endDates=AU$5),dataGLBSAcctIDs=$C43))</f>
        <v>23270</v>
      </c>
      <c r="AV43" s="354" cm="1">
        <f t="array" ref="AV43">SUM(_xlfn._xlws.FILTER(_xlfn._xlws.FILTER(dataGLBS,endDates=AV$5),dataGLBSAcctIDs=$C43))</f>
        <v>23270</v>
      </c>
      <c r="AW43" s="354" cm="1">
        <f t="array" ref="AW43">SUM(_xlfn._xlws.FILTER(_xlfn._xlws.FILTER(dataGLBS,endDates=AW$5),dataGLBSAcctIDs=$C43))</f>
        <v>23270</v>
      </c>
      <c r="AX43" s="354" cm="1">
        <f t="array" ref="AX43">SUM(_xlfn._xlws.FILTER(_xlfn._xlws.FILTER(dataGLBS,endDates=AX$5),dataGLBSAcctIDs=$C43))</f>
        <v>23270</v>
      </c>
      <c r="AY43" s="354" cm="1">
        <f t="array" ref="AY43">SUM(_xlfn._xlws.FILTER(_xlfn._xlws.FILTER(dataGLBS,endDates=AY$5),dataGLBSAcctIDs=$C43))</f>
        <v>23270</v>
      </c>
      <c r="AZ43" s="354" cm="1">
        <f t="array" ref="AZ43">SUM(_xlfn._xlws.FILTER(_xlfn._xlws.FILTER(dataGLBS,endDates=AZ$5),dataGLBSAcctIDs=$C43))</f>
        <v>23270</v>
      </c>
      <c r="BA43" s="354" cm="1">
        <f t="array" ref="BA43">SUM(_xlfn._xlws.FILTER(_xlfn._xlws.FILTER(dataGLBS,endDates=BA$5),dataGLBSAcctIDs=$C43))</f>
        <v>23270</v>
      </c>
      <c r="BB43" s="354" cm="1">
        <f t="array" ref="BB43">SUM(_xlfn._xlws.FILTER(_xlfn._xlws.FILTER(dataGLBS,endDates=BB$5),dataGLBSAcctIDs=$C43))</f>
        <v>23270</v>
      </c>
      <c r="BC43" s="354" cm="1">
        <f t="array" ref="BC43">SUM(_xlfn._xlws.FILTER(_xlfn._xlws.FILTER(dataGLBS,endDates=BC$5),dataGLBSAcctIDs=$C43))</f>
        <v>23270</v>
      </c>
      <c r="BD43" s="354" cm="1">
        <f t="array" ref="BD43">SUM(_xlfn._xlws.FILTER(_xlfn._xlws.FILTER(dataGLBS,endDates=BD$5),dataGLBSAcctIDs=$C43))</f>
        <v>23270</v>
      </c>
      <c r="BE43" s="354" cm="1">
        <f t="array" ref="BE43">SUM(_xlfn._xlws.FILTER(_xlfn._xlws.FILTER(dataGLBS,endDates=BE$5),dataGLBSAcctIDs=$C43))</f>
        <v>23270</v>
      </c>
      <c r="BF43" s="354" cm="1">
        <f t="array" ref="BF43">SUM(_xlfn._xlws.FILTER(_xlfn._xlws.FILTER(dataGLBS,endDates=BF$5),dataGLBSAcctIDs=$C43))</f>
        <v>23270</v>
      </c>
      <c r="BG43" s="354" cm="1">
        <f t="array" ref="BG43">SUM(_xlfn._xlws.FILTER(_xlfn._xlws.FILTER(dataGLBS,endDates=BG$5),dataGLBSAcctIDs=$C43))</f>
        <v>23270</v>
      </c>
      <c r="BH43" s="354" cm="1">
        <f t="array" ref="BH43">SUM(_xlfn._xlws.FILTER(_xlfn._xlws.FILTER(dataGLBS,endDates=BH$5),dataGLBSAcctIDs=$C43))</f>
        <v>23270</v>
      </c>
      <c r="BI43" s="354" cm="1">
        <f t="array" ref="BI43">SUM(_xlfn._xlws.FILTER(_xlfn._xlws.FILTER(dataGLBS,endDates=BI$5),dataGLBSAcctIDs=$C43))</f>
        <v>23270</v>
      </c>
      <c r="BJ43" s="354" cm="1">
        <f t="array" ref="BJ43">SUM(_xlfn._xlws.FILTER(_xlfn._xlws.FILTER(dataGLBS,endDates=BJ$5),dataGLBSAcctIDs=$C43))</f>
        <v>23270</v>
      </c>
      <c r="BK43" s="354" cm="1">
        <f t="array" ref="BK43">SUM(_xlfn._xlws.FILTER(_xlfn._xlws.FILTER(dataGLBS,endDates=BK$5),dataGLBSAcctIDs=$C43))</f>
        <v>23270</v>
      </c>
      <c r="BL43" s="354" cm="1">
        <f t="array" ref="BL43">SUM(_xlfn._xlws.FILTER(_xlfn._xlws.FILTER(dataGLBS,endDates=BL$5),dataGLBSAcctIDs=$C43))</f>
        <v>23270</v>
      </c>
      <c r="BM43" s="354" cm="1">
        <f t="array" ref="BM43">SUM(_xlfn._xlws.FILTER(_xlfn._xlws.FILTER(dataGLBS,endDates=BM$5),dataGLBSAcctIDs=$C43))</f>
        <v>101330.83333333334</v>
      </c>
      <c r="BN43" s="354" cm="1">
        <f t="array" ref="BN43">SUM(_xlfn._xlws.FILTER(_xlfn._xlws.FILTER(dataGLBS,endDates=BN$5),dataGLBSAcctIDs=$C43))</f>
        <v>139391.66666666669</v>
      </c>
      <c r="BO43" s="354" cm="1">
        <f t="array" ref="BO43">SUM(_xlfn._xlws.FILTER(_xlfn._xlws.FILTER(dataGLBS,endDates=BO$5),dataGLBSAcctIDs=$C43))</f>
        <v>137452.5</v>
      </c>
      <c r="BP43" s="354" cm="1">
        <f t="array" ref="BP43">SUM(_xlfn._xlws.FILTER(_xlfn._xlws.FILTER(dataGLBS,endDates=BP$5),dataGLBSAcctIDs=$C43))</f>
        <v>135513.33333333331</v>
      </c>
      <c r="BQ43" s="354" cm="1">
        <f t="array" ref="BQ43">SUM(_xlfn._xlws.FILTER(_xlfn._xlws.FILTER(dataGLBS,endDates=BQ$5),dataGLBSAcctIDs=$C43))</f>
        <v>133574.16666666663</v>
      </c>
      <c r="BR43" s="354" cm="1">
        <f t="array" ref="BR43">SUM(_xlfn._xlws.FILTER(_xlfn._xlws.FILTER(dataGLBS,endDates=BR$5),dataGLBSAcctIDs=$C43))</f>
        <v>131634.99999999994</v>
      </c>
      <c r="BS43" s="354" cm="1">
        <f t="array" ref="BS43">SUM(_xlfn._xlws.FILTER(_xlfn._xlws.FILTER(dataGLBS,endDates=BS$5),dataGLBSAcctIDs=$C43))</f>
        <v>129695.83333333327</v>
      </c>
      <c r="BT43" s="354" cm="1">
        <f t="array" ref="BT43">SUM(_xlfn._xlws.FILTER(_xlfn._xlws.FILTER(dataGLBS,endDates=BT$5),dataGLBSAcctIDs=$C43))</f>
        <v>127756.66666666658</v>
      </c>
      <c r="BU43" s="354" cm="1">
        <f t="array" ref="BU43">SUM(_xlfn._xlws.FILTER(_xlfn._xlws.FILTER(dataGLBS,endDates=BU$5),dataGLBSAcctIDs=$C43))</f>
        <v>125817.4999999999</v>
      </c>
      <c r="BV43" s="354" cm="1">
        <f t="array" ref="BV43">SUM(_xlfn._xlws.FILTER(_xlfn._xlws.FILTER(dataGLBS,endDates=BV$5),dataGLBSAcctIDs=$C43))</f>
        <v>123878.33333333321</v>
      </c>
      <c r="BW43" s="354" cm="1">
        <f t="array" ref="BW43">SUM(_xlfn._xlws.FILTER(_xlfn._xlws.FILTER(dataGLBS,endDates=BW$5),dataGLBSAcctIDs=$C43))</f>
        <v>121939.16666666653</v>
      </c>
      <c r="BX43" s="354" cm="1">
        <f t="array" ref="BX43">SUM(_xlfn._xlws.FILTER(_xlfn._xlws.FILTER(dataGLBS,endDates=BX$5),dataGLBSAcctIDs=$C43))</f>
        <v>119999.99999999984</v>
      </c>
      <c r="BY43" s="354" cm="1">
        <f t="array" ref="BY43">SUM(_xlfn._xlws.FILTER(_xlfn._xlws.FILTER(dataGLBS,endDates=BY$5),dataGLBSAcctIDs=$C43))</f>
        <v>119999.99999999983</v>
      </c>
      <c r="BZ43" s="201"/>
    </row>
    <row r="44" spans="1:78" s="350" customFormat="1" ht="21" customHeight="1">
      <c r="A44" s="215"/>
      <c r="B44" s="624" t="s">
        <v>309</v>
      </c>
      <c r="C44" s="343">
        <v>159</v>
      </c>
      <c r="D44" s="215"/>
      <c r="E44" s="216"/>
      <c r="F44" s="354" cm="1">
        <f t="array" ref="F44">SUM(_xlfn._xlws.FILTER(_xlfn._xlws.FILTER(dataGLBS,endDates=F$5),dataGLBSAcctIDs=$C44))</f>
        <v>1260.5</v>
      </c>
      <c r="G44" s="354" cm="1">
        <f t="array" ref="G44">SUM(_xlfn._xlws.FILTER(_xlfn._xlws.FILTER(dataGLBS,endDates=G$5),dataGLBSAcctIDs=$C44))</f>
        <v>1260.5</v>
      </c>
      <c r="H44" s="354" cm="1">
        <f t="array" ref="H44">SUM(_xlfn._xlws.FILTER(_xlfn._xlws.FILTER(dataGLBS,endDates=H$5),dataGLBSAcctIDs=$C44))</f>
        <v>1260.5</v>
      </c>
      <c r="I44" s="354" cm="1">
        <f t="array" ref="I44">SUM(_xlfn._xlws.FILTER(_xlfn._xlws.FILTER(dataGLBS,endDates=I$5),dataGLBSAcctIDs=$C44))</f>
        <v>1260.5</v>
      </c>
      <c r="J44" s="344"/>
      <c r="K44" s="344"/>
      <c r="L44" s="354" cm="1">
        <f t="array" ref="L44">SUM(_xlfn._xlws.FILTER(_xlfn._xlws.FILTER(dataGLBS,endDates=L$5),dataGLBSAcctIDs=$C44))</f>
        <v>1636</v>
      </c>
      <c r="M44" s="354" cm="1">
        <f t="array" ref="M44">SUM(_xlfn._xlws.FILTER(_xlfn._xlws.FILTER(dataGLBS,endDates=M$5),dataGLBSAcctIDs=$C44))</f>
        <v>1173</v>
      </c>
      <c r="N44" s="354" cm="1">
        <f t="array" ref="N44">SUM(_xlfn._xlws.FILTER(_xlfn._xlws.FILTER(dataGLBS,endDates=N$5),dataGLBSAcctIDs=$C44))</f>
        <v>3370.5</v>
      </c>
      <c r="O44" s="354" cm="1">
        <f t="array" ref="O44">SUM(_xlfn._xlws.FILTER(_xlfn._xlws.FILTER(dataGLBS,endDates=O$5),dataGLBSAcctIDs=$C44))</f>
        <v>1260.5</v>
      </c>
      <c r="P44" s="354" cm="1">
        <f t="array" ref="P44">SUM(_xlfn._xlws.FILTER(_xlfn._xlws.FILTER(dataGLBS,endDates=P$5),dataGLBSAcctIDs=$C44))</f>
        <v>1260.5</v>
      </c>
      <c r="Q44" s="354" cm="1">
        <f t="array" ref="Q44">SUM(_xlfn._xlws.FILTER(_xlfn._xlws.FILTER(dataGLBS,endDates=Q$5),dataGLBSAcctIDs=$C44))</f>
        <v>1260.5</v>
      </c>
      <c r="R44" s="354" cm="1">
        <f t="array" ref="R44">SUM(_xlfn._xlws.FILTER(_xlfn._xlws.FILTER(dataGLBS,endDates=R$5),dataGLBSAcctIDs=$C44))</f>
        <v>1260.5</v>
      </c>
      <c r="S44" s="354" cm="1">
        <f t="array" ref="S44">SUM(_xlfn._xlws.FILTER(_xlfn._xlws.FILTER(dataGLBS,endDates=S$5),dataGLBSAcctIDs=$C44))</f>
        <v>1260.5</v>
      </c>
      <c r="T44" s="354" cm="1">
        <f t="array" ref="T44">SUM(_xlfn._xlws.FILTER(_xlfn._xlws.FILTER(dataGLBS,endDates=T$5),dataGLBSAcctIDs=$C44))</f>
        <v>1260.5</v>
      </c>
      <c r="U44" s="354" cm="1">
        <f t="array" ref="U44">SUM(_xlfn._xlws.FILTER(_xlfn._xlws.FILTER(dataGLBS,endDates=U$5),dataGLBSAcctIDs=$C44))</f>
        <v>1260.5</v>
      </c>
      <c r="V44" s="354" cm="1">
        <f t="array" ref="V44">SUM(_xlfn._xlws.FILTER(_xlfn._xlws.FILTER(dataGLBS,endDates=V$5),dataGLBSAcctIDs=$C44))</f>
        <v>1260.5</v>
      </c>
      <c r="W44" s="354" cm="1">
        <f t="array" ref="W44">SUM(_xlfn._xlws.FILTER(_xlfn._xlws.FILTER(dataGLBS,endDates=W$5),dataGLBSAcctIDs=$C44))</f>
        <v>1260.5</v>
      </c>
      <c r="X44" s="354" cm="1">
        <f t="array" ref="X44">SUM(_xlfn._xlws.FILTER(_xlfn._xlws.FILTER(dataGLBS,endDates=X$5),dataGLBSAcctIDs=$C44))</f>
        <v>1260.5</v>
      </c>
      <c r="Y44" s="354" cm="1">
        <f t="array" ref="Y44">SUM(_xlfn._xlws.FILTER(_xlfn._xlws.FILTER(dataGLBS,endDates=Y$5),dataGLBSAcctIDs=$C44))</f>
        <v>1260.5</v>
      </c>
      <c r="Z44" s="354" cm="1">
        <f t="array" ref="Z44">SUM(_xlfn._xlws.FILTER(_xlfn._xlws.FILTER(dataGLBS,endDates=Z$5),dataGLBSAcctIDs=$C44))</f>
        <v>1260.5</v>
      </c>
      <c r="AA44" s="354" cm="1">
        <f t="array" ref="AA44">SUM(_xlfn._xlws.FILTER(_xlfn._xlws.FILTER(dataGLBS,endDates=AA$5),dataGLBSAcctIDs=$C44))</f>
        <v>1260.5</v>
      </c>
      <c r="AB44" s="215"/>
      <c r="AC44" s="344"/>
      <c r="AD44" s="354" cm="1">
        <f t="array" ref="AD44">SUM(_xlfn._xlws.FILTER(_xlfn._xlws.FILTER(dataGLBS,endDates=AD$5),dataGLBSAcctIDs=$C44))</f>
        <v>322</v>
      </c>
      <c r="AE44" s="354" cm="1">
        <f t="array" ref="AE44">SUM(_xlfn._xlws.FILTER(_xlfn._xlws.FILTER(dataGLBS,endDates=AE$5),dataGLBSAcctIDs=$C44))</f>
        <v>944</v>
      </c>
      <c r="AF44" s="354" cm="1">
        <f t="array" ref="AF44">SUM(_xlfn._xlws.FILTER(_xlfn._xlws.FILTER(dataGLBS,endDates=AF$5),dataGLBSAcctIDs=$C44))</f>
        <v>1636</v>
      </c>
      <c r="AG44" s="354" cm="1">
        <f t="array" ref="AG44">SUM(_xlfn._xlws.FILTER(_xlfn._xlws.FILTER(dataGLBS,endDates=AG$5),dataGLBSAcctIDs=$C44))</f>
        <v>2317</v>
      </c>
      <c r="AH44" s="354" cm="1">
        <f t="array" ref="AH44">SUM(_xlfn._xlws.FILTER(_xlfn._xlws.FILTER(dataGLBS,endDates=AH$5),dataGLBSAcctIDs=$C44))</f>
        <v>1183</v>
      </c>
      <c r="AI44" s="354" cm="1">
        <f t="array" ref="AI44">SUM(_xlfn._xlws.FILTER(_xlfn._xlws.FILTER(dataGLBS,endDates=AI$5),dataGLBSAcctIDs=$C44))</f>
        <v>1173</v>
      </c>
      <c r="AJ44" s="354" cm="1">
        <f t="array" ref="AJ44">SUM(_xlfn._xlws.FILTER(_xlfn._xlws.FILTER(dataGLBS,endDates=AJ$5),dataGLBSAcctIDs=$C44))</f>
        <v>2805</v>
      </c>
      <c r="AK44" s="354" cm="1">
        <f t="array" ref="AK44">SUM(_xlfn._xlws.FILTER(_xlfn._xlws.FILTER(dataGLBS,endDates=AK$5),dataGLBSAcctIDs=$C44))</f>
        <v>115.5</v>
      </c>
      <c r="AL44" s="354" cm="1">
        <f t="array" ref="AL44">SUM(_xlfn._xlws.FILTER(_xlfn._xlws.FILTER(dataGLBS,endDates=AL$5),dataGLBSAcctIDs=$C44))</f>
        <v>3370.5</v>
      </c>
      <c r="AM44" s="354" cm="1">
        <f t="array" ref="AM44">SUM(_xlfn._xlws.FILTER(_xlfn._xlws.FILTER(dataGLBS,endDates=AM$5),dataGLBSAcctIDs=$C44))</f>
        <v>1260.5</v>
      </c>
      <c r="AN44" s="354" cm="1">
        <f t="array" ref="AN44">SUM(_xlfn._xlws.FILTER(_xlfn._xlws.FILTER(dataGLBS,endDates=AN$5),dataGLBSAcctIDs=$C44))</f>
        <v>1260.5</v>
      </c>
      <c r="AO44" s="354" cm="1">
        <f t="array" ref="AO44">SUM(_xlfn._xlws.FILTER(_xlfn._xlws.FILTER(dataGLBS,endDates=AO$5),dataGLBSAcctIDs=$C44))</f>
        <v>1260.5</v>
      </c>
      <c r="AP44" s="354" cm="1">
        <f t="array" ref="AP44">SUM(_xlfn._xlws.FILTER(_xlfn._xlws.FILTER(dataGLBS,endDates=AP$5),dataGLBSAcctIDs=$C44))</f>
        <v>1260.5</v>
      </c>
      <c r="AQ44" s="354" cm="1">
        <f t="array" ref="AQ44">SUM(_xlfn._xlws.FILTER(_xlfn._xlws.FILTER(dataGLBS,endDates=AQ$5),dataGLBSAcctIDs=$C44))</f>
        <v>1260.5</v>
      </c>
      <c r="AR44" s="354" cm="1">
        <f t="array" ref="AR44">SUM(_xlfn._xlws.FILTER(_xlfn._xlws.FILTER(dataGLBS,endDates=AR$5),dataGLBSAcctIDs=$C44))</f>
        <v>1260.5</v>
      </c>
      <c r="AS44" s="354" cm="1">
        <f t="array" ref="AS44">SUM(_xlfn._xlws.FILTER(_xlfn._xlws.FILTER(dataGLBS,endDates=AS$5),dataGLBSAcctIDs=$C44))</f>
        <v>1260.5</v>
      </c>
      <c r="AT44" s="354" cm="1">
        <f t="array" ref="AT44">SUM(_xlfn._xlws.FILTER(_xlfn._xlws.FILTER(dataGLBS,endDates=AT$5),dataGLBSAcctIDs=$C44))</f>
        <v>1260.5</v>
      </c>
      <c r="AU44" s="354" cm="1">
        <f t="array" ref="AU44">SUM(_xlfn._xlws.FILTER(_xlfn._xlws.FILTER(dataGLBS,endDates=AU$5),dataGLBSAcctIDs=$C44))</f>
        <v>1260.5</v>
      </c>
      <c r="AV44" s="354" cm="1">
        <f t="array" ref="AV44">SUM(_xlfn._xlws.FILTER(_xlfn._xlws.FILTER(dataGLBS,endDates=AV$5),dataGLBSAcctIDs=$C44))</f>
        <v>1260.5</v>
      </c>
      <c r="AW44" s="354" cm="1">
        <f t="array" ref="AW44">SUM(_xlfn._xlws.FILTER(_xlfn._xlws.FILTER(dataGLBS,endDates=AW$5),dataGLBSAcctIDs=$C44))</f>
        <v>1260.5</v>
      </c>
      <c r="AX44" s="354" cm="1">
        <f t="array" ref="AX44">SUM(_xlfn._xlws.FILTER(_xlfn._xlws.FILTER(dataGLBS,endDates=AX$5),dataGLBSAcctIDs=$C44))</f>
        <v>1260.5</v>
      </c>
      <c r="AY44" s="354" cm="1">
        <f t="array" ref="AY44">SUM(_xlfn._xlws.FILTER(_xlfn._xlws.FILTER(dataGLBS,endDates=AY$5),dataGLBSAcctIDs=$C44))</f>
        <v>1260.5</v>
      </c>
      <c r="AZ44" s="354" cm="1">
        <f t="array" ref="AZ44">SUM(_xlfn._xlws.FILTER(_xlfn._xlws.FILTER(dataGLBS,endDates=AZ$5),dataGLBSAcctIDs=$C44))</f>
        <v>1260.5</v>
      </c>
      <c r="BA44" s="354" cm="1">
        <f t="array" ref="BA44">SUM(_xlfn._xlws.FILTER(_xlfn._xlws.FILTER(dataGLBS,endDates=BA$5),dataGLBSAcctIDs=$C44))</f>
        <v>1260.5</v>
      </c>
      <c r="BB44" s="354" cm="1">
        <f t="array" ref="BB44">SUM(_xlfn._xlws.FILTER(_xlfn._xlws.FILTER(dataGLBS,endDates=BB$5),dataGLBSAcctIDs=$C44))</f>
        <v>1260.5</v>
      </c>
      <c r="BC44" s="354" cm="1">
        <f t="array" ref="BC44">SUM(_xlfn._xlws.FILTER(_xlfn._xlws.FILTER(dataGLBS,endDates=BC$5),dataGLBSAcctIDs=$C44))</f>
        <v>1260.5</v>
      </c>
      <c r="BD44" s="354" cm="1">
        <f t="array" ref="BD44">SUM(_xlfn._xlws.FILTER(_xlfn._xlws.FILTER(dataGLBS,endDates=BD$5),dataGLBSAcctIDs=$C44))</f>
        <v>1260.5</v>
      </c>
      <c r="BE44" s="354" cm="1">
        <f t="array" ref="BE44">SUM(_xlfn._xlws.FILTER(_xlfn._xlws.FILTER(dataGLBS,endDates=BE$5),dataGLBSAcctIDs=$C44))</f>
        <v>1260.5</v>
      </c>
      <c r="BF44" s="354" cm="1">
        <f t="array" ref="BF44">SUM(_xlfn._xlws.FILTER(_xlfn._xlws.FILTER(dataGLBS,endDates=BF$5),dataGLBSAcctIDs=$C44))</f>
        <v>1260.5</v>
      </c>
      <c r="BG44" s="354" cm="1">
        <f t="array" ref="BG44">SUM(_xlfn._xlws.FILTER(_xlfn._xlws.FILTER(dataGLBS,endDates=BG$5),dataGLBSAcctIDs=$C44))</f>
        <v>1260.5</v>
      </c>
      <c r="BH44" s="354" cm="1">
        <f t="array" ref="BH44">SUM(_xlfn._xlws.FILTER(_xlfn._xlws.FILTER(dataGLBS,endDates=BH$5),dataGLBSAcctIDs=$C44))</f>
        <v>1260.5</v>
      </c>
      <c r="BI44" s="354" cm="1">
        <f t="array" ref="BI44">SUM(_xlfn._xlws.FILTER(_xlfn._xlws.FILTER(dataGLBS,endDates=BI$5),dataGLBSAcctIDs=$C44))</f>
        <v>1260.5</v>
      </c>
      <c r="BJ44" s="354" cm="1">
        <f t="array" ref="BJ44">SUM(_xlfn._xlws.FILTER(_xlfn._xlws.FILTER(dataGLBS,endDates=BJ$5),dataGLBSAcctIDs=$C44))</f>
        <v>1260.5</v>
      </c>
      <c r="BK44" s="354" cm="1">
        <f t="array" ref="BK44">SUM(_xlfn._xlws.FILTER(_xlfn._xlws.FILTER(dataGLBS,endDates=BK$5),dataGLBSAcctIDs=$C44))</f>
        <v>1260.5</v>
      </c>
      <c r="BL44" s="354" cm="1">
        <f t="array" ref="BL44">SUM(_xlfn._xlws.FILTER(_xlfn._xlws.FILTER(dataGLBS,endDates=BL$5),dataGLBSAcctIDs=$C44))</f>
        <v>1260.5</v>
      </c>
      <c r="BM44" s="354" cm="1">
        <f t="array" ref="BM44">SUM(_xlfn._xlws.FILTER(_xlfn._xlws.FILTER(dataGLBS,endDates=BM$5),dataGLBSAcctIDs=$C44))</f>
        <v>1260.5</v>
      </c>
      <c r="BN44" s="354" cm="1">
        <f t="array" ref="BN44">SUM(_xlfn._xlws.FILTER(_xlfn._xlws.FILTER(dataGLBS,endDates=BN$5),dataGLBSAcctIDs=$C44))</f>
        <v>1260.5</v>
      </c>
      <c r="BO44" s="354" cm="1">
        <f t="array" ref="BO44">SUM(_xlfn._xlws.FILTER(_xlfn._xlws.FILTER(dataGLBS,endDates=BO$5),dataGLBSAcctIDs=$C44))</f>
        <v>1260.5</v>
      </c>
      <c r="BP44" s="354" cm="1">
        <f t="array" ref="BP44">SUM(_xlfn._xlws.FILTER(_xlfn._xlws.FILTER(dataGLBS,endDates=BP$5),dataGLBSAcctIDs=$C44))</f>
        <v>1260.5</v>
      </c>
      <c r="BQ44" s="354" cm="1">
        <f t="array" ref="BQ44">SUM(_xlfn._xlws.FILTER(_xlfn._xlws.FILTER(dataGLBS,endDates=BQ$5),dataGLBSAcctIDs=$C44))</f>
        <v>1260.5</v>
      </c>
      <c r="BR44" s="354" cm="1">
        <f t="array" ref="BR44">SUM(_xlfn._xlws.FILTER(_xlfn._xlws.FILTER(dataGLBS,endDates=BR$5),dataGLBSAcctIDs=$C44))</f>
        <v>1260.5</v>
      </c>
      <c r="BS44" s="354" cm="1">
        <f t="array" ref="BS44">SUM(_xlfn._xlws.FILTER(_xlfn._xlws.FILTER(dataGLBS,endDates=BS$5),dataGLBSAcctIDs=$C44))</f>
        <v>1260.5</v>
      </c>
      <c r="BT44" s="354" cm="1">
        <f t="array" ref="BT44">SUM(_xlfn._xlws.FILTER(_xlfn._xlws.FILTER(dataGLBS,endDates=BT$5),dataGLBSAcctIDs=$C44))</f>
        <v>1260.5</v>
      </c>
      <c r="BU44" s="354" cm="1">
        <f t="array" ref="BU44">SUM(_xlfn._xlws.FILTER(_xlfn._xlws.FILTER(dataGLBS,endDates=BU$5),dataGLBSAcctIDs=$C44))</f>
        <v>1260.5</v>
      </c>
      <c r="BV44" s="354" cm="1">
        <f t="array" ref="BV44">SUM(_xlfn._xlws.FILTER(_xlfn._xlws.FILTER(dataGLBS,endDates=BV$5),dataGLBSAcctIDs=$C44))</f>
        <v>1260.5</v>
      </c>
      <c r="BW44" s="354" cm="1">
        <f t="array" ref="BW44">SUM(_xlfn._xlws.FILTER(_xlfn._xlws.FILTER(dataGLBS,endDates=BW$5),dataGLBSAcctIDs=$C44))</f>
        <v>1260.5</v>
      </c>
      <c r="BX44" s="354" cm="1">
        <f t="array" ref="BX44">SUM(_xlfn._xlws.FILTER(_xlfn._xlws.FILTER(dataGLBS,endDates=BX$5),dataGLBSAcctIDs=$C44))</f>
        <v>1260.5</v>
      </c>
      <c r="BY44" s="354" cm="1">
        <f t="array" ref="BY44">SUM(_xlfn._xlws.FILTER(_xlfn._xlws.FILTER(dataGLBS,endDates=BY$5),dataGLBSAcctIDs=$C44))</f>
        <v>1260.5</v>
      </c>
      <c r="BZ44" s="201"/>
    </row>
    <row r="45" spans="1:78" s="350" customFormat="1" ht="21" customHeight="1">
      <c r="A45" s="215"/>
      <c r="B45" s="624" t="s">
        <v>310</v>
      </c>
      <c r="C45" s="343">
        <v>63</v>
      </c>
      <c r="D45" s="215"/>
      <c r="E45" s="216"/>
      <c r="F45" s="354" cm="1">
        <f t="array" ref="F45">SUM(_xlfn._xlws.FILTER(_xlfn._xlws.FILTER(dataGLBS,endDates=F$5),dataGLBSAcctIDs=$C45))</f>
        <v>-9180.5</v>
      </c>
      <c r="G45" s="354" cm="1">
        <f t="array" ref="G45">SUM(_xlfn._xlws.FILTER(_xlfn._xlws.FILTER(dataGLBS,endDates=G$5),dataGLBSAcctIDs=$C45))</f>
        <v>-9180.5</v>
      </c>
      <c r="H45" s="354" cm="1">
        <f t="array" ref="H45">SUM(_xlfn._xlws.FILTER(_xlfn._xlws.FILTER(dataGLBS,endDates=H$5),dataGLBSAcctIDs=$C45))</f>
        <v>-9180.5</v>
      </c>
      <c r="I45" s="354" cm="1">
        <f t="array" ref="I45">SUM(_xlfn._xlws.FILTER(_xlfn._xlws.FILTER(dataGLBS,endDates=I$5),dataGLBSAcctIDs=$C45))</f>
        <v>-9180.5</v>
      </c>
      <c r="J45" s="344"/>
      <c r="K45" s="344"/>
      <c r="L45" s="354" cm="1">
        <f t="array" ref="L45">SUM(_xlfn._xlws.FILTER(_xlfn._xlws.FILTER(dataGLBS,endDates=L$5),dataGLBSAcctIDs=$C45))</f>
        <v>-2754</v>
      </c>
      <c r="M45" s="354" cm="1">
        <f t="array" ref="M45">SUM(_xlfn._xlws.FILTER(_xlfn._xlws.FILTER(dataGLBS,endDates=M$5),dataGLBSAcctIDs=$C45))</f>
        <v>-5508.5</v>
      </c>
      <c r="N45" s="354" cm="1">
        <f t="array" ref="N45">SUM(_xlfn._xlws.FILTER(_xlfn._xlws.FILTER(dataGLBS,endDates=N$5),dataGLBSAcctIDs=$C45))</f>
        <v>-8262.5</v>
      </c>
      <c r="O45" s="354" cm="1">
        <f t="array" ref="O45">SUM(_xlfn._xlws.FILTER(_xlfn._xlws.FILTER(dataGLBS,endDates=O$5),dataGLBSAcctIDs=$C45))</f>
        <v>-9180.5</v>
      </c>
      <c r="P45" s="354" cm="1">
        <f t="array" ref="P45">SUM(_xlfn._xlws.FILTER(_xlfn._xlws.FILTER(dataGLBS,endDates=P$5),dataGLBSAcctIDs=$C45))</f>
        <v>-9180.5</v>
      </c>
      <c r="Q45" s="354" cm="1">
        <f t="array" ref="Q45">SUM(_xlfn._xlws.FILTER(_xlfn._xlws.FILTER(dataGLBS,endDates=Q$5),dataGLBSAcctIDs=$C45))</f>
        <v>-9180.5</v>
      </c>
      <c r="R45" s="354" cm="1">
        <f t="array" ref="R45">SUM(_xlfn._xlws.FILTER(_xlfn._xlws.FILTER(dataGLBS,endDates=R$5),dataGLBSAcctIDs=$C45))</f>
        <v>-9180.5</v>
      </c>
      <c r="S45" s="354" cm="1">
        <f t="array" ref="S45">SUM(_xlfn._xlws.FILTER(_xlfn._xlws.FILTER(dataGLBS,endDates=S$5),dataGLBSAcctIDs=$C45))</f>
        <v>-9180.5</v>
      </c>
      <c r="T45" s="354" cm="1">
        <f t="array" ref="T45">SUM(_xlfn._xlws.FILTER(_xlfn._xlws.FILTER(dataGLBS,endDates=T$5),dataGLBSAcctIDs=$C45))</f>
        <v>-9180.5</v>
      </c>
      <c r="U45" s="354" cm="1">
        <f t="array" ref="U45">SUM(_xlfn._xlws.FILTER(_xlfn._xlws.FILTER(dataGLBS,endDates=U$5),dataGLBSAcctIDs=$C45))</f>
        <v>-9180.5</v>
      </c>
      <c r="V45" s="354" cm="1">
        <f t="array" ref="V45">SUM(_xlfn._xlws.FILTER(_xlfn._xlws.FILTER(dataGLBS,endDates=V$5),dataGLBSAcctIDs=$C45))</f>
        <v>-9180.5</v>
      </c>
      <c r="W45" s="354" cm="1">
        <f t="array" ref="W45">SUM(_xlfn._xlws.FILTER(_xlfn._xlws.FILTER(dataGLBS,endDates=W$5),dataGLBSAcctIDs=$C45))</f>
        <v>-9180.5</v>
      </c>
      <c r="X45" s="354" cm="1">
        <f t="array" ref="X45">SUM(_xlfn._xlws.FILTER(_xlfn._xlws.FILTER(dataGLBS,endDates=X$5),dataGLBSAcctIDs=$C45))</f>
        <v>-9180.5</v>
      </c>
      <c r="Y45" s="354" cm="1">
        <f t="array" ref="Y45">SUM(_xlfn._xlws.FILTER(_xlfn._xlws.FILTER(dataGLBS,endDates=Y$5),dataGLBSAcctIDs=$C45))</f>
        <v>-9180.5</v>
      </c>
      <c r="Z45" s="354" cm="1">
        <f t="array" ref="Z45">SUM(_xlfn._xlws.FILTER(_xlfn._xlws.FILTER(dataGLBS,endDates=Z$5),dataGLBSAcctIDs=$C45))</f>
        <v>-9180.5</v>
      </c>
      <c r="AA45" s="354" cm="1">
        <f t="array" ref="AA45">SUM(_xlfn._xlws.FILTER(_xlfn._xlws.FILTER(dataGLBS,endDates=AA$5),dataGLBSAcctIDs=$C45))</f>
        <v>-9180.5</v>
      </c>
      <c r="AB45" s="215"/>
      <c r="AC45" s="344"/>
      <c r="AD45" s="354" cm="1">
        <f t="array" ref="AD45">SUM(_xlfn._xlws.FILTER(_xlfn._xlws.FILTER(dataGLBS,endDates=AD$5),dataGLBSAcctIDs=$C45))</f>
        <v>-918</v>
      </c>
      <c r="AE45" s="354" cm="1">
        <f t="array" ref="AE45">SUM(_xlfn._xlws.FILTER(_xlfn._xlws.FILTER(dataGLBS,endDates=AE$5),dataGLBSAcctIDs=$C45))</f>
        <v>-1836</v>
      </c>
      <c r="AF45" s="354" cm="1">
        <f t="array" ref="AF45">SUM(_xlfn._xlws.FILTER(_xlfn._xlws.FILTER(dataGLBS,endDates=AF$5),dataGLBSAcctIDs=$C45))</f>
        <v>-2754</v>
      </c>
      <c r="AG45" s="354" cm="1">
        <f t="array" ref="AG45">SUM(_xlfn._xlws.FILTER(_xlfn._xlws.FILTER(dataGLBS,endDates=AG$5),dataGLBSAcctIDs=$C45))</f>
        <v>-3672.5</v>
      </c>
      <c r="AH45" s="354" cm="1">
        <f t="array" ref="AH45">SUM(_xlfn._xlws.FILTER(_xlfn._xlws.FILTER(dataGLBS,endDates=AH$5),dataGLBSAcctIDs=$C45))</f>
        <v>-4590.5</v>
      </c>
      <c r="AI45" s="354" cm="1">
        <f t="array" ref="AI45">SUM(_xlfn._xlws.FILTER(_xlfn._xlws.FILTER(dataGLBS,endDates=AI$5),dataGLBSAcctIDs=$C45))</f>
        <v>-5508.5</v>
      </c>
      <c r="AJ45" s="354" cm="1">
        <f t="array" ref="AJ45">SUM(_xlfn._xlws.FILTER(_xlfn._xlws.FILTER(dataGLBS,endDates=AJ$5),dataGLBSAcctIDs=$C45))</f>
        <v>-6426.5</v>
      </c>
      <c r="AK45" s="354" cm="1">
        <f t="array" ref="AK45">SUM(_xlfn._xlws.FILTER(_xlfn._xlws.FILTER(dataGLBS,endDates=AK$5),dataGLBSAcctIDs=$C45))</f>
        <v>-7344.5</v>
      </c>
      <c r="AL45" s="354" cm="1">
        <f t="array" ref="AL45">SUM(_xlfn._xlws.FILTER(_xlfn._xlws.FILTER(dataGLBS,endDates=AL$5),dataGLBSAcctIDs=$C45))</f>
        <v>-8262.5</v>
      </c>
      <c r="AM45" s="354" cm="1">
        <f t="array" ref="AM45">SUM(_xlfn._xlws.FILTER(_xlfn._xlws.FILTER(dataGLBS,endDates=AM$5),dataGLBSAcctIDs=$C45))</f>
        <v>-9180.5</v>
      </c>
      <c r="AN45" s="354" cm="1">
        <f t="array" ref="AN45">SUM(_xlfn._xlws.FILTER(_xlfn._xlws.FILTER(dataGLBS,endDates=AN$5),dataGLBSAcctIDs=$C45))</f>
        <v>-9180.5</v>
      </c>
      <c r="AO45" s="354" cm="1">
        <f t="array" ref="AO45">SUM(_xlfn._xlws.FILTER(_xlfn._xlws.FILTER(dataGLBS,endDates=AO$5),dataGLBSAcctIDs=$C45))</f>
        <v>-9180.5</v>
      </c>
      <c r="AP45" s="354" cm="1">
        <f t="array" ref="AP45">SUM(_xlfn._xlws.FILTER(_xlfn._xlws.FILTER(dataGLBS,endDates=AP$5),dataGLBSAcctIDs=$C45))</f>
        <v>-9180.5</v>
      </c>
      <c r="AQ45" s="354" cm="1">
        <f t="array" ref="AQ45">SUM(_xlfn._xlws.FILTER(_xlfn._xlws.FILTER(dataGLBS,endDates=AQ$5),dataGLBSAcctIDs=$C45))</f>
        <v>-9180.5</v>
      </c>
      <c r="AR45" s="354" cm="1">
        <f t="array" ref="AR45">SUM(_xlfn._xlws.FILTER(_xlfn._xlws.FILTER(dataGLBS,endDates=AR$5),dataGLBSAcctIDs=$C45))</f>
        <v>-9180.5</v>
      </c>
      <c r="AS45" s="354" cm="1">
        <f t="array" ref="AS45">SUM(_xlfn._xlws.FILTER(_xlfn._xlws.FILTER(dataGLBS,endDates=AS$5),dataGLBSAcctIDs=$C45))</f>
        <v>-9180.5</v>
      </c>
      <c r="AT45" s="354" cm="1">
        <f t="array" ref="AT45">SUM(_xlfn._xlws.FILTER(_xlfn._xlws.FILTER(dataGLBS,endDates=AT$5),dataGLBSAcctIDs=$C45))</f>
        <v>-9180.5</v>
      </c>
      <c r="AU45" s="354" cm="1">
        <f t="array" ref="AU45">SUM(_xlfn._xlws.FILTER(_xlfn._xlws.FILTER(dataGLBS,endDates=AU$5),dataGLBSAcctIDs=$C45))</f>
        <v>-9180.5</v>
      </c>
      <c r="AV45" s="354" cm="1">
        <f t="array" ref="AV45">SUM(_xlfn._xlws.FILTER(_xlfn._xlws.FILTER(dataGLBS,endDates=AV$5),dataGLBSAcctIDs=$C45))</f>
        <v>-9180.5</v>
      </c>
      <c r="AW45" s="354" cm="1">
        <f t="array" ref="AW45">SUM(_xlfn._xlws.FILTER(_xlfn._xlws.FILTER(dataGLBS,endDates=AW$5),dataGLBSAcctIDs=$C45))</f>
        <v>-9180.5</v>
      </c>
      <c r="AX45" s="354" cm="1">
        <f t="array" ref="AX45">SUM(_xlfn._xlws.FILTER(_xlfn._xlws.FILTER(dataGLBS,endDates=AX$5),dataGLBSAcctIDs=$C45))</f>
        <v>-9180.5</v>
      </c>
      <c r="AY45" s="354" cm="1">
        <f t="array" ref="AY45">SUM(_xlfn._xlws.FILTER(_xlfn._xlws.FILTER(dataGLBS,endDates=AY$5),dataGLBSAcctIDs=$C45))</f>
        <v>-9180.5</v>
      </c>
      <c r="AZ45" s="354" cm="1">
        <f t="array" ref="AZ45">SUM(_xlfn._xlws.FILTER(_xlfn._xlws.FILTER(dataGLBS,endDates=AZ$5),dataGLBSAcctIDs=$C45))</f>
        <v>-9180.5</v>
      </c>
      <c r="BA45" s="354" cm="1">
        <f t="array" ref="BA45">SUM(_xlfn._xlws.FILTER(_xlfn._xlws.FILTER(dataGLBS,endDates=BA$5),dataGLBSAcctIDs=$C45))</f>
        <v>-9180.5</v>
      </c>
      <c r="BB45" s="354" cm="1">
        <f t="array" ref="BB45">SUM(_xlfn._xlws.FILTER(_xlfn._xlws.FILTER(dataGLBS,endDates=BB$5),dataGLBSAcctIDs=$C45))</f>
        <v>-9180.5</v>
      </c>
      <c r="BC45" s="354" cm="1">
        <f t="array" ref="BC45">SUM(_xlfn._xlws.FILTER(_xlfn._xlws.FILTER(dataGLBS,endDates=BC$5),dataGLBSAcctIDs=$C45))</f>
        <v>-9180.5</v>
      </c>
      <c r="BD45" s="354" cm="1">
        <f t="array" ref="BD45">SUM(_xlfn._xlws.FILTER(_xlfn._xlws.FILTER(dataGLBS,endDates=BD$5),dataGLBSAcctIDs=$C45))</f>
        <v>-9180.5</v>
      </c>
      <c r="BE45" s="354" cm="1">
        <f t="array" ref="BE45">SUM(_xlfn._xlws.FILTER(_xlfn._xlws.FILTER(dataGLBS,endDates=BE$5),dataGLBSAcctIDs=$C45))</f>
        <v>-9180.5</v>
      </c>
      <c r="BF45" s="354" cm="1">
        <f t="array" ref="BF45">SUM(_xlfn._xlws.FILTER(_xlfn._xlws.FILTER(dataGLBS,endDates=BF$5),dataGLBSAcctIDs=$C45))</f>
        <v>-9180.5</v>
      </c>
      <c r="BG45" s="354" cm="1">
        <f t="array" ref="BG45">SUM(_xlfn._xlws.FILTER(_xlfn._xlws.FILTER(dataGLBS,endDates=BG$5),dataGLBSAcctIDs=$C45))</f>
        <v>-9180.5</v>
      </c>
      <c r="BH45" s="354" cm="1">
        <f t="array" ref="BH45">SUM(_xlfn._xlws.FILTER(_xlfn._xlws.FILTER(dataGLBS,endDates=BH$5),dataGLBSAcctIDs=$C45))</f>
        <v>-9180.5</v>
      </c>
      <c r="BI45" s="354" cm="1">
        <f t="array" ref="BI45">SUM(_xlfn._xlws.FILTER(_xlfn._xlws.FILTER(dataGLBS,endDates=BI$5),dataGLBSAcctIDs=$C45))</f>
        <v>-9180.5</v>
      </c>
      <c r="BJ45" s="354" cm="1">
        <f t="array" ref="BJ45">SUM(_xlfn._xlws.FILTER(_xlfn._xlws.FILTER(dataGLBS,endDates=BJ$5),dataGLBSAcctIDs=$C45))</f>
        <v>-9180.5</v>
      </c>
      <c r="BK45" s="354" cm="1">
        <f t="array" ref="BK45">SUM(_xlfn._xlws.FILTER(_xlfn._xlws.FILTER(dataGLBS,endDates=BK$5),dataGLBSAcctIDs=$C45))</f>
        <v>-9180.5</v>
      </c>
      <c r="BL45" s="354" cm="1">
        <f t="array" ref="BL45">SUM(_xlfn._xlws.FILTER(_xlfn._xlws.FILTER(dataGLBS,endDates=BL$5),dataGLBSAcctIDs=$C45))</f>
        <v>-9180.5</v>
      </c>
      <c r="BM45" s="354" cm="1">
        <f t="array" ref="BM45">SUM(_xlfn._xlws.FILTER(_xlfn._xlws.FILTER(dataGLBS,endDates=BM$5),dataGLBSAcctIDs=$C45))</f>
        <v>-9180.5</v>
      </c>
      <c r="BN45" s="354" cm="1">
        <f t="array" ref="BN45">SUM(_xlfn._xlws.FILTER(_xlfn._xlws.FILTER(dataGLBS,endDates=BN$5),dataGLBSAcctIDs=$C45))</f>
        <v>-9180.5</v>
      </c>
      <c r="BO45" s="354" cm="1">
        <f t="array" ref="BO45">SUM(_xlfn._xlws.FILTER(_xlfn._xlws.FILTER(dataGLBS,endDates=BO$5),dataGLBSAcctIDs=$C45))</f>
        <v>-9180.5</v>
      </c>
      <c r="BP45" s="354" cm="1">
        <f t="array" ref="BP45">SUM(_xlfn._xlws.FILTER(_xlfn._xlws.FILTER(dataGLBS,endDates=BP$5),dataGLBSAcctIDs=$C45))</f>
        <v>-9180.5</v>
      </c>
      <c r="BQ45" s="354" cm="1">
        <f t="array" ref="BQ45">SUM(_xlfn._xlws.FILTER(_xlfn._xlws.FILTER(dataGLBS,endDates=BQ$5),dataGLBSAcctIDs=$C45))</f>
        <v>-9180.5</v>
      </c>
      <c r="BR45" s="354" cm="1">
        <f t="array" ref="BR45">SUM(_xlfn._xlws.FILTER(_xlfn._xlws.FILTER(dataGLBS,endDates=BR$5),dataGLBSAcctIDs=$C45))</f>
        <v>-9180.5</v>
      </c>
      <c r="BS45" s="354" cm="1">
        <f t="array" ref="BS45">SUM(_xlfn._xlws.FILTER(_xlfn._xlws.FILTER(dataGLBS,endDates=BS$5),dataGLBSAcctIDs=$C45))</f>
        <v>-9180.5</v>
      </c>
      <c r="BT45" s="354" cm="1">
        <f t="array" ref="BT45">SUM(_xlfn._xlws.FILTER(_xlfn._xlws.FILTER(dataGLBS,endDates=BT$5),dataGLBSAcctIDs=$C45))</f>
        <v>-9180.5</v>
      </c>
      <c r="BU45" s="354" cm="1">
        <f t="array" ref="BU45">SUM(_xlfn._xlws.FILTER(_xlfn._xlws.FILTER(dataGLBS,endDates=BU$5),dataGLBSAcctIDs=$C45))</f>
        <v>-9180.5</v>
      </c>
      <c r="BV45" s="354" cm="1">
        <f t="array" ref="BV45">SUM(_xlfn._xlws.FILTER(_xlfn._xlws.FILTER(dataGLBS,endDates=BV$5),dataGLBSAcctIDs=$C45))</f>
        <v>-9180.5</v>
      </c>
      <c r="BW45" s="354" cm="1">
        <f t="array" ref="BW45">SUM(_xlfn._xlws.FILTER(_xlfn._xlws.FILTER(dataGLBS,endDates=BW$5),dataGLBSAcctIDs=$C45))</f>
        <v>-9180.5</v>
      </c>
      <c r="BX45" s="354" cm="1">
        <f t="array" ref="BX45">SUM(_xlfn._xlws.FILTER(_xlfn._xlws.FILTER(dataGLBS,endDates=BX$5),dataGLBSAcctIDs=$C45))</f>
        <v>-9180.5</v>
      </c>
      <c r="BY45" s="354" cm="1">
        <f t="array" ref="BY45">SUM(_xlfn._xlws.FILTER(_xlfn._xlws.FILTER(dataGLBS,endDates=BY$5),dataGLBSAcctIDs=$C45))</f>
        <v>-9180.5</v>
      </c>
      <c r="BZ45" s="201"/>
    </row>
    <row r="46" spans="1:78" s="350" customFormat="1" ht="21" customHeight="1">
      <c r="A46" s="215"/>
      <c r="B46" s="349" t="s">
        <v>311</v>
      </c>
      <c r="C46" s="343" t="s">
        <v>312</v>
      </c>
      <c r="D46" s="215"/>
      <c r="E46" s="216"/>
      <c r="F46" s="353">
        <f t="shared" ref="F46:I46" si="30">_xlfn.AGGREGATE(9,0, F$40:F$45)</f>
        <v>18328</v>
      </c>
      <c r="G46" s="353">
        <f t="shared" si="30"/>
        <v>18328</v>
      </c>
      <c r="H46" s="353">
        <f t="shared" si="30"/>
        <v>96388.833333333343</v>
      </c>
      <c r="I46" s="353">
        <f t="shared" si="30"/>
        <v>115057.99999999983</v>
      </c>
      <c r="J46" s="344"/>
      <c r="K46" s="344"/>
      <c r="L46" s="353">
        <f t="shared" ref="L46:AA46" si="31">_xlfn.AGGREGATE(9,0, L$40:L$45)</f>
        <v>17122</v>
      </c>
      <c r="M46" s="353">
        <f t="shared" si="31"/>
        <v>17456.5</v>
      </c>
      <c r="N46" s="353">
        <f t="shared" si="31"/>
        <v>22485</v>
      </c>
      <c r="O46" s="353">
        <f t="shared" si="31"/>
        <v>18328</v>
      </c>
      <c r="P46" s="353">
        <f t="shared" si="31"/>
        <v>18328</v>
      </c>
      <c r="Q46" s="353">
        <f t="shared" si="31"/>
        <v>18328</v>
      </c>
      <c r="R46" s="353">
        <f t="shared" si="31"/>
        <v>18328</v>
      </c>
      <c r="S46" s="353">
        <f t="shared" si="31"/>
        <v>18328</v>
      </c>
      <c r="T46" s="353">
        <f t="shared" si="31"/>
        <v>18328</v>
      </c>
      <c r="U46" s="353">
        <f t="shared" si="31"/>
        <v>18328</v>
      </c>
      <c r="V46" s="353">
        <f t="shared" si="31"/>
        <v>18328</v>
      </c>
      <c r="W46" s="353">
        <f t="shared" si="31"/>
        <v>96388.833333333343</v>
      </c>
      <c r="X46" s="353">
        <f t="shared" si="31"/>
        <v>130571.33333333331</v>
      </c>
      <c r="Y46" s="353">
        <f t="shared" si="31"/>
        <v>124753.83333333326</v>
      </c>
      <c r="Z46" s="353">
        <f t="shared" si="31"/>
        <v>118936.33333333321</v>
      </c>
      <c r="AA46" s="353">
        <f t="shared" si="31"/>
        <v>115057.99999999983</v>
      </c>
      <c r="AB46" s="215"/>
      <c r="AC46" s="344"/>
      <c r="AD46" s="353">
        <f>_xlfn.AGGREGATE(9,0, AD$40:AD$45)</f>
        <v>19496</v>
      </c>
      <c r="AE46" s="353">
        <f t="shared" ref="AE46:BY46" si="32">_xlfn.AGGREGATE(9,0, AE$40:AE$45)</f>
        <v>19836</v>
      </c>
      <c r="AF46" s="353">
        <f t="shared" si="32"/>
        <v>17122</v>
      </c>
      <c r="AG46" s="353">
        <f t="shared" si="32"/>
        <v>19423.5</v>
      </c>
      <c r="AH46" s="353">
        <f t="shared" si="32"/>
        <v>19473.5</v>
      </c>
      <c r="AI46" s="353">
        <f t="shared" si="32"/>
        <v>17456.5</v>
      </c>
      <c r="AJ46" s="353">
        <f t="shared" si="32"/>
        <v>19242.5</v>
      </c>
      <c r="AK46" s="353">
        <f t="shared" si="32"/>
        <v>19497</v>
      </c>
      <c r="AL46" s="353">
        <f t="shared" si="32"/>
        <v>22485</v>
      </c>
      <c r="AM46" s="353">
        <f t="shared" si="32"/>
        <v>18328</v>
      </c>
      <c r="AN46" s="353">
        <f t="shared" si="32"/>
        <v>18328</v>
      </c>
      <c r="AO46" s="353">
        <f t="shared" si="32"/>
        <v>18328</v>
      </c>
      <c r="AP46" s="353">
        <f t="shared" si="32"/>
        <v>18328</v>
      </c>
      <c r="AQ46" s="353">
        <f t="shared" si="32"/>
        <v>18328</v>
      </c>
      <c r="AR46" s="353">
        <f t="shared" si="32"/>
        <v>18328</v>
      </c>
      <c r="AS46" s="353">
        <f t="shared" si="32"/>
        <v>18328</v>
      </c>
      <c r="AT46" s="353">
        <f t="shared" si="32"/>
        <v>18328</v>
      </c>
      <c r="AU46" s="353">
        <f t="shared" si="32"/>
        <v>18328</v>
      </c>
      <c r="AV46" s="353">
        <f t="shared" si="32"/>
        <v>18328</v>
      </c>
      <c r="AW46" s="353">
        <f t="shared" si="32"/>
        <v>18328</v>
      </c>
      <c r="AX46" s="353">
        <f t="shared" si="32"/>
        <v>18328</v>
      </c>
      <c r="AY46" s="353">
        <f t="shared" si="32"/>
        <v>18328</v>
      </c>
      <c r="AZ46" s="353">
        <f t="shared" si="32"/>
        <v>18328</v>
      </c>
      <c r="BA46" s="353">
        <f t="shared" si="32"/>
        <v>18328</v>
      </c>
      <c r="BB46" s="353">
        <f t="shared" si="32"/>
        <v>18328</v>
      </c>
      <c r="BC46" s="353">
        <f t="shared" si="32"/>
        <v>18328</v>
      </c>
      <c r="BD46" s="353">
        <f t="shared" si="32"/>
        <v>18328</v>
      </c>
      <c r="BE46" s="353">
        <f t="shared" si="32"/>
        <v>18328</v>
      </c>
      <c r="BF46" s="353">
        <f t="shared" si="32"/>
        <v>18328</v>
      </c>
      <c r="BG46" s="353">
        <f t="shared" si="32"/>
        <v>18328</v>
      </c>
      <c r="BH46" s="353">
        <f t="shared" si="32"/>
        <v>18328</v>
      </c>
      <c r="BI46" s="353">
        <f t="shared" si="32"/>
        <v>18328</v>
      </c>
      <c r="BJ46" s="353">
        <f t="shared" si="32"/>
        <v>18328</v>
      </c>
      <c r="BK46" s="353">
        <f t="shared" si="32"/>
        <v>18328</v>
      </c>
      <c r="BL46" s="353">
        <f t="shared" si="32"/>
        <v>18328</v>
      </c>
      <c r="BM46" s="353">
        <f t="shared" si="32"/>
        <v>96388.833333333343</v>
      </c>
      <c r="BN46" s="353">
        <f t="shared" si="32"/>
        <v>134449.66666666669</v>
      </c>
      <c r="BO46" s="353">
        <f t="shared" si="32"/>
        <v>132510.5</v>
      </c>
      <c r="BP46" s="353">
        <f t="shared" si="32"/>
        <v>130571.33333333331</v>
      </c>
      <c r="BQ46" s="353">
        <f t="shared" si="32"/>
        <v>128632.16666666663</v>
      </c>
      <c r="BR46" s="353">
        <f t="shared" si="32"/>
        <v>126692.99999999994</v>
      </c>
      <c r="BS46" s="353">
        <f t="shared" si="32"/>
        <v>124753.83333333326</v>
      </c>
      <c r="BT46" s="353">
        <f t="shared" si="32"/>
        <v>122814.66666666657</v>
      </c>
      <c r="BU46" s="353">
        <f t="shared" si="32"/>
        <v>120875.4999999999</v>
      </c>
      <c r="BV46" s="353">
        <f t="shared" si="32"/>
        <v>118936.33333333321</v>
      </c>
      <c r="BW46" s="353">
        <f t="shared" si="32"/>
        <v>116997.16666666653</v>
      </c>
      <c r="BX46" s="353">
        <f t="shared" si="32"/>
        <v>115057.99999999984</v>
      </c>
      <c r="BY46" s="353">
        <f t="shared" si="32"/>
        <v>115057.99999999983</v>
      </c>
      <c r="BZ46" s="201"/>
    </row>
    <row r="47" spans="1:78" s="350" customFormat="1" ht="21" customHeight="1">
      <c r="A47" s="215"/>
      <c r="B47" s="348" t="s">
        <v>313</v>
      </c>
      <c r="C47" s="343" t="s">
        <v>314</v>
      </c>
      <c r="D47" s="215"/>
      <c r="E47" s="216"/>
      <c r="F47" s="351">
        <f t="shared" ref="F47:I47" si="33">_xlfn.AGGREGATE(9,0, F$35:F$46)</f>
        <v>73677.5</v>
      </c>
      <c r="G47" s="351">
        <f t="shared" si="33"/>
        <v>73677.5</v>
      </c>
      <c r="H47" s="351">
        <f t="shared" si="33"/>
        <v>217692.91661515154</v>
      </c>
      <c r="I47" s="351">
        <f t="shared" si="33"/>
        <v>228939.40120151197</v>
      </c>
      <c r="J47" s="344"/>
      <c r="K47" s="344"/>
      <c r="L47" s="351">
        <f t="shared" ref="L47:AA47" si="34">_xlfn.AGGREGATE(9,0, L$35:L$46)</f>
        <v>60626</v>
      </c>
      <c r="M47" s="351">
        <f t="shared" si="34"/>
        <v>65690.5</v>
      </c>
      <c r="N47" s="351">
        <f t="shared" si="34"/>
        <v>75962.5</v>
      </c>
      <c r="O47" s="351">
        <f t="shared" si="34"/>
        <v>73677.5</v>
      </c>
      <c r="P47" s="351">
        <f t="shared" si="34"/>
        <v>73677.5</v>
      </c>
      <c r="Q47" s="351">
        <f t="shared" si="34"/>
        <v>73677.5</v>
      </c>
      <c r="R47" s="351">
        <f t="shared" si="34"/>
        <v>73677.5</v>
      </c>
      <c r="S47" s="351">
        <f t="shared" si="34"/>
        <v>73677.5</v>
      </c>
      <c r="T47" s="351">
        <f t="shared" si="34"/>
        <v>73677.5</v>
      </c>
      <c r="U47" s="351">
        <f t="shared" si="34"/>
        <v>74677.5</v>
      </c>
      <c r="V47" s="351">
        <f t="shared" si="34"/>
        <v>75177.5</v>
      </c>
      <c r="W47" s="351">
        <f t="shared" si="34"/>
        <v>217692.91661515154</v>
      </c>
      <c r="X47" s="351">
        <f t="shared" si="34"/>
        <v>221966.81944399659</v>
      </c>
      <c r="Y47" s="351">
        <f t="shared" si="34"/>
        <v>227013.64417836469</v>
      </c>
      <c r="Z47" s="351">
        <f t="shared" si="34"/>
        <v>225529.94003248162</v>
      </c>
      <c r="AA47" s="351">
        <f t="shared" si="34"/>
        <v>228939.40120151197</v>
      </c>
      <c r="AB47" s="215"/>
      <c r="AC47" s="344"/>
      <c r="AD47" s="351">
        <f>_xlfn.AGGREGATE(9,0, AD$35:AD$46)</f>
        <v>56846</v>
      </c>
      <c r="AE47" s="351">
        <f t="shared" ref="AE47:BY47" si="35">_xlfn.AGGREGATE(9,0, AE$35:AE$46)</f>
        <v>61869</v>
      </c>
      <c r="AF47" s="351">
        <f t="shared" si="35"/>
        <v>60626</v>
      </c>
      <c r="AG47" s="351">
        <f t="shared" si="35"/>
        <v>64450.5</v>
      </c>
      <c r="AH47" s="351">
        <f t="shared" si="35"/>
        <v>66076.5</v>
      </c>
      <c r="AI47" s="351">
        <f t="shared" si="35"/>
        <v>65690.5</v>
      </c>
      <c r="AJ47" s="351">
        <f t="shared" si="35"/>
        <v>69164.5</v>
      </c>
      <c r="AK47" s="351">
        <f t="shared" si="35"/>
        <v>71166.5</v>
      </c>
      <c r="AL47" s="351">
        <f t="shared" si="35"/>
        <v>75962.5</v>
      </c>
      <c r="AM47" s="351">
        <f t="shared" si="35"/>
        <v>73677.5</v>
      </c>
      <c r="AN47" s="351">
        <f t="shared" si="35"/>
        <v>73677.5</v>
      </c>
      <c r="AO47" s="351">
        <f t="shared" si="35"/>
        <v>73677.5</v>
      </c>
      <c r="AP47" s="351">
        <f t="shared" si="35"/>
        <v>73677.5</v>
      </c>
      <c r="AQ47" s="351">
        <f t="shared" si="35"/>
        <v>73677.5</v>
      </c>
      <c r="AR47" s="351">
        <f t="shared" si="35"/>
        <v>73677.5</v>
      </c>
      <c r="AS47" s="351">
        <f t="shared" si="35"/>
        <v>73677.5</v>
      </c>
      <c r="AT47" s="351">
        <f t="shared" si="35"/>
        <v>73677.5</v>
      </c>
      <c r="AU47" s="351">
        <f t="shared" si="35"/>
        <v>73677.5</v>
      </c>
      <c r="AV47" s="351">
        <f t="shared" si="35"/>
        <v>73677.5</v>
      </c>
      <c r="AW47" s="351">
        <f t="shared" si="35"/>
        <v>73677.5</v>
      </c>
      <c r="AX47" s="351">
        <f t="shared" si="35"/>
        <v>73677.5</v>
      </c>
      <c r="AY47" s="351">
        <f t="shared" si="35"/>
        <v>73677.5</v>
      </c>
      <c r="AZ47" s="351">
        <f t="shared" si="35"/>
        <v>73677.5</v>
      </c>
      <c r="BA47" s="351">
        <f t="shared" si="35"/>
        <v>73677.5</v>
      </c>
      <c r="BB47" s="351">
        <f t="shared" si="35"/>
        <v>73677.5</v>
      </c>
      <c r="BC47" s="351">
        <f t="shared" si="35"/>
        <v>73677.5</v>
      </c>
      <c r="BD47" s="351">
        <f t="shared" si="35"/>
        <v>73677.5</v>
      </c>
      <c r="BE47" s="351">
        <f t="shared" si="35"/>
        <v>73677.5</v>
      </c>
      <c r="BF47" s="351">
        <f t="shared" si="35"/>
        <v>73677.5</v>
      </c>
      <c r="BG47" s="351">
        <f t="shared" si="35"/>
        <v>74677.5</v>
      </c>
      <c r="BH47" s="351">
        <f t="shared" si="35"/>
        <v>74677.5</v>
      </c>
      <c r="BI47" s="351">
        <f t="shared" si="35"/>
        <v>75177.5</v>
      </c>
      <c r="BJ47" s="351">
        <f t="shared" si="35"/>
        <v>75177.5</v>
      </c>
      <c r="BK47" s="351">
        <f t="shared" si="35"/>
        <v>75177.5</v>
      </c>
      <c r="BL47" s="351">
        <f t="shared" si="35"/>
        <v>76177.5</v>
      </c>
      <c r="BM47" s="351">
        <f t="shared" si="35"/>
        <v>217692.91661515154</v>
      </c>
      <c r="BN47" s="351">
        <f t="shared" si="35"/>
        <v>236812.77391345392</v>
      </c>
      <c r="BO47" s="351">
        <f t="shared" si="35"/>
        <v>222554.43525541518</v>
      </c>
      <c r="BP47" s="351">
        <f t="shared" si="35"/>
        <v>221966.81944399659</v>
      </c>
      <c r="BQ47" s="351">
        <f t="shared" si="35"/>
        <v>228562.21482632167</v>
      </c>
      <c r="BR47" s="351">
        <f t="shared" si="35"/>
        <v>227473.38846379821</v>
      </c>
      <c r="BS47" s="351">
        <f t="shared" si="35"/>
        <v>227013.64417836469</v>
      </c>
      <c r="BT47" s="351">
        <f t="shared" si="35"/>
        <v>227317.58494203992</v>
      </c>
      <c r="BU47" s="351">
        <f t="shared" si="35"/>
        <v>226462.15220098433</v>
      </c>
      <c r="BV47" s="351">
        <f t="shared" si="35"/>
        <v>225529.94003248162</v>
      </c>
      <c r="BW47" s="351">
        <f t="shared" si="35"/>
        <v>224536.58939176859</v>
      </c>
      <c r="BX47" s="351">
        <f t="shared" si="35"/>
        <v>223507.63869410279</v>
      </c>
      <c r="BY47" s="351">
        <f t="shared" si="35"/>
        <v>228939.40120151197</v>
      </c>
      <c r="BZ47" s="201"/>
    </row>
    <row r="48" spans="1:78" s="350" customFormat="1" ht="21" customHeight="1">
      <c r="A48" s="215"/>
      <c r="B48" s="348" t="s">
        <v>315</v>
      </c>
      <c r="C48" s="343" t="s">
        <v>315</v>
      </c>
      <c r="D48" s="215"/>
      <c r="E48" s="216"/>
      <c r="F48" s="351"/>
      <c r="G48" s="351"/>
      <c r="H48" s="351"/>
      <c r="I48" s="351"/>
      <c r="J48" s="344"/>
      <c r="K48" s="344"/>
      <c r="L48" s="351"/>
      <c r="M48" s="351"/>
      <c r="N48" s="351"/>
      <c r="O48" s="351"/>
      <c r="P48" s="351"/>
      <c r="Q48" s="351"/>
      <c r="R48" s="351"/>
      <c r="S48" s="351"/>
      <c r="T48" s="351"/>
      <c r="U48" s="351"/>
      <c r="V48" s="351"/>
      <c r="W48" s="351"/>
      <c r="X48" s="351"/>
      <c r="Y48" s="351"/>
      <c r="Z48" s="351"/>
      <c r="AA48" s="351"/>
      <c r="AB48" s="215"/>
      <c r="AC48" s="344"/>
      <c r="AD48" s="351"/>
      <c r="AE48" s="351"/>
      <c r="AF48" s="351"/>
      <c r="AG48" s="351"/>
      <c r="AH48" s="351"/>
      <c r="AI48" s="351"/>
      <c r="AJ48" s="351"/>
      <c r="AK48" s="351"/>
      <c r="AL48" s="351"/>
      <c r="AM48" s="351"/>
      <c r="AN48" s="351"/>
      <c r="AO48" s="351"/>
      <c r="AP48" s="351"/>
      <c r="AQ48" s="351"/>
      <c r="AR48" s="351"/>
      <c r="AS48" s="351"/>
      <c r="AT48" s="351"/>
      <c r="AU48" s="351"/>
      <c r="AV48" s="351"/>
      <c r="AW48" s="351"/>
      <c r="AX48" s="351"/>
      <c r="AY48" s="351"/>
      <c r="AZ48" s="351"/>
      <c r="BA48" s="351"/>
      <c r="BB48" s="351"/>
      <c r="BC48" s="351"/>
      <c r="BD48" s="351"/>
      <c r="BE48" s="351"/>
      <c r="BF48" s="351"/>
      <c r="BG48" s="351"/>
      <c r="BH48" s="351"/>
      <c r="BI48" s="351"/>
      <c r="BJ48" s="351"/>
      <c r="BK48" s="351"/>
      <c r="BL48" s="351"/>
      <c r="BM48" s="351"/>
      <c r="BN48" s="351"/>
      <c r="BO48" s="351"/>
      <c r="BP48" s="351"/>
      <c r="BQ48" s="351"/>
      <c r="BR48" s="351"/>
      <c r="BS48" s="351"/>
      <c r="BT48" s="351"/>
      <c r="BU48" s="351"/>
      <c r="BV48" s="351"/>
      <c r="BW48" s="351"/>
      <c r="BX48" s="351"/>
      <c r="BY48" s="351"/>
      <c r="BZ48" s="201"/>
    </row>
    <row r="49" spans="1:78" s="350" customFormat="1" ht="21" customHeight="1">
      <c r="A49" s="215"/>
      <c r="B49" s="623" t="s">
        <v>316</v>
      </c>
      <c r="C49" s="343">
        <v>162</v>
      </c>
      <c r="D49" s="215"/>
      <c r="E49" s="216"/>
      <c r="F49" s="352" cm="1">
        <f t="array" ref="F49">SUM(_xlfn._xlws.FILTER(_xlfn._xlws.FILTER(dataGLBS,endDates=F$5),dataGLBSAcctIDs=$C49))</f>
        <v>1500000</v>
      </c>
      <c r="G49" s="352" cm="1">
        <f t="array" ref="G49">SUM(_xlfn._xlws.FILTER(_xlfn._xlws.FILTER(dataGLBS,endDates=G$5),dataGLBSAcctIDs=$C49))</f>
        <v>1500000</v>
      </c>
      <c r="H49" s="352" cm="1">
        <f t="array" ref="H49">SUM(_xlfn._xlws.FILTER(_xlfn._xlws.FILTER(dataGLBS,endDates=H$5),dataGLBSAcctIDs=$C49))</f>
        <v>1500000</v>
      </c>
      <c r="I49" s="352" cm="1">
        <f t="array" ref="I49">SUM(_xlfn._xlws.FILTER(_xlfn._xlws.FILTER(dataGLBS,endDates=I$5),dataGLBSAcctIDs=$C49))</f>
        <v>1500000</v>
      </c>
      <c r="J49" s="344"/>
      <c r="K49" s="344"/>
      <c r="L49" s="352" cm="1">
        <f t="array" ref="L49">SUM(_xlfn._xlws.FILTER(_xlfn._xlws.FILTER(dataGLBS,endDates=L$5),dataGLBSAcctIDs=$C49))</f>
        <v>500000</v>
      </c>
      <c r="M49" s="352" cm="1">
        <f t="array" ref="M49">SUM(_xlfn._xlws.FILTER(_xlfn._xlws.FILTER(dataGLBS,endDates=M$5),dataGLBSAcctIDs=$C49))</f>
        <v>500000</v>
      </c>
      <c r="N49" s="352" cm="1">
        <f t="array" ref="N49">SUM(_xlfn._xlws.FILTER(_xlfn._xlws.FILTER(dataGLBS,endDates=N$5),dataGLBSAcctIDs=$C49))</f>
        <v>500000</v>
      </c>
      <c r="O49" s="352" cm="1">
        <f t="array" ref="O49">SUM(_xlfn._xlws.FILTER(_xlfn._xlws.FILTER(dataGLBS,endDates=O$5),dataGLBSAcctIDs=$C49))</f>
        <v>1500000</v>
      </c>
      <c r="P49" s="352" cm="1">
        <f t="array" ref="P49">SUM(_xlfn._xlws.FILTER(_xlfn._xlws.FILTER(dataGLBS,endDates=P$5),dataGLBSAcctIDs=$C49))</f>
        <v>1500000</v>
      </c>
      <c r="Q49" s="352" cm="1">
        <f t="array" ref="Q49">SUM(_xlfn._xlws.FILTER(_xlfn._xlws.FILTER(dataGLBS,endDates=Q$5),dataGLBSAcctIDs=$C49))</f>
        <v>1500000</v>
      </c>
      <c r="R49" s="352" cm="1">
        <f t="array" ref="R49">SUM(_xlfn._xlws.FILTER(_xlfn._xlws.FILTER(dataGLBS,endDates=R$5),dataGLBSAcctIDs=$C49))</f>
        <v>1500000</v>
      </c>
      <c r="S49" s="352" cm="1">
        <f t="array" ref="S49">SUM(_xlfn._xlws.FILTER(_xlfn._xlws.FILTER(dataGLBS,endDates=S$5),dataGLBSAcctIDs=$C49))</f>
        <v>1500000</v>
      </c>
      <c r="T49" s="352" cm="1">
        <f t="array" ref="T49">SUM(_xlfn._xlws.FILTER(_xlfn._xlws.FILTER(dataGLBS,endDates=T$5),dataGLBSAcctIDs=$C49))</f>
        <v>1500000</v>
      </c>
      <c r="U49" s="352" cm="1">
        <f t="array" ref="U49">SUM(_xlfn._xlws.FILTER(_xlfn._xlws.FILTER(dataGLBS,endDates=U$5),dataGLBSAcctIDs=$C49))</f>
        <v>1500000</v>
      </c>
      <c r="V49" s="352" cm="1">
        <f t="array" ref="V49">SUM(_xlfn._xlws.FILTER(_xlfn._xlws.FILTER(dataGLBS,endDates=V$5),dataGLBSAcctIDs=$C49))</f>
        <v>1500000</v>
      </c>
      <c r="W49" s="352" cm="1">
        <f t="array" ref="W49">SUM(_xlfn._xlws.FILTER(_xlfn._xlws.FILTER(dataGLBS,endDates=W$5),dataGLBSAcctIDs=$C49))</f>
        <v>1500000</v>
      </c>
      <c r="X49" s="352" cm="1">
        <f t="array" ref="X49">SUM(_xlfn._xlws.FILTER(_xlfn._xlws.FILTER(dataGLBS,endDates=X$5),dataGLBSAcctIDs=$C49))</f>
        <v>1500000</v>
      </c>
      <c r="Y49" s="352" cm="1">
        <f t="array" ref="Y49">SUM(_xlfn._xlws.FILTER(_xlfn._xlws.FILTER(dataGLBS,endDates=Y$5),dataGLBSAcctIDs=$C49))</f>
        <v>1500000</v>
      </c>
      <c r="Z49" s="352" cm="1">
        <f t="array" ref="Z49">SUM(_xlfn._xlws.FILTER(_xlfn._xlws.FILTER(dataGLBS,endDates=Z$5),dataGLBSAcctIDs=$C49))</f>
        <v>1500000</v>
      </c>
      <c r="AA49" s="352" cm="1">
        <f t="array" ref="AA49">SUM(_xlfn._xlws.FILTER(_xlfn._xlws.FILTER(dataGLBS,endDates=AA$5),dataGLBSAcctIDs=$C49))</f>
        <v>1500000</v>
      </c>
      <c r="AB49" s="215"/>
      <c r="AC49" s="344"/>
      <c r="AD49" s="352" cm="1">
        <f t="array" ref="AD49">SUM(_xlfn._xlws.FILTER(_xlfn._xlws.FILTER(dataGLBS,endDates=AD$5),dataGLBSAcctIDs=$C49))</f>
        <v>500000</v>
      </c>
      <c r="AE49" s="352" cm="1">
        <f t="array" ref="AE49">SUM(_xlfn._xlws.FILTER(_xlfn._xlws.FILTER(dataGLBS,endDates=AE$5),dataGLBSAcctIDs=$C49))</f>
        <v>500000</v>
      </c>
      <c r="AF49" s="352" cm="1">
        <f t="array" ref="AF49">SUM(_xlfn._xlws.FILTER(_xlfn._xlws.FILTER(dataGLBS,endDates=AF$5),dataGLBSAcctIDs=$C49))</f>
        <v>500000</v>
      </c>
      <c r="AG49" s="352" cm="1">
        <f t="array" ref="AG49">SUM(_xlfn._xlws.FILTER(_xlfn._xlws.FILTER(dataGLBS,endDates=AG$5),dataGLBSAcctIDs=$C49))</f>
        <v>500000</v>
      </c>
      <c r="AH49" s="352" cm="1">
        <f t="array" ref="AH49">SUM(_xlfn._xlws.FILTER(_xlfn._xlws.FILTER(dataGLBS,endDates=AH$5),dataGLBSAcctIDs=$C49))</f>
        <v>500000</v>
      </c>
      <c r="AI49" s="352" cm="1">
        <f t="array" ref="AI49">SUM(_xlfn._xlws.FILTER(_xlfn._xlws.FILTER(dataGLBS,endDates=AI$5),dataGLBSAcctIDs=$C49))</f>
        <v>500000</v>
      </c>
      <c r="AJ49" s="352" cm="1">
        <f t="array" ref="AJ49">SUM(_xlfn._xlws.FILTER(_xlfn._xlws.FILTER(dataGLBS,endDates=AJ$5),dataGLBSAcctIDs=$C49))</f>
        <v>500000</v>
      </c>
      <c r="AK49" s="352" cm="1">
        <f t="array" ref="AK49">SUM(_xlfn._xlws.FILTER(_xlfn._xlws.FILTER(dataGLBS,endDates=AK$5),dataGLBSAcctIDs=$C49))</f>
        <v>500000</v>
      </c>
      <c r="AL49" s="352" cm="1">
        <f t="array" ref="AL49">SUM(_xlfn._xlws.FILTER(_xlfn._xlws.FILTER(dataGLBS,endDates=AL$5),dataGLBSAcctIDs=$C49))</f>
        <v>500000</v>
      </c>
      <c r="AM49" s="352" cm="1">
        <f t="array" ref="AM49">SUM(_xlfn._xlws.FILTER(_xlfn._xlws.FILTER(dataGLBS,endDates=AM$5),dataGLBSAcctIDs=$C49))</f>
        <v>1500000</v>
      </c>
      <c r="AN49" s="352" cm="1">
        <f t="array" ref="AN49">SUM(_xlfn._xlws.FILTER(_xlfn._xlws.FILTER(dataGLBS,endDates=AN$5),dataGLBSAcctIDs=$C49))</f>
        <v>1500000</v>
      </c>
      <c r="AO49" s="352" cm="1">
        <f t="array" ref="AO49">SUM(_xlfn._xlws.FILTER(_xlfn._xlws.FILTER(dataGLBS,endDates=AO$5),dataGLBSAcctIDs=$C49))</f>
        <v>1500000</v>
      </c>
      <c r="AP49" s="352" cm="1">
        <f t="array" ref="AP49">SUM(_xlfn._xlws.FILTER(_xlfn._xlws.FILTER(dataGLBS,endDates=AP$5),dataGLBSAcctIDs=$C49))</f>
        <v>1500000</v>
      </c>
      <c r="AQ49" s="352" cm="1">
        <f t="array" ref="AQ49">SUM(_xlfn._xlws.FILTER(_xlfn._xlws.FILTER(dataGLBS,endDates=AQ$5),dataGLBSAcctIDs=$C49))</f>
        <v>1500000</v>
      </c>
      <c r="AR49" s="352" cm="1">
        <f t="array" ref="AR49">SUM(_xlfn._xlws.FILTER(_xlfn._xlws.FILTER(dataGLBS,endDates=AR$5),dataGLBSAcctIDs=$C49))</f>
        <v>1500000</v>
      </c>
      <c r="AS49" s="352" cm="1">
        <f t="array" ref="AS49">SUM(_xlfn._xlws.FILTER(_xlfn._xlws.FILTER(dataGLBS,endDates=AS$5),dataGLBSAcctIDs=$C49))</f>
        <v>1500000</v>
      </c>
      <c r="AT49" s="352" cm="1">
        <f t="array" ref="AT49">SUM(_xlfn._xlws.FILTER(_xlfn._xlws.FILTER(dataGLBS,endDates=AT$5),dataGLBSAcctIDs=$C49))</f>
        <v>1500000</v>
      </c>
      <c r="AU49" s="352" cm="1">
        <f t="array" ref="AU49">SUM(_xlfn._xlws.FILTER(_xlfn._xlws.FILTER(dataGLBS,endDates=AU$5),dataGLBSAcctIDs=$C49))</f>
        <v>1500000</v>
      </c>
      <c r="AV49" s="352" cm="1">
        <f t="array" ref="AV49">SUM(_xlfn._xlws.FILTER(_xlfn._xlws.FILTER(dataGLBS,endDates=AV$5),dataGLBSAcctIDs=$C49))</f>
        <v>1500000</v>
      </c>
      <c r="AW49" s="352" cm="1">
        <f t="array" ref="AW49">SUM(_xlfn._xlws.FILTER(_xlfn._xlws.FILTER(dataGLBS,endDates=AW$5),dataGLBSAcctIDs=$C49))</f>
        <v>1500000</v>
      </c>
      <c r="AX49" s="352" cm="1">
        <f t="array" ref="AX49">SUM(_xlfn._xlws.FILTER(_xlfn._xlws.FILTER(dataGLBS,endDates=AX$5),dataGLBSAcctIDs=$C49))</f>
        <v>1500000</v>
      </c>
      <c r="AY49" s="352" cm="1">
        <f t="array" ref="AY49">SUM(_xlfn._xlws.FILTER(_xlfn._xlws.FILTER(dataGLBS,endDates=AY$5),dataGLBSAcctIDs=$C49))</f>
        <v>1500000</v>
      </c>
      <c r="AZ49" s="352" cm="1">
        <f t="array" ref="AZ49">SUM(_xlfn._xlws.FILTER(_xlfn._xlws.FILTER(dataGLBS,endDates=AZ$5),dataGLBSAcctIDs=$C49))</f>
        <v>1500000</v>
      </c>
      <c r="BA49" s="352" cm="1">
        <f t="array" ref="BA49">SUM(_xlfn._xlws.FILTER(_xlfn._xlws.FILTER(dataGLBS,endDates=BA$5),dataGLBSAcctIDs=$C49))</f>
        <v>1500000</v>
      </c>
      <c r="BB49" s="352" cm="1">
        <f t="array" ref="BB49">SUM(_xlfn._xlws.FILTER(_xlfn._xlws.FILTER(dataGLBS,endDates=BB$5),dataGLBSAcctIDs=$C49))</f>
        <v>1500000</v>
      </c>
      <c r="BC49" s="352" cm="1">
        <f t="array" ref="BC49">SUM(_xlfn._xlws.FILTER(_xlfn._xlws.FILTER(dataGLBS,endDates=BC$5),dataGLBSAcctIDs=$C49))</f>
        <v>1500000</v>
      </c>
      <c r="BD49" s="352" cm="1">
        <f t="array" ref="BD49">SUM(_xlfn._xlws.FILTER(_xlfn._xlws.FILTER(dataGLBS,endDates=BD$5),dataGLBSAcctIDs=$C49))</f>
        <v>1500000</v>
      </c>
      <c r="BE49" s="352" cm="1">
        <f t="array" ref="BE49">SUM(_xlfn._xlws.FILTER(_xlfn._xlws.FILTER(dataGLBS,endDates=BE$5),dataGLBSAcctIDs=$C49))</f>
        <v>1500000</v>
      </c>
      <c r="BF49" s="352" cm="1">
        <f t="array" ref="BF49">SUM(_xlfn._xlws.FILTER(_xlfn._xlws.FILTER(dataGLBS,endDates=BF$5),dataGLBSAcctIDs=$C49))</f>
        <v>1500000</v>
      </c>
      <c r="BG49" s="352" cm="1">
        <f t="array" ref="BG49">SUM(_xlfn._xlws.FILTER(_xlfn._xlws.FILTER(dataGLBS,endDates=BG$5),dataGLBSAcctIDs=$C49))</f>
        <v>1500000</v>
      </c>
      <c r="BH49" s="352" cm="1">
        <f t="array" ref="BH49">SUM(_xlfn._xlws.FILTER(_xlfn._xlws.FILTER(dataGLBS,endDates=BH$5),dataGLBSAcctIDs=$C49))</f>
        <v>1500000</v>
      </c>
      <c r="BI49" s="352" cm="1">
        <f t="array" ref="BI49">SUM(_xlfn._xlws.FILTER(_xlfn._xlws.FILTER(dataGLBS,endDates=BI$5),dataGLBSAcctIDs=$C49))</f>
        <v>1500000</v>
      </c>
      <c r="BJ49" s="352" cm="1">
        <f t="array" ref="BJ49">SUM(_xlfn._xlws.FILTER(_xlfn._xlws.FILTER(dataGLBS,endDates=BJ$5),dataGLBSAcctIDs=$C49))</f>
        <v>1500000</v>
      </c>
      <c r="BK49" s="352" cm="1">
        <f t="array" ref="BK49">SUM(_xlfn._xlws.FILTER(_xlfn._xlws.FILTER(dataGLBS,endDates=BK$5),dataGLBSAcctIDs=$C49))</f>
        <v>1500000</v>
      </c>
      <c r="BL49" s="352" cm="1">
        <f t="array" ref="BL49">SUM(_xlfn._xlws.FILTER(_xlfn._xlws.FILTER(dataGLBS,endDates=BL$5),dataGLBSAcctIDs=$C49))</f>
        <v>1500000</v>
      </c>
      <c r="BM49" s="352" cm="1">
        <f t="array" ref="BM49">SUM(_xlfn._xlws.FILTER(_xlfn._xlws.FILTER(dataGLBS,endDates=BM$5),dataGLBSAcctIDs=$C49))</f>
        <v>1500000</v>
      </c>
      <c r="BN49" s="352" cm="1">
        <f t="array" ref="BN49">SUM(_xlfn._xlws.FILTER(_xlfn._xlws.FILTER(dataGLBS,endDates=BN$5),dataGLBSAcctIDs=$C49))</f>
        <v>1500000</v>
      </c>
      <c r="BO49" s="352" cm="1">
        <f t="array" ref="BO49">SUM(_xlfn._xlws.FILTER(_xlfn._xlws.FILTER(dataGLBS,endDates=BO$5),dataGLBSAcctIDs=$C49))</f>
        <v>1500000</v>
      </c>
      <c r="BP49" s="352" cm="1">
        <f t="array" ref="BP49">SUM(_xlfn._xlws.FILTER(_xlfn._xlws.FILTER(dataGLBS,endDates=BP$5),dataGLBSAcctIDs=$C49))</f>
        <v>1500000</v>
      </c>
      <c r="BQ49" s="352" cm="1">
        <f t="array" ref="BQ49">SUM(_xlfn._xlws.FILTER(_xlfn._xlws.FILTER(dataGLBS,endDates=BQ$5),dataGLBSAcctIDs=$C49))</f>
        <v>1500000</v>
      </c>
      <c r="BR49" s="352" cm="1">
        <f t="array" ref="BR49">SUM(_xlfn._xlws.FILTER(_xlfn._xlws.FILTER(dataGLBS,endDates=BR$5),dataGLBSAcctIDs=$C49))</f>
        <v>1500000</v>
      </c>
      <c r="BS49" s="352" cm="1">
        <f t="array" ref="BS49">SUM(_xlfn._xlws.FILTER(_xlfn._xlws.FILTER(dataGLBS,endDates=BS$5),dataGLBSAcctIDs=$C49))</f>
        <v>1500000</v>
      </c>
      <c r="BT49" s="352" cm="1">
        <f t="array" ref="BT49">SUM(_xlfn._xlws.FILTER(_xlfn._xlws.FILTER(dataGLBS,endDates=BT$5),dataGLBSAcctIDs=$C49))</f>
        <v>1500000</v>
      </c>
      <c r="BU49" s="352" cm="1">
        <f t="array" ref="BU49">SUM(_xlfn._xlws.FILTER(_xlfn._xlws.FILTER(dataGLBS,endDates=BU$5),dataGLBSAcctIDs=$C49))</f>
        <v>1500000</v>
      </c>
      <c r="BV49" s="352" cm="1">
        <f t="array" ref="BV49">SUM(_xlfn._xlws.FILTER(_xlfn._xlws.FILTER(dataGLBS,endDates=BV$5),dataGLBSAcctIDs=$C49))</f>
        <v>1500000</v>
      </c>
      <c r="BW49" s="352" cm="1">
        <f t="array" ref="BW49">SUM(_xlfn._xlws.FILTER(_xlfn._xlws.FILTER(dataGLBS,endDates=BW$5),dataGLBSAcctIDs=$C49))</f>
        <v>1500000</v>
      </c>
      <c r="BX49" s="352" cm="1">
        <f t="array" ref="BX49">SUM(_xlfn._xlws.FILTER(_xlfn._xlws.FILTER(dataGLBS,endDates=BX$5),dataGLBSAcctIDs=$C49))</f>
        <v>1500000</v>
      </c>
      <c r="BY49" s="352" cm="1">
        <f t="array" ref="BY49">SUM(_xlfn._xlws.FILTER(_xlfn._xlws.FILTER(dataGLBS,endDates=BY$5),dataGLBSAcctIDs=$C49))</f>
        <v>1500000</v>
      </c>
      <c r="BZ49" s="201"/>
    </row>
    <row r="50" spans="1:78" s="350" customFormat="1" ht="21" customHeight="1">
      <c r="A50" s="215"/>
      <c r="B50" s="623" t="s">
        <v>317</v>
      </c>
      <c r="C50" s="343">
        <v>163</v>
      </c>
      <c r="D50" s="215"/>
      <c r="E50" s="216"/>
      <c r="F50" s="352" cm="1">
        <f t="array" ref="F50">SUM(_xlfn._xlws.FILTER(_xlfn._xlws.FILTER(dataGLBS,endDates=F$5),dataGLBSAcctIDs=$C50))</f>
        <v>30000</v>
      </c>
      <c r="G50" s="352" cm="1">
        <f t="array" ref="G50">SUM(_xlfn._xlws.FILTER(_xlfn._xlws.FILTER(dataGLBS,endDates=G$5),dataGLBSAcctIDs=$C50))</f>
        <v>30000</v>
      </c>
      <c r="H50" s="352" cm="1">
        <f t="array" ref="H50">SUM(_xlfn._xlws.FILTER(_xlfn._xlws.FILTER(dataGLBS,endDates=H$5),dataGLBSAcctIDs=$C50))</f>
        <v>30000</v>
      </c>
      <c r="I50" s="352" cm="1">
        <f t="array" ref="I50">SUM(_xlfn._xlws.FILTER(_xlfn._xlws.FILTER(dataGLBS,endDates=I$5),dataGLBSAcctIDs=$C50))</f>
        <v>30000</v>
      </c>
      <c r="J50" s="344"/>
      <c r="K50" s="344"/>
      <c r="L50" s="352" cm="1">
        <f t="array" ref="L50">SUM(_xlfn._xlws.FILTER(_xlfn._xlws.FILTER(dataGLBS,endDates=L$5),dataGLBSAcctIDs=$C50))</f>
        <v>7500</v>
      </c>
      <c r="M50" s="352" cm="1">
        <f t="array" ref="M50">SUM(_xlfn._xlws.FILTER(_xlfn._xlws.FILTER(dataGLBS,endDates=M$5),dataGLBSAcctIDs=$C50))</f>
        <v>15000</v>
      </c>
      <c r="N50" s="352" cm="1">
        <f t="array" ref="N50">SUM(_xlfn._xlws.FILTER(_xlfn._xlws.FILTER(dataGLBS,endDates=N$5),dataGLBSAcctIDs=$C50))</f>
        <v>22500</v>
      </c>
      <c r="O50" s="352" cm="1">
        <f t="array" ref="O50">SUM(_xlfn._xlws.FILTER(_xlfn._xlws.FILTER(dataGLBS,endDates=O$5),dataGLBSAcctIDs=$C50))</f>
        <v>30000</v>
      </c>
      <c r="P50" s="352" cm="1">
        <f t="array" ref="P50">SUM(_xlfn._xlws.FILTER(_xlfn._xlws.FILTER(dataGLBS,endDates=P$5),dataGLBSAcctIDs=$C50))</f>
        <v>30000</v>
      </c>
      <c r="Q50" s="352" cm="1">
        <f t="array" ref="Q50">SUM(_xlfn._xlws.FILTER(_xlfn._xlws.FILTER(dataGLBS,endDates=Q$5),dataGLBSAcctIDs=$C50))</f>
        <v>30000</v>
      </c>
      <c r="R50" s="352" cm="1">
        <f t="array" ref="R50">SUM(_xlfn._xlws.FILTER(_xlfn._xlws.FILTER(dataGLBS,endDates=R$5),dataGLBSAcctIDs=$C50))</f>
        <v>30000</v>
      </c>
      <c r="S50" s="352" cm="1">
        <f t="array" ref="S50">SUM(_xlfn._xlws.FILTER(_xlfn._xlws.FILTER(dataGLBS,endDates=S$5),dataGLBSAcctIDs=$C50))</f>
        <v>30000</v>
      </c>
      <c r="T50" s="352" cm="1">
        <f t="array" ref="T50">SUM(_xlfn._xlws.FILTER(_xlfn._xlws.FILTER(dataGLBS,endDates=T$5),dataGLBSAcctIDs=$C50))</f>
        <v>30000</v>
      </c>
      <c r="U50" s="352" cm="1">
        <f t="array" ref="U50">SUM(_xlfn._xlws.FILTER(_xlfn._xlws.FILTER(dataGLBS,endDates=U$5),dataGLBSAcctIDs=$C50))</f>
        <v>30000</v>
      </c>
      <c r="V50" s="352" cm="1">
        <f t="array" ref="V50">SUM(_xlfn._xlws.FILTER(_xlfn._xlws.FILTER(dataGLBS,endDates=V$5),dataGLBSAcctIDs=$C50))</f>
        <v>30000</v>
      </c>
      <c r="W50" s="352" cm="1">
        <f t="array" ref="W50">SUM(_xlfn._xlws.FILTER(_xlfn._xlws.FILTER(dataGLBS,endDates=W$5),dataGLBSAcctIDs=$C50))</f>
        <v>30000</v>
      </c>
      <c r="X50" s="352" cm="1">
        <f t="array" ref="X50">SUM(_xlfn._xlws.FILTER(_xlfn._xlws.FILTER(dataGLBS,endDates=X$5),dataGLBSAcctIDs=$C50))</f>
        <v>30000</v>
      </c>
      <c r="Y50" s="352" cm="1">
        <f t="array" ref="Y50">SUM(_xlfn._xlws.FILTER(_xlfn._xlws.FILTER(dataGLBS,endDates=Y$5),dataGLBSAcctIDs=$C50))</f>
        <v>30000</v>
      </c>
      <c r="Z50" s="352" cm="1">
        <f t="array" ref="Z50">SUM(_xlfn._xlws.FILTER(_xlfn._xlws.FILTER(dataGLBS,endDates=Z$5),dataGLBSAcctIDs=$C50))</f>
        <v>30000</v>
      </c>
      <c r="AA50" s="352" cm="1">
        <f t="array" ref="AA50">SUM(_xlfn._xlws.FILTER(_xlfn._xlws.FILTER(dataGLBS,endDates=AA$5),dataGLBSAcctIDs=$C50))</f>
        <v>30000</v>
      </c>
      <c r="AB50" s="215"/>
      <c r="AC50" s="344"/>
      <c r="AD50" s="352" cm="1">
        <f t="array" ref="AD50">SUM(_xlfn._xlws.FILTER(_xlfn._xlws.FILTER(dataGLBS,endDates=AD$5),dataGLBSAcctIDs=$C50))</f>
        <v>2500</v>
      </c>
      <c r="AE50" s="352" cm="1">
        <f t="array" ref="AE50">SUM(_xlfn._xlws.FILTER(_xlfn._xlws.FILTER(dataGLBS,endDates=AE$5),dataGLBSAcctIDs=$C50))</f>
        <v>5000</v>
      </c>
      <c r="AF50" s="352" cm="1">
        <f t="array" ref="AF50">SUM(_xlfn._xlws.FILTER(_xlfn._xlws.FILTER(dataGLBS,endDates=AF$5),dataGLBSAcctIDs=$C50))</f>
        <v>7500</v>
      </c>
      <c r="AG50" s="352" cm="1">
        <f t="array" ref="AG50">SUM(_xlfn._xlws.FILTER(_xlfn._xlws.FILTER(dataGLBS,endDates=AG$5),dataGLBSAcctIDs=$C50))</f>
        <v>10000</v>
      </c>
      <c r="AH50" s="352" cm="1">
        <f t="array" ref="AH50">SUM(_xlfn._xlws.FILTER(_xlfn._xlws.FILTER(dataGLBS,endDates=AH$5),dataGLBSAcctIDs=$C50))</f>
        <v>12500</v>
      </c>
      <c r="AI50" s="352" cm="1">
        <f t="array" ref="AI50">SUM(_xlfn._xlws.FILTER(_xlfn._xlws.FILTER(dataGLBS,endDates=AI$5),dataGLBSAcctIDs=$C50))</f>
        <v>15000</v>
      </c>
      <c r="AJ50" s="352" cm="1">
        <f t="array" ref="AJ50">SUM(_xlfn._xlws.FILTER(_xlfn._xlws.FILTER(dataGLBS,endDates=AJ$5),dataGLBSAcctIDs=$C50))</f>
        <v>17500</v>
      </c>
      <c r="AK50" s="352" cm="1">
        <f t="array" ref="AK50">SUM(_xlfn._xlws.FILTER(_xlfn._xlws.FILTER(dataGLBS,endDates=AK$5),dataGLBSAcctIDs=$C50))</f>
        <v>20000</v>
      </c>
      <c r="AL50" s="352" cm="1">
        <f t="array" ref="AL50">SUM(_xlfn._xlws.FILTER(_xlfn._xlws.FILTER(dataGLBS,endDates=AL$5),dataGLBSAcctIDs=$C50))</f>
        <v>22500</v>
      </c>
      <c r="AM50" s="352" cm="1">
        <f t="array" ref="AM50">SUM(_xlfn._xlws.FILTER(_xlfn._xlws.FILTER(dataGLBS,endDates=AM$5),dataGLBSAcctIDs=$C50))</f>
        <v>30000</v>
      </c>
      <c r="AN50" s="352" cm="1">
        <f t="array" ref="AN50">SUM(_xlfn._xlws.FILTER(_xlfn._xlws.FILTER(dataGLBS,endDates=AN$5),dataGLBSAcctIDs=$C50))</f>
        <v>30000</v>
      </c>
      <c r="AO50" s="352" cm="1">
        <f t="array" ref="AO50">SUM(_xlfn._xlws.FILTER(_xlfn._xlws.FILTER(dataGLBS,endDates=AO$5),dataGLBSAcctIDs=$C50))</f>
        <v>30000</v>
      </c>
      <c r="AP50" s="352" cm="1">
        <f t="array" ref="AP50">SUM(_xlfn._xlws.FILTER(_xlfn._xlws.FILTER(dataGLBS,endDates=AP$5),dataGLBSAcctIDs=$C50))</f>
        <v>30000</v>
      </c>
      <c r="AQ50" s="352" cm="1">
        <f t="array" ref="AQ50">SUM(_xlfn._xlws.FILTER(_xlfn._xlws.FILTER(dataGLBS,endDates=AQ$5),dataGLBSAcctIDs=$C50))</f>
        <v>30000</v>
      </c>
      <c r="AR50" s="352" cm="1">
        <f t="array" ref="AR50">SUM(_xlfn._xlws.FILTER(_xlfn._xlws.FILTER(dataGLBS,endDates=AR$5),dataGLBSAcctIDs=$C50))</f>
        <v>30000</v>
      </c>
      <c r="AS50" s="352" cm="1">
        <f t="array" ref="AS50">SUM(_xlfn._xlws.FILTER(_xlfn._xlws.FILTER(dataGLBS,endDates=AS$5),dataGLBSAcctIDs=$C50))</f>
        <v>30000</v>
      </c>
      <c r="AT50" s="352" cm="1">
        <f t="array" ref="AT50">SUM(_xlfn._xlws.FILTER(_xlfn._xlws.FILTER(dataGLBS,endDates=AT$5),dataGLBSAcctIDs=$C50))</f>
        <v>30000</v>
      </c>
      <c r="AU50" s="352" cm="1">
        <f t="array" ref="AU50">SUM(_xlfn._xlws.FILTER(_xlfn._xlws.FILTER(dataGLBS,endDates=AU$5),dataGLBSAcctIDs=$C50))</f>
        <v>30000</v>
      </c>
      <c r="AV50" s="352" cm="1">
        <f t="array" ref="AV50">SUM(_xlfn._xlws.FILTER(_xlfn._xlws.FILTER(dataGLBS,endDates=AV$5),dataGLBSAcctIDs=$C50))</f>
        <v>30000</v>
      </c>
      <c r="AW50" s="352" cm="1">
        <f t="array" ref="AW50">SUM(_xlfn._xlws.FILTER(_xlfn._xlws.FILTER(dataGLBS,endDates=AW$5),dataGLBSAcctIDs=$C50))</f>
        <v>30000</v>
      </c>
      <c r="AX50" s="352" cm="1">
        <f t="array" ref="AX50">SUM(_xlfn._xlws.FILTER(_xlfn._xlws.FILTER(dataGLBS,endDates=AX$5),dataGLBSAcctIDs=$C50))</f>
        <v>30000</v>
      </c>
      <c r="AY50" s="352" cm="1">
        <f t="array" ref="AY50">SUM(_xlfn._xlws.FILTER(_xlfn._xlws.FILTER(dataGLBS,endDates=AY$5),dataGLBSAcctIDs=$C50))</f>
        <v>30000</v>
      </c>
      <c r="AZ50" s="352" cm="1">
        <f t="array" ref="AZ50">SUM(_xlfn._xlws.FILTER(_xlfn._xlws.FILTER(dataGLBS,endDates=AZ$5),dataGLBSAcctIDs=$C50))</f>
        <v>30000</v>
      </c>
      <c r="BA50" s="352" cm="1">
        <f t="array" ref="BA50">SUM(_xlfn._xlws.FILTER(_xlfn._xlws.FILTER(dataGLBS,endDates=BA$5),dataGLBSAcctIDs=$C50))</f>
        <v>30000</v>
      </c>
      <c r="BB50" s="352" cm="1">
        <f t="array" ref="BB50">SUM(_xlfn._xlws.FILTER(_xlfn._xlws.FILTER(dataGLBS,endDates=BB$5),dataGLBSAcctIDs=$C50))</f>
        <v>30000</v>
      </c>
      <c r="BC50" s="352" cm="1">
        <f t="array" ref="BC50">SUM(_xlfn._xlws.FILTER(_xlfn._xlws.FILTER(dataGLBS,endDates=BC$5),dataGLBSAcctIDs=$C50))</f>
        <v>30000</v>
      </c>
      <c r="BD50" s="352" cm="1">
        <f t="array" ref="BD50">SUM(_xlfn._xlws.FILTER(_xlfn._xlws.FILTER(dataGLBS,endDates=BD$5),dataGLBSAcctIDs=$C50))</f>
        <v>30000</v>
      </c>
      <c r="BE50" s="352" cm="1">
        <f t="array" ref="BE50">SUM(_xlfn._xlws.FILTER(_xlfn._xlws.FILTER(dataGLBS,endDates=BE$5),dataGLBSAcctIDs=$C50))</f>
        <v>30000</v>
      </c>
      <c r="BF50" s="352" cm="1">
        <f t="array" ref="BF50">SUM(_xlfn._xlws.FILTER(_xlfn._xlws.FILTER(dataGLBS,endDates=BF$5),dataGLBSAcctIDs=$C50))</f>
        <v>30000</v>
      </c>
      <c r="BG50" s="352" cm="1">
        <f t="array" ref="BG50">SUM(_xlfn._xlws.FILTER(_xlfn._xlws.FILTER(dataGLBS,endDates=BG$5),dataGLBSAcctIDs=$C50))</f>
        <v>30000</v>
      </c>
      <c r="BH50" s="352" cm="1">
        <f t="array" ref="BH50">SUM(_xlfn._xlws.FILTER(_xlfn._xlws.FILTER(dataGLBS,endDates=BH$5),dataGLBSAcctIDs=$C50))</f>
        <v>30000</v>
      </c>
      <c r="BI50" s="352" cm="1">
        <f t="array" ref="BI50">SUM(_xlfn._xlws.FILTER(_xlfn._xlws.FILTER(dataGLBS,endDates=BI$5),dataGLBSAcctIDs=$C50))</f>
        <v>30000</v>
      </c>
      <c r="BJ50" s="352" cm="1">
        <f t="array" ref="BJ50">SUM(_xlfn._xlws.FILTER(_xlfn._xlws.FILTER(dataGLBS,endDates=BJ$5),dataGLBSAcctIDs=$C50))</f>
        <v>30000</v>
      </c>
      <c r="BK50" s="352" cm="1">
        <f t="array" ref="BK50">SUM(_xlfn._xlws.FILTER(_xlfn._xlws.FILTER(dataGLBS,endDates=BK$5),dataGLBSAcctIDs=$C50))</f>
        <v>30000</v>
      </c>
      <c r="BL50" s="352" cm="1">
        <f t="array" ref="BL50">SUM(_xlfn._xlws.FILTER(_xlfn._xlws.FILTER(dataGLBS,endDates=BL$5),dataGLBSAcctIDs=$C50))</f>
        <v>30000</v>
      </c>
      <c r="BM50" s="352" cm="1">
        <f t="array" ref="BM50">SUM(_xlfn._xlws.FILTER(_xlfn._xlws.FILTER(dataGLBS,endDates=BM$5),dataGLBSAcctIDs=$C50))</f>
        <v>30000</v>
      </c>
      <c r="BN50" s="352" cm="1">
        <f t="array" ref="BN50">SUM(_xlfn._xlws.FILTER(_xlfn._xlws.FILTER(dataGLBS,endDates=BN$5),dataGLBSAcctIDs=$C50))</f>
        <v>30000</v>
      </c>
      <c r="BO50" s="352" cm="1">
        <f t="array" ref="BO50">SUM(_xlfn._xlws.FILTER(_xlfn._xlws.FILTER(dataGLBS,endDates=BO$5),dataGLBSAcctIDs=$C50))</f>
        <v>30000</v>
      </c>
      <c r="BP50" s="352" cm="1">
        <f t="array" ref="BP50">SUM(_xlfn._xlws.FILTER(_xlfn._xlws.FILTER(dataGLBS,endDates=BP$5),dataGLBSAcctIDs=$C50))</f>
        <v>30000</v>
      </c>
      <c r="BQ50" s="352" cm="1">
        <f t="array" ref="BQ50">SUM(_xlfn._xlws.FILTER(_xlfn._xlws.FILTER(dataGLBS,endDates=BQ$5),dataGLBSAcctIDs=$C50))</f>
        <v>30000</v>
      </c>
      <c r="BR50" s="352" cm="1">
        <f t="array" ref="BR50">SUM(_xlfn._xlws.FILTER(_xlfn._xlws.FILTER(dataGLBS,endDates=BR$5),dataGLBSAcctIDs=$C50))</f>
        <v>30000</v>
      </c>
      <c r="BS50" s="352" cm="1">
        <f t="array" ref="BS50">SUM(_xlfn._xlws.FILTER(_xlfn._xlws.FILTER(dataGLBS,endDates=BS$5),dataGLBSAcctIDs=$C50))</f>
        <v>30000</v>
      </c>
      <c r="BT50" s="352" cm="1">
        <f t="array" ref="BT50">SUM(_xlfn._xlws.FILTER(_xlfn._xlws.FILTER(dataGLBS,endDates=BT$5),dataGLBSAcctIDs=$C50))</f>
        <v>30000</v>
      </c>
      <c r="BU50" s="352" cm="1">
        <f t="array" ref="BU50">SUM(_xlfn._xlws.FILTER(_xlfn._xlws.FILTER(dataGLBS,endDates=BU$5),dataGLBSAcctIDs=$C50))</f>
        <v>30000</v>
      </c>
      <c r="BV50" s="352" cm="1">
        <f t="array" ref="BV50">SUM(_xlfn._xlws.FILTER(_xlfn._xlws.FILTER(dataGLBS,endDates=BV$5),dataGLBSAcctIDs=$C50))</f>
        <v>30000</v>
      </c>
      <c r="BW50" s="352" cm="1">
        <f t="array" ref="BW50">SUM(_xlfn._xlws.FILTER(_xlfn._xlws.FILTER(dataGLBS,endDates=BW$5),dataGLBSAcctIDs=$C50))</f>
        <v>30000</v>
      </c>
      <c r="BX50" s="352" cm="1">
        <f t="array" ref="BX50">SUM(_xlfn._xlws.FILTER(_xlfn._xlws.FILTER(dataGLBS,endDates=BX$5),dataGLBSAcctIDs=$C50))</f>
        <v>30000</v>
      </c>
      <c r="BY50" s="352" cm="1">
        <f t="array" ref="BY50">SUM(_xlfn._xlws.FILTER(_xlfn._xlws.FILTER(dataGLBS,endDates=BY$5),dataGLBSAcctIDs=$C50))</f>
        <v>30000</v>
      </c>
      <c r="BZ50" s="201"/>
    </row>
    <row r="51" spans="1:78" s="350" customFormat="1" ht="21" customHeight="1">
      <c r="A51" s="215"/>
      <c r="B51" s="348" t="s">
        <v>318</v>
      </c>
      <c r="C51" s="343" t="s">
        <v>319</v>
      </c>
      <c r="D51" s="215"/>
      <c r="E51" s="216"/>
      <c r="F51" s="351">
        <f t="shared" ref="F51:I51" si="36">_xlfn.AGGREGATE(9,0, F$48:F$50)</f>
        <v>1530000</v>
      </c>
      <c r="G51" s="351">
        <f t="shared" si="36"/>
        <v>1530000</v>
      </c>
      <c r="H51" s="351">
        <f t="shared" si="36"/>
        <v>1530000</v>
      </c>
      <c r="I51" s="351">
        <f t="shared" si="36"/>
        <v>1530000</v>
      </c>
      <c r="J51" s="344"/>
      <c r="K51" s="344"/>
      <c r="L51" s="351">
        <f t="shared" ref="L51:AA51" si="37">_xlfn.AGGREGATE(9,0, L$48:L$50)</f>
        <v>507500</v>
      </c>
      <c r="M51" s="351">
        <f t="shared" si="37"/>
        <v>515000</v>
      </c>
      <c r="N51" s="351">
        <f t="shared" si="37"/>
        <v>522500</v>
      </c>
      <c r="O51" s="351">
        <f t="shared" si="37"/>
        <v>1530000</v>
      </c>
      <c r="P51" s="351">
        <f t="shared" si="37"/>
        <v>1530000</v>
      </c>
      <c r="Q51" s="351">
        <f t="shared" si="37"/>
        <v>1530000</v>
      </c>
      <c r="R51" s="351">
        <f t="shared" si="37"/>
        <v>1530000</v>
      </c>
      <c r="S51" s="351">
        <f t="shared" si="37"/>
        <v>1530000</v>
      </c>
      <c r="T51" s="351">
        <f t="shared" si="37"/>
        <v>1530000</v>
      </c>
      <c r="U51" s="351">
        <f t="shared" si="37"/>
        <v>1530000</v>
      </c>
      <c r="V51" s="351">
        <f t="shared" si="37"/>
        <v>1530000</v>
      </c>
      <c r="W51" s="351">
        <f t="shared" si="37"/>
        <v>1530000</v>
      </c>
      <c r="X51" s="351">
        <f t="shared" si="37"/>
        <v>1530000</v>
      </c>
      <c r="Y51" s="351">
        <f t="shared" si="37"/>
        <v>1530000</v>
      </c>
      <c r="Z51" s="351">
        <f t="shared" si="37"/>
        <v>1530000</v>
      </c>
      <c r="AA51" s="351">
        <f t="shared" si="37"/>
        <v>1530000</v>
      </c>
      <c r="AB51" s="215"/>
      <c r="AC51" s="344"/>
      <c r="AD51" s="351">
        <f>_xlfn.AGGREGATE(9,0, AD$48:AD$50)</f>
        <v>502500</v>
      </c>
      <c r="AE51" s="351">
        <f t="shared" ref="AE51:BY51" si="38">_xlfn.AGGREGATE(9,0, AE$48:AE$50)</f>
        <v>505000</v>
      </c>
      <c r="AF51" s="351">
        <f t="shared" si="38"/>
        <v>507500</v>
      </c>
      <c r="AG51" s="351">
        <f t="shared" si="38"/>
        <v>510000</v>
      </c>
      <c r="AH51" s="351">
        <f t="shared" si="38"/>
        <v>512500</v>
      </c>
      <c r="AI51" s="351">
        <f t="shared" si="38"/>
        <v>515000</v>
      </c>
      <c r="AJ51" s="351">
        <f t="shared" si="38"/>
        <v>517500</v>
      </c>
      <c r="AK51" s="351">
        <f t="shared" si="38"/>
        <v>520000</v>
      </c>
      <c r="AL51" s="351">
        <f t="shared" si="38"/>
        <v>522500</v>
      </c>
      <c r="AM51" s="351">
        <f t="shared" si="38"/>
        <v>1530000</v>
      </c>
      <c r="AN51" s="351">
        <f t="shared" si="38"/>
        <v>1530000</v>
      </c>
      <c r="AO51" s="351">
        <f t="shared" si="38"/>
        <v>1530000</v>
      </c>
      <c r="AP51" s="351">
        <f t="shared" si="38"/>
        <v>1530000</v>
      </c>
      <c r="AQ51" s="351">
        <f t="shared" si="38"/>
        <v>1530000</v>
      </c>
      <c r="AR51" s="351">
        <f t="shared" si="38"/>
        <v>1530000</v>
      </c>
      <c r="AS51" s="351">
        <f t="shared" si="38"/>
        <v>1530000</v>
      </c>
      <c r="AT51" s="351">
        <f t="shared" si="38"/>
        <v>1530000</v>
      </c>
      <c r="AU51" s="351">
        <f t="shared" si="38"/>
        <v>1530000</v>
      </c>
      <c r="AV51" s="351">
        <f t="shared" si="38"/>
        <v>1530000</v>
      </c>
      <c r="AW51" s="351">
        <f t="shared" si="38"/>
        <v>1530000</v>
      </c>
      <c r="AX51" s="351">
        <f t="shared" si="38"/>
        <v>1530000</v>
      </c>
      <c r="AY51" s="351">
        <f t="shared" si="38"/>
        <v>1530000</v>
      </c>
      <c r="AZ51" s="351">
        <f t="shared" si="38"/>
        <v>1530000</v>
      </c>
      <c r="BA51" s="351">
        <f t="shared" si="38"/>
        <v>1530000</v>
      </c>
      <c r="BB51" s="351">
        <f t="shared" si="38"/>
        <v>1530000</v>
      </c>
      <c r="BC51" s="351">
        <f t="shared" si="38"/>
        <v>1530000</v>
      </c>
      <c r="BD51" s="351">
        <f t="shared" si="38"/>
        <v>1530000</v>
      </c>
      <c r="BE51" s="351">
        <f t="shared" si="38"/>
        <v>1530000</v>
      </c>
      <c r="BF51" s="351">
        <f t="shared" si="38"/>
        <v>1530000</v>
      </c>
      <c r="BG51" s="351">
        <f t="shared" si="38"/>
        <v>1530000</v>
      </c>
      <c r="BH51" s="351">
        <f t="shared" si="38"/>
        <v>1530000</v>
      </c>
      <c r="BI51" s="351">
        <f t="shared" si="38"/>
        <v>1530000</v>
      </c>
      <c r="BJ51" s="351">
        <f t="shared" si="38"/>
        <v>1530000</v>
      </c>
      <c r="BK51" s="351">
        <f t="shared" si="38"/>
        <v>1530000</v>
      </c>
      <c r="BL51" s="351">
        <f t="shared" si="38"/>
        <v>1530000</v>
      </c>
      <c r="BM51" s="351">
        <f t="shared" si="38"/>
        <v>1530000</v>
      </c>
      <c r="BN51" s="351">
        <f t="shared" si="38"/>
        <v>1530000</v>
      </c>
      <c r="BO51" s="351">
        <f t="shared" si="38"/>
        <v>1530000</v>
      </c>
      <c r="BP51" s="351">
        <f t="shared" si="38"/>
        <v>1530000</v>
      </c>
      <c r="BQ51" s="351">
        <f t="shared" si="38"/>
        <v>1530000</v>
      </c>
      <c r="BR51" s="351">
        <f t="shared" si="38"/>
        <v>1530000</v>
      </c>
      <c r="BS51" s="351">
        <f t="shared" si="38"/>
        <v>1530000</v>
      </c>
      <c r="BT51" s="351">
        <f t="shared" si="38"/>
        <v>1530000</v>
      </c>
      <c r="BU51" s="351">
        <f t="shared" si="38"/>
        <v>1530000</v>
      </c>
      <c r="BV51" s="351">
        <f t="shared" si="38"/>
        <v>1530000</v>
      </c>
      <c r="BW51" s="351">
        <f t="shared" si="38"/>
        <v>1530000</v>
      </c>
      <c r="BX51" s="351">
        <f t="shared" si="38"/>
        <v>1530000</v>
      </c>
      <c r="BY51" s="351">
        <f t="shared" si="38"/>
        <v>1530000</v>
      </c>
      <c r="BZ51" s="201"/>
    </row>
    <row r="52" spans="1:78" s="350" customFormat="1" ht="21" customHeight="1">
      <c r="A52" s="215"/>
      <c r="B52" s="342" t="s">
        <v>320</v>
      </c>
      <c r="C52" s="343" t="s">
        <v>321</v>
      </c>
      <c r="D52" s="215"/>
      <c r="E52" s="216"/>
      <c r="F52" s="346">
        <f t="shared" ref="F52:I52" si="39">_xlfn.AGGREGATE(9,0, F$34:F$51)</f>
        <v>1603677.5</v>
      </c>
      <c r="G52" s="346">
        <f t="shared" si="39"/>
        <v>1603677.5</v>
      </c>
      <c r="H52" s="346">
        <f t="shared" si="39"/>
        <v>1747692.9166151516</v>
      </c>
      <c r="I52" s="346">
        <f t="shared" si="39"/>
        <v>1758939.401201512</v>
      </c>
      <c r="J52" s="344"/>
      <c r="K52" s="344"/>
      <c r="L52" s="346">
        <f t="shared" ref="L52:AA52" si="40">_xlfn.AGGREGATE(9,0, L$34:L$51)</f>
        <v>568126</v>
      </c>
      <c r="M52" s="346">
        <f t="shared" si="40"/>
        <v>580690.5</v>
      </c>
      <c r="N52" s="346">
        <f t="shared" si="40"/>
        <v>598462.5</v>
      </c>
      <c r="O52" s="346">
        <f t="shared" si="40"/>
        <v>1603677.5</v>
      </c>
      <c r="P52" s="346">
        <f t="shared" si="40"/>
        <v>1603677.5</v>
      </c>
      <c r="Q52" s="346">
        <f t="shared" si="40"/>
        <v>1603677.5</v>
      </c>
      <c r="R52" s="346">
        <f t="shared" si="40"/>
        <v>1603677.5</v>
      </c>
      <c r="S52" s="346">
        <f t="shared" si="40"/>
        <v>1603677.5</v>
      </c>
      <c r="T52" s="346">
        <f t="shared" si="40"/>
        <v>1603677.5</v>
      </c>
      <c r="U52" s="346">
        <f t="shared" si="40"/>
        <v>1604677.5</v>
      </c>
      <c r="V52" s="346">
        <f t="shared" si="40"/>
        <v>1605177.5</v>
      </c>
      <c r="W52" s="346">
        <f t="shared" si="40"/>
        <v>1747692.9166151516</v>
      </c>
      <c r="X52" s="346">
        <f t="shared" si="40"/>
        <v>1751966.8194439965</v>
      </c>
      <c r="Y52" s="346">
        <f t="shared" si="40"/>
        <v>1757013.6441783647</v>
      </c>
      <c r="Z52" s="346">
        <f t="shared" si="40"/>
        <v>1755529.9400324817</v>
      </c>
      <c r="AA52" s="346">
        <f t="shared" si="40"/>
        <v>1758939.401201512</v>
      </c>
      <c r="AB52" s="215"/>
      <c r="AC52" s="344"/>
      <c r="AD52" s="346">
        <f>_xlfn.AGGREGATE(9,0, AD$34:AD$51)</f>
        <v>559346</v>
      </c>
      <c r="AE52" s="346">
        <f t="shared" ref="AE52:BY52" si="41">_xlfn.AGGREGATE(9,0, AE$34:AE$51)</f>
        <v>566869</v>
      </c>
      <c r="AF52" s="346">
        <f t="shared" si="41"/>
        <v>568126</v>
      </c>
      <c r="AG52" s="346">
        <f t="shared" si="41"/>
        <v>574450.5</v>
      </c>
      <c r="AH52" s="346">
        <f t="shared" si="41"/>
        <v>578576.5</v>
      </c>
      <c r="AI52" s="346">
        <f t="shared" si="41"/>
        <v>580690.5</v>
      </c>
      <c r="AJ52" s="346">
        <f t="shared" si="41"/>
        <v>586664.5</v>
      </c>
      <c r="AK52" s="346">
        <f t="shared" si="41"/>
        <v>591166.5</v>
      </c>
      <c r="AL52" s="346">
        <f t="shared" si="41"/>
        <v>598462.5</v>
      </c>
      <c r="AM52" s="346">
        <f t="shared" si="41"/>
        <v>1603677.5</v>
      </c>
      <c r="AN52" s="346">
        <f t="shared" si="41"/>
        <v>1603677.5</v>
      </c>
      <c r="AO52" s="346">
        <f t="shared" si="41"/>
        <v>1603677.5</v>
      </c>
      <c r="AP52" s="346">
        <f t="shared" si="41"/>
        <v>1603677.5</v>
      </c>
      <c r="AQ52" s="346">
        <f t="shared" si="41"/>
        <v>1603677.5</v>
      </c>
      <c r="AR52" s="346">
        <f t="shared" si="41"/>
        <v>1603677.5</v>
      </c>
      <c r="AS52" s="346">
        <f t="shared" si="41"/>
        <v>1603677.5</v>
      </c>
      <c r="AT52" s="346">
        <f t="shared" si="41"/>
        <v>1603677.5</v>
      </c>
      <c r="AU52" s="346">
        <f t="shared" si="41"/>
        <v>1603677.5</v>
      </c>
      <c r="AV52" s="346">
        <f t="shared" si="41"/>
        <v>1603677.5</v>
      </c>
      <c r="AW52" s="346">
        <f t="shared" si="41"/>
        <v>1603677.5</v>
      </c>
      <c r="AX52" s="346">
        <f t="shared" si="41"/>
        <v>1603677.5</v>
      </c>
      <c r="AY52" s="346">
        <f t="shared" si="41"/>
        <v>1603677.5</v>
      </c>
      <c r="AZ52" s="346">
        <f t="shared" si="41"/>
        <v>1603677.5</v>
      </c>
      <c r="BA52" s="346">
        <f t="shared" si="41"/>
        <v>1603677.5</v>
      </c>
      <c r="BB52" s="346">
        <f t="shared" si="41"/>
        <v>1603677.5</v>
      </c>
      <c r="BC52" s="346">
        <f t="shared" si="41"/>
        <v>1603677.5</v>
      </c>
      <c r="BD52" s="346">
        <f t="shared" si="41"/>
        <v>1603677.5</v>
      </c>
      <c r="BE52" s="346">
        <f t="shared" si="41"/>
        <v>1603677.5</v>
      </c>
      <c r="BF52" s="346">
        <f t="shared" si="41"/>
        <v>1603677.5</v>
      </c>
      <c r="BG52" s="346">
        <f t="shared" si="41"/>
        <v>1604677.5</v>
      </c>
      <c r="BH52" s="346">
        <f t="shared" si="41"/>
        <v>1604677.5</v>
      </c>
      <c r="BI52" s="346">
        <f t="shared" si="41"/>
        <v>1605177.5</v>
      </c>
      <c r="BJ52" s="346">
        <f t="shared" si="41"/>
        <v>1605177.5</v>
      </c>
      <c r="BK52" s="346">
        <f t="shared" si="41"/>
        <v>1605177.5</v>
      </c>
      <c r="BL52" s="346">
        <f t="shared" si="41"/>
        <v>1606177.5</v>
      </c>
      <c r="BM52" s="346">
        <f t="shared" si="41"/>
        <v>1747692.9166151516</v>
      </c>
      <c r="BN52" s="346">
        <f t="shared" si="41"/>
        <v>1766812.7739134538</v>
      </c>
      <c r="BO52" s="346">
        <f t="shared" si="41"/>
        <v>1752554.4352554153</v>
      </c>
      <c r="BP52" s="346">
        <f t="shared" si="41"/>
        <v>1751966.8194439965</v>
      </c>
      <c r="BQ52" s="346">
        <f t="shared" si="41"/>
        <v>1758562.2148263217</v>
      </c>
      <c r="BR52" s="346">
        <f t="shared" si="41"/>
        <v>1757473.3884637982</v>
      </c>
      <c r="BS52" s="346">
        <f t="shared" si="41"/>
        <v>1757013.6441783647</v>
      </c>
      <c r="BT52" s="346">
        <f t="shared" si="41"/>
        <v>1757317.58494204</v>
      </c>
      <c r="BU52" s="346">
        <f t="shared" si="41"/>
        <v>1756462.1522009843</v>
      </c>
      <c r="BV52" s="346">
        <f t="shared" si="41"/>
        <v>1755529.9400324817</v>
      </c>
      <c r="BW52" s="346">
        <f t="shared" si="41"/>
        <v>1754536.5893917687</v>
      </c>
      <c r="BX52" s="346">
        <f t="shared" si="41"/>
        <v>1753507.6386941029</v>
      </c>
      <c r="BY52" s="346">
        <f t="shared" si="41"/>
        <v>1758939.401201512</v>
      </c>
      <c r="BZ52" s="201"/>
    </row>
    <row r="53" spans="1:78" s="350" customFormat="1" ht="21" customHeight="1">
      <c r="A53" s="215"/>
      <c r="B53" s="342" t="s">
        <v>322</v>
      </c>
      <c r="C53" s="343" t="s">
        <v>322</v>
      </c>
      <c r="D53" s="215"/>
      <c r="E53" s="216"/>
      <c r="F53" s="346"/>
      <c r="G53" s="346"/>
      <c r="H53" s="346"/>
      <c r="I53" s="346"/>
      <c r="J53" s="344"/>
      <c r="K53" s="344"/>
      <c r="L53" s="346"/>
      <c r="M53" s="346"/>
      <c r="N53" s="346"/>
      <c r="O53" s="346"/>
      <c r="P53" s="346"/>
      <c r="Q53" s="346"/>
      <c r="R53" s="346"/>
      <c r="S53" s="346"/>
      <c r="T53" s="346"/>
      <c r="U53" s="346"/>
      <c r="V53" s="346"/>
      <c r="W53" s="346"/>
      <c r="X53" s="346"/>
      <c r="Y53" s="346"/>
      <c r="Z53" s="346"/>
      <c r="AA53" s="346"/>
      <c r="AB53" s="215"/>
      <c r="AC53" s="344"/>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201"/>
    </row>
    <row r="54" spans="1:78" s="350" customFormat="1" ht="21" customHeight="1">
      <c r="A54" s="215"/>
      <c r="B54" s="622" t="s">
        <v>323</v>
      </c>
      <c r="C54" s="343">
        <v>196</v>
      </c>
      <c r="D54" s="215"/>
      <c r="E54" s="216"/>
      <c r="F54" s="347" cm="1">
        <f t="array" ref="F54">SUM(_xlfn._xlws.FILTER(_xlfn._xlws.FILTER(dataGLBS,endDates=F$5),dataGLBSAcctIDs=$C54))</f>
        <v>500000</v>
      </c>
      <c r="G54" s="347" cm="1">
        <f t="array" ref="G54">SUM(_xlfn._xlws.FILTER(_xlfn._xlws.FILTER(dataGLBS,endDates=G$5),dataGLBSAcctIDs=$C54))</f>
        <v>500000</v>
      </c>
      <c r="H54" s="347" cm="1">
        <f t="array" ref="H54">SUM(_xlfn._xlws.FILTER(_xlfn._xlws.FILTER(dataGLBS,endDates=H$5),dataGLBSAcctIDs=$C54))</f>
        <v>500000</v>
      </c>
      <c r="I54" s="347" cm="1">
        <f t="array" ref="I54">SUM(_xlfn._xlws.FILTER(_xlfn._xlws.FILTER(dataGLBS,endDates=I$5),dataGLBSAcctIDs=$C54))</f>
        <v>500000</v>
      </c>
      <c r="J54" s="344"/>
      <c r="K54" s="344"/>
      <c r="L54" s="347" cm="1">
        <f t="array" ref="L54">SUM(_xlfn._xlws.FILTER(_xlfn._xlws.FILTER(dataGLBS,endDates=L$5),dataGLBSAcctIDs=$C54))</f>
        <v>500000</v>
      </c>
      <c r="M54" s="347" cm="1">
        <f t="array" ref="M54">SUM(_xlfn._xlws.FILTER(_xlfn._xlws.FILTER(dataGLBS,endDates=M$5),dataGLBSAcctIDs=$C54))</f>
        <v>500000</v>
      </c>
      <c r="N54" s="347" cm="1">
        <f t="array" ref="N54">SUM(_xlfn._xlws.FILTER(_xlfn._xlws.FILTER(dataGLBS,endDates=N$5),dataGLBSAcctIDs=$C54))</f>
        <v>500000</v>
      </c>
      <c r="O54" s="347" cm="1">
        <f t="array" ref="O54">SUM(_xlfn._xlws.FILTER(_xlfn._xlws.FILTER(dataGLBS,endDates=O$5),dataGLBSAcctIDs=$C54))</f>
        <v>500000</v>
      </c>
      <c r="P54" s="347" cm="1">
        <f t="array" ref="P54">SUM(_xlfn._xlws.FILTER(_xlfn._xlws.FILTER(dataGLBS,endDates=P$5),dataGLBSAcctIDs=$C54))</f>
        <v>500000</v>
      </c>
      <c r="Q54" s="347" cm="1">
        <f t="array" ref="Q54">SUM(_xlfn._xlws.FILTER(_xlfn._xlws.FILTER(dataGLBS,endDates=Q$5),dataGLBSAcctIDs=$C54))</f>
        <v>500000</v>
      </c>
      <c r="R54" s="347" cm="1">
        <f t="array" ref="R54">SUM(_xlfn._xlws.FILTER(_xlfn._xlws.FILTER(dataGLBS,endDates=R$5),dataGLBSAcctIDs=$C54))</f>
        <v>500000</v>
      </c>
      <c r="S54" s="347" cm="1">
        <f t="array" ref="S54">SUM(_xlfn._xlws.FILTER(_xlfn._xlws.FILTER(dataGLBS,endDates=S$5),dataGLBSAcctIDs=$C54))</f>
        <v>500000</v>
      </c>
      <c r="T54" s="347" cm="1">
        <f t="array" ref="T54">SUM(_xlfn._xlws.FILTER(_xlfn._xlws.FILTER(dataGLBS,endDates=T$5),dataGLBSAcctIDs=$C54))</f>
        <v>500000</v>
      </c>
      <c r="U54" s="347" cm="1">
        <f t="array" ref="U54">SUM(_xlfn._xlws.FILTER(_xlfn._xlws.FILTER(dataGLBS,endDates=U$5),dataGLBSAcctIDs=$C54))</f>
        <v>500000</v>
      </c>
      <c r="V54" s="347" cm="1">
        <f t="array" ref="V54">SUM(_xlfn._xlws.FILTER(_xlfn._xlws.FILTER(dataGLBS,endDates=V$5),dataGLBSAcctIDs=$C54))</f>
        <v>500000</v>
      </c>
      <c r="W54" s="347" cm="1">
        <f t="array" ref="W54">SUM(_xlfn._xlws.FILTER(_xlfn._xlws.FILTER(dataGLBS,endDates=W$5),dataGLBSAcctIDs=$C54))</f>
        <v>500000</v>
      </c>
      <c r="X54" s="347" cm="1">
        <f t="array" ref="X54">SUM(_xlfn._xlws.FILTER(_xlfn._xlws.FILTER(dataGLBS,endDates=X$5),dataGLBSAcctIDs=$C54))</f>
        <v>500000</v>
      </c>
      <c r="Y54" s="347" cm="1">
        <f t="array" ref="Y54">SUM(_xlfn._xlws.FILTER(_xlfn._xlws.FILTER(dataGLBS,endDates=Y$5),dataGLBSAcctIDs=$C54))</f>
        <v>500000</v>
      </c>
      <c r="Z54" s="347" cm="1">
        <f t="array" ref="Z54">SUM(_xlfn._xlws.FILTER(_xlfn._xlws.FILTER(dataGLBS,endDates=Z$5),dataGLBSAcctIDs=$C54))</f>
        <v>500000</v>
      </c>
      <c r="AA54" s="347" cm="1">
        <f t="array" ref="AA54">SUM(_xlfn._xlws.FILTER(_xlfn._xlws.FILTER(dataGLBS,endDates=AA$5),dataGLBSAcctIDs=$C54))</f>
        <v>500000</v>
      </c>
      <c r="AB54" s="215"/>
      <c r="AC54" s="344"/>
      <c r="AD54" s="347" cm="1">
        <f t="array" ref="AD54">SUM(_xlfn._xlws.FILTER(_xlfn._xlws.FILTER(dataGLBS,endDates=AD$5),dataGLBSAcctIDs=$C54))</f>
        <v>500000</v>
      </c>
      <c r="AE54" s="347" cm="1">
        <f t="array" ref="AE54">SUM(_xlfn._xlws.FILTER(_xlfn._xlws.FILTER(dataGLBS,endDates=AE$5),dataGLBSAcctIDs=$C54))</f>
        <v>500000</v>
      </c>
      <c r="AF54" s="347" cm="1">
        <f t="array" ref="AF54">SUM(_xlfn._xlws.FILTER(_xlfn._xlws.FILTER(dataGLBS,endDates=AF$5),dataGLBSAcctIDs=$C54))</f>
        <v>500000</v>
      </c>
      <c r="AG54" s="347" cm="1">
        <f t="array" ref="AG54">SUM(_xlfn._xlws.FILTER(_xlfn._xlws.FILTER(dataGLBS,endDates=AG$5),dataGLBSAcctIDs=$C54))</f>
        <v>500000</v>
      </c>
      <c r="AH54" s="347" cm="1">
        <f t="array" ref="AH54">SUM(_xlfn._xlws.FILTER(_xlfn._xlws.FILTER(dataGLBS,endDates=AH$5),dataGLBSAcctIDs=$C54))</f>
        <v>500000</v>
      </c>
      <c r="AI54" s="347" cm="1">
        <f t="array" ref="AI54">SUM(_xlfn._xlws.FILTER(_xlfn._xlws.FILTER(dataGLBS,endDates=AI$5),dataGLBSAcctIDs=$C54))</f>
        <v>500000</v>
      </c>
      <c r="AJ54" s="347" cm="1">
        <f t="array" ref="AJ54">SUM(_xlfn._xlws.FILTER(_xlfn._xlws.FILTER(dataGLBS,endDates=AJ$5),dataGLBSAcctIDs=$C54))</f>
        <v>500000</v>
      </c>
      <c r="AK54" s="347" cm="1">
        <f t="array" ref="AK54">SUM(_xlfn._xlws.FILTER(_xlfn._xlws.FILTER(dataGLBS,endDates=AK$5),dataGLBSAcctIDs=$C54))</f>
        <v>500000</v>
      </c>
      <c r="AL54" s="347" cm="1">
        <f t="array" ref="AL54">SUM(_xlfn._xlws.FILTER(_xlfn._xlws.FILTER(dataGLBS,endDates=AL$5),dataGLBSAcctIDs=$C54))</f>
        <v>500000</v>
      </c>
      <c r="AM54" s="347" cm="1">
        <f t="array" ref="AM54">SUM(_xlfn._xlws.FILTER(_xlfn._xlws.FILTER(dataGLBS,endDates=AM$5),dataGLBSAcctIDs=$C54))</f>
        <v>500000</v>
      </c>
      <c r="AN54" s="347" cm="1">
        <f t="array" ref="AN54">SUM(_xlfn._xlws.FILTER(_xlfn._xlws.FILTER(dataGLBS,endDates=AN$5),dataGLBSAcctIDs=$C54))</f>
        <v>500000</v>
      </c>
      <c r="AO54" s="347" cm="1">
        <f t="array" ref="AO54">SUM(_xlfn._xlws.FILTER(_xlfn._xlws.FILTER(dataGLBS,endDates=AO$5),dataGLBSAcctIDs=$C54))</f>
        <v>500000</v>
      </c>
      <c r="AP54" s="347" cm="1">
        <f t="array" ref="AP54">SUM(_xlfn._xlws.FILTER(_xlfn._xlws.FILTER(dataGLBS,endDates=AP$5),dataGLBSAcctIDs=$C54))</f>
        <v>500000</v>
      </c>
      <c r="AQ54" s="347" cm="1">
        <f t="array" ref="AQ54">SUM(_xlfn._xlws.FILTER(_xlfn._xlws.FILTER(dataGLBS,endDates=AQ$5),dataGLBSAcctIDs=$C54))</f>
        <v>500000</v>
      </c>
      <c r="AR54" s="347" cm="1">
        <f t="array" ref="AR54">SUM(_xlfn._xlws.FILTER(_xlfn._xlws.FILTER(dataGLBS,endDates=AR$5),dataGLBSAcctIDs=$C54))</f>
        <v>500000</v>
      </c>
      <c r="AS54" s="347" cm="1">
        <f t="array" ref="AS54">SUM(_xlfn._xlws.FILTER(_xlfn._xlws.FILTER(dataGLBS,endDates=AS$5),dataGLBSAcctIDs=$C54))</f>
        <v>500000</v>
      </c>
      <c r="AT54" s="347" cm="1">
        <f t="array" ref="AT54">SUM(_xlfn._xlws.FILTER(_xlfn._xlws.FILTER(dataGLBS,endDates=AT$5),dataGLBSAcctIDs=$C54))</f>
        <v>500000</v>
      </c>
      <c r="AU54" s="347" cm="1">
        <f t="array" ref="AU54">SUM(_xlfn._xlws.FILTER(_xlfn._xlws.FILTER(dataGLBS,endDates=AU$5),dataGLBSAcctIDs=$C54))</f>
        <v>500000</v>
      </c>
      <c r="AV54" s="347" cm="1">
        <f t="array" ref="AV54">SUM(_xlfn._xlws.FILTER(_xlfn._xlws.FILTER(dataGLBS,endDates=AV$5),dataGLBSAcctIDs=$C54))</f>
        <v>500000</v>
      </c>
      <c r="AW54" s="347" cm="1">
        <f t="array" ref="AW54">SUM(_xlfn._xlws.FILTER(_xlfn._xlws.FILTER(dataGLBS,endDates=AW$5),dataGLBSAcctIDs=$C54))</f>
        <v>500000</v>
      </c>
      <c r="AX54" s="347" cm="1">
        <f t="array" ref="AX54">SUM(_xlfn._xlws.FILTER(_xlfn._xlws.FILTER(dataGLBS,endDates=AX$5),dataGLBSAcctIDs=$C54))</f>
        <v>500000</v>
      </c>
      <c r="AY54" s="347" cm="1">
        <f t="array" ref="AY54">SUM(_xlfn._xlws.FILTER(_xlfn._xlws.FILTER(dataGLBS,endDates=AY$5),dataGLBSAcctIDs=$C54))</f>
        <v>500000</v>
      </c>
      <c r="AZ54" s="347" cm="1">
        <f t="array" ref="AZ54">SUM(_xlfn._xlws.FILTER(_xlfn._xlws.FILTER(dataGLBS,endDates=AZ$5),dataGLBSAcctIDs=$C54))</f>
        <v>500000</v>
      </c>
      <c r="BA54" s="347" cm="1">
        <f t="array" ref="BA54">SUM(_xlfn._xlws.FILTER(_xlfn._xlws.FILTER(dataGLBS,endDates=BA$5),dataGLBSAcctIDs=$C54))</f>
        <v>500000</v>
      </c>
      <c r="BB54" s="347" cm="1">
        <f t="array" ref="BB54">SUM(_xlfn._xlws.FILTER(_xlfn._xlws.FILTER(dataGLBS,endDates=BB$5),dataGLBSAcctIDs=$C54))</f>
        <v>500000</v>
      </c>
      <c r="BC54" s="347" cm="1">
        <f t="array" ref="BC54">SUM(_xlfn._xlws.FILTER(_xlfn._xlws.FILTER(dataGLBS,endDates=BC$5),dataGLBSAcctIDs=$C54))</f>
        <v>500000</v>
      </c>
      <c r="BD54" s="347" cm="1">
        <f t="array" ref="BD54">SUM(_xlfn._xlws.FILTER(_xlfn._xlws.FILTER(dataGLBS,endDates=BD$5),dataGLBSAcctIDs=$C54))</f>
        <v>500000</v>
      </c>
      <c r="BE54" s="347" cm="1">
        <f t="array" ref="BE54">SUM(_xlfn._xlws.FILTER(_xlfn._xlws.FILTER(dataGLBS,endDates=BE$5),dataGLBSAcctIDs=$C54))</f>
        <v>500000</v>
      </c>
      <c r="BF54" s="347" cm="1">
        <f t="array" ref="BF54">SUM(_xlfn._xlws.FILTER(_xlfn._xlws.FILTER(dataGLBS,endDates=BF$5),dataGLBSAcctIDs=$C54))</f>
        <v>500000</v>
      </c>
      <c r="BG54" s="347" cm="1">
        <f t="array" ref="BG54">SUM(_xlfn._xlws.FILTER(_xlfn._xlws.FILTER(dataGLBS,endDates=BG$5),dataGLBSAcctIDs=$C54))</f>
        <v>500000</v>
      </c>
      <c r="BH54" s="347" cm="1">
        <f t="array" ref="BH54">SUM(_xlfn._xlws.FILTER(_xlfn._xlws.FILTER(dataGLBS,endDates=BH$5),dataGLBSAcctIDs=$C54))</f>
        <v>500000</v>
      </c>
      <c r="BI54" s="347" cm="1">
        <f t="array" ref="BI54">SUM(_xlfn._xlws.FILTER(_xlfn._xlws.FILTER(dataGLBS,endDates=BI$5),dataGLBSAcctIDs=$C54))</f>
        <v>500000</v>
      </c>
      <c r="BJ54" s="347" cm="1">
        <f t="array" ref="BJ54">SUM(_xlfn._xlws.FILTER(_xlfn._xlws.FILTER(dataGLBS,endDates=BJ$5),dataGLBSAcctIDs=$C54))</f>
        <v>500000</v>
      </c>
      <c r="BK54" s="347" cm="1">
        <f t="array" ref="BK54">SUM(_xlfn._xlws.FILTER(_xlfn._xlws.FILTER(dataGLBS,endDates=BK$5),dataGLBSAcctIDs=$C54))</f>
        <v>500000</v>
      </c>
      <c r="BL54" s="347" cm="1">
        <f t="array" ref="BL54">SUM(_xlfn._xlws.FILTER(_xlfn._xlws.FILTER(dataGLBS,endDates=BL$5),dataGLBSAcctIDs=$C54))</f>
        <v>500000</v>
      </c>
      <c r="BM54" s="347" cm="1">
        <f t="array" ref="BM54">SUM(_xlfn._xlws.FILTER(_xlfn._xlws.FILTER(dataGLBS,endDates=BM$5),dataGLBSAcctIDs=$C54))</f>
        <v>500000</v>
      </c>
      <c r="BN54" s="347" cm="1">
        <f t="array" ref="BN54">SUM(_xlfn._xlws.FILTER(_xlfn._xlws.FILTER(dataGLBS,endDates=BN$5),dataGLBSAcctIDs=$C54))</f>
        <v>500000</v>
      </c>
      <c r="BO54" s="347" cm="1">
        <f t="array" ref="BO54">SUM(_xlfn._xlws.FILTER(_xlfn._xlws.FILTER(dataGLBS,endDates=BO$5),dataGLBSAcctIDs=$C54))</f>
        <v>500000</v>
      </c>
      <c r="BP54" s="347" cm="1">
        <f t="array" ref="BP54">SUM(_xlfn._xlws.FILTER(_xlfn._xlws.FILTER(dataGLBS,endDates=BP$5),dataGLBSAcctIDs=$C54))</f>
        <v>500000</v>
      </c>
      <c r="BQ54" s="347" cm="1">
        <f t="array" ref="BQ54">SUM(_xlfn._xlws.FILTER(_xlfn._xlws.FILTER(dataGLBS,endDates=BQ$5),dataGLBSAcctIDs=$C54))</f>
        <v>500000</v>
      </c>
      <c r="BR54" s="347" cm="1">
        <f t="array" ref="BR54">SUM(_xlfn._xlws.FILTER(_xlfn._xlws.FILTER(dataGLBS,endDates=BR$5),dataGLBSAcctIDs=$C54))</f>
        <v>500000</v>
      </c>
      <c r="BS54" s="347" cm="1">
        <f t="array" ref="BS54">SUM(_xlfn._xlws.FILTER(_xlfn._xlws.FILTER(dataGLBS,endDates=BS$5),dataGLBSAcctIDs=$C54))</f>
        <v>500000</v>
      </c>
      <c r="BT54" s="347" cm="1">
        <f t="array" ref="BT54">SUM(_xlfn._xlws.FILTER(_xlfn._xlws.FILTER(dataGLBS,endDates=BT$5),dataGLBSAcctIDs=$C54))</f>
        <v>500000</v>
      </c>
      <c r="BU54" s="347" cm="1">
        <f t="array" ref="BU54">SUM(_xlfn._xlws.FILTER(_xlfn._xlws.FILTER(dataGLBS,endDates=BU$5),dataGLBSAcctIDs=$C54))</f>
        <v>500000</v>
      </c>
      <c r="BV54" s="347" cm="1">
        <f t="array" ref="BV54">SUM(_xlfn._xlws.FILTER(_xlfn._xlws.FILTER(dataGLBS,endDates=BV$5),dataGLBSAcctIDs=$C54))</f>
        <v>500000</v>
      </c>
      <c r="BW54" s="347" cm="1">
        <f t="array" ref="BW54">SUM(_xlfn._xlws.FILTER(_xlfn._xlws.FILTER(dataGLBS,endDates=BW$5),dataGLBSAcctIDs=$C54))</f>
        <v>500000</v>
      </c>
      <c r="BX54" s="347" cm="1">
        <f t="array" ref="BX54">SUM(_xlfn._xlws.FILTER(_xlfn._xlws.FILTER(dataGLBS,endDates=BX$5),dataGLBSAcctIDs=$C54))</f>
        <v>500000</v>
      </c>
      <c r="BY54" s="347" cm="1">
        <f t="array" ref="BY54">SUM(_xlfn._xlws.FILTER(_xlfn._xlws.FILTER(dataGLBS,endDates=BY$5),dataGLBSAcctIDs=$C54))</f>
        <v>500000</v>
      </c>
      <c r="BZ54" s="201"/>
    </row>
    <row r="55" spans="1:78" s="350" customFormat="1" ht="21" customHeight="1">
      <c r="A55" s="215"/>
      <c r="B55" s="622" t="s">
        <v>324</v>
      </c>
      <c r="C55" s="343">
        <v>197</v>
      </c>
      <c r="D55" s="215"/>
      <c r="E55" s="216"/>
      <c r="F55" s="347" cm="1">
        <f t="array" ref="F55">SUM(_xlfn._xlws.FILTER(_xlfn._xlws.FILTER(dataGLBS,endDates=F$5),dataGLBSAcctIDs=$C55))</f>
        <v>0</v>
      </c>
      <c r="G55" s="347" cm="1">
        <f t="array" ref="G55">SUM(_xlfn._xlws.FILTER(_xlfn._xlws.FILTER(dataGLBS,endDates=G$5),dataGLBSAcctIDs=$C55))</f>
        <v>0</v>
      </c>
      <c r="H55" s="347" cm="1">
        <f t="array" ref="H55">SUM(_xlfn._xlws.FILTER(_xlfn._xlws.FILTER(dataGLBS,endDates=H$5),dataGLBSAcctIDs=$C55))</f>
        <v>0</v>
      </c>
      <c r="I55" s="347" cm="1">
        <f t="array" ref="I55">SUM(_xlfn._xlws.FILTER(_xlfn._xlws.FILTER(dataGLBS,endDates=I$5),dataGLBSAcctIDs=$C55))</f>
        <v>0</v>
      </c>
      <c r="J55" s="344"/>
      <c r="K55" s="344"/>
      <c r="L55" s="347" cm="1">
        <f t="array" ref="L55">SUM(_xlfn._xlws.FILTER(_xlfn._xlws.FILTER(dataGLBS,endDates=L$5),dataGLBSAcctIDs=$C55))</f>
        <v>0</v>
      </c>
      <c r="M55" s="347" cm="1">
        <f t="array" ref="M55">SUM(_xlfn._xlws.FILTER(_xlfn._xlws.FILTER(dataGLBS,endDates=M$5),dataGLBSAcctIDs=$C55))</f>
        <v>0</v>
      </c>
      <c r="N55" s="347" cm="1">
        <f t="array" ref="N55">SUM(_xlfn._xlws.FILTER(_xlfn._xlws.FILTER(dataGLBS,endDates=N$5),dataGLBSAcctIDs=$C55))</f>
        <v>0</v>
      </c>
      <c r="O55" s="347" cm="1">
        <f t="array" ref="O55">SUM(_xlfn._xlws.FILTER(_xlfn._xlws.FILTER(dataGLBS,endDates=O$5),dataGLBSAcctIDs=$C55))</f>
        <v>0</v>
      </c>
      <c r="P55" s="347" cm="1">
        <f t="array" ref="P55">SUM(_xlfn._xlws.FILTER(_xlfn._xlws.FILTER(dataGLBS,endDates=P$5),dataGLBSAcctIDs=$C55))</f>
        <v>0</v>
      </c>
      <c r="Q55" s="347" cm="1">
        <f t="array" ref="Q55">SUM(_xlfn._xlws.FILTER(_xlfn._xlws.FILTER(dataGLBS,endDates=Q$5),dataGLBSAcctIDs=$C55))</f>
        <v>0</v>
      </c>
      <c r="R55" s="347" cm="1">
        <f t="array" ref="R55">SUM(_xlfn._xlws.FILTER(_xlfn._xlws.FILTER(dataGLBS,endDates=R$5),dataGLBSAcctIDs=$C55))</f>
        <v>0</v>
      </c>
      <c r="S55" s="347" cm="1">
        <f t="array" ref="S55">SUM(_xlfn._xlws.FILTER(_xlfn._xlws.FILTER(dataGLBS,endDates=S$5),dataGLBSAcctIDs=$C55))</f>
        <v>0</v>
      </c>
      <c r="T55" s="347" cm="1">
        <f t="array" ref="T55">SUM(_xlfn._xlws.FILTER(_xlfn._xlws.FILTER(dataGLBS,endDates=T$5),dataGLBSAcctIDs=$C55))</f>
        <v>0</v>
      </c>
      <c r="U55" s="347" cm="1">
        <f t="array" ref="U55">SUM(_xlfn._xlws.FILTER(_xlfn._xlws.FILTER(dataGLBS,endDates=U$5),dataGLBSAcctIDs=$C55))</f>
        <v>0</v>
      </c>
      <c r="V55" s="347" cm="1">
        <f t="array" ref="V55">SUM(_xlfn._xlws.FILTER(_xlfn._xlws.FILTER(dataGLBS,endDates=V$5),dataGLBSAcctIDs=$C55))</f>
        <v>0</v>
      </c>
      <c r="W55" s="347" cm="1">
        <f t="array" ref="W55">SUM(_xlfn._xlws.FILTER(_xlfn._xlws.FILTER(dataGLBS,endDates=W$5),dataGLBSAcctIDs=$C55))</f>
        <v>0</v>
      </c>
      <c r="X55" s="347" cm="1">
        <f t="array" ref="X55">SUM(_xlfn._xlws.FILTER(_xlfn._xlws.FILTER(dataGLBS,endDates=X$5),dataGLBSAcctIDs=$C55))</f>
        <v>0</v>
      </c>
      <c r="Y55" s="347" cm="1">
        <f t="array" ref="Y55">SUM(_xlfn._xlws.FILTER(_xlfn._xlws.FILTER(dataGLBS,endDates=Y$5),dataGLBSAcctIDs=$C55))</f>
        <v>0</v>
      </c>
      <c r="Z55" s="347" cm="1">
        <f t="array" ref="Z55">SUM(_xlfn._xlws.FILTER(_xlfn._xlws.FILTER(dataGLBS,endDates=Z$5),dataGLBSAcctIDs=$C55))</f>
        <v>0</v>
      </c>
      <c r="AA55" s="347" cm="1">
        <f t="array" ref="AA55">SUM(_xlfn._xlws.FILTER(_xlfn._xlws.FILTER(dataGLBS,endDates=AA$5),dataGLBSAcctIDs=$C55))</f>
        <v>0</v>
      </c>
      <c r="AB55" s="215"/>
      <c r="AC55" s="344"/>
      <c r="AD55" s="347" cm="1">
        <f t="array" ref="AD55">SUM(_xlfn._xlws.FILTER(_xlfn._xlws.FILTER(dataGLBS,endDates=AD$5),dataGLBSAcctIDs=$C55))</f>
        <v>0</v>
      </c>
      <c r="AE55" s="347" cm="1">
        <f t="array" ref="AE55">SUM(_xlfn._xlws.FILTER(_xlfn._xlws.FILTER(dataGLBS,endDates=AE$5),dataGLBSAcctIDs=$C55))</f>
        <v>0</v>
      </c>
      <c r="AF55" s="347" cm="1">
        <f t="array" ref="AF55">SUM(_xlfn._xlws.FILTER(_xlfn._xlws.FILTER(dataGLBS,endDates=AF$5),dataGLBSAcctIDs=$C55))</f>
        <v>0</v>
      </c>
      <c r="AG55" s="347" cm="1">
        <f t="array" ref="AG55">SUM(_xlfn._xlws.FILTER(_xlfn._xlws.FILTER(dataGLBS,endDates=AG$5),dataGLBSAcctIDs=$C55))</f>
        <v>0</v>
      </c>
      <c r="AH55" s="347" cm="1">
        <f t="array" ref="AH55">SUM(_xlfn._xlws.FILTER(_xlfn._xlws.FILTER(dataGLBS,endDates=AH$5),dataGLBSAcctIDs=$C55))</f>
        <v>0</v>
      </c>
      <c r="AI55" s="347" cm="1">
        <f t="array" ref="AI55">SUM(_xlfn._xlws.FILTER(_xlfn._xlws.FILTER(dataGLBS,endDates=AI$5),dataGLBSAcctIDs=$C55))</f>
        <v>0</v>
      </c>
      <c r="AJ55" s="347" cm="1">
        <f t="array" ref="AJ55">SUM(_xlfn._xlws.FILTER(_xlfn._xlws.FILTER(dataGLBS,endDates=AJ$5),dataGLBSAcctIDs=$C55))</f>
        <v>0</v>
      </c>
      <c r="AK55" s="347" cm="1">
        <f t="array" ref="AK55">SUM(_xlfn._xlws.FILTER(_xlfn._xlws.FILTER(dataGLBS,endDates=AK$5),dataGLBSAcctIDs=$C55))</f>
        <v>0</v>
      </c>
      <c r="AL55" s="347" cm="1">
        <f t="array" ref="AL55">SUM(_xlfn._xlws.FILTER(_xlfn._xlws.FILTER(dataGLBS,endDates=AL$5),dataGLBSAcctIDs=$C55))</f>
        <v>0</v>
      </c>
      <c r="AM55" s="347" cm="1">
        <f t="array" ref="AM55">SUM(_xlfn._xlws.FILTER(_xlfn._xlws.FILTER(dataGLBS,endDates=AM$5),dataGLBSAcctIDs=$C55))</f>
        <v>0</v>
      </c>
      <c r="AN55" s="347" cm="1">
        <f t="array" ref="AN55">SUM(_xlfn._xlws.FILTER(_xlfn._xlws.FILTER(dataGLBS,endDates=AN$5),dataGLBSAcctIDs=$C55))</f>
        <v>0</v>
      </c>
      <c r="AO55" s="347" cm="1">
        <f t="array" ref="AO55">SUM(_xlfn._xlws.FILTER(_xlfn._xlws.FILTER(dataGLBS,endDates=AO$5),dataGLBSAcctIDs=$C55))</f>
        <v>0</v>
      </c>
      <c r="AP55" s="347" cm="1">
        <f t="array" ref="AP55">SUM(_xlfn._xlws.FILTER(_xlfn._xlws.FILTER(dataGLBS,endDates=AP$5),dataGLBSAcctIDs=$C55))</f>
        <v>0</v>
      </c>
      <c r="AQ55" s="347" cm="1">
        <f t="array" ref="AQ55">SUM(_xlfn._xlws.FILTER(_xlfn._xlws.FILTER(dataGLBS,endDates=AQ$5),dataGLBSAcctIDs=$C55))</f>
        <v>0</v>
      </c>
      <c r="AR55" s="347" cm="1">
        <f t="array" ref="AR55">SUM(_xlfn._xlws.FILTER(_xlfn._xlws.FILTER(dataGLBS,endDates=AR$5),dataGLBSAcctIDs=$C55))</f>
        <v>0</v>
      </c>
      <c r="AS55" s="347" cm="1">
        <f t="array" ref="AS55">SUM(_xlfn._xlws.FILTER(_xlfn._xlws.FILTER(dataGLBS,endDates=AS$5),dataGLBSAcctIDs=$C55))</f>
        <v>0</v>
      </c>
      <c r="AT55" s="347" cm="1">
        <f t="array" ref="AT55">SUM(_xlfn._xlws.FILTER(_xlfn._xlws.FILTER(dataGLBS,endDates=AT$5),dataGLBSAcctIDs=$C55))</f>
        <v>0</v>
      </c>
      <c r="AU55" s="347" cm="1">
        <f t="array" ref="AU55">SUM(_xlfn._xlws.FILTER(_xlfn._xlws.FILTER(dataGLBS,endDates=AU$5),dataGLBSAcctIDs=$C55))</f>
        <v>0</v>
      </c>
      <c r="AV55" s="347" cm="1">
        <f t="array" ref="AV55">SUM(_xlfn._xlws.FILTER(_xlfn._xlws.FILTER(dataGLBS,endDates=AV$5),dataGLBSAcctIDs=$C55))</f>
        <v>0</v>
      </c>
      <c r="AW55" s="347" cm="1">
        <f t="array" ref="AW55">SUM(_xlfn._xlws.FILTER(_xlfn._xlws.FILTER(dataGLBS,endDates=AW$5),dataGLBSAcctIDs=$C55))</f>
        <v>0</v>
      </c>
      <c r="AX55" s="347" cm="1">
        <f t="array" ref="AX55">SUM(_xlfn._xlws.FILTER(_xlfn._xlws.FILTER(dataGLBS,endDates=AX$5),dataGLBSAcctIDs=$C55))</f>
        <v>0</v>
      </c>
      <c r="AY55" s="347" cm="1">
        <f t="array" ref="AY55">SUM(_xlfn._xlws.FILTER(_xlfn._xlws.FILTER(dataGLBS,endDates=AY$5),dataGLBSAcctIDs=$C55))</f>
        <v>0</v>
      </c>
      <c r="AZ55" s="347" cm="1">
        <f t="array" ref="AZ55">SUM(_xlfn._xlws.FILTER(_xlfn._xlws.FILTER(dataGLBS,endDates=AZ$5),dataGLBSAcctIDs=$C55))</f>
        <v>0</v>
      </c>
      <c r="BA55" s="347" cm="1">
        <f t="array" ref="BA55">SUM(_xlfn._xlws.FILTER(_xlfn._xlws.FILTER(dataGLBS,endDates=BA$5),dataGLBSAcctIDs=$C55))</f>
        <v>0</v>
      </c>
      <c r="BB55" s="347" cm="1">
        <f t="array" ref="BB55">SUM(_xlfn._xlws.FILTER(_xlfn._xlws.FILTER(dataGLBS,endDates=BB$5),dataGLBSAcctIDs=$C55))</f>
        <v>0</v>
      </c>
      <c r="BC55" s="347" cm="1">
        <f t="array" ref="BC55">SUM(_xlfn._xlws.FILTER(_xlfn._xlws.FILTER(dataGLBS,endDates=BC$5),dataGLBSAcctIDs=$C55))</f>
        <v>0</v>
      </c>
      <c r="BD55" s="347" cm="1">
        <f t="array" ref="BD55">SUM(_xlfn._xlws.FILTER(_xlfn._xlws.FILTER(dataGLBS,endDates=BD$5),dataGLBSAcctIDs=$C55))</f>
        <v>0</v>
      </c>
      <c r="BE55" s="347" cm="1">
        <f t="array" ref="BE55">SUM(_xlfn._xlws.FILTER(_xlfn._xlws.FILTER(dataGLBS,endDates=BE$5),dataGLBSAcctIDs=$C55))</f>
        <v>0</v>
      </c>
      <c r="BF55" s="347" cm="1">
        <f t="array" ref="BF55">SUM(_xlfn._xlws.FILTER(_xlfn._xlws.FILTER(dataGLBS,endDates=BF$5),dataGLBSAcctIDs=$C55))</f>
        <v>0</v>
      </c>
      <c r="BG55" s="347" cm="1">
        <f t="array" ref="BG55">SUM(_xlfn._xlws.FILTER(_xlfn._xlws.FILTER(dataGLBS,endDates=BG$5),dataGLBSAcctIDs=$C55))</f>
        <v>0</v>
      </c>
      <c r="BH55" s="347" cm="1">
        <f t="array" ref="BH55">SUM(_xlfn._xlws.FILTER(_xlfn._xlws.FILTER(dataGLBS,endDates=BH$5),dataGLBSAcctIDs=$C55))</f>
        <v>0</v>
      </c>
      <c r="BI55" s="347" cm="1">
        <f t="array" ref="BI55">SUM(_xlfn._xlws.FILTER(_xlfn._xlws.FILTER(dataGLBS,endDates=BI$5),dataGLBSAcctIDs=$C55))</f>
        <v>0</v>
      </c>
      <c r="BJ55" s="347" cm="1">
        <f t="array" ref="BJ55">SUM(_xlfn._xlws.FILTER(_xlfn._xlws.FILTER(dataGLBS,endDates=BJ$5),dataGLBSAcctIDs=$C55))</f>
        <v>0</v>
      </c>
      <c r="BK55" s="347" cm="1">
        <f t="array" ref="BK55">SUM(_xlfn._xlws.FILTER(_xlfn._xlws.FILTER(dataGLBS,endDates=BK$5),dataGLBSAcctIDs=$C55))</f>
        <v>0</v>
      </c>
      <c r="BL55" s="347" cm="1">
        <f t="array" ref="BL55">SUM(_xlfn._xlws.FILTER(_xlfn._xlws.FILTER(dataGLBS,endDates=BL$5),dataGLBSAcctIDs=$C55))</f>
        <v>0</v>
      </c>
      <c r="BM55" s="347" cm="1">
        <f t="array" ref="BM55">SUM(_xlfn._xlws.FILTER(_xlfn._xlws.FILTER(dataGLBS,endDates=BM$5),dataGLBSAcctIDs=$C55))</f>
        <v>0</v>
      </c>
      <c r="BN55" s="347" cm="1">
        <f t="array" ref="BN55">SUM(_xlfn._xlws.FILTER(_xlfn._xlws.FILTER(dataGLBS,endDates=BN$5),dataGLBSAcctIDs=$C55))</f>
        <v>0</v>
      </c>
      <c r="BO55" s="347" cm="1">
        <f t="array" ref="BO55">SUM(_xlfn._xlws.FILTER(_xlfn._xlws.FILTER(dataGLBS,endDates=BO$5),dataGLBSAcctIDs=$C55))</f>
        <v>0</v>
      </c>
      <c r="BP55" s="347" cm="1">
        <f t="array" ref="BP55">SUM(_xlfn._xlws.FILTER(_xlfn._xlws.FILTER(dataGLBS,endDates=BP$5),dataGLBSAcctIDs=$C55))</f>
        <v>0</v>
      </c>
      <c r="BQ55" s="347" cm="1">
        <f t="array" ref="BQ55">SUM(_xlfn._xlws.FILTER(_xlfn._xlws.FILTER(dataGLBS,endDates=BQ$5),dataGLBSAcctIDs=$C55))</f>
        <v>0</v>
      </c>
      <c r="BR55" s="347" cm="1">
        <f t="array" ref="BR55">SUM(_xlfn._xlws.FILTER(_xlfn._xlws.FILTER(dataGLBS,endDates=BR$5),dataGLBSAcctIDs=$C55))</f>
        <v>0</v>
      </c>
      <c r="BS55" s="347" cm="1">
        <f t="array" ref="BS55">SUM(_xlfn._xlws.FILTER(_xlfn._xlws.FILTER(dataGLBS,endDates=BS$5),dataGLBSAcctIDs=$C55))</f>
        <v>0</v>
      </c>
      <c r="BT55" s="347" cm="1">
        <f t="array" ref="BT55">SUM(_xlfn._xlws.FILTER(_xlfn._xlws.FILTER(dataGLBS,endDates=BT$5),dataGLBSAcctIDs=$C55))</f>
        <v>0</v>
      </c>
      <c r="BU55" s="347" cm="1">
        <f t="array" ref="BU55">SUM(_xlfn._xlws.FILTER(_xlfn._xlws.FILTER(dataGLBS,endDates=BU$5),dataGLBSAcctIDs=$C55))</f>
        <v>0</v>
      </c>
      <c r="BV55" s="347" cm="1">
        <f t="array" ref="BV55">SUM(_xlfn._xlws.FILTER(_xlfn._xlws.FILTER(dataGLBS,endDates=BV$5),dataGLBSAcctIDs=$C55))</f>
        <v>0</v>
      </c>
      <c r="BW55" s="347" cm="1">
        <f t="array" ref="BW55">SUM(_xlfn._xlws.FILTER(_xlfn._xlws.FILTER(dataGLBS,endDates=BW$5),dataGLBSAcctIDs=$C55))</f>
        <v>0</v>
      </c>
      <c r="BX55" s="347" cm="1">
        <f t="array" ref="BX55">SUM(_xlfn._xlws.FILTER(_xlfn._xlws.FILTER(dataGLBS,endDates=BX$5),dataGLBSAcctIDs=$C55))</f>
        <v>0</v>
      </c>
      <c r="BY55" s="347" cm="1">
        <f t="array" ref="BY55">SUM(_xlfn._xlws.FILTER(_xlfn._xlws.FILTER(dataGLBS,endDates=BY$5),dataGLBSAcctIDs=$C55))</f>
        <v>0</v>
      </c>
      <c r="BZ55" s="201"/>
    </row>
    <row r="56" spans="1:78" s="350" customFormat="1" ht="21" customHeight="1">
      <c r="A56" s="215"/>
      <c r="B56" s="622" t="s">
        <v>325</v>
      </c>
      <c r="C56" s="343">
        <v>198</v>
      </c>
      <c r="D56" s="215"/>
      <c r="E56" s="216"/>
      <c r="F56" s="347" cm="1">
        <f t="array" ref="F56">SUM(_xlfn._xlws.FILTER(_xlfn._xlws.FILTER(dataGLBS,endDates=F$5),dataGLBSAcctIDs=$C56))</f>
        <v>3000000</v>
      </c>
      <c r="G56" s="347" cm="1">
        <f t="array" ref="G56">SUM(_xlfn._xlws.FILTER(_xlfn._xlws.FILTER(dataGLBS,endDates=G$5),dataGLBSAcctIDs=$C56))</f>
        <v>3000000</v>
      </c>
      <c r="H56" s="347" cm="1">
        <f t="array" ref="H56">SUM(_xlfn._xlws.FILTER(_xlfn._xlws.FILTER(dataGLBS,endDates=H$5),dataGLBSAcctIDs=$C56))</f>
        <v>4000000</v>
      </c>
      <c r="I56" s="347" cm="1">
        <f t="array" ref="I56">SUM(_xlfn._xlws.FILTER(_xlfn._xlws.FILTER(dataGLBS,endDates=I$5),dataGLBSAcctIDs=$C56))</f>
        <v>4000000</v>
      </c>
      <c r="J56" s="344"/>
      <c r="K56" s="344"/>
      <c r="L56" s="347" cm="1">
        <f t="array" ref="L56">SUM(_xlfn._xlws.FILTER(_xlfn._xlws.FILTER(dataGLBS,endDates=L$5),dataGLBSAcctIDs=$C56))</f>
        <v>0</v>
      </c>
      <c r="M56" s="347" cm="1">
        <f t="array" ref="M56">SUM(_xlfn._xlws.FILTER(_xlfn._xlws.FILTER(dataGLBS,endDates=M$5),dataGLBSAcctIDs=$C56))</f>
        <v>1500000</v>
      </c>
      <c r="N56" s="347" cm="1">
        <f t="array" ref="N56">SUM(_xlfn._xlws.FILTER(_xlfn._xlws.FILTER(dataGLBS,endDates=N$5),dataGLBSAcctIDs=$C56))</f>
        <v>1500000</v>
      </c>
      <c r="O56" s="347" cm="1">
        <f t="array" ref="O56">SUM(_xlfn._xlws.FILTER(_xlfn._xlws.FILTER(dataGLBS,endDates=O$5),dataGLBSAcctIDs=$C56))</f>
        <v>3000000</v>
      </c>
      <c r="P56" s="347" cm="1">
        <f t="array" ref="P56">SUM(_xlfn._xlws.FILTER(_xlfn._xlws.FILTER(dataGLBS,endDates=P$5),dataGLBSAcctIDs=$C56))</f>
        <v>3000000</v>
      </c>
      <c r="Q56" s="347" cm="1">
        <f t="array" ref="Q56">SUM(_xlfn._xlws.FILTER(_xlfn._xlws.FILTER(dataGLBS,endDates=Q$5),dataGLBSAcctIDs=$C56))</f>
        <v>3000000</v>
      </c>
      <c r="R56" s="347" cm="1">
        <f t="array" ref="R56">SUM(_xlfn._xlws.FILTER(_xlfn._xlws.FILTER(dataGLBS,endDates=R$5),dataGLBSAcctIDs=$C56))</f>
        <v>3000000</v>
      </c>
      <c r="S56" s="347" cm="1">
        <f t="array" ref="S56">SUM(_xlfn._xlws.FILTER(_xlfn._xlws.FILTER(dataGLBS,endDates=S$5),dataGLBSAcctIDs=$C56))</f>
        <v>3000000</v>
      </c>
      <c r="T56" s="347" cm="1">
        <f t="array" ref="T56">SUM(_xlfn._xlws.FILTER(_xlfn._xlws.FILTER(dataGLBS,endDates=T$5),dataGLBSAcctIDs=$C56))</f>
        <v>3000000</v>
      </c>
      <c r="U56" s="347" cm="1">
        <f t="array" ref="U56">SUM(_xlfn._xlws.FILTER(_xlfn._xlws.FILTER(dataGLBS,endDates=U$5),dataGLBSAcctIDs=$C56))</f>
        <v>3000000</v>
      </c>
      <c r="V56" s="347" cm="1">
        <f t="array" ref="V56">SUM(_xlfn._xlws.FILTER(_xlfn._xlws.FILTER(dataGLBS,endDates=V$5),dataGLBSAcctIDs=$C56))</f>
        <v>3000000</v>
      </c>
      <c r="W56" s="347" cm="1">
        <f t="array" ref="W56">SUM(_xlfn._xlws.FILTER(_xlfn._xlws.FILTER(dataGLBS,endDates=W$5),dataGLBSAcctIDs=$C56))</f>
        <v>4000000</v>
      </c>
      <c r="X56" s="347" cm="1">
        <f t="array" ref="X56">SUM(_xlfn._xlws.FILTER(_xlfn._xlws.FILTER(dataGLBS,endDates=X$5),dataGLBSAcctIDs=$C56))</f>
        <v>4000000</v>
      </c>
      <c r="Y56" s="347" cm="1">
        <f t="array" ref="Y56">SUM(_xlfn._xlws.FILTER(_xlfn._xlws.FILTER(dataGLBS,endDates=Y$5),dataGLBSAcctIDs=$C56))</f>
        <v>4000000</v>
      </c>
      <c r="Z56" s="347" cm="1">
        <f t="array" ref="Z56">SUM(_xlfn._xlws.FILTER(_xlfn._xlws.FILTER(dataGLBS,endDates=Z$5),dataGLBSAcctIDs=$C56))</f>
        <v>4000000</v>
      </c>
      <c r="AA56" s="347" cm="1">
        <f t="array" ref="AA56">SUM(_xlfn._xlws.FILTER(_xlfn._xlws.FILTER(dataGLBS,endDates=AA$5),dataGLBSAcctIDs=$C56))</f>
        <v>4000000</v>
      </c>
      <c r="AB56" s="215"/>
      <c r="AC56" s="344"/>
      <c r="AD56" s="347" cm="1">
        <f t="array" ref="AD56">SUM(_xlfn._xlws.FILTER(_xlfn._xlws.FILTER(dataGLBS,endDates=AD$5),dataGLBSAcctIDs=$C56))</f>
        <v>0</v>
      </c>
      <c r="AE56" s="347" cm="1">
        <f t="array" ref="AE56">SUM(_xlfn._xlws.FILTER(_xlfn._xlws.FILTER(dataGLBS,endDates=AE$5),dataGLBSAcctIDs=$C56))</f>
        <v>0</v>
      </c>
      <c r="AF56" s="347" cm="1">
        <f t="array" ref="AF56">SUM(_xlfn._xlws.FILTER(_xlfn._xlws.FILTER(dataGLBS,endDates=AF$5),dataGLBSAcctIDs=$C56))</f>
        <v>0</v>
      </c>
      <c r="AG56" s="347" cm="1">
        <f t="array" ref="AG56">SUM(_xlfn._xlws.FILTER(_xlfn._xlws.FILTER(dataGLBS,endDates=AG$5),dataGLBSAcctIDs=$C56))</f>
        <v>0</v>
      </c>
      <c r="AH56" s="347" cm="1">
        <f t="array" ref="AH56">SUM(_xlfn._xlws.FILTER(_xlfn._xlws.FILTER(dataGLBS,endDates=AH$5),dataGLBSAcctIDs=$C56))</f>
        <v>0</v>
      </c>
      <c r="AI56" s="347" cm="1">
        <f t="array" ref="AI56">SUM(_xlfn._xlws.FILTER(_xlfn._xlws.FILTER(dataGLBS,endDates=AI$5),dataGLBSAcctIDs=$C56))</f>
        <v>1500000</v>
      </c>
      <c r="AJ56" s="347" cm="1">
        <f t="array" ref="AJ56">SUM(_xlfn._xlws.FILTER(_xlfn._xlws.FILTER(dataGLBS,endDates=AJ$5),dataGLBSAcctIDs=$C56))</f>
        <v>1500000</v>
      </c>
      <c r="AK56" s="347" cm="1">
        <f t="array" ref="AK56">SUM(_xlfn._xlws.FILTER(_xlfn._xlws.FILTER(dataGLBS,endDates=AK$5),dataGLBSAcctIDs=$C56))</f>
        <v>1500000</v>
      </c>
      <c r="AL56" s="347" cm="1">
        <f t="array" ref="AL56">SUM(_xlfn._xlws.FILTER(_xlfn._xlws.FILTER(dataGLBS,endDates=AL$5),dataGLBSAcctIDs=$C56))</f>
        <v>1500000</v>
      </c>
      <c r="AM56" s="347" cm="1">
        <f t="array" ref="AM56">SUM(_xlfn._xlws.FILTER(_xlfn._xlws.FILTER(dataGLBS,endDates=AM$5),dataGLBSAcctIDs=$C56))</f>
        <v>1500000</v>
      </c>
      <c r="AN56" s="347" cm="1">
        <f t="array" ref="AN56">SUM(_xlfn._xlws.FILTER(_xlfn._xlws.FILTER(dataGLBS,endDates=AN$5),dataGLBSAcctIDs=$C56))</f>
        <v>2000000</v>
      </c>
      <c r="AO56" s="347" cm="1">
        <f t="array" ref="AO56">SUM(_xlfn._xlws.FILTER(_xlfn._xlws.FILTER(dataGLBS,endDates=AO$5),dataGLBSAcctIDs=$C56))</f>
        <v>3000000</v>
      </c>
      <c r="AP56" s="347" cm="1">
        <f t="array" ref="AP56">SUM(_xlfn._xlws.FILTER(_xlfn._xlws.FILTER(dataGLBS,endDates=AP$5),dataGLBSAcctIDs=$C56))</f>
        <v>3000000</v>
      </c>
      <c r="AQ56" s="347" cm="1">
        <f t="array" ref="AQ56">SUM(_xlfn._xlws.FILTER(_xlfn._xlws.FILTER(dataGLBS,endDates=AQ$5),dataGLBSAcctIDs=$C56))</f>
        <v>3000000</v>
      </c>
      <c r="AR56" s="347" cm="1">
        <f t="array" ref="AR56">SUM(_xlfn._xlws.FILTER(_xlfn._xlws.FILTER(dataGLBS,endDates=AR$5),dataGLBSAcctIDs=$C56))</f>
        <v>3000000</v>
      </c>
      <c r="AS56" s="347" cm="1">
        <f t="array" ref="AS56">SUM(_xlfn._xlws.FILTER(_xlfn._xlws.FILTER(dataGLBS,endDates=AS$5),dataGLBSAcctIDs=$C56))</f>
        <v>3000000</v>
      </c>
      <c r="AT56" s="347" cm="1">
        <f t="array" ref="AT56">SUM(_xlfn._xlws.FILTER(_xlfn._xlws.FILTER(dataGLBS,endDates=AT$5),dataGLBSAcctIDs=$C56))</f>
        <v>3000000</v>
      </c>
      <c r="AU56" s="347" cm="1">
        <f t="array" ref="AU56">SUM(_xlfn._xlws.FILTER(_xlfn._xlws.FILTER(dataGLBS,endDates=AU$5),dataGLBSAcctIDs=$C56))</f>
        <v>3000000</v>
      </c>
      <c r="AV56" s="347" cm="1">
        <f t="array" ref="AV56">SUM(_xlfn._xlws.FILTER(_xlfn._xlws.FILTER(dataGLBS,endDates=AV$5),dataGLBSAcctIDs=$C56))</f>
        <v>3000000</v>
      </c>
      <c r="AW56" s="347" cm="1">
        <f t="array" ref="AW56">SUM(_xlfn._xlws.FILTER(_xlfn._xlws.FILTER(dataGLBS,endDates=AW$5),dataGLBSAcctIDs=$C56))</f>
        <v>3000000</v>
      </c>
      <c r="AX56" s="347" cm="1">
        <f t="array" ref="AX56">SUM(_xlfn._xlws.FILTER(_xlfn._xlws.FILTER(dataGLBS,endDates=AX$5),dataGLBSAcctIDs=$C56))</f>
        <v>3000000</v>
      </c>
      <c r="AY56" s="347" cm="1">
        <f t="array" ref="AY56">SUM(_xlfn._xlws.FILTER(_xlfn._xlws.FILTER(dataGLBS,endDates=AY$5),dataGLBSAcctIDs=$C56))</f>
        <v>3000000</v>
      </c>
      <c r="AZ56" s="347" cm="1">
        <f t="array" ref="AZ56">SUM(_xlfn._xlws.FILTER(_xlfn._xlws.FILTER(dataGLBS,endDates=AZ$5),dataGLBSAcctIDs=$C56))</f>
        <v>3000000</v>
      </c>
      <c r="BA56" s="347" cm="1">
        <f t="array" ref="BA56">SUM(_xlfn._xlws.FILTER(_xlfn._xlws.FILTER(dataGLBS,endDates=BA$5),dataGLBSAcctIDs=$C56))</f>
        <v>3000000</v>
      </c>
      <c r="BB56" s="347" cm="1">
        <f t="array" ref="BB56">SUM(_xlfn._xlws.FILTER(_xlfn._xlws.FILTER(dataGLBS,endDates=BB$5),dataGLBSAcctIDs=$C56))</f>
        <v>3000000</v>
      </c>
      <c r="BC56" s="347" cm="1">
        <f t="array" ref="BC56">SUM(_xlfn._xlws.FILTER(_xlfn._xlws.FILTER(dataGLBS,endDates=BC$5),dataGLBSAcctIDs=$C56))</f>
        <v>3000000</v>
      </c>
      <c r="BD56" s="347" cm="1">
        <f t="array" ref="BD56">SUM(_xlfn._xlws.FILTER(_xlfn._xlws.FILTER(dataGLBS,endDates=BD$5),dataGLBSAcctIDs=$C56))</f>
        <v>3000000</v>
      </c>
      <c r="BE56" s="347" cm="1">
        <f t="array" ref="BE56">SUM(_xlfn._xlws.FILTER(_xlfn._xlws.FILTER(dataGLBS,endDates=BE$5),dataGLBSAcctIDs=$C56))</f>
        <v>3000000</v>
      </c>
      <c r="BF56" s="347" cm="1">
        <f t="array" ref="BF56">SUM(_xlfn._xlws.FILTER(_xlfn._xlws.FILTER(dataGLBS,endDates=BF$5),dataGLBSAcctIDs=$C56))</f>
        <v>3000000</v>
      </c>
      <c r="BG56" s="347" cm="1">
        <f t="array" ref="BG56">SUM(_xlfn._xlws.FILTER(_xlfn._xlws.FILTER(dataGLBS,endDates=BG$5),dataGLBSAcctIDs=$C56))</f>
        <v>3000000</v>
      </c>
      <c r="BH56" s="347" cm="1">
        <f t="array" ref="BH56">SUM(_xlfn._xlws.FILTER(_xlfn._xlws.FILTER(dataGLBS,endDates=BH$5),dataGLBSAcctIDs=$C56))</f>
        <v>3000000</v>
      </c>
      <c r="BI56" s="347" cm="1">
        <f t="array" ref="BI56">SUM(_xlfn._xlws.FILTER(_xlfn._xlws.FILTER(dataGLBS,endDates=BI$5),dataGLBSAcctIDs=$C56))</f>
        <v>3000000</v>
      </c>
      <c r="BJ56" s="347" cm="1">
        <f t="array" ref="BJ56">SUM(_xlfn._xlws.FILTER(_xlfn._xlws.FILTER(dataGLBS,endDates=BJ$5),dataGLBSAcctIDs=$C56))</f>
        <v>3000000</v>
      </c>
      <c r="BK56" s="347" cm="1">
        <f t="array" ref="BK56">SUM(_xlfn._xlws.FILTER(_xlfn._xlws.FILTER(dataGLBS,endDates=BK$5),dataGLBSAcctIDs=$C56))</f>
        <v>3000000</v>
      </c>
      <c r="BL56" s="347" cm="1">
        <f t="array" ref="BL56">SUM(_xlfn._xlws.FILTER(_xlfn._xlws.FILTER(dataGLBS,endDates=BL$5),dataGLBSAcctIDs=$C56))</f>
        <v>3000000</v>
      </c>
      <c r="BM56" s="347" cm="1">
        <f t="array" ref="BM56">SUM(_xlfn._xlws.FILTER(_xlfn._xlws.FILTER(dataGLBS,endDates=BM$5),dataGLBSAcctIDs=$C56))</f>
        <v>4000000</v>
      </c>
      <c r="BN56" s="347" cm="1">
        <f t="array" ref="BN56">SUM(_xlfn._xlws.FILTER(_xlfn._xlws.FILTER(dataGLBS,endDates=BN$5),dataGLBSAcctIDs=$C56))</f>
        <v>4000000</v>
      </c>
      <c r="BO56" s="347" cm="1">
        <f t="array" ref="BO56">SUM(_xlfn._xlws.FILTER(_xlfn._xlws.FILTER(dataGLBS,endDates=BO$5),dataGLBSAcctIDs=$C56))</f>
        <v>4000000</v>
      </c>
      <c r="BP56" s="347" cm="1">
        <f t="array" ref="BP56">SUM(_xlfn._xlws.FILTER(_xlfn._xlws.FILTER(dataGLBS,endDates=BP$5),dataGLBSAcctIDs=$C56))</f>
        <v>4000000</v>
      </c>
      <c r="BQ56" s="347" cm="1">
        <f t="array" ref="BQ56">SUM(_xlfn._xlws.FILTER(_xlfn._xlws.FILTER(dataGLBS,endDates=BQ$5),dataGLBSAcctIDs=$C56))</f>
        <v>4000000</v>
      </c>
      <c r="BR56" s="347" cm="1">
        <f t="array" ref="BR56">SUM(_xlfn._xlws.FILTER(_xlfn._xlws.FILTER(dataGLBS,endDates=BR$5),dataGLBSAcctIDs=$C56))</f>
        <v>4000000</v>
      </c>
      <c r="BS56" s="347" cm="1">
        <f t="array" ref="BS56">SUM(_xlfn._xlws.FILTER(_xlfn._xlws.FILTER(dataGLBS,endDates=BS$5),dataGLBSAcctIDs=$C56))</f>
        <v>4000000</v>
      </c>
      <c r="BT56" s="347" cm="1">
        <f t="array" ref="BT56">SUM(_xlfn._xlws.FILTER(_xlfn._xlws.FILTER(dataGLBS,endDates=BT$5),dataGLBSAcctIDs=$C56))</f>
        <v>4000000</v>
      </c>
      <c r="BU56" s="347" cm="1">
        <f t="array" ref="BU56">SUM(_xlfn._xlws.FILTER(_xlfn._xlws.FILTER(dataGLBS,endDates=BU$5),dataGLBSAcctIDs=$C56))</f>
        <v>4000000</v>
      </c>
      <c r="BV56" s="347" cm="1">
        <f t="array" ref="BV56">SUM(_xlfn._xlws.FILTER(_xlfn._xlws.FILTER(dataGLBS,endDates=BV$5),dataGLBSAcctIDs=$C56))</f>
        <v>4000000</v>
      </c>
      <c r="BW56" s="347" cm="1">
        <f t="array" ref="BW56">SUM(_xlfn._xlws.FILTER(_xlfn._xlws.FILTER(dataGLBS,endDates=BW$5),dataGLBSAcctIDs=$C56))</f>
        <v>4000000</v>
      </c>
      <c r="BX56" s="347" cm="1">
        <f t="array" ref="BX56">SUM(_xlfn._xlws.FILTER(_xlfn._xlws.FILTER(dataGLBS,endDates=BX$5),dataGLBSAcctIDs=$C56))</f>
        <v>4000000</v>
      </c>
      <c r="BY56" s="347" cm="1">
        <f t="array" ref="BY56">SUM(_xlfn._xlws.FILTER(_xlfn._xlws.FILTER(dataGLBS,endDates=BY$5),dataGLBSAcctIDs=$C56))</f>
        <v>4000000</v>
      </c>
      <c r="BZ56" s="201"/>
    </row>
    <row r="57" spans="1:78" s="350" customFormat="1" ht="21" customHeight="1">
      <c r="A57" s="215"/>
      <c r="B57" s="622" t="s">
        <v>326</v>
      </c>
      <c r="C57" s="343">
        <v>4</v>
      </c>
      <c r="D57" s="215"/>
      <c r="E57" s="216"/>
      <c r="F57" s="347" cm="1">
        <f t="array" ref="F57">SUM(_xlfn._xlws.FILTER(_xlfn._xlws.FILTER(dataGLBS,endDates=F$5),dataGLBSAcctIDs=$C57))</f>
        <v>0</v>
      </c>
      <c r="G57" s="347" cm="1">
        <f t="array" ref="G57">SUM(_xlfn._xlws.FILTER(_xlfn._xlws.FILTER(dataGLBS,endDates=G$5),dataGLBSAcctIDs=$C57))</f>
        <v>-659921.5</v>
      </c>
      <c r="H57" s="347" cm="1">
        <f t="array" ref="H57">SUM(_xlfn._xlws.FILTER(_xlfn._xlws.FILTER(dataGLBS,endDates=H$5),dataGLBSAcctIDs=$C57))</f>
        <v>-4555252.6500000004</v>
      </c>
      <c r="I57" s="347" cm="1">
        <f t="array" ref="I57">SUM(_xlfn._xlws.FILTER(_xlfn._xlws.FILTER(dataGLBS,endDates=I$5),dataGLBSAcctIDs=$C57))</f>
        <v>-7360773.4051949</v>
      </c>
      <c r="J57" s="344"/>
      <c r="K57" s="344"/>
      <c r="L57" s="347" cm="1">
        <f t="array" ref="L57">SUM(_xlfn._xlws.FILTER(_xlfn._xlws.FILTER(dataGLBS,endDates=L$5),dataGLBSAcctIDs=$C57))</f>
        <v>0</v>
      </c>
      <c r="M57" s="347" cm="1">
        <f t="array" ref="M57">SUM(_xlfn._xlws.FILTER(_xlfn._xlws.FILTER(dataGLBS,endDates=M$5),dataGLBSAcctIDs=$C57))</f>
        <v>0</v>
      </c>
      <c r="N57" s="347" cm="1">
        <f t="array" ref="N57">SUM(_xlfn._xlws.FILTER(_xlfn._xlws.FILTER(dataGLBS,endDates=N$5),dataGLBSAcctIDs=$C57))</f>
        <v>0</v>
      </c>
      <c r="O57" s="347" cm="1">
        <f t="array" ref="O57">SUM(_xlfn._xlws.FILTER(_xlfn._xlws.FILTER(dataGLBS,endDates=O$5),dataGLBSAcctIDs=$C57))</f>
        <v>0</v>
      </c>
      <c r="P57" s="347" cm="1">
        <f t="array" ref="P57">SUM(_xlfn._xlws.FILTER(_xlfn._xlws.FILTER(dataGLBS,endDates=P$5),dataGLBSAcctIDs=$C57))</f>
        <v>-659921.5</v>
      </c>
      <c r="Q57" s="347" cm="1">
        <f t="array" ref="Q57">SUM(_xlfn._xlws.FILTER(_xlfn._xlws.FILTER(dataGLBS,endDates=Q$5),dataGLBSAcctIDs=$C57))</f>
        <v>-659921.5</v>
      </c>
      <c r="R57" s="347" cm="1">
        <f t="array" ref="R57">SUM(_xlfn._xlws.FILTER(_xlfn._xlws.FILTER(dataGLBS,endDates=R$5),dataGLBSAcctIDs=$C57))</f>
        <v>-659921.5</v>
      </c>
      <c r="S57" s="347" cm="1">
        <f t="array" ref="S57">SUM(_xlfn._xlws.FILTER(_xlfn._xlws.FILTER(dataGLBS,endDates=S$5),dataGLBSAcctIDs=$C57))</f>
        <v>-659921.5</v>
      </c>
      <c r="T57" s="347" cm="1">
        <f t="array" ref="T57">SUM(_xlfn._xlws.FILTER(_xlfn._xlws.FILTER(dataGLBS,endDates=T$5),dataGLBSAcctIDs=$C57))</f>
        <v>-2213404</v>
      </c>
      <c r="U57" s="347" cm="1">
        <f t="array" ref="U57">SUM(_xlfn._xlws.FILTER(_xlfn._xlws.FILTER(dataGLBS,endDates=U$5),dataGLBSAcctIDs=$C57))</f>
        <v>-2213404</v>
      </c>
      <c r="V57" s="347" cm="1">
        <f t="array" ref="V57">SUM(_xlfn._xlws.FILTER(_xlfn._xlws.FILTER(dataGLBS,endDates=V$5),dataGLBSAcctIDs=$C57))</f>
        <v>-2213404</v>
      </c>
      <c r="W57" s="347" cm="1">
        <f t="array" ref="W57">SUM(_xlfn._xlws.FILTER(_xlfn._xlws.FILTER(dataGLBS,endDates=W$5),dataGLBSAcctIDs=$C57))</f>
        <v>-4555252.6500000004</v>
      </c>
      <c r="X57" s="347" cm="1">
        <f t="array" ref="X57">SUM(_xlfn._xlws.FILTER(_xlfn._xlws.FILTER(dataGLBS,endDates=X$5),dataGLBSAcctIDs=$C57))</f>
        <v>-5252550.9039910408</v>
      </c>
      <c r="Y57" s="347" cm="1">
        <f t="array" ref="Y57">SUM(_xlfn._xlws.FILTER(_xlfn._xlws.FILTER(dataGLBS,endDates=Y$5),dataGLBSAcctIDs=$C57))</f>
        <v>-5896926.5089926366</v>
      </c>
      <c r="Z57" s="347" cm="1">
        <f t="array" ref="Z57">SUM(_xlfn._xlws.FILTER(_xlfn._xlws.FILTER(dataGLBS,endDates=Z$5),dataGLBSAcctIDs=$C57))</f>
        <v>-6610535.7474694038</v>
      </c>
      <c r="AA57" s="347" cm="1">
        <f t="array" ref="AA57">SUM(_xlfn._xlws.FILTER(_xlfn._xlws.FILTER(dataGLBS,endDates=AA$5),dataGLBSAcctIDs=$C57))</f>
        <v>-7360773.4051949</v>
      </c>
      <c r="AB57" s="215"/>
      <c r="AC57" s="344"/>
      <c r="AD57" s="347" cm="1">
        <f t="array" ref="AD57">SUM(_xlfn._xlws.FILTER(_xlfn._xlws.FILTER(dataGLBS,endDates=AD$5),dataGLBSAcctIDs=$C57))</f>
        <v>0</v>
      </c>
      <c r="AE57" s="347" cm="1">
        <f t="array" ref="AE57">SUM(_xlfn._xlws.FILTER(_xlfn._xlws.FILTER(dataGLBS,endDates=AE$5),dataGLBSAcctIDs=$C57))</f>
        <v>0</v>
      </c>
      <c r="AF57" s="347" cm="1">
        <f t="array" ref="AF57">SUM(_xlfn._xlws.FILTER(_xlfn._xlws.FILTER(dataGLBS,endDates=AF$5),dataGLBSAcctIDs=$C57))</f>
        <v>0</v>
      </c>
      <c r="AG57" s="347" cm="1">
        <f t="array" ref="AG57">SUM(_xlfn._xlws.FILTER(_xlfn._xlws.FILTER(dataGLBS,endDates=AG$5),dataGLBSAcctIDs=$C57))</f>
        <v>0</v>
      </c>
      <c r="AH57" s="347" cm="1">
        <f t="array" ref="AH57">SUM(_xlfn._xlws.FILTER(_xlfn._xlws.FILTER(dataGLBS,endDates=AH$5),dataGLBSAcctIDs=$C57))</f>
        <v>0</v>
      </c>
      <c r="AI57" s="347" cm="1">
        <f t="array" ref="AI57">SUM(_xlfn._xlws.FILTER(_xlfn._xlws.FILTER(dataGLBS,endDates=AI$5),dataGLBSAcctIDs=$C57))</f>
        <v>0</v>
      </c>
      <c r="AJ57" s="347" cm="1">
        <f t="array" ref="AJ57">SUM(_xlfn._xlws.FILTER(_xlfn._xlws.FILTER(dataGLBS,endDates=AJ$5),dataGLBSAcctIDs=$C57))</f>
        <v>0</v>
      </c>
      <c r="AK57" s="347" cm="1">
        <f t="array" ref="AK57">SUM(_xlfn._xlws.FILTER(_xlfn._xlws.FILTER(dataGLBS,endDates=AK$5),dataGLBSAcctIDs=$C57))</f>
        <v>0</v>
      </c>
      <c r="AL57" s="347" cm="1">
        <f t="array" ref="AL57">SUM(_xlfn._xlws.FILTER(_xlfn._xlws.FILTER(dataGLBS,endDates=AL$5),dataGLBSAcctIDs=$C57))</f>
        <v>0</v>
      </c>
      <c r="AM57" s="347" cm="1">
        <f t="array" ref="AM57">SUM(_xlfn._xlws.FILTER(_xlfn._xlws.FILTER(dataGLBS,endDates=AM$5),dataGLBSAcctIDs=$C57))</f>
        <v>0</v>
      </c>
      <c r="AN57" s="347" cm="1">
        <f t="array" ref="AN57">SUM(_xlfn._xlws.FILTER(_xlfn._xlws.FILTER(dataGLBS,endDates=AN$5),dataGLBSAcctIDs=$C57))</f>
        <v>0</v>
      </c>
      <c r="AO57" s="347" cm="1">
        <f t="array" ref="AO57">SUM(_xlfn._xlws.FILTER(_xlfn._xlws.FILTER(dataGLBS,endDates=AO$5),dataGLBSAcctIDs=$C57))</f>
        <v>0</v>
      </c>
      <c r="AP57" s="347" cm="1">
        <f t="array" ref="AP57">SUM(_xlfn._xlws.FILTER(_xlfn._xlws.FILTER(dataGLBS,endDates=AP$5),dataGLBSAcctIDs=$C57))</f>
        <v>-659921.5</v>
      </c>
      <c r="AQ57" s="347" cm="1">
        <f t="array" ref="AQ57">SUM(_xlfn._xlws.FILTER(_xlfn._xlws.FILTER(dataGLBS,endDates=AQ$5),dataGLBSAcctIDs=$C57))</f>
        <v>-659921.5</v>
      </c>
      <c r="AR57" s="347" cm="1">
        <f t="array" ref="AR57">SUM(_xlfn._xlws.FILTER(_xlfn._xlws.FILTER(dataGLBS,endDates=AR$5),dataGLBSAcctIDs=$C57))</f>
        <v>-659921.5</v>
      </c>
      <c r="AS57" s="347" cm="1">
        <f t="array" ref="AS57">SUM(_xlfn._xlws.FILTER(_xlfn._xlws.FILTER(dataGLBS,endDates=AS$5),dataGLBSAcctIDs=$C57))</f>
        <v>-659921.5</v>
      </c>
      <c r="AT57" s="347" cm="1">
        <f t="array" ref="AT57">SUM(_xlfn._xlws.FILTER(_xlfn._xlws.FILTER(dataGLBS,endDates=AT$5),dataGLBSAcctIDs=$C57))</f>
        <v>-659921.5</v>
      </c>
      <c r="AU57" s="347" cm="1">
        <f t="array" ref="AU57">SUM(_xlfn._xlws.FILTER(_xlfn._xlws.FILTER(dataGLBS,endDates=AU$5),dataGLBSAcctIDs=$C57))</f>
        <v>-659921.5</v>
      </c>
      <c r="AV57" s="347" cm="1">
        <f t="array" ref="AV57">SUM(_xlfn._xlws.FILTER(_xlfn._xlws.FILTER(dataGLBS,endDates=AV$5),dataGLBSAcctIDs=$C57))</f>
        <v>-659921.5</v>
      </c>
      <c r="AW57" s="347" cm="1">
        <f t="array" ref="AW57">SUM(_xlfn._xlws.FILTER(_xlfn._xlws.FILTER(dataGLBS,endDates=AW$5),dataGLBSAcctIDs=$C57))</f>
        <v>-659921.5</v>
      </c>
      <c r="AX57" s="347" cm="1">
        <f t="array" ref="AX57">SUM(_xlfn._xlws.FILTER(_xlfn._xlws.FILTER(dataGLBS,endDates=AX$5),dataGLBSAcctIDs=$C57))</f>
        <v>-659921.5</v>
      </c>
      <c r="AY57" s="347" cm="1">
        <f t="array" ref="AY57">SUM(_xlfn._xlws.FILTER(_xlfn._xlws.FILTER(dataGLBS,endDates=AY$5),dataGLBSAcctIDs=$C57))</f>
        <v>-659921.5</v>
      </c>
      <c r="AZ57" s="347" cm="1">
        <f t="array" ref="AZ57">SUM(_xlfn._xlws.FILTER(_xlfn._xlws.FILTER(dataGLBS,endDates=AZ$5),dataGLBSAcctIDs=$C57))</f>
        <v>-659921.5</v>
      </c>
      <c r="BA57" s="347" cm="1">
        <f t="array" ref="BA57">SUM(_xlfn._xlws.FILTER(_xlfn._xlws.FILTER(dataGLBS,endDates=BA$5),dataGLBSAcctIDs=$C57))</f>
        <v>-659921.5</v>
      </c>
      <c r="BB57" s="347" cm="1">
        <f t="array" ref="BB57">SUM(_xlfn._xlws.FILTER(_xlfn._xlws.FILTER(dataGLBS,endDates=BB$5),dataGLBSAcctIDs=$C57))</f>
        <v>-2213404</v>
      </c>
      <c r="BC57" s="347" cm="1">
        <f t="array" ref="BC57">SUM(_xlfn._xlws.FILTER(_xlfn._xlws.FILTER(dataGLBS,endDates=BC$5),dataGLBSAcctIDs=$C57))</f>
        <v>-2213404</v>
      </c>
      <c r="BD57" s="347" cm="1">
        <f t="array" ref="BD57">SUM(_xlfn._xlws.FILTER(_xlfn._xlws.FILTER(dataGLBS,endDates=BD$5),dataGLBSAcctIDs=$C57))</f>
        <v>-2213404</v>
      </c>
      <c r="BE57" s="347" cm="1">
        <f t="array" ref="BE57">SUM(_xlfn._xlws.FILTER(_xlfn._xlws.FILTER(dataGLBS,endDates=BE$5),dataGLBSAcctIDs=$C57))</f>
        <v>-2213404</v>
      </c>
      <c r="BF57" s="347" cm="1">
        <f t="array" ref="BF57">SUM(_xlfn._xlws.FILTER(_xlfn._xlws.FILTER(dataGLBS,endDates=BF$5),dataGLBSAcctIDs=$C57))</f>
        <v>-2213404</v>
      </c>
      <c r="BG57" s="347" cm="1">
        <f t="array" ref="BG57">SUM(_xlfn._xlws.FILTER(_xlfn._xlws.FILTER(dataGLBS,endDates=BG$5),dataGLBSAcctIDs=$C57))</f>
        <v>-2213404</v>
      </c>
      <c r="BH57" s="347" cm="1">
        <f t="array" ref="BH57">SUM(_xlfn._xlws.FILTER(_xlfn._xlws.FILTER(dataGLBS,endDates=BH$5),dataGLBSAcctIDs=$C57))</f>
        <v>-2213404</v>
      </c>
      <c r="BI57" s="347" cm="1">
        <f t="array" ref="BI57">SUM(_xlfn._xlws.FILTER(_xlfn._xlws.FILTER(dataGLBS,endDates=BI$5),dataGLBSAcctIDs=$C57))</f>
        <v>-2213404</v>
      </c>
      <c r="BJ57" s="347" cm="1">
        <f t="array" ref="BJ57">SUM(_xlfn._xlws.FILTER(_xlfn._xlws.FILTER(dataGLBS,endDates=BJ$5),dataGLBSAcctIDs=$C57))</f>
        <v>-2213404</v>
      </c>
      <c r="BK57" s="347" cm="1">
        <f t="array" ref="BK57">SUM(_xlfn._xlws.FILTER(_xlfn._xlws.FILTER(dataGLBS,endDates=BK$5),dataGLBSAcctIDs=$C57))</f>
        <v>-2213404</v>
      </c>
      <c r="BL57" s="347" cm="1">
        <f t="array" ref="BL57">SUM(_xlfn._xlws.FILTER(_xlfn._xlws.FILTER(dataGLBS,endDates=BL$5),dataGLBSAcctIDs=$C57))</f>
        <v>-2213404</v>
      </c>
      <c r="BM57" s="347" cm="1">
        <f t="array" ref="BM57">SUM(_xlfn._xlws.FILTER(_xlfn._xlws.FILTER(dataGLBS,endDates=BM$5),dataGLBSAcctIDs=$C57))</f>
        <v>-4555252.6500000004</v>
      </c>
      <c r="BN57" s="347" cm="1">
        <f t="array" ref="BN57">SUM(_xlfn._xlws.FILTER(_xlfn._xlws.FILTER(dataGLBS,endDates=BN$5),dataGLBSAcctIDs=$C57))</f>
        <v>-4837122.7422727272</v>
      </c>
      <c r="BO57" s="347" cm="1">
        <f t="array" ref="BO57">SUM(_xlfn._xlws.FILTER(_xlfn._xlws.FILTER(dataGLBS,endDates=BO$5),dataGLBSAcctIDs=$C57))</f>
        <v>-5062072.7783009065</v>
      </c>
      <c r="BP57" s="347" cm="1">
        <f t="array" ref="BP57">SUM(_xlfn._xlws.FILTER(_xlfn._xlws.FILTER(dataGLBS,endDates=BP$5),dataGLBSAcctIDs=$C57))</f>
        <v>-5252550.9039910408</v>
      </c>
      <c r="BQ57" s="347" cm="1">
        <f t="array" ref="BQ57">SUM(_xlfn._xlws.FILTER(_xlfn._xlws.FILTER(dataGLBS,endDates=BQ$5),dataGLBSAcctIDs=$C57))</f>
        <v>-5447687.5761010051</v>
      </c>
      <c r="BR57" s="347" cm="1">
        <f t="array" ref="BR57">SUM(_xlfn._xlws.FILTER(_xlfn._xlws.FILTER(dataGLBS,endDates=BR$5),dataGLBSAcctIDs=$C57))</f>
        <v>-5670562.381234521</v>
      </c>
      <c r="BS57" s="347" cm="1">
        <f t="array" ref="BS57">SUM(_xlfn._xlws.FILTER(_xlfn._xlws.FILTER(dataGLBS,endDates=BS$5),dataGLBSAcctIDs=$C57))</f>
        <v>-5896926.5089926366</v>
      </c>
      <c r="BT57" s="347" cm="1">
        <f t="array" ref="BT57">SUM(_xlfn._xlws.FILTER(_xlfn._xlws.FILTER(dataGLBS,endDates=BT$5),dataGLBSAcctIDs=$C57))</f>
        <v>-6128361.2909142058</v>
      </c>
      <c r="BU57" s="347" cm="1">
        <f t="array" ref="BU57">SUM(_xlfn._xlws.FILTER(_xlfn._xlws.FILTER(dataGLBS,endDates=BU$5),dataGLBSAcctIDs=$C57))</f>
        <v>-6367536.4313802551</v>
      </c>
      <c r="BV57" s="347" cm="1">
        <f t="array" ref="BV57">SUM(_xlfn._xlws.FILTER(_xlfn._xlws.FILTER(dataGLBS,endDates=BV$5),dataGLBSAcctIDs=$C57))</f>
        <v>-6610535.7474694038</v>
      </c>
      <c r="BW57" s="347" cm="1">
        <f t="array" ref="BW57">SUM(_xlfn._xlws.FILTER(_xlfn._xlws.FILTER(dataGLBS,endDates=BW$5),dataGLBSAcctIDs=$C57))</f>
        <v>-6857188.7714317888</v>
      </c>
      <c r="BX57" s="347" cm="1">
        <f t="array" ref="BX57">SUM(_xlfn._xlws.FILTER(_xlfn._xlws.FILTER(dataGLBS,endDates=BX$5),dataGLBSAcctIDs=$C57))</f>
        <v>-7107304.7233782439</v>
      </c>
      <c r="BY57" s="347" cm="1">
        <f t="array" ref="BY57">SUM(_xlfn._xlws.FILTER(_xlfn._xlws.FILTER(dataGLBS,endDates=BY$5),dataGLBSAcctIDs=$C57))</f>
        <v>-7360773.4051949</v>
      </c>
      <c r="BZ57" s="201"/>
    </row>
    <row r="58" spans="1:78" s="350" customFormat="1" ht="21" customHeight="1">
      <c r="A58" s="215"/>
      <c r="B58" s="622" t="s">
        <v>327</v>
      </c>
      <c r="C58" s="343">
        <v>59</v>
      </c>
      <c r="D58" s="215"/>
      <c r="E58" s="216"/>
      <c r="F58" s="347" cm="1">
        <f t="array" ref="F58">SUM(_xlfn._xlws.FILTER(_xlfn._xlws.FILTER(dataGLBS,endDates=F$5),dataGLBSAcctIDs=$C58))</f>
        <v>0</v>
      </c>
      <c r="G58" s="347" cm="1">
        <f t="array" ref="G58">SUM(_xlfn._xlws.FILTER(_xlfn._xlws.FILTER(dataGLBS,endDates=G$5),dataGLBSAcctIDs=$C58))</f>
        <v>0</v>
      </c>
      <c r="H58" s="347" cm="1">
        <f t="array" ref="H58">SUM(_xlfn._xlws.FILTER(_xlfn._xlws.FILTER(dataGLBS,endDates=H$5),dataGLBSAcctIDs=$C58))</f>
        <v>0</v>
      </c>
      <c r="I58" s="347" cm="1">
        <f t="array" ref="I58">SUM(_xlfn._xlws.FILTER(_xlfn._xlws.FILTER(dataGLBS,endDates=I$5),dataGLBSAcctIDs=$C58))</f>
        <v>0</v>
      </c>
      <c r="J58" s="344"/>
      <c r="K58" s="344"/>
      <c r="L58" s="347" cm="1">
        <f t="array" ref="L58">SUM(_xlfn._xlws.FILTER(_xlfn._xlws.FILTER(dataGLBS,endDates=L$5),dataGLBSAcctIDs=$C58))</f>
        <v>0</v>
      </c>
      <c r="M58" s="347" cm="1">
        <f t="array" ref="M58">SUM(_xlfn._xlws.FILTER(_xlfn._xlws.FILTER(dataGLBS,endDates=M$5),dataGLBSAcctIDs=$C58))</f>
        <v>0</v>
      </c>
      <c r="N58" s="347" cm="1">
        <f t="array" ref="N58">SUM(_xlfn._xlws.FILTER(_xlfn._xlws.FILTER(dataGLBS,endDates=N$5),dataGLBSAcctIDs=$C58))</f>
        <v>0</v>
      </c>
      <c r="O58" s="347" cm="1">
        <f t="array" ref="O58">SUM(_xlfn._xlws.FILTER(_xlfn._xlws.FILTER(dataGLBS,endDates=O$5),dataGLBSAcctIDs=$C58))</f>
        <v>0</v>
      </c>
      <c r="P58" s="347" cm="1">
        <f t="array" ref="P58">SUM(_xlfn._xlws.FILTER(_xlfn._xlws.FILTER(dataGLBS,endDates=P$5),dataGLBSAcctIDs=$C58))</f>
        <v>0</v>
      </c>
      <c r="Q58" s="347" cm="1">
        <f t="array" ref="Q58">SUM(_xlfn._xlws.FILTER(_xlfn._xlws.FILTER(dataGLBS,endDates=Q$5),dataGLBSAcctIDs=$C58))</f>
        <v>0</v>
      </c>
      <c r="R58" s="347" cm="1">
        <f t="array" ref="R58">SUM(_xlfn._xlws.FILTER(_xlfn._xlws.FILTER(dataGLBS,endDates=R$5),dataGLBSAcctIDs=$C58))</f>
        <v>0</v>
      </c>
      <c r="S58" s="347" cm="1">
        <f t="array" ref="S58">SUM(_xlfn._xlws.FILTER(_xlfn._xlws.FILTER(dataGLBS,endDates=S$5),dataGLBSAcctIDs=$C58))</f>
        <v>0</v>
      </c>
      <c r="T58" s="347" cm="1">
        <f t="array" ref="T58">SUM(_xlfn._xlws.FILTER(_xlfn._xlws.FILTER(dataGLBS,endDates=T$5),dataGLBSAcctIDs=$C58))</f>
        <v>0</v>
      </c>
      <c r="U58" s="347" cm="1">
        <f t="array" ref="U58">SUM(_xlfn._xlws.FILTER(_xlfn._xlws.FILTER(dataGLBS,endDates=U$5),dataGLBSAcctIDs=$C58))</f>
        <v>0</v>
      </c>
      <c r="V58" s="347" cm="1">
        <f t="array" ref="V58">SUM(_xlfn._xlws.FILTER(_xlfn._xlws.FILTER(dataGLBS,endDates=V$5),dataGLBSAcctIDs=$C58))</f>
        <v>0</v>
      </c>
      <c r="W58" s="347" cm="1">
        <f t="array" ref="W58">SUM(_xlfn._xlws.FILTER(_xlfn._xlws.FILTER(dataGLBS,endDates=W$5),dataGLBSAcctIDs=$C58))</f>
        <v>0</v>
      </c>
      <c r="X58" s="347" cm="1">
        <f t="array" ref="X58">SUM(_xlfn._xlws.FILTER(_xlfn._xlws.FILTER(dataGLBS,endDates=X$5),dataGLBSAcctIDs=$C58))</f>
        <v>0</v>
      </c>
      <c r="Y58" s="347" cm="1">
        <f t="array" ref="Y58">SUM(_xlfn._xlws.FILTER(_xlfn._xlws.FILTER(dataGLBS,endDates=Y$5),dataGLBSAcctIDs=$C58))</f>
        <v>0</v>
      </c>
      <c r="Z58" s="347" cm="1">
        <f t="array" ref="Z58">SUM(_xlfn._xlws.FILTER(_xlfn._xlws.FILTER(dataGLBS,endDates=Z$5),dataGLBSAcctIDs=$C58))</f>
        <v>0</v>
      </c>
      <c r="AA58" s="347" cm="1">
        <f t="array" ref="AA58">SUM(_xlfn._xlws.FILTER(_xlfn._xlws.FILTER(dataGLBS,endDates=AA$5),dataGLBSAcctIDs=$C58))</f>
        <v>0</v>
      </c>
      <c r="AB58" s="215"/>
      <c r="AC58" s="344"/>
      <c r="AD58" s="347" cm="1">
        <f t="array" ref="AD58">SUM(_xlfn._xlws.FILTER(_xlfn._xlws.FILTER(dataGLBS,endDates=AD$5),dataGLBSAcctIDs=$C58))</f>
        <v>0</v>
      </c>
      <c r="AE58" s="347" cm="1">
        <f t="array" ref="AE58">SUM(_xlfn._xlws.FILTER(_xlfn._xlws.FILTER(dataGLBS,endDates=AE$5),dataGLBSAcctIDs=$C58))</f>
        <v>0</v>
      </c>
      <c r="AF58" s="347" cm="1">
        <f t="array" ref="AF58">SUM(_xlfn._xlws.FILTER(_xlfn._xlws.FILTER(dataGLBS,endDates=AF$5),dataGLBSAcctIDs=$C58))</f>
        <v>0</v>
      </c>
      <c r="AG58" s="347" cm="1">
        <f t="array" ref="AG58">SUM(_xlfn._xlws.FILTER(_xlfn._xlws.FILTER(dataGLBS,endDates=AG$5),dataGLBSAcctIDs=$C58))</f>
        <v>0</v>
      </c>
      <c r="AH58" s="347" cm="1">
        <f t="array" ref="AH58">SUM(_xlfn._xlws.FILTER(_xlfn._xlws.FILTER(dataGLBS,endDates=AH$5),dataGLBSAcctIDs=$C58))</f>
        <v>0</v>
      </c>
      <c r="AI58" s="347" cm="1">
        <f t="array" ref="AI58">SUM(_xlfn._xlws.FILTER(_xlfn._xlws.FILTER(dataGLBS,endDates=AI$5),dataGLBSAcctIDs=$C58))</f>
        <v>0</v>
      </c>
      <c r="AJ58" s="347" cm="1">
        <f t="array" ref="AJ58">SUM(_xlfn._xlws.FILTER(_xlfn._xlws.FILTER(dataGLBS,endDates=AJ$5),dataGLBSAcctIDs=$C58))</f>
        <v>0</v>
      </c>
      <c r="AK58" s="347" cm="1">
        <f t="array" ref="AK58">SUM(_xlfn._xlws.FILTER(_xlfn._xlws.FILTER(dataGLBS,endDates=AK$5),dataGLBSAcctIDs=$C58))</f>
        <v>0</v>
      </c>
      <c r="AL58" s="347" cm="1">
        <f t="array" ref="AL58">SUM(_xlfn._xlws.FILTER(_xlfn._xlws.FILTER(dataGLBS,endDates=AL$5),dataGLBSAcctIDs=$C58))</f>
        <v>0</v>
      </c>
      <c r="AM58" s="347" cm="1">
        <f t="array" ref="AM58">SUM(_xlfn._xlws.FILTER(_xlfn._xlws.FILTER(dataGLBS,endDates=AM$5),dataGLBSAcctIDs=$C58))</f>
        <v>0</v>
      </c>
      <c r="AN58" s="347" cm="1">
        <f t="array" ref="AN58">SUM(_xlfn._xlws.FILTER(_xlfn._xlws.FILTER(dataGLBS,endDates=AN$5),dataGLBSAcctIDs=$C58))</f>
        <v>0</v>
      </c>
      <c r="AO58" s="347" cm="1">
        <f t="array" ref="AO58">SUM(_xlfn._xlws.FILTER(_xlfn._xlws.FILTER(dataGLBS,endDates=AO$5),dataGLBSAcctIDs=$C58))</f>
        <v>0</v>
      </c>
      <c r="AP58" s="347" cm="1">
        <f t="array" ref="AP58">SUM(_xlfn._xlws.FILTER(_xlfn._xlws.FILTER(dataGLBS,endDates=AP$5),dataGLBSAcctIDs=$C58))</f>
        <v>0</v>
      </c>
      <c r="AQ58" s="347" cm="1">
        <f t="array" ref="AQ58">SUM(_xlfn._xlws.FILTER(_xlfn._xlws.FILTER(dataGLBS,endDates=AQ$5),dataGLBSAcctIDs=$C58))</f>
        <v>0</v>
      </c>
      <c r="AR58" s="347" cm="1">
        <f t="array" ref="AR58">SUM(_xlfn._xlws.FILTER(_xlfn._xlws.FILTER(dataGLBS,endDates=AR$5),dataGLBSAcctIDs=$C58))</f>
        <v>0</v>
      </c>
      <c r="AS58" s="347" cm="1">
        <f t="array" ref="AS58">SUM(_xlfn._xlws.FILTER(_xlfn._xlws.FILTER(dataGLBS,endDates=AS$5),dataGLBSAcctIDs=$C58))</f>
        <v>0</v>
      </c>
      <c r="AT58" s="347" cm="1">
        <f t="array" ref="AT58">SUM(_xlfn._xlws.FILTER(_xlfn._xlws.FILTER(dataGLBS,endDates=AT$5),dataGLBSAcctIDs=$C58))</f>
        <v>0</v>
      </c>
      <c r="AU58" s="347" cm="1">
        <f t="array" ref="AU58">SUM(_xlfn._xlws.FILTER(_xlfn._xlws.FILTER(dataGLBS,endDates=AU$5),dataGLBSAcctIDs=$C58))</f>
        <v>0</v>
      </c>
      <c r="AV58" s="347" cm="1">
        <f t="array" ref="AV58">SUM(_xlfn._xlws.FILTER(_xlfn._xlws.FILTER(dataGLBS,endDates=AV$5),dataGLBSAcctIDs=$C58))</f>
        <v>0</v>
      </c>
      <c r="AW58" s="347" cm="1">
        <f t="array" ref="AW58">SUM(_xlfn._xlws.FILTER(_xlfn._xlws.FILTER(dataGLBS,endDates=AW$5),dataGLBSAcctIDs=$C58))</f>
        <v>0</v>
      </c>
      <c r="AX58" s="347" cm="1">
        <f t="array" ref="AX58">SUM(_xlfn._xlws.FILTER(_xlfn._xlws.FILTER(dataGLBS,endDates=AX$5),dataGLBSAcctIDs=$C58))</f>
        <v>0</v>
      </c>
      <c r="AY58" s="347" cm="1">
        <f t="array" ref="AY58">SUM(_xlfn._xlws.FILTER(_xlfn._xlws.FILTER(dataGLBS,endDates=AY$5),dataGLBSAcctIDs=$C58))</f>
        <v>0</v>
      </c>
      <c r="AZ58" s="347" cm="1">
        <f t="array" ref="AZ58">SUM(_xlfn._xlws.FILTER(_xlfn._xlws.FILTER(dataGLBS,endDates=AZ$5),dataGLBSAcctIDs=$C58))</f>
        <v>0</v>
      </c>
      <c r="BA58" s="347" cm="1">
        <f t="array" ref="BA58">SUM(_xlfn._xlws.FILTER(_xlfn._xlws.FILTER(dataGLBS,endDates=BA$5),dataGLBSAcctIDs=$C58))</f>
        <v>0</v>
      </c>
      <c r="BB58" s="347" cm="1">
        <f t="array" ref="BB58">SUM(_xlfn._xlws.FILTER(_xlfn._xlws.FILTER(dataGLBS,endDates=BB$5),dataGLBSAcctIDs=$C58))</f>
        <v>0</v>
      </c>
      <c r="BC58" s="347" cm="1">
        <f t="array" ref="BC58">SUM(_xlfn._xlws.FILTER(_xlfn._xlws.FILTER(dataGLBS,endDates=BC$5),dataGLBSAcctIDs=$C58))</f>
        <v>0</v>
      </c>
      <c r="BD58" s="347" cm="1">
        <f t="array" ref="BD58">SUM(_xlfn._xlws.FILTER(_xlfn._xlws.FILTER(dataGLBS,endDates=BD$5),dataGLBSAcctIDs=$C58))</f>
        <v>0</v>
      </c>
      <c r="BE58" s="347" cm="1">
        <f t="array" ref="BE58">SUM(_xlfn._xlws.FILTER(_xlfn._xlws.FILTER(dataGLBS,endDates=BE$5),dataGLBSAcctIDs=$C58))</f>
        <v>0</v>
      </c>
      <c r="BF58" s="347" cm="1">
        <f t="array" ref="BF58">SUM(_xlfn._xlws.FILTER(_xlfn._xlws.FILTER(dataGLBS,endDates=BF$5),dataGLBSAcctIDs=$C58))</f>
        <v>0</v>
      </c>
      <c r="BG58" s="347" cm="1">
        <f t="array" ref="BG58">SUM(_xlfn._xlws.FILTER(_xlfn._xlws.FILTER(dataGLBS,endDates=BG$5),dataGLBSAcctIDs=$C58))</f>
        <v>0</v>
      </c>
      <c r="BH58" s="347" cm="1">
        <f t="array" ref="BH58">SUM(_xlfn._xlws.FILTER(_xlfn._xlws.FILTER(dataGLBS,endDates=BH$5),dataGLBSAcctIDs=$C58))</f>
        <v>0</v>
      </c>
      <c r="BI58" s="347" cm="1">
        <f t="array" ref="BI58">SUM(_xlfn._xlws.FILTER(_xlfn._xlws.FILTER(dataGLBS,endDates=BI$5),dataGLBSAcctIDs=$C58))</f>
        <v>0</v>
      </c>
      <c r="BJ58" s="347" cm="1">
        <f t="array" ref="BJ58">SUM(_xlfn._xlws.FILTER(_xlfn._xlws.FILTER(dataGLBS,endDates=BJ$5),dataGLBSAcctIDs=$C58))</f>
        <v>0</v>
      </c>
      <c r="BK58" s="347" cm="1">
        <f t="array" ref="BK58">SUM(_xlfn._xlws.FILTER(_xlfn._xlws.FILTER(dataGLBS,endDates=BK$5),dataGLBSAcctIDs=$C58))</f>
        <v>0</v>
      </c>
      <c r="BL58" s="347" cm="1">
        <f t="array" ref="BL58">SUM(_xlfn._xlws.FILTER(_xlfn._xlws.FILTER(dataGLBS,endDates=BL$5),dataGLBSAcctIDs=$C58))</f>
        <v>0</v>
      </c>
      <c r="BM58" s="347" cm="1">
        <f t="array" ref="BM58">SUM(_xlfn._xlws.FILTER(_xlfn._xlws.FILTER(dataGLBS,endDates=BM$5),dataGLBSAcctIDs=$C58))</f>
        <v>0</v>
      </c>
      <c r="BN58" s="347" cm="1">
        <f t="array" ref="BN58">SUM(_xlfn._xlws.FILTER(_xlfn._xlws.FILTER(dataGLBS,endDates=BN$5),dataGLBSAcctIDs=$C58))</f>
        <v>0</v>
      </c>
      <c r="BO58" s="347" cm="1">
        <f t="array" ref="BO58">SUM(_xlfn._xlws.FILTER(_xlfn._xlws.FILTER(dataGLBS,endDates=BO$5),dataGLBSAcctIDs=$C58))</f>
        <v>0</v>
      </c>
      <c r="BP58" s="347" cm="1">
        <f t="array" ref="BP58">SUM(_xlfn._xlws.FILTER(_xlfn._xlws.FILTER(dataGLBS,endDates=BP$5),dataGLBSAcctIDs=$C58))</f>
        <v>0</v>
      </c>
      <c r="BQ58" s="347" cm="1">
        <f t="array" ref="BQ58">SUM(_xlfn._xlws.FILTER(_xlfn._xlws.FILTER(dataGLBS,endDates=BQ$5),dataGLBSAcctIDs=$C58))</f>
        <v>0</v>
      </c>
      <c r="BR58" s="347" cm="1">
        <f t="array" ref="BR58">SUM(_xlfn._xlws.FILTER(_xlfn._xlws.FILTER(dataGLBS,endDates=BR$5),dataGLBSAcctIDs=$C58))</f>
        <v>0</v>
      </c>
      <c r="BS58" s="347" cm="1">
        <f t="array" ref="BS58">SUM(_xlfn._xlws.FILTER(_xlfn._xlws.FILTER(dataGLBS,endDates=BS$5),dataGLBSAcctIDs=$C58))</f>
        <v>0</v>
      </c>
      <c r="BT58" s="347" cm="1">
        <f t="array" ref="BT58">SUM(_xlfn._xlws.FILTER(_xlfn._xlws.FILTER(dataGLBS,endDates=BT$5),dataGLBSAcctIDs=$C58))</f>
        <v>0</v>
      </c>
      <c r="BU58" s="347" cm="1">
        <f t="array" ref="BU58">SUM(_xlfn._xlws.FILTER(_xlfn._xlws.FILTER(dataGLBS,endDates=BU$5),dataGLBSAcctIDs=$C58))</f>
        <v>0</v>
      </c>
      <c r="BV58" s="347" cm="1">
        <f t="array" ref="BV58">SUM(_xlfn._xlws.FILTER(_xlfn._xlws.FILTER(dataGLBS,endDates=BV$5),dataGLBSAcctIDs=$C58))</f>
        <v>0</v>
      </c>
      <c r="BW58" s="347" cm="1">
        <f t="array" ref="BW58">SUM(_xlfn._xlws.FILTER(_xlfn._xlws.FILTER(dataGLBS,endDates=BW$5),dataGLBSAcctIDs=$C58))</f>
        <v>0</v>
      </c>
      <c r="BX58" s="347" cm="1">
        <f t="array" ref="BX58">SUM(_xlfn._xlws.FILTER(_xlfn._xlws.FILTER(dataGLBS,endDates=BX$5),dataGLBSAcctIDs=$C58))</f>
        <v>0</v>
      </c>
      <c r="BY58" s="347" cm="1">
        <f t="array" ref="BY58">SUM(_xlfn._xlws.FILTER(_xlfn._xlws.FILTER(dataGLBS,endDates=BY$5),dataGLBSAcctIDs=$C58))</f>
        <v>0</v>
      </c>
      <c r="BZ58" s="201"/>
    </row>
    <row r="59" spans="1:78" s="350" customFormat="1" ht="21" customHeight="1">
      <c r="A59" s="215"/>
      <c r="B59" s="622" t="s">
        <v>102</v>
      </c>
      <c r="C59" s="343">
        <v>999</v>
      </c>
      <c r="D59" s="215"/>
      <c r="E59" s="216"/>
      <c r="F59" s="347" cm="1">
        <f t="array" ref="F59">SUM(_xlfn._xlws.FILTER(_xlfn._xlws.FILTER(dataGLBS,endDates=F$5),dataGLBSAcctIDs=$C59))</f>
        <v>-659921.5</v>
      </c>
      <c r="G59" s="347" cm="1">
        <f t="array" ref="G59">SUM(_xlfn._xlws.FILTER(_xlfn._xlws.FILTER(dataGLBS,endDates=G$5),dataGLBSAcctIDs=$C59))</f>
        <v>-1553482.5</v>
      </c>
      <c r="H59" s="347" cm="1">
        <f t="array" ref="H59">SUM(_xlfn._xlws.FILTER(_xlfn._xlws.FILTER(dataGLBS,endDates=H$5),dataGLBSAcctIDs=$C59))</f>
        <v>-281870.09227272728</v>
      </c>
      <c r="I59" s="347" cm="1">
        <f t="array" ref="I59">SUM(_xlfn._xlws.FILTER(_xlfn._xlws.FILTER(dataGLBS,endDates=I$5),dataGLBSAcctIDs=$C59))</f>
        <v>-273834.3328339202</v>
      </c>
      <c r="J59" s="344"/>
      <c r="K59" s="344"/>
      <c r="L59" s="347" cm="1">
        <f t="array" ref="L59">SUM(_xlfn._xlws.FILTER(_xlfn._xlws.FILTER(dataGLBS,endDates=L$5),dataGLBSAcctIDs=$C59))</f>
        <v>-134542</v>
      </c>
      <c r="M59" s="347" cm="1">
        <f t="array" ref="M59">SUM(_xlfn._xlws.FILTER(_xlfn._xlws.FILTER(dataGLBS,endDates=M$5),dataGLBSAcctIDs=$C59))</f>
        <v>-275562</v>
      </c>
      <c r="N59" s="347" cm="1">
        <f t="array" ref="N59">SUM(_xlfn._xlws.FILTER(_xlfn._xlws.FILTER(dataGLBS,endDates=N$5),dataGLBSAcctIDs=$C59))</f>
        <v>-418443.5</v>
      </c>
      <c r="O59" s="347" cm="1">
        <f t="array" ref="O59">SUM(_xlfn._xlws.FILTER(_xlfn._xlws.FILTER(dataGLBS,endDates=O$5),dataGLBSAcctIDs=$C59))</f>
        <v>-659921.5</v>
      </c>
      <c r="P59" s="347" cm="1">
        <f t="array" ref="P59">SUM(_xlfn._xlws.FILTER(_xlfn._xlws.FILTER(dataGLBS,endDates=P$5),dataGLBSAcctIDs=$C59))</f>
        <v>-277494</v>
      </c>
      <c r="Q59" s="347" cm="1">
        <f t="array" ref="Q59">SUM(_xlfn._xlws.FILTER(_xlfn._xlws.FILTER(dataGLBS,endDates=Q$5),dataGLBSAcctIDs=$C59))</f>
        <v>-630639</v>
      </c>
      <c r="R59" s="347" cm="1">
        <f t="array" ref="R59">SUM(_xlfn._xlws.FILTER(_xlfn._xlws.FILTER(dataGLBS,endDates=R$5),dataGLBSAcctIDs=$C59))</f>
        <v>-1075826</v>
      </c>
      <c r="S59" s="347" cm="1">
        <f t="array" ref="S59">SUM(_xlfn._xlws.FILTER(_xlfn._xlws.FILTER(dataGLBS,endDates=S$5),dataGLBSAcctIDs=$C59))</f>
        <v>-1553482.5</v>
      </c>
      <c r="T59" s="347" cm="1">
        <f t="array" ref="T59">SUM(_xlfn._xlws.FILTER(_xlfn._xlws.FILTER(dataGLBS,endDates=T$5),dataGLBSAcctIDs=$C59))</f>
        <v>-542782.23</v>
      </c>
      <c r="U59" s="347" cm="1">
        <f t="array" ref="U59">SUM(_xlfn._xlws.FILTER(_xlfn._xlws.FILTER(dataGLBS,endDates=U$5),dataGLBSAcctIDs=$C59))</f>
        <v>-1153557.76</v>
      </c>
      <c r="V59" s="347" cm="1">
        <f t="array" ref="V59">SUM(_xlfn._xlws.FILTER(_xlfn._xlws.FILTER(dataGLBS,endDates=V$5),dataGLBSAcctIDs=$C59))</f>
        <v>-1835806.01</v>
      </c>
      <c r="W59" s="347" cm="1">
        <f t="array" ref="W59">SUM(_xlfn._xlws.FILTER(_xlfn._xlws.FILTER(dataGLBS,endDates=W$5),dataGLBSAcctIDs=$C59))</f>
        <v>-281870.09227272728</v>
      </c>
      <c r="X59" s="347" cm="1">
        <f t="array" ref="X59">SUM(_xlfn._xlws.FILTER(_xlfn._xlws.FILTER(dataGLBS,endDates=X$5),dataGLBSAcctIDs=$C59))</f>
        <v>-195136.6721099643</v>
      </c>
      <c r="Y59" s="347" cm="1">
        <f t="array" ref="Y59">SUM(_xlfn._xlws.FILTER(_xlfn._xlws.FILTER(dataGLBS,endDates=Y$5),dataGLBSAcctIDs=$C59))</f>
        <v>-231434.78192156955</v>
      </c>
      <c r="Z59" s="347" cm="1">
        <f t="array" ref="Z59">SUM(_xlfn._xlws.FILTER(_xlfn._xlws.FILTER(dataGLBS,endDates=Z$5),dataGLBSAcctIDs=$C59))</f>
        <v>-246653.02396238543</v>
      </c>
      <c r="AA59" s="347" cm="1">
        <f t="array" ref="AA59">SUM(_xlfn._xlws.FILTER(_xlfn._xlws.FILTER(dataGLBS,endDates=AA$5),dataGLBSAcctIDs=$C59))</f>
        <v>-273834.3328339202</v>
      </c>
      <c r="AB59" s="215"/>
      <c r="AC59" s="344"/>
      <c r="AD59" s="347" cm="1">
        <f t="array" ref="AD59">SUM(_xlfn._xlws.FILTER(_xlfn._xlws.FILTER(dataGLBS,endDates=AD$5),dataGLBSAcctIDs=$C59))</f>
        <v>-44399</v>
      </c>
      <c r="AE59" s="347" cm="1">
        <f t="array" ref="AE59">SUM(_xlfn._xlws.FILTER(_xlfn._xlws.FILTER(dataGLBS,endDates=AE$5),dataGLBSAcctIDs=$C59))</f>
        <v>-89238</v>
      </c>
      <c r="AF59" s="347" cm="1">
        <f t="array" ref="AF59">SUM(_xlfn._xlws.FILTER(_xlfn._xlws.FILTER(dataGLBS,endDates=AF$5),dataGLBSAcctIDs=$C59))</f>
        <v>-134542</v>
      </c>
      <c r="AG59" s="347" cm="1">
        <f t="array" ref="AG59">SUM(_xlfn._xlws.FILTER(_xlfn._xlws.FILTER(dataGLBS,endDates=AG$5),dataGLBSAcctIDs=$C59))</f>
        <v>-181163</v>
      </c>
      <c r="AH59" s="347" cm="1">
        <f t="array" ref="AH59">SUM(_xlfn._xlws.FILTER(_xlfn._xlws.FILTER(dataGLBS,endDates=AH$5),dataGLBSAcctIDs=$C59))</f>
        <v>-228141</v>
      </c>
      <c r="AI59" s="347" cm="1">
        <f t="array" ref="AI59">SUM(_xlfn._xlws.FILTER(_xlfn._xlws.FILTER(dataGLBS,endDates=AI$5),dataGLBSAcctIDs=$C59))</f>
        <v>-275562</v>
      </c>
      <c r="AJ59" s="347" cm="1">
        <f t="array" ref="AJ59">SUM(_xlfn._xlws.FILTER(_xlfn._xlws.FILTER(dataGLBS,endDates=AJ$5),dataGLBSAcctIDs=$C59))</f>
        <v>-323123</v>
      </c>
      <c r="AK59" s="347" cm="1">
        <f t="array" ref="AK59">SUM(_xlfn._xlws.FILTER(_xlfn._xlws.FILTER(dataGLBS,endDates=AK$5),dataGLBSAcctIDs=$C59))</f>
        <v>-370807.5</v>
      </c>
      <c r="AL59" s="347" cm="1">
        <f t="array" ref="AL59">SUM(_xlfn._xlws.FILTER(_xlfn._xlws.FILTER(dataGLBS,endDates=AL$5),dataGLBSAcctIDs=$C59))</f>
        <v>-418443.5</v>
      </c>
      <c r="AM59" s="347" cm="1">
        <f t="array" ref="AM59">SUM(_xlfn._xlws.FILTER(_xlfn._xlws.FILTER(dataGLBS,endDates=AM$5),dataGLBSAcctIDs=$C59))</f>
        <v>-470918.5</v>
      </c>
      <c r="AN59" s="347" cm="1">
        <f t="array" ref="AN59">SUM(_xlfn._xlws.FILTER(_xlfn._xlws.FILTER(dataGLBS,endDates=AN$5),dataGLBSAcctIDs=$C59))</f>
        <v>-535736.5</v>
      </c>
      <c r="AO59" s="347" cm="1">
        <f t="array" ref="AO59">SUM(_xlfn._xlws.FILTER(_xlfn._xlws.FILTER(dataGLBS,endDates=AO$5),dataGLBSAcctIDs=$C59))</f>
        <v>-659921.5</v>
      </c>
      <c r="AP59" s="347" cm="1">
        <f t="array" ref="AP59">SUM(_xlfn._xlws.FILTER(_xlfn._xlws.FILTER(dataGLBS,endDates=AP$5),dataGLBSAcctIDs=$C59))</f>
        <v>-72804.5</v>
      </c>
      <c r="AQ59" s="347" cm="1">
        <f t="array" ref="AQ59">SUM(_xlfn._xlws.FILTER(_xlfn._xlws.FILTER(dataGLBS,endDates=AQ$5),dataGLBSAcctIDs=$C59))</f>
        <v>-202124.5</v>
      </c>
      <c r="AR59" s="347" cm="1">
        <f t="array" ref="AR59">SUM(_xlfn._xlws.FILTER(_xlfn._xlws.FILTER(dataGLBS,endDates=AR$5),dataGLBSAcctIDs=$C59))</f>
        <v>-277494</v>
      </c>
      <c r="AS59" s="347" cm="1">
        <f t="array" ref="AS59">SUM(_xlfn._xlws.FILTER(_xlfn._xlws.FILTER(dataGLBS,endDates=AS$5),dataGLBSAcctIDs=$C59))</f>
        <v>-412204.5</v>
      </c>
      <c r="AT59" s="347" cm="1">
        <f t="array" ref="AT59">SUM(_xlfn._xlws.FILTER(_xlfn._xlws.FILTER(dataGLBS,endDates=AT$5),dataGLBSAcctIDs=$C59))</f>
        <v>-490267</v>
      </c>
      <c r="AU59" s="347" cm="1">
        <f t="array" ref="AU59">SUM(_xlfn._xlws.FILTER(_xlfn._xlws.FILTER(dataGLBS,endDates=AU$5),dataGLBSAcctIDs=$C59))</f>
        <v>-630639</v>
      </c>
      <c r="AV59" s="347" cm="1">
        <f t="array" ref="AV59">SUM(_xlfn._xlws.FILTER(_xlfn._xlws.FILTER(dataGLBS,endDates=AV$5),dataGLBSAcctIDs=$C59))</f>
        <v>-776955</v>
      </c>
      <c r="AW59" s="347" cm="1">
        <f t="array" ref="AW59">SUM(_xlfn._xlws.FILTER(_xlfn._xlws.FILTER(dataGLBS,endDates=AW$5),dataGLBSAcctIDs=$C59))</f>
        <v>-923270</v>
      </c>
      <c r="AX59" s="347" cm="1">
        <f t="array" ref="AX59">SUM(_xlfn._xlws.FILTER(_xlfn._xlws.FILTER(dataGLBS,endDates=AX$5),dataGLBSAcctIDs=$C59))</f>
        <v>-1075826</v>
      </c>
      <c r="AY59" s="347" cm="1">
        <f t="array" ref="AY59">SUM(_xlfn._xlws.FILTER(_xlfn._xlws.FILTER(dataGLBS,endDates=AY$5),dataGLBSAcctIDs=$C59))</f>
        <v>-1228383</v>
      </c>
      <c r="AZ59" s="347" cm="1">
        <f t="array" ref="AZ59">SUM(_xlfn._xlws.FILTER(_xlfn._xlws.FILTER(dataGLBS,endDates=AZ$5),dataGLBSAcctIDs=$C59))</f>
        <v>-1387493</v>
      </c>
      <c r="BA59" s="347" cm="1">
        <f t="array" ref="BA59">SUM(_xlfn._xlws.FILTER(_xlfn._xlws.FILTER(dataGLBS,endDates=BA$5),dataGLBSAcctIDs=$C59))</f>
        <v>-1553482.5</v>
      </c>
      <c r="BB59" s="347" cm="1">
        <f t="array" ref="BB59">SUM(_xlfn._xlws.FILTER(_xlfn._xlws.FILTER(dataGLBS,endDates=BB$5),dataGLBSAcctIDs=$C59))</f>
        <v>-173214.91</v>
      </c>
      <c r="BC59" s="347" cm="1">
        <f t="array" ref="BC59">SUM(_xlfn._xlws.FILTER(_xlfn._xlws.FILTER(dataGLBS,endDates=BC$5),dataGLBSAcctIDs=$C59))</f>
        <v>-354015.57</v>
      </c>
      <c r="BD59" s="347" cm="1">
        <f t="array" ref="BD59">SUM(_xlfn._xlws.FILTER(_xlfn._xlws.FILTER(dataGLBS,endDates=BD$5),dataGLBSAcctIDs=$C59))</f>
        <v>-542782.23</v>
      </c>
      <c r="BE59" s="347" cm="1">
        <f t="array" ref="BE59">SUM(_xlfn._xlws.FILTER(_xlfn._xlws.FILTER(dataGLBS,endDates=BE$5),dataGLBSAcctIDs=$C59))</f>
        <v>-739911.89</v>
      </c>
      <c r="BF59" s="347" cm="1">
        <f t="array" ref="BF59">SUM(_xlfn._xlws.FILTER(_xlfn._xlws.FILTER(dataGLBS,endDates=BF$5),dataGLBSAcctIDs=$C59))</f>
        <v>-945825.55</v>
      </c>
      <c r="BG59" s="347" cm="1">
        <f t="array" ref="BG59">SUM(_xlfn._xlws.FILTER(_xlfn._xlws.FILTER(dataGLBS,endDates=BG$5),dataGLBSAcctIDs=$C59))</f>
        <v>-1153557.76</v>
      </c>
      <c r="BH59" s="347" cm="1">
        <f t="array" ref="BH59">SUM(_xlfn._xlws.FILTER(_xlfn._xlws.FILTER(dataGLBS,endDates=BH$5),dataGLBSAcctIDs=$C59))</f>
        <v>-1372671.81</v>
      </c>
      <c r="BI59" s="347" cm="1">
        <f t="array" ref="BI59">SUM(_xlfn._xlws.FILTER(_xlfn._xlws.FILTER(dataGLBS,endDates=BI$5),dataGLBSAcctIDs=$C59))</f>
        <v>-1608151.8</v>
      </c>
      <c r="BJ59" s="347" cm="1">
        <f t="array" ref="BJ59">SUM(_xlfn._xlws.FILTER(_xlfn._xlws.FILTER(dataGLBS,endDates=BJ$5),dataGLBSAcctIDs=$C59))</f>
        <v>-1835806.01</v>
      </c>
      <c r="BK59" s="347" cm="1">
        <f t="array" ref="BK59">SUM(_xlfn._xlws.FILTER(_xlfn._xlws.FILTER(dataGLBS,endDates=BK$5),dataGLBSAcctIDs=$C59))</f>
        <v>-2082668.16</v>
      </c>
      <c r="BL59" s="347" cm="1">
        <f t="array" ref="BL59">SUM(_xlfn._xlws.FILTER(_xlfn._xlws.FILTER(dataGLBS,endDates=BL$5),dataGLBSAcctIDs=$C59))</f>
        <v>-2341848.65</v>
      </c>
      <c r="BM59" s="347" cm="1">
        <f t="array" ref="BM59">SUM(_xlfn._xlws.FILTER(_xlfn._xlws.FILTER(dataGLBS,endDates=BM$5),dataGLBSAcctIDs=$C59))</f>
        <v>-281870.09227272728</v>
      </c>
      <c r="BN59" s="347" cm="1">
        <f t="array" ref="BN59">SUM(_xlfn._xlws.FILTER(_xlfn._xlws.FILTER(dataGLBS,endDates=BN$5),dataGLBSAcctIDs=$C59))</f>
        <v>-224950.03602817957</v>
      </c>
      <c r="BO59" s="347" cm="1">
        <f t="array" ref="BO59">SUM(_xlfn._xlws.FILTER(_xlfn._xlws.FILTER(dataGLBS,endDates=BO$5),dataGLBSAcctIDs=$C59))</f>
        <v>-190478.12569013389</v>
      </c>
      <c r="BP59" s="347" cm="1">
        <f t="array" ref="BP59">SUM(_xlfn._xlws.FILTER(_xlfn._xlws.FILTER(dataGLBS,endDates=BP$5),dataGLBSAcctIDs=$C59))</f>
        <v>-195136.6721099643</v>
      </c>
      <c r="BQ59" s="347" cm="1">
        <f t="array" ref="BQ59">SUM(_xlfn._xlws.FILTER(_xlfn._xlws.FILTER(dataGLBS,endDates=BQ$5),dataGLBSAcctIDs=$C59))</f>
        <v>-222874.80513351597</v>
      </c>
      <c r="BR59" s="347" cm="1">
        <f t="array" ref="BR59">SUM(_xlfn._xlws.FILTER(_xlfn._xlws.FILTER(dataGLBS,endDates=BR$5),dataGLBSAcctIDs=$C59))</f>
        <v>-226364.12775811547</v>
      </c>
      <c r="BS59" s="347" cm="1">
        <f t="array" ref="BS59">SUM(_xlfn._xlws.FILTER(_xlfn._xlws.FILTER(dataGLBS,endDates=BS$5),dataGLBSAcctIDs=$C59))</f>
        <v>-231434.78192156955</v>
      </c>
      <c r="BT59" s="347" cm="1">
        <f t="array" ref="BT59">SUM(_xlfn._xlws.FILTER(_xlfn._xlws.FILTER(dataGLBS,endDates=BT$5),dataGLBSAcctIDs=$C59))</f>
        <v>-239175.14046604885</v>
      </c>
      <c r="BU59" s="347" cm="1">
        <f t="array" ref="BU59">SUM(_xlfn._xlws.FILTER(_xlfn._xlws.FILTER(dataGLBS,endDates=BU$5),dataGLBSAcctIDs=$C59))</f>
        <v>-242999.31608914887</v>
      </c>
      <c r="BV59" s="347" cm="1">
        <f t="array" ref="BV59">SUM(_xlfn._xlws.FILTER(_xlfn._xlws.FILTER(dataGLBS,endDates=BV$5),dataGLBSAcctIDs=$C59))</f>
        <v>-246653.02396238543</v>
      </c>
      <c r="BW59" s="347" cm="1">
        <f t="array" ref="BW59">SUM(_xlfn._xlws.FILTER(_xlfn._xlws.FILTER(dataGLBS,endDates=BW$5),dataGLBSAcctIDs=$C59))</f>
        <v>-250115.95194645505</v>
      </c>
      <c r="BX59" s="347" cm="1">
        <f t="array" ref="BX59">SUM(_xlfn._xlws.FILTER(_xlfn._xlws.FILTER(dataGLBS,endDates=BX$5),dataGLBSAcctIDs=$C59))</f>
        <v>-253468.68181665597</v>
      </c>
      <c r="BY59" s="347" cm="1">
        <f t="array" ref="BY59">SUM(_xlfn._xlws.FILTER(_xlfn._xlws.FILTER(dataGLBS,endDates=BY$5),dataGLBSAcctIDs=$C59))</f>
        <v>-273834.3328339202</v>
      </c>
      <c r="BZ59" s="201"/>
    </row>
    <row r="60" spans="1:78" s="350" customFormat="1" ht="21" customHeight="1">
      <c r="A60" s="215"/>
      <c r="B60" s="342" t="s">
        <v>328</v>
      </c>
      <c r="C60" s="343" t="s">
        <v>329</v>
      </c>
      <c r="D60" s="215"/>
      <c r="E60" s="216"/>
      <c r="F60" s="346">
        <f t="shared" ref="F60:I60" si="42">_xlfn.AGGREGATE(9,0, F$53:F$59)</f>
        <v>2840078.5</v>
      </c>
      <c r="G60" s="346">
        <f t="shared" si="42"/>
        <v>1286596</v>
      </c>
      <c r="H60" s="346">
        <f t="shared" si="42"/>
        <v>-337122.74227272766</v>
      </c>
      <c r="I60" s="346">
        <f t="shared" si="42"/>
        <v>-3134607.7380288201</v>
      </c>
      <c r="J60" s="344"/>
      <c r="K60" s="344"/>
      <c r="L60" s="346">
        <f t="shared" ref="L60:AA60" si="43">_xlfn.AGGREGATE(9,0, L$53:L$59)</f>
        <v>365458</v>
      </c>
      <c r="M60" s="346">
        <f t="shared" si="43"/>
        <v>1724438</v>
      </c>
      <c r="N60" s="346">
        <f t="shared" si="43"/>
        <v>1581556.5</v>
      </c>
      <c r="O60" s="346">
        <f t="shared" si="43"/>
        <v>2840078.5</v>
      </c>
      <c r="P60" s="346">
        <f t="shared" si="43"/>
        <v>2562584.5</v>
      </c>
      <c r="Q60" s="346">
        <f t="shared" si="43"/>
        <v>2209439.5</v>
      </c>
      <c r="R60" s="346">
        <f t="shared" si="43"/>
        <v>1764252.5</v>
      </c>
      <c r="S60" s="346">
        <f t="shared" si="43"/>
        <v>1286596</v>
      </c>
      <c r="T60" s="346">
        <f t="shared" si="43"/>
        <v>743813.77</v>
      </c>
      <c r="U60" s="346">
        <f t="shared" si="43"/>
        <v>133038.24</v>
      </c>
      <c r="V60" s="346">
        <f t="shared" si="43"/>
        <v>-549210.01</v>
      </c>
      <c r="W60" s="346">
        <f t="shared" si="43"/>
        <v>-337122.74227272766</v>
      </c>
      <c r="X60" s="346">
        <f t="shared" si="43"/>
        <v>-947687.57610100508</v>
      </c>
      <c r="Y60" s="346">
        <f t="shared" si="43"/>
        <v>-1628361.2909142061</v>
      </c>
      <c r="Z60" s="346">
        <f t="shared" si="43"/>
        <v>-2357188.7714317893</v>
      </c>
      <c r="AA60" s="346">
        <f t="shared" si="43"/>
        <v>-3134607.7380288201</v>
      </c>
      <c r="AB60" s="215"/>
      <c r="AC60" s="344"/>
      <c r="AD60" s="346">
        <f>_xlfn.AGGREGATE(9,0, AD$53:AD$59)</f>
        <v>455601</v>
      </c>
      <c r="AE60" s="346">
        <f t="shared" ref="AE60:BY60" si="44">_xlfn.AGGREGATE(9,0, AE$53:AE$59)</f>
        <v>410762</v>
      </c>
      <c r="AF60" s="346">
        <f t="shared" si="44"/>
        <v>365458</v>
      </c>
      <c r="AG60" s="346">
        <f t="shared" si="44"/>
        <v>318837</v>
      </c>
      <c r="AH60" s="346">
        <f t="shared" si="44"/>
        <v>271859</v>
      </c>
      <c r="AI60" s="346">
        <f t="shared" si="44"/>
        <v>1724438</v>
      </c>
      <c r="AJ60" s="346">
        <f t="shared" si="44"/>
        <v>1676877</v>
      </c>
      <c r="AK60" s="346">
        <f t="shared" si="44"/>
        <v>1629192.5</v>
      </c>
      <c r="AL60" s="346">
        <f t="shared" si="44"/>
        <v>1581556.5</v>
      </c>
      <c r="AM60" s="346">
        <f t="shared" si="44"/>
        <v>1529081.5</v>
      </c>
      <c r="AN60" s="346">
        <f t="shared" si="44"/>
        <v>1964263.5</v>
      </c>
      <c r="AO60" s="346">
        <f t="shared" si="44"/>
        <v>2840078.5</v>
      </c>
      <c r="AP60" s="346">
        <f t="shared" si="44"/>
        <v>2767274</v>
      </c>
      <c r="AQ60" s="346">
        <f t="shared" si="44"/>
        <v>2637954</v>
      </c>
      <c r="AR60" s="346">
        <f t="shared" si="44"/>
        <v>2562584.5</v>
      </c>
      <c r="AS60" s="346">
        <f t="shared" si="44"/>
        <v>2427874</v>
      </c>
      <c r="AT60" s="346">
        <f t="shared" si="44"/>
        <v>2349811.5</v>
      </c>
      <c r="AU60" s="346">
        <f t="shared" si="44"/>
        <v>2209439.5</v>
      </c>
      <c r="AV60" s="346">
        <f t="shared" si="44"/>
        <v>2063123.5</v>
      </c>
      <c r="AW60" s="346">
        <f t="shared" si="44"/>
        <v>1916808.5</v>
      </c>
      <c r="AX60" s="346">
        <f t="shared" si="44"/>
        <v>1764252.5</v>
      </c>
      <c r="AY60" s="346">
        <f t="shared" si="44"/>
        <v>1611695.5</v>
      </c>
      <c r="AZ60" s="346">
        <f t="shared" si="44"/>
        <v>1452585.5</v>
      </c>
      <c r="BA60" s="346">
        <f t="shared" si="44"/>
        <v>1286596</v>
      </c>
      <c r="BB60" s="346">
        <f t="shared" si="44"/>
        <v>1113381.0900000001</v>
      </c>
      <c r="BC60" s="346">
        <f t="shared" si="44"/>
        <v>932580.42999999993</v>
      </c>
      <c r="BD60" s="346">
        <f t="shared" si="44"/>
        <v>743813.77</v>
      </c>
      <c r="BE60" s="346">
        <f t="shared" si="44"/>
        <v>546684.11</v>
      </c>
      <c r="BF60" s="346">
        <f t="shared" si="44"/>
        <v>340770.44999999995</v>
      </c>
      <c r="BG60" s="346">
        <f t="shared" si="44"/>
        <v>133038.24</v>
      </c>
      <c r="BH60" s="346">
        <f t="shared" si="44"/>
        <v>-86075.810000000056</v>
      </c>
      <c r="BI60" s="346">
        <f t="shared" si="44"/>
        <v>-321555.80000000005</v>
      </c>
      <c r="BJ60" s="346">
        <f t="shared" si="44"/>
        <v>-549210.01</v>
      </c>
      <c r="BK60" s="346">
        <f t="shared" si="44"/>
        <v>-796072.15999999992</v>
      </c>
      <c r="BL60" s="346">
        <f t="shared" si="44"/>
        <v>-1055252.6499999999</v>
      </c>
      <c r="BM60" s="346">
        <f t="shared" si="44"/>
        <v>-337122.74227272766</v>
      </c>
      <c r="BN60" s="346">
        <f t="shared" si="44"/>
        <v>-562072.77830090676</v>
      </c>
      <c r="BO60" s="346">
        <f t="shared" si="44"/>
        <v>-752550.90399104042</v>
      </c>
      <c r="BP60" s="346">
        <f t="shared" si="44"/>
        <v>-947687.57610100508</v>
      </c>
      <c r="BQ60" s="346">
        <f t="shared" si="44"/>
        <v>-1170562.381234521</v>
      </c>
      <c r="BR60" s="346">
        <f t="shared" si="44"/>
        <v>-1396926.5089926366</v>
      </c>
      <c r="BS60" s="346">
        <f t="shared" si="44"/>
        <v>-1628361.2909142061</v>
      </c>
      <c r="BT60" s="346">
        <f t="shared" si="44"/>
        <v>-1867536.4313802547</v>
      </c>
      <c r="BU60" s="346">
        <f t="shared" si="44"/>
        <v>-2110535.7474694038</v>
      </c>
      <c r="BV60" s="346">
        <f t="shared" si="44"/>
        <v>-2357188.7714317893</v>
      </c>
      <c r="BW60" s="346">
        <f t="shared" si="44"/>
        <v>-2607304.7233782439</v>
      </c>
      <c r="BX60" s="346">
        <f t="shared" si="44"/>
        <v>-2860773.4051949</v>
      </c>
      <c r="BY60" s="346">
        <f t="shared" si="44"/>
        <v>-3134607.7380288201</v>
      </c>
      <c r="BZ60" s="201"/>
    </row>
    <row r="61" spans="1:78" s="350" customFormat="1" ht="21" customHeight="1">
      <c r="A61" s="215"/>
      <c r="B61" s="343" t="s">
        <v>330</v>
      </c>
      <c r="C61" s="343" t="s">
        <v>331</v>
      </c>
      <c r="D61" s="215"/>
      <c r="E61" s="216"/>
      <c r="F61" s="345">
        <f t="shared" ref="F61:I61" si="45">_xlfn.AGGREGATE(9,0, F$33:F$60)</f>
        <v>4443756</v>
      </c>
      <c r="G61" s="345">
        <f t="shared" si="45"/>
        <v>2890273.5</v>
      </c>
      <c r="H61" s="345">
        <f t="shared" si="45"/>
        <v>1410570.1743424241</v>
      </c>
      <c r="I61" s="345">
        <f t="shared" si="45"/>
        <v>-1375668.3368273084</v>
      </c>
      <c r="J61" s="344"/>
      <c r="K61" s="344"/>
      <c r="L61" s="345">
        <f t="shared" ref="L61:AA61" si="46">_xlfn.AGGREGATE(9,0, L$33:L$60)</f>
        <v>933584</v>
      </c>
      <c r="M61" s="345">
        <f t="shared" si="46"/>
        <v>2305128.5</v>
      </c>
      <c r="N61" s="345">
        <f t="shared" si="46"/>
        <v>2180019</v>
      </c>
      <c r="O61" s="345">
        <f t="shared" si="46"/>
        <v>4443756</v>
      </c>
      <c r="P61" s="345">
        <f t="shared" si="46"/>
        <v>4166262</v>
      </c>
      <c r="Q61" s="345">
        <f t="shared" si="46"/>
        <v>3813117</v>
      </c>
      <c r="R61" s="345">
        <f t="shared" si="46"/>
        <v>3367930</v>
      </c>
      <c r="S61" s="345">
        <f t="shared" si="46"/>
        <v>2890273.5</v>
      </c>
      <c r="T61" s="345">
        <f t="shared" si="46"/>
        <v>2347491.27</v>
      </c>
      <c r="U61" s="345">
        <f t="shared" si="46"/>
        <v>1737715.74</v>
      </c>
      <c r="V61" s="345">
        <f t="shared" si="46"/>
        <v>1055967.49</v>
      </c>
      <c r="W61" s="345">
        <f t="shared" si="46"/>
        <v>1410570.1743424241</v>
      </c>
      <c r="X61" s="345">
        <f t="shared" si="46"/>
        <v>804279.24334299192</v>
      </c>
      <c r="Y61" s="345">
        <f t="shared" si="46"/>
        <v>128652.3532641583</v>
      </c>
      <c r="Z61" s="345">
        <f t="shared" si="46"/>
        <v>-601658.83139930712</v>
      </c>
      <c r="AA61" s="345">
        <f t="shared" si="46"/>
        <v>-1375668.3368273084</v>
      </c>
      <c r="AB61" s="215"/>
      <c r="AC61" s="344"/>
      <c r="AD61" s="345">
        <f>_xlfn.AGGREGATE(9,0, AD$33:AD$60)</f>
        <v>1014947</v>
      </c>
      <c r="AE61" s="345">
        <f t="shared" ref="AE61:BY61" si="47">_xlfn.AGGREGATE(9,0, AE$33:AE$60)</f>
        <v>977631</v>
      </c>
      <c r="AF61" s="345">
        <f t="shared" si="47"/>
        <v>933584</v>
      </c>
      <c r="AG61" s="345">
        <f t="shared" si="47"/>
        <v>893287.5</v>
      </c>
      <c r="AH61" s="345">
        <f t="shared" si="47"/>
        <v>850435.5</v>
      </c>
      <c r="AI61" s="345">
        <f t="shared" si="47"/>
        <v>2305128.5</v>
      </c>
      <c r="AJ61" s="345">
        <f t="shared" si="47"/>
        <v>2263541.5</v>
      </c>
      <c r="AK61" s="345">
        <f t="shared" si="47"/>
        <v>2220359</v>
      </c>
      <c r="AL61" s="345">
        <f t="shared" si="47"/>
        <v>2180019</v>
      </c>
      <c r="AM61" s="345">
        <f t="shared" si="47"/>
        <v>3132759</v>
      </c>
      <c r="AN61" s="345">
        <f t="shared" si="47"/>
        <v>3567941</v>
      </c>
      <c r="AO61" s="345">
        <f t="shared" si="47"/>
        <v>4443756</v>
      </c>
      <c r="AP61" s="345">
        <f t="shared" si="47"/>
        <v>4370951.5</v>
      </c>
      <c r="AQ61" s="345">
        <f t="shared" si="47"/>
        <v>4241631.5</v>
      </c>
      <c r="AR61" s="345">
        <f t="shared" si="47"/>
        <v>4166262</v>
      </c>
      <c r="AS61" s="345">
        <f t="shared" si="47"/>
        <v>4031551.5</v>
      </c>
      <c r="AT61" s="345">
        <f t="shared" si="47"/>
        <v>3953489</v>
      </c>
      <c r="AU61" s="345">
        <f t="shared" si="47"/>
        <v>3813117</v>
      </c>
      <c r="AV61" s="345">
        <f t="shared" si="47"/>
        <v>3666801</v>
      </c>
      <c r="AW61" s="345">
        <f t="shared" si="47"/>
        <v>3520486</v>
      </c>
      <c r="AX61" s="345">
        <f t="shared" si="47"/>
        <v>3367930</v>
      </c>
      <c r="AY61" s="345">
        <f t="shared" si="47"/>
        <v>3215373</v>
      </c>
      <c r="AZ61" s="345">
        <f t="shared" si="47"/>
        <v>3056263</v>
      </c>
      <c r="BA61" s="345">
        <f t="shared" si="47"/>
        <v>2890273.5</v>
      </c>
      <c r="BB61" s="345">
        <f t="shared" si="47"/>
        <v>2717058.59</v>
      </c>
      <c r="BC61" s="345">
        <f t="shared" si="47"/>
        <v>2536257.9300000002</v>
      </c>
      <c r="BD61" s="345">
        <f t="shared" si="47"/>
        <v>2347491.27</v>
      </c>
      <c r="BE61" s="345">
        <f t="shared" si="47"/>
        <v>2150361.61</v>
      </c>
      <c r="BF61" s="345">
        <f t="shared" si="47"/>
        <v>1944447.95</v>
      </c>
      <c r="BG61" s="345">
        <f t="shared" si="47"/>
        <v>1737715.74</v>
      </c>
      <c r="BH61" s="345">
        <f t="shared" si="47"/>
        <v>1518601.69</v>
      </c>
      <c r="BI61" s="345">
        <f t="shared" si="47"/>
        <v>1283621.7</v>
      </c>
      <c r="BJ61" s="345">
        <f t="shared" si="47"/>
        <v>1055967.49</v>
      </c>
      <c r="BK61" s="345">
        <f t="shared" si="47"/>
        <v>809105.34000000008</v>
      </c>
      <c r="BL61" s="345">
        <f t="shared" si="47"/>
        <v>550924.85000000009</v>
      </c>
      <c r="BM61" s="345">
        <f t="shared" si="47"/>
        <v>1410570.1743424241</v>
      </c>
      <c r="BN61" s="345">
        <f t="shared" si="47"/>
        <v>1204739.9956125475</v>
      </c>
      <c r="BO61" s="345">
        <f t="shared" si="47"/>
        <v>1000003.5312643753</v>
      </c>
      <c r="BP61" s="345">
        <f t="shared" si="47"/>
        <v>804279.24334299192</v>
      </c>
      <c r="BQ61" s="345">
        <f t="shared" si="47"/>
        <v>587999.83359180018</v>
      </c>
      <c r="BR61" s="345">
        <f t="shared" si="47"/>
        <v>360546.87947116146</v>
      </c>
      <c r="BS61" s="345">
        <f t="shared" si="47"/>
        <v>128652.3532641583</v>
      </c>
      <c r="BT61" s="345">
        <f t="shared" si="47"/>
        <v>-110218.84643821465</v>
      </c>
      <c r="BU61" s="345">
        <f t="shared" si="47"/>
        <v>-354073.59526842018</v>
      </c>
      <c r="BV61" s="345">
        <f t="shared" si="47"/>
        <v>-601658.83139930712</v>
      </c>
      <c r="BW61" s="345">
        <f t="shared" si="47"/>
        <v>-852768.13398647495</v>
      </c>
      <c r="BX61" s="345">
        <f t="shared" si="47"/>
        <v>-1107265.7665007969</v>
      </c>
      <c r="BY61" s="345">
        <f t="shared" si="47"/>
        <v>-1375668.3368273084</v>
      </c>
      <c r="BZ61" s="201"/>
    </row>
    <row r="62" spans="1:78" s="227" customFormat="1" ht="21" customHeight="1">
      <c r="A62" s="215"/>
      <c r="B62" s="343"/>
      <c r="C62" s="210"/>
      <c r="D62" s="215"/>
      <c r="E62" s="216"/>
      <c r="F62" s="200"/>
      <c r="G62" s="200"/>
      <c r="H62" s="200"/>
      <c r="I62" s="200"/>
      <c r="J62" s="200"/>
      <c r="K62" s="200"/>
      <c r="L62" s="200"/>
      <c r="M62" s="200"/>
      <c r="N62" s="200"/>
      <c r="O62" s="200"/>
      <c r="P62" s="200"/>
      <c r="Q62" s="200"/>
      <c r="R62" s="200"/>
      <c r="S62" s="200"/>
      <c r="T62" s="200"/>
      <c r="U62" s="200"/>
      <c r="V62" s="200"/>
      <c r="W62" s="200"/>
      <c r="X62" s="200"/>
      <c r="Y62" s="200"/>
      <c r="Z62" s="200"/>
      <c r="AA62" s="200"/>
      <c r="AB62" s="215"/>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c r="BY62" s="200"/>
      <c r="BZ62" s="199"/>
    </row>
    <row r="63" spans="1:78" s="227" customFormat="1" ht="21" customHeight="1">
      <c r="A63" s="215"/>
      <c r="B63" s="218"/>
      <c r="C63" s="210"/>
      <c r="D63" s="215"/>
      <c r="E63" s="216"/>
      <c r="F63" s="200"/>
      <c r="G63" s="200"/>
      <c r="H63" s="200"/>
      <c r="I63" s="200"/>
      <c r="J63" s="200"/>
      <c r="K63" s="200"/>
      <c r="L63" s="200"/>
      <c r="M63" s="200"/>
      <c r="N63" s="200"/>
      <c r="O63" s="200"/>
      <c r="P63" s="200"/>
      <c r="Q63" s="200"/>
      <c r="R63" s="200"/>
      <c r="S63" s="200"/>
      <c r="T63" s="200"/>
      <c r="U63" s="200"/>
      <c r="V63" s="200"/>
      <c r="W63" s="200"/>
      <c r="X63" s="200"/>
      <c r="Y63" s="200"/>
      <c r="Z63" s="200"/>
      <c r="AA63" s="200"/>
      <c r="AB63" s="215"/>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00"/>
      <c r="BP63" s="200"/>
      <c r="BQ63" s="200"/>
      <c r="BR63" s="200"/>
      <c r="BS63" s="200"/>
      <c r="BT63" s="200"/>
      <c r="BU63" s="200"/>
      <c r="BV63" s="200"/>
      <c r="BW63" s="200"/>
      <c r="BX63" s="200"/>
      <c r="BY63" s="200"/>
      <c r="BZ63" s="199"/>
    </row>
    <row r="64" spans="1:78" s="227" customFormat="1" ht="21" customHeight="1">
      <c r="A64" s="215"/>
      <c r="B64" s="218"/>
      <c r="C64" s="210"/>
      <c r="D64" s="215"/>
      <c r="E64" s="216"/>
      <c r="F64" s="200"/>
      <c r="G64" s="200"/>
      <c r="H64" s="200"/>
      <c r="I64" s="200"/>
      <c r="J64" s="200"/>
      <c r="K64" s="200"/>
      <c r="L64" s="200"/>
      <c r="M64" s="200"/>
      <c r="N64" s="200"/>
      <c r="O64" s="200"/>
      <c r="P64" s="200"/>
      <c r="Q64" s="200"/>
      <c r="R64" s="200"/>
      <c r="S64" s="200"/>
      <c r="T64" s="200"/>
      <c r="U64" s="200"/>
      <c r="V64" s="200"/>
      <c r="W64" s="200"/>
      <c r="X64" s="200"/>
      <c r="Y64" s="200"/>
      <c r="Z64" s="200"/>
      <c r="AA64" s="200"/>
      <c r="AB64" s="215"/>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c r="BM64" s="200"/>
      <c r="BN64" s="200"/>
      <c r="BO64" s="200"/>
      <c r="BP64" s="200"/>
      <c r="BQ64" s="200"/>
      <c r="BR64" s="200"/>
      <c r="BS64" s="200"/>
      <c r="BT64" s="200"/>
      <c r="BU64" s="200"/>
      <c r="BV64" s="200"/>
      <c r="BW64" s="200"/>
      <c r="BX64" s="200"/>
      <c r="BY64" s="200"/>
      <c r="BZ64" s="199"/>
    </row>
    <row r="65" spans="1:78" s="227" customFormat="1" ht="21" customHeight="1" collapsed="1">
      <c r="A65" s="215"/>
      <c r="B65" s="217" t="s">
        <v>155</v>
      </c>
      <c r="C65" s="210"/>
      <c r="D65" s="231"/>
      <c r="E65" s="215"/>
      <c r="F65" s="216"/>
      <c r="G65" s="216"/>
      <c r="H65" s="216"/>
      <c r="I65" s="216"/>
      <c r="J65" s="214"/>
      <c r="K65" s="200"/>
      <c r="L65" s="200"/>
      <c r="M65" s="214"/>
      <c r="N65" s="214"/>
      <c r="O65" s="214"/>
      <c r="P65" s="214"/>
      <c r="Q65" s="214"/>
      <c r="R65" s="214"/>
      <c r="S65" s="214"/>
      <c r="T65" s="214"/>
      <c r="U65" s="214"/>
      <c r="V65" s="214"/>
      <c r="W65" s="214"/>
      <c r="X65" s="214"/>
      <c r="Y65" s="214"/>
      <c r="Z65" s="214"/>
      <c r="AA65" s="214"/>
      <c r="AB65" s="215"/>
      <c r="AC65" s="215"/>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199"/>
    </row>
    <row r="66" spans="1:78" s="227" customFormat="1" ht="21" hidden="1" customHeight="1" outlineLevel="2">
      <c r="A66" s="208"/>
      <c r="B66" s="211" t="s">
        <v>135</v>
      </c>
      <c r="C66" s="217" t="s">
        <v>332</v>
      </c>
      <c r="D66" s="229"/>
      <c r="E66" s="208"/>
      <c r="F66" s="230" cm="1">
        <f t="array" ref="F66">SUMIFS(F$9:F$64,$C$9:$C$64,$C66)-SUM(_xlfn._xlws.FILTER(_xlfn._xlws.FILTER(dataSummaryBS,dataSummaryBSSections=$B66),endDates=F$5))</f>
        <v>0</v>
      </c>
      <c r="G66" s="230" cm="1">
        <f t="array" ref="G66">SUMIFS(G$9:G$64,$C$9:$C$64,$C66)-SUM(_xlfn._xlws.FILTER(_xlfn._xlws.FILTER(dataSummaryBS,dataSummaryBSSections=$B66),endDates=G$5))</f>
        <v>0</v>
      </c>
      <c r="H66" s="230" cm="1">
        <f t="array" ref="H66">SUMIFS(H$9:H$64,$C$9:$C$64,$C66)-SUM(_xlfn._xlws.FILTER(_xlfn._xlws.FILTER(dataSummaryBS,dataSummaryBSSections=$B66),endDates=H$5))</f>
        <v>0</v>
      </c>
      <c r="I66" s="230" cm="1">
        <f t="array" ref="I66">SUMIFS(I$9:I$64,$C$9:$C$64,$C66)-SUM(_xlfn._xlws.FILTER(_xlfn._xlws.FILTER(dataSummaryBS,dataSummaryBSSections=$B66),endDates=I$5))</f>
        <v>0</v>
      </c>
      <c r="J66" s="213"/>
      <c r="K66" s="208"/>
      <c r="L66" s="230" cm="1">
        <f t="array" ref="L66">SUMIFS(L$9:L$64,$C$9:$C$64,$C66)-SUM(_xlfn._xlws.FILTER(_xlfn._xlws.FILTER(dataSummaryBS,dataSummaryBSSections=$B66),endDates=L$5))</f>
        <v>0</v>
      </c>
      <c r="M66" s="230" cm="1">
        <f t="array" ref="M66">SUMIFS(M$9:M$64,$C$9:$C$64,$C66)-SUM(_xlfn._xlws.FILTER(_xlfn._xlws.FILTER(dataSummaryBS,dataSummaryBSSections=$B66),endDates=M$5))</f>
        <v>0</v>
      </c>
      <c r="N66" s="230" cm="1">
        <f t="array" ref="N66">SUMIFS(N$9:N$64,$C$9:$C$64,$C66)-SUM(_xlfn._xlws.FILTER(_xlfn._xlws.FILTER(dataSummaryBS,dataSummaryBSSections=$B66),endDates=N$5))</f>
        <v>0</v>
      </c>
      <c r="O66" s="230" cm="1">
        <f t="array" ref="O66">SUMIFS(O$9:O$64,$C$9:$C$64,$C66)-SUM(_xlfn._xlws.FILTER(_xlfn._xlws.FILTER(dataSummaryBS,dataSummaryBSSections=$B66),endDates=O$5))</f>
        <v>0</v>
      </c>
      <c r="P66" s="230" cm="1">
        <f t="array" ref="P66">SUMIFS(P$9:P$64,$C$9:$C$64,$C66)-SUM(_xlfn._xlws.FILTER(_xlfn._xlws.FILTER(dataSummaryBS,dataSummaryBSSections=$B66),endDates=P$5))</f>
        <v>0</v>
      </c>
      <c r="Q66" s="230" cm="1">
        <f t="array" ref="Q66">SUMIFS(Q$9:Q$64,$C$9:$C$64,$C66)-SUM(_xlfn._xlws.FILTER(_xlfn._xlws.FILTER(dataSummaryBS,dataSummaryBSSections=$B66),endDates=Q$5))</f>
        <v>0</v>
      </c>
      <c r="R66" s="230" cm="1">
        <f t="array" ref="R66">SUMIFS(R$9:R$64,$C$9:$C$64,$C66)-SUM(_xlfn._xlws.FILTER(_xlfn._xlws.FILTER(dataSummaryBS,dataSummaryBSSections=$B66),endDates=R$5))</f>
        <v>0</v>
      </c>
      <c r="S66" s="230" cm="1">
        <f t="array" ref="S66">SUMIFS(S$9:S$64,$C$9:$C$64,$C66)-SUM(_xlfn._xlws.FILTER(_xlfn._xlws.FILTER(dataSummaryBS,dataSummaryBSSections=$B66),endDates=S$5))</f>
        <v>0</v>
      </c>
      <c r="T66" s="230" cm="1">
        <f t="array" ref="T66">SUMIFS(T$9:T$64,$C$9:$C$64,$C66)-SUM(_xlfn._xlws.FILTER(_xlfn._xlws.FILTER(dataSummaryBS,dataSummaryBSSections=$B66),endDates=T$5))</f>
        <v>0</v>
      </c>
      <c r="U66" s="230" cm="1">
        <f t="array" ref="U66">SUMIFS(U$9:U$64,$C$9:$C$64,$C66)-SUM(_xlfn._xlws.FILTER(_xlfn._xlws.FILTER(dataSummaryBS,dataSummaryBSSections=$B66),endDates=U$5))</f>
        <v>0</v>
      </c>
      <c r="V66" s="230" cm="1">
        <f t="array" ref="V66">SUMIFS(V$9:V$64,$C$9:$C$64,$C66)-SUM(_xlfn._xlws.FILTER(_xlfn._xlws.FILTER(dataSummaryBS,dataSummaryBSSections=$B66),endDates=V$5))</f>
        <v>0</v>
      </c>
      <c r="W66" s="230" cm="1">
        <f t="array" ref="W66">SUMIFS(W$9:W$64,$C$9:$C$64,$C66)-SUM(_xlfn._xlws.FILTER(_xlfn._xlws.FILTER(dataSummaryBS,dataSummaryBSSections=$B66),endDates=W$5))</f>
        <v>0</v>
      </c>
      <c r="X66" s="230" cm="1">
        <f t="array" ref="X66">SUMIFS(X$9:X$64,$C$9:$C$64,$C66)-SUM(_xlfn._xlws.FILTER(_xlfn._xlws.FILTER(dataSummaryBS,dataSummaryBSSections=$B66),endDates=X$5))</f>
        <v>0</v>
      </c>
      <c r="Y66" s="230" cm="1">
        <f t="array" ref="Y66">SUMIFS(Y$9:Y$64,$C$9:$C$64,$C66)-SUM(_xlfn._xlws.FILTER(_xlfn._xlws.FILTER(dataSummaryBS,dataSummaryBSSections=$B66),endDates=Y$5))</f>
        <v>0</v>
      </c>
      <c r="Z66" s="230" cm="1">
        <f t="array" ref="Z66">SUMIFS(Z$9:Z$64,$C$9:$C$64,$C66)-SUM(_xlfn._xlws.FILTER(_xlfn._xlws.FILTER(dataSummaryBS,dataSummaryBSSections=$B66),endDates=Z$5))</f>
        <v>0</v>
      </c>
      <c r="AA66" s="230" cm="1">
        <f t="array" ref="AA66">SUMIFS(AA$9:AA$64,$C$9:$C$64,$C66)-SUM(_xlfn._xlws.FILTER(_xlfn._xlws.FILTER(dataSummaryBS,dataSummaryBSSections=$B66),endDates=AA$5))</f>
        <v>0</v>
      </c>
      <c r="AB66" s="208"/>
      <c r="AC66" s="208"/>
      <c r="AD66" s="230" cm="1">
        <f t="array" ref="AD66">SUMIFS(AD$9:AD$64,$C$9:$C$64,$C66)-SUM(_xlfn._xlws.FILTER(_xlfn._xlws.FILTER(dataSummaryBS,dataSummaryBSSections=$B66),endDates=AD$5))</f>
        <v>0</v>
      </c>
      <c r="AE66" s="230" cm="1">
        <f t="array" ref="AE66">SUMIFS(AE$9:AE$64,$C$9:$C$64,$C66)-SUM(_xlfn._xlws.FILTER(_xlfn._xlws.FILTER(dataSummaryBS,dataSummaryBSSections=$B66),endDates=AE$5))</f>
        <v>0</v>
      </c>
      <c r="AF66" s="230" cm="1">
        <f t="array" ref="AF66">SUMIFS(AF$9:AF$64,$C$9:$C$64,$C66)-SUM(_xlfn._xlws.FILTER(_xlfn._xlws.FILTER(dataSummaryBS,dataSummaryBSSections=$B66),endDates=AF$5))</f>
        <v>0</v>
      </c>
      <c r="AG66" s="230" cm="1">
        <f t="array" ref="AG66">SUMIFS(AG$9:AG$64,$C$9:$C$64,$C66)-SUM(_xlfn._xlws.FILTER(_xlfn._xlws.FILTER(dataSummaryBS,dataSummaryBSSections=$B66),endDates=AG$5))</f>
        <v>0</v>
      </c>
      <c r="AH66" s="230" cm="1">
        <f t="array" ref="AH66">SUMIFS(AH$9:AH$64,$C$9:$C$64,$C66)-SUM(_xlfn._xlws.FILTER(_xlfn._xlws.FILTER(dataSummaryBS,dataSummaryBSSections=$B66),endDates=AH$5))</f>
        <v>0</v>
      </c>
      <c r="AI66" s="230" cm="1">
        <f t="array" ref="AI66">SUMIFS(AI$9:AI$64,$C$9:$C$64,$C66)-SUM(_xlfn._xlws.FILTER(_xlfn._xlws.FILTER(dataSummaryBS,dataSummaryBSSections=$B66),endDates=AI$5))</f>
        <v>0</v>
      </c>
      <c r="AJ66" s="230" cm="1">
        <f t="array" ref="AJ66">SUMIFS(AJ$9:AJ$64,$C$9:$C$64,$C66)-SUM(_xlfn._xlws.FILTER(_xlfn._xlws.FILTER(dataSummaryBS,dataSummaryBSSections=$B66),endDates=AJ$5))</f>
        <v>0</v>
      </c>
      <c r="AK66" s="230" cm="1">
        <f t="array" ref="AK66">SUMIFS(AK$9:AK$64,$C$9:$C$64,$C66)-SUM(_xlfn._xlws.FILTER(_xlfn._xlws.FILTER(dataSummaryBS,dataSummaryBSSections=$B66),endDates=AK$5))</f>
        <v>0</v>
      </c>
      <c r="AL66" s="230" cm="1">
        <f t="array" ref="AL66">SUMIFS(AL$9:AL$64,$C$9:$C$64,$C66)-SUM(_xlfn._xlws.FILTER(_xlfn._xlws.FILTER(dataSummaryBS,dataSummaryBSSections=$B66),endDates=AL$5))</f>
        <v>0</v>
      </c>
      <c r="AM66" s="230" cm="1">
        <f t="array" ref="AM66">SUMIFS(AM$9:AM$64,$C$9:$C$64,$C66)-SUM(_xlfn._xlws.FILTER(_xlfn._xlws.FILTER(dataSummaryBS,dataSummaryBSSections=$B66),endDates=AM$5))</f>
        <v>0</v>
      </c>
      <c r="AN66" s="230" cm="1">
        <f t="array" ref="AN66">SUMIFS(AN$9:AN$64,$C$9:$C$64,$C66)-SUM(_xlfn._xlws.FILTER(_xlfn._xlws.FILTER(dataSummaryBS,dataSummaryBSSections=$B66),endDates=AN$5))</f>
        <v>0</v>
      </c>
      <c r="AO66" s="230" cm="1">
        <f t="array" ref="AO66">SUMIFS(AO$9:AO$64,$C$9:$C$64,$C66)-SUM(_xlfn._xlws.FILTER(_xlfn._xlws.FILTER(dataSummaryBS,dataSummaryBSSections=$B66),endDates=AO$5))</f>
        <v>0</v>
      </c>
      <c r="AP66" s="230" cm="1">
        <f t="array" ref="AP66">SUMIFS(AP$9:AP$64,$C$9:$C$64,$C66)-SUM(_xlfn._xlws.FILTER(_xlfn._xlws.FILTER(dataSummaryBS,dataSummaryBSSections=$B66),endDates=AP$5))</f>
        <v>0</v>
      </c>
      <c r="AQ66" s="230" cm="1">
        <f t="array" ref="AQ66">SUMIFS(AQ$9:AQ$64,$C$9:$C$64,$C66)-SUM(_xlfn._xlws.FILTER(_xlfn._xlws.FILTER(dataSummaryBS,dataSummaryBSSections=$B66),endDates=AQ$5))</f>
        <v>0</v>
      </c>
      <c r="AR66" s="230" cm="1">
        <f t="array" ref="AR66">SUMIFS(AR$9:AR$64,$C$9:$C$64,$C66)-SUM(_xlfn._xlws.FILTER(_xlfn._xlws.FILTER(dataSummaryBS,dataSummaryBSSections=$B66),endDates=AR$5))</f>
        <v>0</v>
      </c>
      <c r="AS66" s="230" cm="1">
        <f t="array" ref="AS66">SUMIFS(AS$9:AS$64,$C$9:$C$64,$C66)-SUM(_xlfn._xlws.FILTER(_xlfn._xlws.FILTER(dataSummaryBS,dataSummaryBSSections=$B66),endDates=AS$5))</f>
        <v>0</v>
      </c>
      <c r="AT66" s="230" cm="1">
        <f t="array" ref="AT66">SUMIFS(AT$9:AT$64,$C$9:$C$64,$C66)-SUM(_xlfn._xlws.FILTER(_xlfn._xlws.FILTER(dataSummaryBS,dataSummaryBSSections=$B66),endDates=AT$5))</f>
        <v>0</v>
      </c>
      <c r="AU66" s="230" cm="1">
        <f t="array" ref="AU66">SUMIFS(AU$9:AU$64,$C$9:$C$64,$C66)-SUM(_xlfn._xlws.FILTER(_xlfn._xlws.FILTER(dataSummaryBS,dataSummaryBSSections=$B66),endDates=AU$5))</f>
        <v>0</v>
      </c>
      <c r="AV66" s="230" cm="1">
        <f t="array" ref="AV66">SUMIFS(AV$9:AV$64,$C$9:$C$64,$C66)-SUM(_xlfn._xlws.FILTER(_xlfn._xlws.FILTER(dataSummaryBS,dataSummaryBSSections=$B66),endDates=AV$5))</f>
        <v>0</v>
      </c>
      <c r="AW66" s="230" cm="1">
        <f t="array" ref="AW66">SUMIFS(AW$9:AW$64,$C$9:$C$64,$C66)-SUM(_xlfn._xlws.FILTER(_xlfn._xlws.FILTER(dataSummaryBS,dataSummaryBSSections=$B66),endDates=AW$5))</f>
        <v>0</v>
      </c>
      <c r="AX66" s="230" cm="1">
        <f t="array" ref="AX66">SUMIFS(AX$9:AX$64,$C$9:$C$64,$C66)-SUM(_xlfn._xlws.FILTER(_xlfn._xlws.FILTER(dataSummaryBS,dataSummaryBSSections=$B66),endDates=AX$5))</f>
        <v>0</v>
      </c>
      <c r="AY66" s="230" cm="1">
        <f t="array" ref="AY66">SUMIFS(AY$9:AY$64,$C$9:$C$64,$C66)-SUM(_xlfn._xlws.FILTER(_xlfn._xlws.FILTER(dataSummaryBS,dataSummaryBSSections=$B66),endDates=AY$5))</f>
        <v>0</v>
      </c>
      <c r="AZ66" s="230" cm="1">
        <f t="array" ref="AZ66">SUMIFS(AZ$9:AZ$64,$C$9:$C$64,$C66)-SUM(_xlfn._xlws.FILTER(_xlfn._xlws.FILTER(dataSummaryBS,dataSummaryBSSections=$B66),endDates=AZ$5))</f>
        <v>0</v>
      </c>
      <c r="BA66" s="230" cm="1">
        <f t="array" ref="BA66">SUMIFS(BA$9:BA$64,$C$9:$C$64,$C66)-SUM(_xlfn._xlws.FILTER(_xlfn._xlws.FILTER(dataSummaryBS,dataSummaryBSSections=$B66),endDates=BA$5))</f>
        <v>0</v>
      </c>
      <c r="BB66" s="230" cm="1">
        <f t="array" ref="BB66">SUMIFS(BB$9:BB$64,$C$9:$C$64,$C66)-SUM(_xlfn._xlws.FILTER(_xlfn._xlws.FILTER(dataSummaryBS,dataSummaryBSSections=$B66),endDates=BB$5))</f>
        <v>0</v>
      </c>
      <c r="BC66" s="230" cm="1">
        <f t="array" ref="BC66">SUMIFS(BC$9:BC$64,$C$9:$C$64,$C66)-SUM(_xlfn._xlws.FILTER(_xlfn._xlws.FILTER(dataSummaryBS,dataSummaryBSSections=$B66),endDates=BC$5))</f>
        <v>0</v>
      </c>
      <c r="BD66" s="230" cm="1">
        <f t="array" ref="BD66">SUMIFS(BD$9:BD$64,$C$9:$C$64,$C66)-SUM(_xlfn._xlws.FILTER(_xlfn._xlws.FILTER(dataSummaryBS,dataSummaryBSSections=$B66),endDates=BD$5))</f>
        <v>0</v>
      </c>
      <c r="BE66" s="230" cm="1">
        <f t="array" ref="BE66">SUMIFS(BE$9:BE$64,$C$9:$C$64,$C66)-SUM(_xlfn._xlws.FILTER(_xlfn._xlws.FILTER(dataSummaryBS,dataSummaryBSSections=$B66),endDates=BE$5))</f>
        <v>0</v>
      </c>
      <c r="BF66" s="230" cm="1">
        <f t="array" ref="BF66">SUMIFS(BF$9:BF$64,$C$9:$C$64,$C66)-SUM(_xlfn._xlws.FILTER(_xlfn._xlws.FILTER(dataSummaryBS,dataSummaryBSSections=$B66),endDates=BF$5))</f>
        <v>0</v>
      </c>
      <c r="BG66" s="230" cm="1">
        <f t="array" ref="BG66">SUMIFS(BG$9:BG$64,$C$9:$C$64,$C66)-SUM(_xlfn._xlws.FILTER(_xlfn._xlws.FILTER(dataSummaryBS,dataSummaryBSSections=$B66),endDates=BG$5))</f>
        <v>0</v>
      </c>
      <c r="BH66" s="230" cm="1">
        <f t="array" ref="BH66">SUMIFS(BH$9:BH$64,$C$9:$C$64,$C66)-SUM(_xlfn._xlws.FILTER(_xlfn._xlws.FILTER(dataSummaryBS,dataSummaryBSSections=$B66),endDates=BH$5))</f>
        <v>0</v>
      </c>
      <c r="BI66" s="230" cm="1">
        <f t="array" ref="BI66">SUMIFS(BI$9:BI$64,$C$9:$C$64,$C66)-SUM(_xlfn._xlws.FILTER(_xlfn._xlws.FILTER(dataSummaryBS,dataSummaryBSSections=$B66),endDates=BI$5))</f>
        <v>0</v>
      </c>
      <c r="BJ66" s="230" cm="1">
        <f t="array" ref="BJ66">SUMIFS(BJ$9:BJ$64,$C$9:$C$64,$C66)-SUM(_xlfn._xlws.FILTER(_xlfn._xlws.FILTER(dataSummaryBS,dataSummaryBSSections=$B66),endDates=BJ$5))</f>
        <v>0</v>
      </c>
      <c r="BK66" s="230" cm="1">
        <f t="array" ref="BK66">SUMIFS(BK$9:BK$64,$C$9:$C$64,$C66)-SUM(_xlfn._xlws.FILTER(_xlfn._xlws.FILTER(dataSummaryBS,dataSummaryBSSections=$B66),endDates=BK$5))</f>
        <v>0</v>
      </c>
      <c r="BL66" s="230" cm="1">
        <f t="array" ref="BL66">SUMIFS(BL$9:BL$64,$C$9:$C$64,$C66)-SUM(_xlfn._xlws.FILTER(_xlfn._xlws.FILTER(dataSummaryBS,dataSummaryBSSections=$B66),endDates=BL$5))</f>
        <v>0</v>
      </c>
      <c r="BM66" s="230" cm="1">
        <f t="array" ref="BM66">SUMIFS(BM$9:BM$64,$C$9:$C$64,$C66)-SUM(_xlfn._xlws.FILTER(_xlfn._xlws.FILTER(dataSummaryBS,dataSummaryBSSections=$B66),endDates=BM$5))</f>
        <v>0</v>
      </c>
      <c r="BN66" s="230" cm="1">
        <f t="array" ref="BN66">SUMIFS(BN$9:BN$64,$C$9:$C$64,$C66)-SUM(_xlfn._xlws.FILTER(_xlfn._xlws.FILTER(dataSummaryBS,dataSummaryBSSections=$B66),endDates=BN$5))</f>
        <v>0</v>
      </c>
      <c r="BO66" s="230" cm="1">
        <f t="array" ref="BO66">SUMIFS(BO$9:BO$64,$C$9:$C$64,$C66)-SUM(_xlfn._xlws.FILTER(_xlfn._xlws.FILTER(dataSummaryBS,dataSummaryBSSections=$B66),endDates=BO$5))</f>
        <v>0</v>
      </c>
      <c r="BP66" s="230" cm="1">
        <f t="array" ref="BP66">SUMIFS(BP$9:BP$64,$C$9:$C$64,$C66)-SUM(_xlfn._xlws.FILTER(_xlfn._xlws.FILTER(dataSummaryBS,dataSummaryBSSections=$B66),endDates=BP$5))</f>
        <v>0</v>
      </c>
      <c r="BQ66" s="230" cm="1">
        <f t="array" ref="BQ66">SUMIFS(BQ$9:BQ$64,$C$9:$C$64,$C66)-SUM(_xlfn._xlws.FILTER(_xlfn._xlws.FILTER(dataSummaryBS,dataSummaryBSSections=$B66),endDates=BQ$5))</f>
        <v>0</v>
      </c>
      <c r="BR66" s="230" cm="1">
        <f t="array" ref="BR66">SUMIFS(BR$9:BR$64,$C$9:$C$64,$C66)-SUM(_xlfn._xlws.FILTER(_xlfn._xlws.FILTER(dataSummaryBS,dataSummaryBSSections=$B66),endDates=BR$5))</f>
        <v>0</v>
      </c>
      <c r="BS66" s="230" cm="1">
        <f t="array" ref="BS66">SUMIFS(BS$9:BS$64,$C$9:$C$64,$C66)-SUM(_xlfn._xlws.FILTER(_xlfn._xlws.FILTER(dataSummaryBS,dataSummaryBSSections=$B66),endDates=BS$5))</f>
        <v>0</v>
      </c>
      <c r="BT66" s="230" cm="1">
        <f t="array" ref="BT66">SUMIFS(BT$9:BT$64,$C$9:$C$64,$C66)-SUM(_xlfn._xlws.FILTER(_xlfn._xlws.FILTER(dataSummaryBS,dataSummaryBSSections=$B66),endDates=BT$5))</f>
        <v>0</v>
      </c>
      <c r="BU66" s="230" cm="1">
        <f t="array" ref="BU66">SUMIFS(BU$9:BU$64,$C$9:$C$64,$C66)-SUM(_xlfn._xlws.FILTER(_xlfn._xlws.FILTER(dataSummaryBS,dataSummaryBSSections=$B66),endDates=BU$5))</f>
        <v>0</v>
      </c>
      <c r="BV66" s="230" cm="1">
        <f t="array" ref="BV66">SUMIFS(BV$9:BV$64,$C$9:$C$64,$C66)-SUM(_xlfn._xlws.FILTER(_xlfn._xlws.FILTER(dataSummaryBS,dataSummaryBSSections=$B66),endDates=BV$5))</f>
        <v>0</v>
      </c>
      <c r="BW66" s="230" cm="1">
        <f t="array" ref="BW66">SUMIFS(BW$9:BW$64,$C$9:$C$64,$C66)-SUM(_xlfn._xlws.FILTER(_xlfn._xlws.FILTER(dataSummaryBS,dataSummaryBSSections=$B66),endDates=BW$5))</f>
        <v>0</v>
      </c>
      <c r="BX66" s="230" cm="1">
        <f t="array" ref="BX66">SUMIFS(BX$9:BX$64,$C$9:$C$64,$C66)-SUM(_xlfn._xlws.FILTER(_xlfn._xlws.FILTER(dataSummaryBS,dataSummaryBSSections=$B66),endDates=BX$5))</f>
        <v>0</v>
      </c>
      <c r="BY66" s="230" cm="1">
        <f t="array" ref="BY66">SUMIFS(BY$9:BY$64,$C$9:$C$64,$C66)-SUM(_xlfn._xlws.FILTER(_xlfn._xlws.FILTER(dataSummaryBS,dataSummaryBSSections=$B66),endDates=BY$5))</f>
        <v>0</v>
      </c>
      <c r="BZ66" s="205"/>
    </row>
    <row r="67" spans="1:78" s="227" customFormat="1" ht="21" hidden="1" customHeight="1" outlineLevel="2">
      <c r="A67" s="208"/>
      <c r="B67" s="211" t="s">
        <v>141</v>
      </c>
      <c r="C67" s="217" t="s">
        <v>321</v>
      </c>
      <c r="D67" s="229"/>
      <c r="E67" s="208"/>
      <c r="F67" s="230" cm="1">
        <f t="array" ref="F67">SUMIFS(F$9:F$64,$C$9:$C$64,$C67)-SUM(_xlfn._xlws.FILTER(_xlfn._xlws.FILTER(dataSummaryBS,dataSummaryBSSections=$B67),endDates=F$5))</f>
        <v>0</v>
      </c>
      <c r="G67" s="230" cm="1">
        <f t="array" ref="G67">SUMIFS(G$9:G$64,$C$9:$C$64,$C67)-SUM(_xlfn._xlws.FILTER(_xlfn._xlws.FILTER(dataSummaryBS,dataSummaryBSSections=$B67),endDates=G$5))</f>
        <v>0</v>
      </c>
      <c r="H67" s="230" cm="1">
        <f t="array" ref="H67">SUMIFS(H$9:H$64,$C$9:$C$64,$C67)-SUM(_xlfn._xlws.FILTER(_xlfn._xlws.FILTER(dataSummaryBS,dataSummaryBSSections=$B67),endDates=H$5))</f>
        <v>0</v>
      </c>
      <c r="I67" s="230" cm="1">
        <f t="array" ref="I67">SUMIFS(I$9:I$64,$C$9:$C$64,$C67)-SUM(_xlfn._xlws.FILTER(_xlfn._xlws.FILTER(dataSummaryBS,dataSummaryBSSections=$B67),endDates=I$5))</f>
        <v>0</v>
      </c>
      <c r="J67" s="207"/>
      <c r="K67" s="207"/>
      <c r="L67" s="230" cm="1">
        <f t="array" ref="L67">SUMIFS(L$9:L$64,$C$9:$C$64,$C67)-SUM(_xlfn._xlws.FILTER(_xlfn._xlws.FILTER(dataSummaryBS,dataSummaryBSSections=$B67),endDates=L$5))</f>
        <v>0</v>
      </c>
      <c r="M67" s="230" cm="1">
        <f t="array" ref="M67">SUMIFS(M$9:M$64,$C$9:$C$64,$C67)-SUM(_xlfn._xlws.FILTER(_xlfn._xlws.FILTER(dataSummaryBS,dataSummaryBSSections=$B67),endDates=M$5))</f>
        <v>0</v>
      </c>
      <c r="N67" s="230" cm="1">
        <f t="array" ref="N67">SUMIFS(N$9:N$64,$C$9:$C$64,$C67)-SUM(_xlfn._xlws.FILTER(_xlfn._xlws.FILTER(dataSummaryBS,dataSummaryBSSections=$B67),endDates=N$5))</f>
        <v>0</v>
      </c>
      <c r="O67" s="230" cm="1">
        <f t="array" ref="O67">SUMIFS(O$9:O$64,$C$9:$C$64,$C67)-SUM(_xlfn._xlws.FILTER(_xlfn._xlws.FILTER(dataSummaryBS,dataSummaryBSSections=$B67),endDates=O$5))</f>
        <v>0</v>
      </c>
      <c r="P67" s="230" cm="1">
        <f t="array" ref="P67">SUMIFS(P$9:P$64,$C$9:$C$64,$C67)-SUM(_xlfn._xlws.FILTER(_xlfn._xlws.FILTER(dataSummaryBS,dataSummaryBSSections=$B67),endDates=P$5))</f>
        <v>0</v>
      </c>
      <c r="Q67" s="230" cm="1">
        <f t="array" ref="Q67">SUMIFS(Q$9:Q$64,$C$9:$C$64,$C67)-SUM(_xlfn._xlws.FILTER(_xlfn._xlws.FILTER(dataSummaryBS,dataSummaryBSSections=$B67),endDates=Q$5))</f>
        <v>0</v>
      </c>
      <c r="R67" s="230" cm="1">
        <f t="array" ref="R67">SUMIFS(R$9:R$64,$C$9:$C$64,$C67)-SUM(_xlfn._xlws.FILTER(_xlfn._xlws.FILTER(dataSummaryBS,dataSummaryBSSections=$B67),endDates=R$5))</f>
        <v>0</v>
      </c>
      <c r="S67" s="230" cm="1">
        <f t="array" ref="S67">SUMIFS(S$9:S$64,$C$9:$C$64,$C67)-SUM(_xlfn._xlws.FILTER(_xlfn._xlws.FILTER(dataSummaryBS,dataSummaryBSSections=$B67),endDates=S$5))</f>
        <v>0</v>
      </c>
      <c r="T67" s="230" cm="1">
        <f t="array" ref="T67">SUMIFS(T$9:T$64,$C$9:$C$64,$C67)-SUM(_xlfn._xlws.FILTER(_xlfn._xlws.FILTER(dataSummaryBS,dataSummaryBSSections=$B67),endDates=T$5))</f>
        <v>0</v>
      </c>
      <c r="U67" s="230" cm="1">
        <f t="array" ref="U67">SUMIFS(U$9:U$64,$C$9:$C$64,$C67)-SUM(_xlfn._xlws.FILTER(_xlfn._xlws.FILTER(dataSummaryBS,dataSummaryBSSections=$B67),endDates=U$5))</f>
        <v>0</v>
      </c>
      <c r="V67" s="230" cm="1">
        <f t="array" ref="V67">SUMIFS(V$9:V$64,$C$9:$C$64,$C67)-SUM(_xlfn._xlws.FILTER(_xlfn._xlws.FILTER(dataSummaryBS,dataSummaryBSSections=$B67),endDates=V$5))</f>
        <v>0</v>
      </c>
      <c r="W67" s="230" cm="1">
        <f t="array" ref="W67">SUMIFS(W$9:W$64,$C$9:$C$64,$C67)-SUM(_xlfn._xlws.FILTER(_xlfn._xlws.FILTER(dataSummaryBS,dataSummaryBSSections=$B67),endDates=W$5))</f>
        <v>0</v>
      </c>
      <c r="X67" s="230" cm="1">
        <f t="array" ref="X67">SUMIFS(X$9:X$64,$C$9:$C$64,$C67)-SUM(_xlfn._xlws.FILTER(_xlfn._xlws.FILTER(dataSummaryBS,dataSummaryBSSections=$B67),endDates=X$5))</f>
        <v>0</v>
      </c>
      <c r="Y67" s="230" cm="1">
        <f t="array" ref="Y67">SUMIFS(Y$9:Y$64,$C$9:$C$64,$C67)-SUM(_xlfn._xlws.FILTER(_xlfn._xlws.FILTER(dataSummaryBS,dataSummaryBSSections=$B67),endDates=Y$5))</f>
        <v>0</v>
      </c>
      <c r="Z67" s="230" cm="1">
        <f t="array" ref="Z67">SUMIFS(Z$9:Z$64,$C$9:$C$64,$C67)-SUM(_xlfn._xlws.FILTER(_xlfn._xlws.FILTER(dataSummaryBS,dataSummaryBSSections=$B67),endDates=Z$5))</f>
        <v>0</v>
      </c>
      <c r="AA67" s="230" cm="1">
        <f t="array" ref="AA67">SUMIFS(AA$9:AA$64,$C$9:$C$64,$C67)-SUM(_xlfn._xlws.FILTER(_xlfn._xlws.FILTER(dataSummaryBS,dataSummaryBSSections=$B67),endDates=AA$5))</f>
        <v>0</v>
      </c>
      <c r="AB67" s="208"/>
      <c r="AC67" s="208"/>
      <c r="AD67" s="230" cm="1">
        <f t="array" ref="AD67">SUMIFS(AD$9:AD$64,$C$9:$C$64,$C67)-SUM(_xlfn._xlws.FILTER(_xlfn._xlws.FILTER(dataSummaryBS,dataSummaryBSSections=$B67),endDates=AD$5))</f>
        <v>0</v>
      </c>
      <c r="AE67" s="230" cm="1">
        <f t="array" ref="AE67">SUMIFS(AE$9:AE$64,$C$9:$C$64,$C67)-SUM(_xlfn._xlws.FILTER(_xlfn._xlws.FILTER(dataSummaryBS,dataSummaryBSSections=$B67),endDates=AE$5))</f>
        <v>0</v>
      </c>
      <c r="AF67" s="230" cm="1">
        <f t="array" ref="AF67">SUMIFS(AF$9:AF$64,$C$9:$C$64,$C67)-SUM(_xlfn._xlws.FILTER(_xlfn._xlws.FILTER(dataSummaryBS,dataSummaryBSSections=$B67),endDates=AF$5))</f>
        <v>0</v>
      </c>
      <c r="AG67" s="230" cm="1">
        <f t="array" ref="AG67">SUMIFS(AG$9:AG$64,$C$9:$C$64,$C67)-SUM(_xlfn._xlws.FILTER(_xlfn._xlws.FILTER(dataSummaryBS,dataSummaryBSSections=$B67),endDates=AG$5))</f>
        <v>0</v>
      </c>
      <c r="AH67" s="230" cm="1">
        <f t="array" ref="AH67">SUMIFS(AH$9:AH$64,$C$9:$C$64,$C67)-SUM(_xlfn._xlws.FILTER(_xlfn._xlws.FILTER(dataSummaryBS,dataSummaryBSSections=$B67),endDates=AH$5))</f>
        <v>0</v>
      </c>
      <c r="AI67" s="230" cm="1">
        <f t="array" ref="AI67">SUMIFS(AI$9:AI$64,$C$9:$C$64,$C67)-SUM(_xlfn._xlws.FILTER(_xlfn._xlws.FILTER(dataSummaryBS,dataSummaryBSSections=$B67),endDates=AI$5))</f>
        <v>0</v>
      </c>
      <c r="AJ67" s="230" cm="1">
        <f t="array" ref="AJ67">SUMIFS(AJ$9:AJ$64,$C$9:$C$64,$C67)-SUM(_xlfn._xlws.FILTER(_xlfn._xlws.FILTER(dataSummaryBS,dataSummaryBSSections=$B67),endDates=AJ$5))</f>
        <v>0</v>
      </c>
      <c r="AK67" s="230" cm="1">
        <f t="array" ref="AK67">SUMIFS(AK$9:AK$64,$C$9:$C$64,$C67)-SUM(_xlfn._xlws.FILTER(_xlfn._xlws.FILTER(dataSummaryBS,dataSummaryBSSections=$B67),endDates=AK$5))</f>
        <v>0</v>
      </c>
      <c r="AL67" s="230" cm="1">
        <f t="array" ref="AL67">SUMIFS(AL$9:AL$64,$C$9:$C$64,$C67)-SUM(_xlfn._xlws.FILTER(_xlfn._xlws.FILTER(dataSummaryBS,dataSummaryBSSections=$B67),endDates=AL$5))</f>
        <v>0</v>
      </c>
      <c r="AM67" s="230" cm="1">
        <f t="array" ref="AM67">SUMIFS(AM$9:AM$64,$C$9:$C$64,$C67)-SUM(_xlfn._xlws.FILTER(_xlfn._xlws.FILTER(dataSummaryBS,dataSummaryBSSections=$B67),endDates=AM$5))</f>
        <v>0</v>
      </c>
      <c r="AN67" s="230" cm="1">
        <f t="array" ref="AN67">SUMIFS(AN$9:AN$64,$C$9:$C$64,$C67)-SUM(_xlfn._xlws.FILTER(_xlfn._xlws.FILTER(dataSummaryBS,dataSummaryBSSections=$B67),endDates=AN$5))</f>
        <v>0</v>
      </c>
      <c r="AO67" s="230" cm="1">
        <f t="array" ref="AO67">SUMIFS(AO$9:AO$64,$C$9:$C$64,$C67)-SUM(_xlfn._xlws.FILTER(_xlfn._xlws.FILTER(dataSummaryBS,dataSummaryBSSections=$B67),endDates=AO$5))</f>
        <v>0</v>
      </c>
      <c r="AP67" s="230" cm="1">
        <f t="array" ref="AP67">SUMIFS(AP$9:AP$64,$C$9:$C$64,$C67)-SUM(_xlfn._xlws.FILTER(_xlfn._xlws.FILTER(dataSummaryBS,dataSummaryBSSections=$B67),endDates=AP$5))</f>
        <v>0</v>
      </c>
      <c r="AQ67" s="230" cm="1">
        <f t="array" ref="AQ67">SUMIFS(AQ$9:AQ$64,$C$9:$C$64,$C67)-SUM(_xlfn._xlws.FILTER(_xlfn._xlws.FILTER(dataSummaryBS,dataSummaryBSSections=$B67),endDates=AQ$5))</f>
        <v>0</v>
      </c>
      <c r="AR67" s="230" cm="1">
        <f t="array" ref="AR67">SUMIFS(AR$9:AR$64,$C$9:$C$64,$C67)-SUM(_xlfn._xlws.FILTER(_xlfn._xlws.FILTER(dataSummaryBS,dataSummaryBSSections=$B67),endDates=AR$5))</f>
        <v>0</v>
      </c>
      <c r="AS67" s="230" cm="1">
        <f t="array" ref="AS67">SUMIFS(AS$9:AS$64,$C$9:$C$64,$C67)-SUM(_xlfn._xlws.FILTER(_xlfn._xlws.FILTER(dataSummaryBS,dataSummaryBSSections=$B67),endDates=AS$5))</f>
        <v>0</v>
      </c>
      <c r="AT67" s="230" cm="1">
        <f t="array" ref="AT67">SUMIFS(AT$9:AT$64,$C$9:$C$64,$C67)-SUM(_xlfn._xlws.FILTER(_xlfn._xlws.FILTER(dataSummaryBS,dataSummaryBSSections=$B67),endDates=AT$5))</f>
        <v>0</v>
      </c>
      <c r="AU67" s="230" cm="1">
        <f t="array" ref="AU67">SUMIFS(AU$9:AU$64,$C$9:$C$64,$C67)-SUM(_xlfn._xlws.FILTER(_xlfn._xlws.FILTER(dataSummaryBS,dataSummaryBSSections=$B67),endDates=AU$5))</f>
        <v>0</v>
      </c>
      <c r="AV67" s="230" cm="1">
        <f t="array" ref="AV67">SUMIFS(AV$9:AV$64,$C$9:$C$64,$C67)-SUM(_xlfn._xlws.FILTER(_xlfn._xlws.FILTER(dataSummaryBS,dataSummaryBSSections=$B67),endDates=AV$5))</f>
        <v>0</v>
      </c>
      <c r="AW67" s="230" cm="1">
        <f t="array" ref="AW67">SUMIFS(AW$9:AW$64,$C$9:$C$64,$C67)-SUM(_xlfn._xlws.FILTER(_xlfn._xlws.FILTER(dataSummaryBS,dataSummaryBSSections=$B67),endDates=AW$5))</f>
        <v>0</v>
      </c>
      <c r="AX67" s="230" cm="1">
        <f t="array" ref="AX67">SUMIFS(AX$9:AX$64,$C$9:$C$64,$C67)-SUM(_xlfn._xlws.FILTER(_xlfn._xlws.FILTER(dataSummaryBS,dataSummaryBSSections=$B67),endDates=AX$5))</f>
        <v>0</v>
      </c>
      <c r="AY67" s="230" cm="1">
        <f t="array" ref="AY67">SUMIFS(AY$9:AY$64,$C$9:$C$64,$C67)-SUM(_xlfn._xlws.FILTER(_xlfn._xlws.FILTER(dataSummaryBS,dataSummaryBSSections=$B67),endDates=AY$5))</f>
        <v>0</v>
      </c>
      <c r="AZ67" s="230" cm="1">
        <f t="array" ref="AZ67">SUMIFS(AZ$9:AZ$64,$C$9:$C$64,$C67)-SUM(_xlfn._xlws.FILTER(_xlfn._xlws.FILTER(dataSummaryBS,dataSummaryBSSections=$B67),endDates=AZ$5))</f>
        <v>0</v>
      </c>
      <c r="BA67" s="230" cm="1">
        <f t="array" ref="BA67">SUMIFS(BA$9:BA$64,$C$9:$C$64,$C67)-SUM(_xlfn._xlws.FILTER(_xlfn._xlws.FILTER(dataSummaryBS,dataSummaryBSSections=$B67),endDates=BA$5))</f>
        <v>0</v>
      </c>
      <c r="BB67" s="230" cm="1">
        <f t="array" ref="BB67">SUMIFS(BB$9:BB$64,$C$9:$C$64,$C67)-SUM(_xlfn._xlws.FILTER(_xlfn._xlws.FILTER(dataSummaryBS,dataSummaryBSSections=$B67),endDates=BB$5))</f>
        <v>0</v>
      </c>
      <c r="BC67" s="230" cm="1">
        <f t="array" ref="BC67">SUMIFS(BC$9:BC$64,$C$9:$C$64,$C67)-SUM(_xlfn._xlws.FILTER(_xlfn._xlws.FILTER(dataSummaryBS,dataSummaryBSSections=$B67),endDates=BC$5))</f>
        <v>0</v>
      </c>
      <c r="BD67" s="230" cm="1">
        <f t="array" ref="BD67">SUMIFS(BD$9:BD$64,$C$9:$C$64,$C67)-SUM(_xlfn._xlws.FILTER(_xlfn._xlws.FILTER(dataSummaryBS,dataSummaryBSSections=$B67),endDates=BD$5))</f>
        <v>0</v>
      </c>
      <c r="BE67" s="230" cm="1">
        <f t="array" ref="BE67">SUMIFS(BE$9:BE$64,$C$9:$C$64,$C67)-SUM(_xlfn._xlws.FILTER(_xlfn._xlws.FILTER(dataSummaryBS,dataSummaryBSSections=$B67),endDates=BE$5))</f>
        <v>0</v>
      </c>
      <c r="BF67" s="230" cm="1">
        <f t="array" ref="BF67">SUMIFS(BF$9:BF$64,$C$9:$C$64,$C67)-SUM(_xlfn._xlws.FILTER(_xlfn._xlws.FILTER(dataSummaryBS,dataSummaryBSSections=$B67),endDates=BF$5))</f>
        <v>0</v>
      </c>
      <c r="BG67" s="230" cm="1">
        <f t="array" ref="BG67">SUMIFS(BG$9:BG$64,$C$9:$C$64,$C67)-SUM(_xlfn._xlws.FILTER(_xlfn._xlws.FILTER(dataSummaryBS,dataSummaryBSSections=$B67),endDates=BG$5))</f>
        <v>0</v>
      </c>
      <c r="BH67" s="230" cm="1">
        <f t="array" ref="BH67">SUMIFS(BH$9:BH$64,$C$9:$C$64,$C67)-SUM(_xlfn._xlws.FILTER(_xlfn._xlws.FILTER(dataSummaryBS,dataSummaryBSSections=$B67),endDates=BH$5))</f>
        <v>0</v>
      </c>
      <c r="BI67" s="230" cm="1">
        <f t="array" ref="BI67">SUMIFS(BI$9:BI$64,$C$9:$C$64,$C67)-SUM(_xlfn._xlws.FILTER(_xlfn._xlws.FILTER(dataSummaryBS,dataSummaryBSSections=$B67),endDates=BI$5))</f>
        <v>0</v>
      </c>
      <c r="BJ67" s="230" cm="1">
        <f t="array" ref="BJ67">SUMIFS(BJ$9:BJ$64,$C$9:$C$64,$C67)-SUM(_xlfn._xlws.FILTER(_xlfn._xlws.FILTER(dataSummaryBS,dataSummaryBSSections=$B67),endDates=BJ$5))</f>
        <v>0</v>
      </c>
      <c r="BK67" s="230" cm="1">
        <f t="array" ref="BK67">SUMIFS(BK$9:BK$64,$C$9:$C$64,$C67)-SUM(_xlfn._xlws.FILTER(_xlfn._xlws.FILTER(dataSummaryBS,dataSummaryBSSections=$B67),endDates=BK$5))</f>
        <v>0</v>
      </c>
      <c r="BL67" s="230" cm="1">
        <f t="array" ref="BL67">SUMIFS(BL$9:BL$64,$C$9:$C$64,$C67)-SUM(_xlfn._xlws.FILTER(_xlfn._xlws.FILTER(dataSummaryBS,dataSummaryBSSections=$B67),endDates=BL$5))</f>
        <v>0</v>
      </c>
      <c r="BM67" s="230" cm="1">
        <f t="array" ref="BM67">SUMIFS(BM$9:BM$64,$C$9:$C$64,$C67)-SUM(_xlfn._xlws.FILTER(_xlfn._xlws.FILTER(dataSummaryBS,dataSummaryBSSections=$B67),endDates=BM$5))</f>
        <v>0</v>
      </c>
      <c r="BN67" s="230" cm="1">
        <f t="array" ref="BN67">SUMIFS(BN$9:BN$64,$C$9:$C$64,$C67)-SUM(_xlfn._xlws.FILTER(_xlfn._xlws.FILTER(dataSummaryBS,dataSummaryBSSections=$B67),endDates=BN$5))</f>
        <v>0</v>
      </c>
      <c r="BO67" s="230" cm="1">
        <f t="array" ref="BO67">SUMIFS(BO$9:BO$64,$C$9:$C$64,$C67)-SUM(_xlfn._xlws.FILTER(_xlfn._xlws.FILTER(dataSummaryBS,dataSummaryBSSections=$B67),endDates=BO$5))</f>
        <v>0</v>
      </c>
      <c r="BP67" s="230" cm="1">
        <f t="array" ref="BP67">SUMIFS(BP$9:BP$64,$C$9:$C$64,$C67)-SUM(_xlfn._xlws.FILTER(_xlfn._xlws.FILTER(dataSummaryBS,dataSummaryBSSections=$B67),endDates=BP$5))</f>
        <v>0</v>
      </c>
      <c r="BQ67" s="230" cm="1">
        <f t="array" ref="BQ67">SUMIFS(BQ$9:BQ$64,$C$9:$C$64,$C67)-SUM(_xlfn._xlws.FILTER(_xlfn._xlws.FILTER(dataSummaryBS,dataSummaryBSSections=$B67),endDates=BQ$5))</f>
        <v>0</v>
      </c>
      <c r="BR67" s="230" cm="1">
        <f t="array" ref="BR67">SUMIFS(BR$9:BR$64,$C$9:$C$64,$C67)-SUM(_xlfn._xlws.FILTER(_xlfn._xlws.FILTER(dataSummaryBS,dataSummaryBSSections=$B67),endDates=BR$5))</f>
        <v>0</v>
      </c>
      <c r="BS67" s="230" cm="1">
        <f t="array" ref="BS67">SUMIFS(BS$9:BS$64,$C$9:$C$64,$C67)-SUM(_xlfn._xlws.FILTER(_xlfn._xlws.FILTER(dataSummaryBS,dataSummaryBSSections=$B67),endDates=BS$5))</f>
        <v>0</v>
      </c>
      <c r="BT67" s="230" cm="1">
        <f t="array" ref="BT67">SUMIFS(BT$9:BT$64,$C$9:$C$64,$C67)-SUM(_xlfn._xlws.FILTER(_xlfn._xlws.FILTER(dataSummaryBS,dataSummaryBSSections=$B67),endDates=BT$5))</f>
        <v>0</v>
      </c>
      <c r="BU67" s="230" cm="1">
        <f t="array" ref="BU67">SUMIFS(BU$9:BU$64,$C$9:$C$64,$C67)-SUM(_xlfn._xlws.FILTER(_xlfn._xlws.FILTER(dataSummaryBS,dataSummaryBSSections=$B67),endDates=BU$5))</f>
        <v>0</v>
      </c>
      <c r="BV67" s="230" cm="1">
        <f t="array" ref="BV67">SUMIFS(BV$9:BV$64,$C$9:$C$64,$C67)-SUM(_xlfn._xlws.FILTER(_xlfn._xlws.FILTER(dataSummaryBS,dataSummaryBSSections=$B67),endDates=BV$5))</f>
        <v>0</v>
      </c>
      <c r="BW67" s="230" cm="1">
        <f t="array" ref="BW67">SUMIFS(BW$9:BW$64,$C$9:$C$64,$C67)-SUM(_xlfn._xlws.FILTER(_xlfn._xlws.FILTER(dataSummaryBS,dataSummaryBSSections=$B67),endDates=BW$5))</f>
        <v>0</v>
      </c>
      <c r="BX67" s="230" cm="1">
        <f t="array" ref="BX67">SUMIFS(BX$9:BX$64,$C$9:$C$64,$C67)-SUM(_xlfn._xlws.FILTER(_xlfn._xlws.FILTER(dataSummaryBS,dataSummaryBSSections=$B67),endDates=BX$5))</f>
        <v>0</v>
      </c>
      <c r="BY67" s="230" cm="1">
        <f t="array" ref="BY67">SUMIFS(BY$9:BY$64,$C$9:$C$64,$C67)-SUM(_xlfn._xlws.FILTER(_xlfn._xlws.FILTER(dataSummaryBS,dataSummaryBSSections=$B67),endDates=BY$5))</f>
        <v>0</v>
      </c>
      <c r="BZ67" s="205"/>
    </row>
    <row r="68" spans="1:78" s="227" customFormat="1" ht="21" hidden="1" customHeight="1" outlineLevel="2">
      <c r="A68" s="208"/>
      <c r="B68" s="211" t="s">
        <v>146</v>
      </c>
      <c r="C68" s="217" t="s">
        <v>329</v>
      </c>
      <c r="D68" s="229"/>
      <c r="E68" s="208"/>
      <c r="F68" s="230" cm="1">
        <f t="array" ref="F68">SUMIFS(F$9:F$64,$C$9:$C$64,$C68)-SUM(_xlfn._xlws.FILTER(_xlfn._xlws.FILTER(dataSummaryBS,dataSummaryBSSections=$B68),endDates=F$5))</f>
        <v>0</v>
      </c>
      <c r="G68" s="230" cm="1">
        <f t="array" ref="G68">SUMIFS(G$9:G$64,$C$9:$C$64,$C68)-SUM(_xlfn._xlws.FILTER(_xlfn._xlws.FILTER(dataSummaryBS,dataSummaryBSSections=$B68),endDates=G$5))</f>
        <v>0</v>
      </c>
      <c r="H68" s="230" cm="1">
        <f t="array" ref="H68">SUMIFS(H$9:H$64,$C$9:$C$64,$C68)-SUM(_xlfn._xlws.FILTER(_xlfn._xlws.FILTER(dataSummaryBS,dataSummaryBSSections=$B68),endDates=H$5))</f>
        <v>-4.6566128730773926E-10</v>
      </c>
      <c r="I68" s="230" cm="1">
        <f t="array" ref="I68">SUMIFS(I$9:I$64,$C$9:$C$64,$C68)-SUM(_xlfn._xlws.FILTER(_xlfn._xlws.FILTER(dataSummaryBS,dataSummaryBSSections=$B68),endDates=I$5))</f>
        <v>0</v>
      </c>
      <c r="J68" s="207"/>
      <c r="K68" s="207"/>
      <c r="L68" s="230" cm="1">
        <f t="array" ref="L68">SUMIFS(L$9:L$64,$C$9:$C$64,$C68)-SUM(_xlfn._xlws.FILTER(_xlfn._xlws.FILTER(dataSummaryBS,dataSummaryBSSections=$B68),endDates=L$5))</f>
        <v>0</v>
      </c>
      <c r="M68" s="230" cm="1">
        <f t="array" ref="M68">SUMIFS(M$9:M$64,$C$9:$C$64,$C68)-SUM(_xlfn._xlws.FILTER(_xlfn._xlws.FILTER(dataSummaryBS,dataSummaryBSSections=$B68),endDates=M$5))</f>
        <v>0</v>
      </c>
      <c r="N68" s="230" cm="1">
        <f t="array" ref="N68">SUMIFS(N$9:N$64,$C$9:$C$64,$C68)-SUM(_xlfn._xlws.FILTER(_xlfn._xlws.FILTER(dataSummaryBS,dataSummaryBSSections=$B68),endDates=N$5))</f>
        <v>0</v>
      </c>
      <c r="O68" s="230" cm="1">
        <f t="array" ref="O68">SUMIFS(O$9:O$64,$C$9:$C$64,$C68)-SUM(_xlfn._xlws.FILTER(_xlfn._xlws.FILTER(dataSummaryBS,dataSummaryBSSections=$B68),endDates=O$5))</f>
        <v>0</v>
      </c>
      <c r="P68" s="230" cm="1">
        <f t="array" ref="P68">SUMIFS(P$9:P$64,$C$9:$C$64,$C68)-SUM(_xlfn._xlws.FILTER(_xlfn._xlws.FILTER(dataSummaryBS,dataSummaryBSSections=$B68),endDates=P$5))</f>
        <v>0</v>
      </c>
      <c r="Q68" s="230" cm="1">
        <f t="array" ref="Q68">SUMIFS(Q$9:Q$64,$C$9:$C$64,$C68)-SUM(_xlfn._xlws.FILTER(_xlfn._xlws.FILTER(dataSummaryBS,dataSummaryBSSections=$B68),endDates=Q$5))</f>
        <v>0</v>
      </c>
      <c r="R68" s="230" cm="1">
        <f t="array" ref="R68">SUMIFS(R$9:R$64,$C$9:$C$64,$C68)-SUM(_xlfn._xlws.FILTER(_xlfn._xlws.FILTER(dataSummaryBS,dataSummaryBSSections=$B68),endDates=R$5))</f>
        <v>0</v>
      </c>
      <c r="S68" s="230" cm="1">
        <f t="array" ref="S68">SUMIFS(S$9:S$64,$C$9:$C$64,$C68)-SUM(_xlfn._xlws.FILTER(_xlfn._xlws.FILTER(dataSummaryBS,dataSummaryBSSections=$B68),endDates=S$5))</f>
        <v>0</v>
      </c>
      <c r="T68" s="230" cm="1">
        <f t="array" ref="T68">SUMIFS(T$9:T$64,$C$9:$C$64,$C68)-SUM(_xlfn._xlws.FILTER(_xlfn._xlws.FILTER(dataSummaryBS,dataSummaryBSSections=$B68),endDates=T$5))</f>
        <v>0</v>
      </c>
      <c r="U68" s="230" cm="1">
        <f t="array" ref="U68">SUMIFS(U$9:U$64,$C$9:$C$64,$C68)-SUM(_xlfn._xlws.FILTER(_xlfn._xlws.FILTER(dataSummaryBS,dataSummaryBSSections=$B68),endDates=U$5))</f>
        <v>-2.3283064365386963E-10</v>
      </c>
      <c r="V68" s="230" cm="1">
        <f t="array" ref="V68">SUMIFS(V$9:V$64,$C$9:$C$64,$C68)-SUM(_xlfn._xlws.FILTER(_xlfn._xlws.FILTER(dataSummaryBS,dataSummaryBSSections=$B68),endDates=V$5))</f>
        <v>0</v>
      </c>
      <c r="W68" s="230" cm="1">
        <f t="array" ref="W68">SUMIFS(W$9:W$64,$C$9:$C$64,$C68)-SUM(_xlfn._xlws.FILTER(_xlfn._xlws.FILTER(dataSummaryBS,dataSummaryBSSections=$B68),endDates=W$5))</f>
        <v>-4.6566128730773926E-10</v>
      </c>
      <c r="X68" s="230" cm="1">
        <f t="array" ref="X68">SUMIFS(X$9:X$64,$C$9:$C$64,$C68)-SUM(_xlfn._xlws.FILTER(_xlfn._xlws.FILTER(dataSummaryBS,dataSummaryBSSections=$B68),endDates=X$5))</f>
        <v>0</v>
      </c>
      <c r="Y68" s="230" cm="1">
        <f t="array" ref="Y68">SUMIFS(Y$9:Y$64,$C$9:$C$64,$C68)-SUM(_xlfn._xlws.FILTER(_xlfn._xlws.FILTER(dataSummaryBS,dataSummaryBSSections=$B68),endDates=Y$5))</f>
        <v>0</v>
      </c>
      <c r="Z68" s="230" cm="1">
        <f t="array" ref="Z68">SUMIFS(Z$9:Z$64,$C$9:$C$64,$C68)-SUM(_xlfn._xlws.FILTER(_xlfn._xlws.FILTER(dataSummaryBS,dataSummaryBSSections=$B68),endDates=Z$5))</f>
        <v>0</v>
      </c>
      <c r="AA68" s="230" cm="1">
        <f t="array" ref="AA68">SUMIFS(AA$9:AA$64,$C$9:$C$64,$C68)-SUM(_xlfn._xlws.FILTER(_xlfn._xlws.FILTER(dataSummaryBS,dataSummaryBSSections=$B68),endDates=AA$5))</f>
        <v>0</v>
      </c>
      <c r="AB68" s="208"/>
      <c r="AC68" s="208"/>
      <c r="AD68" s="230" cm="1">
        <f t="array" ref="AD68">SUMIFS(AD$9:AD$64,$C$9:$C$64,$C68)-SUM(_xlfn._xlws.FILTER(_xlfn._xlws.FILTER(dataSummaryBS,dataSummaryBSSections=$B68),endDates=AD$5))</f>
        <v>0</v>
      </c>
      <c r="AE68" s="230" cm="1">
        <f t="array" ref="AE68">SUMIFS(AE$9:AE$64,$C$9:$C$64,$C68)-SUM(_xlfn._xlws.FILTER(_xlfn._xlws.FILTER(dataSummaryBS,dataSummaryBSSections=$B68),endDates=AE$5))</f>
        <v>0</v>
      </c>
      <c r="AF68" s="230" cm="1">
        <f t="array" ref="AF68">SUMIFS(AF$9:AF$64,$C$9:$C$64,$C68)-SUM(_xlfn._xlws.FILTER(_xlfn._xlws.FILTER(dataSummaryBS,dataSummaryBSSections=$B68),endDates=AF$5))</f>
        <v>0</v>
      </c>
      <c r="AG68" s="230" cm="1">
        <f t="array" ref="AG68">SUMIFS(AG$9:AG$64,$C$9:$C$64,$C68)-SUM(_xlfn._xlws.FILTER(_xlfn._xlws.FILTER(dataSummaryBS,dataSummaryBSSections=$B68),endDates=AG$5))</f>
        <v>0</v>
      </c>
      <c r="AH68" s="230" cm="1">
        <f t="array" ref="AH68">SUMIFS(AH$9:AH$64,$C$9:$C$64,$C68)-SUM(_xlfn._xlws.FILTER(_xlfn._xlws.FILTER(dataSummaryBS,dataSummaryBSSections=$B68),endDates=AH$5))</f>
        <v>0</v>
      </c>
      <c r="AI68" s="230" cm="1">
        <f t="array" ref="AI68">SUMIFS(AI$9:AI$64,$C$9:$C$64,$C68)-SUM(_xlfn._xlws.FILTER(_xlfn._xlws.FILTER(dataSummaryBS,dataSummaryBSSections=$B68),endDates=AI$5))</f>
        <v>0</v>
      </c>
      <c r="AJ68" s="230" cm="1">
        <f t="array" ref="AJ68">SUMIFS(AJ$9:AJ$64,$C$9:$C$64,$C68)-SUM(_xlfn._xlws.FILTER(_xlfn._xlws.FILTER(dataSummaryBS,dataSummaryBSSections=$B68),endDates=AJ$5))</f>
        <v>0</v>
      </c>
      <c r="AK68" s="230" cm="1">
        <f t="array" ref="AK68">SUMIFS(AK$9:AK$64,$C$9:$C$64,$C68)-SUM(_xlfn._xlws.FILTER(_xlfn._xlws.FILTER(dataSummaryBS,dataSummaryBSSections=$B68),endDates=AK$5))</f>
        <v>0</v>
      </c>
      <c r="AL68" s="230" cm="1">
        <f t="array" ref="AL68">SUMIFS(AL$9:AL$64,$C$9:$C$64,$C68)-SUM(_xlfn._xlws.FILTER(_xlfn._xlws.FILTER(dataSummaryBS,dataSummaryBSSections=$B68),endDates=AL$5))</f>
        <v>0</v>
      </c>
      <c r="AM68" s="230" cm="1">
        <f t="array" ref="AM68">SUMIFS(AM$9:AM$64,$C$9:$C$64,$C68)-SUM(_xlfn._xlws.FILTER(_xlfn._xlws.FILTER(dataSummaryBS,dataSummaryBSSections=$B68),endDates=AM$5))</f>
        <v>0</v>
      </c>
      <c r="AN68" s="230" cm="1">
        <f t="array" ref="AN68">SUMIFS(AN$9:AN$64,$C$9:$C$64,$C68)-SUM(_xlfn._xlws.FILTER(_xlfn._xlws.FILTER(dataSummaryBS,dataSummaryBSSections=$B68),endDates=AN$5))</f>
        <v>0</v>
      </c>
      <c r="AO68" s="230" cm="1">
        <f t="array" ref="AO68">SUMIFS(AO$9:AO$64,$C$9:$C$64,$C68)-SUM(_xlfn._xlws.FILTER(_xlfn._xlws.FILTER(dataSummaryBS,dataSummaryBSSections=$B68),endDates=AO$5))</f>
        <v>0</v>
      </c>
      <c r="AP68" s="230" cm="1">
        <f t="array" ref="AP68">SUMIFS(AP$9:AP$64,$C$9:$C$64,$C68)-SUM(_xlfn._xlws.FILTER(_xlfn._xlws.FILTER(dataSummaryBS,dataSummaryBSSections=$B68),endDates=AP$5))</f>
        <v>0</v>
      </c>
      <c r="AQ68" s="230" cm="1">
        <f t="array" ref="AQ68">SUMIFS(AQ$9:AQ$64,$C$9:$C$64,$C68)-SUM(_xlfn._xlws.FILTER(_xlfn._xlws.FILTER(dataSummaryBS,dataSummaryBSSections=$B68),endDates=AQ$5))</f>
        <v>0</v>
      </c>
      <c r="AR68" s="230" cm="1">
        <f t="array" ref="AR68">SUMIFS(AR$9:AR$64,$C$9:$C$64,$C68)-SUM(_xlfn._xlws.FILTER(_xlfn._xlws.FILTER(dataSummaryBS,dataSummaryBSSections=$B68),endDates=AR$5))</f>
        <v>0</v>
      </c>
      <c r="AS68" s="230" cm="1">
        <f t="array" ref="AS68">SUMIFS(AS$9:AS$64,$C$9:$C$64,$C68)-SUM(_xlfn._xlws.FILTER(_xlfn._xlws.FILTER(dataSummaryBS,dataSummaryBSSections=$B68),endDates=AS$5))</f>
        <v>0</v>
      </c>
      <c r="AT68" s="230" cm="1">
        <f t="array" ref="AT68">SUMIFS(AT$9:AT$64,$C$9:$C$64,$C68)-SUM(_xlfn._xlws.FILTER(_xlfn._xlws.FILTER(dataSummaryBS,dataSummaryBSSections=$B68),endDates=AT$5))</f>
        <v>0</v>
      </c>
      <c r="AU68" s="230" cm="1">
        <f t="array" ref="AU68">SUMIFS(AU$9:AU$64,$C$9:$C$64,$C68)-SUM(_xlfn._xlws.FILTER(_xlfn._xlws.FILTER(dataSummaryBS,dataSummaryBSSections=$B68),endDates=AU$5))</f>
        <v>0</v>
      </c>
      <c r="AV68" s="230" cm="1">
        <f t="array" ref="AV68">SUMIFS(AV$9:AV$64,$C$9:$C$64,$C68)-SUM(_xlfn._xlws.FILTER(_xlfn._xlws.FILTER(dataSummaryBS,dataSummaryBSSections=$B68),endDates=AV$5))</f>
        <v>0</v>
      </c>
      <c r="AW68" s="230" cm="1">
        <f t="array" ref="AW68">SUMIFS(AW$9:AW$64,$C$9:$C$64,$C68)-SUM(_xlfn._xlws.FILTER(_xlfn._xlws.FILTER(dataSummaryBS,dataSummaryBSSections=$B68),endDates=AW$5))</f>
        <v>0</v>
      </c>
      <c r="AX68" s="230" cm="1">
        <f t="array" ref="AX68">SUMIFS(AX$9:AX$64,$C$9:$C$64,$C68)-SUM(_xlfn._xlws.FILTER(_xlfn._xlws.FILTER(dataSummaryBS,dataSummaryBSSections=$B68),endDates=AX$5))</f>
        <v>0</v>
      </c>
      <c r="AY68" s="230" cm="1">
        <f t="array" ref="AY68">SUMIFS(AY$9:AY$64,$C$9:$C$64,$C68)-SUM(_xlfn._xlws.FILTER(_xlfn._xlws.FILTER(dataSummaryBS,dataSummaryBSSections=$B68),endDates=AY$5))</f>
        <v>0</v>
      </c>
      <c r="AZ68" s="230" cm="1">
        <f t="array" ref="AZ68">SUMIFS(AZ$9:AZ$64,$C$9:$C$64,$C68)-SUM(_xlfn._xlws.FILTER(_xlfn._xlws.FILTER(dataSummaryBS,dataSummaryBSSections=$B68),endDates=AZ$5))</f>
        <v>0</v>
      </c>
      <c r="BA68" s="230" cm="1">
        <f t="array" ref="BA68">SUMIFS(BA$9:BA$64,$C$9:$C$64,$C68)-SUM(_xlfn._xlws.FILTER(_xlfn._xlws.FILTER(dataSummaryBS,dataSummaryBSSections=$B68),endDates=BA$5))</f>
        <v>0</v>
      </c>
      <c r="BB68" s="230" cm="1">
        <f t="array" ref="BB68">SUMIFS(BB$9:BB$64,$C$9:$C$64,$C68)-SUM(_xlfn._xlws.FILTER(_xlfn._xlws.FILTER(dataSummaryBS,dataSummaryBSSections=$B68),endDates=BB$5))</f>
        <v>0</v>
      </c>
      <c r="BC68" s="230" cm="1">
        <f t="array" ref="BC68">SUMIFS(BC$9:BC$64,$C$9:$C$64,$C68)-SUM(_xlfn._xlws.FILTER(_xlfn._xlws.FILTER(dataSummaryBS,dataSummaryBSSections=$B68),endDates=BC$5))</f>
        <v>0</v>
      </c>
      <c r="BD68" s="230" cm="1">
        <f t="array" ref="BD68">SUMIFS(BD$9:BD$64,$C$9:$C$64,$C68)-SUM(_xlfn._xlws.FILTER(_xlfn._xlws.FILTER(dataSummaryBS,dataSummaryBSSections=$B68),endDates=BD$5))</f>
        <v>0</v>
      </c>
      <c r="BE68" s="230" cm="1">
        <f t="array" ref="BE68">SUMIFS(BE$9:BE$64,$C$9:$C$64,$C68)-SUM(_xlfn._xlws.FILTER(_xlfn._xlws.FILTER(dataSummaryBS,dataSummaryBSSections=$B68),endDates=BE$5))</f>
        <v>0</v>
      </c>
      <c r="BF68" s="230" cm="1">
        <f t="array" ref="BF68">SUMIFS(BF$9:BF$64,$C$9:$C$64,$C68)-SUM(_xlfn._xlws.FILTER(_xlfn._xlws.FILTER(dataSummaryBS,dataSummaryBSSections=$B68),endDates=BF$5))</f>
        <v>0</v>
      </c>
      <c r="BG68" s="230" cm="1">
        <f t="array" ref="BG68">SUMIFS(BG$9:BG$64,$C$9:$C$64,$C68)-SUM(_xlfn._xlws.FILTER(_xlfn._xlws.FILTER(dataSummaryBS,dataSummaryBSSections=$B68),endDates=BG$5))</f>
        <v>-2.3283064365386963E-10</v>
      </c>
      <c r="BH68" s="230" cm="1">
        <f t="array" ref="BH68">SUMIFS(BH$9:BH$64,$C$9:$C$64,$C68)-SUM(_xlfn._xlws.FILTER(_xlfn._xlws.FILTER(dataSummaryBS,dataSummaryBSSections=$B68),endDates=BH$5))</f>
        <v>0</v>
      </c>
      <c r="BI68" s="230" cm="1">
        <f t="array" ref="BI68">SUMIFS(BI$9:BI$64,$C$9:$C$64,$C68)-SUM(_xlfn._xlws.FILTER(_xlfn._xlws.FILTER(dataSummaryBS,dataSummaryBSSections=$B68),endDates=BI$5))</f>
        <v>0</v>
      </c>
      <c r="BJ68" s="230" cm="1">
        <f t="array" ref="BJ68">SUMIFS(BJ$9:BJ$64,$C$9:$C$64,$C68)-SUM(_xlfn._xlws.FILTER(_xlfn._xlws.FILTER(dataSummaryBS,dataSummaryBSSections=$B68),endDates=BJ$5))</f>
        <v>0</v>
      </c>
      <c r="BK68" s="230" cm="1">
        <f t="array" ref="BK68">SUMIFS(BK$9:BK$64,$C$9:$C$64,$C68)-SUM(_xlfn._xlws.FILTER(_xlfn._xlws.FILTER(dataSummaryBS,dataSummaryBSSections=$B68),endDates=BK$5))</f>
        <v>0</v>
      </c>
      <c r="BL68" s="230" cm="1">
        <f t="array" ref="BL68">SUMIFS(BL$9:BL$64,$C$9:$C$64,$C68)-SUM(_xlfn._xlws.FILTER(_xlfn._xlws.FILTER(dataSummaryBS,dataSummaryBSSections=$B68),endDates=BL$5))</f>
        <v>0</v>
      </c>
      <c r="BM68" s="230" cm="1">
        <f t="array" ref="BM68">SUMIFS(BM$9:BM$64,$C$9:$C$64,$C68)-SUM(_xlfn._xlws.FILTER(_xlfn._xlws.FILTER(dataSummaryBS,dataSummaryBSSections=$B68),endDates=BM$5))</f>
        <v>-4.6566128730773926E-10</v>
      </c>
      <c r="BN68" s="230" cm="1">
        <f t="array" ref="BN68">SUMIFS(BN$9:BN$64,$C$9:$C$64,$C68)-SUM(_xlfn._xlws.FILTER(_xlfn._xlws.FILTER(dataSummaryBS,dataSummaryBSSections=$B68),endDates=BN$5))</f>
        <v>0</v>
      </c>
      <c r="BO68" s="230" cm="1">
        <f t="array" ref="BO68">SUMIFS(BO$9:BO$64,$C$9:$C$64,$C68)-SUM(_xlfn._xlws.FILTER(_xlfn._xlws.FILTER(dataSummaryBS,dataSummaryBSSections=$B68),endDates=BO$5))</f>
        <v>0</v>
      </c>
      <c r="BP68" s="230" cm="1">
        <f t="array" ref="BP68">SUMIFS(BP$9:BP$64,$C$9:$C$64,$C68)-SUM(_xlfn._xlws.FILTER(_xlfn._xlws.FILTER(dataSummaryBS,dataSummaryBSSections=$B68),endDates=BP$5))</f>
        <v>0</v>
      </c>
      <c r="BQ68" s="230" cm="1">
        <f t="array" ref="BQ68">SUMIFS(BQ$9:BQ$64,$C$9:$C$64,$C68)-SUM(_xlfn._xlws.FILTER(_xlfn._xlws.FILTER(dataSummaryBS,dataSummaryBSSections=$B68),endDates=BQ$5))</f>
        <v>0</v>
      </c>
      <c r="BR68" s="230" cm="1">
        <f t="array" ref="BR68">SUMIFS(BR$9:BR$64,$C$9:$C$64,$C68)-SUM(_xlfn._xlws.FILTER(_xlfn._xlws.FILTER(dataSummaryBS,dataSummaryBSSections=$B68),endDates=BR$5))</f>
        <v>0</v>
      </c>
      <c r="BS68" s="230" cm="1">
        <f t="array" ref="BS68">SUMIFS(BS$9:BS$64,$C$9:$C$64,$C68)-SUM(_xlfn._xlws.FILTER(_xlfn._xlws.FILTER(dataSummaryBS,dataSummaryBSSections=$B68),endDates=BS$5))</f>
        <v>0</v>
      </c>
      <c r="BT68" s="230" cm="1">
        <f t="array" ref="BT68">SUMIFS(BT$9:BT$64,$C$9:$C$64,$C68)-SUM(_xlfn._xlws.FILTER(_xlfn._xlws.FILTER(dataSummaryBS,dataSummaryBSSections=$B68),endDates=BT$5))</f>
        <v>0</v>
      </c>
      <c r="BU68" s="230" cm="1">
        <f t="array" ref="BU68">SUMIFS(BU$9:BU$64,$C$9:$C$64,$C68)-SUM(_xlfn._xlws.FILTER(_xlfn._xlws.FILTER(dataSummaryBS,dataSummaryBSSections=$B68),endDates=BU$5))</f>
        <v>0</v>
      </c>
      <c r="BV68" s="230" cm="1">
        <f t="array" ref="BV68">SUMIFS(BV$9:BV$64,$C$9:$C$64,$C68)-SUM(_xlfn._xlws.FILTER(_xlfn._xlws.FILTER(dataSummaryBS,dataSummaryBSSections=$B68),endDates=BV$5))</f>
        <v>0</v>
      </c>
      <c r="BW68" s="230" cm="1">
        <f t="array" ref="BW68">SUMIFS(BW$9:BW$64,$C$9:$C$64,$C68)-SUM(_xlfn._xlws.FILTER(_xlfn._xlws.FILTER(dataSummaryBS,dataSummaryBSSections=$B68),endDates=BW$5))</f>
        <v>0</v>
      </c>
      <c r="BX68" s="230" cm="1">
        <f t="array" ref="BX68">SUMIFS(BX$9:BX$64,$C$9:$C$64,$C68)-SUM(_xlfn._xlws.FILTER(_xlfn._xlws.FILTER(dataSummaryBS,dataSummaryBSSections=$B68),endDates=BX$5))</f>
        <v>0</v>
      </c>
      <c r="BY68" s="230" cm="1">
        <f t="array" ref="BY68">SUMIFS(BY$9:BY$64,$C$9:$C$64,$C68)-SUM(_xlfn._xlws.FILTER(_xlfn._xlws.FILTER(dataSummaryBS,dataSummaryBSSections=$B68),endDates=BY$5))</f>
        <v>0</v>
      </c>
      <c r="BZ68" s="205"/>
    </row>
    <row r="69" spans="1:78" s="227" customFormat="1" ht="21" hidden="1" customHeight="1" outlineLevel="2">
      <c r="A69" s="208"/>
      <c r="B69" s="211" t="s">
        <v>333</v>
      </c>
      <c r="C69" s="217" t="s">
        <v>334</v>
      </c>
      <c r="D69" s="229"/>
      <c r="E69" s="208"/>
      <c r="F69" s="153">
        <f>SUMIFS(F$9:F$64,$C$9:$C$64,$C66)-SUMIFS(F$9:F$64,$C$9:$C$64,$C69)</f>
        <v>0</v>
      </c>
      <c r="G69" s="153">
        <f>SUMIFS(G$9:G$64,$C$9:$C$64,$C66)-SUMIFS(G$9:G$64,$C$9:$C$64,$C69)</f>
        <v>0</v>
      </c>
      <c r="H69" s="153">
        <f>SUMIFS(H$9:H$64,$C$9:$C$64,$C66)-SUMIFS(H$9:H$64,$C$9:$C$64,$C69)</f>
        <v>0</v>
      </c>
      <c r="I69" s="153">
        <f>SUMIFS(I$9:I$64,$C$9:$C$64,$C66)-SUMIFS(I$9:I$64,$C$9:$C$64,$C69)</f>
        <v>0</v>
      </c>
      <c r="J69" s="228"/>
      <c r="K69" s="207"/>
      <c r="L69" s="153">
        <f t="shared" ref="L69:AA69" si="48">SUMIFS(L$9:L$64,$C$9:$C$64,$C66)-SUMIFS(L$9:L$64,$C$9:$C$64,$C69)</f>
        <v>0</v>
      </c>
      <c r="M69" s="153">
        <f t="shared" si="48"/>
        <v>0</v>
      </c>
      <c r="N69" s="153">
        <f t="shared" si="48"/>
        <v>0</v>
      </c>
      <c r="O69" s="153">
        <f t="shared" si="48"/>
        <v>0</v>
      </c>
      <c r="P69" s="153">
        <f t="shared" si="48"/>
        <v>0</v>
      </c>
      <c r="Q69" s="153">
        <f t="shared" si="48"/>
        <v>0</v>
      </c>
      <c r="R69" s="153">
        <f t="shared" si="48"/>
        <v>0</v>
      </c>
      <c r="S69" s="153">
        <f t="shared" si="48"/>
        <v>0</v>
      </c>
      <c r="T69" s="153">
        <f t="shared" si="48"/>
        <v>0</v>
      </c>
      <c r="U69" s="153">
        <f t="shared" si="48"/>
        <v>0</v>
      </c>
      <c r="V69" s="153">
        <f t="shared" si="48"/>
        <v>0</v>
      </c>
      <c r="W69" s="153">
        <f t="shared" si="48"/>
        <v>0</v>
      </c>
      <c r="X69" s="153">
        <f t="shared" si="48"/>
        <v>0</v>
      </c>
      <c r="Y69" s="153">
        <f t="shared" si="48"/>
        <v>5.9662852436304092E-10</v>
      </c>
      <c r="Z69" s="153">
        <f t="shared" si="48"/>
        <v>0</v>
      </c>
      <c r="AA69" s="153">
        <f t="shared" si="48"/>
        <v>0</v>
      </c>
      <c r="AB69" s="153"/>
      <c r="AC69" s="208"/>
      <c r="AD69" s="153">
        <f t="shared" ref="AD69:BY69" si="49">SUMIFS(AD$9:AD$64,$C$9:$C$64,$C66)-SUMIFS(AD$9:AD$64,$C$9:$C$64,$C69)</f>
        <v>0</v>
      </c>
      <c r="AE69" s="153">
        <f t="shared" si="49"/>
        <v>0</v>
      </c>
      <c r="AF69" s="153">
        <f t="shared" si="49"/>
        <v>0</v>
      </c>
      <c r="AG69" s="153">
        <f t="shared" si="49"/>
        <v>0</v>
      </c>
      <c r="AH69" s="153">
        <f t="shared" si="49"/>
        <v>0</v>
      </c>
      <c r="AI69" s="153">
        <f t="shared" si="49"/>
        <v>0</v>
      </c>
      <c r="AJ69" s="153">
        <f t="shared" si="49"/>
        <v>0</v>
      </c>
      <c r="AK69" s="153">
        <f t="shared" si="49"/>
        <v>0</v>
      </c>
      <c r="AL69" s="153">
        <f t="shared" si="49"/>
        <v>0</v>
      </c>
      <c r="AM69" s="153">
        <f t="shared" si="49"/>
        <v>0</v>
      </c>
      <c r="AN69" s="153">
        <f t="shared" si="49"/>
        <v>0</v>
      </c>
      <c r="AO69" s="153">
        <f t="shared" si="49"/>
        <v>0</v>
      </c>
      <c r="AP69" s="153">
        <f t="shared" si="49"/>
        <v>0</v>
      </c>
      <c r="AQ69" s="153">
        <f t="shared" si="49"/>
        <v>0</v>
      </c>
      <c r="AR69" s="153">
        <f t="shared" si="49"/>
        <v>0</v>
      </c>
      <c r="AS69" s="153">
        <f t="shared" si="49"/>
        <v>0</v>
      </c>
      <c r="AT69" s="153">
        <f t="shared" si="49"/>
        <v>0</v>
      </c>
      <c r="AU69" s="153">
        <f t="shared" si="49"/>
        <v>0</v>
      </c>
      <c r="AV69" s="153">
        <f t="shared" si="49"/>
        <v>0</v>
      </c>
      <c r="AW69" s="153">
        <f t="shared" si="49"/>
        <v>0</v>
      </c>
      <c r="AX69" s="153">
        <f t="shared" si="49"/>
        <v>0</v>
      </c>
      <c r="AY69" s="153">
        <f t="shared" si="49"/>
        <v>0</v>
      </c>
      <c r="AZ69" s="153">
        <f t="shared" si="49"/>
        <v>0</v>
      </c>
      <c r="BA69" s="153">
        <f t="shared" si="49"/>
        <v>0</v>
      </c>
      <c r="BB69" s="153">
        <f t="shared" si="49"/>
        <v>0</v>
      </c>
      <c r="BC69" s="153">
        <f t="shared" si="49"/>
        <v>0</v>
      </c>
      <c r="BD69" s="153">
        <f t="shared" si="49"/>
        <v>0</v>
      </c>
      <c r="BE69" s="153">
        <f t="shared" si="49"/>
        <v>0</v>
      </c>
      <c r="BF69" s="153">
        <f t="shared" si="49"/>
        <v>0</v>
      </c>
      <c r="BG69" s="153">
        <f t="shared" si="49"/>
        <v>0</v>
      </c>
      <c r="BH69" s="153">
        <f t="shared" si="49"/>
        <v>0</v>
      </c>
      <c r="BI69" s="153">
        <f t="shared" si="49"/>
        <v>0</v>
      </c>
      <c r="BJ69" s="153">
        <f t="shared" si="49"/>
        <v>0</v>
      </c>
      <c r="BK69" s="153">
        <f t="shared" si="49"/>
        <v>0</v>
      </c>
      <c r="BL69" s="153">
        <f t="shared" si="49"/>
        <v>0</v>
      </c>
      <c r="BM69" s="153">
        <f t="shared" si="49"/>
        <v>0</v>
      </c>
      <c r="BN69" s="153">
        <f t="shared" si="49"/>
        <v>0</v>
      </c>
      <c r="BO69" s="153">
        <f t="shared" si="49"/>
        <v>0</v>
      </c>
      <c r="BP69" s="153">
        <f t="shared" si="49"/>
        <v>0</v>
      </c>
      <c r="BQ69" s="153">
        <f t="shared" si="49"/>
        <v>0</v>
      </c>
      <c r="BR69" s="153">
        <f t="shared" si="49"/>
        <v>4.6566128730773926E-10</v>
      </c>
      <c r="BS69" s="153">
        <f t="shared" si="49"/>
        <v>5.9662852436304092E-10</v>
      </c>
      <c r="BT69" s="153">
        <f t="shared" si="49"/>
        <v>-1.1641532182693481E-10</v>
      </c>
      <c r="BU69" s="153">
        <f t="shared" si="49"/>
        <v>1.0477378964424133E-9</v>
      </c>
      <c r="BV69" s="153">
        <f t="shared" si="49"/>
        <v>0</v>
      </c>
      <c r="BW69" s="153">
        <f t="shared" si="49"/>
        <v>0</v>
      </c>
      <c r="BX69" s="153">
        <f t="shared" si="49"/>
        <v>0</v>
      </c>
      <c r="BY69" s="153">
        <f t="shared" si="49"/>
        <v>0</v>
      </c>
      <c r="BZ69" s="205"/>
    </row>
    <row r="70" spans="1:78" s="227" customFormat="1" ht="21" customHeight="1">
      <c r="A70" s="199"/>
      <c r="B70" s="204"/>
      <c r="C70" s="198"/>
      <c r="D70" s="203"/>
      <c r="E70" s="202"/>
      <c r="F70" s="200"/>
      <c r="G70" s="200"/>
      <c r="H70" s="200"/>
      <c r="I70" s="200"/>
      <c r="J70" s="200"/>
      <c r="K70" s="200"/>
      <c r="L70" s="200"/>
      <c r="M70" s="200"/>
      <c r="N70" s="200"/>
      <c r="O70" s="200"/>
      <c r="P70" s="200"/>
      <c r="Q70" s="200"/>
      <c r="R70" s="200"/>
      <c r="S70" s="200"/>
      <c r="T70" s="200"/>
      <c r="U70" s="200"/>
      <c r="V70" s="200"/>
      <c r="W70" s="200"/>
      <c r="X70" s="200"/>
      <c r="Y70" s="200"/>
      <c r="Z70" s="200"/>
      <c r="AA70" s="200"/>
      <c r="AB70" s="201"/>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c r="BA70" s="200"/>
      <c r="BB70" s="200"/>
      <c r="BC70" s="200"/>
      <c r="BD70" s="200"/>
      <c r="BE70" s="200"/>
      <c r="BF70" s="200"/>
      <c r="BG70" s="200"/>
      <c r="BH70" s="200"/>
      <c r="BI70" s="200"/>
      <c r="BJ70" s="200"/>
      <c r="BK70" s="200"/>
      <c r="BL70" s="200"/>
      <c r="BM70" s="200"/>
      <c r="BN70" s="200"/>
      <c r="BO70" s="200"/>
      <c r="BP70" s="200"/>
      <c r="BQ70" s="200"/>
      <c r="BR70" s="200"/>
      <c r="BS70" s="200"/>
      <c r="BT70" s="200"/>
      <c r="BU70" s="200"/>
      <c r="BV70" s="200"/>
      <c r="BW70" s="200"/>
      <c r="BX70" s="200"/>
      <c r="BY70" s="200"/>
      <c r="BZ70" s="199"/>
    </row>
  </sheetData>
  <autoFilter ref="B8:C8" xr:uid="{2D1C896F-D5E9-4112-85FB-4B8EECF452AC}"/>
  <mergeCells count="3">
    <mergeCell ref="E2:E8"/>
    <mergeCell ref="K2:K8"/>
    <mergeCell ref="AC2:AC8"/>
  </mergeCells>
  <pageMargins left="0.7" right="0.7" top="0.75" bottom="0.75" header="0.3" footer="0.3"/>
  <pageSetup orientation="portrait"/>
  <customProperties>
    <customPr name="balance-sheet-automated" r:id="rId1"/>
    <customPr name="sheetName" r:id="rId2"/>
    <customPr name="sourceTemplate"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00B86-AE0B-DF47-A1B8-318540FB7B87}">
  <sheetPr>
    <tabColor rgb="FFEAE9CB"/>
    <outlinePr summaryBelow="0" summaryRight="0"/>
  </sheetPr>
  <dimension ref="A1:CN60"/>
  <sheetViews>
    <sheetView showGridLines="0" zoomScaleNormal="100" workbookViewId="0">
      <pane xSplit="2" ySplit="8" topLeftCell="BE30" activePane="bottomRight" state="frozen"/>
      <selection pane="topRight" activeCell="D54" sqref="D54"/>
      <selection pane="bottomLeft" activeCell="D54" sqref="D54"/>
      <selection pane="bottomRight" activeCell="BQ34" sqref="BQ34"/>
    </sheetView>
  </sheetViews>
  <sheetFormatPr defaultColWidth="9.140625" defaultRowHeight="15" customHeight="1" outlineLevelRow="2" outlineLevelCol="2"/>
  <cols>
    <col min="1" max="1" width="2.7109375" style="234" customWidth="1"/>
    <col min="2" max="2" width="36.7109375" style="233" customWidth="1" collapsed="1"/>
    <col min="3" max="3" width="19.42578125" style="233" hidden="1" customWidth="1" outlineLevel="2"/>
    <col min="4" max="4" width="3.28515625" style="233" customWidth="1" collapsed="1"/>
    <col min="5" max="5" width="11.42578125" style="233" hidden="1" customWidth="1" outlineLevel="2"/>
    <col min="6" max="7" width="12.42578125" style="233" hidden="1" customWidth="1" outlineLevel="2"/>
    <col min="8" max="8" width="11.85546875" style="233" hidden="1" customWidth="1" outlineLevel="2"/>
    <col min="9" max="9" width="3.28515625" style="233" customWidth="1"/>
    <col min="10" max="10" width="3.85546875" style="233" customWidth="1" collapsed="1"/>
    <col min="11" max="12" width="11.42578125" style="233" hidden="1" customWidth="1" outlineLevel="2"/>
    <col min="13" max="21" width="11.85546875" style="233" hidden="1" customWidth="1" outlineLevel="2"/>
    <col min="22" max="22" width="11.42578125" style="233" hidden="1" customWidth="1" outlineLevel="2"/>
    <col min="23" max="26" width="11.85546875" style="233" hidden="1" customWidth="1" outlineLevel="2"/>
    <col min="27" max="27" width="3.28515625" style="233" customWidth="1"/>
    <col min="28" max="28" width="3.42578125" style="233" customWidth="1"/>
    <col min="29" max="29" width="11.42578125" style="232" bestFit="1" customWidth="1" outlineLevel="1"/>
    <col min="30" max="33" width="10.28515625" style="232" bestFit="1" customWidth="1" outlineLevel="1"/>
    <col min="34" max="34" width="11.42578125" style="232" bestFit="1" customWidth="1" outlineLevel="1"/>
    <col min="35" max="61" width="11.85546875" style="232" bestFit="1" customWidth="1" outlineLevel="1"/>
    <col min="62" max="62" width="11" style="232" bestFit="1" customWidth="1" outlineLevel="1"/>
    <col min="63" max="63" width="11.42578125" style="232" bestFit="1" customWidth="1" outlineLevel="1"/>
    <col min="64" max="76" width="11.85546875" style="232" bestFit="1" customWidth="1" outlineLevel="1"/>
    <col min="77" max="16384" width="9.140625" style="232"/>
  </cols>
  <sheetData>
    <row r="1" spans="1:92" s="234" customFormat="1" ht="21" customHeight="1">
      <c r="A1" s="10" t="str">
        <f>Company_Name</f>
        <v>Model Wiz Demo *</v>
      </c>
      <c r="B1" s="233"/>
      <c r="C1" s="233"/>
      <c r="D1" s="233"/>
      <c r="E1" s="264"/>
      <c r="F1" s="233"/>
      <c r="G1" s="233"/>
      <c r="H1" s="233"/>
      <c r="I1" s="233"/>
      <c r="J1" s="233"/>
      <c r="K1" s="233"/>
      <c r="L1" s="233"/>
      <c r="M1" s="233"/>
      <c r="N1" s="233"/>
      <c r="O1" s="233"/>
      <c r="P1" s="233"/>
      <c r="Q1" s="233"/>
      <c r="R1" s="233"/>
      <c r="S1" s="233"/>
      <c r="T1" s="233"/>
      <c r="U1" s="233"/>
      <c r="V1" s="233"/>
      <c r="W1" s="233"/>
      <c r="X1" s="233"/>
      <c r="Y1" s="233"/>
      <c r="Z1" s="233"/>
      <c r="AA1" s="233"/>
      <c r="AB1" s="233"/>
    </row>
    <row r="2" spans="1:92" s="234" customFormat="1" ht="14.45" customHeight="1">
      <c r="A2" s="234" t="str" cm="1">
        <f t="array" aca="1" ref="A2" ca="1">IFERROR(MID(CELL("filename",A1),FIND("]",CELL("filename",A1))+1,LEN(CELL("filename",A1))),"")</f>
        <v>Cash Flows</v>
      </c>
      <c r="B2" s="233"/>
      <c r="C2" s="233"/>
      <c r="D2" s="851" t="s">
        <v>159</v>
      </c>
      <c r="E2" s="148"/>
      <c r="F2" s="148"/>
      <c r="G2" s="148"/>
      <c r="H2" s="148"/>
      <c r="I2" s="148"/>
      <c r="J2" s="851" t="s">
        <v>160</v>
      </c>
      <c r="K2" s="176"/>
      <c r="L2" s="148"/>
      <c r="M2" s="148"/>
      <c r="N2" s="148"/>
      <c r="O2" s="148"/>
      <c r="P2" s="148"/>
      <c r="Q2" s="148"/>
      <c r="R2" s="148"/>
      <c r="S2" s="148"/>
      <c r="T2" s="148"/>
      <c r="U2" s="148"/>
      <c r="V2" s="148"/>
      <c r="W2" s="148"/>
      <c r="X2" s="148"/>
      <c r="Y2" s="148"/>
      <c r="Z2" s="148"/>
      <c r="AA2" s="148"/>
      <c r="AB2" s="851" t="s">
        <v>161</v>
      </c>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row>
    <row r="3" spans="1:92" s="234" customFormat="1" collapsed="1">
      <c r="A3" s="6" t="str">
        <f>Error_Check</f>
        <v>Model Functioning Properly</v>
      </c>
      <c r="B3" s="233"/>
      <c r="C3" s="233"/>
      <c r="D3" s="851"/>
      <c r="E3" s="178" t="str">
        <f>IF(E$5&lt;=LatestMonthOfActuals,"Actual","Projected")</f>
        <v>Actual</v>
      </c>
      <c r="F3" s="178" t="str">
        <f>IF(F$5&lt;=LatestMonthOfActuals,"Actual","Projected")</f>
        <v>Actual</v>
      </c>
      <c r="G3" s="178" t="str">
        <f>IF(G$5&lt;=LatestMonthOfActuals,"Actual","Projected")</f>
        <v>Projected</v>
      </c>
      <c r="H3" s="178" t="str">
        <f>IF(H$5&lt;=LatestMonthOfActuals,"Actual","Projected")</f>
        <v>Projected</v>
      </c>
      <c r="I3" s="148"/>
      <c r="J3" s="851"/>
      <c r="K3" s="178" t="str">
        <f t="shared" ref="K3:Z3" si="0">IF(K$5&lt;=LatestMonthOfActuals,"Actual","Projected")</f>
        <v>Actual</v>
      </c>
      <c r="L3" s="178" t="str">
        <f t="shared" si="0"/>
        <v>Actual</v>
      </c>
      <c r="M3" s="178" t="str">
        <f t="shared" si="0"/>
        <v>Actual</v>
      </c>
      <c r="N3" s="178" t="str">
        <f t="shared" si="0"/>
        <v>Actual</v>
      </c>
      <c r="O3" s="178" t="str">
        <f t="shared" si="0"/>
        <v>Actual</v>
      </c>
      <c r="P3" s="178" t="str">
        <f t="shared" si="0"/>
        <v>Actual</v>
      </c>
      <c r="Q3" s="178" t="str">
        <f t="shared" si="0"/>
        <v>Actual</v>
      </c>
      <c r="R3" s="178" t="str">
        <f t="shared" si="0"/>
        <v>Actual</v>
      </c>
      <c r="S3" s="178" t="str">
        <f t="shared" si="0"/>
        <v>Actual</v>
      </c>
      <c r="T3" s="178" t="str">
        <f t="shared" si="0"/>
        <v>Actual</v>
      </c>
      <c r="U3" s="178" t="str">
        <f t="shared" si="0"/>
        <v>Actual</v>
      </c>
      <c r="V3" s="178" t="str">
        <f t="shared" si="0"/>
        <v>Projected</v>
      </c>
      <c r="W3" s="178" t="str">
        <f t="shared" si="0"/>
        <v>Projected</v>
      </c>
      <c r="X3" s="178" t="str">
        <f t="shared" si="0"/>
        <v>Projected</v>
      </c>
      <c r="Y3" s="178" t="str">
        <f t="shared" si="0"/>
        <v>Projected</v>
      </c>
      <c r="Z3" s="178" t="str">
        <f t="shared" si="0"/>
        <v>Projected</v>
      </c>
      <c r="AA3" s="179"/>
      <c r="AB3" s="851"/>
      <c r="AC3" s="178" t="str">
        <f t="shared" ref="AC3:BX3" si="1">IF(AC$5&lt;=LatestMonthOfActuals,"Actual","Projected")</f>
        <v>Actual</v>
      </c>
      <c r="AD3" s="178" t="str">
        <f t="shared" si="1"/>
        <v>Actual</v>
      </c>
      <c r="AE3" s="178" t="str">
        <f t="shared" si="1"/>
        <v>Actual</v>
      </c>
      <c r="AF3" s="178" t="str">
        <f t="shared" si="1"/>
        <v>Actual</v>
      </c>
      <c r="AG3" s="178" t="str">
        <f t="shared" si="1"/>
        <v>Actual</v>
      </c>
      <c r="AH3" s="178" t="str">
        <f t="shared" si="1"/>
        <v>Actual</v>
      </c>
      <c r="AI3" s="178" t="str">
        <f t="shared" si="1"/>
        <v>Actual</v>
      </c>
      <c r="AJ3" s="178" t="str">
        <f t="shared" si="1"/>
        <v>Actual</v>
      </c>
      <c r="AK3" s="178" t="str">
        <f t="shared" si="1"/>
        <v>Actual</v>
      </c>
      <c r="AL3" s="178" t="str">
        <f t="shared" si="1"/>
        <v>Actual</v>
      </c>
      <c r="AM3" s="178" t="str">
        <f t="shared" si="1"/>
        <v>Actual</v>
      </c>
      <c r="AN3" s="178" t="str">
        <f t="shared" si="1"/>
        <v>Actual</v>
      </c>
      <c r="AO3" s="178" t="str">
        <f t="shared" si="1"/>
        <v>Actual</v>
      </c>
      <c r="AP3" s="178" t="str">
        <f t="shared" si="1"/>
        <v>Actual</v>
      </c>
      <c r="AQ3" s="178" t="str">
        <f t="shared" si="1"/>
        <v>Actual</v>
      </c>
      <c r="AR3" s="178" t="str">
        <f t="shared" si="1"/>
        <v>Actual</v>
      </c>
      <c r="AS3" s="178" t="str">
        <f t="shared" si="1"/>
        <v>Actual</v>
      </c>
      <c r="AT3" s="178" t="str">
        <f t="shared" si="1"/>
        <v>Actual</v>
      </c>
      <c r="AU3" s="178" t="str">
        <f t="shared" si="1"/>
        <v>Actual</v>
      </c>
      <c r="AV3" s="178" t="str">
        <f t="shared" si="1"/>
        <v>Actual</v>
      </c>
      <c r="AW3" s="178" t="str">
        <f t="shared" si="1"/>
        <v>Actual</v>
      </c>
      <c r="AX3" s="178" t="str">
        <f t="shared" si="1"/>
        <v>Actual</v>
      </c>
      <c r="AY3" s="178" t="str">
        <f t="shared" si="1"/>
        <v>Actual</v>
      </c>
      <c r="AZ3" s="178" t="str">
        <f t="shared" si="1"/>
        <v>Actual</v>
      </c>
      <c r="BA3" s="178" t="str">
        <f t="shared" si="1"/>
        <v>Actual</v>
      </c>
      <c r="BB3" s="178" t="str">
        <f t="shared" si="1"/>
        <v>Actual</v>
      </c>
      <c r="BC3" s="178" t="str">
        <f t="shared" si="1"/>
        <v>Actual</v>
      </c>
      <c r="BD3" s="178" t="str">
        <f t="shared" si="1"/>
        <v>Actual</v>
      </c>
      <c r="BE3" s="178" t="str">
        <f t="shared" si="1"/>
        <v>Actual</v>
      </c>
      <c r="BF3" s="178" t="str">
        <f t="shared" si="1"/>
        <v>Actual</v>
      </c>
      <c r="BG3" s="178" t="str">
        <f t="shared" si="1"/>
        <v>Actual</v>
      </c>
      <c r="BH3" s="178" t="str">
        <f t="shared" si="1"/>
        <v>Actual</v>
      </c>
      <c r="BI3" s="178" t="str">
        <f t="shared" si="1"/>
        <v>Actual</v>
      </c>
      <c r="BJ3" s="178" t="str">
        <f t="shared" si="1"/>
        <v>Actual</v>
      </c>
      <c r="BK3" s="178" t="str">
        <f t="shared" si="1"/>
        <v>Actual</v>
      </c>
      <c r="BL3" s="178" t="str">
        <f t="shared" si="1"/>
        <v>Projected</v>
      </c>
      <c r="BM3" s="178" t="str">
        <f t="shared" si="1"/>
        <v>Projected</v>
      </c>
      <c r="BN3" s="178" t="str">
        <f t="shared" si="1"/>
        <v>Projected</v>
      </c>
      <c r="BO3" s="178" t="str">
        <f t="shared" si="1"/>
        <v>Projected</v>
      </c>
      <c r="BP3" s="178" t="str">
        <f t="shared" si="1"/>
        <v>Projected</v>
      </c>
      <c r="BQ3" s="178" t="str">
        <f t="shared" si="1"/>
        <v>Projected</v>
      </c>
      <c r="BR3" s="178" t="str">
        <f t="shared" si="1"/>
        <v>Projected</v>
      </c>
      <c r="BS3" s="178" t="str">
        <f t="shared" si="1"/>
        <v>Projected</v>
      </c>
      <c r="BT3" s="178" t="str">
        <f t="shared" si="1"/>
        <v>Projected</v>
      </c>
      <c r="BU3" s="178" t="str">
        <f t="shared" si="1"/>
        <v>Projected</v>
      </c>
      <c r="BV3" s="178" t="str">
        <f t="shared" si="1"/>
        <v>Projected</v>
      </c>
      <c r="BW3" s="178" t="str">
        <f t="shared" si="1"/>
        <v>Projected</v>
      </c>
      <c r="BX3" s="178" t="str">
        <f t="shared" si="1"/>
        <v>Projected</v>
      </c>
    </row>
    <row r="4" spans="1:92" s="262" customFormat="1" ht="14.45" hidden="1" customHeight="1" outlineLevel="2">
      <c r="C4" s="263"/>
      <c r="D4" s="851"/>
      <c r="E4" s="176">
        <f>Start_Date</f>
        <v>44927</v>
      </c>
      <c r="F4" s="176">
        <f>E5+1</f>
        <v>45292</v>
      </c>
      <c r="G4" s="176">
        <f>F5+1</f>
        <v>45658</v>
      </c>
      <c r="H4" s="176">
        <f>G5+1</f>
        <v>46023</v>
      </c>
      <c r="I4" s="148"/>
      <c r="J4" s="851"/>
      <c r="K4" s="176">
        <f>Start_Date</f>
        <v>44927</v>
      </c>
      <c r="L4" s="4">
        <f t="shared" ref="L4:Z4" si="2">K5+1</f>
        <v>45017</v>
      </c>
      <c r="M4" s="4">
        <f t="shared" si="2"/>
        <v>45108</v>
      </c>
      <c r="N4" s="4">
        <f t="shared" si="2"/>
        <v>45200</v>
      </c>
      <c r="O4" s="4">
        <f t="shared" si="2"/>
        <v>45292</v>
      </c>
      <c r="P4" s="4">
        <f t="shared" si="2"/>
        <v>45383</v>
      </c>
      <c r="Q4" s="4">
        <f t="shared" si="2"/>
        <v>45474</v>
      </c>
      <c r="R4" s="4">
        <f t="shared" si="2"/>
        <v>45566</v>
      </c>
      <c r="S4" s="4">
        <f t="shared" si="2"/>
        <v>45658</v>
      </c>
      <c r="T4" s="4">
        <f t="shared" si="2"/>
        <v>45748</v>
      </c>
      <c r="U4" s="4">
        <f t="shared" si="2"/>
        <v>45839</v>
      </c>
      <c r="V4" s="4">
        <f t="shared" si="2"/>
        <v>45931</v>
      </c>
      <c r="W4" s="4">
        <f t="shared" si="2"/>
        <v>46023</v>
      </c>
      <c r="X4" s="4">
        <f t="shared" si="2"/>
        <v>46113</v>
      </c>
      <c r="Y4" s="4">
        <f t="shared" si="2"/>
        <v>46204</v>
      </c>
      <c r="Z4" s="4">
        <f t="shared" si="2"/>
        <v>46296</v>
      </c>
      <c r="AA4" s="177"/>
      <c r="AB4" s="851"/>
      <c r="AC4" s="176">
        <f>Start_Date</f>
        <v>44927</v>
      </c>
      <c r="AD4" s="176">
        <f t="shared" ref="AD4:BX4" si="3">EOMONTH(AD5,-1)+1</f>
        <v>44958</v>
      </c>
      <c r="AE4" s="176">
        <f t="shared" si="3"/>
        <v>44986</v>
      </c>
      <c r="AF4" s="176">
        <f t="shared" si="3"/>
        <v>45017</v>
      </c>
      <c r="AG4" s="176">
        <f t="shared" si="3"/>
        <v>45047</v>
      </c>
      <c r="AH4" s="176">
        <f t="shared" si="3"/>
        <v>45078</v>
      </c>
      <c r="AI4" s="176">
        <f t="shared" si="3"/>
        <v>45108</v>
      </c>
      <c r="AJ4" s="176">
        <f t="shared" si="3"/>
        <v>45139</v>
      </c>
      <c r="AK4" s="176">
        <f t="shared" si="3"/>
        <v>45170</v>
      </c>
      <c r="AL4" s="176">
        <f t="shared" si="3"/>
        <v>45200</v>
      </c>
      <c r="AM4" s="176">
        <f t="shared" si="3"/>
        <v>45231</v>
      </c>
      <c r="AN4" s="176">
        <f t="shared" si="3"/>
        <v>45261</v>
      </c>
      <c r="AO4" s="176">
        <f t="shared" si="3"/>
        <v>45292</v>
      </c>
      <c r="AP4" s="176">
        <f t="shared" si="3"/>
        <v>45323</v>
      </c>
      <c r="AQ4" s="176">
        <f t="shared" si="3"/>
        <v>45352</v>
      </c>
      <c r="AR4" s="176">
        <f t="shared" si="3"/>
        <v>45383</v>
      </c>
      <c r="AS4" s="176">
        <f t="shared" si="3"/>
        <v>45413</v>
      </c>
      <c r="AT4" s="176">
        <f t="shared" si="3"/>
        <v>45444</v>
      </c>
      <c r="AU4" s="176">
        <f t="shared" si="3"/>
        <v>45474</v>
      </c>
      <c r="AV4" s="176">
        <f t="shared" si="3"/>
        <v>45505</v>
      </c>
      <c r="AW4" s="176">
        <f t="shared" si="3"/>
        <v>45536</v>
      </c>
      <c r="AX4" s="176">
        <f t="shared" si="3"/>
        <v>45566</v>
      </c>
      <c r="AY4" s="176">
        <f t="shared" si="3"/>
        <v>45597</v>
      </c>
      <c r="AZ4" s="176">
        <f t="shared" si="3"/>
        <v>45627</v>
      </c>
      <c r="BA4" s="176">
        <f t="shared" si="3"/>
        <v>45658</v>
      </c>
      <c r="BB4" s="176">
        <f t="shared" si="3"/>
        <v>45689</v>
      </c>
      <c r="BC4" s="176">
        <f t="shared" si="3"/>
        <v>45717</v>
      </c>
      <c r="BD4" s="176">
        <f t="shared" si="3"/>
        <v>45748</v>
      </c>
      <c r="BE4" s="176">
        <f t="shared" si="3"/>
        <v>45778</v>
      </c>
      <c r="BF4" s="176">
        <f t="shared" si="3"/>
        <v>45809</v>
      </c>
      <c r="BG4" s="176">
        <f t="shared" si="3"/>
        <v>45839</v>
      </c>
      <c r="BH4" s="176">
        <f t="shared" si="3"/>
        <v>45870</v>
      </c>
      <c r="BI4" s="176">
        <f t="shared" si="3"/>
        <v>45901</v>
      </c>
      <c r="BJ4" s="176">
        <f t="shared" si="3"/>
        <v>45931</v>
      </c>
      <c r="BK4" s="176">
        <f t="shared" si="3"/>
        <v>45962</v>
      </c>
      <c r="BL4" s="176">
        <f t="shared" si="3"/>
        <v>45992</v>
      </c>
      <c r="BM4" s="176">
        <f t="shared" si="3"/>
        <v>46023</v>
      </c>
      <c r="BN4" s="176">
        <f t="shared" si="3"/>
        <v>46054</v>
      </c>
      <c r="BO4" s="176">
        <f t="shared" si="3"/>
        <v>46082</v>
      </c>
      <c r="BP4" s="176">
        <f t="shared" si="3"/>
        <v>46113</v>
      </c>
      <c r="BQ4" s="176">
        <f t="shared" si="3"/>
        <v>46143</v>
      </c>
      <c r="BR4" s="176">
        <f t="shared" si="3"/>
        <v>46174</v>
      </c>
      <c r="BS4" s="176">
        <f t="shared" si="3"/>
        <v>46204</v>
      </c>
      <c r="BT4" s="176">
        <f t="shared" si="3"/>
        <v>46235</v>
      </c>
      <c r="BU4" s="176">
        <f t="shared" si="3"/>
        <v>46266</v>
      </c>
      <c r="BV4" s="176">
        <f t="shared" si="3"/>
        <v>46296</v>
      </c>
      <c r="BW4" s="176">
        <f t="shared" si="3"/>
        <v>46327</v>
      </c>
      <c r="BX4" s="176">
        <f t="shared" si="3"/>
        <v>46357</v>
      </c>
    </row>
    <row r="5" spans="1:92" s="262" customFormat="1" ht="14.45" hidden="1" customHeight="1" outlineLevel="2">
      <c r="C5" s="263"/>
      <c r="D5" s="851"/>
      <c r="E5" s="176">
        <f>EOMONTH(DATE(YEAR(Start_Date),1,1),Fiscal_Offset+IF(K6&lt;YEAR(Start_Date),-1,11))</f>
        <v>45291</v>
      </c>
      <c r="F5" s="4">
        <f>MIN(EOMONTH(E5,12),End_Date)</f>
        <v>45657</v>
      </c>
      <c r="G5" s="4">
        <f>MIN(EOMONTH(F5,12),End_Date)</f>
        <v>46022</v>
      </c>
      <c r="H5" s="4">
        <f>MIN(EOMONTH(G5,12),End_Date)</f>
        <v>46387</v>
      </c>
      <c r="I5" s="148"/>
      <c r="J5" s="851"/>
      <c r="K5" s="4">
        <f>EOMONTH(DATE(YEAR(Start_Date),1,1),MOD(ROUNDUP(MONTH(EOMONTH(Start_Date,-Fiscal_Offset))/3,0)*3+Fiscal_Offset-1,12))</f>
        <v>45016</v>
      </c>
      <c r="L5" s="4">
        <f t="shared" ref="L5:Z5" si="4">MIN(EOMONTH(L$4,2),End_Date)</f>
        <v>45107</v>
      </c>
      <c r="M5" s="4">
        <f t="shared" si="4"/>
        <v>45199</v>
      </c>
      <c r="N5" s="4">
        <f t="shared" si="4"/>
        <v>45291</v>
      </c>
      <c r="O5" s="4">
        <f t="shared" si="4"/>
        <v>45382</v>
      </c>
      <c r="P5" s="4">
        <f t="shared" si="4"/>
        <v>45473</v>
      </c>
      <c r="Q5" s="4">
        <f t="shared" si="4"/>
        <v>45565</v>
      </c>
      <c r="R5" s="4">
        <f t="shared" si="4"/>
        <v>45657</v>
      </c>
      <c r="S5" s="4">
        <f t="shared" si="4"/>
        <v>45747</v>
      </c>
      <c r="T5" s="4">
        <f t="shared" si="4"/>
        <v>45838</v>
      </c>
      <c r="U5" s="4">
        <f t="shared" si="4"/>
        <v>45930</v>
      </c>
      <c r="V5" s="4">
        <f t="shared" si="4"/>
        <v>46022</v>
      </c>
      <c r="W5" s="4">
        <f t="shared" si="4"/>
        <v>46112</v>
      </c>
      <c r="X5" s="4">
        <f t="shared" si="4"/>
        <v>46203</v>
      </c>
      <c r="Y5" s="4">
        <f t="shared" si="4"/>
        <v>46295</v>
      </c>
      <c r="Z5" s="4">
        <f t="shared" si="4"/>
        <v>46387</v>
      </c>
      <c r="AA5" s="177"/>
      <c r="AB5" s="851"/>
      <c r="AC5" s="176" cm="1">
        <f t="array" ref="AC5">EOM_Start_Date</f>
        <v>44957</v>
      </c>
      <c r="AD5" s="4">
        <f t="shared" ref="AD5:BX5" si="5">EOMONTH(AC5,1)</f>
        <v>44985</v>
      </c>
      <c r="AE5" s="4">
        <f t="shared" si="5"/>
        <v>45016</v>
      </c>
      <c r="AF5" s="4">
        <f t="shared" si="5"/>
        <v>45046</v>
      </c>
      <c r="AG5" s="4">
        <f t="shared" si="5"/>
        <v>45077</v>
      </c>
      <c r="AH5" s="4">
        <f t="shared" si="5"/>
        <v>45107</v>
      </c>
      <c r="AI5" s="4">
        <f t="shared" si="5"/>
        <v>45138</v>
      </c>
      <c r="AJ5" s="4">
        <f t="shared" si="5"/>
        <v>45169</v>
      </c>
      <c r="AK5" s="4">
        <f t="shared" si="5"/>
        <v>45199</v>
      </c>
      <c r="AL5" s="4">
        <f t="shared" si="5"/>
        <v>45230</v>
      </c>
      <c r="AM5" s="4">
        <f t="shared" si="5"/>
        <v>45260</v>
      </c>
      <c r="AN5" s="4">
        <f t="shared" si="5"/>
        <v>45291</v>
      </c>
      <c r="AO5" s="4">
        <f t="shared" si="5"/>
        <v>45322</v>
      </c>
      <c r="AP5" s="4">
        <f t="shared" si="5"/>
        <v>45351</v>
      </c>
      <c r="AQ5" s="4">
        <f t="shared" si="5"/>
        <v>45382</v>
      </c>
      <c r="AR5" s="4">
        <f t="shared" si="5"/>
        <v>45412</v>
      </c>
      <c r="AS5" s="4">
        <f t="shared" si="5"/>
        <v>45443</v>
      </c>
      <c r="AT5" s="4">
        <f t="shared" si="5"/>
        <v>45473</v>
      </c>
      <c r="AU5" s="4">
        <f t="shared" si="5"/>
        <v>45504</v>
      </c>
      <c r="AV5" s="4">
        <f t="shared" si="5"/>
        <v>45535</v>
      </c>
      <c r="AW5" s="4">
        <f t="shared" si="5"/>
        <v>45565</v>
      </c>
      <c r="AX5" s="4">
        <f t="shared" si="5"/>
        <v>45596</v>
      </c>
      <c r="AY5" s="4">
        <f t="shared" si="5"/>
        <v>45626</v>
      </c>
      <c r="AZ5" s="4">
        <f t="shared" si="5"/>
        <v>45657</v>
      </c>
      <c r="BA5" s="4">
        <f t="shared" si="5"/>
        <v>45688</v>
      </c>
      <c r="BB5" s="4">
        <f t="shared" si="5"/>
        <v>45716</v>
      </c>
      <c r="BC5" s="4">
        <f t="shared" si="5"/>
        <v>45747</v>
      </c>
      <c r="BD5" s="4">
        <f t="shared" si="5"/>
        <v>45777</v>
      </c>
      <c r="BE5" s="4">
        <f t="shared" si="5"/>
        <v>45808</v>
      </c>
      <c r="BF5" s="4">
        <f t="shared" si="5"/>
        <v>45838</v>
      </c>
      <c r="BG5" s="4">
        <f t="shared" si="5"/>
        <v>45869</v>
      </c>
      <c r="BH5" s="4">
        <f t="shared" si="5"/>
        <v>45900</v>
      </c>
      <c r="BI5" s="4">
        <f t="shared" si="5"/>
        <v>45930</v>
      </c>
      <c r="BJ5" s="4">
        <f t="shared" si="5"/>
        <v>45961</v>
      </c>
      <c r="BK5" s="4">
        <f t="shared" si="5"/>
        <v>45991</v>
      </c>
      <c r="BL5" s="4">
        <f t="shared" si="5"/>
        <v>46022</v>
      </c>
      <c r="BM5" s="4">
        <f t="shared" si="5"/>
        <v>46053</v>
      </c>
      <c r="BN5" s="4">
        <f t="shared" si="5"/>
        <v>46081</v>
      </c>
      <c r="BO5" s="4">
        <f t="shared" si="5"/>
        <v>46112</v>
      </c>
      <c r="BP5" s="4">
        <f t="shared" si="5"/>
        <v>46142</v>
      </c>
      <c r="BQ5" s="4">
        <f t="shared" si="5"/>
        <v>46173</v>
      </c>
      <c r="BR5" s="4">
        <f t="shared" si="5"/>
        <v>46203</v>
      </c>
      <c r="BS5" s="4">
        <f t="shared" si="5"/>
        <v>46234</v>
      </c>
      <c r="BT5" s="4">
        <f t="shared" si="5"/>
        <v>46265</v>
      </c>
      <c r="BU5" s="4">
        <f t="shared" si="5"/>
        <v>46295</v>
      </c>
      <c r="BV5" s="4">
        <f t="shared" si="5"/>
        <v>46326</v>
      </c>
      <c r="BW5" s="4">
        <f t="shared" si="5"/>
        <v>46356</v>
      </c>
      <c r="BX5" s="4">
        <f t="shared" si="5"/>
        <v>46387</v>
      </c>
    </row>
    <row r="6" spans="1:92" s="262" customFormat="1" ht="14.45" hidden="1" customHeight="1" outlineLevel="2">
      <c r="C6" s="263"/>
      <c r="D6" s="851"/>
      <c r="E6" s="12">
        <f>YEAR(EOMONTH(E5,-Fiscal_Offset))</f>
        <v>2023</v>
      </c>
      <c r="F6" s="12">
        <f>YEAR(EOMONTH(F5,-Fiscal_Offset))</f>
        <v>2024</v>
      </c>
      <c r="G6" s="12">
        <f>YEAR(EOMONTH(G5,-Fiscal_Offset))</f>
        <v>2025</v>
      </c>
      <c r="H6" s="12">
        <f>YEAR(EOMONTH(H5,-Fiscal_Offset))</f>
        <v>2026</v>
      </c>
      <c r="I6" s="148"/>
      <c r="J6" s="851"/>
      <c r="K6" s="12">
        <f t="shared" ref="K6:Z6" si="6">YEAR(EOMONTH(K5,-Fiscal_Offset))</f>
        <v>2023</v>
      </c>
      <c r="L6" s="12">
        <f t="shared" si="6"/>
        <v>2023</v>
      </c>
      <c r="M6" s="12">
        <f t="shared" si="6"/>
        <v>2023</v>
      </c>
      <c r="N6" s="12">
        <f t="shared" si="6"/>
        <v>2023</v>
      </c>
      <c r="O6" s="12">
        <f t="shared" si="6"/>
        <v>2024</v>
      </c>
      <c r="P6" s="12">
        <f t="shared" si="6"/>
        <v>2024</v>
      </c>
      <c r="Q6" s="12">
        <f t="shared" si="6"/>
        <v>2024</v>
      </c>
      <c r="R6" s="12">
        <f t="shared" si="6"/>
        <v>2024</v>
      </c>
      <c r="S6" s="12">
        <f t="shared" si="6"/>
        <v>2025</v>
      </c>
      <c r="T6" s="12">
        <f t="shared" si="6"/>
        <v>2025</v>
      </c>
      <c r="U6" s="12">
        <f t="shared" si="6"/>
        <v>2025</v>
      </c>
      <c r="V6" s="12">
        <f t="shared" si="6"/>
        <v>2025</v>
      </c>
      <c r="W6" s="12">
        <f t="shared" si="6"/>
        <v>2026</v>
      </c>
      <c r="X6" s="12">
        <f t="shared" si="6"/>
        <v>2026</v>
      </c>
      <c r="Y6" s="12">
        <f t="shared" si="6"/>
        <v>2026</v>
      </c>
      <c r="Z6" s="12">
        <f t="shared" si="6"/>
        <v>2026</v>
      </c>
      <c r="AA6" s="175"/>
      <c r="AB6" s="851"/>
      <c r="AC6" s="12">
        <f t="shared" ref="AC6:BX6" si="7">YEAR(EOMONTH(AC5,-Fiscal_Offset))</f>
        <v>2023</v>
      </c>
      <c r="AD6" s="12">
        <f t="shared" si="7"/>
        <v>2023</v>
      </c>
      <c r="AE6" s="12">
        <f t="shared" si="7"/>
        <v>2023</v>
      </c>
      <c r="AF6" s="12">
        <f t="shared" si="7"/>
        <v>2023</v>
      </c>
      <c r="AG6" s="12">
        <f t="shared" si="7"/>
        <v>2023</v>
      </c>
      <c r="AH6" s="12">
        <f t="shared" si="7"/>
        <v>2023</v>
      </c>
      <c r="AI6" s="12">
        <f t="shared" si="7"/>
        <v>2023</v>
      </c>
      <c r="AJ6" s="12">
        <f t="shared" si="7"/>
        <v>2023</v>
      </c>
      <c r="AK6" s="12">
        <f t="shared" si="7"/>
        <v>2023</v>
      </c>
      <c r="AL6" s="12">
        <f t="shared" si="7"/>
        <v>2023</v>
      </c>
      <c r="AM6" s="12">
        <f t="shared" si="7"/>
        <v>2023</v>
      </c>
      <c r="AN6" s="12">
        <f t="shared" si="7"/>
        <v>2023</v>
      </c>
      <c r="AO6" s="12">
        <f t="shared" si="7"/>
        <v>2024</v>
      </c>
      <c r="AP6" s="12">
        <f t="shared" si="7"/>
        <v>2024</v>
      </c>
      <c r="AQ6" s="12">
        <f t="shared" si="7"/>
        <v>2024</v>
      </c>
      <c r="AR6" s="12">
        <f t="shared" si="7"/>
        <v>2024</v>
      </c>
      <c r="AS6" s="12">
        <f t="shared" si="7"/>
        <v>2024</v>
      </c>
      <c r="AT6" s="12">
        <f t="shared" si="7"/>
        <v>2024</v>
      </c>
      <c r="AU6" s="12">
        <f t="shared" si="7"/>
        <v>2024</v>
      </c>
      <c r="AV6" s="12">
        <f t="shared" si="7"/>
        <v>2024</v>
      </c>
      <c r="AW6" s="12">
        <f t="shared" si="7"/>
        <v>2024</v>
      </c>
      <c r="AX6" s="12">
        <f t="shared" si="7"/>
        <v>2024</v>
      </c>
      <c r="AY6" s="12">
        <f t="shared" si="7"/>
        <v>2024</v>
      </c>
      <c r="AZ6" s="12">
        <f t="shared" si="7"/>
        <v>2024</v>
      </c>
      <c r="BA6" s="12">
        <f t="shared" si="7"/>
        <v>2025</v>
      </c>
      <c r="BB6" s="12">
        <f t="shared" si="7"/>
        <v>2025</v>
      </c>
      <c r="BC6" s="12">
        <f t="shared" si="7"/>
        <v>2025</v>
      </c>
      <c r="BD6" s="12">
        <f t="shared" si="7"/>
        <v>2025</v>
      </c>
      <c r="BE6" s="12">
        <f t="shared" si="7"/>
        <v>2025</v>
      </c>
      <c r="BF6" s="12">
        <f t="shared" si="7"/>
        <v>2025</v>
      </c>
      <c r="BG6" s="12">
        <f t="shared" si="7"/>
        <v>2025</v>
      </c>
      <c r="BH6" s="12">
        <f t="shared" si="7"/>
        <v>2025</v>
      </c>
      <c r="BI6" s="12">
        <f t="shared" si="7"/>
        <v>2025</v>
      </c>
      <c r="BJ6" s="12">
        <f t="shared" si="7"/>
        <v>2025</v>
      </c>
      <c r="BK6" s="12">
        <f t="shared" si="7"/>
        <v>2025</v>
      </c>
      <c r="BL6" s="12">
        <f t="shared" si="7"/>
        <v>2025</v>
      </c>
      <c r="BM6" s="12">
        <f t="shared" si="7"/>
        <v>2026</v>
      </c>
      <c r="BN6" s="12">
        <f t="shared" si="7"/>
        <v>2026</v>
      </c>
      <c r="BO6" s="12">
        <f t="shared" si="7"/>
        <v>2026</v>
      </c>
      <c r="BP6" s="12">
        <f t="shared" si="7"/>
        <v>2026</v>
      </c>
      <c r="BQ6" s="12">
        <f t="shared" si="7"/>
        <v>2026</v>
      </c>
      <c r="BR6" s="12">
        <f t="shared" si="7"/>
        <v>2026</v>
      </c>
      <c r="BS6" s="12">
        <f t="shared" si="7"/>
        <v>2026</v>
      </c>
      <c r="BT6" s="12">
        <f t="shared" si="7"/>
        <v>2026</v>
      </c>
      <c r="BU6" s="12">
        <f t="shared" si="7"/>
        <v>2026</v>
      </c>
      <c r="BV6" s="12">
        <f t="shared" si="7"/>
        <v>2026</v>
      </c>
      <c r="BW6" s="12">
        <f t="shared" si="7"/>
        <v>2026</v>
      </c>
      <c r="BX6" s="12">
        <f t="shared" si="7"/>
        <v>2026</v>
      </c>
    </row>
    <row r="7" spans="1:92" s="262" customFormat="1" ht="14.45" hidden="1" customHeight="1" outlineLevel="2">
      <c r="C7" s="263"/>
      <c r="D7" s="851"/>
      <c r="E7" s="12" t="str">
        <f>"Q"&amp; ROUNDUP(MONTH(EOMONTH(E5,-Fiscal_Offset))/3,0)</f>
        <v>Q4</v>
      </c>
      <c r="F7" s="12" t="str">
        <f>"Q"&amp; ROUNDUP(MONTH(EOMONTH(F5,-Fiscal_Offset))/3,0)</f>
        <v>Q4</v>
      </c>
      <c r="G7" s="12" t="str">
        <f>"Q"&amp; ROUNDUP(MONTH(EOMONTH(G5,-Fiscal_Offset))/3,0)</f>
        <v>Q4</v>
      </c>
      <c r="H7" s="12" t="str">
        <f>"Q"&amp; ROUNDUP(MONTH(EOMONTH(H5,-Fiscal_Offset))/3,0)</f>
        <v>Q4</v>
      </c>
      <c r="I7" s="148"/>
      <c r="J7" s="851"/>
      <c r="K7" s="12" t="str">
        <f t="shared" ref="K7:Z7" si="8">"Q"&amp; ROUNDUP(MONTH(EOMONTH(K5,-Fiscal_Offset))/3,0)</f>
        <v>Q1</v>
      </c>
      <c r="L7" s="12" t="str">
        <f t="shared" si="8"/>
        <v>Q2</v>
      </c>
      <c r="M7" s="12" t="str">
        <f t="shared" si="8"/>
        <v>Q3</v>
      </c>
      <c r="N7" s="12" t="str">
        <f t="shared" si="8"/>
        <v>Q4</v>
      </c>
      <c r="O7" s="12" t="str">
        <f t="shared" si="8"/>
        <v>Q1</v>
      </c>
      <c r="P7" s="12" t="str">
        <f t="shared" si="8"/>
        <v>Q2</v>
      </c>
      <c r="Q7" s="12" t="str">
        <f t="shared" si="8"/>
        <v>Q3</v>
      </c>
      <c r="R7" s="12" t="str">
        <f t="shared" si="8"/>
        <v>Q4</v>
      </c>
      <c r="S7" s="12" t="str">
        <f t="shared" si="8"/>
        <v>Q1</v>
      </c>
      <c r="T7" s="12" t="str">
        <f t="shared" si="8"/>
        <v>Q2</v>
      </c>
      <c r="U7" s="12" t="str">
        <f t="shared" si="8"/>
        <v>Q3</v>
      </c>
      <c r="V7" s="12" t="str">
        <f t="shared" si="8"/>
        <v>Q4</v>
      </c>
      <c r="W7" s="12" t="str">
        <f t="shared" si="8"/>
        <v>Q1</v>
      </c>
      <c r="X7" s="12" t="str">
        <f t="shared" si="8"/>
        <v>Q2</v>
      </c>
      <c r="Y7" s="12" t="str">
        <f t="shared" si="8"/>
        <v>Q3</v>
      </c>
      <c r="Z7" s="12" t="str">
        <f t="shared" si="8"/>
        <v>Q4</v>
      </c>
      <c r="AA7" s="175"/>
      <c r="AB7" s="851"/>
      <c r="AC7" s="12" t="str">
        <f t="shared" ref="AC7:BX7" si="9">"Q"&amp; ROUNDUP(MONTH(EOMONTH(AC5,-Fiscal_Offset))/3,0)</f>
        <v>Q1</v>
      </c>
      <c r="AD7" s="12" t="str">
        <f t="shared" si="9"/>
        <v>Q1</v>
      </c>
      <c r="AE7" s="12" t="str">
        <f t="shared" si="9"/>
        <v>Q1</v>
      </c>
      <c r="AF7" s="12" t="str">
        <f t="shared" si="9"/>
        <v>Q2</v>
      </c>
      <c r="AG7" s="12" t="str">
        <f t="shared" si="9"/>
        <v>Q2</v>
      </c>
      <c r="AH7" s="12" t="str">
        <f t="shared" si="9"/>
        <v>Q2</v>
      </c>
      <c r="AI7" s="12" t="str">
        <f t="shared" si="9"/>
        <v>Q3</v>
      </c>
      <c r="AJ7" s="12" t="str">
        <f t="shared" si="9"/>
        <v>Q3</v>
      </c>
      <c r="AK7" s="12" t="str">
        <f t="shared" si="9"/>
        <v>Q3</v>
      </c>
      <c r="AL7" s="12" t="str">
        <f t="shared" si="9"/>
        <v>Q4</v>
      </c>
      <c r="AM7" s="12" t="str">
        <f t="shared" si="9"/>
        <v>Q4</v>
      </c>
      <c r="AN7" s="12" t="str">
        <f t="shared" si="9"/>
        <v>Q4</v>
      </c>
      <c r="AO7" s="12" t="str">
        <f t="shared" si="9"/>
        <v>Q1</v>
      </c>
      <c r="AP7" s="12" t="str">
        <f t="shared" si="9"/>
        <v>Q1</v>
      </c>
      <c r="AQ7" s="12" t="str">
        <f t="shared" si="9"/>
        <v>Q1</v>
      </c>
      <c r="AR7" s="12" t="str">
        <f t="shared" si="9"/>
        <v>Q2</v>
      </c>
      <c r="AS7" s="12" t="str">
        <f t="shared" si="9"/>
        <v>Q2</v>
      </c>
      <c r="AT7" s="12" t="str">
        <f t="shared" si="9"/>
        <v>Q2</v>
      </c>
      <c r="AU7" s="12" t="str">
        <f t="shared" si="9"/>
        <v>Q3</v>
      </c>
      <c r="AV7" s="12" t="str">
        <f t="shared" si="9"/>
        <v>Q3</v>
      </c>
      <c r="AW7" s="12" t="str">
        <f t="shared" si="9"/>
        <v>Q3</v>
      </c>
      <c r="AX7" s="12" t="str">
        <f t="shared" si="9"/>
        <v>Q4</v>
      </c>
      <c r="AY7" s="12" t="str">
        <f t="shared" si="9"/>
        <v>Q4</v>
      </c>
      <c r="AZ7" s="12" t="str">
        <f t="shared" si="9"/>
        <v>Q4</v>
      </c>
      <c r="BA7" s="12" t="str">
        <f t="shared" si="9"/>
        <v>Q1</v>
      </c>
      <c r="BB7" s="12" t="str">
        <f t="shared" si="9"/>
        <v>Q1</v>
      </c>
      <c r="BC7" s="12" t="str">
        <f t="shared" si="9"/>
        <v>Q1</v>
      </c>
      <c r="BD7" s="12" t="str">
        <f t="shared" si="9"/>
        <v>Q2</v>
      </c>
      <c r="BE7" s="12" t="str">
        <f t="shared" si="9"/>
        <v>Q2</v>
      </c>
      <c r="BF7" s="12" t="str">
        <f t="shared" si="9"/>
        <v>Q2</v>
      </c>
      <c r="BG7" s="12" t="str">
        <f t="shared" si="9"/>
        <v>Q3</v>
      </c>
      <c r="BH7" s="12" t="str">
        <f t="shared" si="9"/>
        <v>Q3</v>
      </c>
      <c r="BI7" s="12" t="str">
        <f t="shared" si="9"/>
        <v>Q3</v>
      </c>
      <c r="BJ7" s="12" t="str">
        <f t="shared" si="9"/>
        <v>Q4</v>
      </c>
      <c r="BK7" s="12" t="str">
        <f t="shared" si="9"/>
        <v>Q4</v>
      </c>
      <c r="BL7" s="12" t="str">
        <f t="shared" si="9"/>
        <v>Q4</v>
      </c>
      <c r="BM7" s="12" t="str">
        <f t="shared" si="9"/>
        <v>Q1</v>
      </c>
      <c r="BN7" s="12" t="str">
        <f t="shared" si="9"/>
        <v>Q1</v>
      </c>
      <c r="BO7" s="12" t="str">
        <f t="shared" si="9"/>
        <v>Q1</v>
      </c>
      <c r="BP7" s="12" t="str">
        <f t="shared" si="9"/>
        <v>Q2</v>
      </c>
      <c r="BQ7" s="12" t="str">
        <f t="shared" si="9"/>
        <v>Q2</v>
      </c>
      <c r="BR7" s="12" t="str">
        <f t="shared" si="9"/>
        <v>Q2</v>
      </c>
      <c r="BS7" s="12" t="str">
        <f t="shared" si="9"/>
        <v>Q3</v>
      </c>
      <c r="BT7" s="12" t="str">
        <f t="shared" si="9"/>
        <v>Q3</v>
      </c>
      <c r="BU7" s="12" t="str">
        <f t="shared" si="9"/>
        <v>Q3</v>
      </c>
      <c r="BV7" s="12" t="str">
        <f t="shared" si="9"/>
        <v>Q4</v>
      </c>
      <c r="BW7" s="12" t="str">
        <f t="shared" si="9"/>
        <v>Q4</v>
      </c>
      <c r="BX7" s="12" t="str">
        <f t="shared" si="9"/>
        <v>Q4</v>
      </c>
    </row>
    <row r="8" spans="1:92" s="234" customFormat="1" ht="24.75" customHeight="1">
      <c r="B8" s="233"/>
      <c r="C8" s="233" t="s">
        <v>217</v>
      </c>
      <c r="D8" s="851"/>
      <c r="E8" s="173">
        <f>E6</f>
        <v>2023</v>
      </c>
      <c r="F8" s="173">
        <f>F6</f>
        <v>2024</v>
      </c>
      <c r="G8" s="173">
        <f>G6</f>
        <v>2025</v>
      </c>
      <c r="H8" s="173">
        <f>H6</f>
        <v>2026</v>
      </c>
      <c r="I8" s="172"/>
      <c r="J8" s="851"/>
      <c r="K8" s="171" t="str">
        <f t="shared" ref="K8:Z8" si="10">CONCATENATE(CONCATENATE(K$7," ",K$6))</f>
        <v>Q1 2023</v>
      </c>
      <c r="L8" s="171" t="str">
        <f t="shared" si="10"/>
        <v>Q2 2023</v>
      </c>
      <c r="M8" s="171" t="str">
        <f t="shared" si="10"/>
        <v>Q3 2023</v>
      </c>
      <c r="N8" s="171" t="str">
        <f t="shared" si="10"/>
        <v>Q4 2023</v>
      </c>
      <c r="O8" s="171" t="str">
        <f t="shared" si="10"/>
        <v>Q1 2024</v>
      </c>
      <c r="P8" s="171" t="str">
        <f t="shared" si="10"/>
        <v>Q2 2024</v>
      </c>
      <c r="Q8" s="171" t="str">
        <f t="shared" si="10"/>
        <v>Q3 2024</v>
      </c>
      <c r="R8" s="171" t="str">
        <f t="shared" si="10"/>
        <v>Q4 2024</v>
      </c>
      <c r="S8" s="171" t="str">
        <f t="shared" si="10"/>
        <v>Q1 2025</v>
      </c>
      <c r="T8" s="171" t="str">
        <f t="shared" si="10"/>
        <v>Q2 2025</v>
      </c>
      <c r="U8" s="171" t="str">
        <f t="shared" si="10"/>
        <v>Q3 2025</v>
      </c>
      <c r="V8" s="171" t="str">
        <f t="shared" si="10"/>
        <v>Q4 2025</v>
      </c>
      <c r="W8" s="171" t="str">
        <f t="shared" si="10"/>
        <v>Q1 2026</v>
      </c>
      <c r="X8" s="171" t="str">
        <f t="shared" si="10"/>
        <v>Q2 2026</v>
      </c>
      <c r="Y8" s="171" t="str">
        <f t="shared" si="10"/>
        <v>Q3 2026</v>
      </c>
      <c r="Z8" s="171" t="str">
        <f t="shared" si="10"/>
        <v>Q4 2026</v>
      </c>
      <c r="AA8" s="170"/>
      <c r="AB8" s="851"/>
      <c r="AC8" s="169">
        <f t="shared" ref="AC8:BX8" si="11">AC5</f>
        <v>44957</v>
      </c>
      <c r="AD8" s="169">
        <f t="shared" si="11"/>
        <v>44985</v>
      </c>
      <c r="AE8" s="169">
        <f t="shared" si="11"/>
        <v>45016</v>
      </c>
      <c r="AF8" s="169">
        <f t="shared" si="11"/>
        <v>45046</v>
      </c>
      <c r="AG8" s="169">
        <f t="shared" si="11"/>
        <v>45077</v>
      </c>
      <c r="AH8" s="169">
        <f t="shared" si="11"/>
        <v>45107</v>
      </c>
      <c r="AI8" s="169">
        <f t="shared" si="11"/>
        <v>45138</v>
      </c>
      <c r="AJ8" s="169">
        <f t="shared" si="11"/>
        <v>45169</v>
      </c>
      <c r="AK8" s="169">
        <f t="shared" si="11"/>
        <v>45199</v>
      </c>
      <c r="AL8" s="169">
        <f t="shared" si="11"/>
        <v>45230</v>
      </c>
      <c r="AM8" s="169">
        <f t="shared" si="11"/>
        <v>45260</v>
      </c>
      <c r="AN8" s="169">
        <f t="shared" si="11"/>
        <v>45291</v>
      </c>
      <c r="AO8" s="169">
        <f t="shared" si="11"/>
        <v>45322</v>
      </c>
      <c r="AP8" s="169">
        <f t="shared" si="11"/>
        <v>45351</v>
      </c>
      <c r="AQ8" s="169">
        <f t="shared" si="11"/>
        <v>45382</v>
      </c>
      <c r="AR8" s="169">
        <f t="shared" si="11"/>
        <v>45412</v>
      </c>
      <c r="AS8" s="169">
        <f t="shared" si="11"/>
        <v>45443</v>
      </c>
      <c r="AT8" s="169">
        <f t="shared" si="11"/>
        <v>45473</v>
      </c>
      <c r="AU8" s="169">
        <f t="shared" si="11"/>
        <v>45504</v>
      </c>
      <c r="AV8" s="169">
        <f t="shared" si="11"/>
        <v>45535</v>
      </c>
      <c r="AW8" s="169">
        <f t="shared" si="11"/>
        <v>45565</v>
      </c>
      <c r="AX8" s="169">
        <f t="shared" si="11"/>
        <v>45596</v>
      </c>
      <c r="AY8" s="169">
        <f t="shared" si="11"/>
        <v>45626</v>
      </c>
      <c r="AZ8" s="169">
        <f t="shared" si="11"/>
        <v>45657</v>
      </c>
      <c r="BA8" s="169">
        <f t="shared" si="11"/>
        <v>45688</v>
      </c>
      <c r="BB8" s="169">
        <f t="shared" si="11"/>
        <v>45716</v>
      </c>
      <c r="BC8" s="169">
        <f t="shared" si="11"/>
        <v>45747</v>
      </c>
      <c r="BD8" s="169">
        <f t="shared" si="11"/>
        <v>45777</v>
      </c>
      <c r="BE8" s="169">
        <f t="shared" si="11"/>
        <v>45808</v>
      </c>
      <c r="BF8" s="169">
        <f t="shared" si="11"/>
        <v>45838</v>
      </c>
      <c r="BG8" s="169">
        <f t="shared" si="11"/>
        <v>45869</v>
      </c>
      <c r="BH8" s="169">
        <f t="shared" si="11"/>
        <v>45900</v>
      </c>
      <c r="BI8" s="169">
        <f t="shared" si="11"/>
        <v>45930</v>
      </c>
      <c r="BJ8" s="169">
        <f t="shared" si="11"/>
        <v>45961</v>
      </c>
      <c r="BK8" s="169">
        <f t="shared" si="11"/>
        <v>45991</v>
      </c>
      <c r="BL8" s="169">
        <f t="shared" si="11"/>
        <v>46022</v>
      </c>
      <c r="BM8" s="169">
        <f t="shared" si="11"/>
        <v>46053</v>
      </c>
      <c r="BN8" s="169">
        <f t="shared" si="11"/>
        <v>46081</v>
      </c>
      <c r="BO8" s="169">
        <f t="shared" si="11"/>
        <v>46112</v>
      </c>
      <c r="BP8" s="169">
        <f t="shared" si="11"/>
        <v>46142</v>
      </c>
      <c r="BQ8" s="169">
        <f t="shared" si="11"/>
        <v>46173</v>
      </c>
      <c r="BR8" s="169">
        <f t="shared" si="11"/>
        <v>46203</v>
      </c>
      <c r="BS8" s="169">
        <f t="shared" si="11"/>
        <v>46234</v>
      </c>
      <c r="BT8" s="169">
        <f t="shared" si="11"/>
        <v>46265</v>
      </c>
      <c r="BU8" s="169">
        <f t="shared" si="11"/>
        <v>46295</v>
      </c>
      <c r="BV8" s="169">
        <f t="shared" si="11"/>
        <v>46326</v>
      </c>
      <c r="BW8" s="169">
        <f t="shared" si="11"/>
        <v>46356</v>
      </c>
      <c r="BX8" s="169">
        <f t="shared" si="11"/>
        <v>46387</v>
      </c>
    </row>
    <row r="9" spans="1:92" s="259" customFormat="1" ht="30" customHeight="1">
      <c r="B9" s="261" t="s">
        <v>335</v>
      </c>
      <c r="C9" s="261"/>
      <c r="D9" s="261"/>
      <c r="E9" s="260"/>
      <c r="F9" s="260"/>
      <c r="G9" s="260"/>
      <c r="H9" s="260"/>
      <c r="I9" s="260"/>
      <c r="J9" s="260"/>
      <c r="K9" s="260"/>
      <c r="L9" s="260"/>
      <c r="M9" s="260"/>
      <c r="N9" s="260"/>
      <c r="O9" s="260"/>
      <c r="P9" s="260"/>
      <c r="Q9" s="260"/>
      <c r="R9" s="260"/>
      <c r="S9" s="260"/>
      <c r="T9" s="260"/>
      <c r="U9" s="260"/>
      <c r="V9" s="260"/>
      <c r="W9" s="260"/>
      <c r="X9" s="260"/>
      <c r="Y9" s="260"/>
      <c r="Z9" s="260"/>
      <c r="AA9" s="260"/>
      <c r="AB9" s="260"/>
      <c r="AC9" s="253"/>
      <c r="AD9" s="253"/>
      <c r="AE9" s="253"/>
      <c r="AF9" s="253"/>
      <c r="AG9" s="253"/>
      <c r="AH9" s="253"/>
      <c r="AI9" s="253"/>
      <c r="AJ9" s="253"/>
      <c r="AK9" s="253"/>
      <c r="AL9" s="253"/>
      <c r="AM9" s="253"/>
      <c r="AN9" s="253"/>
      <c r="AO9" s="253"/>
      <c r="AP9" s="253"/>
      <c r="AQ9" s="253"/>
      <c r="AR9" s="253"/>
      <c r="AS9" s="253"/>
      <c r="AT9" s="253"/>
      <c r="AU9" s="253"/>
      <c r="AV9" s="253"/>
      <c r="AW9" s="253"/>
      <c r="AX9" s="253"/>
      <c r="AY9" s="253"/>
      <c r="AZ9" s="253"/>
      <c r="BA9" s="253"/>
      <c r="BB9" s="253"/>
      <c r="BC9" s="253"/>
      <c r="BD9" s="253"/>
      <c r="BE9" s="253"/>
      <c r="BF9" s="253"/>
      <c r="BG9" s="253"/>
      <c r="BH9" s="253"/>
      <c r="BI9" s="253"/>
      <c r="BJ9" s="253"/>
      <c r="BK9" s="253"/>
      <c r="BL9" s="253"/>
      <c r="BM9" s="253"/>
      <c r="BN9" s="253"/>
      <c r="BO9" s="253"/>
      <c r="BP9" s="253"/>
      <c r="BQ9" s="253"/>
      <c r="BR9" s="253"/>
      <c r="BS9" s="253"/>
      <c r="BT9" s="253"/>
      <c r="BU9" s="253"/>
      <c r="BV9" s="253"/>
      <c r="BW9" s="253"/>
      <c r="BX9" s="253"/>
    </row>
    <row r="10" spans="1:92" s="234" customFormat="1" ht="21" customHeight="1">
      <c r="A10" s="252"/>
      <c r="B10" s="250" t="s">
        <v>102</v>
      </c>
      <c r="C10" s="251"/>
      <c r="D10" s="250"/>
      <c r="E10" s="246" cm="1">
        <f t="array" ref="E10">SUM(_xlfn._xlws.FILTER(_xlfn._xlws.FILTER(dataGLPL,ISNUMBER(MATCH(dataGLPLSections,{"Revenue","Other Income"},0))),(startDates&gt;=E$4)*(endDates&lt;=E$5)))-SUM(_xlfn._xlws.FILTER(_xlfn._xlws.FILTER(dataGLPL,ISNUMBER(MATCH(dataGLPLSections,{"COGS","Opex","Other Expenses"},0))),(startDates&gt;=E$4)*(endDates&lt;=E$5)))</f>
        <v>-659921.5</v>
      </c>
      <c r="F10" s="246" cm="1">
        <f t="array" ref="F10">SUM(_xlfn._xlws.FILTER(_xlfn._xlws.FILTER(dataGLPL,ISNUMBER(MATCH(dataGLPLSections,{"Revenue","Other Income"},0))),(startDates&gt;=F$4)*(endDates&lt;=F$5)))-SUM(_xlfn._xlws.FILTER(_xlfn._xlws.FILTER(dataGLPL,ISNUMBER(MATCH(dataGLPLSections,{"COGS","Opex","Other Expenses"},0))),(startDates&gt;=F$4)*(endDates&lt;=F$5)))</f>
        <v>-1553482.5</v>
      </c>
      <c r="G10" s="246" cm="1">
        <f t="array" ref="G10">SUM(_xlfn._xlws.FILTER(_xlfn._xlws.FILTER(dataGLPL,ISNUMBER(MATCH(dataGLPLSections,{"Revenue","Other Income"},0))),(startDates&gt;=G$4)*(endDates&lt;=G$5)))-SUM(_xlfn._xlws.FILTER(_xlfn._xlws.FILTER(dataGLPL,ISNUMBER(MATCH(dataGLPLSections,{"COGS","Opex","Other Expenses"},0))),(startDates&gt;=G$4)*(endDates&lt;=G$5)))</f>
        <v>-2623718.7422727291</v>
      </c>
      <c r="H10" s="246" cm="1">
        <f t="array" ref="H10">SUM(_xlfn._xlws.FILTER(_xlfn._xlws.FILTER(dataGLPL,ISNUMBER(MATCH(dataGLPLSections,{"Revenue","Other Income"},0))),(startDates&gt;=H$4)*(endDates&lt;=H$5)))-SUM(_xlfn._xlws.FILTER(_xlfn._xlws.FILTER(dataGLPL,ISNUMBER(MATCH(dataGLPLSections,{"COGS","Opex","Other Expenses"},0))),(startDates&gt;=H$4)*(endDates&lt;=H$5)))</f>
        <v>-2797484.995756092</v>
      </c>
      <c r="I10" s="249"/>
      <c r="J10" s="249"/>
      <c r="K10" s="246" cm="1">
        <f t="array" ref="K10">SUM(_xlfn._xlws.FILTER(_xlfn._xlws.FILTER(dataGLPL,ISNUMBER(MATCH(dataGLPLSections,{"Revenue","Other Income"},0))),(startDates&gt;=K$4)*(endDates&lt;=K$5)))-SUM(_xlfn._xlws.FILTER(_xlfn._xlws.FILTER(dataGLPL,ISNUMBER(MATCH(dataGLPLSections,{"COGS","Opex","Other Expenses"},0))),(startDates&gt;=K$4)*(endDates&lt;=K$5)))</f>
        <v>-134542</v>
      </c>
      <c r="L10" s="246" cm="1">
        <f t="array" ref="L10">SUM(_xlfn._xlws.FILTER(_xlfn._xlws.FILTER(dataGLPL,ISNUMBER(MATCH(dataGLPLSections,{"Revenue","Other Income"},0))),(startDates&gt;=L$4)*(endDates&lt;=L$5)))-SUM(_xlfn._xlws.FILTER(_xlfn._xlws.FILTER(dataGLPL,ISNUMBER(MATCH(dataGLPLSections,{"COGS","Opex","Other Expenses"},0))),(startDates&gt;=L$4)*(endDates&lt;=L$5)))</f>
        <v>-141020</v>
      </c>
      <c r="M10" s="246" cm="1">
        <f t="array" ref="M10">SUM(_xlfn._xlws.FILTER(_xlfn._xlws.FILTER(dataGLPL,ISNUMBER(MATCH(dataGLPLSections,{"Revenue","Other Income"},0))),(startDates&gt;=M$4)*(endDates&lt;=M$5)))-SUM(_xlfn._xlws.FILTER(_xlfn._xlws.FILTER(dataGLPL,ISNUMBER(MATCH(dataGLPLSections,{"COGS","Opex","Other Expenses"},0))),(startDates&gt;=M$4)*(endDates&lt;=M$5)))</f>
        <v>-142881.5</v>
      </c>
      <c r="N10" s="246" cm="1">
        <f t="array" ref="N10">SUM(_xlfn._xlws.FILTER(_xlfn._xlws.FILTER(dataGLPL,ISNUMBER(MATCH(dataGLPLSections,{"Revenue","Other Income"},0))),(startDates&gt;=N$4)*(endDates&lt;=N$5)))-SUM(_xlfn._xlws.FILTER(_xlfn._xlws.FILTER(dataGLPL,ISNUMBER(MATCH(dataGLPLSections,{"COGS","Opex","Other Expenses"},0))),(startDates&gt;=N$4)*(endDates&lt;=N$5)))</f>
        <v>-241478</v>
      </c>
      <c r="O10" s="246" cm="1">
        <f t="array" ref="O10">SUM(_xlfn._xlws.FILTER(_xlfn._xlws.FILTER(dataGLPL,ISNUMBER(MATCH(dataGLPLSections,{"Revenue","Other Income"},0))),(startDates&gt;=O$4)*(endDates&lt;=O$5)))-SUM(_xlfn._xlws.FILTER(_xlfn._xlws.FILTER(dataGLPL,ISNUMBER(MATCH(dataGLPLSections,{"COGS","Opex","Other Expenses"},0))),(startDates&gt;=O$4)*(endDates&lt;=O$5)))</f>
        <v>-277494</v>
      </c>
      <c r="P10" s="246" cm="1">
        <f t="array" ref="P10">SUM(_xlfn._xlws.FILTER(_xlfn._xlws.FILTER(dataGLPL,ISNUMBER(MATCH(dataGLPLSections,{"Revenue","Other Income"},0))),(startDates&gt;=P$4)*(endDates&lt;=P$5)))-SUM(_xlfn._xlws.FILTER(_xlfn._xlws.FILTER(dataGLPL,ISNUMBER(MATCH(dataGLPLSections,{"COGS","Opex","Other Expenses"},0))),(startDates&gt;=P$4)*(endDates&lt;=P$5)))</f>
        <v>-353145</v>
      </c>
      <c r="Q10" s="246" cm="1">
        <f t="array" ref="Q10">SUM(_xlfn._xlws.FILTER(_xlfn._xlws.FILTER(dataGLPL,ISNUMBER(MATCH(dataGLPLSections,{"Revenue","Other Income"},0))),(startDates&gt;=Q$4)*(endDates&lt;=Q$5)))-SUM(_xlfn._xlws.FILTER(_xlfn._xlws.FILTER(dataGLPL,ISNUMBER(MATCH(dataGLPLSections,{"COGS","Opex","Other Expenses"},0))),(startDates&gt;=Q$4)*(endDates&lt;=Q$5)))</f>
        <v>-445187</v>
      </c>
      <c r="R10" s="246" cm="1">
        <f t="array" ref="R10">SUM(_xlfn._xlws.FILTER(_xlfn._xlws.FILTER(dataGLPL,ISNUMBER(MATCH(dataGLPLSections,{"Revenue","Other Income"},0))),(startDates&gt;=R$4)*(endDates&lt;=R$5)))-SUM(_xlfn._xlws.FILTER(_xlfn._xlws.FILTER(dataGLPL,ISNUMBER(MATCH(dataGLPLSections,{"COGS","Opex","Other Expenses"},0))),(startDates&gt;=R$4)*(endDates&lt;=R$5)))</f>
        <v>-477656.5</v>
      </c>
      <c r="S10" s="246" cm="1">
        <f t="array" ref="S10">SUM(_xlfn._xlws.FILTER(_xlfn._xlws.FILTER(dataGLPL,ISNUMBER(MATCH(dataGLPLSections,{"Revenue","Other Income"},0))),(startDates&gt;=S$4)*(endDates&lt;=S$5)))-SUM(_xlfn._xlws.FILTER(_xlfn._xlws.FILTER(dataGLPL,ISNUMBER(MATCH(dataGLPLSections,{"COGS","Opex","Other Expenses"},0))),(startDates&gt;=S$4)*(endDates&lt;=S$5)))</f>
        <v>-542782.2300000001</v>
      </c>
      <c r="T10" s="246" cm="1">
        <f t="array" ref="T10">SUM(_xlfn._xlws.FILTER(_xlfn._xlws.FILTER(dataGLPL,ISNUMBER(MATCH(dataGLPLSections,{"Revenue","Other Income"},0))),(startDates&gt;=T$4)*(endDates&lt;=T$5)))-SUM(_xlfn._xlws.FILTER(_xlfn._xlws.FILTER(dataGLPL,ISNUMBER(MATCH(dataGLPLSections,{"COGS","Opex","Other Expenses"},0))),(startDates&gt;=T$4)*(endDates&lt;=T$5)))</f>
        <v>-610775.53000000026</v>
      </c>
      <c r="U10" s="246" cm="1">
        <f t="array" ref="U10">SUM(_xlfn._xlws.FILTER(_xlfn._xlws.FILTER(dataGLPL,ISNUMBER(MATCH(dataGLPLSections,{"Revenue","Other Income"},0))),(startDates&gt;=U$4)*(endDates&lt;=U$5)))-SUM(_xlfn._xlws.FILTER(_xlfn._xlws.FILTER(dataGLPL,ISNUMBER(MATCH(dataGLPLSections,{"COGS","Opex","Other Expenses"},0))),(startDates&gt;=U$4)*(endDates&lt;=U$5)))</f>
        <v>-682248.25</v>
      </c>
      <c r="V10" s="246" cm="1">
        <f t="array" ref="V10">SUM(_xlfn._xlws.FILTER(_xlfn._xlws.FILTER(dataGLPL,ISNUMBER(MATCH(dataGLPLSections,{"Revenue","Other Income"},0))),(startDates&gt;=V$4)*(endDates&lt;=V$5)))-SUM(_xlfn._xlws.FILTER(_xlfn._xlws.FILTER(dataGLPL,ISNUMBER(MATCH(dataGLPLSections,{"COGS","Opex","Other Expenses"},0))),(startDates&gt;=V$4)*(endDates&lt;=V$5)))</f>
        <v>-787912.7322727273</v>
      </c>
      <c r="W10" s="246" cm="1">
        <f t="array" ref="W10">SUM(_xlfn._xlws.FILTER(_xlfn._xlws.FILTER(dataGLPL,ISNUMBER(MATCH(dataGLPLSections,{"Revenue","Other Income"},0))),(startDates&gt;=W$4)*(endDates&lt;=W$5)))-SUM(_xlfn._xlws.FILTER(_xlfn._xlws.FILTER(dataGLPL,ISNUMBER(MATCH(dataGLPLSections,{"COGS","Opex","Other Expenses"},0))),(startDates&gt;=W$4)*(endDates&lt;=W$5)))</f>
        <v>-610564.83382827765</v>
      </c>
      <c r="X10" s="246" cm="1">
        <f t="array" ref="X10">SUM(_xlfn._xlws.FILTER(_xlfn._xlws.FILTER(dataGLPL,ISNUMBER(MATCH(dataGLPLSections,{"Revenue","Other Income"},0))),(startDates&gt;=X$4)*(endDates&lt;=X$5)))-SUM(_xlfn._xlws.FILTER(_xlfn._xlws.FILTER(dataGLPL,ISNUMBER(MATCH(dataGLPLSections,{"COGS","Opex","Other Expenses"},0))),(startDates&gt;=X$4)*(endDates&lt;=X$5)))</f>
        <v>-680673.71481320122</v>
      </c>
      <c r="Y10" s="246" cm="1">
        <f t="array" ref="Y10">SUM(_xlfn._xlws.FILTER(_xlfn._xlws.FILTER(dataGLPL,ISNUMBER(MATCH(dataGLPLSections,{"Revenue","Other Income"},0))),(startDates&gt;=Y$4)*(endDates&lt;=Y$5)))-SUM(_xlfn._xlws.FILTER(_xlfn._xlws.FILTER(dataGLPL,ISNUMBER(MATCH(dataGLPLSections,{"COGS","Opex","Other Expenses"},0))),(startDates&gt;=Y$4)*(endDates&lt;=Y$5)))</f>
        <v>-728827.48051758274</v>
      </c>
      <c r="Z10" s="246" cm="1">
        <f t="array" ref="Z10">SUM(_xlfn._xlws.FILTER(_xlfn._xlws.FILTER(dataGLPL,ISNUMBER(MATCH(dataGLPLSections,{"Revenue","Other Income"},0))),(startDates&gt;=Z$4)*(endDates&lt;=Z$5)))-SUM(_xlfn._xlws.FILTER(_xlfn._xlws.FILTER(dataGLPL,ISNUMBER(MATCH(dataGLPLSections,{"COGS","Opex","Other Expenses"},0))),(startDates&gt;=Z$4)*(endDates&lt;=Z$5)))</f>
        <v>-777418.96659703122</v>
      </c>
      <c r="AA10" s="249"/>
      <c r="AB10" s="249"/>
      <c r="AC10" s="246" cm="1">
        <f t="array" ref="AC10">SUM(_xlfn._xlws.FILTER(_xlfn._xlws.FILTER(dataGLPL,ISNUMBER(MATCH(dataGLPLSections,{"Revenue","Other Income"},0))),(startDates&gt;=AC$4)*(endDates&lt;=AC$5)))-SUM(_xlfn._xlws.FILTER(_xlfn._xlws.FILTER(dataGLPL,ISNUMBER(MATCH(dataGLPLSections,{"COGS","Opex","Other Expenses"},0))),(startDates&gt;=AC$4)*(endDates&lt;=AC$5)))</f>
        <v>-44399</v>
      </c>
      <c r="AD10" s="246" cm="1">
        <f t="array" ref="AD10">SUM(_xlfn._xlws.FILTER(_xlfn._xlws.FILTER(dataGLPL,ISNUMBER(MATCH(dataGLPLSections,{"Revenue","Other Income"},0))),(startDates&gt;=AD$4)*(endDates&lt;=AD$5)))-SUM(_xlfn._xlws.FILTER(_xlfn._xlws.FILTER(dataGLPL,ISNUMBER(MATCH(dataGLPLSections,{"COGS","Opex","Other Expenses"},0))),(startDates&gt;=AD$4)*(endDates&lt;=AD$5)))</f>
        <v>-44839</v>
      </c>
      <c r="AE10" s="246" cm="1">
        <f t="array" ref="AE10">SUM(_xlfn._xlws.FILTER(_xlfn._xlws.FILTER(dataGLPL,ISNUMBER(MATCH(dataGLPLSections,{"Revenue","Other Income"},0))),(startDates&gt;=AE$4)*(endDates&lt;=AE$5)))-SUM(_xlfn._xlws.FILTER(_xlfn._xlws.FILTER(dataGLPL,ISNUMBER(MATCH(dataGLPLSections,{"COGS","Opex","Other Expenses"},0))),(startDates&gt;=AE$4)*(endDates&lt;=AE$5)))</f>
        <v>-45304</v>
      </c>
      <c r="AF10" s="246" cm="1">
        <f t="array" ref="AF10">SUM(_xlfn._xlws.FILTER(_xlfn._xlws.FILTER(dataGLPL,ISNUMBER(MATCH(dataGLPLSections,{"Revenue","Other Income"},0))),(startDates&gt;=AF$4)*(endDates&lt;=AF$5)))-SUM(_xlfn._xlws.FILTER(_xlfn._xlws.FILTER(dataGLPL,ISNUMBER(MATCH(dataGLPLSections,{"COGS","Opex","Other Expenses"},0))),(startDates&gt;=AF$4)*(endDates&lt;=AF$5)))</f>
        <v>-46621</v>
      </c>
      <c r="AG10" s="246" cm="1">
        <f t="array" ref="AG10">SUM(_xlfn._xlws.FILTER(_xlfn._xlws.FILTER(dataGLPL,ISNUMBER(MATCH(dataGLPLSections,{"Revenue","Other Income"},0))),(startDates&gt;=AG$4)*(endDates&lt;=AG$5)))-SUM(_xlfn._xlws.FILTER(_xlfn._xlws.FILTER(dataGLPL,ISNUMBER(MATCH(dataGLPLSections,{"COGS","Opex","Other Expenses"},0))),(startDates&gt;=AG$4)*(endDates&lt;=AG$5)))</f>
        <v>-46978</v>
      </c>
      <c r="AH10" s="246" cm="1">
        <f t="array" ref="AH10">SUM(_xlfn._xlws.FILTER(_xlfn._xlws.FILTER(dataGLPL,ISNUMBER(MATCH(dataGLPLSections,{"Revenue","Other Income"},0))),(startDates&gt;=AH$4)*(endDates&lt;=AH$5)))-SUM(_xlfn._xlws.FILTER(_xlfn._xlws.FILTER(dataGLPL,ISNUMBER(MATCH(dataGLPLSections,{"COGS","Opex","Other Expenses"},0))),(startDates&gt;=AH$4)*(endDates&lt;=AH$5)))</f>
        <v>-47421</v>
      </c>
      <c r="AI10" s="246" cm="1">
        <f t="array" ref="AI10">SUM(_xlfn._xlws.FILTER(_xlfn._xlws.FILTER(dataGLPL,ISNUMBER(MATCH(dataGLPLSections,{"Revenue","Other Income"},0))),(startDates&gt;=AI$4)*(endDates&lt;=AI$5)))-SUM(_xlfn._xlws.FILTER(_xlfn._xlws.FILTER(dataGLPL,ISNUMBER(MATCH(dataGLPLSections,{"COGS","Opex","Other Expenses"},0))),(startDates&gt;=AI$4)*(endDates&lt;=AI$5)))</f>
        <v>-47561</v>
      </c>
      <c r="AJ10" s="246" cm="1">
        <f t="array" ref="AJ10">SUM(_xlfn._xlws.FILTER(_xlfn._xlws.FILTER(dataGLPL,ISNUMBER(MATCH(dataGLPLSections,{"Revenue","Other Income"},0))),(startDates&gt;=AJ$4)*(endDates&lt;=AJ$5)))-SUM(_xlfn._xlws.FILTER(_xlfn._xlws.FILTER(dataGLPL,ISNUMBER(MATCH(dataGLPLSections,{"COGS","Opex","Other Expenses"},0))),(startDates&gt;=AJ$4)*(endDates&lt;=AJ$5)))</f>
        <v>-47684.5</v>
      </c>
      <c r="AK10" s="246" cm="1">
        <f t="array" ref="AK10">SUM(_xlfn._xlws.FILTER(_xlfn._xlws.FILTER(dataGLPL,ISNUMBER(MATCH(dataGLPLSections,{"Revenue","Other Income"},0))),(startDates&gt;=AK$4)*(endDates&lt;=AK$5)))-SUM(_xlfn._xlws.FILTER(_xlfn._xlws.FILTER(dataGLPL,ISNUMBER(MATCH(dataGLPLSections,{"COGS","Opex","Other Expenses"},0))),(startDates&gt;=AK$4)*(endDates&lt;=AK$5)))</f>
        <v>-47636</v>
      </c>
      <c r="AL10" s="246" cm="1">
        <f t="array" ref="AL10">SUM(_xlfn._xlws.FILTER(_xlfn._xlws.FILTER(dataGLPL,ISNUMBER(MATCH(dataGLPLSections,{"Revenue","Other Income"},0))),(startDates&gt;=AL$4)*(endDates&lt;=AL$5)))-SUM(_xlfn._xlws.FILTER(_xlfn._xlws.FILTER(dataGLPL,ISNUMBER(MATCH(dataGLPLSections,{"COGS","Opex","Other Expenses"},0))),(startDates&gt;=AL$4)*(endDates&lt;=AL$5)))</f>
        <v>-52475</v>
      </c>
      <c r="AM10" s="246" cm="1">
        <f t="array" ref="AM10">SUM(_xlfn._xlws.FILTER(_xlfn._xlws.FILTER(dataGLPL,ISNUMBER(MATCH(dataGLPLSections,{"Revenue","Other Income"},0))),(startDates&gt;=AM$4)*(endDates&lt;=AM$5)))-SUM(_xlfn._xlws.FILTER(_xlfn._xlws.FILTER(dataGLPL,ISNUMBER(MATCH(dataGLPLSections,{"COGS","Opex","Other Expenses"},0))),(startDates&gt;=AM$4)*(endDates&lt;=AM$5)))</f>
        <v>-64818</v>
      </c>
      <c r="AN10" s="246" cm="1">
        <f t="array" ref="AN10">SUM(_xlfn._xlws.FILTER(_xlfn._xlws.FILTER(dataGLPL,ISNUMBER(MATCH(dataGLPLSections,{"Revenue","Other Income"},0))),(startDates&gt;=AN$4)*(endDates&lt;=AN$5)))-SUM(_xlfn._xlws.FILTER(_xlfn._xlws.FILTER(dataGLPL,ISNUMBER(MATCH(dataGLPLSections,{"COGS","Opex","Other Expenses"},0))),(startDates&gt;=AN$4)*(endDates&lt;=AN$5)))</f>
        <v>-124185</v>
      </c>
      <c r="AO10" s="246" cm="1">
        <f t="array" ref="AO10">SUM(_xlfn._xlws.FILTER(_xlfn._xlws.FILTER(dataGLPL,ISNUMBER(MATCH(dataGLPLSections,{"Revenue","Other Income"},0))),(startDates&gt;=AO$4)*(endDates&lt;=AO$5)))-SUM(_xlfn._xlws.FILTER(_xlfn._xlws.FILTER(dataGLPL,ISNUMBER(MATCH(dataGLPLSections,{"COGS","Opex","Other Expenses"},0))),(startDates&gt;=AO$4)*(endDates&lt;=AO$5)))</f>
        <v>-72804.5</v>
      </c>
      <c r="AP10" s="246" cm="1">
        <f t="array" ref="AP10">SUM(_xlfn._xlws.FILTER(_xlfn._xlws.FILTER(dataGLPL,ISNUMBER(MATCH(dataGLPLSections,{"Revenue","Other Income"},0))),(startDates&gt;=AP$4)*(endDates&lt;=AP$5)))-SUM(_xlfn._xlws.FILTER(_xlfn._xlws.FILTER(dataGLPL,ISNUMBER(MATCH(dataGLPLSections,{"COGS","Opex","Other Expenses"},0))),(startDates&gt;=AP$4)*(endDates&lt;=AP$5)))</f>
        <v>-129320</v>
      </c>
      <c r="AQ10" s="246" cm="1">
        <f t="array" ref="AQ10">SUM(_xlfn._xlws.FILTER(_xlfn._xlws.FILTER(dataGLPL,ISNUMBER(MATCH(dataGLPLSections,{"Revenue","Other Income"},0))),(startDates&gt;=AQ$4)*(endDates&lt;=AQ$5)))-SUM(_xlfn._xlws.FILTER(_xlfn._xlws.FILTER(dataGLPL,ISNUMBER(MATCH(dataGLPLSections,{"COGS","Opex","Other Expenses"},0))),(startDates&gt;=AQ$4)*(endDates&lt;=AQ$5)))</f>
        <v>-75369.5</v>
      </c>
      <c r="AR10" s="246" cm="1">
        <f t="array" ref="AR10">SUM(_xlfn._xlws.FILTER(_xlfn._xlws.FILTER(dataGLPL,ISNUMBER(MATCH(dataGLPLSections,{"Revenue","Other Income"},0))),(startDates&gt;=AR$4)*(endDates&lt;=AR$5)))-SUM(_xlfn._xlws.FILTER(_xlfn._xlws.FILTER(dataGLPL,ISNUMBER(MATCH(dataGLPLSections,{"COGS","Opex","Other Expenses"},0))),(startDates&gt;=AR$4)*(endDates&lt;=AR$5)))</f>
        <v>-134710.5</v>
      </c>
      <c r="AS10" s="246" cm="1">
        <f t="array" ref="AS10">SUM(_xlfn._xlws.FILTER(_xlfn._xlws.FILTER(dataGLPL,ISNUMBER(MATCH(dataGLPLSections,{"Revenue","Other Income"},0))),(startDates&gt;=AS$4)*(endDates&lt;=AS$5)))-SUM(_xlfn._xlws.FILTER(_xlfn._xlws.FILTER(dataGLPL,ISNUMBER(MATCH(dataGLPLSections,{"COGS","Opex","Other Expenses"},0))),(startDates&gt;=AS$4)*(endDates&lt;=AS$5)))</f>
        <v>-78062.5</v>
      </c>
      <c r="AT10" s="246" cm="1">
        <f t="array" ref="AT10">SUM(_xlfn._xlws.FILTER(_xlfn._xlws.FILTER(dataGLPL,ISNUMBER(MATCH(dataGLPLSections,{"Revenue","Other Income"},0))),(startDates&gt;=AT$4)*(endDates&lt;=AT$5)))-SUM(_xlfn._xlws.FILTER(_xlfn._xlws.FILTER(dataGLPL,ISNUMBER(MATCH(dataGLPLSections,{"COGS","Opex","Other Expenses"},0))),(startDates&gt;=AT$4)*(endDates&lt;=AT$5)))</f>
        <v>-140372</v>
      </c>
      <c r="AU10" s="246" cm="1">
        <f t="array" ref="AU10">SUM(_xlfn._xlws.FILTER(_xlfn._xlws.FILTER(dataGLPL,ISNUMBER(MATCH(dataGLPLSections,{"Revenue","Other Income"},0))),(startDates&gt;=AU$4)*(endDates&lt;=AU$5)))-SUM(_xlfn._xlws.FILTER(_xlfn._xlws.FILTER(dataGLPL,ISNUMBER(MATCH(dataGLPLSections,{"COGS","Opex","Other Expenses"},0))),(startDates&gt;=AU$4)*(endDates&lt;=AU$5)))</f>
        <v>-146316</v>
      </c>
      <c r="AV10" s="246" cm="1">
        <f t="array" ref="AV10">SUM(_xlfn._xlws.FILTER(_xlfn._xlws.FILTER(dataGLPL,ISNUMBER(MATCH(dataGLPLSections,{"Revenue","Other Income"},0))),(startDates&gt;=AV$4)*(endDates&lt;=AV$5)))-SUM(_xlfn._xlws.FILTER(_xlfn._xlws.FILTER(dataGLPL,ISNUMBER(MATCH(dataGLPLSections,{"COGS","Opex","Other Expenses"},0))),(startDates&gt;=AV$4)*(endDates&lt;=AV$5)))</f>
        <v>-146315</v>
      </c>
      <c r="AW10" s="246" cm="1">
        <f t="array" ref="AW10">SUM(_xlfn._xlws.FILTER(_xlfn._xlws.FILTER(dataGLPL,ISNUMBER(MATCH(dataGLPLSections,{"Revenue","Other Income"},0))),(startDates&gt;=AW$4)*(endDates&lt;=AW$5)))-SUM(_xlfn._xlws.FILTER(_xlfn._xlws.FILTER(dataGLPL,ISNUMBER(MATCH(dataGLPLSections,{"COGS","Opex","Other Expenses"},0))),(startDates&gt;=AW$4)*(endDates&lt;=AW$5)))</f>
        <v>-152556</v>
      </c>
      <c r="AX10" s="246" cm="1">
        <f t="array" ref="AX10">SUM(_xlfn._xlws.FILTER(_xlfn._xlws.FILTER(dataGLPL,ISNUMBER(MATCH(dataGLPLSections,{"Revenue","Other Income"},0))),(startDates&gt;=AX$4)*(endDates&lt;=AX$5)))-SUM(_xlfn._xlws.FILTER(_xlfn._xlws.FILTER(dataGLPL,ISNUMBER(MATCH(dataGLPLSections,{"COGS","Opex","Other Expenses"},0))),(startDates&gt;=AX$4)*(endDates&lt;=AX$5)))</f>
        <v>-152557</v>
      </c>
      <c r="AY10" s="246" cm="1">
        <f t="array" ref="AY10">SUM(_xlfn._xlws.FILTER(_xlfn._xlws.FILTER(dataGLPL,ISNUMBER(MATCH(dataGLPLSections,{"Revenue","Other Income"},0))),(startDates&gt;=AY$4)*(endDates&lt;=AY$5)))-SUM(_xlfn._xlws.FILTER(_xlfn._xlws.FILTER(dataGLPL,ISNUMBER(MATCH(dataGLPLSections,{"COGS","Opex","Other Expenses"},0))),(startDates&gt;=AY$4)*(endDates&lt;=AY$5)))</f>
        <v>-159110</v>
      </c>
      <c r="AZ10" s="246" cm="1">
        <f t="array" ref="AZ10">SUM(_xlfn._xlws.FILTER(_xlfn._xlws.FILTER(dataGLPL,ISNUMBER(MATCH(dataGLPLSections,{"Revenue","Other Income"},0))),(startDates&gt;=AZ$4)*(endDates&lt;=AZ$5)))-SUM(_xlfn._xlws.FILTER(_xlfn._xlws.FILTER(dataGLPL,ISNUMBER(MATCH(dataGLPLSections,{"COGS","Opex","Other Expenses"},0))),(startDates&gt;=AZ$4)*(endDates&lt;=AZ$5)))</f>
        <v>-165989.5</v>
      </c>
      <c r="BA10" s="246" cm="1">
        <f t="array" ref="BA10">SUM(_xlfn._xlws.FILTER(_xlfn._xlws.FILTER(dataGLPL,ISNUMBER(MATCH(dataGLPLSections,{"Revenue","Other Income"},0))),(startDates&gt;=BA$4)*(endDates&lt;=BA$5)))-SUM(_xlfn._xlws.FILTER(_xlfn._xlws.FILTER(dataGLPL,ISNUMBER(MATCH(dataGLPLSections,{"COGS","Opex","Other Expenses"},0))),(startDates&gt;=BA$4)*(endDates&lt;=BA$5)))</f>
        <v>-173214.90999999995</v>
      </c>
      <c r="BB10" s="246" cm="1">
        <f t="array" ref="BB10">SUM(_xlfn._xlws.FILTER(_xlfn._xlws.FILTER(dataGLPL,ISNUMBER(MATCH(dataGLPLSections,{"Revenue","Other Income"},0))),(startDates&gt;=BB$4)*(endDates&lt;=BB$5)))-SUM(_xlfn._xlws.FILTER(_xlfn._xlws.FILTER(dataGLPL,ISNUMBER(MATCH(dataGLPLSections,{"COGS","Opex","Other Expenses"},0))),(startDates&gt;=BB$4)*(endDates&lt;=BB$5)))</f>
        <v>-180800.66</v>
      </c>
      <c r="BC10" s="246" cm="1">
        <f t="array" ref="BC10">SUM(_xlfn._xlws.FILTER(_xlfn._xlws.FILTER(dataGLPL,ISNUMBER(MATCH(dataGLPLSections,{"Revenue","Other Income"},0))),(startDates&gt;=BC$4)*(endDates&lt;=BC$5)))-SUM(_xlfn._xlws.FILTER(_xlfn._xlws.FILTER(dataGLPL,ISNUMBER(MATCH(dataGLPLSections,{"COGS","Opex","Other Expenses"},0))),(startDates&gt;=BC$4)*(endDates&lt;=BC$5)))</f>
        <v>-188766.66</v>
      </c>
      <c r="BD10" s="246" cm="1">
        <f t="array" ref="BD10">SUM(_xlfn._xlws.FILTER(_xlfn._xlws.FILTER(dataGLPL,ISNUMBER(MATCH(dataGLPLSections,{"Revenue","Other Income"},0))),(startDates&gt;=BD$4)*(endDates&lt;=BD$5)))-SUM(_xlfn._xlws.FILTER(_xlfn._xlws.FILTER(dataGLPL,ISNUMBER(MATCH(dataGLPLSections,{"COGS","Opex","Other Expenses"},0))),(startDates&gt;=BD$4)*(endDates&lt;=BD$5)))</f>
        <v>-197129.66000000003</v>
      </c>
      <c r="BE10" s="246" cm="1">
        <f t="array" ref="BE10">SUM(_xlfn._xlws.FILTER(_xlfn._xlws.FILTER(dataGLPL,ISNUMBER(MATCH(dataGLPLSections,{"Revenue","Other Income"},0))),(startDates&gt;=BE$4)*(endDates&lt;=BE$5)))-SUM(_xlfn._xlws.FILTER(_xlfn._xlws.FILTER(dataGLPL,ISNUMBER(MATCH(dataGLPLSections,{"COGS","Opex","Other Expenses"},0))),(startDates&gt;=BE$4)*(endDates&lt;=BE$5)))</f>
        <v>-205913.66000000003</v>
      </c>
      <c r="BF10" s="246" cm="1">
        <f t="array" ref="BF10">SUM(_xlfn._xlws.FILTER(_xlfn._xlws.FILTER(dataGLPL,ISNUMBER(MATCH(dataGLPLSections,{"Revenue","Other Income"},0))),(startDates&gt;=BF$4)*(endDates&lt;=BF$5)))-SUM(_xlfn._xlws.FILTER(_xlfn._xlws.FILTER(dataGLPL,ISNUMBER(MATCH(dataGLPLSections,{"COGS","Opex","Other Expenses"},0))),(startDates&gt;=BF$4)*(endDates&lt;=BF$5)))</f>
        <v>-207732.21000000005</v>
      </c>
      <c r="BG10" s="246" cm="1">
        <f t="array" ref="BG10">SUM(_xlfn._xlws.FILTER(_xlfn._xlws.FILTER(dataGLPL,ISNUMBER(MATCH(dataGLPLSections,{"Revenue","Other Income"},0))),(startDates&gt;=BG$4)*(endDates&lt;=BG$5)))-SUM(_xlfn._xlws.FILTER(_xlfn._xlws.FILTER(dataGLPL,ISNUMBER(MATCH(dataGLPLSections,{"COGS","Opex","Other Expenses"},0))),(startDates&gt;=BG$4)*(endDates&lt;=BG$5)))</f>
        <v>-219114.04999999993</v>
      </c>
      <c r="BH10" s="246" cm="1">
        <f t="array" ref="BH10">SUM(_xlfn._xlws.FILTER(_xlfn._xlws.FILTER(dataGLPL,ISNUMBER(MATCH(dataGLPLSections,{"Revenue","Other Income"},0))),(startDates&gt;=BH$4)*(endDates&lt;=BH$5)))-SUM(_xlfn._xlws.FILTER(_xlfn._xlws.FILTER(dataGLPL,ISNUMBER(MATCH(dataGLPLSections,{"COGS","Opex","Other Expenses"},0))),(startDates&gt;=BH$4)*(endDates&lt;=BH$5)))</f>
        <v>-235479.99000000005</v>
      </c>
      <c r="BI10" s="246" cm="1">
        <f t="array" ref="BI10">SUM(_xlfn._xlws.FILTER(_xlfn._xlws.FILTER(dataGLPL,ISNUMBER(MATCH(dataGLPLSections,{"Revenue","Other Income"},0))),(startDates&gt;=BI$4)*(endDates&lt;=BI$5)))-SUM(_xlfn._xlws.FILTER(_xlfn._xlws.FILTER(dataGLPL,ISNUMBER(MATCH(dataGLPLSections,{"COGS","Opex","Other Expenses"},0))),(startDates&gt;=BI$4)*(endDates&lt;=BI$5)))</f>
        <v>-227654.21000000002</v>
      </c>
      <c r="BJ10" s="246" cm="1">
        <f t="array" ref="BJ10">SUM(_xlfn._xlws.FILTER(_xlfn._xlws.FILTER(dataGLPL,ISNUMBER(MATCH(dataGLPLSections,{"Revenue","Other Income"},0))),(startDates&gt;=BJ$4)*(endDates&lt;=BJ$5)))-SUM(_xlfn._xlws.FILTER(_xlfn._xlws.FILTER(dataGLPL,ISNUMBER(MATCH(dataGLPLSections,{"COGS","Opex","Other Expenses"},0))),(startDates&gt;=BJ$4)*(endDates&lt;=BJ$5)))</f>
        <v>-246862.15000000002</v>
      </c>
      <c r="BK10" s="246" cm="1">
        <f t="array" ref="BK10">SUM(_xlfn._xlws.FILTER(_xlfn._xlws.FILTER(dataGLPL,ISNUMBER(MATCH(dataGLPLSections,{"Revenue","Other Income"},0))),(startDates&gt;=BK$4)*(endDates&lt;=BK$5)))-SUM(_xlfn._xlws.FILTER(_xlfn._xlws.FILTER(dataGLPL,ISNUMBER(MATCH(dataGLPLSections,{"COGS","Opex","Other Expenses"},0))),(startDates&gt;=BK$4)*(endDates&lt;=BK$5)))</f>
        <v>-259180.48999999993</v>
      </c>
      <c r="BL10" s="246" cm="1">
        <f t="array" ref="BL10">SUM(_xlfn._xlws.FILTER(_xlfn._xlws.FILTER(dataGLPL,ISNUMBER(MATCH(dataGLPLSections,{"Revenue","Other Income"},0))),(startDates&gt;=BL$4)*(endDates&lt;=BL$5)))-SUM(_xlfn._xlws.FILTER(_xlfn._xlws.FILTER(dataGLPL,ISNUMBER(MATCH(dataGLPLSections,{"COGS","Opex","Other Expenses"},0))),(startDates&gt;=BL$4)*(endDates&lt;=BL$5)))</f>
        <v>-281870.09227272728</v>
      </c>
      <c r="BM10" s="246" cm="1">
        <f t="array" ref="BM10">SUM(_xlfn._xlws.FILTER(_xlfn._xlws.FILTER(dataGLPL,ISNUMBER(MATCH(dataGLPLSections,{"Revenue","Other Income"},0))),(startDates&gt;=BM$4)*(endDates&lt;=BM$5)))-SUM(_xlfn._xlws.FILTER(_xlfn._xlws.FILTER(dataGLPL,ISNUMBER(MATCH(dataGLPLSections,{"COGS","Opex","Other Expenses"},0))),(startDates&gt;=BM$4)*(endDates&lt;=BM$5)))</f>
        <v>-224950.03602817951</v>
      </c>
      <c r="BN10" s="246" cm="1">
        <f t="array" ref="BN10">SUM(_xlfn._xlws.FILTER(_xlfn._xlws.FILTER(dataGLPL,ISNUMBER(MATCH(dataGLPLSections,{"Revenue","Other Income"},0))),(startDates&gt;=BN$4)*(endDates&lt;=BN$5)))-SUM(_xlfn._xlws.FILTER(_xlfn._xlws.FILTER(dataGLPL,ISNUMBER(MATCH(dataGLPLSections,{"COGS","Opex","Other Expenses"},0))),(startDates&gt;=BN$4)*(endDates&lt;=BN$5)))</f>
        <v>-190478.12569013383</v>
      </c>
      <c r="BO10" s="246" cm="1">
        <f t="array" ref="BO10">SUM(_xlfn._xlws.FILTER(_xlfn._xlws.FILTER(dataGLPL,ISNUMBER(MATCH(dataGLPLSections,{"Revenue","Other Income"},0))),(startDates&gt;=BO$4)*(endDates&lt;=BO$5)))-SUM(_xlfn._xlws.FILTER(_xlfn._xlws.FILTER(dataGLPL,ISNUMBER(MATCH(dataGLPLSections,{"COGS","Opex","Other Expenses"},0))),(startDates&gt;=BO$4)*(endDates&lt;=BO$5)))</f>
        <v>-195136.67210996436</v>
      </c>
      <c r="BP10" s="246" cm="1">
        <f t="array" ref="BP10">SUM(_xlfn._xlws.FILTER(_xlfn._xlws.FILTER(dataGLPL,ISNUMBER(MATCH(dataGLPLSections,{"Revenue","Other Income"},0))),(startDates&gt;=BP$4)*(endDates&lt;=BP$5)))-SUM(_xlfn._xlws.FILTER(_xlfn._xlws.FILTER(dataGLPL,ISNUMBER(MATCH(dataGLPLSections,{"COGS","Opex","Other Expenses"},0))),(startDates&gt;=BP$4)*(endDates&lt;=BP$5)))</f>
        <v>-222874.80513351591</v>
      </c>
      <c r="BQ10" s="246" cm="1">
        <f t="array" ref="BQ10">SUM(_xlfn._xlws.FILTER(_xlfn._xlws.FILTER(dataGLPL,ISNUMBER(MATCH(dataGLPLSections,{"Revenue","Other Income"},0))),(startDates&gt;=BQ$4)*(endDates&lt;=BQ$5)))-SUM(_xlfn._xlws.FILTER(_xlfn._xlws.FILTER(dataGLPL,ISNUMBER(MATCH(dataGLPLSections,{"COGS","Opex","Other Expenses"},0))),(startDates&gt;=BQ$4)*(endDates&lt;=BQ$5)))</f>
        <v>-226364.12775811536</v>
      </c>
      <c r="BR10" s="246" cm="1">
        <f t="array" ref="BR10">SUM(_xlfn._xlws.FILTER(_xlfn._xlws.FILTER(dataGLPL,ISNUMBER(MATCH(dataGLPLSections,{"Revenue","Other Income"},0))),(startDates&gt;=BR$4)*(endDates&lt;=BR$5)))-SUM(_xlfn._xlws.FILTER(_xlfn._xlws.FILTER(dataGLPL,ISNUMBER(MATCH(dataGLPLSections,{"COGS","Opex","Other Expenses"},0))),(startDates&gt;=BR$4)*(endDates&lt;=BR$5)))</f>
        <v>-231434.78192156955</v>
      </c>
      <c r="BS10" s="246" cm="1">
        <f t="array" ref="BS10">SUM(_xlfn._xlws.FILTER(_xlfn._xlws.FILTER(dataGLPL,ISNUMBER(MATCH(dataGLPLSections,{"Revenue","Other Income"},0))),(startDates&gt;=BS$4)*(endDates&lt;=BS$5)))-SUM(_xlfn._xlws.FILTER(_xlfn._xlws.FILTER(dataGLPL,ISNUMBER(MATCH(dataGLPLSections,{"COGS","Opex","Other Expenses"},0))),(startDates&gt;=BS$4)*(endDates&lt;=BS$5)))</f>
        <v>-239175.14046604885</v>
      </c>
      <c r="BT10" s="246" cm="1">
        <f t="array" ref="BT10">SUM(_xlfn._xlws.FILTER(_xlfn._xlws.FILTER(dataGLPL,ISNUMBER(MATCH(dataGLPLSections,{"Revenue","Other Income"},0))),(startDates&gt;=BT$4)*(endDates&lt;=BT$5)))-SUM(_xlfn._xlws.FILTER(_xlfn._xlws.FILTER(dataGLPL,ISNUMBER(MATCH(dataGLPLSections,{"COGS","Opex","Other Expenses"},0))),(startDates&gt;=BT$4)*(endDates&lt;=BT$5)))</f>
        <v>-242999.31608914887</v>
      </c>
      <c r="BU10" s="246" cm="1">
        <f t="array" ref="BU10">SUM(_xlfn._xlws.FILTER(_xlfn._xlws.FILTER(dataGLPL,ISNUMBER(MATCH(dataGLPLSections,{"Revenue","Other Income"},0))),(startDates&gt;=BU$4)*(endDates&lt;=BU$5)))-SUM(_xlfn._xlws.FILTER(_xlfn._xlws.FILTER(dataGLPL,ISNUMBER(MATCH(dataGLPLSections,{"COGS","Opex","Other Expenses"},0))),(startDates&gt;=BU$4)*(endDates&lt;=BU$5)))</f>
        <v>-246653.02396238555</v>
      </c>
      <c r="BV10" s="246" cm="1">
        <f t="array" ref="BV10">SUM(_xlfn._xlws.FILTER(_xlfn._xlws.FILTER(dataGLPL,ISNUMBER(MATCH(dataGLPLSections,{"Revenue","Other Income"},0))),(startDates&gt;=BV$4)*(endDates&lt;=BV$5)))-SUM(_xlfn._xlws.FILTER(_xlfn._xlws.FILTER(dataGLPL,ISNUMBER(MATCH(dataGLPLSections,{"COGS","Opex","Other Expenses"},0))),(startDates&gt;=BV$4)*(endDates&lt;=BV$5)))</f>
        <v>-250115.95194645517</v>
      </c>
      <c r="BW10" s="246" cm="1">
        <f t="array" ref="BW10">SUM(_xlfn._xlws.FILTER(_xlfn._xlws.FILTER(dataGLPL,ISNUMBER(MATCH(dataGLPLSections,{"Revenue","Other Income"},0))),(startDates&gt;=BW$4)*(endDates&lt;=BW$5)))-SUM(_xlfn._xlws.FILTER(_xlfn._xlws.FILTER(dataGLPL,ISNUMBER(MATCH(dataGLPLSections,{"COGS","Opex","Other Expenses"},0))),(startDates&gt;=BW$4)*(endDates&lt;=BW$5)))</f>
        <v>-253468.68181665597</v>
      </c>
      <c r="BX10" s="246" cm="1">
        <f t="array" ref="BX10">SUM(_xlfn._xlws.FILTER(_xlfn._xlws.FILTER(dataGLPL,ISNUMBER(MATCH(dataGLPLSections,{"Revenue","Other Income"},0))),(startDates&gt;=BX$4)*(endDates&lt;=BX$5)))-SUM(_xlfn._xlws.FILTER(_xlfn._xlws.FILTER(dataGLPL,ISNUMBER(MATCH(dataGLPLSections,{"COGS","Opex","Other Expenses"},0))),(startDates&gt;=BX$4)*(endDates&lt;=BX$5)))</f>
        <v>-273834.33283392026</v>
      </c>
    </row>
    <row r="11" spans="1:92" s="234" customFormat="1" ht="21" customHeight="1">
      <c r="A11" s="252"/>
      <c r="B11" s="250" t="s">
        <v>132</v>
      </c>
      <c r="C11" s="251"/>
      <c r="D11" s="250"/>
      <c r="E11" s="246"/>
      <c r="F11" s="246"/>
      <c r="G11" s="246"/>
      <c r="H11" s="246"/>
      <c r="I11" s="249"/>
      <c r="J11" s="249"/>
      <c r="K11" s="246"/>
      <c r="L11" s="246"/>
      <c r="M11" s="246"/>
      <c r="N11" s="246"/>
      <c r="O11" s="246"/>
      <c r="P11" s="246"/>
      <c r="Q11" s="246"/>
      <c r="R11" s="246"/>
      <c r="S11" s="246"/>
      <c r="T11" s="246"/>
      <c r="U11" s="246"/>
      <c r="V11" s="246"/>
      <c r="W11" s="246"/>
      <c r="X11" s="246"/>
      <c r="Y11" s="246"/>
      <c r="Z11" s="246"/>
      <c r="AA11" s="249"/>
      <c r="AB11" s="249"/>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c r="AZ11" s="246"/>
      <c r="BA11" s="246"/>
      <c r="BB11" s="246"/>
      <c r="BC11" s="246"/>
      <c r="BD11" s="246"/>
      <c r="BE11" s="246"/>
      <c r="BF11" s="246"/>
      <c r="BG11" s="246"/>
      <c r="BH11" s="246"/>
      <c r="BI11" s="246"/>
      <c r="BJ11" s="246"/>
      <c r="BK11" s="246"/>
      <c r="BL11" s="246"/>
      <c r="BM11" s="246"/>
      <c r="BN11" s="246"/>
      <c r="BO11" s="246"/>
      <c r="BP11" s="246"/>
      <c r="BQ11" s="246"/>
      <c r="BR11" s="246"/>
      <c r="BS11" s="246"/>
      <c r="BT11" s="246"/>
      <c r="BU11" s="246"/>
      <c r="BV11" s="246"/>
      <c r="BW11" s="246"/>
      <c r="BX11" s="246"/>
    </row>
    <row r="12" spans="1:92" s="234" customFormat="1" ht="21" customHeight="1">
      <c r="A12" s="252"/>
      <c r="B12" s="250"/>
      <c r="C12" s="251"/>
      <c r="D12" s="250"/>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row>
    <row r="13" spans="1:92" customFormat="1" ht="21" customHeight="1">
      <c r="B13" s="257" t="s">
        <v>336</v>
      </c>
      <c r="C13" s="258"/>
      <c r="D13" s="257"/>
      <c r="E13" s="255"/>
      <c r="F13" s="255"/>
      <c r="G13" s="255"/>
      <c r="H13" s="255"/>
      <c r="I13" s="256"/>
      <c r="J13" s="256"/>
      <c r="K13" s="255"/>
      <c r="L13" s="255"/>
      <c r="M13" s="255"/>
      <c r="N13" s="255"/>
      <c r="O13" s="255"/>
      <c r="P13" s="255"/>
      <c r="Q13" s="255"/>
      <c r="R13" s="255"/>
      <c r="S13" s="255"/>
      <c r="T13" s="255"/>
      <c r="U13" s="255"/>
      <c r="V13" s="255"/>
      <c r="W13" s="255"/>
      <c r="X13" s="255"/>
      <c r="Y13" s="255"/>
      <c r="Z13" s="255"/>
      <c r="AA13" s="256"/>
      <c r="AB13" s="256"/>
      <c r="AC13" s="255"/>
      <c r="AD13" s="255"/>
      <c r="AE13" s="255"/>
      <c r="AF13" s="255"/>
      <c r="AG13" s="255"/>
      <c r="AH13" s="255"/>
      <c r="AI13" s="255"/>
      <c r="AJ13" s="255"/>
      <c r="AK13" s="255"/>
      <c r="AL13" s="255"/>
      <c r="AM13" s="255"/>
      <c r="AN13" s="255"/>
      <c r="AO13" s="255"/>
      <c r="AP13" s="255"/>
      <c r="AQ13" s="255"/>
      <c r="AR13" s="255"/>
      <c r="AS13" s="255"/>
      <c r="AT13" s="255"/>
      <c r="AU13" s="255"/>
      <c r="AV13" s="255"/>
      <c r="AW13" s="255"/>
      <c r="AX13" s="255"/>
      <c r="AY13" s="255"/>
      <c r="AZ13" s="255"/>
      <c r="BA13" s="255"/>
      <c r="BB13" s="255"/>
      <c r="BC13" s="255"/>
      <c r="BD13" s="255"/>
      <c r="BE13" s="255"/>
      <c r="BF13" s="255"/>
      <c r="BG13" s="255"/>
      <c r="BH13" s="255"/>
      <c r="BI13" s="255"/>
      <c r="BJ13" s="255"/>
      <c r="BK13" s="255"/>
      <c r="BL13" s="255"/>
      <c r="BM13" s="255"/>
      <c r="BN13" s="255"/>
      <c r="BO13" s="255"/>
      <c r="BP13" s="255"/>
      <c r="BQ13" s="255"/>
      <c r="BR13" s="255"/>
      <c r="BS13" s="255"/>
      <c r="BT13" s="255"/>
      <c r="BU13" s="255"/>
      <c r="BV13" s="255"/>
      <c r="BW13" s="255"/>
      <c r="BX13" s="255"/>
      <c r="BY13" s="254"/>
      <c r="BZ13" s="254"/>
      <c r="CA13" s="254"/>
      <c r="CB13" s="254"/>
      <c r="CC13" s="254"/>
      <c r="CD13" s="254"/>
      <c r="CE13" s="254"/>
      <c r="CF13" s="254"/>
      <c r="CG13" s="254"/>
      <c r="CH13" s="254"/>
      <c r="CI13" s="254"/>
      <c r="CJ13" s="254"/>
      <c r="CK13" s="254"/>
      <c r="CL13" s="254"/>
      <c r="CM13" s="254"/>
      <c r="CN13" s="254"/>
    </row>
    <row r="14" spans="1:92" customFormat="1" ht="21" customHeight="1">
      <c r="B14" s="685" t="s">
        <v>278</v>
      </c>
      <c r="C14">
        <v>8</v>
      </c>
      <c r="E14" s="547" cm="1">
        <f t="array" ref="E14">(SUM(_xlfn._xlws.FILTER(_xlfn._xlws.FILTER(dataGLBSCF,dataGLBSAcctIDs=$C14),(endDatesCF=E$5)))-SUM(_xlfn._xlws.FILTER(_xlfn._xlws.FILTER(dataGLBSCF,dataGLBSAcctIDs=$C14),(startDatesCF=EDATE(E$4,-1)))))*INDEX(PBC_ACCOUNT_LIST[Sign_for_total_cashflow],MATCH($C14,PBC_ACCOUNT_LIST[Id],0))</f>
        <v>-34169</v>
      </c>
      <c r="F14" s="547" cm="1">
        <f t="array" ref="F14">(SUM(_xlfn._xlws.FILTER(_xlfn._xlws.FILTER(dataGLBSCF,dataGLBSAcctIDs=$C14),(endDatesCF=F$5)))-SUM(_xlfn._xlws.FILTER(_xlfn._xlws.FILTER(dataGLBSCF,dataGLBSAcctIDs=$C14),(startDatesCF=EDATE(F$4,-1)))))*INDEX(PBC_ACCOUNT_LIST[Sign_for_total_cashflow],MATCH($C14,PBC_ACCOUNT_LIST[Id],0))</f>
        <v>-18145</v>
      </c>
      <c r="G14" s="547" cm="1">
        <f t="array" ref="G14">(SUM(_xlfn._xlws.FILTER(_xlfn._xlws.FILTER(dataGLBSCF,dataGLBSAcctIDs=$C14),(endDatesCF=G$5)))-SUM(_xlfn._xlws.FILTER(_xlfn._xlws.FILTER(dataGLBSCF,dataGLBSAcctIDs=$C14),(startDatesCF=EDATE(G$4,-1)))))*INDEX(PBC_ACCOUNT_LIST[Sign_for_total_cashflow],MATCH($C14,PBC_ACCOUNT_LIST[Id],0))</f>
        <v>-131285.24</v>
      </c>
      <c r="H14" s="547" cm="1">
        <f t="array" ref="H14">(SUM(_xlfn._xlws.FILTER(_xlfn._xlws.FILTER(dataGLBSCF,dataGLBSAcctIDs=$C14),(endDatesCF=H$5)))-SUM(_xlfn._xlws.FILTER(_xlfn._xlws.FILTER(dataGLBSCF,dataGLBSAcctIDs=$C14),(startDatesCF=EDATE(H$4,-1)))))*INDEX(PBC_ACCOUNT_LIST[Sign_for_total_cashflow],MATCH($C14,PBC_ACCOUNT_LIST[Id],0))</f>
        <v>183599.24</v>
      </c>
      <c r="K14" s="547" cm="1">
        <f t="array" ref="K14">(SUM(_xlfn._xlws.FILTER(_xlfn._xlws.FILTER(dataGLBSCF,dataGLBSAcctIDs=$C14),(endDatesCF=K$5)))-SUM(_xlfn._xlws.FILTER(_xlfn._xlws.FILTER(dataGLBSCF,dataGLBSAcctIDs=$C14),(startDatesCF=EDATE(K$4,-1)))))*INDEX(PBC_ACCOUNT_LIST[Sign_for_total_cashflow],MATCH($C14,PBC_ACCOUNT_LIST[Id],0))</f>
        <v>-20100</v>
      </c>
      <c r="L14" s="547" cm="1">
        <f t="array" ref="L14">(SUM(_xlfn._xlws.FILTER(_xlfn._xlws.FILTER(dataGLBSCF,dataGLBSAcctIDs=$C14),(endDatesCF=L$5)))-SUM(_xlfn._xlws.FILTER(_xlfn._xlws.FILTER(dataGLBSCF,dataGLBSAcctIDs=$C14),(startDatesCF=EDATE(L$4,-1)))))*INDEX(PBC_ACCOUNT_LIST[Sign_for_total_cashflow],MATCH($C14,PBC_ACCOUNT_LIST[Id],0))</f>
        <v>-6653</v>
      </c>
      <c r="M14" s="547" cm="1">
        <f t="array" ref="M14">(SUM(_xlfn._xlws.FILTER(_xlfn._xlws.FILTER(dataGLBSCF,dataGLBSAcctIDs=$C14),(endDatesCF=M$5)))-SUM(_xlfn._xlws.FILTER(_xlfn._xlws.FILTER(dataGLBSCF,dataGLBSAcctIDs=$C14),(startDatesCF=EDATE(M$4,-1)))))*INDEX(PBC_ACCOUNT_LIST[Sign_for_total_cashflow],MATCH($C14,PBC_ACCOUNT_LIST[Id],0))</f>
        <v>-8855</v>
      </c>
      <c r="N14" s="547" cm="1">
        <f t="array" ref="N14">(SUM(_xlfn._xlws.FILTER(_xlfn._xlws.FILTER(dataGLBSCF,dataGLBSAcctIDs=$C14),(endDatesCF=N$5)))-SUM(_xlfn._xlws.FILTER(_xlfn._xlws.FILTER(dataGLBSCF,dataGLBSAcctIDs=$C14),(startDatesCF=EDATE(N$4,-1)))))*INDEX(PBC_ACCOUNT_LIST[Sign_for_total_cashflow],MATCH($C14,PBC_ACCOUNT_LIST[Id],0))</f>
        <v>1439</v>
      </c>
      <c r="O14" s="547" cm="1">
        <f t="array" ref="O14">(SUM(_xlfn._xlws.FILTER(_xlfn._xlws.FILTER(dataGLBSCF,dataGLBSAcctIDs=$C14),(endDatesCF=O$5)))-SUM(_xlfn._xlws.FILTER(_xlfn._xlws.FILTER(dataGLBSCF,dataGLBSAcctIDs=$C14),(startDatesCF=EDATE(O$4,-1)))))*INDEX(PBC_ACCOUNT_LIST[Sign_for_total_cashflow],MATCH($C14,PBC_ACCOUNT_LIST[Id],0))</f>
        <v>-6818</v>
      </c>
      <c r="P14" s="547" cm="1">
        <f t="array" ref="P14">(SUM(_xlfn._xlws.FILTER(_xlfn._xlws.FILTER(dataGLBSCF,dataGLBSAcctIDs=$C14),(endDatesCF=P$5)))-SUM(_xlfn._xlws.FILTER(_xlfn._xlws.FILTER(dataGLBSCF,dataGLBSAcctIDs=$C14),(startDatesCF=EDATE(P$4,-1)))))*INDEX(PBC_ACCOUNT_LIST[Sign_for_total_cashflow],MATCH($C14,PBC_ACCOUNT_LIST[Id],0))</f>
        <v>-3996</v>
      </c>
      <c r="Q14" s="547" cm="1">
        <f t="array" ref="Q14">(SUM(_xlfn._xlws.FILTER(_xlfn._xlws.FILTER(dataGLBSCF,dataGLBSAcctIDs=$C14),(endDatesCF=Q$5)))-SUM(_xlfn._xlws.FILTER(_xlfn._xlws.FILTER(dataGLBSCF,dataGLBSAcctIDs=$C14),(startDatesCF=EDATE(Q$4,-1)))))*INDEX(PBC_ACCOUNT_LIST[Sign_for_total_cashflow],MATCH($C14,PBC_ACCOUNT_LIST[Id],0))</f>
        <v>-3597</v>
      </c>
      <c r="R14" s="547" cm="1">
        <f t="array" ref="R14">(SUM(_xlfn._xlws.FILTER(_xlfn._xlws.FILTER(dataGLBSCF,dataGLBSAcctIDs=$C14),(endDatesCF=R$5)))-SUM(_xlfn._xlws.FILTER(_xlfn._xlws.FILTER(dataGLBSCF,dataGLBSAcctIDs=$C14),(startDatesCF=EDATE(R$4,-1)))))*INDEX(PBC_ACCOUNT_LIST[Sign_for_total_cashflow],MATCH($C14,PBC_ACCOUNT_LIST[Id],0))</f>
        <v>-3734</v>
      </c>
      <c r="S14" s="547" cm="1">
        <f t="array" ref="S14">(SUM(_xlfn._xlws.FILTER(_xlfn._xlws.FILTER(dataGLBSCF,dataGLBSAcctIDs=$C14),(endDatesCF=S$5)))-SUM(_xlfn._xlws.FILTER(_xlfn._xlws.FILTER(dataGLBSCF,dataGLBSAcctIDs=$C14),(startDatesCF=EDATE(S$4,-1)))))*INDEX(PBC_ACCOUNT_LIST[Sign_for_total_cashflow],MATCH($C14,PBC_ACCOUNT_LIST[Id],0))</f>
        <v>-3993.7699999999968</v>
      </c>
      <c r="T14" s="547" cm="1">
        <f t="array" ref="T14">(SUM(_xlfn._xlws.FILTER(_xlfn._xlws.FILTER(dataGLBSCF,dataGLBSAcctIDs=$C14),(endDatesCF=T$5)))-SUM(_xlfn._xlws.FILTER(_xlfn._xlws.FILTER(dataGLBSCF,dataGLBSAcctIDs=$C14),(startDatesCF=EDATE(T$4,-1)))))*INDEX(PBC_ACCOUNT_LIST[Sign_for_total_cashflow],MATCH($C14,PBC_ACCOUNT_LIST[Id],0))</f>
        <v>-12994.780000000006</v>
      </c>
      <c r="U14" s="547" cm="1">
        <f t="array" ref="U14">(SUM(_xlfn._xlws.FILTER(_xlfn._xlws.FILTER(dataGLBSCF,dataGLBSAcctIDs=$C14),(endDatesCF=U$5)))-SUM(_xlfn._xlws.FILTER(_xlfn._xlws.FILTER(dataGLBSCF,dataGLBSAcctIDs=$C14),(startDatesCF=EDATE(U$4,-1)))))*INDEX(PBC_ACCOUNT_LIST[Sign_for_total_cashflow],MATCH($C14,PBC_ACCOUNT_LIST[Id],0))</f>
        <v>-29121.11</v>
      </c>
      <c r="V14" s="547" cm="1">
        <f t="array" ref="V14">(SUM(_xlfn._xlws.FILTER(_xlfn._xlws.FILTER(dataGLBSCF,dataGLBSAcctIDs=$C14),(endDatesCF=V$5)))-SUM(_xlfn._xlws.FILTER(_xlfn._xlws.FILTER(dataGLBSCF,dataGLBSAcctIDs=$C14),(startDatesCF=EDATE(V$4,-1)))))*INDEX(PBC_ACCOUNT_LIST[Sign_for_total_cashflow],MATCH($C14,PBC_ACCOUNT_LIST[Id],0))</f>
        <v>-85175.579999999987</v>
      </c>
      <c r="W14" s="547" cm="1">
        <f t="array" ref="W14">(SUM(_xlfn._xlws.FILTER(_xlfn._xlws.FILTER(dataGLBSCF,dataGLBSAcctIDs=$C14),(endDatesCF=W$5)))-SUM(_xlfn._xlws.FILTER(_xlfn._xlws.FILTER(dataGLBSCF,dataGLBSAcctIDs=$C14),(startDatesCF=EDATE(W$4,-1)))))*INDEX(PBC_ACCOUNT_LIST[Sign_for_total_cashflow],MATCH($C14,PBC_ACCOUNT_LIST[Id],0))</f>
        <v>183599.24</v>
      </c>
      <c r="X14" s="547" cm="1">
        <f t="array" ref="X14">(SUM(_xlfn._xlws.FILTER(_xlfn._xlws.FILTER(dataGLBSCF,dataGLBSAcctIDs=$C14),(endDatesCF=X$5)))-SUM(_xlfn._xlws.FILTER(_xlfn._xlws.FILTER(dataGLBSCF,dataGLBSAcctIDs=$C14),(startDatesCF=EDATE(X$4,-1)))))*INDEX(PBC_ACCOUNT_LIST[Sign_for_total_cashflow],MATCH($C14,PBC_ACCOUNT_LIST[Id],0))</f>
        <v>0</v>
      </c>
      <c r="Y14" s="547" cm="1">
        <f t="array" ref="Y14">(SUM(_xlfn._xlws.FILTER(_xlfn._xlws.FILTER(dataGLBSCF,dataGLBSAcctIDs=$C14),(endDatesCF=Y$5)))-SUM(_xlfn._xlws.FILTER(_xlfn._xlws.FILTER(dataGLBSCF,dataGLBSAcctIDs=$C14),(startDatesCF=EDATE(Y$4,-1)))))*INDEX(PBC_ACCOUNT_LIST[Sign_for_total_cashflow],MATCH($C14,PBC_ACCOUNT_LIST[Id],0))</f>
        <v>0</v>
      </c>
      <c r="Z14" s="547" cm="1">
        <f t="array" ref="Z14">(SUM(_xlfn._xlws.FILTER(_xlfn._xlws.FILTER(dataGLBSCF,dataGLBSAcctIDs=$C14),(endDatesCF=Z$5)))-SUM(_xlfn._xlws.FILTER(_xlfn._xlws.FILTER(dataGLBSCF,dataGLBSAcctIDs=$C14),(startDatesCF=EDATE(Z$4,-1)))))*INDEX(PBC_ACCOUNT_LIST[Sign_for_total_cashflow],MATCH($C14,PBC_ACCOUNT_LIST[Id],0))</f>
        <v>0</v>
      </c>
      <c r="AC14" s="547" cm="1">
        <f t="array" ref="AC14">(SUM(_xlfn._xlws.FILTER(_xlfn._xlws.FILTER(dataGLBSCF,dataGLBSAcctIDs=$C14),(endDatesCF=AC$5)))-SUM(_xlfn._xlws.FILTER(_xlfn._xlws.FILTER(dataGLBSCF,dataGLBSAcctIDs=$C14),(startDatesCF=EDATE(AC$4,-1)))))*INDEX(PBC_ACCOUNT_LIST[Sign_for_total_cashflow],MATCH($C14,PBC_ACCOUNT_LIST[Id],0))</f>
        <v>-10000</v>
      </c>
      <c r="AD14" s="547" cm="1">
        <f t="array" ref="AD14">(SUM(_xlfn._xlws.FILTER(_xlfn._xlws.FILTER(dataGLBSCF,dataGLBSAcctIDs=$C14),(endDatesCF=AD$5)))-SUM(_xlfn._xlws.FILTER(_xlfn._xlws.FILTER(dataGLBSCF,dataGLBSAcctIDs=$C14),(startDatesCF=EDATE(AD$4,-1)))))*INDEX(PBC_ACCOUNT_LIST[Sign_for_total_cashflow],MATCH($C14,PBC_ACCOUNT_LIST[Id],0))</f>
        <v>-6000</v>
      </c>
      <c r="AE14" s="547" cm="1">
        <f t="array" ref="AE14">(SUM(_xlfn._xlws.FILTER(_xlfn._xlws.FILTER(dataGLBSCF,dataGLBSAcctIDs=$C14),(endDatesCF=AE$5)))-SUM(_xlfn._xlws.FILTER(_xlfn._xlws.FILTER(dataGLBSCF,dataGLBSAcctIDs=$C14),(startDatesCF=EDATE(AE$4,-1)))))*INDEX(PBC_ACCOUNT_LIST[Sign_for_total_cashflow],MATCH($C14,PBC_ACCOUNT_LIST[Id],0))</f>
        <v>-4100</v>
      </c>
      <c r="AF14" s="547" cm="1">
        <f t="array" ref="AF14">(SUM(_xlfn._xlws.FILTER(_xlfn._xlws.FILTER(dataGLBSCF,dataGLBSAcctIDs=$C14),(endDatesCF=AF$5)))-SUM(_xlfn._xlws.FILTER(_xlfn._xlws.FILTER(dataGLBSCF,dataGLBSAcctIDs=$C14),(startDatesCF=EDATE(AF$4,-1)))))*INDEX(PBC_ACCOUNT_LIST[Sign_for_total_cashflow],MATCH($C14,PBC_ACCOUNT_LIST[Id],0))</f>
        <v>-2010</v>
      </c>
      <c r="AG14" s="547" cm="1">
        <f t="array" ref="AG14">(SUM(_xlfn._xlws.FILTER(_xlfn._xlws.FILTER(dataGLBSCF,dataGLBSAcctIDs=$C14),(endDatesCF=AG$5)))-SUM(_xlfn._xlws.FILTER(_xlfn._xlws.FILTER(dataGLBSCF,dataGLBSAcctIDs=$C14),(startDatesCF=EDATE(AG$4,-1)))))*INDEX(PBC_ACCOUNT_LIST[Sign_for_total_cashflow],MATCH($C14,PBC_ACCOUNT_LIST[Id],0))</f>
        <v>-2211</v>
      </c>
      <c r="AH14" s="547" cm="1">
        <f t="array" ref="AH14">(SUM(_xlfn._xlws.FILTER(_xlfn._xlws.FILTER(dataGLBSCF,dataGLBSAcctIDs=$C14),(endDatesCF=AH$5)))-SUM(_xlfn._xlws.FILTER(_xlfn._xlws.FILTER(dataGLBSCF,dataGLBSAcctIDs=$C14),(startDatesCF=EDATE(AH$4,-1)))))*INDEX(PBC_ACCOUNT_LIST[Sign_for_total_cashflow],MATCH($C14,PBC_ACCOUNT_LIST[Id],0))</f>
        <v>-2432</v>
      </c>
      <c r="AI14" s="547" cm="1">
        <f t="array" ref="AI14">(SUM(_xlfn._xlws.FILTER(_xlfn._xlws.FILTER(dataGLBSCF,dataGLBSAcctIDs=$C14),(endDatesCF=AI$5)))-SUM(_xlfn._xlws.FILTER(_xlfn._xlws.FILTER(dataGLBSCF,dataGLBSAcctIDs=$C14),(startDatesCF=EDATE(AI$4,-1)))))*INDEX(PBC_ACCOUNT_LIST[Sign_for_total_cashflow],MATCH($C14,PBC_ACCOUNT_LIST[Id],0))</f>
        <v>-2675</v>
      </c>
      <c r="AJ14" s="547" cm="1">
        <f t="array" ref="AJ14">(SUM(_xlfn._xlws.FILTER(_xlfn._xlws.FILTER(dataGLBSCF,dataGLBSAcctIDs=$C14),(endDatesCF=AJ$5)))-SUM(_xlfn._xlws.FILTER(_xlfn._xlws.FILTER(dataGLBSCF,dataGLBSAcctIDs=$C14),(startDatesCF=EDATE(AJ$4,-1)))))*INDEX(PBC_ACCOUNT_LIST[Sign_for_total_cashflow],MATCH($C14,PBC_ACCOUNT_LIST[Id],0))</f>
        <v>-2943</v>
      </c>
      <c r="AK14" s="547" cm="1">
        <f t="array" ref="AK14">(SUM(_xlfn._xlws.FILTER(_xlfn._xlws.FILTER(dataGLBSCF,dataGLBSAcctIDs=$C14),(endDatesCF=AK$5)))-SUM(_xlfn._xlws.FILTER(_xlfn._xlws.FILTER(dataGLBSCF,dataGLBSAcctIDs=$C14),(startDatesCF=EDATE(AK$4,-1)))))*INDEX(PBC_ACCOUNT_LIST[Sign_for_total_cashflow],MATCH($C14,PBC_ACCOUNT_LIST[Id],0))</f>
        <v>-3237</v>
      </c>
      <c r="AL14" s="547" cm="1">
        <f t="array" ref="AL14">(SUM(_xlfn._xlws.FILTER(_xlfn._xlws.FILTER(dataGLBSCF,dataGLBSAcctIDs=$C14),(endDatesCF=AL$5)))-SUM(_xlfn._xlws.FILTER(_xlfn._xlws.FILTER(dataGLBSCF,dataGLBSAcctIDs=$C14),(startDatesCF=EDATE(AL$4,-1)))))*INDEX(PBC_ACCOUNT_LIST[Sign_for_total_cashflow],MATCH($C14,PBC_ACCOUNT_LIST[Id],0))</f>
        <v>-3561</v>
      </c>
      <c r="AM14" s="547" cm="1">
        <f t="array" ref="AM14">(SUM(_xlfn._xlws.FILTER(_xlfn._xlws.FILTER(dataGLBSCF,dataGLBSAcctIDs=$C14),(endDatesCF=AM$5)))-SUM(_xlfn._xlws.FILTER(_xlfn._xlws.FILTER(dataGLBSCF,dataGLBSAcctIDs=$C14),(startDatesCF=EDATE(AM$4,-1)))))*INDEX(PBC_ACCOUNT_LIST[Sign_for_total_cashflow],MATCH($C14,PBC_ACCOUNT_LIST[Id],0))</f>
        <v>-5000</v>
      </c>
      <c r="AN14" s="547" cm="1">
        <f t="array" ref="AN14">(SUM(_xlfn._xlws.FILTER(_xlfn._xlws.FILTER(dataGLBSCF,dataGLBSAcctIDs=$C14),(endDatesCF=AN$5)))-SUM(_xlfn._xlws.FILTER(_xlfn._xlws.FILTER(dataGLBSCF,dataGLBSAcctIDs=$C14),(startDatesCF=EDATE(AN$4,-1)))))*INDEX(PBC_ACCOUNT_LIST[Sign_for_total_cashflow],MATCH($C14,PBC_ACCOUNT_LIST[Id],0))</f>
        <v>10000</v>
      </c>
      <c r="AO14" s="547" cm="1">
        <f t="array" ref="AO14">(SUM(_xlfn._xlws.FILTER(_xlfn._xlws.FILTER(dataGLBSCF,dataGLBSAcctIDs=$C14),(endDatesCF=AO$5)))-SUM(_xlfn._xlws.FILTER(_xlfn._xlws.FILTER(dataGLBSCF,dataGLBSAcctIDs=$C14),(startDatesCF=EDATE(AO$4,-1)))))*INDEX(PBC_ACCOUNT_LIST[Sign_for_total_cashflow],MATCH($C14,PBC_ACCOUNT_LIST[Id],0))</f>
        <v>-6958</v>
      </c>
      <c r="AP14" s="547" cm="1">
        <f t="array" ref="AP14">(SUM(_xlfn._xlws.FILTER(_xlfn._xlws.FILTER(dataGLBSCF,dataGLBSAcctIDs=$C14),(endDatesCF=AP$5)))-SUM(_xlfn._xlws.FILTER(_xlfn._xlws.FILTER(dataGLBSCF,dataGLBSAcctIDs=$C14),(startDatesCF=EDATE(AP$4,-1)))))*INDEX(PBC_ACCOUNT_LIST[Sign_for_total_cashflow],MATCH($C14,PBC_ACCOUNT_LIST[Id],0))</f>
        <v>-685</v>
      </c>
      <c r="AQ14" s="547" cm="1">
        <f t="array" ref="AQ14">(SUM(_xlfn._xlws.FILTER(_xlfn._xlws.FILTER(dataGLBSCF,dataGLBSAcctIDs=$C14),(endDatesCF=AQ$5)))-SUM(_xlfn._xlws.FILTER(_xlfn._xlws.FILTER(dataGLBSCF,dataGLBSAcctIDs=$C14),(startDatesCF=EDATE(AQ$4,-1)))))*INDEX(PBC_ACCOUNT_LIST[Sign_for_total_cashflow],MATCH($C14,PBC_ACCOUNT_LIST[Id],0))</f>
        <v>825</v>
      </c>
      <c r="AR14" s="547" cm="1">
        <f t="array" ref="AR14">(SUM(_xlfn._xlws.FILTER(_xlfn._xlws.FILTER(dataGLBSCF,dataGLBSAcctIDs=$C14),(endDatesCF=AR$5)))-SUM(_xlfn._xlws.FILTER(_xlfn._xlws.FILTER(dataGLBSCF,dataGLBSAcctIDs=$C14),(startDatesCF=EDATE(AR$4,-1)))))*INDEX(PBC_ACCOUNT_LIST[Sign_for_total_cashflow],MATCH($C14,PBC_ACCOUNT_LIST[Id],0))</f>
        <v>-2387</v>
      </c>
      <c r="AS14" s="547" cm="1">
        <f t="array" ref="AS14">(SUM(_xlfn._xlws.FILTER(_xlfn._xlws.FILTER(dataGLBSCF,dataGLBSAcctIDs=$C14),(endDatesCF=AS$5)))-SUM(_xlfn._xlws.FILTER(_xlfn._xlws.FILTER(dataGLBSCF,dataGLBSAcctIDs=$C14),(startDatesCF=EDATE(AS$4,-1)))))*INDEX(PBC_ACCOUNT_LIST[Sign_for_total_cashflow],MATCH($C14,PBC_ACCOUNT_LIST[Id],0))</f>
        <v>-787</v>
      </c>
      <c r="AT14" s="547" cm="1">
        <f t="array" ref="AT14">(SUM(_xlfn._xlws.FILTER(_xlfn._xlws.FILTER(dataGLBSCF,dataGLBSAcctIDs=$C14),(endDatesCF=AT$5)))-SUM(_xlfn._xlws.FILTER(_xlfn._xlws.FILTER(dataGLBSCF,dataGLBSAcctIDs=$C14),(startDatesCF=EDATE(AT$4,-1)))))*INDEX(PBC_ACCOUNT_LIST[Sign_for_total_cashflow],MATCH($C14,PBC_ACCOUNT_LIST[Id],0))</f>
        <v>-822</v>
      </c>
      <c r="AU14" s="547" cm="1">
        <f t="array" ref="AU14">(SUM(_xlfn._xlws.FILTER(_xlfn._xlws.FILTER(dataGLBSCF,dataGLBSAcctIDs=$C14),(endDatesCF=AU$5)))-SUM(_xlfn._xlws.FILTER(_xlfn._xlws.FILTER(dataGLBSCF,dataGLBSAcctIDs=$C14),(startDatesCF=EDATE(AU$4,-1)))))*INDEX(PBC_ACCOUNT_LIST[Sign_for_total_cashflow],MATCH($C14,PBC_ACCOUNT_LIST[Id],0))</f>
        <v>-1398</v>
      </c>
      <c r="AV14" s="547" cm="1">
        <f t="array" ref="AV14">(SUM(_xlfn._xlws.FILTER(_xlfn._xlws.FILTER(dataGLBSCF,dataGLBSAcctIDs=$C14),(endDatesCF=AV$5)))-SUM(_xlfn._xlws.FILTER(_xlfn._xlws.FILTER(dataGLBSCF,dataGLBSAcctIDs=$C14),(startDatesCF=EDATE(AV$4,-1)))))*INDEX(PBC_ACCOUNT_LIST[Sign_for_total_cashflow],MATCH($C14,PBC_ACCOUNT_LIST[Id],0))</f>
        <v>-1053</v>
      </c>
      <c r="AW14" s="547" cm="1">
        <f t="array" ref="AW14">(SUM(_xlfn._xlws.FILTER(_xlfn._xlws.FILTER(dataGLBSCF,dataGLBSAcctIDs=$C14),(endDatesCF=AW$5)))-SUM(_xlfn._xlws.FILTER(_xlfn._xlws.FILTER(dataGLBSCF,dataGLBSAcctIDs=$C14),(startDatesCF=EDATE(AW$4,-1)))))*INDEX(PBC_ACCOUNT_LIST[Sign_for_total_cashflow],MATCH($C14,PBC_ACCOUNT_LIST[Id],0))</f>
        <v>-1146</v>
      </c>
      <c r="AX14" s="547" cm="1">
        <f t="array" ref="AX14">(SUM(_xlfn._xlws.FILTER(_xlfn._xlws.FILTER(dataGLBSCF,dataGLBSAcctIDs=$C14),(endDatesCF=AX$5)))-SUM(_xlfn._xlws.FILTER(_xlfn._xlws.FILTER(dataGLBSCF,dataGLBSAcctIDs=$C14),(startDatesCF=EDATE(AX$4,-1)))))*INDEX(PBC_ACCOUNT_LIST[Sign_for_total_cashflow],MATCH($C14,PBC_ACCOUNT_LIST[Id],0))</f>
        <v>-1259</v>
      </c>
      <c r="AY14" s="547" cm="1">
        <f t="array" ref="AY14">(SUM(_xlfn._xlws.FILTER(_xlfn._xlws.FILTER(dataGLBSCF,dataGLBSAcctIDs=$C14),(endDatesCF=AY$5)))-SUM(_xlfn._xlws.FILTER(_xlfn._xlws.FILTER(dataGLBSCF,dataGLBSAcctIDs=$C14),(startDatesCF=EDATE(AY$4,-1)))))*INDEX(PBC_ACCOUNT_LIST[Sign_for_total_cashflow],MATCH($C14,PBC_ACCOUNT_LIST[Id],0))</f>
        <v>-1210</v>
      </c>
      <c r="AZ14" s="547" cm="1">
        <f t="array" ref="AZ14">(SUM(_xlfn._xlws.FILTER(_xlfn._xlws.FILTER(dataGLBSCF,dataGLBSAcctIDs=$C14),(endDatesCF=AZ$5)))-SUM(_xlfn._xlws.FILTER(_xlfn._xlws.FILTER(dataGLBSCF,dataGLBSAcctIDs=$C14),(startDatesCF=EDATE(AZ$4,-1)))))*INDEX(PBC_ACCOUNT_LIST[Sign_for_total_cashflow],MATCH($C14,PBC_ACCOUNT_LIST[Id],0))</f>
        <v>-1265</v>
      </c>
      <c r="BA14" s="547" cm="1">
        <f t="array" ref="BA14">(SUM(_xlfn._xlws.FILTER(_xlfn._xlws.FILTER(dataGLBSCF,dataGLBSAcctIDs=$C14),(endDatesCF=BA$5)))-SUM(_xlfn._xlws.FILTER(_xlfn._xlws.FILTER(dataGLBSCF,dataGLBSAcctIDs=$C14),(startDatesCF=EDATE(BA$4,-1)))))*INDEX(PBC_ACCOUNT_LIST[Sign_for_total_cashflow],MATCH($C14,PBC_ACCOUNT_LIST[Id],0))</f>
        <v>-1306.7699999999968</v>
      </c>
      <c r="BB14" s="547" cm="1">
        <f t="array" ref="BB14">(SUM(_xlfn._xlws.FILTER(_xlfn._xlws.FILTER(dataGLBSCF,dataGLBSAcctIDs=$C14),(endDatesCF=BB$5)))-SUM(_xlfn._xlws.FILTER(_xlfn._xlws.FILTER(dataGLBSCF,dataGLBSAcctIDs=$C14),(startDatesCF=EDATE(BB$4,-1)))))*INDEX(PBC_ACCOUNT_LIST[Sign_for_total_cashflow],MATCH($C14,PBC_ACCOUNT_LIST[Id],0))</f>
        <v>-1324</v>
      </c>
      <c r="BC14" s="547" cm="1">
        <f t="array" ref="BC14">(SUM(_xlfn._xlws.FILTER(_xlfn._xlws.FILTER(dataGLBSCF,dataGLBSAcctIDs=$C14),(endDatesCF=BC$5)))-SUM(_xlfn._xlws.FILTER(_xlfn._xlws.FILTER(dataGLBSCF,dataGLBSAcctIDs=$C14),(startDatesCF=EDATE(BC$4,-1)))))*INDEX(PBC_ACCOUNT_LIST[Sign_for_total_cashflow],MATCH($C14,PBC_ACCOUNT_LIST[Id],0))</f>
        <v>-1363</v>
      </c>
      <c r="BD14" s="547" cm="1">
        <f t="array" ref="BD14">(SUM(_xlfn._xlws.FILTER(_xlfn._xlws.FILTER(dataGLBSCF,dataGLBSAcctIDs=$C14),(endDatesCF=BD$5)))-SUM(_xlfn._xlws.FILTER(_xlfn._xlws.FILTER(dataGLBSCF,dataGLBSAcctIDs=$C14),(startDatesCF=EDATE(BD$4,-1)))))*INDEX(PBC_ACCOUNT_LIST[Sign_for_total_cashflow],MATCH($C14,PBC_ACCOUNT_LIST[Id],0))</f>
        <v>-1398</v>
      </c>
      <c r="BE14" s="547" cm="1">
        <f t="array" ref="BE14">(SUM(_xlfn._xlws.FILTER(_xlfn._xlws.FILTER(dataGLBSCF,dataGLBSAcctIDs=$C14),(endDatesCF=BE$5)))-SUM(_xlfn._xlws.FILTER(_xlfn._xlws.FILTER(dataGLBSCF,dataGLBSAcctIDs=$C14),(startDatesCF=EDATE(BE$4,-1)))))*INDEX(PBC_ACCOUNT_LIST[Sign_for_total_cashflow],MATCH($C14,PBC_ACCOUNT_LIST[Id],0))</f>
        <v>-1430</v>
      </c>
      <c r="BF14" s="547" cm="1">
        <f t="array" ref="BF14">(SUM(_xlfn._xlws.FILTER(_xlfn._xlws.FILTER(dataGLBSCF,dataGLBSAcctIDs=$C14),(endDatesCF=BF$5)))-SUM(_xlfn._xlws.FILTER(_xlfn._xlws.FILTER(dataGLBSCF,dataGLBSAcctIDs=$C14),(startDatesCF=EDATE(BF$4,-1)))))*INDEX(PBC_ACCOUNT_LIST[Sign_for_total_cashflow],MATCH($C14,PBC_ACCOUNT_LIST[Id],0))</f>
        <v>-10166.780000000006</v>
      </c>
      <c r="BG14" s="547" cm="1">
        <f t="array" ref="BG14">(SUM(_xlfn._xlws.FILTER(_xlfn._xlws.FILTER(dataGLBSCF,dataGLBSAcctIDs=$C14),(endDatesCF=BG$5)))-SUM(_xlfn._xlws.FILTER(_xlfn._xlws.FILTER(dataGLBSCF,dataGLBSAcctIDs=$C14),(startDatesCF=EDATE(BG$4,-1)))))*INDEX(PBC_ACCOUNT_LIST[Sign_for_total_cashflow],MATCH($C14,PBC_ACCOUNT_LIST[Id],0))</f>
        <v>-8002.9799999999959</v>
      </c>
      <c r="BH14" s="547" cm="1">
        <f t="array" ref="BH14">(SUM(_xlfn._xlws.FILTER(_xlfn._xlws.FILTER(dataGLBSCF,dataGLBSAcctIDs=$C14),(endDatesCF=BH$5)))-SUM(_xlfn._xlws.FILTER(_xlfn._xlws.FILTER(dataGLBSCF,dataGLBSAcctIDs=$C14),(startDatesCF=EDATE(BH$4,-1)))))*INDEX(PBC_ACCOUNT_LIST[Sign_for_total_cashflow],MATCH($C14,PBC_ACCOUNT_LIST[Id],0))</f>
        <v>-1539.7900000000081</v>
      </c>
      <c r="BI14" s="547" cm="1">
        <f t="array" ref="BI14">(SUM(_xlfn._xlws.FILTER(_xlfn._xlws.FILTER(dataGLBSCF,dataGLBSAcctIDs=$C14),(endDatesCF=BI$5)))-SUM(_xlfn._xlws.FILTER(_xlfn._xlws.FILTER(dataGLBSCF,dataGLBSAcctIDs=$C14),(startDatesCF=EDATE(BI$4,-1)))))*INDEX(PBC_ACCOUNT_LIST[Sign_for_total_cashflow],MATCH($C14,PBC_ACCOUNT_LIST[Id],0))</f>
        <v>-19578.339999999997</v>
      </c>
      <c r="BJ14" s="547" cm="1">
        <f t="array" ref="BJ14">(SUM(_xlfn._xlws.FILTER(_xlfn._xlws.FILTER(dataGLBSCF,dataGLBSAcctIDs=$C14),(endDatesCF=BJ$5)))-SUM(_xlfn._xlws.FILTER(_xlfn._xlws.FILTER(dataGLBSCF,dataGLBSAcctIDs=$C14),(startDatesCF=EDATE(BJ$4,-1)))))*INDEX(PBC_ACCOUNT_LIST[Sign_for_total_cashflow],MATCH($C14,PBC_ACCOUNT_LIST[Id],0))</f>
        <v>-11617.39</v>
      </c>
      <c r="BK14" s="547" cm="1">
        <f t="array" ref="BK14">(SUM(_xlfn._xlws.FILTER(_xlfn._xlws.FILTER(dataGLBSCF,dataGLBSAcctIDs=$C14),(endDatesCF=BK$5)))-SUM(_xlfn._xlws.FILTER(_xlfn._xlws.FILTER(dataGLBSCF,dataGLBSAcctIDs=$C14),(startDatesCF=EDATE(BK$4,-1)))))*INDEX(PBC_ACCOUNT_LIST[Sign_for_total_cashflow],MATCH($C14,PBC_ACCOUNT_LIST[Id],0))</f>
        <v>-17157.429999999993</v>
      </c>
      <c r="BL14" s="547" cm="1">
        <f t="array" ref="BL14">(SUM(_xlfn._xlws.FILTER(_xlfn._xlws.FILTER(dataGLBSCF,dataGLBSAcctIDs=$C14),(endDatesCF=BL$5)))-SUM(_xlfn._xlws.FILTER(_xlfn._xlws.FILTER(dataGLBSCF,dataGLBSAcctIDs=$C14),(startDatesCF=EDATE(BL$4,-1)))))*INDEX(PBC_ACCOUNT_LIST[Sign_for_total_cashflow],MATCH($C14,PBC_ACCOUNT_LIST[Id],0))</f>
        <v>-56400.759999999995</v>
      </c>
      <c r="BM14" s="547" cm="1">
        <f t="array" ref="BM14">(SUM(_xlfn._xlws.FILTER(_xlfn._xlws.FILTER(dataGLBSCF,dataGLBSAcctIDs=$C14),(endDatesCF=BM$5)))-SUM(_xlfn._xlws.FILTER(_xlfn._xlws.FILTER(dataGLBSCF,dataGLBSAcctIDs=$C14),(startDatesCF=EDATE(BM$4,-1)))))*INDEX(PBC_ACCOUNT_LIST[Sign_for_total_cashflow],MATCH($C14,PBC_ACCOUNT_LIST[Id],0))</f>
        <v>91799.62</v>
      </c>
      <c r="BN14" s="547" cm="1">
        <f t="array" ref="BN14">(SUM(_xlfn._xlws.FILTER(_xlfn._xlws.FILTER(dataGLBSCF,dataGLBSAcctIDs=$C14),(endDatesCF=BN$5)))-SUM(_xlfn._xlws.FILTER(_xlfn._xlws.FILTER(dataGLBSCF,dataGLBSAcctIDs=$C14),(startDatesCF=EDATE(BN$4,-1)))))*INDEX(PBC_ACCOUNT_LIST[Sign_for_total_cashflow],MATCH($C14,PBC_ACCOUNT_LIST[Id],0))</f>
        <v>91799.62</v>
      </c>
      <c r="BO14" s="547" cm="1">
        <f t="array" ref="BO14">(SUM(_xlfn._xlws.FILTER(_xlfn._xlws.FILTER(dataGLBSCF,dataGLBSAcctIDs=$C14),(endDatesCF=BO$5)))-SUM(_xlfn._xlws.FILTER(_xlfn._xlws.FILTER(dataGLBSCF,dataGLBSAcctIDs=$C14),(startDatesCF=EDATE(BO$4,-1)))))*INDEX(PBC_ACCOUNT_LIST[Sign_for_total_cashflow],MATCH($C14,PBC_ACCOUNT_LIST[Id],0))</f>
        <v>0</v>
      </c>
      <c r="BP14" s="547" cm="1">
        <f t="array" ref="BP14">(SUM(_xlfn._xlws.FILTER(_xlfn._xlws.FILTER(dataGLBSCF,dataGLBSAcctIDs=$C14),(endDatesCF=BP$5)))-SUM(_xlfn._xlws.FILTER(_xlfn._xlws.FILTER(dataGLBSCF,dataGLBSAcctIDs=$C14),(startDatesCF=EDATE(BP$4,-1)))))*INDEX(PBC_ACCOUNT_LIST[Sign_for_total_cashflow],MATCH($C14,PBC_ACCOUNT_LIST[Id],0))</f>
        <v>0</v>
      </c>
      <c r="BQ14" s="547" cm="1">
        <f t="array" ref="BQ14">(SUM(_xlfn._xlws.FILTER(_xlfn._xlws.FILTER(dataGLBSCF,dataGLBSAcctIDs=$C14),(endDatesCF=BQ$5)))-SUM(_xlfn._xlws.FILTER(_xlfn._xlws.FILTER(dataGLBSCF,dataGLBSAcctIDs=$C14),(startDatesCF=EDATE(BQ$4,-1)))))*INDEX(PBC_ACCOUNT_LIST[Sign_for_total_cashflow],MATCH($C14,PBC_ACCOUNT_LIST[Id],0))</f>
        <v>0</v>
      </c>
      <c r="BR14" s="547" cm="1">
        <f t="array" ref="BR14">(SUM(_xlfn._xlws.FILTER(_xlfn._xlws.FILTER(dataGLBSCF,dataGLBSAcctIDs=$C14),(endDatesCF=BR$5)))-SUM(_xlfn._xlws.FILTER(_xlfn._xlws.FILTER(dataGLBSCF,dataGLBSAcctIDs=$C14),(startDatesCF=EDATE(BR$4,-1)))))*INDEX(PBC_ACCOUNT_LIST[Sign_for_total_cashflow],MATCH($C14,PBC_ACCOUNT_LIST[Id],0))</f>
        <v>0</v>
      </c>
      <c r="BS14" s="547" cm="1">
        <f t="array" ref="BS14">(SUM(_xlfn._xlws.FILTER(_xlfn._xlws.FILTER(dataGLBSCF,dataGLBSAcctIDs=$C14),(endDatesCF=BS$5)))-SUM(_xlfn._xlws.FILTER(_xlfn._xlws.FILTER(dataGLBSCF,dataGLBSAcctIDs=$C14),(startDatesCF=EDATE(BS$4,-1)))))*INDEX(PBC_ACCOUNT_LIST[Sign_for_total_cashflow],MATCH($C14,PBC_ACCOUNT_LIST[Id],0))</f>
        <v>0</v>
      </c>
      <c r="BT14" s="547" cm="1">
        <f t="array" ref="BT14">(SUM(_xlfn._xlws.FILTER(_xlfn._xlws.FILTER(dataGLBSCF,dataGLBSAcctIDs=$C14),(endDatesCF=BT$5)))-SUM(_xlfn._xlws.FILTER(_xlfn._xlws.FILTER(dataGLBSCF,dataGLBSAcctIDs=$C14),(startDatesCF=EDATE(BT$4,-1)))))*INDEX(PBC_ACCOUNT_LIST[Sign_for_total_cashflow],MATCH($C14,PBC_ACCOUNT_LIST[Id],0))</f>
        <v>0</v>
      </c>
      <c r="BU14" s="547" cm="1">
        <f t="array" ref="BU14">(SUM(_xlfn._xlws.FILTER(_xlfn._xlws.FILTER(dataGLBSCF,dataGLBSAcctIDs=$C14),(endDatesCF=BU$5)))-SUM(_xlfn._xlws.FILTER(_xlfn._xlws.FILTER(dataGLBSCF,dataGLBSAcctIDs=$C14),(startDatesCF=EDATE(BU$4,-1)))))*INDEX(PBC_ACCOUNT_LIST[Sign_for_total_cashflow],MATCH($C14,PBC_ACCOUNT_LIST[Id],0))</f>
        <v>0</v>
      </c>
      <c r="BV14" s="547" cm="1">
        <f t="array" ref="BV14">(SUM(_xlfn._xlws.FILTER(_xlfn._xlws.FILTER(dataGLBSCF,dataGLBSAcctIDs=$C14),(endDatesCF=BV$5)))-SUM(_xlfn._xlws.FILTER(_xlfn._xlws.FILTER(dataGLBSCF,dataGLBSAcctIDs=$C14),(startDatesCF=EDATE(BV$4,-1)))))*INDEX(PBC_ACCOUNT_LIST[Sign_for_total_cashflow],MATCH($C14,PBC_ACCOUNT_LIST[Id],0))</f>
        <v>0</v>
      </c>
      <c r="BW14" s="547" cm="1">
        <f t="array" ref="BW14">(SUM(_xlfn._xlws.FILTER(_xlfn._xlws.FILTER(dataGLBSCF,dataGLBSAcctIDs=$C14),(endDatesCF=BW$5)))-SUM(_xlfn._xlws.FILTER(_xlfn._xlws.FILTER(dataGLBSCF,dataGLBSAcctIDs=$C14),(startDatesCF=EDATE(BW$4,-1)))))*INDEX(PBC_ACCOUNT_LIST[Sign_for_total_cashflow],MATCH($C14,PBC_ACCOUNT_LIST[Id],0))</f>
        <v>0</v>
      </c>
      <c r="BX14" s="547" cm="1">
        <f t="array" ref="BX14">(SUM(_xlfn._xlws.FILTER(_xlfn._xlws.FILTER(dataGLBSCF,dataGLBSAcctIDs=$C14),(endDatesCF=BX$5)))-SUM(_xlfn._xlws.FILTER(_xlfn._xlws.FILTER(dataGLBSCF,dataGLBSAcctIDs=$C14),(startDatesCF=EDATE(BX$4,-1)))))*INDEX(PBC_ACCOUNT_LIST[Sign_for_total_cashflow],MATCH($C14,PBC_ACCOUNT_LIST[Id],0))</f>
        <v>0</v>
      </c>
    </row>
    <row r="15" spans="1:92" customFormat="1" ht="21" customHeight="1">
      <c r="B15" s="685" t="s">
        <v>282</v>
      </c>
      <c r="C15">
        <v>193</v>
      </c>
      <c r="E15" s="547" cm="1">
        <f t="array" ref="E15">(SUM(_xlfn._xlws.FILTER(_xlfn._xlws.FILTER(dataGLBSCF,dataGLBSAcctIDs=$C15),(endDatesCF=E$5)))-SUM(_xlfn._xlws.FILTER(_xlfn._xlws.FILTER(dataGLBSCF,dataGLBSAcctIDs=$C15),(startDatesCF=EDATE(E$4,-1)))))*INDEX(PBC_ACCOUNT_LIST[Sign_for_total_cashflow],MATCH($C15,PBC_ACCOUNT_LIST[Id],0))</f>
        <v>-1119.5</v>
      </c>
      <c r="F15" s="547" cm="1">
        <f t="array" ref="F15">(SUM(_xlfn._xlws.FILTER(_xlfn._xlws.FILTER(dataGLBSCF,dataGLBSAcctIDs=$C15),(endDatesCF=F$5)))-SUM(_xlfn._xlws.FILTER(_xlfn._xlws.FILTER(dataGLBSCF,dataGLBSAcctIDs=$C15),(startDatesCF=EDATE(F$4,-1)))))*INDEX(PBC_ACCOUNT_LIST[Sign_for_total_cashflow],MATCH($C15,PBC_ACCOUNT_LIST[Id],0))</f>
        <v>0</v>
      </c>
      <c r="G15" s="547" cm="1">
        <f t="array" ref="G15">(SUM(_xlfn._xlws.FILTER(_xlfn._xlws.FILTER(dataGLBSCF,dataGLBSAcctIDs=$C15),(endDatesCF=G$5)))-SUM(_xlfn._xlws.FILTER(_xlfn._xlws.FILTER(dataGLBSCF,dataGLBSAcctIDs=$C15),(startDatesCF=EDATE(G$4,-1)))))*INDEX(PBC_ACCOUNT_LIST[Sign_for_total_cashflow],MATCH($C15,PBC_ACCOUNT_LIST[Id],0))</f>
        <v>6850</v>
      </c>
      <c r="H15" s="547" cm="1">
        <f t="array" ref="H15">(SUM(_xlfn._xlws.FILTER(_xlfn._xlws.FILTER(dataGLBSCF,dataGLBSAcctIDs=$C15),(endDatesCF=H$5)))-SUM(_xlfn._xlws.FILTER(_xlfn._xlws.FILTER(dataGLBSCF,dataGLBSAcctIDs=$C15),(startDatesCF=EDATE(H$4,-1)))))*INDEX(PBC_ACCOUNT_LIST[Sign_for_total_cashflow],MATCH($C15,PBC_ACCOUNT_LIST[Id],0))</f>
        <v>0</v>
      </c>
      <c r="K15" s="547" cm="1">
        <f t="array" ref="K15">(SUM(_xlfn._xlws.FILTER(_xlfn._xlws.FILTER(dataGLBSCF,dataGLBSAcctIDs=$C15),(endDatesCF=K$5)))-SUM(_xlfn._xlws.FILTER(_xlfn._xlws.FILTER(dataGLBSCF,dataGLBSAcctIDs=$C15),(startDatesCF=EDATE(K$4,-1)))))*INDEX(PBC_ACCOUNT_LIST[Sign_for_total_cashflow],MATCH($C15,PBC_ACCOUNT_LIST[Id],0))</f>
        <v>-623.5</v>
      </c>
      <c r="L15" s="547" cm="1">
        <f t="array" ref="L15">(SUM(_xlfn._xlws.FILTER(_xlfn._xlws.FILTER(dataGLBSCF,dataGLBSAcctIDs=$C15),(endDatesCF=L$5)))-SUM(_xlfn._xlws.FILTER(_xlfn._xlws.FILTER(dataGLBSCF,dataGLBSAcctIDs=$C15),(startDatesCF=EDATE(L$4,-1)))))*INDEX(PBC_ACCOUNT_LIST[Sign_for_total_cashflow],MATCH($C15,PBC_ACCOUNT_LIST[Id],0))</f>
        <v>-5778.5</v>
      </c>
      <c r="M15" s="547" cm="1">
        <f t="array" ref="M15">(SUM(_xlfn._xlws.FILTER(_xlfn._xlws.FILTER(dataGLBSCF,dataGLBSAcctIDs=$C15),(endDatesCF=M$5)))-SUM(_xlfn._xlws.FILTER(_xlfn._xlws.FILTER(dataGLBSCF,dataGLBSAcctIDs=$C15),(startDatesCF=EDATE(M$4,-1)))))*INDEX(PBC_ACCOUNT_LIST[Sign_for_total_cashflow],MATCH($C15,PBC_ACCOUNT_LIST[Id],0))</f>
        <v>179.5</v>
      </c>
      <c r="N15" s="547" cm="1">
        <f t="array" ref="N15">(SUM(_xlfn._xlws.FILTER(_xlfn._xlws.FILTER(dataGLBSCF,dataGLBSAcctIDs=$C15),(endDatesCF=N$5)))-SUM(_xlfn._xlws.FILTER(_xlfn._xlws.FILTER(dataGLBSCF,dataGLBSAcctIDs=$C15),(startDatesCF=EDATE(N$4,-1)))))*INDEX(PBC_ACCOUNT_LIST[Sign_for_total_cashflow],MATCH($C15,PBC_ACCOUNT_LIST[Id],0))</f>
        <v>5103</v>
      </c>
      <c r="O15" s="547" cm="1">
        <f t="array" ref="O15">(SUM(_xlfn._xlws.FILTER(_xlfn._xlws.FILTER(dataGLBSCF,dataGLBSAcctIDs=$C15),(endDatesCF=O$5)))-SUM(_xlfn._xlws.FILTER(_xlfn._xlws.FILTER(dataGLBSCF,dataGLBSAcctIDs=$C15),(startDatesCF=EDATE(O$4,-1)))))*INDEX(PBC_ACCOUNT_LIST[Sign_for_total_cashflow],MATCH($C15,PBC_ACCOUNT_LIST[Id],0))</f>
        <v>0</v>
      </c>
      <c r="P15" s="547" cm="1">
        <f t="array" ref="P15">(SUM(_xlfn._xlws.FILTER(_xlfn._xlws.FILTER(dataGLBSCF,dataGLBSAcctIDs=$C15),(endDatesCF=P$5)))-SUM(_xlfn._xlws.FILTER(_xlfn._xlws.FILTER(dataGLBSCF,dataGLBSAcctIDs=$C15),(startDatesCF=EDATE(P$4,-1)))))*INDEX(PBC_ACCOUNT_LIST[Sign_for_total_cashflow],MATCH($C15,PBC_ACCOUNT_LIST[Id],0))</f>
        <v>0</v>
      </c>
      <c r="Q15" s="547" cm="1">
        <f t="array" ref="Q15">(SUM(_xlfn._xlws.FILTER(_xlfn._xlws.FILTER(dataGLBSCF,dataGLBSAcctIDs=$C15),(endDatesCF=Q$5)))-SUM(_xlfn._xlws.FILTER(_xlfn._xlws.FILTER(dataGLBSCF,dataGLBSAcctIDs=$C15),(startDatesCF=EDATE(Q$4,-1)))))*INDEX(PBC_ACCOUNT_LIST[Sign_for_total_cashflow],MATCH($C15,PBC_ACCOUNT_LIST[Id],0))</f>
        <v>0</v>
      </c>
      <c r="R15" s="547" cm="1">
        <f t="array" ref="R15">(SUM(_xlfn._xlws.FILTER(_xlfn._xlws.FILTER(dataGLBSCF,dataGLBSAcctIDs=$C15),(endDatesCF=R$5)))-SUM(_xlfn._xlws.FILTER(_xlfn._xlws.FILTER(dataGLBSCF,dataGLBSAcctIDs=$C15),(startDatesCF=EDATE(R$4,-1)))))*INDEX(PBC_ACCOUNT_LIST[Sign_for_total_cashflow],MATCH($C15,PBC_ACCOUNT_LIST[Id],0))</f>
        <v>0</v>
      </c>
      <c r="S15" s="547" cm="1">
        <f t="array" ref="S15">(SUM(_xlfn._xlws.FILTER(_xlfn._xlws.FILTER(dataGLBSCF,dataGLBSAcctIDs=$C15),(endDatesCF=S$5)))-SUM(_xlfn._xlws.FILTER(_xlfn._xlws.FILTER(dataGLBSCF,dataGLBSAcctIDs=$C15),(startDatesCF=EDATE(S$4,-1)))))*INDEX(PBC_ACCOUNT_LIST[Sign_for_total_cashflow],MATCH($C15,PBC_ACCOUNT_LIST[Id],0))</f>
        <v>0</v>
      </c>
      <c r="T15" s="547" cm="1">
        <f t="array" ref="T15">(SUM(_xlfn._xlws.FILTER(_xlfn._xlws.FILTER(dataGLBSCF,dataGLBSAcctIDs=$C15),(endDatesCF=T$5)))-SUM(_xlfn._xlws.FILTER(_xlfn._xlws.FILTER(dataGLBSCF,dataGLBSAcctIDs=$C15),(startDatesCF=EDATE(T$4,-1)))))*INDEX(PBC_ACCOUNT_LIST[Sign_for_total_cashflow],MATCH($C15,PBC_ACCOUNT_LIST[Id],0))</f>
        <v>0</v>
      </c>
      <c r="U15" s="547" cm="1">
        <f t="array" ref="U15">(SUM(_xlfn._xlws.FILTER(_xlfn._xlws.FILTER(dataGLBSCF,dataGLBSAcctIDs=$C15),(endDatesCF=U$5)))-SUM(_xlfn._xlws.FILTER(_xlfn._xlws.FILTER(dataGLBSCF,dataGLBSAcctIDs=$C15),(startDatesCF=EDATE(U$4,-1)))))*INDEX(PBC_ACCOUNT_LIST[Sign_for_total_cashflow],MATCH($C15,PBC_ACCOUNT_LIST[Id],0))</f>
        <v>1800</v>
      </c>
      <c r="V15" s="547" cm="1">
        <f t="array" ref="V15">(SUM(_xlfn._xlws.FILTER(_xlfn._xlws.FILTER(dataGLBSCF,dataGLBSAcctIDs=$C15),(endDatesCF=V$5)))-SUM(_xlfn._xlws.FILTER(_xlfn._xlws.FILTER(dataGLBSCF,dataGLBSAcctIDs=$C15),(startDatesCF=EDATE(V$4,-1)))))*INDEX(PBC_ACCOUNT_LIST[Sign_for_total_cashflow],MATCH($C15,PBC_ACCOUNT_LIST[Id],0))</f>
        <v>5050</v>
      </c>
      <c r="W15" s="547" cm="1">
        <f t="array" ref="W15">(SUM(_xlfn._xlws.FILTER(_xlfn._xlws.FILTER(dataGLBSCF,dataGLBSAcctIDs=$C15),(endDatesCF=W$5)))-SUM(_xlfn._xlws.FILTER(_xlfn._xlws.FILTER(dataGLBSCF,dataGLBSAcctIDs=$C15),(startDatesCF=EDATE(W$4,-1)))))*INDEX(PBC_ACCOUNT_LIST[Sign_for_total_cashflow],MATCH($C15,PBC_ACCOUNT_LIST[Id],0))</f>
        <v>0</v>
      </c>
      <c r="X15" s="547" cm="1">
        <f t="array" ref="X15">(SUM(_xlfn._xlws.FILTER(_xlfn._xlws.FILTER(dataGLBSCF,dataGLBSAcctIDs=$C15),(endDatesCF=X$5)))-SUM(_xlfn._xlws.FILTER(_xlfn._xlws.FILTER(dataGLBSCF,dataGLBSAcctIDs=$C15),(startDatesCF=EDATE(X$4,-1)))))*INDEX(PBC_ACCOUNT_LIST[Sign_for_total_cashflow],MATCH($C15,PBC_ACCOUNT_LIST[Id],0))</f>
        <v>0</v>
      </c>
      <c r="Y15" s="547" cm="1">
        <f t="array" ref="Y15">(SUM(_xlfn._xlws.FILTER(_xlfn._xlws.FILTER(dataGLBSCF,dataGLBSAcctIDs=$C15),(endDatesCF=Y$5)))-SUM(_xlfn._xlws.FILTER(_xlfn._xlws.FILTER(dataGLBSCF,dataGLBSAcctIDs=$C15),(startDatesCF=EDATE(Y$4,-1)))))*INDEX(PBC_ACCOUNT_LIST[Sign_for_total_cashflow],MATCH($C15,PBC_ACCOUNT_LIST[Id],0))</f>
        <v>0</v>
      </c>
      <c r="Z15" s="547" cm="1">
        <f t="array" ref="Z15">(SUM(_xlfn._xlws.FILTER(_xlfn._xlws.FILTER(dataGLBSCF,dataGLBSAcctIDs=$C15),(endDatesCF=Z$5)))-SUM(_xlfn._xlws.FILTER(_xlfn._xlws.FILTER(dataGLBSCF,dataGLBSAcctIDs=$C15),(startDatesCF=EDATE(Z$4,-1)))))*INDEX(PBC_ACCOUNT_LIST[Sign_for_total_cashflow],MATCH($C15,PBC_ACCOUNT_LIST[Id],0))</f>
        <v>0</v>
      </c>
      <c r="AC15" s="547" cm="1">
        <f t="array" ref="AC15">(SUM(_xlfn._xlws.FILTER(_xlfn._xlws.FILTER(dataGLBSCF,dataGLBSAcctIDs=$C15),(endDatesCF=AC$5)))-SUM(_xlfn._xlws.FILTER(_xlfn._xlws.FILTER(dataGLBSCF,dataGLBSAcctIDs=$C15),(startDatesCF=EDATE(AC$4,-1)))))*INDEX(PBC_ACCOUNT_LIST[Sign_for_total_cashflow],MATCH($C15,PBC_ACCOUNT_LIST[Id],0))</f>
        <v>-3970</v>
      </c>
      <c r="AD15" s="547" cm="1">
        <f t="array" ref="AD15">(SUM(_xlfn._xlws.FILTER(_xlfn._xlws.FILTER(dataGLBSCF,dataGLBSAcctIDs=$C15),(endDatesCF=AD$5)))-SUM(_xlfn._xlws.FILTER(_xlfn._xlws.FILTER(dataGLBSCF,dataGLBSAcctIDs=$C15),(startDatesCF=EDATE(AD$4,-1)))))*INDEX(PBC_ACCOUNT_LIST[Sign_for_total_cashflow],MATCH($C15,PBC_ACCOUNT_LIST[Id],0))</f>
        <v>2636.5</v>
      </c>
      <c r="AE15" s="547" cm="1">
        <f t="array" ref="AE15">(SUM(_xlfn._xlws.FILTER(_xlfn._xlws.FILTER(dataGLBSCF,dataGLBSAcctIDs=$C15),(endDatesCF=AE$5)))-SUM(_xlfn._xlws.FILTER(_xlfn._xlws.FILTER(dataGLBSCF,dataGLBSAcctIDs=$C15),(startDatesCF=EDATE(AE$4,-1)))))*INDEX(PBC_ACCOUNT_LIST[Sign_for_total_cashflow],MATCH($C15,PBC_ACCOUNT_LIST[Id],0))</f>
        <v>710</v>
      </c>
      <c r="AF15" s="547" cm="1">
        <f t="array" ref="AF15">(SUM(_xlfn._xlws.FILTER(_xlfn._xlws.FILTER(dataGLBSCF,dataGLBSAcctIDs=$C15),(endDatesCF=AF$5)))-SUM(_xlfn._xlws.FILTER(_xlfn._xlws.FILTER(dataGLBSCF,dataGLBSAcctIDs=$C15),(startDatesCF=EDATE(AF$4,-1)))))*INDEX(PBC_ACCOUNT_LIST[Sign_for_total_cashflow],MATCH($C15,PBC_ACCOUNT_LIST[Id],0))</f>
        <v>-5814</v>
      </c>
      <c r="AG15" s="547" cm="1">
        <f t="array" ref="AG15">(SUM(_xlfn._xlws.FILTER(_xlfn._xlws.FILTER(dataGLBSCF,dataGLBSAcctIDs=$C15),(endDatesCF=AG$5)))-SUM(_xlfn._xlws.FILTER(_xlfn._xlws.FILTER(dataGLBSCF,dataGLBSAcctIDs=$C15),(startDatesCF=EDATE(AG$4,-1)))))*INDEX(PBC_ACCOUNT_LIST[Sign_for_total_cashflow],MATCH($C15,PBC_ACCOUNT_LIST[Id],0))</f>
        <v>4724.5</v>
      </c>
      <c r="AH15" s="547" cm="1">
        <f t="array" ref="AH15">(SUM(_xlfn._xlws.FILTER(_xlfn._xlws.FILTER(dataGLBSCF,dataGLBSAcctIDs=$C15),(endDatesCF=AH$5)))-SUM(_xlfn._xlws.FILTER(_xlfn._xlws.FILTER(dataGLBSCF,dataGLBSAcctIDs=$C15),(startDatesCF=EDATE(AH$4,-1)))))*INDEX(PBC_ACCOUNT_LIST[Sign_for_total_cashflow],MATCH($C15,PBC_ACCOUNT_LIST[Id],0))</f>
        <v>-4689</v>
      </c>
      <c r="AI15" s="547" cm="1">
        <f t="array" ref="AI15">(SUM(_xlfn._xlws.FILTER(_xlfn._xlws.FILTER(dataGLBSCF,dataGLBSAcctIDs=$C15),(endDatesCF=AI$5)))-SUM(_xlfn._xlws.FILTER(_xlfn._xlws.FILTER(dataGLBSCF,dataGLBSAcctIDs=$C15),(startDatesCF=EDATE(AI$4,-1)))))*INDEX(PBC_ACCOUNT_LIST[Sign_for_total_cashflow],MATCH($C15,PBC_ACCOUNT_LIST[Id],0))</f>
        <v>3628.5</v>
      </c>
      <c r="AJ15" s="547" cm="1">
        <f t="array" ref="AJ15">(SUM(_xlfn._xlws.FILTER(_xlfn._xlws.FILTER(dataGLBSCF,dataGLBSAcctIDs=$C15),(endDatesCF=AJ$5)))-SUM(_xlfn._xlws.FILTER(_xlfn._xlws.FILTER(dataGLBSCF,dataGLBSAcctIDs=$C15),(startDatesCF=EDATE(AJ$4,-1)))))*INDEX(PBC_ACCOUNT_LIST[Sign_for_total_cashflow],MATCH($C15,PBC_ACCOUNT_LIST[Id],0))</f>
        <v>-2979</v>
      </c>
      <c r="AK15" s="547" cm="1">
        <f t="array" ref="AK15">(SUM(_xlfn._xlws.FILTER(_xlfn._xlws.FILTER(dataGLBSCF,dataGLBSAcctIDs=$C15),(endDatesCF=AK$5)))-SUM(_xlfn._xlws.FILTER(_xlfn._xlws.FILTER(dataGLBSCF,dataGLBSAcctIDs=$C15),(startDatesCF=EDATE(AK$4,-1)))))*INDEX(PBC_ACCOUNT_LIST[Sign_for_total_cashflow],MATCH($C15,PBC_ACCOUNT_LIST[Id],0))</f>
        <v>-470</v>
      </c>
      <c r="AL15" s="547" cm="1">
        <f t="array" ref="AL15">(SUM(_xlfn._xlws.FILTER(_xlfn._xlws.FILTER(dataGLBSCF,dataGLBSAcctIDs=$C15),(endDatesCF=AL$5)))-SUM(_xlfn._xlws.FILTER(_xlfn._xlws.FILTER(dataGLBSCF,dataGLBSAcctIDs=$C15),(startDatesCF=EDATE(AL$4,-1)))))*INDEX(PBC_ACCOUNT_LIST[Sign_for_total_cashflow],MATCH($C15,PBC_ACCOUNT_LIST[Id],0))</f>
        <v>5103</v>
      </c>
      <c r="AM15" s="547" cm="1">
        <f t="array" ref="AM15">(SUM(_xlfn._xlws.FILTER(_xlfn._xlws.FILTER(dataGLBSCF,dataGLBSAcctIDs=$C15),(endDatesCF=AM$5)))-SUM(_xlfn._xlws.FILTER(_xlfn._xlws.FILTER(dataGLBSCF,dataGLBSAcctIDs=$C15),(startDatesCF=EDATE(AM$4,-1)))))*INDEX(PBC_ACCOUNT_LIST[Sign_for_total_cashflow],MATCH($C15,PBC_ACCOUNT_LIST[Id],0))</f>
        <v>0</v>
      </c>
      <c r="AN15" s="547" cm="1">
        <f t="array" ref="AN15">(SUM(_xlfn._xlws.FILTER(_xlfn._xlws.FILTER(dataGLBSCF,dataGLBSAcctIDs=$C15),(endDatesCF=AN$5)))-SUM(_xlfn._xlws.FILTER(_xlfn._xlws.FILTER(dataGLBSCF,dataGLBSAcctIDs=$C15),(startDatesCF=EDATE(AN$4,-1)))))*INDEX(PBC_ACCOUNT_LIST[Sign_for_total_cashflow],MATCH($C15,PBC_ACCOUNT_LIST[Id],0))</f>
        <v>0</v>
      </c>
      <c r="AO15" s="547" cm="1">
        <f t="array" ref="AO15">(SUM(_xlfn._xlws.FILTER(_xlfn._xlws.FILTER(dataGLBSCF,dataGLBSAcctIDs=$C15),(endDatesCF=AO$5)))-SUM(_xlfn._xlws.FILTER(_xlfn._xlws.FILTER(dataGLBSCF,dataGLBSAcctIDs=$C15),(startDatesCF=EDATE(AO$4,-1)))))*INDEX(PBC_ACCOUNT_LIST[Sign_for_total_cashflow],MATCH($C15,PBC_ACCOUNT_LIST[Id],0))</f>
        <v>0</v>
      </c>
      <c r="AP15" s="547" cm="1">
        <f t="array" ref="AP15">(SUM(_xlfn._xlws.FILTER(_xlfn._xlws.FILTER(dataGLBSCF,dataGLBSAcctIDs=$C15),(endDatesCF=AP$5)))-SUM(_xlfn._xlws.FILTER(_xlfn._xlws.FILTER(dataGLBSCF,dataGLBSAcctIDs=$C15),(startDatesCF=EDATE(AP$4,-1)))))*INDEX(PBC_ACCOUNT_LIST[Sign_for_total_cashflow],MATCH($C15,PBC_ACCOUNT_LIST[Id],0))</f>
        <v>0</v>
      </c>
      <c r="AQ15" s="547" cm="1">
        <f t="array" ref="AQ15">(SUM(_xlfn._xlws.FILTER(_xlfn._xlws.FILTER(dataGLBSCF,dataGLBSAcctIDs=$C15),(endDatesCF=AQ$5)))-SUM(_xlfn._xlws.FILTER(_xlfn._xlws.FILTER(dataGLBSCF,dataGLBSAcctIDs=$C15),(startDatesCF=EDATE(AQ$4,-1)))))*INDEX(PBC_ACCOUNT_LIST[Sign_for_total_cashflow],MATCH($C15,PBC_ACCOUNT_LIST[Id],0))</f>
        <v>0</v>
      </c>
      <c r="AR15" s="547" cm="1">
        <f t="array" ref="AR15">(SUM(_xlfn._xlws.FILTER(_xlfn._xlws.FILTER(dataGLBSCF,dataGLBSAcctIDs=$C15),(endDatesCF=AR$5)))-SUM(_xlfn._xlws.FILTER(_xlfn._xlws.FILTER(dataGLBSCF,dataGLBSAcctIDs=$C15),(startDatesCF=EDATE(AR$4,-1)))))*INDEX(PBC_ACCOUNT_LIST[Sign_for_total_cashflow],MATCH($C15,PBC_ACCOUNT_LIST[Id],0))</f>
        <v>0</v>
      </c>
      <c r="AS15" s="547" cm="1">
        <f t="array" ref="AS15">(SUM(_xlfn._xlws.FILTER(_xlfn._xlws.FILTER(dataGLBSCF,dataGLBSAcctIDs=$C15),(endDatesCF=AS$5)))-SUM(_xlfn._xlws.FILTER(_xlfn._xlws.FILTER(dataGLBSCF,dataGLBSAcctIDs=$C15),(startDatesCF=EDATE(AS$4,-1)))))*INDEX(PBC_ACCOUNT_LIST[Sign_for_total_cashflow],MATCH($C15,PBC_ACCOUNT_LIST[Id],0))</f>
        <v>0</v>
      </c>
      <c r="AT15" s="547" cm="1">
        <f t="array" ref="AT15">(SUM(_xlfn._xlws.FILTER(_xlfn._xlws.FILTER(dataGLBSCF,dataGLBSAcctIDs=$C15),(endDatesCF=AT$5)))-SUM(_xlfn._xlws.FILTER(_xlfn._xlws.FILTER(dataGLBSCF,dataGLBSAcctIDs=$C15),(startDatesCF=EDATE(AT$4,-1)))))*INDEX(PBC_ACCOUNT_LIST[Sign_for_total_cashflow],MATCH($C15,PBC_ACCOUNT_LIST[Id],0))</f>
        <v>0</v>
      </c>
      <c r="AU15" s="547" cm="1">
        <f t="array" ref="AU15">(SUM(_xlfn._xlws.FILTER(_xlfn._xlws.FILTER(dataGLBSCF,dataGLBSAcctIDs=$C15),(endDatesCF=AU$5)))-SUM(_xlfn._xlws.FILTER(_xlfn._xlws.FILTER(dataGLBSCF,dataGLBSAcctIDs=$C15),(startDatesCF=EDATE(AU$4,-1)))))*INDEX(PBC_ACCOUNT_LIST[Sign_for_total_cashflow],MATCH($C15,PBC_ACCOUNT_LIST[Id],0))</f>
        <v>0</v>
      </c>
      <c r="AV15" s="547" cm="1">
        <f t="array" ref="AV15">(SUM(_xlfn._xlws.FILTER(_xlfn._xlws.FILTER(dataGLBSCF,dataGLBSAcctIDs=$C15),(endDatesCF=AV$5)))-SUM(_xlfn._xlws.FILTER(_xlfn._xlws.FILTER(dataGLBSCF,dataGLBSAcctIDs=$C15),(startDatesCF=EDATE(AV$4,-1)))))*INDEX(PBC_ACCOUNT_LIST[Sign_for_total_cashflow],MATCH($C15,PBC_ACCOUNT_LIST[Id],0))</f>
        <v>0</v>
      </c>
      <c r="AW15" s="547" cm="1">
        <f t="array" ref="AW15">(SUM(_xlfn._xlws.FILTER(_xlfn._xlws.FILTER(dataGLBSCF,dataGLBSAcctIDs=$C15),(endDatesCF=AW$5)))-SUM(_xlfn._xlws.FILTER(_xlfn._xlws.FILTER(dataGLBSCF,dataGLBSAcctIDs=$C15),(startDatesCF=EDATE(AW$4,-1)))))*INDEX(PBC_ACCOUNT_LIST[Sign_for_total_cashflow],MATCH($C15,PBC_ACCOUNT_LIST[Id],0))</f>
        <v>0</v>
      </c>
      <c r="AX15" s="547" cm="1">
        <f t="array" ref="AX15">(SUM(_xlfn._xlws.FILTER(_xlfn._xlws.FILTER(dataGLBSCF,dataGLBSAcctIDs=$C15),(endDatesCF=AX$5)))-SUM(_xlfn._xlws.FILTER(_xlfn._xlws.FILTER(dataGLBSCF,dataGLBSAcctIDs=$C15),(startDatesCF=EDATE(AX$4,-1)))))*INDEX(PBC_ACCOUNT_LIST[Sign_for_total_cashflow],MATCH($C15,PBC_ACCOUNT_LIST[Id],0))</f>
        <v>0</v>
      </c>
      <c r="AY15" s="547" cm="1">
        <f t="array" ref="AY15">(SUM(_xlfn._xlws.FILTER(_xlfn._xlws.FILTER(dataGLBSCF,dataGLBSAcctIDs=$C15),(endDatesCF=AY$5)))-SUM(_xlfn._xlws.FILTER(_xlfn._xlws.FILTER(dataGLBSCF,dataGLBSAcctIDs=$C15),(startDatesCF=EDATE(AY$4,-1)))))*INDEX(PBC_ACCOUNT_LIST[Sign_for_total_cashflow],MATCH($C15,PBC_ACCOUNT_LIST[Id],0))</f>
        <v>0</v>
      </c>
      <c r="AZ15" s="547" cm="1">
        <f t="array" ref="AZ15">(SUM(_xlfn._xlws.FILTER(_xlfn._xlws.FILTER(dataGLBSCF,dataGLBSAcctIDs=$C15),(endDatesCF=AZ$5)))-SUM(_xlfn._xlws.FILTER(_xlfn._xlws.FILTER(dataGLBSCF,dataGLBSAcctIDs=$C15),(startDatesCF=EDATE(AZ$4,-1)))))*INDEX(PBC_ACCOUNT_LIST[Sign_for_total_cashflow],MATCH($C15,PBC_ACCOUNT_LIST[Id],0))</f>
        <v>0</v>
      </c>
      <c r="BA15" s="547" cm="1">
        <f t="array" ref="BA15">(SUM(_xlfn._xlws.FILTER(_xlfn._xlws.FILTER(dataGLBSCF,dataGLBSAcctIDs=$C15),(endDatesCF=BA$5)))-SUM(_xlfn._xlws.FILTER(_xlfn._xlws.FILTER(dataGLBSCF,dataGLBSAcctIDs=$C15),(startDatesCF=EDATE(BA$4,-1)))))*INDEX(PBC_ACCOUNT_LIST[Sign_for_total_cashflow],MATCH($C15,PBC_ACCOUNT_LIST[Id],0))</f>
        <v>0</v>
      </c>
      <c r="BB15" s="547" cm="1">
        <f t="array" ref="BB15">(SUM(_xlfn._xlws.FILTER(_xlfn._xlws.FILTER(dataGLBSCF,dataGLBSAcctIDs=$C15),(endDatesCF=BB$5)))-SUM(_xlfn._xlws.FILTER(_xlfn._xlws.FILTER(dataGLBSCF,dataGLBSAcctIDs=$C15),(startDatesCF=EDATE(BB$4,-1)))))*INDEX(PBC_ACCOUNT_LIST[Sign_for_total_cashflow],MATCH($C15,PBC_ACCOUNT_LIST[Id],0))</f>
        <v>0</v>
      </c>
      <c r="BC15" s="547" cm="1">
        <f t="array" ref="BC15">(SUM(_xlfn._xlws.FILTER(_xlfn._xlws.FILTER(dataGLBSCF,dataGLBSAcctIDs=$C15),(endDatesCF=BC$5)))-SUM(_xlfn._xlws.FILTER(_xlfn._xlws.FILTER(dataGLBSCF,dataGLBSAcctIDs=$C15),(startDatesCF=EDATE(BC$4,-1)))))*INDEX(PBC_ACCOUNT_LIST[Sign_for_total_cashflow],MATCH($C15,PBC_ACCOUNT_LIST[Id],0))</f>
        <v>0</v>
      </c>
      <c r="BD15" s="547" cm="1">
        <f t="array" ref="BD15">(SUM(_xlfn._xlws.FILTER(_xlfn._xlws.FILTER(dataGLBSCF,dataGLBSAcctIDs=$C15),(endDatesCF=BD$5)))-SUM(_xlfn._xlws.FILTER(_xlfn._xlws.FILTER(dataGLBSCF,dataGLBSAcctIDs=$C15),(startDatesCF=EDATE(BD$4,-1)))))*INDEX(PBC_ACCOUNT_LIST[Sign_for_total_cashflow],MATCH($C15,PBC_ACCOUNT_LIST[Id],0))</f>
        <v>0</v>
      </c>
      <c r="BE15" s="547" cm="1">
        <f t="array" ref="BE15">(SUM(_xlfn._xlws.FILTER(_xlfn._xlws.FILTER(dataGLBSCF,dataGLBSAcctIDs=$C15),(endDatesCF=BE$5)))-SUM(_xlfn._xlws.FILTER(_xlfn._xlws.FILTER(dataGLBSCF,dataGLBSAcctIDs=$C15),(startDatesCF=EDATE(BE$4,-1)))))*INDEX(PBC_ACCOUNT_LIST[Sign_for_total_cashflow],MATCH($C15,PBC_ACCOUNT_LIST[Id],0))</f>
        <v>0</v>
      </c>
      <c r="BF15" s="547" cm="1">
        <f t="array" ref="BF15">(SUM(_xlfn._xlws.FILTER(_xlfn._xlws.FILTER(dataGLBSCF,dataGLBSAcctIDs=$C15),(endDatesCF=BF$5)))-SUM(_xlfn._xlws.FILTER(_xlfn._xlws.FILTER(dataGLBSCF,dataGLBSAcctIDs=$C15),(startDatesCF=EDATE(BF$4,-1)))))*INDEX(PBC_ACCOUNT_LIST[Sign_for_total_cashflow],MATCH($C15,PBC_ACCOUNT_LIST[Id],0))</f>
        <v>0</v>
      </c>
      <c r="BG15" s="547" cm="1">
        <f t="array" ref="BG15">(SUM(_xlfn._xlws.FILTER(_xlfn._xlws.FILTER(dataGLBSCF,dataGLBSAcctIDs=$C15),(endDatesCF=BG$5)))-SUM(_xlfn._xlws.FILTER(_xlfn._xlws.FILTER(dataGLBSCF,dataGLBSAcctIDs=$C15),(startDatesCF=EDATE(BG$4,-1)))))*INDEX(PBC_ACCOUNT_LIST[Sign_for_total_cashflow],MATCH($C15,PBC_ACCOUNT_LIST[Id],0))</f>
        <v>1800</v>
      </c>
      <c r="BH15" s="547" cm="1">
        <f t="array" ref="BH15">(SUM(_xlfn._xlws.FILTER(_xlfn._xlws.FILTER(dataGLBSCF,dataGLBSAcctIDs=$C15),(endDatesCF=BH$5)))-SUM(_xlfn._xlws.FILTER(_xlfn._xlws.FILTER(dataGLBSCF,dataGLBSAcctIDs=$C15),(startDatesCF=EDATE(BH$4,-1)))))*INDEX(PBC_ACCOUNT_LIST[Sign_for_total_cashflow],MATCH($C15,PBC_ACCOUNT_LIST[Id],0))</f>
        <v>0</v>
      </c>
      <c r="BI15" s="547" cm="1">
        <f t="array" ref="BI15">(SUM(_xlfn._xlws.FILTER(_xlfn._xlws.FILTER(dataGLBSCF,dataGLBSAcctIDs=$C15),(endDatesCF=BI$5)))-SUM(_xlfn._xlws.FILTER(_xlfn._xlws.FILTER(dataGLBSCF,dataGLBSAcctIDs=$C15),(startDatesCF=EDATE(BI$4,-1)))))*INDEX(PBC_ACCOUNT_LIST[Sign_for_total_cashflow],MATCH($C15,PBC_ACCOUNT_LIST[Id],0))</f>
        <v>0</v>
      </c>
      <c r="BJ15" s="547" cm="1">
        <f t="array" ref="BJ15">(SUM(_xlfn._xlws.FILTER(_xlfn._xlws.FILTER(dataGLBSCF,dataGLBSAcctIDs=$C15),(endDatesCF=BJ$5)))-SUM(_xlfn._xlws.FILTER(_xlfn._xlws.FILTER(dataGLBSCF,dataGLBSAcctIDs=$C15),(startDatesCF=EDATE(BJ$4,-1)))))*INDEX(PBC_ACCOUNT_LIST[Sign_for_total_cashflow],MATCH($C15,PBC_ACCOUNT_LIST[Id],0))</f>
        <v>0</v>
      </c>
      <c r="BK15" s="547" cm="1">
        <f t="array" ref="BK15">(SUM(_xlfn._xlws.FILTER(_xlfn._xlws.FILTER(dataGLBSCF,dataGLBSAcctIDs=$C15),(endDatesCF=BK$5)))-SUM(_xlfn._xlws.FILTER(_xlfn._xlws.FILTER(dataGLBSCF,dataGLBSAcctIDs=$C15),(startDatesCF=EDATE(BK$4,-1)))))*INDEX(PBC_ACCOUNT_LIST[Sign_for_total_cashflow],MATCH($C15,PBC_ACCOUNT_LIST[Id],0))</f>
        <v>5050</v>
      </c>
      <c r="BL15" s="547" cm="1">
        <f t="array" ref="BL15">(SUM(_xlfn._xlws.FILTER(_xlfn._xlws.FILTER(dataGLBSCF,dataGLBSAcctIDs=$C15),(endDatesCF=BL$5)))-SUM(_xlfn._xlws.FILTER(_xlfn._xlws.FILTER(dataGLBSCF,dataGLBSAcctIDs=$C15),(startDatesCF=EDATE(BL$4,-1)))))*INDEX(PBC_ACCOUNT_LIST[Sign_for_total_cashflow],MATCH($C15,PBC_ACCOUNT_LIST[Id],0))</f>
        <v>0</v>
      </c>
      <c r="BM15" s="547" cm="1">
        <f t="array" ref="BM15">(SUM(_xlfn._xlws.FILTER(_xlfn._xlws.FILTER(dataGLBSCF,dataGLBSAcctIDs=$C15),(endDatesCF=BM$5)))-SUM(_xlfn._xlws.FILTER(_xlfn._xlws.FILTER(dataGLBSCF,dataGLBSAcctIDs=$C15),(startDatesCF=EDATE(BM$4,-1)))))*INDEX(PBC_ACCOUNT_LIST[Sign_for_total_cashflow],MATCH($C15,PBC_ACCOUNT_LIST[Id],0))</f>
        <v>0</v>
      </c>
      <c r="BN15" s="547" cm="1">
        <f t="array" ref="BN15">(SUM(_xlfn._xlws.FILTER(_xlfn._xlws.FILTER(dataGLBSCF,dataGLBSAcctIDs=$C15),(endDatesCF=BN$5)))-SUM(_xlfn._xlws.FILTER(_xlfn._xlws.FILTER(dataGLBSCF,dataGLBSAcctIDs=$C15),(startDatesCF=EDATE(BN$4,-1)))))*INDEX(PBC_ACCOUNT_LIST[Sign_for_total_cashflow],MATCH($C15,PBC_ACCOUNT_LIST[Id],0))</f>
        <v>0</v>
      </c>
      <c r="BO15" s="547" cm="1">
        <f t="array" ref="BO15">(SUM(_xlfn._xlws.FILTER(_xlfn._xlws.FILTER(dataGLBSCF,dataGLBSAcctIDs=$C15),(endDatesCF=BO$5)))-SUM(_xlfn._xlws.FILTER(_xlfn._xlws.FILTER(dataGLBSCF,dataGLBSAcctIDs=$C15),(startDatesCF=EDATE(BO$4,-1)))))*INDEX(PBC_ACCOUNT_LIST[Sign_for_total_cashflow],MATCH($C15,PBC_ACCOUNT_LIST[Id],0))</f>
        <v>0</v>
      </c>
      <c r="BP15" s="547" cm="1">
        <f t="array" ref="BP15">(SUM(_xlfn._xlws.FILTER(_xlfn._xlws.FILTER(dataGLBSCF,dataGLBSAcctIDs=$C15),(endDatesCF=BP$5)))-SUM(_xlfn._xlws.FILTER(_xlfn._xlws.FILTER(dataGLBSCF,dataGLBSAcctIDs=$C15),(startDatesCF=EDATE(BP$4,-1)))))*INDEX(PBC_ACCOUNT_LIST[Sign_for_total_cashflow],MATCH($C15,PBC_ACCOUNT_LIST[Id],0))</f>
        <v>0</v>
      </c>
      <c r="BQ15" s="547" cm="1">
        <f t="array" ref="BQ15">(SUM(_xlfn._xlws.FILTER(_xlfn._xlws.FILTER(dataGLBSCF,dataGLBSAcctIDs=$C15),(endDatesCF=BQ$5)))-SUM(_xlfn._xlws.FILTER(_xlfn._xlws.FILTER(dataGLBSCF,dataGLBSAcctIDs=$C15),(startDatesCF=EDATE(BQ$4,-1)))))*INDEX(PBC_ACCOUNT_LIST[Sign_for_total_cashflow],MATCH($C15,PBC_ACCOUNT_LIST[Id],0))</f>
        <v>0</v>
      </c>
      <c r="BR15" s="547" cm="1">
        <f t="array" ref="BR15">(SUM(_xlfn._xlws.FILTER(_xlfn._xlws.FILTER(dataGLBSCF,dataGLBSAcctIDs=$C15),(endDatesCF=BR$5)))-SUM(_xlfn._xlws.FILTER(_xlfn._xlws.FILTER(dataGLBSCF,dataGLBSAcctIDs=$C15),(startDatesCF=EDATE(BR$4,-1)))))*INDEX(PBC_ACCOUNT_LIST[Sign_for_total_cashflow],MATCH($C15,PBC_ACCOUNT_LIST[Id],0))</f>
        <v>0</v>
      </c>
      <c r="BS15" s="547" cm="1">
        <f t="array" ref="BS15">(SUM(_xlfn._xlws.FILTER(_xlfn._xlws.FILTER(dataGLBSCF,dataGLBSAcctIDs=$C15),(endDatesCF=BS$5)))-SUM(_xlfn._xlws.FILTER(_xlfn._xlws.FILTER(dataGLBSCF,dataGLBSAcctIDs=$C15),(startDatesCF=EDATE(BS$4,-1)))))*INDEX(PBC_ACCOUNT_LIST[Sign_for_total_cashflow],MATCH($C15,PBC_ACCOUNT_LIST[Id],0))</f>
        <v>0</v>
      </c>
      <c r="BT15" s="547" cm="1">
        <f t="array" ref="BT15">(SUM(_xlfn._xlws.FILTER(_xlfn._xlws.FILTER(dataGLBSCF,dataGLBSAcctIDs=$C15),(endDatesCF=BT$5)))-SUM(_xlfn._xlws.FILTER(_xlfn._xlws.FILTER(dataGLBSCF,dataGLBSAcctIDs=$C15),(startDatesCF=EDATE(BT$4,-1)))))*INDEX(PBC_ACCOUNT_LIST[Sign_for_total_cashflow],MATCH($C15,PBC_ACCOUNT_LIST[Id],0))</f>
        <v>0</v>
      </c>
      <c r="BU15" s="547" cm="1">
        <f t="array" ref="BU15">(SUM(_xlfn._xlws.FILTER(_xlfn._xlws.FILTER(dataGLBSCF,dataGLBSAcctIDs=$C15),(endDatesCF=BU$5)))-SUM(_xlfn._xlws.FILTER(_xlfn._xlws.FILTER(dataGLBSCF,dataGLBSAcctIDs=$C15),(startDatesCF=EDATE(BU$4,-1)))))*INDEX(PBC_ACCOUNT_LIST[Sign_for_total_cashflow],MATCH($C15,PBC_ACCOUNT_LIST[Id],0))</f>
        <v>0</v>
      </c>
      <c r="BV15" s="547" cm="1">
        <f t="array" ref="BV15">(SUM(_xlfn._xlws.FILTER(_xlfn._xlws.FILTER(dataGLBSCF,dataGLBSAcctIDs=$C15),(endDatesCF=BV$5)))-SUM(_xlfn._xlws.FILTER(_xlfn._xlws.FILTER(dataGLBSCF,dataGLBSAcctIDs=$C15),(startDatesCF=EDATE(BV$4,-1)))))*INDEX(PBC_ACCOUNT_LIST[Sign_for_total_cashflow],MATCH($C15,PBC_ACCOUNT_LIST[Id],0))</f>
        <v>0</v>
      </c>
      <c r="BW15" s="547" cm="1">
        <f t="array" ref="BW15">(SUM(_xlfn._xlws.FILTER(_xlfn._xlws.FILTER(dataGLBSCF,dataGLBSAcctIDs=$C15),(endDatesCF=BW$5)))-SUM(_xlfn._xlws.FILTER(_xlfn._xlws.FILTER(dataGLBSCF,dataGLBSAcctIDs=$C15),(startDatesCF=EDATE(BW$4,-1)))))*INDEX(PBC_ACCOUNT_LIST[Sign_for_total_cashflow],MATCH($C15,PBC_ACCOUNT_LIST[Id],0))</f>
        <v>0</v>
      </c>
      <c r="BX15" s="547" cm="1">
        <f t="array" ref="BX15">(SUM(_xlfn._xlws.FILTER(_xlfn._xlws.FILTER(dataGLBSCF,dataGLBSAcctIDs=$C15),(endDatesCF=BX$5)))-SUM(_xlfn._xlws.FILTER(_xlfn._xlws.FILTER(dataGLBSCF,dataGLBSAcctIDs=$C15),(startDatesCF=EDATE(BX$4,-1)))))*INDEX(PBC_ACCOUNT_LIST[Sign_for_total_cashflow],MATCH($C15,PBC_ACCOUNT_LIST[Id],0))</f>
        <v>0</v>
      </c>
    </row>
    <row r="16" spans="1:92" customFormat="1" ht="21" customHeight="1">
      <c r="B16" s="685" t="s">
        <v>283</v>
      </c>
      <c r="C16">
        <v>150</v>
      </c>
      <c r="E16" s="547" cm="1">
        <f t="array" ref="E16">(SUM(_xlfn._xlws.FILTER(_xlfn._xlws.FILTER(dataGLBSCF,dataGLBSAcctIDs=$C16),(endDatesCF=E$5)))-SUM(_xlfn._xlws.FILTER(_xlfn._xlws.FILTER(dataGLBSCF,dataGLBSAcctIDs=$C16),(startDatesCF=EDATE(E$4,-1)))))*INDEX(PBC_ACCOUNT_LIST[Sign_for_total_cashflow],MATCH($C16,PBC_ACCOUNT_LIST[Id],0))</f>
        <v>-25000</v>
      </c>
      <c r="F16" s="547" cm="1">
        <f t="array" ref="F16">(SUM(_xlfn._xlws.FILTER(_xlfn._xlws.FILTER(dataGLBSCF,dataGLBSAcctIDs=$C16),(endDatesCF=F$5)))-SUM(_xlfn._xlws.FILTER(_xlfn._xlws.FILTER(dataGLBSCF,dataGLBSAcctIDs=$C16),(startDatesCF=EDATE(F$4,-1)))))*INDEX(PBC_ACCOUNT_LIST[Sign_for_total_cashflow],MATCH($C16,PBC_ACCOUNT_LIST[Id],0))</f>
        <v>0</v>
      </c>
      <c r="G16" s="547" cm="1">
        <f t="array" ref="G16">(SUM(_xlfn._xlws.FILTER(_xlfn._xlws.FILTER(dataGLBSCF,dataGLBSAcctIDs=$C16),(endDatesCF=G$5)))-SUM(_xlfn._xlws.FILTER(_xlfn._xlws.FILTER(dataGLBSCF,dataGLBSAcctIDs=$C16),(startDatesCF=EDATE(G$4,-1)))))*INDEX(PBC_ACCOUNT_LIST[Sign_for_total_cashflow],MATCH($C16,PBC_ACCOUNT_LIST[Id],0))</f>
        <v>0</v>
      </c>
      <c r="H16" s="547" cm="1">
        <f t="array" ref="H16">(SUM(_xlfn._xlws.FILTER(_xlfn._xlws.FILTER(dataGLBSCF,dataGLBSAcctIDs=$C16),(endDatesCF=H$5)))-SUM(_xlfn._xlws.FILTER(_xlfn._xlws.FILTER(dataGLBSCF,dataGLBSAcctIDs=$C16),(startDatesCF=EDATE(H$4,-1)))))*INDEX(PBC_ACCOUNT_LIST[Sign_for_total_cashflow],MATCH($C16,PBC_ACCOUNT_LIST[Id],0))</f>
        <v>0</v>
      </c>
      <c r="K16" s="547" cm="1">
        <f t="array" ref="K16">(SUM(_xlfn._xlws.FILTER(_xlfn._xlws.FILTER(dataGLBSCF,dataGLBSAcctIDs=$C16),(endDatesCF=K$5)))-SUM(_xlfn._xlws.FILTER(_xlfn._xlws.FILTER(dataGLBSCF,dataGLBSAcctIDs=$C16),(startDatesCF=EDATE(K$4,-1)))))*INDEX(PBC_ACCOUNT_LIST[Sign_for_total_cashflow],MATCH($C16,PBC_ACCOUNT_LIST[Id],0))</f>
        <v>-25000</v>
      </c>
      <c r="L16" s="547" cm="1">
        <f t="array" ref="L16">(SUM(_xlfn._xlws.FILTER(_xlfn._xlws.FILTER(dataGLBSCF,dataGLBSAcctIDs=$C16),(endDatesCF=L$5)))-SUM(_xlfn._xlws.FILTER(_xlfn._xlws.FILTER(dataGLBSCF,dataGLBSAcctIDs=$C16),(startDatesCF=EDATE(L$4,-1)))))*INDEX(PBC_ACCOUNT_LIST[Sign_for_total_cashflow],MATCH($C16,PBC_ACCOUNT_LIST[Id],0))</f>
        <v>0</v>
      </c>
      <c r="M16" s="547" cm="1">
        <f t="array" ref="M16">(SUM(_xlfn._xlws.FILTER(_xlfn._xlws.FILTER(dataGLBSCF,dataGLBSAcctIDs=$C16),(endDatesCF=M$5)))-SUM(_xlfn._xlws.FILTER(_xlfn._xlws.FILTER(dataGLBSCF,dataGLBSAcctIDs=$C16),(startDatesCF=EDATE(M$4,-1)))))*INDEX(PBC_ACCOUNT_LIST[Sign_for_total_cashflow],MATCH($C16,PBC_ACCOUNT_LIST[Id],0))</f>
        <v>0</v>
      </c>
      <c r="N16" s="547" cm="1">
        <f t="array" ref="N16">(SUM(_xlfn._xlws.FILTER(_xlfn._xlws.FILTER(dataGLBSCF,dataGLBSAcctIDs=$C16),(endDatesCF=N$5)))-SUM(_xlfn._xlws.FILTER(_xlfn._xlws.FILTER(dataGLBSCF,dataGLBSAcctIDs=$C16),(startDatesCF=EDATE(N$4,-1)))))*INDEX(PBC_ACCOUNT_LIST[Sign_for_total_cashflow],MATCH($C16,PBC_ACCOUNT_LIST[Id],0))</f>
        <v>0</v>
      </c>
      <c r="O16" s="547" cm="1">
        <f t="array" ref="O16">(SUM(_xlfn._xlws.FILTER(_xlfn._xlws.FILTER(dataGLBSCF,dataGLBSAcctIDs=$C16),(endDatesCF=O$5)))-SUM(_xlfn._xlws.FILTER(_xlfn._xlws.FILTER(dataGLBSCF,dataGLBSAcctIDs=$C16),(startDatesCF=EDATE(O$4,-1)))))*INDEX(PBC_ACCOUNT_LIST[Sign_for_total_cashflow],MATCH($C16,PBC_ACCOUNT_LIST[Id],0))</f>
        <v>0</v>
      </c>
      <c r="P16" s="547" cm="1">
        <f t="array" ref="P16">(SUM(_xlfn._xlws.FILTER(_xlfn._xlws.FILTER(dataGLBSCF,dataGLBSAcctIDs=$C16),(endDatesCF=P$5)))-SUM(_xlfn._xlws.FILTER(_xlfn._xlws.FILTER(dataGLBSCF,dataGLBSAcctIDs=$C16),(startDatesCF=EDATE(P$4,-1)))))*INDEX(PBC_ACCOUNT_LIST[Sign_for_total_cashflow],MATCH($C16,PBC_ACCOUNT_LIST[Id],0))</f>
        <v>0</v>
      </c>
      <c r="Q16" s="547" cm="1">
        <f t="array" ref="Q16">(SUM(_xlfn._xlws.FILTER(_xlfn._xlws.FILTER(dataGLBSCF,dataGLBSAcctIDs=$C16),(endDatesCF=Q$5)))-SUM(_xlfn._xlws.FILTER(_xlfn._xlws.FILTER(dataGLBSCF,dataGLBSAcctIDs=$C16),(startDatesCF=EDATE(Q$4,-1)))))*INDEX(PBC_ACCOUNT_LIST[Sign_for_total_cashflow],MATCH($C16,PBC_ACCOUNT_LIST[Id],0))</f>
        <v>0</v>
      </c>
      <c r="R16" s="547" cm="1">
        <f t="array" ref="R16">(SUM(_xlfn._xlws.FILTER(_xlfn._xlws.FILTER(dataGLBSCF,dataGLBSAcctIDs=$C16),(endDatesCF=R$5)))-SUM(_xlfn._xlws.FILTER(_xlfn._xlws.FILTER(dataGLBSCF,dataGLBSAcctIDs=$C16),(startDatesCF=EDATE(R$4,-1)))))*INDEX(PBC_ACCOUNT_LIST[Sign_for_total_cashflow],MATCH($C16,PBC_ACCOUNT_LIST[Id],0))</f>
        <v>0</v>
      </c>
      <c r="S16" s="547" cm="1">
        <f t="array" ref="S16">(SUM(_xlfn._xlws.FILTER(_xlfn._xlws.FILTER(dataGLBSCF,dataGLBSAcctIDs=$C16),(endDatesCF=S$5)))-SUM(_xlfn._xlws.FILTER(_xlfn._xlws.FILTER(dataGLBSCF,dataGLBSAcctIDs=$C16),(startDatesCF=EDATE(S$4,-1)))))*INDEX(PBC_ACCOUNT_LIST[Sign_for_total_cashflow],MATCH($C16,PBC_ACCOUNT_LIST[Id],0))</f>
        <v>0</v>
      </c>
      <c r="T16" s="547" cm="1">
        <f t="array" ref="T16">(SUM(_xlfn._xlws.FILTER(_xlfn._xlws.FILTER(dataGLBSCF,dataGLBSAcctIDs=$C16),(endDatesCF=T$5)))-SUM(_xlfn._xlws.FILTER(_xlfn._xlws.FILTER(dataGLBSCF,dataGLBSAcctIDs=$C16),(startDatesCF=EDATE(T$4,-1)))))*INDEX(PBC_ACCOUNT_LIST[Sign_for_total_cashflow],MATCH($C16,PBC_ACCOUNT_LIST[Id],0))</f>
        <v>0</v>
      </c>
      <c r="U16" s="547" cm="1">
        <f t="array" ref="U16">(SUM(_xlfn._xlws.FILTER(_xlfn._xlws.FILTER(dataGLBSCF,dataGLBSAcctIDs=$C16),(endDatesCF=U$5)))-SUM(_xlfn._xlws.FILTER(_xlfn._xlws.FILTER(dataGLBSCF,dataGLBSAcctIDs=$C16),(startDatesCF=EDATE(U$4,-1)))))*INDEX(PBC_ACCOUNT_LIST[Sign_for_total_cashflow],MATCH($C16,PBC_ACCOUNT_LIST[Id],0))</f>
        <v>0</v>
      </c>
      <c r="V16" s="547" cm="1">
        <f t="array" ref="V16">(SUM(_xlfn._xlws.FILTER(_xlfn._xlws.FILTER(dataGLBSCF,dataGLBSAcctIDs=$C16),(endDatesCF=V$5)))-SUM(_xlfn._xlws.FILTER(_xlfn._xlws.FILTER(dataGLBSCF,dataGLBSAcctIDs=$C16),(startDatesCF=EDATE(V$4,-1)))))*INDEX(PBC_ACCOUNT_LIST[Sign_for_total_cashflow],MATCH($C16,PBC_ACCOUNT_LIST[Id],0))</f>
        <v>0</v>
      </c>
      <c r="W16" s="547" cm="1">
        <f t="array" ref="W16">(SUM(_xlfn._xlws.FILTER(_xlfn._xlws.FILTER(dataGLBSCF,dataGLBSAcctIDs=$C16),(endDatesCF=W$5)))-SUM(_xlfn._xlws.FILTER(_xlfn._xlws.FILTER(dataGLBSCF,dataGLBSAcctIDs=$C16),(startDatesCF=EDATE(W$4,-1)))))*INDEX(PBC_ACCOUNT_LIST[Sign_for_total_cashflow],MATCH($C16,PBC_ACCOUNT_LIST[Id],0))</f>
        <v>0</v>
      </c>
      <c r="X16" s="547" cm="1">
        <f t="array" ref="X16">(SUM(_xlfn._xlws.FILTER(_xlfn._xlws.FILTER(dataGLBSCF,dataGLBSAcctIDs=$C16),(endDatesCF=X$5)))-SUM(_xlfn._xlws.FILTER(_xlfn._xlws.FILTER(dataGLBSCF,dataGLBSAcctIDs=$C16),(startDatesCF=EDATE(X$4,-1)))))*INDEX(PBC_ACCOUNT_LIST[Sign_for_total_cashflow],MATCH($C16,PBC_ACCOUNT_LIST[Id],0))</f>
        <v>0</v>
      </c>
      <c r="Y16" s="547" cm="1">
        <f t="array" ref="Y16">(SUM(_xlfn._xlws.FILTER(_xlfn._xlws.FILTER(dataGLBSCF,dataGLBSAcctIDs=$C16),(endDatesCF=Y$5)))-SUM(_xlfn._xlws.FILTER(_xlfn._xlws.FILTER(dataGLBSCF,dataGLBSAcctIDs=$C16),(startDatesCF=EDATE(Y$4,-1)))))*INDEX(PBC_ACCOUNT_LIST[Sign_for_total_cashflow],MATCH($C16,PBC_ACCOUNT_LIST[Id],0))</f>
        <v>0</v>
      </c>
      <c r="Z16" s="547" cm="1">
        <f t="array" ref="Z16">(SUM(_xlfn._xlws.FILTER(_xlfn._xlws.FILTER(dataGLBSCF,dataGLBSAcctIDs=$C16),(endDatesCF=Z$5)))-SUM(_xlfn._xlws.FILTER(_xlfn._xlws.FILTER(dataGLBSCF,dataGLBSAcctIDs=$C16),(startDatesCF=EDATE(Z$4,-1)))))*INDEX(PBC_ACCOUNT_LIST[Sign_for_total_cashflow],MATCH($C16,PBC_ACCOUNT_LIST[Id],0))</f>
        <v>0</v>
      </c>
      <c r="AC16" s="547" cm="1">
        <f t="array" ref="AC16">(SUM(_xlfn._xlws.FILTER(_xlfn._xlws.FILTER(dataGLBSCF,dataGLBSAcctIDs=$C16),(endDatesCF=AC$5)))-SUM(_xlfn._xlws.FILTER(_xlfn._xlws.FILTER(dataGLBSCF,dataGLBSAcctIDs=$C16),(startDatesCF=EDATE(AC$4,-1)))))*INDEX(PBC_ACCOUNT_LIST[Sign_for_total_cashflow],MATCH($C16,PBC_ACCOUNT_LIST[Id],0))</f>
        <v>-25000</v>
      </c>
      <c r="AD16" s="547" cm="1">
        <f t="array" ref="AD16">(SUM(_xlfn._xlws.FILTER(_xlfn._xlws.FILTER(dataGLBSCF,dataGLBSAcctIDs=$C16),(endDatesCF=AD$5)))-SUM(_xlfn._xlws.FILTER(_xlfn._xlws.FILTER(dataGLBSCF,dataGLBSAcctIDs=$C16),(startDatesCF=EDATE(AD$4,-1)))))*INDEX(PBC_ACCOUNT_LIST[Sign_for_total_cashflow],MATCH($C16,PBC_ACCOUNT_LIST[Id],0))</f>
        <v>0</v>
      </c>
      <c r="AE16" s="547" cm="1">
        <f t="array" ref="AE16">(SUM(_xlfn._xlws.FILTER(_xlfn._xlws.FILTER(dataGLBSCF,dataGLBSAcctIDs=$C16),(endDatesCF=AE$5)))-SUM(_xlfn._xlws.FILTER(_xlfn._xlws.FILTER(dataGLBSCF,dataGLBSAcctIDs=$C16),(startDatesCF=EDATE(AE$4,-1)))))*INDEX(PBC_ACCOUNT_LIST[Sign_for_total_cashflow],MATCH($C16,PBC_ACCOUNT_LIST[Id],0))</f>
        <v>0</v>
      </c>
      <c r="AF16" s="547" cm="1">
        <f t="array" ref="AF16">(SUM(_xlfn._xlws.FILTER(_xlfn._xlws.FILTER(dataGLBSCF,dataGLBSAcctIDs=$C16),(endDatesCF=AF$5)))-SUM(_xlfn._xlws.FILTER(_xlfn._xlws.FILTER(dataGLBSCF,dataGLBSAcctIDs=$C16),(startDatesCF=EDATE(AF$4,-1)))))*INDEX(PBC_ACCOUNT_LIST[Sign_for_total_cashflow],MATCH($C16,PBC_ACCOUNT_LIST[Id],0))</f>
        <v>0</v>
      </c>
      <c r="AG16" s="547" cm="1">
        <f t="array" ref="AG16">(SUM(_xlfn._xlws.FILTER(_xlfn._xlws.FILTER(dataGLBSCF,dataGLBSAcctIDs=$C16),(endDatesCF=AG$5)))-SUM(_xlfn._xlws.FILTER(_xlfn._xlws.FILTER(dataGLBSCF,dataGLBSAcctIDs=$C16),(startDatesCF=EDATE(AG$4,-1)))))*INDEX(PBC_ACCOUNT_LIST[Sign_for_total_cashflow],MATCH($C16,PBC_ACCOUNT_LIST[Id],0))</f>
        <v>0</v>
      </c>
      <c r="AH16" s="547" cm="1">
        <f t="array" ref="AH16">(SUM(_xlfn._xlws.FILTER(_xlfn._xlws.FILTER(dataGLBSCF,dataGLBSAcctIDs=$C16),(endDatesCF=AH$5)))-SUM(_xlfn._xlws.FILTER(_xlfn._xlws.FILTER(dataGLBSCF,dataGLBSAcctIDs=$C16),(startDatesCF=EDATE(AH$4,-1)))))*INDEX(PBC_ACCOUNT_LIST[Sign_for_total_cashflow],MATCH($C16,PBC_ACCOUNT_LIST[Id],0))</f>
        <v>0</v>
      </c>
      <c r="AI16" s="547" cm="1">
        <f t="array" ref="AI16">(SUM(_xlfn._xlws.FILTER(_xlfn._xlws.FILTER(dataGLBSCF,dataGLBSAcctIDs=$C16),(endDatesCF=AI$5)))-SUM(_xlfn._xlws.FILTER(_xlfn._xlws.FILTER(dataGLBSCF,dataGLBSAcctIDs=$C16),(startDatesCF=EDATE(AI$4,-1)))))*INDEX(PBC_ACCOUNT_LIST[Sign_for_total_cashflow],MATCH($C16,PBC_ACCOUNT_LIST[Id],0))</f>
        <v>0</v>
      </c>
      <c r="AJ16" s="547" cm="1">
        <f t="array" ref="AJ16">(SUM(_xlfn._xlws.FILTER(_xlfn._xlws.FILTER(dataGLBSCF,dataGLBSAcctIDs=$C16),(endDatesCF=AJ$5)))-SUM(_xlfn._xlws.FILTER(_xlfn._xlws.FILTER(dataGLBSCF,dataGLBSAcctIDs=$C16),(startDatesCF=EDATE(AJ$4,-1)))))*INDEX(PBC_ACCOUNT_LIST[Sign_for_total_cashflow],MATCH($C16,PBC_ACCOUNT_LIST[Id],0))</f>
        <v>0</v>
      </c>
      <c r="AK16" s="547" cm="1">
        <f t="array" ref="AK16">(SUM(_xlfn._xlws.FILTER(_xlfn._xlws.FILTER(dataGLBSCF,dataGLBSAcctIDs=$C16),(endDatesCF=AK$5)))-SUM(_xlfn._xlws.FILTER(_xlfn._xlws.FILTER(dataGLBSCF,dataGLBSAcctIDs=$C16),(startDatesCF=EDATE(AK$4,-1)))))*INDEX(PBC_ACCOUNT_LIST[Sign_for_total_cashflow],MATCH($C16,PBC_ACCOUNT_LIST[Id],0))</f>
        <v>0</v>
      </c>
      <c r="AL16" s="547" cm="1">
        <f t="array" ref="AL16">(SUM(_xlfn._xlws.FILTER(_xlfn._xlws.FILTER(dataGLBSCF,dataGLBSAcctIDs=$C16),(endDatesCF=AL$5)))-SUM(_xlfn._xlws.FILTER(_xlfn._xlws.FILTER(dataGLBSCF,dataGLBSAcctIDs=$C16),(startDatesCF=EDATE(AL$4,-1)))))*INDEX(PBC_ACCOUNT_LIST[Sign_for_total_cashflow],MATCH($C16,PBC_ACCOUNT_LIST[Id],0))</f>
        <v>0</v>
      </c>
      <c r="AM16" s="547" cm="1">
        <f t="array" ref="AM16">(SUM(_xlfn._xlws.FILTER(_xlfn._xlws.FILTER(dataGLBSCF,dataGLBSAcctIDs=$C16),(endDatesCF=AM$5)))-SUM(_xlfn._xlws.FILTER(_xlfn._xlws.FILTER(dataGLBSCF,dataGLBSAcctIDs=$C16),(startDatesCF=EDATE(AM$4,-1)))))*INDEX(PBC_ACCOUNT_LIST[Sign_for_total_cashflow],MATCH($C16,PBC_ACCOUNT_LIST[Id],0))</f>
        <v>0</v>
      </c>
      <c r="AN16" s="547" cm="1">
        <f t="array" ref="AN16">(SUM(_xlfn._xlws.FILTER(_xlfn._xlws.FILTER(dataGLBSCF,dataGLBSAcctIDs=$C16),(endDatesCF=AN$5)))-SUM(_xlfn._xlws.FILTER(_xlfn._xlws.FILTER(dataGLBSCF,dataGLBSAcctIDs=$C16),(startDatesCF=EDATE(AN$4,-1)))))*INDEX(PBC_ACCOUNT_LIST[Sign_for_total_cashflow],MATCH($C16,PBC_ACCOUNT_LIST[Id],0))</f>
        <v>0</v>
      </c>
      <c r="AO16" s="547" cm="1">
        <f t="array" ref="AO16">(SUM(_xlfn._xlws.FILTER(_xlfn._xlws.FILTER(dataGLBSCF,dataGLBSAcctIDs=$C16),(endDatesCF=AO$5)))-SUM(_xlfn._xlws.FILTER(_xlfn._xlws.FILTER(dataGLBSCF,dataGLBSAcctIDs=$C16),(startDatesCF=EDATE(AO$4,-1)))))*INDEX(PBC_ACCOUNT_LIST[Sign_for_total_cashflow],MATCH($C16,PBC_ACCOUNT_LIST[Id],0))</f>
        <v>0</v>
      </c>
      <c r="AP16" s="547" cm="1">
        <f t="array" ref="AP16">(SUM(_xlfn._xlws.FILTER(_xlfn._xlws.FILTER(dataGLBSCF,dataGLBSAcctIDs=$C16),(endDatesCF=AP$5)))-SUM(_xlfn._xlws.FILTER(_xlfn._xlws.FILTER(dataGLBSCF,dataGLBSAcctIDs=$C16),(startDatesCF=EDATE(AP$4,-1)))))*INDEX(PBC_ACCOUNT_LIST[Sign_for_total_cashflow],MATCH($C16,PBC_ACCOUNT_LIST[Id],0))</f>
        <v>0</v>
      </c>
      <c r="AQ16" s="547" cm="1">
        <f t="array" ref="AQ16">(SUM(_xlfn._xlws.FILTER(_xlfn._xlws.FILTER(dataGLBSCF,dataGLBSAcctIDs=$C16),(endDatesCF=AQ$5)))-SUM(_xlfn._xlws.FILTER(_xlfn._xlws.FILTER(dataGLBSCF,dataGLBSAcctIDs=$C16),(startDatesCF=EDATE(AQ$4,-1)))))*INDEX(PBC_ACCOUNT_LIST[Sign_for_total_cashflow],MATCH($C16,PBC_ACCOUNT_LIST[Id],0))</f>
        <v>0</v>
      </c>
      <c r="AR16" s="547" cm="1">
        <f t="array" ref="AR16">(SUM(_xlfn._xlws.FILTER(_xlfn._xlws.FILTER(dataGLBSCF,dataGLBSAcctIDs=$C16),(endDatesCF=AR$5)))-SUM(_xlfn._xlws.FILTER(_xlfn._xlws.FILTER(dataGLBSCF,dataGLBSAcctIDs=$C16),(startDatesCF=EDATE(AR$4,-1)))))*INDEX(PBC_ACCOUNT_LIST[Sign_for_total_cashflow],MATCH($C16,PBC_ACCOUNT_LIST[Id],0))</f>
        <v>0</v>
      </c>
      <c r="AS16" s="547" cm="1">
        <f t="array" ref="AS16">(SUM(_xlfn._xlws.FILTER(_xlfn._xlws.FILTER(dataGLBSCF,dataGLBSAcctIDs=$C16),(endDatesCF=AS$5)))-SUM(_xlfn._xlws.FILTER(_xlfn._xlws.FILTER(dataGLBSCF,dataGLBSAcctIDs=$C16),(startDatesCF=EDATE(AS$4,-1)))))*INDEX(PBC_ACCOUNT_LIST[Sign_for_total_cashflow],MATCH($C16,PBC_ACCOUNT_LIST[Id],0))</f>
        <v>0</v>
      </c>
      <c r="AT16" s="547" cm="1">
        <f t="array" ref="AT16">(SUM(_xlfn._xlws.FILTER(_xlfn._xlws.FILTER(dataGLBSCF,dataGLBSAcctIDs=$C16),(endDatesCF=AT$5)))-SUM(_xlfn._xlws.FILTER(_xlfn._xlws.FILTER(dataGLBSCF,dataGLBSAcctIDs=$C16),(startDatesCF=EDATE(AT$4,-1)))))*INDEX(PBC_ACCOUNT_LIST[Sign_for_total_cashflow],MATCH($C16,PBC_ACCOUNT_LIST[Id],0))</f>
        <v>0</v>
      </c>
      <c r="AU16" s="547" cm="1">
        <f t="array" ref="AU16">(SUM(_xlfn._xlws.FILTER(_xlfn._xlws.FILTER(dataGLBSCF,dataGLBSAcctIDs=$C16),(endDatesCF=AU$5)))-SUM(_xlfn._xlws.FILTER(_xlfn._xlws.FILTER(dataGLBSCF,dataGLBSAcctIDs=$C16),(startDatesCF=EDATE(AU$4,-1)))))*INDEX(PBC_ACCOUNT_LIST[Sign_for_total_cashflow],MATCH($C16,PBC_ACCOUNT_LIST[Id],0))</f>
        <v>0</v>
      </c>
      <c r="AV16" s="547" cm="1">
        <f t="array" ref="AV16">(SUM(_xlfn._xlws.FILTER(_xlfn._xlws.FILTER(dataGLBSCF,dataGLBSAcctIDs=$C16),(endDatesCF=AV$5)))-SUM(_xlfn._xlws.FILTER(_xlfn._xlws.FILTER(dataGLBSCF,dataGLBSAcctIDs=$C16),(startDatesCF=EDATE(AV$4,-1)))))*INDEX(PBC_ACCOUNT_LIST[Sign_for_total_cashflow],MATCH($C16,PBC_ACCOUNT_LIST[Id],0))</f>
        <v>0</v>
      </c>
      <c r="AW16" s="547" cm="1">
        <f t="array" ref="AW16">(SUM(_xlfn._xlws.FILTER(_xlfn._xlws.FILTER(dataGLBSCF,dataGLBSAcctIDs=$C16),(endDatesCF=AW$5)))-SUM(_xlfn._xlws.FILTER(_xlfn._xlws.FILTER(dataGLBSCF,dataGLBSAcctIDs=$C16),(startDatesCF=EDATE(AW$4,-1)))))*INDEX(PBC_ACCOUNT_LIST[Sign_for_total_cashflow],MATCH($C16,PBC_ACCOUNT_LIST[Id],0))</f>
        <v>0</v>
      </c>
      <c r="AX16" s="547" cm="1">
        <f t="array" ref="AX16">(SUM(_xlfn._xlws.FILTER(_xlfn._xlws.FILTER(dataGLBSCF,dataGLBSAcctIDs=$C16),(endDatesCF=AX$5)))-SUM(_xlfn._xlws.FILTER(_xlfn._xlws.FILTER(dataGLBSCF,dataGLBSAcctIDs=$C16),(startDatesCF=EDATE(AX$4,-1)))))*INDEX(PBC_ACCOUNT_LIST[Sign_for_total_cashflow],MATCH($C16,PBC_ACCOUNT_LIST[Id],0))</f>
        <v>0</v>
      </c>
      <c r="AY16" s="547" cm="1">
        <f t="array" ref="AY16">(SUM(_xlfn._xlws.FILTER(_xlfn._xlws.FILTER(dataGLBSCF,dataGLBSAcctIDs=$C16),(endDatesCF=AY$5)))-SUM(_xlfn._xlws.FILTER(_xlfn._xlws.FILTER(dataGLBSCF,dataGLBSAcctIDs=$C16),(startDatesCF=EDATE(AY$4,-1)))))*INDEX(PBC_ACCOUNT_LIST[Sign_for_total_cashflow],MATCH($C16,PBC_ACCOUNT_LIST[Id],0))</f>
        <v>0</v>
      </c>
      <c r="AZ16" s="547" cm="1">
        <f t="array" ref="AZ16">(SUM(_xlfn._xlws.FILTER(_xlfn._xlws.FILTER(dataGLBSCF,dataGLBSAcctIDs=$C16),(endDatesCF=AZ$5)))-SUM(_xlfn._xlws.FILTER(_xlfn._xlws.FILTER(dataGLBSCF,dataGLBSAcctIDs=$C16),(startDatesCF=EDATE(AZ$4,-1)))))*INDEX(PBC_ACCOUNT_LIST[Sign_for_total_cashflow],MATCH($C16,PBC_ACCOUNT_LIST[Id],0))</f>
        <v>0</v>
      </c>
      <c r="BA16" s="547" cm="1">
        <f t="array" ref="BA16">(SUM(_xlfn._xlws.FILTER(_xlfn._xlws.FILTER(dataGLBSCF,dataGLBSAcctIDs=$C16),(endDatesCF=BA$5)))-SUM(_xlfn._xlws.FILTER(_xlfn._xlws.FILTER(dataGLBSCF,dataGLBSAcctIDs=$C16),(startDatesCF=EDATE(BA$4,-1)))))*INDEX(PBC_ACCOUNT_LIST[Sign_for_total_cashflow],MATCH($C16,PBC_ACCOUNT_LIST[Id],0))</f>
        <v>0</v>
      </c>
      <c r="BB16" s="547" cm="1">
        <f t="array" ref="BB16">(SUM(_xlfn._xlws.FILTER(_xlfn._xlws.FILTER(dataGLBSCF,dataGLBSAcctIDs=$C16),(endDatesCF=BB$5)))-SUM(_xlfn._xlws.FILTER(_xlfn._xlws.FILTER(dataGLBSCF,dataGLBSAcctIDs=$C16),(startDatesCF=EDATE(BB$4,-1)))))*INDEX(PBC_ACCOUNT_LIST[Sign_for_total_cashflow],MATCH($C16,PBC_ACCOUNT_LIST[Id],0))</f>
        <v>0</v>
      </c>
      <c r="BC16" s="547" cm="1">
        <f t="array" ref="BC16">(SUM(_xlfn._xlws.FILTER(_xlfn._xlws.FILTER(dataGLBSCF,dataGLBSAcctIDs=$C16),(endDatesCF=BC$5)))-SUM(_xlfn._xlws.FILTER(_xlfn._xlws.FILTER(dataGLBSCF,dataGLBSAcctIDs=$C16),(startDatesCF=EDATE(BC$4,-1)))))*INDEX(PBC_ACCOUNT_LIST[Sign_for_total_cashflow],MATCH($C16,PBC_ACCOUNT_LIST[Id],0))</f>
        <v>0</v>
      </c>
      <c r="BD16" s="547" cm="1">
        <f t="array" ref="BD16">(SUM(_xlfn._xlws.FILTER(_xlfn._xlws.FILTER(dataGLBSCF,dataGLBSAcctIDs=$C16),(endDatesCF=BD$5)))-SUM(_xlfn._xlws.FILTER(_xlfn._xlws.FILTER(dataGLBSCF,dataGLBSAcctIDs=$C16),(startDatesCF=EDATE(BD$4,-1)))))*INDEX(PBC_ACCOUNT_LIST[Sign_for_total_cashflow],MATCH($C16,PBC_ACCOUNT_LIST[Id],0))</f>
        <v>0</v>
      </c>
      <c r="BE16" s="547" cm="1">
        <f t="array" ref="BE16">(SUM(_xlfn._xlws.FILTER(_xlfn._xlws.FILTER(dataGLBSCF,dataGLBSAcctIDs=$C16),(endDatesCF=BE$5)))-SUM(_xlfn._xlws.FILTER(_xlfn._xlws.FILTER(dataGLBSCF,dataGLBSAcctIDs=$C16),(startDatesCF=EDATE(BE$4,-1)))))*INDEX(PBC_ACCOUNT_LIST[Sign_for_total_cashflow],MATCH($C16,PBC_ACCOUNT_LIST[Id],0))</f>
        <v>0</v>
      </c>
      <c r="BF16" s="547" cm="1">
        <f t="array" ref="BF16">(SUM(_xlfn._xlws.FILTER(_xlfn._xlws.FILTER(dataGLBSCF,dataGLBSAcctIDs=$C16),(endDatesCF=BF$5)))-SUM(_xlfn._xlws.FILTER(_xlfn._xlws.FILTER(dataGLBSCF,dataGLBSAcctIDs=$C16),(startDatesCF=EDATE(BF$4,-1)))))*INDEX(PBC_ACCOUNT_LIST[Sign_for_total_cashflow],MATCH($C16,PBC_ACCOUNT_LIST[Id],0))</f>
        <v>0</v>
      </c>
      <c r="BG16" s="547" cm="1">
        <f t="array" ref="BG16">(SUM(_xlfn._xlws.FILTER(_xlfn._xlws.FILTER(dataGLBSCF,dataGLBSAcctIDs=$C16),(endDatesCF=BG$5)))-SUM(_xlfn._xlws.FILTER(_xlfn._xlws.FILTER(dataGLBSCF,dataGLBSAcctIDs=$C16),(startDatesCF=EDATE(BG$4,-1)))))*INDEX(PBC_ACCOUNT_LIST[Sign_for_total_cashflow],MATCH($C16,PBC_ACCOUNT_LIST[Id],0))</f>
        <v>0</v>
      </c>
      <c r="BH16" s="547" cm="1">
        <f t="array" ref="BH16">(SUM(_xlfn._xlws.FILTER(_xlfn._xlws.FILTER(dataGLBSCF,dataGLBSAcctIDs=$C16),(endDatesCF=BH$5)))-SUM(_xlfn._xlws.FILTER(_xlfn._xlws.FILTER(dataGLBSCF,dataGLBSAcctIDs=$C16),(startDatesCF=EDATE(BH$4,-1)))))*INDEX(PBC_ACCOUNT_LIST[Sign_for_total_cashflow],MATCH($C16,PBC_ACCOUNT_LIST[Id],0))</f>
        <v>0</v>
      </c>
      <c r="BI16" s="547" cm="1">
        <f t="array" ref="BI16">(SUM(_xlfn._xlws.FILTER(_xlfn._xlws.FILTER(dataGLBSCF,dataGLBSAcctIDs=$C16),(endDatesCF=BI$5)))-SUM(_xlfn._xlws.FILTER(_xlfn._xlws.FILTER(dataGLBSCF,dataGLBSAcctIDs=$C16),(startDatesCF=EDATE(BI$4,-1)))))*INDEX(PBC_ACCOUNT_LIST[Sign_for_total_cashflow],MATCH($C16,PBC_ACCOUNT_LIST[Id],0))</f>
        <v>0</v>
      </c>
      <c r="BJ16" s="547" cm="1">
        <f t="array" ref="BJ16">(SUM(_xlfn._xlws.FILTER(_xlfn._xlws.FILTER(dataGLBSCF,dataGLBSAcctIDs=$C16),(endDatesCF=BJ$5)))-SUM(_xlfn._xlws.FILTER(_xlfn._xlws.FILTER(dataGLBSCF,dataGLBSAcctIDs=$C16),(startDatesCF=EDATE(BJ$4,-1)))))*INDEX(PBC_ACCOUNT_LIST[Sign_for_total_cashflow],MATCH($C16,PBC_ACCOUNT_LIST[Id],0))</f>
        <v>0</v>
      </c>
      <c r="BK16" s="547" cm="1">
        <f t="array" ref="BK16">(SUM(_xlfn._xlws.FILTER(_xlfn._xlws.FILTER(dataGLBSCF,dataGLBSAcctIDs=$C16),(endDatesCF=BK$5)))-SUM(_xlfn._xlws.FILTER(_xlfn._xlws.FILTER(dataGLBSCF,dataGLBSAcctIDs=$C16),(startDatesCF=EDATE(BK$4,-1)))))*INDEX(PBC_ACCOUNT_LIST[Sign_for_total_cashflow],MATCH($C16,PBC_ACCOUNT_LIST[Id],0))</f>
        <v>0</v>
      </c>
      <c r="BL16" s="547" cm="1">
        <f t="array" ref="BL16">(SUM(_xlfn._xlws.FILTER(_xlfn._xlws.FILTER(dataGLBSCF,dataGLBSAcctIDs=$C16),(endDatesCF=BL$5)))-SUM(_xlfn._xlws.FILTER(_xlfn._xlws.FILTER(dataGLBSCF,dataGLBSAcctIDs=$C16),(startDatesCF=EDATE(BL$4,-1)))))*INDEX(PBC_ACCOUNT_LIST[Sign_for_total_cashflow],MATCH($C16,PBC_ACCOUNT_LIST[Id],0))</f>
        <v>0</v>
      </c>
      <c r="BM16" s="547" cm="1">
        <f t="array" ref="BM16">(SUM(_xlfn._xlws.FILTER(_xlfn._xlws.FILTER(dataGLBSCF,dataGLBSAcctIDs=$C16),(endDatesCF=BM$5)))-SUM(_xlfn._xlws.FILTER(_xlfn._xlws.FILTER(dataGLBSCF,dataGLBSAcctIDs=$C16),(startDatesCF=EDATE(BM$4,-1)))))*INDEX(PBC_ACCOUNT_LIST[Sign_for_total_cashflow],MATCH($C16,PBC_ACCOUNT_LIST[Id],0))</f>
        <v>0</v>
      </c>
      <c r="BN16" s="547" cm="1">
        <f t="array" ref="BN16">(SUM(_xlfn._xlws.FILTER(_xlfn._xlws.FILTER(dataGLBSCF,dataGLBSAcctIDs=$C16),(endDatesCF=BN$5)))-SUM(_xlfn._xlws.FILTER(_xlfn._xlws.FILTER(dataGLBSCF,dataGLBSAcctIDs=$C16),(startDatesCF=EDATE(BN$4,-1)))))*INDEX(PBC_ACCOUNT_LIST[Sign_for_total_cashflow],MATCH($C16,PBC_ACCOUNT_LIST[Id],0))</f>
        <v>0</v>
      </c>
      <c r="BO16" s="547" cm="1">
        <f t="array" ref="BO16">(SUM(_xlfn._xlws.FILTER(_xlfn._xlws.FILTER(dataGLBSCF,dataGLBSAcctIDs=$C16),(endDatesCF=BO$5)))-SUM(_xlfn._xlws.FILTER(_xlfn._xlws.FILTER(dataGLBSCF,dataGLBSAcctIDs=$C16),(startDatesCF=EDATE(BO$4,-1)))))*INDEX(PBC_ACCOUNT_LIST[Sign_for_total_cashflow],MATCH($C16,PBC_ACCOUNT_LIST[Id],0))</f>
        <v>0</v>
      </c>
      <c r="BP16" s="547" cm="1">
        <f t="array" ref="BP16">(SUM(_xlfn._xlws.FILTER(_xlfn._xlws.FILTER(dataGLBSCF,dataGLBSAcctIDs=$C16),(endDatesCF=BP$5)))-SUM(_xlfn._xlws.FILTER(_xlfn._xlws.FILTER(dataGLBSCF,dataGLBSAcctIDs=$C16),(startDatesCF=EDATE(BP$4,-1)))))*INDEX(PBC_ACCOUNT_LIST[Sign_for_total_cashflow],MATCH($C16,PBC_ACCOUNT_LIST[Id],0))</f>
        <v>0</v>
      </c>
      <c r="BQ16" s="547" cm="1">
        <f t="array" ref="BQ16">(SUM(_xlfn._xlws.FILTER(_xlfn._xlws.FILTER(dataGLBSCF,dataGLBSAcctIDs=$C16),(endDatesCF=BQ$5)))-SUM(_xlfn._xlws.FILTER(_xlfn._xlws.FILTER(dataGLBSCF,dataGLBSAcctIDs=$C16),(startDatesCF=EDATE(BQ$4,-1)))))*INDEX(PBC_ACCOUNT_LIST[Sign_for_total_cashflow],MATCH($C16,PBC_ACCOUNT_LIST[Id],0))</f>
        <v>0</v>
      </c>
      <c r="BR16" s="547" cm="1">
        <f t="array" ref="BR16">(SUM(_xlfn._xlws.FILTER(_xlfn._xlws.FILTER(dataGLBSCF,dataGLBSAcctIDs=$C16),(endDatesCF=BR$5)))-SUM(_xlfn._xlws.FILTER(_xlfn._xlws.FILTER(dataGLBSCF,dataGLBSAcctIDs=$C16),(startDatesCF=EDATE(BR$4,-1)))))*INDEX(PBC_ACCOUNT_LIST[Sign_for_total_cashflow],MATCH($C16,PBC_ACCOUNT_LIST[Id],0))</f>
        <v>0</v>
      </c>
      <c r="BS16" s="547" cm="1">
        <f t="array" ref="BS16">(SUM(_xlfn._xlws.FILTER(_xlfn._xlws.FILTER(dataGLBSCF,dataGLBSAcctIDs=$C16),(endDatesCF=BS$5)))-SUM(_xlfn._xlws.FILTER(_xlfn._xlws.FILTER(dataGLBSCF,dataGLBSAcctIDs=$C16),(startDatesCF=EDATE(BS$4,-1)))))*INDEX(PBC_ACCOUNT_LIST[Sign_for_total_cashflow],MATCH($C16,PBC_ACCOUNT_LIST[Id],0))</f>
        <v>0</v>
      </c>
      <c r="BT16" s="547" cm="1">
        <f t="array" ref="BT16">(SUM(_xlfn._xlws.FILTER(_xlfn._xlws.FILTER(dataGLBSCF,dataGLBSAcctIDs=$C16),(endDatesCF=BT$5)))-SUM(_xlfn._xlws.FILTER(_xlfn._xlws.FILTER(dataGLBSCF,dataGLBSAcctIDs=$C16),(startDatesCF=EDATE(BT$4,-1)))))*INDEX(PBC_ACCOUNT_LIST[Sign_for_total_cashflow],MATCH($C16,PBC_ACCOUNT_LIST[Id],0))</f>
        <v>0</v>
      </c>
      <c r="BU16" s="547" cm="1">
        <f t="array" ref="BU16">(SUM(_xlfn._xlws.FILTER(_xlfn._xlws.FILTER(dataGLBSCF,dataGLBSAcctIDs=$C16),(endDatesCF=BU$5)))-SUM(_xlfn._xlws.FILTER(_xlfn._xlws.FILTER(dataGLBSCF,dataGLBSAcctIDs=$C16),(startDatesCF=EDATE(BU$4,-1)))))*INDEX(PBC_ACCOUNT_LIST[Sign_for_total_cashflow],MATCH($C16,PBC_ACCOUNT_LIST[Id],0))</f>
        <v>0</v>
      </c>
      <c r="BV16" s="547" cm="1">
        <f t="array" ref="BV16">(SUM(_xlfn._xlws.FILTER(_xlfn._xlws.FILTER(dataGLBSCF,dataGLBSAcctIDs=$C16),(endDatesCF=BV$5)))-SUM(_xlfn._xlws.FILTER(_xlfn._xlws.FILTER(dataGLBSCF,dataGLBSAcctIDs=$C16),(startDatesCF=EDATE(BV$4,-1)))))*INDEX(PBC_ACCOUNT_LIST[Sign_for_total_cashflow],MATCH($C16,PBC_ACCOUNT_LIST[Id],0))</f>
        <v>0</v>
      </c>
      <c r="BW16" s="547" cm="1">
        <f t="array" ref="BW16">(SUM(_xlfn._xlws.FILTER(_xlfn._xlws.FILTER(dataGLBSCF,dataGLBSAcctIDs=$C16),(endDatesCF=BW$5)))-SUM(_xlfn._xlws.FILTER(_xlfn._xlws.FILTER(dataGLBSCF,dataGLBSAcctIDs=$C16),(startDatesCF=EDATE(BW$4,-1)))))*INDEX(PBC_ACCOUNT_LIST[Sign_for_total_cashflow],MATCH($C16,PBC_ACCOUNT_LIST[Id],0))</f>
        <v>0</v>
      </c>
      <c r="BX16" s="547" cm="1">
        <f t="array" ref="BX16">(SUM(_xlfn._xlws.FILTER(_xlfn._xlws.FILTER(dataGLBSCF,dataGLBSAcctIDs=$C16),(endDatesCF=BX$5)))-SUM(_xlfn._xlws.FILTER(_xlfn._xlws.FILTER(dataGLBSCF,dataGLBSAcctIDs=$C16),(startDatesCF=EDATE(BX$4,-1)))))*INDEX(PBC_ACCOUNT_LIST[Sign_for_total_cashflow],MATCH($C16,PBC_ACCOUNT_LIST[Id],0))</f>
        <v>0</v>
      </c>
    </row>
    <row r="17" spans="1:92" customFormat="1" ht="21" customHeight="1">
      <c r="B17" s="685" t="s">
        <v>284</v>
      </c>
      <c r="C17">
        <v>151</v>
      </c>
      <c r="E17" s="547" cm="1">
        <f t="array" ref="E17">(SUM(_xlfn._xlws.FILTER(_xlfn._xlws.FILTER(dataGLBSCF,dataGLBSAcctIDs=$C17),(endDatesCF=E$5)))-SUM(_xlfn._xlws.FILTER(_xlfn._xlws.FILTER(dataGLBSCF,dataGLBSAcctIDs=$C17),(startDatesCF=EDATE(E$4,-1)))))*INDEX(PBC_ACCOUNT_LIST[Sign_for_total_cashflow],MATCH($C17,PBC_ACCOUNT_LIST[Id],0))</f>
        <v>0</v>
      </c>
      <c r="F17" s="547" cm="1">
        <f t="array" ref="F17">(SUM(_xlfn._xlws.FILTER(_xlfn._xlws.FILTER(dataGLBSCF,dataGLBSAcctIDs=$C17),(endDatesCF=F$5)))-SUM(_xlfn._xlws.FILTER(_xlfn._xlws.FILTER(dataGLBSCF,dataGLBSAcctIDs=$C17),(startDatesCF=EDATE(F$4,-1)))))*INDEX(PBC_ACCOUNT_LIST[Sign_for_total_cashflow],MATCH($C17,PBC_ACCOUNT_LIST[Id],0))</f>
        <v>0</v>
      </c>
      <c r="G17" s="547" cm="1">
        <f t="array" ref="G17">(SUM(_xlfn._xlws.FILTER(_xlfn._xlws.FILTER(dataGLBSCF,dataGLBSAcctIDs=$C17),(endDatesCF=G$5)))-SUM(_xlfn._xlws.FILTER(_xlfn._xlws.FILTER(dataGLBSCF,dataGLBSAcctIDs=$C17),(startDatesCF=EDATE(G$4,-1)))))*INDEX(PBC_ACCOUNT_LIST[Sign_for_total_cashflow],MATCH($C17,PBC_ACCOUNT_LIST[Id],0))</f>
        <v>0</v>
      </c>
      <c r="H17" s="547" cm="1">
        <f t="array" ref="H17">(SUM(_xlfn._xlws.FILTER(_xlfn._xlws.FILTER(dataGLBSCF,dataGLBSAcctIDs=$C17),(endDatesCF=H$5)))-SUM(_xlfn._xlws.FILTER(_xlfn._xlws.FILTER(dataGLBSCF,dataGLBSAcctIDs=$C17),(startDatesCF=EDATE(H$4,-1)))))*INDEX(PBC_ACCOUNT_LIST[Sign_for_total_cashflow],MATCH($C17,PBC_ACCOUNT_LIST[Id],0))</f>
        <v>0</v>
      </c>
      <c r="K17" s="547" cm="1">
        <f t="array" ref="K17">(SUM(_xlfn._xlws.FILTER(_xlfn._xlws.FILTER(dataGLBSCF,dataGLBSAcctIDs=$C17),(endDatesCF=K$5)))-SUM(_xlfn._xlws.FILTER(_xlfn._xlws.FILTER(dataGLBSCF,dataGLBSAcctIDs=$C17),(startDatesCF=EDATE(K$4,-1)))))*INDEX(PBC_ACCOUNT_LIST[Sign_for_total_cashflow],MATCH($C17,PBC_ACCOUNT_LIST[Id],0))</f>
        <v>0</v>
      </c>
      <c r="L17" s="547" cm="1">
        <f t="array" ref="L17">(SUM(_xlfn._xlws.FILTER(_xlfn._xlws.FILTER(dataGLBSCF,dataGLBSAcctIDs=$C17),(endDatesCF=L$5)))-SUM(_xlfn._xlws.FILTER(_xlfn._xlws.FILTER(dataGLBSCF,dataGLBSAcctIDs=$C17),(startDatesCF=EDATE(L$4,-1)))))*INDEX(PBC_ACCOUNT_LIST[Sign_for_total_cashflow],MATCH($C17,PBC_ACCOUNT_LIST[Id],0))</f>
        <v>0</v>
      </c>
      <c r="M17" s="547" cm="1">
        <f t="array" ref="M17">(SUM(_xlfn._xlws.FILTER(_xlfn._xlws.FILTER(dataGLBSCF,dataGLBSAcctIDs=$C17),(endDatesCF=M$5)))-SUM(_xlfn._xlws.FILTER(_xlfn._xlws.FILTER(dataGLBSCF,dataGLBSAcctIDs=$C17),(startDatesCF=EDATE(M$4,-1)))))*INDEX(PBC_ACCOUNT_LIST[Sign_for_total_cashflow],MATCH($C17,PBC_ACCOUNT_LIST[Id],0))</f>
        <v>0</v>
      </c>
      <c r="N17" s="547" cm="1">
        <f t="array" ref="N17">(SUM(_xlfn._xlws.FILTER(_xlfn._xlws.FILTER(dataGLBSCF,dataGLBSAcctIDs=$C17),(endDatesCF=N$5)))-SUM(_xlfn._xlws.FILTER(_xlfn._xlws.FILTER(dataGLBSCF,dataGLBSAcctIDs=$C17),(startDatesCF=EDATE(N$4,-1)))))*INDEX(PBC_ACCOUNT_LIST[Sign_for_total_cashflow],MATCH($C17,PBC_ACCOUNT_LIST[Id],0))</f>
        <v>0</v>
      </c>
      <c r="O17" s="547" cm="1">
        <f t="array" ref="O17">(SUM(_xlfn._xlws.FILTER(_xlfn._xlws.FILTER(dataGLBSCF,dataGLBSAcctIDs=$C17),(endDatesCF=O$5)))-SUM(_xlfn._xlws.FILTER(_xlfn._xlws.FILTER(dataGLBSCF,dataGLBSAcctIDs=$C17),(startDatesCF=EDATE(O$4,-1)))))*INDEX(PBC_ACCOUNT_LIST[Sign_for_total_cashflow],MATCH($C17,PBC_ACCOUNT_LIST[Id],0))</f>
        <v>0</v>
      </c>
      <c r="P17" s="547" cm="1">
        <f t="array" ref="P17">(SUM(_xlfn._xlws.FILTER(_xlfn._xlws.FILTER(dataGLBSCF,dataGLBSAcctIDs=$C17),(endDatesCF=P$5)))-SUM(_xlfn._xlws.FILTER(_xlfn._xlws.FILTER(dataGLBSCF,dataGLBSAcctIDs=$C17),(startDatesCF=EDATE(P$4,-1)))))*INDEX(PBC_ACCOUNT_LIST[Sign_for_total_cashflow],MATCH($C17,PBC_ACCOUNT_LIST[Id],0))</f>
        <v>0</v>
      </c>
      <c r="Q17" s="547" cm="1">
        <f t="array" ref="Q17">(SUM(_xlfn._xlws.FILTER(_xlfn._xlws.FILTER(dataGLBSCF,dataGLBSAcctIDs=$C17),(endDatesCF=Q$5)))-SUM(_xlfn._xlws.FILTER(_xlfn._xlws.FILTER(dataGLBSCF,dataGLBSAcctIDs=$C17),(startDatesCF=EDATE(Q$4,-1)))))*INDEX(PBC_ACCOUNT_LIST[Sign_for_total_cashflow],MATCH($C17,PBC_ACCOUNT_LIST[Id],0))</f>
        <v>0</v>
      </c>
      <c r="R17" s="547" cm="1">
        <f t="array" ref="R17">(SUM(_xlfn._xlws.FILTER(_xlfn._xlws.FILTER(dataGLBSCF,dataGLBSAcctIDs=$C17),(endDatesCF=R$5)))-SUM(_xlfn._xlws.FILTER(_xlfn._xlws.FILTER(dataGLBSCF,dataGLBSAcctIDs=$C17),(startDatesCF=EDATE(R$4,-1)))))*INDEX(PBC_ACCOUNT_LIST[Sign_for_total_cashflow],MATCH($C17,PBC_ACCOUNT_LIST[Id],0))</f>
        <v>0</v>
      </c>
      <c r="S17" s="547" cm="1">
        <f t="array" ref="S17">(SUM(_xlfn._xlws.FILTER(_xlfn._xlws.FILTER(dataGLBSCF,dataGLBSAcctIDs=$C17),(endDatesCF=S$5)))-SUM(_xlfn._xlws.FILTER(_xlfn._xlws.FILTER(dataGLBSCF,dataGLBSAcctIDs=$C17),(startDatesCF=EDATE(S$4,-1)))))*INDEX(PBC_ACCOUNT_LIST[Sign_for_total_cashflow],MATCH($C17,PBC_ACCOUNT_LIST[Id],0))</f>
        <v>0</v>
      </c>
      <c r="T17" s="547" cm="1">
        <f t="array" ref="T17">(SUM(_xlfn._xlws.FILTER(_xlfn._xlws.FILTER(dataGLBSCF,dataGLBSAcctIDs=$C17),(endDatesCF=T$5)))-SUM(_xlfn._xlws.FILTER(_xlfn._xlws.FILTER(dataGLBSCF,dataGLBSAcctIDs=$C17),(startDatesCF=EDATE(T$4,-1)))))*INDEX(PBC_ACCOUNT_LIST[Sign_for_total_cashflow],MATCH($C17,PBC_ACCOUNT_LIST[Id],0))</f>
        <v>0</v>
      </c>
      <c r="U17" s="547" cm="1">
        <f t="array" ref="U17">(SUM(_xlfn._xlws.FILTER(_xlfn._xlws.FILTER(dataGLBSCF,dataGLBSAcctIDs=$C17),(endDatesCF=U$5)))-SUM(_xlfn._xlws.FILTER(_xlfn._xlws.FILTER(dataGLBSCF,dataGLBSAcctIDs=$C17),(startDatesCF=EDATE(U$4,-1)))))*INDEX(PBC_ACCOUNT_LIST[Sign_for_total_cashflow],MATCH($C17,PBC_ACCOUNT_LIST[Id],0))</f>
        <v>0</v>
      </c>
      <c r="V17" s="547" cm="1">
        <f t="array" ref="V17">(SUM(_xlfn._xlws.FILTER(_xlfn._xlws.FILTER(dataGLBSCF,dataGLBSAcctIDs=$C17),(endDatesCF=V$5)))-SUM(_xlfn._xlws.FILTER(_xlfn._xlws.FILTER(dataGLBSCF,dataGLBSAcctIDs=$C17),(startDatesCF=EDATE(V$4,-1)))))*INDEX(PBC_ACCOUNT_LIST[Sign_for_total_cashflow],MATCH($C17,PBC_ACCOUNT_LIST[Id],0))</f>
        <v>0</v>
      </c>
      <c r="W17" s="547" cm="1">
        <f t="array" ref="W17">(SUM(_xlfn._xlws.FILTER(_xlfn._xlws.FILTER(dataGLBSCF,dataGLBSAcctIDs=$C17),(endDatesCF=W$5)))-SUM(_xlfn._xlws.FILTER(_xlfn._xlws.FILTER(dataGLBSCF,dataGLBSAcctIDs=$C17),(startDatesCF=EDATE(W$4,-1)))))*INDEX(PBC_ACCOUNT_LIST[Sign_for_total_cashflow],MATCH($C17,PBC_ACCOUNT_LIST[Id],0))</f>
        <v>0</v>
      </c>
      <c r="X17" s="547" cm="1">
        <f t="array" ref="X17">(SUM(_xlfn._xlws.FILTER(_xlfn._xlws.FILTER(dataGLBSCF,dataGLBSAcctIDs=$C17),(endDatesCF=X$5)))-SUM(_xlfn._xlws.FILTER(_xlfn._xlws.FILTER(dataGLBSCF,dataGLBSAcctIDs=$C17),(startDatesCF=EDATE(X$4,-1)))))*INDEX(PBC_ACCOUNT_LIST[Sign_for_total_cashflow],MATCH($C17,PBC_ACCOUNT_LIST[Id],0))</f>
        <v>0</v>
      </c>
      <c r="Y17" s="547" cm="1">
        <f t="array" ref="Y17">(SUM(_xlfn._xlws.FILTER(_xlfn._xlws.FILTER(dataGLBSCF,dataGLBSAcctIDs=$C17),(endDatesCF=Y$5)))-SUM(_xlfn._xlws.FILTER(_xlfn._xlws.FILTER(dataGLBSCF,dataGLBSAcctIDs=$C17),(startDatesCF=EDATE(Y$4,-1)))))*INDEX(PBC_ACCOUNT_LIST[Sign_for_total_cashflow],MATCH($C17,PBC_ACCOUNT_LIST[Id],0))</f>
        <v>0</v>
      </c>
      <c r="Z17" s="547" cm="1">
        <f t="array" ref="Z17">(SUM(_xlfn._xlws.FILTER(_xlfn._xlws.FILTER(dataGLBSCF,dataGLBSAcctIDs=$C17),(endDatesCF=Z$5)))-SUM(_xlfn._xlws.FILTER(_xlfn._xlws.FILTER(dataGLBSCF,dataGLBSAcctIDs=$C17),(startDatesCF=EDATE(Z$4,-1)))))*INDEX(PBC_ACCOUNT_LIST[Sign_for_total_cashflow],MATCH($C17,PBC_ACCOUNT_LIST[Id],0))</f>
        <v>0</v>
      </c>
      <c r="AC17" s="547" cm="1">
        <f t="array" ref="AC17">(SUM(_xlfn._xlws.FILTER(_xlfn._xlws.FILTER(dataGLBSCF,dataGLBSAcctIDs=$C17),(endDatesCF=AC$5)))-SUM(_xlfn._xlws.FILTER(_xlfn._xlws.FILTER(dataGLBSCF,dataGLBSAcctIDs=$C17),(startDatesCF=EDATE(AC$4,-1)))))*INDEX(PBC_ACCOUNT_LIST[Sign_for_total_cashflow],MATCH($C17,PBC_ACCOUNT_LIST[Id],0))</f>
        <v>0</v>
      </c>
      <c r="AD17" s="547" cm="1">
        <f t="array" ref="AD17">(SUM(_xlfn._xlws.FILTER(_xlfn._xlws.FILTER(dataGLBSCF,dataGLBSAcctIDs=$C17),(endDatesCF=AD$5)))-SUM(_xlfn._xlws.FILTER(_xlfn._xlws.FILTER(dataGLBSCF,dataGLBSAcctIDs=$C17),(startDatesCF=EDATE(AD$4,-1)))))*INDEX(PBC_ACCOUNT_LIST[Sign_for_total_cashflow],MATCH($C17,PBC_ACCOUNT_LIST[Id],0))</f>
        <v>0</v>
      </c>
      <c r="AE17" s="547" cm="1">
        <f t="array" ref="AE17">(SUM(_xlfn._xlws.FILTER(_xlfn._xlws.FILTER(dataGLBSCF,dataGLBSAcctIDs=$C17),(endDatesCF=AE$5)))-SUM(_xlfn._xlws.FILTER(_xlfn._xlws.FILTER(dataGLBSCF,dataGLBSAcctIDs=$C17),(startDatesCF=EDATE(AE$4,-1)))))*INDEX(PBC_ACCOUNT_LIST[Sign_for_total_cashflow],MATCH($C17,PBC_ACCOUNT_LIST[Id],0))</f>
        <v>0</v>
      </c>
      <c r="AF17" s="547" cm="1">
        <f t="array" ref="AF17">(SUM(_xlfn._xlws.FILTER(_xlfn._xlws.FILTER(dataGLBSCF,dataGLBSAcctIDs=$C17),(endDatesCF=AF$5)))-SUM(_xlfn._xlws.FILTER(_xlfn._xlws.FILTER(dataGLBSCF,dataGLBSAcctIDs=$C17),(startDatesCF=EDATE(AF$4,-1)))))*INDEX(PBC_ACCOUNT_LIST[Sign_for_total_cashflow],MATCH($C17,PBC_ACCOUNT_LIST[Id],0))</f>
        <v>0</v>
      </c>
      <c r="AG17" s="547" cm="1">
        <f t="array" ref="AG17">(SUM(_xlfn._xlws.FILTER(_xlfn._xlws.FILTER(dataGLBSCF,dataGLBSAcctIDs=$C17),(endDatesCF=AG$5)))-SUM(_xlfn._xlws.FILTER(_xlfn._xlws.FILTER(dataGLBSCF,dataGLBSAcctIDs=$C17),(startDatesCF=EDATE(AG$4,-1)))))*INDEX(PBC_ACCOUNT_LIST[Sign_for_total_cashflow],MATCH($C17,PBC_ACCOUNT_LIST[Id],0))</f>
        <v>0</v>
      </c>
      <c r="AH17" s="547" cm="1">
        <f t="array" ref="AH17">(SUM(_xlfn._xlws.FILTER(_xlfn._xlws.FILTER(dataGLBSCF,dataGLBSAcctIDs=$C17),(endDatesCF=AH$5)))-SUM(_xlfn._xlws.FILTER(_xlfn._xlws.FILTER(dataGLBSCF,dataGLBSAcctIDs=$C17),(startDatesCF=EDATE(AH$4,-1)))))*INDEX(PBC_ACCOUNT_LIST[Sign_for_total_cashflow],MATCH($C17,PBC_ACCOUNT_LIST[Id],0))</f>
        <v>0</v>
      </c>
      <c r="AI17" s="547" cm="1">
        <f t="array" ref="AI17">(SUM(_xlfn._xlws.FILTER(_xlfn._xlws.FILTER(dataGLBSCF,dataGLBSAcctIDs=$C17),(endDatesCF=AI$5)))-SUM(_xlfn._xlws.FILTER(_xlfn._xlws.FILTER(dataGLBSCF,dataGLBSAcctIDs=$C17),(startDatesCF=EDATE(AI$4,-1)))))*INDEX(PBC_ACCOUNT_LIST[Sign_for_total_cashflow],MATCH($C17,PBC_ACCOUNT_LIST[Id],0))</f>
        <v>0</v>
      </c>
      <c r="AJ17" s="547" cm="1">
        <f t="array" ref="AJ17">(SUM(_xlfn._xlws.FILTER(_xlfn._xlws.FILTER(dataGLBSCF,dataGLBSAcctIDs=$C17),(endDatesCF=AJ$5)))-SUM(_xlfn._xlws.FILTER(_xlfn._xlws.FILTER(dataGLBSCF,dataGLBSAcctIDs=$C17),(startDatesCF=EDATE(AJ$4,-1)))))*INDEX(PBC_ACCOUNT_LIST[Sign_for_total_cashflow],MATCH($C17,PBC_ACCOUNT_LIST[Id],0))</f>
        <v>0</v>
      </c>
      <c r="AK17" s="547" cm="1">
        <f t="array" ref="AK17">(SUM(_xlfn._xlws.FILTER(_xlfn._xlws.FILTER(dataGLBSCF,dataGLBSAcctIDs=$C17),(endDatesCF=AK$5)))-SUM(_xlfn._xlws.FILTER(_xlfn._xlws.FILTER(dataGLBSCF,dataGLBSAcctIDs=$C17),(startDatesCF=EDATE(AK$4,-1)))))*INDEX(PBC_ACCOUNT_LIST[Sign_for_total_cashflow],MATCH($C17,PBC_ACCOUNT_LIST[Id],0))</f>
        <v>0</v>
      </c>
      <c r="AL17" s="547" cm="1">
        <f t="array" ref="AL17">(SUM(_xlfn._xlws.FILTER(_xlfn._xlws.FILTER(dataGLBSCF,dataGLBSAcctIDs=$C17),(endDatesCF=AL$5)))-SUM(_xlfn._xlws.FILTER(_xlfn._xlws.FILTER(dataGLBSCF,dataGLBSAcctIDs=$C17),(startDatesCF=EDATE(AL$4,-1)))))*INDEX(PBC_ACCOUNT_LIST[Sign_for_total_cashflow],MATCH($C17,PBC_ACCOUNT_LIST[Id],0))</f>
        <v>0</v>
      </c>
      <c r="AM17" s="547" cm="1">
        <f t="array" ref="AM17">(SUM(_xlfn._xlws.FILTER(_xlfn._xlws.FILTER(dataGLBSCF,dataGLBSAcctIDs=$C17),(endDatesCF=AM$5)))-SUM(_xlfn._xlws.FILTER(_xlfn._xlws.FILTER(dataGLBSCF,dataGLBSAcctIDs=$C17),(startDatesCF=EDATE(AM$4,-1)))))*INDEX(PBC_ACCOUNT_LIST[Sign_for_total_cashflow],MATCH($C17,PBC_ACCOUNT_LIST[Id],0))</f>
        <v>0</v>
      </c>
      <c r="AN17" s="547" cm="1">
        <f t="array" ref="AN17">(SUM(_xlfn._xlws.FILTER(_xlfn._xlws.FILTER(dataGLBSCF,dataGLBSAcctIDs=$C17),(endDatesCF=AN$5)))-SUM(_xlfn._xlws.FILTER(_xlfn._xlws.FILTER(dataGLBSCF,dataGLBSAcctIDs=$C17),(startDatesCF=EDATE(AN$4,-1)))))*INDEX(PBC_ACCOUNT_LIST[Sign_for_total_cashflow],MATCH($C17,PBC_ACCOUNT_LIST[Id],0))</f>
        <v>0</v>
      </c>
      <c r="AO17" s="547" cm="1">
        <f t="array" ref="AO17">(SUM(_xlfn._xlws.FILTER(_xlfn._xlws.FILTER(dataGLBSCF,dataGLBSAcctIDs=$C17),(endDatesCF=AO$5)))-SUM(_xlfn._xlws.FILTER(_xlfn._xlws.FILTER(dataGLBSCF,dataGLBSAcctIDs=$C17),(startDatesCF=EDATE(AO$4,-1)))))*INDEX(PBC_ACCOUNT_LIST[Sign_for_total_cashflow],MATCH($C17,PBC_ACCOUNT_LIST[Id],0))</f>
        <v>0</v>
      </c>
      <c r="AP17" s="547" cm="1">
        <f t="array" ref="AP17">(SUM(_xlfn._xlws.FILTER(_xlfn._xlws.FILTER(dataGLBSCF,dataGLBSAcctIDs=$C17),(endDatesCF=AP$5)))-SUM(_xlfn._xlws.FILTER(_xlfn._xlws.FILTER(dataGLBSCF,dataGLBSAcctIDs=$C17),(startDatesCF=EDATE(AP$4,-1)))))*INDEX(PBC_ACCOUNT_LIST[Sign_for_total_cashflow],MATCH($C17,PBC_ACCOUNT_LIST[Id],0))</f>
        <v>0</v>
      </c>
      <c r="AQ17" s="547" cm="1">
        <f t="array" ref="AQ17">(SUM(_xlfn._xlws.FILTER(_xlfn._xlws.FILTER(dataGLBSCF,dataGLBSAcctIDs=$C17),(endDatesCF=AQ$5)))-SUM(_xlfn._xlws.FILTER(_xlfn._xlws.FILTER(dataGLBSCF,dataGLBSAcctIDs=$C17),(startDatesCF=EDATE(AQ$4,-1)))))*INDEX(PBC_ACCOUNT_LIST[Sign_for_total_cashflow],MATCH($C17,PBC_ACCOUNT_LIST[Id],0))</f>
        <v>0</v>
      </c>
      <c r="AR17" s="547" cm="1">
        <f t="array" ref="AR17">(SUM(_xlfn._xlws.FILTER(_xlfn._xlws.FILTER(dataGLBSCF,dataGLBSAcctIDs=$C17),(endDatesCF=AR$5)))-SUM(_xlfn._xlws.FILTER(_xlfn._xlws.FILTER(dataGLBSCF,dataGLBSAcctIDs=$C17),(startDatesCF=EDATE(AR$4,-1)))))*INDEX(PBC_ACCOUNT_LIST[Sign_for_total_cashflow],MATCH($C17,PBC_ACCOUNT_LIST[Id],0))</f>
        <v>0</v>
      </c>
      <c r="AS17" s="547" cm="1">
        <f t="array" ref="AS17">(SUM(_xlfn._xlws.FILTER(_xlfn._xlws.FILTER(dataGLBSCF,dataGLBSAcctIDs=$C17),(endDatesCF=AS$5)))-SUM(_xlfn._xlws.FILTER(_xlfn._xlws.FILTER(dataGLBSCF,dataGLBSAcctIDs=$C17),(startDatesCF=EDATE(AS$4,-1)))))*INDEX(PBC_ACCOUNT_LIST[Sign_for_total_cashflow],MATCH($C17,PBC_ACCOUNT_LIST[Id],0))</f>
        <v>0</v>
      </c>
      <c r="AT17" s="547" cm="1">
        <f t="array" ref="AT17">(SUM(_xlfn._xlws.FILTER(_xlfn._xlws.FILTER(dataGLBSCF,dataGLBSAcctIDs=$C17),(endDatesCF=AT$5)))-SUM(_xlfn._xlws.FILTER(_xlfn._xlws.FILTER(dataGLBSCF,dataGLBSAcctIDs=$C17),(startDatesCF=EDATE(AT$4,-1)))))*INDEX(PBC_ACCOUNT_LIST[Sign_for_total_cashflow],MATCH($C17,PBC_ACCOUNT_LIST[Id],0))</f>
        <v>0</v>
      </c>
      <c r="AU17" s="547" cm="1">
        <f t="array" ref="AU17">(SUM(_xlfn._xlws.FILTER(_xlfn._xlws.FILTER(dataGLBSCF,dataGLBSAcctIDs=$C17),(endDatesCF=AU$5)))-SUM(_xlfn._xlws.FILTER(_xlfn._xlws.FILTER(dataGLBSCF,dataGLBSAcctIDs=$C17),(startDatesCF=EDATE(AU$4,-1)))))*INDEX(PBC_ACCOUNT_LIST[Sign_for_total_cashflow],MATCH($C17,PBC_ACCOUNT_LIST[Id],0))</f>
        <v>0</v>
      </c>
      <c r="AV17" s="547" cm="1">
        <f t="array" ref="AV17">(SUM(_xlfn._xlws.FILTER(_xlfn._xlws.FILTER(dataGLBSCF,dataGLBSAcctIDs=$C17),(endDatesCF=AV$5)))-SUM(_xlfn._xlws.FILTER(_xlfn._xlws.FILTER(dataGLBSCF,dataGLBSAcctIDs=$C17),(startDatesCF=EDATE(AV$4,-1)))))*INDEX(PBC_ACCOUNT_LIST[Sign_for_total_cashflow],MATCH($C17,PBC_ACCOUNT_LIST[Id],0))</f>
        <v>0</v>
      </c>
      <c r="AW17" s="547" cm="1">
        <f t="array" ref="AW17">(SUM(_xlfn._xlws.FILTER(_xlfn._xlws.FILTER(dataGLBSCF,dataGLBSAcctIDs=$C17),(endDatesCF=AW$5)))-SUM(_xlfn._xlws.FILTER(_xlfn._xlws.FILTER(dataGLBSCF,dataGLBSAcctIDs=$C17),(startDatesCF=EDATE(AW$4,-1)))))*INDEX(PBC_ACCOUNT_LIST[Sign_for_total_cashflow],MATCH($C17,PBC_ACCOUNT_LIST[Id],0))</f>
        <v>0</v>
      </c>
      <c r="AX17" s="547" cm="1">
        <f t="array" ref="AX17">(SUM(_xlfn._xlws.FILTER(_xlfn._xlws.FILTER(dataGLBSCF,dataGLBSAcctIDs=$C17),(endDatesCF=AX$5)))-SUM(_xlfn._xlws.FILTER(_xlfn._xlws.FILTER(dataGLBSCF,dataGLBSAcctIDs=$C17),(startDatesCF=EDATE(AX$4,-1)))))*INDEX(PBC_ACCOUNT_LIST[Sign_for_total_cashflow],MATCH($C17,PBC_ACCOUNT_LIST[Id],0))</f>
        <v>0</v>
      </c>
      <c r="AY17" s="547" cm="1">
        <f t="array" ref="AY17">(SUM(_xlfn._xlws.FILTER(_xlfn._xlws.FILTER(dataGLBSCF,dataGLBSAcctIDs=$C17),(endDatesCF=AY$5)))-SUM(_xlfn._xlws.FILTER(_xlfn._xlws.FILTER(dataGLBSCF,dataGLBSAcctIDs=$C17),(startDatesCF=EDATE(AY$4,-1)))))*INDEX(PBC_ACCOUNT_LIST[Sign_for_total_cashflow],MATCH($C17,PBC_ACCOUNT_LIST[Id],0))</f>
        <v>0</v>
      </c>
      <c r="AZ17" s="547" cm="1">
        <f t="array" ref="AZ17">(SUM(_xlfn._xlws.FILTER(_xlfn._xlws.FILTER(dataGLBSCF,dataGLBSAcctIDs=$C17),(endDatesCF=AZ$5)))-SUM(_xlfn._xlws.FILTER(_xlfn._xlws.FILTER(dataGLBSCF,dataGLBSAcctIDs=$C17),(startDatesCF=EDATE(AZ$4,-1)))))*INDEX(PBC_ACCOUNT_LIST[Sign_for_total_cashflow],MATCH($C17,PBC_ACCOUNT_LIST[Id],0))</f>
        <v>0</v>
      </c>
      <c r="BA17" s="547" cm="1">
        <f t="array" ref="BA17">(SUM(_xlfn._xlws.FILTER(_xlfn._xlws.FILTER(dataGLBSCF,dataGLBSAcctIDs=$C17),(endDatesCF=BA$5)))-SUM(_xlfn._xlws.FILTER(_xlfn._xlws.FILTER(dataGLBSCF,dataGLBSAcctIDs=$C17),(startDatesCF=EDATE(BA$4,-1)))))*INDEX(PBC_ACCOUNT_LIST[Sign_for_total_cashflow],MATCH($C17,PBC_ACCOUNT_LIST[Id],0))</f>
        <v>0</v>
      </c>
      <c r="BB17" s="547" cm="1">
        <f t="array" ref="BB17">(SUM(_xlfn._xlws.FILTER(_xlfn._xlws.FILTER(dataGLBSCF,dataGLBSAcctIDs=$C17),(endDatesCF=BB$5)))-SUM(_xlfn._xlws.FILTER(_xlfn._xlws.FILTER(dataGLBSCF,dataGLBSAcctIDs=$C17),(startDatesCF=EDATE(BB$4,-1)))))*INDEX(PBC_ACCOUNT_LIST[Sign_for_total_cashflow],MATCH($C17,PBC_ACCOUNT_LIST[Id],0))</f>
        <v>0</v>
      </c>
      <c r="BC17" s="547" cm="1">
        <f t="array" ref="BC17">(SUM(_xlfn._xlws.FILTER(_xlfn._xlws.FILTER(dataGLBSCF,dataGLBSAcctIDs=$C17),(endDatesCF=BC$5)))-SUM(_xlfn._xlws.FILTER(_xlfn._xlws.FILTER(dataGLBSCF,dataGLBSAcctIDs=$C17),(startDatesCF=EDATE(BC$4,-1)))))*INDEX(PBC_ACCOUNT_LIST[Sign_for_total_cashflow],MATCH($C17,PBC_ACCOUNT_LIST[Id],0))</f>
        <v>0</v>
      </c>
      <c r="BD17" s="547" cm="1">
        <f t="array" ref="BD17">(SUM(_xlfn._xlws.FILTER(_xlfn._xlws.FILTER(dataGLBSCF,dataGLBSAcctIDs=$C17),(endDatesCF=BD$5)))-SUM(_xlfn._xlws.FILTER(_xlfn._xlws.FILTER(dataGLBSCF,dataGLBSAcctIDs=$C17),(startDatesCF=EDATE(BD$4,-1)))))*INDEX(PBC_ACCOUNT_LIST[Sign_for_total_cashflow],MATCH($C17,PBC_ACCOUNT_LIST[Id],0))</f>
        <v>0</v>
      </c>
      <c r="BE17" s="547" cm="1">
        <f t="array" ref="BE17">(SUM(_xlfn._xlws.FILTER(_xlfn._xlws.FILTER(dataGLBSCF,dataGLBSAcctIDs=$C17),(endDatesCF=BE$5)))-SUM(_xlfn._xlws.FILTER(_xlfn._xlws.FILTER(dataGLBSCF,dataGLBSAcctIDs=$C17),(startDatesCF=EDATE(BE$4,-1)))))*INDEX(PBC_ACCOUNT_LIST[Sign_for_total_cashflow],MATCH($C17,PBC_ACCOUNT_LIST[Id],0))</f>
        <v>0</v>
      </c>
      <c r="BF17" s="547" cm="1">
        <f t="array" ref="BF17">(SUM(_xlfn._xlws.FILTER(_xlfn._xlws.FILTER(dataGLBSCF,dataGLBSAcctIDs=$C17),(endDatesCF=BF$5)))-SUM(_xlfn._xlws.FILTER(_xlfn._xlws.FILTER(dataGLBSCF,dataGLBSAcctIDs=$C17),(startDatesCF=EDATE(BF$4,-1)))))*INDEX(PBC_ACCOUNT_LIST[Sign_for_total_cashflow],MATCH($C17,PBC_ACCOUNT_LIST[Id],0))</f>
        <v>0</v>
      </c>
      <c r="BG17" s="547" cm="1">
        <f t="array" ref="BG17">(SUM(_xlfn._xlws.FILTER(_xlfn._xlws.FILTER(dataGLBSCF,dataGLBSAcctIDs=$C17),(endDatesCF=BG$5)))-SUM(_xlfn._xlws.FILTER(_xlfn._xlws.FILTER(dataGLBSCF,dataGLBSAcctIDs=$C17),(startDatesCF=EDATE(BG$4,-1)))))*INDEX(PBC_ACCOUNT_LIST[Sign_for_total_cashflow],MATCH($C17,PBC_ACCOUNT_LIST[Id],0))</f>
        <v>0</v>
      </c>
      <c r="BH17" s="547" cm="1">
        <f t="array" ref="BH17">(SUM(_xlfn._xlws.FILTER(_xlfn._xlws.FILTER(dataGLBSCF,dataGLBSAcctIDs=$C17),(endDatesCF=BH$5)))-SUM(_xlfn._xlws.FILTER(_xlfn._xlws.FILTER(dataGLBSCF,dataGLBSAcctIDs=$C17),(startDatesCF=EDATE(BH$4,-1)))))*INDEX(PBC_ACCOUNT_LIST[Sign_for_total_cashflow],MATCH($C17,PBC_ACCOUNT_LIST[Id],0))</f>
        <v>0</v>
      </c>
      <c r="BI17" s="547" cm="1">
        <f t="array" ref="BI17">(SUM(_xlfn._xlws.FILTER(_xlfn._xlws.FILTER(dataGLBSCF,dataGLBSAcctIDs=$C17),(endDatesCF=BI$5)))-SUM(_xlfn._xlws.FILTER(_xlfn._xlws.FILTER(dataGLBSCF,dataGLBSAcctIDs=$C17),(startDatesCF=EDATE(BI$4,-1)))))*INDEX(PBC_ACCOUNT_LIST[Sign_for_total_cashflow],MATCH($C17,PBC_ACCOUNT_LIST[Id],0))</f>
        <v>0</v>
      </c>
      <c r="BJ17" s="547" cm="1">
        <f t="array" ref="BJ17">(SUM(_xlfn._xlws.FILTER(_xlfn._xlws.FILTER(dataGLBSCF,dataGLBSAcctIDs=$C17),(endDatesCF=BJ$5)))-SUM(_xlfn._xlws.FILTER(_xlfn._xlws.FILTER(dataGLBSCF,dataGLBSAcctIDs=$C17),(startDatesCF=EDATE(BJ$4,-1)))))*INDEX(PBC_ACCOUNT_LIST[Sign_for_total_cashflow],MATCH($C17,PBC_ACCOUNT_LIST[Id],0))</f>
        <v>0</v>
      </c>
      <c r="BK17" s="547" cm="1">
        <f t="array" ref="BK17">(SUM(_xlfn._xlws.FILTER(_xlfn._xlws.FILTER(dataGLBSCF,dataGLBSAcctIDs=$C17),(endDatesCF=BK$5)))-SUM(_xlfn._xlws.FILTER(_xlfn._xlws.FILTER(dataGLBSCF,dataGLBSAcctIDs=$C17),(startDatesCF=EDATE(BK$4,-1)))))*INDEX(PBC_ACCOUNT_LIST[Sign_for_total_cashflow],MATCH($C17,PBC_ACCOUNT_LIST[Id],0))</f>
        <v>0</v>
      </c>
      <c r="BL17" s="547" cm="1">
        <f t="array" ref="BL17">(SUM(_xlfn._xlws.FILTER(_xlfn._xlws.FILTER(dataGLBSCF,dataGLBSAcctIDs=$C17),(endDatesCF=BL$5)))-SUM(_xlfn._xlws.FILTER(_xlfn._xlws.FILTER(dataGLBSCF,dataGLBSAcctIDs=$C17),(startDatesCF=EDATE(BL$4,-1)))))*INDEX(PBC_ACCOUNT_LIST[Sign_for_total_cashflow],MATCH($C17,PBC_ACCOUNT_LIST[Id],0))</f>
        <v>0</v>
      </c>
      <c r="BM17" s="547" cm="1">
        <f t="array" ref="BM17">(SUM(_xlfn._xlws.FILTER(_xlfn._xlws.FILTER(dataGLBSCF,dataGLBSAcctIDs=$C17),(endDatesCF=BM$5)))-SUM(_xlfn._xlws.FILTER(_xlfn._xlws.FILTER(dataGLBSCF,dataGLBSAcctIDs=$C17),(startDatesCF=EDATE(BM$4,-1)))))*INDEX(PBC_ACCOUNT_LIST[Sign_for_total_cashflow],MATCH($C17,PBC_ACCOUNT_LIST[Id],0))</f>
        <v>0</v>
      </c>
      <c r="BN17" s="547" cm="1">
        <f t="array" ref="BN17">(SUM(_xlfn._xlws.FILTER(_xlfn._xlws.FILTER(dataGLBSCF,dataGLBSAcctIDs=$C17),(endDatesCF=BN$5)))-SUM(_xlfn._xlws.FILTER(_xlfn._xlws.FILTER(dataGLBSCF,dataGLBSAcctIDs=$C17),(startDatesCF=EDATE(BN$4,-1)))))*INDEX(PBC_ACCOUNT_LIST[Sign_for_total_cashflow],MATCH($C17,PBC_ACCOUNT_LIST[Id],0))</f>
        <v>0</v>
      </c>
      <c r="BO17" s="547" cm="1">
        <f t="array" ref="BO17">(SUM(_xlfn._xlws.FILTER(_xlfn._xlws.FILTER(dataGLBSCF,dataGLBSAcctIDs=$C17),(endDatesCF=BO$5)))-SUM(_xlfn._xlws.FILTER(_xlfn._xlws.FILTER(dataGLBSCF,dataGLBSAcctIDs=$C17),(startDatesCF=EDATE(BO$4,-1)))))*INDEX(PBC_ACCOUNT_LIST[Sign_for_total_cashflow],MATCH($C17,PBC_ACCOUNT_LIST[Id],0))</f>
        <v>0</v>
      </c>
      <c r="BP17" s="547" cm="1">
        <f t="array" ref="BP17">(SUM(_xlfn._xlws.FILTER(_xlfn._xlws.FILTER(dataGLBSCF,dataGLBSAcctIDs=$C17),(endDatesCF=BP$5)))-SUM(_xlfn._xlws.FILTER(_xlfn._xlws.FILTER(dataGLBSCF,dataGLBSAcctIDs=$C17),(startDatesCF=EDATE(BP$4,-1)))))*INDEX(PBC_ACCOUNT_LIST[Sign_for_total_cashflow],MATCH($C17,PBC_ACCOUNT_LIST[Id],0))</f>
        <v>0</v>
      </c>
      <c r="BQ17" s="547" cm="1">
        <f t="array" ref="BQ17">(SUM(_xlfn._xlws.FILTER(_xlfn._xlws.FILTER(dataGLBSCF,dataGLBSAcctIDs=$C17),(endDatesCF=BQ$5)))-SUM(_xlfn._xlws.FILTER(_xlfn._xlws.FILTER(dataGLBSCF,dataGLBSAcctIDs=$C17),(startDatesCF=EDATE(BQ$4,-1)))))*INDEX(PBC_ACCOUNT_LIST[Sign_for_total_cashflow],MATCH($C17,PBC_ACCOUNT_LIST[Id],0))</f>
        <v>0</v>
      </c>
      <c r="BR17" s="547" cm="1">
        <f t="array" ref="BR17">(SUM(_xlfn._xlws.FILTER(_xlfn._xlws.FILTER(dataGLBSCF,dataGLBSAcctIDs=$C17),(endDatesCF=BR$5)))-SUM(_xlfn._xlws.FILTER(_xlfn._xlws.FILTER(dataGLBSCF,dataGLBSAcctIDs=$C17),(startDatesCF=EDATE(BR$4,-1)))))*INDEX(PBC_ACCOUNT_LIST[Sign_for_total_cashflow],MATCH($C17,PBC_ACCOUNT_LIST[Id],0))</f>
        <v>0</v>
      </c>
      <c r="BS17" s="547" cm="1">
        <f t="array" ref="BS17">(SUM(_xlfn._xlws.FILTER(_xlfn._xlws.FILTER(dataGLBSCF,dataGLBSAcctIDs=$C17),(endDatesCF=BS$5)))-SUM(_xlfn._xlws.FILTER(_xlfn._xlws.FILTER(dataGLBSCF,dataGLBSAcctIDs=$C17),(startDatesCF=EDATE(BS$4,-1)))))*INDEX(PBC_ACCOUNT_LIST[Sign_for_total_cashflow],MATCH($C17,PBC_ACCOUNT_LIST[Id],0))</f>
        <v>0</v>
      </c>
      <c r="BT17" s="547" cm="1">
        <f t="array" ref="BT17">(SUM(_xlfn._xlws.FILTER(_xlfn._xlws.FILTER(dataGLBSCF,dataGLBSAcctIDs=$C17),(endDatesCF=BT$5)))-SUM(_xlfn._xlws.FILTER(_xlfn._xlws.FILTER(dataGLBSCF,dataGLBSAcctIDs=$C17),(startDatesCF=EDATE(BT$4,-1)))))*INDEX(PBC_ACCOUNT_LIST[Sign_for_total_cashflow],MATCH($C17,PBC_ACCOUNT_LIST[Id],0))</f>
        <v>0</v>
      </c>
      <c r="BU17" s="547" cm="1">
        <f t="array" ref="BU17">(SUM(_xlfn._xlws.FILTER(_xlfn._xlws.FILTER(dataGLBSCF,dataGLBSAcctIDs=$C17),(endDatesCF=BU$5)))-SUM(_xlfn._xlws.FILTER(_xlfn._xlws.FILTER(dataGLBSCF,dataGLBSAcctIDs=$C17),(startDatesCF=EDATE(BU$4,-1)))))*INDEX(PBC_ACCOUNT_LIST[Sign_for_total_cashflow],MATCH($C17,PBC_ACCOUNT_LIST[Id],0))</f>
        <v>0</v>
      </c>
      <c r="BV17" s="547" cm="1">
        <f t="array" ref="BV17">(SUM(_xlfn._xlws.FILTER(_xlfn._xlws.FILTER(dataGLBSCF,dataGLBSAcctIDs=$C17),(endDatesCF=BV$5)))-SUM(_xlfn._xlws.FILTER(_xlfn._xlws.FILTER(dataGLBSCF,dataGLBSAcctIDs=$C17),(startDatesCF=EDATE(BV$4,-1)))))*INDEX(PBC_ACCOUNT_LIST[Sign_for_total_cashflow],MATCH($C17,PBC_ACCOUNT_LIST[Id],0))</f>
        <v>0</v>
      </c>
      <c r="BW17" s="547" cm="1">
        <f t="array" ref="BW17">(SUM(_xlfn._xlws.FILTER(_xlfn._xlws.FILTER(dataGLBSCF,dataGLBSAcctIDs=$C17),(endDatesCF=BW$5)))-SUM(_xlfn._xlws.FILTER(_xlfn._xlws.FILTER(dataGLBSCF,dataGLBSAcctIDs=$C17),(startDatesCF=EDATE(BW$4,-1)))))*INDEX(PBC_ACCOUNT_LIST[Sign_for_total_cashflow],MATCH($C17,PBC_ACCOUNT_LIST[Id],0))</f>
        <v>0</v>
      </c>
      <c r="BX17" s="547" cm="1">
        <f t="array" ref="BX17">(SUM(_xlfn._xlws.FILTER(_xlfn._xlws.FILTER(dataGLBSCF,dataGLBSAcctIDs=$C17),(endDatesCF=BX$5)))-SUM(_xlfn._xlws.FILTER(_xlfn._xlws.FILTER(dataGLBSCF,dataGLBSAcctIDs=$C17),(startDatesCF=EDATE(BX$4,-1)))))*INDEX(PBC_ACCOUNT_LIST[Sign_for_total_cashflow],MATCH($C17,PBC_ACCOUNT_LIST[Id],0))</f>
        <v>0</v>
      </c>
    </row>
    <row r="18" spans="1:92" customFormat="1" ht="21" customHeight="1">
      <c r="B18" s="685" t="s">
        <v>285</v>
      </c>
      <c r="C18">
        <v>42</v>
      </c>
      <c r="E18" s="547" cm="1">
        <f t="array" ref="E18">(SUM(_xlfn._xlws.FILTER(_xlfn._xlws.FILTER(dataGLBSCF,dataGLBSAcctIDs=$C18),(endDatesCF=E$5)))-SUM(_xlfn._xlws.FILTER(_xlfn._xlws.FILTER(dataGLBSCF,dataGLBSAcctIDs=$C18),(startDatesCF=EDATE(E$4,-1)))))*INDEX(PBC_ACCOUNT_LIST[Sign_for_total_cashflow],MATCH($C18,PBC_ACCOUNT_LIST[Id],0))</f>
        <v>0</v>
      </c>
      <c r="F18" s="547" cm="1">
        <f t="array" ref="F18">(SUM(_xlfn._xlws.FILTER(_xlfn._xlws.FILTER(dataGLBSCF,dataGLBSAcctIDs=$C18),(endDatesCF=F$5)))-SUM(_xlfn._xlws.FILTER(_xlfn._xlws.FILTER(dataGLBSCF,dataGLBSAcctIDs=$C18),(startDatesCF=EDATE(F$4,-1)))))*INDEX(PBC_ACCOUNT_LIST[Sign_for_total_cashflow],MATCH($C18,PBC_ACCOUNT_LIST[Id],0))</f>
        <v>0</v>
      </c>
      <c r="G18" s="547" cm="1">
        <f t="array" ref="G18">(SUM(_xlfn._xlws.FILTER(_xlfn._xlws.FILTER(dataGLBSCF,dataGLBSAcctIDs=$C18),(endDatesCF=G$5)))-SUM(_xlfn._xlws.FILTER(_xlfn._xlws.FILTER(dataGLBSCF,dataGLBSAcctIDs=$C18),(startDatesCF=EDATE(G$4,-1)))))*INDEX(PBC_ACCOUNT_LIST[Sign_for_total_cashflow],MATCH($C18,PBC_ACCOUNT_LIST[Id],0))</f>
        <v>-700</v>
      </c>
      <c r="H18" s="547" cm="1">
        <f t="array" ref="H18">(SUM(_xlfn._xlws.FILTER(_xlfn._xlws.FILTER(dataGLBSCF,dataGLBSAcctIDs=$C18),(endDatesCF=H$5)))-SUM(_xlfn._xlws.FILTER(_xlfn._xlws.FILTER(dataGLBSCF,dataGLBSAcctIDs=$C18),(startDatesCF=EDATE(H$4,-1)))))*INDEX(PBC_ACCOUNT_LIST[Sign_for_total_cashflow],MATCH($C18,PBC_ACCOUNT_LIST[Id],0))</f>
        <v>0</v>
      </c>
      <c r="K18" s="547" cm="1">
        <f t="array" ref="K18">(SUM(_xlfn._xlws.FILTER(_xlfn._xlws.FILTER(dataGLBSCF,dataGLBSAcctIDs=$C18),(endDatesCF=K$5)))-SUM(_xlfn._xlws.FILTER(_xlfn._xlws.FILTER(dataGLBSCF,dataGLBSAcctIDs=$C18),(startDatesCF=EDATE(K$4,-1)))))*INDEX(PBC_ACCOUNT_LIST[Sign_for_total_cashflow],MATCH($C18,PBC_ACCOUNT_LIST[Id],0))</f>
        <v>0</v>
      </c>
      <c r="L18" s="547" cm="1">
        <f t="array" ref="L18">(SUM(_xlfn._xlws.FILTER(_xlfn._xlws.FILTER(dataGLBSCF,dataGLBSAcctIDs=$C18),(endDatesCF=L$5)))-SUM(_xlfn._xlws.FILTER(_xlfn._xlws.FILTER(dataGLBSCF,dataGLBSAcctIDs=$C18),(startDatesCF=EDATE(L$4,-1)))))*INDEX(PBC_ACCOUNT_LIST[Sign_for_total_cashflow],MATCH($C18,PBC_ACCOUNT_LIST[Id],0))</f>
        <v>0</v>
      </c>
      <c r="M18" s="547" cm="1">
        <f t="array" ref="M18">(SUM(_xlfn._xlws.FILTER(_xlfn._xlws.FILTER(dataGLBSCF,dataGLBSAcctIDs=$C18),(endDatesCF=M$5)))-SUM(_xlfn._xlws.FILTER(_xlfn._xlws.FILTER(dataGLBSCF,dataGLBSAcctIDs=$C18),(startDatesCF=EDATE(M$4,-1)))))*INDEX(PBC_ACCOUNT_LIST[Sign_for_total_cashflow],MATCH($C18,PBC_ACCOUNT_LIST[Id],0))</f>
        <v>0</v>
      </c>
      <c r="N18" s="547" cm="1">
        <f t="array" ref="N18">(SUM(_xlfn._xlws.FILTER(_xlfn._xlws.FILTER(dataGLBSCF,dataGLBSAcctIDs=$C18),(endDatesCF=N$5)))-SUM(_xlfn._xlws.FILTER(_xlfn._xlws.FILTER(dataGLBSCF,dataGLBSAcctIDs=$C18),(startDatesCF=EDATE(N$4,-1)))))*INDEX(PBC_ACCOUNT_LIST[Sign_for_total_cashflow],MATCH($C18,PBC_ACCOUNT_LIST[Id],0))</f>
        <v>0</v>
      </c>
      <c r="O18" s="547" cm="1">
        <f t="array" ref="O18">(SUM(_xlfn._xlws.FILTER(_xlfn._xlws.FILTER(dataGLBSCF,dataGLBSAcctIDs=$C18),(endDatesCF=O$5)))-SUM(_xlfn._xlws.FILTER(_xlfn._xlws.FILTER(dataGLBSCF,dataGLBSAcctIDs=$C18),(startDatesCF=EDATE(O$4,-1)))))*INDEX(PBC_ACCOUNT_LIST[Sign_for_total_cashflow],MATCH($C18,PBC_ACCOUNT_LIST[Id],0))</f>
        <v>0</v>
      </c>
      <c r="P18" s="547" cm="1">
        <f t="array" ref="P18">(SUM(_xlfn._xlws.FILTER(_xlfn._xlws.FILTER(dataGLBSCF,dataGLBSAcctIDs=$C18),(endDatesCF=P$5)))-SUM(_xlfn._xlws.FILTER(_xlfn._xlws.FILTER(dataGLBSCF,dataGLBSAcctIDs=$C18),(startDatesCF=EDATE(P$4,-1)))))*INDEX(PBC_ACCOUNT_LIST[Sign_for_total_cashflow],MATCH($C18,PBC_ACCOUNT_LIST[Id],0))</f>
        <v>0</v>
      </c>
      <c r="Q18" s="547" cm="1">
        <f t="array" ref="Q18">(SUM(_xlfn._xlws.FILTER(_xlfn._xlws.FILTER(dataGLBSCF,dataGLBSAcctIDs=$C18),(endDatesCF=Q$5)))-SUM(_xlfn._xlws.FILTER(_xlfn._xlws.FILTER(dataGLBSCF,dataGLBSAcctIDs=$C18),(startDatesCF=EDATE(Q$4,-1)))))*INDEX(PBC_ACCOUNT_LIST[Sign_for_total_cashflow],MATCH($C18,PBC_ACCOUNT_LIST[Id],0))</f>
        <v>0</v>
      </c>
      <c r="R18" s="547" cm="1">
        <f t="array" ref="R18">(SUM(_xlfn._xlws.FILTER(_xlfn._xlws.FILTER(dataGLBSCF,dataGLBSAcctIDs=$C18),(endDatesCF=R$5)))-SUM(_xlfn._xlws.FILTER(_xlfn._xlws.FILTER(dataGLBSCF,dataGLBSAcctIDs=$C18),(startDatesCF=EDATE(R$4,-1)))))*INDEX(PBC_ACCOUNT_LIST[Sign_for_total_cashflow],MATCH($C18,PBC_ACCOUNT_LIST[Id],0))</f>
        <v>0</v>
      </c>
      <c r="S18" s="547" cm="1">
        <f t="array" ref="S18">(SUM(_xlfn._xlws.FILTER(_xlfn._xlws.FILTER(dataGLBSCF,dataGLBSAcctIDs=$C18),(endDatesCF=S$5)))-SUM(_xlfn._xlws.FILTER(_xlfn._xlws.FILTER(dataGLBSCF,dataGLBSAcctIDs=$C18),(startDatesCF=EDATE(S$4,-1)))))*INDEX(PBC_ACCOUNT_LIST[Sign_for_total_cashflow],MATCH($C18,PBC_ACCOUNT_LIST[Id],0))</f>
        <v>0</v>
      </c>
      <c r="T18" s="547" cm="1">
        <f t="array" ref="T18">(SUM(_xlfn._xlws.FILTER(_xlfn._xlws.FILTER(dataGLBSCF,dataGLBSAcctIDs=$C18),(endDatesCF=T$5)))-SUM(_xlfn._xlws.FILTER(_xlfn._xlws.FILTER(dataGLBSCF,dataGLBSAcctIDs=$C18),(startDatesCF=EDATE(T$4,-1)))))*INDEX(PBC_ACCOUNT_LIST[Sign_for_total_cashflow],MATCH($C18,PBC_ACCOUNT_LIST[Id],0))</f>
        <v>300</v>
      </c>
      <c r="U18" s="547" cm="1">
        <f t="array" ref="U18">(SUM(_xlfn._xlws.FILTER(_xlfn._xlws.FILTER(dataGLBSCF,dataGLBSAcctIDs=$C18),(endDatesCF=U$5)))-SUM(_xlfn._xlws.FILTER(_xlfn._xlws.FILTER(dataGLBSCF,dataGLBSAcctIDs=$C18),(startDatesCF=EDATE(U$4,-1)))))*INDEX(PBC_ACCOUNT_LIST[Sign_for_total_cashflow],MATCH($C18,PBC_ACCOUNT_LIST[Id],0))</f>
        <v>-1000</v>
      </c>
      <c r="V18" s="547" cm="1">
        <f t="array" ref="V18">(SUM(_xlfn._xlws.FILTER(_xlfn._xlws.FILTER(dataGLBSCF,dataGLBSAcctIDs=$C18),(endDatesCF=V$5)))-SUM(_xlfn._xlws.FILTER(_xlfn._xlws.FILTER(dataGLBSCF,dataGLBSAcctIDs=$C18),(startDatesCF=EDATE(V$4,-1)))))*INDEX(PBC_ACCOUNT_LIST[Sign_for_total_cashflow],MATCH($C18,PBC_ACCOUNT_LIST[Id],0))</f>
        <v>0</v>
      </c>
      <c r="W18" s="547" cm="1">
        <f t="array" ref="W18">(SUM(_xlfn._xlws.FILTER(_xlfn._xlws.FILTER(dataGLBSCF,dataGLBSAcctIDs=$C18),(endDatesCF=W$5)))-SUM(_xlfn._xlws.FILTER(_xlfn._xlws.FILTER(dataGLBSCF,dataGLBSAcctIDs=$C18),(startDatesCF=EDATE(W$4,-1)))))*INDEX(PBC_ACCOUNT_LIST[Sign_for_total_cashflow],MATCH($C18,PBC_ACCOUNT_LIST[Id],0))</f>
        <v>0</v>
      </c>
      <c r="X18" s="547" cm="1">
        <f t="array" ref="X18">(SUM(_xlfn._xlws.FILTER(_xlfn._xlws.FILTER(dataGLBSCF,dataGLBSAcctIDs=$C18),(endDatesCF=X$5)))-SUM(_xlfn._xlws.FILTER(_xlfn._xlws.FILTER(dataGLBSCF,dataGLBSAcctIDs=$C18),(startDatesCF=EDATE(X$4,-1)))))*INDEX(PBC_ACCOUNT_LIST[Sign_for_total_cashflow],MATCH($C18,PBC_ACCOUNT_LIST[Id],0))</f>
        <v>0</v>
      </c>
      <c r="Y18" s="547" cm="1">
        <f t="array" ref="Y18">(SUM(_xlfn._xlws.FILTER(_xlfn._xlws.FILTER(dataGLBSCF,dataGLBSAcctIDs=$C18),(endDatesCF=Y$5)))-SUM(_xlfn._xlws.FILTER(_xlfn._xlws.FILTER(dataGLBSCF,dataGLBSAcctIDs=$C18),(startDatesCF=EDATE(Y$4,-1)))))*INDEX(PBC_ACCOUNT_LIST[Sign_for_total_cashflow],MATCH($C18,PBC_ACCOUNT_LIST[Id],0))</f>
        <v>0</v>
      </c>
      <c r="Z18" s="547" cm="1">
        <f t="array" ref="Z18">(SUM(_xlfn._xlws.FILTER(_xlfn._xlws.FILTER(dataGLBSCF,dataGLBSAcctIDs=$C18),(endDatesCF=Z$5)))-SUM(_xlfn._xlws.FILTER(_xlfn._xlws.FILTER(dataGLBSCF,dataGLBSAcctIDs=$C18),(startDatesCF=EDATE(Z$4,-1)))))*INDEX(PBC_ACCOUNT_LIST[Sign_for_total_cashflow],MATCH($C18,PBC_ACCOUNT_LIST[Id],0))</f>
        <v>0</v>
      </c>
      <c r="AC18" s="547" cm="1">
        <f t="array" ref="AC18">(SUM(_xlfn._xlws.FILTER(_xlfn._xlws.FILTER(dataGLBSCF,dataGLBSAcctIDs=$C18),(endDatesCF=AC$5)))-SUM(_xlfn._xlws.FILTER(_xlfn._xlws.FILTER(dataGLBSCF,dataGLBSAcctIDs=$C18),(startDatesCF=EDATE(AC$4,-1)))))*INDEX(PBC_ACCOUNT_LIST[Sign_for_total_cashflow],MATCH($C18,PBC_ACCOUNT_LIST[Id],0))</f>
        <v>0</v>
      </c>
      <c r="AD18" s="547" cm="1">
        <f t="array" ref="AD18">(SUM(_xlfn._xlws.FILTER(_xlfn._xlws.FILTER(dataGLBSCF,dataGLBSAcctIDs=$C18),(endDatesCF=AD$5)))-SUM(_xlfn._xlws.FILTER(_xlfn._xlws.FILTER(dataGLBSCF,dataGLBSAcctIDs=$C18),(startDatesCF=EDATE(AD$4,-1)))))*INDEX(PBC_ACCOUNT_LIST[Sign_for_total_cashflow],MATCH($C18,PBC_ACCOUNT_LIST[Id],0))</f>
        <v>0</v>
      </c>
      <c r="AE18" s="547" cm="1">
        <f t="array" ref="AE18">(SUM(_xlfn._xlws.FILTER(_xlfn._xlws.FILTER(dataGLBSCF,dataGLBSAcctIDs=$C18),(endDatesCF=AE$5)))-SUM(_xlfn._xlws.FILTER(_xlfn._xlws.FILTER(dataGLBSCF,dataGLBSAcctIDs=$C18),(startDatesCF=EDATE(AE$4,-1)))))*INDEX(PBC_ACCOUNT_LIST[Sign_for_total_cashflow],MATCH($C18,PBC_ACCOUNT_LIST[Id],0))</f>
        <v>0</v>
      </c>
      <c r="AF18" s="547" cm="1">
        <f t="array" ref="AF18">(SUM(_xlfn._xlws.FILTER(_xlfn._xlws.FILTER(dataGLBSCF,dataGLBSAcctIDs=$C18),(endDatesCF=AF$5)))-SUM(_xlfn._xlws.FILTER(_xlfn._xlws.FILTER(dataGLBSCF,dataGLBSAcctIDs=$C18),(startDatesCF=EDATE(AF$4,-1)))))*INDEX(PBC_ACCOUNT_LIST[Sign_for_total_cashflow],MATCH($C18,PBC_ACCOUNT_LIST[Id],0))</f>
        <v>0</v>
      </c>
      <c r="AG18" s="547" cm="1">
        <f t="array" ref="AG18">(SUM(_xlfn._xlws.FILTER(_xlfn._xlws.FILTER(dataGLBSCF,dataGLBSAcctIDs=$C18),(endDatesCF=AG$5)))-SUM(_xlfn._xlws.FILTER(_xlfn._xlws.FILTER(dataGLBSCF,dataGLBSAcctIDs=$C18),(startDatesCF=EDATE(AG$4,-1)))))*INDEX(PBC_ACCOUNT_LIST[Sign_for_total_cashflow],MATCH($C18,PBC_ACCOUNT_LIST[Id],0))</f>
        <v>0</v>
      </c>
      <c r="AH18" s="547" cm="1">
        <f t="array" ref="AH18">(SUM(_xlfn._xlws.FILTER(_xlfn._xlws.FILTER(dataGLBSCF,dataGLBSAcctIDs=$C18),(endDatesCF=AH$5)))-SUM(_xlfn._xlws.FILTER(_xlfn._xlws.FILTER(dataGLBSCF,dataGLBSAcctIDs=$C18),(startDatesCF=EDATE(AH$4,-1)))))*INDEX(PBC_ACCOUNT_LIST[Sign_for_total_cashflow],MATCH($C18,PBC_ACCOUNT_LIST[Id],0))</f>
        <v>0</v>
      </c>
      <c r="AI18" s="547" cm="1">
        <f t="array" ref="AI18">(SUM(_xlfn._xlws.FILTER(_xlfn._xlws.FILTER(dataGLBSCF,dataGLBSAcctIDs=$C18),(endDatesCF=AI$5)))-SUM(_xlfn._xlws.FILTER(_xlfn._xlws.FILTER(dataGLBSCF,dataGLBSAcctIDs=$C18),(startDatesCF=EDATE(AI$4,-1)))))*INDEX(PBC_ACCOUNT_LIST[Sign_for_total_cashflow],MATCH($C18,PBC_ACCOUNT_LIST[Id],0))</f>
        <v>0</v>
      </c>
      <c r="AJ18" s="547" cm="1">
        <f t="array" ref="AJ18">(SUM(_xlfn._xlws.FILTER(_xlfn._xlws.FILTER(dataGLBSCF,dataGLBSAcctIDs=$C18),(endDatesCF=AJ$5)))-SUM(_xlfn._xlws.FILTER(_xlfn._xlws.FILTER(dataGLBSCF,dataGLBSAcctIDs=$C18),(startDatesCF=EDATE(AJ$4,-1)))))*INDEX(PBC_ACCOUNT_LIST[Sign_for_total_cashflow],MATCH($C18,PBC_ACCOUNT_LIST[Id],0))</f>
        <v>0</v>
      </c>
      <c r="AK18" s="547" cm="1">
        <f t="array" ref="AK18">(SUM(_xlfn._xlws.FILTER(_xlfn._xlws.FILTER(dataGLBSCF,dataGLBSAcctIDs=$C18),(endDatesCF=AK$5)))-SUM(_xlfn._xlws.FILTER(_xlfn._xlws.FILTER(dataGLBSCF,dataGLBSAcctIDs=$C18),(startDatesCF=EDATE(AK$4,-1)))))*INDEX(PBC_ACCOUNT_LIST[Sign_for_total_cashflow],MATCH($C18,PBC_ACCOUNT_LIST[Id],0))</f>
        <v>0</v>
      </c>
      <c r="AL18" s="547" cm="1">
        <f t="array" ref="AL18">(SUM(_xlfn._xlws.FILTER(_xlfn._xlws.FILTER(dataGLBSCF,dataGLBSAcctIDs=$C18),(endDatesCF=AL$5)))-SUM(_xlfn._xlws.FILTER(_xlfn._xlws.FILTER(dataGLBSCF,dataGLBSAcctIDs=$C18),(startDatesCF=EDATE(AL$4,-1)))))*INDEX(PBC_ACCOUNT_LIST[Sign_for_total_cashflow],MATCH($C18,PBC_ACCOUNT_LIST[Id],0))</f>
        <v>0</v>
      </c>
      <c r="AM18" s="547" cm="1">
        <f t="array" ref="AM18">(SUM(_xlfn._xlws.FILTER(_xlfn._xlws.FILTER(dataGLBSCF,dataGLBSAcctIDs=$C18),(endDatesCF=AM$5)))-SUM(_xlfn._xlws.FILTER(_xlfn._xlws.FILTER(dataGLBSCF,dataGLBSAcctIDs=$C18),(startDatesCF=EDATE(AM$4,-1)))))*INDEX(PBC_ACCOUNT_LIST[Sign_for_total_cashflow],MATCH($C18,PBC_ACCOUNT_LIST[Id],0))</f>
        <v>0</v>
      </c>
      <c r="AN18" s="547" cm="1">
        <f t="array" ref="AN18">(SUM(_xlfn._xlws.FILTER(_xlfn._xlws.FILTER(dataGLBSCF,dataGLBSAcctIDs=$C18),(endDatesCF=AN$5)))-SUM(_xlfn._xlws.FILTER(_xlfn._xlws.FILTER(dataGLBSCF,dataGLBSAcctIDs=$C18),(startDatesCF=EDATE(AN$4,-1)))))*INDEX(PBC_ACCOUNT_LIST[Sign_for_total_cashflow],MATCH($C18,PBC_ACCOUNT_LIST[Id],0))</f>
        <v>0</v>
      </c>
      <c r="AO18" s="547" cm="1">
        <f t="array" ref="AO18">(SUM(_xlfn._xlws.FILTER(_xlfn._xlws.FILTER(dataGLBSCF,dataGLBSAcctIDs=$C18),(endDatesCF=AO$5)))-SUM(_xlfn._xlws.FILTER(_xlfn._xlws.FILTER(dataGLBSCF,dataGLBSAcctIDs=$C18),(startDatesCF=EDATE(AO$4,-1)))))*INDEX(PBC_ACCOUNT_LIST[Sign_for_total_cashflow],MATCH($C18,PBC_ACCOUNT_LIST[Id],0))</f>
        <v>0</v>
      </c>
      <c r="AP18" s="547" cm="1">
        <f t="array" ref="AP18">(SUM(_xlfn._xlws.FILTER(_xlfn._xlws.FILTER(dataGLBSCF,dataGLBSAcctIDs=$C18),(endDatesCF=AP$5)))-SUM(_xlfn._xlws.FILTER(_xlfn._xlws.FILTER(dataGLBSCF,dataGLBSAcctIDs=$C18),(startDatesCF=EDATE(AP$4,-1)))))*INDEX(PBC_ACCOUNT_LIST[Sign_for_total_cashflow],MATCH($C18,PBC_ACCOUNT_LIST[Id],0))</f>
        <v>0</v>
      </c>
      <c r="AQ18" s="547" cm="1">
        <f t="array" ref="AQ18">(SUM(_xlfn._xlws.FILTER(_xlfn._xlws.FILTER(dataGLBSCF,dataGLBSAcctIDs=$C18),(endDatesCF=AQ$5)))-SUM(_xlfn._xlws.FILTER(_xlfn._xlws.FILTER(dataGLBSCF,dataGLBSAcctIDs=$C18),(startDatesCF=EDATE(AQ$4,-1)))))*INDEX(PBC_ACCOUNT_LIST[Sign_for_total_cashflow],MATCH($C18,PBC_ACCOUNT_LIST[Id],0))</f>
        <v>0</v>
      </c>
      <c r="AR18" s="547" cm="1">
        <f t="array" ref="AR18">(SUM(_xlfn._xlws.FILTER(_xlfn._xlws.FILTER(dataGLBSCF,dataGLBSAcctIDs=$C18),(endDatesCF=AR$5)))-SUM(_xlfn._xlws.FILTER(_xlfn._xlws.FILTER(dataGLBSCF,dataGLBSAcctIDs=$C18),(startDatesCF=EDATE(AR$4,-1)))))*INDEX(PBC_ACCOUNT_LIST[Sign_for_total_cashflow],MATCH($C18,PBC_ACCOUNT_LIST[Id],0))</f>
        <v>0</v>
      </c>
      <c r="AS18" s="547" cm="1">
        <f t="array" ref="AS18">(SUM(_xlfn._xlws.FILTER(_xlfn._xlws.FILTER(dataGLBSCF,dataGLBSAcctIDs=$C18),(endDatesCF=AS$5)))-SUM(_xlfn._xlws.FILTER(_xlfn._xlws.FILTER(dataGLBSCF,dataGLBSAcctIDs=$C18),(startDatesCF=EDATE(AS$4,-1)))))*INDEX(PBC_ACCOUNT_LIST[Sign_for_total_cashflow],MATCH($C18,PBC_ACCOUNT_LIST[Id],0))</f>
        <v>0</v>
      </c>
      <c r="AT18" s="547" cm="1">
        <f t="array" ref="AT18">(SUM(_xlfn._xlws.FILTER(_xlfn._xlws.FILTER(dataGLBSCF,dataGLBSAcctIDs=$C18),(endDatesCF=AT$5)))-SUM(_xlfn._xlws.FILTER(_xlfn._xlws.FILTER(dataGLBSCF,dataGLBSAcctIDs=$C18),(startDatesCF=EDATE(AT$4,-1)))))*INDEX(PBC_ACCOUNT_LIST[Sign_for_total_cashflow],MATCH($C18,PBC_ACCOUNT_LIST[Id],0))</f>
        <v>0</v>
      </c>
      <c r="AU18" s="547" cm="1">
        <f t="array" ref="AU18">(SUM(_xlfn._xlws.FILTER(_xlfn._xlws.FILTER(dataGLBSCF,dataGLBSAcctIDs=$C18),(endDatesCF=AU$5)))-SUM(_xlfn._xlws.FILTER(_xlfn._xlws.FILTER(dataGLBSCF,dataGLBSAcctIDs=$C18),(startDatesCF=EDATE(AU$4,-1)))))*INDEX(PBC_ACCOUNT_LIST[Sign_for_total_cashflow],MATCH($C18,PBC_ACCOUNT_LIST[Id],0))</f>
        <v>0</v>
      </c>
      <c r="AV18" s="547" cm="1">
        <f t="array" ref="AV18">(SUM(_xlfn._xlws.FILTER(_xlfn._xlws.FILTER(dataGLBSCF,dataGLBSAcctIDs=$C18),(endDatesCF=AV$5)))-SUM(_xlfn._xlws.FILTER(_xlfn._xlws.FILTER(dataGLBSCF,dataGLBSAcctIDs=$C18),(startDatesCF=EDATE(AV$4,-1)))))*INDEX(PBC_ACCOUNT_LIST[Sign_for_total_cashflow],MATCH($C18,PBC_ACCOUNT_LIST[Id],0))</f>
        <v>0</v>
      </c>
      <c r="AW18" s="547" cm="1">
        <f t="array" ref="AW18">(SUM(_xlfn._xlws.FILTER(_xlfn._xlws.FILTER(dataGLBSCF,dataGLBSAcctIDs=$C18),(endDatesCF=AW$5)))-SUM(_xlfn._xlws.FILTER(_xlfn._xlws.FILTER(dataGLBSCF,dataGLBSAcctIDs=$C18),(startDatesCF=EDATE(AW$4,-1)))))*INDEX(PBC_ACCOUNT_LIST[Sign_for_total_cashflow],MATCH($C18,PBC_ACCOUNT_LIST[Id],0))</f>
        <v>0</v>
      </c>
      <c r="AX18" s="547" cm="1">
        <f t="array" ref="AX18">(SUM(_xlfn._xlws.FILTER(_xlfn._xlws.FILTER(dataGLBSCF,dataGLBSAcctIDs=$C18),(endDatesCF=AX$5)))-SUM(_xlfn._xlws.FILTER(_xlfn._xlws.FILTER(dataGLBSCF,dataGLBSAcctIDs=$C18),(startDatesCF=EDATE(AX$4,-1)))))*INDEX(PBC_ACCOUNT_LIST[Sign_for_total_cashflow],MATCH($C18,PBC_ACCOUNT_LIST[Id],0))</f>
        <v>0</v>
      </c>
      <c r="AY18" s="547" cm="1">
        <f t="array" ref="AY18">(SUM(_xlfn._xlws.FILTER(_xlfn._xlws.FILTER(dataGLBSCF,dataGLBSAcctIDs=$C18),(endDatesCF=AY$5)))-SUM(_xlfn._xlws.FILTER(_xlfn._xlws.FILTER(dataGLBSCF,dataGLBSAcctIDs=$C18),(startDatesCF=EDATE(AY$4,-1)))))*INDEX(PBC_ACCOUNT_LIST[Sign_for_total_cashflow],MATCH($C18,PBC_ACCOUNT_LIST[Id],0))</f>
        <v>0</v>
      </c>
      <c r="AZ18" s="547" cm="1">
        <f t="array" ref="AZ18">(SUM(_xlfn._xlws.FILTER(_xlfn._xlws.FILTER(dataGLBSCF,dataGLBSAcctIDs=$C18),(endDatesCF=AZ$5)))-SUM(_xlfn._xlws.FILTER(_xlfn._xlws.FILTER(dataGLBSCF,dataGLBSAcctIDs=$C18),(startDatesCF=EDATE(AZ$4,-1)))))*INDEX(PBC_ACCOUNT_LIST[Sign_for_total_cashflow],MATCH($C18,PBC_ACCOUNT_LIST[Id],0))</f>
        <v>0</v>
      </c>
      <c r="BA18" s="547" cm="1">
        <f t="array" ref="BA18">(SUM(_xlfn._xlws.FILTER(_xlfn._xlws.FILTER(dataGLBSCF,dataGLBSAcctIDs=$C18),(endDatesCF=BA$5)))-SUM(_xlfn._xlws.FILTER(_xlfn._xlws.FILTER(dataGLBSCF,dataGLBSAcctIDs=$C18),(startDatesCF=EDATE(BA$4,-1)))))*INDEX(PBC_ACCOUNT_LIST[Sign_for_total_cashflow],MATCH($C18,PBC_ACCOUNT_LIST[Id],0))</f>
        <v>0</v>
      </c>
      <c r="BB18" s="547" cm="1">
        <f t="array" ref="BB18">(SUM(_xlfn._xlws.FILTER(_xlfn._xlws.FILTER(dataGLBSCF,dataGLBSAcctIDs=$C18),(endDatesCF=BB$5)))-SUM(_xlfn._xlws.FILTER(_xlfn._xlws.FILTER(dataGLBSCF,dataGLBSAcctIDs=$C18),(startDatesCF=EDATE(BB$4,-1)))))*INDEX(PBC_ACCOUNT_LIST[Sign_for_total_cashflow],MATCH($C18,PBC_ACCOUNT_LIST[Id],0))</f>
        <v>0</v>
      </c>
      <c r="BC18" s="547" cm="1">
        <f t="array" ref="BC18">(SUM(_xlfn._xlws.FILTER(_xlfn._xlws.FILTER(dataGLBSCF,dataGLBSAcctIDs=$C18),(endDatesCF=BC$5)))-SUM(_xlfn._xlws.FILTER(_xlfn._xlws.FILTER(dataGLBSCF,dataGLBSAcctIDs=$C18),(startDatesCF=EDATE(BC$4,-1)))))*INDEX(PBC_ACCOUNT_LIST[Sign_for_total_cashflow],MATCH($C18,PBC_ACCOUNT_LIST[Id],0))</f>
        <v>0</v>
      </c>
      <c r="BD18" s="547" cm="1">
        <f t="array" ref="BD18">(SUM(_xlfn._xlws.FILTER(_xlfn._xlws.FILTER(dataGLBSCF,dataGLBSAcctIDs=$C18),(endDatesCF=BD$5)))-SUM(_xlfn._xlws.FILTER(_xlfn._xlws.FILTER(dataGLBSCF,dataGLBSAcctIDs=$C18),(startDatesCF=EDATE(BD$4,-1)))))*INDEX(PBC_ACCOUNT_LIST[Sign_for_total_cashflow],MATCH($C18,PBC_ACCOUNT_LIST[Id],0))</f>
        <v>0</v>
      </c>
      <c r="BE18" s="547" cm="1">
        <f t="array" ref="BE18">(SUM(_xlfn._xlws.FILTER(_xlfn._xlws.FILTER(dataGLBSCF,dataGLBSAcctIDs=$C18),(endDatesCF=BE$5)))-SUM(_xlfn._xlws.FILTER(_xlfn._xlws.FILTER(dataGLBSCF,dataGLBSAcctIDs=$C18),(startDatesCF=EDATE(BE$4,-1)))))*INDEX(PBC_ACCOUNT_LIST[Sign_for_total_cashflow],MATCH($C18,PBC_ACCOUNT_LIST[Id],0))</f>
        <v>0</v>
      </c>
      <c r="BF18" s="547" cm="1">
        <f t="array" ref="BF18">(SUM(_xlfn._xlws.FILTER(_xlfn._xlws.FILTER(dataGLBSCF,dataGLBSAcctIDs=$C18),(endDatesCF=BF$5)))-SUM(_xlfn._xlws.FILTER(_xlfn._xlws.FILTER(dataGLBSCF,dataGLBSAcctIDs=$C18),(startDatesCF=EDATE(BF$4,-1)))))*INDEX(PBC_ACCOUNT_LIST[Sign_for_total_cashflow],MATCH($C18,PBC_ACCOUNT_LIST[Id],0))</f>
        <v>300</v>
      </c>
      <c r="BG18" s="547" cm="1">
        <f t="array" ref="BG18">(SUM(_xlfn._xlws.FILTER(_xlfn._xlws.FILTER(dataGLBSCF,dataGLBSAcctIDs=$C18),(endDatesCF=BG$5)))-SUM(_xlfn._xlws.FILTER(_xlfn._xlws.FILTER(dataGLBSCF,dataGLBSAcctIDs=$C18),(startDatesCF=EDATE(BG$4,-1)))))*INDEX(PBC_ACCOUNT_LIST[Sign_for_total_cashflow],MATCH($C18,PBC_ACCOUNT_LIST[Id],0))</f>
        <v>-1000</v>
      </c>
      <c r="BH18" s="547" cm="1">
        <f t="array" ref="BH18">(SUM(_xlfn._xlws.FILTER(_xlfn._xlws.FILTER(dataGLBSCF,dataGLBSAcctIDs=$C18),(endDatesCF=BH$5)))-SUM(_xlfn._xlws.FILTER(_xlfn._xlws.FILTER(dataGLBSCF,dataGLBSAcctIDs=$C18),(startDatesCF=EDATE(BH$4,-1)))))*INDEX(PBC_ACCOUNT_LIST[Sign_for_total_cashflow],MATCH($C18,PBC_ACCOUNT_LIST[Id],0))</f>
        <v>0</v>
      </c>
      <c r="BI18" s="547" cm="1">
        <f t="array" ref="BI18">(SUM(_xlfn._xlws.FILTER(_xlfn._xlws.FILTER(dataGLBSCF,dataGLBSAcctIDs=$C18),(endDatesCF=BI$5)))-SUM(_xlfn._xlws.FILTER(_xlfn._xlws.FILTER(dataGLBSCF,dataGLBSAcctIDs=$C18),(startDatesCF=EDATE(BI$4,-1)))))*INDEX(PBC_ACCOUNT_LIST[Sign_for_total_cashflow],MATCH($C18,PBC_ACCOUNT_LIST[Id],0))</f>
        <v>0</v>
      </c>
      <c r="BJ18" s="547" cm="1">
        <f t="array" ref="BJ18">(SUM(_xlfn._xlws.FILTER(_xlfn._xlws.FILTER(dataGLBSCF,dataGLBSAcctIDs=$C18),(endDatesCF=BJ$5)))-SUM(_xlfn._xlws.FILTER(_xlfn._xlws.FILTER(dataGLBSCF,dataGLBSAcctIDs=$C18),(startDatesCF=EDATE(BJ$4,-1)))))*INDEX(PBC_ACCOUNT_LIST[Sign_for_total_cashflow],MATCH($C18,PBC_ACCOUNT_LIST[Id],0))</f>
        <v>0</v>
      </c>
      <c r="BK18" s="547" cm="1">
        <f t="array" ref="BK18">(SUM(_xlfn._xlws.FILTER(_xlfn._xlws.FILTER(dataGLBSCF,dataGLBSAcctIDs=$C18),(endDatesCF=BK$5)))-SUM(_xlfn._xlws.FILTER(_xlfn._xlws.FILTER(dataGLBSCF,dataGLBSAcctIDs=$C18),(startDatesCF=EDATE(BK$4,-1)))))*INDEX(PBC_ACCOUNT_LIST[Sign_for_total_cashflow],MATCH($C18,PBC_ACCOUNT_LIST[Id],0))</f>
        <v>0</v>
      </c>
      <c r="BL18" s="547" cm="1">
        <f t="array" ref="BL18">(SUM(_xlfn._xlws.FILTER(_xlfn._xlws.FILTER(dataGLBSCF,dataGLBSAcctIDs=$C18),(endDatesCF=BL$5)))-SUM(_xlfn._xlws.FILTER(_xlfn._xlws.FILTER(dataGLBSCF,dataGLBSAcctIDs=$C18),(startDatesCF=EDATE(BL$4,-1)))))*INDEX(PBC_ACCOUNT_LIST[Sign_for_total_cashflow],MATCH($C18,PBC_ACCOUNT_LIST[Id],0))</f>
        <v>0</v>
      </c>
      <c r="BM18" s="547" cm="1">
        <f t="array" ref="BM18">(SUM(_xlfn._xlws.FILTER(_xlfn._xlws.FILTER(dataGLBSCF,dataGLBSAcctIDs=$C18),(endDatesCF=BM$5)))-SUM(_xlfn._xlws.FILTER(_xlfn._xlws.FILTER(dataGLBSCF,dataGLBSAcctIDs=$C18),(startDatesCF=EDATE(BM$4,-1)))))*INDEX(PBC_ACCOUNT_LIST[Sign_for_total_cashflow],MATCH($C18,PBC_ACCOUNT_LIST[Id],0))</f>
        <v>0</v>
      </c>
      <c r="BN18" s="547" cm="1">
        <f t="array" ref="BN18">(SUM(_xlfn._xlws.FILTER(_xlfn._xlws.FILTER(dataGLBSCF,dataGLBSAcctIDs=$C18),(endDatesCF=BN$5)))-SUM(_xlfn._xlws.FILTER(_xlfn._xlws.FILTER(dataGLBSCF,dataGLBSAcctIDs=$C18),(startDatesCF=EDATE(BN$4,-1)))))*INDEX(PBC_ACCOUNT_LIST[Sign_for_total_cashflow],MATCH($C18,PBC_ACCOUNT_LIST[Id],0))</f>
        <v>0</v>
      </c>
      <c r="BO18" s="547" cm="1">
        <f t="array" ref="BO18">(SUM(_xlfn._xlws.FILTER(_xlfn._xlws.FILTER(dataGLBSCF,dataGLBSAcctIDs=$C18),(endDatesCF=BO$5)))-SUM(_xlfn._xlws.FILTER(_xlfn._xlws.FILTER(dataGLBSCF,dataGLBSAcctIDs=$C18),(startDatesCF=EDATE(BO$4,-1)))))*INDEX(PBC_ACCOUNT_LIST[Sign_for_total_cashflow],MATCH($C18,PBC_ACCOUNT_LIST[Id],0))</f>
        <v>0</v>
      </c>
      <c r="BP18" s="547" cm="1">
        <f t="array" ref="BP18">(SUM(_xlfn._xlws.FILTER(_xlfn._xlws.FILTER(dataGLBSCF,dataGLBSAcctIDs=$C18),(endDatesCF=BP$5)))-SUM(_xlfn._xlws.FILTER(_xlfn._xlws.FILTER(dataGLBSCF,dataGLBSAcctIDs=$C18),(startDatesCF=EDATE(BP$4,-1)))))*INDEX(PBC_ACCOUNT_LIST[Sign_for_total_cashflow],MATCH($C18,PBC_ACCOUNT_LIST[Id],0))</f>
        <v>0</v>
      </c>
      <c r="BQ18" s="547" cm="1">
        <f t="array" ref="BQ18">(SUM(_xlfn._xlws.FILTER(_xlfn._xlws.FILTER(dataGLBSCF,dataGLBSAcctIDs=$C18),(endDatesCF=BQ$5)))-SUM(_xlfn._xlws.FILTER(_xlfn._xlws.FILTER(dataGLBSCF,dataGLBSAcctIDs=$C18),(startDatesCF=EDATE(BQ$4,-1)))))*INDEX(PBC_ACCOUNT_LIST[Sign_for_total_cashflow],MATCH($C18,PBC_ACCOUNT_LIST[Id],0))</f>
        <v>0</v>
      </c>
      <c r="BR18" s="547" cm="1">
        <f t="array" ref="BR18">(SUM(_xlfn._xlws.FILTER(_xlfn._xlws.FILTER(dataGLBSCF,dataGLBSAcctIDs=$C18),(endDatesCF=BR$5)))-SUM(_xlfn._xlws.FILTER(_xlfn._xlws.FILTER(dataGLBSCF,dataGLBSAcctIDs=$C18),(startDatesCF=EDATE(BR$4,-1)))))*INDEX(PBC_ACCOUNT_LIST[Sign_for_total_cashflow],MATCH($C18,PBC_ACCOUNT_LIST[Id],0))</f>
        <v>0</v>
      </c>
      <c r="BS18" s="547" cm="1">
        <f t="array" ref="BS18">(SUM(_xlfn._xlws.FILTER(_xlfn._xlws.FILTER(dataGLBSCF,dataGLBSAcctIDs=$C18),(endDatesCF=BS$5)))-SUM(_xlfn._xlws.FILTER(_xlfn._xlws.FILTER(dataGLBSCF,dataGLBSAcctIDs=$C18),(startDatesCF=EDATE(BS$4,-1)))))*INDEX(PBC_ACCOUNT_LIST[Sign_for_total_cashflow],MATCH($C18,PBC_ACCOUNT_LIST[Id],0))</f>
        <v>0</v>
      </c>
      <c r="BT18" s="547" cm="1">
        <f t="array" ref="BT18">(SUM(_xlfn._xlws.FILTER(_xlfn._xlws.FILTER(dataGLBSCF,dataGLBSAcctIDs=$C18),(endDatesCF=BT$5)))-SUM(_xlfn._xlws.FILTER(_xlfn._xlws.FILTER(dataGLBSCF,dataGLBSAcctIDs=$C18),(startDatesCF=EDATE(BT$4,-1)))))*INDEX(PBC_ACCOUNT_LIST[Sign_for_total_cashflow],MATCH($C18,PBC_ACCOUNT_LIST[Id],0))</f>
        <v>0</v>
      </c>
      <c r="BU18" s="547" cm="1">
        <f t="array" ref="BU18">(SUM(_xlfn._xlws.FILTER(_xlfn._xlws.FILTER(dataGLBSCF,dataGLBSAcctIDs=$C18),(endDatesCF=BU$5)))-SUM(_xlfn._xlws.FILTER(_xlfn._xlws.FILTER(dataGLBSCF,dataGLBSAcctIDs=$C18),(startDatesCF=EDATE(BU$4,-1)))))*INDEX(PBC_ACCOUNT_LIST[Sign_for_total_cashflow],MATCH($C18,PBC_ACCOUNT_LIST[Id],0))</f>
        <v>0</v>
      </c>
      <c r="BV18" s="547" cm="1">
        <f t="array" ref="BV18">(SUM(_xlfn._xlws.FILTER(_xlfn._xlws.FILTER(dataGLBSCF,dataGLBSAcctIDs=$C18),(endDatesCF=BV$5)))-SUM(_xlfn._xlws.FILTER(_xlfn._xlws.FILTER(dataGLBSCF,dataGLBSAcctIDs=$C18),(startDatesCF=EDATE(BV$4,-1)))))*INDEX(PBC_ACCOUNT_LIST[Sign_for_total_cashflow],MATCH($C18,PBC_ACCOUNT_LIST[Id],0))</f>
        <v>0</v>
      </c>
      <c r="BW18" s="547" cm="1">
        <f t="array" ref="BW18">(SUM(_xlfn._xlws.FILTER(_xlfn._xlws.FILTER(dataGLBSCF,dataGLBSAcctIDs=$C18),(endDatesCF=BW$5)))-SUM(_xlfn._xlws.FILTER(_xlfn._xlws.FILTER(dataGLBSCF,dataGLBSAcctIDs=$C18),(startDatesCF=EDATE(BW$4,-1)))))*INDEX(PBC_ACCOUNT_LIST[Sign_for_total_cashflow],MATCH($C18,PBC_ACCOUNT_LIST[Id],0))</f>
        <v>0</v>
      </c>
      <c r="BX18" s="547" cm="1">
        <f t="array" ref="BX18">(SUM(_xlfn._xlws.FILTER(_xlfn._xlws.FILTER(dataGLBSCF,dataGLBSAcctIDs=$C18),(endDatesCF=BX$5)))-SUM(_xlfn._xlws.FILTER(_xlfn._xlws.FILTER(dataGLBSCF,dataGLBSAcctIDs=$C18),(startDatesCF=EDATE(BX$4,-1)))))*INDEX(PBC_ACCOUNT_LIST[Sign_for_total_cashflow],MATCH($C18,PBC_ACCOUNT_LIST[Id],0))</f>
        <v>0</v>
      </c>
    </row>
    <row r="19" spans="1:92" customFormat="1" ht="21" customHeight="1">
      <c r="B19" s="685" t="s">
        <v>293</v>
      </c>
      <c r="C19">
        <v>194</v>
      </c>
      <c r="E19" s="547" cm="1">
        <f t="array" ref="E19">(SUM(_xlfn._xlws.FILTER(_xlfn._xlws.FILTER(dataGLBSCF,dataGLBSAcctIDs=$C19),(endDatesCF=E$5)))-SUM(_xlfn._xlws.FILTER(_xlfn._xlws.FILTER(dataGLBSCF,dataGLBSAcctIDs=$C19),(startDatesCF=EDATE(E$4,-1)))))*INDEX(PBC_ACCOUNT_LIST[Sign_for_total_cashflow],MATCH($C19,PBC_ACCOUNT_LIST[Id],0))</f>
        <v>15202</v>
      </c>
      <c r="F19" s="547" cm="1">
        <f t="array" ref="F19">(SUM(_xlfn._xlws.FILTER(_xlfn._xlws.FILTER(dataGLBSCF,dataGLBSAcctIDs=$C19),(endDatesCF=F$5)))-SUM(_xlfn._xlws.FILTER(_xlfn._xlws.FILTER(dataGLBSCF,dataGLBSAcctIDs=$C19),(startDatesCF=EDATE(F$4,-1)))))*INDEX(PBC_ACCOUNT_LIST[Sign_for_total_cashflow],MATCH($C19,PBC_ACCOUNT_LIST[Id],0))</f>
        <v>36609.5</v>
      </c>
      <c r="G19" s="547" cm="1">
        <f t="array" ref="G19">(SUM(_xlfn._xlws.FILTER(_xlfn._xlws.FILTER(dataGLBSCF,dataGLBSAcctIDs=$C19),(endDatesCF=G$5)))-SUM(_xlfn._xlws.FILTER(_xlfn._xlws.FILTER(dataGLBSCF,dataGLBSAcctIDs=$C19),(startDatesCF=EDATE(G$4,-1)))))*INDEX(PBC_ACCOUNT_LIST[Sign_for_total_cashflow],MATCH($C19,PBC_ACCOUNT_LIST[Id],0))</f>
        <v>36735.07666666666</v>
      </c>
      <c r="H19" s="547" cm="1">
        <f t="array" ref="H19">(SUM(_xlfn._xlws.FILTER(_xlfn._xlws.FILTER(dataGLBSCF,dataGLBSAcctIDs=$C19),(endDatesCF=H$5)))-SUM(_xlfn._xlws.FILTER(_xlfn._xlws.FILTER(dataGLBSCF,dataGLBSAcctIDs=$C19),(startDatesCF=EDATE(H$4,-1)))))*INDEX(PBC_ACCOUNT_LIST[Sign_for_total_cashflow],MATCH($C19,PBC_ACCOUNT_LIST[Id],0))</f>
        <v>31786.577777777769</v>
      </c>
      <c r="K19" s="547" cm="1">
        <f t="array" ref="K19">(SUM(_xlfn._xlws.FILTER(_xlfn._xlws.FILTER(dataGLBSCF,dataGLBSAcctIDs=$C19),(endDatesCF=K$5)))-SUM(_xlfn._xlws.FILTER(_xlfn._xlws.FILTER(dataGLBSCF,dataGLBSAcctIDs=$C19),(startDatesCF=EDATE(K$4,-1)))))*INDEX(PBC_ACCOUNT_LIST[Sign_for_total_cashflow],MATCH($C19,PBC_ACCOUNT_LIST[Id],0))</f>
        <v>277</v>
      </c>
      <c r="L19" s="547" cm="1">
        <f t="array" ref="L19">(SUM(_xlfn._xlws.FILTER(_xlfn._xlws.FILTER(dataGLBSCF,dataGLBSAcctIDs=$C19),(endDatesCF=L$5)))-SUM(_xlfn._xlws.FILTER(_xlfn._xlws.FILTER(dataGLBSCF,dataGLBSAcctIDs=$C19),(startDatesCF=EDATE(L$4,-1)))))*INDEX(PBC_ACCOUNT_LIST[Sign_for_total_cashflow],MATCH($C19,PBC_ACCOUNT_LIST[Id],0))</f>
        <v>3695</v>
      </c>
      <c r="M19" s="547" cm="1">
        <f t="array" ref="M19">(SUM(_xlfn._xlws.FILTER(_xlfn._xlws.FILTER(dataGLBSCF,dataGLBSAcctIDs=$C19),(endDatesCF=M$5)))-SUM(_xlfn._xlws.FILTER(_xlfn._xlws.FILTER(dataGLBSCF,dataGLBSAcctIDs=$C19),(startDatesCF=EDATE(M$4,-1)))))*INDEX(PBC_ACCOUNT_LIST[Sign_for_total_cashflow],MATCH($C19,PBC_ACCOUNT_LIST[Id],0))</f>
        <v>4347</v>
      </c>
      <c r="N19" s="547" cm="1">
        <f t="array" ref="N19">(SUM(_xlfn._xlws.FILTER(_xlfn._xlws.FILTER(dataGLBSCF,dataGLBSAcctIDs=$C19),(endDatesCF=N$5)))-SUM(_xlfn._xlws.FILTER(_xlfn._xlws.FILTER(dataGLBSCF,dataGLBSAcctIDs=$C19),(startDatesCF=EDATE(N$4,-1)))))*INDEX(PBC_ACCOUNT_LIST[Sign_for_total_cashflow],MATCH($C19,PBC_ACCOUNT_LIST[Id],0))</f>
        <v>6883</v>
      </c>
      <c r="O19" s="547" cm="1">
        <f t="array" ref="O19">(SUM(_xlfn._xlws.FILTER(_xlfn._xlws.FILTER(dataGLBSCF,dataGLBSAcctIDs=$C19),(endDatesCF=O$5)))-SUM(_xlfn._xlws.FILTER(_xlfn._xlws.FILTER(dataGLBSCF,dataGLBSAcctIDs=$C19),(startDatesCF=EDATE(O$4,-1)))))*INDEX(PBC_ACCOUNT_LIST[Sign_for_total_cashflow],MATCH($C19,PBC_ACCOUNT_LIST[Id],0))</f>
        <v>9152</v>
      </c>
      <c r="P19" s="547" cm="1">
        <f t="array" ref="P19">(SUM(_xlfn._xlws.FILTER(_xlfn._xlws.FILTER(dataGLBSCF,dataGLBSAcctIDs=$C19),(endDatesCF=P$5)))-SUM(_xlfn._xlws.FILTER(_xlfn._xlws.FILTER(dataGLBSCF,dataGLBSAcctIDs=$C19),(startDatesCF=EDATE(P$4,-1)))))*INDEX(PBC_ACCOUNT_LIST[Sign_for_total_cashflow],MATCH($C19,PBC_ACCOUNT_LIST[Id],0))</f>
        <v>9152</v>
      </c>
      <c r="Q19" s="547" cm="1">
        <f t="array" ref="Q19">(SUM(_xlfn._xlws.FILTER(_xlfn._xlws.FILTER(dataGLBSCF,dataGLBSAcctIDs=$C19),(endDatesCF=Q$5)))-SUM(_xlfn._xlws.FILTER(_xlfn._xlws.FILTER(dataGLBSCF,dataGLBSAcctIDs=$C19),(startDatesCF=EDATE(Q$4,-1)))))*INDEX(PBC_ACCOUNT_LIST[Sign_for_total_cashflow],MATCH($C19,PBC_ACCOUNT_LIST[Id],0))</f>
        <v>9153</v>
      </c>
      <c r="R19" s="547" cm="1">
        <f t="array" ref="R19">(SUM(_xlfn._xlws.FILTER(_xlfn._xlws.FILTER(dataGLBSCF,dataGLBSAcctIDs=$C19),(endDatesCF=R$5)))-SUM(_xlfn._xlws.FILTER(_xlfn._xlws.FILTER(dataGLBSCF,dataGLBSAcctIDs=$C19),(startDatesCF=EDATE(R$4,-1)))))*INDEX(PBC_ACCOUNT_LIST[Sign_for_total_cashflow],MATCH($C19,PBC_ACCOUNT_LIST[Id],0))</f>
        <v>9152.5</v>
      </c>
      <c r="S19" s="547" cm="1">
        <f t="array" ref="S19">(SUM(_xlfn._xlws.FILTER(_xlfn._xlws.FILTER(dataGLBSCF,dataGLBSAcctIDs=$C19),(endDatesCF=S$5)))-SUM(_xlfn._xlws.FILTER(_xlfn._xlws.FILTER(dataGLBSCF,dataGLBSAcctIDs=$C19),(startDatesCF=EDATE(S$4,-1)))))*INDEX(PBC_ACCOUNT_LIST[Sign_for_total_cashflow],MATCH($C19,PBC_ACCOUNT_LIST[Id],0))</f>
        <v>9151.9800000000032</v>
      </c>
      <c r="T19" s="547" cm="1">
        <f t="array" ref="T19">(SUM(_xlfn._xlws.FILTER(_xlfn._xlws.FILTER(dataGLBSCF,dataGLBSAcctIDs=$C19),(endDatesCF=T$5)))-SUM(_xlfn._xlws.FILTER(_xlfn._xlws.FILTER(dataGLBSCF,dataGLBSAcctIDs=$C19),(startDatesCF=EDATE(T$4,-1)))))*INDEX(PBC_ACCOUNT_LIST[Sign_for_total_cashflow],MATCH($C19,PBC_ACCOUNT_LIST[Id],0))</f>
        <v>9151.9800000000032</v>
      </c>
      <c r="U19" s="547" cm="1">
        <f t="array" ref="U19">(SUM(_xlfn._xlws.FILTER(_xlfn._xlws.FILTER(dataGLBSCF,dataGLBSAcctIDs=$C19),(endDatesCF=U$5)))-SUM(_xlfn._xlws.FILTER(_xlfn._xlws.FILTER(dataGLBSCF,dataGLBSAcctIDs=$C19),(startDatesCF=EDATE(U$4,-1)))))*INDEX(PBC_ACCOUNT_LIST[Sign_for_total_cashflow],MATCH($C19,PBC_ACCOUNT_LIST[Id],0))</f>
        <v>9151.9799999999959</v>
      </c>
      <c r="V19" s="547" cm="1">
        <f t="array" ref="V19">(SUM(_xlfn._xlws.FILTER(_xlfn._xlws.FILTER(dataGLBSCF,dataGLBSAcctIDs=$C19),(endDatesCF=V$5)))-SUM(_xlfn._xlws.FILTER(_xlfn._xlws.FILTER(dataGLBSCF,dataGLBSAcctIDs=$C19),(startDatesCF=EDATE(V$4,-1)))))*INDEX(PBC_ACCOUNT_LIST[Sign_for_total_cashflow],MATCH($C19,PBC_ACCOUNT_LIST[Id],0))</f>
        <v>9279.1366666666581</v>
      </c>
      <c r="W19" s="547" cm="1">
        <f t="array" ref="W19">(SUM(_xlfn._xlws.FILTER(_xlfn._xlws.FILTER(dataGLBSCF,dataGLBSAcctIDs=$C19),(endDatesCF=W$5)))-SUM(_xlfn._xlws.FILTER(_xlfn._xlws.FILTER(dataGLBSCF,dataGLBSAcctIDs=$C19),(startDatesCF=EDATE(W$4,-1)))))*INDEX(PBC_ACCOUNT_LIST[Sign_for_total_cashflow],MATCH($C19,PBC_ACCOUNT_LIST[Id],0))</f>
        <v>9811.2277777777781</v>
      </c>
      <c r="X19" s="547" cm="1">
        <f t="array" ref="X19">(SUM(_xlfn._xlws.FILTER(_xlfn._xlws.FILTER(dataGLBSCF,dataGLBSAcctIDs=$C19),(endDatesCF=X$5)))-SUM(_xlfn._xlws.FILTER(_xlfn._xlws.FILTER(dataGLBSCF,dataGLBSAcctIDs=$C19),(startDatesCF=EDATE(X$4,-1)))))*INDEX(PBC_ACCOUNT_LIST[Sign_for_total_cashflow],MATCH($C19,PBC_ACCOUNT_LIST[Id],0))</f>
        <v>7505.6722222222306</v>
      </c>
      <c r="Y19" s="547" cm="1">
        <f t="array" ref="Y19">(SUM(_xlfn._xlws.FILTER(_xlfn._xlws.FILTER(dataGLBSCF,dataGLBSAcctIDs=$C19),(endDatesCF=Y$5)))-SUM(_xlfn._xlws.FILTER(_xlfn._xlws.FILTER(dataGLBSCF,dataGLBSAcctIDs=$C19),(startDatesCF=EDATE(Y$4,-1)))))*INDEX(PBC_ACCOUNT_LIST[Sign_for_total_cashflow],MATCH($C19,PBC_ACCOUNT_LIST[Id],0))</f>
        <v>7269.5611111111066</v>
      </c>
      <c r="Z19" s="547" cm="1">
        <f t="array" ref="Z19">(SUM(_xlfn._xlws.FILTER(_xlfn._xlws.FILTER(dataGLBSCF,dataGLBSAcctIDs=$C19),(endDatesCF=Z$5)))-SUM(_xlfn._xlws.FILTER(_xlfn._xlws.FILTER(dataGLBSCF,dataGLBSAcctIDs=$C19),(startDatesCF=EDATE(Z$4,-1)))))*INDEX(PBC_ACCOUNT_LIST[Sign_for_total_cashflow],MATCH($C19,PBC_ACCOUNT_LIST[Id],0))</f>
        <v>7200.1166666666541</v>
      </c>
      <c r="AC19" s="547" cm="1">
        <f t="array" ref="AC19">(SUM(_xlfn._xlws.FILTER(_xlfn._xlws.FILTER(dataGLBSCF,dataGLBSAcctIDs=$C19),(endDatesCF=AC$5)))-SUM(_xlfn._xlws.FILTER(_xlfn._xlws.FILTER(dataGLBSCF,dataGLBSAcctIDs=$C19),(startDatesCF=EDATE(AC$4,-1)))))*INDEX(PBC_ACCOUNT_LIST[Sign_for_total_cashflow],MATCH($C19,PBC_ACCOUNT_LIST[Id],0))</f>
        <v>69</v>
      </c>
      <c r="AD19" s="547" cm="1">
        <f t="array" ref="AD19">(SUM(_xlfn._xlws.FILTER(_xlfn._xlws.FILTER(dataGLBSCF,dataGLBSAcctIDs=$C19),(endDatesCF=AD$5)))-SUM(_xlfn._xlws.FILTER(_xlfn._xlws.FILTER(dataGLBSCF,dataGLBSAcctIDs=$C19),(startDatesCF=EDATE(AD$4,-1)))))*INDEX(PBC_ACCOUNT_LIST[Sign_for_total_cashflow],MATCH($C19,PBC_ACCOUNT_LIST[Id],0))</f>
        <v>69</v>
      </c>
      <c r="AE19" s="547" cm="1">
        <f t="array" ref="AE19">(SUM(_xlfn._xlws.FILTER(_xlfn._xlws.FILTER(dataGLBSCF,dataGLBSAcctIDs=$C19),(endDatesCF=AE$5)))-SUM(_xlfn._xlws.FILTER(_xlfn._xlws.FILTER(dataGLBSCF,dataGLBSAcctIDs=$C19),(startDatesCF=EDATE(AE$4,-1)))))*INDEX(PBC_ACCOUNT_LIST[Sign_for_total_cashflow],MATCH($C19,PBC_ACCOUNT_LIST[Id],0))</f>
        <v>139</v>
      </c>
      <c r="AF19" s="547" cm="1">
        <f t="array" ref="AF19">(SUM(_xlfn._xlws.FILTER(_xlfn._xlws.FILTER(dataGLBSCF,dataGLBSAcctIDs=$C19),(endDatesCF=AF$5)))-SUM(_xlfn._xlws.FILTER(_xlfn._xlws.FILTER(dataGLBSCF,dataGLBSAcctIDs=$C19),(startDatesCF=EDATE(AF$4,-1)))))*INDEX(PBC_ACCOUNT_LIST[Sign_for_total_cashflow],MATCH($C19,PBC_ACCOUNT_LIST[Id],0))</f>
        <v>1111</v>
      </c>
      <c r="AG19" s="547" cm="1">
        <f t="array" ref="AG19">(SUM(_xlfn._xlws.FILTER(_xlfn._xlws.FILTER(dataGLBSCF,dataGLBSAcctIDs=$C19),(endDatesCF=AG$5)))-SUM(_xlfn._xlws.FILTER(_xlfn._xlws.FILTER(dataGLBSCF,dataGLBSAcctIDs=$C19),(startDatesCF=EDATE(AG$4,-1)))))*INDEX(PBC_ACCOUNT_LIST[Sign_for_total_cashflow],MATCH($C19,PBC_ACCOUNT_LIST[Id],0))</f>
        <v>1181</v>
      </c>
      <c r="AH19" s="547" cm="1">
        <f t="array" ref="AH19">(SUM(_xlfn._xlws.FILTER(_xlfn._xlws.FILTER(dataGLBSCF,dataGLBSAcctIDs=$C19),(endDatesCF=AH$5)))-SUM(_xlfn._xlws.FILTER(_xlfn._xlws.FILTER(dataGLBSCF,dataGLBSAcctIDs=$C19),(startDatesCF=EDATE(AH$4,-1)))))*INDEX(PBC_ACCOUNT_LIST[Sign_for_total_cashflow],MATCH($C19,PBC_ACCOUNT_LIST[Id],0))</f>
        <v>1403</v>
      </c>
      <c r="AI19" s="547" cm="1">
        <f t="array" ref="AI19">(SUM(_xlfn._xlws.FILTER(_xlfn._xlws.FILTER(dataGLBSCF,dataGLBSAcctIDs=$C19),(endDatesCF=AI$5)))-SUM(_xlfn._xlws.FILTER(_xlfn._xlws.FILTER(dataGLBSCF,dataGLBSAcctIDs=$C19),(startDatesCF=EDATE(AI$4,-1)))))*INDEX(PBC_ACCOUNT_LIST[Sign_for_total_cashflow],MATCH($C19,PBC_ACCOUNT_LIST[Id],0))</f>
        <v>1403</v>
      </c>
      <c r="AJ19" s="547" cm="1">
        <f t="array" ref="AJ19">(SUM(_xlfn._xlws.FILTER(_xlfn._xlws.FILTER(dataGLBSCF,dataGLBSAcctIDs=$C19),(endDatesCF=AJ$5)))-SUM(_xlfn._xlws.FILTER(_xlfn._xlws.FILTER(dataGLBSCF,dataGLBSAcctIDs=$C19),(startDatesCF=EDATE(AJ$4,-1)))))*INDEX(PBC_ACCOUNT_LIST[Sign_for_total_cashflow],MATCH($C19,PBC_ACCOUNT_LIST[Id],0))</f>
        <v>1472</v>
      </c>
      <c r="AK19" s="547" cm="1">
        <f t="array" ref="AK19">(SUM(_xlfn._xlws.FILTER(_xlfn._xlws.FILTER(dataGLBSCF,dataGLBSAcctIDs=$C19),(endDatesCF=AK$5)))-SUM(_xlfn._xlws.FILTER(_xlfn._xlws.FILTER(dataGLBSCF,dataGLBSAcctIDs=$C19),(startDatesCF=EDATE(AK$4,-1)))))*INDEX(PBC_ACCOUNT_LIST[Sign_for_total_cashflow],MATCH($C19,PBC_ACCOUNT_LIST[Id],0))</f>
        <v>1472</v>
      </c>
      <c r="AL19" s="547" cm="1">
        <f t="array" ref="AL19">(SUM(_xlfn._xlws.FILTER(_xlfn._xlws.FILTER(dataGLBSCF,dataGLBSAcctIDs=$C19),(endDatesCF=AL$5)))-SUM(_xlfn._xlws.FILTER(_xlfn._xlws.FILTER(dataGLBSCF,dataGLBSAcctIDs=$C19),(startDatesCF=EDATE(AL$4,-1)))))*INDEX(PBC_ACCOUNT_LIST[Sign_for_total_cashflow],MATCH($C19,PBC_ACCOUNT_LIST[Id],0))</f>
        <v>1472</v>
      </c>
      <c r="AM19" s="547" cm="1">
        <f t="array" ref="AM19">(SUM(_xlfn._xlws.FILTER(_xlfn._xlws.FILTER(dataGLBSCF,dataGLBSAcctIDs=$C19),(endDatesCF=AM$5)))-SUM(_xlfn._xlws.FILTER(_xlfn._xlws.FILTER(dataGLBSCF,dataGLBSAcctIDs=$C19),(startDatesCF=EDATE(AM$4,-1)))))*INDEX(PBC_ACCOUNT_LIST[Sign_for_total_cashflow],MATCH($C19,PBC_ACCOUNT_LIST[Id],0))</f>
        <v>2360</v>
      </c>
      <c r="AN19" s="547" cm="1">
        <f t="array" ref="AN19">(SUM(_xlfn._xlws.FILTER(_xlfn._xlws.FILTER(dataGLBSCF,dataGLBSAcctIDs=$C19),(endDatesCF=AN$5)))-SUM(_xlfn._xlws.FILTER(_xlfn._xlws.FILTER(dataGLBSCF,dataGLBSAcctIDs=$C19),(startDatesCF=EDATE(AN$4,-1)))))*INDEX(PBC_ACCOUNT_LIST[Sign_for_total_cashflow],MATCH($C19,PBC_ACCOUNT_LIST[Id],0))</f>
        <v>3051</v>
      </c>
      <c r="AO19" s="547" cm="1">
        <f t="array" ref="AO19">(SUM(_xlfn._xlws.FILTER(_xlfn._xlws.FILTER(dataGLBSCF,dataGLBSAcctIDs=$C19),(endDatesCF=AO$5)))-SUM(_xlfn._xlws.FILTER(_xlfn._xlws.FILTER(dataGLBSCF,dataGLBSAcctIDs=$C19),(startDatesCF=EDATE(AO$4,-1)))))*INDEX(PBC_ACCOUNT_LIST[Sign_for_total_cashflow],MATCH($C19,PBC_ACCOUNT_LIST[Id],0))</f>
        <v>3050.5</v>
      </c>
      <c r="AP19" s="547" cm="1">
        <f t="array" ref="AP19">(SUM(_xlfn._xlws.FILTER(_xlfn._xlws.FILTER(dataGLBSCF,dataGLBSAcctIDs=$C19),(endDatesCF=AP$5)))-SUM(_xlfn._xlws.FILTER(_xlfn._xlws.FILTER(dataGLBSCF,dataGLBSAcctIDs=$C19),(startDatesCF=EDATE(AP$4,-1)))))*INDEX(PBC_ACCOUNT_LIST[Sign_for_total_cashflow],MATCH($C19,PBC_ACCOUNT_LIST[Id],0))</f>
        <v>3051</v>
      </c>
      <c r="AQ19" s="547" cm="1">
        <f t="array" ref="AQ19">(SUM(_xlfn._xlws.FILTER(_xlfn._xlws.FILTER(dataGLBSCF,dataGLBSAcctIDs=$C19),(endDatesCF=AQ$5)))-SUM(_xlfn._xlws.FILTER(_xlfn._xlws.FILTER(dataGLBSCF,dataGLBSAcctIDs=$C19),(startDatesCF=EDATE(AQ$4,-1)))))*INDEX(PBC_ACCOUNT_LIST[Sign_for_total_cashflow],MATCH($C19,PBC_ACCOUNT_LIST[Id],0))</f>
        <v>3050.5</v>
      </c>
      <c r="AR19" s="547" cm="1">
        <f t="array" ref="AR19">(SUM(_xlfn._xlws.FILTER(_xlfn._xlws.FILTER(dataGLBSCF,dataGLBSAcctIDs=$C19),(endDatesCF=AR$5)))-SUM(_xlfn._xlws.FILTER(_xlfn._xlws.FILTER(dataGLBSCF,dataGLBSAcctIDs=$C19),(startDatesCF=EDATE(AR$4,-1)))))*INDEX(PBC_ACCOUNT_LIST[Sign_for_total_cashflow],MATCH($C19,PBC_ACCOUNT_LIST[Id],0))</f>
        <v>3050.5</v>
      </c>
      <c r="AS19" s="547" cm="1">
        <f t="array" ref="AS19">(SUM(_xlfn._xlws.FILTER(_xlfn._xlws.FILTER(dataGLBSCF,dataGLBSAcctIDs=$C19),(endDatesCF=AS$5)))-SUM(_xlfn._xlws.FILTER(_xlfn._xlws.FILTER(dataGLBSCF,dataGLBSAcctIDs=$C19),(startDatesCF=EDATE(AS$4,-1)))))*INDEX(PBC_ACCOUNT_LIST[Sign_for_total_cashflow],MATCH($C19,PBC_ACCOUNT_LIST[Id],0))</f>
        <v>3050.5</v>
      </c>
      <c r="AT19" s="547" cm="1">
        <f t="array" ref="AT19">(SUM(_xlfn._xlws.FILTER(_xlfn._xlws.FILTER(dataGLBSCF,dataGLBSAcctIDs=$C19),(endDatesCF=AT$5)))-SUM(_xlfn._xlws.FILTER(_xlfn._xlws.FILTER(dataGLBSCF,dataGLBSAcctIDs=$C19),(startDatesCF=EDATE(AT$4,-1)))))*INDEX(PBC_ACCOUNT_LIST[Sign_for_total_cashflow],MATCH($C19,PBC_ACCOUNT_LIST[Id],0))</f>
        <v>3051</v>
      </c>
      <c r="AU19" s="547" cm="1">
        <f t="array" ref="AU19">(SUM(_xlfn._xlws.FILTER(_xlfn._xlws.FILTER(dataGLBSCF,dataGLBSAcctIDs=$C19),(endDatesCF=AU$5)))-SUM(_xlfn._xlws.FILTER(_xlfn._xlws.FILTER(dataGLBSCF,dataGLBSAcctIDs=$C19),(startDatesCF=EDATE(AU$4,-1)))))*INDEX(PBC_ACCOUNT_LIST[Sign_for_total_cashflow],MATCH($C19,PBC_ACCOUNT_LIST[Id],0))</f>
        <v>3051</v>
      </c>
      <c r="AV19" s="547" cm="1">
        <f t="array" ref="AV19">(SUM(_xlfn._xlws.FILTER(_xlfn._xlws.FILTER(dataGLBSCF,dataGLBSAcctIDs=$C19),(endDatesCF=AV$5)))-SUM(_xlfn._xlws.FILTER(_xlfn._xlws.FILTER(dataGLBSCF,dataGLBSAcctIDs=$C19),(startDatesCF=EDATE(AV$4,-1)))))*INDEX(PBC_ACCOUNT_LIST[Sign_for_total_cashflow],MATCH($C19,PBC_ACCOUNT_LIST[Id],0))</f>
        <v>3051</v>
      </c>
      <c r="AW19" s="547" cm="1">
        <f t="array" ref="AW19">(SUM(_xlfn._xlws.FILTER(_xlfn._xlws.FILTER(dataGLBSCF,dataGLBSAcctIDs=$C19),(endDatesCF=AW$5)))-SUM(_xlfn._xlws.FILTER(_xlfn._xlws.FILTER(dataGLBSCF,dataGLBSAcctIDs=$C19),(startDatesCF=EDATE(AW$4,-1)))))*INDEX(PBC_ACCOUNT_LIST[Sign_for_total_cashflow],MATCH($C19,PBC_ACCOUNT_LIST[Id],0))</f>
        <v>3051</v>
      </c>
      <c r="AX19" s="547" cm="1">
        <f t="array" ref="AX19">(SUM(_xlfn._xlws.FILTER(_xlfn._xlws.FILTER(dataGLBSCF,dataGLBSAcctIDs=$C19),(endDatesCF=AX$5)))-SUM(_xlfn._xlws.FILTER(_xlfn._xlws.FILTER(dataGLBSCF,dataGLBSAcctIDs=$C19),(startDatesCF=EDATE(AX$4,-1)))))*INDEX(PBC_ACCOUNT_LIST[Sign_for_total_cashflow],MATCH($C19,PBC_ACCOUNT_LIST[Id],0))</f>
        <v>3051</v>
      </c>
      <c r="AY19" s="547" cm="1">
        <f t="array" ref="AY19">(SUM(_xlfn._xlws.FILTER(_xlfn._xlws.FILTER(dataGLBSCF,dataGLBSAcctIDs=$C19),(endDatesCF=AY$5)))-SUM(_xlfn._xlws.FILTER(_xlfn._xlws.FILTER(dataGLBSCF,dataGLBSAcctIDs=$C19),(startDatesCF=EDATE(AY$4,-1)))))*INDEX(PBC_ACCOUNT_LIST[Sign_for_total_cashflow],MATCH($C19,PBC_ACCOUNT_LIST[Id],0))</f>
        <v>3051</v>
      </c>
      <c r="AZ19" s="547" cm="1">
        <f t="array" ref="AZ19">(SUM(_xlfn._xlws.FILTER(_xlfn._xlws.FILTER(dataGLBSCF,dataGLBSAcctIDs=$C19),(endDatesCF=AZ$5)))-SUM(_xlfn._xlws.FILTER(_xlfn._xlws.FILTER(dataGLBSCF,dataGLBSAcctIDs=$C19),(startDatesCF=EDATE(AZ$4,-1)))))*INDEX(PBC_ACCOUNT_LIST[Sign_for_total_cashflow],MATCH($C19,PBC_ACCOUNT_LIST[Id],0))</f>
        <v>3050.5</v>
      </c>
      <c r="BA19" s="547" cm="1">
        <f t="array" ref="BA19">(SUM(_xlfn._xlws.FILTER(_xlfn._xlws.FILTER(dataGLBSCF,dataGLBSAcctIDs=$C19),(endDatesCF=BA$5)))-SUM(_xlfn._xlws.FILTER(_xlfn._xlws.FILTER(dataGLBSCF,dataGLBSAcctIDs=$C19),(startDatesCF=EDATE(BA$4,-1)))))*INDEX(PBC_ACCOUNT_LIST[Sign_for_total_cashflow],MATCH($C19,PBC_ACCOUNT_LIST[Id],0))</f>
        <v>3050.6600000000035</v>
      </c>
      <c r="BB19" s="547" cm="1">
        <f t="array" ref="BB19">(SUM(_xlfn._xlws.FILTER(_xlfn._xlws.FILTER(dataGLBSCF,dataGLBSAcctIDs=$C19),(endDatesCF=BB$5)))-SUM(_xlfn._xlws.FILTER(_xlfn._xlws.FILTER(dataGLBSCF,dataGLBSAcctIDs=$C19),(startDatesCF=EDATE(BB$4,-1)))))*INDEX(PBC_ACCOUNT_LIST[Sign_for_total_cashflow],MATCH($C19,PBC_ACCOUNT_LIST[Id],0))</f>
        <v>3050.6599999999962</v>
      </c>
      <c r="BC19" s="547" cm="1">
        <f t="array" ref="BC19">(SUM(_xlfn._xlws.FILTER(_xlfn._xlws.FILTER(dataGLBSCF,dataGLBSAcctIDs=$C19),(endDatesCF=BC$5)))-SUM(_xlfn._xlws.FILTER(_xlfn._xlws.FILTER(dataGLBSCF,dataGLBSAcctIDs=$C19),(startDatesCF=EDATE(BC$4,-1)))))*INDEX(PBC_ACCOUNT_LIST[Sign_for_total_cashflow],MATCH($C19,PBC_ACCOUNT_LIST[Id],0))</f>
        <v>3050.6600000000035</v>
      </c>
      <c r="BD19" s="547" cm="1">
        <f t="array" ref="BD19">(SUM(_xlfn._xlws.FILTER(_xlfn._xlws.FILTER(dataGLBSCF,dataGLBSAcctIDs=$C19),(endDatesCF=BD$5)))-SUM(_xlfn._xlws.FILTER(_xlfn._xlws.FILTER(dataGLBSCF,dataGLBSAcctIDs=$C19),(startDatesCF=EDATE(BD$4,-1)))))*INDEX(PBC_ACCOUNT_LIST[Sign_for_total_cashflow],MATCH($C19,PBC_ACCOUNT_LIST[Id],0))</f>
        <v>3050.6599999999962</v>
      </c>
      <c r="BE19" s="547" cm="1">
        <f t="array" ref="BE19">(SUM(_xlfn._xlws.FILTER(_xlfn._xlws.FILTER(dataGLBSCF,dataGLBSAcctIDs=$C19),(endDatesCF=BE$5)))-SUM(_xlfn._xlws.FILTER(_xlfn._xlws.FILTER(dataGLBSCF,dataGLBSAcctIDs=$C19),(startDatesCF=EDATE(BE$4,-1)))))*INDEX(PBC_ACCOUNT_LIST[Sign_for_total_cashflow],MATCH($C19,PBC_ACCOUNT_LIST[Id],0))</f>
        <v>3050.6600000000035</v>
      </c>
      <c r="BF19" s="547" cm="1">
        <f t="array" ref="BF19">(SUM(_xlfn._xlws.FILTER(_xlfn._xlws.FILTER(dataGLBSCF,dataGLBSAcctIDs=$C19),(endDatesCF=BF$5)))-SUM(_xlfn._xlws.FILTER(_xlfn._xlws.FILTER(dataGLBSCF,dataGLBSAcctIDs=$C19),(startDatesCF=EDATE(BF$4,-1)))))*INDEX(PBC_ACCOUNT_LIST[Sign_for_total_cashflow],MATCH($C19,PBC_ACCOUNT_LIST[Id],0))</f>
        <v>3050.6600000000035</v>
      </c>
      <c r="BG19" s="547" cm="1">
        <f t="array" ref="BG19">(SUM(_xlfn._xlws.FILTER(_xlfn._xlws.FILTER(dataGLBSCF,dataGLBSAcctIDs=$C19),(endDatesCF=BG$5)))-SUM(_xlfn._xlws.FILTER(_xlfn._xlws.FILTER(dataGLBSCF,dataGLBSAcctIDs=$C19),(startDatesCF=EDATE(BG$4,-1)))))*INDEX(PBC_ACCOUNT_LIST[Sign_for_total_cashflow],MATCH($C19,PBC_ACCOUNT_LIST[Id],0))</f>
        <v>3050.6599999999889</v>
      </c>
      <c r="BH19" s="547" cm="1">
        <f t="array" ref="BH19">(SUM(_xlfn._xlws.FILTER(_xlfn._xlws.FILTER(dataGLBSCF,dataGLBSAcctIDs=$C19),(endDatesCF=BH$5)))-SUM(_xlfn._xlws.FILTER(_xlfn._xlws.FILTER(dataGLBSCF,dataGLBSAcctIDs=$C19),(startDatesCF=EDATE(BH$4,-1)))))*INDEX(PBC_ACCOUNT_LIST[Sign_for_total_cashflow],MATCH($C19,PBC_ACCOUNT_LIST[Id],0))</f>
        <v>3050.6600000000035</v>
      </c>
      <c r="BI19" s="547" cm="1">
        <f t="array" ref="BI19">(SUM(_xlfn._xlws.FILTER(_xlfn._xlws.FILTER(dataGLBSCF,dataGLBSAcctIDs=$C19),(endDatesCF=BI$5)))-SUM(_xlfn._xlws.FILTER(_xlfn._xlws.FILTER(dataGLBSCF,dataGLBSAcctIDs=$C19),(startDatesCF=EDATE(BI$4,-1)))))*INDEX(PBC_ACCOUNT_LIST[Sign_for_total_cashflow],MATCH($C19,PBC_ACCOUNT_LIST[Id],0))</f>
        <v>3050.6600000000035</v>
      </c>
      <c r="BJ19" s="547" cm="1">
        <f t="array" ref="BJ19">(SUM(_xlfn._xlws.FILTER(_xlfn._xlws.FILTER(dataGLBSCF,dataGLBSAcctIDs=$C19),(endDatesCF=BJ$5)))-SUM(_xlfn._xlws.FILTER(_xlfn._xlws.FILTER(dataGLBSCF,dataGLBSAcctIDs=$C19),(startDatesCF=EDATE(BJ$4,-1)))))*INDEX(PBC_ACCOUNT_LIST[Sign_for_total_cashflow],MATCH($C19,PBC_ACCOUNT_LIST[Id],0))</f>
        <v>3050.6600000000035</v>
      </c>
      <c r="BK19" s="547" cm="1">
        <f t="array" ref="BK19">(SUM(_xlfn._xlws.FILTER(_xlfn._xlws.FILTER(dataGLBSCF,dataGLBSAcctIDs=$C19),(endDatesCF=BK$5)))-SUM(_xlfn._xlws.FILTER(_xlfn._xlws.FILTER(dataGLBSCF,dataGLBSAcctIDs=$C19),(startDatesCF=EDATE(BK$4,-1)))))*INDEX(PBC_ACCOUNT_LIST[Sign_for_total_cashflow],MATCH($C19,PBC_ACCOUNT_LIST[Id],0))</f>
        <v>3050.6599999999889</v>
      </c>
      <c r="BL19" s="547" cm="1">
        <f t="array" ref="BL19">(SUM(_xlfn._xlws.FILTER(_xlfn._xlws.FILTER(dataGLBSCF,dataGLBSAcctIDs=$C19),(endDatesCF=BL$5)))-SUM(_xlfn._xlws.FILTER(_xlfn._xlws.FILTER(dataGLBSCF,dataGLBSAcctIDs=$C19),(startDatesCF=EDATE(BL$4,-1)))))*INDEX(PBC_ACCOUNT_LIST[Sign_for_total_cashflow],MATCH($C19,PBC_ACCOUNT_LIST[Id],0))</f>
        <v>3177.8166666666657</v>
      </c>
      <c r="BM19" s="547" cm="1">
        <f t="array" ref="BM19">(SUM(_xlfn._xlws.FILTER(_xlfn._xlws.FILTER(dataGLBSCF,dataGLBSAcctIDs=$C19),(endDatesCF=BM$5)))-SUM(_xlfn._xlws.FILTER(_xlfn._xlws.FILTER(dataGLBSCF,dataGLBSAcctIDs=$C19),(startDatesCF=EDATE(BM$4,-1)))))*INDEX(PBC_ACCOUNT_LIST[Sign_for_total_cashflow],MATCH($C19,PBC_ACCOUNT_LIST[Id],0))</f>
        <v>3108.3722222222277</v>
      </c>
      <c r="BN19" s="547" cm="1">
        <f t="array" ref="BN19">(SUM(_xlfn._xlws.FILTER(_xlfn._xlws.FILTER(dataGLBSCF,dataGLBSAcctIDs=$C19),(endDatesCF=BN$5)))-SUM(_xlfn._xlws.FILTER(_xlfn._xlws.FILTER(dataGLBSCF,dataGLBSAcctIDs=$C19),(startDatesCF=EDATE(BN$4,-1)))))*INDEX(PBC_ACCOUNT_LIST[Sign_for_total_cashflow],MATCH($C19,PBC_ACCOUNT_LIST[Id],0))</f>
        <v>3386.1499999999942</v>
      </c>
      <c r="BO19" s="547" cm="1">
        <f t="array" ref="BO19">(SUM(_xlfn._xlws.FILTER(_xlfn._xlws.FILTER(dataGLBSCF,dataGLBSAcctIDs=$C19),(endDatesCF=BO$5)))-SUM(_xlfn._xlws.FILTER(_xlfn._xlws.FILTER(dataGLBSCF,dataGLBSAcctIDs=$C19),(startDatesCF=EDATE(BO$4,-1)))))*INDEX(PBC_ACCOUNT_LIST[Sign_for_total_cashflow],MATCH($C19,PBC_ACCOUNT_LIST[Id],0))</f>
        <v>3316.7055555555562</v>
      </c>
      <c r="BP19" s="547" cm="1">
        <f t="array" ref="BP19">(SUM(_xlfn._xlws.FILTER(_xlfn._xlws.FILTER(dataGLBSCF,dataGLBSAcctIDs=$C19),(endDatesCF=BP$5)))-SUM(_xlfn._xlws.FILTER(_xlfn._xlws.FILTER(dataGLBSCF,dataGLBSAcctIDs=$C19),(startDatesCF=EDATE(BP$4,-1)))))*INDEX(PBC_ACCOUNT_LIST[Sign_for_total_cashflow],MATCH($C19,PBC_ACCOUNT_LIST[Id],0))</f>
        <v>2344.4833333333372</v>
      </c>
      <c r="BQ19" s="547" cm="1">
        <f t="array" ref="BQ19">(SUM(_xlfn._xlws.FILTER(_xlfn._xlws.FILTER(dataGLBSCF,dataGLBSAcctIDs=$C19),(endDatesCF=BQ$5)))-SUM(_xlfn._xlws.FILTER(_xlfn._xlws.FILTER(dataGLBSCF,dataGLBSAcctIDs=$C19),(startDatesCF=EDATE(BQ$4,-1)))))*INDEX(PBC_ACCOUNT_LIST[Sign_for_total_cashflow],MATCH($C19,PBC_ACCOUNT_LIST[Id],0))</f>
        <v>2691.7055555555562</v>
      </c>
      <c r="BR19" s="547" cm="1">
        <f t="array" ref="BR19">(SUM(_xlfn._xlws.FILTER(_xlfn._xlws.FILTER(dataGLBSCF,dataGLBSAcctIDs=$C19),(endDatesCF=BR$5)))-SUM(_xlfn._xlws.FILTER(_xlfn._xlws.FILTER(dataGLBSCF,dataGLBSAcctIDs=$C19),(startDatesCF=EDATE(BR$4,-1)))))*INDEX(PBC_ACCOUNT_LIST[Sign_for_total_cashflow],MATCH($C19,PBC_ACCOUNT_LIST[Id],0))</f>
        <v>2469.4833333333372</v>
      </c>
      <c r="BS19" s="547" cm="1">
        <f t="array" ref="BS19">(SUM(_xlfn._xlws.FILTER(_xlfn._xlws.FILTER(dataGLBSCF,dataGLBSAcctIDs=$C19),(endDatesCF=BS$5)))-SUM(_xlfn._xlws.FILTER(_xlfn._xlws.FILTER(dataGLBSCF,dataGLBSAcctIDs=$C19),(startDatesCF=EDATE(BS$4,-1)))))*INDEX(PBC_ACCOUNT_LIST[Sign_for_total_cashflow],MATCH($C19,PBC_ACCOUNT_LIST[Id],0))</f>
        <v>2469.4833333333372</v>
      </c>
      <c r="BT19" s="547" cm="1">
        <f t="array" ref="BT19">(SUM(_xlfn._xlws.FILTER(_xlfn._xlws.FILTER(dataGLBSCF,dataGLBSAcctIDs=$C19),(endDatesCF=BT$5)))-SUM(_xlfn._xlws.FILTER(_xlfn._xlws.FILTER(dataGLBSCF,dataGLBSAcctIDs=$C19),(startDatesCF=EDATE(BT$4,-1)))))*INDEX(PBC_ACCOUNT_LIST[Sign_for_total_cashflow],MATCH($C19,PBC_ACCOUNT_LIST[Id],0))</f>
        <v>2400.0388888888847</v>
      </c>
      <c r="BU19" s="547" cm="1">
        <f t="array" ref="BU19">(SUM(_xlfn._xlws.FILTER(_xlfn._xlws.FILTER(dataGLBSCF,dataGLBSAcctIDs=$C19),(endDatesCF=BU$5)))-SUM(_xlfn._xlws.FILTER(_xlfn._xlws.FILTER(dataGLBSCF,dataGLBSAcctIDs=$C19),(startDatesCF=EDATE(BU$4,-1)))))*INDEX(PBC_ACCOUNT_LIST[Sign_for_total_cashflow],MATCH($C19,PBC_ACCOUNT_LIST[Id],0))</f>
        <v>2400.0388888888847</v>
      </c>
      <c r="BV19" s="547" cm="1">
        <f t="array" ref="BV19">(SUM(_xlfn._xlws.FILTER(_xlfn._xlws.FILTER(dataGLBSCF,dataGLBSAcctIDs=$C19),(endDatesCF=BV$5)))-SUM(_xlfn._xlws.FILTER(_xlfn._xlws.FILTER(dataGLBSCF,dataGLBSAcctIDs=$C19),(startDatesCF=EDATE(BV$4,-1)))))*INDEX(PBC_ACCOUNT_LIST[Sign_for_total_cashflow],MATCH($C19,PBC_ACCOUNT_LIST[Id],0))</f>
        <v>2400.0388888888847</v>
      </c>
      <c r="BW19" s="547" cm="1">
        <f t="array" ref="BW19">(SUM(_xlfn._xlws.FILTER(_xlfn._xlws.FILTER(dataGLBSCF,dataGLBSAcctIDs=$C19),(endDatesCF=BW$5)))-SUM(_xlfn._xlws.FILTER(_xlfn._xlws.FILTER(dataGLBSCF,dataGLBSAcctIDs=$C19),(startDatesCF=EDATE(BW$4,-1)))))*INDEX(PBC_ACCOUNT_LIST[Sign_for_total_cashflow],MATCH($C19,PBC_ACCOUNT_LIST[Id],0))</f>
        <v>2400.0388888888847</v>
      </c>
      <c r="BX19" s="547" cm="1">
        <f t="array" ref="BX19">(SUM(_xlfn._xlws.FILTER(_xlfn._xlws.FILTER(dataGLBSCF,dataGLBSAcctIDs=$C19),(endDatesCF=BX$5)))-SUM(_xlfn._xlws.FILTER(_xlfn._xlws.FILTER(dataGLBSCF,dataGLBSAcctIDs=$C19),(startDatesCF=EDATE(BX$4,-1)))))*INDEX(PBC_ACCOUNT_LIST[Sign_for_total_cashflow],MATCH($C19,PBC_ACCOUNT_LIST[Id],0))</f>
        <v>2400.0388888888847</v>
      </c>
    </row>
    <row r="20" spans="1:92" customFormat="1" ht="21" customHeight="1">
      <c r="B20" s="685" t="s">
        <v>337</v>
      </c>
      <c r="C20">
        <v>195</v>
      </c>
      <c r="E20" s="547" cm="1">
        <f t="array" ref="E20">(SUM(_xlfn._xlws.FILTER(_xlfn._xlws.FILTER(dataGLBSCF,dataGLBSAcctIDs=$C20),(endDatesCF=E$5)))-SUM(_xlfn._xlws.FILTER(_xlfn._xlws.FILTER(dataGLBSCF,dataGLBSAcctIDs=$C20),(startDatesCF=EDATE(E$4,-1)))))*INDEX(PBC_ACCOUNT_LIST[Sign_for_total_cashflow],MATCH($C20,PBC_ACCOUNT_LIST[Id],0))</f>
        <v>0</v>
      </c>
      <c r="F20" s="547" cm="1">
        <f t="array" ref="F20">(SUM(_xlfn._xlws.FILTER(_xlfn._xlws.FILTER(dataGLBSCF,dataGLBSAcctIDs=$C20),(endDatesCF=F$5)))-SUM(_xlfn._xlws.FILTER(_xlfn._xlws.FILTER(dataGLBSCF,dataGLBSAcctIDs=$C20),(startDatesCF=EDATE(F$4,-1)))))*INDEX(PBC_ACCOUNT_LIST[Sign_for_total_cashflow],MATCH($C20,PBC_ACCOUNT_LIST[Id],0))</f>
        <v>0</v>
      </c>
      <c r="G20" s="547" cm="1">
        <f t="array" ref="G20">(SUM(_xlfn._xlws.FILTER(_xlfn._xlws.FILTER(dataGLBSCF,dataGLBSAcctIDs=$C20),(endDatesCF=G$5)))-SUM(_xlfn._xlws.FILTER(_xlfn._xlws.FILTER(dataGLBSCF,dataGLBSAcctIDs=$C20),(startDatesCF=EDATE(G$4,-1)))))*INDEX(PBC_ACCOUNT_LIST[Sign_for_total_cashflow],MATCH($C20,PBC_ACCOUNT_LIST[Id],0))</f>
        <v>0</v>
      </c>
      <c r="H20" s="547" cm="1">
        <f t="array" ref="H20">(SUM(_xlfn._xlws.FILTER(_xlfn._xlws.FILTER(dataGLBSCF,dataGLBSAcctIDs=$C20),(endDatesCF=H$5)))-SUM(_xlfn._xlws.FILTER(_xlfn._xlws.FILTER(dataGLBSCF,dataGLBSAcctIDs=$C20),(startDatesCF=EDATE(H$4,-1)))))*INDEX(PBC_ACCOUNT_LIST[Sign_for_total_cashflow],MATCH($C20,PBC_ACCOUNT_LIST[Id],0))</f>
        <v>0</v>
      </c>
      <c r="K20" s="547" cm="1">
        <f t="array" ref="K20">(SUM(_xlfn._xlws.FILTER(_xlfn._xlws.FILTER(dataGLBSCF,dataGLBSAcctIDs=$C20),(endDatesCF=K$5)))-SUM(_xlfn._xlws.FILTER(_xlfn._xlws.FILTER(dataGLBSCF,dataGLBSAcctIDs=$C20),(startDatesCF=EDATE(K$4,-1)))))*INDEX(PBC_ACCOUNT_LIST[Sign_for_total_cashflow],MATCH($C20,PBC_ACCOUNT_LIST[Id],0))</f>
        <v>0</v>
      </c>
      <c r="L20" s="547" cm="1">
        <f t="array" ref="L20">(SUM(_xlfn._xlws.FILTER(_xlfn._xlws.FILTER(dataGLBSCF,dataGLBSAcctIDs=$C20),(endDatesCF=L$5)))-SUM(_xlfn._xlws.FILTER(_xlfn._xlws.FILTER(dataGLBSCF,dataGLBSAcctIDs=$C20),(startDatesCF=EDATE(L$4,-1)))))*INDEX(PBC_ACCOUNT_LIST[Sign_for_total_cashflow],MATCH($C20,PBC_ACCOUNT_LIST[Id],0))</f>
        <v>0</v>
      </c>
      <c r="M20" s="547" cm="1">
        <f t="array" ref="M20">(SUM(_xlfn._xlws.FILTER(_xlfn._xlws.FILTER(dataGLBSCF,dataGLBSAcctIDs=$C20),(endDatesCF=M$5)))-SUM(_xlfn._xlws.FILTER(_xlfn._xlws.FILTER(dataGLBSCF,dataGLBSAcctIDs=$C20),(startDatesCF=EDATE(M$4,-1)))))*INDEX(PBC_ACCOUNT_LIST[Sign_for_total_cashflow],MATCH($C20,PBC_ACCOUNT_LIST[Id],0))</f>
        <v>0</v>
      </c>
      <c r="N20" s="547" cm="1">
        <f t="array" ref="N20">(SUM(_xlfn._xlws.FILTER(_xlfn._xlws.FILTER(dataGLBSCF,dataGLBSAcctIDs=$C20),(endDatesCF=N$5)))-SUM(_xlfn._xlws.FILTER(_xlfn._xlws.FILTER(dataGLBSCF,dataGLBSAcctIDs=$C20),(startDatesCF=EDATE(N$4,-1)))))*INDEX(PBC_ACCOUNT_LIST[Sign_for_total_cashflow],MATCH($C20,PBC_ACCOUNT_LIST[Id],0))</f>
        <v>0</v>
      </c>
      <c r="O20" s="547" cm="1">
        <f t="array" ref="O20">(SUM(_xlfn._xlws.FILTER(_xlfn._xlws.FILTER(dataGLBSCF,dataGLBSAcctIDs=$C20),(endDatesCF=O$5)))-SUM(_xlfn._xlws.FILTER(_xlfn._xlws.FILTER(dataGLBSCF,dataGLBSAcctIDs=$C20),(startDatesCF=EDATE(O$4,-1)))))*INDEX(PBC_ACCOUNT_LIST[Sign_for_total_cashflow],MATCH($C20,PBC_ACCOUNT_LIST[Id],0))</f>
        <v>0</v>
      </c>
      <c r="P20" s="547" cm="1">
        <f t="array" ref="P20">(SUM(_xlfn._xlws.FILTER(_xlfn._xlws.FILTER(dataGLBSCF,dataGLBSAcctIDs=$C20),(endDatesCF=P$5)))-SUM(_xlfn._xlws.FILTER(_xlfn._xlws.FILTER(dataGLBSCF,dataGLBSAcctIDs=$C20),(startDatesCF=EDATE(P$4,-1)))))*INDEX(PBC_ACCOUNT_LIST[Sign_for_total_cashflow],MATCH($C20,PBC_ACCOUNT_LIST[Id],0))</f>
        <v>0</v>
      </c>
      <c r="Q20" s="547" cm="1">
        <f t="array" ref="Q20">(SUM(_xlfn._xlws.FILTER(_xlfn._xlws.FILTER(dataGLBSCF,dataGLBSAcctIDs=$C20),(endDatesCF=Q$5)))-SUM(_xlfn._xlws.FILTER(_xlfn._xlws.FILTER(dataGLBSCF,dataGLBSAcctIDs=$C20),(startDatesCF=EDATE(Q$4,-1)))))*INDEX(PBC_ACCOUNT_LIST[Sign_for_total_cashflow],MATCH($C20,PBC_ACCOUNT_LIST[Id],0))</f>
        <v>0</v>
      </c>
      <c r="R20" s="547" cm="1">
        <f t="array" ref="R20">(SUM(_xlfn._xlws.FILTER(_xlfn._xlws.FILTER(dataGLBSCF,dataGLBSAcctIDs=$C20),(endDatesCF=R$5)))-SUM(_xlfn._xlws.FILTER(_xlfn._xlws.FILTER(dataGLBSCF,dataGLBSAcctIDs=$C20),(startDatesCF=EDATE(R$4,-1)))))*INDEX(PBC_ACCOUNT_LIST[Sign_for_total_cashflow],MATCH($C20,PBC_ACCOUNT_LIST[Id],0))</f>
        <v>0</v>
      </c>
      <c r="S20" s="547" cm="1">
        <f t="array" ref="S20">(SUM(_xlfn._xlws.FILTER(_xlfn._xlws.FILTER(dataGLBSCF,dataGLBSAcctIDs=$C20),(endDatesCF=S$5)))-SUM(_xlfn._xlws.FILTER(_xlfn._xlws.FILTER(dataGLBSCF,dataGLBSAcctIDs=$C20),(startDatesCF=EDATE(S$4,-1)))))*INDEX(PBC_ACCOUNT_LIST[Sign_for_total_cashflow],MATCH($C20,PBC_ACCOUNT_LIST[Id],0))</f>
        <v>0</v>
      </c>
      <c r="T20" s="547" cm="1">
        <f t="array" ref="T20">(SUM(_xlfn._xlws.FILTER(_xlfn._xlws.FILTER(dataGLBSCF,dataGLBSAcctIDs=$C20),(endDatesCF=T$5)))-SUM(_xlfn._xlws.FILTER(_xlfn._xlws.FILTER(dataGLBSCF,dataGLBSAcctIDs=$C20),(startDatesCF=EDATE(T$4,-1)))))*INDEX(PBC_ACCOUNT_LIST[Sign_for_total_cashflow],MATCH($C20,PBC_ACCOUNT_LIST[Id],0))</f>
        <v>0</v>
      </c>
      <c r="U20" s="547" cm="1">
        <f t="array" ref="U20">(SUM(_xlfn._xlws.FILTER(_xlfn._xlws.FILTER(dataGLBSCF,dataGLBSAcctIDs=$C20),(endDatesCF=U$5)))-SUM(_xlfn._xlws.FILTER(_xlfn._xlws.FILTER(dataGLBSCF,dataGLBSAcctIDs=$C20),(startDatesCF=EDATE(U$4,-1)))))*INDEX(PBC_ACCOUNT_LIST[Sign_for_total_cashflow],MATCH($C20,PBC_ACCOUNT_LIST[Id],0))</f>
        <v>0</v>
      </c>
      <c r="V20" s="547" cm="1">
        <f t="array" ref="V20">(SUM(_xlfn._xlws.FILTER(_xlfn._xlws.FILTER(dataGLBSCF,dataGLBSAcctIDs=$C20),(endDatesCF=V$5)))-SUM(_xlfn._xlws.FILTER(_xlfn._xlws.FILTER(dataGLBSCF,dataGLBSAcctIDs=$C20),(startDatesCF=EDATE(V$4,-1)))))*INDEX(PBC_ACCOUNT_LIST[Sign_for_total_cashflow],MATCH($C20,PBC_ACCOUNT_LIST[Id],0))</f>
        <v>0</v>
      </c>
      <c r="W20" s="547" cm="1">
        <f t="array" ref="W20">(SUM(_xlfn._xlws.FILTER(_xlfn._xlws.FILTER(dataGLBSCF,dataGLBSAcctIDs=$C20),(endDatesCF=W$5)))-SUM(_xlfn._xlws.FILTER(_xlfn._xlws.FILTER(dataGLBSCF,dataGLBSAcctIDs=$C20),(startDatesCF=EDATE(W$4,-1)))))*INDEX(PBC_ACCOUNT_LIST[Sign_for_total_cashflow],MATCH($C20,PBC_ACCOUNT_LIST[Id],0))</f>
        <v>0</v>
      </c>
      <c r="X20" s="547" cm="1">
        <f t="array" ref="X20">(SUM(_xlfn._xlws.FILTER(_xlfn._xlws.FILTER(dataGLBSCF,dataGLBSAcctIDs=$C20),(endDatesCF=X$5)))-SUM(_xlfn._xlws.FILTER(_xlfn._xlws.FILTER(dataGLBSCF,dataGLBSAcctIDs=$C20),(startDatesCF=EDATE(X$4,-1)))))*INDEX(PBC_ACCOUNT_LIST[Sign_for_total_cashflow],MATCH($C20,PBC_ACCOUNT_LIST[Id],0))</f>
        <v>0</v>
      </c>
      <c r="Y20" s="547" cm="1">
        <f t="array" ref="Y20">(SUM(_xlfn._xlws.FILTER(_xlfn._xlws.FILTER(dataGLBSCF,dataGLBSAcctIDs=$C20),(endDatesCF=Y$5)))-SUM(_xlfn._xlws.FILTER(_xlfn._xlws.FILTER(dataGLBSCF,dataGLBSAcctIDs=$C20),(startDatesCF=EDATE(Y$4,-1)))))*INDEX(PBC_ACCOUNT_LIST[Sign_for_total_cashflow],MATCH($C20,PBC_ACCOUNT_LIST[Id],0))</f>
        <v>0</v>
      </c>
      <c r="Z20" s="547" cm="1">
        <f t="array" ref="Z20">(SUM(_xlfn._xlws.FILTER(_xlfn._xlws.FILTER(dataGLBSCF,dataGLBSAcctIDs=$C20),(endDatesCF=Z$5)))-SUM(_xlfn._xlws.FILTER(_xlfn._xlws.FILTER(dataGLBSCF,dataGLBSAcctIDs=$C20),(startDatesCF=EDATE(Z$4,-1)))))*INDEX(PBC_ACCOUNT_LIST[Sign_for_total_cashflow],MATCH($C20,PBC_ACCOUNT_LIST[Id],0))</f>
        <v>0</v>
      </c>
      <c r="AC20" s="547" cm="1">
        <f t="array" ref="AC20">(SUM(_xlfn._xlws.FILTER(_xlfn._xlws.FILTER(dataGLBSCF,dataGLBSAcctIDs=$C20),(endDatesCF=AC$5)))-SUM(_xlfn._xlws.FILTER(_xlfn._xlws.FILTER(dataGLBSCF,dataGLBSAcctIDs=$C20),(startDatesCF=EDATE(AC$4,-1)))))*INDEX(PBC_ACCOUNT_LIST[Sign_for_total_cashflow],MATCH($C20,PBC_ACCOUNT_LIST[Id],0))</f>
        <v>0</v>
      </c>
      <c r="AD20" s="547" cm="1">
        <f t="array" ref="AD20">(SUM(_xlfn._xlws.FILTER(_xlfn._xlws.FILTER(dataGLBSCF,dataGLBSAcctIDs=$C20),(endDatesCF=AD$5)))-SUM(_xlfn._xlws.FILTER(_xlfn._xlws.FILTER(dataGLBSCF,dataGLBSAcctIDs=$C20),(startDatesCF=EDATE(AD$4,-1)))))*INDEX(PBC_ACCOUNT_LIST[Sign_for_total_cashflow],MATCH($C20,PBC_ACCOUNT_LIST[Id],0))</f>
        <v>0</v>
      </c>
      <c r="AE20" s="547" cm="1">
        <f t="array" ref="AE20">(SUM(_xlfn._xlws.FILTER(_xlfn._xlws.FILTER(dataGLBSCF,dataGLBSAcctIDs=$C20),(endDatesCF=AE$5)))-SUM(_xlfn._xlws.FILTER(_xlfn._xlws.FILTER(dataGLBSCF,dataGLBSAcctIDs=$C20),(startDatesCF=EDATE(AE$4,-1)))))*INDEX(PBC_ACCOUNT_LIST[Sign_for_total_cashflow],MATCH($C20,PBC_ACCOUNT_LIST[Id],0))</f>
        <v>0</v>
      </c>
      <c r="AF20" s="547" cm="1">
        <f t="array" ref="AF20">(SUM(_xlfn._xlws.FILTER(_xlfn._xlws.FILTER(dataGLBSCF,dataGLBSAcctIDs=$C20),(endDatesCF=AF$5)))-SUM(_xlfn._xlws.FILTER(_xlfn._xlws.FILTER(dataGLBSCF,dataGLBSAcctIDs=$C20),(startDatesCF=EDATE(AF$4,-1)))))*INDEX(PBC_ACCOUNT_LIST[Sign_for_total_cashflow],MATCH($C20,PBC_ACCOUNT_LIST[Id],0))</f>
        <v>0</v>
      </c>
      <c r="AG20" s="547" cm="1">
        <f t="array" ref="AG20">(SUM(_xlfn._xlws.FILTER(_xlfn._xlws.FILTER(dataGLBSCF,dataGLBSAcctIDs=$C20),(endDatesCF=AG$5)))-SUM(_xlfn._xlws.FILTER(_xlfn._xlws.FILTER(dataGLBSCF,dataGLBSAcctIDs=$C20),(startDatesCF=EDATE(AG$4,-1)))))*INDEX(PBC_ACCOUNT_LIST[Sign_for_total_cashflow],MATCH($C20,PBC_ACCOUNT_LIST[Id],0))</f>
        <v>0</v>
      </c>
      <c r="AH20" s="547" cm="1">
        <f t="array" ref="AH20">(SUM(_xlfn._xlws.FILTER(_xlfn._xlws.FILTER(dataGLBSCF,dataGLBSAcctIDs=$C20),(endDatesCF=AH$5)))-SUM(_xlfn._xlws.FILTER(_xlfn._xlws.FILTER(dataGLBSCF,dataGLBSAcctIDs=$C20),(startDatesCF=EDATE(AH$4,-1)))))*INDEX(PBC_ACCOUNT_LIST[Sign_for_total_cashflow],MATCH($C20,PBC_ACCOUNT_LIST[Id],0))</f>
        <v>0</v>
      </c>
      <c r="AI20" s="547" cm="1">
        <f t="array" ref="AI20">(SUM(_xlfn._xlws.FILTER(_xlfn._xlws.FILTER(dataGLBSCF,dataGLBSAcctIDs=$C20),(endDatesCF=AI$5)))-SUM(_xlfn._xlws.FILTER(_xlfn._xlws.FILTER(dataGLBSCF,dataGLBSAcctIDs=$C20),(startDatesCF=EDATE(AI$4,-1)))))*INDEX(PBC_ACCOUNT_LIST[Sign_for_total_cashflow],MATCH($C20,PBC_ACCOUNT_LIST[Id],0))</f>
        <v>0</v>
      </c>
      <c r="AJ20" s="547" cm="1">
        <f t="array" ref="AJ20">(SUM(_xlfn._xlws.FILTER(_xlfn._xlws.FILTER(dataGLBSCF,dataGLBSAcctIDs=$C20),(endDatesCF=AJ$5)))-SUM(_xlfn._xlws.FILTER(_xlfn._xlws.FILTER(dataGLBSCF,dataGLBSAcctIDs=$C20),(startDatesCF=EDATE(AJ$4,-1)))))*INDEX(PBC_ACCOUNT_LIST[Sign_for_total_cashflow],MATCH($C20,PBC_ACCOUNT_LIST[Id],0))</f>
        <v>0</v>
      </c>
      <c r="AK20" s="547" cm="1">
        <f t="array" ref="AK20">(SUM(_xlfn._xlws.FILTER(_xlfn._xlws.FILTER(dataGLBSCF,dataGLBSAcctIDs=$C20),(endDatesCF=AK$5)))-SUM(_xlfn._xlws.FILTER(_xlfn._xlws.FILTER(dataGLBSCF,dataGLBSAcctIDs=$C20),(startDatesCF=EDATE(AK$4,-1)))))*INDEX(PBC_ACCOUNT_LIST[Sign_for_total_cashflow],MATCH($C20,PBC_ACCOUNT_LIST[Id],0))</f>
        <v>0</v>
      </c>
      <c r="AL20" s="547" cm="1">
        <f t="array" ref="AL20">(SUM(_xlfn._xlws.FILTER(_xlfn._xlws.FILTER(dataGLBSCF,dataGLBSAcctIDs=$C20),(endDatesCF=AL$5)))-SUM(_xlfn._xlws.FILTER(_xlfn._xlws.FILTER(dataGLBSCF,dataGLBSAcctIDs=$C20),(startDatesCF=EDATE(AL$4,-1)))))*INDEX(PBC_ACCOUNT_LIST[Sign_for_total_cashflow],MATCH($C20,PBC_ACCOUNT_LIST[Id],0))</f>
        <v>0</v>
      </c>
      <c r="AM20" s="547" cm="1">
        <f t="array" ref="AM20">(SUM(_xlfn._xlws.FILTER(_xlfn._xlws.FILTER(dataGLBSCF,dataGLBSAcctIDs=$C20),(endDatesCF=AM$5)))-SUM(_xlfn._xlws.FILTER(_xlfn._xlws.FILTER(dataGLBSCF,dataGLBSAcctIDs=$C20),(startDatesCF=EDATE(AM$4,-1)))))*INDEX(PBC_ACCOUNT_LIST[Sign_for_total_cashflow],MATCH($C20,PBC_ACCOUNT_LIST[Id],0))</f>
        <v>0</v>
      </c>
      <c r="AN20" s="547" cm="1">
        <f t="array" ref="AN20">(SUM(_xlfn._xlws.FILTER(_xlfn._xlws.FILTER(dataGLBSCF,dataGLBSAcctIDs=$C20),(endDatesCF=AN$5)))-SUM(_xlfn._xlws.FILTER(_xlfn._xlws.FILTER(dataGLBSCF,dataGLBSAcctIDs=$C20),(startDatesCF=EDATE(AN$4,-1)))))*INDEX(PBC_ACCOUNT_LIST[Sign_for_total_cashflow],MATCH($C20,PBC_ACCOUNT_LIST[Id],0))</f>
        <v>0</v>
      </c>
      <c r="AO20" s="547" cm="1">
        <f t="array" ref="AO20">(SUM(_xlfn._xlws.FILTER(_xlfn._xlws.FILTER(dataGLBSCF,dataGLBSAcctIDs=$C20),(endDatesCF=AO$5)))-SUM(_xlfn._xlws.FILTER(_xlfn._xlws.FILTER(dataGLBSCF,dataGLBSAcctIDs=$C20),(startDatesCF=EDATE(AO$4,-1)))))*INDEX(PBC_ACCOUNT_LIST[Sign_for_total_cashflow],MATCH($C20,PBC_ACCOUNT_LIST[Id],0))</f>
        <v>0</v>
      </c>
      <c r="AP20" s="547" cm="1">
        <f t="array" ref="AP20">(SUM(_xlfn._xlws.FILTER(_xlfn._xlws.FILTER(dataGLBSCF,dataGLBSAcctIDs=$C20),(endDatesCF=AP$5)))-SUM(_xlfn._xlws.FILTER(_xlfn._xlws.FILTER(dataGLBSCF,dataGLBSAcctIDs=$C20),(startDatesCF=EDATE(AP$4,-1)))))*INDEX(PBC_ACCOUNT_LIST[Sign_for_total_cashflow],MATCH($C20,PBC_ACCOUNT_LIST[Id],0))</f>
        <v>0</v>
      </c>
      <c r="AQ20" s="547" cm="1">
        <f t="array" ref="AQ20">(SUM(_xlfn._xlws.FILTER(_xlfn._xlws.FILTER(dataGLBSCF,dataGLBSAcctIDs=$C20),(endDatesCF=AQ$5)))-SUM(_xlfn._xlws.FILTER(_xlfn._xlws.FILTER(dataGLBSCF,dataGLBSAcctIDs=$C20),(startDatesCF=EDATE(AQ$4,-1)))))*INDEX(PBC_ACCOUNT_LIST[Sign_for_total_cashflow],MATCH($C20,PBC_ACCOUNT_LIST[Id],0))</f>
        <v>0</v>
      </c>
      <c r="AR20" s="547" cm="1">
        <f t="array" ref="AR20">(SUM(_xlfn._xlws.FILTER(_xlfn._xlws.FILTER(dataGLBSCF,dataGLBSAcctIDs=$C20),(endDatesCF=AR$5)))-SUM(_xlfn._xlws.FILTER(_xlfn._xlws.FILTER(dataGLBSCF,dataGLBSAcctIDs=$C20),(startDatesCF=EDATE(AR$4,-1)))))*INDEX(PBC_ACCOUNT_LIST[Sign_for_total_cashflow],MATCH($C20,PBC_ACCOUNT_LIST[Id],0))</f>
        <v>0</v>
      </c>
      <c r="AS20" s="547" cm="1">
        <f t="array" ref="AS20">(SUM(_xlfn._xlws.FILTER(_xlfn._xlws.FILTER(dataGLBSCF,dataGLBSAcctIDs=$C20),(endDatesCF=AS$5)))-SUM(_xlfn._xlws.FILTER(_xlfn._xlws.FILTER(dataGLBSCF,dataGLBSAcctIDs=$C20),(startDatesCF=EDATE(AS$4,-1)))))*INDEX(PBC_ACCOUNT_LIST[Sign_for_total_cashflow],MATCH($C20,PBC_ACCOUNT_LIST[Id],0))</f>
        <v>0</v>
      </c>
      <c r="AT20" s="547" cm="1">
        <f t="array" ref="AT20">(SUM(_xlfn._xlws.FILTER(_xlfn._xlws.FILTER(dataGLBSCF,dataGLBSAcctIDs=$C20),(endDatesCF=AT$5)))-SUM(_xlfn._xlws.FILTER(_xlfn._xlws.FILTER(dataGLBSCF,dataGLBSAcctIDs=$C20),(startDatesCF=EDATE(AT$4,-1)))))*INDEX(PBC_ACCOUNT_LIST[Sign_for_total_cashflow],MATCH($C20,PBC_ACCOUNT_LIST[Id],0))</f>
        <v>0</v>
      </c>
      <c r="AU20" s="547" cm="1">
        <f t="array" ref="AU20">(SUM(_xlfn._xlws.FILTER(_xlfn._xlws.FILTER(dataGLBSCF,dataGLBSAcctIDs=$C20),(endDatesCF=AU$5)))-SUM(_xlfn._xlws.FILTER(_xlfn._xlws.FILTER(dataGLBSCF,dataGLBSAcctIDs=$C20),(startDatesCF=EDATE(AU$4,-1)))))*INDEX(PBC_ACCOUNT_LIST[Sign_for_total_cashflow],MATCH($C20,PBC_ACCOUNT_LIST[Id],0))</f>
        <v>0</v>
      </c>
      <c r="AV20" s="547" cm="1">
        <f t="array" ref="AV20">(SUM(_xlfn._xlws.FILTER(_xlfn._xlws.FILTER(dataGLBSCF,dataGLBSAcctIDs=$C20),(endDatesCF=AV$5)))-SUM(_xlfn._xlws.FILTER(_xlfn._xlws.FILTER(dataGLBSCF,dataGLBSAcctIDs=$C20),(startDatesCF=EDATE(AV$4,-1)))))*INDEX(PBC_ACCOUNT_LIST[Sign_for_total_cashflow],MATCH($C20,PBC_ACCOUNT_LIST[Id],0))</f>
        <v>0</v>
      </c>
      <c r="AW20" s="547" cm="1">
        <f t="array" ref="AW20">(SUM(_xlfn._xlws.FILTER(_xlfn._xlws.FILTER(dataGLBSCF,dataGLBSAcctIDs=$C20),(endDatesCF=AW$5)))-SUM(_xlfn._xlws.FILTER(_xlfn._xlws.FILTER(dataGLBSCF,dataGLBSAcctIDs=$C20),(startDatesCF=EDATE(AW$4,-1)))))*INDEX(PBC_ACCOUNT_LIST[Sign_for_total_cashflow],MATCH($C20,PBC_ACCOUNT_LIST[Id],0))</f>
        <v>0</v>
      </c>
      <c r="AX20" s="547" cm="1">
        <f t="array" ref="AX20">(SUM(_xlfn._xlws.FILTER(_xlfn._xlws.FILTER(dataGLBSCF,dataGLBSAcctIDs=$C20),(endDatesCF=AX$5)))-SUM(_xlfn._xlws.FILTER(_xlfn._xlws.FILTER(dataGLBSCF,dataGLBSAcctIDs=$C20),(startDatesCF=EDATE(AX$4,-1)))))*INDEX(PBC_ACCOUNT_LIST[Sign_for_total_cashflow],MATCH($C20,PBC_ACCOUNT_LIST[Id],0))</f>
        <v>0</v>
      </c>
      <c r="AY20" s="547" cm="1">
        <f t="array" ref="AY20">(SUM(_xlfn._xlws.FILTER(_xlfn._xlws.FILTER(dataGLBSCF,dataGLBSAcctIDs=$C20),(endDatesCF=AY$5)))-SUM(_xlfn._xlws.FILTER(_xlfn._xlws.FILTER(dataGLBSCF,dataGLBSAcctIDs=$C20),(startDatesCF=EDATE(AY$4,-1)))))*INDEX(PBC_ACCOUNT_LIST[Sign_for_total_cashflow],MATCH($C20,PBC_ACCOUNT_LIST[Id],0))</f>
        <v>0</v>
      </c>
      <c r="AZ20" s="547" cm="1">
        <f t="array" ref="AZ20">(SUM(_xlfn._xlws.FILTER(_xlfn._xlws.FILTER(dataGLBSCF,dataGLBSAcctIDs=$C20),(endDatesCF=AZ$5)))-SUM(_xlfn._xlws.FILTER(_xlfn._xlws.FILTER(dataGLBSCF,dataGLBSAcctIDs=$C20),(startDatesCF=EDATE(AZ$4,-1)))))*INDEX(PBC_ACCOUNT_LIST[Sign_for_total_cashflow],MATCH($C20,PBC_ACCOUNT_LIST[Id],0))</f>
        <v>0</v>
      </c>
      <c r="BA20" s="547" cm="1">
        <f t="array" ref="BA20">(SUM(_xlfn._xlws.FILTER(_xlfn._xlws.FILTER(dataGLBSCF,dataGLBSAcctIDs=$C20),(endDatesCF=BA$5)))-SUM(_xlfn._xlws.FILTER(_xlfn._xlws.FILTER(dataGLBSCF,dataGLBSAcctIDs=$C20),(startDatesCF=EDATE(BA$4,-1)))))*INDEX(PBC_ACCOUNT_LIST[Sign_for_total_cashflow],MATCH($C20,PBC_ACCOUNT_LIST[Id],0))</f>
        <v>0</v>
      </c>
      <c r="BB20" s="547" cm="1">
        <f t="array" ref="BB20">(SUM(_xlfn._xlws.FILTER(_xlfn._xlws.FILTER(dataGLBSCF,dataGLBSAcctIDs=$C20),(endDatesCF=BB$5)))-SUM(_xlfn._xlws.FILTER(_xlfn._xlws.FILTER(dataGLBSCF,dataGLBSAcctIDs=$C20),(startDatesCF=EDATE(BB$4,-1)))))*INDEX(PBC_ACCOUNT_LIST[Sign_for_total_cashflow],MATCH($C20,PBC_ACCOUNT_LIST[Id],0))</f>
        <v>0</v>
      </c>
      <c r="BC20" s="547" cm="1">
        <f t="array" ref="BC20">(SUM(_xlfn._xlws.FILTER(_xlfn._xlws.FILTER(dataGLBSCF,dataGLBSAcctIDs=$C20),(endDatesCF=BC$5)))-SUM(_xlfn._xlws.FILTER(_xlfn._xlws.FILTER(dataGLBSCF,dataGLBSAcctIDs=$C20),(startDatesCF=EDATE(BC$4,-1)))))*INDEX(PBC_ACCOUNT_LIST[Sign_for_total_cashflow],MATCH($C20,PBC_ACCOUNT_LIST[Id],0))</f>
        <v>0</v>
      </c>
      <c r="BD20" s="547" cm="1">
        <f t="array" ref="BD20">(SUM(_xlfn._xlws.FILTER(_xlfn._xlws.FILTER(dataGLBSCF,dataGLBSAcctIDs=$C20),(endDatesCF=BD$5)))-SUM(_xlfn._xlws.FILTER(_xlfn._xlws.FILTER(dataGLBSCF,dataGLBSAcctIDs=$C20),(startDatesCF=EDATE(BD$4,-1)))))*INDEX(PBC_ACCOUNT_LIST[Sign_for_total_cashflow],MATCH($C20,PBC_ACCOUNT_LIST[Id],0))</f>
        <v>0</v>
      </c>
      <c r="BE20" s="547" cm="1">
        <f t="array" ref="BE20">(SUM(_xlfn._xlws.FILTER(_xlfn._xlws.FILTER(dataGLBSCF,dataGLBSAcctIDs=$C20),(endDatesCF=BE$5)))-SUM(_xlfn._xlws.FILTER(_xlfn._xlws.FILTER(dataGLBSCF,dataGLBSAcctIDs=$C20),(startDatesCF=EDATE(BE$4,-1)))))*INDEX(PBC_ACCOUNT_LIST[Sign_for_total_cashflow],MATCH($C20,PBC_ACCOUNT_LIST[Id],0))</f>
        <v>0</v>
      </c>
      <c r="BF20" s="547" cm="1">
        <f t="array" ref="BF20">(SUM(_xlfn._xlws.FILTER(_xlfn._xlws.FILTER(dataGLBSCF,dataGLBSAcctIDs=$C20),(endDatesCF=BF$5)))-SUM(_xlfn._xlws.FILTER(_xlfn._xlws.FILTER(dataGLBSCF,dataGLBSAcctIDs=$C20),(startDatesCF=EDATE(BF$4,-1)))))*INDEX(PBC_ACCOUNT_LIST[Sign_for_total_cashflow],MATCH($C20,PBC_ACCOUNT_LIST[Id],0))</f>
        <v>0</v>
      </c>
      <c r="BG20" s="547" cm="1">
        <f t="array" ref="BG20">(SUM(_xlfn._xlws.FILTER(_xlfn._xlws.FILTER(dataGLBSCF,dataGLBSAcctIDs=$C20),(endDatesCF=BG$5)))-SUM(_xlfn._xlws.FILTER(_xlfn._xlws.FILTER(dataGLBSCF,dataGLBSAcctIDs=$C20),(startDatesCF=EDATE(BG$4,-1)))))*INDEX(PBC_ACCOUNT_LIST[Sign_for_total_cashflow],MATCH($C20,PBC_ACCOUNT_LIST[Id],0))</f>
        <v>0</v>
      </c>
      <c r="BH20" s="547" cm="1">
        <f t="array" ref="BH20">(SUM(_xlfn._xlws.FILTER(_xlfn._xlws.FILTER(dataGLBSCF,dataGLBSAcctIDs=$C20),(endDatesCF=BH$5)))-SUM(_xlfn._xlws.FILTER(_xlfn._xlws.FILTER(dataGLBSCF,dataGLBSAcctIDs=$C20),(startDatesCF=EDATE(BH$4,-1)))))*INDEX(PBC_ACCOUNT_LIST[Sign_for_total_cashflow],MATCH($C20,PBC_ACCOUNT_LIST[Id],0))</f>
        <v>0</v>
      </c>
      <c r="BI20" s="547" cm="1">
        <f t="array" ref="BI20">(SUM(_xlfn._xlws.FILTER(_xlfn._xlws.FILTER(dataGLBSCF,dataGLBSAcctIDs=$C20),(endDatesCF=BI$5)))-SUM(_xlfn._xlws.FILTER(_xlfn._xlws.FILTER(dataGLBSCF,dataGLBSAcctIDs=$C20),(startDatesCF=EDATE(BI$4,-1)))))*INDEX(PBC_ACCOUNT_LIST[Sign_for_total_cashflow],MATCH($C20,PBC_ACCOUNT_LIST[Id],0))</f>
        <v>0</v>
      </c>
      <c r="BJ20" s="547" cm="1">
        <f t="array" ref="BJ20">(SUM(_xlfn._xlws.FILTER(_xlfn._xlws.FILTER(dataGLBSCF,dataGLBSAcctIDs=$C20),(endDatesCF=BJ$5)))-SUM(_xlfn._xlws.FILTER(_xlfn._xlws.FILTER(dataGLBSCF,dataGLBSAcctIDs=$C20),(startDatesCF=EDATE(BJ$4,-1)))))*INDEX(PBC_ACCOUNT_LIST[Sign_for_total_cashflow],MATCH($C20,PBC_ACCOUNT_LIST[Id],0))</f>
        <v>0</v>
      </c>
      <c r="BK20" s="547" cm="1">
        <f t="array" ref="BK20">(SUM(_xlfn._xlws.FILTER(_xlfn._xlws.FILTER(dataGLBSCF,dataGLBSAcctIDs=$C20),(endDatesCF=BK$5)))-SUM(_xlfn._xlws.FILTER(_xlfn._xlws.FILTER(dataGLBSCF,dataGLBSAcctIDs=$C20),(startDatesCF=EDATE(BK$4,-1)))))*INDEX(PBC_ACCOUNT_LIST[Sign_for_total_cashflow],MATCH($C20,PBC_ACCOUNT_LIST[Id],0))</f>
        <v>0</v>
      </c>
      <c r="BL20" s="547" cm="1">
        <f t="array" ref="BL20">(SUM(_xlfn._xlws.FILTER(_xlfn._xlws.FILTER(dataGLBSCF,dataGLBSAcctIDs=$C20),(endDatesCF=BL$5)))-SUM(_xlfn._xlws.FILTER(_xlfn._xlws.FILTER(dataGLBSCF,dataGLBSAcctIDs=$C20),(startDatesCF=EDATE(BL$4,-1)))))*INDEX(PBC_ACCOUNT_LIST[Sign_for_total_cashflow],MATCH($C20,PBC_ACCOUNT_LIST[Id],0))</f>
        <v>0</v>
      </c>
      <c r="BM20" s="547" cm="1">
        <f t="array" ref="BM20">(SUM(_xlfn._xlws.FILTER(_xlfn._xlws.FILTER(dataGLBSCF,dataGLBSAcctIDs=$C20),(endDatesCF=BM$5)))-SUM(_xlfn._xlws.FILTER(_xlfn._xlws.FILTER(dataGLBSCF,dataGLBSAcctIDs=$C20),(startDatesCF=EDATE(BM$4,-1)))))*INDEX(PBC_ACCOUNT_LIST[Sign_for_total_cashflow],MATCH($C20,PBC_ACCOUNT_LIST[Id],0))</f>
        <v>0</v>
      </c>
      <c r="BN20" s="547" cm="1">
        <f t="array" ref="BN20">(SUM(_xlfn._xlws.FILTER(_xlfn._xlws.FILTER(dataGLBSCF,dataGLBSAcctIDs=$C20),(endDatesCF=BN$5)))-SUM(_xlfn._xlws.FILTER(_xlfn._xlws.FILTER(dataGLBSCF,dataGLBSAcctIDs=$C20),(startDatesCF=EDATE(BN$4,-1)))))*INDEX(PBC_ACCOUNT_LIST[Sign_for_total_cashflow],MATCH($C20,PBC_ACCOUNT_LIST[Id],0))</f>
        <v>0</v>
      </c>
      <c r="BO20" s="547" cm="1">
        <f t="array" ref="BO20">(SUM(_xlfn._xlws.FILTER(_xlfn._xlws.FILTER(dataGLBSCF,dataGLBSAcctIDs=$C20),(endDatesCF=BO$5)))-SUM(_xlfn._xlws.FILTER(_xlfn._xlws.FILTER(dataGLBSCF,dataGLBSAcctIDs=$C20),(startDatesCF=EDATE(BO$4,-1)))))*INDEX(PBC_ACCOUNT_LIST[Sign_for_total_cashflow],MATCH($C20,PBC_ACCOUNT_LIST[Id],0))</f>
        <v>0</v>
      </c>
      <c r="BP20" s="547" cm="1">
        <f t="array" ref="BP20">(SUM(_xlfn._xlws.FILTER(_xlfn._xlws.FILTER(dataGLBSCF,dataGLBSAcctIDs=$C20),(endDatesCF=BP$5)))-SUM(_xlfn._xlws.FILTER(_xlfn._xlws.FILTER(dataGLBSCF,dataGLBSAcctIDs=$C20),(startDatesCF=EDATE(BP$4,-1)))))*INDEX(PBC_ACCOUNT_LIST[Sign_for_total_cashflow],MATCH($C20,PBC_ACCOUNT_LIST[Id],0))</f>
        <v>0</v>
      </c>
      <c r="BQ20" s="547" cm="1">
        <f t="array" ref="BQ20">(SUM(_xlfn._xlws.FILTER(_xlfn._xlws.FILTER(dataGLBSCF,dataGLBSAcctIDs=$C20),(endDatesCF=BQ$5)))-SUM(_xlfn._xlws.FILTER(_xlfn._xlws.FILTER(dataGLBSCF,dataGLBSAcctIDs=$C20),(startDatesCF=EDATE(BQ$4,-1)))))*INDEX(PBC_ACCOUNT_LIST[Sign_for_total_cashflow],MATCH($C20,PBC_ACCOUNT_LIST[Id],0))</f>
        <v>0</v>
      </c>
      <c r="BR20" s="547" cm="1">
        <f t="array" ref="BR20">(SUM(_xlfn._xlws.FILTER(_xlfn._xlws.FILTER(dataGLBSCF,dataGLBSAcctIDs=$C20),(endDatesCF=BR$5)))-SUM(_xlfn._xlws.FILTER(_xlfn._xlws.FILTER(dataGLBSCF,dataGLBSAcctIDs=$C20),(startDatesCF=EDATE(BR$4,-1)))))*INDEX(PBC_ACCOUNT_LIST[Sign_for_total_cashflow],MATCH($C20,PBC_ACCOUNT_LIST[Id],0))</f>
        <v>0</v>
      </c>
      <c r="BS20" s="547" cm="1">
        <f t="array" ref="BS20">(SUM(_xlfn._xlws.FILTER(_xlfn._xlws.FILTER(dataGLBSCF,dataGLBSAcctIDs=$C20),(endDatesCF=BS$5)))-SUM(_xlfn._xlws.FILTER(_xlfn._xlws.FILTER(dataGLBSCF,dataGLBSAcctIDs=$C20),(startDatesCF=EDATE(BS$4,-1)))))*INDEX(PBC_ACCOUNT_LIST[Sign_for_total_cashflow],MATCH($C20,PBC_ACCOUNT_LIST[Id],0))</f>
        <v>0</v>
      </c>
      <c r="BT20" s="547" cm="1">
        <f t="array" ref="BT20">(SUM(_xlfn._xlws.FILTER(_xlfn._xlws.FILTER(dataGLBSCF,dataGLBSAcctIDs=$C20),(endDatesCF=BT$5)))-SUM(_xlfn._xlws.FILTER(_xlfn._xlws.FILTER(dataGLBSCF,dataGLBSAcctIDs=$C20),(startDatesCF=EDATE(BT$4,-1)))))*INDEX(PBC_ACCOUNT_LIST[Sign_for_total_cashflow],MATCH($C20,PBC_ACCOUNT_LIST[Id],0))</f>
        <v>0</v>
      </c>
      <c r="BU20" s="547" cm="1">
        <f t="array" ref="BU20">(SUM(_xlfn._xlws.FILTER(_xlfn._xlws.FILTER(dataGLBSCF,dataGLBSAcctIDs=$C20),(endDatesCF=BU$5)))-SUM(_xlfn._xlws.FILTER(_xlfn._xlws.FILTER(dataGLBSCF,dataGLBSAcctIDs=$C20),(startDatesCF=EDATE(BU$4,-1)))))*INDEX(PBC_ACCOUNT_LIST[Sign_for_total_cashflow],MATCH($C20,PBC_ACCOUNT_LIST[Id],0))</f>
        <v>0</v>
      </c>
      <c r="BV20" s="547" cm="1">
        <f t="array" ref="BV20">(SUM(_xlfn._xlws.FILTER(_xlfn._xlws.FILTER(dataGLBSCF,dataGLBSAcctIDs=$C20),(endDatesCF=BV$5)))-SUM(_xlfn._xlws.FILTER(_xlfn._xlws.FILTER(dataGLBSCF,dataGLBSAcctIDs=$C20),(startDatesCF=EDATE(BV$4,-1)))))*INDEX(PBC_ACCOUNT_LIST[Sign_for_total_cashflow],MATCH($C20,PBC_ACCOUNT_LIST[Id],0))</f>
        <v>0</v>
      </c>
      <c r="BW20" s="547" cm="1">
        <f t="array" ref="BW20">(SUM(_xlfn._xlws.FILTER(_xlfn._xlws.FILTER(dataGLBSCF,dataGLBSAcctIDs=$C20),(endDatesCF=BW$5)))-SUM(_xlfn._xlws.FILTER(_xlfn._xlws.FILTER(dataGLBSCF,dataGLBSAcctIDs=$C20),(startDatesCF=EDATE(BW$4,-1)))))*INDEX(PBC_ACCOUNT_LIST[Sign_for_total_cashflow],MATCH($C20,PBC_ACCOUNT_LIST[Id],0))</f>
        <v>0</v>
      </c>
      <c r="BX20" s="547" cm="1">
        <f t="array" ref="BX20">(SUM(_xlfn._xlws.FILTER(_xlfn._xlws.FILTER(dataGLBSCF,dataGLBSAcctIDs=$C20),(endDatesCF=BX$5)))-SUM(_xlfn._xlws.FILTER(_xlfn._xlws.FILTER(dataGLBSCF,dataGLBSAcctIDs=$C20),(startDatesCF=EDATE(BX$4,-1)))))*INDEX(PBC_ACCOUNT_LIST[Sign_for_total_cashflow],MATCH($C20,PBC_ACCOUNT_LIST[Id],0))</f>
        <v>0</v>
      </c>
    </row>
    <row r="21" spans="1:92" s="234" customFormat="1" ht="21" customHeight="1">
      <c r="A21" s="252"/>
      <c r="B21" s="250"/>
      <c r="C21" s="251"/>
      <c r="D21" s="250"/>
      <c r="E21" s="248"/>
      <c r="F21" s="248"/>
      <c r="G21" s="248"/>
      <c r="H21" s="248"/>
      <c r="I21" s="249"/>
      <c r="J21" s="249"/>
      <c r="K21" s="248"/>
      <c r="L21" s="248"/>
      <c r="M21" s="248"/>
      <c r="N21" s="248"/>
      <c r="O21" s="248"/>
      <c r="P21" s="248"/>
      <c r="Q21" s="248"/>
      <c r="R21" s="248"/>
      <c r="S21" s="248"/>
      <c r="T21" s="248"/>
      <c r="U21" s="248"/>
      <c r="V21" s="248"/>
      <c r="W21" s="248"/>
      <c r="X21" s="248"/>
      <c r="Y21" s="248"/>
      <c r="Z21" s="248"/>
      <c r="AA21" s="249"/>
      <c r="AB21" s="249"/>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248"/>
      <c r="BN21" s="248"/>
      <c r="BO21" s="248"/>
      <c r="BP21" s="248"/>
      <c r="BQ21" s="248"/>
      <c r="BR21" s="248"/>
      <c r="BS21" s="248"/>
      <c r="BT21" s="248"/>
      <c r="BU21" s="248"/>
      <c r="BV21" s="248"/>
      <c r="BW21" s="248"/>
      <c r="BX21" s="248"/>
    </row>
    <row r="22" spans="1:92" customFormat="1" ht="21" customHeight="1">
      <c r="B22" s="257" t="s">
        <v>338</v>
      </c>
      <c r="C22" s="258"/>
      <c r="D22" s="257"/>
      <c r="E22" s="255"/>
      <c r="F22" s="255"/>
      <c r="G22" s="255"/>
      <c r="H22" s="255"/>
      <c r="I22" s="256"/>
      <c r="J22" s="256"/>
      <c r="K22" s="255"/>
      <c r="L22" s="255"/>
      <c r="M22" s="255"/>
      <c r="N22" s="255"/>
      <c r="O22" s="255"/>
      <c r="P22" s="255"/>
      <c r="Q22" s="255"/>
      <c r="R22" s="255"/>
      <c r="S22" s="255"/>
      <c r="T22" s="255"/>
      <c r="U22" s="255"/>
      <c r="V22" s="255"/>
      <c r="W22" s="255"/>
      <c r="X22" s="255"/>
      <c r="Y22" s="255"/>
      <c r="Z22" s="255"/>
      <c r="AA22" s="256"/>
      <c r="AB22" s="256"/>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4"/>
      <c r="BZ22" s="254"/>
      <c r="CA22" s="254"/>
      <c r="CB22" s="254"/>
      <c r="CC22" s="254"/>
      <c r="CD22" s="254"/>
      <c r="CE22" s="254"/>
      <c r="CF22" s="254"/>
      <c r="CG22" s="254"/>
      <c r="CH22" s="254"/>
      <c r="CI22" s="254"/>
      <c r="CJ22" s="254"/>
      <c r="CK22" s="254"/>
      <c r="CL22" s="254"/>
      <c r="CM22" s="254"/>
      <c r="CN22" s="254"/>
    </row>
    <row r="23" spans="1:92" customFormat="1" ht="21" customHeight="1">
      <c r="B23" s="685" t="s">
        <v>301</v>
      </c>
      <c r="C23">
        <v>155</v>
      </c>
      <c r="E23" s="547" cm="1">
        <f t="array" ref="E23">(SUM(_xlfn._xlws.FILTER(_xlfn._xlws.FILTER(dataGLBSCF,dataGLBSAcctIDs=$C23),(endDatesCF=E$5)))-SUM(_xlfn._xlws.FILTER(_xlfn._xlws.FILTER(dataGLBSCF,dataGLBSAcctIDs=$C23),(startDatesCF=EDATE(E$4,-1)))))*INDEX(PBC_ACCOUNT_LIST[Sign_for_total_cashflow],MATCH($C23,PBC_ACCOUNT_LIST[Id],0))</f>
        <v>55349.5</v>
      </c>
      <c r="F23" s="547" cm="1">
        <f t="array" ref="F23">(SUM(_xlfn._xlws.FILTER(_xlfn._xlws.FILTER(dataGLBSCF,dataGLBSAcctIDs=$C23),(endDatesCF=F$5)))-SUM(_xlfn._xlws.FILTER(_xlfn._xlws.FILTER(dataGLBSCF,dataGLBSAcctIDs=$C23),(startDatesCF=EDATE(F$4,-1)))))*INDEX(PBC_ACCOUNT_LIST[Sign_for_total_cashflow],MATCH($C23,PBC_ACCOUNT_LIST[Id],0))</f>
        <v>0</v>
      </c>
      <c r="G23" s="547" cm="1">
        <f t="array" ref="G23">(SUM(_xlfn._xlws.FILTER(_xlfn._xlws.FILTER(dataGLBSCF,dataGLBSAcctIDs=$C23),(endDatesCF=G$5)))-SUM(_xlfn._xlws.FILTER(_xlfn._xlws.FILTER(dataGLBSCF,dataGLBSAcctIDs=$C23),(startDatesCF=EDATE(G$4,-1)))))*INDEX(PBC_ACCOUNT_LIST[Sign_for_total_cashflow],MATCH($C23,PBC_ACCOUNT_LIST[Id],0))</f>
        <v>63454.583281818195</v>
      </c>
      <c r="H23" s="547" cm="1">
        <f t="array" ref="H23">(SUM(_xlfn._xlws.FILTER(_xlfn._xlws.FILTER(dataGLBSCF,dataGLBSAcctIDs=$C23),(endDatesCF=H$5)))-SUM(_xlfn._xlws.FILTER(_xlfn._xlws.FILTER(dataGLBSCF,dataGLBSAcctIDs=$C23),(startDatesCF=EDATE(H$4,-1)))))*INDEX(PBC_ACCOUNT_LIST[Sign_for_total_cashflow],MATCH($C23,PBC_ACCOUNT_LIST[Id],0))</f>
        <v>-7422.68208030604</v>
      </c>
      <c r="K23" s="547" cm="1">
        <f t="array" ref="K23">(SUM(_xlfn._xlws.FILTER(_xlfn._xlws.FILTER(dataGLBSCF,dataGLBSAcctIDs=$C23),(endDatesCF=K$5)))-SUM(_xlfn._xlws.FILTER(_xlfn._xlws.FILTER(dataGLBSCF,dataGLBSAcctIDs=$C23),(startDatesCF=EDATE(K$4,-1)))))*INDEX(PBC_ACCOUNT_LIST[Sign_for_total_cashflow],MATCH($C23,PBC_ACCOUNT_LIST[Id],0))</f>
        <v>43504</v>
      </c>
      <c r="L23" s="547" cm="1">
        <f t="array" ref="L23">(SUM(_xlfn._xlws.FILTER(_xlfn._xlws.FILTER(dataGLBSCF,dataGLBSAcctIDs=$C23),(endDatesCF=L$5)))-SUM(_xlfn._xlws.FILTER(_xlfn._xlws.FILTER(dataGLBSCF,dataGLBSAcctIDs=$C23),(startDatesCF=EDATE(L$4,-1)))))*INDEX(PBC_ACCOUNT_LIST[Sign_for_total_cashflow],MATCH($C23,PBC_ACCOUNT_LIST[Id],0))</f>
        <v>4730</v>
      </c>
      <c r="M23" s="547" cm="1">
        <f t="array" ref="M23">(SUM(_xlfn._xlws.FILTER(_xlfn._xlws.FILTER(dataGLBSCF,dataGLBSAcctIDs=$C23),(endDatesCF=M$5)))-SUM(_xlfn._xlws.FILTER(_xlfn._xlws.FILTER(dataGLBSCF,dataGLBSAcctIDs=$C23),(startDatesCF=EDATE(M$4,-1)))))*INDEX(PBC_ACCOUNT_LIST[Sign_for_total_cashflow],MATCH($C23,PBC_ACCOUNT_LIST[Id],0))</f>
        <v>5243.5</v>
      </c>
      <c r="N23" s="547" cm="1">
        <f t="array" ref="N23">(SUM(_xlfn._xlws.FILTER(_xlfn._xlws.FILTER(dataGLBSCF,dataGLBSAcctIDs=$C23),(endDatesCF=N$5)))-SUM(_xlfn._xlws.FILTER(_xlfn._xlws.FILTER(dataGLBSCF,dataGLBSAcctIDs=$C23),(startDatesCF=EDATE(N$4,-1)))))*INDEX(PBC_ACCOUNT_LIST[Sign_for_total_cashflow],MATCH($C23,PBC_ACCOUNT_LIST[Id],0))</f>
        <v>1872</v>
      </c>
      <c r="O23" s="547" cm="1">
        <f t="array" ref="O23">(SUM(_xlfn._xlws.FILTER(_xlfn._xlws.FILTER(dataGLBSCF,dataGLBSAcctIDs=$C23),(endDatesCF=O$5)))-SUM(_xlfn._xlws.FILTER(_xlfn._xlws.FILTER(dataGLBSCF,dataGLBSAcctIDs=$C23),(startDatesCF=EDATE(O$4,-1)))))*INDEX(PBC_ACCOUNT_LIST[Sign_for_total_cashflow],MATCH($C23,PBC_ACCOUNT_LIST[Id],0))</f>
        <v>0</v>
      </c>
      <c r="P23" s="547" cm="1">
        <f t="array" ref="P23">(SUM(_xlfn._xlws.FILTER(_xlfn._xlws.FILTER(dataGLBSCF,dataGLBSAcctIDs=$C23),(endDatesCF=P$5)))-SUM(_xlfn._xlws.FILTER(_xlfn._xlws.FILTER(dataGLBSCF,dataGLBSAcctIDs=$C23),(startDatesCF=EDATE(P$4,-1)))))*INDEX(PBC_ACCOUNT_LIST[Sign_for_total_cashflow],MATCH($C23,PBC_ACCOUNT_LIST[Id],0))</f>
        <v>0</v>
      </c>
      <c r="Q23" s="547" cm="1">
        <f t="array" ref="Q23">(SUM(_xlfn._xlws.FILTER(_xlfn._xlws.FILTER(dataGLBSCF,dataGLBSAcctIDs=$C23),(endDatesCF=Q$5)))-SUM(_xlfn._xlws.FILTER(_xlfn._xlws.FILTER(dataGLBSCF,dataGLBSAcctIDs=$C23),(startDatesCF=EDATE(Q$4,-1)))))*INDEX(PBC_ACCOUNT_LIST[Sign_for_total_cashflow],MATCH($C23,PBC_ACCOUNT_LIST[Id],0))</f>
        <v>0</v>
      </c>
      <c r="R23" s="547" cm="1">
        <f t="array" ref="R23">(SUM(_xlfn._xlws.FILTER(_xlfn._xlws.FILTER(dataGLBSCF,dataGLBSAcctIDs=$C23),(endDatesCF=R$5)))-SUM(_xlfn._xlws.FILTER(_xlfn._xlws.FILTER(dataGLBSCF,dataGLBSAcctIDs=$C23),(startDatesCF=EDATE(R$4,-1)))))*INDEX(PBC_ACCOUNT_LIST[Sign_for_total_cashflow],MATCH($C23,PBC_ACCOUNT_LIST[Id],0))</f>
        <v>0</v>
      </c>
      <c r="S23" s="547" cm="1">
        <f t="array" ref="S23">(SUM(_xlfn._xlws.FILTER(_xlfn._xlws.FILTER(dataGLBSCF,dataGLBSAcctIDs=$C23),(endDatesCF=S$5)))-SUM(_xlfn._xlws.FILTER(_xlfn._xlws.FILTER(dataGLBSCF,dataGLBSAcctIDs=$C23),(startDatesCF=EDATE(S$4,-1)))))*INDEX(PBC_ACCOUNT_LIST[Sign_for_total_cashflow],MATCH($C23,PBC_ACCOUNT_LIST[Id],0))</f>
        <v>0</v>
      </c>
      <c r="T23" s="547" cm="1">
        <f t="array" ref="T23">(SUM(_xlfn._xlws.FILTER(_xlfn._xlws.FILTER(dataGLBSCF,dataGLBSAcctIDs=$C23),(endDatesCF=T$5)))-SUM(_xlfn._xlws.FILTER(_xlfn._xlws.FILTER(dataGLBSCF,dataGLBSAcctIDs=$C23),(startDatesCF=EDATE(T$4,-1)))))*INDEX(PBC_ACCOUNT_LIST[Sign_for_total_cashflow],MATCH($C23,PBC_ACCOUNT_LIST[Id],0))</f>
        <v>0</v>
      </c>
      <c r="U23" s="547" cm="1">
        <f t="array" ref="U23">(SUM(_xlfn._xlws.FILTER(_xlfn._xlws.FILTER(dataGLBSCF,dataGLBSAcctIDs=$C23),(endDatesCF=U$5)))-SUM(_xlfn._xlws.FILTER(_xlfn._xlws.FILTER(dataGLBSCF,dataGLBSAcctIDs=$C23),(startDatesCF=EDATE(U$4,-1)))))*INDEX(PBC_ACCOUNT_LIST[Sign_for_total_cashflow],MATCH($C23,PBC_ACCOUNT_LIST[Id],0))</f>
        <v>0</v>
      </c>
      <c r="V23" s="547" cm="1">
        <f t="array" ref="V23">(SUM(_xlfn._xlws.FILTER(_xlfn._xlws.FILTER(dataGLBSCF,dataGLBSAcctIDs=$C23),(endDatesCF=V$5)))-SUM(_xlfn._xlws.FILTER(_xlfn._xlws.FILTER(dataGLBSCF,dataGLBSAcctIDs=$C23),(startDatesCF=EDATE(V$4,-1)))))*INDEX(PBC_ACCOUNT_LIST[Sign_for_total_cashflow],MATCH($C23,PBC_ACCOUNT_LIST[Id],0))</f>
        <v>63454.583281818195</v>
      </c>
      <c r="W23" s="547" cm="1">
        <f t="array" ref="W23">(SUM(_xlfn._xlws.FILTER(_xlfn._xlws.FILTER(dataGLBSCF,dataGLBSAcctIDs=$C23),(endDatesCF=W$5)))-SUM(_xlfn._xlws.FILTER(_xlfn._xlws.FILTER(dataGLBSCF,dataGLBSAcctIDs=$C23),(startDatesCF=EDATE(W$4,-1)))))*INDEX(PBC_ACCOUNT_LIST[Sign_for_total_cashflow],MATCH($C23,PBC_ACCOUNT_LIST[Id],0))</f>
        <v>-29908.597171154921</v>
      </c>
      <c r="X23" s="547" cm="1">
        <f t="array" ref="X23">(SUM(_xlfn._xlws.FILTER(_xlfn._xlws.FILTER(dataGLBSCF,dataGLBSAcctIDs=$C23),(endDatesCF=X$5)))-SUM(_xlfn._xlws.FILTER(_xlfn._xlws.FILTER(dataGLBSCF,dataGLBSAcctIDs=$C23),(startDatesCF=EDATE(X$4,-1)))))*INDEX(PBC_ACCOUNT_LIST[Sign_for_total_cashflow],MATCH($C23,PBC_ACCOUNT_LIST[Id],0))</f>
        <v>10864.324734368143</v>
      </c>
      <c r="Y23" s="547" cm="1">
        <f t="array" ref="Y23">(SUM(_xlfn._xlws.FILTER(_xlfn._xlws.FILTER(dataGLBSCF,dataGLBSAcctIDs=$C23),(endDatesCF=Y$5)))-SUM(_xlfn._xlws.FILTER(_xlfn._xlws.FILTER(dataGLBSCF,dataGLBSAcctIDs=$C23),(startDatesCF=EDATE(Y$4,-1)))))*INDEX(PBC_ACCOUNT_LIST[Sign_for_total_cashflow],MATCH($C23,PBC_ACCOUNT_LIST[Id],0))</f>
        <v>4333.7958541169792</v>
      </c>
      <c r="Z23" s="547" cm="1">
        <f t="array" ref="Z23">(SUM(_xlfn._xlws.FILTER(_xlfn._xlws.FILTER(dataGLBSCF,dataGLBSAcctIDs=$C23),(endDatesCF=Z$5)))-SUM(_xlfn._xlws.FILTER(_xlfn._xlws.FILTER(dataGLBSCF,dataGLBSAcctIDs=$C23),(startDatesCF=EDATE(Z$4,-1)))))*INDEX(PBC_ACCOUNT_LIST[Sign_for_total_cashflow],MATCH($C23,PBC_ACCOUNT_LIST[Id],0))</f>
        <v>7287.7945023637585</v>
      </c>
      <c r="AC23" s="547" cm="1">
        <f t="array" ref="AC23">(SUM(_xlfn._xlws.FILTER(_xlfn._xlws.FILTER(dataGLBSCF,dataGLBSAcctIDs=$C23),(endDatesCF=AC$5)))-SUM(_xlfn._xlws.FILTER(_xlfn._xlws.FILTER(dataGLBSCF,dataGLBSAcctIDs=$C23),(startDatesCF=EDATE(AC$4,-1)))))*INDEX(PBC_ACCOUNT_LIST[Sign_for_total_cashflow],MATCH($C23,PBC_ACCOUNT_LIST[Id],0))</f>
        <v>37350</v>
      </c>
      <c r="AD23" s="547" cm="1">
        <f t="array" ref="AD23">(SUM(_xlfn._xlws.FILTER(_xlfn._xlws.FILTER(dataGLBSCF,dataGLBSAcctIDs=$C23),(endDatesCF=AD$5)))-SUM(_xlfn._xlws.FILTER(_xlfn._xlws.FILTER(dataGLBSCF,dataGLBSAcctIDs=$C23),(startDatesCF=EDATE(AD$4,-1)))))*INDEX(PBC_ACCOUNT_LIST[Sign_for_total_cashflow],MATCH($C23,PBC_ACCOUNT_LIST[Id],0))</f>
        <v>4683</v>
      </c>
      <c r="AE23" s="547" cm="1">
        <f t="array" ref="AE23">(SUM(_xlfn._xlws.FILTER(_xlfn._xlws.FILTER(dataGLBSCF,dataGLBSAcctIDs=$C23),(endDatesCF=AE$5)))-SUM(_xlfn._xlws.FILTER(_xlfn._xlws.FILTER(dataGLBSCF,dataGLBSAcctIDs=$C23),(startDatesCF=EDATE(AE$4,-1)))))*INDEX(PBC_ACCOUNT_LIST[Sign_for_total_cashflow],MATCH($C23,PBC_ACCOUNT_LIST[Id],0))</f>
        <v>1471</v>
      </c>
      <c r="AF23" s="547" cm="1">
        <f t="array" ref="AF23">(SUM(_xlfn._xlws.FILTER(_xlfn._xlws.FILTER(dataGLBSCF,dataGLBSAcctIDs=$C23),(endDatesCF=AF$5)))-SUM(_xlfn._xlws.FILTER(_xlfn._xlws.FILTER(dataGLBSCF,dataGLBSAcctIDs=$C23),(startDatesCF=EDATE(AF$4,-1)))))*INDEX(PBC_ACCOUNT_LIST[Sign_for_total_cashflow],MATCH($C23,PBC_ACCOUNT_LIST[Id],0))</f>
        <v>1523</v>
      </c>
      <c r="AG23" s="547" cm="1">
        <f t="array" ref="AG23">(SUM(_xlfn._xlws.FILTER(_xlfn._xlws.FILTER(dataGLBSCF,dataGLBSAcctIDs=$C23),(endDatesCF=AG$5)))-SUM(_xlfn._xlws.FILTER(_xlfn._xlws.FILTER(dataGLBSCF,dataGLBSAcctIDs=$C23),(startDatesCF=EDATE(AG$4,-1)))))*INDEX(PBC_ACCOUNT_LIST[Sign_for_total_cashflow],MATCH($C23,PBC_ACCOUNT_LIST[Id],0))</f>
        <v>1576</v>
      </c>
      <c r="AH23" s="547" cm="1">
        <f t="array" ref="AH23">(SUM(_xlfn._xlws.FILTER(_xlfn._xlws.FILTER(dataGLBSCF,dataGLBSAcctIDs=$C23),(endDatesCF=AH$5)))-SUM(_xlfn._xlws.FILTER(_xlfn._xlws.FILTER(dataGLBSCF,dataGLBSAcctIDs=$C23),(startDatesCF=EDATE(AH$4,-1)))))*INDEX(PBC_ACCOUNT_LIST[Sign_for_total_cashflow],MATCH($C23,PBC_ACCOUNT_LIST[Id],0))</f>
        <v>1631</v>
      </c>
      <c r="AI23" s="547" cm="1">
        <f t="array" ref="AI23">(SUM(_xlfn._xlws.FILTER(_xlfn._xlws.FILTER(dataGLBSCF,dataGLBSAcctIDs=$C23),(endDatesCF=AI$5)))-SUM(_xlfn._xlws.FILTER(_xlfn._xlws.FILTER(dataGLBSCF,dataGLBSAcctIDs=$C23),(startDatesCF=EDATE(AI$4,-1)))))*INDEX(PBC_ACCOUNT_LIST[Sign_for_total_cashflow],MATCH($C23,PBC_ACCOUNT_LIST[Id],0))</f>
        <v>1688</v>
      </c>
      <c r="AJ23" s="547" cm="1">
        <f t="array" ref="AJ23">(SUM(_xlfn._xlws.FILTER(_xlfn._xlws.FILTER(dataGLBSCF,dataGLBSAcctIDs=$C23),(endDatesCF=AJ$5)))-SUM(_xlfn._xlws.FILTER(_xlfn._xlws.FILTER(dataGLBSCF,dataGLBSAcctIDs=$C23),(startDatesCF=EDATE(AJ$4,-1)))))*INDEX(PBC_ACCOUNT_LIST[Sign_for_total_cashflow],MATCH($C23,PBC_ACCOUNT_LIST[Id],0))</f>
        <v>1747.5</v>
      </c>
      <c r="AK23" s="547" cm="1">
        <f t="array" ref="AK23">(SUM(_xlfn._xlws.FILTER(_xlfn._xlws.FILTER(dataGLBSCF,dataGLBSAcctIDs=$C23),(endDatesCF=AK$5)))-SUM(_xlfn._xlws.FILTER(_xlfn._xlws.FILTER(dataGLBSCF,dataGLBSAcctIDs=$C23),(startDatesCF=EDATE(AK$4,-1)))))*INDEX(PBC_ACCOUNT_LIST[Sign_for_total_cashflow],MATCH($C23,PBC_ACCOUNT_LIST[Id],0))</f>
        <v>1808</v>
      </c>
      <c r="AL23" s="547" cm="1">
        <f t="array" ref="AL23">(SUM(_xlfn._xlws.FILTER(_xlfn._xlws.FILTER(dataGLBSCF,dataGLBSAcctIDs=$C23),(endDatesCF=AL$5)))-SUM(_xlfn._xlws.FILTER(_xlfn._xlws.FILTER(dataGLBSCF,dataGLBSAcctIDs=$C23),(startDatesCF=EDATE(AL$4,-1)))))*INDEX(PBC_ACCOUNT_LIST[Sign_for_total_cashflow],MATCH($C23,PBC_ACCOUNT_LIST[Id],0))</f>
        <v>1872</v>
      </c>
      <c r="AM23" s="547" cm="1">
        <f t="array" ref="AM23">(SUM(_xlfn._xlws.FILTER(_xlfn._xlws.FILTER(dataGLBSCF,dataGLBSAcctIDs=$C23),(endDatesCF=AM$5)))-SUM(_xlfn._xlws.FILTER(_xlfn._xlws.FILTER(dataGLBSCF,dataGLBSAcctIDs=$C23),(startDatesCF=EDATE(AM$4,-1)))))*INDEX(PBC_ACCOUNT_LIST[Sign_for_total_cashflow],MATCH($C23,PBC_ACCOUNT_LIST[Id],0))</f>
        <v>0</v>
      </c>
      <c r="AN23" s="547" cm="1">
        <f t="array" ref="AN23">(SUM(_xlfn._xlws.FILTER(_xlfn._xlws.FILTER(dataGLBSCF,dataGLBSAcctIDs=$C23),(endDatesCF=AN$5)))-SUM(_xlfn._xlws.FILTER(_xlfn._xlws.FILTER(dataGLBSCF,dataGLBSAcctIDs=$C23),(startDatesCF=EDATE(AN$4,-1)))))*INDEX(PBC_ACCOUNT_LIST[Sign_for_total_cashflow],MATCH($C23,PBC_ACCOUNT_LIST[Id],0))</f>
        <v>0</v>
      </c>
      <c r="AO23" s="547" cm="1">
        <f t="array" ref="AO23">(SUM(_xlfn._xlws.FILTER(_xlfn._xlws.FILTER(dataGLBSCF,dataGLBSAcctIDs=$C23),(endDatesCF=AO$5)))-SUM(_xlfn._xlws.FILTER(_xlfn._xlws.FILTER(dataGLBSCF,dataGLBSAcctIDs=$C23),(startDatesCF=EDATE(AO$4,-1)))))*INDEX(PBC_ACCOUNT_LIST[Sign_for_total_cashflow],MATCH($C23,PBC_ACCOUNT_LIST[Id],0))</f>
        <v>0</v>
      </c>
      <c r="AP23" s="547" cm="1">
        <f t="array" ref="AP23">(SUM(_xlfn._xlws.FILTER(_xlfn._xlws.FILTER(dataGLBSCF,dataGLBSAcctIDs=$C23),(endDatesCF=AP$5)))-SUM(_xlfn._xlws.FILTER(_xlfn._xlws.FILTER(dataGLBSCF,dataGLBSAcctIDs=$C23),(startDatesCF=EDATE(AP$4,-1)))))*INDEX(PBC_ACCOUNT_LIST[Sign_for_total_cashflow],MATCH($C23,PBC_ACCOUNT_LIST[Id],0))</f>
        <v>0</v>
      </c>
      <c r="AQ23" s="547" cm="1">
        <f t="array" ref="AQ23">(SUM(_xlfn._xlws.FILTER(_xlfn._xlws.FILTER(dataGLBSCF,dataGLBSAcctIDs=$C23),(endDatesCF=AQ$5)))-SUM(_xlfn._xlws.FILTER(_xlfn._xlws.FILTER(dataGLBSCF,dataGLBSAcctIDs=$C23),(startDatesCF=EDATE(AQ$4,-1)))))*INDEX(PBC_ACCOUNT_LIST[Sign_for_total_cashflow],MATCH($C23,PBC_ACCOUNT_LIST[Id],0))</f>
        <v>0</v>
      </c>
      <c r="AR23" s="547" cm="1">
        <f t="array" ref="AR23">(SUM(_xlfn._xlws.FILTER(_xlfn._xlws.FILTER(dataGLBSCF,dataGLBSAcctIDs=$C23),(endDatesCF=AR$5)))-SUM(_xlfn._xlws.FILTER(_xlfn._xlws.FILTER(dataGLBSCF,dataGLBSAcctIDs=$C23),(startDatesCF=EDATE(AR$4,-1)))))*INDEX(PBC_ACCOUNT_LIST[Sign_for_total_cashflow],MATCH($C23,PBC_ACCOUNT_LIST[Id],0))</f>
        <v>0</v>
      </c>
      <c r="AS23" s="547" cm="1">
        <f t="array" ref="AS23">(SUM(_xlfn._xlws.FILTER(_xlfn._xlws.FILTER(dataGLBSCF,dataGLBSAcctIDs=$C23),(endDatesCF=AS$5)))-SUM(_xlfn._xlws.FILTER(_xlfn._xlws.FILTER(dataGLBSCF,dataGLBSAcctIDs=$C23),(startDatesCF=EDATE(AS$4,-1)))))*INDEX(PBC_ACCOUNT_LIST[Sign_for_total_cashflow],MATCH($C23,PBC_ACCOUNT_LIST[Id],0))</f>
        <v>0</v>
      </c>
      <c r="AT23" s="547" cm="1">
        <f t="array" ref="AT23">(SUM(_xlfn._xlws.FILTER(_xlfn._xlws.FILTER(dataGLBSCF,dataGLBSAcctIDs=$C23),(endDatesCF=AT$5)))-SUM(_xlfn._xlws.FILTER(_xlfn._xlws.FILTER(dataGLBSCF,dataGLBSAcctIDs=$C23),(startDatesCF=EDATE(AT$4,-1)))))*INDEX(PBC_ACCOUNT_LIST[Sign_for_total_cashflow],MATCH($C23,PBC_ACCOUNT_LIST[Id],0))</f>
        <v>0</v>
      </c>
      <c r="AU23" s="547" cm="1">
        <f t="array" ref="AU23">(SUM(_xlfn._xlws.FILTER(_xlfn._xlws.FILTER(dataGLBSCF,dataGLBSAcctIDs=$C23),(endDatesCF=AU$5)))-SUM(_xlfn._xlws.FILTER(_xlfn._xlws.FILTER(dataGLBSCF,dataGLBSAcctIDs=$C23),(startDatesCF=EDATE(AU$4,-1)))))*INDEX(PBC_ACCOUNT_LIST[Sign_for_total_cashflow],MATCH($C23,PBC_ACCOUNT_LIST[Id],0))</f>
        <v>0</v>
      </c>
      <c r="AV23" s="547" cm="1">
        <f t="array" ref="AV23">(SUM(_xlfn._xlws.FILTER(_xlfn._xlws.FILTER(dataGLBSCF,dataGLBSAcctIDs=$C23),(endDatesCF=AV$5)))-SUM(_xlfn._xlws.FILTER(_xlfn._xlws.FILTER(dataGLBSCF,dataGLBSAcctIDs=$C23),(startDatesCF=EDATE(AV$4,-1)))))*INDEX(PBC_ACCOUNT_LIST[Sign_for_total_cashflow],MATCH($C23,PBC_ACCOUNT_LIST[Id],0))</f>
        <v>0</v>
      </c>
      <c r="AW23" s="547" cm="1">
        <f t="array" ref="AW23">(SUM(_xlfn._xlws.FILTER(_xlfn._xlws.FILTER(dataGLBSCF,dataGLBSAcctIDs=$C23),(endDatesCF=AW$5)))-SUM(_xlfn._xlws.FILTER(_xlfn._xlws.FILTER(dataGLBSCF,dataGLBSAcctIDs=$C23),(startDatesCF=EDATE(AW$4,-1)))))*INDEX(PBC_ACCOUNT_LIST[Sign_for_total_cashflow],MATCH($C23,PBC_ACCOUNT_LIST[Id],0))</f>
        <v>0</v>
      </c>
      <c r="AX23" s="547" cm="1">
        <f t="array" ref="AX23">(SUM(_xlfn._xlws.FILTER(_xlfn._xlws.FILTER(dataGLBSCF,dataGLBSAcctIDs=$C23),(endDatesCF=AX$5)))-SUM(_xlfn._xlws.FILTER(_xlfn._xlws.FILTER(dataGLBSCF,dataGLBSAcctIDs=$C23),(startDatesCF=EDATE(AX$4,-1)))))*INDEX(PBC_ACCOUNT_LIST[Sign_for_total_cashflow],MATCH($C23,PBC_ACCOUNT_LIST[Id],0))</f>
        <v>0</v>
      </c>
      <c r="AY23" s="547" cm="1">
        <f t="array" ref="AY23">(SUM(_xlfn._xlws.FILTER(_xlfn._xlws.FILTER(dataGLBSCF,dataGLBSAcctIDs=$C23),(endDatesCF=AY$5)))-SUM(_xlfn._xlws.FILTER(_xlfn._xlws.FILTER(dataGLBSCF,dataGLBSAcctIDs=$C23),(startDatesCF=EDATE(AY$4,-1)))))*INDEX(PBC_ACCOUNT_LIST[Sign_for_total_cashflow],MATCH($C23,PBC_ACCOUNT_LIST[Id],0))</f>
        <v>0</v>
      </c>
      <c r="AZ23" s="547" cm="1">
        <f t="array" ref="AZ23">(SUM(_xlfn._xlws.FILTER(_xlfn._xlws.FILTER(dataGLBSCF,dataGLBSAcctIDs=$C23),(endDatesCF=AZ$5)))-SUM(_xlfn._xlws.FILTER(_xlfn._xlws.FILTER(dataGLBSCF,dataGLBSAcctIDs=$C23),(startDatesCF=EDATE(AZ$4,-1)))))*INDEX(PBC_ACCOUNT_LIST[Sign_for_total_cashflow],MATCH($C23,PBC_ACCOUNT_LIST[Id],0))</f>
        <v>0</v>
      </c>
      <c r="BA23" s="547" cm="1">
        <f t="array" ref="BA23">(SUM(_xlfn._xlws.FILTER(_xlfn._xlws.FILTER(dataGLBSCF,dataGLBSAcctIDs=$C23),(endDatesCF=BA$5)))-SUM(_xlfn._xlws.FILTER(_xlfn._xlws.FILTER(dataGLBSCF,dataGLBSAcctIDs=$C23),(startDatesCF=EDATE(BA$4,-1)))))*INDEX(PBC_ACCOUNT_LIST[Sign_for_total_cashflow],MATCH($C23,PBC_ACCOUNT_LIST[Id],0))</f>
        <v>0</v>
      </c>
      <c r="BB23" s="547" cm="1">
        <f t="array" ref="BB23">(SUM(_xlfn._xlws.FILTER(_xlfn._xlws.FILTER(dataGLBSCF,dataGLBSAcctIDs=$C23),(endDatesCF=BB$5)))-SUM(_xlfn._xlws.FILTER(_xlfn._xlws.FILTER(dataGLBSCF,dataGLBSAcctIDs=$C23),(startDatesCF=EDATE(BB$4,-1)))))*INDEX(PBC_ACCOUNT_LIST[Sign_for_total_cashflow],MATCH($C23,PBC_ACCOUNT_LIST[Id],0))</f>
        <v>0</v>
      </c>
      <c r="BC23" s="547" cm="1">
        <f t="array" ref="BC23">(SUM(_xlfn._xlws.FILTER(_xlfn._xlws.FILTER(dataGLBSCF,dataGLBSAcctIDs=$C23),(endDatesCF=BC$5)))-SUM(_xlfn._xlws.FILTER(_xlfn._xlws.FILTER(dataGLBSCF,dataGLBSAcctIDs=$C23),(startDatesCF=EDATE(BC$4,-1)))))*INDEX(PBC_ACCOUNT_LIST[Sign_for_total_cashflow],MATCH($C23,PBC_ACCOUNT_LIST[Id],0))</f>
        <v>0</v>
      </c>
      <c r="BD23" s="547" cm="1">
        <f t="array" ref="BD23">(SUM(_xlfn._xlws.FILTER(_xlfn._xlws.FILTER(dataGLBSCF,dataGLBSAcctIDs=$C23),(endDatesCF=BD$5)))-SUM(_xlfn._xlws.FILTER(_xlfn._xlws.FILTER(dataGLBSCF,dataGLBSAcctIDs=$C23),(startDatesCF=EDATE(BD$4,-1)))))*INDEX(PBC_ACCOUNT_LIST[Sign_for_total_cashflow],MATCH($C23,PBC_ACCOUNT_LIST[Id],0))</f>
        <v>0</v>
      </c>
      <c r="BE23" s="547" cm="1">
        <f t="array" ref="BE23">(SUM(_xlfn._xlws.FILTER(_xlfn._xlws.FILTER(dataGLBSCF,dataGLBSAcctIDs=$C23),(endDatesCF=BE$5)))-SUM(_xlfn._xlws.FILTER(_xlfn._xlws.FILTER(dataGLBSCF,dataGLBSAcctIDs=$C23),(startDatesCF=EDATE(BE$4,-1)))))*INDEX(PBC_ACCOUNT_LIST[Sign_for_total_cashflow],MATCH($C23,PBC_ACCOUNT_LIST[Id],0))</f>
        <v>0</v>
      </c>
      <c r="BF23" s="547" cm="1">
        <f t="array" ref="BF23">(SUM(_xlfn._xlws.FILTER(_xlfn._xlws.FILTER(dataGLBSCF,dataGLBSAcctIDs=$C23),(endDatesCF=BF$5)))-SUM(_xlfn._xlws.FILTER(_xlfn._xlws.FILTER(dataGLBSCF,dataGLBSAcctIDs=$C23),(startDatesCF=EDATE(BF$4,-1)))))*INDEX(PBC_ACCOUNT_LIST[Sign_for_total_cashflow],MATCH($C23,PBC_ACCOUNT_LIST[Id],0))</f>
        <v>0</v>
      </c>
      <c r="BG23" s="547" cm="1">
        <f t="array" ref="BG23">(SUM(_xlfn._xlws.FILTER(_xlfn._xlws.FILTER(dataGLBSCF,dataGLBSAcctIDs=$C23),(endDatesCF=BG$5)))-SUM(_xlfn._xlws.FILTER(_xlfn._xlws.FILTER(dataGLBSCF,dataGLBSAcctIDs=$C23),(startDatesCF=EDATE(BG$4,-1)))))*INDEX(PBC_ACCOUNT_LIST[Sign_for_total_cashflow],MATCH($C23,PBC_ACCOUNT_LIST[Id],0))</f>
        <v>0</v>
      </c>
      <c r="BH23" s="547" cm="1">
        <f t="array" ref="BH23">(SUM(_xlfn._xlws.FILTER(_xlfn._xlws.FILTER(dataGLBSCF,dataGLBSAcctIDs=$C23),(endDatesCF=BH$5)))-SUM(_xlfn._xlws.FILTER(_xlfn._xlws.FILTER(dataGLBSCF,dataGLBSAcctIDs=$C23),(startDatesCF=EDATE(BH$4,-1)))))*INDEX(PBC_ACCOUNT_LIST[Sign_for_total_cashflow],MATCH($C23,PBC_ACCOUNT_LIST[Id],0))</f>
        <v>0</v>
      </c>
      <c r="BI23" s="547" cm="1">
        <f t="array" ref="BI23">(SUM(_xlfn._xlws.FILTER(_xlfn._xlws.FILTER(dataGLBSCF,dataGLBSAcctIDs=$C23),(endDatesCF=BI$5)))-SUM(_xlfn._xlws.FILTER(_xlfn._xlws.FILTER(dataGLBSCF,dataGLBSAcctIDs=$C23),(startDatesCF=EDATE(BI$4,-1)))))*INDEX(PBC_ACCOUNT_LIST[Sign_for_total_cashflow],MATCH($C23,PBC_ACCOUNT_LIST[Id],0))</f>
        <v>0</v>
      </c>
      <c r="BJ23" s="547" cm="1">
        <f t="array" ref="BJ23">(SUM(_xlfn._xlws.FILTER(_xlfn._xlws.FILTER(dataGLBSCF,dataGLBSAcctIDs=$C23),(endDatesCF=BJ$5)))-SUM(_xlfn._xlws.FILTER(_xlfn._xlws.FILTER(dataGLBSCF,dataGLBSAcctIDs=$C23),(startDatesCF=EDATE(BJ$4,-1)))))*INDEX(PBC_ACCOUNT_LIST[Sign_for_total_cashflow],MATCH($C23,PBC_ACCOUNT_LIST[Id],0))</f>
        <v>0</v>
      </c>
      <c r="BK23" s="547" cm="1">
        <f t="array" ref="BK23">(SUM(_xlfn._xlws.FILTER(_xlfn._xlws.FILTER(dataGLBSCF,dataGLBSAcctIDs=$C23),(endDatesCF=BK$5)))-SUM(_xlfn._xlws.FILTER(_xlfn._xlws.FILTER(dataGLBSCF,dataGLBSAcctIDs=$C23),(startDatesCF=EDATE(BK$4,-1)))))*INDEX(PBC_ACCOUNT_LIST[Sign_for_total_cashflow],MATCH($C23,PBC_ACCOUNT_LIST[Id],0))</f>
        <v>0</v>
      </c>
      <c r="BL23" s="547" cm="1">
        <f t="array" ref="BL23">(SUM(_xlfn._xlws.FILTER(_xlfn._xlws.FILTER(dataGLBSCF,dataGLBSAcctIDs=$C23),(endDatesCF=BL$5)))-SUM(_xlfn._xlws.FILTER(_xlfn._xlws.FILTER(dataGLBSCF,dataGLBSAcctIDs=$C23),(startDatesCF=EDATE(BL$4,-1)))))*INDEX(PBC_ACCOUNT_LIST[Sign_for_total_cashflow],MATCH($C23,PBC_ACCOUNT_LIST[Id],0))</f>
        <v>63454.583281818195</v>
      </c>
      <c r="BM23" s="547" cm="1">
        <f t="array" ref="BM23">(SUM(_xlfn._xlws.FILTER(_xlfn._xlws.FILTER(dataGLBSCF,dataGLBSAcctIDs=$C23),(endDatesCF=BM$5)))-SUM(_xlfn._xlws.FILTER(_xlfn._xlws.FILTER(dataGLBSCF,dataGLBSAcctIDs=$C23),(startDatesCF=EDATE(BM$4,-1)))))*INDEX(PBC_ACCOUNT_LIST[Sign_for_total_cashflow],MATCH($C23,PBC_ACCOUNT_LIST[Id],0))</f>
        <v>-18940.976035030981</v>
      </c>
      <c r="BN23" s="547" cm="1">
        <f t="array" ref="BN23">(SUM(_xlfn._xlws.FILTER(_xlfn._xlws.FILTER(dataGLBSCF,dataGLBSAcctIDs=$C23),(endDatesCF=BN$5)))-SUM(_xlfn._xlws.FILTER(_xlfn._xlws.FILTER(dataGLBSCF,dataGLBSAcctIDs=$C23),(startDatesCF=EDATE(BN$4,-1)))))*INDEX(PBC_ACCOUNT_LIST[Sign_for_total_cashflow],MATCH($C23,PBC_ACCOUNT_LIST[Id],0))</f>
        <v>-12319.17199137203</v>
      </c>
      <c r="BO23" s="547" cm="1">
        <f t="array" ref="BO23">(SUM(_xlfn._xlws.FILTER(_xlfn._xlws.FILTER(dataGLBSCF,dataGLBSAcctIDs=$C23),(endDatesCF=BO$5)))-SUM(_xlfn._xlws.FILTER(_xlfn._xlws.FILTER(dataGLBSCF,dataGLBSAcctIDs=$C23),(startDatesCF=EDATE(BO$4,-1)))))*INDEX(PBC_ACCOUNT_LIST[Sign_for_total_cashflow],MATCH($C23,PBC_ACCOUNT_LIST[Id],0))</f>
        <v>1351.5508552480896</v>
      </c>
      <c r="BP23" s="547" cm="1">
        <f t="array" ref="BP23">(SUM(_xlfn._xlws.FILTER(_xlfn._xlws.FILTER(dataGLBSCF,dataGLBSAcctIDs=$C23),(endDatesCF=BP$5)))-SUM(_xlfn._xlws.FILTER(_xlfn._xlws.FILTER(dataGLBSCF,dataGLBSAcctIDs=$C23),(startDatesCF=EDATE(BP$4,-1)))))*INDEX(PBC_ACCOUNT_LIST[Sign_for_total_cashflow],MATCH($C23,PBC_ACCOUNT_LIST[Id],0))</f>
        <v>8534.5620489917637</v>
      </c>
      <c r="BQ23" s="547" cm="1">
        <f t="array" ref="BQ23">(SUM(_xlfn._xlws.FILTER(_xlfn._xlws.FILTER(dataGLBSCF,dataGLBSAcctIDs=$C23),(endDatesCF=BQ$5)))-SUM(_xlfn._xlws.FILTER(_xlfn._xlws.FILTER(dataGLBSCF,dataGLBSAcctIDs=$C23),(startDatesCF=EDATE(BQ$4,-1)))))*INDEX(PBC_ACCOUNT_LIST[Sign_for_total_cashflow],MATCH($C23,PBC_ACCOUNT_LIST[Id],0))</f>
        <v>850.34030414321751</v>
      </c>
      <c r="BR23" s="547" cm="1">
        <f t="array" ref="BR23">(SUM(_xlfn._xlws.FILTER(_xlfn._xlws.FILTER(dataGLBSCF,dataGLBSAcctIDs=$C23),(endDatesCF=BR$5)))-SUM(_xlfn._xlws.FILTER(_xlfn._xlws.FILTER(dataGLBSCF,dataGLBSAcctIDs=$C23),(startDatesCF=EDATE(BR$4,-1)))))*INDEX(PBC_ACCOUNT_LIST[Sign_for_total_cashflow],MATCH($C23,PBC_ACCOUNT_LIST[Id],0))</f>
        <v>1479.422381233162</v>
      </c>
      <c r="BS23" s="547" cm="1">
        <f t="array" ref="BS23">(SUM(_xlfn._xlws.FILTER(_xlfn._xlws.FILTER(dataGLBSCF,dataGLBSAcctIDs=$C23),(endDatesCF=BS$5)))-SUM(_xlfn._xlws.FILTER(_xlfn._xlws.FILTER(dataGLBSCF,dataGLBSAcctIDs=$C23),(startDatesCF=EDATE(BS$4,-1)))))*INDEX(PBC_ACCOUNT_LIST[Sign_for_total_cashflow],MATCH($C23,PBC_ACCOUNT_LIST[Id],0))</f>
        <v>2243.1074303419009</v>
      </c>
      <c r="BT23" s="547" cm="1">
        <f t="array" ref="BT23">(SUM(_xlfn._xlws.FILTER(_xlfn._xlws.FILTER(dataGLBSCF,dataGLBSAcctIDs=$C23),(endDatesCF=BT$5)))-SUM(_xlfn._xlws.FILTER(_xlfn._xlws.FILTER(dataGLBSCF,dataGLBSAcctIDs=$C23),(startDatesCF=EDATE(BT$4,-1)))))*INDEX(PBC_ACCOUNT_LIST[Sign_for_total_cashflow],MATCH($C23,PBC_ACCOUNT_LIST[Id],0))</f>
        <v>1083.7339256111154</v>
      </c>
      <c r="BU23" s="547" cm="1">
        <f t="array" ref="BU23">(SUM(_xlfn._xlws.FILTER(_xlfn._xlws.FILTER(dataGLBSCF,dataGLBSAcctIDs=$C23),(endDatesCF=BU$5)))-SUM(_xlfn._xlws.FILTER(_xlfn._xlws.FILTER(dataGLBSCF,dataGLBSAcctIDs=$C23),(startDatesCF=EDATE(BU$4,-1)))))*INDEX(PBC_ACCOUNT_LIST[Sign_for_total_cashflow],MATCH($C23,PBC_ACCOUNT_LIST[Id],0))</f>
        <v>1006.9544981639629</v>
      </c>
      <c r="BV23" s="547" cm="1">
        <f t="array" ref="BV23">(SUM(_xlfn._xlws.FILTER(_xlfn._xlws.FILTER(dataGLBSCF,dataGLBSAcctIDs=$C23),(endDatesCF=BV$5)))-SUM(_xlfn._xlws.FILTER(_xlfn._xlws.FILTER(dataGLBSCF,dataGLBSAcctIDs=$C23),(startDatesCF=EDATE(BV$4,-1)))))*INDEX(PBC_ACCOUNT_LIST[Sign_for_total_cashflow],MATCH($C23,PBC_ACCOUNT_LIST[Id],0))</f>
        <v>945.81602595366712</v>
      </c>
      <c r="BW23" s="547" cm="1">
        <f t="array" ref="BW23">(SUM(_xlfn._xlws.FILTER(_xlfn._xlws.FILTER(dataGLBSCF,dataGLBSAcctIDs=$C23),(endDatesCF=BW$5)))-SUM(_xlfn._xlws.FILTER(_xlfn._xlws.FILTER(dataGLBSCF,dataGLBSAcctIDs=$C23),(startDatesCF=EDATE(BW$4,-1)))))*INDEX(PBC_ACCOUNT_LIST[Sign_for_total_cashflow],MATCH($C23,PBC_ACCOUNT_LIST[Id],0))</f>
        <v>910.2159690008848</v>
      </c>
      <c r="BX23" s="547" cm="1">
        <f t="array" ref="BX23">(SUM(_xlfn._xlws.FILTER(_xlfn._xlws.FILTER(dataGLBSCF,dataGLBSAcctIDs=$C23),(endDatesCF=BX$5)))-SUM(_xlfn._xlws.FILTER(_xlfn._xlws.FILTER(dataGLBSCF,dataGLBSAcctIDs=$C23),(startDatesCF=EDATE(BX$4,-1)))))*INDEX(PBC_ACCOUNT_LIST[Sign_for_total_cashflow],MATCH($C23,PBC_ACCOUNT_LIST[Id],0))</f>
        <v>5431.7625074092066</v>
      </c>
    </row>
    <row r="24" spans="1:92" customFormat="1" ht="21" customHeight="1">
      <c r="B24" s="685" t="s">
        <v>306</v>
      </c>
      <c r="C24">
        <v>156</v>
      </c>
      <c r="E24" s="547" cm="1">
        <f t="array" ref="E24">(SUM(_xlfn._xlws.FILTER(_xlfn._xlws.FILTER(dataGLBSCF,dataGLBSAcctIDs=$C24),(endDatesCF=E$5)))-SUM(_xlfn._xlws.FILTER(_xlfn._xlws.FILTER(dataGLBSCF,dataGLBSAcctIDs=$C24),(startDatesCF=EDATE(E$4,-1)))))*INDEX(PBC_ACCOUNT_LIST[Sign_for_total_cashflow],MATCH($C24,PBC_ACCOUNT_LIST[Id],0))</f>
        <v>1624.5</v>
      </c>
      <c r="F24" s="547" cm="1">
        <f t="array" ref="F24">(SUM(_xlfn._xlws.FILTER(_xlfn._xlws.FILTER(dataGLBSCF,dataGLBSAcctIDs=$C24),(endDatesCF=F$5)))-SUM(_xlfn._xlws.FILTER(_xlfn._xlws.FILTER(dataGLBSCF,dataGLBSAcctIDs=$C24),(startDatesCF=EDATE(F$4,-1)))))*INDEX(PBC_ACCOUNT_LIST[Sign_for_total_cashflow],MATCH($C24,PBC_ACCOUNT_LIST[Id],0))</f>
        <v>0</v>
      </c>
      <c r="G24" s="547" cm="1">
        <f t="array" ref="G24">(SUM(_xlfn._xlws.FILTER(_xlfn._xlws.FILTER(dataGLBSCF,dataGLBSAcctIDs=$C24),(endDatesCF=G$5)))-SUM(_xlfn._xlws.FILTER(_xlfn._xlws.FILTER(dataGLBSCF,dataGLBSAcctIDs=$C24),(startDatesCF=EDATE(G$4,-1)))))*INDEX(PBC_ACCOUNT_LIST[Sign_for_total_cashflow],MATCH($C24,PBC_ACCOUNT_LIST[Id],0))</f>
        <v>0</v>
      </c>
      <c r="H24" s="547" cm="1">
        <f t="array" ref="H24">(SUM(_xlfn._xlws.FILTER(_xlfn._xlws.FILTER(dataGLBSCF,dataGLBSAcctIDs=$C24),(endDatesCF=H$5)))-SUM(_xlfn._xlws.FILTER(_xlfn._xlws.FILTER(dataGLBSCF,dataGLBSAcctIDs=$C24),(startDatesCF=EDATE(H$4,-1)))))*INDEX(PBC_ACCOUNT_LIST[Sign_for_total_cashflow],MATCH($C24,PBC_ACCOUNT_LIST[Id],0))</f>
        <v>0</v>
      </c>
      <c r="K24" s="547" cm="1">
        <f t="array" ref="K24">(SUM(_xlfn._xlws.FILTER(_xlfn._xlws.FILTER(dataGLBSCF,dataGLBSAcctIDs=$C24),(endDatesCF=K$5)))-SUM(_xlfn._xlws.FILTER(_xlfn._xlws.FILTER(dataGLBSCF,dataGLBSAcctIDs=$C24),(startDatesCF=EDATE(K$4,-1)))))*INDEX(PBC_ACCOUNT_LIST[Sign_for_total_cashflow],MATCH($C24,PBC_ACCOUNT_LIST[Id],0))</f>
        <v>1026</v>
      </c>
      <c r="L24" s="547" cm="1">
        <f t="array" ref="L24">(SUM(_xlfn._xlws.FILTER(_xlfn._xlws.FILTER(dataGLBSCF,dataGLBSAcctIDs=$C24),(endDatesCF=L$5)))-SUM(_xlfn._xlws.FILTER(_xlfn._xlws.FILTER(dataGLBSCF,dataGLBSAcctIDs=$C24),(startDatesCF=EDATE(L$4,-1)))))*INDEX(PBC_ACCOUNT_LIST[Sign_for_total_cashflow],MATCH($C24,PBC_ACCOUNT_LIST[Id],0))</f>
        <v>134.5</v>
      </c>
      <c r="M24" s="547" cm="1">
        <f t="array" ref="M24">(SUM(_xlfn._xlws.FILTER(_xlfn._xlws.FILTER(dataGLBSCF,dataGLBSAcctIDs=$C24),(endDatesCF=M$5)))-SUM(_xlfn._xlws.FILTER(_xlfn._xlws.FILTER(dataGLBSCF,dataGLBSAcctIDs=$C24),(startDatesCF=EDATE(M$4,-1)))))*INDEX(PBC_ACCOUNT_LIST[Sign_for_total_cashflow],MATCH($C24,PBC_ACCOUNT_LIST[Id],0))</f>
        <v>780</v>
      </c>
      <c r="N24" s="547" cm="1">
        <f t="array" ref="N24">(SUM(_xlfn._xlws.FILTER(_xlfn._xlws.FILTER(dataGLBSCF,dataGLBSAcctIDs=$C24),(endDatesCF=N$5)))-SUM(_xlfn._xlws.FILTER(_xlfn._xlws.FILTER(dataGLBSCF,dataGLBSAcctIDs=$C24),(startDatesCF=EDATE(N$4,-1)))))*INDEX(PBC_ACCOUNT_LIST[Sign_for_total_cashflow],MATCH($C24,PBC_ACCOUNT_LIST[Id],0))</f>
        <v>-316</v>
      </c>
      <c r="O24" s="547" cm="1">
        <f t="array" ref="O24">(SUM(_xlfn._xlws.FILTER(_xlfn._xlws.FILTER(dataGLBSCF,dataGLBSAcctIDs=$C24),(endDatesCF=O$5)))-SUM(_xlfn._xlws.FILTER(_xlfn._xlws.FILTER(dataGLBSCF,dataGLBSAcctIDs=$C24),(startDatesCF=EDATE(O$4,-1)))))*INDEX(PBC_ACCOUNT_LIST[Sign_for_total_cashflow],MATCH($C24,PBC_ACCOUNT_LIST[Id],0))</f>
        <v>0</v>
      </c>
      <c r="P24" s="547" cm="1">
        <f t="array" ref="P24">(SUM(_xlfn._xlws.FILTER(_xlfn._xlws.FILTER(dataGLBSCF,dataGLBSAcctIDs=$C24),(endDatesCF=P$5)))-SUM(_xlfn._xlws.FILTER(_xlfn._xlws.FILTER(dataGLBSCF,dataGLBSAcctIDs=$C24),(startDatesCF=EDATE(P$4,-1)))))*INDEX(PBC_ACCOUNT_LIST[Sign_for_total_cashflow],MATCH($C24,PBC_ACCOUNT_LIST[Id],0))</f>
        <v>0</v>
      </c>
      <c r="Q24" s="547" cm="1">
        <f t="array" ref="Q24">(SUM(_xlfn._xlws.FILTER(_xlfn._xlws.FILTER(dataGLBSCF,dataGLBSAcctIDs=$C24),(endDatesCF=Q$5)))-SUM(_xlfn._xlws.FILTER(_xlfn._xlws.FILTER(dataGLBSCF,dataGLBSAcctIDs=$C24),(startDatesCF=EDATE(Q$4,-1)))))*INDEX(PBC_ACCOUNT_LIST[Sign_for_total_cashflow],MATCH($C24,PBC_ACCOUNT_LIST[Id],0))</f>
        <v>0</v>
      </c>
      <c r="R24" s="547" cm="1">
        <f t="array" ref="R24">(SUM(_xlfn._xlws.FILTER(_xlfn._xlws.FILTER(dataGLBSCF,dataGLBSAcctIDs=$C24),(endDatesCF=R$5)))-SUM(_xlfn._xlws.FILTER(_xlfn._xlws.FILTER(dataGLBSCF,dataGLBSAcctIDs=$C24),(startDatesCF=EDATE(R$4,-1)))))*INDEX(PBC_ACCOUNT_LIST[Sign_for_total_cashflow],MATCH($C24,PBC_ACCOUNT_LIST[Id],0))</f>
        <v>0</v>
      </c>
      <c r="S24" s="547" cm="1">
        <f t="array" ref="S24">(SUM(_xlfn._xlws.FILTER(_xlfn._xlws.FILTER(dataGLBSCF,dataGLBSAcctIDs=$C24),(endDatesCF=S$5)))-SUM(_xlfn._xlws.FILTER(_xlfn._xlws.FILTER(dataGLBSCF,dataGLBSAcctIDs=$C24),(startDatesCF=EDATE(S$4,-1)))))*INDEX(PBC_ACCOUNT_LIST[Sign_for_total_cashflow],MATCH($C24,PBC_ACCOUNT_LIST[Id],0))</f>
        <v>0</v>
      </c>
      <c r="T24" s="547" cm="1">
        <f t="array" ref="T24">(SUM(_xlfn._xlws.FILTER(_xlfn._xlws.FILTER(dataGLBSCF,dataGLBSAcctIDs=$C24),(endDatesCF=T$5)))-SUM(_xlfn._xlws.FILTER(_xlfn._xlws.FILTER(dataGLBSCF,dataGLBSAcctIDs=$C24),(startDatesCF=EDATE(T$4,-1)))))*INDEX(PBC_ACCOUNT_LIST[Sign_for_total_cashflow],MATCH($C24,PBC_ACCOUNT_LIST[Id],0))</f>
        <v>0</v>
      </c>
      <c r="U24" s="547" cm="1">
        <f t="array" ref="U24">(SUM(_xlfn._xlws.FILTER(_xlfn._xlws.FILTER(dataGLBSCF,dataGLBSAcctIDs=$C24),(endDatesCF=U$5)))-SUM(_xlfn._xlws.FILTER(_xlfn._xlws.FILTER(dataGLBSCF,dataGLBSAcctIDs=$C24),(startDatesCF=EDATE(U$4,-1)))))*INDEX(PBC_ACCOUNT_LIST[Sign_for_total_cashflow],MATCH($C24,PBC_ACCOUNT_LIST[Id],0))</f>
        <v>0</v>
      </c>
      <c r="V24" s="547" cm="1">
        <f t="array" ref="V24">(SUM(_xlfn._xlws.FILTER(_xlfn._xlws.FILTER(dataGLBSCF,dataGLBSAcctIDs=$C24),(endDatesCF=V$5)))-SUM(_xlfn._xlws.FILTER(_xlfn._xlws.FILTER(dataGLBSCF,dataGLBSAcctIDs=$C24),(startDatesCF=EDATE(V$4,-1)))))*INDEX(PBC_ACCOUNT_LIST[Sign_for_total_cashflow],MATCH($C24,PBC_ACCOUNT_LIST[Id],0))</f>
        <v>0</v>
      </c>
      <c r="W24" s="547" cm="1">
        <f t="array" ref="W24">(SUM(_xlfn._xlws.FILTER(_xlfn._xlws.FILTER(dataGLBSCF,dataGLBSAcctIDs=$C24),(endDatesCF=W$5)))-SUM(_xlfn._xlws.FILTER(_xlfn._xlws.FILTER(dataGLBSCF,dataGLBSAcctIDs=$C24),(startDatesCF=EDATE(W$4,-1)))))*INDEX(PBC_ACCOUNT_LIST[Sign_for_total_cashflow],MATCH($C24,PBC_ACCOUNT_LIST[Id],0))</f>
        <v>0</v>
      </c>
      <c r="X24" s="547" cm="1">
        <f t="array" ref="X24">(SUM(_xlfn._xlws.FILTER(_xlfn._xlws.FILTER(dataGLBSCF,dataGLBSAcctIDs=$C24),(endDatesCF=X$5)))-SUM(_xlfn._xlws.FILTER(_xlfn._xlws.FILTER(dataGLBSCF,dataGLBSAcctIDs=$C24),(startDatesCF=EDATE(X$4,-1)))))*INDEX(PBC_ACCOUNT_LIST[Sign_for_total_cashflow],MATCH($C24,PBC_ACCOUNT_LIST[Id],0))</f>
        <v>0</v>
      </c>
      <c r="Y24" s="547" cm="1">
        <f t="array" ref="Y24">(SUM(_xlfn._xlws.FILTER(_xlfn._xlws.FILTER(dataGLBSCF,dataGLBSAcctIDs=$C24),(endDatesCF=Y$5)))-SUM(_xlfn._xlws.FILTER(_xlfn._xlws.FILTER(dataGLBSCF,dataGLBSAcctIDs=$C24),(startDatesCF=EDATE(Y$4,-1)))))*INDEX(PBC_ACCOUNT_LIST[Sign_for_total_cashflow],MATCH($C24,PBC_ACCOUNT_LIST[Id],0))</f>
        <v>0</v>
      </c>
      <c r="Z24" s="547" cm="1">
        <f t="array" ref="Z24">(SUM(_xlfn._xlws.FILTER(_xlfn._xlws.FILTER(dataGLBSCF,dataGLBSAcctIDs=$C24),(endDatesCF=Z$5)))-SUM(_xlfn._xlws.FILTER(_xlfn._xlws.FILTER(dataGLBSCF,dataGLBSAcctIDs=$C24),(startDatesCF=EDATE(Z$4,-1)))))*INDEX(PBC_ACCOUNT_LIST[Sign_for_total_cashflow],MATCH($C24,PBC_ACCOUNT_LIST[Id],0))</f>
        <v>0</v>
      </c>
      <c r="AC24" s="547" cm="1">
        <f t="array" ref="AC24">(SUM(_xlfn._xlws.FILTER(_xlfn._xlws.FILTER(dataGLBSCF,dataGLBSAcctIDs=$C24),(endDatesCF=AC$5)))-SUM(_xlfn._xlws.FILTER(_xlfn._xlws.FILTER(dataGLBSCF,dataGLBSAcctIDs=$C24),(startDatesCF=EDATE(AC$4,-1)))))*INDEX(PBC_ACCOUNT_LIST[Sign_for_total_cashflow],MATCH($C24,PBC_ACCOUNT_LIST[Id],0))</f>
        <v>2942</v>
      </c>
      <c r="AD24" s="547" cm="1">
        <f t="array" ref="AD24">(SUM(_xlfn._xlws.FILTER(_xlfn._xlws.FILTER(dataGLBSCF,dataGLBSAcctIDs=$C24),(endDatesCF=AD$5)))-SUM(_xlfn._xlws.FILTER(_xlfn._xlws.FILTER(dataGLBSCF,dataGLBSAcctIDs=$C24),(startDatesCF=EDATE(AD$4,-1)))))*INDEX(PBC_ACCOUNT_LIST[Sign_for_total_cashflow],MATCH($C24,PBC_ACCOUNT_LIST[Id],0))</f>
        <v>-1358</v>
      </c>
      <c r="AE24" s="547" cm="1">
        <f t="array" ref="AE24">(SUM(_xlfn._xlws.FILTER(_xlfn._xlws.FILTER(dataGLBSCF,dataGLBSAcctIDs=$C24),(endDatesCF=AE$5)))-SUM(_xlfn._xlws.FILTER(_xlfn._xlws.FILTER(dataGLBSCF,dataGLBSAcctIDs=$C24),(startDatesCF=EDATE(AE$4,-1)))))*INDEX(PBC_ACCOUNT_LIST[Sign_for_total_cashflow],MATCH($C24,PBC_ACCOUNT_LIST[Id],0))</f>
        <v>-558</v>
      </c>
      <c r="AF24" s="547" cm="1">
        <f t="array" ref="AF24">(SUM(_xlfn._xlws.FILTER(_xlfn._xlws.FILTER(dataGLBSCF,dataGLBSAcctIDs=$C24),(endDatesCF=AF$5)))-SUM(_xlfn._xlws.FILTER(_xlfn._xlws.FILTER(dataGLBSCF,dataGLBSAcctIDs=$C24),(startDatesCF=EDATE(AF$4,-1)))))*INDEX(PBC_ACCOUNT_LIST[Sign_for_total_cashflow],MATCH($C24,PBC_ACCOUNT_LIST[Id],0))</f>
        <v>-2</v>
      </c>
      <c r="AG24" s="547" cm="1">
        <f t="array" ref="AG24">(SUM(_xlfn._xlws.FILTER(_xlfn._xlws.FILTER(dataGLBSCF,dataGLBSAcctIDs=$C24),(endDatesCF=AG$5)))-SUM(_xlfn._xlws.FILTER(_xlfn._xlws.FILTER(dataGLBSCF,dataGLBSAcctIDs=$C24),(startDatesCF=EDATE(AG$4,-1)))))*INDEX(PBC_ACCOUNT_LIST[Sign_for_total_cashflow],MATCH($C24,PBC_ACCOUNT_LIST[Id],0))</f>
        <v>1643</v>
      </c>
      <c r="AH24" s="547" cm="1">
        <f t="array" ref="AH24">(SUM(_xlfn._xlws.FILTER(_xlfn._xlws.FILTER(dataGLBSCF,dataGLBSAcctIDs=$C24),(endDatesCF=AH$5)))-SUM(_xlfn._xlws.FILTER(_xlfn._xlws.FILTER(dataGLBSCF,dataGLBSAcctIDs=$C24),(startDatesCF=EDATE(AH$4,-1)))))*INDEX(PBC_ACCOUNT_LIST[Sign_for_total_cashflow],MATCH($C24,PBC_ACCOUNT_LIST[Id],0))</f>
        <v>-1506.5</v>
      </c>
      <c r="AI24" s="547" cm="1">
        <f t="array" ref="AI24">(SUM(_xlfn._xlws.FILTER(_xlfn._xlws.FILTER(dataGLBSCF,dataGLBSAcctIDs=$C24),(endDatesCF=AI$5)))-SUM(_xlfn._xlws.FILTER(_xlfn._xlws.FILTER(dataGLBSCF,dataGLBSAcctIDs=$C24),(startDatesCF=EDATE(AI$4,-1)))))*INDEX(PBC_ACCOUNT_LIST[Sign_for_total_cashflow],MATCH($C24,PBC_ACCOUNT_LIST[Id],0))</f>
        <v>1168</v>
      </c>
      <c r="AJ24" s="547" cm="1">
        <f t="array" ref="AJ24">(SUM(_xlfn._xlws.FILTER(_xlfn._xlws.FILTER(dataGLBSCF,dataGLBSAcctIDs=$C24),(endDatesCF=AJ$5)))-SUM(_xlfn._xlws.FILTER(_xlfn._xlws.FILTER(dataGLBSCF,dataGLBSAcctIDs=$C24),(startDatesCF=EDATE(AJ$4,-1)))))*INDEX(PBC_ACCOUNT_LIST[Sign_for_total_cashflow],MATCH($C24,PBC_ACCOUNT_LIST[Id],0))</f>
        <v>362</v>
      </c>
      <c r="AK24" s="547" cm="1">
        <f t="array" ref="AK24">(SUM(_xlfn._xlws.FILTER(_xlfn._xlws.FILTER(dataGLBSCF,dataGLBSAcctIDs=$C24),(endDatesCF=AK$5)))-SUM(_xlfn._xlws.FILTER(_xlfn._xlws.FILTER(dataGLBSCF,dataGLBSAcctIDs=$C24),(startDatesCF=EDATE(AK$4,-1)))))*INDEX(PBC_ACCOUNT_LIST[Sign_for_total_cashflow],MATCH($C24,PBC_ACCOUNT_LIST[Id],0))</f>
        <v>-750</v>
      </c>
      <c r="AL24" s="547" cm="1">
        <f t="array" ref="AL24">(SUM(_xlfn._xlws.FILTER(_xlfn._xlws.FILTER(dataGLBSCF,dataGLBSAcctIDs=$C24),(endDatesCF=AL$5)))-SUM(_xlfn._xlws.FILTER(_xlfn._xlws.FILTER(dataGLBSCF,dataGLBSAcctIDs=$C24),(startDatesCF=EDATE(AL$4,-1)))))*INDEX(PBC_ACCOUNT_LIST[Sign_for_total_cashflow],MATCH($C24,PBC_ACCOUNT_LIST[Id],0))</f>
        <v>-316</v>
      </c>
      <c r="AM24" s="547" cm="1">
        <f t="array" ref="AM24">(SUM(_xlfn._xlws.FILTER(_xlfn._xlws.FILTER(dataGLBSCF,dataGLBSAcctIDs=$C24),(endDatesCF=AM$5)))-SUM(_xlfn._xlws.FILTER(_xlfn._xlws.FILTER(dataGLBSCF,dataGLBSAcctIDs=$C24),(startDatesCF=EDATE(AM$4,-1)))))*INDEX(PBC_ACCOUNT_LIST[Sign_for_total_cashflow],MATCH($C24,PBC_ACCOUNT_LIST[Id],0))</f>
        <v>0</v>
      </c>
      <c r="AN24" s="547" cm="1">
        <f t="array" ref="AN24">(SUM(_xlfn._xlws.FILTER(_xlfn._xlws.FILTER(dataGLBSCF,dataGLBSAcctIDs=$C24),(endDatesCF=AN$5)))-SUM(_xlfn._xlws.FILTER(_xlfn._xlws.FILTER(dataGLBSCF,dataGLBSAcctIDs=$C24),(startDatesCF=EDATE(AN$4,-1)))))*INDEX(PBC_ACCOUNT_LIST[Sign_for_total_cashflow],MATCH($C24,PBC_ACCOUNT_LIST[Id],0))</f>
        <v>0</v>
      </c>
      <c r="AO24" s="547" cm="1">
        <f t="array" ref="AO24">(SUM(_xlfn._xlws.FILTER(_xlfn._xlws.FILTER(dataGLBSCF,dataGLBSAcctIDs=$C24),(endDatesCF=AO$5)))-SUM(_xlfn._xlws.FILTER(_xlfn._xlws.FILTER(dataGLBSCF,dataGLBSAcctIDs=$C24),(startDatesCF=EDATE(AO$4,-1)))))*INDEX(PBC_ACCOUNT_LIST[Sign_for_total_cashflow],MATCH($C24,PBC_ACCOUNT_LIST[Id],0))</f>
        <v>0</v>
      </c>
      <c r="AP24" s="547" cm="1">
        <f t="array" ref="AP24">(SUM(_xlfn._xlws.FILTER(_xlfn._xlws.FILTER(dataGLBSCF,dataGLBSAcctIDs=$C24),(endDatesCF=AP$5)))-SUM(_xlfn._xlws.FILTER(_xlfn._xlws.FILTER(dataGLBSCF,dataGLBSAcctIDs=$C24),(startDatesCF=EDATE(AP$4,-1)))))*INDEX(PBC_ACCOUNT_LIST[Sign_for_total_cashflow],MATCH($C24,PBC_ACCOUNT_LIST[Id],0))</f>
        <v>0</v>
      </c>
      <c r="AQ24" s="547" cm="1">
        <f t="array" ref="AQ24">(SUM(_xlfn._xlws.FILTER(_xlfn._xlws.FILTER(dataGLBSCF,dataGLBSAcctIDs=$C24),(endDatesCF=AQ$5)))-SUM(_xlfn._xlws.FILTER(_xlfn._xlws.FILTER(dataGLBSCF,dataGLBSAcctIDs=$C24),(startDatesCF=EDATE(AQ$4,-1)))))*INDEX(PBC_ACCOUNT_LIST[Sign_for_total_cashflow],MATCH($C24,PBC_ACCOUNT_LIST[Id],0))</f>
        <v>0</v>
      </c>
      <c r="AR24" s="547" cm="1">
        <f t="array" ref="AR24">(SUM(_xlfn._xlws.FILTER(_xlfn._xlws.FILTER(dataGLBSCF,dataGLBSAcctIDs=$C24),(endDatesCF=AR$5)))-SUM(_xlfn._xlws.FILTER(_xlfn._xlws.FILTER(dataGLBSCF,dataGLBSAcctIDs=$C24),(startDatesCF=EDATE(AR$4,-1)))))*INDEX(PBC_ACCOUNT_LIST[Sign_for_total_cashflow],MATCH($C24,PBC_ACCOUNT_LIST[Id],0))</f>
        <v>0</v>
      </c>
      <c r="AS24" s="547" cm="1">
        <f t="array" ref="AS24">(SUM(_xlfn._xlws.FILTER(_xlfn._xlws.FILTER(dataGLBSCF,dataGLBSAcctIDs=$C24),(endDatesCF=AS$5)))-SUM(_xlfn._xlws.FILTER(_xlfn._xlws.FILTER(dataGLBSCF,dataGLBSAcctIDs=$C24),(startDatesCF=EDATE(AS$4,-1)))))*INDEX(PBC_ACCOUNT_LIST[Sign_for_total_cashflow],MATCH($C24,PBC_ACCOUNT_LIST[Id],0))</f>
        <v>0</v>
      </c>
      <c r="AT24" s="547" cm="1">
        <f t="array" ref="AT24">(SUM(_xlfn._xlws.FILTER(_xlfn._xlws.FILTER(dataGLBSCF,dataGLBSAcctIDs=$C24),(endDatesCF=AT$5)))-SUM(_xlfn._xlws.FILTER(_xlfn._xlws.FILTER(dataGLBSCF,dataGLBSAcctIDs=$C24),(startDatesCF=EDATE(AT$4,-1)))))*INDEX(PBC_ACCOUNT_LIST[Sign_for_total_cashflow],MATCH($C24,PBC_ACCOUNT_LIST[Id],0))</f>
        <v>0</v>
      </c>
      <c r="AU24" s="547" cm="1">
        <f t="array" ref="AU24">(SUM(_xlfn._xlws.FILTER(_xlfn._xlws.FILTER(dataGLBSCF,dataGLBSAcctIDs=$C24),(endDatesCF=AU$5)))-SUM(_xlfn._xlws.FILTER(_xlfn._xlws.FILTER(dataGLBSCF,dataGLBSAcctIDs=$C24),(startDatesCF=EDATE(AU$4,-1)))))*INDEX(PBC_ACCOUNT_LIST[Sign_for_total_cashflow],MATCH($C24,PBC_ACCOUNT_LIST[Id],0))</f>
        <v>0</v>
      </c>
      <c r="AV24" s="547" cm="1">
        <f t="array" ref="AV24">(SUM(_xlfn._xlws.FILTER(_xlfn._xlws.FILTER(dataGLBSCF,dataGLBSAcctIDs=$C24),(endDatesCF=AV$5)))-SUM(_xlfn._xlws.FILTER(_xlfn._xlws.FILTER(dataGLBSCF,dataGLBSAcctIDs=$C24),(startDatesCF=EDATE(AV$4,-1)))))*INDEX(PBC_ACCOUNT_LIST[Sign_for_total_cashflow],MATCH($C24,PBC_ACCOUNT_LIST[Id],0))</f>
        <v>0</v>
      </c>
      <c r="AW24" s="547" cm="1">
        <f t="array" ref="AW24">(SUM(_xlfn._xlws.FILTER(_xlfn._xlws.FILTER(dataGLBSCF,dataGLBSAcctIDs=$C24),(endDatesCF=AW$5)))-SUM(_xlfn._xlws.FILTER(_xlfn._xlws.FILTER(dataGLBSCF,dataGLBSAcctIDs=$C24),(startDatesCF=EDATE(AW$4,-1)))))*INDEX(PBC_ACCOUNT_LIST[Sign_for_total_cashflow],MATCH($C24,PBC_ACCOUNT_LIST[Id],0))</f>
        <v>0</v>
      </c>
      <c r="AX24" s="547" cm="1">
        <f t="array" ref="AX24">(SUM(_xlfn._xlws.FILTER(_xlfn._xlws.FILTER(dataGLBSCF,dataGLBSAcctIDs=$C24),(endDatesCF=AX$5)))-SUM(_xlfn._xlws.FILTER(_xlfn._xlws.FILTER(dataGLBSCF,dataGLBSAcctIDs=$C24),(startDatesCF=EDATE(AX$4,-1)))))*INDEX(PBC_ACCOUNT_LIST[Sign_for_total_cashflow],MATCH($C24,PBC_ACCOUNT_LIST[Id],0))</f>
        <v>0</v>
      </c>
      <c r="AY24" s="547" cm="1">
        <f t="array" ref="AY24">(SUM(_xlfn._xlws.FILTER(_xlfn._xlws.FILTER(dataGLBSCF,dataGLBSAcctIDs=$C24),(endDatesCF=AY$5)))-SUM(_xlfn._xlws.FILTER(_xlfn._xlws.FILTER(dataGLBSCF,dataGLBSAcctIDs=$C24),(startDatesCF=EDATE(AY$4,-1)))))*INDEX(PBC_ACCOUNT_LIST[Sign_for_total_cashflow],MATCH($C24,PBC_ACCOUNT_LIST[Id],0))</f>
        <v>0</v>
      </c>
      <c r="AZ24" s="547" cm="1">
        <f t="array" ref="AZ24">(SUM(_xlfn._xlws.FILTER(_xlfn._xlws.FILTER(dataGLBSCF,dataGLBSAcctIDs=$C24),(endDatesCF=AZ$5)))-SUM(_xlfn._xlws.FILTER(_xlfn._xlws.FILTER(dataGLBSCF,dataGLBSAcctIDs=$C24),(startDatesCF=EDATE(AZ$4,-1)))))*INDEX(PBC_ACCOUNT_LIST[Sign_for_total_cashflow],MATCH($C24,PBC_ACCOUNT_LIST[Id],0))</f>
        <v>0</v>
      </c>
      <c r="BA24" s="547" cm="1">
        <f t="array" ref="BA24">(SUM(_xlfn._xlws.FILTER(_xlfn._xlws.FILTER(dataGLBSCF,dataGLBSAcctIDs=$C24),(endDatesCF=BA$5)))-SUM(_xlfn._xlws.FILTER(_xlfn._xlws.FILTER(dataGLBSCF,dataGLBSAcctIDs=$C24),(startDatesCF=EDATE(BA$4,-1)))))*INDEX(PBC_ACCOUNT_LIST[Sign_for_total_cashflow],MATCH($C24,PBC_ACCOUNT_LIST[Id],0))</f>
        <v>0</v>
      </c>
      <c r="BB24" s="547" cm="1">
        <f t="array" ref="BB24">(SUM(_xlfn._xlws.FILTER(_xlfn._xlws.FILTER(dataGLBSCF,dataGLBSAcctIDs=$C24),(endDatesCF=BB$5)))-SUM(_xlfn._xlws.FILTER(_xlfn._xlws.FILTER(dataGLBSCF,dataGLBSAcctIDs=$C24),(startDatesCF=EDATE(BB$4,-1)))))*INDEX(PBC_ACCOUNT_LIST[Sign_for_total_cashflow],MATCH($C24,PBC_ACCOUNT_LIST[Id],0))</f>
        <v>0</v>
      </c>
      <c r="BC24" s="547" cm="1">
        <f t="array" ref="BC24">(SUM(_xlfn._xlws.FILTER(_xlfn._xlws.FILTER(dataGLBSCF,dataGLBSAcctIDs=$C24),(endDatesCF=BC$5)))-SUM(_xlfn._xlws.FILTER(_xlfn._xlws.FILTER(dataGLBSCF,dataGLBSAcctIDs=$C24),(startDatesCF=EDATE(BC$4,-1)))))*INDEX(PBC_ACCOUNT_LIST[Sign_for_total_cashflow],MATCH($C24,PBC_ACCOUNT_LIST[Id],0))</f>
        <v>0</v>
      </c>
      <c r="BD24" s="547" cm="1">
        <f t="array" ref="BD24">(SUM(_xlfn._xlws.FILTER(_xlfn._xlws.FILTER(dataGLBSCF,dataGLBSAcctIDs=$C24),(endDatesCF=BD$5)))-SUM(_xlfn._xlws.FILTER(_xlfn._xlws.FILTER(dataGLBSCF,dataGLBSAcctIDs=$C24),(startDatesCF=EDATE(BD$4,-1)))))*INDEX(PBC_ACCOUNT_LIST[Sign_for_total_cashflow],MATCH($C24,PBC_ACCOUNT_LIST[Id],0))</f>
        <v>0</v>
      </c>
      <c r="BE24" s="547" cm="1">
        <f t="array" ref="BE24">(SUM(_xlfn._xlws.FILTER(_xlfn._xlws.FILTER(dataGLBSCF,dataGLBSAcctIDs=$C24),(endDatesCF=BE$5)))-SUM(_xlfn._xlws.FILTER(_xlfn._xlws.FILTER(dataGLBSCF,dataGLBSAcctIDs=$C24),(startDatesCF=EDATE(BE$4,-1)))))*INDEX(PBC_ACCOUNT_LIST[Sign_for_total_cashflow],MATCH($C24,PBC_ACCOUNT_LIST[Id],0))</f>
        <v>0</v>
      </c>
      <c r="BF24" s="547" cm="1">
        <f t="array" ref="BF24">(SUM(_xlfn._xlws.FILTER(_xlfn._xlws.FILTER(dataGLBSCF,dataGLBSAcctIDs=$C24),(endDatesCF=BF$5)))-SUM(_xlfn._xlws.FILTER(_xlfn._xlws.FILTER(dataGLBSCF,dataGLBSAcctIDs=$C24),(startDatesCF=EDATE(BF$4,-1)))))*INDEX(PBC_ACCOUNT_LIST[Sign_for_total_cashflow],MATCH($C24,PBC_ACCOUNT_LIST[Id],0))</f>
        <v>0</v>
      </c>
      <c r="BG24" s="547" cm="1">
        <f t="array" ref="BG24">(SUM(_xlfn._xlws.FILTER(_xlfn._xlws.FILTER(dataGLBSCF,dataGLBSAcctIDs=$C24),(endDatesCF=BG$5)))-SUM(_xlfn._xlws.FILTER(_xlfn._xlws.FILTER(dataGLBSCF,dataGLBSAcctIDs=$C24),(startDatesCF=EDATE(BG$4,-1)))))*INDEX(PBC_ACCOUNT_LIST[Sign_for_total_cashflow],MATCH($C24,PBC_ACCOUNT_LIST[Id],0))</f>
        <v>0</v>
      </c>
      <c r="BH24" s="547" cm="1">
        <f t="array" ref="BH24">(SUM(_xlfn._xlws.FILTER(_xlfn._xlws.FILTER(dataGLBSCF,dataGLBSAcctIDs=$C24),(endDatesCF=BH$5)))-SUM(_xlfn._xlws.FILTER(_xlfn._xlws.FILTER(dataGLBSCF,dataGLBSAcctIDs=$C24),(startDatesCF=EDATE(BH$4,-1)))))*INDEX(PBC_ACCOUNT_LIST[Sign_for_total_cashflow],MATCH($C24,PBC_ACCOUNT_LIST[Id],0))</f>
        <v>0</v>
      </c>
      <c r="BI24" s="547" cm="1">
        <f t="array" ref="BI24">(SUM(_xlfn._xlws.FILTER(_xlfn._xlws.FILTER(dataGLBSCF,dataGLBSAcctIDs=$C24),(endDatesCF=BI$5)))-SUM(_xlfn._xlws.FILTER(_xlfn._xlws.FILTER(dataGLBSCF,dataGLBSAcctIDs=$C24),(startDatesCF=EDATE(BI$4,-1)))))*INDEX(PBC_ACCOUNT_LIST[Sign_for_total_cashflow],MATCH($C24,PBC_ACCOUNT_LIST[Id],0))</f>
        <v>0</v>
      </c>
      <c r="BJ24" s="547" cm="1">
        <f t="array" ref="BJ24">(SUM(_xlfn._xlws.FILTER(_xlfn._xlws.FILTER(dataGLBSCF,dataGLBSAcctIDs=$C24),(endDatesCF=BJ$5)))-SUM(_xlfn._xlws.FILTER(_xlfn._xlws.FILTER(dataGLBSCF,dataGLBSAcctIDs=$C24),(startDatesCF=EDATE(BJ$4,-1)))))*INDEX(PBC_ACCOUNT_LIST[Sign_for_total_cashflow],MATCH($C24,PBC_ACCOUNT_LIST[Id],0))</f>
        <v>0</v>
      </c>
      <c r="BK24" s="547" cm="1">
        <f t="array" ref="BK24">(SUM(_xlfn._xlws.FILTER(_xlfn._xlws.FILTER(dataGLBSCF,dataGLBSAcctIDs=$C24),(endDatesCF=BK$5)))-SUM(_xlfn._xlws.FILTER(_xlfn._xlws.FILTER(dataGLBSCF,dataGLBSAcctIDs=$C24),(startDatesCF=EDATE(BK$4,-1)))))*INDEX(PBC_ACCOUNT_LIST[Sign_for_total_cashflow],MATCH($C24,PBC_ACCOUNT_LIST[Id],0))</f>
        <v>0</v>
      </c>
      <c r="BL24" s="547" cm="1">
        <f t="array" ref="BL24">(SUM(_xlfn._xlws.FILTER(_xlfn._xlws.FILTER(dataGLBSCF,dataGLBSAcctIDs=$C24),(endDatesCF=BL$5)))-SUM(_xlfn._xlws.FILTER(_xlfn._xlws.FILTER(dataGLBSCF,dataGLBSAcctIDs=$C24),(startDatesCF=EDATE(BL$4,-1)))))*INDEX(PBC_ACCOUNT_LIST[Sign_for_total_cashflow],MATCH($C24,PBC_ACCOUNT_LIST[Id],0))</f>
        <v>0</v>
      </c>
      <c r="BM24" s="547" cm="1">
        <f t="array" ref="BM24">(SUM(_xlfn._xlws.FILTER(_xlfn._xlws.FILTER(dataGLBSCF,dataGLBSAcctIDs=$C24),(endDatesCF=BM$5)))-SUM(_xlfn._xlws.FILTER(_xlfn._xlws.FILTER(dataGLBSCF,dataGLBSAcctIDs=$C24),(startDatesCF=EDATE(BM$4,-1)))))*INDEX(PBC_ACCOUNT_LIST[Sign_for_total_cashflow],MATCH($C24,PBC_ACCOUNT_LIST[Id],0))</f>
        <v>0</v>
      </c>
      <c r="BN24" s="547" cm="1">
        <f t="array" ref="BN24">(SUM(_xlfn._xlws.FILTER(_xlfn._xlws.FILTER(dataGLBSCF,dataGLBSAcctIDs=$C24),(endDatesCF=BN$5)))-SUM(_xlfn._xlws.FILTER(_xlfn._xlws.FILTER(dataGLBSCF,dataGLBSAcctIDs=$C24),(startDatesCF=EDATE(BN$4,-1)))))*INDEX(PBC_ACCOUNT_LIST[Sign_for_total_cashflow],MATCH($C24,PBC_ACCOUNT_LIST[Id],0))</f>
        <v>0</v>
      </c>
      <c r="BO24" s="547" cm="1">
        <f t="array" ref="BO24">(SUM(_xlfn._xlws.FILTER(_xlfn._xlws.FILTER(dataGLBSCF,dataGLBSAcctIDs=$C24),(endDatesCF=BO$5)))-SUM(_xlfn._xlws.FILTER(_xlfn._xlws.FILTER(dataGLBSCF,dataGLBSAcctIDs=$C24),(startDatesCF=EDATE(BO$4,-1)))))*INDEX(PBC_ACCOUNT_LIST[Sign_for_total_cashflow],MATCH($C24,PBC_ACCOUNT_LIST[Id],0))</f>
        <v>0</v>
      </c>
      <c r="BP24" s="547" cm="1">
        <f t="array" ref="BP24">(SUM(_xlfn._xlws.FILTER(_xlfn._xlws.FILTER(dataGLBSCF,dataGLBSAcctIDs=$C24),(endDatesCF=BP$5)))-SUM(_xlfn._xlws.FILTER(_xlfn._xlws.FILTER(dataGLBSCF,dataGLBSAcctIDs=$C24),(startDatesCF=EDATE(BP$4,-1)))))*INDEX(PBC_ACCOUNT_LIST[Sign_for_total_cashflow],MATCH($C24,PBC_ACCOUNT_LIST[Id],0))</f>
        <v>0</v>
      </c>
      <c r="BQ24" s="547" cm="1">
        <f t="array" ref="BQ24">(SUM(_xlfn._xlws.FILTER(_xlfn._xlws.FILTER(dataGLBSCF,dataGLBSAcctIDs=$C24),(endDatesCF=BQ$5)))-SUM(_xlfn._xlws.FILTER(_xlfn._xlws.FILTER(dataGLBSCF,dataGLBSAcctIDs=$C24),(startDatesCF=EDATE(BQ$4,-1)))))*INDEX(PBC_ACCOUNT_LIST[Sign_for_total_cashflow],MATCH($C24,PBC_ACCOUNT_LIST[Id],0))</f>
        <v>0</v>
      </c>
      <c r="BR24" s="547" cm="1">
        <f t="array" ref="BR24">(SUM(_xlfn._xlws.FILTER(_xlfn._xlws.FILTER(dataGLBSCF,dataGLBSAcctIDs=$C24),(endDatesCF=BR$5)))-SUM(_xlfn._xlws.FILTER(_xlfn._xlws.FILTER(dataGLBSCF,dataGLBSAcctIDs=$C24),(startDatesCF=EDATE(BR$4,-1)))))*INDEX(PBC_ACCOUNT_LIST[Sign_for_total_cashflow],MATCH($C24,PBC_ACCOUNT_LIST[Id],0))</f>
        <v>0</v>
      </c>
      <c r="BS24" s="547" cm="1">
        <f t="array" ref="BS24">(SUM(_xlfn._xlws.FILTER(_xlfn._xlws.FILTER(dataGLBSCF,dataGLBSAcctIDs=$C24),(endDatesCF=BS$5)))-SUM(_xlfn._xlws.FILTER(_xlfn._xlws.FILTER(dataGLBSCF,dataGLBSAcctIDs=$C24),(startDatesCF=EDATE(BS$4,-1)))))*INDEX(PBC_ACCOUNT_LIST[Sign_for_total_cashflow],MATCH($C24,PBC_ACCOUNT_LIST[Id],0))</f>
        <v>0</v>
      </c>
      <c r="BT24" s="547" cm="1">
        <f t="array" ref="BT24">(SUM(_xlfn._xlws.FILTER(_xlfn._xlws.FILTER(dataGLBSCF,dataGLBSAcctIDs=$C24),(endDatesCF=BT$5)))-SUM(_xlfn._xlws.FILTER(_xlfn._xlws.FILTER(dataGLBSCF,dataGLBSAcctIDs=$C24),(startDatesCF=EDATE(BT$4,-1)))))*INDEX(PBC_ACCOUNT_LIST[Sign_for_total_cashflow],MATCH($C24,PBC_ACCOUNT_LIST[Id],0))</f>
        <v>0</v>
      </c>
      <c r="BU24" s="547" cm="1">
        <f t="array" ref="BU24">(SUM(_xlfn._xlws.FILTER(_xlfn._xlws.FILTER(dataGLBSCF,dataGLBSAcctIDs=$C24),(endDatesCF=BU$5)))-SUM(_xlfn._xlws.FILTER(_xlfn._xlws.FILTER(dataGLBSCF,dataGLBSAcctIDs=$C24),(startDatesCF=EDATE(BU$4,-1)))))*INDEX(PBC_ACCOUNT_LIST[Sign_for_total_cashflow],MATCH($C24,PBC_ACCOUNT_LIST[Id],0))</f>
        <v>0</v>
      </c>
      <c r="BV24" s="547" cm="1">
        <f t="array" ref="BV24">(SUM(_xlfn._xlws.FILTER(_xlfn._xlws.FILTER(dataGLBSCF,dataGLBSAcctIDs=$C24),(endDatesCF=BV$5)))-SUM(_xlfn._xlws.FILTER(_xlfn._xlws.FILTER(dataGLBSCF,dataGLBSAcctIDs=$C24),(startDatesCF=EDATE(BV$4,-1)))))*INDEX(PBC_ACCOUNT_LIST[Sign_for_total_cashflow],MATCH($C24,PBC_ACCOUNT_LIST[Id],0))</f>
        <v>0</v>
      </c>
      <c r="BW24" s="547" cm="1">
        <f t="array" ref="BW24">(SUM(_xlfn._xlws.FILTER(_xlfn._xlws.FILTER(dataGLBSCF,dataGLBSAcctIDs=$C24),(endDatesCF=BW$5)))-SUM(_xlfn._xlws.FILTER(_xlfn._xlws.FILTER(dataGLBSCF,dataGLBSAcctIDs=$C24),(startDatesCF=EDATE(BW$4,-1)))))*INDEX(PBC_ACCOUNT_LIST[Sign_for_total_cashflow],MATCH($C24,PBC_ACCOUNT_LIST[Id],0))</f>
        <v>0</v>
      </c>
      <c r="BX24" s="547" cm="1">
        <f t="array" ref="BX24">(SUM(_xlfn._xlws.FILTER(_xlfn._xlws.FILTER(dataGLBSCF,dataGLBSAcctIDs=$C24),(endDatesCF=BX$5)))-SUM(_xlfn._xlws.FILTER(_xlfn._xlws.FILTER(dataGLBSCF,dataGLBSAcctIDs=$C24),(startDatesCF=EDATE(BX$4,-1)))))*INDEX(PBC_ACCOUNT_LIST[Sign_for_total_cashflow],MATCH($C24,PBC_ACCOUNT_LIST[Id],0))</f>
        <v>0</v>
      </c>
    </row>
    <row r="25" spans="1:92" customFormat="1" ht="21" customHeight="1">
      <c r="B25" s="685" t="s">
        <v>307</v>
      </c>
      <c r="C25">
        <v>157</v>
      </c>
      <c r="E25" s="547" cm="1">
        <f t="array" ref="E25">(SUM(_xlfn._xlws.FILTER(_xlfn._xlws.FILTER(dataGLBSCF,dataGLBSAcctIDs=$C25),(endDatesCF=E$5)))-SUM(_xlfn._xlws.FILTER(_xlfn._xlws.FILTER(dataGLBSCF,dataGLBSAcctIDs=$C25),(startDatesCF=EDATE(E$4,-1)))))*INDEX(PBC_ACCOUNT_LIST[Sign_for_total_cashflow],MATCH($C25,PBC_ACCOUNT_LIST[Id],0))</f>
        <v>1353.5</v>
      </c>
      <c r="F25" s="547" cm="1">
        <f t="array" ref="F25">(SUM(_xlfn._xlws.FILTER(_xlfn._xlws.FILTER(dataGLBSCF,dataGLBSAcctIDs=$C25),(endDatesCF=F$5)))-SUM(_xlfn._xlws.FILTER(_xlfn._xlws.FILTER(dataGLBSCF,dataGLBSAcctIDs=$C25),(startDatesCF=EDATE(F$4,-1)))))*INDEX(PBC_ACCOUNT_LIST[Sign_for_total_cashflow],MATCH($C25,PBC_ACCOUNT_LIST[Id],0))</f>
        <v>0</v>
      </c>
      <c r="G25" s="547" cm="1">
        <f t="array" ref="G25">(SUM(_xlfn._xlws.FILTER(_xlfn._xlws.FILTER(dataGLBSCF,dataGLBSAcctIDs=$C25),(endDatesCF=G$5)))-SUM(_xlfn._xlws.FILTER(_xlfn._xlws.FILTER(dataGLBSCF,dataGLBSAcctIDs=$C25),(startDatesCF=EDATE(G$4,-1)))))*INDEX(PBC_ACCOUNT_LIST[Sign_for_total_cashflow],MATCH($C25,PBC_ACCOUNT_LIST[Id],0))</f>
        <v>0</v>
      </c>
      <c r="H25" s="547" cm="1">
        <f t="array" ref="H25">(SUM(_xlfn._xlws.FILTER(_xlfn._xlws.FILTER(dataGLBSCF,dataGLBSAcctIDs=$C25),(endDatesCF=H$5)))-SUM(_xlfn._xlws.FILTER(_xlfn._xlws.FILTER(dataGLBSCF,dataGLBSAcctIDs=$C25),(startDatesCF=EDATE(H$4,-1)))))*INDEX(PBC_ACCOUNT_LIST[Sign_for_total_cashflow],MATCH($C25,PBC_ACCOUNT_LIST[Id],0))</f>
        <v>0</v>
      </c>
      <c r="K25" s="547" cm="1">
        <f t="array" ref="K25">(SUM(_xlfn._xlws.FILTER(_xlfn._xlws.FILTER(dataGLBSCF,dataGLBSAcctIDs=$C25),(endDatesCF=K$5)))-SUM(_xlfn._xlws.FILTER(_xlfn._xlws.FILTER(dataGLBSCF,dataGLBSAcctIDs=$C25),(startDatesCF=EDATE(K$4,-1)))))*INDEX(PBC_ACCOUNT_LIST[Sign_for_total_cashflow],MATCH($C25,PBC_ACCOUNT_LIST[Id],0))</f>
        <v>676</v>
      </c>
      <c r="L25" s="547" cm="1">
        <f t="array" ref="L25">(SUM(_xlfn._xlws.FILTER(_xlfn._xlws.FILTER(dataGLBSCF,dataGLBSAcctIDs=$C25),(endDatesCF=L$5)))-SUM(_xlfn._xlws.FILTER(_xlfn._xlws.FILTER(dataGLBSCF,dataGLBSAcctIDs=$C25),(startDatesCF=EDATE(L$4,-1)))))*INDEX(PBC_ACCOUNT_LIST[Sign_for_total_cashflow],MATCH($C25,PBC_ACCOUNT_LIST[Id],0))</f>
        <v>810.5</v>
      </c>
      <c r="M25" s="547" cm="1">
        <f t="array" ref="M25">(SUM(_xlfn._xlws.FILTER(_xlfn._xlws.FILTER(dataGLBSCF,dataGLBSAcctIDs=$C25),(endDatesCF=M$5)))-SUM(_xlfn._xlws.FILTER(_xlfn._xlws.FILTER(dataGLBSCF,dataGLBSAcctIDs=$C25),(startDatesCF=EDATE(M$4,-1)))))*INDEX(PBC_ACCOUNT_LIST[Sign_for_total_cashflow],MATCH($C25,PBC_ACCOUNT_LIST[Id],0))</f>
        <v>1788</v>
      </c>
      <c r="N25" s="547" cm="1">
        <f t="array" ref="N25">(SUM(_xlfn._xlws.FILTER(_xlfn._xlws.FILTER(dataGLBSCF,dataGLBSAcctIDs=$C25),(endDatesCF=N$5)))-SUM(_xlfn._xlws.FILTER(_xlfn._xlws.FILTER(dataGLBSCF,dataGLBSAcctIDs=$C25),(startDatesCF=EDATE(N$4,-1)))))*INDEX(PBC_ACCOUNT_LIST[Sign_for_total_cashflow],MATCH($C25,PBC_ACCOUNT_LIST[Id],0))</f>
        <v>-1921</v>
      </c>
      <c r="O25" s="547" cm="1">
        <f t="array" ref="O25">(SUM(_xlfn._xlws.FILTER(_xlfn._xlws.FILTER(dataGLBSCF,dataGLBSAcctIDs=$C25),(endDatesCF=O$5)))-SUM(_xlfn._xlws.FILTER(_xlfn._xlws.FILTER(dataGLBSCF,dataGLBSAcctIDs=$C25),(startDatesCF=EDATE(O$4,-1)))))*INDEX(PBC_ACCOUNT_LIST[Sign_for_total_cashflow],MATCH($C25,PBC_ACCOUNT_LIST[Id],0))</f>
        <v>0</v>
      </c>
      <c r="P25" s="547" cm="1">
        <f t="array" ref="P25">(SUM(_xlfn._xlws.FILTER(_xlfn._xlws.FILTER(dataGLBSCF,dataGLBSAcctIDs=$C25),(endDatesCF=P$5)))-SUM(_xlfn._xlws.FILTER(_xlfn._xlws.FILTER(dataGLBSCF,dataGLBSAcctIDs=$C25),(startDatesCF=EDATE(P$4,-1)))))*INDEX(PBC_ACCOUNT_LIST[Sign_for_total_cashflow],MATCH($C25,PBC_ACCOUNT_LIST[Id],0))</f>
        <v>0</v>
      </c>
      <c r="Q25" s="547" cm="1">
        <f t="array" ref="Q25">(SUM(_xlfn._xlws.FILTER(_xlfn._xlws.FILTER(dataGLBSCF,dataGLBSAcctIDs=$C25),(endDatesCF=Q$5)))-SUM(_xlfn._xlws.FILTER(_xlfn._xlws.FILTER(dataGLBSCF,dataGLBSAcctIDs=$C25),(startDatesCF=EDATE(Q$4,-1)))))*INDEX(PBC_ACCOUNT_LIST[Sign_for_total_cashflow],MATCH($C25,PBC_ACCOUNT_LIST[Id],0))</f>
        <v>0</v>
      </c>
      <c r="R25" s="547" cm="1">
        <f t="array" ref="R25">(SUM(_xlfn._xlws.FILTER(_xlfn._xlws.FILTER(dataGLBSCF,dataGLBSAcctIDs=$C25),(endDatesCF=R$5)))-SUM(_xlfn._xlws.FILTER(_xlfn._xlws.FILTER(dataGLBSCF,dataGLBSAcctIDs=$C25),(startDatesCF=EDATE(R$4,-1)))))*INDEX(PBC_ACCOUNT_LIST[Sign_for_total_cashflow],MATCH($C25,PBC_ACCOUNT_LIST[Id],0))</f>
        <v>0</v>
      </c>
      <c r="S25" s="547" cm="1">
        <f t="array" ref="S25">(SUM(_xlfn._xlws.FILTER(_xlfn._xlws.FILTER(dataGLBSCF,dataGLBSAcctIDs=$C25),(endDatesCF=S$5)))-SUM(_xlfn._xlws.FILTER(_xlfn._xlws.FILTER(dataGLBSCF,dataGLBSAcctIDs=$C25),(startDatesCF=EDATE(S$4,-1)))))*INDEX(PBC_ACCOUNT_LIST[Sign_for_total_cashflow],MATCH($C25,PBC_ACCOUNT_LIST[Id],0))</f>
        <v>0</v>
      </c>
      <c r="T25" s="547" cm="1">
        <f t="array" ref="T25">(SUM(_xlfn._xlws.FILTER(_xlfn._xlws.FILTER(dataGLBSCF,dataGLBSAcctIDs=$C25),(endDatesCF=T$5)))-SUM(_xlfn._xlws.FILTER(_xlfn._xlws.FILTER(dataGLBSCF,dataGLBSAcctIDs=$C25),(startDatesCF=EDATE(T$4,-1)))))*INDEX(PBC_ACCOUNT_LIST[Sign_for_total_cashflow],MATCH($C25,PBC_ACCOUNT_LIST[Id],0))</f>
        <v>0</v>
      </c>
      <c r="U25" s="547" cm="1">
        <f t="array" ref="U25">(SUM(_xlfn._xlws.FILTER(_xlfn._xlws.FILTER(dataGLBSCF,dataGLBSAcctIDs=$C25),(endDatesCF=U$5)))-SUM(_xlfn._xlws.FILTER(_xlfn._xlws.FILTER(dataGLBSCF,dataGLBSAcctIDs=$C25),(startDatesCF=EDATE(U$4,-1)))))*INDEX(PBC_ACCOUNT_LIST[Sign_for_total_cashflow],MATCH($C25,PBC_ACCOUNT_LIST[Id],0))</f>
        <v>0</v>
      </c>
      <c r="V25" s="547" cm="1">
        <f t="array" ref="V25">(SUM(_xlfn._xlws.FILTER(_xlfn._xlws.FILTER(dataGLBSCF,dataGLBSAcctIDs=$C25),(endDatesCF=V$5)))-SUM(_xlfn._xlws.FILTER(_xlfn._xlws.FILTER(dataGLBSCF,dataGLBSAcctIDs=$C25),(startDatesCF=EDATE(V$4,-1)))))*INDEX(PBC_ACCOUNT_LIST[Sign_for_total_cashflow],MATCH($C25,PBC_ACCOUNT_LIST[Id],0))</f>
        <v>0</v>
      </c>
      <c r="W25" s="547" cm="1">
        <f t="array" ref="W25">(SUM(_xlfn._xlws.FILTER(_xlfn._xlws.FILTER(dataGLBSCF,dataGLBSAcctIDs=$C25),(endDatesCF=W$5)))-SUM(_xlfn._xlws.FILTER(_xlfn._xlws.FILTER(dataGLBSCF,dataGLBSAcctIDs=$C25),(startDatesCF=EDATE(W$4,-1)))))*INDEX(PBC_ACCOUNT_LIST[Sign_for_total_cashflow],MATCH($C25,PBC_ACCOUNT_LIST[Id],0))</f>
        <v>0</v>
      </c>
      <c r="X25" s="547" cm="1">
        <f t="array" ref="X25">(SUM(_xlfn._xlws.FILTER(_xlfn._xlws.FILTER(dataGLBSCF,dataGLBSAcctIDs=$C25),(endDatesCF=X$5)))-SUM(_xlfn._xlws.FILTER(_xlfn._xlws.FILTER(dataGLBSCF,dataGLBSAcctIDs=$C25),(startDatesCF=EDATE(X$4,-1)))))*INDEX(PBC_ACCOUNT_LIST[Sign_for_total_cashflow],MATCH($C25,PBC_ACCOUNT_LIST[Id],0))</f>
        <v>0</v>
      </c>
      <c r="Y25" s="547" cm="1">
        <f t="array" ref="Y25">(SUM(_xlfn._xlws.FILTER(_xlfn._xlws.FILTER(dataGLBSCF,dataGLBSAcctIDs=$C25),(endDatesCF=Y$5)))-SUM(_xlfn._xlws.FILTER(_xlfn._xlws.FILTER(dataGLBSCF,dataGLBSAcctIDs=$C25),(startDatesCF=EDATE(Y$4,-1)))))*INDEX(PBC_ACCOUNT_LIST[Sign_for_total_cashflow],MATCH($C25,PBC_ACCOUNT_LIST[Id],0))</f>
        <v>0</v>
      </c>
      <c r="Z25" s="547" cm="1">
        <f t="array" ref="Z25">(SUM(_xlfn._xlws.FILTER(_xlfn._xlws.FILTER(dataGLBSCF,dataGLBSAcctIDs=$C25),(endDatesCF=Z$5)))-SUM(_xlfn._xlws.FILTER(_xlfn._xlws.FILTER(dataGLBSCF,dataGLBSAcctIDs=$C25),(startDatesCF=EDATE(Z$4,-1)))))*INDEX(PBC_ACCOUNT_LIST[Sign_for_total_cashflow],MATCH($C25,PBC_ACCOUNT_LIST[Id],0))</f>
        <v>0</v>
      </c>
      <c r="AC25" s="547" cm="1">
        <f t="array" ref="AC25">(SUM(_xlfn._xlws.FILTER(_xlfn._xlws.FILTER(dataGLBSCF,dataGLBSAcctIDs=$C25),(endDatesCF=AC$5)))-SUM(_xlfn._xlws.FILTER(_xlfn._xlws.FILTER(dataGLBSCF,dataGLBSAcctIDs=$C25),(startDatesCF=EDATE(AC$4,-1)))))*INDEX(PBC_ACCOUNT_LIST[Sign_for_total_cashflow],MATCH($C25,PBC_ACCOUNT_LIST[Id],0))</f>
        <v>2150</v>
      </c>
      <c r="AD25" s="547" cm="1">
        <f t="array" ref="AD25">(SUM(_xlfn._xlws.FILTER(_xlfn._xlws.FILTER(dataGLBSCF,dataGLBSAcctIDs=$C25),(endDatesCF=AD$5)))-SUM(_xlfn._xlws.FILTER(_xlfn._xlws.FILTER(dataGLBSCF,dataGLBSAcctIDs=$C25),(startDatesCF=EDATE(AD$4,-1)))))*INDEX(PBC_ACCOUNT_LIST[Sign_for_total_cashflow],MATCH($C25,PBC_ACCOUNT_LIST[Id],0))</f>
        <v>1244</v>
      </c>
      <c r="AE25" s="547" cm="1">
        <f t="array" ref="AE25">(SUM(_xlfn._xlws.FILTER(_xlfn._xlws.FILTER(dataGLBSCF,dataGLBSAcctIDs=$C25),(endDatesCF=AE$5)))-SUM(_xlfn._xlws.FILTER(_xlfn._xlws.FILTER(dataGLBSCF,dataGLBSAcctIDs=$C25),(startDatesCF=EDATE(AE$4,-1)))))*INDEX(PBC_ACCOUNT_LIST[Sign_for_total_cashflow],MATCH($C25,PBC_ACCOUNT_LIST[Id],0))</f>
        <v>-2718</v>
      </c>
      <c r="AF25" s="547" cm="1">
        <f t="array" ref="AF25">(SUM(_xlfn._xlws.FILTER(_xlfn._xlws.FILTER(dataGLBSCF,dataGLBSAcctIDs=$C25),(endDatesCF=AF$5)))-SUM(_xlfn._xlws.FILTER(_xlfn._xlws.FILTER(dataGLBSCF,dataGLBSAcctIDs=$C25),(startDatesCF=EDATE(AF$4,-1)))))*INDEX(PBC_ACCOUNT_LIST[Sign_for_total_cashflow],MATCH($C25,PBC_ACCOUNT_LIST[Id],0))</f>
        <v>1714</v>
      </c>
      <c r="AG25" s="547" cm="1">
        <f t="array" ref="AG25">(SUM(_xlfn._xlws.FILTER(_xlfn._xlws.FILTER(dataGLBSCF,dataGLBSAcctIDs=$C25),(endDatesCF=AG$5)))-SUM(_xlfn._xlws.FILTER(_xlfn._xlws.FILTER(dataGLBSCF,dataGLBSAcctIDs=$C25),(startDatesCF=EDATE(AG$4,-1)))))*INDEX(PBC_ACCOUNT_LIST[Sign_for_total_cashflow],MATCH($C25,PBC_ACCOUNT_LIST[Id],0))</f>
        <v>-409</v>
      </c>
      <c r="AH25" s="547" cm="1">
        <f t="array" ref="AH25">(SUM(_xlfn._xlws.FILTER(_xlfn._xlws.FILTER(dataGLBSCF,dataGLBSAcctIDs=$C25),(endDatesCF=AH$5)))-SUM(_xlfn._xlws.FILTER(_xlfn._xlws.FILTER(dataGLBSCF,dataGLBSAcctIDs=$C25),(startDatesCF=EDATE(AH$4,-1)))))*INDEX(PBC_ACCOUNT_LIST[Sign_for_total_cashflow],MATCH($C25,PBC_ACCOUNT_LIST[Id],0))</f>
        <v>-494.5</v>
      </c>
      <c r="AI25" s="547" cm="1">
        <f t="array" ref="AI25">(SUM(_xlfn._xlws.FILTER(_xlfn._xlws.FILTER(dataGLBSCF,dataGLBSAcctIDs=$C25),(endDatesCF=AI$5)))-SUM(_xlfn._xlws.FILTER(_xlfn._xlws.FILTER(dataGLBSCF,dataGLBSAcctIDs=$C25),(startDatesCF=EDATE(AI$4,-1)))))*INDEX(PBC_ACCOUNT_LIST[Sign_for_total_cashflow],MATCH($C25,PBC_ACCOUNT_LIST[Id],0))</f>
        <v>-1053</v>
      </c>
      <c r="AJ25" s="547" cm="1">
        <f t="array" ref="AJ25">(SUM(_xlfn._xlws.FILTER(_xlfn._xlws.FILTER(dataGLBSCF,dataGLBSAcctIDs=$C25),(endDatesCF=AJ$5)))-SUM(_xlfn._xlws.FILTER(_xlfn._xlws.FILTER(dataGLBSCF,dataGLBSAcctIDs=$C25),(startDatesCF=EDATE(AJ$4,-1)))))*INDEX(PBC_ACCOUNT_LIST[Sign_for_total_cashflow],MATCH($C25,PBC_ACCOUNT_LIST[Id],0))</f>
        <v>2495</v>
      </c>
      <c r="AK25" s="547" cm="1">
        <f t="array" ref="AK25">(SUM(_xlfn._xlws.FILTER(_xlfn._xlws.FILTER(dataGLBSCF,dataGLBSAcctIDs=$C25),(endDatesCF=AK$5)))-SUM(_xlfn._xlws.FILTER(_xlfn._xlws.FILTER(dataGLBSCF,dataGLBSAcctIDs=$C25),(startDatesCF=EDATE(AK$4,-1)))))*INDEX(PBC_ACCOUNT_LIST[Sign_for_total_cashflow],MATCH($C25,PBC_ACCOUNT_LIST[Id],0))</f>
        <v>346</v>
      </c>
      <c r="AL25" s="547" cm="1">
        <f t="array" ref="AL25">(SUM(_xlfn._xlws.FILTER(_xlfn._xlws.FILTER(dataGLBSCF,dataGLBSAcctIDs=$C25),(endDatesCF=AL$5)))-SUM(_xlfn._xlws.FILTER(_xlfn._xlws.FILTER(dataGLBSCF,dataGLBSAcctIDs=$C25),(startDatesCF=EDATE(AL$4,-1)))))*INDEX(PBC_ACCOUNT_LIST[Sign_for_total_cashflow],MATCH($C25,PBC_ACCOUNT_LIST[Id],0))</f>
        <v>-1921</v>
      </c>
      <c r="AM25" s="547" cm="1">
        <f t="array" ref="AM25">(SUM(_xlfn._xlws.FILTER(_xlfn._xlws.FILTER(dataGLBSCF,dataGLBSAcctIDs=$C25),(endDatesCF=AM$5)))-SUM(_xlfn._xlws.FILTER(_xlfn._xlws.FILTER(dataGLBSCF,dataGLBSAcctIDs=$C25),(startDatesCF=EDATE(AM$4,-1)))))*INDEX(PBC_ACCOUNT_LIST[Sign_for_total_cashflow],MATCH($C25,PBC_ACCOUNT_LIST[Id],0))</f>
        <v>0</v>
      </c>
      <c r="AN25" s="547" cm="1">
        <f t="array" ref="AN25">(SUM(_xlfn._xlws.FILTER(_xlfn._xlws.FILTER(dataGLBSCF,dataGLBSAcctIDs=$C25),(endDatesCF=AN$5)))-SUM(_xlfn._xlws.FILTER(_xlfn._xlws.FILTER(dataGLBSCF,dataGLBSAcctIDs=$C25),(startDatesCF=EDATE(AN$4,-1)))))*INDEX(PBC_ACCOUNT_LIST[Sign_for_total_cashflow],MATCH($C25,PBC_ACCOUNT_LIST[Id],0))</f>
        <v>0</v>
      </c>
      <c r="AO25" s="547" cm="1">
        <f t="array" ref="AO25">(SUM(_xlfn._xlws.FILTER(_xlfn._xlws.FILTER(dataGLBSCF,dataGLBSAcctIDs=$C25),(endDatesCF=AO$5)))-SUM(_xlfn._xlws.FILTER(_xlfn._xlws.FILTER(dataGLBSCF,dataGLBSAcctIDs=$C25),(startDatesCF=EDATE(AO$4,-1)))))*INDEX(PBC_ACCOUNT_LIST[Sign_for_total_cashflow],MATCH($C25,PBC_ACCOUNT_LIST[Id],0))</f>
        <v>0</v>
      </c>
      <c r="AP25" s="547" cm="1">
        <f t="array" ref="AP25">(SUM(_xlfn._xlws.FILTER(_xlfn._xlws.FILTER(dataGLBSCF,dataGLBSAcctIDs=$C25),(endDatesCF=AP$5)))-SUM(_xlfn._xlws.FILTER(_xlfn._xlws.FILTER(dataGLBSCF,dataGLBSAcctIDs=$C25),(startDatesCF=EDATE(AP$4,-1)))))*INDEX(PBC_ACCOUNT_LIST[Sign_for_total_cashflow],MATCH($C25,PBC_ACCOUNT_LIST[Id],0))</f>
        <v>0</v>
      </c>
      <c r="AQ25" s="547" cm="1">
        <f t="array" ref="AQ25">(SUM(_xlfn._xlws.FILTER(_xlfn._xlws.FILTER(dataGLBSCF,dataGLBSAcctIDs=$C25),(endDatesCF=AQ$5)))-SUM(_xlfn._xlws.FILTER(_xlfn._xlws.FILTER(dataGLBSCF,dataGLBSAcctIDs=$C25),(startDatesCF=EDATE(AQ$4,-1)))))*INDEX(PBC_ACCOUNT_LIST[Sign_for_total_cashflow],MATCH($C25,PBC_ACCOUNT_LIST[Id],0))</f>
        <v>0</v>
      </c>
      <c r="AR25" s="547" cm="1">
        <f t="array" ref="AR25">(SUM(_xlfn._xlws.FILTER(_xlfn._xlws.FILTER(dataGLBSCF,dataGLBSAcctIDs=$C25),(endDatesCF=AR$5)))-SUM(_xlfn._xlws.FILTER(_xlfn._xlws.FILTER(dataGLBSCF,dataGLBSAcctIDs=$C25),(startDatesCF=EDATE(AR$4,-1)))))*INDEX(PBC_ACCOUNT_LIST[Sign_for_total_cashflow],MATCH($C25,PBC_ACCOUNT_LIST[Id],0))</f>
        <v>0</v>
      </c>
      <c r="AS25" s="547" cm="1">
        <f t="array" ref="AS25">(SUM(_xlfn._xlws.FILTER(_xlfn._xlws.FILTER(dataGLBSCF,dataGLBSAcctIDs=$C25),(endDatesCF=AS$5)))-SUM(_xlfn._xlws.FILTER(_xlfn._xlws.FILTER(dataGLBSCF,dataGLBSAcctIDs=$C25),(startDatesCF=EDATE(AS$4,-1)))))*INDEX(PBC_ACCOUNT_LIST[Sign_for_total_cashflow],MATCH($C25,PBC_ACCOUNT_LIST[Id],0))</f>
        <v>0</v>
      </c>
      <c r="AT25" s="547" cm="1">
        <f t="array" ref="AT25">(SUM(_xlfn._xlws.FILTER(_xlfn._xlws.FILTER(dataGLBSCF,dataGLBSAcctIDs=$C25),(endDatesCF=AT$5)))-SUM(_xlfn._xlws.FILTER(_xlfn._xlws.FILTER(dataGLBSCF,dataGLBSAcctIDs=$C25),(startDatesCF=EDATE(AT$4,-1)))))*INDEX(PBC_ACCOUNT_LIST[Sign_for_total_cashflow],MATCH($C25,PBC_ACCOUNT_LIST[Id],0))</f>
        <v>0</v>
      </c>
      <c r="AU25" s="547" cm="1">
        <f t="array" ref="AU25">(SUM(_xlfn._xlws.FILTER(_xlfn._xlws.FILTER(dataGLBSCF,dataGLBSAcctIDs=$C25),(endDatesCF=AU$5)))-SUM(_xlfn._xlws.FILTER(_xlfn._xlws.FILTER(dataGLBSCF,dataGLBSAcctIDs=$C25),(startDatesCF=EDATE(AU$4,-1)))))*INDEX(PBC_ACCOUNT_LIST[Sign_for_total_cashflow],MATCH($C25,PBC_ACCOUNT_LIST[Id],0))</f>
        <v>0</v>
      </c>
      <c r="AV25" s="547" cm="1">
        <f t="array" ref="AV25">(SUM(_xlfn._xlws.FILTER(_xlfn._xlws.FILTER(dataGLBSCF,dataGLBSAcctIDs=$C25),(endDatesCF=AV$5)))-SUM(_xlfn._xlws.FILTER(_xlfn._xlws.FILTER(dataGLBSCF,dataGLBSAcctIDs=$C25),(startDatesCF=EDATE(AV$4,-1)))))*INDEX(PBC_ACCOUNT_LIST[Sign_for_total_cashflow],MATCH($C25,PBC_ACCOUNT_LIST[Id],0))</f>
        <v>0</v>
      </c>
      <c r="AW25" s="547" cm="1">
        <f t="array" ref="AW25">(SUM(_xlfn._xlws.FILTER(_xlfn._xlws.FILTER(dataGLBSCF,dataGLBSAcctIDs=$C25),(endDatesCF=AW$5)))-SUM(_xlfn._xlws.FILTER(_xlfn._xlws.FILTER(dataGLBSCF,dataGLBSAcctIDs=$C25),(startDatesCF=EDATE(AW$4,-1)))))*INDEX(PBC_ACCOUNT_LIST[Sign_for_total_cashflow],MATCH($C25,PBC_ACCOUNT_LIST[Id],0))</f>
        <v>0</v>
      </c>
      <c r="AX25" s="547" cm="1">
        <f t="array" ref="AX25">(SUM(_xlfn._xlws.FILTER(_xlfn._xlws.FILTER(dataGLBSCF,dataGLBSAcctIDs=$C25),(endDatesCF=AX$5)))-SUM(_xlfn._xlws.FILTER(_xlfn._xlws.FILTER(dataGLBSCF,dataGLBSAcctIDs=$C25),(startDatesCF=EDATE(AX$4,-1)))))*INDEX(PBC_ACCOUNT_LIST[Sign_for_total_cashflow],MATCH($C25,PBC_ACCOUNT_LIST[Id],0))</f>
        <v>0</v>
      </c>
      <c r="AY25" s="547" cm="1">
        <f t="array" ref="AY25">(SUM(_xlfn._xlws.FILTER(_xlfn._xlws.FILTER(dataGLBSCF,dataGLBSAcctIDs=$C25),(endDatesCF=AY$5)))-SUM(_xlfn._xlws.FILTER(_xlfn._xlws.FILTER(dataGLBSCF,dataGLBSAcctIDs=$C25),(startDatesCF=EDATE(AY$4,-1)))))*INDEX(PBC_ACCOUNT_LIST[Sign_for_total_cashflow],MATCH($C25,PBC_ACCOUNT_LIST[Id],0))</f>
        <v>0</v>
      </c>
      <c r="AZ25" s="547" cm="1">
        <f t="array" ref="AZ25">(SUM(_xlfn._xlws.FILTER(_xlfn._xlws.FILTER(dataGLBSCF,dataGLBSAcctIDs=$C25),(endDatesCF=AZ$5)))-SUM(_xlfn._xlws.FILTER(_xlfn._xlws.FILTER(dataGLBSCF,dataGLBSAcctIDs=$C25),(startDatesCF=EDATE(AZ$4,-1)))))*INDEX(PBC_ACCOUNT_LIST[Sign_for_total_cashflow],MATCH($C25,PBC_ACCOUNT_LIST[Id],0))</f>
        <v>0</v>
      </c>
      <c r="BA25" s="547" cm="1">
        <f t="array" ref="BA25">(SUM(_xlfn._xlws.FILTER(_xlfn._xlws.FILTER(dataGLBSCF,dataGLBSAcctIDs=$C25),(endDatesCF=BA$5)))-SUM(_xlfn._xlws.FILTER(_xlfn._xlws.FILTER(dataGLBSCF,dataGLBSAcctIDs=$C25),(startDatesCF=EDATE(BA$4,-1)))))*INDEX(PBC_ACCOUNT_LIST[Sign_for_total_cashflow],MATCH($C25,PBC_ACCOUNT_LIST[Id],0))</f>
        <v>0</v>
      </c>
      <c r="BB25" s="547" cm="1">
        <f t="array" ref="BB25">(SUM(_xlfn._xlws.FILTER(_xlfn._xlws.FILTER(dataGLBSCF,dataGLBSAcctIDs=$C25),(endDatesCF=BB$5)))-SUM(_xlfn._xlws.FILTER(_xlfn._xlws.FILTER(dataGLBSCF,dataGLBSAcctIDs=$C25),(startDatesCF=EDATE(BB$4,-1)))))*INDEX(PBC_ACCOUNT_LIST[Sign_for_total_cashflow],MATCH($C25,PBC_ACCOUNT_LIST[Id],0))</f>
        <v>0</v>
      </c>
      <c r="BC25" s="547" cm="1">
        <f t="array" ref="BC25">(SUM(_xlfn._xlws.FILTER(_xlfn._xlws.FILTER(dataGLBSCF,dataGLBSAcctIDs=$C25),(endDatesCF=BC$5)))-SUM(_xlfn._xlws.FILTER(_xlfn._xlws.FILTER(dataGLBSCF,dataGLBSAcctIDs=$C25),(startDatesCF=EDATE(BC$4,-1)))))*INDEX(PBC_ACCOUNT_LIST[Sign_for_total_cashflow],MATCH($C25,PBC_ACCOUNT_LIST[Id],0))</f>
        <v>0</v>
      </c>
      <c r="BD25" s="547" cm="1">
        <f t="array" ref="BD25">(SUM(_xlfn._xlws.FILTER(_xlfn._xlws.FILTER(dataGLBSCF,dataGLBSAcctIDs=$C25),(endDatesCF=BD$5)))-SUM(_xlfn._xlws.FILTER(_xlfn._xlws.FILTER(dataGLBSCF,dataGLBSAcctIDs=$C25),(startDatesCF=EDATE(BD$4,-1)))))*INDEX(PBC_ACCOUNT_LIST[Sign_for_total_cashflow],MATCH($C25,PBC_ACCOUNT_LIST[Id],0))</f>
        <v>0</v>
      </c>
      <c r="BE25" s="547" cm="1">
        <f t="array" ref="BE25">(SUM(_xlfn._xlws.FILTER(_xlfn._xlws.FILTER(dataGLBSCF,dataGLBSAcctIDs=$C25),(endDatesCF=BE$5)))-SUM(_xlfn._xlws.FILTER(_xlfn._xlws.FILTER(dataGLBSCF,dataGLBSAcctIDs=$C25),(startDatesCF=EDATE(BE$4,-1)))))*INDEX(PBC_ACCOUNT_LIST[Sign_for_total_cashflow],MATCH($C25,PBC_ACCOUNT_LIST[Id],0))</f>
        <v>0</v>
      </c>
      <c r="BF25" s="547" cm="1">
        <f t="array" ref="BF25">(SUM(_xlfn._xlws.FILTER(_xlfn._xlws.FILTER(dataGLBSCF,dataGLBSAcctIDs=$C25),(endDatesCF=BF$5)))-SUM(_xlfn._xlws.FILTER(_xlfn._xlws.FILTER(dataGLBSCF,dataGLBSAcctIDs=$C25),(startDatesCF=EDATE(BF$4,-1)))))*INDEX(PBC_ACCOUNT_LIST[Sign_for_total_cashflow],MATCH($C25,PBC_ACCOUNT_LIST[Id],0))</f>
        <v>0</v>
      </c>
      <c r="BG25" s="547" cm="1">
        <f t="array" ref="BG25">(SUM(_xlfn._xlws.FILTER(_xlfn._xlws.FILTER(dataGLBSCF,dataGLBSAcctIDs=$C25),(endDatesCF=BG$5)))-SUM(_xlfn._xlws.FILTER(_xlfn._xlws.FILTER(dataGLBSCF,dataGLBSAcctIDs=$C25),(startDatesCF=EDATE(BG$4,-1)))))*INDEX(PBC_ACCOUNT_LIST[Sign_for_total_cashflow],MATCH($C25,PBC_ACCOUNT_LIST[Id],0))</f>
        <v>0</v>
      </c>
      <c r="BH25" s="547" cm="1">
        <f t="array" ref="BH25">(SUM(_xlfn._xlws.FILTER(_xlfn._xlws.FILTER(dataGLBSCF,dataGLBSAcctIDs=$C25),(endDatesCF=BH$5)))-SUM(_xlfn._xlws.FILTER(_xlfn._xlws.FILTER(dataGLBSCF,dataGLBSAcctIDs=$C25),(startDatesCF=EDATE(BH$4,-1)))))*INDEX(PBC_ACCOUNT_LIST[Sign_for_total_cashflow],MATCH($C25,PBC_ACCOUNT_LIST[Id],0))</f>
        <v>0</v>
      </c>
      <c r="BI25" s="547" cm="1">
        <f t="array" ref="BI25">(SUM(_xlfn._xlws.FILTER(_xlfn._xlws.FILTER(dataGLBSCF,dataGLBSAcctIDs=$C25),(endDatesCF=BI$5)))-SUM(_xlfn._xlws.FILTER(_xlfn._xlws.FILTER(dataGLBSCF,dataGLBSAcctIDs=$C25),(startDatesCF=EDATE(BI$4,-1)))))*INDEX(PBC_ACCOUNT_LIST[Sign_for_total_cashflow],MATCH($C25,PBC_ACCOUNT_LIST[Id],0))</f>
        <v>0</v>
      </c>
      <c r="BJ25" s="547" cm="1">
        <f t="array" ref="BJ25">(SUM(_xlfn._xlws.FILTER(_xlfn._xlws.FILTER(dataGLBSCF,dataGLBSAcctIDs=$C25),(endDatesCF=BJ$5)))-SUM(_xlfn._xlws.FILTER(_xlfn._xlws.FILTER(dataGLBSCF,dataGLBSAcctIDs=$C25),(startDatesCF=EDATE(BJ$4,-1)))))*INDEX(PBC_ACCOUNT_LIST[Sign_for_total_cashflow],MATCH($C25,PBC_ACCOUNT_LIST[Id],0))</f>
        <v>0</v>
      </c>
      <c r="BK25" s="547" cm="1">
        <f t="array" ref="BK25">(SUM(_xlfn._xlws.FILTER(_xlfn._xlws.FILTER(dataGLBSCF,dataGLBSAcctIDs=$C25),(endDatesCF=BK$5)))-SUM(_xlfn._xlws.FILTER(_xlfn._xlws.FILTER(dataGLBSCF,dataGLBSAcctIDs=$C25),(startDatesCF=EDATE(BK$4,-1)))))*INDEX(PBC_ACCOUNT_LIST[Sign_for_total_cashflow],MATCH($C25,PBC_ACCOUNT_LIST[Id],0))</f>
        <v>0</v>
      </c>
      <c r="BL25" s="547" cm="1">
        <f t="array" ref="BL25">(SUM(_xlfn._xlws.FILTER(_xlfn._xlws.FILTER(dataGLBSCF,dataGLBSAcctIDs=$C25),(endDatesCF=BL$5)))-SUM(_xlfn._xlws.FILTER(_xlfn._xlws.FILTER(dataGLBSCF,dataGLBSAcctIDs=$C25),(startDatesCF=EDATE(BL$4,-1)))))*INDEX(PBC_ACCOUNT_LIST[Sign_for_total_cashflow],MATCH($C25,PBC_ACCOUNT_LIST[Id],0))</f>
        <v>0</v>
      </c>
      <c r="BM25" s="547" cm="1">
        <f t="array" ref="BM25">(SUM(_xlfn._xlws.FILTER(_xlfn._xlws.FILTER(dataGLBSCF,dataGLBSAcctIDs=$C25),(endDatesCF=BM$5)))-SUM(_xlfn._xlws.FILTER(_xlfn._xlws.FILTER(dataGLBSCF,dataGLBSAcctIDs=$C25),(startDatesCF=EDATE(BM$4,-1)))))*INDEX(PBC_ACCOUNT_LIST[Sign_for_total_cashflow],MATCH($C25,PBC_ACCOUNT_LIST[Id],0))</f>
        <v>0</v>
      </c>
      <c r="BN25" s="547" cm="1">
        <f t="array" ref="BN25">(SUM(_xlfn._xlws.FILTER(_xlfn._xlws.FILTER(dataGLBSCF,dataGLBSAcctIDs=$C25),(endDatesCF=BN$5)))-SUM(_xlfn._xlws.FILTER(_xlfn._xlws.FILTER(dataGLBSCF,dataGLBSAcctIDs=$C25),(startDatesCF=EDATE(BN$4,-1)))))*INDEX(PBC_ACCOUNT_LIST[Sign_for_total_cashflow],MATCH($C25,PBC_ACCOUNT_LIST[Id],0))</f>
        <v>0</v>
      </c>
      <c r="BO25" s="547" cm="1">
        <f t="array" ref="BO25">(SUM(_xlfn._xlws.FILTER(_xlfn._xlws.FILTER(dataGLBSCF,dataGLBSAcctIDs=$C25),(endDatesCF=BO$5)))-SUM(_xlfn._xlws.FILTER(_xlfn._xlws.FILTER(dataGLBSCF,dataGLBSAcctIDs=$C25),(startDatesCF=EDATE(BO$4,-1)))))*INDEX(PBC_ACCOUNT_LIST[Sign_for_total_cashflow],MATCH($C25,PBC_ACCOUNT_LIST[Id],0))</f>
        <v>0</v>
      </c>
      <c r="BP25" s="547" cm="1">
        <f t="array" ref="BP25">(SUM(_xlfn._xlws.FILTER(_xlfn._xlws.FILTER(dataGLBSCF,dataGLBSAcctIDs=$C25),(endDatesCF=BP$5)))-SUM(_xlfn._xlws.FILTER(_xlfn._xlws.FILTER(dataGLBSCF,dataGLBSAcctIDs=$C25),(startDatesCF=EDATE(BP$4,-1)))))*INDEX(PBC_ACCOUNT_LIST[Sign_for_total_cashflow],MATCH($C25,PBC_ACCOUNT_LIST[Id],0))</f>
        <v>0</v>
      </c>
      <c r="BQ25" s="547" cm="1">
        <f t="array" ref="BQ25">(SUM(_xlfn._xlws.FILTER(_xlfn._xlws.FILTER(dataGLBSCF,dataGLBSAcctIDs=$C25),(endDatesCF=BQ$5)))-SUM(_xlfn._xlws.FILTER(_xlfn._xlws.FILTER(dataGLBSCF,dataGLBSAcctIDs=$C25),(startDatesCF=EDATE(BQ$4,-1)))))*INDEX(PBC_ACCOUNT_LIST[Sign_for_total_cashflow],MATCH($C25,PBC_ACCOUNT_LIST[Id],0))</f>
        <v>0</v>
      </c>
      <c r="BR25" s="547" cm="1">
        <f t="array" ref="BR25">(SUM(_xlfn._xlws.FILTER(_xlfn._xlws.FILTER(dataGLBSCF,dataGLBSAcctIDs=$C25),(endDatesCF=BR$5)))-SUM(_xlfn._xlws.FILTER(_xlfn._xlws.FILTER(dataGLBSCF,dataGLBSAcctIDs=$C25),(startDatesCF=EDATE(BR$4,-1)))))*INDEX(PBC_ACCOUNT_LIST[Sign_for_total_cashflow],MATCH($C25,PBC_ACCOUNT_LIST[Id],0))</f>
        <v>0</v>
      </c>
      <c r="BS25" s="547" cm="1">
        <f t="array" ref="BS25">(SUM(_xlfn._xlws.FILTER(_xlfn._xlws.FILTER(dataGLBSCF,dataGLBSAcctIDs=$C25),(endDatesCF=BS$5)))-SUM(_xlfn._xlws.FILTER(_xlfn._xlws.FILTER(dataGLBSCF,dataGLBSAcctIDs=$C25),(startDatesCF=EDATE(BS$4,-1)))))*INDEX(PBC_ACCOUNT_LIST[Sign_for_total_cashflow],MATCH($C25,PBC_ACCOUNT_LIST[Id],0))</f>
        <v>0</v>
      </c>
      <c r="BT25" s="547" cm="1">
        <f t="array" ref="BT25">(SUM(_xlfn._xlws.FILTER(_xlfn._xlws.FILTER(dataGLBSCF,dataGLBSAcctIDs=$C25),(endDatesCF=BT$5)))-SUM(_xlfn._xlws.FILTER(_xlfn._xlws.FILTER(dataGLBSCF,dataGLBSAcctIDs=$C25),(startDatesCF=EDATE(BT$4,-1)))))*INDEX(PBC_ACCOUNT_LIST[Sign_for_total_cashflow],MATCH($C25,PBC_ACCOUNT_LIST[Id],0))</f>
        <v>0</v>
      </c>
      <c r="BU25" s="547" cm="1">
        <f t="array" ref="BU25">(SUM(_xlfn._xlws.FILTER(_xlfn._xlws.FILTER(dataGLBSCF,dataGLBSAcctIDs=$C25),(endDatesCF=BU$5)))-SUM(_xlfn._xlws.FILTER(_xlfn._xlws.FILTER(dataGLBSCF,dataGLBSAcctIDs=$C25),(startDatesCF=EDATE(BU$4,-1)))))*INDEX(PBC_ACCOUNT_LIST[Sign_for_total_cashflow],MATCH($C25,PBC_ACCOUNT_LIST[Id],0))</f>
        <v>0</v>
      </c>
      <c r="BV25" s="547" cm="1">
        <f t="array" ref="BV25">(SUM(_xlfn._xlws.FILTER(_xlfn._xlws.FILTER(dataGLBSCF,dataGLBSAcctIDs=$C25),(endDatesCF=BV$5)))-SUM(_xlfn._xlws.FILTER(_xlfn._xlws.FILTER(dataGLBSCF,dataGLBSAcctIDs=$C25),(startDatesCF=EDATE(BV$4,-1)))))*INDEX(PBC_ACCOUNT_LIST[Sign_for_total_cashflow],MATCH($C25,PBC_ACCOUNT_LIST[Id],0))</f>
        <v>0</v>
      </c>
      <c r="BW25" s="547" cm="1">
        <f t="array" ref="BW25">(SUM(_xlfn._xlws.FILTER(_xlfn._xlws.FILTER(dataGLBSCF,dataGLBSAcctIDs=$C25),(endDatesCF=BW$5)))-SUM(_xlfn._xlws.FILTER(_xlfn._xlws.FILTER(dataGLBSCF,dataGLBSAcctIDs=$C25),(startDatesCF=EDATE(BW$4,-1)))))*INDEX(PBC_ACCOUNT_LIST[Sign_for_total_cashflow],MATCH($C25,PBC_ACCOUNT_LIST[Id],0))</f>
        <v>0</v>
      </c>
      <c r="BX25" s="547" cm="1">
        <f t="array" ref="BX25">(SUM(_xlfn._xlws.FILTER(_xlfn._xlws.FILTER(dataGLBSCF,dataGLBSAcctIDs=$C25),(endDatesCF=BX$5)))-SUM(_xlfn._xlws.FILTER(_xlfn._xlws.FILTER(dataGLBSCF,dataGLBSAcctIDs=$C25),(startDatesCF=EDATE(BX$4,-1)))))*INDEX(PBC_ACCOUNT_LIST[Sign_for_total_cashflow],MATCH($C25,PBC_ACCOUNT_LIST[Id],0))</f>
        <v>0</v>
      </c>
    </row>
    <row r="26" spans="1:92" customFormat="1" ht="21" customHeight="1">
      <c r="B26" s="685" t="s">
        <v>308</v>
      </c>
      <c r="C26">
        <v>158</v>
      </c>
      <c r="E26" s="547" cm="1">
        <f t="array" ref="E26">(SUM(_xlfn._xlws.FILTER(_xlfn._xlws.FILTER(dataGLBSCF,dataGLBSAcctIDs=$C26),(endDatesCF=E$5)))-SUM(_xlfn._xlws.FILTER(_xlfn._xlws.FILTER(dataGLBSCF,dataGLBSAcctIDs=$C26),(startDatesCF=EDATE(E$4,-1)))))*INDEX(PBC_ACCOUNT_LIST[Sign_for_total_cashflow],MATCH($C26,PBC_ACCOUNT_LIST[Id],0))</f>
        <v>23270</v>
      </c>
      <c r="F26" s="547" cm="1">
        <f t="array" ref="F26">(SUM(_xlfn._xlws.FILTER(_xlfn._xlws.FILTER(dataGLBSCF,dataGLBSAcctIDs=$C26),(endDatesCF=F$5)))-SUM(_xlfn._xlws.FILTER(_xlfn._xlws.FILTER(dataGLBSCF,dataGLBSAcctIDs=$C26),(startDatesCF=EDATE(F$4,-1)))))*INDEX(PBC_ACCOUNT_LIST[Sign_for_total_cashflow],MATCH($C26,PBC_ACCOUNT_LIST[Id],0))</f>
        <v>0</v>
      </c>
      <c r="G26" s="547" cm="1">
        <f t="array" ref="G26">(SUM(_xlfn._xlws.FILTER(_xlfn._xlws.FILTER(dataGLBSCF,dataGLBSAcctIDs=$C26),(endDatesCF=G$5)))-SUM(_xlfn._xlws.FILTER(_xlfn._xlws.FILTER(dataGLBSCF,dataGLBSAcctIDs=$C26),(startDatesCF=EDATE(G$4,-1)))))*INDEX(PBC_ACCOUNT_LIST[Sign_for_total_cashflow],MATCH($C26,PBC_ACCOUNT_LIST[Id],0))</f>
        <v>78060.833333333343</v>
      </c>
      <c r="H26" s="547" cm="1">
        <f t="array" ref="H26">(SUM(_xlfn._xlws.FILTER(_xlfn._xlws.FILTER(dataGLBSCF,dataGLBSAcctIDs=$C26),(endDatesCF=H$5)))-SUM(_xlfn._xlws.FILTER(_xlfn._xlws.FILTER(dataGLBSCF,dataGLBSAcctIDs=$C26),(startDatesCF=EDATE(H$4,-1)))))*INDEX(PBC_ACCOUNT_LIST[Sign_for_total_cashflow],MATCH($C26,PBC_ACCOUNT_LIST[Id],0))</f>
        <v>18669.166666666482</v>
      </c>
      <c r="K26" s="547" cm="1">
        <f t="array" ref="K26">(SUM(_xlfn._xlws.FILTER(_xlfn._xlws.FILTER(dataGLBSCF,dataGLBSAcctIDs=$C26),(endDatesCF=K$5)))-SUM(_xlfn._xlws.FILTER(_xlfn._xlws.FILTER(dataGLBSCF,dataGLBSAcctIDs=$C26),(startDatesCF=EDATE(K$4,-1)))))*INDEX(PBC_ACCOUNT_LIST[Sign_for_total_cashflow],MATCH($C26,PBC_ACCOUNT_LIST[Id],0))</f>
        <v>16538</v>
      </c>
      <c r="L26" s="547" cm="1">
        <f t="array" ref="L26">(SUM(_xlfn._xlws.FILTER(_xlfn._xlws.FILTER(dataGLBSCF,dataGLBSAcctIDs=$C26),(endDatesCF=L$5)))-SUM(_xlfn._xlws.FILTER(_xlfn._xlws.FILTER(dataGLBSCF,dataGLBSAcctIDs=$C26),(startDatesCF=EDATE(L$4,-1)))))*INDEX(PBC_ACCOUNT_LIST[Sign_for_total_cashflow],MATCH($C26,PBC_ACCOUNT_LIST[Id],0))</f>
        <v>2607</v>
      </c>
      <c r="M26" s="547" cm="1">
        <f t="array" ref="M26">(SUM(_xlfn._xlws.FILTER(_xlfn._xlws.FILTER(dataGLBSCF,dataGLBSAcctIDs=$C26),(endDatesCF=M$5)))-SUM(_xlfn._xlws.FILTER(_xlfn._xlws.FILTER(dataGLBSCF,dataGLBSAcctIDs=$C26),(startDatesCF=EDATE(M$4,-1)))))*INDEX(PBC_ACCOUNT_LIST[Sign_for_total_cashflow],MATCH($C26,PBC_ACCOUNT_LIST[Id],0))</f>
        <v>3017</v>
      </c>
      <c r="N26" s="547" cm="1">
        <f t="array" ref="N26">(SUM(_xlfn._xlws.FILTER(_xlfn._xlws.FILTER(dataGLBSCF,dataGLBSAcctIDs=$C26),(endDatesCF=N$5)))-SUM(_xlfn._xlws.FILTER(_xlfn._xlws.FILTER(dataGLBSCF,dataGLBSAcctIDs=$C26),(startDatesCF=EDATE(N$4,-1)))))*INDEX(PBC_ACCOUNT_LIST[Sign_for_total_cashflow],MATCH($C26,PBC_ACCOUNT_LIST[Id],0))</f>
        <v>1108</v>
      </c>
      <c r="O26" s="547" cm="1">
        <f t="array" ref="O26">(SUM(_xlfn._xlws.FILTER(_xlfn._xlws.FILTER(dataGLBSCF,dataGLBSAcctIDs=$C26),(endDatesCF=O$5)))-SUM(_xlfn._xlws.FILTER(_xlfn._xlws.FILTER(dataGLBSCF,dataGLBSAcctIDs=$C26),(startDatesCF=EDATE(O$4,-1)))))*INDEX(PBC_ACCOUNT_LIST[Sign_for_total_cashflow],MATCH($C26,PBC_ACCOUNT_LIST[Id],0))</f>
        <v>0</v>
      </c>
      <c r="P26" s="547" cm="1">
        <f t="array" ref="P26">(SUM(_xlfn._xlws.FILTER(_xlfn._xlws.FILTER(dataGLBSCF,dataGLBSAcctIDs=$C26),(endDatesCF=P$5)))-SUM(_xlfn._xlws.FILTER(_xlfn._xlws.FILTER(dataGLBSCF,dataGLBSAcctIDs=$C26),(startDatesCF=EDATE(P$4,-1)))))*INDEX(PBC_ACCOUNT_LIST[Sign_for_total_cashflow],MATCH($C26,PBC_ACCOUNT_LIST[Id],0))</f>
        <v>0</v>
      </c>
      <c r="Q26" s="547" cm="1">
        <f t="array" ref="Q26">(SUM(_xlfn._xlws.FILTER(_xlfn._xlws.FILTER(dataGLBSCF,dataGLBSAcctIDs=$C26),(endDatesCF=Q$5)))-SUM(_xlfn._xlws.FILTER(_xlfn._xlws.FILTER(dataGLBSCF,dataGLBSAcctIDs=$C26),(startDatesCF=EDATE(Q$4,-1)))))*INDEX(PBC_ACCOUNT_LIST[Sign_for_total_cashflow],MATCH($C26,PBC_ACCOUNT_LIST[Id],0))</f>
        <v>0</v>
      </c>
      <c r="R26" s="547" cm="1">
        <f t="array" ref="R26">(SUM(_xlfn._xlws.FILTER(_xlfn._xlws.FILTER(dataGLBSCF,dataGLBSAcctIDs=$C26),(endDatesCF=R$5)))-SUM(_xlfn._xlws.FILTER(_xlfn._xlws.FILTER(dataGLBSCF,dataGLBSAcctIDs=$C26),(startDatesCF=EDATE(R$4,-1)))))*INDEX(PBC_ACCOUNT_LIST[Sign_for_total_cashflow],MATCH($C26,PBC_ACCOUNT_LIST[Id],0))</f>
        <v>0</v>
      </c>
      <c r="S26" s="547" cm="1">
        <f t="array" ref="S26">(SUM(_xlfn._xlws.FILTER(_xlfn._xlws.FILTER(dataGLBSCF,dataGLBSAcctIDs=$C26),(endDatesCF=S$5)))-SUM(_xlfn._xlws.FILTER(_xlfn._xlws.FILTER(dataGLBSCF,dataGLBSAcctIDs=$C26),(startDatesCF=EDATE(S$4,-1)))))*INDEX(PBC_ACCOUNT_LIST[Sign_for_total_cashflow],MATCH($C26,PBC_ACCOUNT_LIST[Id],0))</f>
        <v>0</v>
      </c>
      <c r="T26" s="547" cm="1">
        <f t="array" ref="T26">(SUM(_xlfn._xlws.FILTER(_xlfn._xlws.FILTER(dataGLBSCF,dataGLBSAcctIDs=$C26),(endDatesCF=T$5)))-SUM(_xlfn._xlws.FILTER(_xlfn._xlws.FILTER(dataGLBSCF,dataGLBSAcctIDs=$C26),(startDatesCF=EDATE(T$4,-1)))))*INDEX(PBC_ACCOUNT_LIST[Sign_for_total_cashflow],MATCH($C26,PBC_ACCOUNT_LIST[Id],0))</f>
        <v>0</v>
      </c>
      <c r="U26" s="547" cm="1">
        <f t="array" ref="U26">(SUM(_xlfn._xlws.FILTER(_xlfn._xlws.FILTER(dataGLBSCF,dataGLBSAcctIDs=$C26),(endDatesCF=U$5)))-SUM(_xlfn._xlws.FILTER(_xlfn._xlws.FILTER(dataGLBSCF,dataGLBSAcctIDs=$C26),(startDatesCF=EDATE(U$4,-1)))))*INDEX(PBC_ACCOUNT_LIST[Sign_for_total_cashflow],MATCH($C26,PBC_ACCOUNT_LIST[Id],0))</f>
        <v>0</v>
      </c>
      <c r="V26" s="547" cm="1">
        <f t="array" ref="V26">(SUM(_xlfn._xlws.FILTER(_xlfn._xlws.FILTER(dataGLBSCF,dataGLBSAcctIDs=$C26),(endDatesCF=V$5)))-SUM(_xlfn._xlws.FILTER(_xlfn._xlws.FILTER(dataGLBSCF,dataGLBSAcctIDs=$C26),(startDatesCF=EDATE(V$4,-1)))))*INDEX(PBC_ACCOUNT_LIST[Sign_for_total_cashflow],MATCH($C26,PBC_ACCOUNT_LIST[Id],0))</f>
        <v>78060.833333333343</v>
      </c>
      <c r="W26" s="547" cm="1">
        <f t="array" ref="W26">(SUM(_xlfn._xlws.FILTER(_xlfn._xlws.FILTER(dataGLBSCF,dataGLBSAcctIDs=$C26),(endDatesCF=W$5)))-SUM(_xlfn._xlws.FILTER(_xlfn._xlws.FILTER(dataGLBSCF,dataGLBSAcctIDs=$C26),(startDatesCF=EDATE(W$4,-1)))))*INDEX(PBC_ACCOUNT_LIST[Sign_for_total_cashflow],MATCH($C26,PBC_ACCOUNT_LIST[Id],0))</f>
        <v>34182.499999999971</v>
      </c>
      <c r="X26" s="547" cm="1">
        <f t="array" ref="X26">(SUM(_xlfn._xlws.FILTER(_xlfn._xlws.FILTER(dataGLBSCF,dataGLBSAcctIDs=$C26),(endDatesCF=X$5)))-SUM(_xlfn._xlws.FILTER(_xlfn._xlws.FILTER(dataGLBSCF,dataGLBSAcctIDs=$C26),(startDatesCF=EDATE(X$4,-1)))))*INDEX(PBC_ACCOUNT_LIST[Sign_for_total_cashflow],MATCH($C26,PBC_ACCOUNT_LIST[Id],0))</f>
        <v>-5817.5000000000437</v>
      </c>
      <c r="Y26" s="547" cm="1">
        <f t="array" ref="Y26">(SUM(_xlfn._xlws.FILTER(_xlfn._xlws.FILTER(dataGLBSCF,dataGLBSAcctIDs=$C26),(endDatesCF=Y$5)))-SUM(_xlfn._xlws.FILTER(_xlfn._xlws.FILTER(dataGLBSCF,dataGLBSAcctIDs=$C26),(startDatesCF=EDATE(Y$4,-1)))))*INDEX(PBC_ACCOUNT_LIST[Sign_for_total_cashflow],MATCH($C26,PBC_ACCOUNT_LIST[Id],0))</f>
        <v>-5817.5000000000582</v>
      </c>
      <c r="Z26" s="547" cm="1">
        <f t="array" ref="Z26">(SUM(_xlfn._xlws.FILTER(_xlfn._xlws.FILTER(dataGLBSCF,dataGLBSAcctIDs=$C26),(endDatesCF=Z$5)))-SUM(_xlfn._xlws.FILTER(_xlfn._xlws.FILTER(dataGLBSCF,dataGLBSAcctIDs=$C26),(startDatesCF=EDATE(Z$4,-1)))))*INDEX(PBC_ACCOUNT_LIST[Sign_for_total_cashflow],MATCH($C26,PBC_ACCOUNT_LIST[Id],0))</f>
        <v>-3878.3333333333867</v>
      </c>
      <c r="AC26" s="547" cm="1">
        <f t="array" ref="AC26">(SUM(_xlfn._xlws.FILTER(_xlfn._xlws.FILTER(dataGLBSCF,dataGLBSAcctIDs=$C26),(endDatesCF=AC$5)))-SUM(_xlfn._xlws.FILTER(_xlfn._xlws.FILTER(dataGLBSCF,dataGLBSAcctIDs=$C26),(startDatesCF=EDATE(AC$4,-1)))))*INDEX(PBC_ACCOUNT_LIST[Sign_for_total_cashflow],MATCH($C26,PBC_ACCOUNT_LIST[Id],0))</f>
        <v>15000</v>
      </c>
      <c r="AD26" s="547" cm="1">
        <f t="array" ref="AD26">(SUM(_xlfn._xlws.FILTER(_xlfn._xlws.FILTER(dataGLBSCF,dataGLBSAcctIDs=$C26),(endDatesCF=AD$5)))-SUM(_xlfn._xlws.FILTER(_xlfn._xlws.FILTER(dataGLBSCF,dataGLBSAcctIDs=$C26),(startDatesCF=EDATE(AD$4,-1)))))*INDEX(PBC_ACCOUNT_LIST[Sign_for_total_cashflow],MATCH($C26,PBC_ACCOUNT_LIST[Id],0))</f>
        <v>750</v>
      </c>
      <c r="AE26" s="547" cm="1">
        <f t="array" ref="AE26">(SUM(_xlfn._xlws.FILTER(_xlfn._xlws.FILTER(dataGLBSCF,dataGLBSAcctIDs=$C26),(endDatesCF=AE$5)))-SUM(_xlfn._xlws.FILTER(_xlfn._xlws.FILTER(dataGLBSCF,dataGLBSAcctIDs=$C26),(startDatesCF=EDATE(AE$4,-1)))))*INDEX(PBC_ACCOUNT_LIST[Sign_for_total_cashflow],MATCH($C26,PBC_ACCOUNT_LIST[Id],0))</f>
        <v>788</v>
      </c>
      <c r="AF26" s="547" cm="1">
        <f t="array" ref="AF26">(SUM(_xlfn._xlws.FILTER(_xlfn._xlws.FILTER(dataGLBSCF,dataGLBSAcctIDs=$C26),(endDatesCF=AF$5)))-SUM(_xlfn._xlws.FILTER(_xlfn._xlws.FILTER(dataGLBSCF,dataGLBSAcctIDs=$C26),(startDatesCF=EDATE(AF$4,-1)))))*INDEX(PBC_ACCOUNT_LIST[Sign_for_total_cashflow],MATCH($C26,PBC_ACCOUNT_LIST[Id],0))</f>
        <v>827</v>
      </c>
      <c r="AG26" s="547" cm="1">
        <f t="array" ref="AG26">(SUM(_xlfn._xlws.FILTER(_xlfn._xlws.FILTER(dataGLBSCF,dataGLBSAcctIDs=$C26),(endDatesCF=AG$5)))-SUM(_xlfn._xlws.FILTER(_xlfn._xlws.FILTER(dataGLBSCF,dataGLBSAcctIDs=$C26),(startDatesCF=EDATE(AG$4,-1)))))*INDEX(PBC_ACCOUNT_LIST[Sign_for_total_cashflow],MATCH($C26,PBC_ACCOUNT_LIST[Id],0))</f>
        <v>868</v>
      </c>
      <c r="AH26" s="547" cm="1">
        <f t="array" ref="AH26">(SUM(_xlfn._xlws.FILTER(_xlfn._xlws.FILTER(dataGLBSCF,dataGLBSAcctIDs=$C26),(endDatesCF=AH$5)))-SUM(_xlfn._xlws.FILTER(_xlfn._xlws.FILTER(dataGLBSCF,dataGLBSAcctIDs=$C26),(startDatesCF=EDATE(AH$4,-1)))))*INDEX(PBC_ACCOUNT_LIST[Sign_for_total_cashflow],MATCH($C26,PBC_ACCOUNT_LIST[Id],0))</f>
        <v>912</v>
      </c>
      <c r="AI26" s="547" cm="1">
        <f t="array" ref="AI26">(SUM(_xlfn._xlws.FILTER(_xlfn._xlws.FILTER(dataGLBSCF,dataGLBSAcctIDs=$C26),(endDatesCF=AI$5)))-SUM(_xlfn._xlws.FILTER(_xlfn._xlws.FILTER(dataGLBSCF,dataGLBSAcctIDs=$C26),(startDatesCF=EDATE(AI$4,-1)))))*INDEX(PBC_ACCOUNT_LIST[Sign_for_total_cashflow],MATCH($C26,PBC_ACCOUNT_LIST[Id],0))</f>
        <v>957</v>
      </c>
      <c r="AJ26" s="547" cm="1">
        <f t="array" ref="AJ26">(SUM(_xlfn._xlws.FILTER(_xlfn._xlws.FILTER(dataGLBSCF,dataGLBSAcctIDs=$C26),(endDatesCF=AJ$5)))-SUM(_xlfn._xlws.FILTER(_xlfn._xlws.FILTER(dataGLBSCF,dataGLBSAcctIDs=$C26),(startDatesCF=EDATE(AJ$4,-1)))))*INDEX(PBC_ACCOUNT_LIST[Sign_for_total_cashflow],MATCH($C26,PBC_ACCOUNT_LIST[Id],0))</f>
        <v>1005</v>
      </c>
      <c r="AK26" s="547" cm="1">
        <f t="array" ref="AK26">(SUM(_xlfn._xlws.FILTER(_xlfn._xlws.FILTER(dataGLBSCF,dataGLBSAcctIDs=$C26),(endDatesCF=AK$5)))-SUM(_xlfn._xlws.FILTER(_xlfn._xlws.FILTER(dataGLBSCF,dataGLBSAcctIDs=$C26),(startDatesCF=EDATE(AK$4,-1)))))*INDEX(PBC_ACCOUNT_LIST[Sign_for_total_cashflow],MATCH($C26,PBC_ACCOUNT_LIST[Id],0))</f>
        <v>1055</v>
      </c>
      <c r="AL26" s="547" cm="1">
        <f t="array" ref="AL26">(SUM(_xlfn._xlws.FILTER(_xlfn._xlws.FILTER(dataGLBSCF,dataGLBSAcctIDs=$C26),(endDatesCF=AL$5)))-SUM(_xlfn._xlws.FILTER(_xlfn._xlws.FILTER(dataGLBSCF,dataGLBSAcctIDs=$C26),(startDatesCF=EDATE(AL$4,-1)))))*INDEX(PBC_ACCOUNT_LIST[Sign_for_total_cashflow],MATCH($C26,PBC_ACCOUNT_LIST[Id],0))</f>
        <v>1108</v>
      </c>
      <c r="AM26" s="547" cm="1">
        <f t="array" ref="AM26">(SUM(_xlfn._xlws.FILTER(_xlfn._xlws.FILTER(dataGLBSCF,dataGLBSAcctIDs=$C26),(endDatesCF=AM$5)))-SUM(_xlfn._xlws.FILTER(_xlfn._xlws.FILTER(dataGLBSCF,dataGLBSAcctIDs=$C26),(startDatesCF=EDATE(AM$4,-1)))))*INDEX(PBC_ACCOUNT_LIST[Sign_for_total_cashflow],MATCH($C26,PBC_ACCOUNT_LIST[Id],0))</f>
        <v>0</v>
      </c>
      <c r="AN26" s="547" cm="1">
        <f t="array" ref="AN26">(SUM(_xlfn._xlws.FILTER(_xlfn._xlws.FILTER(dataGLBSCF,dataGLBSAcctIDs=$C26),(endDatesCF=AN$5)))-SUM(_xlfn._xlws.FILTER(_xlfn._xlws.FILTER(dataGLBSCF,dataGLBSAcctIDs=$C26),(startDatesCF=EDATE(AN$4,-1)))))*INDEX(PBC_ACCOUNT_LIST[Sign_for_total_cashflow],MATCH($C26,PBC_ACCOUNT_LIST[Id],0))</f>
        <v>0</v>
      </c>
      <c r="AO26" s="547" cm="1">
        <f t="array" ref="AO26">(SUM(_xlfn._xlws.FILTER(_xlfn._xlws.FILTER(dataGLBSCF,dataGLBSAcctIDs=$C26),(endDatesCF=AO$5)))-SUM(_xlfn._xlws.FILTER(_xlfn._xlws.FILTER(dataGLBSCF,dataGLBSAcctIDs=$C26),(startDatesCF=EDATE(AO$4,-1)))))*INDEX(PBC_ACCOUNT_LIST[Sign_for_total_cashflow],MATCH($C26,PBC_ACCOUNT_LIST[Id],0))</f>
        <v>0</v>
      </c>
      <c r="AP26" s="547" cm="1">
        <f t="array" ref="AP26">(SUM(_xlfn._xlws.FILTER(_xlfn._xlws.FILTER(dataGLBSCF,dataGLBSAcctIDs=$C26),(endDatesCF=AP$5)))-SUM(_xlfn._xlws.FILTER(_xlfn._xlws.FILTER(dataGLBSCF,dataGLBSAcctIDs=$C26),(startDatesCF=EDATE(AP$4,-1)))))*INDEX(PBC_ACCOUNT_LIST[Sign_for_total_cashflow],MATCH($C26,PBC_ACCOUNT_LIST[Id],0))</f>
        <v>0</v>
      </c>
      <c r="AQ26" s="547" cm="1">
        <f t="array" ref="AQ26">(SUM(_xlfn._xlws.FILTER(_xlfn._xlws.FILTER(dataGLBSCF,dataGLBSAcctIDs=$C26),(endDatesCF=AQ$5)))-SUM(_xlfn._xlws.FILTER(_xlfn._xlws.FILTER(dataGLBSCF,dataGLBSAcctIDs=$C26),(startDatesCF=EDATE(AQ$4,-1)))))*INDEX(PBC_ACCOUNT_LIST[Sign_for_total_cashflow],MATCH($C26,PBC_ACCOUNT_LIST[Id],0))</f>
        <v>0</v>
      </c>
      <c r="AR26" s="547" cm="1">
        <f t="array" ref="AR26">(SUM(_xlfn._xlws.FILTER(_xlfn._xlws.FILTER(dataGLBSCF,dataGLBSAcctIDs=$C26),(endDatesCF=AR$5)))-SUM(_xlfn._xlws.FILTER(_xlfn._xlws.FILTER(dataGLBSCF,dataGLBSAcctIDs=$C26),(startDatesCF=EDATE(AR$4,-1)))))*INDEX(PBC_ACCOUNT_LIST[Sign_for_total_cashflow],MATCH($C26,PBC_ACCOUNT_LIST[Id],0))</f>
        <v>0</v>
      </c>
      <c r="AS26" s="547" cm="1">
        <f t="array" ref="AS26">(SUM(_xlfn._xlws.FILTER(_xlfn._xlws.FILTER(dataGLBSCF,dataGLBSAcctIDs=$C26),(endDatesCF=AS$5)))-SUM(_xlfn._xlws.FILTER(_xlfn._xlws.FILTER(dataGLBSCF,dataGLBSAcctIDs=$C26),(startDatesCF=EDATE(AS$4,-1)))))*INDEX(PBC_ACCOUNT_LIST[Sign_for_total_cashflow],MATCH($C26,PBC_ACCOUNT_LIST[Id],0))</f>
        <v>0</v>
      </c>
      <c r="AT26" s="547" cm="1">
        <f t="array" ref="AT26">(SUM(_xlfn._xlws.FILTER(_xlfn._xlws.FILTER(dataGLBSCF,dataGLBSAcctIDs=$C26),(endDatesCF=AT$5)))-SUM(_xlfn._xlws.FILTER(_xlfn._xlws.FILTER(dataGLBSCF,dataGLBSAcctIDs=$C26),(startDatesCF=EDATE(AT$4,-1)))))*INDEX(PBC_ACCOUNT_LIST[Sign_for_total_cashflow],MATCH($C26,PBC_ACCOUNT_LIST[Id],0))</f>
        <v>0</v>
      </c>
      <c r="AU26" s="547" cm="1">
        <f t="array" ref="AU26">(SUM(_xlfn._xlws.FILTER(_xlfn._xlws.FILTER(dataGLBSCF,dataGLBSAcctIDs=$C26),(endDatesCF=AU$5)))-SUM(_xlfn._xlws.FILTER(_xlfn._xlws.FILTER(dataGLBSCF,dataGLBSAcctIDs=$C26),(startDatesCF=EDATE(AU$4,-1)))))*INDEX(PBC_ACCOUNT_LIST[Sign_for_total_cashflow],MATCH($C26,PBC_ACCOUNT_LIST[Id],0))</f>
        <v>0</v>
      </c>
      <c r="AV26" s="547" cm="1">
        <f t="array" ref="AV26">(SUM(_xlfn._xlws.FILTER(_xlfn._xlws.FILTER(dataGLBSCF,dataGLBSAcctIDs=$C26),(endDatesCF=AV$5)))-SUM(_xlfn._xlws.FILTER(_xlfn._xlws.FILTER(dataGLBSCF,dataGLBSAcctIDs=$C26),(startDatesCF=EDATE(AV$4,-1)))))*INDEX(PBC_ACCOUNT_LIST[Sign_for_total_cashflow],MATCH($C26,PBC_ACCOUNT_LIST[Id],0))</f>
        <v>0</v>
      </c>
      <c r="AW26" s="547" cm="1">
        <f t="array" ref="AW26">(SUM(_xlfn._xlws.FILTER(_xlfn._xlws.FILTER(dataGLBSCF,dataGLBSAcctIDs=$C26),(endDatesCF=AW$5)))-SUM(_xlfn._xlws.FILTER(_xlfn._xlws.FILTER(dataGLBSCF,dataGLBSAcctIDs=$C26),(startDatesCF=EDATE(AW$4,-1)))))*INDEX(PBC_ACCOUNT_LIST[Sign_for_total_cashflow],MATCH($C26,PBC_ACCOUNT_LIST[Id],0))</f>
        <v>0</v>
      </c>
      <c r="AX26" s="547" cm="1">
        <f t="array" ref="AX26">(SUM(_xlfn._xlws.FILTER(_xlfn._xlws.FILTER(dataGLBSCF,dataGLBSAcctIDs=$C26),(endDatesCF=AX$5)))-SUM(_xlfn._xlws.FILTER(_xlfn._xlws.FILTER(dataGLBSCF,dataGLBSAcctIDs=$C26),(startDatesCF=EDATE(AX$4,-1)))))*INDEX(PBC_ACCOUNT_LIST[Sign_for_total_cashflow],MATCH($C26,PBC_ACCOUNT_LIST[Id],0))</f>
        <v>0</v>
      </c>
      <c r="AY26" s="547" cm="1">
        <f t="array" ref="AY26">(SUM(_xlfn._xlws.FILTER(_xlfn._xlws.FILTER(dataGLBSCF,dataGLBSAcctIDs=$C26),(endDatesCF=AY$5)))-SUM(_xlfn._xlws.FILTER(_xlfn._xlws.FILTER(dataGLBSCF,dataGLBSAcctIDs=$C26),(startDatesCF=EDATE(AY$4,-1)))))*INDEX(PBC_ACCOUNT_LIST[Sign_for_total_cashflow],MATCH($C26,PBC_ACCOUNT_LIST[Id],0))</f>
        <v>0</v>
      </c>
      <c r="AZ26" s="547" cm="1">
        <f t="array" ref="AZ26">(SUM(_xlfn._xlws.FILTER(_xlfn._xlws.FILTER(dataGLBSCF,dataGLBSAcctIDs=$C26),(endDatesCF=AZ$5)))-SUM(_xlfn._xlws.FILTER(_xlfn._xlws.FILTER(dataGLBSCF,dataGLBSAcctIDs=$C26),(startDatesCF=EDATE(AZ$4,-1)))))*INDEX(PBC_ACCOUNT_LIST[Sign_for_total_cashflow],MATCH($C26,PBC_ACCOUNT_LIST[Id],0))</f>
        <v>0</v>
      </c>
      <c r="BA26" s="547" cm="1">
        <f t="array" ref="BA26">(SUM(_xlfn._xlws.FILTER(_xlfn._xlws.FILTER(dataGLBSCF,dataGLBSAcctIDs=$C26),(endDatesCF=BA$5)))-SUM(_xlfn._xlws.FILTER(_xlfn._xlws.FILTER(dataGLBSCF,dataGLBSAcctIDs=$C26),(startDatesCF=EDATE(BA$4,-1)))))*INDEX(PBC_ACCOUNT_LIST[Sign_for_total_cashflow],MATCH($C26,PBC_ACCOUNT_LIST[Id],0))</f>
        <v>0</v>
      </c>
      <c r="BB26" s="547" cm="1">
        <f t="array" ref="BB26">(SUM(_xlfn._xlws.FILTER(_xlfn._xlws.FILTER(dataGLBSCF,dataGLBSAcctIDs=$C26),(endDatesCF=BB$5)))-SUM(_xlfn._xlws.FILTER(_xlfn._xlws.FILTER(dataGLBSCF,dataGLBSAcctIDs=$C26),(startDatesCF=EDATE(BB$4,-1)))))*INDEX(PBC_ACCOUNT_LIST[Sign_for_total_cashflow],MATCH($C26,PBC_ACCOUNT_LIST[Id],0))</f>
        <v>0</v>
      </c>
      <c r="BC26" s="547" cm="1">
        <f t="array" ref="BC26">(SUM(_xlfn._xlws.FILTER(_xlfn._xlws.FILTER(dataGLBSCF,dataGLBSAcctIDs=$C26),(endDatesCF=BC$5)))-SUM(_xlfn._xlws.FILTER(_xlfn._xlws.FILTER(dataGLBSCF,dataGLBSAcctIDs=$C26),(startDatesCF=EDATE(BC$4,-1)))))*INDEX(PBC_ACCOUNT_LIST[Sign_for_total_cashflow],MATCH($C26,PBC_ACCOUNT_LIST[Id],0))</f>
        <v>0</v>
      </c>
      <c r="BD26" s="547" cm="1">
        <f t="array" ref="BD26">(SUM(_xlfn._xlws.FILTER(_xlfn._xlws.FILTER(dataGLBSCF,dataGLBSAcctIDs=$C26),(endDatesCF=BD$5)))-SUM(_xlfn._xlws.FILTER(_xlfn._xlws.FILTER(dataGLBSCF,dataGLBSAcctIDs=$C26),(startDatesCF=EDATE(BD$4,-1)))))*INDEX(PBC_ACCOUNT_LIST[Sign_for_total_cashflow],MATCH($C26,PBC_ACCOUNT_LIST[Id],0))</f>
        <v>0</v>
      </c>
      <c r="BE26" s="547" cm="1">
        <f t="array" ref="BE26">(SUM(_xlfn._xlws.FILTER(_xlfn._xlws.FILTER(dataGLBSCF,dataGLBSAcctIDs=$C26),(endDatesCF=BE$5)))-SUM(_xlfn._xlws.FILTER(_xlfn._xlws.FILTER(dataGLBSCF,dataGLBSAcctIDs=$C26),(startDatesCF=EDATE(BE$4,-1)))))*INDEX(PBC_ACCOUNT_LIST[Sign_for_total_cashflow],MATCH($C26,PBC_ACCOUNT_LIST[Id],0))</f>
        <v>0</v>
      </c>
      <c r="BF26" s="547" cm="1">
        <f t="array" ref="BF26">(SUM(_xlfn._xlws.FILTER(_xlfn._xlws.FILTER(dataGLBSCF,dataGLBSAcctIDs=$C26),(endDatesCF=BF$5)))-SUM(_xlfn._xlws.FILTER(_xlfn._xlws.FILTER(dataGLBSCF,dataGLBSAcctIDs=$C26),(startDatesCF=EDATE(BF$4,-1)))))*INDEX(PBC_ACCOUNT_LIST[Sign_for_total_cashflow],MATCH($C26,PBC_ACCOUNT_LIST[Id],0))</f>
        <v>0</v>
      </c>
      <c r="BG26" s="547" cm="1">
        <f t="array" ref="BG26">(SUM(_xlfn._xlws.FILTER(_xlfn._xlws.FILTER(dataGLBSCF,dataGLBSAcctIDs=$C26),(endDatesCF=BG$5)))-SUM(_xlfn._xlws.FILTER(_xlfn._xlws.FILTER(dataGLBSCF,dataGLBSAcctIDs=$C26),(startDatesCF=EDATE(BG$4,-1)))))*INDEX(PBC_ACCOUNT_LIST[Sign_for_total_cashflow],MATCH($C26,PBC_ACCOUNT_LIST[Id],0))</f>
        <v>0</v>
      </c>
      <c r="BH26" s="547" cm="1">
        <f t="array" ref="BH26">(SUM(_xlfn._xlws.FILTER(_xlfn._xlws.FILTER(dataGLBSCF,dataGLBSAcctIDs=$C26),(endDatesCF=BH$5)))-SUM(_xlfn._xlws.FILTER(_xlfn._xlws.FILTER(dataGLBSCF,dataGLBSAcctIDs=$C26),(startDatesCF=EDATE(BH$4,-1)))))*INDEX(PBC_ACCOUNT_LIST[Sign_for_total_cashflow],MATCH($C26,PBC_ACCOUNT_LIST[Id],0))</f>
        <v>0</v>
      </c>
      <c r="BI26" s="547" cm="1">
        <f t="array" ref="BI26">(SUM(_xlfn._xlws.FILTER(_xlfn._xlws.FILTER(dataGLBSCF,dataGLBSAcctIDs=$C26),(endDatesCF=BI$5)))-SUM(_xlfn._xlws.FILTER(_xlfn._xlws.FILTER(dataGLBSCF,dataGLBSAcctIDs=$C26),(startDatesCF=EDATE(BI$4,-1)))))*INDEX(PBC_ACCOUNT_LIST[Sign_for_total_cashflow],MATCH($C26,PBC_ACCOUNT_LIST[Id],0))</f>
        <v>0</v>
      </c>
      <c r="BJ26" s="547" cm="1">
        <f t="array" ref="BJ26">(SUM(_xlfn._xlws.FILTER(_xlfn._xlws.FILTER(dataGLBSCF,dataGLBSAcctIDs=$C26),(endDatesCF=BJ$5)))-SUM(_xlfn._xlws.FILTER(_xlfn._xlws.FILTER(dataGLBSCF,dataGLBSAcctIDs=$C26),(startDatesCF=EDATE(BJ$4,-1)))))*INDEX(PBC_ACCOUNT_LIST[Sign_for_total_cashflow],MATCH($C26,PBC_ACCOUNT_LIST[Id],0))</f>
        <v>0</v>
      </c>
      <c r="BK26" s="547" cm="1">
        <f t="array" ref="BK26">(SUM(_xlfn._xlws.FILTER(_xlfn._xlws.FILTER(dataGLBSCF,dataGLBSAcctIDs=$C26),(endDatesCF=BK$5)))-SUM(_xlfn._xlws.FILTER(_xlfn._xlws.FILTER(dataGLBSCF,dataGLBSAcctIDs=$C26),(startDatesCF=EDATE(BK$4,-1)))))*INDEX(PBC_ACCOUNT_LIST[Sign_for_total_cashflow],MATCH($C26,PBC_ACCOUNT_LIST[Id],0))</f>
        <v>0</v>
      </c>
      <c r="BL26" s="547" cm="1">
        <f t="array" ref="BL26">(SUM(_xlfn._xlws.FILTER(_xlfn._xlws.FILTER(dataGLBSCF,dataGLBSAcctIDs=$C26),(endDatesCF=BL$5)))-SUM(_xlfn._xlws.FILTER(_xlfn._xlws.FILTER(dataGLBSCF,dataGLBSAcctIDs=$C26),(startDatesCF=EDATE(BL$4,-1)))))*INDEX(PBC_ACCOUNT_LIST[Sign_for_total_cashflow],MATCH($C26,PBC_ACCOUNT_LIST[Id],0))</f>
        <v>78060.833333333343</v>
      </c>
      <c r="BM26" s="547" cm="1">
        <f t="array" ref="BM26">(SUM(_xlfn._xlws.FILTER(_xlfn._xlws.FILTER(dataGLBSCF,dataGLBSAcctIDs=$C26),(endDatesCF=BM$5)))-SUM(_xlfn._xlws.FILTER(_xlfn._xlws.FILTER(dataGLBSCF,dataGLBSAcctIDs=$C26),(startDatesCF=EDATE(BM$4,-1)))))*INDEX(PBC_ACCOUNT_LIST[Sign_for_total_cashflow],MATCH($C26,PBC_ACCOUNT_LIST[Id],0))</f>
        <v>38060.833333333343</v>
      </c>
      <c r="BN26" s="547" cm="1">
        <f t="array" ref="BN26">(SUM(_xlfn._xlws.FILTER(_xlfn._xlws.FILTER(dataGLBSCF,dataGLBSAcctIDs=$C26),(endDatesCF=BN$5)))-SUM(_xlfn._xlws.FILTER(_xlfn._xlws.FILTER(dataGLBSCF,dataGLBSAcctIDs=$C26),(startDatesCF=EDATE(BN$4,-1)))))*INDEX(PBC_ACCOUNT_LIST[Sign_for_total_cashflow],MATCH($C26,PBC_ACCOUNT_LIST[Id],0))</f>
        <v>-1939.1666666666861</v>
      </c>
      <c r="BO26" s="547" cm="1">
        <f t="array" ref="BO26">(SUM(_xlfn._xlws.FILTER(_xlfn._xlws.FILTER(dataGLBSCF,dataGLBSAcctIDs=$C26),(endDatesCF=BO$5)))-SUM(_xlfn._xlws.FILTER(_xlfn._xlws.FILTER(dataGLBSCF,dataGLBSAcctIDs=$C26),(startDatesCF=EDATE(BO$4,-1)))))*INDEX(PBC_ACCOUNT_LIST[Sign_for_total_cashflow],MATCH($C26,PBC_ACCOUNT_LIST[Id],0))</f>
        <v>-1939.1666666666861</v>
      </c>
      <c r="BP26" s="547" cm="1">
        <f t="array" ref="BP26">(SUM(_xlfn._xlws.FILTER(_xlfn._xlws.FILTER(dataGLBSCF,dataGLBSAcctIDs=$C26),(endDatesCF=BP$5)))-SUM(_xlfn._xlws.FILTER(_xlfn._xlws.FILTER(dataGLBSCF,dataGLBSAcctIDs=$C26),(startDatesCF=EDATE(BP$4,-1)))))*INDEX(PBC_ACCOUNT_LIST[Sign_for_total_cashflow],MATCH($C26,PBC_ACCOUNT_LIST[Id],0))</f>
        <v>-1939.1666666666861</v>
      </c>
      <c r="BQ26" s="547" cm="1">
        <f t="array" ref="BQ26">(SUM(_xlfn._xlws.FILTER(_xlfn._xlws.FILTER(dataGLBSCF,dataGLBSAcctIDs=$C26),(endDatesCF=BQ$5)))-SUM(_xlfn._xlws.FILTER(_xlfn._xlws.FILTER(dataGLBSCF,dataGLBSAcctIDs=$C26),(startDatesCF=EDATE(BQ$4,-1)))))*INDEX(PBC_ACCOUNT_LIST[Sign_for_total_cashflow],MATCH($C26,PBC_ACCOUNT_LIST[Id],0))</f>
        <v>-1939.1666666666861</v>
      </c>
      <c r="BR26" s="547" cm="1">
        <f t="array" ref="BR26">(SUM(_xlfn._xlws.FILTER(_xlfn._xlws.FILTER(dataGLBSCF,dataGLBSAcctIDs=$C26),(endDatesCF=BR$5)))-SUM(_xlfn._xlws.FILTER(_xlfn._xlws.FILTER(dataGLBSCF,dataGLBSAcctIDs=$C26),(startDatesCF=EDATE(BR$4,-1)))))*INDEX(PBC_ACCOUNT_LIST[Sign_for_total_cashflow],MATCH($C26,PBC_ACCOUNT_LIST[Id],0))</f>
        <v>-1939.1666666666715</v>
      </c>
      <c r="BS26" s="547" cm="1">
        <f t="array" ref="BS26">(SUM(_xlfn._xlws.FILTER(_xlfn._xlws.FILTER(dataGLBSCF,dataGLBSAcctIDs=$C26),(endDatesCF=BS$5)))-SUM(_xlfn._xlws.FILTER(_xlfn._xlws.FILTER(dataGLBSCF,dataGLBSAcctIDs=$C26),(startDatesCF=EDATE(BS$4,-1)))))*INDEX(PBC_ACCOUNT_LIST[Sign_for_total_cashflow],MATCH($C26,PBC_ACCOUNT_LIST[Id],0))</f>
        <v>-1939.1666666666861</v>
      </c>
      <c r="BT26" s="547" cm="1">
        <f t="array" ref="BT26">(SUM(_xlfn._xlws.FILTER(_xlfn._xlws.FILTER(dataGLBSCF,dataGLBSAcctIDs=$C26),(endDatesCF=BT$5)))-SUM(_xlfn._xlws.FILTER(_xlfn._xlws.FILTER(dataGLBSCF,dataGLBSAcctIDs=$C26),(startDatesCF=EDATE(BT$4,-1)))))*INDEX(PBC_ACCOUNT_LIST[Sign_for_total_cashflow],MATCH($C26,PBC_ACCOUNT_LIST[Id],0))</f>
        <v>-1939.1666666666861</v>
      </c>
      <c r="BU26" s="547" cm="1">
        <f t="array" ref="BU26">(SUM(_xlfn._xlws.FILTER(_xlfn._xlws.FILTER(dataGLBSCF,dataGLBSAcctIDs=$C26),(endDatesCF=BU$5)))-SUM(_xlfn._xlws.FILTER(_xlfn._xlws.FILTER(dataGLBSCF,dataGLBSAcctIDs=$C26),(startDatesCF=EDATE(BU$4,-1)))))*INDEX(PBC_ACCOUNT_LIST[Sign_for_total_cashflow],MATCH($C26,PBC_ACCOUNT_LIST[Id],0))</f>
        <v>-1939.1666666666861</v>
      </c>
      <c r="BV26" s="547" cm="1">
        <f t="array" ref="BV26">(SUM(_xlfn._xlws.FILTER(_xlfn._xlws.FILTER(dataGLBSCF,dataGLBSAcctIDs=$C26),(endDatesCF=BV$5)))-SUM(_xlfn._xlws.FILTER(_xlfn._xlws.FILTER(dataGLBSCF,dataGLBSAcctIDs=$C26),(startDatesCF=EDATE(BV$4,-1)))))*INDEX(PBC_ACCOUNT_LIST[Sign_for_total_cashflow],MATCH($C26,PBC_ACCOUNT_LIST[Id],0))</f>
        <v>-1939.1666666666861</v>
      </c>
      <c r="BW26" s="547" cm="1">
        <f t="array" ref="BW26">(SUM(_xlfn._xlws.FILTER(_xlfn._xlws.FILTER(dataGLBSCF,dataGLBSAcctIDs=$C26),(endDatesCF=BW$5)))-SUM(_xlfn._xlws.FILTER(_xlfn._xlws.FILTER(dataGLBSCF,dataGLBSAcctIDs=$C26),(startDatesCF=EDATE(BW$4,-1)))))*INDEX(PBC_ACCOUNT_LIST[Sign_for_total_cashflow],MATCH($C26,PBC_ACCOUNT_LIST[Id],0))</f>
        <v>-1939.1666666666861</v>
      </c>
      <c r="BX26" s="547" cm="1">
        <f t="array" ref="BX26">(SUM(_xlfn._xlws.FILTER(_xlfn._xlws.FILTER(dataGLBSCF,dataGLBSAcctIDs=$C26),(endDatesCF=BX$5)))-SUM(_xlfn._xlws.FILTER(_xlfn._xlws.FILTER(dataGLBSCF,dataGLBSAcctIDs=$C26),(startDatesCF=EDATE(BX$4,-1)))))*INDEX(PBC_ACCOUNT_LIST[Sign_for_total_cashflow],MATCH($C26,PBC_ACCOUNT_LIST[Id],0))</f>
        <v>-1.4551915228366852E-11</v>
      </c>
    </row>
    <row r="27" spans="1:92" customFormat="1" ht="21" customHeight="1">
      <c r="B27" s="685" t="s">
        <v>309</v>
      </c>
      <c r="C27">
        <v>159</v>
      </c>
      <c r="E27" s="547" cm="1">
        <f t="array" ref="E27">(SUM(_xlfn._xlws.FILTER(_xlfn._xlws.FILTER(dataGLBSCF,dataGLBSAcctIDs=$C27),(endDatesCF=E$5)))-SUM(_xlfn._xlws.FILTER(_xlfn._xlws.FILTER(dataGLBSCF,dataGLBSAcctIDs=$C27),(startDatesCF=EDATE(E$4,-1)))))*INDEX(PBC_ACCOUNT_LIST[Sign_for_total_cashflow],MATCH($C27,PBC_ACCOUNT_LIST[Id],0))</f>
        <v>1260.5</v>
      </c>
      <c r="F27" s="547" cm="1">
        <f t="array" ref="F27">(SUM(_xlfn._xlws.FILTER(_xlfn._xlws.FILTER(dataGLBSCF,dataGLBSAcctIDs=$C27),(endDatesCF=F$5)))-SUM(_xlfn._xlws.FILTER(_xlfn._xlws.FILTER(dataGLBSCF,dataGLBSAcctIDs=$C27),(startDatesCF=EDATE(F$4,-1)))))*INDEX(PBC_ACCOUNT_LIST[Sign_for_total_cashflow],MATCH($C27,PBC_ACCOUNT_LIST[Id],0))</f>
        <v>0</v>
      </c>
      <c r="G27" s="547" cm="1">
        <f t="array" ref="G27">(SUM(_xlfn._xlws.FILTER(_xlfn._xlws.FILTER(dataGLBSCF,dataGLBSAcctIDs=$C27),(endDatesCF=G$5)))-SUM(_xlfn._xlws.FILTER(_xlfn._xlws.FILTER(dataGLBSCF,dataGLBSAcctIDs=$C27),(startDatesCF=EDATE(G$4,-1)))))*INDEX(PBC_ACCOUNT_LIST[Sign_for_total_cashflow],MATCH($C27,PBC_ACCOUNT_LIST[Id],0))</f>
        <v>0</v>
      </c>
      <c r="H27" s="547" cm="1">
        <f t="array" ref="H27">(SUM(_xlfn._xlws.FILTER(_xlfn._xlws.FILTER(dataGLBSCF,dataGLBSAcctIDs=$C27),(endDatesCF=H$5)))-SUM(_xlfn._xlws.FILTER(_xlfn._xlws.FILTER(dataGLBSCF,dataGLBSAcctIDs=$C27),(startDatesCF=EDATE(H$4,-1)))))*INDEX(PBC_ACCOUNT_LIST[Sign_for_total_cashflow],MATCH($C27,PBC_ACCOUNT_LIST[Id],0))</f>
        <v>0</v>
      </c>
      <c r="K27" s="547" cm="1">
        <f t="array" ref="K27">(SUM(_xlfn._xlws.FILTER(_xlfn._xlws.FILTER(dataGLBSCF,dataGLBSAcctIDs=$C27),(endDatesCF=K$5)))-SUM(_xlfn._xlws.FILTER(_xlfn._xlws.FILTER(dataGLBSCF,dataGLBSAcctIDs=$C27),(startDatesCF=EDATE(K$4,-1)))))*INDEX(PBC_ACCOUNT_LIST[Sign_for_total_cashflow],MATCH($C27,PBC_ACCOUNT_LIST[Id],0))</f>
        <v>1636</v>
      </c>
      <c r="L27" s="547" cm="1">
        <f t="array" ref="L27">(SUM(_xlfn._xlws.FILTER(_xlfn._xlws.FILTER(dataGLBSCF,dataGLBSAcctIDs=$C27),(endDatesCF=L$5)))-SUM(_xlfn._xlws.FILTER(_xlfn._xlws.FILTER(dataGLBSCF,dataGLBSAcctIDs=$C27),(startDatesCF=EDATE(L$4,-1)))))*INDEX(PBC_ACCOUNT_LIST[Sign_for_total_cashflow],MATCH($C27,PBC_ACCOUNT_LIST[Id],0))</f>
        <v>-463</v>
      </c>
      <c r="M27" s="547" cm="1">
        <f t="array" ref="M27">(SUM(_xlfn._xlws.FILTER(_xlfn._xlws.FILTER(dataGLBSCF,dataGLBSAcctIDs=$C27),(endDatesCF=M$5)))-SUM(_xlfn._xlws.FILTER(_xlfn._xlws.FILTER(dataGLBSCF,dataGLBSAcctIDs=$C27),(startDatesCF=EDATE(M$4,-1)))))*INDEX(PBC_ACCOUNT_LIST[Sign_for_total_cashflow],MATCH($C27,PBC_ACCOUNT_LIST[Id],0))</f>
        <v>2197.5</v>
      </c>
      <c r="N27" s="547" cm="1">
        <f t="array" ref="N27">(SUM(_xlfn._xlws.FILTER(_xlfn._xlws.FILTER(dataGLBSCF,dataGLBSAcctIDs=$C27),(endDatesCF=N$5)))-SUM(_xlfn._xlws.FILTER(_xlfn._xlws.FILTER(dataGLBSCF,dataGLBSAcctIDs=$C27),(startDatesCF=EDATE(N$4,-1)))))*INDEX(PBC_ACCOUNT_LIST[Sign_for_total_cashflow],MATCH($C27,PBC_ACCOUNT_LIST[Id],0))</f>
        <v>-2110</v>
      </c>
      <c r="O27" s="547" cm="1">
        <f t="array" ref="O27">(SUM(_xlfn._xlws.FILTER(_xlfn._xlws.FILTER(dataGLBSCF,dataGLBSAcctIDs=$C27),(endDatesCF=O$5)))-SUM(_xlfn._xlws.FILTER(_xlfn._xlws.FILTER(dataGLBSCF,dataGLBSAcctIDs=$C27),(startDatesCF=EDATE(O$4,-1)))))*INDEX(PBC_ACCOUNT_LIST[Sign_for_total_cashflow],MATCH($C27,PBC_ACCOUNT_LIST[Id],0))</f>
        <v>0</v>
      </c>
      <c r="P27" s="547" cm="1">
        <f t="array" ref="P27">(SUM(_xlfn._xlws.FILTER(_xlfn._xlws.FILTER(dataGLBSCF,dataGLBSAcctIDs=$C27),(endDatesCF=P$5)))-SUM(_xlfn._xlws.FILTER(_xlfn._xlws.FILTER(dataGLBSCF,dataGLBSAcctIDs=$C27),(startDatesCF=EDATE(P$4,-1)))))*INDEX(PBC_ACCOUNT_LIST[Sign_for_total_cashflow],MATCH($C27,PBC_ACCOUNT_LIST[Id],0))</f>
        <v>0</v>
      </c>
      <c r="Q27" s="547" cm="1">
        <f t="array" ref="Q27">(SUM(_xlfn._xlws.FILTER(_xlfn._xlws.FILTER(dataGLBSCF,dataGLBSAcctIDs=$C27),(endDatesCF=Q$5)))-SUM(_xlfn._xlws.FILTER(_xlfn._xlws.FILTER(dataGLBSCF,dataGLBSAcctIDs=$C27),(startDatesCF=EDATE(Q$4,-1)))))*INDEX(PBC_ACCOUNT_LIST[Sign_for_total_cashflow],MATCH($C27,PBC_ACCOUNT_LIST[Id],0))</f>
        <v>0</v>
      </c>
      <c r="R27" s="547" cm="1">
        <f t="array" ref="R27">(SUM(_xlfn._xlws.FILTER(_xlfn._xlws.FILTER(dataGLBSCF,dataGLBSAcctIDs=$C27),(endDatesCF=R$5)))-SUM(_xlfn._xlws.FILTER(_xlfn._xlws.FILTER(dataGLBSCF,dataGLBSAcctIDs=$C27),(startDatesCF=EDATE(R$4,-1)))))*INDEX(PBC_ACCOUNT_LIST[Sign_for_total_cashflow],MATCH($C27,PBC_ACCOUNT_LIST[Id],0))</f>
        <v>0</v>
      </c>
      <c r="S27" s="547" cm="1">
        <f t="array" ref="S27">(SUM(_xlfn._xlws.FILTER(_xlfn._xlws.FILTER(dataGLBSCF,dataGLBSAcctIDs=$C27),(endDatesCF=S$5)))-SUM(_xlfn._xlws.FILTER(_xlfn._xlws.FILTER(dataGLBSCF,dataGLBSAcctIDs=$C27),(startDatesCF=EDATE(S$4,-1)))))*INDEX(PBC_ACCOUNT_LIST[Sign_for_total_cashflow],MATCH($C27,PBC_ACCOUNT_LIST[Id],0))</f>
        <v>0</v>
      </c>
      <c r="T27" s="547" cm="1">
        <f t="array" ref="T27">(SUM(_xlfn._xlws.FILTER(_xlfn._xlws.FILTER(dataGLBSCF,dataGLBSAcctIDs=$C27),(endDatesCF=T$5)))-SUM(_xlfn._xlws.FILTER(_xlfn._xlws.FILTER(dataGLBSCF,dataGLBSAcctIDs=$C27),(startDatesCF=EDATE(T$4,-1)))))*INDEX(PBC_ACCOUNT_LIST[Sign_for_total_cashflow],MATCH($C27,PBC_ACCOUNT_LIST[Id],0))</f>
        <v>0</v>
      </c>
      <c r="U27" s="547" cm="1">
        <f t="array" ref="U27">(SUM(_xlfn._xlws.FILTER(_xlfn._xlws.FILTER(dataGLBSCF,dataGLBSAcctIDs=$C27),(endDatesCF=U$5)))-SUM(_xlfn._xlws.FILTER(_xlfn._xlws.FILTER(dataGLBSCF,dataGLBSAcctIDs=$C27),(startDatesCF=EDATE(U$4,-1)))))*INDEX(PBC_ACCOUNT_LIST[Sign_for_total_cashflow],MATCH($C27,PBC_ACCOUNT_LIST[Id],0))</f>
        <v>0</v>
      </c>
      <c r="V27" s="547" cm="1">
        <f t="array" ref="V27">(SUM(_xlfn._xlws.FILTER(_xlfn._xlws.FILTER(dataGLBSCF,dataGLBSAcctIDs=$C27),(endDatesCF=V$5)))-SUM(_xlfn._xlws.FILTER(_xlfn._xlws.FILTER(dataGLBSCF,dataGLBSAcctIDs=$C27),(startDatesCF=EDATE(V$4,-1)))))*INDEX(PBC_ACCOUNT_LIST[Sign_for_total_cashflow],MATCH($C27,PBC_ACCOUNT_LIST[Id],0))</f>
        <v>0</v>
      </c>
      <c r="W27" s="547" cm="1">
        <f t="array" ref="W27">(SUM(_xlfn._xlws.FILTER(_xlfn._xlws.FILTER(dataGLBSCF,dataGLBSAcctIDs=$C27),(endDatesCF=W$5)))-SUM(_xlfn._xlws.FILTER(_xlfn._xlws.FILTER(dataGLBSCF,dataGLBSAcctIDs=$C27),(startDatesCF=EDATE(W$4,-1)))))*INDEX(PBC_ACCOUNT_LIST[Sign_for_total_cashflow],MATCH($C27,PBC_ACCOUNT_LIST[Id],0))</f>
        <v>0</v>
      </c>
      <c r="X27" s="547" cm="1">
        <f t="array" ref="X27">(SUM(_xlfn._xlws.FILTER(_xlfn._xlws.FILTER(dataGLBSCF,dataGLBSAcctIDs=$C27),(endDatesCF=X$5)))-SUM(_xlfn._xlws.FILTER(_xlfn._xlws.FILTER(dataGLBSCF,dataGLBSAcctIDs=$C27),(startDatesCF=EDATE(X$4,-1)))))*INDEX(PBC_ACCOUNT_LIST[Sign_for_total_cashflow],MATCH($C27,PBC_ACCOUNT_LIST[Id],0))</f>
        <v>0</v>
      </c>
      <c r="Y27" s="547" cm="1">
        <f t="array" ref="Y27">(SUM(_xlfn._xlws.FILTER(_xlfn._xlws.FILTER(dataGLBSCF,dataGLBSAcctIDs=$C27),(endDatesCF=Y$5)))-SUM(_xlfn._xlws.FILTER(_xlfn._xlws.FILTER(dataGLBSCF,dataGLBSAcctIDs=$C27),(startDatesCF=EDATE(Y$4,-1)))))*INDEX(PBC_ACCOUNT_LIST[Sign_for_total_cashflow],MATCH($C27,PBC_ACCOUNT_LIST[Id],0))</f>
        <v>0</v>
      </c>
      <c r="Z27" s="547" cm="1">
        <f t="array" ref="Z27">(SUM(_xlfn._xlws.FILTER(_xlfn._xlws.FILTER(dataGLBSCF,dataGLBSAcctIDs=$C27),(endDatesCF=Z$5)))-SUM(_xlfn._xlws.FILTER(_xlfn._xlws.FILTER(dataGLBSCF,dataGLBSAcctIDs=$C27),(startDatesCF=EDATE(Z$4,-1)))))*INDEX(PBC_ACCOUNT_LIST[Sign_for_total_cashflow],MATCH($C27,PBC_ACCOUNT_LIST[Id],0))</f>
        <v>0</v>
      </c>
      <c r="AC27" s="547" cm="1">
        <f t="array" ref="AC27">(SUM(_xlfn._xlws.FILTER(_xlfn._xlws.FILTER(dataGLBSCF,dataGLBSAcctIDs=$C27),(endDatesCF=AC$5)))-SUM(_xlfn._xlws.FILTER(_xlfn._xlws.FILTER(dataGLBSCF,dataGLBSAcctIDs=$C27),(startDatesCF=EDATE(AC$4,-1)))))*INDEX(PBC_ACCOUNT_LIST[Sign_for_total_cashflow],MATCH($C27,PBC_ACCOUNT_LIST[Id],0))</f>
        <v>322</v>
      </c>
      <c r="AD27" s="547" cm="1">
        <f t="array" ref="AD27">(SUM(_xlfn._xlws.FILTER(_xlfn._xlws.FILTER(dataGLBSCF,dataGLBSAcctIDs=$C27),(endDatesCF=AD$5)))-SUM(_xlfn._xlws.FILTER(_xlfn._xlws.FILTER(dataGLBSCF,dataGLBSAcctIDs=$C27),(startDatesCF=EDATE(AD$4,-1)))))*INDEX(PBC_ACCOUNT_LIST[Sign_for_total_cashflow],MATCH($C27,PBC_ACCOUNT_LIST[Id],0))</f>
        <v>622</v>
      </c>
      <c r="AE27" s="547" cm="1">
        <f t="array" ref="AE27">(SUM(_xlfn._xlws.FILTER(_xlfn._xlws.FILTER(dataGLBSCF,dataGLBSAcctIDs=$C27),(endDatesCF=AE$5)))-SUM(_xlfn._xlws.FILTER(_xlfn._xlws.FILTER(dataGLBSCF,dataGLBSAcctIDs=$C27),(startDatesCF=EDATE(AE$4,-1)))))*INDEX(PBC_ACCOUNT_LIST[Sign_for_total_cashflow],MATCH($C27,PBC_ACCOUNT_LIST[Id],0))</f>
        <v>692</v>
      </c>
      <c r="AF27" s="547" cm="1">
        <f t="array" ref="AF27">(SUM(_xlfn._xlws.FILTER(_xlfn._xlws.FILTER(dataGLBSCF,dataGLBSAcctIDs=$C27),(endDatesCF=AF$5)))-SUM(_xlfn._xlws.FILTER(_xlfn._xlws.FILTER(dataGLBSCF,dataGLBSAcctIDs=$C27),(startDatesCF=EDATE(AF$4,-1)))))*INDEX(PBC_ACCOUNT_LIST[Sign_for_total_cashflow],MATCH($C27,PBC_ACCOUNT_LIST[Id],0))</f>
        <v>681</v>
      </c>
      <c r="AG27" s="547" cm="1">
        <f t="array" ref="AG27">(SUM(_xlfn._xlws.FILTER(_xlfn._xlws.FILTER(dataGLBSCF,dataGLBSAcctIDs=$C27),(endDatesCF=AG$5)))-SUM(_xlfn._xlws.FILTER(_xlfn._xlws.FILTER(dataGLBSCF,dataGLBSAcctIDs=$C27),(startDatesCF=EDATE(AG$4,-1)))))*INDEX(PBC_ACCOUNT_LIST[Sign_for_total_cashflow],MATCH($C27,PBC_ACCOUNT_LIST[Id],0))</f>
        <v>-1134</v>
      </c>
      <c r="AH27" s="547" cm="1">
        <f t="array" ref="AH27">(SUM(_xlfn._xlws.FILTER(_xlfn._xlws.FILTER(dataGLBSCF,dataGLBSAcctIDs=$C27),(endDatesCF=AH$5)))-SUM(_xlfn._xlws.FILTER(_xlfn._xlws.FILTER(dataGLBSCF,dataGLBSAcctIDs=$C27),(startDatesCF=EDATE(AH$4,-1)))))*INDEX(PBC_ACCOUNT_LIST[Sign_for_total_cashflow],MATCH($C27,PBC_ACCOUNT_LIST[Id],0))</f>
        <v>-10</v>
      </c>
      <c r="AI27" s="547" cm="1">
        <f t="array" ref="AI27">(SUM(_xlfn._xlws.FILTER(_xlfn._xlws.FILTER(dataGLBSCF,dataGLBSAcctIDs=$C27),(endDatesCF=AI$5)))-SUM(_xlfn._xlws.FILTER(_xlfn._xlws.FILTER(dataGLBSCF,dataGLBSAcctIDs=$C27),(startDatesCF=EDATE(AI$4,-1)))))*INDEX(PBC_ACCOUNT_LIST[Sign_for_total_cashflow],MATCH($C27,PBC_ACCOUNT_LIST[Id],0))</f>
        <v>1632</v>
      </c>
      <c r="AJ27" s="547" cm="1">
        <f t="array" ref="AJ27">(SUM(_xlfn._xlws.FILTER(_xlfn._xlws.FILTER(dataGLBSCF,dataGLBSAcctIDs=$C27),(endDatesCF=AJ$5)))-SUM(_xlfn._xlws.FILTER(_xlfn._xlws.FILTER(dataGLBSCF,dataGLBSAcctIDs=$C27),(startDatesCF=EDATE(AJ$4,-1)))))*INDEX(PBC_ACCOUNT_LIST[Sign_for_total_cashflow],MATCH($C27,PBC_ACCOUNT_LIST[Id],0))</f>
        <v>-2689.5</v>
      </c>
      <c r="AK27" s="547" cm="1">
        <f t="array" ref="AK27">(SUM(_xlfn._xlws.FILTER(_xlfn._xlws.FILTER(dataGLBSCF,dataGLBSAcctIDs=$C27),(endDatesCF=AK$5)))-SUM(_xlfn._xlws.FILTER(_xlfn._xlws.FILTER(dataGLBSCF,dataGLBSAcctIDs=$C27),(startDatesCF=EDATE(AK$4,-1)))))*INDEX(PBC_ACCOUNT_LIST[Sign_for_total_cashflow],MATCH($C27,PBC_ACCOUNT_LIST[Id],0))</f>
        <v>3255</v>
      </c>
      <c r="AL27" s="547" cm="1">
        <f t="array" ref="AL27">(SUM(_xlfn._xlws.FILTER(_xlfn._xlws.FILTER(dataGLBSCF,dataGLBSAcctIDs=$C27),(endDatesCF=AL$5)))-SUM(_xlfn._xlws.FILTER(_xlfn._xlws.FILTER(dataGLBSCF,dataGLBSAcctIDs=$C27),(startDatesCF=EDATE(AL$4,-1)))))*INDEX(PBC_ACCOUNT_LIST[Sign_for_total_cashflow],MATCH($C27,PBC_ACCOUNT_LIST[Id],0))</f>
        <v>-2110</v>
      </c>
      <c r="AM27" s="547" cm="1">
        <f t="array" ref="AM27">(SUM(_xlfn._xlws.FILTER(_xlfn._xlws.FILTER(dataGLBSCF,dataGLBSAcctIDs=$C27),(endDatesCF=AM$5)))-SUM(_xlfn._xlws.FILTER(_xlfn._xlws.FILTER(dataGLBSCF,dataGLBSAcctIDs=$C27),(startDatesCF=EDATE(AM$4,-1)))))*INDEX(PBC_ACCOUNT_LIST[Sign_for_total_cashflow],MATCH($C27,PBC_ACCOUNT_LIST[Id],0))</f>
        <v>0</v>
      </c>
      <c r="AN27" s="547" cm="1">
        <f t="array" ref="AN27">(SUM(_xlfn._xlws.FILTER(_xlfn._xlws.FILTER(dataGLBSCF,dataGLBSAcctIDs=$C27),(endDatesCF=AN$5)))-SUM(_xlfn._xlws.FILTER(_xlfn._xlws.FILTER(dataGLBSCF,dataGLBSAcctIDs=$C27),(startDatesCF=EDATE(AN$4,-1)))))*INDEX(PBC_ACCOUNT_LIST[Sign_for_total_cashflow],MATCH($C27,PBC_ACCOUNT_LIST[Id],0))</f>
        <v>0</v>
      </c>
      <c r="AO27" s="547" cm="1">
        <f t="array" ref="AO27">(SUM(_xlfn._xlws.FILTER(_xlfn._xlws.FILTER(dataGLBSCF,dataGLBSAcctIDs=$C27),(endDatesCF=AO$5)))-SUM(_xlfn._xlws.FILTER(_xlfn._xlws.FILTER(dataGLBSCF,dataGLBSAcctIDs=$C27),(startDatesCF=EDATE(AO$4,-1)))))*INDEX(PBC_ACCOUNT_LIST[Sign_for_total_cashflow],MATCH($C27,PBC_ACCOUNT_LIST[Id],0))</f>
        <v>0</v>
      </c>
      <c r="AP27" s="547" cm="1">
        <f t="array" ref="AP27">(SUM(_xlfn._xlws.FILTER(_xlfn._xlws.FILTER(dataGLBSCF,dataGLBSAcctIDs=$C27),(endDatesCF=AP$5)))-SUM(_xlfn._xlws.FILTER(_xlfn._xlws.FILTER(dataGLBSCF,dataGLBSAcctIDs=$C27),(startDatesCF=EDATE(AP$4,-1)))))*INDEX(PBC_ACCOUNT_LIST[Sign_for_total_cashflow],MATCH($C27,PBC_ACCOUNT_LIST[Id],0))</f>
        <v>0</v>
      </c>
      <c r="AQ27" s="547" cm="1">
        <f t="array" ref="AQ27">(SUM(_xlfn._xlws.FILTER(_xlfn._xlws.FILTER(dataGLBSCF,dataGLBSAcctIDs=$C27),(endDatesCF=AQ$5)))-SUM(_xlfn._xlws.FILTER(_xlfn._xlws.FILTER(dataGLBSCF,dataGLBSAcctIDs=$C27),(startDatesCF=EDATE(AQ$4,-1)))))*INDEX(PBC_ACCOUNT_LIST[Sign_for_total_cashflow],MATCH($C27,PBC_ACCOUNT_LIST[Id],0))</f>
        <v>0</v>
      </c>
      <c r="AR27" s="547" cm="1">
        <f t="array" ref="AR27">(SUM(_xlfn._xlws.FILTER(_xlfn._xlws.FILTER(dataGLBSCF,dataGLBSAcctIDs=$C27),(endDatesCF=AR$5)))-SUM(_xlfn._xlws.FILTER(_xlfn._xlws.FILTER(dataGLBSCF,dataGLBSAcctIDs=$C27),(startDatesCF=EDATE(AR$4,-1)))))*INDEX(PBC_ACCOUNT_LIST[Sign_for_total_cashflow],MATCH($C27,PBC_ACCOUNT_LIST[Id],0))</f>
        <v>0</v>
      </c>
      <c r="AS27" s="547" cm="1">
        <f t="array" ref="AS27">(SUM(_xlfn._xlws.FILTER(_xlfn._xlws.FILTER(dataGLBSCF,dataGLBSAcctIDs=$C27),(endDatesCF=AS$5)))-SUM(_xlfn._xlws.FILTER(_xlfn._xlws.FILTER(dataGLBSCF,dataGLBSAcctIDs=$C27),(startDatesCF=EDATE(AS$4,-1)))))*INDEX(PBC_ACCOUNT_LIST[Sign_for_total_cashflow],MATCH($C27,PBC_ACCOUNT_LIST[Id],0))</f>
        <v>0</v>
      </c>
      <c r="AT27" s="547" cm="1">
        <f t="array" ref="AT27">(SUM(_xlfn._xlws.FILTER(_xlfn._xlws.FILTER(dataGLBSCF,dataGLBSAcctIDs=$C27),(endDatesCF=AT$5)))-SUM(_xlfn._xlws.FILTER(_xlfn._xlws.FILTER(dataGLBSCF,dataGLBSAcctIDs=$C27),(startDatesCF=EDATE(AT$4,-1)))))*INDEX(PBC_ACCOUNT_LIST[Sign_for_total_cashflow],MATCH($C27,PBC_ACCOUNT_LIST[Id],0))</f>
        <v>0</v>
      </c>
      <c r="AU27" s="547" cm="1">
        <f t="array" ref="AU27">(SUM(_xlfn._xlws.FILTER(_xlfn._xlws.FILTER(dataGLBSCF,dataGLBSAcctIDs=$C27),(endDatesCF=AU$5)))-SUM(_xlfn._xlws.FILTER(_xlfn._xlws.FILTER(dataGLBSCF,dataGLBSAcctIDs=$C27),(startDatesCF=EDATE(AU$4,-1)))))*INDEX(PBC_ACCOUNT_LIST[Sign_for_total_cashflow],MATCH($C27,PBC_ACCOUNT_LIST[Id],0))</f>
        <v>0</v>
      </c>
      <c r="AV27" s="547" cm="1">
        <f t="array" ref="AV27">(SUM(_xlfn._xlws.FILTER(_xlfn._xlws.FILTER(dataGLBSCF,dataGLBSAcctIDs=$C27),(endDatesCF=AV$5)))-SUM(_xlfn._xlws.FILTER(_xlfn._xlws.FILTER(dataGLBSCF,dataGLBSAcctIDs=$C27),(startDatesCF=EDATE(AV$4,-1)))))*INDEX(PBC_ACCOUNT_LIST[Sign_for_total_cashflow],MATCH($C27,PBC_ACCOUNT_LIST[Id],0))</f>
        <v>0</v>
      </c>
      <c r="AW27" s="547" cm="1">
        <f t="array" ref="AW27">(SUM(_xlfn._xlws.FILTER(_xlfn._xlws.FILTER(dataGLBSCF,dataGLBSAcctIDs=$C27),(endDatesCF=AW$5)))-SUM(_xlfn._xlws.FILTER(_xlfn._xlws.FILTER(dataGLBSCF,dataGLBSAcctIDs=$C27),(startDatesCF=EDATE(AW$4,-1)))))*INDEX(PBC_ACCOUNT_LIST[Sign_for_total_cashflow],MATCH($C27,PBC_ACCOUNT_LIST[Id],0))</f>
        <v>0</v>
      </c>
      <c r="AX27" s="547" cm="1">
        <f t="array" ref="AX27">(SUM(_xlfn._xlws.FILTER(_xlfn._xlws.FILTER(dataGLBSCF,dataGLBSAcctIDs=$C27),(endDatesCF=AX$5)))-SUM(_xlfn._xlws.FILTER(_xlfn._xlws.FILTER(dataGLBSCF,dataGLBSAcctIDs=$C27),(startDatesCF=EDATE(AX$4,-1)))))*INDEX(PBC_ACCOUNT_LIST[Sign_for_total_cashflow],MATCH($C27,PBC_ACCOUNT_LIST[Id],0))</f>
        <v>0</v>
      </c>
      <c r="AY27" s="547" cm="1">
        <f t="array" ref="AY27">(SUM(_xlfn._xlws.FILTER(_xlfn._xlws.FILTER(dataGLBSCF,dataGLBSAcctIDs=$C27),(endDatesCF=AY$5)))-SUM(_xlfn._xlws.FILTER(_xlfn._xlws.FILTER(dataGLBSCF,dataGLBSAcctIDs=$C27),(startDatesCF=EDATE(AY$4,-1)))))*INDEX(PBC_ACCOUNT_LIST[Sign_for_total_cashflow],MATCH($C27,PBC_ACCOUNT_LIST[Id],0))</f>
        <v>0</v>
      </c>
      <c r="AZ27" s="547" cm="1">
        <f t="array" ref="AZ27">(SUM(_xlfn._xlws.FILTER(_xlfn._xlws.FILTER(dataGLBSCF,dataGLBSAcctIDs=$C27),(endDatesCF=AZ$5)))-SUM(_xlfn._xlws.FILTER(_xlfn._xlws.FILTER(dataGLBSCF,dataGLBSAcctIDs=$C27),(startDatesCF=EDATE(AZ$4,-1)))))*INDEX(PBC_ACCOUNT_LIST[Sign_for_total_cashflow],MATCH($C27,PBC_ACCOUNT_LIST[Id],0))</f>
        <v>0</v>
      </c>
      <c r="BA27" s="547" cm="1">
        <f t="array" ref="BA27">(SUM(_xlfn._xlws.FILTER(_xlfn._xlws.FILTER(dataGLBSCF,dataGLBSAcctIDs=$C27),(endDatesCF=BA$5)))-SUM(_xlfn._xlws.FILTER(_xlfn._xlws.FILTER(dataGLBSCF,dataGLBSAcctIDs=$C27),(startDatesCF=EDATE(BA$4,-1)))))*INDEX(PBC_ACCOUNT_LIST[Sign_for_total_cashflow],MATCH($C27,PBC_ACCOUNT_LIST[Id],0))</f>
        <v>0</v>
      </c>
      <c r="BB27" s="547" cm="1">
        <f t="array" ref="BB27">(SUM(_xlfn._xlws.FILTER(_xlfn._xlws.FILTER(dataGLBSCF,dataGLBSAcctIDs=$C27),(endDatesCF=BB$5)))-SUM(_xlfn._xlws.FILTER(_xlfn._xlws.FILTER(dataGLBSCF,dataGLBSAcctIDs=$C27),(startDatesCF=EDATE(BB$4,-1)))))*INDEX(PBC_ACCOUNT_LIST[Sign_for_total_cashflow],MATCH($C27,PBC_ACCOUNT_LIST[Id],0))</f>
        <v>0</v>
      </c>
      <c r="BC27" s="547" cm="1">
        <f t="array" ref="BC27">(SUM(_xlfn._xlws.FILTER(_xlfn._xlws.FILTER(dataGLBSCF,dataGLBSAcctIDs=$C27),(endDatesCF=BC$5)))-SUM(_xlfn._xlws.FILTER(_xlfn._xlws.FILTER(dataGLBSCF,dataGLBSAcctIDs=$C27),(startDatesCF=EDATE(BC$4,-1)))))*INDEX(PBC_ACCOUNT_LIST[Sign_for_total_cashflow],MATCH($C27,PBC_ACCOUNT_LIST[Id],0))</f>
        <v>0</v>
      </c>
      <c r="BD27" s="547" cm="1">
        <f t="array" ref="BD27">(SUM(_xlfn._xlws.FILTER(_xlfn._xlws.FILTER(dataGLBSCF,dataGLBSAcctIDs=$C27),(endDatesCF=BD$5)))-SUM(_xlfn._xlws.FILTER(_xlfn._xlws.FILTER(dataGLBSCF,dataGLBSAcctIDs=$C27),(startDatesCF=EDATE(BD$4,-1)))))*INDEX(PBC_ACCOUNT_LIST[Sign_for_total_cashflow],MATCH($C27,PBC_ACCOUNT_LIST[Id],0))</f>
        <v>0</v>
      </c>
      <c r="BE27" s="547" cm="1">
        <f t="array" ref="BE27">(SUM(_xlfn._xlws.FILTER(_xlfn._xlws.FILTER(dataGLBSCF,dataGLBSAcctIDs=$C27),(endDatesCF=BE$5)))-SUM(_xlfn._xlws.FILTER(_xlfn._xlws.FILTER(dataGLBSCF,dataGLBSAcctIDs=$C27),(startDatesCF=EDATE(BE$4,-1)))))*INDEX(PBC_ACCOUNT_LIST[Sign_for_total_cashflow],MATCH($C27,PBC_ACCOUNT_LIST[Id],0))</f>
        <v>0</v>
      </c>
      <c r="BF27" s="547" cm="1">
        <f t="array" ref="BF27">(SUM(_xlfn._xlws.FILTER(_xlfn._xlws.FILTER(dataGLBSCF,dataGLBSAcctIDs=$C27),(endDatesCF=BF$5)))-SUM(_xlfn._xlws.FILTER(_xlfn._xlws.FILTER(dataGLBSCF,dataGLBSAcctIDs=$C27),(startDatesCF=EDATE(BF$4,-1)))))*INDEX(PBC_ACCOUNT_LIST[Sign_for_total_cashflow],MATCH($C27,PBC_ACCOUNT_LIST[Id],0))</f>
        <v>0</v>
      </c>
      <c r="BG27" s="547" cm="1">
        <f t="array" ref="BG27">(SUM(_xlfn._xlws.FILTER(_xlfn._xlws.FILTER(dataGLBSCF,dataGLBSAcctIDs=$C27),(endDatesCF=BG$5)))-SUM(_xlfn._xlws.FILTER(_xlfn._xlws.FILTER(dataGLBSCF,dataGLBSAcctIDs=$C27),(startDatesCF=EDATE(BG$4,-1)))))*INDEX(PBC_ACCOUNT_LIST[Sign_for_total_cashflow],MATCH($C27,PBC_ACCOUNT_LIST[Id],0))</f>
        <v>0</v>
      </c>
      <c r="BH27" s="547" cm="1">
        <f t="array" ref="BH27">(SUM(_xlfn._xlws.FILTER(_xlfn._xlws.FILTER(dataGLBSCF,dataGLBSAcctIDs=$C27),(endDatesCF=BH$5)))-SUM(_xlfn._xlws.FILTER(_xlfn._xlws.FILTER(dataGLBSCF,dataGLBSAcctIDs=$C27),(startDatesCF=EDATE(BH$4,-1)))))*INDEX(PBC_ACCOUNT_LIST[Sign_for_total_cashflow],MATCH($C27,PBC_ACCOUNT_LIST[Id],0))</f>
        <v>0</v>
      </c>
      <c r="BI27" s="547" cm="1">
        <f t="array" ref="BI27">(SUM(_xlfn._xlws.FILTER(_xlfn._xlws.FILTER(dataGLBSCF,dataGLBSAcctIDs=$C27),(endDatesCF=BI$5)))-SUM(_xlfn._xlws.FILTER(_xlfn._xlws.FILTER(dataGLBSCF,dataGLBSAcctIDs=$C27),(startDatesCF=EDATE(BI$4,-1)))))*INDEX(PBC_ACCOUNT_LIST[Sign_for_total_cashflow],MATCH($C27,PBC_ACCOUNT_LIST[Id],0))</f>
        <v>0</v>
      </c>
      <c r="BJ27" s="547" cm="1">
        <f t="array" ref="BJ27">(SUM(_xlfn._xlws.FILTER(_xlfn._xlws.FILTER(dataGLBSCF,dataGLBSAcctIDs=$C27),(endDatesCF=BJ$5)))-SUM(_xlfn._xlws.FILTER(_xlfn._xlws.FILTER(dataGLBSCF,dataGLBSAcctIDs=$C27),(startDatesCF=EDATE(BJ$4,-1)))))*INDEX(PBC_ACCOUNT_LIST[Sign_for_total_cashflow],MATCH($C27,PBC_ACCOUNT_LIST[Id],0))</f>
        <v>0</v>
      </c>
      <c r="BK27" s="547" cm="1">
        <f t="array" ref="BK27">(SUM(_xlfn._xlws.FILTER(_xlfn._xlws.FILTER(dataGLBSCF,dataGLBSAcctIDs=$C27),(endDatesCF=BK$5)))-SUM(_xlfn._xlws.FILTER(_xlfn._xlws.FILTER(dataGLBSCF,dataGLBSAcctIDs=$C27),(startDatesCF=EDATE(BK$4,-1)))))*INDEX(PBC_ACCOUNT_LIST[Sign_for_total_cashflow],MATCH($C27,PBC_ACCOUNT_LIST[Id],0))</f>
        <v>0</v>
      </c>
      <c r="BL27" s="547" cm="1">
        <f t="array" ref="BL27">(SUM(_xlfn._xlws.FILTER(_xlfn._xlws.FILTER(dataGLBSCF,dataGLBSAcctIDs=$C27),(endDatesCF=BL$5)))-SUM(_xlfn._xlws.FILTER(_xlfn._xlws.FILTER(dataGLBSCF,dataGLBSAcctIDs=$C27),(startDatesCF=EDATE(BL$4,-1)))))*INDEX(PBC_ACCOUNT_LIST[Sign_for_total_cashflow],MATCH($C27,PBC_ACCOUNT_LIST[Id],0))</f>
        <v>0</v>
      </c>
      <c r="BM27" s="547" cm="1">
        <f t="array" ref="BM27">(SUM(_xlfn._xlws.FILTER(_xlfn._xlws.FILTER(dataGLBSCF,dataGLBSAcctIDs=$C27),(endDatesCF=BM$5)))-SUM(_xlfn._xlws.FILTER(_xlfn._xlws.FILTER(dataGLBSCF,dataGLBSAcctIDs=$C27),(startDatesCF=EDATE(BM$4,-1)))))*INDEX(PBC_ACCOUNT_LIST[Sign_for_total_cashflow],MATCH($C27,PBC_ACCOUNT_LIST[Id],0))</f>
        <v>0</v>
      </c>
      <c r="BN27" s="547" cm="1">
        <f t="array" ref="BN27">(SUM(_xlfn._xlws.FILTER(_xlfn._xlws.FILTER(dataGLBSCF,dataGLBSAcctIDs=$C27),(endDatesCF=BN$5)))-SUM(_xlfn._xlws.FILTER(_xlfn._xlws.FILTER(dataGLBSCF,dataGLBSAcctIDs=$C27),(startDatesCF=EDATE(BN$4,-1)))))*INDEX(PBC_ACCOUNT_LIST[Sign_for_total_cashflow],MATCH($C27,PBC_ACCOUNT_LIST[Id],0))</f>
        <v>0</v>
      </c>
      <c r="BO27" s="547" cm="1">
        <f t="array" ref="BO27">(SUM(_xlfn._xlws.FILTER(_xlfn._xlws.FILTER(dataGLBSCF,dataGLBSAcctIDs=$C27),(endDatesCF=BO$5)))-SUM(_xlfn._xlws.FILTER(_xlfn._xlws.FILTER(dataGLBSCF,dataGLBSAcctIDs=$C27),(startDatesCF=EDATE(BO$4,-1)))))*INDEX(PBC_ACCOUNT_LIST[Sign_for_total_cashflow],MATCH($C27,PBC_ACCOUNT_LIST[Id],0))</f>
        <v>0</v>
      </c>
      <c r="BP27" s="547" cm="1">
        <f t="array" ref="BP27">(SUM(_xlfn._xlws.FILTER(_xlfn._xlws.FILTER(dataGLBSCF,dataGLBSAcctIDs=$C27),(endDatesCF=BP$5)))-SUM(_xlfn._xlws.FILTER(_xlfn._xlws.FILTER(dataGLBSCF,dataGLBSAcctIDs=$C27),(startDatesCF=EDATE(BP$4,-1)))))*INDEX(PBC_ACCOUNT_LIST[Sign_for_total_cashflow],MATCH($C27,PBC_ACCOUNT_LIST[Id],0))</f>
        <v>0</v>
      </c>
      <c r="BQ27" s="547" cm="1">
        <f t="array" ref="BQ27">(SUM(_xlfn._xlws.FILTER(_xlfn._xlws.FILTER(dataGLBSCF,dataGLBSAcctIDs=$C27),(endDatesCF=BQ$5)))-SUM(_xlfn._xlws.FILTER(_xlfn._xlws.FILTER(dataGLBSCF,dataGLBSAcctIDs=$C27),(startDatesCF=EDATE(BQ$4,-1)))))*INDEX(PBC_ACCOUNT_LIST[Sign_for_total_cashflow],MATCH($C27,PBC_ACCOUNT_LIST[Id],0))</f>
        <v>0</v>
      </c>
      <c r="BR27" s="547" cm="1">
        <f t="array" ref="BR27">(SUM(_xlfn._xlws.FILTER(_xlfn._xlws.FILTER(dataGLBSCF,dataGLBSAcctIDs=$C27),(endDatesCF=BR$5)))-SUM(_xlfn._xlws.FILTER(_xlfn._xlws.FILTER(dataGLBSCF,dataGLBSAcctIDs=$C27),(startDatesCF=EDATE(BR$4,-1)))))*INDEX(PBC_ACCOUNT_LIST[Sign_for_total_cashflow],MATCH($C27,PBC_ACCOUNT_LIST[Id],0))</f>
        <v>0</v>
      </c>
      <c r="BS27" s="547" cm="1">
        <f t="array" ref="BS27">(SUM(_xlfn._xlws.FILTER(_xlfn._xlws.FILTER(dataGLBSCF,dataGLBSAcctIDs=$C27),(endDatesCF=BS$5)))-SUM(_xlfn._xlws.FILTER(_xlfn._xlws.FILTER(dataGLBSCF,dataGLBSAcctIDs=$C27),(startDatesCF=EDATE(BS$4,-1)))))*INDEX(PBC_ACCOUNT_LIST[Sign_for_total_cashflow],MATCH($C27,PBC_ACCOUNT_LIST[Id],0))</f>
        <v>0</v>
      </c>
      <c r="BT27" s="547" cm="1">
        <f t="array" ref="BT27">(SUM(_xlfn._xlws.FILTER(_xlfn._xlws.FILTER(dataGLBSCF,dataGLBSAcctIDs=$C27),(endDatesCF=BT$5)))-SUM(_xlfn._xlws.FILTER(_xlfn._xlws.FILTER(dataGLBSCF,dataGLBSAcctIDs=$C27),(startDatesCF=EDATE(BT$4,-1)))))*INDEX(PBC_ACCOUNT_LIST[Sign_for_total_cashflow],MATCH($C27,PBC_ACCOUNT_LIST[Id],0))</f>
        <v>0</v>
      </c>
      <c r="BU27" s="547" cm="1">
        <f t="array" ref="BU27">(SUM(_xlfn._xlws.FILTER(_xlfn._xlws.FILTER(dataGLBSCF,dataGLBSAcctIDs=$C27),(endDatesCF=BU$5)))-SUM(_xlfn._xlws.FILTER(_xlfn._xlws.FILTER(dataGLBSCF,dataGLBSAcctIDs=$C27),(startDatesCF=EDATE(BU$4,-1)))))*INDEX(PBC_ACCOUNT_LIST[Sign_for_total_cashflow],MATCH($C27,PBC_ACCOUNT_LIST[Id],0))</f>
        <v>0</v>
      </c>
      <c r="BV27" s="547" cm="1">
        <f t="array" ref="BV27">(SUM(_xlfn._xlws.FILTER(_xlfn._xlws.FILTER(dataGLBSCF,dataGLBSAcctIDs=$C27),(endDatesCF=BV$5)))-SUM(_xlfn._xlws.FILTER(_xlfn._xlws.FILTER(dataGLBSCF,dataGLBSAcctIDs=$C27),(startDatesCF=EDATE(BV$4,-1)))))*INDEX(PBC_ACCOUNT_LIST[Sign_for_total_cashflow],MATCH($C27,PBC_ACCOUNT_LIST[Id],0))</f>
        <v>0</v>
      </c>
      <c r="BW27" s="547" cm="1">
        <f t="array" ref="BW27">(SUM(_xlfn._xlws.FILTER(_xlfn._xlws.FILTER(dataGLBSCF,dataGLBSAcctIDs=$C27),(endDatesCF=BW$5)))-SUM(_xlfn._xlws.FILTER(_xlfn._xlws.FILTER(dataGLBSCF,dataGLBSAcctIDs=$C27),(startDatesCF=EDATE(BW$4,-1)))))*INDEX(PBC_ACCOUNT_LIST[Sign_for_total_cashflow],MATCH($C27,PBC_ACCOUNT_LIST[Id],0))</f>
        <v>0</v>
      </c>
      <c r="BX27" s="547" cm="1">
        <f t="array" ref="BX27">(SUM(_xlfn._xlws.FILTER(_xlfn._xlws.FILTER(dataGLBSCF,dataGLBSAcctIDs=$C27),(endDatesCF=BX$5)))-SUM(_xlfn._xlws.FILTER(_xlfn._xlws.FILTER(dataGLBSCF,dataGLBSAcctIDs=$C27),(startDatesCF=EDATE(BX$4,-1)))))*INDEX(PBC_ACCOUNT_LIST[Sign_for_total_cashflow],MATCH($C27,PBC_ACCOUNT_LIST[Id],0))</f>
        <v>0</v>
      </c>
    </row>
    <row r="28" spans="1:92" customFormat="1" ht="21" customHeight="1">
      <c r="B28" s="685" t="s">
        <v>302</v>
      </c>
      <c r="C28">
        <v>7</v>
      </c>
      <c r="E28" s="547" cm="1">
        <f t="array" ref="E28">(SUM(_xlfn._xlws.FILTER(_xlfn._xlws.FILTER(dataGLBSCF,dataGLBSAcctIDs=$C28),(endDatesCF=E$5)))-SUM(_xlfn._xlws.FILTER(_xlfn._xlws.FILTER(dataGLBSCF,dataGLBSAcctIDs=$C28),(startDatesCF=EDATE(E$4,-1)))))*INDEX(PBC_ACCOUNT_LIST[Sign_for_total_cashflow],MATCH($C28,PBC_ACCOUNT_LIST[Id],0))</f>
        <v>0</v>
      </c>
      <c r="F28" s="547" cm="1">
        <f t="array" ref="F28">(SUM(_xlfn._xlws.FILTER(_xlfn._xlws.FILTER(dataGLBSCF,dataGLBSAcctIDs=$C28),(endDatesCF=F$5)))-SUM(_xlfn._xlws.FILTER(_xlfn._xlws.FILTER(dataGLBSCF,dataGLBSAcctIDs=$C28),(startDatesCF=EDATE(F$4,-1)))))*INDEX(PBC_ACCOUNT_LIST[Sign_for_total_cashflow],MATCH($C28,PBC_ACCOUNT_LIST[Id],0))</f>
        <v>0</v>
      </c>
      <c r="G28" s="547" cm="1">
        <f t="array" ref="G28">(SUM(_xlfn._xlws.FILTER(_xlfn._xlws.FILTER(dataGLBSCF,dataGLBSAcctIDs=$C28),(endDatesCF=G$5)))-SUM(_xlfn._xlws.FILTER(_xlfn._xlws.FILTER(dataGLBSCF,dataGLBSAcctIDs=$C28),(startDatesCF=EDATE(G$4,-1)))))*INDEX(PBC_ACCOUNT_LIST[Sign_for_total_cashflow],MATCH($C28,PBC_ACCOUNT_LIST[Id],0))</f>
        <v>2500</v>
      </c>
      <c r="H28" s="547" cm="1">
        <f t="array" ref="H28">(SUM(_xlfn._xlws.FILTER(_xlfn._xlws.FILTER(dataGLBSCF,dataGLBSAcctIDs=$C28),(endDatesCF=H$5)))-SUM(_xlfn._xlws.FILTER(_xlfn._xlws.FILTER(dataGLBSCF,dataGLBSAcctIDs=$C28),(startDatesCF=EDATE(H$4,-1)))))*INDEX(PBC_ACCOUNT_LIST[Sign_for_total_cashflow],MATCH($C28,PBC_ACCOUNT_LIST[Id],0))</f>
        <v>0</v>
      </c>
      <c r="K28" s="547" cm="1">
        <f t="array" ref="K28">(SUM(_xlfn._xlws.FILTER(_xlfn._xlws.FILTER(dataGLBSCF,dataGLBSAcctIDs=$C28),(endDatesCF=K$5)))-SUM(_xlfn._xlws.FILTER(_xlfn._xlws.FILTER(dataGLBSCF,dataGLBSAcctIDs=$C28),(startDatesCF=EDATE(K$4,-1)))))*INDEX(PBC_ACCOUNT_LIST[Sign_for_total_cashflow],MATCH($C28,PBC_ACCOUNT_LIST[Id],0))</f>
        <v>0</v>
      </c>
      <c r="L28" s="547" cm="1">
        <f t="array" ref="L28">(SUM(_xlfn._xlws.FILTER(_xlfn._xlws.FILTER(dataGLBSCF,dataGLBSAcctIDs=$C28),(endDatesCF=L$5)))-SUM(_xlfn._xlws.FILTER(_xlfn._xlws.FILTER(dataGLBSCF,dataGLBSAcctIDs=$C28),(startDatesCF=EDATE(L$4,-1)))))*INDEX(PBC_ACCOUNT_LIST[Sign_for_total_cashflow],MATCH($C28,PBC_ACCOUNT_LIST[Id],0))</f>
        <v>0</v>
      </c>
      <c r="M28" s="547" cm="1">
        <f t="array" ref="M28">(SUM(_xlfn._xlws.FILTER(_xlfn._xlws.FILTER(dataGLBSCF,dataGLBSAcctIDs=$C28),(endDatesCF=M$5)))-SUM(_xlfn._xlws.FILTER(_xlfn._xlws.FILTER(dataGLBSCF,dataGLBSAcctIDs=$C28),(startDatesCF=EDATE(M$4,-1)))))*INDEX(PBC_ACCOUNT_LIST[Sign_for_total_cashflow],MATCH($C28,PBC_ACCOUNT_LIST[Id],0))</f>
        <v>0</v>
      </c>
      <c r="N28" s="547" cm="1">
        <f t="array" ref="N28">(SUM(_xlfn._xlws.FILTER(_xlfn._xlws.FILTER(dataGLBSCF,dataGLBSAcctIDs=$C28),(endDatesCF=N$5)))-SUM(_xlfn._xlws.FILTER(_xlfn._xlws.FILTER(dataGLBSCF,dataGLBSAcctIDs=$C28),(startDatesCF=EDATE(N$4,-1)))))*INDEX(PBC_ACCOUNT_LIST[Sign_for_total_cashflow],MATCH($C28,PBC_ACCOUNT_LIST[Id],0))</f>
        <v>0</v>
      </c>
      <c r="O28" s="547" cm="1">
        <f t="array" ref="O28">(SUM(_xlfn._xlws.FILTER(_xlfn._xlws.FILTER(dataGLBSCF,dataGLBSAcctIDs=$C28),(endDatesCF=O$5)))-SUM(_xlfn._xlws.FILTER(_xlfn._xlws.FILTER(dataGLBSCF,dataGLBSAcctIDs=$C28),(startDatesCF=EDATE(O$4,-1)))))*INDEX(PBC_ACCOUNT_LIST[Sign_for_total_cashflow],MATCH($C28,PBC_ACCOUNT_LIST[Id],0))</f>
        <v>0</v>
      </c>
      <c r="P28" s="547" cm="1">
        <f t="array" ref="P28">(SUM(_xlfn._xlws.FILTER(_xlfn._xlws.FILTER(dataGLBSCF,dataGLBSAcctIDs=$C28),(endDatesCF=P$5)))-SUM(_xlfn._xlws.FILTER(_xlfn._xlws.FILTER(dataGLBSCF,dataGLBSAcctIDs=$C28),(startDatesCF=EDATE(P$4,-1)))))*INDEX(PBC_ACCOUNT_LIST[Sign_for_total_cashflow],MATCH($C28,PBC_ACCOUNT_LIST[Id],0))</f>
        <v>0</v>
      </c>
      <c r="Q28" s="547" cm="1">
        <f t="array" ref="Q28">(SUM(_xlfn._xlws.FILTER(_xlfn._xlws.FILTER(dataGLBSCF,dataGLBSAcctIDs=$C28),(endDatesCF=Q$5)))-SUM(_xlfn._xlws.FILTER(_xlfn._xlws.FILTER(dataGLBSCF,dataGLBSAcctIDs=$C28),(startDatesCF=EDATE(Q$4,-1)))))*INDEX(PBC_ACCOUNT_LIST[Sign_for_total_cashflow],MATCH($C28,PBC_ACCOUNT_LIST[Id],0))</f>
        <v>0</v>
      </c>
      <c r="R28" s="547" cm="1">
        <f t="array" ref="R28">(SUM(_xlfn._xlws.FILTER(_xlfn._xlws.FILTER(dataGLBSCF,dataGLBSAcctIDs=$C28),(endDatesCF=R$5)))-SUM(_xlfn._xlws.FILTER(_xlfn._xlws.FILTER(dataGLBSCF,dataGLBSAcctIDs=$C28),(startDatesCF=EDATE(R$4,-1)))))*INDEX(PBC_ACCOUNT_LIST[Sign_for_total_cashflow],MATCH($C28,PBC_ACCOUNT_LIST[Id],0))</f>
        <v>0</v>
      </c>
      <c r="S28" s="547" cm="1">
        <f t="array" ref="S28">(SUM(_xlfn._xlws.FILTER(_xlfn._xlws.FILTER(dataGLBSCF,dataGLBSAcctIDs=$C28),(endDatesCF=S$5)))-SUM(_xlfn._xlws.FILTER(_xlfn._xlws.FILTER(dataGLBSCF,dataGLBSAcctIDs=$C28),(startDatesCF=EDATE(S$4,-1)))))*INDEX(PBC_ACCOUNT_LIST[Sign_for_total_cashflow],MATCH($C28,PBC_ACCOUNT_LIST[Id],0))</f>
        <v>0</v>
      </c>
      <c r="T28" s="547" cm="1">
        <f t="array" ref="T28">(SUM(_xlfn._xlws.FILTER(_xlfn._xlws.FILTER(dataGLBSCF,dataGLBSAcctIDs=$C28),(endDatesCF=T$5)))-SUM(_xlfn._xlws.FILTER(_xlfn._xlws.FILTER(dataGLBSCF,dataGLBSAcctIDs=$C28),(startDatesCF=EDATE(T$4,-1)))))*INDEX(PBC_ACCOUNT_LIST[Sign_for_total_cashflow],MATCH($C28,PBC_ACCOUNT_LIST[Id],0))</f>
        <v>1000</v>
      </c>
      <c r="U28" s="547" cm="1">
        <f t="array" ref="U28">(SUM(_xlfn._xlws.FILTER(_xlfn._xlws.FILTER(dataGLBSCF,dataGLBSAcctIDs=$C28),(endDatesCF=U$5)))-SUM(_xlfn._xlws.FILTER(_xlfn._xlws.FILTER(dataGLBSCF,dataGLBSAcctIDs=$C28),(startDatesCF=EDATE(U$4,-1)))))*INDEX(PBC_ACCOUNT_LIST[Sign_for_total_cashflow],MATCH($C28,PBC_ACCOUNT_LIST[Id],0))</f>
        <v>500</v>
      </c>
      <c r="V28" s="547" cm="1">
        <f t="array" ref="V28">(SUM(_xlfn._xlws.FILTER(_xlfn._xlws.FILTER(dataGLBSCF,dataGLBSAcctIDs=$C28),(endDatesCF=V$5)))-SUM(_xlfn._xlws.FILTER(_xlfn._xlws.FILTER(dataGLBSCF,dataGLBSAcctIDs=$C28),(startDatesCF=EDATE(V$4,-1)))))*INDEX(PBC_ACCOUNT_LIST[Sign_for_total_cashflow],MATCH($C28,PBC_ACCOUNT_LIST[Id],0))</f>
        <v>1000</v>
      </c>
      <c r="W28" s="547" cm="1">
        <f t="array" ref="W28">(SUM(_xlfn._xlws.FILTER(_xlfn._xlws.FILTER(dataGLBSCF,dataGLBSAcctIDs=$C28),(endDatesCF=W$5)))-SUM(_xlfn._xlws.FILTER(_xlfn._xlws.FILTER(dataGLBSCF,dataGLBSAcctIDs=$C28),(startDatesCF=EDATE(W$4,-1)))))*INDEX(PBC_ACCOUNT_LIST[Sign_for_total_cashflow],MATCH($C28,PBC_ACCOUNT_LIST[Id],0))</f>
        <v>0</v>
      </c>
      <c r="X28" s="547" cm="1">
        <f t="array" ref="X28">(SUM(_xlfn._xlws.FILTER(_xlfn._xlws.FILTER(dataGLBSCF,dataGLBSAcctIDs=$C28),(endDatesCF=X$5)))-SUM(_xlfn._xlws.FILTER(_xlfn._xlws.FILTER(dataGLBSCF,dataGLBSAcctIDs=$C28),(startDatesCF=EDATE(X$4,-1)))))*INDEX(PBC_ACCOUNT_LIST[Sign_for_total_cashflow],MATCH($C28,PBC_ACCOUNT_LIST[Id],0))</f>
        <v>0</v>
      </c>
      <c r="Y28" s="547" cm="1">
        <f t="array" ref="Y28">(SUM(_xlfn._xlws.FILTER(_xlfn._xlws.FILTER(dataGLBSCF,dataGLBSAcctIDs=$C28),(endDatesCF=Y$5)))-SUM(_xlfn._xlws.FILTER(_xlfn._xlws.FILTER(dataGLBSCF,dataGLBSAcctIDs=$C28),(startDatesCF=EDATE(Y$4,-1)))))*INDEX(PBC_ACCOUNT_LIST[Sign_for_total_cashflow],MATCH($C28,PBC_ACCOUNT_LIST[Id],0))</f>
        <v>0</v>
      </c>
      <c r="Z28" s="547" cm="1">
        <f t="array" ref="Z28">(SUM(_xlfn._xlws.FILTER(_xlfn._xlws.FILTER(dataGLBSCF,dataGLBSAcctIDs=$C28),(endDatesCF=Z$5)))-SUM(_xlfn._xlws.FILTER(_xlfn._xlws.FILTER(dataGLBSCF,dataGLBSAcctIDs=$C28),(startDatesCF=EDATE(Z$4,-1)))))*INDEX(PBC_ACCOUNT_LIST[Sign_for_total_cashflow],MATCH($C28,PBC_ACCOUNT_LIST[Id],0))</f>
        <v>0</v>
      </c>
      <c r="AC28" s="547" cm="1">
        <f t="array" ref="AC28">(SUM(_xlfn._xlws.FILTER(_xlfn._xlws.FILTER(dataGLBSCF,dataGLBSAcctIDs=$C28),(endDatesCF=AC$5)))-SUM(_xlfn._xlws.FILTER(_xlfn._xlws.FILTER(dataGLBSCF,dataGLBSAcctIDs=$C28),(startDatesCF=EDATE(AC$4,-1)))))*INDEX(PBC_ACCOUNT_LIST[Sign_for_total_cashflow],MATCH($C28,PBC_ACCOUNT_LIST[Id],0))</f>
        <v>0</v>
      </c>
      <c r="AD28" s="547" cm="1">
        <f t="array" ref="AD28">(SUM(_xlfn._xlws.FILTER(_xlfn._xlws.FILTER(dataGLBSCF,dataGLBSAcctIDs=$C28),(endDatesCF=AD$5)))-SUM(_xlfn._xlws.FILTER(_xlfn._xlws.FILTER(dataGLBSCF,dataGLBSAcctIDs=$C28),(startDatesCF=EDATE(AD$4,-1)))))*INDEX(PBC_ACCOUNT_LIST[Sign_for_total_cashflow],MATCH($C28,PBC_ACCOUNT_LIST[Id],0))</f>
        <v>0</v>
      </c>
      <c r="AE28" s="547" cm="1">
        <f t="array" ref="AE28">(SUM(_xlfn._xlws.FILTER(_xlfn._xlws.FILTER(dataGLBSCF,dataGLBSAcctIDs=$C28),(endDatesCF=AE$5)))-SUM(_xlfn._xlws.FILTER(_xlfn._xlws.FILTER(dataGLBSCF,dataGLBSAcctIDs=$C28),(startDatesCF=EDATE(AE$4,-1)))))*INDEX(PBC_ACCOUNT_LIST[Sign_for_total_cashflow],MATCH($C28,PBC_ACCOUNT_LIST[Id],0))</f>
        <v>0</v>
      </c>
      <c r="AF28" s="547" cm="1">
        <f t="array" ref="AF28">(SUM(_xlfn._xlws.FILTER(_xlfn._xlws.FILTER(dataGLBSCF,dataGLBSAcctIDs=$C28),(endDatesCF=AF$5)))-SUM(_xlfn._xlws.FILTER(_xlfn._xlws.FILTER(dataGLBSCF,dataGLBSAcctIDs=$C28),(startDatesCF=EDATE(AF$4,-1)))))*INDEX(PBC_ACCOUNT_LIST[Sign_for_total_cashflow],MATCH($C28,PBC_ACCOUNT_LIST[Id],0))</f>
        <v>0</v>
      </c>
      <c r="AG28" s="547" cm="1">
        <f t="array" ref="AG28">(SUM(_xlfn._xlws.FILTER(_xlfn._xlws.FILTER(dataGLBSCF,dataGLBSAcctIDs=$C28),(endDatesCF=AG$5)))-SUM(_xlfn._xlws.FILTER(_xlfn._xlws.FILTER(dataGLBSCF,dataGLBSAcctIDs=$C28),(startDatesCF=EDATE(AG$4,-1)))))*INDEX(PBC_ACCOUNT_LIST[Sign_for_total_cashflow],MATCH($C28,PBC_ACCOUNT_LIST[Id],0))</f>
        <v>0</v>
      </c>
      <c r="AH28" s="547" cm="1">
        <f t="array" ref="AH28">(SUM(_xlfn._xlws.FILTER(_xlfn._xlws.FILTER(dataGLBSCF,dataGLBSAcctIDs=$C28),(endDatesCF=AH$5)))-SUM(_xlfn._xlws.FILTER(_xlfn._xlws.FILTER(dataGLBSCF,dataGLBSAcctIDs=$C28),(startDatesCF=EDATE(AH$4,-1)))))*INDEX(PBC_ACCOUNT_LIST[Sign_for_total_cashflow],MATCH($C28,PBC_ACCOUNT_LIST[Id],0))</f>
        <v>0</v>
      </c>
      <c r="AI28" s="547" cm="1">
        <f t="array" ref="AI28">(SUM(_xlfn._xlws.FILTER(_xlfn._xlws.FILTER(dataGLBSCF,dataGLBSAcctIDs=$C28),(endDatesCF=AI$5)))-SUM(_xlfn._xlws.FILTER(_xlfn._xlws.FILTER(dataGLBSCF,dataGLBSAcctIDs=$C28),(startDatesCF=EDATE(AI$4,-1)))))*INDEX(PBC_ACCOUNT_LIST[Sign_for_total_cashflow],MATCH($C28,PBC_ACCOUNT_LIST[Id],0))</f>
        <v>0</v>
      </c>
      <c r="AJ28" s="547" cm="1">
        <f t="array" ref="AJ28">(SUM(_xlfn._xlws.FILTER(_xlfn._xlws.FILTER(dataGLBSCF,dataGLBSAcctIDs=$C28),(endDatesCF=AJ$5)))-SUM(_xlfn._xlws.FILTER(_xlfn._xlws.FILTER(dataGLBSCF,dataGLBSAcctIDs=$C28),(startDatesCF=EDATE(AJ$4,-1)))))*INDEX(PBC_ACCOUNT_LIST[Sign_for_total_cashflow],MATCH($C28,PBC_ACCOUNT_LIST[Id],0))</f>
        <v>0</v>
      </c>
      <c r="AK28" s="547" cm="1">
        <f t="array" ref="AK28">(SUM(_xlfn._xlws.FILTER(_xlfn._xlws.FILTER(dataGLBSCF,dataGLBSAcctIDs=$C28),(endDatesCF=AK$5)))-SUM(_xlfn._xlws.FILTER(_xlfn._xlws.FILTER(dataGLBSCF,dataGLBSAcctIDs=$C28),(startDatesCF=EDATE(AK$4,-1)))))*INDEX(PBC_ACCOUNT_LIST[Sign_for_total_cashflow],MATCH($C28,PBC_ACCOUNT_LIST[Id],0))</f>
        <v>0</v>
      </c>
      <c r="AL28" s="547" cm="1">
        <f t="array" ref="AL28">(SUM(_xlfn._xlws.FILTER(_xlfn._xlws.FILTER(dataGLBSCF,dataGLBSAcctIDs=$C28),(endDatesCF=AL$5)))-SUM(_xlfn._xlws.FILTER(_xlfn._xlws.FILTER(dataGLBSCF,dataGLBSAcctIDs=$C28),(startDatesCF=EDATE(AL$4,-1)))))*INDEX(PBC_ACCOUNT_LIST[Sign_for_total_cashflow],MATCH($C28,PBC_ACCOUNT_LIST[Id],0))</f>
        <v>0</v>
      </c>
      <c r="AM28" s="547" cm="1">
        <f t="array" ref="AM28">(SUM(_xlfn._xlws.FILTER(_xlfn._xlws.FILTER(dataGLBSCF,dataGLBSAcctIDs=$C28),(endDatesCF=AM$5)))-SUM(_xlfn._xlws.FILTER(_xlfn._xlws.FILTER(dataGLBSCF,dataGLBSAcctIDs=$C28),(startDatesCF=EDATE(AM$4,-1)))))*INDEX(PBC_ACCOUNT_LIST[Sign_for_total_cashflow],MATCH($C28,PBC_ACCOUNT_LIST[Id],0))</f>
        <v>0</v>
      </c>
      <c r="AN28" s="547" cm="1">
        <f t="array" ref="AN28">(SUM(_xlfn._xlws.FILTER(_xlfn._xlws.FILTER(dataGLBSCF,dataGLBSAcctIDs=$C28),(endDatesCF=AN$5)))-SUM(_xlfn._xlws.FILTER(_xlfn._xlws.FILTER(dataGLBSCF,dataGLBSAcctIDs=$C28),(startDatesCF=EDATE(AN$4,-1)))))*INDEX(PBC_ACCOUNT_LIST[Sign_for_total_cashflow],MATCH($C28,PBC_ACCOUNT_LIST[Id],0))</f>
        <v>0</v>
      </c>
      <c r="AO28" s="547" cm="1">
        <f t="array" ref="AO28">(SUM(_xlfn._xlws.FILTER(_xlfn._xlws.FILTER(dataGLBSCF,dataGLBSAcctIDs=$C28),(endDatesCF=AO$5)))-SUM(_xlfn._xlws.FILTER(_xlfn._xlws.FILTER(dataGLBSCF,dataGLBSAcctIDs=$C28),(startDatesCF=EDATE(AO$4,-1)))))*INDEX(PBC_ACCOUNT_LIST[Sign_for_total_cashflow],MATCH($C28,PBC_ACCOUNT_LIST[Id],0))</f>
        <v>0</v>
      </c>
      <c r="AP28" s="547" cm="1">
        <f t="array" ref="AP28">(SUM(_xlfn._xlws.FILTER(_xlfn._xlws.FILTER(dataGLBSCF,dataGLBSAcctIDs=$C28),(endDatesCF=AP$5)))-SUM(_xlfn._xlws.FILTER(_xlfn._xlws.FILTER(dataGLBSCF,dataGLBSAcctIDs=$C28),(startDatesCF=EDATE(AP$4,-1)))))*INDEX(PBC_ACCOUNT_LIST[Sign_for_total_cashflow],MATCH($C28,PBC_ACCOUNT_LIST[Id],0))</f>
        <v>0</v>
      </c>
      <c r="AQ28" s="547" cm="1">
        <f t="array" ref="AQ28">(SUM(_xlfn._xlws.FILTER(_xlfn._xlws.FILTER(dataGLBSCF,dataGLBSAcctIDs=$C28),(endDatesCF=AQ$5)))-SUM(_xlfn._xlws.FILTER(_xlfn._xlws.FILTER(dataGLBSCF,dataGLBSAcctIDs=$C28),(startDatesCF=EDATE(AQ$4,-1)))))*INDEX(PBC_ACCOUNT_LIST[Sign_for_total_cashflow],MATCH($C28,PBC_ACCOUNT_LIST[Id],0))</f>
        <v>0</v>
      </c>
      <c r="AR28" s="547" cm="1">
        <f t="array" ref="AR28">(SUM(_xlfn._xlws.FILTER(_xlfn._xlws.FILTER(dataGLBSCF,dataGLBSAcctIDs=$C28),(endDatesCF=AR$5)))-SUM(_xlfn._xlws.FILTER(_xlfn._xlws.FILTER(dataGLBSCF,dataGLBSAcctIDs=$C28),(startDatesCF=EDATE(AR$4,-1)))))*INDEX(PBC_ACCOUNT_LIST[Sign_for_total_cashflow],MATCH($C28,PBC_ACCOUNT_LIST[Id],0))</f>
        <v>0</v>
      </c>
      <c r="AS28" s="547" cm="1">
        <f t="array" ref="AS28">(SUM(_xlfn._xlws.FILTER(_xlfn._xlws.FILTER(dataGLBSCF,dataGLBSAcctIDs=$C28),(endDatesCF=AS$5)))-SUM(_xlfn._xlws.FILTER(_xlfn._xlws.FILTER(dataGLBSCF,dataGLBSAcctIDs=$C28),(startDatesCF=EDATE(AS$4,-1)))))*INDEX(PBC_ACCOUNT_LIST[Sign_for_total_cashflow],MATCH($C28,PBC_ACCOUNT_LIST[Id],0))</f>
        <v>0</v>
      </c>
      <c r="AT28" s="547" cm="1">
        <f t="array" ref="AT28">(SUM(_xlfn._xlws.FILTER(_xlfn._xlws.FILTER(dataGLBSCF,dataGLBSAcctIDs=$C28),(endDatesCF=AT$5)))-SUM(_xlfn._xlws.FILTER(_xlfn._xlws.FILTER(dataGLBSCF,dataGLBSAcctIDs=$C28),(startDatesCF=EDATE(AT$4,-1)))))*INDEX(PBC_ACCOUNT_LIST[Sign_for_total_cashflow],MATCH($C28,PBC_ACCOUNT_LIST[Id],0))</f>
        <v>0</v>
      </c>
      <c r="AU28" s="547" cm="1">
        <f t="array" ref="AU28">(SUM(_xlfn._xlws.FILTER(_xlfn._xlws.FILTER(dataGLBSCF,dataGLBSAcctIDs=$C28),(endDatesCF=AU$5)))-SUM(_xlfn._xlws.FILTER(_xlfn._xlws.FILTER(dataGLBSCF,dataGLBSAcctIDs=$C28),(startDatesCF=EDATE(AU$4,-1)))))*INDEX(PBC_ACCOUNT_LIST[Sign_for_total_cashflow],MATCH($C28,PBC_ACCOUNT_LIST[Id],0))</f>
        <v>0</v>
      </c>
      <c r="AV28" s="547" cm="1">
        <f t="array" ref="AV28">(SUM(_xlfn._xlws.FILTER(_xlfn._xlws.FILTER(dataGLBSCF,dataGLBSAcctIDs=$C28),(endDatesCF=AV$5)))-SUM(_xlfn._xlws.FILTER(_xlfn._xlws.FILTER(dataGLBSCF,dataGLBSAcctIDs=$C28),(startDatesCF=EDATE(AV$4,-1)))))*INDEX(PBC_ACCOUNT_LIST[Sign_for_total_cashflow],MATCH($C28,PBC_ACCOUNT_LIST[Id],0))</f>
        <v>0</v>
      </c>
      <c r="AW28" s="547" cm="1">
        <f t="array" ref="AW28">(SUM(_xlfn._xlws.FILTER(_xlfn._xlws.FILTER(dataGLBSCF,dataGLBSAcctIDs=$C28),(endDatesCF=AW$5)))-SUM(_xlfn._xlws.FILTER(_xlfn._xlws.FILTER(dataGLBSCF,dataGLBSAcctIDs=$C28),(startDatesCF=EDATE(AW$4,-1)))))*INDEX(PBC_ACCOUNT_LIST[Sign_for_total_cashflow],MATCH($C28,PBC_ACCOUNT_LIST[Id],0))</f>
        <v>0</v>
      </c>
      <c r="AX28" s="547" cm="1">
        <f t="array" ref="AX28">(SUM(_xlfn._xlws.FILTER(_xlfn._xlws.FILTER(dataGLBSCF,dataGLBSAcctIDs=$C28),(endDatesCF=AX$5)))-SUM(_xlfn._xlws.FILTER(_xlfn._xlws.FILTER(dataGLBSCF,dataGLBSAcctIDs=$C28),(startDatesCF=EDATE(AX$4,-1)))))*INDEX(PBC_ACCOUNT_LIST[Sign_for_total_cashflow],MATCH($C28,PBC_ACCOUNT_LIST[Id],0))</f>
        <v>0</v>
      </c>
      <c r="AY28" s="547" cm="1">
        <f t="array" ref="AY28">(SUM(_xlfn._xlws.FILTER(_xlfn._xlws.FILTER(dataGLBSCF,dataGLBSAcctIDs=$C28),(endDatesCF=AY$5)))-SUM(_xlfn._xlws.FILTER(_xlfn._xlws.FILTER(dataGLBSCF,dataGLBSAcctIDs=$C28),(startDatesCF=EDATE(AY$4,-1)))))*INDEX(PBC_ACCOUNT_LIST[Sign_for_total_cashflow],MATCH($C28,PBC_ACCOUNT_LIST[Id],0))</f>
        <v>0</v>
      </c>
      <c r="AZ28" s="547" cm="1">
        <f t="array" ref="AZ28">(SUM(_xlfn._xlws.FILTER(_xlfn._xlws.FILTER(dataGLBSCF,dataGLBSAcctIDs=$C28),(endDatesCF=AZ$5)))-SUM(_xlfn._xlws.FILTER(_xlfn._xlws.FILTER(dataGLBSCF,dataGLBSAcctIDs=$C28),(startDatesCF=EDATE(AZ$4,-1)))))*INDEX(PBC_ACCOUNT_LIST[Sign_for_total_cashflow],MATCH($C28,PBC_ACCOUNT_LIST[Id],0))</f>
        <v>0</v>
      </c>
      <c r="BA28" s="547" cm="1">
        <f t="array" ref="BA28">(SUM(_xlfn._xlws.FILTER(_xlfn._xlws.FILTER(dataGLBSCF,dataGLBSAcctIDs=$C28),(endDatesCF=BA$5)))-SUM(_xlfn._xlws.FILTER(_xlfn._xlws.FILTER(dataGLBSCF,dataGLBSAcctIDs=$C28),(startDatesCF=EDATE(BA$4,-1)))))*INDEX(PBC_ACCOUNT_LIST[Sign_for_total_cashflow],MATCH($C28,PBC_ACCOUNT_LIST[Id],0))</f>
        <v>0</v>
      </c>
      <c r="BB28" s="547" cm="1">
        <f t="array" ref="BB28">(SUM(_xlfn._xlws.FILTER(_xlfn._xlws.FILTER(dataGLBSCF,dataGLBSAcctIDs=$C28),(endDatesCF=BB$5)))-SUM(_xlfn._xlws.FILTER(_xlfn._xlws.FILTER(dataGLBSCF,dataGLBSAcctIDs=$C28),(startDatesCF=EDATE(BB$4,-1)))))*INDEX(PBC_ACCOUNT_LIST[Sign_for_total_cashflow],MATCH($C28,PBC_ACCOUNT_LIST[Id],0))</f>
        <v>0</v>
      </c>
      <c r="BC28" s="547" cm="1">
        <f t="array" ref="BC28">(SUM(_xlfn._xlws.FILTER(_xlfn._xlws.FILTER(dataGLBSCF,dataGLBSAcctIDs=$C28),(endDatesCF=BC$5)))-SUM(_xlfn._xlws.FILTER(_xlfn._xlws.FILTER(dataGLBSCF,dataGLBSAcctIDs=$C28),(startDatesCF=EDATE(BC$4,-1)))))*INDEX(PBC_ACCOUNT_LIST[Sign_for_total_cashflow],MATCH($C28,PBC_ACCOUNT_LIST[Id],0))</f>
        <v>0</v>
      </c>
      <c r="BD28" s="547" cm="1">
        <f t="array" ref="BD28">(SUM(_xlfn._xlws.FILTER(_xlfn._xlws.FILTER(dataGLBSCF,dataGLBSAcctIDs=$C28),(endDatesCF=BD$5)))-SUM(_xlfn._xlws.FILTER(_xlfn._xlws.FILTER(dataGLBSCF,dataGLBSAcctIDs=$C28),(startDatesCF=EDATE(BD$4,-1)))))*INDEX(PBC_ACCOUNT_LIST[Sign_for_total_cashflow],MATCH($C28,PBC_ACCOUNT_LIST[Id],0))</f>
        <v>0</v>
      </c>
      <c r="BE28" s="547" cm="1">
        <f t="array" ref="BE28">(SUM(_xlfn._xlws.FILTER(_xlfn._xlws.FILTER(dataGLBSCF,dataGLBSAcctIDs=$C28),(endDatesCF=BE$5)))-SUM(_xlfn._xlws.FILTER(_xlfn._xlws.FILTER(dataGLBSCF,dataGLBSAcctIDs=$C28),(startDatesCF=EDATE(BE$4,-1)))))*INDEX(PBC_ACCOUNT_LIST[Sign_for_total_cashflow],MATCH($C28,PBC_ACCOUNT_LIST[Id],0))</f>
        <v>0</v>
      </c>
      <c r="BF28" s="547" cm="1">
        <f t="array" ref="BF28">(SUM(_xlfn._xlws.FILTER(_xlfn._xlws.FILTER(dataGLBSCF,dataGLBSAcctIDs=$C28),(endDatesCF=BF$5)))-SUM(_xlfn._xlws.FILTER(_xlfn._xlws.FILTER(dataGLBSCF,dataGLBSAcctIDs=$C28),(startDatesCF=EDATE(BF$4,-1)))))*INDEX(PBC_ACCOUNT_LIST[Sign_for_total_cashflow],MATCH($C28,PBC_ACCOUNT_LIST[Id],0))</f>
        <v>1000</v>
      </c>
      <c r="BG28" s="547" cm="1">
        <f t="array" ref="BG28">(SUM(_xlfn._xlws.FILTER(_xlfn._xlws.FILTER(dataGLBSCF,dataGLBSAcctIDs=$C28),(endDatesCF=BG$5)))-SUM(_xlfn._xlws.FILTER(_xlfn._xlws.FILTER(dataGLBSCF,dataGLBSAcctIDs=$C28),(startDatesCF=EDATE(BG$4,-1)))))*INDEX(PBC_ACCOUNT_LIST[Sign_for_total_cashflow],MATCH($C28,PBC_ACCOUNT_LIST[Id],0))</f>
        <v>0</v>
      </c>
      <c r="BH28" s="547" cm="1">
        <f t="array" ref="BH28">(SUM(_xlfn._xlws.FILTER(_xlfn._xlws.FILTER(dataGLBSCF,dataGLBSAcctIDs=$C28),(endDatesCF=BH$5)))-SUM(_xlfn._xlws.FILTER(_xlfn._xlws.FILTER(dataGLBSCF,dataGLBSAcctIDs=$C28),(startDatesCF=EDATE(BH$4,-1)))))*INDEX(PBC_ACCOUNT_LIST[Sign_for_total_cashflow],MATCH($C28,PBC_ACCOUNT_LIST[Id],0))</f>
        <v>500</v>
      </c>
      <c r="BI28" s="547" cm="1">
        <f t="array" ref="BI28">(SUM(_xlfn._xlws.FILTER(_xlfn._xlws.FILTER(dataGLBSCF,dataGLBSAcctIDs=$C28),(endDatesCF=BI$5)))-SUM(_xlfn._xlws.FILTER(_xlfn._xlws.FILTER(dataGLBSCF,dataGLBSAcctIDs=$C28),(startDatesCF=EDATE(BI$4,-1)))))*INDEX(PBC_ACCOUNT_LIST[Sign_for_total_cashflow],MATCH($C28,PBC_ACCOUNT_LIST[Id],0))</f>
        <v>0</v>
      </c>
      <c r="BJ28" s="547" cm="1">
        <f t="array" ref="BJ28">(SUM(_xlfn._xlws.FILTER(_xlfn._xlws.FILTER(dataGLBSCF,dataGLBSAcctIDs=$C28),(endDatesCF=BJ$5)))-SUM(_xlfn._xlws.FILTER(_xlfn._xlws.FILTER(dataGLBSCF,dataGLBSAcctIDs=$C28),(startDatesCF=EDATE(BJ$4,-1)))))*INDEX(PBC_ACCOUNT_LIST[Sign_for_total_cashflow],MATCH($C28,PBC_ACCOUNT_LIST[Id],0))</f>
        <v>0</v>
      </c>
      <c r="BK28" s="547" cm="1">
        <f t="array" ref="BK28">(SUM(_xlfn._xlws.FILTER(_xlfn._xlws.FILTER(dataGLBSCF,dataGLBSAcctIDs=$C28),(endDatesCF=BK$5)))-SUM(_xlfn._xlws.FILTER(_xlfn._xlws.FILTER(dataGLBSCF,dataGLBSAcctIDs=$C28),(startDatesCF=EDATE(BK$4,-1)))))*INDEX(PBC_ACCOUNT_LIST[Sign_for_total_cashflow],MATCH($C28,PBC_ACCOUNT_LIST[Id],0))</f>
        <v>1000</v>
      </c>
      <c r="BL28" s="547" cm="1">
        <f t="array" ref="BL28">(SUM(_xlfn._xlws.FILTER(_xlfn._xlws.FILTER(dataGLBSCF,dataGLBSAcctIDs=$C28),(endDatesCF=BL$5)))-SUM(_xlfn._xlws.FILTER(_xlfn._xlws.FILTER(dataGLBSCF,dataGLBSAcctIDs=$C28),(startDatesCF=EDATE(BL$4,-1)))))*INDEX(PBC_ACCOUNT_LIST[Sign_for_total_cashflow],MATCH($C28,PBC_ACCOUNT_LIST[Id],0))</f>
        <v>0</v>
      </c>
      <c r="BM28" s="547" cm="1">
        <f t="array" ref="BM28">(SUM(_xlfn._xlws.FILTER(_xlfn._xlws.FILTER(dataGLBSCF,dataGLBSAcctIDs=$C28),(endDatesCF=BM$5)))-SUM(_xlfn._xlws.FILTER(_xlfn._xlws.FILTER(dataGLBSCF,dataGLBSAcctIDs=$C28),(startDatesCF=EDATE(BM$4,-1)))))*INDEX(PBC_ACCOUNT_LIST[Sign_for_total_cashflow],MATCH($C28,PBC_ACCOUNT_LIST[Id],0))</f>
        <v>0</v>
      </c>
      <c r="BN28" s="547" cm="1">
        <f t="array" ref="BN28">(SUM(_xlfn._xlws.FILTER(_xlfn._xlws.FILTER(dataGLBSCF,dataGLBSAcctIDs=$C28),(endDatesCF=BN$5)))-SUM(_xlfn._xlws.FILTER(_xlfn._xlws.FILTER(dataGLBSCF,dataGLBSAcctIDs=$C28),(startDatesCF=EDATE(BN$4,-1)))))*INDEX(PBC_ACCOUNT_LIST[Sign_for_total_cashflow],MATCH($C28,PBC_ACCOUNT_LIST[Id],0))</f>
        <v>0</v>
      </c>
      <c r="BO28" s="547" cm="1">
        <f t="array" ref="BO28">(SUM(_xlfn._xlws.FILTER(_xlfn._xlws.FILTER(dataGLBSCF,dataGLBSAcctIDs=$C28),(endDatesCF=BO$5)))-SUM(_xlfn._xlws.FILTER(_xlfn._xlws.FILTER(dataGLBSCF,dataGLBSAcctIDs=$C28),(startDatesCF=EDATE(BO$4,-1)))))*INDEX(PBC_ACCOUNT_LIST[Sign_for_total_cashflow],MATCH($C28,PBC_ACCOUNT_LIST[Id],0))</f>
        <v>0</v>
      </c>
      <c r="BP28" s="547" cm="1">
        <f t="array" ref="BP28">(SUM(_xlfn._xlws.FILTER(_xlfn._xlws.FILTER(dataGLBSCF,dataGLBSAcctIDs=$C28),(endDatesCF=BP$5)))-SUM(_xlfn._xlws.FILTER(_xlfn._xlws.FILTER(dataGLBSCF,dataGLBSAcctIDs=$C28),(startDatesCF=EDATE(BP$4,-1)))))*INDEX(PBC_ACCOUNT_LIST[Sign_for_total_cashflow],MATCH($C28,PBC_ACCOUNT_LIST[Id],0))</f>
        <v>0</v>
      </c>
      <c r="BQ28" s="547" cm="1">
        <f t="array" ref="BQ28">(SUM(_xlfn._xlws.FILTER(_xlfn._xlws.FILTER(dataGLBSCF,dataGLBSAcctIDs=$C28),(endDatesCF=BQ$5)))-SUM(_xlfn._xlws.FILTER(_xlfn._xlws.FILTER(dataGLBSCF,dataGLBSAcctIDs=$C28),(startDatesCF=EDATE(BQ$4,-1)))))*INDEX(PBC_ACCOUNT_LIST[Sign_for_total_cashflow],MATCH($C28,PBC_ACCOUNT_LIST[Id],0))</f>
        <v>0</v>
      </c>
      <c r="BR28" s="547" cm="1">
        <f t="array" ref="BR28">(SUM(_xlfn._xlws.FILTER(_xlfn._xlws.FILTER(dataGLBSCF,dataGLBSAcctIDs=$C28),(endDatesCF=BR$5)))-SUM(_xlfn._xlws.FILTER(_xlfn._xlws.FILTER(dataGLBSCF,dataGLBSAcctIDs=$C28),(startDatesCF=EDATE(BR$4,-1)))))*INDEX(PBC_ACCOUNT_LIST[Sign_for_total_cashflow],MATCH($C28,PBC_ACCOUNT_LIST[Id],0))</f>
        <v>0</v>
      </c>
      <c r="BS28" s="547" cm="1">
        <f t="array" ref="BS28">(SUM(_xlfn._xlws.FILTER(_xlfn._xlws.FILTER(dataGLBSCF,dataGLBSAcctIDs=$C28),(endDatesCF=BS$5)))-SUM(_xlfn._xlws.FILTER(_xlfn._xlws.FILTER(dataGLBSCF,dataGLBSAcctIDs=$C28),(startDatesCF=EDATE(BS$4,-1)))))*INDEX(PBC_ACCOUNT_LIST[Sign_for_total_cashflow],MATCH($C28,PBC_ACCOUNT_LIST[Id],0))</f>
        <v>0</v>
      </c>
      <c r="BT28" s="547" cm="1">
        <f t="array" ref="BT28">(SUM(_xlfn._xlws.FILTER(_xlfn._xlws.FILTER(dataGLBSCF,dataGLBSAcctIDs=$C28),(endDatesCF=BT$5)))-SUM(_xlfn._xlws.FILTER(_xlfn._xlws.FILTER(dataGLBSCF,dataGLBSAcctIDs=$C28),(startDatesCF=EDATE(BT$4,-1)))))*INDEX(PBC_ACCOUNT_LIST[Sign_for_total_cashflow],MATCH($C28,PBC_ACCOUNT_LIST[Id],0))</f>
        <v>0</v>
      </c>
      <c r="BU28" s="547" cm="1">
        <f t="array" ref="BU28">(SUM(_xlfn._xlws.FILTER(_xlfn._xlws.FILTER(dataGLBSCF,dataGLBSAcctIDs=$C28),(endDatesCF=BU$5)))-SUM(_xlfn._xlws.FILTER(_xlfn._xlws.FILTER(dataGLBSCF,dataGLBSAcctIDs=$C28),(startDatesCF=EDATE(BU$4,-1)))))*INDEX(PBC_ACCOUNT_LIST[Sign_for_total_cashflow],MATCH($C28,PBC_ACCOUNT_LIST[Id],0))</f>
        <v>0</v>
      </c>
      <c r="BV28" s="547" cm="1">
        <f t="array" ref="BV28">(SUM(_xlfn._xlws.FILTER(_xlfn._xlws.FILTER(dataGLBSCF,dataGLBSAcctIDs=$C28),(endDatesCF=BV$5)))-SUM(_xlfn._xlws.FILTER(_xlfn._xlws.FILTER(dataGLBSCF,dataGLBSAcctIDs=$C28),(startDatesCF=EDATE(BV$4,-1)))))*INDEX(PBC_ACCOUNT_LIST[Sign_for_total_cashflow],MATCH($C28,PBC_ACCOUNT_LIST[Id],0))</f>
        <v>0</v>
      </c>
      <c r="BW28" s="547" cm="1">
        <f t="array" ref="BW28">(SUM(_xlfn._xlws.FILTER(_xlfn._xlws.FILTER(dataGLBSCF,dataGLBSAcctIDs=$C28),(endDatesCF=BW$5)))-SUM(_xlfn._xlws.FILTER(_xlfn._xlws.FILTER(dataGLBSCF,dataGLBSAcctIDs=$C28),(startDatesCF=EDATE(BW$4,-1)))))*INDEX(PBC_ACCOUNT_LIST[Sign_for_total_cashflow],MATCH($C28,PBC_ACCOUNT_LIST[Id],0))</f>
        <v>0</v>
      </c>
      <c r="BX28" s="547" cm="1">
        <f t="array" ref="BX28">(SUM(_xlfn._xlws.FILTER(_xlfn._xlws.FILTER(dataGLBSCF,dataGLBSAcctIDs=$C28),(endDatesCF=BX$5)))-SUM(_xlfn._xlws.FILTER(_xlfn._xlws.FILTER(dataGLBSCF,dataGLBSAcctIDs=$C28),(startDatesCF=EDATE(BX$4,-1)))))*INDEX(PBC_ACCOUNT_LIST[Sign_for_total_cashflow],MATCH($C28,PBC_ACCOUNT_LIST[Id],0))</f>
        <v>0</v>
      </c>
    </row>
    <row r="29" spans="1:92" customFormat="1" ht="21" customHeight="1">
      <c r="B29" s="685" t="s">
        <v>310</v>
      </c>
      <c r="C29">
        <v>63</v>
      </c>
      <c r="E29" s="547" cm="1">
        <f t="array" ref="E29">(SUM(_xlfn._xlws.FILTER(_xlfn._xlws.FILTER(dataGLBSCF,dataGLBSAcctIDs=$C29),(endDatesCF=E$5)))-SUM(_xlfn._xlws.FILTER(_xlfn._xlws.FILTER(dataGLBSCF,dataGLBSAcctIDs=$C29),(startDatesCF=EDATE(E$4,-1)))))*INDEX(PBC_ACCOUNT_LIST[Sign_for_total_cashflow],MATCH($C29,PBC_ACCOUNT_LIST[Id],0))</f>
        <v>-9180.5</v>
      </c>
      <c r="F29" s="547" cm="1">
        <f t="array" ref="F29">(SUM(_xlfn._xlws.FILTER(_xlfn._xlws.FILTER(dataGLBSCF,dataGLBSAcctIDs=$C29),(endDatesCF=F$5)))-SUM(_xlfn._xlws.FILTER(_xlfn._xlws.FILTER(dataGLBSCF,dataGLBSAcctIDs=$C29),(startDatesCF=EDATE(F$4,-1)))))*INDEX(PBC_ACCOUNT_LIST[Sign_for_total_cashflow],MATCH($C29,PBC_ACCOUNT_LIST[Id],0))</f>
        <v>0</v>
      </c>
      <c r="G29" s="547" cm="1">
        <f t="array" ref="G29">(SUM(_xlfn._xlws.FILTER(_xlfn._xlws.FILTER(dataGLBSCF,dataGLBSAcctIDs=$C29),(endDatesCF=G$5)))-SUM(_xlfn._xlws.FILTER(_xlfn._xlws.FILTER(dataGLBSCF,dataGLBSAcctIDs=$C29),(startDatesCF=EDATE(G$4,-1)))))*INDEX(PBC_ACCOUNT_LIST[Sign_for_total_cashflow],MATCH($C29,PBC_ACCOUNT_LIST[Id],0))</f>
        <v>0</v>
      </c>
      <c r="H29" s="547" cm="1">
        <f t="array" ref="H29">(SUM(_xlfn._xlws.FILTER(_xlfn._xlws.FILTER(dataGLBSCF,dataGLBSAcctIDs=$C29),(endDatesCF=H$5)))-SUM(_xlfn._xlws.FILTER(_xlfn._xlws.FILTER(dataGLBSCF,dataGLBSAcctIDs=$C29),(startDatesCF=EDATE(H$4,-1)))))*INDEX(PBC_ACCOUNT_LIST[Sign_for_total_cashflow],MATCH($C29,PBC_ACCOUNT_LIST[Id],0))</f>
        <v>0</v>
      </c>
      <c r="K29" s="547" cm="1">
        <f t="array" ref="K29">(SUM(_xlfn._xlws.FILTER(_xlfn._xlws.FILTER(dataGLBSCF,dataGLBSAcctIDs=$C29),(endDatesCF=K$5)))-SUM(_xlfn._xlws.FILTER(_xlfn._xlws.FILTER(dataGLBSCF,dataGLBSAcctIDs=$C29),(startDatesCF=EDATE(K$4,-1)))))*INDEX(PBC_ACCOUNT_LIST[Sign_for_total_cashflow],MATCH($C29,PBC_ACCOUNT_LIST[Id],0))</f>
        <v>-2754</v>
      </c>
      <c r="L29" s="547" cm="1">
        <f t="array" ref="L29">(SUM(_xlfn._xlws.FILTER(_xlfn._xlws.FILTER(dataGLBSCF,dataGLBSAcctIDs=$C29),(endDatesCF=L$5)))-SUM(_xlfn._xlws.FILTER(_xlfn._xlws.FILTER(dataGLBSCF,dataGLBSAcctIDs=$C29),(startDatesCF=EDATE(L$4,-1)))))*INDEX(PBC_ACCOUNT_LIST[Sign_for_total_cashflow],MATCH($C29,PBC_ACCOUNT_LIST[Id],0))</f>
        <v>-2754.5</v>
      </c>
      <c r="M29" s="547" cm="1">
        <f t="array" ref="M29">(SUM(_xlfn._xlws.FILTER(_xlfn._xlws.FILTER(dataGLBSCF,dataGLBSAcctIDs=$C29),(endDatesCF=M$5)))-SUM(_xlfn._xlws.FILTER(_xlfn._xlws.FILTER(dataGLBSCF,dataGLBSAcctIDs=$C29),(startDatesCF=EDATE(M$4,-1)))))*INDEX(PBC_ACCOUNT_LIST[Sign_for_total_cashflow],MATCH($C29,PBC_ACCOUNT_LIST[Id],0))</f>
        <v>-2754</v>
      </c>
      <c r="N29" s="547" cm="1">
        <f t="array" ref="N29">(SUM(_xlfn._xlws.FILTER(_xlfn._xlws.FILTER(dataGLBSCF,dataGLBSAcctIDs=$C29),(endDatesCF=N$5)))-SUM(_xlfn._xlws.FILTER(_xlfn._xlws.FILTER(dataGLBSCF,dataGLBSAcctIDs=$C29),(startDatesCF=EDATE(N$4,-1)))))*INDEX(PBC_ACCOUNT_LIST[Sign_for_total_cashflow],MATCH($C29,PBC_ACCOUNT_LIST[Id],0))</f>
        <v>-918</v>
      </c>
      <c r="O29" s="547" cm="1">
        <f t="array" ref="O29">(SUM(_xlfn._xlws.FILTER(_xlfn._xlws.FILTER(dataGLBSCF,dataGLBSAcctIDs=$C29),(endDatesCF=O$5)))-SUM(_xlfn._xlws.FILTER(_xlfn._xlws.FILTER(dataGLBSCF,dataGLBSAcctIDs=$C29),(startDatesCF=EDATE(O$4,-1)))))*INDEX(PBC_ACCOUNT_LIST[Sign_for_total_cashflow],MATCH($C29,PBC_ACCOUNT_LIST[Id],0))</f>
        <v>0</v>
      </c>
      <c r="P29" s="547" cm="1">
        <f t="array" ref="P29">(SUM(_xlfn._xlws.FILTER(_xlfn._xlws.FILTER(dataGLBSCF,dataGLBSAcctIDs=$C29),(endDatesCF=P$5)))-SUM(_xlfn._xlws.FILTER(_xlfn._xlws.FILTER(dataGLBSCF,dataGLBSAcctIDs=$C29),(startDatesCF=EDATE(P$4,-1)))))*INDEX(PBC_ACCOUNT_LIST[Sign_for_total_cashflow],MATCH($C29,PBC_ACCOUNT_LIST[Id],0))</f>
        <v>0</v>
      </c>
      <c r="Q29" s="547" cm="1">
        <f t="array" ref="Q29">(SUM(_xlfn._xlws.FILTER(_xlfn._xlws.FILTER(dataGLBSCF,dataGLBSAcctIDs=$C29),(endDatesCF=Q$5)))-SUM(_xlfn._xlws.FILTER(_xlfn._xlws.FILTER(dataGLBSCF,dataGLBSAcctIDs=$C29),(startDatesCF=EDATE(Q$4,-1)))))*INDEX(PBC_ACCOUNT_LIST[Sign_for_total_cashflow],MATCH($C29,PBC_ACCOUNT_LIST[Id],0))</f>
        <v>0</v>
      </c>
      <c r="R29" s="547" cm="1">
        <f t="array" ref="R29">(SUM(_xlfn._xlws.FILTER(_xlfn._xlws.FILTER(dataGLBSCF,dataGLBSAcctIDs=$C29),(endDatesCF=R$5)))-SUM(_xlfn._xlws.FILTER(_xlfn._xlws.FILTER(dataGLBSCF,dataGLBSAcctIDs=$C29),(startDatesCF=EDATE(R$4,-1)))))*INDEX(PBC_ACCOUNT_LIST[Sign_for_total_cashflow],MATCH($C29,PBC_ACCOUNT_LIST[Id],0))</f>
        <v>0</v>
      </c>
      <c r="S29" s="547" cm="1">
        <f t="array" ref="S29">(SUM(_xlfn._xlws.FILTER(_xlfn._xlws.FILTER(dataGLBSCF,dataGLBSAcctIDs=$C29),(endDatesCF=S$5)))-SUM(_xlfn._xlws.FILTER(_xlfn._xlws.FILTER(dataGLBSCF,dataGLBSAcctIDs=$C29),(startDatesCF=EDATE(S$4,-1)))))*INDEX(PBC_ACCOUNT_LIST[Sign_for_total_cashflow],MATCH($C29,PBC_ACCOUNT_LIST[Id],0))</f>
        <v>0</v>
      </c>
      <c r="T29" s="547" cm="1">
        <f t="array" ref="T29">(SUM(_xlfn._xlws.FILTER(_xlfn._xlws.FILTER(dataGLBSCF,dataGLBSAcctIDs=$C29),(endDatesCF=T$5)))-SUM(_xlfn._xlws.FILTER(_xlfn._xlws.FILTER(dataGLBSCF,dataGLBSAcctIDs=$C29),(startDatesCF=EDATE(T$4,-1)))))*INDEX(PBC_ACCOUNT_LIST[Sign_for_total_cashflow],MATCH($C29,PBC_ACCOUNT_LIST[Id],0))</f>
        <v>0</v>
      </c>
      <c r="U29" s="547" cm="1">
        <f t="array" ref="U29">(SUM(_xlfn._xlws.FILTER(_xlfn._xlws.FILTER(dataGLBSCF,dataGLBSAcctIDs=$C29),(endDatesCF=U$5)))-SUM(_xlfn._xlws.FILTER(_xlfn._xlws.FILTER(dataGLBSCF,dataGLBSAcctIDs=$C29),(startDatesCF=EDATE(U$4,-1)))))*INDEX(PBC_ACCOUNT_LIST[Sign_for_total_cashflow],MATCH($C29,PBC_ACCOUNT_LIST[Id],0))</f>
        <v>0</v>
      </c>
      <c r="V29" s="547" cm="1">
        <f t="array" ref="V29">(SUM(_xlfn._xlws.FILTER(_xlfn._xlws.FILTER(dataGLBSCF,dataGLBSAcctIDs=$C29),(endDatesCF=V$5)))-SUM(_xlfn._xlws.FILTER(_xlfn._xlws.FILTER(dataGLBSCF,dataGLBSAcctIDs=$C29),(startDatesCF=EDATE(V$4,-1)))))*INDEX(PBC_ACCOUNT_LIST[Sign_for_total_cashflow],MATCH($C29,PBC_ACCOUNT_LIST[Id],0))</f>
        <v>0</v>
      </c>
      <c r="W29" s="547" cm="1">
        <f t="array" ref="W29">(SUM(_xlfn._xlws.FILTER(_xlfn._xlws.FILTER(dataGLBSCF,dataGLBSAcctIDs=$C29),(endDatesCF=W$5)))-SUM(_xlfn._xlws.FILTER(_xlfn._xlws.FILTER(dataGLBSCF,dataGLBSAcctIDs=$C29),(startDatesCF=EDATE(W$4,-1)))))*INDEX(PBC_ACCOUNT_LIST[Sign_for_total_cashflow],MATCH($C29,PBC_ACCOUNT_LIST[Id],0))</f>
        <v>0</v>
      </c>
      <c r="X29" s="547" cm="1">
        <f t="array" ref="X29">(SUM(_xlfn._xlws.FILTER(_xlfn._xlws.FILTER(dataGLBSCF,dataGLBSAcctIDs=$C29),(endDatesCF=X$5)))-SUM(_xlfn._xlws.FILTER(_xlfn._xlws.FILTER(dataGLBSCF,dataGLBSAcctIDs=$C29),(startDatesCF=EDATE(X$4,-1)))))*INDEX(PBC_ACCOUNT_LIST[Sign_for_total_cashflow],MATCH($C29,PBC_ACCOUNT_LIST[Id],0))</f>
        <v>0</v>
      </c>
      <c r="Y29" s="547" cm="1">
        <f t="array" ref="Y29">(SUM(_xlfn._xlws.FILTER(_xlfn._xlws.FILTER(dataGLBSCF,dataGLBSAcctIDs=$C29),(endDatesCF=Y$5)))-SUM(_xlfn._xlws.FILTER(_xlfn._xlws.FILTER(dataGLBSCF,dataGLBSAcctIDs=$C29),(startDatesCF=EDATE(Y$4,-1)))))*INDEX(PBC_ACCOUNT_LIST[Sign_for_total_cashflow],MATCH($C29,PBC_ACCOUNT_LIST[Id],0))</f>
        <v>0</v>
      </c>
      <c r="Z29" s="547" cm="1">
        <f t="array" ref="Z29">(SUM(_xlfn._xlws.FILTER(_xlfn._xlws.FILTER(dataGLBSCF,dataGLBSAcctIDs=$C29),(endDatesCF=Z$5)))-SUM(_xlfn._xlws.FILTER(_xlfn._xlws.FILTER(dataGLBSCF,dataGLBSAcctIDs=$C29),(startDatesCF=EDATE(Z$4,-1)))))*INDEX(PBC_ACCOUNT_LIST[Sign_for_total_cashflow],MATCH($C29,PBC_ACCOUNT_LIST[Id],0))</f>
        <v>0</v>
      </c>
      <c r="AC29" s="547" cm="1">
        <f t="array" ref="AC29">(SUM(_xlfn._xlws.FILTER(_xlfn._xlws.FILTER(dataGLBSCF,dataGLBSAcctIDs=$C29),(endDatesCF=AC$5)))-SUM(_xlfn._xlws.FILTER(_xlfn._xlws.FILTER(dataGLBSCF,dataGLBSAcctIDs=$C29),(startDatesCF=EDATE(AC$4,-1)))))*INDEX(PBC_ACCOUNT_LIST[Sign_for_total_cashflow],MATCH($C29,PBC_ACCOUNT_LIST[Id],0))</f>
        <v>-918</v>
      </c>
      <c r="AD29" s="547" cm="1">
        <f t="array" ref="AD29">(SUM(_xlfn._xlws.FILTER(_xlfn._xlws.FILTER(dataGLBSCF,dataGLBSAcctIDs=$C29),(endDatesCF=AD$5)))-SUM(_xlfn._xlws.FILTER(_xlfn._xlws.FILTER(dataGLBSCF,dataGLBSAcctIDs=$C29),(startDatesCF=EDATE(AD$4,-1)))))*INDEX(PBC_ACCOUNT_LIST[Sign_for_total_cashflow],MATCH($C29,PBC_ACCOUNT_LIST[Id],0))</f>
        <v>-918</v>
      </c>
      <c r="AE29" s="547" cm="1">
        <f t="array" ref="AE29">(SUM(_xlfn._xlws.FILTER(_xlfn._xlws.FILTER(dataGLBSCF,dataGLBSAcctIDs=$C29),(endDatesCF=AE$5)))-SUM(_xlfn._xlws.FILTER(_xlfn._xlws.FILTER(dataGLBSCF,dataGLBSAcctIDs=$C29),(startDatesCF=EDATE(AE$4,-1)))))*INDEX(PBC_ACCOUNT_LIST[Sign_for_total_cashflow],MATCH($C29,PBC_ACCOUNT_LIST[Id],0))</f>
        <v>-918</v>
      </c>
      <c r="AF29" s="547" cm="1">
        <f t="array" ref="AF29">(SUM(_xlfn._xlws.FILTER(_xlfn._xlws.FILTER(dataGLBSCF,dataGLBSAcctIDs=$C29),(endDatesCF=AF$5)))-SUM(_xlfn._xlws.FILTER(_xlfn._xlws.FILTER(dataGLBSCF,dataGLBSAcctIDs=$C29),(startDatesCF=EDATE(AF$4,-1)))))*INDEX(PBC_ACCOUNT_LIST[Sign_for_total_cashflow],MATCH($C29,PBC_ACCOUNT_LIST[Id],0))</f>
        <v>-918.5</v>
      </c>
      <c r="AG29" s="547" cm="1">
        <f t="array" ref="AG29">(SUM(_xlfn._xlws.FILTER(_xlfn._xlws.FILTER(dataGLBSCF,dataGLBSAcctIDs=$C29),(endDatesCF=AG$5)))-SUM(_xlfn._xlws.FILTER(_xlfn._xlws.FILTER(dataGLBSCF,dataGLBSAcctIDs=$C29),(startDatesCF=EDATE(AG$4,-1)))))*INDEX(PBC_ACCOUNT_LIST[Sign_for_total_cashflow],MATCH($C29,PBC_ACCOUNT_LIST[Id],0))</f>
        <v>-918</v>
      </c>
      <c r="AH29" s="547" cm="1">
        <f t="array" ref="AH29">(SUM(_xlfn._xlws.FILTER(_xlfn._xlws.FILTER(dataGLBSCF,dataGLBSAcctIDs=$C29),(endDatesCF=AH$5)))-SUM(_xlfn._xlws.FILTER(_xlfn._xlws.FILTER(dataGLBSCF,dataGLBSAcctIDs=$C29),(startDatesCF=EDATE(AH$4,-1)))))*INDEX(PBC_ACCOUNT_LIST[Sign_for_total_cashflow],MATCH($C29,PBC_ACCOUNT_LIST[Id],0))</f>
        <v>-918</v>
      </c>
      <c r="AI29" s="547" cm="1">
        <f t="array" ref="AI29">(SUM(_xlfn._xlws.FILTER(_xlfn._xlws.FILTER(dataGLBSCF,dataGLBSAcctIDs=$C29),(endDatesCF=AI$5)))-SUM(_xlfn._xlws.FILTER(_xlfn._xlws.FILTER(dataGLBSCF,dataGLBSAcctIDs=$C29),(startDatesCF=EDATE(AI$4,-1)))))*INDEX(PBC_ACCOUNT_LIST[Sign_for_total_cashflow],MATCH($C29,PBC_ACCOUNT_LIST[Id],0))</f>
        <v>-918</v>
      </c>
      <c r="AJ29" s="547" cm="1">
        <f t="array" ref="AJ29">(SUM(_xlfn._xlws.FILTER(_xlfn._xlws.FILTER(dataGLBSCF,dataGLBSAcctIDs=$C29),(endDatesCF=AJ$5)))-SUM(_xlfn._xlws.FILTER(_xlfn._xlws.FILTER(dataGLBSCF,dataGLBSAcctIDs=$C29),(startDatesCF=EDATE(AJ$4,-1)))))*INDEX(PBC_ACCOUNT_LIST[Sign_for_total_cashflow],MATCH($C29,PBC_ACCOUNT_LIST[Id],0))</f>
        <v>-918</v>
      </c>
      <c r="AK29" s="547" cm="1">
        <f t="array" ref="AK29">(SUM(_xlfn._xlws.FILTER(_xlfn._xlws.FILTER(dataGLBSCF,dataGLBSAcctIDs=$C29),(endDatesCF=AK$5)))-SUM(_xlfn._xlws.FILTER(_xlfn._xlws.FILTER(dataGLBSCF,dataGLBSAcctIDs=$C29),(startDatesCF=EDATE(AK$4,-1)))))*INDEX(PBC_ACCOUNT_LIST[Sign_for_total_cashflow],MATCH($C29,PBC_ACCOUNT_LIST[Id],0))</f>
        <v>-918</v>
      </c>
      <c r="AL29" s="547" cm="1">
        <f t="array" ref="AL29">(SUM(_xlfn._xlws.FILTER(_xlfn._xlws.FILTER(dataGLBSCF,dataGLBSAcctIDs=$C29),(endDatesCF=AL$5)))-SUM(_xlfn._xlws.FILTER(_xlfn._xlws.FILTER(dataGLBSCF,dataGLBSAcctIDs=$C29),(startDatesCF=EDATE(AL$4,-1)))))*INDEX(PBC_ACCOUNT_LIST[Sign_for_total_cashflow],MATCH($C29,PBC_ACCOUNT_LIST[Id],0))</f>
        <v>-918</v>
      </c>
      <c r="AM29" s="547" cm="1">
        <f t="array" ref="AM29">(SUM(_xlfn._xlws.FILTER(_xlfn._xlws.FILTER(dataGLBSCF,dataGLBSAcctIDs=$C29),(endDatesCF=AM$5)))-SUM(_xlfn._xlws.FILTER(_xlfn._xlws.FILTER(dataGLBSCF,dataGLBSAcctIDs=$C29),(startDatesCF=EDATE(AM$4,-1)))))*INDEX(PBC_ACCOUNT_LIST[Sign_for_total_cashflow],MATCH($C29,PBC_ACCOUNT_LIST[Id],0))</f>
        <v>0</v>
      </c>
      <c r="AN29" s="547" cm="1">
        <f t="array" ref="AN29">(SUM(_xlfn._xlws.FILTER(_xlfn._xlws.FILTER(dataGLBSCF,dataGLBSAcctIDs=$C29),(endDatesCF=AN$5)))-SUM(_xlfn._xlws.FILTER(_xlfn._xlws.FILTER(dataGLBSCF,dataGLBSAcctIDs=$C29),(startDatesCF=EDATE(AN$4,-1)))))*INDEX(PBC_ACCOUNT_LIST[Sign_for_total_cashflow],MATCH($C29,PBC_ACCOUNT_LIST[Id],0))</f>
        <v>0</v>
      </c>
      <c r="AO29" s="547" cm="1">
        <f t="array" ref="AO29">(SUM(_xlfn._xlws.FILTER(_xlfn._xlws.FILTER(dataGLBSCF,dataGLBSAcctIDs=$C29),(endDatesCF=AO$5)))-SUM(_xlfn._xlws.FILTER(_xlfn._xlws.FILTER(dataGLBSCF,dataGLBSAcctIDs=$C29),(startDatesCF=EDATE(AO$4,-1)))))*INDEX(PBC_ACCOUNT_LIST[Sign_for_total_cashflow],MATCH($C29,PBC_ACCOUNT_LIST[Id],0))</f>
        <v>0</v>
      </c>
      <c r="AP29" s="547" cm="1">
        <f t="array" ref="AP29">(SUM(_xlfn._xlws.FILTER(_xlfn._xlws.FILTER(dataGLBSCF,dataGLBSAcctIDs=$C29),(endDatesCF=AP$5)))-SUM(_xlfn._xlws.FILTER(_xlfn._xlws.FILTER(dataGLBSCF,dataGLBSAcctIDs=$C29),(startDatesCF=EDATE(AP$4,-1)))))*INDEX(PBC_ACCOUNT_LIST[Sign_for_total_cashflow],MATCH($C29,PBC_ACCOUNT_LIST[Id],0))</f>
        <v>0</v>
      </c>
      <c r="AQ29" s="547" cm="1">
        <f t="array" ref="AQ29">(SUM(_xlfn._xlws.FILTER(_xlfn._xlws.FILTER(dataGLBSCF,dataGLBSAcctIDs=$C29),(endDatesCF=AQ$5)))-SUM(_xlfn._xlws.FILTER(_xlfn._xlws.FILTER(dataGLBSCF,dataGLBSAcctIDs=$C29),(startDatesCF=EDATE(AQ$4,-1)))))*INDEX(PBC_ACCOUNT_LIST[Sign_for_total_cashflow],MATCH($C29,PBC_ACCOUNT_LIST[Id],0))</f>
        <v>0</v>
      </c>
      <c r="AR29" s="547" cm="1">
        <f t="array" ref="AR29">(SUM(_xlfn._xlws.FILTER(_xlfn._xlws.FILTER(dataGLBSCF,dataGLBSAcctIDs=$C29),(endDatesCF=AR$5)))-SUM(_xlfn._xlws.FILTER(_xlfn._xlws.FILTER(dataGLBSCF,dataGLBSAcctIDs=$C29),(startDatesCF=EDATE(AR$4,-1)))))*INDEX(PBC_ACCOUNT_LIST[Sign_for_total_cashflow],MATCH($C29,PBC_ACCOUNT_LIST[Id],0))</f>
        <v>0</v>
      </c>
      <c r="AS29" s="547" cm="1">
        <f t="array" ref="AS29">(SUM(_xlfn._xlws.FILTER(_xlfn._xlws.FILTER(dataGLBSCF,dataGLBSAcctIDs=$C29),(endDatesCF=AS$5)))-SUM(_xlfn._xlws.FILTER(_xlfn._xlws.FILTER(dataGLBSCF,dataGLBSAcctIDs=$C29),(startDatesCF=EDATE(AS$4,-1)))))*INDEX(PBC_ACCOUNT_LIST[Sign_for_total_cashflow],MATCH($C29,PBC_ACCOUNT_LIST[Id],0))</f>
        <v>0</v>
      </c>
      <c r="AT29" s="547" cm="1">
        <f t="array" ref="AT29">(SUM(_xlfn._xlws.FILTER(_xlfn._xlws.FILTER(dataGLBSCF,dataGLBSAcctIDs=$C29),(endDatesCF=AT$5)))-SUM(_xlfn._xlws.FILTER(_xlfn._xlws.FILTER(dataGLBSCF,dataGLBSAcctIDs=$C29),(startDatesCF=EDATE(AT$4,-1)))))*INDEX(PBC_ACCOUNT_LIST[Sign_for_total_cashflow],MATCH($C29,PBC_ACCOUNT_LIST[Id],0))</f>
        <v>0</v>
      </c>
      <c r="AU29" s="547" cm="1">
        <f t="array" ref="AU29">(SUM(_xlfn._xlws.FILTER(_xlfn._xlws.FILTER(dataGLBSCF,dataGLBSAcctIDs=$C29),(endDatesCF=AU$5)))-SUM(_xlfn._xlws.FILTER(_xlfn._xlws.FILTER(dataGLBSCF,dataGLBSAcctIDs=$C29),(startDatesCF=EDATE(AU$4,-1)))))*INDEX(PBC_ACCOUNT_LIST[Sign_for_total_cashflow],MATCH($C29,PBC_ACCOUNT_LIST[Id],0))</f>
        <v>0</v>
      </c>
      <c r="AV29" s="547" cm="1">
        <f t="array" ref="AV29">(SUM(_xlfn._xlws.FILTER(_xlfn._xlws.FILTER(dataGLBSCF,dataGLBSAcctIDs=$C29),(endDatesCF=AV$5)))-SUM(_xlfn._xlws.FILTER(_xlfn._xlws.FILTER(dataGLBSCF,dataGLBSAcctIDs=$C29),(startDatesCF=EDATE(AV$4,-1)))))*INDEX(PBC_ACCOUNT_LIST[Sign_for_total_cashflow],MATCH($C29,PBC_ACCOUNT_LIST[Id],0))</f>
        <v>0</v>
      </c>
      <c r="AW29" s="547" cm="1">
        <f t="array" ref="AW29">(SUM(_xlfn._xlws.FILTER(_xlfn._xlws.FILTER(dataGLBSCF,dataGLBSAcctIDs=$C29),(endDatesCF=AW$5)))-SUM(_xlfn._xlws.FILTER(_xlfn._xlws.FILTER(dataGLBSCF,dataGLBSAcctIDs=$C29),(startDatesCF=EDATE(AW$4,-1)))))*INDEX(PBC_ACCOUNT_LIST[Sign_for_total_cashflow],MATCH($C29,PBC_ACCOUNT_LIST[Id],0))</f>
        <v>0</v>
      </c>
      <c r="AX29" s="547" cm="1">
        <f t="array" ref="AX29">(SUM(_xlfn._xlws.FILTER(_xlfn._xlws.FILTER(dataGLBSCF,dataGLBSAcctIDs=$C29),(endDatesCF=AX$5)))-SUM(_xlfn._xlws.FILTER(_xlfn._xlws.FILTER(dataGLBSCF,dataGLBSAcctIDs=$C29),(startDatesCF=EDATE(AX$4,-1)))))*INDEX(PBC_ACCOUNT_LIST[Sign_for_total_cashflow],MATCH($C29,PBC_ACCOUNT_LIST[Id],0))</f>
        <v>0</v>
      </c>
      <c r="AY29" s="547" cm="1">
        <f t="array" ref="AY29">(SUM(_xlfn._xlws.FILTER(_xlfn._xlws.FILTER(dataGLBSCF,dataGLBSAcctIDs=$C29),(endDatesCF=AY$5)))-SUM(_xlfn._xlws.FILTER(_xlfn._xlws.FILTER(dataGLBSCF,dataGLBSAcctIDs=$C29),(startDatesCF=EDATE(AY$4,-1)))))*INDEX(PBC_ACCOUNT_LIST[Sign_for_total_cashflow],MATCH($C29,PBC_ACCOUNT_LIST[Id],0))</f>
        <v>0</v>
      </c>
      <c r="AZ29" s="547" cm="1">
        <f t="array" ref="AZ29">(SUM(_xlfn._xlws.FILTER(_xlfn._xlws.FILTER(dataGLBSCF,dataGLBSAcctIDs=$C29),(endDatesCF=AZ$5)))-SUM(_xlfn._xlws.FILTER(_xlfn._xlws.FILTER(dataGLBSCF,dataGLBSAcctIDs=$C29),(startDatesCF=EDATE(AZ$4,-1)))))*INDEX(PBC_ACCOUNT_LIST[Sign_for_total_cashflow],MATCH($C29,PBC_ACCOUNT_LIST[Id],0))</f>
        <v>0</v>
      </c>
      <c r="BA29" s="547" cm="1">
        <f t="array" ref="BA29">(SUM(_xlfn._xlws.FILTER(_xlfn._xlws.FILTER(dataGLBSCF,dataGLBSAcctIDs=$C29),(endDatesCF=BA$5)))-SUM(_xlfn._xlws.FILTER(_xlfn._xlws.FILTER(dataGLBSCF,dataGLBSAcctIDs=$C29),(startDatesCF=EDATE(BA$4,-1)))))*INDEX(PBC_ACCOUNT_LIST[Sign_for_total_cashflow],MATCH($C29,PBC_ACCOUNT_LIST[Id],0))</f>
        <v>0</v>
      </c>
      <c r="BB29" s="547" cm="1">
        <f t="array" ref="BB29">(SUM(_xlfn._xlws.FILTER(_xlfn._xlws.FILTER(dataGLBSCF,dataGLBSAcctIDs=$C29),(endDatesCF=BB$5)))-SUM(_xlfn._xlws.FILTER(_xlfn._xlws.FILTER(dataGLBSCF,dataGLBSAcctIDs=$C29),(startDatesCF=EDATE(BB$4,-1)))))*INDEX(PBC_ACCOUNT_LIST[Sign_for_total_cashflow],MATCH($C29,PBC_ACCOUNT_LIST[Id],0))</f>
        <v>0</v>
      </c>
      <c r="BC29" s="547" cm="1">
        <f t="array" ref="BC29">(SUM(_xlfn._xlws.FILTER(_xlfn._xlws.FILTER(dataGLBSCF,dataGLBSAcctIDs=$C29),(endDatesCF=BC$5)))-SUM(_xlfn._xlws.FILTER(_xlfn._xlws.FILTER(dataGLBSCF,dataGLBSAcctIDs=$C29),(startDatesCF=EDATE(BC$4,-1)))))*INDEX(PBC_ACCOUNT_LIST[Sign_for_total_cashflow],MATCH($C29,PBC_ACCOUNT_LIST[Id],0))</f>
        <v>0</v>
      </c>
      <c r="BD29" s="547" cm="1">
        <f t="array" ref="BD29">(SUM(_xlfn._xlws.FILTER(_xlfn._xlws.FILTER(dataGLBSCF,dataGLBSAcctIDs=$C29),(endDatesCF=BD$5)))-SUM(_xlfn._xlws.FILTER(_xlfn._xlws.FILTER(dataGLBSCF,dataGLBSAcctIDs=$C29),(startDatesCF=EDATE(BD$4,-1)))))*INDEX(PBC_ACCOUNT_LIST[Sign_for_total_cashflow],MATCH($C29,PBC_ACCOUNT_LIST[Id],0))</f>
        <v>0</v>
      </c>
      <c r="BE29" s="547" cm="1">
        <f t="array" ref="BE29">(SUM(_xlfn._xlws.FILTER(_xlfn._xlws.FILTER(dataGLBSCF,dataGLBSAcctIDs=$C29),(endDatesCF=BE$5)))-SUM(_xlfn._xlws.FILTER(_xlfn._xlws.FILTER(dataGLBSCF,dataGLBSAcctIDs=$C29),(startDatesCF=EDATE(BE$4,-1)))))*INDEX(PBC_ACCOUNT_LIST[Sign_for_total_cashflow],MATCH($C29,PBC_ACCOUNT_LIST[Id],0))</f>
        <v>0</v>
      </c>
      <c r="BF29" s="547" cm="1">
        <f t="array" ref="BF29">(SUM(_xlfn._xlws.FILTER(_xlfn._xlws.FILTER(dataGLBSCF,dataGLBSAcctIDs=$C29),(endDatesCF=BF$5)))-SUM(_xlfn._xlws.FILTER(_xlfn._xlws.FILTER(dataGLBSCF,dataGLBSAcctIDs=$C29),(startDatesCF=EDATE(BF$4,-1)))))*INDEX(PBC_ACCOUNT_LIST[Sign_for_total_cashflow],MATCH($C29,PBC_ACCOUNT_LIST[Id],0))</f>
        <v>0</v>
      </c>
      <c r="BG29" s="547" cm="1">
        <f t="array" ref="BG29">(SUM(_xlfn._xlws.FILTER(_xlfn._xlws.FILTER(dataGLBSCF,dataGLBSAcctIDs=$C29),(endDatesCF=BG$5)))-SUM(_xlfn._xlws.FILTER(_xlfn._xlws.FILTER(dataGLBSCF,dataGLBSAcctIDs=$C29),(startDatesCF=EDATE(BG$4,-1)))))*INDEX(PBC_ACCOUNT_LIST[Sign_for_total_cashflow],MATCH($C29,PBC_ACCOUNT_LIST[Id],0))</f>
        <v>0</v>
      </c>
      <c r="BH29" s="547" cm="1">
        <f t="array" ref="BH29">(SUM(_xlfn._xlws.FILTER(_xlfn._xlws.FILTER(dataGLBSCF,dataGLBSAcctIDs=$C29),(endDatesCF=BH$5)))-SUM(_xlfn._xlws.FILTER(_xlfn._xlws.FILTER(dataGLBSCF,dataGLBSAcctIDs=$C29),(startDatesCF=EDATE(BH$4,-1)))))*INDEX(PBC_ACCOUNT_LIST[Sign_for_total_cashflow],MATCH($C29,PBC_ACCOUNT_LIST[Id],0))</f>
        <v>0</v>
      </c>
      <c r="BI29" s="547" cm="1">
        <f t="array" ref="BI29">(SUM(_xlfn._xlws.FILTER(_xlfn._xlws.FILTER(dataGLBSCF,dataGLBSAcctIDs=$C29),(endDatesCF=BI$5)))-SUM(_xlfn._xlws.FILTER(_xlfn._xlws.FILTER(dataGLBSCF,dataGLBSAcctIDs=$C29),(startDatesCF=EDATE(BI$4,-1)))))*INDEX(PBC_ACCOUNT_LIST[Sign_for_total_cashflow],MATCH($C29,PBC_ACCOUNT_LIST[Id],0))</f>
        <v>0</v>
      </c>
      <c r="BJ29" s="547" cm="1">
        <f t="array" ref="BJ29">(SUM(_xlfn._xlws.FILTER(_xlfn._xlws.FILTER(dataGLBSCF,dataGLBSAcctIDs=$C29),(endDatesCF=BJ$5)))-SUM(_xlfn._xlws.FILTER(_xlfn._xlws.FILTER(dataGLBSCF,dataGLBSAcctIDs=$C29),(startDatesCF=EDATE(BJ$4,-1)))))*INDEX(PBC_ACCOUNT_LIST[Sign_for_total_cashflow],MATCH($C29,PBC_ACCOUNT_LIST[Id],0))</f>
        <v>0</v>
      </c>
      <c r="BK29" s="547" cm="1">
        <f t="array" ref="BK29">(SUM(_xlfn._xlws.FILTER(_xlfn._xlws.FILTER(dataGLBSCF,dataGLBSAcctIDs=$C29),(endDatesCF=BK$5)))-SUM(_xlfn._xlws.FILTER(_xlfn._xlws.FILTER(dataGLBSCF,dataGLBSAcctIDs=$C29),(startDatesCF=EDATE(BK$4,-1)))))*INDEX(PBC_ACCOUNT_LIST[Sign_for_total_cashflow],MATCH($C29,PBC_ACCOUNT_LIST[Id],0))</f>
        <v>0</v>
      </c>
      <c r="BL29" s="547" cm="1">
        <f t="array" ref="BL29">(SUM(_xlfn._xlws.FILTER(_xlfn._xlws.FILTER(dataGLBSCF,dataGLBSAcctIDs=$C29),(endDatesCF=BL$5)))-SUM(_xlfn._xlws.FILTER(_xlfn._xlws.FILTER(dataGLBSCF,dataGLBSAcctIDs=$C29),(startDatesCF=EDATE(BL$4,-1)))))*INDEX(PBC_ACCOUNT_LIST[Sign_for_total_cashflow],MATCH($C29,PBC_ACCOUNT_LIST[Id],0))</f>
        <v>0</v>
      </c>
      <c r="BM29" s="547" cm="1">
        <f t="array" ref="BM29">(SUM(_xlfn._xlws.FILTER(_xlfn._xlws.FILTER(dataGLBSCF,dataGLBSAcctIDs=$C29),(endDatesCF=BM$5)))-SUM(_xlfn._xlws.FILTER(_xlfn._xlws.FILTER(dataGLBSCF,dataGLBSAcctIDs=$C29),(startDatesCF=EDATE(BM$4,-1)))))*INDEX(PBC_ACCOUNT_LIST[Sign_for_total_cashflow],MATCH($C29,PBC_ACCOUNT_LIST[Id],0))</f>
        <v>0</v>
      </c>
      <c r="BN29" s="547" cm="1">
        <f t="array" ref="BN29">(SUM(_xlfn._xlws.FILTER(_xlfn._xlws.FILTER(dataGLBSCF,dataGLBSAcctIDs=$C29),(endDatesCF=BN$5)))-SUM(_xlfn._xlws.FILTER(_xlfn._xlws.FILTER(dataGLBSCF,dataGLBSAcctIDs=$C29),(startDatesCF=EDATE(BN$4,-1)))))*INDEX(PBC_ACCOUNT_LIST[Sign_for_total_cashflow],MATCH($C29,PBC_ACCOUNT_LIST[Id],0))</f>
        <v>0</v>
      </c>
      <c r="BO29" s="547" cm="1">
        <f t="array" ref="BO29">(SUM(_xlfn._xlws.FILTER(_xlfn._xlws.FILTER(dataGLBSCF,dataGLBSAcctIDs=$C29),(endDatesCF=BO$5)))-SUM(_xlfn._xlws.FILTER(_xlfn._xlws.FILTER(dataGLBSCF,dataGLBSAcctIDs=$C29),(startDatesCF=EDATE(BO$4,-1)))))*INDEX(PBC_ACCOUNT_LIST[Sign_for_total_cashflow],MATCH($C29,PBC_ACCOUNT_LIST[Id],0))</f>
        <v>0</v>
      </c>
      <c r="BP29" s="547" cm="1">
        <f t="array" ref="BP29">(SUM(_xlfn._xlws.FILTER(_xlfn._xlws.FILTER(dataGLBSCF,dataGLBSAcctIDs=$C29),(endDatesCF=BP$5)))-SUM(_xlfn._xlws.FILTER(_xlfn._xlws.FILTER(dataGLBSCF,dataGLBSAcctIDs=$C29),(startDatesCF=EDATE(BP$4,-1)))))*INDEX(PBC_ACCOUNT_LIST[Sign_for_total_cashflow],MATCH($C29,PBC_ACCOUNT_LIST[Id],0))</f>
        <v>0</v>
      </c>
      <c r="BQ29" s="547" cm="1">
        <f t="array" ref="BQ29">(SUM(_xlfn._xlws.FILTER(_xlfn._xlws.FILTER(dataGLBSCF,dataGLBSAcctIDs=$C29),(endDatesCF=BQ$5)))-SUM(_xlfn._xlws.FILTER(_xlfn._xlws.FILTER(dataGLBSCF,dataGLBSAcctIDs=$C29),(startDatesCF=EDATE(BQ$4,-1)))))*INDEX(PBC_ACCOUNT_LIST[Sign_for_total_cashflow],MATCH($C29,PBC_ACCOUNT_LIST[Id],0))</f>
        <v>0</v>
      </c>
      <c r="BR29" s="547" cm="1">
        <f t="array" ref="BR29">(SUM(_xlfn._xlws.FILTER(_xlfn._xlws.FILTER(dataGLBSCF,dataGLBSAcctIDs=$C29),(endDatesCF=BR$5)))-SUM(_xlfn._xlws.FILTER(_xlfn._xlws.FILTER(dataGLBSCF,dataGLBSAcctIDs=$C29),(startDatesCF=EDATE(BR$4,-1)))))*INDEX(PBC_ACCOUNT_LIST[Sign_for_total_cashflow],MATCH($C29,PBC_ACCOUNT_LIST[Id],0))</f>
        <v>0</v>
      </c>
      <c r="BS29" s="547" cm="1">
        <f t="array" ref="BS29">(SUM(_xlfn._xlws.FILTER(_xlfn._xlws.FILTER(dataGLBSCF,dataGLBSAcctIDs=$C29),(endDatesCF=BS$5)))-SUM(_xlfn._xlws.FILTER(_xlfn._xlws.FILTER(dataGLBSCF,dataGLBSAcctIDs=$C29),(startDatesCF=EDATE(BS$4,-1)))))*INDEX(PBC_ACCOUNT_LIST[Sign_for_total_cashflow],MATCH($C29,PBC_ACCOUNT_LIST[Id],0))</f>
        <v>0</v>
      </c>
      <c r="BT29" s="547" cm="1">
        <f t="array" ref="BT29">(SUM(_xlfn._xlws.FILTER(_xlfn._xlws.FILTER(dataGLBSCF,dataGLBSAcctIDs=$C29),(endDatesCF=BT$5)))-SUM(_xlfn._xlws.FILTER(_xlfn._xlws.FILTER(dataGLBSCF,dataGLBSAcctIDs=$C29),(startDatesCF=EDATE(BT$4,-1)))))*INDEX(PBC_ACCOUNT_LIST[Sign_for_total_cashflow],MATCH($C29,PBC_ACCOUNT_LIST[Id],0))</f>
        <v>0</v>
      </c>
      <c r="BU29" s="547" cm="1">
        <f t="array" ref="BU29">(SUM(_xlfn._xlws.FILTER(_xlfn._xlws.FILTER(dataGLBSCF,dataGLBSAcctIDs=$C29),(endDatesCF=BU$5)))-SUM(_xlfn._xlws.FILTER(_xlfn._xlws.FILTER(dataGLBSCF,dataGLBSAcctIDs=$C29),(startDatesCF=EDATE(BU$4,-1)))))*INDEX(PBC_ACCOUNT_LIST[Sign_for_total_cashflow],MATCH($C29,PBC_ACCOUNT_LIST[Id],0))</f>
        <v>0</v>
      </c>
      <c r="BV29" s="547" cm="1">
        <f t="array" ref="BV29">(SUM(_xlfn._xlws.FILTER(_xlfn._xlws.FILTER(dataGLBSCF,dataGLBSAcctIDs=$C29),(endDatesCF=BV$5)))-SUM(_xlfn._xlws.FILTER(_xlfn._xlws.FILTER(dataGLBSCF,dataGLBSAcctIDs=$C29),(startDatesCF=EDATE(BV$4,-1)))))*INDEX(PBC_ACCOUNT_LIST[Sign_for_total_cashflow],MATCH($C29,PBC_ACCOUNT_LIST[Id],0))</f>
        <v>0</v>
      </c>
      <c r="BW29" s="547" cm="1">
        <f t="array" ref="BW29">(SUM(_xlfn._xlws.FILTER(_xlfn._xlws.FILTER(dataGLBSCF,dataGLBSAcctIDs=$C29),(endDatesCF=BW$5)))-SUM(_xlfn._xlws.FILTER(_xlfn._xlws.FILTER(dataGLBSCF,dataGLBSAcctIDs=$C29),(startDatesCF=EDATE(BW$4,-1)))))*INDEX(PBC_ACCOUNT_LIST[Sign_for_total_cashflow],MATCH($C29,PBC_ACCOUNT_LIST[Id],0))</f>
        <v>0</v>
      </c>
      <c r="BX29" s="547" cm="1">
        <f t="array" ref="BX29">(SUM(_xlfn._xlws.FILTER(_xlfn._xlws.FILTER(dataGLBSCF,dataGLBSAcctIDs=$C29),(endDatesCF=BX$5)))-SUM(_xlfn._xlws.FILTER(_xlfn._xlws.FILTER(dataGLBSCF,dataGLBSAcctIDs=$C29),(startDatesCF=EDATE(BX$4,-1)))))*INDEX(PBC_ACCOUNT_LIST[Sign_for_total_cashflow],MATCH($C29,PBC_ACCOUNT_LIST[Id],0))</f>
        <v>0</v>
      </c>
    </row>
    <row r="30" spans="1:92" s="234" customFormat="1" ht="21" customHeight="1">
      <c r="A30" s="252"/>
      <c r="B30" s="250"/>
      <c r="C30" s="251"/>
      <c r="D30" s="250"/>
      <c r="E30" s="248"/>
      <c r="F30" s="248"/>
      <c r="G30" s="248"/>
      <c r="H30" s="248"/>
      <c r="I30" s="249"/>
      <c r="J30" s="249"/>
      <c r="K30" s="248"/>
      <c r="L30" s="248"/>
      <c r="M30" s="248"/>
      <c r="N30" s="248"/>
      <c r="O30" s="248"/>
      <c r="P30" s="248"/>
      <c r="Q30" s="248"/>
      <c r="R30" s="248"/>
      <c r="S30" s="248"/>
      <c r="T30" s="248"/>
      <c r="U30" s="248"/>
      <c r="V30" s="248"/>
      <c r="W30" s="248"/>
      <c r="X30" s="248"/>
      <c r="Y30" s="248"/>
      <c r="Z30" s="248"/>
      <c r="AA30" s="249"/>
      <c r="AB30" s="249"/>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c r="BV30" s="248"/>
      <c r="BW30" s="248"/>
      <c r="BX30" s="248"/>
    </row>
    <row r="31" spans="1:92" s="241" customFormat="1" ht="21" customHeight="1">
      <c r="B31" s="244" t="s">
        <v>339</v>
      </c>
      <c r="C31" s="245"/>
      <c r="D31" s="244"/>
      <c r="E31" s="242">
        <f>SUM(E10:E30)</f>
        <v>-631330.5</v>
      </c>
      <c r="F31" s="242">
        <f>SUM(F10:F30)</f>
        <v>-1535018</v>
      </c>
      <c r="G31" s="242">
        <f>SUM(G10:G30)</f>
        <v>-2568103.4889909108</v>
      </c>
      <c r="H31" s="242">
        <f>SUM(H10:H30)</f>
        <v>-2570852.6933919541</v>
      </c>
      <c r="I31" s="243"/>
      <c r="J31" s="243"/>
      <c r="K31" s="242">
        <f t="shared" ref="K31:Z31" si="12">SUM(K10:K30)</f>
        <v>-119362.5</v>
      </c>
      <c r="L31" s="242">
        <f t="shared" si="12"/>
        <v>-144692</v>
      </c>
      <c r="M31" s="242">
        <f t="shared" si="12"/>
        <v>-136938</v>
      </c>
      <c r="N31" s="242">
        <f t="shared" si="12"/>
        <v>-230338</v>
      </c>
      <c r="O31" s="242">
        <f t="shared" si="12"/>
        <v>-275160</v>
      </c>
      <c r="P31" s="242">
        <f t="shared" si="12"/>
        <v>-347989</v>
      </c>
      <c r="Q31" s="242">
        <f t="shared" si="12"/>
        <v>-439631</v>
      </c>
      <c r="R31" s="242">
        <f t="shared" si="12"/>
        <v>-472238</v>
      </c>
      <c r="S31" s="242">
        <f t="shared" si="12"/>
        <v>-537624.02000000014</v>
      </c>
      <c r="T31" s="242">
        <f t="shared" si="12"/>
        <v>-613318.33000000031</v>
      </c>
      <c r="U31" s="242">
        <f t="shared" si="12"/>
        <v>-700917.38</v>
      </c>
      <c r="V31" s="242">
        <f t="shared" si="12"/>
        <v>-716243.75899090897</v>
      </c>
      <c r="W31" s="242">
        <f t="shared" si="12"/>
        <v>-412880.46322165488</v>
      </c>
      <c r="X31" s="242">
        <f t="shared" si="12"/>
        <v>-668121.21785661089</v>
      </c>
      <c r="Y31" s="242">
        <f t="shared" si="12"/>
        <v>-723041.62355235475</v>
      </c>
      <c r="Z31" s="242">
        <f t="shared" si="12"/>
        <v>-766809.38876133412</v>
      </c>
      <c r="AA31" s="243"/>
      <c r="AB31" s="243"/>
      <c r="AC31" s="242">
        <f t="shared" ref="AC31:BX31" si="13">SUM(AC10:AC30)</f>
        <v>-26454</v>
      </c>
      <c r="AD31" s="242">
        <f t="shared" si="13"/>
        <v>-43110.5</v>
      </c>
      <c r="AE31" s="242">
        <f t="shared" si="13"/>
        <v>-49798</v>
      </c>
      <c r="AF31" s="242">
        <f t="shared" si="13"/>
        <v>-49509.5</v>
      </c>
      <c r="AG31" s="242">
        <f t="shared" si="13"/>
        <v>-41657.5</v>
      </c>
      <c r="AH31" s="242">
        <f t="shared" si="13"/>
        <v>-53525</v>
      </c>
      <c r="AI31" s="242">
        <f t="shared" si="13"/>
        <v>-41730.5</v>
      </c>
      <c r="AJ31" s="242">
        <f t="shared" si="13"/>
        <v>-50132.5</v>
      </c>
      <c r="AK31" s="242">
        <f t="shared" si="13"/>
        <v>-45075</v>
      </c>
      <c r="AL31" s="242">
        <f t="shared" si="13"/>
        <v>-51746</v>
      </c>
      <c r="AM31" s="242">
        <f t="shared" si="13"/>
        <v>-67458</v>
      </c>
      <c r="AN31" s="242">
        <f t="shared" si="13"/>
        <v>-111134</v>
      </c>
      <c r="AO31" s="242">
        <f t="shared" si="13"/>
        <v>-76712</v>
      </c>
      <c r="AP31" s="242">
        <f t="shared" si="13"/>
        <v>-126954</v>
      </c>
      <c r="AQ31" s="242">
        <f t="shared" si="13"/>
        <v>-71494</v>
      </c>
      <c r="AR31" s="242">
        <f t="shared" si="13"/>
        <v>-134047</v>
      </c>
      <c r="AS31" s="242">
        <f t="shared" si="13"/>
        <v>-75799</v>
      </c>
      <c r="AT31" s="242">
        <f t="shared" si="13"/>
        <v>-138143</v>
      </c>
      <c r="AU31" s="242">
        <f t="shared" si="13"/>
        <v>-144663</v>
      </c>
      <c r="AV31" s="242">
        <f t="shared" si="13"/>
        <v>-144317</v>
      </c>
      <c r="AW31" s="242">
        <f t="shared" si="13"/>
        <v>-150651</v>
      </c>
      <c r="AX31" s="242">
        <f t="shared" si="13"/>
        <v>-150765</v>
      </c>
      <c r="AY31" s="242">
        <f t="shared" si="13"/>
        <v>-157269</v>
      </c>
      <c r="AZ31" s="242">
        <f t="shared" si="13"/>
        <v>-164204</v>
      </c>
      <c r="BA31" s="242">
        <f t="shared" si="13"/>
        <v>-171471.01999999993</v>
      </c>
      <c r="BB31" s="242">
        <f t="shared" si="13"/>
        <v>-179074</v>
      </c>
      <c r="BC31" s="242">
        <f t="shared" si="13"/>
        <v>-187079</v>
      </c>
      <c r="BD31" s="242">
        <f t="shared" si="13"/>
        <v>-195477.00000000003</v>
      </c>
      <c r="BE31" s="242">
        <f t="shared" si="13"/>
        <v>-204293.00000000003</v>
      </c>
      <c r="BF31" s="242">
        <f t="shared" si="13"/>
        <v>-213548.33000000005</v>
      </c>
      <c r="BG31" s="242">
        <f t="shared" si="13"/>
        <v>-223266.36999999994</v>
      </c>
      <c r="BH31" s="242">
        <f t="shared" si="13"/>
        <v>-233469.12000000005</v>
      </c>
      <c r="BI31" s="242">
        <f t="shared" si="13"/>
        <v>-244181.89</v>
      </c>
      <c r="BJ31" s="242">
        <f t="shared" si="13"/>
        <v>-255428.88000000003</v>
      </c>
      <c r="BK31" s="242">
        <f t="shared" si="13"/>
        <v>-267237.25999999995</v>
      </c>
      <c r="BL31" s="242">
        <f t="shared" si="13"/>
        <v>-193577.6189909091</v>
      </c>
      <c r="BM31" s="242">
        <f t="shared" si="13"/>
        <v>-110922.18650765493</v>
      </c>
      <c r="BN31" s="242">
        <f t="shared" si="13"/>
        <v>-109550.69434817256</v>
      </c>
      <c r="BO31" s="242">
        <f t="shared" si="13"/>
        <v>-192407.5823658274</v>
      </c>
      <c r="BP31" s="242">
        <f t="shared" si="13"/>
        <v>-213934.9264178575</v>
      </c>
      <c r="BQ31" s="242">
        <f t="shared" si="13"/>
        <v>-224761.24856508325</v>
      </c>
      <c r="BR31" s="242">
        <f t="shared" si="13"/>
        <v>-229425.04287366971</v>
      </c>
      <c r="BS31" s="242">
        <f t="shared" si="13"/>
        <v>-236401.71636904031</v>
      </c>
      <c r="BT31" s="242">
        <f t="shared" si="13"/>
        <v>-241454.70994131552</v>
      </c>
      <c r="BU31" s="242">
        <f t="shared" si="13"/>
        <v>-245185.19724199938</v>
      </c>
      <c r="BV31" s="242">
        <f t="shared" si="13"/>
        <v>-248709.26369827928</v>
      </c>
      <c r="BW31" s="242">
        <f t="shared" si="13"/>
        <v>-252097.59362543287</v>
      </c>
      <c r="BX31" s="242">
        <f t="shared" si="13"/>
        <v>-266002.53143762215</v>
      </c>
    </row>
    <row r="32" spans="1:92" s="234" customFormat="1" ht="21" customHeight="1">
      <c r="B32" s="250"/>
      <c r="C32" s="251"/>
      <c r="D32" s="250"/>
      <c r="E32" s="253"/>
      <c r="F32" s="253"/>
      <c r="G32" s="253"/>
      <c r="H32" s="253"/>
      <c r="I32" s="253"/>
      <c r="J32" s="253"/>
      <c r="K32" s="253"/>
      <c r="L32" s="253"/>
      <c r="M32" s="253"/>
      <c r="N32" s="253"/>
      <c r="O32" s="253"/>
      <c r="P32" s="253"/>
      <c r="Q32" s="253"/>
      <c r="R32" s="253"/>
      <c r="S32" s="253"/>
      <c r="T32" s="253"/>
      <c r="U32" s="253"/>
      <c r="V32" s="253"/>
      <c r="W32" s="253"/>
      <c r="X32" s="253"/>
      <c r="Y32" s="253"/>
      <c r="Z32" s="253"/>
      <c r="AA32" s="253"/>
      <c r="AB32" s="253"/>
      <c r="AC32" s="253"/>
      <c r="AD32" s="253"/>
      <c r="AE32" s="253"/>
      <c r="AF32" s="253"/>
      <c r="AG32" s="253"/>
      <c r="AH32" s="253"/>
      <c r="AI32" s="253"/>
      <c r="AJ32" s="253"/>
      <c r="AK32" s="253"/>
      <c r="AL32" s="253"/>
      <c r="AM32" s="253"/>
      <c r="AN32" s="253"/>
      <c r="AO32" s="253"/>
      <c r="AP32" s="253"/>
      <c r="AQ32" s="253"/>
      <c r="AR32" s="253"/>
      <c r="AS32" s="253"/>
      <c r="AT32" s="253"/>
      <c r="AU32" s="253"/>
      <c r="AV32" s="253"/>
      <c r="AW32" s="253"/>
      <c r="AX32" s="253"/>
      <c r="AY32" s="253"/>
      <c r="AZ32" s="253"/>
      <c r="BA32" s="253"/>
      <c r="BB32" s="253"/>
      <c r="BC32" s="253"/>
      <c r="BD32" s="253"/>
      <c r="BE32" s="253"/>
      <c r="BF32" s="253"/>
      <c r="BG32" s="253"/>
      <c r="BH32" s="253"/>
      <c r="BI32" s="253"/>
      <c r="BJ32" s="253"/>
      <c r="BK32" s="253"/>
      <c r="BL32" s="253"/>
      <c r="BM32" s="253"/>
      <c r="BN32" s="253"/>
      <c r="BO32" s="253"/>
      <c r="BP32" s="253"/>
      <c r="BQ32" s="253"/>
      <c r="BR32" s="253"/>
      <c r="BS32" s="253"/>
      <c r="BT32" s="253"/>
      <c r="BU32" s="253"/>
      <c r="BV32" s="253"/>
      <c r="BW32" s="253"/>
      <c r="BX32" s="253"/>
    </row>
    <row r="33" spans="1:76" s="241" customFormat="1" ht="21" customHeight="1">
      <c r="B33" s="244" t="s">
        <v>340</v>
      </c>
      <c r="C33" s="245"/>
      <c r="D33" s="244"/>
      <c r="E33" s="253"/>
      <c r="F33" s="253"/>
      <c r="G33" s="253"/>
      <c r="H33" s="253"/>
      <c r="I33" s="253"/>
      <c r="J33" s="253"/>
      <c r="K33" s="253"/>
      <c r="L33" s="253"/>
      <c r="M33" s="253"/>
      <c r="N33" s="253"/>
      <c r="O33" s="253"/>
      <c r="P33" s="253"/>
      <c r="Q33" s="253"/>
      <c r="R33" s="253"/>
      <c r="S33" s="253"/>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c r="AU33" s="253"/>
      <c r="AV33" s="253"/>
      <c r="AW33" s="253"/>
      <c r="AX33" s="253"/>
      <c r="AY33" s="253"/>
      <c r="AZ33" s="253"/>
      <c r="BA33" s="253"/>
      <c r="BB33" s="253"/>
      <c r="BC33" s="253"/>
      <c r="BD33" s="253"/>
      <c r="BE33" s="253"/>
      <c r="BF33" s="253"/>
      <c r="BG33" s="253"/>
      <c r="BH33" s="253"/>
      <c r="BI33" s="253"/>
      <c r="BJ33" s="253"/>
      <c r="BK33" s="253"/>
      <c r="BL33" s="253"/>
      <c r="BM33" s="253"/>
      <c r="BN33" s="253"/>
      <c r="BO33" s="253"/>
      <c r="BP33" s="253"/>
      <c r="BQ33" s="253"/>
      <c r="BR33" s="253"/>
      <c r="BS33" s="253"/>
      <c r="BT33" s="253"/>
      <c r="BU33" s="253"/>
      <c r="BV33" s="253"/>
      <c r="BW33" s="253"/>
      <c r="BX33" s="253"/>
    </row>
    <row r="34" spans="1:76" customFormat="1" ht="21" customHeight="1">
      <c r="B34" s="685" t="s">
        <v>290</v>
      </c>
      <c r="C34">
        <v>152</v>
      </c>
      <c r="E34" s="547" cm="1">
        <f t="array" ref="E34">(SUM(_xlfn._xlws.FILTER(_xlfn._xlws.FILTER(dataGLBSCF,dataGLBSAcctIDs=$C34),(endDatesCF=E$5)))-SUM(_xlfn._xlws.FILTER(_xlfn._xlws.FILTER(dataGLBSCF,dataGLBSAcctIDs=$C34),(startDatesCF=EDATE(E$4,-1)))))*INDEX(PBC_ACCOUNT_LIST[Sign_for_total_cashflow],MATCH($C34,PBC_ACCOUNT_LIST[Id],0))</f>
        <v>-10000</v>
      </c>
      <c r="F34" s="547" cm="1">
        <f t="array" ref="F34">(SUM(_xlfn._xlws.FILTER(_xlfn._xlws.FILTER(dataGLBSCF,dataGLBSAcctIDs=$C34),(endDatesCF=F$5)))-SUM(_xlfn._xlws.FILTER(_xlfn._xlws.FILTER(dataGLBSCF,dataGLBSAcctIDs=$C34),(startDatesCF=EDATE(F$4,-1)))))*INDEX(PBC_ACCOUNT_LIST[Sign_for_total_cashflow],MATCH($C34,PBC_ACCOUNT_LIST[Id],0))</f>
        <v>-5000</v>
      </c>
      <c r="G34" s="547" cm="1">
        <f t="array" ref="G34">(SUM(_xlfn._xlws.FILTER(_xlfn._xlws.FILTER(dataGLBSCF,dataGLBSAcctIDs=$C34),(endDatesCF=G$5)))-SUM(_xlfn._xlws.FILTER(_xlfn._xlws.FILTER(dataGLBSCF,dataGLBSAcctIDs=$C34),(startDatesCF=EDATE(G$4,-1)))))*INDEX(PBC_ACCOUNT_LIST[Sign_for_total_cashflow],MATCH($C34,PBC_ACCOUNT_LIST[Id],0))</f>
        <v>-20000</v>
      </c>
      <c r="H34" s="547" cm="1">
        <f t="array" ref="H34">(SUM(_xlfn._xlws.FILTER(_xlfn._xlws.FILTER(dataGLBSCF,dataGLBSAcctIDs=$C34),(endDatesCF=H$5)))-SUM(_xlfn._xlws.FILTER(_xlfn._xlws.FILTER(dataGLBSCF,dataGLBSAcctIDs=$C34),(startDatesCF=EDATE(H$4,-1)))))*INDEX(PBC_ACCOUNT_LIST[Sign_for_total_cashflow],MATCH($C34,PBC_ACCOUNT_LIST[Id],0))</f>
        <v>0</v>
      </c>
      <c r="I34" s="547"/>
      <c r="J34" s="547"/>
      <c r="K34" s="547" cm="1">
        <f t="array" ref="K34">(SUM(_xlfn._xlws.FILTER(_xlfn._xlws.FILTER(dataGLBSCF,dataGLBSAcctIDs=$C34),(endDatesCF=K$5)))-SUM(_xlfn._xlws.FILTER(_xlfn._xlws.FILTER(dataGLBSCF,dataGLBSAcctIDs=$C34),(startDatesCF=EDATE(K$4,-1)))))*INDEX(PBC_ACCOUNT_LIST[Sign_for_total_cashflow],MATCH($C34,PBC_ACCOUNT_LIST[Id],0))</f>
        <v>-5000</v>
      </c>
      <c r="L34" s="547" cm="1">
        <f t="array" ref="L34">(SUM(_xlfn._xlws.FILTER(_xlfn._xlws.FILTER(dataGLBSCF,dataGLBSAcctIDs=$C34),(endDatesCF=L$5)))-SUM(_xlfn._xlws.FILTER(_xlfn._xlws.FILTER(dataGLBSCF,dataGLBSAcctIDs=$C34),(startDatesCF=EDATE(L$4,-1)))))*INDEX(PBC_ACCOUNT_LIST[Sign_for_total_cashflow],MATCH($C34,PBC_ACCOUNT_LIST[Id],0))</f>
        <v>-2500</v>
      </c>
      <c r="M34" s="547" cm="1">
        <f t="array" ref="M34">(SUM(_xlfn._xlws.FILTER(_xlfn._xlws.FILTER(dataGLBSCF,dataGLBSAcctIDs=$C34),(endDatesCF=M$5)))-SUM(_xlfn._xlws.FILTER(_xlfn._xlws.FILTER(dataGLBSCF,dataGLBSAcctIDs=$C34),(startDatesCF=EDATE(M$4,-1)))))*INDEX(PBC_ACCOUNT_LIST[Sign_for_total_cashflow],MATCH($C34,PBC_ACCOUNT_LIST[Id],0))</f>
        <v>-2500</v>
      </c>
      <c r="N34" s="547" cm="1">
        <f t="array" ref="N34">(SUM(_xlfn._xlws.FILTER(_xlfn._xlws.FILTER(dataGLBSCF,dataGLBSAcctIDs=$C34),(endDatesCF=N$5)))-SUM(_xlfn._xlws.FILTER(_xlfn._xlws.FILTER(dataGLBSCF,dataGLBSAcctIDs=$C34),(startDatesCF=EDATE(N$4,-1)))))*INDEX(PBC_ACCOUNT_LIST[Sign_for_total_cashflow],MATCH($C34,PBC_ACCOUNT_LIST[Id],0))</f>
        <v>0</v>
      </c>
      <c r="O34" s="547" cm="1">
        <f t="array" ref="O34">(SUM(_xlfn._xlws.FILTER(_xlfn._xlws.FILTER(dataGLBSCF,dataGLBSAcctIDs=$C34),(endDatesCF=O$5)))-SUM(_xlfn._xlws.FILTER(_xlfn._xlws.FILTER(dataGLBSCF,dataGLBSAcctIDs=$C34),(startDatesCF=EDATE(O$4,-1)))))*INDEX(PBC_ACCOUNT_LIST[Sign_for_total_cashflow],MATCH($C34,PBC_ACCOUNT_LIST[Id],0))</f>
        <v>-5000</v>
      </c>
      <c r="P34" s="547" cm="1">
        <f t="array" ref="P34">(SUM(_xlfn._xlws.FILTER(_xlfn._xlws.FILTER(dataGLBSCF,dataGLBSAcctIDs=$C34),(endDatesCF=P$5)))-SUM(_xlfn._xlws.FILTER(_xlfn._xlws.FILTER(dataGLBSCF,dataGLBSAcctIDs=$C34),(startDatesCF=EDATE(P$4,-1)))))*INDEX(PBC_ACCOUNT_LIST[Sign_for_total_cashflow],MATCH($C34,PBC_ACCOUNT_LIST[Id],0))</f>
        <v>0</v>
      </c>
      <c r="Q34" s="547" cm="1">
        <f t="array" ref="Q34">(SUM(_xlfn._xlws.FILTER(_xlfn._xlws.FILTER(dataGLBSCF,dataGLBSAcctIDs=$C34),(endDatesCF=Q$5)))-SUM(_xlfn._xlws.FILTER(_xlfn._xlws.FILTER(dataGLBSCF,dataGLBSAcctIDs=$C34),(startDatesCF=EDATE(Q$4,-1)))))*INDEX(PBC_ACCOUNT_LIST[Sign_for_total_cashflow],MATCH($C34,PBC_ACCOUNT_LIST[Id],0))</f>
        <v>0</v>
      </c>
      <c r="R34" s="547" cm="1">
        <f t="array" ref="R34">(SUM(_xlfn._xlws.FILTER(_xlfn._xlws.FILTER(dataGLBSCF,dataGLBSAcctIDs=$C34),(endDatesCF=R$5)))-SUM(_xlfn._xlws.FILTER(_xlfn._xlws.FILTER(dataGLBSCF,dataGLBSAcctIDs=$C34),(startDatesCF=EDATE(R$4,-1)))))*INDEX(PBC_ACCOUNT_LIST[Sign_for_total_cashflow],MATCH($C34,PBC_ACCOUNT_LIST[Id],0))</f>
        <v>0</v>
      </c>
      <c r="S34" s="547" cm="1">
        <f t="array" ref="S34">(SUM(_xlfn._xlws.FILTER(_xlfn._xlws.FILTER(dataGLBSCF,dataGLBSAcctIDs=$C34),(endDatesCF=S$5)))-SUM(_xlfn._xlws.FILTER(_xlfn._xlws.FILTER(dataGLBSCF,dataGLBSAcctIDs=$C34),(startDatesCF=EDATE(S$4,-1)))))*INDEX(PBC_ACCOUNT_LIST[Sign_for_total_cashflow],MATCH($C34,PBC_ACCOUNT_LIST[Id],0))</f>
        <v>0</v>
      </c>
      <c r="T34" s="547" cm="1">
        <f t="array" ref="T34">(SUM(_xlfn._xlws.FILTER(_xlfn._xlws.FILTER(dataGLBSCF,dataGLBSAcctIDs=$C34),(endDatesCF=T$5)))-SUM(_xlfn._xlws.FILTER(_xlfn._xlws.FILTER(dataGLBSCF,dataGLBSAcctIDs=$C34),(startDatesCF=EDATE(T$4,-1)))))*INDEX(PBC_ACCOUNT_LIST[Sign_for_total_cashflow],MATCH($C34,PBC_ACCOUNT_LIST[Id],0))</f>
        <v>0</v>
      </c>
      <c r="U34" s="547" cm="1">
        <f t="array" ref="U34">(SUM(_xlfn._xlws.FILTER(_xlfn._xlws.FILTER(dataGLBSCF,dataGLBSAcctIDs=$C34),(endDatesCF=U$5)))-SUM(_xlfn._xlws.FILTER(_xlfn._xlws.FILTER(dataGLBSCF,dataGLBSAcctIDs=$C34),(startDatesCF=EDATE(U$4,-1)))))*INDEX(PBC_ACCOUNT_LIST[Sign_for_total_cashflow],MATCH($C34,PBC_ACCOUNT_LIST[Id],0))</f>
        <v>0</v>
      </c>
      <c r="V34" s="547" cm="1">
        <f t="array" ref="V34">(SUM(_xlfn._xlws.FILTER(_xlfn._xlws.FILTER(dataGLBSCF,dataGLBSAcctIDs=$C34),(endDatesCF=V$5)))-SUM(_xlfn._xlws.FILTER(_xlfn._xlws.FILTER(dataGLBSCF,dataGLBSAcctIDs=$C34),(startDatesCF=EDATE(V$4,-1)))))*INDEX(PBC_ACCOUNT_LIST[Sign_for_total_cashflow],MATCH($C34,PBC_ACCOUNT_LIST[Id],0))</f>
        <v>-20000</v>
      </c>
      <c r="W34" s="547" cm="1">
        <f t="array" ref="W34">(SUM(_xlfn._xlws.FILTER(_xlfn._xlws.FILTER(dataGLBSCF,dataGLBSAcctIDs=$C34),(endDatesCF=W$5)))-SUM(_xlfn._xlws.FILTER(_xlfn._xlws.FILTER(dataGLBSCF,dataGLBSAcctIDs=$C34),(startDatesCF=EDATE(W$4,-1)))))*INDEX(PBC_ACCOUNT_LIST[Sign_for_total_cashflow],MATCH($C34,PBC_ACCOUNT_LIST[Id],0))</f>
        <v>0</v>
      </c>
      <c r="X34" s="547" cm="1">
        <f t="array" ref="X34">(SUM(_xlfn._xlws.FILTER(_xlfn._xlws.FILTER(dataGLBSCF,dataGLBSAcctIDs=$C34),(endDatesCF=X$5)))-SUM(_xlfn._xlws.FILTER(_xlfn._xlws.FILTER(dataGLBSCF,dataGLBSAcctIDs=$C34),(startDatesCF=EDATE(X$4,-1)))))*INDEX(PBC_ACCOUNT_LIST[Sign_for_total_cashflow],MATCH($C34,PBC_ACCOUNT_LIST[Id],0))</f>
        <v>0</v>
      </c>
      <c r="Y34" s="547" cm="1">
        <f t="array" ref="Y34">(SUM(_xlfn._xlws.FILTER(_xlfn._xlws.FILTER(dataGLBSCF,dataGLBSAcctIDs=$C34),(endDatesCF=Y$5)))-SUM(_xlfn._xlws.FILTER(_xlfn._xlws.FILTER(dataGLBSCF,dataGLBSAcctIDs=$C34),(startDatesCF=EDATE(Y$4,-1)))))*INDEX(PBC_ACCOUNT_LIST[Sign_for_total_cashflow],MATCH($C34,PBC_ACCOUNT_LIST[Id],0))</f>
        <v>0</v>
      </c>
      <c r="Z34" s="547" cm="1">
        <f t="array" ref="Z34">(SUM(_xlfn._xlws.FILTER(_xlfn._xlws.FILTER(dataGLBSCF,dataGLBSAcctIDs=$C34),(endDatesCF=Z$5)))-SUM(_xlfn._xlws.FILTER(_xlfn._xlws.FILTER(dataGLBSCF,dataGLBSAcctIDs=$C34),(startDatesCF=EDATE(Z$4,-1)))))*INDEX(PBC_ACCOUNT_LIST[Sign_for_total_cashflow],MATCH($C34,PBC_ACCOUNT_LIST[Id],0))</f>
        <v>0</v>
      </c>
      <c r="AA34" s="547"/>
      <c r="AB34" s="547"/>
      <c r="AC34" s="547" cm="1">
        <f t="array" ref="AC34">(SUM(_xlfn._xlws.FILTER(_xlfn._xlws.FILTER(dataGLBSCF,dataGLBSAcctIDs=$C34),(endDatesCF=AC$5)))-SUM(_xlfn._xlws.FILTER(_xlfn._xlws.FILTER(dataGLBSCF,dataGLBSAcctIDs=$C34),(startDatesCF=EDATE(AC$4,-1)))))*INDEX(PBC_ACCOUNT_LIST[Sign_for_total_cashflow],MATCH($C34,PBC_ACCOUNT_LIST[Id],0))</f>
        <v>-2500</v>
      </c>
      <c r="AD34" s="547" cm="1">
        <f t="array" ref="AD34">(SUM(_xlfn._xlws.FILTER(_xlfn._xlws.FILTER(dataGLBSCF,dataGLBSAcctIDs=$C34),(endDatesCF=AD$5)))-SUM(_xlfn._xlws.FILTER(_xlfn._xlws.FILTER(dataGLBSCF,dataGLBSAcctIDs=$C34),(startDatesCF=EDATE(AD$4,-1)))))*INDEX(PBC_ACCOUNT_LIST[Sign_for_total_cashflow],MATCH($C34,PBC_ACCOUNT_LIST[Id],0))</f>
        <v>0</v>
      </c>
      <c r="AE34" s="547" cm="1">
        <f t="array" ref="AE34">(SUM(_xlfn._xlws.FILTER(_xlfn._xlws.FILTER(dataGLBSCF,dataGLBSAcctIDs=$C34),(endDatesCF=AE$5)))-SUM(_xlfn._xlws.FILTER(_xlfn._xlws.FILTER(dataGLBSCF,dataGLBSAcctIDs=$C34),(startDatesCF=EDATE(AE$4,-1)))))*INDEX(PBC_ACCOUNT_LIST[Sign_for_total_cashflow],MATCH($C34,PBC_ACCOUNT_LIST[Id],0))</f>
        <v>-2500</v>
      </c>
      <c r="AF34" s="547" cm="1">
        <f t="array" ref="AF34">(SUM(_xlfn._xlws.FILTER(_xlfn._xlws.FILTER(dataGLBSCF,dataGLBSAcctIDs=$C34),(endDatesCF=AF$5)))-SUM(_xlfn._xlws.FILTER(_xlfn._xlws.FILTER(dataGLBSCF,dataGLBSAcctIDs=$C34),(startDatesCF=EDATE(AF$4,-1)))))*INDEX(PBC_ACCOUNT_LIST[Sign_for_total_cashflow],MATCH($C34,PBC_ACCOUNT_LIST[Id],0))</f>
        <v>0</v>
      </c>
      <c r="AG34" s="547" cm="1">
        <f t="array" ref="AG34">(SUM(_xlfn._xlws.FILTER(_xlfn._xlws.FILTER(dataGLBSCF,dataGLBSAcctIDs=$C34),(endDatesCF=AG$5)))-SUM(_xlfn._xlws.FILTER(_xlfn._xlws.FILTER(dataGLBSCF,dataGLBSAcctIDs=$C34),(startDatesCF=EDATE(AG$4,-1)))))*INDEX(PBC_ACCOUNT_LIST[Sign_for_total_cashflow],MATCH($C34,PBC_ACCOUNT_LIST[Id],0))</f>
        <v>-2500</v>
      </c>
      <c r="AH34" s="547" cm="1">
        <f t="array" ref="AH34">(SUM(_xlfn._xlws.FILTER(_xlfn._xlws.FILTER(dataGLBSCF,dataGLBSAcctIDs=$C34),(endDatesCF=AH$5)))-SUM(_xlfn._xlws.FILTER(_xlfn._xlws.FILTER(dataGLBSCF,dataGLBSAcctIDs=$C34),(startDatesCF=EDATE(AH$4,-1)))))*INDEX(PBC_ACCOUNT_LIST[Sign_for_total_cashflow],MATCH($C34,PBC_ACCOUNT_LIST[Id],0))</f>
        <v>0</v>
      </c>
      <c r="AI34" s="547" cm="1">
        <f t="array" ref="AI34">(SUM(_xlfn._xlws.FILTER(_xlfn._xlws.FILTER(dataGLBSCF,dataGLBSAcctIDs=$C34),(endDatesCF=AI$5)))-SUM(_xlfn._xlws.FILTER(_xlfn._xlws.FILTER(dataGLBSCF,dataGLBSAcctIDs=$C34),(startDatesCF=EDATE(AI$4,-1)))))*INDEX(PBC_ACCOUNT_LIST[Sign_for_total_cashflow],MATCH($C34,PBC_ACCOUNT_LIST[Id],0))</f>
        <v>0</v>
      </c>
      <c r="AJ34" s="547" cm="1">
        <f t="array" ref="AJ34">(SUM(_xlfn._xlws.FILTER(_xlfn._xlws.FILTER(dataGLBSCF,dataGLBSAcctIDs=$C34),(endDatesCF=AJ$5)))-SUM(_xlfn._xlws.FILTER(_xlfn._xlws.FILTER(dataGLBSCF,dataGLBSAcctIDs=$C34),(startDatesCF=EDATE(AJ$4,-1)))))*INDEX(PBC_ACCOUNT_LIST[Sign_for_total_cashflow],MATCH($C34,PBC_ACCOUNT_LIST[Id],0))</f>
        <v>-2500</v>
      </c>
      <c r="AK34" s="547" cm="1">
        <f t="array" ref="AK34">(SUM(_xlfn._xlws.FILTER(_xlfn._xlws.FILTER(dataGLBSCF,dataGLBSAcctIDs=$C34),(endDatesCF=AK$5)))-SUM(_xlfn._xlws.FILTER(_xlfn._xlws.FILTER(dataGLBSCF,dataGLBSAcctIDs=$C34),(startDatesCF=EDATE(AK$4,-1)))))*INDEX(PBC_ACCOUNT_LIST[Sign_for_total_cashflow],MATCH($C34,PBC_ACCOUNT_LIST[Id],0))</f>
        <v>0</v>
      </c>
      <c r="AL34" s="547" cm="1">
        <f t="array" ref="AL34">(SUM(_xlfn._xlws.FILTER(_xlfn._xlws.FILTER(dataGLBSCF,dataGLBSAcctIDs=$C34),(endDatesCF=AL$5)))-SUM(_xlfn._xlws.FILTER(_xlfn._xlws.FILTER(dataGLBSCF,dataGLBSAcctIDs=$C34),(startDatesCF=EDATE(AL$4,-1)))))*INDEX(PBC_ACCOUNT_LIST[Sign_for_total_cashflow],MATCH($C34,PBC_ACCOUNT_LIST[Id],0))</f>
        <v>0</v>
      </c>
      <c r="AM34" s="547" cm="1">
        <f t="array" ref="AM34">(SUM(_xlfn._xlws.FILTER(_xlfn._xlws.FILTER(dataGLBSCF,dataGLBSAcctIDs=$C34),(endDatesCF=AM$5)))-SUM(_xlfn._xlws.FILTER(_xlfn._xlws.FILTER(dataGLBSCF,dataGLBSAcctIDs=$C34),(startDatesCF=EDATE(AM$4,-1)))))*INDEX(PBC_ACCOUNT_LIST[Sign_for_total_cashflow],MATCH($C34,PBC_ACCOUNT_LIST[Id],0))</f>
        <v>0</v>
      </c>
      <c r="AN34" s="547" cm="1">
        <f t="array" ref="AN34">(SUM(_xlfn._xlws.FILTER(_xlfn._xlws.FILTER(dataGLBSCF,dataGLBSAcctIDs=$C34),(endDatesCF=AN$5)))-SUM(_xlfn._xlws.FILTER(_xlfn._xlws.FILTER(dataGLBSCF,dataGLBSAcctIDs=$C34),(startDatesCF=EDATE(AN$4,-1)))))*INDEX(PBC_ACCOUNT_LIST[Sign_for_total_cashflow],MATCH($C34,PBC_ACCOUNT_LIST[Id],0))</f>
        <v>0</v>
      </c>
      <c r="AO34" s="547" cm="1">
        <f t="array" ref="AO34">(SUM(_xlfn._xlws.FILTER(_xlfn._xlws.FILTER(dataGLBSCF,dataGLBSAcctIDs=$C34),(endDatesCF=AO$5)))-SUM(_xlfn._xlws.FILTER(_xlfn._xlws.FILTER(dataGLBSCF,dataGLBSAcctIDs=$C34),(startDatesCF=EDATE(AO$4,-1)))))*INDEX(PBC_ACCOUNT_LIST[Sign_for_total_cashflow],MATCH($C34,PBC_ACCOUNT_LIST[Id],0))</f>
        <v>-5000</v>
      </c>
      <c r="AP34" s="547" cm="1">
        <f t="array" ref="AP34">(SUM(_xlfn._xlws.FILTER(_xlfn._xlws.FILTER(dataGLBSCF,dataGLBSAcctIDs=$C34),(endDatesCF=AP$5)))-SUM(_xlfn._xlws.FILTER(_xlfn._xlws.FILTER(dataGLBSCF,dataGLBSAcctIDs=$C34),(startDatesCF=EDATE(AP$4,-1)))))*INDEX(PBC_ACCOUNT_LIST[Sign_for_total_cashflow],MATCH($C34,PBC_ACCOUNT_LIST[Id],0))</f>
        <v>0</v>
      </c>
      <c r="AQ34" s="547" cm="1">
        <f t="array" ref="AQ34">(SUM(_xlfn._xlws.FILTER(_xlfn._xlws.FILTER(dataGLBSCF,dataGLBSAcctIDs=$C34),(endDatesCF=AQ$5)))-SUM(_xlfn._xlws.FILTER(_xlfn._xlws.FILTER(dataGLBSCF,dataGLBSAcctIDs=$C34),(startDatesCF=EDATE(AQ$4,-1)))))*INDEX(PBC_ACCOUNT_LIST[Sign_for_total_cashflow],MATCH($C34,PBC_ACCOUNT_LIST[Id],0))</f>
        <v>0</v>
      </c>
      <c r="AR34" s="547" cm="1">
        <f t="array" ref="AR34">(SUM(_xlfn._xlws.FILTER(_xlfn._xlws.FILTER(dataGLBSCF,dataGLBSAcctIDs=$C34),(endDatesCF=AR$5)))-SUM(_xlfn._xlws.FILTER(_xlfn._xlws.FILTER(dataGLBSCF,dataGLBSAcctIDs=$C34),(startDatesCF=EDATE(AR$4,-1)))))*INDEX(PBC_ACCOUNT_LIST[Sign_for_total_cashflow],MATCH($C34,PBC_ACCOUNT_LIST[Id],0))</f>
        <v>0</v>
      </c>
      <c r="AS34" s="547" cm="1">
        <f t="array" ref="AS34">(SUM(_xlfn._xlws.FILTER(_xlfn._xlws.FILTER(dataGLBSCF,dataGLBSAcctIDs=$C34),(endDatesCF=AS$5)))-SUM(_xlfn._xlws.FILTER(_xlfn._xlws.FILTER(dataGLBSCF,dataGLBSAcctIDs=$C34),(startDatesCF=EDATE(AS$4,-1)))))*INDEX(PBC_ACCOUNT_LIST[Sign_for_total_cashflow],MATCH($C34,PBC_ACCOUNT_LIST[Id],0))</f>
        <v>0</v>
      </c>
      <c r="AT34" s="547" cm="1">
        <f t="array" ref="AT34">(SUM(_xlfn._xlws.FILTER(_xlfn._xlws.FILTER(dataGLBSCF,dataGLBSAcctIDs=$C34),(endDatesCF=AT$5)))-SUM(_xlfn._xlws.FILTER(_xlfn._xlws.FILTER(dataGLBSCF,dataGLBSAcctIDs=$C34),(startDatesCF=EDATE(AT$4,-1)))))*INDEX(PBC_ACCOUNT_LIST[Sign_for_total_cashflow],MATCH($C34,PBC_ACCOUNT_LIST[Id],0))</f>
        <v>0</v>
      </c>
      <c r="AU34" s="547" cm="1">
        <f t="array" ref="AU34">(SUM(_xlfn._xlws.FILTER(_xlfn._xlws.FILTER(dataGLBSCF,dataGLBSAcctIDs=$C34),(endDatesCF=AU$5)))-SUM(_xlfn._xlws.FILTER(_xlfn._xlws.FILTER(dataGLBSCF,dataGLBSAcctIDs=$C34),(startDatesCF=EDATE(AU$4,-1)))))*INDEX(PBC_ACCOUNT_LIST[Sign_for_total_cashflow],MATCH($C34,PBC_ACCOUNT_LIST[Id],0))</f>
        <v>0</v>
      </c>
      <c r="AV34" s="547" cm="1">
        <f t="array" ref="AV34">(SUM(_xlfn._xlws.FILTER(_xlfn._xlws.FILTER(dataGLBSCF,dataGLBSAcctIDs=$C34),(endDatesCF=AV$5)))-SUM(_xlfn._xlws.FILTER(_xlfn._xlws.FILTER(dataGLBSCF,dataGLBSAcctIDs=$C34),(startDatesCF=EDATE(AV$4,-1)))))*INDEX(PBC_ACCOUNT_LIST[Sign_for_total_cashflow],MATCH($C34,PBC_ACCOUNT_LIST[Id],0))</f>
        <v>0</v>
      </c>
      <c r="AW34" s="547" cm="1">
        <f t="array" ref="AW34">(SUM(_xlfn._xlws.FILTER(_xlfn._xlws.FILTER(dataGLBSCF,dataGLBSAcctIDs=$C34),(endDatesCF=AW$5)))-SUM(_xlfn._xlws.FILTER(_xlfn._xlws.FILTER(dataGLBSCF,dataGLBSAcctIDs=$C34),(startDatesCF=EDATE(AW$4,-1)))))*INDEX(PBC_ACCOUNT_LIST[Sign_for_total_cashflow],MATCH($C34,PBC_ACCOUNT_LIST[Id],0))</f>
        <v>0</v>
      </c>
      <c r="AX34" s="547" cm="1">
        <f t="array" ref="AX34">(SUM(_xlfn._xlws.FILTER(_xlfn._xlws.FILTER(dataGLBSCF,dataGLBSAcctIDs=$C34),(endDatesCF=AX$5)))-SUM(_xlfn._xlws.FILTER(_xlfn._xlws.FILTER(dataGLBSCF,dataGLBSAcctIDs=$C34),(startDatesCF=EDATE(AX$4,-1)))))*INDEX(PBC_ACCOUNT_LIST[Sign_for_total_cashflow],MATCH($C34,PBC_ACCOUNT_LIST[Id],0))</f>
        <v>0</v>
      </c>
      <c r="AY34" s="547" cm="1">
        <f t="array" ref="AY34">(SUM(_xlfn._xlws.FILTER(_xlfn._xlws.FILTER(dataGLBSCF,dataGLBSAcctIDs=$C34),(endDatesCF=AY$5)))-SUM(_xlfn._xlws.FILTER(_xlfn._xlws.FILTER(dataGLBSCF,dataGLBSAcctIDs=$C34),(startDatesCF=EDATE(AY$4,-1)))))*INDEX(PBC_ACCOUNT_LIST[Sign_for_total_cashflow],MATCH($C34,PBC_ACCOUNT_LIST[Id],0))</f>
        <v>0</v>
      </c>
      <c r="AZ34" s="547" cm="1">
        <f t="array" ref="AZ34">(SUM(_xlfn._xlws.FILTER(_xlfn._xlws.FILTER(dataGLBSCF,dataGLBSAcctIDs=$C34),(endDatesCF=AZ$5)))-SUM(_xlfn._xlws.FILTER(_xlfn._xlws.FILTER(dataGLBSCF,dataGLBSAcctIDs=$C34),(startDatesCF=EDATE(AZ$4,-1)))))*INDEX(PBC_ACCOUNT_LIST[Sign_for_total_cashflow],MATCH($C34,PBC_ACCOUNT_LIST[Id],0))</f>
        <v>0</v>
      </c>
      <c r="BA34" s="547" cm="1">
        <f t="array" ref="BA34">(SUM(_xlfn._xlws.FILTER(_xlfn._xlws.FILTER(dataGLBSCF,dataGLBSAcctIDs=$C34),(endDatesCF=BA$5)))-SUM(_xlfn._xlws.FILTER(_xlfn._xlws.FILTER(dataGLBSCF,dataGLBSAcctIDs=$C34),(startDatesCF=EDATE(BA$4,-1)))))*INDEX(PBC_ACCOUNT_LIST[Sign_for_total_cashflow],MATCH($C34,PBC_ACCOUNT_LIST[Id],0))</f>
        <v>0</v>
      </c>
      <c r="BB34" s="547" cm="1">
        <f t="array" ref="BB34">(SUM(_xlfn._xlws.FILTER(_xlfn._xlws.FILTER(dataGLBSCF,dataGLBSAcctIDs=$C34),(endDatesCF=BB$5)))-SUM(_xlfn._xlws.FILTER(_xlfn._xlws.FILTER(dataGLBSCF,dataGLBSAcctIDs=$C34),(startDatesCF=EDATE(BB$4,-1)))))*INDEX(PBC_ACCOUNT_LIST[Sign_for_total_cashflow],MATCH($C34,PBC_ACCOUNT_LIST[Id],0))</f>
        <v>0</v>
      </c>
      <c r="BC34" s="547" cm="1">
        <f t="array" ref="BC34">(SUM(_xlfn._xlws.FILTER(_xlfn._xlws.FILTER(dataGLBSCF,dataGLBSAcctIDs=$C34),(endDatesCF=BC$5)))-SUM(_xlfn._xlws.FILTER(_xlfn._xlws.FILTER(dataGLBSCF,dataGLBSAcctIDs=$C34),(startDatesCF=EDATE(BC$4,-1)))))*INDEX(PBC_ACCOUNT_LIST[Sign_for_total_cashflow],MATCH($C34,PBC_ACCOUNT_LIST[Id],0))</f>
        <v>0</v>
      </c>
      <c r="BD34" s="547" cm="1">
        <f t="array" ref="BD34">(SUM(_xlfn._xlws.FILTER(_xlfn._xlws.FILTER(dataGLBSCF,dataGLBSAcctIDs=$C34),(endDatesCF=BD$5)))-SUM(_xlfn._xlws.FILTER(_xlfn._xlws.FILTER(dataGLBSCF,dataGLBSAcctIDs=$C34),(startDatesCF=EDATE(BD$4,-1)))))*INDEX(PBC_ACCOUNT_LIST[Sign_for_total_cashflow],MATCH($C34,PBC_ACCOUNT_LIST[Id],0))</f>
        <v>0</v>
      </c>
      <c r="BE34" s="547" cm="1">
        <f t="array" ref="BE34">(SUM(_xlfn._xlws.FILTER(_xlfn._xlws.FILTER(dataGLBSCF,dataGLBSAcctIDs=$C34),(endDatesCF=BE$5)))-SUM(_xlfn._xlws.FILTER(_xlfn._xlws.FILTER(dataGLBSCF,dataGLBSAcctIDs=$C34),(startDatesCF=EDATE(BE$4,-1)))))*INDEX(PBC_ACCOUNT_LIST[Sign_for_total_cashflow],MATCH($C34,PBC_ACCOUNT_LIST[Id],0))</f>
        <v>0</v>
      </c>
      <c r="BF34" s="547" cm="1">
        <f t="array" ref="BF34">(SUM(_xlfn._xlws.FILTER(_xlfn._xlws.FILTER(dataGLBSCF,dataGLBSAcctIDs=$C34),(endDatesCF=BF$5)))-SUM(_xlfn._xlws.FILTER(_xlfn._xlws.FILTER(dataGLBSCF,dataGLBSAcctIDs=$C34),(startDatesCF=EDATE(BF$4,-1)))))*INDEX(PBC_ACCOUNT_LIST[Sign_for_total_cashflow],MATCH($C34,PBC_ACCOUNT_LIST[Id],0))</f>
        <v>0</v>
      </c>
      <c r="BG34" s="547" cm="1">
        <f t="array" ref="BG34">(SUM(_xlfn._xlws.FILTER(_xlfn._xlws.FILTER(dataGLBSCF,dataGLBSAcctIDs=$C34),(endDatesCF=BG$5)))-SUM(_xlfn._xlws.FILTER(_xlfn._xlws.FILTER(dataGLBSCF,dataGLBSAcctIDs=$C34),(startDatesCF=EDATE(BG$4,-1)))))*INDEX(PBC_ACCOUNT_LIST[Sign_for_total_cashflow],MATCH($C34,PBC_ACCOUNT_LIST[Id],0))</f>
        <v>0</v>
      </c>
      <c r="BH34" s="547" cm="1">
        <f t="array" ref="BH34">(SUM(_xlfn._xlws.FILTER(_xlfn._xlws.FILTER(dataGLBSCF,dataGLBSAcctIDs=$C34),(endDatesCF=BH$5)))-SUM(_xlfn._xlws.FILTER(_xlfn._xlws.FILTER(dataGLBSCF,dataGLBSAcctIDs=$C34),(startDatesCF=EDATE(BH$4,-1)))))*INDEX(PBC_ACCOUNT_LIST[Sign_for_total_cashflow],MATCH($C34,PBC_ACCOUNT_LIST[Id],0))</f>
        <v>0</v>
      </c>
      <c r="BI34" s="547" cm="1">
        <f t="array" ref="BI34">(SUM(_xlfn._xlws.FILTER(_xlfn._xlws.FILTER(dataGLBSCF,dataGLBSAcctIDs=$C34),(endDatesCF=BI$5)))-SUM(_xlfn._xlws.FILTER(_xlfn._xlws.FILTER(dataGLBSCF,dataGLBSAcctIDs=$C34),(startDatesCF=EDATE(BI$4,-1)))))*INDEX(PBC_ACCOUNT_LIST[Sign_for_total_cashflow],MATCH($C34,PBC_ACCOUNT_LIST[Id],0))</f>
        <v>0</v>
      </c>
      <c r="BJ34" s="547" cm="1">
        <f t="array" ref="BJ34">(SUM(_xlfn._xlws.FILTER(_xlfn._xlws.FILTER(dataGLBSCF,dataGLBSAcctIDs=$C34),(endDatesCF=BJ$5)))-SUM(_xlfn._xlws.FILTER(_xlfn._xlws.FILTER(dataGLBSCF,dataGLBSAcctIDs=$C34),(startDatesCF=EDATE(BJ$4,-1)))))*INDEX(PBC_ACCOUNT_LIST[Sign_for_total_cashflow],MATCH($C34,PBC_ACCOUNT_LIST[Id],0))</f>
        <v>0</v>
      </c>
      <c r="BK34" s="547" cm="1">
        <f t="array" ref="BK34">(SUM(_xlfn._xlws.FILTER(_xlfn._xlws.FILTER(dataGLBSCF,dataGLBSAcctIDs=$C34),(endDatesCF=BK$5)))-SUM(_xlfn._xlws.FILTER(_xlfn._xlws.FILTER(dataGLBSCF,dataGLBSAcctIDs=$C34),(startDatesCF=EDATE(BK$4,-1)))))*INDEX(PBC_ACCOUNT_LIST[Sign_for_total_cashflow],MATCH($C34,PBC_ACCOUNT_LIST[Id],0))</f>
        <v>0</v>
      </c>
      <c r="BL34" s="547" cm="1">
        <f t="array" ref="BL34">(SUM(_xlfn._xlws.FILTER(_xlfn._xlws.FILTER(dataGLBSCF,dataGLBSAcctIDs=$C34),(endDatesCF=BL$5)))-SUM(_xlfn._xlws.FILTER(_xlfn._xlws.FILTER(dataGLBSCF,dataGLBSAcctIDs=$C34),(startDatesCF=EDATE(BL$4,-1)))))*INDEX(PBC_ACCOUNT_LIST[Sign_for_total_cashflow],MATCH($C34,PBC_ACCOUNT_LIST[Id],0))</f>
        <v>-20000</v>
      </c>
      <c r="BM34" s="547" cm="1">
        <f t="array" ref="BM34">(SUM(_xlfn._xlws.FILTER(_xlfn._xlws.FILTER(dataGLBSCF,dataGLBSAcctIDs=$C34),(endDatesCF=BM$5)))-SUM(_xlfn._xlws.FILTER(_xlfn._xlws.FILTER(dataGLBSCF,dataGLBSAcctIDs=$C34),(startDatesCF=EDATE(BM$4,-1)))))*INDEX(PBC_ACCOUNT_LIST[Sign_for_total_cashflow],MATCH($C34,PBC_ACCOUNT_LIST[Id],0))</f>
        <v>0</v>
      </c>
      <c r="BN34" s="547" cm="1">
        <f t="array" ref="BN34">(SUM(_xlfn._xlws.FILTER(_xlfn._xlws.FILTER(dataGLBSCF,dataGLBSAcctIDs=$C34),(endDatesCF=BN$5)))-SUM(_xlfn._xlws.FILTER(_xlfn._xlws.FILTER(dataGLBSCF,dataGLBSAcctIDs=$C34),(startDatesCF=EDATE(BN$4,-1)))))*INDEX(PBC_ACCOUNT_LIST[Sign_for_total_cashflow],MATCH($C34,PBC_ACCOUNT_LIST[Id],0))</f>
        <v>0</v>
      </c>
      <c r="BO34" s="547" cm="1">
        <f t="array" ref="BO34">(SUM(_xlfn._xlws.FILTER(_xlfn._xlws.FILTER(dataGLBSCF,dataGLBSAcctIDs=$C34),(endDatesCF=BO$5)))-SUM(_xlfn._xlws.FILTER(_xlfn._xlws.FILTER(dataGLBSCF,dataGLBSAcctIDs=$C34),(startDatesCF=EDATE(BO$4,-1)))))*INDEX(PBC_ACCOUNT_LIST[Sign_for_total_cashflow],MATCH($C34,PBC_ACCOUNT_LIST[Id],0))</f>
        <v>0</v>
      </c>
      <c r="BP34" s="547" cm="1">
        <f t="array" ref="BP34">(SUM(_xlfn._xlws.FILTER(_xlfn._xlws.FILTER(dataGLBSCF,dataGLBSAcctIDs=$C34),(endDatesCF=BP$5)))-SUM(_xlfn._xlws.FILTER(_xlfn._xlws.FILTER(dataGLBSCF,dataGLBSAcctIDs=$C34),(startDatesCF=EDATE(BP$4,-1)))))*INDEX(PBC_ACCOUNT_LIST[Sign_for_total_cashflow],MATCH($C34,PBC_ACCOUNT_LIST[Id],0))</f>
        <v>0</v>
      </c>
      <c r="BQ34" s="547" cm="1">
        <f t="array" ref="BQ34">(SUM(_xlfn._xlws.FILTER(_xlfn._xlws.FILTER(dataGLBSCF,dataGLBSAcctIDs=$C34),(endDatesCF=BQ$5)))-SUM(_xlfn._xlws.FILTER(_xlfn._xlws.FILTER(dataGLBSCF,dataGLBSAcctIDs=$C34),(startDatesCF=EDATE(BQ$4,-1)))))*INDEX(PBC_ACCOUNT_LIST[Sign_for_total_cashflow],MATCH($C34,PBC_ACCOUNT_LIST[Id],0))</f>
        <v>0</v>
      </c>
      <c r="BR34" s="547" cm="1">
        <f t="array" ref="BR34">(SUM(_xlfn._xlws.FILTER(_xlfn._xlws.FILTER(dataGLBSCF,dataGLBSAcctIDs=$C34),(endDatesCF=BR$5)))-SUM(_xlfn._xlws.FILTER(_xlfn._xlws.FILTER(dataGLBSCF,dataGLBSAcctIDs=$C34),(startDatesCF=EDATE(BR$4,-1)))))*INDEX(PBC_ACCOUNT_LIST[Sign_for_total_cashflow],MATCH($C34,PBC_ACCOUNT_LIST[Id],0))</f>
        <v>0</v>
      </c>
      <c r="BS34" s="547" cm="1">
        <f t="array" ref="BS34">(SUM(_xlfn._xlws.FILTER(_xlfn._xlws.FILTER(dataGLBSCF,dataGLBSAcctIDs=$C34),(endDatesCF=BS$5)))-SUM(_xlfn._xlws.FILTER(_xlfn._xlws.FILTER(dataGLBSCF,dataGLBSAcctIDs=$C34),(startDatesCF=EDATE(BS$4,-1)))))*INDEX(PBC_ACCOUNT_LIST[Sign_for_total_cashflow],MATCH($C34,PBC_ACCOUNT_LIST[Id],0))</f>
        <v>0</v>
      </c>
      <c r="BT34" s="547" cm="1">
        <f t="array" ref="BT34">(SUM(_xlfn._xlws.FILTER(_xlfn._xlws.FILTER(dataGLBSCF,dataGLBSAcctIDs=$C34),(endDatesCF=BT$5)))-SUM(_xlfn._xlws.FILTER(_xlfn._xlws.FILTER(dataGLBSCF,dataGLBSAcctIDs=$C34),(startDatesCF=EDATE(BT$4,-1)))))*INDEX(PBC_ACCOUNT_LIST[Sign_for_total_cashflow],MATCH($C34,PBC_ACCOUNT_LIST[Id],0))</f>
        <v>0</v>
      </c>
      <c r="BU34" s="547" cm="1">
        <f t="array" ref="BU34">(SUM(_xlfn._xlws.FILTER(_xlfn._xlws.FILTER(dataGLBSCF,dataGLBSAcctIDs=$C34),(endDatesCF=BU$5)))-SUM(_xlfn._xlws.FILTER(_xlfn._xlws.FILTER(dataGLBSCF,dataGLBSAcctIDs=$C34),(startDatesCF=EDATE(BU$4,-1)))))*INDEX(PBC_ACCOUNT_LIST[Sign_for_total_cashflow],MATCH($C34,PBC_ACCOUNT_LIST[Id],0))</f>
        <v>0</v>
      </c>
      <c r="BV34" s="547" cm="1">
        <f t="array" ref="BV34">(SUM(_xlfn._xlws.FILTER(_xlfn._xlws.FILTER(dataGLBSCF,dataGLBSAcctIDs=$C34),(endDatesCF=BV$5)))-SUM(_xlfn._xlws.FILTER(_xlfn._xlws.FILTER(dataGLBSCF,dataGLBSAcctIDs=$C34),(startDatesCF=EDATE(BV$4,-1)))))*INDEX(PBC_ACCOUNT_LIST[Sign_for_total_cashflow],MATCH($C34,PBC_ACCOUNT_LIST[Id],0))</f>
        <v>0</v>
      </c>
      <c r="BW34" s="547" cm="1">
        <f t="array" ref="BW34">(SUM(_xlfn._xlws.FILTER(_xlfn._xlws.FILTER(dataGLBSCF,dataGLBSAcctIDs=$C34),(endDatesCF=BW$5)))-SUM(_xlfn._xlws.FILTER(_xlfn._xlws.FILTER(dataGLBSCF,dataGLBSAcctIDs=$C34),(startDatesCF=EDATE(BW$4,-1)))))*INDEX(PBC_ACCOUNT_LIST[Sign_for_total_cashflow],MATCH($C34,PBC_ACCOUNT_LIST[Id],0))</f>
        <v>0</v>
      </c>
      <c r="BX34" s="547" cm="1">
        <f t="array" ref="BX34">(SUM(_xlfn._xlws.FILTER(_xlfn._xlws.FILTER(dataGLBSCF,dataGLBSAcctIDs=$C34),(endDatesCF=BX$5)))-SUM(_xlfn._xlws.FILTER(_xlfn._xlws.FILTER(dataGLBSCF,dataGLBSAcctIDs=$C34),(startDatesCF=EDATE(BX$4,-1)))))*INDEX(PBC_ACCOUNT_LIST[Sign_for_total_cashflow],MATCH($C34,PBC_ACCOUNT_LIST[Id],0))</f>
        <v>0</v>
      </c>
    </row>
    <row r="35" spans="1:76" customFormat="1" ht="21" customHeight="1">
      <c r="B35" s="685" t="s">
        <v>291</v>
      </c>
      <c r="C35">
        <v>153</v>
      </c>
      <c r="E35" s="547" cm="1">
        <f t="array" ref="E35">(SUM(_xlfn._xlws.FILTER(_xlfn._xlws.FILTER(dataGLBSCF,dataGLBSAcctIDs=$C35),(endDatesCF=E$5)))-SUM(_xlfn._xlws.FILTER(_xlfn._xlws.FILTER(dataGLBSCF,dataGLBSAcctIDs=$C35),(startDatesCF=EDATE(E$4,-1)))))*INDEX(PBC_ACCOUNT_LIST[Sign_for_total_cashflow],MATCH($C35,PBC_ACCOUNT_LIST[Id],0))</f>
        <v>-35000</v>
      </c>
      <c r="F35" s="547" cm="1">
        <f t="array" ref="F35">(SUM(_xlfn._xlws.FILTER(_xlfn._xlws.FILTER(dataGLBSCF,dataGLBSAcctIDs=$C35),(endDatesCF=F$5)))-SUM(_xlfn._xlws.FILTER(_xlfn._xlws.FILTER(dataGLBSCF,dataGLBSAcctIDs=$C35),(startDatesCF=EDATE(F$4,-1)))))*INDEX(PBC_ACCOUNT_LIST[Sign_for_total_cashflow],MATCH($C35,PBC_ACCOUNT_LIST[Id],0))</f>
        <v>0</v>
      </c>
      <c r="G35" s="547" cm="1">
        <f t="array" ref="G35">(SUM(_xlfn._xlws.FILTER(_xlfn._xlws.FILTER(dataGLBSCF,dataGLBSAcctIDs=$C35),(endDatesCF=G$5)))-SUM(_xlfn._xlws.FILTER(_xlfn._xlws.FILTER(dataGLBSCF,dataGLBSAcctIDs=$C35),(startDatesCF=EDATE(G$4,-1)))))*INDEX(PBC_ACCOUNT_LIST[Sign_for_total_cashflow],MATCH($C35,PBC_ACCOUNT_LIST[Id],0))</f>
        <v>0</v>
      </c>
      <c r="H35" s="547" cm="1">
        <f t="array" ref="H35">(SUM(_xlfn._xlws.FILTER(_xlfn._xlws.FILTER(dataGLBSCF,dataGLBSAcctIDs=$C35),(endDatesCF=H$5)))-SUM(_xlfn._xlws.FILTER(_xlfn._xlws.FILTER(dataGLBSCF,dataGLBSAcctIDs=$C35),(startDatesCF=EDATE(H$4,-1)))))*INDEX(PBC_ACCOUNT_LIST[Sign_for_total_cashflow],MATCH($C35,PBC_ACCOUNT_LIST[Id],0))</f>
        <v>-15000</v>
      </c>
      <c r="K35" s="547" cm="1">
        <f t="array" ref="K35">(SUM(_xlfn._xlws.FILTER(_xlfn._xlws.FILTER(dataGLBSCF,dataGLBSAcctIDs=$C35),(endDatesCF=K$5)))-SUM(_xlfn._xlws.FILTER(_xlfn._xlws.FILTER(dataGLBSCF,dataGLBSAcctIDs=$C35),(startDatesCF=EDATE(K$4,-1)))))*INDEX(PBC_ACCOUNT_LIST[Sign_for_total_cashflow],MATCH($C35,PBC_ACCOUNT_LIST[Id],0))</f>
        <v>0</v>
      </c>
      <c r="L35" s="547" cm="1">
        <f t="array" ref="L35">(SUM(_xlfn._xlws.FILTER(_xlfn._xlws.FILTER(dataGLBSCF,dataGLBSAcctIDs=$C35),(endDatesCF=L$5)))-SUM(_xlfn._xlws.FILTER(_xlfn._xlws.FILTER(dataGLBSCF,dataGLBSAcctIDs=$C35),(startDatesCF=EDATE(L$4,-1)))))*INDEX(PBC_ACCOUNT_LIST[Sign_for_total_cashflow],MATCH($C35,PBC_ACCOUNT_LIST[Id],0))</f>
        <v>-35000</v>
      </c>
      <c r="M35" s="547" cm="1">
        <f t="array" ref="M35">(SUM(_xlfn._xlws.FILTER(_xlfn._xlws.FILTER(dataGLBSCF,dataGLBSAcctIDs=$C35),(endDatesCF=M$5)))-SUM(_xlfn._xlws.FILTER(_xlfn._xlws.FILTER(dataGLBSCF,dataGLBSAcctIDs=$C35),(startDatesCF=EDATE(M$4,-1)))))*INDEX(PBC_ACCOUNT_LIST[Sign_for_total_cashflow],MATCH($C35,PBC_ACCOUNT_LIST[Id],0))</f>
        <v>0</v>
      </c>
      <c r="N35" s="547" cm="1">
        <f t="array" ref="N35">(SUM(_xlfn._xlws.FILTER(_xlfn._xlws.FILTER(dataGLBSCF,dataGLBSAcctIDs=$C35),(endDatesCF=N$5)))-SUM(_xlfn._xlws.FILTER(_xlfn._xlws.FILTER(dataGLBSCF,dataGLBSAcctIDs=$C35),(startDatesCF=EDATE(N$4,-1)))))*INDEX(PBC_ACCOUNT_LIST[Sign_for_total_cashflow],MATCH($C35,PBC_ACCOUNT_LIST[Id],0))</f>
        <v>0</v>
      </c>
      <c r="O35" s="547" cm="1">
        <f t="array" ref="O35">(SUM(_xlfn._xlws.FILTER(_xlfn._xlws.FILTER(dataGLBSCF,dataGLBSAcctIDs=$C35),(endDatesCF=O$5)))-SUM(_xlfn._xlws.FILTER(_xlfn._xlws.FILTER(dataGLBSCF,dataGLBSAcctIDs=$C35),(startDatesCF=EDATE(O$4,-1)))))*INDEX(PBC_ACCOUNT_LIST[Sign_for_total_cashflow],MATCH($C35,PBC_ACCOUNT_LIST[Id],0))</f>
        <v>0</v>
      </c>
      <c r="P35" s="547" cm="1">
        <f t="array" ref="P35">(SUM(_xlfn._xlws.FILTER(_xlfn._xlws.FILTER(dataGLBSCF,dataGLBSAcctIDs=$C35),(endDatesCF=P$5)))-SUM(_xlfn._xlws.FILTER(_xlfn._xlws.FILTER(dataGLBSCF,dataGLBSAcctIDs=$C35),(startDatesCF=EDATE(P$4,-1)))))*INDEX(PBC_ACCOUNT_LIST[Sign_for_total_cashflow],MATCH($C35,PBC_ACCOUNT_LIST[Id],0))</f>
        <v>0</v>
      </c>
      <c r="Q35" s="547" cm="1">
        <f t="array" ref="Q35">(SUM(_xlfn._xlws.FILTER(_xlfn._xlws.FILTER(dataGLBSCF,dataGLBSAcctIDs=$C35),(endDatesCF=Q$5)))-SUM(_xlfn._xlws.FILTER(_xlfn._xlws.FILTER(dataGLBSCF,dataGLBSAcctIDs=$C35),(startDatesCF=EDATE(Q$4,-1)))))*INDEX(PBC_ACCOUNT_LIST[Sign_for_total_cashflow],MATCH($C35,PBC_ACCOUNT_LIST[Id],0))</f>
        <v>0</v>
      </c>
      <c r="R35" s="547" cm="1">
        <f t="array" ref="R35">(SUM(_xlfn._xlws.FILTER(_xlfn._xlws.FILTER(dataGLBSCF,dataGLBSAcctIDs=$C35),(endDatesCF=R$5)))-SUM(_xlfn._xlws.FILTER(_xlfn._xlws.FILTER(dataGLBSCF,dataGLBSAcctIDs=$C35),(startDatesCF=EDATE(R$4,-1)))))*INDEX(PBC_ACCOUNT_LIST[Sign_for_total_cashflow],MATCH($C35,PBC_ACCOUNT_LIST[Id],0))</f>
        <v>0</v>
      </c>
      <c r="S35" s="547" cm="1">
        <f t="array" ref="S35">(SUM(_xlfn._xlws.FILTER(_xlfn._xlws.FILTER(dataGLBSCF,dataGLBSAcctIDs=$C35),(endDatesCF=S$5)))-SUM(_xlfn._xlws.FILTER(_xlfn._xlws.FILTER(dataGLBSCF,dataGLBSAcctIDs=$C35),(startDatesCF=EDATE(S$4,-1)))))*INDEX(PBC_ACCOUNT_LIST[Sign_for_total_cashflow],MATCH($C35,PBC_ACCOUNT_LIST[Id],0))</f>
        <v>0</v>
      </c>
      <c r="T35" s="547" cm="1">
        <f t="array" ref="T35">(SUM(_xlfn._xlws.FILTER(_xlfn._xlws.FILTER(dataGLBSCF,dataGLBSAcctIDs=$C35),(endDatesCF=T$5)))-SUM(_xlfn._xlws.FILTER(_xlfn._xlws.FILTER(dataGLBSCF,dataGLBSAcctIDs=$C35),(startDatesCF=EDATE(T$4,-1)))))*INDEX(PBC_ACCOUNT_LIST[Sign_for_total_cashflow],MATCH($C35,PBC_ACCOUNT_LIST[Id],0))</f>
        <v>0</v>
      </c>
      <c r="U35" s="547" cm="1">
        <f t="array" ref="U35">(SUM(_xlfn._xlws.FILTER(_xlfn._xlws.FILTER(dataGLBSCF,dataGLBSAcctIDs=$C35),(endDatesCF=U$5)))-SUM(_xlfn._xlws.FILTER(_xlfn._xlws.FILTER(dataGLBSCF,dataGLBSAcctIDs=$C35),(startDatesCF=EDATE(U$4,-1)))))*INDEX(PBC_ACCOUNT_LIST[Sign_for_total_cashflow],MATCH($C35,PBC_ACCOUNT_LIST[Id],0))</f>
        <v>0</v>
      </c>
      <c r="V35" s="547" cm="1">
        <f t="array" ref="V35">(SUM(_xlfn._xlws.FILTER(_xlfn._xlws.FILTER(dataGLBSCF,dataGLBSAcctIDs=$C35),(endDatesCF=V$5)))-SUM(_xlfn._xlws.FILTER(_xlfn._xlws.FILTER(dataGLBSCF,dataGLBSAcctIDs=$C35),(startDatesCF=EDATE(V$4,-1)))))*INDEX(PBC_ACCOUNT_LIST[Sign_for_total_cashflow],MATCH($C35,PBC_ACCOUNT_LIST[Id],0))</f>
        <v>0</v>
      </c>
      <c r="W35" s="547" cm="1">
        <f t="array" ref="W35">(SUM(_xlfn._xlws.FILTER(_xlfn._xlws.FILTER(dataGLBSCF,dataGLBSAcctIDs=$C35),(endDatesCF=W$5)))-SUM(_xlfn._xlws.FILTER(_xlfn._xlws.FILTER(dataGLBSCF,dataGLBSAcctIDs=$C35),(startDatesCF=EDATE(W$4,-1)))))*INDEX(PBC_ACCOUNT_LIST[Sign_for_total_cashflow],MATCH($C35,PBC_ACCOUNT_LIST[Id],0))</f>
        <v>0</v>
      </c>
      <c r="X35" s="547" cm="1">
        <f t="array" ref="X35">(SUM(_xlfn._xlws.FILTER(_xlfn._xlws.FILTER(dataGLBSCF,dataGLBSAcctIDs=$C35),(endDatesCF=X$5)))-SUM(_xlfn._xlws.FILTER(_xlfn._xlws.FILTER(dataGLBSCF,dataGLBSAcctIDs=$C35),(startDatesCF=EDATE(X$4,-1)))))*INDEX(PBC_ACCOUNT_LIST[Sign_for_total_cashflow],MATCH($C35,PBC_ACCOUNT_LIST[Id],0))</f>
        <v>-15000</v>
      </c>
      <c r="Y35" s="547" cm="1">
        <f t="array" ref="Y35">(SUM(_xlfn._xlws.FILTER(_xlfn._xlws.FILTER(dataGLBSCF,dataGLBSAcctIDs=$C35),(endDatesCF=Y$5)))-SUM(_xlfn._xlws.FILTER(_xlfn._xlws.FILTER(dataGLBSCF,dataGLBSAcctIDs=$C35),(startDatesCF=EDATE(Y$4,-1)))))*INDEX(PBC_ACCOUNT_LIST[Sign_for_total_cashflow],MATCH($C35,PBC_ACCOUNT_LIST[Id],0))</f>
        <v>0</v>
      </c>
      <c r="Z35" s="547" cm="1">
        <f t="array" ref="Z35">(SUM(_xlfn._xlws.FILTER(_xlfn._xlws.FILTER(dataGLBSCF,dataGLBSAcctIDs=$C35),(endDatesCF=Z$5)))-SUM(_xlfn._xlws.FILTER(_xlfn._xlws.FILTER(dataGLBSCF,dataGLBSAcctIDs=$C35),(startDatesCF=EDATE(Z$4,-1)))))*INDEX(PBC_ACCOUNT_LIST[Sign_for_total_cashflow],MATCH($C35,PBC_ACCOUNT_LIST[Id],0))</f>
        <v>0</v>
      </c>
      <c r="AC35" s="547" cm="1">
        <f t="array" ref="AC35">(SUM(_xlfn._xlws.FILTER(_xlfn._xlws.FILTER(dataGLBSCF,dataGLBSAcctIDs=$C35),(endDatesCF=AC$5)))-SUM(_xlfn._xlws.FILTER(_xlfn._xlws.FILTER(dataGLBSCF,dataGLBSAcctIDs=$C35),(startDatesCF=EDATE(AC$4,-1)))))*INDEX(PBC_ACCOUNT_LIST[Sign_for_total_cashflow],MATCH($C35,PBC_ACCOUNT_LIST[Id],0))</f>
        <v>0</v>
      </c>
      <c r="AD35" s="547" cm="1">
        <f t="array" ref="AD35">(SUM(_xlfn._xlws.FILTER(_xlfn._xlws.FILTER(dataGLBSCF,dataGLBSAcctIDs=$C35),(endDatesCF=AD$5)))-SUM(_xlfn._xlws.FILTER(_xlfn._xlws.FILTER(dataGLBSCF,dataGLBSAcctIDs=$C35),(startDatesCF=EDATE(AD$4,-1)))))*INDEX(PBC_ACCOUNT_LIST[Sign_for_total_cashflow],MATCH($C35,PBC_ACCOUNT_LIST[Id],0))</f>
        <v>0</v>
      </c>
      <c r="AE35" s="547" cm="1">
        <f t="array" ref="AE35">(SUM(_xlfn._xlws.FILTER(_xlfn._xlws.FILTER(dataGLBSCF,dataGLBSAcctIDs=$C35),(endDatesCF=AE$5)))-SUM(_xlfn._xlws.FILTER(_xlfn._xlws.FILTER(dataGLBSCF,dataGLBSAcctIDs=$C35),(startDatesCF=EDATE(AE$4,-1)))))*INDEX(PBC_ACCOUNT_LIST[Sign_for_total_cashflow],MATCH($C35,PBC_ACCOUNT_LIST[Id],0))</f>
        <v>0</v>
      </c>
      <c r="AF35" s="547" cm="1">
        <f t="array" ref="AF35">(SUM(_xlfn._xlws.FILTER(_xlfn._xlws.FILTER(dataGLBSCF,dataGLBSAcctIDs=$C35),(endDatesCF=AF$5)))-SUM(_xlfn._xlws.FILTER(_xlfn._xlws.FILTER(dataGLBSCF,dataGLBSAcctIDs=$C35),(startDatesCF=EDATE(AF$4,-1)))))*INDEX(PBC_ACCOUNT_LIST[Sign_for_total_cashflow],MATCH($C35,PBC_ACCOUNT_LIST[Id],0))</f>
        <v>-35000</v>
      </c>
      <c r="AG35" s="547" cm="1">
        <f t="array" ref="AG35">(SUM(_xlfn._xlws.FILTER(_xlfn._xlws.FILTER(dataGLBSCF,dataGLBSAcctIDs=$C35),(endDatesCF=AG$5)))-SUM(_xlfn._xlws.FILTER(_xlfn._xlws.FILTER(dataGLBSCF,dataGLBSAcctIDs=$C35),(startDatesCF=EDATE(AG$4,-1)))))*INDEX(PBC_ACCOUNT_LIST[Sign_for_total_cashflow],MATCH($C35,PBC_ACCOUNT_LIST[Id],0))</f>
        <v>0</v>
      </c>
      <c r="AH35" s="547" cm="1">
        <f t="array" ref="AH35">(SUM(_xlfn._xlws.FILTER(_xlfn._xlws.FILTER(dataGLBSCF,dataGLBSAcctIDs=$C35),(endDatesCF=AH$5)))-SUM(_xlfn._xlws.FILTER(_xlfn._xlws.FILTER(dataGLBSCF,dataGLBSAcctIDs=$C35),(startDatesCF=EDATE(AH$4,-1)))))*INDEX(PBC_ACCOUNT_LIST[Sign_for_total_cashflow],MATCH($C35,PBC_ACCOUNT_LIST[Id],0))</f>
        <v>0</v>
      </c>
      <c r="AI35" s="547" cm="1">
        <f t="array" ref="AI35">(SUM(_xlfn._xlws.FILTER(_xlfn._xlws.FILTER(dataGLBSCF,dataGLBSAcctIDs=$C35),(endDatesCF=AI$5)))-SUM(_xlfn._xlws.FILTER(_xlfn._xlws.FILTER(dataGLBSCF,dataGLBSAcctIDs=$C35),(startDatesCF=EDATE(AI$4,-1)))))*INDEX(PBC_ACCOUNT_LIST[Sign_for_total_cashflow],MATCH($C35,PBC_ACCOUNT_LIST[Id],0))</f>
        <v>0</v>
      </c>
      <c r="AJ35" s="547" cm="1">
        <f t="array" ref="AJ35">(SUM(_xlfn._xlws.FILTER(_xlfn._xlws.FILTER(dataGLBSCF,dataGLBSAcctIDs=$C35),(endDatesCF=AJ$5)))-SUM(_xlfn._xlws.FILTER(_xlfn._xlws.FILTER(dataGLBSCF,dataGLBSAcctIDs=$C35),(startDatesCF=EDATE(AJ$4,-1)))))*INDEX(PBC_ACCOUNT_LIST[Sign_for_total_cashflow],MATCH($C35,PBC_ACCOUNT_LIST[Id],0))</f>
        <v>0</v>
      </c>
      <c r="AK35" s="547" cm="1">
        <f t="array" ref="AK35">(SUM(_xlfn._xlws.FILTER(_xlfn._xlws.FILTER(dataGLBSCF,dataGLBSAcctIDs=$C35),(endDatesCF=AK$5)))-SUM(_xlfn._xlws.FILTER(_xlfn._xlws.FILTER(dataGLBSCF,dataGLBSAcctIDs=$C35),(startDatesCF=EDATE(AK$4,-1)))))*INDEX(PBC_ACCOUNT_LIST[Sign_for_total_cashflow],MATCH($C35,PBC_ACCOUNT_LIST[Id],0))</f>
        <v>0</v>
      </c>
      <c r="AL35" s="547" cm="1">
        <f t="array" ref="AL35">(SUM(_xlfn._xlws.FILTER(_xlfn._xlws.FILTER(dataGLBSCF,dataGLBSAcctIDs=$C35),(endDatesCF=AL$5)))-SUM(_xlfn._xlws.FILTER(_xlfn._xlws.FILTER(dataGLBSCF,dataGLBSAcctIDs=$C35),(startDatesCF=EDATE(AL$4,-1)))))*INDEX(PBC_ACCOUNT_LIST[Sign_for_total_cashflow],MATCH($C35,PBC_ACCOUNT_LIST[Id],0))</f>
        <v>0</v>
      </c>
      <c r="AM35" s="547" cm="1">
        <f t="array" ref="AM35">(SUM(_xlfn._xlws.FILTER(_xlfn._xlws.FILTER(dataGLBSCF,dataGLBSAcctIDs=$C35),(endDatesCF=AM$5)))-SUM(_xlfn._xlws.FILTER(_xlfn._xlws.FILTER(dataGLBSCF,dataGLBSAcctIDs=$C35),(startDatesCF=EDATE(AM$4,-1)))))*INDEX(PBC_ACCOUNT_LIST[Sign_for_total_cashflow],MATCH($C35,PBC_ACCOUNT_LIST[Id],0))</f>
        <v>0</v>
      </c>
      <c r="AN35" s="547" cm="1">
        <f t="array" ref="AN35">(SUM(_xlfn._xlws.FILTER(_xlfn._xlws.FILTER(dataGLBSCF,dataGLBSAcctIDs=$C35),(endDatesCF=AN$5)))-SUM(_xlfn._xlws.FILTER(_xlfn._xlws.FILTER(dataGLBSCF,dataGLBSAcctIDs=$C35),(startDatesCF=EDATE(AN$4,-1)))))*INDEX(PBC_ACCOUNT_LIST[Sign_for_total_cashflow],MATCH($C35,PBC_ACCOUNT_LIST[Id],0))</f>
        <v>0</v>
      </c>
      <c r="AO35" s="547" cm="1">
        <f t="array" ref="AO35">(SUM(_xlfn._xlws.FILTER(_xlfn._xlws.FILTER(dataGLBSCF,dataGLBSAcctIDs=$C35),(endDatesCF=AO$5)))-SUM(_xlfn._xlws.FILTER(_xlfn._xlws.FILTER(dataGLBSCF,dataGLBSAcctIDs=$C35),(startDatesCF=EDATE(AO$4,-1)))))*INDEX(PBC_ACCOUNT_LIST[Sign_for_total_cashflow],MATCH($C35,PBC_ACCOUNT_LIST[Id],0))</f>
        <v>-10000</v>
      </c>
      <c r="AP35" s="547" cm="1">
        <f t="array" ref="AP35">(SUM(_xlfn._xlws.FILTER(_xlfn._xlws.FILTER(dataGLBSCF,dataGLBSAcctIDs=$C35),(endDatesCF=AP$5)))-SUM(_xlfn._xlws.FILTER(_xlfn._xlws.FILTER(dataGLBSCF,dataGLBSAcctIDs=$C35),(startDatesCF=EDATE(AP$4,-1)))))*INDEX(PBC_ACCOUNT_LIST[Sign_for_total_cashflow],MATCH($C35,PBC_ACCOUNT_LIST[Id],0))</f>
        <v>10000</v>
      </c>
      <c r="AQ35" s="547" cm="1">
        <f t="array" ref="AQ35">(SUM(_xlfn._xlws.FILTER(_xlfn._xlws.FILTER(dataGLBSCF,dataGLBSAcctIDs=$C35),(endDatesCF=AQ$5)))-SUM(_xlfn._xlws.FILTER(_xlfn._xlws.FILTER(dataGLBSCF,dataGLBSAcctIDs=$C35),(startDatesCF=EDATE(AQ$4,-1)))))*INDEX(PBC_ACCOUNT_LIST[Sign_for_total_cashflow],MATCH($C35,PBC_ACCOUNT_LIST[Id],0))</f>
        <v>0</v>
      </c>
      <c r="AR35" s="547" cm="1">
        <f t="array" ref="AR35">(SUM(_xlfn._xlws.FILTER(_xlfn._xlws.FILTER(dataGLBSCF,dataGLBSAcctIDs=$C35),(endDatesCF=AR$5)))-SUM(_xlfn._xlws.FILTER(_xlfn._xlws.FILTER(dataGLBSCF,dataGLBSAcctIDs=$C35),(startDatesCF=EDATE(AR$4,-1)))))*INDEX(PBC_ACCOUNT_LIST[Sign_for_total_cashflow],MATCH($C35,PBC_ACCOUNT_LIST[Id],0))</f>
        <v>0</v>
      </c>
      <c r="AS35" s="547" cm="1">
        <f t="array" ref="AS35">(SUM(_xlfn._xlws.FILTER(_xlfn._xlws.FILTER(dataGLBSCF,dataGLBSAcctIDs=$C35),(endDatesCF=AS$5)))-SUM(_xlfn._xlws.FILTER(_xlfn._xlws.FILTER(dataGLBSCF,dataGLBSAcctIDs=$C35),(startDatesCF=EDATE(AS$4,-1)))))*INDEX(PBC_ACCOUNT_LIST[Sign_for_total_cashflow],MATCH($C35,PBC_ACCOUNT_LIST[Id],0))</f>
        <v>0</v>
      </c>
      <c r="AT35" s="547" cm="1">
        <f t="array" ref="AT35">(SUM(_xlfn._xlws.FILTER(_xlfn._xlws.FILTER(dataGLBSCF,dataGLBSAcctIDs=$C35),(endDatesCF=AT$5)))-SUM(_xlfn._xlws.FILTER(_xlfn._xlws.FILTER(dataGLBSCF,dataGLBSAcctIDs=$C35),(startDatesCF=EDATE(AT$4,-1)))))*INDEX(PBC_ACCOUNT_LIST[Sign_for_total_cashflow],MATCH($C35,PBC_ACCOUNT_LIST[Id],0))</f>
        <v>0</v>
      </c>
      <c r="AU35" s="547" cm="1">
        <f t="array" ref="AU35">(SUM(_xlfn._xlws.FILTER(_xlfn._xlws.FILTER(dataGLBSCF,dataGLBSAcctIDs=$C35),(endDatesCF=AU$5)))-SUM(_xlfn._xlws.FILTER(_xlfn._xlws.FILTER(dataGLBSCF,dataGLBSAcctIDs=$C35),(startDatesCF=EDATE(AU$4,-1)))))*INDEX(PBC_ACCOUNT_LIST[Sign_for_total_cashflow],MATCH($C35,PBC_ACCOUNT_LIST[Id],0))</f>
        <v>0</v>
      </c>
      <c r="AV35" s="547" cm="1">
        <f t="array" ref="AV35">(SUM(_xlfn._xlws.FILTER(_xlfn._xlws.FILTER(dataGLBSCF,dataGLBSAcctIDs=$C35),(endDatesCF=AV$5)))-SUM(_xlfn._xlws.FILTER(_xlfn._xlws.FILTER(dataGLBSCF,dataGLBSAcctIDs=$C35),(startDatesCF=EDATE(AV$4,-1)))))*INDEX(PBC_ACCOUNT_LIST[Sign_for_total_cashflow],MATCH($C35,PBC_ACCOUNT_LIST[Id],0))</f>
        <v>0</v>
      </c>
      <c r="AW35" s="547" cm="1">
        <f t="array" ref="AW35">(SUM(_xlfn._xlws.FILTER(_xlfn._xlws.FILTER(dataGLBSCF,dataGLBSAcctIDs=$C35),(endDatesCF=AW$5)))-SUM(_xlfn._xlws.FILTER(_xlfn._xlws.FILTER(dataGLBSCF,dataGLBSAcctIDs=$C35),(startDatesCF=EDATE(AW$4,-1)))))*INDEX(PBC_ACCOUNT_LIST[Sign_for_total_cashflow],MATCH($C35,PBC_ACCOUNT_LIST[Id],0))</f>
        <v>0</v>
      </c>
      <c r="AX35" s="547" cm="1">
        <f t="array" ref="AX35">(SUM(_xlfn._xlws.FILTER(_xlfn._xlws.FILTER(dataGLBSCF,dataGLBSAcctIDs=$C35),(endDatesCF=AX$5)))-SUM(_xlfn._xlws.FILTER(_xlfn._xlws.FILTER(dataGLBSCF,dataGLBSAcctIDs=$C35),(startDatesCF=EDATE(AX$4,-1)))))*INDEX(PBC_ACCOUNT_LIST[Sign_for_total_cashflow],MATCH($C35,PBC_ACCOUNT_LIST[Id],0))</f>
        <v>0</v>
      </c>
      <c r="AY35" s="547" cm="1">
        <f t="array" ref="AY35">(SUM(_xlfn._xlws.FILTER(_xlfn._xlws.FILTER(dataGLBSCF,dataGLBSAcctIDs=$C35),(endDatesCF=AY$5)))-SUM(_xlfn._xlws.FILTER(_xlfn._xlws.FILTER(dataGLBSCF,dataGLBSAcctIDs=$C35),(startDatesCF=EDATE(AY$4,-1)))))*INDEX(PBC_ACCOUNT_LIST[Sign_for_total_cashflow],MATCH($C35,PBC_ACCOUNT_LIST[Id],0))</f>
        <v>0</v>
      </c>
      <c r="AZ35" s="547" cm="1">
        <f t="array" ref="AZ35">(SUM(_xlfn._xlws.FILTER(_xlfn._xlws.FILTER(dataGLBSCF,dataGLBSAcctIDs=$C35),(endDatesCF=AZ$5)))-SUM(_xlfn._xlws.FILTER(_xlfn._xlws.FILTER(dataGLBSCF,dataGLBSAcctIDs=$C35),(startDatesCF=EDATE(AZ$4,-1)))))*INDEX(PBC_ACCOUNT_LIST[Sign_for_total_cashflow],MATCH($C35,PBC_ACCOUNT_LIST[Id],0))</f>
        <v>0</v>
      </c>
      <c r="BA35" s="547" cm="1">
        <f t="array" ref="BA35">(SUM(_xlfn._xlws.FILTER(_xlfn._xlws.FILTER(dataGLBSCF,dataGLBSAcctIDs=$C35),(endDatesCF=BA$5)))-SUM(_xlfn._xlws.FILTER(_xlfn._xlws.FILTER(dataGLBSCF,dataGLBSAcctIDs=$C35),(startDatesCF=EDATE(BA$4,-1)))))*INDEX(PBC_ACCOUNT_LIST[Sign_for_total_cashflow],MATCH($C35,PBC_ACCOUNT_LIST[Id],0))</f>
        <v>0</v>
      </c>
      <c r="BB35" s="547" cm="1">
        <f t="array" ref="BB35">(SUM(_xlfn._xlws.FILTER(_xlfn._xlws.FILTER(dataGLBSCF,dataGLBSAcctIDs=$C35),(endDatesCF=BB$5)))-SUM(_xlfn._xlws.FILTER(_xlfn._xlws.FILTER(dataGLBSCF,dataGLBSAcctIDs=$C35),(startDatesCF=EDATE(BB$4,-1)))))*INDEX(PBC_ACCOUNT_LIST[Sign_for_total_cashflow],MATCH($C35,PBC_ACCOUNT_LIST[Id],0))</f>
        <v>0</v>
      </c>
      <c r="BC35" s="547" cm="1">
        <f t="array" ref="BC35">(SUM(_xlfn._xlws.FILTER(_xlfn._xlws.FILTER(dataGLBSCF,dataGLBSAcctIDs=$C35),(endDatesCF=BC$5)))-SUM(_xlfn._xlws.FILTER(_xlfn._xlws.FILTER(dataGLBSCF,dataGLBSAcctIDs=$C35),(startDatesCF=EDATE(BC$4,-1)))))*INDEX(PBC_ACCOUNT_LIST[Sign_for_total_cashflow],MATCH($C35,PBC_ACCOUNT_LIST[Id],0))</f>
        <v>0</v>
      </c>
      <c r="BD35" s="547" cm="1">
        <f t="array" ref="BD35">(SUM(_xlfn._xlws.FILTER(_xlfn._xlws.FILTER(dataGLBSCF,dataGLBSAcctIDs=$C35),(endDatesCF=BD$5)))-SUM(_xlfn._xlws.FILTER(_xlfn._xlws.FILTER(dataGLBSCF,dataGLBSAcctIDs=$C35),(startDatesCF=EDATE(BD$4,-1)))))*INDEX(PBC_ACCOUNT_LIST[Sign_for_total_cashflow],MATCH($C35,PBC_ACCOUNT_LIST[Id],0))</f>
        <v>0</v>
      </c>
      <c r="BE35" s="547" cm="1">
        <f t="array" ref="BE35">(SUM(_xlfn._xlws.FILTER(_xlfn._xlws.FILTER(dataGLBSCF,dataGLBSAcctIDs=$C35),(endDatesCF=BE$5)))-SUM(_xlfn._xlws.FILTER(_xlfn._xlws.FILTER(dataGLBSCF,dataGLBSAcctIDs=$C35),(startDatesCF=EDATE(BE$4,-1)))))*INDEX(PBC_ACCOUNT_LIST[Sign_for_total_cashflow],MATCH($C35,PBC_ACCOUNT_LIST[Id],0))</f>
        <v>0</v>
      </c>
      <c r="BF35" s="547" cm="1">
        <f t="array" ref="BF35">(SUM(_xlfn._xlws.FILTER(_xlfn._xlws.FILTER(dataGLBSCF,dataGLBSAcctIDs=$C35),(endDatesCF=BF$5)))-SUM(_xlfn._xlws.FILTER(_xlfn._xlws.FILTER(dataGLBSCF,dataGLBSAcctIDs=$C35),(startDatesCF=EDATE(BF$4,-1)))))*INDEX(PBC_ACCOUNT_LIST[Sign_for_total_cashflow],MATCH($C35,PBC_ACCOUNT_LIST[Id],0))</f>
        <v>0</v>
      </c>
      <c r="BG35" s="547" cm="1">
        <f t="array" ref="BG35">(SUM(_xlfn._xlws.FILTER(_xlfn._xlws.FILTER(dataGLBSCF,dataGLBSAcctIDs=$C35),(endDatesCF=BG$5)))-SUM(_xlfn._xlws.FILTER(_xlfn._xlws.FILTER(dataGLBSCF,dataGLBSAcctIDs=$C35),(startDatesCF=EDATE(BG$4,-1)))))*INDEX(PBC_ACCOUNT_LIST[Sign_for_total_cashflow],MATCH($C35,PBC_ACCOUNT_LIST[Id],0))</f>
        <v>0</v>
      </c>
      <c r="BH35" s="547" cm="1">
        <f t="array" ref="BH35">(SUM(_xlfn._xlws.FILTER(_xlfn._xlws.FILTER(dataGLBSCF,dataGLBSAcctIDs=$C35),(endDatesCF=BH$5)))-SUM(_xlfn._xlws.FILTER(_xlfn._xlws.FILTER(dataGLBSCF,dataGLBSAcctIDs=$C35),(startDatesCF=EDATE(BH$4,-1)))))*INDEX(PBC_ACCOUNT_LIST[Sign_for_total_cashflow],MATCH($C35,PBC_ACCOUNT_LIST[Id],0))</f>
        <v>0</v>
      </c>
      <c r="BI35" s="547" cm="1">
        <f t="array" ref="BI35">(SUM(_xlfn._xlws.FILTER(_xlfn._xlws.FILTER(dataGLBSCF,dataGLBSAcctIDs=$C35),(endDatesCF=BI$5)))-SUM(_xlfn._xlws.FILTER(_xlfn._xlws.FILTER(dataGLBSCF,dataGLBSAcctIDs=$C35),(startDatesCF=EDATE(BI$4,-1)))))*INDEX(PBC_ACCOUNT_LIST[Sign_for_total_cashflow],MATCH($C35,PBC_ACCOUNT_LIST[Id],0))</f>
        <v>0</v>
      </c>
      <c r="BJ35" s="547" cm="1">
        <f t="array" ref="BJ35">(SUM(_xlfn._xlws.FILTER(_xlfn._xlws.FILTER(dataGLBSCF,dataGLBSAcctIDs=$C35),(endDatesCF=BJ$5)))-SUM(_xlfn._xlws.FILTER(_xlfn._xlws.FILTER(dataGLBSCF,dataGLBSAcctIDs=$C35),(startDatesCF=EDATE(BJ$4,-1)))))*INDEX(PBC_ACCOUNT_LIST[Sign_for_total_cashflow],MATCH($C35,PBC_ACCOUNT_LIST[Id],0))</f>
        <v>0</v>
      </c>
      <c r="BK35" s="547" cm="1">
        <f t="array" ref="BK35">(SUM(_xlfn._xlws.FILTER(_xlfn._xlws.FILTER(dataGLBSCF,dataGLBSAcctIDs=$C35),(endDatesCF=BK$5)))-SUM(_xlfn._xlws.FILTER(_xlfn._xlws.FILTER(dataGLBSCF,dataGLBSAcctIDs=$C35),(startDatesCF=EDATE(BK$4,-1)))))*INDEX(PBC_ACCOUNT_LIST[Sign_for_total_cashflow],MATCH($C35,PBC_ACCOUNT_LIST[Id],0))</f>
        <v>0</v>
      </c>
      <c r="BL35" s="547" cm="1">
        <f t="array" ref="BL35">(SUM(_xlfn._xlws.FILTER(_xlfn._xlws.FILTER(dataGLBSCF,dataGLBSAcctIDs=$C35),(endDatesCF=BL$5)))-SUM(_xlfn._xlws.FILTER(_xlfn._xlws.FILTER(dataGLBSCF,dataGLBSAcctIDs=$C35),(startDatesCF=EDATE(BL$4,-1)))))*INDEX(PBC_ACCOUNT_LIST[Sign_for_total_cashflow],MATCH($C35,PBC_ACCOUNT_LIST[Id],0))</f>
        <v>0</v>
      </c>
      <c r="BM35" s="547" cm="1">
        <f t="array" ref="BM35">(SUM(_xlfn._xlws.FILTER(_xlfn._xlws.FILTER(dataGLBSCF,dataGLBSAcctIDs=$C35),(endDatesCF=BM$5)))-SUM(_xlfn._xlws.FILTER(_xlfn._xlws.FILTER(dataGLBSCF,dataGLBSAcctIDs=$C35),(startDatesCF=EDATE(BM$4,-1)))))*INDEX(PBC_ACCOUNT_LIST[Sign_for_total_cashflow],MATCH($C35,PBC_ACCOUNT_LIST[Id],0))</f>
        <v>0</v>
      </c>
      <c r="BN35" s="547" cm="1">
        <f t="array" ref="BN35">(SUM(_xlfn._xlws.FILTER(_xlfn._xlws.FILTER(dataGLBSCF,dataGLBSAcctIDs=$C35),(endDatesCF=BN$5)))-SUM(_xlfn._xlws.FILTER(_xlfn._xlws.FILTER(dataGLBSCF,dataGLBSAcctIDs=$C35),(startDatesCF=EDATE(BN$4,-1)))))*INDEX(PBC_ACCOUNT_LIST[Sign_for_total_cashflow],MATCH($C35,PBC_ACCOUNT_LIST[Id],0))</f>
        <v>0</v>
      </c>
      <c r="BO35" s="547" cm="1">
        <f t="array" ref="BO35">(SUM(_xlfn._xlws.FILTER(_xlfn._xlws.FILTER(dataGLBSCF,dataGLBSAcctIDs=$C35),(endDatesCF=BO$5)))-SUM(_xlfn._xlws.FILTER(_xlfn._xlws.FILTER(dataGLBSCF,dataGLBSAcctIDs=$C35),(startDatesCF=EDATE(BO$4,-1)))))*INDEX(PBC_ACCOUNT_LIST[Sign_for_total_cashflow],MATCH($C35,PBC_ACCOUNT_LIST[Id],0))</f>
        <v>0</v>
      </c>
      <c r="BP35" s="547" cm="1">
        <f t="array" ref="BP35">(SUM(_xlfn._xlws.FILTER(_xlfn._xlws.FILTER(dataGLBSCF,dataGLBSAcctIDs=$C35),(endDatesCF=BP$5)))-SUM(_xlfn._xlws.FILTER(_xlfn._xlws.FILTER(dataGLBSCF,dataGLBSAcctIDs=$C35),(startDatesCF=EDATE(BP$4,-1)))))*INDEX(PBC_ACCOUNT_LIST[Sign_for_total_cashflow],MATCH($C35,PBC_ACCOUNT_LIST[Id],0))</f>
        <v>0</v>
      </c>
      <c r="BQ35" s="547" cm="1">
        <f t="array" ref="BQ35">(SUM(_xlfn._xlws.FILTER(_xlfn._xlws.FILTER(dataGLBSCF,dataGLBSAcctIDs=$C35),(endDatesCF=BQ$5)))-SUM(_xlfn._xlws.FILTER(_xlfn._xlws.FILTER(dataGLBSCF,dataGLBSAcctIDs=$C35),(startDatesCF=EDATE(BQ$4,-1)))))*INDEX(PBC_ACCOUNT_LIST[Sign_for_total_cashflow],MATCH($C35,PBC_ACCOUNT_LIST[Id],0))</f>
        <v>-15000</v>
      </c>
      <c r="BR35" s="547" cm="1">
        <f t="array" ref="BR35">(SUM(_xlfn._xlws.FILTER(_xlfn._xlws.FILTER(dataGLBSCF,dataGLBSAcctIDs=$C35),(endDatesCF=BR$5)))-SUM(_xlfn._xlws.FILTER(_xlfn._xlws.FILTER(dataGLBSCF,dataGLBSAcctIDs=$C35),(startDatesCF=EDATE(BR$4,-1)))))*INDEX(PBC_ACCOUNT_LIST[Sign_for_total_cashflow],MATCH($C35,PBC_ACCOUNT_LIST[Id],0))</f>
        <v>0</v>
      </c>
      <c r="BS35" s="547" cm="1">
        <f t="array" ref="BS35">(SUM(_xlfn._xlws.FILTER(_xlfn._xlws.FILTER(dataGLBSCF,dataGLBSAcctIDs=$C35),(endDatesCF=BS$5)))-SUM(_xlfn._xlws.FILTER(_xlfn._xlws.FILTER(dataGLBSCF,dataGLBSAcctIDs=$C35),(startDatesCF=EDATE(BS$4,-1)))))*INDEX(PBC_ACCOUNT_LIST[Sign_for_total_cashflow],MATCH($C35,PBC_ACCOUNT_LIST[Id],0))</f>
        <v>0</v>
      </c>
      <c r="BT35" s="547" cm="1">
        <f t="array" ref="BT35">(SUM(_xlfn._xlws.FILTER(_xlfn._xlws.FILTER(dataGLBSCF,dataGLBSAcctIDs=$C35),(endDatesCF=BT$5)))-SUM(_xlfn._xlws.FILTER(_xlfn._xlws.FILTER(dataGLBSCF,dataGLBSAcctIDs=$C35),(startDatesCF=EDATE(BT$4,-1)))))*INDEX(PBC_ACCOUNT_LIST[Sign_for_total_cashflow],MATCH($C35,PBC_ACCOUNT_LIST[Id],0))</f>
        <v>0</v>
      </c>
      <c r="BU35" s="547" cm="1">
        <f t="array" ref="BU35">(SUM(_xlfn._xlws.FILTER(_xlfn._xlws.FILTER(dataGLBSCF,dataGLBSAcctIDs=$C35),(endDatesCF=BU$5)))-SUM(_xlfn._xlws.FILTER(_xlfn._xlws.FILTER(dataGLBSCF,dataGLBSAcctIDs=$C35),(startDatesCF=EDATE(BU$4,-1)))))*INDEX(PBC_ACCOUNT_LIST[Sign_for_total_cashflow],MATCH($C35,PBC_ACCOUNT_LIST[Id],0))</f>
        <v>0</v>
      </c>
      <c r="BV35" s="547" cm="1">
        <f t="array" ref="BV35">(SUM(_xlfn._xlws.FILTER(_xlfn._xlws.FILTER(dataGLBSCF,dataGLBSAcctIDs=$C35),(endDatesCF=BV$5)))-SUM(_xlfn._xlws.FILTER(_xlfn._xlws.FILTER(dataGLBSCF,dataGLBSAcctIDs=$C35),(startDatesCF=EDATE(BV$4,-1)))))*INDEX(PBC_ACCOUNT_LIST[Sign_for_total_cashflow],MATCH($C35,PBC_ACCOUNT_LIST[Id],0))</f>
        <v>0</v>
      </c>
      <c r="BW35" s="547" cm="1">
        <f t="array" ref="BW35">(SUM(_xlfn._xlws.FILTER(_xlfn._xlws.FILTER(dataGLBSCF,dataGLBSAcctIDs=$C35),(endDatesCF=BW$5)))-SUM(_xlfn._xlws.FILTER(_xlfn._xlws.FILTER(dataGLBSCF,dataGLBSAcctIDs=$C35),(startDatesCF=EDATE(BW$4,-1)))))*INDEX(PBC_ACCOUNT_LIST[Sign_for_total_cashflow],MATCH($C35,PBC_ACCOUNT_LIST[Id],0))</f>
        <v>0</v>
      </c>
      <c r="BX35" s="547" cm="1">
        <f t="array" ref="BX35">(SUM(_xlfn._xlws.FILTER(_xlfn._xlws.FILTER(dataGLBSCF,dataGLBSAcctIDs=$C35),(endDatesCF=BX$5)))-SUM(_xlfn._xlws.FILTER(_xlfn._xlws.FILTER(dataGLBSCF,dataGLBSAcctIDs=$C35),(startDatesCF=EDATE(BX$4,-1)))))*INDEX(PBC_ACCOUNT_LIST[Sign_for_total_cashflow],MATCH($C35,PBC_ACCOUNT_LIST[Id],0))</f>
        <v>0</v>
      </c>
    </row>
    <row r="36" spans="1:76" customFormat="1" ht="21" customHeight="1">
      <c r="B36" s="685" t="s">
        <v>292</v>
      </c>
      <c r="C36">
        <v>154</v>
      </c>
      <c r="E36" s="547" cm="1">
        <f t="array" ref="E36">(SUM(_xlfn._xlws.FILTER(_xlfn._xlws.FILTER(dataGLBSCF,dataGLBSAcctIDs=$C36),(endDatesCF=E$5)))-SUM(_xlfn._xlws.FILTER(_xlfn._xlws.FILTER(dataGLBSCF,dataGLBSAcctIDs=$C36),(startDatesCF=EDATE(E$4,-1)))))*INDEX(PBC_ACCOUNT_LIST[Sign_for_total_cashflow],MATCH($C36,PBC_ACCOUNT_LIST[Id],0))</f>
        <v>-8000</v>
      </c>
      <c r="F36" s="547" cm="1">
        <f t="array" ref="F36">(SUM(_xlfn._xlws.FILTER(_xlfn._xlws.FILTER(dataGLBSCF,dataGLBSAcctIDs=$C36),(endDatesCF=F$5)))-SUM(_xlfn._xlws.FILTER(_xlfn._xlws.FILTER(dataGLBSCF,dataGLBSAcctIDs=$C36),(startDatesCF=EDATE(F$4,-1)))))*INDEX(PBC_ACCOUNT_LIST[Sign_for_total_cashflow],MATCH($C36,PBC_ACCOUNT_LIST[Id],0))</f>
        <v>0</v>
      </c>
      <c r="G36" s="547" cm="1">
        <f t="array" ref="G36">(SUM(_xlfn._xlws.FILTER(_xlfn._xlws.FILTER(dataGLBSCF,dataGLBSAcctIDs=$C36),(endDatesCF=G$5)))-SUM(_xlfn._xlws.FILTER(_xlfn._xlws.FILTER(dataGLBSCF,dataGLBSAcctIDs=$C36),(startDatesCF=EDATE(G$4,-1)))))*INDEX(PBC_ACCOUNT_LIST[Sign_for_total_cashflow],MATCH($C36,PBC_ACCOUNT_LIST[Id],0))</f>
        <v>0</v>
      </c>
      <c r="H36" s="547" cm="1">
        <f t="array" ref="H36">(SUM(_xlfn._xlws.FILTER(_xlfn._xlws.FILTER(dataGLBSCF,dataGLBSAcctIDs=$C36),(endDatesCF=H$5)))-SUM(_xlfn._xlws.FILTER(_xlfn._xlws.FILTER(dataGLBSCF,dataGLBSAcctIDs=$C36),(startDatesCF=EDATE(H$4,-1)))))*INDEX(PBC_ACCOUNT_LIST[Sign_for_total_cashflow],MATCH($C36,PBC_ACCOUNT_LIST[Id],0))</f>
        <v>-10000</v>
      </c>
      <c r="K36" s="547" cm="1">
        <f t="array" ref="K36">(SUM(_xlfn._xlws.FILTER(_xlfn._xlws.FILTER(dataGLBSCF,dataGLBSAcctIDs=$C36),(endDatesCF=K$5)))-SUM(_xlfn._xlws.FILTER(_xlfn._xlws.FILTER(dataGLBSCF,dataGLBSAcctIDs=$C36),(startDatesCF=EDATE(K$4,-1)))))*INDEX(PBC_ACCOUNT_LIST[Sign_for_total_cashflow],MATCH($C36,PBC_ACCOUNT_LIST[Id],0))</f>
        <v>0</v>
      </c>
      <c r="L36" s="547" cm="1">
        <f t="array" ref="L36">(SUM(_xlfn._xlws.FILTER(_xlfn._xlws.FILTER(dataGLBSCF,dataGLBSAcctIDs=$C36),(endDatesCF=L$5)))-SUM(_xlfn._xlws.FILTER(_xlfn._xlws.FILTER(dataGLBSCF,dataGLBSAcctIDs=$C36),(startDatesCF=EDATE(L$4,-1)))))*INDEX(PBC_ACCOUNT_LIST[Sign_for_total_cashflow],MATCH($C36,PBC_ACCOUNT_LIST[Id],0))</f>
        <v>-8000</v>
      </c>
      <c r="M36" s="547" cm="1">
        <f t="array" ref="M36">(SUM(_xlfn._xlws.FILTER(_xlfn._xlws.FILTER(dataGLBSCF,dataGLBSAcctIDs=$C36),(endDatesCF=M$5)))-SUM(_xlfn._xlws.FILTER(_xlfn._xlws.FILTER(dataGLBSCF,dataGLBSAcctIDs=$C36),(startDatesCF=EDATE(M$4,-1)))))*INDEX(PBC_ACCOUNT_LIST[Sign_for_total_cashflow],MATCH($C36,PBC_ACCOUNT_LIST[Id],0))</f>
        <v>0</v>
      </c>
      <c r="N36" s="547" cm="1">
        <f t="array" ref="N36">(SUM(_xlfn._xlws.FILTER(_xlfn._xlws.FILTER(dataGLBSCF,dataGLBSAcctIDs=$C36),(endDatesCF=N$5)))-SUM(_xlfn._xlws.FILTER(_xlfn._xlws.FILTER(dataGLBSCF,dataGLBSAcctIDs=$C36),(startDatesCF=EDATE(N$4,-1)))))*INDEX(PBC_ACCOUNT_LIST[Sign_for_total_cashflow],MATCH($C36,PBC_ACCOUNT_LIST[Id],0))</f>
        <v>0</v>
      </c>
      <c r="O36" s="547" cm="1">
        <f t="array" ref="O36">(SUM(_xlfn._xlws.FILTER(_xlfn._xlws.FILTER(dataGLBSCF,dataGLBSAcctIDs=$C36),(endDatesCF=O$5)))-SUM(_xlfn._xlws.FILTER(_xlfn._xlws.FILTER(dataGLBSCF,dataGLBSAcctIDs=$C36),(startDatesCF=EDATE(O$4,-1)))))*INDEX(PBC_ACCOUNT_LIST[Sign_for_total_cashflow],MATCH($C36,PBC_ACCOUNT_LIST[Id],0))</f>
        <v>0</v>
      </c>
      <c r="P36" s="547" cm="1">
        <f t="array" ref="P36">(SUM(_xlfn._xlws.FILTER(_xlfn._xlws.FILTER(dataGLBSCF,dataGLBSAcctIDs=$C36),(endDatesCF=P$5)))-SUM(_xlfn._xlws.FILTER(_xlfn._xlws.FILTER(dataGLBSCF,dataGLBSAcctIDs=$C36),(startDatesCF=EDATE(P$4,-1)))))*INDEX(PBC_ACCOUNT_LIST[Sign_for_total_cashflow],MATCH($C36,PBC_ACCOUNT_LIST[Id],0))</f>
        <v>0</v>
      </c>
      <c r="Q36" s="547" cm="1">
        <f t="array" ref="Q36">(SUM(_xlfn._xlws.FILTER(_xlfn._xlws.FILTER(dataGLBSCF,dataGLBSAcctIDs=$C36),(endDatesCF=Q$5)))-SUM(_xlfn._xlws.FILTER(_xlfn._xlws.FILTER(dataGLBSCF,dataGLBSAcctIDs=$C36),(startDatesCF=EDATE(Q$4,-1)))))*INDEX(PBC_ACCOUNT_LIST[Sign_for_total_cashflow],MATCH($C36,PBC_ACCOUNT_LIST[Id],0))</f>
        <v>0</v>
      </c>
      <c r="R36" s="547" cm="1">
        <f t="array" ref="R36">(SUM(_xlfn._xlws.FILTER(_xlfn._xlws.FILTER(dataGLBSCF,dataGLBSAcctIDs=$C36),(endDatesCF=R$5)))-SUM(_xlfn._xlws.FILTER(_xlfn._xlws.FILTER(dataGLBSCF,dataGLBSAcctIDs=$C36),(startDatesCF=EDATE(R$4,-1)))))*INDEX(PBC_ACCOUNT_LIST[Sign_for_total_cashflow],MATCH($C36,PBC_ACCOUNT_LIST[Id],0))</f>
        <v>0</v>
      </c>
      <c r="S36" s="547" cm="1">
        <f t="array" ref="S36">(SUM(_xlfn._xlws.FILTER(_xlfn._xlws.FILTER(dataGLBSCF,dataGLBSAcctIDs=$C36),(endDatesCF=S$5)))-SUM(_xlfn._xlws.FILTER(_xlfn._xlws.FILTER(dataGLBSCF,dataGLBSAcctIDs=$C36),(startDatesCF=EDATE(S$4,-1)))))*INDEX(PBC_ACCOUNT_LIST[Sign_for_total_cashflow],MATCH($C36,PBC_ACCOUNT_LIST[Id],0))</f>
        <v>0</v>
      </c>
      <c r="T36" s="547" cm="1">
        <f t="array" ref="T36">(SUM(_xlfn._xlws.FILTER(_xlfn._xlws.FILTER(dataGLBSCF,dataGLBSAcctIDs=$C36),(endDatesCF=T$5)))-SUM(_xlfn._xlws.FILTER(_xlfn._xlws.FILTER(dataGLBSCF,dataGLBSAcctIDs=$C36),(startDatesCF=EDATE(T$4,-1)))))*INDEX(PBC_ACCOUNT_LIST[Sign_for_total_cashflow],MATCH($C36,PBC_ACCOUNT_LIST[Id],0))</f>
        <v>0</v>
      </c>
      <c r="U36" s="547" cm="1">
        <f t="array" ref="U36">(SUM(_xlfn._xlws.FILTER(_xlfn._xlws.FILTER(dataGLBSCF,dataGLBSAcctIDs=$C36),(endDatesCF=U$5)))-SUM(_xlfn._xlws.FILTER(_xlfn._xlws.FILTER(dataGLBSCF,dataGLBSAcctIDs=$C36),(startDatesCF=EDATE(U$4,-1)))))*INDEX(PBC_ACCOUNT_LIST[Sign_for_total_cashflow],MATCH($C36,PBC_ACCOUNT_LIST[Id],0))</f>
        <v>0</v>
      </c>
      <c r="V36" s="547" cm="1">
        <f t="array" ref="V36">(SUM(_xlfn._xlws.FILTER(_xlfn._xlws.FILTER(dataGLBSCF,dataGLBSAcctIDs=$C36),(endDatesCF=V$5)))-SUM(_xlfn._xlws.FILTER(_xlfn._xlws.FILTER(dataGLBSCF,dataGLBSAcctIDs=$C36),(startDatesCF=EDATE(V$4,-1)))))*INDEX(PBC_ACCOUNT_LIST[Sign_for_total_cashflow],MATCH($C36,PBC_ACCOUNT_LIST[Id],0))</f>
        <v>0</v>
      </c>
      <c r="W36" s="547" cm="1">
        <f t="array" ref="W36">(SUM(_xlfn._xlws.FILTER(_xlfn._xlws.FILTER(dataGLBSCF,dataGLBSAcctIDs=$C36),(endDatesCF=W$5)))-SUM(_xlfn._xlws.FILTER(_xlfn._xlws.FILTER(dataGLBSCF,dataGLBSAcctIDs=$C36),(startDatesCF=EDATE(W$4,-1)))))*INDEX(PBC_ACCOUNT_LIST[Sign_for_total_cashflow],MATCH($C36,PBC_ACCOUNT_LIST[Id],0))</f>
        <v>-10000</v>
      </c>
      <c r="X36" s="547" cm="1">
        <f t="array" ref="X36">(SUM(_xlfn._xlws.FILTER(_xlfn._xlws.FILTER(dataGLBSCF,dataGLBSAcctIDs=$C36),(endDatesCF=X$5)))-SUM(_xlfn._xlws.FILTER(_xlfn._xlws.FILTER(dataGLBSCF,dataGLBSAcctIDs=$C36),(startDatesCF=EDATE(X$4,-1)))))*INDEX(PBC_ACCOUNT_LIST[Sign_for_total_cashflow],MATCH($C36,PBC_ACCOUNT_LIST[Id],0))</f>
        <v>0</v>
      </c>
      <c r="Y36" s="547" cm="1">
        <f t="array" ref="Y36">(SUM(_xlfn._xlws.FILTER(_xlfn._xlws.FILTER(dataGLBSCF,dataGLBSAcctIDs=$C36),(endDatesCF=Y$5)))-SUM(_xlfn._xlws.FILTER(_xlfn._xlws.FILTER(dataGLBSCF,dataGLBSAcctIDs=$C36),(startDatesCF=EDATE(Y$4,-1)))))*INDEX(PBC_ACCOUNT_LIST[Sign_for_total_cashflow],MATCH($C36,PBC_ACCOUNT_LIST[Id],0))</f>
        <v>0</v>
      </c>
      <c r="Z36" s="547" cm="1">
        <f t="array" ref="Z36">(SUM(_xlfn._xlws.FILTER(_xlfn._xlws.FILTER(dataGLBSCF,dataGLBSAcctIDs=$C36),(endDatesCF=Z$5)))-SUM(_xlfn._xlws.FILTER(_xlfn._xlws.FILTER(dataGLBSCF,dataGLBSAcctIDs=$C36),(startDatesCF=EDATE(Z$4,-1)))))*INDEX(PBC_ACCOUNT_LIST[Sign_for_total_cashflow],MATCH($C36,PBC_ACCOUNT_LIST[Id],0))</f>
        <v>0</v>
      </c>
      <c r="AC36" s="547" cm="1">
        <f t="array" ref="AC36">(SUM(_xlfn._xlws.FILTER(_xlfn._xlws.FILTER(dataGLBSCF,dataGLBSAcctIDs=$C36),(endDatesCF=AC$5)))-SUM(_xlfn._xlws.FILTER(_xlfn._xlws.FILTER(dataGLBSCF,dataGLBSAcctIDs=$C36),(startDatesCF=EDATE(AC$4,-1)))))*INDEX(PBC_ACCOUNT_LIST[Sign_for_total_cashflow],MATCH($C36,PBC_ACCOUNT_LIST[Id],0))</f>
        <v>0</v>
      </c>
      <c r="AD36" s="547" cm="1">
        <f t="array" ref="AD36">(SUM(_xlfn._xlws.FILTER(_xlfn._xlws.FILTER(dataGLBSCF,dataGLBSAcctIDs=$C36),(endDatesCF=AD$5)))-SUM(_xlfn._xlws.FILTER(_xlfn._xlws.FILTER(dataGLBSCF,dataGLBSAcctIDs=$C36),(startDatesCF=EDATE(AD$4,-1)))))*INDEX(PBC_ACCOUNT_LIST[Sign_for_total_cashflow],MATCH($C36,PBC_ACCOUNT_LIST[Id],0))</f>
        <v>0</v>
      </c>
      <c r="AE36" s="547" cm="1">
        <f t="array" ref="AE36">(SUM(_xlfn._xlws.FILTER(_xlfn._xlws.FILTER(dataGLBSCF,dataGLBSAcctIDs=$C36),(endDatesCF=AE$5)))-SUM(_xlfn._xlws.FILTER(_xlfn._xlws.FILTER(dataGLBSCF,dataGLBSAcctIDs=$C36),(startDatesCF=EDATE(AE$4,-1)))))*INDEX(PBC_ACCOUNT_LIST[Sign_for_total_cashflow],MATCH($C36,PBC_ACCOUNT_LIST[Id],0))</f>
        <v>0</v>
      </c>
      <c r="AF36" s="547" cm="1">
        <f t="array" ref="AF36">(SUM(_xlfn._xlws.FILTER(_xlfn._xlws.FILTER(dataGLBSCF,dataGLBSAcctIDs=$C36),(endDatesCF=AF$5)))-SUM(_xlfn._xlws.FILTER(_xlfn._xlws.FILTER(dataGLBSCF,dataGLBSAcctIDs=$C36),(startDatesCF=EDATE(AF$4,-1)))))*INDEX(PBC_ACCOUNT_LIST[Sign_for_total_cashflow],MATCH($C36,PBC_ACCOUNT_LIST[Id],0))</f>
        <v>0</v>
      </c>
      <c r="AG36" s="547" cm="1">
        <f t="array" ref="AG36">(SUM(_xlfn._xlws.FILTER(_xlfn._xlws.FILTER(dataGLBSCF,dataGLBSAcctIDs=$C36),(endDatesCF=AG$5)))-SUM(_xlfn._xlws.FILTER(_xlfn._xlws.FILTER(dataGLBSCF,dataGLBSAcctIDs=$C36),(startDatesCF=EDATE(AG$4,-1)))))*INDEX(PBC_ACCOUNT_LIST[Sign_for_total_cashflow],MATCH($C36,PBC_ACCOUNT_LIST[Id],0))</f>
        <v>0</v>
      </c>
      <c r="AH36" s="547" cm="1">
        <f t="array" ref="AH36">(SUM(_xlfn._xlws.FILTER(_xlfn._xlws.FILTER(dataGLBSCF,dataGLBSAcctIDs=$C36),(endDatesCF=AH$5)))-SUM(_xlfn._xlws.FILTER(_xlfn._xlws.FILTER(dataGLBSCF,dataGLBSAcctIDs=$C36),(startDatesCF=EDATE(AH$4,-1)))))*INDEX(PBC_ACCOUNT_LIST[Sign_for_total_cashflow],MATCH($C36,PBC_ACCOUNT_LIST[Id],0))</f>
        <v>-8000</v>
      </c>
      <c r="AI36" s="547" cm="1">
        <f t="array" ref="AI36">(SUM(_xlfn._xlws.FILTER(_xlfn._xlws.FILTER(dataGLBSCF,dataGLBSAcctIDs=$C36),(endDatesCF=AI$5)))-SUM(_xlfn._xlws.FILTER(_xlfn._xlws.FILTER(dataGLBSCF,dataGLBSAcctIDs=$C36),(startDatesCF=EDATE(AI$4,-1)))))*INDEX(PBC_ACCOUNT_LIST[Sign_for_total_cashflow],MATCH($C36,PBC_ACCOUNT_LIST[Id],0))</f>
        <v>0</v>
      </c>
      <c r="AJ36" s="547" cm="1">
        <f t="array" ref="AJ36">(SUM(_xlfn._xlws.FILTER(_xlfn._xlws.FILTER(dataGLBSCF,dataGLBSAcctIDs=$C36),(endDatesCF=AJ$5)))-SUM(_xlfn._xlws.FILTER(_xlfn._xlws.FILTER(dataGLBSCF,dataGLBSAcctIDs=$C36),(startDatesCF=EDATE(AJ$4,-1)))))*INDEX(PBC_ACCOUNT_LIST[Sign_for_total_cashflow],MATCH($C36,PBC_ACCOUNT_LIST[Id],0))</f>
        <v>0</v>
      </c>
      <c r="AK36" s="547" cm="1">
        <f t="array" ref="AK36">(SUM(_xlfn._xlws.FILTER(_xlfn._xlws.FILTER(dataGLBSCF,dataGLBSAcctIDs=$C36),(endDatesCF=AK$5)))-SUM(_xlfn._xlws.FILTER(_xlfn._xlws.FILTER(dataGLBSCF,dataGLBSAcctIDs=$C36),(startDatesCF=EDATE(AK$4,-1)))))*INDEX(PBC_ACCOUNT_LIST[Sign_for_total_cashflow],MATCH($C36,PBC_ACCOUNT_LIST[Id],0))</f>
        <v>0</v>
      </c>
      <c r="AL36" s="547" cm="1">
        <f t="array" ref="AL36">(SUM(_xlfn._xlws.FILTER(_xlfn._xlws.FILTER(dataGLBSCF,dataGLBSAcctIDs=$C36),(endDatesCF=AL$5)))-SUM(_xlfn._xlws.FILTER(_xlfn._xlws.FILTER(dataGLBSCF,dataGLBSAcctIDs=$C36),(startDatesCF=EDATE(AL$4,-1)))))*INDEX(PBC_ACCOUNT_LIST[Sign_for_total_cashflow],MATCH($C36,PBC_ACCOUNT_LIST[Id],0))</f>
        <v>0</v>
      </c>
      <c r="AM36" s="547" cm="1">
        <f t="array" ref="AM36">(SUM(_xlfn._xlws.FILTER(_xlfn._xlws.FILTER(dataGLBSCF,dataGLBSAcctIDs=$C36),(endDatesCF=AM$5)))-SUM(_xlfn._xlws.FILTER(_xlfn._xlws.FILTER(dataGLBSCF,dataGLBSAcctIDs=$C36),(startDatesCF=EDATE(AM$4,-1)))))*INDEX(PBC_ACCOUNT_LIST[Sign_for_total_cashflow],MATCH($C36,PBC_ACCOUNT_LIST[Id],0))</f>
        <v>0</v>
      </c>
      <c r="AN36" s="547" cm="1">
        <f t="array" ref="AN36">(SUM(_xlfn._xlws.FILTER(_xlfn._xlws.FILTER(dataGLBSCF,dataGLBSAcctIDs=$C36),(endDatesCF=AN$5)))-SUM(_xlfn._xlws.FILTER(_xlfn._xlws.FILTER(dataGLBSCF,dataGLBSAcctIDs=$C36),(startDatesCF=EDATE(AN$4,-1)))))*INDEX(PBC_ACCOUNT_LIST[Sign_for_total_cashflow],MATCH($C36,PBC_ACCOUNT_LIST[Id],0))</f>
        <v>0</v>
      </c>
      <c r="AO36" s="547" cm="1">
        <f t="array" ref="AO36">(SUM(_xlfn._xlws.FILTER(_xlfn._xlws.FILTER(dataGLBSCF,dataGLBSAcctIDs=$C36),(endDatesCF=AO$5)))-SUM(_xlfn._xlws.FILTER(_xlfn._xlws.FILTER(dataGLBSCF,dataGLBSAcctIDs=$C36),(startDatesCF=EDATE(AO$4,-1)))))*INDEX(PBC_ACCOUNT_LIST[Sign_for_total_cashflow],MATCH($C36,PBC_ACCOUNT_LIST[Id],0))</f>
        <v>-2000</v>
      </c>
      <c r="AP36" s="547" cm="1">
        <f t="array" ref="AP36">(SUM(_xlfn._xlws.FILTER(_xlfn._xlws.FILTER(dataGLBSCF,dataGLBSAcctIDs=$C36),(endDatesCF=AP$5)))-SUM(_xlfn._xlws.FILTER(_xlfn._xlws.FILTER(dataGLBSCF,dataGLBSAcctIDs=$C36),(startDatesCF=EDATE(AP$4,-1)))))*INDEX(PBC_ACCOUNT_LIST[Sign_for_total_cashflow],MATCH($C36,PBC_ACCOUNT_LIST[Id],0))</f>
        <v>2000</v>
      </c>
      <c r="AQ36" s="547" cm="1">
        <f t="array" ref="AQ36">(SUM(_xlfn._xlws.FILTER(_xlfn._xlws.FILTER(dataGLBSCF,dataGLBSAcctIDs=$C36),(endDatesCF=AQ$5)))-SUM(_xlfn._xlws.FILTER(_xlfn._xlws.FILTER(dataGLBSCF,dataGLBSAcctIDs=$C36),(startDatesCF=EDATE(AQ$4,-1)))))*INDEX(PBC_ACCOUNT_LIST[Sign_for_total_cashflow],MATCH($C36,PBC_ACCOUNT_LIST[Id],0))</f>
        <v>0</v>
      </c>
      <c r="AR36" s="547" cm="1">
        <f t="array" ref="AR36">(SUM(_xlfn._xlws.FILTER(_xlfn._xlws.FILTER(dataGLBSCF,dataGLBSAcctIDs=$C36),(endDatesCF=AR$5)))-SUM(_xlfn._xlws.FILTER(_xlfn._xlws.FILTER(dataGLBSCF,dataGLBSAcctIDs=$C36),(startDatesCF=EDATE(AR$4,-1)))))*INDEX(PBC_ACCOUNT_LIST[Sign_for_total_cashflow],MATCH($C36,PBC_ACCOUNT_LIST[Id],0))</f>
        <v>0</v>
      </c>
      <c r="AS36" s="547" cm="1">
        <f t="array" ref="AS36">(SUM(_xlfn._xlws.FILTER(_xlfn._xlws.FILTER(dataGLBSCF,dataGLBSAcctIDs=$C36),(endDatesCF=AS$5)))-SUM(_xlfn._xlws.FILTER(_xlfn._xlws.FILTER(dataGLBSCF,dataGLBSAcctIDs=$C36),(startDatesCF=EDATE(AS$4,-1)))))*INDEX(PBC_ACCOUNT_LIST[Sign_for_total_cashflow],MATCH($C36,PBC_ACCOUNT_LIST[Id],0))</f>
        <v>0</v>
      </c>
      <c r="AT36" s="547" cm="1">
        <f t="array" ref="AT36">(SUM(_xlfn._xlws.FILTER(_xlfn._xlws.FILTER(dataGLBSCF,dataGLBSAcctIDs=$C36),(endDatesCF=AT$5)))-SUM(_xlfn._xlws.FILTER(_xlfn._xlws.FILTER(dataGLBSCF,dataGLBSAcctIDs=$C36),(startDatesCF=EDATE(AT$4,-1)))))*INDEX(PBC_ACCOUNT_LIST[Sign_for_total_cashflow],MATCH($C36,PBC_ACCOUNT_LIST[Id],0))</f>
        <v>0</v>
      </c>
      <c r="AU36" s="547" cm="1">
        <f t="array" ref="AU36">(SUM(_xlfn._xlws.FILTER(_xlfn._xlws.FILTER(dataGLBSCF,dataGLBSAcctIDs=$C36),(endDatesCF=AU$5)))-SUM(_xlfn._xlws.FILTER(_xlfn._xlws.FILTER(dataGLBSCF,dataGLBSAcctIDs=$C36),(startDatesCF=EDATE(AU$4,-1)))))*INDEX(PBC_ACCOUNT_LIST[Sign_for_total_cashflow],MATCH($C36,PBC_ACCOUNT_LIST[Id],0))</f>
        <v>0</v>
      </c>
      <c r="AV36" s="547" cm="1">
        <f t="array" ref="AV36">(SUM(_xlfn._xlws.FILTER(_xlfn._xlws.FILTER(dataGLBSCF,dataGLBSAcctIDs=$C36),(endDatesCF=AV$5)))-SUM(_xlfn._xlws.FILTER(_xlfn._xlws.FILTER(dataGLBSCF,dataGLBSAcctIDs=$C36),(startDatesCF=EDATE(AV$4,-1)))))*INDEX(PBC_ACCOUNT_LIST[Sign_for_total_cashflow],MATCH($C36,PBC_ACCOUNT_LIST[Id],0))</f>
        <v>0</v>
      </c>
      <c r="AW36" s="547" cm="1">
        <f t="array" ref="AW36">(SUM(_xlfn._xlws.FILTER(_xlfn._xlws.FILTER(dataGLBSCF,dataGLBSAcctIDs=$C36),(endDatesCF=AW$5)))-SUM(_xlfn._xlws.FILTER(_xlfn._xlws.FILTER(dataGLBSCF,dataGLBSAcctIDs=$C36),(startDatesCF=EDATE(AW$4,-1)))))*INDEX(PBC_ACCOUNT_LIST[Sign_for_total_cashflow],MATCH($C36,PBC_ACCOUNT_LIST[Id],0))</f>
        <v>0</v>
      </c>
      <c r="AX36" s="547" cm="1">
        <f t="array" ref="AX36">(SUM(_xlfn._xlws.FILTER(_xlfn._xlws.FILTER(dataGLBSCF,dataGLBSAcctIDs=$C36),(endDatesCF=AX$5)))-SUM(_xlfn._xlws.FILTER(_xlfn._xlws.FILTER(dataGLBSCF,dataGLBSAcctIDs=$C36),(startDatesCF=EDATE(AX$4,-1)))))*INDEX(PBC_ACCOUNT_LIST[Sign_for_total_cashflow],MATCH($C36,PBC_ACCOUNT_LIST[Id],0))</f>
        <v>0</v>
      </c>
      <c r="AY36" s="547" cm="1">
        <f t="array" ref="AY36">(SUM(_xlfn._xlws.FILTER(_xlfn._xlws.FILTER(dataGLBSCF,dataGLBSAcctIDs=$C36),(endDatesCF=AY$5)))-SUM(_xlfn._xlws.FILTER(_xlfn._xlws.FILTER(dataGLBSCF,dataGLBSAcctIDs=$C36),(startDatesCF=EDATE(AY$4,-1)))))*INDEX(PBC_ACCOUNT_LIST[Sign_for_total_cashflow],MATCH($C36,PBC_ACCOUNT_LIST[Id],0))</f>
        <v>0</v>
      </c>
      <c r="AZ36" s="547" cm="1">
        <f t="array" ref="AZ36">(SUM(_xlfn._xlws.FILTER(_xlfn._xlws.FILTER(dataGLBSCF,dataGLBSAcctIDs=$C36),(endDatesCF=AZ$5)))-SUM(_xlfn._xlws.FILTER(_xlfn._xlws.FILTER(dataGLBSCF,dataGLBSAcctIDs=$C36),(startDatesCF=EDATE(AZ$4,-1)))))*INDEX(PBC_ACCOUNT_LIST[Sign_for_total_cashflow],MATCH($C36,PBC_ACCOUNT_LIST[Id],0))</f>
        <v>0</v>
      </c>
      <c r="BA36" s="547" cm="1">
        <f t="array" ref="BA36">(SUM(_xlfn._xlws.FILTER(_xlfn._xlws.FILTER(dataGLBSCF,dataGLBSAcctIDs=$C36),(endDatesCF=BA$5)))-SUM(_xlfn._xlws.FILTER(_xlfn._xlws.FILTER(dataGLBSCF,dataGLBSAcctIDs=$C36),(startDatesCF=EDATE(BA$4,-1)))))*INDEX(PBC_ACCOUNT_LIST[Sign_for_total_cashflow],MATCH($C36,PBC_ACCOUNT_LIST[Id],0))</f>
        <v>0</v>
      </c>
      <c r="BB36" s="547" cm="1">
        <f t="array" ref="BB36">(SUM(_xlfn._xlws.FILTER(_xlfn._xlws.FILTER(dataGLBSCF,dataGLBSAcctIDs=$C36),(endDatesCF=BB$5)))-SUM(_xlfn._xlws.FILTER(_xlfn._xlws.FILTER(dataGLBSCF,dataGLBSAcctIDs=$C36),(startDatesCF=EDATE(BB$4,-1)))))*INDEX(PBC_ACCOUNT_LIST[Sign_for_total_cashflow],MATCH($C36,PBC_ACCOUNT_LIST[Id],0))</f>
        <v>0</v>
      </c>
      <c r="BC36" s="547" cm="1">
        <f t="array" ref="BC36">(SUM(_xlfn._xlws.FILTER(_xlfn._xlws.FILTER(dataGLBSCF,dataGLBSAcctIDs=$C36),(endDatesCF=BC$5)))-SUM(_xlfn._xlws.FILTER(_xlfn._xlws.FILTER(dataGLBSCF,dataGLBSAcctIDs=$C36),(startDatesCF=EDATE(BC$4,-1)))))*INDEX(PBC_ACCOUNT_LIST[Sign_for_total_cashflow],MATCH($C36,PBC_ACCOUNT_LIST[Id],0))</f>
        <v>0</v>
      </c>
      <c r="BD36" s="547" cm="1">
        <f t="array" ref="BD36">(SUM(_xlfn._xlws.FILTER(_xlfn._xlws.FILTER(dataGLBSCF,dataGLBSAcctIDs=$C36),(endDatesCF=BD$5)))-SUM(_xlfn._xlws.FILTER(_xlfn._xlws.FILTER(dataGLBSCF,dataGLBSAcctIDs=$C36),(startDatesCF=EDATE(BD$4,-1)))))*INDEX(PBC_ACCOUNT_LIST[Sign_for_total_cashflow],MATCH($C36,PBC_ACCOUNT_LIST[Id],0))</f>
        <v>0</v>
      </c>
      <c r="BE36" s="547" cm="1">
        <f t="array" ref="BE36">(SUM(_xlfn._xlws.FILTER(_xlfn._xlws.FILTER(dataGLBSCF,dataGLBSAcctIDs=$C36),(endDatesCF=BE$5)))-SUM(_xlfn._xlws.FILTER(_xlfn._xlws.FILTER(dataGLBSCF,dataGLBSAcctIDs=$C36),(startDatesCF=EDATE(BE$4,-1)))))*INDEX(PBC_ACCOUNT_LIST[Sign_for_total_cashflow],MATCH($C36,PBC_ACCOUNT_LIST[Id],0))</f>
        <v>0</v>
      </c>
      <c r="BF36" s="547" cm="1">
        <f t="array" ref="BF36">(SUM(_xlfn._xlws.FILTER(_xlfn._xlws.FILTER(dataGLBSCF,dataGLBSAcctIDs=$C36),(endDatesCF=BF$5)))-SUM(_xlfn._xlws.FILTER(_xlfn._xlws.FILTER(dataGLBSCF,dataGLBSAcctIDs=$C36),(startDatesCF=EDATE(BF$4,-1)))))*INDEX(PBC_ACCOUNT_LIST[Sign_for_total_cashflow],MATCH($C36,PBC_ACCOUNT_LIST[Id],0))</f>
        <v>0</v>
      </c>
      <c r="BG36" s="547" cm="1">
        <f t="array" ref="BG36">(SUM(_xlfn._xlws.FILTER(_xlfn._xlws.FILTER(dataGLBSCF,dataGLBSAcctIDs=$C36),(endDatesCF=BG$5)))-SUM(_xlfn._xlws.FILTER(_xlfn._xlws.FILTER(dataGLBSCF,dataGLBSAcctIDs=$C36),(startDatesCF=EDATE(BG$4,-1)))))*INDEX(PBC_ACCOUNT_LIST[Sign_for_total_cashflow],MATCH($C36,PBC_ACCOUNT_LIST[Id],0))</f>
        <v>0</v>
      </c>
      <c r="BH36" s="547" cm="1">
        <f t="array" ref="BH36">(SUM(_xlfn._xlws.FILTER(_xlfn._xlws.FILTER(dataGLBSCF,dataGLBSAcctIDs=$C36),(endDatesCF=BH$5)))-SUM(_xlfn._xlws.FILTER(_xlfn._xlws.FILTER(dataGLBSCF,dataGLBSAcctIDs=$C36),(startDatesCF=EDATE(BH$4,-1)))))*INDEX(PBC_ACCOUNT_LIST[Sign_for_total_cashflow],MATCH($C36,PBC_ACCOUNT_LIST[Id],0))</f>
        <v>0</v>
      </c>
      <c r="BI36" s="547" cm="1">
        <f t="array" ref="BI36">(SUM(_xlfn._xlws.FILTER(_xlfn._xlws.FILTER(dataGLBSCF,dataGLBSAcctIDs=$C36),(endDatesCF=BI$5)))-SUM(_xlfn._xlws.FILTER(_xlfn._xlws.FILTER(dataGLBSCF,dataGLBSAcctIDs=$C36),(startDatesCF=EDATE(BI$4,-1)))))*INDEX(PBC_ACCOUNT_LIST[Sign_for_total_cashflow],MATCH($C36,PBC_ACCOUNT_LIST[Id],0))</f>
        <v>0</v>
      </c>
      <c r="BJ36" s="547" cm="1">
        <f t="array" ref="BJ36">(SUM(_xlfn._xlws.FILTER(_xlfn._xlws.FILTER(dataGLBSCF,dataGLBSAcctIDs=$C36),(endDatesCF=BJ$5)))-SUM(_xlfn._xlws.FILTER(_xlfn._xlws.FILTER(dataGLBSCF,dataGLBSAcctIDs=$C36),(startDatesCF=EDATE(BJ$4,-1)))))*INDEX(PBC_ACCOUNT_LIST[Sign_for_total_cashflow],MATCH($C36,PBC_ACCOUNT_LIST[Id],0))</f>
        <v>0</v>
      </c>
      <c r="BK36" s="547" cm="1">
        <f t="array" ref="BK36">(SUM(_xlfn._xlws.FILTER(_xlfn._xlws.FILTER(dataGLBSCF,dataGLBSAcctIDs=$C36),(endDatesCF=BK$5)))-SUM(_xlfn._xlws.FILTER(_xlfn._xlws.FILTER(dataGLBSCF,dataGLBSAcctIDs=$C36),(startDatesCF=EDATE(BK$4,-1)))))*INDEX(PBC_ACCOUNT_LIST[Sign_for_total_cashflow],MATCH($C36,PBC_ACCOUNT_LIST[Id],0))</f>
        <v>0</v>
      </c>
      <c r="BL36" s="547" cm="1">
        <f t="array" ref="BL36">(SUM(_xlfn._xlws.FILTER(_xlfn._xlws.FILTER(dataGLBSCF,dataGLBSAcctIDs=$C36),(endDatesCF=BL$5)))-SUM(_xlfn._xlws.FILTER(_xlfn._xlws.FILTER(dataGLBSCF,dataGLBSAcctIDs=$C36),(startDatesCF=EDATE(BL$4,-1)))))*INDEX(PBC_ACCOUNT_LIST[Sign_for_total_cashflow],MATCH($C36,PBC_ACCOUNT_LIST[Id],0))</f>
        <v>0</v>
      </c>
      <c r="BM36" s="547" cm="1">
        <f t="array" ref="BM36">(SUM(_xlfn._xlws.FILTER(_xlfn._xlws.FILTER(dataGLBSCF,dataGLBSAcctIDs=$C36),(endDatesCF=BM$5)))-SUM(_xlfn._xlws.FILTER(_xlfn._xlws.FILTER(dataGLBSCF,dataGLBSAcctIDs=$C36),(startDatesCF=EDATE(BM$4,-1)))))*INDEX(PBC_ACCOUNT_LIST[Sign_for_total_cashflow],MATCH($C36,PBC_ACCOUNT_LIST[Id],0))</f>
        <v>0</v>
      </c>
      <c r="BN36" s="547" cm="1">
        <f t="array" ref="BN36">(SUM(_xlfn._xlws.FILTER(_xlfn._xlws.FILTER(dataGLBSCF,dataGLBSAcctIDs=$C36),(endDatesCF=BN$5)))-SUM(_xlfn._xlws.FILTER(_xlfn._xlws.FILTER(dataGLBSCF,dataGLBSAcctIDs=$C36),(startDatesCF=EDATE(BN$4,-1)))))*INDEX(PBC_ACCOUNT_LIST[Sign_for_total_cashflow],MATCH($C36,PBC_ACCOUNT_LIST[Id],0))</f>
        <v>-10000</v>
      </c>
      <c r="BO36" s="547" cm="1">
        <f t="array" ref="BO36">(SUM(_xlfn._xlws.FILTER(_xlfn._xlws.FILTER(dataGLBSCF,dataGLBSAcctIDs=$C36),(endDatesCF=BO$5)))-SUM(_xlfn._xlws.FILTER(_xlfn._xlws.FILTER(dataGLBSCF,dataGLBSAcctIDs=$C36),(startDatesCF=EDATE(BO$4,-1)))))*INDEX(PBC_ACCOUNT_LIST[Sign_for_total_cashflow],MATCH($C36,PBC_ACCOUNT_LIST[Id],0))</f>
        <v>0</v>
      </c>
      <c r="BP36" s="547" cm="1">
        <f t="array" ref="BP36">(SUM(_xlfn._xlws.FILTER(_xlfn._xlws.FILTER(dataGLBSCF,dataGLBSAcctIDs=$C36),(endDatesCF=BP$5)))-SUM(_xlfn._xlws.FILTER(_xlfn._xlws.FILTER(dataGLBSCF,dataGLBSAcctIDs=$C36),(startDatesCF=EDATE(BP$4,-1)))))*INDEX(PBC_ACCOUNT_LIST[Sign_for_total_cashflow],MATCH($C36,PBC_ACCOUNT_LIST[Id],0))</f>
        <v>0</v>
      </c>
      <c r="BQ36" s="547" cm="1">
        <f t="array" ref="BQ36">(SUM(_xlfn._xlws.FILTER(_xlfn._xlws.FILTER(dataGLBSCF,dataGLBSAcctIDs=$C36),(endDatesCF=BQ$5)))-SUM(_xlfn._xlws.FILTER(_xlfn._xlws.FILTER(dataGLBSCF,dataGLBSAcctIDs=$C36),(startDatesCF=EDATE(BQ$4,-1)))))*INDEX(PBC_ACCOUNT_LIST[Sign_for_total_cashflow],MATCH($C36,PBC_ACCOUNT_LIST[Id],0))</f>
        <v>0</v>
      </c>
      <c r="BR36" s="547" cm="1">
        <f t="array" ref="BR36">(SUM(_xlfn._xlws.FILTER(_xlfn._xlws.FILTER(dataGLBSCF,dataGLBSAcctIDs=$C36),(endDatesCF=BR$5)))-SUM(_xlfn._xlws.FILTER(_xlfn._xlws.FILTER(dataGLBSCF,dataGLBSAcctIDs=$C36),(startDatesCF=EDATE(BR$4,-1)))))*INDEX(PBC_ACCOUNT_LIST[Sign_for_total_cashflow],MATCH($C36,PBC_ACCOUNT_LIST[Id],0))</f>
        <v>0</v>
      </c>
      <c r="BS36" s="547" cm="1">
        <f t="array" ref="BS36">(SUM(_xlfn._xlws.FILTER(_xlfn._xlws.FILTER(dataGLBSCF,dataGLBSAcctIDs=$C36),(endDatesCF=BS$5)))-SUM(_xlfn._xlws.FILTER(_xlfn._xlws.FILTER(dataGLBSCF,dataGLBSAcctIDs=$C36),(startDatesCF=EDATE(BS$4,-1)))))*INDEX(PBC_ACCOUNT_LIST[Sign_for_total_cashflow],MATCH($C36,PBC_ACCOUNT_LIST[Id],0))</f>
        <v>0</v>
      </c>
      <c r="BT36" s="547" cm="1">
        <f t="array" ref="BT36">(SUM(_xlfn._xlws.FILTER(_xlfn._xlws.FILTER(dataGLBSCF,dataGLBSAcctIDs=$C36),(endDatesCF=BT$5)))-SUM(_xlfn._xlws.FILTER(_xlfn._xlws.FILTER(dataGLBSCF,dataGLBSAcctIDs=$C36),(startDatesCF=EDATE(BT$4,-1)))))*INDEX(PBC_ACCOUNT_LIST[Sign_for_total_cashflow],MATCH($C36,PBC_ACCOUNT_LIST[Id],0))</f>
        <v>0</v>
      </c>
      <c r="BU36" s="547" cm="1">
        <f t="array" ref="BU36">(SUM(_xlfn._xlws.FILTER(_xlfn._xlws.FILTER(dataGLBSCF,dataGLBSAcctIDs=$C36),(endDatesCF=BU$5)))-SUM(_xlfn._xlws.FILTER(_xlfn._xlws.FILTER(dataGLBSCF,dataGLBSAcctIDs=$C36),(startDatesCF=EDATE(BU$4,-1)))))*INDEX(PBC_ACCOUNT_LIST[Sign_for_total_cashflow],MATCH($C36,PBC_ACCOUNT_LIST[Id],0))</f>
        <v>0</v>
      </c>
      <c r="BV36" s="547" cm="1">
        <f t="array" ref="BV36">(SUM(_xlfn._xlws.FILTER(_xlfn._xlws.FILTER(dataGLBSCF,dataGLBSAcctIDs=$C36),(endDatesCF=BV$5)))-SUM(_xlfn._xlws.FILTER(_xlfn._xlws.FILTER(dataGLBSCF,dataGLBSAcctIDs=$C36),(startDatesCF=EDATE(BV$4,-1)))))*INDEX(PBC_ACCOUNT_LIST[Sign_for_total_cashflow],MATCH($C36,PBC_ACCOUNT_LIST[Id],0))</f>
        <v>0</v>
      </c>
      <c r="BW36" s="547" cm="1">
        <f t="array" ref="BW36">(SUM(_xlfn._xlws.FILTER(_xlfn._xlws.FILTER(dataGLBSCF,dataGLBSAcctIDs=$C36),(endDatesCF=BW$5)))-SUM(_xlfn._xlws.FILTER(_xlfn._xlws.FILTER(dataGLBSCF,dataGLBSAcctIDs=$C36),(startDatesCF=EDATE(BW$4,-1)))))*INDEX(PBC_ACCOUNT_LIST[Sign_for_total_cashflow],MATCH($C36,PBC_ACCOUNT_LIST[Id],0))</f>
        <v>0</v>
      </c>
      <c r="BX36" s="547" cm="1">
        <f t="array" ref="BX36">(SUM(_xlfn._xlws.FILTER(_xlfn._xlws.FILTER(dataGLBSCF,dataGLBSAcctIDs=$C36),(endDatesCF=BX$5)))-SUM(_xlfn._xlws.FILTER(_xlfn._xlws.FILTER(dataGLBSCF,dataGLBSAcctIDs=$C36),(startDatesCF=EDATE(BX$4,-1)))))*INDEX(PBC_ACCOUNT_LIST[Sign_for_total_cashflow],MATCH($C36,PBC_ACCOUNT_LIST[Id],0))</f>
        <v>0</v>
      </c>
    </row>
    <row r="37" spans="1:76" customFormat="1" ht="21" customHeight="1">
      <c r="B37" s="685" t="s">
        <v>294</v>
      </c>
      <c r="C37">
        <v>60</v>
      </c>
      <c r="E37" s="547" cm="1">
        <f t="array" ref="E37">(SUM(_xlfn._xlws.FILTER(_xlfn._xlws.FILTER(dataGLBSCF,dataGLBSAcctIDs=$C37),(endDatesCF=E$5)))-SUM(_xlfn._xlws.FILTER(_xlfn._xlws.FILTER(dataGLBSCF,dataGLBSAcctIDs=$C37),(startDatesCF=EDATE(E$4,-1)))))*INDEX(PBC_ACCOUNT_LIST[Sign_for_total_cashflow],MATCH($C37,PBC_ACCOUNT_LIST[Id],0))</f>
        <v>-52718</v>
      </c>
      <c r="F37" s="547" cm="1">
        <f t="array" ref="F37">(SUM(_xlfn._xlws.FILTER(_xlfn._xlws.FILTER(dataGLBSCF,dataGLBSAcctIDs=$C37),(endDatesCF=F$5)))-SUM(_xlfn._xlws.FILTER(_xlfn._xlws.FILTER(dataGLBSCF,dataGLBSAcctIDs=$C37),(startDatesCF=EDATE(F$4,-1)))))*INDEX(PBC_ACCOUNT_LIST[Sign_for_total_cashflow],MATCH($C37,PBC_ACCOUNT_LIST[Id],0))</f>
        <v>0</v>
      </c>
      <c r="G37" s="547" cm="1">
        <f t="array" ref="G37">(SUM(_xlfn._xlws.FILTER(_xlfn._xlws.FILTER(dataGLBSCF,dataGLBSAcctIDs=$C37),(endDatesCF=G$5)))-SUM(_xlfn._xlws.FILTER(_xlfn._xlws.FILTER(dataGLBSCF,dataGLBSAcctIDs=$C37),(startDatesCF=EDATE(G$4,-1)))))*INDEX(PBC_ACCOUNT_LIST[Sign_for_total_cashflow],MATCH($C37,PBC_ACCOUNT_LIST[Id],0))</f>
        <v>0</v>
      </c>
      <c r="H37" s="547" cm="1">
        <f t="array" ref="H37">(SUM(_xlfn._xlws.FILTER(_xlfn._xlws.FILTER(dataGLBSCF,dataGLBSAcctIDs=$C37),(endDatesCF=H$5)))-SUM(_xlfn._xlws.FILTER(_xlfn._xlws.FILTER(dataGLBSCF,dataGLBSAcctIDs=$C37),(startDatesCF=EDATE(H$4,-1)))))*INDEX(PBC_ACCOUNT_LIST[Sign_for_total_cashflow],MATCH($C37,PBC_ACCOUNT_LIST[Id],0))</f>
        <v>0</v>
      </c>
      <c r="K37" s="547" cm="1">
        <f t="array" ref="K37">(SUM(_xlfn._xlws.FILTER(_xlfn._xlws.FILTER(dataGLBSCF,dataGLBSAcctIDs=$C37),(endDatesCF=K$5)))-SUM(_xlfn._xlws.FILTER(_xlfn._xlws.FILTER(dataGLBSCF,dataGLBSAcctIDs=$C37),(startDatesCF=EDATE(K$4,-1)))))*INDEX(PBC_ACCOUNT_LIST[Sign_for_total_cashflow],MATCH($C37,PBC_ACCOUNT_LIST[Id],0))</f>
        <v>-52718</v>
      </c>
      <c r="L37" s="547" cm="1">
        <f t="array" ref="L37">(SUM(_xlfn._xlws.FILTER(_xlfn._xlws.FILTER(dataGLBSCF,dataGLBSAcctIDs=$C37),(endDatesCF=L$5)))-SUM(_xlfn._xlws.FILTER(_xlfn._xlws.FILTER(dataGLBSCF,dataGLBSAcctIDs=$C37),(startDatesCF=EDATE(L$4,-1)))))*INDEX(PBC_ACCOUNT_LIST[Sign_for_total_cashflow],MATCH($C37,PBC_ACCOUNT_LIST[Id],0))</f>
        <v>0</v>
      </c>
      <c r="M37" s="547" cm="1">
        <f t="array" ref="M37">(SUM(_xlfn._xlws.FILTER(_xlfn._xlws.FILTER(dataGLBSCF,dataGLBSAcctIDs=$C37),(endDatesCF=M$5)))-SUM(_xlfn._xlws.FILTER(_xlfn._xlws.FILTER(dataGLBSCF,dataGLBSAcctIDs=$C37),(startDatesCF=EDATE(M$4,-1)))))*INDEX(PBC_ACCOUNT_LIST[Sign_for_total_cashflow],MATCH($C37,PBC_ACCOUNT_LIST[Id],0))</f>
        <v>0</v>
      </c>
      <c r="N37" s="547" cm="1">
        <f t="array" ref="N37">(SUM(_xlfn._xlws.FILTER(_xlfn._xlws.FILTER(dataGLBSCF,dataGLBSAcctIDs=$C37),(endDatesCF=N$5)))-SUM(_xlfn._xlws.FILTER(_xlfn._xlws.FILTER(dataGLBSCF,dataGLBSAcctIDs=$C37),(startDatesCF=EDATE(N$4,-1)))))*INDEX(PBC_ACCOUNT_LIST[Sign_for_total_cashflow],MATCH($C37,PBC_ACCOUNT_LIST[Id],0))</f>
        <v>0</v>
      </c>
      <c r="O37" s="547" cm="1">
        <f t="array" ref="O37">(SUM(_xlfn._xlws.FILTER(_xlfn._xlws.FILTER(dataGLBSCF,dataGLBSAcctIDs=$C37),(endDatesCF=O$5)))-SUM(_xlfn._xlws.FILTER(_xlfn._xlws.FILTER(dataGLBSCF,dataGLBSAcctIDs=$C37),(startDatesCF=EDATE(O$4,-1)))))*INDEX(PBC_ACCOUNT_LIST[Sign_for_total_cashflow],MATCH($C37,PBC_ACCOUNT_LIST[Id],0))</f>
        <v>0</v>
      </c>
      <c r="P37" s="547" cm="1">
        <f t="array" ref="P37">(SUM(_xlfn._xlws.FILTER(_xlfn._xlws.FILTER(dataGLBSCF,dataGLBSAcctIDs=$C37),(endDatesCF=P$5)))-SUM(_xlfn._xlws.FILTER(_xlfn._xlws.FILTER(dataGLBSCF,dataGLBSAcctIDs=$C37),(startDatesCF=EDATE(P$4,-1)))))*INDEX(PBC_ACCOUNT_LIST[Sign_for_total_cashflow],MATCH($C37,PBC_ACCOUNT_LIST[Id],0))</f>
        <v>0</v>
      </c>
      <c r="Q37" s="547" cm="1">
        <f t="array" ref="Q37">(SUM(_xlfn._xlws.FILTER(_xlfn._xlws.FILTER(dataGLBSCF,dataGLBSAcctIDs=$C37),(endDatesCF=Q$5)))-SUM(_xlfn._xlws.FILTER(_xlfn._xlws.FILTER(dataGLBSCF,dataGLBSAcctIDs=$C37),(startDatesCF=EDATE(Q$4,-1)))))*INDEX(PBC_ACCOUNT_LIST[Sign_for_total_cashflow],MATCH($C37,PBC_ACCOUNT_LIST[Id],0))</f>
        <v>0</v>
      </c>
      <c r="R37" s="547" cm="1">
        <f t="array" ref="R37">(SUM(_xlfn._xlws.FILTER(_xlfn._xlws.FILTER(dataGLBSCF,dataGLBSAcctIDs=$C37),(endDatesCF=R$5)))-SUM(_xlfn._xlws.FILTER(_xlfn._xlws.FILTER(dataGLBSCF,dataGLBSAcctIDs=$C37),(startDatesCF=EDATE(R$4,-1)))))*INDEX(PBC_ACCOUNT_LIST[Sign_for_total_cashflow],MATCH($C37,PBC_ACCOUNT_LIST[Id],0))</f>
        <v>0</v>
      </c>
      <c r="S37" s="547" cm="1">
        <f t="array" ref="S37">(SUM(_xlfn._xlws.FILTER(_xlfn._xlws.FILTER(dataGLBSCF,dataGLBSAcctIDs=$C37),(endDatesCF=S$5)))-SUM(_xlfn._xlws.FILTER(_xlfn._xlws.FILTER(dataGLBSCF,dataGLBSAcctIDs=$C37),(startDatesCF=EDATE(S$4,-1)))))*INDEX(PBC_ACCOUNT_LIST[Sign_for_total_cashflow],MATCH($C37,PBC_ACCOUNT_LIST[Id],0))</f>
        <v>0</v>
      </c>
      <c r="T37" s="547" cm="1">
        <f t="array" ref="T37">(SUM(_xlfn._xlws.FILTER(_xlfn._xlws.FILTER(dataGLBSCF,dataGLBSAcctIDs=$C37),(endDatesCF=T$5)))-SUM(_xlfn._xlws.FILTER(_xlfn._xlws.FILTER(dataGLBSCF,dataGLBSAcctIDs=$C37),(startDatesCF=EDATE(T$4,-1)))))*INDEX(PBC_ACCOUNT_LIST[Sign_for_total_cashflow],MATCH($C37,PBC_ACCOUNT_LIST[Id],0))</f>
        <v>0</v>
      </c>
      <c r="U37" s="547" cm="1">
        <f t="array" ref="U37">(SUM(_xlfn._xlws.FILTER(_xlfn._xlws.FILTER(dataGLBSCF,dataGLBSAcctIDs=$C37),(endDatesCF=U$5)))-SUM(_xlfn._xlws.FILTER(_xlfn._xlws.FILTER(dataGLBSCF,dataGLBSAcctIDs=$C37),(startDatesCF=EDATE(U$4,-1)))))*INDEX(PBC_ACCOUNT_LIST[Sign_for_total_cashflow],MATCH($C37,PBC_ACCOUNT_LIST[Id],0))</f>
        <v>0</v>
      </c>
      <c r="V37" s="547" cm="1">
        <f t="array" ref="V37">(SUM(_xlfn._xlws.FILTER(_xlfn._xlws.FILTER(dataGLBSCF,dataGLBSAcctIDs=$C37),(endDatesCF=V$5)))-SUM(_xlfn._xlws.FILTER(_xlfn._xlws.FILTER(dataGLBSCF,dataGLBSAcctIDs=$C37),(startDatesCF=EDATE(V$4,-1)))))*INDEX(PBC_ACCOUNT_LIST[Sign_for_total_cashflow],MATCH($C37,PBC_ACCOUNT_LIST[Id],0))</f>
        <v>0</v>
      </c>
      <c r="W37" s="547" cm="1">
        <f t="array" ref="W37">(SUM(_xlfn._xlws.FILTER(_xlfn._xlws.FILTER(dataGLBSCF,dataGLBSAcctIDs=$C37),(endDatesCF=W$5)))-SUM(_xlfn._xlws.FILTER(_xlfn._xlws.FILTER(dataGLBSCF,dataGLBSAcctIDs=$C37),(startDatesCF=EDATE(W$4,-1)))))*INDEX(PBC_ACCOUNT_LIST[Sign_for_total_cashflow],MATCH($C37,PBC_ACCOUNT_LIST[Id],0))</f>
        <v>0</v>
      </c>
      <c r="X37" s="547" cm="1">
        <f t="array" ref="X37">(SUM(_xlfn._xlws.FILTER(_xlfn._xlws.FILTER(dataGLBSCF,dataGLBSAcctIDs=$C37),(endDatesCF=X$5)))-SUM(_xlfn._xlws.FILTER(_xlfn._xlws.FILTER(dataGLBSCF,dataGLBSAcctIDs=$C37),(startDatesCF=EDATE(X$4,-1)))))*INDEX(PBC_ACCOUNT_LIST[Sign_for_total_cashflow],MATCH($C37,PBC_ACCOUNT_LIST[Id],0))</f>
        <v>0</v>
      </c>
      <c r="Y37" s="547" cm="1">
        <f t="array" ref="Y37">(SUM(_xlfn._xlws.FILTER(_xlfn._xlws.FILTER(dataGLBSCF,dataGLBSAcctIDs=$C37),(endDatesCF=Y$5)))-SUM(_xlfn._xlws.FILTER(_xlfn._xlws.FILTER(dataGLBSCF,dataGLBSAcctIDs=$C37),(startDatesCF=EDATE(Y$4,-1)))))*INDEX(PBC_ACCOUNT_LIST[Sign_for_total_cashflow],MATCH($C37,PBC_ACCOUNT_LIST[Id],0))</f>
        <v>0</v>
      </c>
      <c r="Z37" s="547" cm="1">
        <f t="array" ref="Z37">(SUM(_xlfn._xlws.FILTER(_xlfn._xlws.FILTER(dataGLBSCF,dataGLBSAcctIDs=$C37),(endDatesCF=Z$5)))-SUM(_xlfn._xlws.FILTER(_xlfn._xlws.FILTER(dataGLBSCF,dataGLBSAcctIDs=$C37),(startDatesCF=EDATE(Z$4,-1)))))*INDEX(PBC_ACCOUNT_LIST[Sign_for_total_cashflow],MATCH($C37,PBC_ACCOUNT_LIST[Id],0))</f>
        <v>0</v>
      </c>
      <c r="AC37" s="547" cm="1">
        <f t="array" ref="AC37">(SUM(_xlfn._xlws.FILTER(_xlfn._xlws.FILTER(dataGLBSCF,dataGLBSAcctIDs=$C37),(endDatesCF=AC$5)))-SUM(_xlfn._xlws.FILTER(_xlfn._xlws.FILTER(dataGLBSCF,dataGLBSAcctIDs=$C37),(startDatesCF=EDATE(AC$4,-1)))))*INDEX(PBC_ACCOUNT_LIST[Sign_for_total_cashflow],MATCH($C37,PBC_ACCOUNT_LIST[Id],0))</f>
        <v>-52718</v>
      </c>
      <c r="AD37" s="547" cm="1">
        <f t="array" ref="AD37">(SUM(_xlfn._xlws.FILTER(_xlfn._xlws.FILTER(dataGLBSCF,dataGLBSAcctIDs=$C37),(endDatesCF=AD$5)))-SUM(_xlfn._xlws.FILTER(_xlfn._xlws.FILTER(dataGLBSCF,dataGLBSAcctIDs=$C37),(startDatesCF=EDATE(AD$4,-1)))))*INDEX(PBC_ACCOUNT_LIST[Sign_for_total_cashflow],MATCH($C37,PBC_ACCOUNT_LIST[Id],0))</f>
        <v>0</v>
      </c>
      <c r="AE37" s="547" cm="1">
        <f t="array" ref="AE37">(SUM(_xlfn._xlws.FILTER(_xlfn._xlws.FILTER(dataGLBSCF,dataGLBSAcctIDs=$C37),(endDatesCF=AE$5)))-SUM(_xlfn._xlws.FILTER(_xlfn._xlws.FILTER(dataGLBSCF,dataGLBSAcctIDs=$C37),(startDatesCF=EDATE(AE$4,-1)))))*INDEX(PBC_ACCOUNT_LIST[Sign_for_total_cashflow],MATCH($C37,PBC_ACCOUNT_LIST[Id],0))</f>
        <v>0</v>
      </c>
      <c r="AF37" s="547" cm="1">
        <f t="array" ref="AF37">(SUM(_xlfn._xlws.FILTER(_xlfn._xlws.FILTER(dataGLBSCF,dataGLBSAcctIDs=$C37),(endDatesCF=AF$5)))-SUM(_xlfn._xlws.FILTER(_xlfn._xlws.FILTER(dataGLBSCF,dataGLBSAcctIDs=$C37),(startDatesCF=EDATE(AF$4,-1)))))*INDEX(PBC_ACCOUNT_LIST[Sign_for_total_cashflow],MATCH($C37,PBC_ACCOUNT_LIST[Id],0))</f>
        <v>0</v>
      </c>
      <c r="AG37" s="547" cm="1">
        <f t="array" ref="AG37">(SUM(_xlfn._xlws.FILTER(_xlfn._xlws.FILTER(dataGLBSCF,dataGLBSAcctIDs=$C37),(endDatesCF=AG$5)))-SUM(_xlfn._xlws.FILTER(_xlfn._xlws.FILTER(dataGLBSCF,dataGLBSAcctIDs=$C37),(startDatesCF=EDATE(AG$4,-1)))))*INDEX(PBC_ACCOUNT_LIST[Sign_for_total_cashflow],MATCH($C37,PBC_ACCOUNT_LIST[Id],0))</f>
        <v>0</v>
      </c>
      <c r="AH37" s="547" cm="1">
        <f t="array" ref="AH37">(SUM(_xlfn._xlws.FILTER(_xlfn._xlws.FILTER(dataGLBSCF,dataGLBSAcctIDs=$C37),(endDatesCF=AH$5)))-SUM(_xlfn._xlws.FILTER(_xlfn._xlws.FILTER(dataGLBSCF,dataGLBSAcctIDs=$C37),(startDatesCF=EDATE(AH$4,-1)))))*INDEX(PBC_ACCOUNT_LIST[Sign_for_total_cashflow],MATCH($C37,PBC_ACCOUNT_LIST[Id],0))</f>
        <v>0</v>
      </c>
      <c r="AI37" s="547" cm="1">
        <f t="array" ref="AI37">(SUM(_xlfn._xlws.FILTER(_xlfn._xlws.FILTER(dataGLBSCF,dataGLBSAcctIDs=$C37),(endDatesCF=AI$5)))-SUM(_xlfn._xlws.FILTER(_xlfn._xlws.FILTER(dataGLBSCF,dataGLBSAcctIDs=$C37),(startDatesCF=EDATE(AI$4,-1)))))*INDEX(PBC_ACCOUNT_LIST[Sign_for_total_cashflow],MATCH($C37,PBC_ACCOUNT_LIST[Id],0))</f>
        <v>0</v>
      </c>
      <c r="AJ37" s="547" cm="1">
        <f t="array" ref="AJ37">(SUM(_xlfn._xlws.FILTER(_xlfn._xlws.FILTER(dataGLBSCF,dataGLBSAcctIDs=$C37),(endDatesCF=AJ$5)))-SUM(_xlfn._xlws.FILTER(_xlfn._xlws.FILTER(dataGLBSCF,dataGLBSAcctIDs=$C37),(startDatesCF=EDATE(AJ$4,-1)))))*INDEX(PBC_ACCOUNT_LIST[Sign_for_total_cashflow],MATCH($C37,PBC_ACCOUNT_LIST[Id],0))</f>
        <v>0</v>
      </c>
      <c r="AK37" s="547" cm="1">
        <f t="array" ref="AK37">(SUM(_xlfn._xlws.FILTER(_xlfn._xlws.FILTER(dataGLBSCF,dataGLBSAcctIDs=$C37),(endDatesCF=AK$5)))-SUM(_xlfn._xlws.FILTER(_xlfn._xlws.FILTER(dataGLBSCF,dataGLBSAcctIDs=$C37),(startDatesCF=EDATE(AK$4,-1)))))*INDEX(PBC_ACCOUNT_LIST[Sign_for_total_cashflow],MATCH($C37,PBC_ACCOUNT_LIST[Id],0))</f>
        <v>0</v>
      </c>
      <c r="AL37" s="547" cm="1">
        <f t="array" ref="AL37">(SUM(_xlfn._xlws.FILTER(_xlfn._xlws.FILTER(dataGLBSCF,dataGLBSAcctIDs=$C37),(endDatesCF=AL$5)))-SUM(_xlfn._xlws.FILTER(_xlfn._xlws.FILTER(dataGLBSCF,dataGLBSAcctIDs=$C37),(startDatesCF=EDATE(AL$4,-1)))))*INDEX(PBC_ACCOUNT_LIST[Sign_for_total_cashflow],MATCH($C37,PBC_ACCOUNT_LIST[Id],0))</f>
        <v>0</v>
      </c>
      <c r="AM37" s="547" cm="1">
        <f t="array" ref="AM37">(SUM(_xlfn._xlws.FILTER(_xlfn._xlws.FILTER(dataGLBSCF,dataGLBSAcctIDs=$C37),(endDatesCF=AM$5)))-SUM(_xlfn._xlws.FILTER(_xlfn._xlws.FILTER(dataGLBSCF,dataGLBSAcctIDs=$C37),(startDatesCF=EDATE(AM$4,-1)))))*INDEX(PBC_ACCOUNT_LIST[Sign_for_total_cashflow],MATCH($C37,PBC_ACCOUNT_LIST[Id],0))</f>
        <v>0</v>
      </c>
      <c r="AN37" s="547" cm="1">
        <f t="array" ref="AN37">(SUM(_xlfn._xlws.FILTER(_xlfn._xlws.FILTER(dataGLBSCF,dataGLBSAcctIDs=$C37),(endDatesCF=AN$5)))-SUM(_xlfn._xlws.FILTER(_xlfn._xlws.FILTER(dataGLBSCF,dataGLBSAcctIDs=$C37),(startDatesCF=EDATE(AN$4,-1)))))*INDEX(PBC_ACCOUNT_LIST[Sign_for_total_cashflow],MATCH($C37,PBC_ACCOUNT_LIST[Id],0))</f>
        <v>0</v>
      </c>
      <c r="AO37" s="547" cm="1">
        <f t="array" ref="AO37">(SUM(_xlfn._xlws.FILTER(_xlfn._xlws.FILTER(dataGLBSCF,dataGLBSAcctIDs=$C37),(endDatesCF=AO$5)))-SUM(_xlfn._xlws.FILTER(_xlfn._xlws.FILTER(dataGLBSCF,dataGLBSAcctIDs=$C37),(startDatesCF=EDATE(AO$4,-1)))))*INDEX(PBC_ACCOUNT_LIST[Sign_for_total_cashflow],MATCH($C37,PBC_ACCOUNT_LIST[Id],0))</f>
        <v>0</v>
      </c>
      <c r="AP37" s="547" cm="1">
        <f t="array" ref="AP37">(SUM(_xlfn._xlws.FILTER(_xlfn._xlws.FILTER(dataGLBSCF,dataGLBSAcctIDs=$C37),(endDatesCF=AP$5)))-SUM(_xlfn._xlws.FILTER(_xlfn._xlws.FILTER(dataGLBSCF,dataGLBSAcctIDs=$C37),(startDatesCF=EDATE(AP$4,-1)))))*INDEX(PBC_ACCOUNT_LIST[Sign_for_total_cashflow],MATCH($C37,PBC_ACCOUNT_LIST[Id],0))</f>
        <v>0</v>
      </c>
      <c r="AQ37" s="547" cm="1">
        <f t="array" ref="AQ37">(SUM(_xlfn._xlws.FILTER(_xlfn._xlws.FILTER(dataGLBSCF,dataGLBSAcctIDs=$C37),(endDatesCF=AQ$5)))-SUM(_xlfn._xlws.FILTER(_xlfn._xlws.FILTER(dataGLBSCF,dataGLBSAcctIDs=$C37),(startDatesCF=EDATE(AQ$4,-1)))))*INDEX(PBC_ACCOUNT_LIST[Sign_for_total_cashflow],MATCH($C37,PBC_ACCOUNT_LIST[Id],0))</f>
        <v>0</v>
      </c>
      <c r="AR37" s="547" cm="1">
        <f t="array" ref="AR37">(SUM(_xlfn._xlws.FILTER(_xlfn._xlws.FILTER(dataGLBSCF,dataGLBSAcctIDs=$C37),(endDatesCF=AR$5)))-SUM(_xlfn._xlws.FILTER(_xlfn._xlws.FILTER(dataGLBSCF,dataGLBSAcctIDs=$C37),(startDatesCF=EDATE(AR$4,-1)))))*INDEX(PBC_ACCOUNT_LIST[Sign_for_total_cashflow],MATCH($C37,PBC_ACCOUNT_LIST[Id],0))</f>
        <v>0</v>
      </c>
      <c r="AS37" s="547" cm="1">
        <f t="array" ref="AS37">(SUM(_xlfn._xlws.FILTER(_xlfn._xlws.FILTER(dataGLBSCF,dataGLBSAcctIDs=$C37),(endDatesCF=AS$5)))-SUM(_xlfn._xlws.FILTER(_xlfn._xlws.FILTER(dataGLBSCF,dataGLBSAcctIDs=$C37),(startDatesCF=EDATE(AS$4,-1)))))*INDEX(PBC_ACCOUNT_LIST[Sign_for_total_cashflow],MATCH($C37,PBC_ACCOUNT_LIST[Id],0))</f>
        <v>0</v>
      </c>
      <c r="AT37" s="547" cm="1">
        <f t="array" ref="AT37">(SUM(_xlfn._xlws.FILTER(_xlfn._xlws.FILTER(dataGLBSCF,dataGLBSAcctIDs=$C37),(endDatesCF=AT$5)))-SUM(_xlfn._xlws.FILTER(_xlfn._xlws.FILTER(dataGLBSCF,dataGLBSAcctIDs=$C37),(startDatesCF=EDATE(AT$4,-1)))))*INDEX(PBC_ACCOUNT_LIST[Sign_for_total_cashflow],MATCH($C37,PBC_ACCOUNT_LIST[Id],0))</f>
        <v>0</v>
      </c>
      <c r="AU37" s="547" cm="1">
        <f t="array" ref="AU37">(SUM(_xlfn._xlws.FILTER(_xlfn._xlws.FILTER(dataGLBSCF,dataGLBSAcctIDs=$C37),(endDatesCF=AU$5)))-SUM(_xlfn._xlws.FILTER(_xlfn._xlws.FILTER(dataGLBSCF,dataGLBSAcctIDs=$C37),(startDatesCF=EDATE(AU$4,-1)))))*INDEX(PBC_ACCOUNT_LIST[Sign_for_total_cashflow],MATCH($C37,PBC_ACCOUNT_LIST[Id],0))</f>
        <v>0</v>
      </c>
      <c r="AV37" s="547" cm="1">
        <f t="array" ref="AV37">(SUM(_xlfn._xlws.FILTER(_xlfn._xlws.FILTER(dataGLBSCF,dataGLBSAcctIDs=$C37),(endDatesCF=AV$5)))-SUM(_xlfn._xlws.FILTER(_xlfn._xlws.FILTER(dataGLBSCF,dataGLBSAcctIDs=$C37),(startDatesCF=EDATE(AV$4,-1)))))*INDEX(PBC_ACCOUNT_LIST[Sign_for_total_cashflow],MATCH($C37,PBC_ACCOUNT_LIST[Id],0))</f>
        <v>0</v>
      </c>
      <c r="AW37" s="547" cm="1">
        <f t="array" ref="AW37">(SUM(_xlfn._xlws.FILTER(_xlfn._xlws.FILTER(dataGLBSCF,dataGLBSAcctIDs=$C37),(endDatesCF=AW$5)))-SUM(_xlfn._xlws.FILTER(_xlfn._xlws.FILTER(dataGLBSCF,dataGLBSAcctIDs=$C37),(startDatesCF=EDATE(AW$4,-1)))))*INDEX(PBC_ACCOUNT_LIST[Sign_for_total_cashflow],MATCH($C37,PBC_ACCOUNT_LIST[Id],0))</f>
        <v>0</v>
      </c>
      <c r="AX37" s="547" cm="1">
        <f t="array" ref="AX37">(SUM(_xlfn._xlws.FILTER(_xlfn._xlws.FILTER(dataGLBSCF,dataGLBSAcctIDs=$C37),(endDatesCF=AX$5)))-SUM(_xlfn._xlws.FILTER(_xlfn._xlws.FILTER(dataGLBSCF,dataGLBSAcctIDs=$C37),(startDatesCF=EDATE(AX$4,-1)))))*INDEX(PBC_ACCOUNT_LIST[Sign_for_total_cashflow],MATCH($C37,PBC_ACCOUNT_LIST[Id],0))</f>
        <v>0</v>
      </c>
      <c r="AY37" s="547" cm="1">
        <f t="array" ref="AY37">(SUM(_xlfn._xlws.FILTER(_xlfn._xlws.FILTER(dataGLBSCF,dataGLBSAcctIDs=$C37),(endDatesCF=AY$5)))-SUM(_xlfn._xlws.FILTER(_xlfn._xlws.FILTER(dataGLBSCF,dataGLBSAcctIDs=$C37),(startDatesCF=EDATE(AY$4,-1)))))*INDEX(PBC_ACCOUNT_LIST[Sign_for_total_cashflow],MATCH($C37,PBC_ACCOUNT_LIST[Id],0))</f>
        <v>0</v>
      </c>
      <c r="AZ37" s="547" cm="1">
        <f t="array" ref="AZ37">(SUM(_xlfn._xlws.FILTER(_xlfn._xlws.FILTER(dataGLBSCF,dataGLBSAcctIDs=$C37),(endDatesCF=AZ$5)))-SUM(_xlfn._xlws.FILTER(_xlfn._xlws.FILTER(dataGLBSCF,dataGLBSAcctIDs=$C37),(startDatesCF=EDATE(AZ$4,-1)))))*INDEX(PBC_ACCOUNT_LIST[Sign_for_total_cashflow],MATCH($C37,PBC_ACCOUNT_LIST[Id],0))</f>
        <v>0</v>
      </c>
      <c r="BA37" s="547" cm="1">
        <f t="array" ref="BA37">(SUM(_xlfn._xlws.FILTER(_xlfn._xlws.FILTER(dataGLBSCF,dataGLBSAcctIDs=$C37),(endDatesCF=BA$5)))-SUM(_xlfn._xlws.FILTER(_xlfn._xlws.FILTER(dataGLBSCF,dataGLBSAcctIDs=$C37),(startDatesCF=EDATE(BA$4,-1)))))*INDEX(PBC_ACCOUNT_LIST[Sign_for_total_cashflow],MATCH($C37,PBC_ACCOUNT_LIST[Id],0))</f>
        <v>0</v>
      </c>
      <c r="BB37" s="547" cm="1">
        <f t="array" ref="BB37">(SUM(_xlfn._xlws.FILTER(_xlfn._xlws.FILTER(dataGLBSCF,dataGLBSAcctIDs=$C37),(endDatesCF=BB$5)))-SUM(_xlfn._xlws.FILTER(_xlfn._xlws.FILTER(dataGLBSCF,dataGLBSAcctIDs=$C37),(startDatesCF=EDATE(BB$4,-1)))))*INDEX(PBC_ACCOUNT_LIST[Sign_for_total_cashflow],MATCH($C37,PBC_ACCOUNT_LIST[Id],0))</f>
        <v>0</v>
      </c>
      <c r="BC37" s="547" cm="1">
        <f t="array" ref="BC37">(SUM(_xlfn._xlws.FILTER(_xlfn._xlws.FILTER(dataGLBSCF,dataGLBSAcctIDs=$C37),(endDatesCF=BC$5)))-SUM(_xlfn._xlws.FILTER(_xlfn._xlws.FILTER(dataGLBSCF,dataGLBSAcctIDs=$C37),(startDatesCF=EDATE(BC$4,-1)))))*INDEX(PBC_ACCOUNT_LIST[Sign_for_total_cashflow],MATCH($C37,PBC_ACCOUNT_LIST[Id],0))</f>
        <v>0</v>
      </c>
      <c r="BD37" s="547" cm="1">
        <f t="array" ref="BD37">(SUM(_xlfn._xlws.FILTER(_xlfn._xlws.FILTER(dataGLBSCF,dataGLBSAcctIDs=$C37),(endDatesCF=BD$5)))-SUM(_xlfn._xlws.FILTER(_xlfn._xlws.FILTER(dataGLBSCF,dataGLBSAcctIDs=$C37),(startDatesCF=EDATE(BD$4,-1)))))*INDEX(PBC_ACCOUNT_LIST[Sign_for_total_cashflow],MATCH($C37,PBC_ACCOUNT_LIST[Id],0))</f>
        <v>0</v>
      </c>
      <c r="BE37" s="547" cm="1">
        <f t="array" ref="BE37">(SUM(_xlfn._xlws.FILTER(_xlfn._xlws.FILTER(dataGLBSCF,dataGLBSAcctIDs=$C37),(endDatesCF=BE$5)))-SUM(_xlfn._xlws.FILTER(_xlfn._xlws.FILTER(dataGLBSCF,dataGLBSAcctIDs=$C37),(startDatesCF=EDATE(BE$4,-1)))))*INDEX(PBC_ACCOUNT_LIST[Sign_for_total_cashflow],MATCH($C37,PBC_ACCOUNT_LIST[Id],0))</f>
        <v>0</v>
      </c>
      <c r="BF37" s="547" cm="1">
        <f t="array" ref="BF37">(SUM(_xlfn._xlws.FILTER(_xlfn._xlws.FILTER(dataGLBSCF,dataGLBSAcctIDs=$C37),(endDatesCF=BF$5)))-SUM(_xlfn._xlws.FILTER(_xlfn._xlws.FILTER(dataGLBSCF,dataGLBSAcctIDs=$C37),(startDatesCF=EDATE(BF$4,-1)))))*INDEX(PBC_ACCOUNT_LIST[Sign_for_total_cashflow],MATCH($C37,PBC_ACCOUNT_LIST[Id],0))</f>
        <v>0</v>
      </c>
      <c r="BG37" s="547" cm="1">
        <f t="array" ref="BG37">(SUM(_xlfn._xlws.FILTER(_xlfn._xlws.FILTER(dataGLBSCF,dataGLBSAcctIDs=$C37),(endDatesCF=BG$5)))-SUM(_xlfn._xlws.FILTER(_xlfn._xlws.FILTER(dataGLBSCF,dataGLBSAcctIDs=$C37),(startDatesCF=EDATE(BG$4,-1)))))*INDEX(PBC_ACCOUNT_LIST[Sign_for_total_cashflow],MATCH($C37,PBC_ACCOUNT_LIST[Id],0))</f>
        <v>0</v>
      </c>
      <c r="BH37" s="547" cm="1">
        <f t="array" ref="BH37">(SUM(_xlfn._xlws.FILTER(_xlfn._xlws.FILTER(dataGLBSCF,dataGLBSAcctIDs=$C37),(endDatesCF=BH$5)))-SUM(_xlfn._xlws.FILTER(_xlfn._xlws.FILTER(dataGLBSCF,dataGLBSAcctIDs=$C37),(startDatesCF=EDATE(BH$4,-1)))))*INDEX(PBC_ACCOUNT_LIST[Sign_for_total_cashflow],MATCH($C37,PBC_ACCOUNT_LIST[Id],0))</f>
        <v>0</v>
      </c>
      <c r="BI37" s="547" cm="1">
        <f t="array" ref="BI37">(SUM(_xlfn._xlws.FILTER(_xlfn._xlws.FILTER(dataGLBSCF,dataGLBSAcctIDs=$C37),(endDatesCF=BI$5)))-SUM(_xlfn._xlws.FILTER(_xlfn._xlws.FILTER(dataGLBSCF,dataGLBSAcctIDs=$C37),(startDatesCF=EDATE(BI$4,-1)))))*INDEX(PBC_ACCOUNT_LIST[Sign_for_total_cashflow],MATCH($C37,PBC_ACCOUNT_LIST[Id],0))</f>
        <v>0</v>
      </c>
      <c r="BJ37" s="547" cm="1">
        <f t="array" ref="BJ37">(SUM(_xlfn._xlws.FILTER(_xlfn._xlws.FILTER(dataGLBSCF,dataGLBSAcctIDs=$C37),(endDatesCF=BJ$5)))-SUM(_xlfn._xlws.FILTER(_xlfn._xlws.FILTER(dataGLBSCF,dataGLBSAcctIDs=$C37),(startDatesCF=EDATE(BJ$4,-1)))))*INDEX(PBC_ACCOUNT_LIST[Sign_for_total_cashflow],MATCH($C37,PBC_ACCOUNT_LIST[Id],0))</f>
        <v>0</v>
      </c>
      <c r="BK37" s="547" cm="1">
        <f t="array" ref="BK37">(SUM(_xlfn._xlws.FILTER(_xlfn._xlws.FILTER(dataGLBSCF,dataGLBSAcctIDs=$C37),(endDatesCF=BK$5)))-SUM(_xlfn._xlws.FILTER(_xlfn._xlws.FILTER(dataGLBSCF,dataGLBSAcctIDs=$C37),(startDatesCF=EDATE(BK$4,-1)))))*INDEX(PBC_ACCOUNT_LIST[Sign_for_total_cashflow],MATCH($C37,PBC_ACCOUNT_LIST[Id],0))</f>
        <v>0</v>
      </c>
      <c r="BL37" s="547" cm="1">
        <f t="array" ref="BL37">(SUM(_xlfn._xlws.FILTER(_xlfn._xlws.FILTER(dataGLBSCF,dataGLBSAcctIDs=$C37),(endDatesCF=BL$5)))-SUM(_xlfn._xlws.FILTER(_xlfn._xlws.FILTER(dataGLBSCF,dataGLBSAcctIDs=$C37),(startDatesCF=EDATE(BL$4,-1)))))*INDEX(PBC_ACCOUNT_LIST[Sign_for_total_cashflow],MATCH($C37,PBC_ACCOUNT_LIST[Id],0))</f>
        <v>0</v>
      </c>
      <c r="BM37" s="547" cm="1">
        <f t="array" ref="BM37">(SUM(_xlfn._xlws.FILTER(_xlfn._xlws.FILTER(dataGLBSCF,dataGLBSAcctIDs=$C37),(endDatesCF=BM$5)))-SUM(_xlfn._xlws.FILTER(_xlfn._xlws.FILTER(dataGLBSCF,dataGLBSAcctIDs=$C37),(startDatesCF=EDATE(BM$4,-1)))))*INDEX(PBC_ACCOUNT_LIST[Sign_for_total_cashflow],MATCH($C37,PBC_ACCOUNT_LIST[Id],0))</f>
        <v>0</v>
      </c>
      <c r="BN37" s="547" cm="1">
        <f t="array" ref="BN37">(SUM(_xlfn._xlws.FILTER(_xlfn._xlws.FILTER(dataGLBSCF,dataGLBSAcctIDs=$C37),(endDatesCF=BN$5)))-SUM(_xlfn._xlws.FILTER(_xlfn._xlws.FILTER(dataGLBSCF,dataGLBSAcctIDs=$C37),(startDatesCF=EDATE(BN$4,-1)))))*INDEX(PBC_ACCOUNT_LIST[Sign_for_total_cashflow],MATCH($C37,PBC_ACCOUNT_LIST[Id],0))</f>
        <v>0</v>
      </c>
      <c r="BO37" s="547" cm="1">
        <f t="array" ref="BO37">(SUM(_xlfn._xlws.FILTER(_xlfn._xlws.FILTER(dataGLBSCF,dataGLBSAcctIDs=$C37),(endDatesCF=BO$5)))-SUM(_xlfn._xlws.FILTER(_xlfn._xlws.FILTER(dataGLBSCF,dataGLBSAcctIDs=$C37),(startDatesCF=EDATE(BO$4,-1)))))*INDEX(PBC_ACCOUNT_LIST[Sign_for_total_cashflow],MATCH($C37,PBC_ACCOUNT_LIST[Id],0))</f>
        <v>0</v>
      </c>
      <c r="BP37" s="547" cm="1">
        <f t="array" ref="BP37">(SUM(_xlfn._xlws.FILTER(_xlfn._xlws.FILTER(dataGLBSCF,dataGLBSAcctIDs=$C37),(endDatesCF=BP$5)))-SUM(_xlfn._xlws.FILTER(_xlfn._xlws.FILTER(dataGLBSCF,dataGLBSAcctIDs=$C37),(startDatesCF=EDATE(BP$4,-1)))))*INDEX(PBC_ACCOUNT_LIST[Sign_for_total_cashflow],MATCH($C37,PBC_ACCOUNT_LIST[Id],0))</f>
        <v>0</v>
      </c>
      <c r="BQ37" s="547" cm="1">
        <f t="array" ref="BQ37">(SUM(_xlfn._xlws.FILTER(_xlfn._xlws.FILTER(dataGLBSCF,dataGLBSAcctIDs=$C37),(endDatesCF=BQ$5)))-SUM(_xlfn._xlws.FILTER(_xlfn._xlws.FILTER(dataGLBSCF,dataGLBSAcctIDs=$C37),(startDatesCF=EDATE(BQ$4,-1)))))*INDEX(PBC_ACCOUNT_LIST[Sign_for_total_cashflow],MATCH($C37,PBC_ACCOUNT_LIST[Id],0))</f>
        <v>0</v>
      </c>
      <c r="BR37" s="547" cm="1">
        <f t="array" ref="BR37">(SUM(_xlfn._xlws.FILTER(_xlfn._xlws.FILTER(dataGLBSCF,dataGLBSAcctIDs=$C37),(endDatesCF=BR$5)))-SUM(_xlfn._xlws.FILTER(_xlfn._xlws.FILTER(dataGLBSCF,dataGLBSAcctIDs=$C37),(startDatesCF=EDATE(BR$4,-1)))))*INDEX(PBC_ACCOUNT_LIST[Sign_for_total_cashflow],MATCH($C37,PBC_ACCOUNT_LIST[Id],0))</f>
        <v>0</v>
      </c>
      <c r="BS37" s="547" cm="1">
        <f t="array" ref="BS37">(SUM(_xlfn._xlws.FILTER(_xlfn._xlws.FILTER(dataGLBSCF,dataGLBSAcctIDs=$C37),(endDatesCF=BS$5)))-SUM(_xlfn._xlws.FILTER(_xlfn._xlws.FILTER(dataGLBSCF,dataGLBSAcctIDs=$C37),(startDatesCF=EDATE(BS$4,-1)))))*INDEX(PBC_ACCOUNT_LIST[Sign_for_total_cashflow],MATCH($C37,PBC_ACCOUNT_LIST[Id],0))</f>
        <v>0</v>
      </c>
      <c r="BT37" s="547" cm="1">
        <f t="array" ref="BT37">(SUM(_xlfn._xlws.FILTER(_xlfn._xlws.FILTER(dataGLBSCF,dataGLBSAcctIDs=$C37),(endDatesCF=BT$5)))-SUM(_xlfn._xlws.FILTER(_xlfn._xlws.FILTER(dataGLBSCF,dataGLBSAcctIDs=$C37),(startDatesCF=EDATE(BT$4,-1)))))*INDEX(PBC_ACCOUNT_LIST[Sign_for_total_cashflow],MATCH($C37,PBC_ACCOUNT_LIST[Id],0))</f>
        <v>0</v>
      </c>
      <c r="BU37" s="547" cm="1">
        <f t="array" ref="BU37">(SUM(_xlfn._xlws.FILTER(_xlfn._xlws.FILTER(dataGLBSCF,dataGLBSAcctIDs=$C37),(endDatesCF=BU$5)))-SUM(_xlfn._xlws.FILTER(_xlfn._xlws.FILTER(dataGLBSCF,dataGLBSAcctIDs=$C37),(startDatesCF=EDATE(BU$4,-1)))))*INDEX(PBC_ACCOUNT_LIST[Sign_for_total_cashflow],MATCH($C37,PBC_ACCOUNT_LIST[Id],0))</f>
        <v>0</v>
      </c>
      <c r="BV37" s="547" cm="1">
        <f t="array" ref="BV37">(SUM(_xlfn._xlws.FILTER(_xlfn._xlws.FILTER(dataGLBSCF,dataGLBSAcctIDs=$C37),(endDatesCF=BV$5)))-SUM(_xlfn._xlws.FILTER(_xlfn._xlws.FILTER(dataGLBSCF,dataGLBSAcctIDs=$C37),(startDatesCF=EDATE(BV$4,-1)))))*INDEX(PBC_ACCOUNT_LIST[Sign_for_total_cashflow],MATCH($C37,PBC_ACCOUNT_LIST[Id],0))</f>
        <v>0</v>
      </c>
      <c r="BW37" s="547" cm="1">
        <f t="array" ref="BW37">(SUM(_xlfn._xlws.FILTER(_xlfn._xlws.FILTER(dataGLBSCF,dataGLBSAcctIDs=$C37),(endDatesCF=BW$5)))-SUM(_xlfn._xlws.FILTER(_xlfn._xlws.FILTER(dataGLBSCF,dataGLBSAcctIDs=$C37),(startDatesCF=EDATE(BW$4,-1)))))*INDEX(PBC_ACCOUNT_LIST[Sign_for_total_cashflow],MATCH($C37,PBC_ACCOUNT_LIST[Id],0))</f>
        <v>0</v>
      </c>
      <c r="BX37" s="547" cm="1">
        <f t="array" ref="BX37">(SUM(_xlfn._xlws.FILTER(_xlfn._xlws.FILTER(dataGLBSCF,dataGLBSAcctIDs=$C37),(endDatesCF=BX$5)))-SUM(_xlfn._xlws.FILTER(_xlfn._xlws.FILTER(dataGLBSCF,dataGLBSAcctIDs=$C37),(startDatesCF=EDATE(BX$4,-1)))))*INDEX(PBC_ACCOUNT_LIST[Sign_for_total_cashflow],MATCH($C37,PBC_ACCOUNT_LIST[Id],0))</f>
        <v>0</v>
      </c>
    </row>
    <row r="38" spans="1:76" customFormat="1" ht="21" customHeight="1">
      <c r="B38" s="685" t="s">
        <v>295</v>
      </c>
      <c r="C38">
        <v>1150040001</v>
      </c>
      <c r="E38" s="547" cm="1">
        <f t="array" ref="E38">(SUM(_xlfn._xlws.FILTER(_xlfn._xlws.FILTER(dataGLBSCF,dataGLBSAcctIDs=$C38),(endDatesCF=E$5)))-SUM(_xlfn._xlws.FILTER(_xlfn._xlws.FILTER(dataGLBSCF,dataGLBSAcctIDs=$C38),(startDatesCF=EDATE(E$4,-1)))))*INDEX(PBC_ACCOUNT_LIST[Sign_for_total_cashflow],MATCH($C38,PBC_ACCOUNT_LIST[Id],0))</f>
        <v>-7951</v>
      </c>
      <c r="F38" s="547" cm="1">
        <f t="array" ref="F38">(SUM(_xlfn._xlws.FILTER(_xlfn._xlws.FILTER(dataGLBSCF,dataGLBSAcctIDs=$C38),(endDatesCF=F$5)))-SUM(_xlfn._xlws.FILTER(_xlfn._xlws.FILTER(dataGLBSCF,dataGLBSAcctIDs=$C38),(startDatesCF=EDATE(F$4,-1)))))*INDEX(PBC_ACCOUNT_LIST[Sign_for_total_cashflow],MATCH($C38,PBC_ACCOUNT_LIST[Id],0))</f>
        <v>0</v>
      </c>
      <c r="G38" s="547" cm="1">
        <f t="array" ref="G38">(SUM(_xlfn._xlws.FILTER(_xlfn._xlws.FILTER(dataGLBSCF,dataGLBSAcctIDs=$C38),(endDatesCF=G$5)))-SUM(_xlfn._xlws.FILTER(_xlfn._xlws.FILTER(dataGLBSCF,dataGLBSAcctIDs=$C38),(startDatesCF=EDATE(G$4,-1)))))*INDEX(PBC_ACCOUNT_LIST[Sign_for_total_cashflow],MATCH($C38,PBC_ACCOUNT_LIST[Id],0))</f>
        <v>0</v>
      </c>
      <c r="H38" s="547" cm="1">
        <f t="array" ref="H38">(SUM(_xlfn._xlws.FILTER(_xlfn._xlws.FILTER(dataGLBSCF,dataGLBSAcctIDs=$C38),(endDatesCF=H$5)))-SUM(_xlfn._xlws.FILTER(_xlfn._xlws.FILTER(dataGLBSCF,dataGLBSAcctIDs=$C38),(startDatesCF=EDATE(H$4,-1)))))*INDEX(PBC_ACCOUNT_LIST[Sign_for_total_cashflow],MATCH($C38,PBC_ACCOUNT_LIST[Id],0))</f>
        <v>0</v>
      </c>
      <c r="K38" s="547" cm="1">
        <f t="array" ref="K38">(SUM(_xlfn._xlws.FILTER(_xlfn._xlws.FILTER(dataGLBSCF,dataGLBSAcctIDs=$C38),(endDatesCF=K$5)))-SUM(_xlfn._xlws.FILTER(_xlfn._xlws.FILTER(dataGLBSCF,dataGLBSAcctIDs=$C38),(startDatesCF=EDATE(K$4,-1)))))*INDEX(PBC_ACCOUNT_LIST[Sign_for_total_cashflow],MATCH($C38,PBC_ACCOUNT_LIST[Id],0))</f>
        <v>-7951</v>
      </c>
      <c r="L38" s="547" cm="1">
        <f t="array" ref="L38">(SUM(_xlfn._xlws.FILTER(_xlfn._xlws.FILTER(dataGLBSCF,dataGLBSAcctIDs=$C38),(endDatesCF=L$5)))-SUM(_xlfn._xlws.FILTER(_xlfn._xlws.FILTER(dataGLBSCF,dataGLBSAcctIDs=$C38),(startDatesCF=EDATE(L$4,-1)))))*INDEX(PBC_ACCOUNT_LIST[Sign_for_total_cashflow],MATCH($C38,PBC_ACCOUNT_LIST[Id],0))</f>
        <v>0</v>
      </c>
      <c r="M38" s="547" cm="1">
        <f t="array" ref="M38">(SUM(_xlfn._xlws.FILTER(_xlfn._xlws.FILTER(dataGLBSCF,dataGLBSAcctIDs=$C38),(endDatesCF=M$5)))-SUM(_xlfn._xlws.FILTER(_xlfn._xlws.FILTER(dataGLBSCF,dataGLBSAcctIDs=$C38),(startDatesCF=EDATE(M$4,-1)))))*INDEX(PBC_ACCOUNT_LIST[Sign_for_total_cashflow],MATCH($C38,PBC_ACCOUNT_LIST[Id],0))</f>
        <v>0</v>
      </c>
      <c r="N38" s="547" cm="1">
        <f t="array" ref="N38">(SUM(_xlfn._xlws.FILTER(_xlfn._xlws.FILTER(dataGLBSCF,dataGLBSAcctIDs=$C38),(endDatesCF=N$5)))-SUM(_xlfn._xlws.FILTER(_xlfn._xlws.FILTER(dataGLBSCF,dataGLBSAcctIDs=$C38),(startDatesCF=EDATE(N$4,-1)))))*INDEX(PBC_ACCOUNT_LIST[Sign_for_total_cashflow],MATCH($C38,PBC_ACCOUNT_LIST[Id],0))</f>
        <v>0</v>
      </c>
      <c r="O38" s="547" cm="1">
        <f t="array" ref="O38">(SUM(_xlfn._xlws.FILTER(_xlfn._xlws.FILTER(dataGLBSCF,dataGLBSAcctIDs=$C38),(endDatesCF=O$5)))-SUM(_xlfn._xlws.FILTER(_xlfn._xlws.FILTER(dataGLBSCF,dataGLBSAcctIDs=$C38),(startDatesCF=EDATE(O$4,-1)))))*INDEX(PBC_ACCOUNT_LIST[Sign_for_total_cashflow],MATCH($C38,PBC_ACCOUNT_LIST[Id],0))</f>
        <v>0</v>
      </c>
      <c r="P38" s="547" cm="1">
        <f t="array" ref="P38">(SUM(_xlfn._xlws.FILTER(_xlfn._xlws.FILTER(dataGLBSCF,dataGLBSAcctIDs=$C38),(endDatesCF=P$5)))-SUM(_xlfn._xlws.FILTER(_xlfn._xlws.FILTER(dataGLBSCF,dataGLBSAcctIDs=$C38),(startDatesCF=EDATE(P$4,-1)))))*INDEX(PBC_ACCOUNT_LIST[Sign_for_total_cashflow],MATCH($C38,PBC_ACCOUNT_LIST[Id],0))</f>
        <v>0</v>
      </c>
      <c r="Q38" s="547" cm="1">
        <f t="array" ref="Q38">(SUM(_xlfn._xlws.FILTER(_xlfn._xlws.FILTER(dataGLBSCF,dataGLBSAcctIDs=$C38),(endDatesCF=Q$5)))-SUM(_xlfn._xlws.FILTER(_xlfn._xlws.FILTER(dataGLBSCF,dataGLBSAcctIDs=$C38),(startDatesCF=EDATE(Q$4,-1)))))*INDEX(PBC_ACCOUNT_LIST[Sign_for_total_cashflow],MATCH($C38,PBC_ACCOUNT_LIST[Id],0))</f>
        <v>0</v>
      </c>
      <c r="R38" s="547" cm="1">
        <f t="array" ref="R38">(SUM(_xlfn._xlws.FILTER(_xlfn._xlws.FILTER(dataGLBSCF,dataGLBSAcctIDs=$C38),(endDatesCF=R$5)))-SUM(_xlfn._xlws.FILTER(_xlfn._xlws.FILTER(dataGLBSCF,dataGLBSAcctIDs=$C38),(startDatesCF=EDATE(R$4,-1)))))*INDEX(PBC_ACCOUNT_LIST[Sign_for_total_cashflow],MATCH($C38,PBC_ACCOUNT_LIST[Id],0))</f>
        <v>0</v>
      </c>
      <c r="S38" s="547" cm="1">
        <f t="array" ref="S38">(SUM(_xlfn._xlws.FILTER(_xlfn._xlws.FILTER(dataGLBSCF,dataGLBSAcctIDs=$C38),(endDatesCF=S$5)))-SUM(_xlfn._xlws.FILTER(_xlfn._xlws.FILTER(dataGLBSCF,dataGLBSAcctIDs=$C38),(startDatesCF=EDATE(S$4,-1)))))*INDEX(PBC_ACCOUNT_LIST[Sign_for_total_cashflow],MATCH($C38,PBC_ACCOUNT_LIST[Id],0))</f>
        <v>0</v>
      </c>
      <c r="T38" s="547" cm="1">
        <f t="array" ref="T38">(SUM(_xlfn._xlws.FILTER(_xlfn._xlws.FILTER(dataGLBSCF,dataGLBSAcctIDs=$C38),(endDatesCF=T$5)))-SUM(_xlfn._xlws.FILTER(_xlfn._xlws.FILTER(dataGLBSCF,dataGLBSAcctIDs=$C38),(startDatesCF=EDATE(T$4,-1)))))*INDEX(PBC_ACCOUNT_LIST[Sign_for_total_cashflow],MATCH($C38,PBC_ACCOUNT_LIST[Id],0))</f>
        <v>0</v>
      </c>
      <c r="U38" s="547" cm="1">
        <f t="array" ref="U38">(SUM(_xlfn._xlws.FILTER(_xlfn._xlws.FILTER(dataGLBSCF,dataGLBSAcctIDs=$C38),(endDatesCF=U$5)))-SUM(_xlfn._xlws.FILTER(_xlfn._xlws.FILTER(dataGLBSCF,dataGLBSAcctIDs=$C38),(startDatesCF=EDATE(U$4,-1)))))*INDEX(PBC_ACCOUNT_LIST[Sign_for_total_cashflow],MATCH($C38,PBC_ACCOUNT_LIST[Id],0))</f>
        <v>0</v>
      </c>
      <c r="V38" s="547" cm="1">
        <f t="array" ref="V38">(SUM(_xlfn._xlws.FILTER(_xlfn._xlws.FILTER(dataGLBSCF,dataGLBSAcctIDs=$C38),(endDatesCF=V$5)))-SUM(_xlfn._xlws.FILTER(_xlfn._xlws.FILTER(dataGLBSCF,dataGLBSAcctIDs=$C38),(startDatesCF=EDATE(V$4,-1)))))*INDEX(PBC_ACCOUNT_LIST[Sign_for_total_cashflow],MATCH($C38,PBC_ACCOUNT_LIST[Id],0))</f>
        <v>0</v>
      </c>
      <c r="W38" s="547" cm="1">
        <f t="array" ref="W38">(SUM(_xlfn._xlws.FILTER(_xlfn._xlws.FILTER(dataGLBSCF,dataGLBSAcctIDs=$C38),(endDatesCF=W$5)))-SUM(_xlfn._xlws.FILTER(_xlfn._xlws.FILTER(dataGLBSCF,dataGLBSAcctIDs=$C38),(startDatesCF=EDATE(W$4,-1)))))*INDEX(PBC_ACCOUNT_LIST[Sign_for_total_cashflow],MATCH($C38,PBC_ACCOUNT_LIST[Id],0))</f>
        <v>0</v>
      </c>
      <c r="X38" s="547" cm="1">
        <f t="array" ref="X38">(SUM(_xlfn._xlws.FILTER(_xlfn._xlws.FILTER(dataGLBSCF,dataGLBSAcctIDs=$C38),(endDatesCF=X$5)))-SUM(_xlfn._xlws.FILTER(_xlfn._xlws.FILTER(dataGLBSCF,dataGLBSAcctIDs=$C38),(startDatesCF=EDATE(X$4,-1)))))*INDEX(PBC_ACCOUNT_LIST[Sign_for_total_cashflow],MATCH($C38,PBC_ACCOUNT_LIST[Id],0))</f>
        <v>0</v>
      </c>
      <c r="Y38" s="547" cm="1">
        <f t="array" ref="Y38">(SUM(_xlfn._xlws.FILTER(_xlfn._xlws.FILTER(dataGLBSCF,dataGLBSAcctIDs=$C38),(endDatesCF=Y$5)))-SUM(_xlfn._xlws.FILTER(_xlfn._xlws.FILTER(dataGLBSCF,dataGLBSAcctIDs=$C38),(startDatesCF=EDATE(Y$4,-1)))))*INDEX(PBC_ACCOUNT_LIST[Sign_for_total_cashflow],MATCH($C38,PBC_ACCOUNT_LIST[Id],0))</f>
        <v>0</v>
      </c>
      <c r="Z38" s="547" cm="1">
        <f t="array" ref="Z38">(SUM(_xlfn._xlws.FILTER(_xlfn._xlws.FILTER(dataGLBSCF,dataGLBSAcctIDs=$C38),(endDatesCF=Z$5)))-SUM(_xlfn._xlws.FILTER(_xlfn._xlws.FILTER(dataGLBSCF,dataGLBSAcctIDs=$C38),(startDatesCF=EDATE(Z$4,-1)))))*INDEX(PBC_ACCOUNT_LIST[Sign_for_total_cashflow],MATCH($C38,PBC_ACCOUNT_LIST[Id],0))</f>
        <v>0</v>
      </c>
      <c r="AC38" s="547" cm="1">
        <f t="array" ref="AC38">(SUM(_xlfn._xlws.FILTER(_xlfn._xlws.FILTER(dataGLBSCF,dataGLBSAcctIDs=$C38),(endDatesCF=AC$5)))-SUM(_xlfn._xlws.FILTER(_xlfn._xlws.FILTER(dataGLBSCF,dataGLBSAcctIDs=$C38),(startDatesCF=EDATE(AC$4,-1)))))*INDEX(PBC_ACCOUNT_LIST[Sign_for_total_cashflow],MATCH($C38,PBC_ACCOUNT_LIST[Id],0))</f>
        <v>-7951</v>
      </c>
      <c r="AD38" s="547" cm="1">
        <f t="array" ref="AD38">(SUM(_xlfn._xlws.FILTER(_xlfn._xlws.FILTER(dataGLBSCF,dataGLBSAcctIDs=$C38),(endDatesCF=AD$5)))-SUM(_xlfn._xlws.FILTER(_xlfn._xlws.FILTER(dataGLBSCF,dataGLBSAcctIDs=$C38),(startDatesCF=EDATE(AD$4,-1)))))*INDEX(PBC_ACCOUNT_LIST[Sign_for_total_cashflow],MATCH($C38,PBC_ACCOUNT_LIST[Id],0))</f>
        <v>0</v>
      </c>
      <c r="AE38" s="547" cm="1">
        <f t="array" ref="AE38">(SUM(_xlfn._xlws.FILTER(_xlfn._xlws.FILTER(dataGLBSCF,dataGLBSAcctIDs=$C38),(endDatesCF=AE$5)))-SUM(_xlfn._xlws.FILTER(_xlfn._xlws.FILTER(dataGLBSCF,dataGLBSAcctIDs=$C38),(startDatesCF=EDATE(AE$4,-1)))))*INDEX(PBC_ACCOUNT_LIST[Sign_for_total_cashflow],MATCH($C38,PBC_ACCOUNT_LIST[Id],0))</f>
        <v>0</v>
      </c>
      <c r="AF38" s="547" cm="1">
        <f t="array" ref="AF38">(SUM(_xlfn._xlws.FILTER(_xlfn._xlws.FILTER(dataGLBSCF,dataGLBSAcctIDs=$C38),(endDatesCF=AF$5)))-SUM(_xlfn._xlws.FILTER(_xlfn._xlws.FILTER(dataGLBSCF,dataGLBSAcctIDs=$C38),(startDatesCF=EDATE(AF$4,-1)))))*INDEX(PBC_ACCOUNT_LIST[Sign_for_total_cashflow],MATCH($C38,PBC_ACCOUNT_LIST[Id],0))</f>
        <v>0</v>
      </c>
      <c r="AG38" s="547" cm="1">
        <f t="array" ref="AG38">(SUM(_xlfn._xlws.FILTER(_xlfn._xlws.FILTER(dataGLBSCF,dataGLBSAcctIDs=$C38),(endDatesCF=AG$5)))-SUM(_xlfn._xlws.FILTER(_xlfn._xlws.FILTER(dataGLBSCF,dataGLBSAcctIDs=$C38),(startDatesCF=EDATE(AG$4,-1)))))*INDEX(PBC_ACCOUNT_LIST[Sign_for_total_cashflow],MATCH($C38,PBC_ACCOUNT_LIST[Id],0))</f>
        <v>0</v>
      </c>
      <c r="AH38" s="547" cm="1">
        <f t="array" ref="AH38">(SUM(_xlfn._xlws.FILTER(_xlfn._xlws.FILTER(dataGLBSCF,dataGLBSAcctIDs=$C38),(endDatesCF=AH$5)))-SUM(_xlfn._xlws.FILTER(_xlfn._xlws.FILTER(dataGLBSCF,dataGLBSAcctIDs=$C38),(startDatesCF=EDATE(AH$4,-1)))))*INDEX(PBC_ACCOUNT_LIST[Sign_for_total_cashflow],MATCH($C38,PBC_ACCOUNT_LIST[Id],0))</f>
        <v>0</v>
      </c>
      <c r="AI38" s="547" cm="1">
        <f t="array" ref="AI38">(SUM(_xlfn._xlws.FILTER(_xlfn._xlws.FILTER(dataGLBSCF,dataGLBSAcctIDs=$C38),(endDatesCF=AI$5)))-SUM(_xlfn._xlws.FILTER(_xlfn._xlws.FILTER(dataGLBSCF,dataGLBSAcctIDs=$C38),(startDatesCF=EDATE(AI$4,-1)))))*INDEX(PBC_ACCOUNT_LIST[Sign_for_total_cashflow],MATCH($C38,PBC_ACCOUNT_LIST[Id],0))</f>
        <v>0</v>
      </c>
      <c r="AJ38" s="547" cm="1">
        <f t="array" ref="AJ38">(SUM(_xlfn._xlws.FILTER(_xlfn._xlws.FILTER(dataGLBSCF,dataGLBSAcctIDs=$C38),(endDatesCF=AJ$5)))-SUM(_xlfn._xlws.FILTER(_xlfn._xlws.FILTER(dataGLBSCF,dataGLBSAcctIDs=$C38),(startDatesCF=EDATE(AJ$4,-1)))))*INDEX(PBC_ACCOUNT_LIST[Sign_for_total_cashflow],MATCH($C38,PBC_ACCOUNT_LIST[Id],0))</f>
        <v>0</v>
      </c>
      <c r="AK38" s="547" cm="1">
        <f t="array" ref="AK38">(SUM(_xlfn._xlws.FILTER(_xlfn._xlws.FILTER(dataGLBSCF,dataGLBSAcctIDs=$C38),(endDatesCF=AK$5)))-SUM(_xlfn._xlws.FILTER(_xlfn._xlws.FILTER(dataGLBSCF,dataGLBSAcctIDs=$C38),(startDatesCF=EDATE(AK$4,-1)))))*INDEX(PBC_ACCOUNT_LIST[Sign_for_total_cashflow],MATCH($C38,PBC_ACCOUNT_LIST[Id],0))</f>
        <v>0</v>
      </c>
      <c r="AL38" s="547" cm="1">
        <f t="array" ref="AL38">(SUM(_xlfn._xlws.FILTER(_xlfn._xlws.FILTER(dataGLBSCF,dataGLBSAcctIDs=$C38),(endDatesCF=AL$5)))-SUM(_xlfn._xlws.FILTER(_xlfn._xlws.FILTER(dataGLBSCF,dataGLBSAcctIDs=$C38),(startDatesCF=EDATE(AL$4,-1)))))*INDEX(PBC_ACCOUNT_LIST[Sign_for_total_cashflow],MATCH($C38,PBC_ACCOUNT_LIST[Id],0))</f>
        <v>0</v>
      </c>
      <c r="AM38" s="547" cm="1">
        <f t="array" ref="AM38">(SUM(_xlfn._xlws.FILTER(_xlfn._xlws.FILTER(dataGLBSCF,dataGLBSAcctIDs=$C38),(endDatesCF=AM$5)))-SUM(_xlfn._xlws.FILTER(_xlfn._xlws.FILTER(dataGLBSCF,dataGLBSAcctIDs=$C38),(startDatesCF=EDATE(AM$4,-1)))))*INDEX(PBC_ACCOUNT_LIST[Sign_for_total_cashflow],MATCH($C38,PBC_ACCOUNT_LIST[Id],0))</f>
        <v>0</v>
      </c>
      <c r="AN38" s="547" cm="1">
        <f t="array" ref="AN38">(SUM(_xlfn._xlws.FILTER(_xlfn._xlws.FILTER(dataGLBSCF,dataGLBSAcctIDs=$C38),(endDatesCF=AN$5)))-SUM(_xlfn._xlws.FILTER(_xlfn._xlws.FILTER(dataGLBSCF,dataGLBSAcctIDs=$C38),(startDatesCF=EDATE(AN$4,-1)))))*INDEX(PBC_ACCOUNT_LIST[Sign_for_total_cashflow],MATCH($C38,PBC_ACCOUNT_LIST[Id],0))</f>
        <v>0</v>
      </c>
      <c r="AO38" s="547" cm="1">
        <f t="array" ref="AO38">(SUM(_xlfn._xlws.FILTER(_xlfn._xlws.FILTER(dataGLBSCF,dataGLBSAcctIDs=$C38),(endDatesCF=AO$5)))-SUM(_xlfn._xlws.FILTER(_xlfn._xlws.FILTER(dataGLBSCF,dataGLBSAcctIDs=$C38),(startDatesCF=EDATE(AO$4,-1)))))*INDEX(PBC_ACCOUNT_LIST[Sign_for_total_cashflow],MATCH($C38,PBC_ACCOUNT_LIST[Id],0))</f>
        <v>0</v>
      </c>
      <c r="AP38" s="547" cm="1">
        <f t="array" ref="AP38">(SUM(_xlfn._xlws.FILTER(_xlfn._xlws.FILTER(dataGLBSCF,dataGLBSAcctIDs=$C38),(endDatesCF=AP$5)))-SUM(_xlfn._xlws.FILTER(_xlfn._xlws.FILTER(dataGLBSCF,dataGLBSAcctIDs=$C38),(startDatesCF=EDATE(AP$4,-1)))))*INDEX(PBC_ACCOUNT_LIST[Sign_for_total_cashflow],MATCH($C38,PBC_ACCOUNT_LIST[Id],0))</f>
        <v>0</v>
      </c>
      <c r="AQ38" s="547" cm="1">
        <f t="array" ref="AQ38">(SUM(_xlfn._xlws.FILTER(_xlfn._xlws.FILTER(dataGLBSCF,dataGLBSAcctIDs=$C38),(endDatesCF=AQ$5)))-SUM(_xlfn._xlws.FILTER(_xlfn._xlws.FILTER(dataGLBSCF,dataGLBSAcctIDs=$C38),(startDatesCF=EDATE(AQ$4,-1)))))*INDEX(PBC_ACCOUNT_LIST[Sign_for_total_cashflow],MATCH($C38,PBC_ACCOUNT_LIST[Id],0))</f>
        <v>0</v>
      </c>
      <c r="AR38" s="547" cm="1">
        <f t="array" ref="AR38">(SUM(_xlfn._xlws.FILTER(_xlfn._xlws.FILTER(dataGLBSCF,dataGLBSAcctIDs=$C38),(endDatesCF=AR$5)))-SUM(_xlfn._xlws.FILTER(_xlfn._xlws.FILTER(dataGLBSCF,dataGLBSAcctIDs=$C38),(startDatesCF=EDATE(AR$4,-1)))))*INDEX(PBC_ACCOUNT_LIST[Sign_for_total_cashflow],MATCH($C38,PBC_ACCOUNT_LIST[Id],0))</f>
        <v>0</v>
      </c>
      <c r="AS38" s="547" cm="1">
        <f t="array" ref="AS38">(SUM(_xlfn._xlws.FILTER(_xlfn._xlws.FILTER(dataGLBSCF,dataGLBSAcctIDs=$C38),(endDatesCF=AS$5)))-SUM(_xlfn._xlws.FILTER(_xlfn._xlws.FILTER(dataGLBSCF,dataGLBSAcctIDs=$C38),(startDatesCF=EDATE(AS$4,-1)))))*INDEX(PBC_ACCOUNT_LIST[Sign_for_total_cashflow],MATCH($C38,PBC_ACCOUNT_LIST[Id],0))</f>
        <v>0</v>
      </c>
      <c r="AT38" s="547" cm="1">
        <f t="array" ref="AT38">(SUM(_xlfn._xlws.FILTER(_xlfn._xlws.FILTER(dataGLBSCF,dataGLBSAcctIDs=$C38),(endDatesCF=AT$5)))-SUM(_xlfn._xlws.FILTER(_xlfn._xlws.FILTER(dataGLBSCF,dataGLBSAcctIDs=$C38),(startDatesCF=EDATE(AT$4,-1)))))*INDEX(PBC_ACCOUNT_LIST[Sign_for_total_cashflow],MATCH($C38,PBC_ACCOUNT_LIST[Id],0))</f>
        <v>0</v>
      </c>
      <c r="AU38" s="547" cm="1">
        <f t="array" ref="AU38">(SUM(_xlfn._xlws.FILTER(_xlfn._xlws.FILTER(dataGLBSCF,dataGLBSAcctIDs=$C38),(endDatesCF=AU$5)))-SUM(_xlfn._xlws.FILTER(_xlfn._xlws.FILTER(dataGLBSCF,dataGLBSAcctIDs=$C38),(startDatesCF=EDATE(AU$4,-1)))))*INDEX(PBC_ACCOUNT_LIST[Sign_for_total_cashflow],MATCH($C38,PBC_ACCOUNT_LIST[Id],0))</f>
        <v>0</v>
      </c>
      <c r="AV38" s="547" cm="1">
        <f t="array" ref="AV38">(SUM(_xlfn._xlws.FILTER(_xlfn._xlws.FILTER(dataGLBSCF,dataGLBSAcctIDs=$C38),(endDatesCF=AV$5)))-SUM(_xlfn._xlws.FILTER(_xlfn._xlws.FILTER(dataGLBSCF,dataGLBSAcctIDs=$C38),(startDatesCF=EDATE(AV$4,-1)))))*INDEX(PBC_ACCOUNT_LIST[Sign_for_total_cashflow],MATCH($C38,PBC_ACCOUNT_LIST[Id],0))</f>
        <v>0</v>
      </c>
      <c r="AW38" s="547" cm="1">
        <f t="array" ref="AW38">(SUM(_xlfn._xlws.FILTER(_xlfn._xlws.FILTER(dataGLBSCF,dataGLBSAcctIDs=$C38),(endDatesCF=AW$5)))-SUM(_xlfn._xlws.FILTER(_xlfn._xlws.FILTER(dataGLBSCF,dataGLBSAcctIDs=$C38),(startDatesCF=EDATE(AW$4,-1)))))*INDEX(PBC_ACCOUNT_LIST[Sign_for_total_cashflow],MATCH($C38,PBC_ACCOUNT_LIST[Id],0))</f>
        <v>0</v>
      </c>
      <c r="AX38" s="547" cm="1">
        <f t="array" ref="AX38">(SUM(_xlfn._xlws.FILTER(_xlfn._xlws.FILTER(dataGLBSCF,dataGLBSAcctIDs=$C38),(endDatesCF=AX$5)))-SUM(_xlfn._xlws.FILTER(_xlfn._xlws.FILTER(dataGLBSCF,dataGLBSAcctIDs=$C38),(startDatesCF=EDATE(AX$4,-1)))))*INDEX(PBC_ACCOUNT_LIST[Sign_for_total_cashflow],MATCH($C38,PBC_ACCOUNT_LIST[Id],0))</f>
        <v>0</v>
      </c>
      <c r="AY38" s="547" cm="1">
        <f t="array" ref="AY38">(SUM(_xlfn._xlws.FILTER(_xlfn._xlws.FILTER(dataGLBSCF,dataGLBSAcctIDs=$C38),(endDatesCF=AY$5)))-SUM(_xlfn._xlws.FILTER(_xlfn._xlws.FILTER(dataGLBSCF,dataGLBSAcctIDs=$C38),(startDatesCF=EDATE(AY$4,-1)))))*INDEX(PBC_ACCOUNT_LIST[Sign_for_total_cashflow],MATCH($C38,PBC_ACCOUNT_LIST[Id],0))</f>
        <v>0</v>
      </c>
      <c r="AZ38" s="547" cm="1">
        <f t="array" ref="AZ38">(SUM(_xlfn._xlws.FILTER(_xlfn._xlws.FILTER(dataGLBSCF,dataGLBSAcctIDs=$C38),(endDatesCF=AZ$5)))-SUM(_xlfn._xlws.FILTER(_xlfn._xlws.FILTER(dataGLBSCF,dataGLBSAcctIDs=$C38),(startDatesCF=EDATE(AZ$4,-1)))))*INDEX(PBC_ACCOUNT_LIST[Sign_for_total_cashflow],MATCH($C38,PBC_ACCOUNT_LIST[Id],0))</f>
        <v>0</v>
      </c>
      <c r="BA38" s="547" cm="1">
        <f t="array" ref="BA38">(SUM(_xlfn._xlws.FILTER(_xlfn._xlws.FILTER(dataGLBSCF,dataGLBSAcctIDs=$C38),(endDatesCF=BA$5)))-SUM(_xlfn._xlws.FILTER(_xlfn._xlws.FILTER(dataGLBSCF,dataGLBSAcctIDs=$C38),(startDatesCF=EDATE(BA$4,-1)))))*INDEX(PBC_ACCOUNT_LIST[Sign_for_total_cashflow],MATCH($C38,PBC_ACCOUNT_LIST[Id],0))</f>
        <v>0</v>
      </c>
      <c r="BB38" s="547" cm="1">
        <f t="array" ref="BB38">(SUM(_xlfn._xlws.FILTER(_xlfn._xlws.FILTER(dataGLBSCF,dataGLBSAcctIDs=$C38),(endDatesCF=BB$5)))-SUM(_xlfn._xlws.FILTER(_xlfn._xlws.FILTER(dataGLBSCF,dataGLBSAcctIDs=$C38),(startDatesCF=EDATE(BB$4,-1)))))*INDEX(PBC_ACCOUNT_LIST[Sign_for_total_cashflow],MATCH($C38,PBC_ACCOUNT_LIST[Id],0))</f>
        <v>0</v>
      </c>
      <c r="BC38" s="547" cm="1">
        <f t="array" ref="BC38">(SUM(_xlfn._xlws.FILTER(_xlfn._xlws.FILTER(dataGLBSCF,dataGLBSAcctIDs=$C38),(endDatesCF=BC$5)))-SUM(_xlfn._xlws.FILTER(_xlfn._xlws.FILTER(dataGLBSCF,dataGLBSAcctIDs=$C38),(startDatesCF=EDATE(BC$4,-1)))))*INDEX(PBC_ACCOUNT_LIST[Sign_for_total_cashflow],MATCH($C38,PBC_ACCOUNT_LIST[Id],0))</f>
        <v>0</v>
      </c>
      <c r="BD38" s="547" cm="1">
        <f t="array" ref="BD38">(SUM(_xlfn._xlws.FILTER(_xlfn._xlws.FILTER(dataGLBSCF,dataGLBSAcctIDs=$C38),(endDatesCF=BD$5)))-SUM(_xlfn._xlws.FILTER(_xlfn._xlws.FILTER(dataGLBSCF,dataGLBSAcctIDs=$C38),(startDatesCF=EDATE(BD$4,-1)))))*INDEX(PBC_ACCOUNT_LIST[Sign_for_total_cashflow],MATCH($C38,PBC_ACCOUNT_LIST[Id],0))</f>
        <v>0</v>
      </c>
      <c r="BE38" s="547" cm="1">
        <f t="array" ref="BE38">(SUM(_xlfn._xlws.FILTER(_xlfn._xlws.FILTER(dataGLBSCF,dataGLBSAcctIDs=$C38),(endDatesCF=BE$5)))-SUM(_xlfn._xlws.FILTER(_xlfn._xlws.FILTER(dataGLBSCF,dataGLBSAcctIDs=$C38),(startDatesCF=EDATE(BE$4,-1)))))*INDEX(PBC_ACCOUNT_LIST[Sign_for_total_cashflow],MATCH($C38,PBC_ACCOUNT_LIST[Id],0))</f>
        <v>0</v>
      </c>
      <c r="BF38" s="547" cm="1">
        <f t="array" ref="BF38">(SUM(_xlfn._xlws.FILTER(_xlfn._xlws.FILTER(dataGLBSCF,dataGLBSAcctIDs=$C38),(endDatesCF=BF$5)))-SUM(_xlfn._xlws.FILTER(_xlfn._xlws.FILTER(dataGLBSCF,dataGLBSAcctIDs=$C38),(startDatesCF=EDATE(BF$4,-1)))))*INDEX(PBC_ACCOUNT_LIST[Sign_for_total_cashflow],MATCH($C38,PBC_ACCOUNT_LIST[Id],0))</f>
        <v>0</v>
      </c>
      <c r="BG38" s="547" cm="1">
        <f t="array" ref="BG38">(SUM(_xlfn._xlws.FILTER(_xlfn._xlws.FILTER(dataGLBSCF,dataGLBSAcctIDs=$C38),(endDatesCF=BG$5)))-SUM(_xlfn._xlws.FILTER(_xlfn._xlws.FILTER(dataGLBSCF,dataGLBSAcctIDs=$C38),(startDatesCF=EDATE(BG$4,-1)))))*INDEX(PBC_ACCOUNT_LIST[Sign_for_total_cashflow],MATCH($C38,PBC_ACCOUNT_LIST[Id],0))</f>
        <v>0</v>
      </c>
      <c r="BH38" s="547" cm="1">
        <f t="array" ref="BH38">(SUM(_xlfn._xlws.FILTER(_xlfn._xlws.FILTER(dataGLBSCF,dataGLBSAcctIDs=$C38),(endDatesCF=BH$5)))-SUM(_xlfn._xlws.FILTER(_xlfn._xlws.FILTER(dataGLBSCF,dataGLBSAcctIDs=$C38),(startDatesCF=EDATE(BH$4,-1)))))*INDEX(PBC_ACCOUNT_LIST[Sign_for_total_cashflow],MATCH($C38,PBC_ACCOUNT_LIST[Id],0))</f>
        <v>0</v>
      </c>
      <c r="BI38" s="547" cm="1">
        <f t="array" ref="BI38">(SUM(_xlfn._xlws.FILTER(_xlfn._xlws.FILTER(dataGLBSCF,dataGLBSAcctIDs=$C38),(endDatesCF=BI$5)))-SUM(_xlfn._xlws.FILTER(_xlfn._xlws.FILTER(dataGLBSCF,dataGLBSAcctIDs=$C38),(startDatesCF=EDATE(BI$4,-1)))))*INDEX(PBC_ACCOUNT_LIST[Sign_for_total_cashflow],MATCH($C38,PBC_ACCOUNT_LIST[Id],0))</f>
        <v>0</v>
      </c>
      <c r="BJ38" s="547" cm="1">
        <f t="array" ref="BJ38">(SUM(_xlfn._xlws.FILTER(_xlfn._xlws.FILTER(dataGLBSCF,dataGLBSAcctIDs=$C38),(endDatesCF=BJ$5)))-SUM(_xlfn._xlws.FILTER(_xlfn._xlws.FILTER(dataGLBSCF,dataGLBSAcctIDs=$C38),(startDatesCF=EDATE(BJ$4,-1)))))*INDEX(PBC_ACCOUNT_LIST[Sign_for_total_cashflow],MATCH($C38,PBC_ACCOUNT_LIST[Id],0))</f>
        <v>0</v>
      </c>
      <c r="BK38" s="547" cm="1">
        <f t="array" ref="BK38">(SUM(_xlfn._xlws.FILTER(_xlfn._xlws.FILTER(dataGLBSCF,dataGLBSAcctIDs=$C38),(endDatesCF=BK$5)))-SUM(_xlfn._xlws.FILTER(_xlfn._xlws.FILTER(dataGLBSCF,dataGLBSAcctIDs=$C38),(startDatesCF=EDATE(BK$4,-1)))))*INDEX(PBC_ACCOUNT_LIST[Sign_for_total_cashflow],MATCH($C38,PBC_ACCOUNT_LIST[Id],0))</f>
        <v>0</v>
      </c>
      <c r="BL38" s="547" cm="1">
        <f t="array" ref="BL38">(SUM(_xlfn._xlws.FILTER(_xlfn._xlws.FILTER(dataGLBSCF,dataGLBSAcctIDs=$C38),(endDatesCF=BL$5)))-SUM(_xlfn._xlws.FILTER(_xlfn._xlws.FILTER(dataGLBSCF,dataGLBSAcctIDs=$C38),(startDatesCF=EDATE(BL$4,-1)))))*INDEX(PBC_ACCOUNT_LIST[Sign_for_total_cashflow],MATCH($C38,PBC_ACCOUNT_LIST[Id],0))</f>
        <v>0</v>
      </c>
      <c r="BM38" s="547" cm="1">
        <f t="array" ref="BM38">(SUM(_xlfn._xlws.FILTER(_xlfn._xlws.FILTER(dataGLBSCF,dataGLBSAcctIDs=$C38),(endDatesCF=BM$5)))-SUM(_xlfn._xlws.FILTER(_xlfn._xlws.FILTER(dataGLBSCF,dataGLBSAcctIDs=$C38),(startDatesCF=EDATE(BM$4,-1)))))*INDEX(PBC_ACCOUNT_LIST[Sign_for_total_cashflow],MATCH($C38,PBC_ACCOUNT_LIST[Id],0))</f>
        <v>0</v>
      </c>
      <c r="BN38" s="547" cm="1">
        <f t="array" ref="BN38">(SUM(_xlfn._xlws.FILTER(_xlfn._xlws.FILTER(dataGLBSCF,dataGLBSAcctIDs=$C38),(endDatesCF=BN$5)))-SUM(_xlfn._xlws.FILTER(_xlfn._xlws.FILTER(dataGLBSCF,dataGLBSAcctIDs=$C38),(startDatesCF=EDATE(BN$4,-1)))))*INDEX(PBC_ACCOUNT_LIST[Sign_for_total_cashflow],MATCH($C38,PBC_ACCOUNT_LIST[Id],0))</f>
        <v>0</v>
      </c>
      <c r="BO38" s="547" cm="1">
        <f t="array" ref="BO38">(SUM(_xlfn._xlws.FILTER(_xlfn._xlws.FILTER(dataGLBSCF,dataGLBSAcctIDs=$C38),(endDatesCF=BO$5)))-SUM(_xlfn._xlws.FILTER(_xlfn._xlws.FILTER(dataGLBSCF,dataGLBSAcctIDs=$C38),(startDatesCF=EDATE(BO$4,-1)))))*INDEX(PBC_ACCOUNT_LIST[Sign_for_total_cashflow],MATCH($C38,PBC_ACCOUNT_LIST[Id],0))</f>
        <v>0</v>
      </c>
      <c r="BP38" s="547" cm="1">
        <f t="array" ref="BP38">(SUM(_xlfn._xlws.FILTER(_xlfn._xlws.FILTER(dataGLBSCF,dataGLBSAcctIDs=$C38),(endDatesCF=BP$5)))-SUM(_xlfn._xlws.FILTER(_xlfn._xlws.FILTER(dataGLBSCF,dataGLBSAcctIDs=$C38),(startDatesCF=EDATE(BP$4,-1)))))*INDEX(PBC_ACCOUNT_LIST[Sign_for_total_cashflow],MATCH($C38,PBC_ACCOUNT_LIST[Id],0))</f>
        <v>0</v>
      </c>
      <c r="BQ38" s="547" cm="1">
        <f t="array" ref="BQ38">(SUM(_xlfn._xlws.FILTER(_xlfn._xlws.FILTER(dataGLBSCF,dataGLBSAcctIDs=$C38),(endDatesCF=BQ$5)))-SUM(_xlfn._xlws.FILTER(_xlfn._xlws.FILTER(dataGLBSCF,dataGLBSAcctIDs=$C38),(startDatesCF=EDATE(BQ$4,-1)))))*INDEX(PBC_ACCOUNT_LIST[Sign_for_total_cashflow],MATCH($C38,PBC_ACCOUNT_LIST[Id],0))</f>
        <v>0</v>
      </c>
      <c r="BR38" s="547" cm="1">
        <f t="array" ref="BR38">(SUM(_xlfn._xlws.FILTER(_xlfn._xlws.FILTER(dataGLBSCF,dataGLBSAcctIDs=$C38),(endDatesCF=BR$5)))-SUM(_xlfn._xlws.FILTER(_xlfn._xlws.FILTER(dataGLBSCF,dataGLBSAcctIDs=$C38),(startDatesCF=EDATE(BR$4,-1)))))*INDEX(PBC_ACCOUNT_LIST[Sign_for_total_cashflow],MATCH($C38,PBC_ACCOUNT_LIST[Id],0))</f>
        <v>0</v>
      </c>
      <c r="BS38" s="547" cm="1">
        <f t="array" ref="BS38">(SUM(_xlfn._xlws.FILTER(_xlfn._xlws.FILTER(dataGLBSCF,dataGLBSAcctIDs=$C38),(endDatesCF=BS$5)))-SUM(_xlfn._xlws.FILTER(_xlfn._xlws.FILTER(dataGLBSCF,dataGLBSAcctIDs=$C38),(startDatesCF=EDATE(BS$4,-1)))))*INDEX(PBC_ACCOUNT_LIST[Sign_for_total_cashflow],MATCH($C38,PBC_ACCOUNT_LIST[Id],0))</f>
        <v>0</v>
      </c>
      <c r="BT38" s="547" cm="1">
        <f t="array" ref="BT38">(SUM(_xlfn._xlws.FILTER(_xlfn._xlws.FILTER(dataGLBSCF,dataGLBSAcctIDs=$C38),(endDatesCF=BT$5)))-SUM(_xlfn._xlws.FILTER(_xlfn._xlws.FILTER(dataGLBSCF,dataGLBSAcctIDs=$C38),(startDatesCF=EDATE(BT$4,-1)))))*INDEX(PBC_ACCOUNT_LIST[Sign_for_total_cashflow],MATCH($C38,PBC_ACCOUNT_LIST[Id],0))</f>
        <v>0</v>
      </c>
      <c r="BU38" s="547" cm="1">
        <f t="array" ref="BU38">(SUM(_xlfn._xlws.FILTER(_xlfn._xlws.FILTER(dataGLBSCF,dataGLBSAcctIDs=$C38),(endDatesCF=BU$5)))-SUM(_xlfn._xlws.FILTER(_xlfn._xlws.FILTER(dataGLBSCF,dataGLBSAcctIDs=$C38),(startDatesCF=EDATE(BU$4,-1)))))*INDEX(PBC_ACCOUNT_LIST[Sign_for_total_cashflow],MATCH($C38,PBC_ACCOUNT_LIST[Id],0))</f>
        <v>0</v>
      </c>
      <c r="BV38" s="547" cm="1">
        <f t="array" ref="BV38">(SUM(_xlfn._xlws.FILTER(_xlfn._xlws.FILTER(dataGLBSCF,dataGLBSAcctIDs=$C38),(endDatesCF=BV$5)))-SUM(_xlfn._xlws.FILTER(_xlfn._xlws.FILTER(dataGLBSCF,dataGLBSAcctIDs=$C38),(startDatesCF=EDATE(BV$4,-1)))))*INDEX(PBC_ACCOUNT_LIST[Sign_for_total_cashflow],MATCH($C38,PBC_ACCOUNT_LIST[Id],0))</f>
        <v>0</v>
      </c>
      <c r="BW38" s="547" cm="1">
        <f t="array" ref="BW38">(SUM(_xlfn._xlws.FILTER(_xlfn._xlws.FILTER(dataGLBSCF,dataGLBSAcctIDs=$C38),(endDatesCF=BW$5)))-SUM(_xlfn._xlws.FILTER(_xlfn._xlws.FILTER(dataGLBSCF,dataGLBSAcctIDs=$C38),(startDatesCF=EDATE(BW$4,-1)))))*INDEX(PBC_ACCOUNT_LIST[Sign_for_total_cashflow],MATCH($C38,PBC_ACCOUNT_LIST[Id],0))</f>
        <v>0</v>
      </c>
      <c r="BX38" s="547" cm="1">
        <f t="array" ref="BX38">(SUM(_xlfn._xlws.FILTER(_xlfn._xlws.FILTER(dataGLBSCF,dataGLBSAcctIDs=$C38),(endDatesCF=BX$5)))-SUM(_xlfn._xlws.FILTER(_xlfn._xlws.FILTER(dataGLBSCF,dataGLBSAcctIDs=$C38),(startDatesCF=EDATE(BX$4,-1)))))*INDEX(PBC_ACCOUNT_LIST[Sign_for_total_cashflow],MATCH($C38,PBC_ACCOUNT_LIST[Id],0))</f>
        <v>0</v>
      </c>
    </row>
    <row r="39" spans="1:76" s="234" customFormat="1" ht="21" customHeight="1">
      <c r="A39" s="252"/>
      <c r="B39" s="250"/>
      <c r="C39" s="251"/>
      <c r="D39" s="250"/>
      <c r="E39" s="253"/>
      <c r="F39" s="253"/>
      <c r="G39" s="253"/>
      <c r="H39" s="253"/>
      <c r="I39" s="253"/>
      <c r="J39" s="253"/>
      <c r="K39" s="253"/>
      <c r="L39" s="253"/>
      <c r="M39" s="253"/>
      <c r="N39" s="253"/>
      <c r="O39" s="253"/>
      <c r="P39" s="253"/>
      <c r="Q39" s="253"/>
      <c r="R39" s="253"/>
      <c r="S39" s="253"/>
      <c r="T39" s="253"/>
      <c r="U39" s="253"/>
      <c r="V39" s="253"/>
      <c r="W39" s="253"/>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c r="AU39" s="253"/>
      <c r="AV39" s="253"/>
      <c r="AW39" s="253"/>
      <c r="AX39" s="253"/>
      <c r="AY39" s="253"/>
      <c r="AZ39" s="253"/>
      <c r="BA39" s="253"/>
      <c r="BB39" s="253"/>
      <c r="BC39" s="253"/>
      <c r="BD39" s="253"/>
      <c r="BE39" s="253"/>
      <c r="BF39" s="253"/>
      <c r="BG39" s="253"/>
      <c r="BH39" s="253"/>
      <c r="BI39" s="253"/>
      <c r="BJ39" s="253"/>
      <c r="BK39" s="253"/>
      <c r="BL39" s="253"/>
      <c r="BM39" s="253"/>
      <c r="BN39" s="253"/>
      <c r="BO39" s="253"/>
      <c r="BP39" s="253"/>
      <c r="BQ39" s="253"/>
      <c r="BR39" s="253"/>
      <c r="BS39" s="253"/>
      <c r="BT39" s="253"/>
      <c r="BU39" s="253"/>
      <c r="BV39" s="253"/>
      <c r="BW39" s="253"/>
      <c r="BX39" s="253"/>
    </row>
    <row r="40" spans="1:76" s="241" customFormat="1" ht="21" customHeight="1">
      <c r="B40" s="244" t="s">
        <v>341</v>
      </c>
      <c r="C40" s="245"/>
      <c r="D40" s="244"/>
      <c r="E40" s="242">
        <f>SUM(E34:E39)</f>
        <v>-113669</v>
      </c>
      <c r="F40" s="242">
        <f>SUM(F34:F39)</f>
        <v>-5000</v>
      </c>
      <c r="G40" s="242">
        <f>SUM(G34:G39)</f>
        <v>-20000</v>
      </c>
      <c r="H40" s="242">
        <f>SUM(H34:H39)</f>
        <v>-25000</v>
      </c>
      <c r="I40" s="243"/>
      <c r="J40" s="243"/>
      <c r="K40" s="242">
        <f t="shared" ref="K40:Z40" si="14">SUM(K34:K39)</f>
        <v>-65669</v>
      </c>
      <c r="L40" s="242">
        <f t="shared" si="14"/>
        <v>-45500</v>
      </c>
      <c r="M40" s="242">
        <f t="shared" si="14"/>
        <v>-2500</v>
      </c>
      <c r="N40" s="242">
        <f t="shared" si="14"/>
        <v>0</v>
      </c>
      <c r="O40" s="242">
        <f t="shared" si="14"/>
        <v>-5000</v>
      </c>
      <c r="P40" s="242">
        <f t="shared" si="14"/>
        <v>0</v>
      </c>
      <c r="Q40" s="242">
        <f t="shared" si="14"/>
        <v>0</v>
      </c>
      <c r="R40" s="242">
        <f t="shared" si="14"/>
        <v>0</v>
      </c>
      <c r="S40" s="242">
        <f t="shared" si="14"/>
        <v>0</v>
      </c>
      <c r="T40" s="242">
        <f t="shared" si="14"/>
        <v>0</v>
      </c>
      <c r="U40" s="242">
        <f t="shared" si="14"/>
        <v>0</v>
      </c>
      <c r="V40" s="242">
        <f t="shared" si="14"/>
        <v>-20000</v>
      </c>
      <c r="W40" s="242">
        <f t="shared" si="14"/>
        <v>-10000</v>
      </c>
      <c r="X40" s="242">
        <f t="shared" si="14"/>
        <v>-15000</v>
      </c>
      <c r="Y40" s="242">
        <f t="shared" si="14"/>
        <v>0</v>
      </c>
      <c r="Z40" s="242">
        <f t="shared" si="14"/>
        <v>0</v>
      </c>
      <c r="AA40" s="243"/>
      <c r="AB40" s="243"/>
      <c r="AC40" s="242">
        <f t="shared" ref="AC40:BX40" si="15">SUM(AC34:AC39)</f>
        <v>-63169</v>
      </c>
      <c r="AD40" s="242">
        <f t="shared" si="15"/>
        <v>0</v>
      </c>
      <c r="AE40" s="242">
        <f t="shared" si="15"/>
        <v>-2500</v>
      </c>
      <c r="AF40" s="242">
        <f t="shared" si="15"/>
        <v>-35000</v>
      </c>
      <c r="AG40" s="242">
        <f t="shared" si="15"/>
        <v>-2500</v>
      </c>
      <c r="AH40" s="242">
        <f t="shared" si="15"/>
        <v>-8000</v>
      </c>
      <c r="AI40" s="242">
        <f t="shared" si="15"/>
        <v>0</v>
      </c>
      <c r="AJ40" s="242">
        <f t="shared" si="15"/>
        <v>-2500</v>
      </c>
      <c r="AK40" s="242">
        <f t="shared" si="15"/>
        <v>0</v>
      </c>
      <c r="AL40" s="242">
        <f t="shared" si="15"/>
        <v>0</v>
      </c>
      <c r="AM40" s="242">
        <f t="shared" si="15"/>
        <v>0</v>
      </c>
      <c r="AN40" s="242">
        <f t="shared" si="15"/>
        <v>0</v>
      </c>
      <c r="AO40" s="242">
        <f t="shared" si="15"/>
        <v>-17000</v>
      </c>
      <c r="AP40" s="242">
        <f t="shared" si="15"/>
        <v>12000</v>
      </c>
      <c r="AQ40" s="242">
        <f t="shared" si="15"/>
        <v>0</v>
      </c>
      <c r="AR40" s="242">
        <f t="shared" si="15"/>
        <v>0</v>
      </c>
      <c r="AS40" s="242">
        <f t="shared" si="15"/>
        <v>0</v>
      </c>
      <c r="AT40" s="242">
        <f t="shared" si="15"/>
        <v>0</v>
      </c>
      <c r="AU40" s="242">
        <f t="shared" si="15"/>
        <v>0</v>
      </c>
      <c r="AV40" s="242">
        <f t="shared" si="15"/>
        <v>0</v>
      </c>
      <c r="AW40" s="242">
        <f t="shared" si="15"/>
        <v>0</v>
      </c>
      <c r="AX40" s="242">
        <f t="shared" si="15"/>
        <v>0</v>
      </c>
      <c r="AY40" s="242">
        <f t="shared" si="15"/>
        <v>0</v>
      </c>
      <c r="AZ40" s="242">
        <f t="shared" si="15"/>
        <v>0</v>
      </c>
      <c r="BA40" s="242">
        <f t="shared" si="15"/>
        <v>0</v>
      </c>
      <c r="BB40" s="242">
        <f t="shared" si="15"/>
        <v>0</v>
      </c>
      <c r="BC40" s="242">
        <f t="shared" si="15"/>
        <v>0</v>
      </c>
      <c r="BD40" s="242">
        <f t="shared" si="15"/>
        <v>0</v>
      </c>
      <c r="BE40" s="242">
        <f t="shared" si="15"/>
        <v>0</v>
      </c>
      <c r="BF40" s="242">
        <f t="shared" si="15"/>
        <v>0</v>
      </c>
      <c r="BG40" s="242">
        <f t="shared" si="15"/>
        <v>0</v>
      </c>
      <c r="BH40" s="242">
        <f t="shared" si="15"/>
        <v>0</v>
      </c>
      <c r="BI40" s="242">
        <f t="shared" si="15"/>
        <v>0</v>
      </c>
      <c r="BJ40" s="242">
        <f t="shared" si="15"/>
        <v>0</v>
      </c>
      <c r="BK40" s="242">
        <f t="shared" si="15"/>
        <v>0</v>
      </c>
      <c r="BL40" s="242">
        <f t="shared" si="15"/>
        <v>-20000</v>
      </c>
      <c r="BM40" s="242">
        <f t="shared" si="15"/>
        <v>0</v>
      </c>
      <c r="BN40" s="242">
        <f t="shared" si="15"/>
        <v>-10000</v>
      </c>
      <c r="BO40" s="242">
        <f t="shared" si="15"/>
        <v>0</v>
      </c>
      <c r="BP40" s="242">
        <f t="shared" si="15"/>
        <v>0</v>
      </c>
      <c r="BQ40" s="242">
        <f t="shared" si="15"/>
        <v>-15000</v>
      </c>
      <c r="BR40" s="242">
        <f t="shared" si="15"/>
        <v>0</v>
      </c>
      <c r="BS40" s="242">
        <f t="shared" si="15"/>
        <v>0</v>
      </c>
      <c r="BT40" s="242">
        <f t="shared" si="15"/>
        <v>0</v>
      </c>
      <c r="BU40" s="242">
        <f t="shared" si="15"/>
        <v>0</v>
      </c>
      <c r="BV40" s="242">
        <f t="shared" si="15"/>
        <v>0</v>
      </c>
      <c r="BW40" s="242">
        <f t="shared" si="15"/>
        <v>0</v>
      </c>
      <c r="BX40" s="242">
        <f t="shared" si="15"/>
        <v>0</v>
      </c>
    </row>
    <row r="41" spans="1:76" s="234" customFormat="1" ht="21" customHeight="1">
      <c r="B41" s="250"/>
      <c r="C41" s="251"/>
      <c r="D41" s="250"/>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53"/>
      <c r="BA41" s="253"/>
      <c r="BB41" s="253"/>
      <c r="BC41" s="253"/>
      <c r="BD41" s="253"/>
      <c r="BE41" s="253"/>
      <c r="BF41" s="253"/>
      <c r="BG41" s="253"/>
      <c r="BH41" s="253"/>
      <c r="BI41" s="253"/>
      <c r="BJ41" s="253"/>
      <c r="BK41" s="253"/>
      <c r="BL41" s="253"/>
      <c r="BM41" s="253"/>
      <c r="BN41" s="253"/>
      <c r="BO41" s="253"/>
      <c r="BP41" s="253"/>
      <c r="BQ41" s="253"/>
      <c r="BR41" s="253"/>
      <c r="BS41" s="253"/>
      <c r="BT41" s="253"/>
      <c r="BU41" s="253"/>
      <c r="BV41" s="253"/>
      <c r="BW41" s="253"/>
      <c r="BX41" s="253"/>
    </row>
    <row r="42" spans="1:76" s="241" customFormat="1" ht="21" customHeight="1">
      <c r="B42" s="244" t="s">
        <v>342</v>
      </c>
      <c r="C42" s="245"/>
      <c r="D42" s="244"/>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c r="AT42" s="253"/>
      <c r="AU42" s="253"/>
      <c r="AV42" s="253"/>
      <c r="AW42" s="253"/>
      <c r="AX42" s="253"/>
      <c r="AY42" s="253"/>
      <c r="AZ42" s="253"/>
      <c r="BA42" s="253"/>
      <c r="BB42" s="253"/>
      <c r="BC42" s="253"/>
      <c r="BD42" s="253"/>
      <c r="BE42" s="253"/>
      <c r="BF42" s="253"/>
      <c r="BG42" s="253"/>
      <c r="BH42" s="253"/>
      <c r="BI42" s="253"/>
      <c r="BJ42" s="253"/>
      <c r="BK42" s="253"/>
      <c r="BL42" s="253"/>
      <c r="BM42" s="253"/>
      <c r="BN42" s="253"/>
      <c r="BO42" s="253"/>
      <c r="BP42" s="253"/>
      <c r="BQ42" s="253"/>
      <c r="BR42" s="253"/>
      <c r="BS42" s="253"/>
      <c r="BT42" s="253"/>
      <c r="BU42" s="253"/>
      <c r="BV42" s="253"/>
      <c r="BW42" s="253"/>
      <c r="BX42" s="253"/>
    </row>
    <row r="43" spans="1:76" customFormat="1" ht="21" customHeight="1">
      <c r="B43" s="685" t="s">
        <v>316</v>
      </c>
      <c r="C43">
        <v>162</v>
      </c>
      <c r="E43" s="547" cm="1">
        <f t="array" ref="E43">(SUM(_xlfn._xlws.FILTER(_xlfn._xlws.FILTER(dataGLBSCF,dataGLBSAcctIDs=$C43),(endDatesCF=E$5)))-SUM(_xlfn._xlws.FILTER(_xlfn._xlws.FILTER(dataGLBSCF,dataGLBSAcctIDs=$C43),(startDatesCF=EDATE(E$4,-1)))))*INDEX(PBC_ACCOUNT_LIST[Sign_for_total_cashflow],MATCH($C43,PBC_ACCOUNT_LIST[Id],0))</f>
        <v>1500000</v>
      </c>
      <c r="F43" s="547" cm="1">
        <f t="array" ref="F43">(SUM(_xlfn._xlws.FILTER(_xlfn._xlws.FILTER(dataGLBSCF,dataGLBSAcctIDs=$C43),(endDatesCF=F$5)))-SUM(_xlfn._xlws.FILTER(_xlfn._xlws.FILTER(dataGLBSCF,dataGLBSAcctIDs=$C43),(startDatesCF=EDATE(F$4,-1)))))*INDEX(PBC_ACCOUNT_LIST[Sign_for_total_cashflow],MATCH($C43,PBC_ACCOUNT_LIST[Id],0))</f>
        <v>0</v>
      </c>
      <c r="G43" s="547" cm="1">
        <f t="array" ref="G43">(SUM(_xlfn._xlws.FILTER(_xlfn._xlws.FILTER(dataGLBSCF,dataGLBSAcctIDs=$C43),(endDatesCF=G$5)))-SUM(_xlfn._xlws.FILTER(_xlfn._xlws.FILTER(dataGLBSCF,dataGLBSAcctIDs=$C43),(startDatesCF=EDATE(G$4,-1)))))*INDEX(PBC_ACCOUNT_LIST[Sign_for_total_cashflow],MATCH($C43,PBC_ACCOUNT_LIST[Id],0))</f>
        <v>0</v>
      </c>
      <c r="H43" s="547" cm="1">
        <f t="array" ref="H43">(SUM(_xlfn._xlws.FILTER(_xlfn._xlws.FILTER(dataGLBSCF,dataGLBSAcctIDs=$C43),(endDatesCF=H$5)))-SUM(_xlfn._xlws.FILTER(_xlfn._xlws.FILTER(dataGLBSCF,dataGLBSAcctIDs=$C43),(startDatesCF=EDATE(H$4,-1)))))*INDEX(PBC_ACCOUNT_LIST[Sign_for_total_cashflow],MATCH($C43,PBC_ACCOUNT_LIST[Id],0))</f>
        <v>0</v>
      </c>
      <c r="K43" s="547" cm="1">
        <f t="array" ref="K43">(SUM(_xlfn._xlws.FILTER(_xlfn._xlws.FILTER(dataGLBSCF,dataGLBSAcctIDs=$C43),(endDatesCF=K$5)))-SUM(_xlfn._xlws.FILTER(_xlfn._xlws.FILTER(dataGLBSCF,dataGLBSAcctIDs=$C43),(startDatesCF=EDATE(K$4,-1)))))*INDEX(PBC_ACCOUNT_LIST[Sign_for_total_cashflow],MATCH($C43,PBC_ACCOUNT_LIST[Id],0))</f>
        <v>500000</v>
      </c>
      <c r="L43" s="547" cm="1">
        <f t="array" ref="L43">(SUM(_xlfn._xlws.FILTER(_xlfn._xlws.FILTER(dataGLBSCF,dataGLBSAcctIDs=$C43),(endDatesCF=L$5)))-SUM(_xlfn._xlws.FILTER(_xlfn._xlws.FILTER(dataGLBSCF,dataGLBSAcctIDs=$C43),(startDatesCF=EDATE(L$4,-1)))))*INDEX(PBC_ACCOUNT_LIST[Sign_for_total_cashflow],MATCH($C43,PBC_ACCOUNT_LIST[Id],0))</f>
        <v>0</v>
      </c>
      <c r="M43" s="547" cm="1">
        <f t="array" ref="M43">(SUM(_xlfn._xlws.FILTER(_xlfn._xlws.FILTER(dataGLBSCF,dataGLBSAcctIDs=$C43),(endDatesCF=M$5)))-SUM(_xlfn._xlws.FILTER(_xlfn._xlws.FILTER(dataGLBSCF,dataGLBSAcctIDs=$C43),(startDatesCF=EDATE(M$4,-1)))))*INDEX(PBC_ACCOUNT_LIST[Sign_for_total_cashflow],MATCH($C43,PBC_ACCOUNT_LIST[Id],0))</f>
        <v>0</v>
      </c>
      <c r="N43" s="547" cm="1">
        <f t="array" ref="N43">(SUM(_xlfn._xlws.FILTER(_xlfn._xlws.FILTER(dataGLBSCF,dataGLBSAcctIDs=$C43),(endDatesCF=N$5)))-SUM(_xlfn._xlws.FILTER(_xlfn._xlws.FILTER(dataGLBSCF,dataGLBSAcctIDs=$C43),(startDatesCF=EDATE(N$4,-1)))))*INDEX(PBC_ACCOUNT_LIST[Sign_for_total_cashflow],MATCH($C43,PBC_ACCOUNT_LIST[Id],0))</f>
        <v>1000000</v>
      </c>
      <c r="O43" s="547" cm="1">
        <f t="array" ref="O43">(SUM(_xlfn._xlws.FILTER(_xlfn._xlws.FILTER(dataGLBSCF,dataGLBSAcctIDs=$C43),(endDatesCF=O$5)))-SUM(_xlfn._xlws.FILTER(_xlfn._xlws.FILTER(dataGLBSCF,dataGLBSAcctIDs=$C43),(startDatesCF=EDATE(O$4,-1)))))*INDEX(PBC_ACCOUNT_LIST[Sign_for_total_cashflow],MATCH($C43,PBC_ACCOUNT_LIST[Id],0))</f>
        <v>0</v>
      </c>
      <c r="P43" s="547" cm="1">
        <f t="array" ref="P43">(SUM(_xlfn._xlws.FILTER(_xlfn._xlws.FILTER(dataGLBSCF,dataGLBSAcctIDs=$C43),(endDatesCF=P$5)))-SUM(_xlfn._xlws.FILTER(_xlfn._xlws.FILTER(dataGLBSCF,dataGLBSAcctIDs=$C43),(startDatesCF=EDATE(P$4,-1)))))*INDEX(PBC_ACCOUNT_LIST[Sign_for_total_cashflow],MATCH($C43,PBC_ACCOUNT_LIST[Id],0))</f>
        <v>0</v>
      </c>
      <c r="Q43" s="547" cm="1">
        <f t="array" ref="Q43">(SUM(_xlfn._xlws.FILTER(_xlfn._xlws.FILTER(dataGLBSCF,dataGLBSAcctIDs=$C43),(endDatesCF=Q$5)))-SUM(_xlfn._xlws.FILTER(_xlfn._xlws.FILTER(dataGLBSCF,dataGLBSAcctIDs=$C43),(startDatesCF=EDATE(Q$4,-1)))))*INDEX(PBC_ACCOUNT_LIST[Sign_for_total_cashflow],MATCH($C43,PBC_ACCOUNT_LIST[Id],0))</f>
        <v>0</v>
      </c>
      <c r="R43" s="547" cm="1">
        <f t="array" ref="R43">(SUM(_xlfn._xlws.FILTER(_xlfn._xlws.FILTER(dataGLBSCF,dataGLBSAcctIDs=$C43),(endDatesCF=R$5)))-SUM(_xlfn._xlws.FILTER(_xlfn._xlws.FILTER(dataGLBSCF,dataGLBSAcctIDs=$C43),(startDatesCF=EDATE(R$4,-1)))))*INDEX(PBC_ACCOUNT_LIST[Sign_for_total_cashflow],MATCH($C43,PBC_ACCOUNT_LIST[Id],0))</f>
        <v>0</v>
      </c>
      <c r="S43" s="547" cm="1">
        <f t="array" ref="S43">(SUM(_xlfn._xlws.FILTER(_xlfn._xlws.FILTER(dataGLBSCF,dataGLBSAcctIDs=$C43),(endDatesCF=S$5)))-SUM(_xlfn._xlws.FILTER(_xlfn._xlws.FILTER(dataGLBSCF,dataGLBSAcctIDs=$C43),(startDatesCF=EDATE(S$4,-1)))))*INDEX(PBC_ACCOUNT_LIST[Sign_for_total_cashflow],MATCH($C43,PBC_ACCOUNT_LIST[Id],0))</f>
        <v>0</v>
      </c>
      <c r="T43" s="547" cm="1">
        <f t="array" ref="T43">(SUM(_xlfn._xlws.FILTER(_xlfn._xlws.FILTER(dataGLBSCF,dataGLBSAcctIDs=$C43),(endDatesCF=T$5)))-SUM(_xlfn._xlws.FILTER(_xlfn._xlws.FILTER(dataGLBSCF,dataGLBSAcctIDs=$C43),(startDatesCF=EDATE(T$4,-1)))))*INDEX(PBC_ACCOUNT_LIST[Sign_for_total_cashflow],MATCH($C43,PBC_ACCOUNT_LIST[Id],0))</f>
        <v>0</v>
      </c>
      <c r="U43" s="547" cm="1">
        <f t="array" ref="U43">(SUM(_xlfn._xlws.FILTER(_xlfn._xlws.FILTER(dataGLBSCF,dataGLBSAcctIDs=$C43),(endDatesCF=U$5)))-SUM(_xlfn._xlws.FILTER(_xlfn._xlws.FILTER(dataGLBSCF,dataGLBSAcctIDs=$C43),(startDatesCF=EDATE(U$4,-1)))))*INDEX(PBC_ACCOUNT_LIST[Sign_for_total_cashflow],MATCH($C43,PBC_ACCOUNT_LIST[Id],0))</f>
        <v>0</v>
      </c>
      <c r="V43" s="547" cm="1">
        <f t="array" ref="V43">(SUM(_xlfn._xlws.FILTER(_xlfn._xlws.FILTER(dataGLBSCF,dataGLBSAcctIDs=$C43),(endDatesCF=V$5)))-SUM(_xlfn._xlws.FILTER(_xlfn._xlws.FILTER(dataGLBSCF,dataGLBSAcctIDs=$C43),(startDatesCF=EDATE(V$4,-1)))))*INDEX(PBC_ACCOUNT_LIST[Sign_for_total_cashflow],MATCH($C43,PBC_ACCOUNT_LIST[Id],0))</f>
        <v>0</v>
      </c>
      <c r="W43" s="547" cm="1">
        <f t="array" ref="W43">(SUM(_xlfn._xlws.FILTER(_xlfn._xlws.FILTER(dataGLBSCF,dataGLBSAcctIDs=$C43),(endDatesCF=W$5)))-SUM(_xlfn._xlws.FILTER(_xlfn._xlws.FILTER(dataGLBSCF,dataGLBSAcctIDs=$C43),(startDatesCF=EDATE(W$4,-1)))))*INDEX(PBC_ACCOUNT_LIST[Sign_for_total_cashflow],MATCH($C43,PBC_ACCOUNT_LIST[Id],0))</f>
        <v>0</v>
      </c>
      <c r="X43" s="547" cm="1">
        <f t="array" ref="X43">(SUM(_xlfn._xlws.FILTER(_xlfn._xlws.FILTER(dataGLBSCF,dataGLBSAcctIDs=$C43),(endDatesCF=X$5)))-SUM(_xlfn._xlws.FILTER(_xlfn._xlws.FILTER(dataGLBSCF,dataGLBSAcctIDs=$C43),(startDatesCF=EDATE(X$4,-1)))))*INDEX(PBC_ACCOUNT_LIST[Sign_for_total_cashflow],MATCH($C43,PBC_ACCOUNT_LIST[Id],0))</f>
        <v>0</v>
      </c>
      <c r="Y43" s="547" cm="1">
        <f t="array" ref="Y43">(SUM(_xlfn._xlws.FILTER(_xlfn._xlws.FILTER(dataGLBSCF,dataGLBSAcctIDs=$C43),(endDatesCF=Y$5)))-SUM(_xlfn._xlws.FILTER(_xlfn._xlws.FILTER(dataGLBSCF,dataGLBSAcctIDs=$C43),(startDatesCF=EDATE(Y$4,-1)))))*INDEX(PBC_ACCOUNT_LIST[Sign_for_total_cashflow],MATCH($C43,PBC_ACCOUNT_LIST[Id],0))</f>
        <v>0</v>
      </c>
      <c r="Z43" s="547" cm="1">
        <f t="array" ref="Z43">(SUM(_xlfn._xlws.FILTER(_xlfn._xlws.FILTER(dataGLBSCF,dataGLBSAcctIDs=$C43),(endDatesCF=Z$5)))-SUM(_xlfn._xlws.FILTER(_xlfn._xlws.FILTER(dataGLBSCF,dataGLBSAcctIDs=$C43),(startDatesCF=EDATE(Z$4,-1)))))*INDEX(PBC_ACCOUNT_LIST[Sign_for_total_cashflow],MATCH($C43,PBC_ACCOUNT_LIST[Id],0))</f>
        <v>0</v>
      </c>
      <c r="AC43" s="547" cm="1">
        <f t="array" ref="AC43">(SUM(_xlfn._xlws.FILTER(_xlfn._xlws.FILTER(dataGLBSCF,dataGLBSAcctIDs=$C43),(endDatesCF=AC$5)))-SUM(_xlfn._xlws.FILTER(_xlfn._xlws.FILTER(dataGLBSCF,dataGLBSAcctIDs=$C43),(startDatesCF=EDATE(AC$4,-1)))))*INDEX(PBC_ACCOUNT_LIST[Sign_for_total_cashflow],MATCH($C43,PBC_ACCOUNT_LIST[Id],0))</f>
        <v>500000</v>
      </c>
      <c r="AD43" s="547" cm="1">
        <f t="array" ref="AD43">(SUM(_xlfn._xlws.FILTER(_xlfn._xlws.FILTER(dataGLBSCF,dataGLBSAcctIDs=$C43),(endDatesCF=AD$5)))-SUM(_xlfn._xlws.FILTER(_xlfn._xlws.FILTER(dataGLBSCF,dataGLBSAcctIDs=$C43),(startDatesCF=EDATE(AD$4,-1)))))*INDEX(PBC_ACCOUNT_LIST[Sign_for_total_cashflow],MATCH($C43,PBC_ACCOUNT_LIST[Id],0))</f>
        <v>0</v>
      </c>
      <c r="AE43" s="547" cm="1">
        <f t="array" ref="AE43">(SUM(_xlfn._xlws.FILTER(_xlfn._xlws.FILTER(dataGLBSCF,dataGLBSAcctIDs=$C43),(endDatesCF=AE$5)))-SUM(_xlfn._xlws.FILTER(_xlfn._xlws.FILTER(dataGLBSCF,dataGLBSAcctIDs=$C43),(startDatesCF=EDATE(AE$4,-1)))))*INDEX(PBC_ACCOUNT_LIST[Sign_for_total_cashflow],MATCH($C43,PBC_ACCOUNT_LIST[Id],0))</f>
        <v>0</v>
      </c>
      <c r="AF43" s="547" cm="1">
        <f t="array" ref="AF43">(SUM(_xlfn._xlws.FILTER(_xlfn._xlws.FILTER(dataGLBSCF,dataGLBSAcctIDs=$C43),(endDatesCF=AF$5)))-SUM(_xlfn._xlws.FILTER(_xlfn._xlws.FILTER(dataGLBSCF,dataGLBSAcctIDs=$C43),(startDatesCF=EDATE(AF$4,-1)))))*INDEX(PBC_ACCOUNT_LIST[Sign_for_total_cashflow],MATCH($C43,PBC_ACCOUNT_LIST[Id],0))</f>
        <v>0</v>
      </c>
      <c r="AG43" s="547" cm="1">
        <f t="array" ref="AG43">(SUM(_xlfn._xlws.FILTER(_xlfn._xlws.FILTER(dataGLBSCF,dataGLBSAcctIDs=$C43),(endDatesCF=AG$5)))-SUM(_xlfn._xlws.FILTER(_xlfn._xlws.FILTER(dataGLBSCF,dataGLBSAcctIDs=$C43),(startDatesCF=EDATE(AG$4,-1)))))*INDEX(PBC_ACCOUNT_LIST[Sign_for_total_cashflow],MATCH($C43,PBC_ACCOUNT_LIST[Id],0))</f>
        <v>0</v>
      </c>
      <c r="AH43" s="547" cm="1">
        <f t="array" ref="AH43">(SUM(_xlfn._xlws.FILTER(_xlfn._xlws.FILTER(dataGLBSCF,dataGLBSAcctIDs=$C43),(endDatesCF=AH$5)))-SUM(_xlfn._xlws.FILTER(_xlfn._xlws.FILTER(dataGLBSCF,dataGLBSAcctIDs=$C43),(startDatesCF=EDATE(AH$4,-1)))))*INDEX(PBC_ACCOUNT_LIST[Sign_for_total_cashflow],MATCH($C43,PBC_ACCOUNT_LIST[Id],0))</f>
        <v>0</v>
      </c>
      <c r="AI43" s="547" cm="1">
        <f t="array" ref="AI43">(SUM(_xlfn._xlws.FILTER(_xlfn._xlws.FILTER(dataGLBSCF,dataGLBSAcctIDs=$C43),(endDatesCF=AI$5)))-SUM(_xlfn._xlws.FILTER(_xlfn._xlws.FILTER(dataGLBSCF,dataGLBSAcctIDs=$C43),(startDatesCF=EDATE(AI$4,-1)))))*INDEX(PBC_ACCOUNT_LIST[Sign_for_total_cashflow],MATCH($C43,PBC_ACCOUNT_LIST[Id],0))</f>
        <v>0</v>
      </c>
      <c r="AJ43" s="547" cm="1">
        <f t="array" ref="AJ43">(SUM(_xlfn._xlws.FILTER(_xlfn._xlws.FILTER(dataGLBSCF,dataGLBSAcctIDs=$C43),(endDatesCF=AJ$5)))-SUM(_xlfn._xlws.FILTER(_xlfn._xlws.FILTER(dataGLBSCF,dataGLBSAcctIDs=$C43),(startDatesCF=EDATE(AJ$4,-1)))))*INDEX(PBC_ACCOUNT_LIST[Sign_for_total_cashflow],MATCH($C43,PBC_ACCOUNT_LIST[Id],0))</f>
        <v>0</v>
      </c>
      <c r="AK43" s="547" cm="1">
        <f t="array" ref="AK43">(SUM(_xlfn._xlws.FILTER(_xlfn._xlws.FILTER(dataGLBSCF,dataGLBSAcctIDs=$C43),(endDatesCF=AK$5)))-SUM(_xlfn._xlws.FILTER(_xlfn._xlws.FILTER(dataGLBSCF,dataGLBSAcctIDs=$C43),(startDatesCF=EDATE(AK$4,-1)))))*INDEX(PBC_ACCOUNT_LIST[Sign_for_total_cashflow],MATCH($C43,PBC_ACCOUNT_LIST[Id],0))</f>
        <v>0</v>
      </c>
      <c r="AL43" s="547" cm="1">
        <f t="array" ref="AL43">(SUM(_xlfn._xlws.FILTER(_xlfn._xlws.FILTER(dataGLBSCF,dataGLBSAcctIDs=$C43),(endDatesCF=AL$5)))-SUM(_xlfn._xlws.FILTER(_xlfn._xlws.FILTER(dataGLBSCF,dataGLBSAcctIDs=$C43),(startDatesCF=EDATE(AL$4,-1)))))*INDEX(PBC_ACCOUNT_LIST[Sign_for_total_cashflow],MATCH($C43,PBC_ACCOUNT_LIST[Id],0))</f>
        <v>1000000</v>
      </c>
      <c r="AM43" s="547" cm="1">
        <f t="array" ref="AM43">(SUM(_xlfn._xlws.FILTER(_xlfn._xlws.FILTER(dataGLBSCF,dataGLBSAcctIDs=$C43),(endDatesCF=AM$5)))-SUM(_xlfn._xlws.FILTER(_xlfn._xlws.FILTER(dataGLBSCF,dataGLBSAcctIDs=$C43),(startDatesCF=EDATE(AM$4,-1)))))*INDEX(PBC_ACCOUNT_LIST[Sign_for_total_cashflow],MATCH($C43,PBC_ACCOUNT_LIST[Id],0))</f>
        <v>0</v>
      </c>
      <c r="AN43" s="547" cm="1">
        <f t="array" ref="AN43">(SUM(_xlfn._xlws.FILTER(_xlfn._xlws.FILTER(dataGLBSCF,dataGLBSAcctIDs=$C43),(endDatesCF=AN$5)))-SUM(_xlfn._xlws.FILTER(_xlfn._xlws.FILTER(dataGLBSCF,dataGLBSAcctIDs=$C43),(startDatesCF=EDATE(AN$4,-1)))))*INDEX(PBC_ACCOUNT_LIST[Sign_for_total_cashflow],MATCH($C43,PBC_ACCOUNT_LIST[Id],0))</f>
        <v>0</v>
      </c>
      <c r="AO43" s="547" cm="1">
        <f t="array" ref="AO43">(SUM(_xlfn._xlws.FILTER(_xlfn._xlws.FILTER(dataGLBSCF,dataGLBSAcctIDs=$C43),(endDatesCF=AO$5)))-SUM(_xlfn._xlws.FILTER(_xlfn._xlws.FILTER(dataGLBSCF,dataGLBSAcctIDs=$C43),(startDatesCF=EDATE(AO$4,-1)))))*INDEX(PBC_ACCOUNT_LIST[Sign_for_total_cashflow],MATCH($C43,PBC_ACCOUNT_LIST[Id],0))</f>
        <v>0</v>
      </c>
      <c r="AP43" s="547" cm="1">
        <f t="array" ref="AP43">(SUM(_xlfn._xlws.FILTER(_xlfn._xlws.FILTER(dataGLBSCF,dataGLBSAcctIDs=$C43),(endDatesCF=AP$5)))-SUM(_xlfn._xlws.FILTER(_xlfn._xlws.FILTER(dataGLBSCF,dataGLBSAcctIDs=$C43),(startDatesCF=EDATE(AP$4,-1)))))*INDEX(PBC_ACCOUNT_LIST[Sign_for_total_cashflow],MATCH($C43,PBC_ACCOUNT_LIST[Id],0))</f>
        <v>0</v>
      </c>
      <c r="AQ43" s="547" cm="1">
        <f t="array" ref="AQ43">(SUM(_xlfn._xlws.FILTER(_xlfn._xlws.FILTER(dataGLBSCF,dataGLBSAcctIDs=$C43),(endDatesCF=AQ$5)))-SUM(_xlfn._xlws.FILTER(_xlfn._xlws.FILTER(dataGLBSCF,dataGLBSAcctIDs=$C43),(startDatesCF=EDATE(AQ$4,-1)))))*INDEX(PBC_ACCOUNT_LIST[Sign_for_total_cashflow],MATCH($C43,PBC_ACCOUNT_LIST[Id],0))</f>
        <v>0</v>
      </c>
      <c r="AR43" s="547" cm="1">
        <f t="array" ref="AR43">(SUM(_xlfn._xlws.FILTER(_xlfn._xlws.FILTER(dataGLBSCF,dataGLBSAcctIDs=$C43),(endDatesCF=AR$5)))-SUM(_xlfn._xlws.FILTER(_xlfn._xlws.FILTER(dataGLBSCF,dataGLBSAcctIDs=$C43),(startDatesCF=EDATE(AR$4,-1)))))*INDEX(PBC_ACCOUNT_LIST[Sign_for_total_cashflow],MATCH($C43,PBC_ACCOUNT_LIST[Id],0))</f>
        <v>0</v>
      </c>
      <c r="AS43" s="547" cm="1">
        <f t="array" ref="AS43">(SUM(_xlfn._xlws.FILTER(_xlfn._xlws.FILTER(dataGLBSCF,dataGLBSAcctIDs=$C43),(endDatesCF=AS$5)))-SUM(_xlfn._xlws.FILTER(_xlfn._xlws.FILTER(dataGLBSCF,dataGLBSAcctIDs=$C43),(startDatesCF=EDATE(AS$4,-1)))))*INDEX(PBC_ACCOUNT_LIST[Sign_for_total_cashflow],MATCH($C43,PBC_ACCOUNT_LIST[Id],0))</f>
        <v>0</v>
      </c>
      <c r="AT43" s="547" cm="1">
        <f t="array" ref="AT43">(SUM(_xlfn._xlws.FILTER(_xlfn._xlws.FILTER(dataGLBSCF,dataGLBSAcctIDs=$C43),(endDatesCF=AT$5)))-SUM(_xlfn._xlws.FILTER(_xlfn._xlws.FILTER(dataGLBSCF,dataGLBSAcctIDs=$C43),(startDatesCF=EDATE(AT$4,-1)))))*INDEX(PBC_ACCOUNT_LIST[Sign_for_total_cashflow],MATCH($C43,PBC_ACCOUNT_LIST[Id],0))</f>
        <v>0</v>
      </c>
      <c r="AU43" s="547" cm="1">
        <f t="array" ref="AU43">(SUM(_xlfn._xlws.FILTER(_xlfn._xlws.FILTER(dataGLBSCF,dataGLBSAcctIDs=$C43),(endDatesCF=AU$5)))-SUM(_xlfn._xlws.FILTER(_xlfn._xlws.FILTER(dataGLBSCF,dataGLBSAcctIDs=$C43),(startDatesCF=EDATE(AU$4,-1)))))*INDEX(PBC_ACCOUNT_LIST[Sign_for_total_cashflow],MATCH($C43,PBC_ACCOUNT_LIST[Id],0))</f>
        <v>0</v>
      </c>
      <c r="AV43" s="547" cm="1">
        <f t="array" ref="AV43">(SUM(_xlfn._xlws.FILTER(_xlfn._xlws.FILTER(dataGLBSCF,dataGLBSAcctIDs=$C43),(endDatesCF=AV$5)))-SUM(_xlfn._xlws.FILTER(_xlfn._xlws.FILTER(dataGLBSCF,dataGLBSAcctIDs=$C43),(startDatesCF=EDATE(AV$4,-1)))))*INDEX(PBC_ACCOUNT_LIST[Sign_for_total_cashflow],MATCH($C43,PBC_ACCOUNT_LIST[Id],0))</f>
        <v>0</v>
      </c>
      <c r="AW43" s="547" cm="1">
        <f t="array" ref="AW43">(SUM(_xlfn._xlws.FILTER(_xlfn._xlws.FILTER(dataGLBSCF,dataGLBSAcctIDs=$C43),(endDatesCF=AW$5)))-SUM(_xlfn._xlws.FILTER(_xlfn._xlws.FILTER(dataGLBSCF,dataGLBSAcctIDs=$C43),(startDatesCF=EDATE(AW$4,-1)))))*INDEX(PBC_ACCOUNT_LIST[Sign_for_total_cashflow],MATCH($C43,PBC_ACCOUNT_LIST[Id],0))</f>
        <v>0</v>
      </c>
      <c r="AX43" s="547" cm="1">
        <f t="array" ref="AX43">(SUM(_xlfn._xlws.FILTER(_xlfn._xlws.FILTER(dataGLBSCF,dataGLBSAcctIDs=$C43),(endDatesCF=AX$5)))-SUM(_xlfn._xlws.FILTER(_xlfn._xlws.FILTER(dataGLBSCF,dataGLBSAcctIDs=$C43),(startDatesCF=EDATE(AX$4,-1)))))*INDEX(PBC_ACCOUNT_LIST[Sign_for_total_cashflow],MATCH($C43,PBC_ACCOUNT_LIST[Id],0))</f>
        <v>0</v>
      </c>
      <c r="AY43" s="547" cm="1">
        <f t="array" ref="AY43">(SUM(_xlfn._xlws.FILTER(_xlfn._xlws.FILTER(dataGLBSCF,dataGLBSAcctIDs=$C43),(endDatesCF=AY$5)))-SUM(_xlfn._xlws.FILTER(_xlfn._xlws.FILTER(dataGLBSCF,dataGLBSAcctIDs=$C43),(startDatesCF=EDATE(AY$4,-1)))))*INDEX(PBC_ACCOUNT_LIST[Sign_for_total_cashflow],MATCH($C43,PBC_ACCOUNT_LIST[Id],0))</f>
        <v>0</v>
      </c>
      <c r="AZ43" s="547" cm="1">
        <f t="array" ref="AZ43">(SUM(_xlfn._xlws.FILTER(_xlfn._xlws.FILTER(dataGLBSCF,dataGLBSAcctIDs=$C43),(endDatesCF=AZ$5)))-SUM(_xlfn._xlws.FILTER(_xlfn._xlws.FILTER(dataGLBSCF,dataGLBSAcctIDs=$C43),(startDatesCF=EDATE(AZ$4,-1)))))*INDEX(PBC_ACCOUNT_LIST[Sign_for_total_cashflow],MATCH($C43,PBC_ACCOUNT_LIST[Id],0))</f>
        <v>0</v>
      </c>
      <c r="BA43" s="547" cm="1">
        <f t="array" ref="BA43">(SUM(_xlfn._xlws.FILTER(_xlfn._xlws.FILTER(dataGLBSCF,dataGLBSAcctIDs=$C43),(endDatesCF=BA$5)))-SUM(_xlfn._xlws.FILTER(_xlfn._xlws.FILTER(dataGLBSCF,dataGLBSAcctIDs=$C43),(startDatesCF=EDATE(BA$4,-1)))))*INDEX(PBC_ACCOUNT_LIST[Sign_for_total_cashflow],MATCH($C43,PBC_ACCOUNT_LIST[Id],0))</f>
        <v>0</v>
      </c>
      <c r="BB43" s="547" cm="1">
        <f t="array" ref="BB43">(SUM(_xlfn._xlws.FILTER(_xlfn._xlws.FILTER(dataGLBSCF,dataGLBSAcctIDs=$C43),(endDatesCF=BB$5)))-SUM(_xlfn._xlws.FILTER(_xlfn._xlws.FILTER(dataGLBSCF,dataGLBSAcctIDs=$C43),(startDatesCF=EDATE(BB$4,-1)))))*INDEX(PBC_ACCOUNT_LIST[Sign_for_total_cashflow],MATCH($C43,PBC_ACCOUNT_LIST[Id],0))</f>
        <v>0</v>
      </c>
      <c r="BC43" s="547" cm="1">
        <f t="array" ref="BC43">(SUM(_xlfn._xlws.FILTER(_xlfn._xlws.FILTER(dataGLBSCF,dataGLBSAcctIDs=$C43),(endDatesCF=BC$5)))-SUM(_xlfn._xlws.FILTER(_xlfn._xlws.FILTER(dataGLBSCF,dataGLBSAcctIDs=$C43),(startDatesCF=EDATE(BC$4,-1)))))*INDEX(PBC_ACCOUNT_LIST[Sign_for_total_cashflow],MATCH($C43,PBC_ACCOUNT_LIST[Id],0))</f>
        <v>0</v>
      </c>
      <c r="BD43" s="547" cm="1">
        <f t="array" ref="BD43">(SUM(_xlfn._xlws.FILTER(_xlfn._xlws.FILTER(dataGLBSCF,dataGLBSAcctIDs=$C43),(endDatesCF=BD$5)))-SUM(_xlfn._xlws.FILTER(_xlfn._xlws.FILTER(dataGLBSCF,dataGLBSAcctIDs=$C43),(startDatesCF=EDATE(BD$4,-1)))))*INDEX(PBC_ACCOUNT_LIST[Sign_for_total_cashflow],MATCH($C43,PBC_ACCOUNT_LIST[Id],0))</f>
        <v>0</v>
      </c>
      <c r="BE43" s="547" cm="1">
        <f t="array" ref="BE43">(SUM(_xlfn._xlws.FILTER(_xlfn._xlws.FILTER(dataGLBSCF,dataGLBSAcctIDs=$C43),(endDatesCF=BE$5)))-SUM(_xlfn._xlws.FILTER(_xlfn._xlws.FILTER(dataGLBSCF,dataGLBSAcctIDs=$C43),(startDatesCF=EDATE(BE$4,-1)))))*INDEX(PBC_ACCOUNT_LIST[Sign_for_total_cashflow],MATCH($C43,PBC_ACCOUNT_LIST[Id],0))</f>
        <v>0</v>
      </c>
      <c r="BF43" s="547" cm="1">
        <f t="array" ref="BF43">(SUM(_xlfn._xlws.FILTER(_xlfn._xlws.FILTER(dataGLBSCF,dataGLBSAcctIDs=$C43),(endDatesCF=BF$5)))-SUM(_xlfn._xlws.FILTER(_xlfn._xlws.FILTER(dataGLBSCF,dataGLBSAcctIDs=$C43),(startDatesCF=EDATE(BF$4,-1)))))*INDEX(PBC_ACCOUNT_LIST[Sign_for_total_cashflow],MATCH($C43,PBC_ACCOUNT_LIST[Id],0))</f>
        <v>0</v>
      </c>
      <c r="BG43" s="547" cm="1">
        <f t="array" ref="BG43">(SUM(_xlfn._xlws.FILTER(_xlfn._xlws.FILTER(dataGLBSCF,dataGLBSAcctIDs=$C43),(endDatesCF=BG$5)))-SUM(_xlfn._xlws.FILTER(_xlfn._xlws.FILTER(dataGLBSCF,dataGLBSAcctIDs=$C43),(startDatesCF=EDATE(BG$4,-1)))))*INDEX(PBC_ACCOUNT_LIST[Sign_for_total_cashflow],MATCH($C43,PBC_ACCOUNT_LIST[Id],0))</f>
        <v>0</v>
      </c>
      <c r="BH43" s="547" cm="1">
        <f t="array" ref="BH43">(SUM(_xlfn._xlws.FILTER(_xlfn._xlws.FILTER(dataGLBSCF,dataGLBSAcctIDs=$C43),(endDatesCF=BH$5)))-SUM(_xlfn._xlws.FILTER(_xlfn._xlws.FILTER(dataGLBSCF,dataGLBSAcctIDs=$C43),(startDatesCF=EDATE(BH$4,-1)))))*INDEX(PBC_ACCOUNT_LIST[Sign_for_total_cashflow],MATCH($C43,PBC_ACCOUNT_LIST[Id],0))</f>
        <v>0</v>
      </c>
      <c r="BI43" s="547" cm="1">
        <f t="array" ref="BI43">(SUM(_xlfn._xlws.FILTER(_xlfn._xlws.FILTER(dataGLBSCF,dataGLBSAcctIDs=$C43),(endDatesCF=BI$5)))-SUM(_xlfn._xlws.FILTER(_xlfn._xlws.FILTER(dataGLBSCF,dataGLBSAcctIDs=$C43),(startDatesCF=EDATE(BI$4,-1)))))*INDEX(PBC_ACCOUNT_LIST[Sign_for_total_cashflow],MATCH($C43,PBC_ACCOUNT_LIST[Id],0))</f>
        <v>0</v>
      </c>
      <c r="BJ43" s="547" cm="1">
        <f t="array" ref="BJ43">(SUM(_xlfn._xlws.FILTER(_xlfn._xlws.FILTER(dataGLBSCF,dataGLBSAcctIDs=$C43),(endDatesCF=BJ$5)))-SUM(_xlfn._xlws.FILTER(_xlfn._xlws.FILTER(dataGLBSCF,dataGLBSAcctIDs=$C43),(startDatesCF=EDATE(BJ$4,-1)))))*INDEX(PBC_ACCOUNT_LIST[Sign_for_total_cashflow],MATCH($C43,PBC_ACCOUNT_LIST[Id],0))</f>
        <v>0</v>
      </c>
      <c r="BK43" s="547" cm="1">
        <f t="array" ref="BK43">(SUM(_xlfn._xlws.FILTER(_xlfn._xlws.FILTER(dataGLBSCF,dataGLBSAcctIDs=$C43),(endDatesCF=BK$5)))-SUM(_xlfn._xlws.FILTER(_xlfn._xlws.FILTER(dataGLBSCF,dataGLBSAcctIDs=$C43),(startDatesCF=EDATE(BK$4,-1)))))*INDEX(PBC_ACCOUNT_LIST[Sign_for_total_cashflow],MATCH($C43,PBC_ACCOUNT_LIST[Id],0))</f>
        <v>0</v>
      </c>
      <c r="BL43" s="547" cm="1">
        <f t="array" ref="BL43">(SUM(_xlfn._xlws.FILTER(_xlfn._xlws.FILTER(dataGLBSCF,dataGLBSAcctIDs=$C43),(endDatesCF=BL$5)))-SUM(_xlfn._xlws.FILTER(_xlfn._xlws.FILTER(dataGLBSCF,dataGLBSAcctIDs=$C43),(startDatesCF=EDATE(BL$4,-1)))))*INDEX(PBC_ACCOUNT_LIST[Sign_for_total_cashflow],MATCH($C43,PBC_ACCOUNT_LIST[Id],0))</f>
        <v>0</v>
      </c>
      <c r="BM43" s="547" cm="1">
        <f t="array" ref="BM43">(SUM(_xlfn._xlws.FILTER(_xlfn._xlws.FILTER(dataGLBSCF,dataGLBSAcctIDs=$C43),(endDatesCF=BM$5)))-SUM(_xlfn._xlws.FILTER(_xlfn._xlws.FILTER(dataGLBSCF,dataGLBSAcctIDs=$C43),(startDatesCF=EDATE(BM$4,-1)))))*INDEX(PBC_ACCOUNT_LIST[Sign_for_total_cashflow],MATCH($C43,PBC_ACCOUNT_LIST[Id],0))</f>
        <v>0</v>
      </c>
      <c r="BN43" s="547" cm="1">
        <f t="array" ref="BN43">(SUM(_xlfn._xlws.FILTER(_xlfn._xlws.FILTER(dataGLBSCF,dataGLBSAcctIDs=$C43),(endDatesCF=BN$5)))-SUM(_xlfn._xlws.FILTER(_xlfn._xlws.FILTER(dataGLBSCF,dataGLBSAcctIDs=$C43),(startDatesCF=EDATE(BN$4,-1)))))*INDEX(PBC_ACCOUNT_LIST[Sign_for_total_cashflow],MATCH($C43,PBC_ACCOUNT_LIST[Id],0))</f>
        <v>0</v>
      </c>
      <c r="BO43" s="547" cm="1">
        <f t="array" ref="BO43">(SUM(_xlfn._xlws.FILTER(_xlfn._xlws.FILTER(dataGLBSCF,dataGLBSAcctIDs=$C43),(endDatesCF=BO$5)))-SUM(_xlfn._xlws.FILTER(_xlfn._xlws.FILTER(dataGLBSCF,dataGLBSAcctIDs=$C43),(startDatesCF=EDATE(BO$4,-1)))))*INDEX(PBC_ACCOUNT_LIST[Sign_for_total_cashflow],MATCH($C43,PBC_ACCOUNT_LIST[Id],0))</f>
        <v>0</v>
      </c>
      <c r="BP43" s="547" cm="1">
        <f t="array" ref="BP43">(SUM(_xlfn._xlws.FILTER(_xlfn._xlws.FILTER(dataGLBSCF,dataGLBSAcctIDs=$C43),(endDatesCF=BP$5)))-SUM(_xlfn._xlws.FILTER(_xlfn._xlws.FILTER(dataGLBSCF,dataGLBSAcctIDs=$C43),(startDatesCF=EDATE(BP$4,-1)))))*INDEX(PBC_ACCOUNT_LIST[Sign_for_total_cashflow],MATCH($C43,PBC_ACCOUNT_LIST[Id],0))</f>
        <v>0</v>
      </c>
      <c r="BQ43" s="547" cm="1">
        <f t="array" ref="BQ43">(SUM(_xlfn._xlws.FILTER(_xlfn._xlws.FILTER(dataGLBSCF,dataGLBSAcctIDs=$C43),(endDatesCF=BQ$5)))-SUM(_xlfn._xlws.FILTER(_xlfn._xlws.FILTER(dataGLBSCF,dataGLBSAcctIDs=$C43),(startDatesCF=EDATE(BQ$4,-1)))))*INDEX(PBC_ACCOUNT_LIST[Sign_for_total_cashflow],MATCH($C43,PBC_ACCOUNT_LIST[Id],0))</f>
        <v>0</v>
      </c>
      <c r="BR43" s="547" cm="1">
        <f t="array" ref="BR43">(SUM(_xlfn._xlws.FILTER(_xlfn._xlws.FILTER(dataGLBSCF,dataGLBSAcctIDs=$C43),(endDatesCF=BR$5)))-SUM(_xlfn._xlws.FILTER(_xlfn._xlws.FILTER(dataGLBSCF,dataGLBSAcctIDs=$C43),(startDatesCF=EDATE(BR$4,-1)))))*INDEX(PBC_ACCOUNT_LIST[Sign_for_total_cashflow],MATCH($C43,PBC_ACCOUNT_LIST[Id],0))</f>
        <v>0</v>
      </c>
      <c r="BS43" s="547" cm="1">
        <f t="array" ref="BS43">(SUM(_xlfn._xlws.FILTER(_xlfn._xlws.FILTER(dataGLBSCF,dataGLBSAcctIDs=$C43),(endDatesCF=BS$5)))-SUM(_xlfn._xlws.FILTER(_xlfn._xlws.FILTER(dataGLBSCF,dataGLBSAcctIDs=$C43),(startDatesCF=EDATE(BS$4,-1)))))*INDEX(PBC_ACCOUNT_LIST[Sign_for_total_cashflow],MATCH($C43,PBC_ACCOUNT_LIST[Id],0))</f>
        <v>0</v>
      </c>
      <c r="BT43" s="547" cm="1">
        <f t="array" ref="BT43">(SUM(_xlfn._xlws.FILTER(_xlfn._xlws.FILTER(dataGLBSCF,dataGLBSAcctIDs=$C43),(endDatesCF=BT$5)))-SUM(_xlfn._xlws.FILTER(_xlfn._xlws.FILTER(dataGLBSCF,dataGLBSAcctIDs=$C43),(startDatesCF=EDATE(BT$4,-1)))))*INDEX(PBC_ACCOUNT_LIST[Sign_for_total_cashflow],MATCH($C43,PBC_ACCOUNT_LIST[Id],0))</f>
        <v>0</v>
      </c>
      <c r="BU43" s="547" cm="1">
        <f t="array" ref="BU43">(SUM(_xlfn._xlws.FILTER(_xlfn._xlws.FILTER(dataGLBSCF,dataGLBSAcctIDs=$C43),(endDatesCF=BU$5)))-SUM(_xlfn._xlws.FILTER(_xlfn._xlws.FILTER(dataGLBSCF,dataGLBSAcctIDs=$C43),(startDatesCF=EDATE(BU$4,-1)))))*INDEX(PBC_ACCOUNT_LIST[Sign_for_total_cashflow],MATCH($C43,PBC_ACCOUNT_LIST[Id],0))</f>
        <v>0</v>
      </c>
      <c r="BV43" s="547" cm="1">
        <f t="array" ref="BV43">(SUM(_xlfn._xlws.FILTER(_xlfn._xlws.FILTER(dataGLBSCF,dataGLBSAcctIDs=$C43),(endDatesCF=BV$5)))-SUM(_xlfn._xlws.FILTER(_xlfn._xlws.FILTER(dataGLBSCF,dataGLBSAcctIDs=$C43),(startDatesCF=EDATE(BV$4,-1)))))*INDEX(PBC_ACCOUNT_LIST[Sign_for_total_cashflow],MATCH($C43,PBC_ACCOUNT_LIST[Id],0))</f>
        <v>0</v>
      </c>
      <c r="BW43" s="547" cm="1">
        <f t="array" ref="BW43">(SUM(_xlfn._xlws.FILTER(_xlfn._xlws.FILTER(dataGLBSCF,dataGLBSAcctIDs=$C43),(endDatesCF=BW$5)))-SUM(_xlfn._xlws.FILTER(_xlfn._xlws.FILTER(dataGLBSCF,dataGLBSAcctIDs=$C43),(startDatesCF=EDATE(BW$4,-1)))))*INDEX(PBC_ACCOUNT_LIST[Sign_for_total_cashflow],MATCH($C43,PBC_ACCOUNT_LIST[Id],0))</f>
        <v>0</v>
      </c>
      <c r="BX43" s="547" cm="1">
        <f t="array" ref="BX43">(SUM(_xlfn._xlws.FILTER(_xlfn._xlws.FILTER(dataGLBSCF,dataGLBSAcctIDs=$C43),(endDatesCF=BX$5)))-SUM(_xlfn._xlws.FILTER(_xlfn._xlws.FILTER(dataGLBSCF,dataGLBSAcctIDs=$C43),(startDatesCF=EDATE(BX$4,-1)))))*INDEX(PBC_ACCOUNT_LIST[Sign_for_total_cashflow],MATCH($C43,PBC_ACCOUNT_LIST[Id],0))</f>
        <v>0</v>
      </c>
    </row>
    <row r="44" spans="1:76" customFormat="1" ht="21" customHeight="1">
      <c r="B44" s="685" t="s">
        <v>317</v>
      </c>
      <c r="C44">
        <v>163</v>
      </c>
      <c r="E44" s="547" cm="1">
        <f t="array" ref="E44">(SUM(_xlfn._xlws.FILTER(_xlfn._xlws.FILTER(dataGLBSCF,dataGLBSAcctIDs=$C44),(endDatesCF=E$5)))-SUM(_xlfn._xlws.FILTER(_xlfn._xlws.FILTER(dataGLBSCF,dataGLBSAcctIDs=$C44),(startDatesCF=EDATE(E$4,-1)))))*INDEX(PBC_ACCOUNT_LIST[Sign_for_total_cashflow],MATCH($C44,PBC_ACCOUNT_LIST[Id],0))</f>
        <v>30000</v>
      </c>
      <c r="F44" s="547" cm="1">
        <f t="array" ref="F44">(SUM(_xlfn._xlws.FILTER(_xlfn._xlws.FILTER(dataGLBSCF,dataGLBSAcctIDs=$C44),(endDatesCF=F$5)))-SUM(_xlfn._xlws.FILTER(_xlfn._xlws.FILTER(dataGLBSCF,dataGLBSAcctIDs=$C44),(startDatesCF=EDATE(F$4,-1)))))*INDEX(PBC_ACCOUNT_LIST[Sign_for_total_cashflow],MATCH($C44,PBC_ACCOUNT_LIST[Id],0))</f>
        <v>0</v>
      </c>
      <c r="G44" s="547" cm="1">
        <f t="array" ref="G44">(SUM(_xlfn._xlws.FILTER(_xlfn._xlws.FILTER(dataGLBSCF,dataGLBSAcctIDs=$C44),(endDatesCF=G$5)))-SUM(_xlfn._xlws.FILTER(_xlfn._xlws.FILTER(dataGLBSCF,dataGLBSAcctIDs=$C44),(startDatesCF=EDATE(G$4,-1)))))*INDEX(PBC_ACCOUNT_LIST[Sign_for_total_cashflow],MATCH($C44,PBC_ACCOUNT_LIST[Id],0))</f>
        <v>0</v>
      </c>
      <c r="H44" s="547" cm="1">
        <f t="array" ref="H44">(SUM(_xlfn._xlws.FILTER(_xlfn._xlws.FILTER(dataGLBSCF,dataGLBSAcctIDs=$C44),(endDatesCF=H$5)))-SUM(_xlfn._xlws.FILTER(_xlfn._xlws.FILTER(dataGLBSCF,dataGLBSAcctIDs=$C44),(startDatesCF=EDATE(H$4,-1)))))*INDEX(PBC_ACCOUNT_LIST[Sign_for_total_cashflow],MATCH($C44,PBC_ACCOUNT_LIST[Id],0))</f>
        <v>0</v>
      </c>
      <c r="K44" s="547" cm="1">
        <f t="array" ref="K44">(SUM(_xlfn._xlws.FILTER(_xlfn._xlws.FILTER(dataGLBSCF,dataGLBSAcctIDs=$C44),(endDatesCF=K$5)))-SUM(_xlfn._xlws.FILTER(_xlfn._xlws.FILTER(dataGLBSCF,dataGLBSAcctIDs=$C44),(startDatesCF=EDATE(K$4,-1)))))*INDEX(PBC_ACCOUNT_LIST[Sign_for_total_cashflow],MATCH($C44,PBC_ACCOUNT_LIST[Id],0))</f>
        <v>7500</v>
      </c>
      <c r="L44" s="547" cm="1">
        <f t="array" ref="L44">(SUM(_xlfn._xlws.FILTER(_xlfn._xlws.FILTER(dataGLBSCF,dataGLBSAcctIDs=$C44),(endDatesCF=L$5)))-SUM(_xlfn._xlws.FILTER(_xlfn._xlws.FILTER(dataGLBSCF,dataGLBSAcctIDs=$C44),(startDatesCF=EDATE(L$4,-1)))))*INDEX(PBC_ACCOUNT_LIST[Sign_for_total_cashflow],MATCH($C44,PBC_ACCOUNT_LIST[Id],0))</f>
        <v>7500</v>
      </c>
      <c r="M44" s="547" cm="1">
        <f t="array" ref="M44">(SUM(_xlfn._xlws.FILTER(_xlfn._xlws.FILTER(dataGLBSCF,dataGLBSAcctIDs=$C44),(endDatesCF=M$5)))-SUM(_xlfn._xlws.FILTER(_xlfn._xlws.FILTER(dataGLBSCF,dataGLBSAcctIDs=$C44),(startDatesCF=EDATE(M$4,-1)))))*INDEX(PBC_ACCOUNT_LIST[Sign_for_total_cashflow],MATCH($C44,PBC_ACCOUNT_LIST[Id],0))</f>
        <v>7500</v>
      </c>
      <c r="N44" s="547" cm="1">
        <f t="array" ref="N44">(SUM(_xlfn._xlws.FILTER(_xlfn._xlws.FILTER(dataGLBSCF,dataGLBSAcctIDs=$C44),(endDatesCF=N$5)))-SUM(_xlfn._xlws.FILTER(_xlfn._xlws.FILTER(dataGLBSCF,dataGLBSAcctIDs=$C44),(startDatesCF=EDATE(N$4,-1)))))*INDEX(PBC_ACCOUNT_LIST[Sign_for_total_cashflow],MATCH($C44,PBC_ACCOUNT_LIST[Id],0))</f>
        <v>7500</v>
      </c>
      <c r="O44" s="547" cm="1">
        <f t="array" ref="O44">(SUM(_xlfn._xlws.FILTER(_xlfn._xlws.FILTER(dataGLBSCF,dataGLBSAcctIDs=$C44),(endDatesCF=O$5)))-SUM(_xlfn._xlws.FILTER(_xlfn._xlws.FILTER(dataGLBSCF,dataGLBSAcctIDs=$C44),(startDatesCF=EDATE(O$4,-1)))))*INDEX(PBC_ACCOUNT_LIST[Sign_for_total_cashflow],MATCH($C44,PBC_ACCOUNT_LIST[Id],0))</f>
        <v>0</v>
      </c>
      <c r="P44" s="547" cm="1">
        <f t="array" ref="P44">(SUM(_xlfn._xlws.FILTER(_xlfn._xlws.FILTER(dataGLBSCF,dataGLBSAcctIDs=$C44),(endDatesCF=P$5)))-SUM(_xlfn._xlws.FILTER(_xlfn._xlws.FILTER(dataGLBSCF,dataGLBSAcctIDs=$C44),(startDatesCF=EDATE(P$4,-1)))))*INDEX(PBC_ACCOUNT_LIST[Sign_for_total_cashflow],MATCH($C44,PBC_ACCOUNT_LIST[Id],0))</f>
        <v>0</v>
      </c>
      <c r="Q44" s="547" cm="1">
        <f t="array" ref="Q44">(SUM(_xlfn._xlws.FILTER(_xlfn._xlws.FILTER(dataGLBSCF,dataGLBSAcctIDs=$C44),(endDatesCF=Q$5)))-SUM(_xlfn._xlws.FILTER(_xlfn._xlws.FILTER(dataGLBSCF,dataGLBSAcctIDs=$C44),(startDatesCF=EDATE(Q$4,-1)))))*INDEX(PBC_ACCOUNT_LIST[Sign_for_total_cashflow],MATCH($C44,PBC_ACCOUNT_LIST[Id],0))</f>
        <v>0</v>
      </c>
      <c r="R44" s="547" cm="1">
        <f t="array" ref="R44">(SUM(_xlfn._xlws.FILTER(_xlfn._xlws.FILTER(dataGLBSCF,dataGLBSAcctIDs=$C44),(endDatesCF=R$5)))-SUM(_xlfn._xlws.FILTER(_xlfn._xlws.FILTER(dataGLBSCF,dataGLBSAcctIDs=$C44),(startDatesCF=EDATE(R$4,-1)))))*INDEX(PBC_ACCOUNT_LIST[Sign_for_total_cashflow],MATCH($C44,PBC_ACCOUNT_LIST[Id],0))</f>
        <v>0</v>
      </c>
      <c r="S44" s="547" cm="1">
        <f t="array" ref="S44">(SUM(_xlfn._xlws.FILTER(_xlfn._xlws.FILTER(dataGLBSCF,dataGLBSAcctIDs=$C44),(endDatesCF=S$5)))-SUM(_xlfn._xlws.FILTER(_xlfn._xlws.FILTER(dataGLBSCF,dataGLBSAcctIDs=$C44),(startDatesCF=EDATE(S$4,-1)))))*INDEX(PBC_ACCOUNT_LIST[Sign_for_total_cashflow],MATCH($C44,PBC_ACCOUNT_LIST[Id],0))</f>
        <v>0</v>
      </c>
      <c r="T44" s="547" cm="1">
        <f t="array" ref="T44">(SUM(_xlfn._xlws.FILTER(_xlfn._xlws.FILTER(dataGLBSCF,dataGLBSAcctIDs=$C44),(endDatesCF=T$5)))-SUM(_xlfn._xlws.FILTER(_xlfn._xlws.FILTER(dataGLBSCF,dataGLBSAcctIDs=$C44),(startDatesCF=EDATE(T$4,-1)))))*INDEX(PBC_ACCOUNT_LIST[Sign_for_total_cashflow],MATCH($C44,PBC_ACCOUNT_LIST[Id],0))</f>
        <v>0</v>
      </c>
      <c r="U44" s="547" cm="1">
        <f t="array" ref="U44">(SUM(_xlfn._xlws.FILTER(_xlfn._xlws.FILTER(dataGLBSCF,dataGLBSAcctIDs=$C44),(endDatesCF=U$5)))-SUM(_xlfn._xlws.FILTER(_xlfn._xlws.FILTER(dataGLBSCF,dataGLBSAcctIDs=$C44),(startDatesCF=EDATE(U$4,-1)))))*INDEX(PBC_ACCOUNT_LIST[Sign_for_total_cashflow],MATCH($C44,PBC_ACCOUNT_LIST[Id],0))</f>
        <v>0</v>
      </c>
      <c r="V44" s="547" cm="1">
        <f t="array" ref="V44">(SUM(_xlfn._xlws.FILTER(_xlfn._xlws.FILTER(dataGLBSCF,dataGLBSAcctIDs=$C44),(endDatesCF=V$5)))-SUM(_xlfn._xlws.FILTER(_xlfn._xlws.FILTER(dataGLBSCF,dataGLBSAcctIDs=$C44),(startDatesCF=EDATE(V$4,-1)))))*INDEX(PBC_ACCOUNT_LIST[Sign_for_total_cashflow],MATCH($C44,PBC_ACCOUNT_LIST[Id],0))</f>
        <v>0</v>
      </c>
      <c r="W44" s="547" cm="1">
        <f t="array" ref="W44">(SUM(_xlfn._xlws.FILTER(_xlfn._xlws.FILTER(dataGLBSCF,dataGLBSAcctIDs=$C44),(endDatesCF=W$5)))-SUM(_xlfn._xlws.FILTER(_xlfn._xlws.FILTER(dataGLBSCF,dataGLBSAcctIDs=$C44),(startDatesCF=EDATE(W$4,-1)))))*INDEX(PBC_ACCOUNT_LIST[Sign_for_total_cashflow],MATCH($C44,PBC_ACCOUNT_LIST[Id],0))</f>
        <v>0</v>
      </c>
      <c r="X44" s="547" cm="1">
        <f t="array" ref="X44">(SUM(_xlfn._xlws.FILTER(_xlfn._xlws.FILTER(dataGLBSCF,dataGLBSAcctIDs=$C44),(endDatesCF=X$5)))-SUM(_xlfn._xlws.FILTER(_xlfn._xlws.FILTER(dataGLBSCF,dataGLBSAcctIDs=$C44),(startDatesCF=EDATE(X$4,-1)))))*INDEX(PBC_ACCOUNT_LIST[Sign_for_total_cashflow],MATCH($C44,PBC_ACCOUNT_LIST[Id],0))</f>
        <v>0</v>
      </c>
      <c r="Y44" s="547" cm="1">
        <f t="array" ref="Y44">(SUM(_xlfn._xlws.FILTER(_xlfn._xlws.FILTER(dataGLBSCF,dataGLBSAcctIDs=$C44),(endDatesCF=Y$5)))-SUM(_xlfn._xlws.FILTER(_xlfn._xlws.FILTER(dataGLBSCF,dataGLBSAcctIDs=$C44),(startDatesCF=EDATE(Y$4,-1)))))*INDEX(PBC_ACCOUNT_LIST[Sign_for_total_cashflow],MATCH($C44,PBC_ACCOUNT_LIST[Id],0))</f>
        <v>0</v>
      </c>
      <c r="Z44" s="547" cm="1">
        <f t="array" ref="Z44">(SUM(_xlfn._xlws.FILTER(_xlfn._xlws.FILTER(dataGLBSCF,dataGLBSAcctIDs=$C44),(endDatesCF=Z$5)))-SUM(_xlfn._xlws.FILTER(_xlfn._xlws.FILTER(dataGLBSCF,dataGLBSAcctIDs=$C44),(startDatesCF=EDATE(Z$4,-1)))))*INDEX(PBC_ACCOUNT_LIST[Sign_for_total_cashflow],MATCH($C44,PBC_ACCOUNT_LIST[Id],0))</f>
        <v>0</v>
      </c>
      <c r="AC44" s="547" cm="1">
        <f t="array" ref="AC44">(SUM(_xlfn._xlws.FILTER(_xlfn._xlws.FILTER(dataGLBSCF,dataGLBSAcctIDs=$C44),(endDatesCF=AC$5)))-SUM(_xlfn._xlws.FILTER(_xlfn._xlws.FILTER(dataGLBSCF,dataGLBSAcctIDs=$C44),(startDatesCF=EDATE(AC$4,-1)))))*INDEX(PBC_ACCOUNT_LIST[Sign_for_total_cashflow],MATCH($C44,PBC_ACCOUNT_LIST[Id],0))</f>
        <v>2500</v>
      </c>
      <c r="AD44" s="547" cm="1">
        <f t="array" ref="AD44">(SUM(_xlfn._xlws.FILTER(_xlfn._xlws.FILTER(dataGLBSCF,dataGLBSAcctIDs=$C44),(endDatesCF=AD$5)))-SUM(_xlfn._xlws.FILTER(_xlfn._xlws.FILTER(dataGLBSCF,dataGLBSAcctIDs=$C44),(startDatesCF=EDATE(AD$4,-1)))))*INDEX(PBC_ACCOUNT_LIST[Sign_for_total_cashflow],MATCH($C44,PBC_ACCOUNT_LIST[Id],0))</f>
        <v>2500</v>
      </c>
      <c r="AE44" s="547" cm="1">
        <f t="array" ref="AE44">(SUM(_xlfn._xlws.FILTER(_xlfn._xlws.FILTER(dataGLBSCF,dataGLBSAcctIDs=$C44),(endDatesCF=AE$5)))-SUM(_xlfn._xlws.FILTER(_xlfn._xlws.FILTER(dataGLBSCF,dataGLBSAcctIDs=$C44),(startDatesCF=EDATE(AE$4,-1)))))*INDEX(PBC_ACCOUNT_LIST[Sign_for_total_cashflow],MATCH($C44,PBC_ACCOUNT_LIST[Id],0))</f>
        <v>2500</v>
      </c>
      <c r="AF44" s="547" cm="1">
        <f t="array" ref="AF44">(SUM(_xlfn._xlws.FILTER(_xlfn._xlws.FILTER(dataGLBSCF,dataGLBSAcctIDs=$C44),(endDatesCF=AF$5)))-SUM(_xlfn._xlws.FILTER(_xlfn._xlws.FILTER(dataGLBSCF,dataGLBSAcctIDs=$C44),(startDatesCF=EDATE(AF$4,-1)))))*INDEX(PBC_ACCOUNT_LIST[Sign_for_total_cashflow],MATCH($C44,PBC_ACCOUNT_LIST[Id],0))</f>
        <v>2500</v>
      </c>
      <c r="AG44" s="547" cm="1">
        <f t="array" ref="AG44">(SUM(_xlfn._xlws.FILTER(_xlfn._xlws.FILTER(dataGLBSCF,dataGLBSAcctIDs=$C44),(endDatesCF=AG$5)))-SUM(_xlfn._xlws.FILTER(_xlfn._xlws.FILTER(dataGLBSCF,dataGLBSAcctIDs=$C44),(startDatesCF=EDATE(AG$4,-1)))))*INDEX(PBC_ACCOUNT_LIST[Sign_for_total_cashflow],MATCH($C44,PBC_ACCOUNT_LIST[Id],0))</f>
        <v>2500</v>
      </c>
      <c r="AH44" s="547" cm="1">
        <f t="array" ref="AH44">(SUM(_xlfn._xlws.FILTER(_xlfn._xlws.FILTER(dataGLBSCF,dataGLBSAcctIDs=$C44),(endDatesCF=AH$5)))-SUM(_xlfn._xlws.FILTER(_xlfn._xlws.FILTER(dataGLBSCF,dataGLBSAcctIDs=$C44),(startDatesCF=EDATE(AH$4,-1)))))*INDEX(PBC_ACCOUNT_LIST[Sign_for_total_cashflow],MATCH($C44,PBC_ACCOUNT_LIST[Id],0))</f>
        <v>2500</v>
      </c>
      <c r="AI44" s="547" cm="1">
        <f t="array" ref="AI44">(SUM(_xlfn._xlws.FILTER(_xlfn._xlws.FILTER(dataGLBSCF,dataGLBSAcctIDs=$C44),(endDatesCF=AI$5)))-SUM(_xlfn._xlws.FILTER(_xlfn._xlws.FILTER(dataGLBSCF,dataGLBSAcctIDs=$C44),(startDatesCF=EDATE(AI$4,-1)))))*INDEX(PBC_ACCOUNT_LIST[Sign_for_total_cashflow],MATCH($C44,PBC_ACCOUNT_LIST[Id],0))</f>
        <v>2500</v>
      </c>
      <c r="AJ44" s="547" cm="1">
        <f t="array" ref="AJ44">(SUM(_xlfn._xlws.FILTER(_xlfn._xlws.FILTER(dataGLBSCF,dataGLBSAcctIDs=$C44),(endDatesCF=AJ$5)))-SUM(_xlfn._xlws.FILTER(_xlfn._xlws.FILTER(dataGLBSCF,dataGLBSAcctIDs=$C44),(startDatesCF=EDATE(AJ$4,-1)))))*INDEX(PBC_ACCOUNT_LIST[Sign_for_total_cashflow],MATCH($C44,PBC_ACCOUNT_LIST[Id],0))</f>
        <v>2500</v>
      </c>
      <c r="AK44" s="547" cm="1">
        <f t="array" ref="AK44">(SUM(_xlfn._xlws.FILTER(_xlfn._xlws.FILTER(dataGLBSCF,dataGLBSAcctIDs=$C44),(endDatesCF=AK$5)))-SUM(_xlfn._xlws.FILTER(_xlfn._xlws.FILTER(dataGLBSCF,dataGLBSAcctIDs=$C44),(startDatesCF=EDATE(AK$4,-1)))))*INDEX(PBC_ACCOUNT_LIST[Sign_for_total_cashflow],MATCH($C44,PBC_ACCOUNT_LIST[Id],0))</f>
        <v>2500</v>
      </c>
      <c r="AL44" s="547" cm="1">
        <f t="array" ref="AL44">(SUM(_xlfn._xlws.FILTER(_xlfn._xlws.FILTER(dataGLBSCF,dataGLBSAcctIDs=$C44),(endDatesCF=AL$5)))-SUM(_xlfn._xlws.FILTER(_xlfn._xlws.FILTER(dataGLBSCF,dataGLBSAcctIDs=$C44),(startDatesCF=EDATE(AL$4,-1)))))*INDEX(PBC_ACCOUNT_LIST[Sign_for_total_cashflow],MATCH($C44,PBC_ACCOUNT_LIST[Id],0))</f>
        <v>7500</v>
      </c>
      <c r="AM44" s="547" cm="1">
        <f t="array" ref="AM44">(SUM(_xlfn._xlws.FILTER(_xlfn._xlws.FILTER(dataGLBSCF,dataGLBSAcctIDs=$C44),(endDatesCF=AM$5)))-SUM(_xlfn._xlws.FILTER(_xlfn._xlws.FILTER(dataGLBSCF,dataGLBSAcctIDs=$C44),(startDatesCF=EDATE(AM$4,-1)))))*INDEX(PBC_ACCOUNT_LIST[Sign_for_total_cashflow],MATCH($C44,PBC_ACCOUNT_LIST[Id],0))</f>
        <v>0</v>
      </c>
      <c r="AN44" s="547" cm="1">
        <f t="array" ref="AN44">(SUM(_xlfn._xlws.FILTER(_xlfn._xlws.FILTER(dataGLBSCF,dataGLBSAcctIDs=$C44),(endDatesCF=AN$5)))-SUM(_xlfn._xlws.FILTER(_xlfn._xlws.FILTER(dataGLBSCF,dataGLBSAcctIDs=$C44),(startDatesCF=EDATE(AN$4,-1)))))*INDEX(PBC_ACCOUNT_LIST[Sign_for_total_cashflow],MATCH($C44,PBC_ACCOUNT_LIST[Id],0))</f>
        <v>0</v>
      </c>
      <c r="AO44" s="547" cm="1">
        <f t="array" ref="AO44">(SUM(_xlfn._xlws.FILTER(_xlfn._xlws.FILTER(dataGLBSCF,dataGLBSAcctIDs=$C44),(endDatesCF=AO$5)))-SUM(_xlfn._xlws.FILTER(_xlfn._xlws.FILTER(dataGLBSCF,dataGLBSAcctIDs=$C44),(startDatesCF=EDATE(AO$4,-1)))))*INDEX(PBC_ACCOUNT_LIST[Sign_for_total_cashflow],MATCH($C44,PBC_ACCOUNT_LIST[Id],0))</f>
        <v>0</v>
      </c>
      <c r="AP44" s="547" cm="1">
        <f t="array" ref="AP44">(SUM(_xlfn._xlws.FILTER(_xlfn._xlws.FILTER(dataGLBSCF,dataGLBSAcctIDs=$C44),(endDatesCF=AP$5)))-SUM(_xlfn._xlws.FILTER(_xlfn._xlws.FILTER(dataGLBSCF,dataGLBSAcctIDs=$C44),(startDatesCF=EDATE(AP$4,-1)))))*INDEX(PBC_ACCOUNT_LIST[Sign_for_total_cashflow],MATCH($C44,PBC_ACCOUNT_LIST[Id],0))</f>
        <v>0</v>
      </c>
      <c r="AQ44" s="547" cm="1">
        <f t="array" ref="AQ44">(SUM(_xlfn._xlws.FILTER(_xlfn._xlws.FILTER(dataGLBSCF,dataGLBSAcctIDs=$C44),(endDatesCF=AQ$5)))-SUM(_xlfn._xlws.FILTER(_xlfn._xlws.FILTER(dataGLBSCF,dataGLBSAcctIDs=$C44),(startDatesCF=EDATE(AQ$4,-1)))))*INDEX(PBC_ACCOUNT_LIST[Sign_for_total_cashflow],MATCH($C44,PBC_ACCOUNT_LIST[Id],0))</f>
        <v>0</v>
      </c>
      <c r="AR44" s="547" cm="1">
        <f t="array" ref="AR44">(SUM(_xlfn._xlws.FILTER(_xlfn._xlws.FILTER(dataGLBSCF,dataGLBSAcctIDs=$C44),(endDatesCF=AR$5)))-SUM(_xlfn._xlws.FILTER(_xlfn._xlws.FILTER(dataGLBSCF,dataGLBSAcctIDs=$C44),(startDatesCF=EDATE(AR$4,-1)))))*INDEX(PBC_ACCOUNT_LIST[Sign_for_total_cashflow],MATCH($C44,PBC_ACCOUNT_LIST[Id],0))</f>
        <v>0</v>
      </c>
      <c r="AS44" s="547" cm="1">
        <f t="array" ref="AS44">(SUM(_xlfn._xlws.FILTER(_xlfn._xlws.FILTER(dataGLBSCF,dataGLBSAcctIDs=$C44),(endDatesCF=AS$5)))-SUM(_xlfn._xlws.FILTER(_xlfn._xlws.FILTER(dataGLBSCF,dataGLBSAcctIDs=$C44),(startDatesCF=EDATE(AS$4,-1)))))*INDEX(PBC_ACCOUNT_LIST[Sign_for_total_cashflow],MATCH($C44,PBC_ACCOUNT_LIST[Id],0))</f>
        <v>0</v>
      </c>
      <c r="AT44" s="547" cm="1">
        <f t="array" ref="AT44">(SUM(_xlfn._xlws.FILTER(_xlfn._xlws.FILTER(dataGLBSCF,dataGLBSAcctIDs=$C44),(endDatesCF=AT$5)))-SUM(_xlfn._xlws.FILTER(_xlfn._xlws.FILTER(dataGLBSCF,dataGLBSAcctIDs=$C44),(startDatesCF=EDATE(AT$4,-1)))))*INDEX(PBC_ACCOUNT_LIST[Sign_for_total_cashflow],MATCH($C44,PBC_ACCOUNT_LIST[Id],0))</f>
        <v>0</v>
      </c>
      <c r="AU44" s="547" cm="1">
        <f t="array" ref="AU44">(SUM(_xlfn._xlws.FILTER(_xlfn._xlws.FILTER(dataGLBSCF,dataGLBSAcctIDs=$C44),(endDatesCF=AU$5)))-SUM(_xlfn._xlws.FILTER(_xlfn._xlws.FILTER(dataGLBSCF,dataGLBSAcctIDs=$C44),(startDatesCF=EDATE(AU$4,-1)))))*INDEX(PBC_ACCOUNT_LIST[Sign_for_total_cashflow],MATCH($C44,PBC_ACCOUNT_LIST[Id],0))</f>
        <v>0</v>
      </c>
      <c r="AV44" s="547" cm="1">
        <f t="array" ref="AV44">(SUM(_xlfn._xlws.FILTER(_xlfn._xlws.FILTER(dataGLBSCF,dataGLBSAcctIDs=$C44),(endDatesCF=AV$5)))-SUM(_xlfn._xlws.FILTER(_xlfn._xlws.FILTER(dataGLBSCF,dataGLBSAcctIDs=$C44),(startDatesCF=EDATE(AV$4,-1)))))*INDEX(PBC_ACCOUNT_LIST[Sign_for_total_cashflow],MATCH($C44,PBC_ACCOUNT_LIST[Id],0))</f>
        <v>0</v>
      </c>
      <c r="AW44" s="547" cm="1">
        <f t="array" ref="AW44">(SUM(_xlfn._xlws.FILTER(_xlfn._xlws.FILTER(dataGLBSCF,dataGLBSAcctIDs=$C44),(endDatesCF=AW$5)))-SUM(_xlfn._xlws.FILTER(_xlfn._xlws.FILTER(dataGLBSCF,dataGLBSAcctIDs=$C44),(startDatesCF=EDATE(AW$4,-1)))))*INDEX(PBC_ACCOUNT_LIST[Sign_for_total_cashflow],MATCH($C44,PBC_ACCOUNT_LIST[Id],0))</f>
        <v>0</v>
      </c>
      <c r="AX44" s="547" cm="1">
        <f t="array" ref="AX44">(SUM(_xlfn._xlws.FILTER(_xlfn._xlws.FILTER(dataGLBSCF,dataGLBSAcctIDs=$C44),(endDatesCF=AX$5)))-SUM(_xlfn._xlws.FILTER(_xlfn._xlws.FILTER(dataGLBSCF,dataGLBSAcctIDs=$C44),(startDatesCF=EDATE(AX$4,-1)))))*INDEX(PBC_ACCOUNT_LIST[Sign_for_total_cashflow],MATCH($C44,PBC_ACCOUNT_LIST[Id],0))</f>
        <v>0</v>
      </c>
      <c r="AY44" s="547" cm="1">
        <f t="array" ref="AY44">(SUM(_xlfn._xlws.FILTER(_xlfn._xlws.FILTER(dataGLBSCF,dataGLBSAcctIDs=$C44),(endDatesCF=AY$5)))-SUM(_xlfn._xlws.FILTER(_xlfn._xlws.FILTER(dataGLBSCF,dataGLBSAcctIDs=$C44),(startDatesCF=EDATE(AY$4,-1)))))*INDEX(PBC_ACCOUNT_LIST[Sign_for_total_cashflow],MATCH($C44,PBC_ACCOUNT_LIST[Id],0))</f>
        <v>0</v>
      </c>
      <c r="AZ44" s="547" cm="1">
        <f t="array" ref="AZ44">(SUM(_xlfn._xlws.FILTER(_xlfn._xlws.FILTER(dataGLBSCF,dataGLBSAcctIDs=$C44),(endDatesCF=AZ$5)))-SUM(_xlfn._xlws.FILTER(_xlfn._xlws.FILTER(dataGLBSCF,dataGLBSAcctIDs=$C44),(startDatesCF=EDATE(AZ$4,-1)))))*INDEX(PBC_ACCOUNT_LIST[Sign_for_total_cashflow],MATCH($C44,PBC_ACCOUNT_LIST[Id],0))</f>
        <v>0</v>
      </c>
      <c r="BA44" s="547" cm="1">
        <f t="array" ref="BA44">(SUM(_xlfn._xlws.FILTER(_xlfn._xlws.FILTER(dataGLBSCF,dataGLBSAcctIDs=$C44),(endDatesCF=BA$5)))-SUM(_xlfn._xlws.FILTER(_xlfn._xlws.FILTER(dataGLBSCF,dataGLBSAcctIDs=$C44),(startDatesCF=EDATE(BA$4,-1)))))*INDEX(PBC_ACCOUNT_LIST[Sign_for_total_cashflow],MATCH($C44,PBC_ACCOUNT_LIST[Id],0))</f>
        <v>0</v>
      </c>
      <c r="BB44" s="547" cm="1">
        <f t="array" ref="BB44">(SUM(_xlfn._xlws.FILTER(_xlfn._xlws.FILTER(dataGLBSCF,dataGLBSAcctIDs=$C44),(endDatesCF=BB$5)))-SUM(_xlfn._xlws.FILTER(_xlfn._xlws.FILTER(dataGLBSCF,dataGLBSAcctIDs=$C44),(startDatesCF=EDATE(BB$4,-1)))))*INDEX(PBC_ACCOUNT_LIST[Sign_for_total_cashflow],MATCH($C44,PBC_ACCOUNT_LIST[Id],0))</f>
        <v>0</v>
      </c>
      <c r="BC44" s="547" cm="1">
        <f t="array" ref="BC44">(SUM(_xlfn._xlws.FILTER(_xlfn._xlws.FILTER(dataGLBSCF,dataGLBSAcctIDs=$C44),(endDatesCF=BC$5)))-SUM(_xlfn._xlws.FILTER(_xlfn._xlws.FILTER(dataGLBSCF,dataGLBSAcctIDs=$C44),(startDatesCF=EDATE(BC$4,-1)))))*INDEX(PBC_ACCOUNT_LIST[Sign_for_total_cashflow],MATCH($C44,PBC_ACCOUNT_LIST[Id],0))</f>
        <v>0</v>
      </c>
      <c r="BD44" s="547" cm="1">
        <f t="array" ref="BD44">(SUM(_xlfn._xlws.FILTER(_xlfn._xlws.FILTER(dataGLBSCF,dataGLBSAcctIDs=$C44),(endDatesCF=BD$5)))-SUM(_xlfn._xlws.FILTER(_xlfn._xlws.FILTER(dataGLBSCF,dataGLBSAcctIDs=$C44),(startDatesCF=EDATE(BD$4,-1)))))*INDEX(PBC_ACCOUNT_LIST[Sign_for_total_cashflow],MATCH($C44,PBC_ACCOUNT_LIST[Id],0))</f>
        <v>0</v>
      </c>
      <c r="BE44" s="547" cm="1">
        <f t="array" ref="BE44">(SUM(_xlfn._xlws.FILTER(_xlfn._xlws.FILTER(dataGLBSCF,dataGLBSAcctIDs=$C44),(endDatesCF=BE$5)))-SUM(_xlfn._xlws.FILTER(_xlfn._xlws.FILTER(dataGLBSCF,dataGLBSAcctIDs=$C44),(startDatesCF=EDATE(BE$4,-1)))))*INDEX(PBC_ACCOUNT_LIST[Sign_for_total_cashflow],MATCH($C44,PBC_ACCOUNT_LIST[Id],0))</f>
        <v>0</v>
      </c>
      <c r="BF44" s="547" cm="1">
        <f t="array" ref="BF44">(SUM(_xlfn._xlws.FILTER(_xlfn._xlws.FILTER(dataGLBSCF,dataGLBSAcctIDs=$C44),(endDatesCF=BF$5)))-SUM(_xlfn._xlws.FILTER(_xlfn._xlws.FILTER(dataGLBSCF,dataGLBSAcctIDs=$C44),(startDatesCF=EDATE(BF$4,-1)))))*INDEX(PBC_ACCOUNT_LIST[Sign_for_total_cashflow],MATCH($C44,PBC_ACCOUNT_LIST[Id],0))</f>
        <v>0</v>
      </c>
      <c r="BG44" s="547" cm="1">
        <f t="array" ref="BG44">(SUM(_xlfn._xlws.FILTER(_xlfn._xlws.FILTER(dataGLBSCF,dataGLBSAcctIDs=$C44),(endDatesCF=BG$5)))-SUM(_xlfn._xlws.FILTER(_xlfn._xlws.FILTER(dataGLBSCF,dataGLBSAcctIDs=$C44),(startDatesCF=EDATE(BG$4,-1)))))*INDEX(PBC_ACCOUNT_LIST[Sign_for_total_cashflow],MATCH($C44,PBC_ACCOUNT_LIST[Id],0))</f>
        <v>0</v>
      </c>
      <c r="BH44" s="547" cm="1">
        <f t="array" ref="BH44">(SUM(_xlfn._xlws.FILTER(_xlfn._xlws.FILTER(dataGLBSCF,dataGLBSAcctIDs=$C44),(endDatesCF=BH$5)))-SUM(_xlfn._xlws.FILTER(_xlfn._xlws.FILTER(dataGLBSCF,dataGLBSAcctIDs=$C44),(startDatesCF=EDATE(BH$4,-1)))))*INDEX(PBC_ACCOUNT_LIST[Sign_for_total_cashflow],MATCH($C44,PBC_ACCOUNT_LIST[Id],0))</f>
        <v>0</v>
      </c>
      <c r="BI44" s="547" cm="1">
        <f t="array" ref="BI44">(SUM(_xlfn._xlws.FILTER(_xlfn._xlws.FILTER(dataGLBSCF,dataGLBSAcctIDs=$C44),(endDatesCF=BI$5)))-SUM(_xlfn._xlws.FILTER(_xlfn._xlws.FILTER(dataGLBSCF,dataGLBSAcctIDs=$C44),(startDatesCF=EDATE(BI$4,-1)))))*INDEX(PBC_ACCOUNT_LIST[Sign_for_total_cashflow],MATCH($C44,PBC_ACCOUNT_LIST[Id],0))</f>
        <v>0</v>
      </c>
      <c r="BJ44" s="547" cm="1">
        <f t="array" ref="BJ44">(SUM(_xlfn._xlws.FILTER(_xlfn._xlws.FILTER(dataGLBSCF,dataGLBSAcctIDs=$C44),(endDatesCF=BJ$5)))-SUM(_xlfn._xlws.FILTER(_xlfn._xlws.FILTER(dataGLBSCF,dataGLBSAcctIDs=$C44),(startDatesCF=EDATE(BJ$4,-1)))))*INDEX(PBC_ACCOUNT_LIST[Sign_for_total_cashflow],MATCH($C44,PBC_ACCOUNT_LIST[Id],0))</f>
        <v>0</v>
      </c>
      <c r="BK44" s="547" cm="1">
        <f t="array" ref="BK44">(SUM(_xlfn._xlws.FILTER(_xlfn._xlws.FILTER(dataGLBSCF,dataGLBSAcctIDs=$C44),(endDatesCF=BK$5)))-SUM(_xlfn._xlws.FILTER(_xlfn._xlws.FILTER(dataGLBSCF,dataGLBSAcctIDs=$C44),(startDatesCF=EDATE(BK$4,-1)))))*INDEX(PBC_ACCOUNT_LIST[Sign_for_total_cashflow],MATCH($C44,PBC_ACCOUNT_LIST[Id],0))</f>
        <v>0</v>
      </c>
      <c r="BL44" s="547" cm="1">
        <f t="array" ref="BL44">(SUM(_xlfn._xlws.FILTER(_xlfn._xlws.FILTER(dataGLBSCF,dataGLBSAcctIDs=$C44),(endDatesCF=BL$5)))-SUM(_xlfn._xlws.FILTER(_xlfn._xlws.FILTER(dataGLBSCF,dataGLBSAcctIDs=$C44),(startDatesCF=EDATE(BL$4,-1)))))*INDEX(PBC_ACCOUNT_LIST[Sign_for_total_cashflow],MATCH($C44,PBC_ACCOUNT_LIST[Id],0))</f>
        <v>0</v>
      </c>
      <c r="BM44" s="547" cm="1">
        <f t="array" ref="BM44">(SUM(_xlfn._xlws.FILTER(_xlfn._xlws.FILTER(dataGLBSCF,dataGLBSAcctIDs=$C44),(endDatesCF=BM$5)))-SUM(_xlfn._xlws.FILTER(_xlfn._xlws.FILTER(dataGLBSCF,dataGLBSAcctIDs=$C44),(startDatesCF=EDATE(BM$4,-1)))))*INDEX(PBC_ACCOUNT_LIST[Sign_for_total_cashflow],MATCH($C44,PBC_ACCOUNT_LIST[Id],0))</f>
        <v>0</v>
      </c>
      <c r="BN44" s="547" cm="1">
        <f t="array" ref="BN44">(SUM(_xlfn._xlws.FILTER(_xlfn._xlws.FILTER(dataGLBSCF,dataGLBSAcctIDs=$C44),(endDatesCF=BN$5)))-SUM(_xlfn._xlws.FILTER(_xlfn._xlws.FILTER(dataGLBSCF,dataGLBSAcctIDs=$C44),(startDatesCF=EDATE(BN$4,-1)))))*INDEX(PBC_ACCOUNT_LIST[Sign_for_total_cashflow],MATCH($C44,PBC_ACCOUNT_LIST[Id],0))</f>
        <v>0</v>
      </c>
      <c r="BO44" s="547" cm="1">
        <f t="array" ref="BO44">(SUM(_xlfn._xlws.FILTER(_xlfn._xlws.FILTER(dataGLBSCF,dataGLBSAcctIDs=$C44),(endDatesCF=BO$5)))-SUM(_xlfn._xlws.FILTER(_xlfn._xlws.FILTER(dataGLBSCF,dataGLBSAcctIDs=$C44),(startDatesCF=EDATE(BO$4,-1)))))*INDEX(PBC_ACCOUNT_LIST[Sign_for_total_cashflow],MATCH($C44,PBC_ACCOUNT_LIST[Id],0))</f>
        <v>0</v>
      </c>
      <c r="BP44" s="547" cm="1">
        <f t="array" ref="BP44">(SUM(_xlfn._xlws.FILTER(_xlfn._xlws.FILTER(dataGLBSCF,dataGLBSAcctIDs=$C44),(endDatesCF=BP$5)))-SUM(_xlfn._xlws.FILTER(_xlfn._xlws.FILTER(dataGLBSCF,dataGLBSAcctIDs=$C44),(startDatesCF=EDATE(BP$4,-1)))))*INDEX(PBC_ACCOUNT_LIST[Sign_for_total_cashflow],MATCH($C44,PBC_ACCOUNT_LIST[Id],0))</f>
        <v>0</v>
      </c>
      <c r="BQ44" s="547" cm="1">
        <f t="array" ref="BQ44">(SUM(_xlfn._xlws.FILTER(_xlfn._xlws.FILTER(dataGLBSCF,dataGLBSAcctIDs=$C44),(endDatesCF=BQ$5)))-SUM(_xlfn._xlws.FILTER(_xlfn._xlws.FILTER(dataGLBSCF,dataGLBSAcctIDs=$C44),(startDatesCF=EDATE(BQ$4,-1)))))*INDEX(PBC_ACCOUNT_LIST[Sign_for_total_cashflow],MATCH($C44,PBC_ACCOUNT_LIST[Id],0))</f>
        <v>0</v>
      </c>
      <c r="BR44" s="547" cm="1">
        <f t="array" ref="BR44">(SUM(_xlfn._xlws.FILTER(_xlfn._xlws.FILTER(dataGLBSCF,dataGLBSAcctIDs=$C44),(endDatesCF=BR$5)))-SUM(_xlfn._xlws.FILTER(_xlfn._xlws.FILTER(dataGLBSCF,dataGLBSAcctIDs=$C44),(startDatesCF=EDATE(BR$4,-1)))))*INDEX(PBC_ACCOUNT_LIST[Sign_for_total_cashflow],MATCH($C44,PBC_ACCOUNT_LIST[Id],0))</f>
        <v>0</v>
      </c>
      <c r="BS44" s="547" cm="1">
        <f t="array" ref="BS44">(SUM(_xlfn._xlws.FILTER(_xlfn._xlws.FILTER(dataGLBSCF,dataGLBSAcctIDs=$C44),(endDatesCF=BS$5)))-SUM(_xlfn._xlws.FILTER(_xlfn._xlws.FILTER(dataGLBSCF,dataGLBSAcctIDs=$C44),(startDatesCF=EDATE(BS$4,-1)))))*INDEX(PBC_ACCOUNT_LIST[Sign_for_total_cashflow],MATCH($C44,PBC_ACCOUNT_LIST[Id],0))</f>
        <v>0</v>
      </c>
      <c r="BT44" s="547" cm="1">
        <f t="array" ref="BT44">(SUM(_xlfn._xlws.FILTER(_xlfn._xlws.FILTER(dataGLBSCF,dataGLBSAcctIDs=$C44),(endDatesCF=BT$5)))-SUM(_xlfn._xlws.FILTER(_xlfn._xlws.FILTER(dataGLBSCF,dataGLBSAcctIDs=$C44),(startDatesCF=EDATE(BT$4,-1)))))*INDEX(PBC_ACCOUNT_LIST[Sign_for_total_cashflow],MATCH($C44,PBC_ACCOUNT_LIST[Id],0))</f>
        <v>0</v>
      </c>
      <c r="BU44" s="547" cm="1">
        <f t="array" ref="BU44">(SUM(_xlfn._xlws.FILTER(_xlfn._xlws.FILTER(dataGLBSCF,dataGLBSAcctIDs=$C44),(endDatesCF=BU$5)))-SUM(_xlfn._xlws.FILTER(_xlfn._xlws.FILTER(dataGLBSCF,dataGLBSAcctIDs=$C44),(startDatesCF=EDATE(BU$4,-1)))))*INDEX(PBC_ACCOUNT_LIST[Sign_for_total_cashflow],MATCH($C44,PBC_ACCOUNT_LIST[Id],0))</f>
        <v>0</v>
      </c>
      <c r="BV44" s="547" cm="1">
        <f t="array" ref="BV44">(SUM(_xlfn._xlws.FILTER(_xlfn._xlws.FILTER(dataGLBSCF,dataGLBSAcctIDs=$C44),(endDatesCF=BV$5)))-SUM(_xlfn._xlws.FILTER(_xlfn._xlws.FILTER(dataGLBSCF,dataGLBSAcctIDs=$C44),(startDatesCF=EDATE(BV$4,-1)))))*INDEX(PBC_ACCOUNT_LIST[Sign_for_total_cashflow],MATCH($C44,PBC_ACCOUNT_LIST[Id],0))</f>
        <v>0</v>
      </c>
      <c r="BW44" s="547" cm="1">
        <f t="array" ref="BW44">(SUM(_xlfn._xlws.FILTER(_xlfn._xlws.FILTER(dataGLBSCF,dataGLBSAcctIDs=$C44),(endDatesCF=BW$5)))-SUM(_xlfn._xlws.FILTER(_xlfn._xlws.FILTER(dataGLBSCF,dataGLBSAcctIDs=$C44),(startDatesCF=EDATE(BW$4,-1)))))*INDEX(PBC_ACCOUNT_LIST[Sign_for_total_cashflow],MATCH($C44,PBC_ACCOUNT_LIST[Id],0))</f>
        <v>0</v>
      </c>
      <c r="BX44" s="547" cm="1">
        <f t="array" ref="BX44">(SUM(_xlfn._xlws.FILTER(_xlfn._xlws.FILTER(dataGLBSCF,dataGLBSAcctIDs=$C44),(endDatesCF=BX$5)))-SUM(_xlfn._xlws.FILTER(_xlfn._xlws.FILTER(dataGLBSCF,dataGLBSAcctIDs=$C44),(startDatesCF=EDATE(BX$4,-1)))))*INDEX(PBC_ACCOUNT_LIST[Sign_for_total_cashflow],MATCH($C44,PBC_ACCOUNT_LIST[Id],0))</f>
        <v>0</v>
      </c>
    </row>
    <row r="45" spans="1:76" customFormat="1" ht="21" customHeight="1">
      <c r="B45" s="685" t="s">
        <v>323</v>
      </c>
      <c r="C45">
        <v>196</v>
      </c>
      <c r="E45" s="547" cm="1">
        <f t="array" ref="E45">(SUM(_xlfn._xlws.FILTER(_xlfn._xlws.FILTER(dataGLBSCF,dataGLBSAcctIDs=$C45),(endDatesCF=E$5)))-SUM(_xlfn._xlws.FILTER(_xlfn._xlws.FILTER(dataGLBSCF,dataGLBSAcctIDs=$C45),(startDatesCF=EDATE(E$4,-1)))))*INDEX(PBC_ACCOUNT_LIST[Sign_for_total_cashflow],MATCH($C45,PBC_ACCOUNT_LIST[Id],0))</f>
        <v>500000</v>
      </c>
      <c r="F45" s="547" cm="1">
        <f t="array" ref="F45">(SUM(_xlfn._xlws.FILTER(_xlfn._xlws.FILTER(dataGLBSCF,dataGLBSAcctIDs=$C45),(endDatesCF=F$5)))-SUM(_xlfn._xlws.FILTER(_xlfn._xlws.FILTER(dataGLBSCF,dataGLBSAcctIDs=$C45),(startDatesCF=EDATE(F$4,-1)))))*INDEX(PBC_ACCOUNT_LIST[Sign_for_total_cashflow],MATCH($C45,PBC_ACCOUNT_LIST[Id],0))</f>
        <v>0</v>
      </c>
      <c r="G45" s="547" cm="1">
        <f t="array" ref="G45">(SUM(_xlfn._xlws.FILTER(_xlfn._xlws.FILTER(dataGLBSCF,dataGLBSAcctIDs=$C45),(endDatesCF=G$5)))-SUM(_xlfn._xlws.FILTER(_xlfn._xlws.FILTER(dataGLBSCF,dataGLBSAcctIDs=$C45),(startDatesCF=EDATE(G$4,-1)))))*INDEX(PBC_ACCOUNT_LIST[Sign_for_total_cashflow],MATCH($C45,PBC_ACCOUNT_LIST[Id],0))</f>
        <v>0</v>
      </c>
      <c r="H45" s="547" cm="1">
        <f t="array" ref="H45">(SUM(_xlfn._xlws.FILTER(_xlfn._xlws.FILTER(dataGLBSCF,dataGLBSAcctIDs=$C45),(endDatesCF=H$5)))-SUM(_xlfn._xlws.FILTER(_xlfn._xlws.FILTER(dataGLBSCF,dataGLBSAcctIDs=$C45),(startDatesCF=EDATE(H$4,-1)))))*INDEX(PBC_ACCOUNT_LIST[Sign_for_total_cashflow],MATCH($C45,PBC_ACCOUNT_LIST[Id],0))</f>
        <v>0</v>
      </c>
      <c r="K45" s="547" cm="1">
        <f t="array" ref="K45">(SUM(_xlfn._xlws.FILTER(_xlfn._xlws.FILTER(dataGLBSCF,dataGLBSAcctIDs=$C45),(endDatesCF=K$5)))-SUM(_xlfn._xlws.FILTER(_xlfn._xlws.FILTER(dataGLBSCF,dataGLBSAcctIDs=$C45),(startDatesCF=EDATE(K$4,-1)))))*INDEX(PBC_ACCOUNT_LIST[Sign_for_total_cashflow],MATCH($C45,PBC_ACCOUNT_LIST[Id],0))</f>
        <v>500000</v>
      </c>
      <c r="L45" s="547" cm="1">
        <f t="array" ref="L45">(SUM(_xlfn._xlws.FILTER(_xlfn._xlws.FILTER(dataGLBSCF,dataGLBSAcctIDs=$C45),(endDatesCF=L$5)))-SUM(_xlfn._xlws.FILTER(_xlfn._xlws.FILTER(dataGLBSCF,dataGLBSAcctIDs=$C45),(startDatesCF=EDATE(L$4,-1)))))*INDEX(PBC_ACCOUNT_LIST[Sign_for_total_cashflow],MATCH($C45,PBC_ACCOUNT_LIST[Id],0))</f>
        <v>0</v>
      </c>
      <c r="M45" s="547" cm="1">
        <f t="array" ref="M45">(SUM(_xlfn._xlws.FILTER(_xlfn._xlws.FILTER(dataGLBSCF,dataGLBSAcctIDs=$C45),(endDatesCF=M$5)))-SUM(_xlfn._xlws.FILTER(_xlfn._xlws.FILTER(dataGLBSCF,dataGLBSAcctIDs=$C45),(startDatesCF=EDATE(M$4,-1)))))*INDEX(PBC_ACCOUNT_LIST[Sign_for_total_cashflow],MATCH($C45,PBC_ACCOUNT_LIST[Id],0))</f>
        <v>0</v>
      </c>
      <c r="N45" s="547" cm="1">
        <f t="array" ref="N45">(SUM(_xlfn._xlws.FILTER(_xlfn._xlws.FILTER(dataGLBSCF,dataGLBSAcctIDs=$C45),(endDatesCF=N$5)))-SUM(_xlfn._xlws.FILTER(_xlfn._xlws.FILTER(dataGLBSCF,dataGLBSAcctIDs=$C45),(startDatesCF=EDATE(N$4,-1)))))*INDEX(PBC_ACCOUNT_LIST[Sign_for_total_cashflow],MATCH($C45,PBC_ACCOUNT_LIST[Id],0))</f>
        <v>0</v>
      </c>
      <c r="O45" s="547" cm="1">
        <f t="array" ref="O45">(SUM(_xlfn._xlws.FILTER(_xlfn._xlws.FILTER(dataGLBSCF,dataGLBSAcctIDs=$C45),(endDatesCF=O$5)))-SUM(_xlfn._xlws.FILTER(_xlfn._xlws.FILTER(dataGLBSCF,dataGLBSAcctIDs=$C45),(startDatesCF=EDATE(O$4,-1)))))*INDEX(PBC_ACCOUNT_LIST[Sign_for_total_cashflow],MATCH($C45,PBC_ACCOUNT_LIST[Id],0))</f>
        <v>0</v>
      </c>
      <c r="P45" s="547" cm="1">
        <f t="array" ref="P45">(SUM(_xlfn._xlws.FILTER(_xlfn._xlws.FILTER(dataGLBSCF,dataGLBSAcctIDs=$C45),(endDatesCF=P$5)))-SUM(_xlfn._xlws.FILTER(_xlfn._xlws.FILTER(dataGLBSCF,dataGLBSAcctIDs=$C45),(startDatesCF=EDATE(P$4,-1)))))*INDEX(PBC_ACCOUNT_LIST[Sign_for_total_cashflow],MATCH($C45,PBC_ACCOUNT_LIST[Id],0))</f>
        <v>0</v>
      </c>
      <c r="Q45" s="547" cm="1">
        <f t="array" ref="Q45">(SUM(_xlfn._xlws.FILTER(_xlfn._xlws.FILTER(dataGLBSCF,dataGLBSAcctIDs=$C45),(endDatesCF=Q$5)))-SUM(_xlfn._xlws.FILTER(_xlfn._xlws.FILTER(dataGLBSCF,dataGLBSAcctIDs=$C45),(startDatesCF=EDATE(Q$4,-1)))))*INDEX(PBC_ACCOUNT_LIST[Sign_for_total_cashflow],MATCH($C45,PBC_ACCOUNT_LIST[Id],0))</f>
        <v>0</v>
      </c>
      <c r="R45" s="547" cm="1">
        <f t="array" ref="R45">(SUM(_xlfn._xlws.FILTER(_xlfn._xlws.FILTER(dataGLBSCF,dataGLBSAcctIDs=$C45),(endDatesCF=R$5)))-SUM(_xlfn._xlws.FILTER(_xlfn._xlws.FILTER(dataGLBSCF,dataGLBSAcctIDs=$C45),(startDatesCF=EDATE(R$4,-1)))))*INDEX(PBC_ACCOUNT_LIST[Sign_for_total_cashflow],MATCH($C45,PBC_ACCOUNT_LIST[Id],0))</f>
        <v>0</v>
      </c>
      <c r="S45" s="547" cm="1">
        <f t="array" ref="S45">(SUM(_xlfn._xlws.FILTER(_xlfn._xlws.FILTER(dataGLBSCF,dataGLBSAcctIDs=$C45),(endDatesCF=S$5)))-SUM(_xlfn._xlws.FILTER(_xlfn._xlws.FILTER(dataGLBSCF,dataGLBSAcctIDs=$C45),(startDatesCF=EDATE(S$4,-1)))))*INDEX(PBC_ACCOUNT_LIST[Sign_for_total_cashflow],MATCH($C45,PBC_ACCOUNT_LIST[Id],0))</f>
        <v>0</v>
      </c>
      <c r="T45" s="547" cm="1">
        <f t="array" ref="T45">(SUM(_xlfn._xlws.FILTER(_xlfn._xlws.FILTER(dataGLBSCF,dataGLBSAcctIDs=$C45),(endDatesCF=T$5)))-SUM(_xlfn._xlws.FILTER(_xlfn._xlws.FILTER(dataGLBSCF,dataGLBSAcctIDs=$C45),(startDatesCF=EDATE(T$4,-1)))))*INDEX(PBC_ACCOUNT_LIST[Sign_for_total_cashflow],MATCH($C45,PBC_ACCOUNT_LIST[Id],0))</f>
        <v>0</v>
      </c>
      <c r="U45" s="547" cm="1">
        <f t="array" ref="U45">(SUM(_xlfn._xlws.FILTER(_xlfn._xlws.FILTER(dataGLBSCF,dataGLBSAcctIDs=$C45),(endDatesCF=U$5)))-SUM(_xlfn._xlws.FILTER(_xlfn._xlws.FILTER(dataGLBSCF,dataGLBSAcctIDs=$C45),(startDatesCF=EDATE(U$4,-1)))))*INDEX(PBC_ACCOUNT_LIST[Sign_for_total_cashflow],MATCH($C45,PBC_ACCOUNT_LIST[Id],0))</f>
        <v>0</v>
      </c>
      <c r="V45" s="547" cm="1">
        <f t="array" ref="V45">(SUM(_xlfn._xlws.FILTER(_xlfn._xlws.FILTER(dataGLBSCF,dataGLBSAcctIDs=$C45),(endDatesCF=V$5)))-SUM(_xlfn._xlws.FILTER(_xlfn._xlws.FILTER(dataGLBSCF,dataGLBSAcctIDs=$C45),(startDatesCF=EDATE(V$4,-1)))))*INDEX(PBC_ACCOUNT_LIST[Sign_for_total_cashflow],MATCH($C45,PBC_ACCOUNT_LIST[Id],0))</f>
        <v>0</v>
      </c>
      <c r="W45" s="547" cm="1">
        <f t="array" ref="W45">(SUM(_xlfn._xlws.FILTER(_xlfn._xlws.FILTER(dataGLBSCF,dataGLBSAcctIDs=$C45),(endDatesCF=W$5)))-SUM(_xlfn._xlws.FILTER(_xlfn._xlws.FILTER(dataGLBSCF,dataGLBSAcctIDs=$C45),(startDatesCF=EDATE(W$4,-1)))))*INDEX(PBC_ACCOUNT_LIST[Sign_for_total_cashflow],MATCH($C45,PBC_ACCOUNT_LIST[Id],0))</f>
        <v>0</v>
      </c>
      <c r="X45" s="547" cm="1">
        <f t="array" ref="X45">(SUM(_xlfn._xlws.FILTER(_xlfn._xlws.FILTER(dataGLBSCF,dataGLBSAcctIDs=$C45),(endDatesCF=X$5)))-SUM(_xlfn._xlws.FILTER(_xlfn._xlws.FILTER(dataGLBSCF,dataGLBSAcctIDs=$C45),(startDatesCF=EDATE(X$4,-1)))))*INDEX(PBC_ACCOUNT_LIST[Sign_for_total_cashflow],MATCH($C45,PBC_ACCOUNT_LIST[Id],0))</f>
        <v>0</v>
      </c>
      <c r="Y45" s="547" cm="1">
        <f t="array" ref="Y45">(SUM(_xlfn._xlws.FILTER(_xlfn._xlws.FILTER(dataGLBSCF,dataGLBSAcctIDs=$C45),(endDatesCF=Y$5)))-SUM(_xlfn._xlws.FILTER(_xlfn._xlws.FILTER(dataGLBSCF,dataGLBSAcctIDs=$C45),(startDatesCF=EDATE(Y$4,-1)))))*INDEX(PBC_ACCOUNT_LIST[Sign_for_total_cashflow],MATCH($C45,PBC_ACCOUNT_LIST[Id],0))</f>
        <v>0</v>
      </c>
      <c r="Z45" s="547" cm="1">
        <f t="array" ref="Z45">(SUM(_xlfn._xlws.FILTER(_xlfn._xlws.FILTER(dataGLBSCF,dataGLBSAcctIDs=$C45),(endDatesCF=Z$5)))-SUM(_xlfn._xlws.FILTER(_xlfn._xlws.FILTER(dataGLBSCF,dataGLBSAcctIDs=$C45),(startDatesCF=EDATE(Z$4,-1)))))*INDEX(PBC_ACCOUNT_LIST[Sign_for_total_cashflow],MATCH($C45,PBC_ACCOUNT_LIST[Id],0))</f>
        <v>0</v>
      </c>
      <c r="AC45" s="547" cm="1">
        <f t="array" ref="AC45">(SUM(_xlfn._xlws.FILTER(_xlfn._xlws.FILTER(dataGLBSCF,dataGLBSAcctIDs=$C45),(endDatesCF=AC$5)))-SUM(_xlfn._xlws.FILTER(_xlfn._xlws.FILTER(dataGLBSCF,dataGLBSAcctIDs=$C45),(startDatesCF=EDATE(AC$4,-1)))))*INDEX(PBC_ACCOUNT_LIST[Sign_for_total_cashflow],MATCH($C45,PBC_ACCOUNT_LIST[Id],0))</f>
        <v>500000</v>
      </c>
      <c r="AD45" s="547" cm="1">
        <f t="array" ref="AD45">(SUM(_xlfn._xlws.FILTER(_xlfn._xlws.FILTER(dataGLBSCF,dataGLBSAcctIDs=$C45),(endDatesCF=AD$5)))-SUM(_xlfn._xlws.FILTER(_xlfn._xlws.FILTER(dataGLBSCF,dataGLBSAcctIDs=$C45),(startDatesCF=EDATE(AD$4,-1)))))*INDEX(PBC_ACCOUNT_LIST[Sign_for_total_cashflow],MATCH($C45,PBC_ACCOUNT_LIST[Id],0))</f>
        <v>0</v>
      </c>
      <c r="AE45" s="547" cm="1">
        <f t="array" ref="AE45">(SUM(_xlfn._xlws.FILTER(_xlfn._xlws.FILTER(dataGLBSCF,dataGLBSAcctIDs=$C45),(endDatesCF=AE$5)))-SUM(_xlfn._xlws.FILTER(_xlfn._xlws.FILTER(dataGLBSCF,dataGLBSAcctIDs=$C45),(startDatesCF=EDATE(AE$4,-1)))))*INDEX(PBC_ACCOUNT_LIST[Sign_for_total_cashflow],MATCH($C45,PBC_ACCOUNT_LIST[Id],0))</f>
        <v>0</v>
      </c>
      <c r="AF45" s="547" cm="1">
        <f t="array" ref="AF45">(SUM(_xlfn._xlws.FILTER(_xlfn._xlws.FILTER(dataGLBSCF,dataGLBSAcctIDs=$C45),(endDatesCF=AF$5)))-SUM(_xlfn._xlws.FILTER(_xlfn._xlws.FILTER(dataGLBSCF,dataGLBSAcctIDs=$C45),(startDatesCF=EDATE(AF$4,-1)))))*INDEX(PBC_ACCOUNT_LIST[Sign_for_total_cashflow],MATCH($C45,PBC_ACCOUNT_LIST[Id],0))</f>
        <v>0</v>
      </c>
      <c r="AG45" s="547" cm="1">
        <f t="array" ref="AG45">(SUM(_xlfn._xlws.FILTER(_xlfn._xlws.FILTER(dataGLBSCF,dataGLBSAcctIDs=$C45),(endDatesCF=AG$5)))-SUM(_xlfn._xlws.FILTER(_xlfn._xlws.FILTER(dataGLBSCF,dataGLBSAcctIDs=$C45),(startDatesCF=EDATE(AG$4,-1)))))*INDEX(PBC_ACCOUNT_LIST[Sign_for_total_cashflow],MATCH($C45,PBC_ACCOUNT_LIST[Id],0))</f>
        <v>0</v>
      </c>
      <c r="AH45" s="547" cm="1">
        <f t="array" ref="AH45">(SUM(_xlfn._xlws.FILTER(_xlfn._xlws.FILTER(dataGLBSCF,dataGLBSAcctIDs=$C45),(endDatesCF=AH$5)))-SUM(_xlfn._xlws.FILTER(_xlfn._xlws.FILTER(dataGLBSCF,dataGLBSAcctIDs=$C45),(startDatesCF=EDATE(AH$4,-1)))))*INDEX(PBC_ACCOUNT_LIST[Sign_for_total_cashflow],MATCH($C45,PBC_ACCOUNT_LIST[Id],0))</f>
        <v>0</v>
      </c>
      <c r="AI45" s="547" cm="1">
        <f t="array" ref="AI45">(SUM(_xlfn._xlws.FILTER(_xlfn._xlws.FILTER(dataGLBSCF,dataGLBSAcctIDs=$C45),(endDatesCF=AI$5)))-SUM(_xlfn._xlws.FILTER(_xlfn._xlws.FILTER(dataGLBSCF,dataGLBSAcctIDs=$C45),(startDatesCF=EDATE(AI$4,-1)))))*INDEX(PBC_ACCOUNT_LIST[Sign_for_total_cashflow],MATCH($C45,PBC_ACCOUNT_LIST[Id],0))</f>
        <v>0</v>
      </c>
      <c r="AJ45" s="547" cm="1">
        <f t="array" ref="AJ45">(SUM(_xlfn._xlws.FILTER(_xlfn._xlws.FILTER(dataGLBSCF,dataGLBSAcctIDs=$C45),(endDatesCF=AJ$5)))-SUM(_xlfn._xlws.FILTER(_xlfn._xlws.FILTER(dataGLBSCF,dataGLBSAcctIDs=$C45),(startDatesCF=EDATE(AJ$4,-1)))))*INDEX(PBC_ACCOUNT_LIST[Sign_for_total_cashflow],MATCH($C45,PBC_ACCOUNT_LIST[Id],0))</f>
        <v>0</v>
      </c>
      <c r="AK45" s="547" cm="1">
        <f t="array" ref="AK45">(SUM(_xlfn._xlws.FILTER(_xlfn._xlws.FILTER(dataGLBSCF,dataGLBSAcctIDs=$C45),(endDatesCF=AK$5)))-SUM(_xlfn._xlws.FILTER(_xlfn._xlws.FILTER(dataGLBSCF,dataGLBSAcctIDs=$C45),(startDatesCF=EDATE(AK$4,-1)))))*INDEX(PBC_ACCOUNT_LIST[Sign_for_total_cashflow],MATCH($C45,PBC_ACCOUNT_LIST[Id],0))</f>
        <v>0</v>
      </c>
      <c r="AL45" s="547" cm="1">
        <f t="array" ref="AL45">(SUM(_xlfn._xlws.FILTER(_xlfn._xlws.FILTER(dataGLBSCF,dataGLBSAcctIDs=$C45),(endDatesCF=AL$5)))-SUM(_xlfn._xlws.FILTER(_xlfn._xlws.FILTER(dataGLBSCF,dataGLBSAcctIDs=$C45),(startDatesCF=EDATE(AL$4,-1)))))*INDEX(PBC_ACCOUNT_LIST[Sign_for_total_cashflow],MATCH($C45,PBC_ACCOUNT_LIST[Id],0))</f>
        <v>0</v>
      </c>
      <c r="AM45" s="547" cm="1">
        <f t="array" ref="AM45">(SUM(_xlfn._xlws.FILTER(_xlfn._xlws.FILTER(dataGLBSCF,dataGLBSAcctIDs=$C45),(endDatesCF=AM$5)))-SUM(_xlfn._xlws.FILTER(_xlfn._xlws.FILTER(dataGLBSCF,dataGLBSAcctIDs=$C45),(startDatesCF=EDATE(AM$4,-1)))))*INDEX(PBC_ACCOUNT_LIST[Sign_for_total_cashflow],MATCH($C45,PBC_ACCOUNT_LIST[Id],0))</f>
        <v>0</v>
      </c>
      <c r="AN45" s="547" cm="1">
        <f t="array" ref="AN45">(SUM(_xlfn._xlws.FILTER(_xlfn._xlws.FILTER(dataGLBSCF,dataGLBSAcctIDs=$C45),(endDatesCF=AN$5)))-SUM(_xlfn._xlws.FILTER(_xlfn._xlws.FILTER(dataGLBSCF,dataGLBSAcctIDs=$C45),(startDatesCF=EDATE(AN$4,-1)))))*INDEX(PBC_ACCOUNT_LIST[Sign_for_total_cashflow],MATCH($C45,PBC_ACCOUNT_LIST[Id],0))</f>
        <v>0</v>
      </c>
      <c r="AO45" s="547" cm="1">
        <f t="array" ref="AO45">(SUM(_xlfn._xlws.FILTER(_xlfn._xlws.FILTER(dataGLBSCF,dataGLBSAcctIDs=$C45),(endDatesCF=AO$5)))-SUM(_xlfn._xlws.FILTER(_xlfn._xlws.FILTER(dataGLBSCF,dataGLBSAcctIDs=$C45),(startDatesCF=EDATE(AO$4,-1)))))*INDEX(PBC_ACCOUNT_LIST[Sign_for_total_cashflow],MATCH($C45,PBC_ACCOUNT_LIST[Id],0))</f>
        <v>0</v>
      </c>
      <c r="AP45" s="547" cm="1">
        <f t="array" ref="AP45">(SUM(_xlfn._xlws.FILTER(_xlfn._xlws.FILTER(dataGLBSCF,dataGLBSAcctIDs=$C45),(endDatesCF=AP$5)))-SUM(_xlfn._xlws.FILTER(_xlfn._xlws.FILTER(dataGLBSCF,dataGLBSAcctIDs=$C45),(startDatesCF=EDATE(AP$4,-1)))))*INDEX(PBC_ACCOUNT_LIST[Sign_for_total_cashflow],MATCH($C45,PBC_ACCOUNT_LIST[Id],0))</f>
        <v>0</v>
      </c>
      <c r="AQ45" s="547" cm="1">
        <f t="array" ref="AQ45">(SUM(_xlfn._xlws.FILTER(_xlfn._xlws.FILTER(dataGLBSCF,dataGLBSAcctIDs=$C45),(endDatesCF=AQ$5)))-SUM(_xlfn._xlws.FILTER(_xlfn._xlws.FILTER(dataGLBSCF,dataGLBSAcctIDs=$C45),(startDatesCF=EDATE(AQ$4,-1)))))*INDEX(PBC_ACCOUNT_LIST[Sign_for_total_cashflow],MATCH($C45,PBC_ACCOUNT_LIST[Id],0))</f>
        <v>0</v>
      </c>
      <c r="AR45" s="547" cm="1">
        <f t="array" ref="AR45">(SUM(_xlfn._xlws.FILTER(_xlfn._xlws.FILTER(dataGLBSCF,dataGLBSAcctIDs=$C45),(endDatesCF=AR$5)))-SUM(_xlfn._xlws.FILTER(_xlfn._xlws.FILTER(dataGLBSCF,dataGLBSAcctIDs=$C45),(startDatesCF=EDATE(AR$4,-1)))))*INDEX(PBC_ACCOUNT_LIST[Sign_for_total_cashflow],MATCH($C45,PBC_ACCOUNT_LIST[Id],0))</f>
        <v>0</v>
      </c>
      <c r="AS45" s="547" cm="1">
        <f t="array" ref="AS45">(SUM(_xlfn._xlws.FILTER(_xlfn._xlws.FILTER(dataGLBSCF,dataGLBSAcctIDs=$C45),(endDatesCF=AS$5)))-SUM(_xlfn._xlws.FILTER(_xlfn._xlws.FILTER(dataGLBSCF,dataGLBSAcctIDs=$C45),(startDatesCF=EDATE(AS$4,-1)))))*INDEX(PBC_ACCOUNT_LIST[Sign_for_total_cashflow],MATCH($C45,PBC_ACCOUNT_LIST[Id],0))</f>
        <v>0</v>
      </c>
      <c r="AT45" s="547" cm="1">
        <f t="array" ref="AT45">(SUM(_xlfn._xlws.FILTER(_xlfn._xlws.FILTER(dataGLBSCF,dataGLBSAcctIDs=$C45),(endDatesCF=AT$5)))-SUM(_xlfn._xlws.FILTER(_xlfn._xlws.FILTER(dataGLBSCF,dataGLBSAcctIDs=$C45),(startDatesCF=EDATE(AT$4,-1)))))*INDEX(PBC_ACCOUNT_LIST[Sign_for_total_cashflow],MATCH($C45,PBC_ACCOUNT_LIST[Id],0))</f>
        <v>0</v>
      </c>
      <c r="AU45" s="547" cm="1">
        <f t="array" ref="AU45">(SUM(_xlfn._xlws.FILTER(_xlfn._xlws.FILTER(dataGLBSCF,dataGLBSAcctIDs=$C45),(endDatesCF=AU$5)))-SUM(_xlfn._xlws.FILTER(_xlfn._xlws.FILTER(dataGLBSCF,dataGLBSAcctIDs=$C45),(startDatesCF=EDATE(AU$4,-1)))))*INDEX(PBC_ACCOUNT_LIST[Sign_for_total_cashflow],MATCH($C45,PBC_ACCOUNT_LIST[Id],0))</f>
        <v>0</v>
      </c>
      <c r="AV45" s="547" cm="1">
        <f t="array" ref="AV45">(SUM(_xlfn._xlws.FILTER(_xlfn._xlws.FILTER(dataGLBSCF,dataGLBSAcctIDs=$C45),(endDatesCF=AV$5)))-SUM(_xlfn._xlws.FILTER(_xlfn._xlws.FILTER(dataGLBSCF,dataGLBSAcctIDs=$C45),(startDatesCF=EDATE(AV$4,-1)))))*INDEX(PBC_ACCOUNT_LIST[Sign_for_total_cashflow],MATCH($C45,PBC_ACCOUNT_LIST[Id],0))</f>
        <v>0</v>
      </c>
      <c r="AW45" s="547" cm="1">
        <f t="array" ref="AW45">(SUM(_xlfn._xlws.FILTER(_xlfn._xlws.FILTER(dataGLBSCF,dataGLBSAcctIDs=$C45),(endDatesCF=AW$5)))-SUM(_xlfn._xlws.FILTER(_xlfn._xlws.FILTER(dataGLBSCF,dataGLBSAcctIDs=$C45),(startDatesCF=EDATE(AW$4,-1)))))*INDEX(PBC_ACCOUNT_LIST[Sign_for_total_cashflow],MATCH($C45,PBC_ACCOUNT_LIST[Id],0))</f>
        <v>0</v>
      </c>
      <c r="AX45" s="547" cm="1">
        <f t="array" ref="AX45">(SUM(_xlfn._xlws.FILTER(_xlfn._xlws.FILTER(dataGLBSCF,dataGLBSAcctIDs=$C45),(endDatesCF=AX$5)))-SUM(_xlfn._xlws.FILTER(_xlfn._xlws.FILTER(dataGLBSCF,dataGLBSAcctIDs=$C45),(startDatesCF=EDATE(AX$4,-1)))))*INDEX(PBC_ACCOUNT_LIST[Sign_for_total_cashflow],MATCH($C45,PBC_ACCOUNT_LIST[Id],0))</f>
        <v>0</v>
      </c>
      <c r="AY45" s="547" cm="1">
        <f t="array" ref="AY45">(SUM(_xlfn._xlws.FILTER(_xlfn._xlws.FILTER(dataGLBSCF,dataGLBSAcctIDs=$C45),(endDatesCF=AY$5)))-SUM(_xlfn._xlws.FILTER(_xlfn._xlws.FILTER(dataGLBSCF,dataGLBSAcctIDs=$C45),(startDatesCF=EDATE(AY$4,-1)))))*INDEX(PBC_ACCOUNT_LIST[Sign_for_total_cashflow],MATCH($C45,PBC_ACCOUNT_LIST[Id],0))</f>
        <v>0</v>
      </c>
      <c r="AZ45" s="547" cm="1">
        <f t="array" ref="AZ45">(SUM(_xlfn._xlws.FILTER(_xlfn._xlws.FILTER(dataGLBSCF,dataGLBSAcctIDs=$C45),(endDatesCF=AZ$5)))-SUM(_xlfn._xlws.FILTER(_xlfn._xlws.FILTER(dataGLBSCF,dataGLBSAcctIDs=$C45),(startDatesCF=EDATE(AZ$4,-1)))))*INDEX(PBC_ACCOUNT_LIST[Sign_for_total_cashflow],MATCH($C45,PBC_ACCOUNT_LIST[Id],0))</f>
        <v>0</v>
      </c>
      <c r="BA45" s="547" cm="1">
        <f t="array" ref="BA45">(SUM(_xlfn._xlws.FILTER(_xlfn._xlws.FILTER(dataGLBSCF,dataGLBSAcctIDs=$C45),(endDatesCF=BA$5)))-SUM(_xlfn._xlws.FILTER(_xlfn._xlws.FILTER(dataGLBSCF,dataGLBSAcctIDs=$C45),(startDatesCF=EDATE(BA$4,-1)))))*INDEX(PBC_ACCOUNT_LIST[Sign_for_total_cashflow],MATCH($C45,PBC_ACCOUNT_LIST[Id],0))</f>
        <v>0</v>
      </c>
      <c r="BB45" s="547" cm="1">
        <f t="array" ref="BB45">(SUM(_xlfn._xlws.FILTER(_xlfn._xlws.FILTER(dataGLBSCF,dataGLBSAcctIDs=$C45),(endDatesCF=BB$5)))-SUM(_xlfn._xlws.FILTER(_xlfn._xlws.FILTER(dataGLBSCF,dataGLBSAcctIDs=$C45),(startDatesCF=EDATE(BB$4,-1)))))*INDEX(PBC_ACCOUNT_LIST[Sign_for_total_cashflow],MATCH($C45,PBC_ACCOUNT_LIST[Id],0))</f>
        <v>0</v>
      </c>
      <c r="BC45" s="547" cm="1">
        <f t="array" ref="BC45">(SUM(_xlfn._xlws.FILTER(_xlfn._xlws.FILTER(dataGLBSCF,dataGLBSAcctIDs=$C45),(endDatesCF=BC$5)))-SUM(_xlfn._xlws.FILTER(_xlfn._xlws.FILTER(dataGLBSCF,dataGLBSAcctIDs=$C45),(startDatesCF=EDATE(BC$4,-1)))))*INDEX(PBC_ACCOUNT_LIST[Sign_for_total_cashflow],MATCH($C45,PBC_ACCOUNT_LIST[Id],0))</f>
        <v>0</v>
      </c>
      <c r="BD45" s="547" cm="1">
        <f t="array" ref="BD45">(SUM(_xlfn._xlws.FILTER(_xlfn._xlws.FILTER(dataGLBSCF,dataGLBSAcctIDs=$C45),(endDatesCF=BD$5)))-SUM(_xlfn._xlws.FILTER(_xlfn._xlws.FILTER(dataGLBSCF,dataGLBSAcctIDs=$C45),(startDatesCF=EDATE(BD$4,-1)))))*INDEX(PBC_ACCOUNT_LIST[Sign_for_total_cashflow],MATCH($C45,PBC_ACCOUNT_LIST[Id],0))</f>
        <v>0</v>
      </c>
      <c r="BE45" s="547" cm="1">
        <f t="array" ref="BE45">(SUM(_xlfn._xlws.FILTER(_xlfn._xlws.FILTER(dataGLBSCF,dataGLBSAcctIDs=$C45),(endDatesCF=BE$5)))-SUM(_xlfn._xlws.FILTER(_xlfn._xlws.FILTER(dataGLBSCF,dataGLBSAcctIDs=$C45),(startDatesCF=EDATE(BE$4,-1)))))*INDEX(PBC_ACCOUNT_LIST[Sign_for_total_cashflow],MATCH($C45,PBC_ACCOUNT_LIST[Id],0))</f>
        <v>0</v>
      </c>
      <c r="BF45" s="547" cm="1">
        <f t="array" ref="BF45">(SUM(_xlfn._xlws.FILTER(_xlfn._xlws.FILTER(dataGLBSCF,dataGLBSAcctIDs=$C45),(endDatesCF=BF$5)))-SUM(_xlfn._xlws.FILTER(_xlfn._xlws.FILTER(dataGLBSCF,dataGLBSAcctIDs=$C45),(startDatesCF=EDATE(BF$4,-1)))))*INDEX(PBC_ACCOUNT_LIST[Sign_for_total_cashflow],MATCH($C45,PBC_ACCOUNT_LIST[Id],0))</f>
        <v>0</v>
      </c>
      <c r="BG45" s="547" cm="1">
        <f t="array" ref="BG45">(SUM(_xlfn._xlws.FILTER(_xlfn._xlws.FILTER(dataGLBSCF,dataGLBSAcctIDs=$C45),(endDatesCF=BG$5)))-SUM(_xlfn._xlws.FILTER(_xlfn._xlws.FILTER(dataGLBSCF,dataGLBSAcctIDs=$C45),(startDatesCF=EDATE(BG$4,-1)))))*INDEX(PBC_ACCOUNT_LIST[Sign_for_total_cashflow],MATCH($C45,PBC_ACCOUNT_LIST[Id],0))</f>
        <v>0</v>
      </c>
      <c r="BH45" s="547" cm="1">
        <f t="array" ref="BH45">(SUM(_xlfn._xlws.FILTER(_xlfn._xlws.FILTER(dataGLBSCF,dataGLBSAcctIDs=$C45),(endDatesCF=BH$5)))-SUM(_xlfn._xlws.FILTER(_xlfn._xlws.FILTER(dataGLBSCF,dataGLBSAcctIDs=$C45),(startDatesCF=EDATE(BH$4,-1)))))*INDEX(PBC_ACCOUNT_LIST[Sign_for_total_cashflow],MATCH($C45,PBC_ACCOUNT_LIST[Id],0))</f>
        <v>0</v>
      </c>
      <c r="BI45" s="547" cm="1">
        <f t="array" ref="BI45">(SUM(_xlfn._xlws.FILTER(_xlfn._xlws.FILTER(dataGLBSCF,dataGLBSAcctIDs=$C45),(endDatesCF=BI$5)))-SUM(_xlfn._xlws.FILTER(_xlfn._xlws.FILTER(dataGLBSCF,dataGLBSAcctIDs=$C45),(startDatesCF=EDATE(BI$4,-1)))))*INDEX(PBC_ACCOUNT_LIST[Sign_for_total_cashflow],MATCH($C45,PBC_ACCOUNT_LIST[Id],0))</f>
        <v>0</v>
      </c>
      <c r="BJ45" s="547" cm="1">
        <f t="array" ref="BJ45">(SUM(_xlfn._xlws.FILTER(_xlfn._xlws.FILTER(dataGLBSCF,dataGLBSAcctIDs=$C45),(endDatesCF=BJ$5)))-SUM(_xlfn._xlws.FILTER(_xlfn._xlws.FILTER(dataGLBSCF,dataGLBSAcctIDs=$C45),(startDatesCF=EDATE(BJ$4,-1)))))*INDEX(PBC_ACCOUNT_LIST[Sign_for_total_cashflow],MATCH($C45,PBC_ACCOUNT_LIST[Id],0))</f>
        <v>0</v>
      </c>
      <c r="BK45" s="547" cm="1">
        <f t="array" ref="BK45">(SUM(_xlfn._xlws.FILTER(_xlfn._xlws.FILTER(dataGLBSCF,dataGLBSAcctIDs=$C45),(endDatesCF=BK$5)))-SUM(_xlfn._xlws.FILTER(_xlfn._xlws.FILTER(dataGLBSCF,dataGLBSAcctIDs=$C45),(startDatesCF=EDATE(BK$4,-1)))))*INDEX(PBC_ACCOUNT_LIST[Sign_for_total_cashflow],MATCH($C45,PBC_ACCOUNT_LIST[Id],0))</f>
        <v>0</v>
      </c>
      <c r="BL45" s="547" cm="1">
        <f t="array" ref="BL45">(SUM(_xlfn._xlws.FILTER(_xlfn._xlws.FILTER(dataGLBSCF,dataGLBSAcctIDs=$C45),(endDatesCF=BL$5)))-SUM(_xlfn._xlws.FILTER(_xlfn._xlws.FILTER(dataGLBSCF,dataGLBSAcctIDs=$C45),(startDatesCF=EDATE(BL$4,-1)))))*INDEX(PBC_ACCOUNT_LIST[Sign_for_total_cashflow],MATCH($C45,PBC_ACCOUNT_LIST[Id],0))</f>
        <v>0</v>
      </c>
      <c r="BM45" s="547" cm="1">
        <f t="array" ref="BM45">(SUM(_xlfn._xlws.FILTER(_xlfn._xlws.FILTER(dataGLBSCF,dataGLBSAcctIDs=$C45),(endDatesCF=BM$5)))-SUM(_xlfn._xlws.FILTER(_xlfn._xlws.FILTER(dataGLBSCF,dataGLBSAcctIDs=$C45),(startDatesCF=EDATE(BM$4,-1)))))*INDEX(PBC_ACCOUNT_LIST[Sign_for_total_cashflow],MATCH($C45,PBC_ACCOUNT_LIST[Id],0))</f>
        <v>0</v>
      </c>
      <c r="BN45" s="547" cm="1">
        <f t="array" ref="BN45">(SUM(_xlfn._xlws.FILTER(_xlfn._xlws.FILTER(dataGLBSCF,dataGLBSAcctIDs=$C45),(endDatesCF=BN$5)))-SUM(_xlfn._xlws.FILTER(_xlfn._xlws.FILTER(dataGLBSCF,dataGLBSAcctIDs=$C45),(startDatesCF=EDATE(BN$4,-1)))))*INDEX(PBC_ACCOUNT_LIST[Sign_for_total_cashflow],MATCH($C45,PBC_ACCOUNT_LIST[Id],0))</f>
        <v>0</v>
      </c>
      <c r="BO45" s="547" cm="1">
        <f t="array" ref="BO45">(SUM(_xlfn._xlws.FILTER(_xlfn._xlws.FILTER(dataGLBSCF,dataGLBSAcctIDs=$C45),(endDatesCF=BO$5)))-SUM(_xlfn._xlws.FILTER(_xlfn._xlws.FILTER(dataGLBSCF,dataGLBSAcctIDs=$C45),(startDatesCF=EDATE(BO$4,-1)))))*INDEX(PBC_ACCOUNT_LIST[Sign_for_total_cashflow],MATCH($C45,PBC_ACCOUNT_LIST[Id],0))</f>
        <v>0</v>
      </c>
      <c r="BP45" s="547" cm="1">
        <f t="array" ref="BP45">(SUM(_xlfn._xlws.FILTER(_xlfn._xlws.FILTER(dataGLBSCF,dataGLBSAcctIDs=$C45),(endDatesCF=BP$5)))-SUM(_xlfn._xlws.FILTER(_xlfn._xlws.FILTER(dataGLBSCF,dataGLBSAcctIDs=$C45),(startDatesCF=EDATE(BP$4,-1)))))*INDEX(PBC_ACCOUNT_LIST[Sign_for_total_cashflow],MATCH($C45,PBC_ACCOUNT_LIST[Id],0))</f>
        <v>0</v>
      </c>
      <c r="BQ45" s="547" cm="1">
        <f t="array" ref="BQ45">(SUM(_xlfn._xlws.FILTER(_xlfn._xlws.FILTER(dataGLBSCF,dataGLBSAcctIDs=$C45),(endDatesCF=BQ$5)))-SUM(_xlfn._xlws.FILTER(_xlfn._xlws.FILTER(dataGLBSCF,dataGLBSAcctIDs=$C45),(startDatesCF=EDATE(BQ$4,-1)))))*INDEX(PBC_ACCOUNT_LIST[Sign_for_total_cashflow],MATCH($C45,PBC_ACCOUNT_LIST[Id],0))</f>
        <v>0</v>
      </c>
      <c r="BR45" s="547" cm="1">
        <f t="array" ref="BR45">(SUM(_xlfn._xlws.FILTER(_xlfn._xlws.FILTER(dataGLBSCF,dataGLBSAcctIDs=$C45),(endDatesCF=BR$5)))-SUM(_xlfn._xlws.FILTER(_xlfn._xlws.FILTER(dataGLBSCF,dataGLBSAcctIDs=$C45),(startDatesCF=EDATE(BR$4,-1)))))*INDEX(PBC_ACCOUNT_LIST[Sign_for_total_cashflow],MATCH($C45,PBC_ACCOUNT_LIST[Id],0))</f>
        <v>0</v>
      </c>
      <c r="BS45" s="547" cm="1">
        <f t="array" ref="BS45">(SUM(_xlfn._xlws.FILTER(_xlfn._xlws.FILTER(dataGLBSCF,dataGLBSAcctIDs=$C45),(endDatesCF=BS$5)))-SUM(_xlfn._xlws.FILTER(_xlfn._xlws.FILTER(dataGLBSCF,dataGLBSAcctIDs=$C45),(startDatesCF=EDATE(BS$4,-1)))))*INDEX(PBC_ACCOUNT_LIST[Sign_for_total_cashflow],MATCH($C45,PBC_ACCOUNT_LIST[Id],0))</f>
        <v>0</v>
      </c>
      <c r="BT45" s="547" cm="1">
        <f t="array" ref="BT45">(SUM(_xlfn._xlws.FILTER(_xlfn._xlws.FILTER(dataGLBSCF,dataGLBSAcctIDs=$C45),(endDatesCF=BT$5)))-SUM(_xlfn._xlws.FILTER(_xlfn._xlws.FILTER(dataGLBSCF,dataGLBSAcctIDs=$C45),(startDatesCF=EDATE(BT$4,-1)))))*INDEX(PBC_ACCOUNT_LIST[Sign_for_total_cashflow],MATCH($C45,PBC_ACCOUNT_LIST[Id],0))</f>
        <v>0</v>
      </c>
      <c r="BU45" s="547" cm="1">
        <f t="array" ref="BU45">(SUM(_xlfn._xlws.FILTER(_xlfn._xlws.FILTER(dataGLBSCF,dataGLBSAcctIDs=$C45),(endDatesCF=BU$5)))-SUM(_xlfn._xlws.FILTER(_xlfn._xlws.FILTER(dataGLBSCF,dataGLBSAcctIDs=$C45),(startDatesCF=EDATE(BU$4,-1)))))*INDEX(PBC_ACCOUNT_LIST[Sign_for_total_cashflow],MATCH($C45,PBC_ACCOUNT_LIST[Id],0))</f>
        <v>0</v>
      </c>
      <c r="BV45" s="547" cm="1">
        <f t="array" ref="BV45">(SUM(_xlfn._xlws.FILTER(_xlfn._xlws.FILTER(dataGLBSCF,dataGLBSAcctIDs=$C45),(endDatesCF=BV$5)))-SUM(_xlfn._xlws.FILTER(_xlfn._xlws.FILTER(dataGLBSCF,dataGLBSAcctIDs=$C45),(startDatesCF=EDATE(BV$4,-1)))))*INDEX(PBC_ACCOUNT_LIST[Sign_for_total_cashflow],MATCH($C45,PBC_ACCOUNT_LIST[Id],0))</f>
        <v>0</v>
      </c>
      <c r="BW45" s="547" cm="1">
        <f t="array" ref="BW45">(SUM(_xlfn._xlws.FILTER(_xlfn._xlws.FILTER(dataGLBSCF,dataGLBSAcctIDs=$C45),(endDatesCF=BW$5)))-SUM(_xlfn._xlws.FILTER(_xlfn._xlws.FILTER(dataGLBSCF,dataGLBSAcctIDs=$C45),(startDatesCF=EDATE(BW$4,-1)))))*INDEX(PBC_ACCOUNT_LIST[Sign_for_total_cashflow],MATCH($C45,PBC_ACCOUNT_LIST[Id],0))</f>
        <v>0</v>
      </c>
      <c r="BX45" s="547" cm="1">
        <f t="array" ref="BX45">(SUM(_xlfn._xlws.FILTER(_xlfn._xlws.FILTER(dataGLBSCF,dataGLBSAcctIDs=$C45),(endDatesCF=BX$5)))-SUM(_xlfn._xlws.FILTER(_xlfn._xlws.FILTER(dataGLBSCF,dataGLBSAcctIDs=$C45),(startDatesCF=EDATE(BX$4,-1)))))*INDEX(PBC_ACCOUNT_LIST[Sign_for_total_cashflow],MATCH($C45,PBC_ACCOUNT_LIST[Id],0))</f>
        <v>0</v>
      </c>
    </row>
    <row r="46" spans="1:76" customFormat="1" ht="21" customHeight="1">
      <c r="B46" s="685" t="s">
        <v>324</v>
      </c>
      <c r="C46">
        <v>197</v>
      </c>
      <c r="E46" s="547" cm="1">
        <f t="array" ref="E46">(SUM(_xlfn._xlws.FILTER(_xlfn._xlws.FILTER(dataGLBSCF,dataGLBSAcctIDs=$C46),(endDatesCF=E$5)))-SUM(_xlfn._xlws.FILTER(_xlfn._xlws.FILTER(dataGLBSCF,dataGLBSAcctIDs=$C46),(startDatesCF=EDATE(E$4,-1)))))*INDEX(PBC_ACCOUNT_LIST[Sign_for_total_cashflow],MATCH($C46,PBC_ACCOUNT_LIST[Id],0))</f>
        <v>0</v>
      </c>
      <c r="F46" s="547" cm="1">
        <f t="array" ref="F46">(SUM(_xlfn._xlws.FILTER(_xlfn._xlws.FILTER(dataGLBSCF,dataGLBSAcctIDs=$C46),(endDatesCF=F$5)))-SUM(_xlfn._xlws.FILTER(_xlfn._xlws.FILTER(dataGLBSCF,dataGLBSAcctIDs=$C46),(startDatesCF=EDATE(F$4,-1)))))*INDEX(PBC_ACCOUNT_LIST[Sign_for_total_cashflow],MATCH($C46,PBC_ACCOUNT_LIST[Id],0))</f>
        <v>0</v>
      </c>
      <c r="G46" s="547" cm="1">
        <f t="array" ref="G46">(SUM(_xlfn._xlws.FILTER(_xlfn._xlws.FILTER(dataGLBSCF,dataGLBSAcctIDs=$C46),(endDatesCF=G$5)))-SUM(_xlfn._xlws.FILTER(_xlfn._xlws.FILTER(dataGLBSCF,dataGLBSAcctIDs=$C46),(startDatesCF=EDATE(G$4,-1)))))*INDEX(PBC_ACCOUNT_LIST[Sign_for_total_cashflow],MATCH($C46,PBC_ACCOUNT_LIST[Id],0))</f>
        <v>0</v>
      </c>
      <c r="H46" s="547" cm="1">
        <f t="array" ref="H46">(SUM(_xlfn._xlws.FILTER(_xlfn._xlws.FILTER(dataGLBSCF,dataGLBSAcctIDs=$C46),(endDatesCF=H$5)))-SUM(_xlfn._xlws.FILTER(_xlfn._xlws.FILTER(dataGLBSCF,dataGLBSAcctIDs=$C46),(startDatesCF=EDATE(H$4,-1)))))*INDEX(PBC_ACCOUNT_LIST[Sign_for_total_cashflow],MATCH($C46,PBC_ACCOUNT_LIST[Id],0))</f>
        <v>0</v>
      </c>
      <c r="K46" s="547" cm="1">
        <f t="array" ref="K46">(SUM(_xlfn._xlws.FILTER(_xlfn._xlws.FILTER(dataGLBSCF,dataGLBSAcctIDs=$C46),(endDatesCF=K$5)))-SUM(_xlfn._xlws.FILTER(_xlfn._xlws.FILTER(dataGLBSCF,dataGLBSAcctIDs=$C46),(startDatesCF=EDATE(K$4,-1)))))*INDEX(PBC_ACCOUNT_LIST[Sign_for_total_cashflow],MATCH($C46,PBC_ACCOUNT_LIST[Id],0))</f>
        <v>0</v>
      </c>
      <c r="L46" s="547" cm="1">
        <f t="array" ref="L46">(SUM(_xlfn._xlws.FILTER(_xlfn._xlws.FILTER(dataGLBSCF,dataGLBSAcctIDs=$C46),(endDatesCF=L$5)))-SUM(_xlfn._xlws.FILTER(_xlfn._xlws.FILTER(dataGLBSCF,dataGLBSAcctIDs=$C46),(startDatesCF=EDATE(L$4,-1)))))*INDEX(PBC_ACCOUNT_LIST[Sign_for_total_cashflow],MATCH($C46,PBC_ACCOUNT_LIST[Id],0))</f>
        <v>0</v>
      </c>
      <c r="M46" s="547" cm="1">
        <f t="array" ref="M46">(SUM(_xlfn._xlws.FILTER(_xlfn._xlws.FILTER(dataGLBSCF,dataGLBSAcctIDs=$C46),(endDatesCF=M$5)))-SUM(_xlfn._xlws.FILTER(_xlfn._xlws.FILTER(dataGLBSCF,dataGLBSAcctIDs=$C46),(startDatesCF=EDATE(M$4,-1)))))*INDEX(PBC_ACCOUNT_LIST[Sign_for_total_cashflow],MATCH($C46,PBC_ACCOUNT_LIST[Id],0))</f>
        <v>0</v>
      </c>
      <c r="N46" s="547" cm="1">
        <f t="array" ref="N46">(SUM(_xlfn._xlws.FILTER(_xlfn._xlws.FILTER(dataGLBSCF,dataGLBSAcctIDs=$C46),(endDatesCF=N$5)))-SUM(_xlfn._xlws.FILTER(_xlfn._xlws.FILTER(dataGLBSCF,dataGLBSAcctIDs=$C46),(startDatesCF=EDATE(N$4,-1)))))*INDEX(PBC_ACCOUNT_LIST[Sign_for_total_cashflow],MATCH($C46,PBC_ACCOUNT_LIST[Id],0))</f>
        <v>0</v>
      </c>
      <c r="O46" s="547" cm="1">
        <f t="array" ref="O46">(SUM(_xlfn._xlws.FILTER(_xlfn._xlws.FILTER(dataGLBSCF,dataGLBSAcctIDs=$C46),(endDatesCF=O$5)))-SUM(_xlfn._xlws.FILTER(_xlfn._xlws.FILTER(dataGLBSCF,dataGLBSAcctIDs=$C46),(startDatesCF=EDATE(O$4,-1)))))*INDEX(PBC_ACCOUNT_LIST[Sign_for_total_cashflow],MATCH($C46,PBC_ACCOUNT_LIST[Id],0))</f>
        <v>0</v>
      </c>
      <c r="P46" s="547" cm="1">
        <f t="array" ref="P46">(SUM(_xlfn._xlws.FILTER(_xlfn._xlws.FILTER(dataGLBSCF,dataGLBSAcctIDs=$C46),(endDatesCF=P$5)))-SUM(_xlfn._xlws.FILTER(_xlfn._xlws.FILTER(dataGLBSCF,dataGLBSAcctIDs=$C46),(startDatesCF=EDATE(P$4,-1)))))*INDEX(PBC_ACCOUNT_LIST[Sign_for_total_cashflow],MATCH($C46,PBC_ACCOUNT_LIST[Id],0))</f>
        <v>0</v>
      </c>
      <c r="Q46" s="547" cm="1">
        <f t="array" ref="Q46">(SUM(_xlfn._xlws.FILTER(_xlfn._xlws.FILTER(dataGLBSCF,dataGLBSAcctIDs=$C46),(endDatesCF=Q$5)))-SUM(_xlfn._xlws.FILTER(_xlfn._xlws.FILTER(dataGLBSCF,dataGLBSAcctIDs=$C46),(startDatesCF=EDATE(Q$4,-1)))))*INDEX(PBC_ACCOUNT_LIST[Sign_for_total_cashflow],MATCH($C46,PBC_ACCOUNT_LIST[Id],0))</f>
        <v>0</v>
      </c>
      <c r="R46" s="547" cm="1">
        <f t="array" ref="R46">(SUM(_xlfn._xlws.FILTER(_xlfn._xlws.FILTER(dataGLBSCF,dataGLBSAcctIDs=$C46),(endDatesCF=R$5)))-SUM(_xlfn._xlws.FILTER(_xlfn._xlws.FILTER(dataGLBSCF,dataGLBSAcctIDs=$C46),(startDatesCF=EDATE(R$4,-1)))))*INDEX(PBC_ACCOUNT_LIST[Sign_for_total_cashflow],MATCH($C46,PBC_ACCOUNT_LIST[Id],0))</f>
        <v>0</v>
      </c>
      <c r="S46" s="547" cm="1">
        <f t="array" ref="S46">(SUM(_xlfn._xlws.FILTER(_xlfn._xlws.FILTER(dataGLBSCF,dataGLBSAcctIDs=$C46),(endDatesCF=S$5)))-SUM(_xlfn._xlws.FILTER(_xlfn._xlws.FILTER(dataGLBSCF,dataGLBSAcctIDs=$C46),(startDatesCF=EDATE(S$4,-1)))))*INDEX(PBC_ACCOUNT_LIST[Sign_for_total_cashflow],MATCH($C46,PBC_ACCOUNT_LIST[Id],0))</f>
        <v>0</v>
      </c>
      <c r="T46" s="547" cm="1">
        <f t="array" ref="T46">(SUM(_xlfn._xlws.FILTER(_xlfn._xlws.FILTER(dataGLBSCF,dataGLBSAcctIDs=$C46),(endDatesCF=T$5)))-SUM(_xlfn._xlws.FILTER(_xlfn._xlws.FILTER(dataGLBSCF,dataGLBSAcctIDs=$C46),(startDatesCF=EDATE(T$4,-1)))))*INDEX(PBC_ACCOUNT_LIST[Sign_for_total_cashflow],MATCH($C46,PBC_ACCOUNT_LIST[Id],0))</f>
        <v>0</v>
      </c>
      <c r="U46" s="547" cm="1">
        <f t="array" ref="U46">(SUM(_xlfn._xlws.FILTER(_xlfn._xlws.FILTER(dataGLBSCF,dataGLBSAcctIDs=$C46),(endDatesCF=U$5)))-SUM(_xlfn._xlws.FILTER(_xlfn._xlws.FILTER(dataGLBSCF,dataGLBSAcctIDs=$C46),(startDatesCF=EDATE(U$4,-1)))))*INDEX(PBC_ACCOUNT_LIST[Sign_for_total_cashflow],MATCH($C46,PBC_ACCOUNT_LIST[Id],0))</f>
        <v>0</v>
      </c>
      <c r="V46" s="547" cm="1">
        <f t="array" ref="V46">(SUM(_xlfn._xlws.FILTER(_xlfn._xlws.FILTER(dataGLBSCF,dataGLBSAcctIDs=$C46),(endDatesCF=V$5)))-SUM(_xlfn._xlws.FILTER(_xlfn._xlws.FILTER(dataGLBSCF,dataGLBSAcctIDs=$C46),(startDatesCF=EDATE(V$4,-1)))))*INDEX(PBC_ACCOUNT_LIST[Sign_for_total_cashflow],MATCH($C46,PBC_ACCOUNT_LIST[Id],0))</f>
        <v>0</v>
      </c>
      <c r="W46" s="547" cm="1">
        <f t="array" ref="W46">(SUM(_xlfn._xlws.FILTER(_xlfn._xlws.FILTER(dataGLBSCF,dataGLBSAcctIDs=$C46),(endDatesCF=W$5)))-SUM(_xlfn._xlws.FILTER(_xlfn._xlws.FILTER(dataGLBSCF,dataGLBSAcctIDs=$C46),(startDatesCF=EDATE(W$4,-1)))))*INDEX(PBC_ACCOUNT_LIST[Sign_for_total_cashflow],MATCH($C46,PBC_ACCOUNT_LIST[Id],0))</f>
        <v>0</v>
      </c>
      <c r="X46" s="547" cm="1">
        <f t="array" ref="X46">(SUM(_xlfn._xlws.FILTER(_xlfn._xlws.FILTER(dataGLBSCF,dataGLBSAcctIDs=$C46),(endDatesCF=X$5)))-SUM(_xlfn._xlws.FILTER(_xlfn._xlws.FILTER(dataGLBSCF,dataGLBSAcctIDs=$C46),(startDatesCF=EDATE(X$4,-1)))))*INDEX(PBC_ACCOUNT_LIST[Sign_for_total_cashflow],MATCH($C46,PBC_ACCOUNT_LIST[Id],0))</f>
        <v>0</v>
      </c>
      <c r="Y46" s="547" cm="1">
        <f t="array" ref="Y46">(SUM(_xlfn._xlws.FILTER(_xlfn._xlws.FILTER(dataGLBSCF,dataGLBSAcctIDs=$C46),(endDatesCF=Y$5)))-SUM(_xlfn._xlws.FILTER(_xlfn._xlws.FILTER(dataGLBSCF,dataGLBSAcctIDs=$C46),(startDatesCF=EDATE(Y$4,-1)))))*INDEX(PBC_ACCOUNT_LIST[Sign_for_total_cashflow],MATCH($C46,PBC_ACCOUNT_LIST[Id],0))</f>
        <v>0</v>
      </c>
      <c r="Z46" s="547" cm="1">
        <f t="array" ref="Z46">(SUM(_xlfn._xlws.FILTER(_xlfn._xlws.FILTER(dataGLBSCF,dataGLBSAcctIDs=$C46),(endDatesCF=Z$5)))-SUM(_xlfn._xlws.FILTER(_xlfn._xlws.FILTER(dataGLBSCF,dataGLBSAcctIDs=$C46),(startDatesCF=EDATE(Z$4,-1)))))*INDEX(PBC_ACCOUNT_LIST[Sign_for_total_cashflow],MATCH($C46,PBC_ACCOUNT_LIST[Id],0))</f>
        <v>0</v>
      </c>
      <c r="AC46" s="547" cm="1">
        <f t="array" ref="AC46">(SUM(_xlfn._xlws.FILTER(_xlfn._xlws.FILTER(dataGLBSCF,dataGLBSAcctIDs=$C46),(endDatesCF=AC$5)))-SUM(_xlfn._xlws.FILTER(_xlfn._xlws.FILTER(dataGLBSCF,dataGLBSAcctIDs=$C46),(startDatesCF=EDATE(AC$4,-1)))))*INDEX(PBC_ACCOUNT_LIST[Sign_for_total_cashflow],MATCH($C46,PBC_ACCOUNT_LIST[Id],0))</f>
        <v>0</v>
      </c>
      <c r="AD46" s="547" cm="1">
        <f t="array" ref="AD46">(SUM(_xlfn._xlws.FILTER(_xlfn._xlws.FILTER(dataGLBSCF,dataGLBSAcctIDs=$C46),(endDatesCF=AD$5)))-SUM(_xlfn._xlws.FILTER(_xlfn._xlws.FILTER(dataGLBSCF,dataGLBSAcctIDs=$C46),(startDatesCF=EDATE(AD$4,-1)))))*INDEX(PBC_ACCOUNT_LIST[Sign_for_total_cashflow],MATCH($C46,PBC_ACCOUNT_LIST[Id],0))</f>
        <v>0</v>
      </c>
      <c r="AE46" s="547" cm="1">
        <f t="array" ref="AE46">(SUM(_xlfn._xlws.FILTER(_xlfn._xlws.FILTER(dataGLBSCF,dataGLBSAcctIDs=$C46),(endDatesCF=AE$5)))-SUM(_xlfn._xlws.FILTER(_xlfn._xlws.FILTER(dataGLBSCF,dataGLBSAcctIDs=$C46),(startDatesCF=EDATE(AE$4,-1)))))*INDEX(PBC_ACCOUNT_LIST[Sign_for_total_cashflow],MATCH($C46,PBC_ACCOUNT_LIST[Id],0))</f>
        <v>0</v>
      </c>
      <c r="AF46" s="547" cm="1">
        <f t="array" ref="AF46">(SUM(_xlfn._xlws.FILTER(_xlfn._xlws.FILTER(dataGLBSCF,dataGLBSAcctIDs=$C46),(endDatesCF=AF$5)))-SUM(_xlfn._xlws.FILTER(_xlfn._xlws.FILTER(dataGLBSCF,dataGLBSAcctIDs=$C46),(startDatesCF=EDATE(AF$4,-1)))))*INDEX(PBC_ACCOUNT_LIST[Sign_for_total_cashflow],MATCH($C46,PBC_ACCOUNT_LIST[Id],0))</f>
        <v>0</v>
      </c>
      <c r="AG46" s="547" cm="1">
        <f t="array" ref="AG46">(SUM(_xlfn._xlws.FILTER(_xlfn._xlws.FILTER(dataGLBSCF,dataGLBSAcctIDs=$C46),(endDatesCF=AG$5)))-SUM(_xlfn._xlws.FILTER(_xlfn._xlws.FILTER(dataGLBSCF,dataGLBSAcctIDs=$C46),(startDatesCF=EDATE(AG$4,-1)))))*INDEX(PBC_ACCOUNT_LIST[Sign_for_total_cashflow],MATCH($C46,PBC_ACCOUNT_LIST[Id],0))</f>
        <v>0</v>
      </c>
      <c r="AH46" s="547" cm="1">
        <f t="array" ref="AH46">(SUM(_xlfn._xlws.FILTER(_xlfn._xlws.FILTER(dataGLBSCF,dataGLBSAcctIDs=$C46),(endDatesCF=AH$5)))-SUM(_xlfn._xlws.FILTER(_xlfn._xlws.FILTER(dataGLBSCF,dataGLBSAcctIDs=$C46),(startDatesCF=EDATE(AH$4,-1)))))*INDEX(PBC_ACCOUNT_LIST[Sign_for_total_cashflow],MATCH($C46,PBC_ACCOUNT_LIST[Id],0))</f>
        <v>0</v>
      </c>
      <c r="AI46" s="547" cm="1">
        <f t="array" ref="AI46">(SUM(_xlfn._xlws.FILTER(_xlfn._xlws.FILTER(dataGLBSCF,dataGLBSAcctIDs=$C46),(endDatesCF=AI$5)))-SUM(_xlfn._xlws.FILTER(_xlfn._xlws.FILTER(dataGLBSCF,dataGLBSAcctIDs=$C46),(startDatesCF=EDATE(AI$4,-1)))))*INDEX(PBC_ACCOUNT_LIST[Sign_for_total_cashflow],MATCH($C46,PBC_ACCOUNT_LIST[Id],0))</f>
        <v>0</v>
      </c>
      <c r="AJ46" s="547" cm="1">
        <f t="array" ref="AJ46">(SUM(_xlfn._xlws.FILTER(_xlfn._xlws.FILTER(dataGLBSCF,dataGLBSAcctIDs=$C46),(endDatesCF=AJ$5)))-SUM(_xlfn._xlws.FILTER(_xlfn._xlws.FILTER(dataGLBSCF,dataGLBSAcctIDs=$C46),(startDatesCF=EDATE(AJ$4,-1)))))*INDEX(PBC_ACCOUNT_LIST[Sign_for_total_cashflow],MATCH($C46,PBC_ACCOUNT_LIST[Id],0))</f>
        <v>0</v>
      </c>
      <c r="AK46" s="547" cm="1">
        <f t="array" ref="AK46">(SUM(_xlfn._xlws.FILTER(_xlfn._xlws.FILTER(dataGLBSCF,dataGLBSAcctIDs=$C46),(endDatesCF=AK$5)))-SUM(_xlfn._xlws.FILTER(_xlfn._xlws.FILTER(dataGLBSCF,dataGLBSAcctIDs=$C46),(startDatesCF=EDATE(AK$4,-1)))))*INDEX(PBC_ACCOUNT_LIST[Sign_for_total_cashflow],MATCH($C46,PBC_ACCOUNT_LIST[Id],0))</f>
        <v>0</v>
      </c>
      <c r="AL46" s="547" cm="1">
        <f t="array" ref="AL46">(SUM(_xlfn._xlws.FILTER(_xlfn._xlws.FILTER(dataGLBSCF,dataGLBSAcctIDs=$C46),(endDatesCF=AL$5)))-SUM(_xlfn._xlws.FILTER(_xlfn._xlws.FILTER(dataGLBSCF,dataGLBSAcctIDs=$C46),(startDatesCF=EDATE(AL$4,-1)))))*INDEX(PBC_ACCOUNT_LIST[Sign_for_total_cashflow],MATCH($C46,PBC_ACCOUNT_LIST[Id],0))</f>
        <v>0</v>
      </c>
      <c r="AM46" s="547" cm="1">
        <f t="array" ref="AM46">(SUM(_xlfn._xlws.FILTER(_xlfn._xlws.FILTER(dataGLBSCF,dataGLBSAcctIDs=$C46),(endDatesCF=AM$5)))-SUM(_xlfn._xlws.FILTER(_xlfn._xlws.FILTER(dataGLBSCF,dataGLBSAcctIDs=$C46),(startDatesCF=EDATE(AM$4,-1)))))*INDEX(PBC_ACCOUNT_LIST[Sign_for_total_cashflow],MATCH($C46,PBC_ACCOUNT_LIST[Id],0))</f>
        <v>0</v>
      </c>
      <c r="AN46" s="547" cm="1">
        <f t="array" ref="AN46">(SUM(_xlfn._xlws.FILTER(_xlfn._xlws.FILTER(dataGLBSCF,dataGLBSAcctIDs=$C46),(endDatesCF=AN$5)))-SUM(_xlfn._xlws.FILTER(_xlfn._xlws.FILTER(dataGLBSCF,dataGLBSAcctIDs=$C46),(startDatesCF=EDATE(AN$4,-1)))))*INDEX(PBC_ACCOUNT_LIST[Sign_for_total_cashflow],MATCH($C46,PBC_ACCOUNT_LIST[Id],0))</f>
        <v>0</v>
      </c>
      <c r="AO46" s="547" cm="1">
        <f t="array" ref="AO46">(SUM(_xlfn._xlws.FILTER(_xlfn._xlws.FILTER(dataGLBSCF,dataGLBSAcctIDs=$C46),(endDatesCF=AO$5)))-SUM(_xlfn._xlws.FILTER(_xlfn._xlws.FILTER(dataGLBSCF,dataGLBSAcctIDs=$C46),(startDatesCF=EDATE(AO$4,-1)))))*INDEX(PBC_ACCOUNT_LIST[Sign_for_total_cashflow],MATCH($C46,PBC_ACCOUNT_LIST[Id],0))</f>
        <v>0</v>
      </c>
      <c r="AP46" s="547" cm="1">
        <f t="array" ref="AP46">(SUM(_xlfn._xlws.FILTER(_xlfn._xlws.FILTER(dataGLBSCF,dataGLBSAcctIDs=$C46),(endDatesCF=AP$5)))-SUM(_xlfn._xlws.FILTER(_xlfn._xlws.FILTER(dataGLBSCF,dataGLBSAcctIDs=$C46),(startDatesCF=EDATE(AP$4,-1)))))*INDEX(PBC_ACCOUNT_LIST[Sign_for_total_cashflow],MATCH($C46,PBC_ACCOUNT_LIST[Id],0))</f>
        <v>0</v>
      </c>
      <c r="AQ46" s="547" cm="1">
        <f t="array" ref="AQ46">(SUM(_xlfn._xlws.FILTER(_xlfn._xlws.FILTER(dataGLBSCF,dataGLBSAcctIDs=$C46),(endDatesCF=AQ$5)))-SUM(_xlfn._xlws.FILTER(_xlfn._xlws.FILTER(dataGLBSCF,dataGLBSAcctIDs=$C46),(startDatesCF=EDATE(AQ$4,-1)))))*INDEX(PBC_ACCOUNT_LIST[Sign_for_total_cashflow],MATCH($C46,PBC_ACCOUNT_LIST[Id],0))</f>
        <v>0</v>
      </c>
      <c r="AR46" s="547" cm="1">
        <f t="array" ref="AR46">(SUM(_xlfn._xlws.FILTER(_xlfn._xlws.FILTER(dataGLBSCF,dataGLBSAcctIDs=$C46),(endDatesCF=AR$5)))-SUM(_xlfn._xlws.FILTER(_xlfn._xlws.FILTER(dataGLBSCF,dataGLBSAcctIDs=$C46),(startDatesCF=EDATE(AR$4,-1)))))*INDEX(PBC_ACCOUNT_LIST[Sign_for_total_cashflow],MATCH($C46,PBC_ACCOUNT_LIST[Id],0))</f>
        <v>0</v>
      </c>
      <c r="AS46" s="547" cm="1">
        <f t="array" ref="AS46">(SUM(_xlfn._xlws.FILTER(_xlfn._xlws.FILTER(dataGLBSCF,dataGLBSAcctIDs=$C46),(endDatesCF=AS$5)))-SUM(_xlfn._xlws.FILTER(_xlfn._xlws.FILTER(dataGLBSCF,dataGLBSAcctIDs=$C46),(startDatesCF=EDATE(AS$4,-1)))))*INDEX(PBC_ACCOUNT_LIST[Sign_for_total_cashflow],MATCH($C46,PBC_ACCOUNT_LIST[Id],0))</f>
        <v>0</v>
      </c>
      <c r="AT46" s="547" cm="1">
        <f t="array" ref="AT46">(SUM(_xlfn._xlws.FILTER(_xlfn._xlws.FILTER(dataGLBSCF,dataGLBSAcctIDs=$C46),(endDatesCF=AT$5)))-SUM(_xlfn._xlws.FILTER(_xlfn._xlws.FILTER(dataGLBSCF,dataGLBSAcctIDs=$C46),(startDatesCF=EDATE(AT$4,-1)))))*INDEX(PBC_ACCOUNT_LIST[Sign_for_total_cashflow],MATCH($C46,PBC_ACCOUNT_LIST[Id],0))</f>
        <v>0</v>
      </c>
      <c r="AU46" s="547" cm="1">
        <f t="array" ref="AU46">(SUM(_xlfn._xlws.FILTER(_xlfn._xlws.FILTER(dataGLBSCF,dataGLBSAcctIDs=$C46),(endDatesCF=AU$5)))-SUM(_xlfn._xlws.FILTER(_xlfn._xlws.FILTER(dataGLBSCF,dataGLBSAcctIDs=$C46),(startDatesCF=EDATE(AU$4,-1)))))*INDEX(PBC_ACCOUNT_LIST[Sign_for_total_cashflow],MATCH($C46,PBC_ACCOUNT_LIST[Id],0))</f>
        <v>0</v>
      </c>
      <c r="AV46" s="547" cm="1">
        <f t="array" ref="AV46">(SUM(_xlfn._xlws.FILTER(_xlfn._xlws.FILTER(dataGLBSCF,dataGLBSAcctIDs=$C46),(endDatesCF=AV$5)))-SUM(_xlfn._xlws.FILTER(_xlfn._xlws.FILTER(dataGLBSCF,dataGLBSAcctIDs=$C46),(startDatesCF=EDATE(AV$4,-1)))))*INDEX(PBC_ACCOUNT_LIST[Sign_for_total_cashflow],MATCH($C46,PBC_ACCOUNT_LIST[Id],0))</f>
        <v>0</v>
      </c>
      <c r="AW46" s="547" cm="1">
        <f t="array" ref="AW46">(SUM(_xlfn._xlws.FILTER(_xlfn._xlws.FILTER(dataGLBSCF,dataGLBSAcctIDs=$C46),(endDatesCF=AW$5)))-SUM(_xlfn._xlws.FILTER(_xlfn._xlws.FILTER(dataGLBSCF,dataGLBSAcctIDs=$C46),(startDatesCF=EDATE(AW$4,-1)))))*INDEX(PBC_ACCOUNT_LIST[Sign_for_total_cashflow],MATCH($C46,PBC_ACCOUNT_LIST[Id],0))</f>
        <v>0</v>
      </c>
      <c r="AX46" s="547" cm="1">
        <f t="array" ref="AX46">(SUM(_xlfn._xlws.FILTER(_xlfn._xlws.FILTER(dataGLBSCF,dataGLBSAcctIDs=$C46),(endDatesCF=AX$5)))-SUM(_xlfn._xlws.FILTER(_xlfn._xlws.FILTER(dataGLBSCF,dataGLBSAcctIDs=$C46),(startDatesCF=EDATE(AX$4,-1)))))*INDEX(PBC_ACCOUNT_LIST[Sign_for_total_cashflow],MATCH($C46,PBC_ACCOUNT_LIST[Id],0))</f>
        <v>0</v>
      </c>
      <c r="AY46" s="547" cm="1">
        <f t="array" ref="AY46">(SUM(_xlfn._xlws.FILTER(_xlfn._xlws.FILTER(dataGLBSCF,dataGLBSAcctIDs=$C46),(endDatesCF=AY$5)))-SUM(_xlfn._xlws.FILTER(_xlfn._xlws.FILTER(dataGLBSCF,dataGLBSAcctIDs=$C46),(startDatesCF=EDATE(AY$4,-1)))))*INDEX(PBC_ACCOUNT_LIST[Sign_for_total_cashflow],MATCH($C46,PBC_ACCOUNT_LIST[Id],0))</f>
        <v>0</v>
      </c>
      <c r="AZ46" s="547" cm="1">
        <f t="array" ref="AZ46">(SUM(_xlfn._xlws.FILTER(_xlfn._xlws.FILTER(dataGLBSCF,dataGLBSAcctIDs=$C46),(endDatesCF=AZ$5)))-SUM(_xlfn._xlws.FILTER(_xlfn._xlws.FILTER(dataGLBSCF,dataGLBSAcctIDs=$C46),(startDatesCF=EDATE(AZ$4,-1)))))*INDEX(PBC_ACCOUNT_LIST[Sign_for_total_cashflow],MATCH($C46,PBC_ACCOUNT_LIST[Id],0))</f>
        <v>0</v>
      </c>
      <c r="BA46" s="547" cm="1">
        <f t="array" ref="BA46">(SUM(_xlfn._xlws.FILTER(_xlfn._xlws.FILTER(dataGLBSCF,dataGLBSAcctIDs=$C46),(endDatesCF=BA$5)))-SUM(_xlfn._xlws.FILTER(_xlfn._xlws.FILTER(dataGLBSCF,dataGLBSAcctIDs=$C46),(startDatesCF=EDATE(BA$4,-1)))))*INDEX(PBC_ACCOUNT_LIST[Sign_for_total_cashflow],MATCH($C46,PBC_ACCOUNT_LIST[Id],0))</f>
        <v>0</v>
      </c>
      <c r="BB46" s="547" cm="1">
        <f t="array" ref="BB46">(SUM(_xlfn._xlws.FILTER(_xlfn._xlws.FILTER(dataGLBSCF,dataGLBSAcctIDs=$C46),(endDatesCF=BB$5)))-SUM(_xlfn._xlws.FILTER(_xlfn._xlws.FILTER(dataGLBSCF,dataGLBSAcctIDs=$C46),(startDatesCF=EDATE(BB$4,-1)))))*INDEX(PBC_ACCOUNT_LIST[Sign_for_total_cashflow],MATCH($C46,PBC_ACCOUNT_LIST[Id],0))</f>
        <v>0</v>
      </c>
      <c r="BC46" s="547" cm="1">
        <f t="array" ref="BC46">(SUM(_xlfn._xlws.FILTER(_xlfn._xlws.FILTER(dataGLBSCF,dataGLBSAcctIDs=$C46),(endDatesCF=BC$5)))-SUM(_xlfn._xlws.FILTER(_xlfn._xlws.FILTER(dataGLBSCF,dataGLBSAcctIDs=$C46),(startDatesCF=EDATE(BC$4,-1)))))*INDEX(PBC_ACCOUNT_LIST[Sign_for_total_cashflow],MATCH($C46,PBC_ACCOUNT_LIST[Id],0))</f>
        <v>0</v>
      </c>
      <c r="BD46" s="547" cm="1">
        <f t="array" ref="BD46">(SUM(_xlfn._xlws.FILTER(_xlfn._xlws.FILTER(dataGLBSCF,dataGLBSAcctIDs=$C46),(endDatesCF=BD$5)))-SUM(_xlfn._xlws.FILTER(_xlfn._xlws.FILTER(dataGLBSCF,dataGLBSAcctIDs=$C46),(startDatesCF=EDATE(BD$4,-1)))))*INDEX(PBC_ACCOUNT_LIST[Sign_for_total_cashflow],MATCH($C46,PBC_ACCOUNT_LIST[Id],0))</f>
        <v>0</v>
      </c>
      <c r="BE46" s="547" cm="1">
        <f t="array" ref="BE46">(SUM(_xlfn._xlws.FILTER(_xlfn._xlws.FILTER(dataGLBSCF,dataGLBSAcctIDs=$C46),(endDatesCF=BE$5)))-SUM(_xlfn._xlws.FILTER(_xlfn._xlws.FILTER(dataGLBSCF,dataGLBSAcctIDs=$C46),(startDatesCF=EDATE(BE$4,-1)))))*INDEX(PBC_ACCOUNT_LIST[Sign_for_total_cashflow],MATCH($C46,PBC_ACCOUNT_LIST[Id],0))</f>
        <v>0</v>
      </c>
      <c r="BF46" s="547" cm="1">
        <f t="array" ref="BF46">(SUM(_xlfn._xlws.FILTER(_xlfn._xlws.FILTER(dataGLBSCF,dataGLBSAcctIDs=$C46),(endDatesCF=BF$5)))-SUM(_xlfn._xlws.FILTER(_xlfn._xlws.FILTER(dataGLBSCF,dataGLBSAcctIDs=$C46),(startDatesCF=EDATE(BF$4,-1)))))*INDEX(PBC_ACCOUNT_LIST[Sign_for_total_cashflow],MATCH($C46,PBC_ACCOUNT_LIST[Id],0))</f>
        <v>0</v>
      </c>
      <c r="BG46" s="547" cm="1">
        <f t="array" ref="BG46">(SUM(_xlfn._xlws.FILTER(_xlfn._xlws.FILTER(dataGLBSCF,dataGLBSAcctIDs=$C46),(endDatesCF=BG$5)))-SUM(_xlfn._xlws.FILTER(_xlfn._xlws.FILTER(dataGLBSCF,dataGLBSAcctIDs=$C46),(startDatesCF=EDATE(BG$4,-1)))))*INDEX(PBC_ACCOUNT_LIST[Sign_for_total_cashflow],MATCH($C46,PBC_ACCOUNT_LIST[Id],0))</f>
        <v>0</v>
      </c>
      <c r="BH46" s="547" cm="1">
        <f t="array" ref="BH46">(SUM(_xlfn._xlws.FILTER(_xlfn._xlws.FILTER(dataGLBSCF,dataGLBSAcctIDs=$C46),(endDatesCF=BH$5)))-SUM(_xlfn._xlws.FILTER(_xlfn._xlws.FILTER(dataGLBSCF,dataGLBSAcctIDs=$C46),(startDatesCF=EDATE(BH$4,-1)))))*INDEX(PBC_ACCOUNT_LIST[Sign_for_total_cashflow],MATCH($C46,PBC_ACCOUNT_LIST[Id],0))</f>
        <v>0</v>
      </c>
      <c r="BI46" s="547" cm="1">
        <f t="array" ref="BI46">(SUM(_xlfn._xlws.FILTER(_xlfn._xlws.FILTER(dataGLBSCF,dataGLBSAcctIDs=$C46),(endDatesCF=BI$5)))-SUM(_xlfn._xlws.FILTER(_xlfn._xlws.FILTER(dataGLBSCF,dataGLBSAcctIDs=$C46),(startDatesCF=EDATE(BI$4,-1)))))*INDEX(PBC_ACCOUNT_LIST[Sign_for_total_cashflow],MATCH($C46,PBC_ACCOUNT_LIST[Id],0))</f>
        <v>0</v>
      </c>
      <c r="BJ46" s="547" cm="1">
        <f t="array" ref="BJ46">(SUM(_xlfn._xlws.FILTER(_xlfn._xlws.FILTER(dataGLBSCF,dataGLBSAcctIDs=$C46),(endDatesCF=BJ$5)))-SUM(_xlfn._xlws.FILTER(_xlfn._xlws.FILTER(dataGLBSCF,dataGLBSAcctIDs=$C46),(startDatesCF=EDATE(BJ$4,-1)))))*INDEX(PBC_ACCOUNT_LIST[Sign_for_total_cashflow],MATCH($C46,PBC_ACCOUNT_LIST[Id],0))</f>
        <v>0</v>
      </c>
      <c r="BK46" s="547" cm="1">
        <f t="array" ref="BK46">(SUM(_xlfn._xlws.FILTER(_xlfn._xlws.FILTER(dataGLBSCF,dataGLBSAcctIDs=$C46),(endDatesCF=BK$5)))-SUM(_xlfn._xlws.FILTER(_xlfn._xlws.FILTER(dataGLBSCF,dataGLBSAcctIDs=$C46),(startDatesCF=EDATE(BK$4,-1)))))*INDEX(PBC_ACCOUNT_LIST[Sign_for_total_cashflow],MATCH($C46,PBC_ACCOUNT_LIST[Id],0))</f>
        <v>0</v>
      </c>
      <c r="BL46" s="547" cm="1">
        <f t="array" ref="BL46">(SUM(_xlfn._xlws.FILTER(_xlfn._xlws.FILTER(dataGLBSCF,dataGLBSAcctIDs=$C46),(endDatesCF=BL$5)))-SUM(_xlfn._xlws.FILTER(_xlfn._xlws.FILTER(dataGLBSCF,dataGLBSAcctIDs=$C46),(startDatesCF=EDATE(BL$4,-1)))))*INDEX(PBC_ACCOUNT_LIST[Sign_for_total_cashflow],MATCH($C46,PBC_ACCOUNT_LIST[Id],0))</f>
        <v>0</v>
      </c>
      <c r="BM46" s="547" cm="1">
        <f t="array" ref="BM46">(SUM(_xlfn._xlws.FILTER(_xlfn._xlws.FILTER(dataGLBSCF,dataGLBSAcctIDs=$C46),(endDatesCF=BM$5)))-SUM(_xlfn._xlws.FILTER(_xlfn._xlws.FILTER(dataGLBSCF,dataGLBSAcctIDs=$C46),(startDatesCF=EDATE(BM$4,-1)))))*INDEX(PBC_ACCOUNT_LIST[Sign_for_total_cashflow],MATCH($C46,PBC_ACCOUNT_LIST[Id],0))</f>
        <v>0</v>
      </c>
      <c r="BN46" s="547" cm="1">
        <f t="array" ref="BN46">(SUM(_xlfn._xlws.FILTER(_xlfn._xlws.FILTER(dataGLBSCF,dataGLBSAcctIDs=$C46),(endDatesCF=BN$5)))-SUM(_xlfn._xlws.FILTER(_xlfn._xlws.FILTER(dataGLBSCF,dataGLBSAcctIDs=$C46),(startDatesCF=EDATE(BN$4,-1)))))*INDEX(PBC_ACCOUNT_LIST[Sign_for_total_cashflow],MATCH($C46,PBC_ACCOUNT_LIST[Id],0))</f>
        <v>0</v>
      </c>
      <c r="BO46" s="547" cm="1">
        <f t="array" ref="BO46">(SUM(_xlfn._xlws.FILTER(_xlfn._xlws.FILTER(dataGLBSCF,dataGLBSAcctIDs=$C46),(endDatesCF=BO$5)))-SUM(_xlfn._xlws.FILTER(_xlfn._xlws.FILTER(dataGLBSCF,dataGLBSAcctIDs=$C46),(startDatesCF=EDATE(BO$4,-1)))))*INDEX(PBC_ACCOUNT_LIST[Sign_for_total_cashflow],MATCH($C46,PBC_ACCOUNT_LIST[Id],0))</f>
        <v>0</v>
      </c>
      <c r="BP46" s="547" cm="1">
        <f t="array" ref="BP46">(SUM(_xlfn._xlws.FILTER(_xlfn._xlws.FILTER(dataGLBSCF,dataGLBSAcctIDs=$C46),(endDatesCF=BP$5)))-SUM(_xlfn._xlws.FILTER(_xlfn._xlws.FILTER(dataGLBSCF,dataGLBSAcctIDs=$C46),(startDatesCF=EDATE(BP$4,-1)))))*INDEX(PBC_ACCOUNT_LIST[Sign_for_total_cashflow],MATCH($C46,PBC_ACCOUNT_LIST[Id],0))</f>
        <v>0</v>
      </c>
      <c r="BQ46" s="547" cm="1">
        <f t="array" ref="BQ46">(SUM(_xlfn._xlws.FILTER(_xlfn._xlws.FILTER(dataGLBSCF,dataGLBSAcctIDs=$C46),(endDatesCF=BQ$5)))-SUM(_xlfn._xlws.FILTER(_xlfn._xlws.FILTER(dataGLBSCF,dataGLBSAcctIDs=$C46),(startDatesCF=EDATE(BQ$4,-1)))))*INDEX(PBC_ACCOUNT_LIST[Sign_for_total_cashflow],MATCH($C46,PBC_ACCOUNT_LIST[Id],0))</f>
        <v>0</v>
      </c>
      <c r="BR46" s="547" cm="1">
        <f t="array" ref="BR46">(SUM(_xlfn._xlws.FILTER(_xlfn._xlws.FILTER(dataGLBSCF,dataGLBSAcctIDs=$C46),(endDatesCF=BR$5)))-SUM(_xlfn._xlws.FILTER(_xlfn._xlws.FILTER(dataGLBSCF,dataGLBSAcctIDs=$C46),(startDatesCF=EDATE(BR$4,-1)))))*INDEX(PBC_ACCOUNT_LIST[Sign_for_total_cashflow],MATCH($C46,PBC_ACCOUNT_LIST[Id],0))</f>
        <v>0</v>
      </c>
      <c r="BS46" s="547" cm="1">
        <f t="array" ref="BS46">(SUM(_xlfn._xlws.FILTER(_xlfn._xlws.FILTER(dataGLBSCF,dataGLBSAcctIDs=$C46),(endDatesCF=BS$5)))-SUM(_xlfn._xlws.FILTER(_xlfn._xlws.FILTER(dataGLBSCF,dataGLBSAcctIDs=$C46),(startDatesCF=EDATE(BS$4,-1)))))*INDEX(PBC_ACCOUNT_LIST[Sign_for_total_cashflow],MATCH($C46,PBC_ACCOUNT_LIST[Id],0))</f>
        <v>0</v>
      </c>
      <c r="BT46" s="547" cm="1">
        <f t="array" ref="BT46">(SUM(_xlfn._xlws.FILTER(_xlfn._xlws.FILTER(dataGLBSCF,dataGLBSAcctIDs=$C46),(endDatesCF=BT$5)))-SUM(_xlfn._xlws.FILTER(_xlfn._xlws.FILTER(dataGLBSCF,dataGLBSAcctIDs=$C46),(startDatesCF=EDATE(BT$4,-1)))))*INDEX(PBC_ACCOUNT_LIST[Sign_for_total_cashflow],MATCH($C46,PBC_ACCOUNT_LIST[Id],0))</f>
        <v>0</v>
      </c>
      <c r="BU46" s="547" cm="1">
        <f t="array" ref="BU46">(SUM(_xlfn._xlws.FILTER(_xlfn._xlws.FILTER(dataGLBSCF,dataGLBSAcctIDs=$C46),(endDatesCF=BU$5)))-SUM(_xlfn._xlws.FILTER(_xlfn._xlws.FILTER(dataGLBSCF,dataGLBSAcctIDs=$C46),(startDatesCF=EDATE(BU$4,-1)))))*INDEX(PBC_ACCOUNT_LIST[Sign_for_total_cashflow],MATCH($C46,PBC_ACCOUNT_LIST[Id],0))</f>
        <v>0</v>
      </c>
      <c r="BV46" s="547" cm="1">
        <f t="array" ref="BV46">(SUM(_xlfn._xlws.FILTER(_xlfn._xlws.FILTER(dataGLBSCF,dataGLBSAcctIDs=$C46),(endDatesCF=BV$5)))-SUM(_xlfn._xlws.FILTER(_xlfn._xlws.FILTER(dataGLBSCF,dataGLBSAcctIDs=$C46),(startDatesCF=EDATE(BV$4,-1)))))*INDEX(PBC_ACCOUNT_LIST[Sign_for_total_cashflow],MATCH($C46,PBC_ACCOUNT_LIST[Id],0))</f>
        <v>0</v>
      </c>
      <c r="BW46" s="547" cm="1">
        <f t="array" ref="BW46">(SUM(_xlfn._xlws.FILTER(_xlfn._xlws.FILTER(dataGLBSCF,dataGLBSAcctIDs=$C46),(endDatesCF=BW$5)))-SUM(_xlfn._xlws.FILTER(_xlfn._xlws.FILTER(dataGLBSCF,dataGLBSAcctIDs=$C46),(startDatesCF=EDATE(BW$4,-1)))))*INDEX(PBC_ACCOUNT_LIST[Sign_for_total_cashflow],MATCH($C46,PBC_ACCOUNT_LIST[Id],0))</f>
        <v>0</v>
      </c>
      <c r="BX46" s="547" cm="1">
        <f t="array" ref="BX46">(SUM(_xlfn._xlws.FILTER(_xlfn._xlws.FILTER(dataGLBSCF,dataGLBSAcctIDs=$C46),(endDatesCF=BX$5)))-SUM(_xlfn._xlws.FILTER(_xlfn._xlws.FILTER(dataGLBSCF,dataGLBSAcctIDs=$C46),(startDatesCF=EDATE(BX$4,-1)))))*INDEX(PBC_ACCOUNT_LIST[Sign_for_total_cashflow],MATCH($C46,PBC_ACCOUNT_LIST[Id],0))</f>
        <v>0</v>
      </c>
    </row>
    <row r="47" spans="1:76" customFormat="1" ht="21" customHeight="1">
      <c r="B47" s="685" t="s">
        <v>325</v>
      </c>
      <c r="C47">
        <v>198</v>
      </c>
      <c r="E47" s="547" cm="1">
        <f t="array" ref="E47">(SUM(_xlfn._xlws.FILTER(_xlfn._xlws.FILTER(dataGLBSCF,dataGLBSAcctIDs=$C47),(endDatesCF=E$5)))-SUM(_xlfn._xlws.FILTER(_xlfn._xlws.FILTER(dataGLBSCF,dataGLBSAcctIDs=$C47),(startDatesCF=EDATE(E$4,-1)))))*INDEX(PBC_ACCOUNT_LIST[Sign_for_total_cashflow],MATCH($C47,PBC_ACCOUNT_LIST[Id],0))</f>
        <v>3000000</v>
      </c>
      <c r="F47" s="547" cm="1">
        <f t="array" ref="F47">(SUM(_xlfn._xlws.FILTER(_xlfn._xlws.FILTER(dataGLBSCF,dataGLBSAcctIDs=$C47),(endDatesCF=F$5)))-SUM(_xlfn._xlws.FILTER(_xlfn._xlws.FILTER(dataGLBSCF,dataGLBSAcctIDs=$C47),(startDatesCF=EDATE(F$4,-1)))))*INDEX(PBC_ACCOUNT_LIST[Sign_for_total_cashflow],MATCH($C47,PBC_ACCOUNT_LIST[Id],0))</f>
        <v>0</v>
      </c>
      <c r="G47" s="547" cm="1">
        <f t="array" ref="G47">(SUM(_xlfn._xlws.FILTER(_xlfn._xlws.FILTER(dataGLBSCF,dataGLBSAcctIDs=$C47),(endDatesCF=G$5)))-SUM(_xlfn._xlws.FILTER(_xlfn._xlws.FILTER(dataGLBSCF,dataGLBSAcctIDs=$C47),(startDatesCF=EDATE(G$4,-1)))))*INDEX(PBC_ACCOUNT_LIST[Sign_for_total_cashflow],MATCH($C47,PBC_ACCOUNT_LIST[Id],0))</f>
        <v>1000000</v>
      </c>
      <c r="H47" s="547" cm="1">
        <f t="array" ref="H47">(SUM(_xlfn._xlws.FILTER(_xlfn._xlws.FILTER(dataGLBSCF,dataGLBSAcctIDs=$C47),(endDatesCF=H$5)))-SUM(_xlfn._xlws.FILTER(_xlfn._xlws.FILTER(dataGLBSCF,dataGLBSAcctIDs=$C47),(startDatesCF=EDATE(H$4,-1)))))*INDEX(PBC_ACCOUNT_LIST[Sign_for_total_cashflow],MATCH($C47,PBC_ACCOUNT_LIST[Id],0))</f>
        <v>0</v>
      </c>
      <c r="K47" s="547" cm="1">
        <f t="array" ref="K47">(SUM(_xlfn._xlws.FILTER(_xlfn._xlws.FILTER(dataGLBSCF,dataGLBSAcctIDs=$C47),(endDatesCF=K$5)))-SUM(_xlfn._xlws.FILTER(_xlfn._xlws.FILTER(dataGLBSCF,dataGLBSAcctIDs=$C47),(startDatesCF=EDATE(K$4,-1)))))*INDEX(PBC_ACCOUNT_LIST[Sign_for_total_cashflow],MATCH($C47,PBC_ACCOUNT_LIST[Id],0))</f>
        <v>0</v>
      </c>
      <c r="L47" s="547" cm="1">
        <f t="array" ref="L47">(SUM(_xlfn._xlws.FILTER(_xlfn._xlws.FILTER(dataGLBSCF,dataGLBSAcctIDs=$C47),(endDatesCF=L$5)))-SUM(_xlfn._xlws.FILTER(_xlfn._xlws.FILTER(dataGLBSCF,dataGLBSAcctIDs=$C47),(startDatesCF=EDATE(L$4,-1)))))*INDEX(PBC_ACCOUNT_LIST[Sign_for_total_cashflow],MATCH($C47,PBC_ACCOUNT_LIST[Id],0))</f>
        <v>1500000</v>
      </c>
      <c r="M47" s="547" cm="1">
        <f t="array" ref="M47">(SUM(_xlfn._xlws.FILTER(_xlfn._xlws.FILTER(dataGLBSCF,dataGLBSAcctIDs=$C47),(endDatesCF=M$5)))-SUM(_xlfn._xlws.FILTER(_xlfn._xlws.FILTER(dataGLBSCF,dataGLBSAcctIDs=$C47),(startDatesCF=EDATE(M$4,-1)))))*INDEX(PBC_ACCOUNT_LIST[Sign_for_total_cashflow],MATCH($C47,PBC_ACCOUNT_LIST[Id],0))</f>
        <v>0</v>
      </c>
      <c r="N47" s="547" cm="1">
        <f t="array" ref="N47">(SUM(_xlfn._xlws.FILTER(_xlfn._xlws.FILTER(dataGLBSCF,dataGLBSAcctIDs=$C47),(endDatesCF=N$5)))-SUM(_xlfn._xlws.FILTER(_xlfn._xlws.FILTER(dataGLBSCF,dataGLBSAcctIDs=$C47),(startDatesCF=EDATE(N$4,-1)))))*INDEX(PBC_ACCOUNT_LIST[Sign_for_total_cashflow],MATCH($C47,PBC_ACCOUNT_LIST[Id],0))</f>
        <v>1500000</v>
      </c>
      <c r="O47" s="547" cm="1">
        <f t="array" ref="O47">(SUM(_xlfn._xlws.FILTER(_xlfn._xlws.FILTER(dataGLBSCF,dataGLBSAcctIDs=$C47),(endDatesCF=O$5)))-SUM(_xlfn._xlws.FILTER(_xlfn._xlws.FILTER(dataGLBSCF,dataGLBSAcctIDs=$C47),(startDatesCF=EDATE(O$4,-1)))))*INDEX(PBC_ACCOUNT_LIST[Sign_for_total_cashflow],MATCH($C47,PBC_ACCOUNT_LIST[Id],0))</f>
        <v>0</v>
      </c>
      <c r="P47" s="547" cm="1">
        <f t="array" ref="P47">(SUM(_xlfn._xlws.FILTER(_xlfn._xlws.FILTER(dataGLBSCF,dataGLBSAcctIDs=$C47),(endDatesCF=P$5)))-SUM(_xlfn._xlws.FILTER(_xlfn._xlws.FILTER(dataGLBSCF,dataGLBSAcctIDs=$C47),(startDatesCF=EDATE(P$4,-1)))))*INDEX(PBC_ACCOUNT_LIST[Sign_for_total_cashflow],MATCH($C47,PBC_ACCOUNT_LIST[Id],0))</f>
        <v>0</v>
      </c>
      <c r="Q47" s="547" cm="1">
        <f t="array" ref="Q47">(SUM(_xlfn._xlws.FILTER(_xlfn._xlws.FILTER(dataGLBSCF,dataGLBSAcctIDs=$C47),(endDatesCF=Q$5)))-SUM(_xlfn._xlws.FILTER(_xlfn._xlws.FILTER(dataGLBSCF,dataGLBSAcctIDs=$C47),(startDatesCF=EDATE(Q$4,-1)))))*INDEX(PBC_ACCOUNT_LIST[Sign_for_total_cashflow],MATCH($C47,PBC_ACCOUNT_LIST[Id],0))</f>
        <v>0</v>
      </c>
      <c r="R47" s="547" cm="1">
        <f t="array" ref="R47">(SUM(_xlfn._xlws.FILTER(_xlfn._xlws.FILTER(dataGLBSCF,dataGLBSAcctIDs=$C47),(endDatesCF=R$5)))-SUM(_xlfn._xlws.FILTER(_xlfn._xlws.FILTER(dataGLBSCF,dataGLBSAcctIDs=$C47),(startDatesCF=EDATE(R$4,-1)))))*INDEX(PBC_ACCOUNT_LIST[Sign_for_total_cashflow],MATCH($C47,PBC_ACCOUNT_LIST[Id],0))</f>
        <v>0</v>
      </c>
      <c r="S47" s="547" cm="1">
        <f t="array" ref="S47">(SUM(_xlfn._xlws.FILTER(_xlfn._xlws.FILTER(dataGLBSCF,dataGLBSAcctIDs=$C47),(endDatesCF=S$5)))-SUM(_xlfn._xlws.FILTER(_xlfn._xlws.FILTER(dataGLBSCF,dataGLBSAcctIDs=$C47),(startDatesCF=EDATE(S$4,-1)))))*INDEX(PBC_ACCOUNT_LIST[Sign_for_total_cashflow],MATCH($C47,PBC_ACCOUNT_LIST[Id],0))</f>
        <v>0</v>
      </c>
      <c r="T47" s="547" cm="1">
        <f t="array" ref="T47">(SUM(_xlfn._xlws.FILTER(_xlfn._xlws.FILTER(dataGLBSCF,dataGLBSAcctIDs=$C47),(endDatesCF=T$5)))-SUM(_xlfn._xlws.FILTER(_xlfn._xlws.FILTER(dataGLBSCF,dataGLBSAcctIDs=$C47),(startDatesCF=EDATE(T$4,-1)))))*INDEX(PBC_ACCOUNT_LIST[Sign_for_total_cashflow],MATCH($C47,PBC_ACCOUNT_LIST[Id],0))</f>
        <v>0</v>
      </c>
      <c r="U47" s="547" cm="1">
        <f t="array" ref="U47">(SUM(_xlfn._xlws.FILTER(_xlfn._xlws.FILTER(dataGLBSCF,dataGLBSAcctIDs=$C47),(endDatesCF=U$5)))-SUM(_xlfn._xlws.FILTER(_xlfn._xlws.FILTER(dataGLBSCF,dataGLBSAcctIDs=$C47),(startDatesCF=EDATE(U$4,-1)))))*INDEX(PBC_ACCOUNT_LIST[Sign_for_total_cashflow],MATCH($C47,PBC_ACCOUNT_LIST[Id],0))</f>
        <v>0</v>
      </c>
      <c r="V47" s="547" cm="1">
        <f t="array" ref="V47">(SUM(_xlfn._xlws.FILTER(_xlfn._xlws.FILTER(dataGLBSCF,dataGLBSAcctIDs=$C47),(endDatesCF=V$5)))-SUM(_xlfn._xlws.FILTER(_xlfn._xlws.FILTER(dataGLBSCF,dataGLBSAcctIDs=$C47),(startDatesCF=EDATE(V$4,-1)))))*INDEX(PBC_ACCOUNT_LIST[Sign_for_total_cashflow],MATCH($C47,PBC_ACCOUNT_LIST[Id],0))</f>
        <v>1000000</v>
      </c>
      <c r="W47" s="547" cm="1">
        <f t="array" ref="W47">(SUM(_xlfn._xlws.FILTER(_xlfn._xlws.FILTER(dataGLBSCF,dataGLBSAcctIDs=$C47),(endDatesCF=W$5)))-SUM(_xlfn._xlws.FILTER(_xlfn._xlws.FILTER(dataGLBSCF,dataGLBSAcctIDs=$C47),(startDatesCF=EDATE(W$4,-1)))))*INDEX(PBC_ACCOUNT_LIST[Sign_for_total_cashflow],MATCH($C47,PBC_ACCOUNT_LIST[Id],0))</f>
        <v>0</v>
      </c>
      <c r="X47" s="547" cm="1">
        <f t="array" ref="X47">(SUM(_xlfn._xlws.FILTER(_xlfn._xlws.FILTER(dataGLBSCF,dataGLBSAcctIDs=$C47),(endDatesCF=X$5)))-SUM(_xlfn._xlws.FILTER(_xlfn._xlws.FILTER(dataGLBSCF,dataGLBSAcctIDs=$C47),(startDatesCF=EDATE(X$4,-1)))))*INDEX(PBC_ACCOUNT_LIST[Sign_for_total_cashflow],MATCH($C47,PBC_ACCOUNT_LIST[Id],0))</f>
        <v>0</v>
      </c>
      <c r="Y47" s="547" cm="1">
        <f t="array" ref="Y47">(SUM(_xlfn._xlws.FILTER(_xlfn._xlws.FILTER(dataGLBSCF,dataGLBSAcctIDs=$C47),(endDatesCF=Y$5)))-SUM(_xlfn._xlws.FILTER(_xlfn._xlws.FILTER(dataGLBSCF,dataGLBSAcctIDs=$C47),(startDatesCF=EDATE(Y$4,-1)))))*INDEX(PBC_ACCOUNT_LIST[Sign_for_total_cashflow],MATCH($C47,PBC_ACCOUNT_LIST[Id],0))</f>
        <v>0</v>
      </c>
      <c r="Z47" s="547" cm="1">
        <f t="array" ref="Z47">(SUM(_xlfn._xlws.FILTER(_xlfn._xlws.FILTER(dataGLBSCF,dataGLBSAcctIDs=$C47),(endDatesCF=Z$5)))-SUM(_xlfn._xlws.FILTER(_xlfn._xlws.FILTER(dataGLBSCF,dataGLBSAcctIDs=$C47),(startDatesCF=EDATE(Z$4,-1)))))*INDEX(PBC_ACCOUNT_LIST[Sign_for_total_cashflow],MATCH($C47,PBC_ACCOUNT_LIST[Id],0))</f>
        <v>0</v>
      </c>
      <c r="AC47" s="547" cm="1">
        <f t="array" ref="AC47">(SUM(_xlfn._xlws.FILTER(_xlfn._xlws.FILTER(dataGLBSCF,dataGLBSAcctIDs=$C47),(endDatesCF=AC$5)))-SUM(_xlfn._xlws.FILTER(_xlfn._xlws.FILTER(dataGLBSCF,dataGLBSAcctIDs=$C47),(startDatesCF=EDATE(AC$4,-1)))))*INDEX(PBC_ACCOUNT_LIST[Sign_for_total_cashflow],MATCH($C47,PBC_ACCOUNT_LIST[Id],0))</f>
        <v>0</v>
      </c>
      <c r="AD47" s="547" cm="1">
        <f t="array" ref="AD47">(SUM(_xlfn._xlws.FILTER(_xlfn._xlws.FILTER(dataGLBSCF,dataGLBSAcctIDs=$C47),(endDatesCF=AD$5)))-SUM(_xlfn._xlws.FILTER(_xlfn._xlws.FILTER(dataGLBSCF,dataGLBSAcctIDs=$C47),(startDatesCF=EDATE(AD$4,-1)))))*INDEX(PBC_ACCOUNT_LIST[Sign_for_total_cashflow],MATCH($C47,PBC_ACCOUNT_LIST[Id],0))</f>
        <v>0</v>
      </c>
      <c r="AE47" s="547" cm="1">
        <f t="array" ref="AE47">(SUM(_xlfn._xlws.FILTER(_xlfn._xlws.FILTER(dataGLBSCF,dataGLBSAcctIDs=$C47),(endDatesCF=AE$5)))-SUM(_xlfn._xlws.FILTER(_xlfn._xlws.FILTER(dataGLBSCF,dataGLBSAcctIDs=$C47),(startDatesCF=EDATE(AE$4,-1)))))*INDEX(PBC_ACCOUNT_LIST[Sign_for_total_cashflow],MATCH($C47,PBC_ACCOUNT_LIST[Id],0))</f>
        <v>0</v>
      </c>
      <c r="AF47" s="547" cm="1">
        <f t="array" ref="AF47">(SUM(_xlfn._xlws.FILTER(_xlfn._xlws.FILTER(dataGLBSCF,dataGLBSAcctIDs=$C47),(endDatesCF=AF$5)))-SUM(_xlfn._xlws.FILTER(_xlfn._xlws.FILTER(dataGLBSCF,dataGLBSAcctIDs=$C47),(startDatesCF=EDATE(AF$4,-1)))))*INDEX(PBC_ACCOUNT_LIST[Sign_for_total_cashflow],MATCH($C47,PBC_ACCOUNT_LIST[Id],0))</f>
        <v>0</v>
      </c>
      <c r="AG47" s="547" cm="1">
        <f t="array" ref="AG47">(SUM(_xlfn._xlws.FILTER(_xlfn._xlws.FILTER(dataGLBSCF,dataGLBSAcctIDs=$C47),(endDatesCF=AG$5)))-SUM(_xlfn._xlws.FILTER(_xlfn._xlws.FILTER(dataGLBSCF,dataGLBSAcctIDs=$C47),(startDatesCF=EDATE(AG$4,-1)))))*INDEX(PBC_ACCOUNT_LIST[Sign_for_total_cashflow],MATCH($C47,PBC_ACCOUNT_LIST[Id],0))</f>
        <v>0</v>
      </c>
      <c r="AH47" s="547" cm="1">
        <f t="array" ref="AH47">(SUM(_xlfn._xlws.FILTER(_xlfn._xlws.FILTER(dataGLBSCF,dataGLBSAcctIDs=$C47),(endDatesCF=AH$5)))-SUM(_xlfn._xlws.FILTER(_xlfn._xlws.FILTER(dataGLBSCF,dataGLBSAcctIDs=$C47),(startDatesCF=EDATE(AH$4,-1)))))*INDEX(PBC_ACCOUNT_LIST[Sign_for_total_cashflow],MATCH($C47,PBC_ACCOUNT_LIST[Id],0))</f>
        <v>1500000</v>
      </c>
      <c r="AI47" s="547" cm="1">
        <f t="array" ref="AI47">(SUM(_xlfn._xlws.FILTER(_xlfn._xlws.FILTER(dataGLBSCF,dataGLBSAcctIDs=$C47),(endDatesCF=AI$5)))-SUM(_xlfn._xlws.FILTER(_xlfn._xlws.FILTER(dataGLBSCF,dataGLBSAcctIDs=$C47),(startDatesCF=EDATE(AI$4,-1)))))*INDEX(PBC_ACCOUNT_LIST[Sign_for_total_cashflow],MATCH($C47,PBC_ACCOUNT_LIST[Id],0))</f>
        <v>0</v>
      </c>
      <c r="AJ47" s="547" cm="1">
        <f t="array" ref="AJ47">(SUM(_xlfn._xlws.FILTER(_xlfn._xlws.FILTER(dataGLBSCF,dataGLBSAcctIDs=$C47),(endDatesCF=AJ$5)))-SUM(_xlfn._xlws.FILTER(_xlfn._xlws.FILTER(dataGLBSCF,dataGLBSAcctIDs=$C47),(startDatesCF=EDATE(AJ$4,-1)))))*INDEX(PBC_ACCOUNT_LIST[Sign_for_total_cashflow],MATCH($C47,PBC_ACCOUNT_LIST[Id],0))</f>
        <v>0</v>
      </c>
      <c r="AK47" s="547" cm="1">
        <f t="array" ref="AK47">(SUM(_xlfn._xlws.FILTER(_xlfn._xlws.FILTER(dataGLBSCF,dataGLBSAcctIDs=$C47),(endDatesCF=AK$5)))-SUM(_xlfn._xlws.FILTER(_xlfn._xlws.FILTER(dataGLBSCF,dataGLBSAcctIDs=$C47),(startDatesCF=EDATE(AK$4,-1)))))*INDEX(PBC_ACCOUNT_LIST[Sign_for_total_cashflow],MATCH($C47,PBC_ACCOUNT_LIST[Id],0))</f>
        <v>0</v>
      </c>
      <c r="AL47" s="547" cm="1">
        <f t="array" ref="AL47">(SUM(_xlfn._xlws.FILTER(_xlfn._xlws.FILTER(dataGLBSCF,dataGLBSAcctIDs=$C47),(endDatesCF=AL$5)))-SUM(_xlfn._xlws.FILTER(_xlfn._xlws.FILTER(dataGLBSCF,dataGLBSAcctIDs=$C47),(startDatesCF=EDATE(AL$4,-1)))))*INDEX(PBC_ACCOUNT_LIST[Sign_for_total_cashflow],MATCH($C47,PBC_ACCOUNT_LIST[Id],0))</f>
        <v>0</v>
      </c>
      <c r="AM47" s="547" cm="1">
        <f t="array" ref="AM47">(SUM(_xlfn._xlws.FILTER(_xlfn._xlws.FILTER(dataGLBSCF,dataGLBSAcctIDs=$C47),(endDatesCF=AM$5)))-SUM(_xlfn._xlws.FILTER(_xlfn._xlws.FILTER(dataGLBSCF,dataGLBSAcctIDs=$C47),(startDatesCF=EDATE(AM$4,-1)))))*INDEX(PBC_ACCOUNT_LIST[Sign_for_total_cashflow],MATCH($C47,PBC_ACCOUNT_LIST[Id],0))</f>
        <v>500000</v>
      </c>
      <c r="AN47" s="547" cm="1">
        <f t="array" ref="AN47">(SUM(_xlfn._xlws.FILTER(_xlfn._xlws.FILTER(dataGLBSCF,dataGLBSAcctIDs=$C47),(endDatesCF=AN$5)))-SUM(_xlfn._xlws.FILTER(_xlfn._xlws.FILTER(dataGLBSCF,dataGLBSAcctIDs=$C47),(startDatesCF=EDATE(AN$4,-1)))))*INDEX(PBC_ACCOUNT_LIST[Sign_for_total_cashflow],MATCH($C47,PBC_ACCOUNT_LIST[Id],0))</f>
        <v>1000000</v>
      </c>
      <c r="AO47" s="547" cm="1">
        <f t="array" ref="AO47">(SUM(_xlfn._xlws.FILTER(_xlfn._xlws.FILTER(dataGLBSCF,dataGLBSAcctIDs=$C47),(endDatesCF=AO$5)))-SUM(_xlfn._xlws.FILTER(_xlfn._xlws.FILTER(dataGLBSCF,dataGLBSAcctIDs=$C47),(startDatesCF=EDATE(AO$4,-1)))))*INDEX(PBC_ACCOUNT_LIST[Sign_for_total_cashflow],MATCH($C47,PBC_ACCOUNT_LIST[Id],0))</f>
        <v>0</v>
      </c>
      <c r="AP47" s="547" cm="1">
        <f t="array" ref="AP47">(SUM(_xlfn._xlws.FILTER(_xlfn._xlws.FILTER(dataGLBSCF,dataGLBSAcctIDs=$C47),(endDatesCF=AP$5)))-SUM(_xlfn._xlws.FILTER(_xlfn._xlws.FILTER(dataGLBSCF,dataGLBSAcctIDs=$C47),(startDatesCF=EDATE(AP$4,-1)))))*INDEX(PBC_ACCOUNT_LIST[Sign_for_total_cashflow],MATCH($C47,PBC_ACCOUNT_LIST[Id],0))</f>
        <v>0</v>
      </c>
      <c r="AQ47" s="547" cm="1">
        <f t="array" ref="AQ47">(SUM(_xlfn._xlws.FILTER(_xlfn._xlws.FILTER(dataGLBSCF,dataGLBSAcctIDs=$C47),(endDatesCF=AQ$5)))-SUM(_xlfn._xlws.FILTER(_xlfn._xlws.FILTER(dataGLBSCF,dataGLBSAcctIDs=$C47),(startDatesCF=EDATE(AQ$4,-1)))))*INDEX(PBC_ACCOUNT_LIST[Sign_for_total_cashflow],MATCH($C47,PBC_ACCOUNT_LIST[Id],0))</f>
        <v>0</v>
      </c>
      <c r="AR47" s="547" cm="1">
        <f t="array" ref="AR47">(SUM(_xlfn._xlws.FILTER(_xlfn._xlws.FILTER(dataGLBSCF,dataGLBSAcctIDs=$C47),(endDatesCF=AR$5)))-SUM(_xlfn._xlws.FILTER(_xlfn._xlws.FILTER(dataGLBSCF,dataGLBSAcctIDs=$C47),(startDatesCF=EDATE(AR$4,-1)))))*INDEX(PBC_ACCOUNT_LIST[Sign_for_total_cashflow],MATCH($C47,PBC_ACCOUNT_LIST[Id],0))</f>
        <v>0</v>
      </c>
      <c r="AS47" s="547" cm="1">
        <f t="array" ref="AS47">(SUM(_xlfn._xlws.FILTER(_xlfn._xlws.FILTER(dataGLBSCF,dataGLBSAcctIDs=$C47),(endDatesCF=AS$5)))-SUM(_xlfn._xlws.FILTER(_xlfn._xlws.FILTER(dataGLBSCF,dataGLBSAcctIDs=$C47),(startDatesCF=EDATE(AS$4,-1)))))*INDEX(PBC_ACCOUNT_LIST[Sign_for_total_cashflow],MATCH($C47,PBC_ACCOUNT_LIST[Id],0))</f>
        <v>0</v>
      </c>
      <c r="AT47" s="547" cm="1">
        <f t="array" ref="AT47">(SUM(_xlfn._xlws.FILTER(_xlfn._xlws.FILTER(dataGLBSCF,dataGLBSAcctIDs=$C47),(endDatesCF=AT$5)))-SUM(_xlfn._xlws.FILTER(_xlfn._xlws.FILTER(dataGLBSCF,dataGLBSAcctIDs=$C47),(startDatesCF=EDATE(AT$4,-1)))))*INDEX(PBC_ACCOUNT_LIST[Sign_for_total_cashflow],MATCH($C47,PBC_ACCOUNT_LIST[Id],0))</f>
        <v>0</v>
      </c>
      <c r="AU47" s="547" cm="1">
        <f t="array" ref="AU47">(SUM(_xlfn._xlws.FILTER(_xlfn._xlws.FILTER(dataGLBSCF,dataGLBSAcctIDs=$C47),(endDatesCF=AU$5)))-SUM(_xlfn._xlws.FILTER(_xlfn._xlws.FILTER(dataGLBSCF,dataGLBSAcctIDs=$C47),(startDatesCF=EDATE(AU$4,-1)))))*INDEX(PBC_ACCOUNT_LIST[Sign_for_total_cashflow],MATCH($C47,PBC_ACCOUNT_LIST[Id],0))</f>
        <v>0</v>
      </c>
      <c r="AV47" s="547" cm="1">
        <f t="array" ref="AV47">(SUM(_xlfn._xlws.FILTER(_xlfn._xlws.FILTER(dataGLBSCF,dataGLBSAcctIDs=$C47),(endDatesCF=AV$5)))-SUM(_xlfn._xlws.FILTER(_xlfn._xlws.FILTER(dataGLBSCF,dataGLBSAcctIDs=$C47),(startDatesCF=EDATE(AV$4,-1)))))*INDEX(PBC_ACCOUNT_LIST[Sign_for_total_cashflow],MATCH($C47,PBC_ACCOUNT_LIST[Id],0))</f>
        <v>0</v>
      </c>
      <c r="AW47" s="547" cm="1">
        <f t="array" ref="AW47">(SUM(_xlfn._xlws.FILTER(_xlfn._xlws.FILTER(dataGLBSCF,dataGLBSAcctIDs=$C47),(endDatesCF=AW$5)))-SUM(_xlfn._xlws.FILTER(_xlfn._xlws.FILTER(dataGLBSCF,dataGLBSAcctIDs=$C47),(startDatesCF=EDATE(AW$4,-1)))))*INDEX(PBC_ACCOUNT_LIST[Sign_for_total_cashflow],MATCH($C47,PBC_ACCOUNT_LIST[Id],0))</f>
        <v>0</v>
      </c>
      <c r="AX47" s="547" cm="1">
        <f t="array" ref="AX47">(SUM(_xlfn._xlws.FILTER(_xlfn._xlws.FILTER(dataGLBSCF,dataGLBSAcctIDs=$C47),(endDatesCF=AX$5)))-SUM(_xlfn._xlws.FILTER(_xlfn._xlws.FILTER(dataGLBSCF,dataGLBSAcctIDs=$C47),(startDatesCF=EDATE(AX$4,-1)))))*INDEX(PBC_ACCOUNT_LIST[Sign_for_total_cashflow],MATCH($C47,PBC_ACCOUNT_LIST[Id],0))</f>
        <v>0</v>
      </c>
      <c r="AY47" s="547" cm="1">
        <f t="array" ref="AY47">(SUM(_xlfn._xlws.FILTER(_xlfn._xlws.FILTER(dataGLBSCF,dataGLBSAcctIDs=$C47),(endDatesCF=AY$5)))-SUM(_xlfn._xlws.FILTER(_xlfn._xlws.FILTER(dataGLBSCF,dataGLBSAcctIDs=$C47),(startDatesCF=EDATE(AY$4,-1)))))*INDEX(PBC_ACCOUNT_LIST[Sign_for_total_cashflow],MATCH($C47,PBC_ACCOUNT_LIST[Id],0))</f>
        <v>0</v>
      </c>
      <c r="AZ47" s="547" cm="1">
        <f t="array" ref="AZ47">(SUM(_xlfn._xlws.FILTER(_xlfn._xlws.FILTER(dataGLBSCF,dataGLBSAcctIDs=$C47),(endDatesCF=AZ$5)))-SUM(_xlfn._xlws.FILTER(_xlfn._xlws.FILTER(dataGLBSCF,dataGLBSAcctIDs=$C47),(startDatesCF=EDATE(AZ$4,-1)))))*INDEX(PBC_ACCOUNT_LIST[Sign_for_total_cashflow],MATCH($C47,PBC_ACCOUNT_LIST[Id],0))</f>
        <v>0</v>
      </c>
      <c r="BA47" s="547" cm="1">
        <f t="array" ref="BA47">(SUM(_xlfn._xlws.FILTER(_xlfn._xlws.FILTER(dataGLBSCF,dataGLBSAcctIDs=$C47),(endDatesCF=BA$5)))-SUM(_xlfn._xlws.FILTER(_xlfn._xlws.FILTER(dataGLBSCF,dataGLBSAcctIDs=$C47),(startDatesCF=EDATE(BA$4,-1)))))*INDEX(PBC_ACCOUNT_LIST[Sign_for_total_cashflow],MATCH($C47,PBC_ACCOUNT_LIST[Id],0))</f>
        <v>0</v>
      </c>
      <c r="BB47" s="547" cm="1">
        <f t="array" ref="BB47">(SUM(_xlfn._xlws.FILTER(_xlfn._xlws.FILTER(dataGLBSCF,dataGLBSAcctIDs=$C47),(endDatesCF=BB$5)))-SUM(_xlfn._xlws.FILTER(_xlfn._xlws.FILTER(dataGLBSCF,dataGLBSAcctIDs=$C47),(startDatesCF=EDATE(BB$4,-1)))))*INDEX(PBC_ACCOUNT_LIST[Sign_for_total_cashflow],MATCH($C47,PBC_ACCOUNT_LIST[Id],0))</f>
        <v>0</v>
      </c>
      <c r="BC47" s="547" cm="1">
        <f t="array" ref="BC47">(SUM(_xlfn._xlws.FILTER(_xlfn._xlws.FILTER(dataGLBSCF,dataGLBSAcctIDs=$C47),(endDatesCF=BC$5)))-SUM(_xlfn._xlws.FILTER(_xlfn._xlws.FILTER(dataGLBSCF,dataGLBSAcctIDs=$C47),(startDatesCF=EDATE(BC$4,-1)))))*INDEX(PBC_ACCOUNT_LIST[Sign_for_total_cashflow],MATCH($C47,PBC_ACCOUNT_LIST[Id],0))</f>
        <v>0</v>
      </c>
      <c r="BD47" s="547" cm="1">
        <f t="array" ref="BD47">(SUM(_xlfn._xlws.FILTER(_xlfn._xlws.FILTER(dataGLBSCF,dataGLBSAcctIDs=$C47),(endDatesCF=BD$5)))-SUM(_xlfn._xlws.FILTER(_xlfn._xlws.FILTER(dataGLBSCF,dataGLBSAcctIDs=$C47),(startDatesCF=EDATE(BD$4,-1)))))*INDEX(PBC_ACCOUNT_LIST[Sign_for_total_cashflow],MATCH($C47,PBC_ACCOUNT_LIST[Id],0))</f>
        <v>0</v>
      </c>
      <c r="BE47" s="547" cm="1">
        <f t="array" ref="BE47">(SUM(_xlfn._xlws.FILTER(_xlfn._xlws.FILTER(dataGLBSCF,dataGLBSAcctIDs=$C47),(endDatesCF=BE$5)))-SUM(_xlfn._xlws.FILTER(_xlfn._xlws.FILTER(dataGLBSCF,dataGLBSAcctIDs=$C47),(startDatesCF=EDATE(BE$4,-1)))))*INDEX(PBC_ACCOUNT_LIST[Sign_for_total_cashflow],MATCH($C47,PBC_ACCOUNT_LIST[Id],0))</f>
        <v>0</v>
      </c>
      <c r="BF47" s="547" cm="1">
        <f t="array" ref="BF47">(SUM(_xlfn._xlws.FILTER(_xlfn._xlws.FILTER(dataGLBSCF,dataGLBSAcctIDs=$C47),(endDatesCF=BF$5)))-SUM(_xlfn._xlws.FILTER(_xlfn._xlws.FILTER(dataGLBSCF,dataGLBSAcctIDs=$C47),(startDatesCF=EDATE(BF$4,-1)))))*INDEX(PBC_ACCOUNT_LIST[Sign_for_total_cashflow],MATCH($C47,PBC_ACCOUNT_LIST[Id],0))</f>
        <v>0</v>
      </c>
      <c r="BG47" s="547" cm="1">
        <f t="array" ref="BG47">(SUM(_xlfn._xlws.FILTER(_xlfn._xlws.FILTER(dataGLBSCF,dataGLBSAcctIDs=$C47),(endDatesCF=BG$5)))-SUM(_xlfn._xlws.FILTER(_xlfn._xlws.FILTER(dataGLBSCF,dataGLBSAcctIDs=$C47),(startDatesCF=EDATE(BG$4,-1)))))*INDEX(PBC_ACCOUNT_LIST[Sign_for_total_cashflow],MATCH($C47,PBC_ACCOUNT_LIST[Id],0))</f>
        <v>0</v>
      </c>
      <c r="BH47" s="547" cm="1">
        <f t="array" ref="BH47">(SUM(_xlfn._xlws.FILTER(_xlfn._xlws.FILTER(dataGLBSCF,dataGLBSAcctIDs=$C47),(endDatesCF=BH$5)))-SUM(_xlfn._xlws.FILTER(_xlfn._xlws.FILTER(dataGLBSCF,dataGLBSAcctIDs=$C47),(startDatesCF=EDATE(BH$4,-1)))))*INDEX(PBC_ACCOUNT_LIST[Sign_for_total_cashflow],MATCH($C47,PBC_ACCOUNT_LIST[Id],0))</f>
        <v>0</v>
      </c>
      <c r="BI47" s="547" cm="1">
        <f t="array" ref="BI47">(SUM(_xlfn._xlws.FILTER(_xlfn._xlws.FILTER(dataGLBSCF,dataGLBSAcctIDs=$C47),(endDatesCF=BI$5)))-SUM(_xlfn._xlws.FILTER(_xlfn._xlws.FILTER(dataGLBSCF,dataGLBSAcctIDs=$C47),(startDatesCF=EDATE(BI$4,-1)))))*INDEX(PBC_ACCOUNT_LIST[Sign_for_total_cashflow],MATCH($C47,PBC_ACCOUNT_LIST[Id],0))</f>
        <v>0</v>
      </c>
      <c r="BJ47" s="547" cm="1">
        <f t="array" ref="BJ47">(SUM(_xlfn._xlws.FILTER(_xlfn._xlws.FILTER(dataGLBSCF,dataGLBSAcctIDs=$C47),(endDatesCF=BJ$5)))-SUM(_xlfn._xlws.FILTER(_xlfn._xlws.FILTER(dataGLBSCF,dataGLBSAcctIDs=$C47),(startDatesCF=EDATE(BJ$4,-1)))))*INDEX(PBC_ACCOUNT_LIST[Sign_for_total_cashflow],MATCH($C47,PBC_ACCOUNT_LIST[Id],0))</f>
        <v>0</v>
      </c>
      <c r="BK47" s="547" cm="1">
        <f t="array" ref="BK47">(SUM(_xlfn._xlws.FILTER(_xlfn._xlws.FILTER(dataGLBSCF,dataGLBSAcctIDs=$C47),(endDatesCF=BK$5)))-SUM(_xlfn._xlws.FILTER(_xlfn._xlws.FILTER(dataGLBSCF,dataGLBSAcctIDs=$C47),(startDatesCF=EDATE(BK$4,-1)))))*INDEX(PBC_ACCOUNT_LIST[Sign_for_total_cashflow],MATCH($C47,PBC_ACCOUNT_LIST[Id],0))</f>
        <v>0</v>
      </c>
      <c r="BL47" s="547" cm="1">
        <f t="array" ref="BL47">(SUM(_xlfn._xlws.FILTER(_xlfn._xlws.FILTER(dataGLBSCF,dataGLBSAcctIDs=$C47),(endDatesCF=BL$5)))-SUM(_xlfn._xlws.FILTER(_xlfn._xlws.FILTER(dataGLBSCF,dataGLBSAcctIDs=$C47),(startDatesCF=EDATE(BL$4,-1)))))*INDEX(PBC_ACCOUNT_LIST[Sign_for_total_cashflow],MATCH($C47,PBC_ACCOUNT_LIST[Id],0))</f>
        <v>1000000</v>
      </c>
      <c r="BM47" s="547" cm="1">
        <f t="array" ref="BM47">(SUM(_xlfn._xlws.FILTER(_xlfn._xlws.FILTER(dataGLBSCF,dataGLBSAcctIDs=$C47),(endDatesCF=BM$5)))-SUM(_xlfn._xlws.FILTER(_xlfn._xlws.FILTER(dataGLBSCF,dataGLBSAcctIDs=$C47),(startDatesCF=EDATE(BM$4,-1)))))*INDEX(PBC_ACCOUNT_LIST[Sign_for_total_cashflow],MATCH($C47,PBC_ACCOUNT_LIST[Id],0))</f>
        <v>0</v>
      </c>
      <c r="BN47" s="547" cm="1">
        <f t="array" ref="BN47">(SUM(_xlfn._xlws.FILTER(_xlfn._xlws.FILTER(dataGLBSCF,dataGLBSAcctIDs=$C47),(endDatesCF=BN$5)))-SUM(_xlfn._xlws.FILTER(_xlfn._xlws.FILTER(dataGLBSCF,dataGLBSAcctIDs=$C47),(startDatesCF=EDATE(BN$4,-1)))))*INDEX(PBC_ACCOUNT_LIST[Sign_for_total_cashflow],MATCH($C47,PBC_ACCOUNT_LIST[Id],0))</f>
        <v>0</v>
      </c>
      <c r="BO47" s="547" cm="1">
        <f t="array" ref="BO47">(SUM(_xlfn._xlws.FILTER(_xlfn._xlws.FILTER(dataGLBSCF,dataGLBSAcctIDs=$C47),(endDatesCF=BO$5)))-SUM(_xlfn._xlws.FILTER(_xlfn._xlws.FILTER(dataGLBSCF,dataGLBSAcctIDs=$C47),(startDatesCF=EDATE(BO$4,-1)))))*INDEX(PBC_ACCOUNT_LIST[Sign_for_total_cashflow],MATCH($C47,PBC_ACCOUNT_LIST[Id],0))</f>
        <v>0</v>
      </c>
      <c r="BP47" s="547" cm="1">
        <f t="array" ref="BP47">(SUM(_xlfn._xlws.FILTER(_xlfn._xlws.FILTER(dataGLBSCF,dataGLBSAcctIDs=$C47),(endDatesCF=BP$5)))-SUM(_xlfn._xlws.FILTER(_xlfn._xlws.FILTER(dataGLBSCF,dataGLBSAcctIDs=$C47),(startDatesCF=EDATE(BP$4,-1)))))*INDEX(PBC_ACCOUNT_LIST[Sign_for_total_cashflow],MATCH($C47,PBC_ACCOUNT_LIST[Id],0))</f>
        <v>0</v>
      </c>
      <c r="BQ47" s="547" cm="1">
        <f t="array" ref="BQ47">(SUM(_xlfn._xlws.FILTER(_xlfn._xlws.FILTER(dataGLBSCF,dataGLBSAcctIDs=$C47),(endDatesCF=BQ$5)))-SUM(_xlfn._xlws.FILTER(_xlfn._xlws.FILTER(dataGLBSCF,dataGLBSAcctIDs=$C47),(startDatesCF=EDATE(BQ$4,-1)))))*INDEX(PBC_ACCOUNT_LIST[Sign_for_total_cashflow],MATCH($C47,PBC_ACCOUNT_LIST[Id],0))</f>
        <v>0</v>
      </c>
      <c r="BR47" s="547" cm="1">
        <f t="array" ref="BR47">(SUM(_xlfn._xlws.FILTER(_xlfn._xlws.FILTER(dataGLBSCF,dataGLBSAcctIDs=$C47),(endDatesCF=BR$5)))-SUM(_xlfn._xlws.FILTER(_xlfn._xlws.FILTER(dataGLBSCF,dataGLBSAcctIDs=$C47),(startDatesCF=EDATE(BR$4,-1)))))*INDEX(PBC_ACCOUNT_LIST[Sign_for_total_cashflow],MATCH($C47,PBC_ACCOUNT_LIST[Id],0))</f>
        <v>0</v>
      </c>
      <c r="BS47" s="547" cm="1">
        <f t="array" ref="BS47">(SUM(_xlfn._xlws.FILTER(_xlfn._xlws.FILTER(dataGLBSCF,dataGLBSAcctIDs=$C47),(endDatesCF=BS$5)))-SUM(_xlfn._xlws.FILTER(_xlfn._xlws.FILTER(dataGLBSCF,dataGLBSAcctIDs=$C47),(startDatesCF=EDATE(BS$4,-1)))))*INDEX(PBC_ACCOUNT_LIST[Sign_for_total_cashflow],MATCH($C47,PBC_ACCOUNT_LIST[Id],0))</f>
        <v>0</v>
      </c>
      <c r="BT47" s="547" cm="1">
        <f t="array" ref="BT47">(SUM(_xlfn._xlws.FILTER(_xlfn._xlws.FILTER(dataGLBSCF,dataGLBSAcctIDs=$C47),(endDatesCF=BT$5)))-SUM(_xlfn._xlws.FILTER(_xlfn._xlws.FILTER(dataGLBSCF,dataGLBSAcctIDs=$C47),(startDatesCF=EDATE(BT$4,-1)))))*INDEX(PBC_ACCOUNT_LIST[Sign_for_total_cashflow],MATCH($C47,PBC_ACCOUNT_LIST[Id],0))</f>
        <v>0</v>
      </c>
      <c r="BU47" s="547" cm="1">
        <f t="array" ref="BU47">(SUM(_xlfn._xlws.FILTER(_xlfn._xlws.FILTER(dataGLBSCF,dataGLBSAcctIDs=$C47),(endDatesCF=BU$5)))-SUM(_xlfn._xlws.FILTER(_xlfn._xlws.FILTER(dataGLBSCF,dataGLBSAcctIDs=$C47),(startDatesCF=EDATE(BU$4,-1)))))*INDEX(PBC_ACCOUNT_LIST[Sign_for_total_cashflow],MATCH($C47,PBC_ACCOUNT_LIST[Id],0))</f>
        <v>0</v>
      </c>
      <c r="BV47" s="547" cm="1">
        <f t="array" ref="BV47">(SUM(_xlfn._xlws.FILTER(_xlfn._xlws.FILTER(dataGLBSCF,dataGLBSAcctIDs=$C47),(endDatesCF=BV$5)))-SUM(_xlfn._xlws.FILTER(_xlfn._xlws.FILTER(dataGLBSCF,dataGLBSAcctIDs=$C47),(startDatesCF=EDATE(BV$4,-1)))))*INDEX(PBC_ACCOUNT_LIST[Sign_for_total_cashflow],MATCH($C47,PBC_ACCOUNT_LIST[Id],0))</f>
        <v>0</v>
      </c>
      <c r="BW47" s="547" cm="1">
        <f t="array" ref="BW47">(SUM(_xlfn._xlws.FILTER(_xlfn._xlws.FILTER(dataGLBSCF,dataGLBSAcctIDs=$C47),(endDatesCF=BW$5)))-SUM(_xlfn._xlws.FILTER(_xlfn._xlws.FILTER(dataGLBSCF,dataGLBSAcctIDs=$C47),(startDatesCF=EDATE(BW$4,-1)))))*INDEX(PBC_ACCOUNT_LIST[Sign_for_total_cashflow],MATCH($C47,PBC_ACCOUNT_LIST[Id],0))</f>
        <v>0</v>
      </c>
      <c r="BX47" s="547" cm="1">
        <f t="array" ref="BX47">(SUM(_xlfn._xlws.FILTER(_xlfn._xlws.FILTER(dataGLBSCF,dataGLBSAcctIDs=$C47),(endDatesCF=BX$5)))-SUM(_xlfn._xlws.FILTER(_xlfn._xlws.FILTER(dataGLBSCF,dataGLBSAcctIDs=$C47),(startDatesCF=EDATE(BX$4,-1)))))*INDEX(PBC_ACCOUNT_LIST[Sign_for_total_cashflow],MATCH($C47,PBC_ACCOUNT_LIST[Id],0))</f>
        <v>0</v>
      </c>
    </row>
    <row r="48" spans="1:76" customFormat="1" ht="21" customHeight="1">
      <c r="B48" s="685" t="s">
        <v>327</v>
      </c>
      <c r="C48">
        <v>59</v>
      </c>
      <c r="E48" s="547" cm="1">
        <f t="array" ref="E48">(SUM(_xlfn._xlws.FILTER(_xlfn._xlws.FILTER(dataGLBSCF,dataGLBSAcctIDs=$C48),(endDatesCF=E$5)))-SUM(_xlfn._xlws.FILTER(_xlfn._xlws.FILTER(dataGLBSCF,dataGLBSAcctIDs=$C48),(startDatesCF=EDATE(E$4,-1)))))*INDEX(PBC_ACCOUNT_LIST[Sign_for_total_cashflow],MATCH($C48,PBC_ACCOUNT_LIST[Id],0))</f>
        <v>0</v>
      </c>
      <c r="F48" s="547" cm="1">
        <f t="array" ref="F48">(SUM(_xlfn._xlws.FILTER(_xlfn._xlws.FILTER(dataGLBSCF,dataGLBSAcctIDs=$C48),(endDatesCF=F$5)))-SUM(_xlfn._xlws.FILTER(_xlfn._xlws.FILTER(dataGLBSCF,dataGLBSAcctIDs=$C48),(startDatesCF=EDATE(F$4,-1)))))*INDEX(PBC_ACCOUNT_LIST[Sign_for_total_cashflow],MATCH($C48,PBC_ACCOUNT_LIST[Id],0))</f>
        <v>0</v>
      </c>
      <c r="G48" s="547" cm="1">
        <f t="array" ref="G48">(SUM(_xlfn._xlws.FILTER(_xlfn._xlws.FILTER(dataGLBSCF,dataGLBSAcctIDs=$C48),(endDatesCF=G$5)))-SUM(_xlfn._xlws.FILTER(_xlfn._xlws.FILTER(dataGLBSCF,dataGLBSAcctIDs=$C48),(startDatesCF=EDATE(G$4,-1)))))*INDEX(PBC_ACCOUNT_LIST[Sign_for_total_cashflow],MATCH($C48,PBC_ACCOUNT_LIST[Id],0))</f>
        <v>0</v>
      </c>
      <c r="H48" s="547" cm="1">
        <f t="array" ref="H48">(SUM(_xlfn._xlws.FILTER(_xlfn._xlws.FILTER(dataGLBSCF,dataGLBSAcctIDs=$C48),(endDatesCF=H$5)))-SUM(_xlfn._xlws.FILTER(_xlfn._xlws.FILTER(dataGLBSCF,dataGLBSAcctIDs=$C48),(startDatesCF=EDATE(H$4,-1)))))*INDEX(PBC_ACCOUNT_LIST[Sign_for_total_cashflow],MATCH($C48,PBC_ACCOUNT_LIST[Id],0))</f>
        <v>0</v>
      </c>
      <c r="K48" s="547" cm="1">
        <f t="array" ref="K48">(SUM(_xlfn._xlws.FILTER(_xlfn._xlws.FILTER(dataGLBSCF,dataGLBSAcctIDs=$C48),(endDatesCF=K$5)))-SUM(_xlfn._xlws.FILTER(_xlfn._xlws.FILTER(dataGLBSCF,dataGLBSAcctIDs=$C48),(startDatesCF=EDATE(K$4,-1)))))*INDEX(PBC_ACCOUNT_LIST[Sign_for_total_cashflow],MATCH($C48,PBC_ACCOUNT_LIST[Id],0))</f>
        <v>0</v>
      </c>
      <c r="L48" s="547" cm="1">
        <f t="array" ref="L48">(SUM(_xlfn._xlws.FILTER(_xlfn._xlws.FILTER(dataGLBSCF,dataGLBSAcctIDs=$C48),(endDatesCF=L$5)))-SUM(_xlfn._xlws.FILTER(_xlfn._xlws.FILTER(dataGLBSCF,dataGLBSAcctIDs=$C48),(startDatesCF=EDATE(L$4,-1)))))*INDEX(PBC_ACCOUNT_LIST[Sign_for_total_cashflow],MATCH($C48,PBC_ACCOUNT_LIST[Id],0))</f>
        <v>0</v>
      </c>
      <c r="M48" s="547" cm="1">
        <f t="array" ref="M48">(SUM(_xlfn._xlws.FILTER(_xlfn._xlws.FILTER(dataGLBSCF,dataGLBSAcctIDs=$C48),(endDatesCF=M$5)))-SUM(_xlfn._xlws.FILTER(_xlfn._xlws.FILTER(dataGLBSCF,dataGLBSAcctIDs=$C48),(startDatesCF=EDATE(M$4,-1)))))*INDEX(PBC_ACCOUNT_LIST[Sign_for_total_cashflow],MATCH($C48,PBC_ACCOUNT_LIST[Id],0))</f>
        <v>0</v>
      </c>
      <c r="N48" s="547" cm="1">
        <f t="array" ref="N48">(SUM(_xlfn._xlws.FILTER(_xlfn._xlws.FILTER(dataGLBSCF,dataGLBSAcctIDs=$C48),(endDatesCF=N$5)))-SUM(_xlfn._xlws.FILTER(_xlfn._xlws.FILTER(dataGLBSCF,dataGLBSAcctIDs=$C48),(startDatesCF=EDATE(N$4,-1)))))*INDEX(PBC_ACCOUNT_LIST[Sign_for_total_cashflow],MATCH($C48,PBC_ACCOUNT_LIST[Id],0))</f>
        <v>0</v>
      </c>
      <c r="O48" s="547" cm="1">
        <f t="array" ref="O48">(SUM(_xlfn._xlws.FILTER(_xlfn._xlws.FILTER(dataGLBSCF,dataGLBSAcctIDs=$C48),(endDatesCF=O$5)))-SUM(_xlfn._xlws.FILTER(_xlfn._xlws.FILTER(dataGLBSCF,dataGLBSAcctIDs=$C48),(startDatesCF=EDATE(O$4,-1)))))*INDEX(PBC_ACCOUNT_LIST[Sign_for_total_cashflow],MATCH($C48,PBC_ACCOUNT_LIST[Id],0))</f>
        <v>0</v>
      </c>
      <c r="P48" s="547" cm="1">
        <f t="array" ref="P48">(SUM(_xlfn._xlws.FILTER(_xlfn._xlws.FILTER(dataGLBSCF,dataGLBSAcctIDs=$C48),(endDatesCF=P$5)))-SUM(_xlfn._xlws.FILTER(_xlfn._xlws.FILTER(dataGLBSCF,dataGLBSAcctIDs=$C48),(startDatesCF=EDATE(P$4,-1)))))*INDEX(PBC_ACCOUNT_LIST[Sign_for_total_cashflow],MATCH($C48,PBC_ACCOUNT_LIST[Id],0))</f>
        <v>0</v>
      </c>
      <c r="Q48" s="547" cm="1">
        <f t="array" ref="Q48">(SUM(_xlfn._xlws.FILTER(_xlfn._xlws.FILTER(dataGLBSCF,dataGLBSAcctIDs=$C48),(endDatesCF=Q$5)))-SUM(_xlfn._xlws.FILTER(_xlfn._xlws.FILTER(dataGLBSCF,dataGLBSAcctIDs=$C48),(startDatesCF=EDATE(Q$4,-1)))))*INDEX(PBC_ACCOUNT_LIST[Sign_for_total_cashflow],MATCH($C48,PBC_ACCOUNT_LIST[Id],0))</f>
        <v>0</v>
      </c>
      <c r="R48" s="547" cm="1">
        <f t="array" ref="R48">(SUM(_xlfn._xlws.FILTER(_xlfn._xlws.FILTER(dataGLBSCF,dataGLBSAcctIDs=$C48),(endDatesCF=R$5)))-SUM(_xlfn._xlws.FILTER(_xlfn._xlws.FILTER(dataGLBSCF,dataGLBSAcctIDs=$C48),(startDatesCF=EDATE(R$4,-1)))))*INDEX(PBC_ACCOUNT_LIST[Sign_for_total_cashflow],MATCH($C48,PBC_ACCOUNT_LIST[Id],0))</f>
        <v>0</v>
      </c>
      <c r="S48" s="547" cm="1">
        <f t="array" ref="S48">(SUM(_xlfn._xlws.FILTER(_xlfn._xlws.FILTER(dataGLBSCF,dataGLBSAcctIDs=$C48),(endDatesCF=S$5)))-SUM(_xlfn._xlws.FILTER(_xlfn._xlws.FILTER(dataGLBSCF,dataGLBSAcctIDs=$C48),(startDatesCF=EDATE(S$4,-1)))))*INDEX(PBC_ACCOUNT_LIST[Sign_for_total_cashflow],MATCH($C48,PBC_ACCOUNT_LIST[Id],0))</f>
        <v>0</v>
      </c>
      <c r="T48" s="547" cm="1">
        <f t="array" ref="T48">(SUM(_xlfn._xlws.FILTER(_xlfn._xlws.FILTER(dataGLBSCF,dataGLBSAcctIDs=$C48),(endDatesCF=T$5)))-SUM(_xlfn._xlws.FILTER(_xlfn._xlws.FILTER(dataGLBSCF,dataGLBSAcctIDs=$C48),(startDatesCF=EDATE(T$4,-1)))))*INDEX(PBC_ACCOUNT_LIST[Sign_for_total_cashflow],MATCH($C48,PBC_ACCOUNT_LIST[Id],0))</f>
        <v>0</v>
      </c>
      <c r="U48" s="547" cm="1">
        <f t="array" ref="U48">(SUM(_xlfn._xlws.FILTER(_xlfn._xlws.FILTER(dataGLBSCF,dataGLBSAcctIDs=$C48),(endDatesCF=U$5)))-SUM(_xlfn._xlws.FILTER(_xlfn._xlws.FILTER(dataGLBSCF,dataGLBSAcctIDs=$C48),(startDatesCF=EDATE(U$4,-1)))))*INDEX(PBC_ACCOUNT_LIST[Sign_for_total_cashflow],MATCH($C48,PBC_ACCOUNT_LIST[Id],0))</f>
        <v>0</v>
      </c>
      <c r="V48" s="547" cm="1">
        <f t="array" ref="V48">(SUM(_xlfn._xlws.FILTER(_xlfn._xlws.FILTER(dataGLBSCF,dataGLBSAcctIDs=$C48),(endDatesCF=V$5)))-SUM(_xlfn._xlws.FILTER(_xlfn._xlws.FILTER(dataGLBSCF,dataGLBSAcctIDs=$C48),(startDatesCF=EDATE(V$4,-1)))))*INDEX(PBC_ACCOUNT_LIST[Sign_for_total_cashflow],MATCH($C48,PBC_ACCOUNT_LIST[Id],0))</f>
        <v>0</v>
      </c>
      <c r="W48" s="547" cm="1">
        <f t="array" ref="W48">(SUM(_xlfn._xlws.FILTER(_xlfn._xlws.FILTER(dataGLBSCF,dataGLBSAcctIDs=$C48),(endDatesCF=W$5)))-SUM(_xlfn._xlws.FILTER(_xlfn._xlws.FILTER(dataGLBSCF,dataGLBSAcctIDs=$C48),(startDatesCF=EDATE(W$4,-1)))))*INDEX(PBC_ACCOUNT_LIST[Sign_for_total_cashflow],MATCH($C48,PBC_ACCOUNT_LIST[Id],0))</f>
        <v>0</v>
      </c>
      <c r="X48" s="547" cm="1">
        <f t="array" ref="X48">(SUM(_xlfn._xlws.FILTER(_xlfn._xlws.FILTER(dataGLBSCF,dataGLBSAcctIDs=$C48),(endDatesCF=X$5)))-SUM(_xlfn._xlws.FILTER(_xlfn._xlws.FILTER(dataGLBSCF,dataGLBSAcctIDs=$C48),(startDatesCF=EDATE(X$4,-1)))))*INDEX(PBC_ACCOUNT_LIST[Sign_for_total_cashflow],MATCH($C48,PBC_ACCOUNT_LIST[Id],0))</f>
        <v>0</v>
      </c>
      <c r="Y48" s="547" cm="1">
        <f t="array" ref="Y48">(SUM(_xlfn._xlws.FILTER(_xlfn._xlws.FILTER(dataGLBSCF,dataGLBSAcctIDs=$C48),(endDatesCF=Y$5)))-SUM(_xlfn._xlws.FILTER(_xlfn._xlws.FILTER(dataGLBSCF,dataGLBSAcctIDs=$C48),(startDatesCF=EDATE(Y$4,-1)))))*INDEX(PBC_ACCOUNT_LIST[Sign_for_total_cashflow],MATCH($C48,PBC_ACCOUNT_LIST[Id],0))</f>
        <v>0</v>
      </c>
      <c r="Z48" s="547" cm="1">
        <f t="array" ref="Z48">(SUM(_xlfn._xlws.FILTER(_xlfn._xlws.FILTER(dataGLBSCF,dataGLBSAcctIDs=$C48),(endDatesCF=Z$5)))-SUM(_xlfn._xlws.FILTER(_xlfn._xlws.FILTER(dataGLBSCF,dataGLBSAcctIDs=$C48),(startDatesCF=EDATE(Z$4,-1)))))*INDEX(PBC_ACCOUNT_LIST[Sign_for_total_cashflow],MATCH($C48,PBC_ACCOUNT_LIST[Id],0))</f>
        <v>0</v>
      </c>
      <c r="AC48" s="547" cm="1">
        <f t="array" ref="AC48">(SUM(_xlfn._xlws.FILTER(_xlfn._xlws.FILTER(dataGLBSCF,dataGLBSAcctIDs=$C48),(endDatesCF=AC$5)))-SUM(_xlfn._xlws.FILTER(_xlfn._xlws.FILTER(dataGLBSCF,dataGLBSAcctIDs=$C48),(startDatesCF=EDATE(AC$4,-1)))))*INDEX(PBC_ACCOUNT_LIST[Sign_for_total_cashflow],MATCH($C48,PBC_ACCOUNT_LIST[Id],0))</f>
        <v>0</v>
      </c>
      <c r="AD48" s="547" cm="1">
        <f t="array" ref="AD48">(SUM(_xlfn._xlws.FILTER(_xlfn._xlws.FILTER(dataGLBSCF,dataGLBSAcctIDs=$C48),(endDatesCF=AD$5)))-SUM(_xlfn._xlws.FILTER(_xlfn._xlws.FILTER(dataGLBSCF,dataGLBSAcctIDs=$C48),(startDatesCF=EDATE(AD$4,-1)))))*INDEX(PBC_ACCOUNT_LIST[Sign_for_total_cashflow],MATCH($C48,PBC_ACCOUNT_LIST[Id],0))</f>
        <v>0</v>
      </c>
      <c r="AE48" s="547" cm="1">
        <f t="array" ref="AE48">(SUM(_xlfn._xlws.FILTER(_xlfn._xlws.FILTER(dataGLBSCF,dataGLBSAcctIDs=$C48),(endDatesCF=AE$5)))-SUM(_xlfn._xlws.FILTER(_xlfn._xlws.FILTER(dataGLBSCF,dataGLBSAcctIDs=$C48),(startDatesCF=EDATE(AE$4,-1)))))*INDEX(PBC_ACCOUNT_LIST[Sign_for_total_cashflow],MATCH($C48,PBC_ACCOUNT_LIST[Id],0))</f>
        <v>0</v>
      </c>
      <c r="AF48" s="547" cm="1">
        <f t="array" ref="AF48">(SUM(_xlfn._xlws.FILTER(_xlfn._xlws.FILTER(dataGLBSCF,dataGLBSAcctIDs=$C48),(endDatesCF=AF$5)))-SUM(_xlfn._xlws.FILTER(_xlfn._xlws.FILTER(dataGLBSCF,dataGLBSAcctIDs=$C48),(startDatesCF=EDATE(AF$4,-1)))))*INDEX(PBC_ACCOUNT_LIST[Sign_for_total_cashflow],MATCH($C48,PBC_ACCOUNT_LIST[Id],0))</f>
        <v>0</v>
      </c>
      <c r="AG48" s="547" cm="1">
        <f t="array" ref="AG48">(SUM(_xlfn._xlws.FILTER(_xlfn._xlws.FILTER(dataGLBSCF,dataGLBSAcctIDs=$C48),(endDatesCF=AG$5)))-SUM(_xlfn._xlws.FILTER(_xlfn._xlws.FILTER(dataGLBSCF,dataGLBSAcctIDs=$C48),(startDatesCF=EDATE(AG$4,-1)))))*INDEX(PBC_ACCOUNT_LIST[Sign_for_total_cashflow],MATCH($C48,PBC_ACCOUNT_LIST[Id],0))</f>
        <v>0</v>
      </c>
      <c r="AH48" s="547" cm="1">
        <f t="array" ref="AH48">(SUM(_xlfn._xlws.FILTER(_xlfn._xlws.FILTER(dataGLBSCF,dataGLBSAcctIDs=$C48),(endDatesCF=AH$5)))-SUM(_xlfn._xlws.FILTER(_xlfn._xlws.FILTER(dataGLBSCF,dataGLBSAcctIDs=$C48),(startDatesCF=EDATE(AH$4,-1)))))*INDEX(PBC_ACCOUNT_LIST[Sign_for_total_cashflow],MATCH($C48,PBC_ACCOUNT_LIST[Id],0))</f>
        <v>0</v>
      </c>
      <c r="AI48" s="547" cm="1">
        <f t="array" ref="AI48">(SUM(_xlfn._xlws.FILTER(_xlfn._xlws.FILTER(dataGLBSCF,dataGLBSAcctIDs=$C48),(endDatesCF=AI$5)))-SUM(_xlfn._xlws.FILTER(_xlfn._xlws.FILTER(dataGLBSCF,dataGLBSAcctIDs=$C48),(startDatesCF=EDATE(AI$4,-1)))))*INDEX(PBC_ACCOUNT_LIST[Sign_for_total_cashflow],MATCH($C48,PBC_ACCOUNT_LIST[Id],0))</f>
        <v>0</v>
      </c>
      <c r="AJ48" s="547" cm="1">
        <f t="array" ref="AJ48">(SUM(_xlfn._xlws.FILTER(_xlfn._xlws.FILTER(dataGLBSCF,dataGLBSAcctIDs=$C48),(endDatesCF=AJ$5)))-SUM(_xlfn._xlws.FILTER(_xlfn._xlws.FILTER(dataGLBSCF,dataGLBSAcctIDs=$C48),(startDatesCF=EDATE(AJ$4,-1)))))*INDEX(PBC_ACCOUNT_LIST[Sign_for_total_cashflow],MATCH($C48,PBC_ACCOUNT_LIST[Id],0))</f>
        <v>0</v>
      </c>
      <c r="AK48" s="547" cm="1">
        <f t="array" ref="AK48">(SUM(_xlfn._xlws.FILTER(_xlfn._xlws.FILTER(dataGLBSCF,dataGLBSAcctIDs=$C48),(endDatesCF=AK$5)))-SUM(_xlfn._xlws.FILTER(_xlfn._xlws.FILTER(dataGLBSCF,dataGLBSAcctIDs=$C48),(startDatesCF=EDATE(AK$4,-1)))))*INDEX(PBC_ACCOUNT_LIST[Sign_for_total_cashflow],MATCH($C48,PBC_ACCOUNT_LIST[Id],0))</f>
        <v>0</v>
      </c>
      <c r="AL48" s="547" cm="1">
        <f t="array" ref="AL48">(SUM(_xlfn._xlws.FILTER(_xlfn._xlws.FILTER(dataGLBSCF,dataGLBSAcctIDs=$C48),(endDatesCF=AL$5)))-SUM(_xlfn._xlws.FILTER(_xlfn._xlws.FILTER(dataGLBSCF,dataGLBSAcctIDs=$C48),(startDatesCF=EDATE(AL$4,-1)))))*INDEX(PBC_ACCOUNT_LIST[Sign_for_total_cashflow],MATCH($C48,PBC_ACCOUNT_LIST[Id],0))</f>
        <v>0</v>
      </c>
      <c r="AM48" s="547" cm="1">
        <f t="array" ref="AM48">(SUM(_xlfn._xlws.FILTER(_xlfn._xlws.FILTER(dataGLBSCF,dataGLBSAcctIDs=$C48),(endDatesCF=AM$5)))-SUM(_xlfn._xlws.FILTER(_xlfn._xlws.FILTER(dataGLBSCF,dataGLBSAcctIDs=$C48),(startDatesCF=EDATE(AM$4,-1)))))*INDEX(PBC_ACCOUNT_LIST[Sign_for_total_cashflow],MATCH($C48,PBC_ACCOUNT_LIST[Id],0))</f>
        <v>0</v>
      </c>
      <c r="AN48" s="547" cm="1">
        <f t="array" ref="AN48">(SUM(_xlfn._xlws.FILTER(_xlfn._xlws.FILTER(dataGLBSCF,dataGLBSAcctIDs=$C48),(endDatesCF=AN$5)))-SUM(_xlfn._xlws.FILTER(_xlfn._xlws.FILTER(dataGLBSCF,dataGLBSAcctIDs=$C48),(startDatesCF=EDATE(AN$4,-1)))))*INDEX(PBC_ACCOUNT_LIST[Sign_for_total_cashflow],MATCH($C48,PBC_ACCOUNT_LIST[Id],0))</f>
        <v>0</v>
      </c>
      <c r="AO48" s="547" cm="1">
        <f t="array" ref="AO48">(SUM(_xlfn._xlws.FILTER(_xlfn._xlws.FILTER(dataGLBSCF,dataGLBSAcctIDs=$C48),(endDatesCF=AO$5)))-SUM(_xlfn._xlws.FILTER(_xlfn._xlws.FILTER(dataGLBSCF,dataGLBSAcctIDs=$C48),(startDatesCF=EDATE(AO$4,-1)))))*INDEX(PBC_ACCOUNT_LIST[Sign_for_total_cashflow],MATCH($C48,PBC_ACCOUNT_LIST[Id],0))</f>
        <v>0</v>
      </c>
      <c r="AP48" s="547" cm="1">
        <f t="array" ref="AP48">(SUM(_xlfn._xlws.FILTER(_xlfn._xlws.FILTER(dataGLBSCF,dataGLBSAcctIDs=$C48),(endDatesCF=AP$5)))-SUM(_xlfn._xlws.FILTER(_xlfn._xlws.FILTER(dataGLBSCF,dataGLBSAcctIDs=$C48),(startDatesCF=EDATE(AP$4,-1)))))*INDEX(PBC_ACCOUNT_LIST[Sign_for_total_cashflow],MATCH($C48,PBC_ACCOUNT_LIST[Id],0))</f>
        <v>0</v>
      </c>
      <c r="AQ48" s="547" cm="1">
        <f t="array" ref="AQ48">(SUM(_xlfn._xlws.FILTER(_xlfn._xlws.FILTER(dataGLBSCF,dataGLBSAcctIDs=$C48),(endDatesCF=AQ$5)))-SUM(_xlfn._xlws.FILTER(_xlfn._xlws.FILTER(dataGLBSCF,dataGLBSAcctIDs=$C48),(startDatesCF=EDATE(AQ$4,-1)))))*INDEX(PBC_ACCOUNT_LIST[Sign_for_total_cashflow],MATCH($C48,PBC_ACCOUNT_LIST[Id],0))</f>
        <v>0</v>
      </c>
      <c r="AR48" s="547" cm="1">
        <f t="array" ref="AR48">(SUM(_xlfn._xlws.FILTER(_xlfn._xlws.FILTER(dataGLBSCF,dataGLBSAcctIDs=$C48),(endDatesCF=AR$5)))-SUM(_xlfn._xlws.FILTER(_xlfn._xlws.FILTER(dataGLBSCF,dataGLBSAcctIDs=$C48),(startDatesCF=EDATE(AR$4,-1)))))*INDEX(PBC_ACCOUNT_LIST[Sign_for_total_cashflow],MATCH($C48,PBC_ACCOUNT_LIST[Id],0))</f>
        <v>0</v>
      </c>
      <c r="AS48" s="547" cm="1">
        <f t="array" ref="AS48">(SUM(_xlfn._xlws.FILTER(_xlfn._xlws.FILTER(dataGLBSCF,dataGLBSAcctIDs=$C48),(endDatesCF=AS$5)))-SUM(_xlfn._xlws.FILTER(_xlfn._xlws.FILTER(dataGLBSCF,dataGLBSAcctIDs=$C48),(startDatesCF=EDATE(AS$4,-1)))))*INDEX(PBC_ACCOUNT_LIST[Sign_for_total_cashflow],MATCH($C48,PBC_ACCOUNT_LIST[Id],0))</f>
        <v>0</v>
      </c>
      <c r="AT48" s="547" cm="1">
        <f t="array" ref="AT48">(SUM(_xlfn._xlws.FILTER(_xlfn._xlws.FILTER(dataGLBSCF,dataGLBSAcctIDs=$C48),(endDatesCF=AT$5)))-SUM(_xlfn._xlws.FILTER(_xlfn._xlws.FILTER(dataGLBSCF,dataGLBSAcctIDs=$C48),(startDatesCF=EDATE(AT$4,-1)))))*INDEX(PBC_ACCOUNT_LIST[Sign_for_total_cashflow],MATCH($C48,PBC_ACCOUNT_LIST[Id],0))</f>
        <v>0</v>
      </c>
      <c r="AU48" s="547" cm="1">
        <f t="array" ref="AU48">(SUM(_xlfn._xlws.FILTER(_xlfn._xlws.FILTER(dataGLBSCF,dataGLBSAcctIDs=$C48),(endDatesCF=AU$5)))-SUM(_xlfn._xlws.FILTER(_xlfn._xlws.FILTER(dataGLBSCF,dataGLBSAcctIDs=$C48),(startDatesCF=EDATE(AU$4,-1)))))*INDEX(PBC_ACCOUNT_LIST[Sign_for_total_cashflow],MATCH($C48,PBC_ACCOUNT_LIST[Id],0))</f>
        <v>0</v>
      </c>
      <c r="AV48" s="547" cm="1">
        <f t="array" ref="AV48">(SUM(_xlfn._xlws.FILTER(_xlfn._xlws.FILTER(dataGLBSCF,dataGLBSAcctIDs=$C48),(endDatesCF=AV$5)))-SUM(_xlfn._xlws.FILTER(_xlfn._xlws.FILTER(dataGLBSCF,dataGLBSAcctIDs=$C48),(startDatesCF=EDATE(AV$4,-1)))))*INDEX(PBC_ACCOUNT_LIST[Sign_for_total_cashflow],MATCH($C48,PBC_ACCOUNT_LIST[Id],0))</f>
        <v>0</v>
      </c>
      <c r="AW48" s="547" cm="1">
        <f t="array" ref="AW48">(SUM(_xlfn._xlws.FILTER(_xlfn._xlws.FILTER(dataGLBSCF,dataGLBSAcctIDs=$C48),(endDatesCF=AW$5)))-SUM(_xlfn._xlws.FILTER(_xlfn._xlws.FILTER(dataGLBSCF,dataGLBSAcctIDs=$C48),(startDatesCF=EDATE(AW$4,-1)))))*INDEX(PBC_ACCOUNT_LIST[Sign_for_total_cashflow],MATCH($C48,PBC_ACCOUNT_LIST[Id],0))</f>
        <v>0</v>
      </c>
      <c r="AX48" s="547" cm="1">
        <f t="array" ref="AX48">(SUM(_xlfn._xlws.FILTER(_xlfn._xlws.FILTER(dataGLBSCF,dataGLBSAcctIDs=$C48),(endDatesCF=AX$5)))-SUM(_xlfn._xlws.FILTER(_xlfn._xlws.FILTER(dataGLBSCF,dataGLBSAcctIDs=$C48),(startDatesCF=EDATE(AX$4,-1)))))*INDEX(PBC_ACCOUNT_LIST[Sign_for_total_cashflow],MATCH($C48,PBC_ACCOUNT_LIST[Id],0))</f>
        <v>0</v>
      </c>
      <c r="AY48" s="547" cm="1">
        <f t="array" ref="AY48">(SUM(_xlfn._xlws.FILTER(_xlfn._xlws.FILTER(dataGLBSCF,dataGLBSAcctIDs=$C48),(endDatesCF=AY$5)))-SUM(_xlfn._xlws.FILTER(_xlfn._xlws.FILTER(dataGLBSCF,dataGLBSAcctIDs=$C48),(startDatesCF=EDATE(AY$4,-1)))))*INDEX(PBC_ACCOUNT_LIST[Sign_for_total_cashflow],MATCH($C48,PBC_ACCOUNT_LIST[Id],0))</f>
        <v>0</v>
      </c>
      <c r="AZ48" s="547" cm="1">
        <f t="array" ref="AZ48">(SUM(_xlfn._xlws.FILTER(_xlfn._xlws.FILTER(dataGLBSCF,dataGLBSAcctIDs=$C48),(endDatesCF=AZ$5)))-SUM(_xlfn._xlws.FILTER(_xlfn._xlws.FILTER(dataGLBSCF,dataGLBSAcctIDs=$C48),(startDatesCF=EDATE(AZ$4,-1)))))*INDEX(PBC_ACCOUNT_LIST[Sign_for_total_cashflow],MATCH($C48,PBC_ACCOUNT_LIST[Id],0))</f>
        <v>0</v>
      </c>
      <c r="BA48" s="547" cm="1">
        <f t="array" ref="BA48">(SUM(_xlfn._xlws.FILTER(_xlfn._xlws.FILTER(dataGLBSCF,dataGLBSAcctIDs=$C48),(endDatesCF=BA$5)))-SUM(_xlfn._xlws.FILTER(_xlfn._xlws.FILTER(dataGLBSCF,dataGLBSAcctIDs=$C48),(startDatesCF=EDATE(BA$4,-1)))))*INDEX(PBC_ACCOUNT_LIST[Sign_for_total_cashflow],MATCH($C48,PBC_ACCOUNT_LIST[Id],0))</f>
        <v>0</v>
      </c>
      <c r="BB48" s="547" cm="1">
        <f t="array" ref="BB48">(SUM(_xlfn._xlws.FILTER(_xlfn._xlws.FILTER(dataGLBSCF,dataGLBSAcctIDs=$C48),(endDatesCF=BB$5)))-SUM(_xlfn._xlws.FILTER(_xlfn._xlws.FILTER(dataGLBSCF,dataGLBSAcctIDs=$C48),(startDatesCF=EDATE(BB$4,-1)))))*INDEX(PBC_ACCOUNT_LIST[Sign_for_total_cashflow],MATCH($C48,PBC_ACCOUNT_LIST[Id],0))</f>
        <v>0</v>
      </c>
      <c r="BC48" s="547" cm="1">
        <f t="array" ref="BC48">(SUM(_xlfn._xlws.FILTER(_xlfn._xlws.FILTER(dataGLBSCF,dataGLBSAcctIDs=$C48),(endDatesCF=BC$5)))-SUM(_xlfn._xlws.FILTER(_xlfn._xlws.FILTER(dataGLBSCF,dataGLBSAcctIDs=$C48),(startDatesCF=EDATE(BC$4,-1)))))*INDEX(PBC_ACCOUNT_LIST[Sign_for_total_cashflow],MATCH($C48,PBC_ACCOUNT_LIST[Id],0))</f>
        <v>0</v>
      </c>
      <c r="BD48" s="547" cm="1">
        <f t="array" ref="BD48">(SUM(_xlfn._xlws.FILTER(_xlfn._xlws.FILTER(dataGLBSCF,dataGLBSAcctIDs=$C48),(endDatesCF=BD$5)))-SUM(_xlfn._xlws.FILTER(_xlfn._xlws.FILTER(dataGLBSCF,dataGLBSAcctIDs=$C48),(startDatesCF=EDATE(BD$4,-1)))))*INDEX(PBC_ACCOUNT_LIST[Sign_for_total_cashflow],MATCH($C48,PBC_ACCOUNT_LIST[Id],0))</f>
        <v>0</v>
      </c>
      <c r="BE48" s="547" cm="1">
        <f t="array" ref="BE48">(SUM(_xlfn._xlws.FILTER(_xlfn._xlws.FILTER(dataGLBSCF,dataGLBSAcctIDs=$C48),(endDatesCF=BE$5)))-SUM(_xlfn._xlws.FILTER(_xlfn._xlws.FILTER(dataGLBSCF,dataGLBSAcctIDs=$C48),(startDatesCF=EDATE(BE$4,-1)))))*INDEX(PBC_ACCOUNT_LIST[Sign_for_total_cashflow],MATCH($C48,PBC_ACCOUNT_LIST[Id],0))</f>
        <v>0</v>
      </c>
      <c r="BF48" s="547" cm="1">
        <f t="array" ref="BF48">(SUM(_xlfn._xlws.FILTER(_xlfn._xlws.FILTER(dataGLBSCF,dataGLBSAcctIDs=$C48),(endDatesCF=BF$5)))-SUM(_xlfn._xlws.FILTER(_xlfn._xlws.FILTER(dataGLBSCF,dataGLBSAcctIDs=$C48),(startDatesCF=EDATE(BF$4,-1)))))*INDEX(PBC_ACCOUNT_LIST[Sign_for_total_cashflow],MATCH($C48,PBC_ACCOUNT_LIST[Id],0))</f>
        <v>0</v>
      </c>
      <c r="BG48" s="547" cm="1">
        <f t="array" ref="BG48">(SUM(_xlfn._xlws.FILTER(_xlfn._xlws.FILTER(dataGLBSCF,dataGLBSAcctIDs=$C48),(endDatesCF=BG$5)))-SUM(_xlfn._xlws.FILTER(_xlfn._xlws.FILTER(dataGLBSCF,dataGLBSAcctIDs=$C48),(startDatesCF=EDATE(BG$4,-1)))))*INDEX(PBC_ACCOUNT_LIST[Sign_for_total_cashflow],MATCH($C48,PBC_ACCOUNT_LIST[Id],0))</f>
        <v>0</v>
      </c>
      <c r="BH48" s="547" cm="1">
        <f t="array" ref="BH48">(SUM(_xlfn._xlws.FILTER(_xlfn._xlws.FILTER(dataGLBSCF,dataGLBSAcctIDs=$C48),(endDatesCF=BH$5)))-SUM(_xlfn._xlws.FILTER(_xlfn._xlws.FILTER(dataGLBSCF,dataGLBSAcctIDs=$C48),(startDatesCF=EDATE(BH$4,-1)))))*INDEX(PBC_ACCOUNT_LIST[Sign_for_total_cashflow],MATCH($C48,PBC_ACCOUNT_LIST[Id],0))</f>
        <v>0</v>
      </c>
      <c r="BI48" s="547" cm="1">
        <f t="array" ref="BI48">(SUM(_xlfn._xlws.FILTER(_xlfn._xlws.FILTER(dataGLBSCF,dataGLBSAcctIDs=$C48),(endDatesCF=BI$5)))-SUM(_xlfn._xlws.FILTER(_xlfn._xlws.FILTER(dataGLBSCF,dataGLBSAcctIDs=$C48),(startDatesCF=EDATE(BI$4,-1)))))*INDEX(PBC_ACCOUNT_LIST[Sign_for_total_cashflow],MATCH($C48,PBC_ACCOUNT_LIST[Id],0))</f>
        <v>0</v>
      </c>
      <c r="BJ48" s="547" cm="1">
        <f t="array" ref="BJ48">(SUM(_xlfn._xlws.FILTER(_xlfn._xlws.FILTER(dataGLBSCF,dataGLBSAcctIDs=$C48),(endDatesCF=BJ$5)))-SUM(_xlfn._xlws.FILTER(_xlfn._xlws.FILTER(dataGLBSCF,dataGLBSAcctIDs=$C48),(startDatesCF=EDATE(BJ$4,-1)))))*INDEX(PBC_ACCOUNT_LIST[Sign_for_total_cashflow],MATCH($C48,PBC_ACCOUNT_LIST[Id],0))</f>
        <v>0</v>
      </c>
      <c r="BK48" s="547" cm="1">
        <f t="array" ref="BK48">(SUM(_xlfn._xlws.FILTER(_xlfn._xlws.FILTER(dataGLBSCF,dataGLBSAcctIDs=$C48),(endDatesCF=BK$5)))-SUM(_xlfn._xlws.FILTER(_xlfn._xlws.FILTER(dataGLBSCF,dataGLBSAcctIDs=$C48),(startDatesCF=EDATE(BK$4,-1)))))*INDEX(PBC_ACCOUNT_LIST[Sign_for_total_cashflow],MATCH($C48,PBC_ACCOUNT_LIST[Id],0))</f>
        <v>0</v>
      </c>
      <c r="BL48" s="547" cm="1">
        <f t="array" ref="BL48">(SUM(_xlfn._xlws.FILTER(_xlfn._xlws.FILTER(dataGLBSCF,dataGLBSAcctIDs=$C48),(endDatesCF=BL$5)))-SUM(_xlfn._xlws.FILTER(_xlfn._xlws.FILTER(dataGLBSCF,dataGLBSAcctIDs=$C48),(startDatesCF=EDATE(BL$4,-1)))))*INDEX(PBC_ACCOUNT_LIST[Sign_for_total_cashflow],MATCH($C48,PBC_ACCOUNT_LIST[Id],0))</f>
        <v>0</v>
      </c>
      <c r="BM48" s="547" cm="1">
        <f t="array" ref="BM48">(SUM(_xlfn._xlws.FILTER(_xlfn._xlws.FILTER(dataGLBSCF,dataGLBSAcctIDs=$C48),(endDatesCF=BM$5)))-SUM(_xlfn._xlws.FILTER(_xlfn._xlws.FILTER(dataGLBSCF,dataGLBSAcctIDs=$C48),(startDatesCF=EDATE(BM$4,-1)))))*INDEX(PBC_ACCOUNT_LIST[Sign_for_total_cashflow],MATCH($C48,PBC_ACCOUNT_LIST[Id],0))</f>
        <v>0</v>
      </c>
      <c r="BN48" s="547" cm="1">
        <f t="array" ref="BN48">(SUM(_xlfn._xlws.FILTER(_xlfn._xlws.FILTER(dataGLBSCF,dataGLBSAcctIDs=$C48),(endDatesCF=BN$5)))-SUM(_xlfn._xlws.FILTER(_xlfn._xlws.FILTER(dataGLBSCF,dataGLBSAcctIDs=$C48),(startDatesCF=EDATE(BN$4,-1)))))*INDEX(PBC_ACCOUNT_LIST[Sign_for_total_cashflow],MATCH($C48,PBC_ACCOUNT_LIST[Id],0))</f>
        <v>0</v>
      </c>
      <c r="BO48" s="547" cm="1">
        <f t="array" ref="BO48">(SUM(_xlfn._xlws.FILTER(_xlfn._xlws.FILTER(dataGLBSCF,dataGLBSAcctIDs=$C48),(endDatesCF=BO$5)))-SUM(_xlfn._xlws.FILTER(_xlfn._xlws.FILTER(dataGLBSCF,dataGLBSAcctIDs=$C48),(startDatesCF=EDATE(BO$4,-1)))))*INDEX(PBC_ACCOUNT_LIST[Sign_for_total_cashflow],MATCH($C48,PBC_ACCOUNT_LIST[Id],0))</f>
        <v>0</v>
      </c>
      <c r="BP48" s="547" cm="1">
        <f t="array" ref="BP48">(SUM(_xlfn._xlws.FILTER(_xlfn._xlws.FILTER(dataGLBSCF,dataGLBSAcctIDs=$C48),(endDatesCF=BP$5)))-SUM(_xlfn._xlws.FILTER(_xlfn._xlws.FILTER(dataGLBSCF,dataGLBSAcctIDs=$C48),(startDatesCF=EDATE(BP$4,-1)))))*INDEX(PBC_ACCOUNT_LIST[Sign_for_total_cashflow],MATCH($C48,PBC_ACCOUNT_LIST[Id],0))</f>
        <v>0</v>
      </c>
      <c r="BQ48" s="547" cm="1">
        <f t="array" ref="BQ48">(SUM(_xlfn._xlws.FILTER(_xlfn._xlws.FILTER(dataGLBSCF,dataGLBSAcctIDs=$C48),(endDatesCF=BQ$5)))-SUM(_xlfn._xlws.FILTER(_xlfn._xlws.FILTER(dataGLBSCF,dataGLBSAcctIDs=$C48),(startDatesCF=EDATE(BQ$4,-1)))))*INDEX(PBC_ACCOUNT_LIST[Sign_for_total_cashflow],MATCH($C48,PBC_ACCOUNT_LIST[Id],0))</f>
        <v>0</v>
      </c>
      <c r="BR48" s="547" cm="1">
        <f t="array" ref="BR48">(SUM(_xlfn._xlws.FILTER(_xlfn._xlws.FILTER(dataGLBSCF,dataGLBSAcctIDs=$C48),(endDatesCF=BR$5)))-SUM(_xlfn._xlws.FILTER(_xlfn._xlws.FILTER(dataGLBSCF,dataGLBSAcctIDs=$C48),(startDatesCF=EDATE(BR$4,-1)))))*INDEX(PBC_ACCOUNT_LIST[Sign_for_total_cashflow],MATCH($C48,PBC_ACCOUNT_LIST[Id],0))</f>
        <v>0</v>
      </c>
      <c r="BS48" s="547" cm="1">
        <f t="array" ref="BS48">(SUM(_xlfn._xlws.FILTER(_xlfn._xlws.FILTER(dataGLBSCF,dataGLBSAcctIDs=$C48),(endDatesCF=BS$5)))-SUM(_xlfn._xlws.FILTER(_xlfn._xlws.FILTER(dataGLBSCF,dataGLBSAcctIDs=$C48),(startDatesCF=EDATE(BS$4,-1)))))*INDEX(PBC_ACCOUNT_LIST[Sign_for_total_cashflow],MATCH($C48,PBC_ACCOUNT_LIST[Id],0))</f>
        <v>0</v>
      </c>
      <c r="BT48" s="547" cm="1">
        <f t="array" ref="BT48">(SUM(_xlfn._xlws.FILTER(_xlfn._xlws.FILTER(dataGLBSCF,dataGLBSAcctIDs=$C48),(endDatesCF=BT$5)))-SUM(_xlfn._xlws.FILTER(_xlfn._xlws.FILTER(dataGLBSCF,dataGLBSAcctIDs=$C48),(startDatesCF=EDATE(BT$4,-1)))))*INDEX(PBC_ACCOUNT_LIST[Sign_for_total_cashflow],MATCH($C48,PBC_ACCOUNT_LIST[Id],0))</f>
        <v>0</v>
      </c>
      <c r="BU48" s="547" cm="1">
        <f t="array" ref="BU48">(SUM(_xlfn._xlws.FILTER(_xlfn._xlws.FILTER(dataGLBSCF,dataGLBSAcctIDs=$C48),(endDatesCF=BU$5)))-SUM(_xlfn._xlws.FILTER(_xlfn._xlws.FILTER(dataGLBSCF,dataGLBSAcctIDs=$C48),(startDatesCF=EDATE(BU$4,-1)))))*INDEX(PBC_ACCOUNT_LIST[Sign_for_total_cashflow],MATCH($C48,PBC_ACCOUNT_LIST[Id],0))</f>
        <v>0</v>
      </c>
      <c r="BV48" s="547" cm="1">
        <f t="array" ref="BV48">(SUM(_xlfn._xlws.FILTER(_xlfn._xlws.FILTER(dataGLBSCF,dataGLBSAcctIDs=$C48),(endDatesCF=BV$5)))-SUM(_xlfn._xlws.FILTER(_xlfn._xlws.FILTER(dataGLBSCF,dataGLBSAcctIDs=$C48),(startDatesCF=EDATE(BV$4,-1)))))*INDEX(PBC_ACCOUNT_LIST[Sign_for_total_cashflow],MATCH($C48,PBC_ACCOUNT_LIST[Id],0))</f>
        <v>0</v>
      </c>
      <c r="BW48" s="547" cm="1">
        <f t="array" ref="BW48">(SUM(_xlfn._xlws.FILTER(_xlfn._xlws.FILTER(dataGLBSCF,dataGLBSAcctIDs=$C48),(endDatesCF=BW$5)))-SUM(_xlfn._xlws.FILTER(_xlfn._xlws.FILTER(dataGLBSCF,dataGLBSAcctIDs=$C48),(startDatesCF=EDATE(BW$4,-1)))))*INDEX(PBC_ACCOUNT_LIST[Sign_for_total_cashflow],MATCH($C48,PBC_ACCOUNT_LIST[Id],0))</f>
        <v>0</v>
      </c>
      <c r="BX48" s="547" cm="1">
        <f t="array" ref="BX48">(SUM(_xlfn._xlws.FILTER(_xlfn._xlws.FILTER(dataGLBSCF,dataGLBSAcctIDs=$C48),(endDatesCF=BX$5)))-SUM(_xlfn._xlws.FILTER(_xlfn._xlws.FILTER(dataGLBSCF,dataGLBSAcctIDs=$C48),(startDatesCF=EDATE(BX$4,-1)))))*INDEX(PBC_ACCOUNT_LIST[Sign_for_total_cashflow],MATCH($C48,PBC_ACCOUNT_LIST[Id],0))</f>
        <v>0</v>
      </c>
    </row>
    <row r="49" spans="1:76" customFormat="1" ht="21" customHeight="1">
      <c r="B49" s="685" t="s">
        <v>343</v>
      </c>
      <c r="E49" s="547" cm="1">
        <f t="array" ref="E49">SUM(_xlfn._xlws.FILTER(_xlfn._xlws.FILTER(dataGLPL,ISNUMBER(MATCH(dataGLPLSections,{"COGS","Opex","Other Expenses"},0))),(startDates&gt;=E$4)*(endDates&lt;=E$5)))-SUM(_xlfn._xlws.FILTER(_xlfn._xlws.FILTER(dataGLPL,ISNUMBER(MATCH(dataGLPLSections,{"Revenue","Other Income"},0))),(startDates&gt;=E$4)*(endDates&lt;=E$5)))+SUM(_xlfn._xlws.FILTER(_xlfn._xlws.FILTER(dataGLBSCF,ISNUMBER(MATCH(dataGLBSAcctIDs,{4,999},0))),(endDatesCF=E$5)))-SUM(_xlfn._xlws.FILTER(_xlfn._xlws.FILTER(dataGLBSCF,ISNUMBER(MATCH(dataGLBSAcctIDs,{4,999},0))),(startDatesCF=EDATE(E$4,-1))))</f>
        <v>0</v>
      </c>
      <c r="F49" s="547" cm="1">
        <f t="array" ref="F49">SUM(_xlfn._xlws.FILTER(_xlfn._xlws.FILTER(dataGLPL,ISNUMBER(MATCH(dataGLPLSections,{"COGS","Opex","Other Expenses"},0))),(startDates&gt;=F$4)*(endDates&lt;=F$5)))-SUM(_xlfn._xlws.FILTER(_xlfn._xlws.FILTER(dataGLPL,ISNUMBER(MATCH(dataGLPLSections,{"Revenue","Other Income"},0))),(startDates&gt;=F$4)*(endDates&lt;=F$5)))+SUM(_xlfn._xlws.FILTER(_xlfn._xlws.FILTER(dataGLBSCF,ISNUMBER(MATCH(dataGLBSAcctIDs,{4,999},0))),(endDatesCF=F$5)))-SUM(_xlfn._xlws.FILTER(_xlfn._xlws.FILTER(dataGLBSCF,ISNUMBER(MATCH(dataGLBSAcctIDs,{4,999},0))),(startDatesCF=EDATE(F$4,-1))))</f>
        <v>0</v>
      </c>
      <c r="G49" s="547" cm="1">
        <f t="array" ref="G49">SUM(_xlfn._xlws.FILTER(_xlfn._xlws.FILTER(dataGLPL,ISNUMBER(MATCH(dataGLPLSections,{"COGS","Opex","Other Expenses"},0))),(startDates&gt;=G$4)*(endDates&lt;=G$5)))-SUM(_xlfn._xlws.FILTER(_xlfn._xlws.FILTER(dataGLPL,ISNUMBER(MATCH(dataGLPLSections,{"Revenue","Other Income"},0))),(startDates&gt;=G$4)*(endDates&lt;=G$5)))+SUM(_xlfn._xlws.FILTER(_xlfn._xlws.FILTER(dataGLBSCF,ISNUMBER(MATCH(dataGLBSAcctIDs,{4,999},0))),(endDatesCF=G$5)))-SUM(_xlfn._xlws.FILTER(_xlfn._xlws.FILTER(dataGLBSCF,ISNUMBER(MATCH(dataGLBSAcctIDs,{4,999},0))),(startDatesCF=EDATE(G$4,-1))))</f>
        <v>0</v>
      </c>
      <c r="H49" s="547" cm="1">
        <f t="array" ref="H49">SUM(_xlfn._xlws.FILTER(_xlfn._xlws.FILTER(dataGLPL,ISNUMBER(MATCH(dataGLPLSections,{"COGS","Opex","Other Expenses"},0))),(startDates&gt;=H$4)*(endDates&lt;=H$5)))-SUM(_xlfn._xlws.FILTER(_xlfn._xlws.FILTER(dataGLPL,ISNUMBER(MATCH(dataGLPLSections,{"Revenue","Other Income"},0))),(startDates&gt;=H$4)*(endDates&lt;=H$5)))+SUM(_xlfn._xlws.FILTER(_xlfn._xlws.FILTER(dataGLBSCF,ISNUMBER(MATCH(dataGLBSAcctIDs,{4,999},0))),(endDatesCF=H$5)))-SUM(_xlfn._xlws.FILTER(_xlfn._xlws.FILTER(dataGLBSCF,ISNUMBER(MATCH(dataGLBSAcctIDs,{4,999},0))),(startDatesCF=EDATE(H$4,-1))))</f>
        <v>0</v>
      </c>
      <c r="K49" s="547" cm="1">
        <f t="array" ref="K49">SUM(_xlfn._xlws.FILTER(_xlfn._xlws.FILTER(dataGLPL,ISNUMBER(MATCH(dataGLPLSections,{"COGS","Opex","Other Expenses"},0))),(startDates&gt;=K$4)*(endDates&lt;=K$5)))-SUM(_xlfn._xlws.FILTER(_xlfn._xlws.FILTER(dataGLPL,ISNUMBER(MATCH(dataGLPLSections,{"Revenue","Other Income"},0))),(startDates&gt;=K$4)*(endDates&lt;=K$5)))+SUM(_xlfn._xlws.FILTER(_xlfn._xlws.FILTER(dataGLBSCF,ISNUMBER(MATCH(dataGLBSAcctIDs,{4,999},0))),(endDatesCF=K$5)))-SUM(_xlfn._xlws.FILTER(_xlfn._xlws.FILTER(dataGLBSCF,ISNUMBER(MATCH(dataGLBSAcctIDs,{4,999},0))),(startDatesCF=EDATE(K$4,-1))))</f>
        <v>0</v>
      </c>
      <c r="L49" s="547" cm="1">
        <f t="array" ref="L49">SUM(_xlfn._xlws.FILTER(_xlfn._xlws.FILTER(dataGLPL,ISNUMBER(MATCH(dataGLPLSections,{"COGS","Opex","Other Expenses"},0))),(startDates&gt;=L$4)*(endDates&lt;=L$5)))-SUM(_xlfn._xlws.FILTER(_xlfn._xlws.FILTER(dataGLPL,ISNUMBER(MATCH(dataGLPLSections,{"Revenue","Other Income"},0))),(startDates&gt;=L$4)*(endDates&lt;=L$5)))+SUM(_xlfn._xlws.FILTER(_xlfn._xlws.FILTER(dataGLBSCF,ISNUMBER(MATCH(dataGLBSAcctIDs,{4,999},0))),(endDatesCF=L$5)))-SUM(_xlfn._xlws.FILTER(_xlfn._xlws.FILTER(dataGLBSCF,ISNUMBER(MATCH(dataGLBSAcctIDs,{4,999},0))),(startDatesCF=EDATE(L$4,-1))))</f>
        <v>0</v>
      </c>
      <c r="M49" s="547" cm="1">
        <f t="array" ref="M49">SUM(_xlfn._xlws.FILTER(_xlfn._xlws.FILTER(dataGLPL,ISNUMBER(MATCH(dataGLPLSections,{"COGS","Opex","Other Expenses"},0))),(startDates&gt;=M$4)*(endDates&lt;=M$5)))-SUM(_xlfn._xlws.FILTER(_xlfn._xlws.FILTER(dataGLPL,ISNUMBER(MATCH(dataGLPLSections,{"Revenue","Other Income"},0))),(startDates&gt;=M$4)*(endDates&lt;=M$5)))+SUM(_xlfn._xlws.FILTER(_xlfn._xlws.FILTER(dataGLBSCF,ISNUMBER(MATCH(dataGLBSAcctIDs,{4,999},0))),(endDatesCF=M$5)))-SUM(_xlfn._xlws.FILTER(_xlfn._xlws.FILTER(dataGLBSCF,ISNUMBER(MATCH(dataGLBSAcctIDs,{4,999},0))),(startDatesCF=EDATE(M$4,-1))))</f>
        <v>0</v>
      </c>
      <c r="N49" s="547" cm="1">
        <f t="array" ref="N49">SUM(_xlfn._xlws.FILTER(_xlfn._xlws.FILTER(dataGLPL,ISNUMBER(MATCH(dataGLPLSections,{"COGS","Opex","Other Expenses"},0))),(startDates&gt;=N$4)*(endDates&lt;=N$5)))-SUM(_xlfn._xlws.FILTER(_xlfn._xlws.FILTER(dataGLPL,ISNUMBER(MATCH(dataGLPLSections,{"Revenue","Other Income"},0))),(startDates&gt;=N$4)*(endDates&lt;=N$5)))+SUM(_xlfn._xlws.FILTER(_xlfn._xlws.FILTER(dataGLBSCF,ISNUMBER(MATCH(dataGLBSAcctIDs,{4,999},0))),(endDatesCF=N$5)))-SUM(_xlfn._xlws.FILTER(_xlfn._xlws.FILTER(dataGLBSCF,ISNUMBER(MATCH(dataGLBSAcctIDs,{4,999},0))),(startDatesCF=EDATE(N$4,-1))))</f>
        <v>0</v>
      </c>
      <c r="O49" s="547" cm="1">
        <f t="array" ref="O49">SUM(_xlfn._xlws.FILTER(_xlfn._xlws.FILTER(dataGLPL,ISNUMBER(MATCH(dataGLPLSections,{"COGS","Opex","Other Expenses"},0))),(startDates&gt;=O$4)*(endDates&lt;=O$5)))-SUM(_xlfn._xlws.FILTER(_xlfn._xlws.FILTER(dataGLPL,ISNUMBER(MATCH(dataGLPLSections,{"Revenue","Other Income"},0))),(startDates&gt;=O$4)*(endDates&lt;=O$5)))+SUM(_xlfn._xlws.FILTER(_xlfn._xlws.FILTER(dataGLBSCF,ISNUMBER(MATCH(dataGLBSAcctIDs,{4,999},0))),(endDatesCF=O$5)))-SUM(_xlfn._xlws.FILTER(_xlfn._xlws.FILTER(dataGLBSCF,ISNUMBER(MATCH(dataGLBSAcctIDs,{4,999},0))),(startDatesCF=EDATE(O$4,-1))))</f>
        <v>0</v>
      </c>
      <c r="P49" s="547" cm="1">
        <f t="array" ref="P49">SUM(_xlfn._xlws.FILTER(_xlfn._xlws.FILTER(dataGLPL,ISNUMBER(MATCH(dataGLPLSections,{"COGS","Opex","Other Expenses"},0))),(startDates&gt;=P$4)*(endDates&lt;=P$5)))-SUM(_xlfn._xlws.FILTER(_xlfn._xlws.FILTER(dataGLPL,ISNUMBER(MATCH(dataGLPLSections,{"Revenue","Other Income"},0))),(startDates&gt;=P$4)*(endDates&lt;=P$5)))+SUM(_xlfn._xlws.FILTER(_xlfn._xlws.FILTER(dataGLBSCF,ISNUMBER(MATCH(dataGLBSAcctIDs,{4,999},0))),(endDatesCF=P$5)))-SUM(_xlfn._xlws.FILTER(_xlfn._xlws.FILTER(dataGLBSCF,ISNUMBER(MATCH(dataGLBSAcctIDs,{4,999},0))),(startDatesCF=EDATE(P$4,-1))))</f>
        <v>0</v>
      </c>
      <c r="Q49" s="547" cm="1">
        <f t="array" ref="Q49">SUM(_xlfn._xlws.FILTER(_xlfn._xlws.FILTER(dataGLPL,ISNUMBER(MATCH(dataGLPLSections,{"COGS","Opex","Other Expenses"},0))),(startDates&gt;=Q$4)*(endDates&lt;=Q$5)))-SUM(_xlfn._xlws.FILTER(_xlfn._xlws.FILTER(dataGLPL,ISNUMBER(MATCH(dataGLPLSections,{"Revenue","Other Income"},0))),(startDates&gt;=Q$4)*(endDates&lt;=Q$5)))+SUM(_xlfn._xlws.FILTER(_xlfn._xlws.FILTER(dataGLBSCF,ISNUMBER(MATCH(dataGLBSAcctIDs,{4,999},0))),(endDatesCF=Q$5)))-SUM(_xlfn._xlws.FILTER(_xlfn._xlws.FILTER(dataGLBSCF,ISNUMBER(MATCH(dataGLBSAcctIDs,{4,999},0))),(startDatesCF=EDATE(Q$4,-1))))</f>
        <v>0</v>
      </c>
      <c r="R49" s="547" cm="1">
        <f t="array" ref="R49">SUM(_xlfn._xlws.FILTER(_xlfn._xlws.FILTER(dataGLPL,ISNUMBER(MATCH(dataGLPLSections,{"COGS","Opex","Other Expenses"},0))),(startDates&gt;=R$4)*(endDates&lt;=R$5)))-SUM(_xlfn._xlws.FILTER(_xlfn._xlws.FILTER(dataGLPL,ISNUMBER(MATCH(dataGLPLSections,{"Revenue","Other Income"},0))),(startDates&gt;=R$4)*(endDates&lt;=R$5)))+SUM(_xlfn._xlws.FILTER(_xlfn._xlws.FILTER(dataGLBSCF,ISNUMBER(MATCH(dataGLBSAcctIDs,{4,999},0))),(endDatesCF=R$5)))-SUM(_xlfn._xlws.FILTER(_xlfn._xlws.FILTER(dataGLBSCF,ISNUMBER(MATCH(dataGLBSAcctIDs,{4,999},0))),(startDatesCF=EDATE(R$4,-1))))</f>
        <v>0</v>
      </c>
      <c r="S49" s="547" cm="1">
        <f t="array" ref="S49">SUM(_xlfn._xlws.FILTER(_xlfn._xlws.FILTER(dataGLPL,ISNUMBER(MATCH(dataGLPLSections,{"COGS","Opex","Other Expenses"},0))),(startDates&gt;=S$4)*(endDates&lt;=S$5)))-SUM(_xlfn._xlws.FILTER(_xlfn._xlws.FILTER(dataGLPL,ISNUMBER(MATCH(dataGLPLSections,{"Revenue","Other Income"},0))),(startDates&gt;=S$4)*(endDates&lt;=S$5)))+SUM(_xlfn._xlws.FILTER(_xlfn._xlws.FILTER(dataGLBSCF,ISNUMBER(MATCH(dataGLBSAcctIDs,{4,999},0))),(endDatesCF=S$5)))-SUM(_xlfn._xlws.FILTER(_xlfn._xlws.FILTER(dataGLBSCF,ISNUMBER(MATCH(dataGLBSAcctIDs,{4,999},0))),(startDatesCF=EDATE(S$4,-1))))</f>
        <v>0</v>
      </c>
      <c r="T49" s="547" cm="1">
        <f t="array" ref="T49">SUM(_xlfn._xlws.FILTER(_xlfn._xlws.FILTER(dataGLPL,ISNUMBER(MATCH(dataGLPLSections,{"COGS","Opex","Other Expenses"},0))),(startDates&gt;=T$4)*(endDates&lt;=T$5)))-SUM(_xlfn._xlws.FILTER(_xlfn._xlws.FILTER(dataGLPL,ISNUMBER(MATCH(dataGLPLSections,{"Revenue","Other Income"},0))),(startDates&gt;=T$4)*(endDates&lt;=T$5)))+SUM(_xlfn._xlws.FILTER(_xlfn._xlws.FILTER(dataGLBSCF,ISNUMBER(MATCH(dataGLBSAcctIDs,{4,999},0))),(endDatesCF=T$5)))-SUM(_xlfn._xlws.FILTER(_xlfn._xlws.FILTER(dataGLBSCF,ISNUMBER(MATCH(dataGLBSAcctIDs,{4,999},0))),(startDatesCF=EDATE(T$4,-1))))</f>
        <v>0</v>
      </c>
      <c r="U49" s="547" cm="1">
        <f t="array" ref="U49">SUM(_xlfn._xlws.FILTER(_xlfn._xlws.FILTER(dataGLPL,ISNUMBER(MATCH(dataGLPLSections,{"COGS","Opex","Other Expenses"},0))),(startDates&gt;=U$4)*(endDates&lt;=U$5)))-SUM(_xlfn._xlws.FILTER(_xlfn._xlws.FILTER(dataGLPL,ISNUMBER(MATCH(dataGLPLSections,{"Revenue","Other Income"},0))),(startDates&gt;=U$4)*(endDates&lt;=U$5)))+SUM(_xlfn._xlws.FILTER(_xlfn._xlws.FILTER(dataGLBSCF,ISNUMBER(MATCH(dataGLBSAcctIDs,{4,999},0))),(endDatesCF=U$5)))-SUM(_xlfn._xlws.FILTER(_xlfn._xlws.FILTER(dataGLBSCF,ISNUMBER(MATCH(dataGLBSAcctIDs,{4,999},0))),(startDatesCF=EDATE(U$4,-1))))</f>
        <v>0</v>
      </c>
      <c r="V49" s="547" cm="1">
        <f t="array" ref="V49">SUM(_xlfn._xlws.FILTER(_xlfn._xlws.FILTER(dataGLPL,ISNUMBER(MATCH(dataGLPLSections,{"COGS","Opex","Other Expenses"},0))),(startDates&gt;=V$4)*(endDates&lt;=V$5)))-SUM(_xlfn._xlws.FILTER(_xlfn._xlws.FILTER(dataGLPL,ISNUMBER(MATCH(dataGLPLSections,{"Revenue","Other Income"},0))),(startDates&gt;=V$4)*(endDates&lt;=V$5)))+SUM(_xlfn._xlws.FILTER(_xlfn._xlws.FILTER(dataGLBSCF,ISNUMBER(MATCH(dataGLBSAcctIDs,{4,999},0))),(endDatesCF=V$5)))-SUM(_xlfn._xlws.FILTER(_xlfn._xlws.FILTER(dataGLBSCF,ISNUMBER(MATCH(dataGLBSAcctIDs,{4,999},0))),(startDatesCF=EDATE(V$4,-1))))</f>
        <v>0</v>
      </c>
      <c r="W49" s="547" cm="1">
        <f t="array" ref="W49">SUM(_xlfn._xlws.FILTER(_xlfn._xlws.FILTER(dataGLPL,ISNUMBER(MATCH(dataGLPLSections,{"COGS","Opex","Other Expenses"},0))),(startDates&gt;=W$4)*(endDates&lt;=W$5)))-SUM(_xlfn._xlws.FILTER(_xlfn._xlws.FILTER(dataGLPL,ISNUMBER(MATCH(dataGLPLSections,{"Revenue","Other Income"},0))),(startDates&gt;=W$4)*(endDates&lt;=W$5)))+SUM(_xlfn._xlws.FILTER(_xlfn._xlws.FILTER(dataGLBSCF,ISNUMBER(MATCH(dataGLBSAcctIDs,{4,999},0))),(endDatesCF=W$5)))-SUM(_xlfn._xlws.FILTER(_xlfn._xlws.FILTER(dataGLBSCF,ISNUMBER(MATCH(dataGLBSAcctIDs,{4,999},0))),(startDatesCF=EDATE(W$4,-1))))</f>
        <v>0</v>
      </c>
      <c r="X49" s="547" cm="1">
        <f t="array" ref="X49">SUM(_xlfn._xlws.FILTER(_xlfn._xlws.FILTER(dataGLPL,ISNUMBER(MATCH(dataGLPLSections,{"COGS","Opex","Other Expenses"},0))),(startDates&gt;=X$4)*(endDates&lt;=X$5)))-SUM(_xlfn._xlws.FILTER(_xlfn._xlws.FILTER(dataGLPL,ISNUMBER(MATCH(dataGLPLSections,{"Revenue","Other Income"},0))),(startDates&gt;=X$4)*(endDates&lt;=X$5)))+SUM(_xlfn._xlws.FILTER(_xlfn._xlws.FILTER(dataGLBSCF,ISNUMBER(MATCH(dataGLBSAcctIDs,{4,999},0))),(endDatesCF=X$5)))-SUM(_xlfn._xlws.FILTER(_xlfn._xlws.FILTER(dataGLBSCF,ISNUMBER(MATCH(dataGLBSAcctIDs,{4,999},0))),(startDatesCF=EDATE(X$4,-1))))</f>
        <v>0</v>
      </c>
      <c r="Y49" s="547" cm="1">
        <f t="array" ref="Y49">SUM(_xlfn._xlws.FILTER(_xlfn._xlws.FILTER(dataGLPL,ISNUMBER(MATCH(dataGLPLSections,{"COGS","Opex","Other Expenses"},0))),(startDates&gt;=Y$4)*(endDates&lt;=Y$5)))-SUM(_xlfn._xlws.FILTER(_xlfn._xlws.FILTER(dataGLPL,ISNUMBER(MATCH(dataGLPLSections,{"Revenue","Other Income"},0))),(startDates&gt;=Y$4)*(endDates&lt;=Y$5)))+SUM(_xlfn._xlws.FILTER(_xlfn._xlws.FILTER(dataGLBSCF,ISNUMBER(MATCH(dataGLBSAcctIDs,{4,999},0))),(endDatesCF=Y$5)))-SUM(_xlfn._xlws.FILTER(_xlfn._xlws.FILTER(dataGLBSCF,ISNUMBER(MATCH(dataGLBSAcctIDs,{4,999},0))),(startDatesCF=EDATE(Y$4,-1))))</f>
        <v>0</v>
      </c>
      <c r="Z49" s="547" cm="1">
        <f t="array" ref="Z49">SUM(_xlfn._xlws.FILTER(_xlfn._xlws.FILTER(dataGLPL,ISNUMBER(MATCH(dataGLPLSections,{"COGS","Opex","Other Expenses"},0))),(startDates&gt;=Z$4)*(endDates&lt;=Z$5)))-SUM(_xlfn._xlws.FILTER(_xlfn._xlws.FILTER(dataGLPL,ISNUMBER(MATCH(dataGLPLSections,{"Revenue","Other Income"},0))),(startDates&gt;=Z$4)*(endDates&lt;=Z$5)))+SUM(_xlfn._xlws.FILTER(_xlfn._xlws.FILTER(dataGLBSCF,ISNUMBER(MATCH(dataGLBSAcctIDs,{4,999},0))),(endDatesCF=Z$5)))-SUM(_xlfn._xlws.FILTER(_xlfn._xlws.FILTER(dataGLBSCF,ISNUMBER(MATCH(dataGLBSAcctIDs,{4,999},0))),(startDatesCF=EDATE(Z$4,-1))))</f>
        <v>0</v>
      </c>
      <c r="AC49" s="547" cm="1">
        <f t="array" ref="AC49">SUM(_xlfn._xlws.FILTER(_xlfn._xlws.FILTER(dataGLPL,ISNUMBER(MATCH(dataGLPLSections,{"COGS","Opex","Other Expenses"},0))),(startDates&gt;=AC$4)*(endDates&lt;=AC$5)))-SUM(_xlfn._xlws.FILTER(_xlfn._xlws.FILTER(dataGLPL,ISNUMBER(MATCH(dataGLPLSections,{"Revenue","Other Income"},0))),(startDates&gt;=AC$4)*(endDates&lt;=AC$5)))+SUM(_xlfn._xlws.FILTER(_xlfn._xlws.FILTER(dataGLBSCF,ISNUMBER(MATCH(dataGLBSAcctIDs,{4,999},0))),(endDatesCF=AC$5)))-SUM(_xlfn._xlws.FILTER(_xlfn._xlws.FILTER(dataGLBSCF,ISNUMBER(MATCH(dataGLBSAcctIDs,{4,999},0))),(startDatesCF=EDATE(AC$4,-1))))</f>
        <v>0</v>
      </c>
      <c r="AD49" s="547" cm="1">
        <f t="array" ref="AD49">SUM(_xlfn._xlws.FILTER(_xlfn._xlws.FILTER(dataGLPL,ISNUMBER(MATCH(dataGLPLSections,{"COGS","Opex","Other Expenses"},0))),(startDates&gt;=AD$4)*(endDates&lt;=AD$5)))-SUM(_xlfn._xlws.FILTER(_xlfn._xlws.FILTER(dataGLPL,ISNUMBER(MATCH(dataGLPLSections,{"Revenue","Other Income"},0))),(startDates&gt;=AD$4)*(endDates&lt;=AD$5)))+SUM(_xlfn._xlws.FILTER(_xlfn._xlws.FILTER(dataGLBSCF,ISNUMBER(MATCH(dataGLBSAcctIDs,{4,999},0))),(endDatesCF=AD$5)))-SUM(_xlfn._xlws.FILTER(_xlfn._xlws.FILTER(dataGLBSCF,ISNUMBER(MATCH(dataGLBSAcctIDs,{4,999},0))),(startDatesCF=EDATE(AD$4,-1))))</f>
        <v>0</v>
      </c>
      <c r="AE49" s="547" cm="1">
        <f t="array" ref="AE49">SUM(_xlfn._xlws.FILTER(_xlfn._xlws.FILTER(dataGLPL,ISNUMBER(MATCH(dataGLPLSections,{"COGS","Opex","Other Expenses"},0))),(startDates&gt;=AE$4)*(endDates&lt;=AE$5)))-SUM(_xlfn._xlws.FILTER(_xlfn._xlws.FILTER(dataGLPL,ISNUMBER(MATCH(dataGLPLSections,{"Revenue","Other Income"},0))),(startDates&gt;=AE$4)*(endDates&lt;=AE$5)))+SUM(_xlfn._xlws.FILTER(_xlfn._xlws.FILTER(dataGLBSCF,ISNUMBER(MATCH(dataGLBSAcctIDs,{4,999},0))),(endDatesCF=AE$5)))-SUM(_xlfn._xlws.FILTER(_xlfn._xlws.FILTER(dataGLBSCF,ISNUMBER(MATCH(dataGLBSAcctIDs,{4,999},0))),(startDatesCF=EDATE(AE$4,-1))))</f>
        <v>0</v>
      </c>
      <c r="AF49" s="547" cm="1">
        <f t="array" ref="AF49">SUM(_xlfn._xlws.FILTER(_xlfn._xlws.FILTER(dataGLPL,ISNUMBER(MATCH(dataGLPLSections,{"COGS","Opex","Other Expenses"},0))),(startDates&gt;=AF$4)*(endDates&lt;=AF$5)))-SUM(_xlfn._xlws.FILTER(_xlfn._xlws.FILTER(dataGLPL,ISNUMBER(MATCH(dataGLPLSections,{"Revenue","Other Income"},0))),(startDates&gt;=AF$4)*(endDates&lt;=AF$5)))+SUM(_xlfn._xlws.FILTER(_xlfn._xlws.FILTER(dataGLBSCF,ISNUMBER(MATCH(dataGLBSAcctIDs,{4,999},0))),(endDatesCF=AF$5)))-SUM(_xlfn._xlws.FILTER(_xlfn._xlws.FILTER(dataGLBSCF,ISNUMBER(MATCH(dataGLBSAcctIDs,{4,999},0))),(startDatesCF=EDATE(AF$4,-1))))</f>
        <v>0</v>
      </c>
      <c r="AG49" s="547" cm="1">
        <f t="array" ref="AG49">SUM(_xlfn._xlws.FILTER(_xlfn._xlws.FILTER(dataGLPL,ISNUMBER(MATCH(dataGLPLSections,{"COGS","Opex","Other Expenses"},0))),(startDates&gt;=AG$4)*(endDates&lt;=AG$5)))-SUM(_xlfn._xlws.FILTER(_xlfn._xlws.FILTER(dataGLPL,ISNUMBER(MATCH(dataGLPLSections,{"Revenue","Other Income"},0))),(startDates&gt;=AG$4)*(endDates&lt;=AG$5)))+SUM(_xlfn._xlws.FILTER(_xlfn._xlws.FILTER(dataGLBSCF,ISNUMBER(MATCH(dataGLBSAcctIDs,{4,999},0))),(endDatesCF=AG$5)))-SUM(_xlfn._xlws.FILTER(_xlfn._xlws.FILTER(dataGLBSCF,ISNUMBER(MATCH(dataGLBSAcctIDs,{4,999},0))),(startDatesCF=EDATE(AG$4,-1))))</f>
        <v>0</v>
      </c>
      <c r="AH49" s="547" cm="1">
        <f t="array" ref="AH49">SUM(_xlfn._xlws.FILTER(_xlfn._xlws.FILTER(dataGLPL,ISNUMBER(MATCH(dataGLPLSections,{"COGS","Opex","Other Expenses"},0))),(startDates&gt;=AH$4)*(endDates&lt;=AH$5)))-SUM(_xlfn._xlws.FILTER(_xlfn._xlws.FILTER(dataGLPL,ISNUMBER(MATCH(dataGLPLSections,{"Revenue","Other Income"},0))),(startDates&gt;=AH$4)*(endDates&lt;=AH$5)))+SUM(_xlfn._xlws.FILTER(_xlfn._xlws.FILTER(dataGLBSCF,ISNUMBER(MATCH(dataGLBSAcctIDs,{4,999},0))),(endDatesCF=AH$5)))-SUM(_xlfn._xlws.FILTER(_xlfn._xlws.FILTER(dataGLBSCF,ISNUMBER(MATCH(dataGLBSAcctIDs,{4,999},0))),(startDatesCF=EDATE(AH$4,-1))))</f>
        <v>0</v>
      </c>
      <c r="AI49" s="547" cm="1">
        <f t="array" ref="AI49">SUM(_xlfn._xlws.FILTER(_xlfn._xlws.FILTER(dataGLPL,ISNUMBER(MATCH(dataGLPLSections,{"COGS","Opex","Other Expenses"},0))),(startDates&gt;=AI$4)*(endDates&lt;=AI$5)))-SUM(_xlfn._xlws.FILTER(_xlfn._xlws.FILTER(dataGLPL,ISNUMBER(MATCH(dataGLPLSections,{"Revenue","Other Income"},0))),(startDates&gt;=AI$4)*(endDates&lt;=AI$5)))+SUM(_xlfn._xlws.FILTER(_xlfn._xlws.FILTER(dataGLBSCF,ISNUMBER(MATCH(dataGLBSAcctIDs,{4,999},0))),(endDatesCF=AI$5)))-SUM(_xlfn._xlws.FILTER(_xlfn._xlws.FILTER(dataGLBSCF,ISNUMBER(MATCH(dataGLBSAcctIDs,{4,999},0))),(startDatesCF=EDATE(AI$4,-1))))</f>
        <v>0</v>
      </c>
      <c r="AJ49" s="547" cm="1">
        <f t="array" ref="AJ49">SUM(_xlfn._xlws.FILTER(_xlfn._xlws.FILTER(dataGLPL,ISNUMBER(MATCH(dataGLPLSections,{"COGS","Opex","Other Expenses"},0))),(startDates&gt;=AJ$4)*(endDates&lt;=AJ$5)))-SUM(_xlfn._xlws.FILTER(_xlfn._xlws.FILTER(dataGLPL,ISNUMBER(MATCH(dataGLPLSections,{"Revenue","Other Income"},0))),(startDates&gt;=AJ$4)*(endDates&lt;=AJ$5)))+SUM(_xlfn._xlws.FILTER(_xlfn._xlws.FILTER(dataGLBSCF,ISNUMBER(MATCH(dataGLBSAcctIDs,{4,999},0))),(endDatesCF=AJ$5)))-SUM(_xlfn._xlws.FILTER(_xlfn._xlws.FILTER(dataGLBSCF,ISNUMBER(MATCH(dataGLBSAcctIDs,{4,999},0))),(startDatesCF=EDATE(AJ$4,-1))))</f>
        <v>0</v>
      </c>
      <c r="AK49" s="547" cm="1">
        <f t="array" ref="AK49">SUM(_xlfn._xlws.FILTER(_xlfn._xlws.FILTER(dataGLPL,ISNUMBER(MATCH(dataGLPLSections,{"COGS","Opex","Other Expenses"},0))),(startDates&gt;=AK$4)*(endDates&lt;=AK$5)))-SUM(_xlfn._xlws.FILTER(_xlfn._xlws.FILTER(dataGLPL,ISNUMBER(MATCH(dataGLPLSections,{"Revenue","Other Income"},0))),(startDates&gt;=AK$4)*(endDates&lt;=AK$5)))+SUM(_xlfn._xlws.FILTER(_xlfn._xlws.FILTER(dataGLBSCF,ISNUMBER(MATCH(dataGLBSAcctIDs,{4,999},0))),(endDatesCF=AK$5)))-SUM(_xlfn._xlws.FILTER(_xlfn._xlws.FILTER(dataGLBSCF,ISNUMBER(MATCH(dataGLBSAcctIDs,{4,999},0))),(startDatesCF=EDATE(AK$4,-1))))</f>
        <v>0</v>
      </c>
      <c r="AL49" s="547" cm="1">
        <f t="array" ref="AL49">SUM(_xlfn._xlws.FILTER(_xlfn._xlws.FILTER(dataGLPL,ISNUMBER(MATCH(dataGLPLSections,{"COGS","Opex","Other Expenses"},0))),(startDates&gt;=AL$4)*(endDates&lt;=AL$5)))-SUM(_xlfn._xlws.FILTER(_xlfn._xlws.FILTER(dataGLPL,ISNUMBER(MATCH(dataGLPLSections,{"Revenue","Other Income"},0))),(startDates&gt;=AL$4)*(endDates&lt;=AL$5)))+SUM(_xlfn._xlws.FILTER(_xlfn._xlws.FILTER(dataGLBSCF,ISNUMBER(MATCH(dataGLBSAcctIDs,{4,999},0))),(endDatesCF=AL$5)))-SUM(_xlfn._xlws.FILTER(_xlfn._xlws.FILTER(dataGLBSCF,ISNUMBER(MATCH(dataGLBSAcctIDs,{4,999},0))),(startDatesCF=EDATE(AL$4,-1))))</f>
        <v>0</v>
      </c>
      <c r="AM49" s="547" cm="1">
        <f t="array" ref="AM49">SUM(_xlfn._xlws.FILTER(_xlfn._xlws.FILTER(dataGLPL,ISNUMBER(MATCH(dataGLPLSections,{"COGS","Opex","Other Expenses"},0))),(startDates&gt;=AM$4)*(endDates&lt;=AM$5)))-SUM(_xlfn._xlws.FILTER(_xlfn._xlws.FILTER(dataGLPL,ISNUMBER(MATCH(dataGLPLSections,{"Revenue","Other Income"},0))),(startDates&gt;=AM$4)*(endDates&lt;=AM$5)))+SUM(_xlfn._xlws.FILTER(_xlfn._xlws.FILTER(dataGLBSCF,ISNUMBER(MATCH(dataGLBSAcctIDs,{4,999},0))),(endDatesCF=AM$5)))-SUM(_xlfn._xlws.FILTER(_xlfn._xlws.FILTER(dataGLBSCF,ISNUMBER(MATCH(dataGLBSAcctIDs,{4,999},0))),(startDatesCF=EDATE(AM$4,-1))))</f>
        <v>0</v>
      </c>
      <c r="AN49" s="547" cm="1">
        <f t="array" ref="AN49">SUM(_xlfn._xlws.FILTER(_xlfn._xlws.FILTER(dataGLPL,ISNUMBER(MATCH(dataGLPLSections,{"COGS","Opex","Other Expenses"},0))),(startDates&gt;=AN$4)*(endDates&lt;=AN$5)))-SUM(_xlfn._xlws.FILTER(_xlfn._xlws.FILTER(dataGLPL,ISNUMBER(MATCH(dataGLPLSections,{"Revenue","Other Income"},0))),(startDates&gt;=AN$4)*(endDates&lt;=AN$5)))+SUM(_xlfn._xlws.FILTER(_xlfn._xlws.FILTER(dataGLBSCF,ISNUMBER(MATCH(dataGLBSAcctIDs,{4,999},0))),(endDatesCF=AN$5)))-SUM(_xlfn._xlws.FILTER(_xlfn._xlws.FILTER(dataGLBSCF,ISNUMBER(MATCH(dataGLBSAcctIDs,{4,999},0))),(startDatesCF=EDATE(AN$4,-1))))</f>
        <v>0</v>
      </c>
      <c r="AO49" s="547" cm="1">
        <f t="array" ref="AO49">SUM(_xlfn._xlws.FILTER(_xlfn._xlws.FILTER(dataGLPL,ISNUMBER(MATCH(dataGLPLSections,{"COGS","Opex","Other Expenses"},0))),(startDates&gt;=AO$4)*(endDates&lt;=AO$5)))-SUM(_xlfn._xlws.FILTER(_xlfn._xlws.FILTER(dataGLPL,ISNUMBER(MATCH(dataGLPLSections,{"Revenue","Other Income"},0))),(startDates&gt;=AO$4)*(endDates&lt;=AO$5)))+SUM(_xlfn._xlws.FILTER(_xlfn._xlws.FILTER(dataGLBSCF,ISNUMBER(MATCH(dataGLBSAcctIDs,{4,999},0))),(endDatesCF=AO$5)))-SUM(_xlfn._xlws.FILTER(_xlfn._xlws.FILTER(dataGLBSCF,ISNUMBER(MATCH(dataGLBSAcctIDs,{4,999},0))),(startDatesCF=EDATE(AO$4,-1))))</f>
        <v>0</v>
      </c>
      <c r="AP49" s="547" cm="1">
        <f t="array" ref="AP49">SUM(_xlfn._xlws.FILTER(_xlfn._xlws.FILTER(dataGLPL,ISNUMBER(MATCH(dataGLPLSections,{"COGS","Opex","Other Expenses"},0))),(startDates&gt;=AP$4)*(endDates&lt;=AP$5)))-SUM(_xlfn._xlws.FILTER(_xlfn._xlws.FILTER(dataGLPL,ISNUMBER(MATCH(dataGLPLSections,{"Revenue","Other Income"},0))),(startDates&gt;=AP$4)*(endDates&lt;=AP$5)))+SUM(_xlfn._xlws.FILTER(_xlfn._xlws.FILTER(dataGLBSCF,ISNUMBER(MATCH(dataGLBSAcctIDs,{4,999},0))),(endDatesCF=AP$5)))-SUM(_xlfn._xlws.FILTER(_xlfn._xlws.FILTER(dataGLBSCF,ISNUMBER(MATCH(dataGLBSAcctIDs,{4,999},0))),(startDatesCF=EDATE(AP$4,-1))))</f>
        <v>0</v>
      </c>
      <c r="AQ49" s="547" cm="1">
        <f t="array" ref="AQ49">SUM(_xlfn._xlws.FILTER(_xlfn._xlws.FILTER(dataGLPL,ISNUMBER(MATCH(dataGLPLSections,{"COGS","Opex","Other Expenses"},0))),(startDates&gt;=AQ$4)*(endDates&lt;=AQ$5)))-SUM(_xlfn._xlws.FILTER(_xlfn._xlws.FILTER(dataGLPL,ISNUMBER(MATCH(dataGLPLSections,{"Revenue","Other Income"},0))),(startDates&gt;=AQ$4)*(endDates&lt;=AQ$5)))+SUM(_xlfn._xlws.FILTER(_xlfn._xlws.FILTER(dataGLBSCF,ISNUMBER(MATCH(dataGLBSAcctIDs,{4,999},0))),(endDatesCF=AQ$5)))-SUM(_xlfn._xlws.FILTER(_xlfn._xlws.FILTER(dataGLBSCF,ISNUMBER(MATCH(dataGLBSAcctIDs,{4,999},0))),(startDatesCF=EDATE(AQ$4,-1))))</f>
        <v>0</v>
      </c>
      <c r="AR49" s="547" cm="1">
        <f t="array" ref="AR49">SUM(_xlfn._xlws.FILTER(_xlfn._xlws.FILTER(dataGLPL,ISNUMBER(MATCH(dataGLPLSections,{"COGS","Opex","Other Expenses"},0))),(startDates&gt;=AR$4)*(endDates&lt;=AR$5)))-SUM(_xlfn._xlws.FILTER(_xlfn._xlws.FILTER(dataGLPL,ISNUMBER(MATCH(dataGLPLSections,{"Revenue","Other Income"},0))),(startDates&gt;=AR$4)*(endDates&lt;=AR$5)))+SUM(_xlfn._xlws.FILTER(_xlfn._xlws.FILTER(dataGLBSCF,ISNUMBER(MATCH(dataGLBSAcctIDs,{4,999},0))),(endDatesCF=AR$5)))-SUM(_xlfn._xlws.FILTER(_xlfn._xlws.FILTER(dataGLBSCF,ISNUMBER(MATCH(dataGLBSAcctIDs,{4,999},0))),(startDatesCF=EDATE(AR$4,-1))))</f>
        <v>0</v>
      </c>
      <c r="AS49" s="547" cm="1">
        <f t="array" ref="AS49">SUM(_xlfn._xlws.FILTER(_xlfn._xlws.FILTER(dataGLPL,ISNUMBER(MATCH(dataGLPLSections,{"COGS","Opex","Other Expenses"},0))),(startDates&gt;=AS$4)*(endDates&lt;=AS$5)))-SUM(_xlfn._xlws.FILTER(_xlfn._xlws.FILTER(dataGLPL,ISNUMBER(MATCH(dataGLPLSections,{"Revenue","Other Income"},0))),(startDates&gt;=AS$4)*(endDates&lt;=AS$5)))+SUM(_xlfn._xlws.FILTER(_xlfn._xlws.FILTER(dataGLBSCF,ISNUMBER(MATCH(dataGLBSAcctIDs,{4,999},0))),(endDatesCF=AS$5)))-SUM(_xlfn._xlws.FILTER(_xlfn._xlws.FILTER(dataGLBSCF,ISNUMBER(MATCH(dataGLBSAcctIDs,{4,999},0))),(startDatesCF=EDATE(AS$4,-1))))</f>
        <v>0</v>
      </c>
      <c r="AT49" s="547" cm="1">
        <f t="array" ref="AT49">SUM(_xlfn._xlws.FILTER(_xlfn._xlws.FILTER(dataGLPL,ISNUMBER(MATCH(dataGLPLSections,{"COGS","Opex","Other Expenses"},0))),(startDates&gt;=AT$4)*(endDates&lt;=AT$5)))-SUM(_xlfn._xlws.FILTER(_xlfn._xlws.FILTER(dataGLPL,ISNUMBER(MATCH(dataGLPLSections,{"Revenue","Other Income"},0))),(startDates&gt;=AT$4)*(endDates&lt;=AT$5)))+SUM(_xlfn._xlws.FILTER(_xlfn._xlws.FILTER(dataGLBSCF,ISNUMBER(MATCH(dataGLBSAcctIDs,{4,999},0))),(endDatesCF=AT$5)))-SUM(_xlfn._xlws.FILTER(_xlfn._xlws.FILTER(dataGLBSCF,ISNUMBER(MATCH(dataGLBSAcctIDs,{4,999},0))),(startDatesCF=EDATE(AT$4,-1))))</f>
        <v>0</v>
      </c>
      <c r="AU49" s="547" cm="1">
        <f t="array" ref="AU49">SUM(_xlfn._xlws.FILTER(_xlfn._xlws.FILTER(dataGLPL,ISNUMBER(MATCH(dataGLPLSections,{"COGS","Opex","Other Expenses"},0))),(startDates&gt;=AU$4)*(endDates&lt;=AU$5)))-SUM(_xlfn._xlws.FILTER(_xlfn._xlws.FILTER(dataGLPL,ISNUMBER(MATCH(dataGLPLSections,{"Revenue","Other Income"},0))),(startDates&gt;=AU$4)*(endDates&lt;=AU$5)))+SUM(_xlfn._xlws.FILTER(_xlfn._xlws.FILTER(dataGLBSCF,ISNUMBER(MATCH(dataGLBSAcctIDs,{4,999},0))),(endDatesCF=AU$5)))-SUM(_xlfn._xlws.FILTER(_xlfn._xlws.FILTER(dataGLBSCF,ISNUMBER(MATCH(dataGLBSAcctIDs,{4,999},0))),(startDatesCF=EDATE(AU$4,-1))))</f>
        <v>0</v>
      </c>
      <c r="AV49" s="547" cm="1">
        <f t="array" ref="AV49">SUM(_xlfn._xlws.FILTER(_xlfn._xlws.FILTER(dataGLPL,ISNUMBER(MATCH(dataGLPLSections,{"COGS","Opex","Other Expenses"},0))),(startDates&gt;=AV$4)*(endDates&lt;=AV$5)))-SUM(_xlfn._xlws.FILTER(_xlfn._xlws.FILTER(dataGLPL,ISNUMBER(MATCH(dataGLPLSections,{"Revenue","Other Income"},0))),(startDates&gt;=AV$4)*(endDates&lt;=AV$5)))+SUM(_xlfn._xlws.FILTER(_xlfn._xlws.FILTER(dataGLBSCF,ISNUMBER(MATCH(dataGLBSAcctIDs,{4,999},0))),(endDatesCF=AV$5)))-SUM(_xlfn._xlws.FILTER(_xlfn._xlws.FILTER(dataGLBSCF,ISNUMBER(MATCH(dataGLBSAcctIDs,{4,999},0))),(startDatesCF=EDATE(AV$4,-1))))</f>
        <v>0</v>
      </c>
      <c r="AW49" s="547" cm="1">
        <f t="array" ref="AW49">SUM(_xlfn._xlws.FILTER(_xlfn._xlws.FILTER(dataGLPL,ISNUMBER(MATCH(dataGLPLSections,{"COGS","Opex","Other Expenses"},0))),(startDates&gt;=AW$4)*(endDates&lt;=AW$5)))-SUM(_xlfn._xlws.FILTER(_xlfn._xlws.FILTER(dataGLPL,ISNUMBER(MATCH(dataGLPLSections,{"Revenue","Other Income"},0))),(startDates&gt;=AW$4)*(endDates&lt;=AW$5)))+SUM(_xlfn._xlws.FILTER(_xlfn._xlws.FILTER(dataGLBSCF,ISNUMBER(MATCH(dataGLBSAcctIDs,{4,999},0))),(endDatesCF=AW$5)))-SUM(_xlfn._xlws.FILTER(_xlfn._xlws.FILTER(dataGLBSCF,ISNUMBER(MATCH(dataGLBSAcctIDs,{4,999},0))),(startDatesCF=EDATE(AW$4,-1))))</f>
        <v>0</v>
      </c>
      <c r="AX49" s="547" cm="1">
        <f t="array" ref="AX49">SUM(_xlfn._xlws.FILTER(_xlfn._xlws.FILTER(dataGLPL,ISNUMBER(MATCH(dataGLPLSections,{"COGS","Opex","Other Expenses"},0))),(startDates&gt;=AX$4)*(endDates&lt;=AX$5)))-SUM(_xlfn._xlws.FILTER(_xlfn._xlws.FILTER(dataGLPL,ISNUMBER(MATCH(dataGLPLSections,{"Revenue","Other Income"},0))),(startDates&gt;=AX$4)*(endDates&lt;=AX$5)))+SUM(_xlfn._xlws.FILTER(_xlfn._xlws.FILTER(dataGLBSCF,ISNUMBER(MATCH(dataGLBSAcctIDs,{4,999},0))),(endDatesCF=AX$5)))-SUM(_xlfn._xlws.FILTER(_xlfn._xlws.FILTER(dataGLBSCF,ISNUMBER(MATCH(dataGLBSAcctIDs,{4,999},0))),(startDatesCF=EDATE(AX$4,-1))))</f>
        <v>0</v>
      </c>
      <c r="AY49" s="547" cm="1">
        <f t="array" ref="AY49">SUM(_xlfn._xlws.FILTER(_xlfn._xlws.FILTER(dataGLPL,ISNUMBER(MATCH(dataGLPLSections,{"COGS","Opex","Other Expenses"},0))),(startDates&gt;=AY$4)*(endDates&lt;=AY$5)))-SUM(_xlfn._xlws.FILTER(_xlfn._xlws.FILTER(dataGLPL,ISNUMBER(MATCH(dataGLPLSections,{"Revenue","Other Income"},0))),(startDates&gt;=AY$4)*(endDates&lt;=AY$5)))+SUM(_xlfn._xlws.FILTER(_xlfn._xlws.FILTER(dataGLBSCF,ISNUMBER(MATCH(dataGLBSAcctIDs,{4,999},0))),(endDatesCF=AY$5)))-SUM(_xlfn._xlws.FILTER(_xlfn._xlws.FILTER(dataGLBSCF,ISNUMBER(MATCH(dataGLBSAcctIDs,{4,999},0))),(startDatesCF=EDATE(AY$4,-1))))</f>
        <v>0</v>
      </c>
      <c r="AZ49" s="547" cm="1">
        <f t="array" ref="AZ49">SUM(_xlfn._xlws.FILTER(_xlfn._xlws.FILTER(dataGLPL,ISNUMBER(MATCH(dataGLPLSections,{"COGS","Opex","Other Expenses"},0))),(startDates&gt;=AZ$4)*(endDates&lt;=AZ$5)))-SUM(_xlfn._xlws.FILTER(_xlfn._xlws.FILTER(dataGLPL,ISNUMBER(MATCH(dataGLPLSections,{"Revenue","Other Income"},0))),(startDates&gt;=AZ$4)*(endDates&lt;=AZ$5)))+SUM(_xlfn._xlws.FILTER(_xlfn._xlws.FILTER(dataGLBSCF,ISNUMBER(MATCH(dataGLBSAcctIDs,{4,999},0))),(endDatesCF=AZ$5)))-SUM(_xlfn._xlws.FILTER(_xlfn._xlws.FILTER(dataGLBSCF,ISNUMBER(MATCH(dataGLBSAcctIDs,{4,999},0))),(startDatesCF=EDATE(AZ$4,-1))))</f>
        <v>0</v>
      </c>
      <c r="BA49" s="547" cm="1">
        <f t="array" ref="BA49">SUM(_xlfn._xlws.FILTER(_xlfn._xlws.FILTER(dataGLPL,ISNUMBER(MATCH(dataGLPLSections,{"COGS","Opex","Other Expenses"},0))),(startDates&gt;=BA$4)*(endDates&lt;=BA$5)))-SUM(_xlfn._xlws.FILTER(_xlfn._xlws.FILTER(dataGLPL,ISNUMBER(MATCH(dataGLPLSections,{"Revenue","Other Income"},0))),(startDates&gt;=BA$4)*(endDates&lt;=BA$5)))+SUM(_xlfn._xlws.FILTER(_xlfn._xlws.FILTER(dataGLBSCF,ISNUMBER(MATCH(dataGLBSAcctIDs,{4,999},0))),(endDatesCF=BA$5)))-SUM(_xlfn._xlws.FILTER(_xlfn._xlws.FILTER(dataGLBSCF,ISNUMBER(MATCH(dataGLBSAcctIDs,{4,999},0))),(startDatesCF=EDATE(BA$4,-1))))</f>
        <v>0</v>
      </c>
      <c r="BB49" s="547" cm="1">
        <f t="array" ref="BB49">SUM(_xlfn._xlws.FILTER(_xlfn._xlws.FILTER(dataGLPL,ISNUMBER(MATCH(dataGLPLSections,{"COGS","Opex","Other Expenses"},0))),(startDates&gt;=BB$4)*(endDates&lt;=BB$5)))-SUM(_xlfn._xlws.FILTER(_xlfn._xlws.FILTER(dataGLPL,ISNUMBER(MATCH(dataGLPLSections,{"Revenue","Other Income"},0))),(startDates&gt;=BB$4)*(endDates&lt;=BB$5)))+SUM(_xlfn._xlws.FILTER(_xlfn._xlws.FILTER(dataGLBSCF,ISNUMBER(MATCH(dataGLBSAcctIDs,{4,999},0))),(endDatesCF=BB$5)))-SUM(_xlfn._xlws.FILTER(_xlfn._xlws.FILTER(dataGLBSCF,ISNUMBER(MATCH(dataGLBSAcctIDs,{4,999},0))),(startDatesCF=EDATE(BB$4,-1))))</f>
        <v>0</v>
      </c>
      <c r="BC49" s="547" cm="1">
        <f t="array" ref="BC49">SUM(_xlfn._xlws.FILTER(_xlfn._xlws.FILTER(dataGLPL,ISNUMBER(MATCH(dataGLPLSections,{"COGS","Opex","Other Expenses"},0))),(startDates&gt;=BC$4)*(endDates&lt;=BC$5)))-SUM(_xlfn._xlws.FILTER(_xlfn._xlws.FILTER(dataGLPL,ISNUMBER(MATCH(dataGLPLSections,{"Revenue","Other Income"},0))),(startDates&gt;=BC$4)*(endDates&lt;=BC$5)))+SUM(_xlfn._xlws.FILTER(_xlfn._xlws.FILTER(dataGLBSCF,ISNUMBER(MATCH(dataGLBSAcctIDs,{4,999},0))),(endDatesCF=BC$5)))-SUM(_xlfn._xlws.FILTER(_xlfn._xlws.FILTER(dataGLBSCF,ISNUMBER(MATCH(dataGLBSAcctIDs,{4,999},0))),(startDatesCF=EDATE(BC$4,-1))))</f>
        <v>0</v>
      </c>
      <c r="BD49" s="547" cm="1">
        <f t="array" ref="BD49">SUM(_xlfn._xlws.FILTER(_xlfn._xlws.FILTER(dataGLPL,ISNUMBER(MATCH(dataGLPLSections,{"COGS","Opex","Other Expenses"},0))),(startDates&gt;=BD$4)*(endDates&lt;=BD$5)))-SUM(_xlfn._xlws.FILTER(_xlfn._xlws.FILTER(dataGLPL,ISNUMBER(MATCH(dataGLPLSections,{"Revenue","Other Income"},0))),(startDates&gt;=BD$4)*(endDates&lt;=BD$5)))+SUM(_xlfn._xlws.FILTER(_xlfn._xlws.FILTER(dataGLBSCF,ISNUMBER(MATCH(dataGLBSAcctIDs,{4,999},0))),(endDatesCF=BD$5)))-SUM(_xlfn._xlws.FILTER(_xlfn._xlws.FILTER(dataGLBSCF,ISNUMBER(MATCH(dataGLBSAcctIDs,{4,999},0))),(startDatesCF=EDATE(BD$4,-1))))</f>
        <v>0</v>
      </c>
      <c r="BE49" s="547" cm="1">
        <f t="array" ref="BE49">SUM(_xlfn._xlws.FILTER(_xlfn._xlws.FILTER(dataGLPL,ISNUMBER(MATCH(dataGLPLSections,{"COGS","Opex","Other Expenses"},0))),(startDates&gt;=BE$4)*(endDates&lt;=BE$5)))-SUM(_xlfn._xlws.FILTER(_xlfn._xlws.FILTER(dataGLPL,ISNUMBER(MATCH(dataGLPLSections,{"Revenue","Other Income"},0))),(startDates&gt;=BE$4)*(endDates&lt;=BE$5)))+SUM(_xlfn._xlws.FILTER(_xlfn._xlws.FILTER(dataGLBSCF,ISNUMBER(MATCH(dataGLBSAcctIDs,{4,999},0))),(endDatesCF=BE$5)))-SUM(_xlfn._xlws.FILTER(_xlfn._xlws.FILTER(dataGLBSCF,ISNUMBER(MATCH(dataGLBSAcctIDs,{4,999},0))),(startDatesCF=EDATE(BE$4,-1))))</f>
        <v>0</v>
      </c>
      <c r="BF49" s="547" cm="1">
        <f t="array" ref="BF49">SUM(_xlfn._xlws.FILTER(_xlfn._xlws.FILTER(dataGLPL,ISNUMBER(MATCH(dataGLPLSections,{"COGS","Opex","Other Expenses"},0))),(startDates&gt;=BF$4)*(endDates&lt;=BF$5)))-SUM(_xlfn._xlws.FILTER(_xlfn._xlws.FILTER(dataGLPL,ISNUMBER(MATCH(dataGLPLSections,{"Revenue","Other Income"},0))),(startDates&gt;=BF$4)*(endDates&lt;=BF$5)))+SUM(_xlfn._xlws.FILTER(_xlfn._xlws.FILTER(dataGLBSCF,ISNUMBER(MATCH(dataGLBSAcctIDs,{4,999},0))),(endDatesCF=BF$5)))-SUM(_xlfn._xlws.FILTER(_xlfn._xlws.FILTER(dataGLBSCF,ISNUMBER(MATCH(dataGLBSAcctIDs,{4,999},0))),(startDatesCF=EDATE(BF$4,-1))))</f>
        <v>0</v>
      </c>
      <c r="BG49" s="547" cm="1">
        <f t="array" ref="BG49">SUM(_xlfn._xlws.FILTER(_xlfn._xlws.FILTER(dataGLPL,ISNUMBER(MATCH(dataGLPLSections,{"COGS","Opex","Other Expenses"},0))),(startDates&gt;=BG$4)*(endDates&lt;=BG$5)))-SUM(_xlfn._xlws.FILTER(_xlfn._xlws.FILTER(dataGLPL,ISNUMBER(MATCH(dataGLPLSections,{"Revenue","Other Income"},0))),(startDates&gt;=BG$4)*(endDates&lt;=BG$5)))+SUM(_xlfn._xlws.FILTER(_xlfn._xlws.FILTER(dataGLBSCF,ISNUMBER(MATCH(dataGLBSAcctIDs,{4,999},0))),(endDatesCF=BG$5)))-SUM(_xlfn._xlws.FILTER(_xlfn._xlws.FILTER(dataGLBSCF,ISNUMBER(MATCH(dataGLBSAcctIDs,{4,999},0))),(startDatesCF=EDATE(BG$4,-1))))</f>
        <v>0</v>
      </c>
      <c r="BH49" s="547" cm="1">
        <f t="array" ref="BH49">SUM(_xlfn._xlws.FILTER(_xlfn._xlws.FILTER(dataGLPL,ISNUMBER(MATCH(dataGLPLSections,{"COGS","Opex","Other Expenses"},0))),(startDates&gt;=BH$4)*(endDates&lt;=BH$5)))-SUM(_xlfn._xlws.FILTER(_xlfn._xlws.FILTER(dataGLPL,ISNUMBER(MATCH(dataGLPLSections,{"Revenue","Other Income"},0))),(startDates&gt;=BH$4)*(endDates&lt;=BH$5)))+SUM(_xlfn._xlws.FILTER(_xlfn._xlws.FILTER(dataGLBSCF,ISNUMBER(MATCH(dataGLBSAcctIDs,{4,999},0))),(endDatesCF=BH$5)))-SUM(_xlfn._xlws.FILTER(_xlfn._xlws.FILTER(dataGLBSCF,ISNUMBER(MATCH(dataGLBSAcctIDs,{4,999},0))),(startDatesCF=EDATE(BH$4,-1))))</f>
        <v>0</v>
      </c>
      <c r="BI49" s="547" cm="1">
        <f t="array" ref="BI49">SUM(_xlfn._xlws.FILTER(_xlfn._xlws.FILTER(dataGLPL,ISNUMBER(MATCH(dataGLPLSections,{"COGS","Opex","Other Expenses"},0))),(startDates&gt;=BI$4)*(endDates&lt;=BI$5)))-SUM(_xlfn._xlws.FILTER(_xlfn._xlws.FILTER(dataGLPL,ISNUMBER(MATCH(dataGLPLSections,{"Revenue","Other Income"},0))),(startDates&gt;=BI$4)*(endDates&lt;=BI$5)))+SUM(_xlfn._xlws.FILTER(_xlfn._xlws.FILTER(dataGLBSCF,ISNUMBER(MATCH(dataGLBSAcctIDs,{4,999},0))),(endDatesCF=BI$5)))-SUM(_xlfn._xlws.FILTER(_xlfn._xlws.FILTER(dataGLBSCF,ISNUMBER(MATCH(dataGLBSAcctIDs,{4,999},0))),(startDatesCF=EDATE(BI$4,-1))))</f>
        <v>0</v>
      </c>
      <c r="BJ49" s="547" cm="1">
        <f t="array" ref="BJ49">SUM(_xlfn._xlws.FILTER(_xlfn._xlws.FILTER(dataGLPL,ISNUMBER(MATCH(dataGLPLSections,{"COGS","Opex","Other Expenses"},0))),(startDates&gt;=BJ$4)*(endDates&lt;=BJ$5)))-SUM(_xlfn._xlws.FILTER(_xlfn._xlws.FILTER(dataGLPL,ISNUMBER(MATCH(dataGLPLSections,{"Revenue","Other Income"},0))),(startDates&gt;=BJ$4)*(endDates&lt;=BJ$5)))+SUM(_xlfn._xlws.FILTER(_xlfn._xlws.FILTER(dataGLBSCF,ISNUMBER(MATCH(dataGLBSAcctIDs,{4,999},0))),(endDatesCF=BJ$5)))-SUM(_xlfn._xlws.FILTER(_xlfn._xlws.FILTER(dataGLBSCF,ISNUMBER(MATCH(dataGLBSAcctIDs,{4,999},0))),(startDatesCF=EDATE(BJ$4,-1))))</f>
        <v>0</v>
      </c>
      <c r="BK49" s="547" cm="1">
        <f t="array" ref="BK49">SUM(_xlfn._xlws.FILTER(_xlfn._xlws.FILTER(dataGLPL,ISNUMBER(MATCH(dataGLPLSections,{"COGS","Opex","Other Expenses"},0))),(startDates&gt;=BK$4)*(endDates&lt;=BK$5)))-SUM(_xlfn._xlws.FILTER(_xlfn._xlws.FILTER(dataGLPL,ISNUMBER(MATCH(dataGLPLSections,{"Revenue","Other Income"},0))),(startDates&gt;=BK$4)*(endDates&lt;=BK$5)))+SUM(_xlfn._xlws.FILTER(_xlfn._xlws.FILTER(dataGLBSCF,ISNUMBER(MATCH(dataGLBSAcctIDs,{4,999},0))),(endDatesCF=BK$5)))-SUM(_xlfn._xlws.FILTER(_xlfn._xlws.FILTER(dataGLBSCF,ISNUMBER(MATCH(dataGLBSAcctIDs,{4,999},0))),(startDatesCF=EDATE(BK$4,-1))))</f>
        <v>0</v>
      </c>
      <c r="BL49" s="547" cm="1">
        <f t="array" ref="BL49">SUM(_xlfn._xlws.FILTER(_xlfn._xlws.FILTER(dataGLPL,ISNUMBER(MATCH(dataGLPLSections,{"COGS","Opex","Other Expenses"},0))),(startDates&gt;=BL$4)*(endDates&lt;=BL$5)))-SUM(_xlfn._xlws.FILTER(_xlfn._xlws.FILTER(dataGLPL,ISNUMBER(MATCH(dataGLPLSections,{"Revenue","Other Income"},0))),(startDates&gt;=BL$4)*(endDates&lt;=BL$5)))+SUM(_xlfn._xlws.FILTER(_xlfn._xlws.FILTER(dataGLBSCF,ISNUMBER(MATCH(dataGLBSAcctIDs,{4,999},0))),(endDatesCF=BL$5)))-SUM(_xlfn._xlws.FILTER(_xlfn._xlws.FILTER(dataGLBSCF,ISNUMBER(MATCH(dataGLBSAcctIDs,{4,999},0))),(startDatesCF=EDATE(BL$4,-1))))</f>
        <v>0</v>
      </c>
      <c r="BM49" s="547" cm="1">
        <f t="array" ref="BM49">SUM(_xlfn._xlws.FILTER(_xlfn._xlws.FILTER(dataGLPL,ISNUMBER(MATCH(dataGLPLSections,{"COGS","Opex","Other Expenses"},0))),(startDates&gt;=BM$4)*(endDates&lt;=BM$5)))-SUM(_xlfn._xlws.FILTER(_xlfn._xlws.FILTER(dataGLPL,ISNUMBER(MATCH(dataGLPLSections,{"Revenue","Other Income"},0))),(startDates&gt;=BM$4)*(endDates&lt;=BM$5)))+SUM(_xlfn._xlws.FILTER(_xlfn._xlws.FILTER(dataGLBSCF,ISNUMBER(MATCH(dataGLBSAcctIDs,{4,999},0))),(endDatesCF=BM$5)))-SUM(_xlfn._xlws.FILTER(_xlfn._xlws.FILTER(dataGLBSCF,ISNUMBER(MATCH(dataGLBSAcctIDs,{4,999},0))),(startDatesCF=EDATE(BM$4,-1))))</f>
        <v>0</v>
      </c>
      <c r="BN49" s="547" cm="1">
        <f t="array" ref="BN49">SUM(_xlfn._xlws.FILTER(_xlfn._xlws.FILTER(dataGLPL,ISNUMBER(MATCH(dataGLPLSections,{"COGS","Opex","Other Expenses"},0))),(startDates&gt;=BN$4)*(endDates&lt;=BN$5)))-SUM(_xlfn._xlws.FILTER(_xlfn._xlws.FILTER(dataGLPL,ISNUMBER(MATCH(dataGLPLSections,{"Revenue","Other Income"},0))),(startDates&gt;=BN$4)*(endDates&lt;=BN$5)))+SUM(_xlfn._xlws.FILTER(_xlfn._xlws.FILTER(dataGLBSCF,ISNUMBER(MATCH(dataGLBSAcctIDs,{4,999},0))),(endDatesCF=BN$5)))-SUM(_xlfn._xlws.FILTER(_xlfn._xlws.FILTER(dataGLBSCF,ISNUMBER(MATCH(dataGLBSAcctIDs,{4,999},0))),(startDatesCF=EDATE(BN$4,-1))))</f>
        <v>0</v>
      </c>
      <c r="BO49" s="547" cm="1">
        <f t="array" ref="BO49">SUM(_xlfn._xlws.FILTER(_xlfn._xlws.FILTER(dataGLPL,ISNUMBER(MATCH(dataGLPLSections,{"COGS","Opex","Other Expenses"},0))),(startDates&gt;=BO$4)*(endDates&lt;=BO$5)))-SUM(_xlfn._xlws.FILTER(_xlfn._xlws.FILTER(dataGLPL,ISNUMBER(MATCH(dataGLPLSections,{"Revenue","Other Income"},0))),(startDates&gt;=BO$4)*(endDates&lt;=BO$5)))+SUM(_xlfn._xlws.FILTER(_xlfn._xlws.FILTER(dataGLBSCF,ISNUMBER(MATCH(dataGLBSAcctIDs,{4,999},0))),(endDatesCF=BO$5)))-SUM(_xlfn._xlws.FILTER(_xlfn._xlws.FILTER(dataGLBSCF,ISNUMBER(MATCH(dataGLBSAcctIDs,{4,999},0))),(startDatesCF=EDATE(BO$4,-1))))</f>
        <v>0</v>
      </c>
      <c r="BP49" s="547" cm="1">
        <f t="array" ref="BP49">SUM(_xlfn._xlws.FILTER(_xlfn._xlws.FILTER(dataGLPL,ISNUMBER(MATCH(dataGLPLSections,{"COGS","Opex","Other Expenses"},0))),(startDates&gt;=BP$4)*(endDates&lt;=BP$5)))-SUM(_xlfn._xlws.FILTER(_xlfn._xlws.FILTER(dataGLPL,ISNUMBER(MATCH(dataGLPLSections,{"Revenue","Other Income"},0))),(startDates&gt;=BP$4)*(endDates&lt;=BP$5)))+SUM(_xlfn._xlws.FILTER(_xlfn._xlws.FILTER(dataGLBSCF,ISNUMBER(MATCH(dataGLBSAcctIDs,{4,999},0))),(endDatesCF=BP$5)))-SUM(_xlfn._xlws.FILTER(_xlfn._xlws.FILTER(dataGLBSCF,ISNUMBER(MATCH(dataGLBSAcctIDs,{4,999},0))),(startDatesCF=EDATE(BP$4,-1))))</f>
        <v>0</v>
      </c>
      <c r="BQ49" s="547" cm="1">
        <f t="array" ref="BQ49">SUM(_xlfn._xlws.FILTER(_xlfn._xlws.FILTER(dataGLPL,ISNUMBER(MATCH(dataGLPLSections,{"COGS","Opex","Other Expenses"},0))),(startDates&gt;=BQ$4)*(endDates&lt;=BQ$5)))-SUM(_xlfn._xlws.FILTER(_xlfn._xlws.FILTER(dataGLPL,ISNUMBER(MATCH(dataGLPLSections,{"Revenue","Other Income"},0))),(startDates&gt;=BQ$4)*(endDates&lt;=BQ$5)))+SUM(_xlfn._xlws.FILTER(_xlfn._xlws.FILTER(dataGLBSCF,ISNUMBER(MATCH(dataGLBSAcctIDs,{4,999},0))),(endDatesCF=BQ$5)))-SUM(_xlfn._xlws.FILTER(_xlfn._xlws.FILTER(dataGLBSCF,ISNUMBER(MATCH(dataGLBSAcctIDs,{4,999},0))),(startDatesCF=EDATE(BQ$4,-1))))</f>
        <v>0</v>
      </c>
      <c r="BR49" s="547" cm="1">
        <f t="array" ref="BR49">SUM(_xlfn._xlws.FILTER(_xlfn._xlws.FILTER(dataGLPL,ISNUMBER(MATCH(dataGLPLSections,{"COGS","Opex","Other Expenses"},0))),(startDates&gt;=BR$4)*(endDates&lt;=BR$5)))-SUM(_xlfn._xlws.FILTER(_xlfn._xlws.FILTER(dataGLPL,ISNUMBER(MATCH(dataGLPLSections,{"Revenue","Other Income"},0))),(startDates&gt;=BR$4)*(endDates&lt;=BR$5)))+SUM(_xlfn._xlws.FILTER(_xlfn._xlws.FILTER(dataGLBSCF,ISNUMBER(MATCH(dataGLBSAcctIDs,{4,999},0))),(endDatesCF=BR$5)))-SUM(_xlfn._xlws.FILTER(_xlfn._xlws.FILTER(dataGLBSCF,ISNUMBER(MATCH(dataGLBSAcctIDs,{4,999},0))),(startDatesCF=EDATE(BR$4,-1))))</f>
        <v>0</v>
      </c>
      <c r="BS49" s="547" cm="1">
        <f t="array" ref="BS49">SUM(_xlfn._xlws.FILTER(_xlfn._xlws.FILTER(dataGLPL,ISNUMBER(MATCH(dataGLPLSections,{"COGS","Opex","Other Expenses"},0))),(startDates&gt;=BS$4)*(endDates&lt;=BS$5)))-SUM(_xlfn._xlws.FILTER(_xlfn._xlws.FILTER(dataGLPL,ISNUMBER(MATCH(dataGLPLSections,{"Revenue","Other Income"},0))),(startDates&gt;=BS$4)*(endDates&lt;=BS$5)))+SUM(_xlfn._xlws.FILTER(_xlfn._xlws.FILTER(dataGLBSCF,ISNUMBER(MATCH(dataGLBSAcctIDs,{4,999},0))),(endDatesCF=BS$5)))-SUM(_xlfn._xlws.FILTER(_xlfn._xlws.FILTER(dataGLBSCF,ISNUMBER(MATCH(dataGLBSAcctIDs,{4,999},0))),(startDatesCF=EDATE(BS$4,-1))))</f>
        <v>0</v>
      </c>
      <c r="BT49" s="547" cm="1">
        <f t="array" ref="BT49">SUM(_xlfn._xlws.FILTER(_xlfn._xlws.FILTER(dataGLPL,ISNUMBER(MATCH(dataGLPLSections,{"COGS","Opex","Other Expenses"},0))),(startDates&gt;=BT$4)*(endDates&lt;=BT$5)))-SUM(_xlfn._xlws.FILTER(_xlfn._xlws.FILTER(dataGLPL,ISNUMBER(MATCH(dataGLPLSections,{"Revenue","Other Income"},0))),(startDates&gt;=BT$4)*(endDates&lt;=BT$5)))+SUM(_xlfn._xlws.FILTER(_xlfn._xlws.FILTER(dataGLBSCF,ISNUMBER(MATCH(dataGLBSAcctIDs,{4,999},0))),(endDatesCF=BT$5)))-SUM(_xlfn._xlws.FILTER(_xlfn._xlws.FILTER(dataGLBSCF,ISNUMBER(MATCH(dataGLBSAcctIDs,{4,999},0))),(startDatesCF=EDATE(BT$4,-1))))</f>
        <v>0</v>
      </c>
      <c r="BU49" s="547" cm="1">
        <f t="array" ref="BU49">SUM(_xlfn._xlws.FILTER(_xlfn._xlws.FILTER(dataGLPL,ISNUMBER(MATCH(dataGLPLSections,{"COGS","Opex","Other Expenses"},0))),(startDates&gt;=BU$4)*(endDates&lt;=BU$5)))-SUM(_xlfn._xlws.FILTER(_xlfn._xlws.FILTER(dataGLPL,ISNUMBER(MATCH(dataGLPLSections,{"Revenue","Other Income"},0))),(startDates&gt;=BU$4)*(endDates&lt;=BU$5)))+SUM(_xlfn._xlws.FILTER(_xlfn._xlws.FILTER(dataGLBSCF,ISNUMBER(MATCH(dataGLBSAcctIDs,{4,999},0))),(endDatesCF=BU$5)))-SUM(_xlfn._xlws.FILTER(_xlfn._xlws.FILTER(dataGLBSCF,ISNUMBER(MATCH(dataGLBSAcctIDs,{4,999},0))),(startDatesCF=EDATE(BU$4,-1))))</f>
        <v>0</v>
      </c>
      <c r="BV49" s="547" cm="1">
        <f t="array" ref="BV49">SUM(_xlfn._xlws.FILTER(_xlfn._xlws.FILTER(dataGLPL,ISNUMBER(MATCH(dataGLPLSections,{"COGS","Opex","Other Expenses"},0))),(startDates&gt;=BV$4)*(endDates&lt;=BV$5)))-SUM(_xlfn._xlws.FILTER(_xlfn._xlws.FILTER(dataGLPL,ISNUMBER(MATCH(dataGLPLSections,{"Revenue","Other Income"},0))),(startDates&gt;=BV$4)*(endDates&lt;=BV$5)))+SUM(_xlfn._xlws.FILTER(_xlfn._xlws.FILTER(dataGLBSCF,ISNUMBER(MATCH(dataGLBSAcctIDs,{4,999},0))),(endDatesCF=BV$5)))-SUM(_xlfn._xlws.FILTER(_xlfn._xlws.FILTER(dataGLBSCF,ISNUMBER(MATCH(dataGLBSAcctIDs,{4,999},0))),(startDatesCF=EDATE(BV$4,-1))))</f>
        <v>0</v>
      </c>
      <c r="BW49" s="547" cm="1">
        <f t="array" ref="BW49">SUM(_xlfn._xlws.FILTER(_xlfn._xlws.FILTER(dataGLPL,ISNUMBER(MATCH(dataGLPLSections,{"COGS","Opex","Other Expenses"},0))),(startDates&gt;=BW$4)*(endDates&lt;=BW$5)))-SUM(_xlfn._xlws.FILTER(_xlfn._xlws.FILTER(dataGLPL,ISNUMBER(MATCH(dataGLPLSections,{"Revenue","Other Income"},0))),(startDates&gt;=BW$4)*(endDates&lt;=BW$5)))+SUM(_xlfn._xlws.FILTER(_xlfn._xlws.FILTER(dataGLBSCF,ISNUMBER(MATCH(dataGLBSAcctIDs,{4,999},0))),(endDatesCF=BW$5)))-SUM(_xlfn._xlws.FILTER(_xlfn._xlws.FILTER(dataGLBSCF,ISNUMBER(MATCH(dataGLBSAcctIDs,{4,999},0))),(startDatesCF=EDATE(BW$4,-1))))</f>
        <v>0</v>
      </c>
      <c r="BX49" s="547" cm="1">
        <f t="array" ref="BX49">SUM(_xlfn._xlws.FILTER(_xlfn._xlws.FILTER(dataGLPL,ISNUMBER(MATCH(dataGLPLSections,{"COGS","Opex","Other Expenses"},0))),(startDates&gt;=BX$4)*(endDates&lt;=BX$5)))-SUM(_xlfn._xlws.FILTER(_xlfn._xlws.FILTER(dataGLPL,ISNUMBER(MATCH(dataGLPLSections,{"Revenue","Other Income"},0))),(startDates&gt;=BX$4)*(endDates&lt;=BX$5)))+SUM(_xlfn._xlws.FILTER(_xlfn._xlws.FILTER(dataGLBSCF,ISNUMBER(MATCH(dataGLBSAcctIDs,{4,999},0))),(endDatesCF=BX$5)))-SUM(_xlfn._xlws.FILTER(_xlfn._xlws.FILTER(dataGLBSCF,ISNUMBER(MATCH(dataGLBSAcctIDs,{4,999},0))),(startDatesCF=EDATE(BX$4,-1))))</f>
        <v>0</v>
      </c>
    </row>
    <row r="50" spans="1:76" s="234" customFormat="1" ht="21" customHeight="1">
      <c r="A50" s="252"/>
      <c r="B50" s="250"/>
      <c r="C50" s="251"/>
      <c r="D50" s="250"/>
      <c r="E50" s="253"/>
      <c r="F50" s="253"/>
      <c r="G50" s="253"/>
      <c r="H50" s="253"/>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253"/>
      <c r="BH50" s="253"/>
      <c r="BI50" s="253"/>
      <c r="BJ50" s="253"/>
      <c r="BK50" s="253"/>
      <c r="BL50" s="253"/>
      <c r="BM50" s="253"/>
      <c r="BN50" s="253"/>
      <c r="BO50" s="253"/>
      <c r="BP50" s="253"/>
      <c r="BQ50" s="253"/>
      <c r="BR50" s="253"/>
      <c r="BS50" s="253"/>
      <c r="BT50" s="253"/>
      <c r="BU50" s="253"/>
      <c r="BV50" s="253"/>
      <c r="BW50" s="253"/>
      <c r="BX50" s="253"/>
    </row>
    <row r="51" spans="1:76" s="241" customFormat="1" ht="21" customHeight="1">
      <c r="B51" s="244" t="s">
        <v>344</v>
      </c>
      <c r="C51" s="245"/>
      <c r="D51" s="244"/>
      <c r="E51" s="242">
        <f>SUM(E43:E50)</f>
        <v>5030000</v>
      </c>
      <c r="F51" s="242">
        <f>SUM(F43:F50)</f>
        <v>0</v>
      </c>
      <c r="G51" s="242">
        <f>SUM(G43:G50)</f>
        <v>1000000</v>
      </c>
      <c r="H51" s="242">
        <f>SUM(H43:H50)</f>
        <v>0</v>
      </c>
      <c r="I51" s="243"/>
      <c r="J51" s="243"/>
      <c r="K51" s="242">
        <f t="shared" ref="K51:Z51" si="16">SUM(K43:K50)</f>
        <v>1007500</v>
      </c>
      <c r="L51" s="242">
        <f t="shared" si="16"/>
        <v>1507500</v>
      </c>
      <c r="M51" s="242">
        <f t="shared" si="16"/>
        <v>7500</v>
      </c>
      <c r="N51" s="242">
        <f t="shared" si="16"/>
        <v>2507500</v>
      </c>
      <c r="O51" s="242">
        <f t="shared" si="16"/>
        <v>0</v>
      </c>
      <c r="P51" s="242">
        <f t="shared" si="16"/>
        <v>0</v>
      </c>
      <c r="Q51" s="242">
        <f t="shared" si="16"/>
        <v>0</v>
      </c>
      <c r="R51" s="242">
        <f t="shared" si="16"/>
        <v>0</v>
      </c>
      <c r="S51" s="242">
        <f t="shared" si="16"/>
        <v>0</v>
      </c>
      <c r="T51" s="242">
        <f t="shared" si="16"/>
        <v>0</v>
      </c>
      <c r="U51" s="242">
        <f t="shared" si="16"/>
        <v>0</v>
      </c>
      <c r="V51" s="242">
        <f t="shared" si="16"/>
        <v>1000000</v>
      </c>
      <c r="W51" s="242">
        <f t="shared" si="16"/>
        <v>0</v>
      </c>
      <c r="X51" s="242">
        <f t="shared" si="16"/>
        <v>0</v>
      </c>
      <c r="Y51" s="242">
        <f t="shared" si="16"/>
        <v>0</v>
      </c>
      <c r="Z51" s="242">
        <f t="shared" si="16"/>
        <v>0</v>
      </c>
      <c r="AA51" s="243"/>
      <c r="AB51" s="243"/>
      <c r="AC51" s="242">
        <f t="shared" ref="AC51:BX51" si="17">SUM(AC43:AC50)</f>
        <v>1002500</v>
      </c>
      <c r="AD51" s="242">
        <f t="shared" si="17"/>
        <v>2500</v>
      </c>
      <c r="AE51" s="242">
        <f t="shared" si="17"/>
        <v>2500</v>
      </c>
      <c r="AF51" s="242">
        <f t="shared" si="17"/>
        <v>2500</v>
      </c>
      <c r="AG51" s="242">
        <f t="shared" si="17"/>
        <v>2500</v>
      </c>
      <c r="AH51" s="242">
        <f t="shared" si="17"/>
        <v>1502500</v>
      </c>
      <c r="AI51" s="242">
        <f t="shared" si="17"/>
        <v>2500</v>
      </c>
      <c r="AJ51" s="242">
        <f t="shared" si="17"/>
        <v>2500</v>
      </c>
      <c r="AK51" s="242">
        <f t="shared" si="17"/>
        <v>2500</v>
      </c>
      <c r="AL51" s="242">
        <f t="shared" si="17"/>
        <v>1007500</v>
      </c>
      <c r="AM51" s="242">
        <f t="shared" si="17"/>
        <v>500000</v>
      </c>
      <c r="AN51" s="242">
        <f t="shared" si="17"/>
        <v>1000000</v>
      </c>
      <c r="AO51" s="242">
        <f t="shared" si="17"/>
        <v>0</v>
      </c>
      <c r="AP51" s="242">
        <f t="shared" si="17"/>
        <v>0</v>
      </c>
      <c r="AQ51" s="242">
        <f t="shared" si="17"/>
        <v>0</v>
      </c>
      <c r="AR51" s="242">
        <f t="shared" si="17"/>
        <v>0</v>
      </c>
      <c r="AS51" s="242">
        <f t="shared" si="17"/>
        <v>0</v>
      </c>
      <c r="AT51" s="242">
        <f t="shared" si="17"/>
        <v>0</v>
      </c>
      <c r="AU51" s="242">
        <f t="shared" si="17"/>
        <v>0</v>
      </c>
      <c r="AV51" s="242">
        <f t="shared" si="17"/>
        <v>0</v>
      </c>
      <c r="AW51" s="242">
        <f t="shared" si="17"/>
        <v>0</v>
      </c>
      <c r="AX51" s="242">
        <f t="shared" si="17"/>
        <v>0</v>
      </c>
      <c r="AY51" s="242">
        <f t="shared" si="17"/>
        <v>0</v>
      </c>
      <c r="AZ51" s="242">
        <f t="shared" si="17"/>
        <v>0</v>
      </c>
      <c r="BA51" s="242">
        <f t="shared" si="17"/>
        <v>0</v>
      </c>
      <c r="BB51" s="242">
        <f t="shared" si="17"/>
        <v>0</v>
      </c>
      <c r="BC51" s="242">
        <f t="shared" si="17"/>
        <v>0</v>
      </c>
      <c r="BD51" s="242">
        <f t="shared" si="17"/>
        <v>0</v>
      </c>
      <c r="BE51" s="242">
        <f t="shared" si="17"/>
        <v>0</v>
      </c>
      <c r="BF51" s="242">
        <f t="shared" si="17"/>
        <v>0</v>
      </c>
      <c r="BG51" s="242">
        <f t="shared" si="17"/>
        <v>0</v>
      </c>
      <c r="BH51" s="242">
        <f t="shared" si="17"/>
        <v>0</v>
      </c>
      <c r="BI51" s="242">
        <f t="shared" si="17"/>
        <v>0</v>
      </c>
      <c r="BJ51" s="242">
        <f t="shared" si="17"/>
        <v>0</v>
      </c>
      <c r="BK51" s="242">
        <f t="shared" si="17"/>
        <v>0</v>
      </c>
      <c r="BL51" s="242">
        <f t="shared" si="17"/>
        <v>1000000</v>
      </c>
      <c r="BM51" s="242">
        <f t="shared" si="17"/>
        <v>0</v>
      </c>
      <c r="BN51" s="242">
        <f t="shared" si="17"/>
        <v>0</v>
      </c>
      <c r="BO51" s="242">
        <f t="shared" si="17"/>
        <v>0</v>
      </c>
      <c r="BP51" s="242">
        <f t="shared" si="17"/>
        <v>0</v>
      </c>
      <c r="BQ51" s="242">
        <f t="shared" si="17"/>
        <v>0</v>
      </c>
      <c r="BR51" s="242">
        <f t="shared" si="17"/>
        <v>0</v>
      </c>
      <c r="BS51" s="242">
        <f t="shared" si="17"/>
        <v>0</v>
      </c>
      <c r="BT51" s="242">
        <f t="shared" si="17"/>
        <v>0</v>
      </c>
      <c r="BU51" s="242">
        <f t="shared" si="17"/>
        <v>0</v>
      </c>
      <c r="BV51" s="242">
        <f t="shared" si="17"/>
        <v>0</v>
      </c>
      <c r="BW51" s="242">
        <f t="shared" si="17"/>
        <v>0</v>
      </c>
      <c r="BX51" s="242">
        <f t="shared" si="17"/>
        <v>0</v>
      </c>
    </row>
    <row r="52" spans="1:76" s="234" customFormat="1" ht="21" customHeight="1">
      <c r="A52" s="252"/>
      <c r="B52" s="250"/>
      <c r="C52" s="251"/>
      <c r="D52" s="250"/>
      <c r="E52" s="248"/>
      <c r="F52" s="248"/>
      <c r="G52" s="248"/>
      <c r="H52" s="248"/>
      <c r="I52" s="249"/>
      <c r="J52" s="249"/>
      <c r="K52" s="248"/>
      <c r="L52" s="248"/>
      <c r="M52" s="248"/>
      <c r="N52" s="248"/>
      <c r="O52" s="248"/>
      <c r="P52" s="248"/>
      <c r="Q52" s="248"/>
      <c r="R52" s="248"/>
      <c r="S52" s="248"/>
      <c r="T52" s="248"/>
      <c r="U52" s="248"/>
      <c r="V52" s="248"/>
      <c r="W52" s="248"/>
      <c r="X52" s="248"/>
      <c r="Y52" s="248"/>
      <c r="Z52" s="248"/>
      <c r="AA52" s="249"/>
      <c r="AB52" s="249"/>
      <c r="AC52" s="248"/>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248"/>
      <c r="BD52" s="248"/>
      <c r="BE52" s="248"/>
      <c r="BF52" s="248"/>
      <c r="BG52" s="248"/>
      <c r="BH52" s="248"/>
      <c r="BI52" s="248"/>
      <c r="BJ52" s="248"/>
      <c r="BK52" s="248"/>
      <c r="BL52" s="248"/>
      <c r="BM52" s="248"/>
      <c r="BN52" s="248"/>
      <c r="BO52" s="248"/>
      <c r="BP52" s="248"/>
      <c r="BQ52" s="248"/>
      <c r="BR52" s="248"/>
      <c r="BS52" s="248"/>
      <c r="BT52" s="248"/>
      <c r="BU52" s="248"/>
      <c r="BV52" s="248"/>
      <c r="BW52" s="248"/>
      <c r="BX52" s="248"/>
    </row>
    <row r="53" spans="1:76" s="241" customFormat="1" ht="21" customHeight="1">
      <c r="B53" s="244" t="s">
        <v>170</v>
      </c>
      <c r="C53" s="245"/>
      <c r="D53" s="244"/>
      <c r="E53" s="242">
        <f>SUM(E31,E40,E51)</f>
        <v>4285000.5</v>
      </c>
      <c r="F53" s="242">
        <f>SUM(F31,F40,F51)</f>
        <v>-1540018</v>
      </c>
      <c r="G53" s="242">
        <f>SUM(G31,G40,G51)</f>
        <v>-1588103.4889909108</v>
      </c>
      <c r="H53" s="242">
        <f>SUM(H31,H40,H51)</f>
        <v>-2595852.6933919541</v>
      </c>
      <c r="I53" s="243"/>
      <c r="J53" s="243"/>
      <c r="K53" s="242">
        <f t="shared" ref="K53:Z53" si="18">SUM(K31,K40,K51)</f>
        <v>822468.5</v>
      </c>
      <c r="L53" s="242">
        <f t="shared" si="18"/>
        <v>1317308</v>
      </c>
      <c r="M53" s="242">
        <f t="shared" si="18"/>
        <v>-131938</v>
      </c>
      <c r="N53" s="242">
        <f t="shared" si="18"/>
        <v>2277162</v>
      </c>
      <c r="O53" s="242">
        <f t="shared" si="18"/>
        <v>-280160</v>
      </c>
      <c r="P53" s="242">
        <f t="shared" si="18"/>
        <v>-347989</v>
      </c>
      <c r="Q53" s="242">
        <f t="shared" si="18"/>
        <v>-439631</v>
      </c>
      <c r="R53" s="242">
        <f t="shared" si="18"/>
        <v>-472238</v>
      </c>
      <c r="S53" s="242">
        <f t="shared" si="18"/>
        <v>-537624.02000000014</v>
      </c>
      <c r="T53" s="242">
        <f t="shared" si="18"/>
        <v>-613318.33000000031</v>
      </c>
      <c r="U53" s="242">
        <f t="shared" si="18"/>
        <v>-700917.38</v>
      </c>
      <c r="V53" s="242">
        <f t="shared" si="18"/>
        <v>263756.24100909103</v>
      </c>
      <c r="W53" s="242">
        <f t="shared" si="18"/>
        <v>-422880.46322165488</v>
      </c>
      <c r="X53" s="242">
        <f t="shared" si="18"/>
        <v>-683121.21785661089</v>
      </c>
      <c r="Y53" s="242">
        <f t="shared" si="18"/>
        <v>-723041.62355235475</v>
      </c>
      <c r="Z53" s="242">
        <f t="shared" si="18"/>
        <v>-766809.38876133412</v>
      </c>
      <c r="AA53" s="243"/>
      <c r="AB53" s="243"/>
      <c r="AC53" s="242">
        <f t="shared" ref="AC53:BX53" si="19">SUM(AC31,AC40,AC51)</f>
        <v>912877</v>
      </c>
      <c r="AD53" s="242">
        <f t="shared" si="19"/>
        <v>-40610.5</v>
      </c>
      <c r="AE53" s="242">
        <f t="shared" si="19"/>
        <v>-49798</v>
      </c>
      <c r="AF53" s="242">
        <f t="shared" si="19"/>
        <v>-82009.5</v>
      </c>
      <c r="AG53" s="242">
        <f t="shared" si="19"/>
        <v>-41657.5</v>
      </c>
      <c r="AH53" s="242">
        <f t="shared" si="19"/>
        <v>1440975</v>
      </c>
      <c r="AI53" s="242">
        <f t="shared" si="19"/>
        <v>-39230.5</v>
      </c>
      <c r="AJ53" s="242">
        <f t="shared" si="19"/>
        <v>-50132.5</v>
      </c>
      <c r="AK53" s="242">
        <f t="shared" si="19"/>
        <v>-42575</v>
      </c>
      <c r="AL53" s="242">
        <f t="shared" si="19"/>
        <v>955754</v>
      </c>
      <c r="AM53" s="242">
        <f t="shared" si="19"/>
        <v>432542</v>
      </c>
      <c r="AN53" s="242">
        <f t="shared" si="19"/>
        <v>888866</v>
      </c>
      <c r="AO53" s="242">
        <f t="shared" si="19"/>
        <v>-93712</v>
      </c>
      <c r="AP53" s="242">
        <f t="shared" si="19"/>
        <v>-114954</v>
      </c>
      <c r="AQ53" s="242">
        <f t="shared" si="19"/>
        <v>-71494</v>
      </c>
      <c r="AR53" s="242">
        <f t="shared" si="19"/>
        <v>-134047</v>
      </c>
      <c r="AS53" s="242">
        <f t="shared" si="19"/>
        <v>-75799</v>
      </c>
      <c r="AT53" s="242">
        <f t="shared" si="19"/>
        <v>-138143</v>
      </c>
      <c r="AU53" s="242">
        <f t="shared" si="19"/>
        <v>-144663</v>
      </c>
      <c r="AV53" s="242">
        <f t="shared" si="19"/>
        <v>-144317</v>
      </c>
      <c r="AW53" s="242">
        <f t="shared" si="19"/>
        <v>-150651</v>
      </c>
      <c r="AX53" s="242">
        <f t="shared" si="19"/>
        <v>-150765</v>
      </c>
      <c r="AY53" s="242">
        <f t="shared" si="19"/>
        <v>-157269</v>
      </c>
      <c r="AZ53" s="242">
        <f t="shared" si="19"/>
        <v>-164204</v>
      </c>
      <c r="BA53" s="242">
        <f t="shared" si="19"/>
        <v>-171471.01999999993</v>
      </c>
      <c r="BB53" s="242">
        <f t="shared" si="19"/>
        <v>-179074</v>
      </c>
      <c r="BC53" s="242">
        <f t="shared" si="19"/>
        <v>-187079</v>
      </c>
      <c r="BD53" s="242">
        <f t="shared" si="19"/>
        <v>-195477.00000000003</v>
      </c>
      <c r="BE53" s="242">
        <f t="shared" si="19"/>
        <v>-204293.00000000003</v>
      </c>
      <c r="BF53" s="242">
        <f t="shared" si="19"/>
        <v>-213548.33000000005</v>
      </c>
      <c r="BG53" s="242">
        <f t="shared" si="19"/>
        <v>-223266.36999999994</v>
      </c>
      <c r="BH53" s="242">
        <f t="shared" si="19"/>
        <v>-233469.12000000005</v>
      </c>
      <c r="BI53" s="242">
        <f t="shared" si="19"/>
        <v>-244181.89</v>
      </c>
      <c r="BJ53" s="242">
        <f t="shared" si="19"/>
        <v>-255428.88000000003</v>
      </c>
      <c r="BK53" s="242">
        <f t="shared" si="19"/>
        <v>-267237.25999999995</v>
      </c>
      <c r="BL53" s="242">
        <f t="shared" si="19"/>
        <v>786422.38100909092</v>
      </c>
      <c r="BM53" s="242">
        <f t="shared" si="19"/>
        <v>-110922.18650765493</v>
      </c>
      <c r="BN53" s="242">
        <f t="shared" si="19"/>
        <v>-119550.69434817256</v>
      </c>
      <c r="BO53" s="242">
        <f t="shared" si="19"/>
        <v>-192407.5823658274</v>
      </c>
      <c r="BP53" s="242">
        <f t="shared" si="19"/>
        <v>-213934.9264178575</v>
      </c>
      <c r="BQ53" s="242">
        <f t="shared" si="19"/>
        <v>-239761.24856508325</v>
      </c>
      <c r="BR53" s="242">
        <f t="shared" si="19"/>
        <v>-229425.04287366971</v>
      </c>
      <c r="BS53" s="242">
        <f t="shared" si="19"/>
        <v>-236401.71636904031</v>
      </c>
      <c r="BT53" s="242">
        <f t="shared" si="19"/>
        <v>-241454.70994131552</v>
      </c>
      <c r="BU53" s="242">
        <f t="shared" si="19"/>
        <v>-245185.19724199938</v>
      </c>
      <c r="BV53" s="242">
        <f t="shared" si="19"/>
        <v>-248709.26369827928</v>
      </c>
      <c r="BW53" s="242">
        <f t="shared" si="19"/>
        <v>-252097.59362543287</v>
      </c>
      <c r="BX53" s="242">
        <f t="shared" si="19"/>
        <v>-266002.53143762215</v>
      </c>
    </row>
    <row r="54" spans="1:76" s="234" customFormat="1" ht="21" customHeight="1">
      <c r="B54" s="204"/>
      <c r="C54" s="5"/>
      <c r="D54" s="204"/>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c r="AL54" s="247"/>
      <c r="AM54" s="247"/>
      <c r="AN54" s="247"/>
      <c r="AO54" s="247"/>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7"/>
      <c r="BM54" s="247"/>
      <c r="BN54" s="247"/>
      <c r="BO54" s="247"/>
      <c r="BP54" s="247"/>
      <c r="BQ54" s="247"/>
      <c r="BR54" s="247"/>
      <c r="BS54" s="247"/>
      <c r="BT54" s="247"/>
      <c r="BU54" s="247"/>
      <c r="BV54" s="247"/>
      <c r="BW54" s="247"/>
      <c r="BX54" s="247"/>
    </row>
    <row r="55" spans="1:76" s="234" customFormat="1" ht="21" customHeight="1">
      <c r="B55" s="204" t="s">
        <v>149</v>
      </c>
      <c r="C55" s="5" t="s">
        <v>277</v>
      </c>
      <c r="D55" s="204"/>
      <c r="E55" s="246" cm="1">
        <f t="array" ref="E55">SUM(_xlfn._xlws.FILTER(_xlfn._xlws.FILTER(dataGLBSCF,dataGLBSAcctIDs=$C55),(startDatesCF=EDATE(E$4,-1))))</f>
        <v>0</v>
      </c>
      <c r="F55" s="246" cm="1">
        <f t="array" ref="F55">SUM(_xlfn._xlws.FILTER(_xlfn._xlws.FILTER(dataGLBSCF,dataGLBSAcctIDs=$C55),(startDatesCF=EDATE(F$4,-1))))</f>
        <v>4285000.5</v>
      </c>
      <c r="G55" s="246" cm="1">
        <f t="array" ref="G55">SUM(_xlfn._xlws.FILTER(_xlfn._xlws.FILTER(dataGLBSCF,dataGLBSAcctIDs=$C55),(startDatesCF=EDATE(G$4,-1))))</f>
        <v>2744982.5</v>
      </c>
      <c r="H55" s="246" cm="1">
        <f t="array" ref="H55">SUM(_xlfn._xlws.FILTER(_xlfn._xlws.FILTER(dataGLBSCF,dataGLBSAcctIDs=$C55),(startDatesCF=EDATE(H$4,-1))))</f>
        <v>1156879.011009091</v>
      </c>
      <c r="I55" s="247"/>
      <c r="J55" s="247"/>
      <c r="K55" s="246" cm="1">
        <f t="array" ref="K55">SUM(_xlfn._xlws.FILTER(_xlfn._xlws.FILTER(dataGLBSCF,dataGLBSAcctIDs=$C55),(startDatesCF=EDATE(K$4,-1))))</f>
        <v>0</v>
      </c>
      <c r="L55" s="246" cm="1">
        <f t="array" ref="L55">SUM(_xlfn._xlws.FILTER(_xlfn._xlws.FILTER(dataGLBSCF,dataGLBSAcctIDs=$C55),(startDatesCF=EDATE(L$4,-1))))</f>
        <v>822468.5</v>
      </c>
      <c r="M55" s="246" cm="1">
        <f t="array" ref="M55">SUM(_xlfn._xlws.FILTER(_xlfn._xlws.FILTER(dataGLBSCF,dataGLBSAcctIDs=$C55),(startDatesCF=EDATE(M$4,-1))))</f>
        <v>2139776.5</v>
      </c>
      <c r="N55" s="246" cm="1">
        <f t="array" ref="N55">SUM(_xlfn._xlws.FILTER(_xlfn._xlws.FILTER(dataGLBSCF,dataGLBSAcctIDs=$C55),(startDatesCF=EDATE(N$4,-1))))</f>
        <v>2007838.5</v>
      </c>
      <c r="O55" s="246" cm="1">
        <f t="array" ref="O55">SUM(_xlfn._xlws.FILTER(_xlfn._xlws.FILTER(dataGLBSCF,dataGLBSAcctIDs=$C55),(startDatesCF=EDATE(O$4,-1))))</f>
        <v>4285000.5</v>
      </c>
      <c r="P55" s="246" cm="1">
        <f t="array" ref="P55">SUM(_xlfn._xlws.FILTER(_xlfn._xlws.FILTER(dataGLBSCF,dataGLBSAcctIDs=$C55),(startDatesCF=EDATE(P$4,-1))))</f>
        <v>4004840.5</v>
      </c>
      <c r="Q55" s="246" cm="1">
        <f t="array" ref="Q55">SUM(_xlfn._xlws.FILTER(_xlfn._xlws.FILTER(dataGLBSCF,dataGLBSAcctIDs=$C55),(startDatesCF=EDATE(Q$4,-1))))</f>
        <v>3656851.5</v>
      </c>
      <c r="R55" s="246" cm="1">
        <f t="array" ref="R55">SUM(_xlfn._xlws.FILTER(_xlfn._xlws.FILTER(dataGLBSCF,dataGLBSAcctIDs=$C55),(startDatesCF=EDATE(R$4,-1))))</f>
        <v>3217220.5</v>
      </c>
      <c r="S55" s="246" cm="1">
        <f t="array" ref="S55">SUM(_xlfn._xlws.FILTER(_xlfn._xlws.FILTER(dataGLBSCF,dataGLBSAcctIDs=$C55),(startDatesCF=EDATE(S$4,-1))))</f>
        <v>2744982.5</v>
      </c>
      <c r="T55" s="246" cm="1">
        <f t="array" ref="T55">SUM(_xlfn._xlws.FILTER(_xlfn._xlws.FILTER(dataGLBSCF,dataGLBSAcctIDs=$C55),(startDatesCF=EDATE(T$4,-1))))</f>
        <v>2207358.48</v>
      </c>
      <c r="U55" s="246" cm="1">
        <f t="array" ref="U55">SUM(_xlfn._xlws.FILTER(_xlfn._xlws.FILTER(dataGLBSCF,dataGLBSAcctIDs=$C55),(startDatesCF=EDATE(U$4,-1))))</f>
        <v>1594040.15</v>
      </c>
      <c r="V55" s="246" cm="1">
        <f t="array" ref="V55">SUM(_xlfn._xlws.FILTER(_xlfn._xlws.FILTER(dataGLBSCF,dataGLBSAcctIDs=$C55),(startDatesCF=EDATE(V$4,-1))))</f>
        <v>893122.77</v>
      </c>
      <c r="W55" s="246" cm="1">
        <f t="array" ref="W55">SUM(_xlfn._xlws.FILTER(_xlfn._xlws.FILTER(dataGLBSCF,dataGLBSAcctIDs=$C55),(startDatesCF=EDATE(W$4,-1))))</f>
        <v>1156879.011009091</v>
      </c>
      <c r="X55" s="246" cm="1">
        <f t="array" ref="X55">SUM(_xlfn._xlws.FILTER(_xlfn._xlws.FILTER(dataGLBSCF,dataGLBSAcctIDs=$C55),(startDatesCF=EDATE(X$4,-1))))</f>
        <v>733998.54778743605</v>
      </c>
      <c r="Y55" s="246" cm="1">
        <f t="array" ref="Y55">SUM(_xlfn._xlws.FILTER(_xlfn._xlws.FILTER(dataGLBSCF,dataGLBSAcctIDs=$C55),(startDatesCF=EDATE(Y$4,-1))))</f>
        <v>50877.329930825552</v>
      </c>
      <c r="Z55" s="246" cm="1">
        <f t="array" ref="Z55">SUM(_xlfn._xlws.FILTER(_xlfn._xlws.FILTER(dataGLBSCF,dataGLBSAcctIDs=$C55),(startDatesCF=EDATE(Z$4,-1))))</f>
        <v>-672164.29362152971</v>
      </c>
      <c r="AA55" s="247"/>
      <c r="AB55" s="247"/>
      <c r="AC55" s="246" cm="1">
        <f t="array" ref="AC55">SUM(_xlfn._xlws.FILTER(_xlfn._xlws.FILTER(dataGLBSCF,dataGLBSAcctIDs=$C55),(startDatesCF=EDATE(AC$4,-1))))</f>
        <v>0</v>
      </c>
      <c r="AD55" s="246" cm="1">
        <f t="array" ref="AD55">SUM(_xlfn._xlws.FILTER(_xlfn._xlws.FILTER(dataGLBSCF,dataGLBSAcctIDs=$C55),(startDatesCF=EDATE(AD$4,-1))))</f>
        <v>912877</v>
      </c>
      <c r="AE55" s="246" cm="1">
        <f t="array" ref="AE55">SUM(_xlfn._xlws.FILTER(_xlfn._xlws.FILTER(dataGLBSCF,dataGLBSAcctIDs=$C55),(startDatesCF=EDATE(AE$4,-1))))</f>
        <v>872266.5</v>
      </c>
      <c r="AF55" s="246" cm="1">
        <f t="array" ref="AF55">SUM(_xlfn._xlws.FILTER(_xlfn._xlws.FILTER(dataGLBSCF,dataGLBSAcctIDs=$C55),(startDatesCF=EDATE(AF$4,-1))))</f>
        <v>822468.5</v>
      </c>
      <c r="AG55" s="246" cm="1">
        <f t="array" ref="AG55">SUM(_xlfn._xlws.FILTER(_xlfn._xlws.FILTER(dataGLBSCF,dataGLBSAcctIDs=$C55),(startDatesCF=EDATE(AG$4,-1))))</f>
        <v>740459</v>
      </c>
      <c r="AH55" s="246" cm="1">
        <f t="array" ref="AH55">SUM(_xlfn._xlws.FILTER(_xlfn._xlws.FILTER(dataGLBSCF,dataGLBSAcctIDs=$C55),(startDatesCF=EDATE(AH$4,-1))))</f>
        <v>698801.5</v>
      </c>
      <c r="AI55" s="246" cm="1">
        <f t="array" ref="AI55">SUM(_xlfn._xlws.FILTER(_xlfn._xlws.FILTER(dataGLBSCF,dataGLBSAcctIDs=$C55),(startDatesCF=EDATE(AI$4,-1))))</f>
        <v>2139776.5</v>
      </c>
      <c r="AJ55" s="246" cm="1">
        <f t="array" ref="AJ55">SUM(_xlfn._xlws.FILTER(_xlfn._xlws.FILTER(dataGLBSCF,dataGLBSAcctIDs=$C55),(startDatesCF=EDATE(AJ$4,-1))))</f>
        <v>2100546</v>
      </c>
      <c r="AK55" s="246" cm="1">
        <f t="array" ref="AK55">SUM(_xlfn._xlws.FILTER(_xlfn._xlws.FILTER(dataGLBSCF,dataGLBSAcctIDs=$C55),(startDatesCF=EDATE(AK$4,-1))))</f>
        <v>2050413.5</v>
      </c>
      <c r="AL55" s="246" cm="1">
        <f t="array" ref="AL55">SUM(_xlfn._xlws.FILTER(_xlfn._xlws.FILTER(dataGLBSCF,dataGLBSAcctIDs=$C55),(startDatesCF=EDATE(AL$4,-1))))</f>
        <v>2007838.5</v>
      </c>
      <c r="AM55" s="246" cm="1">
        <f t="array" ref="AM55">SUM(_xlfn._xlws.FILTER(_xlfn._xlws.FILTER(dataGLBSCF,dataGLBSAcctIDs=$C55),(startDatesCF=EDATE(AM$4,-1))))</f>
        <v>2963592.5</v>
      </c>
      <c r="AN55" s="246" cm="1">
        <f t="array" ref="AN55">SUM(_xlfn._xlws.FILTER(_xlfn._xlws.FILTER(dataGLBSCF,dataGLBSAcctIDs=$C55),(startDatesCF=EDATE(AN$4,-1))))</f>
        <v>3396134.5</v>
      </c>
      <c r="AO55" s="246" cm="1">
        <f t="array" ref="AO55">SUM(_xlfn._xlws.FILTER(_xlfn._xlws.FILTER(dataGLBSCF,dataGLBSAcctIDs=$C55),(startDatesCF=EDATE(AO$4,-1))))</f>
        <v>4285000.5</v>
      </c>
      <c r="AP55" s="246" cm="1">
        <f t="array" ref="AP55">SUM(_xlfn._xlws.FILTER(_xlfn._xlws.FILTER(dataGLBSCF,dataGLBSAcctIDs=$C55),(startDatesCF=EDATE(AP$4,-1))))</f>
        <v>4191288.5</v>
      </c>
      <c r="AQ55" s="246" cm="1">
        <f t="array" ref="AQ55">SUM(_xlfn._xlws.FILTER(_xlfn._xlws.FILTER(dataGLBSCF,dataGLBSAcctIDs=$C55),(startDatesCF=EDATE(AQ$4,-1))))</f>
        <v>4076334.5</v>
      </c>
      <c r="AR55" s="246" cm="1">
        <f t="array" ref="AR55">SUM(_xlfn._xlws.FILTER(_xlfn._xlws.FILTER(dataGLBSCF,dataGLBSAcctIDs=$C55),(startDatesCF=EDATE(AR$4,-1))))</f>
        <v>4004840.5</v>
      </c>
      <c r="AS55" s="246" cm="1">
        <f t="array" ref="AS55">SUM(_xlfn._xlws.FILTER(_xlfn._xlws.FILTER(dataGLBSCF,dataGLBSAcctIDs=$C55),(startDatesCF=EDATE(AS$4,-1))))</f>
        <v>3870793.5</v>
      </c>
      <c r="AT55" s="246" cm="1">
        <f t="array" ref="AT55">SUM(_xlfn._xlws.FILTER(_xlfn._xlws.FILTER(dataGLBSCF,dataGLBSAcctIDs=$C55),(startDatesCF=EDATE(AT$4,-1))))</f>
        <v>3794994.5</v>
      </c>
      <c r="AU55" s="246" cm="1">
        <f t="array" ref="AU55">SUM(_xlfn._xlws.FILTER(_xlfn._xlws.FILTER(dataGLBSCF,dataGLBSAcctIDs=$C55),(startDatesCF=EDATE(AU$4,-1))))</f>
        <v>3656851.5</v>
      </c>
      <c r="AV55" s="246" cm="1">
        <f t="array" ref="AV55">SUM(_xlfn._xlws.FILTER(_xlfn._xlws.FILTER(dataGLBSCF,dataGLBSAcctIDs=$C55),(startDatesCF=EDATE(AV$4,-1))))</f>
        <v>3512188.5</v>
      </c>
      <c r="AW55" s="246" cm="1">
        <f t="array" ref="AW55">SUM(_xlfn._xlws.FILTER(_xlfn._xlws.FILTER(dataGLBSCF,dataGLBSAcctIDs=$C55),(startDatesCF=EDATE(AW$4,-1))))</f>
        <v>3367871.5</v>
      </c>
      <c r="AX55" s="246" cm="1">
        <f t="array" ref="AX55">SUM(_xlfn._xlws.FILTER(_xlfn._xlws.FILTER(dataGLBSCF,dataGLBSAcctIDs=$C55),(startDatesCF=EDATE(AX$4,-1))))</f>
        <v>3217220.5</v>
      </c>
      <c r="AY55" s="246" cm="1">
        <f t="array" ref="AY55">SUM(_xlfn._xlws.FILTER(_xlfn._xlws.FILTER(dataGLBSCF,dataGLBSAcctIDs=$C55),(startDatesCF=EDATE(AY$4,-1))))</f>
        <v>3066455.5</v>
      </c>
      <c r="AZ55" s="246" cm="1">
        <f t="array" ref="AZ55">SUM(_xlfn._xlws.FILTER(_xlfn._xlws.FILTER(dataGLBSCF,dataGLBSAcctIDs=$C55),(startDatesCF=EDATE(AZ$4,-1))))</f>
        <v>2909186.5</v>
      </c>
      <c r="BA55" s="246" cm="1">
        <f t="array" ref="BA55">SUM(_xlfn._xlws.FILTER(_xlfn._xlws.FILTER(dataGLBSCF,dataGLBSAcctIDs=$C55),(startDatesCF=EDATE(BA$4,-1))))</f>
        <v>2744982.5</v>
      </c>
      <c r="BB55" s="246" cm="1">
        <f t="array" ref="BB55">SUM(_xlfn._xlws.FILTER(_xlfn._xlws.FILTER(dataGLBSCF,dataGLBSAcctIDs=$C55),(startDatesCF=EDATE(BB$4,-1))))</f>
        <v>2573511.48</v>
      </c>
      <c r="BC55" s="246" cm="1">
        <f t="array" ref="BC55">SUM(_xlfn._xlws.FILTER(_xlfn._xlws.FILTER(dataGLBSCF,dataGLBSAcctIDs=$C55),(startDatesCF=EDATE(BC$4,-1))))</f>
        <v>2394437.48</v>
      </c>
      <c r="BD55" s="246" cm="1">
        <f t="array" ref="BD55">SUM(_xlfn._xlws.FILTER(_xlfn._xlws.FILTER(dataGLBSCF,dataGLBSAcctIDs=$C55),(startDatesCF=EDATE(BD$4,-1))))</f>
        <v>2207358.48</v>
      </c>
      <c r="BE55" s="246" cm="1">
        <f t="array" ref="BE55">SUM(_xlfn._xlws.FILTER(_xlfn._xlws.FILTER(dataGLBSCF,dataGLBSAcctIDs=$C55),(startDatesCF=EDATE(BE$4,-1))))</f>
        <v>2011881.48</v>
      </c>
      <c r="BF55" s="246" cm="1">
        <f t="array" ref="BF55">SUM(_xlfn._xlws.FILTER(_xlfn._xlws.FILTER(dataGLBSCF,dataGLBSAcctIDs=$C55),(startDatesCF=EDATE(BF$4,-1))))</f>
        <v>1807588.48</v>
      </c>
      <c r="BG55" s="246" cm="1">
        <f t="array" ref="BG55">SUM(_xlfn._xlws.FILTER(_xlfn._xlws.FILTER(dataGLBSCF,dataGLBSAcctIDs=$C55),(startDatesCF=EDATE(BG$4,-1))))</f>
        <v>1594040.15</v>
      </c>
      <c r="BH55" s="246" cm="1">
        <f t="array" ref="BH55">SUM(_xlfn._xlws.FILTER(_xlfn._xlws.FILTER(dataGLBSCF,dataGLBSAcctIDs=$C55),(startDatesCF=EDATE(BH$4,-1))))</f>
        <v>1370773.78</v>
      </c>
      <c r="BI55" s="246" cm="1">
        <f t="array" ref="BI55">SUM(_xlfn._xlws.FILTER(_xlfn._xlws.FILTER(dataGLBSCF,dataGLBSAcctIDs=$C55),(startDatesCF=EDATE(BI$4,-1))))</f>
        <v>1137304.6599999999</v>
      </c>
      <c r="BJ55" s="246" cm="1">
        <f t="array" ref="BJ55">SUM(_xlfn._xlws.FILTER(_xlfn._xlws.FILTER(dataGLBSCF,dataGLBSAcctIDs=$C55),(startDatesCF=EDATE(BJ$4,-1))))</f>
        <v>893122.77</v>
      </c>
      <c r="BK55" s="246" cm="1">
        <f t="array" ref="BK55">SUM(_xlfn._xlws.FILTER(_xlfn._xlws.FILTER(dataGLBSCF,dataGLBSAcctIDs=$C55),(startDatesCF=EDATE(BK$4,-1))))</f>
        <v>637693.89</v>
      </c>
      <c r="BL55" s="246" cm="1">
        <f t="array" ref="BL55">SUM(_xlfn._xlws.FILTER(_xlfn._xlws.FILTER(dataGLBSCF,dataGLBSAcctIDs=$C55),(startDatesCF=EDATE(BL$4,-1))))</f>
        <v>370456.63</v>
      </c>
      <c r="BM55" s="246" cm="1">
        <f t="array" ref="BM55">SUM(_xlfn._xlws.FILTER(_xlfn._xlws.FILTER(dataGLBSCF,dataGLBSAcctIDs=$C55),(startDatesCF=EDATE(BM$4,-1))))</f>
        <v>1156879.011009091</v>
      </c>
      <c r="BN55" s="246" cm="1">
        <f t="array" ref="BN55">SUM(_xlfn._xlws.FILTER(_xlfn._xlws.FILTER(dataGLBSCF,dataGLBSAcctIDs=$C55),(startDatesCF=EDATE(BN$4,-1))))</f>
        <v>1045956.8245014361</v>
      </c>
      <c r="BO55" s="246" cm="1">
        <f t="array" ref="BO55">SUM(_xlfn._xlws.FILTER(_xlfn._xlws.FILTER(dataGLBSCF,dataGLBSAcctIDs=$C55),(startDatesCF=EDATE(BO$4,-1))))</f>
        <v>926406.13015326345</v>
      </c>
      <c r="BP55" s="246" cm="1">
        <f t="array" ref="BP55">SUM(_xlfn._xlws.FILTER(_xlfn._xlws.FILTER(dataGLBSCF,dataGLBSAcctIDs=$C55),(startDatesCF=EDATE(BP$4,-1))))</f>
        <v>733998.54778743605</v>
      </c>
      <c r="BQ55" s="246" cm="1">
        <f t="array" ref="BQ55">SUM(_xlfn._xlws.FILTER(_xlfn._xlws.FILTER(dataGLBSCF,dataGLBSAcctIDs=$C55),(startDatesCF=EDATE(BQ$4,-1))))</f>
        <v>520063.62136957853</v>
      </c>
      <c r="BR55" s="246" cm="1">
        <f t="array" ref="BR55">SUM(_xlfn._xlws.FILTER(_xlfn._xlws.FILTER(dataGLBSCF,dataGLBSAcctIDs=$C55),(startDatesCF=EDATE(BR$4,-1))))</f>
        <v>280302.37280449527</v>
      </c>
      <c r="BS55" s="246" cm="1">
        <f t="array" ref="BS55">SUM(_xlfn._xlws.FILTER(_xlfn._xlws.FILTER(dataGLBSCF,dataGLBSAcctIDs=$C55),(startDatesCF=EDATE(BS$4,-1))))</f>
        <v>50877.329930825552</v>
      </c>
      <c r="BT55" s="246" cm="1">
        <f t="array" ref="BT55">SUM(_xlfn._xlws.FILTER(_xlfn._xlws.FILTER(dataGLBSCF,dataGLBSAcctIDs=$C55),(startDatesCF=EDATE(BT$4,-1))))</f>
        <v>-185524.38643821474</v>
      </c>
      <c r="BU55" s="246" cm="1">
        <f t="array" ref="BU55">SUM(_xlfn._xlws.FILTER(_xlfn._xlws.FILTER(dataGLBSCF,dataGLBSAcctIDs=$C55),(startDatesCF=EDATE(BU$4,-1))))</f>
        <v>-426979.09637953027</v>
      </c>
      <c r="BV55" s="246" cm="1">
        <f t="array" ref="BV55">SUM(_xlfn._xlws.FILTER(_xlfn._xlws.FILTER(dataGLBSCF,dataGLBSAcctIDs=$C55),(startDatesCF=EDATE(BV$4,-1))))</f>
        <v>-672164.29362152971</v>
      </c>
      <c r="BW55" s="246" cm="1">
        <f t="array" ref="BW55">SUM(_xlfn._xlws.FILTER(_xlfn._xlws.FILTER(dataGLBSCF,dataGLBSAcctIDs=$C55),(startDatesCF=EDATE(BW$4,-1))))</f>
        <v>-920873.55731980898</v>
      </c>
      <c r="BX55" s="246" cm="1">
        <f t="array" ref="BX55">SUM(_xlfn._xlws.FILTER(_xlfn._xlws.FILTER(dataGLBSCF,dataGLBSAcctIDs=$C55),(startDatesCF=EDATE(BX$4,-1))))</f>
        <v>-1172971.1509452418</v>
      </c>
    </row>
    <row r="56" spans="1:76" s="241" customFormat="1" ht="21" customHeight="1">
      <c r="B56" s="244" t="s">
        <v>105</v>
      </c>
      <c r="C56" s="245"/>
      <c r="D56" s="244"/>
      <c r="E56" s="242">
        <f>E55+E53</f>
        <v>4285000.5</v>
      </c>
      <c r="F56" s="242">
        <f>F55+F53</f>
        <v>2744982.5</v>
      </c>
      <c r="G56" s="242">
        <f>G55+G53</f>
        <v>1156879.0110090892</v>
      </c>
      <c r="H56" s="242">
        <f>H55+H53</f>
        <v>-1438973.682382863</v>
      </c>
      <c r="I56" s="243"/>
      <c r="J56" s="243"/>
      <c r="K56" s="242">
        <f t="shared" ref="K56:Z56" si="20">K55+K53</f>
        <v>822468.5</v>
      </c>
      <c r="L56" s="242">
        <f t="shared" si="20"/>
        <v>2139776.5</v>
      </c>
      <c r="M56" s="242">
        <f t="shared" si="20"/>
        <v>2007838.5</v>
      </c>
      <c r="N56" s="242">
        <f t="shared" si="20"/>
        <v>4285000.5</v>
      </c>
      <c r="O56" s="242">
        <f t="shared" si="20"/>
        <v>4004840.5</v>
      </c>
      <c r="P56" s="242">
        <f t="shared" si="20"/>
        <v>3656851.5</v>
      </c>
      <c r="Q56" s="242">
        <f t="shared" si="20"/>
        <v>3217220.5</v>
      </c>
      <c r="R56" s="242">
        <f t="shared" si="20"/>
        <v>2744982.5</v>
      </c>
      <c r="S56" s="242">
        <f t="shared" si="20"/>
        <v>2207358.48</v>
      </c>
      <c r="T56" s="242">
        <f t="shared" si="20"/>
        <v>1594040.1499999997</v>
      </c>
      <c r="U56" s="242">
        <f t="shared" si="20"/>
        <v>893122.7699999999</v>
      </c>
      <c r="V56" s="242">
        <f t="shared" si="20"/>
        <v>1156879.011009091</v>
      </c>
      <c r="W56" s="242">
        <f t="shared" si="20"/>
        <v>733998.54778743617</v>
      </c>
      <c r="X56" s="242">
        <f t="shared" si="20"/>
        <v>50877.329930825159</v>
      </c>
      <c r="Y56" s="242">
        <f t="shared" si="20"/>
        <v>-672164.29362152924</v>
      </c>
      <c r="Z56" s="242">
        <f t="shared" si="20"/>
        <v>-1438973.6823828639</v>
      </c>
      <c r="AA56" s="243"/>
      <c r="AB56" s="243"/>
      <c r="AC56" s="242">
        <f t="shared" ref="AC56:BX56" si="21">AC55+AC53</f>
        <v>912877</v>
      </c>
      <c r="AD56" s="242">
        <f t="shared" si="21"/>
        <v>872266.5</v>
      </c>
      <c r="AE56" s="242">
        <f t="shared" si="21"/>
        <v>822468.5</v>
      </c>
      <c r="AF56" s="242">
        <f t="shared" si="21"/>
        <v>740459</v>
      </c>
      <c r="AG56" s="242">
        <f t="shared" si="21"/>
        <v>698801.5</v>
      </c>
      <c r="AH56" s="242">
        <f t="shared" si="21"/>
        <v>2139776.5</v>
      </c>
      <c r="AI56" s="242">
        <f t="shared" si="21"/>
        <v>2100546</v>
      </c>
      <c r="AJ56" s="242">
        <f t="shared" si="21"/>
        <v>2050413.5</v>
      </c>
      <c r="AK56" s="242">
        <f t="shared" si="21"/>
        <v>2007838.5</v>
      </c>
      <c r="AL56" s="242">
        <f t="shared" si="21"/>
        <v>2963592.5</v>
      </c>
      <c r="AM56" s="242">
        <f t="shared" si="21"/>
        <v>3396134.5</v>
      </c>
      <c r="AN56" s="242">
        <f t="shared" si="21"/>
        <v>4285000.5</v>
      </c>
      <c r="AO56" s="242">
        <f t="shared" si="21"/>
        <v>4191288.5</v>
      </c>
      <c r="AP56" s="242">
        <f t="shared" si="21"/>
        <v>4076334.5</v>
      </c>
      <c r="AQ56" s="242">
        <f t="shared" si="21"/>
        <v>4004840.5</v>
      </c>
      <c r="AR56" s="242">
        <f t="shared" si="21"/>
        <v>3870793.5</v>
      </c>
      <c r="AS56" s="242">
        <f t="shared" si="21"/>
        <v>3794994.5</v>
      </c>
      <c r="AT56" s="242">
        <f t="shared" si="21"/>
        <v>3656851.5</v>
      </c>
      <c r="AU56" s="242">
        <f t="shared" si="21"/>
        <v>3512188.5</v>
      </c>
      <c r="AV56" s="242">
        <f t="shared" si="21"/>
        <v>3367871.5</v>
      </c>
      <c r="AW56" s="242">
        <f t="shared" si="21"/>
        <v>3217220.5</v>
      </c>
      <c r="AX56" s="242">
        <f t="shared" si="21"/>
        <v>3066455.5</v>
      </c>
      <c r="AY56" s="242">
        <f t="shared" si="21"/>
        <v>2909186.5</v>
      </c>
      <c r="AZ56" s="242">
        <f t="shared" si="21"/>
        <v>2744982.5</v>
      </c>
      <c r="BA56" s="242">
        <f t="shared" si="21"/>
        <v>2573511.48</v>
      </c>
      <c r="BB56" s="242">
        <f t="shared" si="21"/>
        <v>2394437.48</v>
      </c>
      <c r="BC56" s="242">
        <f t="shared" si="21"/>
        <v>2207358.48</v>
      </c>
      <c r="BD56" s="242">
        <f t="shared" si="21"/>
        <v>2011881.48</v>
      </c>
      <c r="BE56" s="242">
        <f t="shared" si="21"/>
        <v>1807588.48</v>
      </c>
      <c r="BF56" s="242">
        <f t="shared" si="21"/>
        <v>1594040.15</v>
      </c>
      <c r="BG56" s="242">
        <f t="shared" si="21"/>
        <v>1370773.78</v>
      </c>
      <c r="BH56" s="242">
        <f t="shared" si="21"/>
        <v>1137304.6599999999</v>
      </c>
      <c r="BI56" s="242">
        <f t="shared" si="21"/>
        <v>893122.7699999999</v>
      </c>
      <c r="BJ56" s="242">
        <f t="shared" si="21"/>
        <v>637693.89</v>
      </c>
      <c r="BK56" s="242">
        <f t="shared" si="21"/>
        <v>370456.63000000006</v>
      </c>
      <c r="BL56" s="242">
        <f t="shared" si="21"/>
        <v>1156879.011009091</v>
      </c>
      <c r="BM56" s="242">
        <f t="shared" si="21"/>
        <v>1045956.8245014361</v>
      </c>
      <c r="BN56" s="242">
        <f t="shared" si="21"/>
        <v>926406.13015326357</v>
      </c>
      <c r="BO56" s="242">
        <f t="shared" si="21"/>
        <v>733998.54778743605</v>
      </c>
      <c r="BP56" s="242">
        <f t="shared" si="21"/>
        <v>520063.62136957853</v>
      </c>
      <c r="BQ56" s="242">
        <f t="shared" si="21"/>
        <v>280302.37280449527</v>
      </c>
      <c r="BR56" s="242">
        <f t="shared" si="21"/>
        <v>50877.329930825566</v>
      </c>
      <c r="BS56" s="242">
        <f t="shared" si="21"/>
        <v>-185524.38643821474</v>
      </c>
      <c r="BT56" s="242">
        <f t="shared" si="21"/>
        <v>-426979.09637953027</v>
      </c>
      <c r="BU56" s="242">
        <f t="shared" si="21"/>
        <v>-672164.29362152959</v>
      </c>
      <c r="BV56" s="242">
        <f t="shared" si="21"/>
        <v>-920873.55731980898</v>
      </c>
      <c r="BW56" s="242">
        <f t="shared" si="21"/>
        <v>-1172971.1509452418</v>
      </c>
      <c r="BX56" s="242">
        <f t="shared" si="21"/>
        <v>-1438973.6823828639</v>
      </c>
    </row>
    <row r="57" spans="1:76" s="234" customFormat="1" ht="21" customHeight="1">
      <c r="B57" s="240"/>
      <c r="C57" s="5"/>
      <c r="D57" s="240"/>
      <c r="E57" s="240"/>
      <c r="F57" s="240"/>
      <c r="G57" s="240"/>
      <c r="H57" s="240"/>
      <c r="I57" s="240"/>
      <c r="J57" s="240"/>
      <c r="K57" s="240"/>
      <c r="L57" s="240"/>
      <c r="M57" s="240"/>
      <c r="N57" s="240"/>
      <c r="O57" s="240"/>
      <c r="P57" s="240"/>
      <c r="Q57" s="240"/>
      <c r="R57" s="240"/>
      <c r="S57" s="240"/>
      <c r="T57" s="240"/>
      <c r="U57" s="240"/>
      <c r="V57" s="240"/>
      <c r="W57" s="240"/>
      <c r="X57" s="240"/>
      <c r="Y57" s="240"/>
      <c r="Z57" s="240"/>
      <c r="AA57" s="240"/>
      <c r="AB57" s="240"/>
      <c r="AC57" s="240"/>
      <c r="AD57" s="240"/>
      <c r="AE57" s="240"/>
      <c r="AF57" s="240"/>
      <c r="AG57" s="240"/>
      <c r="AH57" s="240"/>
      <c r="AI57" s="240"/>
      <c r="AJ57" s="240"/>
      <c r="AK57" s="240"/>
      <c r="AL57" s="240"/>
      <c r="AM57" s="240"/>
      <c r="AN57" s="240"/>
      <c r="AO57" s="240"/>
      <c r="AP57" s="240"/>
      <c r="AQ57" s="240"/>
      <c r="AR57" s="240"/>
      <c r="AS57" s="240"/>
      <c r="AT57" s="240"/>
      <c r="AU57" s="240"/>
      <c r="AV57" s="240"/>
      <c r="AW57" s="240"/>
      <c r="AX57" s="240"/>
      <c r="AY57" s="240"/>
      <c r="AZ57" s="240"/>
      <c r="BA57" s="240"/>
      <c r="BB57" s="240"/>
      <c r="BC57" s="240"/>
      <c r="BD57" s="240"/>
      <c r="BE57" s="240"/>
      <c r="BF57" s="240"/>
      <c r="BG57" s="240"/>
      <c r="BH57" s="240"/>
      <c r="BI57" s="240"/>
      <c r="BJ57" s="240"/>
      <c r="BK57" s="240"/>
      <c r="BL57" s="240"/>
      <c r="BM57" s="240"/>
      <c r="BN57" s="240"/>
      <c r="BO57" s="240"/>
      <c r="BP57" s="240"/>
      <c r="BQ57" s="240"/>
      <c r="BR57" s="240"/>
      <c r="BS57" s="240"/>
      <c r="BT57" s="240"/>
      <c r="BU57" s="240"/>
      <c r="BV57" s="240"/>
      <c r="BW57" s="240"/>
      <c r="BX57" s="240"/>
    </row>
    <row r="58" spans="1:76" s="234" customFormat="1" ht="21" customHeight="1">
      <c r="B58" s="240"/>
      <c r="C58" s="5"/>
      <c r="D58" s="240"/>
      <c r="E58" s="239"/>
      <c r="F58" s="239"/>
      <c r="G58" s="239"/>
      <c r="H58" s="239"/>
      <c r="I58" s="240"/>
      <c r="J58" s="240"/>
      <c r="K58" s="239"/>
      <c r="L58" s="239"/>
      <c r="M58" s="239"/>
      <c r="N58" s="239"/>
      <c r="O58" s="239"/>
      <c r="P58" s="239"/>
      <c r="Q58" s="239"/>
      <c r="R58" s="239"/>
      <c r="S58" s="239"/>
      <c r="T58" s="239"/>
      <c r="U58" s="239"/>
      <c r="V58" s="239"/>
      <c r="W58" s="239"/>
      <c r="X58" s="239"/>
      <c r="Y58" s="239"/>
      <c r="Z58" s="239"/>
      <c r="AA58" s="240"/>
      <c r="AB58" s="240"/>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39"/>
      <c r="BU58" s="239"/>
      <c r="BV58" s="239"/>
      <c r="BW58" s="239"/>
      <c r="BX58" s="239"/>
    </row>
    <row r="59" spans="1:76" collapsed="1">
      <c r="B59" s="238" t="s">
        <v>155</v>
      </c>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33"/>
      <c r="BK59" s="233"/>
      <c r="BL59" s="233"/>
      <c r="BM59" s="233"/>
      <c r="BN59" s="233"/>
      <c r="BO59" s="233"/>
      <c r="BP59" s="233"/>
      <c r="BQ59" s="233"/>
      <c r="BR59" s="233"/>
      <c r="BS59" s="233"/>
      <c r="BT59" s="233"/>
      <c r="BU59" s="233"/>
      <c r="BV59" s="233"/>
      <c r="BW59" s="233"/>
      <c r="BX59" s="233"/>
    </row>
    <row r="60" spans="1:76" ht="25.5" hidden="1" customHeight="1" outlineLevel="2">
      <c r="B60" s="237" t="s">
        <v>105</v>
      </c>
      <c r="C60" s="237" t="s">
        <v>277</v>
      </c>
      <c r="E60" s="235" cm="1">
        <f t="array" ref="E60">E56-SUM(_xlfn._xlws.FILTER(_xlfn._xlws.FILTER(dataGLBSCF,dataGLBSAcctIDs=$C55),(endDatesCF=E$5)))</f>
        <v>0</v>
      </c>
      <c r="F60" s="235" cm="1">
        <f t="array" ref="F60">F56-SUM(_xlfn._xlws.FILTER(_xlfn._xlws.FILTER(dataGLBSCF,dataGLBSAcctIDs=$C55),(endDatesCF=F$5)))</f>
        <v>0</v>
      </c>
      <c r="G60" s="235" cm="1">
        <f t="array" ref="G60">G56-SUM(_xlfn._xlws.FILTER(_xlfn._xlws.FILTER(dataGLBSCF,dataGLBSAcctIDs=$C55),(endDatesCF=G$5)))</f>
        <v>-1.862645149230957E-9</v>
      </c>
      <c r="H60" s="235" cm="1">
        <f t="array" ref="H60">H56-SUM(_xlfn._xlws.FILTER(_xlfn._xlws.FILTER(dataGLBSCF,dataGLBSAcctIDs=$C55),(endDatesCF=H$5)))</f>
        <v>0</v>
      </c>
      <c r="I60" s="236"/>
      <c r="J60" s="236"/>
      <c r="K60" s="235" cm="1">
        <f t="array" ref="K60">K56-SUM(_xlfn._xlws.FILTER(_xlfn._xlws.FILTER(dataGLBSCF,dataGLBSAcctIDs=$C55),(endDatesCF=K$5)))</f>
        <v>0</v>
      </c>
      <c r="L60" s="235" cm="1">
        <f t="array" ref="L60">L56-SUM(_xlfn._xlws.FILTER(_xlfn._xlws.FILTER(dataGLBSCF,dataGLBSAcctIDs=$C55),(endDatesCF=L$5)))</f>
        <v>0</v>
      </c>
      <c r="M60" s="235" cm="1">
        <f t="array" ref="M60">M56-SUM(_xlfn._xlws.FILTER(_xlfn._xlws.FILTER(dataGLBSCF,dataGLBSAcctIDs=$C55),(endDatesCF=M$5)))</f>
        <v>0</v>
      </c>
      <c r="N60" s="235" cm="1">
        <f t="array" ref="N60">N56-SUM(_xlfn._xlws.FILTER(_xlfn._xlws.FILTER(dataGLBSCF,dataGLBSAcctIDs=$C55),(endDatesCF=N$5)))</f>
        <v>0</v>
      </c>
      <c r="O60" s="235" cm="1">
        <f t="array" ref="O60">O56-SUM(_xlfn._xlws.FILTER(_xlfn._xlws.FILTER(dataGLBSCF,dataGLBSAcctIDs=$C55),(endDatesCF=O$5)))</f>
        <v>0</v>
      </c>
      <c r="P60" s="235" cm="1">
        <f t="array" ref="P60">P56-SUM(_xlfn._xlws.FILTER(_xlfn._xlws.FILTER(dataGLBSCF,dataGLBSAcctIDs=$C55),(endDatesCF=P$5)))</f>
        <v>0</v>
      </c>
      <c r="Q60" s="235" cm="1">
        <f t="array" ref="Q60">Q56-SUM(_xlfn._xlws.FILTER(_xlfn._xlws.FILTER(dataGLBSCF,dataGLBSAcctIDs=$C55),(endDatesCF=Q$5)))</f>
        <v>0</v>
      </c>
      <c r="R60" s="235" cm="1">
        <f t="array" ref="R60">R56-SUM(_xlfn._xlws.FILTER(_xlfn._xlws.FILTER(dataGLBSCF,dataGLBSAcctIDs=$C55),(endDatesCF=R$5)))</f>
        <v>0</v>
      </c>
      <c r="S60" s="235" cm="1">
        <f t="array" ref="S60">S56-SUM(_xlfn._xlws.FILTER(_xlfn._xlws.FILTER(dataGLBSCF,dataGLBSAcctIDs=$C55),(endDatesCF=S$5)))</f>
        <v>0</v>
      </c>
      <c r="T60" s="235" cm="1">
        <f t="array" ref="T60">T56-SUM(_xlfn._xlws.FILTER(_xlfn._xlws.FILTER(dataGLBSCF,dataGLBSAcctIDs=$C55),(endDatesCF=T$5)))</f>
        <v>0</v>
      </c>
      <c r="U60" s="235" cm="1">
        <f t="array" ref="U60">U56-SUM(_xlfn._xlws.FILTER(_xlfn._xlws.FILTER(dataGLBSCF,dataGLBSAcctIDs=$C55),(endDatesCF=U$5)))</f>
        <v>0</v>
      </c>
      <c r="V60" s="235" cm="1">
        <f t="array" ref="V60">V56-SUM(_xlfn._xlws.FILTER(_xlfn._xlws.FILTER(dataGLBSCF,dataGLBSAcctIDs=$C55),(endDatesCF=V$5)))</f>
        <v>0</v>
      </c>
      <c r="W60" s="235" cm="1">
        <f t="array" ref="W60">W56-SUM(_xlfn._xlws.FILTER(_xlfn._xlws.FILTER(dataGLBSCF,dataGLBSAcctIDs=$C55),(endDatesCF=W$5)))</f>
        <v>0</v>
      </c>
      <c r="X60" s="235" cm="1">
        <f t="array" ref="X60">X56-SUM(_xlfn._xlws.FILTER(_xlfn._xlws.FILTER(dataGLBSCF,dataGLBSAcctIDs=$C55),(endDatesCF=X$5)))</f>
        <v>-3.92901711165905E-10</v>
      </c>
      <c r="Y60" s="235" cm="1">
        <f t="array" ref="Y60">Y56-SUM(_xlfn._xlws.FILTER(_xlfn._xlws.FILTER(dataGLBSCF,dataGLBSAcctIDs=$C55),(endDatesCF=Y$5)))</f>
        <v>0</v>
      </c>
      <c r="Z60" s="235" cm="1">
        <f t="array" ref="Z60">Z56-SUM(_xlfn._xlws.FILTER(_xlfn._xlws.FILTER(dataGLBSCF,dataGLBSAcctIDs=$C55),(endDatesCF=Z$5)))</f>
        <v>0</v>
      </c>
      <c r="AA60" s="236"/>
      <c r="AB60" s="236"/>
      <c r="AC60" s="235" cm="1">
        <f t="array" ref="AC60">AC56-SUM(_xlfn._xlws.FILTER(_xlfn._xlws.FILTER(dataGLBSCF,dataGLBSAcctIDs=$C55),(endDatesCF=AC$5)))</f>
        <v>0</v>
      </c>
      <c r="AD60" s="235" cm="1">
        <f t="array" ref="AD60">AD56-SUM(_xlfn._xlws.FILTER(_xlfn._xlws.FILTER(dataGLBSCF,dataGLBSAcctIDs=$C55),(endDatesCF=AD$5)))</f>
        <v>0</v>
      </c>
      <c r="AE60" s="235" cm="1">
        <f t="array" ref="AE60">AE56-SUM(_xlfn._xlws.FILTER(_xlfn._xlws.FILTER(dataGLBSCF,dataGLBSAcctIDs=$C55),(endDatesCF=AE$5)))</f>
        <v>0</v>
      </c>
      <c r="AF60" s="235" cm="1">
        <f t="array" ref="AF60">AF56-SUM(_xlfn._xlws.FILTER(_xlfn._xlws.FILTER(dataGLBSCF,dataGLBSAcctIDs=$C55),(endDatesCF=AF$5)))</f>
        <v>0</v>
      </c>
      <c r="AG60" s="235" cm="1">
        <f t="array" ref="AG60">AG56-SUM(_xlfn._xlws.FILTER(_xlfn._xlws.FILTER(dataGLBSCF,dataGLBSAcctIDs=$C55),(endDatesCF=AG$5)))</f>
        <v>0</v>
      </c>
      <c r="AH60" s="235" cm="1">
        <f t="array" ref="AH60">AH56-SUM(_xlfn._xlws.FILTER(_xlfn._xlws.FILTER(dataGLBSCF,dataGLBSAcctIDs=$C55),(endDatesCF=AH$5)))</f>
        <v>0</v>
      </c>
      <c r="AI60" s="235" cm="1">
        <f t="array" ref="AI60">AI56-SUM(_xlfn._xlws.FILTER(_xlfn._xlws.FILTER(dataGLBSCF,dataGLBSAcctIDs=$C55),(endDatesCF=AI$5)))</f>
        <v>0</v>
      </c>
      <c r="AJ60" s="235" cm="1">
        <f t="array" ref="AJ60">AJ56-SUM(_xlfn._xlws.FILTER(_xlfn._xlws.FILTER(dataGLBSCF,dataGLBSAcctIDs=$C55),(endDatesCF=AJ$5)))</f>
        <v>0</v>
      </c>
      <c r="AK60" s="235" cm="1">
        <f t="array" ref="AK60">AK56-SUM(_xlfn._xlws.FILTER(_xlfn._xlws.FILTER(dataGLBSCF,dataGLBSAcctIDs=$C55),(endDatesCF=AK$5)))</f>
        <v>0</v>
      </c>
      <c r="AL60" s="235" cm="1">
        <f t="array" ref="AL60">AL56-SUM(_xlfn._xlws.FILTER(_xlfn._xlws.FILTER(dataGLBSCF,dataGLBSAcctIDs=$C55),(endDatesCF=AL$5)))</f>
        <v>0</v>
      </c>
      <c r="AM60" s="235" cm="1">
        <f t="array" ref="AM60">AM56-SUM(_xlfn._xlws.FILTER(_xlfn._xlws.FILTER(dataGLBSCF,dataGLBSAcctIDs=$C55),(endDatesCF=AM$5)))</f>
        <v>0</v>
      </c>
      <c r="AN60" s="235" cm="1">
        <f t="array" ref="AN60">AN56-SUM(_xlfn._xlws.FILTER(_xlfn._xlws.FILTER(dataGLBSCF,dataGLBSAcctIDs=$C55),(endDatesCF=AN$5)))</f>
        <v>0</v>
      </c>
      <c r="AO60" s="235" cm="1">
        <f t="array" ref="AO60">AO56-SUM(_xlfn._xlws.FILTER(_xlfn._xlws.FILTER(dataGLBSCF,dataGLBSAcctIDs=$C55),(endDatesCF=AO$5)))</f>
        <v>0</v>
      </c>
      <c r="AP60" s="235" cm="1">
        <f t="array" ref="AP60">AP56-SUM(_xlfn._xlws.FILTER(_xlfn._xlws.FILTER(dataGLBSCF,dataGLBSAcctIDs=$C55),(endDatesCF=AP$5)))</f>
        <v>0</v>
      </c>
      <c r="AQ60" s="235" cm="1">
        <f t="array" ref="AQ60">AQ56-SUM(_xlfn._xlws.FILTER(_xlfn._xlws.FILTER(dataGLBSCF,dataGLBSAcctIDs=$C55),(endDatesCF=AQ$5)))</f>
        <v>0</v>
      </c>
      <c r="AR60" s="235" cm="1">
        <f t="array" ref="AR60">AR56-SUM(_xlfn._xlws.FILTER(_xlfn._xlws.FILTER(dataGLBSCF,dataGLBSAcctIDs=$C55),(endDatesCF=AR$5)))</f>
        <v>0</v>
      </c>
      <c r="AS60" s="235" cm="1">
        <f t="array" ref="AS60">AS56-SUM(_xlfn._xlws.FILTER(_xlfn._xlws.FILTER(dataGLBSCF,dataGLBSAcctIDs=$C55),(endDatesCF=AS$5)))</f>
        <v>0</v>
      </c>
      <c r="AT60" s="235" cm="1">
        <f t="array" ref="AT60">AT56-SUM(_xlfn._xlws.FILTER(_xlfn._xlws.FILTER(dataGLBSCF,dataGLBSAcctIDs=$C55),(endDatesCF=AT$5)))</f>
        <v>0</v>
      </c>
      <c r="AU60" s="235" cm="1">
        <f t="array" ref="AU60">AU56-SUM(_xlfn._xlws.FILTER(_xlfn._xlws.FILTER(dataGLBSCF,dataGLBSAcctIDs=$C55),(endDatesCF=AU$5)))</f>
        <v>0</v>
      </c>
      <c r="AV60" s="235" cm="1">
        <f t="array" ref="AV60">AV56-SUM(_xlfn._xlws.FILTER(_xlfn._xlws.FILTER(dataGLBSCF,dataGLBSAcctIDs=$C55),(endDatesCF=AV$5)))</f>
        <v>0</v>
      </c>
      <c r="AW60" s="235" cm="1">
        <f t="array" ref="AW60">AW56-SUM(_xlfn._xlws.FILTER(_xlfn._xlws.FILTER(dataGLBSCF,dataGLBSAcctIDs=$C55),(endDatesCF=AW$5)))</f>
        <v>0</v>
      </c>
      <c r="AX60" s="235" cm="1">
        <f t="array" ref="AX60">AX56-SUM(_xlfn._xlws.FILTER(_xlfn._xlws.FILTER(dataGLBSCF,dataGLBSAcctIDs=$C55),(endDatesCF=AX$5)))</f>
        <v>0</v>
      </c>
      <c r="AY60" s="235" cm="1">
        <f t="array" ref="AY60">AY56-SUM(_xlfn._xlws.FILTER(_xlfn._xlws.FILTER(dataGLBSCF,dataGLBSAcctIDs=$C55),(endDatesCF=AY$5)))</f>
        <v>0</v>
      </c>
      <c r="AZ60" s="235" cm="1">
        <f t="array" ref="AZ60">AZ56-SUM(_xlfn._xlws.FILTER(_xlfn._xlws.FILTER(dataGLBSCF,dataGLBSAcctIDs=$C55),(endDatesCF=AZ$5)))</f>
        <v>0</v>
      </c>
      <c r="BA60" s="235" cm="1">
        <f t="array" ref="BA60">BA56-SUM(_xlfn._xlws.FILTER(_xlfn._xlws.FILTER(dataGLBSCF,dataGLBSAcctIDs=$C55),(endDatesCF=BA$5)))</f>
        <v>0</v>
      </c>
      <c r="BB60" s="235" cm="1">
        <f t="array" ref="BB60">BB56-SUM(_xlfn._xlws.FILTER(_xlfn._xlws.FILTER(dataGLBSCF,dataGLBSAcctIDs=$C55),(endDatesCF=BB$5)))</f>
        <v>0</v>
      </c>
      <c r="BC60" s="235" cm="1">
        <f t="array" ref="BC60">BC56-SUM(_xlfn._xlws.FILTER(_xlfn._xlws.FILTER(dataGLBSCF,dataGLBSAcctIDs=$C55),(endDatesCF=BC$5)))</f>
        <v>0</v>
      </c>
      <c r="BD60" s="235" cm="1">
        <f t="array" ref="BD60">BD56-SUM(_xlfn._xlws.FILTER(_xlfn._xlws.FILTER(dataGLBSCF,dataGLBSAcctIDs=$C55),(endDatesCF=BD$5)))</f>
        <v>0</v>
      </c>
      <c r="BE60" s="235" cm="1">
        <f t="array" ref="BE60">BE56-SUM(_xlfn._xlws.FILTER(_xlfn._xlws.FILTER(dataGLBSCF,dataGLBSAcctIDs=$C55),(endDatesCF=BE$5)))</f>
        <v>0</v>
      </c>
      <c r="BF60" s="235" cm="1">
        <f t="array" ref="BF60">BF56-SUM(_xlfn._xlws.FILTER(_xlfn._xlws.FILTER(dataGLBSCF,dataGLBSAcctIDs=$C55),(endDatesCF=BF$5)))</f>
        <v>0</v>
      </c>
      <c r="BG60" s="235" cm="1">
        <f t="array" ref="BG60">BG56-SUM(_xlfn._xlws.FILTER(_xlfn._xlws.FILTER(dataGLBSCF,dataGLBSAcctIDs=$C55),(endDatesCF=BG$5)))</f>
        <v>0</v>
      </c>
      <c r="BH60" s="235" cm="1">
        <f t="array" ref="BH60">BH56-SUM(_xlfn._xlws.FILTER(_xlfn._xlws.FILTER(dataGLBSCF,dataGLBSAcctIDs=$C55),(endDatesCF=BH$5)))</f>
        <v>0</v>
      </c>
      <c r="BI60" s="235" cm="1">
        <f t="array" ref="BI60">BI56-SUM(_xlfn._xlws.FILTER(_xlfn._xlws.FILTER(dataGLBSCF,dataGLBSAcctIDs=$C55),(endDatesCF=BI$5)))</f>
        <v>0</v>
      </c>
      <c r="BJ60" s="235" cm="1">
        <f t="array" ref="BJ60">BJ56-SUM(_xlfn._xlws.FILTER(_xlfn._xlws.FILTER(dataGLBSCF,dataGLBSAcctIDs=$C55),(endDatesCF=BJ$5)))</f>
        <v>0</v>
      </c>
      <c r="BK60" s="235" cm="1">
        <f t="array" ref="BK60">BK56-SUM(_xlfn._xlws.FILTER(_xlfn._xlws.FILTER(dataGLBSCF,dataGLBSAcctIDs=$C55),(endDatesCF=BK$5)))</f>
        <v>0</v>
      </c>
      <c r="BL60" s="235" cm="1">
        <f t="array" ref="BL60">BL56-SUM(_xlfn._xlws.FILTER(_xlfn._xlws.FILTER(dataGLBSCF,dataGLBSAcctIDs=$C55),(endDatesCF=BL$5)))</f>
        <v>0</v>
      </c>
      <c r="BM60" s="235" cm="1">
        <f t="array" ref="BM60">BM56-SUM(_xlfn._xlws.FILTER(_xlfn._xlws.FILTER(dataGLBSCF,dataGLBSAcctIDs=$C55),(endDatesCF=BM$5)))</f>
        <v>0</v>
      </c>
      <c r="BN60" s="235" cm="1">
        <f t="array" ref="BN60">BN56-SUM(_xlfn._xlws.FILTER(_xlfn._xlws.FILTER(dataGLBSCF,dataGLBSAcctIDs=$C55),(endDatesCF=BN$5)))</f>
        <v>0</v>
      </c>
      <c r="BO60" s="235" cm="1">
        <f t="array" ref="BO60">BO56-SUM(_xlfn._xlws.FILTER(_xlfn._xlws.FILTER(dataGLBSCF,dataGLBSAcctIDs=$C55),(endDatesCF=BO$5)))</f>
        <v>0</v>
      </c>
      <c r="BP60" s="235" cm="1">
        <f t="array" ref="BP60">BP56-SUM(_xlfn._xlws.FILTER(_xlfn._xlws.FILTER(dataGLBSCF,dataGLBSAcctIDs=$C55),(endDatesCF=BP$5)))</f>
        <v>0</v>
      </c>
      <c r="BQ60" s="235" cm="1">
        <f t="array" ref="BQ60">BQ56-SUM(_xlfn._xlws.FILTER(_xlfn._xlws.FILTER(dataGLBSCF,dataGLBSAcctIDs=$C55),(endDatesCF=BQ$5)))</f>
        <v>0</v>
      </c>
      <c r="BR60" s="235" cm="1">
        <f t="array" ref="BR60">BR56-SUM(_xlfn._xlws.FILTER(_xlfn._xlws.FILTER(dataGLBSCF,dataGLBSAcctIDs=$C55),(endDatesCF=BR$5)))</f>
        <v>0</v>
      </c>
      <c r="BS60" s="235" cm="1">
        <f t="array" ref="BS60">BS56-SUM(_xlfn._xlws.FILTER(_xlfn._xlws.FILTER(dataGLBSCF,dataGLBSAcctIDs=$C55),(endDatesCF=BS$5)))</f>
        <v>0</v>
      </c>
      <c r="BT60" s="235" cm="1">
        <f t="array" ref="BT60">BT56-SUM(_xlfn._xlws.FILTER(_xlfn._xlws.FILTER(dataGLBSCF,dataGLBSAcctIDs=$C55),(endDatesCF=BT$5)))</f>
        <v>0</v>
      </c>
      <c r="BU60" s="235" cm="1">
        <f t="array" ref="BU60">BU56-SUM(_xlfn._xlws.FILTER(_xlfn._xlws.FILTER(dataGLBSCF,dataGLBSAcctIDs=$C55),(endDatesCF=BU$5)))</f>
        <v>0</v>
      </c>
      <c r="BV60" s="235" cm="1">
        <f t="array" ref="BV60">BV56-SUM(_xlfn._xlws.FILTER(_xlfn._xlws.FILTER(dataGLBSCF,dataGLBSAcctIDs=$C55),(endDatesCF=BV$5)))</f>
        <v>0</v>
      </c>
      <c r="BW60" s="235" cm="1">
        <f t="array" ref="BW60">BW56-SUM(_xlfn._xlws.FILTER(_xlfn._xlws.FILTER(dataGLBSCF,dataGLBSAcctIDs=$C55),(endDatesCF=BW$5)))</f>
        <v>0</v>
      </c>
      <c r="BX60" s="235" cm="1">
        <f t="array" ref="BX60">BX56-SUM(_xlfn._xlws.FILTER(_xlfn._xlws.FILTER(dataGLBSCF,dataGLBSAcctIDs=$C55),(endDatesCF=BX$5)))</f>
        <v>0</v>
      </c>
    </row>
  </sheetData>
  <mergeCells count="3">
    <mergeCell ref="D2:D8"/>
    <mergeCell ref="J2:J8"/>
    <mergeCell ref="AB2:AB8"/>
  </mergeCells>
  <pageMargins left="0.7" right="0.7" top="0.75" bottom="0.75" header="0.3" footer="0.3"/>
  <pageSetup orientation="portrait"/>
  <customProperties>
    <customPr name="cash-flows-automated" r:id="rId1"/>
    <customPr name="sheetName" r:id="rId2"/>
    <customPr name="sourceTemplate"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2CAC9-985F-3D4F-AFF8-98CCA8441374}">
  <sheetPr>
    <tabColor theme="3" tint="0.749992370372631"/>
    <outlinePr summaryBelow="0" summaryRight="0"/>
  </sheetPr>
  <dimension ref="A1:CJ119"/>
  <sheetViews>
    <sheetView showGridLines="0" zoomScale="90" zoomScaleNormal="90" workbookViewId="0">
      <pane xSplit="14" ySplit="8" topLeftCell="BU9" activePane="bottomRight" state="frozen"/>
      <selection pane="topRight" activeCell="D54" sqref="D54"/>
      <selection pane="bottomLeft" activeCell="D54" sqref="D54"/>
      <selection pane="bottomRight" activeCell="BY12" sqref="BY12"/>
    </sheetView>
  </sheetViews>
  <sheetFormatPr defaultColWidth="10.28515625" defaultRowHeight="18.75" customHeight="1" outlineLevelRow="3" outlineLevelCol="2"/>
  <cols>
    <col min="1" max="1" width="3.28515625" style="265" customWidth="1"/>
    <col min="2" max="2" width="3.7109375" style="270" customWidth="1"/>
    <col min="3" max="3" width="2.42578125" style="269" customWidth="1"/>
    <col min="4" max="4" width="31.28515625" style="268" customWidth="1"/>
    <col min="5" max="5" width="22.28515625" style="265" bestFit="1" customWidth="1" outlineLevel="1"/>
    <col min="6" max="6" width="7.42578125" style="265" customWidth="1" outlineLevel="1"/>
    <col min="7" max="7" width="14.140625" style="265" bestFit="1" customWidth="1" outlineLevel="1" collapsed="1"/>
    <col min="8" max="8" width="16.42578125" style="265" hidden="1" customWidth="1" outlineLevel="2"/>
    <col min="9" max="9" width="30" style="265" hidden="1" customWidth="1" outlineLevel="2"/>
    <col min="10" max="10" width="42.42578125" style="265" hidden="1" customWidth="1" outlineLevel="2"/>
    <col min="11" max="11" width="16.140625" style="265" hidden="1" customWidth="1" outlineLevel="2"/>
    <col min="12" max="12" width="20.42578125" style="265" hidden="1" customWidth="1" outlineLevel="2"/>
    <col min="13" max="13" width="4.28515625" style="265" hidden="1" customWidth="1" outlineLevel="2"/>
    <col min="14" max="14" width="2.140625" style="267" customWidth="1"/>
    <col min="15" max="15" width="3.7109375" style="266" bestFit="1" customWidth="1" collapsed="1"/>
    <col min="16" max="16" width="11.140625" style="266" hidden="1" customWidth="1" outlineLevel="2"/>
    <col min="17" max="19" width="11.7109375" style="266" hidden="1" customWidth="1" outlineLevel="2"/>
    <col min="20" max="20" width="2.7109375" style="266" customWidth="1"/>
    <col min="21" max="21" width="3.7109375" style="266" bestFit="1" customWidth="1" collapsed="1"/>
    <col min="22" max="34" width="11.140625" style="265" hidden="1" customWidth="1" outlineLevel="2"/>
    <col min="35" max="37" width="11.7109375" style="265" hidden="1" customWidth="1" outlineLevel="2"/>
    <col min="38" max="38" width="3.140625" style="265" customWidth="1"/>
    <col min="39" max="39" width="3.7109375" style="266" bestFit="1" customWidth="1"/>
    <col min="40" max="40" width="8.140625" style="265" hidden="1" customWidth="1" outlineLevel="1"/>
    <col min="41" max="41" width="11.140625" style="265" customWidth="1" outlineLevel="1"/>
    <col min="42" max="45" width="9.7109375" style="265" customWidth="1" outlineLevel="1"/>
    <col min="46" max="52" width="11.140625" style="265" customWidth="1" outlineLevel="1"/>
    <col min="53" max="74" width="11.140625" style="265" bestFit="1" customWidth="1" outlineLevel="1"/>
    <col min="75" max="78" width="11.7109375" style="265" bestFit="1" customWidth="1" outlineLevel="1"/>
    <col min="79" max="88" width="12.140625" style="265" bestFit="1" customWidth="1" outlineLevel="1"/>
    <col min="89" max="89" width="10.28515625" style="265" customWidth="1"/>
    <col min="90" max="16384" width="10.28515625" style="265"/>
  </cols>
  <sheetData>
    <row r="1" spans="1:88" ht="21" customHeight="1">
      <c r="A1" s="285" t="str">
        <f>Company_Name</f>
        <v>Model Wiz Demo *</v>
      </c>
    </row>
    <row r="2" spans="1:88" ht="18" customHeight="1">
      <c r="A2" t="str" cm="1">
        <f t="array" aca="1" ref="A2" ca="1">IFERROR(MID(CELL("filename",A1),FIND("]",CELL("filename",A1))+1,LEN(CELL("filename",A1))),"")</f>
        <v>Drivers</v>
      </c>
      <c r="O2" s="851" t="s">
        <v>159</v>
      </c>
      <c r="P2" s="148"/>
      <c r="Q2" s="148"/>
      <c r="R2" s="148"/>
      <c r="S2" s="148"/>
      <c r="T2" s="148"/>
      <c r="U2" s="851" t="s">
        <v>160</v>
      </c>
      <c r="V2" s="176"/>
      <c r="W2" s="148"/>
      <c r="X2" s="148"/>
      <c r="Y2" s="148"/>
      <c r="Z2" s="148"/>
      <c r="AA2" s="148"/>
      <c r="AB2" s="148"/>
      <c r="AC2" s="148"/>
      <c r="AD2" s="148"/>
      <c r="AE2" s="148"/>
      <c r="AF2" s="148"/>
      <c r="AG2" s="148"/>
      <c r="AH2" s="148"/>
      <c r="AI2" s="148"/>
      <c r="AJ2" s="148"/>
      <c r="AK2" s="148"/>
      <c r="AL2" s="148"/>
      <c r="AM2" s="852" t="s">
        <v>161</v>
      </c>
    </row>
    <row r="3" spans="1:88" collapsed="1">
      <c r="A3" s="308" t="str">
        <f>Error_Check</f>
        <v>Model Functioning Properly</v>
      </c>
      <c r="O3" s="851"/>
      <c r="P3" s="178" t="str">
        <f>IF(P$5&lt;=LatestMonthOfActuals,"Actual","Projected")</f>
        <v>Actual</v>
      </c>
      <c r="Q3" s="178" t="str">
        <f>IF(Q$5&lt;=LatestMonthOfActuals,"Actual","Projected")</f>
        <v>Actual</v>
      </c>
      <c r="R3" s="178" t="str">
        <f>IF(R$5&lt;=LatestMonthOfActuals,"Actual","Projected")</f>
        <v>Projected</v>
      </c>
      <c r="S3" s="178" t="str">
        <f>IF(S$5&lt;=LatestMonthOfActuals,"Actual","Projected")</f>
        <v>Projected</v>
      </c>
      <c r="T3" s="148"/>
      <c r="U3" s="851"/>
      <c r="V3" s="178" t="str">
        <f t="shared" ref="V3:AK3" si="0">IF(V$5&lt;=LatestMonthOfActuals,"Actual","Projected")</f>
        <v>Actual</v>
      </c>
      <c r="W3" s="178" t="str">
        <f t="shared" si="0"/>
        <v>Actual</v>
      </c>
      <c r="X3" s="178" t="str">
        <f t="shared" si="0"/>
        <v>Actual</v>
      </c>
      <c r="Y3" s="178" t="str">
        <f t="shared" si="0"/>
        <v>Actual</v>
      </c>
      <c r="Z3" s="178" t="str">
        <f t="shared" si="0"/>
        <v>Actual</v>
      </c>
      <c r="AA3" s="178" t="str">
        <f t="shared" si="0"/>
        <v>Actual</v>
      </c>
      <c r="AB3" s="178" t="str">
        <f t="shared" si="0"/>
        <v>Actual</v>
      </c>
      <c r="AC3" s="178" t="str">
        <f t="shared" si="0"/>
        <v>Actual</v>
      </c>
      <c r="AD3" s="178" t="str">
        <f t="shared" si="0"/>
        <v>Actual</v>
      </c>
      <c r="AE3" s="178" t="str">
        <f t="shared" si="0"/>
        <v>Actual</v>
      </c>
      <c r="AF3" s="178" t="str">
        <f t="shared" si="0"/>
        <v>Actual</v>
      </c>
      <c r="AG3" s="178" t="str">
        <f t="shared" si="0"/>
        <v>Projected</v>
      </c>
      <c r="AH3" s="178" t="str">
        <f t="shared" si="0"/>
        <v>Projected</v>
      </c>
      <c r="AI3" s="178" t="str">
        <f t="shared" si="0"/>
        <v>Projected</v>
      </c>
      <c r="AJ3" s="178" t="str">
        <f t="shared" si="0"/>
        <v>Projected</v>
      </c>
      <c r="AK3" s="178" t="str">
        <f t="shared" si="0"/>
        <v>Projected</v>
      </c>
      <c r="AL3" s="179"/>
      <c r="AM3" s="852"/>
      <c r="AN3" s="178" t="str">
        <f t="shared" ref="AN3:BS3" si="1">IF(AN$5&lt;=LatestMonthOfActuals,"Actual","Projected")</f>
        <v>Actual</v>
      </c>
      <c r="AO3" s="178" t="str">
        <f t="shared" si="1"/>
        <v>Actual</v>
      </c>
      <c r="AP3" s="178" t="str">
        <f t="shared" si="1"/>
        <v>Actual</v>
      </c>
      <c r="AQ3" s="178" t="str">
        <f t="shared" si="1"/>
        <v>Actual</v>
      </c>
      <c r="AR3" s="178" t="str">
        <f t="shared" si="1"/>
        <v>Actual</v>
      </c>
      <c r="AS3" s="178" t="str">
        <f t="shared" si="1"/>
        <v>Actual</v>
      </c>
      <c r="AT3" s="178" t="str">
        <f t="shared" si="1"/>
        <v>Actual</v>
      </c>
      <c r="AU3" s="178" t="str">
        <f t="shared" si="1"/>
        <v>Actual</v>
      </c>
      <c r="AV3" s="178" t="str">
        <f t="shared" si="1"/>
        <v>Actual</v>
      </c>
      <c r="AW3" s="178" t="str">
        <f t="shared" si="1"/>
        <v>Actual</v>
      </c>
      <c r="AX3" s="178" t="str">
        <f t="shared" si="1"/>
        <v>Actual</v>
      </c>
      <c r="AY3" s="178" t="str">
        <f t="shared" si="1"/>
        <v>Actual</v>
      </c>
      <c r="AZ3" s="178" t="str">
        <f t="shared" si="1"/>
        <v>Actual</v>
      </c>
      <c r="BA3" s="178" t="str">
        <f t="shared" si="1"/>
        <v>Actual</v>
      </c>
      <c r="BB3" s="178" t="str">
        <f t="shared" si="1"/>
        <v>Actual</v>
      </c>
      <c r="BC3" s="178" t="str">
        <f t="shared" si="1"/>
        <v>Actual</v>
      </c>
      <c r="BD3" s="178" t="str">
        <f t="shared" si="1"/>
        <v>Actual</v>
      </c>
      <c r="BE3" s="178" t="str">
        <f t="shared" si="1"/>
        <v>Actual</v>
      </c>
      <c r="BF3" s="178" t="str">
        <f t="shared" si="1"/>
        <v>Actual</v>
      </c>
      <c r="BG3" s="178" t="str">
        <f t="shared" si="1"/>
        <v>Actual</v>
      </c>
      <c r="BH3" s="178" t="str">
        <f t="shared" si="1"/>
        <v>Actual</v>
      </c>
      <c r="BI3" s="178" t="str">
        <f t="shared" si="1"/>
        <v>Actual</v>
      </c>
      <c r="BJ3" s="178" t="str">
        <f t="shared" si="1"/>
        <v>Actual</v>
      </c>
      <c r="BK3" s="178" t="str">
        <f t="shared" si="1"/>
        <v>Actual</v>
      </c>
      <c r="BL3" s="178" t="str">
        <f t="shared" si="1"/>
        <v>Actual</v>
      </c>
      <c r="BM3" s="178" t="str">
        <f t="shared" si="1"/>
        <v>Actual</v>
      </c>
      <c r="BN3" s="178" t="str">
        <f t="shared" si="1"/>
        <v>Actual</v>
      </c>
      <c r="BO3" s="178" t="str">
        <f t="shared" si="1"/>
        <v>Actual</v>
      </c>
      <c r="BP3" s="178" t="str">
        <f t="shared" si="1"/>
        <v>Actual</v>
      </c>
      <c r="BQ3" s="178" t="str">
        <f t="shared" si="1"/>
        <v>Actual</v>
      </c>
      <c r="BR3" s="178" t="str">
        <f t="shared" si="1"/>
        <v>Actual</v>
      </c>
      <c r="BS3" s="178" t="str">
        <f t="shared" si="1"/>
        <v>Actual</v>
      </c>
      <c r="BT3" s="178" t="str">
        <f t="shared" ref="BT3:CJ3" si="2">IF(BT$5&lt;=LatestMonthOfActuals,"Actual","Projected")</f>
        <v>Actual</v>
      </c>
      <c r="BU3" s="178" t="str">
        <f t="shared" si="2"/>
        <v>Actual</v>
      </c>
      <c r="BV3" s="178" t="str">
        <f t="shared" si="2"/>
        <v>Actual</v>
      </c>
      <c r="BW3" s="178" t="str">
        <f t="shared" si="2"/>
        <v>Actual</v>
      </c>
      <c r="BX3" s="178" t="str">
        <f t="shared" si="2"/>
        <v>Projected</v>
      </c>
      <c r="BY3" s="178" t="str">
        <f t="shared" si="2"/>
        <v>Projected</v>
      </c>
      <c r="BZ3" s="178" t="str">
        <f t="shared" si="2"/>
        <v>Projected</v>
      </c>
      <c r="CA3" s="178" t="str">
        <f t="shared" si="2"/>
        <v>Projected</v>
      </c>
      <c r="CB3" s="178" t="str">
        <f t="shared" si="2"/>
        <v>Projected</v>
      </c>
      <c r="CC3" s="178" t="str">
        <f t="shared" si="2"/>
        <v>Projected</v>
      </c>
      <c r="CD3" s="178" t="str">
        <f t="shared" si="2"/>
        <v>Projected</v>
      </c>
      <c r="CE3" s="178" t="str">
        <f t="shared" si="2"/>
        <v>Projected</v>
      </c>
      <c r="CF3" s="178" t="str">
        <f t="shared" si="2"/>
        <v>Projected</v>
      </c>
      <c r="CG3" s="178" t="str">
        <f t="shared" si="2"/>
        <v>Projected</v>
      </c>
      <c r="CH3" s="178" t="str">
        <f t="shared" si="2"/>
        <v>Projected</v>
      </c>
      <c r="CI3" s="178" t="str">
        <f t="shared" si="2"/>
        <v>Projected</v>
      </c>
      <c r="CJ3" s="178" t="str">
        <f t="shared" si="2"/>
        <v>Projected</v>
      </c>
    </row>
    <row r="4" spans="1:88" ht="18" hidden="1" customHeight="1" outlineLevel="3">
      <c r="O4" s="851"/>
      <c r="P4" s="176">
        <f>Start_Date</f>
        <v>44927</v>
      </c>
      <c r="Q4" s="176">
        <f>P5+1</f>
        <v>45292</v>
      </c>
      <c r="R4" s="176">
        <f>Q5+1</f>
        <v>45658</v>
      </c>
      <c r="S4" s="176">
        <f>R5+1</f>
        <v>46023</v>
      </c>
      <c r="T4" s="148"/>
      <c r="U4" s="851"/>
      <c r="V4" s="176">
        <f>Start_Date</f>
        <v>44927</v>
      </c>
      <c r="W4" s="4">
        <f t="shared" ref="W4:AK4" si="3">V5+1</f>
        <v>45017</v>
      </c>
      <c r="X4" s="4">
        <f t="shared" si="3"/>
        <v>45108</v>
      </c>
      <c r="Y4" s="4">
        <f t="shared" si="3"/>
        <v>45200</v>
      </c>
      <c r="Z4" s="4">
        <f t="shared" si="3"/>
        <v>45292</v>
      </c>
      <c r="AA4" s="4">
        <f t="shared" si="3"/>
        <v>45383</v>
      </c>
      <c r="AB4" s="4">
        <f t="shared" si="3"/>
        <v>45474</v>
      </c>
      <c r="AC4" s="4">
        <f t="shared" si="3"/>
        <v>45566</v>
      </c>
      <c r="AD4" s="4">
        <f t="shared" si="3"/>
        <v>45658</v>
      </c>
      <c r="AE4" s="4">
        <f t="shared" si="3"/>
        <v>45748</v>
      </c>
      <c r="AF4" s="4">
        <f t="shared" si="3"/>
        <v>45839</v>
      </c>
      <c r="AG4" s="4">
        <f t="shared" si="3"/>
        <v>45931</v>
      </c>
      <c r="AH4" s="4">
        <f t="shared" si="3"/>
        <v>46023</v>
      </c>
      <c r="AI4" s="4">
        <f t="shared" si="3"/>
        <v>46113</v>
      </c>
      <c r="AJ4" s="4">
        <f t="shared" si="3"/>
        <v>46204</v>
      </c>
      <c r="AK4" s="4">
        <f t="shared" si="3"/>
        <v>46296</v>
      </c>
      <c r="AL4" s="177"/>
      <c r="AM4" s="852"/>
      <c r="AN4" s="176">
        <f>EOMONTH(AN5,-1)+1</f>
        <v>44896</v>
      </c>
      <c r="AO4" s="176">
        <f>Start_Date</f>
        <v>44927</v>
      </c>
      <c r="AP4" s="176">
        <f t="shared" ref="AP4:CJ4" si="4">EOMONTH(AP5,-1)+1</f>
        <v>44958</v>
      </c>
      <c r="AQ4" s="176">
        <f t="shared" si="4"/>
        <v>44986</v>
      </c>
      <c r="AR4" s="176">
        <f t="shared" si="4"/>
        <v>45017</v>
      </c>
      <c r="AS4" s="176">
        <f t="shared" si="4"/>
        <v>45047</v>
      </c>
      <c r="AT4" s="176">
        <f t="shared" si="4"/>
        <v>45078</v>
      </c>
      <c r="AU4" s="176">
        <f t="shared" si="4"/>
        <v>45108</v>
      </c>
      <c r="AV4" s="176">
        <f t="shared" si="4"/>
        <v>45139</v>
      </c>
      <c r="AW4" s="176">
        <f t="shared" si="4"/>
        <v>45170</v>
      </c>
      <c r="AX4" s="176">
        <f t="shared" si="4"/>
        <v>45200</v>
      </c>
      <c r="AY4" s="176">
        <f t="shared" si="4"/>
        <v>45231</v>
      </c>
      <c r="AZ4" s="176">
        <f t="shared" si="4"/>
        <v>45261</v>
      </c>
      <c r="BA4" s="176">
        <f t="shared" si="4"/>
        <v>45292</v>
      </c>
      <c r="BB4" s="176">
        <f t="shared" si="4"/>
        <v>45323</v>
      </c>
      <c r="BC4" s="176">
        <f t="shared" si="4"/>
        <v>45352</v>
      </c>
      <c r="BD4" s="176">
        <f t="shared" si="4"/>
        <v>45383</v>
      </c>
      <c r="BE4" s="176">
        <f t="shared" si="4"/>
        <v>45413</v>
      </c>
      <c r="BF4" s="176">
        <f t="shared" si="4"/>
        <v>45444</v>
      </c>
      <c r="BG4" s="176">
        <f t="shared" si="4"/>
        <v>45474</v>
      </c>
      <c r="BH4" s="176">
        <f t="shared" si="4"/>
        <v>45505</v>
      </c>
      <c r="BI4" s="176">
        <f t="shared" si="4"/>
        <v>45536</v>
      </c>
      <c r="BJ4" s="176">
        <f t="shared" si="4"/>
        <v>45566</v>
      </c>
      <c r="BK4" s="176">
        <f t="shared" si="4"/>
        <v>45597</v>
      </c>
      <c r="BL4" s="176">
        <f t="shared" si="4"/>
        <v>45627</v>
      </c>
      <c r="BM4" s="176">
        <f t="shared" si="4"/>
        <v>45658</v>
      </c>
      <c r="BN4" s="176">
        <f t="shared" si="4"/>
        <v>45689</v>
      </c>
      <c r="BO4" s="176">
        <f t="shared" si="4"/>
        <v>45717</v>
      </c>
      <c r="BP4" s="176">
        <f t="shared" si="4"/>
        <v>45748</v>
      </c>
      <c r="BQ4" s="176">
        <f t="shared" si="4"/>
        <v>45778</v>
      </c>
      <c r="BR4" s="176">
        <f t="shared" si="4"/>
        <v>45809</v>
      </c>
      <c r="BS4" s="176">
        <f t="shared" si="4"/>
        <v>45839</v>
      </c>
      <c r="BT4" s="176">
        <f t="shared" si="4"/>
        <v>45870</v>
      </c>
      <c r="BU4" s="176">
        <f t="shared" si="4"/>
        <v>45901</v>
      </c>
      <c r="BV4" s="176">
        <f t="shared" si="4"/>
        <v>45931</v>
      </c>
      <c r="BW4" s="176">
        <f t="shared" si="4"/>
        <v>45962</v>
      </c>
      <c r="BX4" s="176">
        <f t="shared" si="4"/>
        <v>45992</v>
      </c>
      <c r="BY4" s="176">
        <f t="shared" si="4"/>
        <v>46023</v>
      </c>
      <c r="BZ4" s="176">
        <f t="shared" si="4"/>
        <v>46054</v>
      </c>
      <c r="CA4" s="176">
        <f t="shared" si="4"/>
        <v>46082</v>
      </c>
      <c r="CB4" s="176">
        <f t="shared" si="4"/>
        <v>46113</v>
      </c>
      <c r="CC4" s="176">
        <f t="shared" si="4"/>
        <v>46143</v>
      </c>
      <c r="CD4" s="176">
        <f t="shared" si="4"/>
        <v>46174</v>
      </c>
      <c r="CE4" s="176">
        <f t="shared" si="4"/>
        <v>46204</v>
      </c>
      <c r="CF4" s="176">
        <f t="shared" si="4"/>
        <v>46235</v>
      </c>
      <c r="CG4" s="176">
        <f t="shared" si="4"/>
        <v>46266</v>
      </c>
      <c r="CH4" s="176">
        <f t="shared" si="4"/>
        <v>46296</v>
      </c>
      <c r="CI4" s="176">
        <f t="shared" si="4"/>
        <v>46327</v>
      </c>
      <c r="CJ4" s="176">
        <f t="shared" si="4"/>
        <v>46357</v>
      </c>
    </row>
    <row r="5" spans="1:88" ht="18" hidden="1" customHeight="1" outlineLevel="3">
      <c r="O5" s="851"/>
      <c r="P5" s="176">
        <f>EOMONTH(DATE(YEAR(Start_Date),1,1),Fiscal_Offset+IF(V6&lt;YEAR(Start_Date),-1,11))</f>
        <v>45291</v>
      </c>
      <c r="Q5" s="4">
        <f>MIN(EOMONTH(P5,12),End_Date)</f>
        <v>45657</v>
      </c>
      <c r="R5" s="4">
        <f>MIN(EOMONTH(Q5,12),End_Date)</f>
        <v>46022</v>
      </c>
      <c r="S5" s="4">
        <f>MIN(EOMONTH(R5,12),End_Date)</f>
        <v>46387</v>
      </c>
      <c r="T5" s="148"/>
      <c r="U5" s="851"/>
      <c r="V5" s="4">
        <f>EOMONTH(DATE(YEAR(Start_Date),1,1),MOD(ROUNDUP(MONTH(EOMONTH(Start_Date,-Fiscal_Offset))/3,0)*3+Fiscal_Offset-1,12))</f>
        <v>45016</v>
      </c>
      <c r="W5" s="4">
        <f t="shared" ref="W5:AK5" si="5">MIN(EOMONTH(W$4,2),End_Date)</f>
        <v>45107</v>
      </c>
      <c r="X5" s="4">
        <f t="shared" si="5"/>
        <v>45199</v>
      </c>
      <c r="Y5" s="4">
        <f t="shared" si="5"/>
        <v>45291</v>
      </c>
      <c r="Z5" s="4">
        <f t="shared" si="5"/>
        <v>45382</v>
      </c>
      <c r="AA5" s="4">
        <f t="shared" si="5"/>
        <v>45473</v>
      </c>
      <c r="AB5" s="4">
        <f t="shared" si="5"/>
        <v>45565</v>
      </c>
      <c r="AC5" s="4">
        <f t="shared" si="5"/>
        <v>45657</v>
      </c>
      <c r="AD5" s="4">
        <f t="shared" si="5"/>
        <v>45747</v>
      </c>
      <c r="AE5" s="4">
        <f t="shared" si="5"/>
        <v>45838</v>
      </c>
      <c r="AF5" s="4">
        <f t="shared" si="5"/>
        <v>45930</v>
      </c>
      <c r="AG5" s="4">
        <f t="shared" si="5"/>
        <v>46022</v>
      </c>
      <c r="AH5" s="4">
        <f t="shared" si="5"/>
        <v>46112</v>
      </c>
      <c r="AI5" s="4">
        <f t="shared" si="5"/>
        <v>46203</v>
      </c>
      <c r="AJ5" s="4">
        <f t="shared" si="5"/>
        <v>46295</v>
      </c>
      <c r="AK5" s="4">
        <f t="shared" si="5"/>
        <v>46387</v>
      </c>
      <c r="AL5" s="177"/>
      <c r="AM5" s="852"/>
      <c r="AN5" s="176">
        <f>EOMONTH(AO5,-1)</f>
        <v>44926</v>
      </c>
      <c r="AO5" s="176">
        <f>EOM_Start_Date</f>
        <v>44957</v>
      </c>
      <c r="AP5" s="4">
        <f t="shared" ref="AP5:CJ5" si="6">EOMONTH(AO5,1)</f>
        <v>44985</v>
      </c>
      <c r="AQ5" s="4">
        <f t="shared" si="6"/>
        <v>45016</v>
      </c>
      <c r="AR5" s="4">
        <f t="shared" si="6"/>
        <v>45046</v>
      </c>
      <c r="AS5" s="4">
        <f t="shared" si="6"/>
        <v>45077</v>
      </c>
      <c r="AT5" s="4">
        <f t="shared" si="6"/>
        <v>45107</v>
      </c>
      <c r="AU5" s="4">
        <f t="shared" si="6"/>
        <v>45138</v>
      </c>
      <c r="AV5" s="4">
        <f t="shared" si="6"/>
        <v>45169</v>
      </c>
      <c r="AW5" s="4">
        <f t="shared" si="6"/>
        <v>45199</v>
      </c>
      <c r="AX5" s="4">
        <f t="shared" si="6"/>
        <v>45230</v>
      </c>
      <c r="AY5" s="4">
        <f t="shared" si="6"/>
        <v>45260</v>
      </c>
      <c r="AZ5" s="4">
        <f t="shared" si="6"/>
        <v>45291</v>
      </c>
      <c r="BA5" s="4">
        <f t="shared" si="6"/>
        <v>45322</v>
      </c>
      <c r="BB5" s="4">
        <f t="shared" si="6"/>
        <v>45351</v>
      </c>
      <c r="BC5" s="4">
        <f t="shared" si="6"/>
        <v>45382</v>
      </c>
      <c r="BD5" s="4">
        <f t="shared" si="6"/>
        <v>45412</v>
      </c>
      <c r="BE5" s="4">
        <f t="shared" si="6"/>
        <v>45443</v>
      </c>
      <c r="BF5" s="4">
        <f t="shared" si="6"/>
        <v>45473</v>
      </c>
      <c r="BG5" s="4">
        <f t="shared" si="6"/>
        <v>45504</v>
      </c>
      <c r="BH5" s="4">
        <f t="shared" si="6"/>
        <v>45535</v>
      </c>
      <c r="BI5" s="4">
        <f t="shared" si="6"/>
        <v>45565</v>
      </c>
      <c r="BJ5" s="4">
        <f t="shared" si="6"/>
        <v>45596</v>
      </c>
      <c r="BK5" s="4">
        <f t="shared" si="6"/>
        <v>45626</v>
      </c>
      <c r="BL5" s="4">
        <f t="shared" si="6"/>
        <v>45657</v>
      </c>
      <c r="BM5" s="4">
        <f t="shared" si="6"/>
        <v>45688</v>
      </c>
      <c r="BN5" s="4">
        <f t="shared" si="6"/>
        <v>45716</v>
      </c>
      <c r="BO5" s="4">
        <f t="shared" si="6"/>
        <v>45747</v>
      </c>
      <c r="BP5" s="4">
        <f t="shared" si="6"/>
        <v>45777</v>
      </c>
      <c r="BQ5" s="4">
        <f t="shared" si="6"/>
        <v>45808</v>
      </c>
      <c r="BR5" s="4">
        <f t="shared" si="6"/>
        <v>45838</v>
      </c>
      <c r="BS5" s="4">
        <f t="shared" si="6"/>
        <v>45869</v>
      </c>
      <c r="BT5" s="4">
        <f t="shared" si="6"/>
        <v>45900</v>
      </c>
      <c r="BU5" s="4">
        <f t="shared" si="6"/>
        <v>45930</v>
      </c>
      <c r="BV5" s="4">
        <f t="shared" si="6"/>
        <v>45961</v>
      </c>
      <c r="BW5" s="4">
        <f t="shared" si="6"/>
        <v>45991</v>
      </c>
      <c r="BX5" s="4">
        <f t="shared" si="6"/>
        <v>46022</v>
      </c>
      <c r="BY5" s="4">
        <f t="shared" si="6"/>
        <v>46053</v>
      </c>
      <c r="BZ5" s="4">
        <f t="shared" si="6"/>
        <v>46081</v>
      </c>
      <c r="CA5" s="4">
        <f t="shared" si="6"/>
        <v>46112</v>
      </c>
      <c r="CB5" s="4">
        <f t="shared" si="6"/>
        <v>46142</v>
      </c>
      <c r="CC5" s="4">
        <f t="shared" si="6"/>
        <v>46173</v>
      </c>
      <c r="CD5" s="4">
        <f t="shared" si="6"/>
        <v>46203</v>
      </c>
      <c r="CE5" s="4">
        <f t="shared" si="6"/>
        <v>46234</v>
      </c>
      <c r="CF5" s="4">
        <f t="shared" si="6"/>
        <v>46265</v>
      </c>
      <c r="CG5" s="4">
        <f t="shared" si="6"/>
        <v>46295</v>
      </c>
      <c r="CH5" s="4">
        <f t="shared" si="6"/>
        <v>46326</v>
      </c>
      <c r="CI5" s="4">
        <f t="shared" si="6"/>
        <v>46356</v>
      </c>
      <c r="CJ5" s="4">
        <f t="shared" si="6"/>
        <v>46387</v>
      </c>
    </row>
    <row r="6" spans="1:88" ht="18" hidden="1" customHeight="1" outlineLevel="3">
      <c r="O6" s="851"/>
      <c r="P6" s="12">
        <f>YEAR(EOMONTH(P5,-Fiscal_Offset))</f>
        <v>2023</v>
      </c>
      <c r="Q6" s="12">
        <f>YEAR(EOMONTH(Q5,-Fiscal_Offset))</f>
        <v>2024</v>
      </c>
      <c r="R6" s="12">
        <f>YEAR(EOMONTH(R5,-Fiscal_Offset))</f>
        <v>2025</v>
      </c>
      <c r="S6" s="12">
        <f>YEAR(EOMONTH(S5,-Fiscal_Offset))</f>
        <v>2026</v>
      </c>
      <c r="T6" s="148"/>
      <c r="U6" s="851"/>
      <c r="V6" s="12">
        <f t="shared" ref="V6:AK6" si="7">YEAR(EOMONTH(V5,-Fiscal_Offset))</f>
        <v>2023</v>
      </c>
      <c r="W6" s="12">
        <f t="shared" si="7"/>
        <v>2023</v>
      </c>
      <c r="X6" s="12">
        <f t="shared" si="7"/>
        <v>2023</v>
      </c>
      <c r="Y6" s="12">
        <f t="shared" si="7"/>
        <v>2023</v>
      </c>
      <c r="Z6" s="12">
        <f t="shared" si="7"/>
        <v>2024</v>
      </c>
      <c r="AA6" s="12">
        <f t="shared" si="7"/>
        <v>2024</v>
      </c>
      <c r="AB6" s="12">
        <f t="shared" si="7"/>
        <v>2024</v>
      </c>
      <c r="AC6" s="12">
        <f t="shared" si="7"/>
        <v>2024</v>
      </c>
      <c r="AD6" s="12">
        <f t="shared" si="7"/>
        <v>2025</v>
      </c>
      <c r="AE6" s="12">
        <f t="shared" si="7"/>
        <v>2025</v>
      </c>
      <c r="AF6" s="12">
        <f t="shared" si="7"/>
        <v>2025</v>
      </c>
      <c r="AG6" s="12">
        <f t="shared" si="7"/>
        <v>2025</v>
      </c>
      <c r="AH6" s="12">
        <f t="shared" si="7"/>
        <v>2026</v>
      </c>
      <c r="AI6" s="12">
        <f t="shared" si="7"/>
        <v>2026</v>
      </c>
      <c r="AJ6" s="12">
        <f t="shared" si="7"/>
        <v>2026</v>
      </c>
      <c r="AK6" s="12">
        <f t="shared" si="7"/>
        <v>2026</v>
      </c>
      <c r="AL6" s="175"/>
      <c r="AM6" s="852"/>
      <c r="AN6" s="12">
        <f>YEAR(EOMONTH(AN4,-Fiscal_Offset))</f>
        <v>2022</v>
      </c>
      <c r="AO6" s="12">
        <f t="shared" ref="AO6:CJ6" si="8">YEAR(EOMONTH(AO5,-Fiscal_Offset))</f>
        <v>2023</v>
      </c>
      <c r="AP6" s="12">
        <f t="shared" si="8"/>
        <v>2023</v>
      </c>
      <c r="AQ6" s="12">
        <f t="shared" si="8"/>
        <v>2023</v>
      </c>
      <c r="AR6" s="12">
        <f t="shared" si="8"/>
        <v>2023</v>
      </c>
      <c r="AS6" s="12">
        <f t="shared" si="8"/>
        <v>2023</v>
      </c>
      <c r="AT6" s="12">
        <f t="shared" si="8"/>
        <v>2023</v>
      </c>
      <c r="AU6" s="12">
        <f t="shared" si="8"/>
        <v>2023</v>
      </c>
      <c r="AV6" s="12">
        <f t="shared" si="8"/>
        <v>2023</v>
      </c>
      <c r="AW6" s="12">
        <f t="shared" si="8"/>
        <v>2023</v>
      </c>
      <c r="AX6" s="12">
        <f t="shared" si="8"/>
        <v>2023</v>
      </c>
      <c r="AY6" s="12">
        <f t="shared" si="8"/>
        <v>2023</v>
      </c>
      <c r="AZ6" s="12">
        <f t="shared" si="8"/>
        <v>2023</v>
      </c>
      <c r="BA6" s="12">
        <f t="shared" si="8"/>
        <v>2024</v>
      </c>
      <c r="BB6" s="12">
        <f t="shared" si="8"/>
        <v>2024</v>
      </c>
      <c r="BC6" s="12">
        <f t="shared" si="8"/>
        <v>2024</v>
      </c>
      <c r="BD6" s="12">
        <f t="shared" si="8"/>
        <v>2024</v>
      </c>
      <c r="BE6" s="12">
        <f t="shared" si="8"/>
        <v>2024</v>
      </c>
      <c r="BF6" s="12">
        <f t="shared" si="8"/>
        <v>2024</v>
      </c>
      <c r="BG6" s="12">
        <f t="shared" si="8"/>
        <v>2024</v>
      </c>
      <c r="BH6" s="12">
        <f t="shared" si="8"/>
        <v>2024</v>
      </c>
      <c r="BI6" s="12">
        <f t="shared" si="8"/>
        <v>2024</v>
      </c>
      <c r="BJ6" s="12">
        <f t="shared" si="8"/>
        <v>2024</v>
      </c>
      <c r="BK6" s="12">
        <f t="shared" si="8"/>
        <v>2024</v>
      </c>
      <c r="BL6" s="12">
        <f t="shared" si="8"/>
        <v>2024</v>
      </c>
      <c r="BM6" s="12">
        <f t="shared" si="8"/>
        <v>2025</v>
      </c>
      <c r="BN6" s="12">
        <f t="shared" si="8"/>
        <v>2025</v>
      </c>
      <c r="BO6" s="12">
        <f t="shared" si="8"/>
        <v>2025</v>
      </c>
      <c r="BP6" s="12">
        <f t="shared" si="8"/>
        <v>2025</v>
      </c>
      <c r="BQ6" s="12">
        <f t="shared" si="8"/>
        <v>2025</v>
      </c>
      <c r="BR6" s="12">
        <f t="shared" si="8"/>
        <v>2025</v>
      </c>
      <c r="BS6" s="12">
        <f t="shared" si="8"/>
        <v>2025</v>
      </c>
      <c r="BT6" s="12">
        <f t="shared" si="8"/>
        <v>2025</v>
      </c>
      <c r="BU6" s="12">
        <f t="shared" si="8"/>
        <v>2025</v>
      </c>
      <c r="BV6" s="12">
        <f t="shared" si="8"/>
        <v>2025</v>
      </c>
      <c r="BW6" s="12">
        <f t="shared" ref="BW6" si="9">YEAR(EOMONTH(BW5,-Fiscal_Offset))</f>
        <v>2025</v>
      </c>
      <c r="BX6" s="12">
        <f t="shared" si="8"/>
        <v>2025</v>
      </c>
      <c r="BY6" s="12">
        <f t="shared" si="8"/>
        <v>2026</v>
      </c>
      <c r="BZ6" s="12">
        <f t="shared" si="8"/>
        <v>2026</v>
      </c>
      <c r="CA6" s="12">
        <f t="shared" si="8"/>
        <v>2026</v>
      </c>
      <c r="CB6" s="12">
        <f t="shared" si="8"/>
        <v>2026</v>
      </c>
      <c r="CC6" s="12">
        <f t="shared" si="8"/>
        <v>2026</v>
      </c>
      <c r="CD6" s="12">
        <f t="shared" si="8"/>
        <v>2026</v>
      </c>
      <c r="CE6" s="12">
        <f t="shared" si="8"/>
        <v>2026</v>
      </c>
      <c r="CF6" s="12">
        <f t="shared" si="8"/>
        <v>2026</v>
      </c>
      <c r="CG6" s="12">
        <f t="shared" si="8"/>
        <v>2026</v>
      </c>
      <c r="CH6" s="12">
        <f t="shared" si="8"/>
        <v>2026</v>
      </c>
      <c r="CI6" s="12">
        <f t="shared" si="8"/>
        <v>2026</v>
      </c>
      <c r="CJ6" s="12">
        <f t="shared" si="8"/>
        <v>2026</v>
      </c>
    </row>
    <row r="7" spans="1:88" s="290" customFormat="1" ht="18" hidden="1" customHeight="1" outlineLevel="3">
      <c r="B7" s="307"/>
      <c r="C7" s="306"/>
      <c r="D7" s="305"/>
      <c r="N7" s="267"/>
      <c r="O7" s="851"/>
      <c r="P7" s="12" t="str">
        <f>"Q"&amp; ROUNDUP(MONTH(EOMONTH(P5,-Fiscal_Offset))/3,0)</f>
        <v>Q4</v>
      </c>
      <c r="Q7" s="12" t="str">
        <f>"Q"&amp; ROUNDUP(MONTH(EOMONTH(Q5,-Fiscal_Offset))/3,0)</f>
        <v>Q4</v>
      </c>
      <c r="R7" s="12" t="str">
        <f>"Q"&amp; ROUNDUP(MONTH(EOMONTH(R5,-Fiscal_Offset))/3,0)</f>
        <v>Q4</v>
      </c>
      <c r="S7" s="12" t="str">
        <f>"Q"&amp; ROUNDUP(MONTH(EOMONTH(S5,-Fiscal_Offset))/3,0)</f>
        <v>Q4</v>
      </c>
      <c r="T7" s="148"/>
      <c r="U7" s="851"/>
      <c r="V7" s="12" t="str">
        <f t="shared" ref="V7:AK7" si="10">"Q"&amp; ROUNDUP(MONTH(EOMONTH(V5,-Fiscal_Offset))/3,0)</f>
        <v>Q1</v>
      </c>
      <c r="W7" s="12" t="str">
        <f t="shared" si="10"/>
        <v>Q2</v>
      </c>
      <c r="X7" s="12" t="str">
        <f t="shared" si="10"/>
        <v>Q3</v>
      </c>
      <c r="Y7" s="12" t="str">
        <f t="shared" si="10"/>
        <v>Q4</v>
      </c>
      <c r="Z7" s="12" t="str">
        <f t="shared" si="10"/>
        <v>Q1</v>
      </c>
      <c r="AA7" s="12" t="str">
        <f t="shared" si="10"/>
        <v>Q2</v>
      </c>
      <c r="AB7" s="12" t="str">
        <f t="shared" si="10"/>
        <v>Q3</v>
      </c>
      <c r="AC7" s="12" t="str">
        <f t="shared" si="10"/>
        <v>Q4</v>
      </c>
      <c r="AD7" s="12" t="str">
        <f t="shared" si="10"/>
        <v>Q1</v>
      </c>
      <c r="AE7" s="12" t="str">
        <f t="shared" si="10"/>
        <v>Q2</v>
      </c>
      <c r="AF7" s="12" t="str">
        <f t="shared" si="10"/>
        <v>Q3</v>
      </c>
      <c r="AG7" s="12" t="str">
        <f t="shared" si="10"/>
        <v>Q4</v>
      </c>
      <c r="AH7" s="12" t="str">
        <f t="shared" si="10"/>
        <v>Q1</v>
      </c>
      <c r="AI7" s="12" t="str">
        <f t="shared" si="10"/>
        <v>Q2</v>
      </c>
      <c r="AJ7" s="12" t="str">
        <f t="shared" si="10"/>
        <v>Q3</v>
      </c>
      <c r="AK7" s="12" t="str">
        <f t="shared" si="10"/>
        <v>Q4</v>
      </c>
      <c r="AL7" s="175"/>
      <c r="AM7" s="852"/>
      <c r="AN7" s="12" t="str">
        <f t="shared" ref="AN7:BS7" si="11">"Q"&amp; ROUNDUP(MONTH(EOMONTH(AN5,-Fiscal_Offset))/3,0)</f>
        <v>Q4</v>
      </c>
      <c r="AO7" s="12" t="str">
        <f t="shared" si="11"/>
        <v>Q1</v>
      </c>
      <c r="AP7" s="12" t="str">
        <f t="shared" si="11"/>
        <v>Q1</v>
      </c>
      <c r="AQ7" s="12" t="str">
        <f t="shared" si="11"/>
        <v>Q1</v>
      </c>
      <c r="AR7" s="12" t="str">
        <f t="shared" si="11"/>
        <v>Q2</v>
      </c>
      <c r="AS7" s="12" t="str">
        <f t="shared" si="11"/>
        <v>Q2</v>
      </c>
      <c r="AT7" s="12" t="str">
        <f t="shared" si="11"/>
        <v>Q2</v>
      </c>
      <c r="AU7" s="12" t="str">
        <f t="shared" si="11"/>
        <v>Q3</v>
      </c>
      <c r="AV7" s="12" t="str">
        <f t="shared" si="11"/>
        <v>Q3</v>
      </c>
      <c r="AW7" s="12" t="str">
        <f t="shared" si="11"/>
        <v>Q3</v>
      </c>
      <c r="AX7" s="12" t="str">
        <f t="shared" si="11"/>
        <v>Q4</v>
      </c>
      <c r="AY7" s="12" t="str">
        <f t="shared" si="11"/>
        <v>Q4</v>
      </c>
      <c r="AZ7" s="12" t="str">
        <f t="shared" si="11"/>
        <v>Q4</v>
      </c>
      <c r="BA7" s="12" t="str">
        <f t="shared" si="11"/>
        <v>Q1</v>
      </c>
      <c r="BB7" s="12" t="str">
        <f t="shared" si="11"/>
        <v>Q1</v>
      </c>
      <c r="BC7" s="12" t="str">
        <f t="shared" si="11"/>
        <v>Q1</v>
      </c>
      <c r="BD7" s="12" t="str">
        <f t="shared" si="11"/>
        <v>Q2</v>
      </c>
      <c r="BE7" s="12" t="str">
        <f t="shared" si="11"/>
        <v>Q2</v>
      </c>
      <c r="BF7" s="12" t="str">
        <f t="shared" si="11"/>
        <v>Q2</v>
      </c>
      <c r="BG7" s="12" t="str">
        <f t="shared" si="11"/>
        <v>Q3</v>
      </c>
      <c r="BH7" s="12" t="str">
        <f t="shared" si="11"/>
        <v>Q3</v>
      </c>
      <c r="BI7" s="12" t="str">
        <f t="shared" si="11"/>
        <v>Q3</v>
      </c>
      <c r="BJ7" s="12" t="str">
        <f t="shared" si="11"/>
        <v>Q4</v>
      </c>
      <c r="BK7" s="12" t="str">
        <f t="shared" si="11"/>
        <v>Q4</v>
      </c>
      <c r="BL7" s="12" t="str">
        <f t="shared" si="11"/>
        <v>Q4</v>
      </c>
      <c r="BM7" s="12" t="str">
        <f t="shared" si="11"/>
        <v>Q1</v>
      </c>
      <c r="BN7" s="12" t="str">
        <f t="shared" si="11"/>
        <v>Q1</v>
      </c>
      <c r="BO7" s="12" t="str">
        <f t="shared" si="11"/>
        <v>Q1</v>
      </c>
      <c r="BP7" s="12" t="str">
        <f t="shared" si="11"/>
        <v>Q2</v>
      </c>
      <c r="BQ7" s="12" t="str">
        <f t="shared" si="11"/>
        <v>Q2</v>
      </c>
      <c r="BR7" s="12" t="str">
        <f t="shared" si="11"/>
        <v>Q2</v>
      </c>
      <c r="BS7" s="12" t="str">
        <f t="shared" si="11"/>
        <v>Q3</v>
      </c>
      <c r="BT7" s="12" t="str">
        <f t="shared" ref="BT7:CJ7" si="12">"Q"&amp; ROUNDUP(MONTH(EOMONTH(BT5,-Fiscal_Offset))/3,0)</f>
        <v>Q3</v>
      </c>
      <c r="BU7" s="12" t="str">
        <f t="shared" si="12"/>
        <v>Q3</v>
      </c>
      <c r="BV7" s="12" t="str">
        <f t="shared" si="12"/>
        <v>Q4</v>
      </c>
      <c r="BW7" s="12" t="str">
        <f t="shared" ref="BW7" si="13">"Q"&amp; ROUNDUP(MONTH(EOMONTH(BW5,-Fiscal_Offset))/3,0)</f>
        <v>Q4</v>
      </c>
      <c r="BX7" s="12" t="str">
        <f t="shared" si="12"/>
        <v>Q4</v>
      </c>
      <c r="BY7" s="12" t="str">
        <f t="shared" si="12"/>
        <v>Q1</v>
      </c>
      <c r="BZ7" s="12" t="str">
        <f t="shared" si="12"/>
        <v>Q1</v>
      </c>
      <c r="CA7" s="12" t="str">
        <f t="shared" si="12"/>
        <v>Q1</v>
      </c>
      <c r="CB7" s="12" t="str">
        <f t="shared" si="12"/>
        <v>Q2</v>
      </c>
      <c r="CC7" s="12" t="str">
        <f t="shared" si="12"/>
        <v>Q2</v>
      </c>
      <c r="CD7" s="12" t="str">
        <f t="shared" si="12"/>
        <v>Q2</v>
      </c>
      <c r="CE7" s="12" t="str">
        <f t="shared" si="12"/>
        <v>Q3</v>
      </c>
      <c r="CF7" s="12" t="str">
        <f t="shared" si="12"/>
        <v>Q3</v>
      </c>
      <c r="CG7" s="12" t="str">
        <f t="shared" si="12"/>
        <v>Q3</v>
      </c>
      <c r="CH7" s="12" t="str">
        <f t="shared" si="12"/>
        <v>Q4</v>
      </c>
      <c r="CI7" s="12" t="str">
        <f t="shared" si="12"/>
        <v>Q4</v>
      </c>
      <c r="CJ7" s="12" t="str">
        <f t="shared" si="12"/>
        <v>Q4</v>
      </c>
    </row>
    <row r="8" spans="1:88" s="290" customFormat="1">
      <c r="B8" s="307"/>
      <c r="C8" s="306"/>
      <c r="D8" s="686" t="s">
        <v>106</v>
      </c>
      <c r="E8" s="304" t="s">
        <v>345</v>
      </c>
      <c r="F8" s="304" t="s">
        <v>346</v>
      </c>
      <c r="G8" s="304" t="s">
        <v>347</v>
      </c>
      <c r="H8" s="304" t="s">
        <v>348</v>
      </c>
      <c r="I8" s="304" t="s">
        <v>119</v>
      </c>
      <c r="J8" s="304" t="s">
        <v>349</v>
      </c>
      <c r="K8" s="304" t="s">
        <v>350</v>
      </c>
      <c r="L8" s="304" t="s">
        <v>176</v>
      </c>
      <c r="M8" s="304"/>
      <c r="N8" s="267"/>
      <c r="O8" s="851"/>
      <c r="P8" s="173">
        <f>P6</f>
        <v>2023</v>
      </c>
      <c r="Q8" s="173">
        <f>Q6</f>
        <v>2024</v>
      </c>
      <c r="R8" s="173">
        <f>R6</f>
        <v>2025</v>
      </c>
      <c r="S8" s="173">
        <f>S6</f>
        <v>2026</v>
      </c>
      <c r="T8" s="172"/>
      <c r="U8" s="851"/>
      <c r="V8" s="171" t="str">
        <f t="shared" ref="V8:AK8" si="14">CONCATENATE(CONCATENATE(V$7," ",V$6))</f>
        <v>Q1 2023</v>
      </c>
      <c r="W8" s="171" t="str">
        <f t="shared" si="14"/>
        <v>Q2 2023</v>
      </c>
      <c r="X8" s="171" t="str">
        <f t="shared" si="14"/>
        <v>Q3 2023</v>
      </c>
      <c r="Y8" s="171" t="str">
        <f t="shared" si="14"/>
        <v>Q4 2023</v>
      </c>
      <c r="Z8" s="171" t="str">
        <f t="shared" si="14"/>
        <v>Q1 2024</v>
      </c>
      <c r="AA8" s="171" t="str">
        <f t="shared" si="14"/>
        <v>Q2 2024</v>
      </c>
      <c r="AB8" s="171" t="str">
        <f t="shared" si="14"/>
        <v>Q3 2024</v>
      </c>
      <c r="AC8" s="171" t="str">
        <f t="shared" si="14"/>
        <v>Q4 2024</v>
      </c>
      <c r="AD8" s="171" t="str">
        <f t="shared" si="14"/>
        <v>Q1 2025</v>
      </c>
      <c r="AE8" s="171" t="str">
        <f t="shared" si="14"/>
        <v>Q2 2025</v>
      </c>
      <c r="AF8" s="171" t="str">
        <f t="shared" si="14"/>
        <v>Q3 2025</v>
      </c>
      <c r="AG8" s="171" t="str">
        <f t="shared" si="14"/>
        <v>Q4 2025</v>
      </c>
      <c r="AH8" s="171" t="str">
        <f t="shared" si="14"/>
        <v>Q1 2026</v>
      </c>
      <c r="AI8" s="171" t="str">
        <f t="shared" si="14"/>
        <v>Q2 2026</v>
      </c>
      <c r="AJ8" s="171" t="str">
        <f t="shared" si="14"/>
        <v>Q3 2026</v>
      </c>
      <c r="AK8" s="171" t="str">
        <f t="shared" si="14"/>
        <v>Q4 2026</v>
      </c>
      <c r="AL8" s="170"/>
      <c r="AM8" s="852"/>
      <c r="AN8" s="169">
        <f t="shared" ref="AN8:BS8" si="15">AN5</f>
        <v>44926</v>
      </c>
      <c r="AO8" s="169">
        <f t="shared" si="15"/>
        <v>44957</v>
      </c>
      <c r="AP8" s="169">
        <f t="shared" si="15"/>
        <v>44985</v>
      </c>
      <c r="AQ8" s="169">
        <f t="shared" si="15"/>
        <v>45016</v>
      </c>
      <c r="AR8" s="169">
        <f t="shared" si="15"/>
        <v>45046</v>
      </c>
      <c r="AS8" s="169">
        <f t="shared" si="15"/>
        <v>45077</v>
      </c>
      <c r="AT8" s="169">
        <f t="shared" si="15"/>
        <v>45107</v>
      </c>
      <c r="AU8" s="169">
        <f t="shared" si="15"/>
        <v>45138</v>
      </c>
      <c r="AV8" s="169">
        <f t="shared" si="15"/>
        <v>45169</v>
      </c>
      <c r="AW8" s="169">
        <f t="shared" si="15"/>
        <v>45199</v>
      </c>
      <c r="AX8" s="169">
        <f t="shared" si="15"/>
        <v>45230</v>
      </c>
      <c r="AY8" s="169">
        <f t="shared" si="15"/>
        <v>45260</v>
      </c>
      <c r="AZ8" s="169">
        <f t="shared" si="15"/>
        <v>45291</v>
      </c>
      <c r="BA8" s="169">
        <f t="shared" si="15"/>
        <v>45322</v>
      </c>
      <c r="BB8" s="169">
        <f t="shared" si="15"/>
        <v>45351</v>
      </c>
      <c r="BC8" s="169">
        <f t="shared" si="15"/>
        <v>45382</v>
      </c>
      <c r="BD8" s="169">
        <f t="shared" si="15"/>
        <v>45412</v>
      </c>
      <c r="BE8" s="169">
        <f t="shared" si="15"/>
        <v>45443</v>
      </c>
      <c r="BF8" s="169">
        <f t="shared" si="15"/>
        <v>45473</v>
      </c>
      <c r="BG8" s="169">
        <f t="shared" si="15"/>
        <v>45504</v>
      </c>
      <c r="BH8" s="169">
        <f t="shared" si="15"/>
        <v>45535</v>
      </c>
      <c r="BI8" s="169">
        <f t="shared" si="15"/>
        <v>45565</v>
      </c>
      <c r="BJ8" s="169">
        <f t="shared" si="15"/>
        <v>45596</v>
      </c>
      <c r="BK8" s="169">
        <f t="shared" si="15"/>
        <v>45626</v>
      </c>
      <c r="BL8" s="169">
        <f t="shared" si="15"/>
        <v>45657</v>
      </c>
      <c r="BM8" s="169">
        <f t="shared" si="15"/>
        <v>45688</v>
      </c>
      <c r="BN8" s="169">
        <f t="shared" si="15"/>
        <v>45716</v>
      </c>
      <c r="BO8" s="169">
        <f t="shared" si="15"/>
        <v>45747</v>
      </c>
      <c r="BP8" s="169">
        <f t="shared" si="15"/>
        <v>45777</v>
      </c>
      <c r="BQ8" s="169">
        <f t="shared" si="15"/>
        <v>45808</v>
      </c>
      <c r="BR8" s="169">
        <f t="shared" si="15"/>
        <v>45838</v>
      </c>
      <c r="BS8" s="169">
        <f t="shared" si="15"/>
        <v>45869</v>
      </c>
      <c r="BT8" s="169">
        <f t="shared" ref="BT8:CJ8" si="16">BT5</f>
        <v>45900</v>
      </c>
      <c r="BU8" s="169">
        <f t="shared" si="16"/>
        <v>45930</v>
      </c>
      <c r="BV8" s="169">
        <f t="shared" si="16"/>
        <v>45961</v>
      </c>
      <c r="BW8" s="169">
        <f t="shared" ref="BW8" si="17">BW5</f>
        <v>45991</v>
      </c>
      <c r="BX8" s="169">
        <f t="shared" si="16"/>
        <v>46022</v>
      </c>
      <c r="BY8" s="169">
        <f t="shared" si="16"/>
        <v>46053</v>
      </c>
      <c r="BZ8" s="169">
        <f t="shared" si="16"/>
        <v>46081</v>
      </c>
      <c r="CA8" s="169">
        <f t="shared" si="16"/>
        <v>46112</v>
      </c>
      <c r="CB8" s="169">
        <f t="shared" si="16"/>
        <v>46142</v>
      </c>
      <c r="CC8" s="169">
        <f t="shared" si="16"/>
        <v>46173</v>
      </c>
      <c r="CD8" s="169">
        <f t="shared" si="16"/>
        <v>46203</v>
      </c>
      <c r="CE8" s="169">
        <f t="shared" si="16"/>
        <v>46234</v>
      </c>
      <c r="CF8" s="169">
        <f t="shared" si="16"/>
        <v>46265</v>
      </c>
      <c r="CG8" s="169">
        <f t="shared" si="16"/>
        <v>46295</v>
      </c>
      <c r="CH8" s="169">
        <f t="shared" si="16"/>
        <v>46326</v>
      </c>
      <c r="CI8" s="169">
        <f t="shared" si="16"/>
        <v>46356</v>
      </c>
      <c r="CJ8" s="169">
        <f t="shared" si="16"/>
        <v>46387</v>
      </c>
    </row>
    <row r="9" spans="1:88" s="290" customFormat="1" ht="24">
      <c r="B9" s="299" t="s">
        <v>53</v>
      </c>
      <c r="C9" s="292"/>
      <c r="D9" s="292"/>
      <c r="E9" s="303"/>
      <c r="F9" s="292"/>
      <c r="G9" s="292"/>
      <c r="H9" s="292"/>
      <c r="I9" s="292"/>
      <c r="J9" s="292"/>
      <c r="K9" s="292"/>
      <c r="L9" s="292"/>
      <c r="M9" s="292"/>
      <c r="N9" s="296"/>
      <c r="O9" s="293"/>
      <c r="P9" s="292"/>
      <c r="Q9" s="292"/>
      <c r="R9" s="292"/>
      <c r="S9" s="292"/>
      <c r="T9" s="295"/>
      <c r="U9" s="293"/>
      <c r="V9" s="292"/>
      <c r="W9" s="292"/>
      <c r="X9" s="292"/>
      <c r="Y9" s="292"/>
      <c r="Z9" s="292"/>
      <c r="AA9" s="292"/>
      <c r="AB9" s="292"/>
      <c r="AC9" s="292"/>
      <c r="AD9" s="292"/>
      <c r="AE9" s="292"/>
      <c r="AF9" s="292"/>
      <c r="AG9" s="292"/>
      <c r="AH9" s="292"/>
      <c r="AI9" s="292"/>
      <c r="AJ9" s="292"/>
      <c r="AK9" s="292"/>
      <c r="AL9" s="294"/>
      <c r="AM9" s="293"/>
      <c r="AN9" s="292"/>
      <c r="AO9" s="291"/>
      <c r="AP9" s="291"/>
      <c r="AQ9" s="291"/>
      <c r="AR9" s="291"/>
      <c r="AS9" s="291"/>
      <c r="AT9" s="291"/>
      <c r="AU9" s="291"/>
      <c r="AV9" s="291"/>
      <c r="AW9" s="291"/>
      <c r="AX9" s="291"/>
      <c r="AY9" s="291"/>
      <c r="AZ9" s="291"/>
      <c r="BA9" s="291"/>
      <c r="BB9" s="291"/>
      <c r="BC9" s="291"/>
      <c r="BD9" s="291"/>
      <c r="BE9" s="291"/>
      <c r="BF9" s="291"/>
      <c r="BG9" s="291"/>
      <c r="BH9" s="291"/>
      <c r="BI9" s="291"/>
      <c r="BJ9" s="291"/>
      <c r="BK9" s="291"/>
      <c r="BL9" s="291"/>
      <c r="BM9" s="291"/>
      <c r="BN9" s="291"/>
      <c r="BO9" s="291"/>
      <c r="BP9" s="291"/>
      <c r="BQ9" s="291"/>
      <c r="BR9" s="291"/>
      <c r="BS9" s="291"/>
      <c r="BT9" s="291"/>
      <c r="BU9" s="291"/>
      <c r="BV9" s="291"/>
      <c r="BW9" s="291"/>
      <c r="BX9" s="291"/>
      <c r="BY9" s="291"/>
      <c r="BZ9" s="291"/>
      <c r="CA9" s="291"/>
      <c r="CB9" s="291"/>
      <c r="CC9" s="291"/>
      <c r="CD9" s="291"/>
      <c r="CE9" s="291"/>
      <c r="CF9" s="291"/>
      <c r="CG9" s="291"/>
      <c r="CH9" s="291"/>
      <c r="CI9" s="291"/>
      <c r="CJ9" s="291"/>
    </row>
    <row r="10" spans="1:88" ht="15" outlineLevel="1">
      <c r="B10" s="284"/>
      <c r="C10" s="283" t="s">
        <v>98</v>
      </c>
      <c r="D10" s="282"/>
      <c r="E10" s="280"/>
      <c r="F10" s="279"/>
      <c r="G10" s="279"/>
      <c r="H10" s="277"/>
      <c r="I10" s="277"/>
      <c r="J10" s="277"/>
      <c r="K10" s="278"/>
      <c r="L10" s="277"/>
      <c r="M10" s="276"/>
      <c r="O10" s="272"/>
      <c r="P10" s="281">
        <f>SUM(P11:P15)</f>
        <v>245523</v>
      </c>
      <c r="Q10" s="281">
        <f>SUM(Q11:Q15)</f>
        <v>594395</v>
      </c>
      <c r="R10" s="281">
        <f>SUM(R11:R15)</f>
        <v>942735.22666666657</v>
      </c>
      <c r="S10" s="281">
        <f>SUM(S11:S15)</f>
        <v>1451330.8333333335</v>
      </c>
      <c r="T10" s="272"/>
      <c r="U10" s="272"/>
      <c r="V10" s="281">
        <f t="shared" ref="V10:AK10" si="18">SUM(V11:V15)</f>
        <v>33100</v>
      </c>
      <c r="W10" s="281">
        <f t="shared" si="18"/>
        <v>44056</v>
      </c>
      <c r="X10" s="281">
        <f t="shared" si="18"/>
        <v>58639</v>
      </c>
      <c r="Y10" s="281">
        <f t="shared" si="18"/>
        <v>109728</v>
      </c>
      <c r="Z10" s="281">
        <f t="shared" si="18"/>
        <v>141336</v>
      </c>
      <c r="AA10" s="281">
        <f t="shared" si="18"/>
        <v>143829</v>
      </c>
      <c r="AB10" s="281">
        <f t="shared" si="18"/>
        <v>148291</v>
      </c>
      <c r="AC10" s="281">
        <f t="shared" si="18"/>
        <v>160939</v>
      </c>
      <c r="AD10" s="281">
        <f t="shared" si="18"/>
        <v>186307.22</v>
      </c>
      <c r="AE10" s="281">
        <f t="shared" si="18"/>
        <v>224373.97</v>
      </c>
      <c r="AF10" s="281">
        <f t="shared" si="18"/>
        <v>274169.37</v>
      </c>
      <c r="AG10" s="281">
        <f t="shared" si="18"/>
        <v>257884.66666666666</v>
      </c>
      <c r="AH10" s="281">
        <f t="shared" si="18"/>
        <v>333317.5</v>
      </c>
      <c r="AI10" s="281">
        <f t="shared" si="18"/>
        <v>373317.5</v>
      </c>
      <c r="AJ10" s="281">
        <f t="shared" si="18"/>
        <v>373317.5</v>
      </c>
      <c r="AK10" s="281">
        <f t="shared" si="18"/>
        <v>371378.33333333337</v>
      </c>
      <c r="AL10" s="287"/>
      <c r="AM10" s="272"/>
      <c r="AN10" s="281">
        <f t="shared" ref="AN10:BS10" si="19">IF(AN$5&lt;=LatestMonthOfActuals,SUMIFS(AN11:AN15,$K11:$K15,"Account"),SUMIFS(AN11:AN15,$K11:$K15,"&lt;&gt;Sub-Account"))</f>
        <v>0</v>
      </c>
      <c r="AO10" s="281">
        <f t="shared" si="19"/>
        <v>10000</v>
      </c>
      <c r="AP10" s="281">
        <f t="shared" si="19"/>
        <v>11000</v>
      </c>
      <c r="AQ10" s="281">
        <f t="shared" si="19"/>
        <v>12100</v>
      </c>
      <c r="AR10" s="281">
        <f t="shared" si="19"/>
        <v>13310</v>
      </c>
      <c r="AS10" s="281">
        <f t="shared" si="19"/>
        <v>14641</v>
      </c>
      <c r="AT10" s="281">
        <f t="shared" si="19"/>
        <v>16105</v>
      </c>
      <c r="AU10" s="281">
        <f t="shared" si="19"/>
        <v>17716</v>
      </c>
      <c r="AV10" s="281">
        <f t="shared" si="19"/>
        <v>19487</v>
      </c>
      <c r="AW10" s="281">
        <f t="shared" si="19"/>
        <v>21436</v>
      </c>
      <c r="AX10" s="281">
        <f t="shared" si="19"/>
        <v>23579</v>
      </c>
      <c r="AY10" s="281">
        <f t="shared" si="19"/>
        <v>46149</v>
      </c>
      <c r="AZ10" s="281">
        <f t="shared" si="19"/>
        <v>40000</v>
      </c>
      <c r="BA10" s="281">
        <f t="shared" si="19"/>
        <v>48456.5</v>
      </c>
      <c r="BB10" s="281">
        <f t="shared" si="19"/>
        <v>42000</v>
      </c>
      <c r="BC10" s="281">
        <f t="shared" si="19"/>
        <v>50879.5</v>
      </c>
      <c r="BD10" s="281">
        <f t="shared" si="19"/>
        <v>44100</v>
      </c>
      <c r="BE10" s="281">
        <f t="shared" si="19"/>
        <v>53424</v>
      </c>
      <c r="BF10" s="281">
        <f t="shared" si="19"/>
        <v>46305</v>
      </c>
      <c r="BG10" s="281">
        <f t="shared" si="19"/>
        <v>48620</v>
      </c>
      <c r="BH10" s="281">
        <f t="shared" si="19"/>
        <v>48620</v>
      </c>
      <c r="BI10" s="281">
        <f t="shared" si="19"/>
        <v>51051</v>
      </c>
      <c r="BJ10" s="281">
        <f t="shared" si="19"/>
        <v>51051</v>
      </c>
      <c r="BK10" s="281">
        <f t="shared" si="19"/>
        <v>53604</v>
      </c>
      <c r="BL10" s="281">
        <f t="shared" si="19"/>
        <v>56284</v>
      </c>
      <c r="BM10" s="281">
        <f t="shared" si="19"/>
        <v>59098.22</v>
      </c>
      <c r="BN10" s="281">
        <f t="shared" si="19"/>
        <v>62053</v>
      </c>
      <c r="BO10" s="281">
        <f t="shared" si="19"/>
        <v>65156</v>
      </c>
      <c r="BP10" s="281">
        <f t="shared" si="19"/>
        <v>68414</v>
      </c>
      <c r="BQ10" s="281">
        <f t="shared" si="19"/>
        <v>71834</v>
      </c>
      <c r="BR10" s="281">
        <f t="shared" si="19"/>
        <v>84125.97</v>
      </c>
      <c r="BS10" s="281">
        <f t="shared" si="19"/>
        <v>85697.26</v>
      </c>
      <c r="BT10" s="281">
        <f t="shared" ref="BT10:CJ10" si="20">IF(BT$5&lt;=LatestMonthOfActuals,SUMIFS(BT11:BT15,$K11:$K15,"Account"),SUMIFS(BT11:BT15,$K11:$K15,"&lt;&gt;Sub-Account"))</f>
        <v>83157.13</v>
      </c>
      <c r="BU10" s="281">
        <f t="shared" si="20"/>
        <v>105314.98</v>
      </c>
      <c r="BV10" s="281">
        <f t="shared" si="20"/>
        <v>101680.73</v>
      </c>
      <c r="BW10" s="281">
        <f t="shared" ref="BW10" si="21">IF(BW$5&lt;=LatestMonthOfActuals,SUMIFS(BW11:BW15,$K11:$K15,"Account"),SUMIFS(BW11:BW15,$K11:$K15,"&lt;&gt;Sub-Account"))</f>
        <v>111764.77</v>
      </c>
      <c r="BX10" s="281">
        <f t="shared" si="20"/>
        <v>44439.166666666664</v>
      </c>
      <c r="BY10" s="281">
        <f t="shared" si="20"/>
        <v>84439.166666666672</v>
      </c>
      <c r="BZ10" s="281">
        <f t="shared" si="20"/>
        <v>124439.16666666667</v>
      </c>
      <c r="CA10" s="281">
        <f t="shared" si="20"/>
        <v>124439.16666666667</v>
      </c>
      <c r="CB10" s="281">
        <f t="shared" si="20"/>
        <v>124439.16666666667</v>
      </c>
      <c r="CC10" s="281">
        <f t="shared" si="20"/>
        <v>124439.16666666667</v>
      </c>
      <c r="CD10" s="281">
        <f t="shared" si="20"/>
        <v>124439.16666666667</v>
      </c>
      <c r="CE10" s="281">
        <f t="shared" si="20"/>
        <v>124439.16666666667</v>
      </c>
      <c r="CF10" s="281">
        <f t="shared" si="20"/>
        <v>124439.16666666667</v>
      </c>
      <c r="CG10" s="281">
        <f t="shared" si="20"/>
        <v>124439.16666666667</v>
      </c>
      <c r="CH10" s="281">
        <f t="shared" si="20"/>
        <v>124439.16666666667</v>
      </c>
      <c r="CI10" s="281">
        <f t="shared" si="20"/>
        <v>124439.16666666667</v>
      </c>
      <c r="CJ10" s="281">
        <f t="shared" si="20"/>
        <v>122500</v>
      </c>
    </row>
    <row r="11" spans="1:88" ht="5.25" customHeight="1" outlineLevel="2">
      <c r="B11" s="284"/>
      <c r="C11" s="283"/>
      <c r="D11" s="288"/>
      <c r="E11" s="280"/>
      <c r="F11" s="279"/>
      <c r="G11" s="279"/>
      <c r="H11" s="277"/>
      <c r="I11" s="277"/>
      <c r="J11" s="277"/>
      <c r="K11" s="278"/>
      <c r="L11" s="277"/>
      <c r="M11" s="276"/>
      <c r="O11" s="272"/>
      <c r="P11" s="289"/>
      <c r="Q11" s="289"/>
      <c r="R11" s="289"/>
      <c r="S11" s="289"/>
      <c r="T11" s="286"/>
      <c r="U11" s="286"/>
      <c r="V11" s="289"/>
      <c r="W11" s="289"/>
      <c r="X11" s="289"/>
      <c r="Y11" s="289"/>
      <c r="Z11" s="289"/>
      <c r="AA11" s="289"/>
      <c r="AB11" s="289"/>
      <c r="AC11" s="289"/>
      <c r="AD11" s="289"/>
      <c r="AE11" s="289"/>
      <c r="AF11" s="289"/>
      <c r="AG11" s="289"/>
      <c r="AH11" s="289"/>
      <c r="AI11" s="289"/>
      <c r="AJ11" s="289"/>
      <c r="AK11" s="289"/>
      <c r="AL11" s="287"/>
      <c r="AM11" s="272"/>
      <c r="AN11" s="286"/>
      <c r="AO11" s="286"/>
      <c r="AP11" s="286"/>
      <c r="AQ11" s="286"/>
      <c r="AR11" s="286"/>
      <c r="AS11" s="286"/>
      <c r="AT11" s="286"/>
      <c r="AU11" s="286"/>
      <c r="AV11" s="286"/>
      <c r="AW11" s="286"/>
      <c r="AX11" s="286"/>
      <c r="AY11" s="286"/>
      <c r="AZ11" s="286"/>
      <c r="BA11" s="286"/>
      <c r="BB11" s="286"/>
      <c r="BC11" s="286"/>
      <c r="BD11" s="286"/>
      <c r="BE11" s="286"/>
      <c r="BF11" s="286"/>
      <c r="BG11" s="286"/>
      <c r="BH11" s="286"/>
      <c r="BI11" s="286"/>
      <c r="BJ11" s="286"/>
      <c r="BK11" s="286"/>
      <c r="BL11" s="286"/>
      <c r="BM11" s="286"/>
      <c r="BN11" s="286"/>
      <c r="BO11" s="286"/>
      <c r="BP11" s="286"/>
      <c r="BQ11" s="286"/>
      <c r="BR11" s="286"/>
      <c r="BS11" s="286"/>
      <c r="BT11" s="286"/>
      <c r="BU11" s="286"/>
      <c r="BV11" s="286"/>
      <c r="BW11" s="286"/>
      <c r="BX11" s="286"/>
      <c r="BY11" s="286"/>
      <c r="BZ11" s="286"/>
      <c r="CA11" s="286"/>
      <c r="CB11" s="286"/>
      <c r="CC11" s="286"/>
      <c r="CD11" s="286"/>
      <c r="CE11" s="286"/>
      <c r="CF11" s="286"/>
      <c r="CG11" s="286"/>
      <c r="CH11" s="286"/>
      <c r="CI11" s="286"/>
      <c r="CJ11" s="286"/>
    </row>
    <row r="12" spans="1:88" ht="15" outlineLevel="2">
      <c r="B12" s="284"/>
      <c r="C12" s="283"/>
      <c r="D12" s="288" t="s">
        <v>219</v>
      </c>
      <c r="E12" s="539" t="s">
        <v>145</v>
      </c>
      <c r="F12" s="332"/>
      <c r="G12" s="332"/>
      <c r="H12" s="277" t="str">
        <f>IFERROR(INDEX(PBC_ACCOUNT_LIST[Drivers Section],MATCH(Drivers!L12,PBC_ACCOUNT_LIST[Id],0)),"")</f>
        <v>Revenue</v>
      </c>
      <c r="I12" s="277" t="str">
        <f>IFERROR(INDEX(PBC_ACCOUNT_LIST[Summary Grouping],MATCH(Drivers!L12,PBC_ACCOUNT_LIST[Id],0)),"")</f>
        <v>Revenue</v>
      </c>
      <c r="J12" s="277">
        <f>IFERROR(INDEX(PBC_ACCOUNT_LIST[Cash Flow Section],MATCH(Drivers!L12,PBC_ACCOUNT_LIST[Id],0)),"")</f>
        <v>0</v>
      </c>
      <c r="K12" s="278" t="s">
        <v>106</v>
      </c>
      <c r="L12" s="277">
        <v>199</v>
      </c>
      <c r="M12" s="276"/>
      <c r="O12" s="272"/>
      <c r="P12" s="289">
        <f t="shared" ref="P12:S14" si="22">SUMIFS($AN12:$CJ12,$AN$4:$CJ$4,"&gt;="&amp;P$4,$AN$5:$CJ$5,"&lt;="&amp;P$5)</f>
        <v>245523</v>
      </c>
      <c r="Q12" s="289">
        <f t="shared" si="22"/>
        <v>594395</v>
      </c>
      <c r="R12" s="289">
        <f t="shared" si="22"/>
        <v>892435.22666666657</v>
      </c>
      <c r="S12" s="289">
        <f t="shared" si="22"/>
        <v>1421330.8333333335</v>
      </c>
      <c r="T12" s="289"/>
      <c r="U12" s="289"/>
      <c r="V12" s="289">
        <f t="shared" ref="V12:AK14" si="23">SUMIFS($AN12:$CJ12,$AN$4:$CJ$4,"&gt;="&amp;V$4,$AN$5:$CJ$5,"&lt;="&amp;V$5)</f>
        <v>33100</v>
      </c>
      <c r="W12" s="289">
        <f t="shared" si="23"/>
        <v>44056</v>
      </c>
      <c r="X12" s="289">
        <f t="shared" si="23"/>
        <v>58639</v>
      </c>
      <c r="Y12" s="289">
        <f t="shared" si="23"/>
        <v>109728</v>
      </c>
      <c r="Z12" s="289">
        <f t="shared" si="23"/>
        <v>141336</v>
      </c>
      <c r="AA12" s="289">
        <f t="shared" si="23"/>
        <v>143829</v>
      </c>
      <c r="AB12" s="289">
        <f t="shared" si="23"/>
        <v>148291</v>
      </c>
      <c r="AC12" s="289">
        <f t="shared" si="23"/>
        <v>160939</v>
      </c>
      <c r="AD12" s="289">
        <f t="shared" si="23"/>
        <v>186307.22</v>
      </c>
      <c r="AE12" s="289">
        <f t="shared" si="23"/>
        <v>224073.97</v>
      </c>
      <c r="AF12" s="289">
        <f t="shared" si="23"/>
        <v>252169.37</v>
      </c>
      <c r="AG12" s="289">
        <f t="shared" si="23"/>
        <v>229884.66666666666</v>
      </c>
      <c r="AH12" s="289">
        <f t="shared" si="23"/>
        <v>325817.5</v>
      </c>
      <c r="AI12" s="289">
        <f t="shared" si="23"/>
        <v>365817.5</v>
      </c>
      <c r="AJ12" s="289">
        <f t="shared" si="23"/>
        <v>365817.5</v>
      </c>
      <c r="AK12" s="289">
        <f t="shared" si="23"/>
        <v>363878.33333333337</v>
      </c>
      <c r="AL12" s="333"/>
      <c r="AM12" s="334"/>
      <c r="AN12" s="289">
        <f>SUMIFS(PBC_PROFIT_AND_LOSS[AccountBalance], PBC_PROFIT_AND_LOSS[Id],$L12,PBC_PROFIT_AND_LOSS[Date],AN$5)</f>
        <v>0</v>
      </c>
      <c r="AO12" s="289">
        <f>SUMIFS(PBC_PROFIT_AND_LOSS[AccountBalance], PBC_PROFIT_AND_LOSS[Id],$L12,PBC_PROFIT_AND_LOSS[Date],AO$5)</f>
        <v>10000</v>
      </c>
      <c r="AP12" s="289">
        <f>SUMIFS(PBC_PROFIT_AND_LOSS[AccountBalance], PBC_PROFIT_AND_LOSS[Id],$L12,PBC_PROFIT_AND_LOSS[Date],AP$5)</f>
        <v>11000</v>
      </c>
      <c r="AQ12" s="289">
        <f>SUMIFS(PBC_PROFIT_AND_LOSS[AccountBalance], PBC_PROFIT_AND_LOSS[Id],$L12,PBC_PROFIT_AND_LOSS[Date],AQ$5)</f>
        <v>12100</v>
      </c>
      <c r="AR12" s="289">
        <f>SUMIFS(PBC_PROFIT_AND_LOSS[AccountBalance], PBC_PROFIT_AND_LOSS[Id],$L12,PBC_PROFIT_AND_LOSS[Date],AR$5)</f>
        <v>13310</v>
      </c>
      <c r="AS12" s="289">
        <f>SUMIFS(PBC_PROFIT_AND_LOSS[AccountBalance], PBC_PROFIT_AND_LOSS[Id],$L12,PBC_PROFIT_AND_LOSS[Date],AS$5)</f>
        <v>14641</v>
      </c>
      <c r="AT12" s="289">
        <f>SUMIFS(PBC_PROFIT_AND_LOSS[AccountBalance], PBC_PROFIT_AND_LOSS[Id],$L12,PBC_PROFIT_AND_LOSS[Date],AT$5)</f>
        <v>16105</v>
      </c>
      <c r="AU12" s="289">
        <f>SUMIFS(PBC_PROFIT_AND_LOSS[AccountBalance], PBC_PROFIT_AND_LOSS[Id],$L12,PBC_PROFIT_AND_LOSS[Date],AU$5)</f>
        <v>17716</v>
      </c>
      <c r="AV12" s="289">
        <f>SUMIFS(PBC_PROFIT_AND_LOSS[AccountBalance], PBC_PROFIT_AND_LOSS[Id],$L12,PBC_PROFIT_AND_LOSS[Date],AV$5)</f>
        <v>19487</v>
      </c>
      <c r="AW12" s="289">
        <f>SUMIFS(PBC_PROFIT_AND_LOSS[AccountBalance], PBC_PROFIT_AND_LOSS[Id],$L12,PBC_PROFIT_AND_LOSS[Date],AW$5)</f>
        <v>21436</v>
      </c>
      <c r="AX12" s="289">
        <f>SUMIFS(PBC_PROFIT_AND_LOSS[AccountBalance], PBC_PROFIT_AND_LOSS[Id],$L12,PBC_PROFIT_AND_LOSS[Date],AX$5)</f>
        <v>23579</v>
      </c>
      <c r="AY12" s="289">
        <f>SUMIFS(PBC_PROFIT_AND_LOSS[AccountBalance], PBC_PROFIT_AND_LOSS[Id],$L12,PBC_PROFIT_AND_LOSS[Date],AY$5)</f>
        <v>46149</v>
      </c>
      <c r="AZ12" s="289">
        <f>SUMIFS(PBC_PROFIT_AND_LOSS[AccountBalance], PBC_PROFIT_AND_LOSS[Id],$L12,PBC_PROFIT_AND_LOSS[Date],AZ$5)</f>
        <v>40000</v>
      </c>
      <c r="BA12" s="289">
        <f>SUMIFS(PBC_PROFIT_AND_LOSS[AccountBalance], PBC_PROFIT_AND_LOSS[Id],$L12,PBC_PROFIT_AND_LOSS[Date],BA$5)</f>
        <v>48456.5</v>
      </c>
      <c r="BB12" s="289">
        <f>SUMIFS(PBC_PROFIT_AND_LOSS[AccountBalance], PBC_PROFIT_AND_LOSS[Id],$L12,PBC_PROFIT_AND_LOSS[Date],BB$5)</f>
        <v>42000</v>
      </c>
      <c r="BC12" s="289">
        <f>SUMIFS(PBC_PROFIT_AND_LOSS[AccountBalance], PBC_PROFIT_AND_LOSS[Id],$L12,PBC_PROFIT_AND_LOSS[Date],BC$5)</f>
        <v>50879.5</v>
      </c>
      <c r="BD12" s="289">
        <f>SUMIFS(PBC_PROFIT_AND_LOSS[AccountBalance], PBC_PROFIT_AND_LOSS[Id],$L12,PBC_PROFIT_AND_LOSS[Date],BD$5)</f>
        <v>44100</v>
      </c>
      <c r="BE12" s="289">
        <f>SUMIFS(PBC_PROFIT_AND_LOSS[AccountBalance], PBC_PROFIT_AND_LOSS[Id],$L12,PBC_PROFIT_AND_LOSS[Date],BE$5)</f>
        <v>53424</v>
      </c>
      <c r="BF12" s="289">
        <f>SUMIFS(PBC_PROFIT_AND_LOSS[AccountBalance], PBC_PROFIT_AND_LOSS[Id],$L12,PBC_PROFIT_AND_LOSS[Date],BF$5)</f>
        <v>46305</v>
      </c>
      <c r="BG12" s="289">
        <f>SUMIFS(PBC_PROFIT_AND_LOSS[AccountBalance], PBC_PROFIT_AND_LOSS[Id],$L12,PBC_PROFIT_AND_LOSS[Date],BG$5)</f>
        <v>48620</v>
      </c>
      <c r="BH12" s="289">
        <f>SUMIFS(PBC_PROFIT_AND_LOSS[AccountBalance], PBC_PROFIT_AND_LOSS[Id],$L12,PBC_PROFIT_AND_LOSS[Date],BH$5)</f>
        <v>48620</v>
      </c>
      <c r="BI12" s="289">
        <f>SUMIFS(PBC_PROFIT_AND_LOSS[AccountBalance], PBC_PROFIT_AND_LOSS[Id],$L12,PBC_PROFIT_AND_LOSS[Date],BI$5)</f>
        <v>51051</v>
      </c>
      <c r="BJ12" s="289">
        <f>SUMIFS(PBC_PROFIT_AND_LOSS[AccountBalance], PBC_PROFIT_AND_LOSS[Id],$L12,PBC_PROFIT_AND_LOSS[Date],BJ$5)</f>
        <v>51051</v>
      </c>
      <c r="BK12" s="289">
        <f>SUMIFS(PBC_PROFIT_AND_LOSS[AccountBalance], PBC_PROFIT_AND_LOSS[Id],$L12,PBC_PROFIT_AND_LOSS[Date],BK$5)</f>
        <v>53604</v>
      </c>
      <c r="BL12" s="289">
        <f>SUMIFS(PBC_PROFIT_AND_LOSS[AccountBalance], PBC_PROFIT_AND_LOSS[Id],$L12,PBC_PROFIT_AND_LOSS[Date],BL$5)</f>
        <v>56284</v>
      </c>
      <c r="BM12" s="289">
        <f>SUMIFS(PBC_PROFIT_AND_LOSS[AccountBalance], PBC_PROFIT_AND_LOSS[Id],$L12,PBC_PROFIT_AND_LOSS[Date],BM$5)</f>
        <v>59098.22</v>
      </c>
      <c r="BN12" s="289">
        <f>SUMIFS(PBC_PROFIT_AND_LOSS[AccountBalance], PBC_PROFIT_AND_LOSS[Id],$L12,PBC_PROFIT_AND_LOSS[Date],BN$5)</f>
        <v>62053</v>
      </c>
      <c r="BO12" s="289">
        <f>SUMIFS(PBC_PROFIT_AND_LOSS[AccountBalance], PBC_PROFIT_AND_LOSS[Id],$L12,PBC_PROFIT_AND_LOSS[Date],BO$5)</f>
        <v>65156</v>
      </c>
      <c r="BP12" s="289">
        <f>SUMIFS(PBC_PROFIT_AND_LOSS[AccountBalance], PBC_PROFIT_AND_LOSS[Id],$L12,PBC_PROFIT_AND_LOSS[Date],BP$5)</f>
        <v>68414</v>
      </c>
      <c r="BQ12" s="289">
        <f>SUMIFS(PBC_PROFIT_AND_LOSS[AccountBalance], PBC_PROFIT_AND_LOSS[Id],$L12,PBC_PROFIT_AND_LOSS[Date],BQ$5)</f>
        <v>71834</v>
      </c>
      <c r="BR12" s="289">
        <f>SUMIFS(PBC_PROFIT_AND_LOSS[AccountBalance], PBC_PROFIT_AND_LOSS[Id],$L12,PBC_PROFIT_AND_LOSS[Date],BR$5)</f>
        <v>83825.97</v>
      </c>
      <c r="BS12" s="289">
        <f>SUMIFS(PBC_PROFIT_AND_LOSS[AccountBalance], PBC_PROFIT_AND_LOSS[Id],$L12,PBC_PROFIT_AND_LOSS[Date],BS$5)</f>
        <v>81697.259999999995</v>
      </c>
      <c r="BT12" s="289">
        <f>SUMIFS(PBC_PROFIT_AND_LOSS[AccountBalance], PBC_PROFIT_AND_LOSS[Id],$L12,PBC_PROFIT_AND_LOSS[Date],BT$5)</f>
        <v>83157.13</v>
      </c>
      <c r="BU12" s="289">
        <f>SUMIFS(PBC_PROFIT_AND_LOSS[AccountBalance], PBC_PROFIT_AND_LOSS[Id],$L12,PBC_PROFIT_AND_LOSS[Date],BU$5)</f>
        <v>87314.98</v>
      </c>
      <c r="BV12" s="289">
        <f>SUMIFS(PBC_PROFIT_AND_LOSS[AccountBalance], PBC_PROFIT_AND_LOSS[Id],$L12,PBC_PROFIT_AND_LOSS[Date],BV$5)</f>
        <v>91680.73</v>
      </c>
      <c r="BW12" s="289">
        <f>SUMIFS(PBC_PROFIT_AND_LOSS[AccountBalance], PBC_PROFIT_AND_LOSS[Id],$L12,PBC_PROFIT_AND_LOSS[Date],BW$5)</f>
        <v>96264.77</v>
      </c>
      <c r="BX12" s="541">
        <f>SUMIFS('Deferred Revenue'!BN$155:BN$157,'Deferred Revenue'!$E$155:$E$157,$L12)</f>
        <v>41939.166666666664</v>
      </c>
      <c r="BY12" s="541">
        <f>SUMIFS('Deferred Revenue'!BO$155:BO$157,'Deferred Revenue'!$E$155:$E$157,$L12)</f>
        <v>81939.166666666672</v>
      </c>
      <c r="BZ12" s="541">
        <f>SUMIFS('Deferred Revenue'!BP$155:BP$157,'Deferred Revenue'!$E$155:$E$157,$L12)</f>
        <v>121939.16666666667</v>
      </c>
      <c r="CA12" s="541">
        <f>SUMIFS('Deferred Revenue'!BQ$155:BQ$157,'Deferred Revenue'!$E$155:$E$157,$L12)</f>
        <v>121939.16666666667</v>
      </c>
      <c r="CB12" s="541">
        <f>SUMIFS('Deferred Revenue'!BR$155:BR$157,'Deferred Revenue'!$E$155:$E$157,$L12)</f>
        <v>121939.16666666667</v>
      </c>
      <c r="CC12" s="541">
        <f>SUMIFS('Deferred Revenue'!BS$155:BS$157,'Deferred Revenue'!$E$155:$E$157,$L12)</f>
        <v>121939.16666666667</v>
      </c>
      <c r="CD12" s="541">
        <f>SUMIFS('Deferred Revenue'!BT$155:BT$157,'Deferred Revenue'!$E$155:$E$157,$L12)</f>
        <v>121939.16666666667</v>
      </c>
      <c r="CE12" s="541">
        <f>SUMIFS('Deferred Revenue'!BU$155:BU$157,'Deferred Revenue'!$E$155:$E$157,$L12)</f>
        <v>121939.16666666667</v>
      </c>
      <c r="CF12" s="541">
        <f>SUMIFS('Deferred Revenue'!BV$155:BV$157,'Deferred Revenue'!$E$155:$E$157,$L12)</f>
        <v>121939.16666666667</v>
      </c>
      <c r="CG12" s="541">
        <f>SUMIFS('Deferred Revenue'!BW$155:BW$157,'Deferred Revenue'!$E$155:$E$157,$L12)</f>
        <v>121939.16666666667</v>
      </c>
      <c r="CH12" s="541">
        <f>SUMIFS('Deferred Revenue'!BX$155:BX$157,'Deferred Revenue'!$E$155:$E$157,$L12)</f>
        <v>121939.16666666667</v>
      </c>
      <c r="CI12" s="541">
        <f>SUMIFS('Deferred Revenue'!BY$155:BY$157,'Deferred Revenue'!$E$155:$E$157,$L12)</f>
        <v>121939.16666666667</v>
      </c>
      <c r="CJ12" s="541">
        <f>SUMIFS('Deferred Revenue'!BZ$155:BZ$157,'Deferred Revenue'!$E$155:$E$157,$L12)</f>
        <v>120000</v>
      </c>
    </row>
    <row r="13" spans="1:88" ht="15" outlineLevel="2">
      <c r="B13" s="284"/>
      <c r="C13" s="283"/>
      <c r="D13" s="288" t="s">
        <v>220</v>
      </c>
      <c r="E13" s="280" t="s">
        <v>158</v>
      </c>
      <c r="F13" s="332">
        <v>0.05</v>
      </c>
      <c r="G13" s="332"/>
      <c r="H13" s="277" t="str">
        <f>IFERROR(INDEX(PBC_ACCOUNT_LIST[Drivers Section],MATCH(Drivers!L13,PBC_ACCOUNT_LIST[Id],0)),"")</f>
        <v>Revenue</v>
      </c>
      <c r="I13" s="277" t="str">
        <f>IFERROR(INDEX(PBC_ACCOUNT_LIST[Summary Grouping],MATCH(Drivers!L13,PBC_ACCOUNT_LIST[Id],0)),"")</f>
        <v>Revenue</v>
      </c>
      <c r="J13" s="277">
        <f>IFERROR(INDEX(PBC_ACCOUNT_LIST[Cash Flow Section],MATCH(Drivers!L13,PBC_ACCOUNT_LIST[Id],0)),"")</f>
        <v>0</v>
      </c>
      <c r="K13" s="278" t="s">
        <v>106</v>
      </c>
      <c r="L13" s="277">
        <v>73</v>
      </c>
      <c r="M13" s="276"/>
      <c r="O13" s="272"/>
      <c r="P13" s="289">
        <f t="shared" si="22"/>
        <v>0</v>
      </c>
      <c r="Q13" s="289">
        <f t="shared" si="22"/>
        <v>0</v>
      </c>
      <c r="R13" s="289">
        <f t="shared" si="22"/>
        <v>300</v>
      </c>
      <c r="S13" s="289">
        <f t="shared" si="22"/>
        <v>0</v>
      </c>
      <c r="T13" s="289"/>
      <c r="U13" s="289"/>
      <c r="V13" s="289">
        <f t="shared" si="23"/>
        <v>0</v>
      </c>
      <c r="W13" s="289">
        <f t="shared" si="23"/>
        <v>0</v>
      </c>
      <c r="X13" s="289">
        <f t="shared" si="23"/>
        <v>0</v>
      </c>
      <c r="Y13" s="289">
        <f t="shared" si="23"/>
        <v>0</v>
      </c>
      <c r="Z13" s="289">
        <f t="shared" si="23"/>
        <v>0</v>
      </c>
      <c r="AA13" s="289">
        <f t="shared" si="23"/>
        <v>0</v>
      </c>
      <c r="AB13" s="289">
        <f t="shared" si="23"/>
        <v>0</v>
      </c>
      <c r="AC13" s="289">
        <f t="shared" si="23"/>
        <v>0</v>
      </c>
      <c r="AD13" s="289">
        <f t="shared" si="23"/>
        <v>0</v>
      </c>
      <c r="AE13" s="289">
        <f t="shared" si="23"/>
        <v>300</v>
      </c>
      <c r="AF13" s="289">
        <f t="shared" si="23"/>
        <v>0</v>
      </c>
      <c r="AG13" s="289">
        <f t="shared" si="23"/>
        <v>0</v>
      </c>
      <c r="AH13" s="289">
        <f t="shared" si="23"/>
        <v>0</v>
      </c>
      <c r="AI13" s="289">
        <f t="shared" si="23"/>
        <v>0</v>
      </c>
      <c r="AJ13" s="289">
        <f t="shared" si="23"/>
        <v>0</v>
      </c>
      <c r="AK13" s="289">
        <f t="shared" si="23"/>
        <v>0</v>
      </c>
      <c r="AL13" s="333"/>
      <c r="AM13" s="334"/>
      <c r="AN13" s="289">
        <f>SUMIFS(PBC_PROFIT_AND_LOSS[AccountBalance], PBC_PROFIT_AND_LOSS[Id],$L13,PBC_PROFIT_AND_LOSS[Date],AN$5)</f>
        <v>0</v>
      </c>
      <c r="AO13" s="289">
        <f>SUMIFS(PBC_PROFIT_AND_LOSS[AccountBalance], PBC_PROFIT_AND_LOSS[Id],$L13,PBC_PROFIT_AND_LOSS[Date],AO$5)</f>
        <v>0</v>
      </c>
      <c r="AP13" s="289">
        <f>SUMIFS(PBC_PROFIT_AND_LOSS[AccountBalance], PBC_PROFIT_AND_LOSS[Id],$L13,PBC_PROFIT_AND_LOSS[Date],AP$5)</f>
        <v>0</v>
      </c>
      <c r="AQ13" s="289">
        <f>SUMIFS(PBC_PROFIT_AND_LOSS[AccountBalance], PBC_PROFIT_AND_LOSS[Id],$L13,PBC_PROFIT_AND_LOSS[Date],AQ$5)</f>
        <v>0</v>
      </c>
      <c r="AR13" s="289">
        <f>SUMIFS(PBC_PROFIT_AND_LOSS[AccountBalance], PBC_PROFIT_AND_LOSS[Id],$L13,PBC_PROFIT_AND_LOSS[Date],AR$5)</f>
        <v>0</v>
      </c>
      <c r="AS13" s="289">
        <f>SUMIFS(PBC_PROFIT_AND_LOSS[AccountBalance], PBC_PROFIT_AND_LOSS[Id],$L13,PBC_PROFIT_AND_LOSS[Date],AS$5)</f>
        <v>0</v>
      </c>
      <c r="AT13" s="289">
        <f>SUMIFS(PBC_PROFIT_AND_LOSS[AccountBalance], PBC_PROFIT_AND_LOSS[Id],$L13,PBC_PROFIT_AND_LOSS[Date],AT$5)</f>
        <v>0</v>
      </c>
      <c r="AU13" s="289">
        <f>SUMIFS(PBC_PROFIT_AND_LOSS[AccountBalance], PBC_PROFIT_AND_LOSS[Id],$L13,PBC_PROFIT_AND_LOSS[Date],AU$5)</f>
        <v>0</v>
      </c>
      <c r="AV13" s="289">
        <f>SUMIFS(PBC_PROFIT_AND_LOSS[AccountBalance], PBC_PROFIT_AND_LOSS[Id],$L13,PBC_PROFIT_AND_LOSS[Date],AV$5)</f>
        <v>0</v>
      </c>
      <c r="AW13" s="289">
        <f>SUMIFS(PBC_PROFIT_AND_LOSS[AccountBalance], PBC_PROFIT_AND_LOSS[Id],$L13,PBC_PROFIT_AND_LOSS[Date],AW$5)</f>
        <v>0</v>
      </c>
      <c r="AX13" s="289">
        <f>SUMIFS(PBC_PROFIT_AND_LOSS[AccountBalance], PBC_PROFIT_AND_LOSS[Id],$L13,PBC_PROFIT_AND_LOSS[Date],AX$5)</f>
        <v>0</v>
      </c>
      <c r="AY13" s="289">
        <f>SUMIFS(PBC_PROFIT_AND_LOSS[AccountBalance], PBC_PROFIT_AND_LOSS[Id],$L13,PBC_PROFIT_AND_LOSS[Date],AY$5)</f>
        <v>0</v>
      </c>
      <c r="AZ13" s="289">
        <f>SUMIFS(PBC_PROFIT_AND_LOSS[AccountBalance], PBC_PROFIT_AND_LOSS[Id],$L13,PBC_PROFIT_AND_LOSS[Date],AZ$5)</f>
        <v>0</v>
      </c>
      <c r="BA13" s="289">
        <f>SUMIFS(PBC_PROFIT_AND_LOSS[AccountBalance], PBC_PROFIT_AND_LOSS[Id],$L13,PBC_PROFIT_AND_LOSS[Date],BA$5)</f>
        <v>0</v>
      </c>
      <c r="BB13" s="289">
        <f>SUMIFS(PBC_PROFIT_AND_LOSS[AccountBalance], PBC_PROFIT_AND_LOSS[Id],$L13,PBC_PROFIT_AND_LOSS[Date],BB$5)</f>
        <v>0</v>
      </c>
      <c r="BC13" s="289">
        <f>SUMIFS(PBC_PROFIT_AND_LOSS[AccountBalance], PBC_PROFIT_AND_LOSS[Id],$L13,PBC_PROFIT_AND_LOSS[Date],BC$5)</f>
        <v>0</v>
      </c>
      <c r="BD13" s="289">
        <f>SUMIFS(PBC_PROFIT_AND_LOSS[AccountBalance], PBC_PROFIT_AND_LOSS[Id],$L13,PBC_PROFIT_AND_LOSS[Date],BD$5)</f>
        <v>0</v>
      </c>
      <c r="BE13" s="289">
        <f>SUMIFS(PBC_PROFIT_AND_LOSS[AccountBalance], PBC_PROFIT_AND_LOSS[Id],$L13,PBC_PROFIT_AND_LOSS[Date],BE$5)</f>
        <v>0</v>
      </c>
      <c r="BF13" s="289">
        <f>SUMIFS(PBC_PROFIT_AND_LOSS[AccountBalance], PBC_PROFIT_AND_LOSS[Id],$L13,PBC_PROFIT_AND_LOSS[Date],BF$5)</f>
        <v>0</v>
      </c>
      <c r="BG13" s="289">
        <f>SUMIFS(PBC_PROFIT_AND_LOSS[AccountBalance], PBC_PROFIT_AND_LOSS[Id],$L13,PBC_PROFIT_AND_LOSS[Date],BG$5)</f>
        <v>0</v>
      </c>
      <c r="BH13" s="289">
        <f>SUMIFS(PBC_PROFIT_AND_LOSS[AccountBalance], PBC_PROFIT_AND_LOSS[Id],$L13,PBC_PROFIT_AND_LOSS[Date],BH$5)</f>
        <v>0</v>
      </c>
      <c r="BI13" s="289">
        <f>SUMIFS(PBC_PROFIT_AND_LOSS[AccountBalance], PBC_PROFIT_AND_LOSS[Id],$L13,PBC_PROFIT_AND_LOSS[Date],BI$5)</f>
        <v>0</v>
      </c>
      <c r="BJ13" s="289">
        <f>SUMIFS(PBC_PROFIT_AND_LOSS[AccountBalance], PBC_PROFIT_AND_LOSS[Id],$L13,PBC_PROFIT_AND_LOSS[Date],BJ$5)</f>
        <v>0</v>
      </c>
      <c r="BK13" s="289">
        <f>SUMIFS(PBC_PROFIT_AND_LOSS[AccountBalance], PBC_PROFIT_AND_LOSS[Id],$L13,PBC_PROFIT_AND_LOSS[Date],BK$5)</f>
        <v>0</v>
      </c>
      <c r="BL13" s="289">
        <f>SUMIFS(PBC_PROFIT_AND_LOSS[AccountBalance], PBC_PROFIT_AND_LOSS[Id],$L13,PBC_PROFIT_AND_LOSS[Date],BL$5)</f>
        <v>0</v>
      </c>
      <c r="BM13" s="289">
        <f>SUMIFS(PBC_PROFIT_AND_LOSS[AccountBalance], PBC_PROFIT_AND_LOSS[Id],$L13,PBC_PROFIT_AND_LOSS[Date],BM$5)</f>
        <v>0</v>
      </c>
      <c r="BN13" s="289">
        <f>SUMIFS(PBC_PROFIT_AND_LOSS[AccountBalance], PBC_PROFIT_AND_LOSS[Id],$L13,PBC_PROFIT_AND_LOSS[Date],BN$5)</f>
        <v>0</v>
      </c>
      <c r="BO13" s="289">
        <f>SUMIFS(PBC_PROFIT_AND_LOSS[AccountBalance], PBC_PROFIT_AND_LOSS[Id],$L13,PBC_PROFIT_AND_LOSS[Date],BO$5)</f>
        <v>0</v>
      </c>
      <c r="BP13" s="289">
        <f>SUMIFS(PBC_PROFIT_AND_LOSS[AccountBalance], PBC_PROFIT_AND_LOSS[Id],$L13,PBC_PROFIT_AND_LOSS[Date],BP$5)</f>
        <v>0</v>
      </c>
      <c r="BQ13" s="289">
        <f>SUMIFS(PBC_PROFIT_AND_LOSS[AccountBalance], PBC_PROFIT_AND_LOSS[Id],$L13,PBC_PROFIT_AND_LOSS[Date],BQ$5)</f>
        <v>0</v>
      </c>
      <c r="BR13" s="289">
        <f>SUMIFS(PBC_PROFIT_AND_LOSS[AccountBalance], PBC_PROFIT_AND_LOSS[Id],$L13,PBC_PROFIT_AND_LOSS[Date],BR$5)</f>
        <v>300</v>
      </c>
      <c r="BS13" s="289">
        <f>SUMIFS(PBC_PROFIT_AND_LOSS[AccountBalance], PBC_PROFIT_AND_LOSS[Id],$L13,PBC_PROFIT_AND_LOSS[Date],BS$5)</f>
        <v>0</v>
      </c>
      <c r="BT13" s="289">
        <f>SUMIFS(PBC_PROFIT_AND_LOSS[AccountBalance], PBC_PROFIT_AND_LOSS[Id],$L13,PBC_PROFIT_AND_LOSS[Date],BT$5)</f>
        <v>0</v>
      </c>
      <c r="BU13" s="289">
        <f>SUMIFS(PBC_PROFIT_AND_LOSS[AccountBalance], PBC_PROFIT_AND_LOSS[Id],$L13,PBC_PROFIT_AND_LOSS[Date],BU$5)</f>
        <v>0</v>
      </c>
      <c r="BV13" s="289">
        <f>SUMIFS(PBC_PROFIT_AND_LOSS[AccountBalance], PBC_PROFIT_AND_LOSS[Id],$L13,PBC_PROFIT_AND_LOSS[Date],BV$5)</f>
        <v>0</v>
      </c>
      <c r="BW13" s="289">
        <f>SUMIFS(PBC_PROFIT_AND_LOSS[AccountBalance], PBC_PROFIT_AND_LOSS[Id],$L13,PBC_PROFIT_AND_LOSS[Date],BW$5)</f>
        <v>0</v>
      </c>
      <c r="BX13" s="335" cm="1">
        <f t="array" ref="BX13">_xlfn.SWITCH(
    $E13,
    "3 month avg", AVERAGE(BU13:BW13) * (1 + $F13),
    "6 month avg", AVERAGE(BR13:BW13) * (1 + $F13),
    "12 month avg", AVERAGE(BM13:BW13) * (1 + $F13),
    "Prior Month",BW13* (1 + $F13),
    "Prior Year", BL13* (1 + $F13),
    "Monthly assumption",$G13* (1 + $F13),
    "Quarterly assumption",$G13/3* (1 + $F13),
    "Annual assumption",$G13/12* (1 + $F13),
    "Custom",0,
    "0",0,
        0
)</f>
        <v>0</v>
      </c>
      <c r="BY13" s="335" cm="1">
        <f t="array" ref="BY13">_xlfn.SWITCH(
    $E13,
    "3 month avg", AVERAGE(BV13:BX13) * (1 + $F13),
    "6 month avg", AVERAGE(BS13:BX13) * (1 + $F13),
    "12 month avg", AVERAGE(BN13:BX13) * (1 + $F13),
    "Prior Month",BX13* (1 + $F13),
    "Prior Year", BM13* (1 + $F13),
    "Monthly assumption",$G13* (1 + $F13),
    "Quarterly assumption",$G13/3* (1 + $F13),
    "Annual assumption",$G13/12* (1 + $F13),
    "Custom",0,
    "0",0,
        0
)</f>
        <v>0</v>
      </c>
      <c r="BZ13" s="335" cm="1">
        <f t="array" ref="BZ13">_xlfn.SWITCH(
    $E13,
    "3 month avg", AVERAGE(BW13:BY13) * (1 + $F13),
    "6 month avg", AVERAGE(BT13:BY13) * (1 + $F13),
    "12 month avg", AVERAGE(BO13:BY13) * (1 + $F13),
    "Prior Month",BY13* (1 + $F13),
    "Prior Year", BN13* (1 + $F13),
    "Monthly assumption",$G13* (1 + $F13),
    "Quarterly assumption",$G13/3* (1 + $F13),
    "Annual assumption",$G13/12* (1 + $F13),
    "Custom",0,
    "0",0,
        0
)</f>
        <v>0</v>
      </c>
      <c r="CA13" s="335" cm="1">
        <f t="array" ref="CA13">_xlfn.SWITCH(
    $E13,
    "3 month avg", AVERAGE(BX13:BZ13) * (1 + $F13),
    "6 month avg", AVERAGE(BU13:BZ13) * (1 + $F13),
    "12 month avg", AVERAGE(BP13:BZ13) * (1 + $F13),
    "Prior Month",BZ13* (1 + $F13),
    "Prior Year", BO13* (1 + $F13),
    "Monthly assumption",$G13* (1 + $F13),
    "Quarterly assumption",$G13/3* (1 + $F13),
    "Annual assumption",$G13/12* (1 + $F13),
    "Custom",0,
    "0",0,
        0
)</f>
        <v>0</v>
      </c>
      <c r="CB13" s="335" cm="1">
        <f t="array" ref="CB13">_xlfn.SWITCH(
    $E13,
    "3 month avg", AVERAGE(BY13:CA13) * (1 + $F13),
    "6 month avg", AVERAGE(BV13:CA13) * (1 + $F13),
    "12 month avg", AVERAGE(BQ13:CA13) * (1 + $F13),
    "Prior Month",CA13* (1 + $F13),
    "Prior Year", BP13* (1 + $F13),
    "Monthly assumption",$G13* (1 + $F13),
    "Quarterly assumption",$G13/3* (1 + $F13),
    "Annual assumption",$G13/12* (1 + $F13),
    "Custom",0,
    "0",0,
        0
)</f>
        <v>0</v>
      </c>
      <c r="CC13" s="335" cm="1">
        <f t="array" ref="CC13">_xlfn.SWITCH(
    $E13,
    "3 month avg", AVERAGE(BZ13:CB13) * (1 + $F13),
    "6 month avg", AVERAGE(BW13:CB13) * (1 + $F13),
    "12 month avg", AVERAGE(BR13:CB13) * (1 + $F13),
    "Prior Month",CB13* (1 + $F13),
    "Prior Year", BQ13* (1 + $F13),
    "Monthly assumption",$G13* (1 + $F13),
    "Quarterly assumption",$G13/3* (1 + $F13),
    "Annual assumption",$G13/12* (1 + $F13),
    "Custom",0,
    "0",0,
        0
)</f>
        <v>0</v>
      </c>
      <c r="CD13" s="335" cm="1">
        <f t="array" ref="CD13">_xlfn.SWITCH(
    $E13,
    "3 month avg", AVERAGE(CA13:CC13) * (1 + $F13),
    "6 month avg", AVERAGE(BX13:CC13) * (1 + $F13),
    "12 month avg", AVERAGE(BS13:CC13) * (1 + $F13),
    "Prior Month",CC13* (1 + $F13),
    "Prior Year", BR13* (1 + $F13),
    "Monthly assumption",$G13* (1 + $F13),
    "Quarterly assumption",$G13/3* (1 + $F13),
    "Annual assumption",$G13/12* (1 + $F13),
    "Custom",0,
    "0",0,
        0
)</f>
        <v>0</v>
      </c>
      <c r="CE13" s="335" cm="1">
        <f t="array" ref="CE13">_xlfn.SWITCH(
    $E13,
    "3 month avg", AVERAGE(CB13:CD13) * (1 + $F13),
    "6 month avg", AVERAGE(BY13:CD13) * (1 + $F13),
    "12 month avg", AVERAGE(BT13:CD13) * (1 + $F13),
    "Prior Month",CD13* (1 + $F13),
    "Prior Year", BS13* (1 + $F13),
    "Monthly assumption",$G13* (1 + $F13),
    "Quarterly assumption",$G13/3* (1 + $F13),
    "Annual assumption",$G13/12* (1 + $F13),
    "Custom",0,
    "0",0,
        0
)</f>
        <v>0</v>
      </c>
      <c r="CF13" s="335" cm="1">
        <f t="array" ref="CF13">_xlfn.SWITCH(
    $E13,
    "3 month avg", AVERAGE(CC13:CE13) * (1 + $F13),
    "6 month avg", AVERAGE(BZ13:CE13) * (1 + $F13),
    "12 month avg", AVERAGE(BU13:CE13) * (1 + $F13),
    "Prior Month",CE13* (1 + $F13),
    "Prior Year", BT13* (1 + $F13),
    "Monthly assumption",$G13* (1 + $F13),
    "Quarterly assumption",$G13/3* (1 + $F13),
    "Annual assumption",$G13/12* (1 + $F13),
    "Custom",0,
    "0",0,
        0
)</f>
        <v>0</v>
      </c>
      <c r="CG13" s="335" cm="1">
        <f t="array" ref="CG13">_xlfn.SWITCH(
    $E13,
    "3 month avg", AVERAGE(CD13:CF13) * (1 + $F13),
    "6 month avg", AVERAGE(CA13:CF13) * (1 + $F13),
    "12 month avg", AVERAGE(BV13:CF13) * (1 + $F13),
    "Prior Month",CF13* (1 + $F13),
    "Prior Year", BU13* (1 + $F13),
    "Monthly assumption",$G13* (1 + $F13),
    "Quarterly assumption",$G13/3* (1 + $F13),
    "Annual assumption",$G13/12* (1 + $F13),
    "Custom",0,
    "0",0,
        0
)</f>
        <v>0</v>
      </c>
      <c r="CH13" s="335" cm="1">
        <f t="array" ref="CH13">_xlfn.SWITCH(
    $E13,
    "3 month avg", AVERAGE(CE13:CG13) * (1 + $F13),
    "6 month avg", AVERAGE(CB13:CG13) * (1 + $F13),
    "12 month avg", AVERAGE(BW13:CG13) * (1 + $F13),
    "Prior Month",CG13* (1 + $F13),
    "Prior Year", BV13* (1 + $F13),
    "Monthly assumption",$G13* (1 + $F13),
    "Quarterly assumption",$G13/3* (1 + $F13),
    "Annual assumption",$G13/12* (1 + $F13),
    "Custom",0,
    "0",0,
        0
)</f>
        <v>0</v>
      </c>
      <c r="CI13" s="335" cm="1">
        <f t="array" ref="CI13">_xlfn.SWITCH(
    $E13,
    "3 month avg", AVERAGE(CF13:CH13) * (1 + $F13),
    "6 month avg", AVERAGE(CC13:CH13) * (1 + $F13),
    "12 month avg", AVERAGE(BX13:CH13) * (1 + $F13),
    "Prior Month",CH13* (1 + $F13),
    "Prior Year", BW13* (1 + $F13),
    "Monthly assumption",$G13* (1 + $F13),
    "Quarterly assumption",$G13/3* (1 + $F13),
    "Annual assumption",$G13/12* (1 + $F13),
    "Custom",0,
    "0",0,
        0
)</f>
        <v>0</v>
      </c>
      <c r="CJ13" s="335" cm="1">
        <f t="array" ref="CJ13">_xlfn.SWITCH(
    $E13,
    "3 month avg", AVERAGE(CG13:CI13) * (1 + $F13),
    "6 month avg", AVERAGE(CD13:CI13) * (1 + $F13),
    "12 month avg", AVERAGE(BY13:CI13) * (1 + $F13),
    "Prior Month",CI13* (1 + $F13),
    "Prior Year", BX13* (1 + $F13),
    "Monthly assumption",$G13* (1 + $F13),
    "Quarterly assumption",$G13/3* (1 + $F13),
    "Annual assumption",$G13/12* (1 + $F13),
    "Custom",0,
    "0",0,
        0
)</f>
        <v>0</v>
      </c>
    </row>
    <row r="14" spans="1:88" ht="14.45" customHeight="1" outlineLevel="2">
      <c r="B14" s="284"/>
      <c r="C14" s="283"/>
      <c r="D14" s="288" t="s">
        <v>221</v>
      </c>
      <c r="E14" s="280" t="s">
        <v>351</v>
      </c>
      <c r="F14" s="332"/>
      <c r="G14" s="656">
        <v>30000</v>
      </c>
      <c r="H14" s="277" t="str">
        <f>IFERROR(INDEX(PBC_ACCOUNT_LIST[Drivers Section],MATCH(Drivers!L14,PBC_ACCOUNT_LIST[Id],0)),"")</f>
        <v>Revenue</v>
      </c>
      <c r="I14" s="277" t="str">
        <f>IFERROR(INDEX(PBC_ACCOUNT_LIST[Summary Grouping],MATCH(Drivers!L14,PBC_ACCOUNT_LIST[Id],0)),"")</f>
        <v>Revenue</v>
      </c>
      <c r="J14" s="277">
        <f>IFERROR(INDEX(PBC_ACCOUNT_LIST[Cash Flow Section],MATCH(Drivers!L14,PBC_ACCOUNT_LIST[Id],0)),"")</f>
        <v>0</v>
      </c>
      <c r="K14" s="278" t="s">
        <v>106</v>
      </c>
      <c r="L14" s="277">
        <v>5</v>
      </c>
      <c r="M14" s="276"/>
      <c r="O14" s="272"/>
      <c r="P14" s="289">
        <f t="shared" si="22"/>
        <v>0</v>
      </c>
      <c r="Q14" s="289">
        <f t="shared" si="22"/>
        <v>0</v>
      </c>
      <c r="R14" s="289">
        <f t="shared" si="22"/>
        <v>50000</v>
      </c>
      <c r="S14" s="289">
        <f t="shared" si="22"/>
        <v>30000</v>
      </c>
      <c r="T14" s="289"/>
      <c r="U14" s="289"/>
      <c r="V14" s="289">
        <f t="shared" si="23"/>
        <v>0</v>
      </c>
      <c r="W14" s="289">
        <f t="shared" si="23"/>
        <v>0</v>
      </c>
      <c r="X14" s="289">
        <f t="shared" si="23"/>
        <v>0</v>
      </c>
      <c r="Y14" s="289">
        <f t="shared" si="23"/>
        <v>0</v>
      </c>
      <c r="Z14" s="289">
        <f t="shared" si="23"/>
        <v>0</v>
      </c>
      <c r="AA14" s="289">
        <f t="shared" si="23"/>
        <v>0</v>
      </c>
      <c r="AB14" s="289">
        <f t="shared" si="23"/>
        <v>0</v>
      </c>
      <c r="AC14" s="289">
        <f t="shared" si="23"/>
        <v>0</v>
      </c>
      <c r="AD14" s="289">
        <f t="shared" si="23"/>
        <v>0</v>
      </c>
      <c r="AE14" s="289">
        <f t="shared" si="23"/>
        <v>0</v>
      </c>
      <c r="AF14" s="289">
        <f t="shared" si="23"/>
        <v>22000</v>
      </c>
      <c r="AG14" s="289">
        <f t="shared" si="23"/>
        <v>28000</v>
      </c>
      <c r="AH14" s="289">
        <f t="shared" si="23"/>
        <v>7500</v>
      </c>
      <c r="AI14" s="289">
        <f t="shared" si="23"/>
        <v>7500</v>
      </c>
      <c r="AJ14" s="289">
        <f t="shared" si="23"/>
        <v>7500</v>
      </c>
      <c r="AK14" s="289">
        <f t="shared" si="23"/>
        <v>7500</v>
      </c>
      <c r="AL14" s="333"/>
      <c r="AM14" s="334"/>
      <c r="AN14" s="289">
        <f>SUMIFS(PBC_PROFIT_AND_LOSS[AccountBalance], PBC_PROFIT_AND_LOSS[Id],$L14,PBC_PROFIT_AND_LOSS[Date],AN$5)</f>
        <v>0</v>
      </c>
      <c r="AO14" s="289">
        <f>SUMIFS(PBC_PROFIT_AND_LOSS[AccountBalance], PBC_PROFIT_AND_LOSS[Id],$L14,PBC_PROFIT_AND_LOSS[Date],AO$5)</f>
        <v>0</v>
      </c>
      <c r="AP14" s="289">
        <f>SUMIFS(PBC_PROFIT_AND_LOSS[AccountBalance], PBC_PROFIT_AND_LOSS[Id],$L14,PBC_PROFIT_AND_LOSS[Date],AP$5)</f>
        <v>0</v>
      </c>
      <c r="AQ14" s="289">
        <f>SUMIFS(PBC_PROFIT_AND_LOSS[AccountBalance], PBC_PROFIT_AND_LOSS[Id],$L14,PBC_PROFIT_AND_LOSS[Date],AQ$5)</f>
        <v>0</v>
      </c>
      <c r="AR14" s="289">
        <f>SUMIFS(PBC_PROFIT_AND_LOSS[AccountBalance], PBC_PROFIT_AND_LOSS[Id],$L14,PBC_PROFIT_AND_LOSS[Date],AR$5)</f>
        <v>0</v>
      </c>
      <c r="AS14" s="289">
        <f>SUMIFS(PBC_PROFIT_AND_LOSS[AccountBalance], PBC_PROFIT_AND_LOSS[Id],$L14,PBC_PROFIT_AND_LOSS[Date],AS$5)</f>
        <v>0</v>
      </c>
      <c r="AT14" s="289">
        <f>SUMIFS(PBC_PROFIT_AND_LOSS[AccountBalance], PBC_PROFIT_AND_LOSS[Id],$L14,PBC_PROFIT_AND_LOSS[Date],AT$5)</f>
        <v>0</v>
      </c>
      <c r="AU14" s="289">
        <f>SUMIFS(PBC_PROFIT_AND_LOSS[AccountBalance], PBC_PROFIT_AND_LOSS[Id],$L14,PBC_PROFIT_AND_LOSS[Date],AU$5)</f>
        <v>0</v>
      </c>
      <c r="AV14" s="289">
        <f>SUMIFS(PBC_PROFIT_AND_LOSS[AccountBalance], PBC_PROFIT_AND_LOSS[Id],$L14,PBC_PROFIT_AND_LOSS[Date],AV$5)</f>
        <v>0</v>
      </c>
      <c r="AW14" s="289">
        <f>SUMIFS(PBC_PROFIT_AND_LOSS[AccountBalance], PBC_PROFIT_AND_LOSS[Id],$L14,PBC_PROFIT_AND_LOSS[Date],AW$5)</f>
        <v>0</v>
      </c>
      <c r="AX14" s="289">
        <f>SUMIFS(PBC_PROFIT_AND_LOSS[AccountBalance], PBC_PROFIT_AND_LOSS[Id],$L14,PBC_PROFIT_AND_LOSS[Date],AX$5)</f>
        <v>0</v>
      </c>
      <c r="AY14" s="289">
        <f>SUMIFS(PBC_PROFIT_AND_LOSS[AccountBalance], PBC_PROFIT_AND_LOSS[Id],$L14,PBC_PROFIT_AND_LOSS[Date],AY$5)</f>
        <v>0</v>
      </c>
      <c r="AZ14" s="289">
        <f>SUMIFS(PBC_PROFIT_AND_LOSS[AccountBalance], PBC_PROFIT_AND_LOSS[Id],$L14,PBC_PROFIT_AND_LOSS[Date],AZ$5)</f>
        <v>0</v>
      </c>
      <c r="BA14" s="289">
        <f>SUMIFS(PBC_PROFIT_AND_LOSS[AccountBalance], PBC_PROFIT_AND_LOSS[Id],$L14,PBC_PROFIT_AND_LOSS[Date],BA$5)</f>
        <v>0</v>
      </c>
      <c r="BB14" s="289">
        <f>SUMIFS(PBC_PROFIT_AND_LOSS[AccountBalance], PBC_PROFIT_AND_LOSS[Id],$L14,PBC_PROFIT_AND_LOSS[Date],BB$5)</f>
        <v>0</v>
      </c>
      <c r="BC14" s="289">
        <f>SUMIFS(PBC_PROFIT_AND_LOSS[AccountBalance], PBC_PROFIT_AND_LOSS[Id],$L14,PBC_PROFIT_AND_LOSS[Date],BC$5)</f>
        <v>0</v>
      </c>
      <c r="BD14" s="289">
        <f>SUMIFS(PBC_PROFIT_AND_LOSS[AccountBalance], PBC_PROFIT_AND_LOSS[Id],$L14,PBC_PROFIT_AND_LOSS[Date],BD$5)</f>
        <v>0</v>
      </c>
      <c r="BE14" s="289">
        <f>SUMIFS(PBC_PROFIT_AND_LOSS[AccountBalance], PBC_PROFIT_AND_LOSS[Id],$L14,PBC_PROFIT_AND_LOSS[Date],BE$5)</f>
        <v>0</v>
      </c>
      <c r="BF14" s="289">
        <f>SUMIFS(PBC_PROFIT_AND_LOSS[AccountBalance], PBC_PROFIT_AND_LOSS[Id],$L14,PBC_PROFIT_AND_LOSS[Date],BF$5)</f>
        <v>0</v>
      </c>
      <c r="BG14" s="289">
        <f>SUMIFS(PBC_PROFIT_AND_LOSS[AccountBalance], PBC_PROFIT_AND_LOSS[Id],$L14,PBC_PROFIT_AND_LOSS[Date],BG$5)</f>
        <v>0</v>
      </c>
      <c r="BH14" s="289">
        <f>SUMIFS(PBC_PROFIT_AND_LOSS[AccountBalance], PBC_PROFIT_AND_LOSS[Id],$L14,PBC_PROFIT_AND_LOSS[Date],BH$5)</f>
        <v>0</v>
      </c>
      <c r="BI14" s="289">
        <f>SUMIFS(PBC_PROFIT_AND_LOSS[AccountBalance], PBC_PROFIT_AND_LOSS[Id],$L14,PBC_PROFIT_AND_LOSS[Date],BI$5)</f>
        <v>0</v>
      </c>
      <c r="BJ14" s="289">
        <f>SUMIFS(PBC_PROFIT_AND_LOSS[AccountBalance], PBC_PROFIT_AND_LOSS[Id],$L14,PBC_PROFIT_AND_LOSS[Date],BJ$5)</f>
        <v>0</v>
      </c>
      <c r="BK14" s="289">
        <f>SUMIFS(PBC_PROFIT_AND_LOSS[AccountBalance], PBC_PROFIT_AND_LOSS[Id],$L14,PBC_PROFIT_AND_LOSS[Date],BK$5)</f>
        <v>0</v>
      </c>
      <c r="BL14" s="289">
        <f>SUMIFS(PBC_PROFIT_AND_LOSS[AccountBalance], PBC_PROFIT_AND_LOSS[Id],$L14,PBC_PROFIT_AND_LOSS[Date],BL$5)</f>
        <v>0</v>
      </c>
      <c r="BM14" s="289">
        <f>SUMIFS(PBC_PROFIT_AND_LOSS[AccountBalance], PBC_PROFIT_AND_LOSS[Id],$L14,PBC_PROFIT_AND_LOSS[Date],BM$5)</f>
        <v>0</v>
      </c>
      <c r="BN14" s="289">
        <f>SUMIFS(PBC_PROFIT_AND_LOSS[AccountBalance], PBC_PROFIT_AND_LOSS[Id],$L14,PBC_PROFIT_AND_LOSS[Date],BN$5)</f>
        <v>0</v>
      </c>
      <c r="BO14" s="289">
        <f>SUMIFS(PBC_PROFIT_AND_LOSS[AccountBalance], PBC_PROFIT_AND_LOSS[Id],$L14,PBC_PROFIT_AND_LOSS[Date],BO$5)</f>
        <v>0</v>
      </c>
      <c r="BP14" s="289">
        <f>SUMIFS(PBC_PROFIT_AND_LOSS[AccountBalance], PBC_PROFIT_AND_LOSS[Id],$L14,PBC_PROFIT_AND_LOSS[Date],BP$5)</f>
        <v>0</v>
      </c>
      <c r="BQ14" s="289">
        <f>SUMIFS(PBC_PROFIT_AND_LOSS[AccountBalance], PBC_PROFIT_AND_LOSS[Id],$L14,PBC_PROFIT_AND_LOSS[Date],BQ$5)</f>
        <v>0</v>
      </c>
      <c r="BR14" s="289">
        <f>SUMIFS(PBC_PROFIT_AND_LOSS[AccountBalance], PBC_PROFIT_AND_LOSS[Id],$L14,PBC_PROFIT_AND_LOSS[Date],BR$5)</f>
        <v>0</v>
      </c>
      <c r="BS14" s="289">
        <f>SUMIFS(PBC_PROFIT_AND_LOSS[AccountBalance], PBC_PROFIT_AND_LOSS[Id],$L14,PBC_PROFIT_AND_LOSS[Date],BS$5)</f>
        <v>4000</v>
      </c>
      <c r="BT14" s="289">
        <f>SUMIFS(PBC_PROFIT_AND_LOSS[AccountBalance], PBC_PROFIT_AND_LOSS[Id],$L14,PBC_PROFIT_AND_LOSS[Date],BT$5)</f>
        <v>0</v>
      </c>
      <c r="BU14" s="289">
        <f>SUMIFS(PBC_PROFIT_AND_LOSS[AccountBalance], PBC_PROFIT_AND_LOSS[Id],$L14,PBC_PROFIT_AND_LOSS[Date],BU$5)</f>
        <v>18000</v>
      </c>
      <c r="BV14" s="289">
        <f>SUMIFS(PBC_PROFIT_AND_LOSS[AccountBalance], PBC_PROFIT_AND_LOSS[Id],$L14,PBC_PROFIT_AND_LOSS[Date],BV$5)</f>
        <v>10000</v>
      </c>
      <c r="BW14" s="289">
        <f>SUMIFS(PBC_PROFIT_AND_LOSS[AccountBalance], PBC_PROFIT_AND_LOSS[Id],$L14,PBC_PROFIT_AND_LOSS[Date],BW$5)</f>
        <v>15500</v>
      </c>
      <c r="BX14" s="335" cm="1">
        <f t="array" ref="BX14">_xlfn.SWITCH(
    $E14,
    "3 month avg", AVERAGE(BU14:BW14) * (1 + $F14),
    "6 month avg", AVERAGE(BR14:BW14) * (1 + $F14),
    "12 month avg", AVERAGE(BM14:BW14) * (1 + $F14),
    "Prior Month",BW14* (1 + $F14),
    "Prior Year", BL14* (1 + $F14),
    "Monthly assumption",$G14* (1 + $F14),
    "Quarterly assumption",$G14/3* (1 + $F14),
    "Annual assumption",$G14/12* (1 + $F14),
    "Custom",0,
    "0",0,
        0
)</f>
        <v>2500</v>
      </c>
      <c r="BY14" s="335" cm="1">
        <f t="array" ref="BY14">_xlfn.SWITCH(
    $E14,
    "3 month avg", AVERAGE(BV14:BX14) * (1 + $F14),
    "6 month avg", AVERAGE(BS14:BX14) * (1 + $F14),
    "12 month avg", AVERAGE(BN14:BX14) * (1 + $F14),
    "Prior Month",BX14* (1 + $F14),
    "Prior Year", BM14* (1 + $F14),
    "Monthly assumption",$G14* (1 + $F14),
    "Quarterly assumption",$G14/3* (1 + $F14),
    "Annual assumption",$G14/12* (1 + $F14),
    "Custom",0,
    "0",0,
        0
)</f>
        <v>2500</v>
      </c>
      <c r="BZ14" s="335" cm="1">
        <f t="array" ref="BZ14">_xlfn.SWITCH(
    $E14,
    "3 month avg", AVERAGE(BW14:BY14) * (1 + $F14),
    "6 month avg", AVERAGE(BT14:BY14) * (1 + $F14),
    "12 month avg", AVERAGE(BO14:BY14) * (1 + $F14),
    "Prior Month",BY14* (1 + $F14),
    "Prior Year", BN14* (1 + $F14),
    "Monthly assumption",$G14* (1 + $F14),
    "Quarterly assumption",$G14/3* (1 + $F14),
    "Annual assumption",$G14/12* (1 + $F14),
    "Custom",0,
    "0",0,
        0
)</f>
        <v>2500</v>
      </c>
      <c r="CA14" s="335" cm="1">
        <f t="array" ref="CA14">_xlfn.SWITCH(
    $E14,
    "3 month avg", AVERAGE(BX14:BZ14) * (1 + $F14),
    "6 month avg", AVERAGE(BU14:BZ14) * (1 + $F14),
    "12 month avg", AVERAGE(BP14:BZ14) * (1 + $F14),
    "Prior Month",BZ14* (1 + $F14),
    "Prior Year", BO14* (1 + $F14),
    "Monthly assumption",$G14* (1 + $F14),
    "Quarterly assumption",$G14/3* (1 + $F14),
    "Annual assumption",$G14/12* (1 + $F14),
    "Custom",0,
    "0",0,
        0
)</f>
        <v>2500</v>
      </c>
      <c r="CB14" s="335" cm="1">
        <f t="array" ref="CB14">_xlfn.SWITCH(
    $E14,
    "3 month avg", AVERAGE(BY14:CA14) * (1 + $F14),
    "6 month avg", AVERAGE(BV14:CA14) * (1 + $F14),
    "12 month avg", AVERAGE(BQ14:CA14) * (1 + $F14),
    "Prior Month",CA14* (1 + $F14),
    "Prior Year", BP14* (1 + $F14),
    "Monthly assumption",$G14* (1 + $F14),
    "Quarterly assumption",$G14/3* (1 + $F14),
    "Annual assumption",$G14/12* (1 + $F14),
    "Custom",0,
    "0",0,
        0
)</f>
        <v>2500</v>
      </c>
      <c r="CC14" s="335" cm="1">
        <f t="array" ref="CC14">_xlfn.SWITCH(
    $E14,
    "3 month avg", AVERAGE(BZ14:CB14) * (1 + $F14),
    "6 month avg", AVERAGE(BW14:CB14) * (1 + $F14),
    "12 month avg", AVERAGE(BR14:CB14) * (1 + $F14),
    "Prior Month",CB14* (1 + $F14),
    "Prior Year", BQ14* (1 + $F14),
    "Monthly assumption",$G14* (1 + $F14),
    "Quarterly assumption",$G14/3* (1 + $F14),
    "Annual assumption",$G14/12* (1 + $F14),
    "Custom",0,
    "0",0,
        0
)</f>
        <v>2500</v>
      </c>
      <c r="CD14" s="335" cm="1">
        <f t="array" ref="CD14">_xlfn.SWITCH(
    $E14,
    "3 month avg", AVERAGE(CA14:CC14) * (1 + $F14),
    "6 month avg", AVERAGE(BX14:CC14) * (1 + $F14),
    "12 month avg", AVERAGE(BS14:CC14) * (1 + $F14),
    "Prior Month",CC14* (1 + $F14),
    "Prior Year", BR14* (1 + $F14),
    "Monthly assumption",$G14* (1 + $F14),
    "Quarterly assumption",$G14/3* (1 + $F14),
    "Annual assumption",$G14/12* (1 + $F14),
    "Custom",0,
    "0",0,
        0
)</f>
        <v>2500</v>
      </c>
      <c r="CE14" s="335" cm="1">
        <f t="array" ref="CE14">_xlfn.SWITCH(
    $E14,
    "3 month avg", AVERAGE(CB14:CD14) * (1 + $F14),
    "6 month avg", AVERAGE(BY14:CD14) * (1 + $F14),
    "12 month avg", AVERAGE(BT14:CD14) * (1 + $F14),
    "Prior Month",CD14* (1 + $F14),
    "Prior Year", BS14* (1 + $F14),
    "Monthly assumption",$G14* (1 + $F14),
    "Quarterly assumption",$G14/3* (1 + $F14),
    "Annual assumption",$G14/12* (1 + $F14),
    "Custom",0,
    "0",0,
        0
)</f>
        <v>2500</v>
      </c>
      <c r="CF14" s="335" cm="1">
        <f t="array" ref="CF14">_xlfn.SWITCH(
    $E14,
    "3 month avg", AVERAGE(CC14:CE14) * (1 + $F14),
    "6 month avg", AVERAGE(BZ14:CE14) * (1 + $F14),
    "12 month avg", AVERAGE(BU14:CE14) * (1 + $F14),
    "Prior Month",CE14* (1 + $F14),
    "Prior Year", BT14* (1 + $F14),
    "Monthly assumption",$G14* (1 + $F14),
    "Quarterly assumption",$G14/3* (1 + $F14),
    "Annual assumption",$G14/12* (1 + $F14),
    "Custom",0,
    "0",0,
        0
)</f>
        <v>2500</v>
      </c>
      <c r="CG14" s="335" cm="1">
        <f t="array" ref="CG14">_xlfn.SWITCH(
    $E14,
    "3 month avg", AVERAGE(CD14:CF14) * (1 + $F14),
    "6 month avg", AVERAGE(CA14:CF14) * (1 + $F14),
    "12 month avg", AVERAGE(BV14:CF14) * (1 + $F14),
    "Prior Month",CF14* (1 + $F14),
    "Prior Year", BU14* (1 + $F14),
    "Monthly assumption",$G14* (1 + $F14),
    "Quarterly assumption",$G14/3* (1 + $F14),
    "Annual assumption",$G14/12* (1 + $F14),
    "Custom",0,
    "0",0,
        0
)</f>
        <v>2500</v>
      </c>
      <c r="CH14" s="335" cm="1">
        <f t="array" ref="CH14">_xlfn.SWITCH(
    $E14,
    "3 month avg", AVERAGE(CE14:CG14) * (1 + $F14),
    "6 month avg", AVERAGE(CB14:CG14) * (1 + $F14),
    "12 month avg", AVERAGE(BW14:CG14) * (1 + $F14),
    "Prior Month",CG14* (1 + $F14),
    "Prior Year", BV14* (1 + $F14),
    "Monthly assumption",$G14* (1 + $F14),
    "Quarterly assumption",$G14/3* (1 + $F14),
    "Annual assumption",$G14/12* (1 + $F14),
    "Custom",0,
    "0",0,
        0
)</f>
        <v>2500</v>
      </c>
      <c r="CI14" s="335" cm="1">
        <f t="array" ref="CI14">_xlfn.SWITCH(
    $E14,
    "3 month avg", AVERAGE(CF14:CH14) * (1 + $F14),
    "6 month avg", AVERAGE(CC14:CH14) * (1 + $F14),
    "12 month avg", AVERAGE(BX14:CH14) * (1 + $F14),
    "Prior Month",CH14* (1 + $F14),
    "Prior Year", BW14* (1 + $F14),
    "Monthly assumption",$G14* (1 + $F14),
    "Quarterly assumption",$G14/3* (1 + $F14),
    "Annual assumption",$G14/12* (1 + $F14),
    "Custom",0,
    "0",0,
        0
)</f>
        <v>2500</v>
      </c>
      <c r="CJ14" s="335" cm="1">
        <f t="array" ref="CJ14">_xlfn.SWITCH(
    $E14,
    "3 month avg", AVERAGE(CG14:CI14) * (1 + $F14),
    "6 month avg", AVERAGE(CD14:CI14) * (1 + $F14),
    "12 month avg", AVERAGE(BY14:CI14) * (1 + $F14),
    "Prior Month",CI14* (1 + $F14),
    "Prior Year", BX14* (1 + $F14),
    "Monthly assumption",$G14* (1 + $F14),
    "Quarterly assumption",$G14/3* (1 + $F14),
    "Annual assumption",$G14/12* (1 + $F14),
    "Custom",0,
    "0",0,
        0
)</f>
        <v>2500</v>
      </c>
    </row>
    <row r="15" spans="1:88" ht="15" outlineLevel="1">
      <c r="A15" s="265" t="s">
        <v>352</v>
      </c>
      <c r="B15" s="284"/>
      <c r="C15" s="283"/>
      <c r="D15" s="288"/>
      <c r="E15" s="280"/>
      <c r="F15" s="279"/>
      <c r="G15" s="777"/>
      <c r="H15" s="277"/>
      <c r="I15" s="277"/>
      <c r="J15" s="277"/>
      <c r="K15" s="278"/>
      <c r="L15" s="277"/>
      <c r="M15" s="276"/>
      <c r="O15" s="272"/>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7"/>
      <c r="AM15" s="272"/>
      <c r="AN15" s="286"/>
      <c r="AO15" s="286"/>
      <c r="AP15" s="286"/>
      <c r="AQ15" s="286"/>
      <c r="AR15" s="286"/>
      <c r="AS15" s="286"/>
      <c r="AT15" s="286"/>
      <c r="AU15" s="286"/>
      <c r="AV15" s="286"/>
      <c r="AW15" s="286"/>
      <c r="AX15" s="286"/>
      <c r="AY15" s="286"/>
      <c r="AZ15" s="286"/>
      <c r="BA15" s="286"/>
      <c r="BB15" s="286"/>
      <c r="BC15" s="286"/>
      <c r="BD15" s="286"/>
      <c r="BE15" s="286"/>
      <c r="BF15" s="286"/>
      <c r="BG15" s="286"/>
      <c r="BH15" s="286"/>
      <c r="BI15" s="286"/>
      <c r="BJ15" s="286"/>
      <c r="BK15" s="286"/>
      <c r="BL15" s="286"/>
      <c r="BM15" s="286"/>
      <c r="BN15" s="286"/>
      <c r="BO15" s="286"/>
      <c r="BP15" s="286"/>
      <c r="BQ15" s="286"/>
      <c r="BR15" s="286"/>
      <c r="BS15" s="286"/>
      <c r="BT15" s="286"/>
      <c r="BU15" s="286"/>
      <c r="BV15" s="286"/>
      <c r="BW15" s="286"/>
      <c r="BX15" s="286"/>
      <c r="BY15" s="286"/>
      <c r="BZ15" s="286"/>
      <c r="CA15" s="286"/>
      <c r="CB15" s="286"/>
      <c r="CC15" s="286"/>
      <c r="CD15" s="286"/>
      <c r="CE15" s="286"/>
      <c r="CF15" s="286"/>
      <c r="CG15" s="286"/>
      <c r="CH15" s="286"/>
      <c r="CI15" s="286"/>
      <c r="CJ15" s="286"/>
    </row>
    <row r="16" spans="1:88" ht="15" outlineLevel="1">
      <c r="B16" s="284"/>
      <c r="C16" s="283" t="s">
        <v>80</v>
      </c>
      <c r="D16" s="282"/>
      <c r="E16" s="280"/>
      <c r="F16" s="279"/>
      <c r="G16" s="777"/>
      <c r="H16" s="277"/>
      <c r="I16" s="277"/>
      <c r="J16" s="277"/>
      <c r="K16" s="278"/>
      <c r="L16" s="277"/>
      <c r="M16" s="276"/>
      <c r="O16" s="272"/>
      <c r="P16" s="281">
        <f>SUM(P17:P22)</f>
        <v>23959.5</v>
      </c>
      <c r="Q16" s="281">
        <f>SUM(Q17:Q22)</f>
        <v>53271.66</v>
      </c>
      <c r="R16" s="281">
        <f>SUM(R17:R22)</f>
        <v>117947.93077272727</v>
      </c>
      <c r="S16" s="281">
        <f>SUM(S17:S22)</f>
        <v>380313.00326676195</v>
      </c>
      <c r="T16" s="272"/>
      <c r="U16" s="272"/>
      <c r="V16" s="281">
        <f t="shared" ref="V16:AK16" si="24">SUM(V17:V22)</f>
        <v>3476</v>
      </c>
      <c r="W16" s="281">
        <f t="shared" si="24"/>
        <v>4626</v>
      </c>
      <c r="X16" s="281">
        <f t="shared" si="24"/>
        <v>6157</v>
      </c>
      <c r="Y16" s="281">
        <f t="shared" si="24"/>
        <v>9700.5</v>
      </c>
      <c r="Z16" s="281">
        <f t="shared" si="24"/>
        <v>11366</v>
      </c>
      <c r="AA16" s="281">
        <f t="shared" si="24"/>
        <v>12551.5</v>
      </c>
      <c r="AB16" s="281">
        <f t="shared" si="24"/>
        <v>14075.5</v>
      </c>
      <c r="AC16" s="281">
        <f t="shared" si="24"/>
        <v>15278.66</v>
      </c>
      <c r="AD16" s="281">
        <f t="shared" si="24"/>
        <v>17685.420000000002</v>
      </c>
      <c r="AE16" s="281">
        <f t="shared" si="24"/>
        <v>20775.48</v>
      </c>
      <c r="AF16" s="281">
        <f t="shared" si="24"/>
        <v>22702.079999999998</v>
      </c>
      <c r="AG16" s="281">
        <f t="shared" si="24"/>
        <v>56784.950772727272</v>
      </c>
      <c r="AH16" s="281">
        <f t="shared" si="24"/>
        <v>94737.759374023401</v>
      </c>
      <c r="AI16" s="281">
        <f t="shared" si="24"/>
        <v>95060.56714595019</v>
      </c>
      <c r="AJ16" s="281">
        <f t="shared" si="24"/>
        <v>95244.241279507987</v>
      </c>
      <c r="AK16" s="281">
        <f t="shared" si="24"/>
        <v>95270.435467280389</v>
      </c>
      <c r="AL16" s="287"/>
      <c r="AM16" s="272"/>
      <c r="AN16" s="281">
        <f t="shared" ref="AN16:BS16" si="25">IF(AN$5&lt;=LatestMonthOfActuals,SUMIFS(AN17:AN22,$K17:$K22,"Account"),SUMIFS(AN17:AN22,$K17:$K22,"&lt;&gt;Sub-Account"))</f>
        <v>0</v>
      </c>
      <c r="AO16" s="281">
        <f t="shared" si="25"/>
        <v>1050</v>
      </c>
      <c r="AP16" s="281">
        <f t="shared" si="25"/>
        <v>1155</v>
      </c>
      <c r="AQ16" s="281">
        <f t="shared" si="25"/>
        <v>1271</v>
      </c>
      <c r="AR16" s="281">
        <f t="shared" si="25"/>
        <v>1398</v>
      </c>
      <c r="AS16" s="281">
        <f t="shared" si="25"/>
        <v>1537</v>
      </c>
      <c r="AT16" s="281">
        <f t="shared" si="25"/>
        <v>1691</v>
      </c>
      <c r="AU16" s="281">
        <f t="shared" si="25"/>
        <v>1860</v>
      </c>
      <c r="AV16" s="281">
        <f t="shared" si="25"/>
        <v>2046.5</v>
      </c>
      <c r="AW16" s="281">
        <f t="shared" si="25"/>
        <v>2250.5</v>
      </c>
      <c r="AX16" s="281">
        <f t="shared" si="25"/>
        <v>2475.5</v>
      </c>
      <c r="AY16" s="281">
        <f t="shared" si="25"/>
        <v>3427.5</v>
      </c>
      <c r="AZ16" s="281">
        <f t="shared" si="25"/>
        <v>3797.5</v>
      </c>
      <c r="BA16" s="281">
        <f t="shared" si="25"/>
        <v>3599</v>
      </c>
      <c r="BB16" s="281">
        <f t="shared" si="25"/>
        <v>3988</v>
      </c>
      <c r="BC16" s="281">
        <f t="shared" si="25"/>
        <v>3779</v>
      </c>
      <c r="BD16" s="281">
        <f t="shared" si="25"/>
        <v>4186.5</v>
      </c>
      <c r="BE16" s="281">
        <f t="shared" si="25"/>
        <v>3968.5</v>
      </c>
      <c r="BF16" s="281">
        <f t="shared" si="25"/>
        <v>4396.5</v>
      </c>
      <c r="BG16" s="281">
        <f t="shared" si="25"/>
        <v>4615</v>
      </c>
      <c r="BH16" s="281">
        <f t="shared" si="25"/>
        <v>4614.5</v>
      </c>
      <c r="BI16" s="281">
        <f t="shared" si="25"/>
        <v>4846</v>
      </c>
      <c r="BJ16" s="281">
        <f t="shared" si="25"/>
        <v>4846.33</v>
      </c>
      <c r="BK16" s="281">
        <f t="shared" si="25"/>
        <v>5089.33</v>
      </c>
      <c r="BL16" s="281">
        <f t="shared" si="25"/>
        <v>5343</v>
      </c>
      <c r="BM16" s="281">
        <f t="shared" si="25"/>
        <v>5610.42</v>
      </c>
      <c r="BN16" s="281">
        <f t="shared" si="25"/>
        <v>5890</v>
      </c>
      <c r="BO16" s="281">
        <f t="shared" si="25"/>
        <v>6185</v>
      </c>
      <c r="BP16" s="281">
        <f t="shared" si="25"/>
        <v>6495</v>
      </c>
      <c r="BQ16" s="281">
        <f t="shared" si="25"/>
        <v>6820</v>
      </c>
      <c r="BR16" s="281">
        <f t="shared" si="25"/>
        <v>7460.48</v>
      </c>
      <c r="BS16" s="281">
        <f t="shared" si="25"/>
        <v>6518.5</v>
      </c>
      <c r="BT16" s="281">
        <f t="shared" ref="BT16:CJ16" si="26">IF(BT$5&lt;=LatestMonthOfActuals,SUMIFS(BT17:BT22,$K17:$K22,"Account"),SUMIFS(BT17:BT22,$K17:$K22,"&lt;&gt;Sub-Account"))</f>
        <v>7894.43</v>
      </c>
      <c r="BU16" s="281">
        <f t="shared" si="26"/>
        <v>8289.15</v>
      </c>
      <c r="BV16" s="281">
        <f t="shared" si="26"/>
        <v>8703.61</v>
      </c>
      <c r="BW16" s="281">
        <f t="shared" ref="BW16" si="27">IF(BW$5&lt;=LatestMonthOfActuals,SUMIFS(BW17:BW22,$K17:$K22,"Account"),SUMIFS(BW17:BW22,$K17:$K22,"&lt;&gt;Sub-Account"))</f>
        <v>9138.7900000000009</v>
      </c>
      <c r="BX16" s="281">
        <f t="shared" si="26"/>
        <v>38942.550772727271</v>
      </c>
      <c r="BY16" s="281">
        <f t="shared" si="26"/>
        <v>31452.469210123967</v>
      </c>
      <c r="BZ16" s="281">
        <f t="shared" si="26"/>
        <v>31630.248373363072</v>
      </c>
      <c r="CA16" s="281">
        <f t="shared" si="26"/>
        <v>31655.041790536368</v>
      </c>
      <c r="CB16" s="281">
        <f t="shared" si="26"/>
        <v>31674.97461929921</v>
      </c>
      <c r="CC16" s="281">
        <f t="shared" si="26"/>
        <v>31689.134265021912</v>
      </c>
      <c r="CD16" s="281">
        <f t="shared" si="26"/>
        <v>31696.458261629054</v>
      </c>
      <c r="CE16" s="281">
        <f t="shared" si="26"/>
        <v>31726.336178118778</v>
      </c>
      <c r="CF16" s="281">
        <f t="shared" si="26"/>
        <v>31757.465382879651</v>
      </c>
      <c r="CG16" s="281">
        <f t="shared" si="26"/>
        <v>31760.439718509548</v>
      </c>
      <c r="CH16" s="281">
        <f t="shared" si="26"/>
        <v>31756.81534913414</v>
      </c>
      <c r="CI16" s="281">
        <f t="shared" si="26"/>
        <v>31745.972210347336</v>
      </c>
      <c r="CJ16" s="281">
        <f t="shared" si="26"/>
        <v>31767.647907798917</v>
      </c>
    </row>
    <row r="17" spans="3:88" ht="5.25" customHeight="1" outlineLevel="2">
      <c r="E17" s="280"/>
      <c r="F17" s="279"/>
      <c r="G17" s="777"/>
      <c r="H17" s="277"/>
      <c r="I17" s="277"/>
      <c r="J17" s="277"/>
      <c r="K17" s="278"/>
      <c r="L17" s="277"/>
      <c r="M17" s="276"/>
    </row>
    <row r="18" spans="3:88" outlineLevel="2">
      <c r="D18" s="336" t="s">
        <v>225</v>
      </c>
      <c r="E18" s="280" t="s">
        <v>158</v>
      </c>
      <c r="F18" s="332">
        <v>0.05</v>
      </c>
      <c r="G18" s="777"/>
      <c r="H18" s="277" t="str">
        <f>IFERROR(INDEX(PBC_ACCOUNT_LIST[Drivers Section],MATCH(Drivers!L18,PBC_ACCOUNT_LIST[Id],0)),"")</f>
        <v>COGS</v>
      </c>
      <c r="I18" s="277" t="str">
        <f>IFERROR(INDEX(PBC_ACCOUNT_LIST[Summary Grouping],MATCH(Drivers!L18,PBC_ACCOUNT_LIST[Id],0)),"")</f>
        <v>COGS</v>
      </c>
      <c r="J18" s="277">
        <f>IFERROR(INDEX(PBC_ACCOUNT_LIST[Cash Flow Section],MATCH(Drivers!L18,PBC_ACCOUNT_LIST[Id],0)),"")</f>
        <v>0</v>
      </c>
      <c r="K18" s="278" t="s">
        <v>106</v>
      </c>
      <c r="L18" s="277">
        <v>164</v>
      </c>
      <c r="M18" s="276"/>
      <c r="P18" s="334">
        <f t="shared" ref="P18:S21" si="28">SUMIFS($AN18:$CJ18,$AN$4:$CJ$4,"&gt;="&amp;P$4,$AN$5:$CJ$5,"&lt;="&amp;P$5)</f>
        <v>18460</v>
      </c>
      <c r="Q18" s="334">
        <f t="shared" si="28"/>
        <v>42018</v>
      </c>
      <c r="R18" s="334">
        <f t="shared" si="28"/>
        <v>70259.61</v>
      </c>
      <c r="S18" s="334">
        <f t="shared" si="28"/>
        <v>0</v>
      </c>
      <c r="T18" s="334"/>
      <c r="U18" s="334"/>
      <c r="V18" s="337">
        <f t="shared" ref="V18:AK21" si="29">SUMIFS($AN18:$CJ18,$AN$4:$CJ$4,"&gt;="&amp;V$4,$AN$5:$CJ$5,"&lt;="&amp;V$5)</f>
        <v>2648</v>
      </c>
      <c r="W18" s="337">
        <f t="shared" si="29"/>
        <v>3524</v>
      </c>
      <c r="X18" s="337">
        <f t="shared" si="29"/>
        <v>4691</v>
      </c>
      <c r="Y18" s="337">
        <f t="shared" si="29"/>
        <v>7597</v>
      </c>
      <c r="Z18" s="337">
        <f t="shared" si="29"/>
        <v>8997</v>
      </c>
      <c r="AA18" s="337">
        <f t="shared" si="29"/>
        <v>9907</v>
      </c>
      <c r="AB18" s="337">
        <f t="shared" si="29"/>
        <v>11084</v>
      </c>
      <c r="AC18" s="337">
        <f t="shared" si="29"/>
        <v>12030</v>
      </c>
      <c r="AD18" s="337">
        <f t="shared" si="29"/>
        <v>13925.61</v>
      </c>
      <c r="AE18" s="337">
        <f t="shared" si="29"/>
        <v>16122.119999999999</v>
      </c>
      <c r="AF18" s="337">
        <f t="shared" si="29"/>
        <v>18662.879999999997</v>
      </c>
      <c r="AG18" s="337">
        <f t="shared" si="29"/>
        <v>21549</v>
      </c>
      <c r="AH18" s="337">
        <f t="shared" si="29"/>
        <v>0</v>
      </c>
      <c r="AI18" s="337">
        <f t="shared" si="29"/>
        <v>0</v>
      </c>
      <c r="AJ18" s="337">
        <f t="shared" si="29"/>
        <v>0</v>
      </c>
      <c r="AK18" s="337">
        <f t="shared" si="29"/>
        <v>0</v>
      </c>
      <c r="AL18" s="337"/>
      <c r="AM18" s="334"/>
      <c r="AN18" s="337">
        <f>SUMIFS(PBC_PROFIT_AND_LOSS[AccountBalance], PBC_PROFIT_AND_LOSS[Id],$L18,PBC_PROFIT_AND_LOSS[Date],AN$5)</f>
        <v>0</v>
      </c>
      <c r="AO18" s="337">
        <f>SUMIFS(PBC_PROFIT_AND_LOSS[AccountBalance], PBC_PROFIT_AND_LOSS[Id],$L18,PBC_PROFIT_AND_LOSS[Date],AO$5)</f>
        <v>800</v>
      </c>
      <c r="AP18" s="337">
        <f>SUMIFS(PBC_PROFIT_AND_LOSS[AccountBalance], PBC_PROFIT_AND_LOSS[Id],$L18,PBC_PROFIT_AND_LOSS[Date],AP$5)</f>
        <v>880</v>
      </c>
      <c r="AQ18" s="337">
        <f>SUMIFS(PBC_PROFIT_AND_LOSS[AccountBalance], PBC_PROFIT_AND_LOSS[Id],$L18,PBC_PROFIT_AND_LOSS[Date],AQ$5)</f>
        <v>968</v>
      </c>
      <c r="AR18" s="337">
        <f>SUMIFS(PBC_PROFIT_AND_LOSS[AccountBalance], PBC_PROFIT_AND_LOSS[Id],$L18,PBC_PROFIT_AND_LOSS[Date],AR$5)</f>
        <v>1065</v>
      </c>
      <c r="AS18" s="337">
        <f>SUMIFS(PBC_PROFIT_AND_LOSS[AccountBalance], PBC_PROFIT_AND_LOSS[Id],$L18,PBC_PROFIT_AND_LOSS[Date],AS$5)</f>
        <v>1171</v>
      </c>
      <c r="AT18" s="337">
        <f>SUMIFS(PBC_PROFIT_AND_LOSS[AccountBalance], PBC_PROFIT_AND_LOSS[Id],$L18,PBC_PROFIT_AND_LOSS[Date],AT$5)</f>
        <v>1288</v>
      </c>
      <c r="AU18" s="337">
        <f>SUMIFS(PBC_PROFIT_AND_LOSS[AccountBalance], PBC_PROFIT_AND_LOSS[Id],$L18,PBC_PROFIT_AND_LOSS[Date],AU$5)</f>
        <v>1417</v>
      </c>
      <c r="AV18" s="337">
        <f>SUMIFS(PBC_PROFIT_AND_LOSS[AccountBalance], PBC_PROFIT_AND_LOSS[Id],$L18,PBC_PROFIT_AND_LOSS[Date],AV$5)</f>
        <v>1559</v>
      </c>
      <c r="AW18" s="337">
        <f>SUMIFS(PBC_PROFIT_AND_LOSS[AccountBalance], PBC_PROFIT_AND_LOSS[Id],$L18,PBC_PROFIT_AND_LOSS[Date],AW$5)</f>
        <v>1715</v>
      </c>
      <c r="AX18" s="337">
        <f>SUMIFS(PBC_PROFIT_AND_LOSS[AccountBalance], PBC_PROFIT_AND_LOSS[Id],$L18,PBC_PROFIT_AND_LOSS[Date],AX$5)</f>
        <v>1886</v>
      </c>
      <c r="AY18" s="337">
        <f>SUMIFS(PBC_PROFIT_AND_LOSS[AccountBalance], PBC_PROFIT_AND_LOSS[Id],$L18,PBC_PROFIT_AND_LOSS[Date],AY$5)</f>
        <v>2721</v>
      </c>
      <c r="AZ18" s="337">
        <f>SUMIFS(PBC_PROFIT_AND_LOSS[AccountBalance], PBC_PROFIT_AND_LOSS[Id],$L18,PBC_PROFIT_AND_LOSS[Date],AZ$5)</f>
        <v>2990</v>
      </c>
      <c r="BA18" s="337">
        <f>SUMIFS(PBC_PROFIT_AND_LOSS[AccountBalance], PBC_PROFIT_AND_LOSS[Id],$L18,PBC_PROFIT_AND_LOSS[Date],BA$5)</f>
        <v>2857</v>
      </c>
      <c r="BB18" s="337">
        <f>SUMIFS(PBC_PROFIT_AND_LOSS[AccountBalance], PBC_PROFIT_AND_LOSS[Id],$L18,PBC_PROFIT_AND_LOSS[Date],BB$5)</f>
        <v>3140</v>
      </c>
      <c r="BC18" s="337">
        <f>SUMIFS(PBC_PROFIT_AND_LOSS[AccountBalance], PBC_PROFIT_AND_LOSS[Id],$L18,PBC_PROFIT_AND_LOSS[Date],BC$5)</f>
        <v>3000</v>
      </c>
      <c r="BD18" s="337">
        <f>SUMIFS(PBC_PROFIT_AND_LOSS[AccountBalance], PBC_PROFIT_AND_LOSS[Id],$L18,PBC_PROFIT_AND_LOSS[Date],BD$5)</f>
        <v>3296</v>
      </c>
      <c r="BE18" s="337">
        <f>SUMIFS(PBC_PROFIT_AND_LOSS[AccountBalance], PBC_PROFIT_AND_LOSS[Id],$L18,PBC_PROFIT_AND_LOSS[Date],BE$5)</f>
        <v>3150</v>
      </c>
      <c r="BF18" s="337">
        <f>SUMIFS(PBC_PROFIT_AND_LOSS[AccountBalance], PBC_PROFIT_AND_LOSS[Id],$L18,PBC_PROFIT_AND_LOSS[Date],BF$5)</f>
        <v>3461</v>
      </c>
      <c r="BG18" s="337">
        <f>SUMIFS(PBC_PROFIT_AND_LOSS[AccountBalance], PBC_PROFIT_AND_LOSS[Id],$L18,PBC_PROFIT_AND_LOSS[Date],BG$5)</f>
        <v>3634</v>
      </c>
      <c r="BH18" s="337">
        <f>SUMIFS(PBC_PROFIT_AND_LOSS[AccountBalance], PBC_PROFIT_AND_LOSS[Id],$L18,PBC_PROFIT_AND_LOSS[Date],BH$5)</f>
        <v>3634</v>
      </c>
      <c r="BI18" s="337">
        <f>SUMIFS(PBC_PROFIT_AND_LOSS[AccountBalance], PBC_PROFIT_AND_LOSS[Id],$L18,PBC_PROFIT_AND_LOSS[Date],BI$5)</f>
        <v>3816</v>
      </c>
      <c r="BJ18" s="337">
        <f>SUMIFS(PBC_PROFIT_AND_LOSS[AccountBalance], PBC_PROFIT_AND_LOSS[Id],$L18,PBC_PROFIT_AND_LOSS[Date],BJ$5)</f>
        <v>3816</v>
      </c>
      <c r="BK18" s="337">
        <f>SUMIFS(PBC_PROFIT_AND_LOSS[AccountBalance], PBC_PROFIT_AND_LOSS[Id],$L18,PBC_PROFIT_AND_LOSS[Date],BK$5)</f>
        <v>4007</v>
      </c>
      <c r="BL18" s="337">
        <f>SUMIFS(PBC_PROFIT_AND_LOSS[AccountBalance], PBC_PROFIT_AND_LOSS[Id],$L18,PBC_PROFIT_AND_LOSS[Date],BL$5)</f>
        <v>4207</v>
      </c>
      <c r="BM18" s="337">
        <f>SUMIFS(PBC_PROFIT_AND_LOSS[AccountBalance], PBC_PROFIT_AND_LOSS[Id],$L18,PBC_PROFIT_AND_LOSS[Date],BM$5)</f>
        <v>4417.6099999999997</v>
      </c>
      <c r="BN18" s="337">
        <f>SUMIFS(PBC_PROFIT_AND_LOSS[AccountBalance], PBC_PROFIT_AND_LOSS[Id],$L18,PBC_PROFIT_AND_LOSS[Date],BN$5)</f>
        <v>4638</v>
      </c>
      <c r="BO18" s="337">
        <f>SUMIFS(PBC_PROFIT_AND_LOSS[AccountBalance], PBC_PROFIT_AND_LOSS[Id],$L18,PBC_PROFIT_AND_LOSS[Date],BO$5)</f>
        <v>4870</v>
      </c>
      <c r="BP18" s="337">
        <f>SUMIFS(PBC_PROFIT_AND_LOSS[AccountBalance], PBC_PROFIT_AND_LOSS[Id],$L18,PBC_PROFIT_AND_LOSS[Date],BP$5)</f>
        <v>5114</v>
      </c>
      <c r="BQ18" s="337">
        <f>SUMIFS(PBC_PROFIT_AND_LOSS[AccountBalance], PBC_PROFIT_AND_LOSS[Id],$L18,PBC_PROFIT_AND_LOSS[Date],BQ$5)</f>
        <v>5370</v>
      </c>
      <c r="BR18" s="337">
        <f>SUMIFS(PBC_PROFIT_AND_LOSS[AccountBalance], PBC_PROFIT_AND_LOSS[Id],$L18,PBC_PROFIT_AND_LOSS[Date],BR$5)</f>
        <v>5638.12</v>
      </c>
      <c r="BS18" s="337">
        <f>SUMIFS(PBC_PROFIT_AND_LOSS[AccountBalance], PBC_PROFIT_AND_LOSS[Id],$L18,PBC_PROFIT_AND_LOSS[Date],BS$5)</f>
        <v>5920.02</v>
      </c>
      <c r="BT18" s="337">
        <f>SUMIFS(PBC_PROFIT_AND_LOSS[AccountBalance], PBC_PROFIT_AND_LOSS[Id],$L18,PBC_PROFIT_AND_LOSS[Date],BT$5)</f>
        <v>6216.03</v>
      </c>
      <c r="BU18" s="337">
        <f>SUMIFS(PBC_PROFIT_AND_LOSS[AccountBalance], PBC_PROFIT_AND_LOSS[Id],$L18,PBC_PROFIT_AND_LOSS[Date],BU$5)</f>
        <v>6526.83</v>
      </c>
      <c r="BV18" s="337">
        <f>SUMIFS(PBC_PROFIT_AND_LOSS[AccountBalance], PBC_PROFIT_AND_LOSS[Id],$L18,PBC_PROFIT_AND_LOSS[Date],BV$5)</f>
        <v>6853.17</v>
      </c>
      <c r="BW18" s="337">
        <f>SUMIFS(PBC_PROFIT_AND_LOSS[AccountBalance], PBC_PROFIT_AND_LOSS[Id],$L18,PBC_PROFIT_AND_LOSS[Date],BW$5)</f>
        <v>7195.83</v>
      </c>
      <c r="BX18" s="335">
        <v>7500</v>
      </c>
      <c r="BY18" s="335" cm="1">
        <f t="array" ref="BY18">_xlfn.SWITCH(
    $E18,
    "3 month avg", AVERAGE(BV18:BX18) * (1 + $F18),
    "6 month avg", AVERAGE(BS18:BX18) * (1 + $F18),
    "12 month avg", AVERAGE(BN18:BX18) * (1 + $F18),
    "Prior Month",BX18* (1 + $F18),
    "Prior Year", BM18* (1 + $F18),
    "Monthly assumption",$G18* (1 + $F18),
    "Quarterly assumption",$G18/3* (1 + $F18),
    "Annual assumption",$G18/12* (1 + $F18),
    "% of Revenue",SUM(_xlfn._xlws.FILTER(_xlfn._xlws.FILTER(dataSummaryPL,dataSummaryPLSections="Revenue"),(startDates&gt;=BY$4)*(endDates&lt;=BY$5)))*$F18,
    "Custom",0,
    "0",0,
        0
)</f>
        <v>0</v>
      </c>
      <c r="BZ18" s="335" cm="1">
        <f t="array" ref="BZ18">_xlfn.SWITCH(
    $E18,
    "3 month avg", AVERAGE(BW18:BY18) * (1 + $F18),
    "6 month avg", AVERAGE(BT18:BY18) * (1 + $F18),
    "12 month avg", AVERAGE(BO18:BY18) * (1 + $F18),
    "Prior Month",BY18* (1 + $F18),
    "Prior Year", BN18* (1 + $F18),
    "Monthly assumption",$G18* (1 + $F18),
    "Quarterly assumption",$G18/3* (1 + $F18),
    "Annual assumption",$G18/12* (1 + $F18),
    "% of Revenue",SUM(_xlfn._xlws.FILTER(_xlfn._xlws.FILTER(dataSummaryPL,dataSummaryPLSections="Revenue"),(startDates&gt;=BZ$4)*(endDates&lt;=BZ$5)))*$F18,
    "Custom",0,
    "0",0,
        0
)</f>
        <v>0</v>
      </c>
      <c r="CA18" s="335" cm="1">
        <f t="array" ref="CA18">_xlfn.SWITCH(
    $E18,
    "3 month avg", AVERAGE(BX18:BZ18) * (1 + $F18),
    "6 month avg", AVERAGE(BU18:BZ18) * (1 + $F18),
    "12 month avg", AVERAGE(BP18:BZ18) * (1 + $F18),
    "Prior Month",BZ18* (1 + $F18),
    "Prior Year", BO18* (1 + $F18),
    "Monthly assumption",$G18* (1 + $F18),
    "Quarterly assumption",$G18/3* (1 + $F18),
    "Annual assumption",$G18/12* (1 + $F18),
    "% of Revenue",SUM(_xlfn._xlws.FILTER(_xlfn._xlws.FILTER(dataSummaryPL,dataSummaryPLSections="Revenue"),(startDates&gt;=CA$4)*(endDates&lt;=CA$5)))*$F18,
    "Custom",0,
    "0",0,
        0
)</f>
        <v>0</v>
      </c>
      <c r="CB18" s="335" cm="1">
        <f t="array" ref="CB18">_xlfn.SWITCH(
    $E18,
    "3 month avg", AVERAGE(BY18:CA18) * (1 + $F18),
    "6 month avg", AVERAGE(BV18:CA18) * (1 + $F18),
    "12 month avg", AVERAGE(BQ18:CA18) * (1 + $F18),
    "Prior Month",CA18* (1 + $F18),
    "Prior Year", BP18* (1 + $F18),
    "Monthly assumption",$G18* (1 + $F18),
    "Quarterly assumption",$G18/3* (1 + $F18),
    "Annual assumption",$G18/12* (1 + $F18),
    "% of Revenue",SUM(_xlfn._xlws.FILTER(_xlfn._xlws.FILTER(dataSummaryPL,dataSummaryPLSections="Revenue"),(startDates&gt;=CB$4)*(endDates&lt;=CB$5)))*$F18,
    "Custom",0,
    "0",0,
        0
)</f>
        <v>0</v>
      </c>
      <c r="CC18" s="335" cm="1">
        <f t="array" ref="CC18">_xlfn.SWITCH(
    $E18,
    "3 month avg", AVERAGE(BZ18:CB18) * (1 + $F18),
    "6 month avg", AVERAGE(BW18:CB18) * (1 + $F18),
    "12 month avg", AVERAGE(BR18:CB18) * (1 + $F18),
    "Prior Month",CB18* (1 + $F18),
    "Prior Year", BQ18* (1 + $F18),
    "Monthly assumption",$G18* (1 + $F18),
    "Quarterly assumption",$G18/3* (1 + $F18),
    "Annual assumption",$G18/12* (1 + $F18),
    "% of Revenue",SUM(_xlfn._xlws.FILTER(_xlfn._xlws.FILTER(dataSummaryPL,dataSummaryPLSections="Revenue"),(startDates&gt;=CC$4)*(endDates&lt;=CC$5)))*$F18,
    "Custom",0,
    "0",0,
        0
)</f>
        <v>0</v>
      </c>
      <c r="CD18" s="335" cm="1">
        <f t="array" ref="CD18">_xlfn.SWITCH(
    $E18,
    "3 month avg", AVERAGE(CA18:CC18) * (1 + $F18),
    "6 month avg", AVERAGE(BX18:CC18) * (1 + $F18),
    "12 month avg", AVERAGE(BS18:CC18) * (1 + $F18),
    "Prior Month",CC18* (1 + $F18),
    "Prior Year", BR18* (1 + $F18),
    "Monthly assumption",$G18* (1 + $F18),
    "Quarterly assumption",$G18/3* (1 + $F18),
    "Annual assumption",$G18/12* (1 + $F18),
    "% of Revenue",SUM(_xlfn._xlws.FILTER(_xlfn._xlws.FILTER(dataSummaryPL,dataSummaryPLSections="Revenue"),(startDates&gt;=CD$4)*(endDates&lt;=CD$5)))*$F18,
    "Custom",0,
    "0",0,
        0
)</f>
        <v>0</v>
      </c>
      <c r="CE18" s="335" cm="1">
        <f t="array" ref="CE18">_xlfn.SWITCH(
    $E18,
    "3 month avg", AVERAGE(CB18:CD18) * (1 + $F18),
    "6 month avg", AVERAGE(BY18:CD18) * (1 + $F18),
    "12 month avg", AVERAGE(BT18:CD18) * (1 + $F18),
    "Prior Month",CD18* (1 + $F18),
    "Prior Year", BS18* (1 + $F18),
    "Monthly assumption",$G18* (1 + $F18),
    "Quarterly assumption",$G18/3* (1 + $F18),
    "Annual assumption",$G18/12* (1 + $F18),
    "% of Revenue",SUM(_xlfn._xlws.FILTER(_xlfn._xlws.FILTER(dataSummaryPL,dataSummaryPLSections="Revenue"),(startDates&gt;=CE$4)*(endDates&lt;=CE$5)))*$F18,
    "Custom",0,
    "0",0,
        0
)</f>
        <v>0</v>
      </c>
      <c r="CF18" s="335" cm="1">
        <f t="array" ref="CF18">_xlfn.SWITCH(
    $E18,
    "3 month avg", AVERAGE(CC18:CE18) * (1 + $F18),
    "6 month avg", AVERAGE(BZ18:CE18) * (1 + $F18),
    "12 month avg", AVERAGE(BU18:CE18) * (1 + $F18),
    "Prior Month",CE18* (1 + $F18),
    "Prior Year", BT18* (1 + $F18),
    "Monthly assumption",$G18* (1 + $F18),
    "Quarterly assumption",$G18/3* (1 + $F18),
    "Annual assumption",$G18/12* (1 + $F18),
    "% of Revenue",SUM(_xlfn._xlws.FILTER(_xlfn._xlws.FILTER(dataSummaryPL,dataSummaryPLSections="Revenue"),(startDates&gt;=CF$4)*(endDates&lt;=CF$5)))*$F18,
    "Custom",0,
    "0",0,
        0
)</f>
        <v>0</v>
      </c>
      <c r="CG18" s="335" cm="1">
        <f t="array" ref="CG18">_xlfn.SWITCH(
    $E18,
    "3 month avg", AVERAGE(CD18:CF18) * (1 + $F18),
    "6 month avg", AVERAGE(CA18:CF18) * (1 + $F18),
    "12 month avg", AVERAGE(BV18:CF18) * (1 + $F18),
    "Prior Month",CF18* (1 + $F18),
    "Prior Year", BU18* (1 + $F18),
    "Monthly assumption",$G18* (1 + $F18),
    "Quarterly assumption",$G18/3* (1 + $F18),
    "Annual assumption",$G18/12* (1 + $F18),
    "% of Revenue",SUM(_xlfn._xlws.FILTER(_xlfn._xlws.FILTER(dataSummaryPL,dataSummaryPLSections="Revenue"),(startDates&gt;=CG$4)*(endDates&lt;=CG$5)))*$F18,
    "Custom",0,
    "0",0,
        0
)</f>
        <v>0</v>
      </c>
      <c r="CH18" s="335" cm="1">
        <f t="array" ref="CH18">_xlfn.SWITCH(
    $E18,
    "3 month avg", AVERAGE(CE18:CG18) * (1 + $F18),
    "6 month avg", AVERAGE(CB18:CG18) * (1 + $F18),
    "12 month avg", AVERAGE(BW18:CG18) * (1 + $F18),
    "Prior Month",CG18* (1 + $F18),
    "Prior Year", BV18* (1 + $F18),
    "Monthly assumption",$G18* (1 + $F18),
    "Quarterly assumption",$G18/3* (1 + $F18),
    "Annual assumption",$G18/12* (1 + $F18),
    "% of Revenue",SUM(_xlfn._xlws.FILTER(_xlfn._xlws.FILTER(dataSummaryPL,dataSummaryPLSections="Revenue"),(startDates&gt;=CH$4)*(endDates&lt;=CH$5)))*$F18,
    "Custom",0,
    "0",0,
        0
)</f>
        <v>0</v>
      </c>
      <c r="CI18" s="335" cm="1">
        <f t="array" ref="CI18">_xlfn.SWITCH(
    $E18,
    "3 month avg", AVERAGE(CF18:CH18) * (1 + $F18),
    "6 month avg", AVERAGE(CC18:CH18) * (1 + $F18),
    "12 month avg", AVERAGE(BX18:CH18) * (1 + $F18),
    "Prior Month",CH18* (1 + $F18),
    "Prior Year", BW18* (1 + $F18),
    "Monthly assumption",$G18* (1 + $F18),
    "Quarterly assumption",$G18/3* (1 + $F18),
    "Annual assumption",$G18/12* (1 + $F18),
    "% of Revenue",SUM(_xlfn._xlws.FILTER(_xlfn._xlws.FILTER(dataSummaryPL,dataSummaryPLSections="Revenue"),(startDates&gt;=CI$4)*(endDates&lt;=CI$5)))*$F18,
    "Custom",0,
    "0",0,
        0
)</f>
        <v>0</v>
      </c>
      <c r="CJ18" s="335" cm="1">
        <f t="array" ref="CJ18">_xlfn.SWITCH(
    $E18,
    "3 month avg", AVERAGE(CG18:CI18) * (1 + $F18),
    "6 month avg", AVERAGE(CD18:CI18) * (1 + $F18),
    "12 month avg", AVERAGE(BY18:CI18) * (1 + $F18),
    "Prior Month",CI18* (1 + $F18),
    "Prior Year", BX18* (1 + $F18),
    "Monthly assumption",$G18* (1 + $F18),
    "Quarterly assumption",$G18/3* (1 + $F18),
    "Annual assumption",$G18/12* (1 + $F18),
    "% of Revenue",SUM(_xlfn._xlws.FILTER(_xlfn._xlws.FILTER(dataSummaryPL,dataSummaryPLSections="Revenue"),(startDates&gt;=CJ$4)*(endDates&lt;=CJ$5)))*$F18,
    "Custom",0,
    "0",0,
        0
)</f>
        <v>0</v>
      </c>
    </row>
    <row r="19" spans="3:88" outlineLevel="2">
      <c r="D19" s="336" t="s">
        <v>226</v>
      </c>
      <c r="E19" s="280" t="s">
        <v>353</v>
      </c>
      <c r="F19" s="332">
        <v>0.05</v>
      </c>
      <c r="G19" s="777"/>
      <c r="H19" s="277" t="str">
        <f>IFERROR(INDEX(PBC_ACCOUNT_LIST[Drivers Section],MATCH(Drivers!L19,PBC_ACCOUNT_LIST[Id],0)),"")</f>
        <v>COGS</v>
      </c>
      <c r="I19" s="277" t="str">
        <f>IFERROR(INDEX(PBC_ACCOUNT_LIST[Summary Grouping],MATCH(Drivers!L19,PBC_ACCOUNT_LIST[Id],0)),"")</f>
        <v>COGS</v>
      </c>
      <c r="J19" s="277">
        <f>IFERROR(INDEX(PBC_ACCOUNT_LIST[Cash Flow Section],MATCH(Drivers!L19,PBC_ACCOUNT_LIST[Id],0)),"")</f>
        <v>0</v>
      </c>
      <c r="K19" s="278" t="s">
        <v>106</v>
      </c>
      <c r="L19" s="277">
        <v>165</v>
      </c>
      <c r="M19" s="276"/>
      <c r="P19" s="334">
        <f t="shared" si="28"/>
        <v>5499.5</v>
      </c>
      <c r="Q19" s="334">
        <f t="shared" si="28"/>
        <v>11253.66</v>
      </c>
      <c r="R19" s="334">
        <f t="shared" si="28"/>
        <v>18563.320772727275</v>
      </c>
      <c r="S19" s="334">
        <f t="shared" si="28"/>
        <v>21678.020247516983</v>
      </c>
      <c r="T19" s="334"/>
      <c r="U19" s="334"/>
      <c r="V19" s="337">
        <f t="shared" si="29"/>
        <v>828</v>
      </c>
      <c r="W19" s="337">
        <f t="shared" si="29"/>
        <v>1102</v>
      </c>
      <c r="X19" s="337">
        <f t="shared" si="29"/>
        <v>1466</v>
      </c>
      <c r="Y19" s="337">
        <f t="shared" si="29"/>
        <v>2103.5</v>
      </c>
      <c r="Z19" s="337">
        <f t="shared" si="29"/>
        <v>2369</v>
      </c>
      <c r="AA19" s="337">
        <f t="shared" si="29"/>
        <v>2644.5</v>
      </c>
      <c r="AB19" s="337">
        <f t="shared" si="29"/>
        <v>2991.5</v>
      </c>
      <c r="AC19" s="337">
        <f t="shared" si="29"/>
        <v>3248.66</v>
      </c>
      <c r="AD19" s="337">
        <f t="shared" si="29"/>
        <v>3759.81</v>
      </c>
      <c r="AE19" s="337">
        <f t="shared" si="29"/>
        <v>4353.3599999999997</v>
      </c>
      <c r="AF19" s="337">
        <f t="shared" si="29"/>
        <v>5039.2</v>
      </c>
      <c r="AG19" s="337">
        <f t="shared" si="29"/>
        <v>5410.950772727273</v>
      </c>
      <c r="AH19" s="337">
        <f t="shared" si="29"/>
        <v>5088.2597646484064</v>
      </c>
      <c r="AI19" s="337">
        <f t="shared" si="29"/>
        <v>5387.5515530729826</v>
      </c>
      <c r="AJ19" s="337">
        <f t="shared" si="29"/>
        <v>5575.8729529565826</v>
      </c>
      <c r="AK19" s="337">
        <f t="shared" si="29"/>
        <v>5626.3359768390101</v>
      </c>
      <c r="AL19" s="337"/>
      <c r="AM19" s="334"/>
      <c r="AN19" s="337">
        <f>SUMIFS(PBC_PROFIT_AND_LOSS[AccountBalance], PBC_PROFIT_AND_LOSS[Id],$L19,PBC_PROFIT_AND_LOSS[Date],AN$5)</f>
        <v>0</v>
      </c>
      <c r="AO19" s="337">
        <f>SUMIFS(PBC_PROFIT_AND_LOSS[AccountBalance], PBC_PROFIT_AND_LOSS[Id],$L19,PBC_PROFIT_AND_LOSS[Date],AO$5)</f>
        <v>250</v>
      </c>
      <c r="AP19" s="337">
        <f>SUMIFS(PBC_PROFIT_AND_LOSS[AccountBalance], PBC_PROFIT_AND_LOSS[Id],$L19,PBC_PROFIT_AND_LOSS[Date],AP$5)</f>
        <v>275</v>
      </c>
      <c r="AQ19" s="337">
        <f>SUMIFS(PBC_PROFIT_AND_LOSS[AccountBalance], PBC_PROFIT_AND_LOSS[Id],$L19,PBC_PROFIT_AND_LOSS[Date],AQ$5)</f>
        <v>303</v>
      </c>
      <c r="AR19" s="337">
        <f>SUMIFS(PBC_PROFIT_AND_LOSS[AccountBalance], PBC_PROFIT_AND_LOSS[Id],$L19,PBC_PROFIT_AND_LOSS[Date],AR$5)</f>
        <v>333</v>
      </c>
      <c r="AS19" s="337">
        <f>SUMIFS(PBC_PROFIT_AND_LOSS[AccountBalance], PBC_PROFIT_AND_LOSS[Id],$L19,PBC_PROFIT_AND_LOSS[Date],AS$5)</f>
        <v>366</v>
      </c>
      <c r="AT19" s="337">
        <f>SUMIFS(PBC_PROFIT_AND_LOSS[AccountBalance], PBC_PROFIT_AND_LOSS[Id],$L19,PBC_PROFIT_AND_LOSS[Date],AT$5)</f>
        <v>403</v>
      </c>
      <c r="AU19" s="337">
        <f>SUMIFS(PBC_PROFIT_AND_LOSS[AccountBalance], PBC_PROFIT_AND_LOSS[Id],$L19,PBC_PROFIT_AND_LOSS[Date],AU$5)</f>
        <v>443</v>
      </c>
      <c r="AV19" s="337">
        <f>SUMIFS(PBC_PROFIT_AND_LOSS[AccountBalance], PBC_PROFIT_AND_LOSS[Id],$L19,PBC_PROFIT_AND_LOSS[Date],AV$5)</f>
        <v>487.5</v>
      </c>
      <c r="AW19" s="337">
        <f>SUMIFS(PBC_PROFIT_AND_LOSS[AccountBalance], PBC_PROFIT_AND_LOSS[Id],$L19,PBC_PROFIT_AND_LOSS[Date],AW$5)</f>
        <v>535.5</v>
      </c>
      <c r="AX19" s="337">
        <f>SUMIFS(PBC_PROFIT_AND_LOSS[AccountBalance], PBC_PROFIT_AND_LOSS[Id],$L19,PBC_PROFIT_AND_LOSS[Date],AX$5)</f>
        <v>589.5</v>
      </c>
      <c r="AY19" s="337">
        <f>SUMIFS(PBC_PROFIT_AND_LOSS[AccountBalance], PBC_PROFIT_AND_LOSS[Id],$L19,PBC_PROFIT_AND_LOSS[Date],AY$5)</f>
        <v>706.5</v>
      </c>
      <c r="AZ19" s="337">
        <f>SUMIFS(PBC_PROFIT_AND_LOSS[AccountBalance], PBC_PROFIT_AND_LOSS[Id],$L19,PBC_PROFIT_AND_LOSS[Date],AZ$5)</f>
        <v>807.5</v>
      </c>
      <c r="BA19" s="337">
        <f>SUMIFS(PBC_PROFIT_AND_LOSS[AccountBalance], PBC_PROFIT_AND_LOSS[Id],$L19,PBC_PROFIT_AND_LOSS[Date],BA$5)</f>
        <v>742</v>
      </c>
      <c r="BB19" s="337">
        <f>SUMIFS(PBC_PROFIT_AND_LOSS[AccountBalance], PBC_PROFIT_AND_LOSS[Id],$L19,PBC_PROFIT_AND_LOSS[Date],BB$5)</f>
        <v>848</v>
      </c>
      <c r="BC19" s="337">
        <f>SUMIFS(PBC_PROFIT_AND_LOSS[AccountBalance], PBC_PROFIT_AND_LOSS[Id],$L19,PBC_PROFIT_AND_LOSS[Date],BC$5)</f>
        <v>779</v>
      </c>
      <c r="BD19" s="337">
        <f>SUMIFS(PBC_PROFIT_AND_LOSS[AccountBalance], PBC_PROFIT_AND_LOSS[Id],$L19,PBC_PROFIT_AND_LOSS[Date],BD$5)</f>
        <v>890.5</v>
      </c>
      <c r="BE19" s="337">
        <f>SUMIFS(PBC_PROFIT_AND_LOSS[AccountBalance], PBC_PROFIT_AND_LOSS[Id],$L19,PBC_PROFIT_AND_LOSS[Date],BE$5)</f>
        <v>818.5</v>
      </c>
      <c r="BF19" s="337">
        <f>SUMIFS(PBC_PROFIT_AND_LOSS[AccountBalance], PBC_PROFIT_AND_LOSS[Id],$L19,PBC_PROFIT_AND_LOSS[Date],BF$5)</f>
        <v>935.5</v>
      </c>
      <c r="BG19" s="337">
        <f>SUMIFS(PBC_PROFIT_AND_LOSS[AccountBalance], PBC_PROFIT_AND_LOSS[Id],$L19,PBC_PROFIT_AND_LOSS[Date],BG$5)</f>
        <v>981</v>
      </c>
      <c r="BH19" s="337">
        <f>SUMIFS(PBC_PROFIT_AND_LOSS[AccountBalance], PBC_PROFIT_AND_LOSS[Id],$L19,PBC_PROFIT_AND_LOSS[Date],BH$5)</f>
        <v>980.5</v>
      </c>
      <c r="BI19" s="337">
        <f>SUMIFS(PBC_PROFIT_AND_LOSS[AccountBalance], PBC_PROFIT_AND_LOSS[Id],$L19,PBC_PROFIT_AND_LOSS[Date],BI$5)</f>
        <v>1030</v>
      </c>
      <c r="BJ19" s="337">
        <f>SUMIFS(PBC_PROFIT_AND_LOSS[AccountBalance], PBC_PROFIT_AND_LOSS[Id],$L19,PBC_PROFIT_AND_LOSS[Date],BJ$5)</f>
        <v>1030.33</v>
      </c>
      <c r="BK19" s="337">
        <f>SUMIFS(PBC_PROFIT_AND_LOSS[AccountBalance], PBC_PROFIT_AND_LOSS[Id],$L19,PBC_PROFIT_AND_LOSS[Date],BK$5)</f>
        <v>1082.33</v>
      </c>
      <c r="BL19" s="337">
        <f>SUMIFS(PBC_PROFIT_AND_LOSS[AccountBalance], PBC_PROFIT_AND_LOSS[Id],$L19,PBC_PROFIT_AND_LOSS[Date],BL$5)</f>
        <v>1136</v>
      </c>
      <c r="BM19" s="337">
        <f>SUMIFS(PBC_PROFIT_AND_LOSS[AccountBalance], PBC_PROFIT_AND_LOSS[Id],$L19,PBC_PROFIT_AND_LOSS[Date],BM$5)</f>
        <v>1192.81</v>
      </c>
      <c r="BN19" s="337">
        <f>SUMIFS(PBC_PROFIT_AND_LOSS[AccountBalance], PBC_PROFIT_AND_LOSS[Id],$L19,PBC_PROFIT_AND_LOSS[Date],BN$5)</f>
        <v>1252</v>
      </c>
      <c r="BO19" s="337">
        <f>SUMIFS(PBC_PROFIT_AND_LOSS[AccountBalance], PBC_PROFIT_AND_LOSS[Id],$L19,PBC_PROFIT_AND_LOSS[Date],BO$5)</f>
        <v>1315</v>
      </c>
      <c r="BP19" s="337">
        <f>SUMIFS(PBC_PROFIT_AND_LOSS[AccountBalance], PBC_PROFIT_AND_LOSS[Id],$L19,PBC_PROFIT_AND_LOSS[Date],BP$5)</f>
        <v>1381</v>
      </c>
      <c r="BQ19" s="337">
        <f>SUMIFS(PBC_PROFIT_AND_LOSS[AccountBalance], PBC_PROFIT_AND_LOSS[Id],$L19,PBC_PROFIT_AND_LOSS[Date],BQ$5)</f>
        <v>1450</v>
      </c>
      <c r="BR19" s="337">
        <f>SUMIFS(PBC_PROFIT_AND_LOSS[AccountBalance], PBC_PROFIT_AND_LOSS[Id],$L19,PBC_PROFIT_AND_LOSS[Date],BR$5)</f>
        <v>1522.36</v>
      </c>
      <c r="BS19" s="337">
        <f>SUMIFS(PBC_PROFIT_AND_LOSS[AccountBalance], PBC_PROFIT_AND_LOSS[Id],$L19,PBC_PROFIT_AND_LOSS[Date],BS$5)</f>
        <v>1598.48</v>
      </c>
      <c r="BT19" s="337">
        <f>SUMIFS(PBC_PROFIT_AND_LOSS[AccountBalance], PBC_PROFIT_AND_LOSS[Id],$L19,PBC_PROFIT_AND_LOSS[Date],BT$5)</f>
        <v>1678.4</v>
      </c>
      <c r="BU19" s="337">
        <f>SUMIFS(PBC_PROFIT_AND_LOSS[AccountBalance], PBC_PROFIT_AND_LOSS[Id],$L19,PBC_PROFIT_AND_LOSS[Date],BU$5)</f>
        <v>1762.32</v>
      </c>
      <c r="BV19" s="337">
        <f>SUMIFS(PBC_PROFIT_AND_LOSS[AccountBalance], PBC_PROFIT_AND_LOSS[Id],$L19,PBC_PROFIT_AND_LOSS[Date],BV$5)</f>
        <v>1850.44</v>
      </c>
      <c r="BW19" s="337">
        <f>SUMIFS(PBC_PROFIT_AND_LOSS[AccountBalance], PBC_PROFIT_AND_LOSS[Id],$L19,PBC_PROFIT_AND_LOSS[Date],BW$5)</f>
        <v>1942.96</v>
      </c>
      <c r="BX19" s="335" cm="1">
        <f t="array" ref="BX19">_xlfn.SWITCH(
    $E19,
    "3 month avg", AVERAGE(BU19:BW19) * (1 + $F19),
    "6 month avg", AVERAGE(BR19:BW19) * (1 + $F19),
    "12 month avg", AVERAGE(BM19:BW19) * (1 + $F19),
    "Prior Month",BW19* (1 + $F19),
    "Prior Year", BL19* (1 + $F19),
    "Monthly assumption",$G19* (1 + $F19),
    "Quarterly assumption",$G19/3* (1 + $F19),
    "Annual assumption",$G19/12* (1 + $F19),
    "% of Revenue",SUM(_xlfn._xlws.FILTER(_xlfn._xlws.FILTER(dataSummaryPL,dataSummaryPLSections="Revenue"),(startDates&gt;=BX$4)*(endDates&lt;=BX$5)))*$F19,
    "Custom",0,
    "0",0,
        0
)</f>
        <v>1617.5507727272727</v>
      </c>
      <c r="BY19" s="335" cm="1">
        <f t="array" ref="BY19">_xlfn.SWITCH(
    $E19,
    "3 month avg", AVERAGE(BV19:BX19) * (1 + $F19),
    "6 month avg", AVERAGE(BS19:BX19) * (1 + $F19),
    "12 month avg", AVERAGE(BN19:BX19) * (1 + $F19),
    "Prior Month",BX19* (1 + $F19),
    "Prior Year", BM19* (1 + $F19),
    "Monthly assumption",$G19* (1 + $F19),
    "Quarterly assumption",$G19/3* (1 + $F19),
    "Annual assumption",$G19/12* (1 + $F19),
    "% of Revenue",SUM(_xlfn._xlws.FILTER(_xlfn._xlws.FILTER(dataSummaryPL,dataSummaryPLSections="Revenue"),(startDates&gt;=BY$4)*(endDates&lt;=BY$5)))*$F19,
    "Custom",0,
    "0",0,
        0
)</f>
        <v>1658.0942101239671</v>
      </c>
      <c r="BZ19" s="335" cm="1">
        <f t="array" ref="BZ19">_xlfn.SWITCH(
    $E19,
    "3 month avg", AVERAGE(BW19:BY19) * (1 + $F19),
    "6 month avg", AVERAGE(BT19:BY19) * (1 + $F19),
    "12 month avg", AVERAGE(BO19:BY19) * (1 + $F19),
    "Prior Month",BY19* (1 + $F19),
    "Prior Year", BN19* (1 + $F19),
    "Monthly assumption",$G19* (1 + $F19),
    "Quarterly assumption",$G19/3* (1 + $F19),
    "Annual assumption",$G19/12* (1 + $F19),
    "% of Revenue",SUM(_xlfn._xlws.FILTER(_xlfn._xlws.FILTER(dataSummaryPL,dataSummaryPLSections="Revenue"),(startDates&gt;=BZ$4)*(endDates&lt;=BZ$5)))*$F19,
    "Custom",0,
    "0",0,
        0
)</f>
        <v>1696.8577483630729</v>
      </c>
      <c r="CA19" s="335" cm="1">
        <f t="array" ref="CA19">_xlfn.SWITCH(
    $E19,
    "3 month avg", AVERAGE(BX19:BZ19) * (1 + $F19),
    "6 month avg", AVERAGE(BU19:BZ19) * (1 + $F19),
    "12 month avg", AVERAGE(BP19:BZ19) * (1 + $F19),
    "Prior Month",BZ19* (1 + $F19),
    "Prior Year", BO19* (1 + $F19),
    "Monthly assumption",$G19* (1 + $F19),
    "Quarterly assumption",$G19/3* (1 + $F19),
    "Annual assumption",$G19/12* (1 + $F19),
    "% of Revenue",SUM(_xlfn._xlws.FILTER(_xlfn._xlws.FILTER(dataSummaryPL,dataSummaryPLSections="Revenue"),(startDates&gt;=CA$4)*(endDates&lt;=CA$5)))*$F19,
    "Custom",0,
    "0",0,
        0
)</f>
        <v>1733.3078061613662</v>
      </c>
      <c r="CB19" s="335" cm="1">
        <f t="array" ref="CB19">_xlfn.SWITCH(
    $E19,
    "3 month avg", AVERAGE(BY19:CA19) * (1 + $F19),
    "6 month avg", AVERAGE(BV19:CA19) * (1 + $F19),
    "12 month avg", AVERAGE(BQ19:CA19) * (1 + $F19),
    "Prior Month",CA19* (1 + $F19),
    "Prior Year", BP19* (1 + $F19),
    "Monthly assumption",$G19* (1 + $F19),
    "Quarterly assumption",$G19/3* (1 + $F19),
    "Annual assumption",$G19/12* (1 + $F19),
    "% of Revenue",SUM(_xlfn._xlws.FILTER(_xlfn._xlws.FILTER(dataSummaryPL,dataSummaryPLSections="Revenue"),(startDates&gt;=CB$4)*(endDates&lt;=CB$5)))*$F19,
    "Custom",0,
    "0",0,
        0
)</f>
        <v>1766.9371876585878</v>
      </c>
      <c r="CC19" s="335" cm="1">
        <f t="array" ref="CC19">_xlfn.SWITCH(
    $E19,
    "3 month avg", AVERAGE(BZ19:CB19) * (1 + $F19),
    "6 month avg", AVERAGE(BW19:CB19) * (1 + $F19),
    "12 month avg", AVERAGE(BR19:CB19) * (1 + $F19),
    "Prior Month",CB19* (1 + $F19),
    "Prior Year", BQ19* (1 + $F19),
    "Monthly assumption",$G19* (1 + $F19),
    "Quarterly assumption",$G19/3* (1 + $F19),
    "Annual assumption",$G19/12* (1 + $F19),
    "% of Revenue",SUM(_xlfn._xlws.FILTER(_xlfn._xlws.FILTER(dataSummaryPL,dataSummaryPLSections="Revenue"),(startDates&gt;=CC$4)*(endDates&lt;=CC$5)))*$F19,
    "Custom",0,
    "0",0,
        0
)</f>
        <v>1797.1902828441796</v>
      </c>
      <c r="CD19" s="335" cm="1">
        <f t="array" ref="CD19">_xlfn.SWITCH(
    $E19,
    "3 month avg", AVERAGE(CA19:CC19) * (1 + $F19),
    "6 month avg", AVERAGE(BX19:CC19) * (1 + $F19),
    "12 month avg", AVERAGE(BS19:CC19) * (1 + $F19),
    "Prior Month",CC19* (1 + $F19),
    "Prior Year", BR19* (1 + $F19),
    "Monthly assumption",$G19* (1 + $F19),
    "Quarterly assumption",$G19/3* (1 + $F19),
    "Annual assumption",$G19/12* (1 + $F19),
    "% of Revenue",SUM(_xlfn._xlws.FILTER(_xlfn._xlws.FILTER(dataSummaryPL,dataSummaryPLSections="Revenue"),(startDates&gt;=CD$4)*(endDates&lt;=CD$5)))*$F19,
    "Custom",0,
    "0",0,
        0
)</f>
        <v>1823.4240825702152</v>
      </c>
      <c r="CE19" s="335" cm="1">
        <f t="array" ref="CE19">_xlfn.SWITCH(
    $E19,
    "3 month avg", AVERAGE(CB19:CD19) * (1 + $F19),
    "6 month avg", AVERAGE(BY19:CD19) * (1 + $F19),
    "12 month avg", AVERAGE(BT19:CD19) * (1 + $F19),
    "Prior Month",CD19* (1 + $F19),
    "Prior Year", BS19* (1 + $F19),
    "Monthly assumption",$G19* (1 + $F19),
    "Quarterly assumption",$G19/3* (1 + $F19),
    "Annual assumption",$G19/12* (1 + $F19),
    "% of Revenue",SUM(_xlfn._xlws.FILTER(_xlfn._xlws.FILTER(dataSummaryPL,dataSummaryPLSections="Revenue"),(startDates&gt;=CE$4)*(endDates&lt;=CE$5)))*$F19,
    "Custom",0,
    "0",0,
        0
)</f>
        <v>1844.8960177246452</v>
      </c>
      <c r="CF19" s="335" cm="1">
        <f t="array" ref="CF19">_xlfn.SWITCH(
    $E19,
    "3 month avg", AVERAGE(CC19:CE19) * (1 + $F19),
    "6 month avg", AVERAGE(BZ19:CE19) * (1 + $F19),
    "12 month avg", AVERAGE(BU19:CE19) * (1 + $F19),
    "Prior Month",CE19* (1 + $F19),
    "Prior Year", BT19* (1 + $F19),
    "Monthly assumption",$G19* (1 + $F19),
    "Quarterly assumption",$G19/3* (1 + $F19),
    "Annual assumption",$G19/12* (1 + $F19),
    "% of Revenue",SUM(_xlfn._xlws.FILTER(_xlfn._xlws.FILTER(dataSummaryPL,dataSummaryPLSections="Revenue"),(startDates&gt;=CF$4)*(endDates&lt;=CF$5)))*$F19,
    "Custom",0,
    "0",0,
        0
)</f>
        <v>1860.7888194165428</v>
      </c>
      <c r="CG19" s="335" cm="1">
        <f t="array" ref="CG19">_xlfn.SWITCH(
    $E19,
    "3 month avg", AVERAGE(CD19:CF19) * (1 + $F19),
    "6 month avg", AVERAGE(CA19:CF19) * (1 + $F19),
    "12 month avg", AVERAGE(BV19:CF19) * (1 + $F19),
    "Prior Month",CF19* (1 + $F19),
    "Prior Year", BU19* (1 + $F19),
    "Monthly assumption",$G19* (1 + $F19),
    "Quarterly assumption",$G19/3* (1 + $F19),
    "Annual assumption",$G19/12* (1 + $F19),
    "% of Revenue",SUM(_xlfn._xlws.FILTER(_xlfn._xlws.FILTER(dataSummaryPL,dataSummaryPLSections="Revenue"),(startDates&gt;=CG$4)*(endDates&lt;=CG$5)))*$F19,
    "Custom",0,
    "0",0,
        0
)</f>
        <v>1870.1881158153949</v>
      </c>
      <c r="CH19" s="335" cm="1">
        <f t="array" ref="CH19">_xlfn.SWITCH(
    $E19,
    "3 month avg", AVERAGE(CE19:CG19) * (1 + $F19),
    "6 month avg", AVERAGE(CB19:CG19) * (1 + $F19),
    "12 month avg", AVERAGE(BW19:CG19) * (1 + $F19),
    "Prior Month",CG19* (1 + $F19),
    "Prior Year", BV19* (1 + $F19),
    "Monthly assumption",$G19* (1 + $F19),
    "Quarterly assumption",$G19/3* (1 + $F19),
    "Annual assumption",$G19/12* (1 + $F19),
    "% of Revenue",SUM(_xlfn._xlws.FILTER(_xlfn._xlws.FILTER(dataSummaryPL,dataSummaryPLSections="Revenue"),(startDates&gt;=CH$4)*(endDates&lt;=CH$5)))*$F19,
    "Custom",0,
    "0",0,
        0
)</f>
        <v>1872.0731632341372</v>
      </c>
      <c r="CI19" s="335" cm="1">
        <f t="array" ref="CI19">_xlfn.SWITCH(
    $E19,
    "3 month avg", AVERAGE(CF19:CH19) * (1 + $F19),
    "6 month avg", AVERAGE(CC19:CH19) * (1 + $F19),
    "12 month avg", AVERAGE(BX19:CH19) * (1 + $F19),
    "Prior Month",CH19* (1 + $F19),
    "Prior Year", BW19* (1 + $F19),
    "Monthly assumption",$G19* (1 + $F19),
    "Quarterly assumption",$G19/3* (1 + $F19),
    "Annual assumption",$G19/12* (1 + $F19),
    "% of Revenue",SUM(_xlfn._xlws.FILTER(_xlfn._xlws.FILTER(dataSummaryPL,dataSummaryPLSections="Revenue"),(startDates&gt;=CI$4)*(endDates&lt;=CI$5)))*$F19,
    "Custom",0,
    "0",0,
        0
)</f>
        <v>1865.306692451941</v>
      </c>
      <c r="CJ19" s="335" cm="1">
        <f t="array" ref="CJ19">_xlfn.SWITCH(
    $E19,
    "3 month avg", AVERAGE(CG19:CI19) * (1 + $F19),
    "6 month avg", AVERAGE(CD19:CI19) * (1 + $F19),
    "12 month avg", AVERAGE(BY19:CI19) * (1 + $F19),
    "Prior Month",CI19* (1 + $F19),
    "Prior Year", BX19* (1 + $F19),
    "Monthly assumption",$G19* (1 + $F19),
    "Quarterly assumption",$G19/3* (1 + $F19),
    "Annual assumption",$G19/12* (1 + $F19),
    "% of Revenue",SUM(_xlfn._xlws.FILTER(_xlfn._xlws.FILTER(dataSummaryPL,dataSummaryPLSections="Revenue"),(startDates&gt;=CJ$4)*(endDates&lt;=CJ$5)))*$F19,
    "Custom",0,
    "0",0,
        0
)</f>
        <v>1888.9561211529319</v>
      </c>
    </row>
    <row r="20" spans="3:88" outlineLevel="2">
      <c r="D20" s="336" t="s">
        <v>227</v>
      </c>
      <c r="E20" s="280" t="s">
        <v>351</v>
      </c>
      <c r="F20" s="332"/>
      <c r="G20" s="656">
        <v>360000</v>
      </c>
      <c r="H20" s="277" t="str">
        <f>IFERROR(INDEX(PBC_ACCOUNT_LIST[Drivers Section],MATCH(Drivers!L20,PBC_ACCOUNT_LIST[Id],0)),"")</f>
        <v>COGS</v>
      </c>
      <c r="I20" s="277" t="str">
        <f>IFERROR(INDEX(PBC_ACCOUNT_LIST[Summary Grouping],MATCH(Drivers!L20,PBC_ACCOUNT_LIST[Id],0)),"")</f>
        <v>COGS</v>
      </c>
      <c r="J20" s="277">
        <f>IFERROR(INDEX(PBC_ACCOUNT_LIST[Cash Flow Section],MATCH(Drivers!L20,PBC_ACCOUNT_LIST[Id],0)),"")</f>
        <v>0</v>
      </c>
      <c r="K20" s="278" t="s">
        <v>106</v>
      </c>
      <c r="L20" s="277">
        <v>24</v>
      </c>
      <c r="M20" s="276"/>
      <c r="P20" s="334">
        <f t="shared" si="28"/>
        <v>0</v>
      </c>
      <c r="Q20" s="334">
        <f t="shared" si="28"/>
        <v>0</v>
      </c>
      <c r="R20" s="334">
        <f t="shared" si="28"/>
        <v>30300</v>
      </c>
      <c r="S20" s="334">
        <f t="shared" si="28"/>
        <v>360000</v>
      </c>
      <c r="T20" s="334"/>
      <c r="U20" s="334"/>
      <c r="V20" s="337">
        <f t="shared" si="29"/>
        <v>0</v>
      </c>
      <c r="W20" s="337">
        <f t="shared" si="29"/>
        <v>0</v>
      </c>
      <c r="X20" s="337">
        <f t="shared" si="29"/>
        <v>0</v>
      </c>
      <c r="Y20" s="337">
        <f t="shared" si="29"/>
        <v>0</v>
      </c>
      <c r="Z20" s="337">
        <f t="shared" si="29"/>
        <v>0</v>
      </c>
      <c r="AA20" s="337">
        <f t="shared" si="29"/>
        <v>0</v>
      </c>
      <c r="AB20" s="337">
        <f t="shared" si="29"/>
        <v>0</v>
      </c>
      <c r="AC20" s="337">
        <f t="shared" si="29"/>
        <v>0</v>
      </c>
      <c r="AD20" s="337">
        <f t="shared" si="29"/>
        <v>0</v>
      </c>
      <c r="AE20" s="337">
        <f t="shared" si="29"/>
        <v>300</v>
      </c>
      <c r="AF20" s="337">
        <f t="shared" si="29"/>
        <v>0</v>
      </c>
      <c r="AG20" s="337">
        <f t="shared" si="29"/>
        <v>30000</v>
      </c>
      <c r="AH20" s="337">
        <f t="shared" si="29"/>
        <v>90000</v>
      </c>
      <c r="AI20" s="337">
        <f t="shared" si="29"/>
        <v>90000</v>
      </c>
      <c r="AJ20" s="337">
        <f t="shared" si="29"/>
        <v>90000</v>
      </c>
      <c r="AK20" s="337">
        <f t="shared" si="29"/>
        <v>90000</v>
      </c>
      <c r="AL20" s="337"/>
      <c r="AM20" s="334"/>
      <c r="AN20" s="337">
        <f>SUMIFS(PBC_PROFIT_AND_LOSS[AccountBalance], PBC_PROFIT_AND_LOSS[Id],$L20,PBC_PROFIT_AND_LOSS[Date],AN$5)</f>
        <v>0</v>
      </c>
      <c r="AO20" s="337">
        <f>SUMIFS(PBC_PROFIT_AND_LOSS[AccountBalance], PBC_PROFIT_AND_LOSS[Id],$L20,PBC_PROFIT_AND_LOSS[Date],AO$5)</f>
        <v>0</v>
      </c>
      <c r="AP20" s="337">
        <f>SUMIFS(PBC_PROFIT_AND_LOSS[AccountBalance], PBC_PROFIT_AND_LOSS[Id],$L20,PBC_PROFIT_AND_LOSS[Date],AP$5)</f>
        <v>0</v>
      </c>
      <c r="AQ20" s="337">
        <f>SUMIFS(PBC_PROFIT_AND_LOSS[AccountBalance], PBC_PROFIT_AND_LOSS[Id],$L20,PBC_PROFIT_AND_LOSS[Date],AQ$5)</f>
        <v>0</v>
      </c>
      <c r="AR20" s="337">
        <f>SUMIFS(PBC_PROFIT_AND_LOSS[AccountBalance], PBC_PROFIT_AND_LOSS[Id],$L20,PBC_PROFIT_AND_LOSS[Date],AR$5)</f>
        <v>0</v>
      </c>
      <c r="AS20" s="337">
        <f>SUMIFS(PBC_PROFIT_AND_LOSS[AccountBalance], PBC_PROFIT_AND_LOSS[Id],$L20,PBC_PROFIT_AND_LOSS[Date],AS$5)</f>
        <v>0</v>
      </c>
      <c r="AT20" s="337">
        <f>SUMIFS(PBC_PROFIT_AND_LOSS[AccountBalance], PBC_PROFIT_AND_LOSS[Id],$L20,PBC_PROFIT_AND_LOSS[Date],AT$5)</f>
        <v>0</v>
      </c>
      <c r="AU20" s="337">
        <f>SUMIFS(PBC_PROFIT_AND_LOSS[AccountBalance], PBC_PROFIT_AND_LOSS[Id],$L20,PBC_PROFIT_AND_LOSS[Date],AU$5)</f>
        <v>0</v>
      </c>
      <c r="AV20" s="337">
        <f>SUMIFS(PBC_PROFIT_AND_LOSS[AccountBalance], PBC_PROFIT_AND_LOSS[Id],$L20,PBC_PROFIT_AND_LOSS[Date],AV$5)</f>
        <v>0</v>
      </c>
      <c r="AW20" s="337">
        <f>SUMIFS(PBC_PROFIT_AND_LOSS[AccountBalance], PBC_PROFIT_AND_LOSS[Id],$L20,PBC_PROFIT_AND_LOSS[Date],AW$5)</f>
        <v>0</v>
      </c>
      <c r="AX20" s="337">
        <f>SUMIFS(PBC_PROFIT_AND_LOSS[AccountBalance], PBC_PROFIT_AND_LOSS[Id],$L20,PBC_PROFIT_AND_LOSS[Date],AX$5)</f>
        <v>0</v>
      </c>
      <c r="AY20" s="337">
        <f>SUMIFS(PBC_PROFIT_AND_LOSS[AccountBalance], PBC_PROFIT_AND_LOSS[Id],$L20,PBC_PROFIT_AND_LOSS[Date],AY$5)</f>
        <v>0</v>
      </c>
      <c r="AZ20" s="337">
        <f>SUMIFS(PBC_PROFIT_AND_LOSS[AccountBalance], PBC_PROFIT_AND_LOSS[Id],$L20,PBC_PROFIT_AND_LOSS[Date],AZ$5)</f>
        <v>0</v>
      </c>
      <c r="BA20" s="337">
        <f>SUMIFS(PBC_PROFIT_AND_LOSS[AccountBalance], PBC_PROFIT_AND_LOSS[Id],$L20,PBC_PROFIT_AND_LOSS[Date],BA$5)</f>
        <v>0</v>
      </c>
      <c r="BB20" s="337">
        <f>SUMIFS(PBC_PROFIT_AND_LOSS[AccountBalance], PBC_PROFIT_AND_LOSS[Id],$L20,PBC_PROFIT_AND_LOSS[Date],BB$5)</f>
        <v>0</v>
      </c>
      <c r="BC20" s="337">
        <f>SUMIFS(PBC_PROFIT_AND_LOSS[AccountBalance], PBC_PROFIT_AND_LOSS[Id],$L20,PBC_PROFIT_AND_LOSS[Date],BC$5)</f>
        <v>0</v>
      </c>
      <c r="BD20" s="337">
        <f>SUMIFS(PBC_PROFIT_AND_LOSS[AccountBalance], PBC_PROFIT_AND_LOSS[Id],$L20,PBC_PROFIT_AND_LOSS[Date],BD$5)</f>
        <v>0</v>
      </c>
      <c r="BE20" s="337">
        <f>SUMIFS(PBC_PROFIT_AND_LOSS[AccountBalance], PBC_PROFIT_AND_LOSS[Id],$L20,PBC_PROFIT_AND_LOSS[Date],BE$5)</f>
        <v>0</v>
      </c>
      <c r="BF20" s="337">
        <f>SUMIFS(PBC_PROFIT_AND_LOSS[AccountBalance], PBC_PROFIT_AND_LOSS[Id],$L20,PBC_PROFIT_AND_LOSS[Date],BF$5)</f>
        <v>0</v>
      </c>
      <c r="BG20" s="337">
        <f>SUMIFS(PBC_PROFIT_AND_LOSS[AccountBalance], PBC_PROFIT_AND_LOSS[Id],$L20,PBC_PROFIT_AND_LOSS[Date],BG$5)</f>
        <v>0</v>
      </c>
      <c r="BH20" s="337">
        <f>SUMIFS(PBC_PROFIT_AND_LOSS[AccountBalance], PBC_PROFIT_AND_LOSS[Id],$L20,PBC_PROFIT_AND_LOSS[Date],BH$5)</f>
        <v>0</v>
      </c>
      <c r="BI20" s="337">
        <f>SUMIFS(PBC_PROFIT_AND_LOSS[AccountBalance], PBC_PROFIT_AND_LOSS[Id],$L20,PBC_PROFIT_AND_LOSS[Date],BI$5)</f>
        <v>0</v>
      </c>
      <c r="BJ20" s="337">
        <f>SUMIFS(PBC_PROFIT_AND_LOSS[AccountBalance], PBC_PROFIT_AND_LOSS[Id],$L20,PBC_PROFIT_AND_LOSS[Date],BJ$5)</f>
        <v>0</v>
      </c>
      <c r="BK20" s="337">
        <f>SUMIFS(PBC_PROFIT_AND_LOSS[AccountBalance], PBC_PROFIT_AND_LOSS[Id],$L20,PBC_PROFIT_AND_LOSS[Date],BK$5)</f>
        <v>0</v>
      </c>
      <c r="BL20" s="337">
        <f>SUMIFS(PBC_PROFIT_AND_LOSS[AccountBalance], PBC_PROFIT_AND_LOSS[Id],$L20,PBC_PROFIT_AND_LOSS[Date],BL$5)</f>
        <v>0</v>
      </c>
      <c r="BM20" s="337">
        <f>SUMIFS(PBC_PROFIT_AND_LOSS[AccountBalance], PBC_PROFIT_AND_LOSS[Id],$L20,PBC_PROFIT_AND_LOSS[Date],BM$5)</f>
        <v>0</v>
      </c>
      <c r="BN20" s="337">
        <f>SUMIFS(PBC_PROFIT_AND_LOSS[AccountBalance], PBC_PROFIT_AND_LOSS[Id],$L20,PBC_PROFIT_AND_LOSS[Date],BN$5)</f>
        <v>0</v>
      </c>
      <c r="BO20" s="337">
        <f>SUMIFS(PBC_PROFIT_AND_LOSS[AccountBalance], PBC_PROFIT_AND_LOSS[Id],$L20,PBC_PROFIT_AND_LOSS[Date],BO$5)</f>
        <v>0</v>
      </c>
      <c r="BP20" s="337">
        <f>SUMIFS(PBC_PROFIT_AND_LOSS[AccountBalance], PBC_PROFIT_AND_LOSS[Id],$L20,PBC_PROFIT_AND_LOSS[Date],BP$5)</f>
        <v>0</v>
      </c>
      <c r="BQ20" s="337">
        <f>SUMIFS(PBC_PROFIT_AND_LOSS[AccountBalance], PBC_PROFIT_AND_LOSS[Id],$L20,PBC_PROFIT_AND_LOSS[Date],BQ$5)</f>
        <v>0</v>
      </c>
      <c r="BR20" s="337">
        <f>SUMIFS(PBC_PROFIT_AND_LOSS[AccountBalance], PBC_PROFIT_AND_LOSS[Id],$L20,PBC_PROFIT_AND_LOSS[Date],BR$5)</f>
        <v>300</v>
      </c>
      <c r="BS20" s="337">
        <f>SUMIFS(PBC_PROFIT_AND_LOSS[AccountBalance], PBC_PROFIT_AND_LOSS[Id],$L20,PBC_PROFIT_AND_LOSS[Date],BS$5)</f>
        <v>0</v>
      </c>
      <c r="BT20" s="337">
        <f>SUMIFS(PBC_PROFIT_AND_LOSS[AccountBalance], PBC_PROFIT_AND_LOSS[Id],$L20,PBC_PROFIT_AND_LOSS[Date],BT$5)</f>
        <v>0</v>
      </c>
      <c r="BU20" s="337">
        <f>SUMIFS(PBC_PROFIT_AND_LOSS[AccountBalance], PBC_PROFIT_AND_LOSS[Id],$L20,PBC_PROFIT_AND_LOSS[Date],BU$5)</f>
        <v>0</v>
      </c>
      <c r="BV20" s="337">
        <f>SUMIFS(PBC_PROFIT_AND_LOSS[AccountBalance], PBC_PROFIT_AND_LOSS[Id],$L20,PBC_PROFIT_AND_LOSS[Date],BV$5)</f>
        <v>0</v>
      </c>
      <c r="BW20" s="337">
        <f>SUMIFS(PBC_PROFIT_AND_LOSS[AccountBalance], PBC_PROFIT_AND_LOSS[Id],$L20,PBC_PROFIT_AND_LOSS[Date],BW$5)</f>
        <v>0</v>
      </c>
      <c r="BX20" s="335" cm="1">
        <f t="array" ref="BX20">_xlfn.SWITCH(
    $E20,
    "3 month avg", AVERAGE(BU20:BW20) * (1 + $F20),
    "6 month avg", AVERAGE(BR20:BW20) * (1 + $F20),
    "12 month avg", AVERAGE(BM20:BW20) * (1 + $F20),
    "Prior Month",BW20* (1 + $F20),
    "Prior Year", BL20* (1 + $F20),
    "Monthly assumption",$G20* (1 + $F20),
    "Quarterly assumption",$G20/3* (1 + $F20),
    "Annual assumption",$G20/12* (1 + $F20),
    "% of Revenue",SUM(_xlfn._xlws.FILTER(_xlfn._xlws.FILTER(dataSummaryPL,dataSummaryPLSections="Revenue"),(startDates&gt;=BX$4)*(endDates&lt;=BX$5)))*$F20,
    "Custom",0,
    "0",0,
        0
)</f>
        <v>30000</v>
      </c>
      <c r="BY20" s="335" cm="1">
        <f t="array" ref="BY20">_xlfn.SWITCH(
    $E20,
    "3 month avg", AVERAGE(BV20:BX20) * (1 + $F20),
    "6 month avg", AVERAGE(BS20:BX20) * (1 + $F20),
    "12 month avg", AVERAGE(BN20:BX20) * (1 + $F20),
    "Prior Month",BX20* (1 + $F20),
    "Prior Year", BM20* (1 + $F20),
    "Monthly assumption",$G20* (1 + $F20),
    "Quarterly assumption",$G20/3* (1 + $F20),
    "Annual assumption",$G20/12* (1 + $F20),
    "% of Revenue",SUM(_xlfn._xlws.FILTER(_xlfn._xlws.FILTER(dataSummaryPL,dataSummaryPLSections="Revenue"),(startDates&gt;=BY$4)*(endDates&lt;=BY$5)))*$F20,
    "Custom",0,
    "0",0,
        0
)</f>
        <v>30000</v>
      </c>
      <c r="BZ20" s="335" cm="1">
        <f t="array" ref="BZ20">_xlfn.SWITCH(
    $E20,
    "3 month avg", AVERAGE(BW20:BY20) * (1 + $F20),
    "6 month avg", AVERAGE(BT20:BY20) * (1 + $F20),
    "12 month avg", AVERAGE(BO20:BY20) * (1 + $F20),
    "Prior Month",BY20* (1 + $F20),
    "Prior Year", BN20* (1 + $F20),
    "Monthly assumption",$G20* (1 + $F20),
    "Quarterly assumption",$G20/3* (1 + $F20),
    "Annual assumption",$G20/12* (1 + $F20),
    "% of Revenue",SUM(_xlfn._xlws.FILTER(_xlfn._xlws.FILTER(dataSummaryPL,dataSummaryPLSections="Revenue"),(startDates&gt;=BZ$4)*(endDates&lt;=BZ$5)))*$F20,
    "Custom",0,
    "0",0,
        0
)</f>
        <v>30000</v>
      </c>
      <c r="CA20" s="335" cm="1">
        <f t="array" ref="CA20">_xlfn.SWITCH(
    $E20,
    "3 month avg", AVERAGE(BX20:BZ20) * (1 + $F20),
    "6 month avg", AVERAGE(BU20:BZ20) * (1 + $F20),
    "12 month avg", AVERAGE(BP20:BZ20) * (1 + $F20),
    "Prior Month",BZ20* (1 + $F20),
    "Prior Year", BO20* (1 + $F20),
    "Monthly assumption",$G20* (1 + $F20),
    "Quarterly assumption",$G20/3* (1 + $F20),
    "Annual assumption",$G20/12* (1 + $F20),
    "% of Revenue",SUM(_xlfn._xlws.FILTER(_xlfn._xlws.FILTER(dataSummaryPL,dataSummaryPLSections="Revenue"),(startDates&gt;=CA$4)*(endDates&lt;=CA$5)))*$F20,
    "Custom",0,
    "0",0,
        0
)</f>
        <v>30000</v>
      </c>
      <c r="CB20" s="335" cm="1">
        <f t="array" ref="CB20">_xlfn.SWITCH(
    $E20,
    "3 month avg", AVERAGE(BY20:CA20) * (1 + $F20),
    "6 month avg", AVERAGE(BV20:CA20) * (1 + $F20),
    "12 month avg", AVERAGE(BQ20:CA20) * (1 + $F20),
    "Prior Month",CA20* (1 + $F20),
    "Prior Year", BP20* (1 + $F20),
    "Monthly assumption",$G20* (1 + $F20),
    "Quarterly assumption",$G20/3* (1 + $F20),
    "Annual assumption",$G20/12* (1 + $F20),
    "% of Revenue",SUM(_xlfn._xlws.FILTER(_xlfn._xlws.FILTER(dataSummaryPL,dataSummaryPLSections="Revenue"),(startDates&gt;=CB$4)*(endDates&lt;=CB$5)))*$F20,
    "Custom",0,
    "0",0,
        0
)</f>
        <v>30000</v>
      </c>
      <c r="CC20" s="335" cm="1">
        <f t="array" ref="CC20">_xlfn.SWITCH(
    $E20,
    "3 month avg", AVERAGE(BZ20:CB20) * (1 + $F20),
    "6 month avg", AVERAGE(BW20:CB20) * (1 + $F20),
    "12 month avg", AVERAGE(BR20:CB20) * (1 + $F20),
    "Prior Month",CB20* (1 + $F20),
    "Prior Year", BQ20* (1 + $F20),
    "Monthly assumption",$G20* (1 + $F20),
    "Quarterly assumption",$G20/3* (1 + $F20),
    "Annual assumption",$G20/12* (1 + $F20),
    "% of Revenue",SUM(_xlfn._xlws.FILTER(_xlfn._xlws.FILTER(dataSummaryPL,dataSummaryPLSections="Revenue"),(startDates&gt;=CC$4)*(endDates&lt;=CC$5)))*$F20,
    "Custom",0,
    "0",0,
        0
)</f>
        <v>30000</v>
      </c>
      <c r="CD20" s="335" cm="1">
        <f t="array" ref="CD20">_xlfn.SWITCH(
    $E20,
    "3 month avg", AVERAGE(CA20:CC20) * (1 + $F20),
    "6 month avg", AVERAGE(BX20:CC20) * (1 + $F20),
    "12 month avg", AVERAGE(BS20:CC20) * (1 + $F20),
    "Prior Month",CC20* (1 + $F20),
    "Prior Year", BR20* (1 + $F20),
    "Monthly assumption",$G20* (1 + $F20),
    "Quarterly assumption",$G20/3* (1 + $F20),
    "Annual assumption",$G20/12* (1 + $F20),
    "% of Revenue",SUM(_xlfn._xlws.FILTER(_xlfn._xlws.FILTER(dataSummaryPL,dataSummaryPLSections="Revenue"),(startDates&gt;=CD$4)*(endDates&lt;=CD$5)))*$F20,
    "Custom",0,
    "0",0,
        0
)</f>
        <v>30000</v>
      </c>
      <c r="CE20" s="335" cm="1">
        <f t="array" ref="CE20">_xlfn.SWITCH(
    $E20,
    "3 month avg", AVERAGE(CB20:CD20) * (1 + $F20),
    "6 month avg", AVERAGE(BY20:CD20) * (1 + $F20),
    "12 month avg", AVERAGE(BT20:CD20) * (1 + $F20),
    "Prior Month",CD20* (1 + $F20),
    "Prior Year", BS20* (1 + $F20),
    "Monthly assumption",$G20* (1 + $F20),
    "Quarterly assumption",$G20/3* (1 + $F20),
    "Annual assumption",$G20/12* (1 + $F20),
    "% of Revenue",SUM(_xlfn._xlws.FILTER(_xlfn._xlws.FILTER(dataSummaryPL,dataSummaryPLSections="Revenue"),(startDates&gt;=CE$4)*(endDates&lt;=CE$5)))*$F20,
    "Custom",0,
    "0",0,
        0
)</f>
        <v>30000</v>
      </c>
      <c r="CF20" s="335" cm="1">
        <f t="array" ref="CF20">_xlfn.SWITCH(
    $E20,
    "3 month avg", AVERAGE(CC20:CE20) * (1 + $F20),
    "6 month avg", AVERAGE(BZ20:CE20) * (1 + $F20),
    "12 month avg", AVERAGE(BU20:CE20) * (1 + $F20),
    "Prior Month",CE20* (1 + $F20),
    "Prior Year", BT20* (1 + $F20),
    "Monthly assumption",$G20* (1 + $F20),
    "Quarterly assumption",$G20/3* (1 + $F20),
    "Annual assumption",$G20/12* (1 + $F20),
    "% of Revenue",SUM(_xlfn._xlws.FILTER(_xlfn._xlws.FILTER(dataSummaryPL,dataSummaryPLSections="Revenue"),(startDates&gt;=CF$4)*(endDates&lt;=CF$5)))*$F20,
    "Custom",0,
    "0",0,
        0
)</f>
        <v>30000</v>
      </c>
      <c r="CG20" s="335" cm="1">
        <f t="array" ref="CG20">_xlfn.SWITCH(
    $E20,
    "3 month avg", AVERAGE(CD20:CF20) * (1 + $F20),
    "6 month avg", AVERAGE(CA20:CF20) * (1 + $F20),
    "12 month avg", AVERAGE(BV20:CF20) * (1 + $F20),
    "Prior Month",CF20* (1 + $F20),
    "Prior Year", BU20* (1 + $F20),
    "Monthly assumption",$G20* (1 + $F20),
    "Quarterly assumption",$G20/3* (1 + $F20),
    "Annual assumption",$G20/12* (1 + $F20),
    "% of Revenue",SUM(_xlfn._xlws.FILTER(_xlfn._xlws.FILTER(dataSummaryPL,dataSummaryPLSections="Revenue"),(startDates&gt;=CG$4)*(endDates&lt;=CG$5)))*$F20,
    "Custom",0,
    "0",0,
        0
)</f>
        <v>30000</v>
      </c>
      <c r="CH20" s="335" cm="1">
        <f t="array" ref="CH20">_xlfn.SWITCH(
    $E20,
    "3 month avg", AVERAGE(CE20:CG20) * (1 + $F20),
    "6 month avg", AVERAGE(CB20:CG20) * (1 + $F20),
    "12 month avg", AVERAGE(BW20:CG20) * (1 + $F20),
    "Prior Month",CG20* (1 + $F20),
    "Prior Year", BV20* (1 + $F20),
    "Monthly assumption",$G20* (1 + $F20),
    "Quarterly assumption",$G20/3* (1 + $F20),
    "Annual assumption",$G20/12* (1 + $F20),
    "% of Revenue",SUM(_xlfn._xlws.FILTER(_xlfn._xlws.FILTER(dataSummaryPL,dataSummaryPLSections="Revenue"),(startDates&gt;=CH$4)*(endDates&lt;=CH$5)))*$F20,
    "Custom",0,
    "0",0,
        0
)</f>
        <v>30000</v>
      </c>
      <c r="CI20" s="335" cm="1">
        <f t="array" ref="CI20">_xlfn.SWITCH(
    $E20,
    "3 month avg", AVERAGE(CF20:CH20) * (1 + $F20),
    "6 month avg", AVERAGE(CC20:CH20) * (1 + $F20),
    "12 month avg", AVERAGE(BX20:CH20) * (1 + $F20),
    "Prior Month",CH20* (1 + $F20),
    "Prior Year", BW20* (1 + $F20),
    "Monthly assumption",$G20* (1 + $F20),
    "Quarterly assumption",$G20/3* (1 + $F20),
    "Annual assumption",$G20/12* (1 + $F20),
    "% of Revenue",SUM(_xlfn._xlws.FILTER(_xlfn._xlws.FILTER(dataSummaryPL,dataSummaryPLSections="Revenue"),(startDates&gt;=CI$4)*(endDates&lt;=CI$5)))*$F20,
    "Custom",0,
    "0",0,
        0
)</f>
        <v>30000</v>
      </c>
      <c r="CJ20" s="335" cm="1">
        <f t="array" ref="CJ20">_xlfn.SWITCH(
    $E20,
    "3 month avg", AVERAGE(CG20:CI20) * (1 + $F20),
    "6 month avg", AVERAGE(CD20:CI20) * (1 + $F20),
    "12 month avg", AVERAGE(BY20:CI20) * (1 + $F20),
    "Prior Month",CI20* (1 + $F20),
    "Prior Year", BX20* (1 + $F20),
    "Monthly assumption",$G20* (1 + $F20),
    "Quarterly assumption",$G20/3* (1 + $F20),
    "Annual assumption",$G20/12* (1 + $F20),
    "% of Revenue",SUM(_xlfn._xlws.FILTER(_xlfn._xlws.FILTER(dataSummaryPL,dataSummaryPLSections="Revenue"),(startDates&gt;=CJ$4)*(endDates&lt;=CJ$5)))*$F20,
    "Custom",0,
    "0",0,
        0
)</f>
        <v>30000</v>
      </c>
    </row>
    <row r="21" spans="3:88" ht="14.45" customHeight="1" outlineLevel="2">
      <c r="D21" s="336" t="s">
        <v>228</v>
      </c>
      <c r="E21" s="280" t="s">
        <v>354</v>
      </c>
      <c r="F21" s="332">
        <v>0.05</v>
      </c>
      <c r="G21" s="777"/>
      <c r="H21" s="277" t="str">
        <f>IFERROR(INDEX(PBC_ACCOUNT_LIST[Drivers Section],MATCH(Drivers!L21,PBC_ACCOUNT_LIST[Id],0)),"")</f>
        <v>COGS</v>
      </c>
      <c r="I21" s="277" t="str">
        <f>IFERROR(INDEX(PBC_ACCOUNT_LIST[Summary Grouping],MATCH(Drivers!L21,PBC_ACCOUNT_LIST[Id],0)),"")</f>
        <v>COGS</v>
      </c>
      <c r="J21" s="277">
        <f>IFERROR(INDEX(PBC_ACCOUNT_LIST[Cash Flow Section],MATCH(Drivers!L21,PBC_ACCOUNT_LIST[Id],0)),"")</f>
        <v>0</v>
      </c>
      <c r="K21" s="278" t="s">
        <v>106</v>
      </c>
      <c r="L21" s="277">
        <v>207</v>
      </c>
      <c r="M21" s="276"/>
      <c r="P21" s="334">
        <f t="shared" si="28"/>
        <v>0</v>
      </c>
      <c r="Q21" s="334">
        <f t="shared" si="28"/>
        <v>0</v>
      </c>
      <c r="R21" s="334">
        <f t="shared" si="28"/>
        <v>-1175</v>
      </c>
      <c r="S21" s="334">
        <f t="shared" si="28"/>
        <v>-1365.0169807550246</v>
      </c>
      <c r="T21" s="334"/>
      <c r="U21" s="334"/>
      <c r="V21" s="337">
        <f t="shared" si="29"/>
        <v>0</v>
      </c>
      <c r="W21" s="337">
        <f t="shared" si="29"/>
        <v>0</v>
      </c>
      <c r="X21" s="337">
        <f t="shared" si="29"/>
        <v>0</v>
      </c>
      <c r="Y21" s="337">
        <f t="shared" si="29"/>
        <v>0</v>
      </c>
      <c r="Z21" s="337">
        <f t="shared" si="29"/>
        <v>0</v>
      </c>
      <c r="AA21" s="337">
        <f t="shared" si="29"/>
        <v>0</v>
      </c>
      <c r="AB21" s="337">
        <f t="shared" si="29"/>
        <v>0</v>
      </c>
      <c r="AC21" s="337">
        <f t="shared" si="29"/>
        <v>0</v>
      </c>
      <c r="AD21" s="337">
        <f t="shared" si="29"/>
        <v>0</v>
      </c>
      <c r="AE21" s="337">
        <f t="shared" si="29"/>
        <v>0</v>
      </c>
      <c r="AF21" s="337">
        <f t="shared" si="29"/>
        <v>-1000</v>
      </c>
      <c r="AG21" s="337">
        <f t="shared" si="29"/>
        <v>-175</v>
      </c>
      <c r="AH21" s="337">
        <f t="shared" si="29"/>
        <v>-350.50039062500002</v>
      </c>
      <c r="AI21" s="337">
        <f t="shared" si="29"/>
        <v>-326.98440712280279</v>
      </c>
      <c r="AJ21" s="337">
        <f t="shared" si="29"/>
        <v>-331.63167344860551</v>
      </c>
      <c r="AK21" s="337">
        <f t="shared" si="29"/>
        <v>-355.90050955861631</v>
      </c>
      <c r="AL21" s="337"/>
      <c r="AM21" s="334"/>
      <c r="AN21" s="337">
        <f>SUMIFS(PBC_PROFIT_AND_LOSS[AccountBalance], PBC_PROFIT_AND_LOSS[Id],$L21,PBC_PROFIT_AND_LOSS[Date],AN$5)</f>
        <v>0</v>
      </c>
      <c r="AO21" s="337">
        <f>SUMIFS(PBC_PROFIT_AND_LOSS[AccountBalance], PBC_PROFIT_AND_LOSS[Id],$L21,PBC_PROFIT_AND_LOSS[Date],AO$5)</f>
        <v>0</v>
      </c>
      <c r="AP21" s="337">
        <f>SUMIFS(PBC_PROFIT_AND_LOSS[AccountBalance], PBC_PROFIT_AND_LOSS[Id],$L21,PBC_PROFIT_AND_LOSS[Date],AP$5)</f>
        <v>0</v>
      </c>
      <c r="AQ21" s="337">
        <f>SUMIFS(PBC_PROFIT_AND_LOSS[AccountBalance], PBC_PROFIT_AND_LOSS[Id],$L21,PBC_PROFIT_AND_LOSS[Date],AQ$5)</f>
        <v>0</v>
      </c>
      <c r="AR21" s="337">
        <f>SUMIFS(PBC_PROFIT_AND_LOSS[AccountBalance], PBC_PROFIT_AND_LOSS[Id],$L21,PBC_PROFIT_AND_LOSS[Date],AR$5)</f>
        <v>0</v>
      </c>
      <c r="AS21" s="337">
        <f>SUMIFS(PBC_PROFIT_AND_LOSS[AccountBalance], PBC_PROFIT_AND_LOSS[Id],$L21,PBC_PROFIT_AND_LOSS[Date],AS$5)</f>
        <v>0</v>
      </c>
      <c r="AT21" s="337">
        <f>SUMIFS(PBC_PROFIT_AND_LOSS[AccountBalance], PBC_PROFIT_AND_LOSS[Id],$L21,PBC_PROFIT_AND_LOSS[Date],AT$5)</f>
        <v>0</v>
      </c>
      <c r="AU21" s="337">
        <f>SUMIFS(PBC_PROFIT_AND_LOSS[AccountBalance], PBC_PROFIT_AND_LOSS[Id],$L21,PBC_PROFIT_AND_LOSS[Date],AU$5)</f>
        <v>0</v>
      </c>
      <c r="AV21" s="337">
        <f>SUMIFS(PBC_PROFIT_AND_LOSS[AccountBalance], PBC_PROFIT_AND_LOSS[Id],$L21,PBC_PROFIT_AND_LOSS[Date],AV$5)</f>
        <v>0</v>
      </c>
      <c r="AW21" s="337">
        <f>SUMIFS(PBC_PROFIT_AND_LOSS[AccountBalance], PBC_PROFIT_AND_LOSS[Id],$L21,PBC_PROFIT_AND_LOSS[Date],AW$5)</f>
        <v>0</v>
      </c>
      <c r="AX21" s="337">
        <f>SUMIFS(PBC_PROFIT_AND_LOSS[AccountBalance], PBC_PROFIT_AND_LOSS[Id],$L21,PBC_PROFIT_AND_LOSS[Date],AX$5)</f>
        <v>0</v>
      </c>
      <c r="AY21" s="337">
        <f>SUMIFS(PBC_PROFIT_AND_LOSS[AccountBalance], PBC_PROFIT_AND_LOSS[Id],$L21,PBC_PROFIT_AND_LOSS[Date],AY$5)</f>
        <v>0</v>
      </c>
      <c r="AZ21" s="337">
        <f>SUMIFS(PBC_PROFIT_AND_LOSS[AccountBalance], PBC_PROFIT_AND_LOSS[Id],$L21,PBC_PROFIT_AND_LOSS[Date],AZ$5)</f>
        <v>0</v>
      </c>
      <c r="BA21" s="337">
        <f>SUMIFS(PBC_PROFIT_AND_LOSS[AccountBalance], PBC_PROFIT_AND_LOSS[Id],$L21,PBC_PROFIT_AND_LOSS[Date],BA$5)</f>
        <v>0</v>
      </c>
      <c r="BB21" s="337">
        <f>SUMIFS(PBC_PROFIT_AND_LOSS[AccountBalance], PBC_PROFIT_AND_LOSS[Id],$L21,PBC_PROFIT_AND_LOSS[Date],BB$5)</f>
        <v>0</v>
      </c>
      <c r="BC21" s="337">
        <f>SUMIFS(PBC_PROFIT_AND_LOSS[AccountBalance], PBC_PROFIT_AND_LOSS[Id],$L21,PBC_PROFIT_AND_LOSS[Date],BC$5)</f>
        <v>0</v>
      </c>
      <c r="BD21" s="337">
        <f>SUMIFS(PBC_PROFIT_AND_LOSS[AccountBalance], PBC_PROFIT_AND_LOSS[Id],$L21,PBC_PROFIT_AND_LOSS[Date],BD$5)</f>
        <v>0</v>
      </c>
      <c r="BE21" s="337">
        <f>SUMIFS(PBC_PROFIT_AND_LOSS[AccountBalance], PBC_PROFIT_AND_LOSS[Id],$L21,PBC_PROFIT_AND_LOSS[Date],BE$5)</f>
        <v>0</v>
      </c>
      <c r="BF21" s="337">
        <f>SUMIFS(PBC_PROFIT_AND_LOSS[AccountBalance], PBC_PROFIT_AND_LOSS[Id],$L21,PBC_PROFIT_AND_LOSS[Date],BF$5)</f>
        <v>0</v>
      </c>
      <c r="BG21" s="337">
        <f>SUMIFS(PBC_PROFIT_AND_LOSS[AccountBalance], PBC_PROFIT_AND_LOSS[Id],$L21,PBC_PROFIT_AND_LOSS[Date],BG$5)</f>
        <v>0</v>
      </c>
      <c r="BH21" s="337">
        <f>SUMIFS(PBC_PROFIT_AND_LOSS[AccountBalance], PBC_PROFIT_AND_LOSS[Id],$L21,PBC_PROFIT_AND_LOSS[Date],BH$5)</f>
        <v>0</v>
      </c>
      <c r="BI21" s="337">
        <f>SUMIFS(PBC_PROFIT_AND_LOSS[AccountBalance], PBC_PROFIT_AND_LOSS[Id],$L21,PBC_PROFIT_AND_LOSS[Date],BI$5)</f>
        <v>0</v>
      </c>
      <c r="BJ21" s="337">
        <f>SUMIFS(PBC_PROFIT_AND_LOSS[AccountBalance], PBC_PROFIT_AND_LOSS[Id],$L21,PBC_PROFIT_AND_LOSS[Date],BJ$5)</f>
        <v>0</v>
      </c>
      <c r="BK21" s="337">
        <f>SUMIFS(PBC_PROFIT_AND_LOSS[AccountBalance], PBC_PROFIT_AND_LOSS[Id],$L21,PBC_PROFIT_AND_LOSS[Date],BK$5)</f>
        <v>0</v>
      </c>
      <c r="BL21" s="337">
        <f>SUMIFS(PBC_PROFIT_AND_LOSS[AccountBalance], PBC_PROFIT_AND_LOSS[Id],$L21,PBC_PROFIT_AND_LOSS[Date],BL$5)</f>
        <v>0</v>
      </c>
      <c r="BM21" s="337">
        <f>SUMIFS(PBC_PROFIT_AND_LOSS[AccountBalance], PBC_PROFIT_AND_LOSS[Id],$L21,PBC_PROFIT_AND_LOSS[Date],BM$5)</f>
        <v>0</v>
      </c>
      <c r="BN21" s="337">
        <f>SUMIFS(PBC_PROFIT_AND_LOSS[AccountBalance], PBC_PROFIT_AND_LOSS[Id],$L21,PBC_PROFIT_AND_LOSS[Date],BN$5)</f>
        <v>0</v>
      </c>
      <c r="BO21" s="337">
        <f>SUMIFS(PBC_PROFIT_AND_LOSS[AccountBalance], PBC_PROFIT_AND_LOSS[Id],$L21,PBC_PROFIT_AND_LOSS[Date],BO$5)</f>
        <v>0</v>
      </c>
      <c r="BP21" s="337">
        <f>SUMIFS(PBC_PROFIT_AND_LOSS[AccountBalance], PBC_PROFIT_AND_LOSS[Id],$L21,PBC_PROFIT_AND_LOSS[Date],BP$5)</f>
        <v>0</v>
      </c>
      <c r="BQ21" s="337">
        <f>SUMIFS(PBC_PROFIT_AND_LOSS[AccountBalance], PBC_PROFIT_AND_LOSS[Id],$L21,PBC_PROFIT_AND_LOSS[Date],BQ$5)</f>
        <v>0</v>
      </c>
      <c r="BR21" s="337">
        <f>SUMIFS(PBC_PROFIT_AND_LOSS[AccountBalance], PBC_PROFIT_AND_LOSS[Id],$L21,PBC_PROFIT_AND_LOSS[Date],BR$5)</f>
        <v>0</v>
      </c>
      <c r="BS21" s="337">
        <f>SUMIFS(PBC_PROFIT_AND_LOSS[AccountBalance], PBC_PROFIT_AND_LOSS[Id],$L21,PBC_PROFIT_AND_LOSS[Date],BS$5)</f>
        <v>-1000</v>
      </c>
      <c r="BT21" s="337">
        <f>SUMIFS(PBC_PROFIT_AND_LOSS[AccountBalance], PBC_PROFIT_AND_LOSS[Id],$L21,PBC_PROFIT_AND_LOSS[Date],BT$5)</f>
        <v>0</v>
      </c>
      <c r="BU21" s="337">
        <f>SUMIFS(PBC_PROFIT_AND_LOSS[AccountBalance], PBC_PROFIT_AND_LOSS[Id],$L21,PBC_PROFIT_AND_LOSS[Date],BU$5)</f>
        <v>0</v>
      </c>
      <c r="BV21" s="337">
        <f>SUMIFS(PBC_PROFIT_AND_LOSS[AccountBalance], PBC_PROFIT_AND_LOSS[Id],$L21,PBC_PROFIT_AND_LOSS[Date],BV$5)</f>
        <v>0</v>
      </c>
      <c r="BW21" s="337">
        <f>SUMIFS(PBC_PROFIT_AND_LOSS[AccountBalance], PBC_PROFIT_AND_LOSS[Id],$L21,PBC_PROFIT_AND_LOSS[Date],BW$5)</f>
        <v>0</v>
      </c>
      <c r="BX21" s="335" cm="1">
        <f t="array" ref="BX21">_xlfn.SWITCH(
    $E21,
    "3 month avg", AVERAGE(BU21:BW21) * (1 + $F21),
    "6 month avg", AVERAGE(BR21:BW21) * (1 + $F21),
    "12 month avg", AVERAGE(BM21:BW21) * (1 + $F21),
    "Prior Month",BW21* (1 + $F21),
    "Prior Year", BL21* (1 + $F21),
    "Monthly assumption",$G21* (1 + $F21),
    "Quarterly assumption",$G21/3* (1 + $F21),
    "Annual assumption",$G21/12* (1 + $F21),
    "% of Revenue",SUM(_xlfn._xlws.FILTER(_xlfn._xlws.FILTER(dataSummaryPL,dataSummaryPLSections="Revenue"),(startDates&gt;=BX$4)*(endDates&lt;=BX$5)))*$F21,
    "Custom",0,
    "0",0,
        0
)</f>
        <v>-175</v>
      </c>
      <c r="BY21" s="335" cm="1">
        <f t="array" ref="BY21">_xlfn.SWITCH(
    $E21,
    "3 month avg", AVERAGE(BV21:BX21) * (1 + $F21),
    "6 month avg", AVERAGE(BS21:BX21) * (1 + $F21),
    "12 month avg", AVERAGE(BN21:BX21) * (1 + $F21),
    "Prior Month",BX21* (1 + $F21),
    "Prior Year", BM21* (1 + $F21),
    "Monthly assumption",$G21* (1 + $F21),
    "Quarterly assumption",$G21/3* (1 + $F21),
    "Annual assumption",$G21/12* (1 + $F21),
    "% of Revenue",SUM(_xlfn._xlws.FILTER(_xlfn._xlws.FILTER(dataSummaryPL,dataSummaryPLSections="Revenue"),(startDates&gt;=BY$4)*(endDates&lt;=BY$5)))*$F21,
    "Custom",0,
    "0",0,
        0
)</f>
        <v>-205.62500000000003</v>
      </c>
      <c r="BZ21" s="335" cm="1">
        <f t="array" ref="BZ21">_xlfn.SWITCH(
    $E21,
    "3 month avg", AVERAGE(BW21:BY21) * (1 + $F21),
    "6 month avg", AVERAGE(BT21:BY21) * (1 + $F21),
    "12 month avg", AVERAGE(BO21:BY21) * (1 + $F21),
    "Prior Month",BY21* (1 + $F21),
    "Prior Year", BN21* (1 + $F21),
    "Monthly assumption",$G21* (1 + $F21),
    "Quarterly assumption",$G21/3* (1 + $F21),
    "Annual assumption",$G21/12* (1 + $F21),
    "% of Revenue",SUM(_xlfn._xlws.FILTER(_xlfn._xlws.FILTER(dataSummaryPL,dataSummaryPLSections="Revenue"),(startDates&gt;=BZ$4)*(endDates&lt;=BZ$5)))*$F21,
    "Custom",0,
    "0",0,
        0
)</f>
        <v>-66.609375</v>
      </c>
      <c r="CA21" s="335" cm="1">
        <f t="array" ref="CA21">_xlfn.SWITCH(
    $E21,
    "3 month avg", AVERAGE(BX21:BZ21) * (1 + $F21),
    "6 month avg", AVERAGE(BU21:BZ21) * (1 + $F21),
    "12 month avg", AVERAGE(BP21:BZ21) * (1 + $F21),
    "Prior Month",BZ21* (1 + $F21),
    "Prior Year", BO21* (1 + $F21),
    "Monthly assumption",$G21* (1 + $F21),
    "Quarterly assumption",$G21/3* (1 + $F21),
    "Annual assumption",$G21/12* (1 + $F21),
    "% of Revenue",SUM(_xlfn._xlws.FILTER(_xlfn._xlws.FILTER(dataSummaryPL,dataSummaryPLSections="Revenue"),(startDates&gt;=CA$4)*(endDates&lt;=CA$5)))*$F21,
    "Custom",0,
    "0",0,
        0
)</f>
        <v>-78.266015625000009</v>
      </c>
      <c r="CB21" s="335" cm="1">
        <f t="array" ref="CB21">_xlfn.SWITCH(
    $E21,
    "3 month avg", AVERAGE(BY21:CA21) * (1 + $F21),
    "6 month avg", AVERAGE(BV21:CA21) * (1 + $F21),
    "12 month avg", AVERAGE(BQ21:CA21) * (1 + $F21),
    "Prior Month",CA21* (1 + $F21),
    "Prior Year", BP21* (1 + $F21),
    "Monthly assumption",$G21* (1 + $F21),
    "Quarterly assumption",$G21/3* (1 + $F21),
    "Annual assumption",$G21/12* (1 + $F21),
    "% of Revenue",SUM(_xlfn._xlws.FILTER(_xlfn._xlws.FILTER(dataSummaryPL,dataSummaryPLSections="Revenue"),(startDates&gt;=CB$4)*(endDates&lt;=CB$5)))*$F21,
    "Custom",0,
    "0",0,
        0
)</f>
        <v>-91.962568359375013</v>
      </c>
      <c r="CC21" s="335" cm="1">
        <f t="array" ref="CC21">_xlfn.SWITCH(
    $E21,
    "3 month avg", AVERAGE(BZ21:CB21) * (1 + $F21),
    "6 month avg", AVERAGE(BW21:CB21) * (1 + $F21),
    "12 month avg", AVERAGE(BR21:CB21) * (1 + $F21),
    "Prior Month",CB21* (1 + $F21),
    "Prior Year", BQ21* (1 + $F21),
    "Monthly assumption",$G21* (1 + $F21),
    "Quarterly assumption",$G21/3* (1 + $F21),
    "Annual assumption",$G21/12* (1 + $F21),
    "% of Revenue",SUM(_xlfn._xlws.FILTER(_xlfn._xlws.FILTER(dataSummaryPL,dataSummaryPLSections="Revenue"),(startDates&gt;=CC$4)*(endDates&lt;=CC$5)))*$F21,
    "Custom",0,
    "0",0,
        0
)</f>
        <v>-108.05601782226564</v>
      </c>
      <c r="CD21" s="335" cm="1">
        <f t="array" ref="CD21">_xlfn.SWITCH(
    $E21,
    "3 month avg", AVERAGE(CA21:CC21) * (1 + $F21),
    "6 month avg", AVERAGE(BX21:CC21) * (1 + $F21),
    "12 month avg", AVERAGE(BS21:CC21) * (1 + $F21),
    "Prior Month",CC21* (1 + $F21),
    "Prior Year", BR21* (1 + $F21),
    "Monthly assumption",$G21* (1 + $F21),
    "Quarterly assumption",$G21/3* (1 + $F21),
    "Annual assumption",$G21/12* (1 + $F21),
    "% of Revenue",SUM(_xlfn._xlws.FILTER(_xlfn._xlws.FILTER(dataSummaryPL,dataSummaryPLSections="Revenue"),(startDates&gt;=CD$4)*(endDates&lt;=CD$5)))*$F21,
    "Custom",0,
    "0",0,
        0
)</f>
        <v>-126.96582094116214</v>
      </c>
      <c r="CE21" s="335" cm="1">
        <f t="array" ref="CE21">_xlfn.SWITCH(
    $E21,
    "3 month avg", AVERAGE(CB21:CD21) * (1 + $F21),
    "6 month avg", AVERAGE(BY21:CD21) * (1 + $F21),
    "12 month avg", AVERAGE(BT21:CD21) * (1 + $F21),
    "Prior Month",CD21* (1 + $F21),
    "Prior Year", BS21* (1 + $F21),
    "Monthly assumption",$G21* (1 + $F21),
    "Quarterly assumption",$G21/3* (1 + $F21),
    "Annual assumption",$G21/12* (1 + $F21),
    "% of Revenue",SUM(_xlfn._xlws.FILTER(_xlfn._xlws.FILTER(dataSummaryPL,dataSummaryPLSections="Revenue"),(startDates&gt;=CE$4)*(endDates&lt;=CE$5)))*$F21,
    "Custom",0,
    "0",0,
        0
)</f>
        <v>-118.55983960586551</v>
      </c>
      <c r="CF21" s="335" cm="1">
        <f t="array" ref="CF21">_xlfn.SWITCH(
    $E21,
    "3 month avg", AVERAGE(CC21:CE21) * (1 + $F21),
    "6 month avg", AVERAGE(BZ21:CE21) * (1 + $F21),
    "12 month avg", AVERAGE(BU21:CE21) * (1 + $F21),
    "Prior Month",CE21* (1 + $F21),
    "Prior Year", BT21* (1 + $F21),
    "Monthly assumption",$G21* (1 + $F21),
    "Quarterly assumption",$G21/3* (1 + $F21),
    "Annual assumption",$G21/12* (1 + $F21),
    "% of Revenue",SUM(_xlfn._xlws.FILTER(_xlfn._xlws.FILTER(dataSummaryPL,dataSummaryPLSections="Revenue"),(startDates&gt;=CF$4)*(endDates&lt;=CF$5)))*$F21,
    "Custom",0,
    "0",0,
        0
)</f>
        <v>-103.32343653689196</v>
      </c>
      <c r="CG21" s="335" cm="1">
        <f t="array" ref="CG21">_xlfn.SWITCH(
    $E21,
    "3 month avg", AVERAGE(CD21:CF21) * (1 + $F21),
    "6 month avg", AVERAGE(CA21:CF21) * (1 + $F21),
    "12 month avg", AVERAGE(BV21:CF21) * (1 + $F21),
    "Prior Month",CF21* (1 + $F21),
    "Prior Year", BU21* (1 + $F21),
    "Monthly assumption",$G21* (1 + $F21),
    "Quarterly assumption",$G21/3* (1 + $F21),
    "Annual assumption",$G21/12* (1 + $F21),
    "% of Revenue",SUM(_xlfn._xlws.FILTER(_xlfn._xlws.FILTER(dataSummaryPL,dataSummaryPLSections="Revenue"),(startDates&gt;=CG$4)*(endDates&lt;=CG$5)))*$F21,
    "Custom",0,
    "0",0,
        0
)</f>
        <v>-109.74839730584804</v>
      </c>
      <c r="CH21" s="335" cm="1">
        <f t="array" ref="CH21">_xlfn.SWITCH(
    $E21,
    "3 month avg", AVERAGE(CE21:CG21) * (1 + $F21),
    "6 month avg", AVERAGE(CB21:CG21) * (1 + $F21),
    "12 month avg", AVERAGE(BW21:CG21) * (1 + $F21),
    "Prior Month",CG21* (1 + $F21),
    "Prior Year", BV21* (1 + $F21),
    "Monthly assumption",$G21* (1 + $F21),
    "Quarterly assumption",$G21/3* (1 + $F21),
    "Annual assumption",$G21/12* (1 + $F21),
    "% of Revenue",SUM(_xlfn._xlws.FILTER(_xlfn._xlws.FILTER(dataSummaryPL,dataSummaryPLSections="Revenue"),(startDates&gt;=CH$4)*(endDates&lt;=CH$5)))*$F21,
    "Custom",0,
    "0",0,
        0
)</f>
        <v>-115.25781409999647</v>
      </c>
      <c r="CI21" s="335" cm="1">
        <f t="array" ref="CI21">_xlfn.SWITCH(
    $E21,
    "3 month avg", AVERAGE(CF21:CH21) * (1 + $F21),
    "6 month avg", AVERAGE(CC21:CH21) * (1 + $F21),
    "12 month avg", AVERAGE(BX21:CH21) * (1 + $F21),
    "Prior Month",CH21* (1 + $F21),
    "Prior Year", BW21* (1 + $F21),
    "Monthly assumption",$G21* (1 + $F21),
    "Quarterly assumption",$G21/3* (1 + $F21),
    "Annual assumption",$G21/12* (1 + $F21),
    "% of Revenue",SUM(_xlfn._xlws.FILTER(_xlfn._xlws.FILTER(dataSummaryPL,dataSummaryPLSections="Revenue"),(startDates&gt;=CI$4)*(endDates&lt;=CI$5)))*$F21,
    "Custom",0,
    "0",0,
        0
)</f>
        <v>-119.33448210460521</v>
      </c>
      <c r="CJ21" s="335" cm="1">
        <f t="array" ref="CJ21">_xlfn.SWITCH(
    $E21,
    "3 month avg", AVERAGE(CG21:CI21) * (1 + $F21),
    "6 month avg", AVERAGE(CD21:CI21) * (1 + $F21),
    "12 month avg", AVERAGE(BY21:CI21) * (1 + $F21),
    "Prior Month",CI21* (1 + $F21),
    "Prior Year", BX21* (1 + $F21),
    "Monthly assumption",$G21* (1 + $F21),
    "Quarterly assumption",$G21/3* (1 + $F21),
    "Annual assumption",$G21/12* (1 + $F21),
    "% of Revenue",SUM(_xlfn._xlws.FILTER(_xlfn._xlws.FILTER(dataSummaryPL,dataSummaryPLSections="Revenue"),(startDates&gt;=CJ$4)*(endDates&lt;=CJ$5)))*$F21,
    "Custom",0,
    "0",0,
        0
)</f>
        <v>-121.30821335401464</v>
      </c>
    </row>
    <row r="22" spans="3:88" outlineLevel="1">
      <c r="E22" s="280"/>
      <c r="F22" s="279"/>
      <c r="G22" s="777"/>
      <c r="H22" s="277"/>
      <c r="I22" s="277"/>
      <c r="J22" s="277"/>
      <c r="K22" s="278"/>
      <c r="L22" s="277"/>
      <c r="M22" s="276"/>
    </row>
    <row r="23" spans="3:88" outlineLevel="1">
      <c r="C23" s="283" t="s">
        <v>81</v>
      </c>
      <c r="D23" s="282"/>
      <c r="E23" s="280"/>
      <c r="F23" s="279"/>
      <c r="G23" s="777"/>
      <c r="H23" s="277"/>
      <c r="I23" s="277"/>
      <c r="J23" s="277"/>
      <c r="K23" s="278"/>
      <c r="L23" s="277"/>
      <c r="M23" s="276"/>
      <c r="O23" s="272"/>
      <c r="P23" s="281">
        <f>P10-P16</f>
        <v>221563.5</v>
      </c>
      <c r="Q23" s="281">
        <f>Q10-Q16</f>
        <v>541123.34</v>
      </c>
      <c r="R23" s="281">
        <f>R10-R16</f>
        <v>824787.29589393933</v>
      </c>
      <c r="S23" s="281">
        <f>S10-S16</f>
        <v>1071017.8300665715</v>
      </c>
      <c r="T23" s="272"/>
      <c r="U23" s="272"/>
      <c r="V23" s="281">
        <f t="shared" ref="V23:AK23" si="30">V10-V16</f>
        <v>29624</v>
      </c>
      <c r="W23" s="281">
        <f t="shared" si="30"/>
        <v>39430</v>
      </c>
      <c r="X23" s="281">
        <f t="shared" si="30"/>
        <v>52482</v>
      </c>
      <c r="Y23" s="281">
        <f t="shared" si="30"/>
        <v>100027.5</v>
      </c>
      <c r="Z23" s="281">
        <f t="shared" si="30"/>
        <v>129970</v>
      </c>
      <c r="AA23" s="281">
        <f t="shared" si="30"/>
        <v>131277.5</v>
      </c>
      <c r="AB23" s="281">
        <f t="shared" si="30"/>
        <v>134215.5</v>
      </c>
      <c r="AC23" s="281">
        <f t="shared" si="30"/>
        <v>145660.34</v>
      </c>
      <c r="AD23" s="281">
        <f t="shared" si="30"/>
        <v>168621.8</v>
      </c>
      <c r="AE23" s="281">
        <f t="shared" si="30"/>
        <v>203598.49</v>
      </c>
      <c r="AF23" s="281">
        <f t="shared" si="30"/>
        <v>251467.29</v>
      </c>
      <c r="AG23" s="281">
        <f t="shared" si="30"/>
        <v>201099.71589393937</v>
      </c>
      <c r="AH23" s="281">
        <f t="shared" si="30"/>
        <v>238579.74062597658</v>
      </c>
      <c r="AI23" s="281">
        <f t="shared" si="30"/>
        <v>278256.93285404984</v>
      </c>
      <c r="AJ23" s="281">
        <f t="shared" si="30"/>
        <v>278073.25872049201</v>
      </c>
      <c r="AK23" s="281">
        <f t="shared" si="30"/>
        <v>276107.89786605298</v>
      </c>
      <c r="AM23" s="272"/>
      <c r="AN23" s="281">
        <f t="shared" ref="AN23:BS23" si="31">AN10-AN16</f>
        <v>0</v>
      </c>
      <c r="AO23" s="281">
        <f t="shared" si="31"/>
        <v>8950</v>
      </c>
      <c r="AP23" s="281">
        <f t="shared" si="31"/>
        <v>9845</v>
      </c>
      <c r="AQ23" s="281">
        <f t="shared" si="31"/>
        <v>10829</v>
      </c>
      <c r="AR23" s="281">
        <f t="shared" si="31"/>
        <v>11912</v>
      </c>
      <c r="AS23" s="281">
        <f t="shared" si="31"/>
        <v>13104</v>
      </c>
      <c r="AT23" s="281">
        <f t="shared" si="31"/>
        <v>14414</v>
      </c>
      <c r="AU23" s="281">
        <f t="shared" si="31"/>
        <v>15856</v>
      </c>
      <c r="AV23" s="281">
        <f t="shared" si="31"/>
        <v>17440.5</v>
      </c>
      <c r="AW23" s="281">
        <f t="shared" si="31"/>
        <v>19185.5</v>
      </c>
      <c r="AX23" s="281">
        <f t="shared" si="31"/>
        <v>21103.5</v>
      </c>
      <c r="AY23" s="281">
        <f t="shared" si="31"/>
        <v>42721.5</v>
      </c>
      <c r="AZ23" s="281">
        <f t="shared" si="31"/>
        <v>36202.5</v>
      </c>
      <c r="BA23" s="281">
        <f t="shared" si="31"/>
        <v>44857.5</v>
      </c>
      <c r="BB23" s="281">
        <f t="shared" si="31"/>
        <v>38012</v>
      </c>
      <c r="BC23" s="281">
        <f t="shared" si="31"/>
        <v>47100.5</v>
      </c>
      <c r="BD23" s="281">
        <f t="shared" si="31"/>
        <v>39913.5</v>
      </c>
      <c r="BE23" s="281">
        <f t="shared" si="31"/>
        <v>49455.5</v>
      </c>
      <c r="BF23" s="281">
        <f t="shared" si="31"/>
        <v>41908.5</v>
      </c>
      <c r="BG23" s="281">
        <f t="shared" si="31"/>
        <v>44005</v>
      </c>
      <c r="BH23" s="281">
        <f t="shared" si="31"/>
        <v>44005.5</v>
      </c>
      <c r="BI23" s="281">
        <f t="shared" si="31"/>
        <v>46205</v>
      </c>
      <c r="BJ23" s="281">
        <f t="shared" si="31"/>
        <v>46204.67</v>
      </c>
      <c r="BK23" s="281">
        <f t="shared" si="31"/>
        <v>48514.67</v>
      </c>
      <c r="BL23" s="281">
        <f t="shared" si="31"/>
        <v>50941</v>
      </c>
      <c r="BM23" s="281">
        <f t="shared" si="31"/>
        <v>53487.8</v>
      </c>
      <c r="BN23" s="281">
        <f t="shared" si="31"/>
        <v>56163</v>
      </c>
      <c r="BO23" s="281">
        <f t="shared" si="31"/>
        <v>58971</v>
      </c>
      <c r="BP23" s="281">
        <f t="shared" si="31"/>
        <v>61919</v>
      </c>
      <c r="BQ23" s="281">
        <f t="shared" si="31"/>
        <v>65014</v>
      </c>
      <c r="BR23" s="281">
        <f t="shared" si="31"/>
        <v>76665.490000000005</v>
      </c>
      <c r="BS23" s="281">
        <f t="shared" si="31"/>
        <v>79178.759999999995</v>
      </c>
      <c r="BT23" s="281">
        <f t="shared" ref="BT23:BV23" si="32">BT10-BT16</f>
        <v>75262.700000000012</v>
      </c>
      <c r="BU23" s="281">
        <f t="shared" si="32"/>
        <v>97025.83</v>
      </c>
      <c r="BV23" s="281">
        <f t="shared" si="32"/>
        <v>92977.12</v>
      </c>
      <c r="BW23" s="281">
        <f t="shared" ref="BW23" si="33">BW10-BW16</f>
        <v>102625.98000000001</v>
      </c>
      <c r="BX23" s="281">
        <f t="shared" ref="BX23:CJ23" si="34">BX10-BX16</f>
        <v>5496.6158939393936</v>
      </c>
      <c r="BY23" s="281">
        <f t="shared" si="34"/>
        <v>52986.697456542708</v>
      </c>
      <c r="BZ23" s="281">
        <f t="shared" si="34"/>
        <v>92808.918293303606</v>
      </c>
      <c r="CA23" s="281">
        <f t="shared" si="34"/>
        <v>92784.1248761303</v>
      </c>
      <c r="CB23" s="281">
        <f t="shared" si="34"/>
        <v>92764.192047367455</v>
      </c>
      <c r="CC23" s="281">
        <f t="shared" si="34"/>
        <v>92750.032401644756</v>
      </c>
      <c r="CD23" s="281">
        <f t="shared" si="34"/>
        <v>92742.708405037614</v>
      </c>
      <c r="CE23" s="281">
        <f t="shared" si="34"/>
        <v>92712.830488547886</v>
      </c>
      <c r="CF23" s="281">
        <f t="shared" si="34"/>
        <v>92681.701283787028</v>
      </c>
      <c r="CG23" s="281">
        <f t="shared" si="34"/>
        <v>92678.726948157127</v>
      </c>
      <c r="CH23" s="281">
        <f t="shared" si="34"/>
        <v>92682.351317532535</v>
      </c>
      <c r="CI23" s="281">
        <f t="shared" si="34"/>
        <v>92693.194456319339</v>
      </c>
      <c r="CJ23" s="281">
        <f t="shared" si="34"/>
        <v>90732.352092201079</v>
      </c>
    </row>
    <row r="24" spans="3:88" ht="14.45" customHeight="1" outlineLevel="2">
      <c r="C24" s="283"/>
      <c r="D24" s="288" t="s">
        <v>82</v>
      </c>
      <c r="E24" s="280"/>
      <c r="F24" s="279"/>
      <c r="G24" s="777"/>
      <c r="H24" s="277"/>
      <c r="I24" s="277"/>
      <c r="J24" s="277"/>
      <c r="K24" s="278"/>
      <c r="L24" s="277"/>
      <c r="M24" s="276"/>
      <c r="O24" s="272"/>
      <c r="P24" s="300">
        <f>IFERROR(P23/P10,0)</f>
        <v>0.90241443775124941</v>
      </c>
      <c r="Q24" s="300">
        <f>IFERROR(Q23/Q10,0)</f>
        <v>0.91037666871356582</v>
      </c>
      <c r="R24" s="300">
        <f>IFERROR(R23/R10,0)</f>
        <v>0.87488753211252235</v>
      </c>
      <c r="S24" s="300">
        <f>IFERROR(S23/S10,0)</f>
        <v>0.7379556786557887</v>
      </c>
      <c r="T24" s="300"/>
      <c r="U24" s="300"/>
      <c r="V24" s="300">
        <f t="shared" ref="V24:AK24" si="35">IFERROR(V23/V10,0)</f>
        <v>0.89498489425981875</v>
      </c>
      <c r="W24" s="300">
        <f t="shared" si="35"/>
        <v>0.89499727619393499</v>
      </c>
      <c r="X24" s="300">
        <f t="shared" si="35"/>
        <v>0.89500162008219786</v>
      </c>
      <c r="Y24" s="300">
        <f t="shared" si="35"/>
        <v>0.91159503499562555</v>
      </c>
      <c r="Z24" s="300">
        <f t="shared" si="35"/>
        <v>0.91958170600554712</v>
      </c>
      <c r="AA24" s="300">
        <f t="shared" si="35"/>
        <v>0.91273317620229577</v>
      </c>
      <c r="AB24" s="300">
        <f t="shared" si="35"/>
        <v>0.90508189977813891</v>
      </c>
      <c r="AC24" s="300">
        <f t="shared" si="35"/>
        <v>0.90506552171940924</v>
      </c>
      <c r="AD24" s="300">
        <f t="shared" si="35"/>
        <v>0.90507388817244971</v>
      </c>
      <c r="AE24" s="300">
        <f t="shared" si="35"/>
        <v>0.90740690642501887</v>
      </c>
      <c r="AF24" s="300">
        <f t="shared" si="35"/>
        <v>0.91719687724416488</v>
      </c>
      <c r="AG24" s="300">
        <f t="shared" si="35"/>
        <v>0.77980485809136657</v>
      </c>
      <c r="AH24" s="300">
        <f t="shared" si="35"/>
        <v>0.71577322110593233</v>
      </c>
      <c r="AI24" s="300">
        <f t="shared" si="35"/>
        <v>0.74536268150850105</v>
      </c>
      <c r="AJ24" s="300">
        <f t="shared" si="35"/>
        <v>0.74487067635589543</v>
      </c>
      <c r="AK24" s="300">
        <f t="shared" si="35"/>
        <v>0.74346797614127447</v>
      </c>
      <c r="AL24" s="302"/>
      <c r="AM24" s="301"/>
      <c r="AN24" s="300">
        <f t="shared" ref="AN24:BS24" si="36">IFERROR(AN23/AN10,0)</f>
        <v>0</v>
      </c>
      <c r="AO24" s="300">
        <f t="shared" si="36"/>
        <v>0.89500000000000002</v>
      </c>
      <c r="AP24" s="300">
        <f t="shared" si="36"/>
        <v>0.89500000000000002</v>
      </c>
      <c r="AQ24" s="300">
        <f t="shared" si="36"/>
        <v>0.89495867768595039</v>
      </c>
      <c r="AR24" s="300">
        <f t="shared" si="36"/>
        <v>0.89496619083395945</v>
      </c>
      <c r="AS24" s="300">
        <f t="shared" si="36"/>
        <v>0.89502083191038861</v>
      </c>
      <c r="AT24" s="300">
        <f t="shared" si="36"/>
        <v>0.89500155231294631</v>
      </c>
      <c r="AU24" s="300">
        <f t="shared" si="36"/>
        <v>0.89501016030706704</v>
      </c>
      <c r="AV24" s="300">
        <f t="shared" si="36"/>
        <v>0.89498126956432489</v>
      </c>
      <c r="AW24" s="300">
        <f t="shared" si="36"/>
        <v>0.89501306213845866</v>
      </c>
      <c r="AX24" s="300">
        <f t="shared" si="36"/>
        <v>0.89501251113278768</v>
      </c>
      <c r="AY24" s="300">
        <f t="shared" si="36"/>
        <v>0.92572970161866996</v>
      </c>
      <c r="AZ24" s="300">
        <f t="shared" si="36"/>
        <v>0.90506249999999999</v>
      </c>
      <c r="BA24" s="300">
        <f t="shared" si="36"/>
        <v>0.92572719862144393</v>
      </c>
      <c r="BB24" s="300">
        <f t="shared" si="36"/>
        <v>0.9050476190476191</v>
      </c>
      <c r="BC24" s="300">
        <f t="shared" si="36"/>
        <v>0.92572647136862585</v>
      </c>
      <c r="BD24" s="300">
        <f t="shared" si="36"/>
        <v>0.90506802721088431</v>
      </c>
      <c r="BE24" s="300">
        <f t="shared" si="36"/>
        <v>0.9257169062593591</v>
      </c>
      <c r="BF24" s="300">
        <f t="shared" si="36"/>
        <v>0.90505344995140913</v>
      </c>
      <c r="BG24" s="300">
        <f t="shared" si="36"/>
        <v>0.90508021390374327</v>
      </c>
      <c r="BH24" s="300">
        <f t="shared" si="36"/>
        <v>0.90509049773755657</v>
      </c>
      <c r="BI24" s="300">
        <f t="shared" si="36"/>
        <v>0.90507531684002274</v>
      </c>
      <c r="BJ24" s="300">
        <f t="shared" si="36"/>
        <v>0.90506885271591153</v>
      </c>
      <c r="BK24" s="300">
        <f t="shared" si="36"/>
        <v>0.90505689873890005</v>
      </c>
      <c r="BL24" s="300">
        <f t="shared" si="36"/>
        <v>0.9050707128135882</v>
      </c>
      <c r="BM24" s="300">
        <f t="shared" si="36"/>
        <v>0.90506617627400621</v>
      </c>
      <c r="BN24" s="300">
        <f t="shared" si="36"/>
        <v>0.90508114031553677</v>
      </c>
      <c r="BO24" s="300">
        <f t="shared" si="36"/>
        <v>0.90507397630302655</v>
      </c>
      <c r="BP24" s="300">
        <f t="shared" si="36"/>
        <v>0.90506329113924056</v>
      </c>
      <c r="BQ24" s="300">
        <f t="shared" si="36"/>
        <v>0.9050588857644013</v>
      </c>
      <c r="BR24" s="300">
        <f t="shared" si="36"/>
        <v>0.91131775360212786</v>
      </c>
      <c r="BS24" s="300">
        <f t="shared" si="36"/>
        <v>0.92393572443272987</v>
      </c>
      <c r="BT24" s="300">
        <f t="shared" ref="BT24:BV24" si="37">IFERROR(BT23/BT10,0)</f>
        <v>0.90506610798136022</v>
      </c>
      <c r="BU24" s="300">
        <f t="shared" si="37"/>
        <v>0.92129182382221408</v>
      </c>
      <c r="BV24" s="300">
        <f t="shared" si="37"/>
        <v>0.91440256182267765</v>
      </c>
      <c r="BW24" s="300">
        <f t="shared" ref="BW24" si="38">IFERROR(BW23/BW10,0)</f>
        <v>0.91823192585642155</v>
      </c>
      <c r="BX24" s="300">
        <f t="shared" ref="BX24:CJ24" si="39">IFERROR(BX23/BX10,0)</f>
        <v>0.12368854562842974</v>
      </c>
      <c r="BY24" s="300">
        <f t="shared" si="39"/>
        <v>0.62751326840675481</v>
      </c>
      <c r="BZ24" s="300">
        <f t="shared" si="39"/>
        <v>0.74581758122753639</v>
      </c>
      <c r="CA24" s="300">
        <f t="shared" si="39"/>
        <v>0.74561833996100069</v>
      </c>
      <c r="CB24" s="300">
        <f t="shared" si="39"/>
        <v>0.7454581586507526</v>
      </c>
      <c r="CC24" s="300">
        <f t="shared" si="39"/>
        <v>0.74534437095752071</v>
      </c>
      <c r="CD24" s="300">
        <f t="shared" si="39"/>
        <v>0.7452855149172295</v>
      </c>
      <c r="CE24" s="300">
        <f t="shared" si="39"/>
        <v>0.74504541433402838</v>
      </c>
      <c r="CF24" s="300">
        <f t="shared" si="39"/>
        <v>0.7447952583293338</v>
      </c>
      <c r="CG24" s="300">
        <f t="shared" si="39"/>
        <v>0.74477135640432435</v>
      </c>
      <c r="CH24" s="300">
        <f t="shared" si="39"/>
        <v>0.74480048203632987</v>
      </c>
      <c r="CI24" s="300">
        <f t="shared" si="39"/>
        <v>0.74488761809708359</v>
      </c>
      <c r="CJ24" s="300">
        <f t="shared" si="39"/>
        <v>0.74067226197715164</v>
      </c>
    </row>
    <row r="25" spans="3:88" outlineLevel="1">
      <c r="C25" s="283"/>
      <c r="D25" s="288"/>
      <c r="E25" s="280"/>
      <c r="F25" s="279"/>
      <c r="G25" s="777"/>
      <c r="H25" s="277"/>
      <c r="I25" s="277"/>
      <c r="J25" s="277"/>
      <c r="K25" s="278"/>
      <c r="L25" s="277"/>
      <c r="M25" s="276"/>
      <c r="O25" s="272"/>
      <c r="P25" s="286"/>
      <c r="Q25" s="286"/>
      <c r="R25" s="286"/>
      <c r="S25" s="286"/>
      <c r="T25" s="286"/>
      <c r="U25" s="286"/>
      <c r="V25" s="286"/>
      <c r="W25" s="286"/>
      <c r="X25" s="286"/>
      <c r="Y25" s="286"/>
      <c r="Z25" s="286"/>
      <c r="AA25" s="286"/>
      <c r="AB25" s="286"/>
      <c r="AC25" s="286"/>
      <c r="AD25" s="286"/>
      <c r="AE25" s="286"/>
      <c r="AF25" s="286"/>
      <c r="AG25" s="286"/>
      <c r="AH25" s="286"/>
      <c r="AI25" s="286"/>
      <c r="AJ25" s="286"/>
      <c r="AK25" s="286"/>
      <c r="AL25" s="287"/>
      <c r="AM25" s="272"/>
      <c r="AN25" s="286"/>
      <c r="AO25" s="286"/>
      <c r="AP25" s="286"/>
      <c r="AQ25" s="286"/>
      <c r="AR25" s="286"/>
      <c r="AS25" s="286"/>
      <c r="AT25" s="286"/>
      <c r="AU25" s="286"/>
      <c r="AV25" s="286"/>
      <c r="AW25" s="286"/>
      <c r="AX25" s="286"/>
      <c r="AY25" s="286"/>
      <c r="AZ25" s="286"/>
      <c r="BA25" s="286"/>
      <c r="BB25" s="286"/>
      <c r="BC25" s="286"/>
      <c r="BD25" s="286"/>
      <c r="BE25" s="286"/>
      <c r="BF25" s="286"/>
      <c r="BG25" s="286"/>
      <c r="BH25" s="286"/>
      <c r="BI25" s="286"/>
      <c r="BJ25" s="286"/>
      <c r="BK25" s="286"/>
      <c r="BL25" s="286"/>
      <c r="BM25" s="286"/>
      <c r="BN25" s="286"/>
      <c r="BO25" s="286"/>
      <c r="BP25" s="286"/>
      <c r="BQ25" s="286"/>
      <c r="BR25" s="286"/>
      <c r="BS25" s="286"/>
      <c r="BT25" s="286"/>
      <c r="BU25" s="286"/>
      <c r="BV25" s="286"/>
      <c r="BW25" s="286"/>
      <c r="BX25" s="286"/>
      <c r="BY25" s="286"/>
      <c r="BZ25" s="286"/>
      <c r="CA25" s="286"/>
      <c r="CB25" s="286"/>
      <c r="CC25" s="286"/>
      <c r="CD25" s="286"/>
      <c r="CE25" s="286"/>
      <c r="CF25" s="286"/>
      <c r="CG25" s="286"/>
      <c r="CH25" s="286"/>
      <c r="CI25" s="286"/>
      <c r="CJ25" s="286"/>
    </row>
    <row r="26" spans="3:88" outlineLevel="1">
      <c r="C26" s="283" t="s">
        <v>101</v>
      </c>
      <c r="D26" s="282"/>
      <c r="E26" s="280"/>
      <c r="F26" s="279"/>
      <c r="G26" s="777"/>
      <c r="H26" s="277"/>
      <c r="I26" s="277"/>
      <c r="J26" s="277"/>
      <c r="K26" s="278"/>
      <c r="L26" s="277"/>
      <c r="M26" s="276"/>
      <c r="O26" s="272"/>
      <c r="P26" s="281">
        <f>SUM(P27:P53)</f>
        <v>804245</v>
      </c>
      <c r="Q26" s="281">
        <f>SUM(Q27:Q53)</f>
        <v>1836654.34</v>
      </c>
      <c r="R26" s="281">
        <f>SUM(R27:R53)</f>
        <v>3189510.6434999998</v>
      </c>
      <c r="S26" s="281">
        <f>SUM(S27:S53)</f>
        <v>3584650.4663251503</v>
      </c>
      <c r="T26" s="272"/>
      <c r="U26" s="272"/>
      <c r="V26" s="281">
        <f t="shared" ref="V26:AK26" si="40">SUM(V27:V53)</f>
        <v>156389</v>
      </c>
      <c r="W26" s="281">
        <f t="shared" si="40"/>
        <v>169254.5</v>
      </c>
      <c r="X26" s="281">
        <f t="shared" si="40"/>
        <v>183516.5</v>
      </c>
      <c r="Y26" s="281">
        <f t="shared" si="40"/>
        <v>295085</v>
      </c>
      <c r="Z26" s="281">
        <f t="shared" si="40"/>
        <v>342976.5</v>
      </c>
      <c r="AA26" s="281">
        <f t="shared" si="40"/>
        <v>419934.5</v>
      </c>
      <c r="AB26" s="281">
        <f t="shared" si="40"/>
        <v>514914.5</v>
      </c>
      <c r="AC26" s="281">
        <f t="shared" si="40"/>
        <v>558828.84000000008</v>
      </c>
      <c r="AD26" s="281">
        <f t="shared" si="40"/>
        <v>646917.29</v>
      </c>
      <c r="AE26" s="281">
        <f t="shared" si="40"/>
        <v>749887.28000000014</v>
      </c>
      <c r="AF26" s="281">
        <f t="shared" si="40"/>
        <v>869229.27999999991</v>
      </c>
      <c r="AG26" s="281">
        <f t="shared" si="40"/>
        <v>923476.79350000015</v>
      </c>
      <c r="AH26" s="281">
        <f t="shared" si="40"/>
        <v>780146.08600219525</v>
      </c>
      <c r="AI26" s="281">
        <f t="shared" si="40"/>
        <v>889840.25774899893</v>
      </c>
      <c r="AJ26" s="281">
        <f t="shared" si="40"/>
        <v>935366.34930551262</v>
      </c>
      <c r="AK26" s="281">
        <f t="shared" si="40"/>
        <v>979297.77326844377</v>
      </c>
      <c r="AM26" s="272"/>
      <c r="AN26" s="281">
        <f t="shared" ref="AN26:BS26" si="41">IF(AN$5&lt;=LatestMonthOfActuals,SUMIFS(AN27:AN53,$K27:$K53,"Account"),SUMIFS(AN27:AN53,$K27:$K53,"&lt;&gt;Sub-Account"))</f>
        <v>0</v>
      </c>
      <c r="AO26" s="281">
        <f t="shared" si="41"/>
        <v>50780</v>
      </c>
      <c r="AP26" s="281">
        <f t="shared" si="41"/>
        <v>52115</v>
      </c>
      <c r="AQ26" s="281">
        <f t="shared" si="41"/>
        <v>53494</v>
      </c>
      <c r="AR26" s="281">
        <f t="shared" si="41"/>
        <v>54921.5</v>
      </c>
      <c r="AS26" s="281">
        <f t="shared" si="41"/>
        <v>56401</v>
      </c>
      <c r="AT26" s="281">
        <f t="shared" si="41"/>
        <v>57932</v>
      </c>
      <c r="AU26" s="281">
        <f t="shared" si="41"/>
        <v>59514</v>
      </c>
      <c r="AV26" s="281">
        <f t="shared" si="41"/>
        <v>61153</v>
      </c>
      <c r="AW26" s="281">
        <f t="shared" si="41"/>
        <v>62849.5</v>
      </c>
      <c r="AX26" s="281">
        <f t="shared" si="41"/>
        <v>64606.5</v>
      </c>
      <c r="AY26" s="281">
        <f t="shared" si="41"/>
        <v>91586.5</v>
      </c>
      <c r="AZ26" s="281">
        <f t="shared" si="41"/>
        <v>138892</v>
      </c>
      <c r="BA26" s="281">
        <f t="shared" si="41"/>
        <v>96166.5</v>
      </c>
      <c r="BB26" s="281">
        <f t="shared" si="41"/>
        <v>145836</v>
      </c>
      <c r="BC26" s="281">
        <f t="shared" si="41"/>
        <v>100974</v>
      </c>
      <c r="BD26" s="281">
        <f t="shared" si="41"/>
        <v>153128</v>
      </c>
      <c r="BE26" s="281">
        <f t="shared" si="41"/>
        <v>106022</v>
      </c>
      <c r="BF26" s="281">
        <f t="shared" si="41"/>
        <v>160784.5</v>
      </c>
      <c r="BG26" s="281">
        <f t="shared" si="41"/>
        <v>168825</v>
      </c>
      <c r="BH26" s="281">
        <f t="shared" si="41"/>
        <v>168824.5</v>
      </c>
      <c r="BI26" s="281">
        <f t="shared" si="41"/>
        <v>177265</v>
      </c>
      <c r="BJ26" s="281">
        <f t="shared" si="41"/>
        <v>177265.67</v>
      </c>
      <c r="BK26" s="281">
        <f t="shared" si="41"/>
        <v>186128.67</v>
      </c>
      <c r="BL26" s="281">
        <f t="shared" si="41"/>
        <v>195434.5</v>
      </c>
      <c r="BM26" s="281">
        <f t="shared" si="41"/>
        <v>205207.28999999995</v>
      </c>
      <c r="BN26" s="281">
        <f t="shared" si="41"/>
        <v>215468</v>
      </c>
      <c r="BO26" s="281">
        <f t="shared" si="41"/>
        <v>226242</v>
      </c>
      <c r="BP26" s="281">
        <f t="shared" si="41"/>
        <v>237553</v>
      </c>
      <c r="BQ26" s="281">
        <f t="shared" si="41"/>
        <v>249432</v>
      </c>
      <c r="BR26" s="281">
        <f t="shared" si="41"/>
        <v>262902.28000000003</v>
      </c>
      <c r="BS26" s="281">
        <f t="shared" si="41"/>
        <v>276797.38999999996</v>
      </c>
      <c r="BT26" s="281">
        <f t="shared" ref="BT26:CJ26" si="42">IF(BT$5&lt;=LatestMonthOfActuals,SUMIFS(BT27:BT53,$K27:$K53,"Account"),SUMIFS(BT27:BT53,$K27:$K53,"&lt;&gt;Sub-Account"))</f>
        <v>289247.27</v>
      </c>
      <c r="BU26" s="281">
        <f t="shared" si="42"/>
        <v>303184.62000000005</v>
      </c>
      <c r="BV26" s="281">
        <f t="shared" si="42"/>
        <v>318343.85000000003</v>
      </c>
      <c r="BW26" s="281">
        <f t="shared" ref="BW26" si="43">IF(BW$5&lt;=LatestMonthOfActuals,SUMIFS(BW27:BW53,$K27:$K53,"Account"),SUMIFS(BW27:BW53,$K27:$K53,"&lt;&gt;Sub-Account"))</f>
        <v>340311.05</v>
      </c>
      <c r="BX26" s="281">
        <f t="shared" si="42"/>
        <v>264821.89349999995</v>
      </c>
      <c r="BY26" s="281">
        <f t="shared" si="42"/>
        <v>255299.97161250003</v>
      </c>
      <c r="BZ26" s="281">
        <f t="shared" si="42"/>
        <v>260182.86914468752</v>
      </c>
      <c r="CA26" s="281">
        <f t="shared" si="42"/>
        <v>264663.2452450078</v>
      </c>
      <c r="CB26" s="281">
        <f t="shared" si="42"/>
        <v>293091.85257955088</v>
      </c>
      <c r="CC26" s="281">
        <f t="shared" si="42"/>
        <v>295912.16061430547</v>
      </c>
      <c r="CD26" s="281">
        <f t="shared" si="42"/>
        <v>300836.24455514242</v>
      </c>
      <c r="CE26" s="281">
        <f t="shared" si="42"/>
        <v>308283.39140645898</v>
      </c>
      <c r="CF26" s="281">
        <f t="shared" si="42"/>
        <v>311864.7086204018</v>
      </c>
      <c r="CG26" s="281">
        <f t="shared" si="42"/>
        <v>315218.2492786519</v>
      </c>
      <c r="CH26" s="281">
        <f t="shared" si="42"/>
        <v>318374.59373453958</v>
      </c>
      <c r="CI26" s="281">
        <f t="shared" si="42"/>
        <v>321419.49010332918</v>
      </c>
      <c r="CJ26" s="281">
        <f t="shared" si="42"/>
        <v>339503.68943057506</v>
      </c>
    </row>
    <row r="27" spans="3:88" ht="5.25" customHeight="1" outlineLevel="2">
      <c r="C27" s="283"/>
      <c r="D27" s="288"/>
      <c r="E27" s="280"/>
      <c r="F27" s="279"/>
      <c r="G27" s="777"/>
      <c r="H27" s="277"/>
      <c r="I27" s="277"/>
      <c r="J27" s="277"/>
      <c r="K27" s="278"/>
      <c r="L27" s="277"/>
      <c r="M27" s="276"/>
      <c r="O27" s="272"/>
      <c r="P27" s="289"/>
      <c r="Q27" s="289"/>
      <c r="R27" s="289"/>
      <c r="S27" s="289"/>
      <c r="T27" s="286"/>
      <c r="U27" s="286"/>
      <c r="V27" s="289"/>
      <c r="W27" s="289"/>
      <c r="X27" s="289"/>
      <c r="Y27" s="289"/>
      <c r="Z27" s="289"/>
      <c r="AA27" s="289"/>
      <c r="AB27" s="289"/>
      <c r="AC27" s="289"/>
      <c r="AD27" s="289"/>
      <c r="AE27" s="289"/>
      <c r="AF27" s="289"/>
      <c r="AG27" s="289"/>
      <c r="AH27" s="289"/>
      <c r="AI27" s="289"/>
      <c r="AJ27" s="289"/>
      <c r="AK27" s="289"/>
      <c r="AL27" s="287"/>
      <c r="AM27" s="272"/>
      <c r="AN27" s="286"/>
      <c r="AO27" s="286"/>
      <c r="AP27" s="286"/>
      <c r="AQ27" s="286"/>
      <c r="AR27" s="286"/>
      <c r="AS27" s="286"/>
      <c r="AT27" s="286"/>
      <c r="AU27" s="286"/>
      <c r="AV27" s="286"/>
      <c r="AW27" s="286"/>
      <c r="AX27" s="286"/>
      <c r="AY27" s="286"/>
      <c r="AZ27" s="286"/>
      <c r="BA27" s="286"/>
      <c r="BB27" s="286"/>
      <c r="BC27" s="286"/>
      <c r="BD27" s="286"/>
      <c r="BE27" s="286"/>
      <c r="BF27" s="286"/>
      <c r="BG27" s="286"/>
      <c r="BH27" s="286"/>
      <c r="BI27" s="286"/>
      <c r="BJ27" s="286"/>
      <c r="BK27" s="286"/>
      <c r="BL27" s="286"/>
      <c r="BM27" s="286"/>
      <c r="BN27" s="286"/>
      <c r="BO27" s="286"/>
      <c r="BP27" s="286"/>
      <c r="BQ27" s="286"/>
      <c r="BR27" s="286"/>
      <c r="BS27" s="286"/>
      <c r="BT27" s="286"/>
      <c r="BU27" s="286"/>
      <c r="BV27" s="286"/>
      <c r="BW27" s="286"/>
      <c r="BX27" s="286"/>
      <c r="BY27" s="286"/>
      <c r="BZ27" s="286"/>
      <c r="CA27" s="286"/>
      <c r="CB27" s="286"/>
      <c r="CC27" s="286"/>
      <c r="CD27" s="286"/>
      <c r="CE27" s="286"/>
      <c r="CF27" s="286"/>
      <c r="CG27" s="286"/>
      <c r="CH27" s="286"/>
      <c r="CI27" s="286"/>
      <c r="CJ27" s="286"/>
    </row>
    <row r="28" spans="3:88" outlineLevel="2">
      <c r="C28" s="283"/>
      <c r="D28" s="288" t="s">
        <v>244</v>
      </c>
      <c r="E28" s="280" t="s">
        <v>355</v>
      </c>
      <c r="F28" s="332"/>
      <c r="G28" s="656">
        <v>20000</v>
      </c>
      <c r="H28" s="277" t="str">
        <f>IFERROR(INDEX(PBC_ACCOUNT_LIST[Drivers Section],MATCH(Drivers!L28,PBC_ACCOUNT_LIST[Id],0)),"")</f>
        <v>Opex</v>
      </c>
      <c r="I28" s="277" t="str">
        <f>IFERROR(INDEX(PBC_ACCOUNT_LIST[Summary Grouping],MATCH(Drivers!L28,PBC_ACCOUNT_LIST[Id],0)),"")</f>
        <v>Marketing &amp; Advertising</v>
      </c>
      <c r="J28" s="277">
        <f>IFERROR(INDEX(PBC_ACCOUNT_LIST[Cash Flow Section],MATCH(Drivers!L28,PBC_ACCOUNT_LIST[Id],0)),"")</f>
        <v>0</v>
      </c>
      <c r="K28" s="278" t="s">
        <v>106</v>
      </c>
      <c r="L28" s="277">
        <v>200</v>
      </c>
      <c r="M28" s="276"/>
      <c r="O28" s="272"/>
      <c r="P28" s="289">
        <f t="shared" ref="P28:S52" si="44">SUMIFS($AN28:$CJ28,$AN$4:$CJ$4,"&gt;="&amp;P$4,$AN$5:$CJ$5,"&lt;="&amp;P$5)</f>
        <v>121082.5</v>
      </c>
      <c r="Q28" s="289">
        <f t="shared" si="44"/>
        <v>212414</v>
      </c>
      <c r="R28" s="289">
        <f t="shared" si="44"/>
        <v>339142.83666666667</v>
      </c>
      <c r="S28" s="289">
        <f t="shared" si="44"/>
        <v>80000</v>
      </c>
      <c r="T28" s="289"/>
      <c r="U28" s="289"/>
      <c r="V28" s="289">
        <f t="shared" ref="V28:AK37" si="45">SUMIFS($AN28:$CJ28,$AN$4:$CJ$4,"&gt;="&amp;V$4,$AN$5:$CJ$5,"&lt;="&amp;V$5)</f>
        <v>24850</v>
      </c>
      <c r="W28" s="289">
        <f t="shared" si="45"/>
        <v>27551</v>
      </c>
      <c r="X28" s="289">
        <f t="shared" si="45"/>
        <v>30546</v>
      </c>
      <c r="Y28" s="289">
        <f t="shared" si="45"/>
        <v>38135.5</v>
      </c>
      <c r="Z28" s="289">
        <f t="shared" si="45"/>
        <v>41182</v>
      </c>
      <c r="AA28" s="289">
        <f t="shared" si="45"/>
        <v>48962</v>
      </c>
      <c r="AB28" s="289">
        <f t="shared" si="45"/>
        <v>58634</v>
      </c>
      <c r="AC28" s="289">
        <f t="shared" si="45"/>
        <v>63636</v>
      </c>
      <c r="AD28" s="289">
        <f t="shared" si="45"/>
        <v>73666.37</v>
      </c>
      <c r="AE28" s="289">
        <f t="shared" si="45"/>
        <v>85277.35</v>
      </c>
      <c r="AF28" s="289">
        <f t="shared" si="45"/>
        <v>98719</v>
      </c>
      <c r="AG28" s="289">
        <f t="shared" si="45"/>
        <v>81480.116666666669</v>
      </c>
      <c r="AH28" s="289">
        <f t="shared" si="45"/>
        <v>20000</v>
      </c>
      <c r="AI28" s="289">
        <f t="shared" si="45"/>
        <v>20000</v>
      </c>
      <c r="AJ28" s="289">
        <f t="shared" si="45"/>
        <v>20000</v>
      </c>
      <c r="AK28" s="289">
        <f t="shared" si="45"/>
        <v>20000</v>
      </c>
      <c r="AL28" s="333"/>
      <c r="AM28" s="334"/>
      <c r="AN28" s="289">
        <f>SUMIFS(PBC_PROFIT_AND_LOSS[AccountBalance], PBC_PROFIT_AND_LOSS[Id],$L28,PBC_PROFIT_AND_LOSS[Date],AN$5)</f>
        <v>0</v>
      </c>
      <c r="AO28" s="289">
        <f>SUMIFS(PBC_PROFIT_AND_LOSS[AccountBalance], PBC_PROFIT_AND_LOSS[Id],$L28,PBC_PROFIT_AND_LOSS[Date],AO$5)</f>
        <v>8000</v>
      </c>
      <c r="AP28" s="289">
        <f>SUMIFS(PBC_PROFIT_AND_LOSS[AccountBalance], PBC_PROFIT_AND_LOSS[Id],$L28,PBC_PROFIT_AND_LOSS[Date],AP$5)</f>
        <v>8280</v>
      </c>
      <c r="AQ28" s="289">
        <f>SUMIFS(PBC_PROFIT_AND_LOSS[AccountBalance], PBC_PROFIT_AND_LOSS[Id],$L28,PBC_PROFIT_AND_LOSS[Date],AQ$5)</f>
        <v>8570</v>
      </c>
      <c r="AR28" s="289">
        <f>SUMIFS(PBC_PROFIT_AND_LOSS[AccountBalance], PBC_PROFIT_AND_LOSS[Id],$L28,PBC_PROFIT_AND_LOSS[Date],AR$5)</f>
        <v>8870</v>
      </c>
      <c r="AS28" s="289">
        <f>SUMIFS(PBC_PROFIT_AND_LOSS[AccountBalance], PBC_PROFIT_AND_LOSS[Id],$L28,PBC_PROFIT_AND_LOSS[Date],AS$5)</f>
        <v>9180</v>
      </c>
      <c r="AT28" s="289">
        <f>SUMIFS(PBC_PROFIT_AND_LOSS[AccountBalance], PBC_PROFIT_AND_LOSS[Id],$L28,PBC_PROFIT_AND_LOSS[Date],AT$5)</f>
        <v>9501</v>
      </c>
      <c r="AU28" s="289">
        <f>SUMIFS(PBC_PROFIT_AND_LOSS[AccountBalance], PBC_PROFIT_AND_LOSS[Id],$L28,PBC_PROFIT_AND_LOSS[Date],AU$5)</f>
        <v>9834</v>
      </c>
      <c r="AV28" s="289">
        <f>SUMIFS(PBC_PROFIT_AND_LOSS[AccountBalance], PBC_PROFIT_AND_LOSS[Id],$L28,PBC_PROFIT_AND_LOSS[Date],AV$5)</f>
        <v>10178</v>
      </c>
      <c r="AW28" s="289">
        <f>SUMIFS(PBC_PROFIT_AND_LOSS[AccountBalance], PBC_PROFIT_AND_LOSS[Id],$L28,PBC_PROFIT_AND_LOSS[Date],AW$5)</f>
        <v>10534</v>
      </c>
      <c r="AX28" s="289">
        <f>SUMIFS(PBC_PROFIT_AND_LOSS[AccountBalance], PBC_PROFIT_AND_LOSS[Id],$L28,PBC_PROFIT_AND_LOSS[Date],AX$5)</f>
        <v>10903</v>
      </c>
      <c r="AY28" s="289">
        <f>SUMIFS(PBC_PROFIT_AND_LOSS[AccountBalance], PBC_PROFIT_AND_LOSS[Id],$L28,PBC_PROFIT_AND_LOSS[Date],AY$5)</f>
        <v>11416.5</v>
      </c>
      <c r="AZ28" s="289">
        <f>SUMIFS(PBC_PROFIT_AND_LOSS[AccountBalance], PBC_PROFIT_AND_LOSS[Id],$L28,PBC_PROFIT_AND_LOSS[Date],AZ$5)</f>
        <v>15816</v>
      </c>
      <c r="BA28" s="289">
        <f>SUMIFS(PBC_PROFIT_AND_LOSS[AccountBalance], PBC_PROFIT_AND_LOSS[Id],$L28,PBC_PROFIT_AND_LOSS[Date],BA$5)</f>
        <v>11988</v>
      </c>
      <c r="BB28" s="289">
        <f>SUMIFS(PBC_PROFIT_AND_LOSS[AccountBalance], PBC_PROFIT_AND_LOSS[Id],$L28,PBC_PROFIT_AND_LOSS[Date],BB$5)</f>
        <v>16607</v>
      </c>
      <c r="BC28" s="289">
        <f>SUMIFS(PBC_PROFIT_AND_LOSS[AccountBalance], PBC_PROFIT_AND_LOSS[Id],$L28,PBC_PROFIT_AND_LOSS[Date],BC$5)</f>
        <v>12587</v>
      </c>
      <c r="BD28" s="289">
        <f>SUMIFS(PBC_PROFIT_AND_LOSS[AccountBalance], PBC_PROFIT_AND_LOSS[Id],$L28,PBC_PROFIT_AND_LOSS[Date],BD$5)</f>
        <v>17437</v>
      </c>
      <c r="BE28" s="289">
        <f>SUMIFS(PBC_PROFIT_AND_LOSS[AccountBalance], PBC_PROFIT_AND_LOSS[Id],$L28,PBC_PROFIT_AND_LOSS[Date],BE$5)</f>
        <v>13216</v>
      </c>
      <c r="BF28" s="289">
        <f>SUMIFS(PBC_PROFIT_AND_LOSS[AccountBalance], PBC_PROFIT_AND_LOSS[Id],$L28,PBC_PROFIT_AND_LOSS[Date],BF$5)</f>
        <v>18309</v>
      </c>
      <c r="BG28" s="289">
        <f>SUMIFS(PBC_PROFIT_AND_LOSS[AccountBalance], PBC_PROFIT_AND_LOSS[Id],$L28,PBC_PROFIT_AND_LOSS[Date],BG$5)</f>
        <v>19224</v>
      </c>
      <c r="BH28" s="289">
        <f>SUMIFS(PBC_PROFIT_AND_LOSS[AccountBalance], PBC_PROFIT_AND_LOSS[Id],$L28,PBC_PROFIT_AND_LOSS[Date],BH$5)</f>
        <v>19224</v>
      </c>
      <c r="BI28" s="289">
        <f>SUMIFS(PBC_PROFIT_AND_LOSS[AccountBalance], PBC_PROFIT_AND_LOSS[Id],$L28,PBC_PROFIT_AND_LOSS[Date],BI$5)</f>
        <v>20186</v>
      </c>
      <c r="BJ28" s="289">
        <f>SUMIFS(PBC_PROFIT_AND_LOSS[AccountBalance], PBC_PROFIT_AND_LOSS[Id],$L28,PBC_PROFIT_AND_LOSS[Date],BJ$5)</f>
        <v>20186</v>
      </c>
      <c r="BK28" s="289">
        <f>SUMIFS(PBC_PROFIT_AND_LOSS[AccountBalance], PBC_PROFIT_AND_LOSS[Id],$L28,PBC_PROFIT_AND_LOSS[Date],BK$5)</f>
        <v>21195</v>
      </c>
      <c r="BL28" s="289">
        <f>SUMIFS(PBC_PROFIT_AND_LOSS[AccountBalance], PBC_PROFIT_AND_LOSS[Id],$L28,PBC_PROFIT_AND_LOSS[Date],BL$5)</f>
        <v>22255</v>
      </c>
      <c r="BM28" s="289">
        <f>SUMIFS(PBC_PROFIT_AND_LOSS[AccountBalance], PBC_PROFIT_AND_LOSS[Id],$L28,PBC_PROFIT_AND_LOSS[Date],BM$5)</f>
        <v>23367.37</v>
      </c>
      <c r="BN28" s="289">
        <f>SUMIFS(PBC_PROFIT_AND_LOSS[AccountBalance], PBC_PROFIT_AND_LOSS[Id],$L28,PBC_PROFIT_AND_LOSS[Date],BN$5)</f>
        <v>24536</v>
      </c>
      <c r="BO28" s="289">
        <f>SUMIFS(PBC_PROFIT_AND_LOSS[AccountBalance], PBC_PROFIT_AND_LOSS[Id],$L28,PBC_PROFIT_AND_LOSS[Date],BO$5)</f>
        <v>25763</v>
      </c>
      <c r="BP28" s="289">
        <f>SUMIFS(PBC_PROFIT_AND_LOSS[AccountBalance], PBC_PROFIT_AND_LOSS[Id],$L28,PBC_PROFIT_AND_LOSS[Date],BP$5)</f>
        <v>27051</v>
      </c>
      <c r="BQ28" s="289">
        <f>SUMIFS(PBC_PROFIT_AND_LOSS[AccountBalance], PBC_PROFIT_AND_LOSS[Id],$L28,PBC_PROFIT_AND_LOSS[Date],BQ$5)</f>
        <v>28403</v>
      </c>
      <c r="BR28" s="289">
        <f>SUMIFS(PBC_PROFIT_AND_LOSS[AccountBalance], PBC_PROFIT_AND_LOSS[Id],$L28,PBC_PROFIT_AND_LOSS[Date],BR$5)</f>
        <v>29823.35</v>
      </c>
      <c r="BS28" s="289">
        <f>SUMIFS(PBC_PROFIT_AND_LOSS[AccountBalance], PBC_PROFIT_AND_LOSS[Id],$L28,PBC_PROFIT_AND_LOSS[Date],BS$5)</f>
        <v>31314.51</v>
      </c>
      <c r="BT28" s="289">
        <f>SUMIFS(PBC_PROFIT_AND_LOSS[AccountBalance], PBC_PROFIT_AND_LOSS[Id],$L28,PBC_PROFIT_AND_LOSS[Date],BT$5)</f>
        <v>32880.239999999998</v>
      </c>
      <c r="BU28" s="289">
        <f>SUMIFS(PBC_PROFIT_AND_LOSS[AccountBalance], PBC_PROFIT_AND_LOSS[Id],$L28,PBC_PROFIT_AND_LOSS[Date],BU$5)</f>
        <v>34524.25</v>
      </c>
      <c r="BV28" s="289">
        <f>SUMIFS(PBC_PROFIT_AND_LOSS[AccountBalance], PBC_PROFIT_AND_LOSS[Id],$L28,PBC_PROFIT_AND_LOSS[Date],BV$5)</f>
        <v>36250.46</v>
      </c>
      <c r="BW28" s="289">
        <f>SUMIFS(PBC_PROFIT_AND_LOSS[AccountBalance], PBC_PROFIT_AND_LOSS[Id],$L28,PBC_PROFIT_AND_LOSS[Date],BW$5)</f>
        <v>38562.99</v>
      </c>
      <c r="BX28" s="335" cm="1">
        <f t="array" ref="BX28">_xlfn.SWITCH(
    $E28,
    "3 month avg", AVERAGE(BU28:BW28) * (1 + $F28),
    "6 month avg", AVERAGE(BR28:BW28) * (1 + $F28),
    "12 month avg", AVERAGE(BM28:BW28) * (1 + $F28),
    "Prior Month",BW28* (1 + $F28),
    "Prior Year", BL28* (1 + $F28),
    "Monthly assumption",$G28* (1 + $F28),
    "Quarterly assumption",$G28/3* (1 + $F28),
    "Annual assumption",$G28/12* (1 + $F28),
    "% of Revenue",SUM(_xlfn._xlws.FILTER(_xlfn._xlws.FILTER(dataSummaryPL,dataSummaryPLSections="Revenue"),(startDates&gt;=BX$4)*(endDates&lt;=BX$5)))*$F28,
    "Custom",0,
    "0",0,
        0
)</f>
        <v>6666.666666666667</v>
      </c>
      <c r="BY28" s="335" cm="1">
        <f t="array" ref="BY28">_xlfn.SWITCH(
    $E28,
    "3 month avg", AVERAGE(BV28:BX28) * (1 + $F28),
    "6 month avg", AVERAGE(BS28:BX28) * (1 + $F28),
    "12 month avg", AVERAGE(BN28:BX28) * (1 + $F28),
    "Prior Month",BX28* (1 + $F28),
    "Prior Year", BM28* (1 + $F28),
    "Monthly assumption",$G28* (1 + $F28),
    "Quarterly assumption",$G28/3* (1 + $F28),
    "Annual assumption",$G28/12* (1 + $F28),
    "% of Revenue",SUM(_xlfn._xlws.FILTER(_xlfn._xlws.FILTER(dataSummaryPL,dataSummaryPLSections="Revenue"),(startDates&gt;=BY$4)*(endDates&lt;=BY$5)))*$F28,
    "Custom",0,
    "0",0,
        0
)</f>
        <v>6666.666666666667</v>
      </c>
      <c r="BZ28" s="335" cm="1">
        <f t="array" ref="BZ28">_xlfn.SWITCH(
    $E28,
    "3 month avg", AVERAGE(BW28:BY28) * (1 + $F28),
    "6 month avg", AVERAGE(BT28:BY28) * (1 + $F28),
    "12 month avg", AVERAGE(BO28:BY28) * (1 + $F28),
    "Prior Month",BY28* (1 + $F28),
    "Prior Year", BN28* (1 + $F28),
    "Monthly assumption",$G28* (1 + $F28),
    "Quarterly assumption",$G28/3* (1 + $F28),
    "Annual assumption",$G28/12* (1 + $F28),
    "% of Revenue",SUM(_xlfn._xlws.FILTER(_xlfn._xlws.FILTER(dataSummaryPL,dataSummaryPLSections="Revenue"),(startDates&gt;=BZ$4)*(endDates&lt;=BZ$5)))*$F28,
    "Custom",0,
    "0",0,
        0
)</f>
        <v>6666.666666666667</v>
      </c>
      <c r="CA28" s="335" cm="1">
        <f t="array" ref="CA28">_xlfn.SWITCH(
    $E28,
    "3 month avg", AVERAGE(BX28:BZ28) * (1 + $F28),
    "6 month avg", AVERAGE(BU28:BZ28) * (1 + $F28),
    "12 month avg", AVERAGE(BP28:BZ28) * (1 + $F28),
    "Prior Month",BZ28* (1 + $F28),
    "Prior Year", BO28* (1 + $F28),
    "Monthly assumption",$G28* (1 + $F28),
    "Quarterly assumption",$G28/3* (1 + $F28),
    "Annual assumption",$G28/12* (1 + $F28),
    "% of Revenue",SUM(_xlfn._xlws.FILTER(_xlfn._xlws.FILTER(dataSummaryPL,dataSummaryPLSections="Revenue"),(startDates&gt;=CA$4)*(endDates&lt;=CA$5)))*$F28,
    "Custom",0,
    "0",0,
        0
)</f>
        <v>6666.666666666667</v>
      </c>
      <c r="CB28" s="335" cm="1">
        <f t="array" ref="CB28">_xlfn.SWITCH(
    $E28,
    "3 month avg", AVERAGE(BY28:CA28) * (1 + $F28),
    "6 month avg", AVERAGE(BV28:CA28) * (1 + $F28),
    "12 month avg", AVERAGE(BQ28:CA28) * (1 + $F28),
    "Prior Month",CA28* (1 + $F28),
    "Prior Year", BP28* (1 + $F28),
    "Monthly assumption",$G28* (1 + $F28),
    "Quarterly assumption",$G28/3* (1 + $F28),
    "Annual assumption",$G28/12* (1 + $F28),
    "% of Revenue",SUM(_xlfn._xlws.FILTER(_xlfn._xlws.FILTER(dataSummaryPL,dataSummaryPLSections="Revenue"),(startDates&gt;=CB$4)*(endDates&lt;=CB$5)))*$F28,
    "Custom",0,
    "0",0,
        0
)</f>
        <v>6666.666666666667</v>
      </c>
      <c r="CC28" s="335" cm="1">
        <f t="array" ref="CC28">_xlfn.SWITCH(
    $E28,
    "3 month avg", AVERAGE(BZ28:CB28) * (1 + $F28),
    "6 month avg", AVERAGE(BW28:CB28) * (1 + $F28),
    "12 month avg", AVERAGE(BR28:CB28) * (1 + $F28),
    "Prior Month",CB28* (1 + $F28),
    "Prior Year", BQ28* (1 + $F28),
    "Monthly assumption",$G28* (1 + $F28),
    "Quarterly assumption",$G28/3* (1 + $F28),
    "Annual assumption",$G28/12* (1 + $F28),
    "% of Revenue",SUM(_xlfn._xlws.FILTER(_xlfn._xlws.FILTER(dataSummaryPL,dataSummaryPLSections="Revenue"),(startDates&gt;=CC$4)*(endDates&lt;=CC$5)))*$F28,
    "Custom",0,
    "0",0,
        0
)</f>
        <v>6666.666666666667</v>
      </c>
      <c r="CD28" s="335" cm="1">
        <f t="array" ref="CD28">_xlfn.SWITCH(
    $E28,
    "3 month avg", AVERAGE(CA28:CC28) * (1 + $F28),
    "6 month avg", AVERAGE(BX28:CC28) * (1 + $F28),
    "12 month avg", AVERAGE(BS28:CC28) * (1 + $F28),
    "Prior Month",CC28* (1 + $F28),
    "Prior Year", BR28* (1 + $F28),
    "Monthly assumption",$G28* (1 + $F28),
    "Quarterly assumption",$G28/3* (1 + $F28),
    "Annual assumption",$G28/12* (1 + $F28),
    "% of Revenue",SUM(_xlfn._xlws.FILTER(_xlfn._xlws.FILTER(dataSummaryPL,dataSummaryPLSections="Revenue"),(startDates&gt;=CD$4)*(endDates&lt;=CD$5)))*$F28,
    "Custom",0,
    "0",0,
        0
)</f>
        <v>6666.666666666667</v>
      </c>
      <c r="CE28" s="335" cm="1">
        <f t="array" ref="CE28">_xlfn.SWITCH(
    $E28,
    "3 month avg", AVERAGE(CB28:CD28) * (1 + $F28),
    "6 month avg", AVERAGE(BY28:CD28) * (1 + $F28),
    "12 month avg", AVERAGE(BT28:CD28) * (1 + $F28),
    "Prior Month",CD28* (1 + $F28),
    "Prior Year", BS28* (1 + $F28),
    "Monthly assumption",$G28* (1 + $F28),
    "Quarterly assumption",$G28/3* (1 + $F28),
    "Annual assumption",$G28/12* (1 + $F28),
    "% of Revenue",SUM(_xlfn._xlws.FILTER(_xlfn._xlws.FILTER(dataSummaryPL,dataSummaryPLSections="Revenue"),(startDates&gt;=CE$4)*(endDates&lt;=CE$5)))*$F28,
    "Custom",0,
    "0",0,
        0
)</f>
        <v>6666.666666666667</v>
      </c>
      <c r="CF28" s="335" cm="1">
        <f t="array" ref="CF28">_xlfn.SWITCH(
    $E28,
    "3 month avg", AVERAGE(CC28:CE28) * (1 + $F28),
    "6 month avg", AVERAGE(BZ28:CE28) * (1 + $F28),
    "12 month avg", AVERAGE(BU28:CE28) * (1 + $F28),
    "Prior Month",CE28* (1 + $F28),
    "Prior Year", BT28* (1 + $F28),
    "Monthly assumption",$G28* (1 + $F28),
    "Quarterly assumption",$G28/3* (1 + $F28),
    "Annual assumption",$G28/12* (1 + $F28),
    "% of Revenue",SUM(_xlfn._xlws.FILTER(_xlfn._xlws.FILTER(dataSummaryPL,dataSummaryPLSections="Revenue"),(startDates&gt;=CF$4)*(endDates&lt;=CF$5)))*$F28,
    "Custom",0,
    "0",0,
        0
)</f>
        <v>6666.666666666667</v>
      </c>
      <c r="CG28" s="335" cm="1">
        <f t="array" ref="CG28">_xlfn.SWITCH(
    $E28,
    "3 month avg", AVERAGE(CD28:CF28) * (1 + $F28),
    "6 month avg", AVERAGE(CA28:CF28) * (1 + $F28),
    "12 month avg", AVERAGE(BV28:CF28) * (1 + $F28),
    "Prior Month",CF28* (1 + $F28),
    "Prior Year", BU28* (1 + $F28),
    "Monthly assumption",$G28* (1 + $F28),
    "Quarterly assumption",$G28/3* (1 + $F28),
    "Annual assumption",$G28/12* (1 + $F28),
    "% of Revenue",SUM(_xlfn._xlws.FILTER(_xlfn._xlws.FILTER(dataSummaryPL,dataSummaryPLSections="Revenue"),(startDates&gt;=CG$4)*(endDates&lt;=CG$5)))*$F28,
    "Custom",0,
    "0",0,
        0
)</f>
        <v>6666.666666666667</v>
      </c>
      <c r="CH28" s="335" cm="1">
        <f t="array" ref="CH28">_xlfn.SWITCH(
    $E28,
    "3 month avg", AVERAGE(CE28:CG28) * (1 + $F28),
    "6 month avg", AVERAGE(CB28:CG28) * (1 + $F28),
    "12 month avg", AVERAGE(BW28:CG28) * (1 + $F28),
    "Prior Month",CG28* (1 + $F28),
    "Prior Year", BV28* (1 + $F28),
    "Monthly assumption",$G28* (1 + $F28),
    "Quarterly assumption",$G28/3* (1 + $F28),
    "Annual assumption",$G28/12* (1 + $F28),
    "% of Revenue",SUM(_xlfn._xlws.FILTER(_xlfn._xlws.FILTER(dataSummaryPL,dataSummaryPLSections="Revenue"),(startDates&gt;=CH$4)*(endDates&lt;=CH$5)))*$F28,
    "Custom",0,
    "0",0,
        0
)</f>
        <v>6666.666666666667</v>
      </c>
      <c r="CI28" s="335" cm="1">
        <f t="array" ref="CI28">_xlfn.SWITCH(
    $E28,
    "3 month avg", AVERAGE(CF28:CH28) * (1 + $F28),
    "6 month avg", AVERAGE(CC28:CH28) * (1 + $F28),
    "12 month avg", AVERAGE(BX28:CH28) * (1 + $F28),
    "Prior Month",CH28* (1 + $F28),
    "Prior Year", BW28* (1 + $F28),
    "Monthly assumption",$G28* (1 + $F28),
    "Quarterly assumption",$G28/3* (1 + $F28),
    "Annual assumption",$G28/12* (1 + $F28),
    "% of Revenue",SUM(_xlfn._xlws.FILTER(_xlfn._xlws.FILTER(dataSummaryPL,dataSummaryPLSections="Revenue"),(startDates&gt;=CI$4)*(endDates&lt;=CI$5)))*$F28,
    "Custom",0,
    "0",0,
        0
)</f>
        <v>6666.666666666667</v>
      </c>
      <c r="CJ28" s="335" cm="1">
        <f t="array" ref="CJ28">_xlfn.SWITCH(
    $E28,
    "3 month avg", AVERAGE(CG28:CI28) * (1 + $F28),
    "6 month avg", AVERAGE(CD28:CI28) * (1 + $F28),
    "12 month avg", AVERAGE(BY28:CI28) * (1 + $F28),
    "Prior Month",CI28* (1 + $F28),
    "Prior Year", BX28* (1 + $F28),
    "Monthly assumption",$G28* (1 + $F28),
    "Quarterly assumption",$G28/3* (1 + $F28),
    "Annual assumption",$G28/12* (1 + $F28),
    "% of Revenue",SUM(_xlfn._xlws.FILTER(_xlfn._xlws.FILTER(dataSummaryPL,dataSummaryPLSections="Revenue"),(startDates&gt;=CJ$4)*(endDates&lt;=CJ$5)))*$F28,
    "Custom",0,
    "0",0,
        0
)</f>
        <v>6666.666666666667</v>
      </c>
    </row>
    <row r="29" spans="3:88" outlineLevel="2">
      <c r="C29" s="283"/>
      <c r="D29" s="288" t="s">
        <v>245</v>
      </c>
      <c r="E29" s="280" t="s">
        <v>354</v>
      </c>
      <c r="F29" s="332">
        <v>0.05</v>
      </c>
      <c r="G29" s="332"/>
      <c r="H29" s="277" t="str">
        <f>IFERROR(INDEX(PBC_ACCOUNT_LIST[Drivers Section],MATCH(Drivers!L29,PBC_ACCOUNT_LIST[Id],0)),"")</f>
        <v>Opex</v>
      </c>
      <c r="I29" s="277" t="str">
        <f>IFERROR(INDEX(PBC_ACCOUNT_LIST[Summary Grouping],MATCH(Drivers!L29,PBC_ACCOUNT_LIST[Id],0)),"")</f>
        <v>G&amp;A</v>
      </c>
      <c r="J29" s="277">
        <f>IFERROR(INDEX(PBC_ACCOUNT_LIST[Cash Flow Section],MATCH(Drivers!L29,PBC_ACCOUNT_LIST[Id],0)),"")</f>
        <v>0</v>
      </c>
      <c r="K29" s="278" t="s">
        <v>106</v>
      </c>
      <c r="L29" s="277">
        <v>166</v>
      </c>
      <c r="M29" s="276"/>
      <c r="O29" s="272"/>
      <c r="P29" s="289">
        <f t="shared" si="44"/>
        <v>6017</v>
      </c>
      <c r="Q29" s="289">
        <f t="shared" si="44"/>
        <v>14737.66</v>
      </c>
      <c r="R29" s="289">
        <f t="shared" si="44"/>
        <v>25294.312750000001</v>
      </c>
      <c r="S29" s="289">
        <f t="shared" si="44"/>
        <v>33031.533110807097</v>
      </c>
      <c r="T29" s="289"/>
      <c r="U29" s="289"/>
      <c r="V29" s="289">
        <f t="shared" si="45"/>
        <v>1087</v>
      </c>
      <c r="W29" s="289">
        <f t="shared" si="45"/>
        <v>1206</v>
      </c>
      <c r="X29" s="289">
        <f t="shared" si="45"/>
        <v>1336.5</v>
      </c>
      <c r="Y29" s="289">
        <f t="shared" si="45"/>
        <v>2387.5</v>
      </c>
      <c r="Z29" s="289">
        <f t="shared" si="45"/>
        <v>2912.5</v>
      </c>
      <c r="AA29" s="289">
        <f t="shared" si="45"/>
        <v>3412.5</v>
      </c>
      <c r="AB29" s="289">
        <f t="shared" si="45"/>
        <v>4034.5</v>
      </c>
      <c r="AC29" s="289">
        <f t="shared" si="45"/>
        <v>4378.16</v>
      </c>
      <c r="AD29" s="289">
        <f t="shared" si="45"/>
        <v>5072.28</v>
      </c>
      <c r="AE29" s="289">
        <f t="shared" si="45"/>
        <v>5869.62</v>
      </c>
      <c r="AF29" s="289">
        <f t="shared" si="45"/>
        <v>6794.42</v>
      </c>
      <c r="AG29" s="289">
        <f t="shared" si="45"/>
        <v>7557.9927499999994</v>
      </c>
      <c r="AH29" s="289">
        <f t="shared" si="45"/>
        <v>7714.1957959882802</v>
      </c>
      <c r="AI29" s="289">
        <f t="shared" si="45"/>
        <v>8094.7817385451781</v>
      </c>
      <c r="AJ29" s="289">
        <f t="shared" si="45"/>
        <v>8430.4259412691554</v>
      </c>
      <c r="AK29" s="289">
        <f t="shared" si="45"/>
        <v>8792.1296350044868</v>
      </c>
      <c r="AL29" s="333"/>
      <c r="AM29" s="334"/>
      <c r="AN29" s="289">
        <f>SUMIFS(PBC_PROFIT_AND_LOSS[AccountBalance], PBC_PROFIT_AND_LOSS[Id],$L29,PBC_PROFIT_AND_LOSS[Date],AN$5)</f>
        <v>0</v>
      </c>
      <c r="AO29" s="289">
        <f>SUMIFS(PBC_PROFIT_AND_LOSS[AccountBalance], PBC_PROFIT_AND_LOSS[Id],$L29,PBC_PROFIT_AND_LOSS[Date],AO$5)</f>
        <v>350</v>
      </c>
      <c r="AP29" s="289">
        <f>SUMIFS(PBC_PROFIT_AND_LOSS[AccountBalance], PBC_PROFIT_AND_LOSS[Id],$L29,PBC_PROFIT_AND_LOSS[Date],AP$5)</f>
        <v>362</v>
      </c>
      <c r="AQ29" s="289">
        <f>SUMIFS(PBC_PROFIT_AND_LOSS[AccountBalance], PBC_PROFIT_AND_LOSS[Id],$L29,PBC_PROFIT_AND_LOSS[Date],AQ$5)</f>
        <v>375</v>
      </c>
      <c r="AR29" s="289">
        <f>SUMIFS(PBC_PROFIT_AND_LOSS[AccountBalance], PBC_PROFIT_AND_LOSS[Id],$L29,PBC_PROFIT_AND_LOSS[Date],AR$5)</f>
        <v>388</v>
      </c>
      <c r="AS29" s="289">
        <f>SUMIFS(PBC_PROFIT_AND_LOSS[AccountBalance], PBC_PROFIT_AND_LOSS[Id],$L29,PBC_PROFIT_AND_LOSS[Date],AS$5)</f>
        <v>402</v>
      </c>
      <c r="AT29" s="289">
        <f>SUMIFS(PBC_PROFIT_AND_LOSS[AccountBalance], PBC_PROFIT_AND_LOSS[Id],$L29,PBC_PROFIT_AND_LOSS[Date],AT$5)</f>
        <v>416</v>
      </c>
      <c r="AU29" s="289">
        <f>SUMIFS(PBC_PROFIT_AND_LOSS[AccountBalance], PBC_PROFIT_AND_LOSS[Id],$L29,PBC_PROFIT_AND_LOSS[Date],AU$5)</f>
        <v>430</v>
      </c>
      <c r="AV29" s="289">
        <f>SUMIFS(PBC_PROFIT_AND_LOSS[AccountBalance], PBC_PROFIT_AND_LOSS[Id],$L29,PBC_PROFIT_AND_LOSS[Date],AV$5)</f>
        <v>445.5</v>
      </c>
      <c r="AW29" s="289">
        <f>SUMIFS(PBC_PROFIT_AND_LOSS[AccountBalance], PBC_PROFIT_AND_LOSS[Id],$L29,PBC_PROFIT_AND_LOSS[Date],AW$5)</f>
        <v>461</v>
      </c>
      <c r="AX29" s="289">
        <f>SUMIFS(PBC_PROFIT_AND_LOSS[AccountBalance], PBC_PROFIT_AND_LOSS[Id],$L29,PBC_PROFIT_AND_LOSS[Date],AX$5)</f>
        <v>477.5</v>
      </c>
      <c r="AY29" s="289">
        <f>SUMIFS(PBC_PROFIT_AND_LOSS[AccountBalance], PBC_PROFIT_AND_LOSS[Id],$L29,PBC_PROFIT_AND_LOSS[Date],AY$5)</f>
        <v>821.5</v>
      </c>
      <c r="AZ29" s="289">
        <f>SUMIFS(PBC_PROFIT_AND_LOSS[AccountBalance], PBC_PROFIT_AND_LOSS[Id],$L29,PBC_PROFIT_AND_LOSS[Date],AZ$5)</f>
        <v>1088.5</v>
      </c>
      <c r="BA29" s="289">
        <f>SUMIFS(PBC_PROFIT_AND_LOSS[AccountBalance], PBC_PROFIT_AND_LOSS[Id],$L29,PBC_PROFIT_AND_LOSS[Date],BA$5)</f>
        <v>863.5</v>
      </c>
      <c r="BB29" s="289">
        <f>SUMIFS(PBC_PROFIT_AND_LOSS[AccountBalance], PBC_PROFIT_AND_LOSS[Id],$L29,PBC_PROFIT_AND_LOSS[Date],BB$5)</f>
        <v>1143</v>
      </c>
      <c r="BC29" s="289">
        <f>SUMIFS(PBC_PROFIT_AND_LOSS[AccountBalance], PBC_PROFIT_AND_LOSS[Id],$L29,PBC_PROFIT_AND_LOSS[Date],BC$5)</f>
        <v>906</v>
      </c>
      <c r="BD29" s="289">
        <f>SUMIFS(PBC_PROFIT_AND_LOSS[AccountBalance], PBC_PROFIT_AND_LOSS[Id],$L29,PBC_PROFIT_AND_LOSS[Date],BD$5)</f>
        <v>1200</v>
      </c>
      <c r="BE29" s="289">
        <f>SUMIFS(PBC_PROFIT_AND_LOSS[AccountBalance], PBC_PROFIT_AND_LOSS[Id],$L29,PBC_PROFIT_AND_LOSS[Date],BE$5)</f>
        <v>952</v>
      </c>
      <c r="BF29" s="289">
        <f>SUMIFS(PBC_PROFIT_AND_LOSS[AccountBalance], PBC_PROFIT_AND_LOSS[Id],$L29,PBC_PROFIT_AND_LOSS[Date],BF$5)</f>
        <v>1260.5</v>
      </c>
      <c r="BG29" s="289">
        <f>SUMIFS(PBC_PROFIT_AND_LOSS[AccountBalance], PBC_PROFIT_AND_LOSS[Id],$L29,PBC_PROFIT_AND_LOSS[Date],BG$5)</f>
        <v>1323</v>
      </c>
      <c r="BH29" s="289">
        <f>SUMIFS(PBC_PROFIT_AND_LOSS[AccountBalance], PBC_PROFIT_AND_LOSS[Id],$L29,PBC_PROFIT_AND_LOSS[Date],BH$5)</f>
        <v>1322.5</v>
      </c>
      <c r="BI29" s="289">
        <f>SUMIFS(PBC_PROFIT_AND_LOSS[AccountBalance], PBC_PROFIT_AND_LOSS[Id],$L29,PBC_PROFIT_AND_LOSS[Date],BI$5)</f>
        <v>1389</v>
      </c>
      <c r="BJ29" s="289">
        <f>SUMIFS(PBC_PROFIT_AND_LOSS[AccountBalance], PBC_PROFIT_AND_LOSS[Id],$L29,PBC_PROFIT_AND_LOSS[Date],BJ$5)</f>
        <v>1389.33</v>
      </c>
      <c r="BK29" s="289">
        <f>SUMIFS(PBC_PROFIT_AND_LOSS[AccountBalance], PBC_PROFIT_AND_LOSS[Id],$L29,PBC_PROFIT_AND_LOSS[Date],BK$5)</f>
        <v>1459.33</v>
      </c>
      <c r="BL29" s="289">
        <f>SUMIFS(PBC_PROFIT_AND_LOSS[AccountBalance], PBC_PROFIT_AND_LOSS[Id],$L29,PBC_PROFIT_AND_LOSS[Date],BL$5)</f>
        <v>1529.5</v>
      </c>
      <c r="BM29" s="289">
        <f>SUMIFS(PBC_PROFIT_AND_LOSS[AccountBalance], PBC_PROFIT_AND_LOSS[Id],$L29,PBC_PROFIT_AND_LOSS[Date],BM$5)</f>
        <v>1608.28</v>
      </c>
      <c r="BN29" s="289">
        <f>SUMIFS(PBC_PROFIT_AND_LOSS[AccountBalance], PBC_PROFIT_AND_LOSS[Id],$L29,PBC_PROFIT_AND_LOSS[Date],BN$5)</f>
        <v>1691</v>
      </c>
      <c r="BO29" s="289">
        <f>SUMIFS(PBC_PROFIT_AND_LOSS[AccountBalance], PBC_PROFIT_AND_LOSS[Id],$L29,PBC_PROFIT_AND_LOSS[Date],BO$5)</f>
        <v>1773</v>
      </c>
      <c r="BP29" s="289">
        <f>SUMIFS(PBC_PROFIT_AND_LOSS[AccountBalance], PBC_PROFIT_AND_LOSS[Id],$L29,PBC_PROFIT_AND_LOSS[Date],BP$5)</f>
        <v>1862</v>
      </c>
      <c r="BQ29" s="289">
        <f>SUMIFS(PBC_PROFIT_AND_LOSS[AccountBalance], PBC_PROFIT_AND_LOSS[Id],$L29,PBC_PROFIT_AND_LOSS[Date],BQ$5)</f>
        <v>1955</v>
      </c>
      <c r="BR29" s="289">
        <f>SUMIFS(PBC_PROFIT_AND_LOSS[AccountBalance], PBC_PROFIT_AND_LOSS[Id],$L29,PBC_PROFIT_AND_LOSS[Date],BR$5)</f>
        <v>2052.62</v>
      </c>
      <c r="BS29" s="289">
        <f>SUMIFS(PBC_PROFIT_AND_LOSS[AccountBalance], PBC_PROFIT_AND_LOSS[Id],$L29,PBC_PROFIT_AND_LOSS[Date],BS$5)</f>
        <v>2155.25</v>
      </c>
      <c r="BT29" s="289">
        <f>SUMIFS(PBC_PROFIT_AND_LOSS[AccountBalance], PBC_PROFIT_AND_LOSS[Id],$L29,PBC_PROFIT_AND_LOSS[Date],BT$5)</f>
        <v>2263.0100000000002</v>
      </c>
      <c r="BU29" s="289">
        <f>SUMIFS(PBC_PROFIT_AND_LOSS[AccountBalance], PBC_PROFIT_AND_LOSS[Id],$L29,PBC_PROFIT_AND_LOSS[Date],BU$5)</f>
        <v>2376.16</v>
      </c>
      <c r="BV29" s="289">
        <f>SUMIFS(PBC_PROFIT_AND_LOSS[AccountBalance], PBC_PROFIT_AND_LOSS[Id],$L29,PBC_PROFIT_AND_LOSS[Date],BV$5)</f>
        <v>2494.9699999999998</v>
      </c>
      <c r="BW29" s="289">
        <f>SUMIFS(PBC_PROFIT_AND_LOSS[AccountBalance], PBC_PROFIT_AND_LOSS[Id],$L29,PBC_PROFIT_AND_LOSS[Date],BW$5)</f>
        <v>2619.7199999999998</v>
      </c>
      <c r="BX29" s="335" cm="1">
        <f t="array" ref="BX29">_xlfn.SWITCH(
    $E29,
    "3 month avg", AVERAGE(BU29:BW29) * (1 + $F29),
    "6 month avg", AVERAGE(BR29:BW29) * (1 + $F29),
    "12 month avg", AVERAGE(BM29:BW29) * (1 + $F29),
    "Prior Month",BW29* (1 + $F29),
    "Prior Year", BL29* (1 + $F29),
    "Monthly assumption",$G29* (1 + $F29),
    "Quarterly assumption",$G29/3* (1 + $F29),
    "Annual assumption",$G29/12* (1 + $F29),
    "% of Revenue",SUM(_xlfn._xlws.FILTER(_xlfn._xlws.FILTER(dataSummaryPL,dataSummaryPLSections="Revenue"),(startDates&gt;=BX$4)*(endDates&lt;=BX$5)))*$F29,
    "Custom",0,
    "0",0,
        0
)</f>
        <v>2443.3027499999998</v>
      </c>
      <c r="BY29" s="335" cm="1">
        <f t="array" ref="BY29">_xlfn.SWITCH(
    $E29,
    "3 month avg", AVERAGE(BV29:BX29) * (1 + $F29),
    "6 month avg", AVERAGE(BS29:BX29) * (1 + $F29),
    "12 month avg", AVERAGE(BN29:BX29) * (1 + $F29),
    "Prior Month",BX29* (1 + $F29),
    "Prior Year", BM29* (1 + $F29),
    "Monthly assumption",$G29* (1 + $F29),
    "Quarterly assumption",$G29/3* (1 + $F29),
    "Annual assumption",$G29/12* (1 + $F29),
    "% of Revenue",SUM(_xlfn._xlws.FILTER(_xlfn._xlws.FILTER(dataSummaryPL,dataSummaryPLSections="Revenue"),(startDates&gt;=BY$4)*(endDates&lt;=BY$5)))*$F29,
    "Custom",0,
    "0",0,
        0
)</f>
        <v>2511.6722312500001</v>
      </c>
      <c r="BZ29" s="335" cm="1">
        <f t="array" ref="BZ29">_xlfn.SWITCH(
    $E29,
    "3 month avg", AVERAGE(BW29:BY29) * (1 + $F29),
    "6 month avg", AVERAGE(BT29:BY29) * (1 + $F29),
    "12 month avg", AVERAGE(BO29:BY29) * (1 + $F29),
    "Prior Month",BY29* (1 + $F29),
    "Prior Year", BN29* (1 + $F29),
    "Monthly assumption",$G29* (1 + $F29),
    "Quarterly assumption",$G29/3* (1 + $F29),
    "Annual assumption",$G29/12* (1 + $F29),
    "% of Revenue",SUM(_xlfn._xlws.FILTER(_xlfn._xlws.FILTER(dataSummaryPL,dataSummaryPLSections="Revenue"),(startDates&gt;=BZ$4)*(endDates&lt;=BZ$5)))*$F29,
    "Custom",0,
    "0",0,
        0
)</f>
        <v>2574.0461217187503</v>
      </c>
      <c r="CA29" s="335" cm="1">
        <f t="array" ref="CA29">_xlfn.SWITCH(
    $E29,
    "3 month avg", AVERAGE(BX29:BZ29) * (1 + $F29),
    "6 month avg", AVERAGE(BU29:BZ29) * (1 + $F29),
    "12 month avg", AVERAGE(BP29:BZ29) * (1 + $F29),
    "Prior Month",BZ29* (1 + $F29),
    "Prior Year", BO29* (1 + $F29),
    "Monthly assumption",$G29* (1 + $F29),
    "Quarterly assumption",$G29/3* (1 + $F29),
    "Annual assumption",$G29/12* (1 + $F29),
    "% of Revenue",SUM(_xlfn._xlws.FILTER(_xlfn._xlws.FILTER(dataSummaryPL,dataSummaryPLSections="Revenue"),(startDates&gt;=CA$4)*(endDates&lt;=CA$5)))*$F29,
    "Custom",0,
    "0",0,
        0
)</f>
        <v>2628.4774430195307</v>
      </c>
      <c r="CB29" s="335" cm="1">
        <f t="array" ref="CB29">_xlfn.SWITCH(
    $E29,
    "3 month avg", AVERAGE(BY29:CA29) * (1 + $F29),
    "6 month avg", AVERAGE(BV29:CA29) * (1 + $F29),
    "12 month avg", AVERAGE(BQ29:CA29) * (1 + $F29),
    "Prior Month",CA29* (1 + $F29),
    "Prior Year", BP29* (1 + $F29),
    "Monthly assumption",$G29* (1 + $F29),
    "Quarterly assumption",$G29/3* (1 + $F29),
    "Annual assumption",$G29/12* (1 + $F29),
    "% of Revenue",SUM(_xlfn._xlws.FILTER(_xlfn._xlws.FILTER(dataSummaryPL,dataSummaryPLSections="Revenue"),(startDates&gt;=CB$4)*(endDates&lt;=CB$5)))*$F29,
    "Custom",0,
    "0",0,
        0
)</f>
        <v>2672.6329955479496</v>
      </c>
      <c r="CC29" s="335" cm="1">
        <f t="array" ref="CC29">_xlfn.SWITCH(
    $E29,
    "3 month avg", AVERAGE(BZ29:CB29) * (1 + $F29),
    "6 month avg", AVERAGE(BW29:CB29) * (1 + $F29),
    "12 month avg", AVERAGE(BR29:CB29) * (1 + $F29),
    "Prior Month",CB29* (1 + $F29),
    "Prior Year", BQ29* (1 + $F29),
    "Monthly assumption",$G29* (1 + $F29),
    "Quarterly assumption",$G29/3* (1 + $F29),
    "Annual assumption",$G29/12* (1 + $F29),
    "% of Revenue",SUM(_xlfn._xlws.FILTER(_xlfn._xlws.FILTER(dataSummaryPL,dataSummaryPLSections="Revenue"),(startDates&gt;=CC$4)*(endDates&lt;=CC$5)))*$F29,
    "Custom",0,
    "0",0,
        0
)</f>
        <v>2703.7240197688407</v>
      </c>
      <c r="CD29" s="335" cm="1">
        <f t="array" ref="CD29">_xlfn.SWITCH(
    $E29,
    "3 month avg", AVERAGE(CA29:CC29) * (1 + $F29),
    "6 month avg", AVERAGE(BX29:CC29) * (1 + $F29),
    "12 month avg", AVERAGE(BS29:CC29) * (1 + $F29),
    "Prior Month",CC29* (1 + $F29),
    "Prior Year", BR29* (1 + $F29),
    "Monthly assumption",$G29* (1 + $F29),
    "Quarterly assumption",$G29/3* (1 + $F29),
    "Annual assumption",$G29/12* (1 + $F29),
    "% of Revenue",SUM(_xlfn._xlws.FILTER(_xlfn._xlws.FILTER(dataSummaryPL,dataSummaryPLSections="Revenue"),(startDates&gt;=CD$4)*(endDates&lt;=CD$5)))*$F29,
    "Custom",0,
    "0",0,
        0
)</f>
        <v>2718.4247232283874</v>
      </c>
      <c r="CE29" s="335" cm="1">
        <f t="array" ref="CE29">_xlfn.SWITCH(
    $E29,
    "3 month avg", AVERAGE(CB29:CD29) * (1 + $F29),
    "6 month avg", AVERAGE(BY29:CD29) * (1 + $F29),
    "12 month avg", AVERAGE(BT29:CD29) * (1 + $F29),
    "Prior Month",CD29* (1 + $F29),
    "Prior Year", BS29* (1 + $F29),
    "Monthly assumption",$G29* (1 + $F29),
    "Quarterly assumption",$G29/3* (1 + $F29),
    "Annual assumption",$G29/12* (1 + $F29),
    "% of Revenue",SUM(_xlfn._xlws.FILTER(_xlfn._xlws.FILTER(dataSummaryPL,dataSummaryPLSections="Revenue"),(startDates&gt;=CE$4)*(endDates&lt;=CE$5)))*$F29,
    "Custom",0,
    "0",0,
        0
)</f>
        <v>2766.5710685433555</v>
      </c>
      <c r="CF29" s="335" cm="1">
        <f t="array" ref="CF29">_xlfn.SWITCH(
    $E29,
    "3 month avg", AVERAGE(CC29:CE29) * (1 + $F29),
    "6 month avg", AVERAGE(BZ29:CE29) * (1 + $F29),
    "12 month avg", AVERAGE(BU29:CE29) * (1 + $F29),
    "Prior Month",CE29* (1 + $F29),
    "Prior Year", BT29* (1 + $F29),
    "Monthly assumption",$G29* (1 + $F29),
    "Quarterly assumption",$G29/3* (1 + $F29),
    "Annual assumption",$G29/12* (1 + $F29),
    "% of Revenue",SUM(_xlfn._xlws.FILTER(_xlfn._xlws.FILTER(dataSummaryPL,dataSummaryPLSections="Revenue"),(startDates&gt;=CF$4)*(endDates&lt;=CF$5)))*$F29,
    "Custom",0,
    "0",0,
        0
)</f>
        <v>2811.178365069693</v>
      </c>
      <c r="CG29" s="335" cm="1">
        <f t="array" ref="CG29">_xlfn.SWITCH(
    $E29,
    "3 month avg", AVERAGE(CD29:CF29) * (1 + $F29),
    "6 month avg", AVERAGE(CA29:CF29) * (1 + $F29),
    "12 month avg", AVERAGE(BV29:CF29) * (1 + $F29),
    "Prior Month",CF29* (1 + $F29),
    "Prior Year", BU29* (1 + $F29),
    "Monthly assumption",$G29* (1 + $F29),
    "Quarterly assumption",$G29/3* (1 + $F29),
    "Annual assumption",$G29/12* (1 + $F29),
    "% of Revenue",SUM(_xlfn._xlws.FILTER(_xlfn._xlws.FILTER(dataSummaryPL,dataSummaryPLSections="Revenue"),(startDates&gt;=CG$4)*(endDates&lt;=CG$5)))*$F29,
    "Custom",0,
    "0",0,
        0
)</f>
        <v>2852.6765076561073</v>
      </c>
      <c r="CH29" s="335" cm="1">
        <f t="array" ref="CH29">_xlfn.SWITCH(
    $E29,
    "3 month avg", AVERAGE(CE29:CG29) * (1 + $F29),
    "6 month avg", AVERAGE(CB29:CG29) * (1 + $F29),
    "12 month avg", AVERAGE(BW29:CG29) * (1 + $F29),
    "Prior Month",CG29* (1 + $F29),
    "Prior Year", BV29* (1 + $F29),
    "Monthly assumption",$G29* (1 + $F29),
    "Quarterly assumption",$G29/3* (1 + $F29),
    "Annual assumption",$G29/12* (1 + $F29),
    "% of Revenue",SUM(_xlfn._xlws.FILTER(_xlfn._xlws.FILTER(dataSummaryPL,dataSummaryPLSections="Revenue"),(startDates&gt;=CH$4)*(endDates&lt;=CH$5)))*$F29,
    "Custom",0,
    "0",0,
        0
)</f>
        <v>2891.9113439675079</v>
      </c>
      <c r="CI29" s="335" cm="1">
        <f t="array" ref="CI29">_xlfn.SWITCH(
    $E29,
    "3 month avg", AVERAGE(CF29:CH29) * (1 + $F29),
    "6 month avg", AVERAGE(CC29:CH29) * (1 + $F29),
    "12 month avg", AVERAGE(BX29:CH29) * (1 + $F29),
    "Prior Month",CH29* (1 + $F29),
    "Prior Year", BW29* (1 + $F29),
    "Monthly assumption",$G29* (1 + $F29),
    "Quarterly assumption",$G29/3* (1 + $F29),
    "Annual assumption",$G29/12* (1 + $F29),
    "% of Revenue",SUM(_xlfn._xlws.FILTER(_xlfn._xlws.FILTER(dataSummaryPL,dataSummaryPLSections="Revenue"),(startDates&gt;=CI$4)*(endDates&lt;=CI$5)))*$F29,
    "Custom",0,
    "0",0,
        0
)</f>
        <v>2930.2850549409313</v>
      </c>
      <c r="CJ29" s="335" cm="1">
        <f t="array" ref="CJ29">_xlfn.SWITCH(
    $E29,
    "3 month avg", AVERAGE(CG29:CI29) * (1 + $F29),
    "6 month avg", AVERAGE(CD29:CI29) * (1 + $F29),
    "12 month avg", AVERAGE(BY29:CI29) * (1 + $F29),
    "Prior Month",CI29* (1 + $F29),
    "Prior Year", BX29* (1 + $F29),
    "Monthly assumption",$G29* (1 + $F29),
    "Quarterly assumption",$G29/3* (1 + $F29),
    "Annual assumption",$G29/12* (1 + $F29),
    "% of Revenue",SUM(_xlfn._xlws.FILTER(_xlfn._xlws.FILTER(dataSummaryPL,dataSummaryPLSections="Revenue"),(startDates&gt;=CJ$4)*(endDates&lt;=CJ$5)))*$F29,
    "Custom",0,
    "0",0,
        0
)</f>
        <v>2969.933236096047</v>
      </c>
    </row>
    <row r="30" spans="3:88" outlineLevel="2">
      <c r="C30" s="283"/>
      <c r="D30" s="288" t="s">
        <v>246</v>
      </c>
      <c r="E30" s="280" t="s">
        <v>354</v>
      </c>
      <c r="F30" s="332">
        <v>0.05</v>
      </c>
      <c r="G30" s="332"/>
      <c r="H30" s="277" t="str">
        <f>IFERROR(INDEX(PBC_ACCOUNT_LIST[Drivers Section],MATCH(Drivers!L30,PBC_ACCOUNT_LIST[Id],0)),"")</f>
        <v>Opex</v>
      </c>
      <c r="I30" s="277" t="str">
        <f>IFERROR(INDEX(PBC_ACCOUNT_LIST[Summary Grouping],MATCH(Drivers!L30,PBC_ACCOUNT_LIST[Id],0)),"")</f>
        <v>Marketing &amp; Advertising</v>
      </c>
      <c r="J30" s="277">
        <f>IFERROR(INDEX(PBC_ACCOUNT_LIST[Cash Flow Section],MATCH(Drivers!L30,PBC_ACCOUNT_LIST[Id],0)),"")</f>
        <v>0</v>
      </c>
      <c r="K30" s="278" t="s">
        <v>106</v>
      </c>
      <c r="L30" s="277">
        <v>167</v>
      </c>
      <c r="M30" s="276"/>
      <c r="O30" s="272"/>
      <c r="P30" s="289">
        <f t="shared" si="44"/>
        <v>158710</v>
      </c>
      <c r="Q30" s="289">
        <f t="shared" si="44"/>
        <v>339253</v>
      </c>
      <c r="R30" s="289">
        <f t="shared" si="44"/>
        <v>607785.07400000002</v>
      </c>
      <c r="S30" s="289">
        <f t="shared" si="44"/>
        <v>793779.29047577432</v>
      </c>
      <c r="T30" s="289"/>
      <c r="U30" s="289"/>
      <c r="V30" s="289">
        <f t="shared" si="45"/>
        <v>31062</v>
      </c>
      <c r="W30" s="289">
        <f t="shared" si="45"/>
        <v>34439</v>
      </c>
      <c r="X30" s="289">
        <f t="shared" si="45"/>
        <v>38184.5</v>
      </c>
      <c r="Y30" s="289">
        <f t="shared" si="45"/>
        <v>55024.5</v>
      </c>
      <c r="Z30" s="289">
        <f t="shared" si="45"/>
        <v>60265</v>
      </c>
      <c r="AA30" s="289">
        <f t="shared" si="45"/>
        <v>76761</v>
      </c>
      <c r="AB30" s="289">
        <f t="shared" si="45"/>
        <v>96978</v>
      </c>
      <c r="AC30" s="289">
        <f t="shared" si="45"/>
        <v>105249</v>
      </c>
      <c r="AD30" s="289">
        <f t="shared" si="45"/>
        <v>121839.5</v>
      </c>
      <c r="AE30" s="289">
        <f t="shared" si="45"/>
        <v>141043.37</v>
      </c>
      <c r="AF30" s="289">
        <f t="shared" si="45"/>
        <v>163276.46000000002</v>
      </c>
      <c r="AG30" s="289">
        <f t="shared" si="45"/>
        <v>181625.74400000001</v>
      </c>
      <c r="AH30" s="289">
        <f t="shared" si="45"/>
        <v>185379.50696081255</v>
      </c>
      <c r="AI30" s="289">
        <f t="shared" si="45"/>
        <v>194525.32683456937</v>
      </c>
      <c r="AJ30" s="289">
        <f t="shared" si="45"/>
        <v>202591.18745577335</v>
      </c>
      <c r="AK30" s="289">
        <f t="shared" si="45"/>
        <v>211283.26922461909</v>
      </c>
      <c r="AL30" s="333"/>
      <c r="AM30" s="334"/>
      <c r="AN30" s="289">
        <f>SUMIFS(PBC_PROFIT_AND_LOSS[AccountBalance], PBC_PROFIT_AND_LOSS[Id],$L30,PBC_PROFIT_AND_LOSS[Date],AN$5)</f>
        <v>0</v>
      </c>
      <c r="AO30" s="289">
        <f>SUMIFS(PBC_PROFIT_AND_LOSS[AccountBalance], PBC_PROFIT_AND_LOSS[Id],$L30,PBC_PROFIT_AND_LOSS[Date],AO$5)</f>
        <v>10000</v>
      </c>
      <c r="AP30" s="289">
        <f>SUMIFS(PBC_PROFIT_AND_LOSS[AccountBalance], PBC_PROFIT_AND_LOSS[Id],$L30,PBC_PROFIT_AND_LOSS[Date],AP$5)</f>
        <v>10350</v>
      </c>
      <c r="AQ30" s="289">
        <f>SUMIFS(PBC_PROFIT_AND_LOSS[AccountBalance], PBC_PROFIT_AND_LOSS[Id],$L30,PBC_PROFIT_AND_LOSS[Date],AQ$5)</f>
        <v>10712</v>
      </c>
      <c r="AR30" s="289">
        <f>SUMIFS(PBC_PROFIT_AND_LOSS[AccountBalance], PBC_PROFIT_AND_LOSS[Id],$L30,PBC_PROFIT_AND_LOSS[Date],AR$5)</f>
        <v>11087</v>
      </c>
      <c r="AS30" s="289">
        <f>SUMIFS(PBC_PROFIT_AND_LOSS[AccountBalance], PBC_PROFIT_AND_LOSS[Id],$L30,PBC_PROFIT_AND_LOSS[Date],AS$5)</f>
        <v>11475</v>
      </c>
      <c r="AT30" s="289">
        <f>SUMIFS(PBC_PROFIT_AND_LOSS[AccountBalance], PBC_PROFIT_AND_LOSS[Id],$L30,PBC_PROFIT_AND_LOSS[Date],AT$5)</f>
        <v>11877</v>
      </c>
      <c r="AU30" s="289">
        <f>SUMIFS(PBC_PROFIT_AND_LOSS[AccountBalance], PBC_PROFIT_AND_LOSS[Id],$L30,PBC_PROFIT_AND_LOSS[Date],AU$5)</f>
        <v>12293</v>
      </c>
      <c r="AV30" s="289">
        <f>SUMIFS(PBC_PROFIT_AND_LOSS[AccountBalance], PBC_PROFIT_AND_LOSS[Id],$L30,PBC_PROFIT_AND_LOSS[Date],AV$5)</f>
        <v>12723.5</v>
      </c>
      <c r="AW30" s="289">
        <f>SUMIFS(PBC_PROFIT_AND_LOSS[AccountBalance], PBC_PROFIT_AND_LOSS[Id],$L30,PBC_PROFIT_AND_LOSS[Date],AW$5)</f>
        <v>13168</v>
      </c>
      <c r="AX30" s="289">
        <f>SUMIFS(PBC_PROFIT_AND_LOSS[AccountBalance], PBC_PROFIT_AND_LOSS[Id],$L30,PBC_PROFIT_AND_LOSS[Date],AX$5)</f>
        <v>13629</v>
      </c>
      <c r="AY30" s="289">
        <f>SUMIFS(PBC_PROFIT_AND_LOSS[AccountBalance], PBC_PROFIT_AND_LOSS[Id],$L30,PBC_PROFIT_AND_LOSS[Date],AY$5)</f>
        <v>15237</v>
      </c>
      <c r="AZ30" s="289">
        <f>SUMIFS(PBC_PROFIT_AND_LOSS[AccountBalance], PBC_PROFIT_AND_LOSS[Id],$L30,PBC_PROFIT_AND_LOSS[Date],AZ$5)</f>
        <v>26158.5</v>
      </c>
      <c r="BA30" s="289">
        <f>SUMIFS(PBC_PROFIT_AND_LOSS[AccountBalance], PBC_PROFIT_AND_LOSS[Id],$L30,PBC_PROFIT_AND_LOSS[Date],BA$5)</f>
        <v>15999</v>
      </c>
      <c r="BB30" s="289">
        <f>SUMIFS(PBC_PROFIT_AND_LOSS[AccountBalance], PBC_PROFIT_AND_LOSS[Id],$L30,PBC_PROFIT_AND_LOSS[Date],BB$5)</f>
        <v>27467</v>
      </c>
      <c r="BC30" s="289">
        <f>SUMIFS(PBC_PROFIT_AND_LOSS[AccountBalance], PBC_PROFIT_AND_LOSS[Id],$L30,PBC_PROFIT_AND_LOSS[Date],BC$5)</f>
        <v>16799</v>
      </c>
      <c r="BD30" s="289">
        <f>SUMIFS(PBC_PROFIT_AND_LOSS[AccountBalance], PBC_PROFIT_AND_LOSS[Id],$L30,PBC_PROFIT_AND_LOSS[Date],BD$5)</f>
        <v>28840</v>
      </c>
      <c r="BE30" s="289">
        <f>SUMIFS(PBC_PROFIT_AND_LOSS[AccountBalance], PBC_PROFIT_AND_LOSS[Id],$L30,PBC_PROFIT_AND_LOSS[Date],BE$5)</f>
        <v>17639</v>
      </c>
      <c r="BF30" s="289">
        <f>SUMIFS(PBC_PROFIT_AND_LOSS[AccountBalance], PBC_PROFIT_AND_LOSS[Id],$L30,PBC_PROFIT_AND_LOSS[Date],BF$5)</f>
        <v>30282</v>
      </c>
      <c r="BG30" s="289">
        <f>SUMIFS(PBC_PROFIT_AND_LOSS[AccountBalance], PBC_PROFIT_AND_LOSS[Id],$L30,PBC_PROFIT_AND_LOSS[Date],BG$5)</f>
        <v>31796</v>
      </c>
      <c r="BH30" s="289">
        <f>SUMIFS(PBC_PROFIT_AND_LOSS[AccountBalance], PBC_PROFIT_AND_LOSS[Id],$L30,PBC_PROFIT_AND_LOSS[Date],BH$5)</f>
        <v>31796</v>
      </c>
      <c r="BI30" s="289">
        <f>SUMIFS(PBC_PROFIT_AND_LOSS[AccountBalance], PBC_PROFIT_AND_LOSS[Id],$L30,PBC_PROFIT_AND_LOSS[Date],BI$5)</f>
        <v>33386</v>
      </c>
      <c r="BJ30" s="289">
        <f>SUMIFS(PBC_PROFIT_AND_LOSS[AccountBalance], PBC_PROFIT_AND_LOSS[Id],$L30,PBC_PROFIT_AND_LOSS[Date],BJ$5)</f>
        <v>33386</v>
      </c>
      <c r="BK30" s="289">
        <f>SUMIFS(PBC_PROFIT_AND_LOSS[AccountBalance], PBC_PROFIT_AND_LOSS[Id],$L30,PBC_PROFIT_AND_LOSS[Date],BK$5)</f>
        <v>35055</v>
      </c>
      <c r="BL30" s="289">
        <f>SUMIFS(PBC_PROFIT_AND_LOSS[AccountBalance], PBC_PROFIT_AND_LOSS[Id],$L30,PBC_PROFIT_AND_LOSS[Date],BL$5)</f>
        <v>36808</v>
      </c>
      <c r="BM30" s="289">
        <f>SUMIFS(PBC_PROFIT_AND_LOSS[AccountBalance], PBC_PROFIT_AND_LOSS[Id],$L30,PBC_PROFIT_AND_LOSS[Date],BM$5)</f>
        <v>38648.5</v>
      </c>
      <c r="BN30" s="289">
        <f>SUMIFS(PBC_PROFIT_AND_LOSS[AccountBalance], PBC_PROFIT_AND_LOSS[Id],$L30,PBC_PROFIT_AND_LOSS[Date],BN$5)</f>
        <v>40581</v>
      </c>
      <c r="BO30" s="289">
        <f>SUMIFS(PBC_PROFIT_AND_LOSS[AccountBalance], PBC_PROFIT_AND_LOSS[Id],$L30,PBC_PROFIT_AND_LOSS[Date],BO$5)</f>
        <v>42610</v>
      </c>
      <c r="BP30" s="289">
        <f>SUMIFS(PBC_PROFIT_AND_LOSS[AccountBalance], PBC_PROFIT_AND_LOSS[Id],$L30,PBC_PROFIT_AND_LOSS[Date],BP$5)</f>
        <v>44740</v>
      </c>
      <c r="BQ30" s="289">
        <f>SUMIFS(PBC_PROFIT_AND_LOSS[AccountBalance], PBC_PROFIT_AND_LOSS[Id],$L30,PBC_PROFIT_AND_LOSS[Date],BQ$5)</f>
        <v>46977</v>
      </c>
      <c r="BR30" s="289">
        <f>SUMIFS(PBC_PROFIT_AND_LOSS[AccountBalance], PBC_PROFIT_AND_LOSS[Id],$L30,PBC_PROFIT_AND_LOSS[Date],BR$5)</f>
        <v>49326.37</v>
      </c>
      <c r="BS30" s="289">
        <f>SUMIFS(PBC_PROFIT_AND_LOSS[AccountBalance], PBC_PROFIT_AND_LOSS[Id],$L30,PBC_PROFIT_AND_LOSS[Date],BS$5)</f>
        <v>51792.69</v>
      </c>
      <c r="BT30" s="289">
        <f>SUMIFS(PBC_PROFIT_AND_LOSS[AccountBalance], PBC_PROFIT_AND_LOSS[Id],$L30,PBC_PROFIT_AND_LOSS[Date],BT$5)</f>
        <v>54382.33</v>
      </c>
      <c r="BU30" s="289">
        <f>SUMIFS(PBC_PROFIT_AND_LOSS[AccountBalance], PBC_PROFIT_AND_LOSS[Id],$L30,PBC_PROFIT_AND_LOSS[Date],BU$5)</f>
        <v>57101.440000000002</v>
      </c>
      <c r="BV30" s="289">
        <f>SUMIFS(PBC_PROFIT_AND_LOSS[AccountBalance], PBC_PROFIT_AND_LOSS[Id],$L30,PBC_PROFIT_AND_LOSS[Date],BV$5)</f>
        <v>59956.51</v>
      </c>
      <c r="BW30" s="289">
        <f>SUMIFS(PBC_PROFIT_AND_LOSS[AccountBalance], PBC_PROFIT_AND_LOSS[Id],$L30,PBC_PROFIT_AND_LOSS[Date],BW$5)</f>
        <v>62954.34</v>
      </c>
      <c r="BX30" s="335" cm="1">
        <f t="array" ref="BX30">_xlfn.SWITCH(
    $E30,
    "3 month avg", AVERAGE(BU30:BW30) * (1 + $F30),
    "6 month avg", AVERAGE(BR30:BW30) * (1 + $F30),
    "12 month avg", AVERAGE(BM30:BW30) * (1 + $F30),
    "Prior Month",BW30* (1 + $F30),
    "Prior Year", BL30* (1 + $F30),
    "Monthly assumption",$G30* (1 + $F30),
    "Quarterly assumption",$G30/3* (1 + $F30),
    "Annual assumption",$G30/12* (1 + $F30),
    "% of Revenue",SUM(_xlfn._xlws.FILTER(_xlfn._xlws.FILTER(dataSummaryPL,dataSummaryPLSections="Revenue"),(startDates&gt;=BX$4)*(endDates&lt;=BX$5)))*$F30,
    "Custom",0,
    "0",0,
        0
)</f>
        <v>58714.894000000015</v>
      </c>
      <c r="BY30" s="335" cm="1">
        <f t="array" ref="BY30">_xlfn.SWITCH(
    $E30,
    "3 month avg", AVERAGE(BV30:BX30) * (1 + $F30),
    "6 month avg", AVERAGE(BS30:BX30) * (1 + $F30),
    "12 month avg", AVERAGE(BN30:BX30) * (1 + $F30),
    "Prior Month",BX30* (1 + $F30),
    "Prior Year", BM30* (1 + $F30),
    "Monthly assumption",$G30* (1 + $F30),
    "Quarterly assumption",$G30/3* (1 + $F30),
    "Annual assumption",$G30/12* (1 + $F30),
    "% of Revenue",SUM(_xlfn._xlws.FILTER(_xlfn._xlws.FILTER(dataSummaryPL,dataSummaryPLSections="Revenue"),(startDates&gt;=BY$4)*(endDates&lt;=BY$5)))*$F30,
    "Custom",0,
    "0",0,
        0
)</f>
        <v>60357.885700000013</v>
      </c>
      <c r="BZ30" s="335" cm="1">
        <f t="array" ref="BZ30">_xlfn.SWITCH(
    $E30,
    "3 month avg", AVERAGE(BW30:BY30) * (1 + $F30),
    "6 month avg", AVERAGE(BT30:BY30) * (1 + $F30),
    "12 month avg", AVERAGE(BO30:BY30) * (1 + $F30),
    "Prior Month",BY30* (1 + $F30),
    "Prior Year", BN30* (1 + $F30),
    "Monthly assumption",$G30* (1 + $F30),
    "Quarterly assumption",$G30/3* (1 + $F30),
    "Annual assumption",$G30/12* (1 + $F30),
    "% of Revenue",SUM(_xlfn._xlws.FILTER(_xlfn._xlws.FILTER(dataSummaryPL,dataSummaryPLSections="Revenue"),(startDates&gt;=BZ$4)*(endDates&lt;=BZ$5)))*$F30,
    "Custom",0,
    "0",0,
        0
)</f>
        <v>61856.794947500013</v>
      </c>
      <c r="CA30" s="335" cm="1">
        <f t="array" ref="CA30">_xlfn.SWITCH(
    $E30,
    "3 month avg", AVERAGE(BX30:BZ30) * (1 + $F30),
    "6 month avg", AVERAGE(BU30:BZ30) * (1 + $F30),
    "12 month avg", AVERAGE(BP30:BZ30) * (1 + $F30),
    "Prior Month",BZ30* (1 + $F30),
    "Prior Year", BO30* (1 + $F30),
    "Monthly assumption",$G30* (1 + $F30),
    "Quarterly assumption",$G30/3* (1 + $F30),
    "Annual assumption",$G30/12* (1 + $F30),
    "% of Revenue",SUM(_xlfn._xlws.FILTER(_xlfn._xlws.FILTER(dataSummaryPL,dataSummaryPLSections="Revenue"),(startDates&gt;=CA$4)*(endDates&lt;=CA$5)))*$F30,
    "Custom",0,
    "0",0,
        0
)</f>
        <v>63164.8263133125</v>
      </c>
      <c r="CB30" s="335" cm="1">
        <f t="array" ref="CB30">_xlfn.SWITCH(
    $E30,
    "3 month avg", AVERAGE(BY30:CA30) * (1 + $F30),
    "6 month avg", AVERAGE(BV30:CA30) * (1 + $F30),
    "12 month avg", AVERAGE(BQ30:CA30) * (1 + $F30),
    "Prior Month",CA30* (1 + $F30),
    "Prior Year", BP30* (1 + $F30),
    "Monthly assumption",$G30* (1 + $F30),
    "Quarterly assumption",$G30/3* (1 + $F30),
    "Annual assumption",$G30/12* (1 + $F30),
    "% of Revenue",SUM(_xlfn._xlws.FILTER(_xlfn._xlws.FILTER(dataSummaryPL,dataSummaryPLSections="Revenue"),(startDates&gt;=CB$4)*(endDates&lt;=CB$5)))*$F30,
    "Custom",0,
    "0",0,
        0
)</f>
        <v>64225.918918142204</v>
      </c>
      <c r="CC30" s="335" cm="1">
        <f t="array" ref="CC30">_xlfn.SWITCH(
    $E30,
    "3 month avg", AVERAGE(BZ30:CB30) * (1 + $F30),
    "6 month avg", AVERAGE(BW30:CB30) * (1 + $F30),
    "12 month avg", AVERAGE(BR30:CB30) * (1 + $F30),
    "Prior Month",CB30* (1 + $F30),
    "Prior Year", BQ30* (1 + $F30),
    "Monthly assumption",$G30* (1 + $F30),
    "Quarterly assumption",$G30/3* (1 + $F30),
    "Annual assumption",$G30/12* (1 + $F30),
    "% of Revenue",SUM(_xlfn._xlws.FILTER(_xlfn._xlws.FILTER(dataSummaryPL,dataSummaryPLSections="Revenue"),(startDates&gt;=CC$4)*(endDates&lt;=CC$5)))*$F30,
    "Custom",0,
    "0",0,
        0
)</f>
        <v>64973.065478817087</v>
      </c>
      <c r="CD30" s="335" cm="1">
        <f t="array" ref="CD30">_xlfn.SWITCH(
    $E30,
    "3 month avg", AVERAGE(CA30:CC30) * (1 + $F30),
    "6 month avg", AVERAGE(BX30:CC30) * (1 + $F30),
    "12 month avg", AVERAGE(BS30:CC30) * (1 + $F30),
    "Prior Month",CC30* (1 + $F30),
    "Prior Year", BR30* (1 + $F30),
    "Monthly assumption",$G30* (1 + $F30),
    "Quarterly assumption",$G30/3* (1 + $F30),
    "Annual assumption",$G30/12* (1 + $F30),
    "% of Revenue",SUM(_xlfn._xlws.FILTER(_xlfn._xlws.FILTER(dataSummaryPL,dataSummaryPLSections="Revenue"),(startDates&gt;=CD$4)*(endDates&lt;=CD$5)))*$F30,
    "Custom",0,
    "0",0,
        0
)</f>
        <v>65326.342437610074</v>
      </c>
      <c r="CE30" s="335" cm="1">
        <f t="array" ref="CE30">_xlfn.SWITCH(
    $E30,
    "3 month avg", AVERAGE(CB30:CD30) * (1 + $F30),
    "6 month avg", AVERAGE(BY30:CD30) * (1 + $F30),
    "12 month avg", AVERAGE(BT30:CD30) * (1 + $F30),
    "Prior Month",CD30* (1 + $F30),
    "Prior Year", BS30* (1 + $F30),
    "Monthly assumption",$G30* (1 + $F30),
    "Quarterly assumption",$G30/3* (1 + $F30),
    "Annual assumption",$G30/12* (1 + $F30),
    "% of Revenue",SUM(_xlfn._xlws.FILTER(_xlfn._xlws.FILTER(dataSummaryPL,dataSummaryPLSections="Revenue"),(startDates&gt;=CE$4)*(endDates&lt;=CE$5)))*$F30,
    "Custom",0,
    "0",0,
        0
)</f>
        <v>66483.345914191843</v>
      </c>
      <c r="CF30" s="335" cm="1">
        <f t="array" ref="CF30">_xlfn.SWITCH(
    $E30,
    "3 month avg", AVERAGE(CC30:CE30) * (1 + $F30),
    "6 month avg", AVERAGE(BZ30:CE30) * (1 + $F30),
    "12 month avg", AVERAGE(BU30:CE30) * (1 + $F30),
    "Prior Month",CE30* (1 + $F30),
    "Prior Year", BT30* (1 + $F30),
    "Monthly assumption",$G30* (1 + $F30),
    "Quarterly assumption",$G30/3* (1 + $F30),
    "Annual assumption",$G30/12* (1 + $F30),
    "% of Revenue",SUM(_xlfn._xlws.FILTER(_xlfn._xlws.FILTER(dataSummaryPL,dataSummaryPLSections="Revenue"),(startDates&gt;=CF$4)*(endDates&lt;=CF$5)))*$F30,
    "Custom",0,
    "0",0,
        0
)</f>
        <v>67555.301451675405</v>
      </c>
      <c r="CG30" s="335" cm="1">
        <f t="array" ref="CG30">_xlfn.SWITCH(
    $E30,
    "3 month avg", AVERAGE(CD30:CF30) * (1 + $F30),
    "6 month avg", AVERAGE(CA30:CF30) * (1 + $F30),
    "12 month avg", AVERAGE(BV30:CF30) * (1 + $F30),
    "Prior Month",CF30* (1 + $F30),
    "Prior Year", BU30* (1 + $F30),
    "Monthly assumption",$G30* (1 + $F30),
    "Quarterly assumption",$G30/3* (1 + $F30),
    "Annual assumption",$G30/12* (1 + $F30),
    "% of Revenue",SUM(_xlfn._xlws.FILTER(_xlfn._xlws.FILTER(dataSummaryPL,dataSummaryPLSections="Revenue"),(startDates&gt;=CG$4)*(endDates&lt;=CG$5)))*$F30,
    "Custom",0,
    "0",0,
        0
)</f>
        <v>68552.540089906106</v>
      </c>
      <c r="CH30" s="335" cm="1">
        <f t="array" ref="CH30">_xlfn.SWITCH(
    $E30,
    "3 month avg", AVERAGE(CE30:CG30) * (1 + $F30),
    "6 month avg", AVERAGE(CB30:CG30) * (1 + $F30),
    "12 month avg", AVERAGE(BW30:CG30) * (1 + $F30),
    "Prior Month",CG30* (1 + $F30),
    "Prior Year", BV30* (1 + $F30),
    "Monthly assumption",$G30* (1 + $F30),
    "Quarterly assumption",$G30/3* (1 + $F30),
    "Annual assumption",$G30/12* (1 + $F30),
    "% of Revenue",SUM(_xlfn._xlws.FILTER(_xlfn._xlws.FILTER(dataSummaryPL,dataSummaryPLSections="Revenue"),(startDates&gt;=CH$4)*(endDates&lt;=CH$5)))*$F30,
    "Custom",0,
    "0",0,
        0
)</f>
        <v>69495.390000809974</v>
      </c>
      <c r="CI30" s="335" cm="1">
        <f t="array" ref="CI30">_xlfn.SWITCH(
    $E30,
    "3 month avg", AVERAGE(CF30:CH30) * (1 + $F30),
    "6 month avg", AVERAGE(CC30:CH30) * (1 + $F30),
    "12 month avg", AVERAGE(BX30:CH30) * (1 + $F30),
    "Prior Month",CH30* (1 + $F30),
    "Prior Year", BW30* (1 + $F30),
    "Monthly assumption",$G30* (1 + $F30),
    "Quarterly assumption",$G30/3* (1 + $F30),
    "Annual assumption",$G30/12* (1 + $F30),
    "% of Revenue",SUM(_xlfn._xlws.FILTER(_xlfn._xlws.FILTER(dataSummaryPL,dataSummaryPLSections="Revenue"),(startDates&gt;=CI$4)*(endDates&lt;=CI$5)))*$F30,
    "Custom",0,
    "0",0,
        0
)</f>
        <v>70417.54744027683</v>
      </c>
      <c r="CJ30" s="335" cm="1">
        <f t="array" ref="CJ30">_xlfn.SWITCH(
    $E30,
    "3 month avg", AVERAGE(CG30:CI30) * (1 + $F30),
    "6 month avg", AVERAGE(CD30:CI30) * (1 + $F30),
    "12 month avg", AVERAGE(BY30:CI30) * (1 + $F30),
    "Prior Month",CI30* (1 + $F30),
    "Prior Year", BX30* (1 + $F30),
    "Monthly assumption",$G30* (1 + $F30),
    "Quarterly assumption",$G30/3* (1 + $F30),
    "Annual assumption",$G30/12* (1 + $F30),
    "% of Revenue",SUM(_xlfn._xlws.FILTER(_xlfn._xlws.FILTER(dataSummaryPL,dataSummaryPLSections="Revenue"),(startDates&gt;=CJ$4)*(endDates&lt;=CJ$5)))*$F30,
    "Custom",0,
    "0",0,
        0
)</f>
        <v>71370.331783532281</v>
      </c>
    </row>
    <row r="31" spans="3:88" outlineLevel="2">
      <c r="C31" s="283"/>
      <c r="D31" s="288" t="s">
        <v>247</v>
      </c>
      <c r="E31" s="280" t="s">
        <v>354</v>
      </c>
      <c r="F31" s="332">
        <v>0.05</v>
      </c>
      <c r="G31" s="332"/>
      <c r="H31" s="277" t="str">
        <f>IFERROR(INDEX(PBC_ACCOUNT_LIST[Drivers Section],MATCH(Drivers!L31,PBC_ACCOUNT_LIST[Id],0)),"")</f>
        <v>Opex</v>
      </c>
      <c r="I31" s="277" t="str">
        <f>IFERROR(INDEX(PBC_ACCOUNT_LIST[Summary Grouping],MATCH(Drivers!L31,PBC_ACCOUNT_LIST[Id],0)),"")</f>
        <v>G&amp;A</v>
      </c>
      <c r="J31" s="277">
        <f>IFERROR(INDEX(PBC_ACCOUNT_LIST[Cash Flow Section],MATCH(Drivers!L31,PBC_ACCOUNT_LIST[Id],0)),"")</f>
        <v>0</v>
      </c>
      <c r="K31" s="278" t="s">
        <v>106</v>
      </c>
      <c r="L31" s="277">
        <v>168</v>
      </c>
      <c r="M31" s="276"/>
      <c r="O31" s="272"/>
      <c r="P31" s="289">
        <f t="shared" si="44"/>
        <v>144980</v>
      </c>
      <c r="Q31" s="289">
        <f t="shared" si="44"/>
        <v>343319</v>
      </c>
      <c r="R31" s="289">
        <f t="shared" si="44"/>
        <v>581536.03649999993</v>
      </c>
      <c r="S31" s="289">
        <f t="shared" si="44"/>
        <v>759495.81111245742</v>
      </c>
      <c r="T31" s="289"/>
      <c r="U31" s="289"/>
      <c r="V31" s="289">
        <f t="shared" si="45"/>
        <v>26403</v>
      </c>
      <c r="W31" s="289">
        <f t="shared" si="45"/>
        <v>29273</v>
      </c>
      <c r="X31" s="289">
        <f t="shared" si="45"/>
        <v>32456</v>
      </c>
      <c r="Y31" s="289">
        <f t="shared" si="45"/>
        <v>56848</v>
      </c>
      <c r="Z31" s="289">
        <f t="shared" si="45"/>
        <v>69834</v>
      </c>
      <c r="AA31" s="289">
        <f t="shared" si="45"/>
        <v>79992</v>
      </c>
      <c r="AB31" s="289">
        <f t="shared" si="45"/>
        <v>92790</v>
      </c>
      <c r="AC31" s="289">
        <f t="shared" si="45"/>
        <v>100703</v>
      </c>
      <c r="AD31" s="289">
        <f t="shared" si="45"/>
        <v>116577.26999999999</v>
      </c>
      <c r="AE31" s="289">
        <f t="shared" si="45"/>
        <v>134952.95999999999</v>
      </c>
      <c r="AF31" s="289">
        <f t="shared" si="45"/>
        <v>156224.51</v>
      </c>
      <c r="AG31" s="289">
        <f t="shared" si="45"/>
        <v>173781.2965</v>
      </c>
      <c r="AH31" s="289">
        <f t="shared" si="45"/>
        <v>177372.92991014844</v>
      </c>
      <c r="AI31" s="289">
        <f t="shared" si="45"/>
        <v>186123.74108642721</v>
      </c>
      <c r="AJ31" s="289">
        <f t="shared" si="45"/>
        <v>193841.23552527546</v>
      </c>
      <c r="AK31" s="289">
        <f t="shared" si="45"/>
        <v>202157.90459060628</v>
      </c>
      <c r="AL31" s="333"/>
      <c r="AM31" s="334"/>
      <c r="AN31" s="289">
        <f>SUMIFS(PBC_PROFIT_AND_LOSS[AccountBalance], PBC_PROFIT_AND_LOSS[Id],$L31,PBC_PROFIT_AND_LOSS[Date],AN$5)</f>
        <v>0</v>
      </c>
      <c r="AO31" s="289">
        <f>SUMIFS(PBC_PROFIT_AND_LOSS[AccountBalance], PBC_PROFIT_AND_LOSS[Id],$L31,PBC_PROFIT_AND_LOSS[Date],AO$5)</f>
        <v>8500</v>
      </c>
      <c r="AP31" s="289">
        <f>SUMIFS(PBC_PROFIT_AND_LOSS[AccountBalance], PBC_PROFIT_AND_LOSS[Id],$L31,PBC_PROFIT_AND_LOSS[Date],AP$5)</f>
        <v>8798</v>
      </c>
      <c r="AQ31" s="289">
        <f>SUMIFS(PBC_PROFIT_AND_LOSS[AccountBalance], PBC_PROFIT_AND_LOSS[Id],$L31,PBC_PROFIT_AND_LOSS[Date],AQ$5)</f>
        <v>9105</v>
      </c>
      <c r="AR31" s="289">
        <f>SUMIFS(PBC_PROFIT_AND_LOSS[AccountBalance], PBC_PROFIT_AND_LOSS[Id],$L31,PBC_PROFIT_AND_LOSS[Date],AR$5)</f>
        <v>9424</v>
      </c>
      <c r="AS31" s="289">
        <f>SUMIFS(PBC_PROFIT_AND_LOSS[AccountBalance], PBC_PROFIT_AND_LOSS[Id],$L31,PBC_PROFIT_AND_LOSS[Date],AS$5)</f>
        <v>9754</v>
      </c>
      <c r="AT31" s="289">
        <f>SUMIFS(PBC_PROFIT_AND_LOSS[AccountBalance], PBC_PROFIT_AND_LOSS[Id],$L31,PBC_PROFIT_AND_LOSS[Date],AT$5)</f>
        <v>10095</v>
      </c>
      <c r="AU31" s="289">
        <f>SUMIFS(PBC_PROFIT_AND_LOSS[AccountBalance], PBC_PROFIT_AND_LOSS[Id],$L31,PBC_PROFIT_AND_LOSS[Date],AU$5)</f>
        <v>10449</v>
      </c>
      <c r="AV31" s="289">
        <f>SUMIFS(PBC_PROFIT_AND_LOSS[AccountBalance], PBC_PROFIT_AND_LOSS[Id],$L31,PBC_PROFIT_AND_LOSS[Date],AV$5)</f>
        <v>10814</v>
      </c>
      <c r="AW31" s="289">
        <f>SUMIFS(PBC_PROFIT_AND_LOSS[AccountBalance], PBC_PROFIT_AND_LOSS[Id],$L31,PBC_PROFIT_AND_LOSS[Date],AW$5)</f>
        <v>11193</v>
      </c>
      <c r="AX31" s="289">
        <f>SUMIFS(PBC_PROFIT_AND_LOSS[AccountBalance], PBC_PROFIT_AND_LOSS[Id],$L31,PBC_PROFIT_AND_LOSS[Date],AX$5)</f>
        <v>11585</v>
      </c>
      <c r="AY31" s="289">
        <f>SUMIFS(PBC_PROFIT_AND_LOSS[AccountBalance], PBC_PROFIT_AND_LOSS[Id],$L31,PBC_PROFIT_AND_LOSS[Date],AY$5)</f>
        <v>20234</v>
      </c>
      <c r="AZ31" s="289">
        <f>SUMIFS(PBC_PROFIT_AND_LOSS[AccountBalance], PBC_PROFIT_AND_LOSS[Id],$L31,PBC_PROFIT_AND_LOSS[Date],AZ$5)</f>
        <v>25029</v>
      </c>
      <c r="BA31" s="289">
        <f>SUMIFS(PBC_PROFIT_AND_LOSS[AccountBalance], PBC_PROFIT_AND_LOSS[Id],$L31,PBC_PROFIT_AND_LOSS[Date],BA$5)</f>
        <v>21246</v>
      </c>
      <c r="BB31" s="289">
        <f>SUMIFS(PBC_PROFIT_AND_LOSS[AccountBalance], PBC_PROFIT_AND_LOSS[Id],$L31,PBC_PROFIT_AND_LOSS[Date],BB$5)</f>
        <v>26280</v>
      </c>
      <c r="BC31" s="289">
        <f>SUMIFS(PBC_PROFIT_AND_LOSS[AccountBalance], PBC_PROFIT_AND_LOSS[Id],$L31,PBC_PROFIT_AND_LOSS[Date],BC$5)</f>
        <v>22308</v>
      </c>
      <c r="BD31" s="289">
        <f>SUMIFS(PBC_PROFIT_AND_LOSS[AccountBalance], PBC_PROFIT_AND_LOSS[Id],$L31,PBC_PROFIT_AND_LOSS[Date],BD$5)</f>
        <v>27594</v>
      </c>
      <c r="BE31" s="289">
        <f>SUMIFS(PBC_PROFIT_AND_LOSS[AccountBalance], PBC_PROFIT_AND_LOSS[Id],$L31,PBC_PROFIT_AND_LOSS[Date],BE$5)</f>
        <v>23424</v>
      </c>
      <c r="BF31" s="289">
        <f>SUMIFS(PBC_PROFIT_AND_LOSS[AccountBalance], PBC_PROFIT_AND_LOSS[Id],$L31,PBC_PROFIT_AND_LOSS[Date],BF$5)</f>
        <v>28974</v>
      </c>
      <c r="BG31" s="289">
        <f>SUMIFS(PBC_PROFIT_AND_LOSS[AccountBalance], PBC_PROFIT_AND_LOSS[Id],$L31,PBC_PROFIT_AND_LOSS[Date],BG$5)</f>
        <v>30423</v>
      </c>
      <c r="BH31" s="289">
        <f>SUMIFS(PBC_PROFIT_AND_LOSS[AccountBalance], PBC_PROFIT_AND_LOSS[Id],$L31,PBC_PROFIT_AND_LOSS[Date],BH$5)</f>
        <v>30423</v>
      </c>
      <c r="BI31" s="289">
        <f>SUMIFS(PBC_PROFIT_AND_LOSS[AccountBalance], PBC_PROFIT_AND_LOSS[Id],$L31,PBC_PROFIT_AND_LOSS[Date],BI$5)</f>
        <v>31944</v>
      </c>
      <c r="BJ31" s="289">
        <f>SUMIFS(PBC_PROFIT_AND_LOSS[AccountBalance], PBC_PROFIT_AND_LOSS[Id],$L31,PBC_PROFIT_AND_LOSS[Date],BJ$5)</f>
        <v>31944</v>
      </c>
      <c r="BK31" s="289">
        <f>SUMIFS(PBC_PROFIT_AND_LOSS[AccountBalance], PBC_PROFIT_AND_LOSS[Id],$L31,PBC_PROFIT_AND_LOSS[Date],BK$5)</f>
        <v>33541</v>
      </c>
      <c r="BL31" s="289">
        <f>SUMIFS(PBC_PROFIT_AND_LOSS[AccountBalance], PBC_PROFIT_AND_LOSS[Id],$L31,PBC_PROFIT_AND_LOSS[Date],BL$5)</f>
        <v>35218</v>
      </c>
      <c r="BM31" s="289">
        <f>SUMIFS(PBC_PROFIT_AND_LOSS[AccountBalance], PBC_PROFIT_AND_LOSS[Id],$L31,PBC_PROFIT_AND_LOSS[Date],BM$5)</f>
        <v>36979.269999999997</v>
      </c>
      <c r="BN31" s="289">
        <f>SUMIFS(PBC_PROFIT_AND_LOSS[AccountBalance], PBC_PROFIT_AND_LOSS[Id],$L31,PBC_PROFIT_AND_LOSS[Date],BN$5)</f>
        <v>38828</v>
      </c>
      <c r="BO31" s="289">
        <f>SUMIFS(PBC_PROFIT_AND_LOSS[AccountBalance], PBC_PROFIT_AND_LOSS[Id],$L31,PBC_PROFIT_AND_LOSS[Date],BO$5)</f>
        <v>40770</v>
      </c>
      <c r="BP31" s="289">
        <f>SUMIFS(PBC_PROFIT_AND_LOSS[AccountBalance], PBC_PROFIT_AND_LOSS[Id],$L31,PBC_PROFIT_AND_LOSS[Date],BP$5)</f>
        <v>42808</v>
      </c>
      <c r="BQ31" s="289">
        <f>SUMIFS(PBC_PROFIT_AND_LOSS[AccountBalance], PBC_PROFIT_AND_LOSS[Id],$L31,PBC_PROFIT_AND_LOSS[Date],BQ$5)</f>
        <v>44949</v>
      </c>
      <c r="BR31" s="289">
        <f>SUMIFS(PBC_PROFIT_AND_LOSS[AccountBalance], PBC_PROFIT_AND_LOSS[Id],$L31,PBC_PROFIT_AND_LOSS[Date],BR$5)</f>
        <v>47195.96</v>
      </c>
      <c r="BS31" s="289">
        <f>SUMIFS(PBC_PROFIT_AND_LOSS[AccountBalance], PBC_PROFIT_AND_LOSS[Id],$L31,PBC_PROFIT_AND_LOSS[Date],BS$5)</f>
        <v>49555.75</v>
      </c>
      <c r="BT31" s="289">
        <f>SUMIFS(PBC_PROFIT_AND_LOSS[AccountBalance], PBC_PROFIT_AND_LOSS[Id],$L31,PBC_PROFIT_AND_LOSS[Date],BT$5)</f>
        <v>52033.54</v>
      </c>
      <c r="BU31" s="289">
        <f>SUMIFS(PBC_PROFIT_AND_LOSS[AccountBalance], PBC_PROFIT_AND_LOSS[Id],$L31,PBC_PROFIT_AND_LOSS[Date],BU$5)</f>
        <v>54635.22</v>
      </c>
      <c r="BV31" s="289">
        <f>SUMIFS(PBC_PROFIT_AND_LOSS[AccountBalance], PBC_PROFIT_AND_LOSS[Id],$L31,PBC_PROFIT_AND_LOSS[Date],BV$5)</f>
        <v>57366.98</v>
      </c>
      <c r="BW31" s="289">
        <f>SUMIFS(PBC_PROFIT_AND_LOSS[AccountBalance], PBC_PROFIT_AND_LOSS[Id],$L31,PBC_PROFIT_AND_LOSS[Date],BW$5)</f>
        <v>60235.33</v>
      </c>
      <c r="BX31" s="335" cm="1">
        <f t="array" ref="BX31">_xlfn.SWITCH(
    $E31,
    "3 month avg", AVERAGE(BU31:BW31) * (1 + $F31),
    "6 month avg", AVERAGE(BR31:BW31) * (1 + $F31),
    "12 month avg", AVERAGE(BM31:BW31) * (1 + $F31),
    "Prior Month",BW31* (1 + $F31),
    "Prior Year", BL31* (1 + $F31),
    "Monthly assumption",$G31* (1 + $F31),
    "Quarterly assumption",$G31/3* (1 + $F31),
    "Annual assumption",$G31/12* (1 + $F31),
    "% of Revenue",SUM(_xlfn._xlws.FILTER(_xlfn._xlws.FILTER(dataSummaryPL,dataSummaryPLSections="Revenue"),(startDates&gt;=BX$4)*(endDates&lt;=BX$5)))*$F31,
    "Custom",0,
    "0",0,
        0
)</f>
        <v>56178.986500000006</v>
      </c>
      <c r="BY31" s="335" cm="1">
        <f t="array" ref="BY31">_xlfn.SWITCH(
    $E31,
    "3 month avg", AVERAGE(BV31:BX31) * (1 + $F31),
    "6 month avg", AVERAGE(BS31:BX31) * (1 + $F31),
    "12 month avg", AVERAGE(BN31:BX31) * (1 + $F31),
    "Prior Month",BX31* (1 + $F31),
    "Prior Year", BM31* (1 + $F31),
    "Monthly assumption",$G31* (1 + $F31),
    "Quarterly assumption",$G31/3* (1 + $F31),
    "Annual assumption",$G31/12* (1 + $F31),
    "% of Revenue",SUM(_xlfn._xlws.FILTER(_xlfn._xlws.FILTER(dataSummaryPL,dataSummaryPLSections="Revenue"),(startDates&gt;=BY$4)*(endDates&lt;=BY$5)))*$F31,
    "Custom",0,
    "0",0,
        0
)</f>
        <v>57751.016137500003</v>
      </c>
      <c r="BZ31" s="335" cm="1">
        <f t="array" ref="BZ31">_xlfn.SWITCH(
    $E31,
    "3 month avg", AVERAGE(BW31:BY31) * (1 + $F31),
    "6 month avg", AVERAGE(BT31:BY31) * (1 + $F31),
    "12 month avg", AVERAGE(BO31:BY31) * (1 + $F31),
    "Prior Month",BY31* (1 + $F31),
    "Prior Year", BN31* (1 + $F31),
    "Monthly assumption",$G31* (1 + $F31),
    "Quarterly assumption",$G31/3* (1 + $F31),
    "Annual assumption",$G31/12* (1 + $F31),
    "% of Revenue",SUM(_xlfn._xlws.FILTER(_xlfn._xlws.FILTER(dataSummaryPL,dataSummaryPLSections="Revenue"),(startDates&gt;=BZ$4)*(endDates&lt;=BZ$5)))*$F31,
    "Custom",0,
    "0",0,
        0
)</f>
        <v>59185.187711562503</v>
      </c>
      <c r="CA31" s="335" cm="1">
        <f t="array" ref="CA31">_xlfn.SWITCH(
    $E31,
    "3 month avg", AVERAGE(BX31:BZ31) * (1 + $F31),
    "6 month avg", AVERAGE(BU31:BZ31) * (1 + $F31),
    "12 month avg", AVERAGE(BP31:BZ31) * (1 + $F31),
    "Prior Month",BZ31* (1 + $F31),
    "Prior Year", BO31* (1 + $F31),
    "Monthly assumption",$G31* (1 + $F31),
    "Quarterly assumption",$G31/3* (1 + $F31),
    "Annual assumption",$G31/12* (1 + $F31),
    "% of Revenue",SUM(_xlfn._xlws.FILTER(_xlfn._xlws.FILTER(dataSummaryPL,dataSummaryPLSections="Revenue"),(startDates&gt;=CA$4)*(endDates&lt;=CA$5)))*$F31,
    "Custom",0,
    "0",0,
        0
)</f>
        <v>60436.726061085945</v>
      </c>
      <c r="CB31" s="335" cm="1">
        <f t="array" ref="CB31">_xlfn.SWITCH(
    $E31,
    "3 month avg", AVERAGE(BY31:CA31) * (1 + $F31),
    "6 month avg", AVERAGE(BV31:CA31) * (1 + $F31),
    "12 month avg", AVERAGE(BQ31:CA31) * (1 + $F31),
    "Prior Month",CA31* (1 + $F31),
    "Prior Year", BP31* (1 + $F31),
    "Monthly assumption",$G31* (1 + $F31),
    "Quarterly assumption",$G31/3* (1 + $F31),
    "Annual assumption",$G31/12* (1 + $F31),
    "% of Revenue",SUM(_xlfn._xlws.FILTER(_xlfn._xlws.FILTER(dataSummaryPL,dataSummaryPLSections="Revenue"),(startDates&gt;=CB$4)*(endDates&lt;=CB$5)))*$F31,
    "Custom",0,
    "0",0,
        0
)</f>
        <v>61451.989621775982</v>
      </c>
      <c r="CC31" s="335" cm="1">
        <f t="array" ref="CC31">_xlfn.SWITCH(
    $E31,
    "3 month avg", AVERAGE(BZ31:CB31) * (1 + $F31),
    "6 month avg", AVERAGE(BW31:CB31) * (1 + $F31),
    "12 month avg", AVERAGE(BR31:CB31) * (1 + $F31),
    "Prior Month",CB31* (1 + $F31),
    "Prior Year", BQ31* (1 + $F31),
    "Monthly assumption",$G31* (1 + $F31),
    "Quarterly assumption",$G31/3* (1 + $F31),
    "Annual assumption",$G31/12* (1 + $F31),
    "% of Revenue",SUM(_xlfn._xlws.FILTER(_xlfn._xlws.FILTER(dataSummaryPL,dataSummaryPLSections="Revenue"),(startDates&gt;=CC$4)*(endDates&lt;=CC$5)))*$F31,
    "Custom",0,
    "0",0,
        0
)</f>
        <v>62166.86630558678</v>
      </c>
      <c r="CD31" s="335" cm="1">
        <f t="array" ref="CD31">_xlfn.SWITCH(
    $E31,
    "3 month avg", AVERAGE(CA31:CC31) * (1 + $F31),
    "6 month avg", AVERAGE(BX31:CC31) * (1 + $F31),
    "12 month avg", AVERAGE(BS31:CC31) * (1 + $F31),
    "Prior Month",CC31* (1 + $F31),
    "Prior Year", BR31* (1 + $F31),
    "Monthly assumption",$G31* (1 + $F31),
    "Quarterly assumption",$G31/3* (1 + $F31),
    "Annual assumption",$G31/12* (1 + $F31),
    "% of Revenue",SUM(_xlfn._xlws.FILTER(_xlfn._xlws.FILTER(dataSummaryPL,dataSummaryPLSections="Revenue"),(startDates&gt;=CD$4)*(endDates&lt;=CD$5)))*$F31,
    "Custom",0,
    "0",0,
        0
)</f>
        <v>62504.885159064455</v>
      </c>
      <c r="CE31" s="335" cm="1">
        <f t="array" ref="CE31">_xlfn.SWITCH(
    $E31,
    "3 month avg", AVERAGE(CB31:CD31) * (1 + $F31),
    "6 month avg", AVERAGE(BY31:CD31) * (1 + $F31),
    "12 month avg", AVERAGE(BT31:CD31) * (1 + $F31),
    "Prior Month",CD31* (1 + $F31),
    "Prior Year", BS31* (1 + $F31),
    "Monthly assumption",$G31* (1 + $F31),
    "Quarterly assumption",$G31/3* (1 + $F31),
    "Annual assumption",$G31/12* (1 + $F31),
    "% of Revenue",SUM(_xlfn._xlws.FILTER(_xlfn._xlws.FILTER(dataSummaryPL,dataSummaryPLSections="Revenue"),(startDates&gt;=CE$4)*(endDates&lt;=CE$5)))*$F31,
    "Custom",0,
    "0",0,
        0
)</f>
        <v>63611.91742440073</v>
      </c>
      <c r="CF31" s="335" cm="1">
        <f t="array" ref="CF31">_xlfn.SWITCH(
    $E31,
    "3 month avg", AVERAGE(CC31:CE31) * (1 + $F31),
    "6 month avg", AVERAGE(BZ31:CE31) * (1 + $F31),
    "12 month avg", AVERAGE(BU31:CE31) * (1 + $F31),
    "Prior Month",CE31* (1 + $F31),
    "Prior Year", BT31* (1 + $F31),
    "Monthly assumption",$G31* (1 + $F31),
    "Quarterly assumption",$G31/3* (1 + $F31),
    "Annual assumption",$G31/12* (1 + $F31),
    "% of Revenue",SUM(_xlfn._xlws.FILTER(_xlfn._xlws.FILTER(dataSummaryPL,dataSummaryPLSections="Revenue"),(startDates&gt;=CF$4)*(endDates&lt;=CF$5)))*$F31,
    "Custom",0,
    "0",0,
        0
)</f>
        <v>64637.575149608361</v>
      </c>
      <c r="CG31" s="335" cm="1">
        <f t="array" ref="CG31">_xlfn.SWITCH(
    $E31,
    "3 month avg", AVERAGE(CD31:CF31) * (1 + $F31),
    "6 month avg", AVERAGE(CA31:CF31) * (1 + $F31),
    "12 month avg", AVERAGE(BV31:CF31) * (1 + $F31),
    "Prior Month",CF31* (1 + $F31),
    "Prior Year", BU31* (1 + $F31),
    "Monthly assumption",$G31* (1 + $F31),
    "Quarterly assumption",$G31/3* (1 + $F31),
    "Annual assumption",$G31/12* (1 + $F31),
    "% of Revenue",SUM(_xlfn._xlws.FILTER(_xlfn._xlws.FILTER(dataSummaryPL,dataSummaryPLSections="Revenue"),(startDates&gt;=CG$4)*(endDates&lt;=CG$5)))*$F31,
    "Custom",0,
    "0",0,
        0
)</f>
        <v>65591.742951266395</v>
      </c>
      <c r="CH31" s="335" cm="1">
        <f t="array" ref="CH31">_xlfn.SWITCH(
    $E31,
    "3 month avg", AVERAGE(CE31:CG31) * (1 + $F31),
    "6 month avg", AVERAGE(CB31:CG31) * (1 + $F31),
    "12 month avg", AVERAGE(BW31:CG31) * (1 + $F31),
    "Prior Month",CG31* (1 + $F31),
    "Prior Year", BV31* (1 + $F31),
    "Monthly assumption",$G31* (1 + $F31),
    "Quarterly assumption",$G31/3* (1 + $F31),
    "Annual assumption",$G31/12* (1 + $F31),
    "% of Revenue",SUM(_xlfn._xlws.FILTER(_xlfn._xlws.FILTER(dataSummaryPL,dataSummaryPLSections="Revenue"),(startDates&gt;=CH$4)*(endDates&lt;=CH$5)))*$F31,
    "Custom",0,
    "0",0,
        0
)</f>
        <v>66493.870907047967</v>
      </c>
      <c r="CI31" s="335" cm="1">
        <f t="array" ref="CI31">_xlfn.SWITCH(
    $E31,
    "3 month avg", AVERAGE(CF31:CH31) * (1 + $F31),
    "6 month avg", AVERAGE(CC31:CH31) * (1 + $F31),
    "12 month avg", AVERAGE(BX31:CH31) * (1 + $F31),
    "Prior Month",CH31* (1 + $F31),
    "Prior Year", BW31* (1 + $F31),
    "Monthly assumption",$G31* (1 + $F31),
    "Quarterly assumption",$G31/3* (1 + $F31),
    "Annual assumption",$G31/12* (1 + $F31),
    "% of Revenue",SUM(_xlfn._xlws.FILTER(_xlfn._xlws.FILTER(dataSummaryPL,dataSummaryPLSections="Revenue"),(startDates&gt;=CI$4)*(endDates&lt;=CI$5)))*$F31,
    "Custom",0,
    "0",0,
        0
)</f>
        <v>67376.200131970574</v>
      </c>
      <c r="CJ31" s="335" cm="1">
        <f t="array" ref="CJ31">_xlfn.SWITCH(
    $E31,
    "3 month avg", AVERAGE(CG31:CI31) * (1 + $F31),
    "6 month avg", AVERAGE(CD31:CI31) * (1 + $F31),
    "12 month avg", AVERAGE(BY31:CI31) * (1 + $F31),
    "Prior Month",CI31* (1 + $F31),
    "Prior Year", BX31* (1 + $F31),
    "Monthly assumption",$G31* (1 + $F31),
    "Quarterly assumption",$G31/3* (1 + $F31),
    "Annual assumption",$G31/12* (1 + $F31),
    "% of Revenue",SUM(_xlfn._xlws.FILTER(_xlfn._xlws.FILTER(dataSummaryPL,dataSummaryPLSections="Revenue"),(startDates&gt;=CJ$4)*(endDates&lt;=CJ$5)))*$F31,
    "Custom",0,
    "0",0,
        0
)</f>
        <v>68287.833551587741</v>
      </c>
    </row>
    <row r="32" spans="3:88" outlineLevel="2">
      <c r="C32" s="283"/>
      <c r="D32" s="288" t="s">
        <v>248</v>
      </c>
      <c r="E32" s="280" t="s">
        <v>354</v>
      </c>
      <c r="F32" s="332">
        <v>0.05</v>
      </c>
      <c r="G32" s="332"/>
      <c r="H32" s="277" t="str">
        <f>IFERROR(INDEX(PBC_ACCOUNT_LIST[Drivers Section],MATCH(Drivers!L32,PBC_ACCOUNT_LIST[Id],0)),"")</f>
        <v>Opex</v>
      </c>
      <c r="I32" s="277" t="str">
        <f>IFERROR(INDEX(PBC_ACCOUNT_LIST[Summary Grouping],MATCH(Drivers!L32,PBC_ACCOUNT_LIST[Id],0)),"")</f>
        <v>G&amp;A</v>
      </c>
      <c r="J32" s="277">
        <f>IFERROR(INDEX(PBC_ACCOUNT_LIST[Cash Flow Section],MATCH(Drivers!L32,PBC_ACCOUNT_LIST[Id],0)),"")</f>
        <v>0</v>
      </c>
      <c r="K32" s="278" t="s">
        <v>106</v>
      </c>
      <c r="L32" s="277">
        <v>201</v>
      </c>
      <c r="M32" s="276"/>
      <c r="O32" s="272"/>
      <c r="P32" s="289">
        <f t="shared" si="44"/>
        <v>4413</v>
      </c>
      <c r="Q32" s="289">
        <f t="shared" si="44"/>
        <v>12408</v>
      </c>
      <c r="R32" s="289">
        <f t="shared" si="44"/>
        <v>22577.324249999998</v>
      </c>
      <c r="S32" s="289">
        <f t="shared" si="44"/>
        <v>29486.964599105926</v>
      </c>
      <c r="T32" s="289"/>
      <c r="U32" s="289"/>
      <c r="V32" s="289">
        <f t="shared" si="45"/>
        <v>777</v>
      </c>
      <c r="W32" s="289">
        <f t="shared" si="45"/>
        <v>861</v>
      </c>
      <c r="X32" s="289">
        <f t="shared" si="45"/>
        <v>954</v>
      </c>
      <c r="Y32" s="289">
        <f t="shared" si="45"/>
        <v>1821</v>
      </c>
      <c r="Z32" s="289">
        <f t="shared" si="45"/>
        <v>2113</v>
      </c>
      <c r="AA32" s="289">
        <f t="shared" si="45"/>
        <v>2784</v>
      </c>
      <c r="AB32" s="289">
        <f t="shared" si="45"/>
        <v>3602</v>
      </c>
      <c r="AC32" s="289">
        <f t="shared" si="45"/>
        <v>3909</v>
      </c>
      <c r="AD32" s="289">
        <f t="shared" si="45"/>
        <v>4525.7</v>
      </c>
      <c r="AE32" s="289">
        <f t="shared" si="45"/>
        <v>5239.3500000000004</v>
      </c>
      <c r="AF32" s="289">
        <f t="shared" si="45"/>
        <v>6065.32</v>
      </c>
      <c r="AG32" s="289">
        <f t="shared" si="45"/>
        <v>6746.9542500000007</v>
      </c>
      <c r="AH32" s="289">
        <f t="shared" si="45"/>
        <v>6886.3966290273438</v>
      </c>
      <c r="AI32" s="289">
        <f t="shared" si="45"/>
        <v>7226.1413383672798</v>
      </c>
      <c r="AJ32" s="289">
        <f t="shared" si="45"/>
        <v>7525.7685617196257</v>
      </c>
      <c r="AK32" s="289">
        <f t="shared" si="45"/>
        <v>7848.6580699916776</v>
      </c>
      <c r="AL32" s="333"/>
      <c r="AM32" s="334"/>
      <c r="AN32" s="289">
        <f>SUMIFS(PBC_PROFIT_AND_LOSS[AccountBalance], PBC_PROFIT_AND_LOSS[Id],$L32,PBC_PROFIT_AND_LOSS[Date],AN$5)</f>
        <v>0</v>
      </c>
      <c r="AO32" s="289">
        <f>SUMIFS(PBC_PROFIT_AND_LOSS[AccountBalance], PBC_PROFIT_AND_LOSS[Id],$L32,PBC_PROFIT_AND_LOSS[Date],AO$5)</f>
        <v>250</v>
      </c>
      <c r="AP32" s="289">
        <f>SUMIFS(PBC_PROFIT_AND_LOSS[AccountBalance], PBC_PROFIT_AND_LOSS[Id],$L32,PBC_PROFIT_AND_LOSS[Date],AP$5)</f>
        <v>259</v>
      </c>
      <c r="AQ32" s="289">
        <f>SUMIFS(PBC_PROFIT_AND_LOSS[AccountBalance], PBC_PROFIT_AND_LOSS[Id],$L32,PBC_PROFIT_AND_LOSS[Date],AQ$5)</f>
        <v>268</v>
      </c>
      <c r="AR32" s="289">
        <f>SUMIFS(PBC_PROFIT_AND_LOSS[AccountBalance], PBC_PROFIT_AND_LOSS[Id],$L32,PBC_PROFIT_AND_LOSS[Date],AR$5)</f>
        <v>277</v>
      </c>
      <c r="AS32" s="289">
        <f>SUMIFS(PBC_PROFIT_AND_LOSS[AccountBalance], PBC_PROFIT_AND_LOSS[Id],$L32,PBC_PROFIT_AND_LOSS[Date],AS$5)</f>
        <v>287</v>
      </c>
      <c r="AT32" s="289">
        <f>SUMIFS(PBC_PROFIT_AND_LOSS[AccountBalance], PBC_PROFIT_AND_LOSS[Id],$L32,PBC_PROFIT_AND_LOSS[Date],AT$5)</f>
        <v>297</v>
      </c>
      <c r="AU32" s="289">
        <f>SUMIFS(PBC_PROFIT_AND_LOSS[AccountBalance], PBC_PROFIT_AND_LOSS[Id],$L32,PBC_PROFIT_AND_LOSS[Date],AU$5)</f>
        <v>307</v>
      </c>
      <c r="AV32" s="289">
        <f>SUMIFS(PBC_PROFIT_AND_LOSS[AccountBalance], PBC_PROFIT_AND_LOSS[Id],$L32,PBC_PROFIT_AND_LOSS[Date],AV$5)</f>
        <v>318</v>
      </c>
      <c r="AW32" s="289">
        <f>SUMIFS(PBC_PROFIT_AND_LOSS[AccountBalance], PBC_PROFIT_AND_LOSS[Id],$L32,PBC_PROFIT_AND_LOSS[Date],AW$5)</f>
        <v>329</v>
      </c>
      <c r="AX32" s="289">
        <f>SUMIFS(PBC_PROFIT_AND_LOSS[AccountBalance], PBC_PROFIT_AND_LOSS[Id],$L32,PBC_PROFIT_AND_LOSS[Date],AX$5)</f>
        <v>341</v>
      </c>
      <c r="AY32" s="289">
        <f>SUMIFS(PBC_PROFIT_AND_LOSS[AccountBalance], PBC_PROFIT_AND_LOSS[Id],$L32,PBC_PROFIT_AND_LOSS[Date],AY$5)</f>
        <v>508</v>
      </c>
      <c r="AZ32" s="289">
        <f>SUMIFS(PBC_PROFIT_AND_LOSS[AccountBalance], PBC_PROFIT_AND_LOSS[Id],$L32,PBC_PROFIT_AND_LOSS[Date],AZ$5)</f>
        <v>972</v>
      </c>
      <c r="BA32" s="289">
        <f>SUMIFS(PBC_PROFIT_AND_LOSS[AccountBalance], PBC_PROFIT_AND_LOSS[Id],$L32,PBC_PROFIT_AND_LOSS[Date],BA$5)</f>
        <v>533</v>
      </c>
      <c r="BB32" s="289">
        <f>SUMIFS(PBC_PROFIT_AND_LOSS[AccountBalance], PBC_PROFIT_AND_LOSS[Id],$L32,PBC_PROFIT_AND_LOSS[Date],BB$5)</f>
        <v>1020</v>
      </c>
      <c r="BC32" s="289">
        <f>SUMIFS(PBC_PROFIT_AND_LOSS[AccountBalance], PBC_PROFIT_AND_LOSS[Id],$L32,PBC_PROFIT_AND_LOSS[Date],BC$5)</f>
        <v>560</v>
      </c>
      <c r="BD32" s="289">
        <f>SUMIFS(PBC_PROFIT_AND_LOSS[AccountBalance], PBC_PROFIT_AND_LOSS[Id],$L32,PBC_PROFIT_AND_LOSS[Date],BD$5)</f>
        <v>1071</v>
      </c>
      <c r="BE32" s="289">
        <f>SUMIFS(PBC_PROFIT_AND_LOSS[AccountBalance], PBC_PROFIT_AND_LOSS[Id],$L32,PBC_PROFIT_AND_LOSS[Date],BE$5)</f>
        <v>588</v>
      </c>
      <c r="BF32" s="289">
        <f>SUMIFS(PBC_PROFIT_AND_LOSS[AccountBalance], PBC_PROFIT_AND_LOSS[Id],$L32,PBC_PROFIT_AND_LOSS[Date],BF$5)</f>
        <v>1125</v>
      </c>
      <c r="BG32" s="289">
        <f>SUMIFS(PBC_PROFIT_AND_LOSS[AccountBalance], PBC_PROFIT_AND_LOSS[Id],$L32,PBC_PROFIT_AND_LOSS[Date],BG$5)</f>
        <v>1181</v>
      </c>
      <c r="BH32" s="289">
        <f>SUMIFS(PBC_PROFIT_AND_LOSS[AccountBalance], PBC_PROFIT_AND_LOSS[Id],$L32,PBC_PROFIT_AND_LOSS[Date],BH$5)</f>
        <v>1181</v>
      </c>
      <c r="BI32" s="289">
        <f>SUMIFS(PBC_PROFIT_AND_LOSS[AccountBalance], PBC_PROFIT_AND_LOSS[Id],$L32,PBC_PROFIT_AND_LOSS[Date],BI$5)</f>
        <v>1240</v>
      </c>
      <c r="BJ32" s="289">
        <f>SUMIFS(PBC_PROFIT_AND_LOSS[AccountBalance], PBC_PROFIT_AND_LOSS[Id],$L32,PBC_PROFIT_AND_LOSS[Date],BJ$5)</f>
        <v>1240</v>
      </c>
      <c r="BK32" s="289">
        <f>SUMIFS(PBC_PROFIT_AND_LOSS[AccountBalance], PBC_PROFIT_AND_LOSS[Id],$L32,PBC_PROFIT_AND_LOSS[Date],BK$5)</f>
        <v>1302</v>
      </c>
      <c r="BL32" s="289">
        <f>SUMIFS(PBC_PROFIT_AND_LOSS[AccountBalance], PBC_PROFIT_AND_LOSS[Id],$L32,PBC_PROFIT_AND_LOSS[Date],BL$5)</f>
        <v>1367</v>
      </c>
      <c r="BM32" s="289">
        <f>SUMIFS(PBC_PROFIT_AND_LOSS[AccountBalance], PBC_PROFIT_AND_LOSS[Id],$L32,PBC_PROFIT_AND_LOSS[Date],BM$5)</f>
        <v>1435.7</v>
      </c>
      <c r="BN32" s="289">
        <f>SUMIFS(PBC_PROFIT_AND_LOSS[AccountBalance], PBC_PROFIT_AND_LOSS[Id],$L32,PBC_PROFIT_AND_LOSS[Date],BN$5)</f>
        <v>1507</v>
      </c>
      <c r="BO32" s="289">
        <f>SUMIFS(PBC_PROFIT_AND_LOSS[AccountBalance], PBC_PROFIT_AND_LOSS[Id],$L32,PBC_PROFIT_AND_LOSS[Date],BO$5)</f>
        <v>1583</v>
      </c>
      <c r="BP32" s="289">
        <f>SUMIFS(PBC_PROFIT_AND_LOSS[AccountBalance], PBC_PROFIT_AND_LOSS[Id],$L32,PBC_PROFIT_AND_LOSS[Date],BP$5)</f>
        <v>1662</v>
      </c>
      <c r="BQ32" s="289">
        <f>SUMIFS(PBC_PROFIT_AND_LOSS[AccountBalance], PBC_PROFIT_AND_LOSS[Id],$L32,PBC_PROFIT_AND_LOSS[Date],BQ$5)</f>
        <v>1745</v>
      </c>
      <c r="BR32" s="289">
        <f>SUMIFS(PBC_PROFIT_AND_LOSS[AccountBalance], PBC_PROFIT_AND_LOSS[Id],$L32,PBC_PROFIT_AND_LOSS[Date],BR$5)</f>
        <v>1832.35</v>
      </c>
      <c r="BS32" s="289">
        <f>SUMIFS(PBC_PROFIT_AND_LOSS[AccountBalance], PBC_PROFIT_AND_LOSS[Id],$L32,PBC_PROFIT_AND_LOSS[Date],BS$5)</f>
        <v>1923.97</v>
      </c>
      <c r="BT32" s="289">
        <f>SUMIFS(PBC_PROFIT_AND_LOSS[AccountBalance], PBC_PROFIT_AND_LOSS[Id],$L32,PBC_PROFIT_AND_LOSS[Date],BT$5)</f>
        <v>2020.17</v>
      </c>
      <c r="BU32" s="289">
        <f>SUMIFS(PBC_PROFIT_AND_LOSS[AccountBalance], PBC_PROFIT_AND_LOSS[Id],$L32,PBC_PROFIT_AND_LOSS[Date],BU$5)</f>
        <v>2121.1799999999998</v>
      </c>
      <c r="BV32" s="289">
        <f>SUMIFS(PBC_PROFIT_AND_LOSS[AccountBalance], PBC_PROFIT_AND_LOSS[Id],$L32,PBC_PROFIT_AND_LOSS[Date],BV$5)</f>
        <v>2227.2399999999998</v>
      </c>
      <c r="BW32" s="289">
        <f>SUMIFS(PBC_PROFIT_AND_LOSS[AccountBalance], PBC_PROFIT_AND_LOSS[Id],$L32,PBC_PROFIT_AND_LOSS[Date],BW$5)</f>
        <v>2338.6</v>
      </c>
      <c r="BX32" s="335" cm="1">
        <f t="array" ref="BX32">_xlfn.SWITCH(
    $E32,
    "3 month avg", AVERAGE(BU32:BW32) * (1 + $F32),
    "6 month avg", AVERAGE(BR32:BW32) * (1 + $F32),
    "12 month avg", AVERAGE(BM32:BW32) * (1 + $F32),
    "Prior Month",BW32* (1 + $F32),
    "Prior Year", BL32* (1 + $F32),
    "Monthly assumption",$G32* (1 + $F32),
    "Quarterly assumption",$G32/3* (1 + $F32),
    "Annual assumption",$G32/12* (1 + $F32),
    "% of Revenue",SUM(_xlfn._xlws.FILTER(_xlfn._xlws.FILTER(dataSummaryPL,dataSummaryPLSections="Revenue"),(startDates&gt;=BX$4)*(endDates&lt;=BX$5)))*$F32,
    "Custom",0,
    "0",0,
        0
)</f>
        <v>2181.1142500000001</v>
      </c>
      <c r="BY32" s="335" cm="1">
        <f t="array" ref="BY32">_xlfn.SWITCH(
    $E32,
    "3 month avg", AVERAGE(BV32:BX32) * (1 + $F32),
    "6 month avg", AVERAGE(BS32:BX32) * (1 + $F32),
    "12 month avg", AVERAGE(BN32:BX32) * (1 + $F32),
    "Prior Month",BX32* (1 + $F32),
    "Prior Year", BM32* (1 + $F32),
    "Monthly assumption",$G32* (1 + $F32),
    "Quarterly assumption",$G32/3* (1 + $F32),
    "Annual assumption",$G32/12* (1 + $F32),
    "% of Revenue",SUM(_xlfn._xlws.FILTER(_xlfn._xlws.FILTER(dataSummaryPL,dataSummaryPLSections="Revenue"),(startDates&gt;=BY$4)*(endDates&lt;=BY$5)))*$F32,
    "Custom",0,
    "0",0,
        0
)</f>
        <v>2242.1479937499998</v>
      </c>
      <c r="BZ32" s="335" cm="1">
        <f t="array" ref="BZ32">_xlfn.SWITCH(
    $E32,
    "3 month avg", AVERAGE(BW32:BY32) * (1 + $F32),
    "6 month avg", AVERAGE(BT32:BY32) * (1 + $F32),
    "12 month avg", AVERAGE(BO32:BY32) * (1 + $F32),
    "Prior Month",BY32* (1 + $F32),
    "Prior Year", BN32* (1 + $F32),
    "Monthly assumption",$G32* (1 + $F32),
    "Quarterly assumption",$G32/3* (1 + $F32),
    "Annual assumption",$G32/12* (1 + $F32),
    "% of Revenue",SUM(_xlfn._xlws.FILTER(_xlfn._xlws.FILTER(dataSummaryPL,dataSummaryPLSections="Revenue"),(startDates&gt;=BZ$4)*(endDates&lt;=BZ$5)))*$F32,
    "Custom",0,
    "0",0,
        0
)</f>
        <v>2297.82914265625</v>
      </c>
      <c r="CA32" s="335" cm="1">
        <f t="array" ref="CA32">_xlfn.SWITCH(
    $E32,
    "3 month avg", AVERAGE(BX32:BZ32) * (1 + $F32),
    "6 month avg", AVERAGE(BU32:BZ32) * (1 + $F32),
    "12 month avg", AVERAGE(BP32:BZ32) * (1 + $F32),
    "Prior Month",BZ32* (1 + $F32),
    "Prior Year", BO32* (1 + $F32),
    "Monthly assumption",$G32* (1 + $F32),
    "Quarterly assumption",$G32/3* (1 + $F32),
    "Annual assumption",$G32/12* (1 + $F32),
    "% of Revenue",SUM(_xlfn._xlws.FILTER(_xlfn._xlws.FILTER(dataSummaryPL,dataSummaryPLSections="Revenue"),(startDates&gt;=CA$4)*(endDates&lt;=CA$5)))*$F32,
    "Custom",0,
    "0",0,
        0
)</f>
        <v>2346.4194926210935</v>
      </c>
      <c r="CB32" s="335" cm="1">
        <f t="array" ref="CB32">_xlfn.SWITCH(
    $E32,
    "3 month avg", AVERAGE(BY32:CA32) * (1 + $F32),
    "6 month avg", AVERAGE(BV32:CA32) * (1 + $F32),
    "12 month avg", AVERAGE(BQ32:CA32) * (1 + $F32),
    "Prior Month",CA32* (1 + $F32),
    "Prior Year", BP32* (1 + $F32),
    "Monthly assumption",$G32* (1 + $F32),
    "Quarterly assumption",$G32/3* (1 + $F32),
    "Annual assumption",$G32/12* (1 + $F32),
    "% of Revenue",SUM(_xlfn._xlws.FILTER(_xlfn._xlws.FILTER(dataSummaryPL,dataSummaryPLSections="Revenue"),(startDates&gt;=CB$4)*(endDates&lt;=CB$5)))*$F32,
    "Custom",0,
    "0",0,
        0
)</f>
        <v>2385.836403829785</v>
      </c>
      <c r="CC32" s="335" cm="1">
        <f t="array" ref="CC32">_xlfn.SWITCH(
    $E32,
    "3 month avg", AVERAGE(BZ32:CB32) * (1 + $F32),
    "6 month avg", AVERAGE(BW32:CB32) * (1 + $F32),
    "12 month avg", AVERAGE(BR32:CB32) * (1 + $F32),
    "Prior Month",CB32* (1 + $F32),
    "Prior Year", BQ32* (1 + $F32),
    "Monthly assumption",$G32* (1 + $F32),
    "Quarterly assumption",$G32/3* (1 + $F32),
    "Annual assumption",$G32/12* (1 + $F32),
    "% of Revenue",SUM(_xlfn._xlws.FILTER(_xlfn._xlws.FILTER(dataSummaryPL,dataSummaryPLSections="Revenue"),(startDates&gt;=CC$4)*(endDates&lt;=CC$5)))*$F32,
    "Custom",0,
    "0",0,
        0
)</f>
        <v>2413.5907744999977</v>
      </c>
      <c r="CD32" s="335" cm="1">
        <f t="array" ref="CD32">_xlfn.SWITCH(
    $E32,
    "3 month avg", AVERAGE(CA32:CC32) * (1 + $F32),
    "6 month avg", AVERAGE(BX32:CC32) * (1 + $F32),
    "12 month avg", AVERAGE(BS32:CC32) * (1 + $F32),
    "Prior Month",CC32* (1 + $F32),
    "Prior Year", BR32* (1 + $F32),
    "Monthly assumption",$G32* (1 + $F32),
    "Quarterly assumption",$G32/3* (1 + $F32),
    "Annual assumption",$G32/12* (1 + $F32),
    "% of Revenue",SUM(_xlfn._xlws.FILTER(_xlfn._xlws.FILTER(dataSummaryPL,dataSummaryPLSections="Revenue"),(startDates&gt;=CD$4)*(endDates&lt;=CD$5)))*$F32,
    "Custom",0,
    "0",0,
        0
)</f>
        <v>2426.7141600374971</v>
      </c>
      <c r="CE32" s="335" cm="1">
        <f t="array" ref="CE32">_xlfn.SWITCH(
    $E32,
    "3 month avg", AVERAGE(CB32:CD32) * (1 + $F32),
    "6 month avg", AVERAGE(BY32:CD32) * (1 + $F32),
    "12 month avg", AVERAGE(BT32:CD32) * (1 + $F32),
    "Prior Month",CD32* (1 + $F32),
    "Prior Year", BS32* (1 + $F32),
    "Monthly assumption",$G32* (1 + $F32),
    "Quarterly assumption",$G32/3* (1 + $F32),
    "Annual assumption",$G32/12* (1 + $F32),
    "% of Revenue",SUM(_xlfn._xlws.FILTER(_xlfn._xlws.FILTER(dataSummaryPL,dataSummaryPLSections="Revenue"),(startDates&gt;=CE$4)*(endDates&lt;=CE$5)))*$F32,
    "Custom",0,
    "0",0,
        0
)</f>
        <v>2469.6941442940592</v>
      </c>
      <c r="CF32" s="335" cm="1">
        <f t="array" ref="CF32">_xlfn.SWITCH(
    $E32,
    "3 month avg", AVERAGE(CC32:CE32) * (1 + $F32),
    "6 month avg", AVERAGE(BZ32:CE32) * (1 + $F32),
    "12 month avg", AVERAGE(BU32:CE32) * (1 + $F32),
    "Prior Month",CE32* (1 + $F32),
    "Prior Year", BT32* (1 + $F32),
    "Monthly assumption",$G32* (1 + $F32),
    "Quarterly assumption",$G32/3* (1 + $F32),
    "Annual assumption",$G32/12* (1 + $F32),
    "% of Revenue",SUM(_xlfn._xlws.FILTER(_xlfn._xlws.FILTER(dataSummaryPL,dataSummaryPLSections="Revenue"),(startDates&gt;=CF$4)*(endDates&lt;=CF$5)))*$F32,
    "Custom",0,
    "0",0,
        0
)</f>
        <v>2509.5147206392689</v>
      </c>
      <c r="CG32" s="335" cm="1">
        <f t="array" ref="CG32">_xlfn.SWITCH(
    $E32,
    "3 month avg", AVERAGE(CD32:CF32) * (1 + $F32),
    "6 month avg", AVERAGE(CA32:CF32) * (1 + $F32),
    "12 month avg", AVERAGE(BV32:CF32) * (1 + $F32),
    "Prior Month",CF32* (1 + $F32),
    "Prior Year", BU32* (1 + $F32),
    "Monthly assumption",$G32* (1 + $F32),
    "Quarterly assumption",$G32/3* (1 + $F32),
    "Annual assumption",$G32/12* (1 + $F32),
    "% of Revenue",SUM(_xlfn._xlws.FILTER(_xlfn._xlws.FILTER(dataSummaryPL,dataSummaryPLSections="Revenue"),(startDates&gt;=CG$4)*(endDates&lt;=CG$5)))*$F32,
    "Custom",0,
    "0",0,
        0
)</f>
        <v>2546.559696786298</v>
      </c>
      <c r="CH32" s="335" cm="1">
        <f t="array" ref="CH32">_xlfn.SWITCH(
    $E32,
    "3 month avg", AVERAGE(CE32:CG32) * (1 + $F32),
    "6 month avg", AVERAGE(CB32:CG32) * (1 + $F32),
    "12 month avg", AVERAGE(BW32:CG32) * (1 + $F32),
    "Prior Month",CG32* (1 + $F32),
    "Prior Year", BV32* (1 + $F32),
    "Monthly assumption",$G32* (1 + $F32),
    "Quarterly assumption",$G32/3* (1 + $F32),
    "Annual assumption",$G32/12* (1 + $F32),
    "% of Revenue",SUM(_xlfn._xlws.FILTER(_xlfn._xlws.FILTER(dataSummaryPL,dataSummaryPLSections="Revenue"),(startDates&gt;=CH$4)*(endDates&lt;=CH$5)))*$F32,
    "Custom",0,
    "0",0,
        0
)</f>
        <v>2581.5842325152089</v>
      </c>
      <c r="CI32" s="335" cm="1">
        <f t="array" ref="CI32">_xlfn.SWITCH(
    $E32,
    "3 month avg", AVERAGE(CF32:CH32) * (1 + $F32),
    "6 month avg", AVERAGE(CC32:CH32) * (1 + $F32),
    "12 month avg", AVERAGE(BX32:CH32) * (1 + $F32),
    "Prior Month",CH32* (1 + $F32),
    "Prior Year", BW32* (1 + $F32),
    "Monthly assumption",$G32* (1 + $F32),
    "Quarterly assumption",$G32/3* (1 + $F32),
    "Annual assumption",$G32/12* (1 + $F32),
    "% of Revenue",SUM(_xlfn._xlws.FILTER(_xlfn._xlws.FILTER(dataSummaryPL,dataSummaryPLSections="Revenue"),(startDates&gt;=CI$4)*(endDates&lt;=CI$5)))*$F32,
    "Custom",0,
    "0",0,
        0
)</f>
        <v>2615.8401025351577</v>
      </c>
      <c r="CJ32" s="335" cm="1">
        <f t="array" ref="CJ32">_xlfn.SWITCH(
    $E32,
    "3 month avg", AVERAGE(CG32:CI32) * (1 + $F32),
    "6 month avg", AVERAGE(CD32:CI32) * (1 + $F32),
    "12 month avg", AVERAGE(BY32:CI32) * (1 + $F32),
    "Prior Month",CI32* (1 + $F32),
    "Prior Year", BX32* (1 + $F32),
    "Monthly assumption",$G32* (1 + $F32),
    "Quarterly assumption",$G32/3* (1 + $F32),
    "Annual assumption",$G32/12* (1 + $F32),
    "% of Revenue",SUM(_xlfn._xlws.FILTER(_xlfn._xlws.FILTER(dataSummaryPL,dataSummaryPLSections="Revenue"),(startDates&gt;=CJ$4)*(endDates&lt;=CJ$5)))*$F32,
    "Custom",0,
    "0",0,
        0
)</f>
        <v>2651.233734941311</v>
      </c>
    </row>
    <row r="33" spans="3:88" outlineLevel="2">
      <c r="C33" s="283"/>
      <c r="D33" s="288" t="s">
        <v>249</v>
      </c>
      <c r="E33" s="280" t="s">
        <v>354</v>
      </c>
      <c r="F33" s="332">
        <v>0.05</v>
      </c>
      <c r="G33" s="332"/>
      <c r="H33" s="277" t="str">
        <f>IFERROR(INDEX(PBC_ACCOUNT_LIST[Drivers Section],MATCH(Drivers!L33,PBC_ACCOUNT_LIST[Id],0)),"")</f>
        <v>Opex</v>
      </c>
      <c r="I33" s="277" t="str">
        <f>IFERROR(INDEX(PBC_ACCOUNT_LIST[Summary Grouping],MATCH(Drivers!L33,PBC_ACCOUNT_LIST[Id],0)),"")</f>
        <v>G&amp;A</v>
      </c>
      <c r="J33" s="277">
        <f>IFERROR(INDEX(PBC_ACCOUNT_LIST[Cash Flow Section],MATCH(Drivers!L33,PBC_ACCOUNT_LIST[Id],0)),"")</f>
        <v>0</v>
      </c>
      <c r="K33" s="278" t="s">
        <v>106</v>
      </c>
      <c r="L33" s="277">
        <v>170</v>
      </c>
      <c r="M33" s="276"/>
      <c r="O33" s="272"/>
      <c r="P33" s="289">
        <f t="shared" si="44"/>
        <v>13298</v>
      </c>
      <c r="Q33" s="289">
        <f t="shared" si="44"/>
        <v>29372</v>
      </c>
      <c r="R33" s="289">
        <f t="shared" si="44"/>
        <v>49750.591</v>
      </c>
      <c r="S33" s="289">
        <f t="shared" si="44"/>
        <v>65746.409257741208</v>
      </c>
      <c r="T33" s="289"/>
      <c r="U33" s="289"/>
      <c r="V33" s="289">
        <f t="shared" si="45"/>
        <v>2485</v>
      </c>
      <c r="W33" s="289">
        <f t="shared" si="45"/>
        <v>2755</v>
      </c>
      <c r="X33" s="289">
        <f t="shared" si="45"/>
        <v>3054</v>
      </c>
      <c r="Y33" s="289">
        <f t="shared" si="45"/>
        <v>5004</v>
      </c>
      <c r="Z33" s="289">
        <f t="shared" si="45"/>
        <v>6084</v>
      </c>
      <c r="AA33" s="289">
        <f t="shared" si="45"/>
        <v>6872</v>
      </c>
      <c r="AB33" s="289">
        <f t="shared" si="45"/>
        <v>7872</v>
      </c>
      <c r="AC33" s="289">
        <f t="shared" si="45"/>
        <v>8544</v>
      </c>
      <c r="AD33" s="289">
        <f t="shared" si="45"/>
        <v>9890.43</v>
      </c>
      <c r="AE33" s="289">
        <f t="shared" si="45"/>
        <v>11450.25</v>
      </c>
      <c r="AF33" s="289">
        <f t="shared" si="45"/>
        <v>13254.55</v>
      </c>
      <c r="AG33" s="289">
        <f t="shared" si="45"/>
        <v>15155.361000000001</v>
      </c>
      <c r="AH33" s="289">
        <f t="shared" si="45"/>
        <v>15304.731627390624</v>
      </c>
      <c r="AI33" s="289">
        <f t="shared" si="45"/>
        <v>16145.151810946512</v>
      </c>
      <c r="AJ33" s="289">
        <f t="shared" si="45"/>
        <v>16783.280845920308</v>
      </c>
      <c r="AK33" s="289">
        <f t="shared" si="45"/>
        <v>17513.244973483761</v>
      </c>
      <c r="AL33" s="333"/>
      <c r="AM33" s="334"/>
      <c r="AN33" s="289">
        <f>SUMIFS(PBC_PROFIT_AND_LOSS[AccountBalance], PBC_PROFIT_AND_LOSS[Id],$L33,PBC_PROFIT_AND_LOSS[Date],AN$5)</f>
        <v>0</v>
      </c>
      <c r="AO33" s="289">
        <f>SUMIFS(PBC_PROFIT_AND_LOSS[AccountBalance], PBC_PROFIT_AND_LOSS[Id],$L33,PBC_PROFIT_AND_LOSS[Date],AO$5)</f>
        <v>800</v>
      </c>
      <c r="AP33" s="289">
        <f>SUMIFS(PBC_PROFIT_AND_LOSS[AccountBalance], PBC_PROFIT_AND_LOSS[Id],$L33,PBC_PROFIT_AND_LOSS[Date],AP$5)</f>
        <v>828</v>
      </c>
      <c r="AQ33" s="289">
        <f>SUMIFS(PBC_PROFIT_AND_LOSS[AccountBalance], PBC_PROFIT_AND_LOSS[Id],$L33,PBC_PROFIT_AND_LOSS[Date],AQ$5)</f>
        <v>857</v>
      </c>
      <c r="AR33" s="289">
        <f>SUMIFS(PBC_PROFIT_AND_LOSS[AccountBalance], PBC_PROFIT_AND_LOSS[Id],$L33,PBC_PROFIT_AND_LOSS[Date],AR$5)</f>
        <v>887</v>
      </c>
      <c r="AS33" s="289">
        <f>SUMIFS(PBC_PROFIT_AND_LOSS[AccountBalance], PBC_PROFIT_AND_LOSS[Id],$L33,PBC_PROFIT_AND_LOSS[Date],AS$5)</f>
        <v>918</v>
      </c>
      <c r="AT33" s="289">
        <f>SUMIFS(PBC_PROFIT_AND_LOSS[AccountBalance], PBC_PROFIT_AND_LOSS[Id],$L33,PBC_PROFIT_AND_LOSS[Date],AT$5)</f>
        <v>950</v>
      </c>
      <c r="AU33" s="289">
        <f>SUMIFS(PBC_PROFIT_AND_LOSS[AccountBalance], PBC_PROFIT_AND_LOSS[Id],$L33,PBC_PROFIT_AND_LOSS[Date],AU$5)</f>
        <v>983</v>
      </c>
      <c r="AV33" s="289">
        <f>SUMIFS(PBC_PROFIT_AND_LOSS[AccountBalance], PBC_PROFIT_AND_LOSS[Id],$L33,PBC_PROFIT_AND_LOSS[Date],AV$5)</f>
        <v>1018</v>
      </c>
      <c r="AW33" s="289">
        <f>SUMIFS(PBC_PROFIT_AND_LOSS[AccountBalance], PBC_PROFIT_AND_LOSS[Id],$L33,PBC_PROFIT_AND_LOSS[Date],AW$5)</f>
        <v>1053</v>
      </c>
      <c r="AX33" s="289">
        <f>SUMIFS(PBC_PROFIT_AND_LOSS[AccountBalance], PBC_PROFIT_AND_LOSS[Id],$L33,PBC_PROFIT_AND_LOSS[Date],AX$5)</f>
        <v>1090</v>
      </c>
      <c r="AY33" s="289">
        <f>SUMIFS(PBC_PROFIT_AND_LOSS[AccountBalance], PBC_PROFIT_AND_LOSS[Id],$L33,PBC_PROFIT_AND_LOSS[Date],AY$5)</f>
        <v>1790.5</v>
      </c>
      <c r="AZ33" s="289">
        <f>SUMIFS(PBC_PROFIT_AND_LOSS[AccountBalance], PBC_PROFIT_AND_LOSS[Id],$L33,PBC_PROFIT_AND_LOSS[Date],AZ$5)</f>
        <v>2123.5</v>
      </c>
      <c r="BA33" s="289">
        <f>SUMIFS(PBC_PROFIT_AND_LOSS[AccountBalance], PBC_PROFIT_AND_LOSS[Id],$L33,PBC_PROFIT_AND_LOSS[Date],BA$5)</f>
        <v>1880</v>
      </c>
      <c r="BB33" s="289">
        <f>SUMIFS(PBC_PROFIT_AND_LOSS[AccountBalance], PBC_PROFIT_AND_LOSS[Id],$L33,PBC_PROFIT_AND_LOSS[Date],BB$5)</f>
        <v>2230</v>
      </c>
      <c r="BC33" s="289">
        <f>SUMIFS(PBC_PROFIT_AND_LOSS[AccountBalance], PBC_PROFIT_AND_LOSS[Id],$L33,PBC_PROFIT_AND_LOSS[Date],BC$5)</f>
        <v>1974</v>
      </c>
      <c r="BD33" s="289">
        <f>SUMIFS(PBC_PROFIT_AND_LOSS[AccountBalance], PBC_PROFIT_AND_LOSS[Id],$L33,PBC_PROFIT_AND_LOSS[Date],BD$5)</f>
        <v>2341</v>
      </c>
      <c r="BE33" s="289">
        <f>SUMIFS(PBC_PROFIT_AND_LOSS[AccountBalance], PBC_PROFIT_AND_LOSS[Id],$L33,PBC_PROFIT_AND_LOSS[Date],BE$5)</f>
        <v>2073</v>
      </c>
      <c r="BF33" s="289">
        <f>SUMIFS(PBC_PROFIT_AND_LOSS[AccountBalance], PBC_PROFIT_AND_LOSS[Id],$L33,PBC_PROFIT_AND_LOSS[Date],BF$5)</f>
        <v>2458</v>
      </c>
      <c r="BG33" s="289">
        <f>SUMIFS(PBC_PROFIT_AND_LOSS[AccountBalance], PBC_PROFIT_AND_LOSS[Id],$L33,PBC_PROFIT_AND_LOSS[Date],BG$5)</f>
        <v>2581</v>
      </c>
      <c r="BH33" s="289">
        <f>SUMIFS(PBC_PROFIT_AND_LOSS[AccountBalance], PBC_PROFIT_AND_LOSS[Id],$L33,PBC_PROFIT_AND_LOSS[Date],BH$5)</f>
        <v>2581</v>
      </c>
      <c r="BI33" s="289">
        <f>SUMIFS(PBC_PROFIT_AND_LOSS[AccountBalance], PBC_PROFIT_AND_LOSS[Id],$L33,PBC_PROFIT_AND_LOSS[Date],BI$5)</f>
        <v>2710</v>
      </c>
      <c r="BJ33" s="289">
        <f>SUMIFS(PBC_PROFIT_AND_LOSS[AccountBalance], PBC_PROFIT_AND_LOSS[Id],$L33,PBC_PROFIT_AND_LOSS[Date],BJ$5)</f>
        <v>2710</v>
      </c>
      <c r="BK33" s="289">
        <f>SUMIFS(PBC_PROFIT_AND_LOSS[AccountBalance], PBC_PROFIT_AND_LOSS[Id],$L33,PBC_PROFIT_AND_LOSS[Date],BK$5)</f>
        <v>2846</v>
      </c>
      <c r="BL33" s="289">
        <f>SUMIFS(PBC_PROFIT_AND_LOSS[AccountBalance], PBC_PROFIT_AND_LOSS[Id],$L33,PBC_PROFIT_AND_LOSS[Date],BL$5)</f>
        <v>2988</v>
      </c>
      <c r="BM33" s="289">
        <f>SUMIFS(PBC_PROFIT_AND_LOSS[AccountBalance], PBC_PROFIT_AND_LOSS[Id],$L33,PBC_PROFIT_AND_LOSS[Date],BM$5)</f>
        <v>3137.43</v>
      </c>
      <c r="BN33" s="289">
        <f>SUMIFS(PBC_PROFIT_AND_LOSS[AccountBalance], PBC_PROFIT_AND_LOSS[Id],$L33,PBC_PROFIT_AND_LOSS[Date],BN$5)</f>
        <v>3294</v>
      </c>
      <c r="BO33" s="289">
        <f>SUMIFS(PBC_PROFIT_AND_LOSS[AccountBalance], PBC_PROFIT_AND_LOSS[Id],$L33,PBC_PROFIT_AND_LOSS[Date],BO$5)</f>
        <v>3459</v>
      </c>
      <c r="BP33" s="289">
        <f>SUMIFS(PBC_PROFIT_AND_LOSS[AccountBalance], PBC_PROFIT_AND_LOSS[Id],$L33,PBC_PROFIT_AND_LOSS[Date],BP$5)</f>
        <v>3632</v>
      </c>
      <c r="BQ33" s="289">
        <f>SUMIFS(PBC_PROFIT_AND_LOSS[AccountBalance], PBC_PROFIT_AND_LOSS[Id],$L33,PBC_PROFIT_AND_LOSS[Date],BQ$5)</f>
        <v>3814</v>
      </c>
      <c r="BR33" s="289">
        <f>SUMIFS(PBC_PROFIT_AND_LOSS[AccountBalance], PBC_PROFIT_AND_LOSS[Id],$L33,PBC_PROFIT_AND_LOSS[Date],BR$5)</f>
        <v>4004.25</v>
      </c>
      <c r="BS33" s="289">
        <f>SUMIFS(PBC_PROFIT_AND_LOSS[AccountBalance], PBC_PROFIT_AND_LOSS[Id],$L33,PBC_PROFIT_AND_LOSS[Date],BS$5)</f>
        <v>4204.46</v>
      </c>
      <c r="BT33" s="289">
        <f>SUMIFS(PBC_PROFIT_AND_LOSS[AccountBalance], PBC_PROFIT_AND_LOSS[Id],$L33,PBC_PROFIT_AND_LOSS[Date],BT$5)</f>
        <v>4414.68</v>
      </c>
      <c r="BU33" s="289">
        <f>SUMIFS(PBC_PROFIT_AND_LOSS[AccountBalance], PBC_PROFIT_AND_LOSS[Id],$L33,PBC_PROFIT_AND_LOSS[Date],BU$5)</f>
        <v>4635.41</v>
      </c>
      <c r="BV33" s="289">
        <f>SUMIFS(PBC_PROFIT_AND_LOSS[AccountBalance], PBC_PROFIT_AND_LOSS[Id],$L33,PBC_PROFIT_AND_LOSS[Date],BV$5)</f>
        <v>4867.18</v>
      </c>
      <c r="BW33" s="289">
        <f>SUMIFS(PBC_PROFIT_AND_LOSS[AccountBalance], PBC_PROFIT_AND_LOSS[Id],$L33,PBC_PROFIT_AND_LOSS[Date],BW$5)</f>
        <v>5460.54</v>
      </c>
      <c r="BX33" s="335" cm="1">
        <f t="array" ref="BX33">_xlfn.SWITCH(
    $E33,
    "3 month avg", AVERAGE(BU33:BW33) * (1 + $F33),
    "6 month avg", AVERAGE(BR33:BW33) * (1 + $F33),
    "12 month avg", AVERAGE(BM33:BW33) * (1 + $F33),
    "Prior Month",BW33* (1 + $F33),
    "Prior Year", BL33* (1 + $F33),
    "Monthly assumption",$G33* (1 + $F33),
    "Quarterly assumption",$G33/3* (1 + $F33),
    "Annual assumption",$G33/12* (1 + $F33),
    "% of Revenue",SUM(_xlfn._xlws.FILTER(_xlfn._xlws.FILTER(dataSummaryPL,dataSummaryPLSections="Revenue"),(startDates&gt;=BX$4)*(endDates&lt;=BX$5)))*$F33,
    "Custom",0,
    "0",0,
        0
)</f>
        <v>4827.6409999999996</v>
      </c>
      <c r="BY33" s="335" cm="1">
        <f t="array" ref="BY33">_xlfn.SWITCH(
    $E33,
    "3 month avg", AVERAGE(BV33:BX33) * (1 + $F33),
    "6 month avg", AVERAGE(BS33:BX33) * (1 + $F33),
    "12 month avg", AVERAGE(BN33:BX33) * (1 + $F33),
    "Prior Month",BX33* (1 + $F33),
    "Prior Year", BM33* (1 + $F33),
    "Monthly assumption",$G33* (1 + $F33),
    "Quarterly assumption",$G33/3* (1 + $F33),
    "Annual assumption",$G33/12* (1 + $F33),
    "% of Revenue",SUM(_xlfn._xlws.FILTER(_xlfn._xlws.FILTER(dataSummaryPL,dataSummaryPLSections="Revenue"),(startDates&gt;=BY$4)*(endDates&lt;=BY$5)))*$F33,
    "Custom",0,
    "0",0,
        0
)</f>
        <v>4971.7344249999996</v>
      </c>
      <c r="BZ33" s="335" cm="1">
        <f t="array" ref="BZ33">_xlfn.SWITCH(
    $E33,
    "3 month avg", AVERAGE(BW33:BY33) * (1 + $F33),
    "6 month avg", AVERAGE(BT33:BY33) * (1 + $F33),
    "12 month avg", AVERAGE(BO33:BY33) * (1 + $F33),
    "Prior Month",BY33* (1 + $F33),
    "Prior Year", BN33* (1 + $F33),
    "Monthly assumption",$G33* (1 + $F33),
    "Quarterly assumption",$G33/3* (1 + $F33),
    "Annual assumption",$G33/12* (1 + $F33),
    "% of Revenue",SUM(_xlfn._xlws.FILTER(_xlfn._xlws.FILTER(dataSummaryPL,dataSummaryPLSections="Revenue"),(startDates&gt;=BZ$4)*(endDates&lt;=BZ$5)))*$F33,
    "Custom",0,
    "0",0,
        0
)</f>
        <v>5106.0074493749999</v>
      </c>
      <c r="CA33" s="335" cm="1">
        <f t="array" ref="CA33">_xlfn.SWITCH(
    $E33,
    "3 month avg", AVERAGE(BX33:BZ33) * (1 + $F33),
    "6 month avg", AVERAGE(BU33:BZ33) * (1 + $F33),
    "12 month avg", AVERAGE(BP33:BZ33) * (1 + $F33),
    "Prior Month",BZ33* (1 + $F33),
    "Prior Year", BO33* (1 + $F33),
    "Monthly assumption",$G33* (1 + $F33),
    "Quarterly assumption",$G33/3* (1 + $F33),
    "Annual assumption",$G33/12* (1 + $F33),
    "% of Revenue",SUM(_xlfn._xlws.FILTER(_xlfn._xlws.FILTER(dataSummaryPL,dataSummaryPLSections="Revenue"),(startDates&gt;=CA$4)*(endDates&lt;=CA$5)))*$F33,
    "Custom",0,
    "0",0,
        0
)</f>
        <v>5226.989753015625</v>
      </c>
      <c r="CB33" s="335" cm="1">
        <f t="array" ref="CB33">_xlfn.SWITCH(
    $E33,
    "3 month avg", AVERAGE(BY33:CA33) * (1 + $F33),
    "6 month avg", AVERAGE(BV33:CA33) * (1 + $F33),
    "12 month avg", AVERAGE(BQ33:CA33) * (1 + $F33),
    "Prior Month",CA33* (1 + $F33),
    "Prior Year", BP33* (1 + $F33),
    "Monthly assumption",$G33* (1 + $F33),
    "Quarterly assumption",$G33/3* (1 + $F33),
    "Annual assumption",$G33/12* (1 + $F33),
    "% of Revenue",SUM(_xlfn._xlws.FILTER(_xlfn._xlws.FILTER(dataSummaryPL,dataSummaryPLSections="Revenue"),(startDates&gt;=CB$4)*(endDates&lt;=CB$5)))*$F33,
    "Custom",0,
    "0",0,
        0
)</f>
        <v>5330.5162097933598</v>
      </c>
      <c r="CC33" s="335" cm="1">
        <f t="array" ref="CC33">_xlfn.SWITCH(
    $E33,
    "3 month avg", AVERAGE(BZ33:CB33) * (1 + $F33),
    "6 month avg", AVERAGE(BW33:CB33) * (1 + $F33),
    "12 month avg", AVERAGE(BR33:CB33) * (1 + $F33),
    "Prior Month",CB33* (1 + $F33),
    "Prior Year", BQ33* (1 + $F33),
    "Monthly assumption",$G33* (1 + $F33),
    "Quarterly assumption",$G33/3* (1 + $F33),
    "Annual assumption",$G33/12* (1 + $F33),
    "% of Revenue",SUM(_xlfn._xlws.FILTER(_xlfn._xlws.FILTER(dataSummaryPL,dataSummaryPLSections="Revenue"),(startDates&gt;=CC$4)*(endDates&lt;=CC$5)))*$F33,
    "Custom",0,
    "0",0,
        0
)</f>
        <v>5411.6000465071975</v>
      </c>
      <c r="CD33" s="335" cm="1">
        <f t="array" ref="CD33">_xlfn.SWITCH(
    $E33,
    "3 month avg", AVERAGE(CA33:CC33) * (1 + $F33),
    "6 month avg", AVERAGE(BX33:CC33) * (1 + $F33),
    "12 month avg", AVERAGE(BS33:CC33) * (1 + $F33),
    "Prior Month",CC33* (1 + $F33),
    "Prior Year", BR33* (1 + $F33),
    "Monthly assumption",$G33* (1 + $F33),
    "Quarterly assumption",$G33/3* (1 + $F33),
    "Annual assumption",$G33/12* (1 + $F33),
    "% of Revenue",SUM(_xlfn._xlws.FILTER(_xlfn._xlws.FILTER(dataSummaryPL,dataSummaryPLSections="Revenue"),(startDates&gt;=CD$4)*(endDates&lt;=CD$5)))*$F33,
    "Custom",0,
    "0",0,
        0
)</f>
        <v>5403.0355546459559</v>
      </c>
      <c r="CE33" s="335" cm="1">
        <f t="array" ref="CE33">_xlfn.SWITCH(
    $E33,
    "3 month avg", AVERAGE(CB33:CD33) * (1 + $F33),
    "6 month avg", AVERAGE(BY33:CD33) * (1 + $F33),
    "12 month avg", AVERAGE(BT33:CD33) * (1 + $F33),
    "Prior Month",CD33* (1 + $F33),
    "Prior Year", BS33* (1 + $F33),
    "Monthly assumption",$G33* (1 + $F33),
    "Quarterly assumption",$G33/3* (1 + $F33),
    "Annual assumption",$G33/12* (1 + $F33),
    "% of Revenue",SUM(_xlfn._xlws.FILTER(_xlfn._xlws.FILTER(dataSummaryPL,dataSummaryPLSections="Revenue"),(startDates&gt;=CE$4)*(endDates&lt;=CE$5)))*$F33,
    "Custom",0,
    "0",0,
        0
)</f>
        <v>5503.7296017089993</v>
      </c>
      <c r="CF33" s="335" cm="1">
        <f t="array" ref="CF33">_xlfn.SWITCH(
    $E33,
    "3 month avg", AVERAGE(CC33:CE33) * (1 + $F33),
    "6 month avg", AVERAGE(BZ33:CE33) * (1 + $F33),
    "12 month avg", AVERAGE(BU33:CE33) * (1 + $F33),
    "Prior Month",CE33* (1 + $F33),
    "Prior Year", BT33* (1 + $F33),
    "Monthly assumption",$G33* (1 + $F33),
    "Quarterly assumption",$G33/3* (1 + $F33),
    "Annual assumption",$G33/12* (1 + $F33),
    "% of Revenue",SUM(_xlfn._xlws.FILTER(_xlfn._xlws.FILTER(dataSummaryPL,dataSummaryPLSections="Revenue"),(startDates&gt;=CF$4)*(endDates&lt;=CF$5)))*$F33,
    "Custom",0,
    "0",0,
        0
)</f>
        <v>5596.8287576330731</v>
      </c>
      <c r="CG33" s="335" cm="1">
        <f t="array" ref="CG33">_xlfn.SWITCH(
    $E33,
    "3 month avg", AVERAGE(CD33:CF33) * (1 + $F33),
    "6 month avg", AVERAGE(CA33:CF33) * (1 + $F33),
    "12 month avg", AVERAGE(BV33:CF33) * (1 + $F33),
    "Prior Month",CF33* (1 + $F33),
    "Prior Year", BU33* (1 + $F33),
    "Monthly assumption",$G33* (1 + $F33),
    "Quarterly assumption",$G33/3* (1 + $F33),
    "Annual assumption",$G33/12* (1 + $F33),
    "% of Revenue",SUM(_xlfn._xlws.FILTER(_xlfn._xlws.FILTER(dataSummaryPL,dataSummaryPLSections="Revenue"),(startDates&gt;=CG$4)*(endDates&lt;=CG$5)))*$F33,
    "Custom",0,
    "0",0,
        0
)</f>
        <v>5682.7224865782373</v>
      </c>
      <c r="CH33" s="335" cm="1">
        <f t="array" ref="CH33">_xlfn.SWITCH(
    $E33,
    "3 month avg", AVERAGE(CE33:CG33) * (1 + $F33),
    "6 month avg", AVERAGE(CB33:CG33) * (1 + $F33),
    "12 month avg", AVERAGE(BW33:CG33) * (1 + $F33),
    "Prior Month",CG33* (1 + $F33),
    "Prior Year", BV33* (1 + $F33),
    "Monthly assumption",$G33* (1 + $F33),
    "Quarterly assumption",$G33/3* (1 + $F33),
    "Annual assumption",$G33/12* (1 + $F33),
    "% of Revenue",SUM(_xlfn._xlws.FILTER(_xlfn._xlws.FILTER(dataSummaryPL,dataSummaryPLSections="Revenue"),(startDates&gt;=CH$4)*(endDates&lt;=CH$5)))*$F33,
    "Custom",0,
    "0",0,
        0
)</f>
        <v>5762.4757149516936</v>
      </c>
      <c r="CI33" s="335" cm="1">
        <f t="array" ref="CI33">_xlfn.SWITCH(
    $E33,
    "3 month avg", AVERAGE(CF33:CH33) * (1 + $F33),
    "6 month avg", AVERAGE(CC33:CH33) * (1 + $F33),
    "12 month avg", AVERAGE(BX33:CH33) * (1 + $F33),
    "Prior Month",CH33* (1 + $F33),
    "Prior Year", BW33* (1 + $F33),
    "Monthly assumption",$G33* (1 + $F33),
    "Quarterly assumption",$G33/3* (1 + $F33),
    "Annual assumption",$G33/12* (1 + $F33),
    "% of Revenue",SUM(_xlfn._xlws.FILTER(_xlfn._xlws.FILTER(dataSummaryPL,dataSummaryPLSections="Revenue"),(startDates&gt;=CI$4)*(endDates&lt;=CI$5)))*$F33,
    "Custom",0,
    "0",0,
        0
)</f>
        <v>5838.0686283544028</v>
      </c>
      <c r="CJ33" s="335" cm="1">
        <f t="array" ref="CJ33">_xlfn.SWITCH(
    $E33,
    "3 month avg", AVERAGE(CG33:CI33) * (1 + $F33),
    "6 month avg", AVERAGE(CD33:CI33) * (1 + $F33),
    "12 month avg", AVERAGE(BY33:CI33) * (1 + $F33),
    "Prior Month",CI33* (1 + $F33),
    "Prior Year", BX33* (1 + $F33),
    "Monthly assumption",$G33* (1 + $F33),
    "Quarterly assumption",$G33/3* (1 + $F33),
    "Annual assumption",$G33/12* (1 + $F33),
    "% of Revenue",SUM(_xlfn._xlws.FILTER(_xlfn._xlws.FILTER(dataSummaryPL,dataSummaryPLSections="Revenue"),(startDates&gt;=CJ$4)*(endDates&lt;=CJ$5)))*$F33,
    "Custom",0,
    "0",0,
        0
)</f>
        <v>5912.7006301776637</v>
      </c>
    </row>
    <row r="34" spans="3:88" outlineLevel="2">
      <c r="C34" s="283"/>
      <c r="D34" s="288" t="s">
        <v>250</v>
      </c>
      <c r="E34" s="280" t="s">
        <v>354</v>
      </c>
      <c r="F34" s="332">
        <v>0.05</v>
      </c>
      <c r="G34" s="332"/>
      <c r="H34" s="277" t="str">
        <f>IFERROR(INDEX(PBC_ACCOUNT_LIST[Drivers Section],MATCH(Drivers!L34,PBC_ACCOUNT_LIST[Id],0)),"")</f>
        <v>Opex</v>
      </c>
      <c r="I34" s="277" t="str">
        <f>IFERROR(INDEX(PBC_ACCOUNT_LIST[Summary Grouping],MATCH(Drivers!L34,PBC_ACCOUNT_LIST[Id],0)),"")</f>
        <v>G&amp;A</v>
      </c>
      <c r="J34" s="277">
        <f>IFERROR(INDEX(PBC_ACCOUNT_LIST[Cash Flow Section],MATCH(Drivers!L34,PBC_ACCOUNT_LIST[Id],0)),"")</f>
        <v>0</v>
      </c>
      <c r="K34" s="278" t="s">
        <v>106</v>
      </c>
      <c r="L34" s="277">
        <v>171</v>
      </c>
      <c r="M34" s="276"/>
      <c r="O34" s="272"/>
      <c r="P34" s="289">
        <f t="shared" si="44"/>
        <v>60052</v>
      </c>
      <c r="Q34" s="289">
        <f t="shared" si="44"/>
        <v>143016</v>
      </c>
      <c r="R34" s="289">
        <f t="shared" si="44"/>
        <v>240883.584</v>
      </c>
      <c r="S34" s="289">
        <f t="shared" si="44"/>
        <v>314597.47110545117</v>
      </c>
      <c r="T34" s="289"/>
      <c r="U34" s="289"/>
      <c r="V34" s="289">
        <f t="shared" si="45"/>
        <v>10872</v>
      </c>
      <c r="W34" s="289">
        <f t="shared" si="45"/>
        <v>12054</v>
      </c>
      <c r="X34" s="289">
        <f t="shared" si="45"/>
        <v>13364</v>
      </c>
      <c r="Y34" s="289">
        <f t="shared" si="45"/>
        <v>23762</v>
      </c>
      <c r="Z34" s="289">
        <f t="shared" si="45"/>
        <v>29451</v>
      </c>
      <c r="AA34" s="289">
        <f t="shared" si="45"/>
        <v>33416</v>
      </c>
      <c r="AB34" s="289">
        <f t="shared" si="45"/>
        <v>38436</v>
      </c>
      <c r="AC34" s="289">
        <f t="shared" si="45"/>
        <v>41713</v>
      </c>
      <c r="AD34" s="289">
        <f t="shared" si="45"/>
        <v>48288.51</v>
      </c>
      <c r="AE34" s="289">
        <f t="shared" si="45"/>
        <v>55900.45</v>
      </c>
      <c r="AF34" s="289">
        <f t="shared" si="45"/>
        <v>64711.14</v>
      </c>
      <c r="AG34" s="289">
        <f t="shared" si="45"/>
        <v>71983.483999999997</v>
      </c>
      <c r="AH34" s="289">
        <f t="shared" si="45"/>
        <v>73471.208949250009</v>
      </c>
      <c r="AI34" s="289">
        <f t="shared" si="45"/>
        <v>77095.959258093484</v>
      </c>
      <c r="AJ34" s="289">
        <f t="shared" si="45"/>
        <v>80292.690955266255</v>
      </c>
      <c r="AK34" s="289">
        <f t="shared" si="45"/>
        <v>83737.611942841409</v>
      </c>
      <c r="AL34" s="333"/>
      <c r="AM34" s="334"/>
      <c r="AN34" s="289">
        <f>SUMIFS(PBC_PROFIT_AND_LOSS[AccountBalance], PBC_PROFIT_AND_LOSS[Id],$L34,PBC_PROFIT_AND_LOSS[Date],AN$5)</f>
        <v>0</v>
      </c>
      <c r="AO34" s="289">
        <f>SUMIFS(PBC_PROFIT_AND_LOSS[AccountBalance], PBC_PROFIT_AND_LOSS[Id],$L34,PBC_PROFIT_AND_LOSS[Date],AO$5)</f>
        <v>3500</v>
      </c>
      <c r="AP34" s="289">
        <f>SUMIFS(PBC_PROFIT_AND_LOSS[AccountBalance], PBC_PROFIT_AND_LOSS[Id],$L34,PBC_PROFIT_AND_LOSS[Date],AP$5)</f>
        <v>3623</v>
      </c>
      <c r="AQ34" s="289">
        <f>SUMIFS(PBC_PROFIT_AND_LOSS[AccountBalance], PBC_PROFIT_AND_LOSS[Id],$L34,PBC_PROFIT_AND_LOSS[Date],AQ$5)</f>
        <v>3749</v>
      </c>
      <c r="AR34" s="289">
        <f>SUMIFS(PBC_PROFIT_AND_LOSS[AccountBalance], PBC_PROFIT_AND_LOSS[Id],$L34,PBC_PROFIT_AND_LOSS[Date],AR$5)</f>
        <v>3881</v>
      </c>
      <c r="AS34" s="289">
        <f>SUMIFS(PBC_PROFIT_AND_LOSS[AccountBalance], PBC_PROFIT_AND_LOSS[Id],$L34,PBC_PROFIT_AND_LOSS[Date],AS$5)</f>
        <v>4016</v>
      </c>
      <c r="AT34" s="289">
        <f>SUMIFS(PBC_PROFIT_AND_LOSS[AccountBalance], PBC_PROFIT_AND_LOSS[Id],$L34,PBC_PROFIT_AND_LOSS[Date],AT$5)</f>
        <v>4157</v>
      </c>
      <c r="AU34" s="289">
        <f>SUMIFS(PBC_PROFIT_AND_LOSS[AccountBalance], PBC_PROFIT_AND_LOSS[Id],$L34,PBC_PROFIT_AND_LOSS[Date],AU$5)</f>
        <v>4302</v>
      </c>
      <c r="AV34" s="289">
        <f>SUMIFS(PBC_PROFIT_AND_LOSS[AccountBalance], PBC_PROFIT_AND_LOSS[Id],$L34,PBC_PROFIT_AND_LOSS[Date],AV$5)</f>
        <v>4453</v>
      </c>
      <c r="AW34" s="289">
        <f>SUMIFS(PBC_PROFIT_AND_LOSS[AccountBalance], PBC_PROFIT_AND_LOSS[Id],$L34,PBC_PROFIT_AND_LOSS[Date],AW$5)</f>
        <v>4609</v>
      </c>
      <c r="AX34" s="289">
        <f>SUMIFS(PBC_PROFIT_AND_LOSS[AccountBalance], PBC_PROFIT_AND_LOSS[Id],$L34,PBC_PROFIT_AND_LOSS[Date],AX$5)</f>
        <v>4770</v>
      </c>
      <c r="AY34" s="289">
        <f>SUMIFS(PBC_PROFIT_AND_LOSS[AccountBalance], PBC_PROFIT_AND_LOSS[Id],$L34,PBC_PROFIT_AND_LOSS[Date],AY$5)</f>
        <v>8625</v>
      </c>
      <c r="AZ34" s="289">
        <f>SUMIFS(PBC_PROFIT_AND_LOSS[AccountBalance], PBC_PROFIT_AND_LOSS[Id],$L34,PBC_PROFIT_AND_LOSS[Date],AZ$5)</f>
        <v>10367</v>
      </c>
      <c r="BA34" s="289">
        <f>SUMIFS(PBC_PROFIT_AND_LOSS[AccountBalance], PBC_PROFIT_AND_LOSS[Id],$L34,PBC_PROFIT_AND_LOSS[Date],BA$5)</f>
        <v>9056</v>
      </c>
      <c r="BB34" s="289">
        <f>SUMIFS(PBC_PROFIT_AND_LOSS[AccountBalance], PBC_PROFIT_AND_LOSS[Id],$L34,PBC_PROFIT_AND_LOSS[Date],BB$5)</f>
        <v>10886</v>
      </c>
      <c r="BC34" s="289">
        <f>SUMIFS(PBC_PROFIT_AND_LOSS[AccountBalance], PBC_PROFIT_AND_LOSS[Id],$L34,PBC_PROFIT_AND_LOSS[Date],BC$5)</f>
        <v>9509</v>
      </c>
      <c r="BD34" s="289">
        <f>SUMIFS(PBC_PROFIT_AND_LOSS[AccountBalance], PBC_PROFIT_AND_LOSS[Id],$L34,PBC_PROFIT_AND_LOSS[Date],BD$5)</f>
        <v>11430</v>
      </c>
      <c r="BE34" s="289">
        <f>SUMIFS(PBC_PROFIT_AND_LOSS[AccountBalance], PBC_PROFIT_AND_LOSS[Id],$L34,PBC_PROFIT_AND_LOSS[Date],BE$5)</f>
        <v>9984</v>
      </c>
      <c r="BF34" s="289">
        <f>SUMIFS(PBC_PROFIT_AND_LOSS[AccountBalance], PBC_PROFIT_AND_LOSS[Id],$L34,PBC_PROFIT_AND_LOSS[Date],BF$5)</f>
        <v>12002</v>
      </c>
      <c r="BG34" s="289">
        <f>SUMIFS(PBC_PROFIT_AND_LOSS[AccountBalance], PBC_PROFIT_AND_LOSS[Id],$L34,PBC_PROFIT_AND_LOSS[Date],BG$5)</f>
        <v>12602</v>
      </c>
      <c r="BH34" s="289">
        <f>SUMIFS(PBC_PROFIT_AND_LOSS[AccountBalance], PBC_PROFIT_AND_LOSS[Id],$L34,PBC_PROFIT_AND_LOSS[Date],BH$5)</f>
        <v>12602</v>
      </c>
      <c r="BI34" s="289">
        <f>SUMIFS(PBC_PROFIT_AND_LOSS[AccountBalance], PBC_PROFIT_AND_LOSS[Id],$L34,PBC_PROFIT_AND_LOSS[Date],BI$5)</f>
        <v>13232</v>
      </c>
      <c r="BJ34" s="289">
        <f>SUMIFS(PBC_PROFIT_AND_LOSS[AccountBalance], PBC_PROFIT_AND_LOSS[Id],$L34,PBC_PROFIT_AND_LOSS[Date],BJ$5)</f>
        <v>13232</v>
      </c>
      <c r="BK34" s="289">
        <f>SUMIFS(PBC_PROFIT_AND_LOSS[AccountBalance], PBC_PROFIT_AND_LOSS[Id],$L34,PBC_PROFIT_AND_LOSS[Date],BK$5)</f>
        <v>13893</v>
      </c>
      <c r="BL34" s="289">
        <f>SUMIFS(PBC_PROFIT_AND_LOSS[AccountBalance], PBC_PROFIT_AND_LOSS[Id],$L34,PBC_PROFIT_AND_LOSS[Date],BL$5)</f>
        <v>14588</v>
      </c>
      <c r="BM34" s="289">
        <f>SUMIFS(PBC_PROFIT_AND_LOSS[AccountBalance], PBC_PROFIT_AND_LOSS[Id],$L34,PBC_PROFIT_AND_LOSS[Date],BM$5)</f>
        <v>15317.51</v>
      </c>
      <c r="BN34" s="289">
        <f>SUMIFS(PBC_PROFIT_AND_LOSS[AccountBalance], PBC_PROFIT_AND_LOSS[Id],$L34,PBC_PROFIT_AND_LOSS[Date],BN$5)</f>
        <v>16083</v>
      </c>
      <c r="BO34" s="289">
        <f>SUMIFS(PBC_PROFIT_AND_LOSS[AccountBalance], PBC_PROFIT_AND_LOSS[Id],$L34,PBC_PROFIT_AND_LOSS[Date],BO$5)</f>
        <v>16888</v>
      </c>
      <c r="BP34" s="289">
        <f>SUMIFS(PBC_PROFIT_AND_LOSS[AccountBalance], PBC_PROFIT_AND_LOSS[Id],$L34,PBC_PROFIT_AND_LOSS[Date],BP$5)</f>
        <v>17732</v>
      </c>
      <c r="BQ34" s="289">
        <f>SUMIFS(PBC_PROFIT_AND_LOSS[AccountBalance], PBC_PROFIT_AND_LOSS[Id],$L34,PBC_PROFIT_AND_LOSS[Date],BQ$5)</f>
        <v>18619</v>
      </c>
      <c r="BR34" s="289">
        <f>SUMIFS(PBC_PROFIT_AND_LOSS[AccountBalance], PBC_PROFIT_AND_LOSS[Id],$L34,PBC_PROFIT_AND_LOSS[Date],BR$5)</f>
        <v>19549.45</v>
      </c>
      <c r="BS34" s="289">
        <f>SUMIFS(PBC_PROFIT_AND_LOSS[AccountBalance], PBC_PROFIT_AND_LOSS[Id],$L34,PBC_PROFIT_AND_LOSS[Date],BS$5)</f>
        <v>20526.93</v>
      </c>
      <c r="BT34" s="289">
        <f>SUMIFS(PBC_PROFIT_AND_LOSS[AccountBalance], PBC_PROFIT_AND_LOSS[Id],$L34,PBC_PROFIT_AND_LOSS[Date],BT$5)</f>
        <v>21553.27</v>
      </c>
      <c r="BU34" s="289">
        <f>SUMIFS(PBC_PROFIT_AND_LOSS[AccountBalance], PBC_PROFIT_AND_LOSS[Id],$L34,PBC_PROFIT_AND_LOSS[Date],BU$5)</f>
        <v>22630.94</v>
      </c>
      <c r="BV34" s="289">
        <f>SUMIFS(PBC_PROFIT_AND_LOSS[AccountBalance], PBC_PROFIT_AND_LOSS[Id],$L34,PBC_PROFIT_AND_LOSS[Date],BV$5)</f>
        <v>23762.48</v>
      </c>
      <c r="BW34" s="289">
        <f>SUMIFS(PBC_PROFIT_AND_LOSS[AccountBalance], PBC_PROFIT_AND_LOSS[Id],$L34,PBC_PROFIT_AND_LOSS[Date],BW$5)</f>
        <v>24950.61</v>
      </c>
      <c r="BX34" s="335" cm="1">
        <f t="array" ref="BX34">_xlfn.SWITCH(
    $E34,
    "3 month avg", AVERAGE(BU34:BW34) * (1 + $F34),
    "6 month avg", AVERAGE(BR34:BW34) * (1 + $F34),
    "12 month avg", AVERAGE(BM34:BW34) * (1 + $F34),
    "Prior Month",BW34* (1 + $F34),
    "Prior Year", BL34* (1 + $F34),
    "Monthly assumption",$G34* (1 + $F34),
    "Quarterly assumption",$G34/3* (1 + $F34),
    "Annual assumption",$G34/12* (1 + $F34),
    "% of Revenue",SUM(_xlfn._xlws.FILTER(_xlfn._xlws.FILTER(dataSummaryPL,dataSummaryPLSections="Revenue"),(startDates&gt;=BX$4)*(endDates&lt;=BX$5)))*$F34,
    "Custom",0,
    "0",0,
        0
)</f>
        <v>23270.394</v>
      </c>
      <c r="BY34" s="335" cm="1">
        <f t="array" ref="BY34">_xlfn.SWITCH(
    $E34,
    "3 month avg", AVERAGE(BV34:BX34) * (1 + $F34),
    "6 month avg", AVERAGE(BS34:BX34) * (1 + $F34),
    "12 month avg", AVERAGE(BN34:BX34) * (1 + $F34),
    "Prior Month",BX34* (1 + $F34),
    "Prior Year", BM34* (1 + $F34),
    "Monthly assumption",$G34* (1 + $F34),
    "Quarterly assumption",$G34/3* (1 + $F34),
    "Annual assumption",$G34/12* (1 + $F34),
    "% of Revenue",SUM(_xlfn._xlws.FILTER(_xlfn._xlws.FILTER(dataSummaryPL,dataSummaryPLSections="Revenue"),(startDates&gt;=BY$4)*(endDates&lt;=BY$5)))*$F34,
    "Custom",0,
    "0",0,
        0
)</f>
        <v>23921.559200000003</v>
      </c>
      <c r="BZ34" s="335" cm="1">
        <f t="array" ref="BZ34">_xlfn.SWITCH(
    $E34,
    "3 month avg", AVERAGE(BW34:BY34) * (1 + $F34),
    "6 month avg", AVERAGE(BT34:BY34) * (1 + $F34),
    "12 month avg", AVERAGE(BO34:BY34) * (1 + $F34),
    "Prior Month",BY34* (1 + $F34),
    "Prior Year", BN34* (1 + $F34),
    "Monthly assumption",$G34* (1 + $F34),
    "Quarterly assumption",$G34/3* (1 + $F34),
    "Annual assumption",$G34/12* (1 + $F34),
    "% of Revenue",SUM(_xlfn._xlws.FILTER(_xlfn._xlws.FILTER(dataSummaryPL,dataSummaryPLSections="Revenue"),(startDates&gt;=BZ$4)*(endDates&lt;=BZ$5)))*$F34,
    "Custom",0,
    "0",0,
        0
)</f>
        <v>24515.619310000002</v>
      </c>
      <c r="CA34" s="335" cm="1">
        <f t="array" ref="CA34">_xlfn.SWITCH(
    $E34,
    "3 month avg", AVERAGE(BX34:BZ34) * (1 + $F34),
    "6 month avg", AVERAGE(BU34:BZ34) * (1 + $F34),
    "12 month avg", AVERAGE(BP34:BZ34) * (1 + $F34),
    "Prior Month",BZ34* (1 + $F34),
    "Prior Year", BO34* (1 + $F34),
    "Monthly assumption",$G34* (1 + $F34),
    "Quarterly assumption",$G34/3* (1 + $F34),
    "Annual assumption",$G34/12* (1 + $F34),
    "% of Revenue",SUM(_xlfn._xlws.FILTER(_xlfn._xlws.FILTER(dataSummaryPL,dataSummaryPLSections="Revenue"),(startDates&gt;=CA$4)*(endDates&lt;=CA$5)))*$F34,
    "Custom",0,
    "0",0,
        0
)</f>
        <v>25034.03043925</v>
      </c>
      <c r="CB34" s="335" cm="1">
        <f t="array" ref="CB34">_xlfn.SWITCH(
    $E34,
    "3 month avg", AVERAGE(BY34:CA34) * (1 + $F34),
    "6 month avg", AVERAGE(BV34:CA34) * (1 + $F34),
    "12 month avg", AVERAGE(BQ34:CA34) * (1 + $F34),
    "Prior Month",CA34* (1 + $F34),
    "Prior Year", BP34* (1 + $F34),
    "Monthly assumption",$G34* (1 + $F34),
    "Quarterly assumption",$G34/3* (1 + $F34),
    "Annual assumption",$G34/12* (1 + $F34),
    "% of Revenue",SUM(_xlfn._xlws.FILTER(_xlfn._xlws.FILTER(dataSummaryPL,dataSummaryPLSections="Revenue"),(startDates&gt;=CB$4)*(endDates&lt;=CB$5)))*$F34,
    "Custom",0,
    "0",0,
        0
)</f>
        <v>25454.57126611875</v>
      </c>
      <c r="CC34" s="335" cm="1">
        <f t="array" ref="CC34">_xlfn.SWITCH(
    $E34,
    "3 month avg", AVERAGE(BZ34:CB34) * (1 + $F34),
    "6 month avg", AVERAGE(BW34:CB34) * (1 + $F34),
    "12 month avg", AVERAGE(BR34:CB34) * (1 + $F34),
    "Prior Month",CB34* (1 + $F34),
    "Prior Year", BQ34* (1 + $F34),
    "Monthly assumption",$G34* (1 + $F34),
    "Quarterly assumption",$G34/3* (1 + $F34),
    "Annual assumption",$G34/12* (1 + $F34),
    "% of Revenue",SUM(_xlfn._xlws.FILTER(_xlfn._xlws.FILTER(dataSummaryPL,dataSummaryPLSections="Revenue"),(startDates&gt;=CC$4)*(endDates&lt;=CC$5)))*$F34,
    "Custom",0,
    "0",0,
        0
)</f>
        <v>25750.687237689534</v>
      </c>
      <c r="CD34" s="335" cm="1">
        <f t="array" ref="CD34">_xlfn.SWITCH(
    $E34,
    "3 month avg", AVERAGE(CA34:CC34) * (1 + $F34),
    "6 month avg", AVERAGE(BX34:CC34) * (1 + $F34),
    "12 month avg", AVERAGE(BS34:CC34) * (1 + $F34),
    "Prior Month",CC34* (1 + $F34),
    "Prior Year", BR34* (1 + $F34),
    "Monthly assumption",$G34* (1 + $F34),
    "Quarterly assumption",$G34/3* (1 + $F34),
    "Annual assumption",$G34/12* (1 + $F34),
    "% of Revenue",SUM(_xlfn._xlws.FILTER(_xlfn._xlws.FILTER(dataSummaryPL,dataSummaryPLSections="Revenue"),(startDates&gt;=CD$4)*(endDates&lt;=CD$5)))*$F34,
    "Custom",0,
    "0",0,
        0
)</f>
        <v>25890.700754285201</v>
      </c>
      <c r="CE34" s="335" cm="1">
        <f t="array" ref="CE34">_xlfn.SWITCH(
    $E34,
    "3 month avg", AVERAGE(CB34:CD34) * (1 + $F34),
    "6 month avg", AVERAGE(BY34:CD34) * (1 + $F34),
    "12 month avg", AVERAGE(BT34:CD34) * (1 + $F34),
    "Prior Month",CD34* (1 + $F34),
    "Prior Year", BS34* (1 + $F34),
    "Monthly assumption",$G34* (1 + $F34),
    "Quarterly assumption",$G34/3* (1 + $F34),
    "Annual assumption",$G34/12* (1 + $F34),
    "% of Revenue",SUM(_xlfn._xlws.FILTER(_xlfn._xlws.FILTER(dataSummaryPL,dataSummaryPLSections="Revenue"),(startDates&gt;=CE$4)*(endDates&lt;=CE$5)))*$F34,
    "Custom",0,
    "0",0,
        0
)</f>
        <v>26349.254436285115</v>
      </c>
      <c r="CF34" s="335" cm="1">
        <f t="array" ref="CF34">_xlfn.SWITCH(
    $E34,
    "3 month avg", AVERAGE(CC34:CE34) * (1 + $F34),
    "6 month avg", AVERAGE(BZ34:CE34) * (1 + $F34),
    "12 month avg", AVERAGE(BU34:CE34) * (1 + $F34),
    "Prior Month",CE34* (1 + $F34),
    "Prior Year", BT34* (1 + $F34),
    "Monthly assumption",$G34* (1 + $F34),
    "Quarterly assumption",$G34/3* (1 + $F34),
    "Annual assumption",$G34/12* (1 + $F34),
    "% of Revenue",SUM(_xlfn._xlws.FILTER(_xlfn._xlws.FILTER(dataSummaryPL,dataSummaryPLSections="Revenue"),(startDates&gt;=CF$4)*(endDates&lt;=CF$5)))*$F34,
    "Custom",0,
    "0",0,
        0
)</f>
        <v>26774.10110263501</v>
      </c>
      <c r="CG34" s="335" cm="1">
        <f t="array" ref="CG34">_xlfn.SWITCH(
    $E34,
    "3 month avg", AVERAGE(CD34:CF34) * (1 + $F34),
    "6 month avg", AVERAGE(CA34:CF34) * (1 + $F34),
    "12 month avg", AVERAGE(BV34:CF34) * (1 + $F34),
    "Prior Month",CF34* (1 + $F34),
    "Prior Year", BU34* (1 + $F34),
    "Monthly assumption",$G34* (1 + $F34),
    "Quarterly assumption",$G34/3* (1 + $F34),
    "Annual assumption",$G34/12* (1 + $F34),
    "% of Revenue",SUM(_xlfn._xlws.FILTER(_xlfn._xlws.FILTER(dataSummaryPL,dataSummaryPLSections="Revenue"),(startDates&gt;=CG$4)*(endDates&lt;=CG$5)))*$F34,
    "Custom",0,
    "0",0,
        0
)</f>
        <v>27169.335416346134</v>
      </c>
      <c r="CH34" s="335" cm="1">
        <f t="array" ref="CH34">_xlfn.SWITCH(
    $E34,
    "3 month avg", AVERAGE(CE34:CG34) * (1 + $F34),
    "6 month avg", AVERAGE(CB34:CG34) * (1 + $F34),
    "12 month avg", AVERAGE(BW34:CG34) * (1 + $F34),
    "Prior Month",CG34* (1 + $F34),
    "Prior Year", BV34* (1 + $F34),
    "Monthly assumption",$G34* (1 + $F34),
    "Quarterly assumption",$G34/3* (1 + $F34),
    "Annual assumption",$G34/12* (1 + $F34),
    "% of Revenue",SUM(_xlfn._xlws.FILTER(_xlfn._xlws.FILTER(dataSummaryPL,dataSummaryPLSections="Revenue"),(startDates&gt;=CH$4)*(endDates&lt;=CH$5)))*$F34,
    "Custom",0,
    "0",0,
        0
)</f>
        <v>27543.013787337957</v>
      </c>
      <c r="CI34" s="335" cm="1">
        <f t="array" ref="CI34">_xlfn.SWITCH(
    $E34,
    "3 month avg", AVERAGE(CF34:CH34) * (1 + $F34),
    "6 month avg", AVERAGE(CC34:CH34) * (1 + $F34),
    "12 month avg", AVERAGE(BX34:CH34) * (1 + $F34),
    "Prior Month",CH34* (1 + $F34),
    "Prior Year", BW34* (1 + $F34),
    "Monthly assumption",$G34* (1 + $F34),
    "Quarterly assumption",$G34/3* (1 + $F34),
    "Annual assumption",$G34/12* (1 + $F34),
    "% of Revenue",SUM(_xlfn._xlws.FILTER(_xlfn._xlws.FILTER(dataSummaryPL,dataSummaryPLSections="Revenue"),(startDates&gt;=CI$4)*(endDates&lt;=CI$5)))*$F34,
    "Custom",0,
    "0",0,
        0
)</f>
        <v>27908.49122855132</v>
      </c>
      <c r="CJ34" s="335" cm="1">
        <f t="array" ref="CJ34">_xlfn.SWITCH(
    $E34,
    "3 month avg", AVERAGE(CG34:CI34) * (1 + $F34),
    "6 month avg", AVERAGE(CD34:CI34) * (1 + $F34),
    "12 month avg", AVERAGE(BY34:CI34) * (1 + $F34),
    "Prior Month",CI34* (1 + $F34),
    "Prior Year", BX34* (1 + $F34),
    "Monthly assumption",$G34* (1 + $F34),
    "Quarterly assumption",$G34/3* (1 + $F34),
    "Annual assumption",$G34/12* (1 + $F34),
    "% of Revenue",SUM(_xlfn._xlws.FILTER(_xlfn._xlws.FILTER(dataSummaryPL,dataSummaryPLSections="Revenue"),(startDates&gt;=CJ$4)*(endDates&lt;=CJ$5)))*$F34,
    "Custom",0,
    "0",0,
        0
)</f>
        <v>28286.106926952132</v>
      </c>
    </row>
    <row r="35" spans="3:88" outlineLevel="2">
      <c r="C35" s="283"/>
      <c r="D35" s="288" t="s">
        <v>251</v>
      </c>
      <c r="E35" s="280" t="s">
        <v>354</v>
      </c>
      <c r="F35" s="332">
        <v>0.05</v>
      </c>
      <c r="G35" s="332"/>
      <c r="H35" s="277" t="str">
        <f>IFERROR(INDEX(PBC_ACCOUNT_LIST[Drivers Section],MATCH(Drivers!L35,PBC_ACCOUNT_LIST[Id],0)),"")</f>
        <v>Opex</v>
      </c>
      <c r="I35" s="277" t="str">
        <f>IFERROR(INDEX(PBC_ACCOUNT_LIST[Summary Grouping],MATCH(Drivers!L35,PBC_ACCOUNT_LIST[Id],0)),"")</f>
        <v>G&amp;A</v>
      </c>
      <c r="J35" s="277">
        <f>IFERROR(INDEX(PBC_ACCOUNT_LIST[Cash Flow Section],MATCH(Drivers!L35,PBC_ACCOUNT_LIST[Id],0)),"")</f>
        <v>0</v>
      </c>
      <c r="K35" s="278" t="s">
        <v>106</v>
      </c>
      <c r="L35" s="277">
        <v>203</v>
      </c>
      <c r="M35" s="276"/>
      <c r="O35" s="272"/>
      <c r="P35" s="289">
        <f t="shared" si="44"/>
        <v>6238.5</v>
      </c>
      <c r="Q35" s="289">
        <f t="shared" si="44"/>
        <v>17607</v>
      </c>
      <c r="R35" s="289">
        <f t="shared" si="44"/>
        <v>31696.97625</v>
      </c>
      <c r="S35" s="289">
        <f t="shared" si="44"/>
        <v>41398.229343008315</v>
      </c>
      <c r="T35" s="289"/>
      <c r="U35" s="289"/>
      <c r="V35" s="289">
        <f t="shared" si="45"/>
        <v>1087</v>
      </c>
      <c r="W35" s="289">
        <f t="shared" si="45"/>
        <v>1206</v>
      </c>
      <c r="X35" s="289">
        <f t="shared" si="45"/>
        <v>1335.5</v>
      </c>
      <c r="Y35" s="289">
        <f t="shared" si="45"/>
        <v>2610</v>
      </c>
      <c r="Z35" s="289">
        <f t="shared" si="45"/>
        <v>3088</v>
      </c>
      <c r="AA35" s="289">
        <f t="shared" si="45"/>
        <v>3973</v>
      </c>
      <c r="AB35" s="289">
        <f t="shared" si="45"/>
        <v>5057</v>
      </c>
      <c r="AC35" s="289">
        <f t="shared" si="45"/>
        <v>5489</v>
      </c>
      <c r="AD35" s="289">
        <f t="shared" si="45"/>
        <v>6353.65</v>
      </c>
      <c r="AE35" s="289">
        <f t="shared" si="45"/>
        <v>7355.5300000000007</v>
      </c>
      <c r="AF35" s="289">
        <f t="shared" si="45"/>
        <v>8515.41</v>
      </c>
      <c r="AG35" s="289">
        <f t="shared" si="45"/>
        <v>9472.3862499999996</v>
      </c>
      <c r="AH35" s="289">
        <f t="shared" si="45"/>
        <v>9668.1576322460951</v>
      </c>
      <c r="AI35" s="289">
        <f t="shared" si="45"/>
        <v>10145.142628479472</v>
      </c>
      <c r="AJ35" s="289">
        <f t="shared" si="45"/>
        <v>10565.804057896474</v>
      </c>
      <c r="AK35" s="289">
        <f t="shared" si="45"/>
        <v>11019.125024386274</v>
      </c>
      <c r="AL35" s="333"/>
      <c r="AM35" s="334"/>
      <c r="AN35" s="289">
        <f>SUMIFS(PBC_PROFIT_AND_LOSS[AccountBalance], PBC_PROFIT_AND_LOSS[Id],$L35,PBC_PROFIT_AND_LOSS[Date],AN$5)</f>
        <v>0</v>
      </c>
      <c r="AO35" s="289">
        <f>SUMIFS(PBC_PROFIT_AND_LOSS[AccountBalance], PBC_PROFIT_AND_LOSS[Id],$L35,PBC_PROFIT_AND_LOSS[Date],AO$5)</f>
        <v>350</v>
      </c>
      <c r="AP35" s="289">
        <f>SUMIFS(PBC_PROFIT_AND_LOSS[AccountBalance], PBC_PROFIT_AND_LOSS[Id],$L35,PBC_PROFIT_AND_LOSS[Date],AP$5)</f>
        <v>362</v>
      </c>
      <c r="AQ35" s="289">
        <f>SUMIFS(PBC_PROFIT_AND_LOSS[AccountBalance], PBC_PROFIT_AND_LOSS[Id],$L35,PBC_PROFIT_AND_LOSS[Date],AQ$5)</f>
        <v>375</v>
      </c>
      <c r="AR35" s="289">
        <f>SUMIFS(PBC_PROFIT_AND_LOSS[AccountBalance], PBC_PROFIT_AND_LOSS[Id],$L35,PBC_PROFIT_AND_LOSS[Date],AR$5)</f>
        <v>388</v>
      </c>
      <c r="AS35" s="289">
        <f>SUMIFS(PBC_PROFIT_AND_LOSS[AccountBalance], PBC_PROFIT_AND_LOSS[Id],$L35,PBC_PROFIT_AND_LOSS[Date],AS$5)</f>
        <v>402</v>
      </c>
      <c r="AT35" s="289">
        <f>SUMIFS(PBC_PROFIT_AND_LOSS[AccountBalance], PBC_PROFIT_AND_LOSS[Id],$L35,PBC_PROFIT_AND_LOSS[Date],AT$5)</f>
        <v>416</v>
      </c>
      <c r="AU35" s="289">
        <f>SUMIFS(PBC_PROFIT_AND_LOSS[AccountBalance], PBC_PROFIT_AND_LOSS[Id],$L35,PBC_PROFIT_AND_LOSS[Date],AU$5)</f>
        <v>430</v>
      </c>
      <c r="AV35" s="289">
        <f>SUMIFS(PBC_PROFIT_AND_LOSS[AccountBalance], PBC_PROFIT_AND_LOSS[Id],$L35,PBC_PROFIT_AND_LOSS[Date],AV$5)</f>
        <v>445</v>
      </c>
      <c r="AW35" s="289">
        <f>SUMIFS(PBC_PROFIT_AND_LOSS[AccountBalance], PBC_PROFIT_AND_LOSS[Id],$L35,PBC_PROFIT_AND_LOSS[Date],AW$5)</f>
        <v>460.5</v>
      </c>
      <c r="AX35" s="289">
        <f>SUMIFS(PBC_PROFIT_AND_LOSS[AccountBalance], PBC_PROFIT_AND_LOSS[Id],$L35,PBC_PROFIT_AND_LOSS[Date],AX$5)</f>
        <v>477</v>
      </c>
      <c r="AY35" s="289">
        <f>SUMIFS(PBC_PROFIT_AND_LOSS[AccountBalance], PBC_PROFIT_AND_LOSS[Id],$L35,PBC_PROFIT_AND_LOSS[Date],AY$5)</f>
        <v>769</v>
      </c>
      <c r="AZ35" s="289">
        <f>SUMIFS(PBC_PROFIT_AND_LOSS[AccountBalance], PBC_PROFIT_AND_LOSS[Id],$L35,PBC_PROFIT_AND_LOSS[Date],AZ$5)</f>
        <v>1364</v>
      </c>
      <c r="BA35" s="289">
        <f>SUMIFS(PBC_PROFIT_AND_LOSS[AccountBalance], PBC_PROFIT_AND_LOSS[Id],$L35,PBC_PROFIT_AND_LOSS[Date],BA$5)</f>
        <v>808</v>
      </c>
      <c r="BB35" s="289">
        <f>SUMIFS(PBC_PROFIT_AND_LOSS[AccountBalance], PBC_PROFIT_AND_LOSS[Id],$L35,PBC_PROFIT_AND_LOSS[Date],BB$5)</f>
        <v>1432</v>
      </c>
      <c r="BC35" s="289">
        <f>SUMIFS(PBC_PROFIT_AND_LOSS[AccountBalance], PBC_PROFIT_AND_LOSS[Id],$L35,PBC_PROFIT_AND_LOSS[Date],BC$5)</f>
        <v>848</v>
      </c>
      <c r="BD35" s="289">
        <f>SUMIFS(PBC_PROFIT_AND_LOSS[AccountBalance], PBC_PROFIT_AND_LOSS[Id],$L35,PBC_PROFIT_AND_LOSS[Date],BD$5)</f>
        <v>1504</v>
      </c>
      <c r="BE35" s="289">
        <f>SUMIFS(PBC_PROFIT_AND_LOSS[AccountBalance], PBC_PROFIT_AND_LOSS[Id],$L35,PBC_PROFIT_AND_LOSS[Date],BE$5)</f>
        <v>890</v>
      </c>
      <c r="BF35" s="289">
        <f>SUMIFS(PBC_PROFIT_AND_LOSS[AccountBalance], PBC_PROFIT_AND_LOSS[Id],$L35,PBC_PROFIT_AND_LOSS[Date],BF$5)</f>
        <v>1579</v>
      </c>
      <c r="BG35" s="289">
        <f>SUMIFS(PBC_PROFIT_AND_LOSS[AccountBalance], PBC_PROFIT_AND_LOSS[Id],$L35,PBC_PROFIT_AND_LOSS[Date],BG$5)</f>
        <v>1658</v>
      </c>
      <c r="BH35" s="289">
        <f>SUMIFS(PBC_PROFIT_AND_LOSS[AccountBalance], PBC_PROFIT_AND_LOSS[Id],$L35,PBC_PROFIT_AND_LOSS[Date],BH$5)</f>
        <v>1658</v>
      </c>
      <c r="BI35" s="289">
        <f>SUMIFS(PBC_PROFIT_AND_LOSS[AccountBalance], PBC_PROFIT_AND_LOSS[Id],$L35,PBC_PROFIT_AND_LOSS[Date],BI$5)</f>
        <v>1741</v>
      </c>
      <c r="BJ35" s="289">
        <f>SUMIFS(PBC_PROFIT_AND_LOSS[AccountBalance], PBC_PROFIT_AND_LOSS[Id],$L35,PBC_PROFIT_AND_LOSS[Date],BJ$5)</f>
        <v>1741</v>
      </c>
      <c r="BK35" s="289">
        <f>SUMIFS(PBC_PROFIT_AND_LOSS[AccountBalance], PBC_PROFIT_AND_LOSS[Id],$L35,PBC_PROFIT_AND_LOSS[Date],BK$5)</f>
        <v>1828</v>
      </c>
      <c r="BL35" s="289">
        <f>SUMIFS(PBC_PROFIT_AND_LOSS[AccountBalance], PBC_PROFIT_AND_LOSS[Id],$L35,PBC_PROFIT_AND_LOSS[Date],BL$5)</f>
        <v>1920</v>
      </c>
      <c r="BM35" s="289">
        <f>SUMIFS(PBC_PROFIT_AND_LOSS[AccountBalance], PBC_PROFIT_AND_LOSS[Id],$L35,PBC_PROFIT_AND_LOSS[Date],BM$5)</f>
        <v>2015.65</v>
      </c>
      <c r="BN35" s="289">
        <f>SUMIFS(PBC_PROFIT_AND_LOSS[AccountBalance], PBC_PROFIT_AND_LOSS[Id],$L35,PBC_PROFIT_AND_LOSS[Date],BN$5)</f>
        <v>2116</v>
      </c>
      <c r="BO35" s="289">
        <f>SUMIFS(PBC_PROFIT_AND_LOSS[AccountBalance], PBC_PROFIT_AND_LOSS[Id],$L35,PBC_PROFIT_AND_LOSS[Date],BO$5)</f>
        <v>2222</v>
      </c>
      <c r="BP35" s="289">
        <f>SUMIFS(PBC_PROFIT_AND_LOSS[AccountBalance], PBC_PROFIT_AND_LOSS[Id],$L35,PBC_PROFIT_AND_LOSS[Date],BP$5)</f>
        <v>2333</v>
      </c>
      <c r="BQ35" s="289">
        <f>SUMIFS(PBC_PROFIT_AND_LOSS[AccountBalance], PBC_PROFIT_AND_LOSS[Id],$L35,PBC_PROFIT_AND_LOSS[Date],BQ$5)</f>
        <v>2450</v>
      </c>
      <c r="BR35" s="289">
        <f>SUMIFS(PBC_PROFIT_AND_LOSS[AccountBalance], PBC_PROFIT_AND_LOSS[Id],$L35,PBC_PROFIT_AND_LOSS[Date],BR$5)</f>
        <v>2572.5300000000002</v>
      </c>
      <c r="BS35" s="289">
        <f>SUMIFS(PBC_PROFIT_AND_LOSS[AccountBalance], PBC_PROFIT_AND_LOSS[Id],$L35,PBC_PROFIT_AND_LOSS[Date],BS$5)</f>
        <v>2701.16</v>
      </c>
      <c r="BT35" s="289">
        <f>SUMIFS(PBC_PROFIT_AND_LOSS[AccountBalance], PBC_PROFIT_AND_LOSS[Id],$L35,PBC_PROFIT_AND_LOSS[Date],BT$5)</f>
        <v>2836.22</v>
      </c>
      <c r="BU35" s="289">
        <f>SUMIFS(PBC_PROFIT_AND_LOSS[AccountBalance], PBC_PROFIT_AND_LOSS[Id],$L35,PBC_PROFIT_AND_LOSS[Date],BU$5)</f>
        <v>2978.03</v>
      </c>
      <c r="BV35" s="289">
        <f>SUMIFS(PBC_PROFIT_AND_LOSS[AccountBalance], PBC_PROFIT_AND_LOSS[Id],$L35,PBC_PROFIT_AND_LOSS[Date],BV$5)</f>
        <v>3126.93</v>
      </c>
      <c r="BW35" s="289">
        <f>SUMIFS(PBC_PROFIT_AND_LOSS[AccountBalance], PBC_PROFIT_AND_LOSS[Id],$L35,PBC_PROFIT_AND_LOSS[Date],BW$5)</f>
        <v>3283.28</v>
      </c>
      <c r="BX35" s="335" cm="1">
        <f t="array" ref="BX35">_xlfn.SWITCH(
    $E35,
    "3 month avg", AVERAGE(BU35:BW35) * (1 + $F35),
    "6 month avg", AVERAGE(BR35:BW35) * (1 + $F35),
    "12 month avg", AVERAGE(BM35:BW35) * (1 + $F35),
    "Prior Month",BW35* (1 + $F35),
    "Prior Year", BL35* (1 + $F35),
    "Monthly assumption",$G35* (1 + $F35),
    "Quarterly assumption",$G35/3* (1 + $F35),
    "Annual assumption",$G35/12* (1 + $F35),
    "% of Revenue",SUM(_xlfn._xlws.FILTER(_xlfn._xlws.FILTER(dataSummaryPL,dataSummaryPLSections="Revenue"),(startDates&gt;=BX$4)*(endDates&lt;=BX$5)))*$F35,
    "Custom",0,
    "0",0,
        0
)</f>
        <v>3062.1762500000004</v>
      </c>
      <c r="BY35" s="335" cm="1">
        <f t="array" ref="BY35">_xlfn.SWITCH(
    $E35,
    "3 month avg", AVERAGE(BV35:BX35) * (1 + $F35),
    "6 month avg", AVERAGE(BS35:BX35) * (1 + $F35),
    "12 month avg", AVERAGE(BN35:BX35) * (1 + $F35),
    "Prior Month",BX35* (1 + $F35),
    "Prior Year", BM35* (1 + $F35),
    "Monthly assumption",$G35* (1 + $F35),
    "Quarterly assumption",$G35/3* (1 + $F35),
    "Annual assumption",$G35/12* (1 + $F35),
    "% of Revenue",SUM(_xlfn._xlws.FILTER(_xlfn._xlws.FILTER(dataSummaryPL,dataSummaryPLSections="Revenue"),(startDates&gt;=BY$4)*(endDates&lt;=BY$5)))*$F35,
    "Custom",0,
    "0",0,
        0
)</f>
        <v>3147.86434375</v>
      </c>
      <c r="BZ35" s="335" cm="1">
        <f t="array" ref="BZ35">_xlfn.SWITCH(
    $E35,
    "3 month avg", AVERAGE(BW35:BY35) * (1 + $F35),
    "6 month avg", AVERAGE(BT35:BY35) * (1 + $F35),
    "12 month avg", AVERAGE(BO35:BY35) * (1 + $F35),
    "Prior Month",BY35* (1 + $F35),
    "Prior Year", BN35* (1 + $F35),
    "Monthly assumption",$G35* (1 + $F35),
    "Quarterly assumption",$G35/3* (1 + $F35),
    "Annual assumption",$G35/12* (1 + $F35),
    "% of Revenue",SUM(_xlfn._xlws.FILTER(_xlfn._xlws.FILTER(dataSummaryPL,dataSummaryPLSections="Revenue"),(startDates&gt;=BZ$4)*(endDates&lt;=BZ$5)))*$F35,
    "Custom",0,
    "0",0,
        0
)</f>
        <v>3226.0376039062508</v>
      </c>
      <c r="CA35" s="335" cm="1">
        <f t="array" ref="CA35">_xlfn.SWITCH(
    $E35,
    "3 month avg", AVERAGE(BX35:BZ35) * (1 + $F35),
    "6 month avg", AVERAGE(BU35:BZ35) * (1 + $F35),
    "12 month avg", AVERAGE(BP35:BZ35) * (1 + $F35),
    "Prior Month",BZ35* (1 + $F35),
    "Prior Year", BO35* (1 + $F35),
    "Monthly assumption",$G35* (1 + $F35),
    "Quarterly assumption",$G35/3* (1 + $F35),
    "Annual assumption",$G35/12* (1 + $F35),
    "% of Revenue",SUM(_xlfn._xlws.FILTER(_xlfn._xlws.FILTER(dataSummaryPL,dataSummaryPLSections="Revenue"),(startDates&gt;=CA$4)*(endDates&lt;=CA$5)))*$F35,
    "Custom",0,
    "0",0,
        0
)</f>
        <v>3294.2556845898439</v>
      </c>
      <c r="CB35" s="335" cm="1">
        <f t="array" ref="CB35">_xlfn.SWITCH(
    $E35,
    "3 month avg", AVERAGE(BY35:CA35) * (1 + $F35),
    "6 month avg", AVERAGE(BV35:CA35) * (1 + $F35),
    "12 month avg", AVERAGE(BQ35:CA35) * (1 + $F35),
    "Prior Month",CA35* (1 + $F35),
    "Prior Year", BP35* (1 + $F35),
    "Monthly assumption",$G35* (1 + $F35),
    "Quarterly assumption",$G35/3* (1 + $F35),
    "Annual assumption",$G35/12* (1 + $F35),
    "% of Revenue",SUM(_xlfn._xlws.FILTER(_xlfn._xlws.FILTER(dataSummaryPL,dataSummaryPLSections="Revenue"),(startDates&gt;=CB$4)*(endDates&lt;=CB$5)))*$F35,
    "Custom",0,
    "0",0,
        0
)</f>
        <v>3349.5951793930662</v>
      </c>
      <c r="CC35" s="335" cm="1">
        <f t="array" ref="CC35">_xlfn.SWITCH(
    $E35,
    "3 month avg", AVERAGE(BZ35:CB35) * (1 + $F35),
    "6 month avg", AVERAGE(BW35:CB35) * (1 + $F35),
    "12 month avg", AVERAGE(BR35:CB35) * (1 + $F35),
    "Prior Month",CB35* (1 + $F35),
    "Prior Year", BQ35* (1 + $F35),
    "Monthly assumption",$G35* (1 + $F35),
    "Quarterly assumption",$G35/3* (1 + $F35),
    "Annual assumption",$G35/12* (1 + $F35),
    "% of Revenue",SUM(_xlfn._xlws.FILTER(_xlfn._xlws.FILTER(dataSummaryPL,dataSummaryPLSections="Revenue"),(startDates&gt;=CC$4)*(endDates&lt;=CC$5)))*$F35,
    "Custom",0,
    "0",0,
        0
)</f>
        <v>3388.5615857868534</v>
      </c>
      <c r="CD35" s="335" cm="1">
        <f t="array" ref="CD35">_xlfn.SWITCH(
    $E35,
    "3 month avg", AVERAGE(CA35:CC35) * (1 + $F35),
    "6 month avg", AVERAGE(BX35:CC35) * (1 + $F35),
    "12 month avg", AVERAGE(BS35:CC35) * (1 + $F35),
    "Prior Month",CC35* (1 + $F35),
    "Prior Year", BR35* (1 + $F35),
    "Monthly assumption",$G35* (1 + $F35),
    "Quarterly assumption",$G35/3* (1 + $F35),
    "Annual assumption",$G35/12* (1 + $F35),
    "% of Revenue",SUM(_xlfn._xlws.FILTER(_xlfn._xlws.FILTER(dataSummaryPL,dataSummaryPLSections="Revenue"),(startDates&gt;=CD$4)*(endDates&lt;=CD$5)))*$F35,
    "Custom",0,
    "0",0,
        0
)</f>
        <v>3406.9858632995524</v>
      </c>
      <c r="CE35" s="335" cm="1">
        <f t="array" ref="CE35">_xlfn.SWITCH(
    $E35,
    "3 month avg", AVERAGE(CB35:CD35) * (1 + $F35),
    "6 month avg", AVERAGE(BY35:CD35) * (1 + $F35),
    "12 month avg", AVERAGE(BT35:CD35) * (1 + $F35),
    "Prior Month",CD35* (1 + $F35),
    "Prior Year", BS35* (1 + $F35),
    "Monthly assumption",$G35* (1 + $F35),
    "Quarterly assumption",$G35/3* (1 + $F35),
    "Annual assumption",$G35/12* (1 + $F35),
    "% of Revenue",SUM(_xlfn._xlws.FILTER(_xlfn._xlws.FILTER(dataSummaryPL,dataSummaryPLSections="Revenue"),(startDates&gt;=CE$4)*(endDates&lt;=CE$5)))*$F35,
    "Custom",0,
    "0",0,
        0
)</f>
        <v>3467.3275456269748</v>
      </c>
      <c r="CF35" s="335" cm="1">
        <f t="array" ref="CF35">_xlfn.SWITCH(
    $E35,
    "3 month avg", AVERAGE(CC35:CE35) * (1 + $F35),
    "6 month avg", AVERAGE(BZ35:CE35) * (1 + $F35),
    "12 month avg", AVERAGE(BU35:CE35) * (1 + $F35),
    "Prior Month",CE35* (1 + $F35),
    "Prior Year", BT35* (1 + $F35),
    "Monthly assumption",$G35* (1 + $F35),
    "Quarterly assumption",$G35/3* (1 + $F35),
    "Annual assumption",$G35/12* (1 + $F35),
    "% of Revenue",SUM(_xlfn._xlws.FILTER(_xlfn._xlws.FILTER(dataSummaryPL,dataSummaryPLSections="Revenue"),(startDates&gt;=CF$4)*(endDates&lt;=CF$5)))*$F35,
    "Custom",0,
    "0",0,
        0
)</f>
        <v>3523.2336059554445</v>
      </c>
      <c r="CG35" s="335" cm="1">
        <f t="array" ref="CG35">_xlfn.SWITCH(
    $E35,
    "3 month avg", AVERAGE(CD35:CF35) * (1 + $F35),
    "6 month avg", AVERAGE(CA35:CF35) * (1 + $F35),
    "12 month avg", AVERAGE(BV35:CF35) * (1 + $F35),
    "Prior Month",CF35* (1 + $F35),
    "Prior Year", BU35* (1 + $F35),
    "Monthly assumption",$G35* (1 + $F35),
    "Quarterly assumption",$G35/3* (1 + $F35),
    "Annual assumption",$G35/12* (1 + $F35),
    "% of Revenue",SUM(_xlfn._xlws.FILTER(_xlfn._xlws.FILTER(dataSummaryPL,dataSummaryPLSections="Revenue"),(startDates&gt;=CG$4)*(endDates&lt;=CG$5)))*$F35,
    "Custom",0,
    "0",0,
        0
)</f>
        <v>3575.2429063140539</v>
      </c>
      <c r="CH35" s="335" cm="1">
        <f t="array" ref="CH35">_xlfn.SWITCH(
    $E35,
    "3 month avg", AVERAGE(CE35:CG35) * (1 + $F35),
    "6 month avg", AVERAGE(CB35:CG35) * (1 + $F35),
    "12 month avg", AVERAGE(BW35:CG35) * (1 + $F35),
    "Prior Month",CG35* (1 + $F35),
    "Prior Year", BV35* (1 + $F35),
    "Monthly assumption",$G35* (1 + $F35),
    "Quarterly assumption",$G35/3* (1 + $F35),
    "Annual assumption",$G35/12* (1 + $F35),
    "% of Revenue",SUM(_xlfn._xlws.FILTER(_xlfn._xlws.FILTER(dataSummaryPL,dataSummaryPLSections="Revenue"),(startDates&gt;=CH$4)*(endDates&lt;=CH$5)))*$F35,
    "Custom",0,
    "0",0,
        0
)</f>
        <v>3624.4156701157913</v>
      </c>
      <c r="CI35" s="335" cm="1">
        <f t="array" ref="CI35">_xlfn.SWITCH(
    $E35,
    "3 month avg", AVERAGE(CF35:CH35) * (1 + $F35),
    "6 month avg", AVERAGE(CC35:CH35) * (1 + $F35),
    "12 month avg", AVERAGE(BX35:CH35) * (1 + $F35),
    "Prior Month",CH35* (1 + $F35),
    "Prior Year", BW35* (1 + $F35),
    "Monthly assumption",$G35* (1 + $F35),
    "Quarterly assumption",$G35/3* (1 + $F35),
    "Annual assumption",$G35/12* (1 + $F35),
    "% of Revenue",SUM(_xlfn._xlws.FILTER(_xlfn._xlws.FILTER(dataSummaryPL,dataSummaryPLSections="Revenue"),(startDates&gt;=CI$4)*(endDates&lt;=CI$5)))*$F35,
    "Custom",0,
    "0",0,
        0
)</f>
        <v>3672.5092559922678</v>
      </c>
      <c r="CJ35" s="335" cm="1">
        <f t="array" ref="CJ35">_xlfn.SWITCH(
    $E35,
    "3 month avg", AVERAGE(CG35:CI35) * (1 + $F35),
    "6 month avg", AVERAGE(CD35:CI35) * (1 + $F35),
    "12 month avg", AVERAGE(BY35:CI35) * (1 + $F35),
    "Prior Month",CI35* (1 + $F35),
    "Prior Year", BX35* (1 + $F35),
    "Monthly assumption",$G35* (1 + $F35),
    "Quarterly assumption",$G35/3* (1 + $F35),
    "Annual assumption",$G35/12* (1 + $F35),
    "% of Revenue",SUM(_xlfn._xlws.FILTER(_xlfn._xlws.FILTER(dataSummaryPL,dataSummaryPLSections="Revenue"),(startDates&gt;=CJ$4)*(endDates&lt;=CJ$5)))*$F35,
    "Custom",0,
    "0",0,
        0
)</f>
        <v>3722.2000982782147</v>
      </c>
    </row>
    <row r="36" spans="3:88" outlineLevel="2">
      <c r="C36" s="283"/>
      <c r="D36" s="288" t="s">
        <v>232</v>
      </c>
      <c r="E36" s="280" t="s">
        <v>354</v>
      </c>
      <c r="F36" s="332">
        <v>0.05</v>
      </c>
      <c r="G36" s="332"/>
      <c r="H36" s="277" t="str">
        <f>IFERROR(INDEX(PBC_ACCOUNT_LIST[Drivers Section],MATCH(Drivers!L36,PBC_ACCOUNT_LIST[Id],0)),"")</f>
        <v>Opex</v>
      </c>
      <c r="I36" s="277" t="str">
        <f>IFERROR(INDEX(PBC_ACCOUNT_LIST[Summary Grouping],MATCH(Drivers!L36,PBC_ACCOUNT_LIST[Id],0)),"")</f>
        <v>Professional Services</v>
      </c>
      <c r="J36" s="277">
        <f>IFERROR(INDEX(PBC_ACCOUNT_LIST[Cash Flow Section],MATCH(Drivers!L36,PBC_ACCOUNT_LIST[Id],0)),"")</f>
        <v>0</v>
      </c>
      <c r="K36" s="278" t="s">
        <v>106</v>
      </c>
      <c r="L36" s="277">
        <v>172</v>
      </c>
      <c r="M36" s="276"/>
      <c r="O36" s="272"/>
      <c r="P36" s="289">
        <f t="shared" si="44"/>
        <v>0</v>
      </c>
      <c r="Q36" s="289">
        <f t="shared" si="44"/>
        <v>0</v>
      </c>
      <c r="R36" s="289">
        <f t="shared" si="44"/>
        <v>0</v>
      </c>
      <c r="S36" s="289">
        <f t="shared" si="44"/>
        <v>0</v>
      </c>
      <c r="T36" s="289"/>
      <c r="U36" s="289"/>
      <c r="V36" s="289">
        <f t="shared" si="45"/>
        <v>0</v>
      </c>
      <c r="W36" s="289">
        <f t="shared" si="45"/>
        <v>0</v>
      </c>
      <c r="X36" s="289">
        <f t="shared" si="45"/>
        <v>0</v>
      </c>
      <c r="Y36" s="289">
        <f t="shared" si="45"/>
        <v>0</v>
      </c>
      <c r="Z36" s="289">
        <f t="shared" si="45"/>
        <v>0</v>
      </c>
      <c r="AA36" s="289">
        <f t="shared" si="45"/>
        <v>0</v>
      </c>
      <c r="AB36" s="289">
        <f t="shared" si="45"/>
        <v>0</v>
      </c>
      <c r="AC36" s="289">
        <f t="shared" si="45"/>
        <v>0</v>
      </c>
      <c r="AD36" s="289">
        <f t="shared" si="45"/>
        <v>0</v>
      </c>
      <c r="AE36" s="289">
        <f t="shared" si="45"/>
        <v>0</v>
      </c>
      <c r="AF36" s="289">
        <f t="shared" si="45"/>
        <v>0</v>
      </c>
      <c r="AG36" s="289">
        <f t="shared" si="45"/>
        <v>0</v>
      </c>
      <c r="AH36" s="289">
        <f t="shared" si="45"/>
        <v>0</v>
      </c>
      <c r="AI36" s="289">
        <f t="shared" si="45"/>
        <v>0</v>
      </c>
      <c r="AJ36" s="289">
        <f t="shared" si="45"/>
        <v>0</v>
      </c>
      <c r="AK36" s="289">
        <f t="shared" si="45"/>
        <v>0</v>
      </c>
      <c r="AL36" s="333"/>
      <c r="AM36" s="334"/>
      <c r="AN36" s="289">
        <f>SUMIFS(PBC_PROFIT_AND_LOSS[AccountBalance], PBC_PROFIT_AND_LOSS[Id],$L36,PBC_PROFIT_AND_LOSS[Date],AN$5)</f>
        <v>0</v>
      </c>
      <c r="AO36" s="289">
        <f>SUMIFS(PBC_PROFIT_AND_LOSS[AccountBalance], PBC_PROFIT_AND_LOSS[Id],$L36,PBC_PROFIT_AND_LOSS[Date],AO$5)</f>
        <v>0</v>
      </c>
      <c r="AP36" s="289">
        <f>SUMIFS(PBC_PROFIT_AND_LOSS[AccountBalance], PBC_PROFIT_AND_LOSS[Id],$L36,PBC_PROFIT_AND_LOSS[Date],AP$5)</f>
        <v>0</v>
      </c>
      <c r="AQ36" s="289">
        <f>SUMIFS(PBC_PROFIT_AND_LOSS[AccountBalance], PBC_PROFIT_AND_LOSS[Id],$L36,PBC_PROFIT_AND_LOSS[Date],AQ$5)</f>
        <v>0</v>
      </c>
      <c r="AR36" s="289">
        <f>SUMIFS(PBC_PROFIT_AND_LOSS[AccountBalance], PBC_PROFIT_AND_LOSS[Id],$L36,PBC_PROFIT_AND_LOSS[Date],AR$5)</f>
        <v>0</v>
      </c>
      <c r="AS36" s="289">
        <f>SUMIFS(PBC_PROFIT_AND_LOSS[AccountBalance], PBC_PROFIT_AND_LOSS[Id],$L36,PBC_PROFIT_AND_LOSS[Date],AS$5)</f>
        <v>0</v>
      </c>
      <c r="AT36" s="289">
        <f>SUMIFS(PBC_PROFIT_AND_LOSS[AccountBalance], PBC_PROFIT_AND_LOSS[Id],$L36,PBC_PROFIT_AND_LOSS[Date],AT$5)</f>
        <v>0</v>
      </c>
      <c r="AU36" s="289">
        <f>SUMIFS(PBC_PROFIT_AND_LOSS[AccountBalance], PBC_PROFIT_AND_LOSS[Id],$L36,PBC_PROFIT_AND_LOSS[Date],AU$5)</f>
        <v>0</v>
      </c>
      <c r="AV36" s="289">
        <f>SUMIFS(PBC_PROFIT_AND_LOSS[AccountBalance], PBC_PROFIT_AND_LOSS[Id],$L36,PBC_PROFIT_AND_LOSS[Date],AV$5)</f>
        <v>0</v>
      </c>
      <c r="AW36" s="289">
        <f>SUMIFS(PBC_PROFIT_AND_LOSS[AccountBalance], PBC_PROFIT_AND_LOSS[Id],$L36,PBC_PROFIT_AND_LOSS[Date],AW$5)</f>
        <v>0</v>
      </c>
      <c r="AX36" s="289">
        <f>SUMIFS(PBC_PROFIT_AND_LOSS[AccountBalance], PBC_PROFIT_AND_LOSS[Id],$L36,PBC_PROFIT_AND_LOSS[Date],AX$5)</f>
        <v>0</v>
      </c>
      <c r="AY36" s="289">
        <f>SUMIFS(PBC_PROFIT_AND_LOSS[AccountBalance], PBC_PROFIT_AND_LOSS[Id],$L36,PBC_PROFIT_AND_LOSS[Date],AY$5)</f>
        <v>0</v>
      </c>
      <c r="AZ36" s="289">
        <f>SUMIFS(PBC_PROFIT_AND_LOSS[AccountBalance], PBC_PROFIT_AND_LOSS[Id],$L36,PBC_PROFIT_AND_LOSS[Date],AZ$5)</f>
        <v>0</v>
      </c>
      <c r="BA36" s="289">
        <f>SUMIFS(PBC_PROFIT_AND_LOSS[AccountBalance], PBC_PROFIT_AND_LOSS[Id],$L36,PBC_PROFIT_AND_LOSS[Date],BA$5)</f>
        <v>0</v>
      </c>
      <c r="BB36" s="289">
        <f>SUMIFS(PBC_PROFIT_AND_LOSS[AccountBalance], PBC_PROFIT_AND_LOSS[Id],$L36,PBC_PROFIT_AND_LOSS[Date],BB$5)</f>
        <v>0</v>
      </c>
      <c r="BC36" s="289">
        <f>SUMIFS(PBC_PROFIT_AND_LOSS[AccountBalance], PBC_PROFIT_AND_LOSS[Id],$L36,PBC_PROFIT_AND_LOSS[Date],BC$5)</f>
        <v>0</v>
      </c>
      <c r="BD36" s="289">
        <f>SUMIFS(PBC_PROFIT_AND_LOSS[AccountBalance], PBC_PROFIT_AND_LOSS[Id],$L36,PBC_PROFIT_AND_LOSS[Date],BD$5)</f>
        <v>0</v>
      </c>
      <c r="BE36" s="289">
        <f>SUMIFS(PBC_PROFIT_AND_LOSS[AccountBalance], PBC_PROFIT_AND_LOSS[Id],$L36,PBC_PROFIT_AND_LOSS[Date],BE$5)</f>
        <v>0</v>
      </c>
      <c r="BF36" s="289">
        <f>SUMIFS(PBC_PROFIT_AND_LOSS[AccountBalance], PBC_PROFIT_AND_LOSS[Id],$L36,PBC_PROFIT_AND_LOSS[Date],BF$5)</f>
        <v>0</v>
      </c>
      <c r="BG36" s="289">
        <f>SUMIFS(PBC_PROFIT_AND_LOSS[AccountBalance], PBC_PROFIT_AND_LOSS[Id],$L36,PBC_PROFIT_AND_LOSS[Date],BG$5)</f>
        <v>0</v>
      </c>
      <c r="BH36" s="289">
        <f>SUMIFS(PBC_PROFIT_AND_LOSS[AccountBalance], PBC_PROFIT_AND_LOSS[Id],$L36,PBC_PROFIT_AND_LOSS[Date],BH$5)</f>
        <v>0</v>
      </c>
      <c r="BI36" s="289">
        <f>SUMIFS(PBC_PROFIT_AND_LOSS[AccountBalance], PBC_PROFIT_AND_LOSS[Id],$L36,PBC_PROFIT_AND_LOSS[Date],BI$5)</f>
        <v>0</v>
      </c>
      <c r="BJ36" s="289">
        <f>SUMIFS(PBC_PROFIT_AND_LOSS[AccountBalance], PBC_PROFIT_AND_LOSS[Id],$L36,PBC_PROFIT_AND_LOSS[Date],BJ$5)</f>
        <v>0</v>
      </c>
      <c r="BK36" s="289">
        <f>SUMIFS(PBC_PROFIT_AND_LOSS[AccountBalance], PBC_PROFIT_AND_LOSS[Id],$L36,PBC_PROFIT_AND_LOSS[Date],BK$5)</f>
        <v>0</v>
      </c>
      <c r="BL36" s="289">
        <f>SUMIFS(PBC_PROFIT_AND_LOSS[AccountBalance], PBC_PROFIT_AND_LOSS[Id],$L36,PBC_PROFIT_AND_LOSS[Date],BL$5)</f>
        <v>0</v>
      </c>
      <c r="BM36" s="289">
        <f>SUMIFS(PBC_PROFIT_AND_LOSS[AccountBalance], PBC_PROFIT_AND_LOSS[Id],$L36,PBC_PROFIT_AND_LOSS[Date],BM$5)</f>
        <v>0</v>
      </c>
      <c r="BN36" s="289">
        <f>SUMIFS(PBC_PROFIT_AND_LOSS[AccountBalance], PBC_PROFIT_AND_LOSS[Id],$L36,PBC_PROFIT_AND_LOSS[Date],BN$5)</f>
        <v>0</v>
      </c>
      <c r="BO36" s="289">
        <f>SUMIFS(PBC_PROFIT_AND_LOSS[AccountBalance], PBC_PROFIT_AND_LOSS[Id],$L36,PBC_PROFIT_AND_LOSS[Date],BO$5)</f>
        <v>0</v>
      </c>
      <c r="BP36" s="289">
        <f>SUMIFS(PBC_PROFIT_AND_LOSS[AccountBalance], PBC_PROFIT_AND_LOSS[Id],$L36,PBC_PROFIT_AND_LOSS[Date],BP$5)</f>
        <v>0</v>
      </c>
      <c r="BQ36" s="289">
        <f>SUMIFS(PBC_PROFIT_AND_LOSS[AccountBalance], PBC_PROFIT_AND_LOSS[Id],$L36,PBC_PROFIT_AND_LOSS[Date],BQ$5)</f>
        <v>0</v>
      </c>
      <c r="BR36" s="289">
        <f>SUMIFS(PBC_PROFIT_AND_LOSS[AccountBalance], PBC_PROFIT_AND_LOSS[Id],$L36,PBC_PROFIT_AND_LOSS[Date],BR$5)</f>
        <v>0</v>
      </c>
      <c r="BS36" s="289">
        <f>SUMIFS(PBC_PROFIT_AND_LOSS[AccountBalance], PBC_PROFIT_AND_LOSS[Id],$L36,PBC_PROFIT_AND_LOSS[Date],BS$5)</f>
        <v>0</v>
      </c>
      <c r="BT36" s="289">
        <f>SUMIFS(PBC_PROFIT_AND_LOSS[AccountBalance], PBC_PROFIT_AND_LOSS[Id],$L36,PBC_PROFIT_AND_LOSS[Date],BT$5)</f>
        <v>0</v>
      </c>
      <c r="BU36" s="289">
        <f>SUMIFS(PBC_PROFIT_AND_LOSS[AccountBalance], PBC_PROFIT_AND_LOSS[Id],$L36,PBC_PROFIT_AND_LOSS[Date],BU$5)</f>
        <v>0</v>
      </c>
      <c r="BV36" s="289">
        <f>SUMIFS(PBC_PROFIT_AND_LOSS[AccountBalance], PBC_PROFIT_AND_LOSS[Id],$L36,PBC_PROFIT_AND_LOSS[Date],BV$5)</f>
        <v>0</v>
      </c>
      <c r="BW36" s="289">
        <f>SUMIFS(PBC_PROFIT_AND_LOSS[AccountBalance], PBC_PROFIT_AND_LOSS[Id],$L36,PBC_PROFIT_AND_LOSS[Date],BW$5)</f>
        <v>0</v>
      </c>
      <c r="BX36" s="335" cm="1">
        <f t="array" ref="BX36">_xlfn.SWITCH(
    $E36,
    "3 month avg", AVERAGE(BU36:BW36) * (1 + $F36),
    "6 month avg", AVERAGE(BR36:BW36) * (1 + $F36),
    "12 month avg", AVERAGE(BM36:BW36) * (1 + $F36),
    "Prior Month",BW36* (1 + $F36),
    "Prior Year", BL36* (1 + $F36),
    "Monthly assumption",$G36* (1 + $F36),
    "Quarterly assumption",$G36/3* (1 + $F36),
    "Annual assumption",$G36/12* (1 + $F36),
    "% of Revenue",SUM(_xlfn._xlws.FILTER(_xlfn._xlws.FILTER(dataSummaryPL,dataSummaryPLSections="Revenue"),(startDates&gt;=BX$4)*(endDates&lt;=BX$5)))*$F36,
    "Custom",0,
    "0",0,
        0
)</f>
        <v>0</v>
      </c>
      <c r="BY36" s="335" cm="1">
        <f t="array" ref="BY36">_xlfn.SWITCH(
    $E36,
    "3 month avg", AVERAGE(BV36:BX36) * (1 + $F36),
    "6 month avg", AVERAGE(BS36:BX36) * (1 + $F36),
    "12 month avg", AVERAGE(BN36:BX36) * (1 + $F36),
    "Prior Month",BX36* (1 + $F36),
    "Prior Year", BM36* (1 + $F36),
    "Monthly assumption",$G36* (1 + $F36),
    "Quarterly assumption",$G36/3* (1 + $F36),
    "Annual assumption",$G36/12* (1 + $F36),
    "% of Revenue",SUM(_xlfn._xlws.FILTER(_xlfn._xlws.FILTER(dataSummaryPL,dataSummaryPLSections="Revenue"),(startDates&gt;=BY$4)*(endDates&lt;=BY$5)))*$F36,
    "Custom",0,
    "0",0,
        0
)</f>
        <v>0</v>
      </c>
      <c r="BZ36" s="335" cm="1">
        <f t="array" ref="BZ36">_xlfn.SWITCH(
    $E36,
    "3 month avg", AVERAGE(BW36:BY36) * (1 + $F36),
    "6 month avg", AVERAGE(BT36:BY36) * (1 + $F36),
    "12 month avg", AVERAGE(BO36:BY36) * (1 + $F36),
    "Prior Month",BY36* (1 + $F36),
    "Prior Year", BN36* (1 + $F36),
    "Monthly assumption",$G36* (1 + $F36),
    "Quarterly assumption",$G36/3* (1 + $F36),
    "Annual assumption",$G36/12* (1 + $F36),
    "% of Revenue",SUM(_xlfn._xlws.FILTER(_xlfn._xlws.FILTER(dataSummaryPL,dataSummaryPLSections="Revenue"),(startDates&gt;=BZ$4)*(endDates&lt;=BZ$5)))*$F36,
    "Custom",0,
    "0",0,
        0
)</f>
        <v>0</v>
      </c>
      <c r="CA36" s="335" cm="1">
        <f t="array" ref="CA36">_xlfn.SWITCH(
    $E36,
    "3 month avg", AVERAGE(BX36:BZ36) * (1 + $F36),
    "6 month avg", AVERAGE(BU36:BZ36) * (1 + $F36),
    "12 month avg", AVERAGE(BP36:BZ36) * (1 + $F36),
    "Prior Month",BZ36* (1 + $F36),
    "Prior Year", BO36* (1 + $F36),
    "Monthly assumption",$G36* (1 + $F36),
    "Quarterly assumption",$G36/3* (1 + $F36),
    "Annual assumption",$G36/12* (1 + $F36),
    "% of Revenue",SUM(_xlfn._xlws.FILTER(_xlfn._xlws.FILTER(dataSummaryPL,dataSummaryPLSections="Revenue"),(startDates&gt;=CA$4)*(endDates&lt;=CA$5)))*$F36,
    "Custom",0,
    "0",0,
        0
)</f>
        <v>0</v>
      </c>
      <c r="CB36" s="335" cm="1">
        <f t="array" ref="CB36">_xlfn.SWITCH(
    $E36,
    "3 month avg", AVERAGE(BY36:CA36) * (1 + $F36),
    "6 month avg", AVERAGE(BV36:CA36) * (1 + $F36),
    "12 month avg", AVERAGE(BQ36:CA36) * (1 + $F36),
    "Prior Month",CA36* (1 + $F36),
    "Prior Year", BP36* (1 + $F36),
    "Monthly assumption",$G36* (1 + $F36),
    "Quarterly assumption",$G36/3* (1 + $F36),
    "Annual assumption",$G36/12* (1 + $F36),
    "% of Revenue",SUM(_xlfn._xlws.FILTER(_xlfn._xlws.FILTER(dataSummaryPL,dataSummaryPLSections="Revenue"),(startDates&gt;=CB$4)*(endDates&lt;=CB$5)))*$F36,
    "Custom",0,
    "0",0,
        0
)</f>
        <v>0</v>
      </c>
      <c r="CC36" s="335" cm="1">
        <f t="array" ref="CC36">_xlfn.SWITCH(
    $E36,
    "3 month avg", AVERAGE(BZ36:CB36) * (1 + $F36),
    "6 month avg", AVERAGE(BW36:CB36) * (1 + $F36),
    "12 month avg", AVERAGE(BR36:CB36) * (1 + $F36),
    "Prior Month",CB36* (1 + $F36),
    "Prior Year", BQ36* (1 + $F36),
    "Monthly assumption",$G36* (1 + $F36),
    "Quarterly assumption",$G36/3* (1 + $F36),
    "Annual assumption",$G36/12* (1 + $F36),
    "% of Revenue",SUM(_xlfn._xlws.FILTER(_xlfn._xlws.FILTER(dataSummaryPL,dataSummaryPLSections="Revenue"),(startDates&gt;=CC$4)*(endDates&lt;=CC$5)))*$F36,
    "Custom",0,
    "0",0,
        0
)</f>
        <v>0</v>
      </c>
      <c r="CD36" s="335" cm="1">
        <f t="array" ref="CD36">_xlfn.SWITCH(
    $E36,
    "3 month avg", AVERAGE(CA36:CC36) * (1 + $F36),
    "6 month avg", AVERAGE(BX36:CC36) * (1 + $F36),
    "12 month avg", AVERAGE(BS36:CC36) * (1 + $F36),
    "Prior Month",CC36* (1 + $F36),
    "Prior Year", BR36* (1 + $F36),
    "Monthly assumption",$G36* (1 + $F36),
    "Quarterly assumption",$G36/3* (1 + $F36),
    "Annual assumption",$G36/12* (1 + $F36),
    "% of Revenue",SUM(_xlfn._xlws.FILTER(_xlfn._xlws.FILTER(dataSummaryPL,dataSummaryPLSections="Revenue"),(startDates&gt;=CD$4)*(endDates&lt;=CD$5)))*$F36,
    "Custom",0,
    "0",0,
        0
)</f>
        <v>0</v>
      </c>
      <c r="CE36" s="335" cm="1">
        <f t="array" ref="CE36">_xlfn.SWITCH(
    $E36,
    "3 month avg", AVERAGE(CB36:CD36) * (1 + $F36),
    "6 month avg", AVERAGE(BY36:CD36) * (1 + $F36),
    "12 month avg", AVERAGE(BT36:CD36) * (1 + $F36),
    "Prior Month",CD36* (1 + $F36),
    "Prior Year", BS36* (1 + $F36),
    "Monthly assumption",$G36* (1 + $F36),
    "Quarterly assumption",$G36/3* (1 + $F36),
    "Annual assumption",$G36/12* (1 + $F36),
    "% of Revenue",SUM(_xlfn._xlws.FILTER(_xlfn._xlws.FILTER(dataSummaryPL,dataSummaryPLSections="Revenue"),(startDates&gt;=CE$4)*(endDates&lt;=CE$5)))*$F36,
    "Custom",0,
    "0",0,
        0
)</f>
        <v>0</v>
      </c>
      <c r="CF36" s="335" cm="1">
        <f t="array" ref="CF36">_xlfn.SWITCH(
    $E36,
    "3 month avg", AVERAGE(CC36:CE36) * (1 + $F36),
    "6 month avg", AVERAGE(BZ36:CE36) * (1 + $F36),
    "12 month avg", AVERAGE(BU36:CE36) * (1 + $F36),
    "Prior Month",CE36* (1 + $F36),
    "Prior Year", BT36* (1 + $F36),
    "Monthly assumption",$G36* (1 + $F36),
    "Quarterly assumption",$G36/3* (1 + $F36),
    "Annual assumption",$G36/12* (1 + $F36),
    "% of Revenue",SUM(_xlfn._xlws.FILTER(_xlfn._xlws.FILTER(dataSummaryPL,dataSummaryPLSections="Revenue"),(startDates&gt;=CF$4)*(endDates&lt;=CF$5)))*$F36,
    "Custom",0,
    "0",0,
        0
)</f>
        <v>0</v>
      </c>
      <c r="CG36" s="335" cm="1">
        <f t="array" ref="CG36">_xlfn.SWITCH(
    $E36,
    "3 month avg", AVERAGE(CD36:CF36) * (1 + $F36),
    "6 month avg", AVERAGE(CA36:CF36) * (1 + $F36),
    "12 month avg", AVERAGE(BV36:CF36) * (1 + $F36),
    "Prior Month",CF36* (1 + $F36),
    "Prior Year", BU36* (1 + $F36),
    "Monthly assumption",$G36* (1 + $F36),
    "Quarterly assumption",$G36/3* (1 + $F36),
    "Annual assumption",$G36/12* (1 + $F36),
    "% of Revenue",SUM(_xlfn._xlws.FILTER(_xlfn._xlws.FILTER(dataSummaryPL,dataSummaryPLSections="Revenue"),(startDates&gt;=CG$4)*(endDates&lt;=CG$5)))*$F36,
    "Custom",0,
    "0",0,
        0
)</f>
        <v>0</v>
      </c>
      <c r="CH36" s="335" cm="1">
        <f t="array" ref="CH36">_xlfn.SWITCH(
    $E36,
    "3 month avg", AVERAGE(CE36:CG36) * (1 + $F36),
    "6 month avg", AVERAGE(CB36:CG36) * (1 + $F36),
    "12 month avg", AVERAGE(BW36:CG36) * (1 + $F36),
    "Prior Month",CG36* (1 + $F36),
    "Prior Year", BV36* (1 + $F36),
    "Monthly assumption",$G36* (1 + $F36),
    "Quarterly assumption",$G36/3* (1 + $F36),
    "Annual assumption",$G36/12* (1 + $F36),
    "% of Revenue",SUM(_xlfn._xlws.FILTER(_xlfn._xlws.FILTER(dataSummaryPL,dataSummaryPLSections="Revenue"),(startDates&gt;=CH$4)*(endDates&lt;=CH$5)))*$F36,
    "Custom",0,
    "0",0,
        0
)</f>
        <v>0</v>
      </c>
      <c r="CI36" s="335" cm="1">
        <f t="array" ref="CI36">_xlfn.SWITCH(
    $E36,
    "3 month avg", AVERAGE(CF36:CH36) * (1 + $F36),
    "6 month avg", AVERAGE(CC36:CH36) * (1 + $F36),
    "12 month avg", AVERAGE(BX36:CH36) * (1 + $F36),
    "Prior Month",CH36* (1 + $F36),
    "Prior Year", BW36* (1 + $F36),
    "Monthly assumption",$G36* (1 + $F36),
    "Quarterly assumption",$G36/3* (1 + $F36),
    "Annual assumption",$G36/12* (1 + $F36),
    "% of Revenue",SUM(_xlfn._xlws.FILTER(_xlfn._xlws.FILTER(dataSummaryPL,dataSummaryPLSections="Revenue"),(startDates&gt;=CI$4)*(endDates&lt;=CI$5)))*$F36,
    "Custom",0,
    "0",0,
        0
)</f>
        <v>0</v>
      </c>
      <c r="CJ36" s="335" cm="1">
        <f t="array" ref="CJ36">_xlfn.SWITCH(
    $E36,
    "3 month avg", AVERAGE(CG36:CI36) * (1 + $F36),
    "6 month avg", AVERAGE(CD36:CI36) * (1 + $F36),
    "12 month avg", AVERAGE(BY36:CI36) * (1 + $F36),
    "Prior Month",CI36* (1 + $F36),
    "Prior Year", BX36* (1 + $F36),
    "Monthly assumption",$G36* (1 + $F36),
    "Quarterly assumption",$G36/3* (1 + $F36),
    "Annual assumption",$G36/12* (1 + $F36),
    "% of Revenue",SUM(_xlfn._xlws.FILTER(_xlfn._xlws.FILTER(dataSummaryPL,dataSummaryPLSections="Revenue"),(startDates&gt;=CJ$4)*(endDates&lt;=CJ$5)))*$F36,
    "Custom",0,
    "0",0,
        0
)</f>
        <v>0</v>
      </c>
    </row>
    <row r="37" spans="3:88" outlineLevel="2">
      <c r="C37" s="283"/>
      <c r="D37" s="288" t="s">
        <v>233</v>
      </c>
      <c r="E37" s="280" t="s">
        <v>354</v>
      </c>
      <c r="F37" s="332">
        <v>0.05</v>
      </c>
      <c r="G37" s="332"/>
      <c r="H37" s="277" t="str">
        <f>IFERROR(INDEX(PBC_ACCOUNT_LIST[Drivers Section],MATCH(Drivers!L37,PBC_ACCOUNT_LIST[Id],0)),"")</f>
        <v>Opex</v>
      </c>
      <c r="I37" s="277" t="str">
        <f>IFERROR(INDEX(PBC_ACCOUNT_LIST[Summary Grouping],MATCH(Drivers!L37,PBC_ACCOUNT_LIST[Id],0)),"")</f>
        <v>Professional Services</v>
      </c>
      <c r="J37" s="277">
        <f>IFERROR(INDEX(PBC_ACCOUNT_LIST[Cash Flow Section],MATCH(Drivers!L37,PBC_ACCOUNT_LIST[Id],0)),"")</f>
        <v>0</v>
      </c>
      <c r="K37" s="278" t="s">
        <v>106</v>
      </c>
      <c r="L37" s="277">
        <v>173</v>
      </c>
      <c r="M37" s="276"/>
      <c r="O37" s="272"/>
      <c r="P37" s="289">
        <f t="shared" si="44"/>
        <v>16760</v>
      </c>
      <c r="Q37" s="289">
        <f t="shared" si="44"/>
        <v>38365</v>
      </c>
      <c r="R37" s="289">
        <f t="shared" si="44"/>
        <v>65287.538249999998</v>
      </c>
      <c r="S37" s="289">
        <f t="shared" si="44"/>
        <v>85267.550235992996</v>
      </c>
      <c r="T37" s="289"/>
      <c r="U37" s="289"/>
      <c r="V37" s="289">
        <f t="shared" si="45"/>
        <v>3106</v>
      </c>
      <c r="W37" s="289">
        <f t="shared" si="45"/>
        <v>3445</v>
      </c>
      <c r="X37" s="289">
        <f t="shared" si="45"/>
        <v>3818</v>
      </c>
      <c r="Y37" s="289">
        <f t="shared" si="45"/>
        <v>6391</v>
      </c>
      <c r="Z37" s="289">
        <f t="shared" si="45"/>
        <v>7723</v>
      </c>
      <c r="AA37" s="289">
        <f t="shared" si="45"/>
        <v>8918</v>
      </c>
      <c r="AB37" s="289">
        <f t="shared" si="45"/>
        <v>10418</v>
      </c>
      <c r="AC37" s="289">
        <f t="shared" si="45"/>
        <v>11306</v>
      </c>
      <c r="AD37" s="289">
        <f t="shared" si="45"/>
        <v>13087.61</v>
      </c>
      <c r="AE37" s="289">
        <f t="shared" si="45"/>
        <v>15150.630000000001</v>
      </c>
      <c r="AF37" s="289">
        <f t="shared" si="45"/>
        <v>17539.11</v>
      </c>
      <c r="AG37" s="289">
        <f t="shared" si="45"/>
        <v>19510.188249999999</v>
      </c>
      <c r="AH37" s="289">
        <f t="shared" si="45"/>
        <v>19913.414165777347</v>
      </c>
      <c r="AI37" s="289">
        <f t="shared" si="45"/>
        <v>20895.856990679709</v>
      </c>
      <c r="AJ37" s="289">
        <f t="shared" si="45"/>
        <v>21762.288914907647</v>
      </c>
      <c r="AK37" s="289">
        <f t="shared" si="45"/>
        <v>22695.9901646283</v>
      </c>
      <c r="AL37" s="333"/>
      <c r="AM37" s="334"/>
      <c r="AN37" s="289">
        <f>SUMIFS(PBC_PROFIT_AND_LOSS[AccountBalance], PBC_PROFIT_AND_LOSS[Id],$L37,PBC_PROFIT_AND_LOSS[Date],AN$5)</f>
        <v>0</v>
      </c>
      <c r="AO37" s="289">
        <f>SUMIFS(PBC_PROFIT_AND_LOSS[AccountBalance], PBC_PROFIT_AND_LOSS[Id],$L37,PBC_PROFIT_AND_LOSS[Date],AO$5)</f>
        <v>1000</v>
      </c>
      <c r="AP37" s="289">
        <f>SUMIFS(PBC_PROFIT_AND_LOSS[AccountBalance], PBC_PROFIT_AND_LOSS[Id],$L37,PBC_PROFIT_AND_LOSS[Date],AP$5)</f>
        <v>1035</v>
      </c>
      <c r="AQ37" s="289">
        <f>SUMIFS(PBC_PROFIT_AND_LOSS[AccountBalance], PBC_PROFIT_AND_LOSS[Id],$L37,PBC_PROFIT_AND_LOSS[Date],AQ$5)</f>
        <v>1071</v>
      </c>
      <c r="AR37" s="289">
        <f>SUMIFS(PBC_PROFIT_AND_LOSS[AccountBalance], PBC_PROFIT_AND_LOSS[Id],$L37,PBC_PROFIT_AND_LOSS[Date],AR$5)</f>
        <v>1109</v>
      </c>
      <c r="AS37" s="289">
        <f>SUMIFS(PBC_PROFIT_AND_LOSS[AccountBalance], PBC_PROFIT_AND_LOSS[Id],$L37,PBC_PROFIT_AND_LOSS[Date],AS$5)</f>
        <v>1148</v>
      </c>
      <c r="AT37" s="289">
        <f>SUMIFS(PBC_PROFIT_AND_LOSS[AccountBalance], PBC_PROFIT_AND_LOSS[Id],$L37,PBC_PROFIT_AND_LOSS[Date],AT$5)</f>
        <v>1188</v>
      </c>
      <c r="AU37" s="289">
        <f>SUMIFS(PBC_PROFIT_AND_LOSS[AccountBalance], PBC_PROFIT_AND_LOSS[Id],$L37,PBC_PROFIT_AND_LOSS[Date],AU$5)</f>
        <v>1229</v>
      </c>
      <c r="AV37" s="289">
        <f>SUMIFS(PBC_PROFIT_AND_LOSS[AccountBalance], PBC_PROFIT_AND_LOSS[Id],$L37,PBC_PROFIT_AND_LOSS[Date],AV$5)</f>
        <v>1272</v>
      </c>
      <c r="AW37" s="289">
        <f>SUMIFS(PBC_PROFIT_AND_LOSS[AccountBalance], PBC_PROFIT_AND_LOSS[Id],$L37,PBC_PROFIT_AND_LOSS[Date],AW$5)</f>
        <v>1317</v>
      </c>
      <c r="AX37" s="289">
        <f>SUMIFS(PBC_PROFIT_AND_LOSS[AccountBalance], PBC_PROFIT_AND_LOSS[Id],$L37,PBC_PROFIT_AND_LOSS[Date],AX$5)</f>
        <v>1363</v>
      </c>
      <c r="AY37" s="289">
        <f>SUMIFS(PBC_PROFIT_AND_LOSS[AccountBalance], PBC_PROFIT_AND_LOSS[Id],$L37,PBC_PROFIT_AND_LOSS[Date],AY$5)</f>
        <v>2218</v>
      </c>
      <c r="AZ37" s="289">
        <f>SUMIFS(PBC_PROFIT_AND_LOSS[AccountBalance], PBC_PROFIT_AND_LOSS[Id],$L37,PBC_PROFIT_AND_LOSS[Date],AZ$5)</f>
        <v>2810</v>
      </c>
      <c r="BA37" s="289">
        <f>SUMIFS(PBC_PROFIT_AND_LOSS[AccountBalance], PBC_PROFIT_AND_LOSS[Id],$L37,PBC_PROFIT_AND_LOSS[Date],BA$5)</f>
        <v>2328</v>
      </c>
      <c r="BB37" s="289">
        <f>SUMIFS(PBC_PROFIT_AND_LOSS[AccountBalance], PBC_PROFIT_AND_LOSS[Id],$L37,PBC_PROFIT_AND_LOSS[Date],BB$5)</f>
        <v>2950</v>
      </c>
      <c r="BC37" s="289">
        <f>SUMIFS(PBC_PROFIT_AND_LOSS[AccountBalance], PBC_PROFIT_AND_LOSS[Id],$L37,PBC_PROFIT_AND_LOSS[Date],BC$5)</f>
        <v>2445</v>
      </c>
      <c r="BD37" s="289">
        <f>SUMIFS(PBC_PROFIT_AND_LOSS[AccountBalance], PBC_PROFIT_AND_LOSS[Id],$L37,PBC_PROFIT_AND_LOSS[Date],BD$5)</f>
        <v>3098</v>
      </c>
      <c r="BE37" s="289">
        <f>SUMIFS(PBC_PROFIT_AND_LOSS[AccountBalance], PBC_PROFIT_AND_LOSS[Id],$L37,PBC_PROFIT_AND_LOSS[Date],BE$5)</f>
        <v>2567</v>
      </c>
      <c r="BF37" s="289">
        <f>SUMIFS(PBC_PROFIT_AND_LOSS[AccountBalance], PBC_PROFIT_AND_LOSS[Id],$L37,PBC_PROFIT_AND_LOSS[Date],BF$5)</f>
        <v>3253</v>
      </c>
      <c r="BG37" s="289">
        <f>SUMIFS(PBC_PROFIT_AND_LOSS[AccountBalance], PBC_PROFIT_AND_LOSS[Id],$L37,PBC_PROFIT_AND_LOSS[Date],BG$5)</f>
        <v>3416</v>
      </c>
      <c r="BH37" s="289">
        <f>SUMIFS(PBC_PROFIT_AND_LOSS[AccountBalance], PBC_PROFIT_AND_LOSS[Id],$L37,PBC_PROFIT_AND_LOSS[Date],BH$5)</f>
        <v>3416</v>
      </c>
      <c r="BI37" s="289">
        <f>SUMIFS(PBC_PROFIT_AND_LOSS[AccountBalance], PBC_PROFIT_AND_LOSS[Id],$L37,PBC_PROFIT_AND_LOSS[Date],BI$5)</f>
        <v>3586</v>
      </c>
      <c r="BJ37" s="289">
        <f>SUMIFS(PBC_PROFIT_AND_LOSS[AccountBalance], PBC_PROFIT_AND_LOSS[Id],$L37,PBC_PROFIT_AND_LOSS[Date],BJ$5)</f>
        <v>3586</v>
      </c>
      <c r="BK37" s="289">
        <f>SUMIFS(PBC_PROFIT_AND_LOSS[AccountBalance], PBC_PROFIT_AND_LOSS[Id],$L37,PBC_PROFIT_AND_LOSS[Date],BK$5)</f>
        <v>3766</v>
      </c>
      <c r="BL37" s="289">
        <f>SUMIFS(PBC_PROFIT_AND_LOSS[AccountBalance], PBC_PROFIT_AND_LOSS[Id],$L37,PBC_PROFIT_AND_LOSS[Date],BL$5)</f>
        <v>3954</v>
      </c>
      <c r="BM37" s="289">
        <f>SUMIFS(PBC_PROFIT_AND_LOSS[AccountBalance], PBC_PROFIT_AND_LOSS[Id],$L37,PBC_PROFIT_AND_LOSS[Date],BM$5)</f>
        <v>4151.6099999999997</v>
      </c>
      <c r="BN37" s="289">
        <f>SUMIFS(PBC_PROFIT_AND_LOSS[AccountBalance], PBC_PROFIT_AND_LOSS[Id],$L37,PBC_PROFIT_AND_LOSS[Date],BN$5)</f>
        <v>4359</v>
      </c>
      <c r="BO37" s="289">
        <f>SUMIFS(PBC_PROFIT_AND_LOSS[AccountBalance], PBC_PROFIT_AND_LOSS[Id],$L37,PBC_PROFIT_AND_LOSS[Date],BO$5)</f>
        <v>4577</v>
      </c>
      <c r="BP37" s="289">
        <f>SUMIFS(PBC_PROFIT_AND_LOSS[AccountBalance], PBC_PROFIT_AND_LOSS[Id],$L37,PBC_PROFIT_AND_LOSS[Date],BP$5)</f>
        <v>4806</v>
      </c>
      <c r="BQ37" s="289">
        <f>SUMIFS(PBC_PROFIT_AND_LOSS[AccountBalance], PBC_PROFIT_AND_LOSS[Id],$L37,PBC_PROFIT_AND_LOSS[Date],BQ$5)</f>
        <v>5046</v>
      </c>
      <c r="BR37" s="289">
        <f>SUMIFS(PBC_PROFIT_AND_LOSS[AccountBalance], PBC_PROFIT_AND_LOSS[Id],$L37,PBC_PROFIT_AND_LOSS[Date],BR$5)</f>
        <v>5298.63</v>
      </c>
      <c r="BS37" s="289">
        <f>SUMIFS(PBC_PROFIT_AND_LOSS[AccountBalance], PBC_PROFIT_AND_LOSS[Id],$L37,PBC_PROFIT_AND_LOSS[Date],BS$5)</f>
        <v>5563.56</v>
      </c>
      <c r="BT37" s="289">
        <f>SUMIFS(PBC_PROFIT_AND_LOSS[AccountBalance], PBC_PROFIT_AND_LOSS[Id],$L37,PBC_PROFIT_AND_LOSS[Date],BT$5)</f>
        <v>5841.73</v>
      </c>
      <c r="BU37" s="289">
        <f>SUMIFS(PBC_PROFIT_AND_LOSS[AccountBalance], PBC_PROFIT_AND_LOSS[Id],$L37,PBC_PROFIT_AND_LOSS[Date],BU$5)</f>
        <v>6133.82</v>
      </c>
      <c r="BV37" s="289">
        <f>SUMIFS(PBC_PROFIT_AND_LOSS[AccountBalance], PBC_PROFIT_AND_LOSS[Id],$L37,PBC_PROFIT_AND_LOSS[Date],BV$5)</f>
        <v>6440.51</v>
      </c>
      <c r="BW37" s="289">
        <f>SUMIFS(PBC_PROFIT_AND_LOSS[AccountBalance], PBC_PROFIT_AND_LOSS[Id],$L37,PBC_PROFIT_AND_LOSS[Date],BW$5)</f>
        <v>6762.54</v>
      </c>
      <c r="BX37" s="335" cm="1">
        <f t="array" ref="BX37">_xlfn.SWITCH(
    $E37,
    "3 month avg", AVERAGE(BU37:BW37) * (1 + $F37),
    "6 month avg", AVERAGE(BR37:BW37) * (1 + $F37),
    "12 month avg", AVERAGE(BM37:BW37) * (1 + $F37),
    "Prior Month",BW37* (1 + $F37),
    "Prior Year", BL37* (1 + $F37),
    "Monthly assumption",$G37* (1 + $F37),
    "Quarterly assumption",$G37/3* (1 + $F37),
    "Annual assumption",$G37/12* (1 + $F37),
    "% of Revenue",SUM(_xlfn._xlws.FILTER(_xlfn._xlws.FILTER(dataSummaryPL,dataSummaryPLSections="Revenue"),(startDates&gt;=BX$4)*(endDates&lt;=BX$5)))*$F37,
    "Custom",0,
    "0",0,
        0
)</f>
        <v>6307.13825</v>
      </c>
      <c r="BY37" s="335" cm="1">
        <f t="array" ref="BY37">_xlfn.SWITCH(
    $E37,
    "3 month avg", AVERAGE(BV37:BX37) * (1 + $F37),
    "6 month avg", AVERAGE(BS37:BX37) * (1 + $F37),
    "12 month avg", AVERAGE(BN37:BX37) * (1 + $F37),
    "Prior Month",BX37* (1 + $F37),
    "Prior Year", BM37* (1 + $F37),
    "Monthly assumption",$G37* (1 + $F37),
    "Quarterly assumption",$G37/3* (1 + $F37),
    "Annual assumption",$G37/12* (1 + $F37),
    "% of Revenue",SUM(_xlfn._xlws.FILTER(_xlfn._xlws.FILTER(dataSummaryPL,dataSummaryPLSections="Revenue"),(startDates&gt;=BY$4)*(endDates&lt;=BY$5)))*$F37,
    "Custom",0,
    "0",0,
        0
)</f>
        <v>6483.6271937500014</v>
      </c>
      <c r="BZ37" s="335" cm="1">
        <f t="array" ref="BZ37">_xlfn.SWITCH(
    $E37,
    "3 month avg", AVERAGE(BW37:BY37) * (1 + $F37),
    "6 month avg", AVERAGE(BT37:BY37) * (1 + $F37),
    "12 month avg", AVERAGE(BO37:BY37) * (1 + $F37),
    "Prior Month",BY37* (1 + $F37),
    "Prior Year", BN37* (1 + $F37),
    "Monthly assumption",$G37* (1 + $F37),
    "Quarterly assumption",$G37/3* (1 + $F37),
    "Annual assumption",$G37/12* (1 + $F37),
    "% of Revenue",SUM(_xlfn._xlws.FILTER(_xlfn._xlws.FILTER(dataSummaryPL,dataSummaryPLSections="Revenue"),(startDates&gt;=BZ$4)*(endDates&lt;=BZ$5)))*$F37,
    "Custom",0,
    "0",0,
        0
)</f>
        <v>6644.6389526562507</v>
      </c>
      <c r="CA37" s="335" cm="1">
        <f t="array" ref="CA37">_xlfn.SWITCH(
    $E37,
    "3 month avg", AVERAGE(BX37:BZ37) * (1 + $F37),
    "6 month avg", AVERAGE(BU37:BZ37) * (1 + $F37),
    "12 month avg", AVERAGE(BP37:BZ37) * (1 + $F37),
    "Prior Month",BZ37* (1 + $F37),
    "Prior Year", BO37* (1 + $F37),
    "Monthly assumption",$G37* (1 + $F37),
    "Quarterly assumption",$G37/3* (1 + $F37),
    "Annual assumption",$G37/12* (1 + $F37),
    "% of Revenue",SUM(_xlfn._xlws.FILTER(_xlfn._xlws.FILTER(dataSummaryPL,dataSummaryPLSections="Revenue"),(startDates&gt;=CA$4)*(endDates&lt;=CA$5)))*$F37,
    "Custom",0,
    "0",0,
        0
)</f>
        <v>6785.148019371095</v>
      </c>
      <c r="CB37" s="335" cm="1">
        <f t="array" ref="CB37">_xlfn.SWITCH(
    $E37,
    "3 month avg", AVERAGE(BY37:CA37) * (1 + $F37),
    "6 month avg", AVERAGE(BV37:CA37) * (1 + $F37),
    "12 month avg", AVERAGE(BQ37:CA37) * (1 + $F37),
    "Prior Month",CA37* (1 + $F37),
    "Prior Year", BP37* (1 + $F37),
    "Monthly assumption",$G37* (1 + $F37),
    "Quarterly assumption",$G37/3* (1 + $F37),
    "Annual assumption",$G37/12* (1 + $F37),
    "% of Revenue",SUM(_xlfn._xlws.FILTER(_xlfn._xlws.FILTER(dataSummaryPL,dataSummaryPLSections="Revenue"),(startDates&gt;=CB$4)*(endDates&lt;=CB$5)))*$F37,
    "Custom",0,
    "0",0,
        0
)</f>
        <v>6899.1304227610372</v>
      </c>
      <c r="CC37" s="335" cm="1">
        <f t="array" ref="CC37">_xlfn.SWITCH(
    $E37,
    "3 month avg", AVERAGE(BZ37:CB37) * (1 + $F37),
    "6 month avg", AVERAGE(BW37:CB37) * (1 + $F37),
    "12 month avg", AVERAGE(BR37:CB37) * (1 + $F37),
    "Prior Month",CB37* (1 + $F37),
    "Prior Year", BQ37* (1 + $F37),
    "Monthly assumption",$G37* (1 + $F37),
    "Quarterly assumption",$G37/3* (1 + $F37),
    "Annual assumption",$G37/12* (1 + $F37),
    "% of Revenue",SUM(_xlfn._xlws.FILTER(_xlfn._xlws.FILTER(dataSummaryPL,dataSummaryPLSections="Revenue"),(startDates&gt;=CC$4)*(endDates&lt;=CC$5)))*$F37,
    "Custom",0,
    "0",0,
        0
)</f>
        <v>6979.3889967442183</v>
      </c>
      <c r="CD37" s="335" cm="1">
        <f t="array" ref="CD37">_xlfn.SWITCH(
    $E37,
    "3 month avg", AVERAGE(CA37:CC37) * (1 + $F37),
    "6 month avg", AVERAGE(BX37:CC37) * (1 + $F37),
    "12 month avg", AVERAGE(BS37:CC37) * (1 + $F37),
    "Prior Month",CC37* (1 + $F37),
    "Prior Year", BR37* (1 + $F37),
    "Monthly assumption",$G37* (1 + $F37),
    "Quarterly assumption",$G37/3* (1 + $F37),
    "Annual assumption",$G37/12* (1 + $F37),
    "% of Revenue",SUM(_xlfn._xlws.FILTER(_xlfn._xlws.FILTER(dataSummaryPL,dataSummaryPLSections="Revenue"),(startDates&gt;=CD$4)*(endDates&lt;=CD$5)))*$F37,
    "Custom",0,
    "0",0,
        0
)</f>
        <v>7017.3375711744548</v>
      </c>
      <c r="CE37" s="335" cm="1">
        <f t="array" ref="CE37">_xlfn.SWITCH(
    $E37,
    "3 month avg", AVERAGE(CB37:CD37) * (1 + $F37),
    "6 month avg", AVERAGE(BY37:CD37) * (1 + $F37),
    "12 month avg", AVERAGE(BT37:CD37) * (1 + $F37),
    "Prior Month",CD37* (1 + $F37),
    "Prior Year", BS37* (1 + $F37),
    "Monthly assumption",$G37* (1 + $F37),
    "Quarterly assumption",$G37/3* (1 + $F37),
    "Annual assumption",$G37/12* (1 + $F37),
    "% of Revenue",SUM(_xlfn._xlws.FILTER(_xlfn._xlws.FILTER(dataSummaryPL,dataSummaryPLSections="Revenue"),(startDates&gt;=CE$4)*(endDates&lt;=CE$5)))*$F37,
    "Custom",0,
    "0",0,
        0
)</f>
        <v>7141.6224523799856</v>
      </c>
      <c r="CF37" s="335" cm="1">
        <f t="array" ref="CF37">_xlfn.SWITCH(
    $E37,
    "3 month avg", AVERAGE(CC37:CE37) * (1 + $F37),
    "6 month avg", AVERAGE(BZ37:CE37) * (1 + $F37),
    "12 month avg", AVERAGE(BU37:CE37) * (1 + $F37),
    "Prior Month",CE37* (1 + $F37),
    "Prior Year", BT37* (1 + $F37),
    "Monthly assumption",$G37* (1 + $F37),
    "Quarterly assumption",$G37/3* (1 + $F37),
    "Annual assumption",$G37/12* (1 + $F37),
    "% of Revenue",SUM(_xlfn._xlws.FILTER(_xlfn._xlws.FILTER(dataSummaryPL,dataSummaryPLSections="Revenue"),(startDates&gt;=CF$4)*(endDates&lt;=CF$5)))*$F37,
    "Custom",0,
    "0",0,
        0
)</f>
        <v>7256.7716226402317</v>
      </c>
      <c r="CG37" s="335" cm="1">
        <f t="array" ref="CG37">_xlfn.SWITCH(
    $E37,
    "3 month avg", AVERAGE(CD37:CF37) * (1 + $F37),
    "6 month avg", AVERAGE(CA37:CF37) * (1 + $F37),
    "12 month avg", AVERAGE(BV37:CF37) * (1 + $F37),
    "Prior Month",CF37* (1 + $F37),
    "Prior Year", BU37* (1 + $F37),
    "Monthly assumption",$G37* (1 + $F37),
    "Quarterly assumption",$G37/3* (1 + $F37),
    "Annual assumption",$G37/12* (1 + $F37),
    "% of Revenue",SUM(_xlfn._xlws.FILTER(_xlfn._xlws.FILTER(dataSummaryPL,dataSummaryPLSections="Revenue"),(startDates&gt;=CG$4)*(endDates&lt;=CG$5)))*$F37,
    "Custom",0,
    "0",0,
        0
)</f>
        <v>7363.89483988743</v>
      </c>
      <c r="CH37" s="335" cm="1">
        <f t="array" ref="CH37">_xlfn.SWITCH(
    $E37,
    "3 month avg", AVERAGE(CE37:CG37) * (1 + $F37),
    "6 month avg", AVERAGE(CB37:CG37) * (1 + $F37),
    "12 month avg", AVERAGE(BW37:CG37) * (1 + $F37),
    "Prior Month",CG37* (1 + $F37),
    "Prior Year", BV37* (1 + $F37),
    "Monthly assumption",$G37* (1 + $F37),
    "Quarterly assumption",$G37/3* (1 + $F37),
    "Annual assumption",$G37/12* (1 + $F37),
    "% of Revenue",SUM(_xlfn._xlws.FILTER(_xlfn._xlws.FILTER(dataSummaryPL,dataSummaryPLSections="Revenue"),(startDates&gt;=CH$4)*(endDates&lt;=CH$5)))*$F37,
    "Custom",0,
    "0",0,
        0
)</f>
        <v>7465.1755334777872</v>
      </c>
      <c r="CI37" s="335" cm="1">
        <f t="array" ref="CI37">_xlfn.SWITCH(
    $E37,
    "3 month avg", AVERAGE(CF37:CH37) * (1 + $F37),
    "6 month avg", AVERAGE(CC37:CH37) * (1 + $F37),
    "12 month avg", AVERAGE(BX37:CH37) * (1 + $F37),
    "Prior Month",CH37* (1 + $F37),
    "Prior Year", BW37* (1 + $F37),
    "Monthly assumption",$G37* (1 + $F37),
    "Quarterly assumption",$G37/3* (1 + $F37),
    "Annual assumption",$G37/12* (1 + $F37),
    "% of Revenue",SUM(_xlfn._xlws.FILTER(_xlfn._xlws.FILTER(dataSummaryPL,dataSummaryPLSections="Revenue"),(startDates&gt;=CI$4)*(endDates&lt;=CI$5)))*$F37,
    "Custom",0,
    "0",0,
        0
)</f>
        <v>7564.233427853218</v>
      </c>
      <c r="CJ37" s="335" cm="1">
        <f t="array" ref="CJ37">_xlfn.SWITCH(
    $E37,
    "3 month avg", AVERAGE(CG37:CI37) * (1 + $F37),
    "6 month avg", AVERAGE(CD37:CI37) * (1 + $F37),
    "12 month avg", AVERAGE(BY37:CI37) * (1 + $F37),
    "Prior Month",CI37* (1 + $F37),
    "Prior Year", BX37* (1 + $F37),
    "Monthly assumption",$G37* (1 + $F37),
    "Quarterly assumption",$G37/3* (1 + $F37),
    "Annual assumption",$G37/12* (1 + $F37),
    "% of Revenue",SUM(_xlfn._xlws.FILTER(_xlfn._xlws.FILTER(dataSummaryPL,dataSummaryPLSections="Revenue"),(startDates&gt;=CJ$4)*(endDates&lt;=CJ$5)))*$F37,
    "Custom",0,
    "0",0,
        0
)</f>
        <v>7666.5812032972935</v>
      </c>
    </row>
    <row r="38" spans="3:88" outlineLevel="2">
      <c r="C38" s="283"/>
      <c r="D38" s="288" t="s">
        <v>234</v>
      </c>
      <c r="E38" s="280" t="s">
        <v>354</v>
      </c>
      <c r="F38" s="332">
        <v>0.05</v>
      </c>
      <c r="G38" s="332"/>
      <c r="H38" s="277" t="str">
        <f>IFERROR(INDEX(PBC_ACCOUNT_LIST[Drivers Section],MATCH(Drivers!L38,PBC_ACCOUNT_LIST[Id],0)),"")</f>
        <v>Opex</v>
      </c>
      <c r="I38" s="277" t="str">
        <f>IFERROR(INDEX(PBC_ACCOUNT_LIST[Summary Grouping],MATCH(Drivers!L38,PBC_ACCOUNT_LIST[Id],0)),"")</f>
        <v>Marketing &amp; Advertising</v>
      </c>
      <c r="J38" s="277">
        <f>IFERROR(INDEX(PBC_ACCOUNT_LIST[Cash Flow Section],MATCH(Drivers!L38,PBC_ACCOUNT_LIST[Id],0)),"")</f>
        <v>0</v>
      </c>
      <c r="K38" s="278" t="s">
        <v>106</v>
      </c>
      <c r="L38" s="277">
        <v>174</v>
      </c>
      <c r="M38" s="276"/>
      <c r="O38" s="272"/>
      <c r="P38" s="289">
        <f t="shared" si="44"/>
        <v>0</v>
      </c>
      <c r="Q38" s="289">
        <f t="shared" si="44"/>
        <v>0</v>
      </c>
      <c r="R38" s="289">
        <f t="shared" si="44"/>
        <v>587.5</v>
      </c>
      <c r="S38" s="289">
        <f t="shared" si="44"/>
        <v>1022.067997846225</v>
      </c>
      <c r="T38" s="289"/>
      <c r="U38" s="289"/>
      <c r="V38" s="289">
        <f t="shared" ref="V38:AK52" si="46">SUMIFS($AN38:$CJ38,$AN$4:$CJ$4,"&gt;="&amp;V$4,$AN$5:$CJ$5,"&lt;="&amp;V$5)</f>
        <v>0</v>
      </c>
      <c r="W38" s="289">
        <f t="shared" si="46"/>
        <v>0</v>
      </c>
      <c r="X38" s="289">
        <f t="shared" si="46"/>
        <v>0</v>
      </c>
      <c r="Y38" s="289">
        <f t="shared" si="46"/>
        <v>0</v>
      </c>
      <c r="Z38" s="289">
        <f t="shared" si="46"/>
        <v>0</v>
      </c>
      <c r="AA38" s="289">
        <f t="shared" si="46"/>
        <v>0</v>
      </c>
      <c r="AB38" s="289">
        <f t="shared" si="46"/>
        <v>0</v>
      </c>
      <c r="AC38" s="289">
        <f t="shared" si="46"/>
        <v>0</v>
      </c>
      <c r="AD38" s="289">
        <f t="shared" si="46"/>
        <v>0</v>
      </c>
      <c r="AE38" s="289">
        <f t="shared" si="46"/>
        <v>0</v>
      </c>
      <c r="AF38" s="289">
        <f t="shared" si="46"/>
        <v>500</v>
      </c>
      <c r="AG38" s="289">
        <f t="shared" si="46"/>
        <v>87.5</v>
      </c>
      <c r="AH38" s="289">
        <f t="shared" si="46"/>
        <v>278.06269531250001</v>
      </c>
      <c r="AI38" s="289">
        <f t="shared" si="46"/>
        <v>227.46567524108889</v>
      </c>
      <c r="AJ38" s="289">
        <f t="shared" si="46"/>
        <v>254.2833015711808</v>
      </c>
      <c r="AK38" s="289">
        <f t="shared" si="46"/>
        <v>262.25632572145531</v>
      </c>
      <c r="AL38" s="333"/>
      <c r="AM38" s="334"/>
      <c r="AN38" s="289">
        <f>SUMIFS(PBC_PROFIT_AND_LOSS[AccountBalance], PBC_PROFIT_AND_LOSS[Id],$L38,PBC_PROFIT_AND_LOSS[Date],AN$5)</f>
        <v>0</v>
      </c>
      <c r="AO38" s="289">
        <f>SUMIFS(PBC_PROFIT_AND_LOSS[AccountBalance], PBC_PROFIT_AND_LOSS[Id],$L38,PBC_PROFIT_AND_LOSS[Date],AO$5)</f>
        <v>0</v>
      </c>
      <c r="AP38" s="289">
        <f>SUMIFS(PBC_PROFIT_AND_LOSS[AccountBalance], PBC_PROFIT_AND_LOSS[Id],$L38,PBC_PROFIT_AND_LOSS[Date],AP$5)</f>
        <v>0</v>
      </c>
      <c r="AQ38" s="289">
        <f>SUMIFS(PBC_PROFIT_AND_LOSS[AccountBalance], PBC_PROFIT_AND_LOSS[Id],$L38,PBC_PROFIT_AND_LOSS[Date],AQ$5)</f>
        <v>0</v>
      </c>
      <c r="AR38" s="289">
        <f>SUMIFS(PBC_PROFIT_AND_LOSS[AccountBalance], PBC_PROFIT_AND_LOSS[Id],$L38,PBC_PROFIT_AND_LOSS[Date],AR$5)</f>
        <v>0</v>
      </c>
      <c r="AS38" s="289">
        <f>SUMIFS(PBC_PROFIT_AND_LOSS[AccountBalance], PBC_PROFIT_AND_LOSS[Id],$L38,PBC_PROFIT_AND_LOSS[Date],AS$5)</f>
        <v>0</v>
      </c>
      <c r="AT38" s="289">
        <f>SUMIFS(PBC_PROFIT_AND_LOSS[AccountBalance], PBC_PROFIT_AND_LOSS[Id],$L38,PBC_PROFIT_AND_LOSS[Date],AT$5)</f>
        <v>0</v>
      </c>
      <c r="AU38" s="289">
        <f>SUMIFS(PBC_PROFIT_AND_LOSS[AccountBalance], PBC_PROFIT_AND_LOSS[Id],$L38,PBC_PROFIT_AND_LOSS[Date],AU$5)</f>
        <v>0</v>
      </c>
      <c r="AV38" s="289">
        <f>SUMIFS(PBC_PROFIT_AND_LOSS[AccountBalance], PBC_PROFIT_AND_LOSS[Id],$L38,PBC_PROFIT_AND_LOSS[Date],AV$5)</f>
        <v>0</v>
      </c>
      <c r="AW38" s="289">
        <f>SUMIFS(PBC_PROFIT_AND_LOSS[AccountBalance], PBC_PROFIT_AND_LOSS[Id],$L38,PBC_PROFIT_AND_LOSS[Date],AW$5)</f>
        <v>0</v>
      </c>
      <c r="AX38" s="289">
        <f>SUMIFS(PBC_PROFIT_AND_LOSS[AccountBalance], PBC_PROFIT_AND_LOSS[Id],$L38,PBC_PROFIT_AND_LOSS[Date],AX$5)</f>
        <v>0</v>
      </c>
      <c r="AY38" s="289">
        <f>SUMIFS(PBC_PROFIT_AND_LOSS[AccountBalance], PBC_PROFIT_AND_LOSS[Id],$L38,PBC_PROFIT_AND_LOSS[Date],AY$5)</f>
        <v>0</v>
      </c>
      <c r="AZ38" s="289">
        <f>SUMIFS(PBC_PROFIT_AND_LOSS[AccountBalance], PBC_PROFIT_AND_LOSS[Id],$L38,PBC_PROFIT_AND_LOSS[Date],AZ$5)</f>
        <v>0</v>
      </c>
      <c r="BA38" s="289">
        <f>SUMIFS(PBC_PROFIT_AND_LOSS[AccountBalance], PBC_PROFIT_AND_LOSS[Id],$L38,PBC_PROFIT_AND_LOSS[Date],BA$5)</f>
        <v>0</v>
      </c>
      <c r="BB38" s="289">
        <f>SUMIFS(PBC_PROFIT_AND_LOSS[AccountBalance], PBC_PROFIT_AND_LOSS[Id],$L38,PBC_PROFIT_AND_LOSS[Date],BB$5)</f>
        <v>0</v>
      </c>
      <c r="BC38" s="289">
        <f>SUMIFS(PBC_PROFIT_AND_LOSS[AccountBalance], PBC_PROFIT_AND_LOSS[Id],$L38,PBC_PROFIT_AND_LOSS[Date],BC$5)</f>
        <v>0</v>
      </c>
      <c r="BD38" s="289">
        <f>SUMIFS(PBC_PROFIT_AND_LOSS[AccountBalance], PBC_PROFIT_AND_LOSS[Id],$L38,PBC_PROFIT_AND_LOSS[Date],BD$5)</f>
        <v>0</v>
      </c>
      <c r="BE38" s="289">
        <f>SUMIFS(PBC_PROFIT_AND_LOSS[AccountBalance], PBC_PROFIT_AND_LOSS[Id],$L38,PBC_PROFIT_AND_LOSS[Date],BE$5)</f>
        <v>0</v>
      </c>
      <c r="BF38" s="289">
        <f>SUMIFS(PBC_PROFIT_AND_LOSS[AccountBalance], PBC_PROFIT_AND_LOSS[Id],$L38,PBC_PROFIT_AND_LOSS[Date],BF$5)</f>
        <v>0</v>
      </c>
      <c r="BG38" s="289">
        <f>SUMIFS(PBC_PROFIT_AND_LOSS[AccountBalance], PBC_PROFIT_AND_LOSS[Id],$L38,PBC_PROFIT_AND_LOSS[Date],BG$5)</f>
        <v>0</v>
      </c>
      <c r="BH38" s="289">
        <f>SUMIFS(PBC_PROFIT_AND_LOSS[AccountBalance], PBC_PROFIT_AND_LOSS[Id],$L38,PBC_PROFIT_AND_LOSS[Date],BH$5)</f>
        <v>0</v>
      </c>
      <c r="BI38" s="289">
        <f>SUMIFS(PBC_PROFIT_AND_LOSS[AccountBalance], PBC_PROFIT_AND_LOSS[Id],$L38,PBC_PROFIT_AND_LOSS[Date],BI$5)</f>
        <v>0</v>
      </c>
      <c r="BJ38" s="289">
        <f>SUMIFS(PBC_PROFIT_AND_LOSS[AccountBalance], PBC_PROFIT_AND_LOSS[Id],$L38,PBC_PROFIT_AND_LOSS[Date],BJ$5)</f>
        <v>0</v>
      </c>
      <c r="BK38" s="289">
        <f>SUMIFS(PBC_PROFIT_AND_LOSS[AccountBalance], PBC_PROFIT_AND_LOSS[Id],$L38,PBC_PROFIT_AND_LOSS[Date],BK$5)</f>
        <v>0</v>
      </c>
      <c r="BL38" s="289">
        <f>SUMIFS(PBC_PROFIT_AND_LOSS[AccountBalance], PBC_PROFIT_AND_LOSS[Id],$L38,PBC_PROFIT_AND_LOSS[Date],BL$5)</f>
        <v>0</v>
      </c>
      <c r="BM38" s="289">
        <f>SUMIFS(PBC_PROFIT_AND_LOSS[AccountBalance], PBC_PROFIT_AND_LOSS[Id],$L38,PBC_PROFIT_AND_LOSS[Date],BM$5)</f>
        <v>0</v>
      </c>
      <c r="BN38" s="289">
        <f>SUMIFS(PBC_PROFIT_AND_LOSS[AccountBalance], PBC_PROFIT_AND_LOSS[Id],$L38,PBC_PROFIT_AND_LOSS[Date],BN$5)</f>
        <v>0</v>
      </c>
      <c r="BO38" s="289">
        <f>SUMIFS(PBC_PROFIT_AND_LOSS[AccountBalance], PBC_PROFIT_AND_LOSS[Id],$L38,PBC_PROFIT_AND_LOSS[Date],BO$5)</f>
        <v>0</v>
      </c>
      <c r="BP38" s="289">
        <f>SUMIFS(PBC_PROFIT_AND_LOSS[AccountBalance], PBC_PROFIT_AND_LOSS[Id],$L38,PBC_PROFIT_AND_LOSS[Date],BP$5)</f>
        <v>0</v>
      </c>
      <c r="BQ38" s="289">
        <f>SUMIFS(PBC_PROFIT_AND_LOSS[AccountBalance], PBC_PROFIT_AND_LOSS[Id],$L38,PBC_PROFIT_AND_LOSS[Date],BQ$5)</f>
        <v>0</v>
      </c>
      <c r="BR38" s="289">
        <f>SUMIFS(PBC_PROFIT_AND_LOSS[AccountBalance], PBC_PROFIT_AND_LOSS[Id],$L38,PBC_PROFIT_AND_LOSS[Date],BR$5)</f>
        <v>0</v>
      </c>
      <c r="BS38" s="289">
        <f>SUMIFS(PBC_PROFIT_AND_LOSS[AccountBalance], PBC_PROFIT_AND_LOSS[Id],$L38,PBC_PROFIT_AND_LOSS[Date],BS$5)</f>
        <v>0</v>
      </c>
      <c r="BT38" s="289">
        <f>SUMIFS(PBC_PROFIT_AND_LOSS[AccountBalance], PBC_PROFIT_AND_LOSS[Id],$L38,PBC_PROFIT_AND_LOSS[Date],BT$5)</f>
        <v>500</v>
      </c>
      <c r="BU38" s="289">
        <f>SUMIFS(PBC_PROFIT_AND_LOSS[AccountBalance], PBC_PROFIT_AND_LOSS[Id],$L38,PBC_PROFIT_AND_LOSS[Date],BU$5)</f>
        <v>0</v>
      </c>
      <c r="BV38" s="289">
        <f>SUMIFS(PBC_PROFIT_AND_LOSS[AccountBalance], PBC_PROFIT_AND_LOSS[Id],$L38,PBC_PROFIT_AND_LOSS[Date],BV$5)</f>
        <v>0</v>
      </c>
      <c r="BW38" s="289">
        <f>SUMIFS(PBC_PROFIT_AND_LOSS[AccountBalance], PBC_PROFIT_AND_LOSS[Id],$L38,PBC_PROFIT_AND_LOSS[Date],BW$5)</f>
        <v>0</v>
      </c>
      <c r="BX38" s="335" cm="1">
        <f t="array" ref="BX38">_xlfn.SWITCH(
    $E38,
    "3 month avg", AVERAGE(BU38:BW38) * (1 + $F38),
    "6 month avg", AVERAGE(BR38:BW38) * (1 + $F38),
    "12 month avg", AVERAGE(BM38:BW38) * (1 + $F38),
    "Prior Month",BW38* (1 + $F38),
    "Prior Year", BL38* (1 + $F38),
    "Monthly assumption",$G38* (1 + $F38),
    "Quarterly assumption",$G38/3* (1 + $F38),
    "Annual assumption",$G38/12* (1 + $F38),
    "% of Revenue",SUM(_xlfn._xlws.FILTER(_xlfn._xlws.FILTER(dataSummaryPL,dataSummaryPLSections="Revenue"),(startDates&gt;=BX$4)*(endDates&lt;=BX$5)))*$F38,
    "Custom",0,
    "0",0,
        0
)</f>
        <v>87.5</v>
      </c>
      <c r="BY38" s="335" cm="1">
        <f t="array" ref="BY38">_xlfn.SWITCH(
    $E38,
    "3 month avg", AVERAGE(BV38:BX38) * (1 + $F38),
    "6 month avg", AVERAGE(BS38:BX38) * (1 + $F38),
    "12 month avg", AVERAGE(BN38:BX38) * (1 + $F38),
    "Prior Month",BX38* (1 + $F38),
    "Prior Year", BM38* (1 + $F38),
    "Monthly assumption",$G38* (1 + $F38),
    "Quarterly assumption",$G38/3* (1 + $F38),
    "Annual assumption",$G38/12* (1 + $F38),
    "% of Revenue",SUM(_xlfn._xlws.FILTER(_xlfn._xlws.FILTER(dataSummaryPL,dataSummaryPLSections="Revenue"),(startDates&gt;=BY$4)*(endDates&lt;=BY$5)))*$F38,
    "Custom",0,
    "0",0,
        0
)</f>
        <v>102.81250000000001</v>
      </c>
      <c r="BZ38" s="335" cm="1">
        <f t="array" ref="BZ38">_xlfn.SWITCH(
    $E38,
    "3 month avg", AVERAGE(BW38:BY38) * (1 + $F38),
    "6 month avg", AVERAGE(BT38:BY38) * (1 + $F38),
    "12 month avg", AVERAGE(BO38:BY38) * (1 + $F38),
    "Prior Month",BY38* (1 + $F38),
    "Prior Year", BN38* (1 + $F38),
    "Monthly assumption",$G38* (1 + $F38),
    "Quarterly assumption",$G38/3* (1 + $F38),
    "Annual assumption",$G38/12* (1 + $F38),
    "% of Revenue",SUM(_xlfn._xlws.FILTER(_xlfn._xlws.FILTER(dataSummaryPL,dataSummaryPLSections="Revenue"),(startDates&gt;=BZ$4)*(endDates&lt;=BZ$5)))*$F38,
    "Custom",0,
    "0",0,
        0
)</f>
        <v>120.8046875</v>
      </c>
      <c r="CA38" s="335" cm="1">
        <f t="array" ref="CA38">_xlfn.SWITCH(
    $E38,
    "3 month avg", AVERAGE(BX38:BZ38) * (1 + $F38),
    "6 month avg", AVERAGE(BU38:BZ38) * (1 + $F38),
    "12 month avg", AVERAGE(BP38:BZ38) * (1 + $F38),
    "Prior Month",BZ38* (1 + $F38),
    "Prior Year", BO38* (1 + $F38),
    "Monthly assumption",$G38* (1 + $F38),
    "Quarterly assumption",$G38/3* (1 + $F38),
    "Annual assumption",$G38/12* (1 + $F38),
    "% of Revenue",SUM(_xlfn._xlws.FILTER(_xlfn._xlws.FILTER(dataSummaryPL,dataSummaryPLSections="Revenue"),(startDates&gt;=CA$4)*(endDates&lt;=CA$5)))*$F38,
    "Custom",0,
    "0",0,
        0
)</f>
        <v>54.445507812500004</v>
      </c>
      <c r="CB38" s="335" cm="1">
        <f t="array" ref="CB38">_xlfn.SWITCH(
    $E38,
    "3 month avg", AVERAGE(BY38:CA38) * (1 + $F38),
    "6 month avg", AVERAGE(BV38:CA38) * (1 + $F38),
    "12 month avg", AVERAGE(BQ38:CA38) * (1 + $F38),
    "Prior Month",CA38* (1 + $F38),
    "Prior Year", BP38* (1 + $F38),
    "Monthly assumption",$G38* (1 + $F38),
    "Quarterly assumption",$G38/3* (1 + $F38),
    "Annual assumption",$G38/12* (1 + $F38),
    "% of Revenue",SUM(_xlfn._xlws.FILTER(_xlfn._xlws.FILTER(dataSummaryPL,dataSummaryPLSections="Revenue"),(startDates&gt;=CB$4)*(endDates&lt;=CB$5)))*$F38,
    "Custom",0,
    "0",0,
        0
)</f>
        <v>63.973471679687506</v>
      </c>
      <c r="CC38" s="335" cm="1">
        <f t="array" ref="CC38">_xlfn.SWITCH(
    $E38,
    "3 month avg", AVERAGE(BZ38:CB38) * (1 + $F38),
    "6 month avg", AVERAGE(BW38:CB38) * (1 + $F38),
    "12 month avg", AVERAGE(BR38:CB38) * (1 + $F38),
    "Prior Month",CB38* (1 + $F38),
    "Prior Year", BQ38* (1 + $F38),
    "Monthly assumption",$G38* (1 + $F38),
    "Quarterly assumption",$G38/3* (1 + $F38),
    "Annual assumption",$G38/12* (1 + $F38),
    "% of Revenue",SUM(_xlfn._xlws.FILTER(_xlfn._xlws.FILTER(dataSummaryPL,dataSummaryPLSections="Revenue"),(startDates&gt;=CC$4)*(endDates&lt;=CC$5)))*$F38,
    "Custom",0,
    "0",0,
        0
)</f>
        <v>75.168829223632827</v>
      </c>
      <c r="CD38" s="335" cm="1">
        <f t="array" ref="CD38">_xlfn.SWITCH(
    $E38,
    "3 month avg", AVERAGE(CA38:CC38) * (1 + $F38),
    "6 month avg", AVERAGE(BX38:CC38) * (1 + $F38),
    "12 month avg", AVERAGE(BS38:CC38) * (1 + $F38),
    "Prior Month",CC38* (1 + $F38),
    "Prior Year", BR38* (1 + $F38),
    "Monthly assumption",$G38* (1 + $F38),
    "Quarterly assumption",$G38/3* (1 + $F38),
    "Annual assumption",$G38/12* (1 + $F38),
    "% of Revenue",SUM(_xlfn._xlws.FILTER(_xlfn._xlws.FILTER(dataSummaryPL,dataSummaryPLSections="Revenue"),(startDates&gt;=CD$4)*(endDates&lt;=CD$5)))*$F38,
    "Custom",0,
    "0",0,
        0
)</f>
        <v>88.323374337768556</v>
      </c>
      <c r="CE38" s="335" cm="1">
        <f t="array" ref="CE38">_xlfn.SWITCH(
    $E38,
    "3 month avg", AVERAGE(CB38:CD38) * (1 + $F38),
    "6 month avg", AVERAGE(BY38:CD38) * (1 + $F38),
    "12 month avg", AVERAGE(BT38:CD38) * (1 + $F38),
    "Prior Month",CD38* (1 + $F38),
    "Prior Year", BS38* (1 + $F38),
    "Monthly assumption",$G38* (1 + $F38),
    "Quarterly assumption",$G38/3* (1 + $F38),
    "Annual assumption",$G38/12* (1 + $F38),
    "% of Revenue",SUM(_xlfn._xlws.FILTER(_xlfn._xlws.FILTER(dataSummaryPL,dataSummaryPLSections="Revenue"),(startDates&gt;=CE$4)*(endDates&lt;=CE$5)))*$F38,
    "Custom",0,
    "0",0,
        0
)</f>
        <v>88.467464846878059</v>
      </c>
      <c r="CF38" s="335" cm="1">
        <f t="array" ref="CF38">_xlfn.SWITCH(
    $E38,
    "3 month avg", AVERAGE(CC38:CE38) * (1 + $F38),
    "6 month avg", AVERAGE(BZ38:CE38) * (1 + $F38),
    "12 month avg", AVERAGE(BU38:CE38) * (1 + $F38),
    "Prior Month",CE38* (1 + $F38),
    "Prior Year", BT38* (1 + $F38),
    "Monthly assumption",$G38* (1 + $F38),
    "Quarterly assumption",$G38/3* (1 + $F38),
    "Annual assumption",$G38/12* (1 + $F38),
    "% of Revenue",SUM(_xlfn._xlws.FILTER(_xlfn._xlws.FILTER(dataSummaryPL,dataSummaryPLSections="Revenue"),(startDates&gt;=CF$4)*(endDates&lt;=CF$5)))*$F38,
    "Custom",0,
    "0",0,
        0
)</f>
        <v>85.957083695081721</v>
      </c>
      <c r="CG38" s="335" cm="1">
        <f t="array" ref="CG38">_xlfn.SWITCH(
    $E38,
    "3 month avg", AVERAGE(CD38:CF38) * (1 + $F38),
    "6 month avg", AVERAGE(CA38:CF38) * (1 + $F38),
    "12 month avg", AVERAGE(BV38:CF38) * (1 + $F38),
    "Prior Month",CF38* (1 + $F38),
    "Prior Year", BU38* (1 + $F38),
    "Monthly assumption",$G38* (1 + $F38),
    "Quarterly assumption",$G38/3* (1 + $F38),
    "Annual assumption",$G38/12* (1 + $F38),
    "% of Revenue",SUM(_xlfn._xlws.FILTER(_xlfn._xlws.FILTER(dataSummaryPL,dataSummaryPLSections="Revenue"),(startDates&gt;=CG$4)*(endDates&lt;=CG$5)))*$F38,
    "Custom",0,
    "0",0,
        0
)</f>
        <v>79.85875302922102</v>
      </c>
      <c r="CH38" s="335" cm="1">
        <f t="array" ref="CH38">_xlfn.SWITCH(
    $E38,
    "3 month avg", AVERAGE(CE38:CG38) * (1 + $F38),
    "6 month avg", AVERAGE(CB38:CG38) * (1 + $F38),
    "12 month avg", AVERAGE(BW38:CG38) * (1 + $F38),
    "Prior Month",CG38* (1 + $F38),
    "Prior Year", BV38* (1 + $F38),
    "Monthly assumption",$G38* (1 + $F38),
    "Quarterly assumption",$G38/3* (1 + $F38),
    "Annual assumption",$G38/12* (1 + $F38),
    "% of Revenue",SUM(_xlfn._xlws.FILTER(_xlfn._xlws.FILTER(dataSummaryPL,dataSummaryPLSections="Revenue"),(startDates&gt;=CH$4)*(endDates&lt;=CH$5)))*$F38,
    "Custom",0,
    "0",0,
        0
)</f>
        <v>84.306070942147201</v>
      </c>
      <c r="CI38" s="335" cm="1">
        <f t="array" ref="CI38">_xlfn.SWITCH(
    $E38,
    "3 month avg", AVERAGE(CF38:CH38) * (1 + $F38),
    "6 month avg", AVERAGE(CC38:CH38) * (1 + $F38),
    "12 month avg", AVERAGE(BX38:CH38) * (1 + $F38),
    "Prior Month",CH38* (1 + $F38),
    "Prior Year", BW38* (1 + $F38),
    "Monthly assumption",$G38* (1 + $F38),
    "Quarterly assumption",$G38/3* (1 + $F38),
    "Annual assumption",$G38/12* (1 + $F38),
    "% of Revenue",SUM(_xlfn._xlws.FILTER(_xlfn._xlws.FILTER(dataSummaryPL,dataSummaryPLSections="Revenue"),(startDates&gt;=CI$4)*(endDates&lt;=CI$5)))*$F38,
    "Custom",0,
    "0",0,
        0
)</f>
        <v>87.86427581307764</v>
      </c>
      <c r="CJ38" s="335" cm="1">
        <f t="array" ref="CJ38">_xlfn.SWITCH(
    $E38,
    "3 month avg", AVERAGE(CG38:CI38) * (1 + $F38),
    "6 month avg", AVERAGE(CD38:CI38) * (1 + $F38),
    "12 month avg", AVERAGE(BY38:CI38) * (1 + $F38),
    "Prior Month",CI38* (1 + $F38),
    "Prior Year", BX38* (1 + $F38),
    "Monthly assumption",$G38* (1 + $F38),
    "Quarterly assumption",$G38/3* (1 + $F38),
    "Annual assumption",$G38/12* (1 + $F38),
    "% of Revenue",SUM(_xlfn._xlws.FILTER(_xlfn._xlws.FILTER(dataSummaryPL,dataSummaryPLSections="Revenue"),(startDates&gt;=CJ$4)*(endDates&lt;=CJ$5)))*$F38,
    "Custom",0,
    "0",0,
        0
)</f>
        <v>90.085978966230485</v>
      </c>
    </row>
    <row r="39" spans="3:88" outlineLevel="2">
      <c r="C39" s="283"/>
      <c r="D39" s="288" t="s">
        <v>235</v>
      </c>
      <c r="E39" s="280" t="s">
        <v>354</v>
      </c>
      <c r="F39" s="332">
        <v>0.05</v>
      </c>
      <c r="G39" s="332"/>
      <c r="H39" s="277" t="str">
        <f>IFERROR(INDEX(PBC_ACCOUNT_LIST[Drivers Section],MATCH(Drivers!L39,PBC_ACCOUNT_LIST[Id],0)),"")</f>
        <v>Opex</v>
      </c>
      <c r="I39" s="277" t="str">
        <f>IFERROR(INDEX(PBC_ACCOUNT_LIST[Summary Grouping],MATCH(Drivers!L39,PBC_ACCOUNT_LIST[Id],0)),"")</f>
        <v>Professional Services</v>
      </c>
      <c r="J39" s="277">
        <f>IFERROR(INDEX(PBC_ACCOUNT_LIST[Cash Flow Section],MATCH(Drivers!L39,PBC_ACCOUNT_LIST[Id],0)),"")</f>
        <v>0</v>
      </c>
      <c r="K39" s="278" t="s">
        <v>106</v>
      </c>
      <c r="L39" s="277">
        <v>175</v>
      </c>
      <c r="M39" s="276"/>
      <c r="O39" s="272"/>
      <c r="P39" s="289">
        <f t="shared" si="44"/>
        <v>24727</v>
      </c>
      <c r="Q39" s="289">
        <f t="shared" si="44"/>
        <v>60342</v>
      </c>
      <c r="R39" s="289">
        <f t="shared" si="44"/>
        <v>110417.897</v>
      </c>
      <c r="S39" s="289">
        <f t="shared" si="44"/>
        <v>144207.9420428907</v>
      </c>
      <c r="T39" s="289"/>
      <c r="U39" s="289"/>
      <c r="V39" s="289">
        <f t="shared" si="46"/>
        <v>4660</v>
      </c>
      <c r="W39" s="289">
        <f t="shared" si="46"/>
        <v>5166</v>
      </c>
      <c r="X39" s="289">
        <f t="shared" si="46"/>
        <v>5727</v>
      </c>
      <c r="Y39" s="289">
        <f t="shared" si="46"/>
        <v>9174</v>
      </c>
      <c r="Z39" s="289">
        <f t="shared" si="46"/>
        <v>10109</v>
      </c>
      <c r="AA39" s="289">
        <f t="shared" si="46"/>
        <v>13493</v>
      </c>
      <c r="AB39" s="289">
        <f t="shared" si="46"/>
        <v>17619</v>
      </c>
      <c r="AC39" s="289">
        <f t="shared" si="46"/>
        <v>19121</v>
      </c>
      <c r="AD39" s="289">
        <f t="shared" si="46"/>
        <v>22134.37</v>
      </c>
      <c r="AE39" s="289">
        <f t="shared" si="46"/>
        <v>25624.25</v>
      </c>
      <c r="AF39" s="289">
        <f t="shared" si="46"/>
        <v>29662.86</v>
      </c>
      <c r="AG39" s="289">
        <f t="shared" si="46"/>
        <v>32996.417000000001</v>
      </c>
      <c r="AH39" s="289">
        <f t="shared" si="46"/>
        <v>33678.37594329688</v>
      </c>
      <c r="AI39" s="289">
        <f t="shared" si="46"/>
        <v>35339.920334076749</v>
      </c>
      <c r="AJ39" s="289">
        <f t="shared" si="46"/>
        <v>36805.266366747659</v>
      </c>
      <c r="AK39" s="289">
        <f t="shared" si="46"/>
        <v>38384.37939876943</v>
      </c>
      <c r="AL39" s="333"/>
      <c r="AM39" s="334"/>
      <c r="AN39" s="289">
        <f>SUMIFS(PBC_PROFIT_AND_LOSS[AccountBalance], PBC_PROFIT_AND_LOSS[Id],$L39,PBC_PROFIT_AND_LOSS[Date],AN$5)</f>
        <v>0</v>
      </c>
      <c r="AO39" s="289">
        <f>SUMIFS(PBC_PROFIT_AND_LOSS[AccountBalance], PBC_PROFIT_AND_LOSS[Id],$L39,PBC_PROFIT_AND_LOSS[Date],AO$5)</f>
        <v>1500</v>
      </c>
      <c r="AP39" s="289">
        <f>SUMIFS(PBC_PROFIT_AND_LOSS[AccountBalance], PBC_PROFIT_AND_LOSS[Id],$L39,PBC_PROFIT_AND_LOSS[Date],AP$5)</f>
        <v>1553</v>
      </c>
      <c r="AQ39" s="289">
        <f>SUMIFS(PBC_PROFIT_AND_LOSS[AccountBalance], PBC_PROFIT_AND_LOSS[Id],$L39,PBC_PROFIT_AND_LOSS[Date],AQ$5)</f>
        <v>1607</v>
      </c>
      <c r="AR39" s="289">
        <f>SUMIFS(PBC_PROFIT_AND_LOSS[AccountBalance], PBC_PROFIT_AND_LOSS[Id],$L39,PBC_PROFIT_AND_LOSS[Date],AR$5)</f>
        <v>1663</v>
      </c>
      <c r="AS39" s="289">
        <f>SUMIFS(PBC_PROFIT_AND_LOSS[AccountBalance], PBC_PROFIT_AND_LOSS[Id],$L39,PBC_PROFIT_AND_LOSS[Date],AS$5)</f>
        <v>1721</v>
      </c>
      <c r="AT39" s="289">
        <f>SUMIFS(PBC_PROFIT_AND_LOSS[AccountBalance], PBC_PROFIT_AND_LOSS[Id],$L39,PBC_PROFIT_AND_LOSS[Date],AT$5)</f>
        <v>1782</v>
      </c>
      <c r="AU39" s="289">
        <f>SUMIFS(PBC_PROFIT_AND_LOSS[AccountBalance], PBC_PROFIT_AND_LOSS[Id],$L39,PBC_PROFIT_AND_LOSS[Date],AU$5)</f>
        <v>1844</v>
      </c>
      <c r="AV39" s="289">
        <f>SUMIFS(PBC_PROFIT_AND_LOSS[AccountBalance], PBC_PROFIT_AND_LOSS[Id],$L39,PBC_PROFIT_AND_LOSS[Date],AV$5)</f>
        <v>1908</v>
      </c>
      <c r="AW39" s="289">
        <f>SUMIFS(PBC_PROFIT_AND_LOSS[AccountBalance], PBC_PROFIT_AND_LOSS[Id],$L39,PBC_PROFIT_AND_LOSS[Date],AW$5)</f>
        <v>1975</v>
      </c>
      <c r="AX39" s="289">
        <f>SUMIFS(PBC_PROFIT_AND_LOSS[AccountBalance], PBC_PROFIT_AND_LOSS[Id],$L39,PBC_PROFIT_AND_LOSS[Date],AX$5)</f>
        <v>2044</v>
      </c>
      <c r="AY39" s="289">
        <f>SUMIFS(PBC_PROFIT_AND_LOSS[AccountBalance], PBC_PROFIT_AND_LOSS[Id],$L39,PBC_PROFIT_AND_LOSS[Date],AY$5)</f>
        <v>2378</v>
      </c>
      <c r="AZ39" s="289">
        <f>SUMIFS(PBC_PROFIT_AND_LOSS[AccountBalance], PBC_PROFIT_AND_LOSS[Id],$L39,PBC_PROFIT_AND_LOSS[Date],AZ$5)</f>
        <v>4752</v>
      </c>
      <c r="BA39" s="289">
        <f>SUMIFS(PBC_PROFIT_AND_LOSS[AccountBalance], PBC_PROFIT_AND_LOSS[Id],$L39,PBC_PROFIT_AND_LOSS[Date],BA$5)</f>
        <v>2497</v>
      </c>
      <c r="BB39" s="289">
        <f>SUMIFS(PBC_PROFIT_AND_LOSS[AccountBalance], PBC_PROFIT_AND_LOSS[Id],$L39,PBC_PROFIT_AND_LOSS[Date],BB$5)</f>
        <v>4990</v>
      </c>
      <c r="BC39" s="289">
        <f>SUMIFS(PBC_PROFIT_AND_LOSS[AccountBalance], PBC_PROFIT_AND_LOSS[Id],$L39,PBC_PROFIT_AND_LOSS[Date],BC$5)</f>
        <v>2622</v>
      </c>
      <c r="BD39" s="289">
        <f>SUMIFS(PBC_PROFIT_AND_LOSS[AccountBalance], PBC_PROFIT_AND_LOSS[Id],$L39,PBC_PROFIT_AND_LOSS[Date],BD$5)</f>
        <v>5239</v>
      </c>
      <c r="BE39" s="289">
        <f>SUMIFS(PBC_PROFIT_AND_LOSS[AccountBalance], PBC_PROFIT_AND_LOSS[Id],$L39,PBC_PROFIT_AND_LOSS[Date],BE$5)</f>
        <v>2753</v>
      </c>
      <c r="BF39" s="289">
        <f>SUMIFS(PBC_PROFIT_AND_LOSS[AccountBalance], PBC_PROFIT_AND_LOSS[Id],$L39,PBC_PROFIT_AND_LOSS[Date],BF$5)</f>
        <v>5501</v>
      </c>
      <c r="BG39" s="289">
        <f>SUMIFS(PBC_PROFIT_AND_LOSS[AccountBalance], PBC_PROFIT_AND_LOSS[Id],$L39,PBC_PROFIT_AND_LOSS[Date],BG$5)</f>
        <v>5777</v>
      </c>
      <c r="BH39" s="289">
        <f>SUMIFS(PBC_PROFIT_AND_LOSS[AccountBalance], PBC_PROFIT_AND_LOSS[Id],$L39,PBC_PROFIT_AND_LOSS[Date],BH$5)</f>
        <v>5777</v>
      </c>
      <c r="BI39" s="289">
        <f>SUMIFS(PBC_PROFIT_AND_LOSS[AccountBalance], PBC_PROFIT_AND_LOSS[Id],$L39,PBC_PROFIT_AND_LOSS[Date],BI$5)</f>
        <v>6065</v>
      </c>
      <c r="BJ39" s="289">
        <f>SUMIFS(PBC_PROFIT_AND_LOSS[AccountBalance], PBC_PROFIT_AND_LOSS[Id],$L39,PBC_PROFIT_AND_LOSS[Date],BJ$5)</f>
        <v>6065</v>
      </c>
      <c r="BK39" s="289">
        <f>SUMIFS(PBC_PROFIT_AND_LOSS[AccountBalance], PBC_PROFIT_AND_LOSS[Id],$L39,PBC_PROFIT_AND_LOSS[Date],BK$5)</f>
        <v>6369</v>
      </c>
      <c r="BL39" s="289">
        <f>SUMIFS(PBC_PROFIT_AND_LOSS[AccountBalance], PBC_PROFIT_AND_LOSS[Id],$L39,PBC_PROFIT_AND_LOSS[Date],BL$5)</f>
        <v>6687</v>
      </c>
      <c r="BM39" s="289">
        <f>SUMIFS(PBC_PROFIT_AND_LOSS[AccountBalance], PBC_PROFIT_AND_LOSS[Id],$L39,PBC_PROFIT_AND_LOSS[Date],BM$5)</f>
        <v>7021.37</v>
      </c>
      <c r="BN39" s="289">
        <f>SUMIFS(PBC_PROFIT_AND_LOSS[AccountBalance], PBC_PROFIT_AND_LOSS[Id],$L39,PBC_PROFIT_AND_LOSS[Date],BN$5)</f>
        <v>7372</v>
      </c>
      <c r="BO39" s="289">
        <f>SUMIFS(PBC_PROFIT_AND_LOSS[AccountBalance], PBC_PROFIT_AND_LOSS[Id],$L39,PBC_PROFIT_AND_LOSS[Date],BO$5)</f>
        <v>7741</v>
      </c>
      <c r="BP39" s="289">
        <f>SUMIFS(PBC_PROFIT_AND_LOSS[AccountBalance], PBC_PROFIT_AND_LOSS[Id],$L39,PBC_PROFIT_AND_LOSS[Date],BP$5)</f>
        <v>8128</v>
      </c>
      <c r="BQ39" s="289">
        <f>SUMIFS(PBC_PROFIT_AND_LOSS[AccountBalance], PBC_PROFIT_AND_LOSS[Id],$L39,PBC_PROFIT_AND_LOSS[Date],BQ$5)</f>
        <v>8535</v>
      </c>
      <c r="BR39" s="289">
        <f>SUMIFS(PBC_PROFIT_AND_LOSS[AccountBalance], PBC_PROFIT_AND_LOSS[Id],$L39,PBC_PROFIT_AND_LOSS[Date],BR$5)</f>
        <v>8961.25</v>
      </c>
      <c r="BS39" s="289">
        <f>SUMIFS(PBC_PROFIT_AND_LOSS[AccountBalance], PBC_PROFIT_AND_LOSS[Id],$L39,PBC_PROFIT_AND_LOSS[Date],BS$5)</f>
        <v>9409.31</v>
      </c>
      <c r="BT39" s="289">
        <f>SUMIFS(PBC_PROFIT_AND_LOSS[AccountBalance], PBC_PROFIT_AND_LOSS[Id],$L39,PBC_PROFIT_AND_LOSS[Date],BT$5)</f>
        <v>9879.7800000000007</v>
      </c>
      <c r="BU39" s="289">
        <f>SUMIFS(PBC_PROFIT_AND_LOSS[AccountBalance], PBC_PROFIT_AND_LOSS[Id],$L39,PBC_PROFIT_AND_LOSS[Date],BU$5)</f>
        <v>10373.77</v>
      </c>
      <c r="BV39" s="289">
        <f>SUMIFS(PBC_PROFIT_AND_LOSS[AccountBalance], PBC_PROFIT_AND_LOSS[Id],$L39,PBC_PROFIT_AND_LOSS[Date],BV$5)</f>
        <v>10892.45</v>
      </c>
      <c r="BW39" s="289">
        <f>SUMIFS(PBC_PROFIT_AND_LOSS[AccountBalance], PBC_PROFIT_AND_LOSS[Id],$L39,PBC_PROFIT_AND_LOSS[Date],BW$5)</f>
        <v>11437.08</v>
      </c>
      <c r="BX39" s="335" cm="1">
        <f t="array" ref="BX39">_xlfn.SWITCH(
    $E39,
    "3 month avg", AVERAGE(BU39:BW39) * (1 + $F39),
    "6 month avg", AVERAGE(BR39:BW39) * (1 + $F39),
    "12 month avg", AVERAGE(BM39:BW39) * (1 + $F39),
    "Prior Month",BW39* (1 + $F39),
    "Prior Year", BL39* (1 + $F39),
    "Monthly assumption",$G39* (1 + $F39),
    "Quarterly assumption",$G39/3* (1 + $F39),
    "Annual assumption",$G39/12* (1 + $F39),
    "% of Revenue",SUM(_xlfn._xlws.FILTER(_xlfn._xlws.FILTER(dataSummaryPL,dataSummaryPLSections="Revenue"),(startDates&gt;=BX$4)*(endDates&lt;=BX$5)))*$F39,
    "Custom",0,
    "0",0,
        0
)</f>
        <v>10666.887000000001</v>
      </c>
      <c r="BY39" s="335" cm="1">
        <f t="array" ref="BY39">_xlfn.SWITCH(
    $E39,
    "3 month avg", AVERAGE(BV39:BX39) * (1 + $F39),
    "6 month avg", AVERAGE(BS39:BX39) * (1 + $F39),
    "12 month avg", AVERAGE(BN39:BX39) * (1 + $F39),
    "Prior Month",BX39* (1 + $F39),
    "Prior Year", BM39* (1 + $F39),
    "Monthly assumption",$G39* (1 + $F39),
    "Quarterly assumption",$G39/3* (1 + $F39),
    "Annual assumption",$G39/12* (1 + $F39),
    "% of Revenue",SUM(_xlfn._xlws.FILTER(_xlfn._xlws.FILTER(dataSummaryPL,dataSummaryPLSections="Revenue"),(startDates&gt;=BY$4)*(endDates&lt;=BY$5)))*$F39,
    "Custom",0,
    "0",0,
        0
)</f>
        <v>10965.373475</v>
      </c>
      <c r="BZ39" s="335" cm="1">
        <f t="array" ref="BZ39">_xlfn.SWITCH(
    $E39,
    "3 month avg", AVERAGE(BW39:BY39) * (1 + $F39),
    "6 month avg", AVERAGE(BT39:BY39) * (1 + $F39),
    "12 month avg", AVERAGE(BO39:BY39) * (1 + $F39),
    "Prior Month",BY39* (1 + $F39),
    "Prior Year", BN39* (1 + $F39),
    "Monthly assumption",$G39* (1 + $F39),
    "Quarterly assumption",$G39/3* (1 + $F39),
    "Annual assumption",$G39/12* (1 + $F39),
    "% of Revenue",SUM(_xlfn._xlws.FILTER(_xlfn._xlws.FILTER(dataSummaryPL,dataSummaryPLSections="Revenue"),(startDates&gt;=BZ$4)*(endDates&lt;=BZ$5)))*$F39,
    "Custom",0,
    "0",0,
        0
)</f>
        <v>11237.684583125001</v>
      </c>
      <c r="CA39" s="335" cm="1">
        <f t="array" ref="CA39">_xlfn.SWITCH(
    $E39,
    "3 month avg", AVERAGE(BX39:BZ39) * (1 + $F39),
    "6 month avg", AVERAGE(BU39:BZ39) * (1 + $F39),
    "12 month avg", AVERAGE(BP39:BZ39) * (1 + $F39),
    "Prior Month",BZ39* (1 + $F39),
    "Prior Year", BO39* (1 + $F39),
    "Monthly assumption",$G39* (1 + $F39),
    "Quarterly assumption",$G39/3* (1 + $F39),
    "Annual assumption",$G39/12* (1 + $F39),
    "% of Revenue",SUM(_xlfn._xlws.FILTER(_xlfn._xlws.FILTER(dataSummaryPL,dataSummaryPLSections="Revenue"),(startDates&gt;=CA$4)*(endDates&lt;=CA$5)))*$F39,
    "Custom",0,
    "0",0,
        0
)</f>
        <v>11475.317885171877</v>
      </c>
      <c r="CB39" s="335" cm="1">
        <f t="array" ref="CB39">_xlfn.SWITCH(
    $E39,
    "3 month avg", AVERAGE(BY39:CA39) * (1 + $F39),
    "6 month avg", AVERAGE(BV39:CA39) * (1 + $F39),
    "12 month avg", AVERAGE(BQ39:CA39) * (1 + $F39),
    "Prior Month",CA39* (1 + $F39),
    "Prior Year", BP39* (1 + $F39),
    "Monthly assumption",$G39* (1 + $F39),
    "Quarterly assumption",$G39/3* (1 + $F39),
    "Annual assumption",$G39/12* (1 + $F39),
    "% of Revenue",SUM(_xlfn._xlws.FILTER(_xlfn._xlws.FILTER(dataSummaryPL,dataSummaryPLSections="Revenue"),(startDates&gt;=CB$4)*(endDates&lt;=CB$5)))*$F39,
    "Custom",0,
    "0",0,
        0
)</f>
        <v>11668.088765076955</v>
      </c>
      <c r="CC39" s="335" cm="1">
        <f t="array" ref="CC39">_xlfn.SWITCH(
    $E39,
    "3 month avg", AVERAGE(BZ39:CB39) * (1 + $F39),
    "6 month avg", AVERAGE(BW39:CB39) * (1 + $F39),
    "12 month avg", AVERAGE(BR39:CB39) * (1 + $F39),
    "Prior Month",CB39* (1 + $F39),
    "Prior Year", BQ39* (1 + $F39),
    "Monthly assumption",$G39* (1 + $F39),
    "Quarterly assumption",$G39/3* (1 + $F39),
    "Annual assumption",$G39/12* (1 + $F39),
    "% of Revenue",SUM(_xlfn._xlws.FILTER(_xlfn._xlws.FILTER(dataSummaryPL,dataSummaryPLSections="Revenue"),(startDates&gt;=CC$4)*(endDates&lt;=CC$5)))*$F39,
    "Custom",0,
    "0",0,
        0
)</f>
        <v>11803.825548965422</v>
      </c>
      <c r="CD39" s="335" cm="1">
        <f t="array" ref="CD39">_xlfn.SWITCH(
    $E39,
    "3 month avg", AVERAGE(CA39:CC39) * (1 + $F39),
    "6 month avg", AVERAGE(BX39:CC39) * (1 + $F39),
    "12 month avg", AVERAGE(BS39:CC39) * (1 + $F39),
    "Prior Month",CC39* (1 + $F39),
    "Prior Year", BR39* (1 + $F39),
    "Monthly assumption",$G39* (1 + $F39),
    "Quarterly assumption",$G39/3* (1 + $F39),
    "Annual assumption",$G39/12* (1 + $F39),
    "% of Revenue",SUM(_xlfn._xlws.FILTER(_xlfn._xlws.FILTER(dataSummaryPL,dataSummaryPLSections="Revenue"),(startDates&gt;=CD$4)*(endDates&lt;=CD$5)))*$F39,
    "Custom",0,
    "0",0,
        0
)</f>
        <v>11868.006020034372</v>
      </c>
      <c r="CE39" s="335" cm="1">
        <f t="array" ref="CE39">_xlfn.SWITCH(
    $E39,
    "3 month avg", AVERAGE(CB39:CD39) * (1 + $F39),
    "6 month avg", AVERAGE(BY39:CD39) * (1 + $F39),
    "12 month avg", AVERAGE(BT39:CD39) * (1 + $F39),
    "Prior Month",CD39* (1 + $F39),
    "Prior Year", BS39* (1 + $F39),
    "Monthly assumption",$G39* (1 + $F39),
    "Quarterly assumption",$G39/3* (1 + $F39),
    "Annual assumption",$G39/12* (1 + $F39),
    "% of Revenue",SUM(_xlfn._xlws.FILTER(_xlfn._xlws.FILTER(dataSummaryPL,dataSummaryPLSections="Revenue"),(startDates&gt;=CE$4)*(endDates&lt;=CE$5)))*$F39,
    "Custom",0,
    "0",0,
        0
)</f>
        <v>12078.201848540388</v>
      </c>
      <c r="CF39" s="335" cm="1">
        <f t="array" ref="CF39">_xlfn.SWITCH(
    $E39,
    "3 month avg", AVERAGE(CC39:CE39) * (1 + $F39),
    "6 month avg", AVERAGE(BZ39:CE39) * (1 + $F39),
    "12 month avg", AVERAGE(BU39:CE39) * (1 + $F39),
    "Prior Month",CE39* (1 + $F39),
    "Prior Year", BT39* (1 + $F39),
    "Monthly assumption",$G39* (1 + $F39),
    "Quarterly assumption",$G39/3* (1 + $F39),
    "Annual assumption",$G39/12* (1 + $F39),
    "% of Revenue",SUM(_xlfn._xlws.FILTER(_xlfn._xlws.FILTER(dataSummaryPL,dataSummaryPLSections="Revenue"),(startDates&gt;=CF$4)*(endDates&lt;=CF$5)))*$F39,
    "Custom",0,
    "0",0,
        0
)</f>
        <v>12272.946813909954</v>
      </c>
      <c r="CG39" s="335" cm="1">
        <f t="array" ref="CG39">_xlfn.SWITCH(
    $E39,
    "3 month avg", AVERAGE(CD39:CF39) * (1 + $F39),
    "6 month avg", AVERAGE(CA39:CF39) * (1 + $F39),
    "12 month avg", AVERAGE(BV39:CF39) * (1 + $F39),
    "Prior Month",CF39* (1 + $F39),
    "Prior Year", BU39* (1 + $F39),
    "Monthly assumption",$G39* (1 + $F39),
    "Quarterly assumption",$G39/3* (1 + $F39),
    "Annual assumption",$G39/12* (1 + $F39),
    "% of Revenue",SUM(_xlfn._xlws.FILTER(_xlfn._xlws.FILTER(dataSummaryPL,dataSummaryPLSections="Revenue"),(startDates&gt;=CG$4)*(endDates&lt;=CG$5)))*$F39,
    "Custom",0,
    "0",0,
        0
)</f>
        <v>12454.11770429732</v>
      </c>
      <c r="CH39" s="335" cm="1">
        <f t="array" ref="CH39">_xlfn.SWITCH(
    $E39,
    "3 month avg", AVERAGE(CE39:CG39) * (1 + $F39),
    "6 month avg", AVERAGE(CB39:CG39) * (1 + $F39),
    "12 month avg", AVERAGE(BW39:CG39) * (1 + $F39),
    "Prior Month",CG39* (1 + $F39),
    "Prior Year", BV39* (1 + $F39),
    "Monthly assumption",$G39* (1 + $F39),
    "Quarterly assumption",$G39/3* (1 + $F39),
    "Annual assumption",$G39/12* (1 + $F39),
    "% of Revenue",SUM(_xlfn._xlws.FILTER(_xlfn._xlws.FILTER(dataSummaryPL,dataSummaryPLSections="Revenue"),(startDates&gt;=CH$4)*(endDates&lt;=CH$5)))*$F39,
    "Custom",0,
    "0",0,
        0
)</f>
        <v>12625.407672644273</v>
      </c>
      <c r="CI39" s="335" cm="1">
        <f t="array" ref="CI39">_xlfn.SWITCH(
    $E39,
    "3 month avg", AVERAGE(CF39:CH39) * (1 + $F39),
    "6 month avg", AVERAGE(CC39:CH39) * (1 + $F39),
    "12 month avg", AVERAGE(BX39:CH39) * (1 + $F39),
    "Prior Month",CH39* (1 + $F39),
    "Prior Year", BW39* (1 + $F39),
    "Monthly assumption",$G39* (1 + $F39),
    "Quarterly assumption",$G39/3* (1 + $F39),
    "Annual assumption",$G39/12* (1 + $F39),
    "% of Revenue",SUM(_xlfn._xlws.FILTER(_xlfn._xlws.FILTER(dataSummaryPL,dataSummaryPLSections="Revenue"),(startDates&gt;=CI$4)*(endDates&lt;=CI$5)))*$F39,
    "Custom",0,
    "0",0,
        0
)</f>
        <v>12792.938481468555</v>
      </c>
      <c r="CJ39" s="335" cm="1">
        <f t="array" ref="CJ39">_xlfn.SWITCH(
    $E39,
    "3 month avg", AVERAGE(CG39:CI39) * (1 + $F39),
    "6 month avg", AVERAGE(CD39:CI39) * (1 + $F39),
    "12 month avg", AVERAGE(BY39:CI39) * (1 + $F39),
    "Prior Month",CI39* (1 + $F39),
    "Prior Year", BX39* (1 + $F39),
    "Monthly assumption",$G39* (1 + $F39),
    "Quarterly assumption",$G39/3* (1 + $F39),
    "Annual assumption",$G39/12* (1 + $F39),
    "% of Revenue",SUM(_xlfn._xlws.FILTER(_xlfn._xlws.FILTER(dataSummaryPL,dataSummaryPLSections="Revenue"),(startDates&gt;=CJ$4)*(endDates&lt;=CJ$5)))*$F39,
    "Custom",0,
    "0",0,
        0
)</f>
        <v>12966.033244656603</v>
      </c>
    </row>
    <row r="40" spans="3:88" outlineLevel="2">
      <c r="C40" s="283"/>
      <c r="D40" s="288" t="s">
        <v>252</v>
      </c>
      <c r="E40" s="280" t="s">
        <v>354</v>
      </c>
      <c r="F40" s="332">
        <v>0.05</v>
      </c>
      <c r="G40" s="332"/>
      <c r="H40" s="277" t="str">
        <f>IFERROR(INDEX(PBC_ACCOUNT_LIST[Drivers Section],MATCH(Drivers!L40,PBC_ACCOUNT_LIST[Id],0)),"")</f>
        <v>Opex</v>
      </c>
      <c r="I40" s="277" t="str">
        <f>IFERROR(INDEX(PBC_ACCOUNT_LIST[Summary Grouping],MATCH(Drivers!L40,PBC_ACCOUNT_LIST[Id],0)),"")</f>
        <v>Professional Services</v>
      </c>
      <c r="J40" s="277">
        <f>IFERROR(INDEX(PBC_ACCOUNT_LIST[Cash Flow Section],MATCH(Drivers!L40,PBC_ACCOUNT_LIST[Id],0)),"")</f>
        <v>0</v>
      </c>
      <c r="K40" s="278" t="s">
        <v>106</v>
      </c>
      <c r="L40" s="277">
        <v>176</v>
      </c>
      <c r="M40" s="276"/>
      <c r="O40" s="272"/>
      <c r="P40" s="289">
        <f t="shared" si="44"/>
        <v>32550</v>
      </c>
      <c r="Q40" s="289">
        <f t="shared" si="44"/>
        <v>75708</v>
      </c>
      <c r="R40" s="289">
        <f t="shared" si="44"/>
        <v>137142.38399999999</v>
      </c>
      <c r="S40" s="289">
        <f t="shared" si="44"/>
        <v>179110.18533530802</v>
      </c>
      <c r="T40" s="289"/>
      <c r="U40" s="289"/>
      <c r="V40" s="289">
        <f t="shared" si="46"/>
        <v>6212</v>
      </c>
      <c r="W40" s="289">
        <f t="shared" si="46"/>
        <v>6887</v>
      </c>
      <c r="X40" s="289">
        <f t="shared" si="46"/>
        <v>7638</v>
      </c>
      <c r="Y40" s="289">
        <f t="shared" si="46"/>
        <v>11813</v>
      </c>
      <c r="Z40" s="289">
        <f t="shared" si="46"/>
        <v>13051</v>
      </c>
      <c r="AA40" s="289">
        <f t="shared" si="46"/>
        <v>17026</v>
      </c>
      <c r="AB40" s="289">
        <f t="shared" si="46"/>
        <v>21883</v>
      </c>
      <c r="AC40" s="289">
        <f t="shared" si="46"/>
        <v>23748</v>
      </c>
      <c r="AD40" s="289">
        <f t="shared" si="46"/>
        <v>27492.739999999998</v>
      </c>
      <c r="AE40" s="289">
        <f t="shared" si="46"/>
        <v>31825.120000000003</v>
      </c>
      <c r="AF40" s="289">
        <f t="shared" si="46"/>
        <v>36842.07</v>
      </c>
      <c r="AG40" s="289">
        <f t="shared" si="46"/>
        <v>40982.453999999998</v>
      </c>
      <c r="AH40" s="289">
        <f t="shared" si="46"/>
        <v>41829.458063312501</v>
      </c>
      <c r="AI40" s="289">
        <f t="shared" si="46"/>
        <v>43893.142489020218</v>
      </c>
      <c r="AJ40" s="289">
        <f t="shared" si="46"/>
        <v>45713.141756430414</v>
      </c>
      <c r="AK40" s="289">
        <f t="shared" si="46"/>
        <v>47674.443026544854</v>
      </c>
      <c r="AL40" s="333"/>
      <c r="AM40" s="334"/>
      <c r="AN40" s="289">
        <f>SUMIFS(PBC_PROFIT_AND_LOSS[AccountBalance], PBC_PROFIT_AND_LOSS[Id],$L40,PBC_PROFIT_AND_LOSS[Date],AN$5)</f>
        <v>0</v>
      </c>
      <c r="AO40" s="289">
        <f>SUMIFS(PBC_PROFIT_AND_LOSS[AccountBalance], PBC_PROFIT_AND_LOSS[Id],$L40,PBC_PROFIT_AND_LOSS[Date],AO$5)</f>
        <v>2000</v>
      </c>
      <c r="AP40" s="289">
        <f>SUMIFS(PBC_PROFIT_AND_LOSS[AccountBalance], PBC_PROFIT_AND_LOSS[Id],$L40,PBC_PROFIT_AND_LOSS[Date],AP$5)</f>
        <v>2070</v>
      </c>
      <c r="AQ40" s="289">
        <f>SUMIFS(PBC_PROFIT_AND_LOSS[AccountBalance], PBC_PROFIT_AND_LOSS[Id],$L40,PBC_PROFIT_AND_LOSS[Date],AQ$5)</f>
        <v>2142</v>
      </c>
      <c r="AR40" s="289">
        <f>SUMIFS(PBC_PROFIT_AND_LOSS[AccountBalance], PBC_PROFIT_AND_LOSS[Id],$L40,PBC_PROFIT_AND_LOSS[Date],AR$5)</f>
        <v>2217</v>
      </c>
      <c r="AS40" s="289">
        <f>SUMIFS(PBC_PROFIT_AND_LOSS[AccountBalance], PBC_PROFIT_AND_LOSS[Id],$L40,PBC_PROFIT_AND_LOSS[Date],AS$5)</f>
        <v>2295</v>
      </c>
      <c r="AT40" s="289">
        <f>SUMIFS(PBC_PROFIT_AND_LOSS[AccountBalance], PBC_PROFIT_AND_LOSS[Id],$L40,PBC_PROFIT_AND_LOSS[Date],AT$5)</f>
        <v>2375</v>
      </c>
      <c r="AU40" s="289">
        <f>SUMIFS(PBC_PROFIT_AND_LOSS[AccountBalance], PBC_PROFIT_AND_LOSS[Id],$L40,PBC_PROFIT_AND_LOSS[Date],AU$5)</f>
        <v>2459</v>
      </c>
      <c r="AV40" s="289">
        <f>SUMIFS(PBC_PROFIT_AND_LOSS[AccountBalance], PBC_PROFIT_AND_LOSS[Id],$L40,PBC_PROFIT_AND_LOSS[Date],AV$5)</f>
        <v>2545</v>
      </c>
      <c r="AW40" s="289">
        <f>SUMIFS(PBC_PROFIT_AND_LOSS[AccountBalance], PBC_PROFIT_AND_LOSS[Id],$L40,PBC_PROFIT_AND_LOSS[Date],AW$5)</f>
        <v>2634</v>
      </c>
      <c r="AX40" s="289">
        <f>SUMIFS(PBC_PROFIT_AND_LOSS[AccountBalance], PBC_PROFIT_AND_LOSS[Id],$L40,PBC_PROFIT_AND_LOSS[Date],AX$5)</f>
        <v>2726</v>
      </c>
      <c r="AY40" s="289">
        <f>SUMIFS(PBC_PROFIT_AND_LOSS[AccountBalance], PBC_PROFIT_AND_LOSS[Id],$L40,PBC_PROFIT_AND_LOSS[Date],AY$5)</f>
        <v>3184</v>
      </c>
      <c r="AZ40" s="289">
        <f>SUMIFS(PBC_PROFIT_AND_LOSS[AccountBalance], PBC_PROFIT_AND_LOSS[Id],$L40,PBC_PROFIT_AND_LOSS[Date],AZ$5)</f>
        <v>5903</v>
      </c>
      <c r="BA40" s="289">
        <f>SUMIFS(PBC_PROFIT_AND_LOSS[AccountBalance], PBC_PROFIT_AND_LOSS[Id],$L40,PBC_PROFIT_AND_LOSS[Date],BA$5)</f>
        <v>3343</v>
      </c>
      <c r="BB40" s="289">
        <f>SUMIFS(PBC_PROFIT_AND_LOSS[AccountBalance], PBC_PROFIT_AND_LOSS[Id],$L40,PBC_PROFIT_AND_LOSS[Date],BB$5)</f>
        <v>6198</v>
      </c>
      <c r="BC40" s="289">
        <f>SUMIFS(PBC_PROFIT_AND_LOSS[AccountBalance], PBC_PROFIT_AND_LOSS[Id],$L40,PBC_PROFIT_AND_LOSS[Date],BC$5)</f>
        <v>3510</v>
      </c>
      <c r="BD40" s="289">
        <f>SUMIFS(PBC_PROFIT_AND_LOSS[AccountBalance], PBC_PROFIT_AND_LOSS[Id],$L40,PBC_PROFIT_AND_LOSS[Date],BD$5)</f>
        <v>6508</v>
      </c>
      <c r="BE40" s="289">
        <f>SUMIFS(PBC_PROFIT_AND_LOSS[AccountBalance], PBC_PROFIT_AND_LOSS[Id],$L40,PBC_PROFIT_AND_LOSS[Date],BE$5)</f>
        <v>3685</v>
      </c>
      <c r="BF40" s="289">
        <f>SUMIFS(PBC_PROFIT_AND_LOSS[AccountBalance], PBC_PROFIT_AND_LOSS[Id],$L40,PBC_PROFIT_AND_LOSS[Date],BF$5)</f>
        <v>6833</v>
      </c>
      <c r="BG40" s="289">
        <f>SUMIFS(PBC_PROFIT_AND_LOSS[AccountBalance], PBC_PROFIT_AND_LOSS[Id],$L40,PBC_PROFIT_AND_LOSS[Date],BG$5)</f>
        <v>7175</v>
      </c>
      <c r="BH40" s="289">
        <f>SUMIFS(PBC_PROFIT_AND_LOSS[AccountBalance], PBC_PROFIT_AND_LOSS[Id],$L40,PBC_PROFIT_AND_LOSS[Date],BH$5)</f>
        <v>7175</v>
      </c>
      <c r="BI40" s="289">
        <f>SUMIFS(PBC_PROFIT_AND_LOSS[AccountBalance], PBC_PROFIT_AND_LOSS[Id],$L40,PBC_PROFIT_AND_LOSS[Date],BI$5)</f>
        <v>7533</v>
      </c>
      <c r="BJ40" s="289">
        <f>SUMIFS(PBC_PROFIT_AND_LOSS[AccountBalance], PBC_PROFIT_AND_LOSS[Id],$L40,PBC_PROFIT_AND_LOSS[Date],BJ$5)</f>
        <v>7533</v>
      </c>
      <c r="BK40" s="289">
        <f>SUMIFS(PBC_PROFIT_AND_LOSS[AccountBalance], PBC_PROFIT_AND_LOSS[Id],$L40,PBC_PROFIT_AND_LOSS[Date],BK$5)</f>
        <v>7910</v>
      </c>
      <c r="BL40" s="289">
        <f>SUMIFS(PBC_PROFIT_AND_LOSS[AccountBalance], PBC_PROFIT_AND_LOSS[Id],$L40,PBC_PROFIT_AND_LOSS[Date],BL$5)</f>
        <v>8305</v>
      </c>
      <c r="BM40" s="289">
        <f>SUMIFS(PBC_PROFIT_AND_LOSS[AccountBalance], PBC_PROFIT_AND_LOSS[Id],$L40,PBC_PROFIT_AND_LOSS[Date],BM$5)</f>
        <v>8720.74</v>
      </c>
      <c r="BN40" s="289">
        <f>SUMIFS(PBC_PROFIT_AND_LOSS[AccountBalance], PBC_PROFIT_AND_LOSS[Id],$L40,PBC_PROFIT_AND_LOSS[Date],BN$5)</f>
        <v>9157</v>
      </c>
      <c r="BO40" s="289">
        <f>SUMIFS(PBC_PROFIT_AND_LOSS[AccountBalance], PBC_PROFIT_AND_LOSS[Id],$L40,PBC_PROFIT_AND_LOSS[Date],BO$5)</f>
        <v>9615</v>
      </c>
      <c r="BP40" s="289">
        <f>SUMIFS(PBC_PROFIT_AND_LOSS[AccountBalance], PBC_PROFIT_AND_LOSS[Id],$L40,PBC_PROFIT_AND_LOSS[Date],BP$5)</f>
        <v>10095</v>
      </c>
      <c r="BQ40" s="289">
        <f>SUMIFS(PBC_PROFIT_AND_LOSS[AccountBalance], PBC_PROFIT_AND_LOSS[Id],$L40,PBC_PROFIT_AND_LOSS[Date],BQ$5)</f>
        <v>10600</v>
      </c>
      <c r="BR40" s="289">
        <f>SUMIFS(PBC_PROFIT_AND_LOSS[AccountBalance], PBC_PROFIT_AND_LOSS[Id],$L40,PBC_PROFIT_AND_LOSS[Date],BR$5)</f>
        <v>11130.12</v>
      </c>
      <c r="BS40" s="289">
        <f>SUMIFS(PBC_PROFIT_AND_LOSS[AccountBalance], PBC_PROFIT_AND_LOSS[Id],$L40,PBC_PROFIT_AND_LOSS[Date],BS$5)</f>
        <v>11686.62</v>
      </c>
      <c r="BT40" s="289">
        <f>SUMIFS(PBC_PROFIT_AND_LOSS[AccountBalance], PBC_PROFIT_AND_LOSS[Id],$L40,PBC_PROFIT_AND_LOSS[Date],BT$5)</f>
        <v>12270.95</v>
      </c>
      <c r="BU40" s="289">
        <f>SUMIFS(PBC_PROFIT_AND_LOSS[AccountBalance], PBC_PROFIT_AND_LOSS[Id],$L40,PBC_PROFIT_AND_LOSS[Date],BU$5)</f>
        <v>12884.5</v>
      </c>
      <c r="BV40" s="289">
        <f>SUMIFS(PBC_PROFIT_AND_LOSS[AccountBalance], PBC_PROFIT_AND_LOSS[Id],$L40,PBC_PROFIT_AND_LOSS[Date],BV$5)</f>
        <v>13528.73</v>
      </c>
      <c r="BW40" s="289">
        <f>SUMIFS(PBC_PROFIT_AND_LOSS[AccountBalance], PBC_PROFIT_AND_LOSS[Id],$L40,PBC_PROFIT_AND_LOSS[Date],BW$5)</f>
        <v>14205.16</v>
      </c>
      <c r="BX40" s="335" cm="1">
        <f t="array" ref="BX40">_xlfn.SWITCH(
    $E40,
    "3 month avg", AVERAGE(BU40:BW40) * (1 + $F40),
    "6 month avg", AVERAGE(BR40:BW40) * (1 + $F40),
    "12 month avg", AVERAGE(BM40:BW40) * (1 + $F40),
    "Prior Month",BW40* (1 + $F40),
    "Prior Year", BL40* (1 + $F40),
    "Monthly assumption",$G40* (1 + $F40),
    "Quarterly assumption",$G40/3* (1 + $F40),
    "Annual assumption",$G40/12* (1 + $F40),
    "% of Revenue",SUM(_xlfn._xlws.FILTER(_xlfn._xlws.FILTER(dataSummaryPL,dataSummaryPLSections="Revenue"),(startDates&gt;=BX$4)*(endDates&lt;=BX$5)))*$F40,
    "Custom",0,
    "0",0,
        0
)</f>
        <v>13248.564</v>
      </c>
      <c r="BY40" s="335" cm="1">
        <f t="array" ref="BY40">_xlfn.SWITCH(
    $E40,
    "3 month avg", AVERAGE(BV40:BX40) * (1 + $F40),
    "6 month avg", AVERAGE(BS40:BX40) * (1 + $F40),
    "12 month avg", AVERAGE(BN40:BX40) * (1 + $F40),
    "Prior Month",BX40* (1 + $F40),
    "Prior Year", BM40* (1 + $F40),
    "Monthly assumption",$G40* (1 + $F40),
    "Quarterly assumption",$G40/3* (1 + $F40),
    "Annual assumption",$G40/12* (1 + $F40),
    "% of Revenue",SUM(_xlfn._xlws.FILTER(_xlfn._xlws.FILTER(dataSummaryPL,dataSummaryPLSections="Revenue"),(startDates&gt;=BY$4)*(endDates&lt;=BY$5)))*$F40,
    "Custom",0,
    "0",0,
        0
)</f>
        <v>13619.291700000002</v>
      </c>
      <c r="BZ40" s="335" cm="1">
        <f t="array" ref="BZ40">_xlfn.SWITCH(
    $E40,
    "3 month avg", AVERAGE(BW40:BY40) * (1 + $F40),
    "6 month avg", AVERAGE(BT40:BY40) * (1 + $F40),
    "12 month avg", AVERAGE(BO40:BY40) * (1 + $F40),
    "Prior Month",BY40* (1 + $F40),
    "Prior Year", BN40* (1 + $F40),
    "Monthly assumption",$G40* (1 + $F40),
    "Quarterly assumption",$G40/3* (1 + $F40),
    "Annual assumption",$G40/12* (1 + $F40),
    "% of Revenue",SUM(_xlfn._xlws.FILTER(_xlfn._xlws.FILTER(dataSummaryPL,dataSummaryPLSections="Revenue"),(startDates&gt;=BZ$4)*(endDates&lt;=BZ$5)))*$F40,
    "Custom",0,
    "0",0,
        0
)</f>
        <v>13957.5092475</v>
      </c>
      <c r="CA40" s="335" cm="1">
        <f t="array" ref="CA40">_xlfn.SWITCH(
    $E40,
    "3 month avg", AVERAGE(BX40:BZ40) * (1 + $F40),
    "6 month avg", AVERAGE(BU40:BZ40) * (1 + $F40),
    "12 month avg", AVERAGE(BP40:BZ40) * (1 + $F40),
    "Prior Month",BZ40* (1 + $F40),
    "Prior Year", BO40* (1 + $F40),
    "Monthly assumption",$G40* (1 + $F40),
    "Quarterly assumption",$G40/3* (1 + $F40),
    "Annual assumption",$G40/12* (1 + $F40),
    "% of Revenue",SUM(_xlfn._xlws.FILTER(_xlfn._xlws.FILTER(dataSummaryPL,dataSummaryPLSections="Revenue"),(startDates&gt;=CA$4)*(endDates&lt;=CA$5)))*$F40,
    "Custom",0,
    "0",0,
        0
)</f>
        <v>14252.657115812501</v>
      </c>
      <c r="CB40" s="335" cm="1">
        <f t="array" ref="CB40">_xlfn.SWITCH(
    $E40,
    "3 month avg", AVERAGE(BY40:CA40) * (1 + $F40),
    "6 month avg", AVERAGE(BV40:CA40) * (1 + $F40),
    "12 month avg", AVERAGE(BQ40:CA40) * (1 + $F40),
    "Prior Month",CA40* (1 + $F40),
    "Prior Year", BP40* (1 + $F40),
    "Monthly assumption",$G40* (1 + $F40),
    "Quarterly assumption",$G40/3* (1 + $F40),
    "Annual assumption",$G40/12* (1 + $F40),
    "% of Revenue",SUM(_xlfn._xlws.FILTER(_xlfn._xlws.FILTER(dataSummaryPL,dataSummaryPLSections="Revenue"),(startDates&gt;=CB$4)*(endDates&lt;=CB$5)))*$F40,
    "Custom",0,
    "0",0,
        0
)</f>
        <v>14492.084611079688</v>
      </c>
      <c r="CC40" s="335" cm="1">
        <f t="array" ref="CC40">_xlfn.SWITCH(
    $E40,
    "3 month avg", AVERAGE(BZ40:CB40) * (1 + $F40),
    "6 month avg", AVERAGE(BW40:CB40) * (1 + $F40),
    "12 month avg", AVERAGE(BR40:CB40) * (1 + $F40),
    "Prior Month",CB40* (1 + $F40),
    "Prior Year", BQ40* (1 + $F40),
    "Monthly assumption",$G40* (1 + $F40),
    "Quarterly assumption",$G40/3* (1 + $F40),
    "Annual assumption",$G40/12* (1 + $F40),
    "% of Revenue",SUM(_xlfn._xlws.FILTER(_xlfn._xlws.FILTER(dataSummaryPL,dataSummaryPLSections="Revenue"),(startDates&gt;=CC$4)*(endDates&lt;=CC$5)))*$F40,
    "Custom",0,
    "0",0,
        0
)</f>
        <v>14660.671668018635</v>
      </c>
      <c r="CD40" s="335" cm="1">
        <f t="array" ref="CD40">_xlfn.SWITCH(
    $E40,
    "3 month avg", AVERAGE(CA40:CC40) * (1 + $F40),
    "6 month avg", AVERAGE(BX40:CC40) * (1 + $F40),
    "12 month avg", AVERAGE(BS40:CC40) * (1 + $F40),
    "Prior Month",CC40* (1 + $F40),
    "Prior Year", BR40* (1 + $F40),
    "Monthly assumption",$G40* (1 + $F40),
    "Quarterly assumption",$G40/3* (1 + $F40),
    "Annual assumption",$G40/12* (1 + $F40),
    "% of Revenue",SUM(_xlfn._xlws.FILTER(_xlfn._xlws.FILTER(dataSummaryPL,dataSummaryPLSections="Revenue"),(startDates&gt;=CD$4)*(endDates&lt;=CD$5)))*$F40,
    "Custom",0,
    "0",0,
        0
)</f>
        <v>14740.386209921893</v>
      </c>
      <c r="CE40" s="335" cm="1">
        <f t="array" ref="CE40">_xlfn.SWITCH(
    $E40,
    "3 month avg", AVERAGE(CB40:CD40) * (1 + $F40),
    "6 month avg", AVERAGE(BY40:CD40) * (1 + $F40),
    "12 month avg", AVERAGE(BT40:CD40) * (1 + $F40),
    "Prior Month",CD40* (1 + $F40),
    "Prior Year", BS40* (1 + $F40),
    "Monthly assumption",$G40* (1 + $F40),
    "Quarterly assumption",$G40/3* (1 + $F40),
    "Annual assumption",$G40/12* (1 + $F40),
    "% of Revenue",SUM(_xlfn._xlws.FILTER(_xlfn._xlws.FILTER(dataSummaryPL,dataSummaryPLSections="Revenue"),(startDates&gt;=CE$4)*(endDates&lt;=CE$5)))*$F40,
    "Custom",0,
    "0",0,
        0
)</f>
        <v>15001.455096658226</v>
      </c>
      <c r="CF40" s="335" cm="1">
        <f t="array" ref="CF40">_xlfn.SWITCH(
    $E40,
    "3 month avg", AVERAGE(CC40:CE40) * (1 + $F40),
    "6 month avg", AVERAGE(BZ40:CE40) * (1 + $F40),
    "12 month avg", AVERAGE(BU40:CE40) * (1 + $F40),
    "Prior Month",CE40* (1 + $F40),
    "Prior Year", BT40* (1 + $F40),
    "Monthly assumption",$G40* (1 + $F40),
    "Quarterly assumption",$G40/3* (1 + $F40),
    "Annual assumption",$G40/12* (1 + $F40),
    "% of Revenue",SUM(_xlfn._xlws.FILTER(_xlfn._xlws.FILTER(dataSummaryPL,dataSummaryPLSections="Revenue"),(startDates&gt;=CF$4)*(endDates&lt;=CF$5)))*$F40,
    "Custom",0,
    "0",0,
        0
)</f>
        <v>15243.333691073418</v>
      </c>
      <c r="CG40" s="335" cm="1">
        <f t="array" ref="CG40">_xlfn.SWITCH(
    $E40,
    "3 month avg", AVERAGE(CD40:CF40) * (1 + $F40),
    "6 month avg", AVERAGE(CA40:CF40) * (1 + $F40),
    "12 month avg", AVERAGE(BV40:CF40) * (1 + $F40),
    "Prior Month",CF40* (1 + $F40),
    "Prior Year", BU40* (1 + $F40),
    "Monthly assumption",$G40* (1 + $F40),
    "Quarterly assumption",$G40/3* (1 + $F40),
    "Annual assumption",$G40/12* (1 + $F40),
    "% of Revenue",SUM(_xlfn._xlws.FILTER(_xlfn._xlws.FILTER(dataSummaryPL,dataSummaryPLSections="Revenue"),(startDates&gt;=CG$4)*(endDates&lt;=CG$5)))*$F40,
    "Custom",0,
    "0",0,
        0
)</f>
        <v>15468.352968698766</v>
      </c>
      <c r="CH40" s="335" cm="1">
        <f t="array" ref="CH40">_xlfn.SWITCH(
    $E40,
    "3 month avg", AVERAGE(CE40:CG40) * (1 + $F40),
    "6 month avg", AVERAGE(CB40:CG40) * (1 + $F40),
    "12 month avg", AVERAGE(BW40:CG40) * (1 + $F40),
    "Prior Month",CG40* (1 + $F40),
    "Prior Year", BV40* (1 + $F40),
    "Monthly assumption",$G40* (1 + $F40),
    "Quarterly assumption",$G40/3* (1 + $F40),
    "Annual assumption",$G40/12* (1 + $F40),
    "% of Revenue",SUM(_xlfn._xlws.FILTER(_xlfn._xlws.FILTER(dataSummaryPL,dataSummaryPLSections="Revenue"),(startDates&gt;=CH$4)*(endDates&lt;=CH$5)))*$F40,
    "Custom",0,
    "0",0,
        0
)</f>
        <v>15681.099742953858</v>
      </c>
      <c r="CI40" s="335" cm="1">
        <f t="array" ref="CI40">_xlfn.SWITCH(
    $E40,
    "3 month avg", AVERAGE(CF40:CH40) * (1 + $F40),
    "6 month avg", AVERAGE(CC40:CH40) * (1 + $F40),
    "12 month avg", AVERAGE(BX40:CH40) * (1 + $F40),
    "Prior Month",CH40* (1 + $F40),
    "Prior Year", BW40* (1 + $F40),
    "Monthly assumption",$G40* (1 + $F40),
    "Quarterly assumption",$G40/3* (1 + $F40),
    "Annual assumption",$G40/12* (1 + $F40),
    "% of Revenue",SUM(_xlfn._xlws.FILTER(_xlfn._xlws.FILTER(dataSummaryPL,dataSummaryPLSections="Revenue"),(startDates&gt;=CI$4)*(endDates&lt;=CI$5)))*$F40,
    "Custom",0,
    "0",0,
        0
)</f>
        <v>15889.177391031839</v>
      </c>
      <c r="CJ40" s="335" cm="1">
        <f t="array" ref="CJ40">_xlfn.SWITCH(
    $E40,
    "3 month avg", AVERAGE(CG40:CI40) * (1 + $F40),
    "6 month avg", AVERAGE(CD40:CI40) * (1 + $F40),
    "12 month avg", AVERAGE(BY40:CI40) * (1 + $F40),
    "Prior Month",CI40* (1 + $F40),
    "Prior Year", BX40* (1 + $F40),
    "Monthly assumption",$G40* (1 + $F40),
    "Quarterly assumption",$G40/3* (1 + $F40),
    "Annual assumption",$G40/12* (1 + $F40),
    "% of Revenue",SUM(_xlfn._xlws.FILTER(_xlfn._xlws.FILTER(dataSummaryPL,dataSummaryPLSections="Revenue"),(startDates&gt;=CJ$4)*(endDates&lt;=CJ$5)))*$F40,
    "Custom",0,
    "0",0,
        0
)</f>
        <v>16104.165892559153</v>
      </c>
    </row>
    <row r="41" spans="3:88" outlineLevel="2">
      <c r="C41" s="283"/>
      <c r="D41" s="288" t="s">
        <v>253</v>
      </c>
      <c r="E41" s="280" t="s">
        <v>354</v>
      </c>
      <c r="F41" s="332">
        <v>0.05</v>
      </c>
      <c r="G41" s="332"/>
      <c r="H41" s="277" t="str">
        <f>IFERROR(INDEX(PBC_ACCOUNT_LIST[Drivers Section],MATCH(Drivers!L41,PBC_ACCOUNT_LIST[Id],0)),"")</f>
        <v>Opex</v>
      </c>
      <c r="I41" s="277" t="str">
        <f>IFERROR(INDEX(PBC_ACCOUNT_LIST[Summary Grouping],MATCH(Drivers!L41,PBC_ACCOUNT_LIST[Id],0)),"")</f>
        <v>Marketing &amp; Advertising</v>
      </c>
      <c r="J41" s="277">
        <f>IFERROR(INDEX(PBC_ACCOUNT_LIST[Cash Flow Section],MATCH(Drivers!L41,PBC_ACCOUNT_LIST[Id],0)),"")</f>
        <v>0</v>
      </c>
      <c r="K41" s="278" t="s">
        <v>106</v>
      </c>
      <c r="L41" s="277">
        <v>177</v>
      </c>
      <c r="M41" s="276"/>
      <c r="O41" s="272"/>
      <c r="P41" s="289">
        <f t="shared" si="44"/>
        <v>0</v>
      </c>
      <c r="Q41" s="289">
        <f t="shared" si="44"/>
        <v>0</v>
      </c>
      <c r="R41" s="289">
        <f t="shared" si="44"/>
        <v>7050</v>
      </c>
      <c r="S41" s="289">
        <f t="shared" si="44"/>
        <v>18159.819793115399</v>
      </c>
      <c r="T41" s="289"/>
      <c r="U41" s="289"/>
      <c r="V41" s="289">
        <f t="shared" si="46"/>
        <v>0</v>
      </c>
      <c r="W41" s="289">
        <f t="shared" si="46"/>
        <v>0</v>
      </c>
      <c r="X41" s="289">
        <f t="shared" si="46"/>
        <v>0</v>
      </c>
      <c r="Y41" s="289">
        <f t="shared" si="46"/>
        <v>0</v>
      </c>
      <c r="Z41" s="289">
        <f t="shared" si="46"/>
        <v>0</v>
      </c>
      <c r="AA41" s="289">
        <f t="shared" si="46"/>
        <v>0</v>
      </c>
      <c r="AB41" s="289">
        <f t="shared" si="46"/>
        <v>0</v>
      </c>
      <c r="AC41" s="289">
        <f t="shared" si="46"/>
        <v>0</v>
      </c>
      <c r="AD41" s="289">
        <f t="shared" si="46"/>
        <v>0</v>
      </c>
      <c r="AE41" s="289">
        <f t="shared" si="46"/>
        <v>0</v>
      </c>
      <c r="AF41" s="289">
        <f t="shared" si="46"/>
        <v>1800</v>
      </c>
      <c r="AG41" s="289">
        <f t="shared" si="46"/>
        <v>5250</v>
      </c>
      <c r="AH41" s="289">
        <f t="shared" si="46"/>
        <v>3701.6273437500004</v>
      </c>
      <c r="AI41" s="289">
        <f t="shared" si="46"/>
        <v>4835.0102454711914</v>
      </c>
      <c r="AJ41" s="289">
        <f t="shared" si="46"/>
        <v>4643.6284174305556</v>
      </c>
      <c r="AK41" s="289">
        <f t="shared" si="46"/>
        <v>4979.5537864636526</v>
      </c>
      <c r="AL41" s="333"/>
      <c r="AM41" s="334"/>
      <c r="AN41" s="289">
        <f>SUMIFS(PBC_PROFIT_AND_LOSS[AccountBalance], PBC_PROFIT_AND_LOSS[Id],$L41,PBC_PROFIT_AND_LOSS[Date],AN$5)</f>
        <v>0</v>
      </c>
      <c r="AO41" s="289">
        <f>SUMIFS(PBC_PROFIT_AND_LOSS[AccountBalance], PBC_PROFIT_AND_LOSS[Id],$L41,PBC_PROFIT_AND_LOSS[Date],AO$5)</f>
        <v>0</v>
      </c>
      <c r="AP41" s="289">
        <f>SUMIFS(PBC_PROFIT_AND_LOSS[AccountBalance], PBC_PROFIT_AND_LOSS[Id],$L41,PBC_PROFIT_AND_LOSS[Date],AP$5)</f>
        <v>0</v>
      </c>
      <c r="AQ41" s="289">
        <f>SUMIFS(PBC_PROFIT_AND_LOSS[AccountBalance], PBC_PROFIT_AND_LOSS[Id],$L41,PBC_PROFIT_AND_LOSS[Date],AQ$5)</f>
        <v>0</v>
      </c>
      <c r="AR41" s="289">
        <f>SUMIFS(PBC_PROFIT_AND_LOSS[AccountBalance], PBC_PROFIT_AND_LOSS[Id],$L41,PBC_PROFIT_AND_LOSS[Date],AR$5)</f>
        <v>0</v>
      </c>
      <c r="AS41" s="289">
        <f>SUMIFS(PBC_PROFIT_AND_LOSS[AccountBalance], PBC_PROFIT_AND_LOSS[Id],$L41,PBC_PROFIT_AND_LOSS[Date],AS$5)</f>
        <v>0</v>
      </c>
      <c r="AT41" s="289">
        <f>SUMIFS(PBC_PROFIT_AND_LOSS[AccountBalance], PBC_PROFIT_AND_LOSS[Id],$L41,PBC_PROFIT_AND_LOSS[Date],AT$5)</f>
        <v>0</v>
      </c>
      <c r="AU41" s="289">
        <f>SUMIFS(PBC_PROFIT_AND_LOSS[AccountBalance], PBC_PROFIT_AND_LOSS[Id],$L41,PBC_PROFIT_AND_LOSS[Date],AU$5)</f>
        <v>0</v>
      </c>
      <c r="AV41" s="289">
        <f>SUMIFS(PBC_PROFIT_AND_LOSS[AccountBalance], PBC_PROFIT_AND_LOSS[Id],$L41,PBC_PROFIT_AND_LOSS[Date],AV$5)</f>
        <v>0</v>
      </c>
      <c r="AW41" s="289">
        <f>SUMIFS(PBC_PROFIT_AND_LOSS[AccountBalance], PBC_PROFIT_AND_LOSS[Id],$L41,PBC_PROFIT_AND_LOSS[Date],AW$5)</f>
        <v>0</v>
      </c>
      <c r="AX41" s="289">
        <f>SUMIFS(PBC_PROFIT_AND_LOSS[AccountBalance], PBC_PROFIT_AND_LOSS[Id],$L41,PBC_PROFIT_AND_LOSS[Date],AX$5)</f>
        <v>0</v>
      </c>
      <c r="AY41" s="289">
        <f>SUMIFS(PBC_PROFIT_AND_LOSS[AccountBalance], PBC_PROFIT_AND_LOSS[Id],$L41,PBC_PROFIT_AND_LOSS[Date],AY$5)</f>
        <v>0</v>
      </c>
      <c r="AZ41" s="289">
        <f>SUMIFS(PBC_PROFIT_AND_LOSS[AccountBalance], PBC_PROFIT_AND_LOSS[Id],$L41,PBC_PROFIT_AND_LOSS[Date],AZ$5)</f>
        <v>0</v>
      </c>
      <c r="BA41" s="289">
        <f>SUMIFS(PBC_PROFIT_AND_LOSS[AccountBalance], PBC_PROFIT_AND_LOSS[Id],$L41,PBC_PROFIT_AND_LOSS[Date],BA$5)</f>
        <v>0</v>
      </c>
      <c r="BB41" s="289">
        <f>SUMIFS(PBC_PROFIT_AND_LOSS[AccountBalance], PBC_PROFIT_AND_LOSS[Id],$L41,PBC_PROFIT_AND_LOSS[Date],BB$5)</f>
        <v>0</v>
      </c>
      <c r="BC41" s="289">
        <f>SUMIFS(PBC_PROFIT_AND_LOSS[AccountBalance], PBC_PROFIT_AND_LOSS[Id],$L41,PBC_PROFIT_AND_LOSS[Date],BC$5)</f>
        <v>0</v>
      </c>
      <c r="BD41" s="289">
        <f>SUMIFS(PBC_PROFIT_AND_LOSS[AccountBalance], PBC_PROFIT_AND_LOSS[Id],$L41,PBC_PROFIT_AND_LOSS[Date],BD$5)</f>
        <v>0</v>
      </c>
      <c r="BE41" s="289">
        <f>SUMIFS(PBC_PROFIT_AND_LOSS[AccountBalance], PBC_PROFIT_AND_LOSS[Id],$L41,PBC_PROFIT_AND_LOSS[Date],BE$5)</f>
        <v>0</v>
      </c>
      <c r="BF41" s="289">
        <f>SUMIFS(PBC_PROFIT_AND_LOSS[AccountBalance], PBC_PROFIT_AND_LOSS[Id],$L41,PBC_PROFIT_AND_LOSS[Date],BF$5)</f>
        <v>0</v>
      </c>
      <c r="BG41" s="289">
        <f>SUMIFS(PBC_PROFIT_AND_LOSS[AccountBalance], PBC_PROFIT_AND_LOSS[Id],$L41,PBC_PROFIT_AND_LOSS[Date],BG$5)</f>
        <v>0</v>
      </c>
      <c r="BH41" s="289">
        <f>SUMIFS(PBC_PROFIT_AND_LOSS[AccountBalance], PBC_PROFIT_AND_LOSS[Id],$L41,PBC_PROFIT_AND_LOSS[Date],BH$5)</f>
        <v>0</v>
      </c>
      <c r="BI41" s="289">
        <f>SUMIFS(PBC_PROFIT_AND_LOSS[AccountBalance], PBC_PROFIT_AND_LOSS[Id],$L41,PBC_PROFIT_AND_LOSS[Date],BI$5)</f>
        <v>0</v>
      </c>
      <c r="BJ41" s="289">
        <f>SUMIFS(PBC_PROFIT_AND_LOSS[AccountBalance], PBC_PROFIT_AND_LOSS[Id],$L41,PBC_PROFIT_AND_LOSS[Date],BJ$5)</f>
        <v>0</v>
      </c>
      <c r="BK41" s="289">
        <f>SUMIFS(PBC_PROFIT_AND_LOSS[AccountBalance], PBC_PROFIT_AND_LOSS[Id],$L41,PBC_PROFIT_AND_LOSS[Date],BK$5)</f>
        <v>0</v>
      </c>
      <c r="BL41" s="289">
        <f>SUMIFS(PBC_PROFIT_AND_LOSS[AccountBalance], PBC_PROFIT_AND_LOSS[Id],$L41,PBC_PROFIT_AND_LOSS[Date],BL$5)</f>
        <v>0</v>
      </c>
      <c r="BM41" s="289">
        <f>SUMIFS(PBC_PROFIT_AND_LOSS[AccountBalance], PBC_PROFIT_AND_LOSS[Id],$L41,PBC_PROFIT_AND_LOSS[Date],BM$5)</f>
        <v>0</v>
      </c>
      <c r="BN41" s="289">
        <f>SUMIFS(PBC_PROFIT_AND_LOSS[AccountBalance], PBC_PROFIT_AND_LOSS[Id],$L41,PBC_PROFIT_AND_LOSS[Date],BN$5)</f>
        <v>0</v>
      </c>
      <c r="BO41" s="289">
        <f>SUMIFS(PBC_PROFIT_AND_LOSS[AccountBalance], PBC_PROFIT_AND_LOSS[Id],$L41,PBC_PROFIT_AND_LOSS[Date],BO$5)</f>
        <v>0</v>
      </c>
      <c r="BP41" s="289">
        <f>SUMIFS(PBC_PROFIT_AND_LOSS[AccountBalance], PBC_PROFIT_AND_LOSS[Id],$L41,PBC_PROFIT_AND_LOSS[Date],BP$5)</f>
        <v>0</v>
      </c>
      <c r="BQ41" s="289">
        <f>SUMIFS(PBC_PROFIT_AND_LOSS[AccountBalance], PBC_PROFIT_AND_LOSS[Id],$L41,PBC_PROFIT_AND_LOSS[Date],BQ$5)</f>
        <v>0</v>
      </c>
      <c r="BR41" s="289">
        <f>SUMIFS(PBC_PROFIT_AND_LOSS[AccountBalance], PBC_PROFIT_AND_LOSS[Id],$L41,PBC_PROFIT_AND_LOSS[Date],BR$5)</f>
        <v>0</v>
      </c>
      <c r="BS41" s="289">
        <f>SUMIFS(PBC_PROFIT_AND_LOSS[AccountBalance], PBC_PROFIT_AND_LOSS[Id],$L41,PBC_PROFIT_AND_LOSS[Date],BS$5)</f>
        <v>1800</v>
      </c>
      <c r="BT41" s="289">
        <f>SUMIFS(PBC_PROFIT_AND_LOSS[AccountBalance], PBC_PROFIT_AND_LOSS[Id],$L41,PBC_PROFIT_AND_LOSS[Date],BT$5)</f>
        <v>0</v>
      </c>
      <c r="BU41" s="289">
        <f>SUMIFS(PBC_PROFIT_AND_LOSS[AccountBalance], PBC_PROFIT_AND_LOSS[Id],$L41,PBC_PROFIT_AND_LOSS[Date],BU$5)</f>
        <v>0</v>
      </c>
      <c r="BV41" s="289">
        <f>SUMIFS(PBC_PROFIT_AND_LOSS[AccountBalance], PBC_PROFIT_AND_LOSS[Id],$L41,PBC_PROFIT_AND_LOSS[Date],BV$5)</f>
        <v>0</v>
      </c>
      <c r="BW41" s="289">
        <f>SUMIFS(PBC_PROFIT_AND_LOSS[AccountBalance], PBC_PROFIT_AND_LOSS[Id],$L41,PBC_PROFIT_AND_LOSS[Date],BW$5)</f>
        <v>4200</v>
      </c>
      <c r="BX41" s="335" cm="1">
        <f t="array" ref="BX41">_xlfn.SWITCH(
    $E41,
    "3 month avg", AVERAGE(BU41:BW41) * (1 + $F41),
    "6 month avg", AVERAGE(BR41:BW41) * (1 + $F41),
    "12 month avg", AVERAGE(BM41:BW41) * (1 + $F41),
    "Prior Month",BW41* (1 + $F41),
    "Prior Year", BL41* (1 + $F41),
    "Monthly assumption",$G41* (1 + $F41),
    "Quarterly assumption",$G41/3* (1 + $F41),
    "Annual assumption",$G41/12* (1 + $F41),
    "% of Revenue",SUM(_xlfn._xlws.FILTER(_xlfn._xlws.FILTER(dataSummaryPL,dataSummaryPLSections="Revenue"),(startDates&gt;=BX$4)*(endDates&lt;=BX$5)))*$F41,
    "Custom",0,
    "0",0,
        0
)</f>
        <v>1050</v>
      </c>
      <c r="BY41" s="335" cm="1">
        <f t="array" ref="BY41">_xlfn.SWITCH(
    $E41,
    "3 month avg", AVERAGE(BV41:BX41) * (1 + $F41),
    "6 month avg", AVERAGE(BS41:BX41) * (1 + $F41),
    "12 month avg", AVERAGE(BN41:BX41) * (1 + $F41),
    "Prior Month",BX41* (1 + $F41),
    "Prior Year", BM41* (1 + $F41),
    "Monthly assumption",$G41* (1 + $F41),
    "Quarterly assumption",$G41/3* (1 + $F41),
    "Annual assumption",$G41/12* (1 + $F41),
    "% of Revenue",SUM(_xlfn._xlws.FILTER(_xlfn._xlws.FILTER(dataSummaryPL,dataSummaryPLSections="Revenue"),(startDates&gt;=BY$4)*(endDates&lt;=BY$5)))*$F41,
    "Custom",0,
    "0",0,
        0
)</f>
        <v>1233.75</v>
      </c>
      <c r="BZ41" s="335" cm="1">
        <f t="array" ref="BZ41">_xlfn.SWITCH(
    $E41,
    "3 month avg", AVERAGE(BW41:BY41) * (1 + $F41),
    "6 month avg", AVERAGE(BT41:BY41) * (1 + $F41),
    "12 month avg", AVERAGE(BO41:BY41) * (1 + $F41),
    "Prior Month",BY41* (1 + $F41),
    "Prior Year", BN41* (1 + $F41),
    "Monthly assumption",$G41* (1 + $F41),
    "Quarterly assumption",$G41/3* (1 + $F41),
    "Annual assumption",$G41/12* (1 + $F41),
    "% of Revenue",SUM(_xlfn._xlws.FILTER(_xlfn._xlws.FILTER(dataSummaryPL,dataSummaryPLSections="Revenue"),(startDates&gt;=BZ$4)*(endDates&lt;=BZ$5)))*$F41,
    "Custom",0,
    "0",0,
        0
)</f>
        <v>1134.65625</v>
      </c>
      <c r="CA41" s="335" cm="1">
        <f t="array" ref="CA41">_xlfn.SWITCH(
    $E41,
    "3 month avg", AVERAGE(BX41:BZ41) * (1 + $F41),
    "6 month avg", AVERAGE(BU41:BZ41) * (1 + $F41),
    "12 month avg", AVERAGE(BP41:BZ41) * (1 + $F41),
    "Prior Month",BZ41* (1 + $F41),
    "Prior Year", BO41* (1 + $F41),
    "Monthly assumption",$G41* (1 + $F41),
    "Quarterly assumption",$G41/3* (1 + $F41),
    "Annual assumption",$G41/12* (1 + $F41),
    "% of Revenue",SUM(_xlfn._xlws.FILTER(_xlfn._xlws.FILTER(dataSummaryPL,dataSummaryPLSections="Revenue"),(startDates&gt;=CA$4)*(endDates&lt;=CA$5)))*$F41,
    "Custom",0,
    "0",0,
        0
)</f>
        <v>1333.2210937500001</v>
      </c>
      <c r="CB41" s="335" cm="1">
        <f t="array" ref="CB41">_xlfn.SWITCH(
    $E41,
    "3 month avg", AVERAGE(BY41:CA41) * (1 + $F41),
    "6 month avg", AVERAGE(BV41:CA41) * (1 + $F41),
    "12 month avg", AVERAGE(BQ41:CA41) * (1 + $F41),
    "Prior Month",CA41* (1 + $F41),
    "Prior Year", BP41* (1 + $F41),
    "Monthly assumption",$G41* (1 + $F41),
    "Quarterly assumption",$G41/3* (1 + $F41),
    "Annual assumption",$G41/12* (1 + $F41),
    "% of Revenue",SUM(_xlfn._xlws.FILTER(_xlfn._xlws.FILTER(dataSummaryPL,dataSummaryPLSections="Revenue"),(startDates&gt;=CB$4)*(endDates&lt;=CB$5)))*$F41,
    "Custom",0,
    "0",0,
        0
)</f>
        <v>1566.5347851562501</v>
      </c>
      <c r="CC41" s="335" cm="1">
        <f t="array" ref="CC41">_xlfn.SWITCH(
    $E41,
    "3 month avg", AVERAGE(BZ41:CB41) * (1 + $F41),
    "6 month avg", AVERAGE(BW41:CB41) * (1 + $F41),
    "12 month avg", AVERAGE(BR41:CB41) * (1 + $F41),
    "Prior Month",CB41* (1 + $F41),
    "Prior Year", BQ41* (1 + $F41),
    "Monthly assumption",$G41* (1 + $F41),
    "Quarterly assumption",$G41/3* (1 + $F41),
    "Annual assumption",$G41/12* (1 + $F41),
    "% of Revenue",SUM(_xlfn._xlws.FILTER(_xlfn._xlws.FILTER(dataSummaryPL,dataSummaryPLSections="Revenue"),(startDates&gt;=CC$4)*(endDates&lt;=CC$5)))*$F41,
    "Custom",0,
    "0",0,
        0
)</f>
        <v>1840.6783725585938</v>
      </c>
      <c r="CD41" s="335" cm="1">
        <f t="array" ref="CD41">_xlfn.SWITCH(
    $E41,
    "3 month avg", AVERAGE(CA41:CC41) * (1 + $F41),
    "6 month avg", AVERAGE(BX41:CC41) * (1 + $F41),
    "12 month avg", AVERAGE(BS41:CC41) * (1 + $F41),
    "Prior Month",CC41* (1 + $F41),
    "Prior Year", BR41* (1 + $F41),
    "Monthly assumption",$G41* (1 + $F41),
    "Quarterly assumption",$G41/3* (1 + $F41),
    "Annual assumption",$G41/12* (1 + $F41),
    "% of Revenue",SUM(_xlfn._xlws.FILTER(_xlfn._xlws.FILTER(dataSummaryPL,dataSummaryPLSections="Revenue"),(startDates&gt;=CD$4)*(endDates&lt;=CD$5)))*$F41,
    "Custom",0,
    "0",0,
        0
)</f>
        <v>1427.7970877563478</v>
      </c>
      <c r="CE41" s="335" cm="1">
        <f t="array" ref="CE41">_xlfn.SWITCH(
    $E41,
    "3 month avg", AVERAGE(CB41:CD41) * (1 + $F41),
    "6 month avg", AVERAGE(BY41:CD41) * (1 + $F41),
    "12 month avg", AVERAGE(BT41:CD41) * (1 + $F41),
    "Prior Month",CD41* (1 + $F41),
    "Prior Year", BS41* (1 + $F41),
    "Monthly assumption",$G41* (1 + $F41),
    "Quarterly assumption",$G41/3* (1 + $F41),
    "Annual assumption",$G41/12* (1 + $F41),
    "% of Revenue",SUM(_xlfn._xlws.FILTER(_xlfn._xlws.FILTER(dataSummaryPL,dataSummaryPLSections="Revenue"),(startDates&gt;=CE$4)*(endDates&lt;=CE$5)))*$F41,
    "Custom",0,
    "0",0,
        0
)</f>
        <v>1493.9115781137086</v>
      </c>
      <c r="CF41" s="335" cm="1">
        <f t="array" ref="CF41">_xlfn.SWITCH(
    $E41,
    "3 month avg", AVERAGE(CC41:CE41) * (1 + $F41),
    "6 month avg", AVERAGE(BZ41:CE41) * (1 + $F41),
    "12 month avg", AVERAGE(BU41:CE41) * (1 + $F41),
    "Prior Month",CE41* (1 + $F41),
    "Prior Year", BT41* (1 + $F41),
    "Monthly assumption",$G41* (1 + $F41),
    "Quarterly assumption",$G41/3* (1 + $F41),
    "Annual assumption",$G41/12* (1 + $F41),
    "% of Revenue",SUM(_xlfn._xlws.FILTER(_xlfn._xlws.FILTER(dataSummaryPL,dataSummaryPLSections="Revenue"),(startDates&gt;=CF$4)*(endDates&lt;=CF$5)))*$F41,
    "Custom",0,
    "0",0,
        0
)</f>
        <v>1539.4398542836077</v>
      </c>
      <c r="CG41" s="335" cm="1">
        <f t="array" ref="CG41">_xlfn.SWITCH(
    $E41,
    "3 month avg", AVERAGE(CD41:CF41) * (1 + $F41),
    "6 month avg", AVERAGE(CA41:CF41) * (1 + $F41),
    "12 month avg", AVERAGE(BV41:CF41) * (1 + $F41),
    "Prior Month",CF41* (1 + $F41),
    "Prior Year", BU41* (1 + $F41),
    "Monthly assumption",$G41* (1 + $F41),
    "Quarterly assumption",$G41/3* (1 + $F41),
    "Annual assumption",$G41/12* (1 + $F41),
    "% of Revenue",SUM(_xlfn._xlws.FILTER(_xlfn._xlws.FILTER(dataSummaryPL,dataSummaryPLSections="Revenue"),(startDates&gt;=CG$4)*(endDates&lt;=CG$5)))*$F41,
    "Custom",0,
    "0",0,
        0
)</f>
        <v>1610.276985033239</v>
      </c>
      <c r="CH41" s="335" cm="1">
        <f t="array" ref="CH41">_xlfn.SWITCH(
    $E41,
    "3 month avg", AVERAGE(CE41:CG41) * (1 + $F41),
    "6 month avg", AVERAGE(CB41:CG41) * (1 + $F41),
    "12 month avg", AVERAGE(BW41:CG41) * (1 + $F41),
    "Prior Month",CG41* (1 + $F41),
    "Prior Year", BV41* (1 + $F41),
    "Monthly assumption",$G41* (1 + $F41),
    "Quarterly assumption",$G41/3* (1 + $F41),
    "Annual assumption",$G41/12* (1 + $F41),
    "% of Revenue",SUM(_xlfn._xlws.FILTER(_xlfn._xlws.FILTER(dataSummaryPL,dataSummaryPLSections="Revenue"),(startDates&gt;=CH$4)*(endDates&lt;=CH$5)))*$F41,
    "Custom",0,
    "0",0,
        0
)</f>
        <v>1658.7617660078058</v>
      </c>
      <c r="CI41" s="335" cm="1">
        <f t="array" ref="CI41">_xlfn.SWITCH(
    $E41,
    "3 month avg", AVERAGE(CF41:CH41) * (1 + $F41),
    "6 month avg", AVERAGE(CC41:CH41) * (1 + $F41),
    "12 month avg", AVERAGE(BX41:CH41) * (1 + $F41),
    "Prior Month",CH41* (1 + $F41),
    "Prior Year", BW41* (1 + $F41),
    "Monthly assumption",$G41* (1 + $F41),
    "Quarterly assumption",$G41/3* (1 + $F41),
    "Annual assumption",$G41/12* (1 + $F41),
    "% of Revenue",SUM(_xlfn._xlws.FILTER(_xlfn._xlws.FILTER(dataSummaryPL,dataSummaryPLSections="Revenue"),(startDates&gt;=CI$4)*(endDates&lt;=CI$5)))*$F41,
    "Custom",0,
    "0",0,
        0
)</f>
        <v>1674.9014876568281</v>
      </c>
      <c r="CJ41" s="335" cm="1">
        <f t="array" ref="CJ41">_xlfn.SWITCH(
    $E41,
    "3 month avg", AVERAGE(CG41:CI41) * (1 + $F41),
    "6 month avg", AVERAGE(CD41:CI41) * (1 + $F41),
    "12 month avg", AVERAGE(BY41:CI41) * (1 + $F41),
    "Prior Month",CI41* (1 + $F41),
    "Prior Year", BX41* (1 + $F41),
    "Monthly assumption",$G41* (1 + $F41),
    "Quarterly assumption",$G41/3* (1 + $F41),
    "Annual assumption",$G41/12* (1 + $F41),
    "% of Revenue",SUM(_xlfn._xlws.FILTER(_xlfn._xlws.FILTER(dataSummaryPL,dataSummaryPLSections="Revenue"),(startDates&gt;=CJ$4)*(endDates&lt;=CJ$5)))*$F41,
    "Custom",0,
    "0",0,
        0
)</f>
        <v>1645.8905327990187</v>
      </c>
    </row>
    <row r="42" spans="3:88" outlineLevel="2">
      <c r="C42" s="283"/>
      <c r="D42" s="288" t="s">
        <v>254</v>
      </c>
      <c r="E42" s="539" t="s">
        <v>38</v>
      </c>
      <c r="F42" s="332"/>
      <c r="G42" s="332"/>
      <c r="H42" s="277" t="str">
        <f>IFERROR(INDEX(PBC_ACCOUNT_LIST[Drivers Section],MATCH(Drivers!L42,PBC_ACCOUNT_LIST[Id],0)),"")</f>
        <v>Opex</v>
      </c>
      <c r="I42" s="277" t="str">
        <f>IFERROR(INDEX(PBC_ACCOUNT_LIST[Summary Grouping],MATCH(Drivers!L42,PBC_ACCOUNT_LIST[Id],0)),"")</f>
        <v>Payroll</v>
      </c>
      <c r="J42" s="277">
        <f>IFERROR(INDEX(PBC_ACCOUNT_LIST[Cash Flow Section],MATCH(Drivers!L42,PBC_ACCOUNT_LIST[Id],0)),"")</f>
        <v>0</v>
      </c>
      <c r="K42" s="278" t="s">
        <v>106</v>
      </c>
      <c r="L42" s="277">
        <v>178</v>
      </c>
      <c r="M42" s="276"/>
      <c r="O42" s="272"/>
      <c r="P42" s="289">
        <f t="shared" si="44"/>
        <v>165539</v>
      </c>
      <c r="Q42" s="289">
        <f t="shared" si="44"/>
        <v>420319</v>
      </c>
      <c r="R42" s="289">
        <f t="shared" si="44"/>
        <v>741416.04666666675</v>
      </c>
      <c r="S42" s="289">
        <f t="shared" si="44"/>
        <v>746136.36363636341</v>
      </c>
      <c r="T42" s="289"/>
      <c r="U42" s="289"/>
      <c r="V42" s="289">
        <f t="shared" si="46"/>
        <v>34425</v>
      </c>
      <c r="W42" s="289">
        <f t="shared" si="46"/>
        <v>34425</v>
      </c>
      <c r="X42" s="289">
        <f t="shared" si="46"/>
        <v>34425</v>
      </c>
      <c r="Y42" s="289">
        <f t="shared" si="46"/>
        <v>62264</v>
      </c>
      <c r="Z42" s="289">
        <f t="shared" si="46"/>
        <v>73357</v>
      </c>
      <c r="AA42" s="289">
        <f t="shared" si="46"/>
        <v>94762</v>
      </c>
      <c r="AB42" s="289">
        <f t="shared" si="46"/>
        <v>120942</v>
      </c>
      <c r="AC42" s="289">
        <f t="shared" si="46"/>
        <v>131258</v>
      </c>
      <c r="AD42" s="289">
        <f t="shared" si="46"/>
        <v>151946.73000000001</v>
      </c>
      <c r="AE42" s="289">
        <f t="shared" si="46"/>
        <v>175897.15</v>
      </c>
      <c r="AF42" s="289">
        <f t="shared" si="46"/>
        <v>203622.82</v>
      </c>
      <c r="AG42" s="289">
        <f t="shared" si="46"/>
        <v>209949.34666666665</v>
      </c>
      <c r="AH42" s="289">
        <f t="shared" si="46"/>
        <v>125000</v>
      </c>
      <c r="AI42" s="289">
        <f t="shared" si="46"/>
        <v>191136.36363636362</v>
      </c>
      <c r="AJ42" s="289">
        <f t="shared" si="46"/>
        <v>207499.99999999997</v>
      </c>
      <c r="AK42" s="289">
        <f t="shared" si="46"/>
        <v>222499.99999999997</v>
      </c>
      <c r="AL42" s="333"/>
      <c r="AM42" s="334"/>
      <c r="AN42" s="289">
        <f>SUMIFS(PBC_PROFIT_AND_LOSS[AccountBalance], PBC_PROFIT_AND_LOSS[Id],$L42,PBC_PROFIT_AND_LOSS[Date],AN$5)</f>
        <v>0</v>
      </c>
      <c r="AO42" s="289">
        <f>SUMIFS(PBC_PROFIT_AND_LOSS[AccountBalance], PBC_PROFIT_AND_LOSS[Id],$L42,PBC_PROFIT_AND_LOSS[Date],AO$5)</f>
        <v>11475</v>
      </c>
      <c r="AP42" s="289">
        <f>SUMIFS(PBC_PROFIT_AND_LOSS[AccountBalance], PBC_PROFIT_AND_LOSS[Id],$L42,PBC_PROFIT_AND_LOSS[Date],AP$5)</f>
        <v>11475</v>
      </c>
      <c r="AQ42" s="289">
        <f>SUMIFS(PBC_PROFIT_AND_LOSS[AccountBalance], PBC_PROFIT_AND_LOSS[Id],$L42,PBC_PROFIT_AND_LOSS[Date],AQ$5)</f>
        <v>11475</v>
      </c>
      <c r="AR42" s="289">
        <f>SUMIFS(PBC_PROFIT_AND_LOSS[AccountBalance], PBC_PROFIT_AND_LOSS[Id],$L42,PBC_PROFIT_AND_LOSS[Date],AR$5)</f>
        <v>11475</v>
      </c>
      <c r="AS42" s="289">
        <f>SUMIFS(PBC_PROFIT_AND_LOSS[AccountBalance], PBC_PROFIT_AND_LOSS[Id],$L42,PBC_PROFIT_AND_LOSS[Date],AS$5)</f>
        <v>11475</v>
      </c>
      <c r="AT42" s="289">
        <f>SUMIFS(PBC_PROFIT_AND_LOSS[AccountBalance], PBC_PROFIT_AND_LOSS[Id],$L42,PBC_PROFIT_AND_LOSS[Date],AT$5)</f>
        <v>11475</v>
      </c>
      <c r="AU42" s="289">
        <f>SUMIFS(PBC_PROFIT_AND_LOSS[AccountBalance], PBC_PROFIT_AND_LOSS[Id],$L42,PBC_PROFIT_AND_LOSS[Date],AU$5)</f>
        <v>11475</v>
      </c>
      <c r="AV42" s="289">
        <f>SUMIFS(PBC_PROFIT_AND_LOSS[AccountBalance], PBC_PROFIT_AND_LOSS[Id],$L42,PBC_PROFIT_AND_LOSS[Date],AV$5)</f>
        <v>11475</v>
      </c>
      <c r="AW42" s="289">
        <f>SUMIFS(PBC_PROFIT_AND_LOSS[AccountBalance], PBC_PROFIT_AND_LOSS[Id],$L42,PBC_PROFIT_AND_LOSS[Date],AW$5)</f>
        <v>11475</v>
      </c>
      <c r="AX42" s="289">
        <f>SUMIFS(PBC_PROFIT_AND_LOSS[AccountBalance], PBC_PROFIT_AND_LOSS[Id],$L42,PBC_PROFIT_AND_LOSS[Date],AX$5)</f>
        <v>11475</v>
      </c>
      <c r="AY42" s="289">
        <f>SUMIFS(PBC_PROFIT_AND_LOSS[AccountBalance], PBC_PROFIT_AND_LOSS[Id],$L42,PBC_PROFIT_AND_LOSS[Date],AY$5)</f>
        <v>18166</v>
      </c>
      <c r="AZ42" s="289">
        <f>SUMIFS(PBC_PROFIT_AND_LOSS[AccountBalance], PBC_PROFIT_AND_LOSS[Id],$L42,PBC_PROFIT_AND_LOSS[Date],AZ$5)</f>
        <v>32623</v>
      </c>
      <c r="BA42" s="289">
        <f>SUMIFS(PBC_PROFIT_AND_LOSS[AccountBalance], PBC_PROFIT_AND_LOSS[Id],$L42,PBC_PROFIT_AND_LOSS[Date],BA$5)</f>
        <v>19075</v>
      </c>
      <c r="BB42" s="289">
        <f>SUMIFS(PBC_PROFIT_AND_LOSS[AccountBalance], PBC_PROFIT_AND_LOSS[Id],$L42,PBC_PROFIT_AND_LOSS[Date],BB$5)</f>
        <v>34254</v>
      </c>
      <c r="BC42" s="289">
        <f>SUMIFS(PBC_PROFIT_AND_LOSS[AccountBalance], PBC_PROFIT_AND_LOSS[Id],$L42,PBC_PROFIT_AND_LOSS[Date],BC$5)</f>
        <v>20028</v>
      </c>
      <c r="BD42" s="289">
        <f>SUMIFS(PBC_PROFIT_AND_LOSS[AccountBalance], PBC_PROFIT_AND_LOSS[Id],$L42,PBC_PROFIT_AND_LOSS[Date],BD$5)</f>
        <v>35967</v>
      </c>
      <c r="BE42" s="289">
        <f>SUMIFS(PBC_PROFIT_AND_LOSS[AccountBalance], PBC_PROFIT_AND_LOSS[Id],$L42,PBC_PROFIT_AND_LOSS[Date],BE$5)</f>
        <v>21030</v>
      </c>
      <c r="BF42" s="289">
        <f>SUMIFS(PBC_PROFIT_AND_LOSS[AccountBalance], PBC_PROFIT_AND_LOSS[Id],$L42,PBC_PROFIT_AND_LOSS[Date],BF$5)</f>
        <v>37765</v>
      </c>
      <c r="BG42" s="289">
        <f>SUMIFS(PBC_PROFIT_AND_LOSS[AccountBalance], PBC_PROFIT_AND_LOSS[Id],$L42,PBC_PROFIT_AND_LOSS[Date],BG$5)</f>
        <v>39653</v>
      </c>
      <c r="BH42" s="289">
        <f>SUMIFS(PBC_PROFIT_AND_LOSS[AccountBalance], PBC_PROFIT_AND_LOSS[Id],$L42,PBC_PROFIT_AND_LOSS[Date],BH$5)</f>
        <v>39653</v>
      </c>
      <c r="BI42" s="289">
        <f>SUMIFS(PBC_PROFIT_AND_LOSS[AccountBalance], PBC_PROFIT_AND_LOSS[Id],$L42,PBC_PROFIT_AND_LOSS[Date],BI$5)</f>
        <v>41636</v>
      </c>
      <c r="BJ42" s="289">
        <f>SUMIFS(PBC_PROFIT_AND_LOSS[AccountBalance], PBC_PROFIT_AND_LOSS[Id],$L42,PBC_PROFIT_AND_LOSS[Date],BJ$5)</f>
        <v>41636</v>
      </c>
      <c r="BK42" s="289">
        <f>SUMIFS(PBC_PROFIT_AND_LOSS[AccountBalance], PBC_PROFIT_AND_LOSS[Id],$L42,PBC_PROFIT_AND_LOSS[Date],BK$5)</f>
        <v>43718</v>
      </c>
      <c r="BL42" s="289">
        <f>SUMIFS(PBC_PROFIT_AND_LOSS[AccountBalance], PBC_PROFIT_AND_LOSS[Id],$L42,PBC_PROFIT_AND_LOSS[Date],BL$5)</f>
        <v>45904</v>
      </c>
      <c r="BM42" s="289">
        <f>SUMIFS(PBC_PROFIT_AND_LOSS[AccountBalance], PBC_PROFIT_AND_LOSS[Id],$L42,PBC_PROFIT_AND_LOSS[Date],BM$5)</f>
        <v>48198.73</v>
      </c>
      <c r="BN42" s="289">
        <f>SUMIFS(PBC_PROFIT_AND_LOSS[AccountBalance], PBC_PROFIT_AND_LOSS[Id],$L42,PBC_PROFIT_AND_LOSS[Date],BN$5)</f>
        <v>50609</v>
      </c>
      <c r="BO42" s="289">
        <f>SUMIFS(PBC_PROFIT_AND_LOSS[AccountBalance], PBC_PROFIT_AND_LOSS[Id],$L42,PBC_PROFIT_AND_LOSS[Date],BO$5)</f>
        <v>53139</v>
      </c>
      <c r="BP42" s="289">
        <f>SUMIFS(PBC_PROFIT_AND_LOSS[AccountBalance], PBC_PROFIT_AND_LOSS[Id],$L42,PBC_PROFIT_AND_LOSS[Date],BP$5)</f>
        <v>55796</v>
      </c>
      <c r="BQ42" s="289">
        <f>SUMIFS(PBC_PROFIT_AND_LOSS[AccountBalance], PBC_PROFIT_AND_LOSS[Id],$L42,PBC_PROFIT_AND_LOSS[Date],BQ$5)</f>
        <v>58586</v>
      </c>
      <c r="BR42" s="289">
        <f>SUMIFS(PBC_PROFIT_AND_LOSS[AccountBalance], PBC_PROFIT_AND_LOSS[Id],$L42,PBC_PROFIT_AND_LOSS[Date],BR$5)</f>
        <v>61515.15</v>
      </c>
      <c r="BS42" s="289">
        <f>SUMIFS(PBC_PROFIT_AND_LOSS[AccountBalance], PBC_PROFIT_AND_LOSS[Id],$L42,PBC_PROFIT_AND_LOSS[Date],BS$5)</f>
        <v>64590.9</v>
      </c>
      <c r="BT42" s="289">
        <f>SUMIFS(PBC_PROFIT_AND_LOSS[AccountBalance], PBC_PROFIT_AND_LOSS[Id],$L42,PBC_PROFIT_AND_LOSS[Date],BT$5)</f>
        <v>67820.45</v>
      </c>
      <c r="BU42" s="289">
        <f>SUMIFS(PBC_PROFIT_AND_LOSS[AccountBalance], PBC_PROFIT_AND_LOSS[Id],$L42,PBC_PROFIT_AND_LOSS[Date],BU$5)</f>
        <v>71211.47</v>
      </c>
      <c r="BV42" s="289">
        <f>SUMIFS(PBC_PROFIT_AND_LOSS[AccountBalance], PBC_PROFIT_AND_LOSS[Id],$L42,PBC_PROFIT_AND_LOSS[Date],BV$5)</f>
        <v>74772.039999999994</v>
      </c>
      <c r="BW42" s="289">
        <f>SUMIFS(PBC_PROFIT_AND_LOSS[AccountBalance], PBC_PROFIT_AND_LOSS[Id],$L42,PBC_PROFIT_AND_LOSS[Date],BW$5)</f>
        <v>78510.64</v>
      </c>
      <c r="BX42" s="541">
        <f>SUMIFS(Headcount!BY$68:BY$103,Headcount!$H$68:$H$103,$L42)</f>
        <v>56666.666666666664</v>
      </c>
      <c r="BY42" s="541">
        <f>SUMIFS(Headcount!BZ$68:BZ$103,Headcount!$H$68:$H$103,$L42)</f>
        <v>41666.666666666664</v>
      </c>
      <c r="BZ42" s="541">
        <f>SUMIFS(Headcount!CA$68:CA$103,Headcount!$H$68:$H$103,$L42)</f>
        <v>41666.666666666664</v>
      </c>
      <c r="CA42" s="541">
        <f>SUMIFS(Headcount!CB$68:CB$103,Headcount!$H$68:$H$103,$L42)</f>
        <v>41666.666666666664</v>
      </c>
      <c r="CB42" s="541">
        <f>SUMIFS(Headcount!CC$68:CC$103,Headcount!$H$68:$H$103,$L42)</f>
        <v>62499.999999999993</v>
      </c>
      <c r="CC42" s="541">
        <f>SUMIFS(Headcount!CD$68:CD$103,Headcount!$H$68:$H$103,$L42)</f>
        <v>62499.999999999993</v>
      </c>
      <c r="CD42" s="541">
        <f>SUMIFS(Headcount!CE$68:CE$103,Headcount!$H$68:$H$103,$L42)</f>
        <v>66136.363636363632</v>
      </c>
      <c r="CE42" s="541">
        <f>SUMIFS(Headcount!CF$68:CF$103,Headcount!$H$68:$H$103,$L42)</f>
        <v>69166.666666666657</v>
      </c>
      <c r="CF42" s="541">
        <f>SUMIFS(Headcount!CG$68:CG$103,Headcount!$H$68:$H$103,$L42)</f>
        <v>69166.666666666657</v>
      </c>
      <c r="CG42" s="541">
        <f>SUMIFS(Headcount!CH$68:CH$103,Headcount!$H$68:$H$103,$L42)</f>
        <v>69166.666666666657</v>
      </c>
      <c r="CH42" s="541">
        <f>SUMIFS(Headcount!CI$68:CI$103,Headcount!$H$68:$H$103,$L42)</f>
        <v>69166.666666666657</v>
      </c>
      <c r="CI42" s="541">
        <f>SUMIFS(Headcount!CJ$68:CJ$103,Headcount!$H$68:$H$103,$L42)</f>
        <v>69166.666666666657</v>
      </c>
      <c r="CJ42" s="541">
        <f>SUMIFS(Headcount!CK$68:CK$103,Headcount!$H$68:$H$103,$L42)</f>
        <v>84166.666666666657</v>
      </c>
    </row>
    <row r="43" spans="3:88" outlineLevel="2">
      <c r="C43" s="283"/>
      <c r="D43" s="288" t="s">
        <v>255</v>
      </c>
      <c r="E43" s="539" t="s">
        <v>38</v>
      </c>
      <c r="F43" s="332"/>
      <c r="G43" s="332"/>
      <c r="H43" s="277" t="str">
        <f>IFERROR(INDEX(PBC_ACCOUNT_LIST[Drivers Section],MATCH(Drivers!L43,PBC_ACCOUNT_LIST[Id],0)),"")</f>
        <v>Opex</v>
      </c>
      <c r="I43" s="277" t="str">
        <f>IFERROR(INDEX(PBC_ACCOUNT_LIST[Summary Grouping],MATCH(Drivers!L43,PBC_ACCOUNT_LIST[Id],0)),"")</f>
        <v>Payroll</v>
      </c>
      <c r="J43" s="277">
        <f>IFERROR(INDEX(PBC_ACCOUNT_LIST[Cash Flow Section],MATCH(Drivers!L43,PBC_ACCOUNT_LIST[Id],0)),"")</f>
        <v>0</v>
      </c>
      <c r="K43" s="278" t="s">
        <v>106</v>
      </c>
      <c r="L43" s="277">
        <v>179</v>
      </c>
      <c r="M43" s="276"/>
      <c r="O43" s="272"/>
      <c r="P43" s="289">
        <f t="shared" si="44"/>
        <v>4913</v>
      </c>
      <c r="Q43" s="289">
        <f t="shared" si="44"/>
        <v>41226</v>
      </c>
      <c r="R43" s="289">
        <f t="shared" si="44"/>
        <v>71110.223333333328</v>
      </c>
      <c r="S43" s="289">
        <f t="shared" si="44"/>
        <v>58490.909090909074</v>
      </c>
      <c r="T43" s="289"/>
      <c r="U43" s="289"/>
      <c r="V43" s="289">
        <f t="shared" si="46"/>
        <v>0</v>
      </c>
      <c r="W43" s="289">
        <f t="shared" si="46"/>
        <v>0</v>
      </c>
      <c r="X43" s="289">
        <f t="shared" si="46"/>
        <v>0</v>
      </c>
      <c r="Y43" s="289">
        <f t="shared" si="46"/>
        <v>4913</v>
      </c>
      <c r="Z43" s="289">
        <f t="shared" si="46"/>
        <v>7015</v>
      </c>
      <c r="AA43" s="289">
        <f t="shared" si="46"/>
        <v>9248</v>
      </c>
      <c r="AB43" s="289">
        <f t="shared" si="46"/>
        <v>11971</v>
      </c>
      <c r="AC43" s="289">
        <f t="shared" si="46"/>
        <v>12992</v>
      </c>
      <c r="AD43" s="289">
        <f t="shared" si="46"/>
        <v>15039.7</v>
      </c>
      <c r="AE43" s="289">
        <f t="shared" si="46"/>
        <v>17410.78</v>
      </c>
      <c r="AF43" s="289">
        <f t="shared" si="46"/>
        <v>20154.53</v>
      </c>
      <c r="AG43" s="289">
        <f t="shared" si="46"/>
        <v>18505.213333333333</v>
      </c>
      <c r="AH43" s="289">
        <f t="shared" si="46"/>
        <v>10000</v>
      </c>
      <c r="AI43" s="289">
        <f t="shared" si="46"/>
        <v>15290.909090909088</v>
      </c>
      <c r="AJ43" s="289">
        <f t="shared" si="46"/>
        <v>16599.999999999996</v>
      </c>
      <c r="AK43" s="289">
        <f t="shared" si="46"/>
        <v>16599.999999999996</v>
      </c>
      <c r="AL43" s="333"/>
      <c r="AM43" s="334"/>
      <c r="AN43" s="289">
        <f>SUMIFS(PBC_PROFIT_AND_LOSS[AccountBalance], PBC_PROFIT_AND_LOSS[Id],$L43,PBC_PROFIT_AND_LOSS[Date],AN$5)</f>
        <v>0</v>
      </c>
      <c r="AO43" s="289">
        <f>SUMIFS(PBC_PROFIT_AND_LOSS[AccountBalance], PBC_PROFIT_AND_LOSS[Id],$L43,PBC_PROFIT_AND_LOSS[Date],AO$5)</f>
        <v>0</v>
      </c>
      <c r="AP43" s="289">
        <f>SUMIFS(PBC_PROFIT_AND_LOSS[AccountBalance], PBC_PROFIT_AND_LOSS[Id],$L43,PBC_PROFIT_AND_LOSS[Date],AP$5)</f>
        <v>0</v>
      </c>
      <c r="AQ43" s="289">
        <f>SUMIFS(PBC_PROFIT_AND_LOSS[AccountBalance], PBC_PROFIT_AND_LOSS[Id],$L43,PBC_PROFIT_AND_LOSS[Date],AQ$5)</f>
        <v>0</v>
      </c>
      <c r="AR43" s="289">
        <f>SUMIFS(PBC_PROFIT_AND_LOSS[AccountBalance], PBC_PROFIT_AND_LOSS[Id],$L43,PBC_PROFIT_AND_LOSS[Date],AR$5)</f>
        <v>0</v>
      </c>
      <c r="AS43" s="289">
        <f>SUMIFS(PBC_PROFIT_AND_LOSS[AccountBalance], PBC_PROFIT_AND_LOSS[Id],$L43,PBC_PROFIT_AND_LOSS[Date],AS$5)</f>
        <v>0</v>
      </c>
      <c r="AT43" s="289">
        <f>SUMIFS(PBC_PROFIT_AND_LOSS[AccountBalance], PBC_PROFIT_AND_LOSS[Id],$L43,PBC_PROFIT_AND_LOSS[Date],AT$5)</f>
        <v>0</v>
      </c>
      <c r="AU43" s="289">
        <f>SUMIFS(PBC_PROFIT_AND_LOSS[AccountBalance], PBC_PROFIT_AND_LOSS[Id],$L43,PBC_PROFIT_AND_LOSS[Date],AU$5)</f>
        <v>0</v>
      </c>
      <c r="AV43" s="289">
        <f>SUMIFS(PBC_PROFIT_AND_LOSS[AccountBalance], PBC_PROFIT_AND_LOSS[Id],$L43,PBC_PROFIT_AND_LOSS[Date],AV$5)</f>
        <v>0</v>
      </c>
      <c r="AW43" s="289">
        <f>SUMIFS(PBC_PROFIT_AND_LOSS[AccountBalance], PBC_PROFIT_AND_LOSS[Id],$L43,PBC_PROFIT_AND_LOSS[Date],AW$5)</f>
        <v>0</v>
      </c>
      <c r="AX43" s="289">
        <f>SUMIFS(PBC_PROFIT_AND_LOSS[AccountBalance], PBC_PROFIT_AND_LOSS[Id],$L43,PBC_PROFIT_AND_LOSS[Date],AX$5)</f>
        <v>0</v>
      </c>
      <c r="AY43" s="289">
        <f>SUMIFS(PBC_PROFIT_AND_LOSS[AccountBalance], PBC_PROFIT_AND_LOSS[Id],$L43,PBC_PROFIT_AND_LOSS[Date],AY$5)</f>
        <v>1684</v>
      </c>
      <c r="AZ43" s="289">
        <f>SUMIFS(PBC_PROFIT_AND_LOSS[AccountBalance], PBC_PROFIT_AND_LOSS[Id],$L43,PBC_PROFIT_AND_LOSS[Date],AZ$5)</f>
        <v>3229</v>
      </c>
      <c r="BA43" s="289">
        <f>SUMIFS(PBC_PROFIT_AND_LOSS[AccountBalance], PBC_PROFIT_AND_LOSS[Id],$L43,PBC_PROFIT_AND_LOSS[Date],BA$5)</f>
        <v>1768</v>
      </c>
      <c r="BB43" s="289">
        <f>SUMIFS(PBC_PROFIT_AND_LOSS[AccountBalance], PBC_PROFIT_AND_LOSS[Id],$L43,PBC_PROFIT_AND_LOSS[Date],BB$5)</f>
        <v>3390</v>
      </c>
      <c r="BC43" s="289">
        <f>SUMIFS(PBC_PROFIT_AND_LOSS[AccountBalance], PBC_PROFIT_AND_LOSS[Id],$L43,PBC_PROFIT_AND_LOSS[Date],BC$5)</f>
        <v>1857</v>
      </c>
      <c r="BD43" s="289">
        <f>SUMIFS(PBC_PROFIT_AND_LOSS[AccountBalance], PBC_PROFIT_AND_LOSS[Id],$L43,PBC_PROFIT_AND_LOSS[Date],BD$5)</f>
        <v>3560</v>
      </c>
      <c r="BE43" s="289">
        <f>SUMIFS(PBC_PROFIT_AND_LOSS[AccountBalance], PBC_PROFIT_AND_LOSS[Id],$L43,PBC_PROFIT_AND_LOSS[Date],BE$5)</f>
        <v>1950</v>
      </c>
      <c r="BF43" s="289">
        <f>SUMIFS(PBC_PROFIT_AND_LOSS[AccountBalance], PBC_PROFIT_AND_LOSS[Id],$L43,PBC_PROFIT_AND_LOSS[Date],BF$5)</f>
        <v>3738</v>
      </c>
      <c r="BG43" s="289">
        <f>SUMIFS(PBC_PROFIT_AND_LOSS[AccountBalance], PBC_PROFIT_AND_LOSS[Id],$L43,PBC_PROFIT_AND_LOSS[Date],BG$5)</f>
        <v>3925</v>
      </c>
      <c r="BH43" s="289">
        <f>SUMIFS(PBC_PROFIT_AND_LOSS[AccountBalance], PBC_PROFIT_AND_LOSS[Id],$L43,PBC_PROFIT_AND_LOSS[Date],BH$5)</f>
        <v>3925</v>
      </c>
      <c r="BI43" s="289">
        <f>SUMIFS(PBC_PROFIT_AND_LOSS[AccountBalance], PBC_PROFIT_AND_LOSS[Id],$L43,PBC_PROFIT_AND_LOSS[Date],BI$5)</f>
        <v>4121</v>
      </c>
      <c r="BJ43" s="289">
        <f>SUMIFS(PBC_PROFIT_AND_LOSS[AccountBalance], PBC_PROFIT_AND_LOSS[Id],$L43,PBC_PROFIT_AND_LOSS[Date],BJ$5)</f>
        <v>4121</v>
      </c>
      <c r="BK43" s="289">
        <f>SUMIFS(PBC_PROFIT_AND_LOSS[AccountBalance], PBC_PROFIT_AND_LOSS[Id],$L43,PBC_PROFIT_AND_LOSS[Date],BK$5)</f>
        <v>4327</v>
      </c>
      <c r="BL43" s="289">
        <f>SUMIFS(PBC_PROFIT_AND_LOSS[AccountBalance], PBC_PROFIT_AND_LOSS[Id],$L43,PBC_PROFIT_AND_LOSS[Date],BL$5)</f>
        <v>4544</v>
      </c>
      <c r="BM43" s="289">
        <f>SUMIFS(PBC_PROFIT_AND_LOSS[AccountBalance], PBC_PROFIT_AND_LOSS[Id],$L43,PBC_PROFIT_AND_LOSS[Date],BM$5)</f>
        <v>4770.7</v>
      </c>
      <c r="BN43" s="289">
        <f>SUMIFS(PBC_PROFIT_AND_LOSS[AccountBalance], PBC_PROFIT_AND_LOSS[Id],$L43,PBC_PROFIT_AND_LOSS[Date],BN$5)</f>
        <v>5009</v>
      </c>
      <c r="BO43" s="289">
        <f>SUMIFS(PBC_PROFIT_AND_LOSS[AccountBalance], PBC_PROFIT_AND_LOSS[Id],$L43,PBC_PROFIT_AND_LOSS[Date],BO$5)</f>
        <v>5260</v>
      </c>
      <c r="BP43" s="289">
        <f>SUMIFS(PBC_PROFIT_AND_LOSS[AccountBalance], PBC_PROFIT_AND_LOSS[Id],$L43,PBC_PROFIT_AND_LOSS[Date],BP$5)</f>
        <v>5523</v>
      </c>
      <c r="BQ43" s="289">
        <f>SUMIFS(PBC_PROFIT_AND_LOSS[AccountBalance], PBC_PROFIT_AND_LOSS[Id],$L43,PBC_PROFIT_AND_LOSS[Date],BQ$5)</f>
        <v>5799</v>
      </c>
      <c r="BR43" s="289">
        <f>SUMIFS(PBC_PROFIT_AND_LOSS[AccountBalance], PBC_PROFIT_AND_LOSS[Id],$L43,PBC_PROFIT_AND_LOSS[Date],BR$5)</f>
        <v>6088.78</v>
      </c>
      <c r="BS43" s="289">
        <f>SUMIFS(PBC_PROFIT_AND_LOSS[AccountBalance], PBC_PROFIT_AND_LOSS[Id],$L43,PBC_PROFIT_AND_LOSS[Date],BS$5)</f>
        <v>6393.19</v>
      </c>
      <c r="BT43" s="289">
        <f>SUMIFS(PBC_PROFIT_AND_LOSS[AccountBalance], PBC_PROFIT_AND_LOSS[Id],$L43,PBC_PROFIT_AND_LOSS[Date],BT$5)</f>
        <v>6712.85</v>
      </c>
      <c r="BU43" s="289">
        <f>SUMIFS(PBC_PROFIT_AND_LOSS[AccountBalance], PBC_PROFIT_AND_LOSS[Id],$L43,PBC_PROFIT_AND_LOSS[Date],BU$5)</f>
        <v>7048.49</v>
      </c>
      <c r="BV43" s="289">
        <f>SUMIFS(PBC_PROFIT_AND_LOSS[AccountBalance], PBC_PROFIT_AND_LOSS[Id],$L43,PBC_PROFIT_AND_LOSS[Date],BV$5)</f>
        <v>7400.92</v>
      </c>
      <c r="BW43" s="289">
        <f>SUMIFS(PBC_PROFIT_AND_LOSS[AccountBalance], PBC_PROFIT_AND_LOSS[Id],$L43,PBC_PROFIT_AND_LOSS[Date],BW$5)</f>
        <v>7770.96</v>
      </c>
      <c r="BX43" s="541">
        <f>SUMIFS(Headcount!BY$68:BY$103,Headcount!$H$68:$H$103,$L43)</f>
        <v>3333.333333333333</v>
      </c>
      <c r="BY43" s="541">
        <f>SUMIFS(Headcount!BZ$68:BZ$103,Headcount!$H$68:$H$103,$L43)</f>
        <v>3333.333333333333</v>
      </c>
      <c r="BZ43" s="541">
        <f>SUMIFS(Headcount!CA$68:CA$103,Headcount!$H$68:$H$103,$L43)</f>
        <v>3333.333333333333</v>
      </c>
      <c r="CA43" s="541">
        <f>SUMIFS(Headcount!CB$68:CB$103,Headcount!$H$68:$H$103,$L43)</f>
        <v>3333.333333333333</v>
      </c>
      <c r="CB43" s="541">
        <f>SUMIFS(Headcount!CC$68:CC$103,Headcount!$H$68:$H$103,$L43)</f>
        <v>4999.9999999999991</v>
      </c>
      <c r="CC43" s="541">
        <f>SUMIFS(Headcount!CD$68:CD$103,Headcount!$H$68:$H$103,$L43)</f>
        <v>4999.9999999999991</v>
      </c>
      <c r="CD43" s="541">
        <f>SUMIFS(Headcount!CE$68:CE$103,Headcount!$H$68:$H$103,$L43)</f>
        <v>5290.9090909090901</v>
      </c>
      <c r="CE43" s="541">
        <f>SUMIFS(Headcount!CF$68:CF$103,Headcount!$H$68:$H$103,$L43)</f>
        <v>5533.3333333333321</v>
      </c>
      <c r="CF43" s="541">
        <f>SUMIFS(Headcount!CG$68:CG$103,Headcount!$H$68:$H$103,$L43)</f>
        <v>5533.3333333333321</v>
      </c>
      <c r="CG43" s="541">
        <f>SUMIFS(Headcount!CH$68:CH$103,Headcount!$H$68:$H$103,$L43)</f>
        <v>5533.3333333333321</v>
      </c>
      <c r="CH43" s="541">
        <f>SUMIFS(Headcount!CI$68:CI$103,Headcount!$H$68:$H$103,$L43)</f>
        <v>5533.3333333333321</v>
      </c>
      <c r="CI43" s="541">
        <f>SUMIFS(Headcount!CJ$68:CJ$103,Headcount!$H$68:$H$103,$L43)</f>
        <v>5533.3333333333321</v>
      </c>
      <c r="CJ43" s="541">
        <f>SUMIFS(Headcount!CK$68:CK$103,Headcount!$H$68:$H$103,$L43)</f>
        <v>5533.3333333333321</v>
      </c>
    </row>
    <row r="44" spans="3:88" outlineLevel="2">
      <c r="C44" s="283"/>
      <c r="D44" s="288" t="s">
        <v>256</v>
      </c>
      <c r="E44" s="539" t="s">
        <v>38</v>
      </c>
      <c r="F44" s="332"/>
      <c r="G44" s="332"/>
      <c r="H44" s="277" t="str">
        <f>IFERROR(INDEX(PBC_ACCOUNT_LIST[Drivers Section],MATCH(Drivers!L44,PBC_ACCOUNT_LIST[Id],0)),"")</f>
        <v>Opex</v>
      </c>
      <c r="I44" s="277" t="str">
        <f>IFERROR(INDEX(PBC_ACCOUNT_LIST[Summary Grouping],MATCH(Drivers!L44,PBC_ACCOUNT_LIST[Id],0)),"")</f>
        <v>Payroll</v>
      </c>
      <c r="J44" s="277">
        <f>IFERROR(INDEX(PBC_ACCOUNT_LIST[Cash Flow Section],MATCH(Drivers!L44,PBC_ACCOUNT_LIST[Id],0)),"")</f>
        <v>0</v>
      </c>
      <c r="K44" s="278" t="s">
        <v>106</v>
      </c>
      <c r="L44" s="277">
        <v>180</v>
      </c>
      <c r="M44" s="276"/>
      <c r="O44" s="272"/>
      <c r="P44" s="289">
        <f t="shared" si="44"/>
        <v>14140</v>
      </c>
      <c r="Q44" s="289">
        <f t="shared" si="44"/>
        <v>19904</v>
      </c>
      <c r="R44" s="289">
        <f t="shared" si="44"/>
        <v>34308.286666666667</v>
      </c>
      <c r="S44" s="289">
        <f t="shared" si="44"/>
        <v>73113.636363636368</v>
      </c>
      <c r="T44" s="289"/>
      <c r="U44" s="289"/>
      <c r="V44" s="289">
        <f t="shared" si="46"/>
        <v>3444</v>
      </c>
      <c r="W44" s="289">
        <f t="shared" si="46"/>
        <v>3444</v>
      </c>
      <c r="X44" s="289">
        <f t="shared" si="46"/>
        <v>3444</v>
      </c>
      <c r="Y44" s="289">
        <f t="shared" si="46"/>
        <v>3808</v>
      </c>
      <c r="Z44" s="289">
        <f t="shared" si="46"/>
        <v>4142</v>
      </c>
      <c r="AA44" s="289">
        <f t="shared" si="46"/>
        <v>4661</v>
      </c>
      <c r="AB44" s="289">
        <f t="shared" si="46"/>
        <v>5323</v>
      </c>
      <c r="AC44" s="289">
        <f t="shared" si="46"/>
        <v>5778</v>
      </c>
      <c r="AD44" s="289">
        <f t="shared" si="46"/>
        <v>6688.6100000000006</v>
      </c>
      <c r="AE44" s="289">
        <f t="shared" si="46"/>
        <v>7742.7800000000007</v>
      </c>
      <c r="AF44" s="289">
        <f t="shared" si="46"/>
        <v>8963.0499999999993</v>
      </c>
      <c r="AG44" s="289">
        <f t="shared" si="46"/>
        <v>10913.846666666668</v>
      </c>
      <c r="AH44" s="289">
        <f t="shared" si="46"/>
        <v>12500</v>
      </c>
      <c r="AI44" s="289">
        <f t="shared" si="46"/>
        <v>19113.636363636364</v>
      </c>
      <c r="AJ44" s="289">
        <f t="shared" si="46"/>
        <v>20750</v>
      </c>
      <c r="AK44" s="289">
        <f t="shared" si="46"/>
        <v>20750</v>
      </c>
      <c r="AL44" s="333"/>
      <c r="AM44" s="334"/>
      <c r="AN44" s="289">
        <f>SUMIFS(PBC_PROFIT_AND_LOSS[AccountBalance], PBC_PROFIT_AND_LOSS[Id],$L44,PBC_PROFIT_AND_LOSS[Date],AN$5)</f>
        <v>0</v>
      </c>
      <c r="AO44" s="289">
        <f>SUMIFS(PBC_PROFIT_AND_LOSS[AccountBalance], PBC_PROFIT_AND_LOSS[Id],$L44,PBC_PROFIT_AND_LOSS[Date],AO$5)</f>
        <v>1148</v>
      </c>
      <c r="AP44" s="289">
        <f>SUMIFS(PBC_PROFIT_AND_LOSS[AccountBalance], PBC_PROFIT_AND_LOSS[Id],$L44,PBC_PROFIT_AND_LOSS[Date],AP$5)</f>
        <v>1148</v>
      </c>
      <c r="AQ44" s="289">
        <f>SUMIFS(PBC_PROFIT_AND_LOSS[AccountBalance], PBC_PROFIT_AND_LOSS[Id],$L44,PBC_PROFIT_AND_LOSS[Date],AQ$5)</f>
        <v>1148</v>
      </c>
      <c r="AR44" s="289">
        <f>SUMIFS(PBC_PROFIT_AND_LOSS[AccountBalance], PBC_PROFIT_AND_LOSS[Id],$L44,PBC_PROFIT_AND_LOSS[Date],AR$5)</f>
        <v>1148</v>
      </c>
      <c r="AS44" s="289">
        <f>SUMIFS(PBC_PROFIT_AND_LOSS[AccountBalance], PBC_PROFIT_AND_LOSS[Id],$L44,PBC_PROFIT_AND_LOSS[Date],AS$5)</f>
        <v>1148</v>
      </c>
      <c r="AT44" s="289">
        <f>SUMIFS(PBC_PROFIT_AND_LOSS[AccountBalance], PBC_PROFIT_AND_LOSS[Id],$L44,PBC_PROFIT_AND_LOSS[Date],AT$5)</f>
        <v>1148</v>
      </c>
      <c r="AU44" s="289">
        <f>SUMIFS(PBC_PROFIT_AND_LOSS[AccountBalance], PBC_PROFIT_AND_LOSS[Id],$L44,PBC_PROFIT_AND_LOSS[Date],AU$5)</f>
        <v>1148</v>
      </c>
      <c r="AV44" s="289">
        <f>SUMIFS(PBC_PROFIT_AND_LOSS[AccountBalance], PBC_PROFIT_AND_LOSS[Id],$L44,PBC_PROFIT_AND_LOSS[Date],AV$5)</f>
        <v>1148</v>
      </c>
      <c r="AW44" s="289">
        <f>SUMIFS(PBC_PROFIT_AND_LOSS[AccountBalance], PBC_PROFIT_AND_LOSS[Id],$L44,PBC_PROFIT_AND_LOSS[Date],AW$5)</f>
        <v>1148</v>
      </c>
      <c r="AX44" s="289">
        <f>SUMIFS(PBC_PROFIT_AND_LOSS[AccountBalance], PBC_PROFIT_AND_LOSS[Id],$L44,PBC_PROFIT_AND_LOSS[Date],AX$5)</f>
        <v>1148</v>
      </c>
      <c r="AY44" s="289">
        <f>SUMIFS(PBC_PROFIT_AND_LOSS[AccountBalance], PBC_PROFIT_AND_LOSS[Id],$L44,PBC_PROFIT_AND_LOSS[Date],AY$5)</f>
        <v>1224</v>
      </c>
      <c r="AZ44" s="289">
        <f>SUMIFS(PBC_PROFIT_AND_LOSS[AccountBalance], PBC_PROFIT_AND_LOSS[Id],$L44,PBC_PROFIT_AND_LOSS[Date],AZ$5)</f>
        <v>1436</v>
      </c>
      <c r="BA44" s="289">
        <f>SUMIFS(PBC_PROFIT_AND_LOSS[AccountBalance], PBC_PROFIT_AND_LOSS[Id],$L44,PBC_PROFIT_AND_LOSS[Date],BA$5)</f>
        <v>1285</v>
      </c>
      <c r="BB44" s="289">
        <f>SUMIFS(PBC_PROFIT_AND_LOSS[AccountBalance], PBC_PROFIT_AND_LOSS[Id],$L44,PBC_PROFIT_AND_LOSS[Date],BB$5)</f>
        <v>1508</v>
      </c>
      <c r="BC44" s="289">
        <f>SUMIFS(PBC_PROFIT_AND_LOSS[AccountBalance], PBC_PROFIT_AND_LOSS[Id],$L44,PBC_PROFIT_AND_LOSS[Date],BC$5)</f>
        <v>1349</v>
      </c>
      <c r="BD44" s="289">
        <f>SUMIFS(PBC_PROFIT_AND_LOSS[AccountBalance], PBC_PROFIT_AND_LOSS[Id],$L44,PBC_PROFIT_AND_LOSS[Date],BD$5)</f>
        <v>1583</v>
      </c>
      <c r="BE44" s="289">
        <f>SUMIFS(PBC_PROFIT_AND_LOSS[AccountBalance], PBC_PROFIT_AND_LOSS[Id],$L44,PBC_PROFIT_AND_LOSS[Date],BE$5)</f>
        <v>1416</v>
      </c>
      <c r="BF44" s="289">
        <f>SUMIFS(PBC_PROFIT_AND_LOSS[AccountBalance], PBC_PROFIT_AND_LOSS[Id],$L44,PBC_PROFIT_AND_LOSS[Date],BF$5)</f>
        <v>1662</v>
      </c>
      <c r="BG44" s="289">
        <f>SUMIFS(PBC_PROFIT_AND_LOSS[AccountBalance], PBC_PROFIT_AND_LOSS[Id],$L44,PBC_PROFIT_AND_LOSS[Date],BG$5)</f>
        <v>1745</v>
      </c>
      <c r="BH44" s="289">
        <f>SUMIFS(PBC_PROFIT_AND_LOSS[AccountBalance], PBC_PROFIT_AND_LOSS[Id],$L44,PBC_PROFIT_AND_LOSS[Date],BH$5)</f>
        <v>1745</v>
      </c>
      <c r="BI44" s="289">
        <f>SUMIFS(PBC_PROFIT_AND_LOSS[AccountBalance], PBC_PROFIT_AND_LOSS[Id],$L44,PBC_PROFIT_AND_LOSS[Date],BI$5)</f>
        <v>1833</v>
      </c>
      <c r="BJ44" s="289">
        <f>SUMIFS(PBC_PROFIT_AND_LOSS[AccountBalance], PBC_PROFIT_AND_LOSS[Id],$L44,PBC_PROFIT_AND_LOSS[Date],BJ$5)</f>
        <v>1833</v>
      </c>
      <c r="BK44" s="289">
        <f>SUMIFS(PBC_PROFIT_AND_LOSS[AccountBalance], PBC_PROFIT_AND_LOSS[Id],$L44,PBC_PROFIT_AND_LOSS[Date],BK$5)</f>
        <v>1924</v>
      </c>
      <c r="BL44" s="289">
        <f>SUMIFS(PBC_PROFIT_AND_LOSS[AccountBalance], PBC_PROFIT_AND_LOSS[Id],$L44,PBC_PROFIT_AND_LOSS[Date],BL$5)</f>
        <v>2021</v>
      </c>
      <c r="BM44" s="289">
        <f>SUMIFS(PBC_PROFIT_AND_LOSS[AccountBalance], PBC_PROFIT_AND_LOSS[Id],$L44,PBC_PROFIT_AND_LOSS[Date],BM$5)</f>
        <v>2121.61</v>
      </c>
      <c r="BN44" s="289">
        <f>SUMIFS(PBC_PROFIT_AND_LOSS[AccountBalance], PBC_PROFIT_AND_LOSS[Id],$L44,PBC_PROFIT_AND_LOSS[Date],BN$5)</f>
        <v>2228</v>
      </c>
      <c r="BO44" s="289">
        <f>SUMIFS(PBC_PROFIT_AND_LOSS[AccountBalance], PBC_PROFIT_AND_LOSS[Id],$L44,PBC_PROFIT_AND_LOSS[Date],BO$5)</f>
        <v>2339</v>
      </c>
      <c r="BP44" s="289">
        <f>SUMIFS(PBC_PROFIT_AND_LOSS[AccountBalance], PBC_PROFIT_AND_LOSS[Id],$L44,PBC_PROFIT_AND_LOSS[Date],BP$5)</f>
        <v>2456</v>
      </c>
      <c r="BQ44" s="289">
        <f>SUMIFS(PBC_PROFIT_AND_LOSS[AccountBalance], PBC_PROFIT_AND_LOSS[Id],$L44,PBC_PROFIT_AND_LOSS[Date],BQ$5)</f>
        <v>2579</v>
      </c>
      <c r="BR44" s="289">
        <f>SUMIFS(PBC_PROFIT_AND_LOSS[AccountBalance], PBC_PROFIT_AND_LOSS[Id],$L44,PBC_PROFIT_AND_LOSS[Date],BR$5)</f>
        <v>2707.78</v>
      </c>
      <c r="BS44" s="289">
        <f>SUMIFS(PBC_PROFIT_AND_LOSS[AccountBalance], PBC_PROFIT_AND_LOSS[Id],$L44,PBC_PROFIT_AND_LOSS[Date],BS$5)</f>
        <v>2843.16</v>
      </c>
      <c r="BT44" s="289">
        <f>SUMIFS(PBC_PROFIT_AND_LOSS[AccountBalance], PBC_PROFIT_AND_LOSS[Id],$L44,PBC_PROFIT_AND_LOSS[Date],BT$5)</f>
        <v>2985.31</v>
      </c>
      <c r="BU44" s="289">
        <f>SUMIFS(PBC_PROFIT_AND_LOSS[AccountBalance], PBC_PROFIT_AND_LOSS[Id],$L44,PBC_PROFIT_AND_LOSS[Date],BU$5)</f>
        <v>3134.58</v>
      </c>
      <c r="BV44" s="289">
        <f>SUMIFS(PBC_PROFIT_AND_LOSS[AccountBalance], PBC_PROFIT_AND_LOSS[Id],$L44,PBC_PROFIT_AND_LOSS[Date],BV$5)</f>
        <v>3291.31</v>
      </c>
      <c r="BW44" s="289">
        <f>SUMIFS(PBC_PROFIT_AND_LOSS[AccountBalance], PBC_PROFIT_AND_LOSS[Id],$L44,PBC_PROFIT_AND_LOSS[Date],BW$5)</f>
        <v>3455.87</v>
      </c>
      <c r="BX44" s="541">
        <f>SUMIFS(Headcount!BY$68:BY$103,Headcount!$H$68:$H$103,$L44)</f>
        <v>4166.666666666667</v>
      </c>
      <c r="BY44" s="541">
        <f>SUMIFS(Headcount!BZ$68:BZ$103,Headcount!$H$68:$H$103,$L44)</f>
        <v>4166.666666666667</v>
      </c>
      <c r="BZ44" s="541">
        <f>SUMIFS(Headcount!CA$68:CA$103,Headcount!$H$68:$H$103,$L44)</f>
        <v>4166.666666666667</v>
      </c>
      <c r="CA44" s="541">
        <f>SUMIFS(Headcount!CB$68:CB$103,Headcount!$H$68:$H$103,$L44)</f>
        <v>4166.666666666667</v>
      </c>
      <c r="CB44" s="541">
        <f>SUMIFS(Headcount!CC$68:CC$103,Headcount!$H$68:$H$103,$L44)</f>
        <v>6250</v>
      </c>
      <c r="CC44" s="541">
        <f>SUMIFS(Headcount!CD$68:CD$103,Headcount!$H$68:$H$103,$L44)</f>
        <v>6250</v>
      </c>
      <c r="CD44" s="541">
        <f>SUMIFS(Headcount!CE$68:CE$103,Headcount!$H$68:$H$103,$L44)</f>
        <v>6613.6363636363631</v>
      </c>
      <c r="CE44" s="541">
        <f>SUMIFS(Headcount!CF$68:CF$103,Headcount!$H$68:$H$103,$L44)</f>
        <v>6916.6666666666661</v>
      </c>
      <c r="CF44" s="541">
        <f>SUMIFS(Headcount!CG$68:CG$103,Headcount!$H$68:$H$103,$L44)</f>
        <v>6916.6666666666661</v>
      </c>
      <c r="CG44" s="541">
        <f>SUMIFS(Headcount!CH$68:CH$103,Headcount!$H$68:$H$103,$L44)</f>
        <v>6916.6666666666661</v>
      </c>
      <c r="CH44" s="541">
        <f>SUMIFS(Headcount!CI$68:CI$103,Headcount!$H$68:$H$103,$L44)</f>
        <v>6916.6666666666661</v>
      </c>
      <c r="CI44" s="541">
        <f>SUMIFS(Headcount!CJ$68:CJ$103,Headcount!$H$68:$H$103,$L44)</f>
        <v>6916.6666666666661</v>
      </c>
      <c r="CJ44" s="541">
        <f>SUMIFS(Headcount!CK$68:CK$103,Headcount!$H$68:$H$103,$L44)</f>
        <v>6916.6666666666661</v>
      </c>
    </row>
    <row r="45" spans="3:88" outlineLevel="2">
      <c r="C45" s="283"/>
      <c r="D45" s="288" t="s">
        <v>257</v>
      </c>
      <c r="E45" s="539" t="s">
        <v>38</v>
      </c>
      <c r="F45" s="332"/>
      <c r="G45" s="332"/>
      <c r="H45" s="277" t="str">
        <f>IFERROR(INDEX(PBC_ACCOUNT_LIST[Drivers Section],MATCH(Drivers!L45,PBC_ACCOUNT_LIST[Id],0)),"")</f>
        <v>Opex</v>
      </c>
      <c r="I45" s="277" t="str">
        <f>IFERROR(INDEX(PBC_ACCOUNT_LIST[Summary Grouping],MATCH(Drivers!L45,PBC_ACCOUNT_LIST[Id],0)),"")</f>
        <v>Payroll</v>
      </c>
      <c r="J45" s="277">
        <f>IFERROR(INDEX(PBC_ACCOUNT_LIST[Cash Flow Section],MATCH(Drivers!L45,PBC_ACCOUNT_LIST[Id],0)),"")</f>
        <v>0</v>
      </c>
      <c r="K45" s="278" t="s">
        <v>106</v>
      </c>
      <c r="L45" s="277">
        <v>181</v>
      </c>
      <c r="M45" s="276"/>
      <c r="O45" s="272"/>
      <c r="P45" s="289">
        <f t="shared" si="44"/>
        <v>727.5</v>
      </c>
      <c r="Q45" s="289">
        <f t="shared" si="44"/>
        <v>1280.68</v>
      </c>
      <c r="R45" s="289">
        <f t="shared" si="44"/>
        <v>2175.9866666666667</v>
      </c>
      <c r="S45" s="289">
        <f t="shared" si="44"/>
        <v>1827.8409090909086</v>
      </c>
      <c r="T45" s="289"/>
      <c r="U45" s="289"/>
      <c r="V45" s="289">
        <f t="shared" si="46"/>
        <v>171</v>
      </c>
      <c r="W45" s="289">
        <f t="shared" si="46"/>
        <v>171.5</v>
      </c>
      <c r="X45" s="289">
        <f t="shared" si="46"/>
        <v>171</v>
      </c>
      <c r="Y45" s="289">
        <f t="shared" si="46"/>
        <v>214</v>
      </c>
      <c r="Z45" s="289">
        <f t="shared" si="46"/>
        <v>227</v>
      </c>
      <c r="AA45" s="289">
        <f t="shared" si="46"/>
        <v>290</v>
      </c>
      <c r="AB45" s="289">
        <f t="shared" si="46"/>
        <v>366</v>
      </c>
      <c r="AC45" s="289">
        <f t="shared" si="46"/>
        <v>397.68</v>
      </c>
      <c r="AD45" s="289">
        <f t="shared" si="46"/>
        <v>459.83000000000004</v>
      </c>
      <c r="AE45" s="289">
        <f t="shared" si="46"/>
        <v>532.13</v>
      </c>
      <c r="AF45" s="289">
        <f t="shared" si="46"/>
        <v>616.09</v>
      </c>
      <c r="AG45" s="289">
        <f t="shared" si="46"/>
        <v>567.93666666666661</v>
      </c>
      <c r="AH45" s="289">
        <f t="shared" si="46"/>
        <v>312.5</v>
      </c>
      <c r="AI45" s="289">
        <f t="shared" si="46"/>
        <v>477.84090909090901</v>
      </c>
      <c r="AJ45" s="289">
        <f t="shared" si="46"/>
        <v>518.74999999999989</v>
      </c>
      <c r="AK45" s="289">
        <f t="shared" si="46"/>
        <v>518.74999999999989</v>
      </c>
      <c r="AL45" s="333"/>
      <c r="AM45" s="334"/>
      <c r="AN45" s="289">
        <f>SUMIFS(PBC_PROFIT_AND_LOSS[AccountBalance], PBC_PROFIT_AND_LOSS[Id],$L45,PBC_PROFIT_AND_LOSS[Date],AN$5)</f>
        <v>0</v>
      </c>
      <c r="AO45" s="289">
        <f>SUMIFS(PBC_PROFIT_AND_LOSS[AccountBalance], PBC_PROFIT_AND_LOSS[Id],$L45,PBC_PROFIT_AND_LOSS[Date],AO$5)</f>
        <v>57</v>
      </c>
      <c r="AP45" s="289">
        <f>SUMIFS(PBC_PROFIT_AND_LOSS[AccountBalance], PBC_PROFIT_AND_LOSS[Id],$L45,PBC_PROFIT_AND_LOSS[Date],AP$5)</f>
        <v>57</v>
      </c>
      <c r="AQ45" s="289">
        <f>SUMIFS(PBC_PROFIT_AND_LOSS[AccountBalance], PBC_PROFIT_AND_LOSS[Id],$L45,PBC_PROFIT_AND_LOSS[Date],AQ$5)</f>
        <v>57</v>
      </c>
      <c r="AR45" s="289">
        <f>SUMIFS(PBC_PROFIT_AND_LOSS[AccountBalance], PBC_PROFIT_AND_LOSS[Id],$L45,PBC_PROFIT_AND_LOSS[Date],AR$5)</f>
        <v>57.5</v>
      </c>
      <c r="AS45" s="289">
        <f>SUMIFS(PBC_PROFIT_AND_LOSS[AccountBalance], PBC_PROFIT_AND_LOSS[Id],$L45,PBC_PROFIT_AND_LOSS[Date],AS$5)</f>
        <v>57</v>
      </c>
      <c r="AT45" s="289">
        <f>SUMIFS(PBC_PROFIT_AND_LOSS[AccountBalance], PBC_PROFIT_AND_LOSS[Id],$L45,PBC_PROFIT_AND_LOSS[Date],AT$5)</f>
        <v>57</v>
      </c>
      <c r="AU45" s="289">
        <f>SUMIFS(PBC_PROFIT_AND_LOSS[AccountBalance], PBC_PROFIT_AND_LOSS[Id],$L45,PBC_PROFIT_AND_LOSS[Date],AU$5)</f>
        <v>57</v>
      </c>
      <c r="AV45" s="289">
        <f>SUMIFS(PBC_PROFIT_AND_LOSS[AccountBalance], PBC_PROFIT_AND_LOSS[Id],$L45,PBC_PROFIT_AND_LOSS[Date],AV$5)</f>
        <v>57</v>
      </c>
      <c r="AW45" s="289">
        <f>SUMIFS(PBC_PROFIT_AND_LOSS[AccountBalance], PBC_PROFIT_AND_LOSS[Id],$L45,PBC_PROFIT_AND_LOSS[Date],AW$5)</f>
        <v>57</v>
      </c>
      <c r="AX45" s="289">
        <f>SUMIFS(PBC_PROFIT_AND_LOSS[AccountBalance], PBC_PROFIT_AND_LOSS[Id],$L45,PBC_PROFIT_AND_LOSS[Date],AX$5)</f>
        <v>57</v>
      </c>
      <c r="AY45" s="289">
        <f>SUMIFS(PBC_PROFIT_AND_LOSS[AccountBalance], PBC_PROFIT_AND_LOSS[Id],$L45,PBC_PROFIT_AND_LOSS[Date],AY$5)</f>
        <v>58</v>
      </c>
      <c r="AZ45" s="289">
        <f>SUMIFS(PBC_PROFIT_AND_LOSS[AccountBalance], PBC_PROFIT_AND_LOSS[Id],$L45,PBC_PROFIT_AND_LOSS[Date],AZ$5)</f>
        <v>99</v>
      </c>
      <c r="BA45" s="289">
        <f>SUMIFS(PBC_PROFIT_AND_LOSS[AccountBalance], PBC_PROFIT_AND_LOSS[Id],$L45,PBC_PROFIT_AND_LOSS[Date],BA$5)</f>
        <v>60</v>
      </c>
      <c r="BB45" s="289">
        <f>SUMIFS(PBC_PROFIT_AND_LOSS[AccountBalance], PBC_PROFIT_AND_LOSS[Id],$L45,PBC_PROFIT_AND_LOSS[Date],BB$5)</f>
        <v>104</v>
      </c>
      <c r="BC45" s="289">
        <f>SUMIFS(PBC_PROFIT_AND_LOSS[AccountBalance], PBC_PROFIT_AND_LOSS[Id],$L45,PBC_PROFIT_AND_LOSS[Date],BC$5)</f>
        <v>63</v>
      </c>
      <c r="BD45" s="289">
        <f>SUMIFS(PBC_PROFIT_AND_LOSS[AccountBalance], PBC_PROFIT_AND_LOSS[Id],$L45,PBC_PROFIT_AND_LOSS[Date],BD$5)</f>
        <v>109</v>
      </c>
      <c r="BE45" s="289">
        <f>SUMIFS(PBC_PROFIT_AND_LOSS[AccountBalance], PBC_PROFIT_AND_LOSS[Id],$L45,PBC_PROFIT_AND_LOSS[Date],BE$5)</f>
        <v>67</v>
      </c>
      <c r="BF45" s="289">
        <f>SUMIFS(PBC_PROFIT_AND_LOSS[AccountBalance], PBC_PROFIT_AND_LOSS[Id],$L45,PBC_PROFIT_AND_LOSS[Date],BF$5)</f>
        <v>114</v>
      </c>
      <c r="BG45" s="289">
        <f>SUMIFS(PBC_PROFIT_AND_LOSS[AccountBalance], PBC_PROFIT_AND_LOSS[Id],$L45,PBC_PROFIT_AND_LOSS[Date],BG$5)</f>
        <v>120</v>
      </c>
      <c r="BH45" s="289">
        <f>SUMIFS(PBC_PROFIT_AND_LOSS[AccountBalance], PBC_PROFIT_AND_LOSS[Id],$L45,PBC_PROFIT_AND_LOSS[Date],BH$5)</f>
        <v>120</v>
      </c>
      <c r="BI45" s="289">
        <f>SUMIFS(PBC_PROFIT_AND_LOSS[AccountBalance], PBC_PROFIT_AND_LOSS[Id],$L45,PBC_PROFIT_AND_LOSS[Date],BI$5)</f>
        <v>126</v>
      </c>
      <c r="BJ45" s="289">
        <f>SUMIFS(PBC_PROFIT_AND_LOSS[AccountBalance], PBC_PROFIT_AND_LOSS[Id],$L45,PBC_PROFIT_AND_LOSS[Date],BJ$5)</f>
        <v>126.34</v>
      </c>
      <c r="BK45" s="289">
        <f>SUMIFS(PBC_PROFIT_AND_LOSS[AccountBalance], PBC_PROFIT_AND_LOSS[Id],$L45,PBC_PROFIT_AND_LOSS[Date],BK$5)</f>
        <v>132.34</v>
      </c>
      <c r="BL45" s="289">
        <f>SUMIFS(PBC_PROFIT_AND_LOSS[AccountBalance], PBC_PROFIT_AND_LOSS[Id],$L45,PBC_PROFIT_AND_LOSS[Date],BL$5)</f>
        <v>139</v>
      </c>
      <c r="BM45" s="289">
        <f>SUMIFS(PBC_PROFIT_AND_LOSS[AccountBalance], PBC_PROFIT_AND_LOSS[Id],$L45,PBC_PROFIT_AND_LOSS[Date],BM$5)</f>
        <v>145.83000000000001</v>
      </c>
      <c r="BN45" s="289">
        <f>SUMIFS(PBC_PROFIT_AND_LOSS[AccountBalance], PBC_PROFIT_AND_LOSS[Id],$L45,PBC_PROFIT_AND_LOSS[Date],BN$5)</f>
        <v>153</v>
      </c>
      <c r="BO45" s="289">
        <f>SUMIFS(PBC_PROFIT_AND_LOSS[AccountBalance], PBC_PROFIT_AND_LOSS[Id],$L45,PBC_PROFIT_AND_LOSS[Date],BO$5)</f>
        <v>161</v>
      </c>
      <c r="BP45" s="289">
        <f>SUMIFS(PBC_PROFIT_AND_LOSS[AccountBalance], PBC_PROFIT_AND_LOSS[Id],$L45,PBC_PROFIT_AND_LOSS[Date],BP$5)</f>
        <v>169</v>
      </c>
      <c r="BQ45" s="289">
        <f>SUMIFS(PBC_PROFIT_AND_LOSS[AccountBalance], PBC_PROFIT_AND_LOSS[Id],$L45,PBC_PROFIT_AND_LOSS[Date],BQ$5)</f>
        <v>177</v>
      </c>
      <c r="BR45" s="289">
        <f>SUMIFS(PBC_PROFIT_AND_LOSS[AccountBalance], PBC_PROFIT_AND_LOSS[Id],$L45,PBC_PROFIT_AND_LOSS[Date],BR$5)</f>
        <v>186.13</v>
      </c>
      <c r="BS45" s="289">
        <f>SUMIFS(PBC_PROFIT_AND_LOSS[AccountBalance], PBC_PROFIT_AND_LOSS[Id],$L45,PBC_PROFIT_AND_LOSS[Date],BS$5)</f>
        <v>195.43</v>
      </c>
      <c r="BT45" s="289">
        <f>SUMIFS(PBC_PROFIT_AND_LOSS[AccountBalance], PBC_PROFIT_AND_LOSS[Id],$L45,PBC_PROFIT_AND_LOSS[Date],BT$5)</f>
        <v>205.2</v>
      </c>
      <c r="BU45" s="289">
        <f>SUMIFS(PBC_PROFIT_AND_LOSS[AccountBalance], PBC_PROFIT_AND_LOSS[Id],$L45,PBC_PROFIT_AND_LOSS[Date],BU$5)</f>
        <v>215.46</v>
      </c>
      <c r="BV45" s="289">
        <f>SUMIFS(PBC_PROFIT_AND_LOSS[AccountBalance], PBC_PROFIT_AND_LOSS[Id],$L45,PBC_PROFIT_AND_LOSS[Date],BV$5)</f>
        <v>226.23</v>
      </c>
      <c r="BW45" s="289">
        <f>SUMIFS(PBC_PROFIT_AND_LOSS[AccountBalance], PBC_PROFIT_AND_LOSS[Id],$L45,PBC_PROFIT_AND_LOSS[Date],BW$5)</f>
        <v>237.54</v>
      </c>
      <c r="BX45" s="541">
        <f>SUMIFS(Headcount!BY$68:BY$103,Headcount!$H$68:$H$103,$L45)</f>
        <v>104.16666666666666</v>
      </c>
      <c r="BY45" s="541">
        <f>SUMIFS(Headcount!BZ$68:BZ$103,Headcount!$H$68:$H$103,$L45)</f>
        <v>104.16666666666666</v>
      </c>
      <c r="BZ45" s="541">
        <f>SUMIFS(Headcount!CA$68:CA$103,Headcount!$H$68:$H$103,$L45)</f>
        <v>104.16666666666666</v>
      </c>
      <c r="CA45" s="541">
        <f>SUMIFS(Headcount!CB$68:CB$103,Headcount!$H$68:$H$103,$L45)</f>
        <v>104.16666666666666</v>
      </c>
      <c r="CB45" s="541">
        <f>SUMIFS(Headcount!CC$68:CC$103,Headcount!$H$68:$H$103,$L45)</f>
        <v>156.24999999999997</v>
      </c>
      <c r="CC45" s="541">
        <f>SUMIFS(Headcount!CD$68:CD$103,Headcount!$H$68:$H$103,$L45)</f>
        <v>156.24999999999997</v>
      </c>
      <c r="CD45" s="541">
        <f>SUMIFS(Headcount!CE$68:CE$103,Headcount!$H$68:$H$103,$L45)</f>
        <v>165.34090909090907</v>
      </c>
      <c r="CE45" s="541">
        <f>SUMIFS(Headcount!CF$68:CF$103,Headcount!$H$68:$H$103,$L45)</f>
        <v>172.91666666666663</v>
      </c>
      <c r="CF45" s="541">
        <f>SUMIFS(Headcount!CG$68:CG$103,Headcount!$H$68:$H$103,$L45)</f>
        <v>172.91666666666663</v>
      </c>
      <c r="CG45" s="541">
        <f>SUMIFS(Headcount!CH$68:CH$103,Headcount!$H$68:$H$103,$L45)</f>
        <v>172.91666666666663</v>
      </c>
      <c r="CH45" s="541">
        <f>SUMIFS(Headcount!CI$68:CI$103,Headcount!$H$68:$H$103,$L45)</f>
        <v>172.91666666666663</v>
      </c>
      <c r="CI45" s="541">
        <f>SUMIFS(Headcount!CJ$68:CJ$103,Headcount!$H$68:$H$103,$L45)</f>
        <v>172.91666666666663</v>
      </c>
      <c r="CJ45" s="541">
        <f>SUMIFS(Headcount!CK$68:CK$103,Headcount!$H$68:$H$103,$L45)</f>
        <v>172.91666666666663</v>
      </c>
    </row>
    <row r="46" spans="3:88" outlineLevel="2">
      <c r="C46" s="283"/>
      <c r="D46" s="288" t="s">
        <v>258</v>
      </c>
      <c r="E46" s="280" t="s">
        <v>354</v>
      </c>
      <c r="F46" s="332">
        <v>0.05</v>
      </c>
      <c r="G46" s="332"/>
      <c r="H46" s="277" t="str">
        <f>IFERROR(INDEX(PBC_ACCOUNT_LIST[Drivers Section],MATCH(Drivers!L46,PBC_ACCOUNT_LIST[Id],0)),"")</f>
        <v>Opex</v>
      </c>
      <c r="I46" s="277" t="str">
        <f>IFERROR(INDEX(PBC_ACCOUNT_LIST[Summary Grouping],MATCH(Drivers!L46,PBC_ACCOUNT_LIST[Id],0)),"")</f>
        <v>Other G&amp;A</v>
      </c>
      <c r="J46" s="277">
        <f>IFERROR(INDEX(PBC_ACCOUNT_LIST[Cash Flow Section],MATCH(Drivers!L46,PBC_ACCOUNT_LIST[Id],0)),"")</f>
        <v>0</v>
      </c>
      <c r="K46" s="278" t="s">
        <v>106</v>
      </c>
      <c r="L46" s="277">
        <v>182</v>
      </c>
      <c r="M46" s="276"/>
      <c r="O46" s="272"/>
      <c r="P46" s="289">
        <f t="shared" si="44"/>
        <v>0</v>
      </c>
      <c r="Q46" s="289">
        <f t="shared" si="44"/>
        <v>0</v>
      </c>
      <c r="R46" s="289">
        <f t="shared" si="44"/>
        <v>0</v>
      </c>
      <c r="S46" s="289">
        <f t="shared" si="44"/>
        <v>0</v>
      </c>
      <c r="T46" s="289"/>
      <c r="U46" s="289"/>
      <c r="V46" s="289">
        <f t="shared" si="46"/>
        <v>0</v>
      </c>
      <c r="W46" s="289">
        <f t="shared" si="46"/>
        <v>0</v>
      </c>
      <c r="X46" s="289">
        <f t="shared" si="46"/>
        <v>0</v>
      </c>
      <c r="Y46" s="289">
        <f t="shared" si="46"/>
        <v>0</v>
      </c>
      <c r="Z46" s="289">
        <f t="shared" si="46"/>
        <v>0</v>
      </c>
      <c r="AA46" s="289">
        <f t="shared" si="46"/>
        <v>0</v>
      </c>
      <c r="AB46" s="289">
        <f t="shared" si="46"/>
        <v>0</v>
      </c>
      <c r="AC46" s="289">
        <f t="shared" si="46"/>
        <v>0</v>
      </c>
      <c r="AD46" s="289">
        <f t="shared" si="46"/>
        <v>0</v>
      </c>
      <c r="AE46" s="289">
        <f t="shared" si="46"/>
        <v>0</v>
      </c>
      <c r="AF46" s="289">
        <f t="shared" si="46"/>
        <v>0</v>
      </c>
      <c r="AG46" s="289">
        <f t="shared" si="46"/>
        <v>0</v>
      </c>
      <c r="AH46" s="289">
        <f t="shared" si="46"/>
        <v>0</v>
      </c>
      <c r="AI46" s="289">
        <f t="shared" si="46"/>
        <v>0</v>
      </c>
      <c r="AJ46" s="289">
        <f t="shared" si="46"/>
        <v>0</v>
      </c>
      <c r="AK46" s="289">
        <f t="shared" si="46"/>
        <v>0</v>
      </c>
      <c r="AL46" s="333"/>
      <c r="AM46" s="334"/>
      <c r="AN46" s="289">
        <f>SUMIFS(PBC_PROFIT_AND_LOSS[AccountBalance], PBC_PROFIT_AND_LOSS[Id],$L46,PBC_PROFIT_AND_LOSS[Date],AN$5)</f>
        <v>0</v>
      </c>
      <c r="AO46" s="289">
        <f>SUMIFS(PBC_PROFIT_AND_LOSS[AccountBalance], PBC_PROFIT_AND_LOSS[Id],$L46,PBC_PROFIT_AND_LOSS[Date],AO$5)</f>
        <v>0</v>
      </c>
      <c r="AP46" s="289">
        <f>SUMIFS(PBC_PROFIT_AND_LOSS[AccountBalance], PBC_PROFIT_AND_LOSS[Id],$L46,PBC_PROFIT_AND_LOSS[Date],AP$5)</f>
        <v>0</v>
      </c>
      <c r="AQ46" s="289">
        <f>SUMIFS(PBC_PROFIT_AND_LOSS[AccountBalance], PBC_PROFIT_AND_LOSS[Id],$L46,PBC_PROFIT_AND_LOSS[Date],AQ$5)</f>
        <v>0</v>
      </c>
      <c r="AR46" s="289">
        <f>SUMIFS(PBC_PROFIT_AND_LOSS[AccountBalance], PBC_PROFIT_AND_LOSS[Id],$L46,PBC_PROFIT_AND_LOSS[Date],AR$5)</f>
        <v>0</v>
      </c>
      <c r="AS46" s="289">
        <f>SUMIFS(PBC_PROFIT_AND_LOSS[AccountBalance], PBC_PROFIT_AND_LOSS[Id],$L46,PBC_PROFIT_AND_LOSS[Date],AS$5)</f>
        <v>0</v>
      </c>
      <c r="AT46" s="289">
        <f>SUMIFS(PBC_PROFIT_AND_LOSS[AccountBalance], PBC_PROFIT_AND_LOSS[Id],$L46,PBC_PROFIT_AND_LOSS[Date],AT$5)</f>
        <v>0</v>
      </c>
      <c r="AU46" s="289">
        <f>SUMIFS(PBC_PROFIT_AND_LOSS[AccountBalance], PBC_PROFIT_AND_LOSS[Id],$L46,PBC_PROFIT_AND_LOSS[Date],AU$5)</f>
        <v>0</v>
      </c>
      <c r="AV46" s="289">
        <f>SUMIFS(PBC_PROFIT_AND_LOSS[AccountBalance], PBC_PROFIT_AND_LOSS[Id],$L46,PBC_PROFIT_AND_LOSS[Date],AV$5)</f>
        <v>0</v>
      </c>
      <c r="AW46" s="289">
        <f>SUMIFS(PBC_PROFIT_AND_LOSS[AccountBalance], PBC_PROFIT_AND_LOSS[Id],$L46,PBC_PROFIT_AND_LOSS[Date],AW$5)</f>
        <v>0</v>
      </c>
      <c r="AX46" s="289">
        <f>SUMIFS(PBC_PROFIT_AND_LOSS[AccountBalance], PBC_PROFIT_AND_LOSS[Id],$L46,PBC_PROFIT_AND_LOSS[Date],AX$5)</f>
        <v>0</v>
      </c>
      <c r="AY46" s="289">
        <f>SUMIFS(PBC_PROFIT_AND_LOSS[AccountBalance], PBC_PROFIT_AND_LOSS[Id],$L46,PBC_PROFIT_AND_LOSS[Date],AY$5)</f>
        <v>0</v>
      </c>
      <c r="AZ46" s="289">
        <f>SUMIFS(PBC_PROFIT_AND_LOSS[AccountBalance], PBC_PROFIT_AND_LOSS[Id],$L46,PBC_PROFIT_AND_LOSS[Date],AZ$5)</f>
        <v>0</v>
      </c>
      <c r="BA46" s="289">
        <f>SUMIFS(PBC_PROFIT_AND_LOSS[AccountBalance], PBC_PROFIT_AND_LOSS[Id],$L46,PBC_PROFIT_AND_LOSS[Date],BA$5)</f>
        <v>0</v>
      </c>
      <c r="BB46" s="289">
        <f>SUMIFS(PBC_PROFIT_AND_LOSS[AccountBalance], PBC_PROFIT_AND_LOSS[Id],$L46,PBC_PROFIT_AND_LOSS[Date],BB$5)</f>
        <v>0</v>
      </c>
      <c r="BC46" s="289">
        <f>SUMIFS(PBC_PROFIT_AND_LOSS[AccountBalance], PBC_PROFIT_AND_LOSS[Id],$L46,PBC_PROFIT_AND_LOSS[Date],BC$5)</f>
        <v>0</v>
      </c>
      <c r="BD46" s="289">
        <f>SUMIFS(PBC_PROFIT_AND_LOSS[AccountBalance], PBC_PROFIT_AND_LOSS[Id],$L46,PBC_PROFIT_AND_LOSS[Date],BD$5)</f>
        <v>0</v>
      </c>
      <c r="BE46" s="289">
        <f>SUMIFS(PBC_PROFIT_AND_LOSS[AccountBalance], PBC_PROFIT_AND_LOSS[Id],$L46,PBC_PROFIT_AND_LOSS[Date],BE$5)</f>
        <v>0</v>
      </c>
      <c r="BF46" s="289">
        <f>SUMIFS(PBC_PROFIT_AND_LOSS[AccountBalance], PBC_PROFIT_AND_LOSS[Id],$L46,PBC_PROFIT_AND_LOSS[Date],BF$5)</f>
        <v>0</v>
      </c>
      <c r="BG46" s="289">
        <f>SUMIFS(PBC_PROFIT_AND_LOSS[AccountBalance], PBC_PROFIT_AND_LOSS[Id],$L46,PBC_PROFIT_AND_LOSS[Date],BG$5)</f>
        <v>0</v>
      </c>
      <c r="BH46" s="289">
        <f>SUMIFS(PBC_PROFIT_AND_LOSS[AccountBalance], PBC_PROFIT_AND_LOSS[Id],$L46,PBC_PROFIT_AND_LOSS[Date],BH$5)</f>
        <v>0</v>
      </c>
      <c r="BI46" s="289">
        <f>SUMIFS(PBC_PROFIT_AND_LOSS[AccountBalance], PBC_PROFIT_AND_LOSS[Id],$L46,PBC_PROFIT_AND_LOSS[Date],BI$5)</f>
        <v>0</v>
      </c>
      <c r="BJ46" s="289">
        <f>SUMIFS(PBC_PROFIT_AND_LOSS[AccountBalance], PBC_PROFIT_AND_LOSS[Id],$L46,PBC_PROFIT_AND_LOSS[Date],BJ$5)</f>
        <v>0</v>
      </c>
      <c r="BK46" s="289">
        <f>SUMIFS(PBC_PROFIT_AND_LOSS[AccountBalance], PBC_PROFIT_AND_LOSS[Id],$L46,PBC_PROFIT_AND_LOSS[Date],BK$5)</f>
        <v>0</v>
      </c>
      <c r="BL46" s="289">
        <f>SUMIFS(PBC_PROFIT_AND_LOSS[AccountBalance], PBC_PROFIT_AND_LOSS[Id],$L46,PBC_PROFIT_AND_LOSS[Date],BL$5)</f>
        <v>0</v>
      </c>
      <c r="BM46" s="289">
        <f>SUMIFS(PBC_PROFIT_AND_LOSS[AccountBalance], PBC_PROFIT_AND_LOSS[Id],$L46,PBC_PROFIT_AND_LOSS[Date],BM$5)</f>
        <v>0</v>
      </c>
      <c r="BN46" s="289">
        <f>SUMIFS(PBC_PROFIT_AND_LOSS[AccountBalance], PBC_PROFIT_AND_LOSS[Id],$L46,PBC_PROFIT_AND_LOSS[Date],BN$5)</f>
        <v>0</v>
      </c>
      <c r="BO46" s="289">
        <f>SUMIFS(PBC_PROFIT_AND_LOSS[AccountBalance], PBC_PROFIT_AND_LOSS[Id],$L46,PBC_PROFIT_AND_LOSS[Date],BO$5)</f>
        <v>0</v>
      </c>
      <c r="BP46" s="289">
        <f>SUMIFS(PBC_PROFIT_AND_LOSS[AccountBalance], PBC_PROFIT_AND_LOSS[Id],$L46,PBC_PROFIT_AND_LOSS[Date],BP$5)</f>
        <v>0</v>
      </c>
      <c r="BQ46" s="289">
        <f>SUMIFS(PBC_PROFIT_AND_LOSS[AccountBalance], PBC_PROFIT_AND_LOSS[Id],$L46,PBC_PROFIT_AND_LOSS[Date],BQ$5)</f>
        <v>0</v>
      </c>
      <c r="BR46" s="289">
        <f>SUMIFS(PBC_PROFIT_AND_LOSS[AccountBalance], PBC_PROFIT_AND_LOSS[Id],$L46,PBC_PROFIT_AND_LOSS[Date],BR$5)</f>
        <v>0</v>
      </c>
      <c r="BS46" s="289">
        <f>SUMIFS(PBC_PROFIT_AND_LOSS[AccountBalance], PBC_PROFIT_AND_LOSS[Id],$L46,PBC_PROFIT_AND_LOSS[Date],BS$5)</f>
        <v>0</v>
      </c>
      <c r="BT46" s="289">
        <f>SUMIFS(PBC_PROFIT_AND_LOSS[AccountBalance], PBC_PROFIT_AND_LOSS[Id],$L46,PBC_PROFIT_AND_LOSS[Date],BT$5)</f>
        <v>0</v>
      </c>
      <c r="BU46" s="289">
        <f>SUMIFS(PBC_PROFIT_AND_LOSS[AccountBalance], PBC_PROFIT_AND_LOSS[Id],$L46,PBC_PROFIT_AND_LOSS[Date],BU$5)</f>
        <v>0</v>
      </c>
      <c r="BV46" s="289">
        <f>SUMIFS(PBC_PROFIT_AND_LOSS[AccountBalance], PBC_PROFIT_AND_LOSS[Id],$L46,PBC_PROFIT_AND_LOSS[Date],BV$5)</f>
        <v>0</v>
      </c>
      <c r="BW46" s="289">
        <f>SUMIFS(PBC_PROFIT_AND_LOSS[AccountBalance], PBC_PROFIT_AND_LOSS[Id],$L46,PBC_PROFIT_AND_LOSS[Date],BW$5)</f>
        <v>0</v>
      </c>
      <c r="BX46" s="335" cm="1">
        <f t="array" ref="BX46">_xlfn.SWITCH(
    $E46,
    "3 month avg", AVERAGE(BU46:BW46) * (1 + $F46),
    "6 month avg", AVERAGE(BR46:BW46) * (1 + $F46),
    "12 month avg", AVERAGE(BM46:BW46) * (1 + $F46),
    "Prior Month",BW46* (1 + $F46),
    "Prior Year", BL46* (1 + $F46),
    "Monthly assumption",$G46* (1 + $F46),
    "Quarterly assumption",$G46/3* (1 + $F46),
    "Annual assumption",$G46/12* (1 + $F46),
    "% of Revenue",SUM(_xlfn._xlws.FILTER(_xlfn._xlws.FILTER(dataSummaryPL,dataSummaryPLSections="Revenue"),(startDates&gt;=BX$4)*(endDates&lt;=BX$5)))*$F46,
    "Custom",0,
    "0",0,
        0
)</f>
        <v>0</v>
      </c>
      <c r="BY46" s="335" cm="1">
        <f t="array" ref="BY46">_xlfn.SWITCH(
    $E46,
    "3 month avg", AVERAGE(BV46:BX46) * (1 + $F46),
    "6 month avg", AVERAGE(BS46:BX46) * (1 + $F46),
    "12 month avg", AVERAGE(BN46:BX46) * (1 + $F46),
    "Prior Month",BX46* (1 + $F46),
    "Prior Year", BM46* (1 + $F46),
    "Monthly assumption",$G46* (1 + $F46),
    "Quarterly assumption",$G46/3* (1 + $F46),
    "Annual assumption",$G46/12* (1 + $F46),
    "% of Revenue",SUM(_xlfn._xlws.FILTER(_xlfn._xlws.FILTER(dataSummaryPL,dataSummaryPLSections="Revenue"),(startDates&gt;=BY$4)*(endDates&lt;=BY$5)))*$F46,
    "Custom",0,
    "0",0,
        0
)</f>
        <v>0</v>
      </c>
      <c r="BZ46" s="335" cm="1">
        <f t="array" ref="BZ46">_xlfn.SWITCH(
    $E46,
    "3 month avg", AVERAGE(BW46:BY46) * (1 + $F46),
    "6 month avg", AVERAGE(BT46:BY46) * (1 + $F46),
    "12 month avg", AVERAGE(BO46:BY46) * (1 + $F46),
    "Prior Month",BY46* (1 + $F46),
    "Prior Year", BN46* (1 + $F46),
    "Monthly assumption",$G46* (1 + $F46),
    "Quarterly assumption",$G46/3* (1 + $F46),
    "Annual assumption",$G46/12* (1 + $F46),
    "% of Revenue",SUM(_xlfn._xlws.FILTER(_xlfn._xlws.FILTER(dataSummaryPL,dataSummaryPLSections="Revenue"),(startDates&gt;=BZ$4)*(endDates&lt;=BZ$5)))*$F46,
    "Custom",0,
    "0",0,
        0
)</f>
        <v>0</v>
      </c>
      <c r="CA46" s="335" cm="1">
        <f t="array" ref="CA46">_xlfn.SWITCH(
    $E46,
    "3 month avg", AVERAGE(BX46:BZ46) * (1 + $F46),
    "6 month avg", AVERAGE(BU46:BZ46) * (1 + $F46),
    "12 month avg", AVERAGE(BP46:BZ46) * (1 + $F46),
    "Prior Month",BZ46* (1 + $F46),
    "Prior Year", BO46* (1 + $F46),
    "Monthly assumption",$G46* (1 + $F46),
    "Quarterly assumption",$G46/3* (1 + $F46),
    "Annual assumption",$G46/12* (1 + $F46),
    "% of Revenue",SUM(_xlfn._xlws.FILTER(_xlfn._xlws.FILTER(dataSummaryPL,dataSummaryPLSections="Revenue"),(startDates&gt;=CA$4)*(endDates&lt;=CA$5)))*$F46,
    "Custom",0,
    "0",0,
        0
)</f>
        <v>0</v>
      </c>
      <c r="CB46" s="335" cm="1">
        <f t="array" ref="CB46">_xlfn.SWITCH(
    $E46,
    "3 month avg", AVERAGE(BY46:CA46) * (1 + $F46),
    "6 month avg", AVERAGE(BV46:CA46) * (1 + $F46),
    "12 month avg", AVERAGE(BQ46:CA46) * (1 + $F46),
    "Prior Month",CA46* (1 + $F46),
    "Prior Year", BP46* (1 + $F46),
    "Monthly assumption",$G46* (1 + $F46),
    "Quarterly assumption",$G46/3* (1 + $F46),
    "Annual assumption",$G46/12* (1 + $F46),
    "% of Revenue",SUM(_xlfn._xlws.FILTER(_xlfn._xlws.FILTER(dataSummaryPL,dataSummaryPLSections="Revenue"),(startDates&gt;=CB$4)*(endDates&lt;=CB$5)))*$F46,
    "Custom",0,
    "0",0,
        0
)</f>
        <v>0</v>
      </c>
      <c r="CC46" s="335" cm="1">
        <f t="array" ref="CC46">_xlfn.SWITCH(
    $E46,
    "3 month avg", AVERAGE(BZ46:CB46) * (1 + $F46),
    "6 month avg", AVERAGE(BW46:CB46) * (1 + $F46),
    "12 month avg", AVERAGE(BR46:CB46) * (1 + $F46),
    "Prior Month",CB46* (1 + $F46),
    "Prior Year", BQ46* (1 + $F46),
    "Monthly assumption",$G46* (1 + $F46),
    "Quarterly assumption",$G46/3* (1 + $F46),
    "Annual assumption",$G46/12* (1 + $F46),
    "% of Revenue",SUM(_xlfn._xlws.FILTER(_xlfn._xlws.FILTER(dataSummaryPL,dataSummaryPLSections="Revenue"),(startDates&gt;=CC$4)*(endDates&lt;=CC$5)))*$F46,
    "Custom",0,
    "0",0,
        0
)</f>
        <v>0</v>
      </c>
      <c r="CD46" s="335" cm="1">
        <f t="array" ref="CD46">_xlfn.SWITCH(
    $E46,
    "3 month avg", AVERAGE(CA46:CC46) * (1 + $F46),
    "6 month avg", AVERAGE(BX46:CC46) * (1 + $F46),
    "12 month avg", AVERAGE(BS46:CC46) * (1 + $F46),
    "Prior Month",CC46* (1 + $F46),
    "Prior Year", BR46* (1 + $F46),
    "Monthly assumption",$G46* (1 + $F46),
    "Quarterly assumption",$G46/3* (1 + $F46),
    "Annual assumption",$G46/12* (1 + $F46),
    "% of Revenue",SUM(_xlfn._xlws.FILTER(_xlfn._xlws.FILTER(dataSummaryPL,dataSummaryPLSections="Revenue"),(startDates&gt;=CD$4)*(endDates&lt;=CD$5)))*$F46,
    "Custom",0,
    "0",0,
        0
)</f>
        <v>0</v>
      </c>
      <c r="CE46" s="335" cm="1">
        <f t="array" ref="CE46">_xlfn.SWITCH(
    $E46,
    "3 month avg", AVERAGE(CB46:CD46) * (1 + $F46),
    "6 month avg", AVERAGE(BY46:CD46) * (1 + $F46),
    "12 month avg", AVERAGE(BT46:CD46) * (1 + $F46),
    "Prior Month",CD46* (1 + $F46),
    "Prior Year", BS46* (1 + $F46),
    "Monthly assumption",$G46* (1 + $F46),
    "Quarterly assumption",$G46/3* (1 + $F46),
    "Annual assumption",$G46/12* (1 + $F46),
    "% of Revenue",SUM(_xlfn._xlws.FILTER(_xlfn._xlws.FILTER(dataSummaryPL,dataSummaryPLSections="Revenue"),(startDates&gt;=CE$4)*(endDates&lt;=CE$5)))*$F46,
    "Custom",0,
    "0",0,
        0
)</f>
        <v>0</v>
      </c>
      <c r="CF46" s="335" cm="1">
        <f t="array" ref="CF46">_xlfn.SWITCH(
    $E46,
    "3 month avg", AVERAGE(CC46:CE46) * (1 + $F46),
    "6 month avg", AVERAGE(BZ46:CE46) * (1 + $F46),
    "12 month avg", AVERAGE(BU46:CE46) * (1 + $F46),
    "Prior Month",CE46* (1 + $F46),
    "Prior Year", BT46* (1 + $F46),
    "Monthly assumption",$G46* (1 + $F46),
    "Quarterly assumption",$G46/3* (1 + $F46),
    "Annual assumption",$G46/12* (1 + $F46),
    "% of Revenue",SUM(_xlfn._xlws.FILTER(_xlfn._xlws.FILTER(dataSummaryPL,dataSummaryPLSections="Revenue"),(startDates&gt;=CF$4)*(endDates&lt;=CF$5)))*$F46,
    "Custom",0,
    "0",0,
        0
)</f>
        <v>0</v>
      </c>
      <c r="CG46" s="335" cm="1">
        <f t="array" ref="CG46">_xlfn.SWITCH(
    $E46,
    "3 month avg", AVERAGE(CD46:CF46) * (1 + $F46),
    "6 month avg", AVERAGE(CA46:CF46) * (1 + $F46),
    "12 month avg", AVERAGE(BV46:CF46) * (1 + $F46),
    "Prior Month",CF46* (1 + $F46),
    "Prior Year", BU46* (1 + $F46),
    "Monthly assumption",$G46* (1 + $F46),
    "Quarterly assumption",$G46/3* (1 + $F46),
    "Annual assumption",$G46/12* (1 + $F46),
    "% of Revenue",SUM(_xlfn._xlws.FILTER(_xlfn._xlws.FILTER(dataSummaryPL,dataSummaryPLSections="Revenue"),(startDates&gt;=CG$4)*(endDates&lt;=CG$5)))*$F46,
    "Custom",0,
    "0",0,
        0
)</f>
        <v>0</v>
      </c>
      <c r="CH46" s="335" cm="1">
        <f t="array" ref="CH46">_xlfn.SWITCH(
    $E46,
    "3 month avg", AVERAGE(CE46:CG46) * (1 + $F46),
    "6 month avg", AVERAGE(CB46:CG46) * (1 + $F46),
    "12 month avg", AVERAGE(BW46:CG46) * (1 + $F46),
    "Prior Month",CG46* (1 + $F46),
    "Prior Year", BV46* (1 + $F46),
    "Monthly assumption",$G46* (1 + $F46),
    "Quarterly assumption",$G46/3* (1 + $F46),
    "Annual assumption",$G46/12* (1 + $F46),
    "% of Revenue",SUM(_xlfn._xlws.FILTER(_xlfn._xlws.FILTER(dataSummaryPL,dataSummaryPLSections="Revenue"),(startDates&gt;=CH$4)*(endDates&lt;=CH$5)))*$F46,
    "Custom",0,
    "0",0,
        0
)</f>
        <v>0</v>
      </c>
      <c r="CI46" s="335" cm="1">
        <f t="array" ref="CI46">_xlfn.SWITCH(
    $E46,
    "3 month avg", AVERAGE(CF46:CH46) * (1 + $F46),
    "6 month avg", AVERAGE(CC46:CH46) * (1 + $F46),
    "12 month avg", AVERAGE(BX46:CH46) * (1 + $F46),
    "Prior Month",CH46* (1 + $F46),
    "Prior Year", BW46* (1 + $F46),
    "Monthly assumption",$G46* (1 + $F46),
    "Quarterly assumption",$G46/3* (1 + $F46),
    "Annual assumption",$G46/12* (1 + $F46),
    "% of Revenue",SUM(_xlfn._xlws.FILTER(_xlfn._xlws.FILTER(dataSummaryPL,dataSummaryPLSections="Revenue"),(startDates&gt;=CI$4)*(endDates&lt;=CI$5)))*$F46,
    "Custom",0,
    "0",0,
        0
)</f>
        <v>0</v>
      </c>
      <c r="CJ46" s="335" cm="1">
        <f t="array" ref="CJ46">_xlfn.SWITCH(
    $E46,
    "3 month avg", AVERAGE(CG46:CI46) * (1 + $F46),
    "6 month avg", AVERAGE(CD46:CI46) * (1 + $F46),
    "12 month avg", AVERAGE(BY46:CI46) * (1 + $F46),
    "Prior Month",CI46* (1 + $F46),
    "Prior Year", BX46* (1 + $F46),
    "Monthly assumption",$G46* (1 + $F46),
    "Quarterly assumption",$G46/3* (1 + $F46),
    "Annual assumption",$G46/12* (1 + $F46),
    "% of Revenue",SUM(_xlfn._xlws.FILTER(_xlfn._xlws.FILTER(dataSummaryPL,dataSummaryPLSections="Revenue"),(startDates&gt;=CJ$4)*(endDates&lt;=CJ$5)))*$F46,
    "Custom",0,
    "0",0,
        0
)</f>
        <v>0</v>
      </c>
    </row>
    <row r="47" spans="3:88" outlineLevel="2">
      <c r="C47" s="283"/>
      <c r="D47" s="288" t="s">
        <v>259</v>
      </c>
      <c r="E47" s="280" t="s">
        <v>354</v>
      </c>
      <c r="F47" s="332">
        <v>0.05</v>
      </c>
      <c r="G47" s="332"/>
      <c r="H47" s="277" t="str">
        <f>IFERROR(INDEX(PBC_ACCOUNT_LIST[Drivers Section],MATCH(Drivers!L47,PBC_ACCOUNT_LIST[Id],0)),"")</f>
        <v>Opex</v>
      </c>
      <c r="I47" s="277" t="str">
        <f>IFERROR(INDEX(PBC_ACCOUNT_LIST[Summary Grouping],MATCH(Drivers!L47,PBC_ACCOUNT_LIST[Id],0)),"")</f>
        <v>G&amp;A</v>
      </c>
      <c r="J47" s="277">
        <f>IFERROR(INDEX(PBC_ACCOUNT_LIST[Cash Flow Section],MATCH(Drivers!L47,PBC_ACCOUNT_LIST[Id],0)),"")</f>
        <v>0</v>
      </c>
      <c r="K47" s="278" t="s">
        <v>106</v>
      </c>
      <c r="L47" s="277">
        <v>183</v>
      </c>
      <c r="M47" s="276"/>
      <c r="O47" s="272"/>
      <c r="P47" s="289">
        <f t="shared" si="44"/>
        <v>2731</v>
      </c>
      <c r="Q47" s="289">
        <f t="shared" si="44"/>
        <v>7747</v>
      </c>
      <c r="R47" s="289">
        <f t="shared" si="44"/>
        <v>13611.28025</v>
      </c>
      <c r="S47" s="289">
        <f t="shared" si="44"/>
        <v>17776.696010766249</v>
      </c>
      <c r="T47" s="289"/>
      <c r="U47" s="289"/>
      <c r="V47" s="289">
        <f t="shared" si="46"/>
        <v>466</v>
      </c>
      <c r="W47" s="289">
        <f t="shared" si="46"/>
        <v>516</v>
      </c>
      <c r="X47" s="289">
        <f t="shared" si="46"/>
        <v>573</v>
      </c>
      <c r="Y47" s="289">
        <f t="shared" si="46"/>
        <v>1176</v>
      </c>
      <c r="Z47" s="289">
        <f t="shared" si="46"/>
        <v>1447</v>
      </c>
      <c r="AA47" s="289">
        <f t="shared" si="46"/>
        <v>1771</v>
      </c>
      <c r="AB47" s="289">
        <f t="shared" si="46"/>
        <v>2172</v>
      </c>
      <c r="AC47" s="289">
        <f t="shared" si="46"/>
        <v>2357</v>
      </c>
      <c r="AD47" s="289">
        <f t="shared" si="46"/>
        <v>2728.5299999999997</v>
      </c>
      <c r="AE47" s="289">
        <f t="shared" si="46"/>
        <v>3158.66</v>
      </c>
      <c r="AF47" s="289">
        <f t="shared" si="46"/>
        <v>3656.58</v>
      </c>
      <c r="AG47" s="289">
        <f t="shared" si="46"/>
        <v>4067.5102500000003</v>
      </c>
      <c r="AH47" s="289">
        <f t="shared" si="46"/>
        <v>4151.5767816523439</v>
      </c>
      <c r="AI47" s="289">
        <f t="shared" si="46"/>
        <v>4356.3963759608014</v>
      </c>
      <c r="AJ47" s="289">
        <f t="shared" si="46"/>
        <v>4537.0319136582548</v>
      </c>
      <c r="AK47" s="289">
        <f t="shared" si="46"/>
        <v>4731.6909394948498</v>
      </c>
      <c r="AL47" s="333"/>
      <c r="AM47" s="334"/>
      <c r="AN47" s="289">
        <f>SUMIFS(PBC_PROFIT_AND_LOSS[AccountBalance], PBC_PROFIT_AND_LOSS[Id],$L47,PBC_PROFIT_AND_LOSS[Date],AN$5)</f>
        <v>0</v>
      </c>
      <c r="AO47" s="289">
        <f>SUMIFS(PBC_PROFIT_AND_LOSS[AccountBalance], PBC_PROFIT_AND_LOSS[Id],$L47,PBC_PROFIT_AND_LOSS[Date],AO$5)</f>
        <v>150</v>
      </c>
      <c r="AP47" s="289">
        <f>SUMIFS(PBC_PROFIT_AND_LOSS[AccountBalance], PBC_PROFIT_AND_LOSS[Id],$L47,PBC_PROFIT_AND_LOSS[Date],AP$5)</f>
        <v>155</v>
      </c>
      <c r="AQ47" s="289">
        <f>SUMIFS(PBC_PROFIT_AND_LOSS[AccountBalance], PBC_PROFIT_AND_LOSS[Id],$L47,PBC_PROFIT_AND_LOSS[Date],AQ$5)</f>
        <v>161</v>
      </c>
      <c r="AR47" s="289">
        <f>SUMIFS(PBC_PROFIT_AND_LOSS[AccountBalance], PBC_PROFIT_AND_LOSS[Id],$L47,PBC_PROFIT_AND_LOSS[Date],AR$5)</f>
        <v>166</v>
      </c>
      <c r="AS47" s="289">
        <f>SUMIFS(PBC_PROFIT_AND_LOSS[AccountBalance], PBC_PROFIT_AND_LOSS[Id],$L47,PBC_PROFIT_AND_LOSS[Date],AS$5)</f>
        <v>172</v>
      </c>
      <c r="AT47" s="289">
        <f>SUMIFS(PBC_PROFIT_AND_LOSS[AccountBalance], PBC_PROFIT_AND_LOSS[Id],$L47,PBC_PROFIT_AND_LOSS[Date],AT$5)</f>
        <v>178</v>
      </c>
      <c r="AU47" s="289">
        <f>SUMIFS(PBC_PROFIT_AND_LOSS[AccountBalance], PBC_PROFIT_AND_LOSS[Id],$L47,PBC_PROFIT_AND_LOSS[Date],AU$5)</f>
        <v>184</v>
      </c>
      <c r="AV47" s="289">
        <f>SUMIFS(PBC_PROFIT_AND_LOSS[AccountBalance], PBC_PROFIT_AND_LOSS[Id],$L47,PBC_PROFIT_AND_LOSS[Date],AV$5)</f>
        <v>191</v>
      </c>
      <c r="AW47" s="289">
        <f>SUMIFS(PBC_PROFIT_AND_LOSS[AccountBalance], PBC_PROFIT_AND_LOSS[Id],$L47,PBC_PROFIT_AND_LOSS[Date],AW$5)</f>
        <v>198</v>
      </c>
      <c r="AX47" s="289">
        <f>SUMIFS(PBC_PROFIT_AND_LOSS[AccountBalance], PBC_PROFIT_AND_LOSS[Id],$L47,PBC_PROFIT_AND_LOSS[Date],AX$5)</f>
        <v>204</v>
      </c>
      <c r="AY47" s="289">
        <f>SUMIFS(PBC_PROFIT_AND_LOSS[AccountBalance], PBC_PROFIT_AND_LOSS[Id],$L47,PBC_PROFIT_AND_LOSS[Date],AY$5)</f>
        <v>386</v>
      </c>
      <c r="AZ47" s="289">
        <f>SUMIFS(PBC_PROFIT_AND_LOSS[AccountBalance], PBC_PROFIT_AND_LOSS[Id],$L47,PBC_PROFIT_AND_LOSS[Date],AZ$5)</f>
        <v>586</v>
      </c>
      <c r="BA47" s="289">
        <f>SUMIFS(PBC_PROFIT_AND_LOSS[AccountBalance], PBC_PROFIT_AND_LOSS[Id],$L47,PBC_PROFIT_AND_LOSS[Date],BA$5)</f>
        <v>406</v>
      </c>
      <c r="BB47" s="289">
        <f>SUMIFS(PBC_PROFIT_AND_LOSS[AccountBalance], PBC_PROFIT_AND_LOSS[Id],$L47,PBC_PROFIT_AND_LOSS[Date],BB$5)</f>
        <v>615</v>
      </c>
      <c r="BC47" s="289">
        <f>SUMIFS(PBC_PROFIT_AND_LOSS[AccountBalance], PBC_PROFIT_AND_LOSS[Id],$L47,PBC_PROFIT_AND_LOSS[Date],BC$5)</f>
        <v>426</v>
      </c>
      <c r="BD47" s="289">
        <f>SUMIFS(PBC_PROFIT_AND_LOSS[AccountBalance], PBC_PROFIT_AND_LOSS[Id],$L47,PBC_PROFIT_AND_LOSS[Date],BD$5)</f>
        <v>646</v>
      </c>
      <c r="BE47" s="289">
        <f>SUMIFS(PBC_PROFIT_AND_LOSS[AccountBalance], PBC_PROFIT_AND_LOSS[Id],$L47,PBC_PROFIT_AND_LOSS[Date],BE$5)</f>
        <v>447</v>
      </c>
      <c r="BF47" s="289">
        <f>SUMIFS(PBC_PROFIT_AND_LOSS[AccountBalance], PBC_PROFIT_AND_LOSS[Id],$L47,PBC_PROFIT_AND_LOSS[Date],BF$5)</f>
        <v>678</v>
      </c>
      <c r="BG47" s="289">
        <f>SUMIFS(PBC_PROFIT_AND_LOSS[AccountBalance], PBC_PROFIT_AND_LOSS[Id],$L47,PBC_PROFIT_AND_LOSS[Date],BG$5)</f>
        <v>712</v>
      </c>
      <c r="BH47" s="289">
        <f>SUMIFS(PBC_PROFIT_AND_LOSS[AccountBalance], PBC_PROFIT_AND_LOSS[Id],$L47,PBC_PROFIT_AND_LOSS[Date],BH$5)</f>
        <v>712</v>
      </c>
      <c r="BI47" s="289">
        <f>SUMIFS(PBC_PROFIT_AND_LOSS[AccountBalance], PBC_PROFIT_AND_LOSS[Id],$L47,PBC_PROFIT_AND_LOSS[Date],BI$5)</f>
        <v>748</v>
      </c>
      <c r="BJ47" s="289">
        <f>SUMIFS(PBC_PROFIT_AND_LOSS[AccountBalance], PBC_PROFIT_AND_LOSS[Id],$L47,PBC_PROFIT_AND_LOSS[Date],BJ$5)</f>
        <v>748</v>
      </c>
      <c r="BK47" s="289">
        <f>SUMIFS(PBC_PROFIT_AND_LOSS[AccountBalance], PBC_PROFIT_AND_LOSS[Id],$L47,PBC_PROFIT_AND_LOSS[Date],BK$5)</f>
        <v>785</v>
      </c>
      <c r="BL47" s="289">
        <f>SUMIFS(PBC_PROFIT_AND_LOSS[AccountBalance], PBC_PROFIT_AND_LOSS[Id],$L47,PBC_PROFIT_AND_LOSS[Date],BL$5)</f>
        <v>824</v>
      </c>
      <c r="BM47" s="289">
        <f>SUMIFS(PBC_PROFIT_AND_LOSS[AccountBalance], PBC_PROFIT_AND_LOSS[Id],$L47,PBC_PROFIT_AND_LOSS[Date],BM$5)</f>
        <v>865.53</v>
      </c>
      <c r="BN47" s="289">
        <f>SUMIFS(PBC_PROFIT_AND_LOSS[AccountBalance], PBC_PROFIT_AND_LOSS[Id],$L47,PBC_PROFIT_AND_LOSS[Date],BN$5)</f>
        <v>909</v>
      </c>
      <c r="BO47" s="289">
        <f>SUMIFS(PBC_PROFIT_AND_LOSS[AccountBalance], PBC_PROFIT_AND_LOSS[Id],$L47,PBC_PROFIT_AND_LOSS[Date],BO$5)</f>
        <v>954</v>
      </c>
      <c r="BP47" s="289">
        <f>SUMIFS(PBC_PROFIT_AND_LOSS[AccountBalance], PBC_PROFIT_AND_LOSS[Id],$L47,PBC_PROFIT_AND_LOSS[Date],BP$5)</f>
        <v>1002</v>
      </c>
      <c r="BQ47" s="289">
        <f>SUMIFS(PBC_PROFIT_AND_LOSS[AccountBalance], PBC_PROFIT_AND_LOSS[Id],$L47,PBC_PROFIT_AND_LOSS[Date],BQ$5)</f>
        <v>1052</v>
      </c>
      <c r="BR47" s="289">
        <f>SUMIFS(PBC_PROFIT_AND_LOSS[AccountBalance], PBC_PROFIT_AND_LOSS[Id],$L47,PBC_PROFIT_AND_LOSS[Date],BR$5)</f>
        <v>1104.6600000000001</v>
      </c>
      <c r="BS47" s="289">
        <f>SUMIFS(PBC_PROFIT_AND_LOSS[AccountBalance], PBC_PROFIT_AND_LOSS[Id],$L47,PBC_PROFIT_AND_LOSS[Date],BS$5)</f>
        <v>1159.9000000000001</v>
      </c>
      <c r="BT47" s="289">
        <f>SUMIFS(PBC_PROFIT_AND_LOSS[AccountBalance], PBC_PROFIT_AND_LOSS[Id],$L47,PBC_PROFIT_AND_LOSS[Date],BT$5)</f>
        <v>1217.8900000000001</v>
      </c>
      <c r="BU47" s="289">
        <f>SUMIFS(PBC_PROFIT_AND_LOSS[AccountBalance], PBC_PROFIT_AND_LOSS[Id],$L47,PBC_PROFIT_AND_LOSS[Date],BU$5)</f>
        <v>1278.79</v>
      </c>
      <c r="BV47" s="289">
        <f>SUMIFS(PBC_PROFIT_AND_LOSS[AccountBalance], PBC_PROFIT_AND_LOSS[Id],$L47,PBC_PROFIT_AND_LOSS[Date],BV$5)</f>
        <v>1342.73</v>
      </c>
      <c r="BW47" s="289">
        <f>SUMIFS(PBC_PROFIT_AND_LOSS[AccountBalance], PBC_PROFIT_AND_LOSS[Id],$L47,PBC_PROFIT_AND_LOSS[Date],BW$5)</f>
        <v>1409.86</v>
      </c>
      <c r="BX47" s="335" cm="1">
        <f t="array" ref="BX47">_xlfn.SWITCH(
    $E47,
    "3 month avg", AVERAGE(BU47:BW47) * (1 + $F47),
    "6 month avg", AVERAGE(BR47:BW47) * (1 + $F47),
    "12 month avg", AVERAGE(BM47:BW47) * (1 + $F47),
    "Prior Month",BW47* (1 + $F47),
    "Prior Year", BL47* (1 + $F47),
    "Monthly assumption",$G47* (1 + $F47),
    "Quarterly assumption",$G47/3* (1 + $F47),
    "Annual assumption",$G47/12* (1 + $F47),
    "% of Revenue",SUM(_xlfn._xlws.FILTER(_xlfn._xlws.FILTER(dataSummaryPL,dataSummaryPLSections="Revenue"),(startDates&gt;=BX$4)*(endDates&lt;=BX$5)))*$F47,
    "Custom",0,
    "0",0,
        0
)</f>
        <v>1314.9202500000001</v>
      </c>
      <c r="BY47" s="335" cm="1">
        <f t="array" ref="BY47">_xlfn.SWITCH(
    $E47,
    "3 month avg", AVERAGE(BV47:BX47) * (1 + $F47),
    "6 month avg", AVERAGE(BS47:BX47) * (1 + $F47),
    "12 month avg", AVERAGE(BN47:BX47) * (1 + $F47),
    "Prior Month",BX47* (1 + $F47),
    "Prior Year", BM47* (1 + $F47),
    "Monthly assumption",$G47* (1 + $F47),
    "Quarterly assumption",$G47/3* (1 + $F47),
    "Annual assumption",$G47/12* (1 + $F47),
    "% of Revenue",SUM(_xlfn._xlws.FILTER(_xlfn._xlws.FILTER(dataSummaryPL,dataSummaryPLSections="Revenue"),(startDates&gt;=BY$4)*(endDates&lt;=BY$5)))*$F47,
    "Custom",0,
    "0",0,
        0
)</f>
        <v>1351.7157937499999</v>
      </c>
      <c r="BZ47" s="335" cm="1">
        <f t="array" ref="BZ47">_xlfn.SWITCH(
    $E47,
    "3 month avg", AVERAGE(BW47:BY47) * (1 + $F47),
    "6 month avg", AVERAGE(BT47:BY47) * (1 + $F47),
    "12 month avg", AVERAGE(BO47:BY47) * (1 + $F47),
    "Prior Month",BY47* (1 + $F47),
    "Prior Year", BN47* (1 + $F47),
    "Monthly assumption",$G47* (1 + $F47),
    "Quarterly assumption",$G47/3* (1 + $F47),
    "Annual assumption",$G47/12* (1 + $F47),
    "% of Revenue",SUM(_xlfn._xlws.FILTER(_xlfn._xlws.FILTER(dataSummaryPL,dataSummaryPLSections="Revenue"),(startDates&gt;=BZ$4)*(endDates&lt;=BZ$5)))*$F47,
    "Custom",0,
    "0",0,
        0
)</f>
        <v>1385.2835576562502</v>
      </c>
      <c r="CA47" s="335" cm="1">
        <f t="array" ref="CA47">_xlfn.SWITCH(
    $E47,
    "3 month avg", AVERAGE(BX47:BZ47) * (1 + $F47),
    "6 month avg", AVERAGE(BU47:BZ47) * (1 + $F47),
    "12 month avg", AVERAGE(BP47:BZ47) * (1 + $F47),
    "Prior Month",BZ47* (1 + $F47),
    "Prior Year", BO47* (1 + $F47),
    "Monthly assumption",$G47* (1 + $F47),
    "Quarterly assumption",$G47/3* (1 + $F47),
    "Annual assumption",$G47/12* (1 + $F47),
    "% of Revenue",SUM(_xlfn._xlws.FILTER(_xlfn._xlws.FILTER(dataSummaryPL,dataSummaryPLSections="Revenue"),(startDates&gt;=CA$4)*(endDates&lt;=CA$5)))*$F47,
    "Custom",0,
    "0",0,
        0
)</f>
        <v>1414.5774302460939</v>
      </c>
      <c r="CB47" s="335" cm="1">
        <f t="array" ref="CB47">_xlfn.SWITCH(
    $E47,
    "3 month avg", AVERAGE(BY47:CA47) * (1 + $F47),
    "6 month avg", AVERAGE(BV47:CA47) * (1 + $F47),
    "12 month avg", AVERAGE(BQ47:CA47) * (1 + $F47),
    "Prior Month",CA47* (1 + $F47),
    "Prior Year", BP47* (1 + $F47),
    "Monthly assumption",$G47* (1 + $F47),
    "Quarterly assumption",$G47/3* (1 + $F47),
    "Annual assumption",$G47/12* (1 + $F47),
    "% of Revenue",SUM(_xlfn._xlws.FILTER(_xlfn._xlws.FILTER(dataSummaryPL,dataSummaryPLSections="Revenue"),(startDates&gt;=CB$4)*(endDates&lt;=CB$5)))*$F47,
    "Custom",0,
    "0",0,
        0
)</f>
        <v>1438.3402305391601</v>
      </c>
      <c r="CC47" s="335" cm="1">
        <f t="array" ref="CC47">_xlfn.SWITCH(
    $E47,
    "3 month avg", AVERAGE(BZ47:CB47) * (1 + $F47),
    "6 month avg", AVERAGE(BW47:CB47) * (1 + $F47),
    "12 month avg", AVERAGE(BR47:CB47) * (1 + $F47),
    "Prior Month",CB47* (1 + $F47),
    "Prior Year", BQ47* (1 + $F47),
    "Monthly assumption",$G47* (1 + $F47),
    "Quarterly assumption",$G47/3* (1 + $F47),
    "Annual assumption",$G47/12* (1 + $F47),
    "% of Revenue",SUM(_xlfn._xlws.FILTER(_xlfn._xlws.FILTER(dataSummaryPL,dataSummaryPLSections="Revenue"),(startDates&gt;=CC$4)*(endDates&lt;=CC$5)))*$F47,
    "Custom",0,
    "0",0,
        0
)</f>
        <v>1455.0720208835135</v>
      </c>
      <c r="CD47" s="335" cm="1">
        <f t="array" ref="CD47">_xlfn.SWITCH(
    $E47,
    "3 month avg", AVERAGE(CA47:CC47) * (1 + $F47),
    "6 month avg", AVERAGE(BX47:CC47) * (1 + $F47),
    "12 month avg", AVERAGE(BS47:CC47) * (1 + $F47),
    "Prior Month",CC47* (1 + $F47),
    "Prior Year", BR47* (1 + $F47),
    "Monthly assumption",$G47* (1 + $F47),
    "Quarterly assumption",$G47/3* (1 + $F47),
    "Annual assumption",$G47/12* (1 + $F47),
    "% of Revenue",SUM(_xlfn._xlws.FILTER(_xlfn._xlws.FILTER(dataSummaryPL,dataSummaryPLSections="Revenue"),(startDates&gt;=CD$4)*(endDates&lt;=CD$5)))*$F47,
    "Custom",0,
    "0",0,
        0
)</f>
        <v>1462.9841245381281</v>
      </c>
      <c r="CE47" s="335" cm="1">
        <f t="array" ref="CE47">_xlfn.SWITCH(
    $E47,
    "3 month avg", AVERAGE(CB47:CD47) * (1 + $F47),
    "6 month avg", AVERAGE(BY47:CD47) * (1 + $F47),
    "12 month avg", AVERAGE(BT47:CD47) * (1 + $F47),
    "Prior Month",CD47* (1 + $F47),
    "Prior Year", BS47* (1 + $F47),
    "Monthly assumption",$G47* (1 + $F47),
    "Quarterly assumption",$G47/3* (1 + $F47),
    "Annual assumption",$G47/12* (1 + $F47),
    "% of Revenue",SUM(_xlfn._xlws.FILTER(_xlfn._xlws.FILTER(dataSummaryPL,dataSummaryPLSections="Revenue"),(startDates&gt;=CE$4)*(endDates&lt;=CE$5)))*$F47,
    "Custom",0,
    "0",0,
        0
)</f>
        <v>1488.8953025823005</v>
      </c>
      <c r="CF47" s="335" cm="1">
        <f t="array" ref="CF47">_xlfn.SWITCH(
    $E47,
    "3 month avg", AVERAGE(CC47:CE47) * (1 + $F47),
    "6 month avg", AVERAGE(BZ47:CE47) * (1 + $F47),
    "12 month avg", AVERAGE(BU47:CE47) * (1 + $F47),
    "Prior Month",CE47* (1 + $F47),
    "Prior Year", BT47* (1 + $F47),
    "Monthly assumption",$G47* (1 + $F47),
    "Quarterly assumption",$G47/3* (1 + $F47),
    "Annual assumption",$G47/12* (1 + $F47),
    "% of Revenue",SUM(_xlfn._xlws.FILTER(_xlfn._xlws.FILTER(dataSummaryPL,dataSummaryPLSections="Revenue"),(startDates&gt;=CF$4)*(endDates&lt;=CF$5)))*$F47,
    "Custom",0,
    "0",0,
        0
)</f>
        <v>1512.9017166279532</v>
      </c>
      <c r="CG47" s="335" cm="1">
        <f t="array" ref="CG47">_xlfn.SWITCH(
    $E47,
    "3 month avg", AVERAGE(CD47:CF47) * (1 + $F47),
    "6 month avg", AVERAGE(CA47:CF47) * (1 + $F47),
    "12 month avg", AVERAGE(BV47:CF47) * (1 + $F47),
    "Prior Month",CF47* (1 + $F47),
    "Prior Year", BU47* (1 + $F47),
    "Monthly assumption",$G47* (1 + $F47),
    "Quarterly assumption",$G47/3* (1 + $F47),
    "Annual assumption",$G47/12* (1 + $F47),
    "% of Revenue",SUM(_xlfn._xlws.FILTER(_xlfn._xlws.FILTER(dataSummaryPL,dataSummaryPLSections="Revenue"),(startDates&gt;=CG$4)*(endDates&lt;=CG$5)))*$F47,
    "Custom",0,
    "0",0,
        0
)</f>
        <v>1535.2348944480009</v>
      </c>
      <c r="CH47" s="335" cm="1">
        <f t="array" ref="CH47">_xlfn.SWITCH(
    $E47,
    "3 month avg", AVERAGE(CE47:CG47) * (1 + $F47),
    "6 month avg", AVERAGE(CB47:CG47) * (1 + $F47),
    "12 month avg", AVERAGE(BW47:CG47) * (1 + $F47),
    "Prior Month",CG47* (1 + $F47),
    "Prior Year", BV47* (1 + $F47),
    "Monthly assumption",$G47* (1 + $F47),
    "Quarterly assumption",$G47/3* (1 + $F47),
    "Annual assumption",$G47/12* (1 + $F47),
    "% of Revenue",SUM(_xlfn._xlws.FILTER(_xlfn._xlws.FILTER(dataSummaryPL,dataSummaryPLSections="Revenue"),(startDates&gt;=CH$4)*(endDates&lt;=CH$5)))*$F47,
    "Custom",0,
    "0",0,
        0
)</f>
        <v>1556.3499506833348</v>
      </c>
      <c r="CI47" s="335" cm="1">
        <f t="array" ref="CI47">_xlfn.SWITCH(
    $E47,
    "3 month avg", AVERAGE(CF47:CH47) * (1 + $F47),
    "6 month avg", AVERAGE(CC47:CH47) * (1 + $F47),
    "12 month avg", AVERAGE(BX47:CH47) * (1 + $F47),
    "Prior Month",CH47* (1 + $F47),
    "Prior Year", BW47* (1 + $F47),
    "Monthly assumption",$G47* (1 + $F47),
    "Quarterly assumption",$G47/3* (1 + $F47),
    "Annual assumption",$G47/12* (1 + $F47),
    "% of Revenue",SUM(_xlfn._xlws.FILTER(_xlfn._xlws.FILTER(dataSummaryPL,dataSummaryPLSections="Revenue"),(startDates&gt;=CI$4)*(endDates&lt;=CI$5)))*$F47,
    "Custom",0,
    "0",0,
        0
)</f>
        <v>1577.0016517085655</v>
      </c>
      <c r="CJ47" s="335" cm="1">
        <f t="array" ref="CJ47">_xlfn.SWITCH(
    $E47,
    "3 month avg", AVERAGE(CG47:CI47) * (1 + $F47),
    "6 month avg", AVERAGE(CD47:CI47) * (1 + $F47),
    "12 month avg", AVERAGE(BY47:CI47) * (1 + $F47),
    "Prior Month",CI47* (1 + $F47),
    "Prior Year", BX47* (1 + $F47),
    "Monthly assumption",$G47* (1 + $F47),
    "Quarterly assumption",$G47/3* (1 + $F47),
    "Annual assumption",$G47/12* (1 + $F47),
    "% of Revenue",SUM(_xlfn._xlws.FILTER(_xlfn._xlws.FILTER(dataSummaryPL,dataSummaryPLSections="Revenue"),(startDates&gt;=CJ$4)*(endDates&lt;=CJ$5)))*$F47,
    "Custom",0,
    "0",0,
        0
)</f>
        <v>1598.3393371029497</v>
      </c>
    </row>
    <row r="48" spans="3:88" outlineLevel="2">
      <c r="C48" s="283"/>
      <c r="D48" s="288" t="s">
        <v>238</v>
      </c>
      <c r="E48" s="280" t="s">
        <v>354</v>
      </c>
      <c r="F48" s="332">
        <v>0.05</v>
      </c>
      <c r="G48" s="332"/>
      <c r="H48" s="277" t="str">
        <f>IFERROR(INDEX(PBC_ACCOUNT_LIST[Drivers Section],MATCH(Drivers!L48,PBC_ACCOUNT_LIST[Id],0)),"")</f>
        <v>Opex</v>
      </c>
      <c r="I48" s="277" t="str">
        <f>IFERROR(INDEX(PBC_ACCOUNT_LIST[Summary Grouping],MATCH(Drivers!L48,PBC_ACCOUNT_LIST[Id],0)),"")</f>
        <v>Travel &amp; Entertainment</v>
      </c>
      <c r="J48" s="277">
        <f>IFERROR(INDEX(PBC_ACCOUNT_LIST[Cash Flow Section],MATCH(Drivers!L48,PBC_ACCOUNT_LIST[Id],0)),"")</f>
        <v>0</v>
      </c>
      <c r="K48" s="278" t="s">
        <v>106</v>
      </c>
      <c r="L48" s="277">
        <v>184</v>
      </c>
      <c r="M48" s="276"/>
      <c r="O48" s="272"/>
      <c r="P48" s="289">
        <f t="shared" si="44"/>
        <v>0</v>
      </c>
      <c r="Q48" s="289">
        <f t="shared" si="44"/>
        <v>0</v>
      </c>
      <c r="R48" s="289">
        <f t="shared" si="44"/>
        <v>0</v>
      </c>
      <c r="S48" s="289">
        <f t="shared" si="44"/>
        <v>0</v>
      </c>
      <c r="T48" s="289"/>
      <c r="U48" s="289"/>
      <c r="V48" s="289">
        <f t="shared" si="46"/>
        <v>0</v>
      </c>
      <c r="W48" s="289">
        <f t="shared" si="46"/>
        <v>0</v>
      </c>
      <c r="X48" s="289">
        <f t="shared" si="46"/>
        <v>0</v>
      </c>
      <c r="Y48" s="289">
        <f t="shared" si="46"/>
        <v>0</v>
      </c>
      <c r="Z48" s="289">
        <f t="shared" si="46"/>
        <v>0</v>
      </c>
      <c r="AA48" s="289">
        <f t="shared" si="46"/>
        <v>0</v>
      </c>
      <c r="AB48" s="289">
        <f t="shared" si="46"/>
        <v>0</v>
      </c>
      <c r="AC48" s="289">
        <f t="shared" si="46"/>
        <v>0</v>
      </c>
      <c r="AD48" s="289">
        <f t="shared" si="46"/>
        <v>0</v>
      </c>
      <c r="AE48" s="289">
        <f t="shared" si="46"/>
        <v>0</v>
      </c>
      <c r="AF48" s="289">
        <f t="shared" si="46"/>
        <v>0</v>
      </c>
      <c r="AG48" s="289">
        <f t="shared" si="46"/>
        <v>0</v>
      </c>
      <c r="AH48" s="289">
        <f t="shared" si="46"/>
        <v>0</v>
      </c>
      <c r="AI48" s="289">
        <f t="shared" si="46"/>
        <v>0</v>
      </c>
      <c r="AJ48" s="289">
        <f t="shared" si="46"/>
        <v>0</v>
      </c>
      <c r="AK48" s="289">
        <f t="shared" si="46"/>
        <v>0</v>
      </c>
      <c r="AL48" s="333"/>
      <c r="AM48" s="334"/>
      <c r="AN48" s="289">
        <f>SUMIFS(PBC_PROFIT_AND_LOSS[AccountBalance], PBC_PROFIT_AND_LOSS[Id],$L48,PBC_PROFIT_AND_LOSS[Date],AN$5)</f>
        <v>0</v>
      </c>
      <c r="AO48" s="289">
        <f>SUMIFS(PBC_PROFIT_AND_LOSS[AccountBalance], PBC_PROFIT_AND_LOSS[Id],$L48,PBC_PROFIT_AND_LOSS[Date],AO$5)</f>
        <v>0</v>
      </c>
      <c r="AP48" s="289">
        <f>SUMIFS(PBC_PROFIT_AND_LOSS[AccountBalance], PBC_PROFIT_AND_LOSS[Id],$L48,PBC_PROFIT_AND_LOSS[Date],AP$5)</f>
        <v>0</v>
      </c>
      <c r="AQ48" s="289">
        <f>SUMIFS(PBC_PROFIT_AND_LOSS[AccountBalance], PBC_PROFIT_AND_LOSS[Id],$L48,PBC_PROFIT_AND_LOSS[Date],AQ$5)</f>
        <v>0</v>
      </c>
      <c r="AR48" s="289">
        <f>SUMIFS(PBC_PROFIT_AND_LOSS[AccountBalance], PBC_PROFIT_AND_LOSS[Id],$L48,PBC_PROFIT_AND_LOSS[Date],AR$5)</f>
        <v>0</v>
      </c>
      <c r="AS48" s="289">
        <f>SUMIFS(PBC_PROFIT_AND_LOSS[AccountBalance], PBC_PROFIT_AND_LOSS[Id],$L48,PBC_PROFIT_AND_LOSS[Date],AS$5)</f>
        <v>0</v>
      </c>
      <c r="AT48" s="289">
        <f>SUMIFS(PBC_PROFIT_AND_LOSS[AccountBalance], PBC_PROFIT_AND_LOSS[Id],$L48,PBC_PROFIT_AND_LOSS[Date],AT$5)</f>
        <v>0</v>
      </c>
      <c r="AU48" s="289">
        <f>SUMIFS(PBC_PROFIT_AND_LOSS[AccountBalance], PBC_PROFIT_AND_LOSS[Id],$L48,PBC_PROFIT_AND_LOSS[Date],AU$5)</f>
        <v>0</v>
      </c>
      <c r="AV48" s="289">
        <f>SUMIFS(PBC_PROFIT_AND_LOSS[AccountBalance], PBC_PROFIT_AND_LOSS[Id],$L48,PBC_PROFIT_AND_LOSS[Date],AV$5)</f>
        <v>0</v>
      </c>
      <c r="AW48" s="289">
        <f>SUMIFS(PBC_PROFIT_AND_LOSS[AccountBalance], PBC_PROFIT_AND_LOSS[Id],$L48,PBC_PROFIT_AND_LOSS[Date],AW$5)</f>
        <v>0</v>
      </c>
      <c r="AX48" s="289">
        <f>SUMIFS(PBC_PROFIT_AND_LOSS[AccountBalance], PBC_PROFIT_AND_LOSS[Id],$L48,PBC_PROFIT_AND_LOSS[Date],AX$5)</f>
        <v>0</v>
      </c>
      <c r="AY48" s="289">
        <f>SUMIFS(PBC_PROFIT_AND_LOSS[AccountBalance], PBC_PROFIT_AND_LOSS[Id],$L48,PBC_PROFIT_AND_LOSS[Date],AY$5)</f>
        <v>0</v>
      </c>
      <c r="AZ48" s="289">
        <f>SUMIFS(PBC_PROFIT_AND_LOSS[AccountBalance], PBC_PROFIT_AND_LOSS[Id],$L48,PBC_PROFIT_AND_LOSS[Date],AZ$5)</f>
        <v>0</v>
      </c>
      <c r="BA48" s="289">
        <f>SUMIFS(PBC_PROFIT_AND_LOSS[AccountBalance], PBC_PROFIT_AND_LOSS[Id],$L48,PBC_PROFIT_AND_LOSS[Date],BA$5)</f>
        <v>0</v>
      </c>
      <c r="BB48" s="289">
        <f>SUMIFS(PBC_PROFIT_AND_LOSS[AccountBalance], PBC_PROFIT_AND_LOSS[Id],$L48,PBC_PROFIT_AND_LOSS[Date],BB$5)</f>
        <v>0</v>
      </c>
      <c r="BC48" s="289">
        <f>SUMIFS(PBC_PROFIT_AND_LOSS[AccountBalance], PBC_PROFIT_AND_LOSS[Id],$L48,PBC_PROFIT_AND_LOSS[Date],BC$5)</f>
        <v>0</v>
      </c>
      <c r="BD48" s="289">
        <f>SUMIFS(PBC_PROFIT_AND_LOSS[AccountBalance], PBC_PROFIT_AND_LOSS[Id],$L48,PBC_PROFIT_AND_LOSS[Date],BD$5)</f>
        <v>0</v>
      </c>
      <c r="BE48" s="289">
        <f>SUMIFS(PBC_PROFIT_AND_LOSS[AccountBalance], PBC_PROFIT_AND_LOSS[Id],$L48,PBC_PROFIT_AND_LOSS[Date],BE$5)</f>
        <v>0</v>
      </c>
      <c r="BF48" s="289">
        <f>SUMIFS(PBC_PROFIT_AND_LOSS[AccountBalance], PBC_PROFIT_AND_LOSS[Id],$L48,PBC_PROFIT_AND_LOSS[Date],BF$5)</f>
        <v>0</v>
      </c>
      <c r="BG48" s="289">
        <f>SUMIFS(PBC_PROFIT_AND_LOSS[AccountBalance], PBC_PROFIT_AND_LOSS[Id],$L48,PBC_PROFIT_AND_LOSS[Date],BG$5)</f>
        <v>0</v>
      </c>
      <c r="BH48" s="289">
        <f>SUMIFS(PBC_PROFIT_AND_LOSS[AccountBalance], PBC_PROFIT_AND_LOSS[Id],$L48,PBC_PROFIT_AND_LOSS[Date],BH$5)</f>
        <v>0</v>
      </c>
      <c r="BI48" s="289">
        <f>SUMIFS(PBC_PROFIT_AND_LOSS[AccountBalance], PBC_PROFIT_AND_LOSS[Id],$L48,PBC_PROFIT_AND_LOSS[Date],BI$5)</f>
        <v>0</v>
      </c>
      <c r="BJ48" s="289">
        <f>SUMIFS(PBC_PROFIT_AND_LOSS[AccountBalance], PBC_PROFIT_AND_LOSS[Id],$L48,PBC_PROFIT_AND_LOSS[Date],BJ$5)</f>
        <v>0</v>
      </c>
      <c r="BK48" s="289">
        <f>SUMIFS(PBC_PROFIT_AND_LOSS[AccountBalance], PBC_PROFIT_AND_LOSS[Id],$L48,PBC_PROFIT_AND_LOSS[Date],BK$5)</f>
        <v>0</v>
      </c>
      <c r="BL48" s="289">
        <f>SUMIFS(PBC_PROFIT_AND_LOSS[AccountBalance], PBC_PROFIT_AND_LOSS[Id],$L48,PBC_PROFIT_AND_LOSS[Date],BL$5)</f>
        <v>0</v>
      </c>
      <c r="BM48" s="289">
        <f>SUMIFS(PBC_PROFIT_AND_LOSS[AccountBalance], PBC_PROFIT_AND_LOSS[Id],$L48,PBC_PROFIT_AND_LOSS[Date],BM$5)</f>
        <v>0</v>
      </c>
      <c r="BN48" s="289">
        <f>SUMIFS(PBC_PROFIT_AND_LOSS[AccountBalance], PBC_PROFIT_AND_LOSS[Id],$L48,PBC_PROFIT_AND_LOSS[Date],BN$5)</f>
        <v>0</v>
      </c>
      <c r="BO48" s="289">
        <f>SUMIFS(PBC_PROFIT_AND_LOSS[AccountBalance], PBC_PROFIT_AND_LOSS[Id],$L48,PBC_PROFIT_AND_LOSS[Date],BO$5)</f>
        <v>0</v>
      </c>
      <c r="BP48" s="289">
        <f>SUMIFS(PBC_PROFIT_AND_LOSS[AccountBalance], PBC_PROFIT_AND_LOSS[Id],$L48,PBC_PROFIT_AND_LOSS[Date],BP$5)</f>
        <v>0</v>
      </c>
      <c r="BQ48" s="289">
        <f>SUMIFS(PBC_PROFIT_AND_LOSS[AccountBalance], PBC_PROFIT_AND_LOSS[Id],$L48,PBC_PROFIT_AND_LOSS[Date],BQ$5)</f>
        <v>0</v>
      </c>
      <c r="BR48" s="289">
        <f>SUMIFS(PBC_PROFIT_AND_LOSS[AccountBalance], PBC_PROFIT_AND_LOSS[Id],$L48,PBC_PROFIT_AND_LOSS[Date],BR$5)</f>
        <v>0</v>
      </c>
      <c r="BS48" s="289">
        <f>SUMIFS(PBC_PROFIT_AND_LOSS[AccountBalance], PBC_PROFIT_AND_LOSS[Id],$L48,PBC_PROFIT_AND_LOSS[Date],BS$5)</f>
        <v>0</v>
      </c>
      <c r="BT48" s="289">
        <f>SUMIFS(PBC_PROFIT_AND_LOSS[AccountBalance], PBC_PROFIT_AND_LOSS[Id],$L48,PBC_PROFIT_AND_LOSS[Date],BT$5)</f>
        <v>0</v>
      </c>
      <c r="BU48" s="289">
        <f>SUMIFS(PBC_PROFIT_AND_LOSS[AccountBalance], PBC_PROFIT_AND_LOSS[Id],$L48,PBC_PROFIT_AND_LOSS[Date],BU$5)</f>
        <v>0</v>
      </c>
      <c r="BV48" s="289">
        <f>SUMIFS(PBC_PROFIT_AND_LOSS[AccountBalance], PBC_PROFIT_AND_LOSS[Id],$L48,PBC_PROFIT_AND_LOSS[Date],BV$5)</f>
        <v>0</v>
      </c>
      <c r="BW48" s="289">
        <f>SUMIFS(PBC_PROFIT_AND_LOSS[AccountBalance], PBC_PROFIT_AND_LOSS[Id],$L48,PBC_PROFIT_AND_LOSS[Date],BW$5)</f>
        <v>0</v>
      </c>
      <c r="BX48" s="335" cm="1">
        <f t="array" ref="BX48">_xlfn.SWITCH(
    $E48,
    "3 month avg", AVERAGE(BU48:BW48) * (1 + $F48),
    "6 month avg", AVERAGE(BR48:BW48) * (1 + $F48),
    "12 month avg", AVERAGE(BM48:BW48) * (1 + $F48),
    "Prior Month",BW48* (1 + $F48),
    "Prior Year", BL48* (1 + $F48),
    "Monthly assumption",$G48* (1 + $F48),
    "Quarterly assumption",$G48/3* (1 + $F48),
    "Annual assumption",$G48/12* (1 + $F48),
    "% of Revenue",SUM(_xlfn._xlws.FILTER(_xlfn._xlws.FILTER(dataSummaryPL,dataSummaryPLSections="Revenue"),(startDates&gt;=BX$4)*(endDates&lt;=BX$5)))*$F48,
    "Custom",0,
    "0",0,
        0
)</f>
        <v>0</v>
      </c>
      <c r="BY48" s="335" cm="1">
        <f t="array" ref="BY48">_xlfn.SWITCH(
    $E48,
    "3 month avg", AVERAGE(BV48:BX48) * (1 + $F48),
    "6 month avg", AVERAGE(BS48:BX48) * (1 + $F48),
    "12 month avg", AVERAGE(BN48:BX48) * (1 + $F48),
    "Prior Month",BX48* (1 + $F48),
    "Prior Year", BM48* (1 + $F48),
    "Monthly assumption",$G48* (1 + $F48),
    "Quarterly assumption",$G48/3* (1 + $F48),
    "Annual assumption",$G48/12* (1 + $F48),
    "% of Revenue",SUM(_xlfn._xlws.FILTER(_xlfn._xlws.FILTER(dataSummaryPL,dataSummaryPLSections="Revenue"),(startDates&gt;=BY$4)*(endDates&lt;=BY$5)))*$F48,
    "Custom",0,
    "0",0,
        0
)</f>
        <v>0</v>
      </c>
      <c r="BZ48" s="335" cm="1">
        <f t="array" ref="BZ48">_xlfn.SWITCH(
    $E48,
    "3 month avg", AVERAGE(BW48:BY48) * (1 + $F48),
    "6 month avg", AVERAGE(BT48:BY48) * (1 + $F48),
    "12 month avg", AVERAGE(BO48:BY48) * (1 + $F48),
    "Prior Month",BY48* (1 + $F48),
    "Prior Year", BN48* (1 + $F48),
    "Monthly assumption",$G48* (1 + $F48),
    "Quarterly assumption",$G48/3* (1 + $F48),
    "Annual assumption",$G48/12* (1 + $F48),
    "% of Revenue",SUM(_xlfn._xlws.FILTER(_xlfn._xlws.FILTER(dataSummaryPL,dataSummaryPLSections="Revenue"),(startDates&gt;=BZ$4)*(endDates&lt;=BZ$5)))*$F48,
    "Custom",0,
    "0",0,
        0
)</f>
        <v>0</v>
      </c>
      <c r="CA48" s="335" cm="1">
        <f t="array" ref="CA48">_xlfn.SWITCH(
    $E48,
    "3 month avg", AVERAGE(BX48:BZ48) * (1 + $F48),
    "6 month avg", AVERAGE(BU48:BZ48) * (1 + $F48),
    "12 month avg", AVERAGE(BP48:BZ48) * (1 + $F48),
    "Prior Month",BZ48* (1 + $F48),
    "Prior Year", BO48* (1 + $F48),
    "Monthly assumption",$G48* (1 + $F48),
    "Quarterly assumption",$G48/3* (1 + $F48),
    "Annual assumption",$G48/12* (1 + $F48),
    "% of Revenue",SUM(_xlfn._xlws.FILTER(_xlfn._xlws.FILTER(dataSummaryPL,dataSummaryPLSections="Revenue"),(startDates&gt;=CA$4)*(endDates&lt;=CA$5)))*$F48,
    "Custom",0,
    "0",0,
        0
)</f>
        <v>0</v>
      </c>
      <c r="CB48" s="335" cm="1">
        <f t="array" ref="CB48">_xlfn.SWITCH(
    $E48,
    "3 month avg", AVERAGE(BY48:CA48) * (1 + $F48),
    "6 month avg", AVERAGE(BV48:CA48) * (1 + $F48),
    "12 month avg", AVERAGE(BQ48:CA48) * (1 + $F48),
    "Prior Month",CA48* (1 + $F48),
    "Prior Year", BP48* (1 + $F48),
    "Monthly assumption",$G48* (1 + $F48),
    "Quarterly assumption",$G48/3* (1 + $F48),
    "Annual assumption",$G48/12* (1 + $F48),
    "% of Revenue",SUM(_xlfn._xlws.FILTER(_xlfn._xlws.FILTER(dataSummaryPL,dataSummaryPLSections="Revenue"),(startDates&gt;=CB$4)*(endDates&lt;=CB$5)))*$F48,
    "Custom",0,
    "0",0,
        0
)</f>
        <v>0</v>
      </c>
      <c r="CC48" s="335" cm="1">
        <f t="array" ref="CC48">_xlfn.SWITCH(
    $E48,
    "3 month avg", AVERAGE(BZ48:CB48) * (1 + $F48),
    "6 month avg", AVERAGE(BW48:CB48) * (1 + $F48),
    "12 month avg", AVERAGE(BR48:CB48) * (1 + $F48),
    "Prior Month",CB48* (1 + $F48),
    "Prior Year", BQ48* (1 + $F48),
    "Monthly assumption",$G48* (1 + $F48),
    "Quarterly assumption",$G48/3* (1 + $F48),
    "Annual assumption",$G48/12* (1 + $F48),
    "% of Revenue",SUM(_xlfn._xlws.FILTER(_xlfn._xlws.FILTER(dataSummaryPL,dataSummaryPLSections="Revenue"),(startDates&gt;=CC$4)*(endDates&lt;=CC$5)))*$F48,
    "Custom",0,
    "0",0,
        0
)</f>
        <v>0</v>
      </c>
      <c r="CD48" s="335" cm="1">
        <f t="array" ref="CD48">_xlfn.SWITCH(
    $E48,
    "3 month avg", AVERAGE(CA48:CC48) * (1 + $F48),
    "6 month avg", AVERAGE(BX48:CC48) * (1 + $F48),
    "12 month avg", AVERAGE(BS48:CC48) * (1 + $F48),
    "Prior Month",CC48* (1 + $F48),
    "Prior Year", BR48* (1 + $F48),
    "Monthly assumption",$G48* (1 + $F48),
    "Quarterly assumption",$G48/3* (1 + $F48),
    "Annual assumption",$G48/12* (1 + $F48),
    "% of Revenue",SUM(_xlfn._xlws.FILTER(_xlfn._xlws.FILTER(dataSummaryPL,dataSummaryPLSections="Revenue"),(startDates&gt;=CD$4)*(endDates&lt;=CD$5)))*$F48,
    "Custom",0,
    "0",0,
        0
)</f>
        <v>0</v>
      </c>
      <c r="CE48" s="335" cm="1">
        <f t="array" ref="CE48">_xlfn.SWITCH(
    $E48,
    "3 month avg", AVERAGE(CB48:CD48) * (1 + $F48),
    "6 month avg", AVERAGE(BY48:CD48) * (1 + $F48),
    "12 month avg", AVERAGE(BT48:CD48) * (1 + $F48),
    "Prior Month",CD48* (1 + $F48),
    "Prior Year", BS48* (1 + $F48),
    "Monthly assumption",$G48* (1 + $F48),
    "Quarterly assumption",$G48/3* (1 + $F48),
    "Annual assumption",$G48/12* (1 + $F48),
    "% of Revenue",SUM(_xlfn._xlws.FILTER(_xlfn._xlws.FILTER(dataSummaryPL,dataSummaryPLSections="Revenue"),(startDates&gt;=CE$4)*(endDates&lt;=CE$5)))*$F48,
    "Custom",0,
    "0",0,
        0
)</f>
        <v>0</v>
      </c>
      <c r="CF48" s="335" cm="1">
        <f t="array" ref="CF48">_xlfn.SWITCH(
    $E48,
    "3 month avg", AVERAGE(CC48:CE48) * (1 + $F48),
    "6 month avg", AVERAGE(BZ48:CE48) * (1 + $F48),
    "12 month avg", AVERAGE(BU48:CE48) * (1 + $F48),
    "Prior Month",CE48* (1 + $F48),
    "Prior Year", BT48* (1 + $F48),
    "Monthly assumption",$G48* (1 + $F48),
    "Quarterly assumption",$G48/3* (1 + $F48),
    "Annual assumption",$G48/12* (1 + $F48),
    "% of Revenue",SUM(_xlfn._xlws.FILTER(_xlfn._xlws.FILTER(dataSummaryPL,dataSummaryPLSections="Revenue"),(startDates&gt;=CF$4)*(endDates&lt;=CF$5)))*$F48,
    "Custom",0,
    "0",0,
        0
)</f>
        <v>0</v>
      </c>
      <c r="CG48" s="335" cm="1">
        <f t="array" ref="CG48">_xlfn.SWITCH(
    $E48,
    "3 month avg", AVERAGE(CD48:CF48) * (1 + $F48),
    "6 month avg", AVERAGE(CA48:CF48) * (1 + $F48),
    "12 month avg", AVERAGE(BV48:CF48) * (1 + $F48),
    "Prior Month",CF48* (1 + $F48),
    "Prior Year", BU48* (1 + $F48),
    "Monthly assumption",$G48* (1 + $F48),
    "Quarterly assumption",$G48/3* (1 + $F48),
    "Annual assumption",$G48/12* (1 + $F48),
    "% of Revenue",SUM(_xlfn._xlws.FILTER(_xlfn._xlws.FILTER(dataSummaryPL,dataSummaryPLSections="Revenue"),(startDates&gt;=CG$4)*(endDates&lt;=CG$5)))*$F48,
    "Custom",0,
    "0",0,
        0
)</f>
        <v>0</v>
      </c>
      <c r="CH48" s="335" cm="1">
        <f t="array" ref="CH48">_xlfn.SWITCH(
    $E48,
    "3 month avg", AVERAGE(CE48:CG48) * (1 + $F48),
    "6 month avg", AVERAGE(CB48:CG48) * (1 + $F48),
    "12 month avg", AVERAGE(BW48:CG48) * (1 + $F48),
    "Prior Month",CG48* (1 + $F48),
    "Prior Year", BV48* (1 + $F48),
    "Monthly assumption",$G48* (1 + $F48),
    "Quarterly assumption",$G48/3* (1 + $F48),
    "Annual assumption",$G48/12* (1 + $F48),
    "% of Revenue",SUM(_xlfn._xlws.FILTER(_xlfn._xlws.FILTER(dataSummaryPL,dataSummaryPLSections="Revenue"),(startDates&gt;=CH$4)*(endDates&lt;=CH$5)))*$F48,
    "Custom",0,
    "0",0,
        0
)</f>
        <v>0</v>
      </c>
      <c r="CI48" s="335" cm="1">
        <f t="array" ref="CI48">_xlfn.SWITCH(
    $E48,
    "3 month avg", AVERAGE(CF48:CH48) * (1 + $F48),
    "6 month avg", AVERAGE(CC48:CH48) * (1 + $F48),
    "12 month avg", AVERAGE(BX48:CH48) * (1 + $F48),
    "Prior Month",CH48* (1 + $F48),
    "Prior Year", BW48* (1 + $F48),
    "Monthly assumption",$G48* (1 + $F48),
    "Quarterly assumption",$G48/3* (1 + $F48),
    "Annual assumption",$G48/12* (1 + $F48),
    "% of Revenue",SUM(_xlfn._xlws.FILTER(_xlfn._xlws.FILTER(dataSummaryPL,dataSummaryPLSections="Revenue"),(startDates&gt;=CI$4)*(endDates&lt;=CI$5)))*$F48,
    "Custom",0,
    "0",0,
        0
)</f>
        <v>0</v>
      </c>
      <c r="CJ48" s="335" cm="1">
        <f t="array" ref="CJ48">_xlfn.SWITCH(
    $E48,
    "3 month avg", AVERAGE(CG48:CI48) * (1 + $F48),
    "6 month avg", AVERAGE(CD48:CI48) * (1 + $F48),
    "12 month avg", AVERAGE(BY48:CI48) * (1 + $F48),
    "Prior Month",CI48* (1 + $F48),
    "Prior Year", BX48* (1 + $F48),
    "Monthly assumption",$G48* (1 + $F48),
    "Quarterly assumption",$G48/3* (1 + $F48),
    "Annual assumption",$G48/12* (1 + $F48),
    "% of Revenue",SUM(_xlfn._xlws.FILTER(_xlfn._xlws.FILTER(dataSummaryPL,dataSummaryPLSections="Revenue"),(startDates&gt;=CJ$4)*(endDates&lt;=CJ$5)))*$F48,
    "Custom",0,
    "0",0,
        0
)</f>
        <v>0</v>
      </c>
    </row>
    <row r="49" spans="3:88" outlineLevel="2">
      <c r="C49" s="283"/>
      <c r="D49" s="288" t="s">
        <v>239</v>
      </c>
      <c r="E49" s="280" t="s">
        <v>354</v>
      </c>
      <c r="F49" s="332">
        <v>0.05</v>
      </c>
      <c r="G49" s="332"/>
      <c r="H49" s="277" t="str">
        <f>IFERROR(INDEX(PBC_ACCOUNT_LIST[Drivers Section],MATCH(Drivers!L49,PBC_ACCOUNT_LIST[Id],0)),"")</f>
        <v>Opex</v>
      </c>
      <c r="I49" s="277" t="str">
        <f>IFERROR(INDEX(PBC_ACCOUNT_LIST[Summary Grouping],MATCH(Drivers!L49,PBC_ACCOUNT_LIST[Id],0)),"")</f>
        <v>Travel &amp; Entertainment</v>
      </c>
      <c r="J49" s="277">
        <f>IFERROR(INDEX(PBC_ACCOUNT_LIST[Cash Flow Section],MATCH(Drivers!L49,PBC_ACCOUNT_LIST[Id],0)),"")</f>
        <v>0</v>
      </c>
      <c r="K49" s="278" t="s">
        <v>106</v>
      </c>
      <c r="L49" s="277">
        <v>185</v>
      </c>
      <c r="M49" s="276"/>
      <c r="O49" s="272"/>
      <c r="P49" s="289">
        <f t="shared" si="44"/>
        <v>12947</v>
      </c>
      <c r="Q49" s="289">
        <f t="shared" si="44"/>
        <v>23739</v>
      </c>
      <c r="R49" s="289">
        <f t="shared" si="44"/>
        <v>41740.368500000004</v>
      </c>
      <c r="S49" s="289">
        <f t="shared" si="44"/>
        <v>54513.784561517154</v>
      </c>
      <c r="T49" s="289"/>
      <c r="U49" s="289"/>
      <c r="V49" s="289">
        <f t="shared" si="46"/>
        <v>2641</v>
      </c>
      <c r="W49" s="289">
        <f t="shared" si="46"/>
        <v>2927</v>
      </c>
      <c r="X49" s="289">
        <f t="shared" si="46"/>
        <v>3245</v>
      </c>
      <c r="Y49" s="289">
        <f t="shared" si="46"/>
        <v>4134</v>
      </c>
      <c r="Z49" s="289">
        <f t="shared" si="46"/>
        <v>4424</v>
      </c>
      <c r="AA49" s="289">
        <f t="shared" si="46"/>
        <v>5426</v>
      </c>
      <c r="AB49" s="289">
        <f t="shared" si="46"/>
        <v>6661</v>
      </c>
      <c r="AC49" s="289">
        <f t="shared" si="46"/>
        <v>7228</v>
      </c>
      <c r="AD49" s="289">
        <f t="shared" si="46"/>
        <v>8367.23</v>
      </c>
      <c r="AE49" s="289">
        <f t="shared" si="46"/>
        <v>9686.5499999999993</v>
      </c>
      <c r="AF49" s="289">
        <f t="shared" si="46"/>
        <v>11213.21</v>
      </c>
      <c r="AG49" s="289">
        <f t="shared" si="46"/>
        <v>12473.378500000003</v>
      </c>
      <c r="AH49" s="289">
        <f t="shared" si="46"/>
        <v>12731.168359929688</v>
      </c>
      <c r="AI49" s="289">
        <f t="shared" si="46"/>
        <v>13359.270518796562</v>
      </c>
      <c r="AJ49" s="289">
        <f t="shared" si="46"/>
        <v>13913.202971508057</v>
      </c>
      <c r="AK49" s="289">
        <f t="shared" si="46"/>
        <v>14510.142711282851</v>
      </c>
      <c r="AL49" s="333"/>
      <c r="AM49" s="334"/>
      <c r="AN49" s="289">
        <f>SUMIFS(PBC_PROFIT_AND_LOSS[AccountBalance], PBC_PROFIT_AND_LOSS[Id],$L49,PBC_PROFIT_AND_LOSS[Date],AN$5)</f>
        <v>0</v>
      </c>
      <c r="AO49" s="289">
        <f>SUMIFS(PBC_PROFIT_AND_LOSS[AccountBalance], PBC_PROFIT_AND_LOSS[Id],$L49,PBC_PROFIT_AND_LOSS[Date],AO$5)</f>
        <v>850</v>
      </c>
      <c r="AP49" s="289">
        <f>SUMIFS(PBC_PROFIT_AND_LOSS[AccountBalance], PBC_PROFIT_AND_LOSS[Id],$L49,PBC_PROFIT_AND_LOSS[Date],AP$5)</f>
        <v>880</v>
      </c>
      <c r="AQ49" s="289">
        <f>SUMIFS(PBC_PROFIT_AND_LOSS[AccountBalance], PBC_PROFIT_AND_LOSS[Id],$L49,PBC_PROFIT_AND_LOSS[Date],AQ$5)</f>
        <v>911</v>
      </c>
      <c r="AR49" s="289">
        <f>SUMIFS(PBC_PROFIT_AND_LOSS[AccountBalance], PBC_PROFIT_AND_LOSS[Id],$L49,PBC_PROFIT_AND_LOSS[Date],AR$5)</f>
        <v>942</v>
      </c>
      <c r="AS49" s="289">
        <f>SUMIFS(PBC_PROFIT_AND_LOSS[AccountBalance], PBC_PROFIT_AND_LOSS[Id],$L49,PBC_PROFIT_AND_LOSS[Date],AS$5)</f>
        <v>975</v>
      </c>
      <c r="AT49" s="289">
        <f>SUMIFS(PBC_PROFIT_AND_LOSS[AccountBalance], PBC_PROFIT_AND_LOSS[Id],$L49,PBC_PROFIT_AND_LOSS[Date],AT$5)</f>
        <v>1010</v>
      </c>
      <c r="AU49" s="289">
        <f>SUMIFS(PBC_PROFIT_AND_LOSS[AccountBalance], PBC_PROFIT_AND_LOSS[Id],$L49,PBC_PROFIT_AND_LOSS[Date],AU$5)</f>
        <v>1045</v>
      </c>
      <c r="AV49" s="289">
        <f>SUMIFS(PBC_PROFIT_AND_LOSS[AccountBalance], PBC_PROFIT_AND_LOSS[Id],$L49,PBC_PROFIT_AND_LOSS[Date],AV$5)</f>
        <v>1081</v>
      </c>
      <c r="AW49" s="289">
        <f>SUMIFS(PBC_PROFIT_AND_LOSS[AccountBalance], PBC_PROFIT_AND_LOSS[Id],$L49,PBC_PROFIT_AND_LOSS[Date],AW$5)</f>
        <v>1119</v>
      </c>
      <c r="AX49" s="289">
        <f>SUMIFS(PBC_PROFIT_AND_LOSS[AccountBalance], PBC_PROFIT_AND_LOSS[Id],$L49,PBC_PROFIT_AND_LOSS[Date],AX$5)</f>
        <v>1158</v>
      </c>
      <c r="AY49" s="289">
        <f>SUMIFS(PBC_PROFIT_AND_LOSS[AccountBalance], PBC_PROFIT_AND_LOSS[Id],$L49,PBC_PROFIT_AND_LOSS[Date],AY$5)</f>
        <v>1180</v>
      </c>
      <c r="AZ49" s="289">
        <f>SUMIFS(PBC_PROFIT_AND_LOSS[AccountBalance], PBC_PROFIT_AND_LOSS[Id],$L49,PBC_PROFIT_AND_LOSS[Date],AZ$5)</f>
        <v>1796</v>
      </c>
      <c r="BA49" s="289">
        <f>SUMIFS(PBC_PROFIT_AND_LOSS[AccountBalance], PBC_PROFIT_AND_LOSS[Id],$L49,PBC_PROFIT_AND_LOSS[Date],BA$5)</f>
        <v>1238</v>
      </c>
      <c r="BB49" s="289">
        <f>SUMIFS(PBC_PROFIT_AND_LOSS[AccountBalance], PBC_PROFIT_AND_LOSS[Id],$L49,PBC_PROFIT_AND_LOSS[Date],BB$5)</f>
        <v>1886</v>
      </c>
      <c r="BC49" s="289">
        <f>SUMIFS(PBC_PROFIT_AND_LOSS[AccountBalance], PBC_PROFIT_AND_LOSS[Id],$L49,PBC_PROFIT_AND_LOSS[Date],BC$5)</f>
        <v>1300</v>
      </c>
      <c r="BD49" s="289">
        <f>SUMIFS(PBC_PROFIT_AND_LOSS[AccountBalance], PBC_PROFIT_AND_LOSS[Id],$L49,PBC_PROFIT_AND_LOSS[Date],BD$5)</f>
        <v>1981</v>
      </c>
      <c r="BE49" s="289">
        <f>SUMIFS(PBC_PROFIT_AND_LOSS[AccountBalance], PBC_PROFIT_AND_LOSS[Id],$L49,PBC_PROFIT_AND_LOSS[Date],BE$5)</f>
        <v>1365</v>
      </c>
      <c r="BF49" s="289">
        <f>SUMIFS(PBC_PROFIT_AND_LOSS[AccountBalance], PBC_PROFIT_AND_LOSS[Id],$L49,PBC_PROFIT_AND_LOSS[Date],BF$5)</f>
        <v>2080</v>
      </c>
      <c r="BG49" s="289">
        <f>SUMIFS(PBC_PROFIT_AND_LOSS[AccountBalance], PBC_PROFIT_AND_LOSS[Id],$L49,PBC_PROFIT_AND_LOSS[Date],BG$5)</f>
        <v>2184</v>
      </c>
      <c r="BH49" s="289">
        <f>SUMIFS(PBC_PROFIT_AND_LOSS[AccountBalance], PBC_PROFIT_AND_LOSS[Id],$L49,PBC_PROFIT_AND_LOSS[Date],BH$5)</f>
        <v>2184</v>
      </c>
      <c r="BI49" s="289">
        <f>SUMIFS(PBC_PROFIT_AND_LOSS[AccountBalance], PBC_PROFIT_AND_LOSS[Id],$L49,PBC_PROFIT_AND_LOSS[Date],BI$5)</f>
        <v>2293</v>
      </c>
      <c r="BJ49" s="289">
        <f>SUMIFS(PBC_PROFIT_AND_LOSS[AccountBalance], PBC_PROFIT_AND_LOSS[Id],$L49,PBC_PROFIT_AND_LOSS[Date],BJ$5)</f>
        <v>2293</v>
      </c>
      <c r="BK49" s="289">
        <f>SUMIFS(PBC_PROFIT_AND_LOSS[AccountBalance], PBC_PROFIT_AND_LOSS[Id],$L49,PBC_PROFIT_AND_LOSS[Date],BK$5)</f>
        <v>2407</v>
      </c>
      <c r="BL49" s="289">
        <f>SUMIFS(PBC_PROFIT_AND_LOSS[AccountBalance], PBC_PROFIT_AND_LOSS[Id],$L49,PBC_PROFIT_AND_LOSS[Date],BL$5)</f>
        <v>2528</v>
      </c>
      <c r="BM49" s="289">
        <f>SUMIFS(PBC_PROFIT_AND_LOSS[AccountBalance], PBC_PROFIT_AND_LOSS[Id],$L49,PBC_PROFIT_AND_LOSS[Date],BM$5)</f>
        <v>2654.23</v>
      </c>
      <c r="BN49" s="289">
        <f>SUMIFS(PBC_PROFIT_AND_LOSS[AccountBalance], PBC_PROFIT_AND_LOSS[Id],$L49,PBC_PROFIT_AND_LOSS[Date],BN$5)</f>
        <v>2787</v>
      </c>
      <c r="BO49" s="289">
        <f>SUMIFS(PBC_PROFIT_AND_LOSS[AccountBalance], PBC_PROFIT_AND_LOSS[Id],$L49,PBC_PROFIT_AND_LOSS[Date],BO$5)</f>
        <v>2926</v>
      </c>
      <c r="BP49" s="289">
        <f>SUMIFS(PBC_PROFIT_AND_LOSS[AccountBalance], PBC_PROFIT_AND_LOSS[Id],$L49,PBC_PROFIT_AND_LOSS[Date],BP$5)</f>
        <v>3073</v>
      </c>
      <c r="BQ49" s="289">
        <f>SUMIFS(PBC_PROFIT_AND_LOSS[AccountBalance], PBC_PROFIT_AND_LOSS[Id],$L49,PBC_PROFIT_AND_LOSS[Date],BQ$5)</f>
        <v>3226</v>
      </c>
      <c r="BR49" s="289">
        <f>SUMIFS(PBC_PROFIT_AND_LOSS[AccountBalance], PBC_PROFIT_AND_LOSS[Id],$L49,PBC_PROFIT_AND_LOSS[Date],BR$5)</f>
        <v>3387.55</v>
      </c>
      <c r="BS49" s="289">
        <f>SUMIFS(PBC_PROFIT_AND_LOSS[AccountBalance], PBC_PROFIT_AND_LOSS[Id],$L49,PBC_PROFIT_AND_LOSS[Date],BS$5)</f>
        <v>3556.93</v>
      </c>
      <c r="BT49" s="289">
        <f>SUMIFS(PBC_PROFIT_AND_LOSS[AccountBalance], PBC_PROFIT_AND_LOSS[Id],$L49,PBC_PROFIT_AND_LOSS[Date],BT$5)</f>
        <v>3734.77</v>
      </c>
      <c r="BU49" s="289">
        <f>SUMIFS(PBC_PROFIT_AND_LOSS[AccountBalance], PBC_PROFIT_AND_LOSS[Id],$L49,PBC_PROFIT_AND_LOSS[Date],BU$5)</f>
        <v>3921.51</v>
      </c>
      <c r="BV49" s="289">
        <f>SUMIFS(PBC_PROFIT_AND_LOSS[AccountBalance], PBC_PROFIT_AND_LOSS[Id],$L49,PBC_PROFIT_AND_LOSS[Date],BV$5)</f>
        <v>4117.59</v>
      </c>
      <c r="BW49" s="289">
        <f>SUMIFS(PBC_PROFIT_AND_LOSS[AccountBalance], PBC_PROFIT_AND_LOSS[Id],$L49,PBC_PROFIT_AND_LOSS[Date],BW$5)</f>
        <v>4323.47</v>
      </c>
      <c r="BX49" s="335" cm="1">
        <f t="array" ref="BX49">_xlfn.SWITCH(
    $E49,
    "3 month avg", AVERAGE(BU49:BW49) * (1 + $F49),
    "6 month avg", AVERAGE(BR49:BW49) * (1 + $F49),
    "12 month avg", AVERAGE(BM49:BW49) * (1 + $F49),
    "Prior Month",BW49* (1 + $F49),
    "Prior Year", BL49* (1 + $F49),
    "Monthly assumption",$G49* (1 + $F49),
    "Quarterly assumption",$G49/3* (1 + $F49),
    "Annual assumption",$G49/12* (1 + $F49),
    "% of Revenue",SUM(_xlfn._xlws.FILTER(_xlfn._xlws.FILTER(dataSummaryPL,dataSummaryPLSections="Revenue"),(startDates&gt;=BX$4)*(endDates&lt;=BX$5)))*$F49,
    "Custom",0,
    "0",0,
        0
)</f>
        <v>4032.3185000000003</v>
      </c>
      <c r="BY49" s="335" cm="1">
        <f t="array" ref="BY49">_xlfn.SWITCH(
    $E49,
    "3 month avg", AVERAGE(BV49:BX49) * (1 + $F49),
    "6 month avg", AVERAGE(BS49:BX49) * (1 + $F49),
    "12 month avg", AVERAGE(BN49:BX49) * (1 + $F49),
    "Prior Month",BX49* (1 + $F49),
    "Prior Year", BM49* (1 + $F49),
    "Monthly assumption",$G49* (1 + $F49),
    "Quarterly assumption",$G49/3* (1 + $F49),
    "Annual assumption",$G49/12* (1 + $F49),
    "% of Revenue",SUM(_xlfn._xlws.FILTER(_xlfn._xlws.FILTER(dataSummaryPL,dataSummaryPLSections="Revenue"),(startDates&gt;=BY$4)*(endDates&lt;=BY$5)))*$F49,
    "Custom",0,
    "0",0,
        0
)</f>
        <v>4145.1529875000006</v>
      </c>
      <c r="BZ49" s="335" cm="1">
        <f t="array" ref="BZ49">_xlfn.SWITCH(
    $E49,
    "3 month avg", AVERAGE(BW49:BY49) * (1 + $F49),
    "6 month avg", AVERAGE(BT49:BY49) * (1 + $F49),
    "12 month avg", AVERAGE(BO49:BY49) * (1 + $F49),
    "Prior Month",BY49* (1 + $F49),
    "Prior Year", BN49* (1 + $F49),
    "Monthly assumption",$G49* (1 + $F49),
    "Quarterly assumption",$G49/3* (1 + $F49),
    "Annual assumption",$G49/12* (1 + $F49),
    "% of Revenue",SUM(_xlfn._xlws.FILTER(_xlfn._xlws.FILTER(dataSummaryPL,dataSummaryPLSections="Revenue"),(startDates&gt;=BZ$4)*(endDates&lt;=BZ$5)))*$F49,
    "Custom",0,
    "0",0,
        0
)</f>
        <v>4248.0920103125009</v>
      </c>
      <c r="CA49" s="335" cm="1">
        <f t="array" ref="CA49">_xlfn.SWITCH(
    $E49,
    "3 month avg", AVERAGE(BX49:BZ49) * (1 + $F49),
    "6 month avg", AVERAGE(BU49:BZ49) * (1 + $F49),
    "12 month avg", AVERAGE(BP49:BZ49) * (1 + $F49),
    "Prior Month",BZ49* (1 + $F49),
    "Prior Year", BO49* (1 + $F49),
    "Monthly assumption",$G49* (1 + $F49),
    "Quarterly assumption",$G49/3* (1 + $F49),
    "Annual assumption",$G49/12* (1 + $F49),
    "% of Revenue",SUM(_xlfn._xlws.FILTER(_xlfn._xlws.FILTER(dataSummaryPL,dataSummaryPLSections="Revenue"),(startDates&gt;=CA$4)*(endDates&lt;=CA$5)))*$F49,
    "Custom",0,
    "0",0,
        0
)</f>
        <v>4337.9233621171879</v>
      </c>
      <c r="CB49" s="335" cm="1">
        <f t="array" ref="CB49">_xlfn.SWITCH(
    $E49,
    "3 month avg", AVERAGE(BY49:CA49) * (1 + $F49),
    "6 month avg", AVERAGE(BV49:CA49) * (1 + $F49),
    "12 month avg", AVERAGE(BQ49:CA49) * (1 + $F49),
    "Prior Month",CA49* (1 + $F49),
    "Prior Year", BP49* (1 + $F49),
    "Monthly assumption",$G49* (1 + $F49),
    "Quarterly assumption",$G49/3* (1 + $F49),
    "Annual assumption",$G49/12* (1 + $F49),
    "% of Revenue",SUM(_xlfn._xlws.FILTER(_xlfn._xlws.FILTER(dataSummaryPL,dataSummaryPLSections="Revenue"),(startDates&gt;=CB$4)*(endDates&lt;=CB$5)))*$F49,
    "Custom",0,
    "0",0,
        0
)</f>
        <v>4410.7957004876962</v>
      </c>
      <c r="CC49" s="335" cm="1">
        <f t="array" ref="CC49">_xlfn.SWITCH(
    $E49,
    "3 month avg", AVERAGE(BZ49:CB49) * (1 + $F49),
    "6 month avg", AVERAGE(BW49:CB49) * (1 + $F49),
    "12 month avg", AVERAGE(BR49:CB49) * (1 + $F49),
    "Prior Month",CB49* (1 + $F49),
    "Prior Year", BQ49* (1 + $F49),
    "Monthly assumption",$G49* (1 + $F49),
    "Quarterly assumption",$G49/3* (1 + $F49),
    "Annual assumption",$G49/12* (1 + $F49),
    "% of Revenue",SUM(_xlfn._xlws.FILTER(_xlfn._xlws.FILTER(dataSummaryPL,dataSummaryPLSections="Revenue"),(startDates&gt;=CC$4)*(endDates&lt;=CC$5)))*$F49,
    "Custom",0,
    "0",0,
        0
)</f>
        <v>4462.1066980730429</v>
      </c>
      <c r="CD49" s="335" cm="1">
        <f t="array" ref="CD49">_xlfn.SWITCH(
    $E49,
    "3 month avg", AVERAGE(CA49:CC49) * (1 + $F49),
    "6 month avg", AVERAGE(BX49:CC49) * (1 + $F49),
    "12 month avg", AVERAGE(BS49:CC49) * (1 + $F49),
    "Prior Month",CC49* (1 + $F49),
    "Prior Year", BR49* (1 + $F49),
    "Monthly assumption",$G49* (1 + $F49),
    "Quarterly assumption",$G49/3* (1 + $F49),
    "Annual assumption",$G49/12* (1 + $F49),
    "% of Revenue",SUM(_xlfn._xlws.FILTER(_xlfn._xlws.FILTER(dataSummaryPL,dataSummaryPLSections="Revenue"),(startDates&gt;=CD$4)*(endDates&lt;=CD$5)))*$F49,
    "Custom",0,
    "0",0,
        0
)</f>
        <v>4486.3681202358248</v>
      </c>
      <c r="CE49" s="335" cm="1">
        <f t="array" ref="CE49">_xlfn.SWITCH(
    $E49,
    "3 month avg", AVERAGE(CB49:CD49) * (1 + $F49),
    "6 month avg", AVERAGE(BY49:CD49) * (1 + $F49),
    "12 month avg", AVERAGE(BT49:CD49) * (1 + $F49),
    "Prior Month",CD49* (1 + $F49),
    "Prior Year", BS49* (1 + $F49),
    "Monthly assumption",$G49* (1 + $F49),
    "Quarterly assumption",$G49/3* (1 + $F49),
    "Annual assumption",$G49/12* (1 + $F49),
    "% of Revenue",SUM(_xlfn._xlws.FILTER(_xlfn._xlws.FILTER(dataSummaryPL,dataSummaryPLSections="Revenue"),(startDates&gt;=CE$4)*(endDates&lt;=CE$5)))*$F49,
    "Custom",0,
    "0",0,
        0
)</f>
        <v>4565.826803777094</v>
      </c>
      <c r="CF49" s="335" cm="1">
        <f t="array" ref="CF49">_xlfn.SWITCH(
    $E49,
    "3 month avg", AVERAGE(CC49:CE49) * (1 + $F49),
    "6 month avg", AVERAGE(BZ49:CE49) * (1 + $F49),
    "12 month avg", AVERAGE(BU49:CE49) * (1 + $F49),
    "Prior Month",CE49* (1 + $F49),
    "Prior Year", BT49* (1 + $F49),
    "Monthly assumption",$G49* (1 + $F49),
    "Quarterly assumption",$G49/3* (1 + $F49),
    "Annual assumption",$G49/12* (1 + $F49),
    "% of Revenue",SUM(_xlfn._xlws.FILTER(_xlfn._xlws.FILTER(dataSummaryPL,dataSummaryPLSections="Revenue"),(startDates&gt;=CF$4)*(endDates&lt;=CF$5)))*$F49,
    "Custom",0,
    "0",0,
        0
)</f>
        <v>4639.4447216255858</v>
      </c>
      <c r="CG49" s="335" cm="1">
        <f t="array" ref="CG49">_xlfn.SWITCH(
    $E49,
    "3 month avg", AVERAGE(CD49:CF49) * (1 + $F49),
    "6 month avg", AVERAGE(CA49:CF49) * (1 + $F49),
    "12 month avg", AVERAGE(BV49:CF49) * (1 + $F49),
    "Prior Month",CF49* (1 + $F49),
    "Prior Year", BU49* (1 + $F49),
    "Monthly assumption",$G49* (1 + $F49),
    "Quarterly assumption",$G49/3* (1 + $F49),
    "Annual assumption",$G49/12* (1 + $F49),
    "% of Revenue",SUM(_xlfn._xlws.FILTER(_xlfn._xlws.FILTER(dataSummaryPL,dataSummaryPLSections="Revenue"),(startDates&gt;=CG$4)*(endDates&lt;=CG$5)))*$F49,
    "Custom",0,
    "0",0,
        0
)</f>
        <v>4707.9314461053755</v>
      </c>
      <c r="CH49" s="335" cm="1">
        <f t="array" ref="CH49">_xlfn.SWITCH(
    $E49,
    "3 month avg", AVERAGE(CE49:CG49) * (1 + $F49),
    "6 month avg", AVERAGE(CB49:CG49) * (1 + $F49),
    "12 month avg", AVERAGE(BW49:CG49) * (1 + $F49),
    "Prior Month",CG49* (1 + $F49),
    "Prior Year", BV49* (1 + $F49),
    "Monthly assumption",$G49* (1 + $F49),
    "Quarterly assumption",$G49/3* (1 + $F49),
    "Annual assumption",$G49/12* (1 + $F49),
    "% of Revenue",SUM(_xlfn._xlws.FILTER(_xlfn._xlws.FILTER(dataSummaryPL,dataSummaryPLSections="Revenue"),(startDates&gt;=CH$4)*(endDates&lt;=CH$5)))*$F49,
    "Custom",0,
    "0",0,
        0
)</f>
        <v>4772.6828608033084</v>
      </c>
      <c r="CI49" s="335" cm="1">
        <f t="array" ref="CI49">_xlfn.SWITCH(
    $E49,
    "3 month avg", AVERAGE(CF49:CH49) * (1 + $F49),
    "6 month avg", AVERAGE(CC49:CH49) * (1 + $F49),
    "12 month avg", AVERAGE(BX49:CH49) * (1 + $F49),
    "Prior Month",CH49* (1 + $F49),
    "Prior Year", BW49* (1 + $F49),
    "Monthly assumption",$G49* (1 + $F49),
    "Quarterly assumption",$G49/3* (1 + $F49),
    "Annual assumption",$G49/12* (1 + $F49),
    "% of Revenue",SUM(_xlfn._xlws.FILTER(_xlfn._xlws.FILTER(dataSummaryPL,dataSummaryPLSections="Revenue"),(startDates&gt;=CI$4)*(endDates&lt;=CI$5)))*$F49,
    "Custom",0,
    "0",0,
        0
)</f>
        <v>4836.0131138585411</v>
      </c>
      <c r="CJ49" s="335" cm="1">
        <f t="array" ref="CJ49">_xlfn.SWITCH(
    $E49,
    "3 month avg", AVERAGE(CG49:CI49) * (1 + $F49),
    "6 month avg", AVERAGE(CD49:CI49) * (1 + $F49),
    "12 month avg", AVERAGE(BY49:CI49) * (1 + $F49),
    "Prior Month",CI49* (1 + $F49),
    "Prior Year", BX49* (1 + $F49),
    "Monthly assumption",$G49* (1 + $F49),
    "Quarterly assumption",$G49/3* (1 + $F49),
    "Annual assumption",$G49/12* (1 + $F49),
    "% of Revenue",SUM(_xlfn._xlws.FILTER(_xlfn._xlws.FILTER(dataSummaryPL,dataSummaryPLSections="Revenue"),(startDates&gt;=CJ$4)*(endDates&lt;=CJ$5)))*$F49,
    "Custom",0,
    "0",0,
        0
)</f>
        <v>4901.4467366210029</v>
      </c>
    </row>
    <row r="50" spans="3:88" outlineLevel="2">
      <c r="C50" s="283"/>
      <c r="D50" s="288" t="s">
        <v>240</v>
      </c>
      <c r="E50" s="280" t="s">
        <v>354</v>
      </c>
      <c r="F50" s="332">
        <v>0.05</v>
      </c>
      <c r="G50" s="332"/>
      <c r="H50" s="277" t="str">
        <f>IFERROR(INDEX(PBC_ACCOUNT_LIST[Drivers Section],MATCH(Drivers!L50,PBC_ACCOUNT_LIST[Id],0)),"")</f>
        <v>Opex</v>
      </c>
      <c r="I50" s="277" t="str">
        <f>IFERROR(INDEX(PBC_ACCOUNT_LIST[Summary Grouping],MATCH(Drivers!L50,PBC_ACCOUNT_LIST[Id],0)),"")</f>
        <v>Travel &amp; Entertainment</v>
      </c>
      <c r="J50" s="277">
        <f>IFERROR(INDEX(PBC_ACCOUNT_LIST[Cash Flow Section],MATCH(Drivers!L50,PBC_ACCOUNT_LIST[Id],0)),"")</f>
        <v>0</v>
      </c>
      <c r="K50" s="278" t="s">
        <v>106</v>
      </c>
      <c r="L50" s="277">
        <v>186</v>
      </c>
      <c r="M50" s="276"/>
      <c r="O50" s="272"/>
      <c r="P50" s="289">
        <f t="shared" si="44"/>
        <v>10124</v>
      </c>
      <c r="Q50" s="289">
        <f t="shared" si="44"/>
        <v>25460</v>
      </c>
      <c r="R50" s="289">
        <f t="shared" si="44"/>
        <v>45835.423000000003</v>
      </c>
      <c r="S50" s="289">
        <f t="shared" si="44"/>
        <v>59862.957279352318</v>
      </c>
      <c r="T50" s="289"/>
      <c r="U50" s="289"/>
      <c r="V50" s="289">
        <f t="shared" si="46"/>
        <v>1864</v>
      </c>
      <c r="W50" s="289">
        <f t="shared" si="46"/>
        <v>2067</v>
      </c>
      <c r="X50" s="289">
        <f t="shared" si="46"/>
        <v>2291</v>
      </c>
      <c r="Y50" s="289">
        <f t="shared" si="46"/>
        <v>3902</v>
      </c>
      <c r="Z50" s="289">
        <f t="shared" si="46"/>
        <v>4463</v>
      </c>
      <c r="AA50" s="289">
        <f t="shared" si="46"/>
        <v>5745</v>
      </c>
      <c r="AB50" s="289">
        <f t="shared" si="46"/>
        <v>7314</v>
      </c>
      <c r="AC50" s="289">
        <f t="shared" si="46"/>
        <v>7938</v>
      </c>
      <c r="AD50" s="289">
        <f t="shared" si="46"/>
        <v>9187.68</v>
      </c>
      <c r="AE50" s="289">
        <f t="shared" si="46"/>
        <v>10636.9</v>
      </c>
      <c r="AF50" s="289">
        <f t="shared" si="46"/>
        <v>12313.52</v>
      </c>
      <c r="AG50" s="289">
        <f t="shared" si="46"/>
        <v>13697.323</v>
      </c>
      <c r="AH50" s="289">
        <f t="shared" si="46"/>
        <v>13980.419668578126</v>
      </c>
      <c r="AI50" s="289">
        <f t="shared" si="46"/>
        <v>14670.148242043542</v>
      </c>
      <c r="AJ50" s="289">
        <f t="shared" si="46"/>
        <v>15278.438011979481</v>
      </c>
      <c r="AK50" s="289">
        <f t="shared" si="46"/>
        <v>15933.951356751171</v>
      </c>
      <c r="AL50" s="333"/>
      <c r="AM50" s="334"/>
      <c r="AN50" s="289">
        <f>SUMIFS(PBC_PROFIT_AND_LOSS[AccountBalance], PBC_PROFIT_AND_LOSS[Id],$L50,PBC_PROFIT_AND_LOSS[Date],AN$5)</f>
        <v>0</v>
      </c>
      <c r="AO50" s="289">
        <f>SUMIFS(PBC_PROFIT_AND_LOSS[AccountBalance], PBC_PROFIT_AND_LOSS[Id],$L50,PBC_PROFIT_AND_LOSS[Date],AO$5)</f>
        <v>600</v>
      </c>
      <c r="AP50" s="289">
        <f>SUMIFS(PBC_PROFIT_AND_LOSS[AccountBalance], PBC_PROFIT_AND_LOSS[Id],$L50,PBC_PROFIT_AND_LOSS[Date],AP$5)</f>
        <v>621</v>
      </c>
      <c r="AQ50" s="289">
        <f>SUMIFS(PBC_PROFIT_AND_LOSS[AccountBalance], PBC_PROFIT_AND_LOSS[Id],$L50,PBC_PROFIT_AND_LOSS[Date],AQ$5)</f>
        <v>643</v>
      </c>
      <c r="AR50" s="289">
        <f>SUMIFS(PBC_PROFIT_AND_LOSS[AccountBalance], PBC_PROFIT_AND_LOSS[Id],$L50,PBC_PROFIT_AND_LOSS[Date],AR$5)</f>
        <v>665</v>
      </c>
      <c r="AS50" s="289">
        <f>SUMIFS(PBC_PROFIT_AND_LOSS[AccountBalance], PBC_PROFIT_AND_LOSS[Id],$L50,PBC_PROFIT_AND_LOSS[Date],AS$5)</f>
        <v>689</v>
      </c>
      <c r="AT50" s="289">
        <f>SUMIFS(PBC_PROFIT_AND_LOSS[AccountBalance], PBC_PROFIT_AND_LOSS[Id],$L50,PBC_PROFIT_AND_LOSS[Date],AT$5)</f>
        <v>713</v>
      </c>
      <c r="AU50" s="289">
        <f>SUMIFS(PBC_PROFIT_AND_LOSS[AccountBalance], PBC_PROFIT_AND_LOSS[Id],$L50,PBC_PROFIT_AND_LOSS[Date],AU$5)</f>
        <v>738</v>
      </c>
      <c r="AV50" s="289">
        <f>SUMIFS(PBC_PROFIT_AND_LOSS[AccountBalance], PBC_PROFIT_AND_LOSS[Id],$L50,PBC_PROFIT_AND_LOSS[Date],AV$5)</f>
        <v>763</v>
      </c>
      <c r="AW50" s="289">
        <f>SUMIFS(PBC_PROFIT_AND_LOSS[AccountBalance], PBC_PROFIT_AND_LOSS[Id],$L50,PBC_PROFIT_AND_LOSS[Date],AW$5)</f>
        <v>790</v>
      </c>
      <c r="AX50" s="289">
        <f>SUMIFS(PBC_PROFIT_AND_LOSS[AccountBalance], PBC_PROFIT_AND_LOSS[Id],$L50,PBC_PROFIT_AND_LOSS[Date],AX$5)</f>
        <v>818</v>
      </c>
      <c r="AY50" s="289">
        <f>SUMIFS(PBC_PROFIT_AND_LOSS[AccountBalance], PBC_PROFIT_AND_LOSS[Id],$L50,PBC_PROFIT_AND_LOSS[Date],AY$5)</f>
        <v>1111</v>
      </c>
      <c r="AZ50" s="289">
        <f>SUMIFS(PBC_PROFIT_AND_LOSS[AccountBalance], PBC_PROFIT_AND_LOSS[Id],$L50,PBC_PROFIT_AND_LOSS[Date],AZ$5)</f>
        <v>1973</v>
      </c>
      <c r="BA50" s="289">
        <f>SUMIFS(PBC_PROFIT_AND_LOSS[AccountBalance], PBC_PROFIT_AND_LOSS[Id],$L50,PBC_PROFIT_AND_LOSS[Date],BA$5)</f>
        <v>1167</v>
      </c>
      <c r="BB50" s="289">
        <f>SUMIFS(PBC_PROFIT_AND_LOSS[AccountBalance], PBC_PROFIT_AND_LOSS[Id],$L50,PBC_PROFIT_AND_LOSS[Date],BB$5)</f>
        <v>2071</v>
      </c>
      <c r="BC50" s="289">
        <f>SUMIFS(PBC_PROFIT_AND_LOSS[AccountBalance], PBC_PROFIT_AND_LOSS[Id],$L50,PBC_PROFIT_AND_LOSS[Date],BC$5)</f>
        <v>1225</v>
      </c>
      <c r="BD50" s="289">
        <f>SUMIFS(PBC_PROFIT_AND_LOSS[AccountBalance], PBC_PROFIT_AND_LOSS[Id],$L50,PBC_PROFIT_AND_LOSS[Date],BD$5)</f>
        <v>2175</v>
      </c>
      <c r="BE50" s="289">
        <f>SUMIFS(PBC_PROFIT_AND_LOSS[AccountBalance], PBC_PROFIT_AND_LOSS[Id],$L50,PBC_PROFIT_AND_LOSS[Date],BE$5)</f>
        <v>1286</v>
      </c>
      <c r="BF50" s="289">
        <f>SUMIFS(PBC_PROFIT_AND_LOSS[AccountBalance], PBC_PROFIT_AND_LOSS[Id],$L50,PBC_PROFIT_AND_LOSS[Date],BF$5)</f>
        <v>2284</v>
      </c>
      <c r="BG50" s="289">
        <f>SUMIFS(PBC_PROFIT_AND_LOSS[AccountBalance], PBC_PROFIT_AND_LOSS[Id],$L50,PBC_PROFIT_AND_LOSS[Date],BG$5)</f>
        <v>2398</v>
      </c>
      <c r="BH50" s="289">
        <f>SUMIFS(PBC_PROFIT_AND_LOSS[AccountBalance], PBC_PROFIT_AND_LOSS[Id],$L50,PBC_PROFIT_AND_LOSS[Date],BH$5)</f>
        <v>2398</v>
      </c>
      <c r="BI50" s="289">
        <f>SUMIFS(PBC_PROFIT_AND_LOSS[AccountBalance], PBC_PROFIT_AND_LOSS[Id],$L50,PBC_PROFIT_AND_LOSS[Date],BI$5)</f>
        <v>2518</v>
      </c>
      <c r="BJ50" s="289">
        <f>SUMIFS(PBC_PROFIT_AND_LOSS[AccountBalance], PBC_PROFIT_AND_LOSS[Id],$L50,PBC_PROFIT_AND_LOSS[Date],BJ$5)</f>
        <v>2518</v>
      </c>
      <c r="BK50" s="289">
        <f>SUMIFS(PBC_PROFIT_AND_LOSS[AccountBalance], PBC_PROFIT_AND_LOSS[Id],$L50,PBC_PROFIT_AND_LOSS[Date],BK$5)</f>
        <v>2644</v>
      </c>
      <c r="BL50" s="289">
        <f>SUMIFS(PBC_PROFIT_AND_LOSS[AccountBalance], PBC_PROFIT_AND_LOSS[Id],$L50,PBC_PROFIT_AND_LOSS[Date],BL$5)</f>
        <v>2776</v>
      </c>
      <c r="BM50" s="289">
        <f>SUMIFS(PBC_PROFIT_AND_LOSS[AccountBalance], PBC_PROFIT_AND_LOSS[Id],$L50,PBC_PROFIT_AND_LOSS[Date],BM$5)</f>
        <v>2914.68</v>
      </c>
      <c r="BN50" s="289">
        <f>SUMIFS(PBC_PROFIT_AND_LOSS[AccountBalance], PBC_PROFIT_AND_LOSS[Id],$L50,PBC_PROFIT_AND_LOSS[Date],BN$5)</f>
        <v>3060</v>
      </c>
      <c r="BO50" s="289">
        <f>SUMIFS(PBC_PROFIT_AND_LOSS[AccountBalance], PBC_PROFIT_AND_LOSS[Id],$L50,PBC_PROFIT_AND_LOSS[Date],BO$5)</f>
        <v>3213</v>
      </c>
      <c r="BP50" s="289">
        <f>SUMIFS(PBC_PROFIT_AND_LOSS[AccountBalance], PBC_PROFIT_AND_LOSS[Id],$L50,PBC_PROFIT_AND_LOSS[Date],BP$5)</f>
        <v>3374</v>
      </c>
      <c r="BQ50" s="289">
        <f>SUMIFS(PBC_PROFIT_AND_LOSS[AccountBalance], PBC_PROFIT_AND_LOSS[Id],$L50,PBC_PROFIT_AND_LOSS[Date],BQ$5)</f>
        <v>3543</v>
      </c>
      <c r="BR50" s="289">
        <f>SUMIFS(PBC_PROFIT_AND_LOSS[AccountBalance], PBC_PROFIT_AND_LOSS[Id],$L50,PBC_PROFIT_AND_LOSS[Date],BR$5)</f>
        <v>3719.9</v>
      </c>
      <c r="BS50" s="289">
        <f>SUMIFS(PBC_PROFIT_AND_LOSS[AccountBalance], PBC_PROFIT_AND_LOSS[Id],$L50,PBC_PROFIT_AND_LOSS[Date],BS$5)</f>
        <v>3905.95</v>
      </c>
      <c r="BT50" s="289">
        <f>SUMIFS(PBC_PROFIT_AND_LOSS[AccountBalance], PBC_PROFIT_AND_LOSS[Id],$L50,PBC_PROFIT_AND_LOSS[Date],BT$5)</f>
        <v>4101.25</v>
      </c>
      <c r="BU50" s="289">
        <f>SUMIFS(PBC_PROFIT_AND_LOSS[AccountBalance], PBC_PROFIT_AND_LOSS[Id],$L50,PBC_PROFIT_AND_LOSS[Date],BU$5)</f>
        <v>4306.32</v>
      </c>
      <c r="BV50" s="289">
        <f>SUMIFS(PBC_PROFIT_AND_LOSS[AccountBalance], PBC_PROFIT_AND_LOSS[Id],$L50,PBC_PROFIT_AND_LOSS[Date],BV$5)</f>
        <v>4521.63</v>
      </c>
      <c r="BW50" s="289">
        <f>SUMIFS(PBC_PROFIT_AND_LOSS[AccountBalance], PBC_PROFIT_AND_LOSS[Id],$L50,PBC_PROFIT_AND_LOSS[Date],BW$5)</f>
        <v>4747.71</v>
      </c>
      <c r="BX50" s="335" cm="1">
        <f t="array" ref="BX50">_xlfn.SWITCH(
    $E50,
    "3 month avg", AVERAGE(BU50:BW50) * (1 + $F50),
    "6 month avg", AVERAGE(BR50:BW50) * (1 + $F50),
    "12 month avg", AVERAGE(BM50:BW50) * (1 + $F50),
    "Prior Month",BW50* (1 + $F50),
    "Prior Year", BL50* (1 + $F50),
    "Monthly assumption",$G50* (1 + $F50),
    "Quarterly assumption",$G50/3* (1 + $F50),
    "Annual assumption",$G50/12* (1 + $F50),
    "% of Revenue",SUM(_xlfn._xlws.FILTER(_xlfn._xlws.FILTER(dataSummaryPL,dataSummaryPLSections="Revenue"),(startDates&gt;=BX$4)*(endDates&lt;=BX$5)))*$F50,
    "Custom",0,
    "0",0,
        0
)</f>
        <v>4427.9829999999993</v>
      </c>
      <c r="BY50" s="335" cm="1">
        <f t="array" ref="BY50">_xlfn.SWITCH(
    $E50,
    "3 month avg", AVERAGE(BV50:BX50) * (1 + $F50),
    "6 month avg", AVERAGE(BS50:BX50) * (1 + $F50),
    "12 month avg", AVERAGE(BN50:BX50) * (1 + $F50),
    "Prior Month",BX50* (1 + $F50),
    "Prior Year", BM50* (1 + $F50),
    "Monthly assumption",$G50* (1 + $F50),
    "Quarterly assumption",$G50/3* (1 + $F50),
    "Annual assumption",$G50/12* (1 + $F50),
    "% of Revenue",SUM(_xlfn._xlws.FILTER(_xlfn._xlws.FILTER(dataSummaryPL,dataSummaryPLSections="Revenue"),(startDates&gt;=BY$4)*(endDates&lt;=BY$5)))*$F50,
    "Custom",0,
    "0",0,
        0
)</f>
        <v>4551.8975250000003</v>
      </c>
      <c r="BZ50" s="335" cm="1">
        <f t="array" ref="BZ50">_xlfn.SWITCH(
    $E50,
    "3 month avg", AVERAGE(BW50:BY50) * (1 + $F50),
    "6 month avg", AVERAGE(BT50:BY50) * (1 + $F50),
    "12 month avg", AVERAGE(BO50:BY50) * (1 + $F50),
    "Prior Month",BY50* (1 + $F50),
    "Prior Year", BN50* (1 + $F50),
    "Monthly assumption",$G50* (1 + $F50),
    "Quarterly assumption",$G50/3* (1 + $F50),
    "Annual assumption",$G50/12* (1 + $F50),
    "% of Revenue",SUM(_xlfn._xlws.FILTER(_xlfn._xlws.FILTER(dataSummaryPL,dataSummaryPLSections="Revenue"),(startDates&gt;=BZ$4)*(endDates&lt;=BZ$5)))*$F50,
    "Custom",0,
    "0",0,
        0
)</f>
        <v>4664.9383418750003</v>
      </c>
      <c r="CA50" s="335" cm="1">
        <f t="array" ref="CA50">_xlfn.SWITCH(
    $E50,
    "3 month avg", AVERAGE(BX50:BZ50) * (1 + $F50),
    "6 month avg", AVERAGE(BU50:BZ50) * (1 + $F50),
    "12 month avg", AVERAGE(BP50:BZ50) * (1 + $F50),
    "Prior Month",BZ50* (1 + $F50),
    "Prior Year", BO50* (1 + $F50),
    "Monthly assumption",$G50* (1 + $F50),
    "Quarterly assumption",$G50/3* (1 + $F50),
    "Annual assumption",$G50/12* (1 + $F50),
    "% of Revenue",SUM(_xlfn._xlws.FILTER(_xlfn._xlws.FILTER(dataSummaryPL,dataSummaryPLSections="Revenue"),(startDates&gt;=CA$4)*(endDates&lt;=CA$5)))*$F50,
    "Custom",0,
    "0",0,
        0
)</f>
        <v>4763.5838017031256</v>
      </c>
      <c r="CB50" s="335" cm="1">
        <f t="array" ref="CB50">_xlfn.SWITCH(
    $E50,
    "3 month avg", AVERAGE(BY50:CA50) * (1 + $F50),
    "6 month avg", AVERAGE(BV50:CA50) * (1 + $F50),
    "12 month avg", AVERAGE(BQ50:CA50) * (1 + $F50),
    "Prior Month",CA50* (1 + $F50),
    "Prior Year", BP50* (1 + $F50),
    "Monthly assumption",$G50* (1 + $F50),
    "Quarterly assumption",$G50/3* (1 + $F50),
    "Annual assumption",$G50/12* (1 + $F50),
    "% of Revenue",SUM(_xlfn._xlws.FILTER(_xlfn._xlws.FILTER(dataSummaryPL,dataSummaryPLSections="Revenue"),(startDates&gt;=CB$4)*(endDates&lt;=CB$5)))*$F50,
    "Custom",0,
    "0",0,
        0
)</f>
        <v>4843.6049670011726</v>
      </c>
      <c r="CC50" s="335" cm="1">
        <f t="array" ref="CC50">_xlfn.SWITCH(
    $E50,
    "3 month avg", AVERAGE(BZ50:CB50) * (1 + $F50),
    "6 month avg", AVERAGE(BW50:CB50) * (1 + $F50),
    "12 month avg", AVERAGE(BR50:CB50) * (1 + $F50),
    "Prior Month",CB50* (1 + $F50),
    "Prior Year", BQ50* (1 + $F50),
    "Monthly assumption",$G50* (1 + $F50),
    "Quarterly assumption",$G50/3* (1 + $F50),
    "Annual assumption",$G50/12* (1 + $F50),
    "% of Revenue",SUM(_xlfn._xlws.FILTER(_xlfn._xlws.FILTER(dataSummaryPL,dataSummaryPLSections="Revenue"),(startDates&gt;=CC$4)*(endDates&lt;=CC$5)))*$F50,
    "Custom",0,
    "0",0,
        0
)</f>
        <v>4899.9505862263768</v>
      </c>
      <c r="CD50" s="335" cm="1">
        <f t="array" ref="CD50">_xlfn.SWITCH(
    $E50,
    "3 month avg", AVERAGE(CA50:CC50) * (1 + $F50),
    "6 month avg", AVERAGE(BX50:CC50) * (1 + $F50),
    "12 month avg", AVERAGE(BS50:CC50) * (1 + $F50),
    "Prior Month",CC50* (1 + $F50),
    "Prior Year", BR50* (1 + $F50),
    "Monthly assumption",$G50* (1 + $F50),
    "Quarterly assumption",$G50/3* (1 + $F50),
    "Annual assumption",$G50/12* (1 + $F50),
    "% of Revenue",SUM(_xlfn._xlws.FILTER(_xlfn._xlws.FILTER(dataSummaryPL,dataSummaryPLSections="Revenue"),(startDates&gt;=CD$4)*(endDates&lt;=CD$5)))*$F50,
    "Custom",0,
    "0",0,
        0
)</f>
        <v>4926.5926888159929</v>
      </c>
      <c r="CE50" s="335" cm="1">
        <f t="array" ref="CE50">_xlfn.SWITCH(
    $E50,
    "3 month avg", AVERAGE(CB50:CD50) * (1 + $F50),
    "6 month avg", AVERAGE(BY50:CD50) * (1 + $F50),
    "12 month avg", AVERAGE(BT50:CD50) * (1 + $F50),
    "Prior Month",CD50* (1 + $F50),
    "Prior Year", BS50* (1 + $F50),
    "Monthly assumption",$G50* (1 + $F50),
    "Quarterly assumption",$G50/3* (1 + $F50),
    "Annual assumption",$G50/12* (1 + $F50),
    "% of Revenue",SUM(_xlfn._xlws.FILTER(_xlfn._xlws.FILTER(dataSummaryPL,dataSummaryPLSections="Revenue"),(startDates&gt;=CE$4)*(endDates&lt;=CE$5)))*$F50,
    "Custom",0,
    "0",0,
        0
)</f>
        <v>5013.8493843587921</v>
      </c>
      <c r="CF50" s="335" cm="1">
        <f t="array" ref="CF50">_xlfn.SWITCH(
    $E50,
    "3 month avg", AVERAGE(CC50:CE50) * (1 + $F50),
    "6 month avg", AVERAGE(BZ50:CE50) * (1 + $F50),
    "12 month avg", AVERAGE(BU50:CE50) * (1 + $F50),
    "Prior Month",CE50* (1 + $F50),
    "Prior Year", BT50* (1 + $F50),
    "Monthly assumption",$G50* (1 + $F50),
    "Quarterly assumption",$G50/3* (1 + $F50),
    "Annual assumption",$G50/12* (1 + $F50),
    "% of Revenue",SUM(_xlfn._xlws.FILTER(_xlfn._xlws.FILTER(dataSummaryPL,dataSummaryPLSections="Revenue"),(startDates&gt;=CF$4)*(endDates&lt;=CF$5)))*$F50,
    "Custom",0,
    "0",0,
        0
)</f>
        <v>5094.690959746581</v>
      </c>
      <c r="CG50" s="335" cm="1">
        <f t="array" ref="CG50">_xlfn.SWITCH(
    $E50,
    "3 month avg", AVERAGE(CD50:CF50) * (1 + $F50),
    "6 month avg", AVERAGE(CA50:CF50) * (1 + $F50),
    "12 month avg", AVERAGE(BV50:CF50) * (1 + $F50),
    "Prior Month",CF50* (1 + $F50),
    "Prior Year", BU50* (1 + $F50),
    "Monthly assumption",$G50* (1 + $F50),
    "Quarterly assumption",$G50/3* (1 + $F50),
    "Annual assumption",$G50/12* (1 + $F50),
    "% of Revenue",SUM(_xlfn._xlws.FILTER(_xlfn._xlws.FILTER(dataSummaryPL,dataSummaryPLSections="Revenue"),(startDates&gt;=CG$4)*(endDates&lt;=CG$5)))*$F50,
    "Custom",0,
    "0",0,
        0
)</f>
        <v>5169.8976678741074</v>
      </c>
      <c r="CH50" s="335" cm="1">
        <f t="array" ref="CH50">_xlfn.SWITCH(
    $E50,
    "3 month avg", AVERAGE(CE50:CG50) * (1 + $F50),
    "6 month avg", AVERAGE(CB50:CG50) * (1 + $F50),
    "12 month avg", AVERAGE(BW50:CG50) * (1 + $F50),
    "Prior Month",CG50* (1 + $F50),
    "Prior Year", BV50* (1 + $F50),
    "Monthly assumption",$G50* (1 + $F50),
    "Quarterly assumption",$G50/3* (1 + $F50),
    "Annual assumption",$G50/12* (1 + $F50),
    "% of Revenue",SUM(_xlfn._xlws.FILTER(_xlfn._xlws.FILTER(dataSummaryPL,dataSummaryPLSections="Revenue"),(startDates&gt;=CH$4)*(endDates&lt;=CH$5)))*$F50,
    "Custom",0,
    "0",0,
        0
)</f>
        <v>5241.0025944540293</v>
      </c>
      <c r="CI50" s="335" cm="1">
        <f t="array" ref="CI50">_xlfn.SWITCH(
    $E50,
    "3 month avg", AVERAGE(CF50:CH50) * (1 + $F50),
    "6 month avg", AVERAGE(CC50:CH50) * (1 + $F50),
    "12 month avg", AVERAGE(BX50:CH50) * (1 + $F50),
    "Prior Month",CH50* (1 + $F50),
    "Prior Year", BW50* (1 + $F50),
    "Monthly assumption",$G50* (1 + $F50),
    "Quarterly assumption",$G50/3* (1 + $F50),
    "Annual assumption",$G50/12* (1 + $F50),
    "% of Revenue",SUM(_xlfn._xlws.FILTER(_xlfn._xlws.FILTER(dataSummaryPL,dataSummaryPLSections="Revenue"),(startDates&gt;=CI$4)*(endDates&lt;=CI$5)))*$F50,
    "Custom",0,
    "0",0,
        0
)</f>
        <v>5310.5471792582794</v>
      </c>
      <c r="CJ50" s="335" cm="1">
        <f t="array" ref="CJ50">_xlfn.SWITCH(
    $E50,
    "3 month avg", AVERAGE(CG50:CI50) * (1 + $F50),
    "6 month avg", AVERAGE(CD50:CI50) * (1 + $F50),
    "12 month avg", AVERAGE(BY50:CI50) * (1 + $F50),
    "Prior Month",CI50* (1 + $F50),
    "Prior Year", BX50* (1 + $F50),
    "Monthly assumption",$G50* (1 + $F50),
    "Quarterly assumption",$G50/3* (1 + $F50),
    "Annual assumption",$G50/12* (1 + $F50),
    "% of Revenue",SUM(_xlfn._xlws.FILTER(_xlfn._xlws.FILTER(dataSummaryPL,dataSummaryPLSections="Revenue"),(startDates&gt;=CJ$4)*(endDates&lt;=CJ$5)))*$F50,
    "Custom",0,
    "0",0,
        0
)</f>
        <v>5382.4015830388626</v>
      </c>
    </row>
    <row r="51" spans="3:88" outlineLevel="2">
      <c r="C51" s="283"/>
      <c r="D51" s="288" t="s">
        <v>241</v>
      </c>
      <c r="E51" s="280" t="s">
        <v>354</v>
      </c>
      <c r="F51" s="332">
        <v>0.05</v>
      </c>
      <c r="G51" s="332"/>
      <c r="H51" s="277" t="str">
        <f>IFERROR(INDEX(PBC_ACCOUNT_LIST[Drivers Section],MATCH(Drivers!L51,PBC_ACCOUNT_LIST[Id],0)),"")</f>
        <v>Opex</v>
      </c>
      <c r="I51" s="277" t="str">
        <f>IFERROR(INDEX(PBC_ACCOUNT_LIST[Summary Grouping],MATCH(Drivers!L51,PBC_ACCOUNT_LIST[Id],0)),"")</f>
        <v>Travel &amp; Entertainment</v>
      </c>
      <c r="J51" s="277">
        <f>IFERROR(INDEX(PBC_ACCOUNT_LIST[Cash Flow Section],MATCH(Drivers!L51,PBC_ACCOUNT_LIST[Id],0)),"")</f>
        <v>0</v>
      </c>
      <c r="K51" s="278" t="s">
        <v>106</v>
      </c>
      <c r="L51" s="277">
        <v>205</v>
      </c>
      <c r="M51" s="276"/>
      <c r="O51" s="272"/>
      <c r="P51" s="289">
        <f t="shared" si="44"/>
        <v>4295.5</v>
      </c>
      <c r="Q51" s="289">
        <f t="shared" si="44"/>
        <v>10437</v>
      </c>
      <c r="R51" s="289">
        <f t="shared" si="44"/>
        <v>17810.973750000001</v>
      </c>
      <c r="S51" s="289">
        <f t="shared" si="44"/>
        <v>23260.8174957827</v>
      </c>
      <c r="T51" s="289"/>
      <c r="U51" s="289"/>
      <c r="V51" s="289">
        <f t="shared" si="46"/>
        <v>777</v>
      </c>
      <c r="W51" s="289">
        <f t="shared" si="46"/>
        <v>861</v>
      </c>
      <c r="X51" s="289">
        <f t="shared" si="46"/>
        <v>954</v>
      </c>
      <c r="Y51" s="289">
        <f t="shared" si="46"/>
        <v>1703.5</v>
      </c>
      <c r="Z51" s="289">
        <f t="shared" si="46"/>
        <v>2089</v>
      </c>
      <c r="AA51" s="289">
        <f t="shared" si="46"/>
        <v>2422</v>
      </c>
      <c r="AB51" s="289">
        <f t="shared" si="46"/>
        <v>2842</v>
      </c>
      <c r="AC51" s="289">
        <f t="shared" si="46"/>
        <v>3084</v>
      </c>
      <c r="AD51" s="289">
        <f t="shared" si="46"/>
        <v>3570.55</v>
      </c>
      <c r="AE51" s="289">
        <f t="shared" si="46"/>
        <v>4133.45</v>
      </c>
      <c r="AF51" s="289">
        <f t="shared" si="46"/>
        <v>4784.63</v>
      </c>
      <c r="AG51" s="289">
        <f t="shared" si="46"/>
        <v>5322.34375</v>
      </c>
      <c r="AH51" s="289">
        <f t="shared" si="46"/>
        <v>5432.3390694726559</v>
      </c>
      <c r="AI51" s="289">
        <f t="shared" si="46"/>
        <v>5700.348692497806</v>
      </c>
      <c r="AJ51" s="289">
        <f t="shared" si="46"/>
        <v>5936.7088484757769</v>
      </c>
      <c r="AK51" s="289">
        <f t="shared" si="46"/>
        <v>6191.4208853364617</v>
      </c>
      <c r="AL51" s="333"/>
      <c r="AM51" s="334"/>
      <c r="AN51" s="289">
        <f>SUMIFS(PBC_PROFIT_AND_LOSS[AccountBalance], PBC_PROFIT_AND_LOSS[Id],$L51,PBC_PROFIT_AND_LOSS[Date],AN$5)</f>
        <v>0</v>
      </c>
      <c r="AO51" s="289">
        <f>SUMIFS(PBC_PROFIT_AND_LOSS[AccountBalance], PBC_PROFIT_AND_LOSS[Id],$L51,PBC_PROFIT_AND_LOSS[Date],AO$5)</f>
        <v>250</v>
      </c>
      <c r="AP51" s="289">
        <f>SUMIFS(PBC_PROFIT_AND_LOSS[AccountBalance], PBC_PROFIT_AND_LOSS[Id],$L51,PBC_PROFIT_AND_LOSS[Date],AP$5)</f>
        <v>259</v>
      </c>
      <c r="AQ51" s="289">
        <f>SUMIFS(PBC_PROFIT_AND_LOSS[AccountBalance], PBC_PROFIT_AND_LOSS[Id],$L51,PBC_PROFIT_AND_LOSS[Date],AQ$5)</f>
        <v>268</v>
      </c>
      <c r="AR51" s="289">
        <f>SUMIFS(PBC_PROFIT_AND_LOSS[AccountBalance], PBC_PROFIT_AND_LOSS[Id],$L51,PBC_PROFIT_AND_LOSS[Date],AR$5)</f>
        <v>277</v>
      </c>
      <c r="AS51" s="289">
        <f>SUMIFS(PBC_PROFIT_AND_LOSS[AccountBalance], PBC_PROFIT_AND_LOSS[Id],$L51,PBC_PROFIT_AND_LOSS[Date],AS$5)</f>
        <v>287</v>
      </c>
      <c r="AT51" s="289">
        <f>SUMIFS(PBC_PROFIT_AND_LOSS[AccountBalance], PBC_PROFIT_AND_LOSS[Id],$L51,PBC_PROFIT_AND_LOSS[Date],AT$5)</f>
        <v>297</v>
      </c>
      <c r="AU51" s="289">
        <f>SUMIFS(PBC_PROFIT_AND_LOSS[AccountBalance], PBC_PROFIT_AND_LOSS[Id],$L51,PBC_PROFIT_AND_LOSS[Date],AU$5)</f>
        <v>307</v>
      </c>
      <c r="AV51" s="289">
        <f>SUMIFS(PBC_PROFIT_AND_LOSS[AccountBalance], PBC_PROFIT_AND_LOSS[Id],$L51,PBC_PROFIT_AND_LOSS[Date],AV$5)</f>
        <v>318</v>
      </c>
      <c r="AW51" s="289">
        <f>SUMIFS(PBC_PROFIT_AND_LOSS[AccountBalance], PBC_PROFIT_AND_LOSS[Id],$L51,PBC_PROFIT_AND_LOSS[Date],AW$5)</f>
        <v>329</v>
      </c>
      <c r="AX51" s="289">
        <f>SUMIFS(PBC_PROFIT_AND_LOSS[AccountBalance], PBC_PROFIT_AND_LOSS[Id],$L51,PBC_PROFIT_AND_LOSS[Date],AX$5)</f>
        <v>341</v>
      </c>
      <c r="AY51" s="289">
        <f>SUMIFS(PBC_PROFIT_AND_LOSS[AccountBalance], PBC_PROFIT_AND_LOSS[Id],$L51,PBC_PROFIT_AND_LOSS[Date],AY$5)</f>
        <v>596</v>
      </c>
      <c r="AZ51" s="289">
        <f>SUMIFS(PBC_PROFIT_AND_LOSS[AccountBalance], PBC_PROFIT_AND_LOSS[Id],$L51,PBC_PROFIT_AND_LOSS[Date],AZ$5)</f>
        <v>766.5</v>
      </c>
      <c r="BA51" s="289">
        <f>SUMIFS(PBC_PROFIT_AND_LOSS[AccountBalance], PBC_PROFIT_AND_LOSS[Id],$L51,PBC_PROFIT_AND_LOSS[Date],BA$5)</f>
        <v>626</v>
      </c>
      <c r="BB51" s="289">
        <f>SUMIFS(PBC_PROFIT_AND_LOSS[AccountBalance], PBC_PROFIT_AND_LOSS[Id],$L51,PBC_PROFIT_AND_LOSS[Date],BB$5)</f>
        <v>805</v>
      </c>
      <c r="BC51" s="289">
        <f>SUMIFS(PBC_PROFIT_AND_LOSS[AccountBalance], PBC_PROFIT_AND_LOSS[Id],$L51,PBC_PROFIT_AND_LOSS[Date],BC$5)</f>
        <v>658</v>
      </c>
      <c r="BD51" s="289">
        <f>SUMIFS(PBC_PROFIT_AND_LOSS[AccountBalance], PBC_PROFIT_AND_LOSS[Id],$L51,PBC_PROFIT_AND_LOSS[Date],BD$5)</f>
        <v>845</v>
      </c>
      <c r="BE51" s="289">
        <f>SUMIFS(PBC_PROFIT_AND_LOSS[AccountBalance], PBC_PROFIT_AND_LOSS[Id],$L51,PBC_PROFIT_AND_LOSS[Date],BE$5)</f>
        <v>690</v>
      </c>
      <c r="BF51" s="289">
        <f>SUMIFS(PBC_PROFIT_AND_LOSS[AccountBalance], PBC_PROFIT_AND_LOSS[Id],$L51,PBC_PROFIT_AND_LOSS[Date],BF$5)</f>
        <v>887</v>
      </c>
      <c r="BG51" s="289">
        <f>SUMIFS(PBC_PROFIT_AND_LOSS[AccountBalance], PBC_PROFIT_AND_LOSS[Id],$L51,PBC_PROFIT_AND_LOSS[Date],BG$5)</f>
        <v>932</v>
      </c>
      <c r="BH51" s="289">
        <f>SUMIFS(PBC_PROFIT_AND_LOSS[AccountBalance], PBC_PROFIT_AND_LOSS[Id],$L51,PBC_PROFIT_AND_LOSS[Date],BH$5)</f>
        <v>932</v>
      </c>
      <c r="BI51" s="289">
        <f>SUMIFS(PBC_PROFIT_AND_LOSS[AccountBalance], PBC_PROFIT_AND_LOSS[Id],$L51,PBC_PROFIT_AND_LOSS[Date],BI$5)</f>
        <v>978</v>
      </c>
      <c r="BJ51" s="289">
        <f>SUMIFS(PBC_PROFIT_AND_LOSS[AccountBalance], PBC_PROFIT_AND_LOSS[Id],$L51,PBC_PROFIT_AND_LOSS[Date],BJ$5)</f>
        <v>978</v>
      </c>
      <c r="BK51" s="289">
        <f>SUMIFS(PBC_PROFIT_AND_LOSS[AccountBalance], PBC_PROFIT_AND_LOSS[Id],$L51,PBC_PROFIT_AND_LOSS[Date],BK$5)</f>
        <v>1027</v>
      </c>
      <c r="BL51" s="289">
        <f>SUMIFS(PBC_PROFIT_AND_LOSS[AccountBalance], PBC_PROFIT_AND_LOSS[Id],$L51,PBC_PROFIT_AND_LOSS[Date],BL$5)</f>
        <v>1079</v>
      </c>
      <c r="BM51" s="289">
        <f>SUMIFS(PBC_PROFIT_AND_LOSS[AccountBalance], PBC_PROFIT_AND_LOSS[Id],$L51,PBC_PROFIT_AND_LOSS[Date],BM$5)</f>
        <v>1132.55</v>
      </c>
      <c r="BN51" s="289">
        <f>SUMIFS(PBC_PROFIT_AND_LOSS[AccountBalance], PBC_PROFIT_AND_LOSS[Id],$L51,PBC_PROFIT_AND_LOSS[Date],BN$5)</f>
        <v>1189</v>
      </c>
      <c r="BO51" s="289">
        <f>SUMIFS(PBC_PROFIT_AND_LOSS[AccountBalance], PBC_PROFIT_AND_LOSS[Id],$L51,PBC_PROFIT_AND_LOSS[Date],BO$5)</f>
        <v>1249</v>
      </c>
      <c r="BP51" s="289">
        <f>SUMIFS(PBC_PROFIT_AND_LOSS[AccountBalance], PBC_PROFIT_AND_LOSS[Id],$L51,PBC_PROFIT_AND_LOSS[Date],BP$5)</f>
        <v>1311</v>
      </c>
      <c r="BQ51" s="289">
        <f>SUMIFS(PBC_PROFIT_AND_LOSS[AccountBalance], PBC_PROFIT_AND_LOSS[Id],$L51,PBC_PROFIT_AND_LOSS[Date],BQ$5)</f>
        <v>1377</v>
      </c>
      <c r="BR51" s="289">
        <f>SUMIFS(PBC_PROFIT_AND_LOSS[AccountBalance], PBC_PROFIT_AND_LOSS[Id],$L51,PBC_PROFIT_AND_LOSS[Date],BR$5)</f>
        <v>1445.45</v>
      </c>
      <c r="BS51" s="289">
        <f>SUMIFS(PBC_PROFIT_AND_LOSS[AccountBalance], PBC_PROFIT_AND_LOSS[Id],$L51,PBC_PROFIT_AND_LOSS[Date],BS$5)</f>
        <v>1517.72</v>
      </c>
      <c r="BT51" s="289">
        <f>SUMIFS(PBC_PROFIT_AND_LOSS[AccountBalance], PBC_PROFIT_AND_LOSS[Id],$L51,PBC_PROFIT_AND_LOSS[Date],BT$5)</f>
        <v>1593.63</v>
      </c>
      <c r="BU51" s="289">
        <f>SUMIFS(PBC_PROFIT_AND_LOSS[AccountBalance], PBC_PROFIT_AND_LOSS[Id],$L51,PBC_PROFIT_AND_LOSS[Date],BU$5)</f>
        <v>1673.28</v>
      </c>
      <c r="BV51" s="289">
        <f>SUMIFS(PBC_PROFIT_AND_LOSS[AccountBalance], PBC_PROFIT_AND_LOSS[Id],$L51,PBC_PROFIT_AND_LOSS[Date],BV$5)</f>
        <v>1756.96</v>
      </c>
      <c r="BW51" s="289">
        <f>SUMIFS(PBC_PROFIT_AND_LOSS[AccountBalance], PBC_PROFIT_AND_LOSS[Id],$L51,PBC_PROFIT_AND_LOSS[Date],BW$5)</f>
        <v>1844.81</v>
      </c>
      <c r="BX51" s="335" cm="1">
        <f t="array" ref="BX51">_xlfn.SWITCH(
    $E51,
    "3 month avg", AVERAGE(BU51:BW51) * (1 + $F51),
    "6 month avg", AVERAGE(BR51:BW51) * (1 + $F51),
    "12 month avg", AVERAGE(BM51:BW51) * (1 + $F51),
    "Prior Month",BW51* (1 + $F51),
    "Prior Year", BL51* (1 + $F51),
    "Monthly assumption",$G51* (1 + $F51),
    "Quarterly assumption",$G51/3* (1 + $F51),
    "Annual assumption",$G51/12* (1 + $F51),
    "% of Revenue",SUM(_xlfn._xlws.FILTER(_xlfn._xlws.FILTER(dataSummaryPL,dataSummaryPLSections="Revenue"),(startDates&gt;=BX$4)*(endDates&lt;=BX$5)))*$F51,
    "Custom",0,
    "0",0,
        0
)</f>
        <v>1720.57375</v>
      </c>
      <c r="BY51" s="335" cm="1">
        <f t="array" ref="BY51">_xlfn.SWITCH(
    $E51,
    "3 month avg", AVERAGE(BV51:BX51) * (1 + $F51),
    "6 month avg", AVERAGE(BS51:BX51) * (1 + $F51),
    "12 month avg", AVERAGE(BN51:BX51) * (1 + $F51),
    "Prior Month",BX51* (1 + $F51),
    "Prior Year", BM51* (1 + $F51),
    "Monthly assumption",$G51* (1 + $F51),
    "Quarterly assumption",$G51/3* (1 + $F51),
    "Annual assumption",$G51/12* (1 + $F51),
    "% of Revenue",SUM(_xlfn._xlws.FILTER(_xlfn._xlws.FILTER(dataSummaryPL,dataSummaryPLSections="Revenue"),(startDates&gt;=BY$4)*(endDates&lt;=BY$5)))*$F51,
    "Custom",0,
    "0",0,
        0
)</f>
        <v>1768.7204062499998</v>
      </c>
      <c r="BZ51" s="335" cm="1">
        <f t="array" ref="BZ51">_xlfn.SWITCH(
    $E51,
    "3 month avg", AVERAGE(BW51:BY51) * (1 + $F51),
    "6 month avg", AVERAGE(BT51:BY51) * (1 + $F51),
    "12 month avg", AVERAGE(BO51:BY51) * (1 + $F51),
    "Prior Month",BY51* (1 + $F51),
    "Prior Year", BN51* (1 + $F51),
    "Monthly assumption",$G51* (1 + $F51),
    "Quarterly assumption",$G51/3* (1 + $F51),
    "Annual assumption",$G51/12* (1 + $F51),
    "% of Revenue",SUM(_xlfn._xlws.FILTER(_xlfn._xlws.FILTER(dataSummaryPL,dataSummaryPLSections="Revenue"),(startDates&gt;=BZ$4)*(endDates&lt;=BZ$5)))*$F51,
    "Custom",0,
    "0",0,
        0
)</f>
        <v>1812.6454773437501</v>
      </c>
      <c r="CA51" s="335" cm="1">
        <f t="array" ref="CA51">_xlfn.SWITCH(
    $E51,
    "3 month avg", AVERAGE(BX51:BZ51) * (1 + $F51),
    "6 month avg", AVERAGE(BU51:BZ51) * (1 + $F51),
    "12 month avg", AVERAGE(BP51:BZ51) * (1 + $F51),
    "Prior Month",BZ51* (1 + $F51),
    "Prior Year", BO51* (1 + $F51),
    "Monthly assumption",$G51* (1 + $F51),
    "Quarterly assumption",$G51/3* (1 + $F51),
    "Annual assumption",$G51/12* (1 + $F51),
    "% of Revenue",SUM(_xlfn._xlws.FILTER(_xlfn._xlws.FILTER(dataSummaryPL,dataSummaryPLSections="Revenue"),(startDates&gt;=CA$4)*(endDates&lt;=CA$5)))*$F51,
    "Custom",0,
    "0",0,
        0
)</f>
        <v>1850.9731858789062</v>
      </c>
      <c r="CB51" s="335" cm="1">
        <f t="array" ref="CB51">_xlfn.SWITCH(
    $E51,
    "3 month avg", AVERAGE(BY51:CA51) * (1 + $F51),
    "6 month avg", AVERAGE(BV51:CA51) * (1 + $F51),
    "12 month avg", AVERAGE(BQ51:CA51) * (1 + $F51),
    "Prior Month",CA51* (1 + $F51),
    "Prior Year", BP51* (1 + $F51),
    "Monthly assumption",$G51* (1 + $F51),
    "Quarterly assumption",$G51/3* (1 + $F51),
    "Annual assumption",$G51/12* (1 + $F51),
    "% of Revenue",SUM(_xlfn._xlws.FILTER(_xlfn._xlws.FILTER(dataSummaryPL,dataSummaryPLSections="Revenue"),(startDates&gt;=CB$4)*(endDates&lt;=CB$5)))*$F51,
    "Custom",0,
    "0",0,
        0
)</f>
        <v>1882.0694934077146</v>
      </c>
      <c r="CC51" s="335" cm="1">
        <f t="array" ref="CC51">_xlfn.SWITCH(
    $E51,
    "3 month avg", AVERAGE(BZ51:CB51) * (1 + $F51),
    "6 month avg", AVERAGE(BW51:CB51) * (1 + $F51),
    "12 month avg", AVERAGE(BR51:CB51) * (1 + $F51),
    "Prior Month",CB51* (1 + $F51),
    "Prior Year", BQ51* (1 + $F51),
    "Monthly assumption",$G51* (1 + $F51),
    "Quarterly assumption",$G51/3* (1 + $F51),
    "Annual assumption",$G51/12* (1 + $F51),
    "% of Revenue",SUM(_xlfn._xlws.FILTER(_xlfn._xlws.FILTER(dataSummaryPL,dataSummaryPLSections="Revenue"),(startDates&gt;=CC$4)*(endDates&lt;=CC$5)))*$F51,
    "Custom",0,
    "0",0,
        0
)</f>
        <v>1903.9636547540649</v>
      </c>
      <c r="CD51" s="335" cm="1">
        <f t="array" ref="CD51">_xlfn.SWITCH(
    $E51,
    "3 month avg", AVERAGE(CA51:CC51) * (1 + $F51),
    "6 month avg", AVERAGE(BX51:CC51) * (1 + $F51),
    "12 month avg", AVERAGE(BS51:CC51) * (1 + $F51),
    "Prior Month",CC51* (1 + $F51),
    "Prior Year", BR51* (1 + $F51),
    "Monthly assumption",$G51* (1 + $F51),
    "Quarterly assumption",$G51/3* (1 + $F51),
    "Annual assumption",$G51/12* (1 + $F51),
    "% of Revenue",SUM(_xlfn._xlws.FILTER(_xlfn._xlws.FILTER(dataSummaryPL,dataSummaryPLSections="Revenue"),(startDates&gt;=CD$4)*(endDates&lt;=CD$5)))*$F51,
    "Custom",0,
    "0",0,
        0
)</f>
        <v>1914.3155443360263</v>
      </c>
      <c r="CE51" s="335" cm="1">
        <f t="array" ref="CE51">_xlfn.SWITCH(
    $E51,
    "3 month avg", AVERAGE(CB51:CD51) * (1 + $F51),
    "6 month avg", AVERAGE(BY51:CD51) * (1 + $F51),
    "12 month avg", AVERAGE(BT51:CD51) * (1 + $F51),
    "Prior Month",CD51* (1 + $F51),
    "Prior Year", BS51* (1 + $F51),
    "Monthly assumption",$G51* (1 + $F51),
    "Quarterly assumption",$G51/3* (1 + $F51),
    "Annual assumption",$G51/12* (1 + $F51),
    "% of Revenue",SUM(_xlfn._xlws.FILTER(_xlfn._xlws.FILTER(dataSummaryPL,dataSummaryPLSections="Revenue"),(startDates&gt;=CE$4)*(endDates&lt;=CE$5)))*$F51,
    "Custom",0,
    "0",0,
        0
)</f>
        <v>1948.2203583448306</v>
      </c>
      <c r="CF51" s="335" cm="1">
        <f t="array" ref="CF51">_xlfn.SWITCH(
    $E51,
    "3 month avg", AVERAGE(CC51:CE51) * (1 + $F51),
    "6 month avg", AVERAGE(BZ51:CE51) * (1 + $F51),
    "12 month avg", AVERAGE(BU51:CE51) * (1 + $F51),
    "Prior Month",CE51* (1 + $F51),
    "Prior Year", BT51* (1 + $F51),
    "Monthly assumption",$G51* (1 + $F51),
    "Quarterly assumption",$G51/3* (1 + $F51),
    "Annual assumption",$G51/12* (1 + $F51),
    "% of Revenue",SUM(_xlfn._xlws.FILTER(_xlfn._xlws.FILTER(dataSummaryPL,dataSummaryPLSections="Revenue"),(startDates&gt;=CF$4)*(endDates&lt;=CF$5)))*$F51,
    "Custom",0,
    "0",0,
        0
)</f>
        <v>1979.6328499614262</v>
      </c>
      <c r="CG51" s="335" cm="1">
        <f t="array" ref="CG51">_xlfn.SWITCH(
    $E51,
    "3 month avg", AVERAGE(CD51:CF51) * (1 + $F51),
    "6 month avg", AVERAGE(CA51:CF51) * (1 + $F51),
    "12 month avg", AVERAGE(BV51:CF51) * (1 + $F51),
    "Prior Month",CF51* (1 + $F51),
    "Prior Year", BU51* (1 + $F51),
    "Monthly assumption",$G51* (1 + $F51),
    "Quarterly assumption",$G51/3* (1 + $F51),
    "Annual assumption",$G51/12* (1 + $F51),
    "% of Revenue",SUM(_xlfn._xlws.FILTER(_xlfn._xlws.FILTER(dataSummaryPL,dataSummaryPLSections="Revenue"),(startDates&gt;=CG$4)*(endDates&lt;=CG$5)))*$F51,
    "Custom",0,
    "0",0,
        0
)</f>
        <v>2008.8556401695198</v>
      </c>
      <c r="CH51" s="335" cm="1">
        <f t="array" ref="CH51">_xlfn.SWITCH(
    $E51,
    "3 month avg", AVERAGE(CE51:CG51) * (1 + $F51),
    "6 month avg", AVERAGE(CB51:CG51) * (1 + $F51),
    "12 month avg", AVERAGE(BW51:CG51) * (1 + $F51),
    "Prior Month",CG51* (1 + $F51),
    "Prior Year", BV51* (1 + $F51),
    "Monthly assumption",$G51* (1 + $F51),
    "Quarterly assumption",$G51/3* (1 + $F51),
    "Annual assumption",$G51/12* (1 + $F51),
    "% of Revenue",SUM(_xlfn._xlws.FILTER(_xlfn._xlws.FILTER(dataSummaryPL,dataSummaryPLSections="Revenue"),(startDates&gt;=CH$4)*(endDates&lt;=CH$5)))*$F51,
    "Custom",0,
    "0",0,
        0
)</f>
        <v>2036.485069670377</v>
      </c>
      <c r="CI51" s="335" cm="1">
        <f t="array" ref="CI51">_xlfn.SWITCH(
    $E51,
    "3 month avg", AVERAGE(CF51:CH51) * (1 + $F51),
    "6 month avg", AVERAGE(CC51:CH51) * (1 + $F51),
    "12 month avg", AVERAGE(BX51:CH51) * (1 + $F51),
    "Prior Month",CH51* (1 + $F51),
    "Prior Year", BW51* (1 + $F51),
    "Monthly assumption",$G51* (1 + $F51),
    "Quarterly assumption",$G51/3* (1 + $F51),
    "Annual assumption",$G51/12* (1 + $F51),
    "% of Revenue",SUM(_xlfn._xlws.FILTER(_xlfn._xlws.FILTER(dataSummaryPL,dataSummaryPLSections="Revenue"),(startDates&gt;=CI$4)*(endDates&lt;=CI$5)))*$F51,
    "Custom",0,
    "0",0,
        0
)</f>
        <v>2063.5077955163429</v>
      </c>
      <c r="CJ51" s="335" cm="1">
        <f t="array" ref="CJ51">_xlfn.SWITCH(
    $E51,
    "3 month avg", AVERAGE(CG51:CI51) * (1 + $F51),
    "6 month avg", AVERAGE(CD51:CI51) * (1 + $F51),
    "12 month avg", AVERAGE(BY51:CI51) * (1 + $F51),
    "Prior Month",CI51* (1 + $F51),
    "Prior Year", BX51* (1 + $F51),
    "Monthly assumption",$G51* (1 + $F51),
    "Quarterly assumption",$G51/3* (1 + $F51),
    "Annual assumption",$G51/12* (1 + $F51),
    "% of Revenue",SUM(_xlfn._xlws.FILTER(_xlfn._xlws.FILTER(dataSummaryPL,dataSummaryPLSections="Revenue"),(startDates&gt;=CJ$4)*(endDates&lt;=CJ$5)))*$F51,
    "Custom",0,
    "0",0,
        0
)</f>
        <v>2091.4280201497418</v>
      </c>
    </row>
    <row r="52" spans="3:88" ht="14.45" customHeight="1" outlineLevel="2">
      <c r="C52" s="283"/>
      <c r="D52" s="288" t="s">
        <v>260</v>
      </c>
      <c r="E52" s="280" t="s">
        <v>354</v>
      </c>
      <c r="F52" s="332">
        <v>0.05</v>
      </c>
      <c r="G52" s="332"/>
      <c r="H52" s="277" t="str">
        <f>IFERROR(INDEX(PBC_ACCOUNT_LIST[Drivers Section],MATCH(Drivers!L52,PBC_ACCOUNT_LIST[Id],0)),"")</f>
        <v>Opex</v>
      </c>
      <c r="I52" s="277" t="str">
        <f>IFERROR(INDEX(PBC_ACCOUNT_LIST[Summary Grouping],MATCH(Drivers!L52,PBC_ACCOUNT_LIST[Id],0)),"")</f>
        <v>G&amp;A</v>
      </c>
      <c r="J52" s="277">
        <f>IFERROR(INDEX(PBC_ACCOUNT_LIST[Cash Flow Section],MATCH(Drivers!L52,PBC_ACCOUNT_LIST[Id],0)),"")</f>
        <v>0</v>
      </c>
      <c r="K52" s="278" t="s">
        <v>106</v>
      </c>
      <c r="L52" s="277">
        <v>206</v>
      </c>
      <c r="M52" s="276"/>
      <c r="O52" s="272"/>
      <c r="P52" s="289">
        <f t="shared" si="44"/>
        <v>0</v>
      </c>
      <c r="Q52" s="289">
        <f t="shared" si="44"/>
        <v>0</v>
      </c>
      <c r="R52" s="289">
        <f t="shared" si="44"/>
        <v>2350</v>
      </c>
      <c r="S52" s="289">
        <f t="shared" si="44"/>
        <v>4364.1865682334301</v>
      </c>
      <c r="T52" s="289"/>
      <c r="U52" s="289"/>
      <c r="V52" s="289">
        <f t="shared" si="46"/>
        <v>0</v>
      </c>
      <c r="W52" s="289">
        <f t="shared" si="46"/>
        <v>0</v>
      </c>
      <c r="X52" s="289">
        <f t="shared" si="46"/>
        <v>0</v>
      </c>
      <c r="Y52" s="289">
        <f t="shared" si="46"/>
        <v>0</v>
      </c>
      <c r="Z52" s="289">
        <f t="shared" si="46"/>
        <v>0</v>
      </c>
      <c r="AA52" s="289">
        <f t="shared" si="46"/>
        <v>0</v>
      </c>
      <c r="AB52" s="289">
        <f t="shared" si="46"/>
        <v>0</v>
      </c>
      <c r="AC52" s="289">
        <f t="shared" si="46"/>
        <v>0</v>
      </c>
      <c r="AD52" s="289">
        <f t="shared" si="46"/>
        <v>0</v>
      </c>
      <c r="AE52" s="289">
        <f t="shared" si="46"/>
        <v>1000</v>
      </c>
      <c r="AF52" s="289">
        <f t="shared" si="46"/>
        <v>0</v>
      </c>
      <c r="AG52" s="289">
        <f t="shared" si="46"/>
        <v>1350</v>
      </c>
      <c r="AH52" s="289">
        <f t="shared" si="46"/>
        <v>840.01640625000005</v>
      </c>
      <c r="AI52" s="289">
        <f t="shared" si="46"/>
        <v>1187.703489782715</v>
      </c>
      <c r="AJ52" s="289">
        <f t="shared" si="46"/>
        <v>1123.2154596829814</v>
      </c>
      <c r="AK52" s="289">
        <f t="shared" si="46"/>
        <v>1213.2512125177334</v>
      </c>
      <c r="AL52" s="333"/>
      <c r="AM52" s="334"/>
      <c r="AN52" s="289">
        <f>SUMIFS(PBC_PROFIT_AND_LOSS[AccountBalance], PBC_PROFIT_AND_LOSS[Id],$L52,PBC_PROFIT_AND_LOSS[Date],AN$5)</f>
        <v>0</v>
      </c>
      <c r="AO52" s="289">
        <f>SUMIFS(PBC_PROFIT_AND_LOSS[AccountBalance], PBC_PROFIT_AND_LOSS[Id],$L52,PBC_PROFIT_AND_LOSS[Date],AO$5)</f>
        <v>0</v>
      </c>
      <c r="AP52" s="289">
        <f>SUMIFS(PBC_PROFIT_AND_LOSS[AccountBalance], PBC_PROFIT_AND_LOSS[Id],$L52,PBC_PROFIT_AND_LOSS[Date],AP$5)</f>
        <v>0</v>
      </c>
      <c r="AQ52" s="289">
        <f>SUMIFS(PBC_PROFIT_AND_LOSS[AccountBalance], PBC_PROFIT_AND_LOSS[Id],$L52,PBC_PROFIT_AND_LOSS[Date],AQ$5)</f>
        <v>0</v>
      </c>
      <c r="AR52" s="289">
        <f>SUMIFS(PBC_PROFIT_AND_LOSS[AccountBalance], PBC_PROFIT_AND_LOSS[Id],$L52,PBC_PROFIT_AND_LOSS[Date],AR$5)</f>
        <v>0</v>
      </c>
      <c r="AS52" s="289">
        <f>SUMIFS(PBC_PROFIT_AND_LOSS[AccountBalance], PBC_PROFIT_AND_LOSS[Id],$L52,PBC_PROFIT_AND_LOSS[Date],AS$5)</f>
        <v>0</v>
      </c>
      <c r="AT52" s="289">
        <f>SUMIFS(PBC_PROFIT_AND_LOSS[AccountBalance], PBC_PROFIT_AND_LOSS[Id],$L52,PBC_PROFIT_AND_LOSS[Date],AT$5)</f>
        <v>0</v>
      </c>
      <c r="AU52" s="289">
        <f>SUMIFS(PBC_PROFIT_AND_LOSS[AccountBalance], PBC_PROFIT_AND_LOSS[Id],$L52,PBC_PROFIT_AND_LOSS[Date],AU$5)</f>
        <v>0</v>
      </c>
      <c r="AV52" s="289">
        <f>SUMIFS(PBC_PROFIT_AND_LOSS[AccountBalance], PBC_PROFIT_AND_LOSS[Id],$L52,PBC_PROFIT_AND_LOSS[Date],AV$5)</f>
        <v>0</v>
      </c>
      <c r="AW52" s="289">
        <f>SUMIFS(PBC_PROFIT_AND_LOSS[AccountBalance], PBC_PROFIT_AND_LOSS[Id],$L52,PBC_PROFIT_AND_LOSS[Date],AW$5)</f>
        <v>0</v>
      </c>
      <c r="AX52" s="289">
        <f>SUMIFS(PBC_PROFIT_AND_LOSS[AccountBalance], PBC_PROFIT_AND_LOSS[Id],$L52,PBC_PROFIT_AND_LOSS[Date],AX$5)</f>
        <v>0</v>
      </c>
      <c r="AY52" s="289">
        <f>SUMIFS(PBC_PROFIT_AND_LOSS[AccountBalance], PBC_PROFIT_AND_LOSS[Id],$L52,PBC_PROFIT_AND_LOSS[Date],AY$5)</f>
        <v>0</v>
      </c>
      <c r="AZ52" s="289">
        <f>SUMIFS(PBC_PROFIT_AND_LOSS[AccountBalance], PBC_PROFIT_AND_LOSS[Id],$L52,PBC_PROFIT_AND_LOSS[Date],AZ$5)</f>
        <v>0</v>
      </c>
      <c r="BA52" s="289">
        <f>SUMIFS(PBC_PROFIT_AND_LOSS[AccountBalance], PBC_PROFIT_AND_LOSS[Id],$L52,PBC_PROFIT_AND_LOSS[Date],BA$5)</f>
        <v>0</v>
      </c>
      <c r="BB52" s="289">
        <f>SUMIFS(PBC_PROFIT_AND_LOSS[AccountBalance], PBC_PROFIT_AND_LOSS[Id],$L52,PBC_PROFIT_AND_LOSS[Date],BB$5)</f>
        <v>0</v>
      </c>
      <c r="BC52" s="289">
        <f>SUMIFS(PBC_PROFIT_AND_LOSS[AccountBalance], PBC_PROFIT_AND_LOSS[Id],$L52,PBC_PROFIT_AND_LOSS[Date],BC$5)</f>
        <v>0</v>
      </c>
      <c r="BD52" s="289">
        <f>SUMIFS(PBC_PROFIT_AND_LOSS[AccountBalance], PBC_PROFIT_AND_LOSS[Id],$L52,PBC_PROFIT_AND_LOSS[Date],BD$5)</f>
        <v>0</v>
      </c>
      <c r="BE52" s="289">
        <f>SUMIFS(PBC_PROFIT_AND_LOSS[AccountBalance], PBC_PROFIT_AND_LOSS[Id],$L52,PBC_PROFIT_AND_LOSS[Date],BE$5)</f>
        <v>0</v>
      </c>
      <c r="BF52" s="289">
        <f>SUMIFS(PBC_PROFIT_AND_LOSS[AccountBalance], PBC_PROFIT_AND_LOSS[Id],$L52,PBC_PROFIT_AND_LOSS[Date],BF$5)</f>
        <v>0</v>
      </c>
      <c r="BG52" s="289">
        <f>SUMIFS(PBC_PROFIT_AND_LOSS[AccountBalance], PBC_PROFIT_AND_LOSS[Id],$L52,PBC_PROFIT_AND_LOSS[Date],BG$5)</f>
        <v>0</v>
      </c>
      <c r="BH52" s="289">
        <f>SUMIFS(PBC_PROFIT_AND_LOSS[AccountBalance], PBC_PROFIT_AND_LOSS[Id],$L52,PBC_PROFIT_AND_LOSS[Date],BH$5)</f>
        <v>0</v>
      </c>
      <c r="BI52" s="289">
        <f>SUMIFS(PBC_PROFIT_AND_LOSS[AccountBalance], PBC_PROFIT_AND_LOSS[Id],$L52,PBC_PROFIT_AND_LOSS[Date],BI$5)</f>
        <v>0</v>
      </c>
      <c r="BJ52" s="289">
        <f>SUMIFS(PBC_PROFIT_AND_LOSS[AccountBalance], PBC_PROFIT_AND_LOSS[Id],$L52,PBC_PROFIT_AND_LOSS[Date],BJ$5)</f>
        <v>0</v>
      </c>
      <c r="BK52" s="289">
        <f>SUMIFS(PBC_PROFIT_AND_LOSS[AccountBalance], PBC_PROFIT_AND_LOSS[Id],$L52,PBC_PROFIT_AND_LOSS[Date],BK$5)</f>
        <v>0</v>
      </c>
      <c r="BL52" s="289">
        <f>SUMIFS(PBC_PROFIT_AND_LOSS[AccountBalance], PBC_PROFIT_AND_LOSS[Id],$L52,PBC_PROFIT_AND_LOSS[Date],BL$5)</f>
        <v>0</v>
      </c>
      <c r="BM52" s="289">
        <f>SUMIFS(PBC_PROFIT_AND_LOSS[AccountBalance], PBC_PROFIT_AND_LOSS[Id],$L52,PBC_PROFIT_AND_LOSS[Date],BM$5)</f>
        <v>0</v>
      </c>
      <c r="BN52" s="289">
        <f>SUMIFS(PBC_PROFIT_AND_LOSS[AccountBalance], PBC_PROFIT_AND_LOSS[Id],$L52,PBC_PROFIT_AND_LOSS[Date],BN$5)</f>
        <v>0</v>
      </c>
      <c r="BO52" s="289">
        <f>SUMIFS(PBC_PROFIT_AND_LOSS[AccountBalance], PBC_PROFIT_AND_LOSS[Id],$L52,PBC_PROFIT_AND_LOSS[Date],BO$5)</f>
        <v>0</v>
      </c>
      <c r="BP52" s="289">
        <f>SUMIFS(PBC_PROFIT_AND_LOSS[AccountBalance], PBC_PROFIT_AND_LOSS[Id],$L52,PBC_PROFIT_AND_LOSS[Date],BP$5)</f>
        <v>0</v>
      </c>
      <c r="BQ52" s="289">
        <f>SUMIFS(PBC_PROFIT_AND_LOSS[AccountBalance], PBC_PROFIT_AND_LOSS[Id],$L52,PBC_PROFIT_AND_LOSS[Date],BQ$5)</f>
        <v>0</v>
      </c>
      <c r="BR52" s="289">
        <f>SUMIFS(PBC_PROFIT_AND_LOSS[AccountBalance], PBC_PROFIT_AND_LOSS[Id],$L52,PBC_PROFIT_AND_LOSS[Date],BR$5)</f>
        <v>1000</v>
      </c>
      <c r="BS52" s="289">
        <f>SUMIFS(PBC_PROFIT_AND_LOSS[AccountBalance], PBC_PROFIT_AND_LOSS[Id],$L52,PBC_PROFIT_AND_LOSS[Date],BS$5)</f>
        <v>0</v>
      </c>
      <c r="BT52" s="289">
        <f>SUMIFS(PBC_PROFIT_AND_LOSS[AccountBalance], PBC_PROFIT_AND_LOSS[Id],$L52,PBC_PROFIT_AND_LOSS[Date],BT$5)</f>
        <v>0</v>
      </c>
      <c r="BU52" s="289">
        <f>SUMIFS(PBC_PROFIT_AND_LOSS[AccountBalance], PBC_PROFIT_AND_LOSS[Id],$L52,PBC_PROFIT_AND_LOSS[Date],BU$5)</f>
        <v>0</v>
      </c>
      <c r="BV52" s="289">
        <f>SUMIFS(PBC_PROFIT_AND_LOSS[AccountBalance], PBC_PROFIT_AND_LOSS[Id],$L52,PBC_PROFIT_AND_LOSS[Date],BV$5)</f>
        <v>0</v>
      </c>
      <c r="BW52" s="289">
        <f>SUMIFS(PBC_PROFIT_AND_LOSS[AccountBalance], PBC_PROFIT_AND_LOSS[Id],$L52,PBC_PROFIT_AND_LOSS[Date],BW$5)</f>
        <v>1000</v>
      </c>
      <c r="BX52" s="335" cm="1">
        <f t="array" ref="BX52">_xlfn.SWITCH(
    $E52,
    "3 month avg", AVERAGE(BU52:BW52) * (1 + $F52),
    "6 month avg", AVERAGE(BR52:BW52) * (1 + $F52),
    "12 month avg", AVERAGE(BM52:BW52) * (1 + $F52),
    "Prior Month",BW52* (1 + $F52),
    "Prior Year", BL52* (1 + $F52),
    "Monthly assumption",$G52* (1 + $F52),
    "Quarterly assumption",$G52/3* (1 + $F52),
    "Annual assumption",$G52/12* (1 + $F52),
    "% of Revenue",SUM(_xlfn._xlws.FILTER(_xlfn._xlws.FILTER(dataSummaryPL,dataSummaryPLSections="Revenue"),(startDates&gt;=BX$4)*(endDates&lt;=BX$5)))*$F52,
    "Custom",0,
    "0",0,
        0
)</f>
        <v>350</v>
      </c>
      <c r="BY52" s="335" cm="1">
        <f t="array" ref="BY52">_xlfn.SWITCH(
    $E52,
    "3 month avg", AVERAGE(BV52:BX52) * (1 + $F52),
    "6 month avg", AVERAGE(BS52:BX52) * (1 + $F52),
    "12 month avg", AVERAGE(BN52:BX52) * (1 + $F52),
    "Prior Month",BX52* (1 + $F52),
    "Prior Year", BM52* (1 + $F52),
    "Monthly assumption",$G52* (1 + $F52),
    "Quarterly assumption",$G52/3* (1 + $F52),
    "Annual assumption",$G52/12* (1 + $F52),
    "% of Revenue",SUM(_xlfn._xlws.FILTER(_xlfn._xlws.FILTER(dataSummaryPL,dataSummaryPLSections="Revenue"),(startDates&gt;=BY$4)*(endDates&lt;=BY$5)))*$F52,
    "Custom",0,
    "0",0,
        0
)</f>
        <v>236.25</v>
      </c>
      <c r="BZ52" s="335" cm="1">
        <f t="array" ref="BZ52">_xlfn.SWITCH(
    $E52,
    "3 month avg", AVERAGE(BW52:BY52) * (1 + $F52),
    "6 month avg", AVERAGE(BT52:BY52) * (1 + $F52),
    "12 month avg", AVERAGE(BO52:BY52) * (1 + $F52),
    "Prior Month",BY52* (1 + $F52),
    "Prior Year", BN52* (1 + $F52),
    "Monthly assumption",$G52* (1 + $F52),
    "Quarterly assumption",$G52/3* (1 + $F52),
    "Annual assumption",$G52/12* (1 + $F52),
    "% of Revenue",SUM(_xlfn._xlws.FILTER(_xlfn._xlws.FILTER(dataSummaryPL,dataSummaryPLSections="Revenue"),(startDates&gt;=BZ$4)*(endDates&lt;=BZ$5)))*$F52,
    "Custom",0,
    "0",0,
        0
)</f>
        <v>277.59375</v>
      </c>
      <c r="CA52" s="335" cm="1">
        <f t="array" ref="CA52">_xlfn.SWITCH(
    $E52,
    "3 month avg", AVERAGE(BX52:BZ52) * (1 + $F52),
    "6 month avg", AVERAGE(BU52:BZ52) * (1 + $F52),
    "12 month avg", AVERAGE(BP52:BZ52) * (1 + $F52),
    "Prior Month",BZ52* (1 + $F52),
    "Prior Year", BO52* (1 + $F52),
    "Monthly assumption",$G52* (1 + $F52),
    "Quarterly assumption",$G52/3* (1 + $F52),
    "Annual assumption",$G52/12* (1 + $F52),
    "% of Revenue",SUM(_xlfn._xlws.FILTER(_xlfn._xlws.FILTER(dataSummaryPL,dataSummaryPLSections="Revenue"),(startDates&gt;=CA$4)*(endDates&lt;=CA$5)))*$F52,
    "Custom",0,
    "0",0,
        0
)</f>
        <v>326.17265624999999</v>
      </c>
      <c r="CB52" s="335" cm="1">
        <f t="array" ref="CB52">_xlfn.SWITCH(
    $E52,
    "3 month avg", AVERAGE(BY52:CA52) * (1 + $F52),
    "6 month avg", AVERAGE(BV52:CA52) * (1 + $F52),
    "12 month avg", AVERAGE(BQ52:CA52) * (1 + $F52),
    "Prior Month",CA52* (1 + $F52),
    "Prior Year", BP52* (1 + $F52),
    "Monthly assumption",$G52* (1 + $F52),
    "Quarterly assumption",$G52/3* (1 + $F52),
    "Annual assumption",$G52/12* (1 + $F52),
    "% of Revenue",SUM(_xlfn._xlws.FILTER(_xlfn._xlws.FILTER(dataSummaryPL,dataSummaryPLSections="Revenue"),(startDates&gt;=CB$4)*(endDates&lt;=CB$5)))*$F52,
    "Custom",0,
    "0",0,
        0
)</f>
        <v>383.25287109375</v>
      </c>
      <c r="CC52" s="335" cm="1">
        <f t="array" ref="CC52">_xlfn.SWITCH(
    $E52,
    "3 month avg", AVERAGE(BZ52:CB52) * (1 + $F52),
    "6 month avg", AVERAGE(BW52:CB52) * (1 + $F52),
    "12 month avg", AVERAGE(BR52:CB52) * (1 + $F52),
    "Prior Month",CB52* (1 + $F52),
    "Prior Year", BQ52* (1 + $F52),
    "Monthly assumption",$G52* (1 + $F52),
    "Quarterly assumption",$G52/3* (1 + $F52),
    "Annual assumption",$G52/12* (1 + $F52),
    "% of Revenue",SUM(_xlfn._xlws.FILTER(_xlfn._xlws.FILTER(dataSummaryPL,dataSummaryPLSections="Revenue"),(startDates&gt;=CC$4)*(endDates&lt;=CC$5)))*$F52,
    "Custom",0,
    "0",0,
        0
)</f>
        <v>450.32212353515627</v>
      </c>
      <c r="CD52" s="335" cm="1">
        <f t="array" ref="CD52">_xlfn.SWITCH(
    $E52,
    "3 month avg", AVERAGE(CA52:CC52) * (1 + $F52),
    "6 month avg", AVERAGE(BX52:CC52) * (1 + $F52),
    "12 month avg", AVERAGE(BS52:CC52) * (1 + $F52),
    "Prior Month",CC52* (1 + $F52),
    "Prior Year", BR52* (1 + $F52),
    "Monthly assumption",$G52* (1 + $F52),
    "Quarterly assumption",$G52/3* (1 + $F52),
    "Annual assumption",$G52/12* (1 + $F52),
    "% of Revenue",SUM(_xlfn._xlws.FILTER(_xlfn._xlws.FILTER(dataSummaryPL,dataSummaryPLSections="Revenue"),(startDates&gt;=CD$4)*(endDates&lt;=CD$5)))*$F52,
    "Custom",0,
    "0",0,
        0
)</f>
        <v>354.12849515380861</v>
      </c>
      <c r="CE52" s="335" cm="1">
        <f t="array" ref="CE52">_xlfn.SWITCH(
    $E52,
    "3 month avg", AVERAGE(CB52:CD52) * (1 + $F52),
    "6 month avg", AVERAGE(BY52:CD52) * (1 + $F52),
    "12 month avg", AVERAGE(BT52:CD52) * (1 + $F52),
    "Prior Month",CD52* (1 + $F52),
    "Prior Year", BS52* (1 + $F52),
    "Monthly assumption",$G52* (1 + $F52),
    "Quarterly assumption",$G52/3* (1 + $F52),
    "Annual assumption",$G52/12* (1 + $F52),
    "% of Revenue",SUM(_xlfn._xlws.FILTER(_xlfn._xlws.FILTER(dataSummaryPL,dataSummaryPLSections="Revenue"),(startDates&gt;=CE$4)*(endDates&lt;=CE$5)))*$F52,
    "Custom",0,
    "0",0,
        0
)</f>
        <v>354.85098180572516</v>
      </c>
      <c r="CF52" s="335" cm="1">
        <f t="array" ref="CF52">_xlfn.SWITCH(
    $E52,
    "3 month avg", AVERAGE(CC52:CE52) * (1 + $F52),
    "6 month avg", AVERAGE(BZ52:CE52) * (1 + $F52),
    "12 month avg", AVERAGE(BU52:CE52) * (1 + $F52),
    "Prior Month",CE52* (1 + $F52),
    "Prior Year", BT52* (1 + $F52),
    "Monthly assumption",$G52* (1 + $F52),
    "Quarterly assumption",$G52/3* (1 + $F52),
    "Annual assumption",$G52/12* (1 + $F52),
    "% of Revenue",SUM(_xlfn._xlws.FILTER(_xlfn._xlws.FILTER(dataSummaryPL,dataSummaryPLSections="Revenue"),(startDates&gt;=CF$4)*(endDates&lt;=CF$5)))*$F52,
    "Custom",0,
    "0",0,
        0
)</f>
        <v>375.606153621727</v>
      </c>
      <c r="CG52" s="335" cm="1">
        <f t="array" ref="CG52">_xlfn.SWITCH(
    $E52,
    "3 month avg", AVERAGE(CD52:CF52) * (1 + $F52),
    "6 month avg", AVERAGE(CA52:CF52) * (1 + $F52),
    "12 month avg", AVERAGE(BV52:CF52) * (1 + $F52),
    "Prior Month",CF52* (1 + $F52),
    "Prior Year", BU52* (1 + $F52),
    "Monthly assumption",$G52* (1 + $F52),
    "Quarterly assumption",$G52/3* (1 + $F52),
    "Annual assumption",$G52/12* (1 + $F52),
    "% of Revenue",SUM(_xlfn._xlws.FILTER(_xlfn._xlws.FILTER(dataSummaryPL,dataSummaryPLSections="Revenue"),(startDates&gt;=CG$4)*(endDates&lt;=CG$5)))*$F52,
    "Custom",0,
    "0",0,
        0
)</f>
        <v>392.75832425552932</v>
      </c>
      <c r="CH52" s="335" cm="1">
        <f t="array" ref="CH52">_xlfn.SWITCH(
    $E52,
    "3 month avg", AVERAGE(CE52:CG52) * (1 + $F52),
    "6 month avg", AVERAGE(CB52:CG52) * (1 + $F52),
    "12 month avg", AVERAGE(BW52:CG52) * (1 + $F52),
    "Prior Month",CG52* (1 + $F52),
    "Prior Year", BV52* (1 + $F52),
    "Monthly assumption",$G52* (1 + $F52),
    "Quarterly assumption",$G52/3* (1 + $F52),
    "Annual assumption",$G52/12* (1 + $F52),
    "% of Revenue",SUM(_xlfn._xlws.FILTER(_xlfn._xlws.FILTER(dataSummaryPL,dataSummaryPLSections="Revenue"),(startDates&gt;=CH$4)*(endDates&lt;=CH$5)))*$F52,
    "Custom",0,
    "0",0,
        0
)</f>
        <v>404.41081615649694</v>
      </c>
      <c r="CI52" s="335" cm="1">
        <f t="array" ref="CI52">_xlfn.SWITCH(
    $E52,
    "3 month avg", AVERAGE(CF52:CH52) * (1 + $F52),
    "6 month avg", AVERAGE(CC52:CH52) * (1 + $F52),
    "12 month avg", AVERAGE(BX52:CH52) * (1 + $F52),
    "Prior Month",CH52* (1 + $F52),
    "Prior Year", BW52* (1 + $F52),
    "Monthly assumption",$G52* (1 + $F52),
    "Quarterly assumption",$G52/3* (1 + $F52),
    "Annual assumption",$G52/12* (1 + $F52),
    "% of Revenue",SUM(_xlfn._xlws.FILTER(_xlfn._xlws.FILTER(dataSummaryPL,dataSummaryPLSections="Revenue"),(startDates&gt;=CI$4)*(endDates&lt;=CI$5)))*$F52,
    "Custom",0,
    "0",0,
        0
)</f>
        <v>408.11345654247754</v>
      </c>
      <c r="CJ52" s="335" cm="1">
        <f t="array" ref="CJ52">_xlfn.SWITCH(
    $E52,
    "3 month avg", AVERAGE(CG52:CI52) * (1 + $F52),
    "6 month avg", AVERAGE(CD52:CI52) * (1 + $F52),
    "12 month avg", AVERAGE(BY52:CI52) * (1 + $F52),
    "Prior Month",CI52* (1 + $F52),
    "Prior Year", BX52* (1 + $F52),
    "Monthly assumption",$G52* (1 + $F52),
    "Quarterly assumption",$G52/3* (1 + $F52),
    "Annual assumption",$G52/12* (1 + $F52),
    "% of Revenue",SUM(_xlfn._xlws.FILTER(_xlfn._xlws.FILTER(dataSummaryPL,dataSummaryPLSections="Revenue"),(startDates&gt;=CJ$4)*(endDates&lt;=CJ$5)))*$F52,
    "Custom",0,
    "0",0,
        0
)</f>
        <v>400.72693981875886</v>
      </c>
    </row>
    <row r="53" spans="3:88" outlineLevel="1">
      <c r="C53" s="283"/>
      <c r="D53" s="288"/>
      <c r="E53" s="280"/>
      <c r="F53" s="279"/>
      <c r="G53" s="279"/>
      <c r="H53" s="277"/>
      <c r="I53" s="277"/>
      <c r="J53" s="277"/>
      <c r="K53" s="278"/>
      <c r="L53" s="277"/>
      <c r="M53" s="276"/>
      <c r="O53" s="272"/>
      <c r="P53" s="286"/>
      <c r="Q53" s="286"/>
      <c r="R53" s="286"/>
      <c r="S53" s="286"/>
      <c r="T53" s="286"/>
      <c r="U53" s="286"/>
      <c r="V53" s="286"/>
      <c r="W53" s="286"/>
      <c r="X53" s="286"/>
      <c r="Y53" s="286"/>
      <c r="Z53" s="286"/>
      <c r="AA53" s="286"/>
      <c r="AB53" s="286"/>
      <c r="AC53" s="286"/>
      <c r="AD53" s="286"/>
      <c r="AE53" s="286"/>
      <c r="AF53" s="286"/>
      <c r="AG53" s="286"/>
      <c r="AH53" s="286"/>
      <c r="AI53" s="286"/>
      <c r="AJ53" s="286"/>
      <c r="AK53" s="286"/>
      <c r="AL53" s="287"/>
      <c r="AM53" s="272"/>
      <c r="AN53" s="286"/>
      <c r="AO53" s="286"/>
      <c r="AP53" s="286"/>
      <c r="AQ53" s="286"/>
      <c r="AR53" s="286"/>
      <c r="AS53" s="286"/>
      <c r="AT53" s="286"/>
      <c r="AU53" s="286"/>
      <c r="AV53" s="286"/>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c r="BW53" s="286"/>
      <c r="BX53" s="286"/>
      <c r="BY53" s="286"/>
      <c r="BZ53" s="286"/>
      <c r="CA53" s="286"/>
      <c r="CB53" s="286"/>
      <c r="CC53" s="286"/>
      <c r="CD53" s="286"/>
      <c r="CE53" s="286"/>
      <c r="CF53" s="286"/>
      <c r="CG53" s="286"/>
      <c r="CH53" s="286"/>
      <c r="CI53" s="286"/>
      <c r="CJ53" s="286"/>
    </row>
    <row r="54" spans="3:88" outlineLevel="1">
      <c r="C54" s="283" t="s">
        <v>128</v>
      </c>
      <c r="D54" s="282"/>
      <c r="E54" s="280"/>
      <c r="F54" s="279"/>
      <c r="G54" s="279"/>
      <c r="H54" s="277"/>
      <c r="I54" s="277"/>
      <c r="J54" s="277"/>
      <c r="K54" s="278"/>
      <c r="L54" s="277"/>
      <c r="M54" s="276"/>
      <c r="O54" s="272"/>
      <c r="P54" s="281">
        <f>P23-P26</f>
        <v>-582681.5</v>
      </c>
      <c r="Q54" s="281">
        <f>Q23-Q26</f>
        <v>-1295531</v>
      </c>
      <c r="R54" s="281">
        <f>R23-R26</f>
        <v>-2364723.3476060606</v>
      </c>
      <c r="S54" s="281">
        <f>S23-S26</f>
        <v>-2513632.6362585789</v>
      </c>
      <c r="T54" s="272"/>
      <c r="U54" s="272"/>
      <c r="V54" s="281">
        <f t="shared" ref="V54:AK54" si="47">V23-V26</f>
        <v>-126765</v>
      </c>
      <c r="W54" s="281">
        <f t="shared" si="47"/>
        <v>-129824.5</v>
      </c>
      <c r="X54" s="281">
        <f t="shared" si="47"/>
        <v>-131034.5</v>
      </c>
      <c r="Y54" s="281">
        <f t="shared" si="47"/>
        <v>-195057.5</v>
      </c>
      <c r="Z54" s="281">
        <f t="shared" si="47"/>
        <v>-213006.5</v>
      </c>
      <c r="AA54" s="281">
        <f t="shared" si="47"/>
        <v>-288657</v>
      </c>
      <c r="AB54" s="281">
        <f t="shared" si="47"/>
        <v>-380699</v>
      </c>
      <c r="AC54" s="281">
        <f t="shared" si="47"/>
        <v>-413168.50000000012</v>
      </c>
      <c r="AD54" s="281">
        <f t="shared" si="47"/>
        <v>-478295.49000000005</v>
      </c>
      <c r="AE54" s="281">
        <f t="shared" si="47"/>
        <v>-546288.79000000015</v>
      </c>
      <c r="AF54" s="281">
        <f t="shared" si="47"/>
        <v>-617761.98999999987</v>
      </c>
      <c r="AG54" s="281">
        <f t="shared" si="47"/>
        <v>-722377.07760606077</v>
      </c>
      <c r="AH54" s="281">
        <f t="shared" si="47"/>
        <v>-541566.34537621867</v>
      </c>
      <c r="AI54" s="281">
        <f t="shared" si="47"/>
        <v>-611583.3248949491</v>
      </c>
      <c r="AJ54" s="281">
        <f t="shared" si="47"/>
        <v>-657293.0905850206</v>
      </c>
      <c r="AK54" s="281">
        <f t="shared" si="47"/>
        <v>-703189.87540239072</v>
      </c>
      <c r="AM54" s="272"/>
      <c r="AN54" s="281">
        <f t="shared" ref="AN54:BS54" si="48">AN23-AN26</f>
        <v>0</v>
      </c>
      <c r="AO54" s="281">
        <f t="shared" si="48"/>
        <v>-41830</v>
      </c>
      <c r="AP54" s="281">
        <f t="shared" si="48"/>
        <v>-42270</v>
      </c>
      <c r="AQ54" s="281">
        <f t="shared" si="48"/>
        <v>-42665</v>
      </c>
      <c r="AR54" s="281">
        <f t="shared" si="48"/>
        <v>-43009.5</v>
      </c>
      <c r="AS54" s="281">
        <f t="shared" si="48"/>
        <v>-43297</v>
      </c>
      <c r="AT54" s="281">
        <f t="shared" si="48"/>
        <v>-43518</v>
      </c>
      <c r="AU54" s="281">
        <f t="shared" si="48"/>
        <v>-43658</v>
      </c>
      <c r="AV54" s="281">
        <f t="shared" si="48"/>
        <v>-43712.5</v>
      </c>
      <c r="AW54" s="281">
        <f t="shared" si="48"/>
        <v>-43664</v>
      </c>
      <c r="AX54" s="281">
        <f t="shared" si="48"/>
        <v>-43503</v>
      </c>
      <c r="AY54" s="281">
        <f t="shared" si="48"/>
        <v>-48865</v>
      </c>
      <c r="AZ54" s="281">
        <f t="shared" si="48"/>
        <v>-102689.5</v>
      </c>
      <c r="BA54" s="281">
        <f t="shared" si="48"/>
        <v>-51309</v>
      </c>
      <c r="BB54" s="281">
        <f t="shared" si="48"/>
        <v>-107824</v>
      </c>
      <c r="BC54" s="281">
        <f t="shared" si="48"/>
        <v>-53873.5</v>
      </c>
      <c r="BD54" s="281">
        <f t="shared" si="48"/>
        <v>-113214.5</v>
      </c>
      <c r="BE54" s="281">
        <f t="shared" si="48"/>
        <v>-56566.5</v>
      </c>
      <c r="BF54" s="281">
        <f t="shared" si="48"/>
        <v>-118876</v>
      </c>
      <c r="BG54" s="281">
        <f t="shared" si="48"/>
        <v>-124820</v>
      </c>
      <c r="BH54" s="281">
        <f t="shared" si="48"/>
        <v>-124819</v>
      </c>
      <c r="BI54" s="281">
        <f t="shared" si="48"/>
        <v>-131060</v>
      </c>
      <c r="BJ54" s="281">
        <f t="shared" si="48"/>
        <v>-131061.00000000001</v>
      </c>
      <c r="BK54" s="281">
        <f t="shared" si="48"/>
        <v>-137614</v>
      </c>
      <c r="BL54" s="281">
        <f t="shared" si="48"/>
        <v>-144493.5</v>
      </c>
      <c r="BM54" s="281">
        <f t="shared" si="48"/>
        <v>-151719.48999999993</v>
      </c>
      <c r="BN54" s="281">
        <f t="shared" si="48"/>
        <v>-159305</v>
      </c>
      <c r="BO54" s="281">
        <f t="shared" si="48"/>
        <v>-167271</v>
      </c>
      <c r="BP54" s="281">
        <f t="shared" si="48"/>
        <v>-175634</v>
      </c>
      <c r="BQ54" s="281">
        <f t="shared" si="48"/>
        <v>-184418</v>
      </c>
      <c r="BR54" s="281">
        <f t="shared" si="48"/>
        <v>-186236.79000000004</v>
      </c>
      <c r="BS54" s="281">
        <f t="shared" si="48"/>
        <v>-197618.62999999995</v>
      </c>
      <c r="BT54" s="281">
        <f t="shared" ref="BT54:CJ54" si="49">BT23-BT26</f>
        <v>-213984.57</v>
      </c>
      <c r="BU54" s="281">
        <f t="shared" si="49"/>
        <v>-206158.79000000004</v>
      </c>
      <c r="BV54" s="281">
        <f t="shared" si="49"/>
        <v>-225366.73000000004</v>
      </c>
      <c r="BW54" s="281">
        <f t="shared" ref="BW54" si="50">BW23-BW26</f>
        <v>-237685.06999999998</v>
      </c>
      <c r="BX54" s="281">
        <f t="shared" si="49"/>
        <v>-259325.27760606055</v>
      </c>
      <c r="BY54" s="281">
        <f t="shared" si="49"/>
        <v>-202313.27415595733</v>
      </c>
      <c r="BZ54" s="281">
        <f t="shared" si="49"/>
        <v>-167373.95085138391</v>
      </c>
      <c r="CA54" s="281">
        <f t="shared" si="49"/>
        <v>-171879.12036887748</v>
      </c>
      <c r="CB54" s="281">
        <f t="shared" si="49"/>
        <v>-200327.66053218342</v>
      </c>
      <c r="CC54" s="281">
        <f t="shared" si="49"/>
        <v>-203162.12821266073</v>
      </c>
      <c r="CD54" s="281">
        <f t="shared" si="49"/>
        <v>-208093.5361501048</v>
      </c>
      <c r="CE54" s="281">
        <f t="shared" si="49"/>
        <v>-215570.56091791109</v>
      </c>
      <c r="CF54" s="281">
        <f t="shared" si="49"/>
        <v>-219183.00733661477</v>
      </c>
      <c r="CG54" s="281">
        <f t="shared" si="49"/>
        <v>-222539.52233049477</v>
      </c>
      <c r="CH54" s="281">
        <f t="shared" si="49"/>
        <v>-225692.24241700704</v>
      </c>
      <c r="CI54" s="281">
        <f t="shared" si="49"/>
        <v>-228726.29564700986</v>
      </c>
      <c r="CJ54" s="281">
        <f t="shared" si="49"/>
        <v>-248771.337338374</v>
      </c>
    </row>
    <row r="55" spans="3:88" outlineLevel="1">
      <c r="C55" s="283"/>
      <c r="D55" s="288"/>
      <c r="E55" s="280"/>
      <c r="F55" s="279"/>
      <c r="G55" s="279"/>
      <c r="H55" s="277"/>
      <c r="I55" s="277"/>
      <c r="J55" s="277"/>
      <c r="K55" s="278"/>
      <c r="L55" s="277"/>
      <c r="M55" s="276"/>
      <c r="O55" s="272"/>
      <c r="P55" s="272"/>
      <c r="Q55" s="272"/>
      <c r="R55" s="272"/>
      <c r="S55" s="272"/>
      <c r="T55" s="272"/>
      <c r="U55" s="272"/>
      <c r="V55" s="287"/>
      <c r="W55" s="287"/>
      <c r="X55" s="287"/>
      <c r="Y55" s="287"/>
      <c r="Z55" s="287"/>
      <c r="AA55" s="287"/>
      <c r="AB55" s="287"/>
      <c r="AC55" s="287"/>
      <c r="AD55" s="287"/>
      <c r="AE55" s="287"/>
      <c r="AF55" s="287"/>
      <c r="AG55" s="287"/>
      <c r="AH55" s="287"/>
      <c r="AI55" s="287"/>
      <c r="AJ55" s="287"/>
      <c r="AK55" s="287"/>
      <c r="AL55" s="287"/>
      <c r="AM55" s="272"/>
      <c r="AN55" s="286"/>
      <c r="AO55" s="286"/>
      <c r="AP55" s="286"/>
      <c r="AQ55" s="286"/>
      <c r="AR55" s="286"/>
      <c r="AS55" s="286"/>
      <c r="AT55" s="286"/>
      <c r="AU55" s="286"/>
      <c r="AV55" s="286"/>
      <c r="AW55" s="286"/>
      <c r="AX55" s="286"/>
      <c r="AY55" s="286"/>
      <c r="AZ55" s="286"/>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c r="BW55" s="286"/>
      <c r="BX55" s="286"/>
      <c r="BY55" s="286"/>
      <c r="BZ55" s="286"/>
      <c r="CA55" s="286"/>
      <c r="CB55" s="286"/>
      <c r="CC55" s="286"/>
      <c r="CD55" s="286"/>
      <c r="CE55" s="286"/>
      <c r="CF55" s="286"/>
      <c r="CG55" s="286"/>
      <c r="CH55" s="286"/>
      <c r="CI55" s="286"/>
      <c r="CJ55" s="286"/>
    </row>
    <row r="56" spans="3:88" ht="17.100000000000001" customHeight="1" outlineLevel="1">
      <c r="C56" s="283" t="s">
        <v>130</v>
      </c>
      <c r="D56" s="282"/>
      <c r="E56" s="280"/>
      <c r="F56" s="279"/>
      <c r="G56" s="279"/>
      <c r="H56" s="277"/>
      <c r="I56" s="277"/>
      <c r="J56" s="277"/>
      <c r="K56" s="278"/>
      <c r="L56" s="277"/>
      <c r="M56" s="276"/>
      <c r="O56" s="272"/>
      <c r="P56" s="281">
        <f>SUM(P57:P60)</f>
        <v>0</v>
      </c>
      <c r="Q56" s="281">
        <f>SUM(Q57:Q60)</f>
        <v>0</v>
      </c>
      <c r="R56" s="281">
        <f>SUM(R57:R60)</f>
        <v>0</v>
      </c>
      <c r="S56" s="281">
        <f>SUM(S57:S60)</f>
        <v>0</v>
      </c>
      <c r="T56" s="272"/>
      <c r="U56" s="272"/>
      <c r="V56" s="281">
        <f t="shared" ref="V56:AK56" si="51">SUM(V57:V60)</f>
        <v>0</v>
      </c>
      <c r="W56" s="281">
        <f t="shared" si="51"/>
        <v>0</v>
      </c>
      <c r="X56" s="281">
        <f t="shared" si="51"/>
        <v>0</v>
      </c>
      <c r="Y56" s="281">
        <f t="shared" si="51"/>
        <v>0</v>
      </c>
      <c r="Z56" s="281">
        <f t="shared" si="51"/>
        <v>0</v>
      </c>
      <c r="AA56" s="281">
        <f t="shared" si="51"/>
        <v>0</v>
      </c>
      <c r="AB56" s="281">
        <f t="shared" si="51"/>
        <v>0</v>
      </c>
      <c r="AC56" s="281">
        <f t="shared" si="51"/>
        <v>0</v>
      </c>
      <c r="AD56" s="281">
        <f t="shared" si="51"/>
        <v>0</v>
      </c>
      <c r="AE56" s="281">
        <f t="shared" si="51"/>
        <v>0</v>
      </c>
      <c r="AF56" s="281">
        <f t="shared" si="51"/>
        <v>0</v>
      </c>
      <c r="AG56" s="281">
        <f t="shared" si="51"/>
        <v>0</v>
      </c>
      <c r="AH56" s="281">
        <f t="shared" si="51"/>
        <v>0</v>
      </c>
      <c r="AI56" s="281">
        <f t="shared" si="51"/>
        <v>0</v>
      </c>
      <c r="AJ56" s="281">
        <f t="shared" si="51"/>
        <v>0</v>
      </c>
      <c r="AK56" s="281">
        <f t="shared" si="51"/>
        <v>0</v>
      </c>
      <c r="AM56" s="272"/>
      <c r="AN56" s="281">
        <f t="shared" ref="AN56:BS56" si="52">IF(AN$5&lt;=LatestMonthOfActuals,SUMIFS(AN57:AN60,$K57:$K60,"Account"),SUMIFS(AN57:AN60,$K57:$K60,"&lt;&gt;Sub-Account"))</f>
        <v>0</v>
      </c>
      <c r="AO56" s="281">
        <f t="shared" si="52"/>
        <v>0</v>
      </c>
      <c r="AP56" s="281">
        <f t="shared" si="52"/>
        <v>0</v>
      </c>
      <c r="AQ56" s="281">
        <f t="shared" si="52"/>
        <v>0</v>
      </c>
      <c r="AR56" s="281">
        <f t="shared" si="52"/>
        <v>0</v>
      </c>
      <c r="AS56" s="281">
        <f t="shared" si="52"/>
        <v>0</v>
      </c>
      <c r="AT56" s="281">
        <f t="shared" si="52"/>
        <v>0</v>
      </c>
      <c r="AU56" s="281">
        <f t="shared" si="52"/>
        <v>0</v>
      </c>
      <c r="AV56" s="281">
        <f t="shared" si="52"/>
        <v>0</v>
      </c>
      <c r="AW56" s="281">
        <f t="shared" si="52"/>
        <v>0</v>
      </c>
      <c r="AX56" s="281">
        <f t="shared" si="52"/>
        <v>0</v>
      </c>
      <c r="AY56" s="281">
        <f t="shared" si="52"/>
        <v>0</v>
      </c>
      <c r="AZ56" s="281">
        <f t="shared" si="52"/>
        <v>0</v>
      </c>
      <c r="BA56" s="281">
        <f t="shared" si="52"/>
        <v>0</v>
      </c>
      <c r="BB56" s="281">
        <f t="shared" si="52"/>
        <v>0</v>
      </c>
      <c r="BC56" s="281">
        <f t="shared" si="52"/>
        <v>0</v>
      </c>
      <c r="BD56" s="281">
        <f t="shared" si="52"/>
        <v>0</v>
      </c>
      <c r="BE56" s="281">
        <f t="shared" si="52"/>
        <v>0</v>
      </c>
      <c r="BF56" s="281">
        <f t="shared" si="52"/>
        <v>0</v>
      </c>
      <c r="BG56" s="281">
        <f t="shared" si="52"/>
        <v>0</v>
      </c>
      <c r="BH56" s="281">
        <f t="shared" si="52"/>
        <v>0</v>
      </c>
      <c r="BI56" s="281">
        <f t="shared" si="52"/>
        <v>0</v>
      </c>
      <c r="BJ56" s="281">
        <f t="shared" si="52"/>
        <v>0</v>
      </c>
      <c r="BK56" s="281">
        <f t="shared" si="52"/>
        <v>0</v>
      </c>
      <c r="BL56" s="281">
        <f t="shared" si="52"/>
        <v>0</v>
      </c>
      <c r="BM56" s="281">
        <f t="shared" si="52"/>
        <v>0</v>
      </c>
      <c r="BN56" s="281">
        <f t="shared" si="52"/>
        <v>0</v>
      </c>
      <c r="BO56" s="281">
        <f t="shared" si="52"/>
        <v>0</v>
      </c>
      <c r="BP56" s="281">
        <f t="shared" si="52"/>
        <v>0</v>
      </c>
      <c r="BQ56" s="281">
        <f t="shared" si="52"/>
        <v>0</v>
      </c>
      <c r="BR56" s="281">
        <f t="shared" si="52"/>
        <v>0</v>
      </c>
      <c r="BS56" s="281">
        <f t="shared" si="52"/>
        <v>0</v>
      </c>
      <c r="BT56" s="281">
        <f t="shared" ref="BT56:BV56" si="53">IF(BT$5&lt;=LatestMonthOfActuals,SUMIFS(BT57:BT60,$K57:$K60,"Account"),SUMIFS(BT57:BT60,$K57:$K60,"&lt;&gt;Sub-Account"))</f>
        <v>0</v>
      </c>
      <c r="BU56" s="281">
        <f t="shared" si="53"/>
        <v>0</v>
      </c>
      <c r="BV56" s="281">
        <f t="shared" si="53"/>
        <v>0</v>
      </c>
      <c r="BW56" s="281">
        <f t="shared" ref="BW56" si="54">IF(BW$5&lt;=LatestMonthOfActuals,SUMIFS(BW57:BW60,$K57:$K60,"Account"),SUMIFS(BW57:BW60,$K57:$K60,"&lt;&gt;Sub-Account"))</f>
        <v>0</v>
      </c>
      <c r="BX56" s="281">
        <f t="shared" ref="BX56:CJ56" si="55">IF(BX$5&lt;=LatestMonthOfActuals,SUMIFS(BX57:BX60,$K57:$K60,"Account"),SUMIFS(BX57:BX60,$K57:$K60,"&lt;&gt;Sub-Account"))</f>
        <v>0</v>
      </c>
      <c r="BY56" s="281">
        <f t="shared" si="55"/>
        <v>0</v>
      </c>
      <c r="BZ56" s="281">
        <f t="shared" si="55"/>
        <v>0</v>
      </c>
      <c r="CA56" s="281">
        <f t="shared" si="55"/>
        <v>0</v>
      </c>
      <c r="CB56" s="281">
        <f t="shared" si="55"/>
        <v>0</v>
      </c>
      <c r="CC56" s="281">
        <f t="shared" si="55"/>
        <v>0</v>
      </c>
      <c r="CD56" s="281">
        <f t="shared" si="55"/>
        <v>0</v>
      </c>
      <c r="CE56" s="281">
        <f t="shared" si="55"/>
        <v>0</v>
      </c>
      <c r="CF56" s="281">
        <f t="shared" si="55"/>
        <v>0</v>
      </c>
      <c r="CG56" s="281">
        <f t="shared" si="55"/>
        <v>0</v>
      </c>
      <c r="CH56" s="281">
        <f t="shared" si="55"/>
        <v>0</v>
      </c>
      <c r="CI56" s="281">
        <f t="shared" si="55"/>
        <v>0</v>
      </c>
      <c r="CJ56" s="281">
        <f t="shared" si="55"/>
        <v>0</v>
      </c>
    </row>
    <row r="57" spans="3:88" ht="5.25" customHeight="1" outlineLevel="2">
      <c r="C57" s="283"/>
      <c r="D57" s="288"/>
      <c r="E57" s="280"/>
      <c r="F57" s="279"/>
      <c r="G57" s="279"/>
      <c r="H57" s="277"/>
      <c r="I57" s="277"/>
      <c r="J57" s="277"/>
      <c r="K57" s="278"/>
      <c r="L57" s="277"/>
      <c r="M57" s="276"/>
      <c r="O57" s="272"/>
      <c r="P57" s="272"/>
      <c r="Q57" s="272"/>
      <c r="R57" s="272"/>
      <c r="S57" s="272"/>
      <c r="T57" s="272"/>
      <c r="U57" s="272"/>
      <c r="V57" s="287"/>
      <c r="W57" s="287"/>
      <c r="X57" s="287"/>
      <c r="Y57" s="287"/>
      <c r="Z57" s="287"/>
      <c r="AA57" s="287"/>
      <c r="AB57" s="287"/>
      <c r="AC57" s="287"/>
      <c r="AD57" s="287"/>
      <c r="AE57" s="287"/>
      <c r="AF57" s="287"/>
      <c r="AG57" s="287"/>
      <c r="AH57" s="287"/>
      <c r="AI57" s="287"/>
      <c r="AJ57" s="287"/>
      <c r="AK57" s="287"/>
      <c r="AL57" s="287"/>
      <c r="AM57" s="272"/>
      <c r="AN57" s="286"/>
      <c r="AO57" s="286"/>
      <c r="AP57" s="286"/>
      <c r="AQ57" s="286"/>
      <c r="AR57" s="286"/>
      <c r="AS57" s="286"/>
      <c r="AT57" s="286"/>
      <c r="AU57" s="286"/>
      <c r="AV57" s="286"/>
      <c r="AW57" s="286"/>
      <c r="AX57" s="286"/>
      <c r="AY57" s="286"/>
      <c r="AZ57" s="286"/>
      <c r="BA57" s="286"/>
      <c r="BB57" s="286"/>
      <c r="BC57" s="286"/>
      <c r="BD57" s="286"/>
      <c r="BE57" s="286"/>
      <c r="BF57" s="286"/>
      <c r="BG57" s="286"/>
      <c r="BH57" s="286"/>
      <c r="BI57" s="286"/>
      <c r="BJ57" s="286"/>
      <c r="BK57" s="286"/>
      <c r="BL57" s="286"/>
      <c r="BM57" s="286"/>
      <c r="BN57" s="286"/>
      <c r="BO57" s="286"/>
      <c r="BP57" s="286"/>
      <c r="BQ57" s="286"/>
      <c r="BR57" s="286"/>
      <c r="BS57" s="286"/>
      <c r="BT57" s="286"/>
      <c r="BU57" s="286"/>
      <c r="BV57" s="286"/>
      <c r="BW57" s="286"/>
      <c r="BX57" s="286"/>
      <c r="BY57" s="286"/>
      <c r="BZ57" s="286"/>
      <c r="CA57" s="286"/>
      <c r="CB57" s="286"/>
      <c r="CC57" s="286"/>
      <c r="CD57" s="286"/>
      <c r="CE57" s="286"/>
      <c r="CF57" s="286"/>
      <c r="CG57" s="286"/>
      <c r="CH57" s="286"/>
      <c r="CI57" s="286"/>
      <c r="CJ57" s="286"/>
    </row>
    <row r="58" spans="3:88" outlineLevel="2">
      <c r="C58" s="283"/>
      <c r="D58" s="288" t="s">
        <v>264</v>
      </c>
      <c r="E58" s="280" t="s">
        <v>354</v>
      </c>
      <c r="F58" s="332">
        <v>0.05</v>
      </c>
      <c r="G58" s="332"/>
      <c r="H58" s="277" t="str">
        <f>IFERROR(INDEX(PBC_ACCOUNT_LIST[Drivers Section],MATCH(Drivers!L58,PBC_ACCOUNT_LIST[Id],0)),"")</f>
        <v>Other Income</v>
      </c>
      <c r="I58" s="277" t="str">
        <f>IFERROR(INDEX(PBC_ACCOUNT_LIST[Summary Grouping],MATCH(Drivers!L58,PBC_ACCOUNT_LIST[Id],0)),"")</f>
        <v>Other Income</v>
      </c>
      <c r="J58" s="277">
        <f>IFERROR(INDEX(PBC_ACCOUNT_LIST[Cash Flow Section],MATCH(Drivers!L58,PBC_ACCOUNT_LIST[Id],0)),"")</f>
        <v>0</v>
      </c>
      <c r="K58" s="278" t="s">
        <v>106</v>
      </c>
      <c r="L58" s="277">
        <v>189</v>
      </c>
      <c r="M58" s="276"/>
      <c r="O58" s="272"/>
      <c r="P58" s="334">
        <f t="shared" ref="P58:S59" si="56">SUMIFS($AN58:$CJ58,$AN$4:$CJ$4,"&gt;="&amp;P$4,$AN$5:$CJ$5,"&lt;="&amp;P$5)</f>
        <v>0</v>
      </c>
      <c r="Q58" s="334">
        <f t="shared" si="56"/>
        <v>0</v>
      </c>
      <c r="R58" s="334">
        <f t="shared" si="56"/>
        <v>0</v>
      </c>
      <c r="S58" s="334">
        <f t="shared" si="56"/>
        <v>0</v>
      </c>
      <c r="T58" s="334"/>
      <c r="U58" s="334"/>
      <c r="V58" s="333">
        <f t="shared" ref="V58:AK59" si="57">SUMIFS($AN58:$CJ58,$AN$4:$CJ$4,"&gt;="&amp;V$4,$AN$5:$CJ$5,"&lt;="&amp;V$5)</f>
        <v>0</v>
      </c>
      <c r="W58" s="333">
        <f t="shared" si="57"/>
        <v>0</v>
      </c>
      <c r="X58" s="333">
        <f t="shared" si="57"/>
        <v>0</v>
      </c>
      <c r="Y58" s="333">
        <f t="shared" si="57"/>
        <v>0</v>
      </c>
      <c r="Z58" s="333">
        <f t="shared" si="57"/>
        <v>0</v>
      </c>
      <c r="AA58" s="333">
        <f t="shared" si="57"/>
        <v>0</v>
      </c>
      <c r="AB58" s="333">
        <f t="shared" si="57"/>
        <v>0</v>
      </c>
      <c r="AC58" s="333">
        <f t="shared" si="57"/>
        <v>0</v>
      </c>
      <c r="AD58" s="333">
        <f t="shared" si="57"/>
        <v>0</v>
      </c>
      <c r="AE58" s="333">
        <f t="shared" si="57"/>
        <v>0</v>
      </c>
      <c r="AF58" s="333">
        <f t="shared" si="57"/>
        <v>0</v>
      </c>
      <c r="AG58" s="333">
        <f t="shared" si="57"/>
        <v>0</v>
      </c>
      <c r="AH58" s="333">
        <f t="shared" si="57"/>
        <v>0</v>
      </c>
      <c r="AI58" s="333">
        <f t="shared" si="57"/>
        <v>0</v>
      </c>
      <c r="AJ58" s="333">
        <f t="shared" si="57"/>
        <v>0</v>
      </c>
      <c r="AK58" s="333">
        <f t="shared" si="57"/>
        <v>0</v>
      </c>
      <c r="AL58" s="333"/>
      <c r="AM58" s="334"/>
      <c r="AN58" s="289">
        <f>SUMIFS(PBC_PROFIT_AND_LOSS[AccountBalance], PBC_PROFIT_AND_LOSS[Id],$L58,PBC_PROFIT_AND_LOSS[Date],AN$5)</f>
        <v>0</v>
      </c>
      <c r="AO58" s="289">
        <f>SUMIFS(PBC_PROFIT_AND_LOSS[AccountBalance], PBC_PROFIT_AND_LOSS[Id],$L58,PBC_PROFIT_AND_LOSS[Date],AO$5)</f>
        <v>0</v>
      </c>
      <c r="AP58" s="289">
        <f>SUMIFS(PBC_PROFIT_AND_LOSS[AccountBalance], PBC_PROFIT_AND_LOSS[Id],$L58,PBC_PROFIT_AND_LOSS[Date],AP$5)</f>
        <v>0</v>
      </c>
      <c r="AQ58" s="289">
        <f>SUMIFS(PBC_PROFIT_AND_LOSS[AccountBalance], PBC_PROFIT_AND_LOSS[Id],$L58,PBC_PROFIT_AND_LOSS[Date],AQ$5)</f>
        <v>0</v>
      </c>
      <c r="AR58" s="289">
        <f>SUMIFS(PBC_PROFIT_AND_LOSS[AccountBalance], PBC_PROFIT_AND_LOSS[Id],$L58,PBC_PROFIT_AND_LOSS[Date],AR$5)</f>
        <v>0</v>
      </c>
      <c r="AS58" s="289">
        <f>SUMIFS(PBC_PROFIT_AND_LOSS[AccountBalance], PBC_PROFIT_AND_LOSS[Id],$L58,PBC_PROFIT_AND_LOSS[Date],AS$5)</f>
        <v>0</v>
      </c>
      <c r="AT58" s="289">
        <f>SUMIFS(PBC_PROFIT_AND_LOSS[AccountBalance], PBC_PROFIT_AND_LOSS[Id],$L58,PBC_PROFIT_AND_LOSS[Date],AT$5)</f>
        <v>0</v>
      </c>
      <c r="AU58" s="289">
        <f>SUMIFS(PBC_PROFIT_AND_LOSS[AccountBalance], PBC_PROFIT_AND_LOSS[Id],$L58,PBC_PROFIT_AND_LOSS[Date],AU$5)</f>
        <v>0</v>
      </c>
      <c r="AV58" s="289">
        <f>SUMIFS(PBC_PROFIT_AND_LOSS[AccountBalance], PBC_PROFIT_AND_LOSS[Id],$L58,PBC_PROFIT_AND_LOSS[Date],AV$5)</f>
        <v>0</v>
      </c>
      <c r="AW58" s="289">
        <f>SUMIFS(PBC_PROFIT_AND_LOSS[AccountBalance], PBC_PROFIT_AND_LOSS[Id],$L58,PBC_PROFIT_AND_LOSS[Date],AW$5)</f>
        <v>0</v>
      </c>
      <c r="AX58" s="289">
        <f>SUMIFS(PBC_PROFIT_AND_LOSS[AccountBalance], PBC_PROFIT_AND_LOSS[Id],$L58,PBC_PROFIT_AND_LOSS[Date],AX$5)</f>
        <v>0</v>
      </c>
      <c r="AY58" s="289">
        <f>SUMIFS(PBC_PROFIT_AND_LOSS[AccountBalance], PBC_PROFIT_AND_LOSS[Id],$L58,PBC_PROFIT_AND_LOSS[Date],AY$5)</f>
        <v>0</v>
      </c>
      <c r="AZ58" s="289">
        <f>SUMIFS(PBC_PROFIT_AND_LOSS[AccountBalance], PBC_PROFIT_AND_LOSS[Id],$L58,PBC_PROFIT_AND_LOSS[Date],AZ$5)</f>
        <v>0</v>
      </c>
      <c r="BA58" s="289">
        <f>SUMIFS(PBC_PROFIT_AND_LOSS[AccountBalance], PBC_PROFIT_AND_LOSS[Id],$L58,PBC_PROFIT_AND_LOSS[Date],BA$5)</f>
        <v>0</v>
      </c>
      <c r="BB58" s="289">
        <f>SUMIFS(PBC_PROFIT_AND_LOSS[AccountBalance], PBC_PROFIT_AND_LOSS[Id],$L58,PBC_PROFIT_AND_LOSS[Date],BB$5)</f>
        <v>0</v>
      </c>
      <c r="BC58" s="289">
        <f>SUMIFS(PBC_PROFIT_AND_LOSS[AccountBalance], PBC_PROFIT_AND_LOSS[Id],$L58,PBC_PROFIT_AND_LOSS[Date],BC$5)</f>
        <v>0</v>
      </c>
      <c r="BD58" s="289">
        <f>SUMIFS(PBC_PROFIT_AND_LOSS[AccountBalance], PBC_PROFIT_AND_LOSS[Id],$L58,PBC_PROFIT_AND_LOSS[Date],BD$5)</f>
        <v>0</v>
      </c>
      <c r="BE58" s="289">
        <f>SUMIFS(PBC_PROFIT_AND_LOSS[AccountBalance], PBC_PROFIT_AND_LOSS[Id],$L58,PBC_PROFIT_AND_LOSS[Date],BE$5)</f>
        <v>0</v>
      </c>
      <c r="BF58" s="289">
        <f>SUMIFS(PBC_PROFIT_AND_LOSS[AccountBalance], PBC_PROFIT_AND_LOSS[Id],$L58,PBC_PROFIT_AND_LOSS[Date],BF$5)</f>
        <v>0</v>
      </c>
      <c r="BG58" s="289">
        <f>SUMIFS(PBC_PROFIT_AND_LOSS[AccountBalance], PBC_PROFIT_AND_LOSS[Id],$L58,PBC_PROFIT_AND_LOSS[Date],BG$5)</f>
        <v>0</v>
      </c>
      <c r="BH58" s="289">
        <f>SUMIFS(PBC_PROFIT_AND_LOSS[AccountBalance], PBC_PROFIT_AND_LOSS[Id],$L58,PBC_PROFIT_AND_LOSS[Date],BH$5)</f>
        <v>0</v>
      </c>
      <c r="BI58" s="289">
        <f>SUMIFS(PBC_PROFIT_AND_LOSS[AccountBalance], PBC_PROFIT_AND_LOSS[Id],$L58,PBC_PROFIT_AND_LOSS[Date],BI$5)</f>
        <v>0</v>
      </c>
      <c r="BJ58" s="289">
        <f>SUMIFS(PBC_PROFIT_AND_LOSS[AccountBalance], PBC_PROFIT_AND_LOSS[Id],$L58,PBC_PROFIT_AND_LOSS[Date],BJ$5)</f>
        <v>0</v>
      </c>
      <c r="BK58" s="289">
        <f>SUMIFS(PBC_PROFIT_AND_LOSS[AccountBalance], PBC_PROFIT_AND_LOSS[Id],$L58,PBC_PROFIT_AND_LOSS[Date],BK$5)</f>
        <v>0</v>
      </c>
      <c r="BL58" s="289">
        <f>SUMIFS(PBC_PROFIT_AND_LOSS[AccountBalance], PBC_PROFIT_AND_LOSS[Id],$L58,PBC_PROFIT_AND_LOSS[Date],BL$5)</f>
        <v>0</v>
      </c>
      <c r="BM58" s="289">
        <f>SUMIFS(PBC_PROFIT_AND_LOSS[AccountBalance], PBC_PROFIT_AND_LOSS[Id],$L58,PBC_PROFIT_AND_LOSS[Date],BM$5)</f>
        <v>0</v>
      </c>
      <c r="BN58" s="289">
        <f>SUMIFS(PBC_PROFIT_AND_LOSS[AccountBalance], PBC_PROFIT_AND_LOSS[Id],$L58,PBC_PROFIT_AND_LOSS[Date],BN$5)</f>
        <v>0</v>
      </c>
      <c r="BO58" s="289">
        <f>SUMIFS(PBC_PROFIT_AND_LOSS[AccountBalance], PBC_PROFIT_AND_LOSS[Id],$L58,PBC_PROFIT_AND_LOSS[Date],BO$5)</f>
        <v>0</v>
      </c>
      <c r="BP58" s="289">
        <f>SUMIFS(PBC_PROFIT_AND_LOSS[AccountBalance], PBC_PROFIT_AND_LOSS[Id],$L58,PBC_PROFIT_AND_LOSS[Date],BP$5)</f>
        <v>0</v>
      </c>
      <c r="BQ58" s="289">
        <f>SUMIFS(PBC_PROFIT_AND_LOSS[AccountBalance], PBC_PROFIT_AND_LOSS[Id],$L58,PBC_PROFIT_AND_LOSS[Date],BQ$5)</f>
        <v>0</v>
      </c>
      <c r="BR58" s="289">
        <f>SUMIFS(PBC_PROFIT_AND_LOSS[AccountBalance], PBC_PROFIT_AND_LOSS[Id],$L58,PBC_PROFIT_AND_LOSS[Date],BR$5)</f>
        <v>0</v>
      </c>
      <c r="BS58" s="289">
        <f>SUMIFS(PBC_PROFIT_AND_LOSS[AccountBalance], PBC_PROFIT_AND_LOSS[Id],$L58,PBC_PROFIT_AND_LOSS[Date],BS$5)</f>
        <v>0</v>
      </c>
      <c r="BT58" s="289">
        <f>SUMIFS(PBC_PROFIT_AND_LOSS[AccountBalance], PBC_PROFIT_AND_LOSS[Id],$L58,PBC_PROFIT_AND_LOSS[Date],BT$5)</f>
        <v>0</v>
      </c>
      <c r="BU58" s="289">
        <f>SUMIFS(PBC_PROFIT_AND_LOSS[AccountBalance], PBC_PROFIT_AND_LOSS[Id],$L58,PBC_PROFIT_AND_LOSS[Date],BU$5)</f>
        <v>0</v>
      </c>
      <c r="BV58" s="289">
        <f>SUMIFS(PBC_PROFIT_AND_LOSS[AccountBalance], PBC_PROFIT_AND_LOSS[Id],$L58,PBC_PROFIT_AND_LOSS[Date],BV$5)</f>
        <v>0</v>
      </c>
      <c r="BW58" s="289">
        <f>SUMIFS(PBC_PROFIT_AND_LOSS[AccountBalance], PBC_PROFIT_AND_LOSS[Id],$L58,PBC_PROFIT_AND_LOSS[Date],BW$5)</f>
        <v>0</v>
      </c>
      <c r="BX58" s="335" cm="1">
        <f t="array" ref="BX58">_xlfn.SWITCH(
    $E58,
    "3 month avg", AVERAGE(BU58:BW58) * (1 + $F58),
    "6 month avg", AVERAGE(BR58:BW58) * (1 + $F58),
    "12 month avg", AVERAGE(BM58:BW58) * (1 + $F58),
    "Prior Month",BW58* (1 + $F58),
    "Prior Year", BL58* (1 + $F58),
    "Monthly assumption",$G58* (1 + $F58),
    "Quarterly assumption",$G58/3* (1 + $F58),
    "Annual assumption",$G58/12* (1 + $F58),
    "% of Revenue",SUM(_xlfn._xlws.FILTER(_xlfn._xlws.FILTER(dataSummaryPL,dataSummaryPLSections="Revenue"),(startDates&gt;=BX$4)*(endDates&lt;=BX$5)))*$F58,
    "Custom",0,
    "0",0,
        0
)</f>
        <v>0</v>
      </c>
      <c r="BY58" s="335" cm="1">
        <f t="array" ref="BY58">_xlfn.SWITCH(
    $E58,
    "3 month avg", AVERAGE(BV58:BX58) * (1 + $F58),
    "6 month avg", AVERAGE(BS58:BX58) * (1 + $F58),
    "12 month avg", AVERAGE(BN58:BX58) * (1 + $F58),
    "Prior Month",BX58* (1 + $F58),
    "Prior Year", BM58* (1 + $F58),
    "Monthly assumption",$G58* (1 + $F58),
    "Quarterly assumption",$G58/3* (1 + $F58),
    "Annual assumption",$G58/12* (1 + $F58),
    "% of Revenue",SUM(_xlfn._xlws.FILTER(_xlfn._xlws.FILTER(dataSummaryPL,dataSummaryPLSections="Revenue"),(startDates&gt;=BY$4)*(endDates&lt;=BY$5)))*$F58,
    "Custom",0,
    "0",0,
        0
)</f>
        <v>0</v>
      </c>
      <c r="BZ58" s="335" cm="1">
        <f t="array" ref="BZ58">_xlfn.SWITCH(
    $E58,
    "3 month avg", AVERAGE(BW58:BY58) * (1 + $F58),
    "6 month avg", AVERAGE(BT58:BY58) * (1 + $F58),
    "12 month avg", AVERAGE(BO58:BY58) * (1 + $F58),
    "Prior Month",BY58* (1 + $F58),
    "Prior Year", BN58* (1 + $F58),
    "Monthly assumption",$G58* (1 + $F58),
    "Quarterly assumption",$G58/3* (1 + $F58),
    "Annual assumption",$G58/12* (1 + $F58),
    "% of Revenue",SUM(_xlfn._xlws.FILTER(_xlfn._xlws.FILTER(dataSummaryPL,dataSummaryPLSections="Revenue"),(startDates&gt;=BZ$4)*(endDates&lt;=BZ$5)))*$F58,
    "Custom",0,
    "0",0,
        0
)</f>
        <v>0</v>
      </c>
      <c r="CA58" s="335" cm="1">
        <f t="array" ref="CA58">_xlfn.SWITCH(
    $E58,
    "3 month avg", AVERAGE(BX58:BZ58) * (1 + $F58),
    "6 month avg", AVERAGE(BU58:BZ58) * (1 + $F58),
    "12 month avg", AVERAGE(BP58:BZ58) * (1 + $F58),
    "Prior Month",BZ58* (1 + $F58),
    "Prior Year", BO58* (1 + $F58),
    "Monthly assumption",$G58* (1 + $F58),
    "Quarterly assumption",$G58/3* (1 + $F58),
    "Annual assumption",$G58/12* (1 + $F58),
    "% of Revenue",SUM(_xlfn._xlws.FILTER(_xlfn._xlws.FILTER(dataSummaryPL,dataSummaryPLSections="Revenue"),(startDates&gt;=CA$4)*(endDates&lt;=CA$5)))*$F58,
    "Custom",0,
    "0",0,
        0
)</f>
        <v>0</v>
      </c>
      <c r="CB58" s="335" cm="1">
        <f t="array" ref="CB58">_xlfn.SWITCH(
    $E58,
    "3 month avg", AVERAGE(BY58:CA58) * (1 + $F58),
    "6 month avg", AVERAGE(BV58:CA58) * (1 + $F58),
    "12 month avg", AVERAGE(BQ58:CA58) * (1 + $F58),
    "Prior Month",CA58* (1 + $F58),
    "Prior Year", BP58* (1 + $F58),
    "Monthly assumption",$G58* (1 + $F58),
    "Quarterly assumption",$G58/3* (1 + $F58),
    "Annual assumption",$G58/12* (1 + $F58),
    "% of Revenue",SUM(_xlfn._xlws.FILTER(_xlfn._xlws.FILTER(dataSummaryPL,dataSummaryPLSections="Revenue"),(startDates&gt;=CB$4)*(endDates&lt;=CB$5)))*$F58,
    "Custom",0,
    "0",0,
        0
)</f>
        <v>0</v>
      </c>
      <c r="CC58" s="335" cm="1">
        <f t="array" ref="CC58">_xlfn.SWITCH(
    $E58,
    "3 month avg", AVERAGE(BZ58:CB58) * (1 + $F58),
    "6 month avg", AVERAGE(BW58:CB58) * (1 + $F58),
    "12 month avg", AVERAGE(BR58:CB58) * (1 + $F58),
    "Prior Month",CB58* (1 + $F58),
    "Prior Year", BQ58* (1 + $F58),
    "Monthly assumption",$G58* (1 + $F58),
    "Quarterly assumption",$G58/3* (1 + $F58),
    "Annual assumption",$G58/12* (1 + $F58),
    "% of Revenue",SUM(_xlfn._xlws.FILTER(_xlfn._xlws.FILTER(dataSummaryPL,dataSummaryPLSections="Revenue"),(startDates&gt;=CC$4)*(endDates&lt;=CC$5)))*$F58,
    "Custom",0,
    "0",0,
        0
)</f>
        <v>0</v>
      </c>
      <c r="CD58" s="335" cm="1">
        <f t="array" ref="CD58">_xlfn.SWITCH(
    $E58,
    "3 month avg", AVERAGE(CA58:CC58) * (1 + $F58),
    "6 month avg", AVERAGE(BX58:CC58) * (1 + $F58),
    "12 month avg", AVERAGE(BS58:CC58) * (1 + $F58),
    "Prior Month",CC58* (1 + $F58),
    "Prior Year", BR58* (1 + $F58),
    "Monthly assumption",$G58* (1 + $F58),
    "Quarterly assumption",$G58/3* (1 + $F58),
    "Annual assumption",$G58/12* (1 + $F58),
    "% of Revenue",SUM(_xlfn._xlws.FILTER(_xlfn._xlws.FILTER(dataSummaryPL,dataSummaryPLSections="Revenue"),(startDates&gt;=CD$4)*(endDates&lt;=CD$5)))*$F58,
    "Custom",0,
    "0",0,
        0
)</f>
        <v>0</v>
      </c>
      <c r="CE58" s="335" cm="1">
        <f t="array" ref="CE58">_xlfn.SWITCH(
    $E58,
    "3 month avg", AVERAGE(CB58:CD58) * (1 + $F58),
    "6 month avg", AVERAGE(BY58:CD58) * (1 + $F58),
    "12 month avg", AVERAGE(BT58:CD58) * (1 + $F58),
    "Prior Month",CD58* (1 + $F58),
    "Prior Year", BS58* (1 + $F58),
    "Monthly assumption",$G58* (1 + $F58),
    "Quarterly assumption",$G58/3* (1 + $F58),
    "Annual assumption",$G58/12* (1 + $F58),
    "% of Revenue",SUM(_xlfn._xlws.FILTER(_xlfn._xlws.FILTER(dataSummaryPL,dataSummaryPLSections="Revenue"),(startDates&gt;=CE$4)*(endDates&lt;=CE$5)))*$F58,
    "Custom",0,
    "0",0,
        0
)</f>
        <v>0</v>
      </c>
      <c r="CF58" s="335" cm="1">
        <f t="array" ref="CF58">_xlfn.SWITCH(
    $E58,
    "3 month avg", AVERAGE(CC58:CE58) * (1 + $F58),
    "6 month avg", AVERAGE(BZ58:CE58) * (1 + $F58),
    "12 month avg", AVERAGE(BU58:CE58) * (1 + $F58),
    "Prior Month",CE58* (1 + $F58),
    "Prior Year", BT58* (1 + $F58),
    "Monthly assumption",$G58* (1 + $F58),
    "Quarterly assumption",$G58/3* (1 + $F58),
    "Annual assumption",$G58/12* (1 + $F58),
    "% of Revenue",SUM(_xlfn._xlws.FILTER(_xlfn._xlws.FILTER(dataSummaryPL,dataSummaryPLSections="Revenue"),(startDates&gt;=CF$4)*(endDates&lt;=CF$5)))*$F58,
    "Custom",0,
    "0",0,
        0
)</f>
        <v>0</v>
      </c>
      <c r="CG58" s="335" cm="1">
        <f t="array" ref="CG58">_xlfn.SWITCH(
    $E58,
    "3 month avg", AVERAGE(CD58:CF58) * (1 + $F58),
    "6 month avg", AVERAGE(CA58:CF58) * (1 + $F58),
    "12 month avg", AVERAGE(BV58:CF58) * (1 + $F58),
    "Prior Month",CF58* (1 + $F58),
    "Prior Year", BU58* (1 + $F58),
    "Monthly assumption",$G58* (1 + $F58),
    "Quarterly assumption",$G58/3* (1 + $F58),
    "Annual assumption",$G58/12* (1 + $F58),
    "% of Revenue",SUM(_xlfn._xlws.FILTER(_xlfn._xlws.FILTER(dataSummaryPL,dataSummaryPLSections="Revenue"),(startDates&gt;=CG$4)*(endDates&lt;=CG$5)))*$F58,
    "Custom",0,
    "0",0,
        0
)</f>
        <v>0</v>
      </c>
      <c r="CH58" s="335" cm="1">
        <f t="array" ref="CH58">_xlfn.SWITCH(
    $E58,
    "3 month avg", AVERAGE(CE58:CG58) * (1 + $F58),
    "6 month avg", AVERAGE(CB58:CG58) * (1 + $F58),
    "12 month avg", AVERAGE(BW58:CG58) * (1 + $F58),
    "Prior Month",CG58* (1 + $F58),
    "Prior Year", BV58* (1 + $F58),
    "Monthly assumption",$G58* (1 + $F58),
    "Quarterly assumption",$G58/3* (1 + $F58),
    "Annual assumption",$G58/12* (1 + $F58),
    "% of Revenue",SUM(_xlfn._xlws.FILTER(_xlfn._xlws.FILTER(dataSummaryPL,dataSummaryPLSections="Revenue"),(startDates&gt;=CH$4)*(endDates&lt;=CH$5)))*$F58,
    "Custom",0,
    "0",0,
        0
)</f>
        <v>0</v>
      </c>
      <c r="CI58" s="335" cm="1">
        <f t="array" ref="CI58">_xlfn.SWITCH(
    $E58,
    "3 month avg", AVERAGE(CF58:CH58) * (1 + $F58),
    "6 month avg", AVERAGE(CC58:CH58) * (1 + $F58),
    "12 month avg", AVERAGE(BX58:CH58) * (1 + $F58),
    "Prior Month",CH58* (1 + $F58),
    "Prior Year", BW58* (1 + $F58),
    "Monthly assumption",$G58* (1 + $F58),
    "Quarterly assumption",$G58/3* (1 + $F58),
    "Annual assumption",$G58/12* (1 + $F58),
    "% of Revenue",SUM(_xlfn._xlws.FILTER(_xlfn._xlws.FILTER(dataSummaryPL,dataSummaryPLSections="Revenue"),(startDates&gt;=CI$4)*(endDates&lt;=CI$5)))*$F58,
    "Custom",0,
    "0",0,
        0
)</f>
        <v>0</v>
      </c>
      <c r="CJ58" s="335" cm="1">
        <f t="array" ref="CJ58">_xlfn.SWITCH(
    $E58,
    "3 month avg", AVERAGE(CG58:CI58) * (1 + $F58),
    "6 month avg", AVERAGE(CD58:CI58) * (1 + $F58),
    "12 month avg", AVERAGE(BY58:CI58) * (1 + $F58),
    "Prior Month",CI58* (1 + $F58),
    "Prior Year", BX58* (1 + $F58),
    "Monthly assumption",$G58* (1 + $F58),
    "Quarterly assumption",$G58/3* (1 + $F58),
    "Annual assumption",$G58/12* (1 + $F58),
    "% of Revenue",SUM(_xlfn._xlws.FILTER(_xlfn._xlws.FILTER(dataSummaryPL,dataSummaryPLSections="Revenue"),(startDates&gt;=CJ$4)*(endDates&lt;=CJ$5)))*$F58,
    "Custom",0,
    "0",0,
        0
)</f>
        <v>0</v>
      </c>
    </row>
    <row r="59" spans="3:88" ht="14.45" customHeight="1" outlineLevel="2">
      <c r="C59" s="283"/>
      <c r="D59" s="288" t="s">
        <v>265</v>
      </c>
      <c r="E59" s="280" t="s">
        <v>354</v>
      </c>
      <c r="F59" s="332">
        <v>0.05</v>
      </c>
      <c r="G59" s="332"/>
      <c r="H59" s="277" t="str">
        <f>IFERROR(INDEX(PBC_ACCOUNT_LIST[Drivers Section],MATCH(Drivers!L59,PBC_ACCOUNT_LIST[Id],0)),"")</f>
        <v>Other Income</v>
      </c>
      <c r="I59" s="277" t="str">
        <f>IFERROR(INDEX(PBC_ACCOUNT_LIST[Summary Grouping],MATCH(Drivers!L59,PBC_ACCOUNT_LIST[Id],0)),"")</f>
        <v>Other Income</v>
      </c>
      <c r="J59" s="277">
        <f>IFERROR(INDEX(PBC_ACCOUNT_LIST[Cash Flow Section],MATCH(Drivers!L59,PBC_ACCOUNT_LIST[Id],0)),"")</f>
        <v>0</v>
      </c>
      <c r="K59" s="278" t="s">
        <v>106</v>
      </c>
      <c r="L59" s="277">
        <v>190</v>
      </c>
      <c r="M59" s="276"/>
      <c r="O59" s="272"/>
      <c r="P59" s="334">
        <f t="shared" si="56"/>
        <v>0</v>
      </c>
      <c r="Q59" s="334">
        <f t="shared" si="56"/>
        <v>0</v>
      </c>
      <c r="R59" s="334">
        <f t="shared" si="56"/>
        <v>0</v>
      </c>
      <c r="S59" s="334">
        <f t="shared" si="56"/>
        <v>0</v>
      </c>
      <c r="T59" s="334"/>
      <c r="U59" s="334"/>
      <c r="V59" s="333">
        <f t="shared" si="57"/>
        <v>0</v>
      </c>
      <c r="W59" s="333">
        <f t="shared" si="57"/>
        <v>0</v>
      </c>
      <c r="X59" s="333">
        <f t="shared" si="57"/>
        <v>0</v>
      </c>
      <c r="Y59" s="333">
        <f t="shared" si="57"/>
        <v>0</v>
      </c>
      <c r="Z59" s="333">
        <f t="shared" si="57"/>
        <v>0</v>
      </c>
      <c r="AA59" s="333">
        <f t="shared" si="57"/>
        <v>0</v>
      </c>
      <c r="AB59" s="333">
        <f t="shared" si="57"/>
        <v>0</v>
      </c>
      <c r="AC59" s="333">
        <f t="shared" si="57"/>
        <v>0</v>
      </c>
      <c r="AD59" s="333">
        <f t="shared" si="57"/>
        <v>0</v>
      </c>
      <c r="AE59" s="333">
        <f t="shared" si="57"/>
        <v>0</v>
      </c>
      <c r="AF59" s="333">
        <f t="shared" si="57"/>
        <v>0</v>
      </c>
      <c r="AG59" s="333">
        <f t="shared" si="57"/>
        <v>0</v>
      </c>
      <c r="AH59" s="333">
        <f t="shared" si="57"/>
        <v>0</v>
      </c>
      <c r="AI59" s="333">
        <f t="shared" si="57"/>
        <v>0</v>
      </c>
      <c r="AJ59" s="333">
        <f t="shared" si="57"/>
        <v>0</v>
      </c>
      <c r="AK59" s="333">
        <f t="shared" si="57"/>
        <v>0</v>
      </c>
      <c r="AL59" s="333"/>
      <c r="AM59" s="334"/>
      <c r="AN59" s="289">
        <f>SUMIFS(PBC_PROFIT_AND_LOSS[AccountBalance], PBC_PROFIT_AND_LOSS[Id],$L59,PBC_PROFIT_AND_LOSS[Date],AN$5)</f>
        <v>0</v>
      </c>
      <c r="AO59" s="289">
        <f>SUMIFS(PBC_PROFIT_AND_LOSS[AccountBalance], PBC_PROFIT_AND_LOSS[Id],$L59,PBC_PROFIT_AND_LOSS[Date],AO$5)</f>
        <v>0</v>
      </c>
      <c r="AP59" s="289">
        <f>SUMIFS(PBC_PROFIT_AND_LOSS[AccountBalance], PBC_PROFIT_AND_LOSS[Id],$L59,PBC_PROFIT_AND_LOSS[Date],AP$5)</f>
        <v>0</v>
      </c>
      <c r="AQ59" s="289">
        <f>SUMIFS(PBC_PROFIT_AND_LOSS[AccountBalance], PBC_PROFIT_AND_LOSS[Id],$L59,PBC_PROFIT_AND_LOSS[Date],AQ$5)</f>
        <v>0</v>
      </c>
      <c r="AR59" s="289">
        <f>SUMIFS(PBC_PROFIT_AND_LOSS[AccountBalance], PBC_PROFIT_AND_LOSS[Id],$L59,PBC_PROFIT_AND_LOSS[Date],AR$5)</f>
        <v>0</v>
      </c>
      <c r="AS59" s="289">
        <f>SUMIFS(PBC_PROFIT_AND_LOSS[AccountBalance], PBC_PROFIT_AND_LOSS[Id],$L59,PBC_PROFIT_AND_LOSS[Date],AS$5)</f>
        <v>0</v>
      </c>
      <c r="AT59" s="289">
        <f>SUMIFS(PBC_PROFIT_AND_LOSS[AccountBalance], PBC_PROFIT_AND_LOSS[Id],$L59,PBC_PROFIT_AND_LOSS[Date],AT$5)</f>
        <v>0</v>
      </c>
      <c r="AU59" s="289">
        <f>SUMIFS(PBC_PROFIT_AND_LOSS[AccountBalance], PBC_PROFIT_AND_LOSS[Id],$L59,PBC_PROFIT_AND_LOSS[Date],AU$5)</f>
        <v>0</v>
      </c>
      <c r="AV59" s="289">
        <f>SUMIFS(PBC_PROFIT_AND_LOSS[AccountBalance], PBC_PROFIT_AND_LOSS[Id],$L59,PBC_PROFIT_AND_LOSS[Date],AV$5)</f>
        <v>0</v>
      </c>
      <c r="AW59" s="289">
        <f>SUMIFS(PBC_PROFIT_AND_LOSS[AccountBalance], PBC_PROFIT_AND_LOSS[Id],$L59,PBC_PROFIT_AND_LOSS[Date],AW$5)</f>
        <v>0</v>
      </c>
      <c r="AX59" s="289">
        <f>SUMIFS(PBC_PROFIT_AND_LOSS[AccountBalance], PBC_PROFIT_AND_LOSS[Id],$L59,PBC_PROFIT_AND_LOSS[Date],AX$5)</f>
        <v>0</v>
      </c>
      <c r="AY59" s="289">
        <f>SUMIFS(PBC_PROFIT_AND_LOSS[AccountBalance], PBC_PROFIT_AND_LOSS[Id],$L59,PBC_PROFIT_AND_LOSS[Date],AY$5)</f>
        <v>0</v>
      </c>
      <c r="AZ59" s="289">
        <f>SUMIFS(PBC_PROFIT_AND_LOSS[AccountBalance], PBC_PROFIT_AND_LOSS[Id],$L59,PBC_PROFIT_AND_LOSS[Date],AZ$5)</f>
        <v>0</v>
      </c>
      <c r="BA59" s="289">
        <f>SUMIFS(PBC_PROFIT_AND_LOSS[AccountBalance], PBC_PROFIT_AND_LOSS[Id],$L59,PBC_PROFIT_AND_LOSS[Date],BA$5)</f>
        <v>0</v>
      </c>
      <c r="BB59" s="289">
        <f>SUMIFS(PBC_PROFIT_AND_LOSS[AccountBalance], PBC_PROFIT_AND_LOSS[Id],$L59,PBC_PROFIT_AND_LOSS[Date],BB$5)</f>
        <v>0</v>
      </c>
      <c r="BC59" s="289">
        <f>SUMIFS(PBC_PROFIT_AND_LOSS[AccountBalance], PBC_PROFIT_AND_LOSS[Id],$L59,PBC_PROFIT_AND_LOSS[Date],BC$5)</f>
        <v>0</v>
      </c>
      <c r="BD59" s="289">
        <f>SUMIFS(PBC_PROFIT_AND_LOSS[AccountBalance], PBC_PROFIT_AND_LOSS[Id],$L59,PBC_PROFIT_AND_LOSS[Date],BD$5)</f>
        <v>0</v>
      </c>
      <c r="BE59" s="289">
        <f>SUMIFS(PBC_PROFIT_AND_LOSS[AccountBalance], PBC_PROFIT_AND_LOSS[Id],$L59,PBC_PROFIT_AND_LOSS[Date],BE$5)</f>
        <v>0</v>
      </c>
      <c r="BF59" s="289">
        <f>SUMIFS(PBC_PROFIT_AND_LOSS[AccountBalance], PBC_PROFIT_AND_LOSS[Id],$L59,PBC_PROFIT_AND_LOSS[Date],BF$5)</f>
        <v>0</v>
      </c>
      <c r="BG59" s="289">
        <f>SUMIFS(PBC_PROFIT_AND_LOSS[AccountBalance], PBC_PROFIT_AND_LOSS[Id],$L59,PBC_PROFIT_AND_LOSS[Date],BG$5)</f>
        <v>0</v>
      </c>
      <c r="BH59" s="289">
        <f>SUMIFS(PBC_PROFIT_AND_LOSS[AccountBalance], PBC_PROFIT_AND_LOSS[Id],$L59,PBC_PROFIT_AND_LOSS[Date],BH$5)</f>
        <v>0</v>
      </c>
      <c r="BI59" s="289">
        <f>SUMIFS(PBC_PROFIT_AND_LOSS[AccountBalance], PBC_PROFIT_AND_LOSS[Id],$L59,PBC_PROFIT_AND_LOSS[Date],BI$5)</f>
        <v>0</v>
      </c>
      <c r="BJ59" s="289">
        <f>SUMIFS(PBC_PROFIT_AND_LOSS[AccountBalance], PBC_PROFIT_AND_LOSS[Id],$L59,PBC_PROFIT_AND_LOSS[Date],BJ$5)</f>
        <v>0</v>
      </c>
      <c r="BK59" s="289">
        <f>SUMIFS(PBC_PROFIT_AND_LOSS[AccountBalance], PBC_PROFIT_AND_LOSS[Id],$L59,PBC_PROFIT_AND_LOSS[Date],BK$5)</f>
        <v>0</v>
      </c>
      <c r="BL59" s="289">
        <f>SUMIFS(PBC_PROFIT_AND_LOSS[AccountBalance], PBC_PROFIT_AND_LOSS[Id],$L59,PBC_PROFIT_AND_LOSS[Date],BL$5)</f>
        <v>0</v>
      </c>
      <c r="BM59" s="289">
        <f>SUMIFS(PBC_PROFIT_AND_LOSS[AccountBalance], PBC_PROFIT_AND_LOSS[Id],$L59,PBC_PROFIT_AND_LOSS[Date],BM$5)</f>
        <v>0</v>
      </c>
      <c r="BN59" s="289">
        <f>SUMIFS(PBC_PROFIT_AND_LOSS[AccountBalance], PBC_PROFIT_AND_LOSS[Id],$L59,PBC_PROFIT_AND_LOSS[Date],BN$5)</f>
        <v>0</v>
      </c>
      <c r="BO59" s="289">
        <f>SUMIFS(PBC_PROFIT_AND_LOSS[AccountBalance], PBC_PROFIT_AND_LOSS[Id],$L59,PBC_PROFIT_AND_LOSS[Date],BO$5)</f>
        <v>0</v>
      </c>
      <c r="BP59" s="289">
        <f>SUMIFS(PBC_PROFIT_AND_LOSS[AccountBalance], PBC_PROFIT_AND_LOSS[Id],$L59,PBC_PROFIT_AND_LOSS[Date],BP$5)</f>
        <v>0</v>
      </c>
      <c r="BQ59" s="289">
        <f>SUMIFS(PBC_PROFIT_AND_LOSS[AccountBalance], PBC_PROFIT_AND_LOSS[Id],$L59,PBC_PROFIT_AND_LOSS[Date],BQ$5)</f>
        <v>0</v>
      </c>
      <c r="BR59" s="289">
        <f>SUMIFS(PBC_PROFIT_AND_LOSS[AccountBalance], PBC_PROFIT_AND_LOSS[Id],$L59,PBC_PROFIT_AND_LOSS[Date],BR$5)</f>
        <v>0</v>
      </c>
      <c r="BS59" s="289">
        <f>SUMIFS(PBC_PROFIT_AND_LOSS[AccountBalance], PBC_PROFIT_AND_LOSS[Id],$L59,PBC_PROFIT_AND_LOSS[Date],BS$5)</f>
        <v>0</v>
      </c>
      <c r="BT59" s="289">
        <f>SUMIFS(PBC_PROFIT_AND_LOSS[AccountBalance], PBC_PROFIT_AND_LOSS[Id],$L59,PBC_PROFIT_AND_LOSS[Date],BT$5)</f>
        <v>0</v>
      </c>
      <c r="BU59" s="289">
        <f>SUMIFS(PBC_PROFIT_AND_LOSS[AccountBalance], PBC_PROFIT_AND_LOSS[Id],$L59,PBC_PROFIT_AND_LOSS[Date],BU$5)</f>
        <v>0</v>
      </c>
      <c r="BV59" s="289">
        <f>SUMIFS(PBC_PROFIT_AND_LOSS[AccountBalance], PBC_PROFIT_AND_LOSS[Id],$L59,PBC_PROFIT_AND_LOSS[Date],BV$5)</f>
        <v>0</v>
      </c>
      <c r="BW59" s="289">
        <f>SUMIFS(PBC_PROFIT_AND_LOSS[AccountBalance], PBC_PROFIT_AND_LOSS[Id],$L59,PBC_PROFIT_AND_LOSS[Date],BW$5)</f>
        <v>0</v>
      </c>
      <c r="BX59" s="335" cm="1">
        <f t="array" ref="BX59">_xlfn.SWITCH(
    $E59,
    "3 month avg", AVERAGE(BU59:BW59) * (1 + $F59),
    "6 month avg", AVERAGE(BR59:BW59) * (1 + $F59),
    "12 month avg", AVERAGE(BM59:BW59) * (1 + $F59),
    "Prior Month",BW59* (1 + $F59),
    "Prior Year", BL59* (1 + $F59),
    "Monthly assumption",$G59* (1 + $F59),
    "Quarterly assumption",$G59/3* (1 + $F59),
    "Annual assumption",$G59/12* (1 + $F59),
    "% of Revenue",SUM(_xlfn._xlws.FILTER(_xlfn._xlws.FILTER(dataSummaryPL,dataSummaryPLSections="Revenue"),(startDates&gt;=BX$4)*(endDates&lt;=BX$5)))*$F59,
    "Custom",0,
    "0",0,
        0
)</f>
        <v>0</v>
      </c>
      <c r="BY59" s="335" cm="1">
        <f t="array" ref="BY59">_xlfn.SWITCH(
    $E59,
    "3 month avg", AVERAGE(BV59:BX59) * (1 + $F59),
    "6 month avg", AVERAGE(BS59:BX59) * (1 + $F59),
    "12 month avg", AVERAGE(BN59:BX59) * (1 + $F59),
    "Prior Month",BX59* (1 + $F59),
    "Prior Year", BM59* (1 + $F59),
    "Monthly assumption",$G59* (1 + $F59),
    "Quarterly assumption",$G59/3* (1 + $F59),
    "Annual assumption",$G59/12* (1 + $F59),
    "% of Revenue",SUM(_xlfn._xlws.FILTER(_xlfn._xlws.FILTER(dataSummaryPL,dataSummaryPLSections="Revenue"),(startDates&gt;=BY$4)*(endDates&lt;=BY$5)))*$F59,
    "Custom",0,
    "0",0,
        0
)</f>
        <v>0</v>
      </c>
      <c r="BZ59" s="335" cm="1">
        <f t="array" ref="BZ59">_xlfn.SWITCH(
    $E59,
    "3 month avg", AVERAGE(BW59:BY59) * (1 + $F59),
    "6 month avg", AVERAGE(BT59:BY59) * (1 + $F59),
    "12 month avg", AVERAGE(BO59:BY59) * (1 + $F59),
    "Prior Month",BY59* (1 + $F59),
    "Prior Year", BN59* (1 + $F59),
    "Monthly assumption",$G59* (1 + $F59),
    "Quarterly assumption",$G59/3* (1 + $F59),
    "Annual assumption",$G59/12* (1 + $F59),
    "% of Revenue",SUM(_xlfn._xlws.FILTER(_xlfn._xlws.FILTER(dataSummaryPL,dataSummaryPLSections="Revenue"),(startDates&gt;=BZ$4)*(endDates&lt;=BZ$5)))*$F59,
    "Custom",0,
    "0",0,
        0
)</f>
        <v>0</v>
      </c>
      <c r="CA59" s="335" cm="1">
        <f t="array" ref="CA59">_xlfn.SWITCH(
    $E59,
    "3 month avg", AVERAGE(BX59:BZ59) * (1 + $F59),
    "6 month avg", AVERAGE(BU59:BZ59) * (1 + $F59),
    "12 month avg", AVERAGE(BP59:BZ59) * (1 + $F59),
    "Prior Month",BZ59* (1 + $F59),
    "Prior Year", BO59* (1 + $F59),
    "Monthly assumption",$G59* (1 + $F59),
    "Quarterly assumption",$G59/3* (1 + $F59),
    "Annual assumption",$G59/12* (1 + $F59),
    "% of Revenue",SUM(_xlfn._xlws.FILTER(_xlfn._xlws.FILTER(dataSummaryPL,dataSummaryPLSections="Revenue"),(startDates&gt;=CA$4)*(endDates&lt;=CA$5)))*$F59,
    "Custom",0,
    "0",0,
        0
)</f>
        <v>0</v>
      </c>
      <c r="CB59" s="335" cm="1">
        <f t="array" ref="CB59">_xlfn.SWITCH(
    $E59,
    "3 month avg", AVERAGE(BY59:CA59) * (1 + $F59),
    "6 month avg", AVERAGE(BV59:CA59) * (1 + $F59),
    "12 month avg", AVERAGE(BQ59:CA59) * (1 + $F59),
    "Prior Month",CA59* (1 + $F59),
    "Prior Year", BP59* (1 + $F59),
    "Monthly assumption",$G59* (1 + $F59),
    "Quarterly assumption",$G59/3* (1 + $F59),
    "Annual assumption",$G59/12* (1 + $F59),
    "% of Revenue",SUM(_xlfn._xlws.FILTER(_xlfn._xlws.FILTER(dataSummaryPL,dataSummaryPLSections="Revenue"),(startDates&gt;=CB$4)*(endDates&lt;=CB$5)))*$F59,
    "Custom",0,
    "0",0,
        0
)</f>
        <v>0</v>
      </c>
      <c r="CC59" s="335" cm="1">
        <f t="array" ref="CC59">_xlfn.SWITCH(
    $E59,
    "3 month avg", AVERAGE(BZ59:CB59) * (1 + $F59),
    "6 month avg", AVERAGE(BW59:CB59) * (1 + $F59),
    "12 month avg", AVERAGE(BR59:CB59) * (1 + $F59),
    "Prior Month",CB59* (1 + $F59),
    "Prior Year", BQ59* (1 + $F59),
    "Monthly assumption",$G59* (1 + $F59),
    "Quarterly assumption",$G59/3* (1 + $F59),
    "Annual assumption",$G59/12* (1 + $F59),
    "% of Revenue",SUM(_xlfn._xlws.FILTER(_xlfn._xlws.FILTER(dataSummaryPL,dataSummaryPLSections="Revenue"),(startDates&gt;=CC$4)*(endDates&lt;=CC$5)))*$F59,
    "Custom",0,
    "0",0,
        0
)</f>
        <v>0</v>
      </c>
      <c r="CD59" s="335" cm="1">
        <f t="array" ref="CD59">_xlfn.SWITCH(
    $E59,
    "3 month avg", AVERAGE(CA59:CC59) * (1 + $F59),
    "6 month avg", AVERAGE(BX59:CC59) * (1 + $F59),
    "12 month avg", AVERAGE(BS59:CC59) * (1 + $F59),
    "Prior Month",CC59* (1 + $F59),
    "Prior Year", BR59* (1 + $F59),
    "Monthly assumption",$G59* (1 + $F59),
    "Quarterly assumption",$G59/3* (1 + $F59),
    "Annual assumption",$G59/12* (1 + $F59),
    "% of Revenue",SUM(_xlfn._xlws.FILTER(_xlfn._xlws.FILTER(dataSummaryPL,dataSummaryPLSections="Revenue"),(startDates&gt;=CD$4)*(endDates&lt;=CD$5)))*$F59,
    "Custom",0,
    "0",0,
        0
)</f>
        <v>0</v>
      </c>
      <c r="CE59" s="335" cm="1">
        <f t="array" ref="CE59">_xlfn.SWITCH(
    $E59,
    "3 month avg", AVERAGE(CB59:CD59) * (1 + $F59),
    "6 month avg", AVERAGE(BY59:CD59) * (1 + $F59),
    "12 month avg", AVERAGE(BT59:CD59) * (1 + $F59),
    "Prior Month",CD59* (1 + $F59),
    "Prior Year", BS59* (1 + $F59),
    "Monthly assumption",$G59* (1 + $F59),
    "Quarterly assumption",$G59/3* (1 + $F59),
    "Annual assumption",$G59/12* (1 + $F59),
    "% of Revenue",SUM(_xlfn._xlws.FILTER(_xlfn._xlws.FILTER(dataSummaryPL,dataSummaryPLSections="Revenue"),(startDates&gt;=CE$4)*(endDates&lt;=CE$5)))*$F59,
    "Custom",0,
    "0",0,
        0
)</f>
        <v>0</v>
      </c>
      <c r="CF59" s="335" cm="1">
        <f t="array" ref="CF59">_xlfn.SWITCH(
    $E59,
    "3 month avg", AVERAGE(CC59:CE59) * (1 + $F59),
    "6 month avg", AVERAGE(BZ59:CE59) * (1 + $F59),
    "12 month avg", AVERAGE(BU59:CE59) * (1 + $F59),
    "Prior Month",CE59* (1 + $F59),
    "Prior Year", BT59* (1 + $F59),
    "Monthly assumption",$G59* (1 + $F59),
    "Quarterly assumption",$G59/3* (1 + $F59),
    "Annual assumption",$G59/12* (1 + $F59),
    "% of Revenue",SUM(_xlfn._xlws.FILTER(_xlfn._xlws.FILTER(dataSummaryPL,dataSummaryPLSections="Revenue"),(startDates&gt;=CF$4)*(endDates&lt;=CF$5)))*$F59,
    "Custom",0,
    "0",0,
        0
)</f>
        <v>0</v>
      </c>
      <c r="CG59" s="335" cm="1">
        <f t="array" ref="CG59">_xlfn.SWITCH(
    $E59,
    "3 month avg", AVERAGE(CD59:CF59) * (1 + $F59),
    "6 month avg", AVERAGE(CA59:CF59) * (1 + $F59),
    "12 month avg", AVERAGE(BV59:CF59) * (1 + $F59),
    "Prior Month",CF59* (1 + $F59),
    "Prior Year", BU59* (1 + $F59),
    "Monthly assumption",$G59* (1 + $F59),
    "Quarterly assumption",$G59/3* (1 + $F59),
    "Annual assumption",$G59/12* (1 + $F59),
    "% of Revenue",SUM(_xlfn._xlws.FILTER(_xlfn._xlws.FILTER(dataSummaryPL,dataSummaryPLSections="Revenue"),(startDates&gt;=CG$4)*(endDates&lt;=CG$5)))*$F59,
    "Custom",0,
    "0",0,
        0
)</f>
        <v>0</v>
      </c>
      <c r="CH59" s="335" cm="1">
        <f t="array" ref="CH59">_xlfn.SWITCH(
    $E59,
    "3 month avg", AVERAGE(CE59:CG59) * (1 + $F59),
    "6 month avg", AVERAGE(CB59:CG59) * (1 + $F59),
    "12 month avg", AVERAGE(BW59:CG59) * (1 + $F59),
    "Prior Month",CG59* (1 + $F59),
    "Prior Year", BV59* (1 + $F59),
    "Monthly assumption",$G59* (1 + $F59),
    "Quarterly assumption",$G59/3* (1 + $F59),
    "Annual assumption",$G59/12* (1 + $F59),
    "% of Revenue",SUM(_xlfn._xlws.FILTER(_xlfn._xlws.FILTER(dataSummaryPL,dataSummaryPLSections="Revenue"),(startDates&gt;=CH$4)*(endDates&lt;=CH$5)))*$F59,
    "Custom",0,
    "0",0,
        0
)</f>
        <v>0</v>
      </c>
      <c r="CI59" s="335" cm="1">
        <f t="array" ref="CI59">_xlfn.SWITCH(
    $E59,
    "3 month avg", AVERAGE(CF59:CH59) * (1 + $F59),
    "6 month avg", AVERAGE(CC59:CH59) * (1 + $F59),
    "12 month avg", AVERAGE(BX59:CH59) * (1 + $F59),
    "Prior Month",CH59* (1 + $F59),
    "Prior Year", BW59* (1 + $F59),
    "Monthly assumption",$G59* (1 + $F59),
    "Quarterly assumption",$G59/3* (1 + $F59),
    "Annual assumption",$G59/12* (1 + $F59),
    "% of Revenue",SUM(_xlfn._xlws.FILTER(_xlfn._xlws.FILTER(dataSummaryPL,dataSummaryPLSections="Revenue"),(startDates&gt;=CI$4)*(endDates&lt;=CI$5)))*$F59,
    "Custom",0,
    "0",0,
        0
)</f>
        <v>0</v>
      </c>
      <c r="CJ59" s="335" cm="1">
        <f t="array" ref="CJ59">_xlfn.SWITCH(
    $E59,
    "3 month avg", AVERAGE(CG59:CI59) * (1 + $F59),
    "6 month avg", AVERAGE(CD59:CI59) * (1 + $F59),
    "12 month avg", AVERAGE(BY59:CI59) * (1 + $F59),
    "Prior Month",CI59* (1 + $F59),
    "Prior Year", BX59* (1 + $F59),
    "Monthly assumption",$G59* (1 + $F59),
    "Quarterly assumption",$G59/3* (1 + $F59),
    "Annual assumption",$G59/12* (1 + $F59),
    "% of Revenue",SUM(_xlfn._xlws.FILTER(_xlfn._xlws.FILTER(dataSummaryPL,dataSummaryPLSections="Revenue"),(startDates&gt;=CJ$4)*(endDates&lt;=CJ$5)))*$F59,
    "Custom",0,
    "0",0,
        0
)</f>
        <v>0</v>
      </c>
    </row>
    <row r="60" spans="3:88" outlineLevel="1">
      <c r="C60" s="283"/>
      <c r="D60" s="288"/>
      <c r="E60" s="280"/>
      <c r="F60" s="279"/>
      <c r="G60" s="279"/>
      <c r="H60" s="277"/>
      <c r="I60" s="277"/>
      <c r="J60" s="277"/>
      <c r="K60" s="278"/>
      <c r="L60" s="277"/>
      <c r="M60" s="276"/>
      <c r="O60" s="272"/>
      <c r="P60" s="272"/>
      <c r="Q60" s="272"/>
      <c r="R60" s="272"/>
      <c r="S60" s="272"/>
      <c r="T60" s="272"/>
      <c r="U60" s="272"/>
      <c r="V60" s="287"/>
      <c r="W60" s="287"/>
      <c r="X60" s="287"/>
      <c r="Y60" s="287"/>
      <c r="Z60" s="287"/>
      <c r="AA60" s="287"/>
      <c r="AB60" s="287"/>
      <c r="AC60" s="287"/>
      <c r="AD60" s="287"/>
      <c r="AE60" s="287"/>
      <c r="AF60" s="287"/>
      <c r="AG60" s="287"/>
      <c r="AH60" s="287"/>
      <c r="AI60" s="287"/>
      <c r="AJ60" s="287"/>
      <c r="AK60" s="287"/>
      <c r="AL60" s="287"/>
      <c r="AM60" s="272"/>
      <c r="AN60" s="286"/>
      <c r="AO60" s="286"/>
      <c r="AP60" s="286"/>
      <c r="AQ60" s="286"/>
      <c r="AR60" s="286"/>
      <c r="AS60" s="286"/>
      <c r="AT60" s="286"/>
      <c r="AU60" s="286"/>
      <c r="AV60" s="286"/>
      <c r="AW60" s="286"/>
      <c r="AX60" s="286"/>
      <c r="AY60" s="286"/>
      <c r="AZ60" s="286"/>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c r="BW60" s="286"/>
      <c r="BX60" s="286"/>
      <c r="BY60" s="286"/>
      <c r="BZ60" s="286"/>
      <c r="CA60" s="286"/>
      <c r="CB60" s="286"/>
      <c r="CC60" s="286"/>
      <c r="CD60" s="286"/>
      <c r="CE60" s="286"/>
      <c r="CF60" s="286"/>
      <c r="CG60" s="286"/>
      <c r="CH60" s="286"/>
      <c r="CI60" s="286"/>
      <c r="CJ60" s="286"/>
    </row>
    <row r="61" spans="3:88" ht="17.100000000000001" customHeight="1" outlineLevel="2">
      <c r="C61" s="283" t="s">
        <v>131</v>
      </c>
      <c r="D61" s="282"/>
      <c r="E61" s="280"/>
      <c r="F61" s="279"/>
      <c r="G61" s="279"/>
      <c r="H61" s="277"/>
      <c r="I61" s="277"/>
      <c r="J61" s="277"/>
      <c r="K61" s="278"/>
      <c r="L61" s="277"/>
      <c r="M61" s="276"/>
      <c r="O61" s="272"/>
      <c r="P61" s="281">
        <f>SUM(P62:P65)</f>
        <v>77240</v>
      </c>
      <c r="Q61" s="281">
        <f>SUM(Q62:Q65)</f>
        <v>257951.5</v>
      </c>
      <c r="R61" s="281">
        <f>SUM(R62:R65)</f>
        <v>258995.39466666666</v>
      </c>
      <c r="S61" s="281">
        <f>SUM(S62:S65)</f>
        <v>283852.35949751397</v>
      </c>
      <c r="T61" s="272"/>
      <c r="U61" s="272"/>
      <c r="V61" s="281">
        <f t="shared" ref="V61:AK61" si="58">SUM(V62:V65)</f>
        <v>7777</v>
      </c>
      <c r="W61" s="281">
        <f t="shared" si="58"/>
        <v>11195.5</v>
      </c>
      <c r="X61" s="281">
        <f t="shared" si="58"/>
        <v>11847</v>
      </c>
      <c r="Y61" s="281">
        <f t="shared" si="58"/>
        <v>46420.5</v>
      </c>
      <c r="Z61" s="281">
        <f t="shared" si="58"/>
        <v>64487.5</v>
      </c>
      <c r="AA61" s="281">
        <f t="shared" si="58"/>
        <v>64488</v>
      </c>
      <c r="AB61" s="281">
        <f t="shared" si="58"/>
        <v>64488</v>
      </c>
      <c r="AC61" s="281">
        <f t="shared" si="58"/>
        <v>64488</v>
      </c>
      <c r="AD61" s="281">
        <f t="shared" si="58"/>
        <v>64486.739999999991</v>
      </c>
      <c r="AE61" s="281">
        <f t="shared" si="58"/>
        <v>64486.739999999991</v>
      </c>
      <c r="AF61" s="281">
        <f t="shared" si="58"/>
        <v>64486.259999999995</v>
      </c>
      <c r="AG61" s="281">
        <f t="shared" si="58"/>
        <v>65535.654666666662</v>
      </c>
      <c r="AH61" s="281">
        <f t="shared" si="58"/>
        <v>68998.488452059028</v>
      </c>
      <c r="AI61" s="281">
        <f t="shared" si="58"/>
        <v>69090.389918251953</v>
      </c>
      <c r="AJ61" s="281">
        <f t="shared" si="58"/>
        <v>71534.389932562568</v>
      </c>
      <c r="AK61" s="281">
        <f t="shared" si="58"/>
        <v>74229.091194640438</v>
      </c>
      <c r="AM61" s="272"/>
      <c r="AN61" s="281">
        <f t="shared" ref="AN61:BS61" si="59">IF(AN$5&lt;=LatestMonthOfActuals,SUMIFS(AN62:AN65,$K62:$K65,"Account"),SUMIFS(AN62:AN65,$K62:$K65,"&lt;&gt;Sub-Account"))</f>
        <v>0</v>
      </c>
      <c r="AO61" s="281">
        <f t="shared" si="59"/>
        <v>2569</v>
      </c>
      <c r="AP61" s="281">
        <f t="shared" si="59"/>
        <v>2569</v>
      </c>
      <c r="AQ61" s="281">
        <f t="shared" si="59"/>
        <v>2639</v>
      </c>
      <c r="AR61" s="281">
        <f t="shared" si="59"/>
        <v>3611.5</v>
      </c>
      <c r="AS61" s="281">
        <f t="shared" si="59"/>
        <v>3681</v>
      </c>
      <c r="AT61" s="281">
        <f t="shared" si="59"/>
        <v>3903</v>
      </c>
      <c r="AU61" s="281">
        <f t="shared" si="59"/>
        <v>3903</v>
      </c>
      <c r="AV61" s="281">
        <f t="shared" si="59"/>
        <v>3972</v>
      </c>
      <c r="AW61" s="281">
        <f t="shared" si="59"/>
        <v>3972</v>
      </c>
      <c r="AX61" s="281">
        <f t="shared" si="59"/>
        <v>8972</v>
      </c>
      <c r="AY61" s="281">
        <f t="shared" si="59"/>
        <v>15953</v>
      </c>
      <c r="AZ61" s="281">
        <f t="shared" si="59"/>
        <v>21495.5</v>
      </c>
      <c r="BA61" s="281">
        <f t="shared" si="59"/>
        <v>21495.5</v>
      </c>
      <c r="BB61" s="281">
        <f t="shared" si="59"/>
        <v>21496</v>
      </c>
      <c r="BC61" s="281">
        <f t="shared" si="59"/>
        <v>21496</v>
      </c>
      <c r="BD61" s="281">
        <f t="shared" si="59"/>
        <v>21496</v>
      </c>
      <c r="BE61" s="281">
        <f t="shared" si="59"/>
        <v>21496</v>
      </c>
      <c r="BF61" s="281">
        <f t="shared" si="59"/>
        <v>21496</v>
      </c>
      <c r="BG61" s="281">
        <f t="shared" si="59"/>
        <v>21496</v>
      </c>
      <c r="BH61" s="281">
        <f t="shared" si="59"/>
        <v>21496</v>
      </c>
      <c r="BI61" s="281">
        <f t="shared" si="59"/>
        <v>21496</v>
      </c>
      <c r="BJ61" s="281">
        <f t="shared" si="59"/>
        <v>21496</v>
      </c>
      <c r="BK61" s="281">
        <f t="shared" si="59"/>
        <v>21496</v>
      </c>
      <c r="BL61" s="281">
        <f t="shared" si="59"/>
        <v>21496</v>
      </c>
      <c r="BM61" s="281">
        <f t="shared" si="59"/>
        <v>21495.42</v>
      </c>
      <c r="BN61" s="281">
        <f t="shared" si="59"/>
        <v>21495.66</v>
      </c>
      <c r="BO61" s="281">
        <f t="shared" si="59"/>
        <v>21495.66</v>
      </c>
      <c r="BP61" s="281">
        <f t="shared" si="59"/>
        <v>21495.66</v>
      </c>
      <c r="BQ61" s="281">
        <f t="shared" si="59"/>
        <v>21495.66</v>
      </c>
      <c r="BR61" s="281">
        <f t="shared" si="59"/>
        <v>21495.42</v>
      </c>
      <c r="BS61" s="281">
        <f t="shared" si="59"/>
        <v>21495.42</v>
      </c>
      <c r="BT61" s="281">
        <f t="shared" ref="BT61:BV61" si="60">IF(BT$5&lt;=LatestMonthOfActuals,SUMIFS(BT62:BT65,$K62:$K65,"Account"),SUMIFS(BT62:BT65,$K62:$K65,"&lt;&gt;Sub-Account"))</f>
        <v>21495.42</v>
      </c>
      <c r="BU61" s="281">
        <f t="shared" si="60"/>
        <v>21495.42</v>
      </c>
      <c r="BV61" s="281">
        <f t="shared" si="60"/>
        <v>21495.42</v>
      </c>
      <c r="BW61" s="281">
        <f t="shared" ref="BW61" si="61">IF(BW$5&lt;=LatestMonthOfActuals,SUMIFS(BW62:BW65,$K62:$K65,"Account"),SUMIFS(BW62:BW65,$K62:$K65,"&lt;&gt;Sub-Account"))</f>
        <v>21495.42</v>
      </c>
      <c r="BX61" s="281">
        <f t="shared" ref="BX61:CJ61" si="62">IF(BX$5&lt;=LatestMonthOfActuals,SUMIFS(BX62:BX65,$K62:$K65,"Account"),SUMIFS(BX62:BX65,$K62:$K65,"&lt;&gt;Sub-Account"))</f>
        <v>22544.814666666665</v>
      </c>
      <c r="BY61" s="281">
        <f t="shared" si="62"/>
        <v>22636.761872222225</v>
      </c>
      <c r="BZ61" s="281">
        <f t="shared" si="62"/>
        <v>23104.174838749994</v>
      </c>
      <c r="CA61" s="281">
        <f t="shared" si="62"/>
        <v>23257.551741086805</v>
      </c>
      <c r="CB61" s="281">
        <f t="shared" si="62"/>
        <v>22547.144601332555</v>
      </c>
      <c r="CC61" s="281">
        <f t="shared" si="62"/>
        <v>23201.999545454637</v>
      </c>
      <c r="CD61" s="281">
        <f t="shared" si="62"/>
        <v>23341.245771464753</v>
      </c>
      <c r="CE61" s="281">
        <f t="shared" si="62"/>
        <v>23604.57954813775</v>
      </c>
      <c r="CF61" s="281">
        <f t="shared" si="62"/>
        <v>23816.308752534078</v>
      </c>
      <c r="CG61" s="281">
        <f t="shared" si="62"/>
        <v>24113.501631890736</v>
      </c>
      <c r="CH61" s="281">
        <f t="shared" si="62"/>
        <v>24423.709529448093</v>
      </c>
      <c r="CI61" s="281">
        <f t="shared" si="62"/>
        <v>24742.386169646088</v>
      </c>
      <c r="CJ61" s="281">
        <f t="shared" si="62"/>
        <v>25062.99549554626</v>
      </c>
    </row>
    <row r="62" spans="3:88" ht="5.25" customHeight="1" outlineLevel="2">
      <c r="E62" s="280"/>
      <c r="F62" s="279"/>
      <c r="G62" s="279"/>
      <c r="H62" s="277"/>
      <c r="I62" s="277"/>
      <c r="J62" s="277"/>
      <c r="K62" s="278"/>
      <c r="L62" s="277"/>
      <c r="M62" s="276"/>
    </row>
    <row r="63" spans="3:88" outlineLevel="2">
      <c r="D63" s="336" t="s">
        <v>268</v>
      </c>
      <c r="E63" s="543" t="s">
        <v>356</v>
      </c>
      <c r="F63" s="332"/>
      <c r="G63" s="332"/>
      <c r="H63" s="277" t="str">
        <f>IFERROR(INDEX(PBC_ACCOUNT_LIST[Drivers Section],MATCH(Drivers!L63,PBC_ACCOUNT_LIST[Id],0)),"")</f>
        <v>Other Expenses</v>
      </c>
      <c r="I63" s="277" t="str">
        <f>IFERROR(INDEX(PBC_ACCOUNT_LIST[Summary Grouping],MATCH(Drivers!L63,PBC_ACCOUNT_LIST[Id],0)),"")</f>
        <v>Other Expenses</v>
      </c>
      <c r="J63" s="277">
        <f>IFERROR(INDEX(PBC_ACCOUNT_LIST[Cash Flow Section],MATCH(Drivers!L63,PBC_ACCOUNT_LIST[Id],0)),"")</f>
        <v>0</v>
      </c>
      <c r="K63" s="278" t="s">
        <v>106</v>
      </c>
      <c r="L63" s="277">
        <v>191</v>
      </c>
      <c r="M63" s="276"/>
      <c r="P63" s="334">
        <f t="shared" ref="P63:S64" si="63">SUMIFS($AN63:$CJ63,$AN$4:$CJ$4,"&gt;="&amp;P$4,$AN$5:$CJ$5,"&lt;="&amp;P$5)</f>
        <v>15202.5</v>
      </c>
      <c r="Q63" s="334">
        <f t="shared" si="63"/>
        <v>36612</v>
      </c>
      <c r="R63" s="334">
        <f t="shared" si="63"/>
        <v>36735.07666666666</v>
      </c>
      <c r="S63" s="334">
        <f t="shared" si="63"/>
        <v>31786.577777777769</v>
      </c>
      <c r="T63" s="334"/>
      <c r="U63" s="334"/>
      <c r="V63" s="337">
        <f t="shared" ref="V63:AK64" si="64">SUMIFS($AN63:$CJ63,$AN$4:$CJ$4,"&gt;="&amp;V$4,$AN$5:$CJ$5,"&lt;="&amp;V$5)</f>
        <v>277</v>
      </c>
      <c r="W63" s="337">
        <f t="shared" si="64"/>
        <v>3695.5</v>
      </c>
      <c r="X63" s="337">
        <f t="shared" si="64"/>
        <v>4347</v>
      </c>
      <c r="Y63" s="337">
        <f t="shared" si="64"/>
        <v>6883</v>
      </c>
      <c r="Z63" s="337">
        <f t="shared" si="64"/>
        <v>9153</v>
      </c>
      <c r="AA63" s="337">
        <f t="shared" si="64"/>
        <v>9153</v>
      </c>
      <c r="AB63" s="337">
        <f t="shared" si="64"/>
        <v>9153</v>
      </c>
      <c r="AC63" s="337">
        <f t="shared" si="64"/>
        <v>9153</v>
      </c>
      <c r="AD63" s="337">
        <f t="shared" si="64"/>
        <v>9151.98</v>
      </c>
      <c r="AE63" s="337">
        <f t="shared" si="64"/>
        <v>9151.98</v>
      </c>
      <c r="AF63" s="337">
        <f t="shared" si="64"/>
        <v>9151.98</v>
      </c>
      <c r="AG63" s="337">
        <f t="shared" si="64"/>
        <v>9279.1366666666654</v>
      </c>
      <c r="AH63" s="337">
        <f t="shared" si="64"/>
        <v>9811.2277777777781</v>
      </c>
      <c r="AI63" s="337">
        <f t="shared" si="64"/>
        <v>7505.6722222222306</v>
      </c>
      <c r="AJ63" s="337">
        <f t="shared" si="64"/>
        <v>7269.5611111111066</v>
      </c>
      <c r="AK63" s="337">
        <f t="shared" si="64"/>
        <v>7200.1166666666541</v>
      </c>
      <c r="AL63" s="337"/>
      <c r="AM63" s="334"/>
      <c r="AN63" s="337">
        <f>SUMIFS(PBC_PROFIT_AND_LOSS[AccountBalance], PBC_PROFIT_AND_LOSS[Id],$L63,PBC_PROFIT_AND_LOSS[Date],AN$5)</f>
        <v>0</v>
      </c>
      <c r="AO63" s="337">
        <f>SUMIFS(PBC_PROFIT_AND_LOSS[AccountBalance], PBC_PROFIT_AND_LOSS[Id],$L63,PBC_PROFIT_AND_LOSS[Date],AO$5)</f>
        <v>69</v>
      </c>
      <c r="AP63" s="337">
        <f>SUMIFS(PBC_PROFIT_AND_LOSS[AccountBalance], PBC_PROFIT_AND_LOSS[Id],$L63,PBC_PROFIT_AND_LOSS[Date],AP$5)</f>
        <v>69</v>
      </c>
      <c r="AQ63" s="337">
        <f>SUMIFS(PBC_PROFIT_AND_LOSS[AccountBalance], PBC_PROFIT_AND_LOSS[Id],$L63,PBC_PROFIT_AND_LOSS[Date],AQ$5)</f>
        <v>139</v>
      </c>
      <c r="AR63" s="337">
        <f>SUMIFS(PBC_PROFIT_AND_LOSS[AccountBalance], PBC_PROFIT_AND_LOSS[Id],$L63,PBC_PROFIT_AND_LOSS[Date],AR$5)</f>
        <v>1111.5</v>
      </c>
      <c r="AS63" s="337">
        <f>SUMIFS(PBC_PROFIT_AND_LOSS[AccountBalance], PBC_PROFIT_AND_LOSS[Id],$L63,PBC_PROFIT_AND_LOSS[Date],AS$5)</f>
        <v>1181</v>
      </c>
      <c r="AT63" s="337">
        <f>SUMIFS(PBC_PROFIT_AND_LOSS[AccountBalance], PBC_PROFIT_AND_LOSS[Id],$L63,PBC_PROFIT_AND_LOSS[Date],AT$5)</f>
        <v>1403</v>
      </c>
      <c r="AU63" s="337">
        <f>SUMIFS(PBC_PROFIT_AND_LOSS[AccountBalance], PBC_PROFIT_AND_LOSS[Id],$L63,PBC_PROFIT_AND_LOSS[Date],AU$5)</f>
        <v>1403</v>
      </c>
      <c r="AV63" s="337">
        <f>SUMIFS(PBC_PROFIT_AND_LOSS[AccountBalance], PBC_PROFIT_AND_LOSS[Id],$L63,PBC_PROFIT_AND_LOSS[Date],AV$5)</f>
        <v>1472</v>
      </c>
      <c r="AW63" s="337">
        <f>SUMIFS(PBC_PROFIT_AND_LOSS[AccountBalance], PBC_PROFIT_AND_LOSS[Id],$L63,PBC_PROFIT_AND_LOSS[Date],AW$5)</f>
        <v>1472</v>
      </c>
      <c r="AX63" s="337">
        <f>SUMIFS(PBC_PROFIT_AND_LOSS[AccountBalance], PBC_PROFIT_AND_LOSS[Id],$L63,PBC_PROFIT_AND_LOSS[Date],AX$5)</f>
        <v>1472</v>
      </c>
      <c r="AY63" s="337">
        <f>SUMIFS(PBC_PROFIT_AND_LOSS[AccountBalance], PBC_PROFIT_AND_LOSS[Id],$L63,PBC_PROFIT_AND_LOSS[Date],AY$5)</f>
        <v>2360</v>
      </c>
      <c r="AZ63" s="337">
        <f>SUMIFS(PBC_PROFIT_AND_LOSS[AccountBalance], PBC_PROFIT_AND_LOSS[Id],$L63,PBC_PROFIT_AND_LOSS[Date],AZ$5)</f>
        <v>3051</v>
      </c>
      <c r="BA63" s="337">
        <f>SUMIFS(PBC_PROFIT_AND_LOSS[AccountBalance], PBC_PROFIT_AND_LOSS[Id],$L63,PBC_PROFIT_AND_LOSS[Date],BA$5)</f>
        <v>3051</v>
      </c>
      <c r="BB63" s="337">
        <f>SUMIFS(PBC_PROFIT_AND_LOSS[AccountBalance], PBC_PROFIT_AND_LOSS[Id],$L63,PBC_PROFIT_AND_LOSS[Date],BB$5)</f>
        <v>3051</v>
      </c>
      <c r="BC63" s="337">
        <f>SUMIFS(PBC_PROFIT_AND_LOSS[AccountBalance], PBC_PROFIT_AND_LOSS[Id],$L63,PBC_PROFIT_AND_LOSS[Date],BC$5)</f>
        <v>3051</v>
      </c>
      <c r="BD63" s="337">
        <f>SUMIFS(PBC_PROFIT_AND_LOSS[AccountBalance], PBC_PROFIT_AND_LOSS[Id],$L63,PBC_PROFIT_AND_LOSS[Date],BD$5)</f>
        <v>3051</v>
      </c>
      <c r="BE63" s="337">
        <f>SUMIFS(PBC_PROFIT_AND_LOSS[AccountBalance], PBC_PROFIT_AND_LOSS[Id],$L63,PBC_PROFIT_AND_LOSS[Date],BE$5)</f>
        <v>3051</v>
      </c>
      <c r="BF63" s="337">
        <f>SUMIFS(PBC_PROFIT_AND_LOSS[AccountBalance], PBC_PROFIT_AND_LOSS[Id],$L63,PBC_PROFIT_AND_LOSS[Date],BF$5)</f>
        <v>3051</v>
      </c>
      <c r="BG63" s="337">
        <f>SUMIFS(PBC_PROFIT_AND_LOSS[AccountBalance], PBC_PROFIT_AND_LOSS[Id],$L63,PBC_PROFIT_AND_LOSS[Date],BG$5)</f>
        <v>3051</v>
      </c>
      <c r="BH63" s="337">
        <f>SUMIFS(PBC_PROFIT_AND_LOSS[AccountBalance], PBC_PROFIT_AND_LOSS[Id],$L63,PBC_PROFIT_AND_LOSS[Date],BH$5)</f>
        <v>3051</v>
      </c>
      <c r="BI63" s="337">
        <f>SUMIFS(PBC_PROFIT_AND_LOSS[AccountBalance], PBC_PROFIT_AND_LOSS[Id],$L63,PBC_PROFIT_AND_LOSS[Date],BI$5)</f>
        <v>3051</v>
      </c>
      <c r="BJ63" s="337">
        <f>SUMIFS(PBC_PROFIT_AND_LOSS[AccountBalance], PBC_PROFIT_AND_LOSS[Id],$L63,PBC_PROFIT_AND_LOSS[Date],BJ$5)</f>
        <v>3051</v>
      </c>
      <c r="BK63" s="337">
        <f>SUMIFS(PBC_PROFIT_AND_LOSS[AccountBalance], PBC_PROFIT_AND_LOSS[Id],$L63,PBC_PROFIT_AND_LOSS[Date],BK$5)</f>
        <v>3051</v>
      </c>
      <c r="BL63" s="337">
        <f>SUMIFS(PBC_PROFIT_AND_LOSS[AccountBalance], PBC_PROFIT_AND_LOSS[Id],$L63,PBC_PROFIT_AND_LOSS[Date],BL$5)</f>
        <v>3051</v>
      </c>
      <c r="BM63" s="337">
        <f>SUMIFS(PBC_PROFIT_AND_LOSS[AccountBalance], PBC_PROFIT_AND_LOSS[Id],$L63,PBC_PROFIT_AND_LOSS[Date],BM$5)</f>
        <v>3050.66</v>
      </c>
      <c r="BN63" s="337">
        <f>SUMIFS(PBC_PROFIT_AND_LOSS[AccountBalance], PBC_PROFIT_AND_LOSS[Id],$L63,PBC_PROFIT_AND_LOSS[Date],BN$5)</f>
        <v>3050.66</v>
      </c>
      <c r="BO63" s="337">
        <f>SUMIFS(PBC_PROFIT_AND_LOSS[AccountBalance], PBC_PROFIT_AND_LOSS[Id],$L63,PBC_PROFIT_AND_LOSS[Date],BO$5)</f>
        <v>3050.66</v>
      </c>
      <c r="BP63" s="337">
        <f>SUMIFS(PBC_PROFIT_AND_LOSS[AccountBalance], PBC_PROFIT_AND_LOSS[Id],$L63,PBC_PROFIT_AND_LOSS[Date],BP$5)</f>
        <v>3050.66</v>
      </c>
      <c r="BQ63" s="337">
        <f>SUMIFS(PBC_PROFIT_AND_LOSS[AccountBalance], PBC_PROFIT_AND_LOSS[Id],$L63,PBC_PROFIT_AND_LOSS[Date],BQ$5)</f>
        <v>3050.66</v>
      </c>
      <c r="BR63" s="337">
        <f>SUMIFS(PBC_PROFIT_AND_LOSS[AccountBalance], PBC_PROFIT_AND_LOSS[Id],$L63,PBC_PROFIT_AND_LOSS[Date],BR$5)</f>
        <v>3050.66</v>
      </c>
      <c r="BS63" s="337">
        <f>SUMIFS(PBC_PROFIT_AND_LOSS[AccountBalance], PBC_PROFIT_AND_LOSS[Id],$L63,PBC_PROFIT_AND_LOSS[Date],BS$5)</f>
        <v>3050.66</v>
      </c>
      <c r="BT63" s="337">
        <f>SUMIFS(PBC_PROFIT_AND_LOSS[AccountBalance], PBC_PROFIT_AND_LOSS[Id],$L63,PBC_PROFIT_AND_LOSS[Date],BT$5)</f>
        <v>3050.66</v>
      </c>
      <c r="BU63" s="337">
        <f>SUMIFS(PBC_PROFIT_AND_LOSS[AccountBalance], PBC_PROFIT_AND_LOSS[Id],$L63,PBC_PROFIT_AND_LOSS[Date],BU$5)</f>
        <v>3050.66</v>
      </c>
      <c r="BV63" s="337">
        <f>SUMIFS(PBC_PROFIT_AND_LOSS[AccountBalance], PBC_PROFIT_AND_LOSS[Id],$L63,PBC_PROFIT_AND_LOSS[Date],BV$5)</f>
        <v>3050.66</v>
      </c>
      <c r="BW63" s="337">
        <f>SUMIFS(PBC_PROFIT_AND_LOSS[AccountBalance], PBC_PROFIT_AND_LOSS[Id],$L63,PBC_PROFIT_AND_LOSS[Date],BW$5)</f>
        <v>3050.66</v>
      </c>
      <c r="BX63" s="538">
        <f>SUMIFS('Fixed &amp; Intangibles'!BQ$296:BQ$302,'Fixed &amp; Intangibles'!$E$296:$E$302,Drivers!$L63)</f>
        <v>3177.8166666666657</v>
      </c>
      <c r="BY63" s="538">
        <f>SUMIFS('Fixed &amp; Intangibles'!BR$296:BR$302,'Fixed &amp; Intangibles'!$E$296:$E$302,Drivers!$L63)</f>
        <v>3108.3722222222277</v>
      </c>
      <c r="BZ63" s="538">
        <f>SUMIFS('Fixed &amp; Intangibles'!BS$296:BS$302,'Fixed &amp; Intangibles'!$E$296:$E$302,Drivers!$L63)</f>
        <v>3386.1499999999942</v>
      </c>
      <c r="CA63" s="538">
        <f>SUMIFS('Fixed &amp; Intangibles'!BT$296:BT$302,'Fixed &amp; Intangibles'!$E$296:$E$302,Drivers!$L63)</f>
        <v>3316.7055555555562</v>
      </c>
      <c r="CB63" s="538">
        <f>SUMIFS('Fixed &amp; Intangibles'!BU$296:BU$302,'Fixed &amp; Intangibles'!$E$296:$E$302,Drivers!$L63)</f>
        <v>2344.4833333333372</v>
      </c>
      <c r="CC63" s="538">
        <f>SUMIFS('Fixed &amp; Intangibles'!BV$296:BV$302,'Fixed &amp; Intangibles'!$E$296:$E$302,Drivers!$L63)</f>
        <v>2691.7055555555562</v>
      </c>
      <c r="CD63" s="538">
        <f>SUMIFS('Fixed &amp; Intangibles'!BW$296:BW$302,'Fixed &amp; Intangibles'!$E$296:$E$302,Drivers!$L63)</f>
        <v>2469.4833333333372</v>
      </c>
      <c r="CE63" s="538">
        <f>SUMIFS('Fixed &amp; Intangibles'!BX$296:BX$302,'Fixed &amp; Intangibles'!$E$296:$E$302,Drivers!$L63)</f>
        <v>2469.4833333333372</v>
      </c>
      <c r="CF63" s="538">
        <f>SUMIFS('Fixed &amp; Intangibles'!BY$296:BY$302,'Fixed &amp; Intangibles'!$E$296:$E$302,Drivers!$L63)</f>
        <v>2400.0388888888847</v>
      </c>
      <c r="CG63" s="538">
        <f>SUMIFS('Fixed &amp; Intangibles'!BZ$296:BZ$302,'Fixed &amp; Intangibles'!$E$296:$E$302,Drivers!$L63)</f>
        <v>2400.0388888888847</v>
      </c>
      <c r="CH63" s="538">
        <f>SUMIFS('Fixed &amp; Intangibles'!CA$296:CA$302,'Fixed &amp; Intangibles'!$E$296:$E$302,Drivers!$L63)</f>
        <v>2400.0388888888847</v>
      </c>
      <c r="CI63" s="538">
        <f>SUMIFS('Fixed &amp; Intangibles'!CB$296:CB$302,'Fixed &amp; Intangibles'!$E$296:$E$302,Drivers!$L63)</f>
        <v>2400.0388888888847</v>
      </c>
      <c r="CJ63" s="538">
        <f>SUMIFS('Fixed &amp; Intangibles'!CC$296:CC$302,'Fixed &amp; Intangibles'!$E$296:$E$302,Drivers!$L63)</f>
        <v>2400.0388888888847</v>
      </c>
    </row>
    <row r="64" spans="3:88" ht="14.45" customHeight="1" outlineLevel="2">
      <c r="D64" s="336" t="s">
        <v>269</v>
      </c>
      <c r="E64" s="280" t="s">
        <v>354</v>
      </c>
      <c r="F64" s="332">
        <v>0.05</v>
      </c>
      <c r="G64" s="332"/>
      <c r="H64" s="277" t="str">
        <f>IFERROR(INDEX(PBC_ACCOUNT_LIST[Drivers Section],MATCH(Drivers!L64,PBC_ACCOUNT_LIST[Id],0)),"")</f>
        <v>Other Expenses</v>
      </c>
      <c r="I64" s="277" t="str">
        <f>IFERROR(INDEX(PBC_ACCOUNT_LIST[Summary Grouping],MATCH(Drivers!L64,PBC_ACCOUNT_LIST[Id],0)),"")</f>
        <v>Other Expenses</v>
      </c>
      <c r="J64" s="277">
        <f>IFERROR(INDEX(PBC_ACCOUNT_LIST[Cash Flow Section],MATCH(Drivers!L64,PBC_ACCOUNT_LIST[Id],0)),"")</f>
        <v>0</v>
      </c>
      <c r="K64" s="278" t="s">
        <v>106</v>
      </c>
      <c r="L64" s="277">
        <v>192</v>
      </c>
      <c r="M64" s="276"/>
      <c r="P64" s="334">
        <f t="shared" si="63"/>
        <v>62037.5</v>
      </c>
      <c r="Q64" s="334">
        <f t="shared" si="63"/>
        <v>221339.5</v>
      </c>
      <c r="R64" s="334">
        <f t="shared" si="63"/>
        <v>222260.318</v>
      </c>
      <c r="S64" s="334">
        <f t="shared" si="63"/>
        <v>252065.78171973617</v>
      </c>
      <c r="T64" s="334"/>
      <c r="U64" s="334"/>
      <c r="V64" s="337">
        <f t="shared" si="64"/>
        <v>7500</v>
      </c>
      <c r="W64" s="337">
        <f t="shared" si="64"/>
        <v>7500</v>
      </c>
      <c r="X64" s="337">
        <f t="shared" si="64"/>
        <v>7500</v>
      </c>
      <c r="Y64" s="337">
        <f t="shared" si="64"/>
        <v>39537.5</v>
      </c>
      <c r="Z64" s="337">
        <f t="shared" si="64"/>
        <v>55334.5</v>
      </c>
      <c r="AA64" s="337">
        <f t="shared" si="64"/>
        <v>55335</v>
      </c>
      <c r="AB64" s="337">
        <f t="shared" si="64"/>
        <v>55335</v>
      </c>
      <c r="AC64" s="337">
        <f t="shared" si="64"/>
        <v>55335</v>
      </c>
      <c r="AD64" s="337">
        <f t="shared" si="64"/>
        <v>55334.759999999995</v>
      </c>
      <c r="AE64" s="337">
        <f t="shared" si="64"/>
        <v>55334.759999999995</v>
      </c>
      <c r="AF64" s="337">
        <f t="shared" si="64"/>
        <v>55334.28</v>
      </c>
      <c r="AG64" s="337">
        <f t="shared" si="64"/>
        <v>56256.517999999996</v>
      </c>
      <c r="AH64" s="337">
        <f t="shared" si="64"/>
        <v>59187.26067428125</v>
      </c>
      <c r="AI64" s="337">
        <f t="shared" si="64"/>
        <v>61584.717696029715</v>
      </c>
      <c r="AJ64" s="337">
        <f t="shared" si="64"/>
        <v>64264.828821451454</v>
      </c>
      <c r="AK64" s="337">
        <f t="shared" si="64"/>
        <v>67028.974527973784</v>
      </c>
      <c r="AL64" s="337"/>
      <c r="AM64" s="334"/>
      <c r="AN64" s="337">
        <f>SUMIFS(PBC_PROFIT_AND_LOSS[AccountBalance], PBC_PROFIT_AND_LOSS[Id],$L64,PBC_PROFIT_AND_LOSS[Date],AN$5)</f>
        <v>0</v>
      </c>
      <c r="AO64" s="337">
        <f>SUMIFS(PBC_PROFIT_AND_LOSS[AccountBalance], PBC_PROFIT_AND_LOSS[Id],$L64,PBC_PROFIT_AND_LOSS[Date],AO$5)</f>
        <v>2500</v>
      </c>
      <c r="AP64" s="337">
        <f>SUMIFS(PBC_PROFIT_AND_LOSS[AccountBalance], PBC_PROFIT_AND_LOSS[Id],$L64,PBC_PROFIT_AND_LOSS[Date],AP$5)</f>
        <v>2500</v>
      </c>
      <c r="AQ64" s="337">
        <f>SUMIFS(PBC_PROFIT_AND_LOSS[AccountBalance], PBC_PROFIT_AND_LOSS[Id],$L64,PBC_PROFIT_AND_LOSS[Date],AQ$5)</f>
        <v>2500</v>
      </c>
      <c r="AR64" s="337">
        <f>SUMIFS(PBC_PROFIT_AND_LOSS[AccountBalance], PBC_PROFIT_AND_LOSS[Id],$L64,PBC_PROFIT_AND_LOSS[Date],AR$5)</f>
        <v>2500</v>
      </c>
      <c r="AS64" s="337">
        <f>SUMIFS(PBC_PROFIT_AND_LOSS[AccountBalance], PBC_PROFIT_AND_LOSS[Id],$L64,PBC_PROFIT_AND_LOSS[Date],AS$5)</f>
        <v>2500</v>
      </c>
      <c r="AT64" s="337">
        <f>SUMIFS(PBC_PROFIT_AND_LOSS[AccountBalance], PBC_PROFIT_AND_LOSS[Id],$L64,PBC_PROFIT_AND_LOSS[Date],AT$5)</f>
        <v>2500</v>
      </c>
      <c r="AU64" s="337">
        <f>SUMIFS(PBC_PROFIT_AND_LOSS[AccountBalance], PBC_PROFIT_AND_LOSS[Id],$L64,PBC_PROFIT_AND_LOSS[Date],AU$5)</f>
        <v>2500</v>
      </c>
      <c r="AV64" s="337">
        <f>SUMIFS(PBC_PROFIT_AND_LOSS[AccountBalance], PBC_PROFIT_AND_LOSS[Id],$L64,PBC_PROFIT_AND_LOSS[Date],AV$5)</f>
        <v>2500</v>
      </c>
      <c r="AW64" s="337">
        <f>SUMIFS(PBC_PROFIT_AND_LOSS[AccountBalance], PBC_PROFIT_AND_LOSS[Id],$L64,PBC_PROFIT_AND_LOSS[Date],AW$5)</f>
        <v>2500</v>
      </c>
      <c r="AX64" s="337">
        <f>SUMIFS(PBC_PROFIT_AND_LOSS[AccountBalance], PBC_PROFIT_AND_LOSS[Id],$L64,PBC_PROFIT_AND_LOSS[Date],AX$5)</f>
        <v>7500</v>
      </c>
      <c r="AY64" s="337">
        <f>SUMIFS(PBC_PROFIT_AND_LOSS[AccountBalance], PBC_PROFIT_AND_LOSS[Id],$L64,PBC_PROFIT_AND_LOSS[Date],AY$5)</f>
        <v>13593</v>
      </c>
      <c r="AZ64" s="337">
        <f>SUMIFS(PBC_PROFIT_AND_LOSS[AccountBalance], PBC_PROFIT_AND_LOSS[Id],$L64,PBC_PROFIT_AND_LOSS[Date],AZ$5)</f>
        <v>18444.5</v>
      </c>
      <c r="BA64" s="337">
        <f>SUMIFS(PBC_PROFIT_AND_LOSS[AccountBalance], PBC_PROFIT_AND_LOSS[Id],$L64,PBC_PROFIT_AND_LOSS[Date],BA$5)</f>
        <v>18444.5</v>
      </c>
      <c r="BB64" s="337">
        <f>SUMIFS(PBC_PROFIT_AND_LOSS[AccountBalance], PBC_PROFIT_AND_LOSS[Id],$L64,PBC_PROFIT_AND_LOSS[Date],BB$5)</f>
        <v>18445</v>
      </c>
      <c r="BC64" s="337">
        <f>SUMIFS(PBC_PROFIT_AND_LOSS[AccountBalance], PBC_PROFIT_AND_LOSS[Id],$L64,PBC_PROFIT_AND_LOSS[Date],BC$5)</f>
        <v>18445</v>
      </c>
      <c r="BD64" s="337">
        <f>SUMIFS(PBC_PROFIT_AND_LOSS[AccountBalance], PBC_PROFIT_AND_LOSS[Id],$L64,PBC_PROFIT_AND_LOSS[Date],BD$5)</f>
        <v>18445</v>
      </c>
      <c r="BE64" s="337">
        <f>SUMIFS(PBC_PROFIT_AND_LOSS[AccountBalance], PBC_PROFIT_AND_LOSS[Id],$L64,PBC_PROFIT_AND_LOSS[Date],BE$5)</f>
        <v>18445</v>
      </c>
      <c r="BF64" s="337">
        <f>SUMIFS(PBC_PROFIT_AND_LOSS[AccountBalance], PBC_PROFIT_AND_LOSS[Id],$L64,PBC_PROFIT_AND_LOSS[Date],BF$5)</f>
        <v>18445</v>
      </c>
      <c r="BG64" s="337">
        <f>SUMIFS(PBC_PROFIT_AND_LOSS[AccountBalance], PBC_PROFIT_AND_LOSS[Id],$L64,PBC_PROFIT_AND_LOSS[Date],BG$5)</f>
        <v>18445</v>
      </c>
      <c r="BH64" s="337">
        <f>SUMIFS(PBC_PROFIT_AND_LOSS[AccountBalance], PBC_PROFIT_AND_LOSS[Id],$L64,PBC_PROFIT_AND_LOSS[Date],BH$5)</f>
        <v>18445</v>
      </c>
      <c r="BI64" s="337">
        <f>SUMIFS(PBC_PROFIT_AND_LOSS[AccountBalance], PBC_PROFIT_AND_LOSS[Id],$L64,PBC_PROFIT_AND_LOSS[Date],BI$5)</f>
        <v>18445</v>
      </c>
      <c r="BJ64" s="337">
        <f>SUMIFS(PBC_PROFIT_AND_LOSS[AccountBalance], PBC_PROFIT_AND_LOSS[Id],$L64,PBC_PROFIT_AND_LOSS[Date],BJ$5)</f>
        <v>18445</v>
      </c>
      <c r="BK64" s="337">
        <f>SUMIFS(PBC_PROFIT_AND_LOSS[AccountBalance], PBC_PROFIT_AND_LOSS[Id],$L64,PBC_PROFIT_AND_LOSS[Date],BK$5)</f>
        <v>18445</v>
      </c>
      <c r="BL64" s="337">
        <f>SUMIFS(PBC_PROFIT_AND_LOSS[AccountBalance], PBC_PROFIT_AND_LOSS[Id],$L64,PBC_PROFIT_AND_LOSS[Date],BL$5)</f>
        <v>18445</v>
      </c>
      <c r="BM64" s="337">
        <f>SUMIFS(PBC_PROFIT_AND_LOSS[AccountBalance], PBC_PROFIT_AND_LOSS[Id],$L64,PBC_PROFIT_AND_LOSS[Date],BM$5)</f>
        <v>18444.759999999998</v>
      </c>
      <c r="BN64" s="337">
        <f>SUMIFS(PBC_PROFIT_AND_LOSS[AccountBalance], PBC_PROFIT_AND_LOSS[Id],$L64,PBC_PROFIT_AND_LOSS[Date],BN$5)</f>
        <v>18445</v>
      </c>
      <c r="BO64" s="337">
        <f>SUMIFS(PBC_PROFIT_AND_LOSS[AccountBalance], PBC_PROFIT_AND_LOSS[Id],$L64,PBC_PROFIT_AND_LOSS[Date],BO$5)</f>
        <v>18445</v>
      </c>
      <c r="BP64" s="337">
        <f>SUMIFS(PBC_PROFIT_AND_LOSS[AccountBalance], PBC_PROFIT_AND_LOSS[Id],$L64,PBC_PROFIT_AND_LOSS[Date],BP$5)</f>
        <v>18445</v>
      </c>
      <c r="BQ64" s="337">
        <f>SUMIFS(PBC_PROFIT_AND_LOSS[AccountBalance], PBC_PROFIT_AND_LOSS[Id],$L64,PBC_PROFIT_AND_LOSS[Date],BQ$5)</f>
        <v>18445</v>
      </c>
      <c r="BR64" s="337">
        <f>SUMIFS(PBC_PROFIT_AND_LOSS[AccountBalance], PBC_PROFIT_AND_LOSS[Id],$L64,PBC_PROFIT_AND_LOSS[Date],BR$5)</f>
        <v>18444.759999999998</v>
      </c>
      <c r="BS64" s="337">
        <f>SUMIFS(PBC_PROFIT_AND_LOSS[AccountBalance], PBC_PROFIT_AND_LOSS[Id],$L64,PBC_PROFIT_AND_LOSS[Date],BS$5)</f>
        <v>18444.759999999998</v>
      </c>
      <c r="BT64" s="337">
        <f>SUMIFS(PBC_PROFIT_AND_LOSS[AccountBalance], PBC_PROFIT_AND_LOSS[Id],$L64,PBC_PROFIT_AND_LOSS[Date],BT$5)</f>
        <v>18444.759999999998</v>
      </c>
      <c r="BU64" s="337">
        <f>SUMIFS(PBC_PROFIT_AND_LOSS[AccountBalance], PBC_PROFIT_AND_LOSS[Id],$L64,PBC_PROFIT_AND_LOSS[Date],BU$5)</f>
        <v>18444.759999999998</v>
      </c>
      <c r="BV64" s="337">
        <f>SUMIFS(PBC_PROFIT_AND_LOSS[AccountBalance], PBC_PROFIT_AND_LOSS[Id],$L64,PBC_PROFIT_AND_LOSS[Date],BV$5)</f>
        <v>18444.759999999998</v>
      </c>
      <c r="BW64" s="337">
        <f>SUMIFS(PBC_PROFIT_AND_LOSS[AccountBalance], PBC_PROFIT_AND_LOSS[Id],$L64,PBC_PROFIT_AND_LOSS[Date],BW$5)</f>
        <v>18444.759999999998</v>
      </c>
      <c r="BX64" s="335" cm="1">
        <f t="array" ref="BX64">_xlfn.SWITCH(
    $E64,
    "3 month avg", AVERAGE(BU64:BW64) * (1 + $F64),
    "6 month avg", AVERAGE(BR64:BW64) * (1 + $F64),
    "12 month avg", AVERAGE(BM64:BW64) * (1 + $F64),
    "Prior Month",BW64* (1 + $F64),
    "Prior Year", BL64* (1 + $F64),
    "Monthly assumption",$G64* (1 + $F64),
    "Quarterly assumption",$G64/3* (1 + $F64),
    "Annual assumption",$G64/12* (1 + $F64),
    "% of Revenue",SUM(_xlfn._xlws.FILTER(_xlfn._xlws.FILTER(dataSummaryPL,dataSummaryPLSections="Revenue"),(startDates&gt;=BX$4)*(endDates&lt;=BX$5)))*$F64,
    "Custom",0,
    "0",0,
        0
)</f>
        <v>19366.998</v>
      </c>
      <c r="BY64" s="335" cm="1">
        <f t="array" ref="BY64">_xlfn.SWITCH(
    $E64,
    "3 month avg", AVERAGE(BV64:BX64) * (1 + $F64),
    "6 month avg", AVERAGE(BS64:BX64) * (1 + $F64),
    "12 month avg", AVERAGE(BN64:BX64) * (1 + $F64),
    "Prior Month",BX64* (1 + $F64),
    "Prior Year", BM64* (1 + $F64),
    "Monthly assumption",$G64* (1 + $F64),
    "Quarterly assumption",$G64/3* (1 + $F64),
    "Annual assumption",$G64/12* (1 + $F64),
    "% of Revenue",SUM(_xlfn._xlws.FILTER(_xlfn._xlws.FILTER(dataSummaryPL,dataSummaryPLSections="Revenue"),(startDates&gt;=BY$4)*(endDates&lt;=BY$5)))*$F64,
    "Custom",0,
    "0",0,
        0
)</f>
        <v>19528.389649999997</v>
      </c>
      <c r="BZ64" s="335" cm="1">
        <f t="array" ref="BZ64">_xlfn.SWITCH(
    $E64,
    "3 month avg", AVERAGE(BW64:BY64) * (1 + $F64),
    "6 month avg", AVERAGE(BT64:BY64) * (1 + $F64),
    "12 month avg", AVERAGE(BO64:BY64) * (1 + $F64),
    "Prior Month",BY64* (1 + $F64),
    "Prior Year", BN64* (1 + $F64),
    "Monthly assumption",$G64* (1 + $F64),
    "Quarterly assumption",$G64/3* (1 + $F64),
    "Annual assumption",$G64/12* (1 + $F64),
    "% of Revenue",SUM(_xlfn._xlws.FILTER(_xlfn._xlws.FILTER(dataSummaryPL,dataSummaryPLSections="Revenue"),(startDates&gt;=BZ$4)*(endDates&lt;=BZ$5)))*$F64,
    "Custom",0,
    "0",0,
        0
)</f>
        <v>19718.02483875</v>
      </c>
      <c r="CA64" s="335" cm="1">
        <f t="array" ref="CA64">_xlfn.SWITCH(
    $E64,
    "3 month avg", AVERAGE(BX64:BZ64) * (1 + $F64),
    "6 month avg", AVERAGE(BU64:BZ64) * (1 + $F64),
    "12 month avg", AVERAGE(BP64:BZ64) * (1 + $F64),
    "Prior Month",BZ64* (1 + $F64),
    "Prior Year", BO64* (1 + $F64),
    "Monthly assumption",$G64* (1 + $F64),
    "Quarterly assumption",$G64/3* (1 + $F64),
    "Annual assumption",$G64/12* (1 + $F64),
    "% of Revenue",SUM(_xlfn._xlws.FILTER(_xlfn._xlws.FILTER(dataSummaryPL,dataSummaryPLSections="Revenue"),(startDates&gt;=CA$4)*(endDates&lt;=CA$5)))*$F64,
    "Custom",0,
    "0",0,
        0
)</f>
        <v>19940.846185531249</v>
      </c>
      <c r="CB64" s="335" cm="1">
        <f t="array" ref="CB64">_xlfn.SWITCH(
    $E64,
    "3 month avg", AVERAGE(BY64:CA64) * (1 + $F64),
    "6 month avg", AVERAGE(BV64:CA64) * (1 + $F64),
    "12 month avg", AVERAGE(BQ64:CA64) * (1 + $F64),
    "Prior Month",CA64* (1 + $F64),
    "Prior Year", BP64* (1 + $F64),
    "Monthly assumption",$G64* (1 + $F64),
    "Quarterly assumption",$G64/3* (1 + $F64),
    "Annual assumption",$G64/12* (1 + $F64),
    "% of Revenue",SUM(_xlfn._xlws.FILTER(_xlfn._xlws.FILTER(dataSummaryPL,dataSummaryPLSections="Revenue"),(startDates&gt;=CB$4)*(endDates&lt;=CB$5)))*$F64,
    "Custom",0,
    "0",0,
        0
)</f>
        <v>20202.661267999218</v>
      </c>
      <c r="CC64" s="335" cm="1">
        <f t="array" ref="CC64">_xlfn.SWITCH(
    $E64,
    "3 month avg", AVERAGE(BZ64:CB64) * (1 + $F64),
    "6 month avg", AVERAGE(BW64:CB64) * (1 + $F64),
    "12 month avg", AVERAGE(BR64:CB64) * (1 + $F64),
    "Prior Month",CB64* (1 + $F64),
    "Prior Year", BQ64* (1 + $F64),
    "Monthly assumption",$G64* (1 + $F64),
    "Quarterly assumption",$G64/3* (1 + $F64),
    "Annual assumption",$G64/12* (1 + $F64),
    "% of Revenue",SUM(_xlfn._xlws.FILTER(_xlfn._xlws.FILTER(dataSummaryPL,dataSummaryPLSections="Revenue"),(startDates&gt;=CC$4)*(endDates&lt;=CC$5)))*$F64,
    "Custom",0,
    "0",0,
        0
)</f>
        <v>20510.293989899081</v>
      </c>
      <c r="CD64" s="335" cm="1">
        <f t="array" ref="CD64">_xlfn.SWITCH(
    $E64,
    "3 month avg", AVERAGE(CA64:CC64) * (1 + $F64),
    "6 month avg", AVERAGE(BX64:CC64) * (1 + $F64),
    "12 month avg", AVERAGE(BS64:CC64) * (1 + $F64),
    "Prior Month",CC64* (1 + $F64),
    "Prior Year", BR64* (1 + $F64),
    "Monthly assumption",$G64* (1 + $F64),
    "Quarterly assumption",$G64/3* (1 + $F64),
    "Annual assumption",$G64/12* (1 + $F64),
    "% of Revenue",SUM(_xlfn._xlws.FILTER(_xlfn._xlws.FILTER(dataSummaryPL,dataSummaryPLSections="Revenue"),(startDates&gt;=CD$4)*(endDates&lt;=CD$5)))*$F64,
    "Custom",0,
    "0",0,
        0
)</f>
        <v>20871.762438131416</v>
      </c>
      <c r="CE64" s="335" cm="1">
        <f t="array" ref="CE64">_xlfn.SWITCH(
    $E64,
    "3 month avg", AVERAGE(CB64:CD64) * (1 + $F64),
    "6 month avg", AVERAGE(BY64:CD64) * (1 + $F64),
    "12 month avg", AVERAGE(BT64:CD64) * (1 + $F64),
    "Prior Month",CD64* (1 + $F64),
    "Prior Year", BS64* (1 + $F64),
    "Monthly assumption",$G64* (1 + $F64),
    "Quarterly assumption",$G64/3* (1 + $F64),
    "Annual assumption",$G64/12* (1 + $F64),
    "% of Revenue",SUM(_xlfn._xlws.FILTER(_xlfn._xlws.FILTER(dataSummaryPL,dataSummaryPLSections="Revenue"),(startDates&gt;=CE$4)*(endDates&lt;=CE$5)))*$F64,
    "Custom",0,
    "0",0,
        0
)</f>
        <v>21135.096214804413</v>
      </c>
      <c r="CF64" s="335" cm="1">
        <f t="array" ref="CF64">_xlfn.SWITCH(
    $E64,
    "3 month avg", AVERAGE(CC64:CE64) * (1 + $F64),
    "6 month avg", AVERAGE(BZ64:CE64) * (1 + $F64),
    "12 month avg", AVERAGE(BU64:CE64) * (1 + $F64),
    "Prior Month",CE64* (1 + $F64),
    "Prior Year", BT64* (1 + $F64),
    "Monthly assumption",$G64* (1 + $F64),
    "Quarterly assumption",$G64/3* (1 + $F64),
    "Annual assumption",$G64/12* (1 + $F64),
    "% of Revenue",SUM(_xlfn._xlws.FILTER(_xlfn._xlws.FILTER(dataSummaryPL,dataSummaryPLSections="Revenue"),(startDates&gt;=CF$4)*(endDates&lt;=CF$5)))*$F64,
    "Custom",0,
    "0",0,
        0
)</f>
        <v>21416.269863645193</v>
      </c>
      <c r="CG64" s="335" cm="1">
        <f t="array" ref="CG64">_xlfn.SWITCH(
    $E64,
    "3 month avg", AVERAGE(CD64:CF64) * (1 + $F64),
    "6 month avg", AVERAGE(CA64:CF64) * (1 + $F64),
    "12 month avg", AVERAGE(BV64:CF64) * (1 + $F64),
    "Prior Month",CF64* (1 + $F64),
    "Prior Year", BU64* (1 + $F64),
    "Monthly assumption",$G64* (1 + $F64),
    "Quarterly assumption",$G64/3* (1 + $F64),
    "Annual assumption",$G64/12* (1 + $F64),
    "% of Revenue",SUM(_xlfn._xlws.FILTER(_xlfn._xlws.FILTER(dataSummaryPL,dataSummaryPLSections="Revenue"),(startDates&gt;=CG$4)*(endDates&lt;=CG$5)))*$F64,
    "Custom",0,
    "0",0,
        0
)</f>
        <v>21713.462743001852</v>
      </c>
      <c r="CH64" s="335" cm="1">
        <f t="array" ref="CH64">_xlfn.SWITCH(
    $E64,
    "3 month avg", AVERAGE(CE64:CG64) * (1 + $F64),
    "6 month avg", AVERAGE(CB64:CG64) * (1 + $F64),
    "12 month avg", AVERAGE(BW64:CG64) * (1 + $F64),
    "Prior Month",CG64* (1 + $F64),
    "Prior Year", BV64* (1 + $F64),
    "Monthly assumption",$G64* (1 + $F64),
    "Quarterly assumption",$G64/3* (1 + $F64),
    "Annual assumption",$G64/12* (1 + $F64),
    "% of Revenue",SUM(_xlfn._xlws.FILTER(_xlfn._xlws.FILTER(dataSummaryPL,dataSummaryPLSections="Revenue"),(startDates&gt;=CH$4)*(endDates&lt;=CH$5)))*$F64,
    "Custom",0,
    "0",0,
        0
)</f>
        <v>22023.670640559209</v>
      </c>
      <c r="CI64" s="335" cm="1">
        <f t="array" ref="CI64">_xlfn.SWITCH(
    $E64,
    "3 month avg", AVERAGE(CF64:CH64) * (1 + $F64),
    "6 month avg", AVERAGE(CC64:CH64) * (1 + $F64),
    "12 month avg", AVERAGE(BX64:CH64) * (1 + $F64),
    "Prior Month",CH64* (1 + $F64),
    "Prior Year", BW64* (1 + $F64),
    "Monthly assumption",$G64* (1 + $F64),
    "Quarterly assumption",$G64/3* (1 + $F64),
    "Annual assumption",$G64/12* (1 + $F64),
    "% of Revenue",SUM(_xlfn._xlws.FILTER(_xlfn._xlws.FILTER(dataSummaryPL,dataSummaryPLSections="Revenue"),(startDates&gt;=CI$4)*(endDates&lt;=CI$5)))*$F64,
    "Custom",0,
    "0",0,
        0
)</f>
        <v>22342.347280757203</v>
      </c>
      <c r="CJ64" s="335" cm="1">
        <f t="array" ref="CJ64">_xlfn.SWITCH(
    $E64,
    "3 month avg", AVERAGE(CG64:CI64) * (1 + $F64),
    "6 month avg", AVERAGE(CD64:CI64) * (1 + $F64),
    "12 month avg", AVERAGE(BY64:CI64) * (1 + $F64),
    "Prior Month",CI64* (1 + $F64),
    "Prior Year", BX64* (1 + $F64),
    "Monthly assumption",$G64* (1 + $F64),
    "Quarterly assumption",$G64/3* (1 + $F64),
    "Annual assumption",$G64/12* (1 + $F64),
    "% of Revenue",SUM(_xlfn._xlws.FILTER(_xlfn._xlws.FILTER(dataSummaryPL,dataSummaryPLSections="Revenue"),(startDates&gt;=CJ$4)*(endDates&lt;=CJ$5)))*$F64,
    "Custom",0,
    "0",0,
        0
)</f>
        <v>22662.956606657375</v>
      </c>
    </row>
    <row r="65" spans="1:88" outlineLevel="1">
      <c r="E65" s="280"/>
      <c r="F65" s="279"/>
      <c r="G65" s="279"/>
      <c r="H65" s="277"/>
      <c r="I65" s="277"/>
      <c r="J65" s="277"/>
      <c r="K65" s="278"/>
      <c r="L65" s="277"/>
      <c r="M65" s="276"/>
    </row>
    <row r="66" spans="1:88" ht="15" outlineLevel="1">
      <c r="A66" s="285"/>
      <c r="B66" s="284"/>
      <c r="C66" s="283" t="s">
        <v>133</v>
      </c>
      <c r="D66" s="282"/>
      <c r="E66" s="280"/>
      <c r="F66" s="279"/>
      <c r="G66" s="279"/>
      <c r="H66" s="277"/>
      <c r="I66" s="277"/>
      <c r="J66" s="277"/>
      <c r="K66" s="278"/>
      <c r="L66" s="277"/>
      <c r="M66" s="276"/>
      <c r="O66" s="272"/>
      <c r="P66" s="281">
        <f>P56-P61</f>
        <v>-77240</v>
      </c>
      <c r="Q66" s="281">
        <f>Q56-Q61</f>
        <v>-257951.5</v>
      </c>
      <c r="R66" s="281">
        <f>R56-R61</f>
        <v>-258995.39466666666</v>
      </c>
      <c r="S66" s="281">
        <f>S56-S61</f>
        <v>-283852.35949751397</v>
      </c>
      <c r="T66" s="272"/>
      <c r="U66" s="272"/>
      <c r="V66" s="281">
        <f t="shared" ref="V66:AK66" si="65">V56-V61</f>
        <v>-7777</v>
      </c>
      <c r="W66" s="281">
        <f t="shared" si="65"/>
        <v>-11195.5</v>
      </c>
      <c r="X66" s="281">
        <f t="shared" si="65"/>
        <v>-11847</v>
      </c>
      <c r="Y66" s="281">
        <f t="shared" si="65"/>
        <v>-46420.5</v>
      </c>
      <c r="Z66" s="281">
        <f t="shared" si="65"/>
        <v>-64487.5</v>
      </c>
      <c r="AA66" s="281">
        <f t="shared" si="65"/>
        <v>-64488</v>
      </c>
      <c r="AB66" s="281">
        <f t="shared" si="65"/>
        <v>-64488</v>
      </c>
      <c r="AC66" s="281">
        <f t="shared" si="65"/>
        <v>-64488</v>
      </c>
      <c r="AD66" s="281">
        <f t="shared" si="65"/>
        <v>-64486.739999999991</v>
      </c>
      <c r="AE66" s="281">
        <f t="shared" si="65"/>
        <v>-64486.739999999991</v>
      </c>
      <c r="AF66" s="281">
        <f t="shared" si="65"/>
        <v>-64486.259999999995</v>
      </c>
      <c r="AG66" s="281">
        <f t="shared" si="65"/>
        <v>-65535.654666666662</v>
      </c>
      <c r="AH66" s="281">
        <f t="shared" si="65"/>
        <v>-68998.488452059028</v>
      </c>
      <c r="AI66" s="281">
        <f t="shared" si="65"/>
        <v>-69090.389918251953</v>
      </c>
      <c r="AJ66" s="281">
        <f t="shared" si="65"/>
        <v>-71534.389932562568</v>
      </c>
      <c r="AK66" s="281">
        <f t="shared" si="65"/>
        <v>-74229.091194640438</v>
      </c>
      <c r="AM66" s="272"/>
      <c r="AN66" s="281">
        <f t="shared" ref="AN66:BS66" si="66">AN56-AN61</f>
        <v>0</v>
      </c>
      <c r="AO66" s="281">
        <f t="shared" si="66"/>
        <v>-2569</v>
      </c>
      <c r="AP66" s="281">
        <f t="shared" si="66"/>
        <v>-2569</v>
      </c>
      <c r="AQ66" s="281">
        <f t="shared" si="66"/>
        <v>-2639</v>
      </c>
      <c r="AR66" s="281">
        <f t="shared" si="66"/>
        <v>-3611.5</v>
      </c>
      <c r="AS66" s="281">
        <f t="shared" si="66"/>
        <v>-3681</v>
      </c>
      <c r="AT66" s="281">
        <f t="shared" si="66"/>
        <v>-3903</v>
      </c>
      <c r="AU66" s="281">
        <f t="shared" si="66"/>
        <v>-3903</v>
      </c>
      <c r="AV66" s="281">
        <f t="shared" si="66"/>
        <v>-3972</v>
      </c>
      <c r="AW66" s="281">
        <f t="shared" si="66"/>
        <v>-3972</v>
      </c>
      <c r="AX66" s="281">
        <f t="shared" si="66"/>
        <v>-8972</v>
      </c>
      <c r="AY66" s="281">
        <f t="shared" si="66"/>
        <v>-15953</v>
      </c>
      <c r="AZ66" s="281">
        <f t="shared" si="66"/>
        <v>-21495.5</v>
      </c>
      <c r="BA66" s="281">
        <f t="shared" si="66"/>
        <v>-21495.5</v>
      </c>
      <c r="BB66" s="281">
        <f t="shared" si="66"/>
        <v>-21496</v>
      </c>
      <c r="BC66" s="281">
        <f t="shared" si="66"/>
        <v>-21496</v>
      </c>
      <c r="BD66" s="281">
        <f t="shared" si="66"/>
        <v>-21496</v>
      </c>
      <c r="BE66" s="281">
        <f t="shared" si="66"/>
        <v>-21496</v>
      </c>
      <c r="BF66" s="281">
        <f t="shared" si="66"/>
        <v>-21496</v>
      </c>
      <c r="BG66" s="281">
        <f t="shared" si="66"/>
        <v>-21496</v>
      </c>
      <c r="BH66" s="281">
        <f t="shared" si="66"/>
        <v>-21496</v>
      </c>
      <c r="BI66" s="281">
        <f t="shared" si="66"/>
        <v>-21496</v>
      </c>
      <c r="BJ66" s="281">
        <f t="shared" si="66"/>
        <v>-21496</v>
      </c>
      <c r="BK66" s="281">
        <f t="shared" si="66"/>
        <v>-21496</v>
      </c>
      <c r="BL66" s="281">
        <f t="shared" si="66"/>
        <v>-21496</v>
      </c>
      <c r="BM66" s="281">
        <f t="shared" si="66"/>
        <v>-21495.42</v>
      </c>
      <c r="BN66" s="281">
        <f t="shared" si="66"/>
        <v>-21495.66</v>
      </c>
      <c r="BO66" s="281">
        <f t="shared" si="66"/>
        <v>-21495.66</v>
      </c>
      <c r="BP66" s="281">
        <f t="shared" si="66"/>
        <v>-21495.66</v>
      </c>
      <c r="BQ66" s="281">
        <f t="shared" si="66"/>
        <v>-21495.66</v>
      </c>
      <c r="BR66" s="281">
        <f t="shared" si="66"/>
        <v>-21495.42</v>
      </c>
      <c r="BS66" s="281">
        <f t="shared" si="66"/>
        <v>-21495.42</v>
      </c>
      <c r="BT66" s="281">
        <f t="shared" ref="BT66:BV66" si="67">BT56-BT61</f>
        <v>-21495.42</v>
      </c>
      <c r="BU66" s="281">
        <f t="shared" si="67"/>
        <v>-21495.42</v>
      </c>
      <c r="BV66" s="281">
        <f t="shared" si="67"/>
        <v>-21495.42</v>
      </c>
      <c r="BW66" s="281">
        <f t="shared" ref="BW66" si="68">BW56-BW61</f>
        <v>-21495.42</v>
      </c>
      <c r="BX66" s="281">
        <f t="shared" ref="BX66:CJ66" si="69">BX56-BX61</f>
        <v>-22544.814666666665</v>
      </c>
      <c r="BY66" s="281">
        <f t="shared" si="69"/>
        <v>-22636.761872222225</v>
      </c>
      <c r="BZ66" s="281">
        <f t="shared" si="69"/>
        <v>-23104.174838749994</v>
      </c>
      <c r="CA66" s="281">
        <f t="shared" si="69"/>
        <v>-23257.551741086805</v>
      </c>
      <c r="CB66" s="281">
        <f t="shared" si="69"/>
        <v>-22547.144601332555</v>
      </c>
      <c r="CC66" s="281">
        <f t="shared" si="69"/>
        <v>-23201.999545454637</v>
      </c>
      <c r="CD66" s="281">
        <f t="shared" si="69"/>
        <v>-23341.245771464753</v>
      </c>
      <c r="CE66" s="281">
        <f t="shared" si="69"/>
        <v>-23604.57954813775</v>
      </c>
      <c r="CF66" s="281">
        <f t="shared" si="69"/>
        <v>-23816.308752534078</v>
      </c>
      <c r="CG66" s="281">
        <f t="shared" si="69"/>
        <v>-24113.501631890736</v>
      </c>
      <c r="CH66" s="281">
        <f t="shared" si="69"/>
        <v>-24423.709529448093</v>
      </c>
      <c r="CI66" s="281">
        <f t="shared" si="69"/>
        <v>-24742.386169646088</v>
      </c>
      <c r="CJ66" s="281">
        <f t="shared" si="69"/>
        <v>-25062.99549554626</v>
      </c>
    </row>
    <row r="67" spans="1:88" ht="15" outlineLevel="1">
      <c r="B67" s="284"/>
      <c r="C67" s="283"/>
      <c r="D67" s="288"/>
      <c r="E67" s="280"/>
      <c r="F67" s="279"/>
      <c r="G67" s="279"/>
      <c r="H67" s="277"/>
      <c r="I67" s="277"/>
      <c r="J67" s="277"/>
      <c r="K67" s="278"/>
      <c r="L67" s="277"/>
      <c r="M67" s="276"/>
      <c r="O67" s="272"/>
      <c r="P67" s="272"/>
      <c r="Q67" s="272"/>
      <c r="R67" s="272"/>
      <c r="S67" s="272"/>
      <c r="T67" s="272"/>
      <c r="U67" s="272"/>
      <c r="V67" s="287"/>
      <c r="W67" s="287"/>
      <c r="X67" s="287"/>
      <c r="Y67" s="287"/>
      <c r="Z67" s="287"/>
      <c r="AA67" s="287"/>
      <c r="AB67" s="287"/>
      <c r="AC67" s="287"/>
      <c r="AD67" s="287"/>
      <c r="AE67" s="287"/>
      <c r="AF67" s="287"/>
      <c r="AG67" s="287"/>
      <c r="AH67" s="287"/>
      <c r="AI67" s="287"/>
      <c r="AJ67" s="287"/>
      <c r="AK67" s="287"/>
      <c r="AL67" s="287"/>
      <c r="AM67" s="272"/>
      <c r="AN67" s="286"/>
      <c r="AO67" s="286"/>
      <c r="AP67" s="286"/>
      <c r="AQ67" s="286"/>
      <c r="AR67" s="286"/>
      <c r="AS67" s="286"/>
      <c r="AT67" s="286"/>
      <c r="AU67" s="286"/>
      <c r="AV67" s="286"/>
      <c r="AW67" s="286"/>
      <c r="AX67" s="286"/>
      <c r="AY67" s="286"/>
      <c r="AZ67" s="286"/>
      <c r="BA67" s="286"/>
      <c r="BB67" s="286"/>
      <c r="BC67" s="286"/>
      <c r="BD67" s="286"/>
      <c r="BE67" s="286"/>
      <c r="BF67" s="286"/>
      <c r="BG67" s="286"/>
      <c r="BH67" s="286"/>
      <c r="BI67" s="286"/>
      <c r="BJ67" s="286"/>
      <c r="BK67" s="286"/>
      <c r="BL67" s="286"/>
      <c r="BM67" s="286"/>
      <c r="BN67" s="286"/>
      <c r="BO67" s="286"/>
      <c r="BP67" s="286"/>
      <c r="BQ67" s="286"/>
      <c r="BR67" s="286"/>
      <c r="BS67" s="286"/>
      <c r="BT67" s="286"/>
      <c r="BU67" s="286"/>
      <c r="BV67" s="286"/>
      <c r="BW67" s="286"/>
      <c r="BX67" s="286"/>
      <c r="BY67" s="286"/>
      <c r="BZ67" s="286"/>
      <c r="CA67" s="286"/>
      <c r="CB67" s="286"/>
      <c r="CC67" s="286"/>
      <c r="CD67" s="286"/>
      <c r="CE67" s="286"/>
      <c r="CF67" s="286"/>
      <c r="CG67" s="286"/>
      <c r="CH67" s="286"/>
      <c r="CI67" s="286"/>
      <c r="CJ67" s="286"/>
    </row>
    <row r="68" spans="1:88" ht="15" outlineLevel="1">
      <c r="A68" s="285"/>
      <c r="B68" s="284"/>
      <c r="C68" s="283" t="s">
        <v>102</v>
      </c>
      <c r="D68" s="282"/>
      <c r="E68" s="280"/>
      <c r="F68" s="279"/>
      <c r="G68" s="279"/>
      <c r="H68" s="277"/>
      <c r="I68" s="277"/>
      <c r="J68" s="277"/>
      <c r="K68" s="278"/>
      <c r="L68" s="277"/>
      <c r="M68" s="276"/>
      <c r="O68" s="272"/>
      <c r="P68" s="281">
        <f>P54+P66</f>
        <v>-659921.5</v>
      </c>
      <c r="Q68" s="281">
        <f>Q54+Q66</f>
        <v>-1553482.5</v>
      </c>
      <c r="R68" s="281">
        <f>R54+R66</f>
        <v>-2623718.7422727272</v>
      </c>
      <c r="S68" s="281">
        <f>S54+S66</f>
        <v>-2797484.9957560929</v>
      </c>
      <c r="T68" s="272"/>
      <c r="U68" s="272"/>
      <c r="V68" s="281">
        <f t="shared" ref="V68:AK68" si="70">V54+V66</f>
        <v>-134542</v>
      </c>
      <c r="W68" s="281">
        <f t="shared" si="70"/>
        <v>-141020</v>
      </c>
      <c r="X68" s="281">
        <f t="shared" si="70"/>
        <v>-142881.5</v>
      </c>
      <c r="Y68" s="281">
        <f t="shared" si="70"/>
        <v>-241478</v>
      </c>
      <c r="Z68" s="281">
        <f t="shared" si="70"/>
        <v>-277494</v>
      </c>
      <c r="AA68" s="281">
        <f t="shared" si="70"/>
        <v>-353145</v>
      </c>
      <c r="AB68" s="281">
        <f t="shared" si="70"/>
        <v>-445187</v>
      </c>
      <c r="AC68" s="281">
        <f t="shared" si="70"/>
        <v>-477656.50000000012</v>
      </c>
      <c r="AD68" s="281">
        <f t="shared" si="70"/>
        <v>-542782.23</v>
      </c>
      <c r="AE68" s="281">
        <f t="shared" si="70"/>
        <v>-610775.53000000014</v>
      </c>
      <c r="AF68" s="281">
        <f t="shared" si="70"/>
        <v>-682248.24999999988</v>
      </c>
      <c r="AG68" s="281">
        <f t="shared" si="70"/>
        <v>-787912.73227272741</v>
      </c>
      <c r="AH68" s="281">
        <f t="shared" si="70"/>
        <v>-610564.83382827765</v>
      </c>
      <c r="AI68" s="281">
        <f t="shared" si="70"/>
        <v>-680673.71481320099</v>
      </c>
      <c r="AJ68" s="281">
        <f t="shared" si="70"/>
        <v>-728827.4805175832</v>
      </c>
      <c r="AK68" s="281">
        <f t="shared" si="70"/>
        <v>-777418.9665970311</v>
      </c>
      <c r="AM68" s="272"/>
      <c r="AN68" s="281">
        <f t="shared" ref="AN68:BS68" si="71">AN54+AN66</f>
        <v>0</v>
      </c>
      <c r="AO68" s="281">
        <f t="shared" si="71"/>
        <v>-44399</v>
      </c>
      <c r="AP68" s="281">
        <f t="shared" si="71"/>
        <v>-44839</v>
      </c>
      <c r="AQ68" s="281">
        <f t="shared" si="71"/>
        <v>-45304</v>
      </c>
      <c r="AR68" s="281">
        <f t="shared" si="71"/>
        <v>-46621</v>
      </c>
      <c r="AS68" s="281">
        <f t="shared" si="71"/>
        <v>-46978</v>
      </c>
      <c r="AT68" s="281">
        <f t="shared" si="71"/>
        <v>-47421</v>
      </c>
      <c r="AU68" s="281">
        <f t="shared" si="71"/>
        <v>-47561</v>
      </c>
      <c r="AV68" s="281">
        <f t="shared" si="71"/>
        <v>-47684.5</v>
      </c>
      <c r="AW68" s="281">
        <f t="shared" si="71"/>
        <v>-47636</v>
      </c>
      <c r="AX68" s="281">
        <f t="shared" si="71"/>
        <v>-52475</v>
      </c>
      <c r="AY68" s="281">
        <f t="shared" si="71"/>
        <v>-64818</v>
      </c>
      <c r="AZ68" s="281">
        <f t="shared" si="71"/>
        <v>-124185</v>
      </c>
      <c r="BA68" s="281">
        <f t="shared" si="71"/>
        <v>-72804.5</v>
      </c>
      <c r="BB68" s="281">
        <f t="shared" si="71"/>
        <v>-129320</v>
      </c>
      <c r="BC68" s="281">
        <f t="shared" si="71"/>
        <v>-75369.5</v>
      </c>
      <c r="BD68" s="281">
        <f t="shared" si="71"/>
        <v>-134710.5</v>
      </c>
      <c r="BE68" s="281">
        <f t="shared" si="71"/>
        <v>-78062.5</v>
      </c>
      <c r="BF68" s="281">
        <f t="shared" si="71"/>
        <v>-140372</v>
      </c>
      <c r="BG68" s="281">
        <f t="shared" si="71"/>
        <v>-146316</v>
      </c>
      <c r="BH68" s="281">
        <f t="shared" si="71"/>
        <v>-146315</v>
      </c>
      <c r="BI68" s="281">
        <f t="shared" si="71"/>
        <v>-152556</v>
      </c>
      <c r="BJ68" s="281">
        <f t="shared" si="71"/>
        <v>-152557</v>
      </c>
      <c r="BK68" s="281">
        <f t="shared" si="71"/>
        <v>-159110</v>
      </c>
      <c r="BL68" s="281">
        <f t="shared" si="71"/>
        <v>-165989.5</v>
      </c>
      <c r="BM68" s="281">
        <f t="shared" si="71"/>
        <v>-173214.90999999992</v>
      </c>
      <c r="BN68" s="281">
        <f t="shared" si="71"/>
        <v>-180800.66</v>
      </c>
      <c r="BO68" s="281">
        <f t="shared" si="71"/>
        <v>-188766.66</v>
      </c>
      <c r="BP68" s="281">
        <f t="shared" si="71"/>
        <v>-197129.66</v>
      </c>
      <c r="BQ68" s="281">
        <f t="shared" si="71"/>
        <v>-205913.66</v>
      </c>
      <c r="BR68" s="281">
        <f t="shared" si="71"/>
        <v>-207732.21000000002</v>
      </c>
      <c r="BS68" s="281">
        <f t="shared" si="71"/>
        <v>-219114.04999999993</v>
      </c>
      <c r="BT68" s="281">
        <f t="shared" ref="BT68:BV68" si="72">BT54+BT66</f>
        <v>-235479.99</v>
      </c>
      <c r="BU68" s="281">
        <f t="shared" si="72"/>
        <v>-227654.21000000002</v>
      </c>
      <c r="BV68" s="281">
        <f t="shared" si="72"/>
        <v>-246862.15000000002</v>
      </c>
      <c r="BW68" s="281">
        <f t="shared" ref="BW68" si="73">BW54+BW66</f>
        <v>-259180.49</v>
      </c>
      <c r="BX68" s="281">
        <f t="shared" ref="BX68:CJ68" si="74">BX54+BX66</f>
        <v>-281870.09227272723</v>
      </c>
      <c r="BY68" s="281">
        <f t="shared" si="74"/>
        <v>-224950.03602817957</v>
      </c>
      <c r="BZ68" s="281">
        <f t="shared" si="74"/>
        <v>-190478.12569013389</v>
      </c>
      <c r="CA68" s="281">
        <f t="shared" si="74"/>
        <v>-195136.6721099643</v>
      </c>
      <c r="CB68" s="281">
        <f t="shared" si="74"/>
        <v>-222874.80513351597</v>
      </c>
      <c r="CC68" s="281">
        <f t="shared" si="74"/>
        <v>-226364.12775811536</v>
      </c>
      <c r="CD68" s="281">
        <f t="shared" si="74"/>
        <v>-231434.78192156955</v>
      </c>
      <c r="CE68" s="281">
        <f t="shared" si="74"/>
        <v>-239175.14046604885</v>
      </c>
      <c r="CF68" s="281">
        <f t="shared" si="74"/>
        <v>-242999.31608914884</v>
      </c>
      <c r="CG68" s="281">
        <f t="shared" si="74"/>
        <v>-246653.02396238552</v>
      </c>
      <c r="CH68" s="281">
        <f t="shared" si="74"/>
        <v>-250115.95194645514</v>
      </c>
      <c r="CI68" s="281">
        <f t="shared" si="74"/>
        <v>-253468.68181665594</v>
      </c>
      <c r="CJ68" s="281">
        <f t="shared" si="74"/>
        <v>-273834.33283392026</v>
      </c>
    </row>
    <row r="69" spans="1:88" ht="15">
      <c r="B69" s="284"/>
      <c r="C69" s="283"/>
      <c r="D69" s="288"/>
      <c r="E69" s="280"/>
      <c r="F69" s="279"/>
      <c r="G69" s="279"/>
      <c r="H69" s="277"/>
      <c r="I69" s="277"/>
      <c r="J69" s="277"/>
      <c r="K69" s="278"/>
      <c r="L69" s="277"/>
      <c r="M69" s="276"/>
      <c r="O69" s="272"/>
      <c r="P69" s="272"/>
      <c r="Q69" s="272"/>
      <c r="R69" s="272"/>
      <c r="S69" s="272"/>
      <c r="T69" s="272"/>
      <c r="U69" s="272"/>
      <c r="V69" s="287"/>
      <c r="W69" s="287"/>
      <c r="X69" s="287"/>
      <c r="Y69" s="287"/>
      <c r="Z69" s="287"/>
      <c r="AA69" s="287"/>
      <c r="AB69" s="287"/>
      <c r="AC69" s="287"/>
      <c r="AD69" s="287"/>
      <c r="AE69" s="287"/>
      <c r="AF69" s="287"/>
      <c r="AG69" s="287"/>
      <c r="AH69" s="287"/>
      <c r="AI69" s="287"/>
      <c r="AJ69" s="287"/>
      <c r="AK69" s="287"/>
      <c r="AL69" s="287"/>
      <c r="AM69" s="272"/>
      <c r="AN69" s="286"/>
      <c r="AO69" s="286"/>
      <c r="AP69" s="286"/>
      <c r="AQ69" s="286"/>
      <c r="AR69" s="286"/>
      <c r="AS69" s="286"/>
      <c r="AT69" s="286"/>
      <c r="AU69" s="286"/>
      <c r="AV69" s="286"/>
      <c r="AW69" s="286"/>
      <c r="AX69" s="286"/>
      <c r="AY69" s="286"/>
      <c r="AZ69" s="286"/>
      <c r="BA69" s="286"/>
      <c r="BB69" s="286"/>
      <c r="BC69" s="286"/>
      <c r="BD69" s="286"/>
      <c r="BE69" s="286"/>
      <c r="BF69" s="286"/>
      <c r="BG69" s="286"/>
      <c r="BH69" s="286"/>
      <c r="BI69" s="286"/>
      <c r="BJ69" s="286"/>
      <c r="BK69" s="286"/>
      <c r="BL69" s="286"/>
      <c r="BM69" s="286"/>
      <c r="BN69" s="286"/>
      <c r="BO69" s="286"/>
      <c r="BP69" s="286"/>
      <c r="BQ69" s="286"/>
      <c r="BR69" s="286"/>
      <c r="BS69" s="286"/>
      <c r="BT69" s="286"/>
      <c r="BU69" s="286"/>
      <c r="BV69" s="286"/>
      <c r="BW69" s="286"/>
      <c r="BX69" s="286"/>
      <c r="BY69" s="286"/>
      <c r="BZ69" s="286"/>
      <c r="CA69" s="286"/>
      <c r="CB69" s="286"/>
      <c r="CC69" s="286"/>
      <c r="CD69" s="286"/>
      <c r="CE69" s="286"/>
      <c r="CF69" s="286"/>
      <c r="CG69" s="286"/>
      <c r="CH69" s="286"/>
      <c r="CI69" s="286"/>
      <c r="CJ69" s="286"/>
    </row>
    <row r="70" spans="1:88" s="290" customFormat="1" ht="24">
      <c r="B70" s="299" t="s">
        <v>55</v>
      </c>
      <c r="C70" s="292"/>
      <c r="D70" s="292"/>
      <c r="E70" s="298"/>
      <c r="F70" s="292"/>
      <c r="G70" s="292"/>
      <c r="H70" s="297"/>
      <c r="I70" s="297"/>
      <c r="J70" s="297"/>
      <c r="K70" s="297"/>
      <c r="L70" s="297"/>
      <c r="M70" s="292"/>
      <c r="N70" s="296"/>
      <c r="O70" s="293"/>
      <c r="P70" s="292"/>
      <c r="Q70" s="292"/>
      <c r="R70" s="292"/>
      <c r="S70" s="292"/>
      <c r="T70" s="295"/>
      <c r="U70" s="293"/>
      <c r="V70" s="292"/>
      <c r="W70" s="292"/>
      <c r="X70" s="292"/>
      <c r="Y70" s="292"/>
      <c r="Z70" s="292"/>
      <c r="AA70" s="292"/>
      <c r="AB70" s="292"/>
      <c r="AC70" s="292"/>
      <c r="AD70" s="292"/>
      <c r="AE70" s="292"/>
      <c r="AF70" s="292"/>
      <c r="AG70" s="292"/>
      <c r="AH70" s="292"/>
      <c r="AI70" s="292"/>
      <c r="AJ70" s="292"/>
      <c r="AK70" s="292"/>
      <c r="AL70" s="294"/>
      <c r="AM70" s="293"/>
      <c r="AN70" s="292"/>
      <c r="AO70" s="291"/>
      <c r="AP70" s="291"/>
      <c r="AQ70" s="291"/>
      <c r="AR70" s="291"/>
      <c r="AS70" s="291"/>
      <c r="AT70" s="291"/>
      <c r="AU70" s="291"/>
      <c r="AV70" s="291"/>
      <c r="AW70" s="291"/>
      <c r="AX70" s="291"/>
      <c r="AY70" s="291"/>
      <c r="AZ70" s="291"/>
      <c r="BA70" s="291"/>
      <c r="BB70" s="291"/>
      <c r="BC70" s="291"/>
      <c r="BD70" s="291"/>
      <c r="BE70" s="291"/>
      <c r="BF70" s="291"/>
      <c r="BG70" s="291"/>
      <c r="BH70" s="291"/>
      <c r="BI70" s="291"/>
      <c r="BJ70" s="291"/>
      <c r="BK70" s="291"/>
      <c r="BL70" s="291"/>
      <c r="BM70" s="291"/>
      <c r="BN70" s="291"/>
      <c r="BO70" s="291"/>
      <c r="BP70" s="291"/>
      <c r="BQ70" s="291"/>
      <c r="BR70" s="291"/>
      <c r="BS70" s="291"/>
      <c r="BT70" s="291"/>
      <c r="BU70" s="291"/>
      <c r="BV70" s="291"/>
      <c r="BW70" s="291"/>
      <c r="BX70" s="291"/>
      <c r="BY70" s="291"/>
      <c r="BZ70" s="291"/>
      <c r="CA70" s="291"/>
      <c r="CB70" s="291"/>
      <c r="CC70" s="291"/>
      <c r="CD70" s="291"/>
      <c r="CE70" s="291"/>
      <c r="CF70" s="291"/>
      <c r="CG70" s="291"/>
      <c r="CH70" s="291"/>
      <c r="CI70" s="291"/>
      <c r="CJ70" s="291"/>
    </row>
    <row r="71" spans="1:88" ht="15" outlineLevel="2">
      <c r="A71" s="285"/>
      <c r="B71" s="284"/>
      <c r="C71" s="283" t="s">
        <v>135</v>
      </c>
      <c r="D71" s="282"/>
      <c r="E71" s="280"/>
      <c r="F71" s="279"/>
      <c r="G71" s="279"/>
      <c r="H71" s="277"/>
      <c r="I71" s="277"/>
      <c r="J71" s="277"/>
      <c r="K71" s="278"/>
      <c r="L71" s="277"/>
      <c r="M71" s="276"/>
      <c r="O71" s="272"/>
      <c r="P71" s="281">
        <f>SUM(P72:P86)</f>
        <v>8728756.5</v>
      </c>
      <c r="Q71" s="281">
        <f>SUM(Q72:Q86)</f>
        <v>5635256</v>
      </c>
      <c r="R71" s="281">
        <f>SUM(R72:R86)</f>
        <v>1410570.1743424244</v>
      </c>
      <c r="S71" s="281">
        <f>SUM(S72:S86)</f>
        <v>-1375668.3368273086</v>
      </c>
      <c r="T71" s="272"/>
      <c r="U71" s="272"/>
      <c r="V71" s="281">
        <f t="shared" ref="V71:AK71" si="75">SUM(V72:V86)</f>
        <v>1756052.5</v>
      </c>
      <c r="W71" s="281">
        <f t="shared" si="75"/>
        <v>4444905</v>
      </c>
      <c r="X71" s="281">
        <f t="shared" si="75"/>
        <v>4187857.5</v>
      </c>
      <c r="Y71" s="281">
        <f t="shared" si="75"/>
        <v>8728756.5</v>
      </c>
      <c r="Z71" s="281">
        <f t="shared" si="75"/>
        <v>8171102.5</v>
      </c>
      <c r="AA71" s="281">
        <f t="shared" si="75"/>
        <v>7469968.5</v>
      </c>
      <c r="AB71" s="281">
        <f t="shared" si="75"/>
        <v>6585150.5</v>
      </c>
      <c r="AC71" s="281">
        <f t="shared" si="75"/>
        <v>5635256</v>
      </c>
      <c r="AD71" s="281">
        <f t="shared" si="75"/>
        <v>4554849.7499999991</v>
      </c>
      <c r="AE71" s="281">
        <f t="shared" si="75"/>
        <v>3331755.8899999997</v>
      </c>
      <c r="AF71" s="281">
        <f t="shared" si="75"/>
        <v>1949090.26</v>
      </c>
      <c r="AG71" s="281">
        <f t="shared" si="75"/>
        <v>1410570.1743424244</v>
      </c>
      <c r="AH71" s="281">
        <f t="shared" si="75"/>
        <v>804279.24334299157</v>
      </c>
      <c r="AI71" s="281">
        <f t="shared" si="75"/>
        <v>128652.3532641589</v>
      </c>
      <c r="AJ71" s="281">
        <f t="shared" si="75"/>
        <v>-601658.83139930747</v>
      </c>
      <c r="AK71" s="281">
        <f t="shared" si="75"/>
        <v>-1375668.3368273086</v>
      </c>
      <c r="AM71" s="272"/>
      <c r="AN71" s="281">
        <f t="shared" ref="AN71:BS71" si="76">IF(AN$5&lt;=LatestMonthOfActuals,SUMIFS(AN72:AN86,$K72:$K86,"Account"),SUMIFS(AN72:AN86,$K72:$K86,"&lt;&gt;Sub-Account"))</f>
        <v>0</v>
      </c>
      <c r="AO71" s="281">
        <f t="shared" si="76"/>
        <v>1014947</v>
      </c>
      <c r="AP71" s="281">
        <f t="shared" si="76"/>
        <v>977631</v>
      </c>
      <c r="AQ71" s="281">
        <f t="shared" si="76"/>
        <v>933584</v>
      </c>
      <c r="AR71" s="281">
        <f t="shared" si="76"/>
        <v>893287.5</v>
      </c>
      <c r="AS71" s="281">
        <f t="shared" si="76"/>
        <v>850435.5</v>
      </c>
      <c r="AT71" s="281">
        <f t="shared" si="76"/>
        <v>2305128.5</v>
      </c>
      <c r="AU71" s="281">
        <f t="shared" si="76"/>
        <v>2263541.5</v>
      </c>
      <c r="AV71" s="281">
        <f t="shared" si="76"/>
        <v>2220359</v>
      </c>
      <c r="AW71" s="281">
        <f t="shared" si="76"/>
        <v>2180019</v>
      </c>
      <c r="AX71" s="281">
        <f t="shared" si="76"/>
        <v>3132759</v>
      </c>
      <c r="AY71" s="281">
        <f t="shared" si="76"/>
        <v>3567941</v>
      </c>
      <c r="AZ71" s="281">
        <f t="shared" si="76"/>
        <v>4443756</v>
      </c>
      <c r="BA71" s="281">
        <f t="shared" si="76"/>
        <v>4370951.5</v>
      </c>
      <c r="BB71" s="281">
        <f t="shared" si="76"/>
        <v>4241631.5</v>
      </c>
      <c r="BC71" s="281">
        <f t="shared" si="76"/>
        <v>4166262</v>
      </c>
      <c r="BD71" s="281">
        <f t="shared" si="76"/>
        <v>4031551.5</v>
      </c>
      <c r="BE71" s="281">
        <f t="shared" si="76"/>
        <v>3953489</v>
      </c>
      <c r="BF71" s="281">
        <f t="shared" si="76"/>
        <v>3813117</v>
      </c>
      <c r="BG71" s="281">
        <f t="shared" si="76"/>
        <v>3666801</v>
      </c>
      <c r="BH71" s="281">
        <f t="shared" si="76"/>
        <v>3520486</v>
      </c>
      <c r="BI71" s="281">
        <f t="shared" si="76"/>
        <v>3367930</v>
      </c>
      <c r="BJ71" s="281">
        <f t="shared" si="76"/>
        <v>3215373</v>
      </c>
      <c r="BK71" s="281">
        <f t="shared" si="76"/>
        <v>3056263</v>
      </c>
      <c r="BL71" s="281">
        <f t="shared" si="76"/>
        <v>2890273.5</v>
      </c>
      <c r="BM71" s="281">
        <f t="shared" si="76"/>
        <v>2717058.59</v>
      </c>
      <c r="BN71" s="281">
        <f t="shared" si="76"/>
        <v>2536257.9300000002</v>
      </c>
      <c r="BO71" s="281">
        <f t="shared" si="76"/>
        <v>2347491.27</v>
      </c>
      <c r="BP71" s="281">
        <f t="shared" si="76"/>
        <v>2150361.6100000003</v>
      </c>
      <c r="BQ71" s="281">
        <f t="shared" si="76"/>
        <v>1944447.95</v>
      </c>
      <c r="BR71" s="281">
        <f t="shared" si="76"/>
        <v>1737715.74</v>
      </c>
      <c r="BS71" s="281">
        <f t="shared" si="76"/>
        <v>1518601.69</v>
      </c>
      <c r="BT71" s="281">
        <f t="shared" ref="BT71:BV71" si="77">IF(BT$5&lt;=LatestMonthOfActuals,SUMIFS(BT72:BT86,$K72:$K86,"Account"),SUMIFS(BT72:BT86,$K72:$K86,"&lt;&gt;Sub-Account"))</f>
        <v>1283621.7</v>
      </c>
      <c r="BU71" s="281">
        <f t="shared" si="77"/>
        <v>1055967.4900000002</v>
      </c>
      <c r="BV71" s="281">
        <f t="shared" si="77"/>
        <v>809105.34000000008</v>
      </c>
      <c r="BW71" s="281">
        <f t="shared" ref="BW71" si="78">IF(BW$5&lt;=LatestMonthOfActuals,SUMIFS(BW72:BW86,$K72:$K86,"Account"),SUMIFS(BW72:BW86,$K72:$K86,"&lt;&gt;Sub-Account"))</f>
        <v>550924.85</v>
      </c>
      <c r="BX71" s="281">
        <f t="shared" ref="BX71:CJ71" si="79">IF(BX$5&lt;=LatestMonthOfActuals,SUMIFS(BX72:BX86,$K72:$K86,"Account"),SUMIFS(BX72:BX86,$K72:$K86,"&lt;&gt;Sub-Account"))</f>
        <v>1410570.1743424244</v>
      </c>
      <c r="BY71" s="281">
        <f t="shared" si="79"/>
        <v>1204739.9956125473</v>
      </c>
      <c r="BZ71" s="281">
        <f t="shared" si="79"/>
        <v>1000003.5312643746</v>
      </c>
      <c r="CA71" s="281">
        <f t="shared" si="79"/>
        <v>804279.24334299157</v>
      </c>
      <c r="CB71" s="281">
        <f t="shared" si="79"/>
        <v>587999.83359180077</v>
      </c>
      <c r="CC71" s="281">
        <f t="shared" si="79"/>
        <v>360546.87947116193</v>
      </c>
      <c r="CD71" s="281">
        <f t="shared" si="79"/>
        <v>128652.3532641589</v>
      </c>
      <c r="CE71" s="281">
        <f t="shared" si="79"/>
        <v>-110218.84643821476</v>
      </c>
      <c r="CF71" s="281">
        <f t="shared" si="79"/>
        <v>-354073.59526841913</v>
      </c>
      <c r="CG71" s="281">
        <f t="shared" si="79"/>
        <v>-601658.83139930747</v>
      </c>
      <c r="CH71" s="281">
        <f t="shared" si="79"/>
        <v>-852768.13398647564</v>
      </c>
      <c r="CI71" s="281">
        <f t="shared" si="79"/>
        <v>-1107265.7665007974</v>
      </c>
      <c r="CJ71" s="281">
        <f t="shared" si="79"/>
        <v>-1375668.3368273086</v>
      </c>
    </row>
    <row r="72" spans="1:88" ht="15" outlineLevel="2">
      <c r="B72" s="284"/>
      <c r="C72" s="283"/>
      <c r="D72" s="288"/>
      <c r="E72" s="280"/>
      <c r="F72" s="279"/>
      <c r="G72" s="279"/>
      <c r="H72" s="277"/>
      <c r="I72" s="277"/>
      <c r="J72" s="277"/>
      <c r="K72" s="278"/>
      <c r="L72" s="277"/>
      <c r="M72" s="276"/>
      <c r="O72" s="272"/>
      <c r="P72" s="289"/>
      <c r="Q72" s="289"/>
      <c r="R72" s="289"/>
      <c r="S72" s="289"/>
      <c r="T72" s="286"/>
      <c r="U72" s="286"/>
      <c r="V72" s="289"/>
      <c r="W72" s="289"/>
      <c r="X72" s="289"/>
      <c r="Y72" s="289"/>
      <c r="Z72" s="289"/>
      <c r="AA72" s="289"/>
      <c r="AB72" s="289"/>
      <c r="AC72" s="289"/>
      <c r="AD72" s="289"/>
      <c r="AE72" s="289"/>
      <c r="AF72" s="289"/>
      <c r="AG72" s="289"/>
      <c r="AH72" s="289"/>
      <c r="AI72" s="289"/>
      <c r="AJ72" s="289"/>
      <c r="AK72" s="289"/>
      <c r="AL72" s="287"/>
      <c r="AM72" s="272"/>
      <c r="AN72" s="286"/>
      <c r="AO72" s="286"/>
      <c r="AP72" s="286"/>
      <c r="AQ72" s="286"/>
      <c r="AR72" s="286"/>
      <c r="AS72" s="286"/>
      <c r="AT72" s="286"/>
      <c r="AU72" s="286"/>
      <c r="AV72" s="286"/>
      <c r="AW72" s="286"/>
      <c r="AX72" s="286"/>
      <c r="AY72" s="286"/>
      <c r="AZ72" s="286"/>
      <c r="BA72" s="286"/>
      <c r="BB72" s="286"/>
      <c r="BC72" s="286"/>
      <c r="BD72" s="286"/>
      <c r="BE72" s="286"/>
      <c r="BF72" s="286"/>
      <c r="BG72" s="286"/>
      <c r="BH72" s="286"/>
      <c r="BI72" s="286"/>
      <c r="BJ72" s="286"/>
      <c r="BK72" s="286"/>
      <c r="BL72" s="286"/>
      <c r="BM72" s="286"/>
      <c r="BN72" s="286"/>
      <c r="BO72" s="286"/>
      <c r="BP72" s="286"/>
      <c r="BQ72" s="286"/>
      <c r="BR72" s="286"/>
      <c r="BS72" s="286"/>
      <c r="BT72" s="286"/>
      <c r="BU72" s="286"/>
      <c r="BV72" s="286"/>
      <c r="BW72" s="286"/>
      <c r="BX72" s="286"/>
      <c r="BY72" s="286"/>
      <c r="BZ72" s="286"/>
      <c r="CA72" s="286"/>
      <c r="CB72" s="286"/>
      <c r="CC72" s="286"/>
      <c r="CD72" s="286"/>
      <c r="CE72" s="286"/>
      <c r="CF72" s="286"/>
      <c r="CG72" s="286"/>
      <c r="CH72" s="286"/>
      <c r="CI72" s="286"/>
      <c r="CJ72" s="286"/>
    </row>
    <row r="73" spans="1:88" ht="15" outlineLevel="2">
      <c r="B73" s="284"/>
      <c r="C73" s="283"/>
      <c r="D73" s="288" t="s">
        <v>275</v>
      </c>
      <c r="E73" s="280"/>
      <c r="F73" s="279"/>
      <c r="G73" s="279"/>
      <c r="H73" s="277"/>
      <c r="I73" s="277"/>
      <c r="J73" s="277">
        <f>IFERROR(INDEX(PBC_ACCOUNT_LIST[Cash Flow Section],MATCH(Drivers!L73,PBC_ACCOUNT_LIST[Id],0)),"")</f>
        <v>0</v>
      </c>
      <c r="K73" s="278"/>
      <c r="L73" s="277">
        <v>1150040000</v>
      </c>
      <c r="M73" s="276"/>
      <c r="O73" s="272"/>
      <c r="P73" s="289">
        <f t="shared" ref="P73:S85" si="80">INDEX($AN73:$CJ73,MATCH(P$5,$AN$5:$CJ$5,0))</f>
        <v>4285000.5</v>
      </c>
      <c r="Q73" s="289">
        <f t="shared" si="80"/>
        <v>2744982.5</v>
      </c>
      <c r="R73" s="289">
        <f t="shared" si="80"/>
        <v>0</v>
      </c>
      <c r="S73" s="289">
        <f t="shared" si="80"/>
        <v>0</v>
      </c>
      <c r="T73" s="289"/>
      <c r="U73" s="289"/>
      <c r="V73" s="289">
        <f t="shared" ref="V73:AK85" si="81">INDEX($AN73:$CJ73,MATCH(V$5,$AN$5:$CJ$5,0))</f>
        <v>822468.5</v>
      </c>
      <c r="W73" s="289">
        <f t="shared" si="81"/>
        <v>2139776.5</v>
      </c>
      <c r="X73" s="289">
        <f t="shared" si="81"/>
        <v>2007838.5</v>
      </c>
      <c r="Y73" s="289">
        <f t="shared" si="81"/>
        <v>4285000.5</v>
      </c>
      <c r="Z73" s="289">
        <f t="shared" si="81"/>
        <v>4004840.5</v>
      </c>
      <c r="AA73" s="289">
        <f t="shared" si="81"/>
        <v>3656851.5</v>
      </c>
      <c r="AB73" s="289">
        <f t="shared" si="81"/>
        <v>3217220.5</v>
      </c>
      <c r="AC73" s="289">
        <f t="shared" si="81"/>
        <v>2744982.5</v>
      </c>
      <c r="AD73" s="289">
        <f t="shared" si="81"/>
        <v>2207358.48</v>
      </c>
      <c r="AE73" s="289">
        <f t="shared" si="81"/>
        <v>1594040.15</v>
      </c>
      <c r="AF73" s="289">
        <f t="shared" si="81"/>
        <v>893122.77</v>
      </c>
      <c r="AG73" s="289">
        <f t="shared" si="81"/>
        <v>0</v>
      </c>
      <c r="AH73" s="289">
        <f t="shared" si="81"/>
        <v>0</v>
      </c>
      <c r="AI73" s="289">
        <f t="shared" si="81"/>
        <v>0</v>
      </c>
      <c r="AJ73" s="289">
        <f t="shared" si="81"/>
        <v>0</v>
      </c>
      <c r="AK73" s="289">
        <f t="shared" si="81"/>
        <v>0</v>
      </c>
      <c r="AL73" s="333"/>
      <c r="AM73" s="334"/>
      <c r="AN73" s="289">
        <f>SUMIFS(PBC_BALANCE_SHEET[AccountBalance], PBC_BALANCE_SHEET[Id],$L73,PBC_BALANCE_SHEET[Date],AN$5)</f>
        <v>0</v>
      </c>
      <c r="AO73" s="289">
        <f>SUMIFS(PBC_BALANCE_SHEET[AccountBalance], PBC_BALANCE_SHEET[Id],$L73,PBC_BALANCE_SHEET[Date],AO$5)</f>
        <v>912877</v>
      </c>
      <c r="AP73" s="289">
        <f>SUMIFS(PBC_BALANCE_SHEET[AccountBalance], PBC_BALANCE_SHEET[Id],$L73,PBC_BALANCE_SHEET[Date],AP$5)</f>
        <v>872266.5</v>
      </c>
      <c r="AQ73" s="289">
        <f>SUMIFS(PBC_BALANCE_SHEET[AccountBalance], PBC_BALANCE_SHEET[Id],$L73,PBC_BALANCE_SHEET[Date],AQ$5)</f>
        <v>822468.5</v>
      </c>
      <c r="AR73" s="289">
        <f>SUMIFS(PBC_BALANCE_SHEET[AccountBalance], PBC_BALANCE_SHEET[Id],$L73,PBC_BALANCE_SHEET[Date],AR$5)</f>
        <v>740459</v>
      </c>
      <c r="AS73" s="289">
        <f>SUMIFS(PBC_BALANCE_SHEET[AccountBalance], PBC_BALANCE_SHEET[Id],$L73,PBC_BALANCE_SHEET[Date],AS$5)</f>
        <v>698801.5</v>
      </c>
      <c r="AT73" s="289">
        <f>SUMIFS(PBC_BALANCE_SHEET[AccountBalance], PBC_BALANCE_SHEET[Id],$L73,PBC_BALANCE_SHEET[Date],AT$5)</f>
        <v>2139776.5</v>
      </c>
      <c r="AU73" s="289">
        <f>SUMIFS(PBC_BALANCE_SHEET[AccountBalance], PBC_BALANCE_SHEET[Id],$L73,PBC_BALANCE_SHEET[Date],AU$5)</f>
        <v>2100546</v>
      </c>
      <c r="AV73" s="289">
        <f>SUMIFS(PBC_BALANCE_SHEET[AccountBalance], PBC_BALANCE_SHEET[Id],$L73,PBC_BALANCE_SHEET[Date],AV$5)</f>
        <v>2050413.5</v>
      </c>
      <c r="AW73" s="289">
        <f>SUMIFS(PBC_BALANCE_SHEET[AccountBalance], PBC_BALANCE_SHEET[Id],$L73,PBC_BALANCE_SHEET[Date],AW$5)</f>
        <v>2007838.5</v>
      </c>
      <c r="AX73" s="289">
        <f>SUMIFS(PBC_BALANCE_SHEET[AccountBalance], PBC_BALANCE_SHEET[Id],$L73,PBC_BALANCE_SHEET[Date],AX$5)</f>
        <v>2963592.5</v>
      </c>
      <c r="AY73" s="289">
        <f>SUMIFS(PBC_BALANCE_SHEET[AccountBalance], PBC_BALANCE_SHEET[Id],$L73,PBC_BALANCE_SHEET[Date],AY$5)</f>
        <v>3396134.5</v>
      </c>
      <c r="AZ73" s="289">
        <f>SUMIFS(PBC_BALANCE_SHEET[AccountBalance], PBC_BALANCE_SHEET[Id],$L73,PBC_BALANCE_SHEET[Date],AZ$5)</f>
        <v>4285000.5</v>
      </c>
      <c r="BA73" s="289">
        <f>SUMIFS(PBC_BALANCE_SHEET[AccountBalance], PBC_BALANCE_SHEET[Id],$L73,PBC_BALANCE_SHEET[Date],BA$5)</f>
        <v>4191288.5</v>
      </c>
      <c r="BB73" s="289">
        <f>SUMIFS(PBC_BALANCE_SHEET[AccountBalance], PBC_BALANCE_SHEET[Id],$L73,PBC_BALANCE_SHEET[Date],BB$5)</f>
        <v>4076334.5</v>
      </c>
      <c r="BC73" s="289">
        <f>SUMIFS(PBC_BALANCE_SHEET[AccountBalance], PBC_BALANCE_SHEET[Id],$L73,PBC_BALANCE_SHEET[Date],BC$5)</f>
        <v>4004840.5</v>
      </c>
      <c r="BD73" s="289">
        <f>SUMIFS(PBC_BALANCE_SHEET[AccountBalance], PBC_BALANCE_SHEET[Id],$L73,PBC_BALANCE_SHEET[Date],BD$5)</f>
        <v>3870793.5</v>
      </c>
      <c r="BE73" s="289">
        <f>SUMIFS(PBC_BALANCE_SHEET[AccountBalance], PBC_BALANCE_SHEET[Id],$L73,PBC_BALANCE_SHEET[Date],BE$5)</f>
        <v>3794994.5</v>
      </c>
      <c r="BF73" s="289">
        <f>SUMIFS(PBC_BALANCE_SHEET[AccountBalance], PBC_BALANCE_SHEET[Id],$L73,PBC_BALANCE_SHEET[Date],BF$5)</f>
        <v>3656851.5</v>
      </c>
      <c r="BG73" s="289">
        <f>SUMIFS(PBC_BALANCE_SHEET[AccountBalance], PBC_BALANCE_SHEET[Id],$L73,PBC_BALANCE_SHEET[Date],BG$5)</f>
        <v>3512188.5</v>
      </c>
      <c r="BH73" s="289">
        <f>SUMIFS(PBC_BALANCE_SHEET[AccountBalance], PBC_BALANCE_SHEET[Id],$L73,PBC_BALANCE_SHEET[Date],BH$5)</f>
        <v>3367871.5</v>
      </c>
      <c r="BI73" s="289">
        <f>SUMIFS(PBC_BALANCE_SHEET[AccountBalance], PBC_BALANCE_SHEET[Id],$L73,PBC_BALANCE_SHEET[Date],BI$5)</f>
        <v>3217220.5</v>
      </c>
      <c r="BJ73" s="289">
        <f>SUMIFS(PBC_BALANCE_SHEET[AccountBalance], PBC_BALANCE_SHEET[Id],$L73,PBC_BALANCE_SHEET[Date],BJ$5)</f>
        <v>3066455.5</v>
      </c>
      <c r="BK73" s="289">
        <f>SUMIFS(PBC_BALANCE_SHEET[AccountBalance], PBC_BALANCE_SHEET[Id],$L73,PBC_BALANCE_SHEET[Date],BK$5)</f>
        <v>2909186.5</v>
      </c>
      <c r="BL73" s="289">
        <f>SUMIFS(PBC_BALANCE_SHEET[AccountBalance], PBC_BALANCE_SHEET[Id],$L73,PBC_BALANCE_SHEET[Date],BL$5)</f>
        <v>2744982.5</v>
      </c>
      <c r="BM73" s="289">
        <f>SUMIFS(PBC_BALANCE_SHEET[AccountBalance], PBC_BALANCE_SHEET[Id],$L73,PBC_BALANCE_SHEET[Date],BM$5)</f>
        <v>2573511.48</v>
      </c>
      <c r="BN73" s="289">
        <f>SUMIFS(PBC_BALANCE_SHEET[AccountBalance], PBC_BALANCE_SHEET[Id],$L73,PBC_BALANCE_SHEET[Date],BN$5)</f>
        <v>2394437.48</v>
      </c>
      <c r="BO73" s="289">
        <f>SUMIFS(PBC_BALANCE_SHEET[AccountBalance], PBC_BALANCE_SHEET[Id],$L73,PBC_BALANCE_SHEET[Date],BO$5)</f>
        <v>2207358.48</v>
      </c>
      <c r="BP73" s="289">
        <f>SUMIFS(PBC_BALANCE_SHEET[AccountBalance], PBC_BALANCE_SHEET[Id],$L73,PBC_BALANCE_SHEET[Date],BP$5)</f>
        <v>2011881.48</v>
      </c>
      <c r="BQ73" s="289">
        <f>SUMIFS(PBC_BALANCE_SHEET[AccountBalance], PBC_BALANCE_SHEET[Id],$L73,PBC_BALANCE_SHEET[Date],BQ$5)</f>
        <v>1807588.48</v>
      </c>
      <c r="BR73" s="289">
        <f>SUMIFS(PBC_BALANCE_SHEET[AccountBalance], PBC_BALANCE_SHEET[Id],$L73,PBC_BALANCE_SHEET[Date],BR$5)</f>
        <v>1594040.15</v>
      </c>
      <c r="BS73" s="289">
        <f>SUMIFS(PBC_BALANCE_SHEET[AccountBalance], PBC_BALANCE_SHEET[Id],$L73,PBC_BALANCE_SHEET[Date],BS$5)</f>
        <v>1370773.78</v>
      </c>
      <c r="BT73" s="289">
        <f>SUMIFS(PBC_BALANCE_SHEET[AccountBalance], PBC_BALANCE_SHEET[Id],$L73,PBC_BALANCE_SHEET[Date],BT$5)</f>
        <v>1137304.6599999999</v>
      </c>
      <c r="BU73" s="289">
        <f>SUMIFS(PBC_BALANCE_SHEET[AccountBalance], PBC_BALANCE_SHEET[Id],$L73,PBC_BALANCE_SHEET[Date],BU$5)</f>
        <v>893122.77</v>
      </c>
      <c r="BV73" s="289">
        <f>SUMIFS(PBC_BALANCE_SHEET[AccountBalance], PBC_BALANCE_SHEET[Id],$L73,PBC_BALANCE_SHEET[Date],BV$5)</f>
        <v>637693.89</v>
      </c>
      <c r="BW73" s="289">
        <f>SUMIFS(PBC_BALANCE_SHEET[AccountBalance], PBC_BALANCE_SHEET[Id],$L73,PBC_BALANCE_SHEET[Date],BW$5)</f>
        <v>370456.63</v>
      </c>
      <c r="BX73" s="335">
        <v>0</v>
      </c>
      <c r="BY73" s="335">
        <v>0</v>
      </c>
      <c r="BZ73" s="335">
        <v>0</v>
      </c>
      <c r="CA73" s="335">
        <v>0</v>
      </c>
      <c r="CB73" s="335">
        <v>0</v>
      </c>
      <c r="CC73" s="335">
        <v>0</v>
      </c>
      <c r="CD73" s="335">
        <v>0</v>
      </c>
      <c r="CE73" s="335">
        <v>0</v>
      </c>
      <c r="CF73" s="335">
        <v>0</v>
      </c>
      <c r="CG73" s="335">
        <v>0</v>
      </c>
      <c r="CH73" s="335">
        <v>0</v>
      </c>
      <c r="CI73" s="335">
        <v>0</v>
      </c>
      <c r="CJ73" s="335">
        <v>0</v>
      </c>
    </row>
    <row r="74" spans="1:88" ht="15" outlineLevel="2">
      <c r="B74" s="284"/>
      <c r="C74" s="283"/>
      <c r="D74" s="288" t="s">
        <v>276</v>
      </c>
      <c r="E74" s="338" t="s">
        <v>357</v>
      </c>
      <c r="F74" s="279"/>
      <c r="G74" s="279"/>
      <c r="H74" s="277" t="s">
        <v>135</v>
      </c>
      <c r="I74" s="277" t="s">
        <v>137</v>
      </c>
      <c r="J74" s="277"/>
      <c r="K74" s="278" t="s">
        <v>106</v>
      </c>
      <c r="L74" s="277" t="s">
        <v>277</v>
      </c>
      <c r="M74" s="276"/>
      <c r="O74" s="272"/>
      <c r="P74" s="289">
        <f t="shared" si="80"/>
        <v>4285000.5</v>
      </c>
      <c r="Q74" s="289">
        <f t="shared" si="80"/>
        <v>2744982.5</v>
      </c>
      <c r="R74" s="289">
        <f t="shared" si="80"/>
        <v>1156879.011009091</v>
      </c>
      <c r="S74" s="289">
        <f t="shared" si="80"/>
        <v>-1438973.6823828642</v>
      </c>
      <c r="T74" s="289"/>
      <c r="U74" s="289"/>
      <c r="V74" s="289">
        <f t="shared" si="81"/>
        <v>822468.5</v>
      </c>
      <c r="W74" s="289">
        <f t="shared" si="81"/>
        <v>2139776.5</v>
      </c>
      <c r="X74" s="289">
        <f t="shared" si="81"/>
        <v>2007838.5</v>
      </c>
      <c r="Y74" s="289">
        <f t="shared" si="81"/>
        <v>4285000.5</v>
      </c>
      <c r="Z74" s="289">
        <f t="shared" si="81"/>
        <v>4004840.5</v>
      </c>
      <c r="AA74" s="289">
        <f t="shared" si="81"/>
        <v>3656851.5</v>
      </c>
      <c r="AB74" s="289">
        <f t="shared" si="81"/>
        <v>3217220.5</v>
      </c>
      <c r="AC74" s="289">
        <f t="shared" si="81"/>
        <v>2744982.5</v>
      </c>
      <c r="AD74" s="289">
        <f t="shared" si="81"/>
        <v>2207358.48</v>
      </c>
      <c r="AE74" s="289">
        <f t="shared" si="81"/>
        <v>1594040.15</v>
      </c>
      <c r="AF74" s="289">
        <f t="shared" si="81"/>
        <v>893122.77</v>
      </c>
      <c r="AG74" s="289">
        <f t="shared" si="81"/>
        <v>1156879.011009091</v>
      </c>
      <c r="AH74" s="289">
        <f t="shared" si="81"/>
        <v>733998.54778743605</v>
      </c>
      <c r="AI74" s="289">
        <f t="shared" si="81"/>
        <v>50877.329930825552</v>
      </c>
      <c r="AJ74" s="289">
        <f t="shared" si="81"/>
        <v>-672164.29362152971</v>
      </c>
      <c r="AK74" s="289">
        <f t="shared" si="81"/>
        <v>-1438973.6823828642</v>
      </c>
      <c r="AL74" s="333"/>
      <c r="AM74" s="334"/>
      <c r="AN74" s="289" cm="1">
        <f t="array" ref="AN74">_xlfn.LET(_xlpm.sd, AN$4, _xlpm.ed, AN$5,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AM$74, _xlpm.netIncome, IFERROR(SUM(_xlfn._xlws.FILTER(_xlfn._xlws.FILTER(dataGLPL, ISNUMBER(MATCH(dataGLPLSections, {"Revenue","Other Income"}, 0))), (startDates&gt;=AN$4)*(endDates&lt;=AN$5))) - IFERROR(SUM(_xlfn._xlws.FILTER(_xlfn._xlws.FILTER(dataGLPL, ISNUMBER(MATCH(dataGLPLSections, {"COGS","Opex","Other Expenses"}, 0))), (startDates&gt;=AN$4)*(endDates&lt;=AN$5))), 0), 0), _xlpm.historicalBank, SUMIFS(PBC_BALANCE_SHEET[AccountBalance], PBC_BALANCE_SHEET[Id],"sum(Bank Accounts)", PBC_BALANCE_SHEET[Date],_xlpm.ed), _xlpm.res, IF(_xlpm.ed&lt;=LatestMonthOfActuals,_xlpm.historicalBank,_xlpm.priorBank+ _xlpm.netIncome + _xlpm.cf_sum), _xlpm.res)</f>
        <v>0</v>
      </c>
      <c r="AO74" s="289" cm="1">
        <f t="array" ref="AO74">_xlfn.LET(_xlpm.sd, AO$4, _xlpm.ed, AO$5,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AN$74, _xlpm.netIncome, IFERROR(SUM(_xlfn._xlws.FILTER(_xlfn._xlws.FILTER(dataGLPL, ISNUMBER(MATCH(dataGLPLSections, {"Revenue","Other Income"}, 0))), (startDates&gt;=AO$4)*(endDates&lt;=AO$5))) - IFERROR(SUM(_xlfn._xlws.FILTER(_xlfn._xlws.FILTER(dataGLPL, ISNUMBER(MATCH(dataGLPLSections, {"COGS","Opex","Other Expenses"}, 0))), (startDates&gt;=AO$4)*(endDates&lt;=AO$5))), 0), 0), _xlpm.historicalBank, SUMIFS(PBC_BALANCE_SHEET[AccountBalance], PBC_BALANCE_SHEET[Id],"sum(Bank Accounts)", PBC_BALANCE_SHEET[Date],_xlpm.ed), _xlpm.res, IF(_xlpm.ed&lt;=LatestMonthOfActuals,_xlpm.historicalBank,_xlpm.priorBank+ _xlpm.netIncome + _xlpm.cf_sum), _xlpm.res)</f>
        <v>912877</v>
      </c>
      <c r="AP74" s="289" cm="1">
        <f t="array" ref="AP74">_xlfn.LET(_xlpm.sd, AP$4, _xlpm.ed, AP$5,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AO$74, _xlpm.netIncome, IFERROR(SUM(_xlfn._xlws.FILTER(_xlfn._xlws.FILTER(dataGLPL, ISNUMBER(MATCH(dataGLPLSections, {"Revenue","Other Income"}, 0))), (startDates&gt;=AP$4)*(endDates&lt;=AP$5))) - IFERROR(SUM(_xlfn._xlws.FILTER(_xlfn._xlws.FILTER(dataGLPL, ISNUMBER(MATCH(dataGLPLSections, {"COGS","Opex","Other Expenses"}, 0))), (startDates&gt;=AP$4)*(endDates&lt;=AP$5))), 0), 0), _xlpm.historicalBank, SUMIFS(PBC_BALANCE_SHEET[AccountBalance], PBC_BALANCE_SHEET[Id],"sum(Bank Accounts)", PBC_BALANCE_SHEET[Date],_xlpm.ed), _xlpm.res, IF(_xlpm.ed&lt;=LatestMonthOfActuals,_xlpm.historicalBank,_xlpm.priorBank+ _xlpm.netIncome + _xlpm.cf_sum), _xlpm.res)</f>
        <v>872266.5</v>
      </c>
      <c r="AQ74" s="289" cm="1">
        <f t="array" ref="AQ74">_xlfn.LET(_xlpm.sd, AQ$4, _xlpm.ed, AQ$5,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AP$74, _xlpm.netIncome, IFERROR(SUM(_xlfn._xlws.FILTER(_xlfn._xlws.FILTER(dataGLPL, ISNUMBER(MATCH(dataGLPLSections, {"Revenue","Other Income"}, 0))), (startDates&gt;=AQ$4)*(endDates&lt;=AQ$5))) - IFERROR(SUM(_xlfn._xlws.FILTER(_xlfn._xlws.FILTER(dataGLPL, ISNUMBER(MATCH(dataGLPLSections, {"COGS","Opex","Other Expenses"}, 0))), (startDates&gt;=AQ$4)*(endDates&lt;=AQ$5))), 0), 0), _xlpm.historicalBank, SUMIFS(PBC_BALANCE_SHEET[AccountBalance], PBC_BALANCE_SHEET[Id],"sum(Bank Accounts)", PBC_BALANCE_SHEET[Date],_xlpm.ed), _xlpm.res, IF(_xlpm.ed&lt;=LatestMonthOfActuals,_xlpm.historicalBank,_xlpm.priorBank+ _xlpm.netIncome + _xlpm.cf_sum), _xlpm.res)</f>
        <v>822468.5</v>
      </c>
      <c r="AR74" s="289" cm="1">
        <f t="array" ref="AR74">_xlfn.LET(_xlpm.sd, AR$4, _xlpm.ed, AR$5,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AQ$74, _xlpm.netIncome, IFERROR(SUM(_xlfn._xlws.FILTER(_xlfn._xlws.FILTER(dataGLPL, ISNUMBER(MATCH(dataGLPLSections, {"Revenue","Other Income"}, 0))), (startDates&gt;=AR$4)*(endDates&lt;=AR$5))) - IFERROR(SUM(_xlfn._xlws.FILTER(_xlfn._xlws.FILTER(dataGLPL, ISNUMBER(MATCH(dataGLPLSections, {"COGS","Opex","Other Expenses"}, 0))), (startDates&gt;=AR$4)*(endDates&lt;=AR$5))), 0), 0), _xlpm.historicalBank, SUMIFS(PBC_BALANCE_SHEET[AccountBalance], PBC_BALANCE_SHEET[Id],"sum(Bank Accounts)", PBC_BALANCE_SHEET[Date],_xlpm.ed), _xlpm.res, IF(_xlpm.ed&lt;=LatestMonthOfActuals,_xlpm.historicalBank,_xlpm.priorBank+ _xlpm.netIncome + _xlpm.cf_sum), _xlpm.res)</f>
        <v>740459</v>
      </c>
      <c r="AS74" s="289" cm="1">
        <f t="array" ref="AS74">_xlfn.LET(_xlpm.sd, AS$4, _xlpm.ed, AS$5,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AR$74, _xlpm.netIncome, IFERROR(SUM(_xlfn._xlws.FILTER(_xlfn._xlws.FILTER(dataGLPL, ISNUMBER(MATCH(dataGLPLSections, {"Revenue","Other Income"}, 0))), (startDates&gt;=AS$4)*(endDates&lt;=AS$5))) - IFERROR(SUM(_xlfn._xlws.FILTER(_xlfn._xlws.FILTER(dataGLPL, ISNUMBER(MATCH(dataGLPLSections, {"COGS","Opex","Other Expenses"}, 0))), (startDates&gt;=AS$4)*(endDates&lt;=AS$5))), 0), 0), _xlpm.historicalBank, SUMIFS(PBC_BALANCE_SHEET[AccountBalance], PBC_BALANCE_SHEET[Id],"sum(Bank Accounts)", PBC_BALANCE_SHEET[Date],_xlpm.ed), _xlpm.res, IF(_xlpm.ed&lt;=LatestMonthOfActuals,_xlpm.historicalBank,_xlpm.priorBank+ _xlpm.netIncome + _xlpm.cf_sum), _xlpm.res)</f>
        <v>698801.5</v>
      </c>
      <c r="AT74" s="289" cm="1">
        <f t="array" ref="AT74">_xlfn.LET(_xlpm.sd, AT$4, _xlpm.ed, AT$5,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AS$74, _xlpm.netIncome, IFERROR(SUM(_xlfn._xlws.FILTER(_xlfn._xlws.FILTER(dataGLPL, ISNUMBER(MATCH(dataGLPLSections, {"Revenue","Other Income"}, 0))), (startDates&gt;=AT$4)*(endDates&lt;=AT$5))) - IFERROR(SUM(_xlfn._xlws.FILTER(_xlfn._xlws.FILTER(dataGLPL, ISNUMBER(MATCH(dataGLPLSections, {"COGS","Opex","Other Expenses"}, 0))), (startDates&gt;=AT$4)*(endDates&lt;=AT$5))), 0), 0), _xlpm.historicalBank, SUMIFS(PBC_BALANCE_SHEET[AccountBalance], PBC_BALANCE_SHEET[Id],"sum(Bank Accounts)", PBC_BALANCE_SHEET[Date],_xlpm.ed), _xlpm.res, IF(_xlpm.ed&lt;=LatestMonthOfActuals,_xlpm.historicalBank,_xlpm.priorBank+ _xlpm.netIncome + _xlpm.cf_sum), _xlpm.res)</f>
        <v>2139776.5</v>
      </c>
      <c r="AU74" s="289" cm="1">
        <f t="array" ref="AU74">_xlfn.LET(_xlpm.sd, AU$4, _xlpm.ed, AU$5,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AT$74, _xlpm.netIncome, IFERROR(SUM(_xlfn._xlws.FILTER(_xlfn._xlws.FILTER(dataGLPL, ISNUMBER(MATCH(dataGLPLSections, {"Revenue","Other Income"}, 0))), (startDates&gt;=AU$4)*(endDates&lt;=AU$5))) - IFERROR(SUM(_xlfn._xlws.FILTER(_xlfn._xlws.FILTER(dataGLPL, ISNUMBER(MATCH(dataGLPLSections, {"COGS","Opex","Other Expenses"}, 0))), (startDates&gt;=AU$4)*(endDates&lt;=AU$5))), 0), 0), _xlpm.historicalBank, SUMIFS(PBC_BALANCE_SHEET[AccountBalance], PBC_BALANCE_SHEET[Id],"sum(Bank Accounts)", PBC_BALANCE_SHEET[Date],_xlpm.ed), _xlpm.res, IF(_xlpm.ed&lt;=LatestMonthOfActuals,_xlpm.historicalBank,_xlpm.priorBank+ _xlpm.netIncome + _xlpm.cf_sum), _xlpm.res)</f>
        <v>2100546</v>
      </c>
      <c r="AV74" s="289" cm="1">
        <f t="array" ref="AV74">_xlfn.LET(_xlpm.sd, AV$4, _xlpm.ed, AV$5,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AU$74, _xlpm.netIncome, IFERROR(SUM(_xlfn._xlws.FILTER(_xlfn._xlws.FILTER(dataGLPL, ISNUMBER(MATCH(dataGLPLSections, {"Revenue","Other Income"}, 0))), (startDates&gt;=AV$4)*(endDates&lt;=AV$5))) - IFERROR(SUM(_xlfn._xlws.FILTER(_xlfn._xlws.FILTER(dataGLPL, ISNUMBER(MATCH(dataGLPLSections, {"COGS","Opex","Other Expenses"}, 0))), (startDates&gt;=AV$4)*(endDates&lt;=AV$5))), 0), 0), _xlpm.historicalBank, SUMIFS(PBC_BALANCE_SHEET[AccountBalance], PBC_BALANCE_SHEET[Id],"sum(Bank Accounts)", PBC_BALANCE_SHEET[Date],_xlpm.ed), _xlpm.res, IF(_xlpm.ed&lt;=LatestMonthOfActuals,_xlpm.historicalBank,_xlpm.priorBank+ _xlpm.netIncome + _xlpm.cf_sum), _xlpm.res)</f>
        <v>2050413.5</v>
      </c>
      <c r="AW74" s="289" cm="1">
        <f t="array" ref="AW74">_xlfn.LET(_xlpm.sd, AW$4, _xlpm.ed, AW$5,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AV$74, _xlpm.netIncome, IFERROR(SUM(_xlfn._xlws.FILTER(_xlfn._xlws.FILTER(dataGLPL, ISNUMBER(MATCH(dataGLPLSections, {"Revenue","Other Income"}, 0))), (startDates&gt;=AW$4)*(endDates&lt;=AW$5))) - IFERROR(SUM(_xlfn._xlws.FILTER(_xlfn._xlws.FILTER(dataGLPL, ISNUMBER(MATCH(dataGLPLSections, {"COGS","Opex","Other Expenses"}, 0))), (startDates&gt;=AW$4)*(endDates&lt;=AW$5))), 0), 0), _xlpm.historicalBank, SUMIFS(PBC_BALANCE_SHEET[AccountBalance], PBC_BALANCE_SHEET[Id],"sum(Bank Accounts)", PBC_BALANCE_SHEET[Date],_xlpm.ed), _xlpm.res, IF(_xlpm.ed&lt;=LatestMonthOfActuals,_xlpm.historicalBank,_xlpm.priorBank+ _xlpm.netIncome + _xlpm.cf_sum), _xlpm.res)</f>
        <v>2007838.5</v>
      </c>
      <c r="AX74" s="289" cm="1">
        <f t="array" ref="AX74">_xlfn.LET(_xlpm.sd, AX$4, _xlpm.ed, AX$5,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AW$74, _xlpm.netIncome, IFERROR(SUM(_xlfn._xlws.FILTER(_xlfn._xlws.FILTER(dataGLPL, ISNUMBER(MATCH(dataGLPLSections, {"Revenue","Other Income"}, 0))), (startDates&gt;=AX$4)*(endDates&lt;=AX$5))) - IFERROR(SUM(_xlfn._xlws.FILTER(_xlfn._xlws.FILTER(dataGLPL, ISNUMBER(MATCH(dataGLPLSections, {"COGS","Opex","Other Expenses"}, 0))), (startDates&gt;=AX$4)*(endDates&lt;=AX$5))), 0), 0), _xlpm.historicalBank, SUMIFS(PBC_BALANCE_SHEET[AccountBalance], PBC_BALANCE_SHEET[Id],"sum(Bank Accounts)", PBC_BALANCE_SHEET[Date],_xlpm.ed), _xlpm.res, IF(_xlpm.ed&lt;=LatestMonthOfActuals,_xlpm.historicalBank,_xlpm.priorBank+ _xlpm.netIncome + _xlpm.cf_sum), _xlpm.res)</f>
        <v>2963592.5</v>
      </c>
      <c r="AY74" s="289" cm="1">
        <f t="array" ref="AY74">_xlfn.LET(_xlpm.sd, AY$4, _xlpm.ed, AY$5,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AX$74, _xlpm.netIncome, IFERROR(SUM(_xlfn._xlws.FILTER(_xlfn._xlws.FILTER(dataGLPL, ISNUMBER(MATCH(dataGLPLSections, {"Revenue","Other Income"}, 0))), (startDates&gt;=AY$4)*(endDates&lt;=AY$5))) - IFERROR(SUM(_xlfn._xlws.FILTER(_xlfn._xlws.FILTER(dataGLPL, ISNUMBER(MATCH(dataGLPLSections, {"COGS","Opex","Other Expenses"}, 0))), (startDates&gt;=AY$4)*(endDates&lt;=AY$5))), 0), 0), _xlpm.historicalBank, SUMIFS(PBC_BALANCE_SHEET[AccountBalance], PBC_BALANCE_SHEET[Id],"sum(Bank Accounts)", PBC_BALANCE_SHEET[Date],_xlpm.ed), _xlpm.res, IF(_xlpm.ed&lt;=LatestMonthOfActuals,_xlpm.historicalBank,_xlpm.priorBank+ _xlpm.netIncome + _xlpm.cf_sum), _xlpm.res)</f>
        <v>3396134.5</v>
      </c>
      <c r="AZ74" s="289" cm="1">
        <f t="array" ref="AZ74">_xlfn.LET(_xlpm.sd, AZ$4, _xlpm.ed, AZ$5,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AY$74, _xlpm.netIncome, IFERROR(SUM(_xlfn._xlws.FILTER(_xlfn._xlws.FILTER(dataGLPL, ISNUMBER(MATCH(dataGLPLSections, {"Revenue","Other Income"}, 0))), (startDates&gt;=AZ$4)*(endDates&lt;=AZ$5))) - IFERROR(SUM(_xlfn._xlws.FILTER(_xlfn._xlws.FILTER(dataGLPL, ISNUMBER(MATCH(dataGLPLSections, {"COGS","Opex","Other Expenses"}, 0))), (startDates&gt;=AZ$4)*(endDates&lt;=AZ$5))), 0), 0), _xlpm.historicalBank, SUMIFS(PBC_BALANCE_SHEET[AccountBalance], PBC_BALANCE_SHEET[Id],"sum(Bank Accounts)", PBC_BALANCE_SHEET[Date],_xlpm.ed), _xlpm.res, IF(_xlpm.ed&lt;=LatestMonthOfActuals,_xlpm.historicalBank,_xlpm.priorBank+ _xlpm.netIncome + _xlpm.cf_sum), _xlpm.res)</f>
        <v>4285000.5</v>
      </c>
      <c r="BA74" s="289" cm="1">
        <f t="array" ref="BA74">_xlfn.LET(_xlpm.sd, BA$4, _xlpm.ed, BA$5,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AZ$74, _xlpm.netIncome, IFERROR(SUM(_xlfn._xlws.FILTER(_xlfn._xlws.FILTER(dataGLPL, ISNUMBER(MATCH(dataGLPLSections, {"Revenue","Other Income"}, 0))), (startDates&gt;=BA$4)*(endDates&lt;=BA$5))) - IFERROR(SUM(_xlfn._xlws.FILTER(_xlfn._xlws.FILTER(dataGLPL, ISNUMBER(MATCH(dataGLPLSections, {"COGS","Opex","Other Expenses"}, 0))), (startDates&gt;=BA$4)*(endDates&lt;=BA$5))), 0), 0), _xlpm.historicalBank, SUMIFS(PBC_BALANCE_SHEET[AccountBalance], PBC_BALANCE_SHEET[Id],"sum(Bank Accounts)", PBC_BALANCE_SHEET[Date],_xlpm.ed), _xlpm.res, IF(_xlpm.ed&lt;=LatestMonthOfActuals,_xlpm.historicalBank,_xlpm.priorBank+ _xlpm.netIncome + _xlpm.cf_sum), _xlpm.res)</f>
        <v>4191288.5</v>
      </c>
      <c r="BB74" s="289" cm="1">
        <f t="array" ref="BB74">_xlfn.LET(_xlpm.sd, BB$4, _xlpm.ed, BB$5,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BA$74, _xlpm.netIncome, IFERROR(SUM(_xlfn._xlws.FILTER(_xlfn._xlws.FILTER(dataGLPL, ISNUMBER(MATCH(dataGLPLSections, {"Revenue","Other Income"}, 0))), (startDates&gt;=BB$4)*(endDates&lt;=BB$5))) - IFERROR(SUM(_xlfn._xlws.FILTER(_xlfn._xlws.FILTER(dataGLPL, ISNUMBER(MATCH(dataGLPLSections, {"COGS","Opex","Other Expenses"}, 0))), (startDates&gt;=BB$4)*(endDates&lt;=BB$5))), 0), 0), _xlpm.historicalBank, SUMIFS(PBC_BALANCE_SHEET[AccountBalance], PBC_BALANCE_SHEET[Id],"sum(Bank Accounts)", PBC_BALANCE_SHEET[Date],_xlpm.ed), _xlpm.res, IF(_xlpm.ed&lt;=LatestMonthOfActuals,_xlpm.historicalBank,_xlpm.priorBank+ _xlpm.netIncome + _xlpm.cf_sum), _xlpm.res)</f>
        <v>4076334.5</v>
      </c>
      <c r="BC74" s="289" cm="1">
        <f t="array" ref="BC74">_xlfn.LET(_xlpm.sd, BC$4, _xlpm.ed, BC$5,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BB$74, _xlpm.netIncome, IFERROR(SUM(_xlfn._xlws.FILTER(_xlfn._xlws.FILTER(dataGLPL, ISNUMBER(MATCH(dataGLPLSections, {"Revenue","Other Income"}, 0))), (startDates&gt;=BC$4)*(endDates&lt;=BC$5))) - IFERROR(SUM(_xlfn._xlws.FILTER(_xlfn._xlws.FILTER(dataGLPL, ISNUMBER(MATCH(dataGLPLSections, {"COGS","Opex","Other Expenses"}, 0))), (startDates&gt;=BC$4)*(endDates&lt;=BC$5))), 0), 0), _xlpm.historicalBank, SUMIFS(PBC_BALANCE_SHEET[AccountBalance], PBC_BALANCE_SHEET[Id],"sum(Bank Accounts)", PBC_BALANCE_SHEET[Date],_xlpm.ed), _xlpm.res, IF(_xlpm.ed&lt;=LatestMonthOfActuals,_xlpm.historicalBank,_xlpm.priorBank+ _xlpm.netIncome + _xlpm.cf_sum), _xlpm.res)</f>
        <v>4004840.5</v>
      </c>
      <c r="BD74" s="289" cm="1">
        <f t="array" ref="BD74">_xlfn.LET(_xlpm.sd, BD$4, _xlpm.ed, BD$5,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BC$74, _xlpm.netIncome, IFERROR(SUM(_xlfn._xlws.FILTER(_xlfn._xlws.FILTER(dataGLPL, ISNUMBER(MATCH(dataGLPLSections, {"Revenue","Other Income"}, 0))), (startDates&gt;=BD$4)*(endDates&lt;=BD$5))) - IFERROR(SUM(_xlfn._xlws.FILTER(_xlfn._xlws.FILTER(dataGLPL, ISNUMBER(MATCH(dataGLPLSections, {"COGS","Opex","Other Expenses"}, 0))), (startDates&gt;=BD$4)*(endDates&lt;=BD$5))), 0), 0), _xlpm.historicalBank, SUMIFS(PBC_BALANCE_SHEET[AccountBalance], PBC_BALANCE_SHEET[Id],"sum(Bank Accounts)", PBC_BALANCE_SHEET[Date],_xlpm.ed), _xlpm.res, IF(_xlpm.ed&lt;=LatestMonthOfActuals,_xlpm.historicalBank,_xlpm.priorBank+ _xlpm.netIncome + _xlpm.cf_sum), _xlpm.res)</f>
        <v>3870793.5</v>
      </c>
      <c r="BE74" s="289" cm="1">
        <f t="array" ref="BE74">_xlfn.LET(_xlpm.sd, BE$4, _xlpm.ed, BE$5,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BD$74, _xlpm.netIncome, IFERROR(SUM(_xlfn._xlws.FILTER(_xlfn._xlws.FILTER(dataGLPL, ISNUMBER(MATCH(dataGLPLSections, {"Revenue","Other Income"}, 0))), (startDates&gt;=BE$4)*(endDates&lt;=BE$5))) - IFERROR(SUM(_xlfn._xlws.FILTER(_xlfn._xlws.FILTER(dataGLPL, ISNUMBER(MATCH(dataGLPLSections, {"COGS","Opex","Other Expenses"}, 0))), (startDates&gt;=BE$4)*(endDates&lt;=BE$5))), 0), 0), _xlpm.historicalBank, SUMIFS(PBC_BALANCE_SHEET[AccountBalance], PBC_BALANCE_SHEET[Id],"sum(Bank Accounts)", PBC_BALANCE_SHEET[Date],_xlpm.ed), _xlpm.res, IF(_xlpm.ed&lt;=LatestMonthOfActuals,_xlpm.historicalBank,_xlpm.priorBank+ _xlpm.netIncome + _xlpm.cf_sum), _xlpm.res)</f>
        <v>3794994.5</v>
      </c>
      <c r="BF74" s="289" cm="1">
        <f t="array" ref="BF74">_xlfn.LET(_xlpm.sd, BF$4, _xlpm.ed, BF$5,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BE$74, _xlpm.netIncome, IFERROR(SUM(_xlfn._xlws.FILTER(_xlfn._xlws.FILTER(dataGLPL, ISNUMBER(MATCH(dataGLPLSections, {"Revenue","Other Income"}, 0))), (startDates&gt;=BF$4)*(endDates&lt;=BF$5))) - IFERROR(SUM(_xlfn._xlws.FILTER(_xlfn._xlws.FILTER(dataGLPL, ISNUMBER(MATCH(dataGLPLSections, {"COGS","Opex","Other Expenses"}, 0))), (startDates&gt;=BF$4)*(endDates&lt;=BF$5))), 0), 0), _xlpm.historicalBank, SUMIFS(PBC_BALANCE_SHEET[AccountBalance], PBC_BALANCE_SHEET[Id],"sum(Bank Accounts)", PBC_BALANCE_SHEET[Date],_xlpm.ed), _xlpm.res, IF(_xlpm.ed&lt;=LatestMonthOfActuals,_xlpm.historicalBank,_xlpm.priorBank+ _xlpm.netIncome + _xlpm.cf_sum), _xlpm.res)</f>
        <v>3656851.5</v>
      </c>
      <c r="BG74" s="289" cm="1">
        <f t="array" ref="BG74">_xlfn.LET(_xlpm.sd, BG$4, _xlpm.ed, BG$5,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BF$74, _xlpm.netIncome, IFERROR(SUM(_xlfn._xlws.FILTER(_xlfn._xlws.FILTER(dataGLPL, ISNUMBER(MATCH(dataGLPLSections, {"Revenue","Other Income"}, 0))), (startDates&gt;=BG$4)*(endDates&lt;=BG$5))) - IFERROR(SUM(_xlfn._xlws.FILTER(_xlfn._xlws.FILTER(dataGLPL, ISNUMBER(MATCH(dataGLPLSections, {"COGS","Opex","Other Expenses"}, 0))), (startDates&gt;=BG$4)*(endDates&lt;=BG$5))), 0), 0), _xlpm.historicalBank, SUMIFS(PBC_BALANCE_SHEET[AccountBalance], PBC_BALANCE_SHEET[Id],"sum(Bank Accounts)", PBC_BALANCE_SHEET[Date],_xlpm.ed), _xlpm.res, IF(_xlpm.ed&lt;=LatestMonthOfActuals,_xlpm.historicalBank,_xlpm.priorBank+ _xlpm.netIncome + _xlpm.cf_sum), _xlpm.res)</f>
        <v>3512188.5</v>
      </c>
      <c r="BH74" s="289" cm="1">
        <f t="array" ref="BH74">_xlfn.LET(_xlpm.sd, BH$4, _xlpm.ed, BH$5,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BG$74, _xlpm.netIncome, IFERROR(SUM(_xlfn._xlws.FILTER(_xlfn._xlws.FILTER(dataGLPL, ISNUMBER(MATCH(dataGLPLSections, {"Revenue","Other Income"}, 0))), (startDates&gt;=BH$4)*(endDates&lt;=BH$5))) - IFERROR(SUM(_xlfn._xlws.FILTER(_xlfn._xlws.FILTER(dataGLPL, ISNUMBER(MATCH(dataGLPLSections, {"COGS","Opex","Other Expenses"}, 0))), (startDates&gt;=BH$4)*(endDates&lt;=BH$5))), 0), 0), _xlpm.historicalBank, SUMIFS(PBC_BALANCE_SHEET[AccountBalance], PBC_BALANCE_SHEET[Id],"sum(Bank Accounts)", PBC_BALANCE_SHEET[Date],_xlpm.ed), _xlpm.res, IF(_xlpm.ed&lt;=LatestMonthOfActuals,_xlpm.historicalBank,_xlpm.priorBank+ _xlpm.netIncome + _xlpm.cf_sum), _xlpm.res)</f>
        <v>3367871.5</v>
      </c>
      <c r="BI74" s="289" cm="1">
        <f t="array" ref="BI74">_xlfn.LET(_xlpm.sd, BI$4, _xlpm.ed, BI$5,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BH$74, _xlpm.netIncome, IFERROR(SUM(_xlfn._xlws.FILTER(_xlfn._xlws.FILTER(dataGLPL, ISNUMBER(MATCH(dataGLPLSections, {"Revenue","Other Income"}, 0))), (startDates&gt;=BI$4)*(endDates&lt;=BI$5))) - IFERROR(SUM(_xlfn._xlws.FILTER(_xlfn._xlws.FILTER(dataGLPL, ISNUMBER(MATCH(dataGLPLSections, {"COGS","Opex","Other Expenses"}, 0))), (startDates&gt;=BI$4)*(endDates&lt;=BI$5))), 0), 0), _xlpm.historicalBank, SUMIFS(PBC_BALANCE_SHEET[AccountBalance], PBC_BALANCE_SHEET[Id],"sum(Bank Accounts)", PBC_BALANCE_SHEET[Date],_xlpm.ed), _xlpm.res, IF(_xlpm.ed&lt;=LatestMonthOfActuals,_xlpm.historicalBank,_xlpm.priorBank+ _xlpm.netIncome + _xlpm.cf_sum), _xlpm.res)</f>
        <v>3217220.5</v>
      </c>
      <c r="BJ74" s="289" cm="1">
        <f t="array" ref="BJ74">_xlfn.LET(_xlpm.sd, BJ$4, _xlpm.ed, BJ$5,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BI$74, _xlpm.netIncome, IFERROR(SUM(_xlfn._xlws.FILTER(_xlfn._xlws.FILTER(dataGLPL, ISNUMBER(MATCH(dataGLPLSections, {"Revenue","Other Income"}, 0))), (startDates&gt;=BJ$4)*(endDates&lt;=BJ$5))) - IFERROR(SUM(_xlfn._xlws.FILTER(_xlfn._xlws.FILTER(dataGLPL, ISNUMBER(MATCH(dataGLPLSections, {"COGS","Opex","Other Expenses"}, 0))), (startDates&gt;=BJ$4)*(endDates&lt;=BJ$5))), 0), 0), _xlpm.historicalBank, SUMIFS(PBC_BALANCE_SHEET[AccountBalance], PBC_BALANCE_SHEET[Id],"sum(Bank Accounts)", PBC_BALANCE_SHEET[Date],_xlpm.ed), _xlpm.res, IF(_xlpm.ed&lt;=LatestMonthOfActuals,_xlpm.historicalBank,_xlpm.priorBank+ _xlpm.netIncome + _xlpm.cf_sum), _xlpm.res)</f>
        <v>3066455.5</v>
      </c>
      <c r="BK74" s="289" cm="1">
        <f t="array" ref="BK74">_xlfn.LET(_xlpm.sd, BK$4, _xlpm.ed, BK$5,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BJ$74, _xlpm.netIncome, IFERROR(SUM(_xlfn._xlws.FILTER(_xlfn._xlws.FILTER(dataGLPL, ISNUMBER(MATCH(dataGLPLSections, {"Revenue","Other Income"}, 0))), (startDates&gt;=BK$4)*(endDates&lt;=BK$5))) - IFERROR(SUM(_xlfn._xlws.FILTER(_xlfn._xlws.FILTER(dataGLPL, ISNUMBER(MATCH(dataGLPLSections, {"COGS","Opex","Other Expenses"}, 0))), (startDates&gt;=BK$4)*(endDates&lt;=BK$5))), 0), 0), _xlpm.historicalBank, SUMIFS(PBC_BALANCE_SHEET[AccountBalance], PBC_BALANCE_SHEET[Id],"sum(Bank Accounts)", PBC_BALANCE_SHEET[Date],_xlpm.ed), _xlpm.res, IF(_xlpm.ed&lt;=LatestMonthOfActuals,_xlpm.historicalBank,_xlpm.priorBank+ _xlpm.netIncome + _xlpm.cf_sum), _xlpm.res)</f>
        <v>2909186.5</v>
      </c>
      <c r="BL74" s="289" cm="1">
        <f t="array" ref="BL74">_xlfn.LET(_xlpm.sd, BL$4, _xlpm.ed, BL$5,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BK$74, _xlpm.netIncome, IFERROR(SUM(_xlfn._xlws.FILTER(_xlfn._xlws.FILTER(dataGLPL, ISNUMBER(MATCH(dataGLPLSections, {"Revenue","Other Income"}, 0))), (startDates&gt;=BL$4)*(endDates&lt;=BL$5))) - IFERROR(SUM(_xlfn._xlws.FILTER(_xlfn._xlws.FILTER(dataGLPL, ISNUMBER(MATCH(dataGLPLSections, {"COGS","Opex","Other Expenses"}, 0))), (startDates&gt;=BL$4)*(endDates&lt;=BL$5))), 0), 0), _xlpm.historicalBank, SUMIFS(PBC_BALANCE_SHEET[AccountBalance], PBC_BALANCE_SHEET[Id],"sum(Bank Accounts)", PBC_BALANCE_SHEET[Date],_xlpm.ed), _xlpm.res, IF(_xlpm.ed&lt;=LatestMonthOfActuals,_xlpm.historicalBank,_xlpm.priorBank+ _xlpm.netIncome + _xlpm.cf_sum), _xlpm.res)</f>
        <v>2744982.5</v>
      </c>
      <c r="BM74" s="289" cm="1">
        <f t="array" ref="BM74">_xlfn.LET(_xlpm.sd, BM$4, _xlpm.ed, BM$5,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BL$74, _xlpm.netIncome, IFERROR(SUM(_xlfn._xlws.FILTER(_xlfn._xlws.FILTER(dataGLPL, ISNUMBER(MATCH(dataGLPLSections, {"Revenue","Other Income"}, 0))), (startDates&gt;=BM$4)*(endDates&lt;=BM$5))) - IFERROR(SUM(_xlfn._xlws.FILTER(_xlfn._xlws.FILTER(dataGLPL, ISNUMBER(MATCH(dataGLPLSections, {"COGS","Opex","Other Expenses"}, 0))), (startDates&gt;=BM$4)*(endDates&lt;=BM$5))), 0), 0), _xlpm.historicalBank, SUMIFS(PBC_BALANCE_SHEET[AccountBalance], PBC_BALANCE_SHEET[Id],"sum(Bank Accounts)", PBC_BALANCE_SHEET[Date],_xlpm.ed), _xlpm.res, IF(_xlpm.ed&lt;=LatestMonthOfActuals,_xlpm.historicalBank,_xlpm.priorBank+ _xlpm.netIncome + _xlpm.cf_sum), _xlpm.res)</f>
        <v>2573511.48</v>
      </c>
      <c r="BN74" s="289" cm="1">
        <f t="array" ref="BN74">_xlfn.LET(_xlpm.sd, BN$4, _xlpm.ed, BN$5,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BM$74, _xlpm.netIncome, IFERROR(SUM(_xlfn._xlws.FILTER(_xlfn._xlws.FILTER(dataGLPL, ISNUMBER(MATCH(dataGLPLSections, {"Revenue","Other Income"}, 0))), (startDates&gt;=BN$4)*(endDates&lt;=BN$5))) - IFERROR(SUM(_xlfn._xlws.FILTER(_xlfn._xlws.FILTER(dataGLPL, ISNUMBER(MATCH(dataGLPLSections, {"COGS","Opex","Other Expenses"}, 0))), (startDates&gt;=BN$4)*(endDates&lt;=BN$5))), 0), 0), _xlpm.historicalBank, SUMIFS(PBC_BALANCE_SHEET[AccountBalance], PBC_BALANCE_SHEET[Id],"sum(Bank Accounts)", PBC_BALANCE_SHEET[Date],_xlpm.ed), _xlpm.res, IF(_xlpm.ed&lt;=LatestMonthOfActuals,_xlpm.historicalBank,_xlpm.priorBank+ _xlpm.netIncome + _xlpm.cf_sum), _xlpm.res)</f>
        <v>2394437.48</v>
      </c>
      <c r="BO74" s="289" cm="1">
        <f t="array" ref="BO74">_xlfn.LET(_xlpm.sd, BO$4, _xlpm.ed, BO$5,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BN$74, _xlpm.netIncome, IFERROR(SUM(_xlfn._xlws.FILTER(_xlfn._xlws.FILTER(dataGLPL, ISNUMBER(MATCH(dataGLPLSections, {"Revenue","Other Income"}, 0))), (startDates&gt;=BO$4)*(endDates&lt;=BO$5))) - IFERROR(SUM(_xlfn._xlws.FILTER(_xlfn._xlws.FILTER(dataGLPL, ISNUMBER(MATCH(dataGLPLSections, {"COGS","Opex","Other Expenses"}, 0))), (startDates&gt;=BO$4)*(endDates&lt;=BO$5))), 0), 0), _xlpm.historicalBank, SUMIFS(PBC_BALANCE_SHEET[AccountBalance], PBC_BALANCE_SHEET[Id],"sum(Bank Accounts)", PBC_BALANCE_SHEET[Date],_xlpm.ed), _xlpm.res, IF(_xlpm.ed&lt;=LatestMonthOfActuals,_xlpm.historicalBank,_xlpm.priorBank+ _xlpm.netIncome + _xlpm.cf_sum), _xlpm.res)</f>
        <v>2207358.48</v>
      </c>
      <c r="BP74" s="289" cm="1">
        <f t="array" ref="BP74">_xlfn.LET(_xlpm.sd, BP$4, _xlpm.ed, BP$5,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BO$74, _xlpm.netIncome, IFERROR(SUM(_xlfn._xlws.FILTER(_xlfn._xlws.FILTER(dataGLPL, ISNUMBER(MATCH(dataGLPLSections, {"Revenue","Other Income"}, 0))), (startDates&gt;=BP$4)*(endDates&lt;=BP$5))) - IFERROR(SUM(_xlfn._xlws.FILTER(_xlfn._xlws.FILTER(dataGLPL, ISNUMBER(MATCH(dataGLPLSections, {"COGS","Opex","Other Expenses"}, 0))), (startDates&gt;=BP$4)*(endDates&lt;=BP$5))), 0), 0), _xlpm.historicalBank, SUMIFS(PBC_BALANCE_SHEET[AccountBalance], PBC_BALANCE_SHEET[Id],"sum(Bank Accounts)", PBC_BALANCE_SHEET[Date],_xlpm.ed), _xlpm.res, IF(_xlpm.ed&lt;=LatestMonthOfActuals,_xlpm.historicalBank,_xlpm.priorBank+ _xlpm.netIncome + _xlpm.cf_sum), _xlpm.res)</f>
        <v>2011881.48</v>
      </c>
      <c r="BQ74" s="289" cm="1">
        <f t="array" ref="BQ74">_xlfn.LET(_xlpm.sd, BQ$4, _xlpm.ed, BQ$5,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BP$74, _xlpm.netIncome, IFERROR(SUM(_xlfn._xlws.FILTER(_xlfn._xlws.FILTER(dataGLPL, ISNUMBER(MATCH(dataGLPLSections, {"Revenue","Other Income"}, 0))), (startDates&gt;=BQ$4)*(endDates&lt;=BQ$5))) - IFERROR(SUM(_xlfn._xlws.FILTER(_xlfn._xlws.FILTER(dataGLPL, ISNUMBER(MATCH(dataGLPLSections, {"COGS","Opex","Other Expenses"}, 0))), (startDates&gt;=BQ$4)*(endDates&lt;=BQ$5))), 0), 0), _xlpm.historicalBank, SUMIFS(PBC_BALANCE_SHEET[AccountBalance], PBC_BALANCE_SHEET[Id],"sum(Bank Accounts)", PBC_BALANCE_SHEET[Date],_xlpm.ed), _xlpm.res, IF(_xlpm.ed&lt;=LatestMonthOfActuals,_xlpm.historicalBank,_xlpm.priorBank+ _xlpm.netIncome + _xlpm.cf_sum), _xlpm.res)</f>
        <v>1807588.48</v>
      </c>
      <c r="BR74" s="289" cm="1">
        <f t="array" ref="BR74">_xlfn.LET(_xlpm.sd, BR$4, _xlpm.ed, BR$5,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BQ$74, _xlpm.netIncome, IFERROR(SUM(_xlfn._xlws.FILTER(_xlfn._xlws.FILTER(dataGLPL, ISNUMBER(MATCH(dataGLPLSections, {"Revenue","Other Income"}, 0))), (startDates&gt;=BR$4)*(endDates&lt;=BR$5))) - IFERROR(SUM(_xlfn._xlws.FILTER(_xlfn._xlws.FILTER(dataGLPL, ISNUMBER(MATCH(dataGLPLSections, {"COGS","Opex","Other Expenses"}, 0))), (startDates&gt;=BR$4)*(endDates&lt;=BR$5))), 0), 0), _xlpm.historicalBank, SUMIFS(PBC_BALANCE_SHEET[AccountBalance], PBC_BALANCE_SHEET[Id],"sum(Bank Accounts)", PBC_BALANCE_SHEET[Date],_xlpm.ed), _xlpm.res, IF(_xlpm.ed&lt;=LatestMonthOfActuals,_xlpm.historicalBank,_xlpm.priorBank+ _xlpm.netIncome + _xlpm.cf_sum), _xlpm.res)</f>
        <v>1594040.15</v>
      </c>
      <c r="BS74" s="289" cm="1">
        <f t="array" ref="BS74">_xlfn.LET(_xlpm.sd, BS$4, _xlpm.ed, BS$5,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BR$74, _xlpm.netIncome, IFERROR(SUM(_xlfn._xlws.FILTER(_xlfn._xlws.FILTER(dataGLPL, ISNUMBER(MATCH(dataGLPLSections, {"Revenue","Other Income"}, 0))), (startDates&gt;=BS$4)*(endDates&lt;=BS$5))) - IFERROR(SUM(_xlfn._xlws.FILTER(_xlfn._xlws.FILTER(dataGLPL, ISNUMBER(MATCH(dataGLPLSections, {"COGS","Opex","Other Expenses"}, 0))), (startDates&gt;=BS$4)*(endDates&lt;=BS$5))), 0), 0), _xlpm.historicalBank, SUMIFS(PBC_BALANCE_SHEET[AccountBalance], PBC_BALANCE_SHEET[Id],"sum(Bank Accounts)", PBC_BALANCE_SHEET[Date],_xlpm.ed), _xlpm.res, IF(_xlpm.ed&lt;=LatestMonthOfActuals,_xlpm.historicalBank,_xlpm.priorBank+ _xlpm.netIncome + _xlpm.cf_sum), _xlpm.res)</f>
        <v>1370773.78</v>
      </c>
      <c r="BT74" s="289" cm="1">
        <f t="array" ref="BT74">_xlfn.LET(_xlpm.sd, BT$4, _xlpm.ed, BT$5,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BS$74, _xlpm.netIncome, IFERROR(SUM(_xlfn._xlws.FILTER(_xlfn._xlws.FILTER(dataGLPL, ISNUMBER(MATCH(dataGLPLSections, {"Revenue","Other Income"}, 0))), (startDates&gt;=BT$4)*(endDates&lt;=BT$5))) - IFERROR(SUM(_xlfn._xlws.FILTER(_xlfn._xlws.FILTER(dataGLPL, ISNUMBER(MATCH(dataGLPLSections, {"COGS","Opex","Other Expenses"}, 0))), (startDates&gt;=BT$4)*(endDates&lt;=BT$5))), 0), 0), _xlpm.historicalBank, SUMIFS(PBC_BALANCE_SHEET[AccountBalance], PBC_BALANCE_SHEET[Id],"sum(Bank Accounts)", PBC_BALANCE_SHEET[Date],_xlpm.ed), _xlpm.res, IF(_xlpm.ed&lt;=LatestMonthOfActuals,_xlpm.historicalBank,_xlpm.priorBank+ _xlpm.netIncome + _xlpm.cf_sum), _xlpm.res)</f>
        <v>1137304.6599999999</v>
      </c>
      <c r="BU74" s="289" cm="1">
        <f t="array" ref="BU74">_xlfn.LET(_xlpm.sd, BU$4, _xlpm.ed, BU$5,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BT$74, _xlpm.netIncome, IFERROR(SUM(_xlfn._xlws.FILTER(_xlfn._xlws.FILTER(dataGLPL, ISNUMBER(MATCH(dataGLPLSections, {"Revenue","Other Income"}, 0))), (startDates&gt;=BU$4)*(endDates&lt;=BU$5))) - IFERROR(SUM(_xlfn._xlws.FILTER(_xlfn._xlws.FILTER(dataGLPL, ISNUMBER(MATCH(dataGLPLSections, {"COGS","Opex","Other Expenses"}, 0))), (startDates&gt;=BU$4)*(endDates&lt;=BU$5))), 0), 0), _xlpm.historicalBank, SUMIFS(PBC_BALANCE_SHEET[AccountBalance], PBC_BALANCE_SHEET[Id],"sum(Bank Accounts)", PBC_BALANCE_SHEET[Date],_xlpm.ed), _xlpm.res, IF(_xlpm.ed&lt;=LatestMonthOfActuals,_xlpm.historicalBank,_xlpm.priorBank+ _xlpm.netIncome + _xlpm.cf_sum), _xlpm.res)</f>
        <v>893122.77</v>
      </c>
      <c r="BV74" s="289" cm="1">
        <f t="array" ref="BV74">_xlfn.LET(_xlpm.sd, BV$4, _xlpm.ed, BV$5,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BU$74, _xlpm.netIncome, IFERROR(SUM(_xlfn._xlws.FILTER(_xlfn._xlws.FILTER(dataGLPL, ISNUMBER(MATCH(dataGLPLSections, {"Revenue","Other Income"}, 0))), (startDates&gt;=BV$4)*(endDates&lt;=BV$5))) - IFERROR(SUM(_xlfn._xlws.FILTER(_xlfn._xlws.FILTER(dataGLPL, ISNUMBER(MATCH(dataGLPLSections, {"COGS","Opex","Other Expenses"}, 0))), (startDates&gt;=BV$4)*(endDates&lt;=BV$5))), 0), 0), _xlpm.historicalBank, SUMIFS(PBC_BALANCE_SHEET[AccountBalance], PBC_BALANCE_SHEET[Id],"sum(Bank Accounts)", PBC_BALANCE_SHEET[Date],_xlpm.ed), _xlpm.res, IF(_xlpm.ed&lt;=LatestMonthOfActuals,_xlpm.historicalBank,_xlpm.priorBank+ _xlpm.netIncome + _xlpm.cf_sum), _xlpm.res)</f>
        <v>637693.89</v>
      </c>
      <c r="BW74" s="289" cm="1">
        <f t="array" ref="BW74">_xlfn.LET(_xlpm.sd, BW$4, _xlpm.ed, BW$5,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BV$74, _xlpm.netIncome, IFERROR(SUM(_xlfn._xlws.FILTER(_xlfn._xlws.FILTER(dataGLPL, ISNUMBER(MATCH(dataGLPLSections, {"Revenue","Other Income"}, 0))), (startDates&gt;=BW$4)*(endDates&lt;=BW$5))) - IFERROR(SUM(_xlfn._xlws.FILTER(_xlfn._xlws.FILTER(dataGLPL, ISNUMBER(MATCH(dataGLPLSections, {"COGS","Opex","Other Expenses"}, 0))), (startDates&gt;=BW$4)*(endDates&lt;=BW$5))), 0), 0), _xlpm.historicalBank, SUMIFS(PBC_BALANCE_SHEET[AccountBalance], PBC_BALANCE_SHEET[Id],"sum(Bank Accounts)", PBC_BALANCE_SHEET[Date],_xlpm.ed), _xlpm.res, IF(_xlpm.ed&lt;=LatestMonthOfActuals,_xlpm.historicalBank,_xlpm.priorBank+ _xlpm.netIncome + _xlpm.cf_sum), _xlpm.res)</f>
        <v>370456.63</v>
      </c>
      <c r="BX74" s="289" cm="1">
        <f t="array" ref="BX74">_xlfn.LET(_xlpm.sd, BX$4, _xlpm.ed, BX$5,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BW$74, _xlpm.netIncome, IFERROR(SUM(_xlfn._xlws.FILTER(_xlfn._xlws.FILTER(dataGLPL, ISNUMBER(MATCH(dataGLPLSections, {"Revenue","Other Income"}, 0))), (startDates&gt;=BX$4)*(endDates&lt;=BX$5))) - IFERROR(SUM(_xlfn._xlws.FILTER(_xlfn._xlws.FILTER(dataGLPL, ISNUMBER(MATCH(dataGLPLSections, {"COGS","Opex","Other Expenses"}, 0))), (startDates&gt;=BX$4)*(endDates&lt;=BX$5))), 0), 0), _xlpm.historicalBank, SUMIFS(PBC_BALANCE_SHEET[AccountBalance], PBC_BALANCE_SHEET[Id],"sum(Bank Accounts)", PBC_BALANCE_SHEET[Date],_xlpm.ed), _xlpm.res, IF(_xlpm.ed&lt;=LatestMonthOfActuals,_xlpm.historicalBank,_xlpm.priorBank+ _xlpm.netIncome + _xlpm.cf_sum), _xlpm.res)</f>
        <v>1156879.011009091</v>
      </c>
      <c r="BY74" s="289" cm="1">
        <f t="array" ref="BY74">_xlfn.LET(_xlpm.sd, BY$4, _xlpm.ed, BY$5,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BX$74, _xlpm.netIncome, IFERROR(SUM(_xlfn._xlws.FILTER(_xlfn._xlws.FILTER(dataGLPL, ISNUMBER(MATCH(dataGLPLSections, {"Revenue","Other Income"}, 0))), (startDates&gt;=BY$4)*(endDates&lt;=BY$5))) - IFERROR(SUM(_xlfn._xlws.FILTER(_xlfn._xlws.FILTER(dataGLPL, ISNUMBER(MATCH(dataGLPLSections, {"COGS","Opex","Other Expenses"}, 0))), (startDates&gt;=BY$4)*(endDates&lt;=BY$5))), 0), 0), _xlpm.historicalBank, SUMIFS(PBC_BALANCE_SHEET[AccountBalance], PBC_BALANCE_SHEET[Id],"sum(Bank Accounts)", PBC_BALANCE_SHEET[Date],_xlpm.ed), _xlpm.res, IF(_xlpm.ed&lt;=LatestMonthOfActuals,_xlpm.historicalBank,_xlpm.priorBank+ _xlpm.netIncome + _xlpm.cf_sum), _xlpm.res)</f>
        <v>1045956.8245014361</v>
      </c>
      <c r="BZ74" s="289" cm="1">
        <f t="array" ref="BZ74">_xlfn.LET(_xlpm.sd, BZ$4, _xlpm.ed, BZ$5,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BY$74, _xlpm.netIncome, IFERROR(SUM(_xlfn._xlws.FILTER(_xlfn._xlws.FILTER(dataGLPL, ISNUMBER(MATCH(dataGLPLSections, {"Revenue","Other Income"}, 0))), (startDates&gt;=BZ$4)*(endDates&lt;=BZ$5))) - IFERROR(SUM(_xlfn._xlws.FILTER(_xlfn._xlws.FILTER(dataGLPL, ISNUMBER(MATCH(dataGLPLSections, {"COGS","Opex","Other Expenses"}, 0))), (startDates&gt;=BZ$4)*(endDates&lt;=BZ$5))), 0), 0), _xlpm.historicalBank, SUMIFS(PBC_BALANCE_SHEET[AccountBalance], PBC_BALANCE_SHEET[Id],"sum(Bank Accounts)", PBC_BALANCE_SHEET[Date],_xlpm.ed), _xlpm.res, IF(_xlpm.ed&lt;=LatestMonthOfActuals,_xlpm.historicalBank,_xlpm.priorBank+ _xlpm.netIncome + _xlpm.cf_sum), _xlpm.res)</f>
        <v>926406.13015326345</v>
      </c>
      <c r="CA74" s="289" cm="1">
        <f t="array" ref="CA74">_xlfn.LET(_xlpm.sd, CA$4, _xlpm.ed, CA$5,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BZ$74, _xlpm.netIncome, IFERROR(SUM(_xlfn._xlws.FILTER(_xlfn._xlws.FILTER(dataGLPL, ISNUMBER(MATCH(dataGLPLSections, {"Revenue","Other Income"}, 0))), (startDates&gt;=CA$4)*(endDates&lt;=CA$5))) - IFERROR(SUM(_xlfn._xlws.FILTER(_xlfn._xlws.FILTER(dataGLPL, ISNUMBER(MATCH(dataGLPLSections, {"COGS","Opex","Other Expenses"}, 0))), (startDates&gt;=CA$4)*(endDates&lt;=CA$5))), 0), 0), _xlpm.historicalBank, SUMIFS(PBC_BALANCE_SHEET[AccountBalance], PBC_BALANCE_SHEET[Id],"sum(Bank Accounts)", PBC_BALANCE_SHEET[Date],_xlpm.ed), _xlpm.res, IF(_xlpm.ed&lt;=LatestMonthOfActuals,_xlpm.historicalBank,_xlpm.priorBank+ _xlpm.netIncome + _xlpm.cf_sum), _xlpm.res)</f>
        <v>733998.54778743605</v>
      </c>
      <c r="CB74" s="289" cm="1">
        <f t="array" ref="CB74">_xlfn.LET(_xlpm.sd, CB$4, _xlpm.ed, CB$5,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CA$74, _xlpm.netIncome, IFERROR(SUM(_xlfn._xlws.FILTER(_xlfn._xlws.FILTER(dataGLPL, ISNUMBER(MATCH(dataGLPLSections, {"Revenue","Other Income"}, 0))), (startDates&gt;=CB$4)*(endDates&lt;=CB$5))) - IFERROR(SUM(_xlfn._xlws.FILTER(_xlfn._xlws.FILTER(dataGLPL, ISNUMBER(MATCH(dataGLPLSections, {"COGS","Opex","Other Expenses"}, 0))), (startDates&gt;=CB$4)*(endDates&lt;=CB$5))), 0), 0), _xlpm.historicalBank, SUMIFS(PBC_BALANCE_SHEET[AccountBalance], PBC_BALANCE_SHEET[Id],"sum(Bank Accounts)", PBC_BALANCE_SHEET[Date],_xlpm.ed), _xlpm.res, IF(_xlpm.ed&lt;=LatestMonthOfActuals,_xlpm.historicalBank,_xlpm.priorBank+ _xlpm.netIncome + _xlpm.cf_sum), _xlpm.res)</f>
        <v>520063.62136957853</v>
      </c>
      <c r="CC74" s="289" cm="1">
        <f t="array" ref="CC74">_xlfn.LET(_xlpm.sd, CC$4, _xlpm.ed, CC$5,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CB$74, _xlpm.netIncome, IFERROR(SUM(_xlfn._xlws.FILTER(_xlfn._xlws.FILTER(dataGLPL, ISNUMBER(MATCH(dataGLPLSections, {"Revenue","Other Income"}, 0))), (startDates&gt;=CC$4)*(endDates&lt;=CC$5))) - IFERROR(SUM(_xlfn._xlws.FILTER(_xlfn._xlws.FILTER(dataGLPL, ISNUMBER(MATCH(dataGLPLSections, {"COGS","Opex","Other Expenses"}, 0))), (startDates&gt;=CC$4)*(endDates&lt;=CC$5))), 0), 0), _xlpm.historicalBank, SUMIFS(PBC_BALANCE_SHEET[AccountBalance], PBC_BALANCE_SHEET[Id],"sum(Bank Accounts)", PBC_BALANCE_SHEET[Date],_xlpm.ed), _xlpm.res, IF(_xlpm.ed&lt;=LatestMonthOfActuals,_xlpm.historicalBank,_xlpm.priorBank+ _xlpm.netIncome + _xlpm.cf_sum), _xlpm.res)</f>
        <v>280302.37280449527</v>
      </c>
      <c r="CD74" s="289" cm="1">
        <f t="array" ref="CD74">_xlfn.LET(_xlpm.sd, CD$4, _xlpm.ed, CD$5,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CC$74, _xlpm.netIncome, IFERROR(SUM(_xlfn._xlws.FILTER(_xlfn._xlws.FILTER(dataGLPL, ISNUMBER(MATCH(dataGLPLSections, {"Revenue","Other Income"}, 0))), (startDates&gt;=CD$4)*(endDates&lt;=CD$5))) - IFERROR(SUM(_xlfn._xlws.FILTER(_xlfn._xlws.FILTER(dataGLPL, ISNUMBER(MATCH(dataGLPLSections, {"COGS","Opex","Other Expenses"}, 0))), (startDates&gt;=CD$4)*(endDates&lt;=CD$5))), 0), 0), _xlpm.historicalBank, SUMIFS(PBC_BALANCE_SHEET[AccountBalance], PBC_BALANCE_SHEET[Id],"sum(Bank Accounts)", PBC_BALANCE_SHEET[Date],_xlpm.ed), _xlpm.res, IF(_xlpm.ed&lt;=LatestMonthOfActuals,_xlpm.historicalBank,_xlpm.priorBank+ _xlpm.netIncome + _xlpm.cf_sum), _xlpm.res)</f>
        <v>50877.329930825552</v>
      </c>
      <c r="CE74" s="289" cm="1">
        <f t="array" ref="CE74">_xlfn.LET(_xlpm.sd, CE$4, _xlpm.ed, CE$5,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CD$74, _xlpm.netIncome, IFERROR(SUM(_xlfn._xlws.FILTER(_xlfn._xlws.FILTER(dataGLPL, ISNUMBER(MATCH(dataGLPLSections, {"Revenue","Other Income"}, 0))), (startDates&gt;=CE$4)*(endDates&lt;=CE$5))) - IFERROR(SUM(_xlfn._xlws.FILTER(_xlfn._xlws.FILTER(dataGLPL, ISNUMBER(MATCH(dataGLPLSections, {"COGS","Opex","Other Expenses"}, 0))), (startDates&gt;=CE$4)*(endDates&lt;=CE$5))), 0), 0), _xlpm.historicalBank, SUMIFS(PBC_BALANCE_SHEET[AccountBalance], PBC_BALANCE_SHEET[Id],"sum(Bank Accounts)", PBC_BALANCE_SHEET[Date],_xlpm.ed), _xlpm.res, IF(_xlpm.ed&lt;=LatestMonthOfActuals,_xlpm.historicalBank,_xlpm.priorBank+ _xlpm.netIncome + _xlpm.cf_sum), _xlpm.res)</f>
        <v>-185524.38643821474</v>
      </c>
      <c r="CF74" s="289" cm="1">
        <f t="array" ref="CF74">_xlfn.LET(_xlpm.sd, CF$4, _xlpm.ed, CF$5,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CE$74, _xlpm.netIncome, IFERROR(SUM(_xlfn._xlws.FILTER(_xlfn._xlws.FILTER(dataGLPL, ISNUMBER(MATCH(dataGLPLSections, {"Revenue","Other Income"}, 0))), (startDates&gt;=CF$4)*(endDates&lt;=CF$5))) - IFERROR(SUM(_xlfn._xlws.FILTER(_xlfn._xlws.FILTER(dataGLPL, ISNUMBER(MATCH(dataGLPLSections, {"COGS","Opex","Other Expenses"}, 0))), (startDates&gt;=CF$4)*(endDates&lt;=CF$5))), 0), 0), _xlpm.historicalBank, SUMIFS(PBC_BALANCE_SHEET[AccountBalance], PBC_BALANCE_SHEET[Id],"sum(Bank Accounts)", PBC_BALANCE_SHEET[Date],_xlpm.ed), _xlpm.res, IF(_xlpm.ed&lt;=LatestMonthOfActuals,_xlpm.historicalBank,_xlpm.priorBank+ _xlpm.netIncome + _xlpm.cf_sum), _xlpm.res)</f>
        <v>-426979.09637953027</v>
      </c>
      <c r="CG74" s="289" cm="1">
        <f t="array" ref="CG74">_xlfn.LET(_xlpm.sd, CG$4, _xlpm.ed, CG$5,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CF$74, _xlpm.netIncome, IFERROR(SUM(_xlfn._xlws.FILTER(_xlfn._xlws.FILTER(dataGLPL, ISNUMBER(MATCH(dataGLPLSections, {"Revenue","Other Income"}, 0))), (startDates&gt;=CG$4)*(endDates&lt;=CG$5))) - IFERROR(SUM(_xlfn._xlws.FILTER(_xlfn._xlws.FILTER(dataGLPL, ISNUMBER(MATCH(dataGLPLSections, {"COGS","Opex","Other Expenses"}, 0))), (startDates&gt;=CG$4)*(endDates&lt;=CG$5))), 0), 0), _xlpm.historicalBank, SUMIFS(PBC_BALANCE_SHEET[AccountBalance], PBC_BALANCE_SHEET[Id],"sum(Bank Accounts)", PBC_BALANCE_SHEET[Date],_xlpm.ed), _xlpm.res, IF(_xlpm.ed&lt;=LatestMonthOfActuals,_xlpm.historicalBank,_xlpm.priorBank+ _xlpm.netIncome + _xlpm.cf_sum), _xlpm.res)</f>
        <v>-672164.29362152971</v>
      </c>
      <c r="CH74" s="289" cm="1">
        <f t="array" ref="CH74">_xlfn.LET(_xlpm.sd, CH$4, _xlpm.ed, CH$5,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CG$74, _xlpm.netIncome, IFERROR(SUM(_xlfn._xlws.FILTER(_xlfn._xlws.FILTER(dataGLPL, ISNUMBER(MATCH(dataGLPLSections, {"Revenue","Other Income"}, 0))), (startDates&gt;=CH$4)*(endDates&lt;=CH$5))) - IFERROR(SUM(_xlfn._xlws.FILTER(_xlfn._xlws.FILTER(dataGLPL, ISNUMBER(MATCH(dataGLPLSections, {"COGS","Opex","Other Expenses"}, 0))), (startDates&gt;=CH$4)*(endDates&lt;=CH$5))), 0), 0), _xlpm.historicalBank, SUMIFS(PBC_BALANCE_SHEET[AccountBalance], PBC_BALANCE_SHEET[Id],"sum(Bank Accounts)", PBC_BALANCE_SHEET[Date],_xlpm.ed), _xlpm.res, IF(_xlpm.ed&lt;=LatestMonthOfActuals,_xlpm.historicalBank,_xlpm.priorBank+ _xlpm.netIncome + _xlpm.cf_sum), _xlpm.res)</f>
        <v>-920873.55731980898</v>
      </c>
      <c r="CI74" s="289" cm="1">
        <f t="array" ref="CI74">_xlfn.LET(_xlpm.sd, CI$4, _xlpm.ed, CI$5,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CH$74, _xlpm.netIncome, IFERROR(SUM(_xlfn._xlws.FILTER(_xlfn._xlws.FILTER(dataGLPL, ISNUMBER(MATCH(dataGLPLSections, {"Revenue","Other Income"}, 0))), (startDates&gt;=CI$4)*(endDates&lt;=CI$5))) - IFERROR(SUM(_xlfn._xlws.FILTER(_xlfn._xlws.FILTER(dataGLPL, ISNUMBER(MATCH(dataGLPLSections, {"COGS","Opex","Other Expenses"}, 0))), (startDates&gt;=CI$4)*(endDates&lt;=CI$5))), 0), 0), _xlpm.historicalBank, SUMIFS(PBC_BALANCE_SHEET[AccountBalance], PBC_BALANCE_SHEET[Id],"sum(Bank Accounts)", PBC_BALANCE_SHEET[Date],_xlpm.ed), _xlpm.res, IF(_xlpm.ed&lt;=LatestMonthOfActuals,_xlpm.historicalBank,_xlpm.priorBank+ _xlpm.netIncome + _xlpm.cf_sum), _xlpm.res)</f>
        <v>-1172971.1509452418</v>
      </c>
      <c r="CJ74" s="289" cm="1">
        <f t="array" ref="CJ74">_xlfn.LET(_xlpm.sd, CJ$4, _xlpm.ed, CJ$5, _xlpm.prior, _xlpm.sd-1, _xlpm.ids, _xlfn._xlws.FILTER(PBC_ACCOUNT_LIST[Id], PBC_ACCOUNT_LIST[Cash Flow Section]&lt;&gt;""), _xlpm.rowmask, ISNUMBER(_xlfn.XMATCH(dataGLBSAcctIDs, _xlpm.ids)), _xlpm.rows_ids, _xlfn._xlws.FILTER(dataGLBSAcctIDs, _xlpm.rowmask), _xlpm.signs, _xlfn.IFNA(_xlfn.XLOOKUP(_xlpm.rows_ids, PBC_ACCOUNT_LIST[Id], PBC_ACCOUNT_LIST[Sign_for_total_cashflow]),0), _xlpm.delta, _xlfn._xlws.FILTER(_xlfn._xlws.FILTER(dataGLBS, _xlpm.rowmask), endDates=_xlpm.ed) - _xlfn._xlws.FILTER(_xlfn._xlws.FILTER(dataGLBS, _xlpm.rowmask), endDates=_xlpm.prior), _xlpm.cf_sum, SUM(_xlpm.delta * _xlpm.signs), _xlpm.priorBank, CI$74, _xlpm.netIncome, IFERROR(SUM(_xlfn._xlws.FILTER(_xlfn._xlws.FILTER(dataGLPL, ISNUMBER(MATCH(dataGLPLSections, {"Revenue","Other Income"}, 0))), (startDates&gt;=CJ$4)*(endDates&lt;=CJ$5))) - IFERROR(SUM(_xlfn._xlws.FILTER(_xlfn._xlws.FILTER(dataGLPL, ISNUMBER(MATCH(dataGLPLSections, {"COGS","Opex","Other Expenses"}, 0))), (startDates&gt;=CJ$4)*(endDates&lt;=CJ$5))), 0), 0), _xlpm.historicalBank, SUMIFS(PBC_BALANCE_SHEET[AccountBalance], PBC_BALANCE_SHEET[Id],"sum(Bank Accounts)", PBC_BALANCE_SHEET[Date],_xlpm.ed), _xlpm.res, IF(_xlpm.ed&lt;=LatestMonthOfActuals,_xlpm.historicalBank,_xlpm.priorBank+ _xlpm.netIncome + _xlpm.cf_sum), _xlpm.res)</f>
        <v>-1438973.6823828642</v>
      </c>
    </row>
    <row r="75" spans="1:88" ht="15" outlineLevel="2">
      <c r="B75" s="284"/>
      <c r="C75" s="283"/>
      <c r="D75" s="288" t="s">
        <v>278</v>
      </c>
      <c r="E75" s="539" t="s">
        <v>42</v>
      </c>
      <c r="F75" s="279"/>
      <c r="G75" s="279"/>
      <c r="H75" s="277" t="str">
        <f>IFERROR(INDEX(PBC_ACCOUNT_LIST[Drivers Section],MATCH(Drivers!L75,PBC_ACCOUNT_LIST[Id],0)),"")</f>
        <v>Assets</v>
      </c>
      <c r="I75" s="277" t="str">
        <f>IFERROR(INDEX(PBC_ACCOUNT_LIST[Summary Grouping],MATCH(Drivers!L75,PBC_ACCOUNT_LIST[Id],0)),"")</f>
        <v>Accounts Receivable</v>
      </c>
      <c r="J75" s="277" t="str">
        <f>IFERROR(INDEX(PBC_ACCOUNT_LIST[Cash Flow Section],MATCH(Drivers!L75,PBC_ACCOUNT_LIST[Id],0)),"")</f>
        <v>Cash from Operating Activities</v>
      </c>
      <c r="K75" s="278" t="s">
        <v>106</v>
      </c>
      <c r="L75" s="277">
        <v>8</v>
      </c>
      <c r="M75" s="276"/>
      <c r="O75" s="272"/>
      <c r="P75" s="289">
        <f t="shared" si="80"/>
        <v>34169</v>
      </c>
      <c r="Q75" s="289">
        <f t="shared" si="80"/>
        <v>52314</v>
      </c>
      <c r="R75" s="289">
        <f t="shared" si="80"/>
        <v>183599.24</v>
      </c>
      <c r="S75" s="289">
        <f t="shared" si="80"/>
        <v>0</v>
      </c>
      <c r="T75" s="289"/>
      <c r="U75" s="289"/>
      <c r="V75" s="289">
        <f t="shared" si="81"/>
        <v>20100</v>
      </c>
      <c r="W75" s="289">
        <f t="shared" si="81"/>
        <v>26753</v>
      </c>
      <c r="X75" s="289">
        <f t="shared" si="81"/>
        <v>35608</v>
      </c>
      <c r="Y75" s="289">
        <f t="shared" si="81"/>
        <v>34169</v>
      </c>
      <c r="Z75" s="289">
        <f t="shared" si="81"/>
        <v>40987</v>
      </c>
      <c r="AA75" s="289">
        <f t="shared" si="81"/>
        <v>44983</v>
      </c>
      <c r="AB75" s="289">
        <f t="shared" si="81"/>
        <v>48580</v>
      </c>
      <c r="AC75" s="289">
        <f t="shared" si="81"/>
        <v>52314</v>
      </c>
      <c r="AD75" s="289">
        <f t="shared" si="81"/>
        <v>56307.77</v>
      </c>
      <c r="AE75" s="289">
        <f t="shared" si="81"/>
        <v>69302.55</v>
      </c>
      <c r="AF75" s="289">
        <f t="shared" si="81"/>
        <v>98423.66</v>
      </c>
      <c r="AG75" s="289">
        <f t="shared" si="81"/>
        <v>183599.24</v>
      </c>
      <c r="AH75" s="289">
        <f t="shared" si="81"/>
        <v>0</v>
      </c>
      <c r="AI75" s="289">
        <f t="shared" si="81"/>
        <v>0</v>
      </c>
      <c r="AJ75" s="289">
        <f t="shared" si="81"/>
        <v>0</v>
      </c>
      <c r="AK75" s="289">
        <f t="shared" si="81"/>
        <v>0</v>
      </c>
      <c r="AL75" s="333"/>
      <c r="AM75" s="334"/>
      <c r="AN75" s="289">
        <f>SUMIFS(PBC_BALANCE_SHEET[AccountBalance], PBC_BALANCE_SHEET[Id],$L75,PBC_BALANCE_SHEET[Date],AN$5)</f>
        <v>0</v>
      </c>
      <c r="AO75" s="289">
        <f>SUMIFS(PBC_BALANCE_SHEET[AccountBalance], PBC_BALANCE_SHEET[Id],$L75,PBC_BALANCE_SHEET[Date],AO$5)</f>
        <v>10000</v>
      </c>
      <c r="AP75" s="289">
        <f>SUMIFS(PBC_BALANCE_SHEET[AccountBalance], PBC_BALANCE_SHEET[Id],$L75,PBC_BALANCE_SHEET[Date],AP$5)</f>
        <v>16000</v>
      </c>
      <c r="AQ75" s="289">
        <f>SUMIFS(PBC_BALANCE_SHEET[AccountBalance], PBC_BALANCE_SHEET[Id],$L75,PBC_BALANCE_SHEET[Date],AQ$5)</f>
        <v>20100</v>
      </c>
      <c r="AR75" s="289">
        <f>SUMIFS(PBC_BALANCE_SHEET[AccountBalance], PBC_BALANCE_SHEET[Id],$L75,PBC_BALANCE_SHEET[Date],AR$5)</f>
        <v>22110</v>
      </c>
      <c r="AS75" s="289">
        <f>SUMIFS(PBC_BALANCE_SHEET[AccountBalance], PBC_BALANCE_SHEET[Id],$L75,PBC_BALANCE_SHEET[Date],AS$5)</f>
        <v>24321</v>
      </c>
      <c r="AT75" s="289">
        <f>SUMIFS(PBC_BALANCE_SHEET[AccountBalance], PBC_BALANCE_SHEET[Id],$L75,PBC_BALANCE_SHEET[Date],AT$5)</f>
        <v>26753</v>
      </c>
      <c r="AU75" s="289">
        <f>SUMIFS(PBC_BALANCE_SHEET[AccountBalance], PBC_BALANCE_SHEET[Id],$L75,PBC_BALANCE_SHEET[Date],AU$5)</f>
        <v>29428</v>
      </c>
      <c r="AV75" s="289">
        <f>SUMIFS(PBC_BALANCE_SHEET[AccountBalance], PBC_BALANCE_SHEET[Id],$L75,PBC_BALANCE_SHEET[Date],AV$5)</f>
        <v>32371</v>
      </c>
      <c r="AW75" s="289">
        <f>SUMIFS(PBC_BALANCE_SHEET[AccountBalance], PBC_BALANCE_SHEET[Id],$L75,PBC_BALANCE_SHEET[Date],AW$5)</f>
        <v>35608</v>
      </c>
      <c r="AX75" s="289">
        <f>SUMIFS(PBC_BALANCE_SHEET[AccountBalance], PBC_BALANCE_SHEET[Id],$L75,PBC_BALANCE_SHEET[Date],AX$5)</f>
        <v>39169</v>
      </c>
      <c r="AY75" s="289">
        <f>SUMIFS(PBC_BALANCE_SHEET[AccountBalance], PBC_BALANCE_SHEET[Id],$L75,PBC_BALANCE_SHEET[Date],AY$5)</f>
        <v>44169</v>
      </c>
      <c r="AZ75" s="289">
        <f>SUMIFS(PBC_BALANCE_SHEET[AccountBalance], PBC_BALANCE_SHEET[Id],$L75,PBC_BALANCE_SHEET[Date],AZ$5)</f>
        <v>34169</v>
      </c>
      <c r="BA75" s="289">
        <f>SUMIFS(PBC_BALANCE_SHEET[AccountBalance], PBC_BALANCE_SHEET[Id],$L75,PBC_BALANCE_SHEET[Date],BA$5)</f>
        <v>41127</v>
      </c>
      <c r="BB75" s="289">
        <f>SUMIFS(PBC_BALANCE_SHEET[AccountBalance], PBC_BALANCE_SHEET[Id],$L75,PBC_BALANCE_SHEET[Date],BB$5)</f>
        <v>41812</v>
      </c>
      <c r="BC75" s="289">
        <f>SUMIFS(PBC_BALANCE_SHEET[AccountBalance], PBC_BALANCE_SHEET[Id],$L75,PBC_BALANCE_SHEET[Date],BC$5)</f>
        <v>40987</v>
      </c>
      <c r="BD75" s="289">
        <f>SUMIFS(PBC_BALANCE_SHEET[AccountBalance], PBC_BALANCE_SHEET[Id],$L75,PBC_BALANCE_SHEET[Date],BD$5)</f>
        <v>43374</v>
      </c>
      <c r="BE75" s="289">
        <f>SUMIFS(PBC_BALANCE_SHEET[AccountBalance], PBC_BALANCE_SHEET[Id],$L75,PBC_BALANCE_SHEET[Date],BE$5)</f>
        <v>44161</v>
      </c>
      <c r="BF75" s="289">
        <f>SUMIFS(PBC_BALANCE_SHEET[AccountBalance], PBC_BALANCE_SHEET[Id],$L75,PBC_BALANCE_SHEET[Date],BF$5)</f>
        <v>44983</v>
      </c>
      <c r="BG75" s="289">
        <f>SUMIFS(PBC_BALANCE_SHEET[AccountBalance], PBC_BALANCE_SHEET[Id],$L75,PBC_BALANCE_SHEET[Date],BG$5)</f>
        <v>46381</v>
      </c>
      <c r="BH75" s="289">
        <f>SUMIFS(PBC_BALANCE_SHEET[AccountBalance], PBC_BALANCE_SHEET[Id],$L75,PBC_BALANCE_SHEET[Date],BH$5)</f>
        <v>47434</v>
      </c>
      <c r="BI75" s="289">
        <f>SUMIFS(PBC_BALANCE_SHEET[AccountBalance], PBC_BALANCE_SHEET[Id],$L75,PBC_BALANCE_SHEET[Date],BI$5)</f>
        <v>48580</v>
      </c>
      <c r="BJ75" s="289">
        <f>SUMIFS(PBC_BALANCE_SHEET[AccountBalance], PBC_BALANCE_SHEET[Id],$L75,PBC_BALANCE_SHEET[Date],BJ$5)</f>
        <v>49839</v>
      </c>
      <c r="BK75" s="289">
        <f>SUMIFS(PBC_BALANCE_SHEET[AccountBalance], PBC_BALANCE_SHEET[Id],$L75,PBC_BALANCE_SHEET[Date],BK$5)</f>
        <v>51049</v>
      </c>
      <c r="BL75" s="289">
        <f>SUMIFS(PBC_BALANCE_SHEET[AccountBalance], PBC_BALANCE_SHEET[Id],$L75,PBC_BALANCE_SHEET[Date],BL$5)</f>
        <v>52314</v>
      </c>
      <c r="BM75" s="289">
        <f>SUMIFS(PBC_BALANCE_SHEET[AccountBalance], PBC_BALANCE_SHEET[Id],$L75,PBC_BALANCE_SHEET[Date],BM$5)</f>
        <v>53620.77</v>
      </c>
      <c r="BN75" s="289">
        <f>SUMIFS(PBC_BALANCE_SHEET[AccountBalance], PBC_BALANCE_SHEET[Id],$L75,PBC_BALANCE_SHEET[Date],BN$5)</f>
        <v>54944.77</v>
      </c>
      <c r="BO75" s="289">
        <f>SUMIFS(PBC_BALANCE_SHEET[AccountBalance], PBC_BALANCE_SHEET[Id],$L75,PBC_BALANCE_SHEET[Date],BO$5)</f>
        <v>56307.77</v>
      </c>
      <c r="BP75" s="289">
        <f>SUMIFS(PBC_BALANCE_SHEET[AccountBalance], PBC_BALANCE_SHEET[Id],$L75,PBC_BALANCE_SHEET[Date],BP$5)</f>
        <v>57705.77</v>
      </c>
      <c r="BQ75" s="289">
        <f>SUMIFS(PBC_BALANCE_SHEET[AccountBalance], PBC_BALANCE_SHEET[Id],$L75,PBC_BALANCE_SHEET[Date],BQ$5)</f>
        <v>59135.77</v>
      </c>
      <c r="BR75" s="289">
        <f>SUMIFS(PBC_BALANCE_SHEET[AccountBalance], PBC_BALANCE_SHEET[Id],$L75,PBC_BALANCE_SHEET[Date],BR$5)</f>
        <v>69302.55</v>
      </c>
      <c r="BS75" s="289">
        <f>SUMIFS(PBC_BALANCE_SHEET[AccountBalance], PBC_BALANCE_SHEET[Id],$L75,PBC_BALANCE_SHEET[Date],BS$5)</f>
        <v>77305.53</v>
      </c>
      <c r="BT75" s="289">
        <f>SUMIFS(PBC_BALANCE_SHEET[AccountBalance], PBC_BALANCE_SHEET[Id],$L75,PBC_BALANCE_SHEET[Date],BT$5)</f>
        <v>78845.320000000007</v>
      </c>
      <c r="BU75" s="289">
        <f>SUMIFS(PBC_BALANCE_SHEET[AccountBalance], PBC_BALANCE_SHEET[Id],$L75,PBC_BALANCE_SHEET[Date],BU$5)</f>
        <v>98423.66</v>
      </c>
      <c r="BV75" s="289">
        <f>SUMIFS(PBC_BALANCE_SHEET[AccountBalance], PBC_BALANCE_SHEET[Id],$L75,PBC_BALANCE_SHEET[Date],BV$5)</f>
        <v>110041.05</v>
      </c>
      <c r="BW75" s="289">
        <f>SUMIFS(PBC_BALANCE_SHEET[AccountBalance], PBC_BALANCE_SHEET[Id],$L75,PBC_BALANCE_SHEET[Date],BW$5)</f>
        <v>127198.48</v>
      </c>
      <c r="BX75" s="541">
        <f>SUMIFS(AR!BN$141:BN$142,AR!$E$141:$E$142,$L75)</f>
        <v>183599.24</v>
      </c>
      <c r="BY75" s="541">
        <f>SUMIFS(AR!BO$141:BO$142,AR!$E$141:$E$142,$L75)</f>
        <v>91799.62</v>
      </c>
      <c r="BZ75" s="541">
        <f>SUMIFS(AR!BP$141:BP$142,AR!$E$141:$E$142,$L75)</f>
        <v>0</v>
      </c>
      <c r="CA75" s="541">
        <f>SUMIFS(AR!BQ$141:BQ$142,AR!$E$141:$E$142,$L75)</f>
        <v>0</v>
      </c>
      <c r="CB75" s="541">
        <f>SUMIFS(AR!BR$141:BR$142,AR!$E$141:$E$142,$L75)</f>
        <v>0</v>
      </c>
      <c r="CC75" s="541">
        <f>SUMIFS(AR!BS$141:BS$142,AR!$E$141:$E$142,$L75)</f>
        <v>0</v>
      </c>
      <c r="CD75" s="541">
        <f>SUMIFS(AR!BT$141:BT$142,AR!$E$141:$E$142,$L75)</f>
        <v>0</v>
      </c>
      <c r="CE75" s="541">
        <f>SUMIFS(AR!BU$141:BU$142,AR!$E$141:$E$142,$L75)</f>
        <v>0</v>
      </c>
      <c r="CF75" s="541">
        <f>SUMIFS(AR!BV$141:BV$142,AR!$E$141:$E$142,$L75)</f>
        <v>0</v>
      </c>
      <c r="CG75" s="541">
        <f>SUMIFS(AR!BW$141:BW$142,AR!$E$141:$E$142,$L75)</f>
        <v>0</v>
      </c>
      <c r="CH75" s="541">
        <f>SUMIFS(AR!BX$141:BX$142,AR!$E$141:$E$142,$L75)</f>
        <v>0</v>
      </c>
      <c r="CI75" s="541">
        <f>SUMIFS(AR!BY$141:BY$142,AR!$E$141:$E$142,$L75)</f>
        <v>0</v>
      </c>
      <c r="CJ75" s="541">
        <f>SUMIFS(AR!BZ$141:BZ$142,AR!$E$141:$E$142,$L75)</f>
        <v>0</v>
      </c>
    </row>
    <row r="76" spans="1:88" ht="15" outlineLevel="2">
      <c r="B76" s="284"/>
      <c r="C76" s="283"/>
      <c r="D76" s="288" t="s">
        <v>282</v>
      </c>
      <c r="E76" s="280" t="s">
        <v>358</v>
      </c>
      <c r="F76" s="279"/>
      <c r="G76" s="279"/>
      <c r="H76" s="277" t="str">
        <f>IFERROR(INDEX(PBC_ACCOUNT_LIST[Drivers Section],MATCH(Drivers!L76,PBC_ACCOUNT_LIST[Id],0)),"")</f>
        <v>Assets</v>
      </c>
      <c r="I76" s="277" t="str">
        <f>IFERROR(INDEX(PBC_ACCOUNT_LIST[Summary Grouping],MATCH(Drivers!L76,PBC_ACCOUNT_LIST[Id],0)),"")</f>
        <v>Current Assets</v>
      </c>
      <c r="J76" s="277" t="str">
        <f>IFERROR(INDEX(PBC_ACCOUNT_LIST[Cash Flow Section],MATCH(Drivers!L76,PBC_ACCOUNT_LIST[Id],0)),"")</f>
        <v>Cash from Operating Activities</v>
      </c>
      <c r="K76" s="278" t="s">
        <v>106</v>
      </c>
      <c r="L76" s="277">
        <v>193</v>
      </c>
      <c r="M76" s="276"/>
      <c r="O76" s="272"/>
      <c r="P76" s="289">
        <f t="shared" si="80"/>
        <v>1119.5</v>
      </c>
      <c r="Q76" s="289">
        <f t="shared" si="80"/>
        <v>1119.5</v>
      </c>
      <c r="R76" s="289">
        <f t="shared" si="80"/>
        <v>-5730.5</v>
      </c>
      <c r="S76" s="289">
        <f t="shared" si="80"/>
        <v>-5730.5</v>
      </c>
      <c r="T76" s="289"/>
      <c r="U76" s="289"/>
      <c r="V76" s="289">
        <f t="shared" si="81"/>
        <v>623.5</v>
      </c>
      <c r="W76" s="289">
        <f t="shared" si="81"/>
        <v>6402</v>
      </c>
      <c r="X76" s="289">
        <f t="shared" si="81"/>
        <v>6222.5</v>
      </c>
      <c r="Y76" s="289">
        <f t="shared" si="81"/>
        <v>1119.5</v>
      </c>
      <c r="Z76" s="289">
        <f t="shared" si="81"/>
        <v>1119.5</v>
      </c>
      <c r="AA76" s="289">
        <f t="shared" si="81"/>
        <v>1119.5</v>
      </c>
      <c r="AB76" s="289">
        <f t="shared" si="81"/>
        <v>1119.5</v>
      </c>
      <c r="AC76" s="289">
        <f t="shared" si="81"/>
        <v>1119.5</v>
      </c>
      <c r="AD76" s="289">
        <f t="shared" si="81"/>
        <v>1119.5</v>
      </c>
      <c r="AE76" s="289">
        <f t="shared" si="81"/>
        <v>1119.5</v>
      </c>
      <c r="AF76" s="289">
        <f t="shared" si="81"/>
        <v>-680.5</v>
      </c>
      <c r="AG76" s="289">
        <f t="shared" si="81"/>
        <v>-5730.5</v>
      </c>
      <c r="AH76" s="289">
        <f t="shared" si="81"/>
        <v>-5730.5</v>
      </c>
      <c r="AI76" s="289">
        <f t="shared" si="81"/>
        <v>-5730.5</v>
      </c>
      <c r="AJ76" s="289">
        <f t="shared" si="81"/>
        <v>-5730.5</v>
      </c>
      <c r="AK76" s="289">
        <f t="shared" si="81"/>
        <v>-5730.5</v>
      </c>
      <c r="AL76" s="333"/>
      <c r="AM76" s="334"/>
      <c r="AN76" s="289">
        <f>SUMIFS(PBC_BALANCE_SHEET[AccountBalance], PBC_BALANCE_SHEET[Id],$L76,PBC_BALANCE_SHEET[Date],AN$5)</f>
        <v>0</v>
      </c>
      <c r="AO76" s="289">
        <f>SUMIFS(PBC_BALANCE_SHEET[AccountBalance], PBC_BALANCE_SHEET[Id],$L76,PBC_BALANCE_SHEET[Date],AO$5)</f>
        <v>3970</v>
      </c>
      <c r="AP76" s="289">
        <f>SUMIFS(PBC_BALANCE_SHEET[AccountBalance], PBC_BALANCE_SHEET[Id],$L76,PBC_BALANCE_SHEET[Date],AP$5)</f>
        <v>1333.5</v>
      </c>
      <c r="AQ76" s="289">
        <f>SUMIFS(PBC_BALANCE_SHEET[AccountBalance], PBC_BALANCE_SHEET[Id],$L76,PBC_BALANCE_SHEET[Date],AQ$5)</f>
        <v>623.5</v>
      </c>
      <c r="AR76" s="289">
        <f>SUMIFS(PBC_BALANCE_SHEET[AccountBalance], PBC_BALANCE_SHEET[Id],$L76,PBC_BALANCE_SHEET[Date],AR$5)</f>
        <v>6437.5</v>
      </c>
      <c r="AS76" s="289">
        <f>SUMIFS(PBC_BALANCE_SHEET[AccountBalance], PBC_BALANCE_SHEET[Id],$L76,PBC_BALANCE_SHEET[Date],AS$5)</f>
        <v>1713</v>
      </c>
      <c r="AT76" s="289">
        <f>SUMIFS(PBC_BALANCE_SHEET[AccountBalance], PBC_BALANCE_SHEET[Id],$L76,PBC_BALANCE_SHEET[Date],AT$5)</f>
        <v>6402</v>
      </c>
      <c r="AU76" s="289">
        <f>SUMIFS(PBC_BALANCE_SHEET[AccountBalance], PBC_BALANCE_SHEET[Id],$L76,PBC_BALANCE_SHEET[Date],AU$5)</f>
        <v>2773.5</v>
      </c>
      <c r="AV76" s="289">
        <f>SUMIFS(PBC_BALANCE_SHEET[AccountBalance], PBC_BALANCE_SHEET[Id],$L76,PBC_BALANCE_SHEET[Date],AV$5)</f>
        <v>5752.5</v>
      </c>
      <c r="AW76" s="289">
        <f>SUMIFS(PBC_BALANCE_SHEET[AccountBalance], PBC_BALANCE_SHEET[Id],$L76,PBC_BALANCE_SHEET[Date],AW$5)</f>
        <v>6222.5</v>
      </c>
      <c r="AX76" s="289">
        <f>SUMIFS(PBC_BALANCE_SHEET[AccountBalance], PBC_BALANCE_SHEET[Id],$L76,PBC_BALANCE_SHEET[Date],AX$5)</f>
        <v>1119.5</v>
      </c>
      <c r="AY76" s="289">
        <f>SUMIFS(PBC_BALANCE_SHEET[AccountBalance], PBC_BALANCE_SHEET[Id],$L76,PBC_BALANCE_SHEET[Date],AY$5)</f>
        <v>1119.5</v>
      </c>
      <c r="AZ76" s="289">
        <f>SUMIFS(PBC_BALANCE_SHEET[AccountBalance], PBC_BALANCE_SHEET[Id],$L76,PBC_BALANCE_SHEET[Date],AZ$5)</f>
        <v>1119.5</v>
      </c>
      <c r="BA76" s="289">
        <f>SUMIFS(PBC_BALANCE_SHEET[AccountBalance], PBC_BALANCE_SHEET[Id],$L76,PBC_BALANCE_SHEET[Date],BA$5)</f>
        <v>1119.5</v>
      </c>
      <c r="BB76" s="289">
        <f>SUMIFS(PBC_BALANCE_SHEET[AccountBalance], PBC_BALANCE_SHEET[Id],$L76,PBC_BALANCE_SHEET[Date],BB$5)</f>
        <v>1119.5</v>
      </c>
      <c r="BC76" s="289">
        <f>SUMIFS(PBC_BALANCE_SHEET[AccountBalance], PBC_BALANCE_SHEET[Id],$L76,PBC_BALANCE_SHEET[Date],BC$5)</f>
        <v>1119.5</v>
      </c>
      <c r="BD76" s="289">
        <f>SUMIFS(PBC_BALANCE_SHEET[AccountBalance], PBC_BALANCE_SHEET[Id],$L76,PBC_BALANCE_SHEET[Date],BD$5)</f>
        <v>1119.5</v>
      </c>
      <c r="BE76" s="289">
        <f>SUMIFS(PBC_BALANCE_SHEET[AccountBalance], PBC_BALANCE_SHEET[Id],$L76,PBC_BALANCE_SHEET[Date],BE$5)</f>
        <v>1119.5</v>
      </c>
      <c r="BF76" s="289">
        <f>SUMIFS(PBC_BALANCE_SHEET[AccountBalance], PBC_BALANCE_SHEET[Id],$L76,PBC_BALANCE_SHEET[Date],BF$5)</f>
        <v>1119.5</v>
      </c>
      <c r="BG76" s="289">
        <f>SUMIFS(PBC_BALANCE_SHEET[AccountBalance], PBC_BALANCE_SHEET[Id],$L76,PBC_BALANCE_SHEET[Date],BG$5)</f>
        <v>1119.5</v>
      </c>
      <c r="BH76" s="289">
        <f>SUMIFS(PBC_BALANCE_SHEET[AccountBalance], PBC_BALANCE_SHEET[Id],$L76,PBC_BALANCE_SHEET[Date],BH$5)</f>
        <v>1119.5</v>
      </c>
      <c r="BI76" s="289">
        <f>SUMIFS(PBC_BALANCE_SHEET[AccountBalance], PBC_BALANCE_SHEET[Id],$L76,PBC_BALANCE_SHEET[Date],BI$5)</f>
        <v>1119.5</v>
      </c>
      <c r="BJ76" s="289">
        <f>SUMIFS(PBC_BALANCE_SHEET[AccountBalance], PBC_BALANCE_SHEET[Id],$L76,PBC_BALANCE_SHEET[Date],BJ$5)</f>
        <v>1119.5</v>
      </c>
      <c r="BK76" s="289">
        <f>SUMIFS(PBC_BALANCE_SHEET[AccountBalance], PBC_BALANCE_SHEET[Id],$L76,PBC_BALANCE_SHEET[Date],BK$5)</f>
        <v>1119.5</v>
      </c>
      <c r="BL76" s="289">
        <f>SUMIFS(PBC_BALANCE_SHEET[AccountBalance], PBC_BALANCE_SHEET[Id],$L76,PBC_BALANCE_SHEET[Date],BL$5)</f>
        <v>1119.5</v>
      </c>
      <c r="BM76" s="289">
        <f>SUMIFS(PBC_BALANCE_SHEET[AccountBalance], PBC_BALANCE_SHEET[Id],$L76,PBC_BALANCE_SHEET[Date],BM$5)</f>
        <v>1119.5</v>
      </c>
      <c r="BN76" s="289">
        <f>SUMIFS(PBC_BALANCE_SHEET[AccountBalance], PBC_BALANCE_SHEET[Id],$L76,PBC_BALANCE_SHEET[Date],BN$5)</f>
        <v>1119.5</v>
      </c>
      <c r="BO76" s="289">
        <f>SUMIFS(PBC_BALANCE_SHEET[AccountBalance], PBC_BALANCE_SHEET[Id],$L76,PBC_BALANCE_SHEET[Date],BO$5)</f>
        <v>1119.5</v>
      </c>
      <c r="BP76" s="289">
        <f>SUMIFS(PBC_BALANCE_SHEET[AccountBalance], PBC_BALANCE_SHEET[Id],$L76,PBC_BALANCE_SHEET[Date],BP$5)</f>
        <v>1119.5</v>
      </c>
      <c r="BQ76" s="289">
        <f>SUMIFS(PBC_BALANCE_SHEET[AccountBalance], PBC_BALANCE_SHEET[Id],$L76,PBC_BALANCE_SHEET[Date],BQ$5)</f>
        <v>1119.5</v>
      </c>
      <c r="BR76" s="289">
        <f>SUMIFS(PBC_BALANCE_SHEET[AccountBalance], PBC_BALANCE_SHEET[Id],$L76,PBC_BALANCE_SHEET[Date],BR$5)</f>
        <v>1119.5</v>
      </c>
      <c r="BS76" s="289">
        <f>SUMIFS(PBC_BALANCE_SHEET[AccountBalance], PBC_BALANCE_SHEET[Id],$L76,PBC_BALANCE_SHEET[Date],BS$5)</f>
        <v>-680.5</v>
      </c>
      <c r="BT76" s="289">
        <f>SUMIFS(PBC_BALANCE_SHEET[AccountBalance], PBC_BALANCE_SHEET[Id],$L76,PBC_BALANCE_SHEET[Date],BT$5)</f>
        <v>-680.5</v>
      </c>
      <c r="BU76" s="289">
        <f>SUMIFS(PBC_BALANCE_SHEET[AccountBalance], PBC_BALANCE_SHEET[Id],$L76,PBC_BALANCE_SHEET[Date],BU$5)</f>
        <v>-680.5</v>
      </c>
      <c r="BV76" s="289">
        <f>SUMIFS(PBC_BALANCE_SHEET[AccountBalance], PBC_BALANCE_SHEET[Id],$L76,PBC_BALANCE_SHEET[Date],BV$5)</f>
        <v>-680.5</v>
      </c>
      <c r="BW76" s="289">
        <f>SUMIFS(PBC_BALANCE_SHEET[AccountBalance], PBC_BALANCE_SHEET[Id],$L76,PBC_BALANCE_SHEET[Date],BW$5)</f>
        <v>-5730.5</v>
      </c>
      <c r="BX76" s="335" cm="1">
        <f t="array" ref="BX76">_xlfn.SWITCH(
    $E76,
    "3 month avg", AVERAGE(BU76:BW76) * (1 + $F76),
    "6 month avg", AVERAGE(BR76:BW76) * (1 + $F76),
    "12 month avg", AVERAGE(BM76:BW76) * (1 + $F76),
    "Prior Month",BW76* (1 + $F76),
    "Prior Year", BL76* (1 + $F76),
    "Monthly assumption",$G76* (1 + $F76),
    "Quarterly assumption",$G76/3* (1 + $F76),
    "Annual assumption",$G76/12* (1 + $F76),
    "% of Revenue",SUM(_xlfn._xlws.FILTER(_xlfn._xlws.FILTER(dataSummaryPL,dataSummaryPLSections="Revenue"),(startDates&gt;=BX$4)*(endDates&lt;=BX$5)))*$F76,
    "Custom",0,
    "0",0,
        0
)</f>
        <v>-5730.5</v>
      </c>
      <c r="BY76" s="335" cm="1">
        <f t="array" ref="BY76">_xlfn.SWITCH(
    $E76,
    "3 month avg", AVERAGE(BV76:BX76) * (1 + $F76),
    "6 month avg", AVERAGE(BS76:BX76) * (1 + $F76),
    "12 month avg", AVERAGE(BN76:BX76) * (1 + $F76),
    "Prior Month",BX76* (1 + $F76),
    "Prior Year", BM76* (1 + $F76),
    "Monthly assumption",$G76* (1 + $F76),
    "Quarterly assumption",$G76/3* (1 + $F76),
    "Annual assumption",$G76/12* (1 + $F76),
    "% of Revenue",SUM(_xlfn._xlws.FILTER(_xlfn._xlws.FILTER(dataSummaryPL,dataSummaryPLSections="Revenue"),(startDates&gt;=BY$4)*(endDates&lt;=BY$5)))*$F76,
    "Custom",0,
    "0",0,
        0
)</f>
        <v>-5730.5</v>
      </c>
      <c r="BZ76" s="335" cm="1">
        <f t="array" ref="BZ76">_xlfn.SWITCH(
    $E76,
    "3 month avg", AVERAGE(BW76:BY76) * (1 + $F76),
    "6 month avg", AVERAGE(BT76:BY76) * (1 + $F76),
    "12 month avg", AVERAGE(BO76:BY76) * (1 + $F76),
    "Prior Month",BY76* (1 + $F76),
    "Prior Year", BN76* (1 + $F76),
    "Monthly assumption",$G76* (1 + $F76),
    "Quarterly assumption",$G76/3* (1 + $F76),
    "Annual assumption",$G76/12* (1 + $F76),
    "% of Revenue",SUM(_xlfn._xlws.FILTER(_xlfn._xlws.FILTER(dataSummaryPL,dataSummaryPLSections="Revenue"),(startDates&gt;=BZ$4)*(endDates&lt;=BZ$5)))*$F76,
    "Custom",0,
    "0",0,
        0
)</f>
        <v>-5730.5</v>
      </c>
      <c r="CA76" s="335" cm="1">
        <f t="array" ref="CA76">_xlfn.SWITCH(
    $E76,
    "3 month avg", AVERAGE(BX76:BZ76) * (1 + $F76),
    "6 month avg", AVERAGE(BU76:BZ76) * (1 + $F76),
    "12 month avg", AVERAGE(BP76:BZ76) * (1 + $F76),
    "Prior Month",BZ76* (1 + $F76),
    "Prior Year", BO76* (1 + $F76),
    "Monthly assumption",$G76* (1 + $F76),
    "Quarterly assumption",$G76/3* (1 + $F76),
    "Annual assumption",$G76/12* (1 + $F76),
    "% of Revenue",SUM(_xlfn._xlws.FILTER(_xlfn._xlws.FILTER(dataSummaryPL,dataSummaryPLSections="Revenue"),(startDates&gt;=CA$4)*(endDates&lt;=CA$5)))*$F76,
    "Custom",0,
    "0",0,
        0
)</f>
        <v>-5730.5</v>
      </c>
      <c r="CB76" s="335" cm="1">
        <f t="array" ref="CB76">_xlfn.SWITCH(
    $E76,
    "3 month avg", AVERAGE(BY76:CA76) * (1 + $F76),
    "6 month avg", AVERAGE(BV76:CA76) * (1 + $F76),
    "12 month avg", AVERAGE(BQ76:CA76) * (1 + $F76),
    "Prior Month",CA76* (1 + $F76),
    "Prior Year", BP76* (1 + $F76),
    "Monthly assumption",$G76* (1 + $F76),
    "Quarterly assumption",$G76/3* (1 + $F76),
    "Annual assumption",$G76/12* (1 + $F76),
    "% of Revenue",SUM(_xlfn._xlws.FILTER(_xlfn._xlws.FILTER(dataSummaryPL,dataSummaryPLSections="Revenue"),(startDates&gt;=CB$4)*(endDates&lt;=CB$5)))*$F76,
    "Custom",0,
    "0",0,
        0
)</f>
        <v>-5730.5</v>
      </c>
      <c r="CC76" s="335" cm="1">
        <f t="array" ref="CC76">_xlfn.SWITCH(
    $E76,
    "3 month avg", AVERAGE(BZ76:CB76) * (1 + $F76),
    "6 month avg", AVERAGE(BW76:CB76) * (1 + $F76),
    "12 month avg", AVERAGE(BR76:CB76) * (1 + $F76),
    "Prior Month",CB76* (1 + $F76),
    "Prior Year", BQ76* (1 + $F76),
    "Monthly assumption",$G76* (1 + $F76),
    "Quarterly assumption",$G76/3* (1 + $F76),
    "Annual assumption",$G76/12* (1 + $F76),
    "% of Revenue",SUM(_xlfn._xlws.FILTER(_xlfn._xlws.FILTER(dataSummaryPL,dataSummaryPLSections="Revenue"),(startDates&gt;=CC$4)*(endDates&lt;=CC$5)))*$F76,
    "Custom",0,
    "0",0,
        0
)</f>
        <v>-5730.5</v>
      </c>
      <c r="CD76" s="335" cm="1">
        <f t="array" ref="CD76">_xlfn.SWITCH(
    $E76,
    "3 month avg", AVERAGE(CA76:CC76) * (1 + $F76),
    "6 month avg", AVERAGE(BX76:CC76) * (1 + $F76),
    "12 month avg", AVERAGE(BS76:CC76) * (1 + $F76),
    "Prior Month",CC76* (1 + $F76),
    "Prior Year", BR76* (1 + $F76),
    "Monthly assumption",$G76* (1 + $F76),
    "Quarterly assumption",$G76/3* (1 + $F76),
    "Annual assumption",$G76/12* (1 + $F76),
    "% of Revenue",SUM(_xlfn._xlws.FILTER(_xlfn._xlws.FILTER(dataSummaryPL,dataSummaryPLSections="Revenue"),(startDates&gt;=CD$4)*(endDates&lt;=CD$5)))*$F76,
    "Custom",0,
    "0",0,
        0
)</f>
        <v>-5730.5</v>
      </c>
      <c r="CE76" s="335" cm="1">
        <f t="array" ref="CE76">_xlfn.SWITCH(
    $E76,
    "3 month avg", AVERAGE(CB76:CD76) * (1 + $F76),
    "6 month avg", AVERAGE(BY76:CD76) * (1 + $F76),
    "12 month avg", AVERAGE(BT76:CD76) * (1 + $F76),
    "Prior Month",CD76* (1 + $F76),
    "Prior Year", BS76* (1 + $F76),
    "Monthly assumption",$G76* (1 + $F76),
    "Quarterly assumption",$G76/3* (1 + $F76),
    "Annual assumption",$G76/12* (1 + $F76),
    "% of Revenue",SUM(_xlfn._xlws.FILTER(_xlfn._xlws.FILTER(dataSummaryPL,dataSummaryPLSections="Revenue"),(startDates&gt;=CE$4)*(endDates&lt;=CE$5)))*$F76,
    "Custom",0,
    "0",0,
        0
)</f>
        <v>-5730.5</v>
      </c>
      <c r="CF76" s="335" cm="1">
        <f t="array" ref="CF76">_xlfn.SWITCH(
    $E76,
    "3 month avg", AVERAGE(CC76:CE76) * (1 + $F76),
    "6 month avg", AVERAGE(BZ76:CE76) * (1 + $F76),
    "12 month avg", AVERAGE(BU76:CE76) * (1 + $F76),
    "Prior Month",CE76* (1 + $F76),
    "Prior Year", BT76* (1 + $F76),
    "Monthly assumption",$G76* (1 + $F76),
    "Quarterly assumption",$G76/3* (1 + $F76),
    "Annual assumption",$G76/12* (1 + $F76),
    "% of Revenue",SUM(_xlfn._xlws.FILTER(_xlfn._xlws.FILTER(dataSummaryPL,dataSummaryPLSections="Revenue"),(startDates&gt;=CF$4)*(endDates&lt;=CF$5)))*$F76,
    "Custom",0,
    "0",0,
        0
)</f>
        <v>-5730.5</v>
      </c>
      <c r="CG76" s="335" cm="1">
        <f t="array" ref="CG76">_xlfn.SWITCH(
    $E76,
    "3 month avg", AVERAGE(CD76:CF76) * (1 + $F76),
    "6 month avg", AVERAGE(CA76:CF76) * (1 + $F76),
    "12 month avg", AVERAGE(BV76:CF76) * (1 + $F76),
    "Prior Month",CF76* (1 + $F76),
    "Prior Year", BU76* (1 + $F76),
    "Monthly assumption",$G76* (1 + $F76),
    "Quarterly assumption",$G76/3* (1 + $F76),
    "Annual assumption",$G76/12* (1 + $F76),
    "% of Revenue",SUM(_xlfn._xlws.FILTER(_xlfn._xlws.FILTER(dataSummaryPL,dataSummaryPLSections="Revenue"),(startDates&gt;=CG$4)*(endDates&lt;=CG$5)))*$F76,
    "Custom",0,
    "0",0,
        0
)</f>
        <v>-5730.5</v>
      </c>
      <c r="CH76" s="335" cm="1">
        <f t="array" ref="CH76">_xlfn.SWITCH(
    $E76,
    "3 month avg", AVERAGE(CE76:CG76) * (1 + $F76),
    "6 month avg", AVERAGE(CB76:CG76) * (1 + $F76),
    "12 month avg", AVERAGE(BW76:CG76) * (1 + $F76),
    "Prior Month",CG76* (1 + $F76),
    "Prior Year", BV76* (1 + $F76),
    "Monthly assumption",$G76* (1 + $F76),
    "Quarterly assumption",$G76/3* (1 + $F76),
    "Annual assumption",$G76/12* (1 + $F76),
    "% of Revenue",SUM(_xlfn._xlws.FILTER(_xlfn._xlws.FILTER(dataSummaryPL,dataSummaryPLSections="Revenue"),(startDates&gt;=CH$4)*(endDates&lt;=CH$5)))*$F76,
    "Custom",0,
    "0",0,
        0
)</f>
        <v>-5730.5</v>
      </c>
      <c r="CI76" s="335" cm="1">
        <f t="array" ref="CI76">_xlfn.SWITCH(
    $E76,
    "3 month avg", AVERAGE(CF76:CH76) * (1 + $F76),
    "6 month avg", AVERAGE(CC76:CH76) * (1 + $F76),
    "12 month avg", AVERAGE(BX76:CH76) * (1 + $F76),
    "Prior Month",CH76* (1 + $F76),
    "Prior Year", BW76* (1 + $F76),
    "Monthly assumption",$G76* (1 + $F76),
    "Quarterly assumption",$G76/3* (1 + $F76),
    "Annual assumption",$G76/12* (1 + $F76),
    "% of Revenue",SUM(_xlfn._xlws.FILTER(_xlfn._xlws.FILTER(dataSummaryPL,dataSummaryPLSections="Revenue"),(startDates&gt;=CI$4)*(endDates&lt;=CI$5)))*$F76,
    "Custom",0,
    "0",0,
        0
)</f>
        <v>-5730.5</v>
      </c>
      <c r="CJ76" s="335" cm="1">
        <f t="array" ref="CJ76">_xlfn.SWITCH(
    $E76,
    "3 month avg", AVERAGE(CG76:CI76) * (1 + $F76),
    "6 month avg", AVERAGE(CD76:CI76) * (1 + $F76),
    "12 month avg", AVERAGE(BY76:CI76) * (1 + $F76),
    "Prior Month",CI76* (1 + $F76),
    "Prior Year", BX76* (1 + $F76),
    "Monthly assumption",$G76* (1 + $F76),
    "Quarterly assumption",$G76/3* (1 + $F76),
    "Annual assumption",$G76/12* (1 + $F76),
    "% of Revenue",SUM(_xlfn._xlws.FILTER(_xlfn._xlws.FILTER(dataSummaryPL,dataSummaryPLSections="Revenue"),(startDates&gt;=CJ$4)*(endDates&lt;=CJ$5)))*$F76,
    "Custom",0,
    "0",0,
        0
)</f>
        <v>-5730.5</v>
      </c>
    </row>
    <row r="77" spans="1:88" ht="15" outlineLevel="2">
      <c r="B77" s="284"/>
      <c r="C77" s="283"/>
      <c r="D77" s="288" t="s">
        <v>283</v>
      </c>
      <c r="E77" s="280" t="s">
        <v>358</v>
      </c>
      <c r="F77" s="279"/>
      <c r="G77" s="279"/>
      <c r="H77" s="277" t="str">
        <f>IFERROR(INDEX(PBC_ACCOUNT_LIST[Drivers Section],MATCH(Drivers!L77,PBC_ACCOUNT_LIST[Id],0)),"")</f>
        <v>Assets</v>
      </c>
      <c r="I77" s="277" t="str">
        <f>IFERROR(INDEX(PBC_ACCOUNT_LIST[Summary Grouping],MATCH(Drivers!L77,PBC_ACCOUNT_LIST[Id],0)),"")</f>
        <v>Current Assets</v>
      </c>
      <c r="J77" s="277" t="str">
        <f>IFERROR(INDEX(PBC_ACCOUNT_LIST[Cash Flow Section],MATCH(Drivers!L77,PBC_ACCOUNT_LIST[Id],0)),"")</f>
        <v>Cash from Operating Activities</v>
      </c>
      <c r="K77" s="278" t="s">
        <v>106</v>
      </c>
      <c r="L77" s="277">
        <v>150</v>
      </c>
      <c r="M77" s="276"/>
      <c r="O77" s="272"/>
      <c r="P77" s="289">
        <f t="shared" si="80"/>
        <v>25000</v>
      </c>
      <c r="Q77" s="289">
        <f t="shared" si="80"/>
        <v>25000</v>
      </c>
      <c r="R77" s="289">
        <f t="shared" si="80"/>
        <v>25000</v>
      </c>
      <c r="S77" s="289">
        <f t="shared" si="80"/>
        <v>25000</v>
      </c>
      <c r="T77" s="289"/>
      <c r="U77" s="289"/>
      <c r="V77" s="289">
        <f t="shared" si="81"/>
        <v>25000</v>
      </c>
      <c r="W77" s="289">
        <f t="shared" si="81"/>
        <v>25000</v>
      </c>
      <c r="X77" s="289">
        <f t="shared" si="81"/>
        <v>25000</v>
      </c>
      <c r="Y77" s="289">
        <f t="shared" si="81"/>
        <v>25000</v>
      </c>
      <c r="Z77" s="289">
        <f t="shared" si="81"/>
        <v>25000</v>
      </c>
      <c r="AA77" s="289">
        <f t="shared" si="81"/>
        <v>25000</v>
      </c>
      <c r="AB77" s="289">
        <f t="shared" si="81"/>
        <v>25000</v>
      </c>
      <c r="AC77" s="289">
        <f t="shared" si="81"/>
        <v>25000</v>
      </c>
      <c r="AD77" s="289">
        <f t="shared" si="81"/>
        <v>25000</v>
      </c>
      <c r="AE77" s="289">
        <f t="shared" si="81"/>
        <v>25000</v>
      </c>
      <c r="AF77" s="289">
        <f t="shared" si="81"/>
        <v>25000</v>
      </c>
      <c r="AG77" s="289">
        <f t="shared" si="81"/>
        <v>25000</v>
      </c>
      <c r="AH77" s="289">
        <f t="shared" si="81"/>
        <v>25000</v>
      </c>
      <c r="AI77" s="289">
        <f t="shared" si="81"/>
        <v>25000</v>
      </c>
      <c r="AJ77" s="289">
        <f t="shared" si="81"/>
        <v>25000</v>
      </c>
      <c r="AK77" s="289">
        <f t="shared" si="81"/>
        <v>25000</v>
      </c>
      <c r="AL77" s="333"/>
      <c r="AM77" s="334"/>
      <c r="AN77" s="289">
        <f>SUMIFS(PBC_BALANCE_SHEET[AccountBalance], PBC_BALANCE_SHEET[Id],$L77,PBC_BALANCE_SHEET[Date],AN$5)</f>
        <v>0</v>
      </c>
      <c r="AO77" s="289">
        <f>SUMIFS(PBC_BALANCE_SHEET[AccountBalance], PBC_BALANCE_SHEET[Id],$L77,PBC_BALANCE_SHEET[Date],AO$5)</f>
        <v>25000</v>
      </c>
      <c r="AP77" s="289">
        <f>SUMIFS(PBC_BALANCE_SHEET[AccountBalance], PBC_BALANCE_SHEET[Id],$L77,PBC_BALANCE_SHEET[Date],AP$5)</f>
        <v>25000</v>
      </c>
      <c r="AQ77" s="289">
        <f>SUMIFS(PBC_BALANCE_SHEET[AccountBalance], PBC_BALANCE_SHEET[Id],$L77,PBC_BALANCE_SHEET[Date],AQ$5)</f>
        <v>25000</v>
      </c>
      <c r="AR77" s="289">
        <f>SUMIFS(PBC_BALANCE_SHEET[AccountBalance], PBC_BALANCE_SHEET[Id],$L77,PBC_BALANCE_SHEET[Date],AR$5)</f>
        <v>25000</v>
      </c>
      <c r="AS77" s="289">
        <f>SUMIFS(PBC_BALANCE_SHEET[AccountBalance], PBC_BALANCE_SHEET[Id],$L77,PBC_BALANCE_SHEET[Date],AS$5)</f>
        <v>25000</v>
      </c>
      <c r="AT77" s="289">
        <f>SUMIFS(PBC_BALANCE_SHEET[AccountBalance], PBC_BALANCE_SHEET[Id],$L77,PBC_BALANCE_SHEET[Date],AT$5)</f>
        <v>25000</v>
      </c>
      <c r="AU77" s="289">
        <f>SUMIFS(PBC_BALANCE_SHEET[AccountBalance], PBC_BALANCE_SHEET[Id],$L77,PBC_BALANCE_SHEET[Date],AU$5)</f>
        <v>25000</v>
      </c>
      <c r="AV77" s="289">
        <f>SUMIFS(PBC_BALANCE_SHEET[AccountBalance], PBC_BALANCE_SHEET[Id],$L77,PBC_BALANCE_SHEET[Date],AV$5)</f>
        <v>25000</v>
      </c>
      <c r="AW77" s="289">
        <f>SUMIFS(PBC_BALANCE_SHEET[AccountBalance], PBC_BALANCE_SHEET[Id],$L77,PBC_BALANCE_SHEET[Date],AW$5)</f>
        <v>25000</v>
      </c>
      <c r="AX77" s="289">
        <f>SUMIFS(PBC_BALANCE_SHEET[AccountBalance], PBC_BALANCE_SHEET[Id],$L77,PBC_BALANCE_SHEET[Date],AX$5)</f>
        <v>25000</v>
      </c>
      <c r="AY77" s="289">
        <f>SUMIFS(PBC_BALANCE_SHEET[AccountBalance], PBC_BALANCE_SHEET[Id],$L77,PBC_BALANCE_SHEET[Date],AY$5)</f>
        <v>25000</v>
      </c>
      <c r="AZ77" s="289">
        <f>SUMIFS(PBC_BALANCE_SHEET[AccountBalance], PBC_BALANCE_SHEET[Id],$L77,PBC_BALANCE_SHEET[Date],AZ$5)</f>
        <v>25000</v>
      </c>
      <c r="BA77" s="289">
        <f>SUMIFS(PBC_BALANCE_SHEET[AccountBalance], PBC_BALANCE_SHEET[Id],$L77,PBC_BALANCE_SHEET[Date],BA$5)</f>
        <v>25000</v>
      </c>
      <c r="BB77" s="289">
        <f>SUMIFS(PBC_BALANCE_SHEET[AccountBalance], PBC_BALANCE_SHEET[Id],$L77,PBC_BALANCE_SHEET[Date],BB$5)</f>
        <v>25000</v>
      </c>
      <c r="BC77" s="289">
        <f>SUMIFS(PBC_BALANCE_SHEET[AccountBalance], PBC_BALANCE_SHEET[Id],$L77,PBC_BALANCE_SHEET[Date],BC$5)</f>
        <v>25000</v>
      </c>
      <c r="BD77" s="289">
        <f>SUMIFS(PBC_BALANCE_SHEET[AccountBalance], PBC_BALANCE_SHEET[Id],$L77,PBC_BALANCE_SHEET[Date],BD$5)</f>
        <v>25000</v>
      </c>
      <c r="BE77" s="289">
        <f>SUMIFS(PBC_BALANCE_SHEET[AccountBalance], PBC_BALANCE_SHEET[Id],$L77,PBC_BALANCE_SHEET[Date],BE$5)</f>
        <v>25000</v>
      </c>
      <c r="BF77" s="289">
        <f>SUMIFS(PBC_BALANCE_SHEET[AccountBalance], PBC_BALANCE_SHEET[Id],$L77,PBC_BALANCE_SHEET[Date],BF$5)</f>
        <v>25000</v>
      </c>
      <c r="BG77" s="289">
        <f>SUMIFS(PBC_BALANCE_SHEET[AccountBalance], PBC_BALANCE_SHEET[Id],$L77,PBC_BALANCE_SHEET[Date],BG$5)</f>
        <v>25000</v>
      </c>
      <c r="BH77" s="289">
        <f>SUMIFS(PBC_BALANCE_SHEET[AccountBalance], PBC_BALANCE_SHEET[Id],$L77,PBC_BALANCE_SHEET[Date],BH$5)</f>
        <v>25000</v>
      </c>
      <c r="BI77" s="289">
        <f>SUMIFS(PBC_BALANCE_SHEET[AccountBalance], PBC_BALANCE_SHEET[Id],$L77,PBC_BALANCE_SHEET[Date],BI$5)</f>
        <v>25000</v>
      </c>
      <c r="BJ77" s="289">
        <f>SUMIFS(PBC_BALANCE_SHEET[AccountBalance], PBC_BALANCE_SHEET[Id],$L77,PBC_BALANCE_SHEET[Date],BJ$5)</f>
        <v>25000</v>
      </c>
      <c r="BK77" s="289">
        <f>SUMIFS(PBC_BALANCE_SHEET[AccountBalance], PBC_BALANCE_SHEET[Id],$L77,PBC_BALANCE_SHEET[Date],BK$5)</f>
        <v>25000</v>
      </c>
      <c r="BL77" s="289">
        <f>SUMIFS(PBC_BALANCE_SHEET[AccountBalance], PBC_BALANCE_SHEET[Id],$L77,PBC_BALANCE_SHEET[Date],BL$5)</f>
        <v>25000</v>
      </c>
      <c r="BM77" s="289">
        <f>SUMIFS(PBC_BALANCE_SHEET[AccountBalance], PBC_BALANCE_SHEET[Id],$L77,PBC_BALANCE_SHEET[Date],BM$5)</f>
        <v>25000</v>
      </c>
      <c r="BN77" s="289">
        <f>SUMIFS(PBC_BALANCE_SHEET[AccountBalance], PBC_BALANCE_SHEET[Id],$L77,PBC_BALANCE_SHEET[Date],BN$5)</f>
        <v>25000</v>
      </c>
      <c r="BO77" s="289">
        <f>SUMIFS(PBC_BALANCE_SHEET[AccountBalance], PBC_BALANCE_SHEET[Id],$L77,PBC_BALANCE_SHEET[Date],BO$5)</f>
        <v>25000</v>
      </c>
      <c r="BP77" s="289">
        <f>SUMIFS(PBC_BALANCE_SHEET[AccountBalance], PBC_BALANCE_SHEET[Id],$L77,PBC_BALANCE_SHEET[Date],BP$5)</f>
        <v>25000</v>
      </c>
      <c r="BQ77" s="289">
        <f>SUMIFS(PBC_BALANCE_SHEET[AccountBalance], PBC_BALANCE_SHEET[Id],$L77,PBC_BALANCE_SHEET[Date],BQ$5)</f>
        <v>25000</v>
      </c>
      <c r="BR77" s="289">
        <f>SUMIFS(PBC_BALANCE_SHEET[AccountBalance], PBC_BALANCE_SHEET[Id],$L77,PBC_BALANCE_SHEET[Date],BR$5)</f>
        <v>25000</v>
      </c>
      <c r="BS77" s="289">
        <f>SUMIFS(PBC_BALANCE_SHEET[AccountBalance], PBC_BALANCE_SHEET[Id],$L77,PBC_BALANCE_SHEET[Date],BS$5)</f>
        <v>25000</v>
      </c>
      <c r="BT77" s="289">
        <f>SUMIFS(PBC_BALANCE_SHEET[AccountBalance], PBC_BALANCE_SHEET[Id],$L77,PBC_BALANCE_SHEET[Date],BT$5)</f>
        <v>25000</v>
      </c>
      <c r="BU77" s="289">
        <f>SUMIFS(PBC_BALANCE_SHEET[AccountBalance], PBC_BALANCE_SHEET[Id],$L77,PBC_BALANCE_SHEET[Date],BU$5)</f>
        <v>25000</v>
      </c>
      <c r="BV77" s="289">
        <f>SUMIFS(PBC_BALANCE_SHEET[AccountBalance], PBC_BALANCE_SHEET[Id],$L77,PBC_BALANCE_SHEET[Date],BV$5)</f>
        <v>25000</v>
      </c>
      <c r="BW77" s="289">
        <f>SUMIFS(PBC_BALANCE_SHEET[AccountBalance], PBC_BALANCE_SHEET[Id],$L77,PBC_BALANCE_SHEET[Date],BW$5)</f>
        <v>25000</v>
      </c>
      <c r="BX77" s="335" cm="1">
        <f t="array" ref="BX77">_xlfn.SWITCH(
    $E77,
    "3 month avg", AVERAGE(BU77:BW77) * (1 + $F77),
    "6 month avg", AVERAGE(BR77:BW77) * (1 + $F77),
    "12 month avg", AVERAGE(BM77:BW77) * (1 + $F77),
    "Prior Month",BW77* (1 + $F77),
    "Prior Year", BL77* (1 + $F77),
    "Monthly assumption",$G77* (1 + $F77),
    "Quarterly assumption",$G77/3* (1 + $F77),
    "Annual assumption",$G77/12* (1 + $F77),
    "% of Revenue",SUM(_xlfn._xlws.FILTER(_xlfn._xlws.FILTER(dataSummaryPL,dataSummaryPLSections="Revenue"),(startDates&gt;=BX$4)*(endDates&lt;=BX$5)))*$F77,
    "Custom",0,
    "0",0,
        0
)</f>
        <v>25000</v>
      </c>
      <c r="BY77" s="335" cm="1">
        <f t="array" ref="BY77">_xlfn.SWITCH(
    $E77,
    "3 month avg", AVERAGE(BV77:BX77) * (1 + $F77),
    "6 month avg", AVERAGE(BS77:BX77) * (1 + $F77),
    "12 month avg", AVERAGE(BN77:BX77) * (1 + $F77),
    "Prior Month",BX77* (1 + $F77),
    "Prior Year", BM77* (1 + $F77),
    "Monthly assumption",$G77* (1 + $F77),
    "Quarterly assumption",$G77/3* (1 + $F77),
    "Annual assumption",$G77/12* (1 + $F77),
    "% of Revenue",SUM(_xlfn._xlws.FILTER(_xlfn._xlws.FILTER(dataSummaryPL,dataSummaryPLSections="Revenue"),(startDates&gt;=BY$4)*(endDates&lt;=BY$5)))*$F77,
    "Custom",0,
    "0",0,
        0
)</f>
        <v>25000</v>
      </c>
      <c r="BZ77" s="335" cm="1">
        <f t="array" ref="BZ77">_xlfn.SWITCH(
    $E77,
    "3 month avg", AVERAGE(BW77:BY77) * (1 + $F77),
    "6 month avg", AVERAGE(BT77:BY77) * (1 + $F77),
    "12 month avg", AVERAGE(BO77:BY77) * (1 + $F77),
    "Prior Month",BY77* (1 + $F77),
    "Prior Year", BN77* (1 + $F77),
    "Monthly assumption",$G77* (1 + $F77),
    "Quarterly assumption",$G77/3* (1 + $F77),
    "Annual assumption",$G77/12* (1 + $F77),
    "% of Revenue",SUM(_xlfn._xlws.FILTER(_xlfn._xlws.FILTER(dataSummaryPL,dataSummaryPLSections="Revenue"),(startDates&gt;=BZ$4)*(endDates&lt;=BZ$5)))*$F77,
    "Custom",0,
    "0",0,
        0
)</f>
        <v>25000</v>
      </c>
      <c r="CA77" s="335" cm="1">
        <f t="array" ref="CA77">_xlfn.SWITCH(
    $E77,
    "3 month avg", AVERAGE(BX77:BZ77) * (1 + $F77),
    "6 month avg", AVERAGE(BU77:BZ77) * (1 + $F77),
    "12 month avg", AVERAGE(BP77:BZ77) * (1 + $F77),
    "Prior Month",BZ77* (1 + $F77),
    "Prior Year", BO77* (1 + $F77),
    "Monthly assumption",$G77* (1 + $F77),
    "Quarterly assumption",$G77/3* (1 + $F77),
    "Annual assumption",$G77/12* (1 + $F77),
    "% of Revenue",SUM(_xlfn._xlws.FILTER(_xlfn._xlws.FILTER(dataSummaryPL,dataSummaryPLSections="Revenue"),(startDates&gt;=CA$4)*(endDates&lt;=CA$5)))*$F77,
    "Custom",0,
    "0",0,
        0
)</f>
        <v>25000</v>
      </c>
      <c r="CB77" s="335" cm="1">
        <f t="array" ref="CB77">_xlfn.SWITCH(
    $E77,
    "3 month avg", AVERAGE(BY77:CA77) * (1 + $F77),
    "6 month avg", AVERAGE(BV77:CA77) * (1 + $F77),
    "12 month avg", AVERAGE(BQ77:CA77) * (1 + $F77),
    "Prior Month",CA77* (1 + $F77),
    "Prior Year", BP77* (1 + $F77),
    "Monthly assumption",$G77* (1 + $F77),
    "Quarterly assumption",$G77/3* (1 + $F77),
    "Annual assumption",$G77/12* (1 + $F77),
    "% of Revenue",SUM(_xlfn._xlws.FILTER(_xlfn._xlws.FILTER(dataSummaryPL,dataSummaryPLSections="Revenue"),(startDates&gt;=CB$4)*(endDates&lt;=CB$5)))*$F77,
    "Custom",0,
    "0",0,
        0
)</f>
        <v>25000</v>
      </c>
      <c r="CC77" s="335" cm="1">
        <f t="array" ref="CC77">_xlfn.SWITCH(
    $E77,
    "3 month avg", AVERAGE(BZ77:CB77) * (1 + $F77),
    "6 month avg", AVERAGE(BW77:CB77) * (1 + $F77),
    "12 month avg", AVERAGE(BR77:CB77) * (1 + $F77),
    "Prior Month",CB77* (1 + $F77),
    "Prior Year", BQ77* (1 + $F77),
    "Monthly assumption",$G77* (1 + $F77),
    "Quarterly assumption",$G77/3* (1 + $F77),
    "Annual assumption",$G77/12* (1 + $F77),
    "% of Revenue",SUM(_xlfn._xlws.FILTER(_xlfn._xlws.FILTER(dataSummaryPL,dataSummaryPLSections="Revenue"),(startDates&gt;=CC$4)*(endDates&lt;=CC$5)))*$F77,
    "Custom",0,
    "0",0,
        0
)</f>
        <v>25000</v>
      </c>
      <c r="CD77" s="335" cm="1">
        <f t="array" ref="CD77">_xlfn.SWITCH(
    $E77,
    "3 month avg", AVERAGE(CA77:CC77) * (1 + $F77),
    "6 month avg", AVERAGE(BX77:CC77) * (1 + $F77),
    "12 month avg", AVERAGE(BS77:CC77) * (1 + $F77),
    "Prior Month",CC77* (1 + $F77),
    "Prior Year", BR77* (1 + $F77),
    "Monthly assumption",$G77* (1 + $F77),
    "Quarterly assumption",$G77/3* (1 + $F77),
    "Annual assumption",$G77/12* (1 + $F77),
    "% of Revenue",SUM(_xlfn._xlws.FILTER(_xlfn._xlws.FILTER(dataSummaryPL,dataSummaryPLSections="Revenue"),(startDates&gt;=CD$4)*(endDates&lt;=CD$5)))*$F77,
    "Custom",0,
    "0",0,
        0
)</f>
        <v>25000</v>
      </c>
      <c r="CE77" s="335" cm="1">
        <f t="array" ref="CE77">_xlfn.SWITCH(
    $E77,
    "3 month avg", AVERAGE(CB77:CD77) * (1 + $F77),
    "6 month avg", AVERAGE(BY77:CD77) * (1 + $F77),
    "12 month avg", AVERAGE(BT77:CD77) * (1 + $F77),
    "Prior Month",CD77* (1 + $F77),
    "Prior Year", BS77* (1 + $F77),
    "Monthly assumption",$G77* (1 + $F77),
    "Quarterly assumption",$G77/3* (1 + $F77),
    "Annual assumption",$G77/12* (1 + $F77),
    "% of Revenue",SUM(_xlfn._xlws.FILTER(_xlfn._xlws.FILTER(dataSummaryPL,dataSummaryPLSections="Revenue"),(startDates&gt;=CE$4)*(endDates&lt;=CE$5)))*$F77,
    "Custom",0,
    "0",0,
        0
)</f>
        <v>25000</v>
      </c>
      <c r="CF77" s="335" cm="1">
        <f t="array" ref="CF77">_xlfn.SWITCH(
    $E77,
    "3 month avg", AVERAGE(CC77:CE77) * (1 + $F77),
    "6 month avg", AVERAGE(BZ77:CE77) * (1 + $F77),
    "12 month avg", AVERAGE(BU77:CE77) * (1 + $F77),
    "Prior Month",CE77* (1 + $F77),
    "Prior Year", BT77* (1 + $F77),
    "Monthly assumption",$G77* (1 + $F77),
    "Quarterly assumption",$G77/3* (1 + $F77),
    "Annual assumption",$G77/12* (1 + $F77),
    "% of Revenue",SUM(_xlfn._xlws.FILTER(_xlfn._xlws.FILTER(dataSummaryPL,dataSummaryPLSections="Revenue"),(startDates&gt;=CF$4)*(endDates&lt;=CF$5)))*$F77,
    "Custom",0,
    "0",0,
        0
)</f>
        <v>25000</v>
      </c>
      <c r="CG77" s="335" cm="1">
        <f t="array" ref="CG77">_xlfn.SWITCH(
    $E77,
    "3 month avg", AVERAGE(CD77:CF77) * (1 + $F77),
    "6 month avg", AVERAGE(CA77:CF77) * (1 + $F77),
    "12 month avg", AVERAGE(BV77:CF77) * (1 + $F77),
    "Prior Month",CF77* (1 + $F77),
    "Prior Year", BU77* (1 + $F77),
    "Monthly assumption",$G77* (1 + $F77),
    "Quarterly assumption",$G77/3* (1 + $F77),
    "Annual assumption",$G77/12* (1 + $F77),
    "% of Revenue",SUM(_xlfn._xlws.FILTER(_xlfn._xlws.FILTER(dataSummaryPL,dataSummaryPLSections="Revenue"),(startDates&gt;=CG$4)*(endDates&lt;=CG$5)))*$F77,
    "Custom",0,
    "0",0,
        0
)</f>
        <v>25000</v>
      </c>
      <c r="CH77" s="335" cm="1">
        <f t="array" ref="CH77">_xlfn.SWITCH(
    $E77,
    "3 month avg", AVERAGE(CE77:CG77) * (1 + $F77),
    "6 month avg", AVERAGE(CB77:CG77) * (1 + $F77),
    "12 month avg", AVERAGE(BW77:CG77) * (1 + $F77),
    "Prior Month",CG77* (1 + $F77),
    "Prior Year", BV77* (1 + $F77),
    "Monthly assumption",$G77* (1 + $F77),
    "Quarterly assumption",$G77/3* (1 + $F77),
    "Annual assumption",$G77/12* (1 + $F77),
    "% of Revenue",SUM(_xlfn._xlws.FILTER(_xlfn._xlws.FILTER(dataSummaryPL,dataSummaryPLSections="Revenue"),(startDates&gt;=CH$4)*(endDates&lt;=CH$5)))*$F77,
    "Custom",0,
    "0",0,
        0
)</f>
        <v>25000</v>
      </c>
      <c r="CI77" s="335" cm="1">
        <f t="array" ref="CI77">_xlfn.SWITCH(
    $E77,
    "3 month avg", AVERAGE(CF77:CH77) * (1 + $F77),
    "6 month avg", AVERAGE(CC77:CH77) * (1 + $F77),
    "12 month avg", AVERAGE(BX77:CH77) * (1 + $F77),
    "Prior Month",CH77* (1 + $F77),
    "Prior Year", BW77* (1 + $F77),
    "Monthly assumption",$G77* (1 + $F77),
    "Quarterly assumption",$G77/3* (1 + $F77),
    "Annual assumption",$G77/12* (1 + $F77),
    "% of Revenue",SUM(_xlfn._xlws.FILTER(_xlfn._xlws.FILTER(dataSummaryPL,dataSummaryPLSections="Revenue"),(startDates&gt;=CI$4)*(endDates&lt;=CI$5)))*$F77,
    "Custom",0,
    "0",0,
        0
)</f>
        <v>25000</v>
      </c>
      <c r="CJ77" s="335" cm="1">
        <f t="array" ref="CJ77">_xlfn.SWITCH(
    $E77,
    "3 month avg", AVERAGE(CG77:CI77) * (1 + $F77),
    "6 month avg", AVERAGE(CD77:CI77) * (1 + $F77),
    "12 month avg", AVERAGE(BY77:CI77) * (1 + $F77),
    "Prior Month",CI77* (1 + $F77),
    "Prior Year", BX77* (1 + $F77),
    "Monthly assumption",$G77* (1 + $F77),
    "Quarterly assumption",$G77/3* (1 + $F77),
    "Annual assumption",$G77/12* (1 + $F77),
    "% of Revenue",SUM(_xlfn._xlws.FILTER(_xlfn._xlws.FILTER(dataSummaryPL,dataSummaryPLSections="Revenue"),(startDates&gt;=CJ$4)*(endDates&lt;=CJ$5)))*$F77,
    "Custom",0,
    "0",0,
        0
)</f>
        <v>25000</v>
      </c>
    </row>
    <row r="78" spans="1:88" ht="15" outlineLevel="2">
      <c r="B78" s="284"/>
      <c r="C78" s="283"/>
      <c r="D78" s="288" t="s">
        <v>284</v>
      </c>
      <c r="E78" s="280" t="s">
        <v>358</v>
      </c>
      <c r="F78" s="279"/>
      <c r="G78" s="279"/>
      <c r="H78" s="277" t="str">
        <f>IFERROR(INDEX(PBC_ACCOUNT_LIST[Drivers Section],MATCH(Drivers!L78,PBC_ACCOUNT_LIST[Id],0)),"")</f>
        <v>Assets</v>
      </c>
      <c r="I78" s="277" t="str">
        <f>IFERROR(INDEX(PBC_ACCOUNT_LIST[Summary Grouping],MATCH(Drivers!L78,PBC_ACCOUNT_LIST[Id],0)),"")</f>
        <v>Other Current Assets</v>
      </c>
      <c r="J78" s="277" t="str">
        <f>IFERROR(INDEX(PBC_ACCOUNT_LIST[Cash Flow Section],MATCH(Drivers!L78,PBC_ACCOUNT_LIST[Id],0)),"")</f>
        <v>Cash from Operating Activities</v>
      </c>
      <c r="K78" s="278" t="s">
        <v>106</v>
      </c>
      <c r="L78" s="277">
        <v>151</v>
      </c>
      <c r="M78" s="276"/>
      <c r="O78" s="272"/>
      <c r="P78" s="289">
        <f t="shared" si="80"/>
        <v>0</v>
      </c>
      <c r="Q78" s="289">
        <f t="shared" si="80"/>
        <v>0</v>
      </c>
      <c r="R78" s="289">
        <f t="shared" si="80"/>
        <v>0</v>
      </c>
      <c r="S78" s="289">
        <f t="shared" si="80"/>
        <v>0</v>
      </c>
      <c r="T78" s="289"/>
      <c r="U78" s="289"/>
      <c r="V78" s="289">
        <f t="shared" si="81"/>
        <v>0</v>
      </c>
      <c r="W78" s="289">
        <f t="shared" si="81"/>
        <v>0</v>
      </c>
      <c r="X78" s="289">
        <f t="shared" si="81"/>
        <v>0</v>
      </c>
      <c r="Y78" s="289">
        <f t="shared" si="81"/>
        <v>0</v>
      </c>
      <c r="Z78" s="289">
        <f t="shared" si="81"/>
        <v>0</v>
      </c>
      <c r="AA78" s="289">
        <f t="shared" si="81"/>
        <v>0</v>
      </c>
      <c r="AB78" s="289">
        <f t="shared" si="81"/>
        <v>0</v>
      </c>
      <c r="AC78" s="289">
        <f t="shared" si="81"/>
        <v>0</v>
      </c>
      <c r="AD78" s="289">
        <f t="shared" si="81"/>
        <v>0</v>
      </c>
      <c r="AE78" s="289">
        <f t="shared" si="81"/>
        <v>0</v>
      </c>
      <c r="AF78" s="289">
        <f t="shared" si="81"/>
        <v>0</v>
      </c>
      <c r="AG78" s="289">
        <f t="shared" si="81"/>
        <v>0</v>
      </c>
      <c r="AH78" s="289">
        <f t="shared" si="81"/>
        <v>0</v>
      </c>
      <c r="AI78" s="289">
        <f t="shared" si="81"/>
        <v>0</v>
      </c>
      <c r="AJ78" s="289">
        <f t="shared" si="81"/>
        <v>0</v>
      </c>
      <c r="AK78" s="289">
        <f t="shared" si="81"/>
        <v>0</v>
      </c>
      <c r="AL78" s="333"/>
      <c r="AM78" s="334"/>
      <c r="AN78" s="289">
        <f>SUMIFS(PBC_BALANCE_SHEET[AccountBalance], PBC_BALANCE_SHEET[Id],$L78,PBC_BALANCE_SHEET[Date],AN$5)</f>
        <v>0</v>
      </c>
      <c r="AO78" s="289">
        <f>SUMIFS(PBC_BALANCE_SHEET[AccountBalance], PBC_BALANCE_SHEET[Id],$L78,PBC_BALANCE_SHEET[Date],AO$5)</f>
        <v>0</v>
      </c>
      <c r="AP78" s="289">
        <f>SUMIFS(PBC_BALANCE_SHEET[AccountBalance], PBC_BALANCE_SHEET[Id],$L78,PBC_BALANCE_SHEET[Date],AP$5)</f>
        <v>0</v>
      </c>
      <c r="AQ78" s="289">
        <f>SUMIFS(PBC_BALANCE_SHEET[AccountBalance], PBC_BALANCE_SHEET[Id],$L78,PBC_BALANCE_SHEET[Date],AQ$5)</f>
        <v>0</v>
      </c>
      <c r="AR78" s="289">
        <f>SUMIFS(PBC_BALANCE_SHEET[AccountBalance], PBC_BALANCE_SHEET[Id],$L78,PBC_BALANCE_SHEET[Date],AR$5)</f>
        <v>0</v>
      </c>
      <c r="AS78" s="289">
        <f>SUMIFS(PBC_BALANCE_SHEET[AccountBalance], PBC_BALANCE_SHEET[Id],$L78,PBC_BALANCE_SHEET[Date],AS$5)</f>
        <v>0</v>
      </c>
      <c r="AT78" s="289">
        <f>SUMIFS(PBC_BALANCE_SHEET[AccountBalance], PBC_BALANCE_SHEET[Id],$L78,PBC_BALANCE_SHEET[Date],AT$5)</f>
        <v>0</v>
      </c>
      <c r="AU78" s="289">
        <f>SUMIFS(PBC_BALANCE_SHEET[AccountBalance], PBC_BALANCE_SHEET[Id],$L78,PBC_BALANCE_SHEET[Date],AU$5)</f>
        <v>0</v>
      </c>
      <c r="AV78" s="289">
        <f>SUMIFS(PBC_BALANCE_SHEET[AccountBalance], PBC_BALANCE_SHEET[Id],$L78,PBC_BALANCE_SHEET[Date],AV$5)</f>
        <v>0</v>
      </c>
      <c r="AW78" s="289">
        <f>SUMIFS(PBC_BALANCE_SHEET[AccountBalance], PBC_BALANCE_SHEET[Id],$L78,PBC_BALANCE_SHEET[Date],AW$5)</f>
        <v>0</v>
      </c>
      <c r="AX78" s="289">
        <f>SUMIFS(PBC_BALANCE_SHEET[AccountBalance], PBC_BALANCE_SHEET[Id],$L78,PBC_BALANCE_SHEET[Date],AX$5)</f>
        <v>0</v>
      </c>
      <c r="AY78" s="289">
        <f>SUMIFS(PBC_BALANCE_SHEET[AccountBalance], PBC_BALANCE_SHEET[Id],$L78,PBC_BALANCE_SHEET[Date],AY$5)</f>
        <v>0</v>
      </c>
      <c r="AZ78" s="289">
        <f>SUMIFS(PBC_BALANCE_SHEET[AccountBalance], PBC_BALANCE_SHEET[Id],$L78,PBC_BALANCE_SHEET[Date],AZ$5)</f>
        <v>0</v>
      </c>
      <c r="BA78" s="289">
        <f>SUMIFS(PBC_BALANCE_SHEET[AccountBalance], PBC_BALANCE_SHEET[Id],$L78,PBC_BALANCE_SHEET[Date],BA$5)</f>
        <v>0</v>
      </c>
      <c r="BB78" s="289">
        <f>SUMIFS(PBC_BALANCE_SHEET[AccountBalance], PBC_BALANCE_SHEET[Id],$L78,PBC_BALANCE_SHEET[Date],BB$5)</f>
        <v>0</v>
      </c>
      <c r="BC78" s="289">
        <f>SUMIFS(PBC_BALANCE_SHEET[AccountBalance], PBC_BALANCE_SHEET[Id],$L78,PBC_BALANCE_SHEET[Date],BC$5)</f>
        <v>0</v>
      </c>
      <c r="BD78" s="289">
        <f>SUMIFS(PBC_BALANCE_SHEET[AccountBalance], PBC_BALANCE_SHEET[Id],$L78,PBC_BALANCE_SHEET[Date],BD$5)</f>
        <v>0</v>
      </c>
      <c r="BE78" s="289">
        <f>SUMIFS(PBC_BALANCE_SHEET[AccountBalance], PBC_BALANCE_SHEET[Id],$L78,PBC_BALANCE_SHEET[Date],BE$5)</f>
        <v>0</v>
      </c>
      <c r="BF78" s="289">
        <f>SUMIFS(PBC_BALANCE_SHEET[AccountBalance], PBC_BALANCE_SHEET[Id],$L78,PBC_BALANCE_SHEET[Date],BF$5)</f>
        <v>0</v>
      </c>
      <c r="BG78" s="289">
        <f>SUMIFS(PBC_BALANCE_SHEET[AccountBalance], PBC_BALANCE_SHEET[Id],$L78,PBC_BALANCE_SHEET[Date],BG$5)</f>
        <v>0</v>
      </c>
      <c r="BH78" s="289">
        <f>SUMIFS(PBC_BALANCE_SHEET[AccountBalance], PBC_BALANCE_SHEET[Id],$L78,PBC_BALANCE_SHEET[Date],BH$5)</f>
        <v>0</v>
      </c>
      <c r="BI78" s="289">
        <f>SUMIFS(PBC_BALANCE_SHEET[AccountBalance], PBC_BALANCE_SHEET[Id],$L78,PBC_BALANCE_SHEET[Date],BI$5)</f>
        <v>0</v>
      </c>
      <c r="BJ78" s="289">
        <f>SUMIFS(PBC_BALANCE_SHEET[AccountBalance], PBC_BALANCE_SHEET[Id],$L78,PBC_BALANCE_SHEET[Date],BJ$5)</f>
        <v>0</v>
      </c>
      <c r="BK78" s="289">
        <f>SUMIFS(PBC_BALANCE_SHEET[AccountBalance], PBC_BALANCE_SHEET[Id],$L78,PBC_BALANCE_SHEET[Date],BK$5)</f>
        <v>0</v>
      </c>
      <c r="BL78" s="289">
        <f>SUMIFS(PBC_BALANCE_SHEET[AccountBalance], PBC_BALANCE_SHEET[Id],$L78,PBC_BALANCE_SHEET[Date],BL$5)</f>
        <v>0</v>
      </c>
      <c r="BM78" s="289">
        <f>SUMIFS(PBC_BALANCE_SHEET[AccountBalance], PBC_BALANCE_SHEET[Id],$L78,PBC_BALANCE_SHEET[Date],BM$5)</f>
        <v>0</v>
      </c>
      <c r="BN78" s="289">
        <f>SUMIFS(PBC_BALANCE_SHEET[AccountBalance], PBC_BALANCE_SHEET[Id],$L78,PBC_BALANCE_SHEET[Date],BN$5)</f>
        <v>0</v>
      </c>
      <c r="BO78" s="289">
        <f>SUMIFS(PBC_BALANCE_SHEET[AccountBalance], PBC_BALANCE_SHEET[Id],$L78,PBC_BALANCE_SHEET[Date],BO$5)</f>
        <v>0</v>
      </c>
      <c r="BP78" s="289">
        <f>SUMIFS(PBC_BALANCE_SHEET[AccountBalance], PBC_BALANCE_SHEET[Id],$L78,PBC_BALANCE_SHEET[Date],BP$5)</f>
        <v>0</v>
      </c>
      <c r="BQ78" s="289">
        <f>SUMIFS(PBC_BALANCE_SHEET[AccountBalance], PBC_BALANCE_SHEET[Id],$L78,PBC_BALANCE_SHEET[Date],BQ$5)</f>
        <v>0</v>
      </c>
      <c r="BR78" s="289">
        <f>SUMIFS(PBC_BALANCE_SHEET[AccountBalance], PBC_BALANCE_SHEET[Id],$L78,PBC_BALANCE_SHEET[Date],BR$5)</f>
        <v>0</v>
      </c>
      <c r="BS78" s="289">
        <f>SUMIFS(PBC_BALANCE_SHEET[AccountBalance], PBC_BALANCE_SHEET[Id],$L78,PBC_BALANCE_SHEET[Date],BS$5)</f>
        <v>0</v>
      </c>
      <c r="BT78" s="289">
        <f>SUMIFS(PBC_BALANCE_SHEET[AccountBalance], PBC_BALANCE_SHEET[Id],$L78,PBC_BALANCE_SHEET[Date],BT$5)</f>
        <v>0</v>
      </c>
      <c r="BU78" s="289">
        <f>SUMIFS(PBC_BALANCE_SHEET[AccountBalance], PBC_BALANCE_SHEET[Id],$L78,PBC_BALANCE_SHEET[Date],BU$5)</f>
        <v>0</v>
      </c>
      <c r="BV78" s="289">
        <f>SUMIFS(PBC_BALANCE_SHEET[AccountBalance], PBC_BALANCE_SHEET[Id],$L78,PBC_BALANCE_SHEET[Date],BV$5)</f>
        <v>0</v>
      </c>
      <c r="BW78" s="289">
        <f>SUMIFS(PBC_BALANCE_SHEET[AccountBalance], PBC_BALANCE_SHEET[Id],$L78,PBC_BALANCE_SHEET[Date],BW$5)</f>
        <v>0</v>
      </c>
      <c r="BX78" s="335" cm="1">
        <f t="array" ref="BX78">_xlfn.SWITCH(
    $E78,
    "3 month avg", AVERAGE(BU78:BW78) * (1 + $F78),
    "6 month avg", AVERAGE(BR78:BW78) * (1 + $F78),
    "12 month avg", AVERAGE(BM78:BW78) * (1 + $F78),
    "Prior Month",BW78* (1 + $F78),
    "Prior Year", BL78* (1 + $F78),
    "Monthly assumption",$G78* (1 + $F78),
    "Quarterly assumption",$G78/3* (1 + $F78),
    "Annual assumption",$G78/12* (1 + $F78),
    "% of Revenue",SUM(_xlfn._xlws.FILTER(_xlfn._xlws.FILTER(dataSummaryPL,dataSummaryPLSections="Revenue"),(startDates&gt;=BX$4)*(endDates&lt;=BX$5)))*$F78,
    "Custom",0,
    "0",0,
        0
)</f>
        <v>0</v>
      </c>
      <c r="BY78" s="335" cm="1">
        <f t="array" ref="BY78">_xlfn.SWITCH(
    $E78,
    "3 month avg", AVERAGE(BV78:BX78) * (1 + $F78),
    "6 month avg", AVERAGE(BS78:BX78) * (1 + $F78),
    "12 month avg", AVERAGE(BN78:BX78) * (1 + $F78),
    "Prior Month",BX78* (1 + $F78),
    "Prior Year", BM78* (1 + $F78),
    "Monthly assumption",$G78* (1 + $F78),
    "Quarterly assumption",$G78/3* (1 + $F78),
    "Annual assumption",$G78/12* (1 + $F78),
    "% of Revenue",SUM(_xlfn._xlws.FILTER(_xlfn._xlws.FILTER(dataSummaryPL,dataSummaryPLSections="Revenue"),(startDates&gt;=BY$4)*(endDates&lt;=BY$5)))*$F78,
    "Custom",0,
    "0",0,
        0
)</f>
        <v>0</v>
      </c>
      <c r="BZ78" s="335" cm="1">
        <f t="array" ref="BZ78">_xlfn.SWITCH(
    $E78,
    "3 month avg", AVERAGE(BW78:BY78) * (1 + $F78),
    "6 month avg", AVERAGE(BT78:BY78) * (1 + $F78),
    "12 month avg", AVERAGE(BO78:BY78) * (1 + $F78),
    "Prior Month",BY78* (1 + $F78),
    "Prior Year", BN78* (1 + $F78),
    "Monthly assumption",$G78* (1 + $F78),
    "Quarterly assumption",$G78/3* (1 + $F78),
    "Annual assumption",$G78/12* (1 + $F78),
    "% of Revenue",SUM(_xlfn._xlws.FILTER(_xlfn._xlws.FILTER(dataSummaryPL,dataSummaryPLSections="Revenue"),(startDates&gt;=BZ$4)*(endDates&lt;=BZ$5)))*$F78,
    "Custom",0,
    "0",0,
        0
)</f>
        <v>0</v>
      </c>
      <c r="CA78" s="335" cm="1">
        <f t="array" ref="CA78">_xlfn.SWITCH(
    $E78,
    "3 month avg", AVERAGE(BX78:BZ78) * (1 + $F78),
    "6 month avg", AVERAGE(BU78:BZ78) * (1 + $F78),
    "12 month avg", AVERAGE(BP78:BZ78) * (1 + $F78),
    "Prior Month",BZ78* (1 + $F78),
    "Prior Year", BO78* (1 + $F78),
    "Monthly assumption",$G78* (1 + $F78),
    "Quarterly assumption",$G78/3* (1 + $F78),
    "Annual assumption",$G78/12* (1 + $F78),
    "% of Revenue",SUM(_xlfn._xlws.FILTER(_xlfn._xlws.FILTER(dataSummaryPL,dataSummaryPLSections="Revenue"),(startDates&gt;=CA$4)*(endDates&lt;=CA$5)))*$F78,
    "Custom",0,
    "0",0,
        0
)</f>
        <v>0</v>
      </c>
      <c r="CB78" s="335" cm="1">
        <f t="array" ref="CB78">_xlfn.SWITCH(
    $E78,
    "3 month avg", AVERAGE(BY78:CA78) * (1 + $F78),
    "6 month avg", AVERAGE(BV78:CA78) * (1 + $F78),
    "12 month avg", AVERAGE(BQ78:CA78) * (1 + $F78),
    "Prior Month",CA78* (1 + $F78),
    "Prior Year", BP78* (1 + $F78),
    "Monthly assumption",$G78* (1 + $F78),
    "Quarterly assumption",$G78/3* (1 + $F78),
    "Annual assumption",$G78/12* (1 + $F78),
    "% of Revenue",SUM(_xlfn._xlws.FILTER(_xlfn._xlws.FILTER(dataSummaryPL,dataSummaryPLSections="Revenue"),(startDates&gt;=CB$4)*(endDates&lt;=CB$5)))*$F78,
    "Custom",0,
    "0",0,
        0
)</f>
        <v>0</v>
      </c>
      <c r="CC78" s="335" cm="1">
        <f t="array" ref="CC78">_xlfn.SWITCH(
    $E78,
    "3 month avg", AVERAGE(BZ78:CB78) * (1 + $F78),
    "6 month avg", AVERAGE(BW78:CB78) * (1 + $F78),
    "12 month avg", AVERAGE(BR78:CB78) * (1 + $F78),
    "Prior Month",CB78* (1 + $F78),
    "Prior Year", BQ78* (1 + $F78),
    "Monthly assumption",$G78* (1 + $F78),
    "Quarterly assumption",$G78/3* (1 + $F78),
    "Annual assumption",$G78/12* (1 + $F78),
    "% of Revenue",SUM(_xlfn._xlws.FILTER(_xlfn._xlws.FILTER(dataSummaryPL,dataSummaryPLSections="Revenue"),(startDates&gt;=CC$4)*(endDates&lt;=CC$5)))*$F78,
    "Custom",0,
    "0",0,
        0
)</f>
        <v>0</v>
      </c>
      <c r="CD78" s="335" cm="1">
        <f t="array" ref="CD78">_xlfn.SWITCH(
    $E78,
    "3 month avg", AVERAGE(CA78:CC78) * (1 + $F78),
    "6 month avg", AVERAGE(BX78:CC78) * (1 + $F78),
    "12 month avg", AVERAGE(BS78:CC78) * (1 + $F78),
    "Prior Month",CC78* (1 + $F78),
    "Prior Year", BR78* (1 + $F78),
    "Monthly assumption",$G78* (1 + $F78),
    "Quarterly assumption",$G78/3* (1 + $F78),
    "Annual assumption",$G78/12* (1 + $F78),
    "% of Revenue",SUM(_xlfn._xlws.FILTER(_xlfn._xlws.FILTER(dataSummaryPL,dataSummaryPLSections="Revenue"),(startDates&gt;=CD$4)*(endDates&lt;=CD$5)))*$F78,
    "Custom",0,
    "0",0,
        0
)</f>
        <v>0</v>
      </c>
      <c r="CE78" s="335" cm="1">
        <f t="array" ref="CE78">_xlfn.SWITCH(
    $E78,
    "3 month avg", AVERAGE(CB78:CD78) * (1 + $F78),
    "6 month avg", AVERAGE(BY78:CD78) * (1 + $F78),
    "12 month avg", AVERAGE(BT78:CD78) * (1 + $F78),
    "Prior Month",CD78* (1 + $F78),
    "Prior Year", BS78* (1 + $F78),
    "Monthly assumption",$G78* (1 + $F78),
    "Quarterly assumption",$G78/3* (1 + $F78),
    "Annual assumption",$G78/12* (1 + $F78),
    "% of Revenue",SUM(_xlfn._xlws.FILTER(_xlfn._xlws.FILTER(dataSummaryPL,dataSummaryPLSections="Revenue"),(startDates&gt;=CE$4)*(endDates&lt;=CE$5)))*$F78,
    "Custom",0,
    "0",0,
        0
)</f>
        <v>0</v>
      </c>
      <c r="CF78" s="335" cm="1">
        <f t="array" ref="CF78">_xlfn.SWITCH(
    $E78,
    "3 month avg", AVERAGE(CC78:CE78) * (1 + $F78),
    "6 month avg", AVERAGE(BZ78:CE78) * (1 + $F78),
    "12 month avg", AVERAGE(BU78:CE78) * (1 + $F78),
    "Prior Month",CE78* (1 + $F78),
    "Prior Year", BT78* (1 + $F78),
    "Monthly assumption",$G78* (1 + $F78),
    "Quarterly assumption",$G78/3* (1 + $F78),
    "Annual assumption",$G78/12* (1 + $F78),
    "% of Revenue",SUM(_xlfn._xlws.FILTER(_xlfn._xlws.FILTER(dataSummaryPL,dataSummaryPLSections="Revenue"),(startDates&gt;=CF$4)*(endDates&lt;=CF$5)))*$F78,
    "Custom",0,
    "0",0,
        0
)</f>
        <v>0</v>
      </c>
      <c r="CG78" s="335" cm="1">
        <f t="array" ref="CG78">_xlfn.SWITCH(
    $E78,
    "3 month avg", AVERAGE(CD78:CF78) * (1 + $F78),
    "6 month avg", AVERAGE(CA78:CF78) * (1 + $F78),
    "12 month avg", AVERAGE(BV78:CF78) * (1 + $F78),
    "Prior Month",CF78* (1 + $F78),
    "Prior Year", BU78* (1 + $F78),
    "Monthly assumption",$G78* (1 + $F78),
    "Quarterly assumption",$G78/3* (1 + $F78),
    "Annual assumption",$G78/12* (1 + $F78),
    "% of Revenue",SUM(_xlfn._xlws.FILTER(_xlfn._xlws.FILTER(dataSummaryPL,dataSummaryPLSections="Revenue"),(startDates&gt;=CG$4)*(endDates&lt;=CG$5)))*$F78,
    "Custom",0,
    "0",0,
        0
)</f>
        <v>0</v>
      </c>
      <c r="CH78" s="335" cm="1">
        <f t="array" ref="CH78">_xlfn.SWITCH(
    $E78,
    "3 month avg", AVERAGE(CE78:CG78) * (1 + $F78),
    "6 month avg", AVERAGE(CB78:CG78) * (1 + $F78),
    "12 month avg", AVERAGE(BW78:CG78) * (1 + $F78),
    "Prior Month",CG78* (1 + $F78),
    "Prior Year", BV78* (1 + $F78),
    "Monthly assumption",$G78* (1 + $F78),
    "Quarterly assumption",$G78/3* (1 + $F78),
    "Annual assumption",$G78/12* (1 + $F78),
    "% of Revenue",SUM(_xlfn._xlws.FILTER(_xlfn._xlws.FILTER(dataSummaryPL,dataSummaryPLSections="Revenue"),(startDates&gt;=CH$4)*(endDates&lt;=CH$5)))*$F78,
    "Custom",0,
    "0",0,
        0
)</f>
        <v>0</v>
      </c>
      <c r="CI78" s="335" cm="1">
        <f t="array" ref="CI78">_xlfn.SWITCH(
    $E78,
    "3 month avg", AVERAGE(CF78:CH78) * (1 + $F78),
    "6 month avg", AVERAGE(CC78:CH78) * (1 + $F78),
    "12 month avg", AVERAGE(BX78:CH78) * (1 + $F78),
    "Prior Month",CH78* (1 + $F78),
    "Prior Year", BW78* (1 + $F78),
    "Monthly assumption",$G78* (1 + $F78),
    "Quarterly assumption",$G78/3* (1 + $F78),
    "Annual assumption",$G78/12* (1 + $F78),
    "% of Revenue",SUM(_xlfn._xlws.FILTER(_xlfn._xlws.FILTER(dataSummaryPL,dataSummaryPLSections="Revenue"),(startDates&gt;=CI$4)*(endDates&lt;=CI$5)))*$F78,
    "Custom",0,
    "0",0,
        0
)</f>
        <v>0</v>
      </c>
      <c r="CJ78" s="335" cm="1">
        <f t="array" ref="CJ78">_xlfn.SWITCH(
    $E78,
    "3 month avg", AVERAGE(CG78:CI78) * (1 + $F78),
    "6 month avg", AVERAGE(CD78:CI78) * (1 + $F78),
    "12 month avg", AVERAGE(BY78:CI78) * (1 + $F78),
    "Prior Month",CI78* (1 + $F78),
    "Prior Year", BX78* (1 + $F78),
    "Monthly assumption",$G78* (1 + $F78),
    "Quarterly assumption",$G78/3* (1 + $F78),
    "Annual assumption",$G78/12* (1 + $F78),
    "% of Revenue",SUM(_xlfn._xlws.FILTER(_xlfn._xlws.FILTER(dataSummaryPL,dataSummaryPLSections="Revenue"),(startDates&gt;=CJ$4)*(endDates&lt;=CJ$5)))*$F78,
    "Custom",0,
    "0",0,
        0
)</f>
        <v>0</v>
      </c>
    </row>
    <row r="79" spans="1:88" ht="15" outlineLevel="2">
      <c r="B79" s="284"/>
      <c r="C79" s="283"/>
      <c r="D79" s="288" t="s">
        <v>285</v>
      </c>
      <c r="E79" s="280" t="s">
        <v>358</v>
      </c>
      <c r="F79" s="279"/>
      <c r="G79" s="279"/>
      <c r="H79" s="277" t="str">
        <f>IFERROR(INDEX(PBC_ACCOUNT_LIST[Drivers Section],MATCH(Drivers!L79,PBC_ACCOUNT_LIST[Id],0)),"")</f>
        <v>Assets</v>
      </c>
      <c r="I79" s="277" t="str">
        <f>IFERROR(INDEX(PBC_ACCOUNT_LIST[Summary Grouping],MATCH(Drivers!L79,PBC_ACCOUNT_LIST[Id],0)),"")</f>
        <v>Current Assets</v>
      </c>
      <c r="J79" s="277" t="str">
        <f>IFERROR(INDEX(PBC_ACCOUNT_LIST[Cash Flow Section],MATCH(Drivers!L79,PBC_ACCOUNT_LIST[Id],0)),"")</f>
        <v>Cash from Operating Activities</v>
      </c>
      <c r="K79" s="278" t="s">
        <v>106</v>
      </c>
      <c r="L79" s="277">
        <v>42</v>
      </c>
      <c r="M79" s="276"/>
      <c r="O79" s="272"/>
      <c r="P79" s="289">
        <f t="shared" si="80"/>
        <v>0</v>
      </c>
      <c r="Q79" s="289">
        <f t="shared" si="80"/>
        <v>0</v>
      </c>
      <c r="R79" s="289">
        <f t="shared" si="80"/>
        <v>700</v>
      </c>
      <c r="S79" s="289">
        <f t="shared" si="80"/>
        <v>700</v>
      </c>
      <c r="T79" s="289"/>
      <c r="U79" s="289"/>
      <c r="V79" s="289">
        <f t="shared" si="81"/>
        <v>0</v>
      </c>
      <c r="W79" s="289">
        <f t="shared" si="81"/>
        <v>0</v>
      </c>
      <c r="X79" s="289">
        <f t="shared" si="81"/>
        <v>0</v>
      </c>
      <c r="Y79" s="289">
        <f t="shared" si="81"/>
        <v>0</v>
      </c>
      <c r="Z79" s="289">
        <f t="shared" si="81"/>
        <v>0</v>
      </c>
      <c r="AA79" s="289">
        <f t="shared" si="81"/>
        <v>0</v>
      </c>
      <c r="AB79" s="289">
        <f t="shared" si="81"/>
        <v>0</v>
      </c>
      <c r="AC79" s="289">
        <f t="shared" si="81"/>
        <v>0</v>
      </c>
      <c r="AD79" s="289">
        <f t="shared" si="81"/>
        <v>0</v>
      </c>
      <c r="AE79" s="289">
        <f t="shared" si="81"/>
        <v>-300</v>
      </c>
      <c r="AF79" s="289">
        <f t="shared" si="81"/>
        <v>700</v>
      </c>
      <c r="AG79" s="289">
        <f t="shared" si="81"/>
        <v>700</v>
      </c>
      <c r="AH79" s="289">
        <f t="shared" si="81"/>
        <v>700</v>
      </c>
      <c r="AI79" s="289">
        <f t="shared" si="81"/>
        <v>700</v>
      </c>
      <c r="AJ79" s="289">
        <f t="shared" si="81"/>
        <v>700</v>
      </c>
      <c r="AK79" s="289">
        <f t="shared" si="81"/>
        <v>700</v>
      </c>
      <c r="AL79" s="333"/>
      <c r="AM79" s="334"/>
      <c r="AN79" s="289">
        <f>SUMIFS(PBC_BALANCE_SHEET[AccountBalance], PBC_BALANCE_SHEET[Id],$L79,PBC_BALANCE_SHEET[Date],AN$5)</f>
        <v>0</v>
      </c>
      <c r="AO79" s="289">
        <f>SUMIFS(PBC_BALANCE_SHEET[AccountBalance], PBC_BALANCE_SHEET[Id],$L79,PBC_BALANCE_SHEET[Date],AO$5)</f>
        <v>0</v>
      </c>
      <c r="AP79" s="289">
        <f>SUMIFS(PBC_BALANCE_SHEET[AccountBalance], PBC_BALANCE_SHEET[Id],$L79,PBC_BALANCE_SHEET[Date],AP$5)</f>
        <v>0</v>
      </c>
      <c r="AQ79" s="289">
        <f>SUMIFS(PBC_BALANCE_SHEET[AccountBalance], PBC_BALANCE_SHEET[Id],$L79,PBC_BALANCE_SHEET[Date],AQ$5)</f>
        <v>0</v>
      </c>
      <c r="AR79" s="289">
        <f>SUMIFS(PBC_BALANCE_SHEET[AccountBalance], PBC_BALANCE_SHEET[Id],$L79,PBC_BALANCE_SHEET[Date],AR$5)</f>
        <v>0</v>
      </c>
      <c r="AS79" s="289">
        <f>SUMIFS(PBC_BALANCE_SHEET[AccountBalance], PBC_BALANCE_SHEET[Id],$L79,PBC_BALANCE_SHEET[Date],AS$5)</f>
        <v>0</v>
      </c>
      <c r="AT79" s="289">
        <f>SUMIFS(PBC_BALANCE_SHEET[AccountBalance], PBC_BALANCE_SHEET[Id],$L79,PBC_BALANCE_SHEET[Date],AT$5)</f>
        <v>0</v>
      </c>
      <c r="AU79" s="289">
        <f>SUMIFS(PBC_BALANCE_SHEET[AccountBalance], PBC_BALANCE_SHEET[Id],$L79,PBC_BALANCE_SHEET[Date],AU$5)</f>
        <v>0</v>
      </c>
      <c r="AV79" s="289">
        <f>SUMIFS(PBC_BALANCE_SHEET[AccountBalance], PBC_BALANCE_SHEET[Id],$L79,PBC_BALANCE_SHEET[Date],AV$5)</f>
        <v>0</v>
      </c>
      <c r="AW79" s="289">
        <f>SUMIFS(PBC_BALANCE_SHEET[AccountBalance], PBC_BALANCE_SHEET[Id],$L79,PBC_BALANCE_SHEET[Date],AW$5)</f>
        <v>0</v>
      </c>
      <c r="AX79" s="289">
        <f>SUMIFS(PBC_BALANCE_SHEET[AccountBalance], PBC_BALANCE_SHEET[Id],$L79,PBC_BALANCE_SHEET[Date],AX$5)</f>
        <v>0</v>
      </c>
      <c r="AY79" s="289">
        <f>SUMIFS(PBC_BALANCE_SHEET[AccountBalance], PBC_BALANCE_SHEET[Id],$L79,PBC_BALANCE_SHEET[Date],AY$5)</f>
        <v>0</v>
      </c>
      <c r="AZ79" s="289">
        <f>SUMIFS(PBC_BALANCE_SHEET[AccountBalance], PBC_BALANCE_SHEET[Id],$L79,PBC_BALANCE_SHEET[Date],AZ$5)</f>
        <v>0</v>
      </c>
      <c r="BA79" s="289">
        <f>SUMIFS(PBC_BALANCE_SHEET[AccountBalance], PBC_BALANCE_SHEET[Id],$L79,PBC_BALANCE_SHEET[Date],BA$5)</f>
        <v>0</v>
      </c>
      <c r="BB79" s="289">
        <f>SUMIFS(PBC_BALANCE_SHEET[AccountBalance], PBC_BALANCE_SHEET[Id],$L79,PBC_BALANCE_SHEET[Date],BB$5)</f>
        <v>0</v>
      </c>
      <c r="BC79" s="289">
        <f>SUMIFS(PBC_BALANCE_SHEET[AccountBalance], PBC_BALANCE_SHEET[Id],$L79,PBC_BALANCE_SHEET[Date],BC$5)</f>
        <v>0</v>
      </c>
      <c r="BD79" s="289">
        <f>SUMIFS(PBC_BALANCE_SHEET[AccountBalance], PBC_BALANCE_SHEET[Id],$L79,PBC_BALANCE_SHEET[Date],BD$5)</f>
        <v>0</v>
      </c>
      <c r="BE79" s="289">
        <f>SUMIFS(PBC_BALANCE_SHEET[AccountBalance], PBC_BALANCE_SHEET[Id],$L79,PBC_BALANCE_SHEET[Date],BE$5)</f>
        <v>0</v>
      </c>
      <c r="BF79" s="289">
        <f>SUMIFS(PBC_BALANCE_SHEET[AccountBalance], PBC_BALANCE_SHEET[Id],$L79,PBC_BALANCE_SHEET[Date],BF$5)</f>
        <v>0</v>
      </c>
      <c r="BG79" s="289">
        <f>SUMIFS(PBC_BALANCE_SHEET[AccountBalance], PBC_BALANCE_SHEET[Id],$L79,PBC_BALANCE_SHEET[Date],BG$5)</f>
        <v>0</v>
      </c>
      <c r="BH79" s="289">
        <f>SUMIFS(PBC_BALANCE_SHEET[AccountBalance], PBC_BALANCE_SHEET[Id],$L79,PBC_BALANCE_SHEET[Date],BH$5)</f>
        <v>0</v>
      </c>
      <c r="BI79" s="289">
        <f>SUMIFS(PBC_BALANCE_SHEET[AccountBalance], PBC_BALANCE_SHEET[Id],$L79,PBC_BALANCE_SHEET[Date],BI$5)</f>
        <v>0</v>
      </c>
      <c r="BJ79" s="289">
        <f>SUMIFS(PBC_BALANCE_SHEET[AccountBalance], PBC_BALANCE_SHEET[Id],$L79,PBC_BALANCE_SHEET[Date],BJ$5)</f>
        <v>0</v>
      </c>
      <c r="BK79" s="289">
        <f>SUMIFS(PBC_BALANCE_SHEET[AccountBalance], PBC_BALANCE_SHEET[Id],$L79,PBC_BALANCE_SHEET[Date],BK$5)</f>
        <v>0</v>
      </c>
      <c r="BL79" s="289">
        <f>SUMIFS(PBC_BALANCE_SHEET[AccountBalance], PBC_BALANCE_SHEET[Id],$L79,PBC_BALANCE_SHEET[Date],BL$5)</f>
        <v>0</v>
      </c>
      <c r="BM79" s="289">
        <f>SUMIFS(PBC_BALANCE_SHEET[AccountBalance], PBC_BALANCE_SHEET[Id],$L79,PBC_BALANCE_SHEET[Date],BM$5)</f>
        <v>0</v>
      </c>
      <c r="BN79" s="289">
        <f>SUMIFS(PBC_BALANCE_SHEET[AccountBalance], PBC_BALANCE_SHEET[Id],$L79,PBC_BALANCE_SHEET[Date],BN$5)</f>
        <v>0</v>
      </c>
      <c r="BO79" s="289">
        <f>SUMIFS(PBC_BALANCE_SHEET[AccountBalance], PBC_BALANCE_SHEET[Id],$L79,PBC_BALANCE_SHEET[Date],BO$5)</f>
        <v>0</v>
      </c>
      <c r="BP79" s="289">
        <f>SUMIFS(PBC_BALANCE_SHEET[AccountBalance], PBC_BALANCE_SHEET[Id],$L79,PBC_BALANCE_SHEET[Date],BP$5)</f>
        <v>0</v>
      </c>
      <c r="BQ79" s="289">
        <f>SUMIFS(PBC_BALANCE_SHEET[AccountBalance], PBC_BALANCE_SHEET[Id],$L79,PBC_BALANCE_SHEET[Date],BQ$5)</f>
        <v>0</v>
      </c>
      <c r="BR79" s="289">
        <f>SUMIFS(PBC_BALANCE_SHEET[AccountBalance], PBC_BALANCE_SHEET[Id],$L79,PBC_BALANCE_SHEET[Date],BR$5)</f>
        <v>-300</v>
      </c>
      <c r="BS79" s="289">
        <f>SUMIFS(PBC_BALANCE_SHEET[AccountBalance], PBC_BALANCE_SHEET[Id],$L79,PBC_BALANCE_SHEET[Date],BS$5)</f>
        <v>700</v>
      </c>
      <c r="BT79" s="289">
        <f>SUMIFS(PBC_BALANCE_SHEET[AccountBalance], PBC_BALANCE_SHEET[Id],$L79,PBC_BALANCE_SHEET[Date],BT$5)</f>
        <v>700</v>
      </c>
      <c r="BU79" s="289">
        <f>SUMIFS(PBC_BALANCE_SHEET[AccountBalance], PBC_BALANCE_SHEET[Id],$L79,PBC_BALANCE_SHEET[Date],BU$5)</f>
        <v>700</v>
      </c>
      <c r="BV79" s="289">
        <f>SUMIFS(PBC_BALANCE_SHEET[AccountBalance], PBC_BALANCE_SHEET[Id],$L79,PBC_BALANCE_SHEET[Date],BV$5)</f>
        <v>700</v>
      </c>
      <c r="BW79" s="289">
        <f>SUMIFS(PBC_BALANCE_SHEET[AccountBalance], PBC_BALANCE_SHEET[Id],$L79,PBC_BALANCE_SHEET[Date],BW$5)</f>
        <v>700</v>
      </c>
      <c r="BX79" s="335" cm="1">
        <f t="array" ref="BX79">_xlfn.SWITCH(
    $E79,
    "3 month avg", AVERAGE(BU79:BW79) * (1 + $F79),
    "6 month avg", AVERAGE(BR79:BW79) * (1 + $F79),
    "12 month avg", AVERAGE(BM79:BW79) * (1 + $F79),
    "Prior Month",BW79* (1 + $F79),
    "Prior Year", BL79* (1 + $F79),
    "Monthly assumption",$G79* (1 + $F79),
    "Quarterly assumption",$G79/3* (1 + $F79),
    "Annual assumption",$G79/12* (1 + $F79),
    "% of Revenue",SUM(_xlfn._xlws.FILTER(_xlfn._xlws.FILTER(dataSummaryPL,dataSummaryPLSections="Revenue"),(startDates&gt;=BX$4)*(endDates&lt;=BX$5)))*$F79,
    "Custom",0,
    "0",0,
        0
)</f>
        <v>700</v>
      </c>
      <c r="BY79" s="335" cm="1">
        <f t="array" ref="BY79">_xlfn.SWITCH(
    $E79,
    "3 month avg", AVERAGE(BV79:BX79) * (1 + $F79),
    "6 month avg", AVERAGE(BS79:BX79) * (1 + $F79),
    "12 month avg", AVERAGE(BN79:BX79) * (1 + $F79),
    "Prior Month",BX79* (1 + $F79),
    "Prior Year", BM79* (1 + $F79),
    "Monthly assumption",$G79* (1 + $F79),
    "Quarterly assumption",$G79/3* (1 + $F79),
    "Annual assumption",$G79/12* (1 + $F79),
    "% of Revenue",SUM(_xlfn._xlws.FILTER(_xlfn._xlws.FILTER(dataSummaryPL,dataSummaryPLSections="Revenue"),(startDates&gt;=BY$4)*(endDates&lt;=BY$5)))*$F79,
    "Custom",0,
    "0",0,
        0
)</f>
        <v>700</v>
      </c>
      <c r="BZ79" s="335" cm="1">
        <f t="array" ref="BZ79">_xlfn.SWITCH(
    $E79,
    "3 month avg", AVERAGE(BW79:BY79) * (1 + $F79),
    "6 month avg", AVERAGE(BT79:BY79) * (1 + $F79),
    "12 month avg", AVERAGE(BO79:BY79) * (1 + $F79),
    "Prior Month",BY79* (1 + $F79),
    "Prior Year", BN79* (1 + $F79),
    "Monthly assumption",$G79* (1 + $F79),
    "Quarterly assumption",$G79/3* (1 + $F79),
    "Annual assumption",$G79/12* (1 + $F79),
    "% of Revenue",SUM(_xlfn._xlws.FILTER(_xlfn._xlws.FILTER(dataSummaryPL,dataSummaryPLSections="Revenue"),(startDates&gt;=BZ$4)*(endDates&lt;=BZ$5)))*$F79,
    "Custom",0,
    "0",0,
        0
)</f>
        <v>700</v>
      </c>
      <c r="CA79" s="335" cm="1">
        <f t="array" ref="CA79">_xlfn.SWITCH(
    $E79,
    "3 month avg", AVERAGE(BX79:BZ79) * (1 + $F79),
    "6 month avg", AVERAGE(BU79:BZ79) * (1 + $F79),
    "12 month avg", AVERAGE(BP79:BZ79) * (1 + $F79),
    "Prior Month",BZ79* (1 + $F79),
    "Prior Year", BO79* (1 + $F79),
    "Monthly assumption",$G79* (1 + $F79),
    "Quarterly assumption",$G79/3* (1 + $F79),
    "Annual assumption",$G79/12* (1 + $F79),
    "% of Revenue",SUM(_xlfn._xlws.FILTER(_xlfn._xlws.FILTER(dataSummaryPL,dataSummaryPLSections="Revenue"),(startDates&gt;=CA$4)*(endDates&lt;=CA$5)))*$F79,
    "Custom",0,
    "0",0,
        0
)</f>
        <v>700</v>
      </c>
      <c r="CB79" s="335" cm="1">
        <f t="array" ref="CB79">_xlfn.SWITCH(
    $E79,
    "3 month avg", AVERAGE(BY79:CA79) * (1 + $F79),
    "6 month avg", AVERAGE(BV79:CA79) * (1 + $F79),
    "12 month avg", AVERAGE(BQ79:CA79) * (1 + $F79),
    "Prior Month",CA79* (1 + $F79),
    "Prior Year", BP79* (1 + $F79),
    "Monthly assumption",$G79* (1 + $F79),
    "Quarterly assumption",$G79/3* (1 + $F79),
    "Annual assumption",$G79/12* (1 + $F79),
    "% of Revenue",SUM(_xlfn._xlws.FILTER(_xlfn._xlws.FILTER(dataSummaryPL,dataSummaryPLSections="Revenue"),(startDates&gt;=CB$4)*(endDates&lt;=CB$5)))*$F79,
    "Custom",0,
    "0",0,
        0
)</f>
        <v>700</v>
      </c>
      <c r="CC79" s="335" cm="1">
        <f t="array" ref="CC79">_xlfn.SWITCH(
    $E79,
    "3 month avg", AVERAGE(BZ79:CB79) * (1 + $F79),
    "6 month avg", AVERAGE(BW79:CB79) * (1 + $F79),
    "12 month avg", AVERAGE(BR79:CB79) * (1 + $F79),
    "Prior Month",CB79* (1 + $F79),
    "Prior Year", BQ79* (1 + $F79),
    "Monthly assumption",$G79* (1 + $F79),
    "Quarterly assumption",$G79/3* (1 + $F79),
    "Annual assumption",$G79/12* (1 + $F79),
    "% of Revenue",SUM(_xlfn._xlws.FILTER(_xlfn._xlws.FILTER(dataSummaryPL,dataSummaryPLSections="Revenue"),(startDates&gt;=CC$4)*(endDates&lt;=CC$5)))*$F79,
    "Custom",0,
    "0",0,
        0
)</f>
        <v>700</v>
      </c>
      <c r="CD79" s="335" cm="1">
        <f t="array" ref="CD79">_xlfn.SWITCH(
    $E79,
    "3 month avg", AVERAGE(CA79:CC79) * (1 + $F79),
    "6 month avg", AVERAGE(BX79:CC79) * (1 + $F79),
    "12 month avg", AVERAGE(BS79:CC79) * (1 + $F79),
    "Prior Month",CC79* (1 + $F79),
    "Prior Year", BR79* (1 + $F79),
    "Monthly assumption",$G79* (1 + $F79),
    "Quarterly assumption",$G79/3* (1 + $F79),
    "Annual assumption",$G79/12* (1 + $F79),
    "% of Revenue",SUM(_xlfn._xlws.FILTER(_xlfn._xlws.FILTER(dataSummaryPL,dataSummaryPLSections="Revenue"),(startDates&gt;=CD$4)*(endDates&lt;=CD$5)))*$F79,
    "Custom",0,
    "0",0,
        0
)</f>
        <v>700</v>
      </c>
      <c r="CE79" s="335" cm="1">
        <f t="array" ref="CE79">_xlfn.SWITCH(
    $E79,
    "3 month avg", AVERAGE(CB79:CD79) * (1 + $F79),
    "6 month avg", AVERAGE(BY79:CD79) * (1 + $F79),
    "12 month avg", AVERAGE(BT79:CD79) * (1 + $F79),
    "Prior Month",CD79* (1 + $F79),
    "Prior Year", BS79* (1 + $F79),
    "Monthly assumption",$G79* (1 + $F79),
    "Quarterly assumption",$G79/3* (1 + $F79),
    "Annual assumption",$G79/12* (1 + $F79),
    "% of Revenue",SUM(_xlfn._xlws.FILTER(_xlfn._xlws.FILTER(dataSummaryPL,dataSummaryPLSections="Revenue"),(startDates&gt;=CE$4)*(endDates&lt;=CE$5)))*$F79,
    "Custom",0,
    "0",0,
        0
)</f>
        <v>700</v>
      </c>
      <c r="CF79" s="335" cm="1">
        <f t="array" ref="CF79">_xlfn.SWITCH(
    $E79,
    "3 month avg", AVERAGE(CC79:CE79) * (1 + $F79),
    "6 month avg", AVERAGE(BZ79:CE79) * (1 + $F79),
    "12 month avg", AVERAGE(BU79:CE79) * (1 + $F79),
    "Prior Month",CE79* (1 + $F79),
    "Prior Year", BT79* (1 + $F79),
    "Monthly assumption",$G79* (1 + $F79),
    "Quarterly assumption",$G79/3* (1 + $F79),
    "Annual assumption",$G79/12* (1 + $F79),
    "% of Revenue",SUM(_xlfn._xlws.FILTER(_xlfn._xlws.FILTER(dataSummaryPL,dataSummaryPLSections="Revenue"),(startDates&gt;=CF$4)*(endDates&lt;=CF$5)))*$F79,
    "Custom",0,
    "0",0,
        0
)</f>
        <v>700</v>
      </c>
      <c r="CG79" s="335" cm="1">
        <f t="array" ref="CG79">_xlfn.SWITCH(
    $E79,
    "3 month avg", AVERAGE(CD79:CF79) * (1 + $F79),
    "6 month avg", AVERAGE(CA79:CF79) * (1 + $F79),
    "12 month avg", AVERAGE(BV79:CF79) * (1 + $F79),
    "Prior Month",CF79* (1 + $F79),
    "Prior Year", BU79* (1 + $F79),
    "Monthly assumption",$G79* (1 + $F79),
    "Quarterly assumption",$G79/3* (1 + $F79),
    "Annual assumption",$G79/12* (1 + $F79),
    "% of Revenue",SUM(_xlfn._xlws.FILTER(_xlfn._xlws.FILTER(dataSummaryPL,dataSummaryPLSections="Revenue"),(startDates&gt;=CG$4)*(endDates&lt;=CG$5)))*$F79,
    "Custom",0,
    "0",0,
        0
)</f>
        <v>700</v>
      </c>
      <c r="CH79" s="335" cm="1">
        <f t="array" ref="CH79">_xlfn.SWITCH(
    $E79,
    "3 month avg", AVERAGE(CE79:CG79) * (1 + $F79),
    "6 month avg", AVERAGE(CB79:CG79) * (1 + $F79),
    "12 month avg", AVERAGE(BW79:CG79) * (1 + $F79),
    "Prior Month",CG79* (1 + $F79),
    "Prior Year", BV79* (1 + $F79),
    "Monthly assumption",$G79* (1 + $F79),
    "Quarterly assumption",$G79/3* (1 + $F79),
    "Annual assumption",$G79/12* (1 + $F79),
    "% of Revenue",SUM(_xlfn._xlws.FILTER(_xlfn._xlws.FILTER(dataSummaryPL,dataSummaryPLSections="Revenue"),(startDates&gt;=CH$4)*(endDates&lt;=CH$5)))*$F79,
    "Custom",0,
    "0",0,
        0
)</f>
        <v>700</v>
      </c>
      <c r="CI79" s="335" cm="1">
        <f t="array" ref="CI79">_xlfn.SWITCH(
    $E79,
    "3 month avg", AVERAGE(CF79:CH79) * (1 + $F79),
    "6 month avg", AVERAGE(CC79:CH79) * (1 + $F79),
    "12 month avg", AVERAGE(BX79:CH79) * (1 + $F79),
    "Prior Month",CH79* (1 + $F79),
    "Prior Year", BW79* (1 + $F79),
    "Monthly assumption",$G79* (1 + $F79),
    "Quarterly assumption",$G79/3* (1 + $F79),
    "Annual assumption",$G79/12* (1 + $F79),
    "% of Revenue",SUM(_xlfn._xlws.FILTER(_xlfn._xlws.FILTER(dataSummaryPL,dataSummaryPLSections="Revenue"),(startDates&gt;=CI$4)*(endDates&lt;=CI$5)))*$F79,
    "Custom",0,
    "0",0,
        0
)</f>
        <v>700</v>
      </c>
      <c r="CJ79" s="335" cm="1">
        <f t="array" ref="CJ79">_xlfn.SWITCH(
    $E79,
    "3 month avg", AVERAGE(CG79:CI79) * (1 + $F79),
    "6 month avg", AVERAGE(CD79:CI79) * (1 + $F79),
    "12 month avg", AVERAGE(BY79:CI79) * (1 + $F79),
    "Prior Month",CI79* (1 + $F79),
    "Prior Year", BX79* (1 + $F79),
    "Monthly assumption",$G79* (1 + $F79),
    "Quarterly assumption",$G79/3* (1 + $F79),
    "Annual assumption",$G79/12* (1 + $F79),
    "% of Revenue",SUM(_xlfn._xlws.FILTER(_xlfn._xlws.FILTER(dataSummaryPL,dataSummaryPLSections="Revenue"),(startDates&gt;=CJ$4)*(endDates&lt;=CJ$5)))*$F79,
    "Custom",0,
    "0",0,
        0
)</f>
        <v>700</v>
      </c>
    </row>
    <row r="80" spans="1:88" ht="15" outlineLevel="2">
      <c r="B80" s="284"/>
      <c r="C80" s="283"/>
      <c r="D80" s="288" t="s">
        <v>290</v>
      </c>
      <c r="E80" s="543" t="s">
        <v>356</v>
      </c>
      <c r="F80" s="279"/>
      <c r="G80" s="279"/>
      <c r="H80" s="277" t="str">
        <f>IFERROR(INDEX(PBC_ACCOUNT_LIST[Drivers Section],MATCH(Drivers!L80,PBC_ACCOUNT_LIST[Id],0)),"")</f>
        <v>Assets</v>
      </c>
      <c r="I80" s="277" t="str">
        <f>IFERROR(INDEX(PBC_ACCOUNT_LIST[Summary Grouping],MATCH(Drivers!L80,PBC_ACCOUNT_LIST[Id],0)),"")</f>
        <v>Fixed Assets</v>
      </c>
      <c r="J80" s="277" t="str">
        <f>IFERROR(INDEX(PBC_ACCOUNT_LIST[Cash Flow Section],MATCH(Drivers!L80,PBC_ACCOUNT_LIST[Id],0)),"")</f>
        <v>Cash From Investing Activities</v>
      </c>
      <c r="K80" s="278" t="s">
        <v>106</v>
      </c>
      <c r="L80" s="277">
        <v>152</v>
      </c>
      <c r="M80" s="276"/>
      <c r="O80" s="272"/>
      <c r="P80" s="289">
        <f t="shared" si="80"/>
        <v>10000</v>
      </c>
      <c r="Q80" s="289">
        <f t="shared" si="80"/>
        <v>15000</v>
      </c>
      <c r="R80" s="289">
        <f t="shared" si="80"/>
        <v>35000</v>
      </c>
      <c r="S80" s="289">
        <f t="shared" si="80"/>
        <v>35000</v>
      </c>
      <c r="T80" s="289"/>
      <c r="U80" s="289"/>
      <c r="V80" s="289">
        <f t="shared" si="81"/>
        <v>5000</v>
      </c>
      <c r="W80" s="289">
        <f t="shared" si="81"/>
        <v>7500</v>
      </c>
      <c r="X80" s="289">
        <f t="shared" si="81"/>
        <v>10000</v>
      </c>
      <c r="Y80" s="289">
        <f t="shared" si="81"/>
        <v>10000</v>
      </c>
      <c r="Z80" s="289">
        <f t="shared" si="81"/>
        <v>15000</v>
      </c>
      <c r="AA80" s="289">
        <f t="shared" si="81"/>
        <v>15000</v>
      </c>
      <c r="AB80" s="289">
        <f t="shared" si="81"/>
        <v>15000</v>
      </c>
      <c r="AC80" s="289">
        <f t="shared" si="81"/>
        <v>15000</v>
      </c>
      <c r="AD80" s="289">
        <f t="shared" si="81"/>
        <v>15000</v>
      </c>
      <c r="AE80" s="289">
        <f t="shared" si="81"/>
        <v>15000</v>
      </c>
      <c r="AF80" s="289">
        <f t="shared" si="81"/>
        <v>15000</v>
      </c>
      <c r="AG80" s="289">
        <f t="shared" si="81"/>
        <v>35000</v>
      </c>
      <c r="AH80" s="289">
        <f t="shared" si="81"/>
        <v>35000</v>
      </c>
      <c r="AI80" s="289">
        <f t="shared" si="81"/>
        <v>35000</v>
      </c>
      <c r="AJ80" s="289">
        <f t="shared" si="81"/>
        <v>35000</v>
      </c>
      <c r="AK80" s="289">
        <f t="shared" si="81"/>
        <v>35000</v>
      </c>
      <c r="AL80" s="333"/>
      <c r="AM80" s="334"/>
      <c r="AN80" s="289">
        <f>SUMIFS(PBC_BALANCE_SHEET[AccountBalance], PBC_BALANCE_SHEET[Id],$L80,PBC_BALANCE_SHEET[Date],AN$5)</f>
        <v>0</v>
      </c>
      <c r="AO80" s="289">
        <f>SUMIFS(PBC_BALANCE_SHEET[AccountBalance], PBC_BALANCE_SHEET[Id],$L80,PBC_BALANCE_SHEET[Date],AO$5)</f>
        <v>2500</v>
      </c>
      <c r="AP80" s="289">
        <f>SUMIFS(PBC_BALANCE_SHEET[AccountBalance], PBC_BALANCE_SHEET[Id],$L80,PBC_BALANCE_SHEET[Date],AP$5)</f>
        <v>2500</v>
      </c>
      <c r="AQ80" s="289">
        <f>SUMIFS(PBC_BALANCE_SHEET[AccountBalance], PBC_BALANCE_SHEET[Id],$L80,PBC_BALANCE_SHEET[Date],AQ$5)</f>
        <v>5000</v>
      </c>
      <c r="AR80" s="289">
        <f>SUMIFS(PBC_BALANCE_SHEET[AccountBalance], PBC_BALANCE_SHEET[Id],$L80,PBC_BALANCE_SHEET[Date],AR$5)</f>
        <v>5000</v>
      </c>
      <c r="AS80" s="289">
        <f>SUMIFS(PBC_BALANCE_SHEET[AccountBalance], PBC_BALANCE_SHEET[Id],$L80,PBC_BALANCE_SHEET[Date],AS$5)</f>
        <v>7500</v>
      </c>
      <c r="AT80" s="289">
        <f>SUMIFS(PBC_BALANCE_SHEET[AccountBalance], PBC_BALANCE_SHEET[Id],$L80,PBC_BALANCE_SHEET[Date],AT$5)</f>
        <v>7500</v>
      </c>
      <c r="AU80" s="289">
        <f>SUMIFS(PBC_BALANCE_SHEET[AccountBalance], PBC_BALANCE_SHEET[Id],$L80,PBC_BALANCE_SHEET[Date],AU$5)</f>
        <v>7500</v>
      </c>
      <c r="AV80" s="289">
        <f>SUMIFS(PBC_BALANCE_SHEET[AccountBalance], PBC_BALANCE_SHEET[Id],$L80,PBC_BALANCE_SHEET[Date],AV$5)</f>
        <v>10000</v>
      </c>
      <c r="AW80" s="289">
        <f>SUMIFS(PBC_BALANCE_SHEET[AccountBalance], PBC_BALANCE_SHEET[Id],$L80,PBC_BALANCE_SHEET[Date],AW$5)</f>
        <v>10000</v>
      </c>
      <c r="AX80" s="289">
        <f>SUMIFS(PBC_BALANCE_SHEET[AccountBalance], PBC_BALANCE_SHEET[Id],$L80,PBC_BALANCE_SHEET[Date],AX$5)</f>
        <v>10000</v>
      </c>
      <c r="AY80" s="289">
        <f>SUMIFS(PBC_BALANCE_SHEET[AccountBalance], PBC_BALANCE_SHEET[Id],$L80,PBC_BALANCE_SHEET[Date],AY$5)</f>
        <v>10000</v>
      </c>
      <c r="AZ80" s="289">
        <f>SUMIFS(PBC_BALANCE_SHEET[AccountBalance], PBC_BALANCE_SHEET[Id],$L80,PBC_BALANCE_SHEET[Date],AZ$5)</f>
        <v>10000</v>
      </c>
      <c r="BA80" s="289">
        <f>SUMIFS(PBC_BALANCE_SHEET[AccountBalance], PBC_BALANCE_SHEET[Id],$L80,PBC_BALANCE_SHEET[Date],BA$5)</f>
        <v>15000</v>
      </c>
      <c r="BB80" s="289">
        <f>SUMIFS(PBC_BALANCE_SHEET[AccountBalance], PBC_BALANCE_SHEET[Id],$L80,PBC_BALANCE_SHEET[Date],BB$5)</f>
        <v>15000</v>
      </c>
      <c r="BC80" s="289">
        <f>SUMIFS(PBC_BALANCE_SHEET[AccountBalance], PBC_BALANCE_SHEET[Id],$L80,PBC_BALANCE_SHEET[Date],BC$5)</f>
        <v>15000</v>
      </c>
      <c r="BD80" s="289">
        <f>SUMIFS(PBC_BALANCE_SHEET[AccountBalance], PBC_BALANCE_SHEET[Id],$L80,PBC_BALANCE_SHEET[Date],BD$5)</f>
        <v>15000</v>
      </c>
      <c r="BE80" s="289">
        <f>SUMIFS(PBC_BALANCE_SHEET[AccountBalance], PBC_BALANCE_SHEET[Id],$L80,PBC_BALANCE_SHEET[Date],BE$5)</f>
        <v>15000</v>
      </c>
      <c r="BF80" s="289">
        <f>SUMIFS(PBC_BALANCE_SHEET[AccountBalance], PBC_BALANCE_SHEET[Id],$L80,PBC_BALANCE_SHEET[Date],BF$5)</f>
        <v>15000</v>
      </c>
      <c r="BG80" s="289">
        <f>SUMIFS(PBC_BALANCE_SHEET[AccountBalance], PBC_BALANCE_SHEET[Id],$L80,PBC_BALANCE_SHEET[Date],BG$5)</f>
        <v>15000</v>
      </c>
      <c r="BH80" s="289">
        <f>SUMIFS(PBC_BALANCE_SHEET[AccountBalance], PBC_BALANCE_SHEET[Id],$L80,PBC_BALANCE_SHEET[Date],BH$5)</f>
        <v>15000</v>
      </c>
      <c r="BI80" s="289">
        <f>SUMIFS(PBC_BALANCE_SHEET[AccountBalance], PBC_BALANCE_SHEET[Id],$L80,PBC_BALANCE_SHEET[Date],BI$5)</f>
        <v>15000</v>
      </c>
      <c r="BJ80" s="289">
        <f>SUMIFS(PBC_BALANCE_SHEET[AccountBalance], PBC_BALANCE_SHEET[Id],$L80,PBC_BALANCE_SHEET[Date],BJ$5)</f>
        <v>15000</v>
      </c>
      <c r="BK80" s="289">
        <f>SUMIFS(PBC_BALANCE_SHEET[AccountBalance], PBC_BALANCE_SHEET[Id],$L80,PBC_BALANCE_SHEET[Date],BK$5)</f>
        <v>15000</v>
      </c>
      <c r="BL80" s="289">
        <f>SUMIFS(PBC_BALANCE_SHEET[AccountBalance], PBC_BALANCE_SHEET[Id],$L80,PBC_BALANCE_SHEET[Date],BL$5)</f>
        <v>15000</v>
      </c>
      <c r="BM80" s="289">
        <f>SUMIFS(PBC_BALANCE_SHEET[AccountBalance], PBC_BALANCE_SHEET[Id],$L80,PBC_BALANCE_SHEET[Date],BM$5)</f>
        <v>15000</v>
      </c>
      <c r="BN80" s="289">
        <f>SUMIFS(PBC_BALANCE_SHEET[AccountBalance], PBC_BALANCE_SHEET[Id],$L80,PBC_BALANCE_SHEET[Date],BN$5)</f>
        <v>15000</v>
      </c>
      <c r="BO80" s="289">
        <f>SUMIFS(PBC_BALANCE_SHEET[AccountBalance], PBC_BALANCE_SHEET[Id],$L80,PBC_BALANCE_SHEET[Date],BO$5)</f>
        <v>15000</v>
      </c>
      <c r="BP80" s="289">
        <f>SUMIFS(PBC_BALANCE_SHEET[AccountBalance], PBC_BALANCE_SHEET[Id],$L80,PBC_BALANCE_SHEET[Date],BP$5)</f>
        <v>15000</v>
      </c>
      <c r="BQ80" s="289">
        <f>SUMIFS(PBC_BALANCE_SHEET[AccountBalance], PBC_BALANCE_SHEET[Id],$L80,PBC_BALANCE_SHEET[Date],BQ$5)</f>
        <v>15000</v>
      </c>
      <c r="BR80" s="289">
        <f>SUMIFS(PBC_BALANCE_SHEET[AccountBalance], PBC_BALANCE_SHEET[Id],$L80,PBC_BALANCE_SHEET[Date],BR$5)</f>
        <v>15000</v>
      </c>
      <c r="BS80" s="289">
        <f>SUMIFS(PBC_BALANCE_SHEET[AccountBalance], PBC_BALANCE_SHEET[Id],$L80,PBC_BALANCE_SHEET[Date],BS$5)</f>
        <v>15000</v>
      </c>
      <c r="BT80" s="289">
        <f>SUMIFS(PBC_BALANCE_SHEET[AccountBalance], PBC_BALANCE_SHEET[Id],$L80,PBC_BALANCE_SHEET[Date],BT$5)</f>
        <v>15000</v>
      </c>
      <c r="BU80" s="289">
        <f>SUMIFS(PBC_BALANCE_SHEET[AccountBalance], PBC_BALANCE_SHEET[Id],$L80,PBC_BALANCE_SHEET[Date],BU$5)</f>
        <v>15000</v>
      </c>
      <c r="BV80" s="289">
        <f>SUMIFS(PBC_BALANCE_SHEET[AccountBalance], PBC_BALANCE_SHEET[Id],$L80,PBC_BALANCE_SHEET[Date],BV$5)</f>
        <v>15000</v>
      </c>
      <c r="BW80" s="289">
        <f>SUMIFS(PBC_BALANCE_SHEET[AccountBalance], PBC_BALANCE_SHEET[Id],$L80,PBC_BALANCE_SHEET[Date],BW$5)</f>
        <v>15000</v>
      </c>
      <c r="BX80" s="538">
        <f>SUMIFS('Fixed &amp; Intangibles'!BQ$296:BQ$302,'Fixed &amp; Intangibles'!$E$296:$E$302,Drivers!$L80)</f>
        <v>35000</v>
      </c>
      <c r="BY80" s="538">
        <f>SUMIFS('Fixed &amp; Intangibles'!BR$296:BR$302,'Fixed &amp; Intangibles'!$E$296:$E$302,Drivers!$L80)</f>
        <v>35000</v>
      </c>
      <c r="BZ80" s="538">
        <f>SUMIFS('Fixed &amp; Intangibles'!BS$296:BS$302,'Fixed &amp; Intangibles'!$E$296:$E$302,Drivers!$L80)</f>
        <v>35000</v>
      </c>
      <c r="CA80" s="538">
        <f>SUMIFS('Fixed &amp; Intangibles'!BT$296:BT$302,'Fixed &amp; Intangibles'!$E$296:$E$302,Drivers!$L80)</f>
        <v>35000</v>
      </c>
      <c r="CB80" s="538">
        <f>SUMIFS('Fixed &amp; Intangibles'!BU$296:BU$302,'Fixed &amp; Intangibles'!$E$296:$E$302,Drivers!$L80)</f>
        <v>35000</v>
      </c>
      <c r="CC80" s="538">
        <f>SUMIFS('Fixed &amp; Intangibles'!BV$296:BV$302,'Fixed &amp; Intangibles'!$E$296:$E$302,Drivers!$L80)</f>
        <v>35000</v>
      </c>
      <c r="CD80" s="538">
        <f>SUMIFS('Fixed &amp; Intangibles'!BW$296:BW$302,'Fixed &amp; Intangibles'!$E$296:$E$302,Drivers!$L80)</f>
        <v>35000</v>
      </c>
      <c r="CE80" s="538">
        <f>SUMIFS('Fixed &amp; Intangibles'!BX$296:BX$302,'Fixed &amp; Intangibles'!$E$296:$E$302,Drivers!$L80)</f>
        <v>35000</v>
      </c>
      <c r="CF80" s="538">
        <f>SUMIFS('Fixed &amp; Intangibles'!BY$296:BY$302,'Fixed &amp; Intangibles'!$E$296:$E$302,Drivers!$L80)</f>
        <v>35000</v>
      </c>
      <c r="CG80" s="538">
        <f>SUMIFS('Fixed &amp; Intangibles'!BZ$296:BZ$302,'Fixed &amp; Intangibles'!$E$296:$E$302,Drivers!$L80)</f>
        <v>35000</v>
      </c>
      <c r="CH80" s="538">
        <f>SUMIFS('Fixed &amp; Intangibles'!CA$296:CA$302,'Fixed &amp; Intangibles'!$E$296:$E$302,Drivers!$L80)</f>
        <v>35000</v>
      </c>
      <c r="CI80" s="538">
        <f>SUMIFS('Fixed &amp; Intangibles'!CB$296:CB$302,'Fixed &amp; Intangibles'!$E$296:$E$302,Drivers!$L80)</f>
        <v>35000</v>
      </c>
      <c r="CJ80" s="538">
        <f>SUMIFS('Fixed &amp; Intangibles'!CC$296:CC$302,'Fixed &amp; Intangibles'!$E$296:$E$302,Drivers!$L80)</f>
        <v>35000</v>
      </c>
    </row>
    <row r="81" spans="1:88" ht="15" outlineLevel="2">
      <c r="B81" s="284"/>
      <c r="C81" s="283"/>
      <c r="D81" s="288" t="s">
        <v>291</v>
      </c>
      <c r="E81" s="543" t="s">
        <v>356</v>
      </c>
      <c r="F81" s="279"/>
      <c r="G81" s="279"/>
      <c r="H81" s="277" t="str">
        <f>IFERROR(INDEX(PBC_ACCOUNT_LIST[Drivers Section],MATCH(Drivers!L81,PBC_ACCOUNT_LIST[Id],0)),"")</f>
        <v>Assets</v>
      </c>
      <c r="I81" s="277" t="str">
        <f>IFERROR(INDEX(PBC_ACCOUNT_LIST[Summary Grouping],MATCH(Drivers!L81,PBC_ACCOUNT_LIST[Id],0)),"")</f>
        <v>Fixed Assets</v>
      </c>
      <c r="J81" s="277" t="str">
        <f>IFERROR(INDEX(PBC_ACCOUNT_LIST[Cash Flow Section],MATCH(Drivers!L81,PBC_ACCOUNT_LIST[Id],0)),"")</f>
        <v>Cash From Investing Activities</v>
      </c>
      <c r="K81" s="278" t="s">
        <v>106</v>
      </c>
      <c r="L81" s="277">
        <v>153</v>
      </c>
      <c r="M81" s="276"/>
      <c r="O81" s="272"/>
      <c r="P81" s="289">
        <f t="shared" si="80"/>
        <v>35000</v>
      </c>
      <c r="Q81" s="289">
        <f t="shared" si="80"/>
        <v>35000</v>
      </c>
      <c r="R81" s="289">
        <f t="shared" si="80"/>
        <v>35000</v>
      </c>
      <c r="S81" s="289">
        <f t="shared" si="80"/>
        <v>50000</v>
      </c>
      <c r="T81" s="289"/>
      <c r="U81" s="289"/>
      <c r="V81" s="289">
        <f t="shared" si="81"/>
        <v>0</v>
      </c>
      <c r="W81" s="289">
        <f t="shared" si="81"/>
        <v>35000</v>
      </c>
      <c r="X81" s="289">
        <f t="shared" si="81"/>
        <v>35000</v>
      </c>
      <c r="Y81" s="289">
        <f t="shared" si="81"/>
        <v>35000</v>
      </c>
      <c r="Z81" s="289">
        <f t="shared" si="81"/>
        <v>35000</v>
      </c>
      <c r="AA81" s="289">
        <f t="shared" si="81"/>
        <v>35000</v>
      </c>
      <c r="AB81" s="289">
        <f t="shared" si="81"/>
        <v>35000</v>
      </c>
      <c r="AC81" s="289">
        <f t="shared" si="81"/>
        <v>35000</v>
      </c>
      <c r="AD81" s="289">
        <f t="shared" si="81"/>
        <v>35000</v>
      </c>
      <c r="AE81" s="289">
        <f t="shared" si="81"/>
        <v>35000</v>
      </c>
      <c r="AF81" s="289">
        <f t="shared" si="81"/>
        <v>35000</v>
      </c>
      <c r="AG81" s="289">
        <f t="shared" si="81"/>
        <v>35000</v>
      </c>
      <c r="AH81" s="289">
        <f t="shared" si="81"/>
        <v>35000</v>
      </c>
      <c r="AI81" s="289">
        <f t="shared" si="81"/>
        <v>50000</v>
      </c>
      <c r="AJ81" s="289">
        <f t="shared" si="81"/>
        <v>50000</v>
      </c>
      <c r="AK81" s="289">
        <f t="shared" si="81"/>
        <v>50000</v>
      </c>
      <c r="AL81" s="333"/>
      <c r="AM81" s="334"/>
      <c r="AN81" s="289">
        <f>SUMIFS(PBC_BALANCE_SHEET[AccountBalance], PBC_BALANCE_SHEET[Id],$L81,PBC_BALANCE_SHEET[Date],AN$5)</f>
        <v>0</v>
      </c>
      <c r="AO81" s="289">
        <f>SUMIFS(PBC_BALANCE_SHEET[AccountBalance], PBC_BALANCE_SHEET[Id],$L81,PBC_BALANCE_SHEET[Date],AO$5)</f>
        <v>0</v>
      </c>
      <c r="AP81" s="289">
        <f>SUMIFS(PBC_BALANCE_SHEET[AccountBalance], PBC_BALANCE_SHEET[Id],$L81,PBC_BALANCE_SHEET[Date],AP$5)</f>
        <v>0</v>
      </c>
      <c r="AQ81" s="289">
        <f>SUMIFS(PBC_BALANCE_SHEET[AccountBalance], PBC_BALANCE_SHEET[Id],$L81,PBC_BALANCE_SHEET[Date],AQ$5)</f>
        <v>0</v>
      </c>
      <c r="AR81" s="289">
        <f>SUMIFS(PBC_BALANCE_SHEET[AccountBalance], PBC_BALANCE_SHEET[Id],$L81,PBC_BALANCE_SHEET[Date],AR$5)</f>
        <v>35000</v>
      </c>
      <c r="AS81" s="289">
        <f>SUMIFS(PBC_BALANCE_SHEET[AccountBalance], PBC_BALANCE_SHEET[Id],$L81,PBC_BALANCE_SHEET[Date],AS$5)</f>
        <v>35000</v>
      </c>
      <c r="AT81" s="289">
        <f>SUMIFS(PBC_BALANCE_SHEET[AccountBalance], PBC_BALANCE_SHEET[Id],$L81,PBC_BALANCE_SHEET[Date],AT$5)</f>
        <v>35000</v>
      </c>
      <c r="AU81" s="289">
        <f>SUMIFS(PBC_BALANCE_SHEET[AccountBalance], PBC_BALANCE_SHEET[Id],$L81,PBC_BALANCE_SHEET[Date],AU$5)</f>
        <v>35000</v>
      </c>
      <c r="AV81" s="289">
        <f>SUMIFS(PBC_BALANCE_SHEET[AccountBalance], PBC_BALANCE_SHEET[Id],$L81,PBC_BALANCE_SHEET[Date],AV$5)</f>
        <v>35000</v>
      </c>
      <c r="AW81" s="289">
        <f>SUMIFS(PBC_BALANCE_SHEET[AccountBalance], PBC_BALANCE_SHEET[Id],$L81,PBC_BALANCE_SHEET[Date],AW$5)</f>
        <v>35000</v>
      </c>
      <c r="AX81" s="289">
        <f>SUMIFS(PBC_BALANCE_SHEET[AccountBalance], PBC_BALANCE_SHEET[Id],$L81,PBC_BALANCE_SHEET[Date],AX$5)</f>
        <v>35000</v>
      </c>
      <c r="AY81" s="289">
        <f>SUMIFS(PBC_BALANCE_SHEET[AccountBalance], PBC_BALANCE_SHEET[Id],$L81,PBC_BALANCE_SHEET[Date],AY$5)</f>
        <v>35000</v>
      </c>
      <c r="AZ81" s="289">
        <f>SUMIFS(PBC_BALANCE_SHEET[AccountBalance], PBC_BALANCE_SHEET[Id],$L81,PBC_BALANCE_SHEET[Date],AZ$5)</f>
        <v>35000</v>
      </c>
      <c r="BA81" s="289">
        <f>SUMIFS(PBC_BALANCE_SHEET[AccountBalance], PBC_BALANCE_SHEET[Id],$L81,PBC_BALANCE_SHEET[Date],BA$5)</f>
        <v>45000</v>
      </c>
      <c r="BB81" s="289">
        <f>SUMIFS(PBC_BALANCE_SHEET[AccountBalance], PBC_BALANCE_SHEET[Id],$L81,PBC_BALANCE_SHEET[Date],BB$5)</f>
        <v>35000</v>
      </c>
      <c r="BC81" s="289">
        <f>SUMIFS(PBC_BALANCE_SHEET[AccountBalance], PBC_BALANCE_SHEET[Id],$L81,PBC_BALANCE_SHEET[Date],BC$5)</f>
        <v>35000</v>
      </c>
      <c r="BD81" s="289">
        <f>SUMIFS(PBC_BALANCE_SHEET[AccountBalance], PBC_BALANCE_SHEET[Id],$L81,PBC_BALANCE_SHEET[Date],BD$5)</f>
        <v>35000</v>
      </c>
      <c r="BE81" s="289">
        <f>SUMIFS(PBC_BALANCE_SHEET[AccountBalance], PBC_BALANCE_SHEET[Id],$L81,PBC_BALANCE_SHEET[Date],BE$5)</f>
        <v>35000</v>
      </c>
      <c r="BF81" s="289">
        <f>SUMIFS(PBC_BALANCE_SHEET[AccountBalance], PBC_BALANCE_SHEET[Id],$L81,PBC_BALANCE_SHEET[Date],BF$5)</f>
        <v>35000</v>
      </c>
      <c r="BG81" s="289">
        <f>SUMIFS(PBC_BALANCE_SHEET[AccountBalance], PBC_BALANCE_SHEET[Id],$L81,PBC_BALANCE_SHEET[Date],BG$5)</f>
        <v>35000</v>
      </c>
      <c r="BH81" s="289">
        <f>SUMIFS(PBC_BALANCE_SHEET[AccountBalance], PBC_BALANCE_SHEET[Id],$L81,PBC_BALANCE_SHEET[Date],BH$5)</f>
        <v>35000</v>
      </c>
      <c r="BI81" s="289">
        <f>SUMIFS(PBC_BALANCE_SHEET[AccountBalance], PBC_BALANCE_SHEET[Id],$L81,PBC_BALANCE_SHEET[Date],BI$5)</f>
        <v>35000</v>
      </c>
      <c r="BJ81" s="289">
        <f>SUMIFS(PBC_BALANCE_SHEET[AccountBalance], PBC_BALANCE_SHEET[Id],$L81,PBC_BALANCE_SHEET[Date],BJ$5)</f>
        <v>35000</v>
      </c>
      <c r="BK81" s="289">
        <f>SUMIFS(PBC_BALANCE_SHEET[AccountBalance], PBC_BALANCE_SHEET[Id],$L81,PBC_BALANCE_SHEET[Date],BK$5)</f>
        <v>35000</v>
      </c>
      <c r="BL81" s="289">
        <f>SUMIFS(PBC_BALANCE_SHEET[AccountBalance], PBC_BALANCE_SHEET[Id],$L81,PBC_BALANCE_SHEET[Date],BL$5)</f>
        <v>35000</v>
      </c>
      <c r="BM81" s="289">
        <f>SUMIFS(PBC_BALANCE_SHEET[AccountBalance], PBC_BALANCE_SHEET[Id],$L81,PBC_BALANCE_SHEET[Date],BM$5)</f>
        <v>35000</v>
      </c>
      <c r="BN81" s="289">
        <f>SUMIFS(PBC_BALANCE_SHEET[AccountBalance], PBC_BALANCE_SHEET[Id],$L81,PBC_BALANCE_SHEET[Date],BN$5)</f>
        <v>35000</v>
      </c>
      <c r="BO81" s="289">
        <f>SUMIFS(PBC_BALANCE_SHEET[AccountBalance], PBC_BALANCE_SHEET[Id],$L81,PBC_BALANCE_SHEET[Date],BO$5)</f>
        <v>35000</v>
      </c>
      <c r="BP81" s="289">
        <f>SUMIFS(PBC_BALANCE_SHEET[AccountBalance], PBC_BALANCE_SHEET[Id],$L81,PBC_BALANCE_SHEET[Date],BP$5)</f>
        <v>35000</v>
      </c>
      <c r="BQ81" s="289">
        <f>SUMIFS(PBC_BALANCE_SHEET[AccountBalance], PBC_BALANCE_SHEET[Id],$L81,PBC_BALANCE_SHEET[Date],BQ$5)</f>
        <v>35000</v>
      </c>
      <c r="BR81" s="289">
        <f>SUMIFS(PBC_BALANCE_SHEET[AccountBalance], PBC_BALANCE_SHEET[Id],$L81,PBC_BALANCE_SHEET[Date],BR$5)</f>
        <v>35000</v>
      </c>
      <c r="BS81" s="289">
        <f>SUMIFS(PBC_BALANCE_SHEET[AccountBalance], PBC_BALANCE_SHEET[Id],$L81,PBC_BALANCE_SHEET[Date],BS$5)</f>
        <v>35000</v>
      </c>
      <c r="BT81" s="289">
        <f>SUMIFS(PBC_BALANCE_SHEET[AccountBalance], PBC_BALANCE_SHEET[Id],$L81,PBC_BALANCE_SHEET[Date],BT$5)</f>
        <v>35000</v>
      </c>
      <c r="BU81" s="289">
        <f>SUMIFS(PBC_BALANCE_SHEET[AccountBalance], PBC_BALANCE_SHEET[Id],$L81,PBC_BALANCE_SHEET[Date],BU$5)</f>
        <v>35000</v>
      </c>
      <c r="BV81" s="289">
        <f>SUMIFS(PBC_BALANCE_SHEET[AccountBalance], PBC_BALANCE_SHEET[Id],$L81,PBC_BALANCE_SHEET[Date],BV$5)</f>
        <v>35000</v>
      </c>
      <c r="BW81" s="289">
        <f>SUMIFS(PBC_BALANCE_SHEET[AccountBalance], PBC_BALANCE_SHEET[Id],$L81,PBC_BALANCE_SHEET[Date],BW$5)</f>
        <v>35000</v>
      </c>
      <c r="BX81" s="538">
        <f>SUMIFS('Fixed &amp; Intangibles'!BQ$296:BQ$302,'Fixed &amp; Intangibles'!$E$296:$E$302,Drivers!$L81)</f>
        <v>35000</v>
      </c>
      <c r="BY81" s="538">
        <f>SUMIFS('Fixed &amp; Intangibles'!BR$296:BR$302,'Fixed &amp; Intangibles'!$E$296:$E$302,Drivers!$L81)</f>
        <v>35000</v>
      </c>
      <c r="BZ81" s="538">
        <f>SUMIFS('Fixed &amp; Intangibles'!BS$296:BS$302,'Fixed &amp; Intangibles'!$E$296:$E$302,Drivers!$L81)</f>
        <v>35000</v>
      </c>
      <c r="CA81" s="538">
        <f>SUMIFS('Fixed &amp; Intangibles'!BT$296:BT$302,'Fixed &amp; Intangibles'!$E$296:$E$302,Drivers!$L81)</f>
        <v>35000</v>
      </c>
      <c r="CB81" s="538">
        <f>SUMIFS('Fixed &amp; Intangibles'!BU$296:BU$302,'Fixed &amp; Intangibles'!$E$296:$E$302,Drivers!$L81)</f>
        <v>35000</v>
      </c>
      <c r="CC81" s="538">
        <f>SUMIFS('Fixed &amp; Intangibles'!BV$296:BV$302,'Fixed &amp; Intangibles'!$E$296:$E$302,Drivers!$L81)</f>
        <v>50000</v>
      </c>
      <c r="CD81" s="538">
        <f>SUMIFS('Fixed &amp; Intangibles'!BW$296:BW$302,'Fixed &amp; Intangibles'!$E$296:$E$302,Drivers!$L81)</f>
        <v>50000</v>
      </c>
      <c r="CE81" s="538">
        <f>SUMIFS('Fixed &amp; Intangibles'!BX$296:BX$302,'Fixed &amp; Intangibles'!$E$296:$E$302,Drivers!$L81)</f>
        <v>50000</v>
      </c>
      <c r="CF81" s="538">
        <f>SUMIFS('Fixed &amp; Intangibles'!BY$296:BY$302,'Fixed &amp; Intangibles'!$E$296:$E$302,Drivers!$L81)</f>
        <v>50000</v>
      </c>
      <c r="CG81" s="538">
        <f>SUMIFS('Fixed &amp; Intangibles'!BZ$296:BZ$302,'Fixed &amp; Intangibles'!$E$296:$E$302,Drivers!$L81)</f>
        <v>50000</v>
      </c>
      <c r="CH81" s="538">
        <f>SUMIFS('Fixed &amp; Intangibles'!CA$296:CA$302,'Fixed &amp; Intangibles'!$E$296:$E$302,Drivers!$L81)</f>
        <v>50000</v>
      </c>
      <c r="CI81" s="538">
        <f>SUMIFS('Fixed &amp; Intangibles'!CB$296:CB$302,'Fixed &amp; Intangibles'!$E$296:$E$302,Drivers!$L81)</f>
        <v>50000</v>
      </c>
      <c r="CJ81" s="538">
        <f>SUMIFS('Fixed &amp; Intangibles'!CC$296:CC$302,'Fixed &amp; Intangibles'!$E$296:$E$302,Drivers!$L81)</f>
        <v>50000</v>
      </c>
    </row>
    <row r="82" spans="1:88" ht="15" outlineLevel="2">
      <c r="B82" s="284"/>
      <c r="C82" s="283"/>
      <c r="D82" s="288" t="s">
        <v>292</v>
      </c>
      <c r="E82" s="543" t="s">
        <v>356</v>
      </c>
      <c r="F82" s="279"/>
      <c r="G82" s="279"/>
      <c r="H82" s="277" t="str">
        <f>IFERROR(INDEX(PBC_ACCOUNT_LIST[Drivers Section],MATCH(Drivers!L82,PBC_ACCOUNT_LIST[Id],0)),"")</f>
        <v>Assets</v>
      </c>
      <c r="I82" s="277" t="str">
        <f>IFERROR(INDEX(PBC_ACCOUNT_LIST[Summary Grouping],MATCH(Drivers!L82,PBC_ACCOUNT_LIST[Id],0)),"")</f>
        <v>Fixed Assets</v>
      </c>
      <c r="J82" s="277" t="str">
        <f>IFERROR(INDEX(PBC_ACCOUNT_LIST[Cash Flow Section],MATCH(Drivers!L82,PBC_ACCOUNT_LIST[Id],0)),"")</f>
        <v>Cash From Investing Activities</v>
      </c>
      <c r="K82" s="278" t="s">
        <v>106</v>
      </c>
      <c r="L82" s="277">
        <v>154</v>
      </c>
      <c r="M82" s="276"/>
      <c r="O82" s="272"/>
      <c r="P82" s="289">
        <f t="shared" si="80"/>
        <v>8000</v>
      </c>
      <c r="Q82" s="289">
        <f t="shared" si="80"/>
        <v>8000</v>
      </c>
      <c r="R82" s="289">
        <f t="shared" si="80"/>
        <v>8000</v>
      </c>
      <c r="S82" s="289">
        <f t="shared" si="80"/>
        <v>18000</v>
      </c>
      <c r="T82" s="289"/>
      <c r="U82" s="289"/>
      <c r="V82" s="289">
        <f t="shared" si="81"/>
        <v>0</v>
      </c>
      <c r="W82" s="289">
        <f t="shared" si="81"/>
        <v>8000</v>
      </c>
      <c r="X82" s="289">
        <f t="shared" si="81"/>
        <v>8000</v>
      </c>
      <c r="Y82" s="289">
        <f t="shared" si="81"/>
        <v>8000</v>
      </c>
      <c r="Z82" s="289">
        <f t="shared" si="81"/>
        <v>8000</v>
      </c>
      <c r="AA82" s="289">
        <f t="shared" si="81"/>
        <v>8000</v>
      </c>
      <c r="AB82" s="289">
        <f t="shared" si="81"/>
        <v>8000</v>
      </c>
      <c r="AC82" s="289">
        <f t="shared" si="81"/>
        <v>8000</v>
      </c>
      <c r="AD82" s="289">
        <f t="shared" si="81"/>
        <v>8000</v>
      </c>
      <c r="AE82" s="289">
        <f t="shared" si="81"/>
        <v>8000</v>
      </c>
      <c r="AF82" s="289">
        <f t="shared" si="81"/>
        <v>8000</v>
      </c>
      <c r="AG82" s="289">
        <f t="shared" si="81"/>
        <v>8000</v>
      </c>
      <c r="AH82" s="289">
        <f t="shared" si="81"/>
        <v>18000</v>
      </c>
      <c r="AI82" s="289">
        <f t="shared" si="81"/>
        <v>18000</v>
      </c>
      <c r="AJ82" s="289">
        <f t="shared" si="81"/>
        <v>18000</v>
      </c>
      <c r="AK82" s="289">
        <f t="shared" si="81"/>
        <v>18000</v>
      </c>
      <c r="AL82" s="333"/>
      <c r="AM82" s="334"/>
      <c r="AN82" s="289">
        <f>SUMIFS(PBC_BALANCE_SHEET[AccountBalance], PBC_BALANCE_SHEET[Id],$L82,PBC_BALANCE_SHEET[Date],AN$5)</f>
        <v>0</v>
      </c>
      <c r="AO82" s="289">
        <f>SUMIFS(PBC_BALANCE_SHEET[AccountBalance], PBC_BALANCE_SHEET[Id],$L82,PBC_BALANCE_SHEET[Date],AO$5)</f>
        <v>0</v>
      </c>
      <c r="AP82" s="289">
        <f>SUMIFS(PBC_BALANCE_SHEET[AccountBalance], PBC_BALANCE_SHEET[Id],$L82,PBC_BALANCE_SHEET[Date],AP$5)</f>
        <v>0</v>
      </c>
      <c r="AQ82" s="289">
        <f>SUMIFS(PBC_BALANCE_SHEET[AccountBalance], PBC_BALANCE_SHEET[Id],$L82,PBC_BALANCE_SHEET[Date],AQ$5)</f>
        <v>0</v>
      </c>
      <c r="AR82" s="289">
        <f>SUMIFS(PBC_BALANCE_SHEET[AccountBalance], PBC_BALANCE_SHEET[Id],$L82,PBC_BALANCE_SHEET[Date],AR$5)</f>
        <v>0</v>
      </c>
      <c r="AS82" s="289">
        <f>SUMIFS(PBC_BALANCE_SHEET[AccountBalance], PBC_BALANCE_SHEET[Id],$L82,PBC_BALANCE_SHEET[Date],AS$5)</f>
        <v>0</v>
      </c>
      <c r="AT82" s="289">
        <f>SUMIFS(PBC_BALANCE_SHEET[AccountBalance], PBC_BALANCE_SHEET[Id],$L82,PBC_BALANCE_SHEET[Date],AT$5)</f>
        <v>8000</v>
      </c>
      <c r="AU82" s="289">
        <f>SUMIFS(PBC_BALANCE_SHEET[AccountBalance], PBC_BALANCE_SHEET[Id],$L82,PBC_BALANCE_SHEET[Date],AU$5)</f>
        <v>8000</v>
      </c>
      <c r="AV82" s="289">
        <f>SUMIFS(PBC_BALANCE_SHEET[AccountBalance], PBC_BALANCE_SHEET[Id],$L82,PBC_BALANCE_SHEET[Date],AV$5)</f>
        <v>8000</v>
      </c>
      <c r="AW82" s="289">
        <f>SUMIFS(PBC_BALANCE_SHEET[AccountBalance], PBC_BALANCE_SHEET[Id],$L82,PBC_BALANCE_SHEET[Date],AW$5)</f>
        <v>8000</v>
      </c>
      <c r="AX82" s="289">
        <f>SUMIFS(PBC_BALANCE_SHEET[AccountBalance], PBC_BALANCE_SHEET[Id],$L82,PBC_BALANCE_SHEET[Date],AX$5)</f>
        <v>8000</v>
      </c>
      <c r="AY82" s="289">
        <f>SUMIFS(PBC_BALANCE_SHEET[AccountBalance], PBC_BALANCE_SHEET[Id],$L82,PBC_BALANCE_SHEET[Date],AY$5)</f>
        <v>8000</v>
      </c>
      <c r="AZ82" s="289">
        <f>SUMIFS(PBC_BALANCE_SHEET[AccountBalance], PBC_BALANCE_SHEET[Id],$L82,PBC_BALANCE_SHEET[Date],AZ$5)</f>
        <v>8000</v>
      </c>
      <c r="BA82" s="289">
        <f>SUMIFS(PBC_BALANCE_SHEET[AccountBalance], PBC_BALANCE_SHEET[Id],$L82,PBC_BALANCE_SHEET[Date],BA$5)</f>
        <v>10000</v>
      </c>
      <c r="BB82" s="289">
        <f>SUMIFS(PBC_BALANCE_SHEET[AccountBalance], PBC_BALANCE_SHEET[Id],$L82,PBC_BALANCE_SHEET[Date],BB$5)</f>
        <v>8000</v>
      </c>
      <c r="BC82" s="289">
        <f>SUMIFS(PBC_BALANCE_SHEET[AccountBalance], PBC_BALANCE_SHEET[Id],$L82,PBC_BALANCE_SHEET[Date],BC$5)</f>
        <v>8000</v>
      </c>
      <c r="BD82" s="289">
        <f>SUMIFS(PBC_BALANCE_SHEET[AccountBalance], PBC_BALANCE_SHEET[Id],$L82,PBC_BALANCE_SHEET[Date],BD$5)</f>
        <v>8000</v>
      </c>
      <c r="BE82" s="289">
        <f>SUMIFS(PBC_BALANCE_SHEET[AccountBalance], PBC_BALANCE_SHEET[Id],$L82,PBC_BALANCE_SHEET[Date],BE$5)</f>
        <v>8000</v>
      </c>
      <c r="BF82" s="289">
        <f>SUMIFS(PBC_BALANCE_SHEET[AccountBalance], PBC_BALANCE_SHEET[Id],$L82,PBC_BALANCE_SHEET[Date],BF$5)</f>
        <v>8000</v>
      </c>
      <c r="BG82" s="289">
        <f>SUMIFS(PBC_BALANCE_SHEET[AccountBalance], PBC_BALANCE_SHEET[Id],$L82,PBC_BALANCE_SHEET[Date],BG$5)</f>
        <v>8000</v>
      </c>
      <c r="BH82" s="289">
        <f>SUMIFS(PBC_BALANCE_SHEET[AccountBalance], PBC_BALANCE_SHEET[Id],$L82,PBC_BALANCE_SHEET[Date],BH$5)</f>
        <v>8000</v>
      </c>
      <c r="BI82" s="289">
        <f>SUMIFS(PBC_BALANCE_SHEET[AccountBalance], PBC_BALANCE_SHEET[Id],$L82,PBC_BALANCE_SHEET[Date],BI$5)</f>
        <v>8000</v>
      </c>
      <c r="BJ82" s="289">
        <f>SUMIFS(PBC_BALANCE_SHEET[AccountBalance], PBC_BALANCE_SHEET[Id],$L82,PBC_BALANCE_SHEET[Date],BJ$5)</f>
        <v>8000</v>
      </c>
      <c r="BK82" s="289">
        <f>SUMIFS(PBC_BALANCE_SHEET[AccountBalance], PBC_BALANCE_SHEET[Id],$L82,PBC_BALANCE_SHEET[Date],BK$5)</f>
        <v>8000</v>
      </c>
      <c r="BL82" s="289">
        <f>SUMIFS(PBC_BALANCE_SHEET[AccountBalance], PBC_BALANCE_SHEET[Id],$L82,PBC_BALANCE_SHEET[Date],BL$5)</f>
        <v>8000</v>
      </c>
      <c r="BM82" s="289">
        <f>SUMIFS(PBC_BALANCE_SHEET[AccountBalance], PBC_BALANCE_SHEET[Id],$L82,PBC_BALANCE_SHEET[Date],BM$5)</f>
        <v>8000</v>
      </c>
      <c r="BN82" s="289">
        <f>SUMIFS(PBC_BALANCE_SHEET[AccountBalance], PBC_BALANCE_SHEET[Id],$L82,PBC_BALANCE_SHEET[Date],BN$5)</f>
        <v>8000</v>
      </c>
      <c r="BO82" s="289">
        <f>SUMIFS(PBC_BALANCE_SHEET[AccountBalance], PBC_BALANCE_SHEET[Id],$L82,PBC_BALANCE_SHEET[Date],BO$5)</f>
        <v>8000</v>
      </c>
      <c r="BP82" s="289">
        <f>SUMIFS(PBC_BALANCE_SHEET[AccountBalance], PBC_BALANCE_SHEET[Id],$L82,PBC_BALANCE_SHEET[Date],BP$5)</f>
        <v>8000</v>
      </c>
      <c r="BQ82" s="289">
        <f>SUMIFS(PBC_BALANCE_SHEET[AccountBalance], PBC_BALANCE_SHEET[Id],$L82,PBC_BALANCE_SHEET[Date],BQ$5)</f>
        <v>8000</v>
      </c>
      <c r="BR82" s="289">
        <f>SUMIFS(PBC_BALANCE_SHEET[AccountBalance], PBC_BALANCE_SHEET[Id],$L82,PBC_BALANCE_SHEET[Date],BR$5)</f>
        <v>8000</v>
      </c>
      <c r="BS82" s="289">
        <f>SUMIFS(PBC_BALANCE_SHEET[AccountBalance], PBC_BALANCE_SHEET[Id],$L82,PBC_BALANCE_SHEET[Date],BS$5)</f>
        <v>8000</v>
      </c>
      <c r="BT82" s="289">
        <f>SUMIFS(PBC_BALANCE_SHEET[AccountBalance], PBC_BALANCE_SHEET[Id],$L82,PBC_BALANCE_SHEET[Date],BT$5)</f>
        <v>8000</v>
      </c>
      <c r="BU82" s="289">
        <f>SUMIFS(PBC_BALANCE_SHEET[AccountBalance], PBC_BALANCE_SHEET[Id],$L82,PBC_BALANCE_SHEET[Date],BU$5)</f>
        <v>8000</v>
      </c>
      <c r="BV82" s="289">
        <f>SUMIFS(PBC_BALANCE_SHEET[AccountBalance], PBC_BALANCE_SHEET[Id],$L82,PBC_BALANCE_SHEET[Date],BV$5)</f>
        <v>8000</v>
      </c>
      <c r="BW82" s="289">
        <f>SUMIFS(PBC_BALANCE_SHEET[AccountBalance], PBC_BALANCE_SHEET[Id],$L82,PBC_BALANCE_SHEET[Date],BW$5)</f>
        <v>8000</v>
      </c>
      <c r="BX82" s="538">
        <f>SUMIFS('Fixed &amp; Intangibles'!BQ$296:BQ$302,'Fixed &amp; Intangibles'!$E$296:$E$302,Drivers!$L82)</f>
        <v>8000</v>
      </c>
      <c r="BY82" s="538">
        <f>SUMIFS('Fixed &amp; Intangibles'!BR$296:BR$302,'Fixed &amp; Intangibles'!$E$296:$E$302,Drivers!$L82)</f>
        <v>8000</v>
      </c>
      <c r="BZ82" s="538">
        <f>SUMIFS('Fixed &amp; Intangibles'!BS$296:BS$302,'Fixed &amp; Intangibles'!$E$296:$E$302,Drivers!$L82)</f>
        <v>18000</v>
      </c>
      <c r="CA82" s="538">
        <f>SUMIFS('Fixed &amp; Intangibles'!BT$296:BT$302,'Fixed &amp; Intangibles'!$E$296:$E$302,Drivers!$L82)</f>
        <v>18000</v>
      </c>
      <c r="CB82" s="538">
        <f>SUMIFS('Fixed &amp; Intangibles'!BU$296:BU$302,'Fixed &amp; Intangibles'!$E$296:$E$302,Drivers!$L82)</f>
        <v>18000</v>
      </c>
      <c r="CC82" s="538">
        <f>SUMIFS('Fixed &amp; Intangibles'!BV$296:BV$302,'Fixed &amp; Intangibles'!$E$296:$E$302,Drivers!$L82)</f>
        <v>18000</v>
      </c>
      <c r="CD82" s="538">
        <f>SUMIFS('Fixed &amp; Intangibles'!BW$296:BW$302,'Fixed &amp; Intangibles'!$E$296:$E$302,Drivers!$L82)</f>
        <v>18000</v>
      </c>
      <c r="CE82" s="538">
        <f>SUMIFS('Fixed &amp; Intangibles'!BX$296:BX$302,'Fixed &amp; Intangibles'!$E$296:$E$302,Drivers!$L82)</f>
        <v>18000</v>
      </c>
      <c r="CF82" s="538">
        <f>SUMIFS('Fixed &amp; Intangibles'!BY$296:BY$302,'Fixed &amp; Intangibles'!$E$296:$E$302,Drivers!$L82)</f>
        <v>18000</v>
      </c>
      <c r="CG82" s="538">
        <f>SUMIFS('Fixed &amp; Intangibles'!BZ$296:BZ$302,'Fixed &amp; Intangibles'!$E$296:$E$302,Drivers!$L82)</f>
        <v>18000</v>
      </c>
      <c r="CH82" s="538">
        <f>SUMIFS('Fixed &amp; Intangibles'!CA$296:CA$302,'Fixed &amp; Intangibles'!$E$296:$E$302,Drivers!$L82)</f>
        <v>18000</v>
      </c>
      <c r="CI82" s="538">
        <f>SUMIFS('Fixed &amp; Intangibles'!CB$296:CB$302,'Fixed &amp; Intangibles'!$E$296:$E$302,Drivers!$L82)</f>
        <v>18000</v>
      </c>
      <c r="CJ82" s="538">
        <f>SUMIFS('Fixed &amp; Intangibles'!CC$296:CC$302,'Fixed &amp; Intangibles'!$E$296:$E$302,Drivers!$L82)</f>
        <v>18000</v>
      </c>
    </row>
    <row r="83" spans="1:88" ht="15" outlineLevel="2">
      <c r="B83" s="284"/>
      <c r="C83" s="283"/>
      <c r="D83" s="288" t="s">
        <v>293</v>
      </c>
      <c r="E83" s="543" t="s">
        <v>356</v>
      </c>
      <c r="F83" s="279"/>
      <c r="G83" s="279"/>
      <c r="H83" s="277" t="str">
        <f>IFERROR(INDEX(PBC_ACCOUNT_LIST[Drivers Section],MATCH(Drivers!L83,PBC_ACCOUNT_LIST[Id],0)),"")</f>
        <v>Assets</v>
      </c>
      <c r="I83" s="277" t="str">
        <f>IFERROR(INDEX(PBC_ACCOUNT_LIST[Summary Grouping],MATCH(Drivers!L83,PBC_ACCOUNT_LIST[Id],0)),"")</f>
        <v>Fixed Assets</v>
      </c>
      <c r="J83" s="277" t="str">
        <f>IFERROR(INDEX(PBC_ACCOUNT_LIST[Cash Flow Section],MATCH(Drivers!L83,PBC_ACCOUNT_LIST[Id],0)),"")</f>
        <v>Cash From Operating Activities</v>
      </c>
      <c r="K83" s="278" t="s">
        <v>106</v>
      </c>
      <c r="L83" s="277">
        <v>194</v>
      </c>
      <c r="M83" s="276"/>
      <c r="O83" s="272"/>
      <c r="P83" s="289">
        <f t="shared" si="80"/>
        <v>-15202</v>
      </c>
      <c r="Q83" s="289">
        <f t="shared" si="80"/>
        <v>-51811.5</v>
      </c>
      <c r="R83" s="289">
        <f t="shared" si="80"/>
        <v>-88546.57666666666</v>
      </c>
      <c r="S83" s="289">
        <f t="shared" si="80"/>
        <v>-120333.15444444443</v>
      </c>
      <c r="T83" s="289"/>
      <c r="U83" s="289"/>
      <c r="V83" s="289">
        <f t="shared" si="81"/>
        <v>-277</v>
      </c>
      <c r="W83" s="289">
        <f t="shared" si="81"/>
        <v>-3972</v>
      </c>
      <c r="X83" s="289">
        <f t="shared" si="81"/>
        <v>-8319</v>
      </c>
      <c r="Y83" s="289">
        <f t="shared" si="81"/>
        <v>-15202</v>
      </c>
      <c r="Z83" s="289">
        <f t="shared" si="81"/>
        <v>-24354</v>
      </c>
      <c r="AA83" s="289">
        <f t="shared" si="81"/>
        <v>-33506</v>
      </c>
      <c r="AB83" s="289">
        <f t="shared" si="81"/>
        <v>-42659</v>
      </c>
      <c r="AC83" s="289">
        <f t="shared" si="81"/>
        <v>-51811.5</v>
      </c>
      <c r="AD83" s="289">
        <f t="shared" si="81"/>
        <v>-60963.48</v>
      </c>
      <c r="AE83" s="289">
        <f t="shared" si="81"/>
        <v>-70115.460000000006</v>
      </c>
      <c r="AF83" s="289">
        <f t="shared" si="81"/>
        <v>-79267.44</v>
      </c>
      <c r="AG83" s="289">
        <f t="shared" si="81"/>
        <v>-88546.57666666666</v>
      </c>
      <c r="AH83" s="289">
        <f t="shared" si="81"/>
        <v>-98357.804444444439</v>
      </c>
      <c r="AI83" s="289">
        <f t="shared" si="81"/>
        <v>-105863.47666666667</v>
      </c>
      <c r="AJ83" s="289">
        <f t="shared" si="81"/>
        <v>-113133.03777777778</v>
      </c>
      <c r="AK83" s="289">
        <f t="shared" si="81"/>
        <v>-120333.15444444443</v>
      </c>
      <c r="AL83" s="333"/>
      <c r="AM83" s="334"/>
      <c r="AN83" s="289">
        <f>SUMIFS(PBC_BALANCE_SHEET[AccountBalance], PBC_BALANCE_SHEET[Id],$L83,PBC_BALANCE_SHEET[Date],AN$5)</f>
        <v>0</v>
      </c>
      <c r="AO83" s="289">
        <f>SUMIFS(PBC_BALANCE_SHEET[AccountBalance], PBC_BALANCE_SHEET[Id],$L83,PBC_BALANCE_SHEET[Date],AO$5)</f>
        <v>-69</v>
      </c>
      <c r="AP83" s="289">
        <f>SUMIFS(PBC_BALANCE_SHEET[AccountBalance], PBC_BALANCE_SHEET[Id],$L83,PBC_BALANCE_SHEET[Date],AP$5)</f>
        <v>-138</v>
      </c>
      <c r="AQ83" s="289">
        <f>SUMIFS(PBC_BALANCE_SHEET[AccountBalance], PBC_BALANCE_SHEET[Id],$L83,PBC_BALANCE_SHEET[Date],AQ$5)</f>
        <v>-277</v>
      </c>
      <c r="AR83" s="289">
        <f>SUMIFS(PBC_BALANCE_SHEET[AccountBalance], PBC_BALANCE_SHEET[Id],$L83,PBC_BALANCE_SHEET[Date],AR$5)</f>
        <v>-1388</v>
      </c>
      <c r="AS83" s="289">
        <f>SUMIFS(PBC_BALANCE_SHEET[AccountBalance], PBC_BALANCE_SHEET[Id],$L83,PBC_BALANCE_SHEET[Date],AS$5)</f>
        <v>-2569</v>
      </c>
      <c r="AT83" s="289">
        <f>SUMIFS(PBC_BALANCE_SHEET[AccountBalance], PBC_BALANCE_SHEET[Id],$L83,PBC_BALANCE_SHEET[Date],AT$5)</f>
        <v>-3972</v>
      </c>
      <c r="AU83" s="289">
        <f>SUMIFS(PBC_BALANCE_SHEET[AccountBalance], PBC_BALANCE_SHEET[Id],$L83,PBC_BALANCE_SHEET[Date],AU$5)</f>
        <v>-5375</v>
      </c>
      <c r="AV83" s="289">
        <f>SUMIFS(PBC_BALANCE_SHEET[AccountBalance], PBC_BALANCE_SHEET[Id],$L83,PBC_BALANCE_SHEET[Date],AV$5)</f>
        <v>-6847</v>
      </c>
      <c r="AW83" s="289">
        <f>SUMIFS(PBC_BALANCE_SHEET[AccountBalance], PBC_BALANCE_SHEET[Id],$L83,PBC_BALANCE_SHEET[Date],AW$5)</f>
        <v>-8319</v>
      </c>
      <c r="AX83" s="289">
        <f>SUMIFS(PBC_BALANCE_SHEET[AccountBalance], PBC_BALANCE_SHEET[Id],$L83,PBC_BALANCE_SHEET[Date],AX$5)</f>
        <v>-9791</v>
      </c>
      <c r="AY83" s="289">
        <f>SUMIFS(PBC_BALANCE_SHEET[AccountBalance], PBC_BALANCE_SHEET[Id],$L83,PBC_BALANCE_SHEET[Date],AY$5)</f>
        <v>-12151</v>
      </c>
      <c r="AZ83" s="289">
        <f>SUMIFS(PBC_BALANCE_SHEET[AccountBalance], PBC_BALANCE_SHEET[Id],$L83,PBC_BALANCE_SHEET[Date],AZ$5)</f>
        <v>-15202</v>
      </c>
      <c r="BA83" s="289">
        <f>SUMIFS(PBC_BALANCE_SHEET[AccountBalance], PBC_BALANCE_SHEET[Id],$L83,PBC_BALANCE_SHEET[Date],BA$5)</f>
        <v>-18252.5</v>
      </c>
      <c r="BB83" s="289">
        <f>SUMIFS(PBC_BALANCE_SHEET[AccountBalance], PBC_BALANCE_SHEET[Id],$L83,PBC_BALANCE_SHEET[Date],BB$5)</f>
        <v>-21303.5</v>
      </c>
      <c r="BC83" s="289">
        <f>SUMIFS(PBC_BALANCE_SHEET[AccountBalance], PBC_BALANCE_SHEET[Id],$L83,PBC_BALANCE_SHEET[Date],BC$5)</f>
        <v>-24354</v>
      </c>
      <c r="BD83" s="289">
        <f>SUMIFS(PBC_BALANCE_SHEET[AccountBalance], PBC_BALANCE_SHEET[Id],$L83,PBC_BALANCE_SHEET[Date],BD$5)</f>
        <v>-27404.5</v>
      </c>
      <c r="BE83" s="289">
        <f>SUMIFS(PBC_BALANCE_SHEET[AccountBalance], PBC_BALANCE_SHEET[Id],$L83,PBC_BALANCE_SHEET[Date],BE$5)</f>
        <v>-30455</v>
      </c>
      <c r="BF83" s="289">
        <f>SUMIFS(PBC_BALANCE_SHEET[AccountBalance], PBC_BALANCE_SHEET[Id],$L83,PBC_BALANCE_SHEET[Date],BF$5)</f>
        <v>-33506</v>
      </c>
      <c r="BG83" s="289">
        <f>SUMIFS(PBC_BALANCE_SHEET[AccountBalance], PBC_BALANCE_SHEET[Id],$L83,PBC_BALANCE_SHEET[Date],BG$5)</f>
        <v>-36557</v>
      </c>
      <c r="BH83" s="289">
        <f>SUMIFS(PBC_BALANCE_SHEET[AccountBalance], PBC_BALANCE_SHEET[Id],$L83,PBC_BALANCE_SHEET[Date],BH$5)</f>
        <v>-39608</v>
      </c>
      <c r="BI83" s="289">
        <f>SUMIFS(PBC_BALANCE_SHEET[AccountBalance], PBC_BALANCE_SHEET[Id],$L83,PBC_BALANCE_SHEET[Date],BI$5)</f>
        <v>-42659</v>
      </c>
      <c r="BJ83" s="289">
        <f>SUMIFS(PBC_BALANCE_SHEET[AccountBalance], PBC_BALANCE_SHEET[Id],$L83,PBC_BALANCE_SHEET[Date],BJ$5)</f>
        <v>-45710</v>
      </c>
      <c r="BK83" s="289">
        <f>SUMIFS(PBC_BALANCE_SHEET[AccountBalance], PBC_BALANCE_SHEET[Id],$L83,PBC_BALANCE_SHEET[Date],BK$5)</f>
        <v>-48761</v>
      </c>
      <c r="BL83" s="289">
        <f>SUMIFS(PBC_BALANCE_SHEET[AccountBalance], PBC_BALANCE_SHEET[Id],$L83,PBC_BALANCE_SHEET[Date],BL$5)</f>
        <v>-51811.5</v>
      </c>
      <c r="BM83" s="289">
        <f>SUMIFS(PBC_BALANCE_SHEET[AccountBalance], PBC_BALANCE_SHEET[Id],$L83,PBC_BALANCE_SHEET[Date],BM$5)</f>
        <v>-54862.16</v>
      </c>
      <c r="BN83" s="289">
        <f>SUMIFS(PBC_BALANCE_SHEET[AccountBalance], PBC_BALANCE_SHEET[Id],$L83,PBC_BALANCE_SHEET[Date],BN$5)</f>
        <v>-57912.82</v>
      </c>
      <c r="BO83" s="289">
        <f>SUMIFS(PBC_BALANCE_SHEET[AccountBalance], PBC_BALANCE_SHEET[Id],$L83,PBC_BALANCE_SHEET[Date],BO$5)</f>
        <v>-60963.48</v>
      </c>
      <c r="BP83" s="289">
        <f>SUMIFS(PBC_BALANCE_SHEET[AccountBalance], PBC_BALANCE_SHEET[Id],$L83,PBC_BALANCE_SHEET[Date],BP$5)</f>
        <v>-64014.14</v>
      </c>
      <c r="BQ83" s="289">
        <f>SUMIFS(PBC_BALANCE_SHEET[AccountBalance], PBC_BALANCE_SHEET[Id],$L83,PBC_BALANCE_SHEET[Date],BQ$5)</f>
        <v>-67064.800000000003</v>
      </c>
      <c r="BR83" s="289">
        <f>SUMIFS(PBC_BALANCE_SHEET[AccountBalance], PBC_BALANCE_SHEET[Id],$L83,PBC_BALANCE_SHEET[Date],BR$5)</f>
        <v>-70115.460000000006</v>
      </c>
      <c r="BS83" s="289">
        <f>SUMIFS(PBC_BALANCE_SHEET[AccountBalance], PBC_BALANCE_SHEET[Id],$L83,PBC_BALANCE_SHEET[Date],BS$5)</f>
        <v>-73166.12</v>
      </c>
      <c r="BT83" s="289">
        <f>SUMIFS(PBC_BALANCE_SHEET[AccountBalance], PBC_BALANCE_SHEET[Id],$L83,PBC_BALANCE_SHEET[Date],BT$5)</f>
        <v>-76216.78</v>
      </c>
      <c r="BU83" s="289">
        <f>SUMIFS(PBC_BALANCE_SHEET[AccountBalance], PBC_BALANCE_SHEET[Id],$L83,PBC_BALANCE_SHEET[Date],BU$5)</f>
        <v>-79267.44</v>
      </c>
      <c r="BV83" s="289">
        <f>SUMIFS(PBC_BALANCE_SHEET[AccountBalance], PBC_BALANCE_SHEET[Id],$L83,PBC_BALANCE_SHEET[Date],BV$5)</f>
        <v>-82318.100000000006</v>
      </c>
      <c r="BW83" s="289">
        <f>SUMIFS(PBC_BALANCE_SHEET[AccountBalance], PBC_BALANCE_SHEET[Id],$L83,PBC_BALANCE_SHEET[Date],BW$5)</f>
        <v>-85368.76</v>
      </c>
      <c r="BX83" s="538">
        <f>SUMIFS('Fixed &amp; Intangibles'!BQ$296:BQ$302,'Fixed &amp; Intangibles'!$E$296:$E$302,Drivers!$L83)</f>
        <v>-88546.57666666666</v>
      </c>
      <c r="BY83" s="538">
        <f>SUMIFS('Fixed &amp; Intangibles'!BR$296:BR$302,'Fixed &amp; Intangibles'!$E$296:$E$302,Drivers!$L83)</f>
        <v>-91654.948888888888</v>
      </c>
      <c r="BZ83" s="538">
        <f>SUMIFS('Fixed &amp; Intangibles'!BS$296:BS$302,'Fixed &amp; Intangibles'!$E$296:$E$302,Drivers!$L83)</f>
        <v>-95041.098888888882</v>
      </c>
      <c r="CA83" s="538">
        <f>SUMIFS('Fixed &amp; Intangibles'!BT$296:BT$302,'Fixed &amp; Intangibles'!$E$296:$E$302,Drivers!$L83)</f>
        <v>-98357.804444444439</v>
      </c>
      <c r="CB83" s="538">
        <f>SUMIFS('Fixed &amp; Intangibles'!BU$296:BU$302,'Fixed &amp; Intangibles'!$E$296:$E$302,Drivers!$L83)</f>
        <v>-100702.28777777778</v>
      </c>
      <c r="CC83" s="538">
        <f>SUMIFS('Fixed &amp; Intangibles'!BV$296:BV$302,'Fixed &amp; Intangibles'!$E$296:$E$302,Drivers!$L83)</f>
        <v>-103393.99333333333</v>
      </c>
      <c r="CD83" s="538">
        <f>SUMIFS('Fixed &amp; Intangibles'!BW$296:BW$302,'Fixed &amp; Intangibles'!$E$296:$E$302,Drivers!$L83)</f>
        <v>-105863.47666666667</v>
      </c>
      <c r="CE83" s="538">
        <f>SUMIFS('Fixed &amp; Intangibles'!BX$296:BX$302,'Fixed &amp; Intangibles'!$E$296:$E$302,Drivers!$L83)</f>
        <v>-108332.96</v>
      </c>
      <c r="CF83" s="538">
        <f>SUMIFS('Fixed &amp; Intangibles'!BY$296:BY$302,'Fixed &amp; Intangibles'!$E$296:$E$302,Drivers!$L83)</f>
        <v>-110732.99888888889</v>
      </c>
      <c r="CG83" s="538">
        <f>SUMIFS('Fixed &amp; Intangibles'!BZ$296:BZ$302,'Fixed &amp; Intangibles'!$E$296:$E$302,Drivers!$L83)</f>
        <v>-113133.03777777778</v>
      </c>
      <c r="CH83" s="538">
        <f>SUMIFS('Fixed &amp; Intangibles'!CA$296:CA$302,'Fixed &amp; Intangibles'!$E$296:$E$302,Drivers!$L83)</f>
        <v>-115533.07666666666</v>
      </c>
      <c r="CI83" s="538">
        <f>SUMIFS('Fixed &amp; Intangibles'!CB$296:CB$302,'Fixed &amp; Intangibles'!$E$296:$E$302,Drivers!$L83)</f>
        <v>-117933.11555555555</v>
      </c>
      <c r="CJ83" s="538">
        <f>SUMIFS('Fixed &amp; Intangibles'!CC$296:CC$302,'Fixed &amp; Intangibles'!$E$296:$E$302,Drivers!$L83)</f>
        <v>-120333.15444444443</v>
      </c>
    </row>
    <row r="84" spans="1:88" ht="15" outlineLevel="2">
      <c r="B84" s="284"/>
      <c r="C84" s="283"/>
      <c r="D84" s="288" t="s">
        <v>294</v>
      </c>
      <c r="E84" s="543" t="s">
        <v>356</v>
      </c>
      <c r="F84" s="279"/>
      <c r="G84" s="279"/>
      <c r="H84" s="277" t="str">
        <f>IFERROR(INDEX(PBC_ACCOUNT_LIST[Drivers Section],MATCH(Drivers!L84,PBC_ACCOUNT_LIST[Id],0)),"")</f>
        <v>Assets</v>
      </c>
      <c r="I84" s="277" t="str">
        <f>IFERROR(INDEX(PBC_ACCOUNT_LIST[Summary Grouping],MATCH(Drivers!L84,PBC_ACCOUNT_LIST[Id],0)),"")</f>
        <v>Fixed Assets</v>
      </c>
      <c r="J84" s="277" t="str">
        <f>IFERROR(INDEX(PBC_ACCOUNT_LIST[Cash Flow Section],MATCH(Drivers!L84,PBC_ACCOUNT_LIST[Id],0)),"")</f>
        <v>Cash From Investing Activities</v>
      </c>
      <c r="K84" s="278" t="s">
        <v>106</v>
      </c>
      <c r="L84" s="277">
        <v>60</v>
      </c>
      <c r="M84" s="276"/>
      <c r="O84" s="272"/>
      <c r="P84" s="289">
        <f t="shared" si="80"/>
        <v>52718</v>
      </c>
      <c r="Q84" s="289">
        <f t="shared" si="80"/>
        <v>52718</v>
      </c>
      <c r="R84" s="289">
        <f t="shared" si="80"/>
        <v>52718</v>
      </c>
      <c r="S84" s="289">
        <f t="shared" si="80"/>
        <v>52718</v>
      </c>
      <c r="T84" s="289"/>
      <c r="U84" s="289"/>
      <c r="V84" s="289">
        <f t="shared" si="81"/>
        <v>52718</v>
      </c>
      <c r="W84" s="289">
        <f t="shared" si="81"/>
        <v>52718</v>
      </c>
      <c r="X84" s="289">
        <f t="shared" si="81"/>
        <v>52718</v>
      </c>
      <c r="Y84" s="289">
        <f t="shared" si="81"/>
        <v>52718</v>
      </c>
      <c r="Z84" s="289">
        <f t="shared" si="81"/>
        <v>52718</v>
      </c>
      <c r="AA84" s="289">
        <f t="shared" si="81"/>
        <v>52718</v>
      </c>
      <c r="AB84" s="289">
        <f t="shared" si="81"/>
        <v>52718</v>
      </c>
      <c r="AC84" s="289">
        <f t="shared" si="81"/>
        <v>52718</v>
      </c>
      <c r="AD84" s="289">
        <f t="shared" si="81"/>
        <v>52718</v>
      </c>
      <c r="AE84" s="289">
        <f t="shared" si="81"/>
        <v>52718</v>
      </c>
      <c r="AF84" s="289">
        <f t="shared" si="81"/>
        <v>52718</v>
      </c>
      <c r="AG84" s="289">
        <f t="shared" si="81"/>
        <v>52718</v>
      </c>
      <c r="AH84" s="289">
        <f t="shared" si="81"/>
        <v>52718</v>
      </c>
      <c r="AI84" s="289">
        <f t="shared" si="81"/>
        <v>52718</v>
      </c>
      <c r="AJ84" s="289">
        <f t="shared" si="81"/>
        <v>52718</v>
      </c>
      <c r="AK84" s="289">
        <f t="shared" si="81"/>
        <v>52718</v>
      </c>
      <c r="AL84" s="333"/>
      <c r="AM84" s="334"/>
      <c r="AN84" s="289">
        <f>SUMIFS(PBC_BALANCE_SHEET[AccountBalance], PBC_BALANCE_SHEET[Id],$L84,PBC_BALANCE_SHEET[Date],AN$5)</f>
        <v>0</v>
      </c>
      <c r="AO84" s="289">
        <f>SUMIFS(PBC_BALANCE_SHEET[AccountBalance], PBC_BALANCE_SHEET[Id],$L84,PBC_BALANCE_SHEET[Date],AO$5)</f>
        <v>52718</v>
      </c>
      <c r="AP84" s="289">
        <f>SUMIFS(PBC_BALANCE_SHEET[AccountBalance], PBC_BALANCE_SHEET[Id],$L84,PBC_BALANCE_SHEET[Date],AP$5)</f>
        <v>52718</v>
      </c>
      <c r="AQ84" s="289">
        <f>SUMIFS(PBC_BALANCE_SHEET[AccountBalance], PBC_BALANCE_SHEET[Id],$L84,PBC_BALANCE_SHEET[Date],AQ$5)</f>
        <v>52718</v>
      </c>
      <c r="AR84" s="289">
        <f>SUMIFS(PBC_BALANCE_SHEET[AccountBalance], PBC_BALANCE_SHEET[Id],$L84,PBC_BALANCE_SHEET[Date],AR$5)</f>
        <v>52718</v>
      </c>
      <c r="AS84" s="289">
        <f>SUMIFS(PBC_BALANCE_SHEET[AccountBalance], PBC_BALANCE_SHEET[Id],$L84,PBC_BALANCE_SHEET[Date],AS$5)</f>
        <v>52718</v>
      </c>
      <c r="AT84" s="289">
        <f>SUMIFS(PBC_BALANCE_SHEET[AccountBalance], PBC_BALANCE_SHEET[Id],$L84,PBC_BALANCE_SHEET[Date],AT$5)</f>
        <v>52718</v>
      </c>
      <c r="AU84" s="289">
        <f>SUMIFS(PBC_BALANCE_SHEET[AccountBalance], PBC_BALANCE_SHEET[Id],$L84,PBC_BALANCE_SHEET[Date],AU$5)</f>
        <v>52718</v>
      </c>
      <c r="AV84" s="289">
        <f>SUMIFS(PBC_BALANCE_SHEET[AccountBalance], PBC_BALANCE_SHEET[Id],$L84,PBC_BALANCE_SHEET[Date],AV$5)</f>
        <v>52718</v>
      </c>
      <c r="AW84" s="289">
        <f>SUMIFS(PBC_BALANCE_SHEET[AccountBalance], PBC_BALANCE_SHEET[Id],$L84,PBC_BALANCE_SHEET[Date],AW$5)</f>
        <v>52718</v>
      </c>
      <c r="AX84" s="289">
        <f>SUMIFS(PBC_BALANCE_SHEET[AccountBalance], PBC_BALANCE_SHEET[Id],$L84,PBC_BALANCE_SHEET[Date],AX$5)</f>
        <v>52718</v>
      </c>
      <c r="AY84" s="289">
        <f>SUMIFS(PBC_BALANCE_SHEET[AccountBalance], PBC_BALANCE_SHEET[Id],$L84,PBC_BALANCE_SHEET[Date],AY$5)</f>
        <v>52718</v>
      </c>
      <c r="AZ84" s="289">
        <f>SUMIFS(PBC_BALANCE_SHEET[AccountBalance], PBC_BALANCE_SHEET[Id],$L84,PBC_BALANCE_SHEET[Date],AZ$5)</f>
        <v>52718</v>
      </c>
      <c r="BA84" s="289">
        <f>SUMIFS(PBC_BALANCE_SHEET[AccountBalance], PBC_BALANCE_SHEET[Id],$L84,PBC_BALANCE_SHEET[Date],BA$5)</f>
        <v>52718</v>
      </c>
      <c r="BB84" s="289">
        <f>SUMIFS(PBC_BALANCE_SHEET[AccountBalance], PBC_BALANCE_SHEET[Id],$L84,PBC_BALANCE_SHEET[Date],BB$5)</f>
        <v>52718</v>
      </c>
      <c r="BC84" s="289">
        <f>SUMIFS(PBC_BALANCE_SHEET[AccountBalance], PBC_BALANCE_SHEET[Id],$L84,PBC_BALANCE_SHEET[Date],BC$5)</f>
        <v>52718</v>
      </c>
      <c r="BD84" s="289">
        <f>SUMIFS(PBC_BALANCE_SHEET[AccountBalance], PBC_BALANCE_SHEET[Id],$L84,PBC_BALANCE_SHEET[Date],BD$5)</f>
        <v>52718</v>
      </c>
      <c r="BE84" s="289">
        <f>SUMIFS(PBC_BALANCE_SHEET[AccountBalance], PBC_BALANCE_SHEET[Id],$L84,PBC_BALANCE_SHEET[Date],BE$5)</f>
        <v>52718</v>
      </c>
      <c r="BF84" s="289">
        <f>SUMIFS(PBC_BALANCE_SHEET[AccountBalance], PBC_BALANCE_SHEET[Id],$L84,PBC_BALANCE_SHEET[Date],BF$5)</f>
        <v>52718</v>
      </c>
      <c r="BG84" s="289">
        <f>SUMIFS(PBC_BALANCE_SHEET[AccountBalance], PBC_BALANCE_SHEET[Id],$L84,PBC_BALANCE_SHEET[Date],BG$5)</f>
        <v>52718</v>
      </c>
      <c r="BH84" s="289">
        <f>SUMIFS(PBC_BALANCE_SHEET[AccountBalance], PBC_BALANCE_SHEET[Id],$L84,PBC_BALANCE_SHEET[Date],BH$5)</f>
        <v>52718</v>
      </c>
      <c r="BI84" s="289">
        <f>SUMIFS(PBC_BALANCE_SHEET[AccountBalance], PBC_BALANCE_SHEET[Id],$L84,PBC_BALANCE_SHEET[Date],BI$5)</f>
        <v>52718</v>
      </c>
      <c r="BJ84" s="289">
        <f>SUMIFS(PBC_BALANCE_SHEET[AccountBalance], PBC_BALANCE_SHEET[Id],$L84,PBC_BALANCE_SHEET[Date],BJ$5)</f>
        <v>52718</v>
      </c>
      <c r="BK84" s="289">
        <f>SUMIFS(PBC_BALANCE_SHEET[AccountBalance], PBC_BALANCE_SHEET[Id],$L84,PBC_BALANCE_SHEET[Date],BK$5)</f>
        <v>52718</v>
      </c>
      <c r="BL84" s="289">
        <f>SUMIFS(PBC_BALANCE_SHEET[AccountBalance], PBC_BALANCE_SHEET[Id],$L84,PBC_BALANCE_SHEET[Date],BL$5)</f>
        <v>52718</v>
      </c>
      <c r="BM84" s="289">
        <f>SUMIFS(PBC_BALANCE_SHEET[AccountBalance], PBC_BALANCE_SHEET[Id],$L84,PBC_BALANCE_SHEET[Date],BM$5)</f>
        <v>52718</v>
      </c>
      <c r="BN84" s="289">
        <f>SUMIFS(PBC_BALANCE_SHEET[AccountBalance], PBC_BALANCE_SHEET[Id],$L84,PBC_BALANCE_SHEET[Date],BN$5)</f>
        <v>52718</v>
      </c>
      <c r="BO84" s="289">
        <f>SUMIFS(PBC_BALANCE_SHEET[AccountBalance], PBC_BALANCE_SHEET[Id],$L84,PBC_BALANCE_SHEET[Date],BO$5)</f>
        <v>52718</v>
      </c>
      <c r="BP84" s="289">
        <f>SUMIFS(PBC_BALANCE_SHEET[AccountBalance], PBC_BALANCE_SHEET[Id],$L84,PBC_BALANCE_SHEET[Date],BP$5)</f>
        <v>52718</v>
      </c>
      <c r="BQ84" s="289">
        <f>SUMIFS(PBC_BALANCE_SHEET[AccountBalance], PBC_BALANCE_SHEET[Id],$L84,PBC_BALANCE_SHEET[Date],BQ$5)</f>
        <v>52718</v>
      </c>
      <c r="BR84" s="289">
        <f>SUMIFS(PBC_BALANCE_SHEET[AccountBalance], PBC_BALANCE_SHEET[Id],$L84,PBC_BALANCE_SHEET[Date],BR$5)</f>
        <v>52718</v>
      </c>
      <c r="BS84" s="289">
        <f>SUMIFS(PBC_BALANCE_SHEET[AccountBalance], PBC_BALANCE_SHEET[Id],$L84,PBC_BALANCE_SHEET[Date],BS$5)</f>
        <v>52718</v>
      </c>
      <c r="BT84" s="289">
        <f>SUMIFS(PBC_BALANCE_SHEET[AccountBalance], PBC_BALANCE_SHEET[Id],$L84,PBC_BALANCE_SHEET[Date],BT$5)</f>
        <v>52718</v>
      </c>
      <c r="BU84" s="289">
        <f>SUMIFS(PBC_BALANCE_SHEET[AccountBalance], PBC_BALANCE_SHEET[Id],$L84,PBC_BALANCE_SHEET[Date],BU$5)</f>
        <v>52718</v>
      </c>
      <c r="BV84" s="289">
        <f>SUMIFS(PBC_BALANCE_SHEET[AccountBalance], PBC_BALANCE_SHEET[Id],$L84,PBC_BALANCE_SHEET[Date],BV$5)</f>
        <v>52718</v>
      </c>
      <c r="BW84" s="289">
        <f>SUMIFS(PBC_BALANCE_SHEET[AccountBalance], PBC_BALANCE_SHEET[Id],$L84,PBC_BALANCE_SHEET[Date],BW$5)</f>
        <v>52718</v>
      </c>
      <c r="BX84" s="538">
        <f>SUMIFS('Fixed &amp; Intangibles'!BQ$296:BQ$302,'Fixed &amp; Intangibles'!$E$296:$E$302,Drivers!$L84)</f>
        <v>52718</v>
      </c>
      <c r="BY84" s="538">
        <f>SUMIFS('Fixed &amp; Intangibles'!BR$296:BR$302,'Fixed &amp; Intangibles'!$E$296:$E$302,Drivers!$L84)</f>
        <v>52718</v>
      </c>
      <c r="BZ84" s="538">
        <f>SUMIFS('Fixed &amp; Intangibles'!BS$296:BS$302,'Fixed &amp; Intangibles'!$E$296:$E$302,Drivers!$L84)</f>
        <v>52718</v>
      </c>
      <c r="CA84" s="538">
        <f>SUMIFS('Fixed &amp; Intangibles'!BT$296:BT$302,'Fixed &amp; Intangibles'!$E$296:$E$302,Drivers!$L84)</f>
        <v>52718</v>
      </c>
      <c r="CB84" s="538">
        <f>SUMIFS('Fixed &amp; Intangibles'!BU$296:BU$302,'Fixed &amp; Intangibles'!$E$296:$E$302,Drivers!$L84)</f>
        <v>52718</v>
      </c>
      <c r="CC84" s="538">
        <f>SUMIFS('Fixed &amp; Intangibles'!BV$296:BV$302,'Fixed &amp; Intangibles'!$E$296:$E$302,Drivers!$L84)</f>
        <v>52718</v>
      </c>
      <c r="CD84" s="538">
        <f>SUMIFS('Fixed &amp; Intangibles'!BW$296:BW$302,'Fixed &amp; Intangibles'!$E$296:$E$302,Drivers!$L84)</f>
        <v>52718</v>
      </c>
      <c r="CE84" s="538">
        <f>SUMIFS('Fixed &amp; Intangibles'!BX$296:BX$302,'Fixed &amp; Intangibles'!$E$296:$E$302,Drivers!$L84)</f>
        <v>52718</v>
      </c>
      <c r="CF84" s="538">
        <f>SUMIFS('Fixed &amp; Intangibles'!BY$296:BY$302,'Fixed &amp; Intangibles'!$E$296:$E$302,Drivers!$L84)</f>
        <v>52718</v>
      </c>
      <c r="CG84" s="538">
        <f>SUMIFS('Fixed &amp; Intangibles'!BZ$296:BZ$302,'Fixed &amp; Intangibles'!$E$296:$E$302,Drivers!$L84)</f>
        <v>52718</v>
      </c>
      <c r="CH84" s="538">
        <f>SUMIFS('Fixed &amp; Intangibles'!CA$296:CA$302,'Fixed &amp; Intangibles'!$E$296:$E$302,Drivers!$L84)</f>
        <v>52718</v>
      </c>
      <c r="CI84" s="538">
        <f>SUMIFS('Fixed &amp; Intangibles'!CB$296:CB$302,'Fixed &amp; Intangibles'!$E$296:$E$302,Drivers!$L84)</f>
        <v>52718</v>
      </c>
      <c r="CJ84" s="538">
        <f>SUMIFS('Fixed &amp; Intangibles'!CC$296:CC$302,'Fixed &amp; Intangibles'!$E$296:$E$302,Drivers!$L84)</f>
        <v>52718</v>
      </c>
    </row>
    <row r="85" spans="1:88" ht="14.45" customHeight="1" outlineLevel="2">
      <c r="B85" s="284"/>
      <c r="C85" s="283"/>
      <c r="D85" s="288" t="s">
        <v>295</v>
      </c>
      <c r="E85" s="543" t="s">
        <v>356</v>
      </c>
      <c r="F85" s="279"/>
      <c r="G85" s="279"/>
      <c r="H85" s="277" t="str">
        <f>IFERROR(INDEX(PBC_ACCOUNT_LIST[Drivers Section],MATCH(Drivers!L85,PBC_ACCOUNT_LIST[Id],0)),"")</f>
        <v>Assets</v>
      </c>
      <c r="I85" s="277" t="str">
        <f>IFERROR(INDEX(PBC_ACCOUNT_LIST[Summary Grouping],MATCH(Drivers!L85,PBC_ACCOUNT_LIST[Id],0)),"")</f>
        <v>Fixed Assets</v>
      </c>
      <c r="J85" s="277" t="str">
        <f>IFERROR(INDEX(PBC_ACCOUNT_LIST[Cash Flow Section],MATCH(Drivers!L85,PBC_ACCOUNT_LIST[Id],0)),"")</f>
        <v>Cash From Investing Activities</v>
      </c>
      <c r="K85" s="278" t="s">
        <v>106</v>
      </c>
      <c r="L85" s="277">
        <v>1150040001</v>
      </c>
      <c r="M85" s="276"/>
      <c r="O85" s="272"/>
      <c r="P85" s="289">
        <f t="shared" si="80"/>
        <v>7951</v>
      </c>
      <c r="Q85" s="289">
        <f t="shared" si="80"/>
        <v>7951</v>
      </c>
      <c r="R85" s="289">
        <f t="shared" si="80"/>
        <v>7951</v>
      </c>
      <c r="S85" s="289">
        <f t="shared" si="80"/>
        <v>7951</v>
      </c>
      <c r="T85" s="289"/>
      <c r="U85" s="289"/>
      <c r="V85" s="289">
        <f t="shared" si="81"/>
        <v>7951</v>
      </c>
      <c r="W85" s="289">
        <f t="shared" si="81"/>
        <v>7951</v>
      </c>
      <c r="X85" s="289">
        <f t="shared" si="81"/>
        <v>7951</v>
      </c>
      <c r="Y85" s="289">
        <f t="shared" si="81"/>
        <v>7951</v>
      </c>
      <c r="Z85" s="289">
        <f t="shared" si="81"/>
        <v>7951</v>
      </c>
      <c r="AA85" s="289">
        <f t="shared" si="81"/>
        <v>7951</v>
      </c>
      <c r="AB85" s="289">
        <f t="shared" si="81"/>
        <v>7951</v>
      </c>
      <c r="AC85" s="289">
        <f t="shared" si="81"/>
        <v>7951</v>
      </c>
      <c r="AD85" s="289">
        <f t="shared" si="81"/>
        <v>7951</v>
      </c>
      <c r="AE85" s="289">
        <f t="shared" si="81"/>
        <v>7951</v>
      </c>
      <c r="AF85" s="289">
        <f t="shared" si="81"/>
        <v>7951</v>
      </c>
      <c r="AG85" s="289">
        <f t="shared" si="81"/>
        <v>7951</v>
      </c>
      <c r="AH85" s="289">
        <f t="shared" si="81"/>
        <v>7951</v>
      </c>
      <c r="AI85" s="289">
        <f t="shared" si="81"/>
        <v>7951</v>
      </c>
      <c r="AJ85" s="289">
        <f t="shared" si="81"/>
        <v>7951</v>
      </c>
      <c r="AK85" s="289">
        <f t="shared" si="81"/>
        <v>7951</v>
      </c>
      <c r="AL85" s="333"/>
      <c r="AM85" s="334"/>
      <c r="AN85" s="289">
        <f>SUMIFS(PBC_BALANCE_SHEET[AccountBalance], PBC_BALANCE_SHEET[Id],$L85,PBC_BALANCE_SHEET[Date],AN$5)</f>
        <v>0</v>
      </c>
      <c r="AO85" s="289">
        <f>SUMIFS(PBC_BALANCE_SHEET[AccountBalance], PBC_BALANCE_SHEET[Id],$L85,PBC_BALANCE_SHEET[Date],AO$5)</f>
        <v>7951</v>
      </c>
      <c r="AP85" s="289">
        <f>SUMIFS(PBC_BALANCE_SHEET[AccountBalance], PBC_BALANCE_SHEET[Id],$L85,PBC_BALANCE_SHEET[Date],AP$5)</f>
        <v>7951</v>
      </c>
      <c r="AQ85" s="289">
        <f>SUMIFS(PBC_BALANCE_SHEET[AccountBalance], PBC_BALANCE_SHEET[Id],$L85,PBC_BALANCE_SHEET[Date],AQ$5)</f>
        <v>7951</v>
      </c>
      <c r="AR85" s="289">
        <f>SUMIFS(PBC_BALANCE_SHEET[AccountBalance], PBC_BALANCE_SHEET[Id],$L85,PBC_BALANCE_SHEET[Date],AR$5)</f>
        <v>7951</v>
      </c>
      <c r="AS85" s="289">
        <f>SUMIFS(PBC_BALANCE_SHEET[AccountBalance], PBC_BALANCE_SHEET[Id],$L85,PBC_BALANCE_SHEET[Date],AS$5)</f>
        <v>7951</v>
      </c>
      <c r="AT85" s="289">
        <f>SUMIFS(PBC_BALANCE_SHEET[AccountBalance], PBC_BALANCE_SHEET[Id],$L85,PBC_BALANCE_SHEET[Date],AT$5)</f>
        <v>7951</v>
      </c>
      <c r="AU85" s="289">
        <f>SUMIFS(PBC_BALANCE_SHEET[AccountBalance], PBC_BALANCE_SHEET[Id],$L85,PBC_BALANCE_SHEET[Date],AU$5)</f>
        <v>7951</v>
      </c>
      <c r="AV85" s="289">
        <f>SUMIFS(PBC_BALANCE_SHEET[AccountBalance], PBC_BALANCE_SHEET[Id],$L85,PBC_BALANCE_SHEET[Date],AV$5)</f>
        <v>7951</v>
      </c>
      <c r="AW85" s="289">
        <f>SUMIFS(PBC_BALANCE_SHEET[AccountBalance], PBC_BALANCE_SHEET[Id],$L85,PBC_BALANCE_SHEET[Date],AW$5)</f>
        <v>7951</v>
      </c>
      <c r="AX85" s="289">
        <f>SUMIFS(PBC_BALANCE_SHEET[AccountBalance], PBC_BALANCE_SHEET[Id],$L85,PBC_BALANCE_SHEET[Date],AX$5)</f>
        <v>7951</v>
      </c>
      <c r="AY85" s="289">
        <f>SUMIFS(PBC_BALANCE_SHEET[AccountBalance], PBC_BALANCE_SHEET[Id],$L85,PBC_BALANCE_SHEET[Date],AY$5)</f>
        <v>7951</v>
      </c>
      <c r="AZ85" s="289">
        <f>SUMIFS(PBC_BALANCE_SHEET[AccountBalance], PBC_BALANCE_SHEET[Id],$L85,PBC_BALANCE_SHEET[Date],AZ$5)</f>
        <v>7951</v>
      </c>
      <c r="BA85" s="289">
        <f>SUMIFS(PBC_BALANCE_SHEET[AccountBalance], PBC_BALANCE_SHEET[Id],$L85,PBC_BALANCE_SHEET[Date],BA$5)</f>
        <v>7951</v>
      </c>
      <c r="BB85" s="289">
        <f>SUMIFS(PBC_BALANCE_SHEET[AccountBalance], PBC_BALANCE_SHEET[Id],$L85,PBC_BALANCE_SHEET[Date],BB$5)</f>
        <v>7951</v>
      </c>
      <c r="BC85" s="289">
        <f>SUMIFS(PBC_BALANCE_SHEET[AccountBalance], PBC_BALANCE_SHEET[Id],$L85,PBC_BALANCE_SHEET[Date],BC$5)</f>
        <v>7951</v>
      </c>
      <c r="BD85" s="289">
        <f>SUMIFS(PBC_BALANCE_SHEET[AccountBalance], PBC_BALANCE_SHEET[Id],$L85,PBC_BALANCE_SHEET[Date],BD$5)</f>
        <v>7951</v>
      </c>
      <c r="BE85" s="289">
        <f>SUMIFS(PBC_BALANCE_SHEET[AccountBalance], PBC_BALANCE_SHEET[Id],$L85,PBC_BALANCE_SHEET[Date],BE$5)</f>
        <v>7951</v>
      </c>
      <c r="BF85" s="289">
        <f>SUMIFS(PBC_BALANCE_SHEET[AccountBalance], PBC_BALANCE_SHEET[Id],$L85,PBC_BALANCE_SHEET[Date],BF$5)</f>
        <v>7951</v>
      </c>
      <c r="BG85" s="289">
        <f>SUMIFS(PBC_BALANCE_SHEET[AccountBalance], PBC_BALANCE_SHEET[Id],$L85,PBC_BALANCE_SHEET[Date],BG$5)</f>
        <v>7951</v>
      </c>
      <c r="BH85" s="289">
        <f>SUMIFS(PBC_BALANCE_SHEET[AccountBalance], PBC_BALANCE_SHEET[Id],$L85,PBC_BALANCE_SHEET[Date],BH$5)</f>
        <v>7951</v>
      </c>
      <c r="BI85" s="289">
        <f>SUMIFS(PBC_BALANCE_SHEET[AccountBalance], PBC_BALANCE_SHEET[Id],$L85,PBC_BALANCE_SHEET[Date],BI$5)</f>
        <v>7951</v>
      </c>
      <c r="BJ85" s="289">
        <f>SUMIFS(PBC_BALANCE_SHEET[AccountBalance], PBC_BALANCE_SHEET[Id],$L85,PBC_BALANCE_SHEET[Date],BJ$5)</f>
        <v>7951</v>
      </c>
      <c r="BK85" s="289">
        <f>SUMIFS(PBC_BALANCE_SHEET[AccountBalance], PBC_BALANCE_SHEET[Id],$L85,PBC_BALANCE_SHEET[Date],BK$5)</f>
        <v>7951</v>
      </c>
      <c r="BL85" s="289">
        <f>SUMIFS(PBC_BALANCE_SHEET[AccountBalance], PBC_BALANCE_SHEET[Id],$L85,PBC_BALANCE_SHEET[Date],BL$5)</f>
        <v>7951</v>
      </c>
      <c r="BM85" s="289">
        <f>SUMIFS(PBC_BALANCE_SHEET[AccountBalance], PBC_BALANCE_SHEET[Id],$L85,PBC_BALANCE_SHEET[Date],BM$5)</f>
        <v>7951</v>
      </c>
      <c r="BN85" s="289">
        <f>SUMIFS(PBC_BALANCE_SHEET[AccountBalance], PBC_BALANCE_SHEET[Id],$L85,PBC_BALANCE_SHEET[Date],BN$5)</f>
        <v>7951</v>
      </c>
      <c r="BO85" s="289">
        <f>SUMIFS(PBC_BALANCE_SHEET[AccountBalance], PBC_BALANCE_SHEET[Id],$L85,PBC_BALANCE_SHEET[Date],BO$5)</f>
        <v>7951</v>
      </c>
      <c r="BP85" s="289">
        <f>SUMIFS(PBC_BALANCE_SHEET[AccountBalance], PBC_BALANCE_SHEET[Id],$L85,PBC_BALANCE_SHEET[Date],BP$5)</f>
        <v>7951</v>
      </c>
      <c r="BQ85" s="289">
        <f>SUMIFS(PBC_BALANCE_SHEET[AccountBalance], PBC_BALANCE_SHEET[Id],$L85,PBC_BALANCE_SHEET[Date],BQ$5)</f>
        <v>7951</v>
      </c>
      <c r="BR85" s="289">
        <f>SUMIFS(PBC_BALANCE_SHEET[AccountBalance], PBC_BALANCE_SHEET[Id],$L85,PBC_BALANCE_SHEET[Date],BR$5)</f>
        <v>7951</v>
      </c>
      <c r="BS85" s="289">
        <f>SUMIFS(PBC_BALANCE_SHEET[AccountBalance], PBC_BALANCE_SHEET[Id],$L85,PBC_BALANCE_SHEET[Date],BS$5)</f>
        <v>7951</v>
      </c>
      <c r="BT85" s="289">
        <f>SUMIFS(PBC_BALANCE_SHEET[AccountBalance], PBC_BALANCE_SHEET[Id],$L85,PBC_BALANCE_SHEET[Date],BT$5)</f>
        <v>7951</v>
      </c>
      <c r="BU85" s="289">
        <f>SUMIFS(PBC_BALANCE_SHEET[AccountBalance], PBC_BALANCE_SHEET[Id],$L85,PBC_BALANCE_SHEET[Date],BU$5)</f>
        <v>7951</v>
      </c>
      <c r="BV85" s="289">
        <f>SUMIFS(PBC_BALANCE_SHEET[AccountBalance], PBC_BALANCE_SHEET[Id],$L85,PBC_BALANCE_SHEET[Date],BV$5)</f>
        <v>7951</v>
      </c>
      <c r="BW85" s="289">
        <f>SUMIFS(PBC_BALANCE_SHEET[AccountBalance], PBC_BALANCE_SHEET[Id],$L85,PBC_BALANCE_SHEET[Date],BW$5)</f>
        <v>7951</v>
      </c>
      <c r="BX85" s="538">
        <f>SUMIFS('Fixed &amp; Intangibles'!BQ$296:BQ$302,'Fixed &amp; Intangibles'!$E$296:$E$302,Drivers!$L85)</f>
        <v>7951</v>
      </c>
      <c r="BY85" s="538">
        <f>SUMIFS('Fixed &amp; Intangibles'!BR$296:BR$302,'Fixed &amp; Intangibles'!$E$296:$E$302,Drivers!$L85)</f>
        <v>7951</v>
      </c>
      <c r="BZ85" s="538">
        <f>SUMIFS('Fixed &amp; Intangibles'!BS$296:BS$302,'Fixed &amp; Intangibles'!$E$296:$E$302,Drivers!$L85)</f>
        <v>7951</v>
      </c>
      <c r="CA85" s="538">
        <f>SUMIFS('Fixed &amp; Intangibles'!BT$296:BT$302,'Fixed &amp; Intangibles'!$E$296:$E$302,Drivers!$L85)</f>
        <v>7951</v>
      </c>
      <c r="CB85" s="538">
        <f>SUMIFS('Fixed &amp; Intangibles'!BU$296:BU$302,'Fixed &amp; Intangibles'!$E$296:$E$302,Drivers!$L85)</f>
        <v>7951</v>
      </c>
      <c r="CC85" s="538">
        <f>SUMIFS('Fixed &amp; Intangibles'!BV$296:BV$302,'Fixed &amp; Intangibles'!$E$296:$E$302,Drivers!$L85)</f>
        <v>7951</v>
      </c>
      <c r="CD85" s="538">
        <f>SUMIFS('Fixed &amp; Intangibles'!BW$296:BW$302,'Fixed &amp; Intangibles'!$E$296:$E$302,Drivers!$L85)</f>
        <v>7951</v>
      </c>
      <c r="CE85" s="538">
        <f>SUMIFS('Fixed &amp; Intangibles'!BX$296:BX$302,'Fixed &amp; Intangibles'!$E$296:$E$302,Drivers!$L85)</f>
        <v>7951</v>
      </c>
      <c r="CF85" s="538">
        <f>SUMIFS('Fixed &amp; Intangibles'!BY$296:BY$302,'Fixed &amp; Intangibles'!$E$296:$E$302,Drivers!$L85)</f>
        <v>7951</v>
      </c>
      <c r="CG85" s="538">
        <f>SUMIFS('Fixed &amp; Intangibles'!BZ$296:BZ$302,'Fixed &amp; Intangibles'!$E$296:$E$302,Drivers!$L85)</f>
        <v>7951</v>
      </c>
      <c r="CH85" s="538">
        <f>SUMIFS('Fixed &amp; Intangibles'!CA$296:CA$302,'Fixed &amp; Intangibles'!$E$296:$E$302,Drivers!$L85)</f>
        <v>7951</v>
      </c>
      <c r="CI85" s="538">
        <f>SUMIFS('Fixed &amp; Intangibles'!CB$296:CB$302,'Fixed &amp; Intangibles'!$E$296:$E$302,Drivers!$L85)</f>
        <v>7951</v>
      </c>
      <c r="CJ85" s="538">
        <f>SUMIFS('Fixed &amp; Intangibles'!CC$296:CC$302,'Fixed &amp; Intangibles'!$E$296:$E$302,Drivers!$L85)</f>
        <v>7951</v>
      </c>
    </row>
    <row r="86" spans="1:88" ht="15" outlineLevel="1">
      <c r="B86" s="284"/>
      <c r="C86" s="283"/>
      <c r="D86" s="288"/>
      <c r="E86" s="280"/>
      <c r="F86" s="279"/>
      <c r="G86" s="279"/>
      <c r="H86" s="277"/>
      <c r="I86" s="277"/>
      <c r="J86" s="277"/>
      <c r="K86" s="278"/>
      <c r="L86" s="277"/>
      <c r="M86" s="276"/>
      <c r="O86" s="272"/>
      <c r="P86" s="286"/>
      <c r="Q86" s="286"/>
      <c r="R86" s="286"/>
      <c r="S86" s="286"/>
      <c r="T86" s="286"/>
      <c r="U86" s="286"/>
      <c r="V86" s="286"/>
      <c r="W86" s="286"/>
      <c r="X86" s="286"/>
      <c r="Y86" s="286"/>
      <c r="Z86" s="286"/>
      <c r="AA86" s="286"/>
      <c r="AB86" s="286"/>
      <c r="AC86" s="286"/>
      <c r="AD86" s="286"/>
      <c r="AE86" s="286"/>
      <c r="AF86" s="286"/>
      <c r="AG86" s="286"/>
      <c r="AH86" s="286"/>
      <c r="AI86" s="286"/>
      <c r="AJ86" s="286"/>
      <c r="AK86" s="286"/>
      <c r="AL86" s="287"/>
      <c r="AM86" s="272"/>
      <c r="AN86" s="286"/>
      <c r="AO86" s="286"/>
      <c r="AP86" s="286"/>
      <c r="AQ86" s="286"/>
      <c r="AR86" s="286"/>
      <c r="AS86" s="286"/>
      <c r="AT86" s="286"/>
      <c r="AU86" s="286"/>
      <c r="AV86" s="286"/>
      <c r="AW86" s="286"/>
      <c r="AX86" s="286"/>
      <c r="AY86" s="286"/>
      <c r="AZ86" s="286"/>
      <c r="BA86" s="286"/>
      <c r="BB86" s="286"/>
      <c r="BC86" s="286"/>
      <c r="BD86" s="286"/>
      <c r="BE86" s="286"/>
      <c r="BF86" s="286"/>
      <c r="BG86" s="286"/>
      <c r="BH86" s="286"/>
      <c r="BI86" s="286"/>
      <c r="BJ86" s="286"/>
      <c r="BK86" s="286"/>
      <c r="BL86" s="286"/>
      <c r="BM86" s="286"/>
      <c r="BN86" s="286"/>
      <c r="BO86" s="286"/>
      <c r="BP86" s="286"/>
      <c r="BQ86" s="286"/>
      <c r="BR86" s="286"/>
      <c r="BS86" s="286"/>
      <c r="BT86" s="286"/>
      <c r="BU86" s="286"/>
      <c r="BV86" s="286"/>
      <c r="BW86" s="286"/>
      <c r="BX86" s="286"/>
      <c r="BY86" s="286"/>
      <c r="BZ86" s="286"/>
      <c r="CA86" s="286"/>
      <c r="CB86" s="286"/>
      <c r="CC86" s="286"/>
      <c r="CD86" s="286"/>
      <c r="CE86" s="286"/>
      <c r="CF86" s="286"/>
      <c r="CG86" s="286"/>
      <c r="CH86" s="286"/>
      <c r="CI86" s="286"/>
      <c r="CJ86" s="286"/>
    </row>
    <row r="87" spans="1:88" ht="15" outlineLevel="1">
      <c r="A87" s="285"/>
      <c r="B87" s="284"/>
      <c r="C87" s="283" t="s">
        <v>141</v>
      </c>
      <c r="D87" s="282"/>
      <c r="E87" s="280"/>
      <c r="F87" s="279"/>
      <c r="G87" s="279"/>
      <c r="H87" s="277"/>
      <c r="I87" s="277"/>
      <c r="J87" s="277"/>
      <c r="K87" s="278"/>
      <c r="L87" s="277"/>
      <c r="M87" s="276"/>
      <c r="O87" s="272"/>
      <c r="P87" s="281">
        <f>SUM(P88:P98)</f>
        <v>1603677.5</v>
      </c>
      <c r="Q87" s="281">
        <f>SUM(Q88:Q98)</f>
        <v>1603677.5</v>
      </c>
      <c r="R87" s="281">
        <f>SUM(R88:R98)</f>
        <v>1747692.9166151516</v>
      </c>
      <c r="S87" s="281">
        <f>SUM(S88:S98)</f>
        <v>1758939.401201512</v>
      </c>
      <c r="T87" s="272"/>
      <c r="U87" s="272"/>
      <c r="V87" s="281">
        <f t="shared" ref="V87:AK87" si="82">SUM(V88:V98)</f>
        <v>568126</v>
      </c>
      <c r="W87" s="281">
        <f t="shared" si="82"/>
        <v>580690.5</v>
      </c>
      <c r="X87" s="281">
        <f t="shared" si="82"/>
        <v>598462.5</v>
      </c>
      <c r="Y87" s="281">
        <f t="shared" si="82"/>
        <v>1603677.5</v>
      </c>
      <c r="Z87" s="281">
        <f t="shared" si="82"/>
        <v>1603677.5</v>
      </c>
      <c r="AA87" s="281">
        <f t="shared" si="82"/>
        <v>1603677.5</v>
      </c>
      <c r="AB87" s="281">
        <f t="shared" si="82"/>
        <v>1603677.5</v>
      </c>
      <c r="AC87" s="281">
        <f t="shared" si="82"/>
        <v>1603677.5</v>
      </c>
      <c r="AD87" s="281">
        <f t="shared" si="82"/>
        <v>1603677.5</v>
      </c>
      <c r="AE87" s="281">
        <f t="shared" si="82"/>
        <v>1604677.5</v>
      </c>
      <c r="AF87" s="281">
        <f t="shared" si="82"/>
        <v>1605177.5</v>
      </c>
      <c r="AG87" s="281">
        <f t="shared" si="82"/>
        <v>1747692.9166151516</v>
      </c>
      <c r="AH87" s="281">
        <f t="shared" si="82"/>
        <v>1751966.8194439965</v>
      </c>
      <c r="AI87" s="281">
        <f t="shared" si="82"/>
        <v>1757013.6441783647</v>
      </c>
      <c r="AJ87" s="281">
        <f t="shared" si="82"/>
        <v>1755529.9400324817</v>
      </c>
      <c r="AK87" s="281">
        <f t="shared" si="82"/>
        <v>1758939.401201512</v>
      </c>
      <c r="AM87" s="272"/>
      <c r="AN87" s="281">
        <f t="shared" ref="AN87:BS87" si="83">IF(AN$5&lt;=LatestMonthOfActuals,SUMIFS(AN88:AN98,$K88:$K98,"Account"),SUMIFS(AN88:AN98,$K88:$K98,"&lt;&gt;Sub-Account"))</f>
        <v>0</v>
      </c>
      <c r="AO87" s="281">
        <f t="shared" si="83"/>
        <v>559346</v>
      </c>
      <c r="AP87" s="281">
        <f t="shared" si="83"/>
        <v>566869</v>
      </c>
      <c r="AQ87" s="281">
        <f t="shared" si="83"/>
        <v>568126</v>
      </c>
      <c r="AR87" s="281">
        <f t="shared" si="83"/>
        <v>574450.5</v>
      </c>
      <c r="AS87" s="281">
        <f t="shared" si="83"/>
        <v>578576.5</v>
      </c>
      <c r="AT87" s="281">
        <f t="shared" si="83"/>
        <v>580690.5</v>
      </c>
      <c r="AU87" s="281">
        <f t="shared" si="83"/>
        <v>586664.5</v>
      </c>
      <c r="AV87" s="281">
        <f t="shared" si="83"/>
        <v>591166.5</v>
      </c>
      <c r="AW87" s="281">
        <f t="shared" si="83"/>
        <v>598462.5</v>
      </c>
      <c r="AX87" s="281">
        <f t="shared" si="83"/>
        <v>1603677.5</v>
      </c>
      <c r="AY87" s="281">
        <f t="shared" si="83"/>
        <v>1603677.5</v>
      </c>
      <c r="AZ87" s="281">
        <f t="shared" si="83"/>
        <v>1603677.5</v>
      </c>
      <c r="BA87" s="281">
        <f t="shared" si="83"/>
        <v>1603677.5</v>
      </c>
      <c r="BB87" s="281">
        <f t="shared" si="83"/>
        <v>1603677.5</v>
      </c>
      <c r="BC87" s="281">
        <f t="shared" si="83"/>
        <v>1603677.5</v>
      </c>
      <c r="BD87" s="281">
        <f t="shared" si="83"/>
        <v>1603677.5</v>
      </c>
      <c r="BE87" s="281">
        <f t="shared" si="83"/>
        <v>1603677.5</v>
      </c>
      <c r="BF87" s="281">
        <f t="shared" si="83"/>
        <v>1603677.5</v>
      </c>
      <c r="BG87" s="281">
        <f t="shared" si="83"/>
        <v>1603677.5</v>
      </c>
      <c r="BH87" s="281">
        <f t="shared" si="83"/>
        <v>1603677.5</v>
      </c>
      <c r="BI87" s="281">
        <f t="shared" si="83"/>
        <v>1603677.5</v>
      </c>
      <c r="BJ87" s="281">
        <f t="shared" si="83"/>
        <v>1603677.5</v>
      </c>
      <c r="BK87" s="281">
        <f t="shared" si="83"/>
        <v>1603677.5</v>
      </c>
      <c r="BL87" s="281">
        <f t="shared" si="83"/>
        <v>1603677.5</v>
      </c>
      <c r="BM87" s="281">
        <f t="shared" si="83"/>
        <v>1603677.5</v>
      </c>
      <c r="BN87" s="281">
        <f t="shared" si="83"/>
        <v>1603677.5</v>
      </c>
      <c r="BO87" s="281">
        <f t="shared" si="83"/>
        <v>1603677.5</v>
      </c>
      <c r="BP87" s="281">
        <f t="shared" si="83"/>
        <v>1603677.5</v>
      </c>
      <c r="BQ87" s="281">
        <f t="shared" si="83"/>
        <v>1603677.5</v>
      </c>
      <c r="BR87" s="281">
        <f t="shared" si="83"/>
        <v>1604677.5</v>
      </c>
      <c r="BS87" s="281">
        <f t="shared" si="83"/>
        <v>1604677.5</v>
      </c>
      <c r="BT87" s="281">
        <f t="shared" ref="BT87:BV87" si="84">IF(BT$5&lt;=LatestMonthOfActuals,SUMIFS(BT88:BT98,$K88:$K98,"Account"),SUMIFS(BT88:BT98,$K88:$K98,"&lt;&gt;Sub-Account"))</f>
        <v>1605177.5</v>
      </c>
      <c r="BU87" s="281">
        <f t="shared" si="84"/>
        <v>1605177.5</v>
      </c>
      <c r="BV87" s="281">
        <f t="shared" si="84"/>
        <v>1605177.5</v>
      </c>
      <c r="BW87" s="281">
        <f t="shared" ref="BW87" si="85">IF(BW$5&lt;=LatestMonthOfActuals,SUMIFS(BW88:BW98,$K88:$K98,"Account"),SUMIFS(BW88:BW98,$K88:$K98,"&lt;&gt;Sub-Account"))</f>
        <v>1606177.5</v>
      </c>
      <c r="BX87" s="281">
        <f t="shared" ref="BX87:CJ87" si="86">IF(BX$5&lt;=LatestMonthOfActuals,SUMIFS(BX88:BX98,$K88:$K98,"Account"),SUMIFS(BX88:BX98,$K88:$K98,"&lt;&gt;Sub-Account"))</f>
        <v>1747692.9166151516</v>
      </c>
      <c r="BY87" s="281">
        <f t="shared" si="86"/>
        <v>1766812.7739134538</v>
      </c>
      <c r="BZ87" s="281">
        <f t="shared" si="86"/>
        <v>1752554.4352554153</v>
      </c>
      <c r="CA87" s="281">
        <f t="shared" si="86"/>
        <v>1751966.8194439965</v>
      </c>
      <c r="CB87" s="281">
        <f t="shared" si="86"/>
        <v>1758562.2148263217</v>
      </c>
      <c r="CC87" s="281">
        <f t="shared" si="86"/>
        <v>1757473.3884637982</v>
      </c>
      <c r="CD87" s="281">
        <f t="shared" si="86"/>
        <v>1757013.6441783647</v>
      </c>
      <c r="CE87" s="281">
        <f t="shared" si="86"/>
        <v>1757317.58494204</v>
      </c>
      <c r="CF87" s="281">
        <f t="shared" si="86"/>
        <v>1756462.1522009843</v>
      </c>
      <c r="CG87" s="281">
        <f t="shared" si="86"/>
        <v>1755529.9400324817</v>
      </c>
      <c r="CH87" s="281">
        <f t="shared" si="86"/>
        <v>1754536.5893917687</v>
      </c>
      <c r="CI87" s="281">
        <f t="shared" si="86"/>
        <v>1753507.6386941029</v>
      </c>
      <c r="CJ87" s="281">
        <f t="shared" si="86"/>
        <v>1758939.401201512</v>
      </c>
    </row>
    <row r="88" spans="1:88" ht="15" outlineLevel="2">
      <c r="A88" s="265" t="s">
        <v>359</v>
      </c>
      <c r="B88" s="284"/>
      <c r="C88" s="283"/>
      <c r="D88" s="288"/>
      <c r="E88" s="280"/>
      <c r="F88" s="279"/>
      <c r="G88" s="279"/>
      <c r="H88" s="277"/>
      <c r="I88" s="277"/>
      <c r="J88" s="277"/>
      <c r="K88" s="278"/>
      <c r="L88" s="277"/>
      <c r="M88" s="276"/>
      <c r="O88" s="272"/>
      <c r="P88" s="286"/>
      <c r="Q88" s="286"/>
      <c r="R88" s="286"/>
      <c r="S88" s="286"/>
      <c r="T88" s="286"/>
      <c r="U88" s="286"/>
      <c r="V88" s="286"/>
      <c r="W88" s="286"/>
      <c r="X88" s="286"/>
      <c r="Y88" s="286"/>
      <c r="Z88" s="286"/>
      <c r="AA88" s="286"/>
      <c r="AB88" s="286"/>
      <c r="AC88" s="286"/>
      <c r="AD88" s="286"/>
      <c r="AE88" s="286"/>
      <c r="AF88" s="286"/>
      <c r="AG88" s="286"/>
      <c r="AH88" s="286"/>
      <c r="AI88" s="286"/>
      <c r="AJ88" s="286"/>
      <c r="AK88" s="286"/>
      <c r="AL88" s="287"/>
      <c r="AM88" s="272"/>
      <c r="AN88" s="286"/>
      <c r="AO88" s="286"/>
      <c r="AP88" s="286"/>
      <c r="AQ88" s="286"/>
      <c r="AR88" s="286"/>
      <c r="AS88" s="286"/>
      <c r="AT88" s="286"/>
      <c r="AU88" s="286"/>
      <c r="AV88" s="286"/>
      <c r="AW88" s="286"/>
      <c r="AX88" s="286"/>
      <c r="AY88" s="286"/>
      <c r="AZ88" s="286"/>
      <c r="BA88" s="286"/>
      <c r="BB88" s="286"/>
      <c r="BC88" s="286"/>
      <c r="BD88" s="286"/>
      <c r="BE88" s="286"/>
      <c r="BF88" s="286"/>
      <c r="BG88" s="286"/>
      <c r="BH88" s="286"/>
      <c r="BI88" s="286"/>
      <c r="BJ88" s="286"/>
      <c r="BK88" s="286"/>
      <c r="BL88" s="286"/>
      <c r="BM88" s="286"/>
      <c r="BN88" s="286"/>
      <c r="BO88" s="286"/>
      <c r="BP88" s="286"/>
      <c r="BQ88" s="286"/>
      <c r="BR88" s="286"/>
      <c r="BS88" s="286"/>
      <c r="BT88" s="286"/>
      <c r="BU88" s="286"/>
      <c r="BV88" s="286"/>
      <c r="BW88" s="286"/>
      <c r="BX88" s="286"/>
      <c r="BY88" s="286"/>
      <c r="BZ88" s="286"/>
      <c r="CA88" s="286"/>
      <c r="CB88" s="286"/>
      <c r="CC88" s="286"/>
      <c r="CD88" s="286"/>
      <c r="CE88" s="286"/>
      <c r="CF88" s="286"/>
      <c r="CG88" s="286"/>
      <c r="CH88" s="286"/>
      <c r="CI88" s="286"/>
      <c r="CJ88" s="286"/>
    </row>
    <row r="89" spans="1:88" ht="15" outlineLevel="2">
      <c r="B89" s="284"/>
      <c r="C89" s="283"/>
      <c r="D89" s="288" t="s">
        <v>301</v>
      </c>
      <c r="E89" s="539" t="s">
        <v>44</v>
      </c>
      <c r="F89" s="279"/>
      <c r="G89" s="279"/>
      <c r="H89" s="277" t="str">
        <f>IFERROR(INDEX(PBC_ACCOUNT_LIST[Drivers Section],MATCH(Drivers!L89,PBC_ACCOUNT_LIST[Id],0)),"")</f>
        <v>Liabilities</v>
      </c>
      <c r="I89" s="277" t="str">
        <f>IFERROR(INDEX(PBC_ACCOUNT_LIST[Summary Grouping],MATCH(Drivers!L89,PBC_ACCOUNT_LIST[Id],0)),"")</f>
        <v>Accounts Payable</v>
      </c>
      <c r="J89" s="277" t="str">
        <f>IFERROR(INDEX(PBC_ACCOUNT_LIST[Cash Flow Section],MATCH(Drivers!L89,PBC_ACCOUNT_LIST[Id],0)),"")</f>
        <v>Cash from Operating Activities</v>
      </c>
      <c r="K89" s="278" t="s">
        <v>106</v>
      </c>
      <c r="L89" s="277">
        <v>155</v>
      </c>
      <c r="M89" s="276"/>
      <c r="O89" s="272"/>
      <c r="P89" s="289">
        <f t="shared" ref="P89:S97" si="87">INDEX($AN89:$CJ89,MATCH(P$5,$AN$5:$CJ$5,0))</f>
        <v>55349.5</v>
      </c>
      <c r="Q89" s="289">
        <f t="shared" si="87"/>
        <v>55349.5</v>
      </c>
      <c r="R89" s="289">
        <f t="shared" si="87"/>
        <v>118804.0832818182</v>
      </c>
      <c r="S89" s="289">
        <f t="shared" si="87"/>
        <v>111381.40120151216</v>
      </c>
      <c r="T89" s="289"/>
      <c r="U89" s="289"/>
      <c r="V89" s="289">
        <f t="shared" ref="V89:AK97" si="88">INDEX($AN89:$CJ89,MATCH(V$5,$AN$5:$CJ$5,0))</f>
        <v>43504</v>
      </c>
      <c r="W89" s="289">
        <f t="shared" si="88"/>
        <v>48234</v>
      </c>
      <c r="X89" s="289">
        <f t="shared" si="88"/>
        <v>53477.5</v>
      </c>
      <c r="Y89" s="289">
        <f t="shared" si="88"/>
        <v>55349.5</v>
      </c>
      <c r="Z89" s="289">
        <f t="shared" si="88"/>
        <v>55349.5</v>
      </c>
      <c r="AA89" s="289">
        <f t="shared" si="88"/>
        <v>55349.5</v>
      </c>
      <c r="AB89" s="289">
        <f t="shared" si="88"/>
        <v>55349.5</v>
      </c>
      <c r="AC89" s="289">
        <f t="shared" si="88"/>
        <v>55349.5</v>
      </c>
      <c r="AD89" s="289">
        <f t="shared" si="88"/>
        <v>55349.5</v>
      </c>
      <c r="AE89" s="289">
        <f t="shared" si="88"/>
        <v>55349.5</v>
      </c>
      <c r="AF89" s="289">
        <f t="shared" si="88"/>
        <v>55349.5</v>
      </c>
      <c r="AG89" s="289">
        <f t="shared" si="88"/>
        <v>118804.0832818182</v>
      </c>
      <c r="AH89" s="289">
        <f t="shared" si="88"/>
        <v>88895.486110663274</v>
      </c>
      <c r="AI89" s="289">
        <f t="shared" si="88"/>
        <v>99759.810845031418</v>
      </c>
      <c r="AJ89" s="289">
        <f t="shared" si="88"/>
        <v>104093.6066991484</v>
      </c>
      <c r="AK89" s="289">
        <f t="shared" si="88"/>
        <v>111381.40120151216</v>
      </c>
      <c r="AL89" s="333"/>
      <c r="AM89" s="334"/>
      <c r="AN89" s="289">
        <f>SUMIFS(PBC_BALANCE_SHEET[AccountBalance], PBC_BALANCE_SHEET[Id],$L89,PBC_BALANCE_SHEET[Date],AN$5)</f>
        <v>0</v>
      </c>
      <c r="AO89" s="289">
        <f>SUMIFS(PBC_BALANCE_SHEET[AccountBalance], PBC_BALANCE_SHEET[Id],$L89,PBC_BALANCE_SHEET[Date],AO$5)</f>
        <v>37350</v>
      </c>
      <c r="AP89" s="289">
        <f>SUMIFS(PBC_BALANCE_SHEET[AccountBalance], PBC_BALANCE_SHEET[Id],$L89,PBC_BALANCE_SHEET[Date],AP$5)</f>
        <v>42033</v>
      </c>
      <c r="AQ89" s="289">
        <f>SUMIFS(PBC_BALANCE_SHEET[AccountBalance], PBC_BALANCE_SHEET[Id],$L89,PBC_BALANCE_SHEET[Date],AQ$5)</f>
        <v>43504</v>
      </c>
      <c r="AR89" s="289">
        <f>SUMIFS(PBC_BALANCE_SHEET[AccountBalance], PBC_BALANCE_SHEET[Id],$L89,PBC_BALANCE_SHEET[Date],AR$5)</f>
        <v>45027</v>
      </c>
      <c r="AS89" s="289">
        <f>SUMIFS(PBC_BALANCE_SHEET[AccountBalance], PBC_BALANCE_SHEET[Id],$L89,PBC_BALANCE_SHEET[Date],AS$5)</f>
        <v>46603</v>
      </c>
      <c r="AT89" s="289">
        <f>SUMIFS(PBC_BALANCE_SHEET[AccountBalance], PBC_BALANCE_SHEET[Id],$L89,PBC_BALANCE_SHEET[Date],AT$5)</f>
        <v>48234</v>
      </c>
      <c r="AU89" s="289">
        <f>SUMIFS(PBC_BALANCE_SHEET[AccountBalance], PBC_BALANCE_SHEET[Id],$L89,PBC_BALANCE_SHEET[Date],AU$5)</f>
        <v>49922</v>
      </c>
      <c r="AV89" s="289">
        <f>SUMIFS(PBC_BALANCE_SHEET[AccountBalance], PBC_BALANCE_SHEET[Id],$L89,PBC_BALANCE_SHEET[Date],AV$5)</f>
        <v>51669.5</v>
      </c>
      <c r="AW89" s="289">
        <f>SUMIFS(PBC_BALANCE_SHEET[AccountBalance], PBC_BALANCE_SHEET[Id],$L89,PBC_BALANCE_SHEET[Date],AW$5)</f>
        <v>53477.5</v>
      </c>
      <c r="AX89" s="289">
        <f>SUMIFS(PBC_BALANCE_SHEET[AccountBalance], PBC_BALANCE_SHEET[Id],$L89,PBC_BALANCE_SHEET[Date],AX$5)</f>
        <v>55349.5</v>
      </c>
      <c r="AY89" s="289">
        <f>SUMIFS(PBC_BALANCE_SHEET[AccountBalance], PBC_BALANCE_SHEET[Id],$L89,PBC_BALANCE_SHEET[Date],AY$5)</f>
        <v>55349.5</v>
      </c>
      <c r="AZ89" s="289">
        <f>SUMIFS(PBC_BALANCE_SHEET[AccountBalance], PBC_BALANCE_SHEET[Id],$L89,PBC_BALANCE_SHEET[Date],AZ$5)</f>
        <v>55349.5</v>
      </c>
      <c r="BA89" s="289">
        <f>SUMIFS(PBC_BALANCE_SHEET[AccountBalance], PBC_BALANCE_SHEET[Id],$L89,PBC_BALANCE_SHEET[Date],BA$5)</f>
        <v>55349.5</v>
      </c>
      <c r="BB89" s="289">
        <f>SUMIFS(PBC_BALANCE_SHEET[AccountBalance], PBC_BALANCE_SHEET[Id],$L89,PBC_BALANCE_SHEET[Date],BB$5)</f>
        <v>55349.5</v>
      </c>
      <c r="BC89" s="289">
        <f>SUMIFS(PBC_BALANCE_SHEET[AccountBalance], PBC_BALANCE_SHEET[Id],$L89,PBC_BALANCE_SHEET[Date],BC$5)</f>
        <v>55349.5</v>
      </c>
      <c r="BD89" s="289">
        <f>SUMIFS(PBC_BALANCE_SHEET[AccountBalance], PBC_BALANCE_SHEET[Id],$L89,PBC_BALANCE_SHEET[Date],BD$5)</f>
        <v>55349.5</v>
      </c>
      <c r="BE89" s="289">
        <f>SUMIFS(PBC_BALANCE_SHEET[AccountBalance], PBC_BALANCE_SHEET[Id],$L89,PBC_BALANCE_SHEET[Date],BE$5)</f>
        <v>55349.5</v>
      </c>
      <c r="BF89" s="289">
        <f>SUMIFS(PBC_BALANCE_SHEET[AccountBalance], PBC_BALANCE_SHEET[Id],$L89,PBC_BALANCE_SHEET[Date],BF$5)</f>
        <v>55349.5</v>
      </c>
      <c r="BG89" s="289">
        <f>SUMIFS(PBC_BALANCE_SHEET[AccountBalance], PBC_BALANCE_SHEET[Id],$L89,PBC_BALANCE_SHEET[Date],BG$5)</f>
        <v>55349.5</v>
      </c>
      <c r="BH89" s="289">
        <f>SUMIFS(PBC_BALANCE_SHEET[AccountBalance], PBC_BALANCE_SHEET[Id],$L89,PBC_BALANCE_SHEET[Date],BH$5)</f>
        <v>55349.5</v>
      </c>
      <c r="BI89" s="289">
        <f>SUMIFS(PBC_BALANCE_SHEET[AccountBalance], PBC_BALANCE_SHEET[Id],$L89,PBC_BALANCE_SHEET[Date],BI$5)</f>
        <v>55349.5</v>
      </c>
      <c r="BJ89" s="289">
        <f>SUMIFS(PBC_BALANCE_SHEET[AccountBalance], PBC_BALANCE_SHEET[Id],$L89,PBC_BALANCE_SHEET[Date],BJ$5)</f>
        <v>55349.5</v>
      </c>
      <c r="BK89" s="289">
        <f>SUMIFS(PBC_BALANCE_SHEET[AccountBalance], PBC_BALANCE_SHEET[Id],$L89,PBC_BALANCE_SHEET[Date],BK$5)</f>
        <v>55349.5</v>
      </c>
      <c r="BL89" s="289">
        <f>SUMIFS(PBC_BALANCE_SHEET[AccountBalance], PBC_BALANCE_SHEET[Id],$L89,PBC_BALANCE_SHEET[Date],BL$5)</f>
        <v>55349.5</v>
      </c>
      <c r="BM89" s="289">
        <f>SUMIFS(PBC_BALANCE_SHEET[AccountBalance], PBC_BALANCE_SHEET[Id],$L89,PBC_BALANCE_SHEET[Date],BM$5)</f>
        <v>55349.5</v>
      </c>
      <c r="BN89" s="289">
        <f>SUMIFS(PBC_BALANCE_SHEET[AccountBalance], PBC_BALANCE_SHEET[Id],$L89,PBC_BALANCE_SHEET[Date],BN$5)</f>
        <v>55349.5</v>
      </c>
      <c r="BO89" s="289">
        <f>SUMIFS(PBC_BALANCE_SHEET[AccountBalance], PBC_BALANCE_SHEET[Id],$L89,PBC_BALANCE_SHEET[Date],BO$5)</f>
        <v>55349.5</v>
      </c>
      <c r="BP89" s="289">
        <f>SUMIFS(PBC_BALANCE_SHEET[AccountBalance], PBC_BALANCE_SHEET[Id],$L89,PBC_BALANCE_SHEET[Date],BP$5)</f>
        <v>55349.5</v>
      </c>
      <c r="BQ89" s="289">
        <f>SUMIFS(PBC_BALANCE_SHEET[AccountBalance], PBC_BALANCE_SHEET[Id],$L89,PBC_BALANCE_SHEET[Date],BQ$5)</f>
        <v>55349.5</v>
      </c>
      <c r="BR89" s="289">
        <f>SUMIFS(PBC_BALANCE_SHEET[AccountBalance], PBC_BALANCE_SHEET[Id],$L89,PBC_BALANCE_SHEET[Date],BR$5)</f>
        <v>55349.5</v>
      </c>
      <c r="BS89" s="289">
        <f>SUMIFS(PBC_BALANCE_SHEET[AccountBalance], PBC_BALANCE_SHEET[Id],$L89,PBC_BALANCE_SHEET[Date],BS$5)</f>
        <v>55349.5</v>
      </c>
      <c r="BT89" s="289">
        <f>SUMIFS(PBC_BALANCE_SHEET[AccountBalance], PBC_BALANCE_SHEET[Id],$L89,PBC_BALANCE_SHEET[Date],BT$5)</f>
        <v>55349.5</v>
      </c>
      <c r="BU89" s="289">
        <f>SUMIFS(PBC_BALANCE_SHEET[AccountBalance], PBC_BALANCE_SHEET[Id],$L89,PBC_BALANCE_SHEET[Date],BU$5)</f>
        <v>55349.5</v>
      </c>
      <c r="BV89" s="289">
        <f>SUMIFS(PBC_BALANCE_SHEET[AccountBalance], PBC_BALANCE_SHEET[Id],$L89,PBC_BALANCE_SHEET[Date],BV$5)</f>
        <v>55349.5</v>
      </c>
      <c r="BW89" s="289">
        <f>SUMIFS(PBC_BALANCE_SHEET[AccountBalance], PBC_BALANCE_SHEET[Id],$L89,PBC_BALANCE_SHEET[Date],BW$5)</f>
        <v>55349.5</v>
      </c>
      <c r="BX89" s="541">
        <f>SUMIFS(AP!BN$144:BN$145,AP!$E$144:$E$145,$L89)</f>
        <v>118804.0832818182</v>
      </c>
      <c r="BY89" s="541">
        <f>SUMIFS(AP!BO$144:BO$145,AP!$E$144:$E$145,$L89)</f>
        <v>99863.107246787215</v>
      </c>
      <c r="BZ89" s="541">
        <f>SUMIFS(AP!BP$144:BP$145,AP!$E$144:$E$145,$L89)</f>
        <v>87543.935255415185</v>
      </c>
      <c r="CA89" s="541">
        <f>SUMIFS(AP!BQ$144:BQ$145,AP!$E$144:$E$145,$L89)</f>
        <v>88895.486110663274</v>
      </c>
      <c r="CB89" s="541">
        <f>SUMIFS(AP!BR$144:BR$145,AP!$E$144:$E$145,$L89)</f>
        <v>97430.048159655038</v>
      </c>
      <c r="CC89" s="541">
        <f>SUMIFS(AP!BS$144:BS$145,AP!$E$144:$E$145,$L89)</f>
        <v>98280.388463798256</v>
      </c>
      <c r="CD89" s="541">
        <f>SUMIFS(AP!BT$144:BT$145,AP!$E$144:$E$145,$L89)</f>
        <v>99759.810845031418</v>
      </c>
      <c r="CE89" s="541">
        <f>SUMIFS(AP!BU$144:BU$145,AP!$E$144:$E$145,$L89)</f>
        <v>102002.91827537332</v>
      </c>
      <c r="CF89" s="541">
        <f>SUMIFS(AP!BV$144:BV$145,AP!$E$144:$E$145,$L89)</f>
        <v>103086.65220098443</v>
      </c>
      <c r="CG89" s="541">
        <f>SUMIFS(AP!BW$144:BW$145,AP!$E$144:$E$145,$L89)</f>
        <v>104093.6066991484</v>
      </c>
      <c r="CH89" s="541">
        <f>SUMIFS(AP!BX$144:BX$145,AP!$E$144:$E$145,$L89)</f>
        <v>105039.42272510206</v>
      </c>
      <c r="CI89" s="541">
        <f>SUMIFS(AP!BY$144:BY$145,AP!$E$144:$E$145,$L89)</f>
        <v>105949.63869410295</v>
      </c>
      <c r="CJ89" s="541">
        <f>SUMIFS(AP!BZ$144:BZ$145,AP!$E$144:$E$145,$L89)</f>
        <v>111381.40120151216</v>
      </c>
    </row>
    <row r="90" spans="1:88" ht="15" outlineLevel="2">
      <c r="B90" s="284"/>
      <c r="C90" s="283"/>
      <c r="D90" s="288" t="s">
        <v>306</v>
      </c>
      <c r="E90" s="280" t="s">
        <v>358</v>
      </c>
      <c r="F90" s="279"/>
      <c r="G90" s="279"/>
      <c r="H90" s="277" t="str">
        <f>IFERROR(INDEX(PBC_ACCOUNT_LIST[Drivers Section],MATCH(Drivers!L90,PBC_ACCOUNT_LIST[Id],0)),"")</f>
        <v>Liabilities</v>
      </c>
      <c r="I90" s="277" t="str">
        <f>IFERROR(INDEX(PBC_ACCOUNT_LIST[Summary Grouping],MATCH(Drivers!L90,PBC_ACCOUNT_LIST[Id],0)),"")</f>
        <v>Current Liabilities</v>
      </c>
      <c r="J90" s="277" t="str">
        <f>IFERROR(INDEX(PBC_ACCOUNT_LIST[Cash Flow Section],MATCH(Drivers!L90,PBC_ACCOUNT_LIST[Id],0)),"")</f>
        <v>Cash from Operating Activities</v>
      </c>
      <c r="K90" s="278" t="s">
        <v>106</v>
      </c>
      <c r="L90" s="277">
        <v>156</v>
      </c>
      <c r="M90" s="276"/>
      <c r="O90" s="272"/>
      <c r="P90" s="289">
        <f t="shared" si="87"/>
        <v>1624.5</v>
      </c>
      <c r="Q90" s="289">
        <f t="shared" si="87"/>
        <v>1624.5</v>
      </c>
      <c r="R90" s="289">
        <f t="shared" si="87"/>
        <v>1624.5</v>
      </c>
      <c r="S90" s="289">
        <f t="shared" si="87"/>
        <v>1624.5</v>
      </c>
      <c r="T90" s="289"/>
      <c r="U90" s="289"/>
      <c r="V90" s="289">
        <f t="shared" si="88"/>
        <v>1026</v>
      </c>
      <c r="W90" s="289">
        <f t="shared" si="88"/>
        <v>1160.5</v>
      </c>
      <c r="X90" s="289">
        <f t="shared" si="88"/>
        <v>1940.5</v>
      </c>
      <c r="Y90" s="289">
        <f t="shared" si="88"/>
        <v>1624.5</v>
      </c>
      <c r="Z90" s="289">
        <f t="shared" si="88"/>
        <v>1624.5</v>
      </c>
      <c r="AA90" s="289">
        <f t="shared" si="88"/>
        <v>1624.5</v>
      </c>
      <c r="AB90" s="289">
        <f t="shared" si="88"/>
        <v>1624.5</v>
      </c>
      <c r="AC90" s="289">
        <f t="shared" si="88"/>
        <v>1624.5</v>
      </c>
      <c r="AD90" s="289">
        <f t="shared" si="88"/>
        <v>1624.5</v>
      </c>
      <c r="AE90" s="289">
        <f t="shared" si="88"/>
        <v>1624.5</v>
      </c>
      <c r="AF90" s="289">
        <f t="shared" si="88"/>
        <v>1624.5</v>
      </c>
      <c r="AG90" s="289">
        <f t="shared" si="88"/>
        <v>1624.5</v>
      </c>
      <c r="AH90" s="289">
        <f t="shared" si="88"/>
        <v>1624.5</v>
      </c>
      <c r="AI90" s="289">
        <f t="shared" si="88"/>
        <v>1624.5</v>
      </c>
      <c r="AJ90" s="289">
        <f t="shared" si="88"/>
        <v>1624.5</v>
      </c>
      <c r="AK90" s="289">
        <f t="shared" si="88"/>
        <v>1624.5</v>
      </c>
      <c r="AL90" s="333"/>
      <c r="AM90" s="334"/>
      <c r="AN90" s="289">
        <f>SUMIFS(PBC_BALANCE_SHEET[AccountBalance], PBC_BALANCE_SHEET[Id],$L90,PBC_BALANCE_SHEET[Date],AN$5)</f>
        <v>0</v>
      </c>
      <c r="AO90" s="289">
        <f>SUMIFS(PBC_BALANCE_SHEET[AccountBalance], PBC_BALANCE_SHEET[Id],$L90,PBC_BALANCE_SHEET[Date],AO$5)</f>
        <v>2942</v>
      </c>
      <c r="AP90" s="289">
        <f>SUMIFS(PBC_BALANCE_SHEET[AccountBalance], PBC_BALANCE_SHEET[Id],$L90,PBC_BALANCE_SHEET[Date],AP$5)</f>
        <v>1584</v>
      </c>
      <c r="AQ90" s="289">
        <f>SUMIFS(PBC_BALANCE_SHEET[AccountBalance], PBC_BALANCE_SHEET[Id],$L90,PBC_BALANCE_SHEET[Date],AQ$5)</f>
        <v>1026</v>
      </c>
      <c r="AR90" s="289">
        <f>SUMIFS(PBC_BALANCE_SHEET[AccountBalance], PBC_BALANCE_SHEET[Id],$L90,PBC_BALANCE_SHEET[Date],AR$5)</f>
        <v>1024</v>
      </c>
      <c r="AS90" s="289">
        <f>SUMIFS(PBC_BALANCE_SHEET[AccountBalance], PBC_BALANCE_SHEET[Id],$L90,PBC_BALANCE_SHEET[Date],AS$5)</f>
        <v>2667</v>
      </c>
      <c r="AT90" s="289">
        <f>SUMIFS(PBC_BALANCE_SHEET[AccountBalance], PBC_BALANCE_SHEET[Id],$L90,PBC_BALANCE_SHEET[Date],AT$5)</f>
        <v>1160.5</v>
      </c>
      <c r="AU90" s="289">
        <f>SUMIFS(PBC_BALANCE_SHEET[AccountBalance], PBC_BALANCE_SHEET[Id],$L90,PBC_BALANCE_SHEET[Date],AU$5)</f>
        <v>2328.5</v>
      </c>
      <c r="AV90" s="289">
        <f>SUMIFS(PBC_BALANCE_SHEET[AccountBalance], PBC_BALANCE_SHEET[Id],$L90,PBC_BALANCE_SHEET[Date],AV$5)</f>
        <v>2690.5</v>
      </c>
      <c r="AW90" s="289">
        <f>SUMIFS(PBC_BALANCE_SHEET[AccountBalance], PBC_BALANCE_SHEET[Id],$L90,PBC_BALANCE_SHEET[Date],AW$5)</f>
        <v>1940.5</v>
      </c>
      <c r="AX90" s="289">
        <f>SUMIFS(PBC_BALANCE_SHEET[AccountBalance], PBC_BALANCE_SHEET[Id],$L90,PBC_BALANCE_SHEET[Date],AX$5)</f>
        <v>1624.5</v>
      </c>
      <c r="AY90" s="289">
        <f>SUMIFS(PBC_BALANCE_SHEET[AccountBalance], PBC_BALANCE_SHEET[Id],$L90,PBC_BALANCE_SHEET[Date],AY$5)</f>
        <v>1624.5</v>
      </c>
      <c r="AZ90" s="289">
        <f>SUMIFS(PBC_BALANCE_SHEET[AccountBalance], PBC_BALANCE_SHEET[Id],$L90,PBC_BALANCE_SHEET[Date],AZ$5)</f>
        <v>1624.5</v>
      </c>
      <c r="BA90" s="289">
        <f>SUMIFS(PBC_BALANCE_SHEET[AccountBalance], PBC_BALANCE_SHEET[Id],$L90,PBC_BALANCE_SHEET[Date],BA$5)</f>
        <v>1624.5</v>
      </c>
      <c r="BB90" s="289">
        <f>SUMIFS(PBC_BALANCE_SHEET[AccountBalance], PBC_BALANCE_SHEET[Id],$L90,PBC_BALANCE_SHEET[Date],BB$5)</f>
        <v>1624.5</v>
      </c>
      <c r="BC90" s="289">
        <f>SUMIFS(PBC_BALANCE_SHEET[AccountBalance], PBC_BALANCE_SHEET[Id],$L90,PBC_BALANCE_SHEET[Date],BC$5)</f>
        <v>1624.5</v>
      </c>
      <c r="BD90" s="289">
        <f>SUMIFS(PBC_BALANCE_SHEET[AccountBalance], PBC_BALANCE_SHEET[Id],$L90,PBC_BALANCE_SHEET[Date],BD$5)</f>
        <v>1624.5</v>
      </c>
      <c r="BE90" s="289">
        <f>SUMIFS(PBC_BALANCE_SHEET[AccountBalance], PBC_BALANCE_SHEET[Id],$L90,PBC_BALANCE_SHEET[Date],BE$5)</f>
        <v>1624.5</v>
      </c>
      <c r="BF90" s="289">
        <f>SUMIFS(PBC_BALANCE_SHEET[AccountBalance], PBC_BALANCE_SHEET[Id],$L90,PBC_BALANCE_SHEET[Date],BF$5)</f>
        <v>1624.5</v>
      </c>
      <c r="BG90" s="289">
        <f>SUMIFS(PBC_BALANCE_SHEET[AccountBalance], PBC_BALANCE_SHEET[Id],$L90,PBC_BALANCE_SHEET[Date],BG$5)</f>
        <v>1624.5</v>
      </c>
      <c r="BH90" s="289">
        <f>SUMIFS(PBC_BALANCE_SHEET[AccountBalance], PBC_BALANCE_SHEET[Id],$L90,PBC_BALANCE_SHEET[Date],BH$5)</f>
        <v>1624.5</v>
      </c>
      <c r="BI90" s="289">
        <f>SUMIFS(PBC_BALANCE_SHEET[AccountBalance], PBC_BALANCE_SHEET[Id],$L90,PBC_BALANCE_SHEET[Date],BI$5)</f>
        <v>1624.5</v>
      </c>
      <c r="BJ90" s="289">
        <f>SUMIFS(PBC_BALANCE_SHEET[AccountBalance], PBC_BALANCE_SHEET[Id],$L90,PBC_BALANCE_SHEET[Date],BJ$5)</f>
        <v>1624.5</v>
      </c>
      <c r="BK90" s="289">
        <f>SUMIFS(PBC_BALANCE_SHEET[AccountBalance], PBC_BALANCE_SHEET[Id],$L90,PBC_BALANCE_SHEET[Date],BK$5)</f>
        <v>1624.5</v>
      </c>
      <c r="BL90" s="289">
        <f>SUMIFS(PBC_BALANCE_SHEET[AccountBalance], PBC_BALANCE_SHEET[Id],$L90,PBC_BALANCE_SHEET[Date],BL$5)</f>
        <v>1624.5</v>
      </c>
      <c r="BM90" s="289">
        <f>SUMIFS(PBC_BALANCE_SHEET[AccountBalance], PBC_BALANCE_SHEET[Id],$L90,PBC_BALANCE_SHEET[Date],BM$5)</f>
        <v>1624.5</v>
      </c>
      <c r="BN90" s="289">
        <f>SUMIFS(PBC_BALANCE_SHEET[AccountBalance], PBC_BALANCE_SHEET[Id],$L90,PBC_BALANCE_SHEET[Date],BN$5)</f>
        <v>1624.5</v>
      </c>
      <c r="BO90" s="289">
        <f>SUMIFS(PBC_BALANCE_SHEET[AccountBalance], PBC_BALANCE_SHEET[Id],$L90,PBC_BALANCE_SHEET[Date],BO$5)</f>
        <v>1624.5</v>
      </c>
      <c r="BP90" s="289">
        <f>SUMIFS(PBC_BALANCE_SHEET[AccountBalance], PBC_BALANCE_SHEET[Id],$L90,PBC_BALANCE_SHEET[Date],BP$5)</f>
        <v>1624.5</v>
      </c>
      <c r="BQ90" s="289">
        <f>SUMIFS(PBC_BALANCE_SHEET[AccountBalance], PBC_BALANCE_SHEET[Id],$L90,PBC_BALANCE_SHEET[Date],BQ$5)</f>
        <v>1624.5</v>
      </c>
      <c r="BR90" s="289">
        <f>SUMIFS(PBC_BALANCE_SHEET[AccountBalance], PBC_BALANCE_SHEET[Id],$L90,PBC_BALANCE_SHEET[Date],BR$5)</f>
        <v>1624.5</v>
      </c>
      <c r="BS90" s="289">
        <f>SUMIFS(PBC_BALANCE_SHEET[AccountBalance], PBC_BALANCE_SHEET[Id],$L90,PBC_BALANCE_SHEET[Date],BS$5)</f>
        <v>1624.5</v>
      </c>
      <c r="BT90" s="289">
        <f>SUMIFS(PBC_BALANCE_SHEET[AccountBalance], PBC_BALANCE_SHEET[Id],$L90,PBC_BALANCE_SHEET[Date],BT$5)</f>
        <v>1624.5</v>
      </c>
      <c r="BU90" s="289">
        <f>SUMIFS(PBC_BALANCE_SHEET[AccountBalance], PBC_BALANCE_SHEET[Id],$L90,PBC_BALANCE_SHEET[Date],BU$5)</f>
        <v>1624.5</v>
      </c>
      <c r="BV90" s="289">
        <f>SUMIFS(PBC_BALANCE_SHEET[AccountBalance], PBC_BALANCE_SHEET[Id],$L90,PBC_BALANCE_SHEET[Date],BV$5)</f>
        <v>1624.5</v>
      </c>
      <c r="BW90" s="289">
        <f>SUMIFS(PBC_BALANCE_SHEET[AccountBalance], PBC_BALANCE_SHEET[Id],$L90,PBC_BALANCE_SHEET[Date],BW$5)</f>
        <v>1624.5</v>
      </c>
      <c r="BX90" s="335" cm="1">
        <f t="array" ref="BX90">_xlfn.SWITCH(
    $E90,
    "3 month avg", AVERAGE(BU90:BW90) * (1 + $F90),
    "6 month avg", AVERAGE(BR90:BW90) * (1 + $F90),
    "12 month avg", AVERAGE(BM90:BW90) * (1 + $F90),
    "Prior Month",BW90* (1 + $F90),
    "Prior Year", BL90* (1 + $F90),
    "Monthly assumption",$G90* (1 + $F90),
    "Quarterly assumption",$G90/3* (1 + $F90),
    "Annual assumption",$G90/12* (1 + $F90),
    "% of Revenue",SUM(_xlfn._xlws.FILTER(_xlfn._xlws.FILTER(dataSummaryPL,dataSummaryPLSections="Revenue"),(startDates&gt;=BX$4)*(endDates&lt;=BX$5)))*$F90,
    "Custom",0,
    "0",0,
        0
)</f>
        <v>1624.5</v>
      </c>
      <c r="BY90" s="335" cm="1">
        <f t="array" ref="BY90">_xlfn.SWITCH(
    $E90,
    "3 month avg", AVERAGE(BV90:BX90) * (1 + $F90),
    "6 month avg", AVERAGE(BS90:BX90) * (1 + $F90),
    "12 month avg", AVERAGE(BN90:BX90) * (1 + $F90),
    "Prior Month",BX90* (1 + $F90),
    "Prior Year", BM90* (1 + $F90),
    "Monthly assumption",$G90* (1 + $F90),
    "Quarterly assumption",$G90/3* (1 + $F90),
    "Annual assumption",$G90/12* (1 + $F90),
    "% of Revenue",SUM(_xlfn._xlws.FILTER(_xlfn._xlws.FILTER(dataSummaryPL,dataSummaryPLSections="Revenue"),(startDates&gt;=BY$4)*(endDates&lt;=BY$5)))*$F90,
    "Custom",0,
    "0",0,
        0
)</f>
        <v>1624.5</v>
      </c>
      <c r="BZ90" s="335" cm="1">
        <f t="array" ref="BZ90">_xlfn.SWITCH(
    $E90,
    "3 month avg", AVERAGE(BW90:BY90) * (1 + $F90),
    "6 month avg", AVERAGE(BT90:BY90) * (1 + $F90),
    "12 month avg", AVERAGE(BO90:BY90) * (1 + $F90),
    "Prior Month",BY90* (1 + $F90),
    "Prior Year", BN90* (1 + $F90),
    "Monthly assumption",$G90* (1 + $F90),
    "Quarterly assumption",$G90/3* (1 + $F90),
    "Annual assumption",$G90/12* (1 + $F90),
    "% of Revenue",SUM(_xlfn._xlws.FILTER(_xlfn._xlws.FILTER(dataSummaryPL,dataSummaryPLSections="Revenue"),(startDates&gt;=BZ$4)*(endDates&lt;=BZ$5)))*$F90,
    "Custom",0,
    "0",0,
        0
)</f>
        <v>1624.5</v>
      </c>
      <c r="CA90" s="335" cm="1">
        <f t="array" ref="CA90">_xlfn.SWITCH(
    $E90,
    "3 month avg", AVERAGE(BX90:BZ90) * (1 + $F90),
    "6 month avg", AVERAGE(BU90:BZ90) * (1 + $F90),
    "12 month avg", AVERAGE(BP90:BZ90) * (1 + $F90),
    "Prior Month",BZ90* (1 + $F90),
    "Prior Year", BO90* (1 + $F90),
    "Monthly assumption",$G90* (1 + $F90),
    "Quarterly assumption",$G90/3* (1 + $F90),
    "Annual assumption",$G90/12* (1 + $F90),
    "% of Revenue",SUM(_xlfn._xlws.FILTER(_xlfn._xlws.FILTER(dataSummaryPL,dataSummaryPLSections="Revenue"),(startDates&gt;=CA$4)*(endDates&lt;=CA$5)))*$F90,
    "Custom",0,
    "0",0,
        0
)</f>
        <v>1624.5</v>
      </c>
      <c r="CB90" s="335" cm="1">
        <f t="array" ref="CB90">_xlfn.SWITCH(
    $E90,
    "3 month avg", AVERAGE(BY90:CA90) * (1 + $F90),
    "6 month avg", AVERAGE(BV90:CA90) * (1 + $F90),
    "12 month avg", AVERAGE(BQ90:CA90) * (1 + $F90),
    "Prior Month",CA90* (1 + $F90),
    "Prior Year", BP90* (1 + $F90),
    "Monthly assumption",$G90* (1 + $F90),
    "Quarterly assumption",$G90/3* (1 + $F90),
    "Annual assumption",$G90/12* (1 + $F90),
    "% of Revenue",SUM(_xlfn._xlws.FILTER(_xlfn._xlws.FILTER(dataSummaryPL,dataSummaryPLSections="Revenue"),(startDates&gt;=CB$4)*(endDates&lt;=CB$5)))*$F90,
    "Custom",0,
    "0",0,
        0
)</f>
        <v>1624.5</v>
      </c>
      <c r="CC90" s="335" cm="1">
        <f t="array" ref="CC90">_xlfn.SWITCH(
    $E90,
    "3 month avg", AVERAGE(BZ90:CB90) * (1 + $F90),
    "6 month avg", AVERAGE(BW90:CB90) * (1 + $F90),
    "12 month avg", AVERAGE(BR90:CB90) * (1 + $F90),
    "Prior Month",CB90* (1 + $F90),
    "Prior Year", BQ90* (1 + $F90),
    "Monthly assumption",$G90* (1 + $F90),
    "Quarterly assumption",$G90/3* (1 + $F90),
    "Annual assumption",$G90/12* (1 + $F90),
    "% of Revenue",SUM(_xlfn._xlws.FILTER(_xlfn._xlws.FILTER(dataSummaryPL,dataSummaryPLSections="Revenue"),(startDates&gt;=CC$4)*(endDates&lt;=CC$5)))*$F90,
    "Custom",0,
    "0",0,
        0
)</f>
        <v>1624.5</v>
      </c>
      <c r="CD90" s="335" cm="1">
        <f t="array" ref="CD90">_xlfn.SWITCH(
    $E90,
    "3 month avg", AVERAGE(CA90:CC90) * (1 + $F90),
    "6 month avg", AVERAGE(BX90:CC90) * (1 + $F90),
    "12 month avg", AVERAGE(BS90:CC90) * (1 + $F90),
    "Prior Month",CC90* (1 + $F90),
    "Prior Year", BR90* (1 + $F90),
    "Monthly assumption",$G90* (1 + $F90),
    "Quarterly assumption",$G90/3* (1 + $F90),
    "Annual assumption",$G90/12* (1 + $F90),
    "% of Revenue",SUM(_xlfn._xlws.FILTER(_xlfn._xlws.FILTER(dataSummaryPL,dataSummaryPLSections="Revenue"),(startDates&gt;=CD$4)*(endDates&lt;=CD$5)))*$F90,
    "Custom",0,
    "0",0,
        0
)</f>
        <v>1624.5</v>
      </c>
      <c r="CE90" s="335" cm="1">
        <f t="array" ref="CE90">_xlfn.SWITCH(
    $E90,
    "3 month avg", AVERAGE(CB90:CD90) * (1 + $F90),
    "6 month avg", AVERAGE(BY90:CD90) * (1 + $F90),
    "12 month avg", AVERAGE(BT90:CD90) * (1 + $F90),
    "Prior Month",CD90* (1 + $F90),
    "Prior Year", BS90* (1 + $F90),
    "Monthly assumption",$G90* (1 + $F90),
    "Quarterly assumption",$G90/3* (1 + $F90),
    "Annual assumption",$G90/12* (1 + $F90),
    "% of Revenue",SUM(_xlfn._xlws.FILTER(_xlfn._xlws.FILTER(dataSummaryPL,dataSummaryPLSections="Revenue"),(startDates&gt;=CE$4)*(endDates&lt;=CE$5)))*$F90,
    "Custom",0,
    "0",0,
        0
)</f>
        <v>1624.5</v>
      </c>
      <c r="CF90" s="335" cm="1">
        <f t="array" ref="CF90">_xlfn.SWITCH(
    $E90,
    "3 month avg", AVERAGE(CC90:CE90) * (1 + $F90),
    "6 month avg", AVERAGE(BZ90:CE90) * (1 + $F90),
    "12 month avg", AVERAGE(BU90:CE90) * (1 + $F90),
    "Prior Month",CE90* (1 + $F90),
    "Prior Year", BT90* (1 + $F90),
    "Monthly assumption",$G90* (1 + $F90),
    "Quarterly assumption",$G90/3* (1 + $F90),
    "Annual assumption",$G90/12* (1 + $F90),
    "% of Revenue",SUM(_xlfn._xlws.FILTER(_xlfn._xlws.FILTER(dataSummaryPL,dataSummaryPLSections="Revenue"),(startDates&gt;=CF$4)*(endDates&lt;=CF$5)))*$F90,
    "Custom",0,
    "0",0,
        0
)</f>
        <v>1624.5</v>
      </c>
      <c r="CG90" s="335" cm="1">
        <f t="array" ref="CG90">_xlfn.SWITCH(
    $E90,
    "3 month avg", AVERAGE(CD90:CF90) * (1 + $F90),
    "6 month avg", AVERAGE(CA90:CF90) * (1 + $F90),
    "12 month avg", AVERAGE(BV90:CF90) * (1 + $F90),
    "Prior Month",CF90* (1 + $F90),
    "Prior Year", BU90* (1 + $F90),
    "Monthly assumption",$G90* (1 + $F90),
    "Quarterly assumption",$G90/3* (1 + $F90),
    "Annual assumption",$G90/12* (1 + $F90),
    "% of Revenue",SUM(_xlfn._xlws.FILTER(_xlfn._xlws.FILTER(dataSummaryPL,dataSummaryPLSections="Revenue"),(startDates&gt;=CG$4)*(endDates&lt;=CG$5)))*$F90,
    "Custom",0,
    "0",0,
        0
)</f>
        <v>1624.5</v>
      </c>
      <c r="CH90" s="335" cm="1">
        <f t="array" ref="CH90">_xlfn.SWITCH(
    $E90,
    "3 month avg", AVERAGE(CE90:CG90) * (1 + $F90),
    "6 month avg", AVERAGE(CB90:CG90) * (1 + $F90),
    "12 month avg", AVERAGE(BW90:CG90) * (1 + $F90),
    "Prior Month",CG90* (1 + $F90),
    "Prior Year", BV90* (1 + $F90),
    "Monthly assumption",$G90* (1 + $F90),
    "Quarterly assumption",$G90/3* (1 + $F90),
    "Annual assumption",$G90/12* (1 + $F90),
    "% of Revenue",SUM(_xlfn._xlws.FILTER(_xlfn._xlws.FILTER(dataSummaryPL,dataSummaryPLSections="Revenue"),(startDates&gt;=CH$4)*(endDates&lt;=CH$5)))*$F90,
    "Custom",0,
    "0",0,
        0
)</f>
        <v>1624.5</v>
      </c>
      <c r="CI90" s="335" cm="1">
        <f t="array" ref="CI90">_xlfn.SWITCH(
    $E90,
    "3 month avg", AVERAGE(CF90:CH90) * (1 + $F90),
    "6 month avg", AVERAGE(CC90:CH90) * (1 + $F90),
    "12 month avg", AVERAGE(BX90:CH90) * (1 + $F90),
    "Prior Month",CH90* (1 + $F90),
    "Prior Year", BW90* (1 + $F90),
    "Monthly assumption",$G90* (1 + $F90),
    "Quarterly assumption",$G90/3* (1 + $F90),
    "Annual assumption",$G90/12* (1 + $F90),
    "% of Revenue",SUM(_xlfn._xlws.FILTER(_xlfn._xlws.FILTER(dataSummaryPL,dataSummaryPLSections="Revenue"),(startDates&gt;=CI$4)*(endDates&lt;=CI$5)))*$F90,
    "Custom",0,
    "0",0,
        0
)</f>
        <v>1624.5</v>
      </c>
      <c r="CJ90" s="335" cm="1">
        <f t="array" ref="CJ90">_xlfn.SWITCH(
    $E90,
    "3 month avg", AVERAGE(CG90:CI90) * (1 + $F90),
    "6 month avg", AVERAGE(CD90:CI90) * (1 + $F90),
    "12 month avg", AVERAGE(BY90:CI90) * (1 + $F90),
    "Prior Month",CI90* (1 + $F90),
    "Prior Year", BX90* (1 + $F90),
    "Monthly assumption",$G90* (1 + $F90),
    "Quarterly assumption",$G90/3* (1 + $F90),
    "Annual assumption",$G90/12* (1 + $F90),
    "% of Revenue",SUM(_xlfn._xlws.FILTER(_xlfn._xlws.FILTER(dataSummaryPL,dataSummaryPLSections="Revenue"),(startDates&gt;=CJ$4)*(endDates&lt;=CJ$5)))*$F90,
    "Custom",0,
    "0",0,
        0
)</f>
        <v>1624.5</v>
      </c>
    </row>
    <row r="91" spans="1:88" ht="15" outlineLevel="2">
      <c r="B91" s="284"/>
      <c r="C91" s="283"/>
      <c r="D91" s="288" t="s">
        <v>307</v>
      </c>
      <c r="E91" s="280" t="s">
        <v>358</v>
      </c>
      <c r="F91" s="279"/>
      <c r="G91" s="279"/>
      <c r="H91" s="277" t="str">
        <f>IFERROR(INDEX(PBC_ACCOUNT_LIST[Drivers Section],MATCH(Drivers!L91,PBC_ACCOUNT_LIST[Id],0)),"")</f>
        <v>Liabilities</v>
      </c>
      <c r="I91" s="277" t="str">
        <f>IFERROR(INDEX(PBC_ACCOUNT_LIST[Summary Grouping],MATCH(Drivers!L91,PBC_ACCOUNT_LIST[Id],0)),"")</f>
        <v>Current Liabilities</v>
      </c>
      <c r="J91" s="277" t="str">
        <f>IFERROR(INDEX(PBC_ACCOUNT_LIST[Cash Flow Section],MATCH(Drivers!L91,PBC_ACCOUNT_LIST[Id],0)),"")</f>
        <v>Cash from Operating Activities</v>
      </c>
      <c r="K91" s="278" t="s">
        <v>106</v>
      </c>
      <c r="L91" s="277">
        <v>157</v>
      </c>
      <c r="M91" s="276"/>
      <c r="O91" s="272"/>
      <c r="P91" s="289">
        <f t="shared" si="87"/>
        <v>1353.5</v>
      </c>
      <c r="Q91" s="289">
        <f t="shared" si="87"/>
        <v>1353.5</v>
      </c>
      <c r="R91" s="289">
        <f t="shared" si="87"/>
        <v>1353.5</v>
      </c>
      <c r="S91" s="289">
        <f t="shared" si="87"/>
        <v>1353.5</v>
      </c>
      <c r="T91" s="289"/>
      <c r="U91" s="289"/>
      <c r="V91" s="289">
        <f t="shared" si="88"/>
        <v>676</v>
      </c>
      <c r="W91" s="289">
        <f t="shared" si="88"/>
        <v>1486.5</v>
      </c>
      <c r="X91" s="289">
        <f t="shared" si="88"/>
        <v>3274.5</v>
      </c>
      <c r="Y91" s="289">
        <f t="shared" si="88"/>
        <v>1353.5</v>
      </c>
      <c r="Z91" s="289">
        <f t="shared" si="88"/>
        <v>1353.5</v>
      </c>
      <c r="AA91" s="289">
        <f t="shared" si="88"/>
        <v>1353.5</v>
      </c>
      <c r="AB91" s="289">
        <f t="shared" si="88"/>
        <v>1353.5</v>
      </c>
      <c r="AC91" s="289">
        <f t="shared" si="88"/>
        <v>1353.5</v>
      </c>
      <c r="AD91" s="289">
        <f t="shared" si="88"/>
        <v>1353.5</v>
      </c>
      <c r="AE91" s="289">
        <f t="shared" si="88"/>
        <v>1353.5</v>
      </c>
      <c r="AF91" s="289">
        <f t="shared" si="88"/>
        <v>1353.5</v>
      </c>
      <c r="AG91" s="289">
        <f t="shared" si="88"/>
        <v>1353.5</v>
      </c>
      <c r="AH91" s="289">
        <f t="shared" si="88"/>
        <v>1353.5</v>
      </c>
      <c r="AI91" s="289">
        <f t="shared" si="88"/>
        <v>1353.5</v>
      </c>
      <c r="AJ91" s="289">
        <f t="shared" si="88"/>
        <v>1353.5</v>
      </c>
      <c r="AK91" s="289">
        <f t="shared" si="88"/>
        <v>1353.5</v>
      </c>
      <c r="AL91" s="333"/>
      <c r="AM91" s="334"/>
      <c r="AN91" s="289">
        <f>SUMIFS(PBC_BALANCE_SHEET[AccountBalance], PBC_BALANCE_SHEET[Id],$L91,PBC_BALANCE_SHEET[Date],AN$5)</f>
        <v>0</v>
      </c>
      <c r="AO91" s="289">
        <f>SUMIFS(PBC_BALANCE_SHEET[AccountBalance], PBC_BALANCE_SHEET[Id],$L91,PBC_BALANCE_SHEET[Date],AO$5)</f>
        <v>2150</v>
      </c>
      <c r="AP91" s="289">
        <f>SUMIFS(PBC_BALANCE_SHEET[AccountBalance], PBC_BALANCE_SHEET[Id],$L91,PBC_BALANCE_SHEET[Date],AP$5)</f>
        <v>3394</v>
      </c>
      <c r="AQ91" s="289">
        <f>SUMIFS(PBC_BALANCE_SHEET[AccountBalance], PBC_BALANCE_SHEET[Id],$L91,PBC_BALANCE_SHEET[Date],AQ$5)</f>
        <v>676</v>
      </c>
      <c r="AR91" s="289">
        <f>SUMIFS(PBC_BALANCE_SHEET[AccountBalance], PBC_BALANCE_SHEET[Id],$L91,PBC_BALANCE_SHEET[Date],AR$5)</f>
        <v>2390</v>
      </c>
      <c r="AS91" s="289">
        <f>SUMIFS(PBC_BALANCE_SHEET[AccountBalance], PBC_BALANCE_SHEET[Id],$L91,PBC_BALANCE_SHEET[Date],AS$5)</f>
        <v>1981</v>
      </c>
      <c r="AT91" s="289">
        <f>SUMIFS(PBC_BALANCE_SHEET[AccountBalance], PBC_BALANCE_SHEET[Id],$L91,PBC_BALANCE_SHEET[Date],AT$5)</f>
        <v>1486.5</v>
      </c>
      <c r="AU91" s="289">
        <f>SUMIFS(PBC_BALANCE_SHEET[AccountBalance], PBC_BALANCE_SHEET[Id],$L91,PBC_BALANCE_SHEET[Date],AU$5)</f>
        <v>433.5</v>
      </c>
      <c r="AV91" s="289">
        <f>SUMIFS(PBC_BALANCE_SHEET[AccountBalance], PBC_BALANCE_SHEET[Id],$L91,PBC_BALANCE_SHEET[Date],AV$5)</f>
        <v>2928.5</v>
      </c>
      <c r="AW91" s="289">
        <f>SUMIFS(PBC_BALANCE_SHEET[AccountBalance], PBC_BALANCE_SHEET[Id],$L91,PBC_BALANCE_SHEET[Date],AW$5)</f>
        <v>3274.5</v>
      </c>
      <c r="AX91" s="289">
        <f>SUMIFS(PBC_BALANCE_SHEET[AccountBalance], PBC_BALANCE_SHEET[Id],$L91,PBC_BALANCE_SHEET[Date],AX$5)</f>
        <v>1353.5</v>
      </c>
      <c r="AY91" s="289">
        <f>SUMIFS(PBC_BALANCE_SHEET[AccountBalance], PBC_BALANCE_SHEET[Id],$L91,PBC_BALANCE_SHEET[Date],AY$5)</f>
        <v>1353.5</v>
      </c>
      <c r="AZ91" s="289">
        <f>SUMIFS(PBC_BALANCE_SHEET[AccountBalance], PBC_BALANCE_SHEET[Id],$L91,PBC_BALANCE_SHEET[Date],AZ$5)</f>
        <v>1353.5</v>
      </c>
      <c r="BA91" s="289">
        <f>SUMIFS(PBC_BALANCE_SHEET[AccountBalance], PBC_BALANCE_SHEET[Id],$L91,PBC_BALANCE_SHEET[Date],BA$5)</f>
        <v>1353.5</v>
      </c>
      <c r="BB91" s="289">
        <f>SUMIFS(PBC_BALANCE_SHEET[AccountBalance], PBC_BALANCE_SHEET[Id],$L91,PBC_BALANCE_SHEET[Date],BB$5)</f>
        <v>1353.5</v>
      </c>
      <c r="BC91" s="289">
        <f>SUMIFS(PBC_BALANCE_SHEET[AccountBalance], PBC_BALANCE_SHEET[Id],$L91,PBC_BALANCE_SHEET[Date],BC$5)</f>
        <v>1353.5</v>
      </c>
      <c r="BD91" s="289">
        <f>SUMIFS(PBC_BALANCE_SHEET[AccountBalance], PBC_BALANCE_SHEET[Id],$L91,PBC_BALANCE_SHEET[Date],BD$5)</f>
        <v>1353.5</v>
      </c>
      <c r="BE91" s="289">
        <f>SUMIFS(PBC_BALANCE_SHEET[AccountBalance], PBC_BALANCE_SHEET[Id],$L91,PBC_BALANCE_SHEET[Date],BE$5)</f>
        <v>1353.5</v>
      </c>
      <c r="BF91" s="289">
        <f>SUMIFS(PBC_BALANCE_SHEET[AccountBalance], PBC_BALANCE_SHEET[Id],$L91,PBC_BALANCE_SHEET[Date],BF$5)</f>
        <v>1353.5</v>
      </c>
      <c r="BG91" s="289">
        <f>SUMIFS(PBC_BALANCE_SHEET[AccountBalance], PBC_BALANCE_SHEET[Id],$L91,PBC_BALANCE_SHEET[Date],BG$5)</f>
        <v>1353.5</v>
      </c>
      <c r="BH91" s="289">
        <f>SUMIFS(PBC_BALANCE_SHEET[AccountBalance], PBC_BALANCE_SHEET[Id],$L91,PBC_BALANCE_SHEET[Date],BH$5)</f>
        <v>1353.5</v>
      </c>
      <c r="BI91" s="289">
        <f>SUMIFS(PBC_BALANCE_SHEET[AccountBalance], PBC_BALANCE_SHEET[Id],$L91,PBC_BALANCE_SHEET[Date],BI$5)</f>
        <v>1353.5</v>
      </c>
      <c r="BJ91" s="289">
        <f>SUMIFS(PBC_BALANCE_SHEET[AccountBalance], PBC_BALANCE_SHEET[Id],$L91,PBC_BALANCE_SHEET[Date],BJ$5)</f>
        <v>1353.5</v>
      </c>
      <c r="BK91" s="289">
        <f>SUMIFS(PBC_BALANCE_SHEET[AccountBalance], PBC_BALANCE_SHEET[Id],$L91,PBC_BALANCE_SHEET[Date],BK$5)</f>
        <v>1353.5</v>
      </c>
      <c r="BL91" s="289">
        <f>SUMIFS(PBC_BALANCE_SHEET[AccountBalance], PBC_BALANCE_SHEET[Id],$L91,PBC_BALANCE_SHEET[Date],BL$5)</f>
        <v>1353.5</v>
      </c>
      <c r="BM91" s="289">
        <f>SUMIFS(PBC_BALANCE_SHEET[AccountBalance], PBC_BALANCE_SHEET[Id],$L91,PBC_BALANCE_SHEET[Date],BM$5)</f>
        <v>1353.5</v>
      </c>
      <c r="BN91" s="289">
        <f>SUMIFS(PBC_BALANCE_SHEET[AccountBalance], PBC_BALANCE_SHEET[Id],$L91,PBC_BALANCE_SHEET[Date],BN$5)</f>
        <v>1353.5</v>
      </c>
      <c r="BO91" s="289">
        <f>SUMIFS(PBC_BALANCE_SHEET[AccountBalance], PBC_BALANCE_SHEET[Id],$L91,PBC_BALANCE_SHEET[Date],BO$5)</f>
        <v>1353.5</v>
      </c>
      <c r="BP91" s="289">
        <f>SUMIFS(PBC_BALANCE_SHEET[AccountBalance], PBC_BALANCE_SHEET[Id],$L91,PBC_BALANCE_SHEET[Date],BP$5)</f>
        <v>1353.5</v>
      </c>
      <c r="BQ91" s="289">
        <f>SUMIFS(PBC_BALANCE_SHEET[AccountBalance], PBC_BALANCE_SHEET[Id],$L91,PBC_BALANCE_SHEET[Date],BQ$5)</f>
        <v>1353.5</v>
      </c>
      <c r="BR91" s="289">
        <f>SUMIFS(PBC_BALANCE_SHEET[AccountBalance], PBC_BALANCE_SHEET[Id],$L91,PBC_BALANCE_SHEET[Date],BR$5)</f>
        <v>1353.5</v>
      </c>
      <c r="BS91" s="289">
        <f>SUMIFS(PBC_BALANCE_SHEET[AccountBalance], PBC_BALANCE_SHEET[Id],$L91,PBC_BALANCE_SHEET[Date],BS$5)</f>
        <v>1353.5</v>
      </c>
      <c r="BT91" s="289">
        <f>SUMIFS(PBC_BALANCE_SHEET[AccountBalance], PBC_BALANCE_SHEET[Id],$L91,PBC_BALANCE_SHEET[Date],BT$5)</f>
        <v>1353.5</v>
      </c>
      <c r="BU91" s="289">
        <f>SUMIFS(PBC_BALANCE_SHEET[AccountBalance], PBC_BALANCE_SHEET[Id],$L91,PBC_BALANCE_SHEET[Date],BU$5)</f>
        <v>1353.5</v>
      </c>
      <c r="BV91" s="289">
        <f>SUMIFS(PBC_BALANCE_SHEET[AccountBalance], PBC_BALANCE_SHEET[Id],$L91,PBC_BALANCE_SHEET[Date],BV$5)</f>
        <v>1353.5</v>
      </c>
      <c r="BW91" s="289">
        <f>SUMIFS(PBC_BALANCE_SHEET[AccountBalance], PBC_BALANCE_SHEET[Id],$L91,PBC_BALANCE_SHEET[Date],BW$5)</f>
        <v>1353.5</v>
      </c>
      <c r="BX91" s="335" cm="1">
        <f t="array" ref="BX91">_xlfn.SWITCH(
    $E91,
    "3 month avg", AVERAGE(BU91:BW91) * (1 + $F91),
    "6 month avg", AVERAGE(BR91:BW91) * (1 + $F91),
    "12 month avg", AVERAGE(BM91:BW91) * (1 + $F91),
    "Prior Month",BW91* (1 + $F91),
    "Prior Year", BL91* (1 + $F91),
    "Monthly assumption",$G91* (1 + $F91),
    "Quarterly assumption",$G91/3* (1 + $F91),
    "Annual assumption",$G91/12* (1 + $F91),
    "% of Revenue",SUM(_xlfn._xlws.FILTER(_xlfn._xlws.FILTER(dataSummaryPL,dataSummaryPLSections="Revenue"),(startDates&gt;=BX$4)*(endDates&lt;=BX$5)))*$F91,
    "Custom",0,
    "0",0,
        0
)</f>
        <v>1353.5</v>
      </c>
      <c r="BY91" s="335" cm="1">
        <f t="array" ref="BY91">_xlfn.SWITCH(
    $E91,
    "3 month avg", AVERAGE(BV91:BX91) * (1 + $F91),
    "6 month avg", AVERAGE(BS91:BX91) * (1 + $F91),
    "12 month avg", AVERAGE(BN91:BX91) * (1 + $F91),
    "Prior Month",BX91* (1 + $F91),
    "Prior Year", BM91* (1 + $F91),
    "Monthly assumption",$G91* (1 + $F91),
    "Quarterly assumption",$G91/3* (1 + $F91),
    "Annual assumption",$G91/12* (1 + $F91),
    "% of Revenue",SUM(_xlfn._xlws.FILTER(_xlfn._xlws.FILTER(dataSummaryPL,dataSummaryPLSections="Revenue"),(startDates&gt;=BY$4)*(endDates&lt;=BY$5)))*$F91,
    "Custom",0,
    "0",0,
        0
)</f>
        <v>1353.5</v>
      </c>
      <c r="BZ91" s="335" cm="1">
        <f t="array" ref="BZ91">_xlfn.SWITCH(
    $E91,
    "3 month avg", AVERAGE(BW91:BY91) * (1 + $F91),
    "6 month avg", AVERAGE(BT91:BY91) * (1 + $F91),
    "12 month avg", AVERAGE(BO91:BY91) * (1 + $F91),
    "Prior Month",BY91* (1 + $F91),
    "Prior Year", BN91* (1 + $F91),
    "Monthly assumption",$G91* (1 + $F91),
    "Quarterly assumption",$G91/3* (1 + $F91),
    "Annual assumption",$G91/12* (1 + $F91),
    "% of Revenue",SUM(_xlfn._xlws.FILTER(_xlfn._xlws.FILTER(dataSummaryPL,dataSummaryPLSections="Revenue"),(startDates&gt;=BZ$4)*(endDates&lt;=BZ$5)))*$F91,
    "Custom",0,
    "0",0,
        0
)</f>
        <v>1353.5</v>
      </c>
      <c r="CA91" s="335" cm="1">
        <f t="array" ref="CA91">_xlfn.SWITCH(
    $E91,
    "3 month avg", AVERAGE(BX91:BZ91) * (1 + $F91),
    "6 month avg", AVERAGE(BU91:BZ91) * (1 + $F91),
    "12 month avg", AVERAGE(BP91:BZ91) * (1 + $F91),
    "Prior Month",BZ91* (1 + $F91),
    "Prior Year", BO91* (1 + $F91),
    "Monthly assumption",$G91* (1 + $F91),
    "Quarterly assumption",$G91/3* (1 + $F91),
    "Annual assumption",$G91/12* (1 + $F91),
    "% of Revenue",SUM(_xlfn._xlws.FILTER(_xlfn._xlws.FILTER(dataSummaryPL,dataSummaryPLSections="Revenue"),(startDates&gt;=CA$4)*(endDates&lt;=CA$5)))*$F91,
    "Custom",0,
    "0",0,
        0
)</f>
        <v>1353.5</v>
      </c>
      <c r="CB91" s="335" cm="1">
        <f t="array" ref="CB91">_xlfn.SWITCH(
    $E91,
    "3 month avg", AVERAGE(BY91:CA91) * (1 + $F91),
    "6 month avg", AVERAGE(BV91:CA91) * (1 + $F91),
    "12 month avg", AVERAGE(BQ91:CA91) * (1 + $F91),
    "Prior Month",CA91* (1 + $F91),
    "Prior Year", BP91* (1 + $F91),
    "Monthly assumption",$G91* (1 + $F91),
    "Quarterly assumption",$G91/3* (1 + $F91),
    "Annual assumption",$G91/12* (1 + $F91),
    "% of Revenue",SUM(_xlfn._xlws.FILTER(_xlfn._xlws.FILTER(dataSummaryPL,dataSummaryPLSections="Revenue"),(startDates&gt;=CB$4)*(endDates&lt;=CB$5)))*$F91,
    "Custom",0,
    "0",0,
        0
)</f>
        <v>1353.5</v>
      </c>
      <c r="CC91" s="335" cm="1">
        <f t="array" ref="CC91">_xlfn.SWITCH(
    $E91,
    "3 month avg", AVERAGE(BZ91:CB91) * (1 + $F91),
    "6 month avg", AVERAGE(BW91:CB91) * (1 + $F91),
    "12 month avg", AVERAGE(BR91:CB91) * (1 + $F91),
    "Prior Month",CB91* (1 + $F91),
    "Prior Year", BQ91* (1 + $F91),
    "Monthly assumption",$G91* (1 + $F91),
    "Quarterly assumption",$G91/3* (1 + $F91),
    "Annual assumption",$G91/12* (1 + $F91),
    "% of Revenue",SUM(_xlfn._xlws.FILTER(_xlfn._xlws.FILTER(dataSummaryPL,dataSummaryPLSections="Revenue"),(startDates&gt;=CC$4)*(endDates&lt;=CC$5)))*$F91,
    "Custom",0,
    "0",0,
        0
)</f>
        <v>1353.5</v>
      </c>
      <c r="CD91" s="335" cm="1">
        <f t="array" ref="CD91">_xlfn.SWITCH(
    $E91,
    "3 month avg", AVERAGE(CA91:CC91) * (1 + $F91),
    "6 month avg", AVERAGE(BX91:CC91) * (1 + $F91),
    "12 month avg", AVERAGE(BS91:CC91) * (1 + $F91),
    "Prior Month",CC91* (1 + $F91),
    "Prior Year", BR91* (1 + $F91),
    "Monthly assumption",$G91* (1 + $F91),
    "Quarterly assumption",$G91/3* (1 + $F91),
    "Annual assumption",$G91/12* (1 + $F91),
    "% of Revenue",SUM(_xlfn._xlws.FILTER(_xlfn._xlws.FILTER(dataSummaryPL,dataSummaryPLSections="Revenue"),(startDates&gt;=CD$4)*(endDates&lt;=CD$5)))*$F91,
    "Custom",0,
    "0",0,
        0
)</f>
        <v>1353.5</v>
      </c>
      <c r="CE91" s="335" cm="1">
        <f t="array" ref="CE91">_xlfn.SWITCH(
    $E91,
    "3 month avg", AVERAGE(CB91:CD91) * (1 + $F91),
    "6 month avg", AVERAGE(BY91:CD91) * (1 + $F91),
    "12 month avg", AVERAGE(BT91:CD91) * (1 + $F91),
    "Prior Month",CD91* (1 + $F91),
    "Prior Year", BS91* (1 + $F91),
    "Monthly assumption",$G91* (1 + $F91),
    "Quarterly assumption",$G91/3* (1 + $F91),
    "Annual assumption",$G91/12* (1 + $F91),
    "% of Revenue",SUM(_xlfn._xlws.FILTER(_xlfn._xlws.FILTER(dataSummaryPL,dataSummaryPLSections="Revenue"),(startDates&gt;=CE$4)*(endDates&lt;=CE$5)))*$F91,
    "Custom",0,
    "0",0,
        0
)</f>
        <v>1353.5</v>
      </c>
      <c r="CF91" s="335" cm="1">
        <f t="array" ref="CF91">_xlfn.SWITCH(
    $E91,
    "3 month avg", AVERAGE(CC91:CE91) * (1 + $F91),
    "6 month avg", AVERAGE(BZ91:CE91) * (1 + $F91),
    "12 month avg", AVERAGE(BU91:CE91) * (1 + $F91),
    "Prior Month",CE91* (1 + $F91),
    "Prior Year", BT91* (1 + $F91),
    "Monthly assumption",$G91* (1 + $F91),
    "Quarterly assumption",$G91/3* (1 + $F91),
    "Annual assumption",$G91/12* (1 + $F91),
    "% of Revenue",SUM(_xlfn._xlws.FILTER(_xlfn._xlws.FILTER(dataSummaryPL,dataSummaryPLSections="Revenue"),(startDates&gt;=CF$4)*(endDates&lt;=CF$5)))*$F91,
    "Custom",0,
    "0",0,
        0
)</f>
        <v>1353.5</v>
      </c>
      <c r="CG91" s="335" cm="1">
        <f t="array" ref="CG91">_xlfn.SWITCH(
    $E91,
    "3 month avg", AVERAGE(CD91:CF91) * (1 + $F91),
    "6 month avg", AVERAGE(CA91:CF91) * (1 + $F91),
    "12 month avg", AVERAGE(BV91:CF91) * (1 + $F91),
    "Prior Month",CF91* (1 + $F91),
    "Prior Year", BU91* (1 + $F91),
    "Monthly assumption",$G91* (1 + $F91),
    "Quarterly assumption",$G91/3* (1 + $F91),
    "Annual assumption",$G91/12* (1 + $F91),
    "% of Revenue",SUM(_xlfn._xlws.FILTER(_xlfn._xlws.FILTER(dataSummaryPL,dataSummaryPLSections="Revenue"),(startDates&gt;=CG$4)*(endDates&lt;=CG$5)))*$F91,
    "Custom",0,
    "0",0,
        0
)</f>
        <v>1353.5</v>
      </c>
      <c r="CH91" s="335" cm="1">
        <f t="array" ref="CH91">_xlfn.SWITCH(
    $E91,
    "3 month avg", AVERAGE(CE91:CG91) * (1 + $F91),
    "6 month avg", AVERAGE(CB91:CG91) * (1 + $F91),
    "12 month avg", AVERAGE(BW91:CG91) * (1 + $F91),
    "Prior Month",CG91* (1 + $F91),
    "Prior Year", BV91* (1 + $F91),
    "Monthly assumption",$G91* (1 + $F91),
    "Quarterly assumption",$G91/3* (1 + $F91),
    "Annual assumption",$G91/12* (1 + $F91),
    "% of Revenue",SUM(_xlfn._xlws.FILTER(_xlfn._xlws.FILTER(dataSummaryPL,dataSummaryPLSections="Revenue"),(startDates&gt;=CH$4)*(endDates&lt;=CH$5)))*$F91,
    "Custom",0,
    "0",0,
        0
)</f>
        <v>1353.5</v>
      </c>
      <c r="CI91" s="335" cm="1">
        <f t="array" ref="CI91">_xlfn.SWITCH(
    $E91,
    "3 month avg", AVERAGE(CF91:CH91) * (1 + $F91),
    "6 month avg", AVERAGE(CC91:CH91) * (1 + $F91),
    "12 month avg", AVERAGE(BX91:CH91) * (1 + $F91),
    "Prior Month",CH91* (1 + $F91),
    "Prior Year", BW91* (1 + $F91),
    "Monthly assumption",$G91* (1 + $F91),
    "Quarterly assumption",$G91/3* (1 + $F91),
    "Annual assumption",$G91/12* (1 + $F91),
    "% of Revenue",SUM(_xlfn._xlws.FILTER(_xlfn._xlws.FILTER(dataSummaryPL,dataSummaryPLSections="Revenue"),(startDates&gt;=CI$4)*(endDates&lt;=CI$5)))*$F91,
    "Custom",0,
    "0",0,
        0
)</f>
        <v>1353.5</v>
      </c>
      <c r="CJ91" s="335" cm="1">
        <f t="array" ref="CJ91">_xlfn.SWITCH(
    $E91,
    "3 month avg", AVERAGE(CG91:CI91) * (1 + $F91),
    "6 month avg", AVERAGE(CD91:CI91) * (1 + $F91),
    "12 month avg", AVERAGE(BY91:CI91) * (1 + $F91),
    "Prior Month",CI91* (1 + $F91),
    "Prior Year", BX91* (1 + $F91),
    "Monthly assumption",$G91* (1 + $F91),
    "Quarterly assumption",$G91/3* (1 + $F91),
    "Annual assumption",$G91/12* (1 + $F91),
    "% of Revenue",SUM(_xlfn._xlws.FILTER(_xlfn._xlws.FILTER(dataSummaryPL,dataSummaryPLSections="Revenue"),(startDates&gt;=CJ$4)*(endDates&lt;=CJ$5)))*$F91,
    "Custom",0,
    "0",0,
        0
)</f>
        <v>1353.5</v>
      </c>
    </row>
    <row r="92" spans="1:88" ht="15" outlineLevel="2">
      <c r="B92" s="284"/>
      <c r="C92" s="283"/>
      <c r="D92" s="288" t="s">
        <v>308</v>
      </c>
      <c r="E92" s="543" t="s">
        <v>145</v>
      </c>
      <c r="F92" s="279"/>
      <c r="G92" s="279"/>
      <c r="H92" s="277" t="str">
        <f>IFERROR(INDEX(PBC_ACCOUNT_LIST[Drivers Section],MATCH(Drivers!L92,PBC_ACCOUNT_LIST[Id],0)),"")</f>
        <v>Liabilities</v>
      </c>
      <c r="I92" s="277" t="str">
        <f>IFERROR(INDEX(PBC_ACCOUNT_LIST[Summary Grouping],MATCH(Drivers!L92,PBC_ACCOUNT_LIST[Id],0)),"")</f>
        <v>Deferred Revenue</v>
      </c>
      <c r="J92" s="277" t="str">
        <f>IFERROR(INDEX(PBC_ACCOUNT_LIST[Cash Flow Section],MATCH(Drivers!L92,PBC_ACCOUNT_LIST[Id],0)),"")</f>
        <v>Cash from Operating Activities</v>
      </c>
      <c r="K92" s="278" t="s">
        <v>106</v>
      </c>
      <c r="L92" s="277">
        <v>158</v>
      </c>
      <c r="M92" s="276"/>
      <c r="O92" s="272"/>
      <c r="P92" s="289">
        <f t="shared" si="87"/>
        <v>23270</v>
      </c>
      <c r="Q92" s="289">
        <f t="shared" si="87"/>
        <v>23270</v>
      </c>
      <c r="R92" s="289">
        <f t="shared" si="87"/>
        <v>101330.83333333334</v>
      </c>
      <c r="S92" s="289">
        <f t="shared" si="87"/>
        <v>119999.99999999983</v>
      </c>
      <c r="T92" s="289"/>
      <c r="U92" s="289"/>
      <c r="V92" s="289">
        <f t="shared" si="88"/>
        <v>16538</v>
      </c>
      <c r="W92" s="289">
        <f t="shared" si="88"/>
        <v>19145</v>
      </c>
      <c r="X92" s="289">
        <f t="shared" si="88"/>
        <v>22162</v>
      </c>
      <c r="Y92" s="289">
        <f t="shared" si="88"/>
        <v>23270</v>
      </c>
      <c r="Z92" s="289">
        <f t="shared" si="88"/>
        <v>23270</v>
      </c>
      <c r="AA92" s="289">
        <f t="shared" si="88"/>
        <v>23270</v>
      </c>
      <c r="AB92" s="289">
        <f t="shared" si="88"/>
        <v>23270</v>
      </c>
      <c r="AC92" s="289">
        <f t="shared" si="88"/>
        <v>23270</v>
      </c>
      <c r="AD92" s="289">
        <f t="shared" si="88"/>
        <v>23270</v>
      </c>
      <c r="AE92" s="289">
        <f t="shared" si="88"/>
        <v>23270</v>
      </c>
      <c r="AF92" s="289">
        <f t="shared" si="88"/>
        <v>23270</v>
      </c>
      <c r="AG92" s="289">
        <f t="shared" si="88"/>
        <v>101330.83333333334</v>
      </c>
      <c r="AH92" s="289">
        <f t="shared" si="88"/>
        <v>135513.33333333331</v>
      </c>
      <c r="AI92" s="289">
        <f t="shared" si="88"/>
        <v>129695.83333333327</v>
      </c>
      <c r="AJ92" s="289">
        <f t="shared" si="88"/>
        <v>123878.33333333321</v>
      </c>
      <c r="AK92" s="289">
        <f t="shared" si="88"/>
        <v>119999.99999999983</v>
      </c>
      <c r="AL92" s="333"/>
      <c r="AM92" s="334"/>
      <c r="AN92" s="289">
        <f>SUMIFS(PBC_BALANCE_SHEET[AccountBalance], PBC_BALANCE_SHEET[Id],$L92,PBC_BALANCE_SHEET[Date],AN$5)</f>
        <v>0</v>
      </c>
      <c r="AO92" s="289">
        <f>SUMIFS(PBC_BALANCE_SHEET[AccountBalance], PBC_BALANCE_SHEET[Id],$L92,PBC_BALANCE_SHEET[Date],AO$5)</f>
        <v>15000</v>
      </c>
      <c r="AP92" s="289">
        <f>SUMIFS(PBC_BALANCE_SHEET[AccountBalance], PBC_BALANCE_SHEET[Id],$L92,PBC_BALANCE_SHEET[Date],AP$5)</f>
        <v>15750</v>
      </c>
      <c r="AQ92" s="289">
        <f>SUMIFS(PBC_BALANCE_SHEET[AccountBalance], PBC_BALANCE_SHEET[Id],$L92,PBC_BALANCE_SHEET[Date],AQ$5)</f>
        <v>16538</v>
      </c>
      <c r="AR92" s="289">
        <f>SUMIFS(PBC_BALANCE_SHEET[AccountBalance], PBC_BALANCE_SHEET[Id],$L92,PBC_BALANCE_SHEET[Date],AR$5)</f>
        <v>17365</v>
      </c>
      <c r="AS92" s="289">
        <f>SUMIFS(PBC_BALANCE_SHEET[AccountBalance], PBC_BALANCE_SHEET[Id],$L92,PBC_BALANCE_SHEET[Date],AS$5)</f>
        <v>18233</v>
      </c>
      <c r="AT92" s="289">
        <f>SUMIFS(PBC_BALANCE_SHEET[AccountBalance], PBC_BALANCE_SHEET[Id],$L92,PBC_BALANCE_SHEET[Date],AT$5)</f>
        <v>19145</v>
      </c>
      <c r="AU92" s="289">
        <f>SUMIFS(PBC_BALANCE_SHEET[AccountBalance], PBC_BALANCE_SHEET[Id],$L92,PBC_BALANCE_SHEET[Date],AU$5)</f>
        <v>20102</v>
      </c>
      <c r="AV92" s="289">
        <f>SUMIFS(PBC_BALANCE_SHEET[AccountBalance], PBC_BALANCE_SHEET[Id],$L92,PBC_BALANCE_SHEET[Date],AV$5)</f>
        <v>21107</v>
      </c>
      <c r="AW92" s="289">
        <f>SUMIFS(PBC_BALANCE_SHEET[AccountBalance], PBC_BALANCE_SHEET[Id],$L92,PBC_BALANCE_SHEET[Date],AW$5)</f>
        <v>22162</v>
      </c>
      <c r="AX92" s="289">
        <f>SUMIFS(PBC_BALANCE_SHEET[AccountBalance], PBC_BALANCE_SHEET[Id],$L92,PBC_BALANCE_SHEET[Date],AX$5)</f>
        <v>23270</v>
      </c>
      <c r="AY92" s="289">
        <f>SUMIFS(PBC_BALANCE_SHEET[AccountBalance], PBC_BALANCE_SHEET[Id],$L92,PBC_BALANCE_SHEET[Date],AY$5)</f>
        <v>23270</v>
      </c>
      <c r="AZ92" s="289">
        <f>SUMIFS(PBC_BALANCE_SHEET[AccountBalance], PBC_BALANCE_SHEET[Id],$L92,PBC_BALANCE_SHEET[Date],AZ$5)</f>
        <v>23270</v>
      </c>
      <c r="BA92" s="289">
        <f>SUMIFS(PBC_BALANCE_SHEET[AccountBalance], PBC_BALANCE_SHEET[Id],$L92,PBC_BALANCE_SHEET[Date],BA$5)</f>
        <v>23270</v>
      </c>
      <c r="BB92" s="289">
        <f>SUMIFS(PBC_BALANCE_SHEET[AccountBalance], PBC_BALANCE_SHEET[Id],$L92,PBC_BALANCE_SHEET[Date],BB$5)</f>
        <v>23270</v>
      </c>
      <c r="BC92" s="289">
        <f>SUMIFS(PBC_BALANCE_SHEET[AccountBalance], PBC_BALANCE_SHEET[Id],$L92,PBC_BALANCE_SHEET[Date],BC$5)</f>
        <v>23270</v>
      </c>
      <c r="BD92" s="289">
        <f>SUMIFS(PBC_BALANCE_SHEET[AccountBalance], PBC_BALANCE_SHEET[Id],$L92,PBC_BALANCE_SHEET[Date],BD$5)</f>
        <v>23270</v>
      </c>
      <c r="BE92" s="289">
        <f>SUMIFS(PBC_BALANCE_SHEET[AccountBalance], PBC_BALANCE_SHEET[Id],$L92,PBC_BALANCE_SHEET[Date],BE$5)</f>
        <v>23270</v>
      </c>
      <c r="BF92" s="289">
        <f>SUMIFS(PBC_BALANCE_SHEET[AccountBalance], PBC_BALANCE_SHEET[Id],$L92,PBC_BALANCE_SHEET[Date],BF$5)</f>
        <v>23270</v>
      </c>
      <c r="BG92" s="289">
        <f>SUMIFS(PBC_BALANCE_SHEET[AccountBalance], PBC_BALANCE_SHEET[Id],$L92,PBC_BALANCE_SHEET[Date],BG$5)</f>
        <v>23270</v>
      </c>
      <c r="BH92" s="289">
        <f>SUMIFS(PBC_BALANCE_SHEET[AccountBalance], PBC_BALANCE_SHEET[Id],$L92,PBC_BALANCE_SHEET[Date],BH$5)</f>
        <v>23270</v>
      </c>
      <c r="BI92" s="289">
        <f>SUMIFS(PBC_BALANCE_SHEET[AccountBalance], PBC_BALANCE_SHEET[Id],$L92,PBC_BALANCE_SHEET[Date],BI$5)</f>
        <v>23270</v>
      </c>
      <c r="BJ92" s="289">
        <f>SUMIFS(PBC_BALANCE_SHEET[AccountBalance], PBC_BALANCE_SHEET[Id],$L92,PBC_BALANCE_SHEET[Date],BJ$5)</f>
        <v>23270</v>
      </c>
      <c r="BK92" s="289">
        <f>SUMIFS(PBC_BALANCE_SHEET[AccountBalance], PBC_BALANCE_SHEET[Id],$L92,PBC_BALANCE_SHEET[Date],BK$5)</f>
        <v>23270</v>
      </c>
      <c r="BL92" s="289">
        <f>SUMIFS(PBC_BALANCE_SHEET[AccountBalance], PBC_BALANCE_SHEET[Id],$L92,PBC_BALANCE_SHEET[Date],BL$5)</f>
        <v>23270</v>
      </c>
      <c r="BM92" s="289">
        <f>SUMIFS(PBC_BALANCE_SHEET[AccountBalance], PBC_BALANCE_SHEET[Id],$L92,PBC_BALANCE_SHEET[Date],BM$5)</f>
        <v>23270</v>
      </c>
      <c r="BN92" s="289">
        <f>SUMIFS(PBC_BALANCE_SHEET[AccountBalance], PBC_BALANCE_SHEET[Id],$L92,PBC_BALANCE_SHEET[Date],BN$5)</f>
        <v>23270</v>
      </c>
      <c r="BO92" s="289">
        <f>SUMIFS(PBC_BALANCE_SHEET[AccountBalance], PBC_BALANCE_SHEET[Id],$L92,PBC_BALANCE_SHEET[Date],BO$5)</f>
        <v>23270</v>
      </c>
      <c r="BP92" s="289">
        <f>SUMIFS(PBC_BALANCE_SHEET[AccountBalance], PBC_BALANCE_SHEET[Id],$L92,PBC_BALANCE_SHEET[Date],BP$5)</f>
        <v>23270</v>
      </c>
      <c r="BQ92" s="289">
        <f>SUMIFS(PBC_BALANCE_SHEET[AccountBalance], PBC_BALANCE_SHEET[Id],$L92,PBC_BALANCE_SHEET[Date],BQ$5)</f>
        <v>23270</v>
      </c>
      <c r="BR92" s="289">
        <f>SUMIFS(PBC_BALANCE_SHEET[AccountBalance], PBC_BALANCE_SHEET[Id],$L92,PBC_BALANCE_SHEET[Date],BR$5)</f>
        <v>23270</v>
      </c>
      <c r="BS92" s="289">
        <f>SUMIFS(PBC_BALANCE_SHEET[AccountBalance], PBC_BALANCE_SHEET[Id],$L92,PBC_BALANCE_SHEET[Date],BS$5)</f>
        <v>23270</v>
      </c>
      <c r="BT92" s="289">
        <f>SUMIFS(PBC_BALANCE_SHEET[AccountBalance], PBC_BALANCE_SHEET[Id],$L92,PBC_BALANCE_SHEET[Date],BT$5)</f>
        <v>23270</v>
      </c>
      <c r="BU92" s="289">
        <f>SUMIFS(PBC_BALANCE_SHEET[AccountBalance], PBC_BALANCE_SHEET[Id],$L92,PBC_BALANCE_SHEET[Date],BU$5)</f>
        <v>23270</v>
      </c>
      <c r="BV92" s="289">
        <f>SUMIFS(PBC_BALANCE_SHEET[AccountBalance], PBC_BALANCE_SHEET[Id],$L92,PBC_BALANCE_SHEET[Date],BV$5)</f>
        <v>23270</v>
      </c>
      <c r="BW92" s="289">
        <f>SUMIFS(PBC_BALANCE_SHEET[AccountBalance], PBC_BALANCE_SHEET[Id],$L92,PBC_BALANCE_SHEET[Date],BW$5)</f>
        <v>23270</v>
      </c>
      <c r="BX92" s="541">
        <f>SUMIFS('Deferred Revenue'!BN$155:BN$157,'Deferred Revenue'!$E$155:$E$157,$L92)</f>
        <v>101330.83333333334</v>
      </c>
      <c r="BY92" s="541">
        <f>SUMIFS('Deferred Revenue'!BO$155:BO$157,'Deferred Revenue'!$E$155:$E$157,$L92)</f>
        <v>139391.66666666669</v>
      </c>
      <c r="BZ92" s="541">
        <f>SUMIFS('Deferred Revenue'!BP$155:BP$157,'Deferred Revenue'!$E$155:$E$157,$L92)</f>
        <v>137452.5</v>
      </c>
      <c r="CA92" s="541">
        <f>SUMIFS('Deferred Revenue'!BQ$155:BQ$157,'Deferred Revenue'!$E$155:$E$157,$L92)</f>
        <v>135513.33333333331</v>
      </c>
      <c r="CB92" s="541">
        <f>SUMIFS('Deferred Revenue'!BR$155:BR$157,'Deferred Revenue'!$E$155:$E$157,$L92)</f>
        <v>133574.16666666663</v>
      </c>
      <c r="CC92" s="541">
        <f>SUMIFS('Deferred Revenue'!BS$155:BS$157,'Deferred Revenue'!$E$155:$E$157,$L92)</f>
        <v>131634.99999999994</v>
      </c>
      <c r="CD92" s="541">
        <f>SUMIFS('Deferred Revenue'!BT$155:BT$157,'Deferred Revenue'!$E$155:$E$157,$L92)</f>
        <v>129695.83333333327</v>
      </c>
      <c r="CE92" s="541">
        <f>SUMIFS('Deferred Revenue'!BU$155:BU$157,'Deferred Revenue'!$E$155:$E$157,$L92)</f>
        <v>127756.66666666658</v>
      </c>
      <c r="CF92" s="541">
        <f>SUMIFS('Deferred Revenue'!BV$155:BV$157,'Deferred Revenue'!$E$155:$E$157,$L92)</f>
        <v>125817.4999999999</v>
      </c>
      <c r="CG92" s="541">
        <f>SUMIFS('Deferred Revenue'!BW$155:BW$157,'Deferred Revenue'!$E$155:$E$157,$L92)</f>
        <v>123878.33333333321</v>
      </c>
      <c r="CH92" s="541">
        <f>SUMIFS('Deferred Revenue'!BX$155:BX$157,'Deferred Revenue'!$E$155:$E$157,$L92)</f>
        <v>121939.16666666653</v>
      </c>
      <c r="CI92" s="541">
        <f>SUMIFS('Deferred Revenue'!BY$155:BY$157,'Deferred Revenue'!$E$155:$E$157,$L92)</f>
        <v>119999.99999999984</v>
      </c>
      <c r="CJ92" s="541">
        <f>SUMIFS('Deferred Revenue'!BZ$155:BZ$157,'Deferred Revenue'!$E$155:$E$157,$L92)</f>
        <v>119999.99999999983</v>
      </c>
    </row>
    <row r="93" spans="1:88" ht="15" outlineLevel="2">
      <c r="B93" s="284"/>
      <c r="C93" s="283"/>
      <c r="D93" s="288" t="s">
        <v>309</v>
      </c>
      <c r="E93" s="280" t="s">
        <v>358</v>
      </c>
      <c r="F93" s="279"/>
      <c r="G93" s="279"/>
      <c r="H93" s="277" t="str">
        <f>IFERROR(INDEX(PBC_ACCOUNT_LIST[Drivers Section],MATCH(Drivers!L93,PBC_ACCOUNT_LIST[Id],0)),"")</f>
        <v>Liabilities</v>
      </c>
      <c r="I93" s="277" t="str">
        <f>IFERROR(INDEX(PBC_ACCOUNT_LIST[Summary Grouping],MATCH(Drivers!L93,PBC_ACCOUNT_LIST[Id],0)),"")</f>
        <v>Current Liabilities</v>
      </c>
      <c r="J93" s="277" t="str">
        <f>IFERROR(INDEX(PBC_ACCOUNT_LIST[Cash Flow Section],MATCH(Drivers!L93,PBC_ACCOUNT_LIST[Id],0)),"")</f>
        <v>Cash from Operating Activities</v>
      </c>
      <c r="K93" s="278" t="s">
        <v>106</v>
      </c>
      <c r="L93" s="277">
        <v>159</v>
      </c>
      <c r="M93" s="276"/>
      <c r="O93" s="272"/>
      <c r="P93" s="289">
        <f t="shared" si="87"/>
        <v>1260.5</v>
      </c>
      <c r="Q93" s="289">
        <f t="shared" si="87"/>
        <v>1260.5</v>
      </c>
      <c r="R93" s="289">
        <f t="shared" si="87"/>
        <v>1260.5</v>
      </c>
      <c r="S93" s="289">
        <f t="shared" si="87"/>
        <v>1260.5</v>
      </c>
      <c r="T93" s="289"/>
      <c r="U93" s="289"/>
      <c r="V93" s="289">
        <f t="shared" si="88"/>
        <v>1636</v>
      </c>
      <c r="W93" s="289">
        <f t="shared" si="88"/>
        <v>1173</v>
      </c>
      <c r="X93" s="289">
        <f t="shared" si="88"/>
        <v>3370.5</v>
      </c>
      <c r="Y93" s="289">
        <f t="shared" si="88"/>
        <v>1260.5</v>
      </c>
      <c r="Z93" s="289">
        <f t="shared" si="88"/>
        <v>1260.5</v>
      </c>
      <c r="AA93" s="289">
        <f t="shared" si="88"/>
        <v>1260.5</v>
      </c>
      <c r="AB93" s="289">
        <f t="shared" si="88"/>
        <v>1260.5</v>
      </c>
      <c r="AC93" s="289">
        <f t="shared" si="88"/>
        <v>1260.5</v>
      </c>
      <c r="AD93" s="289">
        <f t="shared" si="88"/>
        <v>1260.5</v>
      </c>
      <c r="AE93" s="289">
        <f t="shared" si="88"/>
        <v>1260.5</v>
      </c>
      <c r="AF93" s="289">
        <f t="shared" si="88"/>
        <v>1260.5</v>
      </c>
      <c r="AG93" s="289">
        <f t="shared" si="88"/>
        <v>1260.5</v>
      </c>
      <c r="AH93" s="289">
        <f t="shared" si="88"/>
        <v>1260.5</v>
      </c>
      <c r="AI93" s="289">
        <f t="shared" si="88"/>
        <v>1260.5</v>
      </c>
      <c r="AJ93" s="289">
        <f t="shared" si="88"/>
        <v>1260.5</v>
      </c>
      <c r="AK93" s="289">
        <f t="shared" si="88"/>
        <v>1260.5</v>
      </c>
      <c r="AL93" s="333"/>
      <c r="AM93" s="334"/>
      <c r="AN93" s="289">
        <f>SUMIFS(PBC_BALANCE_SHEET[AccountBalance], PBC_BALANCE_SHEET[Id],$L93,PBC_BALANCE_SHEET[Date],AN$5)</f>
        <v>0</v>
      </c>
      <c r="AO93" s="289">
        <f>SUMIFS(PBC_BALANCE_SHEET[AccountBalance], PBC_BALANCE_SHEET[Id],$L93,PBC_BALANCE_SHEET[Date],AO$5)</f>
        <v>322</v>
      </c>
      <c r="AP93" s="289">
        <f>SUMIFS(PBC_BALANCE_SHEET[AccountBalance], PBC_BALANCE_SHEET[Id],$L93,PBC_BALANCE_SHEET[Date],AP$5)</f>
        <v>944</v>
      </c>
      <c r="AQ93" s="289">
        <f>SUMIFS(PBC_BALANCE_SHEET[AccountBalance], PBC_BALANCE_SHEET[Id],$L93,PBC_BALANCE_SHEET[Date],AQ$5)</f>
        <v>1636</v>
      </c>
      <c r="AR93" s="289">
        <f>SUMIFS(PBC_BALANCE_SHEET[AccountBalance], PBC_BALANCE_SHEET[Id],$L93,PBC_BALANCE_SHEET[Date],AR$5)</f>
        <v>2317</v>
      </c>
      <c r="AS93" s="289">
        <f>SUMIFS(PBC_BALANCE_SHEET[AccountBalance], PBC_BALANCE_SHEET[Id],$L93,PBC_BALANCE_SHEET[Date],AS$5)</f>
        <v>1183</v>
      </c>
      <c r="AT93" s="289">
        <f>SUMIFS(PBC_BALANCE_SHEET[AccountBalance], PBC_BALANCE_SHEET[Id],$L93,PBC_BALANCE_SHEET[Date],AT$5)</f>
        <v>1173</v>
      </c>
      <c r="AU93" s="289">
        <f>SUMIFS(PBC_BALANCE_SHEET[AccountBalance], PBC_BALANCE_SHEET[Id],$L93,PBC_BALANCE_SHEET[Date],AU$5)</f>
        <v>2805</v>
      </c>
      <c r="AV93" s="289">
        <f>SUMIFS(PBC_BALANCE_SHEET[AccountBalance], PBC_BALANCE_SHEET[Id],$L93,PBC_BALANCE_SHEET[Date],AV$5)</f>
        <v>115.5</v>
      </c>
      <c r="AW93" s="289">
        <f>SUMIFS(PBC_BALANCE_SHEET[AccountBalance], PBC_BALANCE_SHEET[Id],$L93,PBC_BALANCE_SHEET[Date],AW$5)</f>
        <v>3370.5</v>
      </c>
      <c r="AX93" s="289">
        <f>SUMIFS(PBC_BALANCE_SHEET[AccountBalance], PBC_BALANCE_SHEET[Id],$L93,PBC_BALANCE_SHEET[Date],AX$5)</f>
        <v>1260.5</v>
      </c>
      <c r="AY93" s="289">
        <f>SUMIFS(PBC_BALANCE_SHEET[AccountBalance], PBC_BALANCE_SHEET[Id],$L93,PBC_BALANCE_SHEET[Date],AY$5)</f>
        <v>1260.5</v>
      </c>
      <c r="AZ93" s="289">
        <f>SUMIFS(PBC_BALANCE_SHEET[AccountBalance], PBC_BALANCE_SHEET[Id],$L93,PBC_BALANCE_SHEET[Date],AZ$5)</f>
        <v>1260.5</v>
      </c>
      <c r="BA93" s="289">
        <f>SUMIFS(PBC_BALANCE_SHEET[AccountBalance], PBC_BALANCE_SHEET[Id],$L93,PBC_BALANCE_SHEET[Date],BA$5)</f>
        <v>1260.5</v>
      </c>
      <c r="BB93" s="289">
        <f>SUMIFS(PBC_BALANCE_SHEET[AccountBalance], PBC_BALANCE_SHEET[Id],$L93,PBC_BALANCE_SHEET[Date],BB$5)</f>
        <v>1260.5</v>
      </c>
      <c r="BC93" s="289">
        <f>SUMIFS(PBC_BALANCE_SHEET[AccountBalance], PBC_BALANCE_SHEET[Id],$L93,PBC_BALANCE_SHEET[Date],BC$5)</f>
        <v>1260.5</v>
      </c>
      <c r="BD93" s="289">
        <f>SUMIFS(PBC_BALANCE_SHEET[AccountBalance], PBC_BALANCE_SHEET[Id],$L93,PBC_BALANCE_SHEET[Date],BD$5)</f>
        <v>1260.5</v>
      </c>
      <c r="BE93" s="289">
        <f>SUMIFS(PBC_BALANCE_SHEET[AccountBalance], PBC_BALANCE_SHEET[Id],$L93,PBC_BALANCE_SHEET[Date],BE$5)</f>
        <v>1260.5</v>
      </c>
      <c r="BF93" s="289">
        <f>SUMIFS(PBC_BALANCE_SHEET[AccountBalance], PBC_BALANCE_SHEET[Id],$L93,PBC_BALANCE_SHEET[Date],BF$5)</f>
        <v>1260.5</v>
      </c>
      <c r="BG93" s="289">
        <f>SUMIFS(PBC_BALANCE_SHEET[AccountBalance], PBC_BALANCE_SHEET[Id],$L93,PBC_BALANCE_SHEET[Date],BG$5)</f>
        <v>1260.5</v>
      </c>
      <c r="BH93" s="289">
        <f>SUMIFS(PBC_BALANCE_SHEET[AccountBalance], PBC_BALANCE_SHEET[Id],$L93,PBC_BALANCE_SHEET[Date],BH$5)</f>
        <v>1260.5</v>
      </c>
      <c r="BI93" s="289">
        <f>SUMIFS(PBC_BALANCE_SHEET[AccountBalance], PBC_BALANCE_SHEET[Id],$L93,PBC_BALANCE_SHEET[Date],BI$5)</f>
        <v>1260.5</v>
      </c>
      <c r="BJ93" s="289">
        <f>SUMIFS(PBC_BALANCE_SHEET[AccountBalance], PBC_BALANCE_SHEET[Id],$L93,PBC_BALANCE_SHEET[Date],BJ$5)</f>
        <v>1260.5</v>
      </c>
      <c r="BK93" s="289">
        <f>SUMIFS(PBC_BALANCE_SHEET[AccountBalance], PBC_BALANCE_SHEET[Id],$L93,PBC_BALANCE_SHEET[Date],BK$5)</f>
        <v>1260.5</v>
      </c>
      <c r="BL93" s="289">
        <f>SUMIFS(PBC_BALANCE_SHEET[AccountBalance], PBC_BALANCE_SHEET[Id],$L93,PBC_BALANCE_SHEET[Date],BL$5)</f>
        <v>1260.5</v>
      </c>
      <c r="BM93" s="289">
        <f>SUMIFS(PBC_BALANCE_SHEET[AccountBalance], PBC_BALANCE_SHEET[Id],$L93,PBC_BALANCE_SHEET[Date],BM$5)</f>
        <v>1260.5</v>
      </c>
      <c r="BN93" s="289">
        <f>SUMIFS(PBC_BALANCE_SHEET[AccountBalance], PBC_BALANCE_SHEET[Id],$L93,PBC_BALANCE_SHEET[Date],BN$5)</f>
        <v>1260.5</v>
      </c>
      <c r="BO93" s="289">
        <f>SUMIFS(PBC_BALANCE_SHEET[AccountBalance], PBC_BALANCE_SHEET[Id],$L93,PBC_BALANCE_SHEET[Date],BO$5)</f>
        <v>1260.5</v>
      </c>
      <c r="BP93" s="289">
        <f>SUMIFS(PBC_BALANCE_SHEET[AccountBalance], PBC_BALANCE_SHEET[Id],$L93,PBC_BALANCE_SHEET[Date],BP$5)</f>
        <v>1260.5</v>
      </c>
      <c r="BQ93" s="289">
        <f>SUMIFS(PBC_BALANCE_SHEET[AccountBalance], PBC_BALANCE_SHEET[Id],$L93,PBC_BALANCE_SHEET[Date],BQ$5)</f>
        <v>1260.5</v>
      </c>
      <c r="BR93" s="289">
        <f>SUMIFS(PBC_BALANCE_SHEET[AccountBalance], PBC_BALANCE_SHEET[Id],$L93,PBC_BALANCE_SHEET[Date],BR$5)</f>
        <v>1260.5</v>
      </c>
      <c r="BS93" s="289">
        <f>SUMIFS(PBC_BALANCE_SHEET[AccountBalance], PBC_BALANCE_SHEET[Id],$L93,PBC_BALANCE_SHEET[Date],BS$5)</f>
        <v>1260.5</v>
      </c>
      <c r="BT93" s="289">
        <f>SUMIFS(PBC_BALANCE_SHEET[AccountBalance], PBC_BALANCE_SHEET[Id],$L93,PBC_BALANCE_SHEET[Date],BT$5)</f>
        <v>1260.5</v>
      </c>
      <c r="BU93" s="289">
        <f>SUMIFS(PBC_BALANCE_SHEET[AccountBalance], PBC_BALANCE_SHEET[Id],$L93,PBC_BALANCE_SHEET[Date],BU$5)</f>
        <v>1260.5</v>
      </c>
      <c r="BV93" s="289">
        <f>SUMIFS(PBC_BALANCE_SHEET[AccountBalance], PBC_BALANCE_SHEET[Id],$L93,PBC_BALANCE_SHEET[Date],BV$5)</f>
        <v>1260.5</v>
      </c>
      <c r="BW93" s="289">
        <f>SUMIFS(PBC_BALANCE_SHEET[AccountBalance], PBC_BALANCE_SHEET[Id],$L93,PBC_BALANCE_SHEET[Date],BW$5)</f>
        <v>1260.5</v>
      </c>
      <c r="BX93" s="335" cm="1">
        <f t="array" ref="BX93">_xlfn.SWITCH(
    $E93,
    "3 month avg", AVERAGE(BU93:BW93) * (1 + $F93),
    "6 month avg", AVERAGE(BR93:BW93) * (1 + $F93),
    "12 month avg", AVERAGE(BM93:BW93) * (1 + $F93),
    "Prior Month",BW93* (1 + $F93),
    "Prior Year", BL93* (1 + $F93),
    "Monthly assumption",$G93* (1 + $F93),
    "Quarterly assumption",$G93/3* (1 + $F93),
    "Annual assumption",$G93/12* (1 + $F93),
    "% of Revenue",SUM(_xlfn._xlws.FILTER(_xlfn._xlws.FILTER(dataSummaryPL,dataSummaryPLSections="Revenue"),(startDates&gt;=BX$4)*(endDates&lt;=BX$5)))*$F93,
    "Custom",0,
    "0",0,
        0
)</f>
        <v>1260.5</v>
      </c>
      <c r="BY93" s="335" cm="1">
        <f t="array" ref="BY93">_xlfn.SWITCH(
    $E93,
    "3 month avg", AVERAGE(BV93:BX93) * (1 + $F93),
    "6 month avg", AVERAGE(BS93:BX93) * (1 + $F93),
    "12 month avg", AVERAGE(BN93:BX93) * (1 + $F93),
    "Prior Month",BX93* (1 + $F93),
    "Prior Year", BM93* (1 + $F93),
    "Monthly assumption",$G93* (1 + $F93),
    "Quarterly assumption",$G93/3* (1 + $F93),
    "Annual assumption",$G93/12* (1 + $F93),
    "% of Revenue",SUM(_xlfn._xlws.FILTER(_xlfn._xlws.FILTER(dataSummaryPL,dataSummaryPLSections="Revenue"),(startDates&gt;=BY$4)*(endDates&lt;=BY$5)))*$F93,
    "Custom",0,
    "0",0,
        0
)</f>
        <v>1260.5</v>
      </c>
      <c r="BZ93" s="335" cm="1">
        <f t="array" ref="BZ93">_xlfn.SWITCH(
    $E93,
    "3 month avg", AVERAGE(BW93:BY93) * (1 + $F93),
    "6 month avg", AVERAGE(BT93:BY93) * (1 + $F93),
    "12 month avg", AVERAGE(BO93:BY93) * (1 + $F93),
    "Prior Month",BY93* (1 + $F93),
    "Prior Year", BN93* (1 + $F93),
    "Monthly assumption",$G93* (1 + $F93),
    "Quarterly assumption",$G93/3* (1 + $F93),
    "Annual assumption",$G93/12* (1 + $F93),
    "% of Revenue",SUM(_xlfn._xlws.FILTER(_xlfn._xlws.FILTER(dataSummaryPL,dataSummaryPLSections="Revenue"),(startDates&gt;=BZ$4)*(endDates&lt;=BZ$5)))*$F93,
    "Custom",0,
    "0",0,
        0
)</f>
        <v>1260.5</v>
      </c>
      <c r="CA93" s="335" cm="1">
        <f t="array" ref="CA93">_xlfn.SWITCH(
    $E93,
    "3 month avg", AVERAGE(BX93:BZ93) * (1 + $F93),
    "6 month avg", AVERAGE(BU93:BZ93) * (1 + $F93),
    "12 month avg", AVERAGE(BP93:BZ93) * (1 + $F93),
    "Prior Month",BZ93* (1 + $F93),
    "Prior Year", BO93* (1 + $F93),
    "Monthly assumption",$G93* (1 + $F93),
    "Quarterly assumption",$G93/3* (1 + $F93),
    "Annual assumption",$G93/12* (1 + $F93),
    "% of Revenue",SUM(_xlfn._xlws.FILTER(_xlfn._xlws.FILTER(dataSummaryPL,dataSummaryPLSections="Revenue"),(startDates&gt;=CA$4)*(endDates&lt;=CA$5)))*$F93,
    "Custom",0,
    "0",0,
        0
)</f>
        <v>1260.5</v>
      </c>
      <c r="CB93" s="335" cm="1">
        <f t="array" ref="CB93">_xlfn.SWITCH(
    $E93,
    "3 month avg", AVERAGE(BY93:CA93) * (1 + $F93),
    "6 month avg", AVERAGE(BV93:CA93) * (1 + $F93),
    "12 month avg", AVERAGE(BQ93:CA93) * (1 + $F93),
    "Prior Month",CA93* (1 + $F93),
    "Prior Year", BP93* (1 + $F93),
    "Monthly assumption",$G93* (1 + $F93),
    "Quarterly assumption",$G93/3* (1 + $F93),
    "Annual assumption",$G93/12* (1 + $F93),
    "% of Revenue",SUM(_xlfn._xlws.FILTER(_xlfn._xlws.FILTER(dataSummaryPL,dataSummaryPLSections="Revenue"),(startDates&gt;=CB$4)*(endDates&lt;=CB$5)))*$F93,
    "Custom",0,
    "0",0,
        0
)</f>
        <v>1260.5</v>
      </c>
      <c r="CC93" s="335" cm="1">
        <f t="array" ref="CC93">_xlfn.SWITCH(
    $E93,
    "3 month avg", AVERAGE(BZ93:CB93) * (1 + $F93),
    "6 month avg", AVERAGE(BW93:CB93) * (1 + $F93),
    "12 month avg", AVERAGE(BR93:CB93) * (1 + $F93),
    "Prior Month",CB93* (1 + $F93),
    "Prior Year", BQ93* (1 + $F93),
    "Monthly assumption",$G93* (1 + $F93),
    "Quarterly assumption",$G93/3* (1 + $F93),
    "Annual assumption",$G93/12* (1 + $F93),
    "% of Revenue",SUM(_xlfn._xlws.FILTER(_xlfn._xlws.FILTER(dataSummaryPL,dataSummaryPLSections="Revenue"),(startDates&gt;=CC$4)*(endDates&lt;=CC$5)))*$F93,
    "Custom",0,
    "0",0,
        0
)</f>
        <v>1260.5</v>
      </c>
      <c r="CD93" s="335" cm="1">
        <f t="array" ref="CD93">_xlfn.SWITCH(
    $E93,
    "3 month avg", AVERAGE(CA93:CC93) * (1 + $F93),
    "6 month avg", AVERAGE(BX93:CC93) * (1 + $F93),
    "12 month avg", AVERAGE(BS93:CC93) * (1 + $F93),
    "Prior Month",CC93* (1 + $F93),
    "Prior Year", BR93* (1 + $F93),
    "Monthly assumption",$G93* (1 + $F93),
    "Quarterly assumption",$G93/3* (1 + $F93),
    "Annual assumption",$G93/12* (1 + $F93),
    "% of Revenue",SUM(_xlfn._xlws.FILTER(_xlfn._xlws.FILTER(dataSummaryPL,dataSummaryPLSections="Revenue"),(startDates&gt;=CD$4)*(endDates&lt;=CD$5)))*$F93,
    "Custom",0,
    "0",0,
        0
)</f>
        <v>1260.5</v>
      </c>
      <c r="CE93" s="335" cm="1">
        <f t="array" ref="CE93">_xlfn.SWITCH(
    $E93,
    "3 month avg", AVERAGE(CB93:CD93) * (1 + $F93),
    "6 month avg", AVERAGE(BY93:CD93) * (1 + $F93),
    "12 month avg", AVERAGE(BT93:CD93) * (1 + $F93),
    "Prior Month",CD93* (1 + $F93),
    "Prior Year", BS93* (1 + $F93),
    "Monthly assumption",$G93* (1 + $F93),
    "Quarterly assumption",$G93/3* (1 + $F93),
    "Annual assumption",$G93/12* (1 + $F93),
    "% of Revenue",SUM(_xlfn._xlws.FILTER(_xlfn._xlws.FILTER(dataSummaryPL,dataSummaryPLSections="Revenue"),(startDates&gt;=CE$4)*(endDates&lt;=CE$5)))*$F93,
    "Custom",0,
    "0",0,
        0
)</f>
        <v>1260.5</v>
      </c>
      <c r="CF93" s="335" cm="1">
        <f t="array" ref="CF93">_xlfn.SWITCH(
    $E93,
    "3 month avg", AVERAGE(CC93:CE93) * (1 + $F93),
    "6 month avg", AVERAGE(BZ93:CE93) * (1 + $F93),
    "12 month avg", AVERAGE(BU93:CE93) * (1 + $F93),
    "Prior Month",CE93* (1 + $F93),
    "Prior Year", BT93* (1 + $F93),
    "Monthly assumption",$G93* (1 + $F93),
    "Quarterly assumption",$G93/3* (1 + $F93),
    "Annual assumption",$G93/12* (1 + $F93),
    "% of Revenue",SUM(_xlfn._xlws.FILTER(_xlfn._xlws.FILTER(dataSummaryPL,dataSummaryPLSections="Revenue"),(startDates&gt;=CF$4)*(endDates&lt;=CF$5)))*$F93,
    "Custom",0,
    "0",0,
        0
)</f>
        <v>1260.5</v>
      </c>
      <c r="CG93" s="335" cm="1">
        <f t="array" ref="CG93">_xlfn.SWITCH(
    $E93,
    "3 month avg", AVERAGE(CD93:CF93) * (1 + $F93),
    "6 month avg", AVERAGE(CA93:CF93) * (1 + $F93),
    "12 month avg", AVERAGE(BV93:CF93) * (1 + $F93),
    "Prior Month",CF93* (1 + $F93),
    "Prior Year", BU93* (1 + $F93),
    "Monthly assumption",$G93* (1 + $F93),
    "Quarterly assumption",$G93/3* (1 + $F93),
    "Annual assumption",$G93/12* (1 + $F93),
    "% of Revenue",SUM(_xlfn._xlws.FILTER(_xlfn._xlws.FILTER(dataSummaryPL,dataSummaryPLSections="Revenue"),(startDates&gt;=CG$4)*(endDates&lt;=CG$5)))*$F93,
    "Custom",0,
    "0",0,
        0
)</f>
        <v>1260.5</v>
      </c>
      <c r="CH93" s="335" cm="1">
        <f t="array" ref="CH93">_xlfn.SWITCH(
    $E93,
    "3 month avg", AVERAGE(CE93:CG93) * (1 + $F93),
    "6 month avg", AVERAGE(CB93:CG93) * (1 + $F93),
    "12 month avg", AVERAGE(BW93:CG93) * (1 + $F93),
    "Prior Month",CG93* (1 + $F93),
    "Prior Year", BV93* (1 + $F93),
    "Monthly assumption",$G93* (1 + $F93),
    "Quarterly assumption",$G93/3* (1 + $F93),
    "Annual assumption",$G93/12* (1 + $F93),
    "% of Revenue",SUM(_xlfn._xlws.FILTER(_xlfn._xlws.FILTER(dataSummaryPL,dataSummaryPLSections="Revenue"),(startDates&gt;=CH$4)*(endDates&lt;=CH$5)))*$F93,
    "Custom",0,
    "0",0,
        0
)</f>
        <v>1260.5</v>
      </c>
      <c r="CI93" s="335" cm="1">
        <f t="array" ref="CI93">_xlfn.SWITCH(
    $E93,
    "3 month avg", AVERAGE(CF93:CH93) * (1 + $F93),
    "6 month avg", AVERAGE(CC93:CH93) * (1 + $F93),
    "12 month avg", AVERAGE(BX93:CH93) * (1 + $F93),
    "Prior Month",CH93* (1 + $F93),
    "Prior Year", BW93* (1 + $F93),
    "Monthly assumption",$G93* (1 + $F93),
    "Quarterly assumption",$G93/3* (1 + $F93),
    "Annual assumption",$G93/12* (1 + $F93),
    "% of Revenue",SUM(_xlfn._xlws.FILTER(_xlfn._xlws.FILTER(dataSummaryPL,dataSummaryPLSections="Revenue"),(startDates&gt;=CI$4)*(endDates&lt;=CI$5)))*$F93,
    "Custom",0,
    "0",0,
        0
)</f>
        <v>1260.5</v>
      </c>
      <c r="CJ93" s="335" cm="1">
        <f t="array" ref="CJ93">_xlfn.SWITCH(
    $E93,
    "3 month avg", AVERAGE(CG93:CI93) * (1 + $F93),
    "6 month avg", AVERAGE(CD93:CI93) * (1 + $F93),
    "12 month avg", AVERAGE(BY93:CI93) * (1 + $F93),
    "Prior Month",CI93* (1 + $F93),
    "Prior Year", BX93* (1 + $F93),
    "Monthly assumption",$G93* (1 + $F93),
    "Quarterly assumption",$G93/3* (1 + $F93),
    "Annual assumption",$G93/12* (1 + $F93),
    "% of Revenue",SUM(_xlfn._xlws.FILTER(_xlfn._xlws.FILTER(dataSummaryPL,dataSummaryPLSections="Revenue"),(startDates&gt;=CJ$4)*(endDates&lt;=CJ$5)))*$F93,
    "Custom",0,
    "0",0,
        0
)</f>
        <v>1260.5</v>
      </c>
    </row>
    <row r="94" spans="1:88" ht="15" outlineLevel="2">
      <c r="B94" s="284"/>
      <c r="C94" s="283"/>
      <c r="D94" s="288" t="s">
        <v>302</v>
      </c>
      <c r="E94" s="280" t="s">
        <v>358</v>
      </c>
      <c r="F94" s="279"/>
      <c r="G94" s="279"/>
      <c r="H94" s="277" t="str">
        <f>IFERROR(INDEX(PBC_ACCOUNT_LIST[Drivers Section],MATCH(Drivers!L94,PBC_ACCOUNT_LIST[Id],0)),"")</f>
        <v>Liabilities</v>
      </c>
      <c r="I94" s="277" t="str">
        <f>IFERROR(INDEX(PBC_ACCOUNT_LIST[Summary Grouping],MATCH(Drivers!L94,PBC_ACCOUNT_LIST[Id],0)),"")</f>
        <v>Accounts Payable</v>
      </c>
      <c r="J94" s="277" t="str">
        <f>IFERROR(INDEX(PBC_ACCOUNT_LIST[Cash Flow Section],MATCH(Drivers!L94,PBC_ACCOUNT_LIST[Id],0)),"")</f>
        <v>Cash from Operating Activities</v>
      </c>
      <c r="K94" s="278" t="s">
        <v>106</v>
      </c>
      <c r="L94" s="277">
        <v>7</v>
      </c>
      <c r="M94" s="276"/>
      <c r="O94" s="272"/>
      <c r="P94" s="289">
        <f t="shared" si="87"/>
        <v>0</v>
      </c>
      <c r="Q94" s="289">
        <f t="shared" si="87"/>
        <v>0</v>
      </c>
      <c r="R94" s="289">
        <f t="shared" si="87"/>
        <v>2500</v>
      </c>
      <c r="S94" s="289">
        <f t="shared" si="87"/>
        <v>2500</v>
      </c>
      <c r="T94" s="289"/>
      <c r="U94" s="289"/>
      <c r="V94" s="289">
        <f t="shared" si="88"/>
        <v>0</v>
      </c>
      <c r="W94" s="289">
        <f t="shared" si="88"/>
        <v>0</v>
      </c>
      <c r="X94" s="289">
        <f t="shared" si="88"/>
        <v>0</v>
      </c>
      <c r="Y94" s="289">
        <f t="shared" si="88"/>
        <v>0</v>
      </c>
      <c r="Z94" s="289">
        <f t="shared" si="88"/>
        <v>0</v>
      </c>
      <c r="AA94" s="289">
        <f t="shared" si="88"/>
        <v>0</v>
      </c>
      <c r="AB94" s="289">
        <f t="shared" si="88"/>
        <v>0</v>
      </c>
      <c r="AC94" s="289">
        <f t="shared" si="88"/>
        <v>0</v>
      </c>
      <c r="AD94" s="289">
        <f t="shared" si="88"/>
        <v>0</v>
      </c>
      <c r="AE94" s="289">
        <f t="shared" si="88"/>
        <v>1000</v>
      </c>
      <c r="AF94" s="289">
        <f t="shared" si="88"/>
        <v>1500</v>
      </c>
      <c r="AG94" s="289">
        <f t="shared" si="88"/>
        <v>2500</v>
      </c>
      <c r="AH94" s="289">
        <f t="shared" si="88"/>
        <v>2500</v>
      </c>
      <c r="AI94" s="289">
        <f t="shared" si="88"/>
        <v>2500</v>
      </c>
      <c r="AJ94" s="289">
        <f t="shared" si="88"/>
        <v>2500</v>
      </c>
      <c r="AK94" s="289">
        <f t="shared" si="88"/>
        <v>2500</v>
      </c>
      <c r="AL94" s="333"/>
      <c r="AM94" s="334"/>
      <c r="AN94" s="289">
        <f>SUMIFS(PBC_BALANCE_SHEET[AccountBalance], PBC_BALANCE_SHEET[Id],$L94,PBC_BALANCE_SHEET[Date],AN$5)</f>
        <v>0</v>
      </c>
      <c r="AO94" s="289">
        <f>SUMIFS(PBC_BALANCE_SHEET[AccountBalance], PBC_BALANCE_SHEET[Id],$L94,PBC_BALANCE_SHEET[Date],AO$5)</f>
        <v>0</v>
      </c>
      <c r="AP94" s="289">
        <f>SUMIFS(PBC_BALANCE_SHEET[AccountBalance], PBC_BALANCE_SHEET[Id],$L94,PBC_BALANCE_SHEET[Date],AP$5)</f>
        <v>0</v>
      </c>
      <c r="AQ94" s="289">
        <f>SUMIFS(PBC_BALANCE_SHEET[AccountBalance], PBC_BALANCE_SHEET[Id],$L94,PBC_BALANCE_SHEET[Date],AQ$5)</f>
        <v>0</v>
      </c>
      <c r="AR94" s="289">
        <f>SUMIFS(PBC_BALANCE_SHEET[AccountBalance], PBC_BALANCE_SHEET[Id],$L94,PBC_BALANCE_SHEET[Date],AR$5)</f>
        <v>0</v>
      </c>
      <c r="AS94" s="289">
        <f>SUMIFS(PBC_BALANCE_SHEET[AccountBalance], PBC_BALANCE_SHEET[Id],$L94,PBC_BALANCE_SHEET[Date],AS$5)</f>
        <v>0</v>
      </c>
      <c r="AT94" s="289">
        <f>SUMIFS(PBC_BALANCE_SHEET[AccountBalance], PBC_BALANCE_SHEET[Id],$L94,PBC_BALANCE_SHEET[Date],AT$5)</f>
        <v>0</v>
      </c>
      <c r="AU94" s="289">
        <f>SUMIFS(PBC_BALANCE_SHEET[AccountBalance], PBC_BALANCE_SHEET[Id],$L94,PBC_BALANCE_SHEET[Date],AU$5)</f>
        <v>0</v>
      </c>
      <c r="AV94" s="289">
        <f>SUMIFS(PBC_BALANCE_SHEET[AccountBalance], PBC_BALANCE_SHEET[Id],$L94,PBC_BALANCE_SHEET[Date],AV$5)</f>
        <v>0</v>
      </c>
      <c r="AW94" s="289">
        <f>SUMIFS(PBC_BALANCE_SHEET[AccountBalance], PBC_BALANCE_SHEET[Id],$L94,PBC_BALANCE_SHEET[Date],AW$5)</f>
        <v>0</v>
      </c>
      <c r="AX94" s="289">
        <f>SUMIFS(PBC_BALANCE_SHEET[AccountBalance], PBC_BALANCE_SHEET[Id],$L94,PBC_BALANCE_SHEET[Date],AX$5)</f>
        <v>0</v>
      </c>
      <c r="AY94" s="289">
        <f>SUMIFS(PBC_BALANCE_SHEET[AccountBalance], PBC_BALANCE_SHEET[Id],$L94,PBC_BALANCE_SHEET[Date],AY$5)</f>
        <v>0</v>
      </c>
      <c r="AZ94" s="289">
        <f>SUMIFS(PBC_BALANCE_SHEET[AccountBalance], PBC_BALANCE_SHEET[Id],$L94,PBC_BALANCE_SHEET[Date],AZ$5)</f>
        <v>0</v>
      </c>
      <c r="BA94" s="289">
        <f>SUMIFS(PBC_BALANCE_SHEET[AccountBalance], PBC_BALANCE_SHEET[Id],$L94,PBC_BALANCE_SHEET[Date],BA$5)</f>
        <v>0</v>
      </c>
      <c r="BB94" s="289">
        <f>SUMIFS(PBC_BALANCE_SHEET[AccountBalance], PBC_BALANCE_SHEET[Id],$L94,PBC_BALANCE_SHEET[Date],BB$5)</f>
        <v>0</v>
      </c>
      <c r="BC94" s="289">
        <f>SUMIFS(PBC_BALANCE_SHEET[AccountBalance], PBC_BALANCE_SHEET[Id],$L94,PBC_BALANCE_SHEET[Date],BC$5)</f>
        <v>0</v>
      </c>
      <c r="BD94" s="289">
        <f>SUMIFS(PBC_BALANCE_SHEET[AccountBalance], PBC_BALANCE_SHEET[Id],$L94,PBC_BALANCE_SHEET[Date],BD$5)</f>
        <v>0</v>
      </c>
      <c r="BE94" s="289">
        <f>SUMIFS(PBC_BALANCE_SHEET[AccountBalance], PBC_BALANCE_SHEET[Id],$L94,PBC_BALANCE_SHEET[Date],BE$5)</f>
        <v>0</v>
      </c>
      <c r="BF94" s="289">
        <f>SUMIFS(PBC_BALANCE_SHEET[AccountBalance], PBC_BALANCE_SHEET[Id],$L94,PBC_BALANCE_SHEET[Date],BF$5)</f>
        <v>0</v>
      </c>
      <c r="BG94" s="289">
        <f>SUMIFS(PBC_BALANCE_SHEET[AccountBalance], PBC_BALANCE_SHEET[Id],$L94,PBC_BALANCE_SHEET[Date],BG$5)</f>
        <v>0</v>
      </c>
      <c r="BH94" s="289">
        <f>SUMIFS(PBC_BALANCE_SHEET[AccountBalance], PBC_BALANCE_SHEET[Id],$L94,PBC_BALANCE_SHEET[Date],BH$5)</f>
        <v>0</v>
      </c>
      <c r="BI94" s="289">
        <f>SUMIFS(PBC_BALANCE_SHEET[AccountBalance], PBC_BALANCE_SHEET[Id],$L94,PBC_BALANCE_SHEET[Date],BI$5)</f>
        <v>0</v>
      </c>
      <c r="BJ94" s="289">
        <f>SUMIFS(PBC_BALANCE_SHEET[AccountBalance], PBC_BALANCE_SHEET[Id],$L94,PBC_BALANCE_SHEET[Date],BJ$5)</f>
        <v>0</v>
      </c>
      <c r="BK94" s="289">
        <f>SUMIFS(PBC_BALANCE_SHEET[AccountBalance], PBC_BALANCE_SHEET[Id],$L94,PBC_BALANCE_SHEET[Date],BK$5)</f>
        <v>0</v>
      </c>
      <c r="BL94" s="289">
        <f>SUMIFS(PBC_BALANCE_SHEET[AccountBalance], PBC_BALANCE_SHEET[Id],$L94,PBC_BALANCE_SHEET[Date],BL$5)</f>
        <v>0</v>
      </c>
      <c r="BM94" s="289">
        <f>SUMIFS(PBC_BALANCE_SHEET[AccountBalance], PBC_BALANCE_SHEET[Id],$L94,PBC_BALANCE_SHEET[Date],BM$5)</f>
        <v>0</v>
      </c>
      <c r="BN94" s="289">
        <f>SUMIFS(PBC_BALANCE_SHEET[AccountBalance], PBC_BALANCE_SHEET[Id],$L94,PBC_BALANCE_SHEET[Date],BN$5)</f>
        <v>0</v>
      </c>
      <c r="BO94" s="289">
        <f>SUMIFS(PBC_BALANCE_SHEET[AccountBalance], PBC_BALANCE_SHEET[Id],$L94,PBC_BALANCE_SHEET[Date],BO$5)</f>
        <v>0</v>
      </c>
      <c r="BP94" s="289">
        <f>SUMIFS(PBC_BALANCE_SHEET[AccountBalance], PBC_BALANCE_SHEET[Id],$L94,PBC_BALANCE_SHEET[Date],BP$5)</f>
        <v>0</v>
      </c>
      <c r="BQ94" s="289">
        <f>SUMIFS(PBC_BALANCE_SHEET[AccountBalance], PBC_BALANCE_SHEET[Id],$L94,PBC_BALANCE_SHEET[Date],BQ$5)</f>
        <v>0</v>
      </c>
      <c r="BR94" s="289">
        <f>SUMIFS(PBC_BALANCE_SHEET[AccountBalance], PBC_BALANCE_SHEET[Id],$L94,PBC_BALANCE_SHEET[Date],BR$5)</f>
        <v>1000</v>
      </c>
      <c r="BS94" s="289">
        <f>SUMIFS(PBC_BALANCE_SHEET[AccountBalance], PBC_BALANCE_SHEET[Id],$L94,PBC_BALANCE_SHEET[Date],BS$5)</f>
        <v>1000</v>
      </c>
      <c r="BT94" s="289">
        <f>SUMIFS(PBC_BALANCE_SHEET[AccountBalance], PBC_BALANCE_SHEET[Id],$L94,PBC_BALANCE_SHEET[Date],BT$5)</f>
        <v>1500</v>
      </c>
      <c r="BU94" s="289">
        <f>SUMIFS(PBC_BALANCE_SHEET[AccountBalance], PBC_BALANCE_SHEET[Id],$L94,PBC_BALANCE_SHEET[Date],BU$5)</f>
        <v>1500</v>
      </c>
      <c r="BV94" s="289">
        <f>SUMIFS(PBC_BALANCE_SHEET[AccountBalance], PBC_BALANCE_SHEET[Id],$L94,PBC_BALANCE_SHEET[Date],BV$5)</f>
        <v>1500</v>
      </c>
      <c r="BW94" s="289">
        <f>SUMIFS(PBC_BALANCE_SHEET[AccountBalance], PBC_BALANCE_SHEET[Id],$L94,PBC_BALANCE_SHEET[Date],BW$5)</f>
        <v>2500</v>
      </c>
      <c r="BX94" s="335" cm="1">
        <f t="array" ref="BX94">_xlfn.SWITCH(
    $E94,
    "3 month avg", AVERAGE(BU94:BW94) * (1 + $F94),
    "6 month avg", AVERAGE(BR94:BW94) * (1 + $F94),
    "12 month avg", AVERAGE(BM94:BW94) * (1 + $F94),
    "Prior Month",BW94* (1 + $F94),
    "Prior Year", BL94* (1 + $F94),
    "Monthly assumption",$G94* (1 + $F94),
    "Quarterly assumption",$G94/3* (1 + $F94),
    "Annual assumption",$G94/12* (1 + $F94),
    "% of Revenue",SUM(_xlfn._xlws.FILTER(_xlfn._xlws.FILTER(dataSummaryPL,dataSummaryPLSections="Revenue"),(startDates&gt;=BX$4)*(endDates&lt;=BX$5)))*$F94,
    "Custom",0,
    "0",0,
        0
)</f>
        <v>2500</v>
      </c>
      <c r="BY94" s="335" cm="1">
        <f t="array" ref="BY94">_xlfn.SWITCH(
    $E94,
    "3 month avg", AVERAGE(BV94:BX94) * (1 + $F94),
    "6 month avg", AVERAGE(BS94:BX94) * (1 + $F94),
    "12 month avg", AVERAGE(BN94:BX94) * (1 + $F94),
    "Prior Month",BX94* (1 + $F94),
    "Prior Year", BM94* (1 + $F94),
    "Monthly assumption",$G94* (1 + $F94),
    "Quarterly assumption",$G94/3* (1 + $F94),
    "Annual assumption",$G94/12* (1 + $F94),
    "% of Revenue",SUM(_xlfn._xlws.FILTER(_xlfn._xlws.FILTER(dataSummaryPL,dataSummaryPLSections="Revenue"),(startDates&gt;=BY$4)*(endDates&lt;=BY$5)))*$F94,
    "Custom",0,
    "0",0,
        0
)</f>
        <v>2500</v>
      </c>
      <c r="BZ94" s="335" cm="1">
        <f t="array" ref="BZ94">_xlfn.SWITCH(
    $E94,
    "3 month avg", AVERAGE(BW94:BY94) * (1 + $F94),
    "6 month avg", AVERAGE(BT94:BY94) * (1 + $F94),
    "12 month avg", AVERAGE(BO94:BY94) * (1 + $F94),
    "Prior Month",BY94* (1 + $F94),
    "Prior Year", BN94* (1 + $F94),
    "Monthly assumption",$G94* (1 + $F94),
    "Quarterly assumption",$G94/3* (1 + $F94),
    "Annual assumption",$G94/12* (1 + $F94),
    "% of Revenue",SUM(_xlfn._xlws.FILTER(_xlfn._xlws.FILTER(dataSummaryPL,dataSummaryPLSections="Revenue"),(startDates&gt;=BZ$4)*(endDates&lt;=BZ$5)))*$F94,
    "Custom",0,
    "0",0,
        0
)</f>
        <v>2500</v>
      </c>
      <c r="CA94" s="335" cm="1">
        <f t="array" ref="CA94">_xlfn.SWITCH(
    $E94,
    "3 month avg", AVERAGE(BX94:BZ94) * (1 + $F94),
    "6 month avg", AVERAGE(BU94:BZ94) * (1 + $F94),
    "12 month avg", AVERAGE(BP94:BZ94) * (1 + $F94),
    "Prior Month",BZ94* (1 + $F94),
    "Prior Year", BO94* (1 + $F94),
    "Monthly assumption",$G94* (1 + $F94),
    "Quarterly assumption",$G94/3* (1 + $F94),
    "Annual assumption",$G94/12* (1 + $F94),
    "% of Revenue",SUM(_xlfn._xlws.FILTER(_xlfn._xlws.FILTER(dataSummaryPL,dataSummaryPLSections="Revenue"),(startDates&gt;=CA$4)*(endDates&lt;=CA$5)))*$F94,
    "Custom",0,
    "0",0,
        0
)</f>
        <v>2500</v>
      </c>
      <c r="CB94" s="335" cm="1">
        <f t="array" ref="CB94">_xlfn.SWITCH(
    $E94,
    "3 month avg", AVERAGE(BY94:CA94) * (1 + $F94),
    "6 month avg", AVERAGE(BV94:CA94) * (1 + $F94),
    "12 month avg", AVERAGE(BQ94:CA94) * (1 + $F94),
    "Prior Month",CA94* (1 + $F94),
    "Prior Year", BP94* (1 + $F94),
    "Monthly assumption",$G94* (1 + $F94),
    "Quarterly assumption",$G94/3* (1 + $F94),
    "Annual assumption",$G94/12* (1 + $F94),
    "% of Revenue",SUM(_xlfn._xlws.FILTER(_xlfn._xlws.FILTER(dataSummaryPL,dataSummaryPLSections="Revenue"),(startDates&gt;=CB$4)*(endDates&lt;=CB$5)))*$F94,
    "Custom",0,
    "0",0,
        0
)</f>
        <v>2500</v>
      </c>
      <c r="CC94" s="335" cm="1">
        <f t="array" ref="CC94">_xlfn.SWITCH(
    $E94,
    "3 month avg", AVERAGE(BZ94:CB94) * (1 + $F94),
    "6 month avg", AVERAGE(BW94:CB94) * (1 + $F94),
    "12 month avg", AVERAGE(BR94:CB94) * (1 + $F94),
    "Prior Month",CB94* (1 + $F94),
    "Prior Year", BQ94* (1 + $F94),
    "Monthly assumption",$G94* (1 + $F94),
    "Quarterly assumption",$G94/3* (1 + $F94),
    "Annual assumption",$G94/12* (1 + $F94),
    "% of Revenue",SUM(_xlfn._xlws.FILTER(_xlfn._xlws.FILTER(dataSummaryPL,dataSummaryPLSections="Revenue"),(startDates&gt;=CC$4)*(endDates&lt;=CC$5)))*$F94,
    "Custom",0,
    "0",0,
        0
)</f>
        <v>2500</v>
      </c>
      <c r="CD94" s="335" cm="1">
        <f t="array" ref="CD94">_xlfn.SWITCH(
    $E94,
    "3 month avg", AVERAGE(CA94:CC94) * (1 + $F94),
    "6 month avg", AVERAGE(BX94:CC94) * (1 + $F94),
    "12 month avg", AVERAGE(BS94:CC94) * (1 + $F94),
    "Prior Month",CC94* (1 + $F94),
    "Prior Year", BR94* (1 + $F94),
    "Monthly assumption",$G94* (1 + $F94),
    "Quarterly assumption",$G94/3* (1 + $F94),
    "Annual assumption",$G94/12* (1 + $F94),
    "% of Revenue",SUM(_xlfn._xlws.FILTER(_xlfn._xlws.FILTER(dataSummaryPL,dataSummaryPLSections="Revenue"),(startDates&gt;=CD$4)*(endDates&lt;=CD$5)))*$F94,
    "Custom",0,
    "0",0,
        0
)</f>
        <v>2500</v>
      </c>
      <c r="CE94" s="335" cm="1">
        <f t="array" ref="CE94">_xlfn.SWITCH(
    $E94,
    "3 month avg", AVERAGE(CB94:CD94) * (1 + $F94),
    "6 month avg", AVERAGE(BY94:CD94) * (1 + $F94),
    "12 month avg", AVERAGE(BT94:CD94) * (1 + $F94),
    "Prior Month",CD94* (1 + $F94),
    "Prior Year", BS94* (1 + $F94),
    "Monthly assumption",$G94* (1 + $F94),
    "Quarterly assumption",$G94/3* (1 + $F94),
    "Annual assumption",$G94/12* (1 + $F94),
    "% of Revenue",SUM(_xlfn._xlws.FILTER(_xlfn._xlws.FILTER(dataSummaryPL,dataSummaryPLSections="Revenue"),(startDates&gt;=CE$4)*(endDates&lt;=CE$5)))*$F94,
    "Custom",0,
    "0",0,
        0
)</f>
        <v>2500</v>
      </c>
      <c r="CF94" s="335" cm="1">
        <f t="array" ref="CF94">_xlfn.SWITCH(
    $E94,
    "3 month avg", AVERAGE(CC94:CE94) * (1 + $F94),
    "6 month avg", AVERAGE(BZ94:CE94) * (1 + $F94),
    "12 month avg", AVERAGE(BU94:CE94) * (1 + $F94),
    "Prior Month",CE94* (1 + $F94),
    "Prior Year", BT94* (1 + $F94),
    "Monthly assumption",$G94* (1 + $F94),
    "Quarterly assumption",$G94/3* (1 + $F94),
    "Annual assumption",$G94/12* (1 + $F94),
    "% of Revenue",SUM(_xlfn._xlws.FILTER(_xlfn._xlws.FILTER(dataSummaryPL,dataSummaryPLSections="Revenue"),(startDates&gt;=CF$4)*(endDates&lt;=CF$5)))*$F94,
    "Custom",0,
    "0",0,
        0
)</f>
        <v>2500</v>
      </c>
      <c r="CG94" s="335" cm="1">
        <f t="array" ref="CG94">_xlfn.SWITCH(
    $E94,
    "3 month avg", AVERAGE(CD94:CF94) * (1 + $F94),
    "6 month avg", AVERAGE(CA94:CF94) * (1 + $F94),
    "12 month avg", AVERAGE(BV94:CF94) * (1 + $F94),
    "Prior Month",CF94* (1 + $F94),
    "Prior Year", BU94* (1 + $F94),
    "Monthly assumption",$G94* (1 + $F94),
    "Quarterly assumption",$G94/3* (1 + $F94),
    "Annual assumption",$G94/12* (1 + $F94),
    "% of Revenue",SUM(_xlfn._xlws.FILTER(_xlfn._xlws.FILTER(dataSummaryPL,dataSummaryPLSections="Revenue"),(startDates&gt;=CG$4)*(endDates&lt;=CG$5)))*$F94,
    "Custom",0,
    "0",0,
        0
)</f>
        <v>2500</v>
      </c>
      <c r="CH94" s="335" cm="1">
        <f t="array" ref="CH94">_xlfn.SWITCH(
    $E94,
    "3 month avg", AVERAGE(CE94:CG94) * (1 + $F94),
    "6 month avg", AVERAGE(CB94:CG94) * (1 + $F94),
    "12 month avg", AVERAGE(BW94:CG94) * (1 + $F94),
    "Prior Month",CG94* (1 + $F94),
    "Prior Year", BV94* (1 + $F94),
    "Monthly assumption",$G94* (1 + $F94),
    "Quarterly assumption",$G94/3* (1 + $F94),
    "Annual assumption",$G94/12* (1 + $F94),
    "% of Revenue",SUM(_xlfn._xlws.FILTER(_xlfn._xlws.FILTER(dataSummaryPL,dataSummaryPLSections="Revenue"),(startDates&gt;=CH$4)*(endDates&lt;=CH$5)))*$F94,
    "Custom",0,
    "0",0,
        0
)</f>
        <v>2500</v>
      </c>
      <c r="CI94" s="335" cm="1">
        <f t="array" ref="CI94">_xlfn.SWITCH(
    $E94,
    "3 month avg", AVERAGE(CF94:CH94) * (1 + $F94),
    "6 month avg", AVERAGE(CC94:CH94) * (1 + $F94),
    "12 month avg", AVERAGE(BX94:CH94) * (1 + $F94),
    "Prior Month",CH94* (1 + $F94),
    "Prior Year", BW94* (1 + $F94),
    "Monthly assumption",$G94* (1 + $F94),
    "Quarterly assumption",$G94/3* (1 + $F94),
    "Annual assumption",$G94/12* (1 + $F94),
    "% of Revenue",SUM(_xlfn._xlws.FILTER(_xlfn._xlws.FILTER(dataSummaryPL,dataSummaryPLSections="Revenue"),(startDates&gt;=CI$4)*(endDates&lt;=CI$5)))*$F94,
    "Custom",0,
    "0",0,
        0
)</f>
        <v>2500</v>
      </c>
      <c r="CJ94" s="335" cm="1">
        <f t="array" ref="CJ94">_xlfn.SWITCH(
    $E94,
    "3 month avg", AVERAGE(CG94:CI94) * (1 + $F94),
    "6 month avg", AVERAGE(CD94:CI94) * (1 + $F94),
    "12 month avg", AVERAGE(BY94:CI94) * (1 + $F94),
    "Prior Month",CI94* (1 + $F94),
    "Prior Year", BX94* (1 + $F94),
    "Monthly assumption",$G94* (1 + $F94),
    "Quarterly assumption",$G94/3* (1 + $F94),
    "Annual assumption",$G94/12* (1 + $F94),
    "% of Revenue",SUM(_xlfn._xlws.FILTER(_xlfn._xlws.FILTER(dataSummaryPL,dataSummaryPLSections="Revenue"),(startDates&gt;=CJ$4)*(endDates&lt;=CJ$5)))*$F94,
    "Custom",0,
    "0",0,
        0
)</f>
        <v>2500</v>
      </c>
    </row>
    <row r="95" spans="1:88" ht="15" outlineLevel="2">
      <c r="B95" s="284"/>
      <c r="C95" s="283"/>
      <c r="D95" s="288" t="s">
        <v>310</v>
      </c>
      <c r="E95" s="280" t="s">
        <v>358</v>
      </c>
      <c r="F95" s="279"/>
      <c r="G95" s="279"/>
      <c r="H95" s="277" t="str">
        <f>IFERROR(INDEX(PBC_ACCOUNT_LIST[Drivers Section],MATCH(Drivers!L95,PBC_ACCOUNT_LIST[Id],0)),"")</f>
        <v>Liabilities</v>
      </c>
      <c r="I95" s="277" t="str">
        <f>IFERROR(INDEX(PBC_ACCOUNT_LIST[Summary Grouping],MATCH(Drivers!L95,PBC_ACCOUNT_LIST[Id],0)),"")</f>
        <v>Current Liabilities</v>
      </c>
      <c r="J95" s="277" t="str">
        <f>IFERROR(INDEX(PBC_ACCOUNT_LIST[Cash Flow Section],MATCH(Drivers!L95,PBC_ACCOUNT_LIST[Id],0)),"")</f>
        <v>Cash from Operating Activities</v>
      </c>
      <c r="K95" s="278" t="s">
        <v>106</v>
      </c>
      <c r="L95" s="277">
        <v>63</v>
      </c>
      <c r="M95" s="276"/>
      <c r="O95" s="272"/>
      <c r="P95" s="289">
        <f t="shared" si="87"/>
        <v>-9180.5</v>
      </c>
      <c r="Q95" s="289">
        <f t="shared" si="87"/>
        <v>-9180.5</v>
      </c>
      <c r="R95" s="289">
        <f t="shared" si="87"/>
        <v>-9180.5</v>
      </c>
      <c r="S95" s="289">
        <f t="shared" si="87"/>
        <v>-9180.5</v>
      </c>
      <c r="T95" s="289"/>
      <c r="U95" s="289"/>
      <c r="V95" s="289">
        <f t="shared" si="88"/>
        <v>-2754</v>
      </c>
      <c r="W95" s="289">
        <f t="shared" si="88"/>
        <v>-5508.5</v>
      </c>
      <c r="X95" s="289">
        <f t="shared" si="88"/>
        <v>-8262.5</v>
      </c>
      <c r="Y95" s="289">
        <f t="shared" si="88"/>
        <v>-9180.5</v>
      </c>
      <c r="Z95" s="289">
        <f t="shared" si="88"/>
        <v>-9180.5</v>
      </c>
      <c r="AA95" s="289">
        <f t="shared" si="88"/>
        <v>-9180.5</v>
      </c>
      <c r="AB95" s="289">
        <f t="shared" si="88"/>
        <v>-9180.5</v>
      </c>
      <c r="AC95" s="289">
        <f t="shared" si="88"/>
        <v>-9180.5</v>
      </c>
      <c r="AD95" s="289">
        <f t="shared" si="88"/>
        <v>-9180.5</v>
      </c>
      <c r="AE95" s="289">
        <f t="shared" si="88"/>
        <v>-9180.5</v>
      </c>
      <c r="AF95" s="289">
        <f t="shared" si="88"/>
        <v>-9180.5</v>
      </c>
      <c r="AG95" s="289">
        <f t="shared" si="88"/>
        <v>-9180.5</v>
      </c>
      <c r="AH95" s="289">
        <f t="shared" si="88"/>
        <v>-9180.5</v>
      </c>
      <c r="AI95" s="289">
        <f t="shared" si="88"/>
        <v>-9180.5</v>
      </c>
      <c r="AJ95" s="289">
        <f t="shared" si="88"/>
        <v>-9180.5</v>
      </c>
      <c r="AK95" s="289">
        <f t="shared" si="88"/>
        <v>-9180.5</v>
      </c>
      <c r="AL95" s="333"/>
      <c r="AM95" s="334"/>
      <c r="AN95" s="289">
        <f>SUMIFS(PBC_BALANCE_SHEET[AccountBalance], PBC_BALANCE_SHEET[Id],$L95,PBC_BALANCE_SHEET[Date],AN$5)</f>
        <v>0</v>
      </c>
      <c r="AO95" s="289">
        <f>SUMIFS(PBC_BALANCE_SHEET[AccountBalance], PBC_BALANCE_SHEET[Id],$L95,PBC_BALANCE_SHEET[Date],AO$5)</f>
        <v>-918</v>
      </c>
      <c r="AP95" s="289">
        <f>SUMIFS(PBC_BALANCE_SHEET[AccountBalance], PBC_BALANCE_SHEET[Id],$L95,PBC_BALANCE_SHEET[Date],AP$5)</f>
        <v>-1836</v>
      </c>
      <c r="AQ95" s="289">
        <f>SUMIFS(PBC_BALANCE_SHEET[AccountBalance], PBC_BALANCE_SHEET[Id],$L95,PBC_BALANCE_SHEET[Date],AQ$5)</f>
        <v>-2754</v>
      </c>
      <c r="AR95" s="289">
        <f>SUMIFS(PBC_BALANCE_SHEET[AccountBalance], PBC_BALANCE_SHEET[Id],$L95,PBC_BALANCE_SHEET[Date],AR$5)</f>
        <v>-3672.5</v>
      </c>
      <c r="AS95" s="289">
        <f>SUMIFS(PBC_BALANCE_SHEET[AccountBalance], PBC_BALANCE_SHEET[Id],$L95,PBC_BALANCE_SHEET[Date],AS$5)</f>
        <v>-4590.5</v>
      </c>
      <c r="AT95" s="289">
        <f>SUMIFS(PBC_BALANCE_SHEET[AccountBalance], PBC_BALANCE_SHEET[Id],$L95,PBC_BALANCE_SHEET[Date],AT$5)</f>
        <v>-5508.5</v>
      </c>
      <c r="AU95" s="289">
        <f>SUMIFS(PBC_BALANCE_SHEET[AccountBalance], PBC_BALANCE_SHEET[Id],$L95,PBC_BALANCE_SHEET[Date],AU$5)</f>
        <v>-6426.5</v>
      </c>
      <c r="AV95" s="289">
        <f>SUMIFS(PBC_BALANCE_SHEET[AccountBalance], PBC_BALANCE_SHEET[Id],$L95,PBC_BALANCE_SHEET[Date],AV$5)</f>
        <v>-7344.5</v>
      </c>
      <c r="AW95" s="289">
        <f>SUMIFS(PBC_BALANCE_SHEET[AccountBalance], PBC_BALANCE_SHEET[Id],$L95,PBC_BALANCE_SHEET[Date],AW$5)</f>
        <v>-8262.5</v>
      </c>
      <c r="AX95" s="289">
        <f>SUMIFS(PBC_BALANCE_SHEET[AccountBalance], PBC_BALANCE_SHEET[Id],$L95,PBC_BALANCE_SHEET[Date],AX$5)</f>
        <v>-9180.5</v>
      </c>
      <c r="AY95" s="289">
        <f>SUMIFS(PBC_BALANCE_SHEET[AccountBalance], PBC_BALANCE_SHEET[Id],$L95,PBC_BALANCE_SHEET[Date],AY$5)</f>
        <v>-9180.5</v>
      </c>
      <c r="AZ95" s="289">
        <f>SUMIFS(PBC_BALANCE_SHEET[AccountBalance], PBC_BALANCE_SHEET[Id],$L95,PBC_BALANCE_SHEET[Date],AZ$5)</f>
        <v>-9180.5</v>
      </c>
      <c r="BA95" s="289">
        <f>SUMIFS(PBC_BALANCE_SHEET[AccountBalance], PBC_BALANCE_SHEET[Id],$L95,PBC_BALANCE_SHEET[Date],BA$5)</f>
        <v>-9180.5</v>
      </c>
      <c r="BB95" s="289">
        <f>SUMIFS(PBC_BALANCE_SHEET[AccountBalance], PBC_BALANCE_SHEET[Id],$L95,PBC_BALANCE_SHEET[Date],BB$5)</f>
        <v>-9180.5</v>
      </c>
      <c r="BC95" s="289">
        <f>SUMIFS(PBC_BALANCE_SHEET[AccountBalance], PBC_BALANCE_SHEET[Id],$L95,PBC_BALANCE_SHEET[Date],BC$5)</f>
        <v>-9180.5</v>
      </c>
      <c r="BD95" s="289">
        <f>SUMIFS(PBC_BALANCE_SHEET[AccountBalance], PBC_BALANCE_SHEET[Id],$L95,PBC_BALANCE_SHEET[Date],BD$5)</f>
        <v>-9180.5</v>
      </c>
      <c r="BE95" s="289">
        <f>SUMIFS(PBC_BALANCE_SHEET[AccountBalance], PBC_BALANCE_SHEET[Id],$L95,PBC_BALANCE_SHEET[Date],BE$5)</f>
        <v>-9180.5</v>
      </c>
      <c r="BF95" s="289">
        <f>SUMIFS(PBC_BALANCE_SHEET[AccountBalance], PBC_BALANCE_SHEET[Id],$L95,PBC_BALANCE_SHEET[Date],BF$5)</f>
        <v>-9180.5</v>
      </c>
      <c r="BG95" s="289">
        <f>SUMIFS(PBC_BALANCE_SHEET[AccountBalance], PBC_BALANCE_SHEET[Id],$L95,PBC_BALANCE_SHEET[Date],BG$5)</f>
        <v>-9180.5</v>
      </c>
      <c r="BH95" s="289">
        <f>SUMIFS(PBC_BALANCE_SHEET[AccountBalance], PBC_BALANCE_SHEET[Id],$L95,PBC_BALANCE_SHEET[Date],BH$5)</f>
        <v>-9180.5</v>
      </c>
      <c r="BI95" s="289">
        <f>SUMIFS(PBC_BALANCE_SHEET[AccountBalance], PBC_BALANCE_SHEET[Id],$L95,PBC_BALANCE_SHEET[Date],BI$5)</f>
        <v>-9180.5</v>
      </c>
      <c r="BJ95" s="289">
        <f>SUMIFS(PBC_BALANCE_SHEET[AccountBalance], PBC_BALANCE_SHEET[Id],$L95,PBC_BALANCE_SHEET[Date],BJ$5)</f>
        <v>-9180.5</v>
      </c>
      <c r="BK95" s="289">
        <f>SUMIFS(PBC_BALANCE_SHEET[AccountBalance], PBC_BALANCE_SHEET[Id],$L95,PBC_BALANCE_SHEET[Date],BK$5)</f>
        <v>-9180.5</v>
      </c>
      <c r="BL95" s="289">
        <f>SUMIFS(PBC_BALANCE_SHEET[AccountBalance], PBC_BALANCE_SHEET[Id],$L95,PBC_BALANCE_SHEET[Date],BL$5)</f>
        <v>-9180.5</v>
      </c>
      <c r="BM95" s="289">
        <f>SUMIFS(PBC_BALANCE_SHEET[AccountBalance], PBC_BALANCE_SHEET[Id],$L95,PBC_BALANCE_SHEET[Date],BM$5)</f>
        <v>-9180.5</v>
      </c>
      <c r="BN95" s="289">
        <f>SUMIFS(PBC_BALANCE_SHEET[AccountBalance], PBC_BALANCE_SHEET[Id],$L95,PBC_BALANCE_SHEET[Date],BN$5)</f>
        <v>-9180.5</v>
      </c>
      <c r="BO95" s="289">
        <f>SUMIFS(PBC_BALANCE_SHEET[AccountBalance], PBC_BALANCE_SHEET[Id],$L95,PBC_BALANCE_SHEET[Date],BO$5)</f>
        <v>-9180.5</v>
      </c>
      <c r="BP95" s="289">
        <f>SUMIFS(PBC_BALANCE_SHEET[AccountBalance], PBC_BALANCE_SHEET[Id],$L95,PBC_BALANCE_SHEET[Date],BP$5)</f>
        <v>-9180.5</v>
      </c>
      <c r="BQ95" s="289">
        <f>SUMIFS(PBC_BALANCE_SHEET[AccountBalance], PBC_BALANCE_SHEET[Id],$L95,PBC_BALANCE_SHEET[Date],BQ$5)</f>
        <v>-9180.5</v>
      </c>
      <c r="BR95" s="289">
        <f>SUMIFS(PBC_BALANCE_SHEET[AccountBalance], PBC_BALANCE_SHEET[Id],$L95,PBC_BALANCE_SHEET[Date],BR$5)</f>
        <v>-9180.5</v>
      </c>
      <c r="BS95" s="289">
        <f>SUMIFS(PBC_BALANCE_SHEET[AccountBalance], PBC_BALANCE_SHEET[Id],$L95,PBC_BALANCE_SHEET[Date],BS$5)</f>
        <v>-9180.5</v>
      </c>
      <c r="BT95" s="289">
        <f>SUMIFS(PBC_BALANCE_SHEET[AccountBalance], PBC_BALANCE_SHEET[Id],$L95,PBC_BALANCE_SHEET[Date],BT$5)</f>
        <v>-9180.5</v>
      </c>
      <c r="BU95" s="289">
        <f>SUMIFS(PBC_BALANCE_SHEET[AccountBalance], PBC_BALANCE_SHEET[Id],$L95,PBC_BALANCE_SHEET[Date],BU$5)</f>
        <v>-9180.5</v>
      </c>
      <c r="BV95" s="289">
        <f>SUMIFS(PBC_BALANCE_SHEET[AccountBalance], PBC_BALANCE_SHEET[Id],$L95,PBC_BALANCE_SHEET[Date],BV$5)</f>
        <v>-9180.5</v>
      </c>
      <c r="BW95" s="289">
        <f>SUMIFS(PBC_BALANCE_SHEET[AccountBalance], PBC_BALANCE_SHEET[Id],$L95,PBC_BALANCE_SHEET[Date],BW$5)</f>
        <v>-9180.5</v>
      </c>
      <c r="BX95" s="335" cm="1">
        <f t="array" ref="BX95">_xlfn.SWITCH(
    $E95,
    "3 month avg", AVERAGE(BU95:BW95) * (1 + $F95),
    "6 month avg", AVERAGE(BR95:BW95) * (1 + $F95),
    "12 month avg", AVERAGE(BM95:BW95) * (1 + $F95),
    "Prior Month",BW95* (1 + $F95),
    "Prior Year", BL95* (1 + $F95),
    "Monthly assumption",$G95* (1 + $F95),
    "Quarterly assumption",$G95/3* (1 + $F95),
    "Annual assumption",$G95/12* (1 + $F95),
    "% of Revenue",SUM(_xlfn._xlws.FILTER(_xlfn._xlws.FILTER(dataSummaryPL,dataSummaryPLSections="Revenue"),(startDates&gt;=BX$4)*(endDates&lt;=BX$5)))*$F95,
    "Custom",0,
    "0",0,
        0
)</f>
        <v>-9180.5</v>
      </c>
      <c r="BY95" s="335" cm="1">
        <f t="array" ref="BY95">_xlfn.SWITCH(
    $E95,
    "3 month avg", AVERAGE(BV95:BX95) * (1 + $F95),
    "6 month avg", AVERAGE(BS95:BX95) * (1 + $F95),
    "12 month avg", AVERAGE(BN95:BX95) * (1 + $F95),
    "Prior Month",BX95* (1 + $F95),
    "Prior Year", BM95* (1 + $F95),
    "Monthly assumption",$G95* (1 + $F95),
    "Quarterly assumption",$G95/3* (1 + $F95),
    "Annual assumption",$G95/12* (1 + $F95),
    "% of Revenue",SUM(_xlfn._xlws.FILTER(_xlfn._xlws.FILTER(dataSummaryPL,dataSummaryPLSections="Revenue"),(startDates&gt;=BY$4)*(endDates&lt;=BY$5)))*$F95,
    "Custom",0,
    "0",0,
        0
)</f>
        <v>-9180.5</v>
      </c>
      <c r="BZ95" s="335" cm="1">
        <f t="array" ref="BZ95">_xlfn.SWITCH(
    $E95,
    "3 month avg", AVERAGE(BW95:BY95) * (1 + $F95),
    "6 month avg", AVERAGE(BT95:BY95) * (1 + $F95),
    "12 month avg", AVERAGE(BO95:BY95) * (1 + $F95),
    "Prior Month",BY95* (1 + $F95),
    "Prior Year", BN95* (1 + $F95),
    "Monthly assumption",$G95* (1 + $F95),
    "Quarterly assumption",$G95/3* (1 + $F95),
    "Annual assumption",$G95/12* (1 + $F95),
    "% of Revenue",SUM(_xlfn._xlws.FILTER(_xlfn._xlws.FILTER(dataSummaryPL,dataSummaryPLSections="Revenue"),(startDates&gt;=BZ$4)*(endDates&lt;=BZ$5)))*$F95,
    "Custom",0,
    "0",0,
        0
)</f>
        <v>-9180.5</v>
      </c>
      <c r="CA95" s="335" cm="1">
        <f t="array" ref="CA95">_xlfn.SWITCH(
    $E95,
    "3 month avg", AVERAGE(BX95:BZ95) * (1 + $F95),
    "6 month avg", AVERAGE(BU95:BZ95) * (1 + $F95),
    "12 month avg", AVERAGE(BP95:BZ95) * (1 + $F95),
    "Prior Month",BZ95* (1 + $F95),
    "Prior Year", BO95* (1 + $F95),
    "Monthly assumption",$G95* (1 + $F95),
    "Quarterly assumption",$G95/3* (1 + $F95),
    "Annual assumption",$G95/12* (1 + $F95),
    "% of Revenue",SUM(_xlfn._xlws.FILTER(_xlfn._xlws.FILTER(dataSummaryPL,dataSummaryPLSections="Revenue"),(startDates&gt;=CA$4)*(endDates&lt;=CA$5)))*$F95,
    "Custom",0,
    "0",0,
        0
)</f>
        <v>-9180.5</v>
      </c>
      <c r="CB95" s="335" cm="1">
        <f t="array" ref="CB95">_xlfn.SWITCH(
    $E95,
    "3 month avg", AVERAGE(BY95:CA95) * (1 + $F95),
    "6 month avg", AVERAGE(BV95:CA95) * (1 + $F95),
    "12 month avg", AVERAGE(BQ95:CA95) * (1 + $F95),
    "Prior Month",CA95* (1 + $F95),
    "Prior Year", BP95* (1 + $F95),
    "Monthly assumption",$G95* (1 + $F95),
    "Quarterly assumption",$G95/3* (1 + $F95),
    "Annual assumption",$G95/12* (1 + $F95),
    "% of Revenue",SUM(_xlfn._xlws.FILTER(_xlfn._xlws.FILTER(dataSummaryPL,dataSummaryPLSections="Revenue"),(startDates&gt;=CB$4)*(endDates&lt;=CB$5)))*$F95,
    "Custom",0,
    "0",0,
        0
)</f>
        <v>-9180.5</v>
      </c>
      <c r="CC95" s="335" cm="1">
        <f t="array" ref="CC95">_xlfn.SWITCH(
    $E95,
    "3 month avg", AVERAGE(BZ95:CB95) * (1 + $F95),
    "6 month avg", AVERAGE(BW95:CB95) * (1 + $F95),
    "12 month avg", AVERAGE(BR95:CB95) * (1 + $F95),
    "Prior Month",CB95* (1 + $F95),
    "Prior Year", BQ95* (1 + $F95),
    "Monthly assumption",$G95* (1 + $F95),
    "Quarterly assumption",$G95/3* (1 + $F95),
    "Annual assumption",$G95/12* (1 + $F95),
    "% of Revenue",SUM(_xlfn._xlws.FILTER(_xlfn._xlws.FILTER(dataSummaryPL,dataSummaryPLSections="Revenue"),(startDates&gt;=CC$4)*(endDates&lt;=CC$5)))*$F95,
    "Custom",0,
    "0",0,
        0
)</f>
        <v>-9180.5</v>
      </c>
      <c r="CD95" s="335" cm="1">
        <f t="array" ref="CD95">_xlfn.SWITCH(
    $E95,
    "3 month avg", AVERAGE(CA95:CC95) * (1 + $F95),
    "6 month avg", AVERAGE(BX95:CC95) * (1 + $F95),
    "12 month avg", AVERAGE(BS95:CC95) * (1 + $F95),
    "Prior Month",CC95* (1 + $F95),
    "Prior Year", BR95* (1 + $F95),
    "Monthly assumption",$G95* (1 + $F95),
    "Quarterly assumption",$G95/3* (1 + $F95),
    "Annual assumption",$G95/12* (1 + $F95),
    "% of Revenue",SUM(_xlfn._xlws.FILTER(_xlfn._xlws.FILTER(dataSummaryPL,dataSummaryPLSections="Revenue"),(startDates&gt;=CD$4)*(endDates&lt;=CD$5)))*$F95,
    "Custom",0,
    "0",0,
        0
)</f>
        <v>-9180.5</v>
      </c>
      <c r="CE95" s="335" cm="1">
        <f t="array" ref="CE95">_xlfn.SWITCH(
    $E95,
    "3 month avg", AVERAGE(CB95:CD95) * (1 + $F95),
    "6 month avg", AVERAGE(BY95:CD95) * (1 + $F95),
    "12 month avg", AVERAGE(BT95:CD95) * (1 + $F95),
    "Prior Month",CD95* (1 + $F95),
    "Prior Year", BS95* (1 + $F95),
    "Monthly assumption",$G95* (1 + $F95),
    "Quarterly assumption",$G95/3* (1 + $F95),
    "Annual assumption",$G95/12* (1 + $F95),
    "% of Revenue",SUM(_xlfn._xlws.FILTER(_xlfn._xlws.FILTER(dataSummaryPL,dataSummaryPLSections="Revenue"),(startDates&gt;=CE$4)*(endDates&lt;=CE$5)))*$F95,
    "Custom",0,
    "0",0,
        0
)</f>
        <v>-9180.5</v>
      </c>
      <c r="CF95" s="335" cm="1">
        <f t="array" ref="CF95">_xlfn.SWITCH(
    $E95,
    "3 month avg", AVERAGE(CC95:CE95) * (1 + $F95),
    "6 month avg", AVERAGE(BZ95:CE95) * (1 + $F95),
    "12 month avg", AVERAGE(BU95:CE95) * (1 + $F95),
    "Prior Month",CE95* (1 + $F95),
    "Prior Year", BT95* (1 + $F95),
    "Monthly assumption",$G95* (1 + $F95),
    "Quarterly assumption",$G95/3* (1 + $F95),
    "Annual assumption",$G95/12* (1 + $F95),
    "% of Revenue",SUM(_xlfn._xlws.FILTER(_xlfn._xlws.FILTER(dataSummaryPL,dataSummaryPLSections="Revenue"),(startDates&gt;=CF$4)*(endDates&lt;=CF$5)))*$F95,
    "Custom",0,
    "0",0,
        0
)</f>
        <v>-9180.5</v>
      </c>
      <c r="CG95" s="335" cm="1">
        <f t="array" ref="CG95">_xlfn.SWITCH(
    $E95,
    "3 month avg", AVERAGE(CD95:CF95) * (1 + $F95),
    "6 month avg", AVERAGE(CA95:CF95) * (1 + $F95),
    "12 month avg", AVERAGE(BV95:CF95) * (1 + $F95),
    "Prior Month",CF95* (1 + $F95),
    "Prior Year", BU95* (1 + $F95),
    "Monthly assumption",$G95* (1 + $F95),
    "Quarterly assumption",$G95/3* (1 + $F95),
    "Annual assumption",$G95/12* (1 + $F95),
    "% of Revenue",SUM(_xlfn._xlws.FILTER(_xlfn._xlws.FILTER(dataSummaryPL,dataSummaryPLSections="Revenue"),(startDates&gt;=CG$4)*(endDates&lt;=CG$5)))*$F95,
    "Custom",0,
    "0",0,
        0
)</f>
        <v>-9180.5</v>
      </c>
      <c r="CH95" s="335" cm="1">
        <f t="array" ref="CH95">_xlfn.SWITCH(
    $E95,
    "3 month avg", AVERAGE(CE95:CG95) * (1 + $F95),
    "6 month avg", AVERAGE(CB95:CG95) * (1 + $F95),
    "12 month avg", AVERAGE(BW95:CG95) * (1 + $F95),
    "Prior Month",CG95* (1 + $F95),
    "Prior Year", BV95* (1 + $F95),
    "Monthly assumption",$G95* (1 + $F95),
    "Quarterly assumption",$G95/3* (1 + $F95),
    "Annual assumption",$G95/12* (1 + $F95),
    "% of Revenue",SUM(_xlfn._xlws.FILTER(_xlfn._xlws.FILTER(dataSummaryPL,dataSummaryPLSections="Revenue"),(startDates&gt;=CH$4)*(endDates&lt;=CH$5)))*$F95,
    "Custom",0,
    "0",0,
        0
)</f>
        <v>-9180.5</v>
      </c>
      <c r="CI95" s="335" cm="1">
        <f t="array" ref="CI95">_xlfn.SWITCH(
    $E95,
    "3 month avg", AVERAGE(CF95:CH95) * (1 + $F95),
    "6 month avg", AVERAGE(CC95:CH95) * (1 + $F95),
    "12 month avg", AVERAGE(BX95:CH95) * (1 + $F95),
    "Prior Month",CH95* (1 + $F95),
    "Prior Year", BW95* (1 + $F95),
    "Monthly assumption",$G95* (1 + $F95),
    "Quarterly assumption",$G95/3* (1 + $F95),
    "Annual assumption",$G95/12* (1 + $F95),
    "% of Revenue",SUM(_xlfn._xlws.FILTER(_xlfn._xlws.FILTER(dataSummaryPL,dataSummaryPLSections="Revenue"),(startDates&gt;=CI$4)*(endDates&lt;=CI$5)))*$F95,
    "Custom",0,
    "0",0,
        0
)</f>
        <v>-9180.5</v>
      </c>
      <c r="CJ95" s="335" cm="1">
        <f t="array" ref="CJ95">_xlfn.SWITCH(
    $E95,
    "3 month avg", AVERAGE(CG95:CI95) * (1 + $F95),
    "6 month avg", AVERAGE(CD95:CI95) * (1 + $F95),
    "12 month avg", AVERAGE(BY95:CI95) * (1 + $F95),
    "Prior Month",CI95* (1 + $F95),
    "Prior Year", BX95* (1 + $F95),
    "Monthly assumption",$G95* (1 + $F95),
    "Quarterly assumption",$G95/3* (1 + $F95),
    "Annual assumption",$G95/12* (1 + $F95),
    "% of Revenue",SUM(_xlfn._xlws.FILTER(_xlfn._xlws.FILTER(dataSummaryPL,dataSummaryPLSections="Revenue"),(startDates&gt;=CJ$4)*(endDates&lt;=CJ$5)))*$F95,
    "Custom",0,
    "0",0,
        0
)</f>
        <v>-9180.5</v>
      </c>
    </row>
    <row r="96" spans="1:88" ht="15" outlineLevel="2">
      <c r="B96" s="284"/>
      <c r="C96" s="283"/>
      <c r="D96" s="288" t="s">
        <v>316</v>
      </c>
      <c r="E96" s="280" t="s">
        <v>358</v>
      </c>
      <c r="F96" s="279"/>
      <c r="G96" s="279"/>
      <c r="H96" s="277" t="str">
        <f>IFERROR(INDEX(PBC_ACCOUNT_LIST[Drivers Section],MATCH(Drivers!L96,PBC_ACCOUNT_LIST[Id],0)),"")</f>
        <v>Liabilities</v>
      </c>
      <c r="I96" s="277" t="str">
        <f>IFERROR(INDEX(PBC_ACCOUNT_LIST[Summary Grouping],MATCH(Drivers!L96,PBC_ACCOUNT_LIST[Id],0)),"")</f>
        <v>Debt</v>
      </c>
      <c r="J96" s="277" t="str">
        <f>IFERROR(INDEX(PBC_ACCOUNT_LIST[Cash Flow Section],MATCH(Drivers!L96,PBC_ACCOUNT_LIST[Id],0)),"")</f>
        <v>Cash From Financing Activities</v>
      </c>
      <c r="K96" s="278" t="s">
        <v>106</v>
      </c>
      <c r="L96" s="277">
        <v>162</v>
      </c>
      <c r="M96" s="276"/>
      <c r="O96" s="272"/>
      <c r="P96" s="289">
        <f t="shared" si="87"/>
        <v>1500000</v>
      </c>
      <c r="Q96" s="289">
        <f t="shared" si="87"/>
        <v>1500000</v>
      </c>
      <c r="R96" s="289">
        <f t="shared" si="87"/>
        <v>1500000</v>
      </c>
      <c r="S96" s="289">
        <f t="shared" si="87"/>
        <v>1500000</v>
      </c>
      <c r="T96" s="289"/>
      <c r="U96" s="289"/>
      <c r="V96" s="289">
        <f t="shared" si="88"/>
        <v>500000</v>
      </c>
      <c r="W96" s="289">
        <f t="shared" si="88"/>
        <v>500000</v>
      </c>
      <c r="X96" s="289">
        <f t="shared" si="88"/>
        <v>500000</v>
      </c>
      <c r="Y96" s="289">
        <f t="shared" si="88"/>
        <v>1500000</v>
      </c>
      <c r="Z96" s="289">
        <f t="shared" si="88"/>
        <v>1500000</v>
      </c>
      <c r="AA96" s="289">
        <f t="shared" si="88"/>
        <v>1500000</v>
      </c>
      <c r="AB96" s="289">
        <f t="shared" si="88"/>
        <v>1500000</v>
      </c>
      <c r="AC96" s="289">
        <f t="shared" si="88"/>
        <v>1500000</v>
      </c>
      <c r="AD96" s="289">
        <f t="shared" si="88"/>
        <v>1500000</v>
      </c>
      <c r="AE96" s="289">
        <f t="shared" si="88"/>
        <v>1500000</v>
      </c>
      <c r="AF96" s="289">
        <f t="shared" si="88"/>
        <v>1500000</v>
      </c>
      <c r="AG96" s="289">
        <f t="shared" si="88"/>
        <v>1500000</v>
      </c>
      <c r="AH96" s="289">
        <f t="shared" si="88"/>
        <v>1500000</v>
      </c>
      <c r="AI96" s="289">
        <f t="shared" si="88"/>
        <v>1500000</v>
      </c>
      <c r="AJ96" s="289">
        <f t="shared" si="88"/>
        <v>1500000</v>
      </c>
      <c r="AK96" s="289">
        <f t="shared" si="88"/>
        <v>1500000</v>
      </c>
      <c r="AL96" s="333"/>
      <c r="AM96" s="334"/>
      <c r="AN96" s="289">
        <f>SUMIFS(PBC_BALANCE_SHEET[AccountBalance], PBC_BALANCE_SHEET[Id],$L96,PBC_BALANCE_SHEET[Date],AN$5)</f>
        <v>0</v>
      </c>
      <c r="AO96" s="289">
        <f>SUMIFS(PBC_BALANCE_SHEET[AccountBalance], PBC_BALANCE_SHEET[Id],$L96,PBC_BALANCE_SHEET[Date],AO$5)</f>
        <v>500000</v>
      </c>
      <c r="AP96" s="289">
        <f>SUMIFS(PBC_BALANCE_SHEET[AccountBalance], PBC_BALANCE_SHEET[Id],$L96,PBC_BALANCE_SHEET[Date],AP$5)</f>
        <v>500000</v>
      </c>
      <c r="AQ96" s="289">
        <f>SUMIFS(PBC_BALANCE_SHEET[AccountBalance], PBC_BALANCE_SHEET[Id],$L96,PBC_BALANCE_SHEET[Date],AQ$5)</f>
        <v>500000</v>
      </c>
      <c r="AR96" s="289">
        <f>SUMIFS(PBC_BALANCE_SHEET[AccountBalance], PBC_BALANCE_SHEET[Id],$L96,PBC_BALANCE_SHEET[Date],AR$5)</f>
        <v>500000</v>
      </c>
      <c r="AS96" s="289">
        <f>SUMIFS(PBC_BALANCE_SHEET[AccountBalance], PBC_BALANCE_SHEET[Id],$L96,PBC_BALANCE_SHEET[Date],AS$5)</f>
        <v>500000</v>
      </c>
      <c r="AT96" s="289">
        <f>SUMIFS(PBC_BALANCE_SHEET[AccountBalance], PBC_BALANCE_SHEET[Id],$L96,PBC_BALANCE_SHEET[Date],AT$5)</f>
        <v>500000</v>
      </c>
      <c r="AU96" s="289">
        <f>SUMIFS(PBC_BALANCE_SHEET[AccountBalance], PBC_BALANCE_SHEET[Id],$L96,PBC_BALANCE_SHEET[Date],AU$5)</f>
        <v>500000</v>
      </c>
      <c r="AV96" s="289">
        <f>SUMIFS(PBC_BALANCE_SHEET[AccountBalance], PBC_BALANCE_SHEET[Id],$L96,PBC_BALANCE_SHEET[Date],AV$5)</f>
        <v>500000</v>
      </c>
      <c r="AW96" s="289">
        <f>SUMIFS(PBC_BALANCE_SHEET[AccountBalance], PBC_BALANCE_SHEET[Id],$L96,PBC_BALANCE_SHEET[Date],AW$5)</f>
        <v>500000</v>
      </c>
      <c r="AX96" s="289">
        <f>SUMIFS(PBC_BALANCE_SHEET[AccountBalance], PBC_BALANCE_SHEET[Id],$L96,PBC_BALANCE_SHEET[Date],AX$5)</f>
        <v>1500000</v>
      </c>
      <c r="AY96" s="289">
        <f>SUMIFS(PBC_BALANCE_SHEET[AccountBalance], PBC_BALANCE_SHEET[Id],$L96,PBC_BALANCE_SHEET[Date],AY$5)</f>
        <v>1500000</v>
      </c>
      <c r="AZ96" s="289">
        <f>SUMIFS(PBC_BALANCE_SHEET[AccountBalance], PBC_BALANCE_SHEET[Id],$L96,PBC_BALANCE_SHEET[Date],AZ$5)</f>
        <v>1500000</v>
      </c>
      <c r="BA96" s="289">
        <f>SUMIFS(PBC_BALANCE_SHEET[AccountBalance], PBC_BALANCE_SHEET[Id],$L96,PBC_BALANCE_SHEET[Date],BA$5)</f>
        <v>1500000</v>
      </c>
      <c r="BB96" s="289">
        <f>SUMIFS(PBC_BALANCE_SHEET[AccountBalance], PBC_BALANCE_SHEET[Id],$L96,PBC_BALANCE_SHEET[Date],BB$5)</f>
        <v>1500000</v>
      </c>
      <c r="BC96" s="289">
        <f>SUMIFS(PBC_BALANCE_SHEET[AccountBalance], PBC_BALANCE_SHEET[Id],$L96,PBC_BALANCE_SHEET[Date],BC$5)</f>
        <v>1500000</v>
      </c>
      <c r="BD96" s="289">
        <f>SUMIFS(PBC_BALANCE_SHEET[AccountBalance], PBC_BALANCE_SHEET[Id],$L96,PBC_BALANCE_SHEET[Date],BD$5)</f>
        <v>1500000</v>
      </c>
      <c r="BE96" s="289">
        <f>SUMIFS(PBC_BALANCE_SHEET[AccountBalance], PBC_BALANCE_SHEET[Id],$L96,PBC_BALANCE_SHEET[Date],BE$5)</f>
        <v>1500000</v>
      </c>
      <c r="BF96" s="289">
        <f>SUMIFS(PBC_BALANCE_SHEET[AccountBalance], PBC_BALANCE_SHEET[Id],$L96,PBC_BALANCE_SHEET[Date],BF$5)</f>
        <v>1500000</v>
      </c>
      <c r="BG96" s="289">
        <f>SUMIFS(PBC_BALANCE_SHEET[AccountBalance], PBC_BALANCE_SHEET[Id],$L96,PBC_BALANCE_SHEET[Date],BG$5)</f>
        <v>1500000</v>
      </c>
      <c r="BH96" s="289">
        <f>SUMIFS(PBC_BALANCE_SHEET[AccountBalance], PBC_BALANCE_SHEET[Id],$L96,PBC_BALANCE_SHEET[Date],BH$5)</f>
        <v>1500000</v>
      </c>
      <c r="BI96" s="289">
        <f>SUMIFS(PBC_BALANCE_SHEET[AccountBalance], PBC_BALANCE_SHEET[Id],$L96,PBC_BALANCE_SHEET[Date],BI$5)</f>
        <v>1500000</v>
      </c>
      <c r="BJ96" s="289">
        <f>SUMIFS(PBC_BALANCE_SHEET[AccountBalance], PBC_BALANCE_SHEET[Id],$L96,PBC_BALANCE_SHEET[Date],BJ$5)</f>
        <v>1500000</v>
      </c>
      <c r="BK96" s="289">
        <f>SUMIFS(PBC_BALANCE_SHEET[AccountBalance], PBC_BALANCE_SHEET[Id],$L96,PBC_BALANCE_SHEET[Date],BK$5)</f>
        <v>1500000</v>
      </c>
      <c r="BL96" s="289">
        <f>SUMIFS(PBC_BALANCE_SHEET[AccountBalance], PBC_BALANCE_SHEET[Id],$L96,PBC_BALANCE_SHEET[Date],BL$5)</f>
        <v>1500000</v>
      </c>
      <c r="BM96" s="289">
        <f>SUMIFS(PBC_BALANCE_SHEET[AccountBalance], PBC_BALANCE_SHEET[Id],$L96,PBC_BALANCE_SHEET[Date],BM$5)</f>
        <v>1500000</v>
      </c>
      <c r="BN96" s="289">
        <f>SUMIFS(PBC_BALANCE_SHEET[AccountBalance], PBC_BALANCE_SHEET[Id],$L96,PBC_BALANCE_SHEET[Date],BN$5)</f>
        <v>1500000</v>
      </c>
      <c r="BO96" s="289">
        <f>SUMIFS(PBC_BALANCE_SHEET[AccountBalance], PBC_BALANCE_SHEET[Id],$L96,PBC_BALANCE_SHEET[Date],BO$5)</f>
        <v>1500000</v>
      </c>
      <c r="BP96" s="289">
        <f>SUMIFS(PBC_BALANCE_SHEET[AccountBalance], PBC_BALANCE_SHEET[Id],$L96,PBC_BALANCE_SHEET[Date],BP$5)</f>
        <v>1500000</v>
      </c>
      <c r="BQ96" s="289">
        <f>SUMIFS(PBC_BALANCE_SHEET[AccountBalance], PBC_BALANCE_SHEET[Id],$L96,PBC_BALANCE_SHEET[Date],BQ$5)</f>
        <v>1500000</v>
      </c>
      <c r="BR96" s="289">
        <f>SUMIFS(PBC_BALANCE_SHEET[AccountBalance], PBC_BALANCE_SHEET[Id],$L96,PBC_BALANCE_SHEET[Date],BR$5)</f>
        <v>1500000</v>
      </c>
      <c r="BS96" s="289">
        <f>SUMIFS(PBC_BALANCE_SHEET[AccountBalance], PBC_BALANCE_SHEET[Id],$L96,PBC_BALANCE_SHEET[Date],BS$5)</f>
        <v>1500000</v>
      </c>
      <c r="BT96" s="289">
        <f>SUMIFS(PBC_BALANCE_SHEET[AccountBalance], PBC_BALANCE_SHEET[Id],$L96,PBC_BALANCE_SHEET[Date],BT$5)</f>
        <v>1500000</v>
      </c>
      <c r="BU96" s="289">
        <f>SUMIFS(PBC_BALANCE_SHEET[AccountBalance], PBC_BALANCE_SHEET[Id],$L96,PBC_BALANCE_SHEET[Date],BU$5)</f>
        <v>1500000</v>
      </c>
      <c r="BV96" s="289">
        <f>SUMIFS(PBC_BALANCE_SHEET[AccountBalance], PBC_BALANCE_SHEET[Id],$L96,PBC_BALANCE_SHEET[Date],BV$5)</f>
        <v>1500000</v>
      </c>
      <c r="BW96" s="289">
        <f>SUMIFS(PBC_BALANCE_SHEET[AccountBalance], PBC_BALANCE_SHEET[Id],$L96,PBC_BALANCE_SHEET[Date],BW$5)</f>
        <v>1500000</v>
      </c>
      <c r="BX96" s="335" cm="1">
        <f t="array" ref="BX96">_xlfn.SWITCH(
    $E96,
    "3 month avg", AVERAGE(BU96:BW96) * (1 + $F96),
    "6 month avg", AVERAGE(BR96:BW96) * (1 + $F96),
    "12 month avg", AVERAGE(BM96:BW96) * (1 + $F96),
    "Prior Month",BW96* (1 + $F96),
    "Prior Year", BL96* (1 + $F96),
    "Monthly assumption",$G96* (1 + $F96),
    "Quarterly assumption",$G96/3* (1 + $F96),
    "Annual assumption",$G96/12* (1 + $F96),
    "% of Revenue",SUM(_xlfn._xlws.FILTER(_xlfn._xlws.FILTER(dataSummaryPL,dataSummaryPLSections="Revenue"),(startDates&gt;=BX$4)*(endDates&lt;=BX$5)))*$F96,
    "Custom",0,
    "0",0,
        0
)</f>
        <v>1500000</v>
      </c>
      <c r="BY96" s="335" cm="1">
        <f t="array" ref="BY96">_xlfn.SWITCH(
    $E96,
    "3 month avg", AVERAGE(BV96:BX96) * (1 + $F96),
    "6 month avg", AVERAGE(BS96:BX96) * (1 + $F96),
    "12 month avg", AVERAGE(BN96:BX96) * (1 + $F96),
    "Prior Month",BX96* (1 + $F96),
    "Prior Year", BM96* (1 + $F96),
    "Monthly assumption",$G96* (1 + $F96),
    "Quarterly assumption",$G96/3* (1 + $F96),
    "Annual assumption",$G96/12* (1 + $F96),
    "% of Revenue",SUM(_xlfn._xlws.FILTER(_xlfn._xlws.FILTER(dataSummaryPL,dataSummaryPLSections="Revenue"),(startDates&gt;=BY$4)*(endDates&lt;=BY$5)))*$F96,
    "Custom",0,
    "0",0,
        0
)</f>
        <v>1500000</v>
      </c>
      <c r="BZ96" s="335" cm="1">
        <f t="array" ref="BZ96">_xlfn.SWITCH(
    $E96,
    "3 month avg", AVERAGE(BW96:BY96) * (1 + $F96),
    "6 month avg", AVERAGE(BT96:BY96) * (1 + $F96),
    "12 month avg", AVERAGE(BO96:BY96) * (1 + $F96),
    "Prior Month",BY96* (1 + $F96),
    "Prior Year", BN96* (1 + $F96),
    "Monthly assumption",$G96* (1 + $F96),
    "Quarterly assumption",$G96/3* (1 + $F96),
    "Annual assumption",$G96/12* (1 + $F96),
    "% of Revenue",SUM(_xlfn._xlws.FILTER(_xlfn._xlws.FILTER(dataSummaryPL,dataSummaryPLSections="Revenue"),(startDates&gt;=BZ$4)*(endDates&lt;=BZ$5)))*$F96,
    "Custom",0,
    "0",0,
        0
)</f>
        <v>1500000</v>
      </c>
      <c r="CA96" s="335" cm="1">
        <f t="array" ref="CA96">_xlfn.SWITCH(
    $E96,
    "3 month avg", AVERAGE(BX96:BZ96) * (1 + $F96),
    "6 month avg", AVERAGE(BU96:BZ96) * (1 + $F96),
    "12 month avg", AVERAGE(BP96:BZ96) * (1 + $F96),
    "Prior Month",BZ96* (1 + $F96),
    "Prior Year", BO96* (1 + $F96),
    "Monthly assumption",$G96* (1 + $F96),
    "Quarterly assumption",$G96/3* (1 + $F96),
    "Annual assumption",$G96/12* (1 + $F96),
    "% of Revenue",SUM(_xlfn._xlws.FILTER(_xlfn._xlws.FILTER(dataSummaryPL,dataSummaryPLSections="Revenue"),(startDates&gt;=CA$4)*(endDates&lt;=CA$5)))*$F96,
    "Custom",0,
    "0",0,
        0
)</f>
        <v>1500000</v>
      </c>
      <c r="CB96" s="335" cm="1">
        <f t="array" ref="CB96">_xlfn.SWITCH(
    $E96,
    "3 month avg", AVERAGE(BY96:CA96) * (1 + $F96),
    "6 month avg", AVERAGE(BV96:CA96) * (1 + $F96),
    "12 month avg", AVERAGE(BQ96:CA96) * (1 + $F96),
    "Prior Month",CA96* (1 + $F96),
    "Prior Year", BP96* (1 + $F96),
    "Monthly assumption",$G96* (1 + $F96),
    "Quarterly assumption",$G96/3* (1 + $F96),
    "Annual assumption",$G96/12* (1 + $F96),
    "% of Revenue",SUM(_xlfn._xlws.FILTER(_xlfn._xlws.FILTER(dataSummaryPL,dataSummaryPLSections="Revenue"),(startDates&gt;=CB$4)*(endDates&lt;=CB$5)))*$F96,
    "Custom",0,
    "0",0,
        0
)</f>
        <v>1500000</v>
      </c>
      <c r="CC96" s="335" cm="1">
        <f t="array" ref="CC96">_xlfn.SWITCH(
    $E96,
    "3 month avg", AVERAGE(BZ96:CB96) * (1 + $F96),
    "6 month avg", AVERAGE(BW96:CB96) * (1 + $F96),
    "12 month avg", AVERAGE(BR96:CB96) * (1 + $F96),
    "Prior Month",CB96* (1 + $F96),
    "Prior Year", BQ96* (1 + $F96),
    "Monthly assumption",$G96* (1 + $F96),
    "Quarterly assumption",$G96/3* (1 + $F96),
    "Annual assumption",$G96/12* (1 + $F96),
    "% of Revenue",SUM(_xlfn._xlws.FILTER(_xlfn._xlws.FILTER(dataSummaryPL,dataSummaryPLSections="Revenue"),(startDates&gt;=CC$4)*(endDates&lt;=CC$5)))*$F96,
    "Custom",0,
    "0",0,
        0
)</f>
        <v>1500000</v>
      </c>
      <c r="CD96" s="335" cm="1">
        <f t="array" ref="CD96">_xlfn.SWITCH(
    $E96,
    "3 month avg", AVERAGE(CA96:CC96) * (1 + $F96),
    "6 month avg", AVERAGE(BX96:CC96) * (1 + $F96),
    "12 month avg", AVERAGE(BS96:CC96) * (1 + $F96),
    "Prior Month",CC96* (1 + $F96),
    "Prior Year", BR96* (1 + $F96),
    "Monthly assumption",$G96* (1 + $F96),
    "Quarterly assumption",$G96/3* (1 + $F96),
    "Annual assumption",$G96/12* (1 + $F96),
    "% of Revenue",SUM(_xlfn._xlws.FILTER(_xlfn._xlws.FILTER(dataSummaryPL,dataSummaryPLSections="Revenue"),(startDates&gt;=CD$4)*(endDates&lt;=CD$5)))*$F96,
    "Custom",0,
    "0",0,
        0
)</f>
        <v>1500000</v>
      </c>
      <c r="CE96" s="335" cm="1">
        <f t="array" ref="CE96">_xlfn.SWITCH(
    $E96,
    "3 month avg", AVERAGE(CB96:CD96) * (1 + $F96),
    "6 month avg", AVERAGE(BY96:CD96) * (1 + $F96),
    "12 month avg", AVERAGE(BT96:CD96) * (1 + $F96),
    "Prior Month",CD96* (1 + $F96),
    "Prior Year", BS96* (1 + $F96),
    "Monthly assumption",$G96* (1 + $F96),
    "Quarterly assumption",$G96/3* (1 + $F96),
    "Annual assumption",$G96/12* (1 + $F96),
    "% of Revenue",SUM(_xlfn._xlws.FILTER(_xlfn._xlws.FILTER(dataSummaryPL,dataSummaryPLSections="Revenue"),(startDates&gt;=CE$4)*(endDates&lt;=CE$5)))*$F96,
    "Custom",0,
    "0",0,
        0
)</f>
        <v>1500000</v>
      </c>
      <c r="CF96" s="335" cm="1">
        <f t="array" ref="CF96">_xlfn.SWITCH(
    $E96,
    "3 month avg", AVERAGE(CC96:CE96) * (1 + $F96),
    "6 month avg", AVERAGE(BZ96:CE96) * (1 + $F96),
    "12 month avg", AVERAGE(BU96:CE96) * (1 + $F96),
    "Prior Month",CE96* (1 + $F96),
    "Prior Year", BT96* (1 + $F96),
    "Monthly assumption",$G96* (1 + $F96),
    "Quarterly assumption",$G96/3* (1 + $F96),
    "Annual assumption",$G96/12* (1 + $F96),
    "% of Revenue",SUM(_xlfn._xlws.FILTER(_xlfn._xlws.FILTER(dataSummaryPL,dataSummaryPLSections="Revenue"),(startDates&gt;=CF$4)*(endDates&lt;=CF$5)))*$F96,
    "Custom",0,
    "0",0,
        0
)</f>
        <v>1500000</v>
      </c>
      <c r="CG96" s="335" cm="1">
        <f t="array" ref="CG96">_xlfn.SWITCH(
    $E96,
    "3 month avg", AVERAGE(CD96:CF96) * (1 + $F96),
    "6 month avg", AVERAGE(CA96:CF96) * (1 + $F96),
    "12 month avg", AVERAGE(BV96:CF96) * (1 + $F96),
    "Prior Month",CF96* (1 + $F96),
    "Prior Year", BU96* (1 + $F96),
    "Monthly assumption",$G96* (1 + $F96),
    "Quarterly assumption",$G96/3* (1 + $F96),
    "Annual assumption",$G96/12* (1 + $F96),
    "% of Revenue",SUM(_xlfn._xlws.FILTER(_xlfn._xlws.FILTER(dataSummaryPL,dataSummaryPLSections="Revenue"),(startDates&gt;=CG$4)*(endDates&lt;=CG$5)))*$F96,
    "Custom",0,
    "0",0,
        0
)</f>
        <v>1500000</v>
      </c>
      <c r="CH96" s="335" cm="1">
        <f t="array" ref="CH96">_xlfn.SWITCH(
    $E96,
    "3 month avg", AVERAGE(CE96:CG96) * (1 + $F96),
    "6 month avg", AVERAGE(CB96:CG96) * (1 + $F96),
    "12 month avg", AVERAGE(BW96:CG96) * (1 + $F96),
    "Prior Month",CG96* (1 + $F96),
    "Prior Year", BV96* (1 + $F96),
    "Monthly assumption",$G96* (1 + $F96),
    "Quarterly assumption",$G96/3* (1 + $F96),
    "Annual assumption",$G96/12* (1 + $F96),
    "% of Revenue",SUM(_xlfn._xlws.FILTER(_xlfn._xlws.FILTER(dataSummaryPL,dataSummaryPLSections="Revenue"),(startDates&gt;=CH$4)*(endDates&lt;=CH$5)))*$F96,
    "Custom",0,
    "0",0,
        0
)</f>
        <v>1500000</v>
      </c>
      <c r="CI96" s="335" cm="1">
        <f t="array" ref="CI96">_xlfn.SWITCH(
    $E96,
    "3 month avg", AVERAGE(CF96:CH96) * (1 + $F96),
    "6 month avg", AVERAGE(CC96:CH96) * (1 + $F96),
    "12 month avg", AVERAGE(BX96:CH96) * (1 + $F96),
    "Prior Month",CH96* (1 + $F96),
    "Prior Year", BW96* (1 + $F96),
    "Monthly assumption",$G96* (1 + $F96),
    "Quarterly assumption",$G96/3* (1 + $F96),
    "Annual assumption",$G96/12* (1 + $F96),
    "% of Revenue",SUM(_xlfn._xlws.FILTER(_xlfn._xlws.FILTER(dataSummaryPL,dataSummaryPLSections="Revenue"),(startDates&gt;=CI$4)*(endDates&lt;=CI$5)))*$F96,
    "Custom",0,
    "0",0,
        0
)</f>
        <v>1500000</v>
      </c>
      <c r="CJ96" s="335" cm="1">
        <f t="array" ref="CJ96">_xlfn.SWITCH(
    $E96,
    "3 month avg", AVERAGE(CG96:CI96) * (1 + $F96),
    "6 month avg", AVERAGE(CD96:CI96) * (1 + $F96),
    "12 month avg", AVERAGE(BY96:CI96) * (1 + $F96),
    "Prior Month",CI96* (1 + $F96),
    "Prior Year", BX96* (1 + $F96),
    "Monthly assumption",$G96* (1 + $F96),
    "Quarterly assumption",$G96/3* (1 + $F96),
    "Annual assumption",$G96/12* (1 + $F96),
    "% of Revenue",SUM(_xlfn._xlws.FILTER(_xlfn._xlws.FILTER(dataSummaryPL,dataSummaryPLSections="Revenue"),(startDates&gt;=CJ$4)*(endDates&lt;=CJ$5)))*$F96,
    "Custom",0,
    "0",0,
        0
)</f>
        <v>1500000</v>
      </c>
    </row>
    <row r="97" spans="1:88" ht="14.45" customHeight="1" outlineLevel="2">
      <c r="B97" s="284"/>
      <c r="C97" s="283"/>
      <c r="D97" s="288" t="s">
        <v>317</v>
      </c>
      <c r="E97" s="280" t="s">
        <v>358</v>
      </c>
      <c r="F97" s="279"/>
      <c r="G97" s="279"/>
      <c r="H97" s="277" t="str">
        <f>IFERROR(INDEX(PBC_ACCOUNT_LIST[Drivers Section],MATCH(Drivers!L97,PBC_ACCOUNT_LIST[Id],0)),"")</f>
        <v>Liabilities</v>
      </c>
      <c r="I97" s="277" t="str">
        <f>IFERROR(INDEX(PBC_ACCOUNT_LIST[Summary Grouping],MATCH(Drivers!L97,PBC_ACCOUNT_LIST[Id],0)),"")</f>
        <v>Debt</v>
      </c>
      <c r="J97" s="277" t="str">
        <f>IFERROR(INDEX(PBC_ACCOUNT_LIST[Cash Flow Section],MATCH(Drivers!L97,PBC_ACCOUNT_LIST[Id],0)),"")</f>
        <v>Cash From Financing Activities</v>
      </c>
      <c r="K97" s="278" t="s">
        <v>106</v>
      </c>
      <c r="L97" s="277">
        <v>163</v>
      </c>
      <c r="M97" s="276"/>
      <c r="O97" s="272"/>
      <c r="P97" s="289">
        <f t="shared" si="87"/>
        <v>30000</v>
      </c>
      <c r="Q97" s="289">
        <f t="shared" si="87"/>
        <v>30000</v>
      </c>
      <c r="R97" s="289">
        <f t="shared" si="87"/>
        <v>30000</v>
      </c>
      <c r="S97" s="289">
        <f t="shared" si="87"/>
        <v>30000</v>
      </c>
      <c r="T97" s="289"/>
      <c r="U97" s="289"/>
      <c r="V97" s="289">
        <f t="shared" si="88"/>
        <v>7500</v>
      </c>
      <c r="W97" s="289">
        <f t="shared" si="88"/>
        <v>15000</v>
      </c>
      <c r="X97" s="289">
        <f t="shared" si="88"/>
        <v>22500</v>
      </c>
      <c r="Y97" s="289">
        <f t="shared" si="88"/>
        <v>30000</v>
      </c>
      <c r="Z97" s="289">
        <f t="shared" si="88"/>
        <v>30000</v>
      </c>
      <c r="AA97" s="289">
        <f t="shared" si="88"/>
        <v>30000</v>
      </c>
      <c r="AB97" s="289">
        <f t="shared" si="88"/>
        <v>30000</v>
      </c>
      <c r="AC97" s="289">
        <f t="shared" si="88"/>
        <v>30000</v>
      </c>
      <c r="AD97" s="289">
        <f t="shared" si="88"/>
        <v>30000</v>
      </c>
      <c r="AE97" s="289">
        <f t="shared" si="88"/>
        <v>30000</v>
      </c>
      <c r="AF97" s="289">
        <f t="shared" si="88"/>
        <v>30000</v>
      </c>
      <c r="AG97" s="289">
        <f t="shared" si="88"/>
        <v>30000</v>
      </c>
      <c r="AH97" s="289">
        <f t="shared" si="88"/>
        <v>30000</v>
      </c>
      <c r="AI97" s="289">
        <f t="shared" si="88"/>
        <v>30000</v>
      </c>
      <c r="AJ97" s="289">
        <f t="shared" si="88"/>
        <v>30000</v>
      </c>
      <c r="AK97" s="289">
        <f t="shared" si="88"/>
        <v>30000</v>
      </c>
      <c r="AL97" s="333"/>
      <c r="AM97" s="334"/>
      <c r="AN97" s="289">
        <f>SUMIFS(PBC_BALANCE_SHEET[AccountBalance], PBC_BALANCE_SHEET[Id],$L97,PBC_BALANCE_SHEET[Date],AN$5)</f>
        <v>0</v>
      </c>
      <c r="AO97" s="289">
        <f>SUMIFS(PBC_BALANCE_SHEET[AccountBalance], PBC_BALANCE_SHEET[Id],$L97,PBC_BALANCE_SHEET[Date],AO$5)</f>
        <v>2500</v>
      </c>
      <c r="AP97" s="289">
        <f>SUMIFS(PBC_BALANCE_SHEET[AccountBalance], PBC_BALANCE_SHEET[Id],$L97,PBC_BALANCE_SHEET[Date],AP$5)</f>
        <v>5000</v>
      </c>
      <c r="AQ97" s="289">
        <f>SUMIFS(PBC_BALANCE_SHEET[AccountBalance], PBC_BALANCE_SHEET[Id],$L97,PBC_BALANCE_SHEET[Date],AQ$5)</f>
        <v>7500</v>
      </c>
      <c r="AR97" s="289">
        <f>SUMIFS(PBC_BALANCE_SHEET[AccountBalance], PBC_BALANCE_SHEET[Id],$L97,PBC_BALANCE_SHEET[Date],AR$5)</f>
        <v>10000</v>
      </c>
      <c r="AS97" s="289">
        <f>SUMIFS(PBC_BALANCE_SHEET[AccountBalance], PBC_BALANCE_SHEET[Id],$L97,PBC_BALANCE_SHEET[Date],AS$5)</f>
        <v>12500</v>
      </c>
      <c r="AT97" s="289">
        <f>SUMIFS(PBC_BALANCE_SHEET[AccountBalance], PBC_BALANCE_SHEET[Id],$L97,PBC_BALANCE_SHEET[Date],AT$5)</f>
        <v>15000</v>
      </c>
      <c r="AU97" s="289">
        <f>SUMIFS(PBC_BALANCE_SHEET[AccountBalance], PBC_BALANCE_SHEET[Id],$L97,PBC_BALANCE_SHEET[Date],AU$5)</f>
        <v>17500</v>
      </c>
      <c r="AV97" s="289">
        <f>SUMIFS(PBC_BALANCE_SHEET[AccountBalance], PBC_BALANCE_SHEET[Id],$L97,PBC_BALANCE_SHEET[Date],AV$5)</f>
        <v>20000</v>
      </c>
      <c r="AW97" s="289">
        <f>SUMIFS(PBC_BALANCE_SHEET[AccountBalance], PBC_BALANCE_SHEET[Id],$L97,PBC_BALANCE_SHEET[Date],AW$5)</f>
        <v>22500</v>
      </c>
      <c r="AX97" s="289">
        <f>SUMIFS(PBC_BALANCE_SHEET[AccountBalance], PBC_BALANCE_SHEET[Id],$L97,PBC_BALANCE_SHEET[Date],AX$5)</f>
        <v>30000</v>
      </c>
      <c r="AY97" s="289">
        <f>SUMIFS(PBC_BALANCE_SHEET[AccountBalance], PBC_BALANCE_SHEET[Id],$L97,PBC_BALANCE_SHEET[Date],AY$5)</f>
        <v>30000</v>
      </c>
      <c r="AZ97" s="289">
        <f>SUMIFS(PBC_BALANCE_SHEET[AccountBalance], PBC_BALANCE_SHEET[Id],$L97,PBC_BALANCE_SHEET[Date],AZ$5)</f>
        <v>30000</v>
      </c>
      <c r="BA97" s="289">
        <f>SUMIFS(PBC_BALANCE_SHEET[AccountBalance], PBC_BALANCE_SHEET[Id],$L97,PBC_BALANCE_SHEET[Date],BA$5)</f>
        <v>30000</v>
      </c>
      <c r="BB97" s="289">
        <f>SUMIFS(PBC_BALANCE_SHEET[AccountBalance], PBC_BALANCE_SHEET[Id],$L97,PBC_BALANCE_SHEET[Date],BB$5)</f>
        <v>30000</v>
      </c>
      <c r="BC97" s="289">
        <f>SUMIFS(PBC_BALANCE_SHEET[AccountBalance], PBC_BALANCE_SHEET[Id],$L97,PBC_BALANCE_SHEET[Date],BC$5)</f>
        <v>30000</v>
      </c>
      <c r="BD97" s="289">
        <f>SUMIFS(PBC_BALANCE_SHEET[AccountBalance], PBC_BALANCE_SHEET[Id],$L97,PBC_BALANCE_SHEET[Date],BD$5)</f>
        <v>30000</v>
      </c>
      <c r="BE97" s="289">
        <f>SUMIFS(PBC_BALANCE_SHEET[AccountBalance], PBC_BALANCE_SHEET[Id],$L97,PBC_BALANCE_SHEET[Date],BE$5)</f>
        <v>30000</v>
      </c>
      <c r="BF97" s="289">
        <f>SUMIFS(PBC_BALANCE_SHEET[AccountBalance], PBC_BALANCE_SHEET[Id],$L97,PBC_BALANCE_SHEET[Date],BF$5)</f>
        <v>30000</v>
      </c>
      <c r="BG97" s="289">
        <f>SUMIFS(PBC_BALANCE_SHEET[AccountBalance], PBC_BALANCE_SHEET[Id],$L97,PBC_BALANCE_SHEET[Date],BG$5)</f>
        <v>30000</v>
      </c>
      <c r="BH97" s="289">
        <f>SUMIFS(PBC_BALANCE_SHEET[AccountBalance], PBC_BALANCE_SHEET[Id],$L97,PBC_BALANCE_SHEET[Date],BH$5)</f>
        <v>30000</v>
      </c>
      <c r="BI97" s="289">
        <f>SUMIFS(PBC_BALANCE_SHEET[AccountBalance], PBC_BALANCE_SHEET[Id],$L97,PBC_BALANCE_SHEET[Date],BI$5)</f>
        <v>30000</v>
      </c>
      <c r="BJ97" s="289">
        <f>SUMIFS(PBC_BALANCE_SHEET[AccountBalance], PBC_BALANCE_SHEET[Id],$L97,PBC_BALANCE_SHEET[Date],BJ$5)</f>
        <v>30000</v>
      </c>
      <c r="BK97" s="289">
        <f>SUMIFS(PBC_BALANCE_SHEET[AccountBalance], PBC_BALANCE_SHEET[Id],$L97,PBC_BALANCE_SHEET[Date],BK$5)</f>
        <v>30000</v>
      </c>
      <c r="BL97" s="289">
        <f>SUMIFS(PBC_BALANCE_SHEET[AccountBalance], PBC_BALANCE_SHEET[Id],$L97,PBC_BALANCE_SHEET[Date],BL$5)</f>
        <v>30000</v>
      </c>
      <c r="BM97" s="289">
        <f>SUMIFS(PBC_BALANCE_SHEET[AccountBalance], PBC_BALANCE_SHEET[Id],$L97,PBC_BALANCE_SHEET[Date],BM$5)</f>
        <v>30000</v>
      </c>
      <c r="BN97" s="289">
        <f>SUMIFS(PBC_BALANCE_SHEET[AccountBalance], PBC_BALANCE_SHEET[Id],$L97,PBC_BALANCE_SHEET[Date],BN$5)</f>
        <v>30000</v>
      </c>
      <c r="BO97" s="289">
        <f>SUMIFS(PBC_BALANCE_SHEET[AccountBalance], PBC_BALANCE_SHEET[Id],$L97,PBC_BALANCE_SHEET[Date],BO$5)</f>
        <v>30000</v>
      </c>
      <c r="BP97" s="289">
        <f>SUMIFS(PBC_BALANCE_SHEET[AccountBalance], PBC_BALANCE_SHEET[Id],$L97,PBC_BALANCE_SHEET[Date],BP$5)</f>
        <v>30000</v>
      </c>
      <c r="BQ97" s="289">
        <f>SUMIFS(PBC_BALANCE_SHEET[AccountBalance], PBC_BALANCE_SHEET[Id],$L97,PBC_BALANCE_SHEET[Date],BQ$5)</f>
        <v>30000</v>
      </c>
      <c r="BR97" s="289">
        <f>SUMIFS(PBC_BALANCE_SHEET[AccountBalance], PBC_BALANCE_SHEET[Id],$L97,PBC_BALANCE_SHEET[Date],BR$5)</f>
        <v>30000</v>
      </c>
      <c r="BS97" s="289">
        <f>SUMIFS(PBC_BALANCE_SHEET[AccountBalance], PBC_BALANCE_SHEET[Id],$L97,PBC_BALANCE_SHEET[Date],BS$5)</f>
        <v>30000</v>
      </c>
      <c r="BT97" s="289">
        <f>SUMIFS(PBC_BALANCE_SHEET[AccountBalance], PBC_BALANCE_SHEET[Id],$L97,PBC_BALANCE_SHEET[Date],BT$5)</f>
        <v>30000</v>
      </c>
      <c r="BU97" s="289">
        <f>SUMIFS(PBC_BALANCE_SHEET[AccountBalance], PBC_BALANCE_SHEET[Id],$L97,PBC_BALANCE_SHEET[Date],BU$5)</f>
        <v>30000</v>
      </c>
      <c r="BV97" s="289">
        <f>SUMIFS(PBC_BALANCE_SHEET[AccountBalance], PBC_BALANCE_SHEET[Id],$L97,PBC_BALANCE_SHEET[Date],BV$5)</f>
        <v>30000</v>
      </c>
      <c r="BW97" s="289">
        <f>SUMIFS(PBC_BALANCE_SHEET[AccountBalance], PBC_BALANCE_SHEET[Id],$L97,PBC_BALANCE_SHEET[Date],BW$5)</f>
        <v>30000</v>
      </c>
      <c r="BX97" s="335" cm="1">
        <f t="array" ref="BX97">_xlfn.SWITCH(
    $E97,
    "3 month avg", AVERAGE(BU97:BW97) * (1 + $F97),
    "6 month avg", AVERAGE(BR97:BW97) * (1 + $F97),
    "12 month avg", AVERAGE(BM97:BW97) * (1 + $F97),
    "Prior Month",BW97* (1 + $F97),
    "Prior Year", BL97* (1 + $F97),
    "Monthly assumption",$G97* (1 + $F97),
    "Quarterly assumption",$G97/3* (1 + $F97),
    "Annual assumption",$G97/12* (1 + $F97),
    "% of Revenue",SUM(_xlfn._xlws.FILTER(_xlfn._xlws.FILTER(dataSummaryPL,dataSummaryPLSections="Revenue"),(startDates&gt;=BX$4)*(endDates&lt;=BX$5)))*$F97,
    "Custom",0,
    "0",0,
        0
)</f>
        <v>30000</v>
      </c>
      <c r="BY97" s="335" cm="1">
        <f t="array" ref="BY97">_xlfn.SWITCH(
    $E97,
    "3 month avg", AVERAGE(BV97:BX97) * (1 + $F97),
    "6 month avg", AVERAGE(BS97:BX97) * (1 + $F97),
    "12 month avg", AVERAGE(BN97:BX97) * (1 + $F97),
    "Prior Month",BX97* (1 + $F97),
    "Prior Year", BM97* (1 + $F97),
    "Monthly assumption",$G97* (1 + $F97),
    "Quarterly assumption",$G97/3* (1 + $F97),
    "Annual assumption",$G97/12* (1 + $F97),
    "% of Revenue",SUM(_xlfn._xlws.FILTER(_xlfn._xlws.FILTER(dataSummaryPL,dataSummaryPLSections="Revenue"),(startDates&gt;=BY$4)*(endDates&lt;=BY$5)))*$F97,
    "Custom",0,
    "0",0,
        0
)</f>
        <v>30000</v>
      </c>
      <c r="BZ97" s="335" cm="1">
        <f t="array" ref="BZ97">_xlfn.SWITCH(
    $E97,
    "3 month avg", AVERAGE(BW97:BY97) * (1 + $F97),
    "6 month avg", AVERAGE(BT97:BY97) * (1 + $F97),
    "12 month avg", AVERAGE(BO97:BY97) * (1 + $F97),
    "Prior Month",BY97* (1 + $F97),
    "Prior Year", BN97* (1 + $F97),
    "Monthly assumption",$G97* (1 + $F97),
    "Quarterly assumption",$G97/3* (1 + $F97),
    "Annual assumption",$G97/12* (1 + $F97),
    "% of Revenue",SUM(_xlfn._xlws.FILTER(_xlfn._xlws.FILTER(dataSummaryPL,dataSummaryPLSections="Revenue"),(startDates&gt;=BZ$4)*(endDates&lt;=BZ$5)))*$F97,
    "Custom",0,
    "0",0,
        0
)</f>
        <v>30000</v>
      </c>
      <c r="CA97" s="335" cm="1">
        <f t="array" ref="CA97">_xlfn.SWITCH(
    $E97,
    "3 month avg", AVERAGE(BX97:BZ97) * (1 + $F97),
    "6 month avg", AVERAGE(BU97:BZ97) * (1 + $F97),
    "12 month avg", AVERAGE(BP97:BZ97) * (1 + $F97),
    "Prior Month",BZ97* (1 + $F97),
    "Prior Year", BO97* (1 + $F97),
    "Monthly assumption",$G97* (1 + $F97),
    "Quarterly assumption",$G97/3* (1 + $F97),
    "Annual assumption",$G97/12* (1 + $F97),
    "% of Revenue",SUM(_xlfn._xlws.FILTER(_xlfn._xlws.FILTER(dataSummaryPL,dataSummaryPLSections="Revenue"),(startDates&gt;=CA$4)*(endDates&lt;=CA$5)))*$F97,
    "Custom",0,
    "0",0,
        0
)</f>
        <v>30000</v>
      </c>
      <c r="CB97" s="335" cm="1">
        <f t="array" ref="CB97">_xlfn.SWITCH(
    $E97,
    "3 month avg", AVERAGE(BY97:CA97) * (1 + $F97),
    "6 month avg", AVERAGE(BV97:CA97) * (1 + $F97),
    "12 month avg", AVERAGE(BQ97:CA97) * (1 + $F97),
    "Prior Month",CA97* (1 + $F97),
    "Prior Year", BP97* (1 + $F97),
    "Monthly assumption",$G97* (1 + $F97),
    "Quarterly assumption",$G97/3* (1 + $F97),
    "Annual assumption",$G97/12* (1 + $F97),
    "% of Revenue",SUM(_xlfn._xlws.FILTER(_xlfn._xlws.FILTER(dataSummaryPL,dataSummaryPLSections="Revenue"),(startDates&gt;=CB$4)*(endDates&lt;=CB$5)))*$F97,
    "Custom",0,
    "0",0,
        0
)</f>
        <v>30000</v>
      </c>
      <c r="CC97" s="335" cm="1">
        <f t="array" ref="CC97">_xlfn.SWITCH(
    $E97,
    "3 month avg", AVERAGE(BZ97:CB97) * (1 + $F97),
    "6 month avg", AVERAGE(BW97:CB97) * (1 + $F97),
    "12 month avg", AVERAGE(BR97:CB97) * (1 + $F97),
    "Prior Month",CB97* (1 + $F97),
    "Prior Year", BQ97* (1 + $F97),
    "Monthly assumption",$G97* (1 + $F97),
    "Quarterly assumption",$G97/3* (1 + $F97),
    "Annual assumption",$G97/12* (1 + $F97),
    "% of Revenue",SUM(_xlfn._xlws.FILTER(_xlfn._xlws.FILTER(dataSummaryPL,dataSummaryPLSections="Revenue"),(startDates&gt;=CC$4)*(endDates&lt;=CC$5)))*$F97,
    "Custom",0,
    "0",0,
        0
)</f>
        <v>30000</v>
      </c>
      <c r="CD97" s="335" cm="1">
        <f t="array" ref="CD97">_xlfn.SWITCH(
    $E97,
    "3 month avg", AVERAGE(CA97:CC97) * (1 + $F97),
    "6 month avg", AVERAGE(BX97:CC97) * (1 + $F97),
    "12 month avg", AVERAGE(BS97:CC97) * (1 + $F97),
    "Prior Month",CC97* (1 + $F97),
    "Prior Year", BR97* (1 + $F97),
    "Monthly assumption",$G97* (1 + $F97),
    "Quarterly assumption",$G97/3* (1 + $F97),
    "Annual assumption",$G97/12* (1 + $F97),
    "% of Revenue",SUM(_xlfn._xlws.FILTER(_xlfn._xlws.FILTER(dataSummaryPL,dataSummaryPLSections="Revenue"),(startDates&gt;=CD$4)*(endDates&lt;=CD$5)))*$F97,
    "Custom",0,
    "0",0,
        0
)</f>
        <v>30000</v>
      </c>
      <c r="CE97" s="335" cm="1">
        <f t="array" ref="CE97">_xlfn.SWITCH(
    $E97,
    "3 month avg", AVERAGE(CB97:CD97) * (1 + $F97),
    "6 month avg", AVERAGE(BY97:CD97) * (1 + $F97),
    "12 month avg", AVERAGE(BT97:CD97) * (1 + $F97),
    "Prior Month",CD97* (1 + $F97),
    "Prior Year", BS97* (1 + $F97),
    "Monthly assumption",$G97* (1 + $F97),
    "Quarterly assumption",$G97/3* (1 + $F97),
    "Annual assumption",$G97/12* (1 + $F97),
    "% of Revenue",SUM(_xlfn._xlws.FILTER(_xlfn._xlws.FILTER(dataSummaryPL,dataSummaryPLSections="Revenue"),(startDates&gt;=CE$4)*(endDates&lt;=CE$5)))*$F97,
    "Custom",0,
    "0",0,
        0
)</f>
        <v>30000</v>
      </c>
      <c r="CF97" s="335" cm="1">
        <f t="array" ref="CF97">_xlfn.SWITCH(
    $E97,
    "3 month avg", AVERAGE(CC97:CE97) * (1 + $F97),
    "6 month avg", AVERAGE(BZ97:CE97) * (1 + $F97),
    "12 month avg", AVERAGE(BU97:CE97) * (1 + $F97),
    "Prior Month",CE97* (1 + $F97),
    "Prior Year", BT97* (1 + $F97),
    "Monthly assumption",$G97* (1 + $F97),
    "Quarterly assumption",$G97/3* (1 + $F97),
    "Annual assumption",$G97/12* (1 + $F97),
    "% of Revenue",SUM(_xlfn._xlws.FILTER(_xlfn._xlws.FILTER(dataSummaryPL,dataSummaryPLSections="Revenue"),(startDates&gt;=CF$4)*(endDates&lt;=CF$5)))*$F97,
    "Custom",0,
    "0",0,
        0
)</f>
        <v>30000</v>
      </c>
      <c r="CG97" s="335" cm="1">
        <f t="array" ref="CG97">_xlfn.SWITCH(
    $E97,
    "3 month avg", AVERAGE(CD97:CF97) * (1 + $F97),
    "6 month avg", AVERAGE(CA97:CF97) * (1 + $F97),
    "12 month avg", AVERAGE(BV97:CF97) * (1 + $F97),
    "Prior Month",CF97* (1 + $F97),
    "Prior Year", BU97* (1 + $F97),
    "Monthly assumption",$G97* (1 + $F97),
    "Quarterly assumption",$G97/3* (1 + $F97),
    "Annual assumption",$G97/12* (1 + $F97),
    "% of Revenue",SUM(_xlfn._xlws.FILTER(_xlfn._xlws.FILTER(dataSummaryPL,dataSummaryPLSections="Revenue"),(startDates&gt;=CG$4)*(endDates&lt;=CG$5)))*$F97,
    "Custom",0,
    "0",0,
        0
)</f>
        <v>30000</v>
      </c>
      <c r="CH97" s="335" cm="1">
        <f t="array" ref="CH97">_xlfn.SWITCH(
    $E97,
    "3 month avg", AVERAGE(CE97:CG97) * (1 + $F97),
    "6 month avg", AVERAGE(CB97:CG97) * (1 + $F97),
    "12 month avg", AVERAGE(BW97:CG97) * (1 + $F97),
    "Prior Month",CG97* (1 + $F97),
    "Prior Year", BV97* (1 + $F97),
    "Monthly assumption",$G97* (1 + $F97),
    "Quarterly assumption",$G97/3* (1 + $F97),
    "Annual assumption",$G97/12* (1 + $F97),
    "% of Revenue",SUM(_xlfn._xlws.FILTER(_xlfn._xlws.FILTER(dataSummaryPL,dataSummaryPLSections="Revenue"),(startDates&gt;=CH$4)*(endDates&lt;=CH$5)))*$F97,
    "Custom",0,
    "0",0,
        0
)</f>
        <v>30000</v>
      </c>
      <c r="CI97" s="335" cm="1">
        <f t="array" ref="CI97">_xlfn.SWITCH(
    $E97,
    "3 month avg", AVERAGE(CF97:CH97) * (1 + $F97),
    "6 month avg", AVERAGE(CC97:CH97) * (1 + $F97),
    "12 month avg", AVERAGE(BX97:CH97) * (1 + $F97),
    "Prior Month",CH97* (1 + $F97),
    "Prior Year", BW97* (1 + $F97),
    "Monthly assumption",$G97* (1 + $F97),
    "Quarterly assumption",$G97/3* (1 + $F97),
    "Annual assumption",$G97/12* (1 + $F97),
    "% of Revenue",SUM(_xlfn._xlws.FILTER(_xlfn._xlws.FILTER(dataSummaryPL,dataSummaryPLSections="Revenue"),(startDates&gt;=CI$4)*(endDates&lt;=CI$5)))*$F97,
    "Custom",0,
    "0",0,
        0
)</f>
        <v>30000</v>
      </c>
      <c r="CJ97" s="335" cm="1">
        <f t="array" ref="CJ97">_xlfn.SWITCH(
    $E97,
    "3 month avg", AVERAGE(CG97:CI97) * (1 + $F97),
    "6 month avg", AVERAGE(CD97:CI97) * (1 + $F97),
    "12 month avg", AVERAGE(BY97:CI97) * (1 + $F97),
    "Prior Month",CI97* (1 + $F97),
    "Prior Year", BX97* (1 + $F97),
    "Monthly assumption",$G97* (1 + $F97),
    "Quarterly assumption",$G97/3* (1 + $F97),
    "Annual assumption",$G97/12* (1 + $F97),
    "% of Revenue",SUM(_xlfn._xlws.FILTER(_xlfn._xlws.FILTER(dataSummaryPL,dataSummaryPLSections="Revenue"),(startDates&gt;=CJ$4)*(endDates&lt;=CJ$5)))*$F97,
    "Custom",0,
    "0",0,
        0
)</f>
        <v>30000</v>
      </c>
    </row>
    <row r="98" spans="1:88" ht="15" outlineLevel="1">
      <c r="B98" s="284"/>
      <c r="C98" s="283"/>
      <c r="D98" s="288"/>
      <c r="E98" s="280"/>
      <c r="F98" s="279"/>
      <c r="G98" s="279"/>
      <c r="H98" s="277"/>
      <c r="I98" s="277"/>
      <c r="J98" s="277"/>
      <c r="K98" s="278"/>
      <c r="L98" s="277"/>
      <c r="M98" s="276"/>
      <c r="O98" s="272"/>
      <c r="P98" s="286"/>
      <c r="Q98" s="286"/>
      <c r="R98" s="286"/>
      <c r="S98" s="286"/>
      <c r="T98" s="286"/>
      <c r="U98" s="286"/>
      <c r="V98" s="286"/>
      <c r="W98" s="286"/>
      <c r="X98" s="286"/>
      <c r="Y98" s="286"/>
      <c r="Z98" s="286"/>
      <c r="AA98" s="286"/>
      <c r="AB98" s="286"/>
      <c r="AC98" s="286"/>
      <c r="AD98" s="286"/>
      <c r="AE98" s="286"/>
      <c r="AF98" s="286"/>
      <c r="AG98" s="286"/>
      <c r="AH98" s="286"/>
      <c r="AI98" s="286"/>
      <c r="AJ98" s="286"/>
      <c r="AK98" s="286"/>
      <c r="AL98" s="287"/>
      <c r="AM98" s="272"/>
      <c r="AN98" s="286"/>
      <c r="AO98" s="286"/>
      <c r="AP98" s="286"/>
      <c r="AQ98" s="286"/>
      <c r="AR98" s="286"/>
      <c r="AS98" s="286"/>
      <c r="AT98" s="286"/>
      <c r="AU98" s="286"/>
      <c r="AV98" s="286"/>
      <c r="AW98" s="286"/>
      <c r="AX98" s="286"/>
      <c r="AY98" s="286"/>
      <c r="AZ98" s="286"/>
      <c r="BA98" s="286"/>
      <c r="BB98" s="286"/>
      <c r="BC98" s="286"/>
      <c r="BD98" s="286"/>
      <c r="BE98" s="286"/>
      <c r="BF98" s="286"/>
      <c r="BG98" s="286"/>
      <c r="BH98" s="286"/>
      <c r="BI98" s="286"/>
      <c r="BJ98" s="286"/>
      <c r="BK98" s="286"/>
      <c r="BL98" s="286"/>
      <c r="BM98" s="286"/>
      <c r="BN98" s="286"/>
      <c r="BO98" s="286"/>
      <c r="BP98" s="286"/>
      <c r="BQ98" s="286"/>
      <c r="BR98" s="286"/>
      <c r="BS98" s="286"/>
      <c r="BT98" s="286"/>
      <c r="BU98" s="286"/>
      <c r="BV98" s="286"/>
      <c r="BW98" s="286"/>
      <c r="BX98" s="286"/>
      <c r="BY98" s="286"/>
      <c r="BZ98" s="286"/>
      <c r="CA98" s="286"/>
      <c r="CB98" s="286"/>
      <c r="CC98" s="286"/>
      <c r="CD98" s="286"/>
      <c r="CE98" s="286"/>
      <c r="CF98" s="286"/>
      <c r="CG98" s="286"/>
      <c r="CH98" s="286"/>
      <c r="CI98" s="286"/>
      <c r="CJ98" s="286"/>
    </row>
    <row r="99" spans="1:88" ht="15" outlineLevel="1">
      <c r="A99" s="285"/>
      <c r="B99" s="284"/>
      <c r="C99" s="283" t="s">
        <v>146</v>
      </c>
      <c r="D99" s="282"/>
      <c r="E99" s="280"/>
      <c r="F99" s="279"/>
      <c r="G99" s="279"/>
      <c r="H99" s="277"/>
      <c r="I99" s="277"/>
      <c r="J99" s="277"/>
      <c r="K99" s="278"/>
      <c r="L99" s="277"/>
      <c r="M99" s="276"/>
      <c r="O99" s="272"/>
      <c r="P99" s="281">
        <f>SUM(P100:P100)</f>
        <v>0</v>
      </c>
      <c r="Q99" s="281">
        <f>SUM(Q100:Q100)</f>
        <v>0</v>
      </c>
      <c r="R99" s="281">
        <f>SUM(R100:R100)</f>
        <v>0</v>
      </c>
      <c r="S99" s="281">
        <f>SUM(S100:S100)</f>
        <v>0</v>
      </c>
      <c r="T99" s="272"/>
      <c r="U99" s="272"/>
      <c r="V99" s="281">
        <f t="shared" ref="V99:AK99" si="89">SUM(V100:V100)</f>
        <v>0</v>
      </c>
      <c r="W99" s="281">
        <f t="shared" si="89"/>
        <v>0</v>
      </c>
      <c r="X99" s="281">
        <f t="shared" si="89"/>
        <v>0</v>
      </c>
      <c r="Y99" s="281">
        <f t="shared" si="89"/>
        <v>0</v>
      </c>
      <c r="Z99" s="281">
        <f t="shared" si="89"/>
        <v>0</v>
      </c>
      <c r="AA99" s="281">
        <f t="shared" si="89"/>
        <v>0</v>
      </c>
      <c r="AB99" s="281">
        <f t="shared" si="89"/>
        <v>0</v>
      </c>
      <c r="AC99" s="281">
        <f t="shared" si="89"/>
        <v>0</v>
      </c>
      <c r="AD99" s="281">
        <f t="shared" si="89"/>
        <v>0</v>
      </c>
      <c r="AE99" s="281">
        <f t="shared" si="89"/>
        <v>0</v>
      </c>
      <c r="AF99" s="281">
        <f t="shared" si="89"/>
        <v>0</v>
      </c>
      <c r="AG99" s="281">
        <f t="shared" si="89"/>
        <v>0</v>
      </c>
      <c r="AH99" s="281">
        <f t="shared" si="89"/>
        <v>0</v>
      </c>
      <c r="AI99" s="281">
        <f t="shared" si="89"/>
        <v>0</v>
      </c>
      <c r="AJ99" s="281">
        <f t="shared" si="89"/>
        <v>0</v>
      </c>
      <c r="AK99" s="281">
        <f t="shared" si="89"/>
        <v>0</v>
      </c>
      <c r="AM99" s="272"/>
      <c r="AN99" s="281">
        <f t="shared" ref="AN99:BS99" si="90">IF(AN$5&lt;=LatestMonthOfActuals,SUMIFS(AN100:AN107,$K100:$K107,"Account"),SUMIFS(AN100:AN107,$K100:$K107,"&lt;&gt;Sub-Account"))</f>
        <v>0</v>
      </c>
      <c r="AO99" s="281">
        <f t="shared" si="90"/>
        <v>455601</v>
      </c>
      <c r="AP99" s="281">
        <f t="shared" si="90"/>
        <v>410762</v>
      </c>
      <c r="AQ99" s="281">
        <f t="shared" si="90"/>
        <v>365458</v>
      </c>
      <c r="AR99" s="281">
        <f t="shared" si="90"/>
        <v>318837</v>
      </c>
      <c r="AS99" s="281">
        <f t="shared" si="90"/>
        <v>271859</v>
      </c>
      <c r="AT99" s="281">
        <f t="shared" si="90"/>
        <v>1724438</v>
      </c>
      <c r="AU99" s="281">
        <f t="shared" si="90"/>
        <v>1676877</v>
      </c>
      <c r="AV99" s="281">
        <f t="shared" si="90"/>
        <v>1629192.5</v>
      </c>
      <c r="AW99" s="281">
        <f t="shared" si="90"/>
        <v>1581556.5</v>
      </c>
      <c r="AX99" s="281">
        <f t="shared" si="90"/>
        <v>1529081.5</v>
      </c>
      <c r="AY99" s="281">
        <f t="shared" si="90"/>
        <v>1964263.5</v>
      </c>
      <c r="AZ99" s="281">
        <f t="shared" si="90"/>
        <v>2840078.5</v>
      </c>
      <c r="BA99" s="281">
        <f t="shared" si="90"/>
        <v>2767274</v>
      </c>
      <c r="BB99" s="281">
        <f t="shared" si="90"/>
        <v>2637954</v>
      </c>
      <c r="BC99" s="281">
        <f t="shared" si="90"/>
        <v>2562584.5</v>
      </c>
      <c r="BD99" s="281">
        <f t="shared" si="90"/>
        <v>2427874</v>
      </c>
      <c r="BE99" s="281">
        <f t="shared" si="90"/>
        <v>2349811.5</v>
      </c>
      <c r="BF99" s="281">
        <f t="shared" si="90"/>
        <v>2209439.5</v>
      </c>
      <c r="BG99" s="281">
        <f t="shared" si="90"/>
        <v>2063123.5</v>
      </c>
      <c r="BH99" s="281">
        <f t="shared" si="90"/>
        <v>1916808.5</v>
      </c>
      <c r="BI99" s="281">
        <f t="shared" si="90"/>
        <v>1764252.5</v>
      </c>
      <c r="BJ99" s="281">
        <f t="shared" si="90"/>
        <v>1611695.5</v>
      </c>
      <c r="BK99" s="281">
        <f t="shared" si="90"/>
        <v>1452585.5</v>
      </c>
      <c r="BL99" s="281">
        <f t="shared" si="90"/>
        <v>1286596</v>
      </c>
      <c r="BM99" s="281">
        <f t="shared" si="90"/>
        <v>1113381.0900000001</v>
      </c>
      <c r="BN99" s="281">
        <f t="shared" si="90"/>
        <v>932580.42999999993</v>
      </c>
      <c r="BO99" s="281">
        <f t="shared" si="90"/>
        <v>743813.77</v>
      </c>
      <c r="BP99" s="281">
        <f t="shared" si="90"/>
        <v>546684.11</v>
      </c>
      <c r="BQ99" s="281">
        <f t="shared" si="90"/>
        <v>340770.44999999995</v>
      </c>
      <c r="BR99" s="281">
        <f t="shared" si="90"/>
        <v>133038.24</v>
      </c>
      <c r="BS99" s="281">
        <f t="shared" si="90"/>
        <v>-86075.810000000056</v>
      </c>
      <c r="BT99" s="281">
        <f t="shared" ref="BT99:BV99" si="91">IF(BT$5&lt;=LatestMonthOfActuals,SUMIFS(BT100:BT107,$K100:$K107,"Account"),SUMIFS(BT100:BT107,$K100:$K107,"&lt;&gt;Sub-Account"))</f>
        <v>-321555.80000000005</v>
      </c>
      <c r="BU99" s="281">
        <f t="shared" si="91"/>
        <v>-549210.01</v>
      </c>
      <c r="BV99" s="281">
        <f t="shared" si="91"/>
        <v>-796072.15999999992</v>
      </c>
      <c r="BW99" s="281">
        <f t="shared" ref="BW99" si="92">IF(BW$5&lt;=LatestMonthOfActuals,SUMIFS(BW100:BW107,$K100:$K107,"Account"),SUMIFS(BW100:BW107,$K100:$K107,"&lt;&gt;Sub-Account"))</f>
        <v>-1055252.6499999999</v>
      </c>
      <c r="BX99" s="281">
        <f t="shared" ref="BX99:CJ99" si="93">IF(BX$5&lt;=LatestMonthOfActuals,SUMIFS(BX100:BX107,$K100:$K107,"Account"),SUMIFS(BX100:BX107,$K100:$K107,"&lt;&gt;Sub-Account"))</f>
        <v>-337122.74227272766</v>
      </c>
      <c r="BY99" s="281">
        <f t="shared" si="93"/>
        <v>-562072.77830090676</v>
      </c>
      <c r="BZ99" s="281">
        <f t="shared" si="93"/>
        <v>-752550.90399104042</v>
      </c>
      <c r="CA99" s="281">
        <f t="shared" si="93"/>
        <v>-947687.57610100508</v>
      </c>
      <c r="CB99" s="281">
        <f t="shared" si="93"/>
        <v>-1170562.381234521</v>
      </c>
      <c r="CC99" s="281">
        <f t="shared" si="93"/>
        <v>-1396926.5089926366</v>
      </c>
      <c r="CD99" s="281">
        <f t="shared" si="93"/>
        <v>-1628361.2909142061</v>
      </c>
      <c r="CE99" s="281">
        <f t="shared" si="93"/>
        <v>-1867536.4313802547</v>
      </c>
      <c r="CF99" s="281">
        <f t="shared" si="93"/>
        <v>-2110535.7474694038</v>
      </c>
      <c r="CG99" s="281">
        <f t="shared" si="93"/>
        <v>-2357188.7714317893</v>
      </c>
      <c r="CH99" s="281">
        <f t="shared" si="93"/>
        <v>-2607304.7233782439</v>
      </c>
      <c r="CI99" s="281">
        <f t="shared" si="93"/>
        <v>-2860773.4051949</v>
      </c>
      <c r="CJ99" s="281">
        <f t="shared" si="93"/>
        <v>-3134607.7380288201</v>
      </c>
    </row>
    <row r="100" spans="1:88" outlineLevel="2">
      <c r="E100" s="280"/>
      <c r="F100" s="279"/>
      <c r="G100" s="279"/>
      <c r="H100" s="277"/>
      <c r="I100" s="277"/>
      <c r="J100" s="277"/>
      <c r="K100" s="278"/>
      <c r="L100" s="277"/>
      <c r="M100" s="276"/>
    </row>
    <row r="101" spans="1:88" outlineLevel="2">
      <c r="D101" s="336" t="s">
        <v>323</v>
      </c>
      <c r="E101" s="280" t="s">
        <v>358</v>
      </c>
      <c r="F101" s="279"/>
      <c r="G101" s="279"/>
      <c r="H101" s="277" t="str">
        <f>IFERROR(INDEX(PBC_ACCOUNT_LIST[Drivers Section],MATCH(Drivers!L101,PBC_ACCOUNT_LIST[Id],0)),"")</f>
        <v>Owners Equity</v>
      </c>
      <c r="I101" s="277" t="str">
        <f>IFERROR(INDEX(PBC_ACCOUNT_LIST[Summary Grouping],MATCH(Drivers!L101,PBC_ACCOUNT_LIST[Id],0)),"")</f>
        <v>Contributed Capital</v>
      </c>
      <c r="J101" s="277" t="str">
        <f>IFERROR(INDEX(PBC_ACCOUNT_LIST[Cash Flow Section],MATCH(Drivers!L101,PBC_ACCOUNT_LIST[Id],0)),"")</f>
        <v>Cash From Financing Activities</v>
      </c>
      <c r="K101" s="278" t="s">
        <v>106</v>
      </c>
      <c r="L101" s="277">
        <v>196</v>
      </c>
      <c r="M101" s="276"/>
      <c r="P101" s="334">
        <f t="shared" ref="P101:S106" si="94">INDEX($AN101:$CJ101,MATCH(P$5,$AN$5:$CJ$5,0))</f>
        <v>500000</v>
      </c>
      <c r="Q101" s="334">
        <f t="shared" si="94"/>
        <v>500000</v>
      </c>
      <c r="R101" s="334">
        <f t="shared" si="94"/>
        <v>500000</v>
      </c>
      <c r="S101" s="334">
        <f t="shared" si="94"/>
        <v>500000</v>
      </c>
      <c r="T101" s="334"/>
      <c r="U101" s="334"/>
      <c r="V101" s="337">
        <f t="shared" ref="V101:AK106" si="95">INDEX($AN101:$CJ101,MATCH(V$5,$AN$5:$CJ$5,0))</f>
        <v>500000</v>
      </c>
      <c r="W101" s="337">
        <f t="shared" si="95"/>
        <v>500000</v>
      </c>
      <c r="X101" s="337">
        <f t="shared" si="95"/>
        <v>500000</v>
      </c>
      <c r="Y101" s="337">
        <f t="shared" si="95"/>
        <v>500000</v>
      </c>
      <c r="Z101" s="337">
        <f t="shared" si="95"/>
        <v>500000</v>
      </c>
      <c r="AA101" s="337">
        <f t="shared" si="95"/>
        <v>500000</v>
      </c>
      <c r="AB101" s="337">
        <f t="shared" si="95"/>
        <v>500000</v>
      </c>
      <c r="AC101" s="337">
        <f t="shared" si="95"/>
        <v>500000</v>
      </c>
      <c r="AD101" s="337">
        <f t="shared" si="95"/>
        <v>500000</v>
      </c>
      <c r="AE101" s="337">
        <f t="shared" si="95"/>
        <v>500000</v>
      </c>
      <c r="AF101" s="337">
        <f t="shared" si="95"/>
        <v>500000</v>
      </c>
      <c r="AG101" s="337">
        <f t="shared" si="95"/>
        <v>500000</v>
      </c>
      <c r="AH101" s="337">
        <f t="shared" si="95"/>
        <v>500000</v>
      </c>
      <c r="AI101" s="337">
        <f t="shared" si="95"/>
        <v>500000</v>
      </c>
      <c r="AJ101" s="337">
        <f t="shared" si="95"/>
        <v>500000</v>
      </c>
      <c r="AK101" s="337">
        <f t="shared" si="95"/>
        <v>500000</v>
      </c>
      <c r="AL101" s="337"/>
      <c r="AM101" s="334"/>
      <c r="AN101" s="337">
        <f>SUMIFS(PBC_BALANCE_SHEET[AccountBalance], PBC_BALANCE_SHEET[Id],$L101,PBC_BALANCE_SHEET[Date],AN$5)</f>
        <v>0</v>
      </c>
      <c r="AO101" s="337">
        <f>SUMIFS(PBC_BALANCE_SHEET[AccountBalance], PBC_BALANCE_SHEET[Id],$L101,PBC_BALANCE_SHEET[Date],AO$5)</f>
        <v>500000</v>
      </c>
      <c r="AP101" s="337">
        <f>SUMIFS(PBC_BALANCE_SHEET[AccountBalance], PBC_BALANCE_SHEET[Id],$L101,PBC_BALANCE_SHEET[Date],AP$5)</f>
        <v>500000</v>
      </c>
      <c r="AQ101" s="337">
        <f>SUMIFS(PBC_BALANCE_SHEET[AccountBalance], PBC_BALANCE_SHEET[Id],$L101,PBC_BALANCE_SHEET[Date],AQ$5)</f>
        <v>500000</v>
      </c>
      <c r="AR101" s="337">
        <f>SUMIFS(PBC_BALANCE_SHEET[AccountBalance], PBC_BALANCE_SHEET[Id],$L101,PBC_BALANCE_SHEET[Date],AR$5)</f>
        <v>500000</v>
      </c>
      <c r="AS101" s="337">
        <f>SUMIFS(PBC_BALANCE_SHEET[AccountBalance], PBC_BALANCE_SHEET[Id],$L101,PBC_BALANCE_SHEET[Date],AS$5)</f>
        <v>500000</v>
      </c>
      <c r="AT101" s="337">
        <f>SUMIFS(PBC_BALANCE_SHEET[AccountBalance], PBC_BALANCE_SHEET[Id],$L101,PBC_BALANCE_SHEET[Date],AT$5)</f>
        <v>500000</v>
      </c>
      <c r="AU101" s="337">
        <f>SUMIFS(PBC_BALANCE_SHEET[AccountBalance], PBC_BALANCE_SHEET[Id],$L101,PBC_BALANCE_SHEET[Date],AU$5)</f>
        <v>500000</v>
      </c>
      <c r="AV101" s="337">
        <f>SUMIFS(PBC_BALANCE_SHEET[AccountBalance], PBC_BALANCE_SHEET[Id],$L101,PBC_BALANCE_SHEET[Date],AV$5)</f>
        <v>500000</v>
      </c>
      <c r="AW101" s="337">
        <f>SUMIFS(PBC_BALANCE_SHEET[AccountBalance], PBC_BALANCE_SHEET[Id],$L101,PBC_BALANCE_SHEET[Date],AW$5)</f>
        <v>500000</v>
      </c>
      <c r="AX101" s="337">
        <f>SUMIFS(PBC_BALANCE_SHEET[AccountBalance], PBC_BALANCE_SHEET[Id],$L101,PBC_BALANCE_SHEET[Date],AX$5)</f>
        <v>500000</v>
      </c>
      <c r="AY101" s="337">
        <f>SUMIFS(PBC_BALANCE_SHEET[AccountBalance], PBC_BALANCE_SHEET[Id],$L101,PBC_BALANCE_SHEET[Date],AY$5)</f>
        <v>500000</v>
      </c>
      <c r="AZ101" s="337">
        <f>SUMIFS(PBC_BALANCE_SHEET[AccountBalance], PBC_BALANCE_SHEET[Id],$L101,PBC_BALANCE_SHEET[Date],AZ$5)</f>
        <v>500000</v>
      </c>
      <c r="BA101" s="337">
        <f>SUMIFS(PBC_BALANCE_SHEET[AccountBalance], PBC_BALANCE_SHEET[Id],$L101,PBC_BALANCE_SHEET[Date],BA$5)</f>
        <v>500000</v>
      </c>
      <c r="BB101" s="337">
        <f>SUMIFS(PBC_BALANCE_SHEET[AccountBalance], PBC_BALANCE_SHEET[Id],$L101,PBC_BALANCE_SHEET[Date],BB$5)</f>
        <v>500000</v>
      </c>
      <c r="BC101" s="337">
        <f>SUMIFS(PBC_BALANCE_SHEET[AccountBalance], PBC_BALANCE_SHEET[Id],$L101,PBC_BALANCE_SHEET[Date],BC$5)</f>
        <v>500000</v>
      </c>
      <c r="BD101" s="337">
        <f>SUMIFS(PBC_BALANCE_SHEET[AccountBalance], PBC_BALANCE_SHEET[Id],$L101,PBC_BALANCE_SHEET[Date],BD$5)</f>
        <v>500000</v>
      </c>
      <c r="BE101" s="337">
        <f>SUMIFS(PBC_BALANCE_SHEET[AccountBalance], PBC_BALANCE_SHEET[Id],$L101,PBC_BALANCE_SHEET[Date],BE$5)</f>
        <v>500000</v>
      </c>
      <c r="BF101" s="337">
        <f>SUMIFS(PBC_BALANCE_SHEET[AccountBalance], PBC_BALANCE_SHEET[Id],$L101,PBC_BALANCE_SHEET[Date],BF$5)</f>
        <v>500000</v>
      </c>
      <c r="BG101" s="337">
        <f>SUMIFS(PBC_BALANCE_SHEET[AccountBalance], PBC_BALANCE_SHEET[Id],$L101,PBC_BALANCE_SHEET[Date],BG$5)</f>
        <v>500000</v>
      </c>
      <c r="BH101" s="337">
        <f>SUMIFS(PBC_BALANCE_SHEET[AccountBalance], PBC_BALANCE_SHEET[Id],$L101,PBC_BALANCE_SHEET[Date],BH$5)</f>
        <v>500000</v>
      </c>
      <c r="BI101" s="337">
        <f>SUMIFS(PBC_BALANCE_SHEET[AccountBalance], PBC_BALANCE_SHEET[Id],$L101,PBC_BALANCE_SHEET[Date],BI$5)</f>
        <v>500000</v>
      </c>
      <c r="BJ101" s="337">
        <f>SUMIFS(PBC_BALANCE_SHEET[AccountBalance], PBC_BALANCE_SHEET[Id],$L101,PBC_BALANCE_SHEET[Date],BJ$5)</f>
        <v>500000</v>
      </c>
      <c r="BK101" s="337">
        <f>SUMIFS(PBC_BALANCE_SHEET[AccountBalance], PBC_BALANCE_SHEET[Id],$L101,PBC_BALANCE_SHEET[Date],BK$5)</f>
        <v>500000</v>
      </c>
      <c r="BL101" s="337">
        <f>SUMIFS(PBC_BALANCE_SHEET[AccountBalance], PBC_BALANCE_SHEET[Id],$L101,PBC_BALANCE_SHEET[Date],BL$5)</f>
        <v>500000</v>
      </c>
      <c r="BM101" s="337">
        <f>SUMIFS(PBC_BALANCE_SHEET[AccountBalance], PBC_BALANCE_SHEET[Id],$L101,PBC_BALANCE_SHEET[Date],BM$5)</f>
        <v>500000</v>
      </c>
      <c r="BN101" s="337">
        <f>SUMIFS(PBC_BALANCE_SHEET[AccountBalance], PBC_BALANCE_SHEET[Id],$L101,PBC_BALANCE_SHEET[Date],BN$5)</f>
        <v>500000</v>
      </c>
      <c r="BO101" s="337">
        <f>SUMIFS(PBC_BALANCE_SHEET[AccountBalance], PBC_BALANCE_SHEET[Id],$L101,PBC_BALANCE_SHEET[Date],BO$5)</f>
        <v>500000</v>
      </c>
      <c r="BP101" s="337">
        <f>SUMIFS(PBC_BALANCE_SHEET[AccountBalance], PBC_BALANCE_SHEET[Id],$L101,PBC_BALANCE_SHEET[Date],BP$5)</f>
        <v>500000</v>
      </c>
      <c r="BQ101" s="337">
        <f>SUMIFS(PBC_BALANCE_SHEET[AccountBalance], PBC_BALANCE_SHEET[Id],$L101,PBC_BALANCE_SHEET[Date],BQ$5)</f>
        <v>500000</v>
      </c>
      <c r="BR101" s="337">
        <f>SUMIFS(PBC_BALANCE_SHEET[AccountBalance], PBC_BALANCE_SHEET[Id],$L101,PBC_BALANCE_SHEET[Date],BR$5)</f>
        <v>500000</v>
      </c>
      <c r="BS101" s="337">
        <f>SUMIFS(PBC_BALANCE_SHEET[AccountBalance], PBC_BALANCE_SHEET[Id],$L101,PBC_BALANCE_SHEET[Date],BS$5)</f>
        <v>500000</v>
      </c>
      <c r="BT101" s="337">
        <f>SUMIFS(PBC_BALANCE_SHEET[AccountBalance], PBC_BALANCE_SHEET[Id],$L101,PBC_BALANCE_SHEET[Date],BT$5)</f>
        <v>500000</v>
      </c>
      <c r="BU101" s="337">
        <f>SUMIFS(PBC_BALANCE_SHEET[AccountBalance], PBC_BALANCE_SHEET[Id],$L101,PBC_BALANCE_SHEET[Date],BU$5)</f>
        <v>500000</v>
      </c>
      <c r="BV101" s="337">
        <f>SUMIFS(PBC_BALANCE_SHEET[AccountBalance], PBC_BALANCE_SHEET[Id],$L101,PBC_BALANCE_SHEET[Date],BV$5)</f>
        <v>500000</v>
      </c>
      <c r="BW101" s="337">
        <f>SUMIFS(PBC_BALANCE_SHEET[AccountBalance], PBC_BALANCE_SHEET[Id],$L101,PBC_BALANCE_SHEET[Date],BW$5)</f>
        <v>500000</v>
      </c>
      <c r="BX101" s="335" cm="1">
        <f t="array" ref="BX101">_xlfn.SWITCH(
    $E101,
    "3 month avg", AVERAGE(BU101:BW101) * (1 + $F101),
    "6 month avg", AVERAGE(BR101:BW101) * (1 + $F101),
    "12 month avg", AVERAGE(BM101:BW101) * (1 + $F101),
    "Prior Month",BW101* (1 + $F101),
    "Prior Year", BL101* (1 + $F101),
    "Monthly assumption",$G101* (1 + $F101),
    "Quarterly assumption",$G101/3* (1 + $F101),
    "Annual assumption",$G101/12* (1 + $F101),
    "% of Revenue",SUM(_xlfn._xlws.FILTER(_xlfn._xlws.FILTER(dataSummaryPL,dataSummaryPLSections="Revenue"),(startDates&gt;=BX$4)*(endDates&lt;=BX$5)))*$F101,
    "Custom",0,
    "0",0,
        0
)</f>
        <v>500000</v>
      </c>
      <c r="BY101" s="335" cm="1">
        <f t="array" ref="BY101">_xlfn.SWITCH(
    $E101,
    "3 month avg", AVERAGE(BV101:BX101) * (1 + $F101),
    "6 month avg", AVERAGE(BS101:BX101) * (1 + $F101),
    "12 month avg", AVERAGE(BN101:BX101) * (1 + $F101),
    "Prior Month",BX101* (1 + $F101),
    "Prior Year", BM101* (1 + $F101),
    "Monthly assumption",$G101* (1 + $F101),
    "Quarterly assumption",$G101/3* (1 + $F101),
    "Annual assumption",$G101/12* (1 + $F101),
    "% of Revenue",SUM(_xlfn._xlws.FILTER(_xlfn._xlws.FILTER(dataSummaryPL,dataSummaryPLSections="Revenue"),(startDates&gt;=BY$4)*(endDates&lt;=BY$5)))*$F101,
    "Custom",0,
    "0",0,
        0
)</f>
        <v>500000</v>
      </c>
      <c r="BZ101" s="335" cm="1">
        <f t="array" ref="BZ101">_xlfn.SWITCH(
    $E101,
    "3 month avg", AVERAGE(BW101:BY101) * (1 + $F101),
    "6 month avg", AVERAGE(BT101:BY101) * (1 + $F101),
    "12 month avg", AVERAGE(BO101:BY101) * (1 + $F101),
    "Prior Month",BY101* (1 + $F101),
    "Prior Year", BN101* (1 + $F101),
    "Monthly assumption",$G101* (1 + $F101),
    "Quarterly assumption",$G101/3* (1 + $F101),
    "Annual assumption",$G101/12* (1 + $F101),
    "% of Revenue",SUM(_xlfn._xlws.FILTER(_xlfn._xlws.FILTER(dataSummaryPL,dataSummaryPLSections="Revenue"),(startDates&gt;=BZ$4)*(endDates&lt;=BZ$5)))*$F101,
    "Custom",0,
    "0",0,
        0
)</f>
        <v>500000</v>
      </c>
      <c r="CA101" s="335" cm="1">
        <f t="array" ref="CA101">_xlfn.SWITCH(
    $E101,
    "3 month avg", AVERAGE(BX101:BZ101) * (1 + $F101),
    "6 month avg", AVERAGE(BU101:BZ101) * (1 + $F101),
    "12 month avg", AVERAGE(BP101:BZ101) * (1 + $F101),
    "Prior Month",BZ101* (1 + $F101),
    "Prior Year", BO101* (1 + $F101),
    "Monthly assumption",$G101* (1 + $F101),
    "Quarterly assumption",$G101/3* (1 + $F101),
    "Annual assumption",$G101/12* (1 + $F101),
    "% of Revenue",SUM(_xlfn._xlws.FILTER(_xlfn._xlws.FILTER(dataSummaryPL,dataSummaryPLSections="Revenue"),(startDates&gt;=CA$4)*(endDates&lt;=CA$5)))*$F101,
    "Custom",0,
    "0",0,
        0
)</f>
        <v>500000</v>
      </c>
      <c r="CB101" s="335" cm="1">
        <f t="array" ref="CB101">_xlfn.SWITCH(
    $E101,
    "3 month avg", AVERAGE(BY101:CA101) * (1 + $F101),
    "6 month avg", AVERAGE(BV101:CA101) * (1 + $F101),
    "12 month avg", AVERAGE(BQ101:CA101) * (1 + $F101),
    "Prior Month",CA101* (1 + $F101),
    "Prior Year", BP101* (1 + $F101),
    "Monthly assumption",$G101* (1 + $F101),
    "Quarterly assumption",$G101/3* (1 + $F101),
    "Annual assumption",$G101/12* (1 + $F101),
    "% of Revenue",SUM(_xlfn._xlws.FILTER(_xlfn._xlws.FILTER(dataSummaryPL,dataSummaryPLSections="Revenue"),(startDates&gt;=CB$4)*(endDates&lt;=CB$5)))*$F101,
    "Custom",0,
    "0",0,
        0
)</f>
        <v>500000</v>
      </c>
      <c r="CC101" s="335" cm="1">
        <f t="array" ref="CC101">_xlfn.SWITCH(
    $E101,
    "3 month avg", AVERAGE(BZ101:CB101) * (1 + $F101),
    "6 month avg", AVERAGE(BW101:CB101) * (1 + $F101),
    "12 month avg", AVERAGE(BR101:CB101) * (1 + $F101),
    "Prior Month",CB101* (1 + $F101),
    "Prior Year", BQ101* (1 + $F101),
    "Monthly assumption",$G101* (1 + $F101),
    "Quarterly assumption",$G101/3* (1 + $F101),
    "Annual assumption",$G101/12* (1 + $F101),
    "% of Revenue",SUM(_xlfn._xlws.FILTER(_xlfn._xlws.FILTER(dataSummaryPL,dataSummaryPLSections="Revenue"),(startDates&gt;=CC$4)*(endDates&lt;=CC$5)))*$F101,
    "Custom",0,
    "0",0,
        0
)</f>
        <v>500000</v>
      </c>
      <c r="CD101" s="335" cm="1">
        <f t="array" ref="CD101">_xlfn.SWITCH(
    $E101,
    "3 month avg", AVERAGE(CA101:CC101) * (1 + $F101),
    "6 month avg", AVERAGE(BX101:CC101) * (1 + $F101),
    "12 month avg", AVERAGE(BS101:CC101) * (1 + $F101),
    "Prior Month",CC101* (1 + $F101),
    "Prior Year", BR101* (1 + $F101),
    "Monthly assumption",$G101* (1 + $F101),
    "Quarterly assumption",$G101/3* (1 + $F101),
    "Annual assumption",$G101/12* (1 + $F101),
    "% of Revenue",SUM(_xlfn._xlws.FILTER(_xlfn._xlws.FILTER(dataSummaryPL,dataSummaryPLSections="Revenue"),(startDates&gt;=CD$4)*(endDates&lt;=CD$5)))*$F101,
    "Custom",0,
    "0",0,
        0
)</f>
        <v>500000</v>
      </c>
      <c r="CE101" s="335" cm="1">
        <f t="array" ref="CE101">_xlfn.SWITCH(
    $E101,
    "3 month avg", AVERAGE(CB101:CD101) * (1 + $F101),
    "6 month avg", AVERAGE(BY101:CD101) * (1 + $F101),
    "12 month avg", AVERAGE(BT101:CD101) * (1 + $F101),
    "Prior Month",CD101* (1 + $F101),
    "Prior Year", BS101* (1 + $F101),
    "Monthly assumption",$G101* (1 + $F101),
    "Quarterly assumption",$G101/3* (1 + $F101),
    "Annual assumption",$G101/12* (1 + $F101),
    "% of Revenue",SUM(_xlfn._xlws.FILTER(_xlfn._xlws.FILTER(dataSummaryPL,dataSummaryPLSections="Revenue"),(startDates&gt;=CE$4)*(endDates&lt;=CE$5)))*$F101,
    "Custom",0,
    "0",0,
        0
)</f>
        <v>500000</v>
      </c>
      <c r="CF101" s="335" cm="1">
        <f t="array" ref="CF101">_xlfn.SWITCH(
    $E101,
    "3 month avg", AVERAGE(CC101:CE101) * (1 + $F101),
    "6 month avg", AVERAGE(BZ101:CE101) * (1 + $F101),
    "12 month avg", AVERAGE(BU101:CE101) * (1 + $F101),
    "Prior Month",CE101* (1 + $F101),
    "Prior Year", BT101* (1 + $F101),
    "Monthly assumption",$G101* (1 + $F101),
    "Quarterly assumption",$G101/3* (1 + $F101),
    "Annual assumption",$G101/12* (1 + $F101),
    "% of Revenue",SUM(_xlfn._xlws.FILTER(_xlfn._xlws.FILTER(dataSummaryPL,dataSummaryPLSections="Revenue"),(startDates&gt;=CF$4)*(endDates&lt;=CF$5)))*$F101,
    "Custom",0,
    "0",0,
        0
)</f>
        <v>500000</v>
      </c>
      <c r="CG101" s="335" cm="1">
        <f t="array" ref="CG101">_xlfn.SWITCH(
    $E101,
    "3 month avg", AVERAGE(CD101:CF101) * (1 + $F101),
    "6 month avg", AVERAGE(CA101:CF101) * (1 + $F101),
    "12 month avg", AVERAGE(BV101:CF101) * (1 + $F101),
    "Prior Month",CF101* (1 + $F101),
    "Prior Year", BU101* (1 + $F101),
    "Monthly assumption",$G101* (1 + $F101),
    "Quarterly assumption",$G101/3* (1 + $F101),
    "Annual assumption",$G101/12* (1 + $F101),
    "% of Revenue",SUM(_xlfn._xlws.FILTER(_xlfn._xlws.FILTER(dataSummaryPL,dataSummaryPLSections="Revenue"),(startDates&gt;=CG$4)*(endDates&lt;=CG$5)))*$F101,
    "Custom",0,
    "0",0,
        0
)</f>
        <v>500000</v>
      </c>
      <c r="CH101" s="335" cm="1">
        <f t="array" ref="CH101">_xlfn.SWITCH(
    $E101,
    "3 month avg", AVERAGE(CE101:CG101) * (1 + $F101),
    "6 month avg", AVERAGE(CB101:CG101) * (1 + $F101),
    "12 month avg", AVERAGE(BW101:CG101) * (1 + $F101),
    "Prior Month",CG101* (1 + $F101),
    "Prior Year", BV101* (1 + $F101),
    "Monthly assumption",$G101* (1 + $F101),
    "Quarterly assumption",$G101/3* (1 + $F101),
    "Annual assumption",$G101/12* (1 + $F101),
    "% of Revenue",SUM(_xlfn._xlws.FILTER(_xlfn._xlws.FILTER(dataSummaryPL,dataSummaryPLSections="Revenue"),(startDates&gt;=CH$4)*(endDates&lt;=CH$5)))*$F101,
    "Custom",0,
    "0",0,
        0
)</f>
        <v>500000</v>
      </c>
      <c r="CI101" s="335" cm="1">
        <f t="array" ref="CI101">_xlfn.SWITCH(
    $E101,
    "3 month avg", AVERAGE(CF101:CH101) * (1 + $F101),
    "6 month avg", AVERAGE(CC101:CH101) * (1 + $F101),
    "12 month avg", AVERAGE(BX101:CH101) * (1 + $F101),
    "Prior Month",CH101* (1 + $F101),
    "Prior Year", BW101* (1 + $F101),
    "Monthly assumption",$G101* (1 + $F101),
    "Quarterly assumption",$G101/3* (1 + $F101),
    "Annual assumption",$G101/12* (1 + $F101),
    "% of Revenue",SUM(_xlfn._xlws.FILTER(_xlfn._xlws.FILTER(dataSummaryPL,dataSummaryPLSections="Revenue"),(startDates&gt;=CI$4)*(endDates&lt;=CI$5)))*$F101,
    "Custom",0,
    "0",0,
        0
)</f>
        <v>500000</v>
      </c>
      <c r="CJ101" s="335" cm="1">
        <f t="array" ref="CJ101">_xlfn.SWITCH(
    $E101,
    "3 month avg", AVERAGE(CG101:CI101) * (1 + $F101),
    "6 month avg", AVERAGE(CD101:CI101) * (1 + $F101),
    "12 month avg", AVERAGE(BY101:CI101) * (1 + $F101),
    "Prior Month",CI101* (1 + $F101),
    "Prior Year", BX101* (1 + $F101),
    "Monthly assumption",$G101* (1 + $F101),
    "Quarterly assumption",$G101/3* (1 + $F101),
    "Annual assumption",$G101/12* (1 + $F101),
    "% of Revenue",SUM(_xlfn._xlws.FILTER(_xlfn._xlws.FILTER(dataSummaryPL,dataSummaryPLSections="Revenue"),(startDates&gt;=CJ$4)*(endDates&lt;=CJ$5)))*$F101,
    "Custom",0,
    "0",0,
        0
)</f>
        <v>500000</v>
      </c>
    </row>
    <row r="102" spans="1:88" outlineLevel="2">
      <c r="D102" s="336" t="s">
        <v>324</v>
      </c>
      <c r="E102" s="280" t="s">
        <v>358</v>
      </c>
      <c r="F102" s="279"/>
      <c r="G102" s="279"/>
      <c r="H102" s="277" t="str">
        <f>IFERROR(INDEX(PBC_ACCOUNT_LIST[Drivers Section],MATCH(Drivers!L102,PBC_ACCOUNT_LIST[Id],0)),"")</f>
        <v>Owners Equity</v>
      </c>
      <c r="I102" s="277" t="str">
        <f>IFERROR(INDEX(PBC_ACCOUNT_LIST[Summary Grouping],MATCH(Drivers!L102,PBC_ACCOUNT_LIST[Id],0)),"")</f>
        <v>Contributed Capital</v>
      </c>
      <c r="J102" s="277" t="str">
        <f>IFERROR(INDEX(PBC_ACCOUNT_LIST[Cash Flow Section],MATCH(Drivers!L102,PBC_ACCOUNT_LIST[Id],0)),"")</f>
        <v>Cash From Financing Activities</v>
      </c>
      <c r="K102" s="278" t="s">
        <v>106</v>
      </c>
      <c r="L102" s="277">
        <v>197</v>
      </c>
      <c r="M102" s="276"/>
      <c r="P102" s="334">
        <f t="shared" si="94"/>
        <v>0</v>
      </c>
      <c r="Q102" s="334">
        <f t="shared" si="94"/>
        <v>0</v>
      </c>
      <c r="R102" s="334">
        <f t="shared" si="94"/>
        <v>0</v>
      </c>
      <c r="S102" s="334">
        <f t="shared" si="94"/>
        <v>0</v>
      </c>
      <c r="T102" s="334"/>
      <c r="U102" s="334"/>
      <c r="V102" s="337">
        <f t="shared" si="95"/>
        <v>0</v>
      </c>
      <c r="W102" s="337">
        <f t="shared" si="95"/>
        <v>0</v>
      </c>
      <c r="X102" s="337">
        <f t="shared" si="95"/>
        <v>0</v>
      </c>
      <c r="Y102" s="337">
        <f t="shared" si="95"/>
        <v>0</v>
      </c>
      <c r="Z102" s="337">
        <f t="shared" si="95"/>
        <v>0</v>
      </c>
      <c r="AA102" s="337">
        <f t="shared" si="95"/>
        <v>0</v>
      </c>
      <c r="AB102" s="337">
        <f t="shared" si="95"/>
        <v>0</v>
      </c>
      <c r="AC102" s="337">
        <f t="shared" si="95"/>
        <v>0</v>
      </c>
      <c r="AD102" s="337">
        <f t="shared" si="95"/>
        <v>0</v>
      </c>
      <c r="AE102" s="337">
        <f t="shared" si="95"/>
        <v>0</v>
      </c>
      <c r="AF102" s="337">
        <f t="shared" si="95"/>
        <v>0</v>
      </c>
      <c r="AG102" s="337">
        <f t="shared" si="95"/>
        <v>0</v>
      </c>
      <c r="AH102" s="337">
        <f t="shared" si="95"/>
        <v>0</v>
      </c>
      <c r="AI102" s="337">
        <f t="shared" si="95"/>
        <v>0</v>
      </c>
      <c r="AJ102" s="337">
        <f t="shared" si="95"/>
        <v>0</v>
      </c>
      <c r="AK102" s="337">
        <f t="shared" si="95"/>
        <v>0</v>
      </c>
      <c r="AL102" s="337"/>
      <c r="AM102" s="334"/>
      <c r="AN102" s="337">
        <f>SUMIFS(PBC_BALANCE_SHEET[AccountBalance], PBC_BALANCE_SHEET[Id],$L102,PBC_BALANCE_SHEET[Date],AN$5)</f>
        <v>0</v>
      </c>
      <c r="AO102" s="337">
        <f>SUMIFS(PBC_BALANCE_SHEET[AccountBalance], PBC_BALANCE_SHEET[Id],$L102,PBC_BALANCE_SHEET[Date],AO$5)</f>
        <v>0</v>
      </c>
      <c r="AP102" s="337">
        <f>SUMIFS(PBC_BALANCE_SHEET[AccountBalance], PBC_BALANCE_SHEET[Id],$L102,PBC_BALANCE_SHEET[Date],AP$5)</f>
        <v>0</v>
      </c>
      <c r="AQ102" s="337">
        <f>SUMIFS(PBC_BALANCE_SHEET[AccountBalance], PBC_BALANCE_SHEET[Id],$L102,PBC_BALANCE_SHEET[Date],AQ$5)</f>
        <v>0</v>
      </c>
      <c r="AR102" s="337">
        <f>SUMIFS(PBC_BALANCE_SHEET[AccountBalance], PBC_BALANCE_SHEET[Id],$L102,PBC_BALANCE_SHEET[Date],AR$5)</f>
        <v>0</v>
      </c>
      <c r="AS102" s="337">
        <f>SUMIFS(PBC_BALANCE_SHEET[AccountBalance], PBC_BALANCE_SHEET[Id],$L102,PBC_BALANCE_SHEET[Date],AS$5)</f>
        <v>0</v>
      </c>
      <c r="AT102" s="337">
        <f>SUMIFS(PBC_BALANCE_SHEET[AccountBalance], PBC_BALANCE_SHEET[Id],$L102,PBC_BALANCE_SHEET[Date],AT$5)</f>
        <v>0</v>
      </c>
      <c r="AU102" s="337">
        <f>SUMIFS(PBC_BALANCE_SHEET[AccountBalance], PBC_BALANCE_SHEET[Id],$L102,PBC_BALANCE_SHEET[Date],AU$5)</f>
        <v>0</v>
      </c>
      <c r="AV102" s="337">
        <f>SUMIFS(PBC_BALANCE_SHEET[AccountBalance], PBC_BALANCE_SHEET[Id],$L102,PBC_BALANCE_SHEET[Date],AV$5)</f>
        <v>0</v>
      </c>
      <c r="AW102" s="337">
        <f>SUMIFS(PBC_BALANCE_SHEET[AccountBalance], PBC_BALANCE_SHEET[Id],$L102,PBC_BALANCE_SHEET[Date],AW$5)</f>
        <v>0</v>
      </c>
      <c r="AX102" s="337">
        <f>SUMIFS(PBC_BALANCE_SHEET[AccountBalance], PBC_BALANCE_SHEET[Id],$L102,PBC_BALANCE_SHEET[Date],AX$5)</f>
        <v>0</v>
      </c>
      <c r="AY102" s="337">
        <f>SUMIFS(PBC_BALANCE_SHEET[AccountBalance], PBC_BALANCE_SHEET[Id],$L102,PBC_BALANCE_SHEET[Date],AY$5)</f>
        <v>0</v>
      </c>
      <c r="AZ102" s="337">
        <f>SUMIFS(PBC_BALANCE_SHEET[AccountBalance], PBC_BALANCE_SHEET[Id],$L102,PBC_BALANCE_SHEET[Date],AZ$5)</f>
        <v>0</v>
      </c>
      <c r="BA102" s="337">
        <f>SUMIFS(PBC_BALANCE_SHEET[AccountBalance], PBC_BALANCE_SHEET[Id],$L102,PBC_BALANCE_SHEET[Date],BA$5)</f>
        <v>0</v>
      </c>
      <c r="BB102" s="337">
        <f>SUMIFS(PBC_BALANCE_SHEET[AccountBalance], PBC_BALANCE_SHEET[Id],$L102,PBC_BALANCE_SHEET[Date],BB$5)</f>
        <v>0</v>
      </c>
      <c r="BC102" s="337">
        <f>SUMIFS(PBC_BALANCE_SHEET[AccountBalance], PBC_BALANCE_SHEET[Id],$L102,PBC_BALANCE_SHEET[Date],BC$5)</f>
        <v>0</v>
      </c>
      <c r="BD102" s="337">
        <f>SUMIFS(PBC_BALANCE_SHEET[AccountBalance], PBC_BALANCE_SHEET[Id],$L102,PBC_BALANCE_SHEET[Date],BD$5)</f>
        <v>0</v>
      </c>
      <c r="BE102" s="337">
        <f>SUMIFS(PBC_BALANCE_SHEET[AccountBalance], PBC_BALANCE_SHEET[Id],$L102,PBC_BALANCE_SHEET[Date],BE$5)</f>
        <v>0</v>
      </c>
      <c r="BF102" s="337">
        <f>SUMIFS(PBC_BALANCE_SHEET[AccountBalance], PBC_BALANCE_SHEET[Id],$L102,PBC_BALANCE_SHEET[Date],BF$5)</f>
        <v>0</v>
      </c>
      <c r="BG102" s="337">
        <f>SUMIFS(PBC_BALANCE_SHEET[AccountBalance], PBC_BALANCE_SHEET[Id],$L102,PBC_BALANCE_SHEET[Date],BG$5)</f>
        <v>0</v>
      </c>
      <c r="BH102" s="337">
        <f>SUMIFS(PBC_BALANCE_SHEET[AccountBalance], PBC_BALANCE_SHEET[Id],$L102,PBC_BALANCE_SHEET[Date],BH$5)</f>
        <v>0</v>
      </c>
      <c r="BI102" s="337">
        <f>SUMIFS(PBC_BALANCE_SHEET[AccountBalance], PBC_BALANCE_SHEET[Id],$L102,PBC_BALANCE_SHEET[Date],BI$5)</f>
        <v>0</v>
      </c>
      <c r="BJ102" s="337">
        <f>SUMIFS(PBC_BALANCE_SHEET[AccountBalance], PBC_BALANCE_SHEET[Id],$L102,PBC_BALANCE_SHEET[Date],BJ$5)</f>
        <v>0</v>
      </c>
      <c r="BK102" s="337">
        <f>SUMIFS(PBC_BALANCE_SHEET[AccountBalance], PBC_BALANCE_SHEET[Id],$L102,PBC_BALANCE_SHEET[Date],BK$5)</f>
        <v>0</v>
      </c>
      <c r="BL102" s="337">
        <f>SUMIFS(PBC_BALANCE_SHEET[AccountBalance], PBC_BALANCE_SHEET[Id],$L102,PBC_BALANCE_SHEET[Date],BL$5)</f>
        <v>0</v>
      </c>
      <c r="BM102" s="337">
        <f>SUMIFS(PBC_BALANCE_SHEET[AccountBalance], PBC_BALANCE_SHEET[Id],$L102,PBC_BALANCE_SHEET[Date],BM$5)</f>
        <v>0</v>
      </c>
      <c r="BN102" s="337">
        <f>SUMIFS(PBC_BALANCE_SHEET[AccountBalance], PBC_BALANCE_SHEET[Id],$L102,PBC_BALANCE_SHEET[Date],BN$5)</f>
        <v>0</v>
      </c>
      <c r="BO102" s="337">
        <f>SUMIFS(PBC_BALANCE_SHEET[AccountBalance], PBC_BALANCE_SHEET[Id],$L102,PBC_BALANCE_SHEET[Date],BO$5)</f>
        <v>0</v>
      </c>
      <c r="BP102" s="337">
        <f>SUMIFS(PBC_BALANCE_SHEET[AccountBalance], PBC_BALANCE_SHEET[Id],$L102,PBC_BALANCE_SHEET[Date],BP$5)</f>
        <v>0</v>
      </c>
      <c r="BQ102" s="337">
        <f>SUMIFS(PBC_BALANCE_SHEET[AccountBalance], PBC_BALANCE_SHEET[Id],$L102,PBC_BALANCE_SHEET[Date],BQ$5)</f>
        <v>0</v>
      </c>
      <c r="BR102" s="337">
        <f>SUMIFS(PBC_BALANCE_SHEET[AccountBalance], PBC_BALANCE_SHEET[Id],$L102,PBC_BALANCE_SHEET[Date],BR$5)</f>
        <v>0</v>
      </c>
      <c r="BS102" s="337">
        <f>SUMIFS(PBC_BALANCE_SHEET[AccountBalance], PBC_BALANCE_SHEET[Id],$L102,PBC_BALANCE_SHEET[Date],BS$5)</f>
        <v>0</v>
      </c>
      <c r="BT102" s="337">
        <f>SUMIFS(PBC_BALANCE_SHEET[AccountBalance], PBC_BALANCE_SHEET[Id],$L102,PBC_BALANCE_SHEET[Date],BT$5)</f>
        <v>0</v>
      </c>
      <c r="BU102" s="337">
        <f>SUMIFS(PBC_BALANCE_SHEET[AccountBalance], PBC_BALANCE_SHEET[Id],$L102,PBC_BALANCE_SHEET[Date],BU$5)</f>
        <v>0</v>
      </c>
      <c r="BV102" s="337">
        <f>SUMIFS(PBC_BALANCE_SHEET[AccountBalance], PBC_BALANCE_SHEET[Id],$L102,PBC_BALANCE_SHEET[Date],BV$5)</f>
        <v>0</v>
      </c>
      <c r="BW102" s="337">
        <f>SUMIFS(PBC_BALANCE_SHEET[AccountBalance], PBC_BALANCE_SHEET[Id],$L102,PBC_BALANCE_SHEET[Date],BW$5)</f>
        <v>0</v>
      </c>
      <c r="BX102" s="335" cm="1">
        <f t="array" ref="BX102">_xlfn.SWITCH(
    $E102,
    "3 month avg", AVERAGE(BU102:BW102) * (1 + $F102),
    "6 month avg", AVERAGE(BR102:BW102) * (1 + $F102),
    "12 month avg", AVERAGE(BM102:BW102) * (1 + $F102),
    "Prior Month",BW102* (1 + $F102),
    "Prior Year", BL102* (1 + $F102),
    "Monthly assumption",$G102* (1 + $F102),
    "Quarterly assumption",$G102/3* (1 + $F102),
    "Annual assumption",$G102/12* (1 + $F102),
    "% of Revenue",SUM(_xlfn._xlws.FILTER(_xlfn._xlws.FILTER(dataSummaryPL,dataSummaryPLSections="Revenue"),(startDates&gt;=BX$4)*(endDates&lt;=BX$5)))*$F102,
    "Custom",0,
    "0",0,
        0
)</f>
        <v>0</v>
      </c>
      <c r="BY102" s="335" cm="1">
        <f t="array" ref="BY102">_xlfn.SWITCH(
    $E102,
    "3 month avg", AVERAGE(BV102:BX102) * (1 + $F102),
    "6 month avg", AVERAGE(BS102:BX102) * (1 + $F102),
    "12 month avg", AVERAGE(BN102:BX102) * (1 + $F102),
    "Prior Month",BX102* (1 + $F102),
    "Prior Year", BM102* (1 + $F102),
    "Monthly assumption",$G102* (1 + $F102),
    "Quarterly assumption",$G102/3* (1 + $F102),
    "Annual assumption",$G102/12* (1 + $F102),
    "% of Revenue",SUM(_xlfn._xlws.FILTER(_xlfn._xlws.FILTER(dataSummaryPL,dataSummaryPLSections="Revenue"),(startDates&gt;=BY$4)*(endDates&lt;=BY$5)))*$F102,
    "Custom",0,
    "0",0,
        0
)</f>
        <v>0</v>
      </c>
      <c r="BZ102" s="335" cm="1">
        <f t="array" ref="BZ102">_xlfn.SWITCH(
    $E102,
    "3 month avg", AVERAGE(BW102:BY102) * (1 + $F102),
    "6 month avg", AVERAGE(BT102:BY102) * (1 + $F102),
    "12 month avg", AVERAGE(BO102:BY102) * (1 + $F102),
    "Prior Month",BY102* (1 + $F102),
    "Prior Year", BN102* (1 + $F102),
    "Monthly assumption",$G102* (1 + $F102),
    "Quarterly assumption",$G102/3* (1 + $F102),
    "Annual assumption",$G102/12* (1 + $F102),
    "% of Revenue",SUM(_xlfn._xlws.FILTER(_xlfn._xlws.FILTER(dataSummaryPL,dataSummaryPLSections="Revenue"),(startDates&gt;=BZ$4)*(endDates&lt;=BZ$5)))*$F102,
    "Custom",0,
    "0",0,
        0
)</f>
        <v>0</v>
      </c>
      <c r="CA102" s="335" cm="1">
        <f t="array" ref="CA102">_xlfn.SWITCH(
    $E102,
    "3 month avg", AVERAGE(BX102:BZ102) * (1 + $F102),
    "6 month avg", AVERAGE(BU102:BZ102) * (1 + $F102),
    "12 month avg", AVERAGE(BP102:BZ102) * (1 + $F102),
    "Prior Month",BZ102* (1 + $F102),
    "Prior Year", BO102* (1 + $F102),
    "Monthly assumption",$G102* (1 + $F102),
    "Quarterly assumption",$G102/3* (1 + $F102),
    "Annual assumption",$G102/12* (1 + $F102),
    "% of Revenue",SUM(_xlfn._xlws.FILTER(_xlfn._xlws.FILTER(dataSummaryPL,dataSummaryPLSections="Revenue"),(startDates&gt;=CA$4)*(endDates&lt;=CA$5)))*$F102,
    "Custom",0,
    "0",0,
        0
)</f>
        <v>0</v>
      </c>
      <c r="CB102" s="335" cm="1">
        <f t="array" ref="CB102">_xlfn.SWITCH(
    $E102,
    "3 month avg", AVERAGE(BY102:CA102) * (1 + $F102),
    "6 month avg", AVERAGE(BV102:CA102) * (1 + $F102),
    "12 month avg", AVERAGE(BQ102:CA102) * (1 + $F102),
    "Prior Month",CA102* (1 + $F102),
    "Prior Year", BP102* (1 + $F102),
    "Monthly assumption",$G102* (1 + $F102),
    "Quarterly assumption",$G102/3* (1 + $F102),
    "Annual assumption",$G102/12* (1 + $F102),
    "% of Revenue",SUM(_xlfn._xlws.FILTER(_xlfn._xlws.FILTER(dataSummaryPL,dataSummaryPLSections="Revenue"),(startDates&gt;=CB$4)*(endDates&lt;=CB$5)))*$F102,
    "Custom",0,
    "0",0,
        0
)</f>
        <v>0</v>
      </c>
      <c r="CC102" s="335" cm="1">
        <f t="array" ref="CC102">_xlfn.SWITCH(
    $E102,
    "3 month avg", AVERAGE(BZ102:CB102) * (1 + $F102),
    "6 month avg", AVERAGE(BW102:CB102) * (1 + $F102),
    "12 month avg", AVERAGE(BR102:CB102) * (1 + $F102),
    "Prior Month",CB102* (1 + $F102),
    "Prior Year", BQ102* (1 + $F102),
    "Monthly assumption",$G102* (1 + $F102),
    "Quarterly assumption",$G102/3* (1 + $F102),
    "Annual assumption",$G102/12* (1 + $F102),
    "% of Revenue",SUM(_xlfn._xlws.FILTER(_xlfn._xlws.FILTER(dataSummaryPL,dataSummaryPLSections="Revenue"),(startDates&gt;=CC$4)*(endDates&lt;=CC$5)))*$F102,
    "Custom",0,
    "0",0,
        0
)</f>
        <v>0</v>
      </c>
      <c r="CD102" s="335" cm="1">
        <f t="array" ref="CD102">_xlfn.SWITCH(
    $E102,
    "3 month avg", AVERAGE(CA102:CC102) * (1 + $F102),
    "6 month avg", AVERAGE(BX102:CC102) * (1 + $F102),
    "12 month avg", AVERAGE(BS102:CC102) * (1 + $F102),
    "Prior Month",CC102* (1 + $F102),
    "Prior Year", BR102* (1 + $F102),
    "Monthly assumption",$G102* (1 + $F102),
    "Quarterly assumption",$G102/3* (1 + $F102),
    "Annual assumption",$G102/12* (1 + $F102),
    "% of Revenue",SUM(_xlfn._xlws.FILTER(_xlfn._xlws.FILTER(dataSummaryPL,dataSummaryPLSections="Revenue"),(startDates&gt;=CD$4)*(endDates&lt;=CD$5)))*$F102,
    "Custom",0,
    "0",0,
        0
)</f>
        <v>0</v>
      </c>
      <c r="CE102" s="335" cm="1">
        <f t="array" ref="CE102">_xlfn.SWITCH(
    $E102,
    "3 month avg", AVERAGE(CB102:CD102) * (1 + $F102),
    "6 month avg", AVERAGE(BY102:CD102) * (1 + $F102),
    "12 month avg", AVERAGE(BT102:CD102) * (1 + $F102),
    "Prior Month",CD102* (1 + $F102),
    "Prior Year", BS102* (1 + $F102),
    "Monthly assumption",$G102* (1 + $F102),
    "Quarterly assumption",$G102/3* (1 + $F102),
    "Annual assumption",$G102/12* (1 + $F102),
    "% of Revenue",SUM(_xlfn._xlws.FILTER(_xlfn._xlws.FILTER(dataSummaryPL,dataSummaryPLSections="Revenue"),(startDates&gt;=CE$4)*(endDates&lt;=CE$5)))*$F102,
    "Custom",0,
    "0",0,
        0
)</f>
        <v>0</v>
      </c>
      <c r="CF102" s="335" cm="1">
        <f t="array" ref="CF102">_xlfn.SWITCH(
    $E102,
    "3 month avg", AVERAGE(CC102:CE102) * (1 + $F102),
    "6 month avg", AVERAGE(BZ102:CE102) * (1 + $F102),
    "12 month avg", AVERAGE(BU102:CE102) * (1 + $F102),
    "Prior Month",CE102* (1 + $F102),
    "Prior Year", BT102* (1 + $F102),
    "Monthly assumption",$G102* (1 + $F102),
    "Quarterly assumption",$G102/3* (1 + $F102),
    "Annual assumption",$G102/12* (1 + $F102),
    "% of Revenue",SUM(_xlfn._xlws.FILTER(_xlfn._xlws.FILTER(dataSummaryPL,dataSummaryPLSections="Revenue"),(startDates&gt;=CF$4)*(endDates&lt;=CF$5)))*$F102,
    "Custom",0,
    "0",0,
        0
)</f>
        <v>0</v>
      </c>
      <c r="CG102" s="335" cm="1">
        <f t="array" ref="CG102">_xlfn.SWITCH(
    $E102,
    "3 month avg", AVERAGE(CD102:CF102) * (1 + $F102),
    "6 month avg", AVERAGE(CA102:CF102) * (1 + $F102),
    "12 month avg", AVERAGE(BV102:CF102) * (1 + $F102),
    "Prior Month",CF102* (1 + $F102),
    "Prior Year", BU102* (1 + $F102),
    "Monthly assumption",$G102* (1 + $F102),
    "Quarterly assumption",$G102/3* (1 + $F102),
    "Annual assumption",$G102/12* (1 + $F102),
    "% of Revenue",SUM(_xlfn._xlws.FILTER(_xlfn._xlws.FILTER(dataSummaryPL,dataSummaryPLSections="Revenue"),(startDates&gt;=CG$4)*(endDates&lt;=CG$5)))*$F102,
    "Custom",0,
    "0",0,
        0
)</f>
        <v>0</v>
      </c>
      <c r="CH102" s="335" cm="1">
        <f t="array" ref="CH102">_xlfn.SWITCH(
    $E102,
    "3 month avg", AVERAGE(CE102:CG102) * (1 + $F102),
    "6 month avg", AVERAGE(CB102:CG102) * (1 + $F102),
    "12 month avg", AVERAGE(BW102:CG102) * (1 + $F102),
    "Prior Month",CG102* (1 + $F102),
    "Prior Year", BV102* (1 + $F102),
    "Monthly assumption",$G102* (1 + $F102),
    "Quarterly assumption",$G102/3* (1 + $F102),
    "Annual assumption",$G102/12* (1 + $F102),
    "% of Revenue",SUM(_xlfn._xlws.FILTER(_xlfn._xlws.FILTER(dataSummaryPL,dataSummaryPLSections="Revenue"),(startDates&gt;=CH$4)*(endDates&lt;=CH$5)))*$F102,
    "Custom",0,
    "0",0,
        0
)</f>
        <v>0</v>
      </c>
      <c r="CI102" s="335" cm="1">
        <f t="array" ref="CI102">_xlfn.SWITCH(
    $E102,
    "3 month avg", AVERAGE(CF102:CH102) * (1 + $F102),
    "6 month avg", AVERAGE(CC102:CH102) * (1 + $F102),
    "12 month avg", AVERAGE(BX102:CH102) * (1 + $F102),
    "Prior Month",CH102* (1 + $F102),
    "Prior Year", BW102* (1 + $F102),
    "Monthly assumption",$G102* (1 + $F102),
    "Quarterly assumption",$G102/3* (1 + $F102),
    "Annual assumption",$G102/12* (1 + $F102),
    "% of Revenue",SUM(_xlfn._xlws.FILTER(_xlfn._xlws.FILTER(dataSummaryPL,dataSummaryPLSections="Revenue"),(startDates&gt;=CI$4)*(endDates&lt;=CI$5)))*$F102,
    "Custom",0,
    "0",0,
        0
)</f>
        <v>0</v>
      </c>
      <c r="CJ102" s="335" cm="1">
        <f t="array" ref="CJ102">_xlfn.SWITCH(
    $E102,
    "3 month avg", AVERAGE(CG102:CI102) * (1 + $F102),
    "6 month avg", AVERAGE(CD102:CI102) * (1 + $F102),
    "12 month avg", AVERAGE(BY102:CI102) * (1 + $F102),
    "Prior Month",CI102* (1 + $F102),
    "Prior Year", BX102* (1 + $F102),
    "Monthly assumption",$G102* (1 + $F102),
    "Quarterly assumption",$G102/3* (1 + $F102),
    "Annual assumption",$G102/12* (1 + $F102),
    "% of Revenue",SUM(_xlfn._xlws.FILTER(_xlfn._xlws.FILTER(dataSummaryPL,dataSummaryPLSections="Revenue"),(startDates&gt;=CJ$4)*(endDates&lt;=CJ$5)))*$F102,
    "Custom",0,
    "0",0,
        0
)</f>
        <v>0</v>
      </c>
    </row>
    <row r="103" spans="1:88" outlineLevel="2">
      <c r="D103" s="336" t="s">
        <v>325</v>
      </c>
      <c r="E103" s="280" t="s">
        <v>158</v>
      </c>
      <c r="F103" s="279"/>
      <c r="G103" s="279"/>
      <c r="H103" s="277" t="str">
        <f>IFERROR(INDEX(PBC_ACCOUNT_LIST[Drivers Section],MATCH(Drivers!L103,PBC_ACCOUNT_LIST[Id],0)),"")</f>
        <v>Owners Equity</v>
      </c>
      <c r="I103" s="277" t="str">
        <f>IFERROR(INDEX(PBC_ACCOUNT_LIST[Summary Grouping],MATCH(Drivers!L103,PBC_ACCOUNT_LIST[Id],0)),"")</f>
        <v>Contributed Capital</v>
      </c>
      <c r="J103" s="277" t="str">
        <f>IFERROR(INDEX(PBC_ACCOUNT_LIST[Cash Flow Section],MATCH(Drivers!L103,PBC_ACCOUNT_LIST[Id],0)),"")</f>
        <v>Cash From Financing Activities</v>
      </c>
      <c r="K103" s="278" t="s">
        <v>106</v>
      </c>
      <c r="L103" s="277">
        <v>198</v>
      </c>
      <c r="M103" s="276"/>
      <c r="P103" s="334">
        <f t="shared" si="94"/>
        <v>3000000</v>
      </c>
      <c r="Q103" s="334">
        <f t="shared" si="94"/>
        <v>3000000</v>
      </c>
      <c r="R103" s="334">
        <f t="shared" si="94"/>
        <v>4000000</v>
      </c>
      <c r="S103" s="334">
        <f t="shared" si="94"/>
        <v>4000000</v>
      </c>
      <c r="T103" s="334"/>
      <c r="U103" s="334"/>
      <c r="V103" s="337">
        <f t="shared" si="95"/>
        <v>0</v>
      </c>
      <c r="W103" s="337">
        <f t="shared" si="95"/>
        <v>1500000</v>
      </c>
      <c r="X103" s="337">
        <f t="shared" si="95"/>
        <v>1500000</v>
      </c>
      <c r="Y103" s="337">
        <f t="shared" si="95"/>
        <v>3000000</v>
      </c>
      <c r="Z103" s="337">
        <f t="shared" si="95"/>
        <v>3000000</v>
      </c>
      <c r="AA103" s="337">
        <f t="shared" si="95"/>
        <v>3000000</v>
      </c>
      <c r="AB103" s="337">
        <f t="shared" si="95"/>
        <v>3000000</v>
      </c>
      <c r="AC103" s="337">
        <f t="shared" si="95"/>
        <v>3000000</v>
      </c>
      <c r="AD103" s="337">
        <f t="shared" si="95"/>
        <v>3000000</v>
      </c>
      <c r="AE103" s="337">
        <f t="shared" si="95"/>
        <v>3000000</v>
      </c>
      <c r="AF103" s="337">
        <f t="shared" si="95"/>
        <v>3000000</v>
      </c>
      <c r="AG103" s="337">
        <f t="shared" si="95"/>
        <v>4000000</v>
      </c>
      <c r="AH103" s="337">
        <f t="shared" si="95"/>
        <v>4000000</v>
      </c>
      <c r="AI103" s="337">
        <f t="shared" si="95"/>
        <v>4000000</v>
      </c>
      <c r="AJ103" s="337">
        <f t="shared" si="95"/>
        <v>4000000</v>
      </c>
      <c r="AK103" s="337">
        <f t="shared" si="95"/>
        <v>4000000</v>
      </c>
      <c r="AL103" s="337"/>
      <c r="AM103" s="334"/>
      <c r="AN103" s="337">
        <f>SUMIFS(PBC_BALANCE_SHEET[AccountBalance], PBC_BALANCE_SHEET[Id],$L103,PBC_BALANCE_SHEET[Date],AN$5)</f>
        <v>0</v>
      </c>
      <c r="AO103" s="337">
        <f>SUMIFS(PBC_BALANCE_SHEET[AccountBalance], PBC_BALANCE_SHEET[Id],$L103,PBC_BALANCE_SHEET[Date],AO$5)</f>
        <v>0</v>
      </c>
      <c r="AP103" s="337">
        <f>SUMIFS(PBC_BALANCE_SHEET[AccountBalance], PBC_BALANCE_SHEET[Id],$L103,PBC_BALANCE_SHEET[Date],AP$5)</f>
        <v>0</v>
      </c>
      <c r="AQ103" s="337">
        <f>SUMIFS(PBC_BALANCE_SHEET[AccountBalance], PBC_BALANCE_SHEET[Id],$L103,PBC_BALANCE_SHEET[Date],AQ$5)</f>
        <v>0</v>
      </c>
      <c r="AR103" s="337">
        <f>SUMIFS(PBC_BALANCE_SHEET[AccountBalance], PBC_BALANCE_SHEET[Id],$L103,PBC_BALANCE_SHEET[Date],AR$5)</f>
        <v>0</v>
      </c>
      <c r="AS103" s="337">
        <f>SUMIFS(PBC_BALANCE_SHEET[AccountBalance], PBC_BALANCE_SHEET[Id],$L103,PBC_BALANCE_SHEET[Date],AS$5)</f>
        <v>0</v>
      </c>
      <c r="AT103" s="337">
        <f>SUMIFS(PBC_BALANCE_SHEET[AccountBalance], PBC_BALANCE_SHEET[Id],$L103,PBC_BALANCE_SHEET[Date],AT$5)</f>
        <v>1500000</v>
      </c>
      <c r="AU103" s="337">
        <f>SUMIFS(PBC_BALANCE_SHEET[AccountBalance], PBC_BALANCE_SHEET[Id],$L103,PBC_BALANCE_SHEET[Date],AU$5)</f>
        <v>1500000</v>
      </c>
      <c r="AV103" s="337">
        <f>SUMIFS(PBC_BALANCE_SHEET[AccountBalance], PBC_BALANCE_SHEET[Id],$L103,PBC_BALANCE_SHEET[Date],AV$5)</f>
        <v>1500000</v>
      </c>
      <c r="AW103" s="337">
        <f>SUMIFS(PBC_BALANCE_SHEET[AccountBalance], PBC_BALANCE_SHEET[Id],$L103,PBC_BALANCE_SHEET[Date],AW$5)</f>
        <v>1500000</v>
      </c>
      <c r="AX103" s="337">
        <f>SUMIFS(PBC_BALANCE_SHEET[AccountBalance], PBC_BALANCE_SHEET[Id],$L103,PBC_BALANCE_SHEET[Date],AX$5)</f>
        <v>1500000</v>
      </c>
      <c r="AY103" s="337">
        <f>SUMIFS(PBC_BALANCE_SHEET[AccountBalance], PBC_BALANCE_SHEET[Id],$L103,PBC_BALANCE_SHEET[Date],AY$5)</f>
        <v>2000000</v>
      </c>
      <c r="AZ103" s="337">
        <f>SUMIFS(PBC_BALANCE_SHEET[AccountBalance], PBC_BALANCE_SHEET[Id],$L103,PBC_BALANCE_SHEET[Date],AZ$5)</f>
        <v>3000000</v>
      </c>
      <c r="BA103" s="337">
        <f>SUMIFS(PBC_BALANCE_SHEET[AccountBalance], PBC_BALANCE_SHEET[Id],$L103,PBC_BALANCE_SHEET[Date],BA$5)</f>
        <v>3000000</v>
      </c>
      <c r="BB103" s="337">
        <f>SUMIFS(PBC_BALANCE_SHEET[AccountBalance], PBC_BALANCE_SHEET[Id],$L103,PBC_BALANCE_SHEET[Date],BB$5)</f>
        <v>3000000</v>
      </c>
      <c r="BC103" s="337">
        <f>SUMIFS(PBC_BALANCE_SHEET[AccountBalance], PBC_BALANCE_SHEET[Id],$L103,PBC_BALANCE_SHEET[Date],BC$5)</f>
        <v>3000000</v>
      </c>
      <c r="BD103" s="337">
        <f>SUMIFS(PBC_BALANCE_SHEET[AccountBalance], PBC_BALANCE_SHEET[Id],$L103,PBC_BALANCE_SHEET[Date],BD$5)</f>
        <v>3000000</v>
      </c>
      <c r="BE103" s="337">
        <f>SUMIFS(PBC_BALANCE_SHEET[AccountBalance], PBC_BALANCE_SHEET[Id],$L103,PBC_BALANCE_SHEET[Date],BE$5)</f>
        <v>3000000</v>
      </c>
      <c r="BF103" s="337">
        <f>SUMIFS(PBC_BALANCE_SHEET[AccountBalance], PBC_BALANCE_SHEET[Id],$L103,PBC_BALANCE_SHEET[Date],BF$5)</f>
        <v>3000000</v>
      </c>
      <c r="BG103" s="337">
        <f>SUMIFS(PBC_BALANCE_SHEET[AccountBalance], PBC_BALANCE_SHEET[Id],$L103,PBC_BALANCE_SHEET[Date],BG$5)</f>
        <v>3000000</v>
      </c>
      <c r="BH103" s="337">
        <f>SUMIFS(PBC_BALANCE_SHEET[AccountBalance], PBC_BALANCE_SHEET[Id],$L103,PBC_BALANCE_SHEET[Date],BH$5)</f>
        <v>3000000</v>
      </c>
      <c r="BI103" s="337">
        <f>SUMIFS(PBC_BALANCE_SHEET[AccountBalance], PBC_BALANCE_SHEET[Id],$L103,PBC_BALANCE_SHEET[Date],BI$5)</f>
        <v>3000000</v>
      </c>
      <c r="BJ103" s="337">
        <f>SUMIFS(PBC_BALANCE_SHEET[AccountBalance], PBC_BALANCE_SHEET[Id],$L103,PBC_BALANCE_SHEET[Date],BJ$5)</f>
        <v>3000000</v>
      </c>
      <c r="BK103" s="337">
        <f>SUMIFS(PBC_BALANCE_SHEET[AccountBalance], PBC_BALANCE_SHEET[Id],$L103,PBC_BALANCE_SHEET[Date],BK$5)</f>
        <v>3000000</v>
      </c>
      <c r="BL103" s="337">
        <f>SUMIFS(PBC_BALANCE_SHEET[AccountBalance], PBC_BALANCE_SHEET[Id],$L103,PBC_BALANCE_SHEET[Date],BL$5)</f>
        <v>3000000</v>
      </c>
      <c r="BM103" s="337">
        <f>SUMIFS(PBC_BALANCE_SHEET[AccountBalance], PBC_BALANCE_SHEET[Id],$L103,PBC_BALANCE_SHEET[Date],BM$5)</f>
        <v>3000000</v>
      </c>
      <c r="BN103" s="337">
        <f>SUMIFS(PBC_BALANCE_SHEET[AccountBalance], PBC_BALANCE_SHEET[Id],$L103,PBC_BALANCE_SHEET[Date],BN$5)</f>
        <v>3000000</v>
      </c>
      <c r="BO103" s="337">
        <f>SUMIFS(PBC_BALANCE_SHEET[AccountBalance], PBC_BALANCE_SHEET[Id],$L103,PBC_BALANCE_SHEET[Date],BO$5)</f>
        <v>3000000</v>
      </c>
      <c r="BP103" s="337">
        <f>SUMIFS(PBC_BALANCE_SHEET[AccountBalance], PBC_BALANCE_SHEET[Id],$L103,PBC_BALANCE_SHEET[Date],BP$5)</f>
        <v>3000000</v>
      </c>
      <c r="BQ103" s="337">
        <f>SUMIFS(PBC_BALANCE_SHEET[AccountBalance], PBC_BALANCE_SHEET[Id],$L103,PBC_BALANCE_SHEET[Date],BQ$5)</f>
        <v>3000000</v>
      </c>
      <c r="BR103" s="337">
        <f>SUMIFS(PBC_BALANCE_SHEET[AccountBalance], PBC_BALANCE_SHEET[Id],$L103,PBC_BALANCE_SHEET[Date],BR$5)</f>
        <v>3000000</v>
      </c>
      <c r="BS103" s="337">
        <f>SUMIFS(PBC_BALANCE_SHEET[AccountBalance], PBC_BALANCE_SHEET[Id],$L103,PBC_BALANCE_SHEET[Date],BS$5)</f>
        <v>3000000</v>
      </c>
      <c r="BT103" s="337">
        <f>SUMIFS(PBC_BALANCE_SHEET[AccountBalance], PBC_BALANCE_SHEET[Id],$L103,PBC_BALANCE_SHEET[Date],BT$5)</f>
        <v>3000000</v>
      </c>
      <c r="BU103" s="337">
        <f>SUMIFS(PBC_BALANCE_SHEET[AccountBalance], PBC_BALANCE_SHEET[Id],$L103,PBC_BALANCE_SHEET[Date],BU$5)</f>
        <v>3000000</v>
      </c>
      <c r="BV103" s="337">
        <f>SUMIFS(PBC_BALANCE_SHEET[AccountBalance], PBC_BALANCE_SHEET[Id],$L103,PBC_BALANCE_SHEET[Date],BV$5)</f>
        <v>3000000</v>
      </c>
      <c r="BW103" s="337">
        <f>SUMIFS(PBC_BALANCE_SHEET[AccountBalance], PBC_BALANCE_SHEET[Id],$L103,PBC_BALANCE_SHEET[Date],BW$5)</f>
        <v>3000000</v>
      </c>
      <c r="BX103" s="335">
        <f>BW103+1000000</f>
        <v>4000000</v>
      </c>
      <c r="BY103" s="335">
        <f t="shared" ref="BY103:CJ103" si="96">BX103</f>
        <v>4000000</v>
      </c>
      <c r="BZ103" s="335">
        <f t="shared" si="96"/>
        <v>4000000</v>
      </c>
      <c r="CA103" s="335">
        <f t="shared" si="96"/>
        <v>4000000</v>
      </c>
      <c r="CB103" s="335">
        <f t="shared" si="96"/>
        <v>4000000</v>
      </c>
      <c r="CC103" s="335">
        <f t="shared" si="96"/>
        <v>4000000</v>
      </c>
      <c r="CD103" s="335">
        <f t="shared" si="96"/>
        <v>4000000</v>
      </c>
      <c r="CE103" s="335">
        <f t="shared" si="96"/>
        <v>4000000</v>
      </c>
      <c r="CF103" s="335">
        <f t="shared" si="96"/>
        <v>4000000</v>
      </c>
      <c r="CG103" s="335">
        <f t="shared" si="96"/>
        <v>4000000</v>
      </c>
      <c r="CH103" s="335">
        <f t="shared" si="96"/>
        <v>4000000</v>
      </c>
      <c r="CI103" s="335">
        <f t="shared" si="96"/>
        <v>4000000</v>
      </c>
      <c r="CJ103" s="335">
        <f t="shared" si="96"/>
        <v>4000000</v>
      </c>
    </row>
    <row r="104" spans="1:88" outlineLevel="2">
      <c r="D104" s="336" t="s">
        <v>326</v>
      </c>
      <c r="E104" s="338" t="s">
        <v>357</v>
      </c>
      <c r="F104" s="279"/>
      <c r="G104" s="279"/>
      <c r="H104" s="277" t="str">
        <f>IFERROR(INDEX(PBC_ACCOUNT_LIST[Drivers Section],MATCH(Drivers!L104,PBC_ACCOUNT_LIST[Id],0)),"")</f>
        <v>Owners Equity</v>
      </c>
      <c r="I104" s="277" t="str">
        <f>IFERROR(INDEX(PBC_ACCOUNT_LIST[Summary Grouping],MATCH(Drivers!L104,PBC_ACCOUNT_LIST[Id],0)),"")</f>
        <v>Retained Earnings</v>
      </c>
      <c r="J104" s="277">
        <f>IFERROR(INDEX(PBC_ACCOUNT_LIST[Cash Flow Section],MATCH(Drivers!L104,PBC_ACCOUNT_LIST[Id],0)),"")</f>
        <v>0</v>
      </c>
      <c r="K104" s="278" t="s">
        <v>106</v>
      </c>
      <c r="L104" s="277">
        <v>4</v>
      </c>
      <c r="M104" s="276"/>
      <c r="P104" s="334">
        <f t="shared" si="94"/>
        <v>0</v>
      </c>
      <c r="Q104" s="334">
        <f t="shared" si="94"/>
        <v>-659921.5</v>
      </c>
      <c r="R104" s="334">
        <f t="shared" si="94"/>
        <v>-4555252.6500000004</v>
      </c>
      <c r="S104" s="334">
        <f t="shared" si="94"/>
        <v>-7360773.4051949</v>
      </c>
      <c r="T104" s="334"/>
      <c r="U104" s="334"/>
      <c r="V104" s="337">
        <f t="shared" si="95"/>
        <v>0</v>
      </c>
      <c r="W104" s="337">
        <f t="shared" si="95"/>
        <v>0</v>
      </c>
      <c r="X104" s="337">
        <f t="shared" si="95"/>
        <v>0</v>
      </c>
      <c r="Y104" s="337">
        <f t="shared" si="95"/>
        <v>0</v>
      </c>
      <c r="Z104" s="337">
        <f t="shared" si="95"/>
        <v>-659921.5</v>
      </c>
      <c r="AA104" s="337">
        <f t="shared" si="95"/>
        <v>-659921.5</v>
      </c>
      <c r="AB104" s="337">
        <f t="shared" si="95"/>
        <v>-659921.5</v>
      </c>
      <c r="AC104" s="337">
        <f t="shared" si="95"/>
        <v>-659921.5</v>
      </c>
      <c r="AD104" s="337">
        <f t="shared" si="95"/>
        <v>-2213404</v>
      </c>
      <c r="AE104" s="337">
        <f t="shared" si="95"/>
        <v>-2213404</v>
      </c>
      <c r="AF104" s="337">
        <f t="shared" si="95"/>
        <v>-2213404</v>
      </c>
      <c r="AG104" s="337">
        <f t="shared" si="95"/>
        <v>-4555252.6500000004</v>
      </c>
      <c r="AH104" s="337">
        <f t="shared" si="95"/>
        <v>-5252550.9039910408</v>
      </c>
      <c r="AI104" s="337">
        <f t="shared" si="95"/>
        <v>-5896926.5089926366</v>
      </c>
      <c r="AJ104" s="337">
        <f t="shared" si="95"/>
        <v>-6610535.7474694038</v>
      </c>
      <c r="AK104" s="337">
        <f t="shared" si="95"/>
        <v>-7360773.4051949</v>
      </c>
      <c r="AL104" s="337"/>
      <c r="AM104" s="334"/>
      <c r="AN104" s="337">
        <f>SUMIFS(PBC_BALANCE_SHEET[AccountBalance], PBC_BALANCE_SHEET[Id],$L104,PBC_BALANCE_SHEET[Date],AN$5)</f>
        <v>0</v>
      </c>
      <c r="AO104" s="337">
        <f>SUMIFS(PBC_BALANCE_SHEET[AccountBalance], PBC_BALANCE_SHEET[Id],$L104,PBC_BALANCE_SHEET[Date],AO$5)</f>
        <v>0</v>
      </c>
      <c r="AP104" s="337">
        <f>SUMIFS(PBC_BALANCE_SHEET[AccountBalance], PBC_BALANCE_SHEET[Id],$L104,PBC_BALANCE_SHEET[Date],AP$5)</f>
        <v>0</v>
      </c>
      <c r="AQ104" s="337">
        <f>SUMIFS(PBC_BALANCE_SHEET[AccountBalance], PBC_BALANCE_SHEET[Id],$L104,PBC_BALANCE_SHEET[Date],AQ$5)</f>
        <v>0</v>
      </c>
      <c r="AR104" s="337">
        <f>SUMIFS(PBC_BALANCE_SHEET[AccountBalance], PBC_BALANCE_SHEET[Id],$L104,PBC_BALANCE_SHEET[Date],AR$5)</f>
        <v>0</v>
      </c>
      <c r="AS104" s="337">
        <f>SUMIFS(PBC_BALANCE_SHEET[AccountBalance], PBC_BALANCE_SHEET[Id],$L104,PBC_BALANCE_SHEET[Date],AS$5)</f>
        <v>0</v>
      </c>
      <c r="AT104" s="337">
        <f>SUMIFS(PBC_BALANCE_SHEET[AccountBalance], PBC_BALANCE_SHEET[Id],$L104,PBC_BALANCE_SHEET[Date],AT$5)</f>
        <v>0</v>
      </c>
      <c r="AU104" s="337">
        <f>SUMIFS(PBC_BALANCE_SHEET[AccountBalance], PBC_BALANCE_SHEET[Id],$L104,PBC_BALANCE_SHEET[Date],AU$5)</f>
        <v>0</v>
      </c>
      <c r="AV104" s="337">
        <f>SUMIFS(PBC_BALANCE_SHEET[AccountBalance], PBC_BALANCE_SHEET[Id],$L104,PBC_BALANCE_SHEET[Date],AV$5)</f>
        <v>0</v>
      </c>
      <c r="AW104" s="337">
        <f>SUMIFS(PBC_BALANCE_SHEET[AccountBalance], PBC_BALANCE_SHEET[Id],$L104,PBC_BALANCE_SHEET[Date],AW$5)</f>
        <v>0</v>
      </c>
      <c r="AX104" s="337">
        <f>SUMIFS(PBC_BALANCE_SHEET[AccountBalance], PBC_BALANCE_SHEET[Id],$L104,PBC_BALANCE_SHEET[Date],AX$5)</f>
        <v>0</v>
      </c>
      <c r="AY104" s="337">
        <f>SUMIFS(PBC_BALANCE_SHEET[AccountBalance], PBC_BALANCE_SHEET[Id],$L104,PBC_BALANCE_SHEET[Date],AY$5)</f>
        <v>0</v>
      </c>
      <c r="AZ104" s="337">
        <f>SUMIFS(PBC_BALANCE_SHEET[AccountBalance], PBC_BALANCE_SHEET[Id],$L104,PBC_BALANCE_SHEET[Date],AZ$5)</f>
        <v>0</v>
      </c>
      <c r="BA104" s="337">
        <f>SUMIFS(PBC_BALANCE_SHEET[AccountBalance], PBC_BALANCE_SHEET[Id],$L104,PBC_BALANCE_SHEET[Date],BA$5)</f>
        <v>-659921.5</v>
      </c>
      <c r="BB104" s="337">
        <f>SUMIFS(PBC_BALANCE_SHEET[AccountBalance], PBC_BALANCE_SHEET[Id],$L104,PBC_BALANCE_SHEET[Date],BB$5)</f>
        <v>-659921.5</v>
      </c>
      <c r="BC104" s="337">
        <f>SUMIFS(PBC_BALANCE_SHEET[AccountBalance], PBC_BALANCE_SHEET[Id],$L104,PBC_BALANCE_SHEET[Date],BC$5)</f>
        <v>-659921.5</v>
      </c>
      <c r="BD104" s="337">
        <f>SUMIFS(PBC_BALANCE_SHEET[AccountBalance], PBC_BALANCE_SHEET[Id],$L104,PBC_BALANCE_SHEET[Date],BD$5)</f>
        <v>-659921.5</v>
      </c>
      <c r="BE104" s="337">
        <f>SUMIFS(PBC_BALANCE_SHEET[AccountBalance], PBC_BALANCE_SHEET[Id],$L104,PBC_BALANCE_SHEET[Date],BE$5)</f>
        <v>-659921.5</v>
      </c>
      <c r="BF104" s="337">
        <f>SUMIFS(PBC_BALANCE_SHEET[AccountBalance], PBC_BALANCE_SHEET[Id],$L104,PBC_BALANCE_SHEET[Date],BF$5)</f>
        <v>-659921.5</v>
      </c>
      <c r="BG104" s="337">
        <f>SUMIFS(PBC_BALANCE_SHEET[AccountBalance], PBC_BALANCE_SHEET[Id],$L104,PBC_BALANCE_SHEET[Date],BG$5)</f>
        <v>-659921.5</v>
      </c>
      <c r="BH104" s="337">
        <f>SUMIFS(PBC_BALANCE_SHEET[AccountBalance], PBC_BALANCE_SHEET[Id],$L104,PBC_BALANCE_SHEET[Date],BH$5)</f>
        <v>-659921.5</v>
      </c>
      <c r="BI104" s="337">
        <f>SUMIFS(PBC_BALANCE_SHEET[AccountBalance], PBC_BALANCE_SHEET[Id],$L104,PBC_BALANCE_SHEET[Date],BI$5)</f>
        <v>-659921.5</v>
      </c>
      <c r="BJ104" s="337">
        <f>SUMIFS(PBC_BALANCE_SHEET[AccountBalance], PBC_BALANCE_SHEET[Id],$L104,PBC_BALANCE_SHEET[Date],BJ$5)</f>
        <v>-659921.5</v>
      </c>
      <c r="BK104" s="337">
        <f>SUMIFS(PBC_BALANCE_SHEET[AccountBalance], PBC_BALANCE_SHEET[Id],$L104,PBC_BALANCE_SHEET[Date],BK$5)</f>
        <v>-659921.5</v>
      </c>
      <c r="BL104" s="337">
        <f>SUMIFS(PBC_BALANCE_SHEET[AccountBalance], PBC_BALANCE_SHEET[Id],$L104,PBC_BALANCE_SHEET[Date],BL$5)</f>
        <v>-659921.5</v>
      </c>
      <c r="BM104" s="337">
        <f>SUMIFS(PBC_BALANCE_SHEET[AccountBalance], PBC_BALANCE_SHEET[Id],$L104,PBC_BALANCE_SHEET[Date],BM$5)</f>
        <v>-2213404</v>
      </c>
      <c r="BN104" s="337">
        <f>SUMIFS(PBC_BALANCE_SHEET[AccountBalance], PBC_BALANCE_SHEET[Id],$L104,PBC_BALANCE_SHEET[Date],BN$5)</f>
        <v>-2213404</v>
      </c>
      <c r="BO104" s="337">
        <f>SUMIFS(PBC_BALANCE_SHEET[AccountBalance], PBC_BALANCE_SHEET[Id],$L104,PBC_BALANCE_SHEET[Date],BO$5)</f>
        <v>-2213404</v>
      </c>
      <c r="BP104" s="337">
        <f>SUMIFS(PBC_BALANCE_SHEET[AccountBalance], PBC_BALANCE_SHEET[Id],$L104,PBC_BALANCE_SHEET[Date],BP$5)</f>
        <v>-2213404</v>
      </c>
      <c r="BQ104" s="337">
        <f>SUMIFS(PBC_BALANCE_SHEET[AccountBalance], PBC_BALANCE_SHEET[Id],$L104,PBC_BALANCE_SHEET[Date],BQ$5)</f>
        <v>-2213404</v>
      </c>
      <c r="BR104" s="337">
        <f>SUMIFS(PBC_BALANCE_SHEET[AccountBalance], PBC_BALANCE_SHEET[Id],$L104,PBC_BALANCE_SHEET[Date],BR$5)</f>
        <v>-2213404</v>
      </c>
      <c r="BS104" s="337">
        <f>SUMIFS(PBC_BALANCE_SHEET[AccountBalance], PBC_BALANCE_SHEET[Id],$L104,PBC_BALANCE_SHEET[Date],BS$5)</f>
        <v>-2213404</v>
      </c>
      <c r="BT104" s="337">
        <f>SUMIFS(PBC_BALANCE_SHEET[AccountBalance], PBC_BALANCE_SHEET[Id],$L104,PBC_BALANCE_SHEET[Date],BT$5)</f>
        <v>-2213404</v>
      </c>
      <c r="BU104" s="337">
        <f>SUMIFS(PBC_BALANCE_SHEET[AccountBalance], PBC_BALANCE_SHEET[Id],$L104,PBC_BALANCE_SHEET[Date],BU$5)</f>
        <v>-2213404</v>
      </c>
      <c r="BV104" s="337">
        <f>SUMIFS(PBC_BALANCE_SHEET[AccountBalance], PBC_BALANCE_SHEET[Id],$L104,PBC_BALANCE_SHEET[Date],BV$5)</f>
        <v>-2213404</v>
      </c>
      <c r="BW104" s="337">
        <f>SUMIFS(PBC_BALANCE_SHEET[AccountBalance], PBC_BALANCE_SHEET[Id],$L104,PBC_BALANCE_SHEET[Date],BW$5)</f>
        <v>-2213404</v>
      </c>
      <c r="BX104" s="339" cm="1">
        <f t="array" ref="BX104">BW104+SUM(_xlfn._xlws.FILTER(_xlfn._xlws.FILTER(dataGLBS,dataGLBSAcctIDs=999),endDates=EOMONTH(BX$5,-1)))</f>
        <v>-4555252.6500000004</v>
      </c>
      <c r="BY104" s="339" cm="1">
        <f t="array" ref="BY104">BX104+SUM(_xlfn._xlws.FILTER(_xlfn._xlws.FILTER(dataGLBS,dataGLBSAcctIDs=999),endDates=EOMONTH(BY$5,-1)))</f>
        <v>-4837122.7422727272</v>
      </c>
      <c r="BZ104" s="339" cm="1">
        <f t="array" ref="BZ104">BY104+SUM(_xlfn._xlws.FILTER(_xlfn._xlws.FILTER(dataGLBS,dataGLBSAcctIDs=999),endDates=EOMONTH(BZ$5,-1)))</f>
        <v>-5062072.7783009065</v>
      </c>
      <c r="CA104" s="339" cm="1">
        <f t="array" ref="CA104">BZ104+SUM(_xlfn._xlws.FILTER(_xlfn._xlws.FILTER(dataGLBS,dataGLBSAcctIDs=999),endDates=EOMONTH(CA$5,-1)))</f>
        <v>-5252550.9039910408</v>
      </c>
      <c r="CB104" s="339" cm="1">
        <f t="array" ref="CB104">CA104+SUM(_xlfn._xlws.FILTER(_xlfn._xlws.FILTER(dataGLBS,dataGLBSAcctIDs=999),endDates=EOMONTH(CB$5,-1)))</f>
        <v>-5447687.5761010051</v>
      </c>
      <c r="CC104" s="339" cm="1">
        <f t="array" ref="CC104">CB104+SUM(_xlfn._xlws.FILTER(_xlfn._xlws.FILTER(dataGLBS,dataGLBSAcctIDs=999),endDates=EOMONTH(CC$5,-1)))</f>
        <v>-5670562.381234521</v>
      </c>
      <c r="CD104" s="339" cm="1">
        <f t="array" ref="CD104">CC104+SUM(_xlfn._xlws.FILTER(_xlfn._xlws.FILTER(dataGLBS,dataGLBSAcctIDs=999),endDates=EOMONTH(CD$5,-1)))</f>
        <v>-5896926.5089926366</v>
      </c>
      <c r="CE104" s="339" cm="1">
        <f t="array" ref="CE104">CD104+SUM(_xlfn._xlws.FILTER(_xlfn._xlws.FILTER(dataGLBS,dataGLBSAcctIDs=999),endDates=EOMONTH(CE$5,-1)))</f>
        <v>-6128361.2909142058</v>
      </c>
      <c r="CF104" s="339" cm="1">
        <f t="array" ref="CF104">CE104+SUM(_xlfn._xlws.FILTER(_xlfn._xlws.FILTER(dataGLBS,dataGLBSAcctIDs=999),endDates=EOMONTH(CF$5,-1)))</f>
        <v>-6367536.4313802551</v>
      </c>
      <c r="CG104" s="339" cm="1">
        <f t="array" ref="CG104">CF104+SUM(_xlfn._xlws.FILTER(_xlfn._xlws.FILTER(dataGLBS,dataGLBSAcctIDs=999),endDates=EOMONTH(CG$5,-1)))</f>
        <v>-6610535.7474694038</v>
      </c>
      <c r="CH104" s="339" cm="1">
        <f t="array" ref="CH104">CG104+SUM(_xlfn._xlws.FILTER(_xlfn._xlws.FILTER(dataGLBS,dataGLBSAcctIDs=999),endDates=EOMONTH(CH$5,-1)))</f>
        <v>-6857188.7714317888</v>
      </c>
      <c r="CI104" s="339" cm="1">
        <f t="array" ref="CI104">CH104+SUM(_xlfn._xlws.FILTER(_xlfn._xlws.FILTER(dataGLBS,dataGLBSAcctIDs=999),endDates=EOMONTH(CI$5,-1)))</f>
        <v>-7107304.7233782439</v>
      </c>
      <c r="CJ104" s="339" cm="1">
        <f t="array" ref="CJ104">CI104+SUM(_xlfn._xlws.FILTER(_xlfn._xlws.FILTER(dataGLBS,dataGLBSAcctIDs=999),endDates=EOMONTH(CJ$5,-1)))</f>
        <v>-7360773.4051949</v>
      </c>
    </row>
    <row r="105" spans="1:88" outlineLevel="2">
      <c r="D105" s="336" t="s">
        <v>102</v>
      </c>
      <c r="E105" s="338" t="s">
        <v>357</v>
      </c>
      <c r="F105" s="279"/>
      <c r="G105" s="279"/>
      <c r="H105" s="277" t="str">
        <f>IFERROR(INDEX(PBC_ACCOUNT_LIST[Drivers Section],MATCH(Drivers!L105,PBC_ACCOUNT_LIST[Id],0)),"")</f>
        <v>Owners Equity</v>
      </c>
      <c r="I105" s="277" t="str">
        <f>IFERROR(INDEX(PBC_ACCOUNT_LIST[Summary Grouping],MATCH(Drivers!L105,PBC_ACCOUNT_LIST[Id],0)),"")</f>
        <v>Retained Earnings</v>
      </c>
      <c r="J105" s="277">
        <f>IFERROR(INDEX(PBC_ACCOUNT_LIST[Cash Flow Section],MATCH(Drivers!L105,PBC_ACCOUNT_LIST[Id],0)),"")</f>
        <v>0</v>
      </c>
      <c r="K105" s="278" t="s">
        <v>106</v>
      </c>
      <c r="L105" s="277">
        <v>999</v>
      </c>
      <c r="M105" s="276"/>
      <c r="P105" s="334">
        <f t="shared" si="94"/>
        <v>-659921.5</v>
      </c>
      <c r="Q105" s="334">
        <f t="shared" si="94"/>
        <v>-1553482.5</v>
      </c>
      <c r="R105" s="334">
        <f t="shared" si="94"/>
        <v>-281870.09227272728</v>
      </c>
      <c r="S105" s="334">
        <f t="shared" si="94"/>
        <v>-273834.3328339202</v>
      </c>
      <c r="T105" s="334"/>
      <c r="U105" s="334"/>
      <c r="V105" s="337">
        <f t="shared" si="95"/>
        <v>-134542</v>
      </c>
      <c r="W105" s="337">
        <f t="shared" si="95"/>
        <v>-275562</v>
      </c>
      <c r="X105" s="337">
        <f t="shared" si="95"/>
        <v>-418443.5</v>
      </c>
      <c r="Y105" s="337">
        <f t="shared" si="95"/>
        <v>-659921.5</v>
      </c>
      <c r="Z105" s="337">
        <f t="shared" si="95"/>
        <v>-277494</v>
      </c>
      <c r="AA105" s="337">
        <f t="shared" si="95"/>
        <v>-630639</v>
      </c>
      <c r="AB105" s="337">
        <f t="shared" si="95"/>
        <v>-1075826</v>
      </c>
      <c r="AC105" s="337">
        <f t="shared" si="95"/>
        <v>-1553482.5</v>
      </c>
      <c r="AD105" s="337">
        <f t="shared" si="95"/>
        <v>-542782.23</v>
      </c>
      <c r="AE105" s="337">
        <f t="shared" si="95"/>
        <v>-1153557.76</v>
      </c>
      <c r="AF105" s="337">
        <f t="shared" si="95"/>
        <v>-1835806.01</v>
      </c>
      <c r="AG105" s="337">
        <f t="shared" si="95"/>
        <v>-281870.09227272728</v>
      </c>
      <c r="AH105" s="337">
        <f t="shared" si="95"/>
        <v>-195136.6721099643</v>
      </c>
      <c r="AI105" s="337">
        <f t="shared" si="95"/>
        <v>-231434.78192156955</v>
      </c>
      <c r="AJ105" s="337">
        <f t="shared" si="95"/>
        <v>-246653.02396238543</v>
      </c>
      <c r="AK105" s="337">
        <f t="shared" si="95"/>
        <v>-273834.3328339202</v>
      </c>
      <c r="AL105" s="337"/>
      <c r="AM105" s="334"/>
      <c r="AN105" s="337">
        <f>SUMIFS(PBC_BALANCE_SHEET[AccountBalance], PBC_BALANCE_SHEET[Id],$L105,PBC_BALANCE_SHEET[Date],AN$5)</f>
        <v>0</v>
      </c>
      <c r="AO105" s="337">
        <f>SUMIFS(PBC_BALANCE_SHEET[AccountBalance], PBC_BALANCE_SHEET[Id],$L105,PBC_BALANCE_SHEET[Date],AO$5)</f>
        <v>-44399</v>
      </c>
      <c r="AP105" s="337">
        <f>SUMIFS(PBC_BALANCE_SHEET[AccountBalance], PBC_BALANCE_SHEET[Id],$L105,PBC_BALANCE_SHEET[Date],AP$5)</f>
        <v>-89238</v>
      </c>
      <c r="AQ105" s="337">
        <f>SUMIFS(PBC_BALANCE_SHEET[AccountBalance], PBC_BALANCE_SHEET[Id],$L105,PBC_BALANCE_SHEET[Date],AQ$5)</f>
        <v>-134542</v>
      </c>
      <c r="AR105" s="337">
        <f>SUMIFS(PBC_BALANCE_SHEET[AccountBalance], PBC_BALANCE_SHEET[Id],$L105,PBC_BALANCE_SHEET[Date],AR$5)</f>
        <v>-181163</v>
      </c>
      <c r="AS105" s="337">
        <f>SUMIFS(PBC_BALANCE_SHEET[AccountBalance], PBC_BALANCE_SHEET[Id],$L105,PBC_BALANCE_SHEET[Date],AS$5)</f>
        <v>-228141</v>
      </c>
      <c r="AT105" s="337">
        <f>SUMIFS(PBC_BALANCE_SHEET[AccountBalance], PBC_BALANCE_SHEET[Id],$L105,PBC_BALANCE_SHEET[Date],AT$5)</f>
        <v>-275562</v>
      </c>
      <c r="AU105" s="337">
        <f>SUMIFS(PBC_BALANCE_SHEET[AccountBalance], PBC_BALANCE_SHEET[Id],$L105,PBC_BALANCE_SHEET[Date],AU$5)</f>
        <v>-323123</v>
      </c>
      <c r="AV105" s="337">
        <f>SUMIFS(PBC_BALANCE_SHEET[AccountBalance], PBC_BALANCE_SHEET[Id],$L105,PBC_BALANCE_SHEET[Date],AV$5)</f>
        <v>-370807.5</v>
      </c>
      <c r="AW105" s="337">
        <f>SUMIFS(PBC_BALANCE_SHEET[AccountBalance], PBC_BALANCE_SHEET[Id],$L105,PBC_BALANCE_SHEET[Date],AW$5)</f>
        <v>-418443.5</v>
      </c>
      <c r="AX105" s="337">
        <f>SUMIFS(PBC_BALANCE_SHEET[AccountBalance], PBC_BALANCE_SHEET[Id],$L105,PBC_BALANCE_SHEET[Date],AX$5)</f>
        <v>-470918.5</v>
      </c>
      <c r="AY105" s="337">
        <f>SUMIFS(PBC_BALANCE_SHEET[AccountBalance], PBC_BALANCE_SHEET[Id],$L105,PBC_BALANCE_SHEET[Date],AY$5)</f>
        <v>-535736.5</v>
      </c>
      <c r="AZ105" s="337">
        <f>SUMIFS(PBC_BALANCE_SHEET[AccountBalance], PBC_BALANCE_SHEET[Id],$L105,PBC_BALANCE_SHEET[Date],AZ$5)</f>
        <v>-659921.5</v>
      </c>
      <c r="BA105" s="337">
        <f>SUMIFS(PBC_BALANCE_SHEET[AccountBalance], PBC_BALANCE_SHEET[Id],$L105,PBC_BALANCE_SHEET[Date],BA$5)</f>
        <v>-72804.5</v>
      </c>
      <c r="BB105" s="337">
        <f>SUMIFS(PBC_BALANCE_SHEET[AccountBalance], PBC_BALANCE_SHEET[Id],$L105,PBC_BALANCE_SHEET[Date],BB$5)</f>
        <v>-202124.5</v>
      </c>
      <c r="BC105" s="337">
        <f>SUMIFS(PBC_BALANCE_SHEET[AccountBalance], PBC_BALANCE_SHEET[Id],$L105,PBC_BALANCE_SHEET[Date],BC$5)</f>
        <v>-277494</v>
      </c>
      <c r="BD105" s="337">
        <f>SUMIFS(PBC_BALANCE_SHEET[AccountBalance], PBC_BALANCE_SHEET[Id],$L105,PBC_BALANCE_SHEET[Date],BD$5)</f>
        <v>-412204.5</v>
      </c>
      <c r="BE105" s="337">
        <f>SUMIFS(PBC_BALANCE_SHEET[AccountBalance], PBC_BALANCE_SHEET[Id],$L105,PBC_BALANCE_SHEET[Date],BE$5)</f>
        <v>-490267</v>
      </c>
      <c r="BF105" s="337">
        <f>SUMIFS(PBC_BALANCE_SHEET[AccountBalance], PBC_BALANCE_SHEET[Id],$L105,PBC_BALANCE_SHEET[Date],BF$5)</f>
        <v>-630639</v>
      </c>
      <c r="BG105" s="337">
        <f>SUMIFS(PBC_BALANCE_SHEET[AccountBalance], PBC_BALANCE_SHEET[Id],$L105,PBC_BALANCE_SHEET[Date],BG$5)</f>
        <v>-776955</v>
      </c>
      <c r="BH105" s="337">
        <f>SUMIFS(PBC_BALANCE_SHEET[AccountBalance], PBC_BALANCE_SHEET[Id],$L105,PBC_BALANCE_SHEET[Date],BH$5)</f>
        <v>-923270</v>
      </c>
      <c r="BI105" s="337">
        <f>SUMIFS(PBC_BALANCE_SHEET[AccountBalance], PBC_BALANCE_SHEET[Id],$L105,PBC_BALANCE_SHEET[Date],BI$5)</f>
        <v>-1075826</v>
      </c>
      <c r="BJ105" s="337">
        <f>SUMIFS(PBC_BALANCE_SHEET[AccountBalance], PBC_BALANCE_SHEET[Id],$L105,PBC_BALANCE_SHEET[Date],BJ$5)</f>
        <v>-1228383</v>
      </c>
      <c r="BK105" s="337">
        <f>SUMIFS(PBC_BALANCE_SHEET[AccountBalance], PBC_BALANCE_SHEET[Id],$L105,PBC_BALANCE_SHEET[Date],BK$5)</f>
        <v>-1387493</v>
      </c>
      <c r="BL105" s="337">
        <f>SUMIFS(PBC_BALANCE_SHEET[AccountBalance], PBC_BALANCE_SHEET[Id],$L105,PBC_BALANCE_SHEET[Date],BL$5)</f>
        <v>-1553482.5</v>
      </c>
      <c r="BM105" s="337">
        <f>SUMIFS(PBC_BALANCE_SHEET[AccountBalance], PBC_BALANCE_SHEET[Id],$L105,PBC_BALANCE_SHEET[Date],BM$5)</f>
        <v>-173214.91</v>
      </c>
      <c r="BN105" s="337">
        <f>SUMIFS(PBC_BALANCE_SHEET[AccountBalance], PBC_BALANCE_SHEET[Id],$L105,PBC_BALANCE_SHEET[Date],BN$5)</f>
        <v>-354015.57</v>
      </c>
      <c r="BO105" s="337">
        <f>SUMIFS(PBC_BALANCE_SHEET[AccountBalance], PBC_BALANCE_SHEET[Id],$L105,PBC_BALANCE_SHEET[Date],BO$5)</f>
        <v>-542782.23</v>
      </c>
      <c r="BP105" s="337">
        <f>SUMIFS(PBC_BALANCE_SHEET[AccountBalance], PBC_BALANCE_SHEET[Id],$L105,PBC_BALANCE_SHEET[Date],BP$5)</f>
        <v>-739911.89</v>
      </c>
      <c r="BQ105" s="337">
        <f>SUMIFS(PBC_BALANCE_SHEET[AccountBalance], PBC_BALANCE_SHEET[Id],$L105,PBC_BALANCE_SHEET[Date],BQ$5)</f>
        <v>-945825.55</v>
      </c>
      <c r="BR105" s="337">
        <f>SUMIFS(PBC_BALANCE_SHEET[AccountBalance], PBC_BALANCE_SHEET[Id],$L105,PBC_BALANCE_SHEET[Date],BR$5)</f>
        <v>-1153557.76</v>
      </c>
      <c r="BS105" s="337">
        <f>SUMIFS(PBC_BALANCE_SHEET[AccountBalance], PBC_BALANCE_SHEET[Id],$L105,PBC_BALANCE_SHEET[Date],BS$5)</f>
        <v>-1372671.81</v>
      </c>
      <c r="BT105" s="337">
        <f>SUMIFS(PBC_BALANCE_SHEET[AccountBalance], PBC_BALANCE_SHEET[Id],$L105,PBC_BALANCE_SHEET[Date],BT$5)</f>
        <v>-1608151.8</v>
      </c>
      <c r="BU105" s="337">
        <f>SUMIFS(PBC_BALANCE_SHEET[AccountBalance], PBC_BALANCE_SHEET[Id],$L105,PBC_BALANCE_SHEET[Date],BU$5)</f>
        <v>-1835806.01</v>
      </c>
      <c r="BV105" s="337">
        <f>SUMIFS(PBC_BALANCE_SHEET[AccountBalance], PBC_BALANCE_SHEET[Id],$L105,PBC_BALANCE_SHEET[Date],BV$5)</f>
        <v>-2082668.16</v>
      </c>
      <c r="BW105" s="337">
        <f>SUMIFS(PBC_BALANCE_SHEET[AccountBalance], PBC_BALANCE_SHEET[Id],$L105,PBC_BALANCE_SHEET[Date],BW$5)</f>
        <v>-2341848.65</v>
      </c>
      <c r="BX105" s="339" cm="1">
        <f t="array" ref="BX105">(IFERROR(SUM(_xlfn._xlws.FILTER(_xlfn._xlws.FILTER(dataSummaryPL,(ISNUMBER(MATCH(dataSummaryPLSections,{"Revenue","Other Income"},0)))),(startDates&gt;=BX$4)*(endDates&lt;=BX$5))),0)-IFERROR(SUM(_xlfn._xlws.FILTER(_xlfn._xlws.FILTER(dataSummaryPL,(ISNUMBER(MATCH(dataSummaryPLSections,{"COGS","Opex","Other Expenses"},0)))),(startDates&gt;=BX$4)*(endDates&lt;=BX$5))),0))</f>
        <v>-281870.09227272728</v>
      </c>
      <c r="BY105" s="339" cm="1">
        <f t="array" ref="BY105">(IFERROR(SUM(_xlfn._xlws.FILTER(_xlfn._xlws.FILTER(dataSummaryPL,(ISNUMBER(MATCH(dataSummaryPLSections,{"Revenue","Other Income"},0)))),(startDates&gt;=BY$4)*(endDates&lt;=BY$5))),0)-IFERROR(SUM(_xlfn._xlws.FILTER(_xlfn._xlws.FILTER(dataSummaryPL,(ISNUMBER(MATCH(dataSummaryPLSections,{"COGS","Opex","Other Expenses"},0)))),(startDates&gt;=BY$4)*(endDates&lt;=BY$5))),0))</f>
        <v>-224950.03602817957</v>
      </c>
      <c r="BZ105" s="339" cm="1">
        <f t="array" ref="BZ105">(IFERROR(SUM(_xlfn._xlws.FILTER(_xlfn._xlws.FILTER(dataSummaryPL,(ISNUMBER(MATCH(dataSummaryPLSections,{"Revenue","Other Income"},0)))),(startDates&gt;=BZ$4)*(endDates&lt;=BZ$5))),0)-IFERROR(SUM(_xlfn._xlws.FILTER(_xlfn._xlws.FILTER(dataSummaryPL,(ISNUMBER(MATCH(dataSummaryPLSections,{"COGS","Opex","Other Expenses"},0)))),(startDates&gt;=BZ$4)*(endDates&lt;=BZ$5))),0))</f>
        <v>-190478.12569013389</v>
      </c>
      <c r="CA105" s="339" cm="1">
        <f t="array" ref="CA105">(IFERROR(SUM(_xlfn._xlws.FILTER(_xlfn._xlws.FILTER(dataSummaryPL,(ISNUMBER(MATCH(dataSummaryPLSections,{"Revenue","Other Income"},0)))),(startDates&gt;=CA$4)*(endDates&lt;=CA$5))),0)-IFERROR(SUM(_xlfn._xlws.FILTER(_xlfn._xlws.FILTER(dataSummaryPL,(ISNUMBER(MATCH(dataSummaryPLSections,{"COGS","Opex","Other Expenses"},0)))),(startDates&gt;=CA$4)*(endDates&lt;=CA$5))),0))</f>
        <v>-195136.6721099643</v>
      </c>
      <c r="CB105" s="339" cm="1">
        <f t="array" ref="CB105">(IFERROR(SUM(_xlfn._xlws.FILTER(_xlfn._xlws.FILTER(dataSummaryPL,(ISNUMBER(MATCH(dataSummaryPLSections,{"Revenue","Other Income"},0)))),(startDates&gt;=CB$4)*(endDates&lt;=CB$5))),0)-IFERROR(SUM(_xlfn._xlws.FILTER(_xlfn._xlws.FILTER(dataSummaryPL,(ISNUMBER(MATCH(dataSummaryPLSections,{"COGS","Opex","Other Expenses"},0)))),(startDates&gt;=CB$4)*(endDates&lt;=CB$5))),0))</f>
        <v>-222874.80513351597</v>
      </c>
      <c r="CC105" s="339" cm="1">
        <f t="array" ref="CC105">(IFERROR(SUM(_xlfn._xlws.FILTER(_xlfn._xlws.FILTER(dataSummaryPL,(ISNUMBER(MATCH(dataSummaryPLSections,{"Revenue","Other Income"},0)))),(startDates&gt;=CC$4)*(endDates&lt;=CC$5))),0)-IFERROR(SUM(_xlfn._xlws.FILTER(_xlfn._xlws.FILTER(dataSummaryPL,(ISNUMBER(MATCH(dataSummaryPLSections,{"COGS","Opex","Other Expenses"},0)))),(startDates&gt;=CC$4)*(endDates&lt;=CC$5))),0))</f>
        <v>-226364.12775811547</v>
      </c>
      <c r="CD105" s="339" cm="1">
        <f t="array" ref="CD105">(IFERROR(SUM(_xlfn._xlws.FILTER(_xlfn._xlws.FILTER(dataSummaryPL,(ISNUMBER(MATCH(dataSummaryPLSections,{"Revenue","Other Income"},0)))),(startDates&gt;=CD$4)*(endDates&lt;=CD$5))),0)-IFERROR(SUM(_xlfn._xlws.FILTER(_xlfn._xlws.FILTER(dataSummaryPL,(ISNUMBER(MATCH(dataSummaryPLSections,{"COGS","Opex","Other Expenses"},0)))),(startDates&gt;=CD$4)*(endDates&lt;=CD$5))),0))</f>
        <v>-231434.78192156955</v>
      </c>
      <c r="CE105" s="339" cm="1">
        <f t="array" ref="CE105">(IFERROR(SUM(_xlfn._xlws.FILTER(_xlfn._xlws.FILTER(dataSummaryPL,(ISNUMBER(MATCH(dataSummaryPLSections,{"Revenue","Other Income"},0)))),(startDates&gt;=CE$4)*(endDates&lt;=CE$5))),0)-IFERROR(SUM(_xlfn._xlws.FILTER(_xlfn._xlws.FILTER(dataSummaryPL,(ISNUMBER(MATCH(dataSummaryPLSections,{"COGS","Opex","Other Expenses"},0)))),(startDates&gt;=CE$4)*(endDates&lt;=CE$5))),0))</f>
        <v>-239175.14046604885</v>
      </c>
      <c r="CF105" s="339" cm="1">
        <f t="array" ref="CF105">(IFERROR(SUM(_xlfn._xlws.FILTER(_xlfn._xlws.FILTER(dataSummaryPL,(ISNUMBER(MATCH(dataSummaryPLSections,{"Revenue","Other Income"},0)))),(startDates&gt;=CF$4)*(endDates&lt;=CF$5))),0)-IFERROR(SUM(_xlfn._xlws.FILTER(_xlfn._xlws.FILTER(dataSummaryPL,(ISNUMBER(MATCH(dataSummaryPLSections,{"COGS","Opex","Other Expenses"},0)))),(startDates&gt;=CF$4)*(endDates&lt;=CF$5))),0))</f>
        <v>-242999.31608914887</v>
      </c>
      <c r="CG105" s="339" cm="1">
        <f t="array" ref="CG105">(IFERROR(SUM(_xlfn._xlws.FILTER(_xlfn._xlws.FILTER(dataSummaryPL,(ISNUMBER(MATCH(dataSummaryPLSections,{"Revenue","Other Income"},0)))),(startDates&gt;=CG$4)*(endDates&lt;=CG$5))),0)-IFERROR(SUM(_xlfn._xlws.FILTER(_xlfn._xlws.FILTER(dataSummaryPL,(ISNUMBER(MATCH(dataSummaryPLSections,{"COGS","Opex","Other Expenses"},0)))),(startDates&gt;=CG$4)*(endDates&lt;=CG$5))),0))</f>
        <v>-246653.02396238543</v>
      </c>
      <c r="CH105" s="339" cm="1">
        <f t="array" ref="CH105">(IFERROR(SUM(_xlfn._xlws.FILTER(_xlfn._xlws.FILTER(dataSummaryPL,(ISNUMBER(MATCH(dataSummaryPLSections,{"Revenue","Other Income"},0)))),(startDates&gt;=CH$4)*(endDates&lt;=CH$5))),0)-IFERROR(SUM(_xlfn._xlws.FILTER(_xlfn._xlws.FILTER(dataSummaryPL,(ISNUMBER(MATCH(dataSummaryPLSections,{"COGS","Opex","Other Expenses"},0)))),(startDates&gt;=CH$4)*(endDates&lt;=CH$5))),0))</f>
        <v>-250115.95194645505</v>
      </c>
      <c r="CI105" s="339" cm="1">
        <f t="array" ref="CI105">(IFERROR(SUM(_xlfn._xlws.FILTER(_xlfn._xlws.FILTER(dataSummaryPL,(ISNUMBER(MATCH(dataSummaryPLSections,{"Revenue","Other Income"},0)))),(startDates&gt;=CI$4)*(endDates&lt;=CI$5))),0)-IFERROR(SUM(_xlfn._xlws.FILTER(_xlfn._xlws.FILTER(dataSummaryPL,(ISNUMBER(MATCH(dataSummaryPLSections,{"COGS","Opex","Other Expenses"},0)))),(startDates&gt;=CI$4)*(endDates&lt;=CI$5))),0))</f>
        <v>-253468.68181665597</v>
      </c>
      <c r="CJ105" s="339" cm="1">
        <f t="array" ref="CJ105">(IFERROR(SUM(_xlfn._xlws.FILTER(_xlfn._xlws.FILTER(dataSummaryPL,(ISNUMBER(MATCH(dataSummaryPLSections,{"Revenue","Other Income"},0)))),(startDates&gt;=CJ$4)*(endDates&lt;=CJ$5))),0)-IFERROR(SUM(_xlfn._xlws.FILTER(_xlfn._xlws.FILTER(dataSummaryPL,(ISNUMBER(MATCH(dataSummaryPLSections,{"COGS","Opex","Other Expenses"},0)))),(startDates&gt;=CJ$4)*(endDates&lt;=CJ$5))),0))</f>
        <v>-273834.3328339202</v>
      </c>
    </row>
    <row r="106" spans="1:88" ht="14.45" customHeight="1" outlineLevel="2">
      <c r="D106" s="336" t="s">
        <v>327</v>
      </c>
      <c r="E106" s="280" t="s">
        <v>358</v>
      </c>
      <c r="F106" s="279"/>
      <c r="G106" s="279"/>
      <c r="H106" s="277" t="str">
        <f>IFERROR(INDEX(PBC_ACCOUNT_LIST[Drivers Section],MATCH(Drivers!L106,PBC_ACCOUNT_LIST[Id],0)),"")</f>
        <v>Owners Equity</v>
      </c>
      <c r="I106" s="277" t="str">
        <f>IFERROR(INDEX(PBC_ACCOUNT_LIST[Summary Grouping],MATCH(Drivers!L106,PBC_ACCOUNT_LIST[Id],0)),"")</f>
        <v>Retained Earnings</v>
      </c>
      <c r="J106" s="277" t="str">
        <f>IFERROR(INDEX(PBC_ACCOUNT_LIST[Cash Flow Section],MATCH(Drivers!L106,PBC_ACCOUNT_LIST[Id],0)),"")</f>
        <v>Cash From Financing Activities</v>
      </c>
      <c r="K106" s="278" t="s">
        <v>106</v>
      </c>
      <c r="L106" s="277">
        <v>59</v>
      </c>
      <c r="M106" s="276"/>
      <c r="P106" s="334">
        <f t="shared" si="94"/>
        <v>0</v>
      </c>
      <c r="Q106" s="334">
        <f t="shared" si="94"/>
        <v>0</v>
      </c>
      <c r="R106" s="334">
        <f t="shared" si="94"/>
        <v>0</v>
      </c>
      <c r="S106" s="334">
        <f t="shared" si="94"/>
        <v>0</v>
      </c>
      <c r="T106" s="334"/>
      <c r="U106" s="334"/>
      <c r="V106" s="337">
        <f t="shared" si="95"/>
        <v>0</v>
      </c>
      <c r="W106" s="337">
        <f t="shared" si="95"/>
        <v>0</v>
      </c>
      <c r="X106" s="337">
        <f t="shared" si="95"/>
        <v>0</v>
      </c>
      <c r="Y106" s="337">
        <f t="shared" si="95"/>
        <v>0</v>
      </c>
      <c r="Z106" s="337">
        <f t="shared" si="95"/>
        <v>0</v>
      </c>
      <c r="AA106" s="337">
        <f t="shared" si="95"/>
        <v>0</v>
      </c>
      <c r="AB106" s="337">
        <f t="shared" si="95"/>
        <v>0</v>
      </c>
      <c r="AC106" s="337">
        <f t="shared" si="95"/>
        <v>0</v>
      </c>
      <c r="AD106" s="337">
        <f t="shared" si="95"/>
        <v>0</v>
      </c>
      <c r="AE106" s="337">
        <f t="shared" si="95"/>
        <v>0</v>
      </c>
      <c r="AF106" s="337">
        <f t="shared" si="95"/>
        <v>0</v>
      </c>
      <c r="AG106" s="337">
        <f t="shared" si="95"/>
        <v>0</v>
      </c>
      <c r="AH106" s="337">
        <f t="shared" si="95"/>
        <v>0</v>
      </c>
      <c r="AI106" s="337">
        <f t="shared" si="95"/>
        <v>0</v>
      </c>
      <c r="AJ106" s="337">
        <f t="shared" si="95"/>
        <v>0</v>
      </c>
      <c r="AK106" s="337">
        <f t="shared" si="95"/>
        <v>0</v>
      </c>
      <c r="AL106" s="337"/>
      <c r="AM106" s="334"/>
      <c r="AN106" s="337">
        <f>SUMIFS(PBC_BALANCE_SHEET[AccountBalance], PBC_BALANCE_SHEET[Id],$L106,PBC_BALANCE_SHEET[Date],AN$5)</f>
        <v>0</v>
      </c>
      <c r="AO106" s="337">
        <f>SUMIFS(PBC_BALANCE_SHEET[AccountBalance], PBC_BALANCE_SHEET[Id],$L106,PBC_BALANCE_SHEET[Date],AO$5)</f>
        <v>0</v>
      </c>
      <c r="AP106" s="337">
        <f>SUMIFS(PBC_BALANCE_SHEET[AccountBalance], PBC_BALANCE_SHEET[Id],$L106,PBC_BALANCE_SHEET[Date],AP$5)</f>
        <v>0</v>
      </c>
      <c r="AQ106" s="337">
        <f>SUMIFS(PBC_BALANCE_SHEET[AccountBalance], PBC_BALANCE_SHEET[Id],$L106,PBC_BALANCE_SHEET[Date],AQ$5)</f>
        <v>0</v>
      </c>
      <c r="AR106" s="337">
        <f>SUMIFS(PBC_BALANCE_SHEET[AccountBalance], PBC_BALANCE_SHEET[Id],$L106,PBC_BALANCE_SHEET[Date],AR$5)</f>
        <v>0</v>
      </c>
      <c r="AS106" s="337">
        <f>SUMIFS(PBC_BALANCE_SHEET[AccountBalance], PBC_BALANCE_SHEET[Id],$L106,PBC_BALANCE_SHEET[Date],AS$5)</f>
        <v>0</v>
      </c>
      <c r="AT106" s="337">
        <f>SUMIFS(PBC_BALANCE_SHEET[AccountBalance], PBC_BALANCE_SHEET[Id],$L106,PBC_BALANCE_SHEET[Date],AT$5)</f>
        <v>0</v>
      </c>
      <c r="AU106" s="337">
        <f>SUMIFS(PBC_BALANCE_SHEET[AccountBalance], PBC_BALANCE_SHEET[Id],$L106,PBC_BALANCE_SHEET[Date],AU$5)</f>
        <v>0</v>
      </c>
      <c r="AV106" s="337">
        <f>SUMIFS(PBC_BALANCE_SHEET[AccountBalance], PBC_BALANCE_SHEET[Id],$L106,PBC_BALANCE_SHEET[Date],AV$5)</f>
        <v>0</v>
      </c>
      <c r="AW106" s="337">
        <f>SUMIFS(PBC_BALANCE_SHEET[AccountBalance], PBC_BALANCE_SHEET[Id],$L106,PBC_BALANCE_SHEET[Date],AW$5)</f>
        <v>0</v>
      </c>
      <c r="AX106" s="337">
        <f>SUMIFS(PBC_BALANCE_SHEET[AccountBalance], PBC_BALANCE_SHEET[Id],$L106,PBC_BALANCE_SHEET[Date],AX$5)</f>
        <v>0</v>
      </c>
      <c r="AY106" s="337">
        <f>SUMIFS(PBC_BALANCE_SHEET[AccountBalance], PBC_BALANCE_SHEET[Id],$L106,PBC_BALANCE_SHEET[Date],AY$5)</f>
        <v>0</v>
      </c>
      <c r="AZ106" s="337">
        <f>SUMIFS(PBC_BALANCE_SHEET[AccountBalance], PBC_BALANCE_SHEET[Id],$L106,PBC_BALANCE_SHEET[Date],AZ$5)</f>
        <v>0</v>
      </c>
      <c r="BA106" s="337">
        <f>SUMIFS(PBC_BALANCE_SHEET[AccountBalance], PBC_BALANCE_SHEET[Id],$L106,PBC_BALANCE_SHEET[Date],BA$5)</f>
        <v>0</v>
      </c>
      <c r="BB106" s="337">
        <f>SUMIFS(PBC_BALANCE_SHEET[AccountBalance], PBC_BALANCE_SHEET[Id],$L106,PBC_BALANCE_SHEET[Date],BB$5)</f>
        <v>0</v>
      </c>
      <c r="BC106" s="337">
        <f>SUMIFS(PBC_BALANCE_SHEET[AccountBalance], PBC_BALANCE_SHEET[Id],$L106,PBC_BALANCE_SHEET[Date],BC$5)</f>
        <v>0</v>
      </c>
      <c r="BD106" s="337">
        <f>SUMIFS(PBC_BALANCE_SHEET[AccountBalance], PBC_BALANCE_SHEET[Id],$L106,PBC_BALANCE_SHEET[Date],BD$5)</f>
        <v>0</v>
      </c>
      <c r="BE106" s="337">
        <f>SUMIFS(PBC_BALANCE_SHEET[AccountBalance], PBC_BALANCE_SHEET[Id],$L106,PBC_BALANCE_SHEET[Date],BE$5)</f>
        <v>0</v>
      </c>
      <c r="BF106" s="337">
        <f>SUMIFS(PBC_BALANCE_SHEET[AccountBalance], PBC_BALANCE_SHEET[Id],$L106,PBC_BALANCE_SHEET[Date],BF$5)</f>
        <v>0</v>
      </c>
      <c r="BG106" s="337">
        <f>SUMIFS(PBC_BALANCE_SHEET[AccountBalance], PBC_BALANCE_SHEET[Id],$L106,PBC_BALANCE_SHEET[Date],BG$5)</f>
        <v>0</v>
      </c>
      <c r="BH106" s="337">
        <f>SUMIFS(PBC_BALANCE_SHEET[AccountBalance], PBC_BALANCE_SHEET[Id],$L106,PBC_BALANCE_SHEET[Date],BH$5)</f>
        <v>0</v>
      </c>
      <c r="BI106" s="337">
        <f>SUMIFS(PBC_BALANCE_SHEET[AccountBalance], PBC_BALANCE_SHEET[Id],$L106,PBC_BALANCE_SHEET[Date],BI$5)</f>
        <v>0</v>
      </c>
      <c r="BJ106" s="337">
        <f>SUMIFS(PBC_BALANCE_SHEET[AccountBalance], PBC_BALANCE_SHEET[Id],$L106,PBC_BALANCE_SHEET[Date],BJ$5)</f>
        <v>0</v>
      </c>
      <c r="BK106" s="337">
        <f>SUMIFS(PBC_BALANCE_SHEET[AccountBalance], PBC_BALANCE_SHEET[Id],$L106,PBC_BALANCE_SHEET[Date],BK$5)</f>
        <v>0</v>
      </c>
      <c r="BL106" s="337">
        <f>SUMIFS(PBC_BALANCE_SHEET[AccountBalance], PBC_BALANCE_SHEET[Id],$L106,PBC_BALANCE_SHEET[Date],BL$5)</f>
        <v>0</v>
      </c>
      <c r="BM106" s="337">
        <f>SUMIFS(PBC_BALANCE_SHEET[AccountBalance], PBC_BALANCE_SHEET[Id],$L106,PBC_BALANCE_SHEET[Date],BM$5)</f>
        <v>0</v>
      </c>
      <c r="BN106" s="337">
        <f>SUMIFS(PBC_BALANCE_SHEET[AccountBalance], PBC_BALANCE_SHEET[Id],$L106,PBC_BALANCE_SHEET[Date],BN$5)</f>
        <v>0</v>
      </c>
      <c r="BO106" s="337">
        <f>SUMIFS(PBC_BALANCE_SHEET[AccountBalance], PBC_BALANCE_SHEET[Id],$L106,PBC_BALANCE_SHEET[Date],BO$5)</f>
        <v>0</v>
      </c>
      <c r="BP106" s="337">
        <f>SUMIFS(PBC_BALANCE_SHEET[AccountBalance], PBC_BALANCE_SHEET[Id],$L106,PBC_BALANCE_SHEET[Date],BP$5)</f>
        <v>0</v>
      </c>
      <c r="BQ106" s="337">
        <f>SUMIFS(PBC_BALANCE_SHEET[AccountBalance], PBC_BALANCE_SHEET[Id],$L106,PBC_BALANCE_SHEET[Date],BQ$5)</f>
        <v>0</v>
      </c>
      <c r="BR106" s="337">
        <f>SUMIFS(PBC_BALANCE_SHEET[AccountBalance], PBC_BALANCE_SHEET[Id],$L106,PBC_BALANCE_SHEET[Date],BR$5)</f>
        <v>0</v>
      </c>
      <c r="BS106" s="337">
        <f>SUMIFS(PBC_BALANCE_SHEET[AccountBalance], PBC_BALANCE_SHEET[Id],$L106,PBC_BALANCE_SHEET[Date],BS$5)</f>
        <v>0</v>
      </c>
      <c r="BT106" s="337">
        <f>SUMIFS(PBC_BALANCE_SHEET[AccountBalance], PBC_BALANCE_SHEET[Id],$L106,PBC_BALANCE_SHEET[Date],BT$5)</f>
        <v>0</v>
      </c>
      <c r="BU106" s="337">
        <f>SUMIFS(PBC_BALANCE_SHEET[AccountBalance], PBC_BALANCE_SHEET[Id],$L106,PBC_BALANCE_SHEET[Date],BU$5)</f>
        <v>0</v>
      </c>
      <c r="BV106" s="337">
        <f>SUMIFS(PBC_BALANCE_SHEET[AccountBalance], PBC_BALANCE_SHEET[Id],$L106,PBC_BALANCE_SHEET[Date],BV$5)</f>
        <v>0</v>
      </c>
      <c r="BW106" s="337">
        <f>SUMIFS(PBC_BALANCE_SHEET[AccountBalance], PBC_BALANCE_SHEET[Id],$L106,PBC_BALANCE_SHEET[Date],BW$5)</f>
        <v>0</v>
      </c>
      <c r="BX106" s="335"/>
      <c r="BY106" s="335"/>
      <c r="BZ106" s="335"/>
      <c r="CA106" s="335"/>
      <c r="CB106" s="335"/>
      <c r="CC106" s="335"/>
      <c r="CD106" s="335"/>
      <c r="CE106" s="335"/>
      <c r="CF106" s="335"/>
      <c r="CG106" s="335"/>
      <c r="CH106" s="335"/>
      <c r="CI106" s="335"/>
      <c r="CJ106" s="335"/>
    </row>
    <row r="107" spans="1:88" ht="18.75" customHeight="1">
      <c r="E107" s="275"/>
      <c r="H107" s="275"/>
      <c r="I107" s="275"/>
      <c r="J107" s="275"/>
      <c r="K107" s="275"/>
      <c r="L107" s="275"/>
    </row>
    <row r="108" spans="1:88" ht="15.75" collapsed="1">
      <c r="B108" s="274" t="s">
        <v>155</v>
      </c>
      <c r="O108" s="272"/>
      <c r="P108" s="272"/>
      <c r="Q108" s="272"/>
      <c r="R108" s="272"/>
      <c r="S108" s="272"/>
      <c r="T108" s="272"/>
      <c r="U108" s="272"/>
      <c r="AM108" s="272"/>
    </row>
    <row r="109" spans="1:88" ht="15.6" hidden="1" customHeight="1" outlineLevel="3">
      <c r="B109" s="273" t="s">
        <v>98</v>
      </c>
      <c r="H109" s="273" t="s">
        <v>98</v>
      </c>
      <c r="I109" s="273"/>
      <c r="J109" s="273"/>
      <c r="K109" s="273"/>
      <c r="L109" s="273"/>
      <c r="O109" s="272"/>
      <c r="P109" s="272"/>
      <c r="Q109" s="272"/>
      <c r="R109" s="272"/>
      <c r="S109" s="272"/>
      <c r="T109" s="272"/>
      <c r="U109" s="272"/>
      <c r="AM109" s="272"/>
      <c r="AN109" s="271" cm="1">
        <f t="array" ref="AN109">IF(AN$5&lt;=LatestMonthOfActuals,SUMIFS(AN$10:AN$69,PLSections,$H109)-SUM(SUMIFS(PBC_PROFIT_AND_LOSS[AccountBalance],PBC_PROFIT_AND_LOSS[Id],_xlfn._xlws.FILTER(PBC_ACCOUNT_LIST[Id],PBC_ACCOUNT_LIST[Drivers Section]=$H109),PBC_PROFIT_AND_LOSS[Date],AN$5)),0)</f>
        <v>0</v>
      </c>
      <c r="AO109" s="271" cm="1">
        <f t="array" ref="AO109">IF(AO$5&lt;=LatestMonthOfActuals,SUMIFS(AO$10:AO$69,PLSections,$H109)-SUM(SUMIFS(PBC_PROFIT_AND_LOSS[AccountBalance],PBC_PROFIT_AND_LOSS[Id],_xlfn._xlws.FILTER(PBC_ACCOUNT_LIST[Id],PBC_ACCOUNT_LIST[Drivers Section]=$H109),PBC_PROFIT_AND_LOSS[Date],AO$5)),0)</f>
        <v>0</v>
      </c>
      <c r="AP109" s="271" cm="1">
        <f t="array" ref="AP109">IF(AP$5&lt;=LatestMonthOfActuals,SUMIFS(AP$10:AP$69,PLSections,$H109)-SUM(SUMIFS(PBC_PROFIT_AND_LOSS[AccountBalance],PBC_PROFIT_AND_LOSS[Id],_xlfn._xlws.FILTER(PBC_ACCOUNT_LIST[Id],PBC_ACCOUNT_LIST[Drivers Section]=$H109),PBC_PROFIT_AND_LOSS[Date],AP$5)),0)</f>
        <v>0</v>
      </c>
      <c r="AQ109" s="271" cm="1">
        <f t="array" ref="AQ109">IF(AQ$5&lt;=LatestMonthOfActuals,SUMIFS(AQ$10:AQ$69,PLSections,$H109)-SUM(SUMIFS(PBC_PROFIT_AND_LOSS[AccountBalance],PBC_PROFIT_AND_LOSS[Id],_xlfn._xlws.FILTER(PBC_ACCOUNT_LIST[Id],PBC_ACCOUNT_LIST[Drivers Section]=$H109),PBC_PROFIT_AND_LOSS[Date],AQ$5)),0)</f>
        <v>0</v>
      </c>
      <c r="AR109" s="271" cm="1">
        <f t="array" ref="AR109">IF(AR$5&lt;=LatestMonthOfActuals,SUMIFS(AR$10:AR$69,PLSections,$H109)-SUM(SUMIFS(PBC_PROFIT_AND_LOSS[AccountBalance],PBC_PROFIT_AND_LOSS[Id],_xlfn._xlws.FILTER(PBC_ACCOUNT_LIST[Id],PBC_ACCOUNT_LIST[Drivers Section]=$H109),PBC_PROFIT_AND_LOSS[Date],AR$5)),0)</f>
        <v>0</v>
      </c>
      <c r="AS109" s="271" cm="1">
        <f t="array" ref="AS109">IF(AS$5&lt;=LatestMonthOfActuals,SUMIFS(AS$10:AS$69,PLSections,$H109)-SUM(SUMIFS(PBC_PROFIT_AND_LOSS[AccountBalance],PBC_PROFIT_AND_LOSS[Id],_xlfn._xlws.FILTER(PBC_ACCOUNT_LIST[Id],PBC_ACCOUNT_LIST[Drivers Section]=$H109),PBC_PROFIT_AND_LOSS[Date],AS$5)),0)</f>
        <v>0</v>
      </c>
      <c r="AT109" s="271" cm="1">
        <f t="array" ref="AT109">IF(AT$5&lt;=LatestMonthOfActuals,SUMIFS(AT$10:AT$69,PLSections,$H109)-SUM(SUMIFS(PBC_PROFIT_AND_LOSS[AccountBalance],PBC_PROFIT_AND_LOSS[Id],_xlfn._xlws.FILTER(PBC_ACCOUNT_LIST[Id],PBC_ACCOUNT_LIST[Drivers Section]=$H109),PBC_PROFIT_AND_LOSS[Date],AT$5)),0)</f>
        <v>0</v>
      </c>
      <c r="AU109" s="271" cm="1">
        <f t="array" ref="AU109">IF(AU$5&lt;=LatestMonthOfActuals,SUMIFS(AU$10:AU$69,PLSections,$H109)-SUM(SUMIFS(PBC_PROFIT_AND_LOSS[AccountBalance],PBC_PROFIT_AND_LOSS[Id],_xlfn._xlws.FILTER(PBC_ACCOUNT_LIST[Id],PBC_ACCOUNT_LIST[Drivers Section]=$H109),PBC_PROFIT_AND_LOSS[Date],AU$5)),0)</f>
        <v>0</v>
      </c>
      <c r="AV109" s="271" cm="1">
        <f t="array" ref="AV109">IF(AV$5&lt;=LatestMonthOfActuals,SUMIFS(AV$10:AV$69,PLSections,$H109)-SUM(SUMIFS(PBC_PROFIT_AND_LOSS[AccountBalance],PBC_PROFIT_AND_LOSS[Id],_xlfn._xlws.FILTER(PBC_ACCOUNT_LIST[Id],PBC_ACCOUNT_LIST[Drivers Section]=$H109),PBC_PROFIT_AND_LOSS[Date],AV$5)),0)</f>
        <v>0</v>
      </c>
      <c r="AW109" s="271" cm="1">
        <f t="array" ref="AW109">IF(AW$5&lt;=LatestMonthOfActuals,SUMIFS(AW$10:AW$69,PLSections,$H109)-SUM(SUMIFS(PBC_PROFIT_AND_LOSS[AccountBalance],PBC_PROFIT_AND_LOSS[Id],_xlfn._xlws.FILTER(PBC_ACCOUNT_LIST[Id],PBC_ACCOUNT_LIST[Drivers Section]=$H109),PBC_PROFIT_AND_LOSS[Date],AW$5)),0)</f>
        <v>0</v>
      </c>
      <c r="AX109" s="271" cm="1">
        <f t="array" ref="AX109">IF(AX$5&lt;=LatestMonthOfActuals,SUMIFS(AX$10:AX$69,PLSections,$H109)-SUM(SUMIFS(PBC_PROFIT_AND_LOSS[AccountBalance],PBC_PROFIT_AND_LOSS[Id],_xlfn._xlws.FILTER(PBC_ACCOUNT_LIST[Id],PBC_ACCOUNT_LIST[Drivers Section]=$H109),PBC_PROFIT_AND_LOSS[Date],AX$5)),0)</f>
        <v>0</v>
      </c>
      <c r="AY109" s="271" cm="1">
        <f t="array" ref="AY109">IF(AY$5&lt;=LatestMonthOfActuals,SUMIFS(AY$10:AY$69,PLSections,$H109)-SUM(SUMIFS(PBC_PROFIT_AND_LOSS[AccountBalance],PBC_PROFIT_AND_LOSS[Id],_xlfn._xlws.FILTER(PBC_ACCOUNT_LIST[Id],PBC_ACCOUNT_LIST[Drivers Section]=$H109),PBC_PROFIT_AND_LOSS[Date],AY$5)),0)</f>
        <v>0</v>
      </c>
      <c r="AZ109" s="271" cm="1">
        <f t="array" ref="AZ109">IF(AZ$5&lt;=LatestMonthOfActuals,SUMIFS(AZ$10:AZ$69,PLSections,$H109)-SUM(SUMIFS(PBC_PROFIT_AND_LOSS[AccountBalance],PBC_PROFIT_AND_LOSS[Id],_xlfn._xlws.FILTER(PBC_ACCOUNT_LIST[Id],PBC_ACCOUNT_LIST[Drivers Section]=$H109),PBC_PROFIT_AND_LOSS[Date],AZ$5)),0)</f>
        <v>0</v>
      </c>
      <c r="BA109" s="271" cm="1">
        <f t="array" ref="BA109">IF(BA$5&lt;=LatestMonthOfActuals,SUMIFS(BA$10:BA$69,PLSections,$H109)-SUM(SUMIFS(PBC_PROFIT_AND_LOSS[AccountBalance],PBC_PROFIT_AND_LOSS[Id],_xlfn._xlws.FILTER(PBC_ACCOUNT_LIST[Id],PBC_ACCOUNT_LIST[Drivers Section]=$H109),PBC_PROFIT_AND_LOSS[Date],BA$5)),0)</f>
        <v>0</v>
      </c>
      <c r="BB109" s="271" cm="1">
        <f t="array" ref="BB109">IF(BB$5&lt;=LatestMonthOfActuals,SUMIFS(BB$10:BB$69,PLSections,$H109)-SUM(SUMIFS(PBC_PROFIT_AND_LOSS[AccountBalance],PBC_PROFIT_AND_LOSS[Id],_xlfn._xlws.FILTER(PBC_ACCOUNT_LIST[Id],PBC_ACCOUNT_LIST[Drivers Section]=$H109),PBC_PROFIT_AND_LOSS[Date],BB$5)),0)</f>
        <v>0</v>
      </c>
      <c r="BC109" s="271" cm="1">
        <f t="array" ref="BC109">IF(BC$5&lt;=LatestMonthOfActuals,SUMIFS(BC$10:BC$69,PLSections,$H109)-SUM(SUMIFS(PBC_PROFIT_AND_LOSS[AccountBalance],PBC_PROFIT_AND_LOSS[Id],_xlfn._xlws.FILTER(PBC_ACCOUNT_LIST[Id],PBC_ACCOUNT_LIST[Drivers Section]=$H109),PBC_PROFIT_AND_LOSS[Date],BC$5)),0)</f>
        <v>0</v>
      </c>
      <c r="BD109" s="271" cm="1">
        <f t="array" ref="BD109">IF(BD$5&lt;=LatestMonthOfActuals,SUMIFS(BD$10:BD$69,PLSections,$H109)-SUM(SUMIFS(PBC_PROFIT_AND_LOSS[AccountBalance],PBC_PROFIT_AND_LOSS[Id],_xlfn._xlws.FILTER(PBC_ACCOUNT_LIST[Id],PBC_ACCOUNT_LIST[Drivers Section]=$H109),PBC_PROFIT_AND_LOSS[Date],BD$5)),0)</f>
        <v>0</v>
      </c>
      <c r="BE109" s="271" cm="1">
        <f t="array" ref="BE109">IF(BE$5&lt;=LatestMonthOfActuals,SUMIFS(BE$10:BE$69,PLSections,$H109)-SUM(SUMIFS(PBC_PROFIT_AND_LOSS[AccountBalance],PBC_PROFIT_AND_LOSS[Id],_xlfn._xlws.FILTER(PBC_ACCOUNT_LIST[Id],PBC_ACCOUNT_LIST[Drivers Section]=$H109),PBC_PROFIT_AND_LOSS[Date],BE$5)),0)</f>
        <v>0</v>
      </c>
      <c r="BF109" s="271" cm="1">
        <f t="array" ref="BF109">IF(BF$5&lt;=LatestMonthOfActuals,SUMIFS(BF$10:BF$69,PLSections,$H109)-SUM(SUMIFS(PBC_PROFIT_AND_LOSS[AccountBalance],PBC_PROFIT_AND_LOSS[Id],_xlfn._xlws.FILTER(PBC_ACCOUNT_LIST[Id],PBC_ACCOUNT_LIST[Drivers Section]=$H109),PBC_PROFIT_AND_LOSS[Date],BF$5)),0)</f>
        <v>0</v>
      </c>
      <c r="BG109" s="271" cm="1">
        <f t="array" ref="BG109">IF(BG$5&lt;=LatestMonthOfActuals,SUMIFS(BG$10:BG$69,PLSections,$H109)-SUM(SUMIFS(PBC_PROFIT_AND_LOSS[AccountBalance],PBC_PROFIT_AND_LOSS[Id],_xlfn._xlws.FILTER(PBC_ACCOUNT_LIST[Id],PBC_ACCOUNT_LIST[Drivers Section]=$H109),PBC_PROFIT_AND_LOSS[Date],BG$5)),0)</f>
        <v>0</v>
      </c>
      <c r="BH109" s="271" cm="1">
        <f t="array" ref="BH109">IF(BH$5&lt;=LatestMonthOfActuals,SUMIFS(BH$10:BH$69,PLSections,$H109)-SUM(SUMIFS(PBC_PROFIT_AND_LOSS[AccountBalance],PBC_PROFIT_AND_LOSS[Id],_xlfn._xlws.FILTER(PBC_ACCOUNT_LIST[Id],PBC_ACCOUNT_LIST[Drivers Section]=$H109),PBC_PROFIT_AND_LOSS[Date],BH$5)),0)</f>
        <v>0</v>
      </c>
      <c r="BI109" s="271" cm="1">
        <f t="array" ref="BI109">IF(BI$5&lt;=LatestMonthOfActuals,SUMIFS(BI$10:BI$69,PLSections,$H109)-SUM(SUMIFS(PBC_PROFIT_AND_LOSS[AccountBalance],PBC_PROFIT_AND_LOSS[Id],_xlfn._xlws.FILTER(PBC_ACCOUNT_LIST[Id],PBC_ACCOUNT_LIST[Drivers Section]=$H109),PBC_PROFIT_AND_LOSS[Date],BI$5)),0)</f>
        <v>0</v>
      </c>
      <c r="BJ109" s="271" cm="1">
        <f t="array" ref="BJ109">IF(BJ$5&lt;=LatestMonthOfActuals,SUMIFS(BJ$10:BJ$69,PLSections,$H109)-SUM(SUMIFS(PBC_PROFIT_AND_LOSS[AccountBalance],PBC_PROFIT_AND_LOSS[Id],_xlfn._xlws.FILTER(PBC_ACCOUNT_LIST[Id],PBC_ACCOUNT_LIST[Drivers Section]=$H109),PBC_PROFIT_AND_LOSS[Date],BJ$5)),0)</f>
        <v>0</v>
      </c>
      <c r="BK109" s="271" cm="1">
        <f t="array" ref="BK109">IF(BK$5&lt;=LatestMonthOfActuals,SUMIFS(BK$10:BK$69,PLSections,$H109)-SUM(SUMIFS(PBC_PROFIT_AND_LOSS[AccountBalance],PBC_PROFIT_AND_LOSS[Id],_xlfn._xlws.FILTER(PBC_ACCOUNT_LIST[Id],PBC_ACCOUNT_LIST[Drivers Section]=$H109),PBC_PROFIT_AND_LOSS[Date],BK$5)),0)</f>
        <v>0</v>
      </c>
      <c r="BL109" s="271" cm="1">
        <f t="array" ref="BL109">IF(BL$5&lt;=LatestMonthOfActuals,SUMIFS(BL$10:BL$69,PLSections,$H109)-SUM(SUMIFS(PBC_PROFIT_AND_LOSS[AccountBalance],PBC_PROFIT_AND_LOSS[Id],_xlfn._xlws.FILTER(PBC_ACCOUNT_LIST[Id],PBC_ACCOUNT_LIST[Drivers Section]=$H109),PBC_PROFIT_AND_LOSS[Date],BL$5)),0)</f>
        <v>0</v>
      </c>
      <c r="BM109" s="271" cm="1">
        <f t="array" ref="BM109">IF(BM$5&lt;=LatestMonthOfActuals,SUMIFS(BM$10:BM$69,PLSections,$H109)-SUM(SUMIFS(PBC_PROFIT_AND_LOSS[AccountBalance],PBC_PROFIT_AND_LOSS[Id],_xlfn._xlws.FILTER(PBC_ACCOUNT_LIST[Id],PBC_ACCOUNT_LIST[Drivers Section]=$H109),PBC_PROFIT_AND_LOSS[Date],BM$5)),0)</f>
        <v>0</v>
      </c>
      <c r="BN109" s="271" cm="1">
        <f t="array" ref="BN109">IF(BN$5&lt;=LatestMonthOfActuals,SUMIFS(BN$10:BN$69,PLSections,$H109)-SUM(SUMIFS(PBC_PROFIT_AND_LOSS[AccountBalance],PBC_PROFIT_AND_LOSS[Id],_xlfn._xlws.FILTER(PBC_ACCOUNT_LIST[Id],PBC_ACCOUNT_LIST[Drivers Section]=$H109),PBC_PROFIT_AND_LOSS[Date],BN$5)),0)</f>
        <v>0</v>
      </c>
      <c r="BO109" s="271" cm="1">
        <f t="array" ref="BO109">IF(BO$5&lt;=LatestMonthOfActuals,SUMIFS(BO$10:BO$69,PLSections,$H109)-SUM(SUMIFS(PBC_PROFIT_AND_LOSS[AccountBalance],PBC_PROFIT_AND_LOSS[Id],_xlfn._xlws.FILTER(PBC_ACCOUNT_LIST[Id],PBC_ACCOUNT_LIST[Drivers Section]=$H109),PBC_PROFIT_AND_LOSS[Date],BO$5)),0)</f>
        <v>0</v>
      </c>
      <c r="BP109" s="271" cm="1">
        <f t="array" ref="BP109">IF(BP$5&lt;=LatestMonthOfActuals,SUMIFS(BP$10:BP$69,PLSections,$H109)-SUM(SUMIFS(PBC_PROFIT_AND_LOSS[AccountBalance],PBC_PROFIT_AND_LOSS[Id],_xlfn._xlws.FILTER(PBC_ACCOUNT_LIST[Id],PBC_ACCOUNT_LIST[Drivers Section]=$H109),PBC_PROFIT_AND_LOSS[Date],BP$5)),0)</f>
        <v>0</v>
      </c>
      <c r="BQ109" s="271" cm="1">
        <f t="array" ref="BQ109">IF(BQ$5&lt;=LatestMonthOfActuals,SUMIFS(BQ$10:BQ$69,PLSections,$H109)-SUM(SUMIFS(PBC_PROFIT_AND_LOSS[AccountBalance],PBC_PROFIT_AND_LOSS[Id],_xlfn._xlws.FILTER(PBC_ACCOUNT_LIST[Id],PBC_ACCOUNT_LIST[Drivers Section]=$H109),PBC_PROFIT_AND_LOSS[Date],BQ$5)),0)</f>
        <v>0</v>
      </c>
      <c r="BR109" s="271" cm="1">
        <f t="array" ref="BR109">IF(BR$5&lt;=LatestMonthOfActuals,SUMIFS(BR$10:BR$69,PLSections,$H109)-SUM(SUMIFS(PBC_PROFIT_AND_LOSS[AccountBalance],PBC_PROFIT_AND_LOSS[Id],_xlfn._xlws.FILTER(PBC_ACCOUNT_LIST[Id],PBC_ACCOUNT_LIST[Drivers Section]=$H109),PBC_PROFIT_AND_LOSS[Date],BR$5)),0)</f>
        <v>0</v>
      </c>
      <c r="BS109" s="271" cm="1">
        <f t="array" ref="BS109">IF(BS$5&lt;=LatestMonthOfActuals,SUMIFS(BS$10:BS$69,PLSections,$H109)-SUM(SUMIFS(PBC_PROFIT_AND_LOSS[AccountBalance],PBC_PROFIT_AND_LOSS[Id],_xlfn._xlws.FILTER(PBC_ACCOUNT_LIST[Id],PBC_ACCOUNT_LIST[Drivers Section]=$H109),PBC_PROFIT_AND_LOSS[Date],BS$5)),0)</f>
        <v>0</v>
      </c>
      <c r="BT109" s="271" cm="1">
        <f t="array" ref="BT109">IF(BT$5&lt;=LatestMonthOfActuals,SUMIFS(BT$10:BT$69,PLSections,$H109)-SUM(SUMIFS(PBC_PROFIT_AND_LOSS[AccountBalance],PBC_PROFIT_AND_LOSS[Id],_xlfn._xlws.FILTER(PBC_ACCOUNT_LIST[Id],PBC_ACCOUNT_LIST[Drivers Section]=$H109),PBC_PROFIT_AND_LOSS[Date],BT$5)),0)</f>
        <v>0</v>
      </c>
      <c r="BU109" s="271" cm="1">
        <f t="array" ref="BU109">IF(BU$5&lt;=LatestMonthOfActuals,SUMIFS(BU$10:BU$69,PLSections,$H109)-SUM(SUMIFS(PBC_PROFIT_AND_LOSS[AccountBalance],PBC_PROFIT_AND_LOSS[Id],_xlfn._xlws.FILTER(PBC_ACCOUNT_LIST[Id],PBC_ACCOUNT_LIST[Drivers Section]=$H109),PBC_PROFIT_AND_LOSS[Date],BU$5)),0)</f>
        <v>0</v>
      </c>
      <c r="BV109" s="271" cm="1">
        <f t="array" ref="BV109">IF(BV$5&lt;=LatestMonthOfActuals,SUMIFS(BV$10:BV$69,PLSections,$H109)-SUM(SUMIFS(PBC_PROFIT_AND_LOSS[AccountBalance],PBC_PROFIT_AND_LOSS[Id],_xlfn._xlws.FILTER(PBC_ACCOUNT_LIST[Id],PBC_ACCOUNT_LIST[Drivers Section]=$H109),PBC_PROFIT_AND_LOSS[Date],BV$5)),0)</f>
        <v>0</v>
      </c>
      <c r="BW109" s="271" cm="1">
        <f t="array" ref="BW109">IF(BW$5&lt;=LatestMonthOfActuals,SUMIFS(BW$10:BW$69,PLSections,$H109)-SUM(SUMIFS(PBC_PROFIT_AND_LOSS[AccountBalance],PBC_PROFIT_AND_LOSS[Id],_xlfn._xlws.FILTER(PBC_ACCOUNT_LIST[Id],PBC_ACCOUNT_LIST[Drivers Section]=$H109),PBC_PROFIT_AND_LOSS[Date],BW$5)),0)</f>
        <v>0</v>
      </c>
      <c r="BX109" s="271" cm="1">
        <f t="array" ref="BX109">IF(BX$5&lt;=LatestMonthOfActuals,SUMIFS(BX$10:BX$69,PLSections,$H109)-SUM(SUMIFS(PBC_PROFIT_AND_LOSS[AccountBalance],PBC_PROFIT_AND_LOSS[Id],_xlfn._xlws.FILTER(PBC_ACCOUNT_LIST[Id],PBC_ACCOUNT_LIST[Drivers Section]=$H109),PBC_PROFIT_AND_LOSS[Date],BX$5)),0)</f>
        <v>0</v>
      </c>
      <c r="BY109" s="271" cm="1">
        <f t="array" ref="BY109">IF(BY$5&lt;=LatestMonthOfActuals,SUMIFS(BY$10:BY$69,PLSections,$H109)-SUM(SUMIFS(PBC_PROFIT_AND_LOSS[AccountBalance],PBC_PROFIT_AND_LOSS[Id],_xlfn._xlws.FILTER(PBC_ACCOUNT_LIST[Id],PBC_ACCOUNT_LIST[Drivers Section]=$H109),PBC_PROFIT_AND_LOSS[Date],BY$5)),0)</f>
        <v>0</v>
      </c>
      <c r="BZ109" s="271" cm="1">
        <f t="array" ref="BZ109">IF(BZ$5&lt;=LatestMonthOfActuals,SUMIFS(BZ$10:BZ$69,PLSections,$H109)-SUM(SUMIFS(PBC_PROFIT_AND_LOSS[AccountBalance],PBC_PROFIT_AND_LOSS[Id],_xlfn._xlws.FILTER(PBC_ACCOUNT_LIST[Id],PBC_ACCOUNT_LIST[Drivers Section]=$H109),PBC_PROFIT_AND_LOSS[Date],BZ$5)),0)</f>
        <v>0</v>
      </c>
      <c r="CA109" s="271" cm="1">
        <f t="array" ref="CA109">IF(CA$5&lt;=LatestMonthOfActuals,SUMIFS(CA$10:CA$69,PLSections,$H109)-SUM(SUMIFS(PBC_PROFIT_AND_LOSS[AccountBalance],PBC_PROFIT_AND_LOSS[Id],_xlfn._xlws.FILTER(PBC_ACCOUNT_LIST[Id],PBC_ACCOUNT_LIST[Drivers Section]=$H109),PBC_PROFIT_AND_LOSS[Date],CA$5)),0)</f>
        <v>0</v>
      </c>
      <c r="CB109" s="271" cm="1">
        <f t="array" ref="CB109">IF(CB$5&lt;=LatestMonthOfActuals,SUMIFS(CB$10:CB$69,PLSections,$H109)-SUM(SUMIFS(PBC_PROFIT_AND_LOSS[AccountBalance],PBC_PROFIT_AND_LOSS[Id],_xlfn._xlws.FILTER(PBC_ACCOUNT_LIST[Id],PBC_ACCOUNT_LIST[Drivers Section]=$H109),PBC_PROFIT_AND_LOSS[Date],CB$5)),0)</f>
        <v>0</v>
      </c>
      <c r="CC109" s="271" cm="1">
        <f t="array" ref="CC109">IF(CC$5&lt;=LatestMonthOfActuals,SUMIFS(CC$10:CC$69,PLSections,$H109)-SUM(SUMIFS(PBC_PROFIT_AND_LOSS[AccountBalance],PBC_PROFIT_AND_LOSS[Id],_xlfn._xlws.FILTER(PBC_ACCOUNT_LIST[Id],PBC_ACCOUNT_LIST[Drivers Section]=$H109),PBC_PROFIT_AND_LOSS[Date],CC$5)),0)</f>
        <v>0</v>
      </c>
      <c r="CD109" s="271" cm="1">
        <f t="array" ref="CD109">IF(CD$5&lt;=LatestMonthOfActuals,SUMIFS(CD$10:CD$69,PLSections,$H109)-SUM(SUMIFS(PBC_PROFIT_AND_LOSS[AccountBalance],PBC_PROFIT_AND_LOSS[Id],_xlfn._xlws.FILTER(PBC_ACCOUNT_LIST[Id],PBC_ACCOUNT_LIST[Drivers Section]=$H109),PBC_PROFIT_AND_LOSS[Date],CD$5)),0)</f>
        <v>0</v>
      </c>
      <c r="CE109" s="271" cm="1">
        <f t="array" ref="CE109">IF(CE$5&lt;=LatestMonthOfActuals,SUMIFS(CE$10:CE$69,PLSections,$H109)-SUM(SUMIFS(PBC_PROFIT_AND_LOSS[AccountBalance],PBC_PROFIT_AND_LOSS[Id],_xlfn._xlws.FILTER(PBC_ACCOUNT_LIST[Id],PBC_ACCOUNT_LIST[Drivers Section]=$H109),PBC_PROFIT_AND_LOSS[Date],CE$5)),0)</f>
        <v>0</v>
      </c>
      <c r="CF109" s="271" cm="1">
        <f t="array" ref="CF109">IF(CF$5&lt;=LatestMonthOfActuals,SUMIFS(CF$10:CF$69,PLSections,$H109)-SUM(SUMIFS(PBC_PROFIT_AND_LOSS[AccountBalance],PBC_PROFIT_AND_LOSS[Id],_xlfn._xlws.FILTER(PBC_ACCOUNT_LIST[Id],PBC_ACCOUNT_LIST[Drivers Section]=$H109),PBC_PROFIT_AND_LOSS[Date],CF$5)),0)</f>
        <v>0</v>
      </c>
      <c r="CG109" s="271" cm="1">
        <f t="array" ref="CG109">IF(CG$5&lt;=LatestMonthOfActuals,SUMIFS(CG$10:CG$69,PLSections,$H109)-SUM(SUMIFS(PBC_PROFIT_AND_LOSS[AccountBalance],PBC_PROFIT_AND_LOSS[Id],_xlfn._xlws.FILTER(PBC_ACCOUNT_LIST[Id],PBC_ACCOUNT_LIST[Drivers Section]=$H109),PBC_PROFIT_AND_LOSS[Date],CG$5)),0)</f>
        <v>0</v>
      </c>
      <c r="CH109" s="271" cm="1">
        <f t="array" ref="CH109">IF(CH$5&lt;=LatestMonthOfActuals,SUMIFS(CH$10:CH$69,PLSections,$H109)-SUM(SUMIFS(PBC_PROFIT_AND_LOSS[AccountBalance],PBC_PROFIT_AND_LOSS[Id],_xlfn._xlws.FILTER(PBC_ACCOUNT_LIST[Id],PBC_ACCOUNT_LIST[Drivers Section]=$H109),PBC_PROFIT_AND_LOSS[Date],CH$5)),0)</f>
        <v>0</v>
      </c>
      <c r="CI109" s="271" cm="1">
        <f t="array" ref="CI109">IF(CI$5&lt;=LatestMonthOfActuals,SUMIFS(CI$10:CI$69,PLSections,$H109)-SUM(SUMIFS(PBC_PROFIT_AND_LOSS[AccountBalance],PBC_PROFIT_AND_LOSS[Id],_xlfn._xlws.FILTER(PBC_ACCOUNT_LIST[Id],PBC_ACCOUNT_LIST[Drivers Section]=$H109),PBC_PROFIT_AND_LOSS[Date],CI$5)),0)</f>
        <v>0</v>
      </c>
      <c r="CJ109" s="271" cm="1">
        <f t="array" ref="CJ109">IF(CJ$5&lt;=LatestMonthOfActuals,SUMIFS(CJ$10:CJ$69,PLSections,$H109)-SUM(SUMIFS(PBC_PROFIT_AND_LOSS[AccountBalance],PBC_PROFIT_AND_LOSS[Id],_xlfn._xlws.FILTER(PBC_ACCOUNT_LIST[Id],PBC_ACCOUNT_LIST[Drivers Section]=$H109),PBC_PROFIT_AND_LOSS[Date],CJ$5)),0)</f>
        <v>0</v>
      </c>
    </row>
    <row r="110" spans="1:88" ht="15.6" hidden="1" customHeight="1" outlineLevel="3">
      <c r="B110" s="340" t="s">
        <v>360</v>
      </c>
      <c r="H110" s="273"/>
      <c r="I110" s="273"/>
      <c r="J110" s="273"/>
      <c r="K110" s="273"/>
      <c r="L110" s="273"/>
      <c r="O110" s="272"/>
      <c r="P110" s="272"/>
      <c r="Q110" s="272"/>
      <c r="R110" s="272"/>
      <c r="S110" s="272"/>
      <c r="T110" s="272"/>
      <c r="U110" s="272"/>
      <c r="AM110" s="272"/>
      <c r="AN110" s="341" cm="1">
        <f t="array" ref="AN110">IF(AN$5&lt;=LatestMonthOfActuals,0,SUM(_xlfn._xlws.FILTER(AN$71:AN$106,(BSAcctIDs=4)+(BSAcctIDs=999)))-SUM(_xlfn._xlws.FILTER(AM$71:AM$106,(BSAcctIDs=4)+(BSAcctIDs=999)))-AN68)</f>
        <v>0</v>
      </c>
      <c r="AO110" s="341" cm="1">
        <f t="array" ref="AO110">IF(AO$5&lt;=LatestMonthOfActuals,0,SUM(_xlfn._xlws.FILTER(AO$71:AO$106,(BSAcctIDs=4)+(BSAcctIDs=999)))-SUM(_xlfn._xlws.FILTER(AN$71:AN$106,(BSAcctIDs=4)+(BSAcctIDs=999)))-AO68)</f>
        <v>0</v>
      </c>
      <c r="AP110" s="341" cm="1">
        <f t="array" ref="AP110">IF(AP$5&lt;=LatestMonthOfActuals,0,SUM(_xlfn._xlws.FILTER(AP$71:AP$106,(BSAcctIDs=4)+(BSAcctIDs=999)))-SUM(_xlfn._xlws.FILTER(AO$71:AO$106,(BSAcctIDs=4)+(BSAcctIDs=999)))-AP68)</f>
        <v>0</v>
      </c>
      <c r="AQ110" s="341" cm="1">
        <f t="array" ref="AQ110">IF(AQ$5&lt;=LatestMonthOfActuals,0,SUM(_xlfn._xlws.FILTER(AQ$71:AQ$106,(BSAcctIDs=4)+(BSAcctIDs=999)))-SUM(_xlfn._xlws.FILTER(AP$71:AP$106,(BSAcctIDs=4)+(BSAcctIDs=999)))-AQ68)</f>
        <v>0</v>
      </c>
      <c r="AR110" s="341" cm="1">
        <f t="array" ref="AR110">IF(AR$5&lt;=LatestMonthOfActuals,0,SUM(_xlfn._xlws.FILTER(AR$71:AR$106,(BSAcctIDs=4)+(BSAcctIDs=999)))-SUM(_xlfn._xlws.FILTER(AQ$71:AQ$106,(BSAcctIDs=4)+(BSAcctIDs=999)))-AR68)</f>
        <v>0</v>
      </c>
      <c r="AS110" s="341" cm="1">
        <f t="array" ref="AS110">IF(AS$5&lt;=LatestMonthOfActuals,0,SUM(_xlfn._xlws.FILTER(AS$71:AS$106,(BSAcctIDs=4)+(BSAcctIDs=999)))-SUM(_xlfn._xlws.FILTER(AR$71:AR$106,(BSAcctIDs=4)+(BSAcctIDs=999)))-AS68)</f>
        <v>0</v>
      </c>
      <c r="AT110" s="341" cm="1">
        <f t="array" ref="AT110">IF(AT$5&lt;=LatestMonthOfActuals,0,SUM(_xlfn._xlws.FILTER(AT$71:AT$106,(BSAcctIDs=4)+(BSAcctIDs=999)))-SUM(_xlfn._xlws.FILTER(AS$71:AS$106,(BSAcctIDs=4)+(BSAcctIDs=999)))-AT68)</f>
        <v>0</v>
      </c>
      <c r="AU110" s="341" cm="1">
        <f t="array" ref="AU110">IF(AU$5&lt;=LatestMonthOfActuals,0,SUM(_xlfn._xlws.FILTER(AU$71:AU$106,(BSAcctIDs=4)+(BSAcctIDs=999)))-SUM(_xlfn._xlws.FILTER(AT$71:AT$106,(BSAcctIDs=4)+(BSAcctIDs=999)))-AU68)</f>
        <v>0</v>
      </c>
      <c r="AV110" s="341" cm="1">
        <f t="array" ref="AV110">IF(AV$5&lt;=LatestMonthOfActuals,0,SUM(_xlfn._xlws.FILTER(AV$71:AV$106,(BSAcctIDs=4)+(BSAcctIDs=999)))-SUM(_xlfn._xlws.FILTER(AU$71:AU$106,(BSAcctIDs=4)+(BSAcctIDs=999)))-AV68)</f>
        <v>0</v>
      </c>
      <c r="AW110" s="341" cm="1">
        <f t="array" ref="AW110">IF(AW$5&lt;=LatestMonthOfActuals,0,SUM(_xlfn._xlws.FILTER(AW$71:AW$106,(BSAcctIDs=4)+(BSAcctIDs=999)))-SUM(_xlfn._xlws.FILTER(AV$71:AV$106,(BSAcctIDs=4)+(BSAcctIDs=999)))-AW68)</f>
        <v>0</v>
      </c>
      <c r="AX110" s="341" cm="1">
        <f t="array" ref="AX110">IF(AX$5&lt;=LatestMonthOfActuals,0,SUM(_xlfn._xlws.FILTER(AX$71:AX$106,(BSAcctIDs=4)+(BSAcctIDs=999)))-SUM(_xlfn._xlws.FILTER(AW$71:AW$106,(BSAcctIDs=4)+(BSAcctIDs=999)))-AX68)</f>
        <v>0</v>
      </c>
      <c r="AY110" s="341" cm="1">
        <f t="array" ref="AY110">IF(AY$5&lt;=LatestMonthOfActuals,0,SUM(_xlfn._xlws.FILTER(AY$71:AY$106,(BSAcctIDs=4)+(BSAcctIDs=999)))-SUM(_xlfn._xlws.FILTER(AX$71:AX$106,(BSAcctIDs=4)+(BSAcctIDs=999)))-AY68)</f>
        <v>0</v>
      </c>
      <c r="AZ110" s="341" cm="1">
        <f t="array" ref="AZ110">IF(AZ$5&lt;=LatestMonthOfActuals,0,SUM(_xlfn._xlws.FILTER(AZ$71:AZ$106,(BSAcctIDs=4)+(BSAcctIDs=999)))-SUM(_xlfn._xlws.FILTER(AY$71:AY$106,(BSAcctIDs=4)+(BSAcctIDs=999)))-AZ68)</f>
        <v>0</v>
      </c>
      <c r="BA110" s="341" cm="1">
        <f t="array" ref="BA110">IF(BA$5&lt;=LatestMonthOfActuals,0,SUM(_xlfn._xlws.FILTER(BA$71:BA$106,(BSAcctIDs=4)+(BSAcctIDs=999)))-SUM(_xlfn._xlws.FILTER(AZ$71:AZ$106,(BSAcctIDs=4)+(BSAcctIDs=999)))-BA68)</f>
        <v>0</v>
      </c>
      <c r="BB110" s="341" cm="1">
        <f t="array" ref="BB110">IF(BB$5&lt;=LatestMonthOfActuals,0,SUM(_xlfn._xlws.FILTER(BB$71:BB$106,(BSAcctIDs=4)+(BSAcctIDs=999)))-SUM(_xlfn._xlws.FILTER(BA$71:BA$106,(BSAcctIDs=4)+(BSAcctIDs=999)))-BB68)</f>
        <v>0</v>
      </c>
      <c r="BC110" s="341" cm="1">
        <f t="array" ref="BC110">IF(BC$5&lt;=LatestMonthOfActuals,0,SUM(_xlfn._xlws.FILTER(BC$71:BC$106,(BSAcctIDs=4)+(BSAcctIDs=999)))-SUM(_xlfn._xlws.FILTER(BB$71:BB$106,(BSAcctIDs=4)+(BSAcctIDs=999)))-BC68)</f>
        <v>0</v>
      </c>
      <c r="BD110" s="341" cm="1">
        <f t="array" ref="BD110">IF(BD$5&lt;=LatestMonthOfActuals,0,SUM(_xlfn._xlws.FILTER(BD$71:BD$106,(BSAcctIDs=4)+(BSAcctIDs=999)))-SUM(_xlfn._xlws.FILTER(BC$71:BC$106,(BSAcctIDs=4)+(BSAcctIDs=999)))-BD68)</f>
        <v>0</v>
      </c>
      <c r="BE110" s="341" cm="1">
        <f t="array" ref="BE110">IF(BE$5&lt;=LatestMonthOfActuals,0,SUM(_xlfn._xlws.FILTER(BE$71:BE$106,(BSAcctIDs=4)+(BSAcctIDs=999)))-SUM(_xlfn._xlws.FILTER(BD$71:BD$106,(BSAcctIDs=4)+(BSAcctIDs=999)))-BE68)</f>
        <v>0</v>
      </c>
      <c r="BF110" s="341" cm="1">
        <f t="array" ref="BF110">IF(BF$5&lt;=LatestMonthOfActuals,0,SUM(_xlfn._xlws.FILTER(BF$71:BF$106,(BSAcctIDs=4)+(BSAcctIDs=999)))-SUM(_xlfn._xlws.FILTER(BE$71:BE$106,(BSAcctIDs=4)+(BSAcctIDs=999)))-BF68)</f>
        <v>0</v>
      </c>
      <c r="BG110" s="341" cm="1">
        <f t="array" ref="BG110">IF(BG$5&lt;=LatestMonthOfActuals,0,SUM(_xlfn._xlws.FILTER(BG$71:BG$106,(BSAcctIDs=4)+(BSAcctIDs=999)))-SUM(_xlfn._xlws.FILTER(BF$71:BF$106,(BSAcctIDs=4)+(BSAcctIDs=999)))-BG68)</f>
        <v>0</v>
      </c>
      <c r="BH110" s="341" cm="1">
        <f t="array" ref="BH110">IF(BH$5&lt;=LatestMonthOfActuals,0,SUM(_xlfn._xlws.FILTER(BH$71:BH$106,(BSAcctIDs=4)+(BSAcctIDs=999)))-SUM(_xlfn._xlws.FILTER(BG$71:BG$106,(BSAcctIDs=4)+(BSAcctIDs=999)))-BH68)</f>
        <v>0</v>
      </c>
      <c r="BI110" s="341" cm="1">
        <f t="array" ref="BI110">IF(BI$5&lt;=LatestMonthOfActuals,0,SUM(_xlfn._xlws.FILTER(BI$71:BI$106,(BSAcctIDs=4)+(BSAcctIDs=999)))-SUM(_xlfn._xlws.FILTER(BH$71:BH$106,(BSAcctIDs=4)+(BSAcctIDs=999)))-BI68)</f>
        <v>0</v>
      </c>
      <c r="BJ110" s="341" cm="1">
        <f t="array" ref="BJ110">IF(BJ$5&lt;=LatestMonthOfActuals,0,SUM(_xlfn._xlws.FILTER(BJ$71:BJ$106,(BSAcctIDs=4)+(BSAcctIDs=999)))-SUM(_xlfn._xlws.FILTER(BI$71:BI$106,(BSAcctIDs=4)+(BSAcctIDs=999)))-BJ68)</f>
        <v>0</v>
      </c>
      <c r="BK110" s="341" cm="1">
        <f t="array" ref="BK110">IF(BK$5&lt;=LatestMonthOfActuals,0,SUM(_xlfn._xlws.FILTER(BK$71:BK$106,(BSAcctIDs=4)+(BSAcctIDs=999)))-SUM(_xlfn._xlws.FILTER(BJ$71:BJ$106,(BSAcctIDs=4)+(BSAcctIDs=999)))-BK68)</f>
        <v>0</v>
      </c>
      <c r="BL110" s="341" cm="1">
        <f t="array" ref="BL110">IF(BL$5&lt;=LatestMonthOfActuals,0,SUM(_xlfn._xlws.FILTER(BL$71:BL$106,(BSAcctIDs=4)+(BSAcctIDs=999)))-SUM(_xlfn._xlws.FILTER(BK$71:BK$106,(BSAcctIDs=4)+(BSAcctIDs=999)))-BL68)</f>
        <v>0</v>
      </c>
      <c r="BM110" s="341" cm="1">
        <f t="array" ref="BM110">IF(BM$5&lt;=LatestMonthOfActuals,0,SUM(_xlfn._xlws.FILTER(BM$71:BM$106,(BSAcctIDs=4)+(BSAcctIDs=999)))-SUM(_xlfn._xlws.FILTER(BL$71:BL$106,(BSAcctIDs=4)+(BSAcctIDs=999)))-BM68)</f>
        <v>0</v>
      </c>
      <c r="BN110" s="341" cm="1">
        <f t="array" ref="BN110">IF(BN$5&lt;=LatestMonthOfActuals,0,SUM(_xlfn._xlws.FILTER(BN$71:BN$106,(BSAcctIDs=4)+(BSAcctIDs=999)))-SUM(_xlfn._xlws.FILTER(BM$71:BM$106,(BSAcctIDs=4)+(BSAcctIDs=999)))-BN68)</f>
        <v>0</v>
      </c>
      <c r="BO110" s="341" cm="1">
        <f t="array" ref="BO110">IF(BO$5&lt;=LatestMonthOfActuals,0,SUM(_xlfn._xlws.FILTER(BO$71:BO$106,(BSAcctIDs=4)+(BSAcctIDs=999)))-SUM(_xlfn._xlws.FILTER(BN$71:BN$106,(BSAcctIDs=4)+(BSAcctIDs=999)))-BO68)</f>
        <v>0</v>
      </c>
      <c r="BP110" s="341" cm="1">
        <f t="array" ref="BP110">IF(BP$5&lt;=LatestMonthOfActuals,0,SUM(_xlfn._xlws.FILTER(BP$71:BP$106,(BSAcctIDs=4)+(BSAcctIDs=999)))-SUM(_xlfn._xlws.FILTER(BO$71:BO$106,(BSAcctIDs=4)+(BSAcctIDs=999)))-BP68)</f>
        <v>0</v>
      </c>
      <c r="BQ110" s="341" cm="1">
        <f t="array" ref="BQ110">IF(BQ$5&lt;=LatestMonthOfActuals,0,SUM(_xlfn._xlws.FILTER(BQ$71:BQ$106,(BSAcctIDs=4)+(BSAcctIDs=999)))-SUM(_xlfn._xlws.FILTER(BP$71:BP$106,(BSAcctIDs=4)+(BSAcctIDs=999)))-BQ68)</f>
        <v>0</v>
      </c>
      <c r="BR110" s="341" cm="1">
        <f t="array" ref="BR110">IF(BR$5&lt;=LatestMonthOfActuals,0,SUM(_xlfn._xlws.FILTER(BR$71:BR$106,(BSAcctIDs=4)+(BSAcctIDs=999)))-SUM(_xlfn._xlws.FILTER(BQ$71:BQ$106,(BSAcctIDs=4)+(BSAcctIDs=999)))-BR68)</f>
        <v>0</v>
      </c>
      <c r="BS110" s="341" cm="1">
        <f t="array" ref="BS110">IF(BS$5&lt;=LatestMonthOfActuals,0,SUM(_xlfn._xlws.FILTER(BS$71:BS$106,(BSAcctIDs=4)+(BSAcctIDs=999)))-SUM(_xlfn._xlws.FILTER(BR$71:BR$106,(BSAcctIDs=4)+(BSAcctIDs=999)))-BS68)</f>
        <v>0</v>
      </c>
      <c r="BT110" s="341" cm="1">
        <f t="array" ref="BT110">IF(BT$5&lt;=LatestMonthOfActuals,0,SUM(_xlfn._xlws.FILTER(BT$71:BT$106,(BSAcctIDs=4)+(BSAcctIDs=999)))-SUM(_xlfn._xlws.FILTER(BS$71:BS$106,(BSAcctIDs=4)+(BSAcctIDs=999)))-BT68)</f>
        <v>0</v>
      </c>
      <c r="BU110" s="341" cm="1">
        <f t="array" ref="BU110">IF(BU$5&lt;=LatestMonthOfActuals,0,SUM(_xlfn._xlws.FILTER(BU$71:BU$106,(BSAcctIDs=4)+(BSAcctIDs=999)))-SUM(_xlfn._xlws.FILTER(BT$71:BT$106,(BSAcctIDs=4)+(BSAcctIDs=999)))-BU68)</f>
        <v>0</v>
      </c>
      <c r="BV110" s="341" cm="1">
        <f t="array" ref="BV110">IF(BV$5&lt;=LatestMonthOfActuals,0,SUM(_xlfn._xlws.FILTER(BV$71:BV$106,(BSAcctIDs=4)+(BSAcctIDs=999)))-SUM(_xlfn._xlws.FILTER(BU$71:BU$106,(BSAcctIDs=4)+(BSAcctIDs=999)))-BV68)</f>
        <v>0</v>
      </c>
      <c r="BW110" s="341" cm="1">
        <f t="array" ref="BW110">IF(BW$5&lt;=LatestMonthOfActuals,0,SUM(_xlfn._xlws.FILTER(BW$71:BW$106,(BSAcctIDs=4)+(BSAcctIDs=999)))-SUM(_xlfn._xlws.FILTER(BV$71:BV$106,(BSAcctIDs=4)+(BSAcctIDs=999)))-BW68)</f>
        <v>0</v>
      </c>
      <c r="BX110" s="341" cm="1">
        <f t="array" ref="BX110">IF(BX$5&lt;=LatestMonthOfActuals,0,SUM(_xlfn._xlws.FILTER(BX$71:BX$106,(BSAcctIDs=4)+(BSAcctIDs=999)))-SUM(_xlfn._xlws.FILTER(BW$71:BW$106,(BSAcctIDs=4)+(BSAcctIDs=999)))-BX68)</f>
        <v>4.0745362639427185E-10</v>
      </c>
      <c r="BY110" s="341" cm="1">
        <f t="array" ref="BY110">IF(BY$5&lt;=LatestMonthOfActuals,0,SUM(_xlfn._xlws.FILTER(BY$71:BY$106,(BSAcctIDs=4)+(BSAcctIDs=999)))-SUM(_xlfn._xlws.FILTER(BX$71:BX$106,(BSAcctIDs=4)+(BSAcctIDs=999)))-BY68)</f>
        <v>2.3283064365386963E-10</v>
      </c>
      <c r="BZ110" s="341" cm="1">
        <f t="array" ref="BZ110">IF(BZ$5&lt;=LatestMonthOfActuals,0,SUM(_xlfn._xlws.FILTER(BZ$71:BZ$106,(BSAcctIDs=4)+(BSAcctIDs=999)))-SUM(_xlfn._xlws.FILTER(BY$71:BY$106,(BSAcctIDs=4)+(BSAcctIDs=999)))-BZ68)</f>
        <v>-3.4924596548080444E-10</v>
      </c>
      <c r="CA110" s="341" cm="1">
        <f t="array" ref="CA110">IF(CA$5&lt;=LatestMonthOfActuals,0,SUM(_xlfn._xlws.FILTER(CA$71:CA$106,(BSAcctIDs=4)+(BSAcctIDs=999)))-SUM(_xlfn._xlws.FILTER(BZ$71:BZ$106,(BSAcctIDs=4)+(BSAcctIDs=999)))-CA68)</f>
        <v>0</v>
      </c>
      <c r="CB110" s="341" cm="1">
        <f t="array" ref="CB110">IF(CB$5&lt;=LatestMonthOfActuals,0,SUM(_xlfn._xlws.FILTER(CB$71:CB$106,(BSAcctIDs=4)+(BSAcctIDs=999)))-SUM(_xlfn._xlws.FILTER(CA$71:CA$106,(BSAcctIDs=4)+(BSAcctIDs=999)))-CB68)</f>
        <v>0</v>
      </c>
      <c r="CC110" s="341" cm="1">
        <f t="array" ref="CC110">IF(CC$5&lt;=LatestMonthOfActuals,0,SUM(_xlfn._xlws.FILTER(CC$71:CC$106,(BSAcctIDs=4)+(BSAcctIDs=999)))-SUM(_xlfn._xlws.FILTER(CB$71:CB$106,(BSAcctIDs=4)+(BSAcctIDs=999)))-CC68)</f>
        <v>-1.7462298274040222E-10</v>
      </c>
      <c r="CD110" s="341" cm="1">
        <f t="array" ref="CD110">IF(CD$5&lt;=LatestMonthOfActuals,0,SUM(_xlfn._xlws.FILTER(CD$71:CD$106,(BSAcctIDs=4)+(BSAcctIDs=999)))-SUM(_xlfn._xlws.FILTER(CC$71:CC$106,(BSAcctIDs=4)+(BSAcctIDs=999)))-CD68)</f>
        <v>2.9103830456733704E-10</v>
      </c>
      <c r="CE110" s="341" cm="1">
        <f t="array" ref="CE110">IF(CE$5&lt;=LatestMonthOfActuals,0,SUM(_xlfn._xlws.FILTER(CE$71:CE$106,(BSAcctIDs=4)+(BSAcctIDs=999)))-SUM(_xlfn._xlws.FILTER(CD$71:CD$106,(BSAcctIDs=4)+(BSAcctIDs=999)))-CE68)</f>
        <v>-4.6566128730773926E-10</v>
      </c>
      <c r="CF110" s="341" cm="1">
        <f t="array" ref="CF110">IF(CF$5&lt;=LatestMonthOfActuals,0,SUM(_xlfn._xlws.FILTER(CF$71:CF$106,(BSAcctIDs=4)+(BSAcctIDs=999)))-SUM(_xlfn._xlws.FILTER(CE$71:CE$106,(BSAcctIDs=4)+(BSAcctIDs=999)))-CF68)</f>
        <v>2.0372681319713593E-10</v>
      </c>
      <c r="CG110" s="341" cm="1">
        <f t="array" ref="CG110">IF(CG$5&lt;=LatestMonthOfActuals,0,SUM(_xlfn._xlws.FILTER(CG$71:CG$106,(BSAcctIDs=4)+(BSAcctIDs=999)))-SUM(_xlfn._xlws.FILTER(CF$71:CF$106,(BSAcctIDs=4)+(BSAcctIDs=999)))-CG68)</f>
        <v>4.9476511776447296E-10</v>
      </c>
      <c r="CH110" s="341" cm="1">
        <f t="array" ref="CH110">IF(CH$5&lt;=LatestMonthOfActuals,0,SUM(_xlfn._xlws.FILTER(CH$71:CH$106,(BSAcctIDs=4)+(BSAcctIDs=999)))-SUM(_xlfn._xlws.FILTER(CG$71:CG$106,(BSAcctIDs=4)+(BSAcctIDs=999)))-CH68)</f>
        <v>8.7311491370201111E-11</v>
      </c>
      <c r="CI110" s="341" cm="1">
        <f t="array" ref="CI110">IF(CI$5&lt;=LatestMonthOfActuals,0,SUM(_xlfn._xlws.FILTER(CI$71:CI$106,(BSAcctIDs=4)+(BSAcctIDs=999)))-SUM(_xlfn._xlws.FILTER(CH$71:CH$106,(BSAcctIDs=4)+(BSAcctIDs=999)))-CI68)</f>
        <v>-2.0372681319713593E-10</v>
      </c>
      <c r="CJ110" s="341" cm="1">
        <f t="array" ref="CJ110">IF(CJ$5&lt;=LatestMonthOfActuals,0,SUM(_xlfn._xlws.FILTER(CJ$71:CJ$106,(BSAcctIDs=4)+(BSAcctIDs=999)))-SUM(_xlfn._xlws.FILTER(CI$71:CI$106,(BSAcctIDs=4)+(BSAcctIDs=999)))-CJ68)</f>
        <v>-3.4924596548080444E-10</v>
      </c>
    </row>
    <row r="111" spans="1:88" ht="15.6" hidden="1" customHeight="1" outlineLevel="3">
      <c r="B111" s="273" t="s">
        <v>80</v>
      </c>
      <c r="H111" s="273" t="s">
        <v>80</v>
      </c>
      <c r="I111" s="273"/>
      <c r="J111" s="273"/>
      <c r="K111" s="273"/>
      <c r="L111" s="273"/>
      <c r="O111" s="272"/>
      <c r="P111" s="272"/>
      <c r="Q111" s="272"/>
      <c r="R111" s="272"/>
      <c r="S111" s="272"/>
      <c r="T111" s="272"/>
      <c r="U111" s="272"/>
      <c r="AM111" s="272"/>
      <c r="AN111" s="271" cm="1">
        <f t="array" ref="AN111">IF(AN$5&lt;=LatestMonthOfActuals,SUMIFS(AN$10:AN$69,PLSections,$H111)-SUM(SUMIFS(PBC_PROFIT_AND_LOSS[AccountBalance],PBC_PROFIT_AND_LOSS[Id],_xlfn._xlws.FILTER(PBC_ACCOUNT_LIST[Id],PBC_ACCOUNT_LIST[Drivers Section]=$H111),PBC_PROFIT_AND_LOSS[Date],AN$5)),0)</f>
        <v>0</v>
      </c>
      <c r="AO111" s="271" cm="1">
        <f t="array" ref="AO111">IF(AO$5&lt;=LatestMonthOfActuals,SUMIFS(AO$10:AO$69,PLSections,$H111)-SUM(SUMIFS(PBC_PROFIT_AND_LOSS[AccountBalance],PBC_PROFIT_AND_LOSS[Id],_xlfn._xlws.FILTER(PBC_ACCOUNT_LIST[Id],PBC_ACCOUNT_LIST[Drivers Section]=$H111),PBC_PROFIT_AND_LOSS[Date],AO$5)),0)</f>
        <v>0</v>
      </c>
      <c r="AP111" s="271" cm="1">
        <f t="array" ref="AP111">IF(AP$5&lt;=LatestMonthOfActuals,SUMIFS(AP$10:AP$69,PLSections,$H111)-SUM(SUMIFS(PBC_PROFIT_AND_LOSS[AccountBalance],PBC_PROFIT_AND_LOSS[Id],_xlfn._xlws.FILTER(PBC_ACCOUNT_LIST[Id],PBC_ACCOUNT_LIST[Drivers Section]=$H111),PBC_PROFIT_AND_LOSS[Date],AP$5)),0)</f>
        <v>0</v>
      </c>
      <c r="AQ111" s="271" cm="1">
        <f t="array" ref="AQ111">IF(AQ$5&lt;=LatestMonthOfActuals,SUMIFS(AQ$10:AQ$69,PLSections,$H111)-SUM(SUMIFS(PBC_PROFIT_AND_LOSS[AccountBalance],PBC_PROFIT_AND_LOSS[Id],_xlfn._xlws.FILTER(PBC_ACCOUNT_LIST[Id],PBC_ACCOUNT_LIST[Drivers Section]=$H111),PBC_PROFIT_AND_LOSS[Date],AQ$5)),0)</f>
        <v>0</v>
      </c>
      <c r="AR111" s="271" cm="1">
        <f t="array" ref="AR111">IF(AR$5&lt;=LatestMonthOfActuals,SUMIFS(AR$10:AR$69,PLSections,$H111)-SUM(SUMIFS(PBC_PROFIT_AND_LOSS[AccountBalance],PBC_PROFIT_AND_LOSS[Id],_xlfn._xlws.FILTER(PBC_ACCOUNT_LIST[Id],PBC_ACCOUNT_LIST[Drivers Section]=$H111),PBC_PROFIT_AND_LOSS[Date],AR$5)),0)</f>
        <v>0</v>
      </c>
      <c r="AS111" s="271" cm="1">
        <f t="array" ref="AS111">IF(AS$5&lt;=LatestMonthOfActuals,SUMIFS(AS$10:AS$69,PLSections,$H111)-SUM(SUMIFS(PBC_PROFIT_AND_LOSS[AccountBalance],PBC_PROFIT_AND_LOSS[Id],_xlfn._xlws.FILTER(PBC_ACCOUNT_LIST[Id],PBC_ACCOUNT_LIST[Drivers Section]=$H111),PBC_PROFIT_AND_LOSS[Date],AS$5)),0)</f>
        <v>0</v>
      </c>
      <c r="AT111" s="271" cm="1">
        <f t="array" ref="AT111">IF(AT$5&lt;=LatestMonthOfActuals,SUMIFS(AT$10:AT$69,PLSections,$H111)-SUM(SUMIFS(PBC_PROFIT_AND_LOSS[AccountBalance],PBC_PROFIT_AND_LOSS[Id],_xlfn._xlws.FILTER(PBC_ACCOUNT_LIST[Id],PBC_ACCOUNT_LIST[Drivers Section]=$H111),PBC_PROFIT_AND_LOSS[Date],AT$5)),0)</f>
        <v>0</v>
      </c>
      <c r="AU111" s="271" cm="1">
        <f t="array" ref="AU111">IF(AU$5&lt;=LatestMonthOfActuals,SUMIFS(AU$10:AU$69,PLSections,$H111)-SUM(SUMIFS(PBC_PROFIT_AND_LOSS[AccountBalance],PBC_PROFIT_AND_LOSS[Id],_xlfn._xlws.FILTER(PBC_ACCOUNT_LIST[Id],PBC_ACCOUNT_LIST[Drivers Section]=$H111),PBC_PROFIT_AND_LOSS[Date],AU$5)),0)</f>
        <v>0</v>
      </c>
      <c r="AV111" s="271" cm="1">
        <f t="array" ref="AV111">IF(AV$5&lt;=LatestMonthOfActuals,SUMIFS(AV$10:AV$69,PLSections,$H111)-SUM(SUMIFS(PBC_PROFIT_AND_LOSS[AccountBalance],PBC_PROFIT_AND_LOSS[Id],_xlfn._xlws.FILTER(PBC_ACCOUNT_LIST[Id],PBC_ACCOUNT_LIST[Drivers Section]=$H111),PBC_PROFIT_AND_LOSS[Date],AV$5)),0)</f>
        <v>0</v>
      </c>
      <c r="AW111" s="271" cm="1">
        <f t="array" ref="AW111">IF(AW$5&lt;=LatestMonthOfActuals,SUMIFS(AW$10:AW$69,PLSections,$H111)-SUM(SUMIFS(PBC_PROFIT_AND_LOSS[AccountBalance],PBC_PROFIT_AND_LOSS[Id],_xlfn._xlws.FILTER(PBC_ACCOUNT_LIST[Id],PBC_ACCOUNT_LIST[Drivers Section]=$H111),PBC_PROFIT_AND_LOSS[Date],AW$5)),0)</f>
        <v>0</v>
      </c>
      <c r="AX111" s="271" cm="1">
        <f t="array" ref="AX111">IF(AX$5&lt;=LatestMonthOfActuals,SUMIFS(AX$10:AX$69,PLSections,$H111)-SUM(SUMIFS(PBC_PROFIT_AND_LOSS[AccountBalance],PBC_PROFIT_AND_LOSS[Id],_xlfn._xlws.FILTER(PBC_ACCOUNT_LIST[Id],PBC_ACCOUNT_LIST[Drivers Section]=$H111),PBC_PROFIT_AND_LOSS[Date],AX$5)),0)</f>
        <v>0</v>
      </c>
      <c r="AY111" s="271" cm="1">
        <f t="array" ref="AY111">IF(AY$5&lt;=LatestMonthOfActuals,SUMIFS(AY$10:AY$69,PLSections,$H111)-SUM(SUMIFS(PBC_PROFIT_AND_LOSS[AccountBalance],PBC_PROFIT_AND_LOSS[Id],_xlfn._xlws.FILTER(PBC_ACCOUNT_LIST[Id],PBC_ACCOUNT_LIST[Drivers Section]=$H111),PBC_PROFIT_AND_LOSS[Date],AY$5)),0)</f>
        <v>0</v>
      </c>
      <c r="AZ111" s="271" cm="1">
        <f t="array" ref="AZ111">IF(AZ$5&lt;=LatestMonthOfActuals,SUMIFS(AZ$10:AZ$69,PLSections,$H111)-SUM(SUMIFS(PBC_PROFIT_AND_LOSS[AccountBalance],PBC_PROFIT_AND_LOSS[Id],_xlfn._xlws.FILTER(PBC_ACCOUNT_LIST[Id],PBC_ACCOUNT_LIST[Drivers Section]=$H111),PBC_PROFIT_AND_LOSS[Date],AZ$5)),0)</f>
        <v>0</v>
      </c>
      <c r="BA111" s="271" cm="1">
        <f t="array" ref="BA111">IF(BA$5&lt;=LatestMonthOfActuals,SUMIFS(BA$10:BA$69,PLSections,$H111)-SUM(SUMIFS(PBC_PROFIT_AND_LOSS[AccountBalance],PBC_PROFIT_AND_LOSS[Id],_xlfn._xlws.FILTER(PBC_ACCOUNT_LIST[Id],PBC_ACCOUNT_LIST[Drivers Section]=$H111),PBC_PROFIT_AND_LOSS[Date],BA$5)),0)</f>
        <v>0</v>
      </c>
      <c r="BB111" s="271" cm="1">
        <f t="array" ref="BB111">IF(BB$5&lt;=LatestMonthOfActuals,SUMIFS(BB$10:BB$69,PLSections,$H111)-SUM(SUMIFS(PBC_PROFIT_AND_LOSS[AccountBalance],PBC_PROFIT_AND_LOSS[Id],_xlfn._xlws.FILTER(PBC_ACCOUNT_LIST[Id],PBC_ACCOUNT_LIST[Drivers Section]=$H111),PBC_PROFIT_AND_LOSS[Date],BB$5)),0)</f>
        <v>0</v>
      </c>
      <c r="BC111" s="271" cm="1">
        <f t="array" ref="BC111">IF(BC$5&lt;=LatestMonthOfActuals,SUMIFS(BC$10:BC$69,PLSections,$H111)-SUM(SUMIFS(PBC_PROFIT_AND_LOSS[AccountBalance],PBC_PROFIT_AND_LOSS[Id],_xlfn._xlws.FILTER(PBC_ACCOUNT_LIST[Id],PBC_ACCOUNT_LIST[Drivers Section]=$H111),PBC_PROFIT_AND_LOSS[Date],BC$5)),0)</f>
        <v>0</v>
      </c>
      <c r="BD111" s="271" cm="1">
        <f t="array" ref="BD111">IF(BD$5&lt;=LatestMonthOfActuals,SUMIFS(BD$10:BD$69,PLSections,$H111)-SUM(SUMIFS(PBC_PROFIT_AND_LOSS[AccountBalance],PBC_PROFIT_AND_LOSS[Id],_xlfn._xlws.FILTER(PBC_ACCOUNT_LIST[Id],PBC_ACCOUNT_LIST[Drivers Section]=$H111),PBC_PROFIT_AND_LOSS[Date],BD$5)),0)</f>
        <v>0</v>
      </c>
      <c r="BE111" s="271" cm="1">
        <f t="array" ref="BE111">IF(BE$5&lt;=LatestMonthOfActuals,SUMIFS(BE$10:BE$69,PLSections,$H111)-SUM(SUMIFS(PBC_PROFIT_AND_LOSS[AccountBalance],PBC_PROFIT_AND_LOSS[Id],_xlfn._xlws.FILTER(PBC_ACCOUNT_LIST[Id],PBC_ACCOUNT_LIST[Drivers Section]=$H111),PBC_PROFIT_AND_LOSS[Date],BE$5)),0)</f>
        <v>0</v>
      </c>
      <c r="BF111" s="271" cm="1">
        <f t="array" ref="BF111">IF(BF$5&lt;=LatestMonthOfActuals,SUMIFS(BF$10:BF$69,PLSections,$H111)-SUM(SUMIFS(PBC_PROFIT_AND_LOSS[AccountBalance],PBC_PROFIT_AND_LOSS[Id],_xlfn._xlws.FILTER(PBC_ACCOUNT_LIST[Id],PBC_ACCOUNT_LIST[Drivers Section]=$H111),PBC_PROFIT_AND_LOSS[Date],BF$5)),0)</f>
        <v>0</v>
      </c>
      <c r="BG111" s="271" cm="1">
        <f t="array" ref="BG111">IF(BG$5&lt;=LatestMonthOfActuals,SUMIFS(BG$10:BG$69,PLSections,$H111)-SUM(SUMIFS(PBC_PROFIT_AND_LOSS[AccountBalance],PBC_PROFIT_AND_LOSS[Id],_xlfn._xlws.FILTER(PBC_ACCOUNT_LIST[Id],PBC_ACCOUNT_LIST[Drivers Section]=$H111),PBC_PROFIT_AND_LOSS[Date],BG$5)),0)</f>
        <v>0</v>
      </c>
      <c r="BH111" s="271" cm="1">
        <f t="array" ref="BH111">IF(BH$5&lt;=LatestMonthOfActuals,SUMIFS(BH$10:BH$69,PLSections,$H111)-SUM(SUMIFS(PBC_PROFIT_AND_LOSS[AccountBalance],PBC_PROFIT_AND_LOSS[Id],_xlfn._xlws.FILTER(PBC_ACCOUNT_LIST[Id],PBC_ACCOUNT_LIST[Drivers Section]=$H111),PBC_PROFIT_AND_LOSS[Date],BH$5)),0)</f>
        <v>0</v>
      </c>
      <c r="BI111" s="271" cm="1">
        <f t="array" ref="BI111">IF(BI$5&lt;=LatestMonthOfActuals,SUMIFS(BI$10:BI$69,PLSections,$H111)-SUM(SUMIFS(PBC_PROFIT_AND_LOSS[AccountBalance],PBC_PROFIT_AND_LOSS[Id],_xlfn._xlws.FILTER(PBC_ACCOUNT_LIST[Id],PBC_ACCOUNT_LIST[Drivers Section]=$H111),PBC_PROFIT_AND_LOSS[Date],BI$5)),0)</f>
        <v>0</v>
      </c>
      <c r="BJ111" s="271" cm="1">
        <f t="array" ref="BJ111">IF(BJ$5&lt;=LatestMonthOfActuals,SUMIFS(BJ$10:BJ$69,PLSections,$H111)-SUM(SUMIFS(PBC_PROFIT_AND_LOSS[AccountBalance],PBC_PROFIT_AND_LOSS[Id],_xlfn._xlws.FILTER(PBC_ACCOUNT_LIST[Id],PBC_ACCOUNT_LIST[Drivers Section]=$H111),PBC_PROFIT_AND_LOSS[Date],BJ$5)),0)</f>
        <v>0</v>
      </c>
      <c r="BK111" s="271" cm="1">
        <f t="array" ref="BK111">IF(BK$5&lt;=LatestMonthOfActuals,SUMIFS(BK$10:BK$69,PLSections,$H111)-SUM(SUMIFS(PBC_PROFIT_AND_LOSS[AccountBalance],PBC_PROFIT_AND_LOSS[Id],_xlfn._xlws.FILTER(PBC_ACCOUNT_LIST[Id],PBC_ACCOUNT_LIST[Drivers Section]=$H111),PBC_PROFIT_AND_LOSS[Date],BK$5)),0)</f>
        <v>0</v>
      </c>
      <c r="BL111" s="271" cm="1">
        <f t="array" ref="BL111">IF(BL$5&lt;=LatestMonthOfActuals,SUMIFS(BL$10:BL$69,PLSections,$H111)-SUM(SUMIFS(PBC_PROFIT_AND_LOSS[AccountBalance],PBC_PROFIT_AND_LOSS[Id],_xlfn._xlws.FILTER(PBC_ACCOUNT_LIST[Id],PBC_ACCOUNT_LIST[Drivers Section]=$H111),PBC_PROFIT_AND_LOSS[Date],BL$5)),0)</f>
        <v>0</v>
      </c>
      <c r="BM111" s="271" cm="1">
        <f t="array" ref="BM111">IF(BM$5&lt;=LatestMonthOfActuals,SUMIFS(BM$10:BM$69,PLSections,$H111)-SUM(SUMIFS(PBC_PROFIT_AND_LOSS[AccountBalance],PBC_PROFIT_AND_LOSS[Id],_xlfn._xlws.FILTER(PBC_ACCOUNT_LIST[Id],PBC_ACCOUNT_LIST[Drivers Section]=$H111),PBC_PROFIT_AND_LOSS[Date],BM$5)),0)</f>
        <v>0</v>
      </c>
      <c r="BN111" s="271" cm="1">
        <f t="array" ref="BN111">IF(BN$5&lt;=LatestMonthOfActuals,SUMIFS(BN$10:BN$69,PLSections,$H111)-SUM(SUMIFS(PBC_PROFIT_AND_LOSS[AccountBalance],PBC_PROFIT_AND_LOSS[Id],_xlfn._xlws.FILTER(PBC_ACCOUNT_LIST[Id],PBC_ACCOUNT_LIST[Drivers Section]=$H111),PBC_PROFIT_AND_LOSS[Date],BN$5)),0)</f>
        <v>0</v>
      </c>
      <c r="BO111" s="271" cm="1">
        <f t="array" ref="BO111">IF(BO$5&lt;=LatestMonthOfActuals,SUMIFS(BO$10:BO$69,PLSections,$H111)-SUM(SUMIFS(PBC_PROFIT_AND_LOSS[AccountBalance],PBC_PROFIT_AND_LOSS[Id],_xlfn._xlws.FILTER(PBC_ACCOUNT_LIST[Id],PBC_ACCOUNT_LIST[Drivers Section]=$H111),PBC_PROFIT_AND_LOSS[Date],BO$5)),0)</f>
        <v>0</v>
      </c>
      <c r="BP111" s="271" cm="1">
        <f t="array" ref="BP111">IF(BP$5&lt;=LatestMonthOfActuals,SUMIFS(BP$10:BP$69,PLSections,$H111)-SUM(SUMIFS(PBC_PROFIT_AND_LOSS[AccountBalance],PBC_PROFIT_AND_LOSS[Id],_xlfn._xlws.FILTER(PBC_ACCOUNT_LIST[Id],PBC_ACCOUNT_LIST[Drivers Section]=$H111),PBC_PROFIT_AND_LOSS[Date],BP$5)),0)</f>
        <v>0</v>
      </c>
      <c r="BQ111" s="271" cm="1">
        <f t="array" ref="BQ111">IF(BQ$5&lt;=LatestMonthOfActuals,SUMIFS(BQ$10:BQ$69,PLSections,$H111)-SUM(SUMIFS(PBC_PROFIT_AND_LOSS[AccountBalance],PBC_PROFIT_AND_LOSS[Id],_xlfn._xlws.FILTER(PBC_ACCOUNT_LIST[Id],PBC_ACCOUNT_LIST[Drivers Section]=$H111),PBC_PROFIT_AND_LOSS[Date],BQ$5)),0)</f>
        <v>0</v>
      </c>
      <c r="BR111" s="271" cm="1">
        <f t="array" ref="BR111">IF(BR$5&lt;=LatestMonthOfActuals,SUMIFS(BR$10:BR$69,PLSections,$H111)-SUM(SUMIFS(PBC_PROFIT_AND_LOSS[AccountBalance],PBC_PROFIT_AND_LOSS[Id],_xlfn._xlws.FILTER(PBC_ACCOUNT_LIST[Id],PBC_ACCOUNT_LIST[Drivers Section]=$H111),PBC_PROFIT_AND_LOSS[Date],BR$5)),0)</f>
        <v>0</v>
      </c>
      <c r="BS111" s="271" cm="1">
        <f t="array" ref="BS111">IF(BS$5&lt;=LatestMonthOfActuals,SUMIFS(BS$10:BS$69,PLSections,$H111)-SUM(SUMIFS(PBC_PROFIT_AND_LOSS[AccountBalance],PBC_PROFIT_AND_LOSS[Id],_xlfn._xlws.FILTER(PBC_ACCOUNT_LIST[Id],PBC_ACCOUNT_LIST[Drivers Section]=$H111),PBC_PROFIT_AND_LOSS[Date],BS$5)),0)</f>
        <v>0</v>
      </c>
      <c r="BT111" s="271" cm="1">
        <f t="array" ref="BT111">IF(BT$5&lt;=LatestMonthOfActuals,SUMIFS(BT$10:BT$69,PLSections,$H111)-SUM(SUMIFS(PBC_PROFIT_AND_LOSS[AccountBalance],PBC_PROFIT_AND_LOSS[Id],_xlfn._xlws.FILTER(PBC_ACCOUNT_LIST[Id],PBC_ACCOUNT_LIST[Drivers Section]=$H111),PBC_PROFIT_AND_LOSS[Date],BT$5)),0)</f>
        <v>0</v>
      </c>
      <c r="BU111" s="271" cm="1">
        <f t="array" ref="BU111">IF(BU$5&lt;=LatestMonthOfActuals,SUMIFS(BU$10:BU$69,PLSections,$H111)-SUM(SUMIFS(PBC_PROFIT_AND_LOSS[AccountBalance],PBC_PROFIT_AND_LOSS[Id],_xlfn._xlws.FILTER(PBC_ACCOUNT_LIST[Id],PBC_ACCOUNT_LIST[Drivers Section]=$H111),PBC_PROFIT_AND_LOSS[Date],BU$5)),0)</f>
        <v>0</v>
      </c>
      <c r="BV111" s="271" cm="1">
        <f t="array" ref="BV111">IF(BV$5&lt;=LatestMonthOfActuals,SUMIFS(BV$10:BV$69,PLSections,$H111)-SUM(SUMIFS(PBC_PROFIT_AND_LOSS[AccountBalance],PBC_PROFIT_AND_LOSS[Id],_xlfn._xlws.FILTER(PBC_ACCOUNT_LIST[Id],PBC_ACCOUNT_LIST[Drivers Section]=$H111),PBC_PROFIT_AND_LOSS[Date],BV$5)),0)</f>
        <v>0</v>
      </c>
      <c r="BW111" s="271" cm="1">
        <f t="array" ref="BW111">IF(BW$5&lt;=LatestMonthOfActuals,SUMIFS(BW$10:BW$69,PLSections,$H111)-SUM(SUMIFS(PBC_PROFIT_AND_LOSS[AccountBalance],PBC_PROFIT_AND_LOSS[Id],_xlfn._xlws.FILTER(PBC_ACCOUNT_LIST[Id],PBC_ACCOUNT_LIST[Drivers Section]=$H111),PBC_PROFIT_AND_LOSS[Date],BW$5)),0)</f>
        <v>0</v>
      </c>
      <c r="BX111" s="271" cm="1">
        <f t="array" ref="BX111">IF(BX$5&lt;=LatestMonthOfActuals,SUMIFS(BX$10:BX$69,PLSections,$H111)-SUM(SUMIFS(PBC_PROFIT_AND_LOSS[AccountBalance],PBC_PROFIT_AND_LOSS[Id],_xlfn._xlws.FILTER(PBC_ACCOUNT_LIST[Id],PBC_ACCOUNT_LIST[Drivers Section]=$H111),PBC_PROFIT_AND_LOSS[Date],BX$5)),0)</f>
        <v>0</v>
      </c>
      <c r="BY111" s="271" cm="1">
        <f t="array" ref="BY111">IF(BY$5&lt;=LatestMonthOfActuals,SUMIFS(BY$10:BY$69,PLSections,$H111)-SUM(SUMIFS(PBC_PROFIT_AND_LOSS[AccountBalance],PBC_PROFIT_AND_LOSS[Id],_xlfn._xlws.FILTER(PBC_ACCOUNT_LIST[Id],PBC_ACCOUNT_LIST[Drivers Section]=$H111),PBC_PROFIT_AND_LOSS[Date],BY$5)),0)</f>
        <v>0</v>
      </c>
      <c r="BZ111" s="271" cm="1">
        <f t="array" ref="BZ111">IF(BZ$5&lt;=LatestMonthOfActuals,SUMIFS(BZ$10:BZ$69,PLSections,$H111)-SUM(SUMIFS(PBC_PROFIT_AND_LOSS[AccountBalance],PBC_PROFIT_AND_LOSS[Id],_xlfn._xlws.FILTER(PBC_ACCOUNT_LIST[Id],PBC_ACCOUNT_LIST[Drivers Section]=$H111),PBC_PROFIT_AND_LOSS[Date],BZ$5)),0)</f>
        <v>0</v>
      </c>
      <c r="CA111" s="271" cm="1">
        <f t="array" ref="CA111">IF(CA$5&lt;=LatestMonthOfActuals,SUMIFS(CA$10:CA$69,PLSections,$H111)-SUM(SUMIFS(PBC_PROFIT_AND_LOSS[AccountBalance],PBC_PROFIT_AND_LOSS[Id],_xlfn._xlws.FILTER(PBC_ACCOUNT_LIST[Id],PBC_ACCOUNT_LIST[Drivers Section]=$H111),PBC_PROFIT_AND_LOSS[Date],CA$5)),0)</f>
        <v>0</v>
      </c>
      <c r="CB111" s="271" cm="1">
        <f t="array" ref="CB111">IF(CB$5&lt;=LatestMonthOfActuals,SUMIFS(CB$10:CB$69,PLSections,$H111)-SUM(SUMIFS(PBC_PROFIT_AND_LOSS[AccountBalance],PBC_PROFIT_AND_LOSS[Id],_xlfn._xlws.FILTER(PBC_ACCOUNT_LIST[Id],PBC_ACCOUNT_LIST[Drivers Section]=$H111),PBC_PROFIT_AND_LOSS[Date],CB$5)),0)</f>
        <v>0</v>
      </c>
      <c r="CC111" s="271" cm="1">
        <f t="array" ref="CC111">IF(CC$5&lt;=LatestMonthOfActuals,SUMIFS(CC$10:CC$69,PLSections,$H111)-SUM(SUMIFS(PBC_PROFIT_AND_LOSS[AccountBalance],PBC_PROFIT_AND_LOSS[Id],_xlfn._xlws.FILTER(PBC_ACCOUNT_LIST[Id],PBC_ACCOUNT_LIST[Drivers Section]=$H111),PBC_PROFIT_AND_LOSS[Date],CC$5)),0)</f>
        <v>0</v>
      </c>
      <c r="CD111" s="271" cm="1">
        <f t="array" ref="CD111">IF(CD$5&lt;=LatestMonthOfActuals,SUMIFS(CD$10:CD$69,PLSections,$H111)-SUM(SUMIFS(PBC_PROFIT_AND_LOSS[AccountBalance],PBC_PROFIT_AND_LOSS[Id],_xlfn._xlws.FILTER(PBC_ACCOUNT_LIST[Id],PBC_ACCOUNT_LIST[Drivers Section]=$H111),PBC_PROFIT_AND_LOSS[Date],CD$5)),0)</f>
        <v>0</v>
      </c>
      <c r="CE111" s="271" cm="1">
        <f t="array" ref="CE111">IF(CE$5&lt;=LatestMonthOfActuals,SUMIFS(CE$10:CE$69,PLSections,$H111)-SUM(SUMIFS(PBC_PROFIT_AND_LOSS[AccountBalance],PBC_PROFIT_AND_LOSS[Id],_xlfn._xlws.FILTER(PBC_ACCOUNT_LIST[Id],PBC_ACCOUNT_LIST[Drivers Section]=$H111),PBC_PROFIT_AND_LOSS[Date],CE$5)),0)</f>
        <v>0</v>
      </c>
      <c r="CF111" s="271" cm="1">
        <f t="array" ref="CF111">IF(CF$5&lt;=LatestMonthOfActuals,SUMIFS(CF$10:CF$69,PLSections,$H111)-SUM(SUMIFS(PBC_PROFIT_AND_LOSS[AccountBalance],PBC_PROFIT_AND_LOSS[Id],_xlfn._xlws.FILTER(PBC_ACCOUNT_LIST[Id],PBC_ACCOUNT_LIST[Drivers Section]=$H111),PBC_PROFIT_AND_LOSS[Date],CF$5)),0)</f>
        <v>0</v>
      </c>
      <c r="CG111" s="271" cm="1">
        <f t="array" ref="CG111">IF(CG$5&lt;=LatestMonthOfActuals,SUMIFS(CG$10:CG$69,PLSections,$H111)-SUM(SUMIFS(PBC_PROFIT_AND_LOSS[AccountBalance],PBC_PROFIT_AND_LOSS[Id],_xlfn._xlws.FILTER(PBC_ACCOUNT_LIST[Id],PBC_ACCOUNT_LIST[Drivers Section]=$H111),PBC_PROFIT_AND_LOSS[Date],CG$5)),0)</f>
        <v>0</v>
      </c>
      <c r="CH111" s="271" cm="1">
        <f t="array" ref="CH111">IF(CH$5&lt;=LatestMonthOfActuals,SUMIFS(CH$10:CH$69,PLSections,$H111)-SUM(SUMIFS(PBC_PROFIT_AND_LOSS[AccountBalance],PBC_PROFIT_AND_LOSS[Id],_xlfn._xlws.FILTER(PBC_ACCOUNT_LIST[Id],PBC_ACCOUNT_LIST[Drivers Section]=$H111),PBC_PROFIT_AND_LOSS[Date],CH$5)),0)</f>
        <v>0</v>
      </c>
      <c r="CI111" s="271" cm="1">
        <f t="array" ref="CI111">IF(CI$5&lt;=LatestMonthOfActuals,SUMIFS(CI$10:CI$69,PLSections,$H111)-SUM(SUMIFS(PBC_PROFIT_AND_LOSS[AccountBalance],PBC_PROFIT_AND_LOSS[Id],_xlfn._xlws.FILTER(PBC_ACCOUNT_LIST[Id],PBC_ACCOUNT_LIST[Drivers Section]=$H111),PBC_PROFIT_AND_LOSS[Date],CI$5)),0)</f>
        <v>0</v>
      </c>
      <c r="CJ111" s="271" cm="1">
        <f t="array" ref="CJ111">IF(CJ$5&lt;=LatestMonthOfActuals,SUMIFS(CJ$10:CJ$69,PLSections,$H111)-SUM(SUMIFS(PBC_PROFIT_AND_LOSS[AccountBalance],PBC_PROFIT_AND_LOSS[Id],_xlfn._xlws.FILTER(PBC_ACCOUNT_LIST[Id],PBC_ACCOUNT_LIST[Drivers Section]=$H111),PBC_PROFIT_AND_LOSS[Date],CJ$5)),0)</f>
        <v>0</v>
      </c>
    </row>
    <row r="112" spans="1:88" ht="15.6" hidden="1" customHeight="1" outlineLevel="3">
      <c r="B112" s="273" t="s">
        <v>101</v>
      </c>
      <c r="H112" s="273" t="s">
        <v>101</v>
      </c>
      <c r="I112" s="273"/>
      <c r="J112" s="273"/>
      <c r="K112" s="273"/>
      <c r="L112" s="273"/>
      <c r="O112" s="272"/>
      <c r="P112" s="272"/>
      <c r="Q112" s="272"/>
      <c r="R112" s="272"/>
      <c r="S112" s="272"/>
      <c r="T112" s="272"/>
      <c r="U112" s="272"/>
      <c r="AM112" s="272"/>
      <c r="AN112" s="271" cm="1">
        <f t="array" ref="AN112">IF(AN$5&lt;=LatestMonthOfActuals,SUMIFS(AN$10:AN$69,PLSections,$H112)-SUM(SUMIFS(PBC_PROFIT_AND_LOSS[AccountBalance],PBC_PROFIT_AND_LOSS[Id],_xlfn._xlws.FILTER(PBC_ACCOUNT_LIST[Id],PBC_ACCOUNT_LIST[Drivers Section]=$H112),PBC_PROFIT_AND_LOSS[Date],AN$5)),0)</f>
        <v>0</v>
      </c>
      <c r="AO112" s="271" cm="1">
        <f t="array" ref="AO112">IF(AO$5&lt;=LatestMonthOfActuals,SUMIFS(AO$10:AO$69,PLSections,$H112)-SUM(SUMIFS(PBC_PROFIT_AND_LOSS[AccountBalance],PBC_PROFIT_AND_LOSS[Id],_xlfn._xlws.FILTER(PBC_ACCOUNT_LIST[Id],PBC_ACCOUNT_LIST[Drivers Section]=$H112),PBC_PROFIT_AND_LOSS[Date],AO$5)),0)</f>
        <v>0</v>
      </c>
      <c r="AP112" s="271" cm="1">
        <f t="array" ref="AP112">IF(AP$5&lt;=LatestMonthOfActuals,SUMIFS(AP$10:AP$69,PLSections,$H112)-SUM(SUMIFS(PBC_PROFIT_AND_LOSS[AccountBalance],PBC_PROFIT_AND_LOSS[Id],_xlfn._xlws.FILTER(PBC_ACCOUNT_LIST[Id],PBC_ACCOUNT_LIST[Drivers Section]=$H112),PBC_PROFIT_AND_LOSS[Date],AP$5)),0)</f>
        <v>0</v>
      </c>
      <c r="AQ112" s="271" cm="1">
        <f t="array" ref="AQ112">IF(AQ$5&lt;=LatestMonthOfActuals,SUMIFS(AQ$10:AQ$69,PLSections,$H112)-SUM(SUMIFS(PBC_PROFIT_AND_LOSS[AccountBalance],PBC_PROFIT_AND_LOSS[Id],_xlfn._xlws.FILTER(PBC_ACCOUNT_LIST[Id],PBC_ACCOUNT_LIST[Drivers Section]=$H112),PBC_PROFIT_AND_LOSS[Date],AQ$5)),0)</f>
        <v>0</v>
      </c>
      <c r="AR112" s="271" cm="1">
        <f t="array" ref="AR112">IF(AR$5&lt;=LatestMonthOfActuals,SUMIFS(AR$10:AR$69,PLSections,$H112)-SUM(SUMIFS(PBC_PROFIT_AND_LOSS[AccountBalance],PBC_PROFIT_AND_LOSS[Id],_xlfn._xlws.FILTER(PBC_ACCOUNT_LIST[Id],PBC_ACCOUNT_LIST[Drivers Section]=$H112),PBC_PROFIT_AND_LOSS[Date],AR$5)),0)</f>
        <v>0</v>
      </c>
      <c r="AS112" s="271" cm="1">
        <f t="array" ref="AS112">IF(AS$5&lt;=LatestMonthOfActuals,SUMIFS(AS$10:AS$69,PLSections,$H112)-SUM(SUMIFS(PBC_PROFIT_AND_LOSS[AccountBalance],PBC_PROFIT_AND_LOSS[Id],_xlfn._xlws.FILTER(PBC_ACCOUNT_LIST[Id],PBC_ACCOUNT_LIST[Drivers Section]=$H112),PBC_PROFIT_AND_LOSS[Date],AS$5)),0)</f>
        <v>0</v>
      </c>
      <c r="AT112" s="271" cm="1">
        <f t="array" ref="AT112">IF(AT$5&lt;=LatestMonthOfActuals,SUMIFS(AT$10:AT$69,PLSections,$H112)-SUM(SUMIFS(PBC_PROFIT_AND_LOSS[AccountBalance],PBC_PROFIT_AND_LOSS[Id],_xlfn._xlws.FILTER(PBC_ACCOUNT_LIST[Id],PBC_ACCOUNT_LIST[Drivers Section]=$H112),PBC_PROFIT_AND_LOSS[Date],AT$5)),0)</f>
        <v>0</v>
      </c>
      <c r="AU112" s="271" cm="1">
        <f t="array" ref="AU112">IF(AU$5&lt;=LatestMonthOfActuals,SUMIFS(AU$10:AU$69,PLSections,$H112)-SUM(SUMIFS(PBC_PROFIT_AND_LOSS[AccountBalance],PBC_PROFIT_AND_LOSS[Id],_xlfn._xlws.FILTER(PBC_ACCOUNT_LIST[Id],PBC_ACCOUNT_LIST[Drivers Section]=$H112),PBC_PROFIT_AND_LOSS[Date],AU$5)),0)</f>
        <v>0</v>
      </c>
      <c r="AV112" s="271" cm="1">
        <f t="array" ref="AV112">IF(AV$5&lt;=LatestMonthOfActuals,SUMIFS(AV$10:AV$69,PLSections,$H112)-SUM(SUMIFS(PBC_PROFIT_AND_LOSS[AccountBalance],PBC_PROFIT_AND_LOSS[Id],_xlfn._xlws.FILTER(PBC_ACCOUNT_LIST[Id],PBC_ACCOUNT_LIST[Drivers Section]=$H112),PBC_PROFIT_AND_LOSS[Date],AV$5)),0)</f>
        <v>0</v>
      </c>
      <c r="AW112" s="271" cm="1">
        <f t="array" ref="AW112">IF(AW$5&lt;=LatestMonthOfActuals,SUMIFS(AW$10:AW$69,PLSections,$H112)-SUM(SUMIFS(PBC_PROFIT_AND_LOSS[AccountBalance],PBC_PROFIT_AND_LOSS[Id],_xlfn._xlws.FILTER(PBC_ACCOUNT_LIST[Id],PBC_ACCOUNT_LIST[Drivers Section]=$H112),PBC_PROFIT_AND_LOSS[Date],AW$5)),0)</f>
        <v>0</v>
      </c>
      <c r="AX112" s="271" cm="1">
        <f t="array" ref="AX112">IF(AX$5&lt;=LatestMonthOfActuals,SUMIFS(AX$10:AX$69,PLSections,$H112)-SUM(SUMIFS(PBC_PROFIT_AND_LOSS[AccountBalance],PBC_PROFIT_AND_LOSS[Id],_xlfn._xlws.FILTER(PBC_ACCOUNT_LIST[Id],PBC_ACCOUNT_LIST[Drivers Section]=$H112),PBC_PROFIT_AND_LOSS[Date],AX$5)),0)</f>
        <v>0</v>
      </c>
      <c r="AY112" s="271" cm="1">
        <f t="array" ref="AY112">IF(AY$5&lt;=LatestMonthOfActuals,SUMIFS(AY$10:AY$69,PLSections,$H112)-SUM(SUMIFS(PBC_PROFIT_AND_LOSS[AccountBalance],PBC_PROFIT_AND_LOSS[Id],_xlfn._xlws.FILTER(PBC_ACCOUNT_LIST[Id],PBC_ACCOUNT_LIST[Drivers Section]=$H112),PBC_PROFIT_AND_LOSS[Date],AY$5)),0)</f>
        <v>0</v>
      </c>
      <c r="AZ112" s="271" cm="1">
        <f t="array" ref="AZ112">IF(AZ$5&lt;=LatestMonthOfActuals,SUMIFS(AZ$10:AZ$69,PLSections,$H112)-SUM(SUMIFS(PBC_PROFIT_AND_LOSS[AccountBalance],PBC_PROFIT_AND_LOSS[Id],_xlfn._xlws.FILTER(PBC_ACCOUNT_LIST[Id],PBC_ACCOUNT_LIST[Drivers Section]=$H112),PBC_PROFIT_AND_LOSS[Date],AZ$5)),0)</f>
        <v>0</v>
      </c>
      <c r="BA112" s="271" cm="1">
        <f t="array" ref="BA112">IF(BA$5&lt;=LatestMonthOfActuals,SUMIFS(BA$10:BA$69,PLSections,$H112)-SUM(SUMIFS(PBC_PROFIT_AND_LOSS[AccountBalance],PBC_PROFIT_AND_LOSS[Id],_xlfn._xlws.FILTER(PBC_ACCOUNT_LIST[Id],PBC_ACCOUNT_LIST[Drivers Section]=$H112),PBC_PROFIT_AND_LOSS[Date],BA$5)),0)</f>
        <v>0</v>
      </c>
      <c r="BB112" s="271" cm="1">
        <f t="array" ref="BB112">IF(BB$5&lt;=LatestMonthOfActuals,SUMIFS(BB$10:BB$69,PLSections,$H112)-SUM(SUMIFS(PBC_PROFIT_AND_LOSS[AccountBalance],PBC_PROFIT_AND_LOSS[Id],_xlfn._xlws.FILTER(PBC_ACCOUNT_LIST[Id],PBC_ACCOUNT_LIST[Drivers Section]=$H112),PBC_PROFIT_AND_LOSS[Date],BB$5)),0)</f>
        <v>0</v>
      </c>
      <c r="BC112" s="271" cm="1">
        <f t="array" ref="BC112">IF(BC$5&lt;=LatestMonthOfActuals,SUMIFS(BC$10:BC$69,PLSections,$H112)-SUM(SUMIFS(PBC_PROFIT_AND_LOSS[AccountBalance],PBC_PROFIT_AND_LOSS[Id],_xlfn._xlws.FILTER(PBC_ACCOUNT_LIST[Id],PBC_ACCOUNT_LIST[Drivers Section]=$H112),PBC_PROFIT_AND_LOSS[Date],BC$5)),0)</f>
        <v>0</v>
      </c>
      <c r="BD112" s="271" cm="1">
        <f t="array" ref="BD112">IF(BD$5&lt;=LatestMonthOfActuals,SUMIFS(BD$10:BD$69,PLSections,$H112)-SUM(SUMIFS(PBC_PROFIT_AND_LOSS[AccountBalance],PBC_PROFIT_AND_LOSS[Id],_xlfn._xlws.FILTER(PBC_ACCOUNT_LIST[Id],PBC_ACCOUNT_LIST[Drivers Section]=$H112),PBC_PROFIT_AND_LOSS[Date],BD$5)),0)</f>
        <v>0</v>
      </c>
      <c r="BE112" s="271" cm="1">
        <f t="array" ref="BE112">IF(BE$5&lt;=LatestMonthOfActuals,SUMIFS(BE$10:BE$69,PLSections,$H112)-SUM(SUMIFS(PBC_PROFIT_AND_LOSS[AccountBalance],PBC_PROFIT_AND_LOSS[Id],_xlfn._xlws.FILTER(PBC_ACCOUNT_LIST[Id],PBC_ACCOUNT_LIST[Drivers Section]=$H112),PBC_PROFIT_AND_LOSS[Date],BE$5)),0)</f>
        <v>0</v>
      </c>
      <c r="BF112" s="271" cm="1">
        <f t="array" ref="BF112">IF(BF$5&lt;=LatestMonthOfActuals,SUMIFS(BF$10:BF$69,PLSections,$H112)-SUM(SUMIFS(PBC_PROFIT_AND_LOSS[AccountBalance],PBC_PROFIT_AND_LOSS[Id],_xlfn._xlws.FILTER(PBC_ACCOUNT_LIST[Id],PBC_ACCOUNT_LIST[Drivers Section]=$H112),PBC_PROFIT_AND_LOSS[Date],BF$5)),0)</f>
        <v>0</v>
      </c>
      <c r="BG112" s="271" cm="1">
        <f t="array" ref="BG112">IF(BG$5&lt;=LatestMonthOfActuals,SUMIFS(BG$10:BG$69,PLSections,$H112)-SUM(SUMIFS(PBC_PROFIT_AND_LOSS[AccountBalance],PBC_PROFIT_AND_LOSS[Id],_xlfn._xlws.FILTER(PBC_ACCOUNT_LIST[Id],PBC_ACCOUNT_LIST[Drivers Section]=$H112),PBC_PROFIT_AND_LOSS[Date],BG$5)),0)</f>
        <v>0</v>
      </c>
      <c r="BH112" s="271" cm="1">
        <f t="array" ref="BH112">IF(BH$5&lt;=LatestMonthOfActuals,SUMIFS(BH$10:BH$69,PLSections,$H112)-SUM(SUMIFS(PBC_PROFIT_AND_LOSS[AccountBalance],PBC_PROFIT_AND_LOSS[Id],_xlfn._xlws.FILTER(PBC_ACCOUNT_LIST[Id],PBC_ACCOUNT_LIST[Drivers Section]=$H112),PBC_PROFIT_AND_LOSS[Date],BH$5)),0)</f>
        <v>0</v>
      </c>
      <c r="BI112" s="271" cm="1">
        <f t="array" ref="BI112">IF(BI$5&lt;=LatestMonthOfActuals,SUMIFS(BI$10:BI$69,PLSections,$H112)-SUM(SUMIFS(PBC_PROFIT_AND_LOSS[AccountBalance],PBC_PROFIT_AND_LOSS[Id],_xlfn._xlws.FILTER(PBC_ACCOUNT_LIST[Id],PBC_ACCOUNT_LIST[Drivers Section]=$H112),PBC_PROFIT_AND_LOSS[Date],BI$5)),0)</f>
        <v>0</v>
      </c>
      <c r="BJ112" s="271" cm="1">
        <f t="array" ref="BJ112">IF(BJ$5&lt;=LatestMonthOfActuals,SUMIFS(BJ$10:BJ$69,PLSections,$H112)-SUM(SUMIFS(PBC_PROFIT_AND_LOSS[AccountBalance],PBC_PROFIT_AND_LOSS[Id],_xlfn._xlws.FILTER(PBC_ACCOUNT_LIST[Id],PBC_ACCOUNT_LIST[Drivers Section]=$H112),PBC_PROFIT_AND_LOSS[Date],BJ$5)),0)</f>
        <v>0</v>
      </c>
      <c r="BK112" s="271" cm="1">
        <f t="array" ref="BK112">IF(BK$5&lt;=LatestMonthOfActuals,SUMIFS(BK$10:BK$69,PLSections,$H112)-SUM(SUMIFS(PBC_PROFIT_AND_LOSS[AccountBalance],PBC_PROFIT_AND_LOSS[Id],_xlfn._xlws.FILTER(PBC_ACCOUNT_LIST[Id],PBC_ACCOUNT_LIST[Drivers Section]=$H112),PBC_PROFIT_AND_LOSS[Date],BK$5)),0)</f>
        <v>0</v>
      </c>
      <c r="BL112" s="271" cm="1">
        <f t="array" ref="BL112">IF(BL$5&lt;=LatestMonthOfActuals,SUMIFS(BL$10:BL$69,PLSections,$H112)-SUM(SUMIFS(PBC_PROFIT_AND_LOSS[AccountBalance],PBC_PROFIT_AND_LOSS[Id],_xlfn._xlws.FILTER(PBC_ACCOUNT_LIST[Id],PBC_ACCOUNT_LIST[Drivers Section]=$H112),PBC_PROFIT_AND_LOSS[Date],BL$5)),0)</f>
        <v>0</v>
      </c>
      <c r="BM112" s="271" cm="1">
        <f t="array" ref="BM112">IF(BM$5&lt;=LatestMonthOfActuals,SUMIFS(BM$10:BM$69,PLSections,$H112)-SUM(SUMIFS(PBC_PROFIT_AND_LOSS[AccountBalance],PBC_PROFIT_AND_LOSS[Id],_xlfn._xlws.FILTER(PBC_ACCOUNT_LIST[Id],PBC_ACCOUNT_LIST[Drivers Section]=$H112),PBC_PROFIT_AND_LOSS[Date],BM$5)),0)</f>
        <v>0</v>
      </c>
      <c r="BN112" s="271" cm="1">
        <f t="array" ref="BN112">IF(BN$5&lt;=LatestMonthOfActuals,SUMIFS(BN$10:BN$69,PLSections,$H112)-SUM(SUMIFS(PBC_PROFIT_AND_LOSS[AccountBalance],PBC_PROFIT_AND_LOSS[Id],_xlfn._xlws.FILTER(PBC_ACCOUNT_LIST[Id],PBC_ACCOUNT_LIST[Drivers Section]=$H112),PBC_PROFIT_AND_LOSS[Date],BN$5)),0)</f>
        <v>0</v>
      </c>
      <c r="BO112" s="271" cm="1">
        <f t="array" ref="BO112">IF(BO$5&lt;=LatestMonthOfActuals,SUMIFS(BO$10:BO$69,PLSections,$H112)-SUM(SUMIFS(PBC_PROFIT_AND_LOSS[AccountBalance],PBC_PROFIT_AND_LOSS[Id],_xlfn._xlws.FILTER(PBC_ACCOUNT_LIST[Id],PBC_ACCOUNT_LIST[Drivers Section]=$H112),PBC_PROFIT_AND_LOSS[Date],BO$5)),0)</f>
        <v>0</v>
      </c>
      <c r="BP112" s="271" cm="1">
        <f t="array" ref="BP112">IF(BP$5&lt;=LatestMonthOfActuals,SUMIFS(BP$10:BP$69,PLSections,$H112)-SUM(SUMIFS(PBC_PROFIT_AND_LOSS[AccountBalance],PBC_PROFIT_AND_LOSS[Id],_xlfn._xlws.FILTER(PBC_ACCOUNT_LIST[Id],PBC_ACCOUNT_LIST[Drivers Section]=$H112),PBC_PROFIT_AND_LOSS[Date],BP$5)),0)</f>
        <v>0</v>
      </c>
      <c r="BQ112" s="271" cm="1">
        <f t="array" ref="BQ112">IF(BQ$5&lt;=LatestMonthOfActuals,SUMIFS(BQ$10:BQ$69,PLSections,$H112)-SUM(SUMIFS(PBC_PROFIT_AND_LOSS[AccountBalance],PBC_PROFIT_AND_LOSS[Id],_xlfn._xlws.FILTER(PBC_ACCOUNT_LIST[Id],PBC_ACCOUNT_LIST[Drivers Section]=$H112),PBC_PROFIT_AND_LOSS[Date],BQ$5)),0)</f>
        <v>0</v>
      </c>
      <c r="BR112" s="271" cm="1">
        <f t="array" ref="BR112">IF(BR$5&lt;=LatestMonthOfActuals,SUMIFS(BR$10:BR$69,PLSections,$H112)-SUM(SUMIFS(PBC_PROFIT_AND_LOSS[AccountBalance],PBC_PROFIT_AND_LOSS[Id],_xlfn._xlws.FILTER(PBC_ACCOUNT_LIST[Id],PBC_ACCOUNT_LIST[Drivers Section]=$H112),PBC_PROFIT_AND_LOSS[Date],BR$5)),0)</f>
        <v>0</v>
      </c>
      <c r="BS112" s="271" cm="1">
        <f t="array" ref="BS112">IF(BS$5&lt;=LatestMonthOfActuals,SUMIFS(BS$10:BS$69,PLSections,$H112)-SUM(SUMIFS(PBC_PROFIT_AND_LOSS[AccountBalance],PBC_PROFIT_AND_LOSS[Id],_xlfn._xlws.FILTER(PBC_ACCOUNT_LIST[Id],PBC_ACCOUNT_LIST[Drivers Section]=$H112),PBC_PROFIT_AND_LOSS[Date],BS$5)),0)</f>
        <v>5.8207660913467407E-11</v>
      </c>
      <c r="BT112" s="271" cm="1">
        <f t="array" ref="BT112">IF(BT$5&lt;=LatestMonthOfActuals,SUMIFS(BT$10:BT$69,PLSections,$H112)-SUM(SUMIFS(PBC_PROFIT_AND_LOSS[AccountBalance],PBC_PROFIT_AND_LOSS[Id],_xlfn._xlws.FILTER(PBC_ACCOUNT_LIST[Id],PBC_ACCOUNT_LIST[Drivers Section]=$H112),PBC_PROFIT_AND_LOSS[Date],BT$5)),0)</f>
        <v>5.8207660913467407E-11</v>
      </c>
      <c r="BU112" s="271" cm="1">
        <f t="array" ref="BU112">IF(BU$5&lt;=LatestMonthOfActuals,SUMIFS(BU$10:BU$69,PLSections,$H112)-SUM(SUMIFS(PBC_PROFIT_AND_LOSS[AccountBalance],PBC_PROFIT_AND_LOSS[Id],_xlfn._xlws.FILTER(PBC_ACCOUNT_LIST[Id],PBC_ACCOUNT_LIST[Drivers Section]=$H112),PBC_PROFIT_AND_LOSS[Date],BU$5)),0)</f>
        <v>0</v>
      </c>
      <c r="BV112" s="271" cm="1">
        <f t="array" ref="BV112">IF(BV$5&lt;=LatestMonthOfActuals,SUMIFS(BV$10:BV$69,PLSections,$H112)-SUM(SUMIFS(PBC_PROFIT_AND_LOSS[AccountBalance],PBC_PROFIT_AND_LOSS[Id],_xlfn._xlws.FILTER(PBC_ACCOUNT_LIST[Id],PBC_ACCOUNT_LIST[Drivers Section]=$H112),PBC_PROFIT_AND_LOSS[Date],BV$5)),0)</f>
        <v>-5.8207660913467407E-11</v>
      </c>
      <c r="BW112" s="271" cm="1">
        <f t="array" ref="BW112">IF(BW$5&lt;=LatestMonthOfActuals,SUMIFS(BW$10:BW$69,PLSections,$H112)-SUM(SUMIFS(PBC_PROFIT_AND_LOSS[AccountBalance],PBC_PROFIT_AND_LOSS[Id],_xlfn._xlws.FILTER(PBC_ACCOUNT_LIST[Id],PBC_ACCOUNT_LIST[Drivers Section]=$H112),PBC_PROFIT_AND_LOSS[Date],BW$5)),0)</f>
        <v>5.8207660913467407E-11</v>
      </c>
      <c r="BX112" s="271" cm="1">
        <f t="array" ref="BX112">IF(BX$5&lt;=LatestMonthOfActuals,SUMIFS(BX$10:BX$69,PLSections,$H112)-SUM(SUMIFS(PBC_PROFIT_AND_LOSS[AccountBalance],PBC_PROFIT_AND_LOSS[Id],_xlfn._xlws.FILTER(PBC_ACCOUNT_LIST[Id],PBC_ACCOUNT_LIST[Drivers Section]=$H112),PBC_PROFIT_AND_LOSS[Date],BX$5)),0)</f>
        <v>0</v>
      </c>
      <c r="BY112" s="271" cm="1">
        <f t="array" ref="BY112">IF(BY$5&lt;=LatestMonthOfActuals,SUMIFS(BY$10:BY$69,PLSections,$H112)-SUM(SUMIFS(PBC_PROFIT_AND_LOSS[AccountBalance],PBC_PROFIT_AND_LOSS[Id],_xlfn._xlws.FILTER(PBC_ACCOUNT_LIST[Id],PBC_ACCOUNT_LIST[Drivers Section]=$H112),PBC_PROFIT_AND_LOSS[Date],BY$5)),0)</f>
        <v>0</v>
      </c>
      <c r="BZ112" s="271" cm="1">
        <f t="array" ref="BZ112">IF(BZ$5&lt;=LatestMonthOfActuals,SUMIFS(BZ$10:BZ$69,PLSections,$H112)-SUM(SUMIFS(PBC_PROFIT_AND_LOSS[AccountBalance],PBC_PROFIT_AND_LOSS[Id],_xlfn._xlws.FILTER(PBC_ACCOUNT_LIST[Id],PBC_ACCOUNT_LIST[Drivers Section]=$H112),PBC_PROFIT_AND_LOSS[Date],BZ$5)),0)</f>
        <v>0</v>
      </c>
      <c r="CA112" s="271" cm="1">
        <f t="array" ref="CA112">IF(CA$5&lt;=LatestMonthOfActuals,SUMIFS(CA$10:CA$69,PLSections,$H112)-SUM(SUMIFS(PBC_PROFIT_AND_LOSS[AccountBalance],PBC_PROFIT_AND_LOSS[Id],_xlfn._xlws.FILTER(PBC_ACCOUNT_LIST[Id],PBC_ACCOUNT_LIST[Drivers Section]=$H112),PBC_PROFIT_AND_LOSS[Date],CA$5)),0)</f>
        <v>0</v>
      </c>
      <c r="CB112" s="271" cm="1">
        <f t="array" ref="CB112">IF(CB$5&lt;=LatestMonthOfActuals,SUMIFS(CB$10:CB$69,PLSections,$H112)-SUM(SUMIFS(PBC_PROFIT_AND_LOSS[AccountBalance],PBC_PROFIT_AND_LOSS[Id],_xlfn._xlws.FILTER(PBC_ACCOUNT_LIST[Id],PBC_ACCOUNT_LIST[Drivers Section]=$H112),PBC_PROFIT_AND_LOSS[Date],CB$5)),0)</f>
        <v>0</v>
      </c>
      <c r="CC112" s="271" cm="1">
        <f t="array" ref="CC112">IF(CC$5&lt;=LatestMonthOfActuals,SUMIFS(CC$10:CC$69,PLSections,$H112)-SUM(SUMIFS(PBC_PROFIT_AND_LOSS[AccountBalance],PBC_PROFIT_AND_LOSS[Id],_xlfn._xlws.FILTER(PBC_ACCOUNT_LIST[Id],PBC_ACCOUNT_LIST[Drivers Section]=$H112),PBC_PROFIT_AND_LOSS[Date],CC$5)),0)</f>
        <v>0</v>
      </c>
      <c r="CD112" s="271" cm="1">
        <f t="array" ref="CD112">IF(CD$5&lt;=LatestMonthOfActuals,SUMIFS(CD$10:CD$69,PLSections,$H112)-SUM(SUMIFS(PBC_PROFIT_AND_LOSS[AccountBalance],PBC_PROFIT_AND_LOSS[Id],_xlfn._xlws.FILTER(PBC_ACCOUNT_LIST[Id],PBC_ACCOUNT_LIST[Drivers Section]=$H112),PBC_PROFIT_AND_LOSS[Date],CD$5)),0)</f>
        <v>0</v>
      </c>
      <c r="CE112" s="271" cm="1">
        <f t="array" ref="CE112">IF(CE$5&lt;=LatestMonthOfActuals,SUMIFS(CE$10:CE$69,PLSections,$H112)-SUM(SUMIFS(PBC_PROFIT_AND_LOSS[AccountBalance],PBC_PROFIT_AND_LOSS[Id],_xlfn._xlws.FILTER(PBC_ACCOUNT_LIST[Id],PBC_ACCOUNT_LIST[Drivers Section]=$H112),PBC_PROFIT_AND_LOSS[Date],CE$5)),0)</f>
        <v>0</v>
      </c>
      <c r="CF112" s="271" cm="1">
        <f t="array" ref="CF112">IF(CF$5&lt;=LatestMonthOfActuals,SUMIFS(CF$10:CF$69,PLSections,$H112)-SUM(SUMIFS(PBC_PROFIT_AND_LOSS[AccountBalance],PBC_PROFIT_AND_LOSS[Id],_xlfn._xlws.FILTER(PBC_ACCOUNT_LIST[Id],PBC_ACCOUNT_LIST[Drivers Section]=$H112),PBC_PROFIT_AND_LOSS[Date],CF$5)),0)</f>
        <v>0</v>
      </c>
      <c r="CG112" s="271" cm="1">
        <f t="array" ref="CG112">IF(CG$5&lt;=LatestMonthOfActuals,SUMIFS(CG$10:CG$69,PLSections,$H112)-SUM(SUMIFS(PBC_PROFIT_AND_LOSS[AccountBalance],PBC_PROFIT_AND_LOSS[Id],_xlfn._xlws.FILTER(PBC_ACCOUNT_LIST[Id],PBC_ACCOUNT_LIST[Drivers Section]=$H112),PBC_PROFIT_AND_LOSS[Date],CG$5)),0)</f>
        <v>0</v>
      </c>
      <c r="CH112" s="271" cm="1">
        <f t="array" ref="CH112">IF(CH$5&lt;=LatestMonthOfActuals,SUMIFS(CH$10:CH$69,PLSections,$H112)-SUM(SUMIFS(PBC_PROFIT_AND_LOSS[AccountBalance],PBC_PROFIT_AND_LOSS[Id],_xlfn._xlws.FILTER(PBC_ACCOUNT_LIST[Id],PBC_ACCOUNT_LIST[Drivers Section]=$H112),PBC_PROFIT_AND_LOSS[Date],CH$5)),0)</f>
        <v>0</v>
      </c>
      <c r="CI112" s="271" cm="1">
        <f t="array" ref="CI112">IF(CI$5&lt;=LatestMonthOfActuals,SUMIFS(CI$10:CI$69,PLSections,$H112)-SUM(SUMIFS(PBC_PROFIT_AND_LOSS[AccountBalance],PBC_PROFIT_AND_LOSS[Id],_xlfn._xlws.FILTER(PBC_ACCOUNT_LIST[Id],PBC_ACCOUNT_LIST[Drivers Section]=$H112),PBC_PROFIT_AND_LOSS[Date],CI$5)),0)</f>
        <v>0</v>
      </c>
      <c r="CJ112" s="271" cm="1">
        <f t="array" ref="CJ112">IF(CJ$5&lt;=LatestMonthOfActuals,SUMIFS(CJ$10:CJ$69,PLSections,$H112)-SUM(SUMIFS(PBC_PROFIT_AND_LOSS[AccountBalance],PBC_PROFIT_AND_LOSS[Id],_xlfn._xlws.FILTER(PBC_ACCOUNT_LIST[Id],PBC_ACCOUNT_LIST[Drivers Section]=$H112),PBC_PROFIT_AND_LOSS[Date],CJ$5)),0)</f>
        <v>0</v>
      </c>
    </row>
    <row r="113" spans="2:88" ht="15.6" hidden="1" customHeight="1" outlineLevel="3">
      <c r="B113" s="273" t="s">
        <v>130</v>
      </c>
      <c r="H113" s="273" t="s">
        <v>130</v>
      </c>
      <c r="I113" s="273"/>
      <c r="J113" s="273"/>
      <c r="K113" s="273"/>
      <c r="L113" s="273"/>
      <c r="O113" s="272"/>
      <c r="P113" s="272"/>
      <c r="Q113" s="272"/>
      <c r="R113" s="272"/>
      <c r="S113" s="272"/>
      <c r="T113" s="272"/>
      <c r="U113" s="272"/>
      <c r="AM113" s="272"/>
      <c r="AN113" s="271" cm="1">
        <f t="array" ref="AN113">IF(AN$5&lt;=LatestMonthOfActuals,SUMIFS(AN$10:AN$69,PLSections,$H113)-SUM(SUMIFS(PBC_PROFIT_AND_LOSS[AccountBalance],PBC_PROFIT_AND_LOSS[Id],_xlfn._xlws.FILTER(PBC_ACCOUNT_LIST[Id],PBC_ACCOUNT_LIST[Drivers Section]=$H113),PBC_PROFIT_AND_LOSS[Date],AN$5)),0)</f>
        <v>0</v>
      </c>
      <c r="AO113" s="271" cm="1">
        <f t="array" ref="AO113">IF(AO$5&lt;=LatestMonthOfActuals,SUMIFS(AO$10:AO$69,PLSections,$H113)-SUM(SUMIFS(PBC_PROFIT_AND_LOSS[AccountBalance],PBC_PROFIT_AND_LOSS[Id],_xlfn._xlws.FILTER(PBC_ACCOUNT_LIST[Id],PBC_ACCOUNT_LIST[Drivers Section]=$H113),PBC_PROFIT_AND_LOSS[Date],AO$5)),0)</f>
        <v>0</v>
      </c>
      <c r="AP113" s="271" cm="1">
        <f t="array" ref="AP113">IF(AP$5&lt;=LatestMonthOfActuals,SUMIFS(AP$10:AP$69,PLSections,$H113)-SUM(SUMIFS(PBC_PROFIT_AND_LOSS[AccountBalance],PBC_PROFIT_AND_LOSS[Id],_xlfn._xlws.FILTER(PBC_ACCOUNT_LIST[Id],PBC_ACCOUNT_LIST[Drivers Section]=$H113),PBC_PROFIT_AND_LOSS[Date],AP$5)),0)</f>
        <v>0</v>
      </c>
      <c r="AQ113" s="271" cm="1">
        <f t="array" ref="AQ113">IF(AQ$5&lt;=LatestMonthOfActuals,SUMIFS(AQ$10:AQ$69,PLSections,$H113)-SUM(SUMIFS(PBC_PROFIT_AND_LOSS[AccountBalance],PBC_PROFIT_AND_LOSS[Id],_xlfn._xlws.FILTER(PBC_ACCOUNT_LIST[Id],PBC_ACCOUNT_LIST[Drivers Section]=$H113),PBC_PROFIT_AND_LOSS[Date],AQ$5)),0)</f>
        <v>0</v>
      </c>
      <c r="AR113" s="271" cm="1">
        <f t="array" ref="AR113">IF(AR$5&lt;=LatestMonthOfActuals,SUMIFS(AR$10:AR$69,PLSections,$H113)-SUM(SUMIFS(PBC_PROFIT_AND_LOSS[AccountBalance],PBC_PROFIT_AND_LOSS[Id],_xlfn._xlws.FILTER(PBC_ACCOUNT_LIST[Id],PBC_ACCOUNT_LIST[Drivers Section]=$H113),PBC_PROFIT_AND_LOSS[Date],AR$5)),0)</f>
        <v>0</v>
      </c>
      <c r="AS113" s="271" cm="1">
        <f t="array" ref="AS113">IF(AS$5&lt;=LatestMonthOfActuals,SUMIFS(AS$10:AS$69,PLSections,$H113)-SUM(SUMIFS(PBC_PROFIT_AND_LOSS[AccountBalance],PBC_PROFIT_AND_LOSS[Id],_xlfn._xlws.FILTER(PBC_ACCOUNT_LIST[Id],PBC_ACCOUNT_LIST[Drivers Section]=$H113),PBC_PROFIT_AND_LOSS[Date],AS$5)),0)</f>
        <v>0</v>
      </c>
      <c r="AT113" s="271" cm="1">
        <f t="array" ref="AT113">IF(AT$5&lt;=LatestMonthOfActuals,SUMIFS(AT$10:AT$69,PLSections,$H113)-SUM(SUMIFS(PBC_PROFIT_AND_LOSS[AccountBalance],PBC_PROFIT_AND_LOSS[Id],_xlfn._xlws.FILTER(PBC_ACCOUNT_LIST[Id],PBC_ACCOUNT_LIST[Drivers Section]=$H113),PBC_PROFIT_AND_LOSS[Date],AT$5)),0)</f>
        <v>0</v>
      </c>
      <c r="AU113" s="271" cm="1">
        <f t="array" ref="AU113">IF(AU$5&lt;=LatestMonthOfActuals,SUMIFS(AU$10:AU$69,PLSections,$H113)-SUM(SUMIFS(PBC_PROFIT_AND_LOSS[AccountBalance],PBC_PROFIT_AND_LOSS[Id],_xlfn._xlws.FILTER(PBC_ACCOUNT_LIST[Id],PBC_ACCOUNT_LIST[Drivers Section]=$H113),PBC_PROFIT_AND_LOSS[Date],AU$5)),0)</f>
        <v>0</v>
      </c>
      <c r="AV113" s="271" cm="1">
        <f t="array" ref="AV113">IF(AV$5&lt;=LatestMonthOfActuals,SUMIFS(AV$10:AV$69,PLSections,$H113)-SUM(SUMIFS(PBC_PROFIT_AND_LOSS[AccountBalance],PBC_PROFIT_AND_LOSS[Id],_xlfn._xlws.FILTER(PBC_ACCOUNT_LIST[Id],PBC_ACCOUNT_LIST[Drivers Section]=$H113),PBC_PROFIT_AND_LOSS[Date],AV$5)),0)</f>
        <v>0</v>
      </c>
      <c r="AW113" s="271" cm="1">
        <f t="array" ref="AW113">IF(AW$5&lt;=LatestMonthOfActuals,SUMIFS(AW$10:AW$69,PLSections,$H113)-SUM(SUMIFS(PBC_PROFIT_AND_LOSS[AccountBalance],PBC_PROFIT_AND_LOSS[Id],_xlfn._xlws.FILTER(PBC_ACCOUNT_LIST[Id],PBC_ACCOUNT_LIST[Drivers Section]=$H113),PBC_PROFIT_AND_LOSS[Date],AW$5)),0)</f>
        <v>0</v>
      </c>
      <c r="AX113" s="271" cm="1">
        <f t="array" ref="AX113">IF(AX$5&lt;=LatestMonthOfActuals,SUMIFS(AX$10:AX$69,PLSections,$H113)-SUM(SUMIFS(PBC_PROFIT_AND_LOSS[AccountBalance],PBC_PROFIT_AND_LOSS[Id],_xlfn._xlws.FILTER(PBC_ACCOUNT_LIST[Id],PBC_ACCOUNT_LIST[Drivers Section]=$H113),PBC_PROFIT_AND_LOSS[Date],AX$5)),0)</f>
        <v>0</v>
      </c>
      <c r="AY113" s="271" cm="1">
        <f t="array" ref="AY113">IF(AY$5&lt;=LatestMonthOfActuals,SUMIFS(AY$10:AY$69,PLSections,$H113)-SUM(SUMIFS(PBC_PROFIT_AND_LOSS[AccountBalance],PBC_PROFIT_AND_LOSS[Id],_xlfn._xlws.FILTER(PBC_ACCOUNT_LIST[Id],PBC_ACCOUNT_LIST[Drivers Section]=$H113),PBC_PROFIT_AND_LOSS[Date],AY$5)),0)</f>
        <v>0</v>
      </c>
      <c r="AZ113" s="271" cm="1">
        <f t="array" ref="AZ113">IF(AZ$5&lt;=LatestMonthOfActuals,SUMIFS(AZ$10:AZ$69,PLSections,$H113)-SUM(SUMIFS(PBC_PROFIT_AND_LOSS[AccountBalance],PBC_PROFIT_AND_LOSS[Id],_xlfn._xlws.FILTER(PBC_ACCOUNT_LIST[Id],PBC_ACCOUNT_LIST[Drivers Section]=$H113),PBC_PROFIT_AND_LOSS[Date],AZ$5)),0)</f>
        <v>0</v>
      </c>
      <c r="BA113" s="271" cm="1">
        <f t="array" ref="BA113">IF(BA$5&lt;=LatestMonthOfActuals,SUMIFS(BA$10:BA$69,PLSections,$H113)-SUM(SUMIFS(PBC_PROFIT_AND_LOSS[AccountBalance],PBC_PROFIT_AND_LOSS[Id],_xlfn._xlws.FILTER(PBC_ACCOUNT_LIST[Id],PBC_ACCOUNT_LIST[Drivers Section]=$H113),PBC_PROFIT_AND_LOSS[Date],BA$5)),0)</f>
        <v>0</v>
      </c>
      <c r="BB113" s="271" cm="1">
        <f t="array" ref="BB113">IF(BB$5&lt;=LatestMonthOfActuals,SUMIFS(BB$10:BB$69,PLSections,$H113)-SUM(SUMIFS(PBC_PROFIT_AND_LOSS[AccountBalance],PBC_PROFIT_AND_LOSS[Id],_xlfn._xlws.FILTER(PBC_ACCOUNT_LIST[Id],PBC_ACCOUNT_LIST[Drivers Section]=$H113),PBC_PROFIT_AND_LOSS[Date],BB$5)),0)</f>
        <v>0</v>
      </c>
      <c r="BC113" s="271" cm="1">
        <f t="array" ref="BC113">IF(BC$5&lt;=LatestMonthOfActuals,SUMIFS(BC$10:BC$69,PLSections,$H113)-SUM(SUMIFS(PBC_PROFIT_AND_LOSS[AccountBalance],PBC_PROFIT_AND_LOSS[Id],_xlfn._xlws.FILTER(PBC_ACCOUNT_LIST[Id],PBC_ACCOUNT_LIST[Drivers Section]=$H113),PBC_PROFIT_AND_LOSS[Date],BC$5)),0)</f>
        <v>0</v>
      </c>
      <c r="BD113" s="271" cm="1">
        <f t="array" ref="BD113">IF(BD$5&lt;=LatestMonthOfActuals,SUMIFS(BD$10:BD$69,PLSections,$H113)-SUM(SUMIFS(PBC_PROFIT_AND_LOSS[AccountBalance],PBC_PROFIT_AND_LOSS[Id],_xlfn._xlws.FILTER(PBC_ACCOUNT_LIST[Id],PBC_ACCOUNT_LIST[Drivers Section]=$H113),PBC_PROFIT_AND_LOSS[Date],BD$5)),0)</f>
        <v>0</v>
      </c>
      <c r="BE113" s="271" cm="1">
        <f t="array" ref="BE113">IF(BE$5&lt;=LatestMonthOfActuals,SUMIFS(BE$10:BE$69,PLSections,$H113)-SUM(SUMIFS(PBC_PROFIT_AND_LOSS[AccountBalance],PBC_PROFIT_AND_LOSS[Id],_xlfn._xlws.FILTER(PBC_ACCOUNT_LIST[Id],PBC_ACCOUNT_LIST[Drivers Section]=$H113),PBC_PROFIT_AND_LOSS[Date],BE$5)),0)</f>
        <v>0</v>
      </c>
      <c r="BF113" s="271" cm="1">
        <f t="array" ref="BF113">IF(BF$5&lt;=LatestMonthOfActuals,SUMIFS(BF$10:BF$69,PLSections,$H113)-SUM(SUMIFS(PBC_PROFIT_AND_LOSS[AccountBalance],PBC_PROFIT_AND_LOSS[Id],_xlfn._xlws.FILTER(PBC_ACCOUNT_LIST[Id],PBC_ACCOUNT_LIST[Drivers Section]=$H113),PBC_PROFIT_AND_LOSS[Date],BF$5)),0)</f>
        <v>0</v>
      </c>
      <c r="BG113" s="271" cm="1">
        <f t="array" ref="BG113">IF(BG$5&lt;=LatestMonthOfActuals,SUMIFS(BG$10:BG$69,PLSections,$H113)-SUM(SUMIFS(PBC_PROFIT_AND_LOSS[AccountBalance],PBC_PROFIT_AND_LOSS[Id],_xlfn._xlws.FILTER(PBC_ACCOUNT_LIST[Id],PBC_ACCOUNT_LIST[Drivers Section]=$H113),PBC_PROFIT_AND_LOSS[Date],BG$5)),0)</f>
        <v>0</v>
      </c>
      <c r="BH113" s="271" cm="1">
        <f t="array" ref="BH113">IF(BH$5&lt;=LatestMonthOfActuals,SUMIFS(BH$10:BH$69,PLSections,$H113)-SUM(SUMIFS(PBC_PROFIT_AND_LOSS[AccountBalance],PBC_PROFIT_AND_LOSS[Id],_xlfn._xlws.FILTER(PBC_ACCOUNT_LIST[Id],PBC_ACCOUNT_LIST[Drivers Section]=$H113),PBC_PROFIT_AND_LOSS[Date],BH$5)),0)</f>
        <v>0</v>
      </c>
      <c r="BI113" s="271" cm="1">
        <f t="array" ref="BI113">IF(BI$5&lt;=LatestMonthOfActuals,SUMIFS(BI$10:BI$69,PLSections,$H113)-SUM(SUMIFS(PBC_PROFIT_AND_LOSS[AccountBalance],PBC_PROFIT_AND_LOSS[Id],_xlfn._xlws.FILTER(PBC_ACCOUNT_LIST[Id],PBC_ACCOUNT_LIST[Drivers Section]=$H113),PBC_PROFIT_AND_LOSS[Date],BI$5)),0)</f>
        <v>0</v>
      </c>
      <c r="BJ113" s="271" cm="1">
        <f t="array" ref="BJ113">IF(BJ$5&lt;=LatestMonthOfActuals,SUMIFS(BJ$10:BJ$69,PLSections,$H113)-SUM(SUMIFS(PBC_PROFIT_AND_LOSS[AccountBalance],PBC_PROFIT_AND_LOSS[Id],_xlfn._xlws.FILTER(PBC_ACCOUNT_LIST[Id],PBC_ACCOUNT_LIST[Drivers Section]=$H113),PBC_PROFIT_AND_LOSS[Date],BJ$5)),0)</f>
        <v>0</v>
      </c>
      <c r="BK113" s="271" cm="1">
        <f t="array" ref="BK113">IF(BK$5&lt;=LatestMonthOfActuals,SUMIFS(BK$10:BK$69,PLSections,$H113)-SUM(SUMIFS(PBC_PROFIT_AND_LOSS[AccountBalance],PBC_PROFIT_AND_LOSS[Id],_xlfn._xlws.FILTER(PBC_ACCOUNT_LIST[Id],PBC_ACCOUNT_LIST[Drivers Section]=$H113),PBC_PROFIT_AND_LOSS[Date],BK$5)),0)</f>
        <v>0</v>
      </c>
      <c r="BL113" s="271" cm="1">
        <f t="array" ref="BL113">IF(BL$5&lt;=LatestMonthOfActuals,SUMIFS(BL$10:BL$69,PLSections,$H113)-SUM(SUMIFS(PBC_PROFIT_AND_LOSS[AccountBalance],PBC_PROFIT_AND_LOSS[Id],_xlfn._xlws.FILTER(PBC_ACCOUNT_LIST[Id],PBC_ACCOUNT_LIST[Drivers Section]=$H113),PBC_PROFIT_AND_LOSS[Date],BL$5)),0)</f>
        <v>0</v>
      </c>
      <c r="BM113" s="271" cm="1">
        <f t="array" ref="BM113">IF(BM$5&lt;=LatestMonthOfActuals,SUMIFS(BM$10:BM$69,PLSections,$H113)-SUM(SUMIFS(PBC_PROFIT_AND_LOSS[AccountBalance],PBC_PROFIT_AND_LOSS[Id],_xlfn._xlws.FILTER(PBC_ACCOUNT_LIST[Id],PBC_ACCOUNT_LIST[Drivers Section]=$H113),PBC_PROFIT_AND_LOSS[Date],BM$5)),0)</f>
        <v>0</v>
      </c>
      <c r="BN113" s="271" cm="1">
        <f t="array" ref="BN113">IF(BN$5&lt;=LatestMonthOfActuals,SUMIFS(BN$10:BN$69,PLSections,$H113)-SUM(SUMIFS(PBC_PROFIT_AND_LOSS[AccountBalance],PBC_PROFIT_AND_LOSS[Id],_xlfn._xlws.FILTER(PBC_ACCOUNT_LIST[Id],PBC_ACCOUNT_LIST[Drivers Section]=$H113),PBC_PROFIT_AND_LOSS[Date],BN$5)),0)</f>
        <v>0</v>
      </c>
      <c r="BO113" s="271" cm="1">
        <f t="array" ref="BO113">IF(BO$5&lt;=LatestMonthOfActuals,SUMIFS(BO$10:BO$69,PLSections,$H113)-SUM(SUMIFS(PBC_PROFIT_AND_LOSS[AccountBalance],PBC_PROFIT_AND_LOSS[Id],_xlfn._xlws.FILTER(PBC_ACCOUNT_LIST[Id],PBC_ACCOUNT_LIST[Drivers Section]=$H113),PBC_PROFIT_AND_LOSS[Date],BO$5)),0)</f>
        <v>0</v>
      </c>
      <c r="BP113" s="271" cm="1">
        <f t="array" ref="BP113">IF(BP$5&lt;=LatestMonthOfActuals,SUMIFS(BP$10:BP$69,PLSections,$H113)-SUM(SUMIFS(PBC_PROFIT_AND_LOSS[AccountBalance],PBC_PROFIT_AND_LOSS[Id],_xlfn._xlws.FILTER(PBC_ACCOUNT_LIST[Id],PBC_ACCOUNT_LIST[Drivers Section]=$H113),PBC_PROFIT_AND_LOSS[Date],BP$5)),0)</f>
        <v>0</v>
      </c>
      <c r="BQ113" s="271" cm="1">
        <f t="array" ref="BQ113">IF(BQ$5&lt;=LatestMonthOfActuals,SUMIFS(BQ$10:BQ$69,PLSections,$H113)-SUM(SUMIFS(PBC_PROFIT_AND_LOSS[AccountBalance],PBC_PROFIT_AND_LOSS[Id],_xlfn._xlws.FILTER(PBC_ACCOUNT_LIST[Id],PBC_ACCOUNT_LIST[Drivers Section]=$H113),PBC_PROFIT_AND_LOSS[Date],BQ$5)),0)</f>
        <v>0</v>
      </c>
      <c r="BR113" s="271" cm="1">
        <f t="array" ref="BR113">IF(BR$5&lt;=LatestMonthOfActuals,SUMIFS(BR$10:BR$69,PLSections,$H113)-SUM(SUMIFS(PBC_PROFIT_AND_LOSS[AccountBalance],PBC_PROFIT_AND_LOSS[Id],_xlfn._xlws.FILTER(PBC_ACCOUNT_LIST[Id],PBC_ACCOUNT_LIST[Drivers Section]=$H113),PBC_PROFIT_AND_LOSS[Date],BR$5)),0)</f>
        <v>0</v>
      </c>
      <c r="BS113" s="271" cm="1">
        <f t="array" ref="BS113">IF(BS$5&lt;=LatestMonthOfActuals,SUMIFS(BS$10:BS$69,PLSections,$H113)-SUM(SUMIFS(PBC_PROFIT_AND_LOSS[AccountBalance],PBC_PROFIT_AND_LOSS[Id],_xlfn._xlws.FILTER(PBC_ACCOUNT_LIST[Id],PBC_ACCOUNT_LIST[Drivers Section]=$H113),PBC_PROFIT_AND_LOSS[Date],BS$5)),0)</f>
        <v>0</v>
      </c>
      <c r="BT113" s="271" cm="1">
        <f t="array" ref="BT113">IF(BT$5&lt;=LatestMonthOfActuals,SUMIFS(BT$10:BT$69,PLSections,$H113)-SUM(SUMIFS(PBC_PROFIT_AND_LOSS[AccountBalance],PBC_PROFIT_AND_LOSS[Id],_xlfn._xlws.FILTER(PBC_ACCOUNT_LIST[Id],PBC_ACCOUNT_LIST[Drivers Section]=$H113),PBC_PROFIT_AND_LOSS[Date],BT$5)),0)</f>
        <v>0</v>
      </c>
      <c r="BU113" s="271" cm="1">
        <f t="array" ref="BU113">IF(BU$5&lt;=LatestMonthOfActuals,SUMIFS(BU$10:BU$69,PLSections,$H113)-SUM(SUMIFS(PBC_PROFIT_AND_LOSS[AccountBalance],PBC_PROFIT_AND_LOSS[Id],_xlfn._xlws.FILTER(PBC_ACCOUNT_LIST[Id],PBC_ACCOUNT_LIST[Drivers Section]=$H113),PBC_PROFIT_AND_LOSS[Date],BU$5)),0)</f>
        <v>0</v>
      </c>
      <c r="BV113" s="271" cm="1">
        <f t="array" ref="BV113">IF(BV$5&lt;=LatestMonthOfActuals,SUMIFS(BV$10:BV$69,PLSections,$H113)-SUM(SUMIFS(PBC_PROFIT_AND_LOSS[AccountBalance],PBC_PROFIT_AND_LOSS[Id],_xlfn._xlws.FILTER(PBC_ACCOUNT_LIST[Id],PBC_ACCOUNT_LIST[Drivers Section]=$H113),PBC_PROFIT_AND_LOSS[Date],BV$5)),0)</f>
        <v>0</v>
      </c>
      <c r="BW113" s="271" cm="1">
        <f t="array" ref="BW113">IF(BW$5&lt;=LatestMonthOfActuals,SUMIFS(BW$10:BW$69,PLSections,$H113)-SUM(SUMIFS(PBC_PROFIT_AND_LOSS[AccountBalance],PBC_PROFIT_AND_LOSS[Id],_xlfn._xlws.FILTER(PBC_ACCOUNT_LIST[Id],PBC_ACCOUNT_LIST[Drivers Section]=$H113),PBC_PROFIT_AND_LOSS[Date],BW$5)),0)</f>
        <v>0</v>
      </c>
      <c r="BX113" s="271" cm="1">
        <f t="array" ref="BX113">IF(BX$5&lt;=LatestMonthOfActuals,SUMIFS(BX$10:BX$69,PLSections,$H113)-SUM(SUMIFS(PBC_PROFIT_AND_LOSS[AccountBalance],PBC_PROFIT_AND_LOSS[Id],_xlfn._xlws.FILTER(PBC_ACCOUNT_LIST[Id],PBC_ACCOUNT_LIST[Drivers Section]=$H113),PBC_PROFIT_AND_LOSS[Date],BX$5)),0)</f>
        <v>0</v>
      </c>
      <c r="BY113" s="271" cm="1">
        <f t="array" ref="BY113">IF(BY$5&lt;=LatestMonthOfActuals,SUMIFS(BY$10:BY$69,PLSections,$H113)-SUM(SUMIFS(PBC_PROFIT_AND_LOSS[AccountBalance],PBC_PROFIT_AND_LOSS[Id],_xlfn._xlws.FILTER(PBC_ACCOUNT_LIST[Id],PBC_ACCOUNT_LIST[Drivers Section]=$H113),PBC_PROFIT_AND_LOSS[Date],BY$5)),0)</f>
        <v>0</v>
      </c>
      <c r="BZ113" s="271" cm="1">
        <f t="array" ref="BZ113">IF(BZ$5&lt;=LatestMonthOfActuals,SUMIFS(BZ$10:BZ$69,PLSections,$H113)-SUM(SUMIFS(PBC_PROFIT_AND_LOSS[AccountBalance],PBC_PROFIT_AND_LOSS[Id],_xlfn._xlws.FILTER(PBC_ACCOUNT_LIST[Id],PBC_ACCOUNT_LIST[Drivers Section]=$H113),PBC_PROFIT_AND_LOSS[Date],BZ$5)),0)</f>
        <v>0</v>
      </c>
      <c r="CA113" s="271" cm="1">
        <f t="array" ref="CA113">IF(CA$5&lt;=LatestMonthOfActuals,SUMIFS(CA$10:CA$69,PLSections,$H113)-SUM(SUMIFS(PBC_PROFIT_AND_LOSS[AccountBalance],PBC_PROFIT_AND_LOSS[Id],_xlfn._xlws.FILTER(PBC_ACCOUNT_LIST[Id],PBC_ACCOUNT_LIST[Drivers Section]=$H113),PBC_PROFIT_AND_LOSS[Date],CA$5)),0)</f>
        <v>0</v>
      </c>
      <c r="CB113" s="271" cm="1">
        <f t="array" ref="CB113">IF(CB$5&lt;=LatestMonthOfActuals,SUMIFS(CB$10:CB$69,PLSections,$H113)-SUM(SUMIFS(PBC_PROFIT_AND_LOSS[AccountBalance],PBC_PROFIT_AND_LOSS[Id],_xlfn._xlws.FILTER(PBC_ACCOUNT_LIST[Id],PBC_ACCOUNT_LIST[Drivers Section]=$H113),PBC_PROFIT_AND_LOSS[Date],CB$5)),0)</f>
        <v>0</v>
      </c>
      <c r="CC113" s="271" cm="1">
        <f t="array" ref="CC113">IF(CC$5&lt;=LatestMonthOfActuals,SUMIFS(CC$10:CC$69,PLSections,$H113)-SUM(SUMIFS(PBC_PROFIT_AND_LOSS[AccountBalance],PBC_PROFIT_AND_LOSS[Id],_xlfn._xlws.FILTER(PBC_ACCOUNT_LIST[Id],PBC_ACCOUNT_LIST[Drivers Section]=$H113),PBC_PROFIT_AND_LOSS[Date],CC$5)),0)</f>
        <v>0</v>
      </c>
      <c r="CD113" s="271" cm="1">
        <f t="array" ref="CD113">IF(CD$5&lt;=LatestMonthOfActuals,SUMIFS(CD$10:CD$69,PLSections,$H113)-SUM(SUMIFS(PBC_PROFIT_AND_LOSS[AccountBalance],PBC_PROFIT_AND_LOSS[Id],_xlfn._xlws.FILTER(PBC_ACCOUNT_LIST[Id],PBC_ACCOUNT_LIST[Drivers Section]=$H113),PBC_PROFIT_AND_LOSS[Date],CD$5)),0)</f>
        <v>0</v>
      </c>
      <c r="CE113" s="271" cm="1">
        <f t="array" ref="CE113">IF(CE$5&lt;=LatestMonthOfActuals,SUMIFS(CE$10:CE$69,PLSections,$H113)-SUM(SUMIFS(PBC_PROFIT_AND_LOSS[AccountBalance],PBC_PROFIT_AND_LOSS[Id],_xlfn._xlws.FILTER(PBC_ACCOUNT_LIST[Id],PBC_ACCOUNT_LIST[Drivers Section]=$H113),PBC_PROFIT_AND_LOSS[Date],CE$5)),0)</f>
        <v>0</v>
      </c>
      <c r="CF113" s="271" cm="1">
        <f t="array" ref="CF113">IF(CF$5&lt;=LatestMonthOfActuals,SUMIFS(CF$10:CF$69,PLSections,$H113)-SUM(SUMIFS(PBC_PROFIT_AND_LOSS[AccountBalance],PBC_PROFIT_AND_LOSS[Id],_xlfn._xlws.FILTER(PBC_ACCOUNT_LIST[Id],PBC_ACCOUNT_LIST[Drivers Section]=$H113),PBC_PROFIT_AND_LOSS[Date],CF$5)),0)</f>
        <v>0</v>
      </c>
      <c r="CG113" s="271" cm="1">
        <f t="array" ref="CG113">IF(CG$5&lt;=LatestMonthOfActuals,SUMIFS(CG$10:CG$69,PLSections,$H113)-SUM(SUMIFS(PBC_PROFIT_AND_LOSS[AccountBalance],PBC_PROFIT_AND_LOSS[Id],_xlfn._xlws.FILTER(PBC_ACCOUNT_LIST[Id],PBC_ACCOUNT_LIST[Drivers Section]=$H113),PBC_PROFIT_AND_LOSS[Date],CG$5)),0)</f>
        <v>0</v>
      </c>
      <c r="CH113" s="271" cm="1">
        <f t="array" ref="CH113">IF(CH$5&lt;=LatestMonthOfActuals,SUMIFS(CH$10:CH$69,PLSections,$H113)-SUM(SUMIFS(PBC_PROFIT_AND_LOSS[AccountBalance],PBC_PROFIT_AND_LOSS[Id],_xlfn._xlws.FILTER(PBC_ACCOUNT_LIST[Id],PBC_ACCOUNT_LIST[Drivers Section]=$H113),PBC_PROFIT_AND_LOSS[Date],CH$5)),0)</f>
        <v>0</v>
      </c>
      <c r="CI113" s="271" cm="1">
        <f t="array" ref="CI113">IF(CI$5&lt;=LatestMonthOfActuals,SUMIFS(CI$10:CI$69,PLSections,$H113)-SUM(SUMIFS(PBC_PROFIT_AND_LOSS[AccountBalance],PBC_PROFIT_AND_LOSS[Id],_xlfn._xlws.FILTER(PBC_ACCOUNT_LIST[Id],PBC_ACCOUNT_LIST[Drivers Section]=$H113),PBC_PROFIT_AND_LOSS[Date],CI$5)),0)</f>
        <v>0</v>
      </c>
      <c r="CJ113" s="271" cm="1">
        <f t="array" ref="CJ113">IF(CJ$5&lt;=LatestMonthOfActuals,SUMIFS(CJ$10:CJ$69,PLSections,$H113)-SUM(SUMIFS(PBC_PROFIT_AND_LOSS[AccountBalance],PBC_PROFIT_AND_LOSS[Id],_xlfn._xlws.FILTER(PBC_ACCOUNT_LIST[Id],PBC_ACCOUNT_LIST[Drivers Section]=$H113),PBC_PROFIT_AND_LOSS[Date],CJ$5)),0)</f>
        <v>0</v>
      </c>
    </row>
    <row r="114" spans="2:88" ht="15.6" hidden="1" customHeight="1" outlineLevel="3">
      <c r="B114" s="273" t="s">
        <v>131</v>
      </c>
      <c r="H114" s="273" t="s">
        <v>131</v>
      </c>
      <c r="I114" s="273"/>
      <c r="J114" s="273"/>
      <c r="K114" s="273"/>
      <c r="L114" s="273"/>
      <c r="O114" s="272"/>
      <c r="P114" s="184">
        <f>P68-SUMIFS($AN68:$CJ68,$AN$4:$CJ$4,"&gt;="&amp;P$4,$AN$5:$CJ$5,"&lt;="&amp;P$5)</f>
        <v>0</v>
      </c>
      <c r="Q114" s="184">
        <f>Q68-SUMIFS($AN68:$CJ68,$AN$4:$CJ$4,"&gt;="&amp;Q$4,$AN$5:$CJ$5,"&lt;="&amp;Q$5)</f>
        <v>0</v>
      </c>
      <c r="R114" s="184">
        <f>R68-SUMIFS($AN68:$CJ68,$AN$4:$CJ$4,"&gt;="&amp;R$4,$AN$5:$CJ$5,"&lt;="&amp;R$5)</f>
        <v>0</v>
      </c>
      <c r="S114" s="184">
        <f>S68-SUMIFS($AN68:$CJ68,$AN$4:$CJ$4,"&gt;="&amp;S$4,$AN$5:$CJ$5,"&lt;="&amp;S$5)</f>
        <v>0</v>
      </c>
      <c r="T114" s="184"/>
      <c r="U114" s="184"/>
      <c r="V114" s="184">
        <f t="shared" ref="V114:AK114" si="97">V68-SUMIFS($AN68:$CJ68,$AN$4:$CJ$4,"&gt;="&amp;V$4,$AN$5:$CJ$5,"&lt;="&amp;V$5)</f>
        <v>0</v>
      </c>
      <c r="W114" s="184">
        <f t="shared" si="97"/>
        <v>0</v>
      </c>
      <c r="X114" s="184">
        <f t="shared" si="97"/>
        <v>0</v>
      </c>
      <c r="Y114" s="184">
        <f t="shared" si="97"/>
        <v>0</v>
      </c>
      <c r="Z114" s="184">
        <f t="shared" si="97"/>
        <v>0</v>
      </c>
      <c r="AA114" s="184">
        <f t="shared" si="97"/>
        <v>0</v>
      </c>
      <c r="AB114" s="184">
        <f t="shared" si="97"/>
        <v>0</v>
      </c>
      <c r="AC114" s="184">
        <f t="shared" si="97"/>
        <v>0</v>
      </c>
      <c r="AD114" s="184">
        <f t="shared" si="97"/>
        <v>0</v>
      </c>
      <c r="AE114" s="184">
        <f t="shared" si="97"/>
        <v>0</v>
      </c>
      <c r="AF114" s="184">
        <f t="shared" si="97"/>
        <v>0</v>
      </c>
      <c r="AG114" s="184">
        <f t="shared" si="97"/>
        <v>0</v>
      </c>
      <c r="AH114" s="184">
        <f t="shared" si="97"/>
        <v>0</v>
      </c>
      <c r="AI114" s="184">
        <f t="shared" si="97"/>
        <v>0</v>
      </c>
      <c r="AJ114" s="184">
        <f t="shared" si="97"/>
        <v>0</v>
      </c>
      <c r="AK114" s="184">
        <f t="shared" si="97"/>
        <v>0</v>
      </c>
      <c r="AL114" s="184"/>
      <c r="AM114" s="184"/>
      <c r="AN114" s="271" cm="1">
        <f t="array" ref="AN114">IF(AN$5&lt;=LatestMonthOfActuals,SUMIFS(AN$10:AN$69,PLSections,$H114)-SUM(SUMIFS(PBC_PROFIT_AND_LOSS[AccountBalance],PBC_PROFIT_AND_LOSS[Id],_xlfn._xlws.FILTER(PBC_ACCOUNT_LIST[Id],PBC_ACCOUNT_LIST[Drivers Section]=$H114),PBC_PROFIT_AND_LOSS[Date],AN$5)),0)</f>
        <v>0</v>
      </c>
      <c r="AO114" s="271" cm="1">
        <f t="array" ref="AO114">IF(AO$5&lt;=LatestMonthOfActuals,SUMIFS(AO$10:AO$69,PLSections,$H114)-SUM(SUMIFS(PBC_PROFIT_AND_LOSS[AccountBalance],PBC_PROFIT_AND_LOSS[Id],_xlfn._xlws.FILTER(PBC_ACCOUNT_LIST[Id],PBC_ACCOUNT_LIST[Drivers Section]=$H114),PBC_PROFIT_AND_LOSS[Date],AO$5)),0)</f>
        <v>0</v>
      </c>
      <c r="AP114" s="271" cm="1">
        <f t="array" ref="AP114">IF(AP$5&lt;=LatestMonthOfActuals,SUMIFS(AP$10:AP$69,PLSections,$H114)-SUM(SUMIFS(PBC_PROFIT_AND_LOSS[AccountBalance],PBC_PROFIT_AND_LOSS[Id],_xlfn._xlws.FILTER(PBC_ACCOUNT_LIST[Id],PBC_ACCOUNT_LIST[Drivers Section]=$H114),PBC_PROFIT_AND_LOSS[Date],AP$5)),0)</f>
        <v>0</v>
      </c>
      <c r="AQ114" s="271" cm="1">
        <f t="array" ref="AQ114">IF(AQ$5&lt;=LatestMonthOfActuals,SUMIFS(AQ$10:AQ$69,PLSections,$H114)-SUM(SUMIFS(PBC_PROFIT_AND_LOSS[AccountBalance],PBC_PROFIT_AND_LOSS[Id],_xlfn._xlws.FILTER(PBC_ACCOUNT_LIST[Id],PBC_ACCOUNT_LIST[Drivers Section]=$H114),PBC_PROFIT_AND_LOSS[Date],AQ$5)),0)</f>
        <v>0</v>
      </c>
      <c r="AR114" s="271" cm="1">
        <f t="array" ref="AR114">IF(AR$5&lt;=LatestMonthOfActuals,SUMIFS(AR$10:AR$69,PLSections,$H114)-SUM(SUMIFS(PBC_PROFIT_AND_LOSS[AccountBalance],PBC_PROFIT_AND_LOSS[Id],_xlfn._xlws.FILTER(PBC_ACCOUNT_LIST[Id],PBC_ACCOUNT_LIST[Drivers Section]=$H114),PBC_PROFIT_AND_LOSS[Date],AR$5)),0)</f>
        <v>0</v>
      </c>
      <c r="AS114" s="271" cm="1">
        <f t="array" ref="AS114">IF(AS$5&lt;=LatestMonthOfActuals,SUMIFS(AS$10:AS$69,PLSections,$H114)-SUM(SUMIFS(PBC_PROFIT_AND_LOSS[AccountBalance],PBC_PROFIT_AND_LOSS[Id],_xlfn._xlws.FILTER(PBC_ACCOUNT_LIST[Id],PBC_ACCOUNT_LIST[Drivers Section]=$H114),PBC_PROFIT_AND_LOSS[Date],AS$5)),0)</f>
        <v>0</v>
      </c>
      <c r="AT114" s="271" cm="1">
        <f t="array" ref="AT114">IF(AT$5&lt;=LatestMonthOfActuals,SUMIFS(AT$10:AT$69,PLSections,$H114)-SUM(SUMIFS(PBC_PROFIT_AND_LOSS[AccountBalance],PBC_PROFIT_AND_LOSS[Id],_xlfn._xlws.FILTER(PBC_ACCOUNT_LIST[Id],PBC_ACCOUNT_LIST[Drivers Section]=$H114),PBC_PROFIT_AND_LOSS[Date],AT$5)),0)</f>
        <v>0</v>
      </c>
      <c r="AU114" s="271" cm="1">
        <f t="array" ref="AU114">IF(AU$5&lt;=LatestMonthOfActuals,SUMIFS(AU$10:AU$69,PLSections,$H114)-SUM(SUMIFS(PBC_PROFIT_AND_LOSS[AccountBalance],PBC_PROFIT_AND_LOSS[Id],_xlfn._xlws.FILTER(PBC_ACCOUNT_LIST[Id],PBC_ACCOUNT_LIST[Drivers Section]=$H114),PBC_PROFIT_AND_LOSS[Date],AU$5)),0)</f>
        <v>0</v>
      </c>
      <c r="AV114" s="271" cm="1">
        <f t="array" ref="AV114">IF(AV$5&lt;=LatestMonthOfActuals,SUMIFS(AV$10:AV$69,PLSections,$H114)-SUM(SUMIFS(PBC_PROFIT_AND_LOSS[AccountBalance],PBC_PROFIT_AND_LOSS[Id],_xlfn._xlws.FILTER(PBC_ACCOUNT_LIST[Id],PBC_ACCOUNT_LIST[Drivers Section]=$H114),PBC_PROFIT_AND_LOSS[Date],AV$5)),0)</f>
        <v>0</v>
      </c>
      <c r="AW114" s="271" cm="1">
        <f t="array" ref="AW114">IF(AW$5&lt;=LatestMonthOfActuals,SUMIFS(AW$10:AW$69,PLSections,$H114)-SUM(SUMIFS(PBC_PROFIT_AND_LOSS[AccountBalance],PBC_PROFIT_AND_LOSS[Id],_xlfn._xlws.FILTER(PBC_ACCOUNT_LIST[Id],PBC_ACCOUNT_LIST[Drivers Section]=$H114),PBC_PROFIT_AND_LOSS[Date],AW$5)),0)</f>
        <v>0</v>
      </c>
      <c r="AX114" s="271" cm="1">
        <f t="array" ref="AX114">IF(AX$5&lt;=LatestMonthOfActuals,SUMIFS(AX$10:AX$69,PLSections,$H114)-SUM(SUMIFS(PBC_PROFIT_AND_LOSS[AccountBalance],PBC_PROFIT_AND_LOSS[Id],_xlfn._xlws.FILTER(PBC_ACCOUNT_LIST[Id],PBC_ACCOUNT_LIST[Drivers Section]=$H114),PBC_PROFIT_AND_LOSS[Date],AX$5)),0)</f>
        <v>0</v>
      </c>
      <c r="AY114" s="271" cm="1">
        <f t="array" ref="AY114">IF(AY$5&lt;=LatestMonthOfActuals,SUMIFS(AY$10:AY$69,PLSections,$H114)-SUM(SUMIFS(PBC_PROFIT_AND_LOSS[AccountBalance],PBC_PROFIT_AND_LOSS[Id],_xlfn._xlws.FILTER(PBC_ACCOUNT_LIST[Id],PBC_ACCOUNT_LIST[Drivers Section]=$H114),PBC_PROFIT_AND_LOSS[Date],AY$5)),0)</f>
        <v>0</v>
      </c>
      <c r="AZ114" s="271" cm="1">
        <f t="array" ref="AZ114">IF(AZ$5&lt;=LatestMonthOfActuals,SUMIFS(AZ$10:AZ$69,PLSections,$H114)-SUM(SUMIFS(PBC_PROFIT_AND_LOSS[AccountBalance],PBC_PROFIT_AND_LOSS[Id],_xlfn._xlws.FILTER(PBC_ACCOUNT_LIST[Id],PBC_ACCOUNT_LIST[Drivers Section]=$H114),PBC_PROFIT_AND_LOSS[Date],AZ$5)),0)</f>
        <v>0</v>
      </c>
      <c r="BA114" s="271" cm="1">
        <f t="array" ref="BA114">IF(BA$5&lt;=LatestMonthOfActuals,SUMIFS(BA$10:BA$69,PLSections,$H114)-SUM(SUMIFS(PBC_PROFIT_AND_LOSS[AccountBalance],PBC_PROFIT_AND_LOSS[Id],_xlfn._xlws.FILTER(PBC_ACCOUNT_LIST[Id],PBC_ACCOUNT_LIST[Drivers Section]=$H114),PBC_PROFIT_AND_LOSS[Date],BA$5)),0)</f>
        <v>0</v>
      </c>
      <c r="BB114" s="271" cm="1">
        <f t="array" ref="BB114">IF(BB$5&lt;=LatestMonthOfActuals,SUMIFS(BB$10:BB$69,PLSections,$H114)-SUM(SUMIFS(PBC_PROFIT_AND_LOSS[AccountBalance],PBC_PROFIT_AND_LOSS[Id],_xlfn._xlws.FILTER(PBC_ACCOUNT_LIST[Id],PBC_ACCOUNT_LIST[Drivers Section]=$H114),PBC_PROFIT_AND_LOSS[Date],BB$5)),0)</f>
        <v>0</v>
      </c>
      <c r="BC114" s="271" cm="1">
        <f t="array" ref="BC114">IF(BC$5&lt;=LatestMonthOfActuals,SUMIFS(BC$10:BC$69,PLSections,$H114)-SUM(SUMIFS(PBC_PROFIT_AND_LOSS[AccountBalance],PBC_PROFIT_AND_LOSS[Id],_xlfn._xlws.FILTER(PBC_ACCOUNT_LIST[Id],PBC_ACCOUNT_LIST[Drivers Section]=$H114),PBC_PROFIT_AND_LOSS[Date],BC$5)),0)</f>
        <v>0</v>
      </c>
      <c r="BD114" s="271" cm="1">
        <f t="array" ref="BD114">IF(BD$5&lt;=LatestMonthOfActuals,SUMIFS(BD$10:BD$69,PLSections,$H114)-SUM(SUMIFS(PBC_PROFIT_AND_LOSS[AccountBalance],PBC_PROFIT_AND_LOSS[Id],_xlfn._xlws.FILTER(PBC_ACCOUNT_LIST[Id],PBC_ACCOUNT_LIST[Drivers Section]=$H114),PBC_PROFIT_AND_LOSS[Date],BD$5)),0)</f>
        <v>0</v>
      </c>
      <c r="BE114" s="271" cm="1">
        <f t="array" ref="BE114">IF(BE$5&lt;=LatestMonthOfActuals,SUMIFS(BE$10:BE$69,PLSections,$H114)-SUM(SUMIFS(PBC_PROFIT_AND_LOSS[AccountBalance],PBC_PROFIT_AND_LOSS[Id],_xlfn._xlws.FILTER(PBC_ACCOUNT_LIST[Id],PBC_ACCOUNT_LIST[Drivers Section]=$H114),PBC_PROFIT_AND_LOSS[Date],BE$5)),0)</f>
        <v>0</v>
      </c>
      <c r="BF114" s="271" cm="1">
        <f t="array" ref="BF114">IF(BF$5&lt;=LatestMonthOfActuals,SUMIFS(BF$10:BF$69,PLSections,$H114)-SUM(SUMIFS(PBC_PROFIT_AND_LOSS[AccountBalance],PBC_PROFIT_AND_LOSS[Id],_xlfn._xlws.FILTER(PBC_ACCOUNT_LIST[Id],PBC_ACCOUNT_LIST[Drivers Section]=$H114),PBC_PROFIT_AND_LOSS[Date],BF$5)),0)</f>
        <v>0</v>
      </c>
      <c r="BG114" s="271" cm="1">
        <f t="array" ref="BG114">IF(BG$5&lt;=LatestMonthOfActuals,SUMIFS(BG$10:BG$69,PLSections,$H114)-SUM(SUMIFS(PBC_PROFIT_AND_LOSS[AccountBalance],PBC_PROFIT_AND_LOSS[Id],_xlfn._xlws.FILTER(PBC_ACCOUNT_LIST[Id],PBC_ACCOUNT_LIST[Drivers Section]=$H114),PBC_PROFIT_AND_LOSS[Date],BG$5)),0)</f>
        <v>0</v>
      </c>
      <c r="BH114" s="271" cm="1">
        <f t="array" ref="BH114">IF(BH$5&lt;=LatestMonthOfActuals,SUMIFS(BH$10:BH$69,PLSections,$H114)-SUM(SUMIFS(PBC_PROFIT_AND_LOSS[AccountBalance],PBC_PROFIT_AND_LOSS[Id],_xlfn._xlws.FILTER(PBC_ACCOUNT_LIST[Id],PBC_ACCOUNT_LIST[Drivers Section]=$H114),PBC_PROFIT_AND_LOSS[Date],BH$5)),0)</f>
        <v>0</v>
      </c>
      <c r="BI114" s="271" cm="1">
        <f t="array" ref="BI114">IF(BI$5&lt;=LatestMonthOfActuals,SUMIFS(BI$10:BI$69,PLSections,$H114)-SUM(SUMIFS(PBC_PROFIT_AND_LOSS[AccountBalance],PBC_PROFIT_AND_LOSS[Id],_xlfn._xlws.FILTER(PBC_ACCOUNT_LIST[Id],PBC_ACCOUNT_LIST[Drivers Section]=$H114),PBC_PROFIT_AND_LOSS[Date],BI$5)),0)</f>
        <v>0</v>
      </c>
      <c r="BJ114" s="271" cm="1">
        <f t="array" ref="BJ114">IF(BJ$5&lt;=LatestMonthOfActuals,SUMIFS(BJ$10:BJ$69,PLSections,$H114)-SUM(SUMIFS(PBC_PROFIT_AND_LOSS[AccountBalance],PBC_PROFIT_AND_LOSS[Id],_xlfn._xlws.FILTER(PBC_ACCOUNT_LIST[Id],PBC_ACCOUNT_LIST[Drivers Section]=$H114),PBC_PROFIT_AND_LOSS[Date],BJ$5)),0)</f>
        <v>0</v>
      </c>
      <c r="BK114" s="271" cm="1">
        <f t="array" ref="BK114">IF(BK$5&lt;=LatestMonthOfActuals,SUMIFS(BK$10:BK$69,PLSections,$H114)-SUM(SUMIFS(PBC_PROFIT_AND_LOSS[AccountBalance],PBC_PROFIT_AND_LOSS[Id],_xlfn._xlws.FILTER(PBC_ACCOUNT_LIST[Id],PBC_ACCOUNT_LIST[Drivers Section]=$H114),PBC_PROFIT_AND_LOSS[Date],BK$5)),0)</f>
        <v>0</v>
      </c>
      <c r="BL114" s="271" cm="1">
        <f t="array" ref="BL114">IF(BL$5&lt;=LatestMonthOfActuals,SUMIFS(BL$10:BL$69,PLSections,$H114)-SUM(SUMIFS(PBC_PROFIT_AND_LOSS[AccountBalance],PBC_PROFIT_AND_LOSS[Id],_xlfn._xlws.FILTER(PBC_ACCOUNT_LIST[Id],PBC_ACCOUNT_LIST[Drivers Section]=$H114),PBC_PROFIT_AND_LOSS[Date],BL$5)),0)</f>
        <v>0</v>
      </c>
      <c r="BM114" s="271" cm="1">
        <f t="array" ref="BM114">IF(BM$5&lt;=LatestMonthOfActuals,SUMIFS(BM$10:BM$69,PLSections,$H114)-SUM(SUMIFS(PBC_PROFIT_AND_LOSS[AccountBalance],PBC_PROFIT_AND_LOSS[Id],_xlfn._xlws.FILTER(PBC_ACCOUNT_LIST[Id],PBC_ACCOUNT_LIST[Drivers Section]=$H114),PBC_PROFIT_AND_LOSS[Date],BM$5)),0)</f>
        <v>0</v>
      </c>
      <c r="BN114" s="271" cm="1">
        <f t="array" ref="BN114">IF(BN$5&lt;=LatestMonthOfActuals,SUMIFS(BN$10:BN$69,PLSections,$H114)-SUM(SUMIFS(PBC_PROFIT_AND_LOSS[AccountBalance],PBC_PROFIT_AND_LOSS[Id],_xlfn._xlws.FILTER(PBC_ACCOUNT_LIST[Id],PBC_ACCOUNT_LIST[Drivers Section]=$H114),PBC_PROFIT_AND_LOSS[Date],BN$5)),0)</f>
        <v>0</v>
      </c>
      <c r="BO114" s="271" cm="1">
        <f t="array" ref="BO114">IF(BO$5&lt;=LatestMonthOfActuals,SUMIFS(BO$10:BO$69,PLSections,$H114)-SUM(SUMIFS(PBC_PROFIT_AND_LOSS[AccountBalance],PBC_PROFIT_AND_LOSS[Id],_xlfn._xlws.FILTER(PBC_ACCOUNT_LIST[Id],PBC_ACCOUNT_LIST[Drivers Section]=$H114),PBC_PROFIT_AND_LOSS[Date],BO$5)),0)</f>
        <v>0</v>
      </c>
      <c r="BP114" s="271" cm="1">
        <f t="array" ref="BP114">IF(BP$5&lt;=LatestMonthOfActuals,SUMIFS(BP$10:BP$69,PLSections,$H114)-SUM(SUMIFS(PBC_PROFIT_AND_LOSS[AccountBalance],PBC_PROFIT_AND_LOSS[Id],_xlfn._xlws.FILTER(PBC_ACCOUNT_LIST[Id],PBC_ACCOUNT_LIST[Drivers Section]=$H114),PBC_PROFIT_AND_LOSS[Date],BP$5)),0)</f>
        <v>0</v>
      </c>
      <c r="BQ114" s="271" cm="1">
        <f t="array" ref="BQ114">IF(BQ$5&lt;=LatestMonthOfActuals,SUMIFS(BQ$10:BQ$69,PLSections,$H114)-SUM(SUMIFS(PBC_PROFIT_AND_LOSS[AccountBalance],PBC_PROFIT_AND_LOSS[Id],_xlfn._xlws.FILTER(PBC_ACCOUNT_LIST[Id],PBC_ACCOUNT_LIST[Drivers Section]=$H114),PBC_PROFIT_AND_LOSS[Date],BQ$5)),0)</f>
        <v>0</v>
      </c>
      <c r="BR114" s="271" cm="1">
        <f t="array" ref="BR114">IF(BR$5&lt;=LatestMonthOfActuals,SUMIFS(BR$10:BR$69,PLSections,$H114)-SUM(SUMIFS(PBC_PROFIT_AND_LOSS[AccountBalance],PBC_PROFIT_AND_LOSS[Id],_xlfn._xlws.FILTER(PBC_ACCOUNT_LIST[Id],PBC_ACCOUNT_LIST[Drivers Section]=$H114),PBC_PROFIT_AND_LOSS[Date],BR$5)),0)</f>
        <v>0</v>
      </c>
      <c r="BS114" s="271" cm="1">
        <f t="array" ref="BS114">IF(BS$5&lt;=LatestMonthOfActuals,SUMIFS(BS$10:BS$69,PLSections,$H114)-SUM(SUMIFS(PBC_PROFIT_AND_LOSS[AccountBalance],PBC_PROFIT_AND_LOSS[Id],_xlfn._xlws.FILTER(PBC_ACCOUNT_LIST[Id],PBC_ACCOUNT_LIST[Drivers Section]=$H114),PBC_PROFIT_AND_LOSS[Date],BS$5)),0)</f>
        <v>0</v>
      </c>
      <c r="BT114" s="271" cm="1">
        <f t="array" ref="BT114">IF(BT$5&lt;=LatestMonthOfActuals,SUMIFS(BT$10:BT$69,PLSections,$H114)-SUM(SUMIFS(PBC_PROFIT_AND_LOSS[AccountBalance],PBC_PROFIT_AND_LOSS[Id],_xlfn._xlws.FILTER(PBC_ACCOUNT_LIST[Id],PBC_ACCOUNT_LIST[Drivers Section]=$H114),PBC_PROFIT_AND_LOSS[Date],BT$5)),0)</f>
        <v>0</v>
      </c>
      <c r="BU114" s="271" cm="1">
        <f t="array" ref="BU114">IF(BU$5&lt;=LatestMonthOfActuals,SUMIFS(BU$10:BU$69,PLSections,$H114)-SUM(SUMIFS(PBC_PROFIT_AND_LOSS[AccountBalance],PBC_PROFIT_AND_LOSS[Id],_xlfn._xlws.FILTER(PBC_ACCOUNT_LIST[Id],PBC_ACCOUNT_LIST[Drivers Section]=$H114),PBC_PROFIT_AND_LOSS[Date],BU$5)),0)</f>
        <v>0</v>
      </c>
      <c r="BV114" s="271" cm="1">
        <f t="array" ref="BV114">IF(BV$5&lt;=LatestMonthOfActuals,SUMIFS(BV$10:BV$69,PLSections,$H114)-SUM(SUMIFS(PBC_PROFIT_AND_LOSS[AccountBalance],PBC_PROFIT_AND_LOSS[Id],_xlfn._xlws.FILTER(PBC_ACCOUNT_LIST[Id],PBC_ACCOUNT_LIST[Drivers Section]=$H114),PBC_PROFIT_AND_LOSS[Date],BV$5)),0)</f>
        <v>0</v>
      </c>
      <c r="BW114" s="271" cm="1">
        <f t="array" ref="BW114">IF(BW$5&lt;=LatestMonthOfActuals,SUMIFS(BW$10:BW$69,PLSections,$H114)-SUM(SUMIFS(PBC_PROFIT_AND_LOSS[AccountBalance],PBC_PROFIT_AND_LOSS[Id],_xlfn._xlws.FILTER(PBC_ACCOUNT_LIST[Id],PBC_ACCOUNT_LIST[Drivers Section]=$H114),PBC_PROFIT_AND_LOSS[Date],BW$5)),0)</f>
        <v>0</v>
      </c>
      <c r="BX114" s="271" cm="1">
        <f t="array" ref="BX114">IF(BX$5&lt;=LatestMonthOfActuals,SUMIFS(BX$10:BX$69,PLSections,$H114)-SUM(SUMIFS(PBC_PROFIT_AND_LOSS[AccountBalance],PBC_PROFIT_AND_LOSS[Id],_xlfn._xlws.FILTER(PBC_ACCOUNT_LIST[Id],PBC_ACCOUNT_LIST[Drivers Section]=$H114),PBC_PROFIT_AND_LOSS[Date],BX$5)),0)</f>
        <v>0</v>
      </c>
      <c r="BY114" s="271" cm="1">
        <f t="array" ref="BY114">IF(BY$5&lt;=LatestMonthOfActuals,SUMIFS(BY$10:BY$69,PLSections,$H114)-SUM(SUMIFS(PBC_PROFIT_AND_LOSS[AccountBalance],PBC_PROFIT_AND_LOSS[Id],_xlfn._xlws.FILTER(PBC_ACCOUNT_LIST[Id],PBC_ACCOUNT_LIST[Drivers Section]=$H114),PBC_PROFIT_AND_LOSS[Date],BY$5)),0)</f>
        <v>0</v>
      </c>
      <c r="BZ114" s="271" cm="1">
        <f t="array" ref="BZ114">IF(BZ$5&lt;=LatestMonthOfActuals,SUMIFS(BZ$10:BZ$69,PLSections,$H114)-SUM(SUMIFS(PBC_PROFIT_AND_LOSS[AccountBalance],PBC_PROFIT_AND_LOSS[Id],_xlfn._xlws.FILTER(PBC_ACCOUNT_LIST[Id],PBC_ACCOUNT_LIST[Drivers Section]=$H114),PBC_PROFIT_AND_LOSS[Date],BZ$5)),0)</f>
        <v>0</v>
      </c>
      <c r="CA114" s="271" cm="1">
        <f t="array" ref="CA114">IF(CA$5&lt;=LatestMonthOfActuals,SUMIFS(CA$10:CA$69,PLSections,$H114)-SUM(SUMIFS(PBC_PROFIT_AND_LOSS[AccountBalance],PBC_PROFIT_AND_LOSS[Id],_xlfn._xlws.FILTER(PBC_ACCOUNT_LIST[Id],PBC_ACCOUNT_LIST[Drivers Section]=$H114),PBC_PROFIT_AND_LOSS[Date],CA$5)),0)</f>
        <v>0</v>
      </c>
      <c r="CB114" s="271" cm="1">
        <f t="array" ref="CB114">IF(CB$5&lt;=LatestMonthOfActuals,SUMIFS(CB$10:CB$69,PLSections,$H114)-SUM(SUMIFS(PBC_PROFIT_AND_LOSS[AccountBalance],PBC_PROFIT_AND_LOSS[Id],_xlfn._xlws.FILTER(PBC_ACCOUNT_LIST[Id],PBC_ACCOUNT_LIST[Drivers Section]=$H114),PBC_PROFIT_AND_LOSS[Date],CB$5)),0)</f>
        <v>0</v>
      </c>
      <c r="CC114" s="271" cm="1">
        <f t="array" ref="CC114">IF(CC$5&lt;=LatestMonthOfActuals,SUMIFS(CC$10:CC$69,PLSections,$H114)-SUM(SUMIFS(PBC_PROFIT_AND_LOSS[AccountBalance],PBC_PROFIT_AND_LOSS[Id],_xlfn._xlws.FILTER(PBC_ACCOUNT_LIST[Id],PBC_ACCOUNT_LIST[Drivers Section]=$H114),PBC_PROFIT_AND_LOSS[Date],CC$5)),0)</f>
        <v>0</v>
      </c>
      <c r="CD114" s="271" cm="1">
        <f t="array" ref="CD114">IF(CD$5&lt;=LatestMonthOfActuals,SUMIFS(CD$10:CD$69,PLSections,$H114)-SUM(SUMIFS(PBC_PROFIT_AND_LOSS[AccountBalance],PBC_PROFIT_AND_LOSS[Id],_xlfn._xlws.FILTER(PBC_ACCOUNT_LIST[Id],PBC_ACCOUNT_LIST[Drivers Section]=$H114),PBC_PROFIT_AND_LOSS[Date],CD$5)),0)</f>
        <v>0</v>
      </c>
      <c r="CE114" s="271" cm="1">
        <f t="array" ref="CE114">IF(CE$5&lt;=LatestMonthOfActuals,SUMIFS(CE$10:CE$69,PLSections,$H114)-SUM(SUMIFS(PBC_PROFIT_AND_LOSS[AccountBalance],PBC_PROFIT_AND_LOSS[Id],_xlfn._xlws.FILTER(PBC_ACCOUNT_LIST[Id],PBC_ACCOUNT_LIST[Drivers Section]=$H114),PBC_PROFIT_AND_LOSS[Date],CE$5)),0)</f>
        <v>0</v>
      </c>
      <c r="CF114" s="271" cm="1">
        <f t="array" ref="CF114">IF(CF$5&lt;=LatestMonthOfActuals,SUMIFS(CF$10:CF$69,PLSections,$H114)-SUM(SUMIFS(PBC_PROFIT_AND_LOSS[AccountBalance],PBC_PROFIT_AND_LOSS[Id],_xlfn._xlws.FILTER(PBC_ACCOUNT_LIST[Id],PBC_ACCOUNT_LIST[Drivers Section]=$H114),PBC_PROFIT_AND_LOSS[Date],CF$5)),0)</f>
        <v>0</v>
      </c>
      <c r="CG114" s="271" cm="1">
        <f t="array" ref="CG114">IF(CG$5&lt;=LatestMonthOfActuals,SUMIFS(CG$10:CG$69,PLSections,$H114)-SUM(SUMIFS(PBC_PROFIT_AND_LOSS[AccountBalance],PBC_PROFIT_AND_LOSS[Id],_xlfn._xlws.FILTER(PBC_ACCOUNT_LIST[Id],PBC_ACCOUNT_LIST[Drivers Section]=$H114),PBC_PROFIT_AND_LOSS[Date],CG$5)),0)</f>
        <v>0</v>
      </c>
      <c r="CH114" s="271" cm="1">
        <f t="array" ref="CH114">IF(CH$5&lt;=LatestMonthOfActuals,SUMIFS(CH$10:CH$69,PLSections,$H114)-SUM(SUMIFS(PBC_PROFIT_AND_LOSS[AccountBalance],PBC_PROFIT_AND_LOSS[Id],_xlfn._xlws.FILTER(PBC_ACCOUNT_LIST[Id],PBC_ACCOUNT_LIST[Drivers Section]=$H114),PBC_PROFIT_AND_LOSS[Date],CH$5)),0)</f>
        <v>0</v>
      </c>
      <c r="CI114" s="271" cm="1">
        <f t="array" ref="CI114">IF(CI$5&lt;=LatestMonthOfActuals,SUMIFS(CI$10:CI$69,PLSections,$H114)-SUM(SUMIFS(PBC_PROFIT_AND_LOSS[AccountBalance],PBC_PROFIT_AND_LOSS[Id],_xlfn._xlws.FILTER(PBC_ACCOUNT_LIST[Id],PBC_ACCOUNT_LIST[Drivers Section]=$H114),PBC_PROFIT_AND_LOSS[Date],CI$5)),0)</f>
        <v>0</v>
      </c>
      <c r="CJ114" s="271" cm="1">
        <f t="array" ref="CJ114">IF(CJ$5&lt;=LatestMonthOfActuals,SUMIFS(CJ$10:CJ$69,PLSections,$H114)-SUM(SUMIFS(PBC_PROFIT_AND_LOSS[AccountBalance],PBC_PROFIT_AND_LOSS[Id],_xlfn._xlws.FILTER(PBC_ACCOUNT_LIST[Id],PBC_ACCOUNT_LIST[Drivers Section]=$H114),PBC_PROFIT_AND_LOSS[Date],CJ$5)),0)</f>
        <v>0</v>
      </c>
    </row>
    <row r="115" spans="2:88" ht="15.6" hidden="1" customHeight="1" outlineLevel="3">
      <c r="B115" s="273" t="s">
        <v>135</v>
      </c>
      <c r="H115" s="273" t="s">
        <v>135</v>
      </c>
      <c r="I115" s="273"/>
      <c r="J115" s="273"/>
      <c r="K115" s="273"/>
      <c r="L115" s="273"/>
      <c r="O115" s="272"/>
      <c r="P115" s="272"/>
      <c r="Q115" s="272"/>
      <c r="R115" s="272"/>
      <c r="S115" s="272"/>
      <c r="T115" s="272"/>
      <c r="U115" s="272"/>
      <c r="AM115" s="272"/>
      <c r="AN115" s="271" cm="1">
        <f t="array" ref="AN115">IF(AN$5&lt;=LatestMonthOfActuals,SUMIFS(AN$71:AN$106,BSSections,$H115)-SUM(SUMIFS(PBC_BALANCE_SHEET[AccountBalance],PBC_BALANCE_SHEET[Id],_xlfn._xlws.FILTER(PBC_ACCOUNT_LIST[Id],PBC_ACCOUNT_LIST[Drivers Section]=$H115),PBC_BALANCE_SHEET[Date],AN$5)),0)</f>
        <v>0</v>
      </c>
      <c r="AO115" s="271" cm="1">
        <f t="array" ref="AO115">IF(AO$5&lt;=LatestMonthOfActuals,SUMIFS(AO$71:AO$106,BSSections,$H115)-SUM(SUMIFS(PBC_BALANCE_SHEET[AccountBalance],PBC_BALANCE_SHEET[Id],_xlfn._xlws.FILTER(PBC_ACCOUNT_LIST[Id],PBC_ACCOUNT_LIST[Drivers Section]=$H115),PBC_BALANCE_SHEET[Date],AO$5)),0)</f>
        <v>0</v>
      </c>
      <c r="AP115" s="271" cm="1">
        <f t="array" ref="AP115">IF(AP$5&lt;=LatestMonthOfActuals,SUMIFS(AP$71:AP$106,BSSections,$H115)-SUM(SUMIFS(PBC_BALANCE_SHEET[AccountBalance],PBC_BALANCE_SHEET[Id],_xlfn._xlws.FILTER(PBC_ACCOUNT_LIST[Id],PBC_ACCOUNT_LIST[Drivers Section]=$H115),PBC_BALANCE_SHEET[Date],AP$5)),0)</f>
        <v>0</v>
      </c>
      <c r="AQ115" s="271" cm="1">
        <f t="array" ref="AQ115">IF(AQ$5&lt;=LatestMonthOfActuals,SUMIFS(AQ$71:AQ$106,BSSections,$H115)-SUM(SUMIFS(PBC_BALANCE_SHEET[AccountBalance],PBC_BALANCE_SHEET[Id],_xlfn._xlws.FILTER(PBC_ACCOUNT_LIST[Id],PBC_ACCOUNT_LIST[Drivers Section]=$H115),PBC_BALANCE_SHEET[Date],AQ$5)),0)</f>
        <v>0</v>
      </c>
      <c r="AR115" s="271" cm="1">
        <f t="array" ref="AR115">IF(AR$5&lt;=LatestMonthOfActuals,SUMIFS(AR$71:AR$106,BSSections,$H115)-SUM(SUMIFS(PBC_BALANCE_SHEET[AccountBalance],PBC_BALANCE_SHEET[Id],_xlfn._xlws.FILTER(PBC_ACCOUNT_LIST[Id],PBC_ACCOUNT_LIST[Drivers Section]=$H115),PBC_BALANCE_SHEET[Date],AR$5)),0)</f>
        <v>0</v>
      </c>
      <c r="AS115" s="271" cm="1">
        <f t="array" ref="AS115">IF(AS$5&lt;=LatestMonthOfActuals,SUMIFS(AS$71:AS$106,BSSections,$H115)-SUM(SUMIFS(PBC_BALANCE_SHEET[AccountBalance],PBC_BALANCE_SHEET[Id],_xlfn._xlws.FILTER(PBC_ACCOUNT_LIST[Id],PBC_ACCOUNT_LIST[Drivers Section]=$H115),PBC_BALANCE_SHEET[Date],AS$5)),0)</f>
        <v>0</v>
      </c>
      <c r="AT115" s="271" cm="1">
        <f t="array" ref="AT115">IF(AT$5&lt;=LatestMonthOfActuals,SUMIFS(AT$71:AT$106,BSSections,$H115)-SUM(SUMIFS(PBC_BALANCE_SHEET[AccountBalance],PBC_BALANCE_SHEET[Id],_xlfn._xlws.FILTER(PBC_ACCOUNT_LIST[Id],PBC_ACCOUNT_LIST[Drivers Section]=$H115),PBC_BALANCE_SHEET[Date],AT$5)),0)</f>
        <v>0</v>
      </c>
      <c r="AU115" s="271" cm="1">
        <f t="array" ref="AU115">IF(AU$5&lt;=LatestMonthOfActuals,SUMIFS(AU$71:AU$106,BSSections,$H115)-SUM(SUMIFS(PBC_BALANCE_SHEET[AccountBalance],PBC_BALANCE_SHEET[Id],_xlfn._xlws.FILTER(PBC_ACCOUNT_LIST[Id],PBC_ACCOUNT_LIST[Drivers Section]=$H115),PBC_BALANCE_SHEET[Date],AU$5)),0)</f>
        <v>0</v>
      </c>
      <c r="AV115" s="271" cm="1">
        <f t="array" ref="AV115">IF(AV$5&lt;=LatestMonthOfActuals,SUMIFS(AV$71:AV$106,BSSections,$H115)-SUM(SUMIFS(PBC_BALANCE_SHEET[AccountBalance],PBC_BALANCE_SHEET[Id],_xlfn._xlws.FILTER(PBC_ACCOUNT_LIST[Id],PBC_ACCOUNT_LIST[Drivers Section]=$H115),PBC_BALANCE_SHEET[Date],AV$5)),0)</f>
        <v>0</v>
      </c>
      <c r="AW115" s="271" cm="1">
        <f t="array" ref="AW115">IF(AW$5&lt;=LatestMonthOfActuals,SUMIFS(AW$71:AW$106,BSSections,$H115)-SUM(SUMIFS(PBC_BALANCE_SHEET[AccountBalance],PBC_BALANCE_SHEET[Id],_xlfn._xlws.FILTER(PBC_ACCOUNT_LIST[Id],PBC_ACCOUNT_LIST[Drivers Section]=$H115),PBC_BALANCE_SHEET[Date],AW$5)),0)</f>
        <v>0</v>
      </c>
      <c r="AX115" s="271" cm="1">
        <f t="array" ref="AX115">IF(AX$5&lt;=LatestMonthOfActuals,SUMIFS(AX$71:AX$106,BSSections,$H115)-SUM(SUMIFS(PBC_BALANCE_SHEET[AccountBalance],PBC_BALANCE_SHEET[Id],_xlfn._xlws.FILTER(PBC_ACCOUNT_LIST[Id],PBC_ACCOUNT_LIST[Drivers Section]=$H115),PBC_BALANCE_SHEET[Date],AX$5)),0)</f>
        <v>0</v>
      </c>
      <c r="AY115" s="271" cm="1">
        <f t="array" ref="AY115">IF(AY$5&lt;=LatestMonthOfActuals,SUMIFS(AY$71:AY$106,BSSections,$H115)-SUM(SUMIFS(PBC_BALANCE_SHEET[AccountBalance],PBC_BALANCE_SHEET[Id],_xlfn._xlws.FILTER(PBC_ACCOUNT_LIST[Id],PBC_ACCOUNT_LIST[Drivers Section]=$H115),PBC_BALANCE_SHEET[Date],AY$5)),0)</f>
        <v>0</v>
      </c>
      <c r="AZ115" s="271" cm="1">
        <f t="array" ref="AZ115">IF(AZ$5&lt;=LatestMonthOfActuals,SUMIFS(AZ$71:AZ$106,BSSections,$H115)-SUM(SUMIFS(PBC_BALANCE_SHEET[AccountBalance],PBC_BALANCE_SHEET[Id],_xlfn._xlws.FILTER(PBC_ACCOUNT_LIST[Id],PBC_ACCOUNT_LIST[Drivers Section]=$H115),PBC_BALANCE_SHEET[Date],AZ$5)),0)</f>
        <v>0</v>
      </c>
      <c r="BA115" s="271" cm="1">
        <f t="array" ref="BA115">IF(BA$5&lt;=LatestMonthOfActuals,SUMIFS(BA$71:BA$106,BSSections,$H115)-SUM(SUMIFS(PBC_BALANCE_SHEET[AccountBalance],PBC_BALANCE_SHEET[Id],_xlfn._xlws.FILTER(PBC_ACCOUNT_LIST[Id],PBC_ACCOUNT_LIST[Drivers Section]=$H115),PBC_BALANCE_SHEET[Date],BA$5)),0)</f>
        <v>0</v>
      </c>
      <c r="BB115" s="271" cm="1">
        <f t="array" ref="BB115">IF(BB$5&lt;=LatestMonthOfActuals,SUMIFS(BB$71:BB$106,BSSections,$H115)-SUM(SUMIFS(PBC_BALANCE_SHEET[AccountBalance],PBC_BALANCE_SHEET[Id],_xlfn._xlws.FILTER(PBC_ACCOUNT_LIST[Id],PBC_ACCOUNT_LIST[Drivers Section]=$H115),PBC_BALANCE_SHEET[Date],BB$5)),0)</f>
        <v>0</v>
      </c>
      <c r="BC115" s="271" cm="1">
        <f t="array" ref="BC115">IF(BC$5&lt;=LatestMonthOfActuals,SUMIFS(BC$71:BC$106,BSSections,$H115)-SUM(SUMIFS(PBC_BALANCE_SHEET[AccountBalance],PBC_BALANCE_SHEET[Id],_xlfn._xlws.FILTER(PBC_ACCOUNT_LIST[Id],PBC_ACCOUNT_LIST[Drivers Section]=$H115),PBC_BALANCE_SHEET[Date],BC$5)),0)</f>
        <v>0</v>
      </c>
      <c r="BD115" s="271" cm="1">
        <f t="array" ref="BD115">IF(BD$5&lt;=LatestMonthOfActuals,SUMIFS(BD$71:BD$106,BSSections,$H115)-SUM(SUMIFS(PBC_BALANCE_SHEET[AccountBalance],PBC_BALANCE_SHEET[Id],_xlfn._xlws.FILTER(PBC_ACCOUNT_LIST[Id],PBC_ACCOUNT_LIST[Drivers Section]=$H115),PBC_BALANCE_SHEET[Date],BD$5)),0)</f>
        <v>0</v>
      </c>
      <c r="BE115" s="271" cm="1">
        <f t="array" ref="BE115">IF(BE$5&lt;=LatestMonthOfActuals,SUMIFS(BE$71:BE$106,BSSections,$H115)-SUM(SUMIFS(PBC_BALANCE_SHEET[AccountBalance],PBC_BALANCE_SHEET[Id],_xlfn._xlws.FILTER(PBC_ACCOUNT_LIST[Id],PBC_ACCOUNT_LIST[Drivers Section]=$H115),PBC_BALANCE_SHEET[Date],BE$5)),0)</f>
        <v>0</v>
      </c>
      <c r="BF115" s="271" cm="1">
        <f t="array" ref="BF115">IF(BF$5&lt;=LatestMonthOfActuals,SUMIFS(BF$71:BF$106,BSSections,$H115)-SUM(SUMIFS(PBC_BALANCE_SHEET[AccountBalance],PBC_BALANCE_SHEET[Id],_xlfn._xlws.FILTER(PBC_ACCOUNT_LIST[Id],PBC_ACCOUNT_LIST[Drivers Section]=$H115),PBC_BALANCE_SHEET[Date],BF$5)),0)</f>
        <v>0</v>
      </c>
      <c r="BG115" s="271" cm="1">
        <f t="array" ref="BG115">IF(BG$5&lt;=LatestMonthOfActuals,SUMIFS(BG$71:BG$106,BSSections,$H115)-SUM(SUMIFS(PBC_BALANCE_SHEET[AccountBalance],PBC_BALANCE_SHEET[Id],_xlfn._xlws.FILTER(PBC_ACCOUNT_LIST[Id],PBC_ACCOUNT_LIST[Drivers Section]=$H115),PBC_BALANCE_SHEET[Date],BG$5)),0)</f>
        <v>0</v>
      </c>
      <c r="BH115" s="271" cm="1">
        <f t="array" ref="BH115">IF(BH$5&lt;=LatestMonthOfActuals,SUMIFS(BH$71:BH$106,BSSections,$H115)-SUM(SUMIFS(PBC_BALANCE_SHEET[AccountBalance],PBC_BALANCE_SHEET[Id],_xlfn._xlws.FILTER(PBC_ACCOUNT_LIST[Id],PBC_ACCOUNT_LIST[Drivers Section]=$H115),PBC_BALANCE_SHEET[Date],BH$5)),0)</f>
        <v>0</v>
      </c>
      <c r="BI115" s="271" cm="1">
        <f t="array" ref="BI115">IF(BI$5&lt;=LatestMonthOfActuals,SUMIFS(BI$71:BI$106,BSSections,$H115)-SUM(SUMIFS(PBC_BALANCE_SHEET[AccountBalance],PBC_BALANCE_SHEET[Id],_xlfn._xlws.FILTER(PBC_ACCOUNT_LIST[Id],PBC_ACCOUNT_LIST[Drivers Section]=$H115),PBC_BALANCE_SHEET[Date],BI$5)),0)</f>
        <v>0</v>
      </c>
      <c r="BJ115" s="271" cm="1">
        <f t="array" ref="BJ115">IF(BJ$5&lt;=LatestMonthOfActuals,SUMIFS(BJ$71:BJ$106,BSSections,$H115)-SUM(SUMIFS(PBC_BALANCE_SHEET[AccountBalance],PBC_BALANCE_SHEET[Id],_xlfn._xlws.FILTER(PBC_ACCOUNT_LIST[Id],PBC_ACCOUNT_LIST[Drivers Section]=$H115),PBC_BALANCE_SHEET[Date],BJ$5)),0)</f>
        <v>0</v>
      </c>
      <c r="BK115" s="271" cm="1">
        <f t="array" ref="BK115">IF(BK$5&lt;=LatestMonthOfActuals,SUMIFS(BK$71:BK$106,BSSections,$H115)-SUM(SUMIFS(PBC_BALANCE_SHEET[AccountBalance],PBC_BALANCE_SHEET[Id],_xlfn._xlws.FILTER(PBC_ACCOUNT_LIST[Id],PBC_ACCOUNT_LIST[Drivers Section]=$H115),PBC_BALANCE_SHEET[Date],BK$5)),0)</f>
        <v>0</v>
      </c>
      <c r="BL115" s="271" cm="1">
        <f t="array" ref="BL115">IF(BL$5&lt;=LatestMonthOfActuals,SUMIFS(BL$71:BL$106,BSSections,$H115)-SUM(SUMIFS(PBC_BALANCE_SHEET[AccountBalance],PBC_BALANCE_SHEET[Id],_xlfn._xlws.FILTER(PBC_ACCOUNT_LIST[Id],PBC_ACCOUNT_LIST[Drivers Section]=$H115),PBC_BALANCE_SHEET[Date],BL$5)),0)</f>
        <v>0</v>
      </c>
      <c r="BM115" s="271" cm="1">
        <f t="array" ref="BM115">IF(BM$5&lt;=LatestMonthOfActuals,SUMIFS(BM$71:BM$106,BSSections,$H115)-SUM(SUMIFS(PBC_BALANCE_SHEET[AccountBalance],PBC_BALANCE_SHEET[Id],_xlfn._xlws.FILTER(PBC_ACCOUNT_LIST[Id],PBC_ACCOUNT_LIST[Drivers Section]=$H115),PBC_BALANCE_SHEET[Date],BM$5)),0)</f>
        <v>0</v>
      </c>
      <c r="BN115" s="271" cm="1">
        <f t="array" ref="BN115">IF(BN$5&lt;=LatestMonthOfActuals,SUMIFS(BN$71:BN$106,BSSections,$H115)-SUM(SUMIFS(PBC_BALANCE_SHEET[AccountBalance],PBC_BALANCE_SHEET[Id],_xlfn._xlws.FILTER(PBC_ACCOUNT_LIST[Id],PBC_ACCOUNT_LIST[Drivers Section]=$H115),PBC_BALANCE_SHEET[Date],BN$5)),0)</f>
        <v>0</v>
      </c>
      <c r="BO115" s="271" cm="1">
        <f t="array" ref="BO115">IF(BO$5&lt;=LatestMonthOfActuals,SUMIFS(BO$71:BO$106,BSSections,$H115)-SUM(SUMIFS(PBC_BALANCE_SHEET[AccountBalance],PBC_BALANCE_SHEET[Id],_xlfn._xlws.FILTER(PBC_ACCOUNT_LIST[Id],PBC_ACCOUNT_LIST[Drivers Section]=$H115),PBC_BALANCE_SHEET[Date],BO$5)),0)</f>
        <v>0</v>
      </c>
      <c r="BP115" s="271" cm="1">
        <f t="array" ref="BP115">IF(BP$5&lt;=LatestMonthOfActuals,SUMIFS(BP$71:BP$106,BSSections,$H115)-SUM(SUMIFS(PBC_BALANCE_SHEET[AccountBalance],PBC_BALANCE_SHEET[Id],_xlfn._xlws.FILTER(PBC_ACCOUNT_LIST[Id],PBC_ACCOUNT_LIST[Drivers Section]=$H115),PBC_BALANCE_SHEET[Date],BP$5)),0)</f>
        <v>4.6566128730773926E-10</v>
      </c>
      <c r="BQ115" s="271" cm="1">
        <f t="array" ref="BQ115">IF(BQ$5&lt;=LatestMonthOfActuals,SUMIFS(BQ$71:BQ$106,BSSections,$H115)-SUM(SUMIFS(PBC_BALANCE_SHEET[AccountBalance],PBC_BALANCE_SHEET[Id],_xlfn._xlws.FILTER(PBC_ACCOUNT_LIST[Id],PBC_ACCOUNT_LIST[Drivers Section]=$H115),PBC_BALANCE_SHEET[Date],BQ$5)),0)</f>
        <v>0</v>
      </c>
      <c r="BR115" s="271" cm="1">
        <f t="array" ref="BR115">IF(BR$5&lt;=LatestMonthOfActuals,SUMIFS(BR$71:BR$106,BSSections,$H115)-SUM(SUMIFS(PBC_BALANCE_SHEET[AccountBalance],PBC_BALANCE_SHEET[Id],_xlfn._xlws.FILTER(PBC_ACCOUNT_LIST[Id],PBC_ACCOUNT_LIST[Drivers Section]=$H115),PBC_BALANCE_SHEET[Date],BR$5)),0)</f>
        <v>2.3283064365386963E-10</v>
      </c>
      <c r="BS115" s="271" cm="1">
        <f t="array" ref="BS115">IF(BS$5&lt;=LatestMonthOfActuals,SUMIFS(BS$71:BS$106,BSSections,$H115)-SUM(SUMIFS(PBC_BALANCE_SHEET[AccountBalance],PBC_BALANCE_SHEET[Id],_xlfn._xlws.FILTER(PBC_ACCOUNT_LIST[Id],PBC_ACCOUNT_LIST[Drivers Section]=$H115),PBC_BALANCE_SHEET[Date],BS$5)),0)</f>
        <v>0</v>
      </c>
      <c r="BT115" s="271" cm="1">
        <f t="array" ref="BT115">IF(BT$5&lt;=LatestMonthOfActuals,SUMIFS(BT$71:BT$106,BSSections,$H115)-SUM(SUMIFS(PBC_BALANCE_SHEET[AccountBalance],PBC_BALANCE_SHEET[Id],_xlfn._xlws.FILTER(PBC_ACCOUNT_LIST[Id],PBC_ACCOUNT_LIST[Drivers Section]=$H115),PBC_BALANCE_SHEET[Date],BT$5)),0)</f>
        <v>0</v>
      </c>
      <c r="BU115" s="271" cm="1">
        <f t="array" ref="BU115">IF(BU$5&lt;=LatestMonthOfActuals,SUMIFS(BU$71:BU$106,BSSections,$H115)-SUM(SUMIFS(PBC_BALANCE_SHEET[AccountBalance],PBC_BALANCE_SHEET[Id],_xlfn._xlws.FILTER(PBC_ACCOUNT_LIST[Id],PBC_ACCOUNT_LIST[Drivers Section]=$H115),PBC_BALANCE_SHEET[Date],BU$5)),0)</f>
        <v>2.3283064365386963E-10</v>
      </c>
      <c r="BV115" s="271" cm="1">
        <f t="array" ref="BV115">IF(BV$5&lt;=LatestMonthOfActuals,SUMIFS(BV$71:BV$106,BSSections,$H115)-SUM(SUMIFS(PBC_BALANCE_SHEET[AccountBalance],PBC_BALANCE_SHEET[Id],_xlfn._xlws.FILTER(PBC_ACCOUNT_LIST[Id],PBC_ACCOUNT_LIST[Drivers Section]=$H115),PBC_BALANCE_SHEET[Date],BV$5)),0)</f>
        <v>1.1641532182693481E-10</v>
      </c>
      <c r="BW115" s="271" cm="1">
        <f t="array" ref="BW115">IF(BW$5&lt;=LatestMonthOfActuals,SUMIFS(BW$71:BW$106,BSSections,$H115)-SUM(SUMIFS(PBC_BALANCE_SHEET[AccountBalance],PBC_BALANCE_SHEET[Id],_xlfn._xlws.FILTER(PBC_ACCOUNT_LIST[Id],PBC_ACCOUNT_LIST[Drivers Section]=$H115),PBC_BALANCE_SHEET[Date],BW$5)),0)</f>
        <v>0</v>
      </c>
      <c r="BX115" s="271" cm="1">
        <f t="array" ref="BX115">IF(BX$5&lt;=LatestMonthOfActuals,SUMIFS(BX$71:BX$106,BSSections,$H115)-SUM(SUMIFS(PBC_BALANCE_SHEET[AccountBalance],PBC_BALANCE_SHEET[Id],_xlfn._xlws.FILTER(PBC_ACCOUNT_LIST[Id],PBC_ACCOUNT_LIST[Drivers Section]=$H115),PBC_BALANCE_SHEET[Date],BX$5)),0)</f>
        <v>0</v>
      </c>
      <c r="BY115" s="271" cm="1">
        <f t="array" ref="BY115">IF(BY$5&lt;=LatestMonthOfActuals,SUMIFS(BY$71:BY$106,BSSections,$H115)-SUM(SUMIFS(PBC_BALANCE_SHEET[AccountBalance],PBC_BALANCE_SHEET[Id],_xlfn._xlws.FILTER(PBC_ACCOUNT_LIST[Id],PBC_ACCOUNT_LIST[Drivers Section]=$H115),PBC_BALANCE_SHEET[Date],BY$5)),0)</f>
        <v>0</v>
      </c>
      <c r="BZ115" s="271" cm="1">
        <f t="array" ref="BZ115">IF(BZ$5&lt;=LatestMonthOfActuals,SUMIFS(BZ$71:BZ$106,BSSections,$H115)-SUM(SUMIFS(PBC_BALANCE_SHEET[AccountBalance],PBC_BALANCE_SHEET[Id],_xlfn._xlws.FILTER(PBC_ACCOUNT_LIST[Id],PBC_ACCOUNT_LIST[Drivers Section]=$H115),PBC_BALANCE_SHEET[Date],BZ$5)),0)</f>
        <v>0</v>
      </c>
      <c r="CA115" s="271" cm="1">
        <f t="array" ref="CA115">IF(CA$5&lt;=LatestMonthOfActuals,SUMIFS(CA$71:CA$106,BSSections,$H115)-SUM(SUMIFS(PBC_BALANCE_SHEET[AccountBalance],PBC_BALANCE_SHEET[Id],_xlfn._xlws.FILTER(PBC_ACCOUNT_LIST[Id],PBC_ACCOUNT_LIST[Drivers Section]=$H115),PBC_BALANCE_SHEET[Date],CA$5)),0)</f>
        <v>0</v>
      </c>
      <c r="CB115" s="271" cm="1">
        <f t="array" ref="CB115">IF(CB$5&lt;=LatestMonthOfActuals,SUMIFS(CB$71:CB$106,BSSections,$H115)-SUM(SUMIFS(PBC_BALANCE_SHEET[AccountBalance],PBC_BALANCE_SHEET[Id],_xlfn._xlws.FILTER(PBC_ACCOUNT_LIST[Id],PBC_ACCOUNT_LIST[Drivers Section]=$H115),PBC_BALANCE_SHEET[Date],CB$5)),0)</f>
        <v>0</v>
      </c>
      <c r="CC115" s="271" cm="1">
        <f t="array" ref="CC115">IF(CC$5&lt;=LatestMonthOfActuals,SUMIFS(CC$71:CC$106,BSSections,$H115)-SUM(SUMIFS(PBC_BALANCE_SHEET[AccountBalance],PBC_BALANCE_SHEET[Id],_xlfn._xlws.FILTER(PBC_ACCOUNT_LIST[Id],PBC_ACCOUNT_LIST[Drivers Section]=$H115),PBC_BALANCE_SHEET[Date],CC$5)),0)</f>
        <v>0</v>
      </c>
      <c r="CD115" s="271" cm="1">
        <f t="array" ref="CD115">IF(CD$5&lt;=LatestMonthOfActuals,SUMIFS(CD$71:CD$106,BSSections,$H115)-SUM(SUMIFS(PBC_BALANCE_SHEET[AccountBalance],PBC_BALANCE_SHEET[Id],_xlfn._xlws.FILTER(PBC_ACCOUNT_LIST[Id],PBC_ACCOUNT_LIST[Drivers Section]=$H115),PBC_BALANCE_SHEET[Date],CD$5)),0)</f>
        <v>0</v>
      </c>
      <c r="CE115" s="271" cm="1">
        <f t="array" ref="CE115">IF(CE$5&lt;=LatestMonthOfActuals,SUMIFS(CE$71:CE$106,BSSections,$H115)-SUM(SUMIFS(PBC_BALANCE_SHEET[AccountBalance],PBC_BALANCE_SHEET[Id],_xlfn._xlws.FILTER(PBC_ACCOUNT_LIST[Id],PBC_ACCOUNT_LIST[Drivers Section]=$H115),PBC_BALANCE_SHEET[Date],CE$5)),0)</f>
        <v>0</v>
      </c>
      <c r="CF115" s="271" cm="1">
        <f t="array" ref="CF115">IF(CF$5&lt;=LatestMonthOfActuals,SUMIFS(CF$71:CF$106,BSSections,$H115)-SUM(SUMIFS(PBC_BALANCE_SHEET[AccountBalance],PBC_BALANCE_SHEET[Id],_xlfn._xlws.FILTER(PBC_ACCOUNT_LIST[Id],PBC_ACCOUNT_LIST[Drivers Section]=$H115),PBC_BALANCE_SHEET[Date],CF$5)),0)</f>
        <v>0</v>
      </c>
      <c r="CG115" s="271" cm="1">
        <f t="array" ref="CG115">IF(CG$5&lt;=LatestMonthOfActuals,SUMIFS(CG$71:CG$106,BSSections,$H115)-SUM(SUMIFS(PBC_BALANCE_SHEET[AccountBalance],PBC_BALANCE_SHEET[Id],_xlfn._xlws.FILTER(PBC_ACCOUNT_LIST[Id],PBC_ACCOUNT_LIST[Drivers Section]=$H115),PBC_BALANCE_SHEET[Date],CG$5)),0)</f>
        <v>0</v>
      </c>
      <c r="CH115" s="271" cm="1">
        <f t="array" ref="CH115">IF(CH$5&lt;=LatestMonthOfActuals,SUMIFS(CH$71:CH$106,BSSections,$H115)-SUM(SUMIFS(PBC_BALANCE_SHEET[AccountBalance],PBC_BALANCE_SHEET[Id],_xlfn._xlws.FILTER(PBC_ACCOUNT_LIST[Id],PBC_ACCOUNT_LIST[Drivers Section]=$H115),PBC_BALANCE_SHEET[Date],CH$5)),0)</f>
        <v>0</v>
      </c>
      <c r="CI115" s="271" cm="1">
        <f t="array" ref="CI115">IF(CI$5&lt;=LatestMonthOfActuals,SUMIFS(CI$71:CI$106,BSSections,$H115)-SUM(SUMIFS(PBC_BALANCE_SHEET[AccountBalance],PBC_BALANCE_SHEET[Id],_xlfn._xlws.FILTER(PBC_ACCOUNT_LIST[Id],PBC_ACCOUNT_LIST[Drivers Section]=$H115),PBC_BALANCE_SHEET[Date],CI$5)),0)</f>
        <v>0</v>
      </c>
      <c r="CJ115" s="271" cm="1">
        <f t="array" ref="CJ115">IF(CJ$5&lt;=LatestMonthOfActuals,SUMIFS(CJ$71:CJ$106,BSSections,$H115)-SUM(SUMIFS(PBC_BALANCE_SHEET[AccountBalance],PBC_BALANCE_SHEET[Id],_xlfn._xlws.FILTER(PBC_ACCOUNT_LIST[Id],PBC_ACCOUNT_LIST[Drivers Section]=$H115),PBC_BALANCE_SHEET[Date],CJ$5)),0)</f>
        <v>0</v>
      </c>
    </row>
    <row r="116" spans="2:88" ht="15.6" hidden="1" customHeight="1" outlineLevel="3">
      <c r="B116" s="273" t="s">
        <v>141</v>
      </c>
      <c r="H116" s="273" t="s">
        <v>141</v>
      </c>
      <c r="I116" s="273"/>
      <c r="J116" s="273"/>
      <c r="K116" s="273"/>
      <c r="L116" s="273"/>
      <c r="O116" s="272"/>
      <c r="P116" s="272"/>
      <c r="Q116" s="272"/>
      <c r="R116" s="272"/>
      <c r="S116" s="272"/>
      <c r="T116" s="272"/>
      <c r="U116" s="272"/>
      <c r="AM116" s="272"/>
      <c r="AN116" s="271" cm="1">
        <f t="array" ref="AN116">IF(AN$5&lt;=LatestMonthOfActuals,SUMIFS(AN$71:AN$106,BSSections,$H116)-SUM(SUMIFS(PBC_BALANCE_SHEET[AccountBalance],PBC_BALANCE_SHEET[Id],_xlfn._xlws.FILTER(PBC_ACCOUNT_LIST[Id],PBC_ACCOUNT_LIST[Drivers Section]=$H116),PBC_BALANCE_SHEET[Date],AN$5)),0)</f>
        <v>0</v>
      </c>
      <c r="AO116" s="271" cm="1">
        <f t="array" ref="AO116">IF(AO$5&lt;=LatestMonthOfActuals,SUMIFS(AO$71:AO$106,BSSections,$H116)-SUM(SUMIFS(PBC_BALANCE_SHEET[AccountBalance],PBC_BALANCE_SHEET[Id],_xlfn._xlws.FILTER(PBC_ACCOUNT_LIST[Id],PBC_ACCOUNT_LIST[Drivers Section]=$H116),PBC_BALANCE_SHEET[Date],AO$5)),0)</f>
        <v>0</v>
      </c>
      <c r="AP116" s="271" cm="1">
        <f t="array" ref="AP116">IF(AP$5&lt;=LatestMonthOfActuals,SUMIFS(AP$71:AP$106,BSSections,$H116)-SUM(SUMIFS(PBC_BALANCE_SHEET[AccountBalance],PBC_BALANCE_SHEET[Id],_xlfn._xlws.FILTER(PBC_ACCOUNT_LIST[Id],PBC_ACCOUNT_LIST[Drivers Section]=$H116),PBC_BALANCE_SHEET[Date],AP$5)),0)</f>
        <v>0</v>
      </c>
      <c r="AQ116" s="271" cm="1">
        <f t="array" ref="AQ116">IF(AQ$5&lt;=LatestMonthOfActuals,SUMIFS(AQ$71:AQ$106,BSSections,$H116)-SUM(SUMIFS(PBC_BALANCE_SHEET[AccountBalance],PBC_BALANCE_SHEET[Id],_xlfn._xlws.FILTER(PBC_ACCOUNT_LIST[Id],PBC_ACCOUNT_LIST[Drivers Section]=$H116),PBC_BALANCE_SHEET[Date],AQ$5)),0)</f>
        <v>0</v>
      </c>
      <c r="AR116" s="271" cm="1">
        <f t="array" ref="AR116">IF(AR$5&lt;=LatestMonthOfActuals,SUMIFS(AR$71:AR$106,BSSections,$H116)-SUM(SUMIFS(PBC_BALANCE_SHEET[AccountBalance],PBC_BALANCE_SHEET[Id],_xlfn._xlws.FILTER(PBC_ACCOUNT_LIST[Id],PBC_ACCOUNT_LIST[Drivers Section]=$H116),PBC_BALANCE_SHEET[Date],AR$5)),0)</f>
        <v>0</v>
      </c>
      <c r="AS116" s="271" cm="1">
        <f t="array" ref="AS116">IF(AS$5&lt;=LatestMonthOfActuals,SUMIFS(AS$71:AS$106,BSSections,$H116)-SUM(SUMIFS(PBC_BALANCE_SHEET[AccountBalance],PBC_BALANCE_SHEET[Id],_xlfn._xlws.FILTER(PBC_ACCOUNT_LIST[Id],PBC_ACCOUNT_LIST[Drivers Section]=$H116),PBC_BALANCE_SHEET[Date],AS$5)),0)</f>
        <v>0</v>
      </c>
      <c r="AT116" s="271" cm="1">
        <f t="array" ref="AT116">IF(AT$5&lt;=LatestMonthOfActuals,SUMIFS(AT$71:AT$106,BSSections,$H116)-SUM(SUMIFS(PBC_BALANCE_SHEET[AccountBalance],PBC_BALANCE_SHEET[Id],_xlfn._xlws.FILTER(PBC_ACCOUNT_LIST[Id],PBC_ACCOUNT_LIST[Drivers Section]=$H116),PBC_BALANCE_SHEET[Date],AT$5)),0)</f>
        <v>0</v>
      </c>
      <c r="AU116" s="271" cm="1">
        <f t="array" ref="AU116">IF(AU$5&lt;=LatestMonthOfActuals,SUMIFS(AU$71:AU$106,BSSections,$H116)-SUM(SUMIFS(PBC_BALANCE_SHEET[AccountBalance],PBC_BALANCE_SHEET[Id],_xlfn._xlws.FILTER(PBC_ACCOUNT_LIST[Id],PBC_ACCOUNT_LIST[Drivers Section]=$H116),PBC_BALANCE_SHEET[Date],AU$5)),0)</f>
        <v>0</v>
      </c>
      <c r="AV116" s="271" cm="1">
        <f t="array" ref="AV116">IF(AV$5&lt;=LatestMonthOfActuals,SUMIFS(AV$71:AV$106,BSSections,$H116)-SUM(SUMIFS(PBC_BALANCE_SHEET[AccountBalance],PBC_BALANCE_SHEET[Id],_xlfn._xlws.FILTER(PBC_ACCOUNT_LIST[Id],PBC_ACCOUNT_LIST[Drivers Section]=$H116),PBC_BALANCE_SHEET[Date],AV$5)),0)</f>
        <v>0</v>
      </c>
      <c r="AW116" s="271" cm="1">
        <f t="array" ref="AW116">IF(AW$5&lt;=LatestMonthOfActuals,SUMIFS(AW$71:AW$106,BSSections,$H116)-SUM(SUMIFS(PBC_BALANCE_SHEET[AccountBalance],PBC_BALANCE_SHEET[Id],_xlfn._xlws.FILTER(PBC_ACCOUNT_LIST[Id],PBC_ACCOUNT_LIST[Drivers Section]=$H116),PBC_BALANCE_SHEET[Date],AW$5)),0)</f>
        <v>0</v>
      </c>
      <c r="AX116" s="271" cm="1">
        <f t="array" ref="AX116">IF(AX$5&lt;=LatestMonthOfActuals,SUMIFS(AX$71:AX$106,BSSections,$H116)-SUM(SUMIFS(PBC_BALANCE_SHEET[AccountBalance],PBC_BALANCE_SHEET[Id],_xlfn._xlws.FILTER(PBC_ACCOUNT_LIST[Id],PBC_ACCOUNT_LIST[Drivers Section]=$H116),PBC_BALANCE_SHEET[Date],AX$5)),0)</f>
        <v>0</v>
      </c>
      <c r="AY116" s="271" cm="1">
        <f t="array" ref="AY116">IF(AY$5&lt;=LatestMonthOfActuals,SUMIFS(AY$71:AY$106,BSSections,$H116)-SUM(SUMIFS(PBC_BALANCE_SHEET[AccountBalance],PBC_BALANCE_SHEET[Id],_xlfn._xlws.FILTER(PBC_ACCOUNT_LIST[Id],PBC_ACCOUNT_LIST[Drivers Section]=$H116),PBC_BALANCE_SHEET[Date],AY$5)),0)</f>
        <v>0</v>
      </c>
      <c r="AZ116" s="271" cm="1">
        <f t="array" ref="AZ116">IF(AZ$5&lt;=LatestMonthOfActuals,SUMIFS(AZ$71:AZ$106,BSSections,$H116)-SUM(SUMIFS(PBC_BALANCE_SHEET[AccountBalance],PBC_BALANCE_SHEET[Id],_xlfn._xlws.FILTER(PBC_ACCOUNT_LIST[Id],PBC_ACCOUNT_LIST[Drivers Section]=$H116),PBC_BALANCE_SHEET[Date],AZ$5)),0)</f>
        <v>0</v>
      </c>
      <c r="BA116" s="271" cm="1">
        <f t="array" ref="BA116">IF(BA$5&lt;=LatestMonthOfActuals,SUMIFS(BA$71:BA$106,BSSections,$H116)-SUM(SUMIFS(PBC_BALANCE_SHEET[AccountBalance],PBC_BALANCE_SHEET[Id],_xlfn._xlws.FILTER(PBC_ACCOUNT_LIST[Id],PBC_ACCOUNT_LIST[Drivers Section]=$H116),PBC_BALANCE_SHEET[Date],BA$5)),0)</f>
        <v>0</v>
      </c>
      <c r="BB116" s="271" cm="1">
        <f t="array" ref="BB116">IF(BB$5&lt;=LatestMonthOfActuals,SUMIFS(BB$71:BB$106,BSSections,$H116)-SUM(SUMIFS(PBC_BALANCE_SHEET[AccountBalance],PBC_BALANCE_SHEET[Id],_xlfn._xlws.FILTER(PBC_ACCOUNT_LIST[Id],PBC_ACCOUNT_LIST[Drivers Section]=$H116),PBC_BALANCE_SHEET[Date],BB$5)),0)</f>
        <v>0</v>
      </c>
      <c r="BC116" s="271" cm="1">
        <f t="array" ref="BC116">IF(BC$5&lt;=LatestMonthOfActuals,SUMIFS(BC$71:BC$106,BSSections,$H116)-SUM(SUMIFS(PBC_BALANCE_SHEET[AccountBalance],PBC_BALANCE_SHEET[Id],_xlfn._xlws.FILTER(PBC_ACCOUNT_LIST[Id],PBC_ACCOUNT_LIST[Drivers Section]=$H116),PBC_BALANCE_SHEET[Date],BC$5)),0)</f>
        <v>0</v>
      </c>
      <c r="BD116" s="271" cm="1">
        <f t="array" ref="BD116">IF(BD$5&lt;=LatestMonthOfActuals,SUMIFS(BD$71:BD$106,BSSections,$H116)-SUM(SUMIFS(PBC_BALANCE_SHEET[AccountBalance],PBC_BALANCE_SHEET[Id],_xlfn._xlws.FILTER(PBC_ACCOUNT_LIST[Id],PBC_ACCOUNT_LIST[Drivers Section]=$H116),PBC_BALANCE_SHEET[Date],BD$5)),0)</f>
        <v>0</v>
      </c>
      <c r="BE116" s="271" cm="1">
        <f t="array" ref="BE116">IF(BE$5&lt;=LatestMonthOfActuals,SUMIFS(BE$71:BE$106,BSSections,$H116)-SUM(SUMIFS(PBC_BALANCE_SHEET[AccountBalance],PBC_BALANCE_SHEET[Id],_xlfn._xlws.FILTER(PBC_ACCOUNT_LIST[Id],PBC_ACCOUNT_LIST[Drivers Section]=$H116),PBC_BALANCE_SHEET[Date],BE$5)),0)</f>
        <v>0</v>
      </c>
      <c r="BF116" s="271" cm="1">
        <f t="array" ref="BF116">IF(BF$5&lt;=LatestMonthOfActuals,SUMIFS(BF$71:BF$106,BSSections,$H116)-SUM(SUMIFS(PBC_BALANCE_SHEET[AccountBalance],PBC_BALANCE_SHEET[Id],_xlfn._xlws.FILTER(PBC_ACCOUNT_LIST[Id],PBC_ACCOUNT_LIST[Drivers Section]=$H116),PBC_BALANCE_SHEET[Date],BF$5)),0)</f>
        <v>0</v>
      </c>
      <c r="BG116" s="271" cm="1">
        <f t="array" ref="BG116">IF(BG$5&lt;=LatestMonthOfActuals,SUMIFS(BG$71:BG$106,BSSections,$H116)-SUM(SUMIFS(PBC_BALANCE_SHEET[AccountBalance],PBC_BALANCE_SHEET[Id],_xlfn._xlws.FILTER(PBC_ACCOUNT_LIST[Id],PBC_ACCOUNT_LIST[Drivers Section]=$H116),PBC_BALANCE_SHEET[Date],BG$5)),0)</f>
        <v>0</v>
      </c>
      <c r="BH116" s="271" cm="1">
        <f t="array" ref="BH116">IF(BH$5&lt;=LatestMonthOfActuals,SUMIFS(BH$71:BH$106,BSSections,$H116)-SUM(SUMIFS(PBC_BALANCE_SHEET[AccountBalance],PBC_BALANCE_SHEET[Id],_xlfn._xlws.FILTER(PBC_ACCOUNT_LIST[Id],PBC_ACCOUNT_LIST[Drivers Section]=$H116),PBC_BALANCE_SHEET[Date],BH$5)),0)</f>
        <v>0</v>
      </c>
      <c r="BI116" s="271" cm="1">
        <f t="array" ref="BI116">IF(BI$5&lt;=LatestMonthOfActuals,SUMIFS(BI$71:BI$106,BSSections,$H116)-SUM(SUMIFS(PBC_BALANCE_SHEET[AccountBalance],PBC_BALANCE_SHEET[Id],_xlfn._xlws.FILTER(PBC_ACCOUNT_LIST[Id],PBC_ACCOUNT_LIST[Drivers Section]=$H116),PBC_BALANCE_SHEET[Date],BI$5)),0)</f>
        <v>0</v>
      </c>
      <c r="BJ116" s="271" cm="1">
        <f t="array" ref="BJ116">IF(BJ$5&lt;=LatestMonthOfActuals,SUMIFS(BJ$71:BJ$106,BSSections,$H116)-SUM(SUMIFS(PBC_BALANCE_SHEET[AccountBalance],PBC_BALANCE_SHEET[Id],_xlfn._xlws.FILTER(PBC_ACCOUNT_LIST[Id],PBC_ACCOUNT_LIST[Drivers Section]=$H116),PBC_BALANCE_SHEET[Date],BJ$5)),0)</f>
        <v>0</v>
      </c>
      <c r="BK116" s="271" cm="1">
        <f t="array" ref="BK116">IF(BK$5&lt;=LatestMonthOfActuals,SUMIFS(BK$71:BK$106,BSSections,$H116)-SUM(SUMIFS(PBC_BALANCE_SHEET[AccountBalance],PBC_BALANCE_SHEET[Id],_xlfn._xlws.FILTER(PBC_ACCOUNT_LIST[Id],PBC_ACCOUNT_LIST[Drivers Section]=$H116),PBC_BALANCE_SHEET[Date],BK$5)),0)</f>
        <v>0</v>
      </c>
      <c r="BL116" s="271" cm="1">
        <f t="array" ref="BL116">IF(BL$5&lt;=LatestMonthOfActuals,SUMIFS(BL$71:BL$106,BSSections,$H116)-SUM(SUMIFS(PBC_BALANCE_SHEET[AccountBalance],PBC_BALANCE_SHEET[Id],_xlfn._xlws.FILTER(PBC_ACCOUNT_LIST[Id],PBC_ACCOUNT_LIST[Drivers Section]=$H116),PBC_BALANCE_SHEET[Date],BL$5)),0)</f>
        <v>0</v>
      </c>
      <c r="BM116" s="271" cm="1">
        <f t="array" ref="BM116">IF(BM$5&lt;=LatestMonthOfActuals,SUMIFS(BM$71:BM$106,BSSections,$H116)-SUM(SUMIFS(PBC_BALANCE_SHEET[AccountBalance],PBC_BALANCE_SHEET[Id],_xlfn._xlws.FILTER(PBC_ACCOUNT_LIST[Id],PBC_ACCOUNT_LIST[Drivers Section]=$H116),PBC_BALANCE_SHEET[Date],BM$5)),0)</f>
        <v>0</v>
      </c>
      <c r="BN116" s="271" cm="1">
        <f t="array" ref="BN116">IF(BN$5&lt;=LatestMonthOfActuals,SUMIFS(BN$71:BN$106,BSSections,$H116)-SUM(SUMIFS(PBC_BALANCE_SHEET[AccountBalance],PBC_BALANCE_SHEET[Id],_xlfn._xlws.FILTER(PBC_ACCOUNT_LIST[Id],PBC_ACCOUNT_LIST[Drivers Section]=$H116),PBC_BALANCE_SHEET[Date],BN$5)),0)</f>
        <v>0</v>
      </c>
      <c r="BO116" s="271" cm="1">
        <f t="array" ref="BO116">IF(BO$5&lt;=LatestMonthOfActuals,SUMIFS(BO$71:BO$106,BSSections,$H116)-SUM(SUMIFS(PBC_BALANCE_SHEET[AccountBalance],PBC_BALANCE_SHEET[Id],_xlfn._xlws.FILTER(PBC_ACCOUNT_LIST[Id],PBC_ACCOUNT_LIST[Drivers Section]=$H116),PBC_BALANCE_SHEET[Date],BO$5)),0)</f>
        <v>0</v>
      </c>
      <c r="BP116" s="271" cm="1">
        <f t="array" ref="BP116">IF(BP$5&lt;=LatestMonthOfActuals,SUMIFS(BP$71:BP$106,BSSections,$H116)-SUM(SUMIFS(PBC_BALANCE_SHEET[AccountBalance],PBC_BALANCE_SHEET[Id],_xlfn._xlws.FILTER(PBC_ACCOUNT_LIST[Id],PBC_ACCOUNT_LIST[Drivers Section]=$H116),PBC_BALANCE_SHEET[Date],BP$5)),0)</f>
        <v>0</v>
      </c>
      <c r="BQ116" s="271" cm="1">
        <f t="array" ref="BQ116">IF(BQ$5&lt;=LatestMonthOfActuals,SUMIFS(BQ$71:BQ$106,BSSections,$H116)-SUM(SUMIFS(PBC_BALANCE_SHEET[AccountBalance],PBC_BALANCE_SHEET[Id],_xlfn._xlws.FILTER(PBC_ACCOUNT_LIST[Id],PBC_ACCOUNT_LIST[Drivers Section]=$H116),PBC_BALANCE_SHEET[Date],BQ$5)),0)</f>
        <v>0</v>
      </c>
      <c r="BR116" s="271" cm="1">
        <f t="array" ref="BR116">IF(BR$5&lt;=LatestMonthOfActuals,SUMIFS(BR$71:BR$106,BSSections,$H116)-SUM(SUMIFS(PBC_BALANCE_SHEET[AccountBalance],PBC_BALANCE_SHEET[Id],_xlfn._xlws.FILTER(PBC_ACCOUNT_LIST[Id],PBC_ACCOUNT_LIST[Drivers Section]=$H116),PBC_BALANCE_SHEET[Date],BR$5)),0)</f>
        <v>0</v>
      </c>
      <c r="BS116" s="271" cm="1">
        <f t="array" ref="BS116">IF(BS$5&lt;=LatestMonthOfActuals,SUMIFS(BS$71:BS$106,BSSections,$H116)-SUM(SUMIFS(PBC_BALANCE_SHEET[AccountBalance],PBC_BALANCE_SHEET[Id],_xlfn._xlws.FILTER(PBC_ACCOUNT_LIST[Id],PBC_ACCOUNT_LIST[Drivers Section]=$H116),PBC_BALANCE_SHEET[Date],BS$5)),0)</f>
        <v>0</v>
      </c>
      <c r="BT116" s="271" cm="1">
        <f t="array" ref="BT116">IF(BT$5&lt;=LatestMonthOfActuals,SUMIFS(BT$71:BT$106,BSSections,$H116)-SUM(SUMIFS(PBC_BALANCE_SHEET[AccountBalance],PBC_BALANCE_SHEET[Id],_xlfn._xlws.FILTER(PBC_ACCOUNT_LIST[Id],PBC_ACCOUNT_LIST[Drivers Section]=$H116),PBC_BALANCE_SHEET[Date],BT$5)),0)</f>
        <v>0</v>
      </c>
      <c r="BU116" s="271" cm="1">
        <f t="array" ref="BU116">IF(BU$5&lt;=LatestMonthOfActuals,SUMIFS(BU$71:BU$106,BSSections,$H116)-SUM(SUMIFS(PBC_BALANCE_SHEET[AccountBalance],PBC_BALANCE_SHEET[Id],_xlfn._xlws.FILTER(PBC_ACCOUNT_LIST[Id],PBC_ACCOUNT_LIST[Drivers Section]=$H116),PBC_BALANCE_SHEET[Date],BU$5)),0)</f>
        <v>0</v>
      </c>
      <c r="BV116" s="271" cm="1">
        <f t="array" ref="BV116">IF(BV$5&lt;=LatestMonthOfActuals,SUMIFS(BV$71:BV$106,BSSections,$H116)-SUM(SUMIFS(PBC_BALANCE_SHEET[AccountBalance],PBC_BALANCE_SHEET[Id],_xlfn._xlws.FILTER(PBC_ACCOUNT_LIST[Id],PBC_ACCOUNT_LIST[Drivers Section]=$H116),PBC_BALANCE_SHEET[Date],BV$5)),0)</f>
        <v>0</v>
      </c>
      <c r="BW116" s="271" cm="1">
        <f t="array" ref="BW116">IF(BW$5&lt;=LatestMonthOfActuals,SUMIFS(BW$71:BW$106,BSSections,$H116)-SUM(SUMIFS(PBC_BALANCE_SHEET[AccountBalance],PBC_BALANCE_SHEET[Id],_xlfn._xlws.FILTER(PBC_ACCOUNT_LIST[Id],PBC_ACCOUNT_LIST[Drivers Section]=$H116),PBC_BALANCE_SHEET[Date],BW$5)),0)</f>
        <v>0</v>
      </c>
      <c r="BX116" s="271" cm="1">
        <f t="array" ref="BX116">IF(BX$5&lt;=LatestMonthOfActuals,SUMIFS(BX$71:BX$106,BSSections,$H116)-SUM(SUMIFS(PBC_BALANCE_SHEET[AccountBalance],PBC_BALANCE_SHEET[Id],_xlfn._xlws.FILTER(PBC_ACCOUNT_LIST[Id],PBC_ACCOUNT_LIST[Drivers Section]=$H116),PBC_BALANCE_SHEET[Date],BX$5)),0)</f>
        <v>0</v>
      </c>
      <c r="BY116" s="271" cm="1">
        <f t="array" ref="BY116">IF(BY$5&lt;=LatestMonthOfActuals,SUMIFS(BY$71:BY$106,BSSections,$H116)-SUM(SUMIFS(PBC_BALANCE_SHEET[AccountBalance],PBC_BALANCE_SHEET[Id],_xlfn._xlws.FILTER(PBC_ACCOUNT_LIST[Id],PBC_ACCOUNT_LIST[Drivers Section]=$H116),PBC_BALANCE_SHEET[Date],BY$5)),0)</f>
        <v>0</v>
      </c>
      <c r="BZ116" s="271" cm="1">
        <f t="array" ref="BZ116">IF(BZ$5&lt;=LatestMonthOfActuals,SUMIFS(BZ$71:BZ$106,BSSections,$H116)-SUM(SUMIFS(PBC_BALANCE_SHEET[AccountBalance],PBC_BALANCE_SHEET[Id],_xlfn._xlws.FILTER(PBC_ACCOUNT_LIST[Id],PBC_ACCOUNT_LIST[Drivers Section]=$H116),PBC_BALANCE_SHEET[Date],BZ$5)),0)</f>
        <v>0</v>
      </c>
      <c r="CA116" s="271" cm="1">
        <f t="array" ref="CA116">IF(CA$5&lt;=LatestMonthOfActuals,SUMIFS(CA$71:CA$106,BSSections,$H116)-SUM(SUMIFS(PBC_BALANCE_SHEET[AccountBalance],PBC_BALANCE_SHEET[Id],_xlfn._xlws.FILTER(PBC_ACCOUNT_LIST[Id],PBC_ACCOUNT_LIST[Drivers Section]=$H116),PBC_BALANCE_SHEET[Date],CA$5)),0)</f>
        <v>0</v>
      </c>
      <c r="CB116" s="271" cm="1">
        <f t="array" ref="CB116">IF(CB$5&lt;=LatestMonthOfActuals,SUMIFS(CB$71:CB$106,BSSections,$H116)-SUM(SUMIFS(PBC_BALANCE_SHEET[AccountBalance],PBC_BALANCE_SHEET[Id],_xlfn._xlws.FILTER(PBC_ACCOUNT_LIST[Id],PBC_ACCOUNT_LIST[Drivers Section]=$H116),PBC_BALANCE_SHEET[Date],CB$5)),0)</f>
        <v>0</v>
      </c>
      <c r="CC116" s="271" cm="1">
        <f t="array" ref="CC116">IF(CC$5&lt;=LatestMonthOfActuals,SUMIFS(CC$71:CC$106,BSSections,$H116)-SUM(SUMIFS(PBC_BALANCE_SHEET[AccountBalance],PBC_BALANCE_SHEET[Id],_xlfn._xlws.FILTER(PBC_ACCOUNT_LIST[Id],PBC_ACCOUNT_LIST[Drivers Section]=$H116),PBC_BALANCE_SHEET[Date],CC$5)),0)</f>
        <v>0</v>
      </c>
      <c r="CD116" s="271" cm="1">
        <f t="array" ref="CD116">IF(CD$5&lt;=LatestMonthOfActuals,SUMIFS(CD$71:CD$106,BSSections,$H116)-SUM(SUMIFS(PBC_BALANCE_SHEET[AccountBalance],PBC_BALANCE_SHEET[Id],_xlfn._xlws.FILTER(PBC_ACCOUNT_LIST[Id],PBC_ACCOUNT_LIST[Drivers Section]=$H116),PBC_BALANCE_SHEET[Date],CD$5)),0)</f>
        <v>0</v>
      </c>
      <c r="CE116" s="271" cm="1">
        <f t="array" ref="CE116">IF(CE$5&lt;=LatestMonthOfActuals,SUMIFS(CE$71:CE$106,BSSections,$H116)-SUM(SUMIFS(PBC_BALANCE_SHEET[AccountBalance],PBC_BALANCE_SHEET[Id],_xlfn._xlws.FILTER(PBC_ACCOUNT_LIST[Id],PBC_ACCOUNT_LIST[Drivers Section]=$H116),PBC_BALANCE_SHEET[Date],CE$5)),0)</f>
        <v>0</v>
      </c>
      <c r="CF116" s="271" cm="1">
        <f t="array" ref="CF116">IF(CF$5&lt;=LatestMonthOfActuals,SUMIFS(CF$71:CF$106,BSSections,$H116)-SUM(SUMIFS(PBC_BALANCE_SHEET[AccountBalance],PBC_BALANCE_SHEET[Id],_xlfn._xlws.FILTER(PBC_ACCOUNT_LIST[Id],PBC_ACCOUNT_LIST[Drivers Section]=$H116),PBC_BALANCE_SHEET[Date],CF$5)),0)</f>
        <v>0</v>
      </c>
      <c r="CG116" s="271" cm="1">
        <f t="array" ref="CG116">IF(CG$5&lt;=LatestMonthOfActuals,SUMIFS(CG$71:CG$106,BSSections,$H116)-SUM(SUMIFS(PBC_BALANCE_SHEET[AccountBalance],PBC_BALANCE_SHEET[Id],_xlfn._xlws.FILTER(PBC_ACCOUNT_LIST[Id],PBC_ACCOUNT_LIST[Drivers Section]=$H116),PBC_BALANCE_SHEET[Date],CG$5)),0)</f>
        <v>0</v>
      </c>
      <c r="CH116" s="271" cm="1">
        <f t="array" ref="CH116">IF(CH$5&lt;=LatestMonthOfActuals,SUMIFS(CH$71:CH$106,BSSections,$H116)-SUM(SUMIFS(PBC_BALANCE_SHEET[AccountBalance],PBC_BALANCE_SHEET[Id],_xlfn._xlws.FILTER(PBC_ACCOUNT_LIST[Id],PBC_ACCOUNT_LIST[Drivers Section]=$H116),PBC_BALANCE_SHEET[Date],CH$5)),0)</f>
        <v>0</v>
      </c>
      <c r="CI116" s="271" cm="1">
        <f t="array" ref="CI116">IF(CI$5&lt;=LatestMonthOfActuals,SUMIFS(CI$71:CI$106,BSSections,$H116)-SUM(SUMIFS(PBC_BALANCE_SHEET[AccountBalance],PBC_BALANCE_SHEET[Id],_xlfn._xlws.FILTER(PBC_ACCOUNT_LIST[Id],PBC_ACCOUNT_LIST[Drivers Section]=$H116),PBC_BALANCE_SHEET[Date],CI$5)),0)</f>
        <v>0</v>
      </c>
      <c r="CJ116" s="271" cm="1">
        <f t="array" ref="CJ116">IF(CJ$5&lt;=LatestMonthOfActuals,SUMIFS(CJ$71:CJ$106,BSSections,$H116)-SUM(SUMIFS(PBC_BALANCE_SHEET[AccountBalance],PBC_BALANCE_SHEET[Id],_xlfn._xlws.FILTER(PBC_ACCOUNT_LIST[Id],PBC_ACCOUNT_LIST[Drivers Section]=$H116),PBC_BALANCE_SHEET[Date],CJ$5)),0)</f>
        <v>0</v>
      </c>
    </row>
    <row r="117" spans="2:88" ht="15.6" hidden="1" customHeight="1" outlineLevel="3">
      <c r="B117" s="273" t="s">
        <v>146</v>
      </c>
      <c r="H117" s="273" t="s">
        <v>146</v>
      </c>
      <c r="I117" s="273"/>
      <c r="J117" s="273"/>
      <c r="K117" s="273"/>
      <c r="L117" s="273"/>
      <c r="O117" s="272"/>
      <c r="P117" s="272"/>
      <c r="Q117" s="272"/>
      <c r="R117" s="272"/>
      <c r="S117" s="272"/>
      <c r="T117" s="272"/>
      <c r="U117" s="272"/>
      <c r="AM117" s="272"/>
      <c r="AN117" s="271" cm="1">
        <f t="array" ref="AN117">IF(AN$5&lt;=LatestMonthOfActuals,SUMIFS(AN$71:AN$106,BSSections,$H117)-SUM(SUMIFS(PBC_BALANCE_SHEET[AccountBalance],PBC_BALANCE_SHEET[Id],_xlfn._xlws.FILTER(PBC_ACCOUNT_LIST[Id],PBC_ACCOUNT_LIST[Drivers Section]=$H117),PBC_BALANCE_SHEET[Date],AN$5)),0)</f>
        <v>0</v>
      </c>
      <c r="AO117" s="271" cm="1">
        <f t="array" ref="AO117">IF(AO$5&lt;=LatestMonthOfActuals,SUMIFS(AO$71:AO$106,BSSections,$H117)-SUM(SUMIFS(PBC_BALANCE_SHEET[AccountBalance],PBC_BALANCE_SHEET[Id],_xlfn._xlws.FILTER(PBC_ACCOUNT_LIST[Id],PBC_ACCOUNT_LIST[Drivers Section]=$H117),PBC_BALANCE_SHEET[Date],AO$5)),0)</f>
        <v>0</v>
      </c>
      <c r="AP117" s="271" cm="1">
        <f t="array" ref="AP117">IF(AP$5&lt;=LatestMonthOfActuals,SUMIFS(AP$71:AP$106,BSSections,$H117)-SUM(SUMIFS(PBC_BALANCE_SHEET[AccountBalance],PBC_BALANCE_SHEET[Id],_xlfn._xlws.FILTER(PBC_ACCOUNT_LIST[Id],PBC_ACCOUNT_LIST[Drivers Section]=$H117),PBC_BALANCE_SHEET[Date],AP$5)),0)</f>
        <v>0</v>
      </c>
      <c r="AQ117" s="271" cm="1">
        <f t="array" ref="AQ117">IF(AQ$5&lt;=LatestMonthOfActuals,SUMIFS(AQ$71:AQ$106,BSSections,$H117)-SUM(SUMIFS(PBC_BALANCE_SHEET[AccountBalance],PBC_BALANCE_SHEET[Id],_xlfn._xlws.FILTER(PBC_ACCOUNT_LIST[Id],PBC_ACCOUNT_LIST[Drivers Section]=$H117),PBC_BALANCE_SHEET[Date],AQ$5)),0)</f>
        <v>0</v>
      </c>
      <c r="AR117" s="271" cm="1">
        <f t="array" ref="AR117">IF(AR$5&lt;=LatestMonthOfActuals,SUMIFS(AR$71:AR$106,BSSections,$H117)-SUM(SUMIFS(PBC_BALANCE_SHEET[AccountBalance],PBC_BALANCE_SHEET[Id],_xlfn._xlws.FILTER(PBC_ACCOUNT_LIST[Id],PBC_ACCOUNT_LIST[Drivers Section]=$H117),PBC_BALANCE_SHEET[Date],AR$5)),0)</f>
        <v>0</v>
      </c>
      <c r="AS117" s="271" cm="1">
        <f t="array" ref="AS117">IF(AS$5&lt;=LatestMonthOfActuals,SUMIFS(AS$71:AS$106,BSSections,$H117)-SUM(SUMIFS(PBC_BALANCE_SHEET[AccountBalance],PBC_BALANCE_SHEET[Id],_xlfn._xlws.FILTER(PBC_ACCOUNT_LIST[Id],PBC_ACCOUNT_LIST[Drivers Section]=$H117),PBC_BALANCE_SHEET[Date],AS$5)),0)</f>
        <v>0</v>
      </c>
      <c r="AT117" s="271" cm="1">
        <f t="array" ref="AT117">IF(AT$5&lt;=LatestMonthOfActuals,SUMIFS(AT$71:AT$106,BSSections,$H117)-SUM(SUMIFS(PBC_BALANCE_SHEET[AccountBalance],PBC_BALANCE_SHEET[Id],_xlfn._xlws.FILTER(PBC_ACCOUNT_LIST[Id],PBC_ACCOUNT_LIST[Drivers Section]=$H117),PBC_BALANCE_SHEET[Date],AT$5)),0)</f>
        <v>0</v>
      </c>
      <c r="AU117" s="271" cm="1">
        <f t="array" ref="AU117">IF(AU$5&lt;=LatestMonthOfActuals,SUMIFS(AU$71:AU$106,BSSections,$H117)-SUM(SUMIFS(PBC_BALANCE_SHEET[AccountBalance],PBC_BALANCE_SHEET[Id],_xlfn._xlws.FILTER(PBC_ACCOUNT_LIST[Id],PBC_ACCOUNT_LIST[Drivers Section]=$H117),PBC_BALANCE_SHEET[Date],AU$5)),0)</f>
        <v>0</v>
      </c>
      <c r="AV117" s="271" cm="1">
        <f t="array" ref="AV117">IF(AV$5&lt;=LatestMonthOfActuals,SUMIFS(AV$71:AV$106,BSSections,$H117)-SUM(SUMIFS(PBC_BALANCE_SHEET[AccountBalance],PBC_BALANCE_SHEET[Id],_xlfn._xlws.FILTER(PBC_ACCOUNT_LIST[Id],PBC_ACCOUNT_LIST[Drivers Section]=$H117),PBC_BALANCE_SHEET[Date],AV$5)),0)</f>
        <v>0</v>
      </c>
      <c r="AW117" s="271" cm="1">
        <f t="array" ref="AW117">IF(AW$5&lt;=LatestMonthOfActuals,SUMIFS(AW$71:AW$106,BSSections,$H117)-SUM(SUMIFS(PBC_BALANCE_SHEET[AccountBalance],PBC_BALANCE_SHEET[Id],_xlfn._xlws.FILTER(PBC_ACCOUNT_LIST[Id],PBC_ACCOUNT_LIST[Drivers Section]=$H117),PBC_BALANCE_SHEET[Date],AW$5)),0)</f>
        <v>0</v>
      </c>
      <c r="AX117" s="271" cm="1">
        <f t="array" ref="AX117">IF(AX$5&lt;=LatestMonthOfActuals,SUMIFS(AX$71:AX$106,BSSections,$H117)-SUM(SUMIFS(PBC_BALANCE_SHEET[AccountBalance],PBC_BALANCE_SHEET[Id],_xlfn._xlws.FILTER(PBC_ACCOUNT_LIST[Id],PBC_ACCOUNT_LIST[Drivers Section]=$H117),PBC_BALANCE_SHEET[Date],AX$5)),0)</f>
        <v>0</v>
      </c>
      <c r="AY117" s="271" cm="1">
        <f t="array" ref="AY117">IF(AY$5&lt;=LatestMonthOfActuals,SUMIFS(AY$71:AY$106,BSSections,$H117)-SUM(SUMIFS(PBC_BALANCE_SHEET[AccountBalance],PBC_BALANCE_SHEET[Id],_xlfn._xlws.FILTER(PBC_ACCOUNT_LIST[Id],PBC_ACCOUNT_LIST[Drivers Section]=$H117),PBC_BALANCE_SHEET[Date],AY$5)),0)</f>
        <v>0</v>
      </c>
      <c r="AZ117" s="271" cm="1">
        <f t="array" ref="AZ117">IF(AZ$5&lt;=LatestMonthOfActuals,SUMIFS(AZ$71:AZ$106,BSSections,$H117)-SUM(SUMIFS(PBC_BALANCE_SHEET[AccountBalance],PBC_BALANCE_SHEET[Id],_xlfn._xlws.FILTER(PBC_ACCOUNT_LIST[Id],PBC_ACCOUNT_LIST[Drivers Section]=$H117),PBC_BALANCE_SHEET[Date],AZ$5)),0)</f>
        <v>0</v>
      </c>
      <c r="BA117" s="271" cm="1">
        <f t="array" ref="BA117">IF(BA$5&lt;=LatestMonthOfActuals,SUMIFS(BA$71:BA$106,BSSections,$H117)-SUM(SUMIFS(PBC_BALANCE_SHEET[AccountBalance],PBC_BALANCE_SHEET[Id],_xlfn._xlws.FILTER(PBC_ACCOUNT_LIST[Id],PBC_ACCOUNT_LIST[Drivers Section]=$H117),PBC_BALANCE_SHEET[Date],BA$5)),0)</f>
        <v>0</v>
      </c>
      <c r="BB117" s="271" cm="1">
        <f t="array" ref="BB117">IF(BB$5&lt;=LatestMonthOfActuals,SUMIFS(BB$71:BB$106,BSSections,$H117)-SUM(SUMIFS(PBC_BALANCE_SHEET[AccountBalance],PBC_BALANCE_SHEET[Id],_xlfn._xlws.FILTER(PBC_ACCOUNT_LIST[Id],PBC_ACCOUNT_LIST[Drivers Section]=$H117),PBC_BALANCE_SHEET[Date],BB$5)),0)</f>
        <v>0</v>
      </c>
      <c r="BC117" s="271" cm="1">
        <f t="array" ref="BC117">IF(BC$5&lt;=LatestMonthOfActuals,SUMIFS(BC$71:BC$106,BSSections,$H117)-SUM(SUMIFS(PBC_BALANCE_SHEET[AccountBalance],PBC_BALANCE_SHEET[Id],_xlfn._xlws.FILTER(PBC_ACCOUNT_LIST[Id],PBC_ACCOUNT_LIST[Drivers Section]=$H117),PBC_BALANCE_SHEET[Date],BC$5)),0)</f>
        <v>0</v>
      </c>
      <c r="BD117" s="271" cm="1">
        <f t="array" ref="BD117">IF(BD$5&lt;=LatestMonthOfActuals,SUMIFS(BD$71:BD$106,BSSections,$H117)-SUM(SUMIFS(PBC_BALANCE_SHEET[AccountBalance],PBC_BALANCE_SHEET[Id],_xlfn._xlws.FILTER(PBC_ACCOUNT_LIST[Id],PBC_ACCOUNT_LIST[Drivers Section]=$H117),PBC_BALANCE_SHEET[Date],BD$5)),0)</f>
        <v>0</v>
      </c>
      <c r="BE117" s="271" cm="1">
        <f t="array" ref="BE117">IF(BE$5&lt;=LatestMonthOfActuals,SUMIFS(BE$71:BE$106,BSSections,$H117)-SUM(SUMIFS(PBC_BALANCE_SHEET[AccountBalance],PBC_BALANCE_SHEET[Id],_xlfn._xlws.FILTER(PBC_ACCOUNT_LIST[Id],PBC_ACCOUNT_LIST[Drivers Section]=$H117),PBC_BALANCE_SHEET[Date],BE$5)),0)</f>
        <v>0</v>
      </c>
      <c r="BF117" s="271" cm="1">
        <f t="array" ref="BF117">IF(BF$5&lt;=LatestMonthOfActuals,SUMIFS(BF$71:BF$106,BSSections,$H117)-SUM(SUMIFS(PBC_BALANCE_SHEET[AccountBalance],PBC_BALANCE_SHEET[Id],_xlfn._xlws.FILTER(PBC_ACCOUNT_LIST[Id],PBC_ACCOUNT_LIST[Drivers Section]=$H117),PBC_BALANCE_SHEET[Date],BF$5)),0)</f>
        <v>0</v>
      </c>
      <c r="BG117" s="271" cm="1">
        <f t="array" ref="BG117">IF(BG$5&lt;=LatestMonthOfActuals,SUMIFS(BG$71:BG$106,BSSections,$H117)-SUM(SUMIFS(PBC_BALANCE_SHEET[AccountBalance],PBC_BALANCE_SHEET[Id],_xlfn._xlws.FILTER(PBC_ACCOUNT_LIST[Id],PBC_ACCOUNT_LIST[Drivers Section]=$H117),PBC_BALANCE_SHEET[Date],BG$5)),0)</f>
        <v>0</v>
      </c>
      <c r="BH117" s="271" cm="1">
        <f t="array" ref="BH117">IF(BH$5&lt;=LatestMonthOfActuals,SUMIFS(BH$71:BH$106,BSSections,$H117)-SUM(SUMIFS(PBC_BALANCE_SHEET[AccountBalance],PBC_BALANCE_SHEET[Id],_xlfn._xlws.FILTER(PBC_ACCOUNT_LIST[Id],PBC_ACCOUNT_LIST[Drivers Section]=$H117),PBC_BALANCE_SHEET[Date],BH$5)),0)</f>
        <v>0</v>
      </c>
      <c r="BI117" s="271" cm="1">
        <f t="array" ref="BI117">IF(BI$5&lt;=LatestMonthOfActuals,SUMIFS(BI$71:BI$106,BSSections,$H117)-SUM(SUMIFS(PBC_BALANCE_SHEET[AccountBalance],PBC_BALANCE_SHEET[Id],_xlfn._xlws.FILTER(PBC_ACCOUNT_LIST[Id],PBC_ACCOUNT_LIST[Drivers Section]=$H117),PBC_BALANCE_SHEET[Date],BI$5)),0)</f>
        <v>0</v>
      </c>
      <c r="BJ117" s="271" cm="1">
        <f t="array" ref="BJ117">IF(BJ$5&lt;=LatestMonthOfActuals,SUMIFS(BJ$71:BJ$106,BSSections,$H117)-SUM(SUMIFS(PBC_BALANCE_SHEET[AccountBalance],PBC_BALANCE_SHEET[Id],_xlfn._xlws.FILTER(PBC_ACCOUNT_LIST[Id],PBC_ACCOUNT_LIST[Drivers Section]=$H117),PBC_BALANCE_SHEET[Date],BJ$5)),0)</f>
        <v>0</v>
      </c>
      <c r="BK117" s="271" cm="1">
        <f t="array" ref="BK117">IF(BK$5&lt;=LatestMonthOfActuals,SUMIFS(BK$71:BK$106,BSSections,$H117)-SUM(SUMIFS(PBC_BALANCE_SHEET[AccountBalance],PBC_BALANCE_SHEET[Id],_xlfn._xlws.FILTER(PBC_ACCOUNT_LIST[Id],PBC_ACCOUNT_LIST[Drivers Section]=$H117),PBC_BALANCE_SHEET[Date],BK$5)),0)</f>
        <v>0</v>
      </c>
      <c r="BL117" s="271" cm="1">
        <f t="array" ref="BL117">IF(BL$5&lt;=LatestMonthOfActuals,SUMIFS(BL$71:BL$106,BSSections,$H117)-SUM(SUMIFS(PBC_BALANCE_SHEET[AccountBalance],PBC_BALANCE_SHEET[Id],_xlfn._xlws.FILTER(PBC_ACCOUNT_LIST[Id],PBC_ACCOUNT_LIST[Drivers Section]=$H117),PBC_BALANCE_SHEET[Date],BL$5)),0)</f>
        <v>0</v>
      </c>
      <c r="BM117" s="271" cm="1">
        <f t="array" ref="BM117">IF(BM$5&lt;=LatestMonthOfActuals,SUMIFS(BM$71:BM$106,BSSections,$H117)-SUM(SUMIFS(PBC_BALANCE_SHEET[AccountBalance],PBC_BALANCE_SHEET[Id],_xlfn._xlws.FILTER(PBC_ACCOUNT_LIST[Id],PBC_ACCOUNT_LIST[Drivers Section]=$H117),PBC_BALANCE_SHEET[Date],BM$5)),0)</f>
        <v>0</v>
      </c>
      <c r="BN117" s="271" cm="1">
        <f t="array" ref="BN117">IF(BN$5&lt;=LatestMonthOfActuals,SUMIFS(BN$71:BN$106,BSSections,$H117)-SUM(SUMIFS(PBC_BALANCE_SHEET[AccountBalance],PBC_BALANCE_SHEET[Id],_xlfn._xlws.FILTER(PBC_ACCOUNT_LIST[Id],PBC_ACCOUNT_LIST[Drivers Section]=$H117),PBC_BALANCE_SHEET[Date],BN$5)),0)</f>
        <v>0</v>
      </c>
      <c r="BO117" s="271" cm="1">
        <f t="array" ref="BO117">IF(BO$5&lt;=LatestMonthOfActuals,SUMIFS(BO$71:BO$106,BSSections,$H117)-SUM(SUMIFS(PBC_BALANCE_SHEET[AccountBalance],PBC_BALANCE_SHEET[Id],_xlfn._xlws.FILTER(PBC_ACCOUNT_LIST[Id],PBC_ACCOUNT_LIST[Drivers Section]=$H117),PBC_BALANCE_SHEET[Date],BO$5)),0)</f>
        <v>0</v>
      </c>
      <c r="BP117" s="271" cm="1">
        <f t="array" ref="BP117">IF(BP$5&lt;=LatestMonthOfActuals,SUMIFS(BP$71:BP$106,BSSections,$H117)-SUM(SUMIFS(PBC_BALANCE_SHEET[AccountBalance],PBC_BALANCE_SHEET[Id],_xlfn._xlws.FILTER(PBC_ACCOUNT_LIST[Id],PBC_ACCOUNT_LIST[Drivers Section]=$H117),PBC_BALANCE_SHEET[Date],BP$5)),0)</f>
        <v>0</v>
      </c>
      <c r="BQ117" s="271" cm="1">
        <f t="array" ref="BQ117">IF(BQ$5&lt;=LatestMonthOfActuals,SUMIFS(BQ$71:BQ$106,BSSections,$H117)-SUM(SUMIFS(PBC_BALANCE_SHEET[AccountBalance],PBC_BALANCE_SHEET[Id],_xlfn._xlws.FILTER(PBC_ACCOUNT_LIST[Id],PBC_ACCOUNT_LIST[Drivers Section]=$H117),PBC_BALANCE_SHEET[Date],BQ$5)),0)</f>
        <v>0</v>
      </c>
      <c r="BR117" s="271" cm="1">
        <f t="array" ref="BR117">IF(BR$5&lt;=LatestMonthOfActuals,SUMIFS(BR$71:BR$106,BSSections,$H117)-SUM(SUMIFS(PBC_BALANCE_SHEET[AccountBalance],PBC_BALANCE_SHEET[Id],_xlfn._xlws.FILTER(PBC_ACCOUNT_LIST[Id],PBC_ACCOUNT_LIST[Drivers Section]=$H117),PBC_BALANCE_SHEET[Date],BR$5)),0)</f>
        <v>0</v>
      </c>
      <c r="BS117" s="271" cm="1">
        <f t="array" ref="BS117">IF(BS$5&lt;=LatestMonthOfActuals,SUMIFS(BS$71:BS$106,BSSections,$H117)-SUM(SUMIFS(PBC_BALANCE_SHEET[AccountBalance],PBC_BALANCE_SHEET[Id],_xlfn._xlws.FILTER(PBC_ACCOUNT_LIST[Id],PBC_ACCOUNT_LIST[Drivers Section]=$H117),PBC_BALANCE_SHEET[Date],BS$5)),0)</f>
        <v>0</v>
      </c>
      <c r="BT117" s="271" cm="1">
        <f t="array" ref="BT117">IF(BT$5&lt;=LatestMonthOfActuals,SUMIFS(BT$71:BT$106,BSSections,$H117)-SUM(SUMIFS(PBC_BALANCE_SHEET[AccountBalance],PBC_BALANCE_SHEET[Id],_xlfn._xlws.FILTER(PBC_ACCOUNT_LIST[Id],PBC_ACCOUNT_LIST[Drivers Section]=$H117),PBC_BALANCE_SHEET[Date],BT$5)),0)</f>
        <v>0</v>
      </c>
      <c r="BU117" s="271" cm="1">
        <f t="array" ref="BU117">IF(BU$5&lt;=LatestMonthOfActuals,SUMIFS(BU$71:BU$106,BSSections,$H117)-SUM(SUMIFS(PBC_BALANCE_SHEET[AccountBalance],PBC_BALANCE_SHEET[Id],_xlfn._xlws.FILTER(PBC_ACCOUNT_LIST[Id],PBC_ACCOUNT_LIST[Drivers Section]=$H117),PBC_BALANCE_SHEET[Date],BU$5)),0)</f>
        <v>0</v>
      </c>
      <c r="BV117" s="271" cm="1">
        <f t="array" ref="BV117">IF(BV$5&lt;=LatestMonthOfActuals,SUMIFS(BV$71:BV$106,BSSections,$H117)-SUM(SUMIFS(PBC_BALANCE_SHEET[AccountBalance],PBC_BALANCE_SHEET[Id],_xlfn._xlws.FILTER(PBC_ACCOUNT_LIST[Id],PBC_ACCOUNT_LIST[Drivers Section]=$H117),PBC_BALANCE_SHEET[Date],BV$5)),0)</f>
        <v>0</v>
      </c>
      <c r="BW117" s="271" cm="1">
        <f t="array" ref="BW117">IF(BW$5&lt;=LatestMonthOfActuals,SUMIFS(BW$71:BW$106,BSSections,$H117)-SUM(SUMIFS(PBC_BALANCE_SHEET[AccountBalance],PBC_BALANCE_SHEET[Id],_xlfn._xlws.FILTER(PBC_ACCOUNT_LIST[Id],PBC_ACCOUNT_LIST[Drivers Section]=$H117),PBC_BALANCE_SHEET[Date],BW$5)),0)</f>
        <v>0</v>
      </c>
      <c r="BX117" s="271" cm="1">
        <f t="array" ref="BX117">IF(BX$5&lt;=LatestMonthOfActuals,SUMIFS(BX$71:BX$106,BSSections,$H117)-SUM(SUMIFS(PBC_BALANCE_SHEET[AccountBalance],PBC_BALANCE_SHEET[Id],_xlfn._xlws.FILTER(PBC_ACCOUNT_LIST[Id],PBC_ACCOUNT_LIST[Drivers Section]=$H117),PBC_BALANCE_SHEET[Date],BX$5)),0)</f>
        <v>0</v>
      </c>
      <c r="BY117" s="271" cm="1">
        <f t="array" ref="BY117">IF(BY$5&lt;=LatestMonthOfActuals,SUMIFS(BY$71:BY$106,BSSections,$H117)-SUM(SUMIFS(PBC_BALANCE_SHEET[AccountBalance],PBC_BALANCE_SHEET[Id],_xlfn._xlws.FILTER(PBC_ACCOUNT_LIST[Id],PBC_ACCOUNT_LIST[Drivers Section]=$H117),PBC_BALANCE_SHEET[Date],BY$5)),0)</f>
        <v>0</v>
      </c>
      <c r="BZ117" s="271" cm="1">
        <f t="array" ref="BZ117">IF(BZ$5&lt;=LatestMonthOfActuals,SUMIFS(BZ$71:BZ$106,BSSections,$H117)-SUM(SUMIFS(PBC_BALANCE_SHEET[AccountBalance],PBC_BALANCE_SHEET[Id],_xlfn._xlws.FILTER(PBC_ACCOUNT_LIST[Id],PBC_ACCOUNT_LIST[Drivers Section]=$H117),PBC_BALANCE_SHEET[Date],BZ$5)),0)</f>
        <v>0</v>
      </c>
      <c r="CA117" s="271" cm="1">
        <f t="array" ref="CA117">IF(CA$5&lt;=LatestMonthOfActuals,SUMIFS(CA$71:CA$106,BSSections,$H117)-SUM(SUMIFS(PBC_BALANCE_SHEET[AccountBalance],PBC_BALANCE_SHEET[Id],_xlfn._xlws.FILTER(PBC_ACCOUNT_LIST[Id],PBC_ACCOUNT_LIST[Drivers Section]=$H117),PBC_BALANCE_SHEET[Date],CA$5)),0)</f>
        <v>0</v>
      </c>
      <c r="CB117" s="271" cm="1">
        <f t="array" ref="CB117">IF(CB$5&lt;=LatestMonthOfActuals,SUMIFS(CB$71:CB$106,BSSections,$H117)-SUM(SUMIFS(PBC_BALANCE_SHEET[AccountBalance],PBC_BALANCE_SHEET[Id],_xlfn._xlws.FILTER(PBC_ACCOUNT_LIST[Id],PBC_ACCOUNT_LIST[Drivers Section]=$H117),PBC_BALANCE_SHEET[Date],CB$5)),0)</f>
        <v>0</v>
      </c>
      <c r="CC117" s="271" cm="1">
        <f t="array" ref="CC117">IF(CC$5&lt;=LatestMonthOfActuals,SUMIFS(CC$71:CC$106,BSSections,$H117)-SUM(SUMIFS(PBC_BALANCE_SHEET[AccountBalance],PBC_BALANCE_SHEET[Id],_xlfn._xlws.FILTER(PBC_ACCOUNT_LIST[Id],PBC_ACCOUNT_LIST[Drivers Section]=$H117),PBC_BALANCE_SHEET[Date],CC$5)),0)</f>
        <v>0</v>
      </c>
      <c r="CD117" s="271" cm="1">
        <f t="array" ref="CD117">IF(CD$5&lt;=LatestMonthOfActuals,SUMIFS(CD$71:CD$106,BSSections,$H117)-SUM(SUMIFS(PBC_BALANCE_SHEET[AccountBalance],PBC_BALANCE_SHEET[Id],_xlfn._xlws.FILTER(PBC_ACCOUNT_LIST[Id],PBC_ACCOUNT_LIST[Drivers Section]=$H117),PBC_BALANCE_SHEET[Date],CD$5)),0)</f>
        <v>0</v>
      </c>
      <c r="CE117" s="271" cm="1">
        <f t="array" ref="CE117">IF(CE$5&lt;=LatestMonthOfActuals,SUMIFS(CE$71:CE$106,BSSections,$H117)-SUM(SUMIFS(PBC_BALANCE_SHEET[AccountBalance],PBC_BALANCE_SHEET[Id],_xlfn._xlws.FILTER(PBC_ACCOUNT_LIST[Id],PBC_ACCOUNT_LIST[Drivers Section]=$H117),PBC_BALANCE_SHEET[Date],CE$5)),0)</f>
        <v>0</v>
      </c>
      <c r="CF117" s="271" cm="1">
        <f t="array" ref="CF117">IF(CF$5&lt;=LatestMonthOfActuals,SUMIFS(CF$71:CF$106,BSSections,$H117)-SUM(SUMIFS(PBC_BALANCE_SHEET[AccountBalance],PBC_BALANCE_SHEET[Id],_xlfn._xlws.FILTER(PBC_ACCOUNT_LIST[Id],PBC_ACCOUNT_LIST[Drivers Section]=$H117),PBC_BALANCE_SHEET[Date],CF$5)),0)</f>
        <v>0</v>
      </c>
      <c r="CG117" s="271" cm="1">
        <f t="array" ref="CG117">IF(CG$5&lt;=LatestMonthOfActuals,SUMIFS(CG$71:CG$106,BSSections,$H117)-SUM(SUMIFS(PBC_BALANCE_SHEET[AccountBalance],PBC_BALANCE_SHEET[Id],_xlfn._xlws.FILTER(PBC_ACCOUNT_LIST[Id],PBC_ACCOUNT_LIST[Drivers Section]=$H117),PBC_BALANCE_SHEET[Date],CG$5)),0)</f>
        <v>0</v>
      </c>
      <c r="CH117" s="271" cm="1">
        <f t="array" ref="CH117">IF(CH$5&lt;=LatestMonthOfActuals,SUMIFS(CH$71:CH$106,BSSections,$H117)-SUM(SUMIFS(PBC_BALANCE_SHEET[AccountBalance],PBC_BALANCE_SHEET[Id],_xlfn._xlws.FILTER(PBC_ACCOUNT_LIST[Id],PBC_ACCOUNT_LIST[Drivers Section]=$H117),PBC_BALANCE_SHEET[Date],CH$5)),0)</f>
        <v>0</v>
      </c>
      <c r="CI117" s="271" cm="1">
        <f t="array" ref="CI117">IF(CI$5&lt;=LatestMonthOfActuals,SUMIFS(CI$71:CI$106,BSSections,$H117)-SUM(SUMIFS(PBC_BALANCE_SHEET[AccountBalance],PBC_BALANCE_SHEET[Id],_xlfn._xlws.FILTER(PBC_ACCOUNT_LIST[Id],PBC_ACCOUNT_LIST[Drivers Section]=$H117),PBC_BALANCE_SHEET[Date],CI$5)),0)</f>
        <v>0</v>
      </c>
      <c r="CJ117" s="271" cm="1">
        <f t="array" ref="CJ117">IF(CJ$5&lt;=LatestMonthOfActuals,SUMIFS(CJ$71:CJ$106,BSSections,$H117)-SUM(SUMIFS(PBC_BALANCE_SHEET[AccountBalance],PBC_BALANCE_SHEET[Id],_xlfn._xlws.FILTER(PBC_ACCOUNT_LIST[Id],PBC_ACCOUNT_LIST[Drivers Section]=$H117),PBC_BALANCE_SHEET[Date],CJ$5)),0)</f>
        <v>0</v>
      </c>
    </row>
    <row r="118" spans="2:88" ht="15.6" hidden="1" customHeight="1" outlineLevel="3">
      <c r="B118" s="273" t="s">
        <v>333</v>
      </c>
      <c r="H118" s="273"/>
      <c r="I118" s="273"/>
      <c r="J118" s="273"/>
      <c r="K118" s="273"/>
      <c r="L118" s="273"/>
      <c r="O118" s="272"/>
      <c r="P118" s="272"/>
      <c r="Q118" s="272"/>
      <c r="R118" s="272"/>
      <c r="S118" s="272"/>
      <c r="T118" s="272"/>
      <c r="U118" s="272"/>
      <c r="AM118" s="272"/>
      <c r="AN118" s="271">
        <f t="shared" ref="AN118:BS118" si="98">SUMIFS(AN$71:AN$106,BSSections,"Assets")-SUMIFS(AN$71:AN$106,BSSections,"Liabilities")-SUMIFS(AN$71:AN$106,BSSections,"Owners Equity")</f>
        <v>0</v>
      </c>
      <c r="AO118" s="271">
        <f t="shared" si="98"/>
        <v>0</v>
      </c>
      <c r="AP118" s="271">
        <f t="shared" si="98"/>
        <v>0</v>
      </c>
      <c r="AQ118" s="271">
        <f t="shared" si="98"/>
        <v>0</v>
      </c>
      <c r="AR118" s="271">
        <f t="shared" si="98"/>
        <v>0</v>
      </c>
      <c r="AS118" s="271">
        <f t="shared" si="98"/>
        <v>0</v>
      </c>
      <c r="AT118" s="271">
        <f t="shared" si="98"/>
        <v>0</v>
      </c>
      <c r="AU118" s="271">
        <f t="shared" si="98"/>
        <v>0</v>
      </c>
      <c r="AV118" s="271">
        <f t="shared" si="98"/>
        <v>0</v>
      </c>
      <c r="AW118" s="271">
        <f t="shared" si="98"/>
        <v>0</v>
      </c>
      <c r="AX118" s="271">
        <f t="shared" si="98"/>
        <v>0</v>
      </c>
      <c r="AY118" s="271">
        <f t="shared" si="98"/>
        <v>0</v>
      </c>
      <c r="AZ118" s="271">
        <f t="shared" si="98"/>
        <v>0</v>
      </c>
      <c r="BA118" s="271">
        <f t="shared" si="98"/>
        <v>0</v>
      </c>
      <c r="BB118" s="271">
        <f t="shared" si="98"/>
        <v>0</v>
      </c>
      <c r="BC118" s="271">
        <f t="shared" si="98"/>
        <v>0</v>
      </c>
      <c r="BD118" s="271">
        <f t="shared" si="98"/>
        <v>0</v>
      </c>
      <c r="BE118" s="271">
        <f t="shared" si="98"/>
        <v>0</v>
      </c>
      <c r="BF118" s="271">
        <f t="shared" si="98"/>
        <v>0</v>
      </c>
      <c r="BG118" s="271">
        <f t="shared" si="98"/>
        <v>0</v>
      </c>
      <c r="BH118" s="271">
        <f t="shared" si="98"/>
        <v>0</v>
      </c>
      <c r="BI118" s="271">
        <f t="shared" si="98"/>
        <v>0</v>
      </c>
      <c r="BJ118" s="271">
        <f t="shared" si="98"/>
        <v>0</v>
      </c>
      <c r="BK118" s="271">
        <f t="shared" si="98"/>
        <v>0</v>
      </c>
      <c r="BL118" s="271">
        <f t="shared" si="98"/>
        <v>0</v>
      </c>
      <c r="BM118" s="271">
        <f t="shared" si="98"/>
        <v>0</v>
      </c>
      <c r="BN118" s="271">
        <f t="shared" si="98"/>
        <v>0</v>
      </c>
      <c r="BO118" s="271">
        <f t="shared" si="98"/>
        <v>0</v>
      </c>
      <c r="BP118" s="271">
        <f t="shared" si="98"/>
        <v>0</v>
      </c>
      <c r="BQ118" s="271">
        <f t="shared" si="98"/>
        <v>0</v>
      </c>
      <c r="BR118" s="271">
        <f t="shared" si="98"/>
        <v>0</v>
      </c>
      <c r="BS118" s="271">
        <f t="shared" si="98"/>
        <v>0</v>
      </c>
      <c r="BT118" s="271">
        <f t="shared" ref="BT118:CJ118" si="99">SUMIFS(BT$71:BT$106,BSSections,"Assets")-SUMIFS(BT$71:BT$106,BSSections,"Liabilities")-SUMIFS(BT$71:BT$106,BSSections,"Owners Equity")</f>
        <v>0</v>
      </c>
      <c r="BU118" s="271">
        <f t="shared" si="99"/>
        <v>0</v>
      </c>
      <c r="BV118" s="271">
        <f t="shared" si="99"/>
        <v>0</v>
      </c>
      <c r="BW118" s="271">
        <f t="shared" si="99"/>
        <v>0</v>
      </c>
      <c r="BX118" s="271">
        <f t="shared" si="99"/>
        <v>4.6566128730773926E-10</v>
      </c>
      <c r="BY118" s="271">
        <f t="shared" si="99"/>
        <v>0</v>
      </c>
      <c r="BZ118" s="271">
        <f t="shared" si="99"/>
        <v>0</v>
      </c>
      <c r="CA118" s="271">
        <f t="shared" si="99"/>
        <v>0</v>
      </c>
      <c r="CB118" s="271">
        <f t="shared" si="99"/>
        <v>0</v>
      </c>
      <c r="CC118" s="271">
        <f t="shared" si="99"/>
        <v>0</v>
      </c>
      <c r="CD118" s="271">
        <f t="shared" si="99"/>
        <v>0</v>
      </c>
      <c r="CE118" s="271">
        <f t="shared" si="99"/>
        <v>0</v>
      </c>
      <c r="CF118" s="271">
        <f t="shared" si="99"/>
        <v>0</v>
      </c>
      <c r="CG118" s="271">
        <f t="shared" si="99"/>
        <v>0</v>
      </c>
      <c r="CH118" s="271">
        <f t="shared" si="99"/>
        <v>0</v>
      </c>
      <c r="CI118" s="271">
        <f t="shared" si="99"/>
        <v>0</v>
      </c>
      <c r="CJ118" s="271">
        <f t="shared" si="99"/>
        <v>0</v>
      </c>
    </row>
    <row r="119" spans="2:88" ht="15.6" hidden="1" customHeight="1" outlineLevel="3">
      <c r="B119" s="273" t="s">
        <v>105</v>
      </c>
      <c r="H119" s="273" t="s">
        <v>135</v>
      </c>
      <c r="I119" s="273"/>
      <c r="J119" s="273"/>
      <c r="K119" s="273"/>
      <c r="L119" s="273" t="s">
        <v>104</v>
      </c>
      <c r="O119" s="272"/>
      <c r="P119" s="272"/>
      <c r="Q119" s="272"/>
      <c r="R119" s="272"/>
      <c r="S119" s="272"/>
      <c r="T119" s="272"/>
      <c r="U119" s="272"/>
      <c r="AM119" s="272"/>
      <c r="AN119" s="271" cm="1">
        <f t="array" ref="AN119">IF(AN$5&lt;=LatestMonthOfActuals,SUMIFS(AN$71:AN$106,BSAcctIDs,$L119)- SUM(SUMIFS(PBC_BALANCE_SHEET[AccountBalance],PBC_BALANCE_SHEET[Id],_xlfn._xlws.FILTER(PBC_ACCOUNT_LIST[Id],PBC_ACCOUNT_LIST[AccountType]="Bank"),PBC_BALANCE_SHEET[Date],AN$5)),0)</f>
        <v>0</v>
      </c>
      <c r="AO119" s="271" cm="1">
        <f t="array" ref="AO119">IF(AO$5&lt;=LatestMonthOfActuals,SUMIFS(AO$71:AO$106,BSAcctIDs,$L119)- SUM(SUMIFS(PBC_BALANCE_SHEET[AccountBalance],PBC_BALANCE_SHEET[Id],_xlfn._xlws.FILTER(PBC_ACCOUNT_LIST[Id],PBC_ACCOUNT_LIST[AccountType]="Bank"),PBC_BALANCE_SHEET[Date],AO$5)),0)</f>
        <v>0</v>
      </c>
      <c r="AP119" s="271" cm="1">
        <f t="array" ref="AP119">IF(AP$5&lt;=LatestMonthOfActuals,SUMIFS(AP$71:AP$106,BSAcctIDs,$L119)- SUM(SUMIFS(PBC_BALANCE_SHEET[AccountBalance],PBC_BALANCE_SHEET[Id],_xlfn._xlws.FILTER(PBC_ACCOUNT_LIST[Id],PBC_ACCOUNT_LIST[AccountType]="Bank"),PBC_BALANCE_SHEET[Date],AP$5)),0)</f>
        <v>0</v>
      </c>
      <c r="AQ119" s="271" cm="1">
        <f t="array" ref="AQ119">IF(AQ$5&lt;=LatestMonthOfActuals,SUMIFS(AQ$71:AQ$106,BSAcctIDs,$L119)- SUM(SUMIFS(PBC_BALANCE_SHEET[AccountBalance],PBC_BALANCE_SHEET[Id],_xlfn._xlws.FILTER(PBC_ACCOUNT_LIST[Id],PBC_ACCOUNT_LIST[AccountType]="Bank"),PBC_BALANCE_SHEET[Date],AQ$5)),0)</f>
        <v>0</v>
      </c>
      <c r="AR119" s="271" cm="1">
        <f t="array" ref="AR119">IF(AR$5&lt;=LatestMonthOfActuals,SUMIFS(AR$71:AR$106,BSAcctIDs,$L119)- SUM(SUMIFS(PBC_BALANCE_SHEET[AccountBalance],PBC_BALANCE_SHEET[Id],_xlfn._xlws.FILTER(PBC_ACCOUNT_LIST[Id],PBC_ACCOUNT_LIST[AccountType]="Bank"),PBC_BALANCE_SHEET[Date],AR$5)),0)</f>
        <v>0</v>
      </c>
      <c r="AS119" s="271" cm="1">
        <f t="array" ref="AS119">IF(AS$5&lt;=LatestMonthOfActuals,SUMIFS(AS$71:AS$106,BSAcctIDs,$L119)- SUM(SUMIFS(PBC_BALANCE_SHEET[AccountBalance],PBC_BALANCE_SHEET[Id],_xlfn._xlws.FILTER(PBC_ACCOUNT_LIST[Id],PBC_ACCOUNT_LIST[AccountType]="Bank"),PBC_BALANCE_SHEET[Date],AS$5)),0)</f>
        <v>0</v>
      </c>
      <c r="AT119" s="271" cm="1">
        <f t="array" ref="AT119">IF(AT$5&lt;=LatestMonthOfActuals,SUMIFS(AT$71:AT$106,BSAcctIDs,$L119)- SUM(SUMIFS(PBC_BALANCE_SHEET[AccountBalance],PBC_BALANCE_SHEET[Id],_xlfn._xlws.FILTER(PBC_ACCOUNT_LIST[Id],PBC_ACCOUNT_LIST[AccountType]="Bank"),PBC_BALANCE_SHEET[Date],AT$5)),0)</f>
        <v>0</v>
      </c>
      <c r="AU119" s="271" cm="1">
        <f t="array" ref="AU119">IF(AU$5&lt;=LatestMonthOfActuals,SUMIFS(AU$71:AU$106,BSAcctIDs,$L119)- SUM(SUMIFS(PBC_BALANCE_SHEET[AccountBalance],PBC_BALANCE_SHEET[Id],_xlfn._xlws.FILTER(PBC_ACCOUNT_LIST[Id],PBC_ACCOUNT_LIST[AccountType]="Bank"),PBC_BALANCE_SHEET[Date],AU$5)),0)</f>
        <v>0</v>
      </c>
      <c r="AV119" s="271" cm="1">
        <f t="array" ref="AV119">IF(AV$5&lt;=LatestMonthOfActuals,SUMIFS(AV$71:AV$106,BSAcctIDs,$L119)- SUM(SUMIFS(PBC_BALANCE_SHEET[AccountBalance],PBC_BALANCE_SHEET[Id],_xlfn._xlws.FILTER(PBC_ACCOUNT_LIST[Id],PBC_ACCOUNT_LIST[AccountType]="Bank"),PBC_BALANCE_SHEET[Date],AV$5)),0)</f>
        <v>0</v>
      </c>
      <c r="AW119" s="271" cm="1">
        <f t="array" ref="AW119">IF(AW$5&lt;=LatestMonthOfActuals,SUMIFS(AW$71:AW$106,BSAcctIDs,$L119)- SUM(SUMIFS(PBC_BALANCE_SHEET[AccountBalance],PBC_BALANCE_SHEET[Id],_xlfn._xlws.FILTER(PBC_ACCOUNT_LIST[Id],PBC_ACCOUNT_LIST[AccountType]="Bank"),PBC_BALANCE_SHEET[Date],AW$5)),0)</f>
        <v>0</v>
      </c>
      <c r="AX119" s="271" cm="1">
        <f t="array" ref="AX119">IF(AX$5&lt;=LatestMonthOfActuals,SUMIFS(AX$71:AX$106,BSAcctIDs,$L119)- SUM(SUMIFS(PBC_BALANCE_SHEET[AccountBalance],PBC_BALANCE_SHEET[Id],_xlfn._xlws.FILTER(PBC_ACCOUNT_LIST[Id],PBC_ACCOUNT_LIST[AccountType]="Bank"),PBC_BALANCE_SHEET[Date],AX$5)),0)</f>
        <v>0</v>
      </c>
      <c r="AY119" s="271" cm="1">
        <f t="array" ref="AY119">IF(AY$5&lt;=LatestMonthOfActuals,SUMIFS(AY$71:AY$106,BSAcctIDs,$L119)- SUM(SUMIFS(PBC_BALANCE_SHEET[AccountBalance],PBC_BALANCE_SHEET[Id],_xlfn._xlws.FILTER(PBC_ACCOUNT_LIST[Id],PBC_ACCOUNT_LIST[AccountType]="Bank"),PBC_BALANCE_SHEET[Date],AY$5)),0)</f>
        <v>0</v>
      </c>
      <c r="AZ119" s="271" cm="1">
        <f t="array" ref="AZ119">IF(AZ$5&lt;=LatestMonthOfActuals,SUMIFS(AZ$71:AZ$106,BSAcctIDs,$L119)- SUM(SUMIFS(PBC_BALANCE_SHEET[AccountBalance],PBC_BALANCE_SHEET[Id],_xlfn._xlws.FILTER(PBC_ACCOUNT_LIST[Id],PBC_ACCOUNT_LIST[AccountType]="Bank"),PBC_BALANCE_SHEET[Date],AZ$5)),0)</f>
        <v>0</v>
      </c>
      <c r="BA119" s="271" cm="1">
        <f t="array" ref="BA119">IF(BA$5&lt;=LatestMonthOfActuals,SUMIFS(BA$71:BA$106,BSAcctIDs,$L119)- SUM(SUMIFS(PBC_BALANCE_SHEET[AccountBalance],PBC_BALANCE_SHEET[Id],_xlfn._xlws.FILTER(PBC_ACCOUNT_LIST[Id],PBC_ACCOUNT_LIST[AccountType]="Bank"),PBC_BALANCE_SHEET[Date],BA$5)),0)</f>
        <v>0</v>
      </c>
      <c r="BB119" s="271" cm="1">
        <f t="array" ref="BB119">IF(BB$5&lt;=LatestMonthOfActuals,SUMIFS(BB$71:BB$106,BSAcctIDs,$L119)- SUM(SUMIFS(PBC_BALANCE_SHEET[AccountBalance],PBC_BALANCE_SHEET[Id],_xlfn._xlws.FILTER(PBC_ACCOUNT_LIST[Id],PBC_ACCOUNT_LIST[AccountType]="Bank"),PBC_BALANCE_SHEET[Date],BB$5)),0)</f>
        <v>0</v>
      </c>
      <c r="BC119" s="271" cm="1">
        <f t="array" ref="BC119">IF(BC$5&lt;=LatestMonthOfActuals,SUMIFS(BC$71:BC$106,BSAcctIDs,$L119)- SUM(SUMIFS(PBC_BALANCE_SHEET[AccountBalance],PBC_BALANCE_SHEET[Id],_xlfn._xlws.FILTER(PBC_ACCOUNT_LIST[Id],PBC_ACCOUNT_LIST[AccountType]="Bank"),PBC_BALANCE_SHEET[Date],BC$5)),0)</f>
        <v>0</v>
      </c>
      <c r="BD119" s="271" cm="1">
        <f t="array" ref="BD119">IF(BD$5&lt;=LatestMonthOfActuals,SUMIFS(BD$71:BD$106,BSAcctIDs,$L119)- SUM(SUMIFS(PBC_BALANCE_SHEET[AccountBalance],PBC_BALANCE_SHEET[Id],_xlfn._xlws.FILTER(PBC_ACCOUNT_LIST[Id],PBC_ACCOUNT_LIST[AccountType]="Bank"),PBC_BALANCE_SHEET[Date],BD$5)),0)</f>
        <v>0</v>
      </c>
      <c r="BE119" s="271" cm="1">
        <f t="array" ref="BE119">IF(BE$5&lt;=LatestMonthOfActuals,SUMIFS(BE$71:BE$106,BSAcctIDs,$L119)- SUM(SUMIFS(PBC_BALANCE_SHEET[AccountBalance],PBC_BALANCE_SHEET[Id],_xlfn._xlws.FILTER(PBC_ACCOUNT_LIST[Id],PBC_ACCOUNT_LIST[AccountType]="Bank"),PBC_BALANCE_SHEET[Date],BE$5)),0)</f>
        <v>0</v>
      </c>
      <c r="BF119" s="271" cm="1">
        <f t="array" ref="BF119">IF(BF$5&lt;=LatestMonthOfActuals,SUMIFS(BF$71:BF$106,BSAcctIDs,$L119)- SUM(SUMIFS(PBC_BALANCE_SHEET[AccountBalance],PBC_BALANCE_SHEET[Id],_xlfn._xlws.FILTER(PBC_ACCOUNT_LIST[Id],PBC_ACCOUNT_LIST[AccountType]="Bank"),PBC_BALANCE_SHEET[Date],BF$5)),0)</f>
        <v>0</v>
      </c>
      <c r="BG119" s="271" cm="1">
        <f t="array" ref="BG119">IF(BG$5&lt;=LatestMonthOfActuals,SUMIFS(BG$71:BG$106,BSAcctIDs,$L119)- SUM(SUMIFS(PBC_BALANCE_SHEET[AccountBalance],PBC_BALANCE_SHEET[Id],_xlfn._xlws.FILTER(PBC_ACCOUNT_LIST[Id],PBC_ACCOUNT_LIST[AccountType]="Bank"),PBC_BALANCE_SHEET[Date],BG$5)),0)</f>
        <v>0</v>
      </c>
      <c r="BH119" s="271" cm="1">
        <f t="array" ref="BH119">IF(BH$5&lt;=LatestMonthOfActuals,SUMIFS(BH$71:BH$106,BSAcctIDs,$L119)- SUM(SUMIFS(PBC_BALANCE_SHEET[AccountBalance],PBC_BALANCE_SHEET[Id],_xlfn._xlws.FILTER(PBC_ACCOUNT_LIST[Id],PBC_ACCOUNT_LIST[AccountType]="Bank"),PBC_BALANCE_SHEET[Date],BH$5)),0)</f>
        <v>0</v>
      </c>
      <c r="BI119" s="271" cm="1">
        <f t="array" ref="BI119">IF(BI$5&lt;=LatestMonthOfActuals,SUMIFS(BI$71:BI$106,BSAcctIDs,$L119)- SUM(SUMIFS(PBC_BALANCE_SHEET[AccountBalance],PBC_BALANCE_SHEET[Id],_xlfn._xlws.FILTER(PBC_ACCOUNT_LIST[Id],PBC_ACCOUNT_LIST[AccountType]="Bank"),PBC_BALANCE_SHEET[Date],BI$5)),0)</f>
        <v>0</v>
      </c>
      <c r="BJ119" s="271" cm="1">
        <f t="array" ref="BJ119">IF(BJ$5&lt;=LatestMonthOfActuals,SUMIFS(BJ$71:BJ$106,BSAcctIDs,$L119)- SUM(SUMIFS(PBC_BALANCE_SHEET[AccountBalance],PBC_BALANCE_SHEET[Id],_xlfn._xlws.FILTER(PBC_ACCOUNT_LIST[Id],PBC_ACCOUNT_LIST[AccountType]="Bank"),PBC_BALANCE_SHEET[Date],BJ$5)),0)</f>
        <v>0</v>
      </c>
      <c r="BK119" s="271" cm="1">
        <f t="array" ref="BK119">IF(BK$5&lt;=LatestMonthOfActuals,SUMIFS(BK$71:BK$106,BSAcctIDs,$L119)- SUM(SUMIFS(PBC_BALANCE_SHEET[AccountBalance],PBC_BALANCE_SHEET[Id],_xlfn._xlws.FILTER(PBC_ACCOUNT_LIST[Id],PBC_ACCOUNT_LIST[AccountType]="Bank"),PBC_BALANCE_SHEET[Date],BK$5)),0)</f>
        <v>0</v>
      </c>
      <c r="BL119" s="271" cm="1">
        <f t="array" ref="BL119">IF(BL$5&lt;=LatestMonthOfActuals,SUMIFS(BL$71:BL$106,BSAcctIDs,$L119)- SUM(SUMIFS(PBC_BALANCE_SHEET[AccountBalance],PBC_BALANCE_SHEET[Id],_xlfn._xlws.FILTER(PBC_ACCOUNT_LIST[Id],PBC_ACCOUNT_LIST[AccountType]="Bank"),PBC_BALANCE_SHEET[Date],BL$5)),0)</f>
        <v>0</v>
      </c>
      <c r="BM119" s="271" cm="1">
        <f t="array" ref="BM119">IF(BM$5&lt;=LatestMonthOfActuals,SUMIFS(BM$71:BM$106,BSAcctIDs,$L119)- SUM(SUMIFS(PBC_BALANCE_SHEET[AccountBalance],PBC_BALANCE_SHEET[Id],_xlfn._xlws.FILTER(PBC_ACCOUNT_LIST[Id],PBC_ACCOUNT_LIST[AccountType]="Bank"),PBC_BALANCE_SHEET[Date],BM$5)),0)</f>
        <v>0</v>
      </c>
      <c r="BN119" s="271" cm="1">
        <f t="array" ref="BN119">IF(BN$5&lt;=LatestMonthOfActuals,SUMIFS(BN$71:BN$106,BSAcctIDs,$L119)- SUM(SUMIFS(PBC_BALANCE_SHEET[AccountBalance],PBC_BALANCE_SHEET[Id],_xlfn._xlws.FILTER(PBC_ACCOUNT_LIST[Id],PBC_ACCOUNT_LIST[AccountType]="Bank"),PBC_BALANCE_SHEET[Date],BN$5)),0)</f>
        <v>0</v>
      </c>
      <c r="BO119" s="271" cm="1">
        <f t="array" ref="BO119">IF(BO$5&lt;=LatestMonthOfActuals,SUMIFS(BO$71:BO$106,BSAcctIDs,$L119)- SUM(SUMIFS(PBC_BALANCE_SHEET[AccountBalance],PBC_BALANCE_SHEET[Id],_xlfn._xlws.FILTER(PBC_ACCOUNT_LIST[Id],PBC_ACCOUNT_LIST[AccountType]="Bank"),PBC_BALANCE_SHEET[Date],BO$5)),0)</f>
        <v>0</v>
      </c>
      <c r="BP119" s="271" cm="1">
        <f t="array" ref="BP119">IF(BP$5&lt;=LatestMonthOfActuals,SUMIFS(BP$71:BP$106,BSAcctIDs,$L119)- SUM(SUMIFS(PBC_BALANCE_SHEET[AccountBalance],PBC_BALANCE_SHEET[Id],_xlfn._xlws.FILTER(PBC_ACCOUNT_LIST[Id],PBC_ACCOUNT_LIST[AccountType]="Bank"),PBC_BALANCE_SHEET[Date],BP$5)),0)</f>
        <v>0</v>
      </c>
      <c r="BQ119" s="271" cm="1">
        <f t="array" ref="BQ119">IF(BQ$5&lt;=LatestMonthOfActuals,SUMIFS(BQ$71:BQ$106,BSAcctIDs,$L119)- SUM(SUMIFS(PBC_BALANCE_SHEET[AccountBalance],PBC_BALANCE_SHEET[Id],_xlfn._xlws.FILTER(PBC_ACCOUNT_LIST[Id],PBC_ACCOUNT_LIST[AccountType]="Bank"),PBC_BALANCE_SHEET[Date],BQ$5)),0)</f>
        <v>0</v>
      </c>
      <c r="BR119" s="271" cm="1">
        <f t="array" ref="BR119">IF(BR$5&lt;=LatestMonthOfActuals,SUMIFS(BR$71:BR$106,BSAcctIDs,$L119)- SUM(SUMIFS(PBC_BALANCE_SHEET[AccountBalance],PBC_BALANCE_SHEET[Id],_xlfn._xlws.FILTER(PBC_ACCOUNT_LIST[Id],PBC_ACCOUNT_LIST[AccountType]="Bank"),PBC_BALANCE_SHEET[Date],BR$5)),0)</f>
        <v>0</v>
      </c>
      <c r="BS119" s="271" cm="1">
        <f t="array" ref="BS119">IF(BS$5&lt;=LatestMonthOfActuals,SUMIFS(BS$71:BS$106,BSAcctIDs,$L119)- SUM(SUMIFS(PBC_BALANCE_SHEET[AccountBalance],PBC_BALANCE_SHEET[Id],_xlfn._xlws.FILTER(PBC_ACCOUNT_LIST[Id],PBC_ACCOUNT_LIST[AccountType]="Bank"),PBC_BALANCE_SHEET[Date],BS$5)),0)</f>
        <v>0</v>
      </c>
      <c r="BT119" s="271" cm="1">
        <f t="array" ref="BT119">IF(BT$5&lt;=LatestMonthOfActuals,SUMIFS(BT$71:BT$106,BSAcctIDs,$L119)- SUM(SUMIFS(PBC_BALANCE_SHEET[AccountBalance],PBC_BALANCE_SHEET[Id],_xlfn._xlws.FILTER(PBC_ACCOUNT_LIST[Id],PBC_ACCOUNT_LIST[AccountType]="Bank"),PBC_BALANCE_SHEET[Date],BT$5)),0)</f>
        <v>0</v>
      </c>
      <c r="BU119" s="271" cm="1">
        <f t="array" ref="BU119">IF(BU$5&lt;=LatestMonthOfActuals,SUMIFS(BU$71:BU$106,BSAcctIDs,$L119)- SUM(SUMIFS(PBC_BALANCE_SHEET[AccountBalance],PBC_BALANCE_SHEET[Id],_xlfn._xlws.FILTER(PBC_ACCOUNT_LIST[Id],PBC_ACCOUNT_LIST[AccountType]="Bank"),PBC_BALANCE_SHEET[Date],BU$5)),0)</f>
        <v>0</v>
      </c>
      <c r="BV119" s="271" cm="1">
        <f t="array" ref="BV119">IF(BV$5&lt;=LatestMonthOfActuals,SUMIFS(BV$71:BV$106,BSAcctIDs,$L119)- SUM(SUMIFS(PBC_BALANCE_SHEET[AccountBalance],PBC_BALANCE_SHEET[Id],_xlfn._xlws.FILTER(PBC_ACCOUNT_LIST[Id],PBC_ACCOUNT_LIST[AccountType]="Bank"),PBC_BALANCE_SHEET[Date],BV$5)),0)</f>
        <v>0</v>
      </c>
      <c r="BW119" s="271" cm="1">
        <f t="array" ref="BW119">IF(BW$5&lt;=LatestMonthOfActuals,SUMIFS(BW$71:BW$106,BSAcctIDs,$L119)- SUM(SUMIFS(PBC_BALANCE_SHEET[AccountBalance],PBC_BALANCE_SHEET[Id],_xlfn._xlws.FILTER(PBC_ACCOUNT_LIST[Id],PBC_ACCOUNT_LIST[AccountType]="Bank"),PBC_BALANCE_SHEET[Date],BW$5)),0)</f>
        <v>0</v>
      </c>
      <c r="BX119" s="271" cm="1">
        <f t="array" ref="BX119">IF(BX$5&lt;=LatestMonthOfActuals,SUMIFS(BX$71:BX$106,BSAcctIDs,$L119)- SUM(SUMIFS(PBC_BALANCE_SHEET[AccountBalance],PBC_BALANCE_SHEET[Id],_xlfn._xlws.FILTER(PBC_ACCOUNT_LIST[Id],PBC_ACCOUNT_LIST[AccountType]="Bank"),PBC_BALANCE_SHEET[Date],BX$5)),0)</f>
        <v>0</v>
      </c>
      <c r="BY119" s="271" cm="1">
        <f t="array" ref="BY119">IF(BY$5&lt;=LatestMonthOfActuals,SUMIFS(BY$71:BY$106,BSAcctIDs,$L119)- SUM(SUMIFS(PBC_BALANCE_SHEET[AccountBalance],PBC_BALANCE_SHEET[Id],_xlfn._xlws.FILTER(PBC_ACCOUNT_LIST[Id],PBC_ACCOUNT_LIST[AccountType]="Bank"),PBC_BALANCE_SHEET[Date],BY$5)),0)</f>
        <v>0</v>
      </c>
      <c r="BZ119" s="271" cm="1">
        <f t="array" ref="BZ119">IF(BZ$5&lt;=LatestMonthOfActuals,SUMIFS(BZ$71:BZ$106,BSAcctIDs,$L119)- SUM(SUMIFS(PBC_BALANCE_SHEET[AccountBalance],PBC_BALANCE_SHEET[Id],_xlfn._xlws.FILTER(PBC_ACCOUNT_LIST[Id],PBC_ACCOUNT_LIST[AccountType]="Bank"),PBC_BALANCE_SHEET[Date],BZ$5)),0)</f>
        <v>0</v>
      </c>
      <c r="CA119" s="271" cm="1">
        <f t="array" ref="CA119">IF(CA$5&lt;=LatestMonthOfActuals,SUMIFS(CA$71:CA$106,BSAcctIDs,$L119)- SUM(SUMIFS(PBC_BALANCE_SHEET[AccountBalance],PBC_BALANCE_SHEET[Id],_xlfn._xlws.FILTER(PBC_ACCOUNT_LIST[Id],PBC_ACCOUNT_LIST[AccountType]="Bank"),PBC_BALANCE_SHEET[Date],CA$5)),0)</f>
        <v>0</v>
      </c>
      <c r="CB119" s="271" cm="1">
        <f t="array" ref="CB119">IF(CB$5&lt;=LatestMonthOfActuals,SUMIFS(CB$71:CB$106,BSAcctIDs,$L119)- SUM(SUMIFS(PBC_BALANCE_SHEET[AccountBalance],PBC_BALANCE_SHEET[Id],_xlfn._xlws.FILTER(PBC_ACCOUNT_LIST[Id],PBC_ACCOUNT_LIST[AccountType]="Bank"),PBC_BALANCE_SHEET[Date],CB$5)),0)</f>
        <v>0</v>
      </c>
      <c r="CC119" s="271" cm="1">
        <f t="array" ref="CC119">IF(CC$5&lt;=LatestMonthOfActuals,SUMIFS(CC$71:CC$106,BSAcctIDs,$L119)- SUM(SUMIFS(PBC_BALANCE_SHEET[AccountBalance],PBC_BALANCE_SHEET[Id],_xlfn._xlws.FILTER(PBC_ACCOUNT_LIST[Id],PBC_ACCOUNT_LIST[AccountType]="Bank"),PBC_BALANCE_SHEET[Date],CC$5)),0)</f>
        <v>0</v>
      </c>
      <c r="CD119" s="271" cm="1">
        <f t="array" ref="CD119">IF(CD$5&lt;=LatestMonthOfActuals,SUMIFS(CD$71:CD$106,BSAcctIDs,$L119)- SUM(SUMIFS(PBC_BALANCE_SHEET[AccountBalance],PBC_BALANCE_SHEET[Id],_xlfn._xlws.FILTER(PBC_ACCOUNT_LIST[Id],PBC_ACCOUNT_LIST[AccountType]="Bank"),PBC_BALANCE_SHEET[Date],CD$5)),0)</f>
        <v>0</v>
      </c>
      <c r="CE119" s="271" cm="1">
        <f t="array" ref="CE119">IF(CE$5&lt;=LatestMonthOfActuals,SUMIFS(CE$71:CE$106,BSAcctIDs,$L119)- SUM(SUMIFS(PBC_BALANCE_SHEET[AccountBalance],PBC_BALANCE_SHEET[Id],_xlfn._xlws.FILTER(PBC_ACCOUNT_LIST[Id],PBC_ACCOUNT_LIST[AccountType]="Bank"),PBC_BALANCE_SHEET[Date],CE$5)),0)</f>
        <v>0</v>
      </c>
      <c r="CF119" s="271" cm="1">
        <f t="array" ref="CF119">IF(CF$5&lt;=LatestMonthOfActuals,SUMIFS(CF$71:CF$106,BSAcctIDs,$L119)- SUM(SUMIFS(PBC_BALANCE_SHEET[AccountBalance],PBC_BALANCE_SHEET[Id],_xlfn._xlws.FILTER(PBC_ACCOUNT_LIST[Id],PBC_ACCOUNT_LIST[AccountType]="Bank"),PBC_BALANCE_SHEET[Date],CF$5)),0)</f>
        <v>0</v>
      </c>
      <c r="CG119" s="271" cm="1">
        <f t="array" ref="CG119">IF(CG$5&lt;=LatestMonthOfActuals,SUMIFS(CG$71:CG$106,BSAcctIDs,$L119)- SUM(SUMIFS(PBC_BALANCE_SHEET[AccountBalance],PBC_BALANCE_SHEET[Id],_xlfn._xlws.FILTER(PBC_ACCOUNT_LIST[Id],PBC_ACCOUNT_LIST[AccountType]="Bank"),PBC_BALANCE_SHEET[Date],CG$5)),0)</f>
        <v>0</v>
      </c>
      <c r="CH119" s="271" cm="1">
        <f t="array" ref="CH119">IF(CH$5&lt;=LatestMonthOfActuals,SUMIFS(CH$71:CH$106,BSAcctIDs,$L119)- SUM(SUMIFS(PBC_BALANCE_SHEET[AccountBalance],PBC_BALANCE_SHEET[Id],_xlfn._xlws.FILTER(PBC_ACCOUNT_LIST[Id],PBC_ACCOUNT_LIST[AccountType]="Bank"),PBC_BALANCE_SHEET[Date],CH$5)),0)</f>
        <v>0</v>
      </c>
      <c r="CI119" s="271" cm="1">
        <f t="array" ref="CI119">IF(CI$5&lt;=LatestMonthOfActuals,SUMIFS(CI$71:CI$106,BSAcctIDs,$L119)- SUM(SUMIFS(PBC_BALANCE_SHEET[AccountBalance],PBC_BALANCE_SHEET[Id],_xlfn._xlws.FILTER(PBC_ACCOUNT_LIST[Id],PBC_ACCOUNT_LIST[AccountType]="Bank"),PBC_BALANCE_SHEET[Date],CI$5)),0)</f>
        <v>0</v>
      </c>
      <c r="CJ119" s="271" cm="1">
        <f t="array" ref="CJ119">IF(CJ$5&lt;=LatestMonthOfActuals,SUMIFS(CJ$71:CJ$106,BSAcctIDs,$L119)- SUM(SUMIFS(PBC_BALANCE_SHEET[AccountBalance],PBC_BALANCE_SHEET[Id],_xlfn._xlws.FILTER(PBC_ACCOUNT_LIST[Id],PBC_ACCOUNT_LIST[AccountType]="Bank"),PBC_BALANCE_SHEET[Date],CJ$5)),0)</f>
        <v>0</v>
      </c>
    </row>
  </sheetData>
  <autoFilter ref="D8:G106" xr:uid="{78A2CAC9-985F-3D4F-AFF8-98CCA8441374}"/>
  <mergeCells count="3">
    <mergeCell ref="O2:O8"/>
    <mergeCell ref="U2:U8"/>
    <mergeCell ref="AM2:AM8"/>
  </mergeCells>
  <pageMargins left="0.7" right="0.7" top="0.75" bottom="0.75" header="0.3" footer="0.3"/>
  <pageSetup orientation="portrait" r:id="rId1"/>
  <customProperties>
    <customPr name="data-inserted" r:id="rId2"/>
    <customPr name="mw_flags_replaced" r:id="rId3"/>
    <customPr name="sheetName" r:id="rId4"/>
    <customPr name="sourceTemplate" r:id="rId5"/>
  </customProperties>
  <drawing r:id="rId6"/>
  <extLst>
    <ext xmlns:x14="http://schemas.microsoft.com/office/spreadsheetml/2009/9/main" uri="{CCE6A557-97BC-4b89-ADB6-D9C93CAAB3DF}">
      <x14:dataValidations xmlns:xm="http://schemas.microsoft.com/office/excel/2006/main" count="1">
        <x14:dataValidation type="list" allowBlank="1" showInputMessage="1" showErrorMessage="1" xr:uid="{64EC8CCC-8244-486F-859B-4A043714CD02}">
          <x14:formula1>
            <xm:f>_xlfn.ANCHORARRAY(Lists!$T$6)</xm:f>
          </x14:formula1>
          <xm:sqref>E93:E106 E86:E91 E13:E62 E64:E79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AB151-4871-0842-9545-281696E09A57}">
  <sheetPr>
    <tabColor theme="3" tint="0.89999084444715716"/>
    <outlinePr summaryBelow="0" summaryRight="0"/>
  </sheetPr>
  <dimension ref="A1:CK126"/>
  <sheetViews>
    <sheetView showGridLines="0" zoomScale="70" zoomScaleNormal="70" workbookViewId="0">
      <pane xSplit="4" ySplit="10" topLeftCell="F11" activePane="bottomRight" state="frozen"/>
      <selection pane="topRight" activeCell="E1" sqref="E1"/>
      <selection pane="bottomLeft" activeCell="A11" sqref="A11"/>
      <selection pane="bottomRight" activeCell="G13" sqref="G13"/>
    </sheetView>
  </sheetViews>
  <sheetFormatPr defaultColWidth="9.140625" defaultRowHeight="18.75" outlineLevelRow="3" outlineLevelCol="2"/>
  <cols>
    <col min="1" max="1" width="2.42578125" style="50" customWidth="1"/>
    <col min="2" max="2" width="2.42578125" style="356" customWidth="1"/>
    <col min="3" max="3" width="2.42578125" style="355" customWidth="1"/>
    <col min="4" max="4" width="32.85546875" style="50" customWidth="1"/>
    <col min="5" max="5" width="22.140625" style="50" customWidth="1" outlineLevel="1"/>
    <col min="6" max="6" width="17.140625" style="50" customWidth="1" outlineLevel="1"/>
    <col min="7" max="8" width="24.85546875" style="50" customWidth="1" outlineLevel="1"/>
    <col min="9" max="9" width="10.85546875" style="50" customWidth="1" outlineLevel="1"/>
    <col min="10" max="10" width="11" style="50" customWidth="1" outlineLevel="1"/>
    <col min="11" max="11" width="13.42578125" style="50" customWidth="1" outlineLevel="1"/>
    <col min="12" max="12" width="12.85546875" style="50" customWidth="1" outlineLevel="1"/>
    <col min="13" max="13" width="15.42578125" style="50" customWidth="1" outlineLevel="1"/>
    <col min="14" max="14" width="12.7109375" style="50" customWidth="1" outlineLevel="1"/>
    <col min="15" max="15" width="10.42578125" style="50" customWidth="1" outlineLevel="1"/>
    <col min="16" max="17" width="2.7109375" style="50" customWidth="1"/>
    <col min="18" max="18" width="9.7109375" style="50" customWidth="1" outlineLevel="2"/>
    <col min="19" max="21" width="11.140625" style="50" customWidth="1" outlineLevel="2"/>
    <col min="22" max="23" width="2.7109375" style="50" customWidth="1"/>
    <col min="24" max="39" width="9.7109375" style="50" customWidth="1" outlineLevel="2"/>
    <col min="40" max="40" width="2.7109375" style="50" customWidth="1"/>
    <col min="41" max="41" width="2.7109375" style="50" customWidth="1" collapsed="1"/>
    <col min="42" max="59" width="8.7109375" style="50" hidden="1" customWidth="1" outlineLevel="1"/>
    <col min="60" max="89" width="9.7109375" style="50" hidden="1" customWidth="1" outlineLevel="1"/>
    <col min="90" max="16384" width="9.140625" style="50"/>
  </cols>
  <sheetData>
    <row r="1" spans="1:89" ht="21" customHeight="1">
      <c r="A1" s="193" t="str">
        <f>Company_Name</f>
        <v>Model Wiz Demo *</v>
      </c>
      <c r="E1" s="357"/>
      <c r="AP1" s="501"/>
    </row>
    <row r="2" spans="1:89" ht="21" customHeight="1">
      <c r="A2" s="148" t="str" cm="1">
        <f t="array" aca="1" ref="A2" ca="1">IFERROR(MID(CELL("filename",A1),FIND("]",CELL("filename",A1))+1,LEN(CELL("filename",A1))),"")</f>
        <v>Headcount</v>
      </c>
      <c r="I2" s="501"/>
      <c r="J2" s="501"/>
      <c r="K2" s="372"/>
      <c r="Q2" s="853" t="s">
        <v>159</v>
      </c>
      <c r="R2" s="148"/>
      <c r="S2" s="148"/>
      <c r="T2" s="148"/>
      <c r="U2" s="148"/>
      <c r="V2" s="148"/>
      <c r="W2" s="853" t="s">
        <v>160</v>
      </c>
      <c r="X2" s="403"/>
      <c r="Y2" s="148"/>
      <c r="Z2" s="148"/>
      <c r="AA2" s="148"/>
      <c r="AB2" s="148"/>
      <c r="AC2" s="148"/>
      <c r="AD2" s="148"/>
      <c r="AE2" s="148"/>
      <c r="AF2" s="148"/>
      <c r="AG2" s="148"/>
      <c r="AH2" s="148"/>
      <c r="AI2" s="148"/>
      <c r="AJ2" s="148"/>
      <c r="AK2" s="148"/>
      <c r="AL2" s="148"/>
      <c r="AM2" s="148"/>
      <c r="AN2" s="407"/>
      <c r="AO2" s="853" t="s">
        <v>161</v>
      </c>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c r="CD2" s="148"/>
      <c r="CE2" s="148"/>
      <c r="CF2" s="148"/>
      <c r="CG2" s="148"/>
      <c r="CH2" s="148"/>
      <c r="CI2" s="148"/>
      <c r="CJ2" s="148"/>
      <c r="CK2" s="148"/>
    </row>
    <row r="3" spans="1:89" ht="21" customHeight="1" collapsed="1">
      <c r="A3" s="192" t="str">
        <f>Error_Check</f>
        <v>Model Functioning Properly</v>
      </c>
      <c r="I3" s="501"/>
      <c r="J3" s="501"/>
      <c r="K3" s="372"/>
      <c r="Q3" s="853"/>
      <c r="R3" s="405" t="str">
        <f>IF(R$5&lt;=_xlfn.SINGLE(LatestMonthOfActuals),"Actual","Projected")</f>
        <v>Actual</v>
      </c>
      <c r="S3" s="405" t="str">
        <f>IF(S$5&lt;=_xlfn.SINGLE(LatestMonthOfActuals),"Actual","Projected")</f>
        <v>Actual</v>
      </c>
      <c r="T3" s="405" t="str">
        <f>IF(T$5&lt;=_xlfn.SINGLE(LatestMonthOfActuals),"Actual","Projected")</f>
        <v>Projected</v>
      </c>
      <c r="U3" s="405" t="str">
        <f>IF(U$5&lt;=_xlfn.SINGLE(LatestMonthOfActuals),"Actual","Projected")</f>
        <v>Projected</v>
      </c>
      <c r="V3" s="148"/>
      <c r="W3" s="853"/>
      <c r="X3" s="405" t="str">
        <f t="shared" ref="X3:AM3" si="0">IF(X$5&lt;=_xlfn.SINGLE(LatestMonthOfActuals),"Actual","Projected")</f>
        <v>Actual</v>
      </c>
      <c r="Y3" s="405" t="str">
        <f t="shared" si="0"/>
        <v>Actual</v>
      </c>
      <c r="Z3" s="405" t="str">
        <f t="shared" si="0"/>
        <v>Actual</v>
      </c>
      <c r="AA3" s="405" t="str">
        <f t="shared" si="0"/>
        <v>Actual</v>
      </c>
      <c r="AB3" s="405" t="str">
        <f t="shared" si="0"/>
        <v>Actual</v>
      </c>
      <c r="AC3" s="405" t="str">
        <f t="shared" si="0"/>
        <v>Actual</v>
      </c>
      <c r="AD3" s="405" t="str">
        <f t="shared" si="0"/>
        <v>Actual</v>
      </c>
      <c r="AE3" s="405" t="str">
        <f t="shared" si="0"/>
        <v>Actual</v>
      </c>
      <c r="AF3" s="405" t="str">
        <f t="shared" si="0"/>
        <v>Actual</v>
      </c>
      <c r="AG3" s="405" t="str">
        <f t="shared" si="0"/>
        <v>Actual</v>
      </c>
      <c r="AH3" s="405" t="str">
        <f t="shared" si="0"/>
        <v>Actual</v>
      </c>
      <c r="AI3" s="405" t="str">
        <f t="shared" si="0"/>
        <v>Projected</v>
      </c>
      <c r="AJ3" s="405" t="str">
        <f t="shared" si="0"/>
        <v>Projected</v>
      </c>
      <c r="AK3" s="405" t="str">
        <f t="shared" si="0"/>
        <v>Projected</v>
      </c>
      <c r="AL3" s="405" t="str">
        <f t="shared" si="0"/>
        <v>Projected</v>
      </c>
      <c r="AM3" s="405" t="str">
        <f t="shared" si="0"/>
        <v>Projected</v>
      </c>
      <c r="AN3" s="406"/>
      <c r="AO3" s="853"/>
      <c r="AP3" s="405" t="str">
        <f t="shared" ref="AP3:CK3" si="1">IF(AP$5&lt;=_xlfn.SINGLE(LatestMonthOfActuals),"Actual","Projected")</f>
        <v>Actual</v>
      </c>
      <c r="AQ3" s="405" t="str">
        <f t="shared" si="1"/>
        <v>Actual</v>
      </c>
      <c r="AR3" s="405" t="str">
        <f t="shared" si="1"/>
        <v>Actual</v>
      </c>
      <c r="AS3" s="405" t="str">
        <f t="shared" si="1"/>
        <v>Actual</v>
      </c>
      <c r="AT3" s="405" t="str">
        <f t="shared" si="1"/>
        <v>Actual</v>
      </c>
      <c r="AU3" s="405" t="str">
        <f t="shared" si="1"/>
        <v>Actual</v>
      </c>
      <c r="AV3" s="405" t="str">
        <f t="shared" si="1"/>
        <v>Actual</v>
      </c>
      <c r="AW3" s="405" t="str">
        <f t="shared" si="1"/>
        <v>Actual</v>
      </c>
      <c r="AX3" s="405" t="str">
        <f t="shared" si="1"/>
        <v>Actual</v>
      </c>
      <c r="AY3" s="405" t="str">
        <f t="shared" si="1"/>
        <v>Actual</v>
      </c>
      <c r="AZ3" s="405" t="str">
        <f t="shared" si="1"/>
        <v>Actual</v>
      </c>
      <c r="BA3" s="405" t="str">
        <f t="shared" si="1"/>
        <v>Actual</v>
      </c>
      <c r="BB3" s="405" t="str">
        <f t="shared" si="1"/>
        <v>Actual</v>
      </c>
      <c r="BC3" s="405" t="str">
        <f t="shared" si="1"/>
        <v>Actual</v>
      </c>
      <c r="BD3" s="405" t="str">
        <f t="shared" si="1"/>
        <v>Actual</v>
      </c>
      <c r="BE3" s="405" t="str">
        <f t="shared" si="1"/>
        <v>Actual</v>
      </c>
      <c r="BF3" s="405" t="str">
        <f t="shared" si="1"/>
        <v>Actual</v>
      </c>
      <c r="BG3" s="405" t="str">
        <f t="shared" si="1"/>
        <v>Actual</v>
      </c>
      <c r="BH3" s="405" t="str">
        <f t="shared" si="1"/>
        <v>Actual</v>
      </c>
      <c r="BI3" s="405" t="str">
        <f t="shared" si="1"/>
        <v>Actual</v>
      </c>
      <c r="BJ3" s="405" t="str">
        <f t="shared" si="1"/>
        <v>Actual</v>
      </c>
      <c r="BK3" s="405" t="str">
        <f t="shared" si="1"/>
        <v>Actual</v>
      </c>
      <c r="BL3" s="405" t="str">
        <f t="shared" si="1"/>
        <v>Actual</v>
      </c>
      <c r="BM3" s="405" t="str">
        <f t="shared" si="1"/>
        <v>Actual</v>
      </c>
      <c r="BN3" s="405" t="str">
        <f t="shared" si="1"/>
        <v>Actual</v>
      </c>
      <c r="BO3" s="405" t="str">
        <f t="shared" si="1"/>
        <v>Actual</v>
      </c>
      <c r="BP3" s="405" t="str">
        <f t="shared" si="1"/>
        <v>Actual</v>
      </c>
      <c r="BQ3" s="405" t="str">
        <f t="shared" si="1"/>
        <v>Actual</v>
      </c>
      <c r="BR3" s="405" t="str">
        <f t="shared" si="1"/>
        <v>Actual</v>
      </c>
      <c r="BS3" s="405" t="str">
        <f t="shared" si="1"/>
        <v>Actual</v>
      </c>
      <c r="BT3" s="405" t="str">
        <f t="shared" si="1"/>
        <v>Actual</v>
      </c>
      <c r="BU3" s="405" t="str">
        <f t="shared" si="1"/>
        <v>Actual</v>
      </c>
      <c r="BV3" s="405" t="str">
        <f t="shared" si="1"/>
        <v>Actual</v>
      </c>
      <c r="BW3" s="405" t="str">
        <f t="shared" si="1"/>
        <v>Actual</v>
      </c>
      <c r="BX3" s="405" t="str">
        <f t="shared" si="1"/>
        <v>Actual</v>
      </c>
      <c r="BY3" s="405" t="str">
        <f t="shared" si="1"/>
        <v>Projected</v>
      </c>
      <c r="BZ3" s="405" t="str">
        <f t="shared" si="1"/>
        <v>Projected</v>
      </c>
      <c r="CA3" s="405" t="str">
        <f t="shared" si="1"/>
        <v>Projected</v>
      </c>
      <c r="CB3" s="405" t="str">
        <f t="shared" si="1"/>
        <v>Projected</v>
      </c>
      <c r="CC3" s="405" t="str">
        <f t="shared" si="1"/>
        <v>Projected</v>
      </c>
      <c r="CD3" s="405" t="str">
        <f t="shared" si="1"/>
        <v>Projected</v>
      </c>
      <c r="CE3" s="405" t="str">
        <f t="shared" si="1"/>
        <v>Projected</v>
      </c>
      <c r="CF3" s="405" t="str">
        <f t="shared" si="1"/>
        <v>Projected</v>
      </c>
      <c r="CG3" s="405" t="str">
        <f t="shared" si="1"/>
        <v>Projected</v>
      </c>
      <c r="CH3" s="405" t="str">
        <f t="shared" si="1"/>
        <v>Projected</v>
      </c>
      <c r="CI3" s="405" t="str">
        <f t="shared" si="1"/>
        <v>Projected</v>
      </c>
      <c r="CJ3" s="405" t="str">
        <f t="shared" si="1"/>
        <v>Projected</v>
      </c>
      <c r="CK3" s="405" t="str">
        <f t="shared" si="1"/>
        <v>Projected</v>
      </c>
    </row>
    <row r="4" spans="1:89" s="493" customFormat="1" ht="15" hidden="1" outlineLevel="2">
      <c r="B4" s="497"/>
      <c r="C4" s="496"/>
      <c r="I4" s="495"/>
      <c r="J4" s="495"/>
      <c r="K4" s="494"/>
      <c r="Q4" s="853"/>
      <c r="R4" s="403">
        <f>Start_Date</f>
        <v>44927</v>
      </c>
      <c r="S4" s="403">
        <f>R5+1</f>
        <v>45292</v>
      </c>
      <c r="T4" s="403">
        <f>S5+1</f>
        <v>45658</v>
      </c>
      <c r="U4" s="403">
        <f>T5+1</f>
        <v>46023</v>
      </c>
      <c r="V4" s="148"/>
      <c r="W4" s="853"/>
      <c r="X4" s="403">
        <f>Start_Date</f>
        <v>44927</v>
      </c>
      <c r="Y4" s="402">
        <f t="shared" ref="Y4:AM4" si="2">X5+1</f>
        <v>45017</v>
      </c>
      <c r="Z4" s="402">
        <f t="shared" si="2"/>
        <v>45108</v>
      </c>
      <c r="AA4" s="402">
        <f t="shared" si="2"/>
        <v>45200</v>
      </c>
      <c r="AB4" s="402">
        <f t="shared" si="2"/>
        <v>45292</v>
      </c>
      <c r="AC4" s="402">
        <f t="shared" si="2"/>
        <v>45383</v>
      </c>
      <c r="AD4" s="402">
        <f t="shared" si="2"/>
        <v>45474</v>
      </c>
      <c r="AE4" s="402">
        <f t="shared" si="2"/>
        <v>45566</v>
      </c>
      <c r="AF4" s="402">
        <f t="shared" si="2"/>
        <v>45658</v>
      </c>
      <c r="AG4" s="402">
        <f t="shared" si="2"/>
        <v>45748</v>
      </c>
      <c r="AH4" s="402">
        <f t="shared" si="2"/>
        <v>45839</v>
      </c>
      <c r="AI4" s="402">
        <f t="shared" si="2"/>
        <v>45931</v>
      </c>
      <c r="AJ4" s="402">
        <f t="shared" si="2"/>
        <v>46023</v>
      </c>
      <c r="AK4" s="402">
        <f t="shared" si="2"/>
        <v>46113</v>
      </c>
      <c r="AL4" s="402">
        <f t="shared" si="2"/>
        <v>46204</v>
      </c>
      <c r="AM4" s="402">
        <f t="shared" si="2"/>
        <v>46296</v>
      </c>
      <c r="AN4" s="404"/>
      <c r="AO4" s="853"/>
      <c r="AP4" s="403">
        <f>Start_Date</f>
        <v>44927</v>
      </c>
      <c r="AQ4" s="403">
        <f t="shared" ref="AQ4:CK4" si="3">EOMONTH(AQ5,-1)+1</f>
        <v>44958</v>
      </c>
      <c r="AR4" s="403">
        <f t="shared" si="3"/>
        <v>44986</v>
      </c>
      <c r="AS4" s="403">
        <f t="shared" si="3"/>
        <v>45017</v>
      </c>
      <c r="AT4" s="403">
        <f t="shared" si="3"/>
        <v>45047</v>
      </c>
      <c r="AU4" s="403">
        <f t="shared" si="3"/>
        <v>45078</v>
      </c>
      <c r="AV4" s="403">
        <f t="shared" si="3"/>
        <v>45108</v>
      </c>
      <c r="AW4" s="403">
        <f t="shared" si="3"/>
        <v>45139</v>
      </c>
      <c r="AX4" s="403">
        <f t="shared" si="3"/>
        <v>45170</v>
      </c>
      <c r="AY4" s="403">
        <f t="shared" si="3"/>
        <v>45200</v>
      </c>
      <c r="AZ4" s="403">
        <f t="shared" si="3"/>
        <v>45231</v>
      </c>
      <c r="BA4" s="403">
        <f t="shared" si="3"/>
        <v>45261</v>
      </c>
      <c r="BB4" s="403">
        <f t="shared" si="3"/>
        <v>45292</v>
      </c>
      <c r="BC4" s="403">
        <f t="shared" si="3"/>
        <v>45323</v>
      </c>
      <c r="BD4" s="403">
        <f t="shared" si="3"/>
        <v>45352</v>
      </c>
      <c r="BE4" s="403">
        <f t="shared" si="3"/>
        <v>45383</v>
      </c>
      <c r="BF4" s="403">
        <f t="shared" si="3"/>
        <v>45413</v>
      </c>
      <c r="BG4" s="403">
        <f t="shared" si="3"/>
        <v>45444</v>
      </c>
      <c r="BH4" s="403">
        <f t="shared" si="3"/>
        <v>45474</v>
      </c>
      <c r="BI4" s="403">
        <f t="shared" si="3"/>
        <v>45505</v>
      </c>
      <c r="BJ4" s="403">
        <f t="shared" si="3"/>
        <v>45536</v>
      </c>
      <c r="BK4" s="403">
        <f t="shared" si="3"/>
        <v>45566</v>
      </c>
      <c r="BL4" s="403">
        <f t="shared" si="3"/>
        <v>45597</v>
      </c>
      <c r="BM4" s="403">
        <f t="shared" si="3"/>
        <v>45627</v>
      </c>
      <c r="BN4" s="403">
        <f t="shared" si="3"/>
        <v>45658</v>
      </c>
      <c r="BO4" s="403">
        <f t="shared" si="3"/>
        <v>45689</v>
      </c>
      <c r="BP4" s="403">
        <f t="shared" si="3"/>
        <v>45717</v>
      </c>
      <c r="BQ4" s="403">
        <f t="shared" si="3"/>
        <v>45748</v>
      </c>
      <c r="BR4" s="403">
        <f t="shared" si="3"/>
        <v>45778</v>
      </c>
      <c r="BS4" s="403">
        <f t="shared" si="3"/>
        <v>45809</v>
      </c>
      <c r="BT4" s="403">
        <f t="shared" si="3"/>
        <v>45839</v>
      </c>
      <c r="BU4" s="403">
        <f t="shared" si="3"/>
        <v>45870</v>
      </c>
      <c r="BV4" s="403">
        <f t="shared" si="3"/>
        <v>45901</v>
      </c>
      <c r="BW4" s="403">
        <f t="shared" si="3"/>
        <v>45931</v>
      </c>
      <c r="BX4" s="403">
        <f t="shared" si="3"/>
        <v>45962</v>
      </c>
      <c r="BY4" s="403">
        <f t="shared" si="3"/>
        <v>45992</v>
      </c>
      <c r="BZ4" s="403">
        <f t="shared" si="3"/>
        <v>46023</v>
      </c>
      <c r="CA4" s="403">
        <f t="shared" si="3"/>
        <v>46054</v>
      </c>
      <c r="CB4" s="403">
        <f t="shared" si="3"/>
        <v>46082</v>
      </c>
      <c r="CC4" s="403">
        <f t="shared" si="3"/>
        <v>46113</v>
      </c>
      <c r="CD4" s="403">
        <f t="shared" si="3"/>
        <v>46143</v>
      </c>
      <c r="CE4" s="403">
        <f t="shared" si="3"/>
        <v>46174</v>
      </c>
      <c r="CF4" s="403">
        <f t="shared" si="3"/>
        <v>46204</v>
      </c>
      <c r="CG4" s="403">
        <f t="shared" si="3"/>
        <v>46235</v>
      </c>
      <c r="CH4" s="403">
        <f t="shared" si="3"/>
        <v>46266</v>
      </c>
      <c r="CI4" s="403">
        <f t="shared" si="3"/>
        <v>46296</v>
      </c>
      <c r="CJ4" s="403">
        <f t="shared" si="3"/>
        <v>46327</v>
      </c>
      <c r="CK4" s="403">
        <f t="shared" si="3"/>
        <v>46357</v>
      </c>
    </row>
    <row r="5" spans="1:89" s="399" customFormat="1" ht="15" hidden="1" outlineLevel="2">
      <c r="B5" s="500"/>
      <c r="C5" s="500"/>
      <c r="I5" s="499"/>
      <c r="J5" s="499"/>
      <c r="K5" s="498"/>
      <c r="Q5" s="853"/>
      <c r="R5" s="403">
        <f>EOMONTH(DATE(YEAR(Start_Date),1,1),Fiscal_Offset+IF(X6&lt;YEAR(Start_Date),-1,11))</f>
        <v>45291</v>
      </c>
      <c r="S5" s="402">
        <f>MIN(EOMONTH(R5,12),End_Date)</f>
        <v>45657</v>
      </c>
      <c r="T5" s="402">
        <f>MIN(EOMONTH(S5,12),End_Date)</f>
        <v>46022</v>
      </c>
      <c r="U5" s="402">
        <f>MIN(EOMONTH(T5,12),End_Date)</f>
        <v>46387</v>
      </c>
      <c r="V5" s="148"/>
      <c r="W5" s="853"/>
      <c r="X5" s="402">
        <f>EOMONTH(DATE(YEAR(Start_Date),1,1),MOD(ROUNDUP(MONTH(EOMONTH(Start_Date,-Fiscal_Offset))/3,0)*3+Fiscal_Offset-1,12))</f>
        <v>45016</v>
      </c>
      <c r="Y5" s="402">
        <f t="shared" ref="Y5:AM5" si="4">MIN(EOMONTH(Y$4,2),End_Date)</f>
        <v>45107</v>
      </c>
      <c r="Z5" s="402">
        <f t="shared" si="4"/>
        <v>45199</v>
      </c>
      <c r="AA5" s="402">
        <f t="shared" si="4"/>
        <v>45291</v>
      </c>
      <c r="AB5" s="402">
        <f t="shared" si="4"/>
        <v>45382</v>
      </c>
      <c r="AC5" s="402">
        <f t="shared" si="4"/>
        <v>45473</v>
      </c>
      <c r="AD5" s="402">
        <f t="shared" si="4"/>
        <v>45565</v>
      </c>
      <c r="AE5" s="402">
        <f t="shared" si="4"/>
        <v>45657</v>
      </c>
      <c r="AF5" s="402">
        <f t="shared" si="4"/>
        <v>45747</v>
      </c>
      <c r="AG5" s="402">
        <f t="shared" si="4"/>
        <v>45838</v>
      </c>
      <c r="AH5" s="402">
        <f t="shared" si="4"/>
        <v>45930</v>
      </c>
      <c r="AI5" s="402">
        <f t="shared" si="4"/>
        <v>46022</v>
      </c>
      <c r="AJ5" s="402">
        <f t="shared" si="4"/>
        <v>46112</v>
      </c>
      <c r="AK5" s="402">
        <f t="shared" si="4"/>
        <v>46203</v>
      </c>
      <c r="AL5" s="402">
        <f t="shared" si="4"/>
        <v>46295</v>
      </c>
      <c r="AM5" s="402">
        <f t="shared" si="4"/>
        <v>46387</v>
      </c>
      <c r="AN5" s="404"/>
      <c r="AO5" s="853"/>
      <c r="AP5" s="403" cm="1">
        <f t="array" ref="AP5">EOM_Start_Date</f>
        <v>44957</v>
      </c>
      <c r="AQ5" s="402">
        <f t="shared" ref="AQ5:CK5" si="5">EOMONTH(AP5,1)</f>
        <v>44985</v>
      </c>
      <c r="AR5" s="402">
        <f t="shared" si="5"/>
        <v>45016</v>
      </c>
      <c r="AS5" s="402">
        <f t="shared" si="5"/>
        <v>45046</v>
      </c>
      <c r="AT5" s="402">
        <f t="shared" si="5"/>
        <v>45077</v>
      </c>
      <c r="AU5" s="402">
        <f t="shared" si="5"/>
        <v>45107</v>
      </c>
      <c r="AV5" s="402">
        <f t="shared" si="5"/>
        <v>45138</v>
      </c>
      <c r="AW5" s="402">
        <f t="shared" si="5"/>
        <v>45169</v>
      </c>
      <c r="AX5" s="402">
        <f t="shared" si="5"/>
        <v>45199</v>
      </c>
      <c r="AY5" s="402">
        <f t="shared" si="5"/>
        <v>45230</v>
      </c>
      <c r="AZ5" s="402">
        <f t="shared" si="5"/>
        <v>45260</v>
      </c>
      <c r="BA5" s="402">
        <f t="shared" si="5"/>
        <v>45291</v>
      </c>
      <c r="BB5" s="402">
        <f t="shared" si="5"/>
        <v>45322</v>
      </c>
      <c r="BC5" s="402">
        <f t="shared" si="5"/>
        <v>45351</v>
      </c>
      <c r="BD5" s="402">
        <f t="shared" si="5"/>
        <v>45382</v>
      </c>
      <c r="BE5" s="402">
        <f t="shared" si="5"/>
        <v>45412</v>
      </c>
      <c r="BF5" s="402">
        <f t="shared" si="5"/>
        <v>45443</v>
      </c>
      <c r="BG5" s="402">
        <f t="shared" si="5"/>
        <v>45473</v>
      </c>
      <c r="BH5" s="402">
        <f t="shared" si="5"/>
        <v>45504</v>
      </c>
      <c r="BI5" s="402">
        <f t="shared" si="5"/>
        <v>45535</v>
      </c>
      <c r="BJ5" s="402">
        <f t="shared" si="5"/>
        <v>45565</v>
      </c>
      <c r="BK5" s="402">
        <f t="shared" si="5"/>
        <v>45596</v>
      </c>
      <c r="BL5" s="402">
        <f t="shared" si="5"/>
        <v>45626</v>
      </c>
      <c r="BM5" s="402">
        <f t="shared" si="5"/>
        <v>45657</v>
      </c>
      <c r="BN5" s="402">
        <f t="shared" si="5"/>
        <v>45688</v>
      </c>
      <c r="BO5" s="402">
        <f t="shared" si="5"/>
        <v>45716</v>
      </c>
      <c r="BP5" s="402">
        <f t="shared" si="5"/>
        <v>45747</v>
      </c>
      <c r="BQ5" s="402">
        <f t="shared" si="5"/>
        <v>45777</v>
      </c>
      <c r="BR5" s="402">
        <f t="shared" si="5"/>
        <v>45808</v>
      </c>
      <c r="BS5" s="402">
        <f t="shared" si="5"/>
        <v>45838</v>
      </c>
      <c r="BT5" s="402">
        <f t="shared" si="5"/>
        <v>45869</v>
      </c>
      <c r="BU5" s="402">
        <f t="shared" si="5"/>
        <v>45900</v>
      </c>
      <c r="BV5" s="402">
        <f t="shared" si="5"/>
        <v>45930</v>
      </c>
      <c r="BW5" s="402">
        <f t="shared" si="5"/>
        <v>45961</v>
      </c>
      <c r="BX5" s="402">
        <f t="shared" si="5"/>
        <v>45991</v>
      </c>
      <c r="BY5" s="402">
        <f t="shared" si="5"/>
        <v>46022</v>
      </c>
      <c r="BZ5" s="402">
        <f t="shared" si="5"/>
        <v>46053</v>
      </c>
      <c r="CA5" s="402">
        <f t="shared" si="5"/>
        <v>46081</v>
      </c>
      <c r="CB5" s="402">
        <f t="shared" si="5"/>
        <v>46112</v>
      </c>
      <c r="CC5" s="402">
        <f t="shared" si="5"/>
        <v>46142</v>
      </c>
      <c r="CD5" s="402">
        <f t="shared" si="5"/>
        <v>46173</v>
      </c>
      <c r="CE5" s="402">
        <f t="shared" si="5"/>
        <v>46203</v>
      </c>
      <c r="CF5" s="402">
        <f t="shared" si="5"/>
        <v>46234</v>
      </c>
      <c r="CG5" s="402">
        <f t="shared" si="5"/>
        <v>46265</v>
      </c>
      <c r="CH5" s="402">
        <f t="shared" si="5"/>
        <v>46295</v>
      </c>
      <c r="CI5" s="402">
        <f t="shared" si="5"/>
        <v>46326</v>
      </c>
      <c r="CJ5" s="402">
        <f t="shared" si="5"/>
        <v>46356</v>
      </c>
      <c r="CK5" s="402">
        <f t="shared" si="5"/>
        <v>46387</v>
      </c>
    </row>
    <row r="6" spans="1:89" s="493" customFormat="1" ht="15" hidden="1" outlineLevel="2">
      <c r="B6" s="497"/>
      <c r="C6" s="496"/>
      <c r="I6" s="495"/>
      <c r="J6" s="495"/>
      <c r="K6" s="494"/>
      <c r="Q6" s="853"/>
      <c r="R6" s="369">
        <f>YEAR(EOMONTH(R5,-Fiscal_Offset))</f>
        <v>2023</v>
      </c>
      <c r="S6" s="369">
        <f>YEAR(EOMONTH(S5,-Fiscal_Offset))</f>
        <v>2024</v>
      </c>
      <c r="T6" s="369">
        <f>YEAR(EOMONTH(T5,-Fiscal_Offset))</f>
        <v>2025</v>
      </c>
      <c r="U6" s="369">
        <f>YEAR(EOMONTH(U5,-Fiscal_Offset))</f>
        <v>2026</v>
      </c>
      <c r="V6" s="148"/>
      <c r="W6" s="853"/>
      <c r="X6" s="369">
        <f t="shared" ref="X6:AM6" si="6">YEAR(EOMONTH(X5,-Fiscal_Offset))</f>
        <v>2023</v>
      </c>
      <c r="Y6" s="369">
        <f t="shared" si="6"/>
        <v>2023</v>
      </c>
      <c r="Z6" s="369">
        <f t="shared" si="6"/>
        <v>2023</v>
      </c>
      <c r="AA6" s="369">
        <f t="shared" si="6"/>
        <v>2023</v>
      </c>
      <c r="AB6" s="369">
        <f t="shared" si="6"/>
        <v>2024</v>
      </c>
      <c r="AC6" s="369">
        <f t="shared" si="6"/>
        <v>2024</v>
      </c>
      <c r="AD6" s="369">
        <f t="shared" si="6"/>
        <v>2024</v>
      </c>
      <c r="AE6" s="369">
        <f t="shared" si="6"/>
        <v>2024</v>
      </c>
      <c r="AF6" s="369">
        <f t="shared" si="6"/>
        <v>2025</v>
      </c>
      <c r="AG6" s="369">
        <f t="shared" si="6"/>
        <v>2025</v>
      </c>
      <c r="AH6" s="369">
        <f t="shared" si="6"/>
        <v>2025</v>
      </c>
      <c r="AI6" s="369">
        <f t="shared" si="6"/>
        <v>2025</v>
      </c>
      <c r="AJ6" s="369">
        <f t="shared" si="6"/>
        <v>2026</v>
      </c>
      <c r="AK6" s="369">
        <f t="shared" si="6"/>
        <v>2026</v>
      </c>
      <c r="AL6" s="369">
        <f t="shared" si="6"/>
        <v>2026</v>
      </c>
      <c r="AM6" s="369">
        <f t="shared" si="6"/>
        <v>2026</v>
      </c>
      <c r="AN6" s="399"/>
      <c r="AO6" s="853"/>
      <c r="AP6" s="369">
        <f t="shared" ref="AP6:CK6" si="7">YEAR(EOMONTH(AP5,-Fiscal_Offset))</f>
        <v>2023</v>
      </c>
      <c r="AQ6" s="369">
        <f t="shared" si="7"/>
        <v>2023</v>
      </c>
      <c r="AR6" s="369">
        <f t="shared" si="7"/>
        <v>2023</v>
      </c>
      <c r="AS6" s="369">
        <f t="shared" si="7"/>
        <v>2023</v>
      </c>
      <c r="AT6" s="369">
        <f t="shared" si="7"/>
        <v>2023</v>
      </c>
      <c r="AU6" s="369">
        <f t="shared" si="7"/>
        <v>2023</v>
      </c>
      <c r="AV6" s="369">
        <f t="shared" si="7"/>
        <v>2023</v>
      </c>
      <c r="AW6" s="369">
        <f t="shared" si="7"/>
        <v>2023</v>
      </c>
      <c r="AX6" s="369">
        <f t="shared" si="7"/>
        <v>2023</v>
      </c>
      <c r="AY6" s="369">
        <f t="shared" si="7"/>
        <v>2023</v>
      </c>
      <c r="AZ6" s="369">
        <f t="shared" si="7"/>
        <v>2023</v>
      </c>
      <c r="BA6" s="369">
        <f t="shared" si="7"/>
        <v>2023</v>
      </c>
      <c r="BB6" s="369">
        <f t="shared" si="7"/>
        <v>2024</v>
      </c>
      <c r="BC6" s="369">
        <f t="shared" si="7"/>
        <v>2024</v>
      </c>
      <c r="BD6" s="369">
        <f t="shared" si="7"/>
        <v>2024</v>
      </c>
      <c r="BE6" s="369">
        <f t="shared" si="7"/>
        <v>2024</v>
      </c>
      <c r="BF6" s="369">
        <f t="shared" si="7"/>
        <v>2024</v>
      </c>
      <c r="BG6" s="369">
        <f t="shared" si="7"/>
        <v>2024</v>
      </c>
      <c r="BH6" s="369">
        <f t="shared" si="7"/>
        <v>2024</v>
      </c>
      <c r="BI6" s="369">
        <f t="shared" si="7"/>
        <v>2024</v>
      </c>
      <c r="BJ6" s="369">
        <f t="shared" si="7"/>
        <v>2024</v>
      </c>
      <c r="BK6" s="369">
        <f t="shared" si="7"/>
        <v>2024</v>
      </c>
      <c r="BL6" s="369">
        <f t="shared" si="7"/>
        <v>2024</v>
      </c>
      <c r="BM6" s="369">
        <f t="shared" si="7"/>
        <v>2024</v>
      </c>
      <c r="BN6" s="369">
        <f t="shared" si="7"/>
        <v>2025</v>
      </c>
      <c r="BO6" s="369">
        <f t="shared" si="7"/>
        <v>2025</v>
      </c>
      <c r="BP6" s="369">
        <f t="shared" si="7"/>
        <v>2025</v>
      </c>
      <c r="BQ6" s="369">
        <f t="shared" si="7"/>
        <v>2025</v>
      </c>
      <c r="BR6" s="369">
        <f t="shared" si="7"/>
        <v>2025</v>
      </c>
      <c r="BS6" s="369">
        <f t="shared" si="7"/>
        <v>2025</v>
      </c>
      <c r="BT6" s="369">
        <f t="shared" si="7"/>
        <v>2025</v>
      </c>
      <c r="BU6" s="369">
        <f t="shared" si="7"/>
        <v>2025</v>
      </c>
      <c r="BV6" s="369">
        <f t="shared" si="7"/>
        <v>2025</v>
      </c>
      <c r="BW6" s="369">
        <f t="shared" si="7"/>
        <v>2025</v>
      </c>
      <c r="BX6" s="369">
        <f t="shared" si="7"/>
        <v>2025</v>
      </c>
      <c r="BY6" s="369">
        <f t="shared" si="7"/>
        <v>2025</v>
      </c>
      <c r="BZ6" s="369">
        <f t="shared" si="7"/>
        <v>2026</v>
      </c>
      <c r="CA6" s="369">
        <f t="shared" si="7"/>
        <v>2026</v>
      </c>
      <c r="CB6" s="369">
        <f t="shared" si="7"/>
        <v>2026</v>
      </c>
      <c r="CC6" s="369">
        <f t="shared" si="7"/>
        <v>2026</v>
      </c>
      <c r="CD6" s="369">
        <f t="shared" si="7"/>
        <v>2026</v>
      </c>
      <c r="CE6" s="369">
        <f t="shared" si="7"/>
        <v>2026</v>
      </c>
      <c r="CF6" s="369">
        <f t="shared" si="7"/>
        <v>2026</v>
      </c>
      <c r="CG6" s="369">
        <f t="shared" si="7"/>
        <v>2026</v>
      </c>
      <c r="CH6" s="369">
        <f t="shared" si="7"/>
        <v>2026</v>
      </c>
      <c r="CI6" s="369">
        <f t="shared" si="7"/>
        <v>2026</v>
      </c>
      <c r="CJ6" s="369">
        <f t="shared" si="7"/>
        <v>2026</v>
      </c>
      <c r="CK6" s="369">
        <f t="shared" si="7"/>
        <v>2026</v>
      </c>
    </row>
    <row r="7" spans="1:89" s="493" customFormat="1" ht="15" hidden="1" outlineLevel="2">
      <c r="B7" s="497"/>
      <c r="C7" s="496"/>
      <c r="I7" s="495"/>
      <c r="J7" s="495"/>
      <c r="K7" s="494"/>
      <c r="Q7" s="853"/>
      <c r="R7" s="369" t="str">
        <f>"Q"&amp; ROUNDUP(MONTH(EOMONTH(R5,-Fiscal_Offset))/3,0)</f>
        <v>Q4</v>
      </c>
      <c r="S7" s="369" t="str">
        <f>"Q"&amp; ROUNDUP(MONTH(EOMONTH(S5,-Fiscal_Offset))/3,0)</f>
        <v>Q4</v>
      </c>
      <c r="T7" s="369" t="str">
        <f>"Q"&amp; ROUNDUP(MONTH(EOMONTH(T5,-Fiscal_Offset))/3,0)</f>
        <v>Q4</v>
      </c>
      <c r="U7" s="369" t="str">
        <f>"Q"&amp; ROUNDUP(MONTH(EOMONTH(U5,-Fiscal_Offset))/3,0)</f>
        <v>Q4</v>
      </c>
      <c r="V7" s="148"/>
      <c r="W7" s="853"/>
      <c r="X7" s="369" t="str">
        <f t="shared" ref="X7:AM7" si="8">"Q"&amp; ROUNDUP(MONTH(EOMONTH(X5,-Fiscal_Offset))/3,0)</f>
        <v>Q1</v>
      </c>
      <c r="Y7" s="369" t="str">
        <f t="shared" si="8"/>
        <v>Q2</v>
      </c>
      <c r="Z7" s="369" t="str">
        <f t="shared" si="8"/>
        <v>Q3</v>
      </c>
      <c r="AA7" s="369" t="str">
        <f t="shared" si="8"/>
        <v>Q4</v>
      </c>
      <c r="AB7" s="369" t="str">
        <f t="shared" si="8"/>
        <v>Q1</v>
      </c>
      <c r="AC7" s="369" t="str">
        <f t="shared" si="8"/>
        <v>Q2</v>
      </c>
      <c r="AD7" s="369" t="str">
        <f t="shared" si="8"/>
        <v>Q3</v>
      </c>
      <c r="AE7" s="369" t="str">
        <f t="shared" si="8"/>
        <v>Q4</v>
      </c>
      <c r="AF7" s="369" t="str">
        <f t="shared" si="8"/>
        <v>Q1</v>
      </c>
      <c r="AG7" s="369" t="str">
        <f t="shared" si="8"/>
        <v>Q2</v>
      </c>
      <c r="AH7" s="369" t="str">
        <f t="shared" si="8"/>
        <v>Q3</v>
      </c>
      <c r="AI7" s="369" t="str">
        <f t="shared" si="8"/>
        <v>Q4</v>
      </c>
      <c r="AJ7" s="369" t="str">
        <f t="shared" si="8"/>
        <v>Q1</v>
      </c>
      <c r="AK7" s="369" t="str">
        <f t="shared" si="8"/>
        <v>Q2</v>
      </c>
      <c r="AL7" s="369" t="str">
        <f t="shared" si="8"/>
        <v>Q3</v>
      </c>
      <c r="AM7" s="369" t="str">
        <f t="shared" si="8"/>
        <v>Q4</v>
      </c>
      <c r="AN7" s="399"/>
      <c r="AO7" s="853"/>
      <c r="AP7" s="369" t="str">
        <f t="shared" ref="AP7:CK7" si="9">"Q"&amp; ROUNDUP(MONTH(EOMONTH(AP5,-Fiscal_Offset))/3,0)</f>
        <v>Q1</v>
      </c>
      <c r="AQ7" s="369" t="str">
        <f t="shared" si="9"/>
        <v>Q1</v>
      </c>
      <c r="AR7" s="369" t="str">
        <f t="shared" si="9"/>
        <v>Q1</v>
      </c>
      <c r="AS7" s="369" t="str">
        <f t="shared" si="9"/>
        <v>Q2</v>
      </c>
      <c r="AT7" s="369" t="str">
        <f t="shared" si="9"/>
        <v>Q2</v>
      </c>
      <c r="AU7" s="369" t="str">
        <f t="shared" si="9"/>
        <v>Q2</v>
      </c>
      <c r="AV7" s="369" t="str">
        <f t="shared" si="9"/>
        <v>Q3</v>
      </c>
      <c r="AW7" s="369" t="str">
        <f t="shared" si="9"/>
        <v>Q3</v>
      </c>
      <c r="AX7" s="369" t="str">
        <f t="shared" si="9"/>
        <v>Q3</v>
      </c>
      <c r="AY7" s="369" t="str">
        <f t="shared" si="9"/>
        <v>Q4</v>
      </c>
      <c r="AZ7" s="369" t="str">
        <f t="shared" si="9"/>
        <v>Q4</v>
      </c>
      <c r="BA7" s="369" t="str">
        <f t="shared" si="9"/>
        <v>Q4</v>
      </c>
      <c r="BB7" s="369" t="str">
        <f t="shared" si="9"/>
        <v>Q1</v>
      </c>
      <c r="BC7" s="369" t="str">
        <f t="shared" si="9"/>
        <v>Q1</v>
      </c>
      <c r="BD7" s="369" t="str">
        <f t="shared" si="9"/>
        <v>Q1</v>
      </c>
      <c r="BE7" s="369" t="str">
        <f t="shared" si="9"/>
        <v>Q2</v>
      </c>
      <c r="BF7" s="369" t="str">
        <f t="shared" si="9"/>
        <v>Q2</v>
      </c>
      <c r="BG7" s="369" t="str">
        <f t="shared" si="9"/>
        <v>Q2</v>
      </c>
      <c r="BH7" s="369" t="str">
        <f t="shared" si="9"/>
        <v>Q3</v>
      </c>
      <c r="BI7" s="369" t="str">
        <f t="shared" si="9"/>
        <v>Q3</v>
      </c>
      <c r="BJ7" s="369" t="str">
        <f t="shared" si="9"/>
        <v>Q3</v>
      </c>
      <c r="BK7" s="369" t="str">
        <f t="shared" si="9"/>
        <v>Q4</v>
      </c>
      <c r="BL7" s="369" t="str">
        <f t="shared" si="9"/>
        <v>Q4</v>
      </c>
      <c r="BM7" s="369" t="str">
        <f t="shared" si="9"/>
        <v>Q4</v>
      </c>
      <c r="BN7" s="369" t="str">
        <f t="shared" si="9"/>
        <v>Q1</v>
      </c>
      <c r="BO7" s="369" t="str">
        <f t="shared" si="9"/>
        <v>Q1</v>
      </c>
      <c r="BP7" s="369" t="str">
        <f t="shared" si="9"/>
        <v>Q1</v>
      </c>
      <c r="BQ7" s="369" t="str">
        <f t="shared" si="9"/>
        <v>Q2</v>
      </c>
      <c r="BR7" s="369" t="str">
        <f t="shared" si="9"/>
        <v>Q2</v>
      </c>
      <c r="BS7" s="369" t="str">
        <f t="shared" si="9"/>
        <v>Q2</v>
      </c>
      <c r="BT7" s="369" t="str">
        <f t="shared" si="9"/>
        <v>Q3</v>
      </c>
      <c r="BU7" s="369" t="str">
        <f t="shared" si="9"/>
        <v>Q3</v>
      </c>
      <c r="BV7" s="369" t="str">
        <f t="shared" si="9"/>
        <v>Q3</v>
      </c>
      <c r="BW7" s="369" t="str">
        <f t="shared" si="9"/>
        <v>Q4</v>
      </c>
      <c r="BX7" s="369" t="str">
        <f t="shared" si="9"/>
        <v>Q4</v>
      </c>
      <c r="BY7" s="369" t="str">
        <f t="shared" si="9"/>
        <v>Q4</v>
      </c>
      <c r="BZ7" s="369" t="str">
        <f t="shared" si="9"/>
        <v>Q1</v>
      </c>
      <c r="CA7" s="369" t="str">
        <f t="shared" si="9"/>
        <v>Q1</v>
      </c>
      <c r="CB7" s="369" t="str">
        <f t="shared" si="9"/>
        <v>Q1</v>
      </c>
      <c r="CC7" s="369" t="str">
        <f t="shared" si="9"/>
        <v>Q2</v>
      </c>
      <c r="CD7" s="369" t="str">
        <f t="shared" si="9"/>
        <v>Q2</v>
      </c>
      <c r="CE7" s="369" t="str">
        <f t="shared" si="9"/>
        <v>Q2</v>
      </c>
      <c r="CF7" s="369" t="str">
        <f t="shared" si="9"/>
        <v>Q3</v>
      </c>
      <c r="CG7" s="369" t="str">
        <f t="shared" si="9"/>
        <v>Q3</v>
      </c>
      <c r="CH7" s="369" t="str">
        <f t="shared" si="9"/>
        <v>Q3</v>
      </c>
      <c r="CI7" s="369" t="str">
        <f t="shared" si="9"/>
        <v>Q4</v>
      </c>
      <c r="CJ7" s="369" t="str">
        <f t="shared" si="9"/>
        <v>Q4</v>
      </c>
      <c r="CK7" s="369" t="str">
        <f t="shared" si="9"/>
        <v>Q4</v>
      </c>
    </row>
    <row r="8" spans="1:89" s="51" customFormat="1" ht="30" customHeight="1">
      <c r="B8" s="387"/>
      <c r="C8" s="386"/>
      <c r="E8" s="492"/>
      <c r="P8" s="50"/>
      <c r="Q8" s="853"/>
      <c r="R8" s="398">
        <f>R6</f>
        <v>2023</v>
      </c>
      <c r="S8" s="398">
        <f>S6</f>
        <v>2024</v>
      </c>
      <c r="T8" s="398">
        <f>T6</f>
        <v>2025</v>
      </c>
      <c r="U8" s="398">
        <f>U6</f>
        <v>2026</v>
      </c>
      <c r="V8" s="172"/>
      <c r="W8" s="853"/>
      <c r="X8" s="397" t="str">
        <f t="shared" ref="X8:AM8" si="10">CONCATENATE(CONCATENATE(X$7," ",X$6))</f>
        <v>Q1 2023</v>
      </c>
      <c r="Y8" s="397" t="str">
        <f t="shared" si="10"/>
        <v>Q2 2023</v>
      </c>
      <c r="Z8" s="397" t="str">
        <f t="shared" si="10"/>
        <v>Q3 2023</v>
      </c>
      <c r="AA8" s="397" t="str">
        <f t="shared" si="10"/>
        <v>Q4 2023</v>
      </c>
      <c r="AB8" s="397" t="str">
        <f t="shared" si="10"/>
        <v>Q1 2024</v>
      </c>
      <c r="AC8" s="397" t="str">
        <f t="shared" si="10"/>
        <v>Q2 2024</v>
      </c>
      <c r="AD8" s="397" t="str">
        <f t="shared" si="10"/>
        <v>Q3 2024</v>
      </c>
      <c r="AE8" s="397" t="str">
        <f t="shared" si="10"/>
        <v>Q4 2024</v>
      </c>
      <c r="AF8" s="397" t="str">
        <f t="shared" si="10"/>
        <v>Q1 2025</v>
      </c>
      <c r="AG8" s="397" t="str">
        <f t="shared" si="10"/>
        <v>Q2 2025</v>
      </c>
      <c r="AH8" s="397" t="str">
        <f t="shared" si="10"/>
        <v>Q3 2025</v>
      </c>
      <c r="AI8" s="397" t="str">
        <f t="shared" si="10"/>
        <v>Q4 2025</v>
      </c>
      <c r="AJ8" s="397" t="str">
        <f t="shared" si="10"/>
        <v>Q1 2026</v>
      </c>
      <c r="AK8" s="397" t="str">
        <f t="shared" si="10"/>
        <v>Q2 2026</v>
      </c>
      <c r="AL8" s="397" t="str">
        <f t="shared" si="10"/>
        <v>Q3 2026</v>
      </c>
      <c r="AM8" s="397" t="str">
        <f t="shared" si="10"/>
        <v>Q4 2026</v>
      </c>
      <c r="AN8" s="396"/>
      <c r="AO8" s="853"/>
      <c r="AP8" s="395">
        <f t="shared" ref="AP8:CK8" si="11">AP5</f>
        <v>44957</v>
      </c>
      <c r="AQ8" s="395">
        <f t="shared" si="11"/>
        <v>44985</v>
      </c>
      <c r="AR8" s="395">
        <f t="shared" si="11"/>
        <v>45016</v>
      </c>
      <c r="AS8" s="395">
        <f t="shared" si="11"/>
        <v>45046</v>
      </c>
      <c r="AT8" s="395">
        <f t="shared" si="11"/>
        <v>45077</v>
      </c>
      <c r="AU8" s="395">
        <f t="shared" si="11"/>
        <v>45107</v>
      </c>
      <c r="AV8" s="395">
        <f t="shared" si="11"/>
        <v>45138</v>
      </c>
      <c r="AW8" s="395">
        <f t="shared" si="11"/>
        <v>45169</v>
      </c>
      <c r="AX8" s="395">
        <f t="shared" si="11"/>
        <v>45199</v>
      </c>
      <c r="AY8" s="395">
        <f t="shared" si="11"/>
        <v>45230</v>
      </c>
      <c r="AZ8" s="395">
        <f t="shared" si="11"/>
        <v>45260</v>
      </c>
      <c r="BA8" s="395">
        <f t="shared" si="11"/>
        <v>45291</v>
      </c>
      <c r="BB8" s="395">
        <f t="shared" si="11"/>
        <v>45322</v>
      </c>
      <c r="BC8" s="395">
        <f t="shared" si="11"/>
        <v>45351</v>
      </c>
      <c r="BD8" s="395">
        <f t="shared" si="11"/>
        <v>45382</v>
      </c>
      <c r="BE8" s="395">
        <f t="shared" si="11"/>
        <v>45412</v>
      </c>
      <c r="BF8" s="395">
        <f t="shared" si="11"/>
        <v>45443</v>
      </c>
      <c r="BG8" s="395">
        <f t="shared" si="11"/>
        <v>45473</v>
      </c>
      <c r="BH8" s="395">
        <f t="shared" si="11"/>
        <v>45504</v>
      </c>
      <c r="BI8" s="395">
        <f t="shared" si="11"/>
        <v>45535</v>
      </c>
      <c r="BJ8" s="395">
        <f t="shared" si="11"/>
        <v>45565</v>
      </c>
      <c r="BK8" s="395">
        <f t="shared" si="11"/>
        <v>45596</v>
      </c>
      <c r="BL8" s="395">
        <f t="shared" si="11"/>
        <v>45626</v>
      </c>
      <c r="BM8" s="395">
        <f t="shared" si="11"/>
        <v>45657</v>
      </c>
      <c r="BN8" s="395">
        <f t="shared" si="11"/>
        <v>45688</v>
      </c>
      <c r="BO8" s="395">
        <f t="shared" si="11"/>
        <v>45716</v>
      </c>
      <c r="BP8" s="395">
        <f t="shared" si="11"/>
        <v>45747</v>
      </c>
      <c r="BQ8" s="395">
        <f t="shared" si="11"/>
        <v>45777</v>
      </c>
      <c r="BR8" s="395">
        <f t="shared" si="11"/>
        <v>45808</v>
      </c>
      <c r="BS8" s="395">
        <f t="shared" si="11"/>
        <v>45838</v>
      </c>
      <c r="BT8" s="395">
        <f t="shared" si="11"/>
        <v>45869</v>
      </c>
      <c r="BU8" s="395">
        <f t="shared" si="11"/>
        <v>45900</v>
      </c>
      <c r="BV8" s="395">
        <f t="shared" si="11"/>
        <v>45930</v>
      </c>
      <c r="BW8" s="395">
        <f t="shared" si="11"/>
        <v>45961</v>
      </c>
      <c r="BX8" s="395">
        <f t="shared" si="11"/>
        <v>45991</v>
      </c>
      <c r="BY8" s="395">
        <f t="shared" si="11"/>
        <v>46022</v>
      </c>
      <c r="BZ8" s="395">
        <f t="shared" si="11"/>
        <v>46053</v>
      </c>
      <c r="CA8" s="395">
        <f t="shared" si="11"/>
        <v>46081</v>
      </c>
      <c r="CB8" s="395">
        <f t="shared" si="11"/>
        <v>46112</v>
      </c>
      <c r="CC8" s="395">
        <f t="shared" si="11"/>
        <v>46142</v>
      </c>
      <c r="CD8" s="395">
        <f t="shared" si="11"/>
        <v>46173</v>
      </c>
      <c r="CE8" s="395">
        <f t="shared" si="11"/>
        <v>46203</v>
      </c>
      <c r="CF8" s="395">
        <f t="shared" si="11"/>
        <v>46234</v>
      </c>
      <c r="CG8" s="395">
        <f t="shared" si="11"/>
        <v>46265</v>
      </c>
      <c r="CH8" s="395">
        <f t="shared" si="11"/>
        <v>46295</v>
      </c>
      <c r="CI8" s="395">
        <f t="shared" si="11"/>
        <v>46326</v>
      </c>
      <c r="CJ8" s="395">
        <f t="shared" si="11"/>
        <v>46356</v>
      </c>
      <c r="CK8" s="395">
        <f t="shared" si="11"/>
        <v>46387</v>
      </c>
    </row>
    <row r="9" spans="1:89" s="51" customFormat="1" ht="24">
      <c r="B9" s="476" t="s">
        <v>361</v>
      </c>
      <c r="C9" s="475"/>
      <c r="D9" s="475"/>
      <c r="E9" s="475"/>
      <c r="F9" s="475"/>
      <c r="G9" s="475"/>
      <c r="H9" s="475"/>
      <c r="I9" s="475"/>
      <c r="J9" s="475"/>
      <c r="K9" s="475"/>
      <c r="L9" s="475"/>
      <c r="M9" s="475"/>
      <c r="N9" s="475"/>
      <c r="O9" s="475"/>
      <c r="R9" s="475"/>
      <c r="S9" s="475"/>
      <c r="T9" s="475"/>
      <c r="U9" s="475"/>
      <c r="X9" s="475"/>
      <c r="Y9" s="475"/>
      <c r="Z9" s="475"/>
      <c r="AA9" s="475"/>
      <c r="AB9" s="475"/>
      <c r="AC9" s="475"/>
      <c r="AD9" s="475"/>
      <c r="AE9" s="475"/>
      <c r="AF9" s="475"/>
      <c r="AG9" s="475"/>
      <c r="AH9" s="475"/>
      <c r="AI9" s="475"/>
      <c r="AJ9" s="475"/>
      <c r="AK9" s="475"/>
      <c r="AL9" s="475"/>
      <c r="AM9" s="475"/>
      <c r="AP9" s="475"/>
      <c r="AQ9" s="475"/>
      <c r="AR9" s="475"/>
      <c r="AS9" s="475"/>
      <c r="AT9" s="475"/>
      <c r="AU9" s="475"/>
      <c r="AV9" s="475"/>
      <c r="AW9" s="475"/>
      <c r="AX9" s="475"/>
      <c r="AY9" s="475"/>
      <c r="AZ9" s="475"/>
      <c r="BA9" s="475"/>
      <c r="BB9" s="475"/>
      <c r="BC9" s="475"/>
      <c r="BD9" s="475"/>
      <c r="BE9" s="475"/>
      <c r="BF9" s="475"/>
      <c r="BG9" s="475"/>
      <c r="BH9" s="475"/>
      <c r="BI9" s="475"/>
      <c r="BJ9" s="475"/>
      <c r="BK9" s="475"/>
      <c r="BL9" s="475"/>
      <c r="BM9" s="475"/>
      <c r="BN9" s="475"/>
      <c r="BO9" s="475"/>
      <c r="BP9" s="475"/>
      <c r="BQ9" s="475"/>
      <c r="BR9" s="475"/>
      <c r="BS9" s="475"/>
      <c r="BT9" s="475"/>
      <c r="BU9" s="475"/>
      <c r="BV9" s="475"/>
      <c r="BW9" s="475"/>
      <c r="BX9" s="475"/>
      <c r="BY9" s="475"/>
      <c r="BZ9" s="475"/>
      <c r="CA9" s="475"/>
      <c r="CB9" s="475"/>
      <c r="CC9" s="475"/>
      <c r="CD9" s="475"/>
      <c r="CE9" s="475"/>
      <c r="CF9" s="475"/>
      <c r="CG9" s="475"/>
      <c r="CH9" s="475"/>
      <c r="CI9" s="475"/>
      <c r="CJ9" s="475"/>
      <c r="CK9" s="475"/>
    </row>
    <row r="10" spans="1:89" ht="30" outlineLevel="1">
      <c r="B10" s="491"/>
      <c r="C10" s="491"/>
      <c r="D10" s="490" t="s">
        <v>362</v>
      </c>
      <c r="E10" s="490" t="s">
        <v>363</v>
      </c>
      <c r="F10" s="490" t="s">
        <v>364</v>
      </c>
      <c r="G10" s="490" t="s">
        <v>165</v>
      </c>
      <c r="H10" s="490" t="s">
        <v>365</v>
      </c>
      <c r="I10" s="490" t="s">
        <v>72</v>
      </c>
      <c r="J10" s="490" t="s">
        <v>78</v>
      </c>
      <c r="K10" s="490" t="s">
        <v>366</v>
      </c>
      <c r="L10" s="490" t="s">
        <v>367</v>
      </c>
      <c r="M10" s="490" t="s">
        <v>368</v>
      </c>
      <c r="N10" s="490" t="s">
        <v>369</v>
      </c>
      <c r="O10" s="490" t="s">
        <v>32</v>
      </c>
      <c r="R10" s="489">
        <f>SUM(R11:R35)</f>
        <v>171666.66666666666</v>
      </c>
      <c r="S10" s="489">
        <f>SUM(S11:S35)</f>
        <v>461865.07936507941</v>
      </c>
      <c r="T10" s="489">
        <f>SUM(T11:T35)</f>
        <v>631488.09523809527</v>
      </c>
      <c r="U10" s="489">
        <f>SUM(U11:U35)</f>
        <v>1011136.3636363636</v>
      </c>
      <c r="X10" s="489">
        <f t="shared" ref="X10:AM10" si="12">SUM(X11:X35)</f>
        <v>80000</v>
      </c>
      <c r="Y10" s="489">
        <f t="shared" si="12"/>
        <v>31666.666666666668</v>
      </c>
      <c r="Z10" s="489">
        <f t="shared" si="12"/>
        <v>30000</v>
      </c>
      <c r="AA10" s="489">
        <f t="shared" si="12"/>
        <v>30000</v>
      </c>
      <c r="AB10" s="489">
        <f t="shared" si="12"/>
        <v>86865.079365079364</v>
      </c>
      <c r="AC10" s="489">
        <f t="shared" si="12"/>
        <v>125000</v>
      </c>
      <c r="AD10" s="489">
        <f t="shared" si="12"/>
        <v>125000</v>
      </c>
      <c r="AE10" s="489">
        <f t="shared" si="12"/>
        <v>125000</v>
      </c>
      <c r="AF10" s="489">
        <f t="shared" si="12"/>
        <v>125000</v>
      </c>
      <c r="AG10" s="489">
        <f t="shared" si="12"/>
        <v>141488.09523809524</v>
      </c>
      <c r="AH10" s="489">
        <f t="shared" si="12"/>
        <v>182500</v>
      </c>
      <c r="AI10" s="489">
        <f t="shared" si="12"/>
        <v>182500</v>
      </c>
      <c r="AJ10" s="489">
        <f t="shared" si="12"/>
        <v>182500</v>
      </c>
      <c r="AK10" s="489">
        <f t="shared" si="12"/>
        <v>248636.36363636365</v>
      </c>
      <c r="AL10" s="489">
        <f t="shared" si="12"/>
        <v>285000</v>
      </c>
      <c r="AM10" s="489">
        <f t="shared" si="12"/>
        <v>295000</v>
      </c>
      <c r="AP10" s="489">
        <f t="shared" ref="AP10:CK10" si="13">SUM(AP11:AP35)</f>
        <v>26666.666666666668</v>
      </c>
      <c r="AQ10" s="489">
        <f t="shared" si="13"/>
        <v>26666.666666666668</v>
      </c>
      <c r="AR10" s="489">
        <f t="shared" si="13"/>
        <v>26666.666666666668</v>
      </c>
      <c r="AS10" s="489">
        <f t="shared" si="13"/>
        <v>11666.666666666666</v>
      </c>
      <c r="AT10" s="489">
        <f t="shared" si="13"/>
        <v>10000</v>
      </c>
      <c r="AU10" s="489">
        <f t="shared" si="13"/>
        <v>10000</v>
      </c>
      <c r="AV10" s="489">
        <f t="shared" si="13"/>
        <v>10000</v>
      </c>
      <c r="AW10" s="489">
        <f t="shared" si="13"/>
        <v>10000</v>
      </c>
      <c r="AX10" s="489">
        <f t="shared" si="13"/>
        <v>10000</v>
      </c>
      <c r="AY10" s="489">
        <f t="shared" si="13"/>
        <v>10000</v>
      </c>
      <c r="AZ10" s="489">
        <f t="shared" si="13"/>
        <v>10000</v>
      </c>
      <c r="BA10" s="489">
        <f t="shared" si="13"/>
        <v>10000</v>
      </c>
      <c r="BB10" s="489">
        <f t="shared" si="13"/>
        <v>20000</v>
      </c>
      <c r="BC10" s="489">
        <f t="shared" si="13"/>
        <v>26984.126984126982</v>
      </c>
      <c r="BD10" s="489">
        <f t="shared" si="13"/>
        <v>39880.952380952382</v>
      </c>
      <c r="BE10" s="489">
        <f t="shared" si="13"/>
        <v>41666.666666666664</v>
      </c>
      <c r="BF10" s="489">
        <f t="shared" si="13"/>
        <v>41666.666666666664</v>
      </c>
      <c r="BG10" s="489">
        <f t="shared" si="13"/>
        <v>41666.666666666664</v>
      </c>
      <c r="BH10" s="489">
        <f t="shared" si="13"/>
        <v>41666.666666666664</v>
      </c>
      <c r="BI10" s="489">
        <f t="shared" si="13"/>
        <v>41666.666666666664</v>
      </c>
      <c r="BJ10" s="489">
        <f t="shared" si="13"/>
        <v>41666.666666666664</v>
      </c>
      <c r="BK10" s="489">
        <f t="shared" si="13"/>
        <v>41666.666666666664</v>
      </c>
      <c r="BL10" s="489">
        <f t="shared" si="13"/>
        <v>41666.666666666664</v>
      </c>
      <c r="BM10" s="489">
        <f t="shared" si="13"/>
        <v>41666.666666666664</v>
      </c>
      <c r="BN10" s="489">
        <f t="shared" si="13"/>
        <v>41666.666666666664</v>
      </c>
      <c r="BO10" s="489">
        <f t="shared" si="13"/>
        <v>41666.666666666664</v>
      </c>
      <c r="BP10" s="489">
        <f t="shared" si="13"/>
        <v>41666.666666666664</v>
      </c>
      <c r="BQ10" s="489">
        <f t="shared" si="13"/>
        <v>41666.666666666664</v>
      </c>
      <c r="BR10" s="489">
        <f t="shared" si="13"/>
        <v>43750</v>
      </c>
      <c r="BS10" s="489">
        <f t="shared" si="13"/>
        <v>56071.428571428565</v>
      </c>
      <c r="BT10" s="489">
        <f t="shared" si="13"/>
        <v>60833.333333333328</v>
      </c>
      <c r="BU10" s="489">
        <f t="shared" si="13"/>
        <v>60833.333333333328</v>
      </c>
      <c r="BV10" s="489">
        <f t="shared" si="13"/>
        <v>60833.333333333328</v>
      </c>
      <c r="BW10" s="489">
        <f t="shared" si="13"/>
        <v>60833.333333333328</v>
      </c>
      <c r="BX10" s="489">
        <f t="shared" si="13"/>
        <v>60833.333333333328</v>
      </c>
      <c r="BY10" s="489">
        <f t="shared" si="13"/>
        <v>60833.333333333328</v>
      </c>
      <c r="BZ10" s="489">
        <f t="shared" si="13"/>
        <v>60833.333333333328</v>
      </c>
      <c r="CA10" s="489">
        <f t="shared" si="13"/>
        <v>60833.333333333328</v>
      </c>
      <c r="CB10" s="489">
        <f t="shared" si="13"/>
        <v>60833.333333333328</v>
      </c>
      <c r="CC10" s="489">
        <f t="shared" si="13"/>
        <v>81666.666666666657</v>
      </c>
      <c r="CD10" s="489">
        <f t="shared" si="13"/>
        <v>81666.666666666657</v>
      </c>
      <c r="CE10" s="489">
        <f t="shared" si="13"/>
        <v>85303.030303030289</v>
      </c>
      <c r="CF10" s="489">
        <f t="shared" si="13"/>
        <v>88333.333333333328</v>
      </c>
      <c r="CG10" s="489">
        <f t="shared" si="13"/>
        <v>98333.333333333328</v>
      </c>
      <c r="CH10" s="489">
        <f t="shared" si="13"/>
        <v>98333.333333333328</v>
      </c>
      <c r="CI10" s="489">
        <f t="shared" si="13"/>
        <v>98333.333333333328</v>
      </c>
      <c r="CJ10" s="489">
        <f t="shared" si="13"/>
        <v>98333.333333333328</v>
      </c>
      <c r="CK10" s="489">
        <f t="shared" si="13"/>
        <v>98333.333333333328</v>
      </c>
    </row>
    <row r="11" spans="1:89" ht="21" customHeight="1" outlineLevel="1">
      <c r="B11" s="367"/>
      <c r="C11" s="370"/>
      <c r="D11" s="421" t="s">
        <v>370</v>
      </c>
      <c r="E11" s="421" t="s">
        <v>371</v>
      </c>
      <c r="F11" s="486" t="s">
        <v>372</v>
      </c>
      <c r="G11" s="486" t="s">
        <v>178</v>
      </c>
      <c r="H11" s="486" t="s">
        <v>373</v>
      </c>
      <c r="I11" s="484">
        <v>44535</v>
      </c>
      <c r="J11" s="484"/>
      <c r="K11" s="438">
        <v>120000</v>
      </c>
      <c r="L11" s="485">
        <v>240000</v>
      </c>
      <c r="M11" s="484">
        <v>45292</v>
      </c>
      <c r="N11" s="438">
        <v>5000</v>
      </c>
      <c r="O11" s="484" t="s">
        <v>374</v>
      </c>
      <c r="R11" s="372">
        <f t="shared" ref="R11:U35" si="14">SUMIFS($AP11:$CK11,$AP$4:$CK$4,"&gt;="&amp;R$4,$AP$5:$CK$5,"&lt;="&amp;R$5)</f>
        <v>120000</v>
      </c>
      <c r="S11" s="372">
        <f t="shared" si="14"/>
        <v>240000</v>
      </c>
      <c r="T11" s="372">
        <f t="shared" si="14"/>
        <v>240000</v>
      </c>
      <c r="U11" s="372">
        <f t="shared" si="14"/>
        <v>240000</v>
      </c>
      <c r="X11" s="372">
        <f t="shared" ref="X11:AM20" si="15">SUMIFS($AP11:$CK11,$AP$4:$CK$4,"&gt;="&amp;X$4,$AP$5:$CK$5,"&lt;="&amp;X$5)</f>
        <v>30000</v>
      </c>
      <c r="Y11" s="372">
        <f t="shared" si="15"/>
        <v>30000</v>
      </c>
      <c r="Z11" s="372">
        <f t="shared" si="15"/>
        <v>30000</v>
      </c>
      <c r="AA11" s="372">
        <f t="shared" si="15"/>
        <v>30000</v>
      </c>
      <c r="AB11" s="372">
        <f t="shared" si="15"/>
        <v>60000</v>
      </c>
      <c r="AC11" s="372">
        <f t="shared" si="15"/>
        <v>60000</v>
      </c>
      <c r="AD11" s="372">
        <f t="shared" si="15"/>
        <v>60000</v>
      </c>
      <c r="AE11" s="372">
        <f t="shared" si="15"/>
        <v>60000</v>
      </c>
      <c r="AF11" s="372">
        <f t="shared" si="15"/>
        <v>60000</v>
      </c>
      <c r="AG11" s="372">
        <f t="shared" si="15"/>
        <v>60000</v>
      </c>
      <c r="AH11" s="372">
        <f t="shared" si="15"/>
        <v>60000</v>
      </c>
      <c r="AI11" s="372">
        <f t="shared" si="15"/>
        <v>60000</v>
      </c>
      <c r="AJ11" s="372">
        <f t="shared" si="15"/>
        <v>60000</v>
      </c>
      <c r="AK11" s="372">
        <f t="shared" si="15"/>
        <v>60000</v>
      </c>
      <c r="AL11" s="372">
        <f t="shared" si="15"/>
        <v>60000</v>
      </c>
      <c r="AM11" s="372">
        <f t="shared" si="15"/>
        <v>60000</v>
      </c>
      <c r="AP11" s="372">
        <f t="shared" ref="AP11:AY20" si="16">_xlfn.LET(
_xlpm.hireDate,$I11,
_xlpm.terminationDate,$J11,
_xlpm.initialSalary,$K11,
_xlpm.updatedSalary,$L11,
_xlpm.updatedSalaryDate,$M11,
_xlpm.periodStartDate,AP$4,
_xlpm.periodEndDate,AP$8,
_xlpm.hireNotYetStarted,$I11&gt;_xlpm.periodEndDate,
_xlpm.hireAlreadyTerminated,AND(NOT(ISBLANK(_xlpm.terminationDate)),_xlpm.terminationDate&lt;_xlpm.periodStartDate),
_xlpm.hireStartedMiddleOfPeriod, AND(_xlpm.hireDate&gt;=_xlpm.periodStartDate,_xlpm.hireDate&lt;=_xlpm.periodEndDate),
_xlpm.hireTerminatedMiddleOfPeriod,AND(_xlpm.terminationDate&gt;=_xlpm.periodStartDate,_xlpm.terminationDate&lt;=_xlpm.periodEndDate),
_xlpm.daysAvailable,NETWORKDAYS(_xlpm.periodStartDate,_xlpm.periodEndDate),
_xlpm.daysWorked,
  IF(OR(_xlpm.hireNotYetStarted,_xlpm.hireAlreadyTerminated),0,
  NETWORKDAYS(IF(_xlpm.hireStartedMiddleOfPeriod,_xlpm.hireDate,_xlpm.periodStartDate),IF(_xlpm.hireTerminatedMiddleOfPeriod,_xlpm.terminationDate,_xlpm.periodEndDate))),
_xlpm.daysUtilized, _xlpm.daysWorked/_xlpm.daysAvailable,
_xlpm.currentSalary,IF(AND(NOT(ISBLANK(_xlpm.updatedSalaryDate)),_xlpm.updatedSalaryDate&lt;=_xlpm.periodEndDate),_xlpm.updatedSalary,_xlpm.initialSalary),
_xlpm.grossPay,_xlpm.daysUtilized*_xlpm.currentSalary/12,
_xlpm.grossPay)</f>
        <v>10000</v>
      </c>
      <c r="AQ11" s="372">
        <f t="shared" si="16"/>
        <v>10000</v>
      </c>
      <c r="AR11" s="372">
        <f t="shared" si="16"/>
        <v>10000</v>
      </c>
      <c r="AS11" s="372">
        <f t="shared" si="16"/>
        <v>10000</v>
      </c>
      <c r="AT11" s="372">
        <f t="shared" si="16"/>
        <v>10000</v>
      </c>
      <c r="AU11" s="372">
        <f t="shared" si="16"/>
        <v>10000</v>
      </c>
      <c r="AV11" s="372">
        <f t="shared" si="16"/>
        <v>10000</v>
      </c>
      <c r="AW11" s="372">
        <f t="shared" si="16"/>
        <v>10000</v>
      </c>
      <c r="AX11" s="372">
        <f t="shared" si="16"/>
        <v>10000</v>
      </c>
      <c r="AY11" s="372">
        <f t="shared" si="16"/>
        <v>10000</v>
      </c>
      <c r="AZ11" s="372">
        <f t="shared" ref="AZ11:BI20" si="17">_xlfn.LET(
_xlpm.hireDate,$I11,
_xlpm.terminationDate,$J11,
_xlpm.initialSalary,$K11,
_xlpm.updatedSalary,$L11,
_xlpm.updatedSalaryDate,$M11,
_xlpm.periodStartDate,AZ$4,
_xlpm.periodEndDate,AZ$8,
_xlpm.hireNotYetStarted,$I11&gt;_xlpm.periodEndDate,
_xlpm.hireAlreadyTerminated,AND(NOT(ISBLANK(_xlpm.terminationDate)),_xlpm.terminationDate&lt;_xlpm.periodStartDate),
_xlpm.hireStartedMiddleOfPeriod, AND(_xlpm.hireDate&gt;=_xlpm.periodStartDate,_xlpm.hireDate&lt;=_xlpm.periodEndDate),
_xlpm.hireTerminatedMiddleOfPeriod,AND(_xlpm.terminationDate&gt;=_xlpm.periodStartDate,_xlpm.terminationDate&lt;=_xlpm.periodEndDate),
_xlpm.daysAvailable,NETWORKDAYS(_xlpm.periodStartDate,_xlpm.periodEndDate),
_xlpm.daysWorked,
  IF(OR(_xlpm.hireNotYetStarted,_xlpm.hireAlreadyTerminated),0,
  NETWORKDAYS(IF(_xlpm.hireStartedMiddleOfPeriod,_xlpm.hireDate,_xlpm.periodStartDate),IF(_xlpm.hireTerminatedMiddleOfPeriod,_xlpm.terminationDate,_xlpm.periodEndDate))),
_xlpm.daysUtilized, _xlpm.daysWorked/_xlpm.daysAvailable,
_xlpm.currentSalary,IF(AND(NOT(ISBLANK(_xlpm.updatedSalaryDate)),_xlpm.updatedSalaryDate&lt;=_xlpm.periodEndDate),_xlpm.updatedSalary,_xlpm.initialSalary),
_xlpm.grossPay,_xlpm.daysUtilized*_xlpm.currentSalary/12,
_xlpm.grossPay)</f>
        <v>10000</v>
      </c>
      <c r="BA11" s="372">
        <f t="shared" si="17"/>
        <v>10000</v>
      </c>
      <c r="BB11" s="372">
        <f t="shared" si="17"/>
        <v>20000</v>
      </c>
      <c r="BC11" s="372">
        <f t="shared" si="17"/>
        <v>20000</v>
      </c>
      <c r="BD11" s="372">
        <f t="shared" si="17"/>
        <v>20000</v>
      </c>
      <c r="BE11" s="372">
        <f t="shared" si="17"/>
        <v>20000</v>
      </c>
      <c r="BF11" s="372">
        <f t="shared" si="17"/>
        <v>20000</v>
      </c>
      <c r="BG11" s="372">
        <f t="shared" si="17"/>
        <v>20000</v>
      </c>
      <c r="BH11" s="372">
        <f t="shared" si="17"/>
        <v>20000</v>
      </c>
      <c r="BI11" s="372">
        <f t="shared" si="17"/>
        <v>20000</v>
      </c>
      <c r="BJ11" s="372">
        <f t="shared" ref="BJ11:BS20" si="18">_xlfn.LET(
_xlpm.hireDate,$I11,
_xlpm.terminationDate,$J11,
_xlpm.initialSalary,$K11,
_xlpm.updatedSalary,$L11,
_xlpm.updatedSalaryDate,$M11,
_xlpm.periodStartDate,BJ$4,
_xlpm.periodEndDate,BJ$8,
_xlpm.hireNotYetStarted,$I11&gt;_xlpm.periodEndDate,
_xlpm.hireAlreadyTerminated,AND(NOT(ISBLANK(_xlpm.terminationDate)),_xlpm.terminationDate&lt;_xlpm.periodStartDate),
_xlpm.hireStartedMiddleOfPeriod, AND(_xlpm.hireDate&gt;=_xlpm.periodStartDate,_xlpm.hireDate&lt;=_xlpm.periodEndDate),
_xlpm.hireTerminatedMiddleOfPeriod,AND(_xlpm.terminationDate&gt;=_xlpm.periodStartDate,_xlpm.terminationDate&lt;=_xlpm.periodEndDate),
_xlpm.daysAvailable,NETWORKDAYS(_xlpm.periodStartDate,_xlpm.periodEndDate),
_xlpm.daysWorked,
  IF(OR(_xlpm.hireNotYetStarted,_xlpm.hireAlreadyTerminated),0,
  NETWORKDAYS(IF(_xlpm.hireStartedMiddleOfPeriod,_xlpm.hireDate,_xlpm.periodStartDate),IF(_xlpm.hireTerminatedMiddleOfPeriod,_xlpm.terminationDate,_xlpm.periodEndDate))),
_xlpm.daysUtilized, _xlpm.daysWorked/_xlpm.daysAvailable,
_xlpm.currentSalary,IF(AND(NOT(ISBLANK(_xlpm.updatedSalaryDate)),_xlpm.updatedSalaryDate&lt;=_xlpm.periodEndDate),_xlpm.updatedSalary,_xlpm.initialSalary),
_xlpm.grossPay,_xlpm.daysUtilized*_xlpm.currentSalary/12,
_xlpm.grossPay)</f>
        <v>20000</v>
      </c>
      <c r="BK11" s="372">
        <f t="shared" si="18"/>
        <v>20000</v>
      </c>
      <c r="BL11" s="372">
        <f t="shared" si="18"/>
        <v>20000</v>
      </c>
      <c r="BM11" s="372">
        <f t="shared" si="18"/>
        <v>20000</v>
      </c>
      <c r="BN11" s="372">
        <f t="shared" si="18"/>
        <v>20000</v>
      </c>
      <c r="BO11" s="372">
        <f t="shared" si="18"/>
        <v>20000</v>
      </c>
      <c r="BP11" s="372">
        <f t="shared" si="18"/>
        <v>20000</v>
      </c>
      <c r="BQ11" s="372">
        <f t="shared" si="18"/>
        <v>20000</v>
      </c>
      <c r="BR11" s="372">
        <f t="shared" si="18"/>
        <v>20000</v>
      </c>
      <c r="BS11" s="372">
        <f t="shared" si="18"/>
        <v>20000</v>
      </c>
      <c r="BT11" s="372">
        <f t="shared" ref="BT11:CC20" si="19">_xlfn.LET(
_xlpm.hireDate,$I11,
_xlpm.terminationDate,$J11,
_xlpm.initialSalary,$K11,
_xlpm.updatedSalary,$L11,
_xlpm.updatedSalaryDate,$M11,
_xlpm.periodStartDate,BT$4,
_xlpm.periodEndDate,BT$8,
_xlpm.hireNotYetStarted,$I11&gt;_xlpm.periodEndDate,
_xlpm.hireAlreadyTerminated,AND(NOT(ISBLANK(_xlpm.terminationDate)),_xlpm.terminationDate&lt;_xlpm.periodStartDate),
_xlpm.hireStartedMiddleOfPeriod, AND(_xlpm.hireDate&gt;=_xlpm.periodStartDate,_xlpm.hireDate&lt;=_xlpm.periodEndDate),
_xlpm.hireTerminatedMiddleOfPeriod,AND(_xlpm.terminationDate&gt;=_xlpm.periodStartDate,_xlpm.terminationDate&lt;=_xlpm.periodEndDate),
_xlpm.daysAvailable,NETWORKDAYS(_xlpm.periodStartDate,_xlpm.periodEndDate),
_xlpm.daysWorked,
  IF(OR(_xlpm.hireNotYetStarted,_xlpm.hireAlreadyTerminated),0,
  NETWORKDAYS(IF(_xlpm.hireStartedMiddleOfPeriod,_xlpm.hireDate,_xlpm.periodStartDate),IF(_xlpm.hireTerminatedMiddleOfPeriod,_xlpm.terminationDate,_xlpm.periodEndDate))),
_xlpm.daysUtilized, _xlpm.daysWorked/_xlpm.daysAvailable,
_xlpm.currentSalary,IF(AND(NOT(ISBLANK(_xlpm.updatedSalaryDate)),_xlpm.updatedSalaryDate&lt;=_xlpm.periodEndDate),_xlpm.updatedSalary,_xlpm.initialSalary),
_xlpm.grossPay,_xlpm.daysUtilized*_xlpm.currentSalary/12,
_xlpm.grossPay)</f>
        <v>20000</v>
      </c>
      <c r="BU11" s="372">
        <f t="shared" si="19"/>
        <v>20000</v>
      </c>
      <c r="BV11" s="372">
        <f t="shared" si="19"/>
        <v>20000</v>
      </c>
      <c r="BW11" s="372">
        <f t="shared" si="19"/>
        <v>20000</v>
      </c>
      <c r="BX11" s="372">
        <f t="shared" si="19"/>
        <v>20000</v>
      </c>
      <c r="BY11" s="372">
        <f t="shared" si="19"/>
        <v>20000</v>
      </c>
      <c r="BZ11" s="372">
        <f t="shared" si="19"/>
        <v>20000</v>
      </c>
      <c r="CA11" s="372">
        <f t="shared" si="19"/>
        <v>20000</v>
      </c>
      <c r="CB11" s="372">
        <f t="shared" si="19"/>
        <v>20000</v>
      </c>
      <c r="CC11" s="372">
        <f t="shared" si="19"/>
        <v>20000</v>
      </c>
      <c r="CD11" s="372">
        <f t="shared" ref="CD11:CK20" si="20">_xlfn.LET(
_xlpm.hireDate,$I11,
_xlpm.terminationDate,$J11,
_xlpm.initialSalary,$K11,
_xlpm.updatedSalary,$L11,
_xlpm.updatedSalaryDate,$M11,
_xlpm.periodStartDate,CD$4,
_xlpm.periodEndDate,CD$8,
_xlpm.hireNotYetStarted,$I11&gt;_xlpm.periodEndDate,
_xlpm.hireAlreadyTerminated,AND(NOT(ISBLANK(_xlpm.terminationDate)),_xlpm.terminationDate&lt;_xlpm.periodStartDate),
_xlpm.hireStartedMiddleOfPeriod, AND(_xlpm.hireDate&gt;=_xlpm.periodStartDate,_xlpm.hireDate&lt;=_xlpm.periodEndDate),
_xlpm.hireTerminatedMiddleOfPeriod,AND(_xlpm.terminationDate&gt;=_xlpm.periodStartDate,_xlpm.terminationDate&lt;=_xlpm.periodEndDate),
_xlpm.daysAvailable,NETWORKDAYS(_xlpm.periodStartDate,_xlpm.periodEndDate),
_xlpm.daysWorked,
  IF(OR(_xlpm.hireNotYetStarted,_xlpm.hireAlreadyTerminated),0,
  NETWORKDAYS(IF(_xlpm.hireStartedMiddleOfPeriod,_xlpm.hireDate,_xlpm.periodStartDate),IF(_xlpm.hireTerminatedMiddleOfPeriod,_xlpm.terminationDate,_xlpm.periodEndDate))),
_xlpm.daysUtilized, _xlpm.daysWorked/_xlpm.daysAvailable,
_xlpm.currentSalary,IF(AND(NOT(ISBLANK(_xlpm.updatedSalaryDate)),_xlpm.updatedSalaryDate&lt;=_xlpm.periodEndDate),_xlpm.updatedSalary,_xlpm.initialSalary),
_xlpm.grossPay,_xlpm.daysUtilized*_xlpm.currentSalary/12,
_xlpm.grossPay)</f>
        <v>20000</v>
      </c>
      <c r="CE11" s="372">
        <f t="shared" si="20"/>
        <v>20000</v>
      </c>
      <c r="CF11" s="372">
        <f t="shared" si="20"/>
        <v>20000</v>
      </c>
      <c r="CG11" s="372">
        <f t="shared" si="20"/>
        <v>20000</v>
      </c>
      <c r="CH11" s="372">
        <f t="shared" si="20"/>
        <v>20000</v>
      </c>
      <c r="CI11" s="372">
        <f t="shared" si="20"/>
        <v>20000</v>
      </c>
      <c r="CJ11" s="372">
        <f t="shared" si="20"/>
        <v>20000</v>
      </c>
      <c r="CK11" s="372">
        <f t="shared" si="20"/>
        <v>20000</v>
      </c>
    </row>
    <row r="12" spans="1:89" ht="21" customHeight="1" outlineLevel="1">
      <c r="B12" s="367"/>
      <c r="C12" s="370"/>
      <c r="D12" s="421" t="s">
        <v>375</v>
      </c>
      <c r="E12" s="421" t="s">
        <v>376</v>
      </c>
      <c r="F12" s="486" t="s">
        <v>377</v>
      </c>
      <c r="G12" s="486" t="s">
        <v>184</v>
      </c>
      <c r="H12" s="486" t="s">
        <v>378</v>
      </c>
      <c r="I12" s="484">
        <v>44592</v>
      </c>
      <c r="J12" s="484">
        <v>45020</v>
      </c>
      <c r="K12" s="438">
        <v>200000</v>
      </c>
      <c r="L12" s="485"/>
      <c r="M12" s="484"/>
      <c r="N12" s="484"/>
      <c r="O12" s="484" t="s">
        <v>379</v>
      </c>
      <c r="R12" s="372">
        <f t="shared" si="14"/>
        <v>51666.666666666664</v>
      </c>
      <c r="S12" s="372">
        <f t="shared" si="14"/>
        <v>0</v>
      </c>
      <c r="T12" s="372">
        <f t="shared" si="14"/>
        <v>0</v>
      </c>
      <c r="U12" s="372">
        <f t="shared" si="14"/>
        <v>0</v>
      </c>
      <c r="X12" s="372">
        <f t="shared" si="15"/>
        <v>50000</v>
      </c>
      <c r="Y12" s="372">
        <f t="shared" si="15"/>
        <v>1666.6666666666667</v>
      </c>
      <c r="Z12" s="372">
        <f t="shared" si="15"/>
        <v>0</v>
      </c>
      <c r="AA12" s="372">
        <f t="shared" si="15"/>
        <v>0</v>
      </c>
      <c r="AB12" s="372">
        <f t="shared" si="15"/>
        <v>0</v>
      </c>
      <c r="AC12" s="372">
        <f t="shared" si="15"/>
        <v>0</v>
      </c>
      <c r="AD12" s="372">
        <f t="shared" si="15"/>
        <v>0</v>
      </c>
      <c r="AE12" s="372">
        <f t="shared" si="15"/>
        <v>0</v>
      </c>
      <c r="AF12" s="372">
        <f t="shared" si="15"/>
        <v>0</v>
      </c>
      <c r="AG12" s="372">
        <f t="shared" si="15"/>
        <v>0</v>
      </c>
      <c r="AH12" s="372">
        <f t="shared" si="15"/>
        <v>0</v>
      </c>
      <c r="AI12" s="372">
        <f t="shared" si="15"/>
        <v>0</v>
      </c>
      <c r="AJ12" s="372">
        <f t="shared" si="15"/>
        <v>0</v>
      </c>
      <c r="AK12" s="372">
        <f t="shared" si="15"/>
        <v>0</v>
      </c>
      <c r="AL12" s="372">
        <f t="shared" si="15"/>
        <v>0</v>
      </c>
      <c r="AM12" s="372">
        <f t="shared" si="15"/>
        <v>0</v>
      </c>
      <c r="AP12" s="372">
        <f t="shared" si="16"/>
        <v>16666.666666666668</v>
      </c>
      <c r="AQ12" s="372">
        <f t="shared" si="16"/>
        <v>16666.666666666668</v>
      </c>
      <c r="AR12" s="372">
        <f t="shared" si="16"/>
        <v>16666.666666666668</v>
      </c>
      <c r="AS12" s="372">
        <f t="shared" si="16"/>
        <v>1666.6666666666667</v>
      </c>
      <c r="AT12" s="372">
        <f t="shared" si="16"/>
        <v>0</v>
      </c>
      <c r="AU12" s="372">
        <f t="shared" si="16"/>
        <v>0</v>
      </c>
      <c r="AV12" s="372">
        <f t="shared" si="16"/>
        <v>0</v>
      </c>
      <c r="AW12" s="372">
        <f t="shared" si="16"/>
        <v>0</v>
      </c>
      <c r="AX12" s="372">
        <f t="shared" si="16"/>
        <v>0</v>
      </c>
      <c r="AY12" s="372">
        <f t="shared" si="16"/>
        <v>0</v>
      </c>
      <c r="AZ12" s="372">
        <f t="shared" si="17"/>
        <v>0</v>
      </c>
      <c r="BA12" s="372">
        <f t="shared" si="17"/>
        <v>0</v>
      </c>
      <c r="BB12" s="372">
        <f t="shared" si="17"/>
        <v>0</v>
      </c>
      <c r="BC12" s="372">
        <f t="shared" si="17"/>
        <v>0</v>
      </c>
      <c r="BD12" s="372">
        <f t="shared" si="17"/>
        <v>0</v>
      </c>
      <c r="BE12" s="372">
        <f t="shared" si="17"/>
        <v>0</v>
      </c>
      <c r="BF12" s="372">
        <f t="shared" si="17"/>
        <v>0</v>
      </c>
      <c r="BG12" s="372">
        <f t="shared" si="17"/>
        <v>0</v>
      </c>
      <c r="BH12" s="372">
        <f t="shared" si="17"/>
        <v>0</v>
      </c>
      <c r="BI12" s="372">
        <f t="shared" si="17"/>
        <v>0</v>
      </c>
      <c r="BJ12" s="372">
        <f t="shared" si="18"/>
        <v>0</v>
      </c>
      <c r="BK12" s="372">
        <f t="shared" si="18"/>
        <v>0</v>
      </c>
      <c r="BL12" s="372">
        <f t="shared" si="18"/>
        <v>0</v>
      </c>
      <c r="BM12" s="372">
        <f t="shared" si="18"/>
        <v>0</v>
      </c>
      <c r="BN12" s="372">
        <f t="shared" si="18"/>
        <v>0</v>
      </c>
      <c r="BO12" s="372">
        <f t="shared" si="18"/>
        <v>0</v>
      </c>
      <c r="BP12" s="372">
        <f t="shared" si="18"/>
        <v>0</v>
      </c>
      <c r="BQ12" s="372">
        <f t="shared" si="18"/>
        <v>0</v>
      </c>
      <c r="BR12" s="372">
        <f t="shared" si="18"/>
        <v>0</v>
      </c>
      <c r="BS12" s="372">
        <f t="shared" si="18"/>
        <v>0</v>
      </c>
      <c r="BT12" s="372">
        <f t="shared" si="19"/>
        <v>0</v>
      </c>
      <c r="BU12" s="372">
        <f t="shared" si="19"/>
        <v>0</v>
      </c>
      <c r="BV12" s="372">
        <f t="shared" si="19"/>
        <v>0</v>
      </c>
      <c r="BW12" s="372">
        <f t="shared" si="19"/>
        <v>0</v>
      </c>
      <c r="BX12" s="372">
        <f t="shared" si="19"/>
        <v>0</v>
      </c>
      <c r="BY12" s="372">
        <f t="shared" si="19"/>
        <v>0</v>
      </c>
      <c r="BZ12" s="372">
        <f t="shared" si="19"/>
        <v>0</v>
      </c>
      <c r="CA12" s="372">
        <f t="shared" si="19"/>
        <v>0</v>
      </c>
      <c r="CB12" s="372">
        <f t="shared" si="19"/>
        <v>0</v>
      </c>
      <c r="CC12" s="372">
        <f t="shared" si="19"/>
        <v>0</v>
      </c>
      <c r="CD12" s="372">
        <f t="shared" si="20"/>
        <v>0</v>
      </c>
      <c r="CE12" s="372">
        <f t="shared" si="20"/>
        <v>0</v>
      </c>
      <c r="CF12" s="372">
        <f t="shared" si="20"/>
        <v>0</v>
      </c>
      <c r="CG12" s="372">
        <f t="shared" si="20"/>
        <v>0</v>
      </c>
      <c r="CH12" s="372">
        <f t="shared" si="20"/>
        <v>0</v>
      </c>
      <c r="CI12" s="372">
        <f t="shared" si="20"/>
        <v>0</v>
      </c>
      <c r="CJ12" s="372">
        <f t="shared" si="20"/>
        <v>0</v>
      </c>
      <c r="CK12" s="372">
        <f t="shared" si="20"/>
        <v>0</v>
      </c>
    </row>
    <row r="13" spans="1:89" ht="21" customHeight="1" outlineLevel="1">
      <c r="B13" s="367"/>
      <c r="C13" s="370"/>
      <c r="D13" s="421" t="s">
        <v>380</v>
      </c>
      <c r="E13" s="421" t="s">
        <v>381</v>
      </c>
      <c r="F13" s="486" t="s">
        <v>382</v>
      </c>
      <c r="G13" s="486" t="s">
        <v>180</v>
      </c>
      <c r="H13" s="486" t="s">
        <v>378</v>
      </c>
      <c r="I13" s="484">
        <v>45330</v>
      </c>
      <c r="J13" s="484"/>
      <c r="K13" s="438">
        <v>110000</v>
      </c>
      <c r="L13" s="485"/>
      <c r="M13" s="484"/>
      <c r="N13" s="484"/>
      <c r="O13" s="484" t="s">
        <v>379</v>
      </c>
      <c r="R13" s="372">
        <f t="shared" si="14"/>
        <v>0</v>
      </c>
      <c r="S13" s="372">
        <f t="shared" si="14"/>
        <v>98650.793650793654</v>
      </c>
      <c r="T13" s="372">
        <f t="shared" si="14"/>
        <v>110000.00000000001</v>
      </c>
      <c r="U13" s="372">
        <f t="shared" si="14"/>
        <v>110000.00000000001</v>
      </c>
      <c r="X13" s="372">
        <f t="shared" si="15"/>
        <v>0</v>
      </c>
      <c r="Y13" s="372">
        <f t="shared" si="15"/>
        <v>0</v>
      </c>
      <c r="Z13" s="372">
        <f t="shared" si="15"/>
        <v>0</v>
      </c>
      <c r="AA13" s="372">
        <f t="shared" si="15"/>
        <v>0</v>
      </c>
      <c r="AB13" s="372">
        <f t="shared" si="15"/>
        <v>16150.79365079365</v>
      </c>
      <c r="AC13" s="372">
        <f t="shared" si="15"/>
        <v>27500</v>
      </c>
      <c r="AD13" s="372">
        <f t="shared" si="15"/>
        <v>27500</v>
      </c>
      <c r="AE13" s="372">
        <f t="shared" si="15"/>
        <v>27500</v>
      </c>
      <c r="AF13" s="372">
        <f t="shared" si="15"/>
        <v>27500</v>
      </c>
      <c r="AG13" s="372">
        <f t="shared" si="15"/>
        <v>27500</v>
      </c>
      <c r="AH13" s="372">
        <f t="shared" si="15"/>
        <v>27500</v>
      </c>
      <c r="AI13" s="372">
        <f t="shared" si="15"/>
        <v>27500</v>
      </c>
      <c r="AJ13" s="372">
        <f t="shared" si="15"/>
        <v>27500</v>
      </c>
      <c r="AK13" s="372">
        <f t="shared" si="15"/>
        <v>27500</v>
      </c>
      <c r="AL13" s="372">
        <f t="shared" si="15"/>
        <v>27500</v>
      </c>
      <c r="AM13" s="372">
        <f t="shared" si="15"/>
        <v>27500</v>
      </c>
      <c r="AP13" s="372">
        <f t="shared" si="16"/>
        <v>0</v>
      </c>
      <c r="AQ13" s="372">
        <f t="shared" si="16"/>
        <v>0</v>
      </c>
      <c r="AR13" s="372">
        <f t="shared" si="16"/>
        <v>0</v>
      </c>
      <c r="AS13" s="372">
        <f t="shared" si="16"/>
        <v>0</v>
      </c>
      <c r="AT13" s="372">
        <f t="shared" si="16"/>
        <v>0</v>
      </c>
      <c r="AU13" s="372">
        <f t="shared" si="16"/>
        <v>0</v>
      </c>
      <c r="AV13" s="372">
        <f t="shared" si="16"/>
        <v>0</v>
      </c>
      <c r="AW13" s="372">
        <f t="shared" si="16"/>
        <v>0</v>
      </c>
      <c r="AX13" s="372">
        <f t="shared" si="16"/>
        <v>0</v>
      </c>
      <c r="AY13" s="372">
        <f t="shared" si="16"/>
        <v>0</v>
      </c>
      <c r="AZ13" s="372">
        <f t="shared" si="17"/>
        <v>0</v>
      </c>
      <c r="BA13" s="372">
        <f t="shared" si="17"/>
        <v>0</v>
      </c>
      <c r="BB13" s="372">
        <f t="shared" si="17"/>
        <v>0</v>
      </c>
      <c r="BC13" s="372">
        <f t="shared" si="17"/>
        <v>6984.1269841269832</v>
      </c>
      <c r="BD13" s="372">
        <f t="shared" si="17"/>
        <v>9166.6666666666661</v>
      </c>
      <c r="BE13" s="372">
        <f t="shared" si="17"/>
        <v>9166.6666666666661</v>
      </c>
      <c r="BF13" s="372">
        <f t="shared" si="17"/>
        <v>9166.6666666666661</v>
      </c>
      <c r="BG13" s="372">
        <f t="shared" si="17"/>
        <v>9166.6666666666661</v>
      </c>
      <c r="BH13" s="372">
        <f t="shared" si="17"/>
        <v>9166.6666666666661</v>
      </c>
      <c r="BI13" s="372">
        <f t="shared" si="17"/>
        <v>9166.6666666666661</v>
      </c>
      <c r="BJ13" s="372">
        <f t="shared" si="18"/>
        <v>9166.6666666666661</v>
      </c>
      <c r="BK13" s="372">
        <f t="shared" si="18"/>
        <v>9166.6666666666661</v>
      </c>
      <c r="BL13" s="372">
        <f t="shared" si="18"/>
        <v>9166.6666666666661</v>
      </c>
      <c r="BM13" s="372">
        <f t="shared" si="18"/>
        <v>9166.6666666666661</v>
      </c>
      <c r="BN13" s="372">
        <f t="shared" si="18"/>
        <v>9166.6666666666661</v>
      </c>
      <c r="BO13" s="372">
        <f t="shared" si="18"/>
        <v>9166.6666666666661</v>
      </c>
      <c r="BP13" s="372">
        <f t="shared" si="18"/>
        <v>9166.6666666666661</v>
      </c>
      <c r="BQ13" s="372">
        <f t="shared" si="18"/>
        <v>9166.6666666666661</v>
      </c>
      <c r="BR13" s="372">
        <f t="shared" si="18"/>
        <v>9166.6666666666661</v>
      </c>
      <c r="BS13" s="372">
        <f t="shared" si="18"/>
        <v>9166.6666666666661</v>
      </c>
      <c r="BT13" s="372">
        <f t="shared" si="19"/>
        <v>9166.6666666666661</v>
      </c>
      <c r="BU13" s="372">
        <f t="shared" si="19"/>
        <v>9166.6666666666661</v>
      </c>
      <c r="BV13" s="372">
        <f t="shared" si="19"/>
        <v>9166.6666666666661</v>
      </c>
      <c r="BW13" s="372">
        <f t="shared" si="19"/>
        <v>9166.6666666666661</v>
      </c>
      <c r="BX13" s="372">
        <f t="shared" si="19"/>
        <v>9166.6666666666661</v>
      </c>
      <c r="BY13" s="372">
        <f t="shared" si="19"/>
        <v>9166.6666666666661</v>
      </c>
      <c r="BZ13" s="372">
        <f t="shared" si="19"/>
        <v>9166.6666666666661</v>
      </c>
      <c r="CA13" s="372">
        <f t="shared" si="19"/>
        <v>9166.6666666666661</v>
      </c>
      <c r="CB13" s="372">
        <f t="shared" si="19"/>
        <v>9166.6666666666661</v>
      </c>
      <c r="CC13" s="372">
        <f t="shared" si="19"/>
        <v>9166.6666666666661</v>
      </c>
      <c r="CD13" s="372">
        <f t="shared" si="20"/>
        <v>9166.6666666666661</v>
      </c>
      <c r="CE13" s="372">
        <f t="shared" si="20"/>
        <v>9166.6666666666661</v>
      </c>
      <c r="CF13" s="372">
        <f t="shared" si="20"/>
        <v>9166.6666666666661</v>
      </c>
      <c r="CG13" s="372">
        <f t="shared" si="20"/>
        <v>9166.6666666666661</v>
      </c>
      <c r="CH13" s="372">
        <f t="shared" si="20"/>
        <v>9166.6666666666661</v>
      </c>
      <c r="CI13" s="372">
        <f t="shared" si="20"/>
        <v>9166.6666666666661</v>
      </c>
      <c r="CJ13" s="372">
        <f t="shared" si="20"/>
        <v>9166.6666666666661</v>
      </c>
      <c r="CK13" s="372">
        <f t="shared" si="20"/>
        <v>9166.6666666666661</v>
      </c>
    </row>
    <row r="14" spans="1:89" ht="21" customHeight="1" outlineLevel="1">
      <c r="B14" s="367"/>
      <c r="C14" s="370"/>
      <c r="D14" s="421" t="s">
        <v>383</v>
      </c>
      <c r="E14" s="421" t="s">
        <v>384</v>
      </c>
      <c r="F14" s="486" t="s">
        <v>385</v>
      </c>
      <c r="G14" s="486" t="s">
        <v>180</v>
      </c>
      <c r="H14" s="486" t="s">
        <v>373</v>
      </c>
      <c r="I14" s="484">
        <v>45357</v>
      </c>
      <c r="J14" s="484"/>
      <c r="K14" s="438">
        <v>150000</v>
      </c>
      <c r="L14" s="485"/>
      <c r="M14" s="484"/>
      <c r="N14" s="438">
        <v>5000</v>
      </c>
      <c r="O14" s="484" t="s">
        <v>374</v>
      </c>
      <c r="R14" s="372">
        <f t="shared" si="14"/>
        <v>0</v>
      </c>
      <c r="S14" s="372">
        <f t="shared" si="14"/>
        <v>123214.28571428571</v>
      </c>
      <c r="T14" s="372">
        <f t="shared" si="14"/>
        <v>150000</v>
      </c>
      <c r="U14" s="372">
        <f t="shared" si="14"/>
        <v>150000</v>
      </c>
      <c r="X14" s="372">
        <f t="shared" si="15"/>
        <v>0</v>
      </c>
      <c r="Y14" s="372">
        <f t="shared" si="15"/>
        <v>0</v>
      </c>
      <c r="Z14" s="372">
        <f t="shared" si="15"/>
        <v>0</v>
      </c>
      <c r="AA14" s="372">
        <f t="shared" si="15"/>
        <v>0</v>
      </c>
      <c r="AB14" s="372">
        <f t="shared" si="15"/>
        <v>10714.285714285714</v>
      </c>
      <c r="AC14" s="372">
        <f t="shared" si="15"/>
        <v>37500</v>
      </c>
      <c r="AD14" s="372">
        <f t="shared" si="15"/>
        <v>37500</v>
      </c>
      <c r="AE14" s="372">
        <f t="shared" si="15"/>
        <v>37500</v>
      </c>
      <c r="AF14" s="372">
        <f t="shared" si="15"/>
        <v>37500</v>
      </c>
      <c r="AG14" s="372">
        <f t="shared" si="15"/>
        <v>37500</v>
      </c>
      <c r="AH14" s="372">
        <f t="shared" si="15"/>
        <v>37500</v>
      </c>
      <c r="AI14" s="372">
        <f t="shared" si="15"/>
        <v>37500</v>
      </c>
      <c r="AJ14" s="372">
        <f t="shared" si="15"/>
        <v>37500</v>
      </c>
      <c r="AK14" s="372">
        <f t="shared" si="15"/>
        <v>37500</v>
      </c>
      <c r="AL14" s="372">
        <f t="shared" si="15"/>
        <v>37500</v>
      </c>
      <c r="AM14" s="372">
        <f t="shared" si="15"/>
        <v>37500</v>
      </c>
      <c r="AP14" s="372">
        <f t="shared" si="16"/>
        <v>0</v>
      </c>
      <c r="AQ14" s="372">
        <f t="shared" si="16"/>
        <v>0</v>
      </c>
      <c r="AR14" s="372">
        <f t="shared" si="16"/>
        <v>0</v>
      </c>
      <c r="AS14" s="372">
        <f t="shared" si="16"/>
        <v>0</v>
      </c>
      <c r="AT14" s="372">
        <f t="shared" si="16"/>
        <v>0</v>
      </c>
      <c r="AU14" s="372">
        <f t="shared" si="16"/>
        <v>0</v>
      </c>
      <c r="AV14" s="372">
        <f t="shared" si="16"/>
        <v>0</v>
      </c>
      <c r="AW14" s="372">
        <f t="shared" si="16"/>
        <v>0</v>
      </c>
      <c r="AX14" s="372">
        <f t="shared" si="16"/>
        <v>0</v>
      </c>
      <c r="AY14" s="372">
        <f t="shared" si="16"/>
        <v>0</v>
      </c>
      <c r="AZ14" s="372">
        <f t="shared" si="17"/>
        <v>0</v>
      </c>
      <c r="BA14" s="372">
        <f t="shared" si="17"/>
        <v>0</v>
      </c>
      <c r="BB14" s="372">
        <f t="shared" si="17"/>
        <v>0</v>
      </c>
      <c r="BC14" s="372">
        <f t="shared" si="17"/>
        <v>0</v>
      </c>
      <c r="BD14" s="372">
        <f t="shared" si="17"/>
        <v>10714.285714285714</v>
      </c>
      <c r="BE14" s="372">
        <f t="shared" si="17"/>
        <v>12500</v>
      </c>
      <c r="BF14" s="372">
        <f t="shared" si="17"/>
        <v>12500</v>
      </c>
      <c r="BG14" s="372">
        <f t="shared" si="17"/>
        <v>12500</v>
      </c>
      <c r="BH14" s="372">
        <f t="shared" si="17"/>
        <v>12500</v>
      </c>
      <c r="BI14" s="372">
        <f t="shared" si="17"/>
        <v>12500</v>
      </c>
      <c r="BJ14" s="372">
        <f t="shared" si="18"/>
        <v>12500</v>
      </c>
      <c r="BK14" s="372">
        <f t="shared" si="18"/>
        <v>12500</v>
      </c>
      <c r="BL14" s="372">
        <f t="shared" si="18"/>
        <v>12500</v>
      </c>
      <c r="BM14" s="372">
        <f t="shared" si="18"/>
        <v>12500</v>
      </c>
      <c r="BN14" s="372">
        <f t="shared" si="18"/>
        <v>12500</v>
      </c>
      <c r="BO14" s="372">
        <f t="shared" si="18"/>
        <v>12500</v>
      </c>
      <c r="BP14" s="372">
        <f t="shared" si="18"/>
        <v>12500</v>
      </c>
      <c r="BQ14" s="372">
        <f t="shared" si="18"/>
        <v>12500</v>
      </c>
      <c r="BR14" s="372">
        <f t="shared" si="18"/>
        <v>12500</v>
      </c>
      <c r="BS14" s="372">
        <f t="shared" si="18"/>
        <v>12500</v>
      </c>
      <c r="BT14" s="372">
        <f t="shared" si="19"/>
        <v>12500</v>
      </c>
      <c r="BU14" s="372">
        <f t="shared" si="19"/>
        <v>12500</v>
      </c>
      <c r="BV14" s="372">
        <f t="shared" si="19"/>
        <v>12500</v>
      </c>
      <c r="BW14" s="372">
        <f t="shared" si="19"/>
        <v>12500</v>
      </c>
      <c r="BX14" s="372">
        <f t="shared" si="19"/>
        <v>12500</v>
      </c>
      <c r="BY14" s="372">
        <f t="shared" si="19"/>
        <v>12500</v>
      </c>
      <c r="BZ14" s="372">
        <f t="shared" si="19"/>
        <v>12500</v>
      </c>
      <c r="CA14" s="372">
        <f t="shared" si="19"/>
        <v>12500</v>
      </c>
      <c r="CB14" s="372">
        <f t="shared" si="19"/>
        <v>12500</v>
      </c>
      <c r="CC14" s="372">
        <f t="shared" si="19"/>
        <v>12500</v>
      </c>
      <c r="CD14" s="372">
        <f t="shared" si="20"/>
        <v>12500</v>
      </c>
      <c r="CE14" s="372">
        <f t="shared" si="20"/>
        <v>12500</v>
      </c>
      <c r="CF14" s="372">
        <f t="shared" si="20"/>
        <v>12500</v>
      </c>
      <c r="CG14" s="372">
        <f t="shared" si="20"/>
        <v>12500</v>
      </c>
      <c r="CH14" s="372">
        <f t="shared" si="20"/>
        <v>12500</v>
      </c>
      <c r="CI14" s="372">
        <f t="shared" si="20"/>
        <v>12500</v>
      </c>
      <c r="CJ14" s="372">
        <f t="shared" si="20"/>
        <v>12500</v>
      </c>
      <c r="CK14" s="372">
        <f t="shared" si="20"/>
        <v>12500</v>
      </c>
    </row>
    <row r="15" spans="1:89" ht="21" customHeight="1" outlineLevel="1">
      <c r="B15" s="367"/>
      <c r="C15" s="370"/>
      <c r="D15" s="421" t="s">
        <v>386</v>
      </c>
      <c r="E15" s="421" t="s">
        <v>387</v>
      </c>
      <c r="F15" s="486" t="s">
        <v>388</v>
      </c>
      <c r="G15" s="486" t="s">
        <v>182</v>
      </c>
      <c r="H15" s="486" t="s">
        <v>373</v>
      </c>
      <c r="I15" s="484">
        <v>45801</v>
      </c>
      <c r="J15" s="484"/>
      <c r="K15" s="438">
        <v>110000</v>
      </c>
      <c r="L15" s="485"/>
      <c r="M15" s="421"/>
      <c r="N15" s="421"/>
      <c r="O15" s="484" t="s">
        <v>374</v>
      </c>
      <c r="R15" s="372">
        <f t="shared" si="14"/>
        <v>0</v>
      </c>
      <c r="S15" s="372">
        <f t="shared" si="14"/>
        <v>0</v>
      </c>
      <c r="T15" s="372">
        <f t="shared" si="14"/>
        <v>66249.999999999985</v>
      </c>
      <c r="U15" s="372">
        <f t="shared" si="14"/>
        <v>110000.00000000001</v>
      </c>
      <c r="X15" s="372">
        <f t="shared" si="15"/>
        <v>0</v>
      </c>
      <c r="Y15" s="372">
        <f t="shared" si="15"/>
        <v>0</v>
      </c>
      <c r="Z15" s="372">
        <f t="shared" si="15"/>
        <v>0</v>
      </c>
      <c r="AA15" s="372">
        <f t="shared" si="15"/>
        <v>0</v>
      </c>
      <c r="AB15" s="372">
        <f t="shared" si="15"/>
        <v>0</v>
      </c>
      <c r="AC15" s="372">
        <f t="shared" si="15"/>
        <v>0</v>
      </c>
      <c r="AD15" s="372">
        <f t="shared" si="15"/>
        <v>0</v>
      </c>
      <c r="AE15" s="372">
        <f t="shared" si="15"/>
        <v>0</v>
      </c>
      <c r="AF15" s="372">
        <f t="shared" si="15"/>
        <v>0</v>
      </c>
      <c r="AG15" s="372">
        <f t="shared" si="15"/>
        <v>11250</v>
      </c>
      <c r="AH15" s="372">
        <f t="shared" si="15"/>
        <v>27500</v>
      </c>
      <c r="AI15" s="372">
        <f t="shared" si="15"/>
        <v>27500</v>
      </c>
      <c r="AJ15" s="372">
        <f t="shared" si="15"/>
        <v>27500</v>
      </c>
      <c r="AK15" s="372">
        <f t="shared" si="15"/>
        <v>27500</v>
      </c>
      <c r="AL15" s="372">
        <f t="shared" si="15"/>
        <v>27500</v>
      </c>
      <c r="AM15" s="372">
        <f t="shared" si="15"/>
        <v>27500</v>
      </c>
      <c r="AP15" s="372">
        <f t="shared" si="16"/>
        <v>0</v>
      </c>
      <c r="AQ15" s="372">
        <f t="shared" si="16"/>
        <v>0</v>
      </c>
      <c r="AR15" s="372">
        <f t="shared" si="16"/>
        <v>0</v>
      </c>
      <c r="AS15" s="372">
        <f t="shared" si="16"/>
        <v>0</v>
      </c>
      <c r="AT15" s="372">
        <f t="shared" si="16"/>
        <v>0</v>
      </c>
      <c r="AU15" s="372">
        <f t="shared" si="16"/>
        <v>0</v>
      </c>
      <c r="AV15" s="372">
        <f t="shared" si="16"/>
        <v>0</v>
      </c>
      <c r="AW15" s="372">
        <f t="shared" si="16"/>
        <v>0</v>
      </c>
      <c r="AX15" s="372">
        <f t="shared" si="16"/>
        <v>0</v>
      </c>
      <c r="AY15" s="372">
        <f t="shared" si="16"/>
        <v>0</v>
      </c>
      <c r="AZ15" s="372">
        <f t="shared" si="17"/>
        <v>0</v>
      </c>
      <c r="BA15" s="372">
        <f t="shared" si="17"/>
        <v>0</v>
      </c>
      <c r="BB15" s="372">
        <f t="shared" si="17"/>
        <v>0</v>
      </c>
      <c r="BC15" s="372">
        <f t="shared" si="17"/>
        <v>0</v>
      </c>
      <c r="BD15" s="372">
        <f t="shared" si="17"/>
        <v>0</v>
      </c>
      <c r="BE15" s="372">
        <f t="shared" si="17"/>
        <v>0</v>
      </c>
      <c r="BF15" s="372">
        <f t="shared" si="17"/>
        <v>0</v>
      </c>
      <c r="BG15" s="372">
        <f t="shared" si="17"/>
        <v>0</v>
      </c>
      <c r="BH15" s="372">
        <f t="shared" si="17"/>
        <v>0</v>
      </c>
      <c r="BI15" s="372">
        <f t="shared" si="17"/>
        <v>0</v>
      </c>
      <c r="BJ15" s="372">
        <f t="shared" si="18"/>
        <v>0</v>
      </c>
      <c r="BK15" s="372">
        <f t="shared" si="18"/>
        <v>0</v>
      </c>
      <c r="BL15" s="372">
        <f t="shared" si="18"/>
        <v>0</v>
      </c>
      <c r="BM15" s="372">
        <f t="shared" si="18"/>
        <v>0</v>
      </c>
      <c r="BN15" s="372">
        <f t="shared" si="18"/>
        <v>0</v>
      </c>
      <c r="BO15" s="372">
        <f t="shared" si="18"/>
        <v>0</v>
      </c>
      <c r="BP15" s="372">
        <f t="shared" si="18"/>
        <v>0</v>
      </c>
      <c r="BQ15" s="372">
        <f t="shared" si="18"/>
        <v>0</v>
      </c>
      <c r="BR15" s="372">
        <f t="shared" si="18"/>
        <v>2083.3333333333335</v>
      </c>
      <c r="BS15" s="372">
        <f t="shared" si="18"/>
        <v>9166.6666666666661</v>
      </c>
      <c r="BT15" s="372">
        <f t="shared" si="19"/>
        <v>9166.6666666666661</v>
      </c>
      <c r="BU15" s="372">
        <f t="shared" si="19"/>
        <v>9166.6666666666661</v>
      </c>
      <c r="BV15" s="372">
        <f t="shared" si="19"/>
        <v>9166.6666666666661</v>
      </c>
      <c r="BW15" s="372">
        <f t="shared" si="19"/>
        <v>9166.6666666666661</v>
      </c>
      <c r="BX15" s="372">
        <f t="shared" si="19"/>
        <v>9166.6666666666661</v>
      </c>
      <c r="BY15" s="372">
        <f t="shared" si="19"/>
        <v>9166.6666666666661</v>
      </c>
      <c r="BZ15" s="372">
        <f t="shared" si="19"/>
        <v>9166.6666666666661</v>
      </c>
      <c r="CA15" s="372">
        <f t="shared" si="19"/>
        <v>9166.6666666666661</v>
      </c>
      <c r="CB15" s="372">
        <f t="shared" si="19"/>
        <v>9166.6666666666661</v>
      </c>
      <c r="CC15" s="372">
        <f t="shared" si="19"/>
        <v>9166.6666666666661</v>
      </c>
      <c r="CD15" s="372">
        <f t="shared" si="20"/>
        <v>9166.6666666666661</v>
      </c>
      <c r="CE15" s="372">
        <f t="shared" si="20"/>
        <v>9166.6666666666661</v>
      </c>
      <c r="CF15" s="372">
        <f t="shared" si="20"/>
        <v>9166.6666666666661</v>
      </c>
      <c r="CG15" s="372">
        <f t="shared" si="20"/>
        <v>9166.6666666666661</v>
      </c>
      <c r="CH15" s="372">
        <f t="shared" si="20"/>
        <v>9166.6666666666661</v>
      </c>
      <c r="CI15" s="372">
        <f t="shared" si="20"/>
        <v>9166.6666666666661</v>
      </c>
      <c r="CJ15" s="372">
        <f t="shared" si="20"/>
        <v>9166.6666666666661</v>
      </c>
      <c r="CK15" s="372">
        <f t="shared" si="20"/>
        <v>9166.6666666666661</v>
      </c>
    </row>
    <row r="16" spans="1:89" ht="21" customHeight="1" outlineLevel="1">
      <c r="B16" s="367"/>
      <c r="C16" s="370"/>
      <c r="D16" s="421" t="s">
        <v>389</v>
      </c>
      <c r="E16" s="421" t="s">
        <v>390</v>
      </c>
      <c r="F16" s="486" t="s">
        <v>391</v>
      </c>
      <c r="G16" s="486" t="s">
        <v>180</v>
      </c>
      <c r="H16" s="486" t="s">
        <v>378</v>
      </c>
      <c r="I16" s="484">
        <v>45809</v>
      </c>
      <c r="J16" s="484"/>
      <c r="K16" s="438">
        <v>60000</v>
      </c>
      <c r="L16" s="485"/>
      <c r="M16" s="484"/>
      <c r="N16" s="484"/>
      <c r="O16" s="484" t="s">
        <v>379</v>
      </c>
      <c r="R16" s="372">
        <f t="shared" si="14"/>
        <v>0</v>
      </c>
      <c r="S16" s="372">
        <f t="shared" si="14"/>
        <v>0</v>
      </c>
      <c r="T16" s="372">
        <f t="shared" si="14"/>
        <v>35000</v>
      </c>
      <c r="U16" s="372">
        <f t="shared" si="14"/>
        <v>60000</v>
      </c>
      <c r="X16" s="372">
        <f t="shared" si="15"/>
        <v>0</v>
      </c>
      <c r="Y16" s="372">
        <f t="shared" si="15"/>
        <v>0</v>
      </c>
      <c r="Z16" s="372">
        <f t="shared" si="15"/>
        <v>0</v>
      </c>
      <c r="AA16" s="372">
        <f t="shared" si="15"/>
        <v>0</v>
      </c>
      <c r="AB16" s="372">
        <f t="shared" si="15"/>
        <v>0</v>
      </c>
      <c r="AC16" s="372">
        <f t="shared" si="15"/>
        <v>0</v>
      </c>
      <c r="AD16" s="372">
        <f t="shared" si="15"/>
        <v>0</v>
      </c>
      <c r="AE16" s="372">
        <f t="shared" si="15"/>
        <v>0</v>
      </c>
      <c r="AF16" s="372">
        <f t="shared" si="15"/>
        <v>0</v>
      </c>
      <c r="AG16" s="372">
        <f t="shared" si="15"/>
        <v>5000</v>
      </c>
      <c r="AH16" s="372">
        <f t="shared" si="15"/>
        <v>15000</v>
      </c>
      <c r="AI16" s="372">
        <f t="shared" si="15"/>
        <v>15000</v>
      </c>
      <c r="AJ16" s="372">
        <f t="shared" si="15"/>
        <v>15000</v>
      </c>
      <c r="AK16" s="372">
        <f t="shared" si="15"/>
        <v>15000</v>
      </c>
      <c r="AL16" s="372">
        <f t="shared" si="15"/>
        <v>15000</v>
      </c>
      <c r="AM16" s="372">
        <f t="shared" si="15"/>
        <v>15000</v>
      </c>
      <c r="AP16" s="372">
        <f t="shared" si="16"/>
        <v>0</v>
      </c>
      <c r="AQ16" s="372">
        <f t="shared" si="16"/>
        <v>0</v>
      </c>
      <c r="AR16" s="372">
        <f t="shared" si="16"/>
        <v>0</v>
      </c>
      <c r="AS16" s="372">
        <f t="shared" si="16"/>
        <v>0</v>
      </c>
      <c r="AT16" s="372">
        <f t="shared" si="16"/>
        <v>0</v>
      </c>
      <c r="AU16" s="372">
        <f t="shared" si="16"/>
        <v>0</v>
      </c>
      <c r="AV16" s="372">
        <f t="shared" si="16"/>
        <v>0</v>
      </c>
      <c r="AW16" s="372">
        <f t="shared" si="16"/>
        <v>0</v>
      </c>
      <c r="AX16" s="372">
        <f t="shared" si="16"/>
        <v>0</v>
      </c>
      <c r="AY16" s="372">
        <f t="shared" si="16"/>
        <v>0</v>
      </c>
      <c r="AZ16" s="372">
        <f t="shared" si="17"/>
        <v>0</v>
      </c>
      <c r="BA16" s="372">
        <f t="shared" si="17"/>
        <v>0</v>
      </c>
      <c r="BB16" s="372">
        <f t="shared" si="17"/>
        <v>0</v>
      </c>
      <c r="BC16" s="372">
        <f t="shared" si="17"/>
        <v>0</v>
      </c>
      <c r="BD16" s="372">
        <f t="shared" si="17"/>
        <v>0</v>
      </c>
      <c r="BE16" s="372">
        <f t="shared" si="17"/>
        <v>0</v>
      </c>
      <c r="BF16" s="372">
        <f t="shared" si="17"/>
        <v>0</v>
      </c>
      <c r="BG16" s="372">
        <f t="shared" si="17"/>
        <v>0</v>
      </c>
      <c r="BH16" s="372">
        <f t="shared" si="17"/>
        <v>0</v>
      </c>
      <c r="BI16" s="372">
        <f t="shared" si="17"/>
        <v>0</v>
      </c>
      <c r="BJ16" s="372">
        <f t="shared" si="18"/>
        <v>0</v>
      </c>
      <c r="BK16" s="372">
        <f t="shared" si="18"/>
        <v>0</v>
      </c>
      <c r="BL16" s="372">
        <f t="shared" si="18"/>
        <v>0</v>
      </c>
      <c r="BM16" s="372">
        <f t="shared" si="18"/>
        <v>0</v>
      </c>
      <c r="BN16" s="372">
        <f t="shared" si="18"/>
        <v>0</v>
      </c>
      <c r="BO16" s="372">
        <f t="shared" si="18"/>
        <v>0</v>
      </c>
      <c r="BP16" s="372">
        <f t="shared" si="18"/>
        <v>0</v>
      </c>
      <c r="BQ16" s="372">
        <f t="shared" si="18"/>
        <v>0</v>
      </c>
      <c r="BR16" s="372">
        <f t="shared" si="18"/>
        <v>0</v>
      </c>
      <c r="BS16" s="372">
        <f t="shared" si="18"/>
        <v>5000</v>
      </c>
      <c r="BT16" s="372">
        <f t="shared" si="19"/>
        <v>5000</v>
      </c>
      <c r="BU16" s="372">
        <f t="shared" si="19"/>
        <v>5000</v>
      </c>
      <c r="BV16" s="372">
        <f t="shared" si="19"/>
        <v>5000</v>
      </c>
      <c r="BW16" s="372">
        <f t="shared" si="19"/>
        <v>5000</v>
      </c>
      <c r="BX16" s="372">
        <f t="shared" si="19"/>
        <v>5000</v>
      </c>
      <c r="BY16" s="372">
        <f t="shared" si="19"/>
        <v>5000</v>
      </c>
      <c r="BZ16" s="372">
        <f t="shared" si="19"/>
        <v>5000</v>
      </c>
      <c r="CA16" s="372">
        <f t="shared" si="19"/>
        <v>5000</v>
      </c>
      <c r="CB16" s="372">
        <f t="shared" si="19"/>
        <v>5000</v>
      </c>
      <c r="CC16" s="372">
        <f t="shared" si="19"/>
        <v>5000</v>
      </c>
      <c r="CD16" s="372">
        <f t="shared" si="20"/>
        <v>5000</v>
      </c>
      <c r="CE16" s="372">
        <f t="shared" si="20"/>
        <v>5000</v>
      </c>
      <c r="CF16" s="372">
        <f t="shared" si="20"/>
        <v>5000</v>
      </c>
      <c r="CG16" s="372">
        <f t="shared" si="20"/>
        <v>5000</v>
      </c>
      <c r="CH16" s="372">
        <f t="shared" si="20"/>
        <v>5000</v>
      </c>
      <c r="CI16" s="372">
        <f t="shared" si="20"/>
        <v>5000</v>
      </c>
      <c r="CJ16" s="372">
        <f t="shared" si="20"/>
        <v>5000</v>
      </c>
      <c r="CK16" s="372">
        <f t="shared" si="20"/>
        <v>5000</v>
      </c>
    </row>
    <row r="17" spans="2:89" ht="21" customHeight="1" outlineLevel="1">
      <c r="B17" s="367"/>
      <c r="C17" s="370"/>
      <c r="D17" s="421" t="s">
        <v>389</v>
      </c>
      <c r="E17" s="421" t="s">
        <v>392</v>
      </c>
      <c r="F17" s="486" t="s">
        <v>393</v>
      </c>
      <c r="G17" s="486" t="s">
        <v>180</v>
      </c>
      <c r="H17" s="486" t="s">
        <v>378</v>
      </c>
      <c r="I17" s="484">
        <v>45838</v>
      </c>
      <c r="J17" s="484"/>
      <c r="K17" s="438">
        <v>60000</v>
      </c>
      <c r="L17" s="485"/>
      <c r="M17" s="484"/>
      <c r="N17" s="438">
        <v>5000</v>
      </c>
      <c r="O17" s="484" t="s">
        <v>379</v>
      </c>
      <c r="R17" s="372">
        <f t="shared" si="14"/>
        <v>0</v>
      </c>
      <c r="S17" s="372">
        <f t="shared" si="14"/>
        <v>0</v>
      </c>
      <c r="T17" s="372">
        <f t="shared" si="14"/>
        <v>30238.095238095237</v>
      </c>
      <c r="U17" s="372">
        <f t="shared" si="14"/>
        <v>60000</v>
      </c>
      <c r="X17" s="372">
        <f t="shared" si="15"/>
        <v>0</v>
      </c>
      <c r="Y17" s="372">
        <f t="shared" si="15"/>
        <v>0</v>
      </c>
      <c r="Z17" s="372">
        <f t="shared" si="15"/>
        <v>0</v>
      </c>
      <c r="AA17" s="372">
        <f t="shared" si="15"/>
        <v>0</v>
      </c>
      <c r="AB17" s="372">
        <f t="shared" si="15"/>
        <v>0</v>
      </c>
      <c r="AC17" s="372">
        <f t="shared" si="15"/>
        <v>0</v>
      </c>
      <c r="AD17" s="372">
        <f t="shared" si="15"/>
        <v>0</v>
      </c>
      <c r="AE17" s="372">
        <f t="shared" si="15"/>
        <v>0</v>
      </c>
      <c r="AF17" s="372">
        <f t="shared" si="15"/>
        <v>0</v>
      </c>
      <c r="AG17" s="372">
        <f t="shared" si="15"/>
        <v>238.09523809523807</v>
      </c>
      <c r="AH17" s="372">
        <f t="shared" si="15"/>
        <v>15000</v>
      </c>
      <c r="AI17" s="372">
        <f t="shared" si="15"/>
        <v>15000</v>
      </c>
      <c r="AJ17" s="372">
        <f t="shared" si="15"/>
        <v>15000</v>
      </c>
      <c r="AK17" s="372">
        <f t="shared" si="15"/>
        <v>15000</v>
      </c>
      <c r="AL17" s="372">
        <f t="shared" si="15"/>
        <v>15000</v>
      </c>
      <c r="AM17" s="372">
        <f t="shared" si="15"/>
        <v>15000</v>
      </c>
      <c r="AP17" s="372">
        <f t="shared" si="16"/>
        <v>0</v>
      </c>
      <c r="AQ17" s="372">
        <f t="shared" si="16"/>
        <v>0</v>
      </c>
      <c r="AR17" s="372">
        <f t="shared" si="16"/>
        <v>0</v>
      </c>
      <c r="AS17" s="372">
        <f t="shared" si="16"/>
        <v>0</v>
      </c>
      <c r="AT17" s="372">
        <f t="shared" si="16"/>
        <v>0</v>
      </c>
      <c r="AU17" s="372">
        <f t="shared" si="16"/>
        <v>0</v>
      </c>
      <c r="AV17" s="372">
        <f t="shared" si="16"/>
        <v>0</v>
      </c>
      <c r="AW17" s="372">
        <f t="shared" si="16"/>
        <v>0</v>
      </c>
      <c r="AX17" s="372">
        <f t="shared" si="16"/>
        <v>0</v>
      </c>
      <c r="AY17" s="372">
        <f t="shared" si="16"/>
        <v>0</v>
      </c>
      <c r="AZ17" s="372">
        <f t="shared" si="17"/>
        <v>0</v>
      </c>
      <c r="BA17" s="372">
        <f t="shared" si="17"/>
        <v>0</v>
      </c>
      <c r="BB17" s="372">
        <f t="shared" si="17"/>
        <v>0</v>
      </c>
      <c r="BC17" s="372">
        <f t="shared" si="17"/>
        <v>0</v>
      </c>
      <c r="BD17" s="372">
        <f t="shared" si="17"/>
        <v>0</v>
      </c>
      <c r="BE17" s="372">
        <f t="shared" si="17"/>
        <v>0</v>
      </c>
      <c r="BF17" s="372">
        <f t="shared" si="17"/>
        <v>0</v>
      </c>
      <c r="BG17" s="372">
        <f t="shared" si="17"/>
        <v>0</v>
      </c>
      <c r="BH17" s="372">
        <f t="shared" si="17"/>
        <v>0</v>
      </c>
      <c r="BI17" s="372">
        <f t="shared" si="17"/>
        <v>0</v>
      </c>
      <c r="BJ17" s="372">
        <f t="shared" si="18"/>
        <v>0</v>
      </c>
      <c r="BK17" s="372">
        <f t="shared" si="18"/>
        <v>0</v>
      </c>
      <c r="BL17" s="372">
        <f t="shared" si="18"/>
        <v>0</v>
      </c>
      <c r="BM17" s="372">
        <f t="shared" si="18"/>
        <v>0</v>
      </c>
      <c r="BN17" s="372">
        <f t="shared" si="18"/>
        <v>0</v>
      </c>
      <c r="BO17" s="372">
        <f t="shared" si="18"/>
        <v>0</v>
      </c>
      <c r="BP17" s="372">
        <f t="shared" si="18"/>
        <v>0</v>
      </c>
      <c r="BQ17" s="372">
        <f t="shared" si="18"/>
        <v>0</v>
      </c>
      <c r="BR17" s="372">
        <f t="shared" si="18"/>
        <v>0</v>
      </c>
      <c r="BS17" s="372">
        <f t="shared" si="18"/>
        <v>238.09523809523807</v>
      </c>
      <c r="BT17" s="372">
        <f t="shared" si="19"/>
        <v>5000</v>
      </c>
      <c r="BU17" s="372">
        <f t="shared" si="19"/>
        <v>5000</v>
      </c>
      <c r="BV17" s="372">
        <f t="shared" si="19"/>
        <v>5000</v>
      </c>
      <c r="BW17" s="372">
        <f t="shared" si="19"/>
        <v>5000</v>
      </c>
      <c r="BX17" s="372">
        <f t="shared" si="19"/>
        <v>5000</v>
      </c>
      <c r="BY17" s="372">
        <f t="shared" si="19"/>
        <v>5000</v>
      </c>
      <c r="BZ17" s="372">
        <f t="shared" si="19"/>
        <v>5000</v>
      </c>
      <c r="CA17" s="372">
        <f t="shared" si="19"/>
        <v>5000</v>
      </c>
      <c r="CB17" s="372">
        <f t="shared" si="19"/>
        <v>5000</v>
      </c>
      <c r="CC17" s="372">
        <f t="shared" si="19"/>
        <v>5000</v>
      </c>
      <c r="CD17" s="372">
        <f t="shared" si="20"/>
        <v>5000</v>
      </c>
      <c r="CE17" s="372">
        <f t="shared" si="20"/>
        <v>5000</v>
      </c>
      <c r="CF17" s="372">
        <f t="shared" si="20"/>
        <v>5000</v>
      </c>
      <c r="CG17" s="372">
        <f t="shared" si="20"/>
        <v>5000</v>
      </c>
      <c r="CH17" s="372">
        <f t="shared" si="20"/>
        <v>5000</v>
      </c>
      <c r="CI17" s="372">
        <f t="shared" si="20"/>
        <v>5000</v>
      </c>
      <c r="CJ17" s="372">
        <f t="shared" si="20"/>
        <v>5000</v>
      </c>
      <c r="CK17" s="372">
        <f t="shared" si="20"/>
        <v>5000</v>
      </c>
    </row>
    <row r="18" spans="2:89" ht="21" customHeight="1" outlineLevel="1">
      <c r="B18" s="367"/>
      <c r="C18" s="370"/>
      <c r="D18" s="487" t="s">
        <v>394</v>
      </c>
      <c r="E18" s="421"/>
      <c r="F18" s="486"/>
      <c r="G18" s="486" t="s">
        <v>178</v>
      </c>
      <c r="H18" s="486" t="s">
        <v>373</v>
      </c>
      <c r="I18" s="484">
        <v>46113</v>
      </c>
      <c r="J18" s="484"/>
      <c r="K18" s="438">
        <v>250000</v>
      </c>
      <c r="L18" s="485"/>
      <c r="M18" s="484"/>
      <c r="N18" s="484"/>
      <c r="O18" s="484" t="s">
        <v>374</v>
      </c>
      <c r="R18" s="372">
        <f t="shared" si="14"/>
        <v>0</v>
      </c>
      <c r="S18" s="372">
        <f t="shared" si="14"/>
        <v>0</v>
      </c>
      <c r="T18" s="372">
        <f t="shared" si="14"/>
        <v>0</v>
      </c>
      <c r="U18" s="372">
        <f t="shared" si="14"/>
        <v>187500</v>
      </c>
      <c r="X18" s="372">
        <f t="shared" si="15"/>
        <v>0</v>
      </c>
      <c r="Y18" s="372">
        <f t="shared" si="15"/>
        <v>0</v>
      </c>
      <c r="Z18" s="372">
        <f t="shared" si="15"/>
        <v>0</v>
      </c>
      <c r="AA18" s="372">
        <f t="shared" si="15"/>
        <v>0</v>
      </c>
      <c r="AB18" s="372">
        <f t="shared" si="15"/>
        <v>0</v>
      </c>
      <c r="AC18" s="372">
        <f t="shared" si="15"/>
        <v>0</v>
      </c>
      <c r="AD18" s="372">
        <f t="shared" si="15"/>
        <v>0</v>
      </c>
      <c r="AE18" s="372">
        <f t="shared" si="15"/>
        <v>0</v>
      </c>
      <c r="AF18" s="372">
        <f t="shared" si="15"/>
        <v>0</v>
      </c>
      <c r="AG18" s="372">
        <f t="shared" si="15"/>
        <v>0</v>
      </c>
      <c r="AH18" s="372">
        <f t="shared" si="15"/>
        <v>0</v>
      </c>
      <c r="AI18" s="372">
        <f t="shared" si="15"/>
        <v>0</v>
      </c>
      <c r="AJ18" s="372">
        <f t="shared" si="15"/>
        <v>0</v>
      </c>
      <c r="AK18" s="372">
        <f t="shared" si="15"/>
        <v>62500</v>
      </c>
      <c r="AL18" s="372">
        <f t="shared" si="15"/>
        <v>62500</v>
      </c>
      <c r="AM18" s="372">
        <f t="shared" si="15"/>
        <v>62500</v>
      </c>
      <c r="AP18" s="372">
        <f t="shared" si="16"/>
        <v>0</v>
      </c>
      <c r="AQ18" s="372">
        <f t="shared" si="16"/>
        <v>0</v>
      </c>
      <c r="AR18" s="372">
        <f t="shared" si="16"/>
        <v>0</v>
      </c>
      <c r="AS18" s="372">
        <f t="shared" si="16"/>
        <v>0</v>
      </c>
      <c r="AT18" s="372">
        <f t="shared" si="16"/>
        <v>0</v>
      </c>
      <c r="AU18" s="372">
        <f t="shared" si="16"/>
        <v>0</v>
      </c>
      <c r="AV18" s="372">
        <f t="shared" si="16"/>
        <v>0</v>
      </c>
      <c r="AW18" s="372">
        <f t="shared" si="16"/>
        <v>0</v>
      </c>
      <c r="AX18" s="372">
        <f t="shared" si="16"/>
        <v>0</v>
      </c>
      <c r="AY18" s="372">
        <f t="shared" si="16"/>
        <v>0</v>
      </c>
      <c r="AZ18" s="372">
        <f t="shared" si="17"/>
        <v>0</v>
      </c>
      <c r="BA18" s="372">
        <f t="shared" si="17"/>
        <v>0</v>
      </c>
      <c r="BB18" s="372">
        <f t="shared" si="17"/>
        <v>0</v>
      </c>
      <c r="BC18" s="372">
        <f t="shared" si="17"/>
        <v>0</v>
      </c>
      <c r="BD18" s="372">
        <f t="shared" si="17"/>
        <v>0</v>
      </c>
      <c r="BE18" s="372">
        <f t="shared" si="17"/>
        <v>0</v>
      </c>
      <c r="BF18" s="372">
        <f t="shared" si="17"/>
        <v>0</v>
      </c>
      <c r="BG18" s="372">
        <f t="shared" si="17"/>
        <v>0</v>
      </c>
      <c r="BH18" s="372">
        <f t="shared" si="17"/>
        <v>0</v>
      </c>
      <c r="BI18" s="372">
        <f t="shared" si="17"/>
        <v>0</v>
      </c>
      <c r="BJ18" s="372">
        <f t="shared" si="18"/>
        <v>0</v>
      </c>
      <c r="BK18" s="372">
        <f t="shared" si="18"/>
        <v>0</v>
      </c>
      <c r="BL18" s="372">
        <f t="shared" si="18"/>
        <v>0</v>
      </c>
      <c r="BM18" s="372">
        <f t="shared" si="18"/>
        <v>0</v>
      </c>
      <c r="BN18" s="372">
        <f t="shared" si="18"/>
        <v>0</v>
      </c>
      <c r="BO18" s="372">
        <f t="shared" si="18"/>
        <v>0</v>
      </c>
      <c r="BP18" s="372">
        <f t="shared" si="18"/>
        <v>0</v>
      </c>
      <c r="BQ18" s="372">
        <f t="shared" si="18"/>
        <v>0</v>
      </c>
      <c r="BR18" s="372">
        <f t="shared" si="18"/>
        <v>0</v>
      </c>
      <c r="BS18" s="372">
        <f t="shared" si="18"/>
        <v>0</v>
      </c>
      <c r="BT18" s="372">
        <f t="shared" si="19"/>
        <v>0</v>
      </c>
      <c r="BU18" s="372">
        <f t="shared" si="19"/>
        <v>0</v>
      </c>
      <c r="BV18" s="372">
        <f t="shared" si="19"/>
        <v>0</v>
      </c>
      <c r="BW18" s="372">
        <f t="shared" si="19"/>
        <v>0</v>
      </c>
      <c r="BX18" s="372">
        <f t="shared" si="19"/>
        <v>0</v>
      </c>
      <c r="BY18" s="372">
        <f t="shared" si="19"/>
        <v>0</v>
      </c>
      <c r="BZ18" s="372">
        <f t="shared" si="19"/>
        <v>0</v>
      </c>
      <c r="CA18" s="372">
        <f t="shared" si="19"/>
        <v>0</v>
      </c>
      <c r="CB18" s="372">
        <f t="shared" si="19"/>
        <v>0</v>
      </c>
      <c r="CC18" s="372">
        <f t="shared" si="19"/>
        <v>20833.333333333332</v>
      </c>
      <c r="CD18" s="372">
        <f t="shared" si="20"/>
        <v>20833.333333333332</v>
      </c>
      <c r="CE18" s="372">
        <f t="shared" si="20"/>
        <v>20833.333333333332</v>
      </c>
      <c r="CF18" s="372">
        <f t="shared" si="20"/>
        <v>20833.333333333332</v>
      </c>
      <c r="CG18" s="372">
        <f t="shared" si="20"/>
        <v>20833.333333333332</v>
      </c>
      <c r="CH18" s="372">
        <f t="shared" si="20"/>
        <v>20833.333333333332</v>
      </c>
      <c r="CI18" s="372">
        <f t="shared" si="20"/>
        <v>20833.333333333332</v>
      </c>
      <c r="CJ18" s="372">
        <f t="shared" si="20"/>
        <v>20833.333333333332</v>
      </c>
      <c r="CK18" s="372">
        <f t="shared" si="20"/>
        <v>20833.333333333332</v>
      </c>
    </row>
    <row r="19" spans="2:89" ht="21" customHeight="1" outlineLevel="1">
      <c r="B19" s="367"/>
      <c r="C19" s="370"/>
      <c r="D19" s="487" t="s">
        <v>395</v>
      </c>
      <c r="E19" s="488"/>
      <c r="F19" s="486"/>
      <c r="G19" s="486" t="s">
        <v>182</v>
      </c>
      <c r="H19" s="486" t="s">
        <v>373</v>
      </c>
      <c r="I19" s="484">
        <v>46188</v>
      </c>
      <c r="J19" s="484"/>
      <c r="K19" s="438">
        <v>80000</v>
      </c>
      <c r="L19" s="485"/>
      <c r="M19" s="484"/>
      <c r="N19" s="484"/>
      <c r="O19" s="484" t="s">
        <v>374</v>
      </c>
      <c r="R19" s="372">
        <f t="shared" si="14"/>
        <v>0</v>
      </c>
      <c r="S19" s="372">
        <f t="shared" si="14"/>
        <v>0</v>
      </c>
      <c r="T19" s="372">
        <f t="shared" si="14"/>
        <v>0</v>
      </c>
      <c r="U19" s="372">
        <f t="shared" si="14"/>
        <v>43636.36363636364</v>
      </c>
      <c r="X19" s="372">
        <f t="shared" si="15"/>
        <v>0</v>
      </c>
      <c r="Y19" s="372">
        <f t="shared" si="15"/>
        <v>0</v>
      </c>
      <c r="Z19" s="372">
        <f t="shared" si="15"/>
        <v>0</v>
      </c>
      <c r="AA19" s="372">
        <f t="shared" si="15"/>
        <v>0</v>
      </c>
      <c r="AB19" s="372">
        <f t="shared" si="15"/>
        <v>0</v>
      </c>
      <c r="AC19" s="372">
        <f t="shared" si="15"/>
        <v>0</v>
      </c>
      <c r="AD19" s="372">
        <f t="shared" si="15"/>
        <v>0</v>
      </c>
      <c r="AE19" s="372">
        <f t="shared" si="15"/>
        <v>0</v>
      </c>
      <c r="AF19" s="372">
        <f t="shared" si="15"/>
        <v>0</v>
      </c>
      <c r="AG19" s="372">
        <f t="shared" si="15"/>
        <v>0</v>
      </c>
      <c r="AH19" s="372">
        <f t="shared" si="15"/>
        <v>0</v>
      </c>
      <c r="AI19" s="372">
        <f t="shared" si="15"/>
        <v>0</v>
      </c>
      <c r="AJ19" s="372">
        <f t="shared" si="15"/>
        <v>0</v>
      </c>
      <c r="AK19" s="372">
        <f t="shared" si="15"/>
        <v>3636.363636363636</v>
      </c>
      <c r="AL19" s="372">
        <f t="shared" si="15"/>
        <v>20000</v>
      </c>
      <c r="AM19" s="372">
        <f t="shared" si="15"/>
        <v>20000</v>
      </c>
      <c r="AP19" s="372">
        <f t="shared" si="16"/>
        <v>0</v>
      </c>
      <c r="AQ19" s="372">
        <f t="shared" si="16"/>
        <v>0</v>
      </c>
      <c r="AR19" s="372">
        <f t="shared" si="16"/>
        <v>0</v>
      </c>
      <c r="AS19" s="372">
        <f t="shared" si="16"/>
        <v>0</v>
      </c>
      <c r="AT19" s="372">
        <f t="shared" si="16"/>
        <v>0</v>
      </c>
      <c r="AU19" s="372">
        <f t="shared" si="16"/>
        <v>0</v>
      </c>
      <c r="AV19" s="372">
        <f t="shared" si="16"/>
        <v>0</v>
      </c>
      <c r="AW19" s="372">
        <f t="shared" si="16"/>
        <v>0</v>
      </c>
      <c r="AX19" s="372">
        <f t="shared" si="16"/>
        <v>0</v>
      </c>
      <c r="AY19" s="372">
        <f t="shared" si="16"/>
        <v>0</v>
      </c>
      <c r="AZ19" s="372">
        <f t="shared" si="17"/>
        <v>0</v>
      </c>
      <c r="BA19" s="372">
        <f t="shared" si="17"/>
        <v>0</v>
      </c>
      <c r="BB19" s="372">
        <f t="shared" si="17"/>
        <v>0</v>
      </c>
      <c r="BC19" s="372">
        <f t="shared" si="17"/>
        <v>0</v>
      </c>
      <c r="BD19" s="372">
        <f t="shared" si="17"/>
        <v>0</v>
      </c>
      <c r="BE19" s="372">
        <f t="shared" si="17"/>
        <v>0</v>
      </c>
      <c r="BF19" s="372">
        <f t="shared" si="17"/>
        <v>0</v>
      </c>
      <c r="BG19" s="372">
        <f t="shared" si="17"/>
        <v>0</v>
      </c>
      <c r="BH19" s="372">
        <f t="shared" si="17"/>
        <v>0</v>
      </c>
      <c r="BI19" s="372">
        <f t="shared" si="17"/>
        <v>0</v>
      </c>
      <c r="BJ19" s="372">
        <f t="shared" si="18"/>
        <v>0</v>
      </c>
      <c r="BK19" s="372">
        <f t="shared" si="18"/>
        <v>0</v>
      </c>
      <c r="BL19" s="372">
        <f t="shared" si="18"/>
        <v>0</v>
      </c>
      <c r="BM19" s="372">
        <f t="shared" si="18"/>
        <v>0</v>
      </c>
      <c r="BN19" s="372">
        <f t="shared" si="18"/>
        <v>0</v>
      </c>
      <c r="BO19" s="372">
        <f t="shared" si="18"/>
        <v>0</v>
      </c>
      <c r="BP19" s="372">
        <f t="shared" si="18"/>
        <v>0</v>
      </c>
      <c r="BQ19" s="372">
        <f t="shared" si="18"/>
        <v>0</v>
      </c>
      <c r="BR19" s="372">
        <f t="shared" si="18"/>
        <v>0</v>
      </c>
      <c r="BS19" s="372">
        <f t="shared" si="18"/>
        <v>0</v>
      </c>
      <c r="BT19" s="372">
        <f t="shared" si="19"/>
        <v>0</v>
      </c>
      <c r="BU19" s="372">
        <f t="shared" si="19"/>
        <v>0</v>
      </c>
      <c r="BV19" s="372">
        <f t="shared" si="19"/>
        <v>0</v>
      </c>
      <c r="BW19" s="372">
        <f t="shared" si="19"/>
        <v>0</v>
      </c>
      <c r="BX19" s="372">
        <f t="shared" si="19"/>
        <v>0</v>
      </c>
      <c r="BY19" s="372">
        <f t="shared" si="19"/>
        <v>0</v>
      </c>
      <c r="BZ19" s="372">
        <f t="shared" si="19"/>
        <v>0</v>
      </c>
      <c r="CA19" s="372">
        <f t="shared" si="19"/>
        <v>0</v>
      </c>
      <c r="CB19" s="372">
        <f t="shared" si="19"/>
        <v>0</v>
      </c>
      <c r="CC19" s="372">
        <f t="shared" si="19"/>
        <v>0</v>
      </c>
      <c r="CD19" s="372">
        <f t="shared" si="20"/>
        <v>0</v>
      </c>
      <c r="CE19" s="372">
        <f t="shared" si="20"/>
        <v>3636.363636363636</v>
      </c>
      <c r="CF19" s="372">
        <f t="shared" si="20"/>
        <v>6666.666666666667</v>
      </c>
      <c r="CG19" s="372">
        <f t="shared" si="20"/>
        <v>6666.666666666667</v>
      </c>
      <c r="CH19" s="372">
        <f t="shared" si="20"/>
        <v>6666.666666666667</v>
      </c>
      <c r="CI19" s="372">
        <f t="shared" si="20"/>
        <v>6666.666666666667</v>
      </c>
      <c r="CJ19" s="372">
        <f t="shared" si="20"/>
        <v>6666.666666666667</v>
      </c>
      <c r="CK19" s="372">
        <f t="shared" si="20"/>
        <v>6666.666666666667</v>
      </c>
    </row>
    <row r="20" spans="2:89" outlineLevel="1">
      <c r="D20" s="487" t="s">
        <v>396</v>
      </c>
      <c r="E20" s="421"/>
      <c r="F20" s="486"/>
      <c r="G20" s="486" t="s">
        <v>184</v>
      </c>
      <c r="H20" s="486" t="s">
        <v>378</v>
      </c>
      <c r="I20" s="484">
        <v>46235</v>
      </c>
      <c r="J20" s="484"/>
      <c r="K20" s="438">
        <v>120000</v>
      </c>
      <c r="L20" s="485"/>
      <c r="M20" s="484"/>
      <c r="N20" s="484"/>
      <c r="O20" s="484" t="s">
        <v>379</v>
      </c>
      <c r="R20" s="372">
        <f t="shared" si="14"/>
        <v>0</v>
      </c>
      <c r="S20" s="372">
        <f t="shared" si="14"/>
        <v>0</v>
      </c>
      <c r="T20" s="372">
        <f t="shared" si="14"/>
        <v>0</v>
      </c>
      <c r="U20" s="372">
        <f t="shared" si="14"/>
        <v>50000</v>
      </c>
      <c r="X20" s="372">
        <f t="shared" si="15"/>
        <v>0</v>
      </c>
      <c r="Y20" s="372">
        <f t="shared" si="15"/>
        <v>0</v>
      </c>
      <c r="Z20" s="372">
        <f t="shared" si="15"/>
        <v>0</v>
      </c>
      <c r="AA20" s="372">
        <f t="shared" si="15"/>
        <v>0</v>
      </c>
      <c r="AB20" s="372">
        <f t="shared" si="15"/>
        <v>0</v>
      </c>
      <c r="AC20" s="372">
        <f t="shared" si="15"/>
        <v>0</v>
      </c>
      <c r="AD20" s="372">
        <f t="shared" si="15"/>
        <v>0</v>
      </c>
      <c r="AE20" s="372">
        <f t="shared" si="15"/>
        <v>0</v>
      </c>
      <c r="AF20" s="372">
        <f t="shared" si="15"/>
        <v>0</v>
      </c>
      <c r="AG20" s="372">
        <f t="shared" si="15"/>
        <v>0</v>
      </c>
      <c r="AH20" s="372">
        <f t="shared" si="15"/>
        <v>0</v>
      </c>
      <c r="AI20" s="372">
        <f t="shared" si="15"/>
        <v>0</v>
      </c>
      <c r="AJ20" s="372">
        <f t="shared" si="15"/>
        <v>0</v>
      </c>
      <c r="AK20" s="372">
        <f t="shared" si="15"/>
        <v>0</v>
      </c>
      <c r="AL20" s="372">
        <f t="shared" si="15"/>
        <v>20000</v>
      </c>
      <c r="AM20" s="372">
        <f t="shared" si="15"/>
        <v>30000</v>
      </c>
      <c r="AP20" s="372">
        <f t="shared" si="16"/>
        <v>0</v>
      </c>
      <c r="AQ20" s="372">
        <f t="shared" si="16"/>
        <v>0</v>
      </c>
      <c r="AR20" s="372">
        <f t="shared" si="16"/>
        <v>0</v>
      </c>
      <c r="AS20" s="372">
        <f t="shared" si="16"/>
        <v>0</v>
      </c>
      <c r="AT20" s="372">
        <f t="shared" si="16"/>
        <v>0</v>
      </c>
      <c r="AU20" s="372">
        <f t="shared" si="16"/>
        <v>0</v>
      </c>
      <c r="AV20" s="372">
        <f t="shared" si="16"/>
        <v>0</v>
      </c>
      <c r="AW20" s="372">
        <f t="shared" si="16"/>
        <v>0</v>
      </c>
      <c r="AX20" s="372">
        <f t="shared" si="16"/>
        <v>0</v>
      </c>
      <c r="AY20" s="372">
        <f t="shared" si="16"/>
        <v>0</v>
      </c>
      <c r="AZ20" s="372">
        <f t="shared" si="17"/>
        <v>0</v>
      </c>
      <c r="BA20" s="372">
        <f t="shared" si="17"/>
        <v>0</v>
      </c>
      <c r="BB20" s="372">
        <f t="shared" si="17"/>
        <v>0</v>
      </c>
      <c r="BC20" s="372">
        <f t="shared" si="17"/>
        <v>0</v>
      </c>
      <c r="BD20" s="372">
        <f t="shared" si="17"/>
        <v>0</v>
      </c>
      <c r="BE20" s="372">
        <f t="shared" si="17"/>
        <v>0</v>
      </c>
      <c r="BF20" s="372">
        <f t="shared" si="17"/>
        <v>0</v>
      </c>
      <c r="BG20" s="372">
        <f t="shared" si="17"/>
        <v>0</v>
      </c>
      <c r="BH20" s="372">
        <f t="shared" si="17"/>
        <v>0</v>
      </c>
      <c r="BI20" s="372">
        <f t="shared" si="17"/>
        <v>0</v>
      </c>
      <c r="BJ20" s="372">
        <f t="shared" si="18"/>
        <v>0</v>
      </c>
      <c r="BK20" s="372">
        <f t="shared" si="18"/>
        <v>0</v>
      </c>
      <c r="BL20" s="372">
        <f t="shared" si="18"/>
        <v>0</v>
      </c>
      <c r="BM20" s="372">
        <f t="shared" si="18"/>
        <v>0</v>
      </c>
      <c r="BN20" s="372">
        <f t="shared" si="18"/>
        <v>0</v>
      </c>
      <c r="BO20" s="372">
        <f t="shared" si="18"/>
        <v>0</v>
      </c>
      <c r="BP20" s="372">
        <f t="shared" si="18"/>
        <v>0</v>
      </c>
      <c r="BQ20" s="372">
        <f t="shared" si="18"/>
        <v>0</v>
      </c>
      <c r="BR20" s="372">
        <f t="shared" si="18"/>
        <v>0</v>
      </c>
      <c r="BS20" s="372">
        <f t="shared" si="18"/>
        <v>0</v>
      </c>
      <c r="BT20" s="372">
        <f t="shared" si="19"/>
        <v>0</v>
      </c>
      <c r="BU20" s="372">
        <f t="shared" si="19"/>
        <v>0</v>
      </c>
      <c r="BV20" s="372">
        <f t="shared" si="19"/>
        <v>0</v>
      </c>
      <c r="BW20" s="372">
        <f t="shared" si="19"/>
        <v>0</v>
      </c>
      <c r="BX20" s="372">
        <f t="shared" si="19"/>
        <v>0</v>
      </c>
      <c r="BY20" s="372">
        <f t="shared" si="19"/>
        <v>0</v>
      </c>
      <c r="BZ20" s="372">
        <f t="shared" si="19"/>
        <v>0</v>
      </c>
      <c r="CA20" s="372">
        <f t="shared" si="19"/>
        <v>0</v>
      </c>
      <c r="CB20" s="372">
        <f t="shared" si="19"/>
        <v>0</v>
      </c>
      <c r="CC20" s="372">
        <f t="shared" si="19"/>
        <v>0</v>
      </c>
      <c r="CD20" s="372">
        <f t="shared" si="20"/>
        <v>0</v>
      </c>
      <c r="CE20" s="372">
        <f t="shared" si="20"/>
        <v>0</v>
      </c>
      <c r="CF20" s="372">
        <f t="shared" si="20"/>
        <v>0</v>
      </c>
      <c r="CG20" s="372">
        <f t="shared" si="20"/>
        <v>10000</v>
      </c>
      <c r="CH20" s="372">
        <f t="shared" si="20"/>
        <v>10000</v>
      </c>
      <c r="CI20" s="372">
        <f t="shared" si="20"/>
        <v>10000</v>
      </c>
      <c r="CJ20" s="372">
        <f t="shared" si="20"/>
        <v>10000</v>
      </c>
      <c r="CK20" s="372">
        <f t="shared" si="20"/>
        <v>10000</v>
      </c>
    </row>
    <row r="21" spans="2:89" outlineLevel="1">
      <c r="D21" s="421"/>
      <c r="E21" s="421"/>
      <c r="F21" s="486"/>
      <c r="G21" s="486"/>
      <c r="H21" s="486"/>
      <c r="I21" s="484"/>
      <c r="J21" s="484"/>
      <c r="K21" s="438"/>
      <c r="L21" s="485"/>
      <c r="M21" s="484"/>
      <c r="N21" s="484"/>
      <c r="O21" s="484"/>
      <c r="R21" s="372">
        <f t="shared" si="14"/>
        <v>0</v>
      </c>
      <c r="S21" s="372">
        <f t="shared" si="14"/>
        <v>0</v>
      </c>
      <c r="T21" s="372">
        <f t="shared" si="14"/>
        <v>0</v>
      </c>
      <c r="U21" s="372">
        <f t="shared" si="14"/>
        <v>0</v>
      </c>
      <c r="X21" s="372">
        <f t="shared" ref="X21:AM35" si="21">SUMIFS($AP21:$CK21,$AP$4:$CK$4,"&gt;="&amp;X$4,$AP$5:$CK$5,"&lt;="&amp;X$5)</f>
        <v>0</v>
      </c>
      <c r="Y21" s="372">
        <f t="shared" si="21"/>
        <v>0</v>
      </c>
      <c r="Z21" s="372">
        <f t="shared" si="21"/>
        <v>0</v>
      </c>
      <c r="AA21" s="372">
        <f t="shared" si="21"/>
        <v>0</v>
      </c>
      <c r="AB21" s="372">
        <f t="shared" si="21"/>
        <v>0</v>
      </c>
      <c r="AC21" s="372">
        <f t="shared" si="21"/>
        <v>0</v>
      </c>
      <c r="AD21" s="372">
        <f t="shared" si="21"/>
        <v>0</v>
      </c>
      <c r="AE21" s="372">
        <f t="shared" si="21"/>
        <v>0</v>
      </c>
      <c r="AF21" s="372">
        <f t="shared" si="21"/>
        <v>0</v>
      </c>
      <c r="AG21" s="372">
        <f t="shared" si="21"/>
        <v>0</v>
      </c>
      <c r="AH21" s="372">
        <f t="shared" si="21"/>
        <v>0</v>
      </c>
      <c r="AI21" s="372">
        <f t="shared" si="21"/>
        <v>0</v>
      </c>
      <c r="AJ21" s="372">
        <f t="shared" si="21"/>
        <v>0</v>
      </c>
      <c r="AK21" s="372">
        <f t="shared" si="21"/>
        <v>0</v>
      </c>
      <c r="AL21" s="372">
        <f t="shared" si="21"/>
        <v>0</v>
      </c>
      <c r="AM21" s="372">
        <f t="shared" si="21"/>
        <v>0</v>
      </c>
      <c r="AP21" s="372">
        <f t="shared" ref="AP21:AY35" si="22">_xlfn.LET(
_xlpm.hireDate,$I21,
_xlpm.terminationDate,$J21,
_xlpm.initialSalary,$K21,
_xlpm.updatedSalary,$L21,
_xlpm.updatedSalaryDate,$M21,
_xlpm.periodStartDate,AP$4,
_xlpm.periodEndDate,AP$8,
_xlpm.hireNotYetStarted,$I21&gt;_xlpm.periodEndDate,
_xlpm.hireAlreadyTerminated,AND(NOT(ISBLANK(_xlpm.terminationDate)),_xlpm.terminationDate&lt;_xlpm.periodStartDate),
_xlpm.hireStartedMiddleOfPeriod, AND(_xlpm.hireDate&gt;=_xlpm.periodStartDate,_xlpm.hireDate&lt;=_xlpm.periodEndDate),
_xlpm.hireTerminatedMiddleOfPeriod,AND(_xlpm.terminationDate&gt;=_xlpm.periodStartDate,_xlpm.terminationDate&lt;=_xlpm.periodEndDate),
_xlpm.daysAvailable,NETWORKDAYS(_xlpm.periodStartDate,_xlpm.periodEndDate),
_xlpm.daysWorked,
  IF(OR(_xlpm.hireNotYetStarted,_xlpm.hireAlreadyTerminated),0,
  NETWORKDAYS(IF(_xlpm.hireStartedMiddleOfPeriod,_xlpm.hireDate,_xlpm.periodStartDate),IF(_xlpm.hireTerminatedMiddleOfPeriod,_xlpm.terminationDate,_xlpm.periodEndDate))),
_xlpm.daysUtilized, _xlpm.daysWorked/_xlpm.daysAvailable,
_xlpm.currentSalary,IF(AND(NOT(ISBLANK(_xlpm.updatedSalaryDate)),_xlpm.updatedSalaryDate&lt;=_xlpm.periodEndDate),_xlpm.updatedSalary,_xlpm.initialSalary),
_xlpm.grossPay,_xlpm.daysUtilized*_xlpm.currentSalary/12,
_xlpm.grossPay)</f>
        <v>0</v>
      </c>
      <c r="AQ21" s="372">
        <f t="shared" si="22"/>
        <v>0</v>
      </c>
      <c r="AR21" s="372">
        <f t="shared" si="22"/>
        <v>0</v>
      </c>
      <c r="AS21" s="372">
        <f t="shared" si="22"/>
        <v>0</v>
      </c>
      <c r="AT21" s="372">
        <f t="shared" si="22"/>
        <v>0</v>
      </c>
      <c r="AU21" s="372">
        <f t="shared" si="22"/>
        <v>0</v>
      </c>
      <c r="AV21" s="372">
        <f t="shared" si="22"/>
        <v>0</v>
      </c>
      <c r="AW21" s="372">
        <f t="shared" si="22"/>
        <v>0</v>
      </c>
      <c r="AX21" s="372">
        <f t="shared" si="22"/>
        <v>0</v>
      </c>
      <c r="AY21" s="372">
        <f t="shared" si="22"/>
        <v>0</v>
      </c>
      <c r="AZ21" s="372">
        <f t="shared" ref="AZ21:BI35" si="23">_xlfn.LET(
_xlpm.hireDate,$I21,
_xlpm.terminationDate,$J21,
_xlpm.initialSalary,$K21,
_xlpm.updatedSalary,$L21,
_xlpm.updatedSalaryDate,$M21,
_xlpm.periodStartDate,AZ$4,
_xlpm.periodEndDate,AZ$8,
_xlpm.hireNotYetStarted,$I21&gt;_xlpm.periodEndDate,
_xlpm.hireAlreadyTerminated,AND(NOT(ISBLANK(_xlpm.terminationDate)),_xlpm.terminationDate&lt;_xlpm.periodStartDate),
_xlpm.hireStartedMiddleOfPeriod, AND(_xlpm.hireDate&gt;=_xlpm.periodStartDate,_xlpm.hireDate&lt;=_xlpm.periodEndDate),
_xlpm.hireTerminatedMiddleOfPeriod,AND(_xlpm.terminationDate&gt;=_xlpm.periodStartDate,_xlpm.terminationDate&lt;=_xlpm.periodEndDate),
_xlpm.daysAvailable,NETWORKDAYS(_xlpm.periodStartDate,_xlpm.periodEndDate),
_xlpm.daysWorked,
  IF(OR(_xlpm.hireNotYetStarted,_xlpm.hireAlreadyTerminated),0,
  NETWORKDAYS(IF(_xlpm.hireStartedMiddleOfPeriod,_xlpm.hireDate,_xlpm.periodStartDate),IF(_xlpm.hireTerminatedMiddleOfPeriod,_xlpm.terminationDate,_xlpm.periodEndDate))),
_xlpm.daysUtilized, _xlpm.daysWorked/_xlpm.daysAvailable,
_xlpm.currentSalary,IF(AND(NOT(ISBLANK(_xlpm.updatedSalaryDate)),_xlpm.updatedSalaryDate&lt;=_xlpm.periodEndDate),_xlpm.updatedSalary,_xlpm.initialSalary),
_xlpm.grossPay,_xlpm.daysUtilized*_xlpm.currentSalary/12,
_xlpm.grossPay)</f>
        <v>0</v>
      </c>
      <c r="BA21" s="372">
        <f t="shared" si="23"/>
        <v>0</v>
      </c>
      <c r="BB21" s="372">
        <f t="shared" si="23"/>
        <v>0</v>
      </c>
      <c r="BC21" s="372">
        <f t="shared" si="23"/>
        <v>0</v>
      </c>
      <c r="BD21" s="372">
        <f t="shared" si="23"/>
        <v>0</v>
      </c>
      <c r="BE21" s="372">
        <f t="shared" si="23"/>
        <v>0</v>
      </c>
      <c r="BF21" s="372">
        <f t="shared" si="23"/>
        <v>0</v>
      </c>
      <c r="BG21" s="372">
        <f t="shared" si="23"/>
        <v>0</v>
      </c>
      <c r="BH21" s="372">
        <f t="shared" si="23"/>
        <v>0</v>
      </c>
      <c r="BI21" s="372">
        <f t="shared" si="23"/>
        <v>0</v>
      </c>
      <c r="BJ21" s="372">
        <f t="shared" ref="BJ21:BS35" si="24">_xlfn.LET(
_xlpm.hireDate,$I21,
_xlpm.terminationDate,$J21,
_xlpm.initialSalary,$K21,
_xlpm.updatedSalary,$L21,
_xlpm.updatedSalaryDate,$M21,
_xlpm.periodStartDate,BJ$4,
_xlpm.periodEndDate,BJ$8,
_xlpm.hireNotYetStarted,$I21&gt;_xlpm.periodEndDate,
_xlpm.hireAlreadyTerminated,AND(NOT(ISBLANK(_xlpm.terminationDate)),_xlpm.terminationDate&lt;_xlpm.periodStartDate),
_xlpm.hireStartedMiddleOfPeriod, AND(_xlpm.hireDate&gt;=_xlpm.periodStartDate,_xlpm.hireDate&lt;=_xlpm.periodEndDate),
_xlpm.hireTerminatedMiddleOfPeriod,AND(_xlpm.terminationDate&gt;=_xlpm.periodStartDate,_xlpm.terminationDate&lt;=_xlpm.periodEndDate),
_xlpm.daysAvailable,NETWORKDAYS(_xlpm.periodStartDate,_xlpm.periodEndDate),
_xlpm.daysWorked,
  IF(OR(_xlpm.hireNotYetStarted,_xlpm.hireAlreadyTerminated),0,
  NETWORKDAYS(IF(_xlpm.hireStartedMiddleOfPeriod,_xlpm.hireDate,_xlpm.periodStartDate),IF(_xlpm.hireTerminatedMiddleOfPeriod,_xlpm.terminationDate,_xlpm.periodEndDate))),
_xlpm.daysUtilized, _xlpm.daysWorked/_xlpm.daysAvailable,
_xlpm.currentSalary,IF(AND(NOT(ISBLANK(_xlpm.updatedSalaryDate)),_xlpm.updatedSalaryDate&lt;=_xlpm.periodEndDate),_xlpm.updatedSalary,_xlpm.initialSalary),
_xlpm.grossPay,_xlpm.daysUtilized*_xlpm.currentSalary/12,
_xlpm.grossPay)</f>
        <v>0</v>
      </c>
      <c r="BK21" s="372">
        <f t="shared" si="24"/>
        <v>0</v>
      </c>
      <c r="BL21" s="372">
        <f t="shared" si="24"/>
        <v>0</v>
      </c>
      <c r="BM21" s="372">
        <f t="shared" si="24"/>
        <v>0</v>
      </c>
      <c r="BN21" s="372">
        <f t="shared" si="24"/>
        <v>0</v>
      </c>
      <c r="BO21" s="372">
        <f t="shared" si="24"/>
        <v>0</v>
      </c>
      <c r="BP21" s="372">
        <f t="shared" si="24"/>
        <v>0</v>
      </c>
      <c r="BQ21" s="372">
        <f t="shared" si="24"/>
        <v>0</v>
      </c>
      <c r="BR21" s="372">
        <f t="shared" si="24"/>
        <v>0</v>
      </c>
      <c r="BS21" s="372">
        <f t="shared" si="24"/>
        <v>0</v>
      </c>
      <c r="BT21" s="372">
        <f t="shared" ref="BT21:CC35" si="25">_xlfn.LET(
_xlpm.hireDate,$I21,
_xlpm.terminationDate,$J21,
_xlpm.initialSalary,$K21,
_xlpm.updatedSalary,$L21,
_xlpm.updatedSalaryDate,$M21,
_xlpm.periodStartDate,BT$4,
_xlpm.periodEndDate,BT$8,
_xlpm.hireNotYetStarted,$I21&gt;_xlpm.periodEndDate,
_xlpm.hireAlreadyTerminated,AND(NOT(ISBLANK(_xlpm.terminationDate)),_xlpm.terminationDate&lt;_xlpm.periodStartDate),
_xlpm.hireStartedMiddleOfPeriod, AND(_xlpm.hireDate&gt;=_xlpm.periodStartDate,_xlpm.hireDate&lt;=_xlpm.periodEndDate),
_xlpm.hireTerminatedMiddleOfPeriod,AND(_xlpm.terminationDate&gt;=_xlpm.periodStartDate,_xlpm.terminationDate&lt;=_xlpm.periodEndDate),
_xlpm.daysAvailable,NETWORKDAYS(_xlpm.periodStartDate,_xlpm.periodEndDate),
_xlpm.daysWorked,
  IF(OR(_xlpm.hireNotYetStarted,_xlpm.hireAlreadyTerminated),0,
  NETWORKDAYS(IF(_xlpm.hireStartedMiddleOfPeriod,_xlpm.hireDate,_xlpm.periodStartDate),IF(_xlpm.hireTerminatedMiddleOfPeriod,_xlpm.terminationDate,_xlpm.periodEndDate))),
_xlpm.daysUtilized, _xlpm.daysWorked/_xlpm.daysAvailable,
_xlpm.currentSalary,IF(AND(NOT(ISBLANK(_xlpm.updatedSalaryDate)),_xlpm.updatedSalaryDate&lt;=_xlpm.periodEndDate),_xlpm.updatedSalary,_xlpm.initialSalary),
_xlpm.grossPay,_xlpm.daysUtilized*_xlpm.currentSalary/12,
_xlpm.grossPay)</f>
        <v>0</v>
      </c>
      <c r="BU21" s="372">
        <f t="shared" si="25"/>
        <v>0</v>
      </c>
      <c r="BV21" s="372">
        <f t="shared" si="25"/>
        <v>0</v>
      </c>
      <c r="BW21" s="372">
        <f t="shared" si="25"/>
        <v>0</v>
      </c>
      <c r="BX21" s="372">
        <f t="shared" si="25"/>
        <v>0</v>
      </c>
      <c r="BY21" s="372">
        <f t="shared" si="25"/>
        <v>0</v>
      </c>
      <c r="BZ21" s="372">
        <f t="shared" si="25"/>
        <v>0</v>
      </c>
      <c r="CA21" s="372">
        <f t="shared" si="25"/>
        <v>0</v>
      </c>
      <c r="CB21" s="372">
        <f t="shared" si="25"/>
        <v>0</v>
      </c>
      <c r="CC21" s="372">
        <f t="shared" si="25"/>
        <v>0</v>
      </c>
      <c r="CD21" s="372">
        <f t="shared" ref="CD21:CK35" si="26">_xlfn.LET(
_xlpm.hireDate,$I21,
_xlpm.terminationDate,$J21,
_xlpm.initialSalary,$K21,
_xlpm.updatedSalary,$L21,
_xlpm.updatedSalaryDate,$M21,
_xlpm.periodStartDate,CD$4,
_xlpm.periodEndDate,CD$8,
_xlpm.hireNotYetStarted,$I21&gt;_xlpm.periodEndDate,
_xlpm.hireAlreadyTerminated,AND(NOT(ISBLANK(_xlpm.terminationDate)),_xlpm.terminationDate&lt;_xlpm.periodStartDate),
_xlpm.hireStartedMiddleOfPeriod, AND(_xlpm.hireDate&gt;=_xlpm.periodStartDate,_xlpm.hireDate&lt;=_xlpm.periodEndDate),
_xlpm.hireTerminatedMiddleOfPeriod,AND(_xlpm.terminationDate&gt;=_xlpm.periodStartDate,_xlpm.terminationDate&lt;=_xlpm.periodEndDate),
_xlpm.daysAvailable,NETWORKDAYS(_xlpm.periodStartDate,_xlpm.periodEndDate),
_xlpm.daysWorked,
  IF(OR(_xlpm.hireNotYetStarted,_xlpm.hireAlreadyTerminated),0,
  NETWORKDAYS(IF(_xlpm.hireStartedMiddleOfPeriod,_xlpm.hireDate,_xlpm.periodStartDate),IF(_xlpm.hireTerminatedMiddleOfPeriod,_xlpm.terminationDate,_xlpm.periodEndDate))),
_xlpm.daysUtilized, _xlpm.daysWorked/_xlpm.daysAvailable,
_xlpm.currentSalary,IF(AND(NOT(ISBLANK(_xlpm.updatedSalaryDate)),_xlpm.updatedSalaryDate&lt;=_xlpm.periodEndDate),_xlpm.updatedSalary,_xlpm.initialSalary),
_xlpm.grossPay,_xlpm.daysUtilized*_xlpm.currentSalary/12,
_xlpm.grossPay)</f>
        <v>0</v>
      </c>
      <c r="CE21" s="372">
        <f t="shared" si="26"/>
        <v>0</v>
      </c>
      <c r="CF21" s="372">
        <f t="shared" si="26"/>
        <v>0</v>
      </c>
      <c r="CG21" s="372">
        <f t="shared" si="26"/>
        <v>0</v>
      </c>
      <c r="CH21" s="372">
        <f t="shared" si="26"/>
        <v>0</v>
      </c>
      <c r="CI21" s="372">
        <f t="shared" si="26"/>
        <v>0</v>
      </c>
      <c r="CJ21" s="372">
        <f t="shared" si="26"/>
        <v>0</v>
      </c>
      <c r="CK21" s="372">
        <f t="shared" si="26"/>
        <v>0</v>
      </c>
    </row>
    <row r="22" spans="2:89" outlineLevel="1">
      <c r="D22" s="421"/>
      <c r="E22" s="421"/>
      <c r="F22" s="486"/>
      <c r="G22" s="486"/>
      <c r="H22" s="486"/>
      <c r="I22" s="484"/>
      <c r="J22" s="484"/>
      <c r="K22" s="438"/>
      <c r="L22" s="485"/>
      <c r="M22" s="484"/>
      <c r="N22" s="484"/>
      <c r="O22" s="484"/>
      <c r="R22" s="372">
        <f t="shared" si="14"/>
        <v>0</v>
      </c>
      <c r="S22" s="372">
        <f t="shared" si="14"/>
        <v>0</v>
      </c>
      <c r="T22" s="372">
        <f t="shared" si="14"/>
        <v>0</v>
      </c>
      <c r="U22" s="372">
        <f t="shared" si="14"/>
        <v>0</v>
      </c>
      <c r="X22" s="372">
        <f t="shared" si="21"/>
        <v>0</v>
      </c>
      <c r="Y22" s="372">
        <f t="shared" si="21"/>
        <v>0</v>
      </c>
      <c r="Z22" s="372">
        <f t="shared" si="21"/>
        <v>0</v>
      </c>
      <c r="AA22" s="372">
        <f t="shared" si="21"/>
        <v>0</v>
      </c>
      <c r="AB22" s="372">
        <f t="shared" si="21"/>
        <v>0</v>
      </c>
      <c r="AC22" s="372">
        <f t="shared" si="21"/>
        <v>0</v>
      </c>
      <c r="AD22" s="372">
        <f t="shared" si="21"/>
        <v>0</v>
      </c>
      <c r="AE22" s="372">
        <f t="shared" si="21"/>
        <v>0</v>
      </c>
      <c r="AF22" s="372">
        <f t="shared" si="21"/>
        <v>0</v>
      </c>
      <c r="AG22" s="372">
        <f t="shared" si="21"/>
        <v>0</v>
      </c>
      <c r="AH22" s="372">
        <f t="shared" si="21"/>
        <v>0</v>
      </c>
      <c r="AI22" s="372">
        <f t="shared" si="21"/>
        <v>0</v>
      </c>
      <c r="AJ22" s="372">
        <f t="shared" si="21"/>
        <v>0</v>
      </c>
      <c r="AK22" s="372">
        <f t="shared" si="21"/>
        <v>0</v>
      </c>
      <c r="AL22" s="372">
        <f t="shared" si="21"/>
        <v>0</v>
      </c>
      <c r="AM22" s="372">
        <f t="shared" si="21"/>
        <v>0</v>
      </c>
      <c r="AP22" s="372">
        <f t="shared" si="22"/>
        <v>0</v>
      </c>
      <c r="AQ22" s="372">
        <f t="shared" si="22"/>
        <v>0</v>
      </c>
      <c r="AR22" s="372">
        <f t="shared" si="22"/>
        <v>0</v>
      </c>
      <c r="AS22" s="372">
        <f t="shared" si="22"/>
        <v>0</v>
      </c>
      <c r="AT22" s="372">
        <f t="shared" si="22"/>
        <v>0</v>
      </c>
      <c r="AU22" s="372">
        <f t="shared" si="22"/>
        <v>0</v>
      </c>
      <c r="AV22" s="372">
        <f t="shared" si="22"/>
        <v>0</v>
      </c>
      <c r="AW22" s="372">
        <f t="shared" si="22"/>
        <v>0</v>
      </c>
      <c r="AX22" s="372">
        <f t="shared" si="22"/>
        <v>0</v>
      </c>
      <c r="AY22" s="372">
        <f t="shared" si="22"/>
        <v>0</v>
      </c>
      <c r="AZ22" s="372">
        <f t="shared" si="23"/>
        <v>0</v>
      </c>
      <c r="BA22" s="372">
        <f t="shared" si="23"/>
        <v>0</v>
      </c>
      <c r="BB22" s="372">
        <f t="shared" si="23"/>
        <v>0</v>
      </c>
      <c r="BC22" s="372">
        <f t="shared" si="23"/>
        <v>0</v>
      </c>
      <c r="BD22" s="372">
        <f t="shared" si="23"/>
        <v>0</v>
      </c>
      <c r="BE22" s="372">
        <f t="shared" si="23"/>
        <v>0</v>
      </c>
      <c r="BF22" s="372">
        <f t="shared" si="23"/>
        <v>0</v>
      </c>
      <c r="BG22" s="372">
        <f t="shared" si="23"/>
        <v>0</v>
      </c>
      <c r="BH22" s="372">
        <f t="shared" si="23"/>
        <v>0</v>
      </c>
      <c r="BI22" s="372">
        <f t="shared" si="23"/>
        <v>0</v>
      </c>
      <c r="BJ22" s="372">
        <f t="shared" si="24"/>
        <v>0</v>
      </c>
      <c r="BK22" s="372">
        <f t="shared" si="24"/>
        <v>0</v>
      </c>
      <c r="BL22" s="372">
        <f t="shared" si="24"/>
        <v>0</v>
      </c>
      <c r="BM22" s="372">
        <f t="shared" si="24"/>
        <v>0</v>
      </c>
      <c r="BN22" s="372">
        <f t="shared" si="24"/>
        <v>0</v>
      </c>
      <c r="BO22" s="372">
        <f t="shared" si="24"/>
        <v>0</v>
      </c>
      <c r="BP22" s="372">
        <f t="shared" si="24"/>
        <v>0</v>
      </c>
      <c r="BQ22" s="372">
        <f t="shared" si="24"/>
        <v>0</v>
      </c>
      <c r="BR22" s="372">
        <f t="shared" si="24"/>
        <v>0</v>
      </c>
      <c r="BS22" s="372">
        <f t="shared" si="24"/>
        <v>0</v>
      </c>
      <c r="BT22" s="372">
        <f t="shared" si="25"/>
        <v>0</v>
      </c>
      <c r="BU22" s="372">
        <f t="shared" si="25"/>
        <v>0</v>
      </c>
      <c r="BV22" s="372">
        <f t="shared" si="25"/>
        <v>0</v>
      </c>
      <c r="BW22" s="372">
        <f t="shared" si="25"/>
        <v>0</v>
      </c>
      <c r="BX22" s="372">
        <f t="shared" si="25"/>
        <v>0</v>
      </c>
      <c r="BY22" s="372">
        <f t="shared" si="25"/>
        <v>0</v>
      </c>
      <c r="BZ22" s="372">
        <f t="shared" si="25"/>
        <v>0</v>
      </c>
      <c r="CA22" s="372">
        <f t="shared" si="25"/>
        <v>0</v>
      </c>
      <c r="CB22" s="372">
        <f t="shared" si="25"/>
        <v>0</v>
      </c>
      <c r="CC22" s="372">
        <f t="shared" si="25"/>
        <v>0</v>
      </c>
      <c r="CD22" s="372">
        <f t="shared" si="26"/>
        <v>0</v>
      </c>
      <c r="CE22" s="372">
        <f t="shared" si="26"/>
        <v>0</v>
      </c>
      <c r="CF22" s="372">
        <f t="shared" si="26"/>
        <v>0</v>
      </c>
      <c r="CG22" s="372">
        <f t="shared" si="26"/>
        <v>0</v>
      </c>
      <c r="CH22" s="372">
        <f t="shared" si="26"/>
        <v>0</v>
      </c>
      <c r="CI22" s="372">
        <f t="shared" si="26"/>
        <v>0</v>
      </c>
      <c r="CJ22" s="372">
        <f t="shared" si="26"/>
        <v>0</v>
      </c>
      <c r="CK22" s="372">
        <f t="shared" si="26"/>
        <v>0</v>
      </c>
    </row>
    <row r="23" spans="2:89" outlineLevel="1">
      <c r="D23" s="421"/>
      <c r="E23" s="421"/>
      <c r="F23" s="486"/>
      <c r="G23" s="486"/>
      <c r="H23" s="486"/>
      <c r="I23" s="484"/>
      <c r="J23" s="484"/>
      <c r="K23" s="438"/>
      <c r="L23" s="485"/>
      <c r="M23" s="484"/>
      <c r="N23" s="484"/>
      <c r="O23" s="484"/>
      <c r="R23" s="372">
        <f t="shared" si="14"/>
        <v>0</v>
      </c>
      <c r="S23" s="372">
        <f t="shared" si="14"/>
        <v>0</v>
      </c>
      <c r="T23" s="372">
        <f t="shared" si="14"/>
        <v>0</v>
      </c>
      <c r="U23" s="372">
        <f t="shared" si="14"/>
        <v>0</v>
      </c>
      <c r="X23" s="372">
        <f t="shared" si="21"/>
        <v>0</v>
      </c>
      <c r="Y23" s="372">
        <f t="shared" si="21"/>
        <v>0</v>
      </c>
      <c r="Z23" s="372">
        <f t="shared" si="21"/>
        <v>0</v>
      </c>
      <c r="AA23" s="372">
        <f t="shared" si="21"/>
        <v>0</v>
      </c>
      <c r="AB23" s="372">
        <f t="shared" si="21"/>
        <v>0</v>
      </c>
      <c r="AC23" s="372">
        <f t="shared" si="21"/>
        <v>0</v>
      </c>
      <c r="AD23" s="372">
        <f t="shared" si="21"/>
        <v>0</v>
      </c>
      <c r="AE23" s="372">
        <f t="shared" si="21"/>
        <v>0</v>
      </c>
      <c r="AF23" s="372">
        <f t="shared" si="21"/>
        <v>0</v>
      </c>
      <c r="AG23" s="372">
        <f t="shared" si="21"/>
        <v>0</v>
      </c>
      <c r="AH23" s="372">
        <f t="shared" si="21"/>
        <v>0</v>
      </c>
      <c r="AI23" s="372">
        <f t="shared" si="21"/>
        <v>0</v>
      </c>
      <c r="AJ23" s="372">
        <f t="shared" si="21"/>
        <v>0</v>
      </c>
      <c r="AK23" s="372">
        <f t="shared" si="21"/>
        <v>0</v>
      </c>
      <c r="AL23" s="372">
        <f t="shared" si="21"/>
        <v>0</v>
      </c>
      <c r="AM23" s="372">
        <f t="shared" si="21"/>
        <v>0</v>
      </c>
      <c r="AP23" s="372">
        <f t="shared" si="22"/>
        <v>0</v>
      </c>
      <c r="AQ23" s="372">
        <f t="shared" si="22"/>
        <v>0</v>
      </c>
      <c r="AR23" s="372">
        <f t="shared" si="22"/>
        <v>0</v>
      </c>
      <c r="AS23" s="372">
        <f t="shared" si="22"/>
        <v>0</v>
      </c>
      <c r="AT23" s="372">
        <f t="shared" si="22"/>
        <v>0</v>
      </c>
      <c r="AU23" s="372">
        <f t="shared" si="22"/>
        <v>0</v>
      </c>
      <c r="AV23" s="372">
        <f t="shared" si="22"/>
        <v>0</v>
      </c>
      <c r="AW23" s="372">
        <f t="shared" si="22"/>
        <v>0</v>
      </c>
      <c r="AX23" s="372">
        <f t="shared" si="22"/>
        <v>0</v>
      </c>
      <c r="AY23" s="372">
        <f t="shared" si="22"/>
        <v>0</v>
      </c>
      <c r="AZ23" s="372">
        <f t="shared" si="23"/>
        <v>0</v>
      </c>
      <c r="BA23" s="372">
        <f t="shared" si="23"/>
        <v>0</v>
      </c>
      <c r="BB23" s="372">
        <f t="shared" si="23"/>
        <v>0</v>
      </c>
      <c r="BC23" s="372">
        <f t="shared" si="23"/>
        <v>0</v>
      </c>
      <c r="BD23" s="372">
        <f t="shared" si="23"/>
        <v>0</v>
      </c>
      <c r="BE23" s="372">
        <f t="shared" si="23"/>
        <v>0</v>
      </c>
      <c r="BF23" s="372">
        <f t="shared" si="23"/>
        <v>0</v>
      </c>
      <c r="BG23" s="372">
        <f t="shared" si="23"/>
        <v>0</v>
      </c>
      <c r="BH23" s="372">
        <f t="shared" si="23"/>
        <v>0</v>
      </c>
      <c r="BI23" s="372">
        <f t="shared" si="23"/>
        <v>0</v>
      </c>
      <c r="BJ23" s="372">
        <f t="shared" si="24"/>
        <v>0</v>
      </c>
      <c r="BK23" s="372">
        <f t="shared" si="24"/>
        <v>0</v>
      </c>
      <c r="BL23" s="372">
        <f t="shared" si="24"/>
        <v>0</v>
      </c>
      <c r="BM23" s="372">
        <f t="shared" si="24"/>
        <v>0</v>
      </c>
      <c r="BN23" s="372">
        <f t="shared" si="24"/>
        <v>0</v>
      </c>
      <c r="BO23" s="372">
        <f t="shared" si="24"/>
        <v>0</v>
      </c>
      <c r="BP23" s="372">
        <f t="shared" si="24"/>
        <v>0</v>
      </c>
      <c r="BQ23" s="372">
        <f t="shared" si="24"/>
        <v>0</v>
      </c>
      <c r="BR23" s="372">
        <f t="shared" si="24"/>
        <v>0</v>
      </c>
      <c r="BS23" s="372">
        <f t="shared" si="24"/>
        <v>0</v>
      </c>
      <c r="BT23" s="372">
        <f t="shared" si="25"/>
        <v>0</v>
      </c>
      <c r="BU23" s="372">
        <f t="shared" si="25"/>
        <v>0</v>
      </c>
      <c r="BV23" s="372">
        <f t="shared" si="25"/>
        <v>0</v>
      </c>
      <c r="BW23" s="372">
        <f t="shared" si="25"/>
        <v>0</v>
      </c>
      <c r="BX23" s="372">
        <f t="shared" si="25"/>
        <v>0</v>
      </c>
      <c r="BY23" s="372">
        <f t="shared" si="25"/>
        <v>0</v>
      </c>
      <c r="BZ23" s="372">
        <f t="shared" si="25"/>
        <v>0</v>
      </c>
      <c r="CA23" s="372">
        <f t="shared" si="25"/>
        <v>0</v>
      </c>
      <c r="CB23" s="372">
        <f t="shared" si="25"/>
        <v>0</v>
      </c>
      <c r="CC23" s="372">
        <f t="shared" si="25"/>
        <v>0</v>
      </c>
      <c r="CD23" s="372">
        <f t="shared" si="26"/>
        <v>0</v>
      </c>
      <c r="CE23" s="372">
        <f t="shared" si="26"/>
        <v>0</v>
      </c>
      <c r="CF23" s="372">
        <f t="shared" si="26"/>
        <v>0</v>
      </c>
      <c r="CG23" s="372">
        <f t="shared" si="26"/>
        <v>0</v>
      </c>
      <c r="CH23" s="372">
        <f t="shared" si="26"/>
        <v>0</v>
      </c>
      <c r="CI23" s="372">
        <f t="shared" si="26"/>
        <v>0</v>
      </c>
      <c r="CJ23" s="372">
        <f t="shared" si="26"/>
        <v>0</v>
      </c>
      <c r="CK23" s="372">
        <f t="shared" si="26"/>
        <v>0</v>
      </c>
    </row>
    <row r="24" spans="2:89" outlineLevel="1">
      <c r="D24" s="421"/>
      <c r="E24" s="421"/>
      <c r="F24" s="486"/>
      <c r="G24" s="486"/>
      <c r="H24" s="486"/>
      <c r="I24" s="484"/>
      <c r="J24" s="484"/>
      <c r="K24" s="438"/>
      <c r="L24" s="485"/>
      <c r="M24" s="484"/>
      <c r="N24" s="484"/>
      <c r="O24" s="484"/>
      <c r="R24" s="372">
        <f t="shared" si="14"/>
        <v>0</v>
      </c>
      <c r="S24" s="372">
        <f t="shared" si="14"/>
        <v>0</v>
      </c>
      <c r="T24" s="372">
        <f t="shared" si="14"/>
        <v>0</v>
      </c>
      <c r="U24" s="372">
        <f t="shared" si="14"/>
        <v>0</v>
      </c>
      <c r="X24" s="372">
        <f t="shared" si="21"/>
        <v>0</v>
      </c>
      <c r="Y24" s="372">
        <f t="shared" si="21"/>
        <v>0</v>
      </c>
      <c r="Z24" s="372">
        <f t="shared" si="21"/>
        <v>0</v>
      </c>
      <c r="AA24" s="372">
        <f t="shared" si="21"/>
        <v>0</v>
      </c>
      <c r="AB24" s="372">
        <f t="shared" si="21"/>
        <v>0</v>
      </c>
      <c r="AC24" s="372">
        <f t="shared" si="21"/>
        <v>0</v>
      </c>
      <c r="AD24" s="372">
        <f t="shared" si="21"/>
        <v>0</v>
      </c>
      <c r="AE24" s="372">
        <f t="shared" si="21"/>
        <v>0</v>
      </c>
      <c r="AF24" s="372">
        <f t="shared" si="21"/>
        <v>0</v>
      </c>
      <c r="AG24" s="372">
        <f t="shared" si="21"/>
        <v>0</v>
      </c>
      <c r="AH24" s="372">
        <f t="shared" si="21"/>
        <v>0</v>
      </c>
      <c r="AI24" s="372">
        <f t="shared" si="21"/>
        <v>0</v>
      </c>
      <c r="AJ24" s="372">
        <f t="shared" si="21"/>
        <v>0</v>
      </c>
      <c r="AK24" s="372">
        <f t="shared" si="21"/>
        <v>0</v>
      </c>
      <c r="AL24" s="372">
        <f t="shared" si="21"/>
        <v>0</v>
      </c>
      <c r="AM24" s="372">
        <f t="shared" si="21"/>
        <v>0</v>
      </c>
      <c r="AP24" s="372">
        <f t="shared" si="22"/>
        <v>0</v>
      </c>
      <c r="AQ24" s="372">
        <f t="shared" si="22"/>
        <v>0</v>
      </c>
      <c r="AR24" s="372">
        <f t="shared" si="22"/>
        <v>0</v>
      </c>
      <c r="AS24" s="372">
        <f t="shared" si="22"/>
        <v>0</v>
      </c>
      <c r="AT24" s="372">
        <f t="shared" si="22"/>
        <v>0</v>
      </c>
      <c r="AU24" s="372">
        <f t="shared" si="22"/>
        <v>0</v>
      </c>
      <c r="AV24" s="372">
        <f t="shared" si="22"/>
        <v>0</v>
      </c>
      <c r="AW24" s="372">
        <f t="shared" si="22"/>
        <v>0</v>
      </c>
      <c r="AX24" s="372">
        <f t="shared" si="22"/>
        <v>0</v>
      </c>
      <c r="AY24" s="372">
        <f t="shared" si="22"/>
        <v>0</v>
      </c>
      <c r="AZ24" s="372">
        <f t="shared" si="23"/>
        <v>0</v>
      </c>
      <c r="BA24" s="372">
        <f t="shared" si="23"/>
        <v>0</v>
      </c>
      <c r="BB24" s="372">
        <f t="shared" si="23"/>
        <v>0</v>
      </c>
      <c r="BC24" s="372">
        <f t="shared" si="23"/>
        <v>0</v>
      </c>
      <c r="BD24" s="372">
        <f t="shared" si="23"/>
        <v>0</v>
      </c>
      <c r="BE24" s="372">
        <f t="shared" si="23"/>
        <v>0</v>
      </c>
      <c r="BF24" s="372">
        <f t="shared" si="23"/>
        <v>0</v>
      </c>
      <c r="BG24" s="372">
        <f t="shared" si="23"/>
        <v>0</v>
      </c>
      <c r="BH24" s="372">
        <f t="shared" si="23"/>
        <v>0</v>
      </c>
      <c r="BI24" s="372">
        <f t="shared" si="23"/>
        <v>0</v>
      </c>
      <c r="BJ24" s="372">
        <f t="shared" si="24"/>
        <v>0</v>
      </c>
      <c r="BK24" s="372">
        <f t="shared" si="24"/>
        <v>0</v>
      </c>
      <c r="BL24" s="372">
        <f t="shared" si="24"/>
        <v>0</v>
      </c>
      <c r="BM24" s="372">
        <f t="shared" si="24"/>
        <v>0</v>
      </c>
      <c r="BN24" s="372">
        <f t="shared" si="24"/>
        <v>0</v>
      </c>
      <c r="BO24" s="372">
        <f t="shared" si="24"/>
        <v>0</v>
      </c>
      <c r="BP24" s="372">
        <f t="shared" si="24"/>
        <v>0</v>
      </c>
      <c r="BQ24" s="372">
        <f t="shared" si="24"/>
        <v>0</v>
      </c>
      <c r="BR24" s="372">
        <f t="shared" si="24"/>
        <v>0</v>
      </c>
      <c r="BS24" s="372">
        <f t="shared" si="24"/>
        <v>0</v>
      </c>
      <c r="BT24" s="372">
        <f t="shared" si="25"/>
        <v>0</v>
      </c>
      <c r="BU24" s="372">
        <f t="shared" si="25"/>
        <v>0</v>
      </c>
      <c r="BV24" s="372">
        <f t="shared" si="25"/>
        <v>0</v>
      </c>
      <c r="BW24" s="372">
        <f t="shared" si="25"/>
        <v>0</v>
      </c>
      <c r="BX24" s="372">
        <f t="shared" si="25"/>
        <v>0</v>
      </c>
      <c r="BY24" s="372">
        <f t="shared" si="25"/>
        <v>0</v>
      </c>
      <c r="BZ24" s="372">
        <f t="shared" si="25"/>
        <v>0</v>
      </c>
      <c r="CA24" s="372">
        <f t="shared" si="25"/>
        <v>0</v>
      </c>
      <c r="CB24" s="372">
        <f t="shared" si="25"/>
        <v>0</v>
      </c>
      <c r="CC24" s="372">
        <f t="shared" si="25"/>
        <v>0</v>
      </c>
      <c r="CD24" s="372">
        <f t="shared" si="26"/>
        <v>0</v>
      </c>
      <c r="CE24" s="372">
        <f t="shared" si="26"/>
        <v>0</v>
      </c>
      <c r="CF24" s="372">
        <f t="shared" si="26"/>
        <v>0</v>
      </c>
      <c r="CG24" s="372">
        <f t="shared" si="26"/>
        <v>0</v>
      </c>
      <c r="CH24" s="372">
        <f t="shared" si="26"/>
        <v>0</v>
      </c>
      <c r="CI24" s="372">
        <f t="shared" si="26"/>
        <v>0</v>
      </c>
      <c r="CJ24" s="372">
        <f t="shared" si="26"/>
        <v>0</v>
      </c>
      <c r="CK24" s="372">
        <f t="shared" si="26"/>
        <v>0</v>
      </c>
    </row>
    <row r="25" spans="2:89" outlineLevel="1">
      <c r="D25" s="421"/>
      <c r="E25" s="421"/>
      <c r="F25" s="486"/>
      <c r="G25" s="486"/>
      <c r="H25" s="486"/>
      <c r="I25" s="484"/>
      <c r="J25" s="484"/>
      <c r="K25" s="438"/>
      <c r="L25" s="485"/>
      <c r="M25" s="484"/>
      <c r="N25" s="484"/>
      <c r="O25" s="484"/>
      <c r="R25" s="372">
        <f t="shared" si="14"/>
        <v>0</v>
      </c>
      <c r="S25" s="372">
        <f t="shared" si="14"/>
        <v>0</v>
      </c>
      <c r="T25" s="372">
        <f t="shared" si="14"/>
        <v>0</v>
      </c>
      <c r="U25" s="372">
        <f t="shared" si="14"/>
        <v>0</v>
      </c>
      <c r="X25" s="372">
        <f t="shared" si="21"/>
        <v>0</v>
      </c>
      <c r="Y25" s="372">
        <f t="shared" si="21"/>
        <v>0</v>
      </c>
      <c r="Z25" s="372">
        <f t="shared" si="21"/>
        <v>0</v>
      </c>
      <c r="AA25" s="372">
        <f t="shared" si="21"/>
        <v>0</v>
      </c>
      <c r="AB25" s="372">
        <f t="shared" si="21"/>
        <v>0</v>
      </c>
      <c r="AC25" s="372">
        <f t="shared" si="21"/>
        <v>0</v>
      </c>
      <c r="AD25" s="372">
        <f t="shared" si="21"/>
        <v>0</v>
      </c>
      <c r="AE25" s="372">
        <f t="shared" si="21"/>
        <v>0</v>
      </c>
      <c r="AF25" s="372">
        <f t="shared" si="21"/>
        <v>0</v>
      </c>
      <c r="AG25" s="372">
        <f t="shared" si="21"/>
        <v>0</v>
      </c>
      <c r="AH25" s="372">
        <f t="shared" si="21"/>
        <v>0</v>
      </c>
      <c r="AI25" s="372">
        <f t="shared" si="21"/>
        <v>0</v>
      </c>
      <c r="AJ25" s="372">
        <f t="shared" si="21"/>
        <v>0</v>
      </c>
      <c r="AK25" s="372">
        <f t="shared" si="21"/>
        <v>0</v>
      </c>
      <c r="AL25" s="372">
        <f t="shared" si="21"/>
        <v>0</v>
      </c>
      <c r="AM25" s="372">
        <f t="shared" si="21"/>
        <v>0</v>
      </c>
      <c r="AP25" s="372">
        <f t="shared" si="22"/>
        <v>0</v>
      </c>
      <c r="AQ25" s="372">
        <f t="shared" si="22"/>
        <v>0</v>
      </c>
      <c r="AR25" s="372">
        <f t="shared" si="22"/>
        <v>0</v>
      </c>
      <c r="AS25" s="372">
        <f t="shared" si="22"/>
        <v>0</v>
      </c>
      <c r="AT25" s="372">
        <f t="shared" si="22"/>
        <v>0</v>
      </c>
      <c r="AU25" s="372">
        <f t="shared" si="22"/>
        <v>0</v>
      </c>
      <c r="AV25" s="372">
        <f t="shared" si="22"/>
        <v>0</v>
      </c>
      <c r="AW25" s="372">
        <f t="shared" si="22"/>
        <v>0</v>
      </c>
      <c r="AX25" s="372">
        <f t="shared" si="22"/>
        <v>0</v>
      </c>
      <c r="AY25" s="372">
        <f t="shared" si="22"/>
        <v>0</v>
      </c>
      <c r="AZ25" s="372">
        <f t="shared" si="23"/>
        <v>0</v>
      </c>
      <c r="BA25" s="372">
        <f t="shared" si="23"/>
        <v>0</v>
      </c>
      <c r="BB25" s="372">
        <f t="shared" si="23"/>
        <v>0</v>
      </c>
      <c r="BC25" s="372">
        <f t="shared" si="23"/>
        <v>0</v>
      </c>
      <c r="BD25" s="372">
        <f t="shared" si="23"/>
        <v>0</v>
      </c>
      <c r="BE25" s="372">
        <f t="shared" si="23"/>
        <v>0</v>
      </c>
      <c r="BF25" s="372">
        <f t="shared" si="23"/>
        <v>0</v>
      </c>
      <c r="BG25" s="372">
        <f t="shared" si="23"/>
        <v>0</v>
      </c>
      <c r="BH25" s="372">
        <f t="shared" si="23"/>
        <v>0</v>
      </c>
      <c r="BI25" s="372">
        <f t="shared" si="23"/>
        <v>0</v>
      </c>
      <c r="BJ25" s="372">
        <f t="shared" si="24"/>
        <v>0</v>
      </c>
      <c r="BK25" s="372">
        <f t="shared" si="24"/>
        <v>0</v>
      </c>
      <c r="BL25" s="372">
        <f t="shared" si="24"/>
        <v>0</v>
      </c>
      <c r="BM25" s="372">
        <f t="shared" si="24"/>
        <v>0</v>
      </c>
      <c r="BN25" s="372">
        <f t="shared" si="24"/>
        <v>0</v>
      </c>
      <c r="BO25" s="372">
        <f t="shared" si="24"/>
        <v>0</v>
      </c>
      <c r="BP25" s="372">
        <f t="shared" si="24"/>
        <v>0</v>
      </c>
      <c r="BQ25" s="372">
        <f t="shared" si="24"/>
        <v>0</v>
      </c>
      <c r="BR25" s="372">
        <f t="shared" si="24"/>
        <v>0</v>
      </c>
      <c r="BS25" s="372">
        <f t="shared" si="24"/>
        <v>0</v>
      </c>
      <c r="BT25" s="372">
        <f t="shared" si="25"/>
        <v>0</v>
      </c>
      <c r="BU25" s="372">
        <f t="shared" si="25"/>
        <v>0</v>
      </c>
      <c r="BV25" s="372">
        <f t="shared" si="25"/>
        <v>0</v>
      </c>
      <c r="BW25" s="372">
        <f t="shared" si="25"/>
        <v>0</v>
      </c>
      <c r="BX25" s="372">
        <f t="shared" si="25"/>
        <v>0</v>
      </c>
      <c r="BY25" s="372">
        <f t="shared" si="25"/>
        <v>0</v>
      </c>
      <c r="BZ25" s="372">
        <f t="shared" si="25"/>
        <v>0</v>
      </c>
      <c r="CA25" s="372">
        <f t="shared" si="25"/>
        <v>0</v>
      </c>
      <c r="CB25" s="372">
        <f t="shared" si="25"/>
        <v>0</v>
      </c>
      <c r="CC25" s="372">
        <f t="shared" si="25"/>
        <v>0</v>
      </c>
      <c r="CD25" s="372">
        <f t="shared" si="26"/>
        <v>0</v>
      </c>
      <c r="CE25" s="372">
        <f t="shared" si="26"/>
        <v>0</v>
      </c>
      <c r="CF25" s="372">
        <f t="shared" si="26"/>
        <v>0</v>
      </c>
      <c r="CG25" s="372">
        <f t="shared" si="26"/>
        <v>0</v>
      </c>
      <c r="CH25" s="372">
        <f t="shared" si="26"/>
        <v>0</v>
      </c>
      <c r="CI25" s="372">
        <f t="shared" si="26"/>
        <v>0</v>
      </c>
      <c r="CJ25" s="372">
        <f t="shared" si="26"/>
        <v>0</v>
      </c>
      <c r="CK25" s="372">
        <f t="shared" si="26"/>
        <v>0</v>
      </c>
    </row>
    <row r="26" spans="2:89" outlineLevel="1">
      <c r="D26" s="421"/>
      <c r="E26" s="421"/>
      <c r="F26" s="486"/>
      <c r="G26" s="486"/>
      <c r="H26" s="486"/>
      <c r="I26" s="484"/>
      <c r="J26" s="484"/>
      <c r="K26" s="438"/>
      <c r="L26" s="485"/>
      <c r="M26" s="484"/>
      <c r="N26" s="484"/>
      <c r="O26" s="484"/>
      <c r="R26" s="372">
        <f t="shared" si="14"/>
        <v>0</v>
      </c>
      <c r="S26" s="372">
        <f t="shared" si="14"/>
        <v>0</v>
      </c>
      <c r="T26" s="372">
        <f t="shared" si="14"/>
        <v>0</v>
      </c>
      <c r="U26" s="372">
        <f t="shared" si="14"/>
        <v>0</v>
      </c>
      <c r="X26" s="372">
        <f t="shared" si="21"/>
        <v>0</v>
      </c>
      <c r="Y26" s="372">
        <f t="shared" si="21"/>
        <v>0</v>
      </c>
      <c r="Z26" s="372">
        <f t="shared" si="21"/>
        <v>0</v>
      </c>
      <c r="AA26" s="372">
        <f t="shared" si="21"/>
        <v>0</v>
      </c>
      <c r="AB26" s="372">
        <f t="shared" si="21"/>
        <v>0</v>
      </c>
      <c r="AC26" s="372">
        <f t="shared" si="21"/>
        <v>0</v>
      </c>
      <c r="AD26" s="372">
        <f t="shared" si="21"/>
        <v>0</v>
      </c>
      <c r="AE26" s="372">
        <f t="shared" si="21"/>
        <v>0</v>
      </c>
      <c r="AF26" s="372">
        <f t="shared" si="21"/>
        <v>0</v>
      </c>
      <c r="AG26" s="372">
        <f t="shared" si="21"/>
        <v>0</v>
      </c>
      <c r="AH26" s="372">
        <f t="shared" si="21"/>
        <v>0</v>
      </c>
      <c r="AI26" s="372">
        <f t="shared" si="21"/>
        <v>0</v>
      </c>
      <c r="AJ26" s="372">
        <f t="shared" si="21"/>
        <v>0</v>
      </c>
      <c r="AK26" s="372">
        <f t="shared" si="21"/>
        <v>0</v>
      </c>
      <c r="AL26" s="372">
        <f t="shared" si="21"/>
        <v>0</v>
      </c>
      <c r="AM26" s="372">
        <f t="shared" si="21"/>
        <v>0</v>
      </c>
      <c r="AP26" s="372">
        <f t="shared" si="22"/>
        <v>0</v>
      </c>
      <c r="AQ26" s="372">
        <f t="shared" si="22"/>
        <v>0</v>
      </c>
      <c r="AR26" s="372">
        <f t="shared" si="22"/>
        <v>0</v>
      </c>
      <c r="AS26" s="372">
        <f t="shared" si="22"/>
        <v>0</v>
      </c>
      <c r="AT26" s="372">
        <f t="shared" si="22"/>
        <v>0</v>
      </c>
      <c r="AU26" s="372">
        <f t="shared" si="22"/>
        <v>0</v>
      </c>
      <c r="AV26" s="372">
        <f t="shared" si="22"/>
        <v>0</v>
      </c>
      <c r="AW26" s="372">
        <f t="shared" si="22"/>
        <v>0</v>
      </c>
      <c r="AX26" s="372">
        <f t="shared" si="22"/>
        <v>0</v>
      </c>
      <c r="AY26" s="372">
        <f t="shared" si="22"/>
        <v>0</v>
      </c>
      <c r="AZ26" s="372">
        <f t="shared" si="23"/>
        <v>0</v>
      </c>
      <c r="BA26" s="372">
        <f t="shared" si="23"/>
        <v>0</v>
      </c>
      <c r="BB26" s="372">
        <f t="shared" si="23"/>
        <v>0</v>
      </c>
      <c r="BC26" s="372">
        <f t="shared" si="23"/>
        <v>0</v>
      </c>
      <c r="BD26" s="372">
        <f t="shared" si="23"/>
        <v>0</v>
      </c>
      <c r="BE26" s="372">
        <f t="shared" si="23"/>
        <v>0</v>
      </c>
      <c r="BF26" s="372">
        <f t="shared" si="23"/>
        <v>0</v>
      </c>
      <c r="BG26" s="372">
        <f t="shared" si="23"/>
        <v>0</v>
      </c>
      <c r="BH26" s="372">
        <f t="shared" si="23"/>
        <v>0</v>
      </c>
      <c r="BI26" s="372">
        <f t="shared" si="23"/>
        <v>0</v>
      </c>
      <c r="BJ26" s="372">
        <f t="shared" si="24"/>
        <v>0</v>
      </c>
      <c r="BK26" s="372">
        <f t="shared" si="24"/>
        <v>0</v>
      </c>
      <c r="BL26" s="372">
        <f t="shared" si="24"/>
        <v>0</v>
      </c>
      <c r="BM26" s="372">
        <f t="shared" si="24"/>
        <v>0</v>
      </c>
      <c r="BN26" s="372">
        <f t="shared" si="24"/>
        <v>0</v>
      </c>
      <c r="BO26" s="372">
        <f t="shared" si="24"/>
        <v>0</v>
      </c>
      <c r="BP26" s="372">
        <f t="shared" si="24"/>
        <v>0</v>
      </c>
      <c r="BQ26" s="372">
        <f t="shared" si="24"/>
        <v>0</v>
      </c>
      <c r="BR26" s="372">
        <f t="shared" si="24"/>
        <v>0</v>
      </c>
      <c r="BS26" s="372">
        <f t="shared" si="24"/>
        <v>0</v>
      </c>
      <c r="BT26" s="372">
        <f t="shared" si="25"/>
        <v>0</v>
      </c>
      <c r="BU26" s="372">
        <f t="shared" si="25"/>
        <v>0</v>
      </c>
      <c r="BV26" s="372">
        <f t="shared" si="25"/>
        <v>0</v>
      </c>
      <c r="BW26" s="372">
        <f t="shared" si="25"/>
        <v>0</v>
      </c>
      <c r="BX26" s="372">
        <f t="shared" si="25"/>
        <v>0</v>
      </c>
      <c r="BY26" s="372">
        <f t="shared" si="25"/>
        <v>0</v>
      </c>
      <c r="BZ26" s="372">
        <f t="shared" si="25"/>
        <v>0</v>
      </c>
      <c r="CA26" s="372">
        <f t="shared" si="25"/>
        <v>0</v>
      </c>
      <c r="CB26" s="372">
        <f t="shared" si="25"/>
        <v>0</v>
      </c>
      <c r="CC26" s="372">
        <f t="shared" si="25"/>
        <v>0</v>
      </c>
      <c r="CD26" s="372">
        <f t="shared" si="26"/>
        <v>0</v>
      </c>
      <c r="CE26" s="372">
        <f t="shared" si="26"/>
        <v>0</v>
      </c>
      <c r="CF26" s="372">
        <f t="shared" si="26"/>
        <v>0</v>
      </c>
      <c r="CG26" s="372">
        <f t="shared" si="26"/>
        <v>0</v>
      </c>
      <c r="CH26" s="372">
        <f t="shared" si="26"/>
        <v>0</v>
      </c>
      <c r="CI26" s="372">
        <f t="shared" si="26"/>
        <v>0</v>
      </c>
      <c r="CJ26" s="372">
        <f t="shared" si="26"/>
        <v>0</v>
      </c>
      <c r="CK26" s="372">
        <f t="shared" si="26"/>
        <v>0</v>
      </c>
    </row>
    <row r="27" spans="2:89" outlineLevel="1">
      <c r="D27" s="421"/>
      <c r="E27" s="421"/>
      <c r="F27" s="486"/>
      <c r="G27" s="486"/>
      <c r="H27" s="486"/>
      <c r="I27" s="484"/>
      <c r="J27" s="484"/>
      <c r="K27" s="438"/>
      <c r="L27" s="485"/>
      <c r="M27" s="484"/>
      <c r="N27" s="484"/>
      <c r="O27" s="484"/>
      <c r="R27" s="372">
        <f t="shared" si="14"/>
        <v>0</v>
      </c>
      <c r="S27" s="372">
        <f t="shared" si="14"/>
        <v>0</v>
      </c>
      <c r="T27" s="372">
        <f t="shared" si="14"/>
        <v>0</v>
      </c>
      <c r="U27" s="372">
        <f t="shared" si="14"/>
        <v>0</v>
      </c>
      <c r="X27" s="372">
        <f t="shared" si="21"/>
        <v>0</v>
      </c>
      <c r="Y27" s="372">
        <f t="shared" si="21"/>
        <v>0</v>
      </c>
      <c r="Z27" s="372">
        <f t="shared" si="21"/>
        <v>0</v>
      </c>
      <c r="AA27" s="372">
        <f t="shared" si="21"/>
        <v>0</v>
      </c>
      <c r="AB27" s="372">
        <f t="shared" si="21"/>
        <v>0</v>
      </c>
      <c r="AC27" s="372">
        <f t="shared" si="21"/>
        <v>0</v>
      </c>
      <c r="AD27" s="372">
        <f t="shared" si="21"/>
        <v>0</v>
      </c>
      <c r="AE27" s="372">
        <f t="shared" si="21"/>
        <v>0</v>
      </c>
      <c r="AF27" s="372">
        <f t="shared" si="21"/>
        <v>0</v>
      </c>
      <c r="AG27" s="372">
        <f t="shared" si="21"/>
        <v>0</v>
      </c>
      <c r="AH27" s="372">
        <f t="shared" si="21"/>
        <v>0</v>
      </c>
      <c r="AI27" s="372">
        <f t="shared" si="21"/>
        <v>0</v>
      </c>
      <c r="AJ27" s="372">
        <f t="shared" si="21"/>
        <v>0</v>
      </c>
      <c r="AK27" s="372">
        <f t="shared" si="21"/>
        <v>0</v>
      </c>
      <c r="AL27" s="372">
        <f t="shared" si="21"/>
        <v>0</v>
      </c>
      <c r="AM27" s="372">
        <f t="shared" si="21"/>
        <v>0</v>
      </c>
      <c r="AP27" s="372">
        <f t="shared" si="22"/>
        <v>0</v>
      </c>
      <c r="AQ27" s="372">
        <f t="shared" si="22"/>
        <v>0</v>
      </c>
      <c r="AR27" s="372">
        <f t="shared" si="22"/>
        <v>0</v>
      </c>
      <c r="AS27" s="372">
        <f t="shared" si="22"/>
        <v>0</v>
      </c>
      <c r="AT27" s="372">
        <f t="shared" si="22"/>
        <v>0</v>
      </c>
      <c r="AU27" s="372">
        <f t="shared" si="22"/>
        <v>0</v>
      </c>
      <c r="AV27" s="372">
        <f t="shared" si="22"/>
        <v>0</v>
      </c>
      <c r="AW27" s="372">
        <f t="shared" si="22"/>
        <v>0</v>
      </c>
      <c r="AX27" s="372">
        <f t="shared" si="22"/>
        <v>0</v>
      </c>
      <c r="AY27" s="372">
        <f t="shared" si="22"/>
        <v>0</v>
      </c>
      <c r="AZ27" s="372">
        <f t="shared" si="23"/>
        <v>0</v>
      </c>
      <c r="BA27" s="372">
        <f t="shared" si="23"/>
        <v>0</v>
      </c>
      <c r="BB27" s="372">
        <f t="shared" si="23"/>
        <v>0</v>
      </c>
      <c r="BC27" s="372">
        <f t="shared" si="23"/>
        <v>0</v>
      </c>
      <c r="BD27" s="372">
        <f t="shared" si="23"/>
        <v>0</v>
      </c>
      <c r="BE27" s="372">
        <f t="shared" si="23"/>
        <v>0</v>
      </c>
      <c r="BF27" s="372">
        <f t="shared" si="23"/>
        <v>0</v>
      </c>
      <c r="BG27" s="372">
        <f t="shared" si="23"/>
        <v>0</v>
      </c>
      <c r="BH27" s="372">
        <f t="shared" si="23"/>
        <v>0</v>
      </c>
      <c r="BI27" s="372">
        <f t="shared" si="23"/>
        <v>0</v>
      </c>
      <c r="BJ27" s="372">
        <f t="shared" si="24"/>
        <v>0</v>
      </c>
      <c r="BK27" s="372">
        <f t="shared" si="24"/>
        <v>0</v>
      </c>
      <c r="BL27" s="372">
        <f t="shared" si="24"/>
        <v>0</v>
      </c>
      <c r="BM27" s="372">
        <f t="shared" si="24"/>
        <v>0</v>
      </c>
      <c r="BN27" s="372">
        <f t="shared" si="24"/>
        <v>0</v>
      </c>
      <c r="BO27" s="372">
        <f t="shared" si="24"/>
        <v>0</v>
      </c>
      <c r="BP27" s="372">
        <f t="shared" si="24"/>
        <v>0</v>
      </c>
      <c r="BQ27" s="372">
        <f t="shared" si="24"/>
        <v>0</v>
      </c>
      <c r="BR27" s="372">
        <f t="shared" si="24"/>
        <v>0</v>
      </c>
      <c r="BS27" s="372">
        <f t="shared" si="24"/>
        <v>0</v>
      </c>
      <c r="BT27" s="372">
        <f t="shared" si="25"/>
        <v>0</v>
      </c>
      <c r="BU27" s="372">
        <f t="shared" si="25"/>
        <v>0</v>
      </c>
      <c r="BV27" s="372">
        <f t="shared" si="25"/>
        <v>0</v>
      </c>
      <c r="BW27" s="372">
        <f t="shared" si="25"/>
        <v>0</v>
      </c>
      <c r="BX27" s="372">
        <f t="shared" si="25"/>
        <v>0</v>
      </c>
      <c r="BY27" s="372">
        <f t="shared" si="25"/>
        <v>0</v>
      </c>
      <c r="BZ27" s="372">
        <f t="shared" si="25"/>
        <v>0</v>
      </c>
      <c r="CA27" s="372">
        <f t="shared" si="25"/>
        <v>0</v>
      </c>
      <c r="CB27" s="372">
        <f t="shared" si="25"/>
        <v>0</v>
      </c>
      <c r="CC27" s="372">
        <f t="shared" si="25"/>
        <v>0</v>
      </c>
      <c r="CD27" s="372">
        <f t="shared" si="26"/>
        <v>0</v>
      </c>
      <c r="CE27" s="372">
        <f t="shared" si="26"/>
        <v>0</v>
      </c>
      <c r="CF27" s="372">
        <f t="shared" si="26"/>
        <v>0</v>
      </c>
      <c r="CG27" s="372">
        <f t="shared" si="26"/>
        <v>0</v>
      </c>
      <c r="CH27" s="372">
        <f t="shared" si="26"/>
        <v>0</v>
      </c>
      <c r="CI27" s="372">
        <f t="shared" si="26"/>
        <v>0</v>
      </c>
      <c r="CJ27" s="372">
        <f t="shared" si="26"/>
        <v>0</v>
      </c>
      <c r="CK27" s="372">
        <f t="shared" si="26"/>
        <v>0</v>
      </c>
    </row>
    <row r="28" spans="2:89" outlineLevel="1">
      <c r="D28" s="421"/>
      <c r="E28" s="421"/>
      <c r="F28" s="486"/>
      <c r="G28" s="486"/>
      <c r="H28" s="486"/>
      <c r="I28" s="484"/>
      <c r="J28" s="484"/>
      <c r="K28" s="438"/>
      <c r="L28" s="485"/>
      <c r="M28" s="484"/>
      <c r="N28" s="484"/>
      <c r="O28" s="484"/>
      <c r="R28" s="372">
        <f t="shared" si="14"/>
        <v>0</v>
      </c>
      <c r="S28" s="372">
        <f t="shared" si="14"/>
        <v>0</v>
      </c>
      <c r="T28" s="372">
        <f t="shared" si="14"/>
        <v>0</v>
      </c>
      <c r="U28" s="372">
        <f t="shared" si="14"/>
        <v>0</v>
      </c>
      <c r="X28" s="372">
        <f t="shared" si="21"/>
        <v>0</v>
      </c>
      <c r="Y28" s="372">
        <f t="shared" si="21"/>
        <v>0</v>
      </c>
      <c r="Z28" s="372">
        <f t="shared" si="21"/>
        <v>0</v>
      </c>
      <c r="AA28" s="372">
        <f t="shared" si="21"/>
        <v>0</v>
      </c>
      <c r="AB28" s="372">
        <f t="shared" si="21"/>
        <v>0</v>
      </c>
      <c r="AC28" s="372">
        <f t="shared" si="21"/>
        <v>0</v>
      </c>
      <c r="AD28" s="372">
        <f t="shared" si="21"/>
        <v>0</v>
      </c>
      <c r="AE28" s="372">
        <f t="shared" si="21"/>
        <v>0</v>
      </c>
      <c r="AF28" s="372">
        <f t="shared" si="21"/>
        <v>0</v>
      </c>
      <c r="AG28" s="372">
        <f t="shared" si="21"/>
        <v>0</v>
      </c>
      <c r="AH28" s="372">
        <f t="shared" si="21"/>
        <v>0</v>
      </c>
      <c r="AI28" s="372">
        <f t="shared" si="21"/>
        <v>0</v>
      </c>
      <c r="AJ28" s="372">
        <f t="shared" si="21"/>
        <v>0</v>
      </c>
      <c r="AK28" s="372">
        <f t="shared" si="21"/>
        <v>0</v>
      </c>
      <c r="AL28" s="372">
        <f t="shared" si="21"/>
        <v>0</v>
      </c>
      <c r="AM28" s="372">
        <f t="shared" si="21"/>
        <v>0</v>
      </c>
      <c r="AP28" s="372">
        <f t="shared" si="22"/>
        <v>0</v>
      </c>
      <c r="AQ28" s="372">
        <f t="shared" si="22"/>
        <v>0</v>
      </c>
      <c r="AR28" s="372">
        <f t="shared" si="22"/>
        <v>0</v>
      </c>
      <c r="AS28" s="372">
        <f t="shared" si="22"/>
        <v>0</v>
      </c>
      <c r="AT28" s="372">
        <f t="shared" si="22"/>
        <v>0</v>
      </c>
      <c r="AU28" s="372">
        <f t="shared" si="22"/>
        <v>0</v>
      </c>
      <c r="AV28" s="372">
        <f t="shared" si="22"/>
        <v>0</v>
      </c>
      <c r="AW28" s="372">
        <f t="shared" si="22"/>
        <v>0</v>
      </c>
      <c r="AX28" s="372">
        <f t="shared" si="22"/>
        <v>0</v>
      </c>
      <c r="AY28" s="372">
        <f t="shared" si="22"/>
        <v>0</v>
      </c>
      <c r="AZ28" s="372">
        <f t="shared" si="23"/>
        <v>0</v>
      </c>
      <c r="BA28" s="372">
        <f t="shared" si="23"/>
        <v>0</v>
      </c>
      <c r="BB28" s="372">
        <f t="shared" si="23"/>
        <v>0</v>
      </c>
      <c r="BC28" s="372">
        <f t="shared" si="23"/>
        <v>0</v>
      </c>
      <c r="BD28" s="372">
        <f t="shared" si="23"/>
        <v>0</v>
      </c>
      <c r="BE28" s="372">
        <f t="shared" si="23"/>
        <v>0</v>
      </c>
      <c r="BF28" s="372">
        <f t="shared" si="23"/>
        <v>0</v>
      </c>
      <c r="BG28" s="372">
        <f t="shared" si="23"/>
        <v>0</v>
      </c>
      <c r="BH28" s="372">
        <f t="shared" si="23"/>
        <v>0</v>
      </c>
      <c r="BI28" s="372">
        <f t="shared" si="23"/>
        <v>0</v>
      </c>
      <c r="BJ28" s="372">
        <f t="shared" si="24"/>
        <v>0</v>
      </c>
      <c r="BK28" s="372">
        <f t="shared" si="24"/>
        <v>0</v>
      </c>
      <c r="BL28" s="372">
        <f t="shared" si="24"/>
        <v>0</v>
      </c>
      <c r="BM28" s="372">
        <f t="shared" si="24"/>
        <v>0</v>
      </c>
      <c r="BN28" s="372">
        <f t="shared" si="24"/>
        <v>0</v>
      </c>
      <c r="BO28" s="372">
        <f t="shared" si="24"/>
        <v>0</v>
      </c>
      <c r="BP28" s="372">
        <f t="shared" si="24"/>
        <v>0</v>
      </c>
      <c r="BQ28" s="372">
        <f t="shared" si="24"/>
        <v>0</v>
      </c>
      <c r="BR28" s="372">
        <f t="shared" si="24"/>
        <v>0</v>
      </c>
      <c r="BS28" s="372">
        <f t="shared" si="24"/>
        <v>0</v>
      </c>
      <c r="BT28" s="372">
        <f t="shared" si="25"/>
        <v>0</v>
      </c>
      <c r="BU28" s="372">
        <f t="shared" si="25"/>
        <v>0</v>
      </c>
      <c r="BV28" s="372">
        <f t="shared" si="25"/>
        <v>0</v>
      </c>
      <c r="BW28" s="372">
        <f t="shared" si="25"/>
        <v>0</v>
      </c>
      <c r="BX28" s="372">
        <f t="shared" si="25"/>
        <v>0</v>
      </c>
      <c r="BY28" s="372">
        <f t="shared" si="25"/>
        <v>0</v>
      </c>
      <c r="BZ28" s="372">
        <f t="shared" si="25"/>
        <v>0</v>
      </c>
      <c r="CA28" s="372">
        <f t="shared" si="25"/>
        <v>0</v>
      </c>
      <c r="CB28" s="372">
        <f t="shared" si="25"/>
        <v>0</v>
      </c>
      <c r="CC28" s="372">
        <f t="shared" si="25"/>
        <v>0</v>
      </c>
      <c r="CD28" s="372">
        <f t="shared" si="26"/>
        <v>0</v>
      </c>
      <c r="CE28" s="372">
        <f t="shared" si="26"/>
        <v>0</v>
      </c>
      <c r="CF28" s="372">
        <f t="shared" si="26"/>
        <v>0</v>
      </c>
      <c r="CG28" s="372">
        <f t="shared" si="26"/>
        <v>0</v>
      </c>
      <c r="CH28" s="372">
        <f t="shared" si="26"/>
        <v>0</v>
      </c>
      <c r="CI28" s="372">
        <f t="shared" si="26"/>
        <v>0</v>
      </c>
      <c r="CJ28" s="372">
        <f t="shared" si="26"/>
        <v>0</v>
      </c>
      <c r="CK28" s="372">
        <f t="shared" si="26"/>
        <v>0</v>
      </c>
    </row>
    <row r="29" spans="2:89" outlineLevel="1">
      <c r="D29" s="421"/>
      <c r="E29" s="421"/>
      <c r="F29" s="486"/>
      <c r="G29" s="486"/>
      <c r="H29" s="486"/>
      <c r="I29" s="484"/>
      <c r="J29" s="484"/>
      <c r="K29" s="438"/>
      <c r="L29" s="485"/>
      <c r="M29" s="484"/>
      <c r="N29" s="484"/>
      <c r="O29" s="484"/>
      <c r="R29" s="372">
        <f t="shared" si="14"/>
        <v>0</v>
      </c>
      <c r="S29" s="372">
        <f t="shared" si="14"/>
        <v>0</v>
      </c>
      <c r="T29" s="372">
        <f t="shared" si="14"/>
        <v>0</v>
      </c>
      <c r="U29" s="372">
        <f t="shared" si="14"/>
        <v>0</v>
      </c>
      <c r="X29" s="372">
        <f t="shared" si="21"/>
        <v>0</v>
      </c>
      <c r="Y29" s="372">
        <f t="shared" si="21"/>
        <v>0</v>
      </c>
      <c r="Z29" s="372">
        <f t="shared" si="21"/>
        <v>0</v>
      </c>
      <c r="AA29" s="372">
        <f t="shared" si="21"/>
        <v>0</v>
      </c>
      <c r="AB29" s="372">
        <f t="shared" si="21"/>
        <v>0</v>
      </c>
      <c r="AC29" s="372">
        <f t="shared" si="21"/>
        <v>0</v>
      </c>
      <c r="AD29" s="372">
        <f t="shared" si="21"/>
        <v>0</v>
      </c>
      <c r="AE29" s="372">
        <f t="shared" si="21"/>
        <v>0</v>
      </c>
      <c r="AF29" s="372">
        <f t="shared" si="21"/>
        <v>0</v>
      </c>
      <c r="AG29" s="372">
        <f t="shared" si="21"/>
        <v>0</v>
      </c>
      <c r="AH29" s="372">
        <f t="shared" si="21"/>
        <v>0</v>
      </c>
      <c r="AI29" s="372">
        <f t="shared" si="21"/>
        <v>0</v>
      </c>
      <c r="AJ29" s="372">
        <f t="shared" si="21"/>
        <v>0</v>
      </c>
      <c r="AK29" s="372">
        <f t="shared" si="21"/>
        <v>0</v>
      </c>
      <c r="AL29" s="372">
        <f t="shared" si="21"/>
        <v>0</v>
      </c>
      <c r="AM29" s="372">
        <f t="shared" si="21"/>
        <v>0</v>
      </c>
      <c r="AP29" s="372">
        <f t="shared" si="22"/>
        <v>0</v>
      </c>
      <c r="AQ29" s="372">
        <f t="shared" si="22"/>
        <v>0</v>
      </c>
      <c r="AR29" s="372">
        <f t="shared" si="22"/>
        <v>0</v>
      </c>
      <c r="AS29" s="372">
        <f t="shared" si="22"/>
        <v>0</v>
      </c>
      <c r="AT29" s="372">
        <f t="shared" si="22"/>
        <v>0</v>
      </c>
      <c r="AU29" s="372">
        <f t="shared" si="22"/>
        <v>0</v>
      </c>
      <c r="AV29" s="372">
        <f t="shared" si="22"/>
        <v>0</v>
      </c>
      <c r="AW29" s="372">
        <f t="shared" si="22"/>
        <v>0</v>
      </c>
      <c r="AX29" s="372">
        <f t="shared" si="22"/>
        <v>0</v>
      </c>
      <c r="AY29" s="372">
        <f t="shared" si="22"/>
        <v>0</v>
      </c>
      <c r="AZ29" s="372">
        <f t="shared" si="23"/>
        <v>0</v>
      </c>
      <c r="BA29" s="372">
        <f t="shared" si="23"/>
        <v>0</v>
      </c>
      <c r="BB29" s="372">
        <f t="shared" si="23"/>
        <v>0</v>
      </c>
      <c r="BC29" s="372">
        <f t="shared" si="23"/>
        <v>0</v>
      </c>
      <c r="BD29" s="372">
        <f t="shared" si="23"/>
        <v>0</v>
      </c>
      <c r="BE29" s="372">
        <f t="shared" si="23"/>
        <v>0</v>
      </c>
      <c r="BF29" s="372">
        <f t="shared" si="23"/>
        <v>0</v>
      </c>
      <c r="BG29" s="372">
        <f t="shared" si="23"/>
        <v>0</v>
      </c>
      <c r="BH29" s="372">
        <f t="shared" si="23"/>
        <v>0</v>
      </c>
      <c r="BI29" s="372">
        <f t="shared" si="23"/>
        <v>0</v>
      </c>
      <c r="BJ29" s="372">
        <f t="shared" si="24"/>
        <v>0</v>
      </c>
      <c r="BK29" s="372">
        <f t="shared" si="24"/>
        <v>0</v>
      </c>
      <c r="BL29" s="372">
        <f t="shared" si="24"/>
        <v>0</v>
      </c>
      <c r="BM29" s="372">
        <f t="shared" si="24"/>
        <v>0</v>
      </c>
      <c r="BN29" s="372">
        <f t="shared" si="24"/>
        <v>0</v>
      </c>
      <c r="BO29" s="372">
        <f t="shared" si="24"/>
        <v>0</v>
      </c>
      <c r="BP29" s="372">
        <f t="shared" si="24"/>
        <v>0</v>
      </c>
      <c r="BQ29" s="372">
        <f t="shared" si="24"/>
        <v>0</v>
      </c>
      <c r="BR29" s="372">
        <f t="shared" si="24"/>
        <v>0</v>
      </c>
      <c r="BS29" s="372">
        <f t="shared" si="24"/>
        <v>0</v>
      </c>
      <c r="BT29" s="372">
        <f t="shared" si="25"/>
        <v>0</v>
      </c>
      <c r="BU29" s="372">
        <f t="shared" si="25"/>
        <v>0</v>
      </c>
      <c r="BV29" s="372">
        <f t="shared" si="25"/>
        <v>0</v>
      </c>
      <c r="BW29" s="372">
        <f t="shared" si="25"/>
        <v>0</v>
      </c>
      <c r="BX29" s="372">
        <f t="shared" si="25"/>
        <v>0</v>
      </c>
      <c r="BY29" s="372">
        <f t="shared" si="25"/>
        <v>0</v>
      </c>
      <c r="BZ29" s="372">
        <f t="shared" si="25"/>
        <v>0</v>
      </c>
      <c r="CA29" s="372">
        <f t="shared" si="25"/>
        <v>0</v>
      </c>
      <c r="CB29" s="372">
        <f t="shared" si="25"/>
        <v>0</v>
      </c>
      <c r="CC29" s="372">
        <f t="shared" si="25"/>
        <v>0</v>
      </c>
      <c r="CD29" s="372">
        <f t="shared" si="26"/>
        <v>0</v>
      </c>
      <c r="CE29" s="372">
        <f t="shared" si="26"/>
        <v>0</v>
      </c>
      <c r="CF29" s="372">
        <f t="shared" si="26"/>
        <v>0</v>
      </c>
      <c r="CG29" s="372">
        <f t="shared" si="26"/>
        <v>0</v>
      </c>
      <c r="CH29" s="372">
        <f t="shared" si="26"/>
        <v>0</v>
      </c>
      <c r="CI29" s="372">
        <f t="shared" si="26"/>
        <v>0</v>
      </c>
      <c r="CJ29" s="372">
        <f t="shared" si="26"/>
        <v>0</v>
      </c>
      <c r="CK29" s="372">
        <f t="shared" si="26"/>
        <v>0</v>
      </c>
    </row>
    <row r="30" spans="2:89" outlineLevel="1">
      <c r="D30" s="421"/>
      <c r="E30" s="421"/>
      <c r="F30" s="486"/>
      <c r="G30" s="486"/>
      <c r="H30" s="486"/>
      <c r="I30" s="484"/>
      <c r="J30" s="484"/>
      <c r="K30" s="438"/>
      <c r="L30" s="485"/>
      <c r="M30" s="484"/>
      <c r="N30" s="484"/>
      <c r="O30" s="484"/>
      <c r="R30" s="372">
        <f t="shared" si="14"/>
        <v>0</v>
      </c>
      <c r="S30" s="372">
        <f t="shared" si="14"/>
        <v>0</v>
      </c>
      <c r="T30" s="372">
        <f t="shared" si="14"/>
        <v>0</v>
      </c>
      <c r="U30" s="372">
        <f t="shared" si="14"/>
        <v>0</v>
      </c>
      <c r="X30" s="372">
        <f t="shared" si="21"/>
        <v>0</v>
      </c>
      <c r="Y30" s="372">
        <f t="shared" si="21"/>
        <v>0</v>
      </c>
      <c r="Z30" s="372">
        <f t="shared" si="21"/>
        <v>0</v>
      </c>
      <c r="AA30" s="372">
        <f t="shared" si="21"/>
        <v>0</v>
      </c>
      <c r="AB30" s="372">
        <f t="shared" si="21"/>
        <v>0</v>
      </c>
      <c r="AC30" s="372">
        <f t="shared" si="21"/>
        <v>0</v>
      </c>
      <c r="AD30" s="372">
        <f t="shared" si="21"/>
        <v>0</v>
      </c>
      <c r="AE30" s="372">
        <f t="shared" si="21"/>
        <v>0</v>
      </c>
      <c r="AF30" s="372">
        <f t="shared" si="21"/>
        <v>0</v>
      </c>
      <c r="AG30" s="372">
        <f t="shared" si="21"/>
        <v>0</v>
      </c>
      <c r="AH30" s="372">
        <f t="shared" si="21"/>
        <v>0</v>
      </c>
      <c r="AI30" s="372">
        <f t="shared" si="21"/>
        <v>0</v>
      </c>
      <c r="AJ30" s="372">
        <f t="shared" si="21"/>
        <v>0</v>
      </c>
      <c r="AK30" s="372">
        <f t="shared" si="21"/>
        <v>0</v>
      </c>
      <c r="AL30" s="372">
        <f t="shared" si="21"/>
        <v>0</v>
      </c>
      <c r="AM30" s="372">
        <f t="shared" si="21"/>
        <v>0</v>
      </c>
      <c r="AP30" s="372">
        <f t="shared" si="22"/>
        <v>0</v>
      </c>
      <c r="AQ30" s="372">
        <f t="shared" si="22"/>
        <v>0</v>
      </c>
      <c r="AR30" s="372">
        <f t="shared" si="22"/>
        <v>0</v>
      </c>
      <c r="AS30" s="372">
        <f t="shared" si="22"/>
        <v>0</v>
      </c>
      <c r="AT30" s="372">
        <f t="shared" si="22"/>
        <v>0</v>
      </c>
      <c r="AU30" s="372">
        <f t="shared" si="22"/>
        <v>0</v>
      </c>
      <c r="AV30" s="372">
        <f t="shared" si="22"/>
        <v>0</v>
      </c>
      <c r="AW30" s="372">
        <f t="shared" si="22"/>
        <v>0</v>
      </c>
      <c r="AX30" s="372">
        <f t="shared" si="22"/>
        <v>0</v>
      </c>
      <c r="AY30" s="372">
        <f t="shared" si="22"/>
        <v>0</v>
      </c>
      <c r="AZ30" s="372">
        <f t="shared" si="23"/>
        <v>0</v>
      </c>
      <c r="BA30" s="372">
        <f t="shared" si="23"/>
        <v>0</v>
      </c>
      <c r="BB30" s="372">
        <f t="shared" si="23"/>
        <v>0</v>
      </c>
      <c r="BC30" s="372">
        <f t="shared" si="23"/>
        <v>0</v>
      </c>
      <c r="BD30" s="372">
        <f t="shared" si="23"/>
        <v>0</v>
      </c>
      <c r="BE30" s="372">
        <f t="shared" si="23"/>
        <v>0</v>
      </c>
      <c r="BF30" s="372">
        <f t="shared" si="23"/>
        <v>0</v>
      </c>
      <c r="BG30" s="372">
        <f t="shared" si="23"/>
        <v>0</v>
      </c>
      <c r="BH30" s="372">
        <f t="shared" si="23"/>
        <v>0</v>
      </c>
      <c r="BI30" s="372">
        <f t="shared" si="23"/>
        <v>0</v>
      </c>
      <c r="BJ30" s="372">
        <f t="shared" si="24"/>
        <v>0</v>
      </c>
      <c r="BK30" s="372">
        <f t="shared" si="24"/>
        <v>0</v>
      </c>
      <c r="BL30" s="372">
        <f t="shared" si="24"/>
        <v>0</v>
      </c>
      <c r="BM30" s="372">
        <f t="shared" si="24"/>
        <v>0</v>
      </c>
      <c r="BN30" s="372">
        <f t="shared" si="24"/>
        <v>0</v>
      </c>
      <c r="BO30" s="372">
        <f t="shared" si="24"/>
        <v>0</v>
      </c>
      <c r="BP30" s="372">
        <f t="shared" si="24"/>
        <v>0</v>
      </c>
      <c r="BQ30" s="372">
        <f t="shared" si="24"/>
        <v>0</v>
      </c>
      <c r="BR30" s="372">
        <f t="shared" si="24"/>
        <v>0</v>
      </c>
      <c r="BS30" s="372">
        <f t="shared" si="24"/>
        <v>0</v>
      </c>
      <c r="BT30" s="372">
        <f t="shared" si="25"/>
        <v>0</v>
      </c>
      <c r="BU30" s="372">
        <f t="shared" si="25"/>
        <v>0</v>
      </c>
      <c r="BV30" s="372">
        <f t="shared" si="25"/>
        <v>0</v>
      </c>
      <c r="BW30" s="372">
        <f t="shared" si="25"/>
        <v>0</v>
      </c>
      <c r="BX30" s="372">
        <f t="shared" si="25"/>
        <v>0</v>
      </c>
      <c r="BY30" s="372">
        <f t="shared" si="25"/>
        <v>0</v>
      </c>
      <c r="BZ30" s="372">
        <f t="shared" si="25"/>
        <v>0</v>
      </c>
      <c r="CA30" s="372">
        <f t="shared" si="25"/>
        <v>0</v>
      </c>
      <c r="CB30" s="372">
        <f t="shared" si="25"/>
        <v>0</v>
      </c>
      <c r="CC30" s="372">
        <f t="shared" si="25"/>
        <v>0</v>
      </c>
      <c r="CD30" s="372">
        <f t="shared" si="26"/>
        <v>0</v>
      </c>
      <c r="CE30" s="372">
        <f t="shared" si="26"/>
        <v>0</v>
      </c>
      <c r="CF30" s="372">
        <f t="shared" si="26"/>
        <v>0</v>
      </c>
      <c r="CG30" s="372">
        <f t="shared" si="26"/>
        <v>0</v>
      </c>
      <c r="CH30" s="372">
        <f t="shared" si="26"/>
        <v>0</v>
      </c>
      <c r="CI30" s="372">
        <f t="shared" si="26"/>
        <v>0</v>
      </c>
      <c r="CJ30" s="372">
        <f t="shared" si="26"/>
        <v>0</v>
      </c>
      <c r="CK30" s="372">
        <f t="shared" si="26"/>
        <v>0</v>
      </c>
    </row>
    <row r="31" spans="2:89" outlineLevel="1">
      <c r="D31" s="421"/>
      <c r="E31" s="421"/>
      <c r="F31" s="486"/>
      <c r="G31" s="486"/>
      <c r="H31" s="486"/>
      <c r="I31" s="484"/>
      <c r="J31" s="484"/>
      <c r="K31" s="438"/>
      <c r="L31" s="485"/>
      <c r="M31" s="484"/>
      <c r="N31" s="484"/>
      <c r="O31" s="484"/>
      <c r="R31" s="372">
        <f t="shared" si="14"/>
        <v>0</v>
      </c>
      <c r="S31" s="372">
        <f t="shared" si="14"/>
        <v>0</v>
      </c>
      <c r="T31" s="372">
        <f t="shared" si="14"/>
        <v>0</v>
      </c>
      <c r="U31" s="372">
        <f t="shared" si="14"/>
        <v>0</v>
      </c>
      <c r="X31" s="372">
        <f t="shared" si="21"/>
        <v>0</v>
      </c>
      <c r="Y31" s="372">
        <f t="shared" si="21"/>
        <v>0</v>
      </c>
      <c r="Z31" s="372">
        <f t="shared" si="21"/>
        <v>0</v>
      </c>
      <c r="AA31" s="372">
        <f t="shared" si="21"/>
        <v>0</v>
      </c>
      <c r="AB31" s="372">
        <f t="shared" si="21"/>
        <v>0</v>
      </c>
      <c r="AC31" s="372">
        <f t="shared" si="21"/>
        <v>0</v>
      </c>
      <c r="AD31" s="372">
        <f t="shared" si="21"/>
        <v>0</v>
      </c>
      <c r="AE31" s="372">
        <f t="shared" si="21"/>
        <v>0</v>
      </c>
      <c r="AF31" s="372">
        <f t="shared" si="21"/>
        <v>0</v>
      </c>
      <c r="AG31" s="372">
        <f t="shared" si="21"/>
        <v>0</v>
      </c>
      <c r="AH31" s="372">
        <f t="shared" si="21"/>
        <v>0</v>
      </c>
      <c r="AI31" s="372">
        <f t="shared" si="21"/>
        <v>0</v>
      </c>
      <c r="AJ31" s="372">
        <f t="shared" si="21"/>
        <v>0</v>
      </c>
      <c r="AK31" s="372">
        <f t="shared" si="21"/>
        <v>0</v>
      </c>
      <c r="AL31" s="372">
        <f t="shared" si="21"/>
        <v>0</v>
      </c>
      <c r="AM31" s="372">
        <f t="shared" si="21"/>
        <v>0</v>
      </c>
      <c r="AP31" s="372">
        <f t="shared" si="22"/>
        <v>0</v>
      </c>
      <c r="AQ31" s="372">
        <f t="shared" si="22"/>
        <v>0</v>
      </c>
      <c r="AR31" s="372">
        <f t="shared" si="22"/>
        <v>0</v>
      </c>
      <c r="AS31" s="372">
        <f t="shared" si="22"/>
        <v>0</v>
      </c>
      <c r="AT31" s="372">
        <f t="shared" si="22"/>
        <v>0</v>
      </c>
      <c r="AU31" s="372">
        <f t="shared" si="22"/>
        <v>0</v>
      </c>
      <c r="AV31" s="372">
        <f t="shared" si="22"/>
        <v>0</v>
      </c>
      <c r="AW31" s="372">
        <f t="shared" si="22"/>
        <v>0</v>
      </c>
      <c r="AX31" s="372">
        <f t="shared" si="22"/>
        <v>0</v>
      </c>
      <c r="AY31" s="372">
        <f t="shared" si="22"/>
        <v>0</v>
      </c>
      <c r="AZ31" s="372">
        <f t="shared" si="23"/>
        <v>0</v>
      </c>
      <c r="BA31" s="372">
        <f t="shared" si="23"/>
        <v>0</v>
      </c>
      <c r="BB31" s="372">
        <f t="shared" si="23"/>
        <v>0</v>
      </c>
      <c r="BC31" s="372">
        <f t="shared" si="23"/>
        <v>0</v>
      </c>
      <c r="BD31" s="372">
        <f t="shared" si="23"/>
        <v>0</v>
      </c>
      <c r="BE31" s="372">
        <f t="shared" si="23"/>
        <v>0</v>
      </c>
      <c r="BF31" s="372">
        <f t="shared" si="23"/>
        <v>0</v>
      </c>
      <c r="BG31" s="372">
        <f t="shared" si="23"/>
        <v>0</v>
      </c>
      <c r="BH31" s="372">
        <f t="shared" si="23"/>
        <v>0</v>
      </c>
      <c r="BI31" s="372">
        <f t="shared" si="23"/>
        <v>0</v>
      </c>
      <c r="BJ31" s="372">
        <f t="shared" si="24"/>
        <v>0</v>
      </c>
      <c r="BK31" s="372">
        <f t="shared" si="24"/>
        <v>0</v>
      </c>
      <c r="BL31" s="372">
        <f t="shared" si="24"/>
        <v>0</v>
      </c>
      <c r="BM31" s="372">
        <f t="shared" si="24"/>
        <v>0</v>
      </c>
      <c r="BN31" s="372">
        <f t="shared" si="24"/>
        <v>0</v>
      </c>
      <c r="BO31" s="372">
        <f t="shared" si="24"/>
        <v>0</v>
      </c>
      <c r="BP31" s="372">
        <f t="shared" si="24"/>
        <v>0</v>
      </c>
      <c r="BQ31" s="372">
        <f t="shared" si="24"/>
        <v>0</v>
      </c>
      <c r="BR31" s="372">
        <f t="shared" si="24"/>
        <v>0</v>
      </c>
      <c r="BS31" s="372">
        <f t="shared" si="24"/>
        <v>0</v>
      </c>
      <c r="BT31" s="372">
        <f t="shared" si="25"/>
        <v>0</v>
      </c>
      <c r="BU31" s="372">
        <f t="shared" si="25"/>
        <v>0</v>
      </c>
      <c r="BV31" s="372">
        <f t="shared" si="25"/>
        <v>0</v>
      </c>
      <c r="BW31" s="372">
        <f t="shared" si="25"/>
        <v>0</v>
      </c>
      <c r="BX31" s="372">
        <f t="shared" si="25"/>
        <v>0</v>
      </c>
      <c r="BY31" s="372">
        <f t="shared" si="25"/>
        <v>0</v>
      </c>
      <c r="BZ31" s="372">
        <f t="shared" si="25"/>
        <v>0</v>
      </c>
      <c r="CA31" s="372">
        <f t="shared" si="25"/>
        <v>0</v>
      </c>
      <c r="CB31" s="372">
        <f t="shared" si="25"/>
        <v>0</v>
      </c>
      <c r="CC31" s="372">
        <f t="shared" si="25"/>
        <v>0</v>
      </c>
      <c r="CD31" s="372">
        <f t="shared" si="26"/>
        <v>0</v>
      </c>
      <c r="CE31" s="372">
        <f t="shared" si="26"/>
        <v>0</v>
      </c>
      <c r="CF31" s="372">
        <f t="shared" si="26"/>
        <v>0</v>
      </c>
      <c r="CG31" s="372">
        <f t="shared" si="26"/>
        <v>0</v>
      </c>
      <c r="CH31" s="372">
        <f t="shared" si="26"/>
        <v>0</v>
      </c>
      <c r="CI31" s="372">
        <f t="shared" si="26"/>
        <v>0</v>
      </c>
      <c r="CJ31" s="372">
        <f t="shared" si="26"/>
        <v>0</v>
      </c>
      <c r="CK31" s="372">
        <f t="shared" si="26"/>
        <v>0</v>
      </c>
    </row>
    <row r="32" spans="2:89" outlineLevel="1">
      <c r="D32" s="421"/>
      <c r="E32" s="421"/>
      <c r="F32" s="486"/>
      <c r="G32" s="486"/>
      <c r="H32" s="486"/>
      <c r="I32" s="484"/>
      <c r="J32" s="484"/>
      <c r="K32" s="438"/>
      <c r="L32" s="485"/>
      <c r="M32" s="484"/>
      <c r="N32" s="484"/>
      <c r="O32" s="484"/>
      <c r="R32" s="372">
        <f t="shared" si="14"/>
        <v>0</v>
      </c>
      <c r="S32" s="372">
        <f t="shared" si="14"/>
        <v>0</v>
      </c>
      <c r="T32" s="372">
        <f t="shared" si="14"/>
        <v>0</v>
      </c>
      <c r="U32" s="372">
        <f t="shared" si="14"/>
        <v>0</v>
      </c>
      <c r="X32" s="372">
        <f t="shared" si="21"/>
        <v>0</v>
      </c>
      <c r="Y32" s="372">
        <f t="shared" si="21"/>
        <v>0</v>
      </c>
      <c r="Z32" s="372">
        <f t="shared" si="21"/>
        <v>0</v>
      </c>
      <c r="AA32" s="372">
        <f t="shared" si="21"/>
        <v>0</v>
      </c>
      <c r="AB32" s="372">
        <f t="shared" si="21"/>
        <v>0</v>
      </c>
      <c r="AC32" s="372">
        <f t="shared" si="21"/>
        <v>0</v>
      </c>
      <c r="AD32" s="372">
        <f t="shared" si="21"/>
        <v>0</v>
      </c>
      <c r="AE32" s="372">
        <f t="shared" si="21"/>
        <v>0</v>
      </c>
      <c r="AF32" s="372">
        <f t="shared" si="21"/>
        <v>0</v>
      </c>
      <c r="AG32" s="372">
        <f t="shared" si="21"/>
        <v>0</v>
      </c>
      <c r="AH32" s="372">
        <f t="shared" si="21"/>
        <v>0</v>
      </c>
      <c r="AI32" s="372">
        <f t="shared" si="21"/>
        <v>0</v>
      </c>
      <c r="AJ32" s="372">
        <f t="shared" si="21"/>
        <v>0</v>
      </c>
      <c r="AK32" s="372">
        <f t="shared" si="21"/>
        <v>0</v>
      </c>
      <c r="AL32" s="372">
        <f t="shared" si="21"/>
        <v>0</v>
      </c>
      <c r="AM32" s="372">
        <f t="shared" si="21"/>
        <v>0</v>
      </c>
      <c r="AP32" s="372">
        <f t="shared" si="22"/>
        <v>0</v>
      </c>
      <c r="AQ32" s="372">
        <f t="shared" si="22"/>
        <v>0</v>
      </c>
      <c r="AR32" s="372">
        <f t="shared" si="22"/>
        <v>0</v>
      </c>
      <c r="AS32" s="372">
        <f t="shared" si="22"/>
        <v>0</v>
      </c>
      <c r="AT32" s="372">
        <f t="shared" si="22"/>
        <v>0</v>
      </c>
      <c r="AU32" s="372">
        <f t="shared" si="22"/>
        <v>0</v>
      </c>
      <c r="AV32" s="372">
        <f t="shared" si="22"/>
        <v>0</v>
      </c>
      <c r="AW32" s="372">
        <f t="shared" si="22"/>
        <v>0</v>
      </c>
      <c r="AX32" s="372">
        <f t="shared" si="22"/>
        <v>0</v>
      </c>
      <c r="AY32" s="372">
        <f t="shared" si="22"/>
        <v>0</v>
      </c>
      <c r="AZ32" s="372">
        <f t="shared" si="23"/>
        <v>0</v>
      </c>
      <c r="BA32" s="372">
        <f t="shared" si="23"/>
        <v>0</v>
      </c>
      <c r="BB32" s="372">
        <f t="shared" si="23"/>
        <v>0</v>
      </c>
      <c r="BC32" s="372">
        <f t="shared" si="23"/>
        <v>0</v>
      </c>
      <c r="BD32" s="372">
        <f t="shared" si="23"/>
        <v>0</v>
      </c>
      <c r="BE32" s="372">
        <f t="shared" si="23"/>
        <v>0</v>
      </c>
      <c r="BF32" s="372">
        <f t="shared" si="23"/>
        <v>0</v>
      </c>
      <c r="BG32" s="372">
        <f t="shared" si="23"/>
        <v>0</v>
      </c>
      <c r="BH32" s="372">
        <f t="shared" si="23"/>
        <v>0</v>
      </c>
      <c r="BI32" s="372">
        <f t="shared" si="23"/>
        <v>0</v>
      </c>
      <c r="BJ32" s="372">
        <f t="shared" si="24"/>
        <v>0</v>
      </c>
      <c r="BK32" s="372">
        <f t="shared" si="24"/>
        <v>0</v>
      </c>
      <c r="BL32" s="372">
        <f t="shared" si="24"/>
        <v>0</v>
      </c>
      <c r="BM32" s="372">
        <f t="shared" si="24"/>
        <v>0</v>
      </c>
      <c r="BN32" s="372">
        <f t="shared" si="24"/>
        <v>0</v>
      </c>
      <c r="BO32" s="372">
        <f t="shared" si="24"/>
        <v>0</v>
      </c>
      <c r="BP32" s="372">
        <f t="shared" si="24"/>
        <v>0</v>
      </c>
      <c r="BQ32" s="372">
        <f t="shared" si="24"/>
        <v>0</v>
      </c>
      <c r="BR32" s="372">
        <f t="shared" si="24"/>
        <v>0</v>
      </c>
      <c r="BS32" s="372">
        <f t="shared" si="24"/>
        <v>0</v>
      </c>
      <c r="BT32" s="372">
        <f t="shared" si="25"/>
        <v>0</v>
      </c>
      <c r="BU32" s="372">
        <f t="shared" si="25"/>
        <v>0</v>
      </c>
      <c r="BV32" s="372">
        <f t="shared" si="25"/>
        <v>0</v>
      </c>
      <c r="BW32" s="372">
        <f t="shared" si="25"/>
        <v>0</v>
      </c>
      <c r="BX32" s="372">
        <f t="shared" si="25"/>
        <v>0</v>
      </c>
      <c r="BY32" s="372">
        <f t="shared" si="25"/>
        <v>0</v>
      </c>
      <c r="BZ32" s="372">
        <f t="shared" si="25"/>
        <v>0</v>
      </c>
      <c r="CA32" s="372">
        <f t="shared" si="25"/>
        <v>0</v>
      </c>
      <c r="CB32" s="372">
        <f t="shared" si="25"/>
        <v>0</v>
      </c>
      <c r="CC32" s="372">
        <f t="shared" si="25"/>
        <v>0</v>
      </c>
      <c r="CD32" s="372">
        <f t="shared" si="26"/>
        <v>0</v>
      </c>
      <c r="CE32" s="372">
        <f t="shared" si="26"/>
        <v>0</v>
      </c>
      <c r="CF32" s="372">
        <f t="shared" si="26"/>
        <v>0</v>
      </c>
      <c r="CG32" s="372">
        <f t="shared" si="26"/>
        <v>0</v>
      </c>
      <c r="CH32" s="372">
        <f t="shared" si="26"/>
        <v>0</v>
      </c>
      <c r="CI32" s="372">
        <f t="shared" si="26"/>
        <v>0</v>
      </c>
      <c r="CJ32" s="372">
        <f t="shared" si="26"/>
        <v>0</v>
      </c>
      <c r="CK32" s="372">
        <f t="shared" si="26"/>
        <v>0</v>
      </c>
    </row>
    <row r="33" spans="2:89" outlineLevel="1">
      <c r="D33" s="421"/>
      <c r="E33" s="421"/>
      <c r="F33" s="486"/>
      <c r="G33" s="486"/>
      <c r="H33" s="486"/>
      <c r="I33" s="484"/>
      <c r="J33" s="484"/>
      <c r="K33" s="438"/>
      <c r="L33" s="485"/>
      <c r="M33" s="484"/>
      <c r="N33" s="484"/>
      <c r="O33" s="484"/>
      <c r="R33" s="372">
        <f t="shared" si="14"/>
        <v>0</v>
      </c>
      <c r="S33" s="372">
        <f t="shared" si="14"/>
        <v>0</v>
      </c>
      <c r="T33" s="372">
        <f t="shared" si="14"/>
        <v>0</v>
      </c>
      <c r="U33" s="372">
        <f t="shared" si="14"/>
        <v>0</v>
      </c>
      <c r="X33" s="372">
        <f t="shared" si="21"/>
        <v>0</v>
      </c>
      <c r="Y33" s="372">
        <f t="shared" si="21"/>
        <v>0</v>
      </c>
      <c r="Z33" s="372">
        <f t="shared" si="21"/>
        <v>0</v>
      </c>
      <c r="AA33" s="372">
        <f t="shared" si="21"/>
        <v>0</v>
      </c>
      <c r="AB33" s="372">
        <f t="shared" si="21"/>
        <v>0</v>
      </c>
      <c r="AC33" s="372">
        <f t="shared" si="21"/>
        <v>0</v>
      </c>
      <c r="AD33" s="372">
        <f t="shared" si="21"/>
        <v>0</v>
      </c>
      <c r="AE33" s="372">
        <f t="shared" si="21"/>
        <v>0</v>
      </c>
      <c r="AF33" s="372">
        <f t="shared" si="21"/>
        <v>0</v>
      </c>
      <c r="AG33" s="372">
        <f t="shared" si="21"/>
        <v>0</v>
      </c>
      <c r="AH33" s="372">
        <f t="shared" si="21"/>
        <v>0</v>
      </c>
      <c r="AI33" s="372">
        <f t="shared" si="21"/>
        <v>0</v>
      </c>
      <c r="AJ33" s="372">
        <f t="shared" si="21"/>
        <v>0</v>
      </c>
      <c r="AK33" s="372">
        <f t="shared" si="21"/>
        <v>0</v>
      </c>
      <c r="AL33" s="372">
        <f t="shared" si="21"/>
        <v>0</v>
      </c>
      <c r="AM33" s="372">
        <f t="shared" si="21"/>
        <v>0</v>
      </c>
      <c r="AP33" s="372">
        <f t="shared" si="22"/>
        <v>0</v>
      </c>
      <c r="AQ33" s="372">
        <f t="shared" si="22"/>
        <v>0</v>
      </c>
      <c r="AR33" s="372">
        <f t="shared" si="22"/>
        <v>0</v>
      </c>
      <c r="AS33" s="372">
        <f t="shared" si="22"/>
        <v>0</v>
      </c>
      <c r="AT33" s="372">
        <f t="shared" si="22"/>
        <v>0</v>
      </c>
      <c r="AU33" s="372">
        <f t="shared" si="22"/>
        <v>0</v>
      </c>
      <c r="AV33" s="372">
        <f t="shared" si="22"/>
        <v>0</v>
      </c>
      <c r="AW33" s="372">
        <f t="shared" si="22"/>
        <v>0</v>
      </c>
      <c r="AX33" s="372">
        <f t="shared" si="22"/>
        <v>0</v>
      </c>
      <c r="AY33" s="372">
        <f t="shared" si="22"/>
        <v>0</v>
      </c>
      <c r="AZ33" s="372">
        <f t="shared" si="23"/>
        <v>0</v>
      </c>
      <c r="BA33" s="372">
        <f t="shared" si="23"/>
        <v>0</v>
      </c>
      <c r="BB33" s="372">
        <f t="shared" si="23"/>
        <v>0</v>
      </c>
      <c r="BC33" s="372">
        <f t="shared" si="23"/>
        <v>0</v>
      </c>
      <c r="BD33" s="372">
        <f t="shared" si="23"/>
        <v>0</v>
      </c>
      <c r="BE33" s="372">
        <f t="shared" si="23"/>
        <v>0</v>
      </c>
      <c r="BF33" s="372">
        <f t="shared" si="23"/>
        <v>0</v>
      </c>
      <c r="BG33" s="372">
        <f t="shared" si="23"/>
        <v>0</v>
      </c>
      <c r="BH33" s="372">
        <f t="shared" si="23"/>
        <v>0</v>
      </c>
      <c r="BI33" s="372">
        <f t="shared" si="23"/>
        <v>0</v>
      </c>
      <c r="BJ33" s="372">
        <f t="shared" si="24"/>
        <v>0</v>
      </c>
      <c r="BK33" s="372">
        <f t="shared" si="24"/>
        <v>0</v>
      </c>
      <c r="BL33" s="372">
        <f t="shared" si="24"/>
        <v>0</v>
      </c>
      <c r="BM33" s="372">
        <f t="shared" si="24"/>
        <v>0</v>
      </c>
      <c r="BN33" s="372">
        <f t="shared" si="24"/>
        <v>0</v>
      </c>
      <c r="BO33" s="372">
        <f t="shared" si="24"/>
        <v>0</v>
      </c>
      <c r="BP33" s="372">
        <f t="shared" si="24"/>
        <v>0</v>
      </c>
      <c r="BQ33" s="372">
        <f t="shared" si="24"/>
        <v>0</v>
      </c>
      <c r="BR33" s="372">
        <f t="shared" si="24"/>
        <v>0</v>
      </c>
      <c r="BS33" s="372">
        <f t="shared" si="24"/>
        <v>0</v>
      </c>
      <c r="BT33" s="372">
        <f t="shared" si="25"/>
        <v>0</v>
      </c>
      <c r="BU33" s="372">
        <f t="shared" si="25"/>
        <v>0</v>
      </c>
      <c r="BV33" s="372">
        <f t="shared" si="25"/>
        <v>0</v>
      </c>
      <c r="BW33" s="372">
        <f t="shared" si="25"/>
        <v>0</v>
      </c>
      <c r="BX33" s="372">
        <f t="shared" si="25"/>
        <v>0</v>
      </c>
      <c r="BY33" s="372">
        <f t="shared" si="25"/>
        <v>0</v>
      </c>
      <c r="BZ33" s="372">
        <f t="shared" si="25"/>
        <v>0</v>
      </c>
      <c r="CA33" s="372">
        <f t="shared" si="25"/>
        <v>0</v>
      </c>
      <c r="CB33" s="372">
        <f t="shared" si="25"/>
        <v>0</v>
      </c>
      <c r="CC33" s="372">
        <f t="shared" si="25"/>
        <v>0</v>
      </c>
      <c r="CD33" s="372">
        <f t="shared" si="26"/>
        <v>0</v>
      </c>
      <c r="CE33" s="372">
        <f t="shared" si="26"/>
        <v>0</v>
      </c>
      <c r="CF33" s="372">
        <f t="shared" si="26"/>
        <v>0</v>
      </c>
      <c r="CG33" s="372">
        <f t="shared" si="26"/>
        <v>0</v>
      </c>
      <c r="CH33" s="372">
        <f t="shared" si="26"/>
        <v>0</v>
      </c>
      <c r="CI33" s="372">
        <f t="shared" si="26"/>
        <v>0</v>
      </c>
      <c r="CJ33" s="372">
        <f t="shared" si="26"/>
        <v>0</v>
      </c>
      <c r="CK33" s="372">
        <f t="shared" si="26"/>
        <v>0</v>
      </c>
    </row>
    <row r="34" spans="2:89" outlineLevel="1">
      <c r="D34" s="421"/>
      <c r="E34" s="421"/>
      <c r="F34" s="486"/>
      <c r="G34" s="486"/>
      <c r="H34" s="486"/>
      <c r="I34" s="484"/>
      <c r="J34" s="484"/>
      <c r="K34" s="438"/>
      <c r="L34" s="485"/>
      <c r="M34" s="484"/>
      <c r="N34" s="484"/>
      <c r="O34" s="484"/>
      <c r="R34" s="372">
        <f t="shared" si="14"/>
        <v>0</v>
      </c>
      <c r="S34" s="372">
        <f t="shared" si="14"/>
        <v>0</v>
      </c>
      <c r="T34" s="372">
        <f t="shared" si="14"/>
        <v>0</v>
      </c>
      <c r="U34" s="372">
        <f t="shared" si="14"/>
        <v>0</v>
      </c>
      <c r="X34" s="372">
        <f t="shared" si="21"/>
        <v>0</v>
      </c>
      <c r="Y34" s="372">
        <f t="shared" si="21"/>
        <v>0</v>
      </c>
      <c r="Z34" s="372">
        <f t="shared" si="21"/>
        <v>0</v>
      </c>
      <c r="AA34" s="372">
        <f t="shared" si="21"/>
        <v>0</v>
      </c>
      <c r="AB34" s="372">
        <f t="shared" si="21"/>
        <v>0</v>
      </c>
      <c r="AC34" s="372">
        <f t="shared" si="21"/>
        <v>0</v>
      </c>
      <c r="AD34" s="372">
        <f t="shared" si="21"/>
        <v>0</v>
      </c>
      <c r="AE34" s="372">
        <f t="shared" si="21"/>
        <v>0</v>
      </c>
      <c r="AF34" s="372">
        <f t="shared" si="21"/>
        <v>0</v>
      </c>
      <c r="AG34" s="372">
        <f t="shared" si="21"/>
        <v>0</v>
      </c>
      <c r="AH34" s="372">
        <f t="shared" si="21"/>
        <v>0</v>
      </c>
      <c r="AI34" s="372">
        <f t="shared" si="21"/>
        <v>0</v>
      </c>
      <c r="AJ34" s="372">
        <f t="shared" si="21"/>
        <v>0</v>
      </c>
      <c r="AK34" s="372">
        <f t="shared" si="21"/>
        <v>0</v>
      </c>
      <c r="AL34" s="372">
        <f t="shared" si="21"/>
        <v>0</v>
      </c>
      <c r="AM34" s="372">
        <f t="shared" si="21"/>
        <v>0</v>
      </c>
      <c r="AP34" s="372">
        <f t="shared" si="22"/>
        <v>0</v>
      </c>
      <c r="AQ34" s="372">
        <f t="shared" si="22"/>
        <v>0</v>
      </c>
      <c r="AR34" s="372">
        <f t="shared" si="22"/>
        <v>0</v>
      </c>
      <c r="AS34" s="372">
        <f t="shared" si="22"/>
        <v>0</v>
      </c>
      <c r="AT34" s="372">
        <f t="shared" si="22"/>
        <v>0</v>
      </c>
      <c r="AU34" s="372">
        <f t="shared" si="22"/>
        <v>0</v>
      </c>
      <c r="AV34" s="372">
        <f t="shared" si="22"/>
        <v>0</v>
      </c>
      <c r="AW34" s="372">
        <f t="shared" si="22"/>
        <v>0</v>
      </c>
      <c r="AX34" s="372">
        <f t="shared" si="22"/>
        <v>0</v>
      </c>
      <c r="AY34" s="372">
        <f t="shared" si="22"/>
        <v>0</v>
      </c>
      <c r="AZ34" s="372">
        <f t="shared" si="23"/>
        <v>0</v>
      </c>
      <c r="BA34" s="372">
        <f t="shared" si="23"/>
        <v>0</v>
      </c>
      <c r="BB34" s="372">
        <f t="shared" si="23"/>
        <v>0</v>
      </c>
      <c r="BC34" s="372">
        <f t="shared" si="23"/>
        <v>0</v>
      </c>
      <c r="BD34" s="372">
        <f t="shared" si="23"/>
        <v>0</v>
      </c>
      <c r="BE34" s="372">
        <f t="shared" si="23"/>
        <v>0</v>
      </c>
      <c r="BF34" s="372">
        <f t="shared" si="23"/>
        <v>0</v>
      </c>
      <c r="BG34" s="372">
        <f t="shared" si="23"/>
        <v>0</v>
      </c>
      <c r="BH34" s="372">
        <f t="shared" si="23"/>
        <v>0</v>
      </c>
      <c r="BI34" s="372">
        <f t="shared" si="23"/>
        <v>0</v>
      </c>
      <c r="BJ34" s="372">
        <f t="shared" si="24"/>
        <v>0</v>
      </c>
      <c r="BK34" s="372">
        <f t="shared" si="24"/>
        <v>0</v>
      </c>
      <c r="BL34" s="372">
        <f t="shared" si="24"/>
        <v>0</v>
      </c>
      <c r="BM34" s="372">
        <f t="shared" si="24"/>
        <v>0</v>
      </c>
      <c r="BN34" s="372">
        <f t="shared" si="24"/>
        <v>0</v>
      </c>
      <c r="BO34" s="372">
        <f t="shared" si="24"/>
        <v>0</v>
      </c>
      <c r="BP34" s="372">
        <f t="shared" si="24"/>
        <v>0</v>
      </c>
      <c r="BQ34" s="372">
        <f t="shared" si="24"/>
        <v>0</v>
      </c>
      <c r="BR34" s="372">
        <f t="shared" si="24"/>
        <v>0</v>
      </c>
      <c r="BS34" s="372">
        <f t="shared" si="24"/>
        <v>0</v>
      </c>
      <c r="BT34" s="372">
        <f t="shared" si="25"/>
        <v>0</v>
      </c>
      <c r="BU34" s="372">
        <f t="shared" si="25"/>
        <v>0</v>
      </c>
      <c r="BV34" s="372">
        <f t="shared" si="25"/>
        <v>0</v>
      </c>
      <c r="BW34" s="372">
        <f t="shared" si="25"/>
        <v>0</v>
      </c>
      <c r="BX34" s="372">
        <f t="shared" si="25"/>
        <v>0</v>
      </c>
      <c r="BY34" s="372">
        <f t="shared" si="25"/>
        <v>0</v>
      </c>
      <c r="BZ34" s="372">
        <f t="shared" si="25"/>
        <v>0</v>
      </c>
      <c r="CA34" s="372">
        <f t="shared" si="25"/>
        <v>0</v>
      </c>
      <c r="CB34" s="372">
        <f t="shared" si="25"/>
        <v>0</v>
      </c>
      <c r="CC34" s="372">
        <f t="shared" si="25"/>
        <v>0</v>
      </c>
      <c r="CD34" s="372">
        <f t="shared" si="26"/>
        <v>0</v>
      </c>
      <c r="CE34" s="372">
        <f t="shared" si="26"/>
        <v>0</v>
      </c>
      <c r="CF34" s="372">
        <f t="shared" si="26"/>
        <v>0</v>
      </c>
      <c r="CG34" s="372">
        <f t="shared" si="26"/>
        <v>0</v>
      </c>
      <c r="CH34" s="372">
        <f t="shared" si="26"/>
        <v>0</v>
      </c>
      <c r="CI34" s="372">
        <f t="shared" si="26"/>
        <v>0</v>
      </c>
      <c r="CJ34" s="372">
        <f t="shared" si="26"/>
        <v>0</v>
      </c>
      <c r="CK34" s="372">
        <f t="shared" si="26"/>
        <v>0</v>
      </c>
    </row>
    <row r="35" spans="2:89" outlineLevel="1">
      <c r="D35" s="421"/>
      <c r="E35" s="421"/>
      <c r="F35" s="486"/>
      <c r="G35" s="486"/>
      <c r="H35" s="486"/>
      <c r="I35" s="484"/>
      <c r="J35" s="484"/>
      <c r="K35" s="438"/>
      <c r="L35" s="485"/>
      <c r="M35" s="484"/>
      <c r="N35" s="484"/>
      <c r="O35" s="484"/>
      <c r="R35" s="372">
        <f t="shared" si="14"/>
        <v>0</v>
      </c>
      <c r="S35" s="372">
        <f t="shared" si="14"/>
        <v>0</v>
      </c>
      <c r="T35" s="372">
        <f t="shared" si="14"/>
        <v>0</v>
      </c>
      <c r="U35" s="372">
        <f t="shared" si="14"/>
        <v>0</v>
      </c>
      <c r="X35" s="372">
        <f t="shared" si="21"/>
        <v>0</v>
      </c>
      <c r="Y35" s="372">
        <f t="shared" si="21"/>
        <v>0</v>
      </c>
      <c r="Z35" s="372">
        <f t="shared" si="21"/>
        <v>0</v>
      </c>
      <c r="AA35" s="372">
        <f t="shared" si="21"/>
        <v>0</v>
      </c>
      <c r="AB35" s="372">
        <f t="shared" si="21"/>
        <v>0</v>
      </c>
      <c r="AC35" s="372">
        <f t="shared" si="21"/>
        <v>0</v>
      </c>
      <c r="AD35" s="372">
        <f t="shared" si="21"/>
        <v>0</v>
      </c>
      <c r="AE35" s="372">
        <f t="shared" si="21"/>
        <v>0</v>
      </c>
      <c r="AF35" s="372">
        <f t="shared" si="21"/>
        <v>0</v>
      </c>
      <c r="AG35" s="372">
        <f t="shared" si="21"/>
        <v>0</v>
      </c>
      <c r="AH35" s="372">
        <f t="shared" si="21"/>
        <v>0</v>
      </c>
      <c r="AI35" s="372">
        <f t="shared" si="21"/>
        <v>0</v>
      </c>
      <c r="AJ35" s="372">
        <f t="shared" si="21"/>
        <v>0</v>
      </c>
      <c r="AK35" s="372">
        <f t="shared" si="21"/>
        <v>0</v>
      </c>
      <c r="AL35" s="372">
        <f t="shared" si="21"/>
        <v>0</v>
      </c>
      <c r="AM35" s="372">
        <f t="shared" si="21"/>
        <v>0</v>
      </c>
      <c r="AP35" s="372">
        <f t="shared" si="22"/>
        <v>0</v>
      </c>
      <c r="AQ35" s="372">
        <f t="shared" si="22"/>
        <v>0</v>
      </c>
      <c r="AR35" s="372">
        <f t="shared" si="22"/>
        <v>0</v>
      </c>
      <c r="AS35" s="372">
        <f t="shared" si="22"/>
        <v>0</v>
      </c>
      <c r="AT35" s="372">
        <f t="shared" si="22"/>
        <v>0</v>
      </c>
      <c r="AU35" s="372">
        <f t="shared" si="22"/>
        <v>0</v>
      </c>
      <c r="AV35" s="372">
        <f t="shared" si="22"/>
        <v>0</v>
      </c>
      <c r="AW35" s="372">
        <f t="shared" si="22"/>
        <v>0</v>
      </c>
      <c r="AX35" s="372">
        <f t="shared" si="22"/>
        <v>0</v>
      </c>
      <c r="AY35" s="372">
        <f t="shared" si="22"/>
        <v>0</v>
      </c>
      <c r="AZ35" s="372">
        <f t="shared" si="23"/>
        <v>0</v>
      </c>
      <c r="BA35" s="372">
        <f t="shared" si="23"/>
        <v>0</v>
      </c>
      <c r="BB35" s="372">
        <f t="shared" si="23"/>
        <v>0</v>
      </c>
      <c r="BC35" s="372">
        <f t="shared" si="23"/>
        <v>0</v>
      </c>
      <c r="BD35" s="372">
        <f t="shared" si="23"/>
        <v>0</v>
      </c>
      <c r="BE35" s="372">
        <f t="shared" si="23"/>
        <v>0</v>
      </c>
      <c r="BF35" s="372">
        <f t="shared" si="23"/>
        <v>0</v>
      </c>
      <c r="BG35" s="372">
        <f t="shared" si="23"/>
        <v>0</v>
      </c>
      <c r="BH35" s="372">
        <f t="shared" si="23"/>
        <v>0</v>
      </c>
      <c r="BI35" s="372">
        <f t="shared" si="23"/>
        <v>0</v>
      </c>
      <c r="BJ35" s="372">
        <f t="shared" si="24"/>
        <v>0</v>
      </c>
      <c r="BK35" s="372">
        <f t="shared" si="24"/>
        <v>0</v>
      </c>
      <c r="BL35" s="372">
        <f t="shared" si="24"/>
        <v>0</v>
      </c>
      <c r="BM35" s="372">
        <f t="shared" si="24"/>
        <v>0</v>
      </c>
      <c r="BN35" s="372">
        <f t="shared" si="24"/>
        <v>0</v>
      </c>
      <c r="BO35" s="372">
        <f t="shared" si="24"/>
        <v>0</v>
      </c>
      <c r="BP35" s="372">
        <f t="shared" si="24"/>
        <v>0</v>
      </c>
      <c r="BQ35" s="372">
        <f t="shared" si="24"/>
        <v>0</v>
      </c>
      <c r="BR35" s="372">
        <f t="shared" si="24"/>
        <v>0</v>
      </c>
      <c r="BS35" s="372">
        <f t="shared" si="24"/>
        <v>0</v>
      </c>
      <c r="BT35" s="372">
        <f t="shared" si="25"/>
        <v>0</v>
      </c>
      <c r="BU35" s="372">
        <f t="shared" si="25"/>
        <v>0</v>
      </c>
      <c r="BV35" s="372">
        <f t="shared" si="25"/>
        <v>0</v>
      </c>
      <c r="BW35" s="372">
        <f t="shared" si="25"/>
        <v>0</v>
      </c>
      <c r="BX35" s="372">
        <f t="shared" si="25"/>
        <v>0</v>
      </c>
      <c r="BY35" s="372">
        <f t="shared" si="25"/>
        <v>0</v>
      </c>
      <c r="BZ35" s="372">
        <f t="shared" si="25"/>
        <v>0</v>
      </c>
      <c r="CA35" s="372">
        <f t="shared" si="25"/>
        <v>0</v>
      </c>
      <c r="CB35" s="372">
        <f t="shared" si="25"/>
        <v>0</v>
      </c>
      <c r="CC35" s="372">
        <f t="shared" si="25"/>
        <v>0</v>
      </c>
      <c r="CD35" s="372">
        <f t="shared" si="26"/>
        <v>0</v>
      </c>
      <c r="CE35" s="372">
        <f t="shared" si="26"/>
        <v>0</v>
      </c>
      <c r="CF35" s="372">
        <f t="shared" si="26"/>
        <v>0</v>
      </c>
      <c r="CG35" s="372">
        <f t="shared" si="26"/>
        <v>0</v>
      </c>
      <c r="CH35" s="372">
        <f t="shared" si="26"/>
        <v>0</v>
      </c>
      <c r="CI35" s="372">
        <f t="shared" si="26"/>
        <v>0</v>
      </c>
      <c r="CJ35" s="372">
        <f t="shared" si="26"/>
        <v>0</v>
      </c>
      <c r="CK35" s="372">
        <f t="shared" si="26"/>
        <v>0</v>
      </c>
    </row>
    <row r="37" spans="2:89" s="51" customFormat="1" ht="24" collapsed="1">
      <c r="B37" s="476" t="s">
        <v>397</v>
      </c>
      <c r="C37" s="475"/>
      <c r="D37" s="475"/>
      <c r="E37" s="475"/>
      <c r="F37" s="475"/>
      <c r="G37" s="475"/>
      <c r="H37" s="475"/>
      <c r="I37" s="475"/>
      <c r="J37" s="475"/>
      <c r="K37" s="475"/>
      <c r="L37" s="475"/>
      <c r="M37" s="475"/>
      <c r="N37" s="475"/>
      <c r="O37" s="475"/>
      <c r="R37" s="475"/>
      <c r="S37" s="475"/>
      <c r="T37" s="475"/>
      <c r="U37" s="475"/>
      <c r="X37" s="475"/>
      <c r="Y37" s="475"/>
      <c r="Z37" s="475"/>
      <c r="AA37" s="475"/>
      <c r="AB37" s="475"/>
      <c r="AC37" s="475"/>
      <c r="AD37" s="475"/>
      <c r="AE37" s="475"/>
      <c r="AF37" s="475"/>
      <c r="AG37" s="475"/>
      <c r="AH37" s="475"/>
      <c r="AI37" s="475"/>
      <c r="AJ37" s="475"/>
      <c r="AK37" s="475"/>
      <c r="AL37" s="475"/>
      <c r="AM37" s="475"/>
      <c r="AP37" s="475"/>
      <c r="AQ37" s="475"/>
      <c r="AR37" s="475"/>
      <c r="AS37" s="475"/>
      <c r="AT37" s="475"/>
      <c r="AU37" s="475"/>
      <c r="AV37" s="475"/>
      <c r="AW37" s="475"/>
      <c r="AX37" s="475"/>
      <c r="AY37" s="475"/>
      <c r="AZ37" s="475"/>
      <c r="BA37" s="475"/>
      <c r="BB37" s="475"/>
      <c r="BC37" s="475"/>
      <c r="BD37" s="475"/>
      <c r="BE37" s="475"/>
      <c r="BF37" s="475"/>
      <c r="BG37" s="475"/>
      <c r="BH37" s="475"/>
      <c r="BI37" s="475"/>
      <c r="BJ37" s="475"/>
      <c r="BK37" s="475"/>
      <c r="BL37" s="475"/>
      <c r="BM37" s="475"/>
      <c r="BN37" s="475"/>
      <c r="BO37" s="475"/>
      <c r="BP37" s="475"/>
      <c r="BQ37" s="475"/>
      <c r="BR37" s="475"/>
      <c r="BS37" s="475"/>
      <c r="BT37" s="475"/>
      <c r="BU37" s="475"/>
      <c r="BV37" s="475"/>
      <c r="BW37" s="475"/>
      <c r="BX37" s="475"/>
      <c r="BY37" s="475"/>
      <c r="BZ37" s="475"/>
      <c r="CA37" s="475"/>
      <c r="CB37" s="475"/>
      <c r="CC37" s="475"/>
      <c r="CD37" s="475"/>
      <c r="CE37" s="475"/>
      <c r="CF37" s="475"/>
      <c r="CG37" s="475"/>
      <c r="CH37" s="475"/>
      <c r="CI37" s="475"/>
      <c r="CJ37" s="475"/>
      <c r="CK37" s="475"/>
    </row>
    <row r="38" spans="2:89" hidden="1" outlineLevel="1" collapsed="1">
      <c r="C38" s="355" t="s">
        <v>398</v>
      </c>
      <c r="R38" s="483"/>
      <c r="S38" s="483"/>
      <c r="T38" s="483"/>
      <c r="U38" s="483"/>
      <c r="X38" s="483"/>
      <c r="Y38" s="483"/>
      <c r="Z38" s="483"/>
      <c r="AA38" s="483"/>
      <c r="AB38" s="483"/>
      <c r="AC38" s="483"/>
      <c r="AD38" s="483"/>
      <c r="AE38" s="483"/>
      <c r="AF38" s="483"/>
      <c r="AG38" s="483"/>
      <c r="AH38" s="483"/>
      <c r="AI38" s="483"/>
      <c r="AJ38" s="483"/>
      <c r="AK38" s="483"/>
      <c r="AL38" s="483"/>
      <c r="AM38" s="483"/>
      <c r="AP38" s="483"/>
      <c r="AQ38" s="483"/>
      <c r="AR38" s="483"/>
      <c r="AS38" s="483"/>
      <c r="AT38" s="483"/>
      <c r="AU38" s="483"/>
      <c r="AV38" s="483"/>
      <c r="AW38" s="483"/>
      <c r="AX38" s="483"/>
      <c r="AY38" s="483"/>
      <c r="AZ38" s="483"/>
      <c r="BA38" s="483"/>
      <c r="BB38" s="483"/>
      <c r="BC38" s="483"/>
      <c r="BD38" s="483"/>
      <c r="BE38" s="483"/>
      <c r="BF38" s="483"/>
      <c r="BG38" s="483"/>
      <c r="BH38" s="483"/>
      <c r="BI38" s="483"/>
      <c r="BJ38" s="483"/>
      <c r="BK38" s="483"/>
      <c r="BL38" s="483"/>
      <c r="BM38" s="483"/>
      <c r="BN38" s="483"/>
      <c r="BO38" s="483"/>
      <c r="BP38" s="483"/>
      <c r="BQ38" s="483"/>
      <c r="BR38" s="483"/>
      <c r="BS38" s="483"/>
      <c r="BT38" s="483"/>
      <c r="BU38" s="483"/>
      <c r="BV38" s="483"/>
      <c r="BW38" s="483"/>
      <c r="BX38" s="483"/>
      <c r="BY38" s="483"/>
      <c r="BZ38" s="483"/>
      <c r="CA38" s="483"/>
      <c r="CB38" s="483"/>
      <c r="CC38" s="483"/>
      <c r="CD38" s="483"/>
      <c r="CE38" s="483"/>
      <c r="CF38" s="483"/>
      <c r="CG38" s="483"/>
      <c r="CH38" s="483"/>
      <c r="CI38" s="483"/>
      <c r="CJ38" s="483"/>
      <c r="CK38" s="483"/>
    </row>
    <row r="39" spans="2:89" hidden="1" outlineLevel="2">
      <c r="D39" s="383" t="s">
        <v>178</v>
      </c>
      <c r="R39" s="372">
        <f>SUMIFS($AP39:$CK39,$AP$4:$CK$4,"&gt;="&amp;R$4,$AP$5:$CK$5,"&lt;="&amp;R$5)</f>
        <v>120000</v>
      </c>
      <c r="S39" s="372">
        <f>SUMIFS($AP39:$CK39,$AP$4:$CK$4,"&gt;="&amp;S$4,$AP$5:$CK$5,"&lt;="&amp;S$5)</f>
        <v>120000</v>
      </c>
      <c r="T39" s="372">
        <f>SUMIFS($AP39:$CK39,$AP$4:$CK$4,"&gt;="&amp;T$4,$AP$5:$CK$5,"&lt;="&amp;T$5)</f>
        <v>120000</v>
      </c>
      <c r="U39" s="372">
        <f>SUMIFS($AP39:$CK39,$AP$4:$CK$4,"&gt;="&amp;U$4,$AP$5:$CK$5,"&lt;="&amp;U$5)</f>
        <v>120000</v>
      </c>
      <c r="X39" s="372">
        <f t="shared" ref="X39:AM39" si="27">SUMIFS($AP39:$CK39,$AP$4:$CK$4,"&gt;="&amp;X$4,$AP$5:$CK$5,"&lt;="&amp;X$5)</f>
        <v>30000</v>
      </c>
      <c r="Y39" s="372">
        <f t="shared" si="27"/>
        <v>30000</v>
      </c>
      <c r="Z39" s="372">
        <f t="shared" si="27"/>
        <v>30000</v>
      </c>
      <c r="AA39" s="372">
        <f t="shared" si="27"/>
        <v>30000</v>
      </c>
      <c r="AB39" s="372">
        <f t="shared" si="27"/>
        <v>30000</v>
      </c>
      <c r="AC39" s="372">
        <f t="shared" si="27"/>
        <v>30000</v>
      </c>
      <c r="AD39" s="372">
        <f t="shared" si="27"/>
        <v>30000</v>
      </c>
      <c r="AE39" s="372">
        <f t="shared" si="27"/>
        <v>30000</v>
      </c>
      <c r="AF39" s="372">
        <f t="shared" si="27"/>
        <v>30000</v>
      </c>
      <c r="AG39" s="372">
        <f t="shared" si="27"/>
        <v>30000</v>
      </c>
      <c r="AH39" s="372">
        <f t="shared" si="27"/>
        <v>30000</v>
      </c>
      <c r="AI39" s="372">
        <f t="shared" si="27"/>
        <v>30000</v>
      </c>
      <c r="AJ39" s="372">
        <f t="shared" si="27"/>
        <v>30000</v>
      </c>
      <c r="AK39" s="372">
        <f t="shared" si="27"/>
        <v>30000</v>
      </c>
      <c r="AL39" s="372">
        <f t="shared" si="27"/>
        <v>30000</v>
      </c>
      <c r="AM39" s="372">
        <f t="shared" si="27"/>
        <v>30000</v>
      </c>
      <c r="AP39" s="438">
        <v>10000</v>
      </c>
      <c r="AQ39" s="438">
        <v>10000</v>
      </c>
      <c r="AR39" s="438">
        <v>10000</v>
      </c>
      <c r="AS39" s="438">
        <v>10000</v>
      </c>
      <c r="AT39" s="438">
        <v>10000</v>
      </c>
      <c r="AU39" s="438">
        <v>10000</v>
      </c>
      <c r="AV39" s="438">
        <v>10000</v>
      </c>
      <c r="AW39" s="438">
        <v>10000</v>
      </c>
      <c r="AX39" s="438">
        <v>10000</v>
      </c>
      <c r="AY39" s="438">
        <v>10000</v>
      </c>
      <c r="AZ39" s="438">
        <v>10000</v>
      </c>
      <c r="BA39" s="438">
        <v>10000</v>
      </c>
      <c r="BB39" s="438">
        <v>10000</v>
      </c>
      <c r="BC39" s="438">
        <v>10000</v>
      </c>
      <c r="BD39" s="438">
        <v>10000</v>
      </c>
      <c r="BE39" s="438">
        <v>10000</v>
      </c>
      <c r="BF39" s="438">
        <v>10000</v>
      </c>
      <c r="BG39" s="438">
        <v>10000</v>
      </c>
      <c r="BH39" s="438">
        <v>10000</v>
      </c>
      <c r="BI39" s="438">
        <v>10000</v>
      </c>
      <c r="BJ39" s="438">
        <v>10000</v>
      </c>
      <c r="BK39" s="438">
        <v>10000</v>
      </c>
      <c r="BL39" s="438">
        <v>10000</v>
      </c>
      <c r="BM39" s="438">
        <v>10000</v>
      </c>
      <c r="BN39" s="438">
        <v>10000</v>
      </c>
      <c r="BO39" s="438">
        <v>10000</v>
      </c>
      <c r="BP39" s="438">
        <v>10000</v>
      </c>
      <c r="BQ39" s="438">
        <v>10000</v>
      </c>
      <c r="BR39" s="438">
        <v>10000</v>
      </c>
      <c r="BS39" s="438">
        <v>10000</v>
      </c>
      <c r="BT39" s="438">
        <v>10000</v>
      </c>
      <c r="BU39" s="438">
        <v>10000</v>
      </c>
      <c r="BV39" s="438">
        <v>10000</v>
      </c>
      <c r="BW39" s="438">
        <v>10000</v>
      </c>
      <c r="BX39" s="438">
        <v>10000</v>
      </c>
      <c r="BY39" s="438">
        <v>10000</v>
      </c>
      <c r="BZ39" s="438">
        <v>10000</v>
      </c>
      <c r="CA39" s="438">
        <v>10000</v>
      </c>
      <c r="CB39" s="438">
        <v>10000</v>
      </c>
      <c r="CC39" s="438">
        <v>10000</v>
      </c>
      <c r="CD39" s="438">
        <v>10000</v>
      </c>
      <c r="CE39" s="438">
        <v>10000</v>
      </c>
      <c r="CF39" s="438">
        <v>10000</v>
      </c>
      <c r="CG39" s="438">
        <v>10000</v>
      </c>
      <c r="CH39" s="438">
        <v>10000</v>
      </c>
      <c r="CI39" s="438">
        <v>10000</v>
      </c>
      <c r="CJ39" s="438">
        <v>10000</v>
      </c>
      <c r="CK39" s="438">
        <v>10000</v>
      </c>
    </row>
    <row r="40" spans="2:89" hidden="1" outlineLevel="2">
      <c r="D40" s="383" t="s">
        <v>180</v>
      </c>
      <c r="R40" s="372">
        <f t="shared" ref="R40:U43" si="28">SUMIFS($AP40:$CK40,$AP$4:$CK$4,"&gt;="&amp;R$4,$AP$5:$CK$5,"&lt;="&amp;R$5)</f>
        <v>120000</v>
      </c>
      <c r="S40" s="372">
        <f t="shared" si="28"/>
        <v>120000</v>
      </c>
      <c r="T40" s="372">
        <f t="shared" si="28"/>
        <v>120000</v>
      </c>
      <c r="U40" s="372">
        <f t="shared" si="28"/>
        <v>120000</v>
      </c>
      <c r="X40" s="372">
        <f t="shared" ref="X40:AM43" si="29">SUMIFS($AP40:$CK40,$AP$4:$CK$4,"&gt;="&amp;X$4,$AP$5:$CK$5,"&lt;="&amp;X$5)</f>
        <v>30000</v>
      </c>
      <c r="Y40" s="372">
        <f t="shared" si="29"/>
        <v>30000</v>
      </c>
      <c r="Z40" s="372">
        <f t="shared" si="29"/>
        <v>30000</v>
      </c>
      <c r="AA40" s="372">
        <f t="shared" si="29"/>
        <v>30000</v>
      </c>
      <c r="AB40" s="372">
        <f t="shared" si="29"/>
        <v>30000</v>
      </c>
      <c r="AC40" s="372">
        <f t="shared" si="29"/>
        <v>30000</v>
      </c>
      <c r="AD40" s="372">
        <f t="shared" si="29"/>
        <v>30000</v>
      </c>
      <c r="AE40" s="372">
        <f t="shared" si="29"/>
        <v>30000</v>
      </c>
      <c r="AF40" s="372">
        <f t="shared" si="29"/>
        <v>30000</v>
      </c>
      <c r="AG40" s="372">
        <f t="shared" si="29"/>
        <v>30000</v>
      </c>
      <c r="AH40" s="372">
        <f t="shared" si="29"/>
        <v>30000</v>
      </c>
      <c r="AI40" s="372">
        <f t="shared" si="29"/>
        <v>30000</v>
      </c>
      <c r="AJ40" s="372">
        <f t="shared" si="29"/>
        <v>30000</v>
      </c>
      <c r="AK40" s="372">
        <f t="shared" si="29"/>
        <v>30000</v>
      </c>
      <c r="AL40" s="372">
        <f t="shared" si="29"/>
        <v>30000</v>
      </c>
      <c r="AM40" s="372">
        <f t="shared" si="29"/>
        <v>30000</v>
      </c>
      <c r="AP40" s="438">
        <v>10000</v>
      </c>
      <c r="AQ40" s="438">
        <v>10000</v>
      </c>
      <c r="AR40" s="438">
        <v>10000</v>
      </c>
      <c r="AS40" s="438">
        <v>10000</v>
      </c>
      <c r="AT40" s="438">
        <v>10000</v>
      </c>
      <c r="AU40" s="438">
        <v>10000</v>
      </c>
      <c r="AV40" s="438">
        <v>10000</v>
      </c>
      <c r="AW40" s="438">
        <v>10000</v>
      </c>
      <c r="AX40" s="438">
        <v>10000</v>
      </c>
      <c r="AY40" s="438">
        <v>10000</v>
      </c>
      <c r="AZ40" s="438">
        <v>10000</v>
      </c>
      <c r="BA40" s="438">
        <v>10000</v>
      </c>
      <c r="BB40" s="438">
        <v>10000</v>
      </c>
      <c r="BC40" s="438">
        <v>10000</v>
      </c>
      <c r="BD40" s="438">
        <v>10000</v>
      </c>
      <c r="BE40" s="438">
        <v>10000</v>
      </c>
      <c r="BF40" s="438">
        <v>10000</v>
      </c>
      <c r="BG40" s="438">
        <v>10000</v>
      </c>
      <c r="BH40" s="438">
        <v>10000</v>
      </c>
      <c r="BI40" s="438">
        <v>10000</v>
      </c>
      <c r="BJ40" s="438">
        <v>10000</v>
      </c>
      <c r="BK40" s="438">
        <v>10000</v>
      </c>
      <c r="BL40" s="438">
        <v>10000</v>
      </c>
      <c r="BM40" s="438">
        <v>10000</v>
      </c>
      <c r="BN40" s="438">
        <v>10000</v>
      </c>
      <c r="BO40" s="438">
        <v>10000</v>
      </c>
      <c r="BP40" s="438">
        <v>10000</v>
      </c>
      <c r="BQ40" s="438">
        <v>10000</v>
      </c>
      <c r="BR40" s="438">
        <v>10000</v>
      </c>
      <c r="BS40" s="438">
        <v>10000</v>
      </c>
      <c r="BT40" s="438">
        <v>10000</v>
      </c>
      <c r="BU40" s="438">
        <v>10000</v>
      </c>
      <c r="BV40" s="438">
        <v>10000</v>
      </c>
      <c r="BW40" s="438">
        <v>10000</v>
      </c>
      <c r="BX40" s="438">
        <v>10000</v>
      </c>
      <c r="BY40" s="438">
        <v>10000</v>
      </c>
      <c r="BZ40" s="438">
        <v>10000</v>
      </c>
      <c r="CA40" s="438">
        <v>10000</v>
      </c>
      <c r="CB40" s="438">
        <v>10000</v>
      </c>
      <c r="CC40" s="438">
        <v>10000</v>
      </c>
      <c r="CD40" s="438">
        <v>10000</v>
      </c>
      <c r="CE40" s="438">
        <v>10000</v>
      </c>
      <c r="CF40" s="438">
        <v>10000</v>
      </c>
      <c r="CG40" s="438">
        <v>10000</v>
      </c>
      <c r="CH40" s="438">
        <v>10000</v>
      </c>
      <c r="CI40" s="438">
        <v>10000</v>
      </c>
      <c r="CJ40" s="438">
        <v>10000</v>
      </c>
      <c r="CK40" s="438">
        <v>10000</v>
      </c>
    </row>
    <row r="41" spans="2:89" hidden="1" outlineLevel="2">
      <c r="D41" s="383" t="s">
        <v>182</v>
      </c>
      <c r="R41" s="372">
        <f t="shared" si="28"/>
        <v>120000</v>
      </c>
      <c r="S41" s="372">
        <f t="shared" si="28"/>
        <v>120000</v>
      </c>
      <c r="T41" s="372">
        <f t="shared" si="28"/>
        <v>120000</v>
      </c>
      <c r="U41" s="372">
        <f t="shared" si="28"/>
        <v>120000</v>
      </c>
      <c r="X41" s="372">
        <f t="shared" si="29"/>
        <v>30000</v>
      </c>
      <c r="Y41" s="372">
        <f t="shared" si="29"/>
        <v>30000</v>
      </c>
      <c r="Z41" s="372">
        <f t="shared" si="29"/>
        <v>30000</v>
      </c>
      <c r="AA41" s="372">
        <f t="shared" si="29"/>
        <v>30000</v>
      </c>
      <c r="AB41" s="372">
        <f t="shared" si="29"/>
        <v>30000</v>
      </c>
      <c r="AC41" s="372">
        <f t="shared" si="29"/>
        <v>30000</v>
      </c>
      <c r="AD41" s="372">
        <f t="shared" si="29"/>
        <v>30000</v>
      </c>
      <c r="AE41" s="372">
        <f t="shared" si="29"/>
        <v>30000</v>
      </c>
      <c r="AF41" s="372">
        <f t="shared" si="29"/>
        <v>30000</v>
      </c>
      <c r="AG41" s="372">
        <f t="shared" si="29"/>
        <v>30000</v>
      </c>
      <c r="AH41" s="372">
        <f t="shared" si="29"/>
        <v>30000</v>
      </c>
      <c r="AI41" s="372">
        <f t="shared" si="29"/>
        <v>30000</v>
      </c>
      <c r="AJ41" s="372">
        <f t="shared" si="29"/>
        <v>30000</v>
      </c>
      <c r="AK41" s="372">
        <f t="shared" si="29"/>
        <v>30000</v>
      </c>
      <c r="AL41" s="372">
        <f t="shared" si="29"/>
        <v>30000</v>
      </c>
      <c r="AM41" s="372">
        <f t="shared" si="29"/>
        <v>30000</v>
      </c>
      <c r="AP41" s="438">
        <v>10000</v>
      </c>
      <c r="AQ41" s="438">
        <v>10000</v>
      </c>
      <c r="AR41" s="438">
        <v>10000</v>
      </c>
      <c r="AS41" s="438">
        <v>10000</v>
      </c>
      <c r="AT41" s="438">
        <v>10000</v>
      </c>
      <c r="AU41" s="438">
        <v>10000</v>
      </c>
      <c r="AV41" s="438">
        <v>10000</v>
      </c>
      <c r="AW41" s="438">
        <v>10000</v>
      </c>
      <c r="AX41" s="438">
        <v>10000</v>
      </c>
      <c r="AY41" s="438">
        <v>10000</v>
      </c>
      <c r="AZ41" s="438">
        <v>10000</v>
      </c>
      <c r="BA41" s="438">
        <v>10000</v>
      </c>
      <c r="BB41" s="438">
        <v>10000</v>
      </c>
      <c r="BC41" s="438">
        <v>10000</v>
      </c>
      <c r="BD41" s="438">
        <v>10000</v>
      </c>
      <c r="BE41" s="438">
        <v>10000</v>
      </c>
      <c r="BF41" s="438">
        <v>10000</v>
      </c>
      <c r="BG41" s="438">
        <v>10000</v>
      </c>
      <c r="BH41" s="438">
        <v>10000</v>
      </c>
      <c r="BI41" s="438">
        <v>10000</v>
      </c>
      <c r="BJ41" s="438">
        <v>10000</v>
      </c>
      <c r="BK41" s="438">
        <v>10000</v>
      </c>
      <c r="BL41" s="438">
        <v>10000</v>
      </c>
      <c r="BM41" s="438">
        <v>10000</v>
      </c>
      <c r="BN41" s="438">
        <v>10000</v>
      </c>
      <c r="BO41" s="438">
        <v>10000</v>
      </c>
      <c r="BP41" s="438">
        <v>10000</v>
      </c>
      <c r="BQ41" s="438">
        <v>10000</v>
      </c>
      <c r="BR41" s="438">
        <v>10000</v>
      </c>
      <c r="BS41" s="438">
        <v>10000</v>
      </c>
      <c r="BT41" s="438">
        <v>10000</v>
      </c>
      <c r="BU41" s="438">
        <v>10000</v>
      </c>
      <c r="BV41" s="438">
        <v>10000</v>
      </c>
      <c r="BW41" s="438">
        <v>10000</v>
      </c>
      <c r="BX41" s="438">
        <v>10000</v>
      </c>
      <c r="BY41" s="438">
        <v>10000</v>
      </c>
      <c r="BZ41" s="438">
        <v>10000</v>
      </c>
      <c r="CA41" s="438">
        <v>10000</v>
      </c>
      <c r="CB41" s="438">
        <v>10000</v>
      </c>
      <c r="CC41" s="438">
        <v>10000</v>
      </c>
      <c r="CD41" s="438">
        <v>10000</v>
      </c>
      <c r="CE41" s="438">
        <v>10000</v>
      </c>
      <c r="CF41" s="438">
        <v>10000</v>
      </c>
      <c r="CG41" s="438">
        <v>10000</v>
      </c>
      <c r="CH41" s="438">
        <v>10000</v>
      </c>
      <c r="CI41" s="438">
        <v>10000</v>
      </c>
      <c r="CJ41" s="438">
        <v>10000</v>
      </c>
      <c r="CK41" s="438">
        <v>10000</v>
      </c>
    </row>
    <row r="42" spans="2:89" hidden="1" outlineLevel="2">
      <c r="D42" s="383" t="s">
        <v>184</v>
      </c>
      <c r="R42" s="372">
        <f t="shared" si="28"/>
        <v>120000</v>
      </c>
      <c r="S42" s="372">
        <f t="shared" si="28"/>
        <v>120000</v>
      </c>
      <c r="T42" s="372">
        <f t="shared" si="28"/>
        <v>120000</v>
      </c>
      <c r="U42" s="372">
        <f t="shared" si="28"/>
        <v>120000</v>
      </c>
      <c r="X42" s="372">
        <f t="shared" si="29"/>
        <v>30000</v>
      </c>
      <c r="Y42" s="372">
        <f t="shared" si="29"/>
        <v>30000</v>
      </c>
      <c r="Z42" s="372">
        <f t="shared" si="29"/>
        <v>30000</v>
      </c>
      <c r="AA42" s="372">
        <f t="shared" si="29"/>
        <v>30000</v>
      </c>
      <c r="AB42" s="372">
        <f t="shared" si="29"/>
        <v>30000</v>
      </c>
      <c r="AC42" s="372">
        <f t="shared" si="29"/>
        <v>30000</v>
      </c>
      <c r="AD42" s="372">
        <f t="shared" si="29"/>
        <v>30000</v>
      </c>
      <c r="AE42" s="372">
        <f t="shared" si="29"/>
        <v>30000</v>
      </c>
      <c r="AF42" s="372">
        <f t="shared" si="29"/>
        <v>30000</v>
      </c>
      <c r="AG42" s="372">
        <f t="shared" si="29"/>
        <v>30000</v>
      </c>
      <c r="AH42" s="372">
        <f t="shared" si="29"/>
        <v>30000</v>
      </c>
      <c r="AI42" s="372">
        <f t="shared" si="29"/>
        <v>30000</v>
      </c>
      <c r="AJ42" s="372">
        <f t="shared" si="29"/>
        <v>30000</v>
      </c>
      <c r="AK42" s="372">
        <f t="shared" si="29"/>
        <v>30000</v>
      </c>
      <c r="AL42" s="372">
        <f t="shared" si="29"/>
        <v>30000</v>
      </c>
      <c r="AM42" s="372">
        <f t="shared" si="29"/>
        <v>30000</v>
      </c>
      <c r="AP42" s="438">
        <v>10000</v>
      </c>
      <c r="AQ42" s="438">
        <v>10000</v>
      </c>
      <c r="AR42" s="438">
        <v>10000</v>
      </c>
      <c r="AS42" s="438">
        <v>10000</v>
      </c>
      <c r="AT42" s="438">
        <v>10000</v>
      </c>
      <c r="AU42" s="438">
        <v>10000</v>
      </c>
      <c r="AV42" s="438">
        <v>10000</v>
      </c>
      <c r="AW42" s="438">
        <v>10000</v>
      </c>
      <c r="AX42" s="438">
        <v>10000</v>
      </c>
      <c r="AY42" s="438">
        <v>10000</v>
      </c>
      <c r="AZ42" s="438">
        <v>10000</v>
      </c>
      <c r="BA42" s="438">
        <v>10000</v>
      </c>
      <c r="BB42" s="438">
        <v>10000</v>
      </c>
      <c r="BC42" s="438">
        <v>10000</v>
      </c>
      <c r="BD42" s="438">
        <v>10000</v>
      </c>
      <c r="BE42" s="438">
        <v>10000</v>
      </c>
      <c r="BF42" s="438">
        <v>10000</v>
      </c>
      <c r="BG42" s="438">
        <v>10000</v>
      </c>
      <c r="BH42" s="438">
        <v>10000</v>
      </c>
      <c r="BI42" s="438">
        <v>10000</v>
      </c>
      <c r="BJ42" s="438">
        <v>10000</v>
      </c>
      <c r="BK42" s="438">
        <v>10000</v>
      </c>
      <c r="BL42" s="438">
        <v>10000</v>
      </c>
      <c r="BM42" s="438">
        <v>10000</v>
      </c>
      <c r="BN42" s="438">
        <v>10000</v>
      </c>
      <c r="BO42" s="438">
        <v>10000</v>
      </c>
      <c r="BP42" s="438">
        <v>10000</v>
      </c>
      <c r="BQ42" s="438">
        <v>10000</v>
      </c>
      <c r="BR42" s="438">
        <v>10000</v>
      </c>
      <c r="BS42" s="438">
        <v>10000</v>
      </c>
      <c r="BT42" s="438">
        <v>10000</v>
      </c>
      <c r="BU42" s="438">
        <v>10000</v>
      </c>
      <c r="BV42" s="438">
        <v>10000</v>
      </c>
      <c r="BW42" s="438">
        <v>10000</v>
      </c>
      <c r="BX42" s="438">
        <v>10000</v>
      </c>
      <c r="BY42" s="438">
        <v>10000</v>
      </c>
      <c r="BZ42" s="438">
        <v>10000</v>
      </c>
      <c r="CA42" s="438">
        <v>10000</v>
      </c>
      <c r="CB42" s="438">
        <v>10000</v>
      </c>
      <c r="CC42" s="438">
        <v>10000</v>
      </c>
      <c r="CD42" s="438">
        <v>10000</v>
      </c>
      <c r="CE42" s="438">
        <v>10000</v>
      </c>
      <c r="CF42" s="438">
        <v>10000</v>
      </c>
      <c r="CG42" s="438">
        <v>10000</v>
      </c>
      <c r="CH42" s="438">
        <v>10000</v>
      </c>
      <c r="CI42" s="438">
        <v>10000</v>
      </c>
      <c r="CJ42" s="438">
        <v>10000</v>
      </c>
      <c r="CK42" s="438">
        <v>10000</v>
      </c>
    </row>
    <row r="43" spans="2:89" hidden="1" outlineLevel="2">
      <c r="D43" s="383" t="s">
        <v>186</v>
      </c>
      <c r="R43" s="372">
        <f t="shared" si="28"/>
        <v>120000</v>
      </c>
      <c r="S43" s="372">
        <f t="shared" si="28"/>
        <v>120000</v>
      </c>
      <c r="T43" s="372">
        <f t="shared" si="28"/>
        <v>120000</v>
      </c>
      <c r="U43" s="372">
        <f t="shared" si="28"/>
        <v>120000</v>
      </c>
      <c r="X43" s="372">
        <f t="shared" si="29"/>
        <v>30000</v>
      </c>
      <c r="Y43" s="372">
        <f t="shared" si="29"/>
        <v>30000</v>
      </c>
      <c r="Z43" s="372">
        <f t="shared" si="29"/>
        <v>30000</v>
      </c>
      <c r="AA43" s="372">
        <f t="shared" si="29"/>
        <v>30000</v>
      </c>
      <c r="AB43" s="372">
        <f t="shared" si="29"/>
        <v>30000</v>
      </c>
      <c r="AC43" s="372">
        <f t="shared" si="29"/>
        <v>30000</v>
      </c>
      <c r="AD43" s="372">
        <f t="shared" si="29"/>
        <v>30000</v>
      </c>
      <c r="AE43" s="372">
        <f t="shared" si="29"/>
        <v>30000</v>
      </c>
      <c r="AF43" s="372">
        <f t="shared" si="29"/>
        <v>30000</v>
      </c>
      <c r="AG43" s="372">
        <f t="shared" si="29"/>
        <v>30000</v>
      </c>
      <c r="AH43" s="372">
        <f t="shared" si="29"/>
        <v>30000</v>
      </c>
      <c r="AI43" s="372">
        <f t="shared" si="29"/>
        <v>30000</v>
      </c>
      <c r="AJ43" s="372">
        <f t="shared" si="29"/>
        <v>30000</v>
      </c>
      <c r="AK43" s="372">
        <f t="shared" si="29"/>
        <v>30000</v>
      </c>
      <c r="AL43" s="372">
        <f t="shared" si="29"/>
        <v>30000</v>
      </c>
      <c r="AM43" s="372">
        <f t="shared" si="29"/>
        <v>30000</v>
      </c>
      <c r="AP43" s="438">
        <v>10000</v>
      </c>
      <c r="AQ43" s="438">
        <v>10000</v>
      </c>
      <c r="AR43" s="438">
        <v>10000</v>
      </c>
      <c r="AS43" s="438">
        <v>10000</v>
      </c>
      <c r="AT43" s="438">
        <v>10000</v>
      </c>
      <c r="AU43" s="438">
        <v>10000</v>
      </c>
      <c r="AV43" s="438">
        <v>10000</v>
      </c>
      <c r="AW43" s="438">
        <v>10000</v>
      </c>
      <c r="AX43" s="438">
        <v>10000</v>
      </c>
      <c r="AY43" s="438">
        <v>10000</v>
      </c>
      <c r="AZ43" s="438">
        <v>10000</v>
      </c>
      <c r="BA43" s="438">
        <v>10000</v>
      </c>
      <c r="BB43" s="438">
        <v>10000</v>
      </c>
      <c r="BC43" s="438">
        <v>10000</v>
      </c>
      <c r="BD43" s="438">
        <v>10000</v>
      </c>
      <c r="BE43" s="438">
        <v>10000</v>
      </c>
      <c r="BF43" s="438">
        <v>10000</v>
      </c>
      <c r="BG43" s="438">
        <v>10000</v>
      </c>
      <c r="BH43" s="438">
        <v>10000</v>
      </c>
      <c r="BI43" s="438">
        <v>10000</v>
      </c>
      <c r="BJ43" s="438">
        <v>10000</v>
      </c>
      <c r="BK43" s="438">
        <v>10000</v>
      </c>
      <c r="BL43" s="438">
        <v>10000</v>
      </c>
      <c r="BM43" s="438">
        <v>10000</v>
      </c>
      <c r="BN43" s="438">
        <v>10000</v>
      </c>
      <c r="BO43" s="438">
        <v>10000</v>
      </c>
      <c r="BP43" s="438">
        <v>10000</v>
      </c>
      <c r="BQ43" s="438">
        <v>10000</v>
      </c>
      <c r="BR43" s="438">
        <v>10000</v>
      </c>
      <c r="BS43" s="438">
        <v>10000</v>
      </c>
      <c r="BT43" s="438">
        <v>10000</v>
      </c>
      <c r="BU43" s="438">
        <v>10000</v>
      </c>
      <c r="BV43" s="438">
        <v>10000</v>
      </c>
      <c r="BW43" s="438">
        <v>10000</v>
      </c>
      <c r="BX43" s="438">
        <v>10000</v>
      </c>
      <c r="BY43" s="438">
        <v>10000</v>
      </c>
      <c r="BZ43" s="438">
        <v>10000</v>
      </c>
      <c r="CA43" s="438">
        <v>10000</v>
      </c>
      <c r="CB43" s="438">
        <v>10000</v>
      </c>
      <c r="CC43" s="438">
        <v>10000</v>
      </c>
      <c r="CD43" s="438">
        <v>10000</v>
      </c>
      <c r="CE43" s="438">
        <v>10000</v>
      </c>
      <c r="CF43" s="438">
        <v>10000</v>
      </c>
      <c r="CG43" s="438">
        <v>10000</v>
      </c>
      <c r="CH43" s="438">
        <v>10000</v>
      </c>
      <c r="CI43" s="438">
        <v>10000</v>
      </c>
      <c r="CJ43" s="438">
        <v>10000</v>
      </c>
      <c r="CK43" s="438">
        <v>10000</v>
      </c>
    </row>
    <row r="44" spans="2:89" hidden="1" outlineLevel="1"/>
    <row r="45" spans="2:89" hidden="1" outlineLevel="1" collapsed="1">
      <c r="C45" s="355" t="s">
        <v>399</v>
      </c>
      <c r="R45" s="482">
        <f>SUM(R46:R51)</f>
        <v>0</v>
      </c>
      <c r="S45" s="482">
        <f>SUM(S46:S51)</f>
        <v>0</v>
      </c>
      <c r="T45" s="482">
        <f>SUM(T46:T51)</f>
        <v>0</v>
      </c>
      <c r="U45" s="482">
        <f>SUM(U46:U51)</f>
        <v>0</v>
      </c>
      <c r="V45" s="372"/>
      <c r="W45" s="372"/>
      <c r="X45" s="482">
        <f t="shared" ref="X45:AM45" si="30">SUM(X46:X51)</f>
        <v>0</v>
      </c>
      <c r="Y45" s="482">
        <f t="shared" si="30"/>
        <v>0</v>
      </c>
      <c r="Z45" s="482">
        <f t="shared" si="30"/>
        <v>0</v>
      </c>
      <c r="AA45" s="482">
        <f t="shared" si="30"/>
        <v>0</v>
      </c>
      <c r="AB45" s="482">
        <f t="shared" si="30"/>
        <v>0</v>
      </c>
      <c r="AC45" s="482">
        <f t="shared" si="30"/>
        <v>0</v>
      </c>
      <c r="AD45" s="482">
        <f t="shared" si="30"/>
        <v>0</v>
      </c>
      <c r="AE45" s="482">
        <f t="shared" si="30"/>
        <v>0</v>
      </c>
      <c r="AF45" s="482">
        <f t="shared" si="30"/>
        <v>0</v>
      </c>
      <c r="AG45" s="482">
        <f t="shared" si="30"/>
        <v>0</v>
      </c>
      <c r="AH45" s="482">
        <f t="shared" si="30"/>
        <v>0</v>
      </c>
      <c r="AI45" s="482">
        <f t="shared" si="30"/>
        <v>0</v>
      </c>
      <c r="AJ45" s="482">
        <f t="shared" si="30"/>
        <v>0</v>
      </c>
      <c r="AK45" s="482">
        <f t="shared" si="30"/>
        <v>0</v>
      </c>
      <c r="AL45" s="482">
        <f t="shared" si="30"/>
        <v>0</v>
      </c>
      <c r="AM45" s="482">
        <f t="shared" si="30"/>
        <v>0</v>
      </c>
      <c r="AN45" s="372"/>
      <c r="AP45" s="482">
        <f t="shared" ref="AP45:CK45" si="31">SUM(AP46:AP51)</f>
        <v>0</v>
      </c>
      <c r="AQ45" s="482">
        <f t="shared" si="31"/>
        <v>0</v>
      </c>
      <c r="AR45" s="482">
        <f t="shared" si="31"/>
        <v>0</v>
      </c>
      <c r="AS45" s="482">
        <f t="shared" si="31"/>
        <v>0</v>
      </c>
      <c r="AT45" s="482">
        <f t="shared" si="31"/>
        <v>0</v>
      </c>
      <c r="AU45" s="482">
        <f t="shared" si="31"/>
        <v>0</v>
      </c>
      <c r="AV45" s="482">
        <f t="shared" si="31"/>
        <v>0</v>
      </c>
      <c r="AW45" s="482">
        <f t="shared" si="31"/>
        <v>0</v>
      </c>
      <c r="AX45" s="482">
        <f t="shared" si="31"/>
        <v>0</v>
      </c>
      <c r="AY45" s="482">
        <f t="shared" si="31"/>
        <v>0</v>
      </c>
      <c r="AZ45" s="482">
        <f t="shared" si="31"/>
        <v>0</v>
      </c>
      <c r="BA45" s="482">
        <f t="shared" si="31"/>
        <v>0</v>
      </c>
      <c r="BB45" s="482">
        <f t="shared" si="31"/>
        <v>0</v>
      </c>
      <c r="BC45" s="482">
        <f t="shared" si="31"/>
        <v>0</v>
      </c>
      <c r="BD45" s="482">
        <f t="shared" si="31"/>
        <v>0</v>
      </c>
      <c r="BE45" s="482">
        <f t="shared" si="31"/>
        <v>0</v>
      </c>
      <c r="BF45" s="482">
        <f t="shared" si="31"/>
        <v>0</v>
      </c>
      <c r="BG45" s="482">
        <f t="shared" si="31"/>
        <v>0</v>
      </c>
      <c r="BH45" s="482">
        <f t="shared" si="31"/>
        <v>0</v>
      </c>
      <c r="BI45" s="482">
        <f t="shared" si="31"/>
        <v>0</v>
      </c>
      <c r="BJ45" s="482">
        <f t="shared" si="31"/>
        <v>0</v>
      </c>
      <c r="BK45" s="482">
        <f t="shared" si="31"/>
        <v>0</v>
      </c>
      <c r="BL45" s="482">
        <f t="shared" si="31"/>
        <v>0</v>
      </c>
      <c r="BM45" s="482">
        <f t="shared" si="31"/>
        <v>0</v>
      </c>
      <c r="BN45" s="482">
        <f t="shared" si="31"/>
        <v>0</v>
      </c>
      <c r="BO45" s="482">
        <f t="shared" si="31"/>
        <v>0</v>
      </c>
      <c r="BP45" s="482">
        <f t="shared" si="31"/>
        <v>0</v>
      </c>
      <c r="BQ45" s="482">
        <f t="shared" si="31"/>
        <v>0</v>
      </c>
      <c r="BR45" s="482">
        <f t="shared" si="31"/>
        <v>0</v>
      </c>
      <c r="BS45" s="482">
        <f t="shared" si="31"/>
        <v>0</v>
      </c>
      <c r="BT45" s="482">
        <f t="shared" si="31"/>
        <v>0</v>
      </c>
      <c r="BU45" s="482">
        <f t="shared" si="31"/>
        <v>0</v>
      </c>
      <c r="BV45" s="482">
        <f t="shared" si="31"/>
        <v>0</v>
      </c>
      <c r="BW45" s="482">
        <f t="shared" si="31"/>
        <v>0</v>
      </c>
      <c r="BX45" s="482">
        <f t="shared" si="31"/>
        <v>0</v>
      </c>
      <c r="BY45" s="482">
        <f t="shared" si="31"/>
        <v>0</v>
      </c>
      <c r="BZ45" s="482">
        <f t="shared" si="31"/>
        <v>0</v>
      </c>
      <c r="CA45" s="482">
        <f t="shared" si="31"/>
        <v>0</v>
      </c>
      <c r="CB45" s="482">
        <f t="shared" si="31"/>
        <v>0</v>
      </c>
      <c r="CC45" s="482">
        <f t="shared" si="31"/>
        <v>0</v>
      </c>
      <c r="CD45" s="482">
        <f t="shared" si="31"/>
        <v>0</v>
      </c>
      <c r="CE45" s="482">
        <f t="shared" si="31"/>
        <v>0</v>
      </c>
      <c r="CF45" s="482">
        <f t="shared" si="31"/>
        <v>0</v>
      </c>
      <c r="CG45" s="482">
        <f t="shared" si="31"/>
        <v>0</v>
      </c>
      <c r="CH45" s="482">
        <f t="shared" si="31"/>
        <v>0</v>
      </c>
      <c r="CI45" s="482">
        <f t="shared" si="31"/>
        <v>0</v>
      </c>
      <c r="CJ45" s="482">
        <f t="shared" si="31"/>
        <v>0</v>
      </c>
      <c r="CK45" s="482">
        <f t="shared" si="31"/>
        <v>0</v>
      </c>
    </row>
    <row r="46" spans="2:89" hidden="1" outlineLevel="2">
      <c r="D46" s="383" t="s">
        <v>178</v>
      </c>
      <c r="R46" s="372">
        <f>SUMIFS($AP46:$CK46,$AP$4:$CK$4,"&gt;="&amp;R$4,$AP$5:$CK$5,"&lt;="&amp;R$5)</f>
        <v>0</v>
      </c>
      <c r="S46" s="372">
        <f>SUMIFS($AP46:$CK46,$AP$4:$CK$4,"&gt;="&amp;S$4,$AP$5:$CK$5,"&lt;="&amp;S$5)</f>
        <v>0</v>
      </c>
      <c r="T46" s="372">
        <f>SUMIFS($AP46:$CK46,$AP$4:$CK$4,"&gt;="&amp;T$4,$AP$5:$CK$5,"&lt;="&amp;T$5)</f>
        <v>0</v>
      </c>
      <c r="U46" s="372">
        <f>SUMIFS($AP46:$CK46,$AP$4:$CK$4,"&gt;="&amp;U$4,$AP$5:$CK$5,"&lt;="&amp;U$5)</f>
        <v>0</v>
      </c>
      <c r="X46" s="372">
        <f t="shared" ref="X46:AM46" si="32">SUMIFS($AP46:$CK46,$AP$4:$CK$4,"&gt;="&amp;X$4,$AP$5:$CK$5,"&lt;="&amp;X$5)</f>
        <v>0</v>
      </c>
      <c r="Y46" s="372">
        <f t="shared" si="32"/>
        <v>0</v>
      </c>
      <c r="Z46" s="372">
        <f t="shared" si="32"/>
        <v>0</v>
      </c>
      <c r="AA46" s="372">
        <f t="shared" si="32"/>
        <v>0</v>
      </c>
      <c r="AB46" s="372">
        <f t="shared" si="32"/>
        <v>0</v>
      </c>
      <c r="AC46" s="372">
        <f t="shared" si="32"/>
        <v>0</v>
      </c>
      <c r="AD46" s="372">
        <f t="shared" si="32"/>
        <v>0</v>
      </c>
      <c r="AE46" s="372">
        <f t="shared" si="32"/>
        <v>0</v>
      </c>
      <c r="AF46" s="372">
        <f t="shared" si="32"/>
        <v>0</v>
      </c>
      <c r="AG46" s="372">
        <f t="shared" si="32"/>
        <v>0</v>
      </c>
      <c r="AH46" s="372">
        <f t="shared" si="32"/>
        <v>0</v>
      </c>
      <c r="AI46" s="372">
        <f t="shared" si="32"/>
        <v>0</v>
      </c>
      <c r="AJ46" s="372">
        <f t="shared" si="32"/>
        <v>0</v>
      </c>
      <c r="AK46" s="372">
        <f t="shared" si="32"/>
        <v>0</v>
      </c>
      <c r="AL46" s="372">
        <f t="shared" si="32"/>
        <v>0</v>
      </c>
      <c r="AM46" s="372">
        <f t="shared" si="32"/>
        <v>0</v>
      </c>
      <c r="AP46" s="438">
        <v>0</v>
      </c>
      <c r="AQ46" s="438">
        <v>0</v>
      </c>
      <c r="AR46" s="438">
        <v>0</v>
      </c>
      <c r="AS46" s="438">
        <v>0</v>
      </c>
      <c r="AT46" s="438">
        <v>0</v>
      </c>
      <c r="AU46" s="438">
        <v>0</v>
      </c>
      <c r="AV46" s="438">
        <v>0</v>
      </c>
      <c r="AW46" s="438">
        <v>0</v>
      </c>
      <c r="AX46" s="438">
        <v>0</v>
      </c>
      <c r="AY46" s="438">
        <v>0</v>
      </c>
      <c r="AZ46" s="438">
        <v>0</v>
      </c>
      <c r="BA46" s="438">
        <v>0</v>
      </c>
      <c r="BB46" s="438">
        <v>0</v>
      </c>
      <c r="BC46" s="438">
        <v>0</v>
      </c>
      <c r="BD46" s="438">
        <v>0</v>
      </c>
      <c r="BE46" s="438">
        <v>0</v>
      </c>
      <c r="BF46" s="438">
        <v>0</v>
      </c>
      <c r="BG46" s="438">
        <v>0</v>
      </c>
      <c r="BH46" s="438">
        <v>0</v>
      </c>
      <c r="BI46" s="438">
        <v>0</v>
      </c>
      <c r="BJ46" s="438">
        <v>0</v>
      </c>
      <c r="BK46" s="438">
        <v>0</v>
      </c>
      <c r="BL46" s="438">
        <v>0</v>
      </c>
      <c r="BM46" s="438">
        <v>0</v>
      </c>
      <c r="BN46" s="438">
        <v>0</v>
      </c>
      <c r="BO46" s="438">
        <v>0</v>
      </c>
      <c r="BP46" s="438">
        <v>0</v>
      </c>
      <c r="BQ46" s="438">
        <v>0</v>
      </c>
      <c r="BR46" s="438">
        <v>0</v>
      </c>
      <c r="BS46" s="438">
        <v>0</v>
      </c>
      <c r="BT46" s="438">
        <v>0</v>
      </c>
      <c r="BU46" s="438">
        <v>0</v>
      </c>
      <c r="BV46" s="438">
        <v>0</v>
      </c>
      <c r="BW46" s="438">
        <v>0</v>
      </c>
      <c r="BX46" s="438">
        <v>0</v>
      </c>
      <c r="BY46" s="438">
        <v>0</v>
      </c>
      <c r="BZ46" s="438">
        <v>0</v>
      </c>
      <c r="CA46" s="438">
        <v>0</v>
      </c>
      <c r="CB46" s="438">
        <v>0</v>
      </c>
      <c r="CC46" s="438">
        <v>0</v>
      </c>
      <c r="CD46" s="438">
        <v>0</v>
      </c>
      <c r="CE46" s="438">
        <v>0</v>
      </c>
      <c r="CF46" s="438">
        <v>0</v>
      </c>
      <c r="CG46" s="438">
        <v>0</v>
      </c>
      <c r="CH46" s="438">
        <v>0</v>
      </c>
      <c r="CI46" s="438">
        <v>0</v>
      </c>
      <c r="CJ46" s="438">
        <v>0</v>
      </c>
      <c r="CK46" s="438">
        <v>0</v>
      </c>
    </row>
    <row r="47" spans="2:89" hidden="1" outlineLevel="2">
      <c r="D47" s="383" t="s">
        <v>180</v>
      </c>
      <c r="R47" s="372">
        <f t="shared" ref="R47:U50" si="33">SUMIFS($AP47:$CK47,$AP$4:$CK$4,"&gt;="&amp;R$4,$AP$5:$CK$5,"&lt;="&amp;R$5)</f>
        <v>0</v>
      </c>
      <c r="S47" s="372">
        <f t="shared" si="33"/>
        <v>0</v>
      </c>
      <c r="T47" s="372">
        <f t="shared" si="33"/>
        <v>0</v>
      </c>
      <c r="U47" s="372">
        <f t="shared" si="33"/>
        <v>0</v>
      </c>
      <c r="X47" s="372">
        <f t="shared" ref="X47:AM50" si="34">SUMIFS($AP47:$CK47,$AP$4:$CK$4,"&gt;="&amp;X$4,$AP$5:$CK$5,"&lt;="&amp;X$5)</f>
        <v>0</v>
      </c>
      <c r="Y47" s="372">
        <f t="shared" si="34"/>
        <v>0</v>
      </c>
      <c r="Z47" s="372">
        <f t="shared" si="34"/>
        <v>0</v>
      </c>
      <c r="AA47" s="372">
        <f t="shared" si="34"/>
        <v>0</v>
      </c>
      <c r="AB47" s="372">
        <f t="shared" si="34"/>
        <v>0</v>
      </c>
      <c r="AC47" s="372">
        <f t="shared" si="34"/>
        <v>0</v>
      </c>
      <c r="AD47" s="372">
        <f t="shared" si="34"/>
        <v>0</v>
      </c>
      <c r="AE47" s="372">
        <f t="shared" si="34"/>
        <v>0</v>
      </c>
      <c r="AF47" s="372">
        <f t="shared" si="34"/>
        <v>0</v>
      </c>
      <c r="AG47" s="372">
        <f t="shared" si="34"/>
        <v>0</v>
      </c>
      <c r="AH47" s="372">
        <f t="shared" si="34"/>
        <v>0</v>
      </c>
      <c r="AI47" s="372">
        <f t="shared" si="34"/>
        <v>0</v>
      </c>
      <c r="AJ47" s="372">
        <f t="shared" si="34"/>
        <v>0</v>
      </c>
      <c r="AK47" s="372">
        <f t="shared" si="34"/>
        <v>0</v>
      </c>
      <c r="AL47" s="372">
        <f t="shared" si="34"/>
        <v>0</v>
      </c>
      <c r="AM47" s="372">
        <f t="shared" si="34"/>
        <v>0</v>
      </c>
      <c r="AP47" s="438">
        <v>0</v>
      </c>
      <c r="AQ47" s="438">
        <v>0</v>
      </c>
      <c r="AR47" s="438">
        <v>0</v>
      </c>
      <c r="AS47" s="438">
        <v>0</v>
      </c>
      <c r="AT47" s="438">
        <v>0</v>
      </c>
      <c r="AU47" s="438">
        <v>0</v>
      </c>
      <c r="AV47" s="438">
        <v>0</v>
      </c>
      <c r="AW47" s="438">
        <v>0</v>
      </c>
      <c r="AX47" s="438">
        <v>0</v>
      </c>
      <c r="AY47" s="438">
        <v>0</v>
      </c>
      <c r="AZ47" s="438">
        <v>0</v>
      </c>
      <c r="BA47" s="438">
        <v>0</v>
      </c>
      <c r="BB47" s="438">
        <v>0</v>
      </c>
      <c r="BC47" s="438">
        <v>0</v>
      </c>
      <c r="BD47" s="438">
        <v>0</v>
      </c>
      <c r="BE47" s="438">
        <v>0</v>
      </c>
      <c r="BF47" s="438">
        <v>0</v>
      </c>
      <c r="BG47" s="438">
        <v>0</v>
      </c>
      <c r="BH47" s="438">
        <v>0</v>
      </c>
      <c r="BI47" s="438">
        <v>0</v>
      </c>
      <c r="BJ47" s="438">
        <v>0</v>
      </c>
      <c r="BK47" s="438">
        <v>0</v>
      </c>
      <c r="BL47" s="438">
        <v>0</v>
      </c>
      <c r="BM47" s="438">
        <v>0</v>
      </c>
      <c r="BN47" s="438">
        <v>0</v>
      </c>
      <c r="BO47" s="438">
        <v>0</v>
      </c>
      <c r="BP47" s="438">
        <v>0</v>
      </c>
      <c r="BQ47" s="438">
        <v>0</v>
      </c>
      <c r="BR47" s="438">
        <v>0</v>
      </c>
      <c r="BS47" s="438">
        <v>0</v>
      </c>
      <c r="BT47" s="438">
        <v>0</v>
      </c>
      <c r="BU47" s="438">
        <v>0</v>
      </c>
      <c r="BV47" s="438">
        <v>0</v>
      </c>
      <c r="BW47" s="438">
        <v>0</v>
      </c>
      <c r="BX47" s="438">
        <v>0</v>
      </c>
      <c r="BY47" s="438">
        <v>0</v>
      </c>
      <c r="BZ47" s="438">
        <v>0</v>
      </c>
      <c r="CA47" s="438">
        <v>0</v>
      </c>
      <c r="CB47" s="438">
        <v>0</v>
      </c>
      <c r="CC47" s="438">
        <v>0</v>
      </c>
      <c r="CD47" s="438">
        <v>0</v>
      </c>
      <c r="CE47" s="438">
        <v>0</v>
      </c>
      <c r="CF47" s="438">
        <v>0</v>
      </c>
      <c r="CG47" s="438">
        <v>0</v>
      </c>
      <c r="CH47" s="438">
        <v>0</v>
      </c>
      <c r="CI47" s="438">
        <v>0</v>
      </c>
      <c r="CJ47" s="438">
        <v>0</v>
      </c>
      <c r="CK47" s="438">
        <v>0</v>
      </c>
    </row>
    <row r="48" spans="2:89" hidden="1" outlineLevel="2">
      <c r="D48" s="383" t="s">
        <v>182</v>
      </c>
      <c r="R48" s="372">
        <f t="shared" si="33"/>
        <v>0</v>
      </c>
      <c r="S48" s="372">
        <f t="shared" si="33"/>
        <v>0</v>
      </c>
      <c r="T48" s="372">
        <f t="shared" si="33"/>
        <v>0</v>
      </c>
      <c r="U48" s="372">
        <f t="shared" si="33"/>
        <v>0</v>
      </c>
      <c r="X48" s="372">
        <f t="shared" si="34"/>
        <v>0</v>
      </c>
      <c r="Y48" s="372">
        <f t="shared" si="34"/>
        <v>0</v>
      </c>
      <c r="Z48" s="372">
        <f t="shared" si="34"/>
        <v>0</v>
      </c>
      <c r="AA48" s="372">
        <f t="shared" si="34"/>
        <v>0</v>
      </c>
      <c r="AB48" s="372">
        <f t="shared" si="34"/>
        <v>0</v>
      </c>
      <c r="AC48" s="372">
        <f t="shared" si="34"/>
        <v>0</v>
      </c>
      <c r="AD48" s="372">
        <f t="shared" si="34"/>
        <v>0</v>
      </c>
      <c r="AE48" s="372">
        <f t="shared" si="34"/>
        <v>0</v>
      </c>
      <c r="AF48" s="372">
        <f t="shared" si="34"/>
        <v>0</v>
      </c>
      <c r="AG48" s="372">
        <f t="shared" si="34"/>
        <v>0</v>
      </c>
      <c r="AH48" s="372">
        <f t="shared" si="34"/>
        <v>0</v>
      </c>
      <c r="AI48" s="372">
        <f t="shared" si="34"/>
        <v>0</v>
      </c>
      <c r="AJ48" s="372">
        <f t="shared" si="34"/>
        <v>0</v>
      </c>
      <c r="AK48" s="372">
        <f t="shared" si="34"/>
        <v>0</v>
      </c>
      <c r="AL48" s="372">
        <f t="shared" si="34"/>
        <v>0</v>
      </c>
      <c r="AM48" s="372">
        <f t="shared" si="34"/>
        <v>0</v>
      </c>
      <c r="AP48" s="438">
        <v>0</v>
      </c>
      <c r="AQ48" s="438">
        <v>0</v>
      </c>
      <c r="AR48" s="438">
        <v>0</v>
      </c>
      <c r="AS48" s="438">
        <v>0</v>
      </c>
      <c r="AT48" s="438">
        <v>0</v>
      </c>
      <c r="AU48" s="438">
        <v>0</v>
      </c>
      <c r="AV48" s="438">
        <v>0</v>
      </c>
      <c r="AW48" s="438">
        <v>0</v>
      </c>
      <c r="AX48" s="438">
        <v>0</v>
      </c>
      <c r="AY48" s="438">
        <v>0</v>
      </c>
      <c r="AZ48" s="438">
        <v>0</v>
      </c>
      <c r="BA48" s="438">
        <v>0</v>
      </c>
      <c r="BB48" s="438">
        <v>0</v>
      </c>
      <c r="BC48" s="438">
        <v>0</v>
      </c>
      <c r="BD48" s="438">
        <v>0</v>
      </c>
      <c r="BE48" s="438">
        <v>0</v>
      </c>
      <c r="BF48" s="438">
        <v>0</v>
      </c>
      <c r="BG48" s="438">
        <v>0</v>
      </c>
      <c r="BH48" s="438">
        <v>0</v>
      </c>
      <c r="BI48" s="438">
        <v>0</v>
      </c>
      <c r="BJ48" s="438">
        <v>0</v>
      </c>
      <c r="BK48" s="438">
        <v>0</v>
      </c>
      <c r="BL48" s="438">
        <v>0</v>
      </c>
      <c r="BM48" s="438">
        <v>0</v>
      </c>
      <c r="BN48" s="438">
        <v>0</v>
      </c>
      <c r="BO48" s="438">
        <v>0</v>
      </c>
      <c r="BP48" s="438">
        <v>0</v>
      </c>
      <c r="BQ48" s="438">
        <v>0</v>
      </c>
      <c r="BR48" s="438">
        <v>0</v>
      </c>
      <c r="BS48" s="438">
        <v>0</v>
      </c>
      <c r="BT48" s="438">
        <v>0</v>
      </c>
      <c r="BU48" s="438">
        <v>0</v>
      </c>
      <c r="BV48" s="438">
        <v>0</v>
      </c>
      <c r="BW48" s="438">
        <v>0</v>
      </c>
      <c r="BX48" s="438">
        <v>0</v>
      </c>
      <c r="BY48" s="438">
        <v>0</v>
      </c>
      <c r="BZ48" s="438">
        <v>0</v>
      </c>
      <c r="CA48" s="438">
        <v>0</v>
      </c>
      <c r="CB48" s="438">
        <v>0</v>
      </c>
      <c r="CC48" s="438">
        <v>0</v>
      </c>
      <c r="CD48" s="438">
        <v>0</v>
      </c>
      <c r="CE48" s="438">
        <v>0</v>
      </c>
      <c r="CF48" s="438">
        <v>0</v>
      </c>
      <c r="CG48" s="438">
        <v>0</v>
      </c>
      <c r="CH48" s="438">
        <v>0</v>
      </c>
      <c r="CI48" s="438">
        <v>0</v>
      </c>
      <c r="CJ48" s="438">
        <v>0</v>
      </c>
      <c r="CK48" s="438">
        <v>0</v>
      </c>
    </row>
    <row r="49" spans="2:89" hidden="1" outlineLevel="2">
      <c r="D49" s="383" t="s">
        <v>184</v>
      </c>
      <c r="R49" s="372">
        <f t="shared" si="33"/>
        <v>0</v>
      </c>
      <c r="S49" s="372">
        <f t="shared" si="33"/>
        <v>0</v>
      </c>
      <c r="T49" s="372">
        <f t="shared" si="33"/>
        <v>0</v>
      </c>
      <c r="U49" s="372">
        <f t="shared" si="33"/>
        <v>0</v>
      </c>
      <c r="X49" s="372">
        <f t="shared" si="34"/>
        <v>0</v>
      </c>
      <c r="Y49" s="372">
        <f t="shared" si="34"/>
        <v>0</v>
      </c>
      <c r="Z49" s="372">
        <f t="shared" si="34"/>
        <v>0</v>
      </c>
      <c r="AA49" s="372">
        <f t="shared" si="34"/>
        <v>0</v>
      </c>
      <c r="AB49" s="372">
        <f t="shared" si="34"/>
        <v>0</v>
      </c>
      <c r="AC49" s="372">
        <f t="shared" si="34"/>
        <v>0</v>
      </c>
      <c r="AD49" s="372">
        <f t="shared" si="34"/>
        <v>0</v>
      </c>
      <c r="AE49" s="372">
        <f t="shared" si="34"/>
        <v>0</v>
      </c>
      <c r="AF49" s="372">
        <f t="shared" si="34"/>
        <v>0</v>
      </c>
      <c r="AG49" s="372">
        <f t="shared" si="34"/>
        <v>0</v>
      </c>
      <c r="AH49" s="372">
        <f t="shared" si="34"/>
        <v>0</v>
      </c>
      <c r="AI49" s="372">
        <f t="shared" si="34"/>
        <v>0</v>
      </c>
      <c r="AJ49" s="372">
        <f t="shared" si="34"/>
        <v>0</v>
      </c>
      <c r="AK49" s="372">
        <f t="shared" si="34"/>
        <v>0</v>
      </c>
      <c r="AL49" s="372">
        <f t="shared" si="34"/>
        <v>0</v>
      </c>
      <c r="AM49" s="372">
        <f t="shared" si="34"/>
        <v>0</v>
      </c>
      <c r="AP49" s="438">
        <v>0</v>
      </c>
      <c r="AQ49" s="438">
        <v>0</v>
      </c>
      <c r="AR49" s="438">
        <v>0</v>
      </c>
      <c r="AS49" s="438">
        <v>0</v>
      </c>
      <c r="AT49" s="438">
        <v>0</v>
      </c>
      <c r="AU49" s="438">
        <v>0</v>
      </c>
      <c r="AV49" s="438">
        <v>0</v>
      </c>
      <c r="AW49" s="438">
        <v>0</v>
      </c>
      <c r="AX49" s="438">
        <v>0</v>
      </c>
      <c r="AY49" s="438">
        <v>0</v>
      </c>
      <c r="AZ49" s="438">
        <v>0</v>
      </c>
      <c r="BA49" s="438">
        <v>0</v>
      </c>
      <c r="BB49" s="438">
        <v>0</v>
      </c>
      <c r="BC49" s="438">
        <v>0</v>
      </c>
      <c r="BD49" s="438">
        <v>0</v>
      </c>
      <c r="BE49" s="438">
        <v>0</v>
      </c>
      <c r="BF49" s="438">
        <v>0</v>
      </c>
      <c r="BG49" s="438">
        <v>0</v>
      </c>
      <c r="BH49" s="438">
        <v>0</v>
      </c>
      <c r="BI49" s="438">
        <v>0</v>
      </c>
      <c r="BJ49" s="438">
        <v>0</v>
      </c>
      <c r="BK49" s="438">
        <v>0</v>
      </c>
      <c r="BL49" s="438">
        <v>0</v>
      </c>
      <c r="BM49" s="438">
        <v>0</v>
      </c>
      <c r="BN49" s="438">
        <v>0</v>
      </c>
      <c r="BO49" s="438">
        <v>0</v>
      </c>
      <c r="BP49" s="438">
        <v>0</v>
      </c>
      <c r="BQ49" s="438">
        <v>0</v>
      </c>
      <c r="BR49" s="438">
        <v>0</v>
      </c>
      <c r="BS49" s="438">
        <v>0</v>
      </c>
      <c r="BT49" s="438">
        <v>0</v>
      </c>
      <c r="BU49" s="438">
        <v>0</v>
      </c>
      <c r="BV49" s="438">
        <v>0</v>
      </c>
      <c r="BW49" s="438">
        <v>0</v>
      </c>
      <c r="BX49" s="438">
        <v>0</v>
      </c>
      <c r="BY49" s="438">
        <v>0</v>
      </c>
      <c r="BZ49" s="438">
        <v>0</v>
      </c>
      <c r="CA49" s="438">
        <v>0</v>
      </c>
      <c r="CB49" s="438">
        <v>0</v>
      </c>
      <c r="CC49" s="438">
        <v>0</v>
      </c>
      <c r="CD49" s="438">
        <v>0</v>
      </c>
      <c r="CE49" s="438">
        <v>0</v>
      </c>
      <c r="CF49" s="438">
        <v>0</v>
      </c>
      <c r="CG49" s="438">
        <v>0</v>
      </c>
      <c r="CH49" s="438">
        <v>0</v>
      </c>
      <c r="CI49" s="438">
        <v>0</v>
      </c>
      <c r="CJ49" s="438">
        <v>0</v>
      </c>
      <c r="CK49" s="438">
        <v>0</v>
      </c>
    </row>
    <row r="50" spans="2:89" hidden="1" outlineLevel="2">
      <c r="D50" s="383" t="s">
        <v>186</v>
      </c>
      <c r="R50" s="372">
        <f t="shared" si="33"/>
        <v>0</v>
      </c>
      <c r="S50" s="372">
        <f t="shared" si="33"/>
        <v>0</v>
      </c>
      <c r="T50" s="372">
        <f t="shared" si="33"/>
        <v>0</v>
      </c>
      <c r="U50" s="372">
        <f t="shared" si="33"/>
        <v>0</v>
      </c>
      <c r="X50" s="372">
        <f t="shared" si="34"/>
        <v>0</v>
      </c>
      <c r="Y50" s="372">
        <f t="shared" si="34"/>
        <v>0</v>
      </c>
      <c r="Z50" s="372">
        <f t="shared" si="34"/>
        <v>0</v>
      </c>
      <c r="AA50" s="372">
        <f t="shared" si="34"/>
        <v>0</v>
      </c>
      <c r="AB50" s="372">
        <f t="shared" si="34"/>
        <v>0</v>
      </c>
      <c r="AC50" s="372">
        <f t="shared" si="34"/>
        <v>0</v>
      </c>
      <c r="AD50" s="372">
        <f t="shared" si="34"/>
        <v>0</v>
      </c>
      <c r="AE50" s="372">
        <f t="shared" si="34"/>
        <v>0</v>
      </c>
      <c r="AF50" s="372">
        <f t="shared" si="34"/>
        <v>0</v>
      </c>
      <c r="AG50" s="372">
        <f t="shared" si="34"/>
        <v>0</v>
      </c>
      <c r="AH50" s="372">
        <f t="shared" si="34"/>
        <v>0</v>
      </c>
      <c r="AI50" s="372">
        <f t="shared" si="34"/>
        <v>0</v>
      </c>
      <c r="AJ50" s="372">
        <f t="shared" si="34"/>
        <v>0</v>
      </c>
      <c r="AK50" s="372">
        <f t="shared" si="34"/>
        <v>0</v>
      </c>
      <c r="AL50" s="372">
        <f t="shared" si="34"/>
        <v>0</v>
      </c>
      <c r="AM50" s="372">
        <f t="shared" si="34"/>
        <v>0</v>
      </c>
      <c r="AP50" s="438">
        <v>0</v>
      </c>
      <c r="AQ50" s="438">
        <v>0</v>
      </c>
      <c r="AR50" s="438">
        <v>0</v>
      </c>
      <c r="AS50" s="438">
        <v>0</v>
      </c>
      <c r="AT50" s="438">
        <v>0</v>
      </c>
      <c r="AU50" s="438">
        <v>0</v>
      </c>
      <c r="AV50" s="438">
        <v>0</v>
      </c>
      <c r="AW50" s="438">
        <v>0</v>
      </c>
      <c r="AX50" s="438">
        <v>0</v>
      </c>
      <c r="AY50" s="438">
        <v>0</v>
      </c>
      <c r="AZ50" s="438">
        <v>0</v>
      </c>
      <c r="BA50" s="438">
        <v>0</v>
      </c>
      <c r="BB50" s="438">
        <v>0</v>
      </c>
      <c r="BC50" s="438">
        <v>0</v>
      </c>
      <c r="BD50" s="438">
        <v>0</v>
      </c>
      <c r="BE50" s="438">
        <v>0</v>
      </c>
      <c r="BF50" s="438">
        <v>0</v>
      </c>
      <c r="BG50" s="438">
        <v>0</v>
      </c>
      <c r="BH50" s="438">
        <v>0</v>
      </c>
      <c r="BI50" s="438">
        <v>0</v>
      </c>
      <c r="BJ50" s="438">
        <v>0</v>
      </c>
      <c r="BK50" s="438">
        <v>0</v>
      </c>
      <c r="BL50" s="438">
        <v>0</v>
      </c>
      <c r="BM50" s="438">
        <v>0</v>
      </c>
      <c r="BN50" s="438">
        <v>0</v>
      </c>
      <c r="BO50" s="438">
        <v>0</v>
      </c>
      <c r="BP50" s="438">
        <v>0</v>
      </c>
      <c r="BQ50" s="438">
        <v>0</v>
      </c>
      <c r="BR50" s="438">
        <v>0</v>
      </c>
      <c r="BS50" s="438">
        <v>0</v>
      </c>
      <c r="BT50" s="438">
        <v>0</v>
      </c>
      <c r="BU50" s="438">
        <v>0</v>
      </c>
      <c r="BV50" s="438">
        <v>0</v>
      </c>
      <c r="BW50" s="438">
        <v>0</v>
      </c>
      <c r="BX50" s="438">
        <v>0</v>
      </c>
      <c r="BY50" s="438">
        <v>0</v>
      </c>
      <c r="BZ50" s="438">
        <v>0</v>
      </c>
      <c r="CA50" s="438">
        <v>0</v>
      </c>
      <c r="CB50" s="438">
        <v>0</v>
      </c>
      <c r="CC50" s="438">
        <v>0</v>
      </c>
      <c r="CD50" s="438">
        <v>0</v>
      </c>
      <c r="CE50" s="438">
        <v>0</v>
      </c>
      <c r="CF50" s="438">
        <v>0</v>
      </c>
      <c r="CG50" s="438">
        <v>0</v>
      </c>
      <c r="CH50" s="438">
        <v>0</v>
      </c>
      <c r="CI50" s="438">
        <v>0</v>
      </c>
      <c r="CJ50" s="438">
        <v>0</v>
      </c>
      <c r="CK50" s="438">
        <v>0</v>
      </c>
    </row>
    <row r="51" spans="2:89" hidden="1" outlineLevel="1">
      <c r="R51" s="372"/>
      <c r="S51" s="372"/>
      <c r="T51" s="372"/>
      <c r="U51" s="372"/>
      <c r="X51" s="372"/>
      <c r="Y51" s="372"/>
      <c r="Z51" s="372"/>
      <c r="AA51" s="372"/>
      <c r="AB51" s="372"/>
      <c r="AC51" s="372"/>
      <c r="AD51" s="372"/>
      <c r="AE51" s="372"/>
      <c r="AF51" s="372"/>
      <c r="AG51" s="372"/>
      <c r="AH51" s="372"/>
      <c r="AI51" s="372"/>
      <c r="AJ51" s="372"/>
      <c r="AK51" s="372"/>
      <c r="AL51" s="372"/>
      <c r="AM51" s="372"/>
      <c r="AP51" s="438"/>
      <c r="AQ51" s="438"/>
      <c r="AR51" s="438"/>
      <c r="AS51" s="438"/>
      <c r="AT51" s="438"/>
      <c r="AU51" s="438"/>
      <c r="AV51" s="438"/>
      <c r="AW51" s="438"/>
      <c r="AX51" s="438"/>
      <c r="AY51" s="438"/>
      <c r="AZ51" s="438"/>
      <c r="BA51" s="438"/>
      <c r="BB51" s="438"/>
      <c r="BC51" s="438"/>
      <c r="BD51" s="438"/>
      <c r="BE51" s="438"/>
      <c r="BF51" s="438"/>
      <c r="BG51" s="438"/>
      <c r="BH51" s="438"/>
      <c r="BI51" s="438"/>
      <c r="BJ51" s="438"/>
      <c r="BK51" s="438"/>
      <c r="BL51" s="438"/>
      <c r="BM51" s="438"/>
      <c r="BN51" s="438"/>
      <c r="BO51" s="438"/>
      <c r="BP51" s="438"/>
      <c r="BQ51" s="438"/>
      <c r="BR51" s="438"/>
      <c r="BS51" s="438"/>
      <c r="BT51" s="438"/>
      <c r="BU51" s="438"/>
      <c r="BV51" s="438"/>
      <c r="BW51" s="438"/>
      <c r="BX51" s="438"/>
      <c r="BY51" s="438"/>
      <c r="BZ51" s="438"/>
      <c r="CA51" s="438"/>
      <c r="CB51" s="438"/>
      <c r="CC51" s="438"/>
      <c r="CD51" s="438"/>
      <c r="CE51" s="438"/>
      <c r="CF51" s="438"/>
      <c r="CG51" s="438"/>
      <c r="CH51" s="438"/>
      <c r="CI51" s="438"/>
      <c r="CJ51" s="438"/>
      <c r="CK51" s="438"/>
    </row>
    <row r="52" spans="2:89" hidden="1" outlineLevel="1" collapsed="1">
      <c r="C52" s="355" t="s">
        <v>400</v>
      </c>
      <c r="R52" s="482">
        <f>SUM(R53:R58)</f>
        <v>0</v>
      </c>
      <c r="S52" s="482">
        <f>SUM(S53:S58)</f>
        <v>0</v>
      </c>
      <c r="T52" s="482">
        <f>SUM(T53:T58)</f>
        <v>0</v>
      </c>
      <c r="U52" s="482">
        <f>SUM(U53:U58)</f>
        <v>0</v>
      </c>
      <c r="V52" s="372"/>
      <c r="W52" s="372"/>
      <c r="X52" s="482">
        <f t="shared" ref="X52:AM52" si="35">SUM(X53:X58)</f>
        <v>0</v>
      </c>
      <c r="Y52" s="482">
        <f t="shared" si="35"/>
        <v>0</v>
      </c>
      <c r="Z52" s="482">
        <f t="shared" si="35"/>
        <v>0</v>
      </c>
      <c r="AA52" s="482">
        <f t="shared" si="35"/>
        <v>0</v>
      </c>
      <c r="AB52" s="482">
        <f t="shared" si="35"/>
        <v>0</v>
      </c>
      <c r="AC52" s="482">
        <f t="shared" si="35"/>
        <v>0</v>
      </c>
      <c r="AD52" s="482">
        <f t="shared" si="35"/>
        <v>0</v>
      </c>
      <c r="AE52" s="482">
        <f t="shared" si="35"/>
        <v>0</v>
      </c>
      <c r="AF52" s="482">
        <f t="shared" si="35"/>
        <v>0</v>
      </c>
      <c r="AG52" s="482">
        <f t="shared" si="35"/>
        <v>0</v>
      </c>
      <c r="AH52" s="482">
        <f t="shared" si="35"/>
        <v>0</v>
      </c>
      <c r="AI52" s="482">
        <f t="shared" si="35"/>
        <v>0</v>
      </c>
      <c r="AJ52" s="482">
        <f t="shared" si="35"/>
        <v>0</v>
      </c>
      <c r="AK52" s="482">
        <f t="shared" si="35"/>
        <v>0</v>
      </c>
      <c r="AL52" s="482">
        <f t="shared" si="35"/>
        <v>0</v>
      </c>
      <c r="AM52" s="482">
        <f t="shared" si="35"/>
        <v>0</v>
      </c>
      <c r="AN52" s="372"/>
      <c r="AP52" s="482">
        <f t="shared" ref="AP52:CK52" si="36">SUM(AP53:AP58)</f>
        <v>0</v>
      </c>
      <c r="AQ52" s="482">
        <f t="shared" si="36"/>
        <v>0</v>
      </c>
      <c r="AR52" s="482">
        <f t="shared" si="36"/>
        <v>0</v>
      </c>
      <c r="AS52" s="482">
        <f t="shared" si="36"/>
        <v>0</v>
      </c>
      <c r="AT52" s="482">
        <f t="shared" si="36"/>
        <v>0</v>
      </c>
      <c r="AU52" s="482">
        <f t="shared" si="36"/>
        <v>0</v>
      </c>
      <c r="AV52" s="482">
        <f t="shared" si="36"/>
        <v>0</v>
      </c>
      <c r="AW52" s="482">
        <f t="shared" si="36"/>
        <v>0</v>
      </c>
      <c r="AX52" s="482">
        <f t="shared" si="36"/>
        <v>0</v>
      </c>
      <c r="AY52" s="482">
        <f t="shared" si="36"/>
        <v>0</v>
      </c>
      <c r="AZ52" s="482">
        <f t="shared" si="36"/>
        <v>0</v>
      </c>
      <c r="BA52" s="482">
        <f t="shared" si="36"/>
        <v>0</v>
      </c>
      <c r="BB52" s="482">
        <f t="shared" si="36"/>
        <v>0</v>
      </c>
      <c r="BC52" s="482">
        <f t="shared" si="36"/>
        <v>0</v>
      </c>
      <c r="BD52" s="482">
        <f t="shared" si="36"/>
        <v>0</v>
      </c>
      <c r="BE52" s="482">
        <f t="shared" si="36"/>
        <v>0</v>
      </c>
      <c r="BF52" s="482">
        <f t="shared" si="36"/>
        <v>0</v>
      </c>
      <c r="BG52" s="482">
        <f t="shared" si="36"/>
        <v>0</v>
      </c>
      <c r="BH52" s="482">
        <f t="shared" si="36"/>
        <v>0</v>
      </c>
      <c r="BI52" s="482">
        <f t="shared" si="36"/>
        <v>0</v>
      </c>
      <c r="BJ52" s="482">
        <f t="shared" si="36"/>
        <v>0</v>
      </c>
      <c r="BK52" s="482">
        <f t="shared" si="36"/>
        <v>0</v>
      </c>
      <c r="BL52" s="482">
        <f t="shared" si="36"/>
        <v>0</v>
      </c>
      <c r="BM52" s="482">
        <f t="shared" si="36"/>
        <v>0</v>
      </c>
      <c r="BN52" s="482">
        <f t="shared" si="36"/>
        <v>0</v>
      </c>
      <c r="BO52" s="482">
        <f t="shared" si="36"/>
        <v>0</v>
      </c>
      <c r="BP52" s="482">
        <f t="shared" si="36"/>
        <v>0</v>
      </c>
      <c r="BQ52" s="482">
        <f t="shared" si="36"/>
        <v>0</v>
      </c>
      <c r="BR52" s="482">
        <f t="shared" si="36"/>
        <v>0</v>
      </c>
      <c r="BS52" s="482">
        <f t="shared" si="36"/>
        <v>0</v>
      </c>
      <c r="BT52" s="482">
        <f t="shared" si="36"/>
        <v>0</v>
      </c>
      <c r="BU52" s="482">
        <f t="shared" si="36"/>
        <v>0</v>
      </c>
      <c r="BV52" s="482">
        <f t="shared" si="36"/>
        <v>0</v>
      </c>
      <c r="BW52" s="482">
        <f t="shared" si="36"/>
        <v>0</v>
      </c>
      <c r="BX52" s="482">
        <f t="shared" si="36"/>
        <v>0</v>
      </c>
      <c r="BY52" s="482">
        <f t="shared" si="36"/>
        <v>0</v>
      </c>
      <c r="BZ52" s="482">
        <f t="shared" si="36"/>
        <v>0</v>
      </c>
      <c r="CA52" s="482">
        <f t="shared" si="36"/>
        <v>0</v>
      </c>
      <c r="CB52" s="482">
        <f t="shared" si="36"/>
        <v>0</v>
      </c>
      <c r="CC52" s="482">
        <f t="shared" si="36"/>
        <v>0</v>
      </c>
      <c r="CD52" s="482">
        <f t="shared" si="36"/>
        <v>0</v>
      </c>
      <c r="CE52" s="482">
        <f t="shared" si="36"/>
        <v>0</v>
      </c>
      <c r="CF52" s="482">
        <f t="shared" si="36"/>
        <v>0</v>
      </c>
      <c r="CG52" s="482">
        <f t="shared" si="36"/>
        <v>0</v>
      </c>
      <c r="CH52" s="482">
        <f t="shared" si="36"/>
        <v>0</v>
      </c>
      <c r="CI52" s="482">
        <f t="shared" si="36"/>
        <v>0</v>
      </c>
      <c r="CJ52" s="482">
        <f t="shared" si="36"/>
        <v>0</v>
      </c>
      <c r="CK52" s="482">
        <f t="shared" si="36"/>
        <v>0</v>
      </c>
    </row>
    <row r="53" spans="2:89" hidden="1" outlineLevel="2">
      <c r="D53" s="383" t="s">
        <v>178</v>
      </c>
      <c r="R53" s="372">
        <f>INDEX($AP53:$CK53,MATCH(R$5,$AP$5:$CK$5,0))</f>
        <v>0</v>
      </c>
      <c r="S53" s="372">
        <f>INDEX($AP53:$CK53,MATCH(S$5,$AP$5:$CK$5,0))</f>
        <v>0</v>
      </c>
      <c r="T53" s="372">
        <f>INDEX($AP53:$CK53,MATCH(T$5,$AP$5:$CK$5,0))</f>
        <v>0</v>
      </c>
      <c r="U53" s="372">
        <f>INDEX($AP53:$CK53,MATCH(U$5,$AP$5:$CK$5,0))</f>
        <v>0</v>
      </c>
      <c r="X53" s="372">
        <f t="shared" ref="X53:AM53" si="37">INDEX($AP53:$CK53,MATCH(X$5,$AP$5:$CK$5,0))</f>
        <v>0</v>
      </c>
      <c r="Y53" s="372">
        <f t="shared" si="37"/>
        <v>0</v>
      </c>
      <c r="Z53" s="372">
        <f t="shared" si="37"/>
        <v>0</v>
      </c>
      <c r="AA53" s="372">
        <f t="shared" si="37"/>
        <v>0</v>
      </c>
      <c r="AB53" s="372">
        <f t="shared" si="37"/>
        <v>0</v>
      </c>
      <c r="AC53" s="372">
        <f t="shared" si="37"/>
        <v>0</v>
      </c>
      <c r="AD53" s="372">
        <f t="shared" si="37"/>
        <v>0</v>
      </c>
      <c r="AE53" s="372">
        <f t="shared" si="37"/>
        <v>0</v>
      </c>
      <c r="AF53" s="372">
        <f t="shared" si="37"/>
        <v>0</v>
      </c>
      <c r="AG53" s="372">
        <f t="shared" si="37"/>
        <v>0</v>
      </c>
      <c r="AH53" s="372">
        <f t="shared" si="37"/>
        <v>0</v>
      </c>
      <c r="AI53" s="372">
        <f t="shared" si="37"/>
        <v>0</v>
      </c>
      <c r="AJ53" s="372">
        <f t="shared" si="37"/>
        <v>0</v>
      </c>
      <c r="AK53" s="372">
        <f t="shared" si="37"/>
        <v>0</v>
      </c>
      <c r="AL53" s="372">
        <f t="shared" si="37"/>
        <v>0</v>
      </c>
      <c r="AM53" s="372">
        <f t="shared" si="37"/>
        <v>0</v>
      </c>
      <c r="AP53" s="372">
        <f t="shared" ref="AP53:CK53" si="38">AP46+AO53</f>
        <v>0</v>
      </c>
      <c r="AQ53" s="372">
        <f t="shared" si="38"/>
        <v>0</v>
      </c>
      <c r="AR53" s="372">
        <f t="shared" si="38"/>
        <v>0</v>
      </c>
      <c r="AS53" s="372">
        <f t="shared" si="38"/>
        <v>0</v>
      </c>
      <c r="AT53" s="372">
        <f t="shared" si="38"/>
        <v>0</v>
      </c>
      <c r="AU53" s="372">
        <f t="shared" si="38"/>
        <v>0</v>
      </c>
      <c r="AV53" s="372">
        <f t="shared" si="38"/>
        <v>0</v>
      </c>
      <c r="AW53" s="372">
        <f t="shared" si="38"/>
        <v>0</v>
      </c>
      <c r="AX53" s="372">
        <f t="shared" si="38"/>
        <v>0</v>
      </c>
      <c r="AY53" s="372">
        <f t="shared" si="38"/>
        <v>0</v>
      </c>
      <c r="AZ53" s="372">
        <f t="shared" si="38"/>
        <v>0</v>
      </c>
      <c r="BA53" s="372">
        <f t="shared" si="38"/>
        <v>0</v>
      </c>
      <c r="BB53" s="372">
        <f t="shared" si="38"/>
        <v>0</v>
      </c>
      <c r="BC53" s="372">
        <f t="shared" si="38"/>
        <v>0</v>
      </c>
      <c r="BD53" s="372">
        <f t="shared" si="38"/>
        <v>0</v>
      </c>
      <c r="BE53" s="372">
        <f t="shared" si="38"/>
        <v>0</v>
      </c>
      <c r="BF53" s="372">
        <f t="shared" si="38"/>
        <v>0</v>
      </c>
      <c r="BG53" s="372">
        <f t="shared" si="38"/>
        <v>0</v>
      </c>
      <c r="BH53" s="372">
        <f t="shared" si="38"/>
        <v>0</v>
      </c>
      <c r="BI53" s="372">
        <f t="shared" si="38"/>
        <v>0</v>
      </c>
      <c r="BJ53" s="372">
        <f t="shared" si="38"/>
        <v>0</v>
      </c>
      <c r="BK53" s="372">
        <f t="shared" si="38"/>
        <v>0</v>
      </c>
      <c r="BL53" s="372">
        <f t="shared" si="38"/>
        <v>0</v>
      </c>
      <c r="BM53" s="372">
        <f t="shared" si="38"/>
        <v>0</v>
      </c>
      <c r="BN53" s="372">
        <f t="shared" si="38"/>
        <v>0</v>
      </c>
      <c r="BO53" s="372">
        <f t="shared" si="38"/>
        <v>0</v>
      </c>
      <c r="BP53" s="372">
        <f t="shared" si="38"/>
        <v>0</v>
      </c>
      <c r="BQ53" s="372">
        <f t="shared" si="38"/>
        <v>0</v>
      </c>
      <c r="BR53" s="372">
        <f t="shared" si="38"/>
        <v>0</v>
      </c>
      <c r="BS53" s="372">
        <f t="shared" si="38"/>
        <v>0</v>
      </c>
      <c r="BT53" s="372">
        <f t="shared" si="38"/>
        <v>0</v>
      </c>
      <c r="BU53" s="372">
        <f t="shared" si="38"/>
        <v>0</v>
      </c>
      <c r="BV53" s="372">
        <f t="shared" si="38"/>
        <v>0</v>
      </c>
      <c r="BW53" s="372">
        <f t="shared" si="38"/>
        <v>0</v>
      </c>
      <c r="BX53" s="372">
        <f t="shared" si="38"/>
        <v>0</v>
      </c>
      <c r="BY53" s="372">
        <f t="shared" si="38"/>
        <v>0</v>
      </c>
      <c r="BZ53" s="372">
        <f t="shared" si="38"/>
        <v>0</v>
      </c>
      <c r="CA53" s="372">
        <f t="shared" si="38"/>
        <v>0</v>
      </c>
      <c r="CB53" s="372">
        <f t="shared" si="38"/>
        <v>0</v>
      </c>
      <c r="CC53" s="372">
        <f t="shared" si="38"/>
        <v>0</v>
      </c>
      <c r="CD53" s="372">
        <f t="shared" si="38"/>
        <v>0</v>
      </c>
      <c r="CE53" s="372">
        <f t="shared" si="38"/>
        <v>0</v>
      </c>
      <c r="CF53" s="372">
        <f t="shared" si="38"/>
        <v>0</v>
      </c>
      <c r="CG53" s="372">
        <f t="shared" si="38"/>
        <v>0</v>
      </c>
      <c r="CH53" s="372">
        <f t="shared" si="38"/>
        <v>0</v>
      </c>
      <c r="CI53" s="372">
        <f t="shared" si="38"/>
        <v>0</v>
      </c>
      <c r="CJ53" s="372">
        <f t="shared" si="38"/>
        <v>0</v>
      </c>
      <c r="CK53" s="372">
        <f t="shared" si="38"/>
        <v>0</v>
      </c>
    </row>
    <row r="54" spans="2:89" hidden="1" outlineLevel="2">
      <c r="D54" s="383" t="s">
        <v>180</v>
      </c>
      <c r="R54" s="372">
        <f t="shared" ref="R54:U57" si="39">INDEX($AP54:$CK54,MATCH(R$5,$AP$5:$CK$5,0))</f>
        <v>0</v>
      </c>
      <c r="S54" s="372">
        <f t="shared" si="39"/>
        <v>0</v>
      </c>
      <c r="T54" s="372">
        <f t="shared" si="39"/>
        <v>0</v>
      </c>
      <c r="U54" s="372">
        <f t="shared" si="39"/>
        <v>0</v>
      </c>
      <c r="X54" s="372">
        <f t="shared" ref="X54:AM57" si="40">INDEX($AP54:$CK54,MATCH(X$5,$AP$5:$CK$5,0))</f>
        <v>0</v>
      </c>
      <c r="Y54" s="372">
        <f t="shared" si="40"/>
        <v>0</v>
      </c>
      <c r="Z54" s="372">
        <f t="shared" si="40"/>
        <v>0</v>
      </c>
      <c r="AA54" s="372">
        <f t="shared" si="40"/>
        <v>0</v>
      </c>
      <c r="AB54" s="372">
        <f t="shared" si="40"/>
        <v>0</v>
      </c>
      <c r="AC54" s="372">
        <f t="shared" si="40"/>
        <v>0</v>
      </c>
      <c r="AD54" s="372">
        <f t="shared" si="40"/>
        <v>0</v>
      </c>
      <c r="AE54" s="372">
        <f t="shared" si="40"/>
        <v>0</v>
      </c>
      <c r="AF54" s="372">
        <f t="shared" si="40"/>
        <v>0</v>
      </c>
      <c r="AG54" s="372">
        <f t="shared" si="40"/>
        <v>0</v>
      </c>
      <c r="AH54" s="372">
        <f t="shared" si="40"/>
        <v>0</v>
      </c>
      <c r="AI54" s="372">
        <f t="shared" si="40"/>
        <v>0</v>
      </c>
      <c r="AJ54" s="372">
        <f t="shared" si="40"/>
        <v>0</v>
      </c>
      <c r="AK54" s="372">
        <f t="shared" si="40"/>
        <v>0</v>
      </c>
      <c r="AL54" s="372">
        <f t="shared" si="40"/>
        <v>0</v>
      </c>
      <c r="AM54" s="372">
        <f t="shared" si="40"/>
        <v>0</v>
      </c>
      <c r="AP54" s="372">
        <f t="shared" ref="AP54:CK54" si="41">AP47+AO54</f>
        <v>0</v>
      </c>
      <c r="AQ54" s="372">
        <f t="shared" si="41"/>
        <v>0</v>
      </c>
      <c r="AR54" s="372">
        <f t="shared" si="41"/>
        <v>0</v>
      </c>
      <c r="AS54" s="372">
        <f t="shared" si="41"/>
        <v>0</v>
      </c>
      <c r="AT54" s="372">
        <f t="shared" si="41"/>
        <v>0</v>
      </c>
      <c r="AU54" s="372">
        <f t="shared" si="41"/>
        <v>0</v>
      </c>
      <c r="AV54" s="372">
        <f t="shared" si="41"/>
        <v>0</v>
      </c>
      <c r="AW54" s="372">
        <f t="shared" si="41"/>
        <v>0</v>
      </c>
      <c r="AX54" s="372">
        <f t="shared" si="41"/>
        <v>0</v>
      </c>
      <c r="AY54" s="372">
        <f t="shared" si="41"/>
        <v>0</v>
      </c>
      <c r="AZ54" s="372">
        <f t="shared" si="41"/>
        <v>0</v>
      </c>
      <c r="BA54" s="372">
        <f t="shared" si="41"/>
        <v>0</v>
      </c>
      <c r="BB54" s="372">
        <f t="shared" si="41"/>
        <v>0</v>
      </c>
      <c r="BC54" s="372">
        <f t="shared" si="41"/>
        <v>0</v>
      </c>
      <c r="BD54" s="372">
        <f t="shared" si="41"/>
        <v>0</v>
      </c>
      <c r="BE54" s="372">
        <f t="shared" si="41"/>
        <v>0</v>
      </c>
      <c r="BF54" s="372">
        <f t="shared" si="41"/>
        <v>0</v>
      </c>
      <c r="BG54" s="372">
        <f t="shared" si="41"/>
        <v>0</v>
      </c>
      <c r="BH54" s="372">
        <f t="shared" si="41"/>
        <v>0</v>
      </c>
      <c r="BI54" s="372">
        <f t="shared" si="41"/>
        <v>0</v>
      </c>
      <c r="BJ54" s="372">
        <f t="shared" si="41"/>
        <v>0</v>
      </c>
      <c r="BK54" s="372">
        <f t="shared" si="41"/>
        <v>0</v>
      </c>
      <c r="BL54" s="372">
        <f t="shared" si="41"/>
        <v>0</v>
      </c>
      <c r="BM54" s="372">
        <f t="shared" si="41"/>
        <v>0</v>
      </c>
      <c r="BN54" s="372">
        <f t="shared" si="41"/>
        <v>0</v>
      </c>
      <c r="BO54" s="372">
        <f t="shared" si="41"/>
        <v>0</v>
      </c>
      <c r="BP54" s="372">
        <f t="shared" si="41"/>
        <v>0</v>
      </c>
      <c r="BQ54" s="372">
        <f t="shared" si="41"/>
        <v>0</v>
      </c>
      <c r="BR54" s="372">
        <f t="shared" si="41"/>
        <v>0</v>
      </c>
      <c r="BS54" s="372">
        <f t="shared" si="41"/>
        <v>0</v>
      </c>
      <c r="BT54" s="372">
        <f t="shared" si="41"/>
        <v>0</v>
      </c>
      <c r="BU54" s="372">
        <f t="shared" si="41"/>
        <v>0</v>
      </c>
      <c r="BV54" s="372">
        <f t="shared" si="41"/>
        <v>0</v>
      </c>
      <c r="BW54" s="372">
        <f t="shared" si="41"/>
        <v>0</v>
      </c>
      <c r="BX54" s="372">
        <f t="shared" si="41"/>
        <v>0</v>
      </c>
      <c r="BY54" s="372">
        <f t="shared" si="41"/>
        <v>0</v>
      </c>
      <c r="BZ54" s="372">
        <f t="shared" si="41"/>
        <v>0</v>
      </c>
      <c r="CA54" s="372">
        <f t="shared" si="41"/>
        <v>0</v>
      </c>
      <c r="CB54" s="372">
        <f t="shared" si="41"/>
        <v>0</v>
      </c>
      <c r="CC54" s="372">
        <f t="shared" si="41"/>
        <v>0</v>
      </c>
      <c r="CD54" s="372">
        <f t="shared" si="41"/>
        <v>0</v>
      </c>
      <c r="CE54" s="372">
        <f t="shared" si="41"/>
        <v>0</v>
      </c>
      <c r="CF54" s="372">
        <f t="shared" si="41"/>
        <v>0</v>
      </c>
      <c r="CG54" s="372">
        <f t="shared" si="41"/>
        <v>0</v>
      </c>
      <c r="CH54" s="372">
        <f t="shared" si="41"/>
        <v>0</v>
      </c>
      <c r="CI54" s="372">
        <f t="shared" si="41"/>
        <v>0</v>
      </c>
      <c r="CJ54" s="372">
        <f t="shared" si="41"/>
        <v>0</v>
      </c>
      <c r="CK54" s="372">
        <f t="shared" si="41"/>
        <v>0</v>
      </c>
    </row>
    <row r="55" spans="2:89" hidden="1" outlineLevel="2">
      <c r="D55" s="383" t="s">
        <v>182</v>
      </c>
      <c r="R55" s="372">
        <f t="shared" si="39"/>
        <v>0</v>
      </c>
      <c r="S55" s="372">
        <f t="shared" si="39"/>
        <v>0</v>
      </c>
      <c r="T55" s="372">
        <f t="shared" si="39"/>
        <v>0</v>
      </c>
      <c r="U55" s="372">
        <f t="shared" si="39"/>
        <v>0</v>
      </c>
      <c r="X55" s="372">
        <f t="shared" si="40"/>
        <v>0</v>
      </c>
      <c r="Y55" s="372">
        <f t="shared" si="40"/>
        <v>0</v>
      </c>
      <c r="Z55" s="372">
        <f t="shared" si="40"/>
        <v>0</v>
      </c>
      <c r="AA55" s="372">
        <f t="shared" si="40"/>
        <v>0</v>
      </c>
      <c r="AB55" s="372">
        <f t="shared" si="40"/>
        <v>0</v>
      </c>
      <c r="AC55" s="372">
        <f t="shared" si="40"/>
        <v>0</v>
      </c>
      <c r="AD55" s="372">
        <f t="shared" si="40"/>
        <v>0</v>
      </c>
      <c r="AE55" s="372">
        <f t="shared" si="40"/>
        <v>0</v>
      </c>
      <c r="AF55" s="372">
        <f t="shared" si="40"/>
        <v>0</v>
      </c>
      <c r="AG55" s="372">
        <f t="shared" si="40"/>
        <v>0</v>
      </c>
      <c r="AH55" s="372">
        <f t="shared" si="40"/>
        <v>0</v>
      </c>
      <c r="AI55" s="372">
        <f t="shared" si="40"/>
        <v>0</v>
      </c>
      <c r="AJ55" s="372">
        <f t="shared" si="40"/>
        <v>0</v>
      </c>
      <c r="AK55" s="372">
        <f t="shared" si="40"/>
        <v>0</v>
      </c>
      <c r="AL55" s="372">
        <f t="shared" si="40"/>
        <v>0</v>
      </c>
      <c r="AM55" s="372">
        <f t="shared" si="40"/>
        <v>0</v>
      </c>
      <c r="AP55" s="372">
        <f t="shared" ref="AP55:CK55" si="42">AP48+AO55</f>
        <v>0</v>
      </c>
      <c r="AQ55" s="372">
        <f t="shared" si="42"/>
        <v>0</v>
      </c>
      <c r="AR55" s="372">
        <f t="shared" si="42"/>
        <v>0</v>
      </c>
      <c r="AS55" s="372">
        <f t="shared" si="42"/>
        <v>0</v>
      </c>
      <c r="AT55" s="372">
        <f t="shared" si="42"/>
        <v>0</v>
      </c>
      <c r="AU55" s="372">
        <f t="shared" si="42"/>
        <v>0</v>
      </c>
      <c r="AV55" s="372">
        <f t="shared" si="42"/>
        <v>0</v>
      </c>
      <c r="AW55" s="372">
        <f t="shared" si="42"/>
        <v>0</v>
      </c>
      <c r="AX55" s="372">
        <f t="shared" si="42"/>
        <v>0</v>
      </c>
      <c r="AY55" s="372">
        <f t="shared" si="42"/>
        <v>0</v>
      </c>
      <c r="AZ55" s="372">
        <f t="shared" si="42"/>
        <v>0</v>
      </c>
      <c r="BA55" s="372">
        <f t="shared" si="42"/>
        <v>0</v>
      </c>
      <c r="BB55" s="372">
        <f t="shared" si="42"/>
        <v>0</v>
      </c>
      <c r="BC55" s="372">
        <f t="shared" si="42"/>
        <v>0</v>
      </c>
      <c r="BD55" s="372">
        <f t="shared" si="42"/>
        <v>0</v>
      </c>
      <c r="BE55" s="372">
        <f t="shared" si="42"/>
        <v>0</v>
      </c>
      <c r="BF55" s="372">
        <f t="shared" si="42"/>
        <v>0</v>
      </c>
      <c r="BG55" s="372">
        <f t="shared" si="42"/>
        <v>0</v>
      </c>
      <c r="BH55" s="372">
        <f t="shared" si="42"/>
        <v>0</v>
      </c>
      <c r="BI55" s="372">
        <f t="shared" si="42"/>
        <v>0</v>
      </c>
      <c r="BJ55" s="372">
        <f t="shared" si="42"/>
        <v>0</v>
      </c>
      <c r="BK55" s="372">
        <f t="shared" si="42"/>
        <v>0</v>
      </c>
      <c r="BL55" s="372">
        <f t="shared" si="42"/>
        <v>0</v>
      </c>
      <c r="BM55" s="372">
        <f t="shared" si="42"/>
        <v>0</v>
      </c>
      <c r="BN55" s="372">
        <f t="shared" si="42"/>
        <v>0</v>
      </c>
      <c r="BO55" s="372">
        <f t="shared" si="42"/>
        <v>0</v>
      </c>
      <c r="BP55" s="372">
        <f t="shared" si="42"/>
        <v>0</v>
      </c>
      <c r="BQ55" s="372">
        <f t="shared" si="42"/>
        <v>0</v>
      </c>
      <c r="BR55" s="372">
        <f t="shared" si="42"/>
        <v>0</v>
      </c>
      <c r="BS55" s="372">
        <f t="shared" si="42"/>
        <v>0</v>
      </c>
      <c r="BT55" s="372">
        <f t="shared" si="42"/>
        <v>0</v>
      </c>
      <c r="BU55" s="372">
        <f t="shared" si="42"/>
        <v>0</v>
      </c>
      <c r="BV55" s="372">
        <f t="shared" si="42"/>
        <v>0</v>
      </c>
      <c r="BW55" s="372">
        <f t="shared" si="42"/>
        <v>0</v>
      </c>
      <c r="BX55" s="372">
        <f t="shared" si="42"/>
        <v>0</v>
      </c>
      <c r="BY55" s="372">
        <f t="shared" si="42"/>
        <v>0</v>
      </c>
      <c r="BZ55" s="372">
        <f t="shared" si="42"/>
        <v>0</v>
      </c>
      <c r="CA55" s="372">
        <f t="shared" si="42"/>
        <v>0</v>
      </c>
      <c r="CB55" s="372">
        <f t="shared" si="42"/>
        <v>0</v>
      </c>
      <c r="CC55" s="372">
        <f t="shared" si="42"/>
        <v>0</v>
      </c>
      <c r="CD55" s="372">
        <f t="shared" si="42"/>
        <v>0</v>
      </c>
      <c r="CE55" s="372">
        <f t="shared" si="42"/>
        <v>0</v>
      </c>
      <c r="CF55" s="372">
        <f t="shared" si="42"/>
        <v>0</v>
      </c>
      <c r="CG55" s="372">
        <f t="shared" si="42"/>
        <v>0</v>
      </c>
      <c r="CH55" s="372">
        <f t="shared" si="42"/>
        <v>0</v>
      </c>
      <c r="CI55" s="372">
        <f t="shared" si="42"/>
        <v>0</v>
      </c>
      <c r="CJ55" s="372">
        <f t="shared" si="42"/>
        <v>0</v>
      </c>
      <c r="CK55" s="372">
        <f t="shared" si="42"/>
        <v>0</v>
      </c>
    </row>
    <row r="56" spans="2:89" hidden="1" outlineLevel="2">
      <c r="D56" s="383" t="s">
        <v>184</v>
      </c>
      <c r="R56" s="372">
        <f t="shared" si="39"/>
        <v>0</v>
      </c>
      <c r="S56" s="372">
        <f t="shared" si="39"/>
        <v>0</v>
      </c>
      <c r="T56" s="372">
        <f t="shared" si="39"/>
        <v>0</v>
      </c>
      <c r="U56" s="372">
        <f t="shared" si="39"/>
        <v>0</v>
      </c>
      <c r="X56" s="372">
        <f t="shared" si="40"/>
        <v>0</v>
      </c>
      <c r="Y56" s="372">
        <f t="shared" si="40"/>
        <v>0</v>
      </c>
      <c r="Z56" s="372">
        <f t="shared" si="40"/>
        <v>0</v>
      </c>
      <c r="AA56" s="372">
        <f t="shared" si="40"/>
        <v>0</v>
      </c>
      <c r="AB56" s="372">
        <f t="shared" si="40"/>
        <v>0</v>
      </c>
      <c r="AC56" s="372">
        <f t="shared" si="40"/>
        <v>0</v>
      </c>
      <c r="AD56" s="372">
        <f t="shared" si="40"/>
        <v>0</v>
      </c>
      <c r="AE56" s="372">
        <f t="shared" si="40"/>
        <v>0</v>
      </c>
      <c r="AF56" s="372">
        <f t="shared" si="40"/>
        <v>0</v>
      </c>
      <c r="AG56" s="372">
        <f t="shared" si="40"/>
        <v>0</v>
      </c>
      <c r="AH56" s="372">
        <f t="shared" si="40"/>
        <v>0</v>
      </c>
      <c r="AI56" s="372">
        <f t="shared" si="40"/>
        <v>0</v>
      </c>
      <c r="AJ56" s="372">
        <f t="shared" si="40"/>
        <v>0</v>
      </c>
      <c r="AK56" s="372">
        <f t="shared" si="40"/>
        <v>0</v>
      </c>
      <c r="AL56" s="372">
        <f t="shared" si="40"/>
        <v>0</v>
      </c>
      <c r="AM56" s="372">
        <f t="shared" si="40"/>
        <v>0</v>
      </c>
      <c r="AP56" s="372">
        <f t="shared" ref="AP56:CK56" si="43">AP49+AO56</f>
        <v>0</v>
      </c>
      <c r="AQ56" s="372">
        <f t="shared" si="43"/>
        <v>0</v>
      </c>
      <c r="AR56" s="372">
        <f t="shared" si="43"/>
        <v>0</v>
      </c>
      <c r="AS56" s="372">
        <f t="shared" si="43"/>
        <v>0</v>
      </c>
      <c r="AT56" s="372">
        <f t="shared" si="43"/>
        <v>0</v>
      </c>
      <c r="AU56" s="372">
        <f t="shared" si="43"/>
        <v>0</v>
      </c>
      <c r="AV56" s="372">
        <f t="shared" si="43"/>
        <v>0</v>
      </c>
      <c r="AW56" s="372">
        <f t="shared" si="43"/>
        <v>0</v>
      </c>
      <c r="AX56" s="372">
        <f t="shared" si="43"/>
        <v>0</v>
      </c>
      <c r="AY56" s="372">
        <f t="shared" si="43"/>
        <v>0</v>
      </c>
      <c r="AZ56" s="372">
        <f t="shared" si="43"/>
        <v>0</v>
      </c>
      <c r="BA56" s="372">
        <f t="shared" si="43"/>
        <v>0</v>
      </c>
      <c r="BB56" s="372">
        <f t="shared" si="43"/>
        <v>0</v>
      </c>
      <c r="BC56" s="372">
        <f t="shared" si="43"/>
        <v>0</v>
      </c>
      <c r="BD56" s="372">
        <f t="shared" si="43"/>
        <v>0</v>
      </c>
      <c r="BE56" s="372">
        <f t="shared" si="43"/>
        <v>0</v>
      </c>
      <c r="BF56" s="372">
        <f t="shared" si="43"/>
        <v>0</v>
      </c>
      <c r="BG56" s="372">
        <f t="shared" si="43"/>
        <v>0</v>
      </c>
      <c r="BH56" s="372">
        <f t="shared" si="43"/>
        <v>0</v>
      </c>
      <c r="BI56" s="372">
        <f t="shared" si="43"/>
        <v>0</v>
      </c>
      <c r="BJ56" s="372">
        <f t="shared" si="43"/>
        <v>0</v>
      </c>
      <c r="BK56" s="372">
        <f t="shared" si="43"/>
        <v>0</v>
      </c>
      <c r="BL56" s="372">
        <f t="shared" si="43"/>
        <v>0</v>
      </c>
      <c r="BM56" s="372">
        <f t="shared" si="43"/>
        <v>0</v>
      </c>
      <c r="BN56" s="372">
        <f t="shared" si="43"/>
        <v>0</v>
      </c>
      <c r="BO56" s="372">
        <f t="shared" si="43"/>
        <v>0</v>
      </c>
      <c r="BP56" s="372">
        <f t="shared" si="43"/>
        <v>0</v>
      </c>
      <c r="BQ56" s="372">
        <f t="shared" si="43"/>
        <v>0</v>
      </c>
      <c r="BR56" s="372">
        <f t="shared" si="43"/>
        <v>0</v>
      </c>
      <c r="BS56" s="372">
        <f t="shared" si="43"/>
        <v>0</v>
      </c>
      <c r="BT56" s="372">
        <f t="shared" si="43"/>
        <v>0</v>
      </c>
      <c r="BU56" s="372">
        <f t="shared" si="43"/>
        <v>0</v>
      </c>
      <c r="BV56" s="372">
        <f t="shared" si="43"/>
        <v>0</v>
      </c>
      <c r="BW56" s="372">
        <f t="shared" si="43"/>
        <v>0</v>
      </c>
      <c r="BX56" s="372">
        <f t="shared" si="43"/>
        <v>0</v>
      </c>
      <c r="BY56" s="372">
        <f t="shared" si="43"/>
        <v>0</v>
      </c>
      <c r="BZ56" s="372">
        <f t="shared" si="43"/>
        <v>0</v>
      </c>
      <c r="CA56" s="372">
        <f t="shared" si="43"/>
        <v>0</v>
      </c>
      <c r="CB56" s="372">
        <f t="shared" si="43"/>
        <v>0</v>
      </c>
      <c r="CC56" s="372">
        <f t="shared" si="43"/>
        <v>0</v>
      </c>
      <c r="CD56" s="372">
        <f t="shared" si="43"/>
        <v>0</v>
      </c>
      <c r="CE56" s="372">
        <f t="shared" si="43"/>
        <v>0</v>
      </c>
      <c r="CF56" s="372">
        <f t="shared" si="43"/>
        <v>0</v>
      </c>
      <c r="CG56" s="372">
        <f t="shared" si="43"/>
        <v>0</v>
      </c>
      <c r="CH56" s="372">
        <f t="shared" si="43"/>
        <v>0</v>
      </c>
      <c r="CI56" s="372">
        <f t="shared" si="43"/>
        <v>0</v>
      </c>
      <c r="CJ56" s="372">
        <f t="shared" si="43"/>
        <v>0</v>
      </c>
      <c r="CK56" s="372">
        <f t="shared" si="43"/>
        <v>0</v>
      </c>
    </row>
    <row r="57" spans="2:89" hidden="1" outlineLevel="2">
      <c r="D57" s="383" t="s">
        <v>186</v>
      </c>
      <c r="R57" s="372">
        <f t="shared" si="39"/>
        <v>0</v>
      </c>
      <c r="S57" s="372">
        <f t="shared" si="39"/>
        <v>0</v>
      </c>
      <c r="T57" s="372">
        <f t="shared" si="39"/>
        <v>0</v>
      </c>
      <c r="U57" s="372">
        <f t="shared" si="39"/>
        <v>0</v>
      </c>
      <c r="X57" s="372">
        <f t="shared" si="40"/>
        <v>0</v>
      </c>
      <c r="Y57" s="372">
        <f t="shared" si="40"/>
        <v>0</v>
      </c>
      <c r="Z57" s="372">
        <f t="shared" si="40"/>
        <v>0</v>
      </c>
      <c r="AA57" s="372">
        <f t="shared" si="40"/>
        <v>0</v>
      </c>
      <c r="AB57" s="372">
        <f t="shared" si="40"/>
        <v>0</v>
      </c>
      <c r="AC57" s="372">
        <f t="shared" si="40"/>
        <v>0</v>
      </c>
      <c r="AD57" s="372">
        <f t="shared" si="40"/>
        <v>0</v>
      </c>
      <c r="AE57" s="372">
        <f t="shared" si="40"/>
        <v>0</v>
      </c>
      <c r="AF57" s="372">
        <f t="shared" si="40"/>
        <v>0</v>
      </c>
      <c r="AG57" s="372">
        <f t="shared" si="40"/>
        <v>0</v>
      </c>
      <c r="AH57" s="372">
        <f t="shared" si="40"/>
        <v>0</v>
      </c>
      <c r="AI57" s="372">
        <f t="shared" si="40"/>
        <v>0</v>
      </c>
      <c r="AJ57" s="372">
        <f t="shared" si="40"/>
        <v>0</v>
      </c>
      <c r="AK57" s="372">
        <f t="shared" si="40"/>
        <v>0</v>
      </c>
      <c r="AL57" s="372">
        <f t="shared" si="40"/>
        <v>0</v>
      </c>
      <c r="AM57" s="372">
        <f t="shared" si="40"/>
        <v>0</v>
      </c>
      <c r="AP57" s="372">
        <f t="shared" ref="AP57:CK57" si="44">AP50+AO57</f>
        <v>0</v>
      </c>
      <c r="AQ57" s="372">
        <f t="shared" si="44"/>
        <v>0</v>
      </c>
      <c r="AR57" s="372">
        <f t="shared" si="44"/>
        <v>0</v>
      </c>
      <c r="AS57" s="372">
        <f t="shared" si="44"/>
        <v>0</v>
      </c>
      <c r="AT57" s="372">
        <f t="shared" si="44"/>
        <v>0</v>
      </c>
      <c r="AU57" s="372">
        <f t="shared" si="44"/>
        <v>0</v>
      </c>
      <c r="AV57" s="372">
        <f t="shared" si="44"/>
        <v>0</v>
      </c>
      <c r="AW57" s="372">
        <f t="shared" si="44"/>
        <v>0</v>
      </c>
      <c r="AX57" s="372">
        <f t="shared" si="44"/>
        <v>0</v>
      </c>
      <c r="AY57" s="372">
        <f t="shared" si="44"/>
        <v>0</v>
      </c>
      <c r="AZ57" s="372">
        <f t="shared" si="44"/>
        <v>0</v>
      </c>
      <c r="BA57" s="372">
        <f t="shared" si="44"/>
        <v>0</v>
      </c>
      <c r="BB57" s="372">
        <f t="shared" si="44"/>
        <v>0</v>
      </c>
      <c r="BC57" s="372">
        <f t="shared" si="44"/>
        <v>0</v>
      </c>
      <c r="BD57" s="372">
        <f t="shared" si="44"/>
        <v>0</v>
      </c>
      <c r="BE57" s="372">
        <f t="shared" si="44"/>
        <v>0</v>
      </c>
      <c r="BF57" s="372">
        <f t="shared" si="44"/>
        <v>0</v>
      </c>
      <c r="BG57" s="372">
        <f t="shared" si="44"/>
        <v>0</v>
      </c>
      <c r="BH57" s="372">
        <f t="shared" si="44"/>
        <v>0</v>
      </c>
      <c r="BI57" s="372">
        <f t="shared" si="44"/>
        <v>0</v>
      </c>
      <c r="BJ57" s="372">
        <f t="shared" si="44"/>
        <v>0</v>
      </c>
      <c r="BK57" s="372">
        <f t="shared" si="44"/>
        <v>0</v>
      </c>
      <c r="BL57" s="372">
        <f t="shared" si="44"/>
        <v>0</v>
      </c>
      <c r="BM57" s="372">
        <f t="shared" si="44"/>
        <v>0</v>
      </c>
      <c r="BN57" s="372">
        <f t="shared" si="44"/>
        <v>0</v>
      </c>
      <c r="BO57" s="372">
        <f t="shared" si="44"/>
        <v>0</v>
      </c>
      <c r="BP57" s="372">
        <f t="shared" si="44"/>
        <v>0</v>
      </c>
      <c r="BQ57" s="372">
        <f t="shared" si="44"/>
        <v>0</v>
      </c>
      <c r="BR57" s="372">
        <f t="shared" si="44"/>
        <v>0</v>
      </c>
      <c r="BS57" s="372">
        <f t="shared" si="44"/>
        <v>0</v>
      </c>
      <c r="BT57" s="372">
        <f t="shared" si="44"/>
        <v>0</v>
      </c>
      <c r="BU57" s="372">
        <f t="shared" si="44"/>
        <v>0</v>
      </c>
      <c r="BV57" s="372">
        <f t="shared" si="44"/>
        <v>0</v>
      </c>
      <c r="BW57" s="372">
        <f t="shared" si="44"/>
        <v>0</v>
      </c>
      <c r="BX57" s="372">
        <f t="shared" si="44"/>
        <v>0</v>
      </c>
      <c r="BY57" s="372">
        <f t="shared" si="44"/>
        <v>0</v>
      </c>
      <c r="BZ57" s="372">
        <f t="shared" si="44"/>
        <v>0</v>
      </c>
      <c r="CA57" s="372">
        <f t="shared" si="44"/>
        <v>0</v>
      </c>
      <c r="CB57" s="372">
        <f t="shared" si="44"/>
        <v>0</v>
      </c>
      <c r="CC57" s="372">
        <f t="shared" si="44"/>
        <v>0</v>
      </c>
      <c r="CD57" s="372">
        <f t="shared" si="44"/>
        <v>0</v>
      </c>
      <c r="CE57" s="372">
        <f t="shared" si="44"/>
        <v>0</v>
      </c>
      <c r="CF57" s="372">
        <f t="shared" si="44"/>
        <v>0</v>
      </c>
      <c r="CG57" s="372">
        <f t="shared" si="44"/>
        <v>0</v>
      </c>
      <c r="CH57" s="372">
        <f t="shared" si="44"/>
        <v>0</v>
      </c>
      <c r="CI57" s="372">
        <f t="shared" si="44"/>
        <v>0</v>
      </c>
      <c r="CJ57" s="372">
        <f t="shared" si="44"/>
        <v>0</v>
      </c>
      <c r="CK57" s="372">
        <f t="shared" si="44"/>
        <v>0</v>
      </c>
    </row>
    <row r="59" spans="2:89" s="51" customFormat="1" ht="24">
      <c r="B59" s="476" t="s">
        <v>401</v>
      </c>
      <c r="C59" s="475"/>
      <c r="D59" s="475"/>
      <c r="E59" s="475"/>
      <c r="F59" s="475"/>
      <c r="G59" s="475"/>
      <c r="H59" s="475"/>
      <c r="I59" s="475"/>
      <c r="J59" s="475"/>
      <c r="K59" s="475"/>
      <c r="L59" s="475"/>
      <c r="M59" s="475"/>
      <c r="N59" s="475"/>
      <c r="O59" s="475"/>
      <c r="R59" s="475"/>
      <c r="S59" s="475"/>
      <c r="T59" s="475"/>
      <c r="U59" s="475"/>
      <c r="X59" s="475"/>
      <c r="Y59" s="475"/>
      <c r="Z59" s="475"/>
      <c r="AA59" s="475"/>
      <c r="AB59" s="475"/>
      <c r="AC59" s="475"/>
      <c r="AD59" s="475"/>
      <c r="AE59" s="475"/>
      <c r="AF59" s="475"/>
      <c r="AG59" s="475"/>
      <c r="AH59" s="475"/>
      <c r="AI59" s="475"/>
      <c r="AJ59" s="475"/>
      <c r="AK59" s="475"/>
      <c r="AL59" s="475"/>
      <c r="AM59" s="475"/>
      <c r="AO59" s="50"/>
      <c r="AP59" s="475"/>
      <c r="AQ59" s="475"/>
      <c r="AR59" s="475"/>
      <c r="AS59" s="475"/>
      <c r="AT59" s="475"/>
      <c r="AU59" s="475"/>
      <c r="AV59" s="475"/>
      <c r="AW59" s="475"/>
      <c r="AX59" s="475"/>
      <c r="AY59" s="475"/>
      <c r="AZ59" s="475"/>
      <c r="BA59" s="475"/>
      <c r="BB59" s="475"/>
      <c r="BC59" s="475"/>
      <c r="BD59" s="475"/>
      <c r="BE59" s="475"/>
      <c r="BF59" s="475"/>
      <c r="BG59" s="475"/>
      <c r="BH59" s="475"/>
      <c r="BI59" s="475"/>
      <c r="BJ59" s="475"/>
      <c r="BK59" s="475"/>
      <c r="BL59" s="475"/>
      <c r="BM59" s="475"/>
      <c r="BN59" s="475"/>
      <c r="BO59" s="475"/>
      <c r="BP59" s="475"/>
      <c r="BQ59" s="475"/>
      <c r="BR59" s="475"/>
      <c r="BS59" s="475"/>
      <c r="BT59" s="475"/>
      <c r="BU59" s="475"/>
      <c r="BV59" s="475"/>
      <c r="BW59" s="475"/>
      <c r="BX59" s="475"/>
      <c r="BY59" s="475"/>
      <c r="BZ59" s="475"/>
      <c r="CA59" s="475"/>
      <c r="CB59" s="475"/>
      <c r="CC59" s="475"/>
      <c r="CD59" s="475"/>
      <c r="CE59" s="475"/>
      <c r="CF59" s="475"/>
      <c r="CG59" s="475"/>
      <c r="CH59" s="475"/>
      <c r="CI59" s="475"/>
      <c r="CJ59" s="475"/>
      <c r="CK59" s="475"/>
    </row>
    <row r="60" spans="2:89" outlineLevel="1">
      <c r="C60" s="355" t="s">
        <v>402</v>
      </c>
      <c r="E60" s="357" t="s">
        <v>175</v>
      </c>
      <c r="F60" s="357" t="s">
        <v>350</v>
      </c>
      <c r="R60" s="482">
        <f>SUM(R61:R66)</f>
        <v>1</v>
      </c>
      <c r="S60" s="482">
        <f>SUM(S61:S66)</f>
        <v>3</v>
      </c>
      <c r="T60" s="482">
        <f>SUM(T61:T66)</f>
        <v>6</v>
      </c>
      <c r="U60" s="482">
        <f>SUM(U61:U66)</f>
        <v>9</v>
      </c>
      <c r="V60" s="372"/>
      <c r="W60" s="372"/>
      <c r="X60" s="482">
        <f t="shared" ref="X60:AM60" si="45">SUM(X61:X66)</f>
        <v>2</v>
      </c>
      <c r="Y60" s="482">
        <f t="shared" si="45"/>
        <v>1</v>
      </c>
      <c r="Z60" s="482">
        <f t="shared" si="45"/>
        <v>1</v>
      </c>
      <c r="AA60" s="482">
        <f t="shared" si="45"/>
        <v>1</v>
      </c>
      <c r="AB60" s="482">
        <f t="shared" si="45"/>
        <v>3</v>
      </c>
      <c r="AC60" s="482">
        <f t="shared" si="45"/>
        <v>3</v>
      </c>
      <c r="AD60" s="482">
        <f t="shared" si="45"/>
        <v>3</v>
      </c>
      <c r="AE60" s="482">
        <f t="shared" si="45"/>
        <v>3</v>
      </c>
      <c r="AF60" s="482">
        <f t="shared" si="45"/>
        <v>3</v>
      </c>
      <c r="AG60" s="482">
        <f t="shared" si="45"/>
        <v>6</v>
      </c>
      <c r="AH60" s="482">
        <f t="shared" si="45"/>
        <v>6</v>
      </c>
      <c r="AI60" s="482">
        <f t="shared" si="45"/>
        <v>6</v>
      </c>
      <c r="AJ60" s="482">
        <f t="shared" si="45"/>
        <v>6</v>
      </c>
      <c r="AK60" s="482">
        <f t="shared" si="45"/>
        <v>8</v>
      </c>
      <c r="AL60" s="482">
        <f t="shared" si="45"/>
        <v>9</v>
      </c>
      <c r="AM60" s="482">
        <f t="shared" si="45"/>
        <v>9</v>
      </c>
      <c r="AN60" s="372"/>
      <c r="AP60" s="482">
        <f t="shared" ref="AP60:CK60" si="46">SUM(AP61:AP66)</f>
        <v>2</v>
      </c>
      <c r="AQ60" s="482">
        <f t="shared" si="46"/>
        <v>2</v>
      </c>
      <c r="AR60" s="482">
        <f t="shared" si="46"/>
        <v>2</v>
      </c>
      <c r="AS60" s="482">
        <f t="shared" si="46"/>
        <v>2</v>
      </c>
      <c r="AT60" s="482">
        <f t="shared" si="46"/>
        <v>1</v>
      </c>
      <c r="AU60" s="482">
        <f t="shared" si="46"/>
        <v>1</v>
      </c>
      <c r="AV60" s="482">
        <f t="shared" si="46"/>
        <v>1</v>
      </c>
      <c r="AW60" s="482">
        <f t="shared" si="46"/>
        <v>1</v>
      </c>
      <c r="AX60" s="482">
        <f t="shared" si="46"/>
        <v>1</v>
      </c>
      <c r="AY60" s="482">
        <f t="shared" si="46"/>
        <v>1</v>
      </c>
      <c r="AZ60" s="482">
        <f t="shared" si="46"/>
        <v>1</v>
      </c>
      <c r="BA60" s="482">
        <f t="shared" si="46"/>
        <v>1</v>
      </c>
      <c r="BB60" s="482">
        <f t="shared" si="46"/>
        <v>1</v>
      </c>
      <c r="BC60" s="482">
        <f t="shared" si="46"/>
        <v>2</v>
      </c>
      <c r="BD60" s="482">
        <f t="shared" si="46"/>
        <v>3</v>
      </c>
      <c r="BE60" s="482">
        <f t="shared" si="46"/>
        <v>3</v>
      </c>
      <c r="BF60" s="482">
        <f t="shared" si="46"/>
        <v>3</v>
      </c>
      <c r="BG60" s="482">
        <f t="shared" si="46"/>
        <v>3</v>
      </c>
      <c r="BH60" s="482">
        <f t="shared" si="46"/>
        <v>3</v>
      </c>
      <c r="BI60" s="482">
        <f t="shared" si="46"/>
        <v>3</v>
      </c>
      <c r="BJ60" s="482">
        <f t="shared" si="46"/>
        <v>3</v>
      </c>
      <c r="BK60" s="482">
        <f t="shared" si="46"/>
        <v>3</v>
      </c>
      <c r="BL60" s="482">
        <f t="shared" si="46"/>
        <v>3</v>
      </c>
      <c r="BM60" s="482">
        <f t="shared" si="46"/>
        <v>3</v>
      </c>
      <c r="BN60" s="482">
        <f t="shared" si="46"/>
        <v>3</v>
      </c>
      <c r="BO60" s="482">
        <f t="shared" si="46"/>
        <v>3</v>
      </c>
      <c r="BP60" s="482">
        <f t="shared" si="46"/>
        <v>3</v>
      </c>
      <c r="BQ60" s="482">
        <f t="shared" si="46"/>
        <v>3</v>
      </c>
      <c r="BR60" s="482">
        <f t="shared" si="46"/>
        <v>4</v>
      </c>
      <c r="BS60" s="482">
        <f t="shared" si="46"/>
        <v>6</v>
      </c>
      <c r="BT60" s="482">
        <f t="shared" si="46"/>
        <v>6</v>
      </c>
      <c r="BU60" s="482">
        <f t="shared" si="46"/>
        <v>6</v>
      </c>
      <c r="BV60" s="482">
        <f t="shared" si="46"/>
        <v>6</v>
      </c>
      <c r="BW60" s="482">
        <f t="shared" si="46"/>
        <v>6</v>
      </c>
      <c r="BX60" s="482">
        <f t="shared" si="46"/>
        <v>6</v>
      </c>
      <c r="BY60" s="482">
        <f t="shared" si="46"/>
        <v>6</v>
      </c>
      <c r="BZ60" s="482">
        <f t="shared" si="46"/>
        <v>6</v>
      </c>
      <c r="CA60" s="482">
        <f t="shared" si="46"/>
        <v>6</v>
      </c>
      <c r="CB60" s="482">
        <f t="shared" si="46"/>
        <v>6</v>
      </c>
      <c r="CC60" s="482">
        <f t="shared" si="46"/>
        <v>7</v>
      </c>
      <c r="CD60" s="482">
        <f t="shared" si="46"/>
        <v>7</v>
      </c>
      <c r="CE60" s="482">
        <f t="shared" si="46"/>
        <v>8</v>
      </c>
      <c r="CF60" s="482">
        <f t="shared" si="46"/>
        <v>8</v>
      </c>
      <c r="CG60" s="482">
        <f t="shared" si="46"/>
        <v>9</v>
      </c>
      <c r="CH60" s="482">
        <f t="shared" si="46"/>
        <v>9</v>
      </c>
      <c r="CI60" s="482">
        <f t="shared" si="46"/>
        <v>9</v>
      </c>
      <c r="CJ60" s="482">
        <f t="shared" si="46"/>
        <v>9</v>
      </c>
      <c r="CK60" s="482">
        <f t="shared" si="46"/>
        <v>9</v>
      </c>
    </row>
    <row r="61" spans="2:89" outlineLevel="2">
      <c r="D61" s="383" t="s">
        <v>178</v>
      </c>
      <c r="E61" s="50" t="s">
        <v>179</v>
      </c>
      <c r="F61" s="50" t="s">
        <v>177</v>
      </c>
      <c r="R61" s="372">
        <f>INDEX($AP61:$CK61,MATCH(R$5,$AP$5:$CK$5,0))</f>
        <v>1</v>
      </c>
      <c r="S61" s="372">
        <f>INDEX($AP61:$CK61,MATCH(S$5,$AP$5:$CK$5,0))</f>
        <v>1</v>
      </c>
      <c r="T61" s="372">
        <f>INDEX($AP61:$CK61,MATCH(T$5,$AP$5:$CK$5,0))</f>
        <v>1</v>
      </c>
      <c r="U61" s="372">
        <f>INDEX($AP61:$CK61,MATCH(U$5,$AP$5:$CK$5,0))</f>
        <v>2</v>
      </c>
      <c r="X61" s="372">
        <f t="shared" ref="X61:AM61" si="47">INDEX($AP61:$CK61,MATCH(X$5,$AP$5:$CK$5,0))</f>
        <v>1</v>
      </c>
      <c r="Y61" s="372">
        <f t="shared" si="47"/>
        <v>1</v>
      </c>
      <c r="Z61" s="372">
        <f t="shared" si="47"/>
        <v>1</v>
      </c>
      <c r="AA61" s="372">
        <f t="shared" si="47"/>
        <v>1</v>
      </c>
      <c r="AB61" s="372">
        <f t="shared" si="47"/>
        <v>1</v>
      </c>
      <c r="AC61" s="372">
        <f t="shared" si="47"/>
        <v>1</v>
      </c>
      <c r="AD61" s="372">
        <f t="shared" si="47"/>
        <v>1</v>
      </c>
      <c r="AE61" s="372">
        <f t="shared" si="47"/>
        <v>1</v>
      </c>
      <c r="AF61" s="372">
        <f t="shared" si="47"/>
        <v>1</v>
      </c>
      <c r="AG61" s="372">
        <f t="shared" si="47"/>
        <v>1</v>
      </c>
      <c r="AH61" s="372">
        <f t="shared" si="47"/>
        <v>1</v>
      </c>
      <c r="AI61" s="372">
        <f t="shared" si="47"/>
        <v>1</v>
      </c>
      <c r="AJ61" s="372">
        <f t="shared" si="47"/>
        <v>1</v>
      </c>
      <c r="AK61" s="372">
        <f t="shared" si="47"/>
        <v>2</v>
      </c>
      <c r="AL61" s="372">
        <f t="shared" si="47"/>
        <v>2</v>
      </c>
      <c r="AM61" s="372">
        <f t="shared" si="47"/>
        <v>2</v>
      </c>
      <c r="AP61" s="372">
        <f t="shared" ref="AP61:CK61" si="48">COUNTIFS(AP$11:AP$35,"&gt;"&amp;0,$G$11:$G$35,$D61)+AP53</f>
        <v>1</v>
      </c>
      <c r="AQ61" s="372">
        <f t="shared" si="48"/>
        <v>1</v>
      </c>
      <c r="AR61" s="372">
        <f t="shared" si="48"/>
        <v>1</v>
      </c>
      <c r="AS61" s="372">
        <f t="shared" si="48"/>
        <v>1</v>
      </c>
      <c r="AT61" s="372">
        <f t="shared" si="48"/>
        <v>1</v>
      </c>
      <c r="AU61" s="372">
        <f t="shared" si="48"/>
        <v>1</v>
      </c>
      <c r="AV61" s="372">
        <f t="shared" si="48"/>
        <v>1</v>
      </c>
      <c r="AW61" s="372">
        <f t="shared" si="48"/>
        <v>1</v>
      </c>
      <c r="AX61" s="372">
        <f t="shared" si="48"/>
        <v>1</v>
      </c>
      <c r="AY61" s="372">
        <f t="shared" si="48"/>
        <v>1</v>
      </c>
      <c r="AZ61" s="372">
        <f t="shared" si="48"/>
        <v>1</v>
      </c>
      <c r="BA61" s="372">
        <f t="shared" si="48"/>
        <v>1</v>
      </c>
      <c r="BB61" s="372">
        <f t="shared" si="48"/>
        <v>1</v>
      </c>
      <c r="BC61" s="372">
        <f t="shared" si="48"/>
        <v>1</v>
      </c>
      <c r="BD61" s="372">
        <f t="shared" si="48"/>
        <v>1</v>
      </c>
      <c r="BE61" s="372">
        <f t="shared" si="48"/>
        <v>1</v>
      </c>
      <c r="BF61" s="372">
        <f t="shared" si="48"/>
        <v>1</v>
      </c>
      <c r="BG61" s="372">
        <f t="shared" si="48"/>
        <v>1</v>
      </c>
      <c r="BH61" s="372">
        <f t="shared" si="48"/>
        <v>1</v>
      </c>
      <c r="BI61" s="372">
        <f t="shared" si="48"/>
        <v>1</v>
      </c>
      <c r="BJ61" s="372">
        <f t="shared" si="48"/>
        <v>1</v>
      </c>
      <c r="BK61" s="372">
        <f t="shared" si="48"/>
        <v>1</v>
      </c>
      <c r="BL61" s="372">
        <f t="shared" si="48"/>
        <v>1</v>
      </c>
      <c r="BM61" s="372">
        <f t="shared" si="48"/>
        <v>1</v>
      </c>
      <c r="BN61" s="372">
        <f t="shared" si="48"/>
        <v>1</v>
      </c>
      <c r="BO61" s="372">
        <f t="shared" si="48"/>
        <v>1</v>
      </c>
      <c r="BP61" s="372">
        <f t="shared" si="48"/>
        <v>1</v>
      </c>
      <c r="BQ61" s="372">
        <f t="shared" si="48"/>
        <v>1</v>
      </c>
      <c r="BR61" s="372">
        <f t="shared" si="48"/>
        <v>1</v>
      </c>
      <c r="BS61" s="372">
        <f t="shared" si="48"/>
        <v>1</v>
      </c>
      <c r="BT61" s="372">
        <f t="shared" si="48"/>
        <v>1</v>
      </c>
      <c r="BU61" s="372">
        <f t="shared" si="48"/>
        <v>1</v>
      </c>
      <c r="BV61" s="372">
        <f t="shared" si="48"/>
        <v>1</v>
      </c>
      <c r="BW61" s="372">
        <f t="shared" si="48"/>
        <v>1</v>
      </c>
      <c r="BX61" s="372">
        <f t="shared" si="48"/>
        <v>1</v>
      </c>
      <c r="BY61" s="372">
        <f t="shared" si="48"/>
        <v>1</v>
      </c>
      <c r="BZ61" s="372">
        <f t="shared" si="48"/>
        <v>1</v>
      </c>
      <c r="CA61" s="372">
        <f t="shared" si="48"/>
        <v>1</v>
      </c>
      <c r="CB61" s="372">
        <f t="shared" si="48"/>
        <v>1</v>
      </c>
      <c r="CC61" s="372">
        <f t="shared" si="48"/>
        <v>2</v>
      </c>
      <c r="CD61" s="372">
        <f t="shared" si="48"/>
        <v>2</v>
      </c>
      <c r="CE61" s="372">
        <f t="shared" si="48"/>
        <v>2</v>
      </c>
      <c r="CF61" s="372">
        <f t="shared" si="48"/>
        <v>2</v>
      </c>
      <c r="CG61" s="372">
        <f t="shared" si="48"/>
        <v>2</v>
      </c>
      <c r="CH61" s="372">
        <f t="shared" si="48"/>
        <v>2</v>
      </c>
      <c r="CI61" s="372">
        <f t="shared" si="48"/>
        <v>2</v>
      </c>
      <c r="CJ61" s="372">
        <f t="shared" si="48"/>
        <v>2</v>
      </c>
      <c r="CK61" s="372">
        <f t="shared" si="48"/>
        <v>2</v>
      </c>
    </row>
    <row r="62" spans="2:89" outlineLevel="2">
      <c r="D62" s="383" t="s">
        <v>180</v>
      </c>
      <c r="E62" s="50" t="s">
        <v>181</v>
      </c>
      <c r="F62" s="50" t="s">
        <v>177</v>
      </c>
      <c r="R62" s="372">
        <f t="shared" ref="R62:U65" si="49">INDEX($AP62:$CK62,MATCH(R$5,$AP$5:$CK$5,0))</f>
        <v>0</v>
      </c>
      <c r="S62" s="372">
        <f t="shared" si="49"/>
        <v>2</v>
      </c>
      <c r="T62" s="372">
        <f t="shared" si="49"/>
        <v>4</v>
      </c>
      <c r="U62" s="372">
        <f t="shared" si="49"/>
        <v>4</v>
      </c>
      <c r="X62" s="372">
        <f t="shared" ref="X62:AM65" si="50">INDEX($AP62:$CK62,MATCH(X$5,$AP$5:$CK$5,0))</f>
        <v>0</v>
      </c>
      <c r="Y62" s="372">
        <f t="shared" si="50"/>
        <v>0</v>
      </c>
      <c r="Z62" s="372">
        <f t="shared" si="50"/>
        <v>0</v>
      </c>
      <c r="AA62" s="372">
        <f t="shared" si="50"/>
        <v>0</v>
      </c>
      <c r="AB62" s="372">
        <f t="shared" si="50"/>
        <v>2</v>
      </c>
      <c r="AC62" s="372">
        <f t="shared" si="50"/>
        <v>2</v>
      </c>
      <c r="AD62" s="372">
        <f t="shared" si="50"/>
        <v>2</v>
      </c>
      <c r="AE62" s="372">
        <f t="shared" si="50"/>
        <v>2</v>
      </c>
      <c r="AF62" s="372">
        <f t="shared" si="50"/>
        <v>2</v>
      </c>
      <c r="AG62" s="372">
        <f t="shared" si="50"/>
        <v>4</v>
      </c>
      <c r="AH62" s="372">
        <f t="shared" si="50"/>
        <v>4</v>
      </c>
      <c r="AI62" s="372">
        <f t="shared" si="50"/>
        <v>4</v>
      </c>
      <c r="AJ62" s="372">
        <f t="shared" si="50"/>
        <v>4</v>
      </c>
      <c r="AK62" s="372">
        <f t="shared" si="50"/>
        <v>4</v>
      </c>
      <c r="AL62" s="372">
        <f t="shared" si="50"/>
        <v>4</v>
      </c>
      <c r="AM62" s="372">
        <f t="shared" si="50"/>
        <v>4</v>
      </c>
      <c r="AP62" s="372">
        <f t="shared" ref="AP62:CK62" si="51">COUNTIFS(AP$11:AP$35,"&gt;"&amp;0,$G$11:$G$35,$D62)+AP54</f>
        <v>0</v>
      </c>
      <c r="AQ62" s="372">
        <f t="shared" si="51"/>
        <v>0</v>
      </c>
      <c r="AR62" s="372">
        <f t="shared" si="51"/>
        <v>0</v>
      </c>
      <c r="AS62" s="372">
        <f t="shared" si="51"/>
        <v>0</v>
      </c>
      <c r="AT62" s="372">
        <f t="shared" si="51"/>
        <v>0</v>
      </c>
      <c r="AU62" s="372">
        <f t="shared" si="51"/>
        <v>0</v>
      </c>
      <c r="AV62" s="372">
        <f t="shared" si="51"/>
        <v>0</v>
      </c>
      <c r="AW62" s="372">
        <f t="shared" si="51"/>
        <v>0</v>
      </c>
      <c r="AX62" s="372">
        <f t="shared" si="51"/>
        <v>0</v>
      </c>
      <c r="AY62" s="372">
        <f t="shared" si="51"/>
        <v>0</v>
      </c>
      <c r="AZ62" s="372">
        <f t="shared" si="51"/>
        <v>0</v>
      </c>
      <c r="BA62" s="372">
        <f t="shared" si="51"/>
        <v>0</v>
      </c>
      <c r="BB62" s="372">
        <f t="shared" si="51"/>
        <v>0</v>
      </c>
      <c r="BC62" s="372">
        <f t="shared" si="51"/>
        <v>1</v>
      </c>
      <c r="BD62" s="372">
        <f t="shared" si="51"/>
        <v>2</v>
      </c>
      <c r="BE62" s="372">
        <f t="shared" si="51"/>
        <v>2</v>
      </c>
      <c r="BF62" s="372">
        <f t="shared" si="51"/>
        <v>2</v>
      </c>
      <c r="BG62" s="372">
        <f t="shared" si="51"/>
        <v>2</v>
      </c>
      <c r="BH62" s="372">
        <f t="shared" si="51"/>
        <v>2</v>
      </c>
      <c r="BI62" s="372">
        <f t="shared" si="51"/>
        <v>2</v>
      </c>
      <c r="BJ62" s="372">
        <f t="shared" si="51"/>
        <v>2</v>
      </c>
      <c r="BK62" s="372">
        <f t="shared" si="51"/>
        <v>2</v>
      </c>
      <c r="BL62" s="372">
        <f t="shared" si="51"/>
        <v>2</v>
      </c>
      <c r="BM62" s="372">
        <f t="shared" si="51"/>
        <v>2</v>
      </c>
      <c r="BN62" s="372">
        <f t="shared" si="51"/>
        <v>2</v>
      </c>
      <c r="BO62" s="372">
        <f t="shared" si="51"/>
        <v>2</v>
      </c>
      <c r="BP62" s="372">
        <f t="shared" si="51"/>
        <v>2</v>
      </c>
      <c r="BQ62" s="372">
        <f t="shared" si="51"/>
        <v>2</v>
      </c>
      <c r="BR62" s="372">
        <f t="shared" si="51"/>
        <v>2</v>
      </c>
      <c r="BS62" s="372">
        <f t="shared" si="51"/>
        <v>4</v>
      </c>
      <c r="BT62" s="372">
        <f t="shared" si="51"/>
        <v>4</v>
      </c>
      <c r="BU62" s="372">
        <f t="shared" si="51"/>
        <v>4</v>
      </c>
      <c r="BV62" s="372">
        <f t="shared" si="51"/>
        <v>4</v>
      </c>
      <c r="BW62" s="372">
        <f t="shared" si="51"/>
        <v>4</v>
      </c>
      <c r="BX62" s="372">
        <f t="shared" si="51"/>
        <v>4</v>
      </c>
      <c r="BY62" s="372">
        <f t="shared" si="51"/>
        <v>4</v>
      </c>
      <c r="BZ62" s="372">
        <f t="shared" si="51"/>
        <v>4</v>
      </c>
      <c r="CA62" s="372">
        <f t="shared" si="51"/>
        <v>4</v>
      </c>
      <c r="CB62" s="372">
        <f t="shared" si="51"/>
        <v>4</v>
      </c>
      <c r="CC62" s="372">
        <f t="shared" si="51"/>
        <v>4</v>
      </c>
      <c r="CD62" s="372">
        <f t="shared" si="51"/>
        <v>4</v>
      </c>
      <c r="CE62" s="372">
        <f t="shared" si="51"/>
        <v>4</v>
      </c>
      <c r="CF62" s="372">
        <f t="shared" si="51"/>
        <v>4</v>
      </c>
      <c r="CG62" s="372">
        <f t="shared" si="51"/>
        <v>4</v>
      </c>
      <c r="CH62" s="372">
        <f t="shared" si="51"/>
        <v>4</v>
      </c>
      <c r="CI62" s="372">
        <f t="shared" si="51"/>
        <v>4</v>
      </c>
      <c r="CJ62" s="372">
        <f t="shared" si="51"/>
        <v>4</v>
      </c>
      <c r="CK62" s="372">
        <f t="shared" si="51"/>
        <v>4</v>
      </c>
    </row>
    <row r="63" spans="2:89" outlineLevel="2">
      <c r="D63" s="383" t="s">
        <v>182</v>
      </c>
      <c r="E63" s="50" t="s">
        <v>183</v>
      </c>
      <c r="F63" s="50" t="s">
        <v>177</v>
      </c>
      <c r="R63" s="372">
        <f t="shared" si="49"/>
        <v>0</v>
      </c>
      <c r="S63" s="372">
        <f t="shared" si="49"/>
        <v>0</v>
      </c>
      <c r="T63" s="372">
        <f t="shared" si="49"/>
        <v>1</v>
      </c>
      <c r="U63" s="372">
        <f t="shared" si="49"/>
        <v>2</v>
      </c>
      <c r="X63" s="372">
        <f t="shared" si="50"/>
        <v>0</v>
      </c>
      <c r="Y63" s="372">
        <f t="shared" si="50"/>
        <v>0</v>
      </c>
      <c r="Z63" s="372">
        <f t="shared" si="50"/>
        <v>0</v>
      </c>
      <c r="AA63" s="372">
        <f t="shared" si="50"/>
        <v>0</v>
      </c>
      <c r="AB63" s="372">
        <f t="shared" si="50"/>
        <v>0</v>
      </c>
      <c r="AC63" s="372">
        <f t="shared" si="50"/>
        <v>0</v>
      </c>
      <c r="AD63" s="372">
        <f t="shared" si="50"/>
        <v>0</v>
      </c>
      <c r="AE63" s="372">
        <f t="shared" si="50"/>
        <v>0</v>
      </c>
      <c r="AF63" s="372">
        <f t="shared" si="50"/>
        <v>0</v>
      </c>
      <c r="AG63" s="372">
        <f t="shared" si="50"/>
        <v>1</v>
      </c>
      <c r="AH63" s="372">
        <f t="shared" si="50"/>
        <v>1</v>
      </c>
      <c r="AI63" s="372">
        <f t="shared" si="50"/>
        <v>1</v>
      </c>
      <c r="AJ63" s="372">
        <f t="shared" si="50"/>
        <v>1</v>
      </c>
      <c r="AK63" s="372">
        <f t="shared" si="50"/>
        <v>2</v>
      </c>
      <c r="AL63" s="372">
        <f t="shared" si="50"/>
        <v>2</v>
      </c>
      <c r="AM63" s="372">
        <f t="shared" si="50"/>
        <v>2</v>
      </c>
      <c r="AP63" s="372">
        <f t="shared" ref="AP63:CK63" si="52">COUNTIFS(AP$11:AP$35,"&gt;"&amp;0,$G$11:$G$35,$D63)+AP55</f>
        <v>0</v>
      </c>
      <c r="AQ63" s="372">
        <f t="shared" si="52"/>
        <v>0</v>
      </c>
      <c r="AR63" s="372">
        <f t="shared" si="52"/>
        <v>0</v>
      </c>
      <c r="AS63" s="372">
        <f t="shared" si="52"/>
        <v>0</v>
      </c>
      <c r="AT63" s="372">
        <f t="shared" si="52"/>
        <v>0</v>
      </c>
      <c r="AU63" s="372">
        <f t="shared" si="52"/>
        <v>0</v>
      </c>
      <c r="AV63" s="372">
        <f t="shared" si="52"/>
        <v>0</v>
      </c>
      <c r="AW63" s="372">
        <f t="shared" si="52"/>
        <v>0</v>
      </c>
      <c r="AX63" s="372">
        <f t="shared" si="52"/>
        <v>0</v>
      </c>
      <c r="AY63" s="372">
        <f t="shared" si="52"/>
        <v>0</v>
      </c>
      <c r="AZ63" s="372">
        <f t="shared" si="52"/>
        <v>0</v>
      </c>
      <c r="BA63" s="372">
        <f t="shared" si="52"/>
        <v>0</v>
      </c>
      <c r="BB63" s="372">
        <f t="shared" si="52"/>
        <v>0</v>
      </c>
      <c r="BC63" s="372">
        <f t="shared" si="52"/>
        <v>0</v>
      </c>
      <c r="BD63" s="372">
        <f t="shared" si="52"/>
        <v>0</v>
      </c>
      <c r="BE63" s="372">
        <f t="shared" si="52"/>
        <v>0</v>
      </c>
      <c r="BF63" s="372">
        <f t="shared" si="52"/>
        <v>0</v>
      </c>
      <c r="BG63" s="372">
        <f t="shared" si="52"/>
        <v>0</v>
      </c>
      <c r="BH63" s="372">
        <f t="shared" si="52"/>
        <v>0</v>
      </c>
      <c r="BI63" s="372">
        <f t="shared" si="52"/>
        <v>0</v>
      </c>
      <c r="BJ63" s="372">
        <f t="shared" si="52"/>
        <v>0</v>
      </c>
      <c r="BK63" s="372">
        <f t="shared" si="52"/>
        <v>0</v>
      </c>
      <c r="BL63" s="372">
        <f t="shared" si="52"/>
        <v>0</v>
      </c>
      <c r="BM63" s="372">
        <f t="shared" si="52"/>
        <v>0</v>
      </c>
      <c r="BN63" s="372">
        <f t="shared" si="52"/>
        <v>0</v>
      </c>
      <c r="BO63" s="372">
        <f t="shared" si="52"/>
        <v>0</v>
      </c>
      <c r="BP63" s="372">
        <f t="shared" si="52"/>
        <v>0</v>
      </c>
      <c r="BQ63" s="372">
        <f t="shared" si="52"/>
        <v>0</v>
      </c>
      <c r="BR63" s="372">
        <f t="shared" si="52"/>
        <v>1</v>
      </c>
      <c r="BS63" s="372">
        <f t="shared" si="52"/>
        <v>1</v>
      </c>
      <c r="BT63" s="372">
        <f t="shared" si="52"/>
        <v>1</v>
      </c>
      <c r="BU63" s="372">
        <f t="shared" si="52"/>
        <v>1</v>
      </c>
      <c r="BV63" s="372">
        <f t="shared" si="52"/>
        <v>1</v>
      </c>
      <c r="BW63" s="372">
        <f t="shared" si="52"/>
        <v>1</v>
      </c>
      <c r="BX63" s="372">
        <f t="shared" si="52"/>
        <v>1</v>
      </c>
      <c r="BY63" s="372">
        <f t="shared" si="52"/>
        <v>1</v>
      </c>
      <c r="BZ63" s="372">
        <f t="shared" si="52"/>
        <v>1</v>
      </c>
      <c r="CA63" s="372">
        <f t="shared" si="52"/>
        <v>1</v>
      </c>
      <c r="CB63" s="372">
        <f t="shared" si="52"/>
        <v>1</v>
      </c>
      <c r="CC63" s="372">
        <f t="shared" si="52"/>
        <v>1</v>
      </c>
      <c r="CD63" s="372">
        <f t="shared" si="52"/>
        <v>1</v>
      </c>
      <c r="CE63" s="372">
        <f t="shared" si="52"/>
        <v>2</v>
      </c>
      <c r="CF63" s="372">
        <f t="shared" si="52"/>
        <v>2</v>
      </c>
      <c r="CG63" s="372">
        <f t="shared" si="52"/>
        <v>2</v>
      </c>
      <c r="CH63" s="372">
        <f t="shared" si="52"/>
        <v>2</v>
      </c>
      <c r="CI63" s="372">
        <f t="shared" si="52"/>
        <v>2</v>
      </c>
      <c r="CJ63" s="372">
        <f t="shared" si="52"/>
        <v>2</v>
      </c>
      <c r="CK63" s="372">
        <f t="shared" si="52"/>
        <v>2</v>
      </c>
    </row>
    <row r="64" spans="2:89" outlineLevel="2">
      <c r="D64" s="383" t="s">
        <v>184</v>
      </c>
      <c r="E64" s="50" t="s">
        <v>185</v>
      </c>
      <c r="F64" s="50" t="s">
        <v>177</v>
      </c>
      <c r="R64" s="372">
        <f t="shared" si="49"/>
        <v>0</v>
      </c>
      <c r="S64" s="372">
        <f t="shared" si="49"/>
        <v>0</v>
      </c>
      <c r="T64" s="372">
        <f t="shared" si="49"/>
        <v>0</v>
      </c>
      <c r="U64" s="372">
        <f t="shared" si="49"/>
        <v>1</v>
      </c>
      <c r="X64" s="372">
        <f t="shared" si="50"/>
        <v>1</v>
      </c>
      <c r="Y64" s="372">
        <f t="shared" si="50"/>
        <v>0</v>
      </c>
      <c r="Z64" s="372">
        <f t="shared" si="50"/>
        <v>0</v>
      </c>
      <c r="AA64" s="372">
        <f t="shared" si="50"/>
        <v>0</v>
      </c>
      <c r="AB64" s="372">
        <f t="shared" si="50"/>
        <v>0</v>
      </c>
      <c r="AC64" s="372">
        <f t="shared" si="50"/>
        <v>0</v>
      </c>
      <c r="AD64" s="372">
        <f t="shared" si="50"/>
        <v>0</v>
      </c>
      <c r="AE64" s="372">
        <f t="shared" si="50"/>
        <v>0</v>
      </c>
      <c r="AF64" s="372">
        <f t="shared" si="50"/>
        <v>0</v>
      </c>
      <c r="AG64" s="372">
        <f t="shared" si="50"/>
        <v>0</v>
      </c>
      <c r="AH64" s="372">
        <f t="shared" si="50"/>
        <v>0</v>
      </c>
      <c r="AI64" s="372">
        <f t="shared" si="50"/>
        <v>0</v>
      </c>
      <c r="AJ64" s="372">
        <f t="shared" si="50"/>
        <v>0</v>
      </c>
      <c r="AK64" s="372">
        <f t="shared" si="50"/>
        <v>0</v>
      </c>
      <c r="AL64" s="372">
        <f t="shared" si="50"/>
        <v>1</v>
      </c>
      <c r="AM64" s="372">
        <f t="shared" si="50"/>
        <v>1</v>
      </c>
      <c r="AP64" s="372">
        <f t="shared" ref="AP64:CK64" si="53">COUNTIFS(AP$11:AP$35,"&gt;"&amp;0,$G$11:$G$35,$D64)+AP56</f>
        <v>1</v>
      </c>
      <c r="AQ64" s="372">
        <f t="shared" si="53"/>
        <v>1</v>
      </c>
      <c r="AR64" s="372">
        <f t="shared" si="53"/>
        <v>1</v>
      </c>
      <c r="AS64" s="372">
        <f t="shared" si="53"/>
        <v>1</v>
      </c>
      <c r="AT64" s="372">
        <f t="shared" si="53"/>
        <v>0</v>
      </c>
      <c r="AU64" s="372">
        <f t="shared" si="53"/>
        <v>0</v>
      </c>
      <c r="AV64" s="372">
        <f t="shared" si="53"/>
        <v>0</v>
      </c>
      <c r="AW64" s="372">
        <f t="shared" si="53"/>
        <v>0</v>
      </c>
      <c r="AX64" s="372">
        <f t="shared" si="53"/>
        <v>0</v>
      </c>
      <c r="AY64" s="372">
        <f t="shared" si="53"/>
        <v>0</v>
      </c>
      <c r="AZ64" s="372">
        <f t="shared" si="53"/>
        <v>0</v>
      </c>
      <c r="BA64" s="372">
        <f t="shared" si="53"/>
        <v>0</v>
      </c>
      <c r="BB64" s="372">
        <f t="shared" si="53"/>
        <v>0</v>
      </c>
      <c r="BC64" s="372">
        <f t="shared" si="53"/>
        <v>0</v>
      </c>
      <c r="BD64" s="372">
        <f t="shared" si="53"/>
        <v>0</v>
      </c>
      <c r="BE64" s="372">
        <f t="shared" si="53"/>
        <v>0</v>
      </c>
      <c r="BF64" s="372">
        <f t="shared" si="53"/>
        <v>0</v>
      </c>
      <c r="BG64" s="372">
        <f t="shared" si="53"/>
        <v>0</v>
      </c>
      <c r="BH64" s="372">
        <f t="shared" si="53"/>
        <v>0</v>
      </c>
      <c r="BI64" s="372">
        <f t="shared" si="53"/>
        <v>0</v>
      </c>
      <c r="BJ64" s="372">
        <f t="shared" si="53"/>
        <v>0</v>
      </c>
      <c r="BK64" s="372">
        <f t="shared" si="53"/>
        <v>0</v>
      </c>
      <c r="BL64" s="372">
        <f t="shared" si="53"/>
        <v>0</v>
      </c>
      <c r="BM64" s="372">
        <f t="shared" si="53"/>
        <v>0</v>
      </c>
      <c r="BN64" s="372">
        <f t="shared" si="53"/>
        <v>0</v>
      </c>
      <c r="BO64" s="372">
        <f t="shared" si="53"/>
        <v>0</v>
      </c>
      <c r="BP64" s="372">
        <f t="shared" si="53"/>
        <v>0</v>
      </c>
      <c r="BQ64" s="372">
        <f t="shared" si="53"/>
        <v>0</v>
      </c>
      <c r="BR64" s="372">
        <f t="shared" si="53"/>
        <v>0</v>
      </c>
      <c r="BS64" s="372">
        <f t="shared" si="53"/>
        <v>0</v>
      </c>
      <c r="BT64" s="372">
        <f t="shared" si="53"/>
        <v>0</v>
      </c>
      <c r="BU64" s="372">
        <f t="shared" si="53"/>
        <v>0</v>
      </c>
      <c r="BV64" s="372">
        <f t="shared" si="53"/>
        <v>0</v>
      </c>
      <c r="BW64" s="372">
        <f t="shared" si="53"/>
        <v>0</v>
      </c>
      <c r="BX64" s="372">
        <f t="shared" si="53"/>
        <v>0</v>
      </c>
      <c r="BY64" s="372">
        <f t="shared" si="53"/>
        <v>0</v>
      </c>
      <c r="BZ64" s="372">
        <f t="shared" si="53"/>
        <v>0</v>
      </c>
      <c r="CA64" s="372">
        <f t="shared" si="53"/>
        <v>0</v>
      </c>
      <c r="CB64" s="372">
        <f t="shared" si="53"/>
        <v>0</v>
      </c>
      <c r="CC64" s="372">
        <f t="shared" si="53"/>
        <v>0</v>
      </c>
      <c r="CD64" s="372">
        <f t="shared" si="53"/>
        <v>0</v>
      </c>
      <c r="CE64" s="372">
        <f t="shared" si="53"/>
        <v>0</v>
      </c>
      <c r="CF64" s="372">
        <f t="shared" si="53"/>
        <v>0</v>
      </c>
      <c r="CG64" s="372">
        <f t="shared" si="53"/>
        <v>1</v>
      </c>
      <c r="CH64" s="372">
        <f t="shared" si="53"/>
        <v>1</v>
      </c>
      <c r="CI64" s="372">
        <f t="shared" si="53"/>
        <v>1</v>
      </c>
      <c r="CJ64" s="372">
        <f t="shared" si="53"/>
        <v>1</v>
      </c>
      <c r="CK64" s="372">
        <f t="shared" si="53"/>
        <v>1</v>
      </c>
    </row>
    <row r="65" spans="2:89" outlineLevel="2">
      <c r="D65" s="383" t="s">
        <v>186</v>
      </c>
      <c r="E65" s="50" t="s">
        <v>187</v>
      </c>
      <c r="F65" s="50" t="s">
        <v>177</v>
      </c>
      <c r="R65" s="372">
        <f t="shared" si="49"/>
        <v>0</v>
      </c>
      <c r="S65" s="372">
        <f t="shared" si="49"/>
        <v>0</v>
      </c>
      <c r="T65" s="372">
        <f t="shared" si="49"/>
        <v>0</v>
      </c>
      <c r="U65" s="372">
        <f t="shared" si="49"/>
        <v>0</v>
      </c>
      <c r="X65" s="372">
        <f t="shared" si="50"/>
        <v>0</v>
      </c>
      <c r="Y65" s="372">
        <f t="shared" si="50"/>
        <v>0</v>
      </c>
      <c r="Z65" s="372">
        <f t="shared" si="50"/>
        <v>0</v>
      </c>
      <c r="AA65" s="372">
        <f t="shared" si="50"/>
        <v>0</v>
      </c>
      <c r="AB65" s="372">
        <f t="shared" si="50"/>
        <v>0</v>
      </c>
      <c r="AC65" s="372">
        <f t="shared" si="50"/>
        <v>0</v>
      </c>
      <c r="AD65" s="372">
        <f t="shared" si="50"/>
        <v>0</v>
      </c>
      <c r="AE65" s="372">
        <f t="shared" si="50"/>
        <v>0</v>
      </c>
      <c r="AF65" s="372">
        <f t="shared" si="50"/>
        <v>0</v>
      </c>
      <c r="AG65" s="372">
        <f t="shared" si="50"/>
        <v>0</v>
      </c>
      <c r="AH65" s="372">
        <f t="shared" si="50"/>
        <v>0</v>
      </c>
      <c r="AI65" s="372">
        <f t="shared" si="50"/>
        <v>0</v>
      </c>
      <c r="AJ65" s="372">
        <f t="shared" si="50"/>
        <v>0</v>
      </c>
      <c r="AK65" s="372">
        <f t="shared" si="50"/>
        <v>0</v>
      </c>
      <c r="AL65" s="372">
        <f t="shared" si="50"/>
        <v>0</v>
      </c>
      <c r="AM65" s="372">
        <f t="shared" si="50"/>
        <v>0</v>
      </c>
      <c r="AP65" s="372">
        <f t="shared" ref="AP65:CK65" si="54">COUNTIFS(AP$11:AP$35,"&gt;"&amp;0,$G$11:$G$35,$D65)+AP57</f>
        <v>0</v>
      </c>
      <c r="AQ65" s="372">
        <f t="shared" si="54"/>
        <v>0</v>
      </c>
      <c r="AR65" s="372">
        <f t="shared" si="54"/>
        <v>0</v>
      </c>
      <c r="AS65" s="372">
        <f t="shared" si="54"/>
        <v>0</v>
      </c>
      <c r="AT65" s="372">
        <f t="shared" si="54"/>
        <v>0</v>
      </c>
      <c r="AU65" s="372">
        <f t="shared" si="54"/>
        <v>0</v>
      </c>
      <c r="AV65" s="372">
        <f t="shared" si="54"/>
        <v>0</v>
      </c>
      <c r="AW65" s="372">
        <f t="shared" si="54"/>
        <v>0</v>
      </c>
      <c r="AX65" s="372">
        <f t="shared" si="54"/>
        <v>0</v>
      </c>
      <c r="AY65" s="372">
        <f t="shared" si="54"/>
        <v>0</v>
      </c>
      <c r="AZ65" s="372">
        <f t="shared" si="54"/>
        <v>0</v>
      </c>
      <c r="BA65" s="372">
        <f t="shared" si="54"/>
        <v>0</v>
      </c>
      <c r="BB65" s="372">
        <f t="shared" si="54"/>
        <v>0</v>
      </c>
      <c r="BC65" s="372">
        <f t="shared" si="54"/>
        <v>0</v>
      </c>
      <c r="BD65" s="372">
        <f t="shared" si="54"/>
        <v>0</v>
      </c>
      <c r="BE65" s="372">
        <f t="shared" si="54"/>
        <v>0</v>
      </c>
      <c r="BF65" s="372">
        <f t="shared" si="54"/>
        <v>0</v>
      </c>
      <c r="BG65" s="372">
        <f t="shared" si="54"/>
        <v>0</v>
      </c>
      <c r="BH65" s="372">
        <f t="shared" si="54"/>
        <v>0</v>
      </c>
      <c r="BI65" s="372">
        <f t="shared" si="54"/>
        <v>0</v>
      </c>
      <c r="BJ65" s="372">
        <f t="shared" si="54"/>
        <v>0</v>
      </c>
      <c r="BK65" s="372">
        <f t="shared" si="54"/>
        <v>0</v>
      </c>
      <c r="BL65" s="372">
        <f t="shared" si="54"/>
        <v>0</v>
      </c>
      <c r="BM65" s="372">
        <f t="shared" si="54"/>
        <v>0</v>
      </c>
      <c r="BN65" s="372">
        <f t="shared" si="54"/>
        <v>0</v>
      </c>
      <c r="BO65" s="372">
        <f t="shared" si="54"/>
        <v>0</v>
      </c>
      <c r="BP65" s="372">
        <f t="shared" si="54"/>
        <v>0</v>
      </c>
      <c r="BQ65" s="372">
        <f t="shared" si="54"/>
        <v>0</v>
      </c>
      <c r="BR65" s="372">
        <f t="shared" si="54"/>
        <v>0</v>
      </c>
      <c r="BS65" s="372">
        <f t="shared" si="54"/>
        <v>0</v>
      </c>
      <c r="BT65" s="372">
        <f t="shared" si="54"/>
        <v>0</v>
      </c>
      <c r="BU65" s="372">
        <f t="shared" si="54"/>
        <v>0</v>
      </c>
      <c r="BV65" s="372">
        <f t="shared" si="54"/>
        <v>0</v>
      </c>
      <c r="BW65" s="372">
        <f t="shared" si="54"/>
        <v>0</v>
      </c>
      <c r="BX65" s="372">
        <f t="shared" si="54"/>
        <v>0</v>
      </c>
      <c r="BY65" s="372">
        <f t="shared" si="54"/>
        <v>0</v>
      </c>
      <c r="BZ65" s="372">
        <f t="shared" si="54"/>
        <v>0</v>
      </c>
      <c r="CA65" s="372">
        <f t="shared" si="54"/>
        <v>0</v>
      </c>
      <c r="CB65" s="372">
        <f t="shared" si="54"/>
        <v>0</v>
      </c>
      <c r="CC65" s="372">
        <f t="shared" si="54"/>
        <v>0</v>
      </c>
      <c r="CD65" s="372">
        <f t="shared" si="54"/>
        <v>0</v>
      </c>
      <c r="CE65" s="372">
        <f t="shared" si="54"/>
        <v>0</v>
      </c>
      <c r="CF65" s="372">
        <f t="shared" si="54"/>
        <v>0</v>
      </c>
      <c r="CG65" s="372">
        <f t="shared" si="54"/>
        <v>0</v>
      </c>
      <c r="CH65" s="372">
        <f t="shared" si="54"/>
        <v>0</v>
      </c>
      <c r="CI65" s="372">
        <f t="shared" si="54"/>
        <v>0</v>
      </c>
      <c r="CJ65" s="372">
        <f t="shared" si="54"/>
        <v>0</v>
      </c>
      <c r="CK65" s="372">
        <f t="shared" si="54"/>
        <v>0</v>
      </c>
    </row>
    <row r="67" spans="2:89" s="51" customFormat="1" ht="24">
      <c r="B67" s="476" t="s">
        <v>403</v>
      </c>
      <c r="C67" s="475"/>
      <c r="D67" s="475"/>
      <c r="E67" s="475"/>
      <c r="F67" s="475"/>
      <c r="G67" s="475"/>
      <c r="H67" s="475"/>
      <c r="I67" s="475"/>
      <c r="J67" s="475"/>
      <c r="K67" s="475"/>
      <c r="L67" s="475"/>
      <c r="M67" s="475"/>
      <c r="N67" s="475"/>
      <c r="O67" s="475"/>
      <c r="R67" s="475"/>
      <c r="S67" s="475"/>
      <c r="T67" s="475"/>
      <c r="U67" s="475"/>
      <c r="X67" s="475"/>
      <c r="Y67" s="475"/>
      <c r="Z67" s="475"/>
      <c r="AA67" s="475"/>
      <c r="AB67" s="475"/>
      <c r="AC67" s="475"/>
      <c r="AD67" s="475"/>
      <c r="AE67" s="475"/>
      <c r="AF67" s="475"/>
      <c r="AG67" s="475"/>
      <c r="AH67" s="475"/>
      <c r="AI67" s="475"/>
      <c r="AJ67" s="475"/>
      <c r="AK67" s="475"/>
      <c r="AL67" s="475"/>
      <c r="AM67" s="475"/>
      <c r="AP67" s="475"/>
      <c r="AQ67" s="475"/>
      <c r="AR67" s="475"/>
      <c r="AS67" s="475"/>
      <c r="AT67" s="475"/>
      <c r="AU67" s="475"/>
      <c r="AV67" s="475"/>
      <c r="AW67" s="475"/>
      <c r="AX67" s="475"/>
      <c r="AY67" s="475"/>
      <c r="AZ67" s="475"/>
      <c r="BA67" s="475"/>
      <c r="BB67" s="475"/>
      <c r="BC67" s="475"/>
      <c r="BD67" s="475"/>
      <c r="BE67" s="475"/>
      <c r="BF67" s="475"/>
      <c r="BG67" s="475"/>
      <c r="BH67" s="475"/>
      <c r="BI67" s="475"/>
      <c r="BJ67" s="475"/>
      <c r="BK67" s="475"/>
      <c r="BL67" s="475"/>
      <c r="BM67" s="475"/>
      <c r="BN67" s="475"/>
      <c r="BO67" s="475"/>
      <c r="BP67" s="475"/>
      <c r="BQ67" s="475"/>
      <c r="BR67" s="475"/>
      <c r="BS67" s="475"/>
      <c r="BT67" s="475"/>
      <c r="BU67" s="475"/>
      <c r="BV67" s="475"/>
      <c r="BW67" s="475"/>
      <c r="BX67" s="475"/>
      <c r="BY67" s="475"/>
      <c r="BZ67" s="475"/>
      <c r="CA67" s="475"/>
      <c r="CB67" s="475"/>
      <c r="CC67" s="475"/>
      <c r="CD67" s="475"/>
      <c r="CE67" s="475"/>
      <c r="CF67" s="475"/>
      <c r="CG67" s="475"/>
      <c r="CH67" s="475"/>
      <c r="CI67" s="475"/>
      <c r="CJ67" s="475"/>
      <c r="CK67" s="475"/>
    </row>
    <row r="68" spans="2:89" outlineLevel="1">
      <c r="C68" s="355" t="s">
        <v>178</v>
      </c>
      <c r="E68" s="357" t="s">
        <v>404</v>
      </c>
      <c r="F68" s="357" t="s">
        <v>350</v>
      </c>
      <c r="G68" s="659" t="s">
        <v>405</v>
      </c>
      <c r="H68" s="659" t="s">
        <v>176</v>
      </c>
      <c r="R68" s="480">
        <f>SUM(R69:R74)</f>
        <v>146900</v>
      </c>
      <c r="S68" s="480">
        <f>SUM(S69:S74)</f>
        <v>288800</v>
      </c>
      <c r="T68" s="480">
        <f>SUM(T69:T74)</f>
        <v>288800</v>
      </c>
      <c r="U68" s="480">
        <f>SUM(U69:U74)</f>
        <v>510518.74999999988</v>
      </c>
      <c r="X68" s="480">
        <f t="shared" ref="X68:AM68" si="55">SUM(X69:X74)</f>
        <v>35475</v>
      </c>
      <c r="Y68" s="480">
        <f t="shared" si="55"/>
        <v>35475</v>
      </c>
      <c r="Z68" s="480">
        <f t="shared" si="55"/>
        <v>35475</v>
      </c>
      <c r="AA68" s="480">
        <f t="shared" si="55"/>
        <v>40475</v>
      </c>
      <c r="AB68" s="480">
        <f t="shared" si="55"/>
        <v>70950</v>
      </c>
      <c r="AC68" s="480">
        <f t="shared" si="55"/>
        <v>70950</v>
      </c>
      <c r="AD68" s="480">
        <f t="shared" si="55"/>
        <v>70950</v>
      </c>
      <c r="AE68" s="480">
        <f t="shared" si="55"/>
        <v>75950</v>
      </c>
      <c r="AF68" s="480">
        <f t="shared" si="55"/>
        <v>70950</v>
      </c>
      <c r="AG68" s="480">
        <f t="shared" si="55"/>
        <v>70950</v>
      </c>
      <c r="AH68" s="480">
        <f t="shared" si="55"/>
        <v>70950</v>
      </c>
      <c r="AI68" s="480">
        <f t="shared" si="55"/>
        <v>75950</v>
      </c>
      <c r="AJ68" s="480">
        <f t="shared" si="55"/>
        <v>70950</v>
      </c>
      <c r="AK68" s="480">
        <f t="shared" si="55"/>
        <v>144856.25</v>
      </c>
      <c r="AL68" s="480">
        <f t="shared" si="55"/>
        <v>144856.25</v>
      </c>
      <c r="AM68" s="480">
        <f t="shared" si="55"/>
        <v>149856.25</v>
      </c>
      <c r="AO68" s="51"/>
      <c r="AP68" s="480">
        <f t="shared" ref="AP68:CK68" si="56">SUM(AP69:AP74)</f>
        <v>11825</v>
      </c>
      <c r="AQ68" s="480">
        <f t="shared" si="56"/>
        <v>11825</v>
      </c>
      <c r="AR68" s="480">
        <f t="shared" si="56"/>
        <v>11825</v>
      </c>
      <c r="AS68" s="480">
        <f t="shared" si="56"/>
        <v>11825</v>
      </c>
      <c r="AT68" s="480">
        <f t="shared" si="56"/>
        <v>11825</v>
      </c>
      <c r="AU68" s="480">
        <f t="shared" si="56"/>
        <v>11825</v>
      </c>
      <c r="AV68" s="480">
        <f t="shared" si="56"/>
        <v>11825</v>
      </c>
      <c r="AW68" s="480">
        <f t="shared" si="56"/>
        <v>11825</v>
      </c>
      <c r="AX68" s="480">
        <f t="shared" si="56"/>
        <v>11825</v>
      </c>
      <c r="AY68" s="480">
        <f t="shared" si="56"/>
        <v>11825</v>
      </c>
      <c r="AZ68" s="480">
        <f t="shared" si="56"/>
        <v>11825</v>
      </c>
      <c r="BA68" s="480">
        <f t="shared" si="56"/>
        <v>16825</v>
      </c>
      <c r="BB68" s="480">
        <f t="shared" si="56"/>
        <v>23650</v>
      </c>
      <c r="BC68" s="480">
        <f t="shared" si="56"/>
        <v>23650</v>
      </c>
      <c r="BD68" s="480">
        <f t="shared" si="56"/>
        <v>23650</v>
      </c>
      <c r="BE68" s="480">
        <f t="shared" si="56"/>
        <v>23650</v>
      </c>
      <c r="BF68" s="480">
        <f t="shared" si="56"/>
        <v>23650</v>
      </c>
      <c r="BG68" s="480">
        <f t="shared" si="56"/>
        <v>23650</v>
      </c>
      <c r="BH68" s="480">
        <f t="shared" si="56"/>
        <v>23650</v>
      </c>
      <c r="BI68" s="480">
        <f t="shared" si="56"/>
        <v>23650</v>
      </c>
      <c r="BJ68" s="480">
        <f t="shared" si="56"/>
        <v>23650</v>
      </c>
      <c r="BK68" s="480">
        <f t="shared" si="56"/>
        <v>23650</v>
      </c>
      <c r="BL68" s="480">
        <f t="shared" si="56"/>
        <v>23650</v>
      </c>
      <c r="BM68" s="480">
        <f t="shared" si="56"/>
        <v>28650</v>
      </c>
      <c r="BN68" s="480">
        <f t="shared" si="56"/>
        <v>23650</v>
      </c>
      <c r="BO68" s="480">
        <f t="shared" si="56"/>
        <v>23650</v>
      </c>
      <c r="BP68" s="480">
        <f t="shared" si="56"/>
        <v>23650</v>
      </c>
      <c r="BQ68" s="480">
        <f t="shared" si="56"/>
        <v>23650</v>
      </c>
      <c r="BR68" s="480">
        <f t="shared" si="56"/>
        <v>23650</v>
      </c>
      <c r="BS68" s="480">
        <f t="shared" si="56"/>
        <v>23650</v>
      </c>
      <c r="BT68" s="480">
        <f t="shared" si="56"/>
        <v>23650</v>
      </c>
      <c r="BU68" s="480">
        <f t="shared" si="56"/>
        <v>23650</v>
      </c>
      <c r="BV68" s="480">
        <f t="shared" si="56"/>
        <v>23650</v>
      </c>
      <c r="BW68" s="480">
        <f t="shared" si="56"/>
        <v>23650</v>
      </c>
      <c r="BX68" s="480">
        <f t="shared" si="56"/>
        <v>23650</v>
      </c>
      <c r="BY68" s="480">
        <f t="shared" si="56"/>
        <v>28650</v>
      </c>
      <c r="BZ68" s="480">
        <f t="shared" si="56"/>
        <v>23650</v>
      </c>
      <c r="CA68" s="480">
        <f t="shared" si="56"/>
        <v>23650</v>
      </c>
      <c r="CB68" s="480">
        <f t="shared" si="56"/>
        <v>23650</v>
      </c>
      <c r="CC68" s="480">
        <f t="shared" si="56"/>
        <v>48285.416666666664</v>
      </c>
      <c r="CD68" s="480">
        <f t="shared" si="56"/>
        <v>48285.416666666664</v>
      </c>
      <c r="CE68" s="480">
        <f t="shared" si="56"/>
        <v>48285.416666666664</v>
      </c>
      <c r="CF68" s="480">
        <f t="shared" si="56"/>
        <v>48285.416666666664</v>
      </c>
      <c r="CG68" s="480">
        <f t="shared" si="56"/>
        <v>48285.416666666664</v>
      </c>
      <c r="CH68" s="480">
        <f t="shared" si="56"/>
        <v>48285.416666666664</v>
      </c>
      <c r="CI68" s="480">
        <f t="shared" si="56"/>
        <v>48285.416666666664</v>
      </c>
      <c r="CJ68" s="480">
        <f t="shared" si="56"/>
        <v>48285.416666666664</v>
      </c>
      <c r="CK68" s="480">
        <f t="shared" si="56"/>
        <v>53285.416666666664</v>
      </c>
    </row>
    <row r="69" spans="2:89" outlineLevel="2">
      <c r="D69" s="383" t="s">
        <v>406</v>
      </c>
      <c r="E69" s="50" t="s">
        <v>179</v>
      </c>
      <c r="F69" s="383" t="s">
        <v>190</v>
      </c>
      <c r="G69" s="50" t="str" cm="1">
        <f t="array" ref="G69">INDEX(PBC_ACCOUNT_LIST[Name],_xlfn.XMATCH(H69,PBC_ACCOUNT_LIST[Id]))</f>
        <v>Salary &amp; Wages</v>
      </c>
      <c r="H69" s="544">
        <v>178</v>
      </c>
      <c r="R69" s="372">
        <f t="shared" ref="R69:U74" si="57">SUMIFS($AP69:$CK69,$AP$4:$CK$4,"&gt;="&amp;R$4,$AP$5:$CK$5,"&lt;="&amp;R$5)</f>
        <v>120000</v>
      </c>
      <c r="S69" s="372">
        <f t="shared" si="57"/>
        <v>240000</v>
      </c>
      <c r="T69" s="372">
        <f t="shared" si="57"/>
        <v>240000</v>
      </c>
      <c r="U69" s="372">
        <f t="shared" si="57"/>
        <v>427499.99999999988</v>
      </c>
      <c r="X69" s="372">
        <f t="shared" ref="X69:AM74" si="58">SUMIFS($AP69:$CK69,$AP$4:$CK$4,"&gt;="&amp;X$4,$AP$5:$CK$5,"&lt;="&amp;X$5)</f>
        <v>30000</v>
      </c>
      <c r="Y69" s="372">
        <f t="shared" si="58"/>
        <v>30000</v>
      </c>
      <c r="Z69" s="372">
        <f t="shared" si="58"/>
        <v>30000</v>
      </c>
      <c r="AA69" s="372">
        <f t="shared" si="58"/>
        <v>30000</v>
      </c>
      <c r="AB69" s="372">
        <f t="shared" si="58"/>
        <v>60000</v>
      </c>
      <c r="AC69" s="372">
        <f t="shared" si="58"/>
        <v>60000</v>
      </c>
      <c r="AD69" s="372">
        <f t="shared" si="58"/>
        <v>60000</v>
      </c>
      <c r="AE69" s="372">
        <f t="shared" si="58"/>
        <v>60000</v>
      </c>
      <c r="AF69" s="372">
        <f t="shared" si="58"/>
        <v>60000</v>
      </c>
      <c r="AG69" s="372">
        <f t="shared" si="58"/>
        <v>60000</v>
      </c>
      <c r="AH69" s="372">
        <f t="shared" si="58"/>
        <v>60000</v>
      </c>
      <c r="AI69" s="372">
        <f t="shared" si="58"/>
        <v>60000</v>
      </c>
      <c r="AJ69" s="372">
        <f t="shared" si="58"/>
        <v>60000</v>
      </c>
      <c r="AK69" s="372">
        <f t="shared" si="58"/>
        <v>122499.99999999999</v>
      </c>
      <c r="AL69" s="372">
        <f t="shared" si="58"/>
        <v>122499.99999999999</v>
      </c>
      <c r="AM69" s="372">
        <f t="shared" si="58"/>
        <v>122499.99999999999</v>
      </c>
      <c r="AP69" s="372">
        <f t="shared" ref="AP69:CK69" si="59">SUMIFS(AP$11:AP$35,$G$11:$G$35,$C68,$O$11:$O$35,"FTE")+(AP39*AP53)</f>
        <v>10000</v>
      </c>
      <c r="AQ69" s="372">
        <f t="shared" si="59"/>
        <v>10000</v>
      </c>
      <c r="AR69" s="372">
        <f t="shared" si="59"/>
        <v>10000</v>
      </c>
      <c r="AS69" s="372">
        <f t="shared" si="59"/>
        <v>10000</v>
      </c>
      <c r="AT69" s="372">
        <f t="shared" si="59"/>
        <v>10000</v>
      </c>
      <c r="AU69" s="372">
        <f t="shared" si="59"/>
        <v>10000</v>
      </c>
      <c r="AV69" s="372">
        <f t="shared" si="59"/>
        <v>10000</v>
      </c>
      <c r="AW69" s="372">
        <f t="shared" si="59"/>
        <v>10000</v>
      </c>
      <c r="AX69" s="372">
        <f t="shared" si="59"/>
        <v>10000</v>
      </c>
      <c r="AY69" s="372">
        <f t="shared" si="59"/>
        <v>10000</v>
      </c>
      <c r="AZ69" s="372">
        <f t="shared" si="59"/>
        <v>10000</v>
      </c>
      <c r="BA69" s="372">
        <f t="shared" si="59"/>
        <v>10000</v>
      </c>
      <c r="BB69" s="372">
        <f t="shared" si="59"/>
        <v>20000</v>
      </c>
      <c r="BC69" s="372">
        <f t="shared" si="59"/>
        <v>20000</v>
      </c>
      <c r="BD69" s="372">
        <f t="shared" si="59"/>
        <v>20000</v>
      </c>
      <c r="BE69" s="372">
        <f t="shared" si="59"/>
        <v>20000</v>
      </c>
      <c r="BF69" s="372">
        <f t="shared" si="59"/>
        <v>20000</v>
      </c>
      <c r="BG69" s="372">
        <f t="shared" si="59"/>
        <v>20000</v>
      </c>
      <c r="BH69" s="372">
        <f t="shared" si="59"/>
        <v>20000</v>
      </c>
      <c r="BI69" s="372">
        <f t="shared" si="59"/>
        <v>20000</v>
      </c>
      <c r="BJ69" s="372">
        <f t="shared" si="59"/>
        <v>20000</v>
      </c>
      <c r="BK69" s="372">
        <f t="shared" si="59"/>
        <v>20000</v>
      </c>
      <c r="BL69" s="372">
        <f t="shared" si="59"/>
        <v>20000</v>
      </c>
      <c r="BM69" s="372">
        <f t="shared" si="59"/>
        <v>20000</v>
      </c>
      <c r="BN69" s="372">
        <f t="shared" si="59"/>
        <v>20000</v>
      </c>
      <c r="BO69" s="372">
        <f t="shared" si="59"/>
        <v>20000</v>
      </c>
      <c r="BP69" s="372">
        <f t="shared" si="59"/>
        <v>20000</v>
      </c>
      <c r="BQ69" s="372">
        <f t="shared" si="59"/>
        <v>20000</v>
      </c>
      <c r="BR69" s="372">
        <f t="shared" si="59"/>
        <v>20000</v>
      </c>
      <c r="BS69" s="372">
        <f t="shared" si="59"/>
        <v>20000</v>
      </c>
      <c r="BT69" s="372">
        <f t="shared" si="59"/>
        <v>20000</v>
      </c>
      <c r="BU69" s="372">
        <f t="shared" si="59"/>
        <v>20000</v>
      </c>
      <c r="BV69" s="372">
        <f t="shared" si="59"/>
        <v>20000</v>
      </c>
      <c r="BW69" s="372">
        <f t="shared" si="59"/>
        <v>20000</v>
      </c>
      <c r="BX69" s="372">
        <f t="shared" si="59"/>
        <v>20000</v>
      </c>
      <c r="BY69" s="372">
        <f t="shared" si="59"/>
        <v>20000</v>
      </c>
      <c r="BZ69" s="372">
        <f t="shared" si="59"/>
        <v>20000</v>
      </c>
      <c r="CA69" s="372">
        <f t="shared" si="59"/>
        <v>20000</v>
      </c>
      <c r="CB69" s="372">
        <f t="shared" si="59"/>
        <v>20000</v>
      </c>
      <c r="CC69" s="372">
        <f t="shared" si="59"/>
        <v>40833.333333333328</v>
      </c>
      <c r="CD69" s="372">
        <f t="shared" si="59"/>
        <v>40833.333333333328</v>
      </c>
      <c r="CE69" s="372">
        <f t="shared" si="59"/>
        <v>40833.333333333328</v>
      </c>
      <c r="CF69" s="372">
        <f t="shared" si="59"/>
        <v>40833.333333333328</v>
      </c>
      <c r="CG69" s="372">
        <f t="shared" si="59"/>
        <v>40833.333333333328</v>
      </c>
      <c r="CH69" s="372">
        <f t="shared" si="59"/>
        <v>40833.333333333328</v>
      </c>
      <c r="CI69" s="372">
        <f t="shared" si="59"/>
        <v>40833.333333333328</v>
      </c>
      <c r="CJ69" s="372">
        <f t="shared" si="59"/>
        <v>40833.333333333328</v>
      </c>
      <c r="CK69" s="372">
        <f t="shared" si="59"/>
        <v>40833.333333333328</v>
      </c>
    </row>
    <row r="70" spans="2:89" outlineLevel="2">
      <c r="D70" s="383" t="s">
        <v>191</v>
      </c>
      <c r="E70" s="50" t="s">
        <v>179</v>
      </c>
      <c r="F70" s="383" t="s">
        <v>192</v>
      </c>
      <c r="G70" s="50" t="str" cm="1">
        <f t="array" ref="G70">INDEX(PBC_ACCOUNT_LIST[Name],_xlfn.XMATCH(H70,PBC_ACCOUNT_LIST[Id]))</f>
        <v>Contractors</v>
      </c>
      <c r="H70" s="544">
        <v>177</v>
      </c>
      <c r="R70" s="372">
        <f t="shared" si="57"/>
        <v>0</v>
      </c>
      <c r="S70" s="372">
        <f t="shared" si="57"/>
        <v>0</v>
      </c>
      <c r="T70" s="372">
        <f t="shared" si="57"/>
        <v>0</v>
      </c>
      <c r="U70" s="372">
        <f t="shared" si="57"/>
        <v>0</v>
      </c>
      <c r="X70" s="372">
        <f t="shared" si="58"/>
        <v>0</v>
      </c>
      <c r="Y70" s="372">
        <f t="shared" si="58"/>
        <v>0</v>
      </c>
      <c r="Z70" s="372">
        <f t="shared" si="58"/>
        <v>0</v>
      </c>
      <c r="AA70" s="372">
        <f t="shared" si="58"/>
        <v>0</v>
      </c>
      <c r="AB70" s="372">
        <f t="shared" si="58"/>
        <v>0</v>
      </c>
      <c r="AC70" s="372">
        <f t="shared" si="58"/>
        <v>0</v>
      </c>
      <c r="AD70" s="372">
        <f t="shared" si="58"/>
        <v>0</v>
      </c>
      <c r="AE70" s="372">
        <f t="shared" si="58"/>
        <v>0</v>
      </c>
      <c r="AF70" s="372">
        <f t="shared" si="58"/>
        <v>0</v>
      </c>
      <c r="AG70" s="372">
        <f t="shared" si="58"/>
        <v>0</v>
      </c>
      <c r="AH70" s="372">
        <f t="shared" si="58"/>
        <v>0</v>
      </c>
      <c r="AI70" s="372">
        <f t="shared" si="58"/>
        <v>0</v>
      </c>
      <c r="AJ70" s="372">
        <f t="shared" si="58"/>
        <v>0</v>
      </c>
      <c r="AK70" s="372">
        <f t="shared" si="58"/>
        <v>0</v>
      </c>
      <c r="AL70" s="372">
        <f t="shared" si="58"/>
        <v>0</v>
      </c>
      <c r="AM70" s="372">
        <f t="shared" si="58"/>
        <v>0</v>
      </c>
      <c r="AP70" s="372">
        <f t="shared" ref="AP70:CK70" si="60">SUMIFS(AP$11:AP$35,$G$11:$G$35,$C68,$O$11:$O$35,"consultant")</f>
        <v>0</v>
      </c>
      <c r="AQ70" s="372">
        <f t="shared" si="60"/>
        <v>0</v>
      </c>
      <c r="AR70" s="372">
        <f t="shared" si="60"/>
        <v>0</v>
      </c>
      <c r="AS70" s="372">
        <f t="shared" si="60"/>
        <v>0</v>
      </c>
      <c r="AT70" s="372">
        <f t="shared" si="60"/>
        <v>0</v>
      </c>
      <c r="AU70" s="372">
        <f t="shared" si="60"/>
        <v>0</v>
      </c>
      <c r="AV70" s="372">
        <f t="shared" si="60"/>
        <v>0</v>
      </c>
      <c r="AW70" s="372">
        <f t="shared" si="60"/>
        <v>0</v>
      </c>
      <c r="AX70" s="372">
        <f t="shared" si="60"/>
        <v>0</v>
      </c>
      <c r="AY70" s="372">
        <f t="shared" si="60"/>
        <v>0</v>
      </c>
      <c r="AZ70" s="372">
        <f t="shared" si="60"/>
        <v>0</v>
      </c>
      <c r="BA70" s="372">
        <f t="shared" si="60"/>
        <v>0</v>
      </c>
      <c r="BB70" s="372">
        <f t="shared" si="60"/>
        <v>0</v>
      </c>
      <c r="BC70" s="372">
        <f t="shared" si="60"/>
        <v>0</v>
      </c>
      <c r="BD70" s="372">
        <f t="shared" si="60"/>
        <v>0</v>
      </c>
      <c r="BE70" s="372">
        <f t="shared" si="60"/>
        <v>0</v>
      </c>
      <c r="BF70" s="372">
        <f t="shared" si="60"/>
        <v>0</v>
      </c>
      <c r="BG70" s="372">
        <f t="shared" si="60"/>
        <v>0</v>
      </c>
      <c r="BH70" s="372">
        <f t="shared" si="60"/>
        <v>0</v>
      </c>
      <c r="BI70" s="372">
        <f t="shared" si="60"/>
        <v>0</v>
      </c>
      <c r="BJ70" s="372">
        <f t="shared" si="60"/>
        <v>0</v>
      </c>
      <c r="BK70" s="372">
        <f t="shared" si="60"/>
        <v>0</v>
      </c>
      <c r="BL70" s="372">
        <f t="shared" si="60"/>
        <v>0</v>
      </c>
      <c r="BM70" s="372">
        <f t="shared" si="60"/>
        <v>0</v>
      </c>
      <c r="BN70" s="372">
        <f t="shared" si="60"/>
        <v>0</v>
      </c>
      <c r="BO70" s="372">
        <f t="shared" si="60"/>
        <v>0</v>
      </c>
      <c r="BP70" s="372">
        <f t="shared" si="60"/>
        <v>0</v>
      </c>
      <c r="BQ70" s="372">
        <f t="shared" si="60"/>
        <v>0</v>
      </c>
      <c r="BR70" s="372">
        <f t="shared" si="60"/>
        <v>0</v>
      </c>
      <c r="BS70" s="372">
        <f t="shared" si="60"/>
        <v>0</v>
      </c>
      <c r="BT70" s="372">
        <f t="shared" si="60"/>
        <v>0</v>
      </c>
      <c r="BU70" s="372">
        <f t="shared" si="60"/>
        <v>0</v>
      </c>
      <c r="BV70" s="372">
        <f t="shared" si="60"/>
        <v>0</v>
      </c>
      <c r="BW70" s="372">
        <f t="shared" si="60"/>
        <v>0</v>
      </c>
      <c r="BX70" s="372">
        <f t="shared" si="60"/>
        <v>0</v>
      </c>
      <c r="BY70" s="372">
        <f t="shared" si="60"/>
        <v>0</v>
      </c>
      <c r="BZ70" s="372">
        <f t="shared" si="60"/>
        <v>0</v>
      </c>
      <c r="CA70" s="372">
        <f t="shared" si="60"/>
        <v>0</v>
      </c>
      <c r="CB70" s="372">
        <f t="shared" si="60"/>
        <v>0</v>
      </c>
      <c r="CC70" s="372">
        <f t="shared" si="60"/>
        <v>0</v>
      </c>
      <c r="CD70" s="372">
        <f t="shared" si="60"/>
        <v>0</v>
      </c>
      <c r="CE70" s="372">
        <f t="shared" si="60"/>
        <v>0</v>
      </c>
      <c r="CF70" s="372">
        <f t="shared" si="60"/>
        <v>0</v>
      </c>
      <c r="CG70" s="372">
        <f t="shared" si="60"/>
        <v>0</v>
      </c>
      <c r="CH70" s="372">
        <f t="shared" si="60"/>
        <v>0</v>
      </c>
      <c r="CI70" s="372">
        <f t="shared" si="60"/>
        <v>0</v>
      </c>
      <c r="CJ70" s="372">
        <f t="shared" si="60"/>
        <v>0</v>
      </c>
      <c r="CK70" s="372">
        <f t="shared" si="60"/>
        <v>0</v>
      </c>
    </row>
    <row r="71" spans="2:89" outlineLevel="2">
      <c r="D71" s="383" t="s">
        <v>193</v>
      </c>
      <c r="E71" s="50" t="s">
        <v>179</v>
      </c>
      <c r="F71" s="383" t="s">
        <v>194</v>
      </c>
      <c r="G71" s="50" t="str" cm="1">
        <f t="array" ref="G71">INDEX(PBC_ACCOUNT_LIST[Name],_xlfn.XMATCH(H71,PBC_ACCOUNT_LIST[Id]))</f>
        <v>Payroll Taxes</v>
      </c>
      <c r="H71" s="544">
        <v>179</v>
      </c>
      <c r="R71" s="372">
        <f t="shared" si="57"/>
        <v>9600</v>
      </c>
      <c r="S71" s="372">
        <f t="shared" si="57"/>
        <v>19200</v>
      </c>
      <c r="T71" s="372">
        <f t="shared" si="57"/>
        <v>19200</v>
      </c>
      <c r="U71" s="372">
        <f t="shared" si="57"/>
        <v>34200</v>
      </c>
      <c r="X71" s="372">
        <f t="shared" si="58"/>
        <v>2400</v>
      </c>
      <c r="Y71" s="372">
        <f t="shared" si="58"/>
        <v>2400</v>
      </c>
      <c r="Z71" s="372">
        <f t="shared" si="58"/>
        <v>2400</v>
      </c>
      <c r="AA71" s="372">
        <f t="shared" si="58"/>
        <v>2400</v>
      </c>
      <c r="AB71" s="372">
        <f t="shared" si="58"/>
        <v>4800</v>
      </c>
      <c r="AC71" s="372">
        <f t="shared" si="58"/>
        <v>4800</v>
      </c>
      <c r="AD71" s="372">
        <f t="shared" si="58"/>
        <v>4800</v>
      </c>
      <c r="AE71" s="372">
        <f t="shared" si="58"/>
        <v>4800</v>
      </c>
      <c r="AF71" s="372">
        <f t="shared" si="58"/>
        <v>4800</v>
      </c>
      <c r="AG71" s="372">
        <f t="shared" si="58"/>
        <v>4800</v>
      </c>
      <c r="AH71" s="372">
        <f t="shared" si="58"/>
        <v>4800</v>
      </c>
      <c r="AI71" s="372">
        <f t="shared" si="58"/>
        <v>4800</v>
      </c>
      <c r="AJ71" s="372">
        <f t="shared" si="58"/>
        <v>4800</v>
      </c>
      <c r="AK71" s="372">
        <f t="shared" si="58"/>
        <v>9800</v>
      </c>
      <c r="AL71" s="372">
        <f t="shared" si="58"/>
        <v>9800</v>
      </c>
      <c r="AM71" s="372">
        <f t="shared" si="58"/>
        <v>9800</v>
      </c>
      <c r="AP71" s="433" cm="1">
        <f t="array" ref="AP71">AP69*Payroll_tax</f>
        <v>800</v>
      </c>
      <c r="AQ71" s="433">
        <f t="shared" ref="AQ71:CK71" si="61">AQ69*Payroll_tax</f>
        <v>800</v>
      </c>
      <c r="AR71" s="433">
        <f t="shared" si="61"/>
        <v>800</v>
      </c>
      <c r="AS71" s="433">
        <f t="shared" si="61"/>
        <v>800</v>
      </c>
      <c r="AT71" s="433">
        <f t="shared" si="61"/>
        <v>800</v>
      </c>
      <c r="AU71" s="433">
        <f t="shared" si="61"/>
        <v>800</v>
      </c>
      <c r="AV71" s="433">
        <f t="shared" si="61"/>
        <v>800</v>
      </c>
      <c r="AW71" s="433">
        <f t="shared" si="61"/>
        <v>800</v>
      </c>
      <c r="AX71" s="433">
        <f t="shared" si="61"/>
        <v>800</v>
      </c>
      <c r="AY71" s="433">
        <f t="shared" si="61"/>
        <v>800</v>
      </c>
      <c r="AZ71" s="433">
        <f t="shared" si="61"/>
        <v>800</v>
      </c>
      <c r="BA71" s="433">
        <f t="shared" si="61"/>
        <v>800</v>
      </c>
      <c r="BB71" s="433">
        <f t="shared" si="61"/>
        <v>1600</v>
      </c>
      <c r="BC71" s="433">
        <f t="shared" si="61"/>
        <v>1600</v>
      </c>
      <c r="BD71" s="433">
        <f t="shared" si="61"/>
        <v>1600</v>
      </c>
      <c r="BE71" s="433">
        <f t="shared" si="61"/>
        <v>1600</v>
      </c>
      <c r="BF71" s="433">
        <f t="shared" si="61"/>
        <v>1600</v>
      </c>
      <c r="BG71" s="433">
        <f t="shared" si="61"/>
        <v>1600</v>
      </c>
      <c r="BH71" s="433">
        <f t="shared" si="61"/>
        <v>1600</v>
      </c>
      <c r="BI71" s="433">
        <f t="shared" si="61"/>
        <v>1600</v>
      </c>
      <c r="BJ71" s="433">
        <f t="shared" si="61"/>
        <v>1600</v>
      </c>
      <c r="BK71" s="433">
        <f t="shared" si="61"/>
        <v>1600</v>
      </c>
      <c r="BL71" s="433">
        <f t="shared" si="61"/>
        <v>1600</v>
      </c>
      <c r="BM71" s="433">
        <f t="shared" si="61"/>
        <v>1600</v>
      </c>
      <c r="BN71" s="433">
        <f t="shared" si="61"/>
        <v>1600</v>
      </c>
      <c r="BO71" s="433">
        <f t="shared" si="61"/>
        <v>1600</v>
      </c>
      <c r="BP71" s="433">
        <f t="shared" si="61"/>
        <v>1600</v>
      </c>
      <c r="BQ71" s="433">
        <f t="shared" si="61"/>
        <v>1600</v>
      </c>
      <c r="BR71" s="433">
        <f t="shared" si="61"/>
        <v>1600</v>
      </c>
      <c r="BS71" s="433">
        <f t="shared" si="61"/>
        <v>1600</v>
      </c>
      <c r="BT71" s="433">
        <f t="shared" si="61"/>
        <v>1600</v>
      </c>
      <c r="BU71" s="433">
        <f t="shared" si="61"/>
        <v>1600</v>
      </c>
      <c r="BV71" s="433">
        <f t="shared" si="61"/>
        <v>1600</v>
      </c>
      <c r="BW71" s="433">
        <f t="shared" si="61"/>
        <v>1600</v>
      </c>
      <c r="BX71" s="433">
        <f t="shared" si="61"/>
        <v>1600</v>
      </c>
      <c r="BY71" s="433">
        <f t="shared" si="61"/>
        <v>1600</v>
      </c>
      <c r="BZ71" s="433">
        <f t="shared" si="61"/>
        <v>1600</v>
      </c>
      <c r="CA71" s="433">
        <f t="shared" si="61"/>
        <v>1600</v>
      </c>
      <c r="CB71" s="433">
        <f t="shared" si="61"/>
        <v>1600</v>
      </c>
      <c r="CC71" s="433">
        <f t="shared" si="61"/>
        <v>3266.6666666666665</v>
      </c>
      <c r="CD71" s="433">
        <f t="shared" si="61"/>
        <v>3266.6666666666665</v>
      </c>
      <c r="CE71" s="433">
        <f t="shared" si="61"/>
        <v>3266.6666666666665</v>
      </c>
      <c r="CF71" s="433">
        <f t="shared" si="61"/>
        <v>3266.6666666666665</v>
      </c>
      <c r="CG71" s="433">
        <f t="shared" si="61"/>
        <v>3266.6666666666665</v>
      </c>
      <c r="CH71" s="433">
        <f t="shared" si="61"/>
        <v>3266.6666666666665</v>
      </c>
      <c r="CI71" s="433">
        <f t="shared" si="61"/>
        <v>3266.6666666666665</v>
      </c>
      <c r="CJ71" s="433">
        <f t="shared" si="61"/>
        <v>3266.6666666666665</v>
      </c>
      <c r="CK71" s="433">
        <f t="shared" si="61"/>
        <v>3266.6666666666665</v>
      </c>
    </row>
    <row r="72" spans="2:89" outlineLevel="2">
      <c r="D72" s="383" t="s">
        <v>195</v>
      </c>
      <c r="E72" s="50" t="s">
        <v>179</v>
      </c>
      <c r="F72" s="383" t="s">
        <v>196</v>
      </c>
      <c r="G72" s="50" t="str" cm="1">
        <f t="array" ref="G72">INDEX(PBC_ACCOUNT_LIST[Name],_xlfn.XMATCH(H72,PBC_ACCOUNT_LIST[Id]))</f>
        <v>Health Insurance</v>
      </c>
      <c r="H72" s="544">
        <v>180</v>
      </c>
      <c r="R72" s="372">
        <f t="shared" si="57"/>
        <v>12000</v>
      </c>
      <c r="S72" s="372">
        <f t="shared" si="57"/>
        <v>24000</v>
      </c>
      <c r="T72" s="372">
        <f t="shared" si="57"/>
        <v>24000</v>
      </c>
      <c r="U72" s="372">
        <f t="shared" si="57"/>
        <v>42750</v>
      </c>
      <c r="X72" s="372">
        <f t="shared" si="58"/>
        <v>3000</v>
      </c>
      <c r="Y72" s="372">
        <f t="shared" si="58"/>
        <v>3000</v>
      </c>
      <c r="Z72" s="372">
        <f t="shared" si="58"/>
        <v>3000</v>
      </c>
      <c r="AA72" s="372">
        <f t="shared" si="58"/>
        <v>3000</v>
      </c>
      <c r="AB72" s="372">
        <f t="shared" si="58"/>
        <v>6000</v>
      </c>
      <c r="AC72" s="372">
        <f t="shared" si="58"/>
        <v>6000</v>
      </c>
      <c r="AD72" s="372">
        <f t="shared" si="58"/>
        <v>6000</v>
      </c>
      <c r="AE72" s="372">
        <f t="shared" si="58"/>
        <v>6000</v>
      </c>
      <c r="AF72" s="372">
        <f t="shared" si="58"/>
        <v>6000</v>
      </c>
      <c r="AG72" s="372">
        <f t="shared" si="58"/>
        <v>6000</v>
      </c>
      <c r="AH72" s="372">
        <f t="shared" si="58"/>
        <v>6000</v>
      </c>
      <c r="AI72" s="372">
        <f t="shared" si="58"/>
        <v>6000</v>
      </c>
      <c r="AJ72" s="372">
        <f t="shared" si="58"/>
        <v>6000</v>
      </c>
      <c r="AK72" s="372">
        <f t="shared" si="58"/>
        <v>12250</v>
      </c>
      <c r="AL72" s="372">
        <f t="shared" si="58"/>
        <v>12250</v>
      </c>
      <c r="AM72" s="372">
        <f t="shared" si="58"/>
        <v>12250</v>
      </c>
      <c r="AP72" s="433">
        <f t="shared" ref="AP72:CK72" si="62">AP69*Health_Benefits</f>
        <v>1000</v>
      </c>
      <c r="AQ72" s="433">
        <f t="shared" si="62"/>
        <v>1000</v>
      </c>
      <c r="AR72" s="433">
        <f t="shared" si="62"/>
        <v>1000</v>
      </c>
      <c r="AS72" s="433">
        <f t="shared" si="62"/>
        <v>1000</v>
      </c>
      <c r="AT72" s="433">
        <f t="shared" si="62"/>
        <v>1000</v>
      </c>
      <c r="AU72" s="433">
        <f t="shared" si="62"/>
        <v>1000</v>
      </c>
      <c r="AV72" s="433">
        <f t="shared" si="62"/>
        <v>1000</v>
      </c>
      <c r="AW72" s="433">
        <f t="shared" si="62"/>
        <v>1000</v>
      </c>
      <c r="AX72" s="433">
        <f t="shared" si="62"/>
        <v>1000</v>
      </c>
      <c r="AY72" s="433">
        <f t="shared" si="62"/>
        <v>1000</v>
      </c>
      <c r="AZ72" s="433">
        <f t="shared" si="62"/>
        <v>1000</v>
      </c>
      <c r="BA72" s="433">
        <f t="shared" si="62"/>
        <v>1000</v>
      </c>
      <c r="BB72" s="433">
        <f t="shared" si="62"/>
        <v>2000</v>
      </c>
      <c r="BC72" s="433">
        <f t="shared" si="62"/>
        <v>2000</v>
      </c>
      <c r="BD72" s="433">
        <f t="shared" si="62"/>
        <v>2000</v>
      </c>
      <c r="BE72" s="433">
        <f t="shared" si="62"/>
        <v>2000</v>
      </c>
      <c r="BF72" s="433">
        <f t="shared" si="62"/>
        <v>2000</v>
      </c>
      <c r="BG72" s="433">
        <f t="shared" si="62"/>
        <v>2000</v>
      </c>
      <c r="BH72" s="433">
        <f t="shared" si="62"/>
        <v>2000</v>
      </c>
      <c r="BI72" s="433">
        <f t="shared" si="62"/>
        <v>2000</v>
      </c>
      <c r="BJ72" s="433">
        <f t="shared" si="62"/>
        <v>2000</v>
      </c>
      <c r="BK72" s="433">
        <f t="shared" si="62"/>
        <v>2000</v>
      </c>
      <c r="BL72" s="433">
        <f t="shared" si="62"/>
        <v>2000</v>
      </c>
      <c r="BM72" s="433">
        <f t="shared" si="62"/>
        <v>2000</v>
      </c>
      <c r="BN72" s="433">
        <f t="shared" si="62"/>
        <v>2000</v>
      </c>
      <c r="BO72" s="433">
        <f t="shared" si="62"/>
        <v>2000</v>
      </c>
      <c r="BP72" s="433">
        <f t="shared" si="62"/>
        <v>2000</v>
      </c>
      <c r="BQ72" s="433">
        <f t="shared" si="62"/>
        <v>2000</v>
      </c>
      <c r="BR72" s="433">
        <f t="shared" si="62"/>
        <v>2000</v>
      </c>
      <c r="BS72" s="433">
        <f t="shared" si="62"/>
        <v>2000</v>
      </c>
      <c r="BT72" s="433">
        <f t="shared" si="62"/>
        <v>2000</v>
      </c>
      <c r="BU72" s="433">
        <f t="shared" si="62"/>
        <v>2000</v>
      </c>
      <c r="BV72" s="433">
        <f t="shared" si="62"/>
        <v>2000</v>
      </c>
      <c r="BW72" s="433">
        <f t="shared" si="62"/>
        <v>2000</v>
      </c>
      <c r="BX72" s="433">
        <f t="shared" si="62"/>
        <v>2000</v>
      </c>
      <c r="BY72" s="433">
        <f t="shared" si="62"/>
        <v>2000</v>
      </c>
      <c r="BZ72" s="433">
        <f t="shared" si="62"/>
        <v>2000</v>
      </c>
      <c r="CA72" s="433">
        <f t="shared" si="62"/>
        <v>2000</v>
      </c>
      <c r="CB72" s="433">
        <f t="shared" si="62"/>
        <v>2000</v>
      </c>
      <c r="CC72" s="433">
        <f t="shared" si="62"/>
        <v>4083.333333333333</v>
      </c>
      <c r="CD72" s="433">
        <f t="shared" si="62"/>
        <v>4083.333333333333</v>
      </c>
      <c r="CE72" s="433">
        <f t="shared" si="62"/>
        <v>4083.333333333333</v>
      </c>
      <c r="CF72" s="433">
        <f t="shared" si="62"/>
        <v>4083.333333333333</v>
      </c>
      <c r="CG72" s="433">
        <f t="shared" si="62"/>
        <v>4083.333333333333</v>
      </c>
      <c r="CH72" s="433">
        <f t="shared" si="62"/>
        <v>4083.333333333333</v>
      </c>
      <c r="CI72" s="433">
        <f t="shared" si="62"/>
        <v>4083.333333333333</v>
      </c>
      <c r="CJ72" s="433">
        <f t="shared" si="62"/>
        <v>4083.333333333333</v>
      </c>
      <c r="CK72" s="433">
        <f t="shared" si="62"/>
        <v>4083.333333333333</v>
      </c>
    </row>
    <row r="73" spans="2:89" outlineLevel="2">
      <c r="D73" s="383" t="s">
        <v>197</v>
      </c>
      <c r="E73" s="50" t="s">
        <v>179</v>
      </c>
      <c r="F73" s="383" t="s">
        <v>198</v>
      </c>
      <c r="G73" s="50" t="str" cm="1">
        <f t="array" ref="G73">INDEX(PBC_ACCOUNT_LIST[Name],_xlfn.XMATCH(H73,PBC_ACCOUNT_LIST[Id]))</f>
        <v>Payroll Processing Fees</v>
      </c>
      <c r="H73" s="544">
        <v>181</v>
      </c>
      <c r="R73" s="372">
        <f t="shared" si="57"/>
        <v>300</v>
      </c>
      <c r="S73" s="372">
        <f t="shared" si="57"/>
        <v>600</v>
      </c>
      <c r="T73" s="372">
        <f t="shared" si="57"/>
        <v>600</v>
      </c>
      <c r="U73" s="372">
        <f t="shared" si="57"/>
        <v>1068.75</v>
      </c>
      <c r="X73" s="372">
        <f t="shared" si="58"/>
        <v>75</v>
      </c>
      <c r="Y73" s="372">
        <f t="shared" si="58"/>
        <v>75</v>
      </c>
      <c r="Z73" s="372">
        <f t="shared" si="58"/>
        <v>75</v>
      </c>
      <c r="AA73" s="372">
        <f t="shared" si="58"/>
        <v>75</v>
      </c>
      <c r="AB73" s="372">
        <f t="shared" si="58"/>
        <v>150</v>
      </c>
      <c r="AC73" s="372">
        <f t="shared" si="58"/>
        <v>150</v>
      </c>
      <c r="AD73" s="372">
        <f t="shared" si="58"/>
        <v>150</v>
      </c>
      <c r="AE73" s="372">
        <f t="shared" si="58"/>
        <v>150</v>
      </c>
      <c r="AF73" s="372">
        <f t="shared" si="58"/>
        <v>150</v>
      </c>
      <c r="AG73" s="372">
        <f t="shared" si="58"/>
        <v>150</v>
      </c>
      <c r="AH73" s="372">
        <f t="shared" si="58"/>
        <v>150</v>
      </c>
      <c r="AI73" s="372">
        <f t="shared" si="58"/>
        <v>150</v>
      </c>
      <c r="AJ73" s="372">
        <f t="shared" si="58"/>
        <v>150</v>
      </c>
      <c r="AK73" s="372">
        <f t="shared" si="58"/>
        <v>306.25</v>
      </c>
      <c r="AL73" s="372">
        <f t="shared" si="58"/>
        <v>306.25</v>
      </c>
      <c r="AM73" s="372">
        <f t="shared" si="58"/>
        <v>306.25</v>
      </c>
      <c r="AP73" s="433" cm="1">
        <f t="array" ref="AP73">AP69*Payroll_Admin_Fees</f>
        <v>25</v>
      </c>
      <c r="AQ73" s="433">
        <f t="shared" ref="AQ73:CK73" si="63">AQ69*Payroll_Admin_Fees</f>
        <v>25</v>
      </c>
      <c r="AR73" s="433">
        <f t="shared" si="63"/>
        <v>25</v>
      </c>
      <c r="AS73" s="433">
        <f t="shared" si="63"/>
        <v>25</v>
      </c>
      <c r="AT73" s="433">
        <f t="shared" si="63"/>
        <v>25</v>
      </c>
      <c r="AU73" s="433">
        <f t="shared" si="63"/>
        <v>25</v>
      </c>
      <c r="AV73" s="433">
        <f t="shared" si="63"/>
        <v>25</v>
      </c>
      <c r="AW73" s="433">
        <f t="shared" si="63"/>
        <v>25</v>
      </c>
      <c r="AX73" s="433">
        <f t="shared" si="63"/>
        <v>25</v>
      </c>
      <c r="AY73" s="433">
        <f t="shared" si="63"/>
        <v>25</v>
      </c>
      <c r="AZ73" s="433">
        <f t="shared" si="63"/>
        <v>25</v>
      </c>
      <c r="BA73" s="433">
        <f t="shared" si="63"/>
        <v>25</v>
      </c>
      <c r="BB73" s="433">
        <f t="shared" si="63"/>
        <v>50</v>
      </c>
      <c r="BC73" s="433">
        <f t="shared" si="63"/>
        <v>50</v>
      </c>
      <c r="BD73" s="433">
        <f t="shared" si="63"/>
        <v>50</v>
      </c>
      <c r="BE73" s="433">
        <f t="shared" si="63"/>
        <v>50</v>
      </c>
      <c r="BF73" s="433">
        <f t="shared" si="63"/>
        <v>50</v>
      </c>
      <c r="BG73" s="433">
        <f t="shared" si="63"/>
        <v>50</v>
      </c>
      <c r="BH73" s="433">
        <f t="shared" si="63"/>
        <v>50</v>
      </c>
      <c r="BI73" s="433">
        <f t="shared" si="63"/>
        <v>50</v>
      </c>
      <c r="BJ73" s="433">
        <f t="shared" si="63"/>
        <v>50</v>
      </c>
      <c r="BK73" s="433">
        <f t="shared" si="63"/>
        <v>50</v>
      </c>
      <c r="BL73" s="433">
        <f t="shared" si="63"/>
        <v>50</v>
      </c>
      <c r="BM73" s="433">
        <f t="shared" si="63"/>
        <v>50</v>
      </c>
      <c r="BN73" s="433">
        <f t="shared" si="63"/>
        <v>50</v>
      </c>
      <c r="BO73" s="433">
        <f t="shared" si="63"/>
        <v>50</v>
      </c>
      <c r="BP73" s="433">
        <f t="shared" si="63"/>
        <v>50</v>
      </c>
      <c r="BQ73" s="433">
        <f t="shared" si="63"/>
        <v>50</v>
      </c>
      <c r="BR73" s="433">
        <f t="shared" si="63"/>
        <v>50</v>
      </c>
      <c r="BS73" s="433">
        <f t="shared" si="63"/>
        <v>50</v>
      </c>
      <c r="BT73" s="433">
        <f t="shared" si="63"/>
        <v>50</v>
      </c>
      <c r="BU73" s="433">
        <f t="shared" si="63"/>
        <v>50</v>
      </c>
      <c r="BV73" s="433">
        <f t="shared" si="63"/>
        <v>50</v>
      </c>
      <c r="BW73" s="433">
        <f t="shared" si="63"/>
        <v>50</v>
      </c>
      <c r="BX73" s="433">
        <f t="shared" si="63"/>
        <v>50</v>
      </c>
      <c r="BY73" s="433">
        <f t="shared" si="63"/>
        <v>50</v>
      </c>
      <c r="BZ73" s="433">
        <f t="shared" si="63"/>
        <v>50</v>
      </c>
      <c r="CA73" s="433">
        <f t="shared" si="63"/>
        <v>50</v>
      </c>
      <c r="CB73" s="433">
        <f t="shared" si="63"/>
        <v>50</v>
      </c>
      <c r="CC73" s="433">
        <f t="shared" si="63"/>
        <v>102.08333333333333</v>
      </c>
      <c r="CD73" s="433">
        <f t="shared" si="63"/>
        <v>102.08333333333333</v>
      </c>
      <c r="CE73" s="433">
        <f t="shared" si="63"/>
        <v>102.08333333333333</v>
      </c>
      <c r="CF73" s="433">
        <f t="shared" si="63"/>
        <v>102.08333333333333</v>
      </c>
      <c r="CG73" s="433">
        <f t="shared" si="63"/>
        <v>102.08333333333333</v>
      </c>
      <c r="CH73" s="433">
        <f t="shared" si="63"/>
        <v>102.08333333333333</v>
      </c>
      <c r="CI73" s="433">
        <f t="shared" si="63"/>
        <v>102.08333333333333</v>
      </c>
      <c r="CJ73" s="433">
        <f t="shared" si="63"/>
        <v>102.08333333333333</v>
      </c>
      <c r="CK73" s="433">
        <f t="shared" si="63"/>
        <v>102.08333333333333</v>
      </c>
    </row>
    <row r="74" spans="2:89" outlineLevel="2">
      <c r="D74" s="383" t="s">
        <v>200</v>
      </c>
      <c r="E74" s="50" t="s">
        <v>179</v>
      </c>
      <c r="F74" s="383" t="s">
        <v>200</v>
      </c>
      <c r="G74" s="50" t="str" cm="1">
        <f t="array" ref="G74">INDEX(PBC_ACCOUNT_LIST[Name],_xlfn.XMATCH(H74,PBC_ACCOUNT_LIST[Id]))</f>
        <v>Salary &amp; Wages</v>
      </c>
      <c r="H74" s="544">
        <v>178</v>
      </c>
      <c r="R74" s="372">
        <f t="shared" si="57"/>
        <v>5000</v>
      </c>
      <c r="S74" s="372">
        <f t="shared" si="57"/>
        <v>5000</v>
      </c>
      <c r="T74" s="372">
        <f t="shared" si="57"/>
        <v>5000</v>
      </c>
      <c r="U74" s="372">
        <f t="shared" si="57"/>
        <v>5000</v>
      </c>
      <c r="X74" s="372">
        <f t="shared" si="58"/>
        <v>0</v>
      </c>
      <c r="Y74" s="372">
        <f t="shared" si="58"/>
        <v>0</v>
      </c>
      <c r="Z74" s="372">
        <f t="shared" si="58"/>
        <v>0</v>
      </c>
      <c r="AA74" s="372">
        <f t="shared" si="58"/>
        <v>5000</v>
      </c>
      <c r="AB74" s="372">
        <f t="shared" si="58"/>
        <v>0</v>
      </c>
      <c r="AC74" s="372">
        <f t="shared" si="58"/>
        <v>0</v>
      </c>
      <c r="AD74" s="372">
        <f t="shared" si="58"/>
        <v>0</v>
      </c>
      <c r="AE74" s="372">
        <f t="shared" si="58"/>
        <v>5000</v>
      </c>
      <c r="AF74" s="372">
        <f t="shared" si="58"/>
        <v>0</v>
      </c>
      <c r="AG74" s="372">
        <f t="shared" si="58"/>
        <v>0</v>
      </c>
      <c r="AH74" s="372">
        <f t="shared" si="58"/>
        <v>0</v>
      </c>
      <c r="AI74" s="372">
        <f t="shared" si="58"/>
        <v>5000</v>
      </c>
      <c r="AJ74" s="372">
        <f t="shared" si="58"/>
        <v>0</v>
      </c>
      <c r="AK74" s="372">
        <f t="shared" si="58"/>
        <v>0</v>
      </c>
      <c r="AL74" s="372">
        <f t="shared" si="58"/>
        <v>0</v>
      </c>
      <c r="AM74" s="372">
        <f t="shared" si="58"/>
        <v>5000</v>
      </c>
      <c r="AP74" s="433">
        <f t="shared" ref="AP74:CK74" si="64">IF(MONTH(AP$8)=MONTH(BonusMonth),SUMIFS($N$11:$N$35,AP$11:AP$35,"&gt;"&amp;0,$G$11:$G$35,$C68),0)</f>
        <v>0</v>
      </c>
      <c r="AQ74" s="433">
        <f t="shared" si="64"/>
        <v>0</v>
      </c>
      <c r="AR74" s="433">
        <f t="shared" si="64"/>
        <v>0</v>
      </c>
      <c r="AS74" s="433">
        <f t="shared" si="64"/>
        <v>0</v>
      </c>
      <c r="AT74" s="433">
        <f t="shared" si="64"/>
        <v>0</v>
      </c>
      <c r="AU74" s="433">
        <f t="shared" si="64"/>
        <v>0</v>
      </c>
      <c r="AV74" s="433">
        <f t="shared" si="64"/>
        <v>0</v>
      </c>
      <c r="AW74" s="433">
        <f t="shared" si="64"/>
        <v>0</v>
      </c>
      <c r="AX74" s="433">
        <f t="shared" si="64"/>
        <v>0</v>
      </c>
      <c r="AY74" s="433">
        <f t="shared" si="64"/>
        <v>0</v>
      </c>
      <c r="AZ74" s="433">
        <f t="shared" si="64"/>
        <v>0</v>
      </c>
      <c r="BA74" s="433">
        <f t="shared" si="64"/>
        <v>5000</v>
      </c>
      <c r="BB74" s="433">
        <f t="shared" si="64"/>
        <v>0</v>
      </c>
      <c r="BC74" s="433">
        <f t="shared" si="64"/>
        <v>0</v>
      </c>
      <c r="BD74" s="433">
        <f t="shared" si="64"/>
        <v>0</v>
      </c>
      <c r="BE74" s="433">
        <f t="shared" si="64"/>
        <v>0</v>
      </c>
      <c r="BF74" s="433">
        <f t="shared" si="64"/>
        <v>0</v>
      </c>
      <c r="BG74" s="433">
        <f t="shared" si="64"/>
        <v>0</v>
      </c>
      <c r="BH74" s="433">
        <f t="shared" si="64"/>
        <v>0</v>
      </c>
      <c r="BI74" s="433">
        <f t="shared" si="64"/>
        <v>0</v>
      </c>
      <c r="BJ74" s="433">
        <f t="shared" si="64"/>
        <v>0</v>
      </c>
      <c r="BK74" s="433">
        <f t="shared" si="64"/>
        <v>0</v>
      </c>
      <c r="BL74" s="433">
        <f t="shared" si="64"/>
        <v>0</v>
      </c>
      <c r="BM74" s="433">
        <f t="shared" si="64"/>
        <v>5000</v>
      </c>
      <c r="BN74" s="433">
        <f t="shared" si="64"/>
        <v>0</v>
      </c>
      <c r="BO74" s="433">
        <f t="shared" si="64"/>
        <v>0</v>
      </c>
      <c r="BP74" s="433">
        <f t="shared" si="64"/>
        <v>0</v>
      </c>
      <c r="BQ74" s="433">
        <f t="shared" si="64"/>
        <v>0</v>
      </c>
      <c r="BR74" s="433">
        <f t="shared" si="64"/>
        <v>0</v>
      </c>
      <c r="BS74" s="433">
        <f t="shared" si="64"/>
        <v>0</v>
      </c>
      <c r="BT74" s="433">
        <f t="shared" si="64"/>
        <v>0</v>
      </c>
      <c r="BU74" s="433">
        <f t="shared" si="64"/>
        <v>0</v>
      </c>
      <c r="BV74" s="433">
        <f t="shared" si="64"/>
        <v>0</v>
      </c>
      <c r="BW74" s="433">
        <f t="shared" si="64"/>
        <v>0</v>
      </c>
      <c r="BX74" s="433">
        <f t="shared" si="64"/>
        <v>0</v>
      </c>
      <c r="BY74" s="433">
        <f t="shared" si="64"/>
        <v>5000</v>
      </c>
      <c r="BZ74" s="433">
        <f t="shared" si="64"/>
        <v>0</v>
      </c>
      <c r="CA74" s="433">
        <f t="shared" si="64"/>
        <v>0</v>
      </c>
      <c r="CB74" s="433">
        <f t="shared" si="64"/>
        <v>0</v>
      </c>
      <c r="CC74" s="433">
        <f t="shared" si="64"/>
        <v>0</v>
      </c>
      <c r="CD74" s="433">
        <f t="shared" si="64"/>
        <v>0</v>
      </c>
      <c r="CE74" s="433">
        <f t="shared" si="64"/>
        <v>0</v>
      </c>
      <c r="CF74" s="433">
        <f t="shared" si="64"/>
        <v>0</v>
      </c>
      <c r="CG74" s="433">
        <f t="shared" si="64"/>
        <v>0</v>
      </c>
      <c r="CH74" s="433">
        <f t="shared" si="64"/>
        <v>0</v>
      </c>
      <c r="CI74" s="433">
        <f t="shared" si="64"/>
        <v>0</v>
      </c>
      <c r="CJ74" s="433">
        <f t="shared" si="64"/>
        <v>0</v>
      </c>
      <c r="CK74" s="433">
        <f t="shared" si="64"/>
        <v>5000</v>
      </c>
    </row>
    <row r="75" spans="2:89" outlineLevel="1">
      <c r="C75" s="355" t="s">
        <v>180</v>
      </c>
      <c r="R75" s="480">
        <f>SUM(R76:R81)</f>
        <v>0</v>
      </c>
      <c r="S75" s="480">
        <f>SUM(S76:S81)</f>
        <v>249351.68650793651</v>
      </c>
      <c r="T75" s="480">
        <f>SUM(T76:T81)</f>
        <v>362613.09523809515</v>
      </c>
      <c r="U75" s="480">
        <f>SUM(U76:U81)</f>
        <v>417374.99999999988</v>
      </c>
      <c r="X75" s="480">
        <f t="shared" ref="X75:AM75" si="65">SUM(X76:X81)</f>
        <v>0</v>
      </c>
      <c r="Y75" s="480">
        <f t="shared" si="65"/>
        <v>0</v>
      </c>
      <c r="Z75" s="480">
        <f t="shared" si="65"/>
        <v>0</v>
      </c>
      <c r="AA75" s="480">
        <f t="shared" si="65"/>
        <v>0</v>
      </c>
      <c r="AB75" s="480">
        <f t="shared" si="65"/>
        <v>28820.436507936509</v>
      </c>
      <c r="AC75" s="480">
        <f t="shared" si="65"/>
        <v>71843.75</v>
      </c>
      <c r="AD75" s="480">
        <f t="shared" si="65"/>
        <v>71843.75</v>
      </c>
      <c r="AE75" s="480">
        <f t="shared" si="65"/>
        <v>76843.75</v>
      </c>
      <c r="AF75" s="480">
        <f t="shared" si="65"/>
        <v>71843.75</v>
      </c>
      <c r="AG75" s="480">
        <f t="shared" si="65"/>
        <v>77081.845238095237</v>
      </c>
      <c r="AH75" s="480">
        <f t="shared" si="65"/>
        <v>101843.75</v>
      </c>
      <c r="AI75" s="480">
        <f t="shared" si="65"/>
        <v>111843.75</v>
      </c>
      <c r="AJ75" s="480">
        <f t="shared" si="65"/>
        <v>101843.75</v>
      </c>
      <c r="AK75" s="480">
        <f t="shared" si="65"/>
        <v>101843.75</v>
      </c>
      <c r="AL75" s="480">
        <f t="shared" si="65"/>
        <v>101843.75</v>
      </c>
      <c r="AM75" s="480">
        <f t="shared" si="65"/>
        <v>111843.75</v>
      </c>
      <c r="AO75" s="51"/>
      <c r="AP75" s="480">
        <f t="shared" ref="AP75:CK75" si="66">SUM(AP76:AP81)</f>
        <v>0</v>
      </c>
      <c r="AQ75" s="480">
        <f t="shared" si="66"/>
        <v>0</v>
      </c>
      <c r="AR75" s="480">
        <f t="shared" si="66"/>
        <v>0</v>
      </c>
      <c r="AS75" s="480">
        <f t="shared" si="66"/>
        <v>0</v>
      </c>
      <c r="AT75" s="480">
        <f t="shared" si="66"/>
        <v>0</v>
      </c>
      <c r="AU75" s="480">
        <f t="shared" si="66"/>
        <v>0</v>
      </c>
      <c r="AV75" s="480">
        <f t="shared" si="66"/>
        <v>0</v>
      </c>
      <c r="AW75" s="480">
        <f t="shared" si="66"/>
        <v>0</v>
      </c>
      <c r="AX75" s="480">
        <f t="shared" si="66"/>
        <v>0</v>
      </c>
      <c r="AY75" s="480">
        <f t="shared" si="66"/>
        <v>0</v>
      </c>
      <c r="AZ75" s="480">
        <f t="shared" si="66"/>
        <v>0</v>
      </c>
      <c r="BA75" s="480">
        <f t="shared" si="66"/>
        <v>0</v>
      </c>
      <c r="BB75" s="480">
        <f t="shared" si="66"/>
        <v>0</v>
      </c>
      <c r="BC75" s="480">
        <f t="shared" si="66"/>
        <v>6984.1269841269832</v>
      </c>
      <c r="BD75" s="480">
        <f t="shared" si="66"/>
        <v>21836.309523809527</v>
      </c>
      <c r="BE75" s="480">
        <f t="shared" si="66"/>
        <v>23947.916666666664</v>
      </c>
      <c r="BF75" s="480">
        <f t="shared" si="66"/>
        <v>23947.916666666664</v>
      </c>
      <c r="BG75" s="480">
        <f t="shared" si="66"/>
        <v>23947.916666666664</v>
      </c>
      <c r="BH75" s="480">
        <f t="shared" si="66"/>
        <v>23947.916666666664</v>
      </c>
      <c r="BI75" s="480">
        <f t="shared" si="66"/>
        <v>23947.916666666664</v>
      </c>
      <c r="BJ75" s="480">
        <f t="shared" si="66"/>
        <v>23947.916666666664</v>
      </c>
      <c r="BK75" s="480">
        <f t="shared" si="66"/>
        <v>23947.916666666664</v>
      </c>
      <c r="BL75" s="480">
        <f t="shared" si="66"/>
        <v>23947.916666666664</v>
      </c>
      <c r="BM75" s="480">
        <f t="shared" si="66"/>
        <v>28947.916666666664</v>
      </c>
      <c r="BN75" s="480">
        <f t="shared" si="66"/>
        <v>23947.916666666664</v>
      </c>
      <c r="BO75" s="480">
        <f t="shared" si="66"/>
        <v>23947.916666666664</v>
      </c>
      <c r="BP75" s="480">
        <f t="shared" si="66"/>
        <v>23947.916666666664</v>
      </c>
      <c r="BQ75" s="480">
        <f t="shared" si="66"/>
        <v>23947.916666666664</v>
      </c>
      <c r="BR75" s="480">
        <f t="shared" si="66"/>
        <v>23947.916666666664</v>
      </c>
      <c r="BS75" s="480">
        <f t="shared" si="66"/>
        <v>29186.011904761905</v>
      </c>
      <c r="BT75" s="480">
        <f t="shared" si="66"/>
        <v>33947.916666666664</v>
      </c>
      <c r="BU75" s="480">
        <f t="shared" si="66"/>
        <v>33947.916666666664</v>
      </c>
      <c r="BV75" s="480">
        <f t="shared" si="66"/>
        <v>33947.916666666664</v>
      </c>
      <c r="BW75" s="480">
        <f t="shared" si="66"/>
        <v>33947.916666666664</v>
      </c>
      <c r="BX75" s="480">
        <f t="shared" si="66"/>
        <v>33947.916666666664</v>
      </c>
      <c r="BY75" s="480">
        <f t="shared" si="66"/>
        <v>43947.916666666664</v>
      </c>
      <c r="BZ75" s="480">
        <f t="shared" si="66"/>
        <v>33947.916666666664</v>
      </c>
      <c r="CA75" s="480">
        <f t="shared" si="66"/>
        <v>33947.916666666664</v>
      </c>
      <c r="CB75" s="480">
        <f t="shared" si="66"/>
        <v>33947.916666666664</v>
      </c>
      <c r="CC75" s="480">
        <f t="shared" si="66"/>
        <v>33947.916666666664</v>
      </c>
      <c r="CD75" s="480">
        <f t="shared" si="66"/>
        <v>33947.916666666664</v>
      </c>
      <c r="CE75" s="480">
        <f t="shared" si="66"/>
        <v>33947.916666666664</v>
      </c>
      <c r="CF75" s="480">
        <f t="shared" si="66"/>
        <v>33947.916666666664</v>
      </c>
      <c r="CG75" s="480">
        <f t="shared" si="66"/>
        <v>33947.916666666664</v>
      </c>
      <c r="CH75" s="480">
        <f t="shared" si="66"/>
        <v>33947.916666666664</v>
      </c>
      <c r="CI75" s="480">
        <f t="shared" si="66"/>
        <v>33947.916666666664</v>
      </c>
      <c r="CJ75" s="480">
        <f t="shared" si="66"/>
        <v>33947.916666666664</v>
      </c>
      <c r="CK75" s="480">
        <f t="shared" si="66"/>
        <v>43947.916666666664</v>
      </c>
    </row>
    <row r="76" spans="2:89" outlineLevel="2">
      <c r="D76" s="383" t="s">
        <v>406</v>
      </c>
      <c r="E76" s="50" t="s">
        <v>181</v>
      </c>
      <c r="F76" s="383" t="s">
        <v>190</v>
      </c>
      <c r="G76" s="50" t="str" cm="1">
        <f t="array" ref="G76">INDEX(PBC_ACCOUNT_LIST[Name],_xlfn.XMATCH(H76,PBC_ACCOUNT_LIST[Id]))</f>
        <v>Salary &amp; Wages</v>
      </c>
      <c r="H76" s="544">
        <v>178</v>
      </c>
      <c r="R76" s="372">
        <f t="shared" ref="R76:U81" si="67">SUMIFS($AP76:$CK76,$AP$4:$CK$4,"&gt;="&amp;R$4,$AP$5:$CK$5,"&lt;="&amp;R$5)</f>
        <v>0</v>
      </c>
      <c r="S76" s="372">
        <f t="shared" si="67"/>
        <v>123214.28571428571</v>
      </c>
      <c r="T76" s="372">
        <f t="shared" si="67"/>
        <v>150000</v>
      </c>
      <c r="U76" s="372">
        <f t="shared" si="67"/>
        <v>150000</v>
      </c>
      <c r="X76" s="372">
        <f t="shared" ref="X76:AM81" si="68">SUMIFS($AP76:$CK76,$AP$4:$CK$4,"&gt;="&amp;X$4,$AP$5:$CK$5,"&lt;="&amp;X$5)</f>
        <v>0</v>
      </c>
      <c r="Y76" s="372">
        <f t="shared" si="68"/>
        <v>0</v>
      </c>
      <c r="Z76" s="372">
        <f t="shared" si="68"/>
        <v>0</v>
      </c>
      <c r="AA76" s="372">
        <f t="shared" si="68"/>
        <v>0</v>
      </c>
      <c r="AB76" s="372">
        <f t="shared" si="68"/>
        <v>10714.285714285714</v>
      </c>
      <c r="AC76" s="372">
        <f t="shared" si="68"/>
        <v>37500</v>
      </c>
      <c r="AD76" s="372">
        <f t="shared" si="68"/>
        <v>37500</v>
      </c>
      <c r="AE76" s="372">
        <f t="shared" si="68"/>
        <v>37500</v>
      </c>
      <c r="AF76" s="372">
        <f t="shared" si="68"/>
        <v>37500</v>
      </c>
      <c r="AG76" s="372">
        <f t="shared" si="68"/>
        <v>37500</v>
      </c>
      <c r="AH76" s="372">
        <f t="shared" si="68"/>
        <v>37500</v>
      </c>
      <c r="AI76" s="372">
        <f t="shared" si="68"/>
        <v>37500</v>
      </c>
      <c r="AJ76" s="372">
        <f t="shared" si="68"/>
        <v>37500</v>
      </c>
      <c r="AK76" s="372">
        <f t="shared" si="68"/>
        <v>37500</v>
      </c>
      <c r="AL76" s="372">
        <f t="shared" si="68"/>
        <v>37500</v>
      </c>
      <c r="AM76" s="372">
        <f t="shared" si="68"/>
        <v>37500</v>
      </c>
      <c r="AP76" s="372">
        <f t="shared" ref="AP76:CK76" si="69">SUMIFS(AP$11:AP$35,$G$11:$G$35,$C75,$O$11:$O$35,"FTE") + (AP54 * AP40)</f>
        <v>0</v>
      </c>
      <c r="AQ76" s="372">
        <f t="shared" si="69"/>
        <v>0</v>
      </c>
      <c r="AR76" s="372">
        <f t="shared" si="69"/>
        <v>0</v>
      </c>
      <c r="AS76" s="372">
        <f t="shared" si="69"/>
        <v>0</v>
      </c>
      <c r="AT76" s="372">
        <f t="shared" si="69"/>
        <v>0</v>
      </c>
      <c r="AU76" s="372">
        <f t="shared" si="69"/>
        <v>0</v>
      </c>
      <c r="AV76" s="372">
        <f t="shared" si="69"/>
        <v>0</v>
      </c>
      <c r="AW76" s="372">
        <f t="shared" si="69"/>
        <v>0</v>
      </c>
      <c r="AX76" s="372">
        <f t="shared" si="69"/>
        <v>0</v>
      </c>
      <c r="AY76" s="372">
        <f t="shared" si="69"/>
        <v>0</v>
      </c>
      <c r="AZ76" s="372">
        <f t="shared" si="69"/>
        <v>0</v>
      </c>
      <c r="BA76" s="372">
        <f t="shared" si="69"/>
        <v>0</v>
      </c>
      <c r="BB76" s="372">
        <f t="shared" si="69"/>
        <v>0</v>
      </c>
      <c r="BC76" s="372">
        <f t="shared" si="69"/>
        <v>0</v>
      </c>
      <c r="BD76" s="372">
        <f t="shared" si="69"/>
        <v>10714.285714285714</v>
      </c>
      <c r="BE76" s="372">
        <f t="shared" si="69"/>
        <v>12500</v>
      </c>
      <c r="BF76" s="372">
        <f t="shared" si="69"/>
        <v>12500</v>
      </c>
      <c r="BG76" s="372">
        <f t="shared" si="69"/>
        <v>12500</v>
      </c>
      <c r="BH76" s="372">
        <f t="shared" si="69"/>
        <v>12500</v>
      </c>
      <c r="BI76" s="372">
        <f t="shared" si="69"/>
        <v>12500</v>
      </c>
      <c r="BJ76" s="372">
        <f t="shared" si="69"/>
        <v>12500</v>
      </c>
      <c r="BK76" s="372">
        <f t="shared" si="69"/>
        <v>12500</v>
      </c>
      <c r="BL76" s="372">
        <f t="shared" si="69"/>
        <v>12500</v>
      </c>
      <c r="BM76" s="372">
        <f t="shared" si="69"/>
        <v>12500</v>
      </c>
      <c r="BN76" s="372">
        <f t="shared" si="69"/>
        <v>12500</v>
      </c>
      <c r="BO76" s="372">
        <f t="shared" si="69"/>
        <v>12500</v>
      </c>
      <c r="BP76" s="372">
        <f t="shared" si="69"/>
        <v>12500</v>
      </c>
      <c r="BQ76" s="372">
        <f t="shared" si="69"/>
        <v>12500</v>
      </c>
      <c r="BR76" s="372">
        <f t="shared" si="69"/>
        <v>12500</v>
      </c>
      <c r="BS76" s="372">
        <f t="shared" si="69"/>
        <v>12500</v>
      </c>
      <c r="BT76" s="372">
        <f t="shared" si="69"/>
        <v>12500</v>
      </c>
      <c r="BU76" s="372">
        <f t="shared" si="69"/>
        <v>12500</v>
      </c>
      <c r="BV76" s="372">
        <f t="shared" si="69"/>
        <v>12500</v>
      </c>
      <c r="BW76" s="372">
        <f t="shared" si="69"/>
        <v>12500</v>
      </c>
      <c r="BX76" s="372">
        <f t="shared" si="69"/>
        <v>12500</v>
      </c>
      <c r="BY76" s="372">
        <f t="shared" si="69"/>
        <v>12500</v>
      </c>
      <c r="BZ76" s="372">
        <f t="shared" si="69"/>
        <v>12500</v>
      </c>
      <c r="CA76" s="372">
        <f t="shared" si="69"/>
        <v>12500</v>
      </c>
      <c r="CB76" s="372">
        <f t="shared" si="69"/>
        <v>12500</v>
      </c>
      <c r="CC76" s="372">
        <f t="shared" si="69"/>
        <v>12500</v>
      </c>
      <c r="CD76" s="372">
        <f t="shared" si="69"/>
        <v>12500</v>
      </c>
      <c r="CE76" s="372">
        <f t="shared" si="69"/>
        <v>12500</v>
      </c>
      <c r="CF76" s="372">
        <f t="shared" si="69"/>
        <v>12500</v>
      </c>
      <c r="CG76" s="372">
        <f t="shared" si="69"/>
        <v>12500</v>
      </c>
      <c r="CH76" s="372">
        <f t="shared" si="69"/>
        <v>12500</v>
      </c>
      <c r="CI76" s="372">
        <f t="shared" si="69"/>
        <v>12500</v>
      </c>
      <c r="CJ76" s="372">
        <f t="shared" si="69"/>
        <v>12500</v>
      </c>
      <c r="CK76" s="372">
        <f t="shared" si="69"/>
        <v>12500</v>
      </c>
    </row>
    <row r="77" spans="2:89" outlineLevel="2">
      <c r="D77" s="383" t="s">
        <v>191</v>
      </c>
      <c r="E77" s="50" t="s">
        <v>181</v>
      </c>
      <c r="F77" s="383" t="s">
        <v>192</v>
      </c>
      <c r="G77" s="50" t="str" cm="1">
        <f t="array" ref="G77">INDEX(PBC_ACCOUNT_LIST[Name],_xlfn.XMATCH(H77,PBC_ACCOUNT_LIST[Id]))</f>
        <v>Contractors</v>
      </c>
      <c r="H77" s="544">
        <v>177</v>
      </c>
      <c r="R77" s="372">
        <f t="shared" si="67"/>
        <v>0</v>
      </c>
      <c r="S77" s="372">
        <f t="shared" si="67"/>
        <v>98650.793650793654</v>
      </c>
      <c r="T77" s="372">
        <f t="shared" si="67"/>
        <v>175238.09523809518</v>
      </c>
      <c r="U77" s="372">
        <f t="shared" si="67"/>
        <v>229999.99999999991</v>
      </c>
      <c r="X77" s="372">
        <f t="shared" si="68"/>
        <v>0</v>
      </c>
      <c r="Y77" s="372">
        <f t="shared" si="68"/>
        <v>0</v>
      </c>
      <c r="Z77" s="372">
        <f t="shared" si="68"/>
        <v>0</v>
      </c>
      <c r="AA77" s="372">
        <f t="shared" si="68"/>
        <v>0</v>
      </c>
      <c r="AB77" s="372">
        <f t="shared" si="68"/>
        <v>16150.79365079365</v>
      </c>
      <c r="AC77" s="372">
        <f t="shared" si="68"/>
        <v>27500</v>
      </c>
      <c r="AD77" s="372">
        <f t="shared" si="68"/>
        <v>27500</v>
      </c>
      <c r="AE77" s="372">
        <f t="shared" si="68"/>
        <v>27500</v>
      </c>
      <c r="AF77" s="372">
        <f t="shared" si="68"/>
        <v>27500</v>
      </c>
      <c r="AG77" s="372">
        <f t="shared" si="68"/>
        <v>32738.095238095237</v>
      </c>
      <c r="AH77" s="372">
        <f t="shared" si="68"/>
        <v>57499.999999999993</v>
      </c>
      <c r="AI77" s="372">
        <f t="shared" si="68"/>
        <v>57499.999999999993</v>
      </c>
      <c r="AJ77" s="372">
        <f t="shared" si="68"/>
        <v>57499.999999999993</v>
      </c>
      <c r="AK77" s="372">
        <f t="shared" si="68"/>
        <v>57499.999999999993</v>
      </c>
      <c r="AL77" s="372">
        <f t="shared" si="68"/>
        <v>57499.999999999993</v>
      </c>
      <c r="AM77" s="372">
        <f t="shared" si="68"/>
        <v>57499.999999999993</v>
      </c>
      <c r="AP77" s="372">
        <f t="shared" ref="AP77:CK77" si="70">SUMIFS(AP$11:AP$35,$G$11:$G$35,$C75,$O$11:$O$35,"consultant")</f>
        <v>0</v>
      </c>
      <c r="AQ77" s="372">
        <f t="shared" si="70"/>
        <v>0</v>
      </c>
      <c r="AR77" s="372">
        <f t="shared" si="70"/>
        <v>0</v>
      </c>
      <c r="AS77" s="372">
        <f t="shared" si="70"/>
        <v>0</v>
      </c>
      <c r="AT77" s="372">
        <f t="shared" si="70"/>
        <v>0</v>
      </c>
      <c r="AU77" s="372">
        <f t="shared" si="70"/>
        <v>0</v>
      </c>
      <c r="AV77" s="372">
        <f t="shared" si="70"/>
        <v>0</v>
      </c>
      <c r="AW77" s="372">
        <f t="shared" si="70"/>
        <v>0</v>
      </c>
      <c r="AX77" s="372">
        <f t="shared" si="70"/>
        <v>0</v>
      </c>
      <c r="AY77" s="372">
        <f t="shared" si="70"/>
        <v>0</v>
      </c>
      <c r="AZ77" s="372">
        <f t="shared" si="70"/>
        <v>0</v>
      </c>
      <c r="BA77" s="372">
        <f t="shared" si="70"/>
        <v>0</v>
      </c>
      <c r="BB77" s="372">
        <f t="shared" si="70"/>
        <v>0</v>
      </c>
      <c r="BC77" s="372">
        <f t="shared" si="70"/>
        <v>6984.1269841269832</v>
      </c>
      <c r="BD77" s="372">
        <f t="shared" si="70"/>
        <v>9166.6666666666661</v>
      </c>
      <c r="BE77" s="372">
        <f t="shared" si="70"/>
        <v>9166.6666666666661</v>
      </c>
      <c r="BF77" s="372">
        <f t="shared" si="70"/>
        <v>9166.6666666666661</v>
      </c>
      <c r="BG77" s="372">
        <f t="shared" si="70"/>
        <v>9166.6666666666661</v>
      </c>
      <c r="BH77" s="372">
        <f t="shared" si="70"/>
        <v>9166.6666666666661</v>
      </c>
      <c r="BI77" s="372">
        <f t="shared" si="70"/>
        <v>9166.6666666666661</v>
      </c>
      <c r="BJ77" s="372">
        <f t="shared" si="70"/>
        <v>9166.6666666666661</v>
      </c>
      <c r="BK77" s="372">
        <f t="shared" si="70"/>
        <v>9166.6666666666661</v>
      </c>
      <c r="BL77" s="372">
        <f t="shared" si="70"/>
        <v>9166.6666666666661</v>
      </c>
      <c r="BM77" s="372">
        <f t="shared" si="70"/>
        <v>9166.6666666666661</v>
      </c>
      <c r="BN77" s="372">
        <f t="shared" si="70"/>
        <v>9166.6666666666661</v>
      </c>
      <c r="BO77" s="372">
        <f t="shared" si="70"/>
        <v>9166.6666666666661</v>
      </c>
      <c r="BP77" s="372">
        <f t="shared" si="70"/>
        <v>9166.6666666666661</v>
      </c>
      <c r="BQ77" s="372">
        <f t="shared" si="70"/>
        <v>9166.6666666666661</v>
      </c>
      <c r="BR77" s="372">
        <f t="shared" si="70"/>
        <v>9166.6666666666661</v>
      </c>
      <c r="BS77" s="372">
        <f t="shared" si="70"/>
        <v>14404.761904761905</v>
      </c>
      <c r="BT77" s="372">
        <f t="shared" si="70"/>
        <v>19166.666666666664</v>
      </c>
      <c r="BU77" s="372">
        <f t="shared" si="70"/>
        <v>19166.666666666664</v>
      </c>
      <c r="BV77" s="372">
        <f t="shared" si="70"/>
        <v>19166.666666666664</v>
      </c>
      <c r="BW77" s="372">
        <f t="shared" si="70"/>
        <v>19166.666666666664</v>
      </c>
      <c r="BX77" s="372">
        <f t="shared" si="70"/>
        <v>19166.666666666664</v>
      </c>
      <c r="BY77" s="372">
        <f t="shared" si="70"/>
        <v>19166.666666666664</v>
      </c>
      <c r="BZ77" s="372">
        <f t="shared" si="70"/>
        <v>19166.666666666664</v>
      </c>
      <c r="CA77" s="372">
        <f t="shared" si="70"/>
        <v>19166.666666666664</v>
      </c>
      <c r="CB77" s="372">
        <f t="shared" si="70"/>
        <v>19166.666666666664</v>
      </c>
      <c r="CC77" s="372">
        <f t="shared" si="70"/>
        <v>19166.666666666664</v>
      </c>
      <c r="CD77" s="372">
        <f t="shared" si="70"/>
        <v>19166.666666666664</v>
      </c>
      <c r="CE77" s="372">
        <f t="shared" si="70"/>
        <v>19166.666666666664</v>
      </c>
      <c r="CF77" s="372">
        <f t="shared" si="70"/>
        <v>19166.666666666664</v>
      </c>
      <c r="CG77" s="372">
        <f t="shared" si="70"/>
        <v>19166.666666666664</v>
      </c>
      <c r="CH77" s="372">
        <f t="shared" si="70"/>
        <v>19166.666666666664</v>
      </c>
      <c r="CI77" s="372">
        <f t="shared" si="70"/>
        <v>19166.666666666664</v>
      </c>
      <c r="CJ77" s="372">
        <f t="shared" si="70"/>
        <v>19166.666666666664</v>
      </c>
      <c r="CK77" s="372">
        <f t="shared" si="70"/>
        <v>19166.666666666664</v>
      </c>
    </row>
    <row r="78" spans="2:89" outlineLevel="2">
      <c r="D78" s="383" t="s">
        <v>193</v>
      </c>
      <c r="E78" s="50" t="s">
        <v>181</v>
      </c>
      <c r="F78" s="383" t="s">
        <v>194</v>
      </c>
      <c r="G78" s="50" t="str" cm="1">
        <f t="array" ref="G78">INDEX(PBC_ACCOUNT_LIST[Name],_xlfn.XMATCH(H78,PBC_ACCOUNT_LIST[Id]))</f>
        <v>Payroll Taxes</v>
      </c>
      <c r="H78" s="544">
        <v>179</v>
      </c>
      <c r="R78" s="372">
        <f t="shared" si="67"/>
        <v>0</v>
      </c>
      <c r="S78" s="372">
        <f t="shared" si="67"/>
        <v>9857.1428571428569</v>
      </c>
      <c r="T78" s="372">
        <f t="shared" si="67"/>
        <v>12000</v>
      </c>
      <c r="U78" s="372">
        <f t="shared" si="67"/>
        <v>12000</v>
      </c>
      <c r="X78" s="372">
        <f t="shared" si="68"/>
        <v>0</v>
      </c>
      <c r="Y78" s="372">
        <f t="shared" si="68"/>
        <v>0</v>
      </c>
      <c r="Z78" s="372">
        <f t="shared" si="68"/>
        <v>0</v>
      </c>
      <c r="AA78" s="372">
        <f t="shared" si="68"/>
        <v>0</v>
      </c>
      <c r="AB78" s="372">
        <f t="shared" si="68"/>
        <v>857.14285714285711</v>
      </c>
      <c r="AC78" s="372">
        <f t="shared" si="68"/>
        <v>3000</v>
      </c>
      <c r="AD78" s="372">
        <f t="shared" si="68"/>
        <v>3000</v>
      </c>
      <c r="AE78" s="372">
        <f t="shared" si="68"/>
        <v>3000</v>
      </c>
      <c r="AF78" s="372">
        <f t="shared" si="68"/>
        <v>3000</v>
      </c>
      <c r="AG78" s="372">
        <f t="shared" si="68"/>
        <v>3000</v>
      </c>
      <c r="AH78" s="372">
        <f t="shared" si="68"/>
        <v>3000</v>
      </c>
      <c r="AI78" s="372">
        <f t="shared" si="68"/>
        <v>3000</v>
      </c>
      <c r="AJ78" s="372">
        <f t="shared" si="68"/>
        <v>3000</v>
      </c>
      <c r="AK78" s="372">
        <f t="shared" si="68"/>
        <v>3000</v>
      </c>
      <c r="AL78" s="372">
        <f t="shared" si="68"/>
        <v>3000</v>
      </c>
      <c r="AM78" s="372">
        <f t="shared" si="68"/>
        <v>3000</v>
      </c>
      <c r="AP78" s="433" cm="1">
        <f t="array" ref="AP78">AP76*Payroll_tax</f>
        <v>0</v>
      </c>
      <c r="AQ78" s="433">
        <f t="shared" ref="AQ78:CK78" si="71">AQ76*Payroll_tax</f>
        <v>0</v>
      </c>
      <c r="AR78" s="433">
        <f t="shared" si="71"/>
        <v>0</v>
      </c>
      <c r="AS78" s="433">
        <f t="shared" si="71"/>
        <v>0</v>
      </c>
      <c r="AT78" s="433">
        <f t="shared" si="71"/>
        <v>0</v>
      </c>
      <c r="AU78" s="433">
        <f t="shared" si="71"/>
        <v>0</v>
      </c>
      <c r="AV78" s="433">
        <f t="shared" si="71"/>
        <v>0</v>
      </c>
      <c r="AW78" s="433">
        <f t="shared" si="71"/>
        <v>0</v>
      </c>
      <c r="AX78" s="433">
        <f t="shared" si="71"/>
        <v>0</v>
      </c>
      <c r="AY78" s="433">
        <f t="shared" si="71"/>
        <v>0</v>
      </c>
      <c r="AZ78" s="433">
        <f t="shared" si="71"/>
        <v>0</v>
      </c>
      <c r="BA78" s="433">
        <f t="shared" si="71"/>
        <v>0</v>
      </c>
      <c r="BB78" s="433">
        <f t="shared" si="71"/>
        <v>0</v>
      </c>
      <c r="BC78" s="433">
        <f t="shared" si="71"/>
        <v>0</v>
      </c>
      <c r="BD78" s="433">
        <f t="shared" si="71"/>
        <v>857.14285714285711</v>
      </c>
      <c r="BE78" s="433">
        <f t="shared" si="71"/>
        <v>1000</v>
      </c>
      <c r="BF78" s="433">
        <f t="shared" si="71"/>
        <v>1000</v>
      </c>
      <c r="BG78" s="433">
        <f t="shared" si="71"/>
        <v>1000</v>
      </c>
      <c r="BH78" s="433">
        <f t="shared" si="71"/>
        <v>1000</v>
      </c>
      <c r="BI78" s="433">
        <f t="shared" si="71"/>
        <v>1000</v>
      </c>
      <c r="BJ78" s="433">
        <f t="shared" si="71"/>
        <v>1000</v>
      </c>
      <c r="BK78" s="433">
        <f t="shared" si="71"/>
        <v>1000</v>
      </c>
      <c r="BL78" s="433">
        <f t="shared" si="71"/>
        <v>1000</v>
      </c>
      <c r="BM78" s="433">
        <f t="shared" si="71"/>
        <v>1000</v>
      </c>
      <c r="BN78" s="433">
        <f t="shared" si="71"/>
        <v>1000</v>
      </c>
      <c r="BO78" s="433">
        <f t="shared" si="71"/>
        <v>1000</v>
      </c>
      <c r="BP78" s="433">
        <f t="shared" si="71"/>
        <v>1000</v>
      </c>
      <c r="BQ78" s="433">
        <f t="shared" si="71"/>
        <v>1000</v>
      </c>
      <c r="BR78" s="433">
        <f t="shared" si="71"/>
        <v>1000</v>
      </c>
      <c r="BS78" s="433">
        <f t="shared" si="71"/>
        <v>1000</v>
      </c>
      <c r="BT78" s="433">
        <f t="shared" si="71"/>
        <v>1000</v>
      </c>
      <c r="BU78" s="433">
        <f t="shared" si="71"/>
        <v>1000</v>
      </c>
      <c r="BV78" s="433">
        <f t="shared" si="71"/>
        <v>1000</v>
      </c>
      <c r="BW78" s="433">
        <f t="shared" si="71"/>
        <v>1000</v>
      </c>
      <c r="BX78" s="433">
        <f t="shared" si="71"/>
        <v>1000</v>
      </c>
      <c r="BY78" s="433">
        <f t="shared" si="71"/>
        <v>1000</v>
      </c>
      <c r="BZ78" s="433">
        <f t="shared" si="71"/>
        <v>1000</v>
      </c>
      <c r="CA78" s="433">
        <f t="shared" si="71"/>
        <v>1000</v>
      </c>
      <c r="CB78" s="433">
        <f t="shared" si="71"/>
        <v>1000</v>
      </c>
      <c r="CC78" s="433">
        <f t="shared" si="71"/>
        <v>1000</v>
      </c>
      <c r="CD78" s="433">
        <f t="shared" si="71"/>
        <v>1000</v>
      </c>
      <c r="CE78" s="433">
        <f t="shared" si="71"/>
        <v>1000</v>
      </c>
      <c r="CF78" s="433">
        <f t="shared" si="71"/>
        <v>1000</v>
      </c>
      <c r="CG78" s="433">
        <f t="shared" si="71"/>
        <v>1000</v>
      </c>
      <c r="CH78" s="433">
        <f t="shared" si="71"/>
        <v>1000</v>
      </c>
      <c r="CI78" s="433">
        <f t="shared" si="71"/>
        <v>1000</v>
      </c>
      <c r="CJ78" s="433">
        <f t="shared" si="71"/>
        <v>1000</v>
      </c>
      <c r="CK78" s="433">
        <f t="shared" si="71"/>
        <v>1000</v>
      </c>
    </row>
    <row r="79" spans="2:89" outlineLevel="2">
      <c r="D79" s="383" t="s">
        <v>195</v>
      </c>
      <c r="E79" s="50" t="s">
        <v>181</v>
      </c>
      <c r="F79" s="383" t="s">
        <v>196</v>
      </c>
      <c r="G79" s="50" t="str" cm="1">
        <f t="array" ref="G79">INDEX(PBC_ACCOUNT_LIST[Name],_xlfn.XMATCH(H79,PBC_ACCOUNT_LIST[Id]))</f>
        <v>Health Insurance</v>
      </c>
      <c r="H79" s="544">
        <v>180</v>
      </c>
      <c r="R79" s="372">
        <f t="shared" si="67"/>
        <v>0</v>
      </c>
      <c r="S79" s="372">
        <f t="shared" si="67"/>
        <v>12321.428571428572</v>
      </c>
      <c r="T79" s="372">
        <f t="shared" si="67"/>
        <v>15000</v>
      </c>
      <c r="U79" s="372">
        <f t="shared" si="67"/>
        <v>15000</v>
      </c>
      <c r="X79" s="372">
        <f t="shared" si="68"/>
        <v>0</v>
      </c>
      <c r="Y79" s="372">
        <f t="shared" si="68"/>
        <v>0</v>
      </c>
      <c r="Z79" s="372">
        <f t="shared" si="68"/>
        <v>0</v>
      </c>
      <c r="AA79" s="372">
        <f t="shared" si="68"/>
        <v>0</v>
      </c>
      <c r="AB79" s="372">
        <f t="shared" si="68"/>
        <v>1071.4285714285713</v>
      </c>
      <c r="AC79" s="372">
        <f t="shared" si="68"/>
        <v>3750</v>
      </c>
      <c r="AD79" s="372">
        <f t="shared" si="68"/>
        <v>3750</v>
      </c>
      <c r="AE79" s="372">
        <f t="shared" si="68"/>
        <v>3750</v>
      </c>
      <c r="AF79" s="372">
        <f t="shared" si="68"/>
        <v>3750</v>
      </c>
      <c r="AG79" s="372">
        <f t="shared" si="68"/>
        <v>3750</v>
      </c>
      <c r="AH79" s="372">
        <f t="shared" si="68"/>
        <v>3750</v>
      </c>
      <c r="AI79" s="372">
        <f t="shared" si="68"/>
        <v>3750</v>
      </c>
      <c r="AJ79" s="372">
        <f t="shared" si="68"/>
        <v>3750</v>
      </c>
      <c r="AK79" s="372">
        <f t="shared" si="68"/>
        <v>3750</v>
      </c>
      <c r="AL79" s="372">
        <f t="shared" si="68"/>
        <v>3750</v>
      </c>
      <c r="AM79" s="372">
        <f t="shared" si="68"/>
        <v>3750</v>
      </c>
      <c r="AP79" s="433">
        <f t="shared" ref="AP79:CK79" si="72">AP76*Health_Benefits</f>
        <v>0</v>
      </c>
      <c r="AQ79" s="433">
        <f t="shared" si="72"/>
        <v>0</v>
      </c>
      <c r="AR79" s="433">
        <f t="shared" si="72"/>
        <v>0</v>
      </c>
      <c r="AS79" s="433">
        <f t="shared" si="72"/>
        <v>0</v>
      </c>
      <c r="AT79" s="433">
        <f t="shared" si="72"/>
        <v>0</v>
      </c>
      <c r="AU79" s="433">
        <f t="shared" si="72"/>
        <v>0</v>
      </c>
      <c r="AV79" s="433">
        <f t="shared" si="72"/>
        <v>0</v>
      </c>
      <c r="AW79" s="433">
        <f t="shared" si="72"/>
        <v>0</v>
      </c>
      <c r="AX79" s="433">
        <f t="shared" si="72"/>
        <v>0</v>
      </c>
      <c r="AY79" s="433">
        <f t="shared" si="72"/>
        <v>0</v>
      </c>
      <c r="AZ79" s="433">
        <f t="shared" si="72"/>
        <v>0</v>
      </c>
      <c r="BA79" s="433">
        <f t="shared" si="72"/>
        <v>0</v>
      </c>
      <c r="BB79" s="433">
        <f t="shared" si="72"/>
        <v>0</v>
      </c>
      <c r="BC79" s="433">
        <f t="shared" si="72"/>
        <v>0</v>
      </c>
      <c r="BD79" s="433">
        <f t="shared" si="72"/>
        <v>1071.4285714285713</v>
      </c>
      <c r="BE79" s="433">
        <f t="shared" si="72"/>
        <v>1250</v>
      </c>
      <c r="BF79" s="433">
        <f t="shared" si="72"/>
        <v>1250</v>
      </c>
      <c r="BG79" s="433">
        <f t="shared" si="72"/>
        <v>1250</v>
      </c>
      <c r="BH79" s="433">
        <f t="shared" si="72"/>
        <v>1250</v>
      </c>
      <c r="BI79" s="433">
        <f t="shared" si="72"/>
        <v>1250</v>
      </c>
      <c r="BJ79" s="433">
        <f t="shared" si="72"/>
        <v>1250</v>
      </c>
      <c r="BK79" s="433">
        <f t="shared" si="72"/>
        <v>1250</v>
      </c>
      <c r="BL79" s="433">
        <f t="shared" si="72"/>
        <v>1250</v>
      </c>
      <c r="BM79" s="433">
        <f t="shared" si="72"/>
        <v>1250</v>
      </c>
      <c r="BN79" s="433">
        <f t="shared" si="72"/>
        <v>1250</v>
      </c>
      <c r="BO79" s="433">
        <f t="shared" si="72"/>
        <v>1250</v>
      </c>
      <c r="BP79" s="433">
        <f t="shared" si="72"/>
        <v>1250</v>
      </c>
      <c r="BQ79" s="433">
        <f t="shared" si="72"/>
        <v>1250</v>
      </c>
      <c r="BR79" s="433">
        <f t="shared" si="72"/>
        <v>1250</v>
      </c>
      <c r="BS79" s="433">
        <f t="shared" si="72"/>
        <v>1250</v>
      </c>
      <c r="BT79" s="433">
        <f t="shared" si="72"/>
        <v>1250</v>
      </c>
      <c r="BU79" s="433">
        <f t="shared" si="72"/>
        <v>1250</v>
      </c>
      <c r="BV79" s="433">
        <f t="shared" si="72"/>
        <v>1250</v>
      </c>
      <c r="BW79" s="433">
        <f t="shared" si="72"/>
        <v>1250</v>
      </c>
      <c r="BX79" s="433">
        <f t="shared" si="72"/>
        <v>1250</v>
      </c>
      <c r="BY79" s="433">
        <f t="shared" si="72"/>
        <v>1250</v>
      </c>
      <c r="BZ79" s="433">
        <f t="shared" si="72"/>
        <v>1250</v>
      </c>
      <c r="CA79" s="433">
        <f t="shared" si="72"/>
        <v>1250</v>
      </c>
      <c r="CB79" s="433">
        <f t="shared" si="72"/>
        <v>1250</v>
      </c>
      <c r="CC79" s="433">
        <f t="shared" si="72"/>
        <v>1250</v>
      </c>
      <c r="CD79" s="433">
        <f t="shared" si="72"/>
        <v>1250</v>
      </c>
      <c r="CE79" s="433">
        <f t="shared" si="72"/>
        <v>1250</v>
      </c>
      <c r="CF79" s="433">
        <f t="shared" si="72"/>
        <v>1250</v>
      </c>
      <c r="CG79" s="433">
        <f t="shared" si="72"/>
        <v>1250</v>
      </c>
      <c r="CH79" s="433">
        <f t="shared" si="72"/>
        <v>1250</v>
      </c>
      <c r="CI79" s="433">
        <f t="shared" si="72"/>
        <v>1250</v>
      </c>
      <c r="CJ79" s="433">
        <f t="shared" si="72"/>
        <v>1250</v>
      </c>
      <c r="CK79" s="433">
        <f t="shared" si="72"/>
        <v>1250</v>
      </c>
    </row>
    <row r="80" spans="2:89" outlineLevel="2">
      <c r="D80" s="383" t="s">
        <v>197</v>
      </c>
      <c r="E80" s="50" t="s">
        <v>181</v>
      </c>
      <c r="F80" s="383" t="s">
        <v>198</v>
      </c>
      <c r="G80" s="50" t="str" cm="1">
        <f t="array" ref="G80">INDEX(PBC_ACCOUNT_LIST[Name],_xlfn.XMATCH(H80,PBC_ACCOUNT_LIST[Id]))</f>
        <v>Payroll Processing Fees</v>
      </c>
      <c r="H80" s="544">
        <v>181</v>
      </c>
      <c r="R80" s="372">
        <f t="shared" si="67"/>
        <v>0</v>
      </c>
      <c r="S80" s="372">
        <f t="shared" si="67"/>
        <v>308.03571428571428</v>
      </c>
      <c r="T80" s="372">
        <f t="shared" si="67"/>
        <v>375</v>
      </c>
      <c r="U80" s="372">
        <f t="shared" si="67"/>
        <v>375</v>
      </c>
      <c r="X80" s="372">
        <f t="shared" si="68"/>
        <v>0</v>
      </c>
      <c r="Y80" s="372">
        <f t="shared" si="68"/>
        <v>0</v>
      </c>
      <c r="Z80" s="372">
        <f t="shared" si="68"/>
        <v>0</v>
      </c>
      <c r="AA80" s="372">
        <f t="shared" si="68"/>
        <v>0</v>
      </c>
      <c r="AB80" s="372">
        <f t="shared" si="68"/>
        <v>26.785714285714285</v>
      </c>
      <c r="AC80" s="372">
        <f t="shared" si="68"/>
        <v>93.75</v>
      </c>
      <c r="AD80" s="372">
        <f t="shared" si="68"/>
        <v>93.75</v>
      </c>
      <c r="AE80" s="372">
        <f t="shared" si="68"/>
        <v>93.75</v>
      </c>
      <c r="AF80" s="372">
        <f t="shared" si="68"/>
        <v>93.75</v>
      </c>
      <c r="AG80" s="372">
        <f t="shared" si="68"/>
        <v>93.75</v>
      </c>
      <c r="AH80" s="372">
        <f t="shared" si="68"/>
        <v>93.75</v>
      </c>
      <c r="AI80" s="372">
        <f t="shared" si="68"/>
        <v>93.75</v>
      </c>
      <c r="AJ80" s="372">
        <f t="shared" si="68"/>
        <v>93.75</v>
      </c>
      <c r="AK80" s="372">
        <f t="shared" si="68"/>
        <v>93.75</v>
      </c>
      <c r="AL80" s="372">
        <f t="shared" si="68"/>
        <v>93.75</v>
      </c>
      <c r="AM80" s="372">
        <f t="shared" si="68"/>
        <v>93.75</v>
      </c>
      <c r="AP80" s="433" cm="1">
        <f t="array" ref="AP80">AP76*Payroll_Admin_Fees</f>
        <v>0</v>
      </c>
      <c r="AQ80" s="433">
        <f t="shared" ref="AQ80:CK80" si="73">AQ76*Payroll_Admin_Fees</f>
        <v>0</v>
      </c>
      <c r="AR80" s="433">
        <f t="shared" si="73"/>
        <v>0</v>
      </c>
      <c r="AS80" s="433">
        <f t="shared" si="73"/>
        <v>0</v>
      </c>
      <c r="AT80" s="433">
        <f t="shared" si="73"/>
        <v>0</v>
      </c>
      <c r="AU80" s="433">
        <f t="shared" si="73"/>
        <v>0</v>
      </c>
      <c r="AV80" s="433">
        <f t="shared" si="73"/>
        <v>0</v>
      </c>
      <c r="AW80" s="433">
        <f t="shared" si="73"/>
        <v>0</v>
      </c>
      <c r="AX80" s="433">
        <f t="shared" si="73"/>
        <v>0</v>
      </c>
      <c r="AY80" s="433">
        <f t="shared" si="73"/>
        <v>0</v>
      </c>
      <c r="AZ80" s="433">
        <f t="shared" si="73"/>
        <v>0</v>
      </c>
      <c r="BA80" s="433">
        <f t="shared" si="73"/>
        <v>0</v>
      </c>
      <c r="BB80" s="433">
        <f t="shared" si="73"/>
        <v>0</v>
      </c>
      <c r="BC80" s="433">
        <f t="shared" si="73"/>
        <v>0</v>
      </c>
      <c r="BD80" s="433">
        <f t="shared" si="73"/>
        <v>26.785714285714285</v>
      </c>
      <c r="BE80" s="433">
        <f t="shared" si="73"/>
        <v>31.25</v>
      </c>
      <c r="BF80" s="433">
        <f t="shared" si="73"/>
        <v>31.25</v>
      </c>
      <c r="BG80" s="433">
        <f t="shared" si="73"/>
        <v>31.25</v>
      </c>
      <c r="BH80" s="433">
        <f t="shared" si="73"/>
        <v>31.25</v>
      </c>
      <c r="BI80" s="433">
        <f t="shared" si="73"/>
        <v>31.25</v>
      </c>
      <c r="BJ80" s="433">
        <f t="shared" si="73"/>
        <v>31.25</v>
      </c>
      <c r="BK80" s="433">
        <f t="shared" si="73"/>
        <v>31.25</v>
      </c>
      <c r="BL80" s="433">
        <f t="shared" si="73"/>
        <v>31.25</v>
      </c>
      <c r="BM80" s="433">
        <f t="shared" si="73"/>
        <v>31.25</v>
      </c>
      <c r="BN80" s="433">
        <f t="shared" si="73"/>
        <v>31.25</v>
      </c>
      <c r="BO80" s="433">
        <f t="shared" si="73"/>
        <v>31.25</v>
      </c>
      <c r="BP80" s="433">
        <f t="shared" si="73"/>
        <v>31.25</v>
      </c>
      <c r="BQ80" s="433">
        <f t="shared" si="73"/>
        <v>31.25</v>
      </c>
      <c r="BR80" s="433">
        <f t="shared" si="73"/>
        <v>31.25</v>
      </c>
      <c r="BS80" s="433">
        <f t="shared" si="73"/>
        <v>31.25</v>
      </c>
      <c r="BT80" s="433">
        <f t="shared" si="73"/>
        <v>31.25</v>
      </c>
      <c r="BU80" s="433">
        <f t="shared" si="73"/>
        <v>31.25</v>
      </c>
      <c r="BV80" s="433">
        <f t="shared" si="73"/>
        <v>31.25</v>
      </c>
      <c r="BW80" s="433">
        <f t="shared" si="73"/>
        <v>31.25</v>
      </c>
      <c r="BX80" s="433">
        <f t="shared" si="73"/>
        <v>31.25</v>
      </c>
      <c r="BY80" s="433">
        <f t="shared" si="73"/>
        <v>31.25</v>
      </c>
      <c r="BZ80" s="433">
        <f t="shared" si="73"/>
        <v>31.25</v>
      </c>
      <c r="CA80" s="433">
        <f t="shared" si="73"/>
        <v>31.25</v>
      </c>
      <c r="CB80" s="433">
        <f t="shared" si="73"/>
        <v>31.25</v>
      </c>
      <c r="CC80" s="433">
        <f t="shared" si="73"/>
        <v>31.25</v>
      </c>
      <c r="CD80" s="433">
        <f t="shared" si="73"/>
        <v>31.25</v>
      </c>
      <c r="CE80" s="433">
        <f t="shared" si="73"/>
        <v>31.25</v>
      </c>
      <c r="CF80" s="433">
        <f t="shared" si="73"/>
        <v>31.25</v>
      </c>
      <c r="CG80" s="433">
        <f t="shared" si="73"/>
        <v>31.25</v>
      </c>
      <c r="CH80" s="433">
        <f t="shared" si="73"/>
        <v>31.25</v>
      </c>
      <c r="CI80" s="433">
        <f t="shared" si="73"/>
        <v>31.25</v>
      </c>
      <c r="CJ80" s="433">
        <f t="shared" si="73"/>
        <v>31.25</v>
      </c>
      <c r="CK80" s="433">
        <f t="shared" si="73"/>
        <v>31.25</v>
      </c>
    </row>
    <row r="81" spans="3:89" outlineLevel="2">
      <c r="D81" s="383" t="s">
        <v>200</v>
      </c>
      <c r="E81" s="50" t="s">
        <v>181</v>
      </c>
      <c r="F81" s="383" t="s">
        <v>200</v>
      </c>
      <c r="G81" s="50" t="str" cm="1">
        <f t="array" ref="G81">INDEX(PBC_ACCOUNT_LIST[Name],_xlfn.XMATCH(H81,PBC_ACCOUNT_LIST[Id]))</f>
        <v>Salary &amp; Wages</v>
      </c>
      <c r="H81" s="544">
        <v>178</v>
      </c>
      <c r="R81" s="372">
        <f t="shared" si="67"/>
        <v>0</v>
      </c>
      <c r="S81" s="372">
        <f t="shared" si="67"/>
        <v>5000</v>
      </c>
      <c r="T81" s="372">
        <f t="shared" si="67"/>
        <v>10000</v>
      </c>
      <c r="U81" s="372">
        <f t="shared" si="67"/>
        <v>10000</v>
      </c>
      <c r="X81" s="372">
        <f t="shared" si="68"/>
        <v>0</v>
      </c>
      <c r="Y81" s="372">
        <f t="shared" si="68"/>
        <v>0</v>
      </c>
      <c r="Z81" s="372">
        <f t="shared" si="68"/>
        <v>0</v>
      </c>
      <c r="AA81" s="372">
        <f t="shared" si="68"/>
        <v>0</v>
      </c>
      <c r="AB81" s="372">
        <f t="shared" si="68"/>
        <v>0</v>
      </c>
      <c r="AC81" s="372">
        <f t="shared" si="68"/>
        <v>0</v>
      </c>
      <c r="AD81" s="372">
        <f t="shared" si="68"/>
        <v>0</v>
      </c>
      <c r="AE81" s="372">
        <f t="shared" si="68"/>
        <v>5000</v>
      </c>
      <c r="AF81" s="372">
        <f t="shared" si="68"/>
        <v>0</v>
      </c>
      <c r="AG81" s="372">
        <f t="shared" si="68"/>
        <v>0</v>
      </c>
      <c r="AH81" s="372">
        <f t="shared" si="68"/>
        <v>0</v>
      </c>
      <c r="AI81" s="372">
        <f t="shared" si="68"/>
        <v>10000</v>
      </c>
      <c r="AJ81" s="372">
        <f t="shared" si="68"/>
        <v>0</v>
      </c>
      <c r="AK81" s="372">
        <f t="shared" si="68"/>
        <v>0</v>
      </c>
      <c r="AL81" s="372">
        <f t="shared" si="68"/>
        <v>0</v>
      </c>
      <c r="AM81" s="372">
        <f t="shared" si="68"/>
        <v>10000</v>
      </c>
      <c r="AP81" s="433">
        <f t="shared" ref="AP81:CK81" si="74">IF(MONTH(AP$8)=MONTH(BonusMonth),SUMIFS($N$11:$N$35,AP$11:AP$35,"&gt;"&amp;0,$G$11:$G$35,$C75),0)</f>
        <v>0</v>
      </c>
      <c r="AQ81" s="433">
        <f t="shared" si="74"/>
        <v>0</v>
      </c>
      <c r="AR81" s="433">
        <f t="shared" si="74"/>
        <v>0</v>
      </c>
      <c r="AS81" s="433">
        <f t="shared" si="74"/>
        <v>0</v>
      </c>
      <c r="AT81" s="433">
        <f t="shared" si="74"/>
        <v>0</v>
      </c>
      <c r="AU81" s="433">
        <f t="shared" si="74"/>
        <v>0</v>
      </c>
      <c r="AV81" s="433">
        <f t="shared" si="74"/>
        <v>0</v>
      </c>
      <c r="AW81" s="433">
        <f t="shared" si="74"/>
        <v>0</v>
      </c>
      <c r="AX81" s="433">
        <f t="shared" si="74"/>
        <v>0</v>
      </c>
      <c r="AY81" s="433">
        <f t="shared" si="74"/>
        <v>0</v>
      </c>
      <c r="AZ81" s="433">
        <f t="shared" si="74"/>
        <v>0</v>
      </c>
      <c r="BA81" s="433">
        <f t="shared" si="74"/>
        <v>0</v>
      </c>
      <c r="BB81" s="433">
        <f t="shared" si="74"/>
        <v>0</v>
      </c>
      <c r="BC81" s="433">
        <f t="shared" si="74"/>
        <v>0</v>
      </c>
      <c r="BD81" s="433">
        <f t="shared" si="74"/>
        <v>0</v>
      </c>
      <c r="BE81" s="433">
        <f t="shared" si="74"/>
        <v>0</v>
      </c>
      <c r="BF81" s="433">
        <f t="shared" si="74"/>
        <v>0</v>
      </c>
      <c r="BG81" s="433">
        <f t="shared" si="74"/>
        <v>0</v>
      </c>
      <c r="BH81" s="433">
        <f t="shared" si="74"/>
        <v>0</v>
      </c>
      <c r="BI81" s="433">
        <f t="shared" si="74"/>
        <v>0</v>
      </c>
      <c r="BJ81" s="433">
        <f t="shared" si="74"/>
        <v>0</v>
      </c>
      <c r="BK81" s="433">
        <f t="shared" si="74"/>
        <v>0</v>
      </c>
      <c r="BL81" s="433">
        <f t="shared" si="74"/>
        <v>0</v>
      </c>
      <c r="BM81" s="433">
        <f t="shared" si="74"/>
        <v>5000</v>
      </c>
      <c r="BN81" s="433">
        <f t="shared" si="74"/>
        <v>0</v>
      </c>
      <c r="BO81" s="433">
        <f t="shared" si="74"/>
        <v>0</v>
      </c>
      <c r="BP81" s="433">
        <f t="shared" si="74"/>
        <v>0</v>
      </c>
      <c r="BQ81" s="433">
        <f t="shared" si="74"/>
        <v>0</v>
      </c>
      <c r="BR81" s="433">
        <f t="shared" si="74"/>
        <v>0</v>
      </c>
      <c r="BS81" s="433">
        <f t="shared" si="74"/>
        <v>0</v>
      </c>
      <c r="BT81" s="433">
        <f t="shared" si="74"/>
        <v>0</v>
      </c>
      <c r="BU81" s="433">
        <f t="shared" si="74"/>
        <v>0</v>
      </c>
      <c r="BV81" s="433">
        <f t="shared" si="74"/>
        <v>0</v>
      </c>
      <c r="BW81" s="433">
        <f t="shared" si="74"/>
        <v>0</v>
      </c>
      <c r="BX81" s="433">
        <f t="shared" si="74"/>
        <v>0</v>
      </c>
      <c r="BY81" s="433">
        <f t="shared" si="74"/>
        <v>10000</v>
      </c>
      <c r="BZ81" s="433">
        <f t="shared" si="74"/>
        <v>0</v>
      </c>
      <c r="CA81" s="433">
        <f t="shared" si="74"/>
        <v>0</v>
      </c>
      <c r="CB81" s="433">
        <f t="shared" si="74"/>
        <v>0</v>
      </c>
      <c r="CC81" s="433">
        <f t="shared" si="74"/>
        <v>0</v>
      </c>
      <c r="CD81" s="433">
        <f t="shared" si="74"/>
        <v>0</v>
      </c>
      <c r="CE81" s="433">
        <f t="shared" si="74"/>
        <v>0</v>
      </c>
      <c r="CF81" s="433">
        <f t="shared" si="74"/>
        <v>0</v>
      </c>
      <c r="CG81" s="433">
        <f t="shared" si="74"/>
        <v>0</v>
      </c>
      <c r="CH81" s="433">
        <f t="shared" si="74"/>
        <v>0</v>
      </c>
      <c r="CI81" s="433">
        <f t="shared" si="74"/>
        <v>0</v>
      </c>
      <c r="CJ81" s="433">
        <f t="shared" si="74"/>
        <v>0</v>
      </c>
      <c r="CK81" s="433">
        <f t="shared" si="74"/>
        <v>10000</v>
      </c>
    </row>
    <row r="82" spans="3:89" outlineLevel="1">
      <c r="C82" s="355" t="s">
        <v>182</v>
      </c>
      <c r="R82" s="480">
        <f>SUM(R83:R88)</f>
        <v>0</v>
      </c>
      <c r="S82" s="480">
        <f>SUM(S83:S88)</f>
        <v>0</v>
      </c>
      <c r="T82" s="480">
        <f>SUM(T83:T88)</f>
        <v>78340.624999999985</v>
      </c>
      <c r="U82" s="480">
        <f>SUM(U83:U88)</f>
        <v>181674.99999999997</v>
      </c>
      <c r="X82" s="480">
        <f t="shared" ref="X82:AM82" si="75">SUM(X83:X88)</f>
        <v>0</v>
      </c>
      <c r="Y82" s="480">
        <f t="shared" si="75"/>
        <v>0</v>
      </c>
      <c r="Z82" s="480">
        <f t="shared" si="75"/>
        <v>0</v>
      </c>
      <c r="AA82" s="480">
        <f t="shared" si="75"/>
        <v>0</v>
      </c>
      <c r="AB82" s="480">
        <f t="shared" si="75"/>
        <v>0</v>
      </c>
      <c r="AC82" s="480">
        <f t="shared" si="75"/>
        <v>0</v>
      </c>
      <c r="AD82" s="480">
        <f t="shared" si="75"/>
        <v>0</v>
      </c>
      <c r="AE82" s="480">
        <f t="shared" si="75"/>
        <v>0</v>
      </c>
      <c r="AF82" s="480">
        <f t="shared" si="75"/>
        <v>0</v>
      </c>
      <c r="AG82" s="480">
        <f t="shared" si="75"/>
        <v>13303.125</v>
      </c>
      <c r="AH82" s="480">
        <f t="shared" si="75"/>
        <v>32518.75</v>
      </c>
      <c r="AI82" s="480">
        <f t="shared" si="75"/>
        <v>32518.75</v>
      </c>
      <c r="AJ82" s="480">
        <f t="shared" si="75"/>
        <v>32518.75</v>
      </c>
      <c r="AK82" s="480">
        <f t="shared" si="75"/>
        <v>36818.749999999993</v>
      </c>
      <c r="AL82" s="480">
        <f t="shared" si="75"/>
        <v>56168.75</v>
      </c>
      <c r="AM82" s="480">
        <f t="shared" si="75"/>
        <v>56168.75</v>
      </c>
      <c r="AO82" s="51"/>
      <c r="AP82" s="480">
        <f t="shared" ref="AP82:CK82" si="76">SUM(AP83:AP88)</f>
        <v>0</v>
      </c>
      <c r="AQ82" s="480">
        <f t="shared" si="76"/>
        <v>0</v>
      </c>
      <c r="AR82" s="480">
        <f t="shared" si="76"/>
        <v>0</v>
      </c>
      <c r="AS82" s="480">
        <f t="shared" si="76"/>
        <v>0</v>
      </c>
      <c r="AT82" s="480">
        <f t="shared" si="76"/>
        <v>0</v>
      </c>
      <c r="AU82" s="480">
        <f t="shared" si="76"/>
        <v>0</v>
      </c>
      <c r="AV82" s="480">
        <f t="shared" si="76"/>
        <v>0</v>
      </c>
      <c r="AW82" s="480">
        <f t="shared" si="76"/>
        <v>0</v>
      </c>
      <c r="AX82" s="480">
        <f t="shared" si="76"/>
        <v>0</v>
      </c>
      <c r="AY82" s="480">
        <f t="shared" si="76"/>
        <v>0</v>
      </c>
      <c r="AZ82" s="480">
        <f t="shared" si="76"/>
        <v>0</v>
      </c>
      <c r="BA82" s="480">
        <f t="shared" si="76"/>
        <v>0</v>
      </c>
      <c r="BB82" s="480">
        <f t="shared" si="76"/>
        <v>0</v>
      </c>
      <c r="BC82" s="480">
        <f t="shared" si="76"/>
        <v>0</v>
      </c>
      <c r="BD82" s="480">
        <f t="shared" si="76"/>
        <v>0</v>
      </c>
      <c r="BE82" s="480">
        <f t="shared" si="76"/>
        <v>0</v>
      </c>
      <c r="BF82" s="480">
        <f t="shared" si="76"/>
        <v>0</v>
      </c>
      <c r="BG82" s="480">
        <f t="shared" si="76"/>
        <v>0</v>
      </c>
      <c r="BH82" s="480">
        <f t="shared" si="76"/>
        <v>0</v>
      </c>
      <c r="BI82" s="480">
        <f t="shared" si="76"/>
        <v>0</v>
      </c>
      <c r="BJ82" s="480">
        <f t="shared" si="76"/>
        <v>0</v>
      </c>
      <c r="BK82" s="480">
        <f t="shared" si="76"/>
        <v>0</v>
      </c>
      <c r="BL82" s="480">
        <f t="shared" si="76"/>
        <v>0</v>
      </c>
      <c r="BM82" s="480">
        <f t="shared" si="76"/>
        <v>0</v>
      </c>
      <c r="BN82" s="480">
        <f t="shared" si="76"/>
        <v>0</v>
      </c>
      <c r="BO82" s="480">
        <f t="shared" si="76"/>
        <v>0</v>
      </c>
      <c r="BP82" s="480">
        <f t="shared" si="76"/>
        <v>0</v>
      </c>
      <c r="BQ82" s="480">
        <f t="shared" si="76"/>
        <v>0</v>
      </c>
      <c r="BR82" s="480">
        <f t="shared" si="76"/>
        <v>2463.541666666667</v>
      </c>
      <c r="BS82" s="480">
        <f t="shared" si="76"/>
        <v>10839.583333333332</v>
      </c>
      <c r="BT82" s="480">
        <f t="shared" si="76"/>
        <v>10839.583333333332</v>
      </c>
      <c r="BU82" s="480">
        <f t="shared" si="76"/>
        <v>10839.583333333332</v>
      </c>
      <c r="BV82" s="480">
        <f t="shared" si="76"/>
        <v>10839.583333333332</v>
      </c>
      <c r="BW82" s="480">
        <f t="shared" si="76"/>
        <v>10839.583333333332</v>
      </c>
      <c r="BX82" s="480">
        <f t="shared" si="76"/>
        <v>10839.583333333332</v>
      </c>
      <c r="BY82" s="480">
        <f t="shared" si="76"/>
        <v>10839.583333333332</v>
      </c>
      <c r="BZ82" s="480">
        <f t="shared" si="76"/>
        <v>10839.583333333332</v>
      </c>
      <c r="CA82" s="480">
        <f t="shared" si="76"/>
        <v>10839.583333333332</v>
      </c>
      <c r="CB82" s="480">
        <f t="shared" si="76"/>
        <v>10839.583333333332</v>
      </c>
      <c r="CC82" s="480">
        <f t="shared" si="76"/>
        <v>10839.583333333332</v>
      </c>
      <c r="CD82" s="480">
        <f t="shared" si="76"/>
        <v>10839.583333333332</v>
      </c>
      <c r="CE82" s="480">
        <f t="shared" si="76"/>
        <v>15139.583333333332</v>
      </c>
      <c r="CF82" s="480">
        <f t="shared" si="76"/>
        <v>18722.916666666664</v>
      </c>
      <c r="CG82" s="480">
        <f t="shared" si="76"/>
        <v>18722.916666666664</v>
      </c>
      <c r="CH82" s="480">
        <f t="shared" si="76"/>
        <v>18722.916666666664</v>
      </c>
      <c r="CI82" s="480">
        <f t="shared" si="76"/>
        <v>18722.916666666664</v>
      </c>
      <c r="CJ82" s="480">
        <f t="shared" si="76"/>
        <v>18722.916666666664</v>
      </c>
      <c r="CK82" s="480">
        <f t="shared" si="76"/>
        <v>18722.916666666664</v>
      </c>
    </row>
    <row r="83" spans="3:89" outlineLevel="2">
      <c r="D83" s="383" t="s">
        <v>406</v>
      </c>
      <c r="E83" s="50" t="s">
        <v>183</v>
      </c>
      <c r="F83" s="383" t="s">
        <v>190</v>
      </c>
      <c r="G83" s="50" t="str" cm="1">
        <f t="array" ref="G83">INDEX(PBC_ACCOUNT_LIST[Name],_xlfn.XMATCH(H83,PBC_ACCOUNT_LIST[Id]))</f>
        <v>Salary &amp; Wages</v>
      </c>
      <c r="H83" s="544">
        <v>178</v>
      </c>
      <c r="R83" s="372">
        <f t="shared" ref="R83:U88" si="77">SUMIFS($AP83:$CK83,$AP$4:$CK$4,"&gt;="&amp;R$4,$AP$5:$CK$5,"&lt;="&amp;R$5)</f>
        <v>0</v>
      </c>
      <c r="S83" s="372">
        <f t="shared" si="77"/>
        <v>0</v>
      </c>
      <c r="T83" s="372">
        <f t="shared" si="77"/>
        <v>66249.999999999985</v>
      </c>
      <c r="U83" s="372">
        <f t="shared" si="77"/>
        <v>153636.36363636362</v>
      </c>
      <c r="X83" s="372">
        <f t="shared" ref="X83:AM88" si="78">SUMIFS($AP83:$CK83,$AP$4:$CK$4,"&gt;="&amp;X$4,$AP$5:$CK$5,"&lt;="&amp;X$5)</f>
        <v>0</v>
      </c>
      <c r="Y83" s="372">
        <f t="shared" si="78"/>
        <v>0</v>
      </c>
      <c r="Z83" s="372">
        <f t="shared" si="78"/>
        <v>0</v>
      </c>
      <c r="AA83" s="372">
        <f t="shared" si="78"/>
        <v>0</v>
      </c>
      <c r="AB83" s="372">
        <f t="shared" si="78"/>
        <v>0</v>
      </c>
      <c r="AC83" s="372">
        <f t="shared" si="78"/>
        <v>0</v>
      </c>
      <c r="AD83" s="372">
        <f t="shared" si="78"/>
        <v>0</v>
      </c>
      <c r="AE83" s="372">
        <f t="shared" si="78"/>
        <v>0</v>
      </c>
      <c r="AF83" s="372">
        <f t="shared" si="78"/>
        <v>0</v>
      </c>
      <c r="AG83" s="372">
        <f t="shared" si="78"/>
        <v>11250</v>
      </c>
      <c r="AH83" s="372">
        <f t="shared" si="78"/>
        <v>27500</v>
      </c>
      <c r="AI83" s="372">
        <f t="shared" si="78"/>
        <v>27500</v>
      </c>
      <c r="AJ83" s="372">
        <f t="shared" si="78"/>
        <v>27500</v>
      </c>
      <c r="AK83" s="372">
        <f t="shared" si="78"/>
        <v>31136.363636363632</v>
      </c>
      <c r="AL83" s="372">
        <f t="shared" si="78"/>
        <v>47500</v>
      </c>
      <c r="AM83" s="372">
        <f t="shared" si="78"/>
        <v>47500</v>
      </c>
      <c r="AP83" s="372">
        <f t="shared" ref="AP83:CK83" si="79">SUMIFS(AP$11:AP$35,$G$11:$G$35,$C82,$O$11:$O$35,"FTE") + (AP55 * AP41)</f>
        <v>0</v>
      </c>
      <c r="AQ83" s="372">
        <f t="shared" si="79"/>
        <v>0</v>
      </c>
      <c r="AR83" s="372">
        <f t="shared" si="79"/>
        <v>0</v>
      </c>
      <c r="AS83" s="372">
        <f t="shared" si="79"/>
        <v>0</v>
      </c>
      <c r="AT83" s="372">
        <f t="shared" si="79"/>
        <v>0</v>
      </c>
      <c r="AU83" s="372">
        <f t="shared" si="79"/>
        <v>0</v>
      </c>
      <c r="AV83" s="372">
        <f t="shared" si="79"/>
        <v>0</v>
      </c>
      <c r="AW83" s="372">
        <f t="shared" si="79"/>
        <v>0</v>
      </c>
      <c r="AX83" s="372">
        <f t="shared" si="79"/>
        <v>0</v>
      </c>
      <c r="AY83" s="372">
        <f t="shared" si="79"/>
        <v>0</v>
      </c>
      <c r="AZ83" s="372">
        <f t="shared" si="79"/>
        <v>0</v>
      </c>
      <c r="BA83" s="372">
        <f t="shared" si="79"/>
        <v>0</v>
      </c>
      <c r="BB83" s="372">
        <f t="shared" si="79"/>
        <v>0</v>
      </c>
      <c r="BC83" s="372">
        <f t="shared" si="79"/>
        <v>0</v>
      </c>
      <c r="BD83" s="372">
        <f t="shared" si="79"/>
        <v>0</v>
      </c>
      <c r="BE83" s="372">
        <f t="shared" si="79"/>
        <v>0</v>
      </c>
      <c r="BF83" s="372">
        <f t="shared" si="79"/>
        <v>0</v>
      </c>
      <c r="BG83" s="372">
        <f t="shared" si="79"/>
        <v>0</v>
      </c>
      <c r="BH83" s="372">
        <f t="shared" si="79"/>
        <v>0</v>
      </c>
      <c r="BI83" s="372">
        <f t="shared" si="79"/>
        <v>0</v>
      </c>
      <c r="BJ83" s="372">
        <f t="shared" si="79"/>
        <v>0</v>
      </c>
      <c r="BK83" s="372">
        <f t="shared" si="79"/>
        <v>0</v>
      </c>
      <c r="BL83" s="372">
        <f t="shared" si="79"/>
        <v>0</v>
      </c>
      <c r="BM83" s="372">
        <f t="shared" si="79"/>
        <v>0</v>
      </c>
      <c r="BN83" s="372">
        <f t="shared" si="79"/>
        <v>0</v>
      </c>
      <c r="BO83" s="372">
        <f t="shared" si="79"/>
        <v>0</v>
      </c>
      <c r="BP83" s="372">
        <f t="shared" si="79"/>
        <v>0</v>
      </c>
      <c r="BQ83" s="372">
        <f t="shared" si="79"/>
        <v>0</v>
      </c>
      <c r="BR83" s="372">
        <f t="shared" si="79"/>
        <v>2083.3333333333335</v>
      </c>
      <c r="BS83" s="372">
        <f t="shared" si="79"/>
        <v>9166.6666666666661</v>
      </c>
      <c r="BT83" s="372">
        <f t="shared" si="79"/>
        <v>9166.6666666666661</v>
      </c>
      <c r="BU83" s="372">
        <f t="shared" si="79"/>
        <v>9166.6666666666661</v>
      </c>
      <c r="BV83" s="372">
        <f t="shared" si="79"/>
        <v>9166.6666666666661</v>
      </c>
      <c r="BW83" s="372">
        <f t="shared" si="79"/>
        <v>9166.6666666666661</v>
      </c>
      <c r="BX83" s="372">
        <f t="shared" si="79"/>
        <v>9166.6666666666661</v>
      </c>
      <c r="BY83" s="372">
        <f t="shared" si="79"/>
        <v>9166.6666666666661</v>
      </c>
      <c r="BZ83" s="372">
        <f t="shared" si="79"/>
        <v>9166.6666666666661</v>
      </c>
      <c r="CA83" s="372">
        <f t="shared" si="79"/>
        <v>9166.6666666666661</v>
      </c>
      <c r="CB83" s="372">
        <f t="shared" si="79"/>
        <v>9166.6666666666661</v>
      </c>
      <c r="CC83" s="372">
        <f t="shared" si="79"/>
        <v>9166.6666666666661</v>
      </c>
      <c r="CD83" s="372">
        <f t="shared" si="79"/>
        <v>9166.6666666666661</v>
      </c>
      <c r="CE83" s="372">
        <f t="shared" si="79"/>
        <v>12803.030303030302</v>
      </c>
      <c r="CF83" s="372">
        <f t="shared" si="79"/>
        <v>15833.333333333332</v>
      </c>
      <c r="CG83" s="372">
        <f t="shared" si="79"/>
        <v>15833.333333333332</v>
      </c>
      <c r="CH83" s="372">
        <f t="shared" si="79"/>
        <v>15833.333333333332</v>
      </c>
      <c r="CI83" s="372">
        <f t="shared" si="79"/>
        <v>15833.333333333332</v>
      </c>
      <c r="CJ83" s="372">
        <f t="shared" si="79"/>
        <v>15833.333333333332</v>
      </c>
      <c r="CK83" s="372">
        <f t="shared" si="79"/>
        <v>15833.333333333332</v>
      </c>
    </row>
    <row r="84" spans="3:89" outlineLevel="2">
      <c r="D84" s="383" t="s">
        <v>191</v>
      </c>
      <c r="E84" s="50" t="s">
        <v>183</v>
      </c>
      <c r="F84" s="383" t="s">
        <v>192</v>
      </c>
      <c r="G84" s="50" t="str" cm="1">
        <f t="array" ref="G84">INDEX(PBC_ACCOUNT_LIST[Name],_xlfn.XMATCH(H84,PBC_ACCOUNT_LIST[Id]))</f>
        <v>Contractors</v>
      </c>
      <c r="H84" s="544">
        <v>177</v>
      </c>
      <c r="R84" s="372">
        <f t="shared" si="77"/>
        <v>0</v>
      </c>
      <c r="S84" s="372">
        <f t="shared" si="77"/>
        <v>0</v>
      </c>
      <c r="T84" s="372">
        <f t="shared" si="77"/>
        <v>0</v>
      </c>
      <c r="U84" s="372">
        <f t="shared" si="77"/>
        <v>0</v>
      </c>
      <c r="X84" s="372">
        <f t="shared" si="78"/>
        <v>0</v>
      </c>
      <c r="Y84" s="372">
        <f t="shared" si="78"/>
        <v>0</v>
      </c>
      <c r="Z84" s="372">
        <f t="shared" si="78"/>
        <v>0</v>
      </c>
      <c r="AA84" s="372">
        <f t="shared" si="78"/>
        <v>0</v>
      </c>
      <c r="AB84" s="372">
        <f t="shared" si="78"/>
        <v>0</v>
      </c>
      <c r="AC84" s="372">
        <f t="shared" si="78"/>
        <v>0</v>
      </c>
      <c r="AD84" s="372">
        <f t="shared" si="78"/>
        <v>0</v>
      </c>
      <c r="AE84" s="372">
        <f t="shared" si="78"/>
        <v>0</v>
      </c>
      <c r="AF84" s="372">
        <f t="shared" si="78"/>
        <v>0</v>
      </c>
      <c r="AG84" s="372">
        <f t="shared" si="78"/>
        <v>0</v>
      </c>
      <c r="AH84" s="372">
        <f t="shared" si="78"/>
        <v>0</v>
      </c>
      <c r="AI84" s="372">
        <f t="shared" si="78"/>
        <v>0</v>
      </c>
      <c r="AJ84" s="372">
        <f t="shared" si="78"/>
        <v>0</v>
      </c>
      <c r="AK84" s="372">
        <f t="shared" si="78"/>
        <v>0</v>
      </c>
      <c r="AL84" s="372">
        <f t="shared" si="78"/>
        <v>0</v>
      </c>
      <c r="AM84" s="372">
        <f t="shared" si="78"/>
        <v>0</v>
      </c>
      <c r="AP84" s="372">
        <f t="shared" ref="AP84:CK84" si="80">SUMIFS(AP$11:AP$35,$G$11:$G$35,$C82,$O$11:$O$35,"consultant")</f>
        <v>0</v>
      </c>
      <c r="AQ84" s="372">
        <f t="shared" si="80"/>
        <v>0</v>
      </c>
      <c r="AR84" s="372">
        <f t="shared" si="80"/>
        <v>0</v>
      </c>
      <c r="AS84" s="372">
        <f t="shared" si="80"/>
        <v>0</v>
      </c>
      <c r="AT84" s="372">
        <f t="shared" si="80"/>
        <v>0</v>
      </c>
      <c r="AU84" s="372">
        <f t="shared" si="80"/>
        <v>0</v>
      </c>
      <c r="AV84" s="372">
        <f t="shared" si="80"/>
        <v>0</v>
      </c>
      <c r="AW84" s="372">
        <f t="shared" si="80"/>
        <v>0</v>
      </c>
      <c r="AX84" s="372">
        <f t="shared" si="80"/>
        <v>0</v>
      </c>
      <c r="AY84" s="372">
        <f t="shared" si="80"/>
        <v>0</v>
      </c>
      <c r="AZ84" s="372">
        <f t="shared" si="80"/>
        <v>0</v>
      </c>
      <c r="BA84" s="372">
        <f t="shared" si="80"/>
        <v>0</v>
      </c>
      <c r="BB84" s="372">
        <f t="shared" si="80"/>
        <v>0</v>
      </c>
      <c r="BC84" s="372">
        <f t="shared" si="80"/>
        <v>0</v>
      </c>
      <c r="BD84" s="372">
        <f t="shared" si="80"/>
        <v>0</v>
      </c>
      <c r="BE84" s="372">
        <f t="shared" si="80"/>
        <v>0</v>
      </c>
      <c r="BF84" s="372">
        <f t="shared" si="80"/>
        <v>0</v>
      </c>
      <c r="BG84" s="372">
        <f t="shared" si="80"/>
        <v>0</v>
      </c>
      <c r="BH84" s="372">
        <f t="shared" si="80"/>
        <v>0</v>
      </c>
      <c r="BI84" s="372">
        <f t="shared" si="80"/>
        <v>0</v>
      </c>
      <c r="BJ84" s="372">
        <f t="shared" si="80"/>
        <v>0</v>
      </c>
      <c r="BK84" s="372">
        <f t="shared" si="80"/>
        <v>0</v>
      </c>
      <c r="BL84" s="372">
        <f t="shared" si="80"/>
        <v>0</v>
      </c>
      <c r="BM84" s="372">
        <f t="shared" si="80"/>
        <v>0</v>
      </c>
      <c r="BN84" s="372">
        <f t="shared" si="80"/>
        <v>0</v>
      </c>
      <c r="BO84" s="372">
        <f t="shared" si="80"/>
        <v>0</v>
      </c>
      <c r="BP84" s="372">
        <f t="shared" si="80"/>
        <v>0</v>
      </c>
      <c r="BQ84" s="372">
        <f t="shared" si="80"/>
        <v>0</v>
      </c>
      <c r="BR84" s="372">
        <f t="shared" si="80"/>
        <v>0</v>
      </c>
      <c r="BS84" s="372">
        <f t="shared" si="80"/>
        <v>0</v>
      </c>
      <c r="BT84" s="372">
        <f t="shared" si="80"/>
        <v>0</v>
      </c>
      <c r="BU84" s="372">
        <f t="shared" si="80"/>
        <v>0</v>
      </c>
      <c r="BV84" s="372">
        <f t="shared" si="80"/>
        <v>0</v>
      </c>
      <c r="BW84" s="372">
        <f t="shared" si="80"/>
        <v>0</v>
      </c>
      <c r="BX84" s="372">
        <f t="shared" si="80"/>
        <v>0</v>
      </c>
      <c r="BY84" s="372">
        <f t="shared" si="80"/>
        <v>0</v>
      </c>
      <c r="BZ84" s="372">
        <f t="shared" si="80"/>
        <v>0</v>
      </c>
      <c r="CA84" s="372">
        <f t="shared" si="80"/>
        <v>0</v>
      </c>
      <c r="CB84" s="372">
        <f t="shared" si="80"/>
        <v>0</v>
      </c>
      <c r="CC84" s="372">
        <f t="shared" si="80"/>
        <v>0</v>
      </c>
      <c r="CD84" s="372">
        <f t="shared" si="80"/>
        <v>0</v>
      </c>
      <c r="CE84" s="372">
        <f t="shared" si="80"/>
        <v>0</v>
      </c>
      <c r="CF84" s="372">
        <f t="shared" si="80"/>
        <v>0</v>
      </c>
      <c r="CG84" s="372">
        <f t="shared" si="80"/>
        <v>0</v>
      </c>
      <c r="CH84" s="372">
        <f t="shared" si="80"/>
        <v>0</v>
      </c>
      <c r="CI84" s="372">
        <f t="shared" si="80"/>
        <v>0</v>
      </c>
      <c r="CJ84" s="372">
        <f t="shared" si="80"/>
        <v>0</v>
      </c>
      <c r="CK84" s="372">
        <f t="shared" si="80"/>
        <v>0</v>
      </c>
    </row>
    <row r="85" spans="3:89" outlineLevel="2">
      <c r="D85" s="383" t="s">
        <v>193</v>
      </c>
      <c r="E85" s="50" t="s">
        <v>183</v>
      </c>
      <c r="F85" s="383" t="s">
        <v>194</v>
      </c>
      <c r="G85" s="50" t="str" cm="1">
        <f t="array" ref="G85">INDEX(PBC_ACCOUNT_LIST[Name],_xlfn.XMATCH(H85,PBC_ACCOUNT_LIST[Id]))</f>
        <v>Payroll Taxes</v>
      </c>
      <c r="H85" s="544">
        <v>179</v>
      </c>
      <c r="R85" s="372">
        <f t="shared" si="77"/>
        <v>0</v>
      </c>
      <c r="S85" s="372">
        <f t="shared" si="77"/>
        <v>0</v>
      </c>
      <c r="T85" s="372">
        <f t="shared" si="77"/>
        <v>5299.9999999999991</v>
      </c>
      <c r="U85" s="372">
        <f t="shared" si="77"/>
        <v>12290.909090909086</v>
      </c>
      <c r="X85" s="372">
        <f t="shared" si="78"/>
        <v>0</v>
      </c>
      <c r="Y85" s="372">
        <f t="shared" si="78"/>
        <v>0</v>
      </c>
      <c r="Z85" s="372">
        <f t="shared" si="78"/>
        <v>0</v>
      </c>
      <c r="AA85" s="372">
        <f t="shared" si="78"/>
        <v>0</v>
      </c>
      <c r="AB85" s="372">
        <f t="shared" si="78"/>
        <v>0</v>
      </c>
      <c r="AC85" s="372">
        <f t="shared" si="78"/>
        <v>0</v>
      </c>
      <c r="AD85" s="372">
        <f t="shared" si="78"/>
        <v>0</v>
      </c>
      <c r="AE85" s="372">
        <f t="shared" si="78"/>
        <v>0</v>
      </c>
      <c r="AF85" s="372">
        <f t="shared" si="78"/>
        <v>0</v>
      </c>
      <c r="AG85" s="372">
        <f t="shared" si="78"/>
        <v>900</v>
      </c>
      <c r="AH85" s="372">
        <f t="shared" si="78"/>
        <v>2200</v>
      </c>
      <c r="AI85" s="372">
        <f t="shared" si="78"/>
        <v>2200</v>
      </c>
      <c r="AJ85" s="372">
        <f t="shared" si="78"/>
        <v>2200</v>
      </c>
      <c r="AK85" s="372">
        <f t="shared" si="78"/>
        <v>2490.909090909091</v>
      </c>
      <c r="AL85" s="372">
        <f t="shared" si="78"/>
        <v>3799.9999999999995</v>
      </c>
      <c r="AM85" s="372">
        <f t="shared" si="78"/>
        <v>3799.9999999999995</v>
      </c>
      <c r="AP85" s="433" cm="1">
        <f t="array" ref="AP85">AP83*Payroll_tax</f>
        <v>0</v>
      </c>
      <c r="AQ85" s="433">
        <f t="shared" ref="AQ85:CK85" si="81">AQ83*Payroll_tax</f>
        <v>0</v>
      </c>
      <c r="AR85" s="433">
        <f t="shared" si="81"/>
        <v>0</v>
      </c>
      <c r="AS85" s="433">
        <f t="shared" si="81"/>
        <v>0</v>
      </c>
      <c r="AT85" s="433">
        <f t="shared" si="81"/>
        <v>0</v>
      </c>
      <c r="AU85" s="433">
        <f t="shared" si="81"/>
        <v>0</v>
      </c>
      <c r="AV85" s="433">
        <f t="shared" si="81"/>
        <v>0</v>
      </c>
      <c r="AW85" s="433">
        <f t="shared" si="81"/>
        <v>0</v>
      </c>
      <c r="AX85" s="433">
        <f t="shared" si="81"/>
        <v>0</v>
      </c>
      <c r="AY85" s="433">
        <f t="shared" si="81"/>
        <v>0</v>
      </c>
      <c r="AZ85" s="433">
        <f t="shared" si="81"/>
        <v>0</v>
      </c>
      <c r="BA85" s="433">
        <f t="shared" si="81"/>
        <v>0</v>
      </c>
      <c r="BB85" s="433">
        <f t="shared" si="81"/>
        <v>0</v>
      </c>
      <c r="BC85" s="433">
        <f t="shared" si="81"/>
        <v>0</v>
      </c>
      <c r="BD85" s="433">
        <f t="shared" si="81"/>
        <v>0</v>
      </c>
      <c r="BE85" s="433">
        <f t="shared" si="81"/>
        <v>0</v>
      </c>
      <c r="BF85" s="433">
        <f t="shared" si="81"/>
        <v>0</v>
      </c>
      <c r="BG85" s="433">
        <f t="shared" si="81"/>
        <v>0</v>
      </c>
      <c r="BH85" s="433">
        <f t="shared" si="81"/>
        <v>0</v>
      </c>
      <c r="BI85" s="433">
        <f t="shared" si="81"/>
        <v>0</v>
      </c>
      <c r="BJ85" s="433">
        <f t="shared" si="81"/>
        <v>0</v>
      </c>
      <c r="BK85" s="433">
        <f t="shared" si="81"/>
        <v>0</v>
      </c>
      <c r="BL85" s="433">
        <f t="shared" si="81"/>
        <v>0</v>
      </c>
      <c r="BM85" s="433">
        <f t="shared" si="81"/>
        <v>0</v>
      </c>
      <c r="BN85" s="433">
        <f t="shared" si="81"/>
        <v>0</v>
      </c>
      <c r="BO85" s="433">
        <f t="shared" si="81"/>
        <v>0</v>
      </c>
      <c r="BP85" s="433">
        <f t="shared" si="81"/>
        <v>0</v>
      </c>
      <c r="BQ85" s="433">
        <f t="shared" si="81"/>
        <v>0</v>
      </c>
      <c r="BR85" s="433">
        <f t="shared" si="81"/>
        <v>166.66666666666669</v>
      </c>
      <c r="BS85" s="433">
        <f t="shared" si="81"/>
        <v>733.33333333333326</v>
      </c>
      <c r="BT85" s="433">
        <f t="shared" si="81"/>
        <v>733.33333333333326</v>
      </c>
      <c r="BU85" s="433">
        <f t="shared" si="81"/>
        <v>733.33333333333326</v>
      </c>
      <c r="BV85" s="433">
        <f t="shared" si="81"/>
        <v>733.33333333333326</v>
      </c>
      <c r="BW85" s="433">
        <f t="shared" si="81"/>
        <v>733.33333333333326</v>
      </c>
      <c r="BX85" s="433">
        <f t="shared" si="81"/>
        <v>733.33333333333326</v>
      </c>
      <c r="BY85" s="433">
        <f t="shared" si="81"/>
        <v>733.33333333333326</v>
      </c>
      <c r="BZ85" s="433">
        <f t="shared" si="81"/>
        <v>733.33333333333326</v>
      </c>
      <c r="CA85" s="433">
        <f t="shared" si="81"/>
        <v>733.33333333333326</v>
      </c>
      <c r="CB85" s="433">
        <f t="shared" si="81"/>
        <v>733.33333333333326</v>
      </c>
      <c r="CC85" s="433">
        <f t="shared" si="81"/>
        <v>733.33333333333326</v>
      </c>
      <c r="CD85" s="433">
        <f t="shared" si="81"/>
        <v>733.33333333333326</v>
      </c>
      <c r="CE85" s="433">
        <f t="shared" si="81"/>
        <v>1024.2424242424242</v>
      </c>
      <c r="CF85" s="433">
        <f t="shared" si="81"/>
        <v>1266.6666666666665</v>
      </c>
      <c r="CG85" s="433">
        <f t="shared" si="81"/>
        <v>1266.6666666666665</v>
      </c>
      <c r="CH85" s="433">
        <f t="shared" si="81"/>
        <v>1266.6666666666665</v>
      </c>
      <c r="CI85" s="433">
        <f t="shared" si="81"/>
        <v>1266.6666666666665</v>
      </c>
      <c r="CJ85" s="433">
        <f t="shared" si="81"/>
        <v>1266.6666666666665</v>
      </c>
      <c r="CK85" s="433">
        <f t="shared" si="81"/>
        <v>1266.6666666666665</v>
      </c>
    </row>
    <row r="86" spans="3:89" outlineLevel="2">
      <c r="D86" s="383" t="s">
        <v>195</v>
      </c>
      <c r="E86" s="50" t="s">
        <v>183</v>
      </c>
      <c r="F86" s="383" t="s">
        <v>196</v>
      </c>
      <c r="G86" s="50" t="str" cm="1">
        <f t="array" ref="G86">INDEX(PBC_ACCOUNT_LIST[Name],_xlfn.XMATCH(H86,PBC_ACCOUNT_LIST[Id]))</f>
        <v>Health Insurance</v>
      </c>
      <c r="H86" s="544">
        <v>180</v>
      </c>
      <c r="R86" s="372">
        <f t="shared" si="77"/>
        <v>0</v>
      </c>
      <c r="S86" s="372">
        <f t="shared" si="77"/>
        <v>0</v>
      </c>
      <c r="T86" s="372">
        <f t="shared" si="77"/>
        <v>6625</v>
      </c>
      <c r="U86" s="372">
        <f t="shared" si="77"/>
        <v>15363.636363636366</v>
      </c>
      <c r="X86" s="372">
        <f t="shared" si="78"/>
        <v>0</v>
      </c>
      <c r="Y86" s="372">
        <f t="shared" si="78"/>
        <v>0</v>
      </c>
      <c r="Z86" s="372">
        <f t="shared" si="78"/>
        <v>0</v>
      </c>
      <c r="AA86" s="372">
        <f t="shared" si="78"/>
        <v>0</v>
      </c>
      <c r="AB86" s="372">
        <f t="shared" si="78"/>
        <v>0</v>
      </c>
      <c r="AC86" s="372">
        <f t="shared" si="78"/>
        <v>0</v>
      </c>
      <c r="AD86" s="372">
        <f t="shared" si="78"/>
        <v>0</v>
      </c>
      <c r="AE86" s="372">
        <f t="shared" si="78"/>
        <v>0</v>
      </c>
      <c r="AF86" s="372">
        <f t="shared" si="78"/>
        <v>0</v>
      </c>
      <c r="AG86" s="372">
        <f t="shared" si="78"/>
        <v>1125</v>
      </c>
      <c r="AH86" s="372">
        <f t="shared" si="78"/>
        <v>2750</v>
      </c>
      <c r="AI86" s="372">
        <f t="shared" si="78"/>
        <v>2750</v>
      </c>
      <c r="AJ86" s="372">
        <f t="shared" si="78"/>
        <v>2750</v>
      </c>
      <c r="AK86" s="372">
        <f t="shared" si="78"/>
        <v>3113.6363636363635</v>
      </c>
      <c r="AL86" s="372">
        <f t="shared" si="78"/>
        <v>4750</v>
      </c>
      <c r="AM86" s="372">
        <f t="shared" si="78"/>
        <v>4750</v>
      </c>
      <c r="AP86" s="433">
        <f t="shared" ref="AP86:CK86" si="82">AP83*Health_Benefits</f>
        <v>0</v>
      </c>
      <c r="AQ86" s="433">
        <f t="shared" si="82"/>
        <v>0</v>
      </c>
      <c r="AR86" s="433">
        <f t="shared" si="82"/>
        <v>0</v>
      </c>
      <c r="AS86" s="433">
        <f t="shared" si="82"/>
        <v>0</v>
      </c>
      <c r="AT86" s="433">
        <f t="shared" si="82"/>
        <v>0</v>
      </c>
      <c r="AU86" s="433">
        <f t="shared" si="82"/>
        <v>0</v>
      </c>
      <c r="AV86" s="433">
        <f t="shared" si="82"/>
        <v>0</v>
      </c>
      <c r="AW86" s="433">
        <f t="shared" si="82"/>
        <v>0</v>
      </c>
      <c r="AX86" s="433">
        <f t="shared" si="82"/>
        <v>0</v>
      </c>
      <c r="AY86" s="433">
        <f t="shared" si="82"/>
        <v>0</v>
      </c>
      <c r="AZ86" s="433">
        <f t="shared" si="82"/>
        <v>0</v>
      </c>
      <c r="BA86" s="433">
        <f t="shared" si="82"/>
        <v>0</v>
      </c>
      <c r="BB86" s="433">
        <f t="shared" si="82"/>
        <v>0</v>
      </c>
      <c r="BC86" s="433">
        <f t="shared" si="82"/>
        <v>0</v>
      </c>
      <c r="BD86" s="433">
        <f t="shared" si="82"/>
        <v>0</v>
      </c>
      <c r="BE86" s="433">
        <f t="shared" si="82"/>
        <v>0</v>
      </c>
      <c r="BF86" s="433">
        <f t="shared" si="82"/>
        <v>0</v>
      </c>
      <c r="BG86" s="433">
        <f t="shared" si="82"/>
        <v>0</v>
      </c>
      <c r="BH86" s="433">
        <f t="shared" si="82"/>
        <v>0</v>
      </c>
      <c r="BI86" s="433">
        <f t="shared" si="82"/>
        <v>0</v>
      </c>
      <c r="BJ86" s="433">
        <f t="shared" si="82"/>
        <v>0</v>
      </c>
      <c r="BK86" s="433">
        <f t="shared" si="82"/>
        <v>0</v>
      </c>
      <c r="BL86" s="433">
        <f t="shared" si="82"/>
        <v>0</v>
      </c>
      <c r="BM86" s="433">
        <f t="shared" si="82"/>
        <v>0</v>
      </c>
      <c r="BN86" s="433">
        <f t="shared" si="82"/>
        <v>0</v>
      </c>
      <c r="BO86" s="433">
        <f t="shared" si="82"/>
        <v>0</v>
      </c>
      <c r="BP86" s="433">
        <f t="shared" si="82"/>
        <v>0</v>
      </c>
      <c r="BQ86" s="433">
        <f t="shared" si="82"/>
        <v>0</v>
      </c>
      <c r="BR86" s="433">
        <f t="shared" si="82"/>
        <v>208.33333333333337</v>
      </c>
      <c r="BS86" s="433">
        <f t="shared" si="82"/>
        <v>916.66666666666663</v>
      </c>
      <c r="BT86" s="433">
        <f t="shared" si="82"/>
        <v>916.66666666666663</v>
      </c>
      <c r="BU86" s="433">
        <f t="shared" si="82"/>
        <v>916.66666666666663</v>
      </c>
      <c r="BV86" s="433">
        <f t="shared" si="82"/>
        <v>916.66666666666663</v>
      </c>
      <c r="BW86" s="433">
        <f t="shared" si="82"/>
        <v>916.66666666666663</v>
      </c>
      <c r="BX86" s="433">
        <f t="shared" si="82"/>
        <v>916.66666666666663</v>
      </c>
      <c r="BY86" s="433">
        <f t="shared" si="82"/>
        <v>916.66666666666663</v>
      </c>
      <c r="BZ86" s="433">
        <f t="shared" si="82"/>
        <v>916.66666666666663</v>
      </c>
      <c r="CA86" s="433">
        <f t="shared" si="82"/>
        <v>916.66666666666663</v>
      </c>
      <c r="CB86" s="433">
        <f t="shared" si="82"/>
        <v>916.66666666666663</v>
      </c>
      <c r="CC86" s="433">
        <f t="shared" si="82"/>
        <v>916.66666666666663</v>
      </c>
      <c r="CD86" s="433">
        <f t="shared" si="82"/>
        <v>916.66666666666663</v>
      </c>
      <c r="CE86" s="433">
        <f t="shared" si="82"/>
        <v>1280.3030303030303</v>
      </c>
      <c r="CF86" s="433">
        <f t="shared" si="82"/>
        <v>1583.3333333333333</v>
      </c>
      <c r="CG86" s="433">
        <f t="shared" si="82"/>
        <v>1583.3333333333333</v>
      </c>
      <c r="CH86" s="433">
        <f t="shared" si="82"/>
        <v>1583.3333333333333</v>
      </c>
      <c r="CI86" s="433">
        <f t="shared" si="82"/>
        <v>1583.3333333333333</v>
      </c>
      <c r="CJ86" s="433">
        <f t="shared" si="82"/>
        <v>1583.3333333333333</v>
      </c>
      <c r="CK86" s="433">
        <f t="shared" si="82"/>
        <v>1583.3333333333333</v>
      </c>
    </row>
    <row r="87" spans="3:89" outlineLevel="2">
      <c r="D87" s="383" t="s">
        <v>197</v>
      </c>
      <c r="E87" s="50" t="s">
        <v>183</v>
      </c>
      <c r="F87" s="383" t="s">
        <v>198</v>
      </c>
      <c r="G87" s="50" t="str" cm="1">
        <f t="array" ref="G87">INDEX(PBC_ACCOUNT_LIST[Name],_xlfn.XMATCH(H87,PBC_ACCOUNT_LIST[Id]))</f>
        <v>Payroll Processing Fees</v>
      </c>
      <c r="H87" s="544">
        <v>181</v>
      </c>
      <c r="R87" s="372">
        <f t="shared" si="77"/>
        <v>0</v>
      </c>
      <c r="S87" s="372">
        <f t="shared" si="77"/>
        <v>0</v>
      </c>
      <c r="T87" s="372">
        <f t="shared" si="77"/>
        <v>165.62499999999997</v>
      </c>
      <c r="U87" s="372">
        <f t="shared" si="77"/>
        <v>384.09090909090895</v>
      </c>
      <c r="X87" s="372">
        <f t="shared" si="78"/>
        <v>0</v>
      </c>
      <c r="Y87" s="372">
        <f t="shared" si="78"/>
        <v>0</v>
      </c>
      <c r="Z87" s="372">
        <f t="shared" si="78"/>
        <v>0</v>
      </c>
      <c r="AA87" s="372">
        <f t="shared" si="78"/>
        <v>0</v>
      </c>
      <c r="AB87" s="372">
        <f t="shared" si="78"/>
        <v>0</v>
      </c>
      <c r="AC87" s="372">
        <f t="shared" si="78"/>
        <v>0</v>
      </c>
      <c r="AD87" s="372">
        <f t="shared" si="78"/>
        <v>0</v>
      </c>
      <c r="AE87" s="372">
        <f t="shared" si="78"/>
        <v>0</v>
      </c>
      <c r="AF87" s="372">
        <f t="shared" si="78"/>
        <v>0</v>
      </c>
      <c r="AG87" s="372">
        <f t="shared" si="78"/>
        <v>28.125</v>
      </c>
      <c r="AH87" s="372">
        <f t="shared" si="78"/>
        <v>68.75</v>
      </c>
      <c r="AI87" s="372">
        <f t="shared" si="78"/>
        <v>68.75</v>
      </c>
      <c r="AJ87" s="372">
        <f t="shared" si="78"/>
        <v>68.75</v>
      </c>
      <c r="AK87" s="372">
        <f t="shared" si="78"/>
        <v>77.840909090909093</v>
      </c>
      <c r="AL87" s="372">
        <f t="shared" si="78"/>
        <v>118.74999999999999</v>
      </c>
      <c r="AM87" s="372">
        <f t="shared" si="78"/>
        <v>118.74999999999999</v>
      </c>
      <c r="AP87" s="433" cm="1">
        <f t="array" ref="AP87">AP83*Payroll_Admin_Fees</f>
        <v>0</v>
      </c>
      <c r="AQ87" s="433">
        <f t="shared" ref="AQ87:CK87" si="83">AQ83*Payroll_Admin_Fees</f>
        <v>0</v>
      </c>
      <c r="AR87" s="433">
        <f t="shared" si="83"/>
        <v>0</v>
      </c>
      <c r="AS87" s="433">
        <f t="shared" si="83"/>
        <v>0</v>
      </c>
      <c r="AT87" s="433">
        <f t="shared" si="83"/>
        <v>0</v>
      </c>
      <c r="AU87" s="433">
        <f t="shared" si="83"/>
        <v>0</v>
      </c>
      <c r="AV87" s="433">
        <f t="shared" si="83"/>
        <v>0</v>
      </c>
      <c r="AW87" s="433">
        <f t="shared" si="83"/>
        <v>0</v>
      </c>
      <c r="AX87" s="433">
        <f t="shared" si="83"/>
        <v>0</v>
      </c>
      <c r="AY87" s="433">
        <f t="shared" si="83"/>
        <v>0</v>
      </c>
      <c r="AZ87" s="433">
        <f t="shared" si="83"/>
        <v>0</v>
      </c>
      <c r="BA87" s="433">
        <f t="shared" si="83"/>
        <v>0</v>
      </c>
      <c r="BB87" s="433">
        <f t="shared" si="83"/>
        <v>0</v>
      </c>
      <c r="BC87" s="433">
        <f t="shared" si="83"/>
        <v>0</v>
      </c>
      <c r="BD87" s="433">
        <f t="shared" si="83"/>
        <v>0</v>
      </c>
      <c r="BE87" s="433">
        <f t="shared" si="83"/>
        <v>0</v>
      </c>
      <c r="BF87" s="433">
        <f t="shared" si="83"/>
        <v>0</v>
      </c>
      <c r="BG87" s="433">
        <f t="shared" si="83"/>
        <v>0</v>
      </c>
      <c r="BH87" s="433">
        <f t="shared" si="83"/>
        <v>0</v>
      </c>
      <c r="BI87" s="433">
        <f t="shared" si="83"/>
        <v>0</v>
      </c>
      <c r="BJ87" s="433">
        <f t="shared" si="83"/>
        <v>0</v>
      </c>
      <c r="BK87" s="433">
        <f t="shared" si="83"/>
        <v>0</v>
      </c>
      <c r="BL87" s="433">
        <f t="shared" si="83"/>
        <v>0</v>
      </c>
      <c r="BM87" s="433">
        <f t="shared" si="83"/>
        <v>0</v>
      </c>
      <c r="BN87" s="433">
        <f t="shared" si="83"/>
        <v>0</v>
      </c>
      <c r="BO87" s="433">
        <f t="shared" si="83"/>
        <v>0</v>
      </c>
      <c r="BP87" s="433">
        <f t="shared" si="83"/>
        <v>0</v>
      </c>
      <c r="BQ87" s="433">
        <f t="shared" si="83"/>
        <v>0</v>
      </c>
      <c r="BR87" s="433">
        <f t="shared" si="83"/>
        <v>5.2083333333333339</v>
      </c>
      <c r="BS87" s="433">
        <f t="shared" si="83"/>
        <v>22.916666666666664</v>
      </c>
      <c r="BT87" s="433">
        <f t="shared" si="83"/>
        <v>22.916666666666664</v>
      </c>
      <c r="BU87" s="433">
        <f t="shared" si="83"/>
        <v>22.916666666666664</v>
      </c>
      <c r="BV87" s="433">
        <f t="shared" si="83"/>
        <v>22.916666666666664</v>
      </c>
      <c r="BW87" s="433">
        <f t="shared" si="83"/>
        <v>22.916666666666664</v>
      </c>
      <c r="BX87" s="433">
        <f t="shared" si="83"/>
        <v>22.916666666666664</v>
      </c>
      <c r="BY87" s="433">
        <f t="shared" si="83"/>
        <v>22.916666666666664</v>
      </c>
      <c r="BZ87" s="433">
        <f t="shared" si="83"/>
        <v>22.916666666666664</v>
      </c>
      <c r="CA87" s="433">
        <f t="shared" si="83"/>
        <v>22.916666666666664</v>
      </c>
      <c r="CB87" s="433">
        <f t="shared" si="83"/>
        <v>22.916666666666664</v>
      </c>
      <c r="CC87" s="433">
        <f t="shared" si="83"/>
        <v>22.916666666666664</v>
      </c>
      <c r="CD87" s="433">
        <f t="shared" si="83"/>
        <v>22.916666666666664</v>
      </c>
      <c r="CE87" s="433">
        <f t="shared" si="83"/>
        <v>32.007575757575758</v>
      </c>
      <c r="CF87" s="433">
        <f t="shared" si="83"/>
        <v>39.583333333333329</v>
      </c>
      <c r="CG87" s="433">
        <f t="shared" si="83"/>
        <v>39.583333333333329</v>
      </c>
      <c r="CH87" s="433">
        <f t="shared" si="83"/>
        <v>39.583333333333329</v>
      </c>
      <c r="CI87" s="433">
        <f t="shared" si="83"/>
        <v>39.583333333333329</v>
      </c>
      <c r="CJ87" s="433">
        <f t="shared" si="83"/>
        <v>39.583333333333329</v>
      </c>
      <c r="CK87" s="433">
        <f t="shared" si="83"/>
        <v>39.583333333333329</v>
      </c>
    </row>
    <row r="88" spans="3:89" outlineLevel="2">
      <c r="D88" s="383" t="s">
        <v>200</v>
      </c>
      <c r="E88" s="50" t="s">
        <v>183</v>
      </c>
      <c r="F88" s="383" t="s">
        <v>200</v>
      </c>
      <c r="G88" s="50" t="str" cm="1">
        <f t="array" ref="G88">INDEX(PBC_ACCOUNT_LIST[Name],_xlfn.XMATCH(H88,PBC_ACCOUNT_LIST[Id]))</f>
        <v>Salary &amp; Wages</v>
      </c>
      <c r="H88" s="544">
        <v>178</v>
      </c>
      <c r="R88" s="372">
        <f t="shared" si="77"/>
        <v>0</v>
      </c>
      <c r="S88" s="372">
        <f t="shared" si="77"/>
        <v>0</v>
      </c>
      <c r="T88" s="372">
        <f t="shared" si="77"/>
        <v>0</v>
      </c>
      <c r="U88" s="372">
        <f t="shared" si="77"/>
        <v>0</v>
      </c>
      <c r="X88" s="372">
        <f t="shared" si="78"/>
        <v>0</v>
      </c>
      <c r="Y88" s="372">
        <f t="shared" si="78"/>
        <v>0</v>
      </c>
      <c r="Z88" s="372">
        <f t="shared" si="78"/>
        <v>0</v>
      </c>
      <c r="AA88" s="372">
        <f t="shared" si="78"/>
        <v>0</v>
      </c>
      <c r="AB88" s="372">
        <f t="shared" si="78"/>
        <v>0</v>
      </c>
      <c r="AC88" s="372">
        <f t="shared" si="78"/>
        <v>0</v>
      </c>
      <c r="AD88" s="372">
        <f t="shared" si="78"/>
        <v>0</v>
      </c>
      <c r="AE88" s="372">
        <f t="shared" si="78"/>
        <v>0</v>
      </c>
      <c r="AF88" s="372">
        <f t="shared" si="78"/>
        <v>0</v>
      </c>
      <c r="AG88" s="372">
        <f t="shared" si="78"/>
        <v>0</v>
      </c>
      <c r="AH88" s="372">
        <f t="shared" si="78"/>
        <v>0</v>
      </c>
      <c r="AI88" s="372">
        <f t="shared" si="78"/>
        <v>0</v>
      </c>
      <c r="AJ88" s="372">
        <f t="shared" si="78"/>
        <v>0</v>
      </c>
      <c r="AK88" s="372">
        <f t="shared" si="78"/>
        <v>0</v>
      </c>
      <c r="AL88" s="372">
        <f t="shared" si="78"/>
        <v>0</v>
      </c>
      <c r="AM88" s="372">
        <f t="shared" si="78"/>
        <v>0</v>
      </c>
      <c r="AP88" s="433">
        <f t="shared" ref="AP88:CK88" si="84">IF(MONTH(AP$8)=MONTH(BonusMonth),SUMIFS($N$11:$N$35,AP$11:AP$35,"&gt;"&amp;0,$G$11:$G$35,$C82),0)</f>
        <v>0</v>
      </c>
      <c r="AQ88" s="433">
        <f t="shared" si="84"/>
        <v>0</v>
      </c>
      <c r="AR88" s="433">
        <f t="shared" si="84"/>
        <v>0</v>
      </c>
      <c r="AS88" s="433">
        <f t="shared" si="84"/>
        <v>0</v>
      </c>
      <c r="AT88" s="433">
        <f t="shared" si="84"/>
        <v>0</v>
      </c>
      <c r="AU88" s="433">
        <f t="shared" si="84"/>
        <v>0</v>
      </c>
      <c r="AV88" s="433">
        <f t="shared" si="84"/>
        <v>0</v>
      </c>
      <c r="AW88" s="433">
        <f t="shared" si="84"/>
        <v>0</v>
      </c>
      <c r="AX88" s="433">
        <f t="shared" si="84"/>
        <v>0</v>
      </c>
      <c r="AY88" s="433">
        <f t="shared" si="84"/>
        <v>0</v>
      </c>
      <c r="AZ88" s="433">
        <f t="shared" si="84"/>
        <v>0</v>
      </c>
      <c r="BA88" s="433">
        <f t="shared" si="84"/>
        <v>0</v>
      </c>
      <c r="BB88" s="433">
        <f t="shared" si="84"/>
        <v>0</v>
      </c>
      <c r="BC88" s="433">
        <f t="shared" si="84"/>
        <v>0</v>
      </c>
      <c r="BD88" s="433">
        <f t="shared" si="84"/>
        <v>0</v>
      </c>
      <c r="BE88" s="433">
        <f t="shared" si="84"/>
        <v>0</v>
      </c>
      <c r="BF88" s="433">
        <f t="shared" si="84"/>
        <v>0</v>
      </c>
      <c r="BG88" s="433">
        <f t="shared" si="84"/>
        <v>0</v>
      </c>
      <c r="BH88" s="433">
        <f t="shared" si="84"/>
        <v>0</v>
      </c>
      <c r="BI88" s="433">
        <f t="shared" si="84"/>
        <v>0</v>
      </c>
      <c r="BJ88" s="433">
        <f t="shared" si="84"/>
        <v>0</v>
      </c>
      <c r="BK88" s="433">
        <f t="shared" si="84"/>
        <v>0</v>
      </c>
      <c r="BL88" s="433">
        <f t="shared" si="84"/>
        <v>0</v>
      </c>
      <c r="BM88" s="433">
        <f t="shared" si="84"/>
        <v>0</v>
      </c>
      <c r="BN88" s="433">
        <f t="shared" si="84"/>
        <v>0</v>
      </c>
      <c r="BO88" s="433">
        <f t="shared" si="84"/>
        <v>0</v>
      </c>
      <c r="BP88" s="433">
        <f t="shared" si="84"/>
        <v>0</v>
      </c>
      <c r="BQ88" s="433">
        <f t="shared" si="84"/>
        <v>0</v>
      </c>
      <c r="BR88" s="433">
        <f t="shared" si="84"/>
        <v>0</v>
      </c>
      <c r="BS88" s="433">
        <f t="shared" si="84"/>
        <v>0</v>
      </c>
      <c r="BT88" s="433">
        <f t="shared" si="84"/>
        <v>0</v>
      </c>
      <c r="BU88" s="433">
        <f t="shared" si="84"/>
        <v>0</v>
      </c>
      <c r="BV88" s="433">
        <f t="shared" si="84"/>
        <v>0</v>
      </c>
      <c r="BW88" s="433">
        <f t="shared" si="84"/>
        <v>0</v>
      </c>
      <c r="BX88" s="433">
        <f t="shared" si="84"/>
        <v>0</v>
      </c>
      <c r="BY88" s="433">
        <f t="shared" si="84"/>
        <v>0</v>
      </c>
      <c r="BZ88" s="433">
        <f t="shared" si="84"/>
        <v>0</v>
      </c>
      <c r="CA88" s="433">
        <f t="shared" si="84"/>
        <v>0</v>
      </c>
      <c r="CB88" s="433">
        <f t="shared" si="84"/>
        <v>0</v>
      </c>
      <c r="CC88" s="433">
        <f t="shared" si="84"/>
        <v>0</v>
      </c>
      <c r="CD88" s="433">
        <f t="shared" si="84"/>
        <v>0</v>
      </c>
      <c r="CE88" s="433">
        <f t="shared" si="84"/>
        <v>0</v>
      </c>
      <c r="CF88" s="433">
        <f t="shared" si="84"/>
        <v>0</v>
      </c>
      <c r="CG88" s="433">
        <f t="shared" si="84"/>
        <v>0</v>
      </c>
      <c r="CH88" s="433">
        <f t="shared" si="84"/>
        <v>0</v>
      </c>
      <c r="CI88" s="433">
        <f t="shared" si="84"/>
        <v>0</v>
      </c>
      <c r="CJ88" s="433">
        <f t="shared" si="84"/>
        <v>0</v>
      </c>
      <c r="CK88" s="433">
        <f t="shared" si="84"/>
        <v>0</v>
      </c>
    </row>
    <row r="89" spans="3:89" outlineLevel="1">
      <c r="C89" s="355" t="s">
        <v>184</v>
      </c>
      <c r="R89" s="480">
        <f>SUM(R90:R95)</f>
        <v>51666.666666666664</v>
      </c>
      <c r="S89" s="480">
        <f>SUM(S90:S95)</f>
        <v>0</v>
      </c>
      <c r="T89" s="480">
        <f>SUM(T90:T95)</f>
        <v>0</v>
      </c>
      <c r="U89" s="480">
        <f>SUM(U90:U95)</f>
        <v>50000</v>
      </c>
      <c r="X89" s="480">
        <f t="shared" ref="X89:AM89" si="85">SUM(X90:X95)</f>
        <v>50000</v>
      </c>
      <c r="Y89" s="480">
        <f t="shared" si="85"/>
        <v>1666.6666666666667</v>
      </c>
      <c r="Z89" s="480">
        <f t="shared" si="85"/>
        <v>0</v>
      </c>
      <c r="AA89" s="480">
        <f t="shared" si="85"/>
        <v>0</v>
      </c>
      <c r="AB89" s="480">
        <f t="shared" si="85"/>
        <v>0</v>
      </c>
      <c r="AC89" s="480">
        <f t="shared" si="85"/>
        <v>0</v>
      </c>
      <c r="AD89" s="480">
        <f t="shared" si="85"/>
        <v>0</v>
      </c>
      <c r="AE89" s="480">
        <f t="shared" si="85"/>
        <v>0</v>
      </c>
      <c r="AF89" s="480">
        <f t="shared" si="85"/>
        <v>0</v>
      </c>
      <c r="AG89" s="480">
        <f t="shared" si="85"/>
        <v>0</v>
      </c>
      <c r="AH89" s="480">
        <f t="shared" si="85"/>
        <v>0</v>
      </c>
      <c r="AI89" s="480">
        <f t="shared" si="85"/>
        <v>0</v>
      </c>
      <c r="AJ89" s="480">
        <f t="shared" si="85"/>
        <v>0</v>
      </c>
      <c r="AK89" s="480">
        <f t="shared" si="85"/>
        <v>0</v>
      </c>
      <c r="AL89" s="480">
        <f t="shared" si="85"/>
        <v>20000</v>
      </c>
      <c r="AM89" s="480">
        <f t="shared" si="85"/>
        <v>30000</v>
      </c>
      <c r="AO89" s="51"/>
      <c r="AP89" s="480">
        <f t="shared" ref="AP89:CK89" si="86">SUM(AP90:AP95)</f>
        <v>16666.666666666668</v>
      </c>
      <c r="AQ89" s="480">
        <f t="shared" si="86"/>
        <v>16666.666666666668</v>
      </c>
      <c r="AR89" s="480">
        <f t="shared" si="86"/>
        <v>16666.666666666668</v>
      </c>
      <c r="AS89" s="480">
        <f t="shared" si="86"/>
        <v>1666.6666666666667</v>
      </c>
      <c r="AT89" s="480">
        <f t="shared" si="86"/>
        <v>0</v>
      </c>
      <c r="AU89" s="480">
        <f t="shared" si="86"/>
        <v>0</v>
      </c>
      <c r="AV89" s="480">
        <f t="shared" si="86"/>
        <v>0</v>
      </c>
      <c r="AW89" s="480">
        <f t="shared" si="86"/>
        <v>0</v>
      </c>
      <c r="AX89" s="480">
        <f t="shared" si="86"/>
        <v>0</v>
      </c>
      <c r="AY89" s="480">
        <f t="shared" si="86"/>
        <v>0</v>
      </c>
      <c r="AZ89" s="480">
        <f t="shared" si="86"/>
        <v>0</v>
      </c>
      <c r="BA89" s="480">
        <f t="shared" si="86"/>
        <v>0</v>
      </c>
      <c r="BB89" s="480">
        <f t="shared" si="86"/>
        <v>0</v>
      </c>
      <c r="BC89" s="480">
        <f t="shared" si="86"/>
        <v>0</v>
      </c>
      <c r="BD89" s="480">
        <f t="shared" si="86"/>
        <v>0</v>
      </c>
      <c r="BE89" s="480">
        <f t="shared" si="86"/>
        <v>0</v>
      </c>
      <c r="BF89" s="480">
        <f t="shared" si="86"/>
        <v>0</v>
      </c>
      <c r="BG89" s="480">
        <f t="shared" si="86"/>
        <v>0</v>
      </c>
      <c r="BH89" s="480">
        <f t="shared" si="86"/>
        <v>0</v>
      </c>
      <c r="BI89" s="480">
        <f t="shared" si="86"/>
        <v>0</v>
      </c>
      <c r="BJ89" s="480">
        <f t="shared" si="86"/>
        <v>0</v>
      </c>
      <c r="BK89" s="480">
        <f t="shared" si="86"/>
        <v>0</v>
      </c>
      <c r="BL89" s="480">
        <f t="shared" si="86"/>
        <v>0</v>
      </c>
      <c r="BM89" s="480">
        <f t="shared" si="86"/>
        <v>0</v>
      </c>
      <c r="BN89" s="480">
        <f t="shared" si="86"/>
        <v>0</v>
      </c>
      <c r="BO89" s="480">
        <f t="shared" si="86"/>
        <v>0</v>
      </c>
      <c r="BP89" s="480">
        <f t="shared" si="86"/>
        <v>0</v>
      </c>
      <c r="BQ89" s="480">
        <f t="shared" si="86"/>
        <v>0</v>
      </c>
      <c r="BR89" s="480">
        <f t="shared" si="86"/>
        <v>0</v>
      </c>
      <c r="BS89" s="480">
        <f t="shared" si="86"/>
        <v>0</v>
      </c>
      <c r="BT89" s="480">
        <f t="shared" si="86"/>
        <v>0</v>
      </c>
      <c r="BU89" s="480">
        <f t="shared" si="86"/>
        <v>0</v>
      </c>
      <c r="BV89" s="480">
        <f t="shared" si="86"/>
        <v>0</v>
      </c>
      <c r="BW89" s="480">
        <f t="shared" si="86"/>
        <v>0</v>
      </c>
      <c r="BX89" s="480">
        <f t="shared" si="86"/>
        <v>0</v>
      </c>
      <c r="BY89" s="480">
        <f t="shared" si="86"/>
        <v>0</v>
      </c>
      <c r="BZ89" s="480">
        <f t="shared" si="86"/>
        <v>0</v>
      </c>
      <c r="CA89" s="480">
        <f t="shared" si="86"/>
        <v>0</v>
      </c>
      <c r="CB89" s="480">
        <f t="shared" si="86"/>
        <v>0</v>
      </c>
      <c r="CC89" s="480">
        <f t="shared" si="86"/>
        <v>0</v>
      </c>
      <c r="CD89" s="480">
        <f t="shared" si="86"/>
        <v>0</v>
      </c>
      <c r="CE89" s="480">
        <f t="shared" si="86"/>
        <v>0</v>
      </c>
      <c r="CF89" s="480">
        <f t="shared" si="86"/>
        <v>0</v>
      </c>
      <c r="CG89" s="480">
        <f t="shared" si="86"/>
        <v>10000</v>
      </c>
      <c r="CH89" s="480">
        <f t="shared" si="86"/>
        <v>10000</v>
      </c>
      <c r="CI89" s="480">
        <f t="shared" si="86"/>
        <v>10000</v>
      </c>
      <c r="CJ89" s="480">
        <f t="shared" si="86"/>
        <v>10000</v>
      </c>
      <c r="CK89" s="480">
        <f t="shared" si="86"/>
        <v>10000</v>
      </c>
    </row>
    <row r="90" spans="3:89" outlineLevel="2">
      <c r="D90" s="383" t="s">
        <v>406</v>
      </c>
      <c r="E90" s="50" t="s">
        <v>185</v>
      </c>
      <c r="F90" s="383" t="s">
        <v>190</v>
      </c>
      <c r="G90" s="50" t="str" cm="1">
        <f t="array" ref="G90">INDEX(PBC_ACCOUNT_LIST[Name],_xlfn.XMATCH(H90,PBC_ACCOUNT_LIST[Id]))</f>
        <v>Salary &amp; Wages</v>
      </c>
      <c r="H90" s="544">
        <v>178</v>
      </c>
      <c r="R90" s="372">
        <f t="shared" ref="R90:U95" si="87">SUMIFS($AP90:$CK90,$AP$4:$CK$4,"&gt;="&amp;R$4,$AP$5:$CK$5,"&lt;="&amp;R$5)</f>
        <v>0</v>
      </c>
      <c r="S90" s="372">
        <f t="shared" si="87"/>
        <v>0</v>
      </c>
      <c r="T90" s="372">
        <f t="shared" si="87"/>
        <v>0</v>
      </c>
      <c r="U90" s="372">
        <f t="shared" si="87"/>
        <v>0</v>
      </c>
      <c r="X90" s="372">
        <f t="shared" ref="X90:AM95" si="88">SUMIFS($AP90:$CK90,$AP$4:$CK$4,"&gt;="&amp;X$4,$AP$5:$CK$5,"&lt;="&amp;X$5)</f>
        <v>0</v>
      </c>
      <c r="Y90" s="372">
        <f t="shared" si="88"/>
        <v>0</v>
      </c>
      <c r="Z90" s="372">
        <f t="shared" si="88"/>
        <v>0</v>
      </c>
      <c r="AA90" s="372">
        <f t="shared" si="88"/>
        <v>0</v>
      </c>
      <c r="AB90" s="372">
        <f t="shared" si="88"/>
        <v>0</v>
      </c>
      <c r="AC90" s="372">
        <f t="shared" si="88"/>
        <v>0</v>
      </c>
      <c r="AD90" s="372">
        <f t="shared" si="88"/>
        <v>0</v>
      </c>
      <c r="AE90" s="372">
        <f t="shared" si="88"/>
        <v>0</v>
      </c>
      <c r="AF90" s="372">
        <f t="shared" si="88"/>
        <v>0</v>
      </c>
      <c r="AG90" s="372">
        <f t="shared" si="88"/>
        <v>0</v>
      </c>
      <c r="AH90" s="372">
        <f t="shared" si="88"/>
        <v>0</v>
      </c>
      <c r="AI90" s="372">
        <f t="shared" si="88"/>
        <v>0</v>
      </c>
      <c r="AJ90" s="372">
        <f t="shared" si="88"/>
        <v>0</v>
      </c>
      <c r="AK90" s="372">
        <f t="shared" si="88"/>
        <v>0</v>
      </c>
      <c r="AL90" s="372">
        <f t="shared" si="88"/>
        <v>0</v>
      </c>
      <c r="AM90" s="372">
        <f t="shared" si="88"/>
        <v>0</v>
      </c>
      <c r="AP90" s="372">
        <f t="shared" ref="AP90:CK90" si="89">SUMIFS(AP$11:AP$35,$G$11:$G$35,$C89,$O$11:$O$35,"FTE") + (AP56 * AP42)</f>
        <v>0</v>
      </c>
      <c r="AQ90" s="372">
        <f t="shared" si="89"/>
        <v>0</v>
      </c>
      <c r="AR90" s="372">
        <f t="shared" si="89"/>
        <v>0</v>
      </c>
      <c r="AS90" s="372">
        <f t="shared" si="89"/>
        <v>0</v>
      </c>
      <c r="AT90" s="372">
        <f t="shared" si="89"/>
        <v>0</v>
      </c>
      <c r="AU90" s="372">
        <f t="shared" si="89"/>
        <v>0</v>
      </c>
      <c r="AV90" s="372">
        <f t="shared" si="89"/>
        <v>0</v>
      </c>
      <c r="AW90" s="372">
        <f t="shared" si="89"/>
        <v>0</v>
      </c>
      <c r="AX90" s="372">
        <f t="shared" si="89"/>
        <v>0</v>
      </c>
      <c r="AY90" s="372">
        <f t="shared" si="89"/>
        <v>0</v>
      </c>
      <c r="AZ90" s="372">
        <f t="shared" si="89"/>
        <v>0</v>
      </c>
      <c r="BA90" s="372">
        <f t="shared" si="89"/>
        <v>0</v>
      </c>
      <c r="BB90" s="372">
        <f t="shared" si="89"/>
        <v>0</v>
      </c>
      <c r="BC90" s="372">
        <f t="shared" si="89"/>
        <v>0</v>
      </c>
      <c r="BD90" s="372">
        <f t="shared" si="89"/>
        <v>0</v>
      </c>
      <c r="BE90" s="372">
        <f t="shared" si="89"/>
        <v>0</v>
      </c>
      <c r="BF90" s="372">
        <f t="shared" si="89"/>
        <v>0</v>
      </c>
      <c r="BG90" s="372">
        <f t="shared" si="89"/>
        <v>0</v>
      </c>
      <c r="BH90" s="372">
        <f t="shared" si="89"/>
        <v>0</v>
      </c>
      <c r="BI90" s="372">
        <f t="shared" si="89"/>
        <v>0</v>
      </c>
      <c r="BJ90" s="372">
        <f t="shared" si="89"/>
        <v>0</v>
      </c>
      <c r="BK90" s="372">
        <f t="shared" si="89"/>
        <v>0</v>
      </c>
      <c r="BL90" s="372">
        <f t="shared" si="89"/>
        <v>0</v>
      </c>
      <c r="BM90" s="372">
        <f t="shared" si="89"/>
        <v>0</v>
      </c>
      <c r="BN90" s="372">
        <f t="shared" si="89"/>
        <v>0</v>
      </c>
      <c r="BO90" s="372">
        <f t="shared" si="89"/>
        <v>0</v>
      </c>
      <c r="BP90" s="372">
        <f t="shared" si="89"/>
        <v>0</v>
      </c>
      <c r="BQ90" s="372">
        <f t="shared" si="89"/>
        <v>0</v>
      </c>
      <c r="BR90" s="372">
        <f t="shared" si="89"/>
        <v>0</v>
      </c>
      <c r="BS90" s="372">
        <f t="shared" si="89"/>
        <v>0</v>
      </c>
      <c r="BT90" s="372">
        <f t="shared" si="89"/>
        <v>0</v>
      </c>
      <c r="BU90" s="372">
        <f t="shared" si="89"/>
        <v>0</v>
      </c>
      <c r="BV90" s="372">
        <f t="shared" si="89"/>
        <v>0</v>
      </c>
      <c r="BW90" s="372">
        <f t="shared" si="89"/>
        <v>0</v>
      </c>
      <c r="BX90" s="372">
        <f t="shared" si="89"/>
        <v>0</v>
      </c>
      <c r="BY90" s="372">
        <f t="shared" si="89"/>
        <v>0</v>
      </c>
      <c r="BZ90" s="372">
        <f t="shared" si="89"/>
        <v>0</v>
      </c>
      <c r="CA90" s="372">
        <f t="shared" si="89"/>
        <v>0</v>
      </c>
      <c r="CB90" s="372">
        <f t="shared" si="89"/>
        <v>0</v>
      </c>
      <c r="CC90" s="372">
        <f t="shared" si="89"/>
        <v>0</v>
      </c>
      <c r="CD90" s="372">
        <f t="shared" si="89"/>
        <v>0</v>
      </c>
      <c r="CE90" s="372">
        <f t="shared" si="89"/>
        <v>0</v>
      </c>
      <c r="CF90" s="372">
        <f t="shared" si="89"/>
        <v>0</v>
      </c>
      <c r="CG90" s="372">
        <f t="shared" si="89"/>
        <v>0</v>
      </c>
      <c r="CH90" s="372">
        <f t="shared" si="89"/>
        <v>0</v>
      </c>
      <c r="CI90" s="372">
        <f t="shared" si="89"/>
        <v>0</v>
      </c>
      <c r="CJ90" s="372">
        <f t="shared" si="89"/>
        <v>0</v>
      </c>
      <c r="CK90" s="372">
        <f t="shared" si="89"/>
        <v>0</v>
      </c>
    </row>
    <row r="91" spans="3:89" outlineLevel="2">
      <c r="D91" s="383" t="s">
        <v>191</v>
      </c>
      <c r="E91" s="50" t="s">
        <v>185</v>
      </c>
      <c r="F91" s="383" t="s">
        <v>192</v>
      </c>
      <c r="G91" s="50" t="str" cm="1">
        <f t="array" ref="G91">INDEX(PBC_ACCOUNT_LIST[Name],_xlfn.XMATCH(H91,PBC_ACCOUNT_LIST[Id]))</f>
        <v>Contractors</v>
      </c>
      <c r="H91" s="544">
        <v>177</v>
      </c>
      <c r="R91" s="372">
        <f t="shared" si="87"/>
        <v>51666.666666666664</v>
      </c>
      <c r="S91" s="372">
        <f t="shared" si="87"/>
        <v>0</v>
      </c>
      <c r="T91" s="372">
        <f t="shared" si="87"/>
        <v>0</v>
      </c>
      <c r="U91" s="372">
        <f t="shared" si="87"/>
        <v>50000</v>
      </c>
      <c r="X91" s="372">
        <f t="shared" si="88"/>
        <v>50000</v>
      </c>
      <c r="Y91" s="372">
        <f t="shared" si="88"/>
        <v>1666.6666666666667</v>
      </c>
      <c r="Z91" s="372">
        <f t="shared" si="88"/>
        <v>0</v>
      </c>
      <c r="AA91" s="372">
        <f t="shared" si="88"/>
        <v>0</v>
      </c>
      <c r="AB91" s="372">
        <f t="shared" si="88"/>
        <v>0</v>
      </c>
      <c r="AC91" s="372">
        <f t="shared" si="88"/>
        <v>0</v>
      </c>
      <c r="AD91" s="372">
        <f t="shared" si="88"/>
        <v>0</v>
      </c>
      <c r="AE91" s="372">
        <f t="shared" si="88"/>
        <v>0</v>
      </c>
      <c r="AF91" s="372">
        <f t="shared" si="88"/>
        <v>0</v>
      </c>
      <c r="AG91" s="372">
        <f t="shared" si="88"/>
        <v>0</v>
      </c>
      <c r="AH91" s="372">
        <f t="shared" si="88"/>
        <v>0</v>
      </c>
      <c r="AI91" s="372">
        <f t="shared" si="88"/>
        <v>0</v>
      </c>
      <c r="AJ91" s="372">
        <f t="shared" si="88"/>
        <v>0</v>
      </c>
      <c r="AK91" s="372">
        <f t="shared" si="88"/>
        <v>0</v>
      </c>
      <c r="AL91" s="372">
        <f t="shared" si="88"/>
        <v>20000</v>
      </c>
      <c r="AM91" s="372">
        <f t="shared" si="88"/>
        <v>30000</v>
      </c>
      <c r="AP91" s="372">
        <f t="shared" ref="AP91:CK91" si="90">SUMIFS(AP$11:AP$35,$G$11:$G$35,$C89,$O$11:$O$35,"consultant")</f>
        <v>16666.666666666668</v>
      </c>
      <c r="AQ91" s="372">
        <f t="shared" si="90"/>
        <v>16666.666666666668</v>
      </c>
      <c r="AR91" s="372">
        <f t="shared" si="90"/>
        <v>16666.666666666668</v>
      </c>
      <c r="AS91" s="372">
        <f t="shared" si="90"/>
        <v>1666.6666666666667</v>
      </c>
      <c r="AT91" s="372">
        <f t="shared" si="90"/>
        <v>0</v>
      </c>
      <c r="AU91" s="372">
        <f t="shared" si="90"/>
        <v>0</v>
      </c>
      <c r="AV91" s="372">
        <f t="shared" si="90"/>
        <v>0</v>
      </c>
      <c r="AW91" s="372">
        <f t="shared" si="90"/>
        <v>0</v>
      </c>
      <c r="AX91" s="372">
        <f t="shared" si="90"/>
        <v>0</v>
      </c>
      <c r="AY91" s="372">
        <f t="shared" si="90"/>
        <v>0</v>
      </c>
      <c r="AZ91" s="372">
        <f t="shared" si="90"/>
        <v>0</v>
      </c>
      <c r="BA91" s="372">
        <f t="shared" si="90"/>
        <v>0</v>
      </c>
      <c r="BB91" s="372">
        <f t="shared" si="90"/>
        <v>0</v>
      </c>
      <c r="BC91" s="372">
        <f t="shared" si="90"/>
        <v>0</v>
      </c>
      <c r="BD91" s="372">
        <f t="shared" si="90"/>
        <v>0</v>
      </c>
      <c r="BE91" s="372">
        <f t="shared" si="90"/>
        <v>0</v>
      </c>
      <c r="BF91" s="372">
        <f t="shared" si="90"/>
        <v>0</v>
      </c>
      <c r="BG91" s="372">
        <f t="shared" si="90"/>
        <v>0</v>
      </c>
      <c r="BH91" s="372">
        <f t="shared" si="90"/>
        <v>0</v>
      </c>
      <c r="BI91" s="372">
        <f t="shared" si="90"/>
        <v>0</v>
      </c>
      <c r="BJ91" s="372">
        <f t="shared" si="90"/>
        <v>0</v>
      </c>
      <c r="BK91" s="372">
        <f t="shared" si="90"/>
        <v>0</v>
      </c>
      <c r="BL91" s="372">
        <f t="shared" si="90"/>
        <v>0</v>
      </c>
      <c r="BM91" s="372">
        <f t="shared" si="90"/>
        <v>0</v>
      </c>
      <c r="BN91" s="372">
        <f t="shared" si="90"/>
        <v>0</v>
      </c>
      <c r="BO91" s="372">
        <f t="shared" si="90"/>
        <v>0</v>
      </c>
      <c r="BP91" s="372">
        <f t="shared" si="90"/>
        <v>0</v>
      </c>
      <c r="BQ91" s="372">
        <f t="shared" si="90"/>
        <v>0</v>
      </c>
      <c r="BR91" s="372">
        <f t="shared" si="90"/>
        <v>0</v>
      </c>
      <c r="BS91" s="372">
        <f t="shared" si="90"/>
        <v>0</v>
      </c>
      <c r="BT91" s="372">
        <f t="shared" si="90"/>
        <v>0</v>
      </c>
      <c r="BU91" s="372">
        <f t="shared" si="90"/>
        <v>0</v>
      </c>
      <c r="BV91" s="372">
        <f t="shared" si="90"/>
        <v>0</v>
      </c>
      <c r="BW91" s="372">
        <f t="shared" si="90"/>
        <v>0</v>
      </c>
      <c r="BX91" s="372">
        <f t="shared" si="90"/>
        <v>0</v>
      </c>
      <c r="BY91" s="372">
        <f t="shared" si="90"/>
        <v>0</v>
      </c>
      <c r="BZ91" s="372">
        <f t="shared" si="90"/>
        <v>0</v>
      </c>
      <c r="CA91" s="372">
        <f t="shared" si="90"/>
        <v>0</v>
      </c>
      <c r="CB91" s="372">
        <f t="shared" si="90"/>
        <v>0</v>
      </c>
      <c r="CC91" s="372">
        <f t="shared" si="90"/>
        <v>0</v>
      </c>
      <c r="CD91" s="372">
        <f t="shared" si="90"/>
        <v>0</v>
      </c>
      <c r="CE91" s="372">
        <f t="shared" si="90"/>
        <v>0</v>
      </c>
      <c r="CF91" s="372">
        <f t="shared" si="90"/>
        <v>0</v>
      </c>
      <c r="CG91" s="372">
        <f t="shared" si="90"/>
        <v>10000</v>
      </c>
      <c r="CH91" s="372">
        <f t="shared" si="90"/>
        <v>10000</v>
      </c>
      <c r="CI91" s="372">
        <f t="shared" si="90"/>
        <v>10000</v>
      </c>
      <c r="CJ91" s="372">
        <f t="shared" si="90"/>
        <v>10000</v>
      </c>
      <c r="CK91" s="372">
        <f t="shared" si="90"/>
        <v>10000</v>
      </c>
    </row>
    <row r="92" spans="3:89" outlineLevel="2">
      <c r="D92" s="383" t="s">
        <v>193</v>
      </c>
      <c r="E92" s="50" t="s">
        <v>185</v>
      </c>
      <c r="F92" s="383" t="s">
        <v>194</v>
      </c>
      <c r="G92" s="50" t="str" cm="1">
        <f t="array" ref="G92">INDEX(PBC_ACCOUNT_LIST[Name],_xlfn.XMATCH(H92,PBC_ACCOUNT_LIST[Id]))</f>
        <v>Payroll Taxes</v>
      </c>
      <c r="H92" s="544">
        <v>179</v>
      </c>
      <c r="R92" s="372">
        <f t="shared" si="87"/>
        <v>0</v>
      </c>
      <c r="S92" s="372">
        <f t="shared" si="87"/>
        <v>0</v>
      </c>
      <c r="T92" s="372">
        <f t="shared" si="87"/>
        <v>0</v>
      </c>
      <c r="U92" s="372">
        <f t="shared" si="87"/>
        <v>0</v>
      </c>
      <c r="X92" s="372">
        <f t="shared" si="88"/>
        <v>0</v>
      </c>
      <c r="Y92" s="372">
        <f t="shared" si="88"/>
        <v>0</v>
      </c>
      <c r="Z92" s="372">
        <f t="shared" si="88"/>
        <v>0</v>
      </c>
      <c r="AA92" s="372">
        <f t="shared" si="88"/>
        <v>0</v>
      </c>
      <c r="AB92" s="372">
        <f t="shared" si="88"/>
        <v>0</v>
      </c>
      <c r="AC92" s="372">
        <f t="shared" si="88"/>
        <v>0</v>
      </c>
      <c r="AD92" s="372">
        <f t="shared" si="88"/>
        <v>0</v>
      </c>
      <c r="AE92" s="372">
        <f t="shared" si="88"/>
        <v>0</v>
      </c>
      <c r="AF92" s="372">
        <f t="shared" si="88"/>
        <v>0</v>
      </c>
      <c r="AG92" s="372">
        <f t="shared" si="88"/>
        <v>0</v>
      </c>
      <c r="AH92" s="372">
        <f t="shared" si="88"/>
        <v>0</v>
      </c>
      <c r="AI92" s="372">
        <f t="shared" si="88"/>
        <v>0</v>
      </c>
      <c r="AJ92" s="372">
        <f t="shared" si="88"/>
        <v>0</v>
      </c>
      <c r="AK92" s="372">
        <f t="shared" si="88"/>
        <v>0</v>
      </c>
      <c r="AL92" s="372">
        <f t="shared" si="88"/>
        <v>0</v>
      </c>
      <c r="AM92" s="372">
        <f t="shared" si="88"/>
        <v>0</v>
      </c>
      <c r="AP92" s="433" cm="1">
        <f t="array" ref="AP92">AP90*Payroll_tax</f>
        <v>0</v>
      </c>
      <c r="AQ92" s="433">
        <f t="shared" ref="AQ92:CK92" si="91">AQ90*Payroll_tax</f>
        <v>0</v>
      </c>
      <c r="AR92" s="433">
        <f t="shared" si="91"/>
        <v>0</v>
      </c>
      <c r="AS92" s="433">
        <f t="shared" si="91"/>
        <v>0</v>
      </c>
      <c r="AT92" s="433">
        <f t="shared" si="91"/>
        <v>0</v>
      </c>
      <c r="AU92" s="433">
        <f t="shared" si="91"/>
        <v>0</v>
      </c>
      <c r="AV92" s="433">
        <f t="shared" si="91"/>
        <v>0</v>
      </c>
      <c r="AW92" s="433">
        <f t="shared" si="91"/>
        <v>0</v>
      </c>
      <c r="AX92" s="433">
        <f t="shared" si="91"/>
        <v>0</v>
      </c>
      <c r="AY92" s="433">
        <f t="shared" si="91"/>
        <v>0</v>
      </c>
      <c r="AZ92" s="433">
        <f t="shared" si="91"/>
        <v>0</v>
      </c>
      <c r="BA92" s="433">
        <f t="shared" si="91"/>
        <v>0</v>
      </c>
      <c r="BB92" s="433">
        <f t="shared" si="91"/>
        <v>0</v>
      </c>
      <c r="BC92" s="433">
        <f t="shared" si="91"/>
        <v>0</v>
      </c>
      <c r="BD92" s="433">
        <f t="shared" si="91"/>
        <v>0</v>
      </c>
      <c r="BE92" s="433">
        <f t="shared" si="91"/>
        <v>0</v>
      </c>
      <c r="BF92" s="433">
        <f t="shared" si="91"/>
        <v>0</v>
      </c>
      <c r="BG92" s="433">
        <f t="shared" si="91"/>
        <v>0</v>
      </c>
      <c r="BH92" s="433">
        <f t="shared" si="91"/>
        <v>0</v>
      </c>
      <c r="BI92" s="433">
        <f t="shared" si="91"/>
        <v>0</v>
      </c>
      <c r="BJ92" s="433">
        <f t="shared" si="91"/>
        <v>0</v>
      </c>
      <c r="BK92" s="433">
        <f t="shared" si="91"/>
        <v>0</v>
      </c>
      <c r="BL92" s="433">
        <f t="shared" si="91"/>
        <v>0</v>
      </c>
      <c r="BM92" s="433">
        <f t="shared" si="91"/>
        <v>0</v>
      </c>
      <c r="BN92" s="433">
        <f t="shared" si="91"/>
        <v>0</v>
      </c>
      <c r="BO92" s="433">
        <f t="shared" si="91"/>
        <v>0</v>
      </c>
      <c r="BP92" s="433">
        <f t="shared" si="91"/>
        <v>0</v>
      </c>
      <c r="BQ92" s="433">
        <f t="shared" si="91"/>
        <v>0</v>
      </c>
      <c r="BR92" s="433">
        <f t="shared" si="91"/>
        <v>0</v>
      </c>
      <c r="BS92" s="433">
        <f t="shared" si="91"/>
        <v>0</v>
      </c>
      <c r="BT92" s="433">
        <f t="shared" si="91"/>
        <v>0</v>
      </c>
      <c r="BU92" s="433">
        <f t="shared" si="91"/>
        <v>0</v>
      </c>
      <c r="BV92" s="433">
        <f t="shared" si="91"/>
        <v>0</v>
      </c>
      <c r="BW92" s="433">
        <f t="shared" si="91"/>
        <v>0</v>
      </c>
      <c r="BX92" s="433">
        <f t="shared" si="91"/>
        <v>0</v>
      </c>
      <c r="BY92" s="433">
        <f t="shared" si="91"/>
        <v>0</v>
      </c>
      <c r="BZ92" s="433">
        <f t="shared" si="91"/>
        <v>0</v>
      </c>
      <c r="CA92" s="433">
        <f t="shared" si="91"/>
        <v>0</v>
      </c>
      <c r="CB92" s="433">
        <f t="shared" si="91"/>
        <v>0</v>
      </c>
      <c r="CC92" s="433">
        <f t="shared" si="91"/>
        <v>0</v>
      </c>
      <c r="CD92" s="433">
        <f t="shared" si="91"/>
        <v>0</v>
      </c>
      <c r="CE92" s="433">
        <f t="shared" si="91"/>
        <v>0</v>
      </c>
      <c r="CF92" s="433">
        <f t="shared" si="91"/>
        <v>0</v>
      </c>
      <c r="CG92" s="433">
        <f t="shared" si="91"/>
        <v>0</v>
      </c>
      <c r="CH92" s="433">
        <f t="shared" si="91"/>
        <v>0</v>
      </c>
      <c r="CI92" s="433">
        <f t="shared" si="91"/>
        <v>0</v>
      </c>
      <c r="CJ92" s="433">
        <f t="shared" si="91"/>
        <v>0</v>
      </c>
      <c r="CK92" s="433">
        <f t="shared" si="91"/>
        <v>0</v>
      </c>
    </row>
    <row r="93" spans="3:89" outlineLevel="2">
      <c r="D93" s="383" t="s">
        <v>195</v>
      </c>
      <c r="E93" s="50" t="s">
        <v>185</v>
      </c>
      <c r="F93" s="383" t="s">
        <v>196</v>
      </c>
      <c r="G93" s="50" t="str" cm="1">
        <f t="array" ref="G93">INDEX(PBC_ACCOUNT_LIST[Name],_xlfn.XMATCH(H93,PBC_ACCOUNT_LIST[Id]))</f>
        <v>Health Insurance</v>
      </c>
      <c r="H93" s="544">
        <v>180</v>
      </c>
      <c r="R93" s="372">
        <f t="shared" si="87"/>
        <v>0</v>
      </c>
      <c r="S93" s="372">
        <f t="shared" si="87"/>
        <v>0</v>
      </c>
      <c r="T93" s="372">
        <f t="shared" si="87"/>
        <v>0</v>
      </c>
      <c r="U93" s="372">
        <f t="shared" si="87"/>
        <v>0</v>
      </c>
      <c r="X93" s="372">
        <f t="shared" si="88"/>
        <v>0</v>
      </c>
      <c r="Y93" s="372">
        <f t="shared" si="88"/>
        <v>0</v>
      </c>
      <c r="Z93" s="372">
        <f t="shared" si="88"/>
        <v>0</v>
      </c>
      <c r="AA93" s="372">
        <f t="shared" si="88"/>
        <v>0</v>
      </c>
      <c r="AB93" s="372">
        <f t="shared" si="88"/>
        <v>0</v>
      </c>
      <c r="AC93" s="372">
        <f t="shared" si="88"/>
        <v>0</v>
      </c>
      <c r="AD93" s="372">
        <f t="shared" si="88"/>
        <v>0</v>
      </c>
      <c r="AE93" s="372">
        <f t="shared" si="88"/>
        <v>0</v>
      </c>
      <c r="AF93" s="372">
        <f t="shared" si="88"/>
        <v>0</v>
      </c>
      <c r="AG93" s="372">
        <f t="shared" si="88"/>
        <v>0</v>
      </c>
      <c r="AH93" s="372">
        <f t="shared" si="88"/>
        <v>0</v>
      </c>
      <c r="AI93" s="372">
        <f t="shared" si="88"/>
        <v>0</v>
      </c>
      <c r="AJ93" s="372">
        <f t="shared" si="88"/>
        <v>0</v>
      </c>
      <c r="AK93" s="372">
        <f t="shared" si="88"/>
        <v>0</v>
      </c>
      <c r="AL93" s="372">
        <f t="shared" si="88"/>
        <v>0</v>
      </c>
      <c r="AM93" s="372">
        <f t="shared" si="88"/>
        <v>0</v>
      </c>
      <c r="AP93" s="433">
        <f t="shared" ref="AP93:CK93" si="92">AP90*Health_Benefits</f>
        <v>0</v>
      </c>
      <c r="AQ93" s="433">
        <f t="shared" si="92"/>
        <v>0</v>
      </c>
      <c r="AR93" s="433">
        <f t="shared" si="92"/>
        <v>0</v>
      </c>
      <c r="AS93" s="433">
        <f t="shared" si="92"/>
        <v>0</v>
      </c>
      <c r="AT93" s="433">
        <f t="shared" si="92"/>
        <v>0</v>
      </c>
      <c r="AU93" s="433">
        <f t="shared" si="92"/>
        <v>0</v>
      </c>
      <c r="AV93" s="433">
        <f t="shared" si="92"/>
        <v>0</v>
      </c>
      <c r="AW93" s="433">
        <f t="shared" si="92"/>
        <v>0</v>
      </c>
      <c r="AX93" s="433">
        <f t="shared" si="92"/>
        <v>0</v>
      </c>
      <c r="AY93" s="433">
        <f t="shared" si="92"/>
        <v>0</v>
      </c>
      <c r="AZ93" s="433">
        <f t="shared" si="92"/>
        <v>0</v>
      </c>
      <c r="BA93" s="433">
        <f t="shared" si="92"/>
        <v>0</v>
      </c>
      <c r="BB93" s="433">
        <f t="shared" si="92"/>
        <v>0</v>
      </c>
      <c r="BC93" s="433">
        <f t="shared" si="92"/>
        <v>0</v>
      </c>
      <c r="BD93" s="433">
        <f t="shared" si="92"/>
        <v>0</v>
      </c>
      <c r="BE93" s="433">
        <f t="shared" si="92"/>
        <v>0</v>
      </c>
      <c r="BF93" s="433">
        <f t="shared" si="92"/>
        <v>0</v>
      </c>
      <c r="BG93" s="433">
        <f t="shared" si="92"/>
        <v>0</v>
      </c>
      <c r="BH93" s="433">
        <f t="shared" si="92"/>
        <v>0</v>
      </c>
      <c r="BI93" s="433">
        <f t="shared" si="92"/>
        <v>0</v>
      </c>
      <c r="BJ93" s="433">
        <f t="shared" si="92"/>
        <v>0</v>
      </c>
      <c r="BK93" s="433">
        <f t="shared" si="92"/>
        <v>0</v>
      </c>
      <c r="BL93" s="433">
        <f t="shared" si="92"/>
        <v>0</v>
      </c>
      <c r="BM93" s="433">
        <f t="shared" si="92"/>
        <v>0</v>
      </c>
      <c r="BN93" s="433">
        <f t="shared" si="92"/>
        <v>0</v>
      </c>
      <c r="BO93" s="433">
        <f t="shared" si="92"/>
        <v>0</v>
      </c>
      <c r="BP93" s="433">
        <f t="shared" si="92"/>
        <v>0</v>
      </c>
      <c r="BQ93" s="433">
        <f t="shared" si="92"/>
        <v>0</v>
      </c>
      <c r="BR93" s="433">
        <f t="shared" si="92"/>
        <v>0</v>
      </c>
      <c r="BS93" s="433">
        <f t="shared" si="92"/>
        <v>0</v>
      </c>
      <c r="BT93" s="433">
        <f t="shared" si="92"/>
        <v>0</v>
      </c>
      <c r="BU93" s="433">
        <f t="shared" si="92"/>
        <v>0</v>
      </c>
      <c r="BV93" s="433">
        <f t="shared" si="92"/>
        <v>0</v>
      </c>
      <c r="BW93" s="433">
        <f t="shared" si="92"/>
        <v>0</v>
      </c>
      <c r="BX93" s="433">
        <f t="shared" si="92"/>
        <v>0</v>
      </c>
      <c r="BY93" s="433">
        <f t="shared" si="92"/>
        <v>0</v>
      </c>
      <c r="BZ93" s="433">
        <f t="shared" si="92"/>
        <v>0</v>
      </c>
      <c r="CA93" s="433">
        <f t="shared" si="92"/>
        <v>0</v>
      </c>
      <c r="CB93" s="433">
        <f t="shared" si="92"/>
        <v>0</v>
      </c>
      <c r="CC93" s="433">
        <f t="shared" si="92"/>
        <v>0</v>
      </c>
      <c r="CD93" s="433">
        <f t="shared" si="92"/>
        <v>0</v>
      </c>
      <c r="CE93" s="433">
        <f t="shared" si="92"/>
        <v>0</v>
      </c>
      <c r="CF93" s="433">
        <f t="shared" si="92"/>
        <v>0</v>
      </c>
      <c r="CG93" s="433">
        <f t="shared" si="92"/>
        <v>0</v>
      </c>
      <c r="CH93" s="433">
        <f t="shared" si="92"/>
        <v>0</v>
      </c>
      <c r="CI93" s="433">
        <f t="shared" si="92"/>
        <v>0</v>
      </c>
      <c r="CJ93" s="433">
        <f t="shared" si="92"/>
        <v>0</v>
      </c>
      <c r="CK93" s="433">
        <f t="shared" si="92"/>
        <v>0</v>
      </c>
    </row>
    <row r="94" spans="3:89" outlineLevel="2">
      <c r="D94" s="383" t="s">
        <v>197</v>
      </c>
      <c r="E94" s="50" t="s">
        <v>185</v>
      </c>
      <c r="F94" s="383" t="s">
        <v>198</v>
      </c>
      <c r="G94" s="50" t="str" cm="1">
        <f t="array" ref="G94">INDEX(PBC_ACCOUNT_LIST[Name],_xlfn.XMATCH(H94,PBC_ACCOUNT_LIST[Id]))</f>
        <v>Payroll Processing Fees</v>
      </c>
      <c r="H94" s="544">
        <v>181</v>
      </c>
      <c r="R94" s="372">
        <f t="shared" si="87"/>
        <v>0</v>
      </c>
      <c r="S94" s="372">
        <f t="shared" si="87"/>
        <v>0</v>
      </c>
      <c r="T94" s="372">
        <f t="shared" si="87"/>
        <v>0</v>
      </c>
      <c r="U94" s="372">
        <f t="shared" si="87"/>
        <v>0</v>
      </c>
      <c r="X94" s="372">
        <f t="shared" si="88"/>
        <v>0</v>
      </c>
      <c r="Y94" s="372">
        <f t="shared" si="88"/>
        <v>0</v>
      </c>
      <c r="Z94" s="372">
        <f t="shared" si="88"/>
        <v>0</v>
      </c>
      <c r="AA94" s="372">
        <f t="shared" si="88"/>
        <v>0</v>
      </c>
      <c r="AB94" s="372">
        <f t="shared" si="88"/>
        <v>0</v>
      </c>
      <c r="AC94" s="372">
        <f t="shared" si="88"/>
        <v>0</v>
      </c>
      <c r="AD94" s="372">
        <f t="shared" si="88"/>
        <v>0</v>
      </c>
      <c r="AE94" s="372">
        <f t="shared" si="88"/>
        <v>0</v>
      </c>
      <c r="AF94" s="372">
        <f t="shared" si="88"/>
        <v>0</v>
      </c>
      <c r="AG94" s="372">
        <f t="shared" si="88"/>
        <v>0</v>
      </c>
      <c r="AH94" s="372">
        <f t="shared" si="88"/>
        <v>0</v>
      </c>
      <c r="AI94" s="372">
        <f t="shared" si="88"/>
        <v>0</v>
      </c>
      <c r="AJ94" s="372">
        <f t="shared" si="88"/>
        <v>0</v>
      </c>
      <c r="AK94" s="372">
        <f t="shared" si="88"/>
        <v>0</v>
      </c>
      <c r="AL94" s="372">
        <f t="shared" si="88"/>
        <v>0</v>
      </c>
      <c r="AM94" s="372">
        <f t="shared" si="88"/>
        <v>0</v>
      </c>
      <c r="AP94" s="433" cm="1">
        <f t="array" ref="AP94">AP90*Payroll_Admin_Fees</f>
        <v>0</v>
      </c>
      <c r="AQ94" s="433">
        <f t="shared" ref="AQ94:CK94" si="93">AQ90*Payroll_Admin_Fees</f>
        <v>0</v>
      </c>
      <c r="AR94" s="433">
        <f t="shared" si="93"/>
        <v>0</v>
      </c>
      <c r="AS94" s="433">
        <f t="shared" si="93"/>
        <v>0</v>
      </c>
      <c r="AT94" s="433">
        <f t="shared" si="93"/>
        <v>0</v>
      </c>
      <c r="AU94" s="433">
        <f t="shared" si="93"/>
        <v>0</v>
      </c>
      <c r="AV94" s="433">
        <f t="shared" si="93"/>
        <v>0</v>
      </c>
      <c r="AW94" s="433">
        <f t="shared" si="93"/>
        <v>0</v>
      </c>
      <c r="AX94" s="433">
        <f t="shared" si="93"/>
        <v>0</v>
      </c>
      <c r="AY94" s="433">
        <f t="shared" si="93"/>
        <v>0</v>
      </c>
      <c r="AZ94" s="433">
        <f t="shared" si="93"/>
        <v>0</v>
      </c>
      <c r="BA94" s="433">
        <f t="shared" si="93"/>
        <v>0</v>
      </c>
      <c r="BB94" s="433">
        <f t="shared" si="93"/>
        <v>0</v>
      </c>
      <c r="BC94" s="433">
        <f t="shared" si="93"/>
        <v>0</v>
      </c>
      <c r="BD94" s="433">
        <f t="shared" si="93"/>
        <v>0</v>
      </c>
      <c r="BE94" s="433">
        <f t="shared" si="93"/>
        <v>0</v>
      </c>
      <c r="BF94" s="433">
        <f t="shared" si="93"/>
        <v>0</v>
      </c>
      <c r="BG94" s="433">
        <f t="shared" si="93"/>
        <v>0</v>
      </c>
      <c r="BH94" s="433">
        <f t="shared" si="93"/>
        <v>0</v>
      </c>
      <c r="BI94" s="433">
        <f t="shared" si="93"/>
        <v>0</v>
      </c>
      <c r="BJ94" s="433">
        <f t="shared" si="93"/>
        <v>0</v>
      </c>
      <c r="BK94" s="433">
        <f t="shared" si="93"/>
        <v>0</v>
      </c>
      <c r="BL94" s="433">
        <f t="shared" si="93"/>
        <v>0</v>
      </c>
      <c r="BM94" s="433">
        <f t="shared" si="93"/>
        <v>0</v>
      </c>
      <c r="BN94" s="433">
        <f t="shared" si="93"/>
        <v>0</v>
      </c>
      <c r="BO94" s="433">
        <f t="shared" si="93"/>
        <v>0</v>
      </c>
      <c r="BP94" s="433">
        <f t="shared" si="93"/>
        <v>0</v>
      </c>
      <c r="BQ94" s="433">
        <f t="shared" si="93"/>
        <v>0</v>
      </c>
      <c r="BR94" s="433">
        <f t="shared" si="93"/>
        <v>0</v>
      </c>
      <c r="BS94" s="433">
        <f t="shared" si="93"/>
        <v>0</v>
      </c>
      <c r="BT94" s="433">
        <f t="shared" si="93"/>
        <v>0</v>
      </c>
      <c r="BU94" s="433">
        <f t="shared" si="93"/>
        <v>0</v>
      </c>
      <c r="BV94" s="433">
        <f t="shared" si="93"/>
        <v>0</v>
      </c>
      <c r="BW94" s="433">
        <f t="shared" si="93"/>
        <v>0</v>
      </c>
      <c r="BX94" s="433">
        <f t="shared" si="93"/>
        <v>0</v>
      </c>
      <c r="BY94" s="433">
        <f t="shared" si="93"/>
        <v>0</v>
      </c>
      <c r="BZ94" s="433">
        <f t="shared" si="93"/>
        <v>0</v>
      </c>
      <c r="CA94" s="433">
        <f t="shared" si="93"/>
        <v>0</v>
      </c>
      <c r="CB94" s="433">
        <f t="shared" si="93"/>
        <v>0</v>
      </c>
      <c r="CC94" s="433">
        <f t="shared" si="93"/>
        <v>0</v>
      </c>
      <c r="CD94" s="433">
        <f t="shared" si="93"/>
        <v>0</v>
      </c>
      <c r="CE94" s="433">
        <f t="shared" si="93"/>
        <v>0</v>
      </c>
      <c r="CF94" s="433">
        <f t="shared" si="93"/>
        <v>0</v>
      </c>
      <c r="CG94" s="433">
        <f t="shared" si="93"/>
        <v>0</v>
      </c>
      <c r="CH94" s="433">
        <f t="shared" si="93"/>
        <v>0</v>
      </c>
      <c r="CI94" s="433">
        <f t="shared" si="93"/>
        <v>0</v>
      </c>
      <c r="CJ94" s="433">
        <f t="shared" si="93"/>
        <v>0</v>
      </c>
      <c r="CK94" s="433">
        <f t="shared" si="93"/>
        <v>0</v>
      </c>
    </row>
    <row r="95" spans="3:89" outlineLevel="2">
      <c r="D95" s="383" t="s">
        <v>200</v>
      </c>
      <c r="E95" s="50" t="s">
        <v>185</v>
      </c>
      <c r="F95" s="383" t="s">
        <v>200</v>
      </c>
      <c r="G95" s="50" t="str" cm="1">
        <f t="array" ref="G95">INDEX(PBC_ACCOUNT_LIST[Name],_xlfn.XMATCH(H95,PBC_ACCOUNT_LIST[Id]))</f>
        <v>Salary &amp; Wages</v>
      </c>
      <c r="H95" s="544">
        <v>178</v>
      </c>
      <c r="R95" s="372">
        <f t="shared" si="87"/>
        <v>0</v>
      </c>
      <c r="S95" s="372">
        <f t="shared" si="87"/>
        <v>0</v>
      </c>
      <c r="T95" s="372">
        <f t="shared" si="87"/>
        <v>0</v>
      </c>
      <c r="U95" s="372">
        <f t="shared" si="87"/>
        <v>0</v>
      </c>
      <c r="X95" s="372">
        <f t="shared" si="88"/>
        <v>0</v>
      </c>
      <c r="Y95" s="372">
        <f t="shared" si="88"/>
        <v>0</v>
      </c>
      <c r="Z95" s="372">
        <f t="shared" si="88"/>
        <v>0</v>
      </c>
      <c r="AA95" s="372">
        <f t="shared" si="88"/>
        <v>0</v>
      </c>
      <c r="AB95" s="372">
        <f t="shared" si="88"/>
        <v>0</v>
      </c>
      <c r="AC95" s="372">
        <f t="shared" si="88"/>
        <v>0</v>
      </c>
      <c r="AD95" s="372">
        <f t="shared" si="88"/>
        <v>0</v>
      </c>
      <c r="AE95" s="372">
        <f t="shared" si="88"/>
        <v>0</v>
      </c>
      <c r="AF95" s="372">
        <f t="shared" si="88"/>
        <v>0</v>
      </c>
      <c r="AG95" s="372">
        <f t="shared" si="88"/>
        <v>0</v>
      </c>
      <c r="AH95" s="372">
        <f t="shared" si="88"/>
        <v>0</v>
      </c>
      <c r="AI95" s="372">
        <f t="shared" si="88"/>
        <v>0</v>
      </c>
      <c r="AJ95" s="372">
        <f t="shared" si="88"/>
        <v>0</v>
      </c>
      <c r="AK95" s="372">
        <f t="shared" si="88"/>
        <v>0</v>
      </c>
      <c r="AL95" s="372">
        <f t="shared" si="88"/>
        <v>0</v>
      </c>
      <c r="AM95" s="372">
        <f t="shared" si="88"/>
        <v>0</v>
      </c>
      <c r="AP95" s="433">
        <f t="shared" ref="AP95:CK95" si="94">IF(MONTH(AP$8)=MONTH(BonusMonth),SUMIFS($N$11:$N$35,AP$11:AP$35,"&gt;"&amp;0,$G$11:$G$35,$C89),0)</f>
        <v>0</v>
      </c>
      <c r="AQ95" s="433">
        <f t="shared" si="94"/>
        <v>0</v>
      </c>
      <c r="AR95" s="433">
        <f t="shared" si="94"/>
        <v>0</v>
      </c>
      <c r="AS95" s="433">
        <f t="shared" si="94"/>
        <v>0</v>
      </c>
      <c r="AT95" s="433">
        <f t="shared" si="94"/>
        <v>0</v>
      </c>
      <c r="AU95" s="433">
        <f t="shared" si="94"/>
        <v>0</v>
      </c>
      <c r="AV95" s="433">
        <f t="shared" si="94"/>
        <v>0</v>
      </c>
      <c r="AW95" s="433">
        <f t="shared" si="94"/>
        <v>0</v>
      </c>
      <c r="AX95" s="433">
        <f t="shared" si="94"/>
        <v>0</v>
      </c>
      <c r="AY95" s="433">
        <f t="shared" si="94"/>
        <v>0</v>
      </c>
      <c r="AZ95" s="433">
        <f t="shared" si="94"/>
        <v>0</v>
      </c>
      <c r="BA95" s="433">
        <f t="shared" si="94"/>
        <v>0</v>
      </c>
      <c r="BB95" s="433">
        <f t="shared" si="94"/>
        <v>0</v>
      </c>
      <c r="BC95" s="433">
        <f t="shared" si="94"/>
        <v>0</v>
      </c>
      <c r="BD95" s="433">
        <f t="shared" si="94"/>
        <v>0</v>
      </c>
      <c r="BE95" s="433">
        <f t="shared" si="94"/>
        <v>0</v>
      </c>
      <c r="BF95" s="433">
        <f t="shared" si="94"/>
        <v>0</v>
      </c>
      <c r="BG95" s="433">
        <f t="shared" si="94"/>
        <v>0</v>
      </c>
      <c r="BH95" s="433">
        <f t="shared" si="94"/>
        <v>0</v>
      </c>
      <c r="BI95" s="433">
        <f t="shared" si="94"/>
        <v>0</v>
      </c>
      <c r="BJ95" s="433">
        <f t="shared" si="94"/>
        <v>0</v>
      </c>
      <c r="BK95" s="433">
        <f t="shared" si="94"/>
        <v>0</v>
      </c>
      <c r="BL95" s="433">
        <f t="shared" si="94"/>
        <v>0</v>
      </c>
      <c r="BM95" s="433">
        <f t="shared" si="94"/>
        <v>0</v>
      </c>
      <c r="BN95" s="433">
        <f t="shared" si="94"/>
        <v>0</v>
      </c>
      <c r="BO95" s="433">
        <f t="shared" si="94"/>
        <v>0</v>
      </c>
      <c r="BP95" s="433">
        <f t="shared" si="94"/>
        <v>0</v>
      </c>
      <c r="BQ95" s="433">
        <f t="shared" si="94"/>
        <v>0</v>
      </c>
      <c r="BR95" s="433">
        <f t="shared" si="94"/>
        <v>0</v>
      </c>
      <c r="BS95" s="433">
        <f t="shared" si="94"/>
        <v>0</v>
      </c>
      <c r="BT95" s="433">
        <f t="shared" si="94"/>
        <v>0</v>
      </c>
      <c r="BU95" s="433">
        <f t="shared" si="94"/>
        <v>0</v>
      </c>
      <c r="BV95" s="433">
        <f t="shared" si="94"/>
        <v>0</v>
      </c>
      <c r="BW95" s="433">
        <f t="shared" si="94"/>
        <v>0</v>
      </c>
      <c r="BX95" s="433">
        <f t="shared" si="94"/>
        <v>0</v>
      </c>
      <c r="BY95" s="433">
        <f t="shared" si="94"/>
        <v>0</v>
      </c>
      <c r="BZ95" s="433">
        <f t="shared" si="94"/>
        <v>0</v>
      </c>
      <c r="CA95" s="433">
        <f t="shared" si="94"/>
        <v>0</v>
      </c>
      <c r="CB95" s="433">
        <f t="shared" si="94"/>
        <v>0</v>
      </c>
      <c r="CC95" s="433">
        <f t="shared" si="94"/>
        <v>0</v>
      </c>
      <c r="CD95" s="433">
        <f t="shared" si="94"/>
        <v>0</v>
      </c>
      <c r="CE95" s="433">
        <f t="shared" si="94"/>
        <v>0</v>
      </c>
      <c r="CF95" s="433">
        <f t="shared" si="94"/>
        <v>0</v>
      </c>
      <c r="CG95" s="433">
        <f t="shared" si="94"/>
        <v>0</v>
      </c>
      <c r="CH95" s="433">
        <f t="shared" si="94"/>
        <v>0</v>
      </c>
      <c r="CI95" s="433">
        <f t="shared" si="94"/>
        <v>0</v>
      </c>
      <c r="CJ95" s="433">
        <f t="shared" si="94"/>
        <v>0</v>
      </c>
      <c r="CK95" s="433">
        <f t="shared" si="94"/>
        <v>0</v>
      </c>
    </row>
    <row r="96" spans="3:89" outlineLevel="1">
      <c r="C96" s="355" t="s">
        <v>186</v>
      </c>
      <c r="R96" s="480">
        <f>SUM(R97:R102)</f>
        <v>0</v>
      </c>
      <c r="S96" s="480">
        <f>SUM(S97:S102)</f>
        <v>0</v>
      </c>
      <c r="T96" s="480">
        <f>SUM(T97:T102)</f>
        <v>0</v>
      </c>
      <c r="U96" s="480">
        <f>SUM(U97:U102)</f>
        <v>0</v>
      </c>
      <c r="X96" s="480">
        <f t="shared" ref="X96:AM96" si="95">SUM(X97:X102)</f>
        <v>0</v>
      </c>
      <c r="Y96" s="480">
        <f t="shared" si="95"/>
        <v>0</v>
      </c>
      <c r="Z96" s="480">
        <f t="shared" si="95"/>
        <v>0</v>
      </c>
      <c r="AA96" s="480">
        <f t="shared" si="95"/>
        <v>0</v>
      </c>
      <c r="AB96" s="480">
        <f t="shared" si="95"/>
        <v>0</v>
      </c>
      <c r="AC96" s="480">
        <f t="shared" si="95"/>
        <v>0</v>
      </c>
      <c r="AD96" s="480">
        <f t="shared" si="95"/>
        <v>0</v>
      </c>
      <c r="AE96" s="480">
        <f t="shared" si="95"/>
        <v>0</v>
      </c>
      <c r="AF96" s="480">
        <f t="shared" si="95"/>
        <v>0</v>
      </c>
      <c r="AG96" s="480">
        <f t="shared" si="95"/>
        <v>0</v>
      </c>
      <c r="AH96" s="480">
        <f t="shared" si="95"/>
        <v>0</v>
      </c>
      <c r="AI96" s="480">
        <f t="shared" si="95"/>
        <v>0</v>
      </c>
      <c r="AJ96" s="480">
        <f t="shared" si="95"/>
        <v>0</v>
      </c>
      <c r="AK96" s="480">
        <f t="shared" si="95"/>
        <v>0</v>
      </c>
      <c r="AL96" s="480">
        <f t="shared" si="95"/>
        <v>0</v>
      </c>
      <c r="AM96" s="480">
        <f t="shared" si="95"/>
        <v>0</v>
      </c>
      <c r="AO96" s="51"/>
      <c r="AP96" s="480">
        <f t="shared" ref="AP96:CK96" si="96">SUM(AP97:AP102)</f>
        <v>0</v>
      </c>
      <c r="AQ96" s="480">
        <f t="shared" si="96"/>
        <v>0</v>
      </c>
      <c r="AR96" s="480">
        <f t="shared" si="96"/>
        <v>0</v>
      </c>
      <c r="AS96" s="480">
        <f t="shared" si="96"/>
        <v>0</v>
      </c>
      <c r="AT96" s="480">
        <f t="shared" si="96"/>
        <v>0</v>
      </c>
      <c r="AU96" s="480">
        <f t="shared" si="96"/>
        <v>0</v>
      </c>
      <c r="AV96" s="480">
        <f t="shared" si="96"/>
        <v>0</v>
      </c>
      <c r="AW96" s="480">
        <f t="shared" si="96"/>
        <v>0</v>
      </c>
      <c r="AX96" s="480">
        <f t="shared" si="96"/>
        <v>0</v>
      </c>
      <c r="AY96" s="480">
        <f t="shared" si="96"/>
        <v>0</v>
      </c>
      <c r="AZ96" s="480">
        <f t="shared" si="96"/>
        <v>0</v>
      </c>
      <c r="BA96" s="480">
        <f t="shared" si="96"/>
        <v>0</v>
      </c>
      <c r="BB96" s="480">
        <f t="shared" si="96"/>
        <v>0</v>
      </c>
      <c r="BC96" s="480">
        <f t="shared" si="96"/>
        <v>0</v>
      </c>
      <c r="BD96" s="480">
        <f t="shared" si="96"/>
        <v>0</v>
      </c>
      <c r="BE96" s="480">
        <f t="shared" si="96"/>
        <v>0</v>
      </c>
      <c r="BF96" s="480">
        <f t="shared" si="96"/>
        <v>0</v>
      </c>
      <c r="BG96" s="480">
        <f t="shared" si="96"/>
        <v>0</v>
      </c>
      <c r="BH96" s="480">
        <f t="shared" si="96"/>
        <v>0</v>
      </c>
      <c r="BI96" s="480">
        <f t="shared" si="96"/>
        <v>0</v>
      </c>
      <c r="BJ96" s="480">
        <f t="shared" si="96"/>
        <v>0</v>
      </c>
      <c r="BK96" s="480">
        <f t="shared" si="96"/>
        <v>0</v>
      </c>
      <c r="BL96" s="480">
        <f t="shared" si="96"/>
        <v>0</v>
      </c>
      <c r="BM96" s="480">
        <f t="shared" si="96"/>
        <v>0</v>
      </c>
      <c r="BN96" s="480">
        <f t="shared" si="96"/>
        <v>0</v>
      </c>
      <c r="BO96" s="480">
        <f t="shared" si="96"/>
        <v>0</v>
      </c>
      <c r="BP96" s="480">
        <f t="shared" si="96"/>
        <v>0</v>
      </c>
      <c r="BQ96" s="480">
        <f t="shared" si="96"/>
        <v>0</v>
      </c>
      <c r="BR96" s="480">
        <f t="shared" si="96"/>
        <v>0</v>
      </c>
      <c r="BS96" s="480">
        <f t="shared" si="96"/>
        <v>0</v>
      </c>
      <c r="BT96" s="480">
        <f t="shared" si="96"/>
        <v>0</v>
      </c>
      <c r="BU96" s="480">
        <f t="shared" si="96"/>
        <v>0</v>
      </c>
      <c r="BV96" s="480">
        <f t="shared" si="96"/>
        <v>0</v>
      </c>
      <c r="BW96" s="480">
        <f t="shared" si="96"/>
        <v>0</v>
      </c>
      <c r="BX96" s="480">
        <f t="shared" si="96"/>
        <v>0</v>
      </c>
      <c r="BY96" s="480">
        <f t="shared" si="96"/>
        <v>0</v>
      </c>
      <c r="BZ96" s="480">
        <f t="shared" si="96"/>
        <v>0</v>
      </c>
      <c r="CA96" s="480">
        <f t="shared" si="96"/>
        <v>0</v>
      </c>
      <c r="CB96" s="480">
        <f t="shared" si="96"/>
        <v>0</v>
      </c>
      <c r="CC96" s="480">
        <f t="shared" si="96"/>
        <v>0</v>
      </c>
      <c r="CD96" s="480">
        <f t="shared" si="96"/>
        <v>0</v>
      </c>
      <c r="CE96" s="480">
        <f t="shared" si="96"/>
        <v>0</v>
      </c>
      <c r="CF96" s="480">
        <f t="shared" si="96"/>
        <v>0</v>
      </c>
      <c r="CG96" s="480">
        <f t="shared" si="96"/>
        <v>0</v>
      </c>
      <c r="CH96" s="480">
        <f t="shared" si="96"/>
        <v>0</v>
      </c>
      <c r="CI96" s="480">
        <f t="shared" si="96"/>
        <v>0</v>
      </c>
      <c r="CJ96" s="480">
        <f t="shared" si="96"/>
        <v>0</v>
      </c>
      <c r="CK96" s="480">
        <f t="shared" si="96"/>
        <v>0</v>
      </c>
    </row>
    <row r="97" spans="2:89" outlineLevel="2">
      <c r="D97" s="383" t="s">
        <v>406</v>
      </c>
      <c r="E97" s="50" t="s">
        <v>187</v>
      </c>
      <c r="F97" s="383" t="s">
        <v>190</v>
      </c>
      <c r="G97" s="50" t="str" cm="1">
        <f t="array" ref="G97">INDEX(PBC_ACCOUNT_LIST[Name],_xlfn.XMATCH(H97,PBC_ACCOUNT_LIST[Id]))</f>
        <v>Salary &amp; Wages</v>
      </c>
      <c r="H97" s="544">
        <v>178</v>
      </c>
      <c r="R97" s="372">
        <f t="shared" ref="R97:U102" si="97">SUMIFS($AP97:$CK97,$AP$4:$CK$4,"&gt;="&amp;R$4,$AP$5:$CK$5,"&lt;="&amp;R$5)</f>
        <v>0</v>
      </c>
      <c r="S97" s="372">
        <f t="shared" si="97"/>
        <v>0</v>
      </c>
      <c r="T97" s="372">
        <f t="shared" si="97"/>
        <v>0</v>
      </c>
      <c r="U97" s="372">
        <f t="shared" si="97"/>
        <v>0</v>
      </c>
      <c r="X97" s="372">
        <f t="shared" ref="X97:AM102" si="98">SUMIFS($AP97:$CK97,$AP$4:$CK$4,"&gt;="&amp;X$4,$AP$5:$CK$5,"&lt;="&amp;X$5)</f>
        <v>0</v>
      </c>
      <c r="Y97" s="372">
        <f t="shared" si="98"/>
        <v>0</v>
      </c>
      <c r="Z97" s="372">
        <f t="shared" si="98"/>
        <v>0</v>
      </c>
      <c r="AA97" s="372">
        <f t="shared" si="98"/>
        <v>0</v>
      </c>
      <c r="AB97" s="372">
        <f t="shared" si="98"/>
        <v>0</v>
      </c>
      <c r="AC97" s="372">
        <f t="shared" si="98"/>
        <v>0</v>
      </c>
      <c r="AD97" s="372">
        <f t="shared" si="98"/>
        <v>0</v>
      </c>
      <c r="AE97" s="372">
        <f t="shared" si="98"/>
        <v>0</v>
      </c>
      <c r="AF97" s="372">
        <f t="shared" si="98"/>
        <v>0</v>
      </c>
      <c r="AG97" s="372">
        <f t="shared" si="98"/>
        <v>0</v>
      </c>
      <c r="AH97" s="372">
        <f t="shared" si="98"/>
        <v>0</v>
      </c>
      <c r="AI97" s="372">
        <f t="shared" si="98"/>
        <v>0</v>
      </c>
      <c r="AJ97" s="372">
        <f t="shared" si="98"/>
        <v>0</v>
      </c>
      <c r="AK97" s="372">
        <f t="shared" si="98"/>
        <v>0</v>
      </c>
      <c r="AL97" s="372">
        <f t="shared" si="98"/>
        <v>0</v>
      </c>
      <c r="AM97" s="372">
        <f t="shared" si="98"/>
        <v>0</v>
      </c>
      <c r="AP97" s="372">
        <f t="shared" ref="AP97:CK97" si="99">SUMIFS(AP$11:AP$35,$G$11:$G$35,$C96,$O$11:$O$35,"FTE") + (AP57 * AP43)</f>
        <v>0</v>
      </c>
      <c r="AQ97" s="372">
        <f t="shared" si="99"/>
        <v>0</v>
      </c>
      <c r="AR97" s="372">
        <f t="shared" si="99"/>
        <v>0</v>
      </c>
      <c r="AS97" s="372">
        <f t="shared" si="99"/>
        <v>0</v>
      </c>
      <c r="AT97" s="372">
        <f t="shared" si="99"/>
        <v>0</v>
      </c>
      <c r="AU97" s="372">
        <f t="shared" si="99"/>
        <v>0</v>
      </c>
      <c r="AV97" s="372">
        <f t="shared" si="99"/>
        <v>0</v>
      </c>
      <c r="AW97" s="372">
        <f t="shared" si="99"/>
        <v>0</v>
      </c>
      <c r="AX97" s="372">
        <f t="shared" si="99"/>
        <v>0</v>
      </c>
      <c r="AY97" s="372">
        <f t="shared" si="99"/>
        <v>0</v>
      </c>
      <c r="AZ97" s="372">
        <f t="shared" si="99"/>
        <v>0</v>
      </c>
      <c r="BA97" s="372">
        <f t="shared" si="99"/>
        <v>0</v>
      </c>
      <c r="BB97" s="372">
        <f t="shared" si="99"/>
        <v>0</v>
      </c>
      <c r="BC97" s="372">
        <f t="shared" si="99"/>
        <v>0</v>
      </c>
      <c r="BD97" s="372">
        <f t="shared" si="99"/>
        <v>0</v>
      </c>
      <c r="BE97" s="372">
        <f t="shared" si="99"/>
        <v>0</v>
      </c>
      <c r="BF97" s="372">
        <f t="shared" si="99"/>
        <v>0</v>
      </c>
      <c r="BG97" s="372">
        <f t="shared" si="99"/>
        <v>0</v>
      </c>
      <c r="BH97" s="372">
        <f t="shared" si="99"/>
        <v>0</v>
      </c>
      <c r="BI97" s="372">
        <f t="shared" si="99"/>
        <v>0</v>
      </c>
      <c r="BJ97" s="372">
        <f t="shared" si="99"/>
        <v>0</v>
      </c>
      <c r="BK97" s="372">
        <f t="shared" si="99"/>
        <v>0</v>
      </c>
      <c r="BL97" s="372">
        <f t="shared" si="99"/>
        <v>0</v>
      </c>
      <c r="BM97" s="372">
        <f t="shared" si="99"/>
        <v>0</v>
      </c>
      <c r="BN97" s="372">
        <f t="shared" si="99"/>
        <v>0</v>
      </c>
      <c r="BO97" s="372">
        <f t="shared" si="99"/>
        <v>0</v>
      </c>
      <c r="BP97" s="372">
        <f t="shared" si="99"/>
        <v>0</v>
      </c>
      <c r="BQ97" s="372">
        <f t="shared" si="99"/>
        <v>0</v>
      </c>
      <c r="BR97" s="372">
        <f t="shared" si="99"/>
        <v>0</v>
      </c>
      <c r="BS97" s="372">
        <f t="shared" si="99"/>
        <v>0</v>
      </c>
      <c r="BT97" s="372">
        <f t="shared" si="99"/>
        <v>0</v>
      </c>
      <c r="BU97" s="372">
        <f t="shared" si="99"/>
        <v>0</v>
      </c>
      <c r="BV97" s="372">
        <f t="shared" si="99"/>
        <v>0</v>
      </c>
      <c r="BW97" s="372">
        <f t="shared" si="99"/>
        <v>0</v>
      </c>
      <c r="BX97" s="372">
        <f t="shared" si="99"/>
        <v>0</v>
      </c>
      <c r="BY97" s="372">
        <f t="shared" si="99"/>
        <v>0</v>
      </c>
      <c r="BZ97" s="372">
        <f t="shared" si="99"/>
        <v>0</v>
      </c>
      <c r="CA97" s="372">
        <f t="shared" si="99"/>
        <v>0</v>
      </c>
      <c r="CB97" s="372">
        <f t="shared" si="99"/>
        <v>0</v>
      </c>
      <c r="CC97" s="372">
        <f t="shared" si="99"/>
        <v>0</v>
      </c>
      <c r="CD97" s="372">
        <f t="shared" si="99"/>
        <v>0</v>
      </c>
      <c r="CE97" s="372">
        <f t="shared" si="99"/>
        <v>0</v>
      </c>
      <c r="CF97" s="372">
        <f t="shared" si="99"/>
        <v>0</v>
      </c>
      <c r="CG97" s="372">
        <f t="shared" si="99"/>
        <v>0</v>
      </c>
      <c r="CH97" s="372">
        <f t="shared" si="99"/>
        <v>0</v>
      </c>
      <c r="CI97" s="372">
        <f t="shared" si="99"/>
        <v>0</v>
      </c>
      <c r="CJ97" s="372">
        <f t="shared" si="99"/>
        <v>0</v>
      </c>
      <c r="CK97" s="372">
        <f t="shared" si="99"/>
        <v>0</v>
      </c>
    </row>
    <row r="98" spans="2:89" outlineLevel="2">
      <c r="D98" s="383" t="s">
        <v>191</v>
      </c>
      <c r="E98" s="50" t="s">
        <v>187</v>
      </c>
      <c r="F98" s="383" t="s">
        <v>192</v>
      </c>
      <c r="G98" s="50" t="str" cm="1">
        <f t="array" ref="G98">INDEX(PBC_ACCOUNT_LIST[Name],_xlfn.XMATCH(H98,PBC_ACCOUNT_LIST[Id]))</f>
        <v>Contractors</v>
      </c>
      <c r="H98" s="544">
        <v>177</v>
      </c>
      <c r="R98" s="372">
        <f t="shared" si="97"/>
        <v>0</v>
      </c>
      <c r="S98" s="372">
        <f t="shared" si="97"/>
        <v>0</v>
      </c>
      <c r="T98" s="372">
        <f t="shared" si="97"/>
        <v>0</v>
      </c>
      <c r="U98" s="372">
        <f t="shared" si="97"/>
        <v>0</v>
      </c>
      <c r="X98" s="372">
        <f t="shared" si="98"/>
        <v>0</v>
      </c>
      <c r="Y98" s="372">
        <f t="shared" si="98"/>
        <v>0</v>
      </c>
      <c r="Z98" s="372">
        <f t="shared" si="98"/>
        <v>0</v>
      </c>
      <c r="AA98" s="372">
        <f t="shared" si="98"/>
        <v>0</v>
      </c>
      <c r="AB98" s="372">
        <f t="shared" si="98"/>
        <v>0</v>
      </c>
      <c r="AC98" s="372">
        <f t="shared" si="98"/>
        <v>0</v>
      </c>
      <c r="AD98" s="372">
        <f t="shared" si="98"/>
        <v>0</v>
      </c>
      <c r="AE98" s="372">
        <f t="shared" si="98"/>
        <v>0</v>
      </c>
      <c r="AF98" s="372">
        <f t="shared" si="98"/>
        <v>0</v>
      </c>
      <c r="AG98" s="372">
        <f t="shared" si="98"/>
        <v>0</v>
      </c>
      <c r="AH98" s="372">
        <f t="shared" si="98"/>
        <v>0</v>
      </c>
      <c r="AI98" s="372">
        <f t="shared" si="98"/>
        <v>0</v>
      </c>
      <c r="AJ98" s="372">
        <f t="shared" si="98"/>
        <v>0</v>
      </c>
      <c r="AK98" s="372">
        <f t="shared" si="98"/>
        <v>0</v>
      </c>
      <c r="AL98" s="372">
        <f t="shared" si="98"/>
        <v>0</v>
      </c>
      <c r="AM98" s="372">
        <f t="shared" si="98"/>
        <v>0</v>
      </c>
      <c r="AP98" s="372">
        <f t="shared" ref="AP98:CK98" si="100">SUMIFS(AP$11:AP$35,$G$11:$G$35,$C96,$O$11:$O$35,"consultant")</f>
        <v>0</v>
      </c>
      <c r="AQ98" s="372">
        <f t="shared" si="100"/>
        <v>0</v>
      </c>
      <c r="AR98" s="372">
        <f t="shared" si="100"/>
        <v>0</v>
      </c>
      <c r="AS98" s="372">
        <f t="shared" si="100"/>
        <v>0</v>
      </c>
      <c r="AT98" s="372">
        <f t="shared" si="100"/>
        <v>0</v>
      </c>
      <c r="AU98" s="372">
        <f t="shared" si="100"/>
        <v>0</v>
      </c>
      <c r="AV98" s="372">
        <f t="shared" si="100"/>
        <v>0</v>
      </c>
      <c r="AW98" s="372">
        <f t="shared" si="100"/>
        <v>0</v>
      </c>
      <c r="AX98" s="372">
        <f t="shared" si="100"/>
        <v>0</v>
      </c>
      <c r="AY98" s="372">
        <f t="shared" si="100"/>
        <v>0</v>
      </c>
      <c r="AZ98" s="372">
        <f t="shared" si="100"/>
        <v>0</v>
      </c>
      <c r="BA98" s="372">
        <f t="shared" si="100"/>
        <v>0</v>
      </c>
      <c r="BB98" s="372">
        <f t="shared" si="100"/>
        <v>0</v>
      </c>
      <c r="BC98" s="372">
        <f t="shared" si="100"/>
        <v>0</v>
      </c>
      <c r="BD98" s="372">
        <f t="shared" si="100"/>
        <v>0</v>
      </c>
      <c r="BE98" s="372">
        <f t="shared" si="100"/>
        <v>0</v>
      </c>
      <c r="BF98" s="372">
        <f t="shared" si="100"/>
        <v>0</v>
      </c>
      <c r="BG98" s="372">
        <f t="shared" si="100"/>
        <v>0</v>
      </c>
      <c r="BH98" s="372">
        <f t="shared" si="100"/>
        <v>0</v>
      </c>
      <c r="BI98" s="372">
        <f t="shared" si="100"/>
        <v>0</v>
      </c>
      <c r="BJ98" s="372">
        <f t="shared" si="100"/>
        <v>0</v>
      </c>
      <c r="BK98" s="372">
        <f t="shared" si="100"/>
        <v>0</v>
      </c>
      <c r="BL98" s="372">
        <f t="shared" si="100"/>
        <v>0</v>
      </c>
      <c r="BM98" s="372">
        <f t="shared" si="100"/>
        <v>0</v>
      </c>
      <c r="BN98" s="372">
        <f t="shared" si="100"/>
        <v>0</v>
      </c>
      <c r="BO98" s="372">
        <f t="shared" si="100"/>
        <v>0</v>
      </c>
      <c r="BP98" s="372">
        <f t="shared" si="100"/>
        <v>0</v>
      </c>
      <c r="BQ98" s="372">
        <f t="shared" si="100"/>
        <v>0</v>
      </c>
      <c r="BR98" s="372">
        <f t="shared" si="100"/>
        <v>0</v>
      </c>
      <c r="BS98" s="372">
        <f t="shared" si="100"/>
        <v>0</v>
      </c>
      <c r="BT98" s="372">
        <f t="shared" si="100"/>
        <v>0</v>
      </c>
      <c r="BU98" s="372">
        <f t="shared" si="100"/>
        <v>0</v>
      </c>
      <c r="BV98" s="372">
        <f t="shared" si="100"/>
        <v>0</v>
      </c>
      <c r="BW98" s="372">
        <f t="shared" si="100"/>
        <v>0</v>
      </c>
      <c r="BX98" s="372">
        <f t="shared" si="100"/>
        <v>0</v>
      </c>
      <c r="BY98" s="372">
        <f t="shared" si="100"/>
        <v>0</v>
      </c>
      <c r="BZ98" s="372">
        <f t="shared" si="100"/>
        <v>0</v>
      </c>
      <c r="CA98" s="372">
        <f t="shared" si="100"/>
        <v>0</v>
      </c>
      <c r="CB98" s="372">
        <f t="shared" si="100"/>
        <v>0</v>
      </c>
      <c r="CC98" s="372">
        <f t="shared" si="100"/>
        <v>0</v>
      </c>
      <c r="CD98" s="372">
        <f t="shared" si="100"/>
        <v>0</v>
      </c>
      <c r="CE98" s="372">
        <f t="shared" si="100"/>
        <v>0</v>
      </c>
      <c r="CF98" s="372">
        <f t="shared" si="100"/>
        <v>0</v>
      </c>
      <c r="CG98" s="372">
        <f t="shared" si="100"/>
        <v>0</v>
      </c>
      <c r="CH98" s="372">
        <f t="shared" si="100"/>
        <v>0</v>
      </c>
      <c r="CI98" s="372">
        <f t="shared" si="100"/>
        <v>0</v>
      </c>
      <c r="CJ98" s="372">
        <f t="shared" si="100"/>
        <v>0</v>
      </c>
      <c r="CK98" s="372">
        <f t="shared" si="100"/>
        <v>0</v>
      </c>
    </row>
    <row r="99" spans="2:89" outlineLevel="2">
      <c r="D99" s="383" t="s">
        <v>193</v>
      </c>
      <c r="E99" s="50" t="s">
        <v>187</v>
      </c>
      <c r="F99" s="383" t="s">
        <v>194</v>
      </c>
      <c r="G99" s="50" t="str" cm="1">
        <f t="array" ref="G99">INDEX(PBC_ACCOUNT_LIST[Name],_xlfn.XMATCH(H99,PBC_ACCOUNT_LIST[Id]))</f>
        <v>Payroll Taxes</v>
      </c>
      <c r="H99" s="544">
        <v>179</v>
      </c>
      <c r="R99" s="372">
        <f t="shared" si="97"/>
        <v>0</v>
      </c>
      <c r="S99" s="372">
        <f t="shared" si="97"/>
        <v>0</v>
      </c>
      <c r="T99" s="372">
        <f t="shared" si="97"/>
        <v>0</v>
      </c>
      <c r="U99" s="372">
        <f t="shared" si="97"/>
        <v>0</v>
      </c>
      <c r="X99" s="372">
        <f t="shared" si="98"/>
        <v>0</v>
      </c>
      <c r="Y99" s="372">
        <f t="shared" si="98"/>
        <v>0</v>
      </c>
      <c r="Z99" s="372">
        <f t="shared" si="98"/>
        <v>0</v>
      </c>
      <c r="AA99" s="372">
        <f t="shared" si="98"/>
        <v>0</v>
      </c>
      <c r="AB99" s="372">
        <f t="shared" si="98"/>
        <v>0</v>
      </c>
      <c r="AC99" s="372">
        <f t="shared" si="98"/>
        <v>0</v>
      </c>
      <c r="AD99" s="372">
        <f t="shared" si="98"/>
        <v>0</v>
      </c>
      <c r="AE99" s="372">
        <f t="shared" si="98"/>
        <v>0</v>
      </c>
      <c r="AF99" s="372">
        <f t="shared" si="98"/>
        <v>0</v>
      </c>
      <c r="AG99" s="372">
        <f t="shared" si="98"/>
        <v>0</v>
      </c>
      <c r="AH99" s="372">
        <f t="shared" si="98"/>
        <v>0</v>
      </c>
      <c r="AI99" s="372">
        <f t="shared" si="98"/>
        <v>0</v>
      </c>
      <c r="AJ99" s="372">
        <f t="shared" si="98"/>
        <v>0</v>
      </c>
      <c r="AK99" s="372">
        <f t="shared" si="98"/>
        <v>0</v>
      </c>
      <c r="AL99" s="372">
        <f t="shared" si="98"/>
        <v>0</v>
      </c>
      <c r="AM99" s="372">
        <f t="shared" si="98"/>
        <v>0</v>
      </c>
      <c r="AP99" s="433" cm="1">
        <f t="array" ref="AP99">AP97*Payroll_tax</f>
        <v>0</v>
      </c>
      <c r="AQ99" s="433">
        <f t="shared" ref="AQ99:CK99" si="101">AQ97*Payroll_tax</f>
        <v>0</v>
      </c>
      <c r="AR99" s="433">
        <f t="shared" si="101"/>
        <v>0</v>
      </c>
      <c r="AS99" s="433">
        <f t="shared" si="101"/>
        <v>0</v>
      </c>
      <c r="AT99" s="433">
        <f t="shared" si="101"/>
        <v>0</v>
      </c>
      <c r="AU99" s="433">
        <f t="shared" si="101"/>
        <v>0</v>
      </c>
      <c r="AV99" s="433">
        <f t="shared" si="101"/>
        <v>0</v>
      </c>
      <c r="AW99" s="433">
        <f t="shared" si="101"/>
        <v>0</v>
      </c>
      <c r="AX99" s="433">
        <f t="shared" si="101"/>
        <v>0</v>
      </c>
      <c r="AY99" s="433">
        <f t="shared" si="101"/>
        <v>0</v>
      </c>
      <c r="AZ99" s="433">
        <f t="shared" si="101"/>
        <v>0</v>
      </c>
      <c r="BA99" s="433">
        <f t="shared" si="101"/>
        <v>0</v>
      </c>
      <c r="BB99" s="433">
        <f t="shared" si="101"/>
        <v>0</v>
      </c>
      <c r="BC99" s="433">
        <f t="shared" si="101"/>
        <v>0</v>
      </c>
      <c r="BD99" s="433">
        <f t="shared" si="101"/>
        <v>0</v>
      </c>
      <c r="BE99" s="433">
        <f t="shared" si="101"/>
        <v>0</v>
      </c>
      <c r="BF99" s="433">
        <f t="shared" si="101"/>
        <v>0</v>
      </c>
      <c r="BG99" s="433">
        <f t="shared" si="101"/>
        <v>0</v>
      </c>
      <c r="BH99" s="433">
        <f t="shared" si="101"/>
        <v>0</v>
      </c>
      <c r="BI99" s="433">
        <f t="shared" si="101"/>
        <v>0</v>
      </c>
      <c r="BJ99" s="433">
        <f t="shared" si="101"/>
        <v>0</v>
      </c>
      <c r="BK99" s="433">
        <f t="shared" si="101"/>
        <v>0</v>
      </c>
      <c r="BL99" s="433">
        <f t="shared" si="101"/>
        <v>0</v>
      </c>
      <c r="BM99" s="433">
        <f t="shared" si="101"/>
        <v>0</v>
      </c>
      <c r="BN99" s="433">
        <f t="shared" si="101"/>
        <v>0</v>
      </c>
      <c r="BO99" s="433">
        <f t="shared" si="101"/>
        <v>0</v>
      </c>
      <c r="BP99" s="433">
        <f t="shared" si="101"/>
        <v>0</v>
      </c>
      <c r="BQ99" s="433">
        <f t="shared" si="101"/>
        <v>0</v>
      </c>
      <c r="BR99" s="433">
        <f t="shared" si="101"/>
        <v>0</v>
      </c>
      <c r="BS99" s="433">
        <f t="shared" si="101"/>
        <v>0</v>
      </c>
      <c r="BT99" s="433">
        <f t="shared" si="101"/>
        <v>0</v>
      </c>
      <c r="BU99" s="433">
        <f t="shared" si="101"/>
        <v>0</v>
      </c>
      <c r="BV99" s="433">
        <f t="shared" si="101"/>
        <v>0</v>
      </c>
      <c r="BW99" s="433">
        <f t="shared" si="101"/>
        <v>0</v>
      </c>
      <c r="BX99" s="433">
        <f t="shared" si="101"/>
        <v>0</v>
      </c>
      <c r="BY99" s="433">
        <f t="shared" si="101"/>
        <v>0</v>
      </c>
      <c r="BZ99" s="433">
        <f t="shared" si="101"/>
        <v>0</v>
      </c>
      <c r="CA99" s="433">
        <f t="shared" si="101"/>
        <v>0</v>
      </c>
      <c r="CB99" s="433">
        <f t="shared" si="101"/>
        <v>0</v>
      </c>
      <c r="CC99" s="433">
        <f t="shared" si="101"/>
        <v>0</v>
      </c>
      <c r="CD99" s="433">
        <f t="shared" si="101"/>
        <v>0</v>
      </c>
      <c r="CE99" s="433">
        <f t="shared" si="101"/>
        <v>0</v>
      </c>
      <c r="CF99" s="433">
        <f t="shared" si="101"/>
        <v>0</v>
      </c>
      <c r="CG99" s="433">
        <f t="shared" si="101"/>
        <v>0</v>
      </c>
      <c r="CH99" s="433">
        <f t="shared" si="101"/>
        <v>0</v>
      </c>
      <c r="CI99" s="433">
        <f t="shared" si="101"/>
        <v>0</v>
      </c>
      <c r="CJ99" s="433">
        <f t="shared" si="101"/>
        <v>0</v>
      </c>
      <c r="CK99" s="433">
        <f t="shared" si="101"/>
        <v>0</v>
      </c>
    </row>
    <row r="100" spans="2:89" outlineLevel="2">
      <c r="D100" s="383" t="s">
        <v>195</v>
      </c>
      <c r="E100" s="50" t="s">
        <v>187</v>
      </c>
      <c r="F100" s="383" t="s">
        <v>196</v>
      </c>
      <c r="G100" s="50" t="str" cm="1">
        <f t="array" ref="G100">INDEX(PBC_ACCOUNT_LIST[Name],_xlfn.XMATCH(H100,PBC_ACCOUNT_LIST[Id]))</f>
        <v>Health Insurance</v>
      </c>
      <c r="H100" s="544">
        <v>180</v>
      </c>
      <c r="R100" s="372">
        <f t="shared" si="97"/>
        <v>0</v>
      </c>
      <c r="S100" s="372">
        <f t="shared" si="97"/>
        <v>0</v>
      </c>
      <c r="T100" s="372">
        <f t="shared" si="97"/>
        <v>0</v>
      </c>
      <c r="U100" s="372">
        <f t="shared" si="97"/>
        <v>0</v>
      </c>
      <c r="X100" s="372">
        <f t="shared" si="98"/>
        <v>0</v>
      </c>
      <c r="Y100" s="372">
        <f t="shared" si="98"/>
        <v>0</v>
      </c>
      <c r="Z100" s="372">
        <f t="shared" si="98"/>
        <v>0</v>
      </c>
      <c r="AA100" s="372">
        <f t="shared" si="98"/>
        <v>0</v>
      </c>
      <c r="AB100" s="372">
        <f t="shared" si="98"/>
        <v>0</v>
      </c>
      <c r="AC100" s="372">
        <f t="shared" si="98"/>
        <v>0</v>
      </c>
      <c r="AD100" s="372">
        <f t="shared" si="98"/>
        <v>0</v>
      </c>
      <c r="AE100" s="372">
        <f t="shared" si="98"/>
        <v>0</v>
      </c>
      <c r="AF100" s="372">
        <f t="shared" si="98"/>
        <v>0</v>
      </c>
      <c r="AG100" s="372">
        <f t="shared" si="98"/>
        <v>0</v>
      </c>
      <c r="AH100" s="372">
        <f t="shared" si="98"/>
        <v>0</v>
      </c>
      <c r="AI100" s="372">
        <f t="shared" si="98"/>
        <v>0</v>
      </c>
      <c r="AJ100" s="372">
        <f t="shared" si="98"/>
        <v>0</v>
      </c>
      <c r="AK100" s="372">
        <f t="shared" si="98"/>
        <v>0</v>
      </c>
      <c r="AL100" s="372">
        <f t="shared" si="98"/>
        <v>0</v>
      </c>
      <c r="AM100" s="372">
        <f t="shared" si="98"/>
        <v>0</v>
      </c>
      <c r="AP100" s="433">
        <f t="shared" ref="AP100:CK100" si="102">AP97*Health_Benefits</f>
        <v>0</v>
      </c>
      <c r="AQ100" s="433">
        <f t="shared" si="102"/>
        <v>0</v>
      </c>
      <c r="AR100" s="433">
        <f t="shared" si="102"/>
        <v>0</v>
      </c>
      <c r="AS100" s="433">
        <f t="shared" si="102"/>
        <v>0</v>
      </c>
      <c r="AT100" s="433">
        <f t="shared" si="102"/>
        <v>0</v>
      </c>
      <c r="AU100" s="433">
        <f t="shared" si="102"/>
        <v>0</v>
      </c>
      <c r="AV100" s="433">
        <f t="shared" si="102"/>
        <v>0</v>
      </c>
      <c r="AW100" s="433">
        <f t="shared" si="102"/>
        <v>0</v>
      </c>
      <c r="AX100" s="433">
        <f t="shared" si="102"/>
        <v>0</v>
      </c>
      <c r="AY100" s="433">
        <f t="shared" si="102"/>
        <v>0</v>
      </c>
      <c r="AZ100" s="433">
        <f t="shared" si="102"/>
        <v>0</v>
      </c>
      <c r="BA100" s="433">
        <f t="shared" si="102"/>
        <v>0</v>
      </c>
      <c r="BB100" s="433">
        <f t="shared" si="102"/>
        <v>0</v>
      </c>
      <c r="BC100" s="433">
        <f t="shared" si="102"/>
        <v>0</v>
      </c>
      <c r="BD100" s="433">
        <f t="shared" si="102"/>
        <v>0</v>
      </c>
      <c r="BE100" s="433">
        <f t="shared" si="102"/>
        <v>0</v>
      </c>
      <c r="BF100" s="433">
        <f t="shared" si="102"/>
        <v>0</v>
      </c>
      <c r="BG100" s="433">
        <f t="shared" si="102"/>
        <v>0</v>
      </c>
      <c r="BH100" s="433">
        <f t="shared" si="102"/>
        <v>0</v>
      </c>
      <c r="BI100" s="433">
        <f t="shared" si="102"/>
        <v>0</v>
      </c>
      <c r="BJ100" s="433">
        <f t="shared" si="102"/>
        <v>0</v>
      </c>
      <c r="BK100" s="433">
        <f t="shared" si="102"/>
        <v>0</v>
      </c>
      <c r="BL100" s="433">
        <f t="shared" si="102"/>
        <v>0</v>
      </c>
      <c r="BM100" s="433">
        <f t="shared" si="102"/>
        <v>0</v>
      </c>
      <c r="BN100" s="433">
        <f t="shared" si="102"/>
        <v>0</v>
      </c>
      <c r="BO100" s="433">
        <f t="shared" si="102"/>
        <v>0</v>
      </c>
      <c r="BP100" s="433">
        <f t="shared" si="102"/>
        <v>0</v>
      </c>
      <c r="BQ100" s="433">
        <f t="shared" si="102"/>
        <v>0</v>
      </c>
      <c r="BR100" s="433">
        <f t="shared" si="102"/>
        <v>0</v>
      </c>
      <c r="BS100" s="433">
        <f t="shared" si="102"/>
        <v>0</v>
      </c>
      <c r="BT100" s="433">
        <f t="shared" si="102"/>
        <v>0</v>
      </c>
      <c r="BU100" s="433">
        <f t="shared" si="102"/>
        <v>0</v>
      </c>
      <c r="BV100" s="433">
        <f t="shared" si="102"/>
        <v>0</v>
      </c>
      <c r="BW100" s="433">
        <f t="shared" si="102"/>
        <v>0</v>
      </c>
      <c r="BX100" s="433">
        <f t="shared" si="102"/>
        <v>0</v>
      </c>
      <c r="BY100" s="433">
        <f t="shared" si="102"/>
        <v>0</v>
      </c>
      <c r="BZ100" s="433">
        <f t="shared" si="102"/>
        <v>0</v>
      </c>
      <c r="CA100" s="433">
        <f t="shared" si="102"/>
        <v>0</v>
      </c>
      <c r="CB100" s="433">
        <f t="shared" si="102"/>
        <v>0</v>
      </c>
      <c r="CC100" s="433">
        <f t="shared" si="102"/>
        <v>0</v>
      </c>
      <c r="CD100" s="433">
        <f t="shared" si="102"/>
        <v>0</v>
      </c>
      <c r="CE100" s="433">
        <f t="shared" si="102"/>
        <v>0</v>
      </c>
      <c r="CF100" s="433">
        <f t="shared" si="102"/>
        <v>0</v>
      </c>
      <c r="CG100" s="433">
        <f t="shared" si="102"/>
        <v>0</v>
      </c>
      <c r="CH100" s="433">
        <f t="shared" si="102"/>
        <v>0</v>
      </c>
      <c r="CI100" s="433">
        <f t="shared" si="102"/>
        <v>0</v>
      </c>
      <c r="CJ100" s="433">
        <f t="shared" si="102"/>
        <v>0</v>
      </c>
      <c r="CK100" s="433">
        <f t="shared" si="102"/>
        <v>0</v>
      </c>
    </row>
    <row r="101" spans="2:89" outlineLevel="2">
      <c r="D101" s="383" t="s">
        <v>197</v>
      </c>
      <c r="E101" s="50" t="s">
        <v>187</v>
      </c>
      <c r="F101" s="383" t="s">
        <v>198</v>
      </c>
      <c r="G101" s="50" t="str" cm="1">
        <f t="array" ref="G101">INDEX(PBC_ACCOUNT_LIST[Name],_xlfn.XMATCH(H101,PBC_ACCOUNT_LIST[Id]))</f>
        <v>Payroll Processing Fees</v>
      </c>
      <c r="H101" s="544">
        <v>181</v>
      </c>
      <c r="R101" s="372">
        <f t="shared" si="97"/>
        <v>0</v>
      </c>
      <c r="S101" s="372">
        <f t="shared" si="97"/>
        <v>0</v>
      </c>
      <c r="T101" s="372">
        <f t="shared" si="97"/>
        <v>0</v>
      </c>
      <c r="U101" s="372">
        <f t="shared" si="97"/>
        <v>0</v>
      </c>
      <c r="X101" s="372">
        <f t="shared" si="98"/>
        <v>0</v>
      </c>
      <c r="Y101" s="372">
        <f t="shared" si="98"/>
        <v>0</v>
      </c>
      <c r="Z101" s="372">
        <f t="shared" si="98"/>
        <v>0</v>
      </c>
      <c r="AA101" s="372">
        <f t="shared" si="98"/>
        <v>0</v>
      </c>
      <c r="AB101" s="372">
        <f t="shared" si="98"/>
        <v>0</v>
      </c>
      <c r="AC101" s="372">
        <f t="shared" si="98"/>
        <v>0</v>
      </c>
      <c r="AD101" s="372">
        <f t="shared" si="98"/>
        <v>0</v>
      </c>
      <c r="AE101" s="372">
        <f t="shared" si="98"/>
        <v>0</v>
      </c>
      <c r="AF101" s="372">
        <f t="shared" si="98"/>
        <v>0</v>
      </c>
      <c r="AG101" s="372">
        <f t="shared" si="98"/>
        <v>0</v>
      </c>
      <c r="AH101" s="372">
        <f t="shared" si="98"/>
        <v>0</v>
      </c>
      <c r="AI101" s="372">
        <f t="shared" si="98"/>
        <v>0</v>
      </c>
      <c r="AJ101" s="372">
        <f t="shared" si="98"/>
        <v>0</v>
      </c>
      <c r="AK101" s="372">
        <f t="shared" si="98"/>
        <v>0</v>
      </c>
      <c r="AL101" s="372">
        <f t="shared" si="98"/>
        <v>0</v>
      </c>
      <c r="AM101" s="372">
        <f t="shared" si="98"/>
        <v>0</v>
      </c>
      <c r="AP101" s="433" cm="1">
        <f t="array" ref="AP101">AP97*Payroll_Admin_Fees</f>
        <v>0</v>
      </c>
      <c r="AQ101" s="433">
        <f t="shared" ref="AQ101:CK101" si="103">AQ97*Payroll_Admin_Fees</f>
        <v>0</v>
      </c>
      <c r="AR101" s="433">
        <f t="shared" si="103"/>
        <v>0</v>
      </c>
      <c r="AS101" s="433">
        <f t="shared" si="103"/>
        <v>0</v>
      </c>
      <c r="AT101" s="433">
        <f t="shared" si="103"/>
        <v>0</v>
      </c>
      <c r="AU101" s="433">
        <f t="shared" si="103"/>
        <v>0</v>
      </c>
      <c r="AV101" s="433">
        <f t="shared" si="103"/>
        <v>0</v>
      </c>
      <c r="AW101" s="433">
        <f t="shared" si="103"/>
        <v>0</v>
      </c>
      <c r="AX101" s="433">
        <f t="shared" si="103"/>
        <v>0</v>
      </c>
      <c r="AY101" s="433">
        <f t="shared" si="103"/>
        <v>0</v>
      </c>
      <c r="AZ101" s="433">
        <f t="shared" si="103"/>
        <v>0</v>
      </c>
      <c r="BA101" s="433">
        <f t="shared" si="103"/>
        <v>0</v>
      </c>
      <c r="BB101" s="433">
        <f t="shared" si="103"/>
        <v>0</v>
      </c>
      <c r="BC101" s="433">
        <f t="shared" si="103"/>
        <v>0</v>
      </c>
      <c r="BD101" s="433">
        <f t="shared" si="103"/>
        <v>0</v>
      </c>
      <c r="BE101" s="433">
        <f t="shared" si="103"/>
        <v>0</v>
      </c>
      <c r="BF101" s="433">
        <f t="shared" si="103"/>
        <v>0</v>
      </c>
      <c r="BG101" s="433">
        <f t="shared" si="103"/>
        <v>0</v>
      </c>
      <c r="BH101" s="433">
        <f t="shared" si="103"/>
        <v>0</v>
      </c>
      <c r="BI101" s="433">
        <f t="shared" si="103"/>
        <v>0</v>
      </c>
      <c r="BJ101" s="433">
        <f t="shared" si="103"/>
        <v>0</v>
      </c>
      <c r="BK101" s="433">
        <f t="shared" si="103"/>
        <v>0</v>
      </c>
      <c r="BL101" s="433">
        <f t="shared" si="103"/>
        <v>0</v>
      </c>
      <c r="BM101" s="433">
        <f t="shared" si="103"/>
        <v>0</v>
      </c>
      <c r="BN101" s="433">
        <f t="shared" si="103"/>
        <v>0</v>
      </c>
      <c r="BO101" s="433">
        <f t="shared" si="103"/>
        <v>0</v>
      </c>
      <c r="BP101" s="433">
        <f t="shared" si="103"/>
        <v>0</v>
      </c>
      <c r="BQ101" s="433">
        <f t="shared" si="103"/>
        <v>0</v>
      </c>
      <c r="BR101" s="433">
        <f t="shared" si="103"/>
        <v>0</v>
      </c>
      <c r="BS101" s="433">
        <f t="shared" si="103"/>
        <v>0</v>
      </c>
      <c r="BT101" s="433">
        <f t="shared" si="103"/>
        <v>0</v>
      </c>
      <c r="BU101" s="433">
        <f t="shared" si="103"/>
        <v>0</v>
      </c>
      <c r="BV101" s="433">
        <f t="shared" si="103"/>
        <v>0</v>
      </c>
      <c r="BW101" s="433">
        <f t="shared" si="103"/>
        <v>0</v>
      </c>
      <c r="BX101" s="433">
        <f t="shared" si="103"/>
        <v>0</v>
      </c>
      <c r="BY101" s="433">
        <f t="shared" si="103"/>
        <v>0</v>
      </c>
      <c r="BZ101" s="433">
        <f t="shared" si="103"/>
        <v>0</v>
      </c>
      <c r="CA101" s="433">
        <f t="shared" si="103"/>
        <v>0</v>
      </c>
      <c r="CB101" s="433">
        <f t="shared" si="103"/>
        <v>0</v>
      </c>
      <c r="CC101" s="433">
        <f t="shared" si="103"/>
        <v>0</v>
      </c>
      <c r="CD101" s="433">
        <f t="shared" si="103"/>
        <v>0</v>
      </c>
      <c r="CE101" s="433">
        <f t="shared" si="103"/>
        <v>0</v>
      </c>
      <c r="CF101" s="433">
        <f t="shared" si="103"/>
        <v>0</v>
      </c>
      <c r="CG101" s="433">
        <f t="shared" si="103"/>
        <v>0</v>
      </c>
      <c r="CH101" s="433">
        <f t="shared" si="103"/>
        <v>0</v>
      </c>
      <c r="CI101" s="433">
        <f t="shared" si="103"/>
        <v>0</v>
      </c>
      <c r="CJ101" s="433">
        <f t="shared" si="103"/>
        <v>0</v>
      </c>
      <c r="CK101" s="433">
        <f t="shared" si="103"/>
        <v>0</v>
      </c>
    </row>
    <row r="102" spans="2:89" outlineLevel="2">
      <c r="D102" s="383" t="s">
        <v>200</v>
      </c>
      <c r="E102" s="50" t="s">
        <v>187</v>
      </c>
      <c r="F102" s="383" t="s">
        <v>200</v>
      </c>
      <c r="G102" s="50" t="str" cm="1">
        <f t="array" ref="G102">INDEX(PBC_ACCOUNT_LIST[Name],_xlfn.XMATCH(H102,PBC_ACCOUNT_LIST[Id]))</f>
        <v>Salary &amp; Wages</v>
      </c>
      <c r="H102" s="544">
        <v>178</v>
      </c>
      <c r="R102" s="372">
        <f t="shared" si="97"/>
        <v>0</v>
      </c>
      <c r="S102" s="372">
        <f t="shared" si="97"/>
        <v>0</v>
      </c>
      <c r="T102" s="372">
        <f t="shared" si="97"/>
        <v>0</v>
      </c>
      <c r="U102" s="372">
        <f t="shared" si="97"/>
        <v>0</v>
      </c>
      <c r="X102" s="372">
        <f t="shared" si="98"/>
        <v>0</v>
      </c>
      <c r="Y102" s="372">
        <f t="shared" si="98"/>
        <v>0</v>
      </c>
      <c r="Z102" s="372">
        <f t="shared" si="98"/>
        <v>0</v>
      </c>
      <c r="AA102" s="372">
        <f t="shared" si="98"/>
        <v>0</v>
      </c>
      <c r="AB102" s="372">
        <f t="shared" si="98"/>
        <v>0</v>
      </c>
      <c r="AC102" s="372">
        <f t="shared" si="98"/>
        <v>0</v>
      </c>
      <c r="AD102" s="372">
        <f t="shared" si="98"/>
        <v>0</v>
      </c>
      <c r="AE102" s="372">
        <f t="shared" si="98"/>
        <v>0</v>
      </c>
      <c r="AF102" s="372">
        <f t="shared" si="98"/>
        <v>0</v>
      </c>
      <c r="AG102" s="372">
        <f t="shared" si="98"/>
        <v>0</v>
      </c>
      <c r="AH102" s="372">
        <f t="shared" si="98"/>
        <v>0</v>
      </c>
      <c r="AI102" s="372">
        <f t="shared" si="98"/>
        <v>0</v>
      </c>
      <c r="AJ102" s="372">
        <f t="shared" si="98"/>
        <v>0</v>
      </c>
      <c r="AK102" s="372">
        <f t="shared" si="98"/>
        <v>0</v>
      </c>
      <c r="AL102" s="372">
        <f t="shared" si="98"/>
        <v>0</v>
      </c>
      <c r="AM102" s="372">
        <f t="shared" si="98"/>
        <v>0</v>
      </c>
      <c r="AP102" s="433">
        <f t="shared" ref="AP102:CK102" si="104">IF(MONTH(AP$8)=MONTH(BonusMonth),SUMIFS($N$11:$N$35,AP$11:AP$35,"&gt;"&amp;0,$G$11:$G$35,$C96),0)</f>
        <v>0</v>
      </c>
      <c r="AQ102" s="433">
        <f t="shared" si="104"/>
        <v>0</v>
      </c>
      <c r="AR102" s="433">
        <f t="shared" si="104"/>
        <v>0</v>
      </c>
      <c r="AS102" s="433">
        <f t="shared" si="104"/>
        <v>0</v>
      </c>
      <c r="AT102" s="433">
        <f t="shared" si="104"/>
        <v>0</v>
      </c>
      <c r="AU102" s="433">
        <f t="shared" si="104"/>
        <v>0</v>
      </c>
      <c r="AV102" s="433">
        <f t="shared" si="104"/>
        <v>0</v>
      </c>
      <c r="AW102" s="433">
        <f t="shared" si="104"/>
        <v>0</v>
      </c>
      <c r="AX102" s="433">
        <f t="shared" si="104"/>
        <v>0</v>
      </c>
      <c r="AY102" s="433">
        <f t="shared" si="104"/>
        <v>0</v>
      </c>
      <c r="AZ102" s="433">
        <f t="shared" si="104"/>
        <v>0</v>
      </c>
      <c r="BA102" s="433">
        <f t="shared" si="104"/>
        <v>0</v>
      </c>
      <c r="BB102" s="433">
        <f t="shared" si="104"/>
        <v>0</v>
      </c>
      <c r="BC102" s="433">
        <f t="shared" si="104"/>
        <v>0</v>
      </c>
      <c r="BD102" s="433">
        <f t="shared" si="104"/>
        <v>0</v>
      </c>
      <c r="BE102" s="433">
        <f t="shared" si="104"/>
        <v>0</v>
      </c>
      <c r="BF102" s="433">
        <f t="shared" si="104"/>
        <v>0</v>
      </c>
      <c r="BG102" s="433">
        <f t="shared" si="104"/>
        <v>0</v>
      </c>
      <c r="BH102" s="433">
        <f t="shared" si="104"/>
        <v>0</v>
      </c>
      <c r="BI102" s="433">
        <f t="shared" si="104"/>
        <v>0</v>
      </c>
      <c r="BJ102" s="433">
        <f t="shared" si="104"/>
        <v>0</v>
      </c>
      <c r="BK102" s="433">
        <f t="shared" si="104"/>
        <v>0</v>
      </c>
      <c r="BL102" s="433">
        <f t="shared" si="104"/>
        <v>0</v>
      </c>
      <c r="BM102" s="433">
        <f t="shared" si="104"/>
        <v>0</v>
      </c>
      <c r="BN102" s="433">
        <f t="shared" si="104"/>
        <v>0</v>
      </c>
      <c r="BO102" s="433">
        <f t="shared" si="104"/>
        <v>0</v>
      </c>
      <c r="BP102" s="433">
        <f t="shared" si="104"/>
        <v>0</v>
      </c>
      <c r="BQ102" s="433">
        <f t="shared" si="104"/>
        <v>0</v>
      </c>
      <c r="BR102" s="433">
        <f t="shared" si="104"/>
        <v>0</v>
      </c>
      <c r="BS102" s="433">
        <f t="shared" si="104"/>
        <v>0</v>
      </c>
      <c r="BT102" s="433">
        <f t="shared" si="104"/>
        <v>0</v>
      </c>
      <c r="BU102" s="433">
        <f t="shared" si="104"/>
        <v>0</v>
      </c>
      <c r="BV102" s="433">
        <f t="shared" si="104"/>
        <v>0</v>
      </c>
      <c r="BW102" s="433">
        <f t="shared" si="104"/>
        <v>0</v>
      </c>
      <c r="BX102" s="433">
        <f t="shared" si="104"/>
        <v>0</v>
      </c>
      <c r="BY102" s="433">
        <f t="shared" si="104"/>
        <v>0</v>
      </c>
      <c r="BZ102" s="433">
        <f t="shared" si="104"/>
        <v>0</v>
      </c>
      <c r="CA102" s="433">
        <f t="shared" si="104"/>
        <v>0</v>
      </c>
      <c r="CB102" s="433">
        <f t="shared" si="104"/>
        <v>0</v>
      </c>
      <c r="CC102" s="433">
        <f t="shared" si="104"/>
        <v>0</v>
      </c>
      <c r="CD102" s="433">
        <f t="shared" si="104"/>
        <v>0</v>
      </c>
      <c r="CE102" s="433">
        <f t="shared" si="104"/>
        <v>0</v>
      </c>
      <c r="CF102" s="433">
        <f t="shared" si="104"/>
        <v>0</v>
      </c>
      <c r="CG102" s="433">
        <f t="shared" si="104"/>
        <v>0</v>
      </c>
      <c r="CH102" s="433">
        <f t="shared" si="104"/>
        <v>0</v>
      </c>
      <c r="CI102" s="433">
        <f t="shared" si="104"/>
        <v>0</v>
      </c>
      <c r="CJ102" s="433">
        <f t="shared" si="104"/>
        <v>0</v>
      </c>
      <c r="CK102" s="433">
        <f t="shared" si="104"/>
        <v>0</v>
      </c>
    </row>
    <row r="103" spans="2:89" outlineLevel="2">
      <c r="D103" s="383"/>
      <c r="R103" s="372"/>
      <c r="S103" s="372"/>
      <c r="T103" s="372"/>
      <c r="U103" s="372"/>
      <c r="X103" s="372"/>
      <c r="Y103" s="372"/>
      <c r="Z103" s="372"/>
      <c r="AA103" s="372"/>
      <c r="AB103" s="372"/>
      <c r="AC103" s="372"/>
      <c r="AD103" s="372"/>
      <c r="AE103" s="372"/>
      <c r="AF103" s="372"/>
      <c r="AG103" s="372"/>
      <c r="AH103" s="372"/>
      <c r="AI103" s="372"/>
      <c r="AJ103" s="372"/>
      <c r="AK103" s="372"/>
      <c r="AL103" s="372"/>
      <c r="AM103" s="372"/>
      <c r="AP103" s="433"/>
      <c r="AQ103" s="433"/>
      <c r="AR103" s="433"/>
      <c r="AS103" s="433"/>
      <c r="AT103" s="433"/>
      <c r="AU103" s="433"/>
      <c r="AV103" s="433"/>
      <c r="AW103" s="433"/>
      <c r="AX103" s="433"/>
      <c r="AY103" s="433"/>
      <c r="AZ103" s="433"/>
      <c r="BA103" s="433"/>
      <c r="BB103" s="433"/>
      <c r="BC103" s="433"/>
      <c r="BD103" s="433"/>
      <c r="BE103" s="433"/>
      <c r="BF103" s="433"/>
      <c r="BG103" s="433"/>
      <c r="BH103" s="433"/>
      <c r="BI103" s="433"/>
      <c r="BJ103" s="433"/>
      <c r="BK103" s="433"/>
      <c r="BL103" s="433"/>
      <c r="BM103" s="433"/>
      <c r="BN103" s="433"/>
      <c r="BO103" s="433"/>
      <c r="BP103" s="433"/>
      <c r="BQ103" s="433"/>
      <c r="BR103" s="433"/>
      <c r="BS103" s="433"/>
      <c r="BT103" s="433"/>
      <c r="BU103" s="433"/>
      <c r="BV103" s="433"/>
      <c r="BW103" s="433"/>
      <c r="BX103" s="433"/>
      <c r="BY103" s="433"/>
      <c r="BZ103" s="433"/>
      <c r="CA103" s="433"/>
      <c r="CB103" s="433"/>
      <c r="CC103" s="433"/>
      <c r="CD103" s="433"/>
      <c r="CE103" s="433"/>
      <c r="CF103" s="433"/>
      <c r="CG103" s="433"/>
      <c r="CH103" s="433"/>
      <c r="CI103" s="433"/>
      <c r="CJ103" s="433"/>
      <c r="CK103" s="433"/>
    </row>
    <row r="104" spans="2:89">
      <c r="AP104" s="433"/>
      <c r="AQ104" s="433"/>
      <c r="AR104" s="433"/>
      <c r="AS104" s="433"/>
      <c r="AT104" s="433"/>
      <c r="AU104" s="433"/>
      <c r="AV104" s="433"/>
      <c r="AW104" s="433"/>
      <c r="AX104" s="433"/>
      <c r="AY104" s="433"/>
      <c r="AZ104" s="433"/>
      <c r="BA104" s="433"/>
      <c r="BB104" s="433"/>
      <c r="BC104" s="433"/>
      <c r="BD104" s="433"/>
      <c r="BE104" s="433"/>
      <c r="BF104" s="433"/>
      <c r="BG104" s="433"/>
      <c r="BH104" s="433"/>
      <c r="BI104" s="433"/>
      <c r="BJ104" s="433"/>
      <c r="BK104" s="433"/>
      <c r="BL104" s="433"/>
      <c r="BM104" s="433"/>
      <c r="BN104" s="433"/>
      <c r="BO104" s="433"/>
      <c r="BP104" s="433"/>
      <c r="BQ104" s="433"/>
      <c r="BR104" s="433"/>
      <c r="BS104" s="433"/>
      <c r="BT104" s="433"/>
      <c r="BU104" s="433"/>
      <c r="BV104" s="433"/>
      <c r="BW104" s="433"/>
      <c r="BX104" s="433"/>
      <c r="BY104" s="433"/>
      <c r="BZ104" s="433"/>
      <c r="CA104" s="433"/>
      <c r="CB104" s="433"/>
      <c r="CC104" s="433"/>
      <c r="CD104" s="433"/>
      <c r="CE104" s="433"/>
      <c r="CF104" s="433"/>
      <c r="CG104" s="433"/>
      <c r="CH104" s="433"/>
      <c r="CI104" s="433"/>
      <c r="CJ104" s="433"/>
      <c r="CK104" s="433"/>
    </row>
    <row r="105" spans="2:89" s="51" customFormat="1" ht="24">
      <c r="B105" s="476" t="s">
        <v>407</v>
      </c>
      <c r="C105" s="475"/>
      <c r="D105" s="475"/>
      <c r="E105" s="475"/>
      <c r="F105" s="475"/>
      <c r="G105" s="475"/>
      <c r="H105" s="475"/>
      <c r="I105" s="475"/>
      <c r="J105" s="475"/>
      <c r="K105" s="475"/>
      <c r="L105" s="475"/>
      <c r="M105" s="475"/>
      <c r="N105" s="475"/>
      <c r="O105" s="475"/>
      <c r="R105" s="475"/>
      <c r="S105" s="475"/>
      <c r="T105" s="475"/>
      <c r="U105" s="475"/>
      <c r="X105" s="475"/>
      <c r="Y105" s="475"/>
      <c r="Z105" s="475"/>
      <c r="AA105" s="475"/>
      <c r="AB105" s="475"/>
      <c r="AC105" s="475"/>
      <c r="AD105" s="475"/>
      <c r="AE105" s="475"/>
      <c r="AF105" s="475"/>
      <c r="AG105" s="475"/>
      <c r="AH105" s="475"/>
      <c r="AI105" s="475"/>
      <c r="AJ105" s="475"/>
      <c r="AK105" s="475"/>
      <c r="AL105" s="475"/>
      <c r="AM105" s="475"/>
      <c r="AP105" s="475"/>
      <c r="AQ105" s="475"/>
      <c r="AR105" s="475"/>
      <c r="AS105" s="475"/>
      <c r="AT105" s="475"/>
      <c r="AU105" s="475"/>
      <c r="AV105" s="475"/>
      <c r="AW105" s="475"/>
      <c r="AX105" s="475"/>
      <c r="AY105" s="475"/>
      <c r="AZ105" s="475"/>
      <c r="BA105" s="475"/>
      <c r="BB105" s="475"/>
      <c r="BC105" s="475"/>
      <c r="BD105" s="475"/>
      <c r="BE105" s="475"/>
      <c r="BF105" s="475"/>
      <c r="BG105" s="475"/>
      <c r="BH105" s="475"/>
      <c r="BI105" s="475"/>
      <c r="BJ105" s="475"/>
      <c r="BK105" s="475"/>
      <c r="BL105" s="475"/>
      <c r="BM105" s="475"/>
      <c r="BN105" s="475"/>
      <c r="BO105" s="475"/>
      <c r="BP105" s="475"/>
      <c r="BQ105" s="475"/>
      <c r="BR105" s="475"/>
      <c r="BS105" s="475"/>
      <c r="BT105" s="475"/>
      <c r="BU105" s="475"/>
      <c r="BV105" s="475"/>
      <c r="BW105" s="475"/>
      <c r="BX105" s="475"/>
      <c r="BY105" s="475"/>
      <c r="BZ105" s="475"/>
      <c r="CA105" s="475"/>
      <c r="CB105" s="475"/>
      <c r="CC105" s="475"/>
      <c r="CD105" s="475"/>
      <c r="CE105" s="475"/>
      <c r="CF105" s="475"/>
      <c r="CG105" s="475"/>
      <c r="CH105" s="475"/>
      <c r="CI105" s="475"/>
      <c r="CJ105" s="475"/>
      <c r="CK105" s="475"/>
    </row>
    <row r="106" spans="2:89" ht="15" outlineLevel="1">
      <c r="B106" s="367"/>
      <c r="C106" s="365" t="s">
        <v>408</v>
      </c>
      <c r="D106" s="366"/>
      <c r="E106" s="366"/>
      <c r="F106" s="366"/>
      <c r="G106" s="366"/>
      <c r="H106" s="366"/>
      <c r="I106" s="366"/>
      <c r="J106" s="366"/>
      <c r="K106" s="366"/>
      <c r="L106" s="366"/>
      <c r="M106" s="366"/>
      <c r="N106" s="366"/>
      <c r="O106" s="366"/>
      <c r="P106" s="366"/>
      <c r="Q106" s="366"/>
      <c r="R106" s="481">
        <f>SUM(R107:R112)</f>
        <v>198566.66666666666</v>
      </c>
      <c r="S106" s="481">
        <f>SUM(S107:S112)</f>
        <v>538151.68650793645</v>
      </c>
      <c r="T106" s="481">
        <f>SUM(T107:T112)</f>
        <v>729753.72023809527</v>
      </c>
      <c r="U106" s="481">
        <f>SUM(U107:U112)</f>
        <v>1159568.75</v>
      </c>
      <c r="X106" s="481">
        <f t="shared" ref="X106:AM106" si="105">SUM(X107:X112)</f>
        <v>85475</v>
      </c>
      <c r="Y106" s="481">
        <f t="shared" si="105"/>
        <v>37141.666666666672</v>
      </c>
      <c r="Z106" s="481">
        <f t="shared" si="105"/>
        <v>35475</v>
      </c>
      <c r="AA106" s="481">
        <f t="shared" si="105"/>
        <v>40475</v>
      </c>
      <c r="AB106" s="481">
        <f t="shared" si="105"/>
        <v>99770.436507936494</v>
      </c>
      <c r="AC106" s="481">
        <f t="shared" si="105"/>
        <v>142793.75</v>
      </c>
      <c r="AD106" s="481">
        <f t="shared" si="105"/>
        <v>142793.75</v>
      </c>
      <c r="AE106" s="481">
        <f t="shared" si="105"/>
        <v>152793.75</v>
      </c>
      <c r="AF106" s="481">
        <f t="shared" si="105"/>
        <v>142793.75</v>
      </c>
      <c r="AG106" s="481">
        <f t="shared" si="105"/>
        <v>161334.97023809524</v>
      </c>
      <c r="AH106" s="481">
        <f t="shared" si="105"/>
        <v>205312.5</v>
      </c>
      <c r="AI106" s="481">
        <f t="shared" si="105"/>
        <v>220312.5</v>
      </c>
      <c r="AJ106" s="481">
        <f t="shared" si="105"/>
        <v>205312.5</v>
      </c>
      <c r="AK106" s="481">
        <f t="shared" si="105"/>
        <v>283518.75</v>
      </c>
      <c r="AL106" s="481">
        <f t="shared" si="105"/>
        <v>322868.75</v>
      </c>
      <c r="AM106" s="481">
        <f t="shared" si="105"/>
        <v>347868.75</v>
      </c>
      <c r="AO106" s="51"/>
      <c r="AP106" s="480">
        <f t="shared" ref="AP106:CK106" si="106">SUM(AP107:AP112)</f>
        <v>28491.666666666668</v>
      </c>
      <c r="AQ106" s="480">
        <f t="shared" si="106"/>
        <v>28491.666666666668</v>
      </c>
      <c r="AR106" s="480">
        <f t="shared" si="106"/>
        <v>28491.666666666668</v>
      </c>
      <c r="AS106" s="480">
        <f t="shared" si="106"/>
        <v>13491.666666666666</v>
      </c>
      <c r="AT106" s="480">
        <f t="shared" si="106"/>
        <v>11825</v>
      </c>
      <c r="AU106" s="480">
        <f t="shared" si="106"/>
        <v>11825</v>
      </c>
      <c r="AV106" s="480">
        <f t="shared" si="106"/>
        <v>11825</v>
      </c>
      <c r="AW106" s="480">
        <f t="shared" si="106"/>
        <v>11825</v>
      </c>
      <c r="AX106" s="480">
        <f t="shared" si="106"/>
        <v>11825</v>
      </c>
      <c r="AY106" s="480">
        <f t="shared" si="106"/>
        <v>11825</v>
      </c>
      <c r="AZ106" s="480">
        <f t="shared" si="106"/>
        <v>11825</v>
      </c>
      <c r="BA106" s="480">
        <f t="shared" si="106"/>
        <v>16825</v>
      </c>
      <c r="BB106" s="480">
        <f t="shared" si="106"/>
        <v>23650</v>
      </c>
      <c r="BC106" s="480">
        <f t="shared" si="106"/>
        <v>30634.126984126982</v>
      </c>
      <c r="BD106" s="480">
        <f t="shared" si="106"/>
        <v>45486.309523809527</v>
      </c>
      <c r="BE106" s="480">
        <f t="shared" si="106"/>
        <v>47597.916666666664</v>
      </c>
      <c r="BF106" s="480">
        <f t="shared" si="106"/>
        <v>47597.916666666664</v>
      </c>
      <c r="BG106" s="480">
        <f t="shared" si="106"/>
        <v>47597.916666666664</v>
      </c>
      <c r="BH106" s="480">
        <f t="shared" si="106"/>
        <v>47597.916666666664</v>
      </c>
      <c r="BI106" s="480">
        <f t="shared" si="106"/>
        <v>47597.916666666664</v>
      </c>
      <c r="BJ106" s="480">
        <f t="shared" si="106"/>
        <v>47597.916666666664</v>
      </c>
      <c r="BK106" s="480">
        <f t="shared" si="106"/>
        <v>47597.916666666664</v>
      </c>
      <c r="BL106" s="480">
        <f t="shared" si="106"/>
        <v>47597.916666666664</v>
      </c>
      <c r="BM106" s="480">
        <f t="shared" si="106"/>
        <v>57597.916666666664</v>
      </c>
      <c r="BN106" s="480">
        <f t="shared" si="106"/>
        <v>47597.916666666664</v>
      </c>
      <c r="BO106" s="480">
        <f t="shared" si="106"/>
        <v>47597.916666666664</v>
      </c>
      <c r="BP106" s="480">
        <f t="shared" si="106"/>
        <v>47597.916666666664</v>
      </c>
      <c r="BQ106" s="480">
        <f t="shared" si="106"/>
        <v>47597.916666666664</v>
      </c>
      <c r="BR106" s="480">
        <f t="shared" si="106"/>
        <v>50061.458333333336</v>
      </c>
      <c r="BS106" s="480">
        <f t="shared" si="106"/>
        <v>63675.595238095229</v>
      </c>
      <c r="BT106" s="480">
        <f t="shared" si="106"/>
        <v>68437.5</v>
      </c>
      <c r="BU106" s="480">
        <f t="shared" si="106"/>
        <v>68437.5</v>
      </c>
      <c r="BV106" s="480">
        <f t="shared" si="106"/>
        <v>68437.5</v>
      </c>
      <c r="BW106" s="480">
        <f t="shared" si="106"/>
        <v>68437.5</v>
      </c>
      <c r="BX106" s="480">
        <f t="shared" si="106"/>
        <v>68437.5</v>
      </c>
      <c r="BY106" s="480">
        <f t="shared" si="106"/>
        <v>83437.5</v>
      </c>
      <c r="BZ106" s="480">
        <f t="shared" si="106"/>
        <v>68437.5</v>
      </c>
      <c r="CA106" s="480">
        <f t="shared" si="106"/>
        <v>68437.5</v>
      </c>
      <c r="CB106" s="480">
        <f t="shared" si="106"/>
        <v>68437.5</v>
      </c>
      <c r="CC106" s="480">
        <f t="shared" si="106"/>
        <v>93072.916666666657</v>
      </c>
      <c r="CD106" s="480">
        <f t="shared" si="106"/>
        <v>93072.916666666657</v>
      </c>
      <c r="CE106" s="480">
        <f t="shared" si="106"/>
        <v>97372.916666666672</v>
      </c>
      <c r="CF106" s="480">
        <f t="shared" si="106"/>
        <v>100956.25000000001</v>
      </c>
      <c r="CG106" s="480">
        <f t="shared" si="106"/>
        <v>110956.25000000001</v>
      </c>
      <c r="CH106" s="480">
        <f t="shared" si="106"/>
        <v>110956.25000000001</v>
      </c>
      <c r="CI106" s="480">
        <f t="shared" si="106"/>
        <v>110956.25000000001</v>
      </c>
      <c r="CJ106" s="480">
        <f t="shared" si="106"/>
        <v>110956.25000000001</v>
      </c>
      <c r="CK106" s="480">
        <f t="shared" si="106"/>
        <v>125956.25000000001</v>
      </c>
    </row>
    <row r="107" spans="2:89" outlineLevel="1">
      <c r="D107" s="383" t="s">
        <v>406</v>
      </c>
      <c r="F107" s="544"/>
      <c r="G107" s="383"/>
      <c r="H107" s="383"/>
      <c r="I107" s="383"/>
      <c r="J107" s="383"/>
      <c r="K107" s="383"/>
      <c r="L107" s="383"/>
      <c r="M107" s="383"/>
      <c r="N107" s="383"/>
      <c r="O107" s="383"/>
      <c r="P107" s="383"/>
      <c r="Q107" s="383"/>
      <c r="R107" s="372">
        <f t="shared" ref="R107:U112" si="107">SUMIFS($AP107:$CK107,$AP$4:$CK$4,"&gt;="&amp;R$4,$AP$5:$CK$5,"&lt;="&amp;R$5)</f>
        <v>120000</v>
      </c>
      <c r="S107" s="372">
        <f t="shared" si="107"/>
        <v>363214.28571428568</v>
      </c>
      <c r="T107" s="372">
        <f t="shared" si="107"/>
        <v>456250.00000000006</v>
      </c>
      <c r="U107" s="372">
        <f t="shared" si="107"/>
        <v>731136.36363636365</v>
      </c>
      <c r="X107" s="372">
        <f t="shared" ref="X107:AM112" si="108">SUMIFS($AP107:$CK107,$AP$4:$CK$4,"&gt;="&amp;X$4,$AP$5:$CK$5,"&lt;="&amp;X$5)</f>
        <v>30000</v>
      </c>
      <c r="Y107" s="372">
        <f t="shared" si="108"/>
        <v>30000</v>
      </c>
      <c r="Z107" s="372">
        <f t="shared" si="108"/>
        <v>30000</v>
      </c>
      <c r="AA107" s="372">
        <f t="shared" si="108"/>
        <v>30000</v>
      </c>
      <c r="AB107" s="372">
        <f t="shared" si="108"/>
        <v>70714.28571428571</v>
      </c>
      <c r="AC107" s="372">
        <f t="shared" si="108"/>
        <v>97500</v>
      </c>
      <c r="AD107" s="372">
        <f t="shared" si="108"/>
        <v>97500</v>
      </c>
      <c r="AE107" s="372">
        <f t="shared" si="108"/>
        <v>97500</v>
      </c>
      <c r="AF107" s="372">
        <f t="shared" si="108"/>
        <v>97500</v>
      </c>
      <c r="AG107" s="372">
        <f t="shared" si="108"/>
        <v>108750</v>
      </c>
      <c r="AH107" s="372">
        <f t="shared" si="108"/>
        <v>125000</v>
      </c>
      <c r="AI107" s="372">
        <f t="shared" si="108"/>
        <v>125000</v>
      </c>
      <c r="AJ107" s="372">
        <f t="shared" si="108"/>
        <v>125000</v>
      </c>
      <c r="AK107" s="372">
        <f t="shared" si="108"/>
        <v>191136.36363636365</v>
      </c>
      <c r="AL107" s="372">
        <f t="shared" si="108"/>
        <v>207500</v>
      </c>
      <c r="AM107" s="372">
        <f t="shared" si="108"/>
        <v>207500</v>
      </c>
      <c r="AO107" s="479"/>
      <c r="AP107" s="289">
        <f t="shared" ref="AP107:CK107" si="109">SUMIFS(AP$11:AP$35,$O$11:$O$35,"FTE") + SUMPRODUCT(AP39:AP43,AP53:AP57)</f>
        <v>10000</v>
      </c>
      <c r="AQ107" s="289">
        <f t="shared" si="109"/>
        <v>10000</v>
      </c>
      <c r="AR107" s="289">
        <f t="shared" si="109"/>
        <v>10000</v>
      </c>
      <c r="AS107" s="289">
        <f t="shared" si="109"/>
        <v>10000</v>
      </c>
      <c r="AT107" s="289">
        <f t="shared" si="109"/>
        <v>10000</v>
      </c>
      <c r="AU107" s="289">
        <f t="shared" si="109"/>
        <v>10000</v>
      </c>
      <c r="AV107" s="289">
        <f t="shared" si="109"/>
        <v>10000</v>
      </c>
      <c r="AW107" s="289">
        <f t="shared" si="109"/>
        <v>10000</v>
      </c>
      <c r="AX107" s="289">
        <f t="shared" si="109"/>
        <v>10000</v>
      </c>
      <c r="AY107" s="289">
        <f t="shared" si="109"/>
        <v>10000</v>
      </c>
      <c r="AZ107" s="289">
        <f t="shared" si="109"/>
        <v>10000</v>
      </c>
      <c r="BA107" s="289">
        <f t="shared" si="109"/>
        <v>10000</v>
      </c>
      <c r="BB107" s="289">
        <f t="shared" si="109"/>
        <v>20000</v>
      </c>
      <c r="BC107" s="289">
        <f t="shared" si="109"/>
        <v>20000</v>
      </c>
      <c r="BD107" s="289">
        <f t="shared" si="109"/>
        <v>30714.285714285714</v>
      </c>
      <c r="BE107" s="289">
        <f t="shared" si="109"/>
        <v>32500</v>
      </c>
      <c r="BF107" s="289">
        <f t="shared" si="109"/>
        <v>32500</v>
      </c>
      <c r="BG107" s="289">
        <f t="shared" si="109"/>
        <v>32500</v>
      </c>
      <c r="BH107" s="289">
        <f t="shared" si="109"/>
        <v>32500</v>
      </c>
      <c r="BI107" s="289">
        <f t="shared" si="109"/>
        <v>32500</v>
      </c>
      <c r="BJ107" s="289">
        <f t="shared" si="109"/>
        <v>32500</v>
      </c>
      <c r="BK107" s="289">
        <f t="shared" si="109"/>
        <v>32500</v>
      </c>
      <c r="BL107" s="289">
        <f t="shared" si="109"/>
        <v>32500</v>
      </c>
      <c r="BM107" s="289">
        <f t="shared" si="109"/>
        <v>32500</v>
      </c>
      <c r="BN107" s="289">
        <f t="shared" si="109"/>
        <v>32500</v>
      </c>
      <c r="BO107" s="289">
        <f t="shared" si="109"/>
        <v>32500</v>
      </c>
      <c r="BP107" s="289">
        <f t="shared" si="109"/>
        <v>32500</v>
      </c>
      <c r="BQ107" s="289">
        <f t="shared" si="109"/>
        <v>32500</v>
      </c>
      <c r="BR107" s="289">
        <f t="shared" si="109"/>
        <v>34583.333333333336</v>
      </c>
      <c r="BS107" s="289">
        <f t="shared" si="109"/>
        <v>41666.666666666664</v>
      </c>
      <c r="BT107" s="289">
        <f t="shared" si="109"/>
        <v>41666.666666666664</v>
      </c>
      <c r="BU107" s="289">
        <f t="shared" si="109"/>
        <v>41666.666666666664</v>
      </c>
      <c r="BV107" s="289">
        <f t="shared" si="109"/>
        <v>41666.666666666664</v>
      </c>
      <c r="BW107" s="289">
        <f t="shared" si="109"/>
        <v>41666.666666666664</v>
      </c>
      <c r="BX107" s="289">
        <f t="shared" si="109"/>
        <v>41666.666666666664</v>
      </c>
      <c r="BY107" s="289">
        <f t="shared" si="109"/>
        <v>41666.666666666664</v>
      </c>
      <c r="BZ107" s="289">
        <f t="shared" si="109"/>
        <v>41666.666666666664</v>
      </c>
      <c r="CA107" s="289">
        <f t="shared" si="109"/>
        <v>41666.666666666664</v>
      </c>
      <c r="CB107" s="289">
        <f t="shared" si="109"/>
        <v>41666.666666666664</v>
      </c>
      <c r="CC107" s="289">
        <f t="shared" si="109"/>
        <v>62500</v>
      </c>
      <c r="CD107" s="289">
        <f t="shared" si="109"/>
        <v>62500</v>
      </c>
      <c r="CE107" s="289">
        <f t="shared" si="109"/>
        <v>66136.363636363632</v>
      </c>
      <c r="CF107" s="289">
        <f t="shared" si="109"/>
        <v>69166.666666666672</v>
      </c>
      <c r="CG107" s="289">
        <f t="shared" si="109"/>
        <v>69166.666666666672</v>
      </c>
      <c r="CH107" s="289">
        <f t="shared" si="109"/>
        <v>69166.666666666672</v>
      </c>
      <c r="CI107" s="289">
        <f t="shared" si="109"/>
        <v>69166.666666666672</v>
      </c>
      <c r="CJ107" s="289">
        <f t="shared" si="109"/>
        <v>69166.666666666672</v>
      </c>
      <c r="CK107" s="289">
        <f t="shared" si="109"/>
        <v>69166.666666666672</v>
      </c>
    </row>
    <row r="108" spans="2:89" outlineLevel="1">
      <c r="D108" s="383" t="s">
        <v>191</v>
      </c>
      <c r="F108" s="544"/>
      <c r="G108" s="383"/>
      <c r="H108" s="383"/>
      <c r="I108" s="383"/>
      <c r="J108" s="383"/>
      <c r="K108" s="383"/>
      <c r="L108" s="383"/>
      <c r="M108" s="383"/>
      <c r="N108" s="383"/>
      <c r="O108" s="383"/>
      <c r="P108" s="383"/>
      <c r="Q108" s="383"/>
      <c r="R108" s="372">
        <f t="shared" si="107"/>
        <v>51666.666666666664</v>
      </c>
      <c r="S108" s="372">
        <f t="shared" si="107"/>
        <v>98650.793650793654</v>
      </c>
      <c r="T108" s="372">
        <f t="shared" si="107"/>
        <v>175238.09523809518</v>
      </c>
      <c r="U108" s="372">
        <f t="shared" si="107"/>
        <v>279999.99999999994</v>
      </c>
      <c r="X108" s="372">
        <f t="shared" si="108"/>
        <v>50000</v>
      </c>
      <c r="Y108" s="372">
        <f t="shared" si="108"/>
        <v>1666.6666666666667</v>
      </c>
      <c r="Z108" s="372">
        <f t="shared" si="108"/>
        <v>0</v>
      </c>
      <c r="AA108" s="372">
        <f t="shared" si="108"/>
        <v>0</v>
      </c>
      <c r="AB108" s="372">
        <f t="shared" si="108"/>
        <v>16150.79365079365</v>
      </c>
      <c r="AC108" s="372">
        <f t="shared" si="108"/>
        <v>27500</v>
      </c>
      <c r="AD108" s="372">
        <f t="shared" si="108"/>
        <v>27500</v>
      </c>
      <c r="AE108" s="372">
        <f t="shared" si="108"/>
        <v>27500</v>
      </c>
      <c r="AF108" s="372">
        <f t="shared" si="108"/>
        <v>27500</v>
      </c>
      <c r="AG108" s="372">
        <f t="shared" si="108"/>
        <v>32738.095238095237</v>
      </c>
      <c r="AH108" s="372">
        <f t="shared" si="108"/>
        <v>57499.999999999993</v>
      </c>
      <c r="AI108" s="372">
        <f t="shared" si="108"/>
        <v>57499.999999999993</v>
      </c>
      <c r="AJ108" s="372">
        <f t="shared" si="108"/>
        <v>57499.999999999993</v>
      </c>
      <c r="AK108" s="372">
        <f t="shared" si="108"/>
        <v>57499.999999999993</v>
      </c>
      <c r="AL108" s="372">
        <f t="shared" si="108"/>
        <v>77500</v>
      </c>
      <c r="AM108" s="372">
        <f t="shared" si="108"/>
        <v>87500</v>
      </c>
      <c r="AO108" s="479"/>
      <c r="AP108" s="289">
        <f>SUMIFS(AP$11:AP$35,$O$11:$O$35,"Consultant")</f>
        <v>16666.666666666668</v>
      </c>
      <c r="AQ108" s="289">
        <f t="shared" ref="AQ108:CK108" si="110">SUMIFS(AQ$11:AQ$35,$O$11:$O$35,"Consultant")</f>
        <v>16666.666666666668</v>
      </c>
      <c r="AR108" s="289">
        <f t="shared" si="110"/>
        <v>16666.666666666668</v>
      </c>
      <c r="AS108" s="289">
        <f t="shared" si="110"/>
        <v>1666.6666666666667</v>
      </c>
      <c r="AT108" s="289">
        <f t="shared" si="110"/>
        <v>0</v>
      </c>
      <c r="AU108" s="289">
        <f t="shared" si="110"/>
        <v>0</v>
      </c>
      <c r="AV108" s="289">
        <f t="shared" si="110"/>
        <v>0</v>
      </c>
      <c r="AW108" s="289">
        <f t="shared" si="110"/>
        <v>0</v>
      </c>
      <c r="AX108" s="289">
        <f t="shared" si="110"/>
        <v>0</v>
      </c>
      <c r="AY108" s="289">
        <f t="shared" si="110"/>
        <v>0</v>
      </c>
      <c r="AZ108" s="289">
        <f t="shared" si="110"/>
        <v>0</v>
      </c>
      <c r="BA108" s="289">
        <f t="shared" si="110"/>
        <v>0</v>
      </c>
      <c r="BB108" s="289">
        <f t="shared" si="110"/>
        <v>0</v>
      </c>
      <c r="BC108" s="289">
        <f t="shared" si="110"/>
        <v>6984.1269841269832</v>
      </c>
      <c r="BD108" s="289">
        <f t="shared" si="110"/>
        <v>9166.6666666666661</v>
      </c>
      <c r="BE108" s="289">
        <f t="shared" si="110"/>
        <v>9166.6666666666661</v>
      </c>
      <c r="BF108" s="289">
        <f t="shared" si="110"/>
        <v>9166.6666666666661</v>
      </c>
      <c r="BG108" s="289">
        <f t="shared" si="110"/>
        <v>9166.6666666666661</v>
      </c>
      <c r="BH108" s="289">
        <f t="shared" si="110"/>
        <v>9166.6666666666661</v>
      </c>
      <c r="BI108" s="289">
        <f t="shared" si="110"/>
        <v>9166.6666666666661</v>
      </c>
      <c r="BJ108" s="289">
        <f t="shared" si="110"/>
        <v>9166.6666666666661</v>
      </c>
      <c r="BK108" s="289">
        <f t="shared" si="110"/>
        <v>9166.6666666666661</v>
      </c>
      <c r="BL108" s="289">
        <f t="shared" si="110"/>
        <v>9166.6666666666661</v>
      </c>
      <c r="BM108" s="289">
        <f t="shared" si="110"/>
        <v>9166.6666666666661</v>
      </c>
      <c r="BN108" s="289">
        <f t="shared" si="110"/>
        <v>9166.6666666666661</v>
      </c>
      <c r="BO108" s="289">
        <f t="shared" si="110"/>
        <v>9166.6666666666661</v>
      </c>
      <c r="BP108" s="289">
        <f t="shared" si="110"/>
        <v>9166.6666666666661</v>
      </c>
      <c r="BQ108" s="289">
        <f t="shared" si="110"/>
        <v>9166.6666666666661</v>
      </c>
      <c r="BR108" s="289">
        <f t="shared" si="110"/>
        <v>9166.6666666666661</v>
      </c>
      <c r="BS108" s="289">
        <f t="shared" si="110"/>
        <v>14404.761904761905</v>
      </c>
      <c r="BT108" s="289">
        <f t="shared" si="110"/>
        <v>19166.666666666664</v>
      </c>
      <c r="BU108" s="289">
        <f t="shared" si="110"/>
        <v>19166.666666666664</v>
      </c>
      <c r="BV108" s="289">
        <f t="shared" si="110"/>
        <v>19166.666666666664</v>
      </c>
      <c r="BW108" s="289">
        <f t="shared" si="110"/>
        <v>19166.666666666664</v>
      </c>
      <c r="BX108" s="289">
        <f t="shared" si="110"/>
        <v>19166.666666666664</v>
      </c>
      <c r="BY108" s="289">
        <f t="shared" si="110"/>
        <v>19166.666666666664</v>
      </c>
      <c r="BZ108" s="289">
        <f t="shared" si="110"/>
        <v>19166.666666666664</v>
      </c>
      <c r="CA108" s="289">
        <f t="shared" si="110"/>
        <v>19166.666666666664</v>
      </c>
      <c r="CB108" s="289">
        <f t="shared" si="110"/>
        <v>19166.666666666664</v>
      </c>
      <c r="CC108" s="289">
        <f t="shared" si="110"/>
        <v>19166.666666666664</v>
      </c>
      <c r="CD108" s="289">
        <f t="shared" si="110"/>
        <v>19166.666666666664</v>
      </c>
      <c r="CE108" s="289">
        <f t="shared" si="110"/>
        <v>19166.666666666664</v>
      </c>
      <c r="CF108" s="289">
        <f t="shared" si="110"/>
        <v>19166.666666666664</v>
      </c>
      <c r="CG108" s="289">
        <f t="shared" si="110"/>
        <v>29166.666666666664</v>
      </c>
      <c r="CH108" s="289">
        <f t="shared" si="110"/>
        <v>29166.666666666664</v>
      </c>
      <c r="CI108" s="289">
        <f t="shared" si="110"/>
        <v>29166.666666666664</v>
      </c>
      <c r="CJ108" s="289">
        <f t="shared" si="110"/>
        <v>29166.666666666664</v>
      </c>
      <c r="CK108" s="289">
        <f t="shared" si="110"/>
        <v>29166.666666666664</v>
      </c>
    </row>
    <row r="109" spans="2:89" outlineLevel="1">
      <c r="D109" s="383" t="s">
        <v>193</v>
      </c>
      <c r="F109" s="544"/>
      <c r="G109" s="383"/>
      <c r="H109" s="383"/>
      <c r="I109" s="383"/>
      <c r="J109" s="383"/>
      <c r="K109" s="383"/>
      <c r="L109" s="383"/>
      <c r="M109" s="383"/>
      <c r="N109" s="383"/>
      <c r="O109" s="383"/>
      <c r="P109" s="383"/>
      <c r="Q109" s="383"/>
      <c r="R109" s="372">
        <f t="shared" si="107"/>
        <v>9600</v>
      </c>
      <c r="S109" s="372">
        <f t="shared" si="107"/>
        <v>29057.142857142855</v>
      </c>
      <c r="T109" s="372">
        <f t="shared" si="107"/>
        <v>36500</v>
      </c>
      <c r="U109" s="372">
        <f t="shared" si="107"/>
        <v>58490.909090909103</v>
      </c>
      <c r="X109" s="372">
        <f t="shared" si="108"/>
        <v>2400</v>
      </c>
      <c r="Y109" s="372">
        <f t="shared" si="108"/>
        <v>2400</v>
      </c>
      <c r="Z109" s="372">
        <f t="shared" si="108"/>
        <v>2400</v>
      </c>
      <c r="AA109" s="372">
        <f t="shared" si="108"/>
        <v>2400</v>
      </c>
      <c r="AB109" s="372">
        <f t="shared" si="108"/>
        <v>5657.1428571428569</v>
      </c>
      <c r="AC109" s="372">
        <f t="shared" si="108"/>
        <v>7800</v>
      </c>
      <c r="AD109" s="372">
        <f t="shared" si="108"/>
        <v>7800</v>
      </c>
      <c r="AE109" s="372">
        <f t="shared" si="108"/>
        <v>7800</v>
      </c>
      <c r="AF109" s="372">
        <f t="shared" si="108"/>
        <v>7800</v>
      </c>
      <c r="AG109" s="372">
        <f t="shared" si="108"/>
        <v>8700</v>
      </c>
      <c r="AH109" s="372">
        <f t="shared" si="108"/>
        <v>10000</v>
      </c>
      <c r="AI109" s="372">
        <f t="shared" si="108"/>
        <v>10000</v>
      </c>
      <c r="AJ109" s="372">
        <f t="shared" si="108"/>
        <v>10000</v>
      </c>
      <c r="AK109" s="372">
        <f t="shared" si="108"/>
        <v>15290.909090909092</v>
      </c>
      <c r="AL109" s="372">
        <f t="shared" si="108"/>
        <v>16600</v>
      </c>
      <c r="AM109" s="372">
        <f t="shared" si="108"/>
        <v>16600</v>
      </c>
      <c r="AO109" s="479"/>
      <c r="AP109" s="433" cm="1">
        <f t="array" ref="AP109">AP107*Payroll_tax</f>
        <v>800</v>
      </c>
      <c r="AQ109" s="433" cm="1">
        <f t="array" ref="AQ109">AQ107*Payroll_tax</f>
        <v>800</v>
      </c>
      <c r="AR109" s="433" cm="1">
        <f t="array" ref="AR109">AR107*Payroll_tax</f>
        <v>800</v>
      </c>
      <c r="AS109" s="433" cm="1">
        <f t="array" ref="AS109">AS107*Payroll_tax</f>
        <v>800</v>
      </c>
      <c r="AT109" s="433" cm="1">
        <f t="array" ref="AT109">AT107*Payroll_tax</f>
        <v>800</v>
      </c>
      <c r="AU109" s="433" cm="1">
        <f t="array" ref="AU109">AU107*Payroll_tax</f>
        <v>800</v>
      </c>
      <c r="AV109" s="433" cm="1">
        <f t="array" ref="AV109">AV107*Payroll_tax</f>
        <v>800</v>
      </c>
      <c r="AW109" s="433" cm="1">
        <f t="array" ref="AW109">AW107*Payroll_tax</f>
        <v>800</v>
      </c>
      <c r="AX109" s="433" cm="1">
        <f t="array" ref="AX109">AX107*Payroll_tax</f>
        <v>800</v>
      </c>
      <c r="AY109" s="433" cm="1">
        <f t="array" ref="AY109">AY107*Payroll_tax</f>
        <v>800</v>
      </c>
      <c r="AZ109" s="433" cm="1">
        <f t="array" ref="AZ109">AZ107*Payroll_tax</f>
        <v>800</v>
      </c>
      <c r="BA109" s="433" cm="1">
        <f t="array" ref="BA109">BA107*Payroll_tax</f>
        <v>800</v>
      </c>
      <c r="BB109" s="433" cm="1">
        <f t="array" ref="BB109">BB107*Payroll_tax</f>
        <v>1600</v>
      </c>
      <c r="BC109" s="433" cm="1">
        <f t="array" ref="BC109">BC107*Payroll_tax</f>
        <v>1600</v>
      </c>
      <c r="BD109" s="433" cm="1">
        <f t="array" ref="BD109">BD107*Payroll_tax</f>
        <v>2457.1428571428573</v>
      </c>
      <c r="BE109" s="433" cm="1">
        <f t="array" ref="BE109">BE107*Payroll_tax</f>
        <v>2600</v>
      </c>
      <c r="BF109" s="433" cm="1">
        <f t="array" ref="BF109">BF107*Payroll_tax</f>
        <v>2600</v>
      </c>
      <c r="BG109" s="433" cm="1">
        <f t="array" ref="BG109">BG107*Payroll_tax</f>
        <v>2600</v>
      </c>
      <c r="BH109" s="433" cm="1">
        <f t="array" ref="BH109">BH107*Payroll_tax</f>
        <v>2600</v>
      </c>
      <c r="BI109" s="433" cm="1">
        <f t="array" ref="BI109">BI107*Payroll_tax</f>
        <v>2600</v>
      </c>
      <c r="BJ109" s="433" cm="1">
        <f t="array" ref="BJ109">BJ107*Payroll_tax</f>
        <v>2600</v>
      </c>
      <c r="BK109" s="433" cm="1">
        <f t="array" ref="BK109">BK107*Payroll_tax</f>
        <v>2600</v>
      </c>
      <c r="BL109" s="433" cm="1">
        <f t="array" ref="BL109">BL107*Payroll_tax</f>
        <v>2600</v>
      </c>
      <c r="BM109" s="433" cm="1">
        <f t="array" ref="BM109">BM107*Payroll_tax</f>
        <v>2600</v>
      </c>
      <c r="BN109" s="433" cm="1">
        <f t="array" ref="BN109">BN107*Payroll_tax</f>
        <v>2600</v>
      </c>
      <c r="BO109" s="433" cm="1">
        <f t="array" ref="BO109">BO107*Payroll_tax</f>
        <v>2600</v>
      </c>
      <c r="BP109" s="433" cm="1">
        <f t="array" ref="BP109">BP107*Payroll_tax</f>
        <v>2600</v>
      </c>
      <c r="BQ109" s="433" cm="1">
        <f t="array" ref="BQ109">BQ107*Payroll_tax</f>
        <v>2600</v>
      </c>
      <c r="BR109" s="433" cm="1">
        <f t="array" ref="BR109">BR107*Payroll_tax</f>
        <v>2766.666666666667</v>
      </c>
      <c r="BS109" s="433" cm="1">
        <f t="array" ref="BS109">BS107*Payroll_tax</f>
        <v>3333.333333333333</v>
      </c>
      <c r="BT109" s="433" cm="1">
        <f t="array" ref="BT109">BT107*Payroll_tax</f>
        <v>3333.333333333333</v>
      </c>
      <c r="BU109" s="433" cm="1">
        <f t="array" ref="BU109">BU107*Payroll_tax</f>
        <v>3333.333333333333</v>
      </c>
      <c r="BV109" s="433" cm="1">
        <f t="array" ref="BV109">BV107*Payroll_tax</f>
        <v>3333.333333333333</v>
      </c>
      <c r="BW109" s="433" cm="1">
        <f t="array" ref="BW109">BW107*Payroll_tax</f>
        <v>3333.333333333333</v>
      </c>
      <c r="BX109" s="433" cm="1">
        <f t="array" ref="BX109">BX107*Payroll_tax</f>
        <v>3333.333333333333</v>
      </c>
      <c r="BY109" s="433" cm="1">
        <f t="array" ref="BY109">BY107*Payroll_tax</f>
        <v>3333.333333333333</v>
      </c>
      <c r="BZ109" s="433" cm="1">
        <f t="array" ref="BZ109">BZ107*Payroll_tax</f>
        <v>3333.333333333333</v>
      </c>
      <c r="CA109" s="433" cm="1">
        <f t="array" ref="CA109">CA107*Payroll_tax</f>
        <v>3333.333333333333</v>
      </c>
      <c r="CB109" s="433" cm="1">
        <f t="array" ref="CB109">CB107*Payroll_tax</f>
        <v>3333.333333333333</v>
      </c>
      <c r="CC109" s="433" cm="1">
        <f t="array" ref="CC109">CC107*Payroll_tax</f>
        <v>5000</v>
      </c>
      <c r="CD109" s="433" cm="1">
        <f t="array" ref="CD109">CD107*Payroll_tax</f>
        <v>5000</v>
      </c>
      <c r="CE109" s="433" cm="1">
        <f t="array" ref="CE109">CE107*Payroll_tax</f>
        <v>5290.909090909091</v>
      </c>
      <c r="CF109" s="433" cm="1">
        <f t="array" ref="CF109">CF107*Payroll_tax</f>
        <v>5533.3333333333339</v>
      </c>
      <c r="CG109" s="433" cm="1">
        <f t="array" ref="CG109">CG107*Payroll_tax</f>
        <v>5533.3333333333339</v>
      </c>
      <c r="CH109" s="433" cm="1">
        <f t="array" ref="CH109">CH107*Payroll_tax</f>
        <v>5533.3333333333339</v>
      </c>
      <c r="CI109" s="433" cm="1">
        <f t="array" ref="CI109">CI107*Payroll_tax</f>
        <v>5533.3333333333339</v>
      </c>
      <c r="CJ109" s="433" cm="1">
        <f t="array" ref="CJ109">CJ107*Payroll_tax</f>
        <v>5533.3333333333339</v>
      </c>
      <c r="CK109" s="433" cm="1">
        <f t="array" ref="CK109">CK107*Payroll_tax</f>
        <v>5533.3333333333339</v>
      </c>
    </row>
    <row r="110" spans="2:89" outlineLevel="1">
      <c r="D110" s="383" t="s">
        <v>195</v>
      </c>
      <c r="F110" s="544"/>
      <c r="G110" s="383"/>
      <c r="H110" s="383"/>
      <c r="I110" s="383"/>
      <c r="J110" s="383"/>
      <c r="K110" s="383"/>
      <c r="L110" s="383"/>
      <c r="M110" s="383"/>
      <c r="N110" s="383"/>
      <c r="O110" s="383"/>
      <c r="P110" s="383"/>
      <c r="Q110" s="383"/>
      <c r="R110" s="372">
        <f t="shared" si="107"/>
        <v>12000</v>
      </c>
      <c r="S110" s="372">
        <f t="shared" si="107"/>
        <v>36321.428571428572</v>
      </c>
      <c r="T110" s="372">
        <f t="shared" si="107"/>
        <v>45625</v>
      </c>
      <c r="U110" s="372">
        <f t="shared" si="107"/>
        <v>73113.636363636382</v>
      </c>
      <c r="X110" s="372">
        <f t="shared" si="108"/>
        <v>3000</v>
      </c>
      <c r="Y110" s="372">
        <f t="shared" si="108"/>
        <v>3000</v>
      </c>
      <c r="Z110" s="372">
        <f t="shared" si="108"/>
        <v>3000</v>
      </c>
      <c r="AA110" s="372">
        <f t="shared" si="108"/>
        <v>3000</v>
      </c>
      <c r="AB110" s="372">
        <f t="shared" si="108"/>
        <v>7071.4285714285716</v>
      </c>
      <c r="AC110" s="372">
        <f t="shared" si="108"/>
        <v>9750</v>
      </c>
      <c r="AD110" s="372">
        <f t="shared" si="108"/>
        <v>9750</v>
      </c>
      <c r="AE110" s="372">
        <f t="shared" si="108"/>
        <v>9750</v>
      </c>
      <c r="AF110" s="372">
        <f t="shared" si="108"/>
        <v>9750</v>
      </c>
      <c r="AG110" s="372">
        <f t="shared" si="108"/>
        <v>10875</v>
      </c>
      <c r="AH110" s="372">
        <f t="shared" si="108"/>
        <v>12500</v>
      </c>
      <c r="AI110" s="372">
        <f t="shared" si="108"/>
        <v>12500</v>
      </c>
      <c r="AJ110" s="372">
        <f t="shared" si="108"/>
        <v>12500</v>
      </c>
      <c r="AK110" s="372">
        <f t="shared" si="108"/>
        <v>19113.636363636364</v>
      </c>
      <c r="AL110" s="372">
        <f t="shared" si="108"/>
        <v>20750.000000000004</v>
      </c>
      <c r="AM110" s="372">
        <f t="shared" si="108"/>
        <v>20750.000000000004</v>
      </c>
      <c r="AO110" s="479"/>
      <c r="AP110" s="433">
        <f t="shared" ref="AP110:CK110" si="111">AP107*Health_Benefits</f>
        <v>1000</v>
      </c>
      <c r="AQ110" s="433">
        <f t="shared" si="111"/>
        <v>1000</v>
      </c>
      <c r="AR110" s="433">
        <f t="shared" si="111"/>
        <v>1000</v>
      </c>
      <c r="AS110" s="433">
        <f t="shared" si="111"/>
        <v>1000</v>
      </c>
      <c r="AT110" s="433">
        <f t="shared" si="111"/>
        <v>1000</v>
      </c>
      <c r="AU110" s="433">
        <f t="shared" si="111"/>
        <v>1000</v>
      </c>
      <c r="AV110" s="433">
        <f t="shared" si="111"/>
        <v>1000</v>
      </c>
      <c r="AW110" s="433">
        <f t="shared" si="111"/>
        <v>1000</v>
      </c>
      <c r="AX110" s="433">
        <f t="shared" si="111"/>
        <v>1000</v>
      </c>
      <c r="AY110" s="433">
        <f t="shared" si="111"/>
        <v>1000</v>
      </c>
      <c r="AZ110" s="433">
        <f t="shared" si="111"/>
        <v>1000</v>
      </c>
      <c r="BA110" s="433">
        <f t="shared" si="111"/>
        <v>1000</v>
      </c>
      <c r="BB110" s="433">
        <f t="shared" si="111"/>
        <v>2000</v>
      </c>
      <c r="BC110" s="433">
        <f t="shared" si="111"/>
        <v>2000</v>
      </c>
      <c r="BD110" s="433">
        <f t="shared" si="111"/>
        <v>3071.4285714285716</v>
      </c>
      <c r="BE110" s="433">
        <f t="shared" si="111"/>
        <v>3250</v>
      </c>
      <c r="BF110" s="433">
        <f t="shared" si="111"/>
        <v>3250</v>
      </c>
      <c r="BG110" s="433">
        <f t="shared" si="111"/>
        <v>3250</v>
      </c>
      <c r="BH110" s="433">
        <f t="shared" si="111"/>
        <v>3250</v>
      </c>
      <c r="BI110" s="433">
        <f t="shared" si="111"/>
        <v>3250</v>
      </c>
      <c r="BJ110" s="433">
        <f t="shared" si="111"/>
        <v>3250</v>
      </c>
      <c r="BK110" s="433">
        <f t="shared" si="111"/>
        <v>3250</v>
      </c>
      <c r="BL110" s="433">
        <f t="shared" si="111"/>
        <v>3250</v>
      </c>
      <c r="BM110" s="433">
        <f t="shared" si="111"/>
        <v>3250</v>
      </c>
      <c r="BN110" s="433">
        <f t="shared" si="111"/>
        <v>3250</v>
      </c>
      <c r="BO110" s="433">
        <f t="shared" si="111"/>
        <v>3250</v>
      </c>
      <c r="BP110" s="433">
        <f t="shared" si="111"/>
        <v>3250</v>
      </c>
      <c r="BQ110" s="433">
        <f t="shared" si="111"/>
        <v>3250</v>
      </c>
      <c r="BR110" s="433">
        <f t="shared" si="111"/>
        <v>3458.3333333333339</v>
      </c>
      <c r="BS110" s="433">
        <f t="shared" si="111"/>
        <v>4166.666666666667</v>
      </c>
      <c r="BT110" s="433">
        <f t="shared" si="111"/>
        <v>4166.666666666667</v>
      </c>
      <c r="BU110" s="433">
        <f t="shared" si="111"/>
        <v>4166.666666666667</v>
      </c>
      <c r="BV110" s="433">
        <f t="shared" si="111"/>
        <v>4166.666666666667</v>
      </c>
      <c r="BW110" s="433">
        <f t="shared" si="111"/>
        <v>4166.666666666667</v>
      </c>
      <c r="BX110" s="433">
        <f t="shared" si="111"/>
        <v>4166.666666666667</v>
      </c>
      <c r="BY110" s="433">
        <f t="shared" si="111"/>
        <v>4166.666666666667</v>
      </c>
      <c r="BZ110" s="433">
        <f t="shared" si="111"/>
        <v>4166.666666666667</v>
      </c>
      <c r="CA110" s="433">
        <f t="shared" si="111"/>
        <v>4166.666666666667</v>
      </c>
      <c r="CB110" s="433">
        <f t="shared" si="111"/>
        <v>4166.666666666667</v>
      </c>
      <c r="CC110" s="433">
        <f t="shared" si="111"/>
        <v>6250</v>
      </c>
      <c r="CD110" s="433">
        <f t="shared" si="111"/>
        <v>6250</v>
      </c>
      <c r="CE110" s="433">
        <f t="shared" si="111"/>
        <v>6613.636363636364</v>
      </c>
      <c r="CF110" s="433">
        <f t="shared" si="111"/>
        <v>6916.6666666666679</v>
      </c>
      <c r="CG110" s="433">
        <f t="shared" si="111"/>
        <v>6916.6666666666679</v>
      </c>
      <c r="CH110" s="433">
        <f t="shared" si="111"/>
        <v>6916.6666666666679</v>
      </c>
      <c r="CI110" s="433">
        <f t="shared" si="111"/>
        <v>6916.6666666666679</v>
      </c>
      <c r="CJ110" s="433">
        <f t="shared" si="111"/>
        <v>6916.6666666666679</v>
      </c>
      <c r="CK110" s="433">
        <f t="shared" si="111"/>
        <v>6916.6666666666679</v>
      </c>
    </row>
    <row r="111" spans="2:89" outlineLevel="1">
      <c r="D111" s="383" t="s">
        <v>197</v>
      </c>
      <c r="F111" s="544"/>
      <c r="G111" s="383"/>
      <c r="H111" s="383"/>
      <c r="I111" s="383"/>
      <c r="J111" s="383"/>
      <c r="K111" s="383"/>
      <c r="L111" s="383"/>
      <c r="M111" s="383"/>
      <c r="N111" s="383"/>
      <c r="O111" s="383"/>
      <c r="P111" s="383"/>
      <c r="Q111" s="383"/>
      <c r="R111" s="372">
        <f t="shared" si="107"/>
        <v>300</v>
      </c>
      <c r="S111" s="372">
        <f t="shared" si="107"/>
        <v>908.03571428571422</v>
      </c>
      <c r="T111" s="372">
        <f t="shared" si="107"/>
        <v>1140.625</v>
      </c>
      <c r="U111" s="372">
        <f t="shared" si="107"/>
        <v>1827.8409090909095</v>
      </c>
      <c r="X111" s="372">
        <f t="shared" si="108"/>
        <v>75</v>
      </c>
      <c r="Y111" s="372">
        <f t="shared" si="108"/>
        <v>75</v>
      </c>
      <c r="Z111" s="372">
        <f t="shared" si="108"/>
        <v>75</v>
      </c>
      <c r="AA111" s="372">
        <f t="shared" si="108"/>
        <v>75</v>
      </c>
      <c r="AB111" s="372">
        <f t="shared" si="108"/>
        <v>176.78571428571428</v>
      </c>
      <c r="AC111" s="372">
        <f t="shared" si="108"/>
        <v>243.75</v>
      </c>
      <c r="AD111" s="372">
        <f t="shared" si="108"/>
        <v>243.75</v>
      </c>
      <c r="AE111" s="372">
        <f t="shared" si="108"/>
        <v>243.75</v>
      </c>
      <c r="AF111" s="372">
        <f t="shared" si="108"/>
        <v>243.75</v>
      </c>
      <c r="AG111" s="372">
        <f t="shared" si="108"/>
        <v>271.875</v>
      </c>
      <c r="AH111" s="372">
        <f t="shared" si="108"/>
        <v>312.5</v>
      </c>
      <c r="AI111" s="372">
        <f t="shared" si="108"/>
        <v>312.5</v>
      </c>
      <c r="AJ111" s="372">
        <f t="shared" si="108"/>
        <v>312.5</v>
      </c>
      <c r="AK111" s="372">
        <f t="shared" si="108"/>
        <v>477.84090909090912</v>
      </c>
      <c r="AL111" s="372">
        <f t="shared" si="108"/>
        <v>518.75</v>
      </c>
      <c r="AM111" s="372">
        <f t="shared" si="108"/>
        <v>518.75</v>
      </c>
      <c r="AO111" s="479"/>
      <c r="AP111" s="433" cm="1">
        <f t="array" ref="AP111">AP107*Payroll_Admin_Fees</f>
        <v>25</v>
      </c>
      <c r="AQ111" s="433" cm="1">
        <f t="array" ref="AQ111">AQ107*Payroll_Admin_Fees</f>
        <v>25</v>
      </c>
      <c r="AR111" s="433" cm="1">
        <f t="array" ref="AR111">AR107*Payroll_Admin_Fees</f>
        <v>25</v>
      </c>
      <c r="AS111" s="433" cm="1">
        <f t="array" ref="AS111">AS107*Payroll_Admin_Fees</f>
        <v>25</v>
      </c>
      <c r="AT111" s="433" cm="1">
        <f t="array" ref="AT111">AT107*Payroll_Admin_Fees</f>
        <v>25</v>
      </c>
      <c r="AU111" s="433" cm="1">
        <f t="array" ref="AU111">AU107*Payroll_Admin_Fees</f>
        <v>25</v>
      </c>
      <c r="AV111" s="433" cm="1">
        <f t="array" ref="AV111">AV107*Payroll_Admin_Fees</f>
        <v>25</v>
      </c>
      <c r="AW111" s="433" cm="1">
        <f t="array" ref="AW111">AW107*Payroll_Admin_Fees</f>
        <v>25</v>
      </c>
      <c r="AX111" s="433" cm="1">
        <f t="array" ref="AX111">AX107*Payroll_Admin_Fees</f>
        <v>25</v>
      </c>
      <c r="AY111" s="433" cm="1">
        <f t="array" ref="AY111">AY107*Payroll_Admin_Fees</f>
        <v>25</v>
      </c>
      <c r="AZ111" s="433" cm="1">
        <f t="array" ref="AZ111">AZ107*Payroll_Admin_Fees</f>
        <v>25</v>
      </c>
      <c r="BA111" s="433" cm="1">
        <f t="array" ref="BA111">BA107*Payroll_Admin_Fees</f>
        <v>25</v>
      </c>
      <c r="BB111" s="433" cm="1">
        <f t="array" ref="BB111">BB107*Payroll_Admin_Fees</f>
        <v>50</v>
      </c>
      <c r="BC111" s="433" cm="1">
        <f t="array" ref="BC111">BC107*Payroll_Admin_Fees</f>
        <v>50</v>
      </c>
      <c r="BD111" s="433" cm="1">
        <f t="array" ref="BD111">BD107*Payroll_Admin_Fees</f>
        <v>76.785714285714292</v>
      </c>
      <c r="BE111" s="433" cm="1">
        <f t="array" ref="BE111">BE107*Payroll_Admin_Fees</f>
        <v>81.25</v>
      </c>
      <c r="BF111" s="433" cm="1">
        <f t="array" ref="BF111">BF107*Payroll_Admin_Fees</f>
        <v>81.25</v>
      </c>
      <c r="BG111" s="433" cm="1">
        <f t="array" ref="BG111">BG107*Payroll_Admin_Fees</f>
        <v>81.25</v>
      </c>
      <c r="BH111" s="433" cm="1">
        <f t="array" ref="BH111">BH107*Payroll_Admin_Fees</f>
        <v>81.25</v>
      </c>
      <c r="BI111" s="433" cm="1">
        <f t="array" ref="BI111">BI107*Payroll_Admin_Fees</f>
        <v>81.25</v>
      </c>
      <c r="BJ111" s="433" cm="1">
        <f t="array" ref="BJ111">BJ107*Payroll_Admin_Fees</f>
        <v>81.25</v>
      </c>
      <c r="BK111" s="433" cm="1">
        <f t="array" ref="BK111">BK107*Payroll_Admin_Fees</f>
        <v>81.25</v>
      </c>
      <c r="BL111" s="433" cm="1">
        <f t="array" ref="BL111">BL107*Payroll_Admin_Fees</f>
        <v>81.25</v>
      </c>
      <c r="BM111" s="433" cm="1">
        <f t="array" ref="BM111">BM107*Payroll_Admin_Fees</f>
        <v>81.25</v>
      </c>
      <c r="BN111" s="433" cm="1">
        <f t="array" ref="BN111">BN107*Payroll_Admin_Fees</f>
        <v>81.25</v>
      </c>
      <c r="BO111" s="433" cm="1">
        <f t="array" ref="BO111">BO107*Payroll_Admin_Fees</f>
        <v>81.25</v>
      </c>
      <c r="BP111" s="433" cm="1">
        <f t="array" ref="BP111">BP107*Payroll_Admin_Fees</f>
        <v>81.25</v>
      </c>
      <c r="BQ111" s="433" cm="1">
        <f t="array" ref="BQ111">BQ107*Payroll_Admin_Fees</f>
        <v>81.25</v>
      </c>
      <c r="BR111" s="433" cm="1">
        <f t="array" ref="BR111">BR107*Payroll_Admin_Fees</f>
        <v>86.458333333333343</v>
      </c>
      <c r="BS111" s="433" cm="1">
        <f t="array" ref="BS111">BS107*Payroll_Admin_Fees</f>
        <v>104.16666666666666</v>
      </c>
      <c r="BT111" s="433" cm="1">
        <f t="array" ref="BT111">BT107*Payroll_Admin_Fees</f>
        <v>104.16666666666666</v>
      </c>
      <c r="BU111" s="433" cm="1">
        <f t="array" ref="BU111">BU107*Payroll_Admin_Fees</f>
        <v>104.16666666666666</v>
      </c>
      <c r="BV111" s="433" cm="1">
        <f t="array" ref="BV111">BV107*Payroll_Admin_Fees</f>
        <v>104.16666666666666</v>
      </c>
      <c r="BW111" s="433" cm="1">
        <f t="array" ref="BW111">BW107*Payroll_Admin_Fees</f>
        <v>104.16666666666666</v>
      </c>
      <c r="BX111" s="433" cm="1">
        <f t="array" ref="BX111">BX107*Payroll_Admin_Fees</f>
        <v>104.16666666666666</v>
      </c>
      <c r="BY111" s="433" cm="1">
        <f t="array" ref="BY111">BY107*Payroll_Admin_Fees</f>
        <v>104.16666666666666</v>
      </c>
      <c r="BZ111" s="433" cm="1">
        <f t="array" ref="BZ111">BZ107*Payroll_Admin_Fees</f>
        <v>104.16666666666666</v>
      </c>
      <c r="CA111" s="433" cm="1">
        <f t="array" ref="CA111">CA107*Payroll_Admin_Fees</f>
        <v>104.16666666666666</v>
      </c>
      <c r="CB111" s="433" cm="1">
        <f t="array" ref="CB111">CB107*Payroll_Admin_Fees</f>
        <v>104.16666666666666</v>
      </c>
      <c r="CC111" s="433" cm="1">
        <f t="array" ref="CC111">CC107*Payroll_Admin_Fees</f>
        <v>156.25</v>
      </c>
      <c r="CD111" s="433" cm="1">
        <f t="array" ref="CD111">CD107*Payroll_Admin_Fees</f>
        <v>156.25</v>
      </c>
      <c r="CE111" s="433" cm="1">
        <f t="array" ref="CE111">CE107*Payroll_Admin_Fees</f>
        <v>165.34090909090909</v>
      </c>
      <c r="CF111" s="433" cm="1">
        <f t="array" ref="CF111">CF107*Payroll_Admin_Fees</f>
        <v>172.91666666666669</v>
      </c>
      <c r="CG111" s="433" cm="1">
        <f t="array" ref="CG111">CG107*Payroll_Admin_Fees</f>
        <v>172.91666666666669</v>
      </c>
      <c r="CH111" s="433" cm="1">
        <f t="array" ref="CH111">CH107*Payroll_Admin_Fees</f>
        <v>172.91666666666669</v>
      </c>
      <c r="CI111" s="433" cm="1">
        <f t="array" ref="CI111">CI107*Payroll_Admin_Fees</f>
        <v>172.91666666666669</v>
      </c>
      <c r="CJ111" s="433" cm="1">
        <f t="array" ref="CJ111">CJ107*Payroll_Admin_Fees</f>
        <v>172.91666666666669</v>
      </c>
      <c r="CK111" s="433" cm="1">
        <f t="array" ref="CK111">CK107*Payroll_Admin_Fees</f>
        <v>172.91666666666669</v>
      </c>
    </row>
    <row r="112" spans="2:89" outlineLevel="1">
      <c r="D112" s="383" t="s">
        <v>200</v>
      </c>
      <c r="F112" s="544"/>
      <c r="G112" s="383"/>
      <c r="H112" s="383"/>
      <c r="I112" s="383"/>
      <c r="J112" s="383"/>
      <c r="K112" s="383"/>
      <c r="L112" s="383"/>
      <c r="M112" s="383"/>
      <c r="N112" s="383"/>
      <c r="O112" s="383"/>
      <c r="P112" s="383"/>
      <c r="Q112" s="383"/>
      <c r="R112" s="372">
        <f t="shared" si="107"/>
        <v>5000</v>
      </c>
      <c r="S112" s="372">
        <f t="shared" si="107"/>
        <v>10000</v>
      </c>
      <c r="T112" s="372">
        <f t="shared" si="107"/>
        <v>15000</v>
      </c>
      <c r="U112" s="372">
        <f t="shared" si="107"/>
        <v>15000</v>
      </c>
      <c r="X112" s="372">
        <f t="shared" si="108"/>
        <v>0</v>
      </c>
      <c r="Y112" s="372">
        <f t="shared" si="108"/>
        <v>0</v>
      </c>
      <c r="Z112" s="372">
        <f t="shared" si="108"/>
        <v>0</v>
      </c>
      <c r="AA112" s="372">
        <f t="shared" si="108"/>
        <v>5000</v>
      </c>
      <c r="AB112" s="372">
        <f t="shared" si="108"/>
        <v>0</v>
      </c>
      <c r="AC112" s="372">
        <f t="shared" si="108"/>
        <v>0</v>
      </c>
      <c r="AD112" s="372">
        <f t="shared" si="108"/>
        <v>0</v>
      </c>
      <c r="AE112" s="372">
        <f t="shared" si="108"/>
        <v>10000</v>
      </c>
      <c r="AF112" s="372">
        <f t="shared" si="108"/>
        <v>0</v>
      </c>
      <c r="AG112" s="372">
        <f t="shared" si="108"/>
        <v>0</v>
      </c>
      <c r="AH112" s="372">
        <f t="shared" si="108"/>
        <v>0</v>
      </c>
      <c r="AI112" s="372">
        <f t="shared" si="108"/>
        <v>15000</v>
      </c>
      <c r="AJ112" s="372">
        <f t="shared" si="108"/>
        <v>0</v>
      </c>
      <c r="AK112" s="372">
        <f t="shared" si="108"/>
        <v>0</v>
      </c>
      <c r="AL112" s="372">
        <f t="shared" si="108"/>
        <v>0</v>
      </c>
      <c r="AM112" s="372">
        <f t="shared" si="108"/>
        <v>15000</v>
      </c>
      <c r="AO112" s="479"/>
      <c r="AP112" s="479">
        <f t="shared" ref="AP112:CK112" si="112">IF(MONTH(AP$8)=MONTH(BonusMonth),SUMIFS($N$11:$N$35,AP$11:AP$35,"&gt;"&amp;0),0)</f>
        <v>0</v>
      </c>
      <c r="AQ112" s="479">
        <f t="shared" si="112"/>
        <v>0</v>
      </c>
      <c r="AR112" s="479">
        <f t="shared" si="112"/>
        <v>0</v>
      </c>
      <c r="AS112" s="479">
        <f t="shared" si="112"/>
        <v>0</v>
      </c>
      <c r="AT112" s="479">
        <f t="shared" si="112"/>
        <v>0</v>
      </c>
      <c r="AU112" s="479">
        <f t="shared" si="112"/>
        <v>0</v>
      </c>
      <c r="AV112" s="479">
        <f t="shared" si="112"/>
        <v>0</v>
      </c>
      <c r="AW112" s="479">
        <f t="shared" si="112"/>
        <v>0</v>
      </c>
      <c r="AX112" s="479">
        <f t="shared" si="112"/>
        <v>0</v>
      </c>
      <c r="AY112" s="479">
        <f t="shared" si="112"/>
        <v>0</v>
      </c>
      <c r="AZ112" s="479">
        <f t="shared" si="112"/>
        <v>0</v>
      </c>
      <c r="BA112" s="479">
        <f t="shared" si="112"/>
        <v>5000</v>
      </c>
      <c r="BB112" s="479">
        <f t="shared" si="112"/>
        <v>0</v>
      </c>
      <c r="BC112" s="479">
        <f t="shared" si="112"/>
        <v>0</v>
      </c>
      <c r="BD112" s="479">
        <f t="shared" si="112"/>
        <v>0</v>
      </c>
      <c r="BE112" s="479">
        <f t="shared" si="112"/>
        <v>0</v>
      </c>
      <c r="BF112" s="479">
        <f t="shared" si="112"/>
        <v>0</v>
      </c>
      <c r="BG112" s="479">
        <f t="shared" si="112"/>
        <v>0</v>
      </c>
      <c r="BH112" s="479">
        <f t="shared" si="112"/>
        <v>0</v>
      </c>
      <c r="BI112" s="479">
        <f t="shared" si="112"/>
        <v>0</v>
      </c>
      <c r="BJ112" s="479">
        <f t="shared" si="112"/>
        <v>0</v>
      </c>
      <c r="BK112" s="479">
        <f t="shared" si="112"/>
        <v>0</v>
      </c>
      <c r="BL112" s="479">
        <f t="shared" si="112"/>
        <v>0</v>
      </c>
      <c r="BM112" s="479">
        <f t="shared" si="112"/>
        <v>10000</v>
      </c>
      <c r="BN112" s="479">
        <f t="shared" si="112"/>
        <v>0</v>
      </c>
      <c r="BO112" s="479">
        <f t="shared" si="112"/>
        <v>0</v>
      </c>
      <c r="BP112" s="479">
        <f t="shared" si="112"/>
        <v>0</v>
      </c>
      <c r="BQ112" s="479">
        <f t="shared" si="112"/>
        <v>0</v>
      </c>
      <c r="BR112" s="479">
        <f t="shared" si="112"/>
        <v>0</v>
      </c>
      <c r="BS112" s="479">
        <f t="shared" si="112"/>
        <v>0</v>
      </c>
      <c r="BT112" s="479">
        <f t="shared" si="112"/>
        <v>0</v>
      </c>
      <c r="BU112" s="479">
        <f t="shared" si="112"/>
        <v>0</v>
      </c>
      <c r="BV112" s="479">
        <f t="shared" si="112"/>
        <v>0</v>
      </c>
      <c r="BW112" s="479">
        <f t="shared" si="112"/>
        <v>0</v>
      </c>
      <c r="BX112" s="479">
        <f t="shared" si="112"/>
        <v>0</v>
      </c>
      <c r="BY112" s="479">
        <f t="shared" si="112"/>
        <v>15000</v>
      </c>
      <c r="BZ112" s="479">
        <f t="shared" si="112"/>
        <v>0</v>
      </c>
      <c r="CA112" s="479">
        <f t="shared" si="112"/>
        <v>0</v>
      </c>
      <c r="CB112" s="479">
        <f t="shared" si="112"/>
        <v>0</v>
      </c>
      <c r="CC112" s="479">
        <f t="shared" si="112"/>
        <v>0</v>
      </c>
      <c r="CD112" s="479">
        <f t="shared" si="112"/>
        <v>0</v>
      </c>
      <c r="CE112" s="479">
        <f t="shared" si="112"/>
        <v>0</v>
      </c>
      <c r="CF112" s="479">
        <f t="shared" si="112"/>
        <v>0</v>
      </c>
      <c r="CG112" s="479">
        <f t="shared" si="112"/>
        <v>0</v>
      </c>
      <c r="CH112" s="479">
        <f t="shared" si="112"/>
        <v>0</v>
      </c>
      <c r="CI112" s="479">
        <f t="shared" si="112"/>
        <v>0</v>
      </c>
      <c r="CJ112" s="479">
        <f t="shared" si="112"/>
        <v>0</v>
      </c>
      <c r="CK112" s="479">
        <f t="shared" si="112"/>
        <v>15000</v>
      </c>
    </row>
    <row r="113" spans="2:89" outlineLevel="1">
      <c r="D113" s="383"/>
      <c r="E113" s="540"/>
      <c r="F113" s="383"/>
      <c r="G113" s="383"/>
      <c r="H113" s="383"/>
      <c r="I113" s="383"/>
      <c r="J113" s="383"/>
      <c r="K113" s="383"/>
      <c r="L113" s="383"/>
      <c r="M113" s="383"/>
      <c r="N113" s="383"/>
      <c r="O113" s="383"/>
      <c r="P113" s="383"/>
      <c r="Q113" s="383"/>
      <c r="R113" s="383"/>
      <c r="S113" s="383"/>
      <c r="T113" s="383"/>
      <c r="X113" s="479"/>
      <c r="Y113" s="479"/>
      <c r="Z113" s="479"/>
      <c r="AA113" s="479"/>
      <c r="AB113" s="479"/>
      <c r="AC113" s="479"/>
      <c r="AD113" s="479"/>
      <c r="AE113" s="479"/>
      <c r="AF113" s="479"/>
      <c r="AG113" s="479"/>
      <c r="AH113" s="479"/>
      <c r="AI113" s="479"/>
      <c r="AJ113" s="479"/>
      <c r="AK113" s="479"/>
      <c r="AL113" s="479"/>
      <c r="AM113" s="479"/>
      <c r="AO113" s="479"/>
      <c r="AP113" s="479"/>
      <c r="AQ113" s="479"/>
      <c r="AR113" s="479"/>
      <c r="AS113" s="479"/>
      <c r="AT113" s="479"/>
      <c r="AU113" s="479"/>
      <c r="AV113" s="479"/>
      <c r="AW113" s="479"/>
      <c r="AX113" s="479"/>
      <c r="AY113" s="479"/>
      <c r="AZ113" s="479"/>
      <c r="BA113" s="479"/>
      <c r="BB113" s="479"/>
      <c r="BC113" s="479"/>
      <c r="BD113" s="479"/>
      <c r="BE113" s="479"/>
      <c r="BF113" s="479"/>
      <c r="BG113" s="479"/>
      <c r="BH113" s="479"/>
      <c r="BI113" s="479"/>
      <c r="BJ113" s="479"/>
      <c r="BK113" s="479"/>
      <c r="BL113" s="479"/>
      <c r="BM113" s="479"/>
      <c r="BN113" s="479"/>
      <c r="BO113" s="479"/>
      <c r="BP113" s="479"/>
      <c r="BQ113" s="479"/>
      <c r="BR113" s="479"/>
      <c r="BS113" s="479"/>
      <c r="BT113" s="479"/>
      <c r="BU113" s="479"/>
      <c r="BV113" s="479"/>
      <c r="BW113" s="479"/>
      <c r="BX113" s="479"/>
      <c r="BY113" s="479"/>
      <c r="BZ113" s="479"/>
      <c r="CA113" s="479"/>
      <c r="CB113" s="479"/>
      <c r="CC113" s="479"/>
      <c r="CD113" s="479"/>
      <c r="CE113" s="479"/>
      <c r="CF113" s="479"/>
      <c r="CG113" s="479"/>
      <c r="CH113" s="479"/>
      <c r="CI113" s="479"/>
      <c r="CJ113" s="479"/>
      <c r="CK113" s="479"/>
    </row>
    <row r="114" spans="2:89" outlineLevel="3">
      <c r="D114" s="478" t="s">
        <v>409</v>
      </c>
      <c r="E114" s="478"/>
      <c r="F114" s="478"/>
      <c r="G114" s="478"/>
      <c r="H114" s="478"/>
      <c r="I114" s="478"/>
      <c r="J114" s="478"/>
      <c r="K114" s="478"/>
      <c r="L114" s="478"/>
      <c r="M114" s="478"/>
      <c r="N114" s="478"/>
      <c r="O114" s="478"/>
      <c r="P114" s="478"/>
      <c r="Q114" s="478"/>
      <c r="R114" s="477">
        <f>SUM(R68:R104)/2-R106</f>
        <v>0</v>
      </c>
      <c r="S114" s="477">
        <f>SUM(S68:S104)/2-S106</f>
        <v>0</v>
      </c>
      <c r="T114" s="477">
        <f>SUM(T68:T104)/2-T106</f>
        <v>0</v>
      </c>
      <c r="U114" s="477">
        <f>SUM(U68:U104)/2-U106</f>
        <v>0</v>
      </c>
      <c r="X114" s="477">
        <f t="shared" ref="X114:AM114" si="113">SUM(X68:X104)/2-X106</f>
        <v>0</v>
      </c>
      <c r="Y114" s="477">
        <f t="shared" si="113"/>
        <v>0</v>
      </c>
      <c r="Z114" s="477">
        <f t="shared" si="113"/>
        <v>0</v>
      </c>
      <c r="AA114" s="477">
        <f t="shared" si="113"/>
        <v>0</v>
      </c>
      <c r="AB114" s="477">
        <f t="shared" si="113"/>
        <v>0</v>
      </c>
      <c r="AC114" s="477">
        <f t="shared" si="113"/>
        <v>0</v>
      </c>
      <c r="AD114" s="477">
        <f t="shared" si="113"/>
        <v>0</v>
      </c>
      <c r="AE114" s="477">
        <f t="shared" si="113"/>
        <v>0</v>
      </c>
      <c r="AF114" s="477">
        <f t="shared" si="113"/>
        <v>0</v>
      </c>
      <c r="AG114" s="477">
        <f t="shared" si="113"/>
        <v>0</v>
      </c>
      <c r="AH114" s="477">
        <f t="shared" si="113"/>
        <v>0</v>
      </c>
      <c r="AI114" s="477">
        <f t="shared" si="113"/>
        <v>0</v>
      </c>
      <c r="AJ114" s="477">
        <f t="shared" si="113"/>
        <v>0</v>
      </c>
      <c r="AK114" s="477">
        <f t="shared" si="113"/>
        <v>0</v>
      </c>
      <c r="AL114" s="477">
        <f t="shared" si="113"/>
        <v>0</v>
      </c>
      <c r="AM114" s="477">
        <f t="shared" si="113"/>
        <v>0</v>
      </c>
      <c r="AO114" s="368"/>
      <c r="AP114" s="477">
        <f t="shared" ref="AP114:CK114" si="114">SUM(AP68:AP105)/2-AP106</f>
        <v>0</v>
      </c>
      <c r="AQ114" s="477">
        <f t="shared" si="114"/>
        <v>0</v>
      </c>
      <c r="AR114" s="477">
        <f t="shared" si="114"/>
        <v>0</v>
      </c>
      <c r="AS114" s="477">
        <f t="shared" si="114"/>
        <v>0</v>
      </c>
      <c r="AT114" s="477">
        <f t="shared" si="114"/>
        <v>0</v>
      </c>
      <c r="AU114" s="477">
        <f t="shared" si="114"/>
        <v>0</v>
      </c>
      <c r="AV114" s="477">
        <f t="shared" si="114"/>
        <v>0</v>
      </c>
      <c r="AW114" s="477">
        <f t="shared" si="114"/>
        <v>0</v>
      </c>
      <c r="AX114" s="477">
        <f t="shared" si="114"/>
        <v>0</v>
      </c>
      <c r="AY114" s="477">
        <f t="shared" si="114"/>
        <v>0</v>
      </c>
      <c r="AZ114" s="477">
        <f t="shared" si="114"/>
        <v>0</v>
      </c>
      <c r="BA114" s="477">
        <f t="shared" si="114"/>
        <v>0</v>
      </c>
      <c r="BB114" s="477">
        <f t="shared" si="114"/>
        <v>0</v>
      </c>
      <c r="BC114" s="477">
        <f t="shared" si="114"/>
        <v>0</v>
      </c>
      <c r="BD114" s="477">
        <f t="shared" si="114"/>
        <v>0</v>
      </c>
      <c r="BE114" s="477">
        <f t="shared" si="114"/>
        <v>0</v>
      </c>
      <c r="BF114" s="477">
        <f t="shared" si="114"/>
        <v>0</v>
      </c>
      <c r="BG114" s="477">
        <f t="shared" si="114"/>
        <v>0</v>
      </c>
      <c r="BH114" s="477">
        <f t="shared" si="114"/>
        <v>0</v>
      </c>
      <c r="BI114" s="477">
        <f t="shared" si="114"/>
        <v>0</v>
      </c>
      <c r="BJ114" s="477">
        <f t="shared" si="114"/>
        <v>0</v>
      </c>
      <c r="BK114" s="477">
        <f t="shared" si="114"/>
        <v>0</v>
      </c>
      <c r="BL114" s="477">
        <f t="shared" si="114"/>
        <v>0</v>
      </c>
      <c r="BM114" s="477">
        <f t="shared" si="114"/>
        <v>0</v>
      </c>
      <c r="BN114" s="477">
        <f t="shared" si="114"/>
        <v>0</v>
      </c>
      <c r="BO114" s="477">
        <f t="shared" si="114"/>
        <v>0</v>
      </c>
      <c r="BP114" s="477">
        <f t="shared" si="114"/>
        <v>0</v>
      </c>
      <c r="BQ114" s="477">
        <f t="shared" si="114"/>
        <v>0</v>
      </c>
      <c r="BR114" s="477">
        <f t="shared" si="114"/>
        <v>0</v>
      </c>
      <c r="BS114" s="477">
        <f t="shared" si="114"/>
        <v>0</v>
      </c>
      <c r="BT114" s="477">
        <f t="shared" si="114"/>
        <v>0</v>
      </c>
      <c r="BU114" s="477">
        <f t="shared" si="114"/>
        <v>0</v>
      </c>
      <c r="BV114" s="477">
        <f t="shared" si="114"/>
        <v>0</v>
      </c>
      <c r="BW114" s="477">
        <f t="shared" si="114"/>
        <v>0</v>
      </c>
      <c r="BX114" s="477">
        <f t="shared" si="114"/>
        <v>0</v>
      </c>
      <c r="BY114" s="477">
        <f t="shared" si="114"/>
        <v>0</v>
      </c>
      <c r="BZ114" s="477">
        <f t="shared" si="114"/>
        <v>0</v>
      </c>
      <c r="CA114" s="477">
        <f t="shared" si="114"/>
        <v>0</v>
      </c>
      <c r="CB114" s="477">
        <f t="shared" si="114"/>
        <v>0</v>
      </c>
      <c r="CC114" s="477">
        <f t="shared" si="114"/>
        <v>0</v>
      </c>
      <c r="CD114" s="477">
        <f t="shared" si="114"/>
        <v>0</v>
      </c>
      <c r="CE114" s="477">
        <f t="shared" si="114"/>
        <v>0</v>
      </c>
      <c r="CF114" s="477">
        <f t="shared" si="114"/>
        <v>0</v>
      </c>
      <c r="CG114" s="477">
        <f t="shared" si="114"/>
        <v>0</v>
      </c>
      <c r="CH114" s="477">
        <f t="shared" si="114"/>
        <v>0</v>
      </c>
      <c r="CI114" s="477">
        <f t="shared" si="114"/>
        <v>0</v>
      </c>
      <c r="CJ114" s="477">
        <f t="shared" si="114"/>
        <v>0</v>
      </c>
      <c r="CK114" s="477">
        <f t="shared" si="114"/>
        <v>0</v>
      </c>
    </row>
    <row r="115" spans="2:89" outlineLevel="3">
      <c r="D115" s="478" t="s">
        <v>410</v>
      </c>
      <c r="E115" s="478"/>
      <c r="F115" s="478"/>
      <c r="G115" s="478"/>
      <c r="H115" s="478"/>
      <c r="I115" s="478"/>
      <c r="J115" s="478"/>
      <c r="K115" s="478"/>
      <c r="L115" s="478"/>
      <c r="M115" s="478"/>
      <c r="N115" s="478"/>
      <c r="O115" s="478"/>
      <c r="P115" s="478"/>
      <c r="Q115" s="478"/>
      <c r="R115" s="477"/>
      <c r="S115" s="477"/>
      <c r="T115" s="477"/>
      <c r="U115" s="477"/>
      <c r="X115" s="477"/>
      <c r="Y115" s="477"/>
      <c r="Z115" s="477"/>
      <c r="AA115" s="477"/>
      <c r="AB115" s="477"/>
      <c r="AC115" s="477"/>
      <c r="AD115" s="477"/>
      <c r="AE115" s="477"/>
      <c r="AF115" s="477"/>
      <c r="AG115" s="477"/>
      <c r="AH115" s="477"/>
      <c r="AI115" s="477"/>
      <c r="AJ115" s="477"/>
      <c r="AK115" s="477"/>
      <c r="AL115" s="477"/>
      <c r="AM115" s="477"/>
      <c r="AO115" s="368"/>
      <c r="AP115" s="477">
        <f t="shared" ref="AP115:CK115" si="115">AP10+SUMPRODUCT(AP53:AP58,AP39:AP44)-SUM(AP107:AP108)</f>
        <v>0</v>
      </c>
      <c r="AQ115" s="477">
        <f t="shared" si="115"/>
        <v>0</v>
      </c>
      <c r="AR115" s="477">
        <f t="shared" si="115"/>
        <v>0</v>
      </c>
      <c r="AS115" s="477">
        <f t="shared" si="115"/>
        <v>0</v>
      </c>
      <c r="AT115" s="477">
        <f t="shared" si="115"/>
        <v>0</v>
      </c>
      <c r="AU115" s="477">
        <f t="shared" si="115"/>
        <v>0</v>
      </c>
      <c r="AV115" s="477">
        <f t="shared" si="115"/>
        <v>0</v>
      </c>
      <c r="AW115" s="477">
        <f t="shared" si="115"/>
        <v>0</v>
      </c>
      <c r="AX115" s="477">
        <f t="shared" si="115"/>
        <v>0</v>
      </c>
      <c r="AY115" s="477">
        <f t="shared" si="115"/>
        <v>0</v>
      </c>
      <c r="AZ115" s="477">
        <f t="shared" si="115"/>
        <v>0</v>
      </c>
      <c r="BA115" s="477">
        <f t="shared" si="115"/>
        <v>0</v>
      </c>
      <c r="BB115" s="477">
        <f t="shared" si="115"/>
        <v>0</v>
      </c>
      <c r="BC115" s="477">
        <f t="shared" si="115"/>
        <v>0</v>
      </c>
      <c r="BD115" s="477">
        <f t="shared" si="115"/>
        <v>0</v>
      </c>
      <c r="BE115" s="477">
        <f t="shared" si="115"/>
        <v>0</v>
      </c>
      <c r="BF115" s="477">
        <f t="shared" si="115"/>
        <v>0</v>
      </c>
      <c r="BG115" s="477">
        <f t="shared" si="115"/>
        <v>0</v>
      </c>
      <c r="BH115" s="477">
        <f t="shared" si="115"/>
        <v>0</v>
      </c>
      <c r="BI115" s="477">
        <f t="shared" si="115"/>
        <v>0</v>
      </c>
      <c r="BJ115" s="477">
        <f t="shared" si="115"/>
        <v>0</v>
      </c>
      <c r="BK115" s="477">
        <f t="shared" si="115"/>
        <v>0</v>
      </c>
      <c r="BL115" s="477">
        <f t="shared" si="115"/>
        <v>0</v>
      </c>
      <c r="BM115" s="477">
        <f t="shared" si="115"/>
        <v>0</v>
      </c>
      <c r="BN115" s="477">
        <f t="shared" si="115"/>
        <v>0</v>
      </c>
      <c r="BO115" s="477">
        <f t="shared" si="115"/>
        <v>0</v>
      </c>
      <c r="BP115" s="477">
        <f t="shared" si="115"/>
        <v>0</v>
      </c>
      <c r="BQ115" s="477">
        <f t="shared" si="115"/>
        <v>0</v>
      </c>
      <c r="BR115" s="477">
        <f t="shared" si="115"/>
        <v>0</v>
      </c>
      <c r="BS115" s="477">
        <f t="shared" si="115"/>
        <v>0</v>
      </c>
      <c r="BT115" s="477">
        <f t="shared" si="115"/>
        <v>0</v>
      </c>
      <c r="BU115" s="477">
        <f t="shared" si="115"/>
        <v>0</v>
      </c>
      <c r="BV115" s="477">
        <f t="shared" si="115"/>
        <v>0</v>
      </c>
      <c r="BW115" s="477">
        <f t="shared" si="115"/>
        <v>0</v>
      </c>
      <c r="BX115" s="477">
        <f t="shared" si="115"/>
        <v>0</v>
      </c>
      <c r="BY115" s="477">
        <f t="shared" si="115"/>
        <v>0</v>
      </c>
      <c r="BZ115" s="477">
        <f t="shared" si="115"/>
        <v>0</v>
      </c>
      <c r="CA115" s="477">
        <f t="shared" si="115"/>
        <v>0</v>
      </c>
      <c r="CB115" s="477">
        <f t="shared" si="115"/>
        <v>0</v>
      </c>
      <c r="CC115" s="477">
        <f t="shared" si="115"/>
        <v>0</v>
      </c>
      <c r="CD115" s="477">
        <f t="shared" si="115"/>
        <v>0</v>
      </c>
      <c r="CE115" s="477">
        <f t="shared" si="115"/>
        <v>0</v>
      </c>
      <c r="CF115" s="477">
        <f t="shared" si="115"/>
        <v>0</v>
      </c>
      <c r="CG115" s="477">
        <f t="shared" si="115"/>
        <v>0</v>
      </c>
      <c r="CH115" s="477">
        <f t="shared" si="115"/>
        <v>0</v>
      </c>
      <c r="CI115" s="477">
        <f t="shared" si="115"/>
        <v>0</v>
      </c>
      <c r="CJ115" s="477">
        <f t="shared" si="115"/>
        <v>0</v>
      </c>
      <c r="CK115" s="477">
        <f t="shared" si="115"/>
        <v>0</v>
      </c>
    </row>
    <row r="117" spans="2:89" s="51" customFormat="1" ht="24" collapsed="1">
      <c r="B117" s="476" t="s">
        <v>411</v>
      </c>
      <c r="C117" s="475"/>
      <c r="D117" s="475"/>
      <c r="E117" s="475"/>
      <c r="F117" s="475"/>
      <c r="G117" s="475"/>
      <c r="H117" s="475"/>
      <c r="I117" s="475"/>
      <c r="J117" s="475"/>
      <c r="K117" s="475"/>
      <c r="L117" s="475"/>
      <c r="M117" s="475"/>
      <c r="N117" s="475"/>
      <c r="O117" s="475"/>
      <c r="R117" s="475"/>
      <c r="S117" s="475"/>
      <c r="T117" s="475"/>
      <c r="U117" s="475"/>
      <c r="X117" s="475"/>
      <c r="Y117" s="475"/>
      <c r="Z117" s="475"/>
      <c r="AA117" s="475"/>
      <c r="AB117" s="475"/>
      <c r="AC117" s="475"/>
      <c r="AD117" s="475"/>
      <c r="AE117" s="475"/>
      <c r="AF117" s="475"/>
      <c r="AG117" s="475"/>
      <c r="AH117" s="475"/>
      <c r="AI117" s="475"/>
      <c r="AJ117" s="475"/>
      <c r="AK117" s="475"/>
      <c r="AL117" s="475"/>
      <c r="AM117" s="475"/>
      <c r="AP117" s="475"/>
      <c r="AQ117" s="475"/>
      <c r="AR117" s="475"/>
      <c r="AS117" s="475"/>
      <c r="AT117" s="475"/>
      <c r="AU117" s="475"/>
      <c r="AV117" s="475"/>
      <c r="AW117" s="475"/>
      <c r="AX117" s="475"/>
      <c r="AY117" s="475"/>
      <c r="AZ117" s="475"/>
      <c r="BA117" s="475"/>
      <c r="BB117" s="475"/>
      <c r="BC117" s="475"/>
      <c r="BD117" s="475"/>
      <c r="BE117" s="475"/>
      <c r="BF117" s="475"/>
      <c r="BG117" s="475"/>
      <c r="BH117" s="475"/>
      <c r="BI117" s="475"/>
      <c r="BJ117" s="475"/>
      <c r="BK117" s="475"/>
      <c r="BL117" s="475"/>
      <c r="BM117" s="475"/>
      <c r="BN117" s="475"/>
      <c r="BO117" s="475"/>
      <c r="BP117" s="475"/>
      <c r="BQ117" s="475"/>
      <c r="BR117" s="475"/>
      <c r="BS117" s="475"/>
      <c r="BT117" s="475"/>
      <c r="BU117" s="475"/>
      <c r="BV117" s="475"/>
      <c r="BW117" s="475"/>
      <c r="BX117" s="475"/>
      <c r="BY117" s="475"/>
      <c r="BZ117" s="475"/>
      <c r="CA117" s="475"/>
      <c r="CB117" s="475"/>
      <c r="CC117" s="475"/>
      <c r="CD117" s="475"/>
      <c r="CE117" s="475"/>
      <c r="CF117" s="475"/>
      <c r="CG117" s="475"/>
      <c r="CH117" s="475"/>
      <c r="CI117" s="475"/>
      <c r="CJ117" s="475"/>
      <c r="CK117" s="475"/>
    </row>
    <row r="118" spans="2:89" hidden="1" outlineLevel="2">
      <c r="D118" s="383" t="s">
        <v>412</v>
      </c>
      <c r="E118" s="474">
        <v>0.08</v>
      </c>
      <c r="F118" s="472" t="s">
        <v>413</v>
      </c>
    </row>
    <row r="119" spans="2:89" hidden="1" outlineLevel="2">
      <c r="D119" s="383" t="s">
        <v>195</v>
      </c>
      <c r="E119" s="474">
        <v>0.1</v>
      </c>
      <c r="F119" s="472" t="s">
        <v>413</v>
      </c>
    </row>
    <row r="120" spans="2:89" hidden="1" outlineLevel="2">
      <c r="D120" s="383" t="s">
        <v>197</v>
      </c>
      <c r="E120" s="473">
        <v>2.5000000000000001E-3</v>
      </c>
      <c r="F120" s="472" t="s">
        <v>413</v>
      </c>
    </row>
    <row r="121" spans="2:89" hidden="1" outlineLevel="2">
      <c r="D121" s="383" t="s">
        <v>414</v>
      </c>
      <c r="E121" s="471">
        <v>366</v>
      </c>
    </row>
    <row r="123" span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row>
    <row r="124" span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row>
    <row r="125" span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289"/>
      <c r="BV125" s="289"/>
      <c r="BW125" s="289"/>
    </row>
    <row r="126" spans="2:89">
      <c r="AP126" s="289"/>
      <c r="AQ126" s="289"/>
      <c r="AR126" s="289"/>
      <c r="AS126" s="289"/>
      <c r="AT126" s="289"/>
      <c r="AU126" s="289"/>
      <c r="AV126" s="289"/>
      <c r="AW126" s="289"/>
      <c r="AX126" s="289"/>
      <c r="AY126" s="289"/>
      <c r="AZ126" s="289"/>
      <c r="BA126" s="289"/>
      <c r="BB126" s="289"/>
      <c r="BC126" s="289"/>
      <c r="BD126" s="289"/>
      <c r="BE126" s="289"/>
      <c r="BF126" s="289"/>
      <c r="BG126" s="289"/>
      <c r="BH126" s="289"/>
      <c r="BI126" s="289"/>
      <c r="BJ126" s="289"/>
      <c r="BK126" s="289"/>
      <c r="BL126" s="289"/>
      <c r="BM126" s="289"/>
      <c r="BN126" s="289"/>
      <c r="BO126" s="289"/>
      <c r="BP126" s="289"/>
      <c r="BQ126" s="289"/>
      <c r="BR126" s="289"/>
      <c r="BS126" s="289"/>
      <c r="BT126" s="289"/>
      <c r="BU126" s="289"/>
      <c r="BV126" s="289"/>
      <c r="BW126" s="289"/>
    </row>
  </sheetData>
  <mergeCells count="3">
    <mergeCell ref="Q2:Q8"/>
    <mergeCell ref="W2:W8"/>
    <mergeCell ref="AO2:AO8"/>
  </mergeCells>
  <phoneticPr fontId="50" type="noConversion"/>
  <dataValidations count="3">
    <dataValidation type="list" allowBlank="1" showInputMessage="1" showErrorMessage="1" sqref="O11:O35" xr:uid="{A93DAF17-B4E2-4355-BFF9-618CF85D892F}">
      <formula1>"FTE, Consultant"</formula1>
    </dataValidation>
    <dataValidation type="list" allowBlank="1" showInputMessage="1" showErrorMessage="1" sqref="G11:G20" xr:uid="{B5B9E44A-3E9C-D54A-84BB-4BE9A4D2FF44}">
      <formula1>"General &amp; Administrative,Sales &amp; Marketing,Engineering,Product,Customer Support"</formula1>
    </dataValidation>
    <dataValidation type="list" allowBlank="1" showInputMessage="1" showErrorMessage="1" sqref="H11:H20" xr:uid="{F974FC84-C301-E242-9CC1-F168FF1865F8}">
      <formula1>"USA,Overseas"</formula1>
    </dataValidation>
  </dataValidations>
  <pageMargins left="0.7" right="0.7" top="0.75" bottom="0.75" header="0.3" footer="0.3"/>
  <pageSetup orientation="portrait" r:id="rId1"/>
  <customProperties>
    <customPr name="sourceTemplate"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9AD4B-234D-466C-9A1C-3DEE8CDBB51D}">
  <sheetPr>
    <tabColor theme="3" tint="0.89999084444715716"/>
    <outlinePr summaryBelow="0" summaryRight="0"/>
  </sheetPr>
  <dimension ref="A1:CA402"/>
  <sheetViews>
    <sheetView showGridLines="0" zoomScale="80" zoomScaleNormal="80" workbookViewId="0">
      <pane xSplit="6" ySplit="8" topLeftCell="BJ9" activePane="bottomRight" state="frozen"/>
      <selection pane="topRight" activeCell="G1" sqref="G1"/>
      <selection pane="bottomLeft" activeCell="A9" sqref="A9"/>
      <selection pane="bottomRight" activeCell="BQ126" sqref="BQ126"/>
    </sheetView>
  </sheetViews>
  <sheetFormatPr defaultColWidth="9.28515625" defaultRowHeight="18.75" customHeight="1" outlineLevelRow="3" outlineLevelCol="2"/>
  <cols>
    <col min="1" max="1" width="2.42578125" style="50" customWidth="1"/>
    <col min="2" max="2" width="2.42578125" style="356" customWidth="1"/>
    <col min="3" max="3" width="2.42578125" style="355" customWidth="1"/>
    <col min="4" max="4" width="21.28515625" style="50" bestFit="1" customWidth="1"/>
    <col min="5" max="5" width="14" style="372" bestFit="1" customWidth="1" outlineLevel="2"/>
    <col min="6" max="6" width="2.7109375" style="55" customWidth="1"/>
    <col min="7" max="7" width="11.28515625" style="50" customWidth="1" outlineLevel="2"/>
    <col min="8" max="9" width="12.42578125" style="50" customWidth="1" outlineLevel="2"/>
    <col min="10" max="10" width="13.85546875" style="50" customWidth="1" outlineLevel="2"/>
    <col min="11" max="11" width="2.7109375" style="50" customWidth="1"/>
    <col min="12" max="12" width="3.7109375" style="55" bestFit="1" customWidth="1"/>
    <col min="13" max="15" width="11.140625" style="50" customWidth="1" outlineLevel="2"/>
    <col min="16" max="16" width="11.28515625" style="50" customWidth="1" outlineLevel="2"/>
    <col min="17" max="19" width="11.140625" style="50" customWidth="1" outlineLevel="2"/>
    <col min="20" max="20" width="11.28515625" style="50" customWidth="1" outlineLevel="2"/>
    <col min="21" max="23" width="11.140625" style="50" customWidth="1" outlineLevel="2"/>
    <col min="24" max="25" width="12.28515625" style="50" customWidth="1" outlineLevel="2"/>
    <col min="26" max="28" width="13.85546875" style="50" customWidth="1" outlineLevel="2"/>
    <col min="29" max="29" width="2.7109375" style="50" customWidth="1"/>
    <col min="30" max="30" width="3.7109375" style="55" bestFit="1" customWidth="1"/>
    <col min="31" max="39" width="10" style="50" bestFit="1" customWidth="1" outlineLevel="1"/>
    <col min="40" max="42" width="11.140625" style="50" bestFit="1" customWidth="1" outlineLevel="1"/>
    <col min="43" max="51" width="10" style="50" bestFit="1" customWidth="1" outlineLevel="1"/>
    <col min="52" max="54" width="11.140625" style="50" bestFit="1" customWidth="1" outlineLevel="1"/>
    <col min="55" max="63" width="10" style="50" bestFit="1" customWidth="1" outlineLevel="1"/>
    <col min="64" max="66" width="11.140625" style="50" bestFit="1" customWidth="1" outlineLevel="1"/>
    <col min="67" max="67" width="10.42578125" style="50" bestFit="1" customWidth="1" outlineLevel="1"/>
    <col min="68" max="71" width="11.28515625" style="50" bestFit="1" customWidth="1" outlineLevel="1"/>
    <col min="72" max="78" width="12.85546875" style="50" bestFit="1" customWidth="1" outlineLevel="1"/>
    <col min="79" max="79" width="3.7109375" style="50" customWidth="1"/>
    <col min="80" max="16384" width="9.28515625" style="50"/>
  </cols>
  <sheetData>
    <row r="1" spans="1:79" ht="21" customHeight="1">
      <c r="A1" s="193" t="str">
        <f>Company_Name</f>
        <v>Model Wiz Demo *</v>
      </c>
      <c r="E1" s="535"/>
    </row>
    <row r="2" spans="1:79" s="8" customFormat="1" ht="21" customHeight="1">
      <c r="A2" s="148" t="str" cm="1">
        <f t="array" aca="1" ref="A2" ca="1">IFERROR(MID(CELL("filename",A1),FIND("]",CELL("filename",A1))+1,LEN(CELL("filename",A1))),"")</f>
        <v>Deferred Revenue</v>
      </c>
      <c r="B2" s="356"/>
      <c r="C2" s="355"/>
      <c r="D2" s="50"/>
      <c r="E2" s="372"/>
      <c r="F2" s="853" t="s">
        <v>159</v>
      </c>
      <c r="G2" s="148"/>
      <c r="H2" s="148"/>
      <c r="I2" s="148"/>
      <c r="J2" s="148"/>
      <c r="K2" s="148"/>
      <c r="L2" s="853" t="s">
        <v>160</v>
      </c>
      <c r="M2" s="403"/>
      <c r="N2" s="148"/>
      <c r="O2" s="148"/>
      <c r="P2" s="148"/>
      <c r="Q2" s="148"/>
      <c r="R2" s="148"/>
      <c r="S2" s="148"/>
      <c r="T2" s="148"/>
      <c r="U2" s="148"/>
      <c r="V2" s="148"/>
      <c r="W2" s="148"/>
      <c r="X2" s="148"/>
      <c r="Y2" s="148"/>
      <c r="Z2" s="148"/>
      <c r="AA2" s="148"/>
      <c r="AB2" s="148"/>
      <c r="AC2" s="407"/>
      <c r="AD2" s="853" t="s">
        <v>161</v>
      </c>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50"/>
    </row>
    <row r="3" spans="1:79" s="8" customFormat="1" ht="21" customHeight="1" collapsed="1">
      <c r="A3" s="192" t="str">
        <f>Error_Check</f>
        <v>Model Functioning Properly</v>
      </c>
      <c r="B3" s="356"/>
      <c r="C3" s="355"/>
      <c r="D3" s="50"/>
      <c r="E3" s="372"/>
      <c r="F3" s="853"/>
      <c r="G3" s="405" t="str">
        <f>IF(G$5&lt;=_xlfn.SINGLE(LatestMonthOfActuals),"Actual","Projected")</f>
        <v>Actual</v>
      </c>
      <c r="H3" s="405" t="str">
        <f>IF(H$5&lt;=_xlfn.SINGLE(LatestMonthOfActuals),"Actual","Projected")</f>
        <v>Actual</v>
      </c>
      <c r="I3" s="405" t="str">
        <f>IF(I$5&lt;=_xlfn.SINGLE(LatestMonthOfActuals),"Actual","Projected")</f>
        <v>Projected</v>
      </c>
      <c r="J3" s="405" t="str">
        <f>IF(J$5&lt;=_xlfn.SINGLE(LatestMonthOfActuals),"Actual","Projected")</f>
        <v>Projected</v>
      </c>
      <c r="K3" s="148"/>
      <c r="L3" s="853"/>
      <c r="M3" s="405" t="str">
        <f t="shared" ref="M3:AB3" si="0">IF(M$5&lt;=_xlfn.SINGLE(LatestMonthOfActuals),"Actual","Projected")</f>
        <v>Actual</v>
      </c>
      <c r="N3" s="405" t="str">
        <f t="shared" si="0"/>
        <v>Actual</v>
      </c>
      <c r="O3" s="405" t="str">
        <f t="shared" si="0"/>
        <v>Actual</v>
      </c>
      <c r="P3" s="405" t="str">
        <f t="shared" si="0"/>
        <v>Actual</v>
      </c>
      <c r="Q3" s="405" t="str">
        <f t="shared" si="0"/>
        <v>Actual</v>
      </c>
      <c r="R3" s="405" t="str">
        <f t="shared" si="0"/>
        <v>Actual</v>
      </c>
      <c r="S3" s="405" t="str">
        <f t="shared" si="0"/>
        <v>Actual</v>
      </c>
      <c r="T3" s="405" t="str">
        <f t="shared" si="0"/>
        <v>Actual</v>
      </c>
      <c r="U3" s="405" t="str">
        <f t="shared" si="0"/>
        <v>Actual</v>
      </c>
      <c r="V3" s="405" t="str">
        <f t="shared" si="0"/>
        <v>Actual</v>
      </c>
      <c r="W3" s="405" t="str">
        <f t="shared" si="0"/>
        <v>Actual</v>
      </c>
      <c r="X3" s="405" t="str">
        <f t="shared" si="0"/>
        <v>Projected</v>
      </c>
      <c r="Y3" s="405" t="str">
        <f t="shared" si="0"/>
        <v>Projected</v>
      </c>
      <c r="Z3" s="405" t="str">
        <f t="shared" si="0"/>
        <v>Projected</v>
      </c>
      <c r="AA3" s="405" t="str">
        <f t="shared" si="0"/>
        <v>Projected</v>
      </c>
      <c r="AB3" s="405" t="str">
        <f t="shared" si="0"/>
        <v>Projected</v>
      </c>
      <c r="AC3" s="406"/>
      <c r="AD3" s="853"/>
      <c r="AE3" s="405" t="str">
        <f t="shared" ref="AE3:BZ3" si="1">IF(AE$5&lt;=_xlfn.SINGLE(LatestMonthOfActuals),"Actual","Projected")</f>
        <v>Actual</v>
      </c>
      <c r="AF3" s="405" t="str">
        <f t="shared" si="1"/>
        <v>Actual</v>
      </c>
      <c r="AG3" s="405" t="str">
        <f t="shared" si="1"/>
        <v>Actual</v>
      </c>
      <c r="AH3" s="405" t="str">
        <f t="shared" si="1"/>
        <v>Actual</v>
      </c>
      <c r="AI3" s="405" t="str">
        <f t="shared" si="1"/>
        <v>Actual</v>
      </c>
      <c r="AJ3" s="405" t="str">
        <f t="shared" si="1"/>
        <v>Actual</v>
      </c>
      <c r="AK3" s="405" t="str">
        <f t="shared" si="1"/>
        <v>Actual</v>
      </c>
      <c r="AL3" s="405" t="str">
        <f t="shared" si="1"/>
        <v>Actual</v>
      </c>
      <c r="AM3" s="405" t="str">
        <f t="shared" si="1"/>
        <v>Actual</v>
      </c>
      <c r="AN3" s="405" t="str">
        <f t="shared" si="1"/>
        <v>Actual</v>
      </c>
      <c r="AO3" s="405" t="str">
        <f t="shared" si="1"/>
        <v>Actual</v>
      </c>
      <c r="AP3" s="405" t="str">
        <f>IF(AR$5&lt;=_xlfn.SINGLE(LatestMonthOfActuals),"Actual","Projected")</f>
        <v>Actual</v>
      </c>
      <c r="AQ3" s="405" t="str">
        <f t="shared" si="1"/>
        <v>Actual</v>
      </c>
      <c r="AR3" s="405" t="str">
        <f t="shared" si="1"/>
        <v>Actual</v>
      </c>
      <c r="AS3" s="405" t="str">
        <f t="shared" si="1"/>
        <v>Actual</v>
      </c>
      <c r="AT3" s="405" t="str">
        <f t="shared" si="1"/>
        <v>Actual</v>
      </c>
      <c r="AU3" s="405" t="str">
        <f t="shared" si="1"/>
        <v>Actual</v>
      </c>
      <c r="AV3" s="405" t="str">
        <f t="shared" si="1"/>
        <v>Actual</v>
      </c>
      <c r="AW3" s="405" t="str">
        <f t="shared" si="1"/>
        <v>Actual</v>
      </c>
      <c r="AX3" s="405" t="str">
        <f t="shared" si="1"/>
        <v>Actual</v>
      </c>
      <c r="AY3" s="405" t="str">
        <f t="shared" si="1"/>
        <v>Actual</v>
      </c>
      <c r="AZ3" s="405" t="str">
        <f t="shared" si="1"/>
        <v>Actual</v>
      </c>
      <c r="BA3" s="405" t="str">
        <f t="shared" si="1"/>
        <v>Actual</v>
      </c>
      <c r="BB3" s="405" t="str">
        <f t="shared" si="1"/>
        <v>Actual</v>
      </c>
      <c r="BC3" s="405" t="str">
        <f t="shared" si="1"/>
        <v>Actual</v>
      </c>
      <c r="BD3" s="405" t="str">
        <f t="shared" si="1"/>
        <v>Actual</v>
      </c>
      <c r="BE3" s="405" t="str">
        <f t="shared" si="1"/>
        <v>Actual</v>
      </c>
      <c r="BF3" s="405" t="str">
        <f t="shared" si="1"/>
        <v>Actual</v>
      </c>
      <c r="BG3" s="405" t="str">
        <f t="shared" si="1"/>
        <v>Actual</v>
      </c>
      <c r="BH3" s="405" t="str">
        <f t="shared" si="1"/>
        <v>Actual</v>
      </c>
      <c r="BI3" s="405" t="str">
        <f t="shared" si="1"/>
        <v>Actual</v>
      </c>
      <c r="BJ3" s="405" t="str">
        <f t="shared" si="1"/>
        <v>Actual</v>
      </c>
      <c r="BK3" s="405" t="str">
        <f t="shared" si="1"/>
        <v>Actual</v>
      </c>
      <c r="BL3" s="405" t="str">
        <f t="shared" si="1"/>
        <v>Actual</v>
      </c>
      <c r="BM3" s="405" t="str">
        <f t="shared" si="1"/>
        <v>Actual</v>
      </c>
      <c r="BN3" s="405" t="str">
        <f t="shared" si="1"/>
        <v>Projected</v>
      </c>
      <c r="BO3" s="405" t="str">
        <f t="shared" si="1"/>
        <v>Projected</v>
      </c>
      <c r="BP3" s="405" t="str">
        <f t="shared" si="1"/>
        <v>Projected</v>
      </c>
      <c r="BQ3" s="405" t="str">
        <f t="shared" si="1"/>
        <v>Projected</v>
      </c>
      <c r="BR3" s="405" t="str">
        <f t="shared" si="1"/>
        <v>Projected</v>
      </c>
      <c r="BS3" s="405" t="str">
        <f t="shared" si="1"/>
        <v>Projected</v>
      </c>
      <c r="BT3" s="405" t="str">
        <f t="shared" si="1"/>
        <v>Projected</v>
      </c>
      <c r="BU3" s="405" t="str">
        <f t="shared" si="1"/>
        <v>Projected</v>
      </c>
      <c r="BV3" s="405" t="str">
        <f t="shared" si="1"/>
        <v>Projected</v>
      </c>
      <c r="BW3" s="405" t="str">
        <f t="shared" si="1"/>
        <v>Projected</v>
      </c>
      <c r="BX3" s="405" t="str">
        <f t="shared" si="1"/>
        <v>Projected</v>
      </c>
      <c r="BY3" s="405" t="str">
        <f t="shared" si="1"/>
        <v>Projected</v>
      </c>
      <c r="BZ3" s="405" t="str">
        <f t="shared" si="1"/>
        <v>Projected</v>
      </c>
      <c r="CA3" s="50"/>
    </row>
    <row r="4" spans="1:79" s="534" customFormat="1" ht="18" hidden="1" customHeight="1" outlineLevel="2">
      <c r="A4" s="50"/>
      <c r="B4" s="356"/>
      <c r="C4" s="355"/>
      <c r="D4" s="50"/>
      <c r="E4" s="372"/>
      <c r="F4" s="853"/>
      <c r="G4" s="403">
        <f>Start_Date</f>
        <v>44927</v>
      </c>
      <c r="H4" s="403">
        <f>G5+1</f>
        <v>45292</v>
      </c>
      <c r="I4" s="403">
        <f>H5+1</f>
        <v>45658</v>
      </c>
      <c r="J4" s="403">
        <f>I5+1</f>
        <v>46023</v>
      </c>
      <c r="K4" s="148"/>
      <c r="L4" s="853"/>
      <c r="M4" s="403">
        <f>Start_Date</f>
        <v>44927</v>
      </c>
      <c r="N4" s="402">
        <f t="shared" ref="N4:AB4" si="2">M5+1</f>
        <v>45017</v>
      </c>
      <c r="O4" s="402">
        <f t="shared" si="2"/>
        <v>45108</v>
      </c>
      <c r="P4" s="402">
        <f t="shared" si="2"/>
        <v>45200</v>
      </c>
      <c r="Q4" s="402">
        <f t="shared" si="2"/>
        <v>45292</v>
      </c>
      <c r="R4" s="402">
        <f t="shared" si="2"/>
        <v>45383</v>
      </c>
      <c r="S4" s="402">
        <f t="shared" si="2"/>
        <v>45474</v>
      </c>
      <c r="T4" s="402">
        <f t="shared" si="2"/>
        <v>45566</v>
      </c>
      <c r="U4" s="402">
        <f t="shared" si="2"/>
        <v>45658</v>
      </c>
      <c r="V4" s="402">
        <f t="shared" si="2"/>
        <v>45748</v>
      </c>
      <c r="W4" s="402">
        <f t="shared" si="2"/>
        <v>45839</v>
      </c>
      <c r="X4" s="402">
        <f t="shared" si="2"/>
        <v>45931</v>
      </c>
      <c r="Y4" s="402">
        <f t="shared" si="2"/>
        <v>46023</v>
      </c>
      <c r="Z4" s="402">
        <f t="shared" si="2"/>
        <v>46113</v>
      </c>
      <c r="AA4" s="402">
        <f t="shared" si="2"/>
        <v>46204</v>
      </c>
      <c r="AB4" s="402">
        <f t="shared" si="2"/>
        <v>46296</v>
      </c>
      <c r="AC4" s="404"/>
      <c r="AD4" s="853"/>
      <c r="AE4" s="403">
        <f>Start_Date</f>
        <v>44927</v>
      </c>
      <c r="AF4" s="403">
        <f t="shared" ref="AF4:BZ4" si="3">EOMONTH(AF5,-1)+1</f>
        <v>44958</v>
      </c>
      <c r="AG4" s="403">
        <f t="shared" si="3"/>
        <v>44986</v>
      </c>
      <c r="AH4" s="403">
        <f t="shared" si="3"/>
        <v>45017</v>
      </c>
      <c r="AI4" s="403">
        <f t="shared" si="3"/>
        <v>45047</v>
      </c>
      <c r="AJ4" s="403">
        <f t="shared" si="3"/>
        <v>45078</v>
      </c>
      <c r="AK4" s="403">
        <f t="shared" si="3"/>
        <v>45108</v>
      </c>
      <c r="AL4" s="403">
        <f t="shared" si="3"/>
        <v>45139</v>
      </c>
      <c r="AM4" s="403">
        <f t="shared" si="3"/>
        <v>45170</v>
      </c>
      <c r="AN4" s="403">
        <f t="shared" si="3"/>
        <v>45200</v>
      </c>
      <c r="AO4" s="403">
        <f t="shared" si="3"/>
        <v>45231</v>
      </c>
      <c r="AP4" s="403">
        <f>EOMONTH(AR5,-1)+1</f>
        <v>45323</v>
      </c>
      <c r="AQ4" s="403">
        <f t="shared" si="3"/>
        <v>45292</v>
      </c>
      <c r="AR4" s="403">
        <f t="shared" si="3"/>
        <v>45323</v>
      </c>
      <c r="AS4" s="403">
        <f t="shared" si="3"/>
        <v>45352</v>
      </c>
      <c r="AT4" s="403">
        <f t="shared" si="3"/>
        <v>45383</v>
      </c>
      <c r="AU4" s="403">
        <f t="shared" si="3"/>
        <v>45413</v>
      </c>
      <c r="AV4" s="403">
        <f t="shared" si="3"/>
        <v>45444</v>
      </c>
      <c r="AW4" s="403">
        <f t="shared" si="3"/>
        <v>45474</v>
      </c>
      <c r="AX4" s="403">
        <f t="shared" si="3"/>
        <v>45505</v>
      </c>
      <c r="AY4" s="403">
        <f t="shared" si="3"/>
        <v>45536</v>
      </c>
      <c r="AZ4" s="403">
        <f t="shared" si="3"/>
        <v>45566</v>
      </c>
      <c r="BA4" s="403">
        <f t="shared" si="3"/>
        <v>45597</v>
      </c>
      <c r="BB4" s="403">
        <f t="shared" si="3"/>
        <v>45627</v>
      </c>
      <c r="BC4" s="403">
        <f t="shared" si="3"/>
        <v>45658</v>
      </c>
      <c r="BD4" s="403">
        <f t="shared" si="3"/>
        <v>45689</v>
      </c>
      <c r="BE4" s="403">
        <f t="shared" si="3"/>
        <v>45717</v>
      </c>
      <c r="BF4" s="403">
        <f t="shared" si="3"/>
        <v>45748</v>
      </c>
      <c r="BG4" s="403">
        <f t="shared" si="3"/>
        <v>45778</v>
      </c>
      <c r="BH4" s="403">
        <f t="shared" si="3"/>
        <v>45809</v>
      </c>
      <c r="BI4" s="403">
        <f t="shared" si="3"/>
        <v>45839</v>
      </c>
      <c r="BJ4" s="403">
        <f t="shared" si="3"/>
        <v>45870</v>
      </c>
      <c r="BK4" s="403">
        <f t="shared" si="3"/>
        <v>45901</v>
      </c>
      <c r="BL4" s="403">
        <f t="shared" si="3"/>
        <v>45931</v>
      </c>
      <c r="BM4" s="403">
        <f t="shared" si="3"/>
        <v>45962</v>
      </c>
      <c r="BN4" s="403">
        <f t="shared" si="3"/>
        <v>45992</v>
      </c>
      <c r="BO4" s="403">
        <f t="shared" si="3"/>
        <v>46023</v>
      </c>
      <c r="BP4" s="403">
        <f t="shared" si="3"/>
        <v>46054</v>
      </c>
      <c r="BQ4" s="403">
        <f t="shared" si="3"/>
        <v>46082</v>
      </c>
      <c r="BR4" s="403">
        <f t="shared" si="3"/>
        <v>46113</v>
      </c>
      <c r="BS4" s="403">
        <f t="shared" si="3"/>
        <v>46143</v>
      </c>
      <c r="BT4" s="403">
        <f t="shared" si="3"/>
        <v>46174</v>
      </c>
      <c r="BU4" s="403">
        <f t="shared" si="3"/>
        <v>46204</v>
      </c>
      <c r="BV4" s="403">
        <f t="shared" si="3"/>
        <v>46235</v>
      </c>
      <c r="BW4" s="403">
        <f t="shared" si="3"/>
        <v>46266</v>
      </c>
      <c r="BX4" s="403">
        <f t="shared" si="3"/>
        <v>46296</v>
      </c>
      <c r="BY4" s="403">
        <f t="shared" si="3"/>
        <v>46327</v>
      </c>
      <c r="BZ4" s="403">
        <f t="shared" si="3"/>
        <v>46357</v>
      </c>
      <c r="CA4" s="50"/>
    </row>
    <row r="5" spans="1:79" s="534" customFormat="1" ht="21" hidden="1" customHeight="1" outlineLevel="2">
      <c r="A5" s="50"/>
      <c r="B5" s="356"/>
      <c r="C5" s="355"/>
      <c r="D5" s="50"/>
      <c r="E5" s="372"/>
      <c r="F5" s="853"/>
      <c r="G5" s="403">
        <f>EOMONTH(DATE(YEAR(Start_Date),1,1),Fiscal_Offset+IF(M6&lt;YEAR(Start_Date),-1,11))</f>
        <v>45291</v>
      </c>
      <c r="H5" s="402">
        <f>MIN(EOMONTH(G5,12),End_Date)</f>
        <v>45657</v>
      </c>
      <c r="I5" s="402">
        <f>MIN(EOMONTH(H5,12),End_Date)</f>
        <v>46022</v>
      </c>
      <c r="J5" s="402">
        <f>MIN(EOMONTH(I5,12),End_Date)</f>
        <v>46387</v>
      </c>
      <c r="K5" s="148"/>
      <c r="L5" s="853"/>
      <c r="M5" s="402">
        <f>EOMONTH(DATE(YEAR(Start_Date),1,1),MOD(ROUNDUP(MONTH(EOMONTH(Start_Date,-Fiscal_Offset))/3,0)*3+Fiscal_Offset-1,12))</f>
        <v>45016</v>
      </c>
      <c r="N5" s="402">
        <f t="shared" ref="N5:AB5" si="4">MIN(EOMONTH(N$4,2),End_Date)</f>
        <v>45107</v>
      </c>
      <c r="O5" s="402">
        <f t="shared" si="4"/>
        <v>45199</v>
      </c>
      <c r="P5" s="402">
        <f t="shared" si="4"/>
        <v>45291</v>
      </c>
      <c r="Q5" s="402">
        <f t="shared" si="4"/>
        <v>45382</v>
      </c>
      <c r="R5" s="402">
        <f t="shared" si="4"/>
        <v>45473</v>
      </c>
      <c r="S5" s="402">
        <f t="shared" si="4"/>
        <v>45565</v>
      </c>
      <c r="T5" s="402">
        <f t="shared" si="4"/>
        <v>45657</v>
      </c>
      <c r="U5" s="402">
        <f t="shared" si="4"/>
        <v>45747</v>
      </c>
      <c r="V5" s="402">
        <f t="shared" si="4"/>
        <v>45838</v>
      </c>
      <c r="W5" s="402">
        <f t="shared" si="4"/>
        <v>45930</v>
      </c>
      <c r="X5" s="402">
        <f t="shared" si="4"/>
        <v>46022</v>
      </c>
      <c r="Y5" s="402">
        <f t="shared" si="4"/>
        <v>46112</v>
      </c>
      <c r="Z5" s="402">
        <f t="shared" si="4"/>
        <v>46203</v>
      </c>
      <c r="AA5" s="402">
        <f t="shared" si="4"/>
        <v>46295</v>
      </c>
      <c r="AB5" s="402">
        <f t="shared" si="4"/>
        <v>46387</v>
      </c>
      <c r="AC5" s="404"/>
      <c r="AD5" s="853"/>
      <c r="AE5" s="403" cm="1">
        <f t="array" ref="AE5">EOM_Start_Date</f>
        <v>44957</v>
      </c>
      <c r="AF5" s="402">
        <f t="shared" ref="AF5:BZ5" si="5">EOMONTH(AE5,1)</f>
        <v>44985</v>
      </c>
      <c r="AG5" s="402">
        <f t="shared" si="5"/>
        <v>45016</v>
      </c>
      <c r="AH5" s="402">
        <f t="shared" si="5"/>
        <v>45046</v>
      </c>
      <c r="AI5" s="402">
        <f t="shared" si="5"/>
        <v>45077</v>
      </c>
      <c r="AJ5" s="402">
        <f t="shared" si="5"/>
        <v>45107</v>
      </c>
      <c r="AK5" s="402">
        <f t="shared" si="5"/>
        <v>45138</v>
      </c>
      <c r="AL5" s="402">
        <f t="shared" si="5"/>
        <v>45169</v>
      </c>
      <c r="AM5" s="402">
        <f t="shared" si="5"/>
        <v>45199</v>
      </c>
      <c r="AN5" s="402">
        <f t="shared" si="5"/>
        <v>45230</v>
      </c>
      <c r="AO5" s="402">
        <f t="shared" si="5"/>
        <v>45260</v>
      </c>
      <c r="AP5" s="402">
        <f t="shared" si="5"/>
        <v>45291</v>
      </c>
      <c r="AQ5" s="402">
        <f t="shared" si="5"/>
        <v>45322</v>
      </c>
      <c r="AR5" s="402">
        <f t="shared" si="5"/>
        <v>45351</v>
      </c>
      <c r="AS5" s="402">
        <f t="shared" si="5"/>
        <v>45382</v>
      </c>
      <c r="AT5" s="402">
        <f t="shared" si="5"/>
        <v>45412</v>
      </c>
      <c r="AU5" s="402">
        <f t="shared" si="5"/>
        <v>45443</v>
      </c>
      <c r="AV5" s="402">
        <f t="shared" si="5"/>
        <v>45473</v>
      </c>
      <c r="AW5" s="402">
        <f t="shared" si="5"/>
        <v>45504</v>
      </c>
      <c r="AX5" s="402">
        <f t="shared" si="5"/>
        <v>45535</v>
      </c>
      <c r="AY5" s="402">
        <f t="shared" si="5"/>
        <v>45565</v>
      </c>
      <c r="AZ5" s="402">
        <f t="shared" si="5"/>
        <v>45596</v>
      </c>
      <c r="BA5" s="402">
        <f t="shared" si="5"/>
        <v>45626</v>
      </c>
      <c r="BB5" s="402">
        <f t="shared" si="5"/>
        <v>45657</v>
      </c>
      <c r="BC5" s="402">
        <f t="shared" si="5"/>
        <v>45688</v>
      </c>
      <c r="BD5" s="402">
        <f t="shared" si="5"/>
        <v>45716</v>
      </c>
      <c r="BE5" s="402">
        <f t="shared" si="5"/>
        <v>45747</v>
      </c>
      <c r="BF5" s="402">
        <f t="shared" si="5"/>
        <v>45777</v>
      </c>
      <c r="BG5" s="402">
        <f t="shared" si="5"/>
        <v>45808</v>
      </c>
      <c r="BH5" s="402">
        <f t="shared" si="5"/>
        <v>45838</v>
      </c>
      <c r="BI5" s="402">
        <f t="shared" si="5"/>
        <v>45869</v>
      </c>
      <c r="BJ5" s="402">
        <f t="shared" si="5"/>
        <v>45900</v>
      </c>
      <c r="BK5" s="402">
        <f t="shared" si="5"/>
        <v>45930</v>
      </c>
      <c r="BL5" s="402">
        <f t="shared" si="5"/>
        <v>45961</v>
      </c>
      <c r="BM5" s="402">
        <f t="shared" si="5"/>
        <v>45991</v>
      </c>
      <c r="BN5" s="402">
        <f t="shared" si="5"/>
        <v>46022</v>
      </c>
      <c r="BO5" s="402">
        <f t="shared" si="5"/>
        <v>46053</v>
      </c>
      <c r="BP5" s="402">
        <f t="shared" si="5"/>
        <v>46081</v>
      </c>
      <c r="BQ5" s="402">
        <f t="shared" si="5"/>
        <v>46112</v>
      </c>
      <c r="BR5" s="402">
        <f t="shared" si="5"/>
        <v>46142</v>
      </c>
      <c r="BS5" s="402">
        <f t="shared" si="5"/>
        <v>46173</v>
      </c>
      <c r="BT5" s="402">
        <f t="shared" si="5"/>
        <v>46203</v>
      </c>
      <c r="BU5" s="402">
        <f t="shared" si="5"/>
        <v>46234</v>
      </c>
      <c r="BV5" s="402">
        <f t="shared" si="5"/>
        <v>46265</v>
      </c>
      <c r="BW5" s="402">
        <f t="shared" si="5"/>
        <v>46295</v>
      </c>
      <c r="BX5" s="402">
        <f t="shared" si="5"/>
        <v>46326</v>
      </c>
      <c r="BY5" s="402">
        <f t="shared" si="5"/>
        <v>46356</v>
      </c>
      <c r="BZ5" s="402">
        <f t="shared" si="5"/>
        <v>46387</v>
      </c>
      <c r="CA5" s="50"/>
    </row>
    <row r="6" spans="1:79" s="534" customFormat="1" ht="21" hidden="1" customHeight="1" outlineLevel="2">
      <c r="A6" s="50"/>
      <c r="B6" s="356"/>
      <c r="C6" s="355"/>
      <c r="D6" s="50"/>
      <c r="E6" s="372"/>
      <c r="F6" s="853"/>
      <c r="G6" s="369">
        <f>YEAR(EOMONTH(G5,-Fiscal_Offset))</f>
        <v>2023</v>
      </c>
      <c r="H6" s="369">
        <f>YEAR(EOMONTH(H5,-Fiscal_Offset))</f>
        <v>2024</v>
      </c>
      <c r="I6" s="369">
        <f>YEAR(EOMONTH(I5,-Fiscal_Offset))</f>
        <v>2025</v>
      </c>
      <c r="J6" s="369">
        <f>YEAR(EOMONTH(J5,-Fiscal_Offset))</f>
        <v>2026</v>
      </c>
      <c r="K6" s="148"/>
      <c r="L6" s="853"/>
      <c r="M6" s="369">
        <f t="shared" ref="M6:AB6" si="6">YEAR(EOMONTH(M5,-Fiscal_Offset))</f>
        <v>2023</v>
      </c>
      <c r="N6" s="369">
        <f t="shared" si="6"/>
        <v>2023</v>
      </c>
      <c r="O6" s="369">
        <f t="shared" si="6"/>
        <v>2023</v>
      </c>
      <c r="P6" s="369">
        <f t="shared" si="6"/>
        <v>2023</v>
      </c>
      <c r="Q6" s="369">
        <f t="shared" si="6"/>
        <v>2024</v>
      </c>
      <c r="R6" s="369">
        <f t="shared" si="6"/>
        <v>2024</v>
      </c>
      <c r="S6" s="369">
        <f t="shared" si="6"/>
        <v>2024</v>
      </c>
      <c r="T6" s="369">
        <f t="shared" si="6"/>
        <v>2024</v>
      </c>
      <c r="U6" s="369">
        <f t="shared" si="6"/>
        <v>2025</v>
      </c>
      <c r="V6" s="369">
        <f t="shared" si="6"/>
        <v>2025</v>
      </c>
      <c r="W6" s="369">
        <f t="shared" si="6"/>
        <v>2025</v>
      </c>
      <c r="X6" s="369">
        <f t="shared" si="6"/>
        <v>2025</v>
      </c>
      <c r="Y6" s="369">
        <f t="shared" si="6"/>
        <v>2026</v>
      </c>
      <c r="Z6" s="369">
        <f t="shared" si="6"/>
        <v>2026</v>
      </c>
      <c r="AA6" s="369">
        <f t="shared" si="6"/>
        <v>2026</v>
      </c>
      <c r="AB6" s="369">
        <f t="shared" si="6"/>
        <v>2026</v>
      </c>
      <c r="AC6" s="399"/>
      <c r="AD6" s="853"/>
      <c r="AE6" s="369">
        <f t="shared" ref="AE6:BZ6" si="7">YEAR(EOMONTH(AE5,-Fiscal_Offset))</f>
        <v>2023</v>
      </c>
      <c r="AF6" s="369">
        <f t="shared" si="7"/>
        <v>2023</v>
      </c>
      <c r="AG6" s="369">
        <f t="shared" si="7"/>
        <v>2023</v>
      </c>
      <c r="AH6" s="369">
        <f t="shared" si="7"/>
        <v>2023</v>
      </c>
      <c r="AI6" s="369">
        <f t="shared" si="7"/>
        <v>2023</v>
      </c>
      <c r="AJ6" s="369">
        <f t="shared" si="7"/>
        <v>2023</v>
      </c>
      <c r="AK6" s="369">
        <f t="shared" si="7"/>
        <v>2023</v>
      </c>
      <c r="AL6" s="369">
        <f t="shared" si="7"/>
        <v>2023</v>
      </c>
      <c r="AM6" s="369">
        <f t="shared" si="7"/>
        <v>2023</v>
      </c>
      <c r="AN6" s="369">
        <f t="shared" si="7"/>
        <v>2023</v>
      </c>
      <c r="AO6" s="369">
        <f t="shared" si="7"/>
        <v>2023</v>
      </c>
      <c r="AP6" s="369">
        <f>YEAR(EOMONTH(AR5,-Fiscal_Offset))</f>
        <v>2024</v>
      </c>
      <c r="AQ6" s="369">
        <f t="shared" si="7"/>
        <v>2024</v>
      </c>
      <c r="AR6" s="369">
        <f t="shared" si="7"/>
        <v>2024</v>
      </c>
      <c r="AS6" s="369">
        <f t="shared" si="7"/>
        <v>2024</v>
      </c>
      <c r="AT6" s="369">
        <f t="shared" si="7"/>
        <v>2024</v>
      </c>
      <c r="AU6" s="369">
        <f t="shared" si="7"/>
        <v>2024</v>
      </c>
      <c r="AV6" s="369">
        <f t="shared" si="7"/>
        <v>2024</v>
      </c>
      <c r="AW6" s="369">
        <f t="shared" si="7"/>
        <v>2024</v>
      </c>
      <c r="AX6" s="369">
        <f t="shared" si="7"/>
        <v>2024</v>
      </c>
      <c r="AY6" s="369">
        <f t="shared" si="7"/>
        <v>2024</v>
      </c>
      <c r="AZ6" s="369">
        <f t="shared" si="7"/>
        <v>2024</v>
      </c>
      <c r="BA6" s="369">
        <f t="shared" si="7"/>
        <v>2024</v>
      </c>
      <c r="BB6" s="369">
        <f t="shared" si="7"/>
        <v>2024</v>
      </c>
      <c r="BC6" s="369">
        <f t="shared" si="7"/>
        <v>2025</v>
      </c>
      <c r="BD6" s="369">
        <f t="shared" si="7"/>
        <v>2025</v>
      </c>
      <c r="BE6" s="369">
        <f t="shared" si="7"/>
        <v>2025</v>
      </c>
      <c r="BF6" s="369">
        <f t="shared" si="7"/>
        <v>2025</v>
      </c>
      <c r="BG6" s="369">
        <f t="shared" si="7"/>
        <v>2025</v>
      </c>
      <c r="BH6" s="369">
        <f t="shared" si="7"/>
        <v>2025</v>
      </c>
      <c r="BI6" s="369">
        <f t="shared" si="7"/>
        <v>2025</v>
      </c>
      <c r="BJ6" s="369">
        <f t="shared" si="7"/>
        <v>2025</v>
      </c>
      <c r="BK6" s="369">
        <f t="shared" si="7"/>
        <v>2025</v>
      </c>
      <c r="BL6" s="369">
        <f t="shared" si="7"/>
        <v>2025</v>
      </c>
      <c r="BM6" s="369">
        <f t="shared" si="7"/>
        <v>2025</v>
      </c>
      <c r="BN6" s="369">
        <f t="shared" si="7"/>
        <v>2025</v>
      </c>
      <c r="BO6" s="369">
        <f t="shared" si="7"/>
        <v>2026</v>
      </c>
      <c r="BP6" s="369">
        <f t="shared" si="7"/>
        <v>2026</v>
      </c>
      <c r="BQ6" s="369">
        <f t="shared" si="7"/>
        <v>2026</v>
      </c>
      <c r="BR6" s="369">
        <f t="shared" si="7"/>
        <v>2026</v>
      </c>
      <c r="BS6" s="369">
        <f t="shared" si="7"/>
        <v>2026</v>
      </c>
      <c r="BT6" s="369">
        <f t="shared" si="7"/>
        <v>2026</v>
      </c>
      <c r="BU6" s="369">
        <f t="shared" si="7"/>
        <v>2026</v>
      </c>
      <c r="BV6" s="369">
        <f t="shared" si="7"/>
        <v>2026</v>
      </c>
      <c r="BW6" s="369">
        <f t="shared" si="7"/>
        <v>2026</v>
      </c>
      <c r="BX6" s="369">
        <f t="shared" si="7"/>
        <v>2026</v>
      </c>
      <c r="BY6" s="369">
        <f t="shared" si="7"/>
        <v>2026</v>
      </c>
      <c r="BZ6" s="369">
        <f t="shared" si="7"/>
        <v>2026</v>
      </c>
      <c r="CA6" s="50"/>
    </row>
    <row r="7" spans="1:79" s="534" customFormat="1" ht="21" hidden="1" customHeight="1" outlineLevel="2">
      <c r="A7" s="50"/>
      <c r="B7" s="356"/>
      <c r="C7" s="355"/>
      <c r="D7" s="50"/>
      <c r="E7" s="372"/>
      <c r="F7" s="853"/>
      <c r="G7" s="369" t="str">
        <f>"Q"&amp; ROUNDUP(MONTH(EOMONTH(G5,-Fiscal_Offset))/3,0)</f>
        <v>Q4</v>
      </c>
      <c r="H7" s="369" t="str">
        <f>"Q"&amp; ROUNDUP(MONTH(EOMONTH(H5,-Fiscal_Offset))/3,0)</f>
        <v>Q4</v>
      </c>
      <c r="I7" s="369" t="str">
        <f>"Q"&amp; ROUNDUP(MONTH(EOMONTH(I5,-Fiscal_Offset))/3,0)</f>
        <v>Q4</v>
      </c>
      <c r="J7" s="369" t="str">
        <f>"Q"&amp; ROUNDUP(MONTH(EOMONTH(J5,-Fiscal_Offset))/3,0)</f>
        <v>Q4</v>
      </c>
      <c r="K7" s="148"/>
      <c r="L7" s="853"/>
      <c r="M7" s="369" t="str">
        <f t="shared" ref="M7:AB7" si="8">"Q"&amp; ROUNDUP(MONTH(EOMONTH(M5,-Fiscal_Offset))/3,0)</f>
        <v>Q1</v>
      </c>
      <c r="N7" s="369" t="str">
        <f t="shared" si="8"/>
        <v>Q2</v>
      </c>
      <c r="O7" s="369" t="str">
        <f t="shared" si="8"/>
        <v>Q3</v>
      </c>
      <c r="P7" s="369" t="str">
        <f t="shared" si="8"/>
        <v>Q4</v>
      </c>
      <c r="Q7" s="369" t="str">
        <f t="shared" si="8"/>
        <v>Q1</v>
      </c>
      <c r="R7" s="369" t="str">
        <f t="shared" si="8"/>
        <v>Q2</v>
      </c>
      <c r="S7" s="369" t="str">
        <f t="shared" si="8"/>
        <v>Q3</v>
      </c>
      <c r="T7" s="369" t="str">
        <f t="shared" si="8"/>
        <v>Q4</v>
      </c>
      <c r="U7" s="369" t="str">
        <f t="shared" si="8"/>
        <v>Q1</v>
      </c>
      <c r="V7" s="369" t="str">
        <f t="shared" si="8"/>
        <v>Q2</v>
      </c>
      <c r="W7" s="369" t="str">
        <f t="shared" si="8"/>
        <v>Q3</v>
      </c>
      <c r="X7" s="369" t="str">
        <f t="shared" si="8"/>
        <v>Q4</v>
      </c>
      <c r="Y7" s="369" t="str">
        <f t="shared" si="8"/>
        <v>Q1</v>
      </c>
      <c r="Z7" s="369" t="str">
        <f t="shared" si="8"/>
        <v>Q2</v>
      </c>
      <c r="AA7" s="369" t="str">
        <f t="shared" si="8"/>
        <v>Q3</v>
      </c>
      <c r="AB7" s="369" t="str">
        <f t="shared" si="8"/>
        <v>Q4</v>
      </c>
      <c r="AC7" s="399"/>
      <c r="AD7" s="853"/>
      <c r="AE7" s="369" t="str">
        <f t="shared" ref="AE7:BZ7" si="9">"Q"&amp; ROUNDUP(MONTH(EOMONTH(AE5,-Fiscal_Offset))/3,0)</f>
        <v>Q1</v>
      </c>
      <c r="AF7" s="369" t="str">
        <f t="shared" si="9"/>
        <v>Q1</v>
      </c>
      <c r="AG7" s="369" t="str">
        <f t="shared" si="9"/>
        <v>Q1</v>
      </c>
      <c r="AH7" s="369" t="str">
        <f t="shared" si="9"/>
        <v>Q2</v>
      </c>
      <c r="AI7" s="369" t="str">
        <f t="shared" si="9"/>
        <v>Q2</v>
      </c>
      <c r="AJ7" s="369" t="str">
        <f t="shared" si="9"/>
        <v>Q2</v>
      </c>
      <c r="AK7" s="369" t="str">
        <f t="shared" si="9"/>
        <v>Q3</v>
      </c>
      <c r="AL7" s="369" t="str">
        <f t="shared" si="9"/>
        <v>Q3</v>
      </c>
      <c r="AM7" s="369" t="str">
        <f t="shared" si="9"/>
        <v>Q3</v>
      </c>
      <c r="AN7" s="369" t="str">
        <f t="shared" si="9"/>
        <v>Q4</v>
      </c>
      <c r="AO7" s="369" t="str">
        <f t="shared" si="9"/>
        <v>Q4</v>
      </c>
      <c r="AP7" s="369" t="str">
        <f>"Q"&amp; ROUNDUP(MONTH(EOMONTH(AR5,-Fiscal_Offset))/3,0)</f>
        <v>Q1</v>
      </c>
      <c r="AQ7" s="369" t="str">
        <f t="shared" si="9"/>
        <v>Q1</v>
      </c>
      <c r="AR7" s="369" t="str">
        <f t="shared" si="9"/>
        <v>Q1</v>
      </c>
      <c r="AS7" s="369" t="str">
        <f t="shared" si="9"/>
        <v>Q1</v>
      </c>
      <c r="AT7" s="369" t="str">
        <f t="shared" si="9"/>
        <v>Q2</v>
      </c>
      <c r="AU7" s="369" t="str">
        <f t="shared" si="9"/>
        <v>Q2</v>
      </c>
      <c r="AV7" s="369" t="str">
        <f t="shared" si="9"/>
        <v>Q2</v>
      </c>
      <c r="AW7" s="369" t="str">
        <f t="shared" si="9"/>
        <v>Q3</v>
      </c>
      <c r="AX7" s="369" t="str">
        <f t="shared" si="9"/>
        <v>Q3</v>
      </c>
      <c r="AY7" s="369" t="str">
        <f t="shared" si="9"/>
        <v>Q3</v>
      </c>
      <c r="AZ7" s="369" t="str">
        <f t="shared" si="9"/>
        <v>Q4</v>
      </c>
      <c r="BA7" s="369" t="str">
        <f t="shared" si="9"/>
        <v>Q4</v>
      </c>
      <c r="BB7" s="369" t="str">
        <f t="shared" si="9"/>
        <v>Q4</v>
      </c>
      <c r="BC7" s="369" t="str">
        <f t="shared" si="9"/>
        <v>Q1</v>
      </c>
      <c r="BD7" s="369" t="str">
        <f t="shared" si="9"/>
        <v>Q1</v>
      </c>
      <c r="BE7" s="369" t="str">
        <f t="shared" si="9"/>
        <v>Q1</v>
      </c>
      <c r="BF7" s="369" t="str">
        <f t="shared" si="9"/>
        <v>Q2</v>
      </c>
      <c r="BG7" s="369" t="str">
        <f t="shared" si="9"/>
        <v>Q2</v>
      </c>
      <c r="BH7" s="369" t="str">
        <f t="shared" si="9"/>
        <v>Q2</v>
      </c>
      <c r="BI7" s="369" t="str">
        <f t="shared" si="9"/>
        <v>Q3</v>
      </c>
      <c r="BJ7" s="369" t="str">
        <f t="shared" si="9"/>
        <v>Q3</v>
      </c>
      <c r="BK7" s="369" t="str">
        <f t="shared" si="9"/>
        <v>Q3</v>
      </c>
      <c r="BL7" s="369" t="str">
        <f t="shared" si="9"/>
        <v>Q4</v>
      </c>
      <c r="BM7" s="369" t="str">
        <f t="shared" si="9"/>
        <v>Q4</v>
      </c>
      <c r="BN7" s="369" t="str">
        <f t="shared" si="9"/>
        <v>Q4</v>
      </c>
      <c r="BO7" s="369" t="str">
        <f t="shared" si="9"/>
        <v>Q1</v>
      </c>
      <c r="BP7" s="369" t="str">
        <f t="shared" si="9"/>
        <v>Q1</v>
      </c>
      <c r="BQ7" s="369" t="str">
        <f t="shared" si="9"/>
        <v>Q1</v>
      </c>
      <c r="BR7" s="369" t="str">
        <f t="shared" si="9"/>
        <v>Q2</v>
      </c>
      <c r="BS7" s="369" t="str">
        <f t="shared" si="9"/>
        <v>Q2</v>
      </c>
      <c r="BT7" s="369" t="str">
        <f t="shared" si="9"/>
        <v>Q2</v>
      </c>
      <c r="BU7" s="369" t="str">
        <f t="shared" si="9"/>
        <v>Q3</v>
      </c>
      <c r="BV7" s="369" t="str">
        <f t="shared" si="9"/>
        <v>Q3</v>
      </c>
      <c r="BW7" s="369" t="str">
        <f t="shared" si="9"/>
        <v>Q3</v>
      </c>
      <c r="BX7" s="369" t="str">
        <f t="shared" si="9"/>
        <v>Q4</v>
      </c>
      <c r="BY7" s="369" t="str">
        <f t="shared" si="9"/>
        <v>Q4</v>
      </c>
      <c r="BZ7" s="369" t="str">
        <f t="shared" si="9"/>
        <v>Q4</v>
      </c>
      <c r="CA7" s="50"/>
    </row>
    <row r="8" spans="1:79" s="533" customFormat="1" ht="35.1" customHeight="1">
      <c r="A8" s="51"/>
      <c r="B8" s="387"/>
      <c r="C8" s="386"/>
      <c r="D8" s="51"/>
      <c r="E8" s="526"/>
      <c r="F8" s="853"/>
      <c r="G8" s="398">
        <f>G6</f>
        <v>2023</v>
      </c>
      <c r="H8" s="398">
        <f>H6</f>
        <v>2024</v>
      </c>
      <c r="I8" s="398">
        <f>I6</f>
        <v>2025</v>
      </c>
      <c r="J8" s="398">
        <f>J6</f>
        <v>2026</v>
      </c>
      <c r="K8" s="172"/>
      <c r="L8" s="853"/>
      <c r="M8" s="397" t="str">
        <f t="shared" ref="M8:AB8" si="10">CONCATENATE(CONCATENATE(M$7," ",M$6))</f>
        <v>Q1 2023</v>
      </c>
      <c r="N8" s="397" t="str">
        <f t="shared" si="10"/>
        <v>Q2 2023</v>
      </c>
      <c r="O8" s="397" t="str">
        <f t="shared" si="10"/>
        <v>Q3 2023</v>
      </c>
      <c r="P8" s="397" t="str">
        <f t="shared" si="10"/>
        <v>Q4 2023</v>
      </c>
      <c r="Q8" s="397" t="str">
        <f t="shared" si="10"/>
        <v>Q1 2024</v>
      </c>
      <c r="R8" s="397" t="str">
        <f t="shared" si="10"/>
        <v>Q2 2024</v>
      </c>
      <c r="S8" s="397" t="str">
        <f t="shared" si="10"/>
        <v>Q3 2024</v>
      </c>
      <c r="T8" s="397" t="str">
        <f t="shared" si="10"/>
        <v>Q4 2024</v>
      </c>
      <c r="U8" s="397" t="str">
        <f t="shared" si="10"/>
        <v>Q1 2025</v>
      </c>
      <c r="V8" s="397" t="str">
        <f t="shared" si="10"/>
        <v>Q2 2025</v>
      </c>
      <c r="W8" s="397" t="str">
        <f t="shared" si="10"/>
        <v>Q3 2025</v>
      </c>
      <c r="X8" s="397" t="str">
        <f t="shared" si="10"/>
        <v>Q4 2025</v>
      </c>
      <c r="Y8" s="397" t="str">
        <f t="shared" si="10"/>
        <v>Q1 2026</v>
      </c>
      <c r="Z8" s="397" t="str">
        <f t="shared" si="10"/>
        <v>Q2 2026</v>
      </c>
      <c r="AA8" s="397" t="str">
        <f t="shared" si="10"/>
        <v>Q3 2026</v>
      </c>
      <c r="AB8" s="397" t="str">
        <f t="shared" si="10"/>
        <v>Q4 2026</v>
      </c>
      <c r="AC8" s="396"/>
      <c r="AD8" s="853"/>
      <c r="AE8" s="395">
        <f t="shared" ref="AE8:BZ8" si="11">AE5</f>
        <v>44957</v>
      </c>
      <c r="AF8" s="395">
        <f t="shared" si="11"/>
        <v>44985</v>
      </c>
      <c r="AG8" s="395">
        <f t="shared" si="11"/>
        <v>45016</v>
      </c>
      <c r="AH8" s="395">
        <f t="shared" si="11"/>
        <v>45046</v>
      </c>
      <c r="AI8" s="395">
        <f t="shared" si="11"/>
        <v>45077</v>
      </c>
      <c r="AJ8" s="395">
        <f t="shared" si="11"/>
        <v>45107</v>
      </c>
      <c r="AK8" s="395">
        <f t="shared" si="11"/>
        <v>45138</v>
      </c>
      <c r="AL8" s="395">
        <f t="shared" si="11"/>
        <v>45169</v>
      </c>
      <c r="AM8" s="395">
        <f t="shared" si="11"/>
        <v>45199</v>
      </c>
      <c r="AN8" s="395">
        <f t="shared" si="11"/>
        <v>45230</v>
      </c>
      <c r="AO8" s="395">
        <f t="shared" si="11"/>
        <v>45260</v>
      </c>
      <c r="AP8" s="395">
        <f>AR5</f>
        <v>45351</v>
      </c>
      <c r="AQ8" s="395">
        <f t="shared" si="11"/>
        <v>45322</v>
      </c>
      <c r="AR8" s="395">
        <f t="shared" si="11"/>
        <v>45351</v>
      </c>
      <c r="AS8" s="395">
        <f t="shared" si="11"/>
        <v>45382</v>
      </c>
      <c r="AT8" s="395">
        <f t="shared" si="11"/>
        <v>45412</v>
      </c>
      <c r="AU8" s="395">
        <f t="shared" si="11"/>
        <v>45443</v>
      </c>
      <c r="AV8" s="395">
        <f t="shared" si="11"/>
        <v>45473</v>
      </c>
      <c r="AW8" s="395">
        <f t="shared" si="11"/>
        <v>45504</v>
      </c>
      <c r="AX8" s="395">
        <f t="shared" si="11"/>
        <v>45535</v>
      </c>
      <c r="AY8" s="395">
        <f t="shared" si="11"/>
        <v>45565</v>
      </c>
      <c r="AZ8" s="395">
        <f t="shared" si="11"/>
        <v>45596</v>
      </c>
      <c r="BA8" s="395">
        <f t="shared" si="11"/>
        <v>45626</v>
      </c>
      <c r="BB8" s="395">
        <f t="shared" si="11"/>
        <v>45657</v>
      </c>
      <c r="BC8" s="395">
        <f t="shared" si="11"/>
        <v>45688</v>
      </c>
      <c r="BD8" s="395">
        <f t="shared" si="11"/>
        <v>45716</v>
      </c>
      <c r="BE8" s="395">
        <f t="shared" si="11"/>
        <v>45747</v>
      </c>
      <c r="BF8" s="395">
        <f t="shared" si="11"/>
        <v>45777</v>
      </c>
      <c r="BG8" s="395">
        <f t="shared" si="11"/>
        <v>45808</v>
      </c>
      <c r="BH8" s="395">
        <f t="shared" si="11"/>
        <v>45838</v>
      </c>
      <c r="BI8" s="395">
        <f t="shared" si="11"/>
        <v>45869</v>
      </c>
      <c r="BJ8" s="395">
        <f t="shared" si="11"/>
        <v>45900</v>
      </c>
      <c r="BK8" s="395">
        <f t="shared" si="11"/>
        <v>45930</v>
      </c>
      <c r="BL8" s="395">
        <f t="shared" si="11"/>
        <v>45961</v>
      </c>
      <c r="BM8" s="395">
        <f t="shared" si="11"/>
        <v>45991</v>
      </c>
      <c r="BN8" s="395">
        <f t="shared" si="11"/>
        <v>46022</v>
      </c>
      <c r="BO8" s="395">
        <f t="shared" si="11"/>
        <v>46053</v>
      </c>
      <c r="BP8" s="395">
        <f t="shared" si="11"/>
        <v>46081</v>
      </c>
      <c r="BQ8" s="395">
        <f t="shared" si="11"/>
        <v>46112</v>
      </c>
      <c r="BR8" s="395">
        <f t="shared" si="11"/>
        <v>46142</v>
      </c>
      <c r="BS8" s="395">
        <f t="shared" si="11"/>
        <v>46173</v>
      </c>
      <c r="BT8" s="395">
        <f t="shared" si="11"/>
        <v>46203</v>
      </c>
      <c r="BU8" s="395">
        <f t="shared" si="11"/>
        <v>46234</v>
      </c>
      <c r="BV8" s="395">
        <f t="shared" si="11"/>
        <v>46265</v>
      </c>
      <c r="BW8" s="395">
        <f t="shared" si="11"/>
        <v>46295</v>
      </c>
      <c r="BX8" s="395">
        <f t="shared" si="11"/>
        <v>46326</v>
      </c>
      <c r="BY8" s="395">
        <f t="shared" si="11"/>
        <v>46356</v>
      </c>
      <c r="BZ8" s="395">
        <f t="shared" si="11"/>
        <v>46387</v>
      </c>
      <c r="CA8" s="51"/>
    </row>
    <row r="9" spans="1:79" s="51" customFormat="1" ht="24">
      <c r="B9" s="632" t="s">
        <v>411</v>
      </c>
      <c r="C9" s="475"/>
      <c r="D9" s="475"/>
      <c r="E9" s="633"/>
      <c r="F9" s="359"/>
      <c r="G9" s="634"/>
      <c r="H9" s="634"/>
      <c r="I9" s="634"/>
      <c r="J9" s="634"/>
      <c r="L9" s="359"/>
      <c r="M9" s="634"/>
      <c r="N9" s="634"/>
      <c r="O9" s="634"/>
      <c r="P9" s="634"/>
      <c r="Q9" s="634"/>
      <c r="R9" s="634"/>
      <c r="S9" s="634"/>
      <c r="T9" s="634"/>
      <c r="U9" s="634"/>
      <c r="V9" s="634"/>
      <c r="W9" s="634"/>
      <c r="X9" s="634"/>
      <c r="Y9" s="634"/>
      <c r="Z9" s="634"/>
      <c r="AA9" s="634"/>
      <c r="AB9" s="634"/>
      <c r="AD9" s="359"/>
      <c r="AE9" s="634"/>
      <c r="AF9" s="634"/>
      <c r="AG9" s="634"/>
      <c r="AH9" s="634"/>
      <c r="AI9" s="634"/>
      <c r="AJ9" s="634"/>
      <c r="AK9" s="634"/>
      <c r="AL9" s="634"/>
      <c r="AM9" s="634"/>
      <c r="AN9" s="634"/>
      <c r="AO9" s="634"/>
      <c r="AP9" s="634"/>
      <c r="AQ9" s="634"/>
      <c r="AR9" s="634"/>
      <c r="AS9" s="634"/>
      <c r="AT9" s="634"/>
      <c r="AU9" s="634"/>
      <c r="AV9" s="634"/>
      <c r="AW9" s="634"/>
      <c r="AX9" s="634"/>
      <c r="AY9" s="634"/>
      <c r="AZ9" s="634"/>
      <c r="BA9" s="634"/>
      <c r="BB9" s="634"/>
      <c r="BC9" s="634"/>
      <c r="BD9" s="634"/>
      <c r="BE9" s="634"/>
      <c r="BF9" s="634"/>
      <c r="BG9" s="634"/>
      <c r="BH9" s="634"/>
      <c r="BI9" s="634"/>
      <c r="BJ9" s="634"/>
      <c r="BK9" s="634"/>
      <c r="BL9" s="634"/>
      <c r="BM9" s="634"/>
      <c r="BN9" s="634"/>
      <c r="BO9" s="634"/>
      <c r="BP9" s="634"/>
      <c r="BQ9" s="634"/>
      <c r="BR9" s="634"/>
      <c r="BS9" s="634"/>
      <c r="BT9" s="634"/>
      <c r="BU9" s="634"/>
      <c r="BV9" s="634"/>
      <c r="BW9" s="634"/>
      <c r="BX9" s="634"/>
      <c r="BY9" s="634"/>
      <c r="BZ9" s="634"/>
    </row>
    <row r="10" spans="1:79" s="51" customFormat="1" ht="15" outlineLevel="1">
      <c r="A10" s="50"/>
      <c r="B10" s="367"/>
      <c r="C10" s="523" t="s">
        <v>145</v>
      </c>
      <c r="D10" s="366"/>
      <c r="E10" s="638" t="s">
        <v>415</v>
      </c>
      <c r="F10" s="531"/>
      <c r="G10" s="385"/>
      <c r="H10" s="385"/>
      <c r="I10" s="385"/>
      <c r="J10" s="385"/>
      <c r="K10" s="385"/>
      <c r="L10" s="531"/>
      <c r="M10" s="385"/>
      <c r="N10" s="385"/>
      <c r="O10" s="385"/>
      <c r="P10" s="385"/>
      <c r="Q10" s="385"/>
      <c r="R10" s="385"/>
      <c r="S10" s="385"/>
      <c r="T10" s="385"/>
      <c r="U10" s="385"/>
      <c r="V10" s="385"/>
      <c r="W10" s="385"/>
      <c r="X10" s="385"/>
      <c r="Y10" s="385"/>
      <c r="Z10" s="385"/>
      <c r="AA10" s="385"/>
      <c r="AB10" s="385"/>
      <c r="AD10" s="531"/>
      <c r="AE10" s="384"/>
      <c r="AF10" s="384"/>
      <c r="AG10" s="384"/>
      <c r="AH10" s="384"/>
      <c r="AI10" s="384"/>
      <c r="AJ10" s="384"/>
      <c r="AK10" s="384"/>
      <c r="AL10" s="384"/>
      <c r="AM10" s="384"/>
      <c r="AN10" s="384"/>
      <c r="AO10" s="384"/>
      <c r="AP10" s="384"/>
      <c r="AQ10" s="384"/>
      <c r="AR10" s="384"/>
      <c r="AS10" s="384"/>
      <c r="AT10" s="384"/>
      <c r="AU10" s="384"/>
      <c r="AV10" s="384"/>
      <c r="AW10" s="384"/>
      <c r="AX10" s="384"/>
      <c r="AY10" s="384"/>
      <c r="AZ10" s="384"/>
      <c r="BA10" s="384"/>
      <c r="BB10" s="384"/>
      <c r="BC10" s="384"/>
      <c r="BD10" s="384"/>
      <c r="BE10" s="384"/>
      <c r="BF10" s="384"/>
      <c r="BG10" s="384"/>
      <c r="BH10" s="384"/>
      <c r="BI10" s="384"/>
      <c r="BJ10" s="384"/>
      <c r="BK10" s="384"/>
      <c r="BL10" s="384"/>
      <c r="BM10" s="384"/>
      <c r="BN10" s="384"/>
      <c r="BO10" s="384"/>
      <c r="BP10" s="384"/>
      <c r="BQ10" s="384"/>
      <c r="BR10" s="384"/>
      <c r="BS10" s="384"/>
      <c r="BT10" s="384"/>
      <c r="BU10" s="384"/>
      <c r="BV10" s="384"/>
      <c r="BW10" s="384"/>
      <c r="BX10" s="384"/>
      <c r="BY10" s="384"/>
      <c r="BZ10" s="384"/>
    </row>
    <row r="11" spans="1:79" s="51" customFormat="1" ht="15" outlineLevel="1">
      <c r="A11" s="50"/>
      <c r="B11" s="367"/>
      <c r="C11" s="370"/>
      <c r="D11" s="383" t="s">
        <v>416</v>
      </c>
      <c r="E11" s="369"/>
      <c r="F11" s="531"/>
      <c r="G11" s="385"/>
      <c r="H11" s="385"/>
      <c r="I11" s="385"/>
      <c r="J11" s="385"/>
      <c r="K11" s="385"/>
      <c r="L11" s="531"/>
      <c r="M11" s="385"/>
      <c r="N11" s="385"/>
      <c r="O11" s="385"/>
      <c r="P11" s="385"/>
      <c r="Q11" s="385"/>
      <c r="R11" s="385"/>
      <c r="S11" s="385"/>
      <c r="T11" s="385"/>
      <c r="U11" s="385"/>
      <c r="V11" s="385"/>
      <c r="W11" s="385"/>
      <c r="X11" s="385"/>
      <c r="Y11" s="385"/>
      <c r="Z11" s="385"/>
      <c r="AA11" s="385"/>
      <c r="AB11" s="385"/>
      <c r="AD11" s="531"/>
      <c r="AE11" s="384"/>
      <c r="AF11" s="384"/>
      <c r="AG11" s="384"/>
      <c r="AH11" s="384"/>
      <c r="AI11" s="384"/>
      <c r="AJ11" s="384"/>
      <c r="AK11" s="384"/>
      <c r="AL11" s="384"/>
      <c r="AM11" s="384"/>
      <c r="AN11" s="384"/>
      <c r="AO11" s="384"/>
      <c r="AP11" s="384"/>
      <c r="AQ11" s="384"/>
      <c r="AR11" s="384"/>
      <c r="AS11" s="384"/>
      <c r="AT11" s="384"/>
      <c r="AU11" s="384"/>
      <c r="AV11" s="384"/>
      <c r="AW11" s="384"/>
      <c r="AX11" s="384"/>
      <c r="AY11" s="384"/>
      <c r="AZ11" s="384"/>
      <c r="BA11" s="384"/>
      <c r="BB11" s="384"/>
      <c r="BC11" s="384"/>
      <c r="BD11" s="384"/>
      <c r="BE11" s="384"/>
      <c r="BF11" s="384"/>
      <c r="BG11" s="384"/>
      <c r="BH11" s="384"/>
      <c r="BI11" s="384"/>
      <c r="BJ11" s="384"/>
      <c r="BK11" s="384"/>
      <c r="BL11" s="384"/>
      <c r="BM11" s="384"/>
      <c r="BN11" s="384"/>
      <c r="BO11" s="384"/>
      <c r="BP11" s="384"/>
      <c r="BQ11" s="384"/>
      <c r="BR11" s="384"/>
      <c r="BS11" s="384"/>
      <c r="BT11" s="384"/>
      <c r="BU11" s="384"/>
      <c r="BV11" s="384"/>
      <c r="BW11" s="384"/>
      <c r="BX11" s="384"/>
      <c r="BY11" s="384"/>
      <c r="BZ11" s="384"/>
    </row>
    <row r="12" spans="1:79" s="51" customFormat="1" ht="15" outlineLevel="2">
      <c r="A12" s="50"/>
      <c r="B12" s="367"/>
      <c r="C12" s="370"/>
      <c r="D12" s="639">
        <v>1</v>
      </c>
      <c r="E12" s="640">
        <f>1/12</f>
        <v>8.3333333333333329E-2</v>
      </c>
      <c r="F12" s="531"/>
      <c r="G12" s="385"/>
      <c r="H12" s="385"/>
      <c r="I12" s="385"/>
      <c r="J12" s="385"/>
      <c r="K12" s="385"/>
      <c r="L12" s="531"/>
      <c r="M12" s="385"/>
      <c r="N12" s="385"/>
      <c r="O12" s="385"/>
      <c r="P12" s="385"/>
      <c r="Q12" s="385"/>
      <c r="R12" s="385"/>
      <c r="S12" s="385"/>
      <c r="T12" s="385"/>
      <c r="U12" s="385"/>
      <c r="V12" s="385"/>
      <c r="W12" s="385"/>
      <c r="X12" s="385"/>
      <c r="Y12" s="385"/>
      <c r="Z12" s="385"/>
      <c r="AA12" s="385"/>
      <c r="AB12" s="385"/>
      <c r="AD12" s="531"/>
      <c r="AE12" s="384"/>
      <c r="AF12" s="384"/>
      <c r="AG12" s="384"/>
      <c r="AH12" s="384"/>
      <c r="AI12" s="384"/>
      <c r="AJ12" s="384"/>
      <c r="AK12" s="384"/>
      <c r="AL12" s="384"/>
      <c r="AM12" s="384"/>
      <c r="AN12" s="384"/>
      <c r="AO12" s="384"/>
      <c r="AP12" s="384"/>
      <c r="AQ12" s="384"/>
      <c r="AR12" s="384"/>
      <c r="AS12" s="384"/>
      <c r="AT12" s="384"/>
      <c r="AU12" s="384"/>
      <c r="AV12" s="384"/>
      <c r="AW12" s="384"/>
      <c r="AX12" s="384"/>
      <c r="AY12" s="384"/>
      <c r="AZ12" s="384"/>
      <c r="BA12" s="384"/>
      <c r="BB12" s="384"/>
      <c r="BC12" s="384"/>
      <c r="BD12" s="384"/>
      <c r="BE12" s="384"/>
      <c r="BF12" s="384"/>
      <c r="BG12" s="384"/>
      <c r="BH12" s="384"/>
      <c r="BI12" s="384"/>
      <c r="BJ12" s="384"/>
      <c r="BK12" s="384"/>
      <c r="BL12" s="384"/>
      <c r="BM12" s="384"/>
      <c r="BN12" s="384"/>
      <c r="BO12" s="384"/>
      <c r="BP12" s="384"/>
      <c r="BQ12" s="384"/>
      <c r="BR12" s="384"/>
      <c r="BS12" s="384"/>
      <c r="BT12" s="384"/>
      <c r="BU12" s="384"/>
      <c r="BV12" s="384"/>
      <c r="BW12" s="384"/>
      <c r="BX12" s="384"/>
      <c r="BY12" s="384"/>
      <c r="BZ12" s="384"/>
    </row>
    <row r="13" spans="1:79" s="51" customFormat="1" ht="15" outlineLevel="2">
      <c r="A13" s="50"/>
      <c r="B13" s="367"/>
      <c r="C13" s="370"/>
      <c r="D13" s="639">
        <f>D12+1</f>
        <v>2</v>
      </c>
      <c r="E13" s="640">
        <f t="shared" ref="E13:E23" si="12">1/12</f>
        <v>8.3333333333333329E-2</v>
      </c>
      <c r="F13" s="531"/>
      <c r="G13" s="385"/>
      <c r="H13" s="385"/>
      <c r="I13" s="385"/>
      <c r="J13" s="385"/>
      <c r="K13" s="385"/>
      <c r="L13" s="531"/>
      <c r="M13" s="385"/>
      <c r="N13" s="385"/>
      <c r="O13" s="385"/>
      <c r="P13" s="385"/>
      <c r="Q13" s="385"/>
      <c r="R13" s="385"/>
      <c r="S13" s="385"/>
      <c r="T13" s="385"/>
      <c r="U13" s="385"/>
      <c r="V13" s="385"/>
      <c r="W13" s="385"/>
      <c r="X13" s="385"/>
      <c r="Y13" s="385"/>
      <c r="Z13" s="385"/>
      <c r="AA13" s="385"/>
      <c r="AB13" s="385"/>
      <c r="AD13" s="531"/>
      <c r="AE13" s="384"/>
      <c r="AF13" s="384"/>
      <c r="AG13" s="384"/>
      <c r="AH13" s="384"/>
      <c r="AI13" s="384"/>
      <c r="AJ13" s="384"/>
      <c r="AK13" s="384"/>
      <c r="AL13" s="384"/>
      <c r="AM13" s="384"/>
      <c r="AN13" s="384"/>
      <c r="AO13" s="384"/>
      <c r="AP13" s="384"/>
      <c r="AQ13" s="384"/>
      <c r="AR13" s="384"/>
      <c r="AS13" s="384"/>
      <c r="AT13" s="384"/>
      <c r="AU13" s="384"/>
      <c r="AV13" s="384"/>
      <c r="AW13" s="384"/>
      <c r="AX13" s="384"/>
      <c r="AY13" s="384"/>
      <c r="AZ13" s="384"/>
      <c r="BA13" s="384"/>
      <c r="BB13" s="384"/>
      <c r="BC13" s="384"/>
      <c r="BD13" s="384"/>
      <c r="BE13" s="384"/>
      <c r="BF13" s="384"/>
      <c r="BG13" s="384"/>
      <c r="BH13" s="384"/>
      <c r="BI13" s="384"/>
      <c r="BJ13" s="384"/>
      <c r="BK13" s="384"/>
      <c r="BL13" s="384"/>
      <c r="BM13" s="384"/>
      <c r="BN13" s="384"/>
      <c r="BO13" s="384"/>
      <c r="BP13" s="384"/>
      <c r="BQ13" s="384"/>
      <c r="BR13" s="384"/>
      <c r="BS13" s="384"/>
      <c r="BT13" s="384"/>
      <c r="BU13" s="384"/>
      <c r="BV13" s="384"/>
      <c r="BW13" s="384"/>
      <c r="BX13" s="384"/>
      <c r="BY13" s="384"/>
      <c r="BZ13" s="384"/>
    </row>
    <row r="14" spans="1:79" s="51" customFormat="1" ht="15" outlineLevel="2">
      <c r="A14" s="50"/>
      <c r="B14" s="367"/>
      <c r="C14" s="370"/>
      <c r="D14" s="639">
        <f t="shared" ref="D14:D15" si="13">D13+1</f>
        <v>3</v>
      </c>
      <c r="E14" s="640">
        <f t="shared" si="12"/>
        <v>8.3333333333333329E-2</v>
      </c>
      <c r="F14" s="531"/>
      <c r="G14" s="385"/>
      <c r="H14" s="385"/>
      <c r="I14" s="385"/>
      <c r="J14" s="385"/>
      <c r="K14" s="385"/>
      <c r="L14" s="531"/>
      <c r="M14" s="385"/>
      <c r="N14" s="385"/>
      <c r="O14" s="385"/>
      <c r="P14" s="385"/>
      <c r="Q14" s="385"/>
      <c r="R14" s="385"/>
      <c r="S14" s="385"/>
      <c r="T14" s="385"/>
      <c r="U14" s="385"/>
      <c r="V14" s="385"/>
      <c r="W14" s="385"/>
      <c r="X14" s="385"/>
      <c r="Y14" s="385"/>
      <c r="Z14" s="385"/>
      <c r="AA14" s="385"/>
      <c r="AB14" s="385"/>
      <c r="AD14" s="531"/>
      <c r="AE14" s="384"/>
      <c r="AF14" s="384"/>
      <c r="AG14" s="384"/>
      <c r="AH14" s="384"/>
      <c r="AI14" s="384"/>
      <c r="AJ14" s="384"/>
      <c r="AK14" s="384"/>
      <c r="AL14" s="384"/>
      <c r="AM14" s="384"/>
      <c r="AN14" s="384"/>
      <c r="AO14" s="384"/>
      <c r="AP14" s="384"/>
      <c r="AQ14" s="384"/>
      <c r="AR14" s="384"/>
      <c r="AS14" s="384"/>
      <c r="AT14" s="384"/>
      <c r="AU14" s="384"/>
      <c r="AV14" s="384"/>
      <c r="AW14" s="384"/>
      <c r="AX14" s="384"/>
      <c r="AY14" s="384"/>
      <c r="AZ14" s="384"/>
      <c r="BA14" s="384"/>
      <c r="BB14" s="384"/>
      <c r="BC14" s="384"/>
      <c r="BD14" s="384"/>
      <c r="BE14" s="384"/>
      <c r="BF14" s="384"/>
      <c r="BG14" s="384"/>
      <c r="BH14" s="384"/>
      <c r="BI14" s="384"/>
      <c r="BJ14" s="384"/>
      <c r="BK14" s="384"/>
      <c r="BL14" s="384"/>
      <c r="BM14" s="384"/>
      <c r="BN14" s="384"/>
      <c r="BO14" s="384"/>
      <c r="BP14" s="384"/>
      <c r="BQ14" s="384"/>
      <c r="BR14" s="384"/>
      <c r="BS14" s="384"/>
      <c r="BT14" s="384"/>
      <c r="BU14" s="384"/>
      <c r="BV14" s="384"/>
      <c r="BW14" s="384"/>
      <c r="BX14" s="384"/>
      <c r="BY14" s="384"/>
      <c r="BZ14" s="384"/>
    </row>
    <row r="15" spans="1:79" s="51" customFormat="1" ht="15" outlineLevel="2">
      <c r="A15" s="50"/>
      <c r="B15" s="367"/>
      <c r="C15" s="370"/>
      <c r="D15" s="639">
        <f t="shared" si="13"/>
        <v>4</v>
      </c>
      <c r="E15" s="640">
        <f t="shared" si="12"/>
        <v>8.3333333333333329E-2</v>
      </c>
      <c r="F15" s="531"/>
      <c r="G15" s="385"/>
      <c r="H15" s="385"/>
      <c r="I15" s="385"/>
      <c r="J15" s="385"/>
      <c r="K15" s="385"/>
      <c r="L15" s="531"/>
      <c r="M15" s="385"/>
      <c r="N15" s="385"/>
      <c r="O15" s="385"/>
      <c r="P15" s="385"/>
      <c r="Q15" s="385"/>
      <c r="R15" s="385"/>
      <c r="S15" s="385"/>
      <c r="T15" s="385"/>
      <c r="U15" s="385"/>
      <c r="V15" s="385"/>
      <c r="W15" s="385"/>
      <c r="X15" s="385"/>
      <c r="Y15" s="385"/>
      <c r="Z15" s="385"/>
      <c r="AA15" s="385"/>
      <c r="AB15" s="385"/>
      <c r="AD15" s="531"/>
      <c r="AE15" s="384"/>
      <c r="AF15" s="384"/>
      <c r="AG15" s="384"/>
      <c r="AH15" s="384"/>
      <c r="AI15" s="384"/>
      <c r="AJ15" s="384"/>
      <c r="AK15" s="384"/>
      <c r="AL15" s="384"/>
      <c r="AM15" s="384"/>
      <c r="AN15" s="384"/>
      <c r="AO15" s="384"/>
      <c r="AP15" s="384"/>
      <c r="AQ15" s="384"/>
      <c r="AR15" s="384"/>
      <c r="AS15" s="384"/>
      <c r="AT15" s="384"/>
      <c r="AU15" s="384"/>
      <c r="AV15" s="384"/>
      <c r="AW15" s="384"/>
      <c r="AX15" s="384"/>
      <c r="AY15" s="384"/>
      <c r="AZ15" s="384"/>
      <c r="BA15" s="384"/>
      <c r="BB15" s="384"/>
      <c r="BC15" s="384"/>
      <c r="BD15" s="384"/>
      <c r="BE15" s="384"/>
      <c r="BF15" s="384"/>
      <c r="BG15" s="384"/>
      <c r="BH15" s="384"/>
      <c r="BI15" s="384"/>
      <c r="BJ15" s="384"/>
      <c r="BK15" s="384"/>
      <c r="BL15" s="384"/>
      <c r="BM15" s="384"/>
      <c r="BN15" s="384"/>
      <c r="BO15" s="384"/>
      <c r="BP15" s="384"/>
      <c r="BQ15" s="384"/>
      <c r="BR15" s="384"/>
      <c r="BS15" s="384"/>
      <c r="BT15" s="384"/>
      <c r="BU15" s="384"/>
      <c r="BV15" s="384"/>
      <c r="BW15" s="384"/>
      <c r="BX15" s="384"/>
      <c r="BY15" s="384"/>
      <c r="BZ15" s="384"/>
    </row>
    <row r="16" spans="1:79" s="51" customFormat="1" ht="15" outlineLevel="2">
      <c r="A16" s="50"/>
      <c r="B16" s="367"/>
      <c r="C16" s="370"/>
      <c r="D16" s="639">
        <f t="shared" ref="D16:D23" si="14">D15+1</f>
        <v>5</v>
      </c>
      <c r="E16" s="640">
        <f t="shared" si="12"/>
        <v>8.3333333333333329E-2</v>
      </c>
      <c r="F16" s="531"/>
      <c r="G16" s="385"/>
      <c r="H16" s="385"/>
      <c r="I16" s="385"/>
      <c r="J16" s="385"/>
      <c r="K16" s="385"/>
      <c r="L16" s="531"/>
      <c r="M16" s="385"/>
      <c r="N16" s="385"/>
      <c r="O16" s="385"/>
      <c r="P16" s="385"/>
      <c r="Q16" s="385"/>
      <c r="R16" s="385"/>
      <c r="S16" s="385"/>
      <c r="T16" s="385"/>
      <c r="U16" s="385"/>
      <c r="V16" s="385"/>
      <c r="W16" s="385"/>
      <c r="X16" s="385"/>
      <c r="Y16" s="385"/>
      <c r="Z16" s="385"/>
      <c r="AA16" s="385"/>
      <c r="AB16" s="385"/>
      <c r="AD16" s="531"/>
      <c r="AE16" s="384"/>
      <c r="AF16" s="384"/>
      <c r="AG16" s="384"/>
      <c r="AH16" s="384"/>
      <c r="AI16" s="384"/>
      <c r="AJ16" s="384"/>
      <c r="AK16" s="384"/>
      <c r="AL16" s="384"/>
      <c r="AM16" s="384"/>
      <c r="AN16" s="384"/>
      <c r="AO16" s="384"/>
      <c r="AP16" s="384"/>
      <c r="AQ16" s="384"/>
      <c r="AR16" s="384"/>
      <c r="AS16" s="384"/>
      <c r="AT16" s="384"/>
      <c r="AU16" s="384"/>
      <c r="AV16" s="384"/>
      <c r="AW16" s="384"/>
      <c r="AX16" s="384"/>
      <c r="AY16" s="384"/>
      <c r="AZ16" s="384"/>
      <c r="BA16" s="384"/>
      <c r="BB16" s="384"/>
      <c r="BC16" s="384"/>
      <c r="BD16" s="384"/>
      <c r="BE16" s="384"/>
      <c r="BF16" s="384"/>
      <c r="BG16" s="384"/>
      <c r="BH16" s="384"/>
      <c r="BI16" s="384"/>
      <c r="BJ16" s="384"/>
      <c r="BK16" s="384"/>
      <c r="BL16" s="384"/>
      <c r="BM16" s="384"/>
      <c r="BN16" s="384"/>
      <c r="BO16" s="384"/>
      <c r="BP16" s="384"/>
      <c r="BQ16" s="384"/>
      <c r="BR16" s="384"/>
      <c r="BS16" s="384"/>
      <c r="BT16" s="384"/>
      <c r="BU16" s="384"/>
      <c r="BV16" s="384"/>
      <c r="BW16" s="384"/>
      <c r="BX16" s="384"/>
      <c r="BY16" s="384"/>
      <c r="BZ16" s="384"/>
    </row>
    <row r="17" spans="1:78" s="51" customFormat="1" ht="15" outlineLevel="2">
      <c r="A17" s="50"/>
      <c r="B17" s="367"/>
      <c r="C17" s="370"/>
      <c r="D17" s="639">
        <f t="shared" si="14"/>
        <v>6</v>
      </c>
      <c r="E17" s="640">
        <f t="shared" si="12"/>
        <v>8.3333333333333329E-2</v>
      </c>
      <c r="F17" s="531"/>
      <c r="G17" s="385"/>
      <c r="H17" s="385"/>
      <c r="I17" s="385"/>
      <c r="J17" s="385"/>
      <c r="K17" s="385"/>
      <c r="L17" s="531"/>
      <c r="M17" s="385"/>
      <c r="N17" s="385"/>
      <c r="O17" s="385"/>
      <c r="P17" s="385"/>
      <c r="Q17" s="385"/>
      <c r="R17" s="385"/>
      <c r="S17" s="385"/>
      <c r="T17" s="385"/>
      <c r="U17" s="385"/>
      <c r="V17" s="385"/>
      <c r="W17" s="385"/>
      <c r="X17" s="385"/>
      <c r="Y17" s="385"/>
      <c r="Z17" s="385"/>
      <c r="AA17" s="385"/>
      <c r="AB17" s="385"/>
      <c r="AD17" s="531"/>
      <c r="AE17" s="384"/>
      <c r="AF17" s="384"/>
      <c r="AG17" s="384"/>
      <c r="AH17" s="384"/>
      <c r="AI17" s="384"/>
      <c r="AJ17" s="384"/>
      <c r="AK17" s="384"/>
      <c r="AL17" s="384"/>
      <c r="AM17" s="384"/>
      <c r="AN17" s="384"/>
      <c r="AO17" s="384"/>
      <c r="AP17" s="384"/>
      <c r="AQ17" s="384"/>
      <c r="AR17" s="384"/>
      <c r="AS17" s="384"/>
      <c r="AT17" s="384"/>
      <c r="AU17" s="384"/>
      <c r="AV17" s="384"/>
      <c r="AW17" s="384"/>
      <c r="AX17" s="384"/>
      <c r="AY17" s="384"/>
      <c r="AZ17" s="384"/>
      <c r="BA17" s="384"/>
      <c r="BB17" s="384"/>
      <c r="BC17" s="384"/>
      <c r="BD17" s="384"/>
      <c r="BE17" s="384"/>
      <c r="BF17" s="384"/>
      <c r="BG17" s="384"/>
      <c r="BH17" s="384"/>
      <c r="BI17" s="384"/>
      <c r="BJ17" s="384"/>
      <c r="BK17" s="384"/>
      <c r="BL17" s="384"/>
      <c r="BM17" s="384"/>
      <c r="BN17" s="384"/>
      <c r="BO17" s="384"/>
      <c r="BP17" s="384"/>
      <c r="BQ17" s="384"/>
      <c r="BR17" s="384"/>
      <c r="BS17" s="384"/>
      <c r="BT17" s="384"/>
      <c r="BU17" s="384"/>
      <c r="BV17" s="384"/>
      <c r="BW17" s="384"/>
      <c r="BX17" s="384"/>
      <c r="BY17" s="384"/>
      <c r="BZ17" s="384"/>
    </row>
    <row r="18" spans="1:78" s="51" customFormat="1" ht="15" outlineLevel="2">
      <c r="A18" s="50"/>
      <c r="B18" s="367"/>
      <c r="C18" s="370"/>
      <c r="D18" s="639">
        <f t="shared" si="14"/>
        <v>7</v>
      </c>
      <c r="E18" s="640">
        <f t="shared" si="12"/>
        <v>8.3333333333333329E-2</v>
      </c>
      <c r="F18" s="531"/>
      <c r="G18" s="385"/>
      <c r="H18" s="385"/>
      <c r="I18" s="385"/>
      <c r="J18" s="385"/>
      <c r="K18" s="385"/>
      <c r="L18" s="531"/>
      <c r="M18" s="385"/>
      <c r="N18" s="385"/>
      <c r="O18" s="385"/>
      <c r="P18" s="385"/>
      <c r="Q18" s="385"/>
      <c r="R18" s="385"/>
      <c r="S18" s="385"/>
      <c r="T18" s="385"/>
      <c r="U18" s="385"/>
      <c r="V18" s="385"/>
      <c r="W18" s="385"/>
      <c r="X18" s="385"/>
      <c r="Y18" s="385"/>
      <c r="Z18" s="385"/>
      <c r="AA18" s="385"/>
      <c r="AB18" s="385"/>
      <c r="AD18" s="531"/>
      <c r="AE18" s="384"/>
      <c r="AF18" s="384"/>
      <c r="AG18" s="384"/>
      <c r="AH18" s="384"/>
      <c r="AI18" s="384"/>
      <c r="AJ18" s="384"/>
      <c r="AK18" s="384"/>
      <c r="AL18" s="384"/>
      <c r="AM18" s="384"/>
      <c r="AN18" s="384"/>
      <c r="AO18" s="384"/>
      <c r="AP18" s="384"/>
      <c r="AQ18" s="384"/>
      <c r="AR18" s="384"/>
      <c r="AS18" s="384"/>
      <c r="AT18" s="384"/>
      <c r="AU18" s="384"/>
      <c r="AV18" s="384"/>
      <c r="AW18" s="384"/>
      <c r="AX18" s="384"/>
      <c r="AY18" s="384"/>
      <c r="AZ18" s="384"/>
      <c r="BA18" s="384"/>
      <c r="BB18" s="384"/>
      <c r="BC18" s="384"/>
      <c r="BD18" s="384"/>
      <c r="BE18" s="384"/>
      <c r="BF18" s="384"/>
      <c r="BG18" s="384"/>
      <c r="BH18" s="384"/>
      <c r="BI18" s="384"/>
      <c r="BJ18" s="384"/>
      <c r="BK18" s="384"/>
      <c r="BL18" s="384"/>
      <c r="BM18" s="384"/>
      <c r="BN18" s="384"/>
      <c r="BO18" s="384"/>
      <c r="BP18" s="384"/>
      <c r="BQ18" s="384"/>
      <c r="BR18" s="384"/>
      <c r="BS18" s="384"/>
      <c r="BT18" s="384"/>
      <c r="BU18" s="384"/>
      <c r="BV18" s="384"/>
      <c r="BW18" s="384"/>
      <c r="BX18" s="384"/>
      <c r="BY18" s="384"/>
      <c r="BZ18" s="384"/>
    </row>
    <row r="19" spans="1:78" s="51" customFormat="1" ht="15" outlineLevel="2">
      <c r="A19" s="50"/>
      <c r="B19" s="367"/>
      <c r="C19" s="370"/>
      <c r="D19" s="639">
        <f t="shared" si="14"/>
        <v>8</v>
      </c>
      <c r="E19" s="640">
        <f t="shared" si="12"/>
        <v>8.3333333333333329E-2</v>
      </c>
      <c r="F19" s="531"/>
      <c r="G19" s="385"/>
      <c r="H19" s="385"/>
      <c r="I19" s="385"/>
      <c r="J19" s="385"/>
      <c r="K19" s="385"/>
      <c r="L19" s="531"/>
      <c r="M19" s="385"/>
      <c r="N19" s="385"/>
      <c r="O19" s="385"/>
      <c r="P19" s="385"/>
      <c r="Q19" s="385"/>
      <c r="R19" s="385"/>
      <c r="S19" s="385"/>
      <c r="T19" s="385"/>
      <c r="U19" s="385"/>
      <c r="V19" s="385"/>
      <c r="W19" s="385"/>
      <c r="X19" s="385"/>
      <c r="Y19" s="385"/>
      <c r="Z19" s="385"/>
      <c r="AA19" s="385"/>
      <c r="AB19" s="385"/>
      <c r="AD19" s="531"/>
      <c r="AE19" s="384"/>
      <c r="AF19" s="384"/>
      <c r="AG19" s="384"/>
      <c r="AH19" s="384"/>
      <c r="AI19" s="384"/>
      <c r="AJ19" s="384"/>
      <c r="AK19" s="384"/>
      <c r="AL19" s="384"/>
      <c r="AM19" s="384"/>
      <c r="AN19" s="384"/>
      <c r="AO19" s="384"/>
      <c r="AP19" s="384"/>
      <c r="AQ19" s="384"/>
      <c r="AR19" s="384"/>
      <c r="AS19" s="384"/>
      <c r="AT19" s="384"/>
      <c r="AU19" s="384"/>
      <c r="AV19" s="384"/>
      <c r="AW19" s="384"/>
      <c r="AX19" s="384"/>
      <c r="AY19" s="384"/>
      <c r="AZ19" s="384"/>
      <c r="BA19" s="384"/>
      <c r="BB19" s="384"/>
      <c r="BC19" s="384"/>
      <c r="BD19" s="384"/>
      <c r="BE19" s="384"/>
      <c r="BF19" s="384"/>
      <c r="BG19" s="384"/>
      <c r="BH19" s="384"/>
      <c r="BI19" s="384"/>
      <c r="BJ19" s="384"/>
      <c r="BK19" s="384"/>
      <c r="BL19" s="384"/>
      <c r="BM19" s="384"/>
      <c r="BN19" s="384"/>
      <c r="BO19" s="384"/>
      <c r="BP19" s="384"/>
      <c r="BQ19" s="384"/>
      <c r="BR19" s="384"/>
      <c r="BS19" s="384"/>
      <c r="BT19" s="384"/>
      <c r="BU19" s="384"/>
      <c r="BV19" s="384"/>
      <c r="BW19" s="384"/>
      <c r="BX19" s="384"/>
      <c r="BY19" s="384"/>
      <c r="BZ19" s="384"/>
    </row>
    <row r="20" spans="1:78" s="51" customFormat="1" ht="15" outlineLevel="2">
      <c r="A20" s="50"/>
      <c r="B20" s="367"/>
      <c r="C20" s="370"/>
      <c r="D20" s="639">
        <f t="shared" si="14"/>
        <v>9</v>
      </c>
      <c r="E20" s="640">
        <f t="shared" si="12"/>
        <v>8.3333333333333329E-2</v>
      </c>
      <c r="F20" s="531"/>
      <c r="G20" s="385"/>
      <c r="H20" s="385"/>
      <c r="I20" s="385"/>
      <c r="J20" s="385"/>
      <c r="K20" s="385"/>
      <c r="L20" s="531"/>
      <c r="M20" s="385"/>
      <c r="N20" s="385"/>
      <c r="O20" s="385"/>
      <c r="P20" s="385"/>
      <c r="Q20" s="385"/>
      <c r="R20" s="385"/>
      <c r="S20" s="385"/>
      <c r="T20" s="385"/>
      <c r="U20" s="385"/>
      <c r="V20" s="385"/>
      <c r="W20" s="385"/>
      <c r="X20" s="385"/>
      <c r="Y20" s="385"/>
      <c r="Z20" s="385"/>
      <c r="AA20" s="385"/>
      <c r="AB20" s="385"/>
      <c r="AD20" s="531"/>
      <c r="AE20" s="384"/>
      <c r="AF20" s="384"/>
      <c r="AG20" s="384"/>
      <c r="AH20" s="384"/>
      <c r="AI20" s="384"/>
      <c r="AJ20" s="384"/>
      <c r="AK20" s="384"/>
      <c r="AL20" s="384"/>
      <c r="AM20" s="384"/>
      <c r="AN20" s="384"/>
      <c r="AO20" s="384"/>
      <c r="AP20" s="384"/>
      <c r="AQ20" s="384"/>
      <c r="AR20" s="384"/>
      <c r="AS20" s="384"/>
      <c r="AT20" s="384"/>
      <c r="AU20" s="384"/>
      <c r="AV20" s="384"/>
      <c r="AW20" s="384"/>
      <c r="AX20" s="384"/>
      <c r="AY20" s="384"/>
      <c r="AZ20" s="384"/>
      <c r="BA20" s="384"/>
      <c r="BB20" s="384"/>
      <c r="BC20" s="384"/>
      <c r="BD20" s="384"/>
      <c r="BE20" s="384"/>
      <c r="BF20" s="384"/>
      <c r="BG20" s="384"/>
      <c r="BH20" s="384"/>
      <c r="BI20" s="384"/>
      <c r="BJ20" s="384"/>
      <c r="BK20" s="384"/>
      <c r="BL20" s="384"/>
      <c r="BM20" s="384"/>
      <c r="BN20" s="384"/>
      <c r="BO20" s="384"/>
      <c r="BP20" s="384"/>
      <c r="BQ20" s="384"/>
      <c r="BR20" s="384"/>
      <c r="BS20" s="384"/>
      <c r="BT20" s="384"/>
      <c r="BU20" s="384"/>
      <c r="BV20" s="384"/>
      <c r="BW20" s="384"/>
      <c r="BX20" s="384"/>
      <c r="BY20" s="384"/>
      <c r="BZ20" s="384"/>
    </row>
    <row r="21" spans="1:78" s="51" customFormat="1" ht="15" outlineLevel="2">
      <c r="A21" s="50"/>
      <c r="B21" s="367"/>
      <c r="C21" s="370"/>
      <c r="D21" s="639">
        <f t="shared" si="14"/>
        <v>10</v>
      </c>
      <c r="E21" s="640">
        <f t="shared" si="12"/>
        <v>8.3333333333333329E-2</v>
      </c>
      <c r="F21" s="531"/>
      <c r="G21" s="385"/>
      <c r="H21" s="385"/>
      <c r="I21" s="385"/>
      <c r="J21" s="385"/>
      <c r="K21" s="385"/>
      <c r="L21" s="531"/>
      <c r="M21" s="385"/>
      <c r="N21" s="385"/>
      <c r="O21" s="385"/>
      <c r="P21" s="385"/>
      <c r="Q21" s="385"/>
      <c r="R21" s="385"/>
      <c r="S21" s="385"/>
      <c r="T21" s="385"/>
      <c r="U21" s="385"/>
      <c r="V21" s="385"/>
      <c r="W21" s="385"/>
      <c r="X21" s="385"/>
      <c r="Y21" s="385"/>
      <c r="Z21" s="385"/>
      <c r="AA21" s="385"/>
      <c r="AB21" s="385"/>
      <c r="AD21" s="531"/>
      <c r="AE21" s="384"/>
      <c r="AF21" s="384"/>
      <c r="AG21" s="384"/>
      <c r="AH21" s="384"/>
      <c r="AI21" s="384"/>
      <c r="AJ21" s="384"/>
      <c r="AK21" s="384"/>
      <c r="AL21" s="384"/>
      <c r="AM21" s="384"/>
      <c r="AN21" s="384"/>
      <c r="AO21" s="384"/>
      <c r="AP21" s="384"/>
      <c r="AQ21" s="384"/>
      <c r="AR21" s="384"/>
      <c r="AS21" s="384"/>
      <c r="AT21" s="384"/>
      <c r="AU21" s="384"/>
      <c r="AV21" s="384"/>
      <c r="AW21" s="384"/>
      <c r="AX21" s="384"/>
      <c r="AY21" s="384"/>
      <c r="AZ21" s="384"/>
      <c r="BA21" s="384"/>
      <c r="BB21" s="384"/>
      <c r="BC21" s="384"/>
      <c r="BD21" s="384"/>
      <c r="BE21" s="384"/>
      <c r="BF21" s="384"/>
      <c r="BG21" s="384"/>
      <c r="BH21" s="384"/>
      <c r="BI21" s="384"/>
      <c r="BJ21" s="384"/>
      <c r="BK21" s="384"/>
      <c r="BL21" s="384"/>
      <c r="BM21" s="384"/>
      <c r="BN21" s="384"/>
      <c r="BO21" s="384"/>
      <c r="BP21" s="384"/>
      <c r="BQ21" s="384"/>
      <c r="BR21" s="384"/>
      <c r="BS21" s="384"/>
      <c r="BT21" s="384"/>
      <c r="BU21" s="384"/>
      <c r="BV21" s="384"/>
      <c r="BW21" s="384"/>
      <c r="BX21" s="384"/>
      <c r="BY21" s="384"/>
      <c r="BZ21" s="384"/>
    </row>
    <row r="22" spans="1:78" s="51" customFormat="1" ht="15" outlineLevel="2">
      <c r="A22" s="50"/>
      <c r="B22" s="367"/>
      <c r="C22" s="370"/>
      <c r="D22" s="639">
        <f t="shared" si="14"/>
        <v>11</v>
      </c>
      <c r="E22" s="640">
        <f t="shared" si="12"/>
        <v>8.3333333333333329E-2</v>
      </c>
      <c r="F22" s="531"/>
      <c r="G22" s="385"/>
      <c r="H22" s="385"/>
      <c r="I22" s="385"/>
      <c r="J22" s="385"/>
      <c r="K22" s="385"/>
      <c r="L22" s="531"/>
      <c r="M22" s="385"/>
      <c r="N22" s="385"/>
      <c r="O22" s="385"/>
      <c r="P22" s="385"/>
      <c r="Q22" s="385"/>
      <c r="R22" s="385"/>
      <c r="S22" s="385"/>
      <c r="T22" s="385"/>
      <c r="U22" s="385"/>
      <c r="V22" s="385"/>
      <c r="W22" s="385"/>
      <c r="X22" s="385"/>
      <c r="Y22" s="385"/>
      <c r="Z22" s="385"/>
      <c r="AA22" s="385"/>
      <c r="AB22" s="385"/>
      <c r="AD22" s="531"/>
      <c r="AE22" s="384"/>
      <c r="AF22" s="384"/>
      <c r="AG22" s="384"/>
      <c r="AH22" s="384"/>
      <c r="AI22" s="384"/>
      <c r="AJ22" s="384"/>
      <c r="AK22" s="384"/>
      <c r="AL22" s="384"/>
      <c r="AM22" s="384"/>
      <c r="AN22" s="384"/>
      <c r="AO22" s="384"/>
      <c r="AP22" s="384"/>
      <c r="AQ22" s="384"/>
      <c r="AR22" s="384"/>
      <c r="AS22" s="384"/>
      <c r="AT22" s="384"/>
      <c r="AU22" s="384"/>
      <c r="AV22" s="384"/>
      <c r="AW22" s="384"/>
      <c r="AX22" s="384"/>
      <c r="AY22" s="384"/>
      <c r="AZ22" s="384"/>
      <c r="BA22" s="384"/>
      <c r="BB22" s="384"/>
      <c r="BC22" s="384"/>
      <c r="BD22" s="384"/>
      <c r="BE22" s="384"/>
      <c r="BF22" s="384"/>
      <c r="BG22" s="384"/>
      <c r="BH22" s="384"/>
      <c r="BI22" s="384"/>
      <c r="BJ22" s="384"/>
      <c r="BK22" s="384"/>
      <c r="BL22" s="384"/>
      <c r="BM22" s="384"/>
      <c r="BN22" s="384"/>
      <c r="BO22" s="384"/>
      <c r="BP22" s="384"/>
      <c r="BQ22" s="384"/>
      <c r="BR22" s="384"/>
      <c r="BS22" s="384"/>
      <c r="BT22" s="384"/>
      <c r="BU22" s="384"/>
      <c r="BV22" s="384"/>
      <c r="BW22" s="384"/>
      <c r="BX22" s="384"/>
      <c r="BY22" s="384"/>
      <c r="BZ22" s="384"/>
    </row>
    <row r="23" spans="1:78" s="51" customFormat="1" ht="15" outlineLevel="2">
      <c r="A23" s="50"/>
      <c r="B23" s="367"/>
      <c r="C23" s="370"/>
      <c r="D23" s="639">
        <f t="shared" si="14"/>
        <v>12</v>
      </c>
      <c r="E23" s="640">
        <f t="shared" si="12"/>
        <v>8.3333333333333329E-2</v>
      </c>
      <c r="F23" s="531"/>
      <c r="G23" s="385"/>
      <c r="H23" s="385"/>
      <c r="I23" s="385"/>
      <c r="J23" s="385"/>
      <c r="K23" s="385"/>
      <c r="L23" s="531"/>
      <c r="M23" s="385"/>
      <c r="N23" s="385"/>
      <c r="O23" s="385"/>
      <c r="P23" s="385"/>
      <c r="Q23" s="385"/>
      <c r="R23" s="385"/>
      <c r="S23" s="385"/>
      <c r="T23" s="385"/>
      <c r="U23" s="385"/>
      <c r="V23" s="385"/>
      <c r="W23" s="385"/>
      <c r="X23" s="385"/>
      <c r="Y23" s="385"/>
      <c r="Z23" s="385"/>
      <c r="AA23" s="385"/>
      <c r="AB23" s="385"/>
      <c r="AD23" s="531"/>
      <c r="AE23" s="384"/>
      <c r="AF23" s="384"/>
      <c r="AG23" s="384"/>
      <c r="AH23" s="384"/>
      <c r="AI23" s="384"/>
      <c r="AJ23" s="384"/>
      <c r="AK23" s="384"/>
      <c r="AL23" s="384"/>
      <c r="AM23" s="384"/>
      <c r="AN23" s="384"/>
      <c r="AO23" s="384"/>
      <c r="AP23" s="384"/>
      <c r="AQ23" s="384"/>
      <c r="AR23" s="384"/>
      <c r="AS23" s="384"/>
      <c r="AT23" s="384"/>
      <c r="AU23" s="384"/>
      <c r="AV23" s="384"/>
      <c r="AW23" s="384"/>
      <c r="AX23" s="384"/>
      <c r="AY23" s="384"/>
      <c r="AZ23" s="384"/>
      <c r="BA23" s="384"/>
      <c r="BB23" s="384"/>
      <c r="BC23" s="384"/>
      <c r="BD23" s="384"/>
      <c r="BE23" s="384"/>
      <c r="BF23" s="384"/>
      <c r="BG23" s="384"/>
      <c r="BH23" s="384"/>
      <c r="BI23" s="384"/>
      <c r="BJ23" s="384"/>
      <c r="BK23" s="384"/>
      <c r="BL23" s="384"/>
      <c r="BM23" s="384"/>
      <c r="BN23" s="384"/>
      <c r="BO23" s="384"/>
      <c r="BP23" s="384"/>
      <c r="BQ23" s="384"/>
      <c r="BR23" s="384"/>
      <c r="BS23" s="384"/>
      <c r="BT23" s="384"/>
      <c r="BU23" s="384"/>
      <c r="BV23" s="384"/>
      <c r="BW23" s="384"/>
      <c r="BX23" s="384"/>
      <c r="BY23" s="384"/>
      <c r="BZ23" s="384"/>
    </row>
    <row r="24" spans="1:78" s="51" customFormat="1" ht="15" outlineLevel="1" collapsed="1">
      <c r="A24" s="50"/>
      <c r="B24" s="367"/>
      <c r="C24" s="370"/>
      <c r="D24" s="383" t="s">
        <v>417</v>
      </c>
      <c r="E24" s="369"/>
      <c r="F24" s="531"/>
      <c r="G24" s="385"/>
      <c r="H24" s="385"/>
      <c r="I24" s="385"/>
      <c r="J24" s="385"/>
      <c r="K24" s="385"/>
      <c r="L24" s="531"/>
      <c r="M24" s="385"/>
      <c r="N24" s="385"/>
      <c r="O24" s="385"/>
      <c r="P24" s="385"/>
      <c r="Q24" s="385"/>
      <c r="R24" s="385"/>
      <c r="S24" s="385"/>
      <c r="T24" s="385"/>
      <c r="U24" s="385"/>
      <c r="V24" s="385"/>
      <c r="W24" s="385"/>
      <c r="X24" s="385"/>
      <c r="Y24" s="385"/>
      <c r="Z24" s="385"/>
      <c r="AA24" s="385"/>
      <c r="AB24" s="385"/>
      <c r="AD24" s="531"/>
      <c r="AE24" s="384"/>
      <c r="AF24" s="384"/>
      <c r="AG24" s="384"/>
      <c r="AH24" s="384"/>
      <c r="AI24" s="384"/>
      <c r="AJ24" s="384"/>
      <c r="AK24" s="384"/>
      <c r="AL24" s="384"/>
      <c r="AM24" s="384"/>
      <c r="AN24" s="384"/>
      <c r="AO24" s="384"/>
      <c r="AP24" s="384"/>
      <c r="AQ24" s="384"/>
      <c r="AR24" s="384"/>
      <c r="AS24" s="384"/>
      <c r="AT24" s="384"/>
      <c r="AU24" s="384"/>
      <c r="AV24" s="384"/>
      <c r="AW24" s="384"/>
      <c r="AX24" s="384"/>
      <c r="AY24" s="384"/>
      <c r="AZ24" s="384"/>
      <c r="BA24" s="384"/>
      <c r="BB24" s="384"/>
      <c r="BC24" s="384"/>
      <c r="BD24" s="384"/>
      <c r="BE24" s="384"/>
      <c r="BF24" s="384"/>
      <c r="BG24" s="384"/>
      <c r="BH24" s="384"/>
      <c r="BI24" s="384"/>
      <c r="BJ24" s="384"/>
      <c r="BK24" s="384"/>
      <c r="BL24" s="384"/>
      <c r="BM24" s="384"/>
      <c r="BN24" s="384"/>
      <c r="BO24" s="384"/>
      <c r="BP24" s="384"/>
      <c r="BQ24" s="384"/>
      <c r="BR24" s="384"/>
      <c r="BS24" s="384"/>
      <c r="BT24" s="384"/>
      <c r="BU24" s="384"/>
      <c r="BV24" s="384"/>
      <c r="BW24" s="384"/>
      <c r="BX24" s="384"/>
      <c r="BY24" s="384"/>
      <c r="BZ24" s="384"/>
    </row>
    <row r="25" spans="1:78" s="51" customFormat="1" ht="15" hidden="1" outlineLevel="2">
      <c r="A25" s="50"/>
      <c r="B25" s="367"/>
      <c r="C25" s="370"/>
      <c r="D25" s="639">
        <v>0</v>
      </c>
      <c r="E25" s="640">
        <v>0.33333333333333331</v>
      </c>
      <c r="F25" s="531"/>
      <c r="G25" s="385"/>
      <c r="H25" s="385"/>
      <c r="I25" s="385"/>
      <c r="J25" s="385"/>
      <c r="K25" s="385"/>
      <c r="L25" s="531"/>
      <c r="M25" s="385"/>
      <c r="N25" s="385"/>
      <c r="O25" s="385"/>
      <c r="P25" s="385"/>
      <c r="Q25" s="385"/>
      <c r="R25" s="385"/>
      <c r="S25" s="385"/>
      <c r="T25" s="385"/>
      <c r="U25" s="385"/>
      <c r="V25" s="385"/>
      <c r="W25" s="385"/>
      <c r="X25" s="385"/>
      <c r="Y25" s="385"/>
      <c r="Z25" s="385"/>
      <c r="AA25" s="385"/>
      <c r="AB25" s="385"/>
      <c r="AD25" s="531"/>
      <c r="AE25" s="384"/>
      <c r="AF25" s="384"/>
      <c r="AG25" s="384"/>
      <c r="AH25" s="384"/>
      <c r="AI25" s="384"/>
      <c r="AJ25" s="384"/>
      <c r="AK25" s="384"/>
      <c r="AL25" s="384"/>
      <c r="AM25" s="384"/>
      <c r="AN25" s="384"/>
      <c r="AO25" s="384"/>
      <c r="AP25" s="384"/>
      <c r="AQ25" s="384"/>
      <c r="AR25" s="384"/>
      <c r="AS25" s="384"/>
      <c r="AT25" s="384"/>
      <c r="AU25" s="384"/>
      <c r="AV25" s="384"/>
      <c r="AW25" s="384"/>
      <c r="AX25" s="384"/>
      <c r="AY25" s="384"/>
      <c r="AZ25" s="384"/>
      <c r="BA25" s="384"/>
      <c r="BB25" s="384"/>
      <c r="BC25" s="384"/>
      <c r="BD25" s="384"/>
      <c r="BE25" s="384"/>
      <c r="BF25" s="384"/>
      <c r="BG25" s="384"/>
      <c r="BH25" s="384"/>
      <c r="BI25" s="384"/>
      <c r="BJ25" s="384"/>
      <c r="BK25" s="384"/>
      <c r="BL25" s="384"/>
      <c r="BM25" s="384"/>
      <c r="BN25" s="384"/>
      <c r="BO25" s="384"/>
      <c r="BP25" s="384"/>
      <c r="BQ25" s="384"/>
      <c r="BR25" s="384"/>
      <c r="BS25" s="384"/>
      <c r="BT25" s="384"/>
      <c r="BU25" s="384"/>
      <c r="BV25" s="384"/>
      <c r="BW25" s="384"/>
      <c r="BX25" s="384"/>
      <c r="BY25" s="384"/>
      <c r="BZ25" s="384"/>
    </row>
    <row r="26" spans="1:78" s="51" customFormat="1" ht="15" hidden="1" outlineLevel="2">
      <c r="A26" s="50"/>
      <c r="B26" s="367"/>
      <c r="C26" s="370"/>
      <c r="D26" s="639">
        <f>D25+1</f>
        <v>1</v>
      </c>
      <c r="E26" s="640">
        <v>0.33333333333333331</v>
      </c>
      <c r="F26" s="531"/>
      <c r="G26" s="385"/>
      <c r="H26" s="385"/>
      <c r="I26" s="385"/>
      <c r="J26" s="385"/>
      <c r="K26" s="385"/>
      <c r="L26" s="531"/>
      <c r="M26" s="385"/>
      <c r="N26" s="385"/>
      <c r="O26" s="385"/>
      <c r="P26" s="385"/>
      <c r="Q26" s="385"/>
      <c r="R26" s="385"/>
      <c r="S26" s="385"/>
      <c r="T26" s="385"/>
      <c r="U26" s="385"/>
      <c r="V26" s="385"/>
      <c r="W26" s="385"/>
      <c r="X26" s="385"/>
      <c r="Y26" s="385"/>
      <c r="Z26" s="385"/>
      <c r="AA26" s="385"/>
      <c r="AB26" s="385"/>
      <c r="AD26" s="531"/>
      <c r="AE26" s="384"/>
      <c r="AF26" s="384"/>
      <c r="AG26" s="384"/>
      <c r="AH26" s="384"/>
      <c r="AI26" s="384"/>
      <c r="AJ26" s="384"/>
      <c r="AK26" s="384"/>
      <c r="AL26" s="384"/>
      <c r="AM26" s="384"/>
      <c r="AN26" s="384"/>
      <c r="AO26" s="384"/>
      <c r="AP26" s="384"/>
      <c r="AQ26" s="384"/>
      <c r="AR26" s="384"/>
      <c r="AS26" s="384"/>
      <c r="AT26" s="384"/>
      <c r="AU26" s="384"/>
      <c r="AV26" s="384"/>
      <c r="AW26" s="384"/>
      <c r="AX26" s="384"/>
      <c r="AY26" s="384"/>
      <c r="AZ26" s="384"/>
      <c r="BA26" s="384"/>
      <c r="BB26" s="384"/>
      <c r="BC26" s="384"/>
      <c r="BD26" s="384"/>
      <c r="BE26" s="384"/>
      <c r="BF26" s="384"/>
      <c r="BG26" s="384"/>
      <c r="BH26" s="384"/>
      <c r="BI26" s="384"/>
      <c r="BJ26" s="384"/>
      <c r="BK26" s="384"/>
      <c r="BL26" s="384"/>
      <c r="BM26" s="384"/>
      <c r="BN26" s="384"/>
      <c r="BO26" s="384"/>
      <c r="BP26" s="384"/>
      <c r="BQ26" s="384"/>
      <c r="BR26" s="384"/>
      <c r="BS26" s="384"/>
      <c r="BT26" s="384"/>
      <c r="BU26" s="384"/>
      <c r="BV26" s="384"/>
      <c r="BW26" s="384"/>
      <c r="BX26" s="384"/>
      <c r="BY26" s="384"/>
      <c r="BZ26" s="384"/>
    </row>
    <row r="27" spans="1:78" s="51" customFormat="1" ht="15" hidden="1" outlineLevel="2">
      <c r="A27" s="50"/>
      <c r="B27" s="367"/>
      <c r="C27" s="370"/>
      <c r="D27" s="639">
        <f t="shared" ref="D27:D36" si="15">D26+1</f>
        <v>2</v>
      </c>
      <c r="E27" s="640">
        <v>0.33333333333333331</v>
      </c>
      <c r="F27" s="531"/>
      <c r="G27" s="385"/>
      <c r="H27" s="385"/>
      <c r="I27" s="385"/>
      <c r="J27" s="385"/>
      <c r="K27" s="385"/>
      <c r="L27" s="531"/>
      <c r="M27" s="385"/>
      <c r="N27" s="385"/>
      <c r="O27" s="385"/>
      <c r="P27" s="385"/>
      <c r="Q27" s="385"/>
      <c r="R27" s="385"/>
      <c r="S27" s="385"/>
      <c r="T27" s="385"/>
      <c r="U27" s="385"/>
      <c r="V27" s="385"/>
      <c r="W27" s="385"/>
      <c r="X27" s="385"/>
      <c r="Y27" s="385"/>
      <c r="Z27" s="385"/>
      <c r="AA27" s="385"/>
      <c r="AB27" s="385"/>
      <c r="AD27" s="531"/>
      <c r="AE27" s="384"/>
      <c r="AF27" s="384"/>
      <c r="AG27" s="384"/>
      <c r="AH27" s="384"/>
      <c r="AI27" s="384"/>
      <c r="AJ27" s="384"/>
      <c r="AK27" s="384"/>
      <c r="AL27" s="384"/>
      <c r="AM27" s="384"/>
      <c r="AN27" s="384"/>
      <c r="AO27" s="384"/>
      <c r="AP27" s="384"/>
      <c r="AQ27" s="384"/>
      <c r="AR27" s="384"/>
      <c r="AS27" s="384"/>
      <c r="AT27" s="384"/>
      <c r="AU27" s="384"/>
      <c r="AV27" s="384"/>
      <c r="AW27" s="384"/>
      <c r="AX27" s="384"/>
      <c r="AY27" s="384"/>
      <c r="AZ27" s="384"/>
      <c r="BA27" s="384"/>
      <c r="BB27" s="384"/>
      <c r="BC27" s="384"/>
      <c r="BD27" s="384"/>
      <c r="BE27" s="384"/>
      <c r="BF27" s="384"/>
      <c r="BG27" s="384"/>
      <c r="BH27" s="384"/>
      <c r="BI27" s="384"/>
      <c r="BJ27" s="384"/>
      <c r="BK27" s="384"/>
      <c r="BL27" s="384"/>
      <c r="BM27" s="384"/>
      <c r="BN27" s="384"/>
      <c r="BO27" s="384"/>
      <c r="BP27" s="384"/>
      <c r="BQ27" s="384"/>
      <c r="BR27" s="384"/>
      <c r="BS27" s="384"/>
      <c r="BT27" s="384"/>
      <c r="BU27" s="384"/>
      <c r="BV27" s="384"/>
      <c r="BW27" s="384"/>
      <c r="BX27" s="384"/>
      <c r="BY27" s="384"/>
      <c r="BZ27" s="384"/>
    </row>
    <row r="28" spans="1:78" s="51" customFormat="1" ht="15" hidden="1" outlineLevel="2">
      <c r="A28" s="50"/>
      <c r="B28" s="367"/>
      <c r="C28" s="370"/>
      <c r="D28" s="639">
        <f t="shared" si="15"/>
        <v>3</v>
      </c>
      <c r="E28" s="640">
        <v>0</v>
      </c>
      <c r="F28" s="531"/>
      <c r="G28" s="385"/>
      <c r="H28" s="385"/>
      <c r="I28" s="385"/>
      <c r="J28" s="385"/>
      <c r="K28" s="385"/>
      <c r="L28" s="531"/>
      <c r="M28" s="385"/>
      <c r="N28" s="385"/>
      <c r="O28" s="385"/>
      <c r="P28" s="385"/>
      <c r="Q28" s="385"/>
      <c r="R28" s="385"/>
      <c r="S28" s="385"/>
      <c r="T28" s="385"/>
      <c r="U28" s="385"/>
      <c r="V28" s="385"/>
      <c r="W28" s="385"/>
      <c r="X28" s="385"/>
      <c r="Y28" s="385"/>
      <c r="Z28" s="385"/>
      <c r="AA28" s="385"/>
      <c r="AB28" s="385"/>
      <c r="AD28" s="531"/>
      <c r="AE28" s="384"/>
      <c r="AF28" s="384"/>
      <c r="AG28" s="384"/>
      <c r="AH28" s="384"/>
      <c r="AI28" s="384"/>
      <c r="AJ28" s="384"/>
      <c r="AK28" s="384"/>
      <c r="AL28" s="384"/>
      <c r="AM28" s="384"/>
      <c r="AN28" s="384"/>
      <c r="AO28" s="384"/>
      <c r="AP28" s="384"/>
      <c r="AQ28" s="384"/>
      <c r="AR28" s="384"/>
      <c r="AS28" s="384"/>
      <c r="AT28" s="384"/>
      <c r="AU28" s="384"/>
      <c r="AV28" s="384"/>
      <c r="AW28" s="384"/>
      <c r="AX28" s="384"/>
      <c r="AY28" s="384"/>
      <c r="AZ28" s="384"/>
      <c r="BA28" s="384"/>
      <c r="BB28" s="384"/>
      <c r="BC28" s="384"/>
      <c r="BD28" s="384"/>
      <c r="BE28" s="384"/>
      <c r="BF28" s="384"/>
      <c r="BG28" s="384"/>
      <c r="BH28" s="384"/>
      <c r="BI28" s="384"/>
      <c r="BJ28" s="384"/>
      <c r="BK28" s="384"/>
      <c r="BL28" s="384"/>
      <c r="BM28" s="384"/>
      <c r="BN28" s="384"/>
      <c r="BO28" s="384"/>
      <c r="BP28" s="384"/>
      <c r="BQ28" s="384"/>
      <c r="BR28" s="384"/>
      <c r="BS28" s="384"/>
      <c r="BT28" s="384"/>
      <c r="BU28" s="384"/>
      <c r="BV28" s="384"/>
      <c r="BW28" s="384"/>
      <c r="BX28" s="384"/>
      <c r="BY28" s="384"/>
      <c r="BZ28" s="384"/>
    </row>
    <row r="29" spans="1:78" s="51" customFormat="1" ht="15" hidden="1" outlineLevel="2">
      <c r="A29" s="50"/>
      <c r="B29" s="367"/>
      <c r="C29" s="370"/>
      <c r="D29" s="639">
        <f t="shared" si="15"/>
        <v>4</v>
      </c>
      <c r="E29" s="640">
        <v>0</v>
      </c>
      <c r="F29" s="531"/>
      <c r="G29" s="385"/>
      <c r="H29" s="385"/>
      <c r="I29" s="385"/>
      <c r="J29" s="385"/>
      <c r="K29" s="385"/>
      <c r="L29" s="531"/>
      <c r="M29" s="385"/>
      <c r="N29" s="385"/>
      <c r="O29" s="385"/>
      <c r="P29" s="385"/>
      <c r="Q29" s="385"/>
      <c r="R29" s="385"/>
      <c r="S29" s="385"/>
      <c r="T29" s="385"/>
      <c r="U29" s="385"/>
      <c r="V29" s="385"/>
      <c r="W29" s="385"/>
      <c r="X29" s="385"/>
      <c r="Y29" s="385"/>
      <c r="Z29" s="385"/>
      <c r="AA29" s="385"/>
      <c r="AB29" s="385"/>
      <c r="AD29" s="531"/>
      <c r="AE29" s="384"/>
      <c r="AF29" s="384"/>
      <c r="AG29" s="384"/>
      <c r="AH29" s="384"/>
      <c r="AI29" s="384"/>
      <c r="AJ29" s="384"/>
      <c r="AK29" s="384"/>
      <c r="AL29" s="384"/>
      <c r="AM29" s="384"/>
      <c r="AN29" s="384"/>
      <c r="AO29" s="384"/>
      <c r="AP29" s="384"/>
      <c r="AQ29" s="384"/>
      <c r="AR29" s="384"/>
      <c r="AS29" s="384"/>
      <c r="AT29" s="384"/>
      <c r="AU29" s="384"/>
      <c r="AV29" s="384"/>
      <c r="AW29" s="384"/>
      <c r="AX29" s="384"/>
      <c r="AY29" s="384"/>
      <c r="AZ29" s="384"/>
      <c r="BA29" s="384"/>
      <c r="BB29" s="384"/>
      <c r="BC29" s="384"/>
      <c r="BD29" s="384"/>
      <c r="BE29" s="384"/>
      <c r="BF29" s="384"/>
      <c r="BG29" s="384"/>
      <c r="BH29" s="384"/>
      <c r="BI29" s="384"/>
      <c r="BJ29" s="384"/>
      <c r="BK29" s="384"/>
      <c r="BL29" s="384"/>
      <c r="BM29" s="384"/>
      <c r="BN29" s="384"/>
      <c r="BO29" s="384"/>
      <c r="BP29" s="384"/>
      <c r="BQ29" s="384"/>
      <c r="BR29" s="384"/>
      <c r="BS29" s="384"/>
      <c r="BT29" s="384"/>
      <c r="BU29" s="384"/>
      <c r="BV29" s="384"/>
      <c r="BW29" s="384"/>
      <c r="BX29" s="384"/>
      <c r="BY29" s="384"/>
      <c r="BZ29" s="384"/>
    </row>
    <row r="30" spans="1:78" s="51" customFormat="1" ht="15" hidden="1" outlineLevel="2">
      <c r="A30" s="50"/>
      <c r="B30" s="367"/>
      <c r="C30" s="370"/>
      <c r="D30" s="639">
        <f t="shared" si="15"/>
        <v>5</v>
      </c>
      <c r="E30" s="640">
        <v>0</v>
      </c>
      <c r="F30" s="531"/>
      <c r="G30" s="385"/>
      <c r="H30" s="385"/>
      <c r="I30" s="385"/>
      <c r="J30" s="385"/>
      <c r="K30" s="385"/>
      <c r="L30" s="531"/>
      <c r="M30" s="385"/>
      <c r="N30" s="385"/>
      <c r="O30" s="385"/>
      <c r="P30" s="385"/>
      <c r="Q30" s="385"/>
      <c r="R30" s="385"/>
      <c r="S30" s="385"/>
      <c r="T30" s="385"/>
      <c r="U30" s="385"/>
      <c r="V30" s="385"/>
      <c r="W30" s="385"/>
      <c r="X30" s="385"/>
      <c r="Y30" s="385"/>
      <c r="Z30" s="385"/>
      <c r="AA30" s="385"/>
      <c r="AB30" s="385"/>
      <c r="AD30" s="531"/>
      <c r="AE30" s="384"/>
      <c r="AF30" s="384"/>
      <c r="AG30" s="384"/>
      <c r="AH30" s="384"/>
      <c r="AI30" s="384"/>
      <c r="AJ30" s="384"/>
      <c r="AK30" s="384"/>
      <c r="AL30" s="384"/>
      <c r="AM30" s="384"/>
      <c r="AN30" s="384"/>
      <c r="AO30" s="384"/>
      <c r="AP30" s="384"/>
      <c r="AQ30" s="384"/>
      <c r="AR30" s="384"/>
      <c r="AS30" s="384"/>
      <c r="AT30" s="384"/>
      <c r="AU30" s="384"/>
      <c r="AV30" s="384"/>
      <c r="AW30" s="384"/>
      <c r="AX30" s="384"/>
      <c r="AY30" s="384"/>
      <c r="AZ30" s="384"/>
      <c r="BA30" s="384"/>
      <c r="BB30" s="384"/>
      <c r="BC30" s="384"/>
      <c r="BD30" s="384"/>
      <c r="BE30" s="384"/>
      <c r="BF30" s="384"/>
      <c r="BG30" s="384"/>
      <c r="BH30" s="384"/>
      <c r="BI30" s="384"/>
      <c r="BJ30" s="384"/>
      <c r="BK30" s="384"/>
      <c r="BL30" s="384"/>
      <c r="BM30" s="384"/>
      <c r="BN30" s="384"/>
      <c r="BO30" s="384"/>
      <c r="BP30" s="384"/>
      <c r="BQ30" s="384"/>
      <c r="BR30" s="384"/>
      <c r="BS30" s="384"/>
      <c r="BT30" s="384"/>
      <c r="BU30" s="384"/>
      <c r="BV30" s="384"/>
      <c r="BW30" s="384"/>
      <c r="BX30" s="384"/>
      <c r="BY30" s="384"/>
      <c r="BZ30" s="384"/>
    </row>
    <row r="31" spans="1:78" s="51" customFormat="1" ht="15" hidden="1" outlineLevel="2">
      <c r="A31" s="50"/>
      <c r="B31" s="367"/>
      <c r="C31" s="370"/>
      <c r="D31" s="639">
        <f t="shared" si="15"/>
        <v>6</v>
      </c>
      <c r="E31" s="640">
        <v>0</v>
      </c>
      <c r="F31" s="531"/>
      <c r="G31" s="385"/>
      <c r="H31" s="385"/>
      <c r="I31" s="385"/>
      <c r="J31" s="385"/>
      <c r="K31" s="385"/>
      <c r="L31" s="531"/>
      <c r="M31" s="385"/>
      <c r="N31" s="385"/>
      <c r="O31" s="385"/>
      <c r="P31" s="385"/>
      <c r="Q31" s="385"/>
      <c r="R31" s="385"/>
      <c r="S31" s="385"/>
      <c r="T31" s="385"/>
      <c r="U31" s="385"/>
      <c r="V31" s="385"/>
      <c r="W31" s="385"/>
      <c r="X31" s="385"/>
      <c r="Y31" s="385"/>
      <c r="Z31" s="385"/>
      <c r="AA31" s="385"/>
      <c r="AB31" s="385"/>
      <c r="AD31" s="531"/>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c r="BF31" s="384"/>
      <c r="BG31" s="384"/>
      <c r="BH31" s="384"/>
      <c r="BI31" s="384"/>
      <c r="BJ31" s="384"/>
      <c r="BK31" s="384"/>
      <c r="BL31" s="384"/>
      <c r="BM31" s="384"/>
      <c r="BN31" s="384"/>
      <c r="BO31" s="384"/>
      <c r="BP31" s="384"/>
      <c r="BQ31" s="384"/>
      <c r="BR31" s="384"/>
      <c r="BS31" s="384"/>
      <c r="BT31" s="384"/>
      <c r="BU31" s="384"/>
      <c r="BV31" s="384"/>
      <c r="BW31" s="384"/>
      <c r="BX31" s="384"/>
      <c r="BY31" s="384"/>
      <c r="BZ31" s="384"/>
    </row>
    <row r="32" spans="1:78" s="51" customFormat="1" ht="15" hidden="1" outlineLevel="2">
      <c r="A32" s="50"/>
      <c r="B32" s="367"/>
      <c r="C32" s="370"/>
      <c r="D32" s="639">
        <f t="shared" si="15"/>
        <v>7</v>
      </c>
      <c r="E32" s="640">
        <v>0</v>
      </c>
      <c r="F32" s="531"/>
      <c r="G32" s="385"/>
      <c r="H32" s="385"/>
      <c r="I32" s="385"/>
      <c r="J32" s="385"/>
      <c r="K32" s="385"/>
      <c r="L32" s="531"/>
      <c r="M32" s="385"/>
      <c r="N32" s="385"/>
      <c r="O32" s="385"/>
      <c r="P32" s="385"/>
      <c r="Q32" s="385"/>
      <c r="R32" s="385"/>
      <c r="S32" s="385"/>
      <c r="T32" s="385"/>
      <c r="U32" s="385"/>
      <c r="V32" s="385"/>
      <c r="W32" s="385"/>
      <c r="X32" s="385"/>
      <c r="Y32" s="385"/>
      <c r="Z32" s="385"/>
      <c r="AA32" s="385"/>
      <c r="AB32" s="385"/>
      <c r="AD32" s="531"/>
      <c r="AE32" s="384"/>
      <c r="AF32" s="384"/>
      <c r="AG32" s="384"/>
      <c r="AH32" s="384"/>
      <c r="AI32" s="384"/>
      <c r="AJ32" s="384"/>
      <c r="AK32" s="384"/>
      <c r="AL32" s="384"/>
      <c r="AM32" s="384"/>
      <c r="AN32" s="384"/>
      <c r="AO32" s="384"/>
      <c r="AP32" s="384"/>
      <c r="AQ32" s="384"/>
      <c r="AR32" s="384"/>
      <c r="AS32" s="384"/>
      <c r="AT32" s="384"/>
      <c r="AU32" s="384"/>
      <c r="AV32" s="384"/>
      <c r="AW32" s="384"/>
      <c r="AX32" s="384"/>
      <c r="AY32" s="384"/>
      <c r="AZ32" s="384"/>
      <c r="BA32" s="384"/>
      <c r="BB32" s="384"/>
      <c r="BC32" s="384"/>
      <c r="BD32" s="384"/>
      <c r="BE32" s="384"/>
      <c r="BF32" s="384"/>
      <c r="BG32" s="384"/>
      <c r="BH32" s="384"/>
      <c r="BI32" s="384"/>
      <c r="BJ32" s="384"/>
      <c r="BK32" s="384"/>
      <c r="BL32" s="384"/>
      <c r="BM32" s="384"/>
      <c r="BN32" s="384"/>
      <c r="BO32" s="384"/>
      <c r="BP32" s="384"/>
      <c r="BQ32" s="384"/>
      <c r="BR32" s="384"/>
      <c r="BS32" s="384"/>
      <c r="BT32" s="384"/>
      <c r="BU32" s="384"/>
      <c r="BV32" s="384"/>
      <c r="BW32" s="384"/>
      <c r="BX32" s="384"/>
      <c r="BY32" s="384"/>
      <c r="BZ32" s="384"/>
    </row>
    <row r="33" spans="1:78" s="51" customFormat="1" ht="15" hidden="1" outlineLevel="2">
      <c r="A33" s="50"/>
      <c r="B33" s="367"/>
      <c r="C33" s="370"/>
      <c r="D33" s="639">
        <f t="shared" si="15"/>
        <v>8</v>
      </c>
      <c r="E33" s="640">
        <v>0</v>
      </c>
      <c r="F33" s="531"/>
      <c r="G33" s="385"/>
      <c r="H33" s="385"/>
      <c r="I33" s="385"/>
      <c r="J33" s="385"/>
      <c r="K33" s="385"/>
      <c r="L33" s="531"/>
      <c r="M33" s="385"/>
      <c r="N33" s="385"/>
      <c r="O33" s="385"/>
      <c r="P33" s="385"/>
      <c r="Q33" s="385"/>
      <c r="R33" s="385"/>
      <c r="S33" s="385"/>
      <c r="T33" s="385"/>
      <c r="U33" s="385"/>
      <c r="V33" s="385"/>
      <c r="W33" s="385"/>
      <c r="X33" s="385"/>
      <c r="Y33" s="385"/>
      <c r="Z33" s="385"/>
      <c r="AA33" s="385"/>
      <c r="AB33" s="385"/>
      <c r="AD33" s="531"/>
      <c r="AE33" s="384"/>
      <c r="AF33" s="384"/>
      <c r="AG33" s="384"/>
      <c r="AH33" s="384"/>
      <c r="AI33" s="384"/>
      <c r="AJ33" s="384"/>
      <c r="AK33" s="384"/>
      <c r="AL33" s="384"/>
      <c r="AM33" s="384"/>
      <c r="AN33" s="384"/>
      <c r="AO33" s="384"/>
      <c r="AP33" s="384"/>
      <c r="AQ33" s="384"/>
      <c r="AR33" s="384"/>
      <c r="AS33" s="384"/>
      <c r="AT33" s="384"/>
      <c r="AU33" s="384"/>
      <c r="AV33" s="384"/>
      <c r="AW33" s="384"/>
      <c r="AX33" s="384"/>
      <c r="AY33" s="384"/>
      <c r="AZ33" s="384"/>
      <c r="BA33" s="384"/>
      <c r="BB33" s="384"/>
      <c r="BC33" s="384"/>
      <c r="BD33" s="384"/>
      <c r="BE33" s="384"/>
      <c r="BF33" s="384"/>
      <c r="BG33" s="384"/>
      <c r="BH33" s="384"/>
      <c r="BI33" s="384"/>
      <c r="BJ33" s="384"/>
      <c r="BK33" s="384"/>
      <c r="BL33" s="384"/>
      <c r="BM33" s="384"/>
      <c r="BN33" s="384"/>
      <c r="BO33" s="384"/>
      <c r="BP33" s="384"/>
      <c r="BQ33" s="384"/>
      <c r="BR33" s="384"/>
      <c r="BS33" s="384"/>
      <c r="BT33" s="384"/>
      <c r="BU33" s="384"/>
      <c r="BV33" s="384"/>
      <c r="BW33" s="384"/>
      <c r="BX33" s="384"/>
      <c r="BY33" s="384"/>
      <c r="BZ33" s="384"/>
    </row>
    <row r="34" spans="1:78" s="51" customFormat="1" ht="15" hidden="1" outlineLevel="2">
      <c r="A34" s="50"/>
      <c r="B34" s="367"/>
      <c r="C34" s="370"/>
      <c r="D34" s="639">
        <f t="shared" si="15"/>
        <v>9</v>
      </c>
      <c r="E34" s="640">
        <v>0</v>
      </c>
      <c r="F34" s="531"/>
      <c r="G34" s="385"/>
      <c r="H34" s="385"/>
      <c r="I34" s="385"/>
      <c r="J34" s="385"/>
      <c r="K34" s="385"/>
      <c r="L34" s="531"/>
      <c r="M34" s="385"/>
      <c r="N34" s="385"/>
      <c r="O34" s="385"/>
      <c r="P34" s="385"/>
      <c r="Q34" s="385"/>
      <c r="R34" s="385"/>
      <c r="S34" s="385"/>
      <c r="T34" s="385"/>
      <c r="U34" s="385"/>
      <c r="V34" s="385"/>
      <c r="W34" s="385"/>
      <c r="X34" s="385"/>
      <c r="Y34" s="385"/>
      <c r="Z34" s="385"/>
      <c r="AA34" s="385"/>
      <c r="AB34" s="385"/>
      <c r="AD34" s="531"/>
      <c r="AE34" s="384"/>
      <c r="AF34" s="384"/>
      <c r="AG34" s="384"/>
      <c r="AH34" s="384"/>
      <c r="AI34" s="384"/>
      <c r="AJ34" s="384"/>
      <c r="AK34" s="384"/>
      <c r="AL34" s="384"/>
      <c r="AM34" s="384"/>
      <c r="AN34" s="384"/>
      <c r="AO34" s="384"/>
      <c r="AP34" s="384"/>
      <c r="AQ34" s="384"/>
      <c r="AR34" s="384"/>
      <c r="AS34" s="384"/>
      <c r="AT34" s="384"/>
      <c r="AU34" s="384"/>
      <c r="AV34" s="384"/>
      <c r="AW34" s="384"/>
      <c r="AX34" s="384"/>
      <c r="AY34" s="384"/>
      <c r="AZ34" s="384"/>
      <c r="BA34" s="384"/>
      <c r="BB34" s="384"/>
      <c r="BC34" s="384"/>
      <c r="BD34" s="384"/>
      <c r="BE34" s="384"/>
      <c r="BF34" s="384"/>
      <c r="BG34" s="384"/>
      <c r="BH34" s="384"/>
      <c r="BI34" s="384"/>
      <c r="BJ34" s="384"/>
      <c r="BK34" s="384"/>
      <c r="BL34" s="384"/>
      <c r="BM34" s="384"/>
      <c r="BN34" s="384"/>
      <c r="BO34" s="384"/>
      <c r="BP34" s="384"/>
      <c r="BQ34" s="384"/>
      <c r="BR34" s="384"/>
      <c r="BS34" s="384"/>
      <c r="BT34" s="384"/>
      <c r="BU34" s="384"/>
      <c r="BV34" s="384"/>
      <c r="BW34" s="384"/>
      <c r="BX34" s="384"/>
      <c r="BY34" s="384"/>
      <c r="BZ34" s="384"/>
    </row>
    <row r="35" spans="1:78" s="51" customFormat="1" ht="15" hidden="1" outlineLevel="2">
      <c r="A35" s="50"/>
      <c r="B35" s="367"/>
      <c r="C35" s="370"/>
      <c r="D35" s="639">
        <f t="shared" si="15"/>
        <v>10</v>
      </c>
      <c r="E35" s="640">
        <v>0</v>
      </c>
      <c r="F35" s="531"/>
      <c r="G35" s="385"/>
      <c r="H35" s="385"/>
      <c r="I35" s="385"/>
      <c r="J35" s="385"/>
      <c r="K35" s="385"/>
      <c r="L35" s="531"/>
      <c r="M35" s="385"/>
      <c r="N35" s="385"/>
      <c r="O35" s="385"/>
      <c r="P35" s="385"/>
      <c r="Q35" s="385"/>
      <c r="R35" s="385"/>
      <c r="S35" s="385"/>
      <c r="T35" s="385"/>
      <c r="U35" s="385"/>
      <c r="V35" s="385"/>
      <c r="W35" s="385"/>
      <c r="X35" s="385"/>
      <c r="Y35" s="385"/>
      <c r="Z35" s="385"/>
      <c r="AA35" s="385"/>
      <c r="AB35" s="385"/>
      <c r="AD35" s="531"/>
      <c r="AE35" s="384"/>
      <c r="AF35" s="384"/>
      <c r="AG35" s="384"/>
      <c r="AH35" s="384"/>
      <c r="AI35" s="384"/>
      <c r="AJ35" s="384"/>
      <c r="AK35" s="384"/>
      <c r="AL35" s="384"/>
      <c r="AM35" s="384"/>
      <c r="AN35" s="384"/>
      <c r="AO35" s="384"/>
      <c r="AP35" s="384"/>
      <c r="AQ35" s="384"/>
      <c r="AR35" s="384"/>
      <c r="AS35" s="384"/>
      <c r="AT35" s="384"/>
      <c r="AU35" s="384"/>
      <c r="AV35" s="384"/>
      <c r="AW35" s="384"/>
      <c r="AX35" s="384"/>
      <c r="AY35" s="384"/>
      <c r="AZ35" s="384"/>
      <c r="BA35" s="384"/>
      <c r="BB35" s="384"/>
      <c r="BC35" s="384"/>
      <c r="BD35" s="384"/>
      <c r="BE35" s="384"/>
      <c r="BF35" s="384"/>
      <c r="BG35" s="384"/>
      <c r="BH35" s="384"/>
      <c r="BI35" s="384"/>
      <c r="BJ35" s="384"/>
      <c r="BK35" s="384"/>
      <c r="BL35" s="384"/>
      <c r="BM35" s="384"/>
      <c r="BN35" s="384"/>
      <c r="BO35" s="384"/>
      <c r="BP35" s="384"/>
      <c r="BQ35" s="384"/>
      <c r="BR35" s="384"/>
      <c r="BS35" s="384"/>
      <c r="BT35" s="384"/>
      <c r="BU35" s="384"/>
      <c r="BV35" s="384"/>
      <c r="BW35" s="384"/>
      <c r="BX35" s="384"/>
      <c r="BY35" s="384"/>
      <c r="BZ35" s="384"/>
    </row>
    <row r="36" spans="1:78" s="51" customFormat="1" ht="15" hidden="1" outlineLevel="2">
      <c r="A36" s="50"/>
      <c r="B36" s="367"/>
      <c r="C36" s="370"/>
      <c r="D36" s="639">
        <f t="shared" si="15"/>
        <v>11</v>
      </c>
      <c r="E36" s="640">
        <v>0</v>
      </c>
      <c r="F36" s="531"/>
      <c r="G36" s="385"/>
      <c r="H36" s="385"/>
      <c r="I36" s="385"/>
      <c r="J36" s="385"/>
      <c r="K36" s="385"/>
      <c r="L36" s="531"/>
      <c r="M36" s="385"/>
      <c r="N36" s="385"/>
      <c r="O36" s="385"/>
      <c r="P36" s="385"/>
      <c r="Q36" s="385"/>
      <c r="R36" s="385"/>
      <c r="S36" s="385"/>
      <c r="T36" s="385"/>
      <c r="U36" s="385"/>
      <c r="V36" s="385"/>
      <c r="W36" s="385"/>
      <c r="X36" s="385"/>
      <c r="Y36" s="385"/>
      <c r="Z36" s="385"/>
      <c r="AA36" s="385"/>
      <c r="AB36" s="385"/>
      <c r="AD36" s="531"/>
      <c r="AE36" s="384"/>
      <c r="AF36" s="384"/>
      <c r="AG36" s="384"/>
      <c r="AH36" s="384"/>
      <c r="AI36" s="384"/>
      <c r="AJ36" s="384"/>
      <c r="AK36" s="384"/>
      <c r="AL36" s="384"/>
      <c r="AM36" s="384"/>
      <c r="AN36" s="384"/>
      <c r="AO36" s="384"/>
      <c r="AP36" s="384"/>
      <c r="AQ36" s="384"/>
      <c r="AR36" s="384"/>
      <c r="AS36" s="384"/>
      <c r="AT36" s="384"/>
      <c r="AU36" s="384"/>
      <c r="AV36" s="384"/>
      <c r="AW36" s="384"/>
      <c r="AX36" s="384"/>
      <c r="AY36" s="384"/>
      <c r="AZ36" s="384"/>
      <c r="BA36" s="384"/>
      <c r="BB36" s="384"/>
      <c r="BC36" s="384"/>
      <c r="BD36" s="384"/>
      <c r="BE36" s="384"/>
      <c r="BF36" s="384"/>
      <c r="BG36" s="384"/>
      <c r="BH36" s="384"/>
      <c r="BI36" s="384"/>
      <c r="BJ36" s="384"/>
      <c r="BK36" s="384"/>
      <c r="BL36" s="384"/>
      <c r="BM36" s="384"/>
      <c r="BN36" s="384"/>
      <c r="BO36" s="384"/>
      <c r="BP36" s="384"/>
      <c r="BQ36" s="384"/>
      <c r="BR36" s="384"/>
      <c r="BS36" s="384"/>
      <c r="BT36" s="384"/>
      <c r="BU36" s="384"/>
      <c r="BV36" s="384"/>
      <c r="BW36" s="384"/>
      <c r="BX36" s="384"/>
      <c r="BY36" s="384"/>
      <c r="BZ36" s="384"/>
    </row>
    <row r="37" spans="1:78" s="51" customFormat="1">
      <c r="B37" s="387"/>
      <c r="C37" s="386"/>
      <c r="E37" s="526"/>
      <c r="F37" s="531"/>
      <c r="G37" s="385"/>
      <c r="H37" s="385"/>
      <c r="I37" s="385"/>
      <c r="J37" s="385"/>
      <c r="K37" s="385"/>
      <c r="L37" s="531"/>
      <c r="M37" s="385"/>
      <c r="N37" s="385"/>
      <c r="O37" s="385"/>
      <c r="P37" s="385"/>
      <c r="Q37" s="385"/>
      <c r="R37" s="385"/>
      <c r="S37" s="385"/>
      <c r="T37" s="385"/>
      <c r="U37" s="385"/>
      <c r="V37" s="385"/>
      <c r="W37" s="385"/>
      <c r="X37" s="385"/>
      <c r="Y37" s="385"/>
      <c r="Z37" s="385"/>
      <c r="AA37" s="385"/>
      <c r="AB37" s="385"/>
      <c r="AD37" s="531"/>
      <c r="AE37" s="384"/>
      <c r="AF37" s="384"/>
      <c r="AG37" s="384"/>
      <c r="AH37" s="384"/>
      <c r="AI37" s="384"/>
      <c r="AJ37" s="384"/>
      <c r="AK37" s="384"/>
      <c r="AL37" s="384"/>
      <c r="AM37" s="384"/>
      <c r="AN37" s="384"/>
      <c r="AO37" s="384"/>
      <c r="AP37" s="384"/>
      <c r="AQ37" s="384"/>
      <c r="AR37" s="384"/>
      <c r="AS37" s="384"/>
      <c r="AT37" s="384"/>
      <c r="AU37" s="384"/>
      <c r="AV37" s="384"/>
      <c r="AW37" s="384"/>
      <c r="AX37" s="384"/>
      <c r="AY37" s="384"/>
      <c r="AZ37" s="384"/>
      <c r="BA37" s="384"/>
      <c r="BB37" s="384"/>
      <c r="BC37" s="384"/>
      <c r="BD37" s="384"/>
      <c r="BE37" s="384"/>
      <c r="BF37" s="384"/>
      <c r="BG37" s="384"/>
      <c r="BH37" s="384"/>
      <c r="BI37" s="384"/>
      <c r="BJ37" s="384"/>
      <c r="BK37" s="384"/>
      <c r="BL37" s="384"/>
      <c r="BM37" s="384"/>
      <c r="BN37" s="384"/>
      <c r="BO37" s="384"/>
      <c r="BP37" s="384"/>
      <c r="BQ37" s="384"/>
      <c r="BR37" s="384"/>
      <c r="BS37" s="384"/>
      <c r="BT37" s="384"/>
      <c r="BU37" s="384"/>
      <c r="BV37" s="384"/>
      <c r="BW37" s="384"/>
      <c r="BX37" s="384"/>
      <c r="BY37" s="384"/>
      <c r="BZ37" s="384"/>
    </row>
    <row r="38" spans="1:78" s="51" customFormat="1" ht="24">
      <c r="B38" s="632" t="s">
        <v>418</v>
      </c>
      <c r="C38" s="475"/>
      <c r="D38" s="475"/>
      <c r="E38" s="633"/>
      <c r="F38" s="359"/>
      <c r="G38" s="634"/>
      <c r="H38" s="634"/>
      <c r="I38" s="634"/>
      <c r="J38" s="634"/>
      <c r="L38" s="359"/>
      <c r="M38" s="634"/>
      <c r="N38" s="634"/>
      <c r="O38" s="634"/>
      <c r="P38" s="634"/>
      <c r="Q38" s="634"/>
      <c r="R38" s="634"/>
      <c r="S38" s="634"/>
      <c r="T38" s="634"/>
      <c r="U38" s="634"/>
      <c r="V38" s="634"/>
      <c r="W38" s="634"/>
      <c r="X38" s="634"/>
      <c r="Y38" s="634"/>
      <c r="Z38" s="634"/>
      <c r="AA38" s="634"/>
      <c r="AB38" s="634"/>
      <c r="AD38" s="359"/>
      <c r="AE38" s="634"/>
      <c r="AF38" s="634"/>
      <c r="AG38" s="634"/>
      <c r="AH38" s="634"/>
      <c r="AI38" s="634"/>
      <c r="AJ38" s="634"/>
      <c r="AK38" s="634"/>
      <c r="AL38" s="634"/>
      <c r="AM38" s="634"/>
      <c r="AN38" s="634"/>
      <c r="AO38" s="634"/>
      <c r="AP38" s="634"/>
      <c r="AQ38" s="634"/>
      <c r="AR38" s="634"/>
      <c r="AS38" s="634"/>
      <c r="AT38" s="634"/>
      <c r="AU38" s="634"/>
      <c r="AV38" s="634"/>
      <c r="AW38" s="634"/>
      <c r="AX38" s="634"/>
      <c r="AY38" s="634"/>
      <c r="AZ38" s="634"/>
      <c r="BA38" s="634"/>
      <c r="BB38" s="634"/>
      <c r="BC38" s="634"/>
      <c r="BD38" s="634"/>
      <c r="BE38" s="634"/>
      <c r="BF38" s="634"/>
      <c r="BG38" s="634"/>
      <c r="BH38" s="634"/>
      <c r="BI38" s="634"/>
      <c r="BJ38" s="634"/>
      <c r="BK38" s="634"/>
      <c r="BL38" s="634"/>
      <c r="BM38" s="634"/>
      <c r="BN38" s="634"/>
      <c r="BO38" s="634"/>
      <c r="BP38" s="634"/>
      <c r="BQ38" s="634"/>
      <c r="BR38" s="634"/>
      <c r="BS38" s="634"/>
      <c r="BT38" s="634"/>
      <c r="BU38" s="634"/>
      <c r="BV38" s="634"/>
      <c r="BW38" s="634"/>
      <c r="BX38" s="634"/>
      <c r="BY38" s="634"/>
      <c r="BZ38" s="634"/>
    </row>
    <row r="39" spans="1:78" s="357" customFormat="1" ht="15" outlineLevel="1">
      <c r="B39" s="367"/>
      <c r="C39" s="523" t="s">
        <v>416</v>
      </c>
      <c r="D39" s="366"/>
      <c r="E39" s="522"/>
      <c r="F39" s="359"/>
      <c r="G39" s="364">
        <f>SUMIFS($AE39:$BZ39,$AE$4:$BZ$4,"&gt;="&amp;G$4,$AE$5:$BZ$5,"&lt;="&amp;G$5)</f>
        <v>0</v>
      </c>
      <c r="H39" s="364">
        <f>SUMIFS($AE39:$BZ39,$AE$4:$BZ$4,"&gt;="&amp;H$4,$AE$5:$BZ$5,"&lt;="&amp;H$5)</f>
        <v>0</v>
      </c>
      <c r="I39" s="364">
        <f>SUMIFS($AE39:$BZ39,$AE$4:$BZ$4,"&gt;="&amp;I$4,$AE$5:$BZ$5,"&lt;="&amp;I$5)</f>
        <v>23270</v>
      </c>
      <c r="J39" s="364">
        <f>SUMIFS($AE39:$BZ39,$AE$4:$BZ$4,"&gt;="&amp;J$4,$AE$5:$BZ$5,"&lt;="&amp;J$5)</f>
        <v>0</v>
      </c>
      <c r="K39" s="432"/>
      <c r="L39" s="359"/>
      <c r="M39" s="364">
        <f t="shared" ref="M39:AB41" si="16">SUMIFS($AE39:$BZ39,$AE$4:$BZ$4,"&gt;="&amp;M$4,$AE39:$BZ39,"&lt;="&amp;M$5)</f>
        <v>23270</v>
      </c>
      <c r="N39" s="364">
        <f t="shared" si="16"/>
        <v>23270</v>
      </c>
      <c r="O39" s="364">
        <f t="shared" si="16"/>
        <v>23270</v>
      </c>
      <c r="P39" s="364">
        <f t="shared" si="16"/>
        <v>23270</v>
      </c>
      <c r="Q39" s="364">
        <f t="shared" si="16"/>
        <v>23270</v>
      </c>
      <c r="R39" s="364">
        <f t="shared" si="16"/>
        <v>23270</v>
      </c>
      <c r="S39" s="364">
        <f t="shared" si="16"/>
        <v>23270</v>
      </c>
      <c r="T39" s="364">
        <f t="shared" si="16"/>
        <v>23270</v>
      </c>
      <c r="U39" s="364">
        <f t="shared" si="16"/>
        <v>23270</v>
      </c>
      <c r="V39" s="364">
        <f t="shared" si="16"/>
        <v>23270</v>
      </c>
      <c r="W39" s="364">
        <f t="shared" si="16"/>
        <v>23270</v>
      </c>
      <c r="X39" s="364">
        <f t="shared" si="16"/>
        <v>23270</v>
      </c>
      <c r="Y39" s="364">
        <f t="shared" si="16"/>
        <v>0</v>
      </c>
      <c r="Z39" s="364">
        <f t="shared" si="16"/>
        <v>0</v>
      </c>
      <c r="AA39" s="364">
        <f t="shared" si="16"/>
        <v>0</v>
      </c>
      <c r="AB39" s="364">
        <f t="shared" si="16"/>
        <v>0</v>
      </c>
      <c r="AD39" s="359"/>
      <c r="AE39" s="628">
        <f t="shared" ref="AE39:BM39" si="17">IF(AE8=LatestMonthOfActuals,AE155,0)</f>
        <v>0</v>
      </c>
      <c r="AF39" s="628">
        <f t="shared" si="17"/>
        <v>0</v>
      </c>
      <c r="AG39" s="628">
        <f t="shared" si="17"/>
        <v>0</v>
      </c>
      <c r="AH39" s="628">
        <f t="shared" si="17"/>
        <v>0</v>
      </c>
      <c r="AI39" s="628">
        <f t="shared" si="17"/>
        <v>0</v>
      </c>
      <c r="AJ39" s="628">
        <f t="shared" si="17"/>
        <v>0</v>
      </c>
      <c r="AK39" s="628">
        <f t="shared" si="17"/>
        <v>0</v>
      </c>
      <c r="AL39" s="628">
        <f t="shared" si="17"/>
        <v>0</v>
      </c>
      <c r="AM39" s="628">
        <f t="shared" si="17"/>
        <v>0</v>
      </c>
      <c r="AN39" s="628">
        <f t="shared" si="17"/>
        <v>0</v>
      </c>
      <c r="AO39" s="628">
        <f t="shared" si="17"/>
        <v>0</v>
      </c>
      <c r="AP39" s="628">
        <f t="shared" si="17"/>
        <v>0</v>
      </c>
      <c r="AQ39" s="628">
        <f t="shared" si="17"/>
        <v>0</v>
      </c>
      <c r="AR39" s="628">
        <f t="shared" si="17"/>
        <v>0</v>
      </c>
      <c r="AS39" s="628">
        <f t="shared" si="17"/>
        <v>0</v>
      </c>
      <c r="AT39" s="628">
        <f t="shared" si="17"/>
        <v>0</v>
      </c>
      <c r="AU39" s="628">
        <f t="shared" si="17"/>
        <v>0</v>
      </c>
      <c r="AV39" s="628">
        <f t="shared" si="17"/>
        <v>0</v>
      </c>
      <c r="AW39" s="628">
        <f t="shared" si="17"/>
        <v>0</v>
      </c>
      <c r="AX39" s="628">
        <f t="shared" si="17"/>
        <v>0</v>
      </c>
      <c r="AY39" s="628">
        <f t="shared" si="17"/>
        <v>0</v>
      </c>
      <c r="AZ39" s="628">
        <f t="shared" si="17"/>
        <v>0</v>
      </c>
      <c r="BA39" s="628">
        <f t="shared" si="17"/>
        <v>0</v>
      </c>
      <c r="BB39" s="628">
        <f t="shared" si="17"/>
        <v>0</v>
      </c>
      <c r="BC39" s="628">
        <f t="shared" si="17"/>
        <v>0</v>
      </c>
      <c r="BD39" s="628">
        <f t="shared" si="17"/>
        <v>0</v>
      </c>
      <c r="BE39" s="628">
        <f t="shared" si="17"/>
        <v>0</v>
      </c>
      <c r="BF39" s="628">
        <f t="shared" si="17"/>
        <v>0</v>
      </c>
      <c r="BG39" s="628">
        <f t="shared" si="17"/>
        <v>0</v>
      </c>
      <c r="BH39" s="628">
        <f t="shared" si="17"/>
        <v>0</v>
      </c>
      <c r="BI39" s="628">
        <f t="shared" si="17"/>
        <v>0</v>
      </c>
      <c r="BJ39" s="628">
        <f t="shared" si="17"/>
        <v>0</v>
      </c>
      <c r="BK39" s="628">
        <f t="shared" si="17"/>
        <v>0</v>
      </c>
      <c r="BL39" s="628">
        <f t="shared" si="17"/>
        <v>0</v>
      </c>
      <c r="BM39" s="628">
        <f t="shared" si="17"/>
        <v>23270</v>
      </c>
      <c r="BN39" s="628">
        <f>IF(BN8=LatestMonthOfActuals,BN155,0)</f>
        <v>0</v>
      </c>
      <c r="BO39" s="628">
        <f t="shared" ref="BO39:BZ39" si="18">IF(BO8=LatestMonthOfActuals,BO155,0)</f>
        <v>0</v>
      </c>
      <c r="BP39" s="628">
        <f t="shared" si="18"/>
        <v>0</v>
      </c>
      <c r="BQ39" s="628">
        <f t="shared" si="18"/>
        <v>0</v>
      </c>
      <c r="BR39" s="628">
        <f t="shared" si="18"/>
        <v>0</v>
      </c>
      <c r="BS39" s="628">
        <f t="shared" si="18"/>
        <v>0</v>
      </c>
      <c r="BT39" s="628">
        <f t="shared" si="18"/>
        <v>0</v>
      </c>
      <c r="BU39" s="628">
        <f t="shared" si="18"/>
        <v>0</v>
      </c>
      <c r="BV39" s="628">
        <f t="shared" si="18"/>
        <v>0</v>
      </c>
      <c r="BW39" s="628">
        <f t="shared" si="18"/>
        <v>0</v>
      </c>
      <c r="BX39" s="628">
        <f t="shared" si="18"/>
        <v>0</v>
      </c>
      <c r="BY39" s="628">
        <f t="shared" si="18"/>
        <v>0</v>
      </c>
      <c r="BZ39" s="628">
        <f t="shared" si="18"/>
        <v>0</v>
      </c>
    </row>
    <row r="40" spans="1:78" s="51" customFormat="1" outlineLevel="1">
      <c r="B40" s="387"/>
      <c r="C40" s="386"/>
      <c r="E40" s="526"/>
      <c r="F40" s="359"/>
      <c r="G40" s="55"/>
      <c r="H40" s="55"/>
      <c r="I40" s="55"/>
      <c r="J40" s="55"/>
      <c r="L40" s="359"/>
      <c r="M40" s="55"/>
      <c r="N40" s="55"/>
      <c r="O40" s="55"/>
      <c r="P40" s="55"/>
      <c r="Q40" s="55"/>
      <c r="R40" s="55"/>
      <c r="S40" s="55"/>
      <c r="T40" s="55"/>
      <c r="U40" s="55"/>
      <c r="V40" s="55"/>
      <c r="W40" s="55"/>
      <c r="X40" s="55"/>
      <c r="Y40" s="55"/>
      <c r="Z40" s="55"/>
      <c r="AA40" s="55"/>
      <c r="AB40" s="55"/>
      <c r="AD40" s="359"/>
    </row>
    <row r="41" spans="1:78" s="357" customFormat="1" ht="15" outlineLevel="1">
      <c r="B41" s="367"/>
      <c r="C41" s="523" t="s">
        <v>419</v>
      </c>
      <c r="D41" s="366"/>
      <c r="E41" s="522"/>
      <c r="F41" s="359"/>
      <c r="G41" s="364">
        <f>SUMIFS($AE41:$BZ41,$AE$4:$BZ$4,"&gt;="&amp;G$4,$AE$5:$BZ$5,"&lt;="&amp;G$5)</f>
        <v>0</v>
      </c>
      <c r="H41" s="364">
        <f>SUMIFS($AE41:$BZ41,$AE$4:$BZ$4,"&gt;="&amp;H$4,$AE$5:$BZ$5,"&lt;="&amp;H$5)</f>
        <v>0</v>
      </c>
      <c r="I41" s="364">
        <f>SUMIFS($AE41:$BZ41,$AE$4:$BZ$4,"&gt;="&amp;I$4,$AE$5:$BZ$5,"&lt;="&amp;I$5)</f>
        <v>120000</v>
      </c>
      <c r="J41" s="364">
        <f>SUMIFS($AE41:$BZ41,$AE$4:$BZ$4,"&gt;="&amp;J$4,$AE$5:$BZ$5,"&lt;="&amp;J$5)</f>
        <v>1440000</v>
      </c>
      <c r="K41" s="432"/>
      <c r="L41" s="359"/>
      <c r="M41" s="364">
        <f t="shared" si="16"/>
        <v>0</v>
      </c>
      <c r="N41" s="364">
        <f t="shared" si="16"/>
        <v>0</v>
      </c>
      <c r="O41" s="364">
        <f t="shared" si="16"/>
        <v>0</v>
      </c>
      <c r="P41" s="364">
        <f t="shared" si="16"/>
        <v>0</v>
      </c>
      <c r="Q41" s="364">
        <f t="shared" si="16"/>
        <v>0</v>
      </c>
      <c r="R41" s="364">
        <f t="shared" si="16"/>
        <v>0</v>
      </c>
      <c r="S41" s="364">
        <f t="shared" si="16"/>
        <v>0</v>
      </c>
      <c r="T41" s="364">
        <f t="shared" si="16"/>
        <v>0</v>
      </c>
      <c r="U41" s="364">
        <f t="shared" si="16"/>
        <v>0</v>
      </c>
      <c r="V41" s="364">
        <f t="shared" si="16"/>
        <v>0</v>
      </c>
      <c r="W41" s="364">
        <f t="shared" si="16"/>
        <v>0</v>
      </c>
      <c r="X41" s="364">
        <f t="shared" si="16"/>
        <v>0</v>
      </c>
      <c r="Y41" s="364">
        <f t="shared" si="16"/>
        <v>0</v>
      </c>
      <c r="Z41" s="364">
        <f t="shared" si="16"/>
        <v>0</v>
      </c>
      <c r="AA41" s="364">
        <f t="shared" si="16"/>
        <v>0</v>
      </c>
      <c r="AB41" s="364">
        <f t="shared" si="16"/>
        <v>0</v>
      </c>
      <c r="AD41" s="359"/>
      <c r="AE41" s="637">
        <v>0</v>
      </c>
      <c r="AF41" s="637">
        <v>0</v>
      </c>
      <c r="AG41" s="637">
        <v>0</v>
      </c>
      <c r="AH41" s="637">
        <v>0</v>
      </c>
      <c r="AI41" s="637">
        <v>0</v>
      </c>
      <c r="AJ41" s="637">
        <v>0</v>
      </c>
      <c r="AK41" s="637">
        <v>0</v>
      </c>
      <c r="AL41" s="637">
        <v>0</v>
      </c>
      <c r="AM41" s="637">
        <v>0</v>
      </c>
      <c r="AN41" s="637">
        <v>0</v>
      </c>
      <c r="AO41" s="637">
        <v>0</v>
      </c>
      <c r="AP41" s="637">
        <v>0</v>
      </c>
      <c r="AQ41" s="637">
        <v>0</v>
      </c>
      <c r="AR41" s="637">
        <v>0</v>
      </c>
      <c r="AS41" s="637">
        <v>0</v>
      </c>
      <c r="AT41" s="637">
        <v>0</v>
      </c>
      <c r="AU41" s="637">
        <v>0</v>
      </c>
      <c r="AV41" s="637">
        <v>0</v>
      </c>
      <c r="AW41" s="637">
        <v>0</v>
      </c>
      <c r="AX41" s="637">
        <v>0</v>
      </c>
      <c r="AY41" s="637">
        <v>0</v>
      </c>
      <c r="AZ41" s="637">
        <v>0</v>
      </c>
      <c r="BA41" s="637">
        <v>0</v>
      </c>
      <c r="BB41" s="637">
        <v>0</v>
      </c>
      <c r="BC41" s="637">
        <v>0</v>
      </c>
      <c r="BD41" s="637">
        <v>0</v>
      </c>
      <c r="BE41" s="637">
        <v>0</v>
      </c>
      <c r="BF41" s="637">
        <v>0</v>
      </c>
      <c r="BG41" s="637">
        <v>0</v>
      </c>
      <c r="BH41" s="637">
        <v>0</v>
      </c>
      <c r="BI41" s="637">
        <v>0</v>
      </c>
      <c r="BJ41" s="637">
        <v>0</v>
      </c>
      <c r="BK41" s="637">
        <v>0</v>
      </c>
      <c r="BL41" s="637">
        <v>0</v>
      </c>
      <c r="BM41" s="637">
        <v>0</v>
      </c>
      <c r="BN41" s="637">
        <v>120000</v>
      </c>
      <c r="BO41" s="637">
        <v>120000</v>
      </c>
      <c r="BP41" s="637">
        <v>120000</v>
      </c>
      <c r="BQ41" s="637">
        <v>120000</v>
      </c>
      <c r="BR41" s="637">
        <v>120000</v>
      </c>
      <c r="BS41" s="637">
        <v>120000</v>
      </c>
      <c r="BT41" s="637">
        <v>120000</v>
      </c>
      <c r="BU41" s="637">
        <v>120000</v>
      </c>
      <c r="BV41" s="637">
        <v>120000</v>
      </c>
      <c r="BW41" s="637">
        <v>120000</v>
      </c>
      <c r="BX41" s="637">
        <v>120000</v>
      </c>
      <c r="BY41" s="637">
        <v>120000</v>
      </c>
      <c r="BZ41" s="637">
        <v>120000</v>
      </c>
    </row>
    <row r="42" spans="1:78" s="51" customFormat="1">
      <c r="B42" s="387"/>
      <c r="C42" s="386"/>
      <c r="D42" s="527"/>
      <c r="E42" s="526"/>
      <c r="F42" s="359"/>
      <c r="G42" s="55"/>
      <c r="H42" s="55"/>
      <c r="I42" s="55"/>
      <c r="J42" s="55"/>
      <c r="L42" s="359"/>
      <c r="M42" s="55"/>
      <c r="N42" s="55"/>
      <c r="O42" s="55"/>
      <c r="P42" s="55"/>
      <c r="Q42" s="55"/>
      <c r="R42" s="55"/>
      <c r="S42" s="55"/>
      <c r="T42" s="55"/>
      <c r="U42" s="55"/>
      <c r="V42" s="55"/>
      <c r="W42" s="55"/>
      <c r="X42" s="55"/>
      <c r="Y42" s="55"/>
      <c r="Z42" s="55"/>
      <c r="AA42" s="55"/>
      <c r="AB42" s="55"/>
      <c r="AD42" s="359"/>
    </row>
    <row r="43" spans="1:78" s="51" customFormat="1" ht="24">
      <c r="B43" s="632" t="s">
        <v>420</v>
      </c>
      <c r="C43" s="475"/>
      <c r="D43" s="475"/>
      <c r="E43" s="633"/>
      <c r="F43" s="359"/>
      <c r="G43" s="634"/>
      <c r="H43" s="634"/>
      <c r="I43" s="634"/>
      <c r="J43" s="634"/>
      <c r="L43" s="359"/>
      <c r="M43" s="634"/>
      <c r="N43" s="634"/>
      <c r="O43" s="634"/>
      <c r="P43" s="634"/>
      <c r="Q43" s="634"/>
      <c r="R43" s="634"/>
      <c r="S43" s="634"/>
      <c r="T43" s="634"/>
      <c r="U43" s="634"/>
      <c r="V43" s="634"/>
      <c r="W43" s="634"/>
      <c r="X43" s="634"/>
      <c r="Y43" s="634"/>
      <c r="Z43" s="634"/>
      <c r="AA43" s="634"/>
      <c r="AB43" s="634"/>
      <c r="AD43" s="359"/>
      <c r="AE43" s="634"/>
      <c r="AF43" s="634"/>
      <c r="AG43" s="634"/>
      <c r="AH43" s="634"/>
      <c r="AI43" s="634"/>
      <c r="AJ43" s="634"/>
      <c r="AK43" s="634"/>
      <c r="AL43" s="634"/>
      <c r="AM43" s="634"/>
      <c r="AN43" s="634"/>
      <c r="AO43" s="634"/>
      <c r="AP43" s="634"/>
      <c r="AQ43" s="634"/>
      <c r="AR43" s="634"/>
      <c r="AS43" s="634"/>
      <c r="AT43" s="634"/>
      <c r="AU43" s="634"/>
      <c r="AV43" s="634"/>
      <c r="AW43" s="634"/>
      <c r="AX43" s="634"/>
      <c r="AY43" s="634"/>
      <c r="AZ43" s="634"/>
      <c r="BA43" s="634"/>
      <c r="BB43" s="634"/>
      <c r="BC43" s="634"/>
      <c r="BD43" s="634"/>
      <c r="BE43" s="634"/>
      <c r="BF43" s="634"/>
      <c r="BG43" s="634"/>
      <c r="BH43" s="634"/>
      <c r="BI43" s="634"/>
      <c r="BJ43" s="634"/>
      <c r="BK43" s="634"/>
      <c r="BL43" s="634"/>
      <c r="BM43" s="634"/>
      <c r="BN43" s="634"/>
      <c r="BO43" s="634"/>
      <c r="BP43" s="634"/>
      <c r="BQ43" s="634"/>
      <c r="BR43" s="634"/>
      <c r="BS43" s="634"/>
      <c r="BT43" s="634"/>
      <c r="BU43" s="634"/>
      <c r="BV43" s="634"/>
      <c r="BW43" s="634"/>
      <c r="BX43" s="634"/>
      <c r="BY43" s="634"/>
      <c r="BZ43" s="634"/>
    </row>
    <row r="44" spans="1:78" ht="15" outlineLevel="1" collapsed="1">
      <c r="B44" s="367"/>
      <c r="C44" s="523" t="s">
        <v>416</v>
      </c>
      <c r="D44" s="366"/>
      <c r="E44" s="522"/>
      <c r="F44" s="359"/>
      <c r="G44" s="378">
        <f>SUM(G45:G93)</f>
        <v>0</v>
      </c>
      <c r="H44" s="378">
        <f>SUM(H45:H93)</f>
        <v>0</v>
      </c>
      <c r="I44" s="378">
        <f>SUM(I45:I93)</f>
        <v>1939.1666666666665</v>
      </c>
      <c r="J44" s="378">
        <f>SUM(J45:J93)</f>
        <v>21330.833333333332</v>
      </c>
      <c r="K44" s="55"/>
      <c r="L44" s="359"/>
      <c r="M44" s="378">
        <f t="shared" ref="M44:AB44" si="19">SUM(M45:M93)</f>
        <v>23270</v>
      </c>
      <c r="N44" s="378">
        <f t="shared" si="19"/>
        <v>23270</v>
      </c>
      <c r="O44" s="378">
        <f t="shared" si="19"/>
        <v>23270</v>
      </c>
      <c r="P44" s="378">
        <f t="shared" si="19"/>
        <v>23270</v>
      </c>
      <c r="Q44" s="378">
        <f t="shared" si="19"/>
        <v>23270</v>
      </c>
      <c r="R44" s="378">
        <f t="shared" si="19"/>
        <v>23270</v>
      </c>
      <c r="S44" s="378">
        <f t="shared" si="19"/>
        <v>23270</v>
      </c>
      <c r="T44" s="378">
        <f t="shared" si="19"/>
        <v>23270</v>
      </c>
      <c r="U44" s="378">
        <f t="shared" si="19"/>
        <v>23270</v>
      </c>
      <c r="V44" s="378">
        <f t="shared" si="19"/>
        <v>23270</v>
      </c>
      <c r="W44" s="378">
        <f t="shared" si="19"/>
        <v>23270</v>
      </c>
      <c r="X44" s="378">
        <f t="shared" si="19"/>
        <v>23270</v>
      </c>
      <c r="Y44" s="378">
        <f t="shared" si="19"/>
        <v>21330.833333333332</v>
      </c>
      <c r="Z44" s="378">
        <f t="shared" si="19"/>
        <v>15513.33333333333</v>
      </c>
      <c r="AA44" s="378">
        <f t="shared" si="19"/>
        <v>9695.8333333333321</v>
      </c>
      <c r="AB44" s="378">
        <f t="shared" si="19"/>
        <v>3878.333333333333</v>
      </c>
      <c r="AD44" s="359"/>
      <c r="AE44" s="378">
        <f t="shared" ref="AE44:BZ44" si="20">SUM(AE45:AE93)</f>
        <v>0</v>
      </c>
      <c r="AF44" s="378">
        <f t="shared" si="20"/>
        <v>0</v>
      </c>
      <c r="AG44" s="378">
        <f t="shared" si="20"/>
        <v>0</v>
      </c>
      <c r="AH44" s="378">
        <f t="shared" si="20"/>
        <v>0</v>
      </c>
      <c r="AI44" s="378">
        <f t="shared" si="20"/>
        <v>0</v>
      </c>
      <c r="AJ44" s="378">
        <f t="shared" si="20"/>
        <v>0</v>
      </c>
      <c r="AK44" s="378">
        <f t="shared" si="20"/>
        <v>0</v>
      </c>
      <c r="AL44" s="378">
        <f t="shared" si="20"/>
        <v>0</v>
      </c>
      <c r="AM44" s="378">
        <f t="shared" si="20"/>
        <v>0</v>
      </c>
      <c r="AN44" s="378">
        <f t="shared" si="20"/>
        <v>0</v>
      </c>
      <c r="AO44" s="378">
        <f t="shared" si="20"/>
        <v>0</v>
      </c>
      <c r="AP44" s="378">
        <f>SUM(AR45:AR93)</f>
        <v>0</v>
      </c>
      <c r="AQ44" s="378">
        <f t="shared" si="20"/>
        <v>0</v>
      </c>
      <c r="AR44" s="378">
        <f t="shared" si="20"/>
        <v>0</v>
      </c>
      <c r="AS44" s="378">
        <f t="shared" si="20"/>
        <v>0</v>
      </c>
      <c r="AT44" s="378">
        <f t="shared" si="20"/>
        <v>0</v>
      </c>
      <c r="AU44" s="378">
        <f t="shared" si="20"/>
        <v>0</v>
      </c>
      <c r="AV44" s="378">
        <f t="shared" si="20"/>
        <v>0</v>
      </c>
      <c r="AW44" s="378">
        <f t="shared" si="20"/>
        <v>0</v>
      </c>
      <c r="AX44" s="378">
        <f t="shared" si="20"/>
        <v>0</v>
      </c>
      <c r="AY44" s="378">
        <f t="shared" si="20"/>
        <v>0</v>
      </c>
      <c r="AZ44" s="378">
        <f t="shared" si="20"/>
        <v>0</v>
      </c>
      <c r="BA44" s="378">
        <f t="shared" si="20"/>
        <v>0</v>
      </c>
      <c r="BB44" s="378">
        <f t="shared" si="20"/>
        <v>0</v>
      </c>
      <c r="BC44" s="378">
        <f t="shared" si="20"/>
        <v>0</v>
      </c>
      <c r="BD44" s="378">
        <f t="shared" si="20"/>
        <v>0</v>
      </c>
      <c r="BE44" s="378">
        <f t="shared" si="20"/>
        <v>0</v>
      </c>
      <c r="BF44" s="378">
        <f t="shared" si="20"/>
        <v>0</v>
      </c>
      <c r="BG44" s="378">
        <f t="shared" si="20"/>
        <v>0</v>
      </c>
      <c r="BH44" s="378">
        <f t="shared" si="20"/>
        <v>0</v>
      </c>
      <c r="BI44" s="378">
        <f t="shared" si="20"/>
        <v>0</v>
      </c>
      <c r="BJ44" s="378">
        <f t="shared" si="20"/>
        <v>0</v>
      </c>
      <c r="BK44" s="378">
        <f t="shared" si="20"/>
        <v>0</v>
      </c>
      <c r="BL44" s="378">
        <f t="shared" si="20"/>
        <v>0</v>
      </c>
      <c r="BM44" s="378">
        <f t="shared" si="20"/>
        <v>0</v>
      </c>
      <c r="BN44" s="378">
        <f t="shared" si="20"/>
        <v>1939.1666666666665</v>
      </c>
      <c r="BO44" s="378">
        <f t="shared" si="20"/>
        <v>1939.1666666666665</v>
      </c>
      <c r="BP44" s="378">
        <f t="shared" si="20"/>
        <v>1939.1666666666665</v>
      </c>
      <c r="BQ44" s="378">
        <f t="shared" si="20"/>
        <v>1939.1666666666665</v>
      </c>
      <c r="BR44" s="378">
        <f t="shared" si="20"/>
        <v>1939.1666666666665</v>
      </c>
      <c r="BS44" s="378">
        <f t="shared" si="20"/>
        <v>1939.1666666666665</v>
      </c>
      <c r="BT44" s="378">
        <f t="shared" si="20"/>
        <v>1939.1666666666665</v>
      </c>
      <c r="BU44" s="378">
        <f t="shared" si="20"/>
        <v>1939.1666666666665</v>
      </c>
      <c r="BV44" s="378">
        <f t="shared" si="20"/>
        <v>1939.1666666666665</v>
      </c>
      <c r="BW44" s="378">
        <f t="shared" si="20"/>
        <v>1939.1666666666665</v>
      </c>
      <c r="BX44" s="378">
        <f t="shared" si="20"/>
        <v>1939.1666666666665</v>
      </c>
      <c r="BY44" s="378">
        <f t="shared" si="20"/>
        <v>1939.1666666666665</v>
      </c>
      <c r="BZ44" s="378">
        <f t="shared" si="20"/>
        <v>0</v>
      </c>
    </row>
    <row r="45" spans="1:78" ht="21" hidden="1" customHeight="1" outlineLevel="3">
      <c r="B45" s="367"/>
      <c r="C45" s="370"/>
      <c r="D45" s="369"/>
      <c r="E45" s="373"/>
      <c r="F45" s="359"/>
      <c r="G45" s="375"/>
      <c r="H45" s="375"/>
      <c r="I45" s="375"/>
      <c r="J45" s="375"/>
      <c r="L45" s="359"/>
      <c r="M45" s="375"/>
      <c r="N45" s="375"/>
      <c r="O45" s="375"/>
      <c r="P45" s="375"/>
      <c r="Q45" s="375"/>
      <c r="R45" s="375"/>
      <c r="S45" s="375"/>
      <c r="T45" s="375"/>
      <c r="U45" s="375"/>
      <c r="V45" s="375"/>
      <c r="W45" s="375"/>
      <c r="X45" s="375"/>
      <c r="Y45" s="375"/>
      <c r="Z45" s="375"/>
      <c r="AA45" s="375"/>
      <c r="AB45" s="375"/>
      <c r="AD45" s="359"/>
      <c r="AE45" s="375"/>
      <c r="AF45" s="375"/>
      <c r="AG45" s="375"/>
      <c r="AH45" s="375"/>
      <c r="AI45" s="375"/>
      <c r="AJ45" s="375"/>
      <c r="AK45" s="375"/>
      <c r="AL45" s="375"/>
      <c r="AM45" s="375"/>
      <c r="AN45" s="375"/>
      <c r="AO45" s="375"/>
      <c r="AP45" s="375"/>
      <c r="AQ45" s="375"/>
      <c r="AR45" s="375"/>
      <c r="AS45" s="375"/>
      <c r="AT45" s="375"/>
      <c r="AU45" s="375"/>
      <c r="AV45" s="375"/>
      <c r="AW45" s="375"/>
      <c r="AX45" s="375"/>
      <c r="AY45" s="375"/>
      <c r="AZ45" s="375"/>
      <c r="BA45" s="375"/>
      <c r="BB45" s="375"/>
      <c r="BC45" s="375"/>
      <c r="BD45" s="375"/>
      <c r="BE45" s="375"/>
      <c r="BF45" s="375"/>
      <c r="BG45" s="375"/>
      <c r="BH45" s="375"/>
      <c r="BI45" s="375"/>
      <c r="BJ45" s="375"/>
      <c r="BK45" s="375"/>
      <c r="BL45" s="375"/>
      <c r="BM45" s="375"/>
      <c r="BN45" s="375"/>
      <c r="BO45" s="375"/>
      <c r="BP45" s="375"/>
      <c r="BQ45" s="375"/>
      <c r="BR45" s="375"/>
      <c r="BS45" s="375"/>
      <c r="BT45" s="375"/>
      <c r="BU45" s="375"/>
      <c r="BV45" s="375"/>
      <c r="BW45" s="375"/>
      <c r="BX45" s="375"/>
      <c r="BY45" s="375"/>
      <c r="BZ45" s="375"/>
    </row>
    <row r="46" spans="1:78" ht="21" hidden="1" customHeight="1" outlineLevel="3">
      <c r="B46" s="367"/>
      <c r="C46" s="370"/>
      <c r="D46" s="374" cm="1">
        <f t="array" ref="D46">EOM_Start_Date</f>
        <v>44957</v>
      </c>
      <c r="E46" s="373" cm="1">
        <f t="array" ref="E46">IF($D46=LatestMonthOfActuals,INDEX($AE$39:$BZ$39,0,MATCH($D46,$AE$8:$BZ$8,0)),0)</f>
        <v>0</v>
      </c>
      <c r="F46" s="359"/>
      <c r="G46" s="408">
        <f t="shared" ref="G46:J65" si="21">SUMIFS($AE46:$BZ46,$AE$4:$BZ$4,"&gt;="&amp;G$4,$AE$5:$BZ$5,"&lt;="&amp;G$5)</f>
        <v>0</v>
      </c>
      <c r="H46" s="408">
        <f t="shared" si="21"/>
        <v>0</v>
      </c>
      <c r="I46" s="408">
        <f t="shared" si="21"/>
        <v>0</v>
      </c>
      <c r="J46" s="408">
        <f t="shared" si="21"/>
        <v>0</v>
      </c>
      <c r="K46" s="408"/>
      <c r="L46" s="408"/>
      <c r="M46" s="408">
        <f t="shared" ref="M46:AB61" si="22">SUMIFS($AE46:$BZ46,$AE$4:$BZ$4,"&gt;="&amp;M$4,$AE46:$BZ46,"&lt;="&amp;M$5)</f>
        <v>0</v>
      </c>
      <c r="N46" s="408">
        <f t="shared" si="22"/>
        <v>0</v>
      </c>
      <c r="O46" s="408">
        <f t="shared" si="22"/>
        <v>0</v>
      </c>
      <c r="P46" s="408">
        <f t="shared" si="22"/>
        <v>0</v>
      </c>
      <c r="Q46" s="408">
        <f t="shared" si="22"/>
        <v>0</v>
      </c>
      <c r="R46" s="408">
        <f t="shared" si="22"/>
        <v>0</v>
      </c>
      <c r="S46" s="408">
        <f t="shared" si="22"/>
        <v>0</v>
      </c>
      <c r="T46" s="408">
        <f t="shared" si="22"/>
        <v>0</v>
      </c>
      <c r="U46" s="408">
        <f t="shared" si="22"/>
        <v>0</v>
      </c>
      <c r="V46" s="408">
        <f t="shared" si="22"/>
        <v>0</v>
      </c>
      <c r="W46" s="408">
        <f t="shared" si="22"/>
        <v>0</v>
      </c>
      <c r="X46" s="408">
        <f t="shared" si="22"/>
        <v>0</v>
      </c>
      <c r="Y46" s="408">
        <f t="shared" si="22"/>
        <v>0</v>
      </c>
      <c r="Z46" s="408">
        <f t="shared" si="22"/>
        <v>0</v>
      </c>
      <c r="AA46" s="408">
        <f t="shared" si="22"/>
        <v>0</v>
      </c>
      <c r="AB46" s="408">
        <f t="shared" si="22"/>
        <v>0</v>
      </c>
      <c r="AD46" s="359"/>
      <c r="AE46" s="371">
        <f t="shared" ref="AE46:AO55" si="23">IFERROR(IF(AE$8&gt;=$D46,$E46*(INDEX($E$12:$E$23,(MATCH(MATCH(AE$8,$D$46:$D$93,0)-MATCH($D46,$D$46:$D$93,0),$D$12:$D$23,0)))),0),0)</f>
        <v>0</v>
      </c>
      <c r="AF46" s="371">
        <f t="shared" si="23"/>
        <v>0</v>
      </c>
      <c r="AG46" s="371">
        <f t="shared" si="23"/>
        <v>0</v>
      </c>
      <c r="AH46" s="371">
        <f t="shared" si="23"/>
        <v>0</v>
      </c>
      <c r="AI46" s="371">
        <f t="shared" si="23"/>
        <v>0</v>
      </c>
      <c r="AJ46" s="371">
        <f t="shared" si="23"/>
        <v>0</v>
      </c>
      <c r="AK46" s="371">
        <f t="shared" si="23"/>
        <v>0</v>
      </c>
      <c r="AL46" s="371">
        <f t="shared" si="23"/>
        <v>0</v>
      </c>
      <c r="AM46" s="371">
        <f t="shared" si="23"/>
        <v>0</v>
      </c>
      <c r="AN46" s="371">
        <f t="shared" si="23"/>
        <v>0</v>
      </c>
      <c r="AO46" s="371">
        <f t="shared" si="23"/>
        <v>0</v>
      </c>
      <c r="AP46" s="371">
        <f t="shared" ref="AP46:AP93" si="24">IFERROR(IF(AR$8&gt;=$D46,$E46*(INDEX($E$12:$E$23,(MATCH(MATCH(AR$8,$D$46:$D$93,0)-MATCH($D46,$D$46:$D$93,0),$D$12:$D$23,0)))),0),0)</f>
        <v>0</v>
      </c>
      <c r="AQ46" s="371">
        <f t="shared" ref="AQ46:AZ55" si="25">IFERROR(IF(AQ$8&gt;=$D46,$E46*(INDEX($E$12:$E$23,(MATCH(MATCH(AQ$8,$D$46:$D$93,0)-MATCH($D46,$D$46:$D$93,0),$D$12:$D$23,0)))),0),0)</f>
        <v>0</v>
      </c>
      <c r="AR46" s="371">
        <f t="shared" si="25"/>
        <v>0</v>
      </c>
      <c r="AS46" s="371">
        <f t="shared" si="25"/>
        <v>0</v>
      </c>
      <c r="AT46" s="371">
        <f t="shared" si="25"/>
        <v>0</v>
      </c>
      <c r="AU46" s="371">
        <f t="shared" si="25"/>
        <v>0</v>
      </c>
      <c r="AV46" s="371">
        <f t="shared" si="25"/>
        <v>0</v>
      </c>
      <c r="AW46" s="371">
        <f t="shared" si="25"/>
        <v>0</v>
      </c>
      <c r="AX46" s="371">
        <f t="shared" si="25"/>
        <v>0</v>
      </c>
      <c r="AY46" s="371">
        <f t="shared" si="25"/>
        <v>0</v>
      </c>
      <c r="AZ46" s="371">
        <f t="shared" si="25"/>
        <v>0</v>
      </c>
      <c r="BA46" s="371">
        <f t="shared" ref="BA46:BJ55" si="26">IFERROR(IF(BA$8&gt;=$D46,$E46*(INDEX($E$12:$E$23,(MATCH(MATCH(BA$8,$D$46:$D$93,0)-MATCH($D46,$D$46:$D$93,0),$D$12:$D$23,0)))),0),0)</f>
        <v>0</v>
      </c>
      <c r="BB46" s="371">
        <f t="shared" si="26"/>
        <v>0</v>
      </c>
      <c r="BC46" s="371">
        <f t="shared" si="26"/>
        <v>0</v>
      </c>
      <c r="BD46" s="371">
        <f t="shared" si="26"/>
        <v>0</v>
      </c>
      <c r="BE46" s="371">
        <f t="shared" si="26"/>
        <v>0</v>
      </c>
      <c r="BF46" s="371">
        <f t="shared" si="26"/>
        <v>0</v>
      </c>
      <c r="BG46" s="371">
        <f t="shared" si="26"/>
        <v>0</v>
      </c>
      <c r="BH46" s="371">
        <f t="shared" si="26"/>
        <v>0</v>
      </c>
      <c r="BI46" s="371">
        <f t="shared" si="26"/>
        <v>0</v>
      </c>
      <c r="BJ46" s="371">
        <f t="shared" si="26"/>
        <v>0</v>
      </c>
      <c r="BK46" s="371">
        <f t="shared" ref="BK46:BT55" si="27">IFERROR(IF(BK$8&gt;=$D46,$E46*(INDEX($E$12:$E$23,(MATCH(MATCH(BK$8,$D$46:$D$93,0)-MATCH($D46,$D$46:$D$93,0),$D$12:$D$23,0)))),0),0)</f>
        <v>0</v>
      </c>
      <c r="BL46" s="371">
        <f t="shared" si="27"/>
        <v>0</v>
      </c>
      <c r="BM46" s="371">
        <f t="shared" si="27"/>
        <v>0</v>
      </c>
      <c r="BN46" s="371">
        <f t="shared" si="27"/>
        <v>0</v>
      </c>
      <c r="BO46" s="371">
        <f t="shared" si="27"/>
        <v>0</v>
      </c>
      <c r="BP46" s="371">
        <f t="shared" si="27"/>
        <v>0</v>
      </c>
      <c r="BQ46" s="371">
        <f t="shared" si="27"/>
        <v>0</v>
      </c>
      <c r="BR46" s="371">
        <f t="shared" si="27"/>
        <v>0</v>
      </c>
      <c r="BS46" s="371">
        <f t="shared" si="27"/>
        <v>0</v>
      </c>
      <c r="BT46" s="371">
        <f t="shared" si="27"/>
        <v>0</v>
      </c>
      <c r="BU46" s="371">
        <f t="shared" ref="BU46:BZ55" si="28">IFERROR(IF(BU$8&gt;=$D46,$E46*(INDEX($E$12:$E$23,(MATCH(MATCH(BU$8,$D$46:$D$93,0)-MATCH($D46,$D$46:$D$93,0),$D$12:$D$23,0)))),0),0)</f>
        <v>0</v>
      </c>
      <c r="BV46" s="371">
        <f t="shared" si="28"/>
        <v>0</v>
      </c>
      <c r="BW46" s="371">
        <f t="shared" si="28"/>
        <v>0</v>
      </c>
      <c r="BX46" s="371">
        <f t="shared" si="28"/>
        <v>0</v>
      </c>
      <c r="BY46" s="371">
        <f t="shared" si="28"/>
        <v>0</v>
      </c>
      <c r="BZ46" s="371">
        <f t="shared" si="28"/>
        <v>0</v>
      </c>
    </row>
    <row r="47" spans="1:78" ht="21" hidden="1" customHeight="1" outlineLevel="3">
      <c r="B47" s="367"/>
      <c r="C47" s="370"/>
      <c r="D47" s="374">
        <f t="shared" ref="D47:D93" si="29">EOMONTH(D46,1)</f>
        <v>44985</v>
      </c>
      <c r="E47" s="373" cm="1">
        <f t="array" ref="E47">IF($D47=LatestMonthOfActuals,INDEX($AE$39:$BZ$39,0,MATCH($D47,$AE$8:$BZ$8,0)),0)</f>
        <v>0</v>
      </c>
      <c r="F47" s="359"/>
      <c r="G47" s="408">
        <f t="shared" si="21"/>
        <v>0</v>
      </c>
      <c r="H47" s="408">
        <f t="shared" si="21"/>
        <v>0</v>
      </c>
      <c r="I47" s="408">
        <f t="shared" si="21"/>
        <v>0</v>
      </c>
      <c r="J47" s="408">
        <f t="shared" si="21"/>
        <v>0</v>
      </c>
      <c r="K47" s="408"/>
      <c r="L47" s="408"/>
      <c r="M47" s="408">
        <f t="shared" si="22"/>
        <v>0</v>
      </c>
      <c r="N47" s="408">
        <f t="shared" si="22"/>
        <v>0</v>
      </c>
      <c r="O47" s="408">
        <f t="shared" si="22"/>
        <v>0</v>
      </c>
      <c r="P47" s="408">
        <f t="shared" si="22"/>
        <v>0</v>
      </c>
      <c r="Q47" s="408">
        <f t="shared" si="22"/>
        <v>0</v>
      </c>
      <c r="R47" s="408">
        <f t="shared" si="22"/>
        <v>0</v>
      </c>
      <c r="S47" s="408">
        <f t="shared" si="22"/>
        <v>0</v>
      </c>
      <c r="T47" s="408">
        <f t="shared" si="22"/>
        <v>0</v>
      </c>
      <c r="U47" s="408">
        <f t="shared" si="22"/>
        <v>0</v>
      </c>
      <c r="V47" s="408">
        <f t="shared" si="22"/>
        <v>0</v>
      </c>
      <c r="W47" s="408">
        <f t="shared" si="22"/>
        <v>0</v>
      </c>
      <c r="X47" s="408">
        <f t="shared" si="22"/>
        <v>0</v>
      </c>
      <c r="Y47" s="408">
        <f t="shared" si="22"/>
        <v>0</v>
      </c>
      <c r="Z47" s="408">
        <f t="shared" si="22"/>
        <v>0</v>
      </c>
      <c r="AA47" s="408">
        <f t="shared" si="22"/>
        <v>0</v>
      </c>
      <c r="AB47" s="408">
        <f t="shared" si="22"/>
        <v>0</v>
      </c>
      <c r="AD47" s="359"/>
      <c r="AE47" s="371">
        <f t="shared" si="23"/>
        <v>0</v>
      </c>
      <c r="AF47" s="371">
        <f t="shared" si="23"/>
        <v>0</v>
      </c>
      <c r="AG47" s="371">
        <f t="shared" si="23"/>
        <v>0</v>
      </c>
      <c r="AH47" s="371">
        <f t="shared" si="23"/>
        <v>0</v>
      </c>
      <c r="AI47" s="371">
        <f t="shared" si="23"/>
        <v>0</v>
      </c>
      <c r="AJ47" s="371">
        <f t="shared" si="23"/>
        <v>0</v>
      </c>
      <c r="AK47" s="371">
        <f t="shared" si="23"/>
        <v>0</v>
      </c>
      <c r="AL47" s="371">
        <f t="shared" si="23"/>
        <v>0</v>
      </c>
      <c r="AM47" s="371">
        <f t="shared" si="23"/>
        <v>0</v>
      </c>
      <c r="AN47" s="371">
        <f t="shared" si="23"/>
        <v>0</v>
      </c>
      <c r="AO47" s="371">
        <f t="shared" si="23"/>
        <v>0</v>
      </c>
      <c r="AP47" s="371">
        <f t="shared" si="24"/>
        <v>0</v>
      </c>
      <c r="AQ47" s="371">
        <f t="shared" si="25"/>
        <v>0</v>
      </c>
      <c r="AR47" s="371">
        <f t="shared" si="25"/>
        <v>0</v>
      </c>
      <c r="AS47" s="371">
        <f t="shared" si="25"/>
        <v>0</v>
      </c>
      <c r="AT47" s="371">
        <f t="shared" si="25"/>
        <v>0</v>
      </c>
      <c r="AU47" s="371">
        <f t="shared" si="25"/>
        <v>0</v>
      </c>
      <c r="AV47" s="371">
        <f t="shared" si="25"/>
        <v>0</v>
      </c>
      <c r="AW47" s="371">
        <f t="shared" si="25"/>
        <v>0</v>
      </c>
      <c r="AX47" s="371">
        <f t="shared" si="25"/>
        <v>0</v>
      </c>
      <c r="AY47" s="371">
        <f t="shared" si="25"/>
        <v>0</v>
      </c>
      <c r="AZ47" s="371">
        <f t="shared" si="25"/>
        <v>0</v>
      </c>
      <c r="BA47" s="371">
        <f t="shared" si="26"/>
        <v>0</v>
      </c>
      <c r="BB47" s="371">
        <f t="shared" si="26"/>
        <v>0</v>
      </c>
      <c r="BC47" s="371">
        <f t="shared" si="26"/>
        <v>0</v>
      </c>
      <c r="BD47" s="371">
        <f t="shared" si="26"/>
        <v>0</v>
      </c>
      <c r="BE47" s="371">
        <f t="shared" si="26"/>
        <v>0</v>
      </c>
      <c r="BF47" s="371">
        <f t="shared" si="26"/>
        <v>0</v>
      </c>
      <c r="BG47" s="371">
        <f t="shared" si="26"/>
        <v>0</v>
      </c>
      <c r="BH47" s="371">
        <f t="shared" si="26"/>
        <v>0</v>
      </c>
      <c r="BI47" s="371">
        <f t="shared" si="26"/>
        <v>0</v>
      </c>
      <c r="BJ47" s="371">
        <f t="shared" si="26"/>
        <v>0</v>
      </c>
      <c r="BK47" s="371">
        <f t="shared" si="27"/>
        <v>0</v>
      </c>
      <c r="BL47" s="371">
        <f t="shared" si="27"/>
        <v>0</v>
      </c>
      <c r="BM47" s="371">
        <f t="shared" si="27"/>
        <v>0</v>
      </c>
      <c r="BN47" s="371">
        <f t="shared" si="27"/>
        <v>0</v>
      </c>
      <c r="BO47" s="371">
        <f t="shared" si="27"/>
        <v>0</v>
      </c>
      <c r="BP47" s="371">
        <f t="shared" si="27"/>
        <v>0</v>
      </c>
      <c r="BQ47" s="371">
        <f t="shared" si="27"/>
        <v>0</v>
      </c>
      <c r="BR47" s="371">
        <f t="shared" si="27"/>
        <v>0</v>
      </c>
      <c r="BS47" s="371">
        <f t="shared" si="27"/>
        <v>0</v>
      </c>
      <c r="BT47" s="371">
        <f t="shared" si="27"/>
        <v>0</v>
      </c>
      <c r="BU47" s="371">
        <f t="shared" si="28"/>
        <v>0</v>
      </c>
      <c r="BV47" s="371">
        <f t="shared" si="28"/>
        <v>0</v>
      </c>
      <c r="BW47" s="371">
        <f t="shared" si="28"/>
        <v>0</v>
      </c>
      <c r="BX47" s="371">
        <f t="shared" si="28"/>
        <v>0</v>
      </c>
      <c r="BY47" s="371">
        <f t="shared" si="28"/>
        <v>0</v>
      </c>
      <c r="BZ47" s="371">
        <f t="shared" si="28"/>
        <v>0</v>
      </c>
    </row>
    <row r="48" spans="1:78" ht="21" hidden="1" customHeight="1" outlineLevel="3">
      <c r="B48" s="367"/>
      <c r="C48" s="370"/>
      <c r="D48" s="374">
        <f t="shared" si="29"/>
        <v>45016</v>
      </c>
      <c r="E48" s="373" cm="1">
        <f t="array" ref="E48">IF($D48=LatestMonthOfActuals,INDEX($AE$39:$BZ$39,0,MATCH($D48,$AE$8:$BZ$8,0)),0)</f>
        <v>0</v>
      </c>
      <c r="F48" s="359"/>
      <c r="G48" s="408">
        <f t="shared" si="21"/>
        <v>0</v>
      </c>
      <c r="H48" s="408">
        <f t="shared" si="21"/>
        <v>0</v>
      </c>
      <c r="I48" s="408">
        <f t="shared" si="21"/>
        <v>0</v>
      </c>
      <c r="J48" s="408">
        <f t="shared" si="21"/>
        <v>0</v>
      </c>
      <c r="K48" s="408"/>
      <c r="L48" s="408"/>
      <c r="M48" s="408">
        <f t="shared" si="22"/>
        <v>0</v>
      </c>
      <c r="N48" s="408">
        <f t="shared" si="22"/>
        <v>0</v>
      </c>
      <c r="O48" s="408">
        <f t="shared" si="22"/>
        <v>0</v>
      </c>
      <c r="P48" s="408">
        <f t="shared" si="22"/>
        <v>0</v>
      </c>
      <c r="Q48" s="408">
        <f t="shared" si="22"/>
        <v>0</v>
      </c>
      <c r="R48" s="408">
        <f t="shared" si="22"/>
        <v>0</v>
      </c>
      <c r="S48" s="408">
        <f t="shared" si="22"/>
        <v>0</v>
      </c>
      <c r="T48" s="408">
        <f t="shared" si="22"/>
        <v>0</v>
      </c>
      <c r="U48" s="408">
        <f t="shared" si="22"/>
        <v>0</v>
      </c>
      <c r="V48" s="408">
        <f t="shared" si="22"/>
        <v>0</v>
      </c>
      <c r="W48" s="408">
        <f t="shared" si="22"/>
        <v>0</v>
      </c>
      <c r="X48" s="408">
        <f t="shared" si="22"/>
        <v>0</v>
      </c>
      <c r="Y48" s="408">
        <f t="shared" si="22"/>
        <v>0</v>
      </c>
      <c r="Z48" s="408">
        <f t="shared" si="22"/>
        <v>0</v>
      </c>
      <c r="AA48" s="408">
        <f t="shared" si="22"/>
        <v>0</v>
      </c>
      <c r="AB48" s="408">
        <f t="shared" si="22"/>
        <v>0</v>
      </c>
      <c r="AD48" s="359"/>
      <c r="AE48" s="371">
        <f t="shared" si="23"/>
        <v>0</v>
      </c>
      <c r="AF48" s="371">
        <f t="shared" si="23"/>
        <v>0</v>
      </c>
      <c r="AG48" s="371">
        <f t="shared" si="23"/>
        <v>0</v>
      </c>
      <c r="AH48" s="371">
        <f t="shared" si="23"/>
        <v>0</v>
      </c>
      <c r="AI48" s="371">
        <f t="shared" si="23"/>
        <v>0</v>
      </c>
      <c r="AJ48" s="371">
        <f t="shared" si="23"/>
        <v>0</v>
      </c>
      <c r="AK48" s="371">
        <f t="shared" si="23"/>
        <v>0</v>
      </c>
      <c r="AL48" s="371">
        <f t="shared" si="23"/>
        <v>0</v>
      </c>
      <c r="AM48" s="371">
        <f t="shared" si="23"/>
        <v>0</v>
      </c>
      <c r="AN48" s="371">
        <f t="shared" si="23"/>
        <v>0</v>
      </c>
      <c r="AO48" s="371">
        <f t="shared" si="23"/>
        <v>0</v>
      </c>
      <c r="AP48" s="371">
        <f t="shared" si="24"/>
        <v>0</v>
      </c>
      <c r="AQ48" s="371">
        <f t="shared" si="25"/>
        <v>0</v>
      </c>
      <c r="AR48" s="371">
        <f t="shared" si="25"/>
        <v>0</v>
      </c>
      <c r="AS48" s="371">
        <f t="shared" si="25"/>
        <v>0</v>
      </c>
      <c r="AT48" s="371">
        <f t="shared" si="25"/>
        <v>0</v>
      </c>
      <c r="AU48" s="371">
        <f t="shared" si="25"/>
        <v>0</v>
      </c>
      <c r="AV48" s="371">
        <f t="shared" si="25"/>
        <v>0</v>
      </c>
      <c r="AW48" s="371">
        <f t="shared" si="25"/>
        <v>0</v>
      </c>
      <c r="AX48" s="371">
        <f t="shared" si="25"/>
        <v>0</v>
      </c>
      <c r="AY48" s="371">
        <f t="shared" si="25"/>
        <v>0</v>
      </c>
      <c r="AZ48" s="371">
        <f t="shared" si="25"/>
        <v>0</v>
      </c>
      <c r="BA48" s="371">
        <f t="shared" si="26"/>
        <v>0</v>
      </c>
      <c r="BB48" s="371">
        <f t="shared" si="26"/>
        <v>0</v>
      </c>
      <c r="BC48" s="371">
        <f t="shared" si="26"/>
        <v>0</v>
      </c>
      <c r="BD48" s="371">
        <f t="shared" si="26"/>
        <v>0</v>
      </c>
      <c r="BE48" s="371">
        <f t="shared" si="26"/>
        <v>0</v>
      </c>
      <c r="BF48" s="371">
        <f t="shared" si="26"/>
        <v>0</v>
      </c>
      <c r="BG48" s="371">
        <f t="shared" si="26"/>
        <v>0</v>
      </c>
      <c r="BH48" s="371">
        <f t="shared" si="26"/>
        <v>0</v>
      </c>
      <c r="BI48" s="371">
        <f t="shared" si="26"/>
        <v>0</v>
      </c>
      <c r="BJ48" s="371">
        <f t="shared" si="26"/>
        <v>0</v>
      </c>
      <c r="BK48" s="371">
        <f t="shared" si="27"/>
        <v>0</v>
      </c>
      <c r="BL48" s="371">
        <f t="shared" si="27"/>
        <v>0</v>
      </c>
      <c r="BM48" s="371">
        <f t="shared" si="27"/>
        <v>0</v>
      </c>
      <c r="BN48" s="371">
        <f t="shared" si="27"/>
        <v>0</v>
      </c>
      <c r="BO48" s="371">
        <f t="shared" si="27"/>
        <v>0</v>
      </c>
      <c r="BP48" s="371">
        <f t="shared" si="27"/>
        <v>0</v>
      </c>
      <c r="BQ48" s="371">
        <f t="shared" si="27"/>
        <v>0</v>
      </c>
      <c r="BR48" s="371">
        <f t="shared" si="27"/>
        <v>0</v>
      </c>
      <c r="BS48" s="371">
        <f t="shared" si="27"/>
        <v>0</v>
      </c>
      <c r="BT48" s="371">
        <f t="shared" si="27"/>
        <v>0</v>
      </c>
      <c r="BU48" s="371">
        <f t="shared" si="28"/>
        <v>0</v>
      </c>
      <c r="BV48" s="371">
        <f t="shared" si="28"/>
        <v>0</v>
      </c>
      <c r="BW48" s="371">
        <f t="shared" si="28"/>
        <v>0</v>
      </c>
      <c r="BX48" s="371">
        <f t="shared" si="28"/>
        <v>0</v>
      </c>
      <c r="BY48" s="371">
        <f t="shared" si="28"/>
        <v>0</v>
      </c>
      <c r="BZ48" s="371">
        <f t="shared" si="28"/>
        <v>0</v>
      </c>
    </row>
    <row r="49" spans="2:78" ht="21" hidden="1" customHeight="1" outlineLevel="3">
      <c r="B49" s="367"/>
      <c r="C49" s="370"/>
      <c r="D49" s="374">
        <f t="shared" si="29"/>
        <v>45046</v>
      </c>
      <c r="E49" s="373" cm="1">
        <f t="array" ref="E49">IF($D49=LatestMonthOfActuals,INDEX($AE$39:$BZ$39,0,MATCH($D49,$AE$8:$BZ$8,0)),0)</f>
        <v>0</v>
      </c>
      <c r="F49" s="359"/>
      <c r="G49" s="408">
        <f t="shared" si="21"/>
        <v>0</v>
      </c>
      <c r="H49" s="408">
        <f t="shared" si="21"/>
        <v>0</v>
      </c>
      <c r="I49" s="408">
        <f t="shared" si="21"/>
        <v>0</v>
      </c>
      <c r="J49" s="408">
        <f t="shared" si="21"/>
        <v>0</v>
      </c>
      <c r="K49" s="408"/>
      <c r="L49" s="408"/>
      <c r="M49" s="408">
        <f t="shared" si="22"/>
        <v>0</v>
      </c>
      <c r="N49" s="408">
        <f t="shared" si="22"/>
        <v>0</v>
      </c>
      <c r="O49" s="408">
        <f t="shared" si="22"/>
        <v>0</v>
      </c>
      <c r="P49" s="408">
        <f t="shared" si="22"/>
        <v>0</v>
      </c>
      <c r="Q49" s="408">
        <f t="shared" si="22"/>
        <v>0</v>
      </c>
      <c r="R49" s="408">
        <f t="shared" si="22"/>
        <v>0</v>
      </c>
      <c r="S49" s="408">
        <f t="shared" si="22"/>
        <v>0</v>
      </c>
      <c r="T49" s="408">
        <f t="shared" si="22"/>
        <v>0</v>
      </c>
      <c r="U49" s="408">
        <f t="shared" si="22"/>
        <v>0</v>
      </c>
      <c r="V49" s="408">
        <f t="shared" si="22"/>
        <v>0</v>
      </c>
      <c r="W49" s="408">
        <f t="shared" si="22"/>
        <v>0</v>
      </c>
      <c r="X49" s="408">
        <f t="shared" si="22"/>
        <v>0</v>
      </c>
      <c r="Y49" s="408">
        <f t="shared" si="22"/>
        <v>0</v>
      </c>
      <c r="Z49" s="408">
        <f t="shared" si="22"/>
        <v>0</v>
      </c>
      <c r="AA49" s="408">
        <f t="shared" si="22"/>
        <v>0</v>
      </c>
      <c r="AB49" s="408">
        <f t="shared" si="22"/>
        <v>0</v>
      </c>
      <c r="AD49" s="359"/>
      <c r="AE49" s="371">
        <f t="shared" si="23"/>
        <v>0</v>
      </c>
      <c r="AF49" s="371">
        <f t="shared" si="23"/>
        <v>0</v>
      </c>
      <c r="AG49" s="371">
        <f t="shared" si="23"/>
        <v>0</v>
      </c>
      <c r="AH49" s="371">
        <f t="shared" si="23"/>
        <v>0</v>
      </c>
      <c r="AI49" s="371">
        <f t="shared" si="23"/>
        <v>0</v>
      </c>
      <c r="AJ49" s="371">
        <f t="shared" si="23"/>
        <v>0</v>
      </c>
      <c r="AK49" s="371">
        <f t="shared" si="23"/>
        <v>0</v>
      </c>
      <c r="AL49" s="371">
        <f t="shared" si="23"/>
        <v>0</v>
      </c>
      <c r="AM49" s="371">
        <f t="shared" si="23"/>
        <v>0</v>
      </c>
      <c r="AN49" s="371">
        <f t="shared" si="23"/>
        <v>0</v>
      </c>
      <c r="AO49" s="371">
        <f t="shared" si="23"/>
        <v>0</v>
      </c>
      <c r="AP49" s="371">
        <f t="shared" si="24"/>
        <v>0</v>
      </c>
      <c r="AQ49" s="371">
        <f t="shared" si="25"/>
        <v>0</v>
      </c>
      <c r="AR49" s="371">
        <f t="shared" si="25"/>
        <v>0</v>
      </c>
      <c r="AS49" s="371">
        <f t="shared" si="25"/>
        <v>0</v>
      </c>
      <c r="AT49" s="371">
        <f t="shared" si="25"/>
        <v>0</v>
      </c>
      <c r="AU49" s="371">
        <f t="shared" si="25"/>
        <v>0</v>
      </c>
      <c r="AV49" s="371">
        <f t="shared" si="25"/>
        <v>0</v>
      </c>
      <c r="AW49" s="371">
        <f t="shared" si="25"/>
        <v>0</v>
      </c>
      <c r="AX49" s="371">
        <f t="shared" si="25"/>
        <v>0</v>
      </c>
      <c r="AY49" s="371">
        <f t="shared" si="25"/>
        <v>0</v>
      </c>
      <c r="AZ49" s="371">
        <f t="shared" si="25"/>
        <v>0</v>
      </c>
      <c r="BA49" s="371">
        <f t="shared" si="26"/>
        <v>0</v>
      </c>
      <c r="BB49" s="371">
        <f t="shared" si="26"/>
        <v>0</v>
      </c>
      <c r="BC49" s="371">
        <f t="shared" si="26"/>
        <v>0</v>
      </c>
      <c r="BD49" s="371">
        <f t="shared" si="26"/>
        <v>0</v>
      </c>
      <c r="BE49" s="371">
        <f t="shared" si="26"/>
        <v>0</v>
      </c>
      <c r="BF49" s="371">
        <f t="shared" si="26"/>
        <v>0</v>
      </c>
      <c r="BG49" s="371">
        <f t="shared" si="26"/>
        <v>0</v>
      </c>
      <c r="BH49" s="371">
        <f t="shared" si="26"/>
        <v>0</v>
      </c>
      <c r="BI49" s="371">
        <f t="shared" si="26"/>
        <v>0</v>
      </c>
      <c r="BJ49" s="371">
        <f t="shared" si="26"/>
        <v>0</v>
      </c>
      <c r="BK49" s="371">
        <f t="shared" si="27"/>
        <v>0</v>
      </c>
      <c r="BL49" s="371">
        <f t="shared" si="27"/>
        <v>0</v>
      </c>
      <c r="BM49" s="371">
        <f t="shared" si="27"/>
        <v>0</v>
      </c>
      <c r="BN49" s="371">
        <f t="shared" si="27"/>
        <v>0</v>
      </c>
      <c r="BO49" s="371">
        <f t="shared" si="27"/>
        <v>0</v>
      </c>
      <c r="BP49" s="371">
        <f t="shared" si="27"/>
        <v>0</v>
      </c>
      <c r="BQ49" s="371">
        <f t="shared" si="27"/>
        <v>0</v>
      </c>
      <c r="BR49" s="371">
        <f t="shared" si="27"/>
        <v>0</v>
      </c>
      <c r="BS49" s="371">
        <f t="shared" si="27"/>
        <v>0</v>
      </c>
      <c r="BT49" s="371">
        <f t="shared" si="27"/>
        <v>0</v>
      </c>
      <c r="BU49" s="371">
        <f t="shared" si="28"/>
        <v>0</v>
      </c>
      <c r="BV49" s="371">
        <f t="shared" si="28"/>
        <v>0</v>
      </c>
      <c r="BW49" s="371">
        <f t="shared" si="28"/>
        <v>0</v>
      </c>
      <c r="BX49" s="371">
        <f t="shared" si="28"/>
        <v>0</v>
      </c>
      <c r="BY49" s="371">
        <f t="shared" si="28"/>
        <v>0</v>
      </c>
      <c r="BZ49" s="371">
        <f t="shared" si="28"/>
        <v>0</v>
      </c>
    </row>
    <row r="50" spans="2:78" ht="21" hidden="1" customHeight="1" outlineLevel="3">
      <c r="B50" s="367"/>
      <c r="C50" s="370"/>
      <c r="D50" s="374">
        <f t="shared" si="29"/>
        <v>45077</v>
      </c>
      <c r="E50" s="373" cm="1">
        <f t="array" ref="E50">IF($D50=LatestMonthOfActuals,INDEX($AE$39:$BZ$39,0,MATCH($D50,$AE$8:$BZ$8,0)),0)</f>
        <v>0</v>
      </c>
      <c r="F50" s="359"/>
      <c r="G50" s="408">
        <f t="shared" si="21"/>
        <v>0</v>
      </c>
      <c r="H50" s="408">
        <f t="shared" si="21"/>
        <v>0</v>
      </c>
      <c r="I50" s="408">
        <f t="shared" si="21"/>
        <v>0</v>
      </c>
      <c r="J50" s="408">
        <f t="shared" si="21"/>
        <v>0</v>
      </c>
      <c r="K50" s="408"/>
      <c r="L50" s="408"/>
      <c r="M50" s="408">
        <f t="shared" si="22"/>
        <v>0</v>
      </c>
      <c r="N50" s="408">
        <f t="shared" si="22"/>
        <v>0</v>
      </c>
      <c r="O50" s="408">
        <f t="shared" si="22"/>
        <v>0</v>
      </c>
      <c r="P50" s="408">
        <f t="shared" si="22"/>
        <v>0</v>
      </c>
      <c r="Q50" s="408">
        <f t="shared" si="22"/>
        <v>0</v>
      </c>
      <c r="R50" s="408">
        <f t="shared" si="22"/>
        <v>0</v>
      </c>
      <c r="S50" s="408">
        <f t="shared" si="22"/>
        <v>0</v>
      </c>
      <c r="T50" s="408">
        <f t="shared" si="22"/>
        <v>0</v>
      </c>
      <c r="U50" s="408">
        <f t="shared" si="22"/>
        <v>0</v>
      </c>
      <c r="V50" s="408">
        <f t="shared" si="22"/>
        <v>0</v>
      </c>
      <c r="W50" s="408">
        <f t="shared" si="22"/>
        <v>0</v>
      </c>
      <c r="X50" s="408">
        <f t="shared" si="22"/>
        <v>0</v>
      </c>
      <c r="Y50" s="408">
        <f t="shared" si="22"/>
        <v>0</v>
      </c>
      <c r="Z50" s="408">
        <f t="shared" si="22"/>
        <v>0</v>
      </c>
      <c r="AA50" s="408">
        <f t="shared" si="22"/>
        <v>0</v>
      </c>
      <c r="AB50" s="408">
        <f t="shared" si="22"/>
        <v>0</v>
      </c>
      <c r="AD50" s="359"/>
      <c r="AE50" s="371">
        <f t="shared" si="23"/>
        <v>0</v>
      </c>
      <c r="AF50" s="371">
        <f t="shared" si="23"/>
        <v>0</v>
      </c>
      <c r="AG50" s="371">
        <f t="shared" si="23"/>
        <v>0</v>
      </c>
      <c r="AH50" s="371">
        <f t="shared" si="23"/>
        <v>0</v>
      </c>
      <c r="AI50" s="371">
        <f t="shared" si="23"/>
        <v>0</v>
      </c>
      <c r="AJ50" s="371">
        <f t="shared" si="23"/>
        <v>0</v>
      </c>
      <c r="AK50" s="371">
        <f t="shared" si="23"/>
        <v>0</v>
      </c>
      <c r="AL50" s="371">
        <f t="shared" si="23"/>
        <v>0</v>
      </c>
      <c r="AM50" s="371">
        <f t="shared" si="23"/>
        <v>0</v>
      </c>
      <c r="AN50" s="371">
        <f t="shared" si="23"/>
        <v>0</v>
      </c>
      <c r="AO50" s="371">
        <f t="shared" si="23"/>
        <v>0</v>
      </c>
      <c r="AP50" s="371">
        <f t="shared" si="24"/>
        <v>0</v>
      </c>
      <c r="AQ50" s="371">
        <f t="shared" si="25"/>
        <v>0</v>
      </c>
      <c r="AR50" s="371">
        <f t="shared" si="25"/>
        <v>0</v>
      </c>
      <c r="AS50" s="371">
        <f t="shared" si="25"/>
        <v>0</v>
      </c>
      <c r="AT50" s="371">
        <f t="shared" si="25"/>
        <v>0</v>
      </c>
      <c r="AU50" s="371">
        <f t="shared" si="25"/>
        <v>0</v>
      </c>
      <c r="AV50" s="371">
        <f t="shared" si="25"/>
        <v>0</v>
      </c>
      <c r="AW50" s="371">
        <f t="shared" si="25"/>
        <v>0</v>
      </c>
      <c r="AX50" s="371">
        <f t="shared" si="25"/>
        <v>0</v>
      </c>
      <c r="AY50" s="371">
        <f t="shared" si="25"/>
        <v>0</v>
      </c>
      <c r="AZ50" s="371">
        <f t="shared" si="25"/>
        <v>0</v>
      </c>
      <c r="BA50" s="371">
        <f t="shared" si="26"/>
        <v>0</v>
      </c>
      <c r="BB50" s="371">
        <f t="shared" si="26"/>
        <v>0</v>
      </c>
      <c r="BC50" s="371">
        <f t="shared" si="26"/>
        <v>0</v>
      </c>
      <c r="BD50" s="371">
        <f t="shared" si="26"/>
        <v>0</v>
      </c>
      <c r="BE50" s="371">
        <f t="shared" si="26"/>
        <v>0</v>
      </c>
      <c r="BF50" s="371">
        <f t="shared" si="26"/>
        <v>0</v>
      </c>
      <c r="BG50" s="371">
        <f t="shared" si="26"/>
        <v>0</v>
      </c>
      <c r="BH50" s="371">
        <f t="shared" si="26"/>
        <v>0</v>
      </c>
      <c r="BI50" s="371">
        <f t="shared" si="26"/>
        <v>0</v>
      </c>
      <c r="BJ50" s="371">
        <f t="shared" si="26"/>
        <v>0</v>
      </c>
      <c r="BK50" s="371">
        <f t="shared" si="27"/>
        <v>0</v>
      </c>
      <c r="BL50" s="371">
        <f t="shared" si="27"/>
        <v>0</v>
      </c>
      <c r="BM50" s="371">
        <f t="shared" si="27"/>
        <v>0</v>
      </c>
      <c r="BN50" s="371">
        <f t="shared" si="27"/>
        <v>0</v>
      </c>
      <c r="BO50" s="371">
        <f t="shared" si="27"/>
        <v>0</v>
      </c>
      <c r="BP50" s="371">
        <f t="shared" si="27"/>
        <v>0</v>
      </c>
      <c r="BQ50" s="371">
        <f t="shared" si="27"/>
        <v>0</v>
      </c>
      <c r="BR50" s="371">
        <f t="shared" si="27"/>
        <v>0</v>
      </c>
      <c r="BS50" s="371">
        <f t="shared" si="27"/>
        <v>0</v>
      </c>
      <c r="BT50" s="371">
        <f t="shared" si="27"/>
        <v>0</v>
      </c>
      <c r="BU50" s="371">
        <f t="shared" si="28"/>
        <v>0</v>
      </c>
      <c r="BV50" s="371">
        <f t="shared" si="28"/>
        <v>0</v>
      </c>
      <c r="BW50" s="371">
        <f t="shared" si="28"/>
        <v>0</v>
      </c>
      <c r="BX50" s="371">
        <f t="shared" si="28"/>
        <v>0</v>
      </c>
      <c r="BY50" s="371">
        <f t="shared" si="28"/>
        <v>0</v>
      </c>
      <c r="BZ50" s="371">
        <f t="shared" si="28"/>
        <v>0</v>
      </c>
    </row>
    <row r="51" spans="2:78" ht="21" hidden="1" customHeight="1" outlineLevel="3">
      <c r="B51" s="367"/>
      <c r="C51" s="370"/>
      <c r="D51" s="374">
        <f t="shared" si="29"/>
        <v>45107</v>
      </c>
      <c r="E51" s="373" cm="1">
        <f t="array" ref="E51">IF($D51=LatestMonthOfActuals,INDEX($AE$39:$BZ$39,0,MATCH($D51,$AE$8:$BZ$8,0)),0)</f>
        <v>0</v>
      </c>
      <c r="F51" s="359"/>
      <c r="G51" s="408">
        <f t="shared" si="21"/>
        <v>0</v>
      </c>
      <c r="H51" s="408">
        <f t="shared" si="21"/>
        <v>0</v>
      </c>
      <c r="I51" s="408">
        <f t="shared" si="21"/>
        <v>0</v>
      </c>
      <c r="J51" s="408">
        <f t="shared" si="21"/>
        <v>0</v>
      </c>
      <c r="K51" s="408"/>
      <c r="L51" s="408"/>
      <c r="M51" s="408">
        <f t="shared" si="22"/>
        <v>0</v>
      </c>
      <c r="N51" s="408">
        <f t="shared" si="22"/>
        <v>0</v>
      </c>
      <c r="O51" s="408">
        <f t="shared" si="22"/>
        <v>0</v>
      </c>
      <c r="P51" s="408">
        <f t="shared" si="22"/>
        <v>0</v>
      </c>
      <c r="Q51" s="408">
        <f t="shared" si="22"/>
        <v>0</v>
      </c>
      <c r="R51" s="408">
        <f t="shared" si="22"/>
        <v>0</v>
      </c>
      <c r="S51" s="408">
        <f t="shared" si="22"/>
        <v>0</v>
      </c>
      <c r="T51" s="408">
        <f t="shared" si="22"/>
        <v>0</v>
      </c>
      <c r="U51" s="408">
        <f t="shared" si="22"/>
        <v>0</v>
      </c>
      <c r="V51" s="408">
        <f t="shared" si="22"/>
        <v>0</v>
      </c>
      <c r="W51" s="408">
        <f t="shared" si="22"/>
        <v>0</v>
      </c>
      <c r="X51" s="408">
        <f t="shared" si="22"/>
        <v>0</v>
      </c>
      <c r="Y51" s="408">
        <f t="shared" si="22"/>
        <v>0</v>
      </c>
      <c r="Z51" s="408">
        <f t="shared" si="22"/>
        <v>0</v>
      </c>
      <c r="AA51" s="408">
        <f t="shared" si="22"/>
        <v>0</v>
      </c>
      <c r="AB51" s="408">
        <f t="shared" si="22"/>
        <v>0</v>
      </c>
      <c r="AD51" s="359"/>
      <c r="AE51" s="371">
        <f t="shared" si="23"/>
        <v>0</v>
      </c>
      <c r="AF51" s="371">
        <f t="shared" si="23"/>
        <v>0</v>
      </c>
      <c r="AG51" s="371">
        <f t="shared" si="23"/>
        <v>0</v>
      </c>
      <c r="AH51" s="371">
        <f t="shared" si="23"/>
        <v>0</v>
      </c>
      <c r="AI51" s="371">
        <f t="shared" si="23"/>
        <v>0</v>
      </c>
      <c r="AJ51" s="371">
        <f t="shared" si="23"/>
        <v>0</v>
      </c>
      <c r="AK51" s="371">
        <f t="shared" si="23"/>
        <v>0</v>
      </c>
      <c r="AL51" s="371">
        <f t="shared" si="23"/>
        <v>0</v>
      </c>
      <c r="AM51" s="371">
        <f t="shared" si="23"/>
        <v>0</v>
      </c>
      <c r="AN51" s="371">
        <f t="shared" si="23"/>
        <v>0</v>
      </c>
      <c r="AO51" s="371">
        <f t="shared" si="23"/>
        <v>0</v>
      </c>
      <c r="AP51" s="371">
        <f t="shared" si="24"/>
        <v>0</v>
      </c>
      <c r="AQ51" s="371">
        <f t="shared" si="25"/>
        <v>0</v>
      </c>
      <c r="AR51" s="371">
        <f t="shared" si="25"/>
        <v>0</v>
      </c>
      <c r="AS51" s="371">
        <f t="shared" si="25"/>
        <v>0</v>
      </c>
      <c r="AT51" s="371">
        <f t="shared" si="25"/>
        <v>0</v>
      </c>
      <c r="AU51" s="371">
        <f t="shared" si="25"/>
        <v>0</v>
      </c>
      <c r="AV51" s="371">
        <f t="shared" si="25"/>
        <v>0</v>
      </c>
      <c r="AW51" s="371">
        <f t="shared" si="25"/>
        <v>0</v>
      </c>
      <c r="AX51" s="371">
        <f t="shared" si="25"/>
        <v>0</v>
      </c>
      <c r="AY51" s="371">
        <f t="shared" si="25"/>
        <v>0</v>
      </c>
      <c r="AZ51" s="371">
        <f t="shared" si="25"/>
        <v>0</v>
      </c>
      <c r="BA51" s="371">
        <f t="shared" si="26"/>
        <v>0</v>
      </c>
      <c r="BB51" s="371">
        <f t="shared" si="26"/>
        <v>0</v>
      </c>
      <c r="BC51" s="371">
        <f t="shared" si="26"/>
        <v>0</v>
      </c>
      <c r="BD51" s="371">
        <f t="shared" si="26"/>
        <v>0</v>
      </c>
      <c r="BE51" s="371">
        <f t="shared" si="26"/>
        <v>0</v>
      </c>
      <c r="BF51" s="371">
        <f t="shared" si="26"/>
        <v>0</v>
      </c>
      <c r="BG51" s="371">
        <f t="shared" si="26"/>
        <v>0</v>
      </c>
      <c r="BH51" s="371">
        <f t="shared" si="26"/>
        <v>0</v>
      </c>
      <c r="BI51" s="371">
        <f t="shared" si="26"/>
        <v>0</v>
      </c>
      <c r="BJ51" s="371">
        <f t="shared" si="26"/>
        <v>0</v>
      </c>
      <c r="BK51" s="371">
        <f t="shared" si="27"/>
        <v>0</v>
      </c>
      <c r="BL51" s="371">
        <f t="shared" si="27"/>
        <v>0</v>
      </c>
      <c r="BM51" s="371">
        <f t="shared" si="27"/>
        <v>0</v>
      </c>
      <c r="BN51" s="371">
        <f t="shared" si="27"/>
        <v>0</v>
      </c>
      <c r="BO51" s="371">
        <f t="shared" si="27"/>
        <v>0</v>
      </c>
      <c r="BP51" s="371">
        <f t="shared" si="27"/>
        <v>0</v>
      </c>
      <c r="BQ51" s="371">
        <f t="shared" si="27"/>
        <v>0</v>
      </c>
      <c r="BR51" s="371">
        <f t="shared" si="27"/>
        <v>0</v>
      </c>
      <c r="BS51" s="371">
        <f t="shared" si="27"/>
        <v>0</v>
      </c>
      <c r="BT51" s="371">
        <f t="shared" si="27"/>
        <v>0</v>
      </c>
      <c r="BU51" s="371">
        <f t="shared" si="28"/>
        <v>0</v>
      </c>
      <c r="BV51" s="371">
        <f t="shared" si="28"/>
        <v>0</v>
      </c>
      <c r="BW51" s="371">
        <f t="shared" si="28"/>
        <v>0</v>
      </c>
      <c r="BX51" s="371">
        <f t="shared" si="28"/>
        <v>0</v>
      </c>
      <c r="BY51" s="371">
        <f t="shared" si="28"/>
        <v>0</v>
      </c>
      <c r="BZ51" s="371">
        <f t="shared" si="28"/>
        <v>0</v>
      </c>
    </row>
    <row r="52" spans="2:78" ht="21" hidden="1" customHeight="1" outlineLevel="3">
      <c r="B52" s="367"/>
      <c r="C52" s="370"/>
      <c r="D52" s="374">
        <f t="shared" si="29"/>
        <v>45138</v>
      </c>
      <c r="E52" s="373" cm="1">
        <f t="array" ref="E52">IF($D52=LatestMonthOfActuals,INDEX($AE$39:$BZ$39,0,MATCH($D52,$AE$8:$BZ$8,0)),0)</f>
        <v>0</v>
      </c>
      <c r="F52" s="359"/>
      <c r="G52" s="408">
        <f t="shared" si="21"/>
        <v>0</v>
      </c>
      <c r="H52" s="408">
        <f t="shared" si="21"/>
        <v>0</v>
      </c>
      <c r="I52" s="408">
        <f t="shared" si="21"/>
        <v>0</v>
      </c>
      <c r="J52" s="408">
        <f t="shared" si="21"/>
        <v>0</v>
      </c>
      <c r="K52" s="408"/>
      <c r="L52" s="408"/>
      <c r="M52" s="408">
        <f t="shared" si="22"/>
        <v>0</v>
      </c>
      <c r="N52" s="408">
        <f t="shared" si="22"/>
        <v>0</v>
      </c>
      <c r="O52" s="408">
        <f t="shared" si="22"/>
        <v>0</v>
      </c>
      <c r="P52" s="408">
        <f t="shared" si="22"/>
        <v>0</v>
      </c>
      <c r="Q52" s="408">
        <f t="shared" si="22"/>
        <v>0</v>
      </c>
      <c r="R52" s="408">
        <f t="shared" si="22"/>
        <v>0</v>
      </c>
      <c r="S52" s="408">
        <f t="shared" si="22"/>
        <v>0</v>
      </c>
      <c r="T52" s="408">
        <f t="shared" si="22"/>
        <v>0</v>
      </c>
      <c r="U52" s="408">
        <f t="shared" si="22"/>
        <v>0</v>
      </c>
      <c r="V52" s="408">
        <f t="shared" si="22"/>
        <v>0</v>
      </c>
      <c r="W52" s="408">
        <f t="shared" si="22"/>
        <v>0</v>
      </c>
      <c r="X52" s="408">
        <f t="shared" si="22"/>
        <v>0</v>
      </c>
      <c r="Y52" s="408">
        <f t="shared" si="22"/>
        <v>0</v>
      </c>
      <c r="Z52" s="408">
        <f t="shared" si="22"/>
        <v>0</v>
      </c>
      <c r="AA52" s="408">
        <f t="shared" si="22"/>
        <v>0</v>
      </c>
      <c r="AB52" s="408">
        <f t="shared" si="22"/>
        <v>0</v>
      </c>
      <c r="AD52" s="359"/>
      <c r="AE52" s="371">
        <f t="shared" si="23"/>
        <v>0</v>
      </c>
      <c r="AF52" s="371">
        <f t="shared" si="23"/>
        <v>0</v>
      </c>
      <c r="AG52" s="371">
        <f t="shared" si="23"/>
        <v>0</v>
      </c>
      <c r="AH52" s="371">
        <f t="shared" si="23"/>
        <v>0</v>
      </c>
      <c r="AI52" s="371">
        <f t="shared" si="23"/>
        <v>0</v>
      </c>
      <c r="AJ52" s="371">
        <f t="shared" si="23"/>
        <v>0</v>
      </c>
      <c r="AK52" s="371">
        <f t="shared" si="23"/>
        <v>0</v>
      </c>
      <c r="AL52" s="371">
        <f t="shared" si="23"/>
        <v>0</v>
      </c>
      <c r="AM52" s="371">
        <f t="shared" si="23"/>
        <v>0</v>
      </c>
      <c r="AN52" s="371">
        <f t="shared" si="23"/>
        <v>0</v>
      </c>
      <c r="AO52" s="371">
        <f t="shared" si="23"/>
        <v>0</v>
      </c>
      <c r="AP52" s="371">
        <f t="shared" si="24"/>
        <v>0</v>
      </c>
      <c r="AQ52" s="371">
        <f t="shared" si="25"/>
        <v>0</v>
      </c>
      <c r="AR52" s="371">
        <f t="shared" si="25"/>
        <v>0</v>
      </c>
      <c r="AS52" s="371">
        <f t="shared" si="25"/>
        <v>0</v>
      </c>
      <c r="AT52" s="371">
        <f t="shared" si="25"/>
        <v>0</v>
      </c>
      <c r="AU52" s="371">
        <f t="shared" si="25"/>
        <v>0</v>
      </c>
      <c r="AV52" s="371">
        <f t="shared" si="25"/>
        <v>0</v>
      </c>
      <c r="AW52" s="371">
        <f t="shared" si="25"/>
        <v>0</v>
      </c>
      <c r="AX52" s="371">
        <f t="shared" si="25"/>
        <v>0</v>
      </c>
      <c r="AY52" s="371">
        <f t="shared" si="25"/>
        <v>0</v>
      </c>
      <c r="AZ52" s="371">
        <f t="shared" si="25"/>
        <v>0</v>
      </c>
      <c r="BA52" s="371">
        <f t="shared" si="26"/>
        <v>0</v>
      </c>
      <c r="BB52" s="371">
        <f t="shared" si="26"/>
        <v>0</v>
      </c>
      <c r="BC52" s="371">
        <f t="shared" si="26"/>
        <v>0</v>
      </c>
      <c r="BD52" s="371">
        <f t="shared" si="26"/>
        <v>0</v>
      </c>
      <c r="BE52" s="371">
        <f t="shared" si="26"/>
        <v>0</v>
      </c>
      <c r="BF52" s="371">
        <f t="shared" si="26"/>
        <v>0</v>
      </c>
      <c r="BG52" s="371">
        <f t="shared" si="26"/>
        <v>0</v>
      </c>
      <c r="BH52" s="371">
        <f t="shared" si="26"/>
        <v>0</v>
      </c>
      <c r="BI52" s="371">
        <f t="shared" si="26"/>
        <v>0</v>
      </c>
      <c r="BJ52" s="371">
        <f t="shared" si="26"/>
        <v>0</v>
      </c>
      <c r="BK52" s="371">
        <f t="shared" si="27"/>
        <v>0</v>
      </c>
      <c r="BL52" s="371">
        <f t="shared" si="27"/>
        <v>0</v>
      </c>
      <c r="BM52" s="371">
        <f t="shared" si="27"/>
        <v>0</v>
      </c>
      <c r="BN52" s="371">
        <f t="shared" si="27"/>
        <v>0</v>
      </c>
      <c r="BO52" s="371">
        <f t="shared" si="27"/>
        <v>0</v>
      </c>
      <c r="BP52" s="371">
        <f t="shared" si="27"/>
        <v>0</v>
      </c>
      <c r="BQ52" s="371">
        <f t="shared" si="27"/>
        <v>0</v>
      </c>
      <c r="BR52" s="371">
        <f t="shared" si="27"/>
        <v>0</v>
      </c>
      <c r="BS52" s="371">
        <f t="shared" si="27"/>
        <v>0</v>
      </c>
      <c r="BT52" s="371">
        <f t="shared" si="27"/>
        <v>0</v>
      </c>
      <c r="BU52" s="371">
        <f t="shared" si="28"/>
        <v>0</v>
      </c>
      <c r="BV52" s="371">
        <f t="shared" si="28"/>
        <v>0</v>
      </c>
      <c r="BW52" s="371">
        <f t="shared" si="28"/>
        <v>0</v>
      </c>
      <c r="BX52" s="371">
        <f t="shared" si="28"/>
        <v>0</v>
      </c>
      <c r="BY52" s="371">
        <f t="shared" si="28"/>
        <v>0</v>
      </c>
      <c r="BZ52" s="371">
        <f t="shared" si="28"/>
        <v>0</v>
      </c>
    </row>
    <row r="53" spans="2:78" ht="21" hidden="1" customHeight="1" outlineLevel="3">
      <c r="B53" s="367"/>
      <c r="C53" s="370"/>
      <c r="D53" s="374">
        <f t="shared" si="29"/>
        <v>45169</v>
      </c>
      <c r="E53" s="373" cm="1">
        <f t="array" ref="E53">IF($D53=LatestMonthOfActuals,INDEX($AE$39:$BZ$39,0,MATCH($D53,$AE$8:$BZ$8,0)),0)</f>
        <v>0</v>
      </c>
      <c r="F53" s="359"/>
      <c r="G53" s="408">
        <f t="shared" si="21"/>
        <v>0</v>
      </c>
      <c r="H53" s="408">
        <f t="shared" si="21"/>
        <v>0</v>
      </c>
      <c r="I53" s="408">
        <f t="shared" si="21"/>
        <v>0</v>
      </c>
      <c r="J53" s="408">
        <f t="shared" si="21"/>
        <v>0</v>
      </c>
      <c r="K53" s="408"/>
      <c r="L53" s="408"/>
      <c r="M53" s="408">
        <f t="shared" si="22"/>
        <v>0</v>
      </c>
      <c r="N53" s="408">
        <f t="shared" si="22"/>
        <v>0</v>
      </c>
      <c r="O53" s="408">
        <f t="shared" si="22"/>
        <v>0</v>
      </c>
      <c r="P53" s="408">
        <f t="shared" si="22"/>
        <v>0</v>
      </c>
      <c r="Q53" s="408">
        <f t="shared" si="22"/>
        <v>0</v>
      </c>
      <c r="R53" s="408">
        <f t="shared" si="22"/>
        <v>0</v>
      </c>
      <c r="S53" s="408">
        <f t="shared" si="22"/>
        <v>0</v>
      </c>
      <c r="T53" s="408">
        <f t="shared" si="22"/>
        <v>0</v>
      </c>
      <c r="U53" s="408">
        <f t="shared" si="22"/>
        <v>0</v>
      </c>
      <c r="V53" s="408">
        <f t="shared" si="22"/>
        <v>0</v>
      </c>
      <c r="W53" s="408">
        <f t="shared" si="22"/>
        <v>0</v>
      </c>
      <c r="X53" s="408">
        <f t="shared" si="22"/>
        <v>0</v>
      </c>
      <c r="Y53" s="408">
        <f t="shared" si="22"/>
        <v>0</v>
      </c>
      <c r="Z53" s="408">
        <f t="shared" si="22"/>
        <v>0</v>
      </c>
      <c r="AA53" s="408">
        <f t="shared" si="22"/>
        <v>0</v>
      </c>
      <c r="AB53" s="408">
        <f t="shared" si="22"/>
        <v>0</v>
      </c>
      <c r="AD53" s="359"/>
      <c r="AE53" s="371">
        <f t="shared" si="23"/>
        <v>0</v>
      </c>
      <c r="AF53" s="371">
        <f t="shared" si="23"/>
        <v>0</v>
      </c>
      <c r="AG53" s="371">
        <f t="shared" si="23"/>
        <v>0</v>
      </c>
      <c r="AH53" s="371">
        <f t="shared" si="23"/>
        <v>0</v>
      </c>
      <c r="AI53" s="371">
        <f t="shared" si="23"/>
        <v>0</v>
      </c>
      <c r="AJ53" s="371">
        <f t="shared" si="23"/>
        <v>0</v>
      </c>
      <c r="AK53" s="371">
        <f t="shared" si="23"/>
        <v>0</v>
      </c>
      <c r="AL53" s="371">
        <f t="shared" si="23"/>
        <v>0</v>
      </c>
      <c r="AM53" s="371">
        <f t="shared" si="23"/>
        <v>0</v>
      </c>
      <c r="AN53" s="371">
        <f t="shared" si="23"/>
        <v>0</v>
      </c>
      <c r="AO53" s="371">
        <f t="shared" si="23"/>
        <v>0</v>
      </c>
      <c r="AP53" s="371">
        <f t="shared" si="24"/>
        <v>0</v>
      </c>
      <c r="AQ53" s="371">
        <f t="shared" si="25"/>
        <v>0</v>
      </c>
      <c r="AR53" s="371">
        <f t="shared" si="25"/>
        <v>0</v>
      </c>
      <c r="AS53" s="371">
        <f t="shared" si="25"/>
        <v>0</v>
      </c>
      <c r="AT53" s="371">
        <f t="shared" si="25"/>
        <v>0</v>
      </c>
      <c r="AU53" s="371">
        <f t="shared" si="25"/>
        <v>0</v>
      </c>
      <c r="AV53" s="371">
        <f t="shared" si="25"/>
        <v>0</v>
      </c>
      <c r="AW53" s="371">
        <f t="shared" si="25"/>
        <v>0</v>
      </c>
      <c r="AX53" s="371">
        <f t="shared" si="25"/>
        <v>0</v>
      </c>
      <c r="AY53" s="371">
        <f t="shared" si="25"/>
        <v>0</v>
      </c>
      <c r="AZ53" s="371">
        <f t="shared" si="25"/>
        <v>0</v>
      </c>
      <c r="BA53" s="371">
        <f t="shared" si="26"/>
        <v>0</v>
      </c>
      <c r="BB53" s="371">
        <f t="shared" si="26"/>
        <v>0</v>
      </c>
      <c r="BC53" s="371">
        <f t="shared" si="26"/>
        <v>0</v>
      </c>
      <c r="BD53" s="371">
        <f t="shared" si="26"/>
        <v>0</v>
      </c>
      <c r="BE53" s="371">
        <f t="shared" si="26"/>
        <v>0</v>
      </c>
      <c r="BF53" s="371">
        <f t="shared" si="26"/>
        <v>0</v>
      </c>
      <c r="BG53" s="371">
        <f t="shared" si="26"/>
        <v>0</v>
      </c>
      <c r="BH53" s="371">
        <f t="shared" si="26"/>
        <v>0</v>
      </c>
      <c r="BI53" s="371">
        <f t="shared" si="26"/>
        <v>0</v>
      </c>
      <c r="BJ53" s="371">
        <f t="shared" si="26"/>
        <v>0</v>
      </c>
      <c r="BK53" s="371">
        <f t="shared" si="27"/>
        <v>0</v>
      </c>
      <c r="BL53" s="371">
        <f t="shared" si="27"/>
        <v>0</v>
      </c>
      <c r="BM53" s="371">
        <f t="shared" si="27"/>
        <v>0</v>
      </c>
      <c r="BN53" s="371">
        <f t="shared" si="27"/>
        <v>0</v>
      </c>
      <c r="BO53" s="371">
        <f t="shared" si="27"/>
        <v>0</v>
      </c>
      <c r="BP53" s="371">
        <f t="shared" si="27"/>
        <v>0</v>
      </c>
      <c r="BQ53" s="371">
        <f t="shared" si="27"/>
        <v>0</v>
      </c>
      <c r="BR53" s="371">
        <f t="shared" si="27"/>
        <v>0</v>
      </c>
      <c r="BS53" s="371">
        <f t="shared" si="27"/>
        <v>0</v>
      </c>
      <c r="BT53" s="371">
        <f t="shared" si="27"/>
        <v>0</v>
      </c>
      <c r="BU53" s="371">
        <f t="shared" si="28"/>
        <v>0</v>
      </c>
      <c r="BV53" s="371">
        <f t="shared" si="28"/>
        <v>0</v>
      </c>
      <c r="BW53" s="371">
        <f t="shared" si="28"/>
        <v>0</v>
      </c>
      <c r="BX53" s="371">
        <f t="shared" si="28"/>
        <v>0</v>
      </c>
      <c r="BY53" s="371">
        <f t="shared" si="28"/>
        <v>0</v>
      </c>
      <c r="BZ53" s="371">
        <f t="shared" si="28"/>
        <v>0</v>
      </c>
    </row>
    <row r="54" spans="2:78" ht="21" hidden="1" customHeight="1" outlineLevel="3">
      <c r="B54" s="367"/>
      <c r="C54" s="370"/>
      <c r="D54" s="374">
        <f t="shared" si="29"/>
        <v>45199</v>
      </c>
      <c r="E54" s="373" cm="1">
        <f t="array" ref="E54">IF($D54=LatestMonthOfActuals,INDEX($AE$39:$BZ$39,0,MATCH($D54,$AE$8:$BZ$8,0)),0)</f>
        <v>0</v>
      </c>
      <c r="F54" s="359"/>
      <c r="G54" s="408">
        <f t="shared" si="21"/>
        <v>0</v>
      </c>
      <c r="H54" s="408">
        <f t="shared" si="21"/>
        <v>0</v>
      </c>
      <c r="I54" s="408">
        <f t="shared" si="21"/>
        <v>0</v>
      </c>
      <c r="J54" s="408">
        <f t="shared" si="21"/>
        <v>0</v>
      </c>
      <c r="K54" s="408"/>
      <c r="L54" s="408"/>
      <c r="M54" s="408">
        <f t="shared" si="22"/>
        <v>0</v>
      </c>
      <c r="N54" s="408">
        <f t="shared" si="22"/>
        <v>0</v>
      </c>
      <c r="O54" s="408">
        <f t="shared" si="22"/>
        <v>0</v>
      </c>
      <c r="P54" s="408">
        <f t="shared" si="22"/>
        <v>0</v>
      </c>
      <c r="Q54" s="408">
        <f t="shared" si="22"/>
        <v>0</v>
      </c>
      <c r="R54" s="408">
        <f t="shared" si="22"/>
        <v>0</v>
      </c>
      <c r="S54" s="408">
        <f t="shared" si="22"/>
        <v>0</v>
      </c>
      <c r="T54" s="408">
        <f t="shared" si="22"/>
        <v>0</v>
      </c>
      <c r="U54" s="408">
        <f t="shared" si="22"/>
        <v>0</v>
      </c>
      <c r="V54" s="408">
        <f t="shared" si="22"/>
        <v>0</v>
      </c>
      <c r="W54" s="408">
        <f t="shared" si="22"/>
        <v>0</v>
      </c>
      <c r="X54" s="408">
        <f t="shared" si="22"/>
        <v>0</v>
      </c>
      <c r="Y54" s="408">
        <f t="shared" si="22"/>
        <v>0</v>
      </c>
      <c r="Z54" s="408">
        <f t="shared" si="22"/>
        <v>0</v>
      </c>
      <c r="AA54" s="408">
        <f t="shared" si="22"/>
        <v>0</v>
      </c>
      <c r="AB54" s="408">
        <f t="shared" si="22"/>
        <v>0</v>
      </c>
      <c r="AD54" s="359"/>
      <c r="AE54" s="371">
        <f t="shared" si="23"/>
        <v>0</v>
      </c>
      <c r="AF54" s="371">
        <f t="shared" si="23"/>
        <v>0</v>
      </c>
      <c r="AG54" s="371">
        <f t="shared" si="23"/>
        <v>0</v>
      </c>
      <c r="AH54" s="371">
        <f t="shared" si="23"/>
        <v>0</v>
      </c>
      <c r="AI54" s="371">
        <f t="shared" si="23"/>
        <v>0</v>
      </c>
      <c r="AJ54" s="371">
        <f t="shared" si="23"/>
        <v>0</v>
      </c>
      <c r="AK54" s="371">
        <f t="shared" si="23"/>
        <v>0</v>
      </c>
      <c r="AL54" s="371">
        <f t="shared" si="23"/>
        <v>0</v>
      </c>
      <c r="AM54" s="371">
        <f t="shared" si="23"/>
        <v>0</v>
      </c>
      <c r="AN54" s="371">
        <f t="shared" si="23"/>
        <v>0</v>
      </c>
      <c r="AO54" s="371">
        <f t="shared" si="23"/>
        <v>0</v>
      </c>
      <c r="AP54" s="371">
        <f t="shared" si="24"/>
        <v>0</v>
      </c>
      <c r="AQ54" s="371">
        <f t="shared" si="25"/>
        <v>0</v>
      </c>
      <c r="AR54" s="371">
        <f t="shared" si="25"/>
        <v>0</v>
      </c>
      <c r="AS54" s="371">
        <f t="shared" si="25"/>
        <v>0</v>
      </c>
      <c r="AT54" s="371">
        <f t="shared" si="25"/>
        <v>0</v>
      </c>
      <c r="AU54" s="371">
        <f t="shared" si="25"/>
        <v>0</v>
      </c>
      <c r="AV54" s="371">
        <f t="shared" si="25"/>
        <v>0</v>
      </c>
      <c r="AW54" s="371">
        <f t="shared" si="25"/>
        <v>0</v>
      </c>
      <c r="AX54" s="371">
        <f t="shared" si="25"/>
        <v>0</v>
      </c>
      <c r="AY54" s="371">
        <f t="shared" si="25"/>
        <v>0</v>
      </c>
      <c r="AZ54" s="371">
        <f t="shared" si="25"/>
        <v>0</v>
      </c>
      <c r="BA54" s="371">
        <f t="shared" si="26"/>
        <v>0</v>
      </c>
      <c r="BB54" s="371">
        <f t="shared" si="26"/>
        <v>0</v>
      </c>
      <c r="BC54" s="371">
        <f t="shared" si="26"/>
        <v>0</v>
      </c>
      <c r="BD54" s="371">
        <f t="shared" si="26"/>
        <v>0</v>
      </c>
      <c r="BE54" s="371">
        <f t="shared" si="26"/>
        <v>0</v>
      </c>
      <c r="BF54" s="371">
        <f t="shared" si="26"/>
        <v>0</v>
      </c>
      <c r="BG54" s="371">
        <f t="shared" si="26"/>
        <v>0</v>
      </c>
      <c r="BH54" s="371">
        <f t="shared" si="26"/>
        <v>0</v>
      </c>
      <c r="BI54" s="371">
        <f t="shared" si="26"/>
        <v>0</v>
      </c>
      <c r="BJ54" s="371">
        <f t="shared" si="26"/>
        <v>0</v>
      </c>
      <c r="BK54" s="371">
        <f t="shared" si="27"/>
        <v>0</v>
      </c>
      <c r="BL54" s="371">
        <f t="shared" si="27"/>
        <v>0</v>
      </c>
      <c r="BM54" s="371">
        <f t="shared" si="27"/>
        <v>0</v>
      </c>
      <c r="BN54" s="371">
        <f t="shared" si="27"/>
        <v>0</v>
      </c>
      <c r="BO54" s="371">
        <f t="shared" si="27"/>
        <v>0</v>
      </c>
      <c r="BP54" s="371">
        <f t="shared" si="27"/>
        <v>0</v>
      </c>
      <c r="BQ54" s="371">
        <f t="shared" si="27"/>
        <v>0</v>
      </c>
      <c r="BR54" s="371">
        <f t="shared" si="27"/>
        <v>0</v>
      </c>
      <c r="BS54" s="371">
        <f t="shared" si="27"/>
        <v>0</v>
      </c>
      <c r="BT54" s="371">
        <f t="shared" si="27"/>
        <v>0</v>
      </c>
      <c r="BU54" s="371">
        <f t="shared" si="28"/>
        <v>0</v>
      </c>
      <c r="BV54" s="371">
        <f t="shared" si="28"/>
        <v>0</v>
      </c>
      <c r="BW54" s="371">
        <f t="shared" si="28"/>
        <v>0</v>
      </c>
      <c r="BX54" s="371">
        <f t="shared" si="28"/>
        <v>0</v>
      </c>
      <c r="BY54" s="371">
        <f t="shared" si="28"/>
        <v>0</v>
      </c>
      <c r="BZ54" s="371">
        <f t="shared" si="28"/>
        <v>0</v>
      </c>
    </row>
    <row r="55" spans="2:78" ht="21" hidden="1" customHeight="1" outlineLevel="3">
      <c r="B55" s="367"/>
      <c r="C55" s="370"/>
      <c r="D55" s="374">
        <f t="shared" si="29"/>
        <v>45230</v>
      </c>
      <c r="E55" s="373" cm="1">
        <f t="array" ref="E55">IF($D55=LatestMonthOfActuals,INDEX($AE$39:$BZ$39,0,MATCH($D55,$AE$8:$BZ$8,0)),0)</f>
        <v>0</v>
      </c>
      <c r="F55" s="359"/>
      <c r="G55" s="408">
        <f t="shared" si="21"/>
        <v>0</v>
      </c>
      <c r="H55" s="408">
        <f t="shared" si="21"/>
        <v>0</v>
      </c>
      <c r="I55" s="408">
        <f t="shared" si="21"/>
        <v>0</v>
      </c>
      <c r="J55" s="408">
        <f t="shared" si="21"/>
        <v>0</v>
      </c>
      <c r="K55" s="408"/>
      <c r="L55" s="408"/>
      <c r="M55" s="408">
        <f t="shared" si="22"/>
        <v>0</v>
      </c>
      <c r="N55" s="408">
        <f t="shared" si="22"/>
        <v>0</v>
      </c>
      <c r="O55" s="408">
        <f t="shared" si="22"/>
        <v>0</v>
      </c>
      <c r="P55" s="408">
        <f t="shared" si="22"/>
        <v>0</v>
      </c>
      <c r="Q55" s="408">
        <f t="shared" si="22"/>
        <v>0</v>
      </c>
      <c r="R55" s="408">
        <f t="shared" si="22"/>
        <v>0</v>
      </c>
      <c r="S55" s="408">
        <f t="shared" si="22"/>
        <v>0</v>
      </c>
      <c r="T55" s="408">
        <f t="shared" si="22"/>
        <v>0</v>
      </c>
      <c r="U55" s="408">
        <f t="shared" si="22"/>
        <v>0</v>
      </c>
      <c r="V55" s="408">
        <f t="shared" si="22"/>
        <v>0</v>
      </c>
      <c r="W55" s="408">
        <f t="shared" si="22"/>
        <v>0</v>
      </c>
      <c r="X55" s="408">
        <f t="shared" si="22"/>
        <v>0</v>
      </c>
      <c r="Y55" s="408">
        <f t="shared" si="22"/>
        <v>0</v>
      </c>
      <c r="Z55" s="408">
        <f t="shared" si="22"/>
        <v>0</v>
      </c>
      <c r="AA55" s="408">
        <f t="shared" si="22"/>
        <v>0</v>
      </c>
      <c r="AB55" s="408">
        <f t="shared" si="22"/>
        <v>0</v>
      </c>
      <c r="AD55" s="359"/>
      <c r="AE55" s="371">
        <f t="shared" si="23"/>
        <v>0</v>
      </c>
      <c r="AF55" s="371">
        <f t="shared" si="23"/>
        <v>0</v>
      </c>
      <c r="AG55" s="371">
        <f t="shared" si="23"/>
        <v>0</v>
      </c>
      <c r="AH55" s="371">
        <f t="shared" si="23"/>
        <v>0</v>
      </c>
      <c r="AI55" s="371">
        <f t="shared" si="23"/>
        <v>0</v>
      </c>
      <c r="AJ55" s="371">
        <f t="shared" si="23"/>
        <v>0</v>
      </c>
      <c r="AK55" s="371">
        <f t="shared" si="23"/>
        <v>0</v>
      </c>
      <c r="AL55" s="371">
        <f t="shared" si="23"/>
        <v>0</v>
      </c>
      <c r="AM55" s="371">
        <f t="shared" si="23"/>
        <v>0</v>
      </c>
      <c r="AN55" s="371">
        <f t="shared" si="23"/>
        <v>0</v>
      </c>
      <c r="AO55" s="371">
        <f t="shared" si="23"/>
        <v>0</v>
      </c>
      <c r="AP55" s="371">
        <f t="shared" si="24"/>
        <v>0</v>
      </c>
      <c r="AQ55" s="371">
        <f t="shared" si="25"/>
        <v>0</v>
      </c>
      <c r="AR55" s="371">
        <f t="shared" si="25"/>
        <v>0</v>
      </c>
      <c r="AS55" s="371">
        <f t="shared" si="25"/>
        <v>0</v>
      </c>
      <c r="AT55" s="371">
        <f t="shared" si="25"/>
        <v>0</v>
      </c>
      <c r="AU55" s="371">
        <f t="shared" si="25"/>
        <v>0</v>
      </c>
      <c r="AV55" s="371">
        <f t="shared" si="25"/>
        <v>0</v>
      </c>
      <c r="AW55" s="371">
        <f t="shared" si="25"/>
        <v>0</v>
      </c>
      <c r="AX55" s="371">
        <f t="shared" si="25"/>
        <v>0</v>
      </c>
      <c r="AY55" s="371">
        <f t="shared" si="25"/>
        <v>0</v>
      </c>
      <c r="AZ55" s="371">
        <f t="shared" si="25"/>
        <v>0</v>
      </c>
      <c r="BA55" s="371">
        <f t="shared" si="26"/>
        <v>0</v>
      </c>
      <c r="BB55" s="371">
        <f t="shared" si="26"/>
        <v>0</v>
      </c>
      <c r="BC55" s="371">
        <f t="shared" si="26"/>
        <v>0</v>
      </c>
      <c r="BD55" s="371">
        <f t="shared" si="26"/>
        <v>0</v>
      </c>
      <c r="BE55" s="371">
        <f t="shared" si="26"/>
        <v>0</v>
      </c>
      <c r="BF55" s="371">
        <f t="shared" si="26"/>
        <v>0</v>
      </c>
      <c r="BG55" s="371">
        <f t="shared" si="26"/>
        <v>0</v>
      </c>
      <c r="BH55" s="371">
        <f t="shared" si="26"/>
        <v>0</v>
      </c>
      <c r="BI55" s="371">
        <f t="shared" si="26"/>
        <v>0</v>
      </c>
      <c r="BJ55" s="371">
        <f t="shared" si="26"/>
        <v>0</v>
      </c>
      <c r="BK55" s="371">
        <f t="shared" si="27"/>
        <v>0</v>
      </c>
      <c r="BL55" s="371">
        <f t="shared" si="27"/>
        <v>0</v>
      </c>
      <c r="BM55" s="371">
        <f t="shared" si="27"/>
        <v>0</v>
      </c>
      <c r="BN55" s="371">
        <f t="shared" si="27"/>
        <v>0</v>
      </c>
      <c r="BO55" s="371">
        <f t="shared" si="27"/>
        <v>0</v>
      </c>
      <c r="BP55" s="371">
        <f t="shared" si="27"/>
        <v>0</v>
      </c>
      <c r="BQ55" s="371">
        <f t="shared" si="27"/>
        <v>0</v>
      </c>
      <c r="BR55" s="371">
        <f t="shared" si="27"/>
        <v>0</v>
      </c>
      <c r="BS55" s="371">
        <f t="shared" si="27"/>
        <v>0</v>
      </c>
      <c r="BT55" s="371">
        <f t="shared" si="27"/>
        <v>0</v>
      </c>
      <c r="BU55" s="371">
        <f t="shared" si="28"/>
        <v>0</v>
      </c>
      <c r="BV55" s="371">
        <f t="shared" si="28"/>
        <v>0</v>
      </c>
      <c r="BW55" s="371">
        <f t="shared" si="28"/>
        <v>0</v>
      </c>
      <c r="BX55" s="371">
        <f t="shared" si="28"/>
        <v>0</v>
      </c>
      <c r="BY55" s="371">
        <f t="shared" si="28"/>
        <v>0</v>
      </c>
      <c r="BZ55" s="371">
        <f t="shared" si="28"/>
        <v>0</v>
      </c>
    </row>
    <row r="56" spans="2:78" ht="21" hidden="1" customHeight="1" outlineLevel="3">
      <c r="B56" s="367"/>
      <c r="C56" s="370"/>
      <c r="D56" s="374">
        <f t="shared" si="29"/>
        <v>45260</v>
      </c>
      <c r="E56" s="373" cm="1">
        <f t="array" ref="E56">IF($D56=LatestMonthOfActuals,INDEX($AE$39:$BZ$39,0,MATCH($D56,$AE$8:$BZ$8,0)),0)</f>
        <v>0</v>
      </c>
      <c r="F56" s="359"/>
      <c r="G56" s="408">
        <f t="shared" si="21"/>
        <v>0</v>
      </c>
      <c r="H56" s="408">
        <f t="shared" si="21"/>
        <v>0</v>
      </c>
      <c r="I56" s="408">
        <f t="shared" si="21"/>
        <v>0</v>
      </c>
      <c r="J56" s="408">
        <f t="shared" si="21"/>
        <v>0</v>
      </c>
      <c r="K56" s="408"/>
      <c r="L56" s="408"/>
      <c r="M56" s="408">
        <f t="shared" si="22"/>
        <v>0</v>
      </c>
      <c r="N56" s="408">
        <f t="shared" si="22"/>
        <v>0</v>
      </c>
      <c r="O56" s="408">
        <f t="shared" si="22"/>
        <v>0</v>
      </c>
      <c r="P56" s="408">
        <f t="shared" si="22"/>
        <v>0</v>
      </c>
      <c r="Q56" s="408">
        <f t="shared" si="22"/>
        <v>0</v>
      </c>
      <c r="R56" s="408">
        <f t="shared" si="22"/>
        <v>0</v>
      </c>
      <c r="S56" s="408">
        <f t="shared" si="22"/>
        <v>0</v>
      </c>
      <c r="T56" s="408">
        <f t="shared" si="22"/>
        <v>0</v>
      </c>
      <c r="U56" s="408">
        <f t="shared" si="22"/>
        <v>0</v>
      </c>
      <c r="V56" s="408">
        <f t="shared" si="22"/>
        <v>0</v>
      </c>
      <c r="W56" s="408">
        <f t="shared" si="22"/>
        <v>0</v>
      </c>
      <c r="X56" s="408">
        <f t="shared" si="22"/>
        <v>0</v>
      </c>
      <c r="Y56" s="408">
        <f t="shared" si="22"/>
        <v>0</v>
      </c>
      <c r="Z56" s="408">
        <f t="shared" si="22"/>
        <v>0</v>
      </c>
      <c r="AA56" s="408">
        <f t="shared" si="22"/>
        <v>0</v>
      </c>
      <c r="AB56" s="408">
        <f t="shared" si="22"/>
        <v>0</v>
      </c>
      <c r="AD56" s="359"/>
      <c r="AE56" s="371">
        <f t="shared" ref="AE56:AO65" si="30">IFERROR(IF(AE$8&gt;=$D56,$E56*(INDEX($E$12:$E$23,(MATCH(MATCH(AE$8,$D$46:$D$93,0)-MATCH($D56,$D$46:$D$93,0),$D$12:$D$23,0)))),0),0)</f>
        <v>0</v>
      </c>
      <c r="AF56" s="371">
        <f t="shared" si="30"/>
        <v>0</v>
      </c>
      <c r="AG56" s="371">
        <f t="shared" si="30"/>
        <v>0</v>
      </c>
      <c r="AH56" s="371">
        <f t="shared" si="30"/>
        <v>0</v>
      </c>
      <c r="AI56" s="371">
        <f t="shared" si="30"/>
        <v>0</v>
      </c>
      <c r="AJ56" s="371">
        <f t="shared" si="30"/>
        <v>0</v>
      </c>
      <c r="AK56" s="371">
        <f t="shared" si="30"/>
        <v>0</v>
      </c>
      <c r="AL56" s="371">
        <f t="shared" si="30"/>
        <v>0</v>
      </c>
      <c r="AM56" s="371">
        <f t="shared" si="30"/>
        <v>0</v>
      </c>
      <c r="AN56" s="371">
        <f t="shared" si="30"/>
        <v>0</v>
      </c>
      <c r="AO56" s="371">
        <f t="shared" si="30"/>
        <v>0</v>
      </c>
      <c r="AP56" s="371">
        <f t="shared" si="24"/>
        <v>0</v>
      </c>
      <c r="AQ56" s="371">
        <f t="shared" ref="AQ56:AZ65" si="31">IFERROR(IF(AQ$8&gt;=$D56,$E56*(INDEX($E$12:$E$23,(MATCH(MATCH(AQ$8,$D$46:$D$93,0)-MATCH($D56,$D$46:$D$93,0),$D$12:$D$23,0)))),0),0)</f>
        <v>0</v>
      </c>
      <c r="AR56" s="371">
        <f t="shared" si="31"/>
        <v>0</v>
      </c>
      <c r="AS56" s="371">
        <f t="shared" si="31"/>
        <v>0</v>
      </c>
      <c r="AT56" s="371">
        <f t="shared" si="31"/>
        <v>0</v>
      </c>
      <c r="AU56" s="371">
        <f t="shared" si="31"/>
        <v>0</v>
      </c>
      <c r="AV56" s="371">
        <f t="shared" si="31"/>
        <v>0</v>
      </c>
      <c r="AW56" s="371">
        <f t="shared" si="31"/>
        <v>0</v>
      </c>
      <c r="AX56" s="371">
        <f t="shared" si="31"/>
        <v>0</v>
      </c>
      <c r="AY56" s="371">
        <f t="shared" si="31"/>
        <v>0</v>
      </c>
      <c r="AZ56" s="371">
        <f t="shared" si="31"/>
        <v>0</v>
      </c>
      <c r="BA56" s="371">
        <f t="shared" ref="BA56:BJ65" si="32">IFERROR(IF(BA$8&gt;=$D56,$E56*(INDEX($E$12:$E$23,(MATCH(MATCH(BA$8,$D$46:$D$93,0)-MATCH($D56,$D$46:$D$93,0),$D$12:$D$23,0)))),0),0)</f>
        <v>0</v>
      </c>
      <c r="BB56" s="371">
        <f t="shared" si="32"/>
        <v>0</v>
      </c>
      <c r="BC56" s="371">
        <f t="shared" si="32"/>
        <v>0</v>
      </c>
      <c r="BD56" s="371">
        <f t="shared" si="32"/>
        <v>0</v>
      </c>
      <c r="BE56" s="371">
        <f t="shared" si="32"/>
        <v>0</v>
      </c>
      <c r="BF56" s="371">
        <f t="shared" si="32"/>
        <v>0</v>
      </c>
      <c r="BG56" s="371">
        <f t="shared" si="32"/>
        <v>0</v>
      </c>
      <c r="BH56" s="371">
        <f t="shared" si="32"/>
        <v>0</v>
      </c>
      <c r="BI56" s="371">
        <f t="shared" si="32"/>
        <v>0</v>
      </c>
      <c r="BJ56" s="371">
        <f t="shared" si="32"/>
        <v>0</v>
      </c>
      <c r="BK56" s="371">
        <f t="shared" ref="BK56:BT65" si="33">IFERROR(IF(BK$8&gt;=$D56,$E56*(INDEX($E$12:$E$23,(MATCH(MATCH(BK$8,$D$46:$D$93,0)-MATCH($D56,$D$46:$D$93,0),$D$12:$D$23,0)))),0),0)</f>
        <v>0</v>
      </c>
      <c r="BL56" s="371">
        <f t="shared" si="33"/>
        <v>0</v>
      </c>
      <c r="BM56" s="371">
        <f t="shared" si="33"/>
        <v>0</v>
      </c>
      <c r="BN56" s="371">
        <f t="shared" si="33"/>
        <v>0</v>
      </c>
      <c r="BO56" s="371">
        <f t="shared" si="33"/>
        <v>0</v>
      </c>
      <c r="BP56" s="371">
        <f t="shared" si="33"/>
        <v>0</v>
      </c>
      <c r="BQ56" s="371">
        <f t="shared" si="33"/>
        <v>0</v>
      </c>
      <c r="BR56" s="371">
        <f t="shared" si="33"/>
        <v>0</v>
      </c>
      <c r="BS56" s="371">
        <f t="shared" si="33"/>
        <v>0</v>
      </c>
      <c r="BT56" s="371">
        <f t="shared" si="33"/>
        <v>0</v>
      </c>
      <c r="BU56" s="371">
        <f t="shared" ref="BU56:BZ65" si="34">IFERROR(IF(BU$8&gt;=$D56,$E56*(INDEX($E$12:$E$23,(MATCH(MATCH(BU$8,$D$46:$D$93,0)-MATCH($D56,$D$46:$D$93,0),$D$12:$D$23,0)))),0),0)</f>
        <v>0</v>
      </c>
      <c r="BV56" s="371">
        <f t="shared" si="34"/>
        <v>0</v>
      </c>
      <c r="BW56" s="371">
        <f t="shared" si="34"/>
        <v>0</v>
      </c>
      <c r="BX56" s="371">
        <f t="shared" si="34"/>
        <v>0</v>
      </c>
      <c r="BY56" s="371">
        <f t="shared" si="34"/>
        <v>0</v>
      </c>
      <c r="BZ56" s="371">
        <f t="shared" si="34"/>
        <v>0</v>
      </c>
    </row>
    <row r="57" spans="2:78" ht="21" hidden="1" customHeight="1" outlineLevel="3">
      <c r="B57" s="367"/>
      <c r="C57" s="370"/>
      <c r="D57" s="374">
        <f t="shared" si="29"/>
        <v>45291</v>
      </c>
      <c r="E57" s="373" cm="1">
        <f t="array" ref="E57">IF($D57=LatestMonthOfActuals,INDEX($AE$39:$BZ$39,0,MATCH($D57,$AE$8:$BZ$8,0)),0)</f>
        <v>0</v>
      </c>
      <c r="F57" s="359"/>
      <c r="G57" s="408">
        <f t="shared" si="21"/>
        <v>0</v>
      </c>
      <c r="H57" s="408">
        <f t="shared" si="21"/>
        <v>0</v>
      </c>
      <c r="I57" s="408">
        <f t="shared" si="21"/>
        <v>0</v>
      </c>
      <c r="J57" s="408">
        <f t="shared" si="21"/>
        <v>0</v>
      </c>
      <c r="K57" s="408"/>
      <c r="L57" s="408"/>
      <c r="M57" s="408">
        <f t="shared" si="22"/>
        <v>0</v>
      </c>
      <c r="N57" s="408">
        <f t="shared" si="22"/>
        <v>0</v>
      </c>
      <c r="O57" s="408">
        <f t="shared" si="22"/>
        <v>0</v>
      </c>
      <c r="P57" s="408">
        <f t="shared" si="22"/>
        <v>0</v>
      </c>
      <c r="Q57" s="408">
        <f t="shared" si="22"/>
        <v>0</v>
      </c>
      <c r="R57" s="408">
        <f t="shared" si="22"/>
        <v>0</v>
      </c>
      <c r="S57" s="408">
        <f t="shared" si="22"/>
        <v>0</v>
      </c>
      <c r="T57" s="408">
        <f t="shared" si="22"/>
        <v>0</v>
      </c>
      <c r="U57" s="408">
        <f t="shared" si="22"/>
        <v>0</v>
      </c>
      <c r="V57" s="408">
        <f t="shared" si="22"/>
        <v>0</v>
      </c>
      <c r="W57" s="408">
        <f t="shared" si="22"/>
        <v>0</v>
      </c>
      <c r="X57" s="408">
        <f t="shared" si="22"/>
        <v>0</v>
      </c>
      <c r="Y57" s="408">
        <f t="shared" si="22"/>
        <v>0</v>
      </c>
      <c r="Z57" s="408">
        <f t="shared" si="22"/>
        <v>0</v>
      </c>
      <c r="AA57" s="408">
        <f t="shared" si="22"/>
        <v>0</v>
      </c>
      <c r="AB57" s="408">
        <f t="shared" si="22"/>
        <v>0</v>
      </c>
      <c r="AD57" s="359"/>
      <c r="AE57" s="371">
        <f t="shared" si="30"/>
        <v>0</v>
      </c>
      <c r="AF57" s="371">
        <f t="shared" si="30"/>
        <v>0</v>
      </c>
      <c r="AG57" s="371">
        <f t="shared" si="30"/>
        <v>0</v>
      </c>
      <c r="AH57" s="371">
        <f t="shared" si="30"/>
        <v>0</v>
      </c>
      <c r="AI57" s="371">
        <f t="shared" si="30"/>
        <v>0</v>
      </c>
      <c r="AJ57" s="371">
        <f t="shared" si="30"/>
        <v>0</v>
      </c>
      <c r="AK57" s="371">
        <f t="shared" si="30"/>
        <v>0</v>
      </c>
      <c r="AL57" s="371">
        <f t="shared" si="30"/>
        <v>0</v>
      </c>
      <c r="AM57" s="371">
        <f t="shared" si="30"/>
        <v>0</v>
      </c>
      <c r="AN57" s="371">
        <f t="shared" si="30"/>
        <v>0</v>
      </c>
      <c r="AO57" s="371">
        <f t="shared" si="30"/>
        <v>0</v>
      </c>
      <c r="AP57" s="371">
        <f t="shared" si="24"/>
        <v>0</v>
      </c>
      <c r="AQ57" s="371">
        <f t="shared" si="31"/>
        <v>0</v>
      </c>
      <c r="AR57" s="371">
        <f t="shared" si="31"/>
        <v>0</v>
      </c>
      <c r="AS57" s="371">
        <f t="shared" si="31"/>
        <v>0</v>
      </c>
      <c r="AT57" s="371">
        <f t="shared" si="31"/>
        <v>0</v>
      </c>
      <c r="AU57" s="371">
        <f t="shared" si="31"/>
        <v>0</v>
      </c>
      <c r="AV57" s="371">
        <f t="shared" si="31"/>
        <v>0</v>
      </c>
      <c r="AW57" s="371">
        <f t="shared" si="31"/>
        <v>0</v>
      </c>
      <c r="AX57" s="371">
        <f t="shared" si="31"/>
        <v>0</v>
      </c>
      <c r="AY57" s="371">
        <f t="shared" si="31"/>
        <v>0</v>
      </c>
      <c r="AZ57" s="371">
        <f t="shared" si="31"/>
        <v>0</v>
      </c>
      <c r="BA57" s="371">
        <f t="shared" si="32"/>
        <v>0</v>
      </c>
      <c r="BB57" s="371">
        <f t="shared" si="32"/>
        <v>0</v>
      </c>
      <c r="BC57" s="371">
        <f t="shared" si="32"/>
        <v>0</v>
      </c>
      <c r="BD57" s="371">
        <f t="shared" si="32"/>
        <v>0</v>
      </c>
      <c r="BE57" s="371">
        <f t="shared" si="32"/>
        <v>0</v>
      </c>
      <c r="BF57" s="371">
        <f t="shared" si="32"/>
        <v>0</v>
      </c>
      <c r="BG57" s="371">
        <f t="shared" si="32"/>
        <v>0</v>
      </c>
      <c r="BH57" s="371">
        <f t="shared" si="32"/>
        <v>0</v>
      </c>
      <c r="BI57" s="371">
        <f t="shared" si="32"/>
        <v>0</v>
      </c>
      <c r="BJ57" s="371">
        <f t="shared" si="32"/>
        <v>0</v>
      </c>
      <c r="BK57" s="371">
        <f t="shared" si="33"/>
        <v>0</v>
      </c>
      <c r="BL57" s="371">
        <f t="shared" si="33"/>
        <v>0</v>
      </c>
      <c r="BM57" s="371">
        <f t="shared" si="33"/>
        <v>0</v>
      </c>
      <c r="BN57" s="371">
        <f t="shared" si="33"/>
        <v>0</v>
      </c>
      <c r="BO57" s="371">
        <f t="shared" si="33"/>
        <v>0</v>
      </c>
      <c r="BP57" s="371">
        <f t="shared" si="33"/>
        <v>0</v>
      </c>
      <c r="BQ57" s="371">
        <f t="shared" si="33"/>
        <v>0</v>
      </c>
      <c r="BR57" s="371">
        <f t="shared" si="33"/>
        <v>0</v>
      </c>
      <c r="BS57" s="371">
        <f t="shared" si="33"/>
        <v>0</v>
      </c>
      <c r="BT57" s="371">
        <f t="shared" si="33"/>
        <v>0</v>
      </c>
      <c r="BU57" s="371">
        <f t="shared" si="34"/>
        <v>0</v>
      </c>
      <c r="BV57" s="371">
        <f t="shared" si="34"/>
        <v>0</v>
      </c>
      <c r="BW57" s="371">
        <f t="shared" si="34"/>
        <v>0</v>
      </c>
      <c r="BX57" s="371">
        <f t="shared" si="34"/>
        <v>0</v>
      </c>
      <c r="BY57" s="371">
        <f t="shared" si="34"/>
        <v>0</v>
      </c>
      <c r="BZ57" s="371">
        <f t="shared" si="34"/>
        <v>0</v>
      </c>
    </row>
    <row r="58" spans="2:78" ht="21" hidden="1" customHeight="1" outlineLevel="3">
      <c r="B58" s="367"/>
      <c r="C58" s="370"/>
      <c r="D58" s="374">
        <f t="shared" si="29"/>
        <v>45322</v>
      </c>
      <c r="E58" s="373" cm="1">
        <f t="array" ref="E58">IF($D58=LatestMonthOfActuals,INDEX($AE$39:$BZ$39,0,MATCH($D58,$AE$8:$BZ$8,0)),0)</f>
        <v>0</v>
      </c>
      <c r="F58" s="359"/>
      <c r="G58" s="408">
        <f t="shared" si="21"/>
        <v>0</v>
      </c>
      <c r="H58" s="408">
        <f t="shared" si="21"/>
        <v>0</v>
      </c>
      <c r="I58" s="408">
        <f t="shared" si="21"/>
        <v>0</v>
      </c>
      <c r="J58" s="408">
        <f t="shared" si="21"/>
        <v>0</v>
      </c>
      <c r="K58" s="408"/>
      <c r="L58" s="408"/>
      <c r="M58" s="408">
        <f t="shared" si="22"/>
        <v>0</v>
      </c>
      <c r="N58" s="408">
        <f t="shared" si="22"/>
        <v>0</v>
      </c>
      <c r="O58" s="408">
        <f t="shared" si="22"/>
        <v>0</v>
      </c>
      <c r="P58" s="408">
        <f t="shared" si="22"/>
        <v>0</v>
      </c>
      <c r="Q58" s="408">
        <f t="shared" si="22"/>
        <v>0</v>
      </c>
      <c r="R58" s="408">
        <f t="shared" si="22"/>
        <v>0</v>
      </c>
      <c r="S58" s="408">
        <f t="shared" si="22"/>
        <v>0</v>
      </c>
      <c r="T58" s="408">
        <f t="shared" si="22"/>
        <v>0</v>
      </c>
      <c r="U58" s="408">
        <f t="shared" si="22"/>
        <v>0</v>
      </c>
      <c r="V58" s="408">
        <f t="shared" si="22"/>
        <v>0</v>
      </c>
      <c r="W58" s="408">
        <f t="shared" si="22"/>
        <v>0</v>
      </c>
      <c r="X58" s="408">
        <f t="shared" si="22"/>
        <v>0</v>
      </c>
      <c r="Y58" s="408">
        <f t="shared" si="22"/>
        <v>0</v>
      </c>
      <c r="Z58" s="408">
        <f t="shared" si="22"/>
        <v>0</v>
      </c>
      <c r="AA58" s="408">
        <f t="shared" si="22"/>
        <v>0</v>
      </c>
      <c r="AB58" s="408">
        <f t="shared" si="22"/>
        <v>0</v>
      </c>
      <c r="AD58" s="359"/>
      <c r="AE58" s="371">
        <f t="shared" si="30"/>
        <v>0</v>
      </c>
      <c r="AF58" s="371">
        <f t="shared" si="30"/>
        <v>0</v>
      </c>
      <c r="AG58" s="371">
        <f t="shared" si="30"/>
        <v>0</v>
      </c>
      <c r="AH58" s="371">
        <f t="shared" si="30"/>
        <v>0</v>
      </c>
      <c r="AI58" s="371">
        <f t="shared" si="30"/>
        <v>0</v>
      </c>
      <c r="AJ58" s="371">
        <f t="shared" si="30"/>
        <v>0</v>
      </c>
      <c r="AK58" s="371">
        <f t="shared" si="30"/>
        <v>0</v>
      </c>
      <c r="AL58" s="371">
        <f t="shared" si="30"/>
        <v>0</v>
      </c>
      <c r="AM58" s="371">
        <f t="shared" si="30"/>
        <v>0</v>
      </c>
      <c r="AN58" s="371">
        <f t="shared" si="30"/>
        <v>0</v>
      </c>
      <c r="AO58" s="371">
        <f t="shared" si="30"/>
        <v>0</v>
      </c>
      <c r="AP58" s="371">
        <f t="shared" si="24"/>
        <v>0</v>
      </c>
      <c r="AQ58" s="371">
        <f t="shared" si="31"/>
        <v>0</v>
      </c>
      <c r="AR58" s="371">
        <f t="shared" si="31"/>
        <v>0</v>
      </c>
      <c r="AS58" s="371">
        <f t="shared" si="31"/>
        <v>0</v>
      </c>
      <c r="AT58" s="371">
        <f t="shared" si="31"/>
        <v>0</v>
      </c>
      <c r="AU58" s="371">
        <f t="shared" si="31"/>
        <v>0</v>
      </c>
      <c r="AV58" s="371">
        <f t="shared" si="31"/>
        <v>0</v>
      </c>
      <c r="AW58" s="371">
        <f t="shared" si="31"/>
        <v>0</v>
      </c>
      <c r="AX58" s="371">
        <f t="shared" si="31"/>
        <v>0</v>
      </c>
      <c r="AY58" s="371">
        <f t="shared" si="31"/>
        <v>0</v>
      </c>
      <c r="AZ58" s="371">
        <f t="shared" si="31"/>
        <v>0</v>
      </c>
      <c r="BA58" s="371">
        <f t="shared" si="32"/>
        <v>0</v>
      </c>
      <c r="BB58" s="371">
        <f t="shared" si="32"/>
        <v>0</v>
      </c>
      <c r="BC58" s="371">
        <f t="shared" si="32"/>
        <v>0</v>
      </c>
      <c r="BD58" s="371">
        <f t="shared" si="32"/>
        <v>0</v>
      </c>
      <c r="BE58" s="371">
        <f t="shared" si="32"/>
        <v>0</v>
      </c>
      <c r="BF58" s="371">
        <f t="shared" si="32"/>
        <v>0</v>
      </c>
      <c r="BG58" s="371">
        <f t="shared" si="32"/>
        <v>0</v>
      </c>
      <c r="BH58" s="371">
        <f t="shared" si="32"/>
        <v>0</v>
      </c>
      <c r="BI58" s="371">
        <f t="shared" si="32"/>
        <v>0</v>
      </c>
      <c r="BJ58" s="371">
        <f t="shared" si="32"/>
        <v>0</v>
      </c>
      <c r="BK58" s="371">
        <f t="shared" si="33"/>
        <v>0</v>
      </c>
      <c r="BL58" s="371">
        <f t="shared" si="33"/>
        <v>0</v>
      </c>
      <c r="BM58" s="371">
        <f t="shared" si="33"/>
        <v>0</v>
      </c>
      <c r="BN58" s="371">
        <f t="shared" si="33"/>
        <v>0</v>
      </c>
      <c r="BO58" s="371">
        <f t="shared" si="33"/>
        <v>0</v>
      </c>
      <c r="BP58" s="371">
        <f t="shared" si="33"/>
        <v>0</v>
      </c>
      <c r="BQ58" s="371">
        <f t="shared" si="33"/>
        <v>0</v>
      </c>
      <c r="BR58" s="371">
        <f t="shared" si="33"/>
        <v>0</v>
      </c>
      <c r="BS58" s="371">
        <f t="shared" si="33"/>
        <v>0</v>
      </c>
      <c r="BT58" s="371">
        <f t="shared" si="33"/>
        <v>0</v>
      </c>
      <c r="BU58" s="371">
        <f t="shared" si="34"/>
        <v>0</v>
      </c>
      <c r="BV58" s="371">
        <f t="shared" si="34"/>
        <v>0</v>
      </c>
      <c r="BW58" s="371">
        <f t="shared" si="34"/>
        <v>0</v>
      </c>
      <c r="BX58" s="371">
        <f t="shared" si="34"/>
        <v>0</v>
      </c>
      <c r="BY58" s="371">
        <f t="shared" si="34"/>
        <v>0</v>
      </c>
      <c r="BZ58" s="371">
        <f t="shared" si="34"/>
        <v>0</v>
      </c>
    </row>
    <row r="59" spans="2:78" ht="21" hidden="1" customHeight="1" outlineLevel="3">
      <c r="B59" s="367"/>
      <c r="C59" s="370"/>
      <c r="D59" s="374">
        <f t="shared" si="29"/>
        <v>45351</v>
      </c>
      <c r="E59" s="373" cm="1">
        <f t="array" ref="E59">IF($D59=LatestMonthOfActuals,INDEX($AE$39:$BZ$39,0,MATCH($D59,$AE$8:$BZ$8,0)),0)</f>
        <v>0</v>
      </c>
      <c r="F59" s="359"/>
      <c r="G59" s="408">
        <f t="shared" si="21"/>
        <v>0</v>
      </c>
      <c r="H59" s="408">
        <f t="shared" si="21"/>
        <v>0</v>
      </c>
      <c r="I59" s="408">
        <f t="shared" si="21"/>
        <v>0</v>
      </c>
      <c r="J59" s="408">
        <f t="shared" si="21"/>
        <v>0</v>
      </c>
      <c r="K59" s="408"/>
      <c r="L59" s="408"/>
      <c r="M59" s="408">
        <f t="shared" si="22"/>
        <v>0</v>
      </c>
      <c r="N59" s="408">
        <f t="shared" si="22"/>
        <v>0</v>
      </c>
      <c r="O59" s="408">
        <f t="shared" si="22"/>
        <v>0</v>
      </c>
      <c r="P59" s="408">
        <f t="shared" si="22"/>
        <v>0</v>
      </c>
      <c r="Q59" s="408">
        <f t="shared" si="22"/>
        <v>0</v>
      </c>
      <c r="R59" s="408">
        <f t="shared" si="22"/>
        <v>0</v>
      </c>
      <c r="S59" s="408">
        <f t="shared" si="22"/>
        <v>0</v>
      </c>
      <c r="T59" s="408">
        <f t="shared" si="22"/>
        <v>0</v>
      </c>
      <c r="U59" s="408">
        <f t="shared" si="22"/>
        <v>0</v>
      </c>
      <c r="V59" s="408">
        <f t="shared" si="22"/>
        <v>0</v>
      </c>
      <c r="W59" s="408">
        <f t="shared" si="22"/>
        <v>0</v>
      </c>
      <c r="X59" s="408">
        <f t="shared" si="22"/>
        <v>0</v>
      </c>
      <c r="Y59" s="408">
        <f t="shared" si="22"/>
        <v>0</v>
      </c>
      <c r="Z59" s="408">
        <f t="shared" si="22"/>
        <v>0</v>
      </c>
      <c r="AA59" s="408">
        <f t="shared" si="22"/>
        <v>0</v>
      </c>
      <c r="AB59" s="408">
        <f t="shared" si="22"/>
        <v>0</v>
      </c>
      <c r="AD59" s="359"/>
      <c r="AE59" s="371">
        <f t="shared" si="30"/>
        <v>0</v>
      </c>
      <c r="AF59" s="371">
        <f t="shared" si="30"/>
        <v>0</v>
      </c>
      <c r="AG59" s="371">
        <f t="shared" si="30"/>
        <v>0</v>
      </c>
      <c r="AH59" s="371">
        <f t="shared" si="30"/>
        <v>0</v>
      </c>
      <c r="AI59" s="371">
        <f t="shared" si="30"/>
        <v>0</v>
      </c>
      <c r="AJ59" s="371">
        <f t="shared" si="30"/>
        <v>0</v>
      </c>
      <c r="AK59" s="371">
        <f t="shared" si="30"/>
        <v>0</v>
      </c>
      <c r="AL59" s="371">
        <f t="shared" si="30"/>
        <v>0</v>
      </c>
      <c r="AM59" s="371">
        <f t="shared" si="30"/>
        <v>0</v>
      </c>
      <c r="AN59" s="371">
        <f t="shared" si="30"/>
        <v>0</v>
      </c>
      <c r="AO59" s="371">
        <f t="shared" si="30"/>
        <v>0</v>
      </c>
      <c r="AP59" s="371">
        <f t="shared" si="24"/>
        <v>0</v>
      </c>
      <c r="AQ59" s="371">
        <f t="shared" si="31"/>
        <v>0</v>
      </c>
      <c r="AR59" s="371">
        <f t="shared" si="31"/>
        <v>0</v>
      </c>
      <c r="AS59" s="371">
        <f t="shared" si="31"/>
        <v>0</v>
      </c>
      <c r="AT59" s="371">
        <f t="shared" si="31"/>
        <v>0</v>
      </c>
      <c r="AU59" s="371">
        <f t="shared" si="31"/>
        <v>0</v>
      </c>
      <c r="AV59" s="371">
        <f t="shared" si="31"/>
        <v>0</v>
      </c>
      <c r="AW59" s="371">
        <f t="shared" si="31"/>
        <v>0</v>
      </c>
      <c r="AX59" s="371">
        <f t="shared" si="31"/>
        <v>0</v>
      </c>
      <c r="AY59" s="371">
        <f t="shared" si="31"/>
        <v>0</v>
      </c>
      <c r="AZ59" s="371">
        <f t="shared" si="31"/>
        <v>0</v>
      </c>
      <c r="BA59" s="371">
        <f t="shared" si="32"/>
        <v>0</v>
      </c>
      <c r="BB59" s="371">
        <f t="shared" si="32"/>
        <v>0</v>
      </c>
      <c r="BC59" s="371">
        <f t="shared" si="32"/>
        <v>0</v>
      </c>
      <c r="BD59" s="371">
        <f t="shared" si="32"/>
        <v>0</v>
      </c>
      <c r="BE59" s="371">
        <f t="shared" si="32"/>
        <v>0</v>
      </c>
      <c r="BF59" s="371">
        <f t="shared" si="32"/>
        <v>0</v>
      </c>
      <c r="BG59" s="371">
        <f t="shared" si="32"/>
        <v>0</v>
      </c>
      <c r="BH59" s="371">
        <f t="shared" si="32"/>
        <v>0</v>
      </c>
      <c r="BI59" s="371">
        <f t="shared" si="32"/>
        <v>0</v>
      </c>
      <c r="BJ59" s="371">
        <f t="shared" si="32"/>
        <v>0</v>
      </c>
      <c r="BK59" s="371">
        <f t="shared" si="33"/>
        <v>0</v>
      </c>
      <c r="BL59" s="371">
        <f t="shared" si="33"/>
        <v>0</v>
      </c>
      <c r="BM59" s="371">
        <f t="shared" si="33"/>
        <v>0</v>
      </c>
      <c r="BN59" s="371">
        <f t="shared" si="33"/>
        <v>0</v>
      </c>
      <c r="BO59" s="371">
        <f t="shared" si="33"/>
        <v>0</v>
      </c>
      <c r="BP59" s="371">
        <f t="shared" si="33"/>
        <v>0</v>
      </c>
      <c r="BQ59" s="371">
        <f t="shared" si="33"/>
        <v>0</v>
      </c>
      <c r="BR59" s="371">
        <f t="shared" si="33"/>
        <v>0</v>
      </c>
      <c r="BS59" s="371">
        <f t="shared" si="33"/>
        <v>0</v>
      </c>
      <c r="BT59" s="371">
        <f t="shared" si="33"/>
        <v>0</v>
      </c>
      <c r="BU59" s="371">
        <f t="shared" si="34"/>
        <v>0</v>
      </c>
      <c r="BV59" s="371">
        <f t="shared" si="34"/>
        <v>0</v>
      </c>
      <c r="BW59" s="371">
        <f t="shared" si="34"/>
        <v>0</v>
      </c>
      <c r="BX59" s="371">
        <f t="shared" si="34"/>
        <v>0</v>
      </c>
      <c r="BY59" s="371">
        <f t="shared" si="34"/>
        <v>0</v>
      </c>
      <c r="BZ59" s="371">
        <f t="shared" si="34"/>
        <v>0</v>
      </c>
    </row>
    <row r="60" spans="2:78" ht="21" hidden="1" customHeight="1" outlineLevel="3">
      <c r="B60" s="367"/>
      <c r="C60" s="370"/>
      <c r="D60" s="374">
        <f t="shared" si="29"/>
        <v>45382</v>
      </c>
      <c r="E60" s="373" cm="1">
        <f t="array" ref="E60">IF($D60=LatestMonthOfActuals,INDEX($AE$39:$BZ$39,0,MATCH($D60,$AE$8:$BZ$8,0)),0)</f>
        <v>0</v>
      </c>
      <c r="F60" s="359"/>
      <c r="G60" s="408">
        <f t="shared" si="21"/>
        <v>0</v>
      </c>
      <c r="H60" s="408">
        <f t="shared" si="21"/>
        <v>0</v>
      </c>
      <c r="I60" s="408">
        <f t="shared" si="21"/>
        <v>0</v>
      </c>
      <c r="J60" s="408">
        <f t="shared" si="21"/>
        <v>0</v>
      </c>
      <c r="K60" s="408"/>
      <c r="L60" s="408"/>
      <c r="M60" s="408">
        <f t="shared" si="22"/>
        <v>0</v>
      </c>
      <c r="N60" s="408">
        <f t="shared" si="22"/>
        <v>0</v>
      </c>
      <c r="O60" s="408">
        <f t="shared" si="22"/>
        <v>0</v>
      </c>
      <c r="P60" s="408">
        <f t="shared" si="22"/>
        <v>0</v>
      </c>
      <c r="Q60" s="408">
        <f t="shared" si="22"/>
        <v>0</v>
      </c>
      <c r="R60" s="408">
        <f t="shared" si="22"/>
        <v>0</v>
      </c>
      <c r="S60" s="408">
        <f t="shared" si="22"/>
        <v>0</v>
      </c>
      <c r="T60" s="408">
        <f t="shared" si="22"/>
        <v>0</v>
      </c>
      <c r="U60" s="408">
        <f t="shared" si="22"/>
        <v>0</v>
      </c>
      <c r="V60" s="408">
        <f t="shared" si="22"/>
        <v>0</v>
      </c>
      <c r="W60" s="408">
        <f t="shared" si="22"/>
        <v>0</v>
      </c>
      <c r="X60" s="408">
        <f t="shared" si="22"/>
        <v>0</v>
      </c>
      <c r="Y60" s="408">
        <f t="shared" si="22"/>
        <v>0</v>
      </c>
      <c r="Z60" s="408">
        <f t="shared" si="22"/>
        <v>0</v>
      </c>
      <c r="AA60" s="408">
        <f t="shared" si="22"/>
        <v>0</v>
      </c>
      <c r="AB60" s="408">
        <f t="shared" si="22"/>
        <v>0</v>
      </c>
      <c r="AD60" s="359"/>
      <c r="AE60" s="371">
        <f t="shared" si="30"/>
        <v>0</v>
      </c>
      <c r="AF60" s="371">
        <f t="shared" si="30"/>
        <v>0</v>
      </c>
      <c r="AG60" s="371">
        <f t="shared" si="30"/>
        <v>0</v>
      </c>
      <c r="AH60" s="371">
        <f t="shared" si="30"/>
        <v>0</v>
      </c>
      <c r="AI60" s="371">
        <f t="shared" si="30"/>
        <v>0</v>
      </c>
      <c r="AJ60" s="371">
        <f t="shared" si="30"/>
        <v>0</v>
      </c>
      <c r="AK60" s="371">
        <f t="shared" si="30"/>
        <v>0</v>
      </c>
      <c r="AL60" s="371">
        <f t="shared" si="30"/>
        <v>0</v>
      </c>
      <c r="AM60" s="371">
        <f t="shared" si="30"/>
        <v>0</v>
      </c>
      <c r="AN60" s="371">
        <f t="shared" si="30"/>
        <v>0</v>
      </c>
      <c r="AO60" s="371">
        <f t="shared" si="30"/>
        <v>0</v>
      </c>
      <c r="AP60" s="371">
        <f t="shared" si="24"/>
        <v>0</v>
      </c>
      <c r="AQ60" s="371">
        <f t="shared" si="31"/>
        <v>0</v>
      </c>
      <c r="AR60" s="371">
        <f t="shared" si="31"/>
        <v>0</v>
      </c>
      <c r="AS60" s="371">
        <f t="shared" si="31"/>
        <v>0</v>
      </c>
      <c r="AT60" s="371">
        <f t="shared" si="31"/>
        <v>0</v>
      </c>
      <c r="AU60" s="371">
        <f t="shared" si="31"/>
        <v>0</v>
      </c>
      <c r="AV60" s="371">
        <f t="shared" si="31"/>
        <v>0</v>
      </c>
      <c r="AW60" s="371">
        <f t="shared" si="31"/>
        <v>0</v>
      </c>
      <c r="AX60" s="371">
        <f t="shared" si="31"/>
        <v>0</v>
      </c>
      <c r="AY60" s="371">
        <f t="shared" si="31"/>
        <v>0</v>
      </c>
      <c r="AZ60" s="371">
        <f t="shared" si="31"/>
        <v>0</v>
      </c>
      <c r="BA60" s="371">
        <f t="shared" si="32"/>
        <v>0</v>
      </c>
      <c r="BB60" s="371">
        <f t="shared" si="32"/>
        <v>0</v>
      </c>
      <c r="BC60" s="371">
        <f t="shared" si="32"/>
        <v>0</v>
      </c>
      <c r="BD60" s="371">
        <f t="shared" si="32"/>
        <v>0</v>
      </c>
      <c r="BE60" s="371">
        <f t="shared" si="32"/>
        <v>0</v>
      </c>
      <c r="BF60" s="371">
        <f t="shared" si="32"/>
        <v>0</v>
      </c>
      <c r="BG60" s="371">
        <f t="shared" si="32"/>
        <v>0</v>
      </c>
      <c r="BH60" s="371">
        <f t="shared" si="32"/>
        <v>0</v>
      </c>
      <c r="BI60" s="371">
        <f t="shared" si="32"/>
        <v>0</v>
      </c>
      <c r="BJ60" s="371">
        <f t="shared" si="32"/>
        <v>0</v>
      </c>
      <c r="BK60" s="371">
        <f t="shared" si="33"/>
        <v>0</v>
      </c>
      <c r="BL60" s="371">
        <f t="shared" si="33"/>
        <v>0</v>
      </c>
      <c r="BM60" s="371">
        <f t="shared" si="33"/>
        <v>0</v>
      </c>
      <c r="BN60" s="371">
        <f t="shared" si="33"/>
        <v>0</v>
      </c>
      <c r="BO60" s="371">
        <f t="shared" si="33"/>
        <v>0</v>
      </c>
      <c r="BP60" s="371">
        <f t="shared" si="33"/>
        <v>0</v>
      </c>
      <c r="BQ60" s="371">
        <f t="shared" si="33"/>
        <v>0</v>
      </c>
      <c r="BR60" s="371">
        <f t="shared" si="33"/>
        <v>0</v>
      </c>
      <c r="BS60" s="371">
        <f t="shared" si="33"/>
        <v>0</v>
      </c>
      <c r="BT60" s="371">
        <f t="shared" si="33"/>
        <v>0</v>
      </c>
      <c r="BU60" s="371">
        <f t="shared" si="34"/>
        <v>0</v>
      </c>
      <c r="BV60" s="371">
        <f t="shared" si="34"/>
        <v>0</v>
      </c>
      <c r="BW60" s="371">
        <f t="shared" si="34"/>
        <v>0</v>
      </c>
      <c r="BX60" s="371">
        <f t="shared" si="34"/>
        <v>0</v>
      </c>
      <c r="BY60" s="371">
        <f t="shared" si="34"/>
        <v>0</v>
      </c>
      <c r="BZ60" s="371">
        <f t="shared" si="34"/>
        <v>0</v>
      </c>
    </row>
    <row r="61" spans="2:78" ht="21" hidden="1" customHeight="1" outlineLevel="3">
      <c r="B61" s="367"/>
      <c r="C61" s="370"/>
      <c r="D61" s="374">
        <f t="shared" si="29"/>
        <v>45412</v>
      </c>
      <c r="E61" s="373" cm="1">
        <f t="array" ref="E61">IF($D61=LatestMonthOfActuals,INDEX($AE$39:$BZ$39,0,MATCH($D61,$AE$8:$BZ$8,0)),0)</f>
        <v>0</v>
      </c>
      <c r="F61" s="359"/>
      <c r="G61" s="408">
        <f t="shared" si="21"/>
        <v>0</v>
      </c>
      <c r="H61" s="408">
        <f t="shared" si="21"/>
        <v>0</v>
      </c>
      <c r="I61" s="408">
        <f t="shared" si="21"/>
        <v>0</v>
      </c>
      <c r="J61" s="408">
        <f t="shared" si="21"/>
        <v>0</v>
      </c>
      <c r="K61" s="408"/>
      <c r="L61" s="408"/>
      <c r="M61" s="408">
        <f t="shared" si="22"/>
        <v>0</v>
      </c>
      <c r="N61" s="408">
        <f t="shared" si="22"/>
        <v>0</v>
      </c>
      <c r="O61" s="408">
        <f t="shared" si="22"/>
        <v>0</v>
      </c>
      <c r="P61" s="408">
        <f t="shared" si="22"/>
        <v>0</v>
      </c>
      <c r="Q61" s="408">
        <f t="shared" si="22"/>
        <v>0</v>
      </c>
      <c r="R61" s="408">
        <f t="shared" si="22"/>
        <v>0</v>
      </c>
      <c r="S61" s="408">
        <f t="shared" si="22"/>
        <v>0</v>
      </c>
      <c r="T61" s="408">
        <f t="shared" si="22"/>
        <v>0</v>
      </c>
      <c r="U61" s="408">
        <f t="shared" si="22"/>
        <v>0</v>
      </c>
      <c r="V61" s="408">
        <f t="shared" si="22"/>
        <v>0</v>
      </c>
      <c r="W61" s="408">
        <f t="shared" si="22"/>
        <v>0</v>
      </c>
      <c r="X61" s="408">
        <f t="shared" si="22"/>
        <v>0</v>
      </c>
      <c r="Y61" s="408">
        <f t="shared" si="22"/>
        <v>0</v>
      </c>
      <c r="Z61" s="408">
        <f t="shared" si="22"/>
        <v>0</v>
      </c>
      <c r="AA61" s="408">
        <f t="shared" si="22"/>
        <v>0</v>
      </c>
      <c r="AB61" s="408">
        <f t="shared" ref="AB61" si="35">SUMIFS($AE61:$BZ61,$AE$4:$BZ$4,"&gt;="&amp;AB$4,$AE61:$BZ61,"&lt;="&amp;AB$5)</f>
        <v>0</v>
      </c>
      <c r="AD61" s="359"/>
      <c r="AE61" s="371">
        <f t="shared" si="30"/>
        <v>0</v>
      </c>
      <c r="AF61" s="371">
        <f t="shared" si="30"/>
        <v>0</v>
      </c>
      <c r="AG61" s="371">
        <f t="shared" si="30"/>
        <v>0</v>
      </c>
      <c r="AH61" s="371">
        <f t="shared" si="30"/>
        <v>0</v>
      </c>
      <c r="AI61" s="371">
        <f t="shared" si="30"/>
        <v>0</v>
      </c>
      <c r="AJ61" s="371">
        <f t="shared" si="30"/>
        <v>0</v>
      </c>
      <c r="AK61" s="371">
        <f t="shared" si="30"/>
        <v>0</v>
      </c>
      <c r="AL61" s="371">
        <f t="shared" si="30"/>
        <v>0</v>
      </c>
      <c r="AM61" s="371">
        <f t="shared" si="30"/>
        <v>0</v>
      </c>
      <c r="AN61" s="371">
        <f t="shared" si="30"/>
        <v>0</v>
      </c>
      <c r="AO61" s="371">
        <f t="shared" si="30"/>
        <v>0</v>
      </c>
      <c r="AP61" s="371">
        <f t="shared" si="24"/>
        <v>0</v>
      </c>
      <c r="AQ61" s="371">
        <f t="shared" si="31"/>
        <v>0</v>
      </c>
      <c r="AR61" s="371">
        <f t="shared" si="31"/>
        <v>0</v>
      </c>
      <c r="AS61" s="371">
        <f t="shared" si="31"/>
        <v>0</v>
      </c>
      <c r="AT61" s="371">
        <f t="shared" si="31"/>
        <v>0</v>
      </c>
      <c r="AU61" s="371">
        <f t="shared" si="31"/>
        <v>0</v>
      </c>
      <c r="AV61" s="371">
        <f t="shared" si="31"/>
        <v>0</v>
      </c>
      <c r="AW61" s="371">
        <f t="shared" si="31"/>
        <v>0</v>
      </c>
      <c r="AX61" s="371">
        <f t="shared" si="31"/>
        <v>0</v>
      </c>
      <c r="AY61" s="371">
        <f t="shared" si="31"/>
        <v>0</v>
      </c>
      <c r="AZ61" s="371">
        <f t="shared" si="31"/>
        <v>0</v>
      </c>
      <c r="BA61" s="371">
        <f t="shared" si="32"/>
        <v>0</v>
      </c>
      <c r="BB61" s="371">
        <f t="shared" si="32"/>
        <v>0</v>
      </c>
      <c r="BC61" s="371">
        <f t="shared" si="32"/>
        <v>0</v>
      </c>
      <c r="BD61" s="371">
        <f t="shared" si="32"/>
        <v>0</v>
      </c>
      <c r="BE61" s="371">
        <f t="shared" si="32"/>
        <v>0</v>
      </c>
      <c r="BF61" s="371">
        <f t="shared" si="32"/>
        <v>0</v>
      </c>
      <c r="BG61" s="371">
        <f t="shared" si="32"/>
        <v>0</v>
      </c>
      <c r="BH61" s="371">
        <f t="shared" si="32"/>
        <v>0</v>
      </c>
      <c r="BI61" s="371">
        <f t="shared" si="32"/>
        <v>0</v>
      </c>
      <c r="BJ61" s="371">
        <f t="shared" si="32"/>
        <v>0</v>
      </c>
      <c r="BK61" s="371">
        <f t="shared" si="33"/>
        <v>0</v>
      </c>
      <c r="BL61" s="371">
        <f t="shared" si="33"/>
        <v>0</v>
      </c>
      <c r="BM61" s="371">
        <f t="shared" si="33"/>
        <v>0</v>
      </c>
      <c r="BN61" s="371">
        <f t="shared" si="33"/>
        <v>0</v>
      </c>
      <c r="BO61" s="371">
        <f t="shared" si="33"/>
        <v>0</v>
      </c>
      <c r="BP61" s="371">
        <f t="shared" si="33"/>
        <v>0</v>
      </c>
      <c r="BQ61" s="371">
        <f t="shared" si="33"/>
        <v>0</v>
      </c>
      <c r="BR61" s="371">
        <f t="shared" si="33"/>
        <v>0</v>
      </c>
      <c r="BS61" s="371">
        <f t="shared" si="33"/>
        <v>0</v>
      </c>
      <c r="BT61" s="371">
        <f t="shared" si="33"/>
        <v>0</v>
      </c>
      <c r="BU61" s="371">
        <f t="shared" si="34"/>
        <v>0</v>
      </c>
      <c r="BV61" s="371">
        <f t="shared" si="34"/>
        <v>0</v>
      </c>
      <c r="BW61" s="371">
        <f t="shared" si="34"/>
        <v>0</v>
      </c>
      <c r="BX61" s="371">
        <f t="shared" si="34"/>
        <v>0</v>
      </c>
      <c r="BY61" s="371">
        <f t="shared" si="34"/>
        <v>0</v>
      </c>
      <c r="BZ61" s="371">
        <f t="shared" si="34"/>
        <v>0</v>
      </c>
    </row>
    <row r="62" spans="2:78" ht="21" hidden="1" customHeight="1" outlineLevel="3">
      <c r="B62" s="367"/>
      <c r="C62" s="370"/>
      <c r="D62" s="374">
        <f t="shared" si="29"/>
        <v>45443</v>
      </c>
      <c r="E62" s="373" cm="1">
        <f t="array" ref="E62">IF($D62=LatestMonthOfActuals,INDEX($AE$39:$BZ$39,0,MATCH($D62,$AE$8:$BZ$8,0)),0)</f>
        <v>0</v>
      </c>
      <c r="F62" s="359"/>
      <c r="G62" s="408">
        <f t="shared" si="21"/>
        <v>0</v>
      </c>
      <c r="H62" s="408">
        <f t="shared" si="21"/>
        <v>0</v>
      </c>
      <c r="I62" s="408">
        <f t="shared" si="21"/>
        <v>0</v>
      </c>
      <c r="J62" s="408">
        <f t="shared" si="21"/>
        <v>0</v>
      </c>
      <c r="K62" s="408"/>
      <c r="L62" s="408"/>
      <c r="M62" s="408">
        <f t="shared" ref="M62:AB77" si="36">SUMIFS($AE62:$BZ62,$AE$4:$BZ$4,"&gt;="&amp;M$4,$AE62:$BZ62,"&lt;="&amp;M$5)</f>
        <v>0</v>
      </c>
      <c r="N62" s="408">
        <f t="shared" si="36"/>
        <v>0</v>
      </c>
      <c r="O62" s="408">
        <f t="shared" si="36"/>
        <v>0</v>
      </c>
      <c r="P62" s="408">
        <f t="shared" si="36"/>
        <v>0</v>
      </c>
      <c r="Q62" s="408">
        <f t="shared" si="36"/>
        <v>0</v>
      </c>
      <c r="R62" s="408">
        <f t="shared" si="36"/>
        <v>0</v>
      </c>
      <c r="S62" s="408">
        <f t="shared" si="36"/>
        <v>0</v>
      </c>
      <c r="T62" s="408">
        <f t="shared" si="36"/>
        <v>0</v>
      </c>
      <c r="U62" s="408">
        <f t="shared" si="36"/>
        <v>0</v>
      </c>
      <c r="V62" s="408">
        <f t="shared" si="36"/>
        <v>0</v>
      </c>
      <c r="W62" s="408">
        <f t="shared" si="36"/>
        <v>0</v>
      </c>
      <c r="X62" s="408">
        <f t="shared" si="36"/>
        <v>0</v>
      </c>
      <c r="Y62" s="408">
        <f t="shared" si="36"/>
        <v>0</v>
      </c>
      <c r="Z62" s="408">
        <f t="shared" si="36"/>
        <v>0</v>
      </c>
      <c r="AA62" s="408">
        <f t="shared" si="36"/>
        <v>0</v>
      </c>
      <c r="AB62" s="408">
        <f t="shared" si="36"/>
        <v>0</v>
      </c>
      <c r="AD62" s="359"/>
      <c r="AE62" s="371">
        <f t="shared" si="30"/>
        <v>0</v>
      </c>
      <c r="AF62" s="371">
        <f t="shared" si="30"/>
        <v>0</v>
      </c>
      <c r="AG62" s="371">
        <f t="shared" si="30"/>
        <v>0</v>
      </c>
      <c r="AH62" s="371">
        <f t="shared" si="30"/>
        <v>0</v>
      </c>
      <c r="AI62" s="371">
        <f t="shared" si="30"/>
        <v>0</v>
      </c>
      <c r="AJ62" s="371">
        <f t="shared" si="30"/>
        <v>0</v>
      </c>
      <c r="AK62" s="371">
        <f t="shared" si="30"/>
        <v>0</v>
      </c>
      <c r="AL62" s="371">
        <f t="shared" si="30"/>
        <v>0</v>
      </c>
      <c r="AM62" s="371">
        <f t="shared" si="30"/>
        <v>0</v>
      </c>
      <c r="AN62" s="371">
        <f t="shared" si="30"/>
        <v>0</v>
      </c>
      <c r="AO62" s="371">
        <f t="shared" si="30"/>
        <v>0</v>
      </c>
      <c r="AP62" s="371">
        <f t="shared" si="24"/>
        <v>0</v>
      </c>
      <c r="AQ62" s="371">
        <f t="shared" si="31"/>
        <v>0</v>
      </c>
      <c r="AR62" s="371">
        <f t="shared" si="31"/>
        <v>0</v>
      </c>
      <c r="AS62" s="371">
        <f t="shared" si="31"/>
        <v>0</v>
      </c>
      <c r="AT62" s="371">
        <f t="shared" si="31"/>
        <v>0</v>
      </c>
      <c r="AU62" s="371">
        <f t="shared" si="31"/>
        <v>0</v>
      </c>
      <c r="AV62" s="371">
        <f t="shared" si="31"/>
        <v>0</v>
      </c>
      <c r="AW62" s="371">
        <f t="shared" si="31"/>
        <v>0</v>
      </c>
      <c r="AX62" s="371">
        <f t="shared" si="31"/>
        <v>0</v>
      </c>
      <c r="AY62" s="371">
        <f t="shared" si="31"/>
        <v>0</v>
      </c>
      <c r="AZ62" s="371">
        <f t="shared" si="31"/>
        <v>0</v>
      </c>
      <c r="BA62" s="371">
        <f t="shared" si="32"/>
        <v>0</v>
      </c>
      <c r="BB62" s="371">
        <f t="shared" si="32"/>
        <v>0</v>
      </c>
      <c r="BC62" s="371">
        <f t="shared" si="32"/>
        <v>0</v>
      </c>
      <c r="BD62" s="371">
        <f t="shared" si="32"/>
        <v>0</v>
      </c>
      <c r="BE62" s="371">
        <f t="shared" si="32"/>
        <v>0</v>
      </c>
      <c r="BF62" s="371">
        <f t="shared" si="32"/>
        <v>0</v>
      </c>
      <c r="BG62" s="371">
        <f t="shared" si="32"/>
        <v>0</v>
      </c>
      <c r="BH62" s="371">
        <f t="shared" si="32"/>
        <v>0</v>
      </c>
      <c r="BI62" s="371">
        <f t="shared" si="32"/>
        <v>0</v>
      </c>
      <c r="BJ62" s="371">
        <f t="shared" si="32"/>
        <v>0</v>
      </c>
      <c r="BK62" s="371">
        <f t="shared" si="33"/>
        <v>0</v>
      </c>
      <c r="BL62" s="371">
        <f t="shared" si="33"/>
        <v>0</v>
      </c>
      <c r="BM62" s="371">
        <f t="shared" si="33"/>
        <v>0</v>
      </c>
      <c r="BN62" s="371">
        <f t="shared" si="33"/>
        <v>0</v>
      </c>
      <c r="BO62" s="371">
        <f t="shared" si="33"/>
        <v>0</v>
      </c>
      <c r="BP62" s="371">
        <f t="shared" si="33"/>
        <v>0</v>
      </c>
      <c r="BQ62" s="371">
        <f t="shared" si="33"/>
        <v>0</v>
      </c>
      <c r="BR62" s="371">
        <f t="shared" si="33"/>
        <v>0</v>
      </c>
      <c r="BS62" s="371">
        <f t="shared" si="33"/>
        <v>0</v>
      </c>
      <c r="BT62" s="371">
        <f t="shared" si="33"/>
        <v>0</v>
      </c>
      <c r="BU62" s="371">
        <f t="shared" si="34"/>
        <v>0</v>
      </c>
      <c r="BV62" s="371">
        <f t="shared" si="34"/>
        <v>0</v>
      </c>
      <c r="BW62" s="371">
        <f t="shared" si="34"/>
        <v>0</v>
      </c>
      <c r="BX62" s="371">
        <f t="shared" si="34"/>
        <v>0</v>
      </c>
      <c r="BY62" s="371">
        <f t="shared" si="34"/>
        <v>0</v>
      </c>
      <c r="BZ62" s="371">
        <f t="shared" si="34"/>
        <v>0</v>
      </c>
    </row>
    <row r="63" spans="2:78" ht="21" hidden="1" customHeight="1" outlineLevel="3">
      <c r="B63" s="367"/>
      <c r="C63" s="370"/>
      <c r="D63" s="374">
        <f t="shared" si="29"/>
        <v>45473</v>
      </c>
      <c r="E63" s="373" cm="1">
        <f t="array" ref="E63">IF($D63=LatestMonthOfActuals,INDEX($AE$39:$BZ$39,0,MATCH($D63,$AE$8:$BZ$8,0)),0)</f>
        <v>0</v>
      </c>
      <c r="F63" s="359"/>
      <c r="G63" s="408">
        <f t="shared" si="21"/>
        <v>0</v>
      </c>
      <c r="H63" s="408">
        <f t="shared" si="21"/>
        <v>0</v>
      </c>
      <c r="I63" s="408">
        <f t="shared" si="21"/>
        <v>0</v>
      </c>
      <c r="J63" s="408">
        <f t="shared" si="21"/>
        <v>0</v>
      </c>
      <c r="K63" s="408"/>
      <c r="L63" s="408"/>
      <c r="M63" s="408">
        <f t="shared" si="36"/>
        <v>0</v>
      </c>
      <c r="N63" s="408">
        <f t="shared" si="36"/>
        <v>0</v>
      </c>
      <c r="O63" s="408">
        <f t="shared" si="36"/>
        <v>0</v>
      </c>
      <c r="P63" s="408">
        <f t="shared" si="36"/>
        <v>0</v>
      </c>
      <c r="Q63" s="408">
        <f t="shared" si="36"/>
        <v>0</v>
      </c>
      <c r="R63" s="408">
        <f t="shared" si="36"/>
        <v>0</v>
      </c>
      <c r="S63" s="408">
        <f t="shared" si="36"/>
        <v>0</v>
      </c>
      <c r="T63" s="408">
        <f t="shared" si="36"/>
        <v>0</v>
      </c>
      <c r="U63" s="408">
        <f t="shared" si="36"/>
        <v>0</v>
      </c>
      <c r="V63" s="408">
        <f t="shared" si="36"/>
        <v>0</v>
      </c>
      <c r="W63" s="408">
        <f t="shared" si="36"/>
        <v>0</v>
      </c>
      <c r="X63" s="408">
        <f t="shared" si="36"/>
        <v>0</v>
      </c>
      <c r="Y63" s="408">
        <f t="shared" si="36"/>
        <v>0</v>
      </c>
      <c r="Z63" s="408">
        <f t="shared" si="36"/>
        <v>0</v>
      </c>
      <c r="AA63" s="408">
        <f t="shared" si="36"/>
        <v>0</v>
      </c>
      <c r="AB63" s="408">
        <f t="shared" si="36"/>
        <v>0</v>
      </c>
      <c r="AD63" s="359"/>
      <c r="AE63" s="371">
        <f t="shared" si="30"/>
        <v>0</v>
      </c>
      <c r="AF63" s="371">
        <f t="shared" si="30"/>
        <v>0</v>
      </c>
      <c r="AG63" s="371">
        <f t="shared" si="30"/>
        <v>0</v>
      </c>
      <c r="AH63" s="371">
        <f t="shared" si="30"/>
        <v>0</v>
      </c>
      <c r="AI63" s="371">
        <f t="shared" si="30"/>
        <v>0</v>
      </c>
      <c r="AJ63" s="371">
        <f t="shared" si="30"/>
        <v>0</v>
      </c>
      <c r="AK63" s="371">
        <f t="shared" si="30"/>
        <v>0</v>
      </c>
      <c r="AL63" s="371">
        <f t="shared" si="30"/>
        <v>0</v>
      </c>
      <c r="AM63" s="371">
        <f t="shared" si="30"/>
        <v>0</v>
      </c>
      <c r="AN63" s="371">
        <f t="shared" si="30"/>
        <v>0</v>
      </c>
      <c r="AO63" s="371">
        <f t="shared" si="30"/>
        <v>0</v>
      </c>
      <c r="AP63" s="371">
        <f t="shared" si="24"/>
        <v>0</v>
      </c>
      <c r="AQ63" s="371">
        <f t="shared" si="31"/>
        <v>0</v>
      </c>
      <c r="AR63" s="371">
        <f t="shared" si="31"/>
        <v>0</v>
      </c>
      <c r="AS63" s="371">
        <f t="shared" si="31"/>
        <v>0</v>
      </c>
      <c r="AT63" s="371">
        <f t="shared" si="31"/>
        <v>0</v>
      </c>
      <c r="AU63" s="371">
        <f t="shared" si="31"/>
        <v>0</v>
      </c>
      <c r="AV63" s="371">
        <f t="shared" si="31"/>
        <v>0</v>
      </c>
      <c r="AW63" s="371">
        <f t="shared" si="31"/>
        <v>0</v>
      </c>
      <c r="AX63" s="371">
        <f t="shared" si="31"/>
        <v>0</v>
      </c>
      <c r="AY63" s="371">
        <f t="shared" si="31"/>
        <v>0</v>
      </c>
      <c r="AZ63" s="371">
        <f t="shared" si="31"/>
        <v>0</v>
      </c>
      <c r="BA63" s="371">
        <f t="shared" si="32"/>
        <v>0</v>
      </c>
      <c r="BB63" s="371">
        <f t="shared" si="32"/>
        <v>0</v>
      </c>
      <c r="BC63" s="371">
        <f t="shared" si="32"/>
        <v>0</v>
      </c>
      <c r="BD63" s="371">
        <f t="shared" si="32"/>
        <v>0</v>
      </c>
      <c r="BE63" s="371">
        <f t="shared" si="32"/>
        <v>0</v>
      </c>
      <c r="BF63" s="371">
        <f t="shared" si="32"/>
        <v>0</v>
      </c>
      <c r="BG63" s="371">
        <f t="shared" si="32"/>
        <v>0</v>
      </c>
      <c r="BH63" s="371">
        <f t="shared" si="32"/>
        <v>0</v>
      </c>
      <c r="BI63" s="371">
        <f t="shared" si="32"/>
        <v>0</v>
      </c>
      <c r="BJ63" s="371">
        <f t="shared" si="32"/>
        <v>0</v>
      </c>
      <c r="BK63" s="371">
        <f t="shared" si="33"/>
        <v>0</v>
      </c>
      <c r="BL63" s="371">
        <f t="shared" si="33"/>
        <v>0</v>
      </c>
      <c r="BM63" s="371">
        <f t="shared" si="33"/>
        <v>0</v>
      </c>
      <c r="BN63" s="371">
        <f t="shared" si="33"/>
        <v>0</v>
      </c>
      <c r="BO63" s="371">
        <f t="shared" si="33"/>
        <v>0</v>
      </c>
      <c r="BP63" s="371">
        <f t="shared" si="33"/>
        <v>0</v>
      </c>
      <c r="BQ63" s="371">
        <f t="shared" si="33"/>
        <v>0</v>
      </c>
      <c r="BR63" s="371">
        <f t="shared" si="33"/>
        <v>0</v>
      </c>
      <c r="BS63" s="371">
        <f t="shared" si="33"/>
        <v>0</v>
      </c>
      <c r="BT63" s="371">
        <f t="shared" si="33"/>
        <v>0</v>
      </c>
      <c r="BU63" s="371">
        <f t="shared" si="34"/>
        <v>0</v>
      </c>
      <c r="BV63" s="371">
        <f t="shared" si="34"/>
        <v>0</v>
      </c>
      <c r="BW63" s="371">
        <f t="shared" si="34"/>
        <v>0</v>
      </c>
      <c r="BX63" s="371">
        <f t="shared" si="34"/>
        <v>0</v>
      </c>
      <c r="BY63" s="371">
        <f t="shared" si="34"/>
        <v>0</v>
      </c>
      <c r="BZ63" s="371">
        <f t="shared" si="34"/>
        <v>0</v>
      </c>
    </row>
    <row r="64" spans="2:78" ht="21" hidden="1" customHeight="1" outlineLevel="3">
      <c r="B64" s="367"/>
      <c r="C64" s="370"/>
      <c r="D64" s="374">
        <f t="shared" si="29"/>
        <v>45504</v>
      </c>
      <c r="E64" s="373" cm="1">
        <f t="array" ref="E64">IF($D64=LatestMonthOfActuals,INDEX($AE$39:$BZ$39,0,MATCH($D64,$AE$8:$BZ$8,0)),0)</f>
        <v>0</v>
      </c>
      <c r="F64" s="359"/>
      <c r="G64" s="408">
        <f t="shared" si="21"/>
        <v>0</v>
      </c>
      <c r="H64" s="408">
        <f t="shared" si="21"/>
        <v>0</v>
      </c>
      <c r="I64" s="408">
        <f t="shared" si="21"/>
        <v>0</v>
      </c>
      <c r="J64" s="408">
        <f t="shared" si="21"/>
        <v>0</v>
      </c>
      <c r="K64" s="408"/>
      <c r="L64" s="408"/>
      <c r="M64" s="408">
        <f t="shared" si="36"/>
        <v>0</v>
      </c>
      <c r="N64" s="408">
        <f t="shared" si="36"/>
        <v>0</v>
      </c>
      <c r="O64" s="408">
        <f t="shared" si="36"/>
        <v>0</v>
      </c>
      <c r="P64" s="408">
        <f t="shared" si="36"/>
        <v>0</v>
      </c>
      <c r="Q64" s="408">
        <f t="shared" si="36"/>
        <v>0</v>
      </c>
      <c r="R64" s="408">
        <f t="shared" si="36"/>
        <v>0</v>
      </c>
      <c r="S64" s="408">
        <f t="shared" si="36"/>
        <v>0</v>
      </c>
      <c r="T64" s="408">
        <f t="shared" si="36"/>
        <v>0</v>
      </c>
      <c r="U64" s="408">
        <f t="shared" si="36"/>
        <v>0</v>
      </c>
      <c r="V64" s="408">
        <f t="shared" si="36"/>
        <v>0</v>
      </c>
      <c r="W64" s="408">
        <f t="shared" si="36"/>
        <v>0</v>
      </c>
      <c r="X64" s="408">
        <f t="shared" si="36"/>
        <v>0</v>
      </c>
      <c r="Y64" s="408">
        <f t="shared" si="36"/>
        <v>0</v>
      </c>
      <c r="Z64" s="408">
        <f t="shared" si="36"/>
        <v>0</v>
      </c>
      <c r="AA64" s="408">
        <f t="shared" si="36"/>
        <v>0</v>
      </c>
      <c r="AB64" s="408">
        <f t="shared" si="36"/>
        <v>0</v>
      </c>
      <c r="AD64" s="359"/>
      <c r="AE64" s="371">
        <f t="shared" si="30"/>
        <v>0</v>
      </c>
      <c r="AF64" s="371">
        <f t="shared" si="30"/>
        <v>0</v>
      </c>
      <c r="AG64" s="371">
        <f t="shared" si="30"/>
        <v>0</v>
      </c>
      <c r="AH64" s="371">
        <f t="shared" si="30"/>
        <v>0</v>
      </c>
      <c r="AI64" s="371">
        <f t="shared" si="30"/>
        <v>0</v>
      </c>
      <c r="AJ64" s="371">
        <f t="shared" si="30"/>
        <v>0</v>
      </c>
      <c r="AK64" s="371">
        <f t="shared" si="30"/>
        <v>0</v>
      </c>
      <c r="AL64" s="371">
        <f t="shared" si="30"/>
        <v>0</v>
      </c>
      <c r="AM64" s="371">
        <f t="shared" si="30"/>
        <v>0</v>
      </c>
      <c r="AN64" s="371">
        <f t="shared" si="30"/>
        <v>0</v>
      </c>
      <c r="AO64" s="371">
        <f t="shared" si="30"/>
        <v>0</v>
      </c>
      <c r="AP64" s="371">
        <f t="shared" si="24"/>
        <v>0</v>
      </c>
      <c r="AQ64" s="371">
        <f t="shared" si="31"/>
        <v>0</v>
      </c>
      <c r="AR64" s="371">
        <f t="shared" si="31"/>
        <v>0</v>
      </c>
      <c r="AS64" s="371">
        <f t="shared" si="31"/>
        <v>0</v>
      </c>
      <c r="AT64" s="371">
        <f t="shared" si="31"/>
        <v>0</v>
      </c>
      <c r="AU64" s="371">
        <f t="shared" si="31"/>
        <v>0</v>
      </c>
      <c r="AV64" s="371">
        <f t="shared" si="31"/>
        <v>0</v>
      </c>
      <c r="AW64" s="371">
        <f t="shared" si="31"/>
        <v>0</v>
      </c>
      <c r="AX64" s="371">
        <f t="shared" si="31"/>
        <v>0</v>
      </c>
      <c r="AY64" s="371">
        <f t="shared" si="31"/>
        <v>0</v>
      </c>
      <c r="AZ64" s="371">
        <f t="shared" si="31"/>
        <v>0</v>
      </c>
      <c r="BA64" s="371">
        <f t="shared" si="32"/>
        <v>0</v>
      </c>
      <c r="BB64" s="371">
        <f t="shared" si="32"/>
        <v>0</v>
      </c>
      <c r="BC64" s="371">
        <f t="shared" si="32"/>
        <v>0</v>
      </c>
      <c r="BD64" s="371">
        <f t="shared" si="32"/>
        <v>0</v>
      </c>
      <c r="BE64" s="371">
        <f t="shared" si="32"/>
        <v>0</v>
      </c>
      <c r="BF64" s="371">
        <f t="shared" si="32"/>
        <v>0</v>
      </c>
      <c r="BG64" s="371">
        <f t="shared" si="32"/>
        <v>0</v>
      </c>
      <c r="BH64" s="371">
        <f t="shared" si="32"/>
        <v>0</v>
      </c>
      <c r="BI64" s="371">
        <f t="shared" si="32"/>
        <v>0</v>
      </c>
      <c r="BJ64" s="371">
        <f t="shared" si="32"/>
        <v>0</v>
      </c>
      <c r="BK64" s="371">
        <f t="shared" si="33"/>
        <v>0</v>
      </c>
      <c r="BL64" s="371">
        <f t="shared" si="33"/>
        <v>0</v>
      </c>
      <c r="BM64" s="371">
        <f t="shared" si="33"/>
        <v>0</v>
      </c>
      <c r="BN64" s="371">
        <f t="shared" si="33"/>
        <v>0</v>
      </c>
      <c r="BO64" s="371">
        <f t="shared" si="33"/>
        <v>0</v>
      </c>
      <c r="BP64" s="371">
        <f t="shared" si="33"/>
        <v>0</v>
      </c>
      <c r="BQ64" s="371">
        <f t="shared" si="33"/>
        <v>0</v>
      </c>
      <c r="BR64" s="371">
        <f t="shared" si="33"/>
        <v>0</v>
      </c>
      <c r="BS64" s="371">
        <f t="shared" si="33"/>
        <v>0</v>
      </c>
      <c r="BT64" s="371">
        <f t="shared" si="33"/>
        <v>0</v>
      </c>
      <c r="BU64" s="371">
        <f t="shared" si="34"/>
        <v>0</v>
      </c>
      <c r="BV64" s="371">
        <f t="shared" si="34"/>
        <v>0</v>
      </c>
      <c r="BW64" s="371">
        <f t="shared" si="34"/>
        <v>0</v>
      </c>
      <c r="BX64" s="371">
        <f t="shared" si="34"/>
        <v>0</v>
      </c>
      <c r="BY64" s="371">
        <f t="shared" si="34"/>
        <v>0</v>
      </c>
      <c r="BZ64" s="371">
        <f t="shared" si="34"/>
        <v>0</v>
      </c>
    </row>
    <row r="65" spans="2:78" ht="21" hidden="1" customHeight="1" outlineLevel="3">
      <c r="B65" s="367"/>
      <c r="C65" s="370"/>
      <c r="D65" s="374">
        <f t="shared" si="29"/>
        <v>45535</v>
      </c>
      <c r="E65" s="373" cm="1">
        <f t="array" ref="E65">IF($D65=LatestMonthOfActuals,INDEX($AE$39:$BZ$39,0,MATCH($D65,$AE$8:$BZ$8,0)),0)</f>
        <v>0</v>
      </c>
      <c r="F65" s="359"/>
      <c r="G65" s="408">
        <f t="shared" si="21"/>
        <v>0</v>
      </c>
      <c r="H65" s="408">
        <f t="shared" si="21"/>
        <v>0</v>
      </c>
      <c r="I65" s="408">
        <f t="shared" si="21"/>
        <v>0</v>
      </c>
      <c r="J65" s="408">
        <f t="shared" si="21"/>
        <v>0</v>
      </c>
      <c r="K65" s="408"/>
      <c r="L65" s="408"/>
      <c r="M65" s="408">
        <f t="shared" si="36"/>
        <v>0</v>
      </c>
      <c r="N65" s="408">
        <f t="shared" si="36"/>
        <v>0</v>
      </c>
      <c r="O65" s="408">
        <f t="shared" si="36"/>
        <v>0</v>
      </c>
      <c r="P65" s="408">
        <f t="shared" si="36"/>
        <v>0</v>
      </c>
      <c r="Q65" s="408">
        <f t="shared" si="36"/>
        <v>0</v>
      </c>
      <c r="R65" s="408">
        <f t="shared" si="36"/>
        <v>0</v>
      </c>
      <c r="S65" s="408">
        <f t="shared" si="36"/>
        <v>0</v>
      </c>
      <c r="T65" s="408">
        <f t="shared" si="36"/>
        <v>0</v>
      </c>
      <c r="U65" s="408">
        <f t="shared" si="36"/>
        <v>0</v>
      </c>
      <c r="V65" s="408">
        <f t="shared" si="36"/>
        <v>0</v>
      </c>
      <c r="W65" s="408">
        <f t="shared" si="36"/>
        <v>0</v>
      </c>
      <c r="X65" s="408">
        <f t="shared" si="36"/>
        <v>0</v>
      </c>
      <c r="Y65" s="408">
        <f t="shared" si="36"/>
        <v>0</v>
      </c>
      <c r="Z65" s="408">
        <f t="shared" si="36"/>
        <v>0</v>
      </c>
      <c r="AA65" s="408">
        <f t="shared" si="36"/>
        <v>0</v>
      </c>
      <c r="AB65" s="408">
        <f t="shared" si="36"/>
        <v>0</v>
      </c>
      <c r="AD65" s="359"/>
      <c r="AE65" s="371">
        <f t="shared" si="30"/>
        <v>0</v>
      </c>
      <c r="AF65" s="371">
        <f t="shared" si="30"/>
        <v>0</v>
      </c>
      <c r="AG65" s="371">
        <f t="shared" si="30"/>
        <v>0</v>
      </c>
      <c r="AH65" s="371">
        <f t="shared" si="30"/>
        <v>0</v>
      </c>
      <c r="AI65" s="371">
        <f t="shared" si="30"/>
        <v>0</v>
      </c>
      <c r="AJ65" s="371">
        <f t="shared" si="30"/>
        <v>0</v>
      </c>
      <c r="AK65" s="371">
        <f t="shared" si="30"/>
        <v>0</v>
      </c>
      <c r="AL65" s="371">
        <f t="shared" si="30"/>
        <v>0</v>
      </c>
      <c r="AM65" s="371">
        <f t="shared" si="30"/>
        <v>0</v>
      </c>
      <c r="AN65" s="371">
        <f t="shared" si="30"/>
        <v>0</v>
      </c>
      <c r="AO65" s="371">
        <f t="shared" si="30"/>
        <v>0</v>
      </c>
      <c r="AP65" s="371">
        <f t="shared" si="24"/>
        <v>0</v>
      </c>
      <c r="AQ65" s="371">
        <f t="shared" si="31"/>
        <v>0</v>
      </c>
      <c r="AR65" s="371">
        <f t="shared" si="31"/>
        <v>0</v>
      </c>
      <c r="AS65" s="371">
        <f t="shared" si="31"/>
        <v>0</v>
      </c>
      <c r="AT65" s="371">
        <f t="shared" si="31"/>
        <v>0</v>
      </c>
      <c r="AU65" s="371">
        <f t="shared" si="31"/>
        <v>0</v>
      </c>
      <c r="AV65" s="371">
        <f t="shared" si="31"/>
        <v>0</v>
      </c>
      <c r="AW65" s="371">
        <f t="shared" si="31"/>
        <v>0</v>
      </c>
      <c r="AX65" s="371">
        <f t="shared" si="31"/>
        <v>0</v>
      </c>
      <c r="AY65" s="371">
        <f t="shared" si="31"/>
        <v>0</v>
      </c>
      <c r="AZ65" s="371">
        <f t="shared" si="31"/>
        <v>0</v>
      </c>
      <c r="BA65" s="371">
        <f t="shared" si="32"/>
        <v>0</v>
      </c>
      <c r="BB65" s="371">
        <f t="shared" si="32"/>
        <v>0</v>
      </c>
      <c r="BC65" s="371">
        <f t="shared" si="32"/>
        <v>0</v>
      </c>
      <c r="BD65" s="371">
        <f t="shared" si="32"/>
        <v>0</v>
      </c>
      <c r="BE65" s="371">
        <f t="shared" si="32"/>
        <v>0</v>
      </c>
      <c r="BF65" s="371">
        <f t="shared" si="32"/>
        <v>0</v>
      </c>
      <c r="BG65" s="371">
        <f t="shared" si="32"/>
        <v>0</v>
      </c>
      <c r="BH65" s="371">
        <f t="shared" si="32"/>
        <v>0</v>
      </c>
      <c r="BI65" s="371">
        <f t="shared" si="32"/>
        <v>0</v>
      </c>
      <c r="BJ65" s="371">
        <f t="shared" si="32"/>
        <v>0</v>
      </c>
      <c r="BK65" s="371">
        <f t="shared" si="33"/>
        <v>0</v>
      </c>
      <c r="BL65" s="371">
        <f t="shared" si="33"/>
        <v>0</v>
      </c>
      <c r="BM65" s="371">
        <f t="shared" si="33"/>
        <v>0</v>
      </c>
      <c r="BN65" s="371">
        <f t="shared" si="33"/>
        <v>0</v>
      </c>
      <c r="BO65" s="371">
        <f t="shared" si="33"/>
        <v>0</v>
      </c>
      <c r="BP65" s="371">
        <f t="shared" si="33"/>
        <v>0</v>
      </c>
      <c r="BQ65" s="371">
        <f t="shared" si="33"/>
        <v>0</v>
      </c>
      <c r="BR65" s="371">
        <f t="shared" si="33"/>
        <v>0</v>
      </c>
      <c r="BS65" s="371">
        <f t="shared" si="33"/>
        <v>0</v>
      </c>
      <c r="BT65" s="371">
        <f t="shared" si="33"/>
        <v>0</v>
      </c>
      <c r="BU65" s="371">
        <f t="shared" si="34"/>
        <v>0</v>
      </c>
      <c r="BV65" s="371">
        <f t="shared" si="34"/>
        <v>0</v>
      </c>
      <c r="BW65" s="371">
        <f t="shared" si="34"/>
        <v>0</v>
      </c>
      <c r="BX65" s="371">
        <f t="shared" si="34"/>
        <v>0</v>
      </c>
      <c r="BY65" s="371">
        <f t="shared" si="34"/>
        <v>0</v>
      </c>
      <c r="BZ65" s="371">
        <f t="shared" si="34"/>
        <v>0</v>
      </c>
    </row>
    <row r="66" spans="2:78" ht="21" hidden="1" customHeight="1" outlineLevel="3">
      <c r="B66" s="367"/>
      <c r="C66" s="370"/>
      <c r="D66" s="374">
        <f t="shared" si="29"/>
        <v>45565</v>
      </c>
      <c r="E66" s="373" cm="1">
        <f t="array" ref="E66">IF($D66=LatestMonthOfActuals,INDEX($AE$39:$BZ$39,0,MATCH($D66,$AE$8:$BZ$8,0)),0)</f>
        <v>0</v>
      </c>
      <c r="F66" s="359"/>
      <c r="G66" s="408">
        <f t="shared" ref="G66:J85" si="37">SUMIFS($AE66:$BZ66,$AE$4:$BZ$4,"&gt;="&amp;G$4,$AE$5:$BZ$5,"&lt;="&amp;G$5)</f>
        <v>0</v>
      </c>
      <c r="H66" s="408">
        <f t="shared" si="37"/>
        <v>0</v>
      </c>
      <c r="I66" s="408">
        <f t="shared" si="37"/>
        <v>0</v>
      </c>
      <c r="J66" s="408">
        <f t="shared" si="37"/>
        <v>0</v>
      </c>
      <c r="K66" s="408"/>
      <c r="L66" s="408"/>
      <c r="M66" s="408">
        <f t="shared" si="36"/>
        <v>0</v>
      </c>
      <c r="N66" s="408">
        <f t="shared" si="36"/>
        <v>0</v>
      </c>
      <c r="O66" s="408">
        <f t="shared" si="36"/>
        <v>0</v>
      </c>
      <c r="P66" s="408">
        <f t="shared" si="36"/>
        <v>0</v>
      </c>
      <c r="Q66" s="408">
        <f t="shared" si="36"/>
        <v>0</v>
      </c>
      <c r="R66" s="408">
        <f t="shared" si="36"/>
        <v>0</v>
      </c>
      <c r="S66" s="408">
        <f t="shared" si="36"/>
        <v>0</v>
      </c>
      <c r="T66" s="408">
        <f t="shared" si="36"/>
        <v>0</v>
      </c>
      <c r="U66" s="408">
        <f t="shared" si="36"/>
        <v>0</v>
      </c>
      <c r="V66" s="408">
        <f t="shared" si="36"/>
        <v>0</v>
      </c>
      <c r="W66" s="408">
        <f t="shared" si="36"/>
        <v>0</v>
      </c>
      <c r="X66" s="408">
        <f t="shared" si="36"/>
        <v>0</v>
      </c>
      <c r="Y66" s="408">
        <f t="shared" si="36"/>
        <v>0</v>
      </c>
      <c r="Z66" s="408">
        <f t="shared" si="36"/>
        <v>0</v>
      </c>
      <c r="AA66" s="408">
        <f t="shared" si="36"/>
        <v>0</v>
      </c>
      <c r="AB66" s="408">
        <f t="shared" si="36"/>
        <v>0</v>
      </c>
      <c r="AD66" s="359"/>
      <c r="AE66" s="371">
        <f t="shared" ref="AE66:AO75" si="38">IFERROR(IF(AE$8&gt;=$D66,$E66*(INDEX($E$12:$E$23,(MATCH(MATCH(AE$8,$D$46:$D$93,0)-MATCH($D66,$D$46:$D$93,0),$D$12:$D$23,0)))),0),0)</f>
        <v>0</v>
      </c>
      <c r="AF66" s="371">
        <f t="shared" si="38"/>
        <v>0</v>
      </c>
      <c r="AG66" s="371">
        <f t="shared" si="38"/>
        <v>0</v>
      </c>
      <c r="AH66" s="371">
        <f t="shared" si="38"/>
        <v>0</v>
      </c>
      <c r="AI66" s="371">
        <f t="shared" si="38"/>
        <v>0</v>
      </c>
      <c r="AJ66" s="371">
        <f t="shared" si="38"/>
        <v>0</v>
      </c>
      <c r="AK66" s="371">
        <f t="shared" si="38"/>
        <v>0</v>
      </c>
      <c r="AL66" s="371">
        <f t="shared" si="38"/>
        <v>0</v>
      </c>
      <c r="AM66" s="371">
        <f t="shared" si="38"/>
        <v>0</v>
      </c>
      <c r="AN66" s="371">
        <f t="shared" si="38"/>
        <v>0</v>
      </c>
      <c r="AO66" s="371">
        <f t="shared" si="38"/>
        <v>0</v>
      </c>
      <c r="AP66" s="371">
        <f t="shared" si="24"/>
        <v>0</v>
      </c>
      <c r="AQ66" s="371">
        <f t="shared" ref="AQ66:AZ75" si="39">IFERROR(IF(AQ$8&gt;=$D66,$E66*(INDEX($E$12:$E$23,(MATCH(MATCH(AQ$8,$D$46:$D$93,0)-MATCH($D66,$D$46:$D$93,0),$D$12:$D$23,0)))),0),0)</f>
        <v>0</v>
      </c>
      <c r="AR66" s="371">
        <f t="shared" si="39"/>
        <v>0</v>
      </c>
      <c r="AS66" s="371">
        <f t="shared" si="39"/>
        <v>0</v>
      </c>
      <c r="AT66" s="371">
        <f t="shared" si="39"/>
        <v>0</v>
      </c>
      <c r="AU66" s="371">
        <f t="shared" si="39"/>
        <v>0</v>
      </c>
      <c r="AV66" s="371">
        <f t="shared" si="39"/>
        <v>0</v>
      </c>
      <c r="AW66" s="371">
        <f t="shared" si="39"/>
        <v>0</v>
      </c>
      <c r="AX66" s="371">
        <f t="shared" si="39"/>
        <v>0</v>
      </c>
      <c r="AY66" s="371">
        <f t="shared" si="39"/>
        <v>0</v>
      </c>
      <c r="AZ66" s="371">
        <f t="shared" si="39"/>
        <v>0</v>
      </c>
      <c r="BA66" s="371">
        <f t="shared" ref="BA66:BJ75" si="40">IFERROR(IF(BA$8&gt;=$D66,$E66*(INDEX($E$12:$E$23,(MATCH(MATCH(BA$8,$D$46:$D$93,0)-MATCH($D66,$D$46:$D$93,0),$D$12:$D$23,0)))),0),0)</f>
        <v>0</v>
      </c>
      <c r="BB66" s="371">
        <f t="shared" si="40"/>
        <v>0</v>
      </c>
      <c r="BC66" s="371">
        <f t="shared" si="40"/>
        <v>0</v>
      </c>
      <c r="BD66" s="371">
        <f t="shared" si="40"/>
        <v>0</v>
      </c>
      <c r="BE66" s="371">
        <f t="shared" si="40"/>
        <v>0</v>
      </c>
      <c r="BF66" s="371">
        <f t="shared" si="40"/>
        <v>0</v>
      </c>
      <c r="BG66" s="371">
        <f t="shared" si="40"/>
        <v>0</v>
      </c>
      <c r="BH66" s="371">
        <f t="shared" si="40"/>
        <v>0</v>
      </c>
      <c r="BI66" s="371">
        <f t="shared" si="40"/>
        <v>0</v>
      </c>
      <c r="BJ66" s="371">
        <f t="shared" si="40"/>
        <v>0</v>
      </c>
      <c r="BK66" s="371">
        <f t="shared" ref="BK66:BT75" si="41">IFERROR(IF(BK$8&gt;=$D66,$E66*(INDEX($E$12:$E$23,(MATCH(MATCH(BK$8,$D$46:$D$93,0)-MATCH($D66,$D$46:$D$93,0),$D$12:$D$23,0)))),0),0)</f>
        <v>0</v>
      </c>
      <c r="BL66" s="371">
        <f t="shared" si="41"/>
        <v>0</v>
      </c>
      <c r="BM66" s="371">
        <f t="shared" si="41"/>
        <v>0</v>
      </c>
      <c r="BN66" s="371">
        <f t="shared" si="41"/>
        <v>0</v>
      </c>
      <c r="BO66" s="371">
        <f t="shared" si="41"/>
        <v>0</v>
      </c>
      <c r="BP66" s="371">
        <f t="shared" si="41"/>
        <v>0</v>
      </c>
      <c r="BQ66" s="371">
        <f t="shared" si="41"/>
        <v>0</v>
      </c>
      <c r="BR66" s="371">
        <f t="shared" si="41"/>
        <v>0</v>
      </c>
      <c r="BS66" s="371">
        <f t="shared" si="41"/>
        <v>0</v>
      </c>
      <c r="BT66" s="371">
        <f t="shared" si="41"/>
        <v>0</v>
      </c>
      <c r="BU66" s="371">
        <f t="shared" ref="BU66:BZ75" si="42">IFERROR(IF(BU$8&gt;=$D66,$E66*(INDEX($E$12:$E$23,(MATCH(MATCH(BU$8,$D$46:$D$93,0)-MATCH($D66,$D$46:$D$93,0),$D$12:$D$23,0)))),0),0)</f>
        <v>0</v>
      </c>
      <c r="BV66" s="371">
        <f t="shared" si="42"/>
        <v>0</v>
      </c>
      <c r="BW66" s="371">
        <f t="shared" si="42"/>
        <v>0</v>
      </c>
      <c r="BX66" s="371">
        <f t="shared" si="42"/>
        <v>0</v>
      </c>
      <c r="BY66" s="371">
        <f t="shared" si="42"/>
        <v>0</v>
      </c>
      <c r="BZ66" s="371">
        <f t="shared" si="42"/>
        <v>0</v>
      </c>
    </row>
    <row r="67" spans="2:78" ht="21" hidden="1" customHeight="1" outlineLevel="3">
      <c r="B67" s="367"/>
      <c r="C67" s="370"/>
      <c r="D67" s="374">
        <f t="shared" si="29"/>
        <v>45596</v>
      </c>
      <c r="E67" s="373" cm="1">
        <f t="array" ref="E67">IF($D67=LatestMonthOfActuals,INDEX($AE$39:$BZ$39,0,MATCH($D67,$AE$8:$BZ$8,0)),0)</f>
        <v>0</v>
      </c>
      <c r="F67" s="359"/>
      <c r="G67" s="408">
        <f t="shared" si="37"/>
        <v>0</v>
      </c>
      <c r="H67" s="408">
        <f t="shared" si="37"/>
        <v>0</v>
      </c>
      <c r="I67" s="408">
        <f t="shared" si="37"/>
        <v>0</v>
      </c>
      <c r="J67" s="408">
        <f t="shared" si="37"/>
        <v>0</v>
      </c>
      <c r="K67" s="408"/>
      <c r="L67" s="408"/>
      <c r="M67" s="408">
        <f t="shared" si="36"/>
        <v>0</v>
      </c>
      <c r="N67" s="408">
        <f t="shared" si="36"/>
        <v>0</v>
      </c>
      <c r="O67" s="408">
        <f t="shared" si="36"/>
        <v>0</v>
      </c>
      <c r="P67" s="408">
        <f t="shared" si="36"/>
        <v>0</v>
      </c>
      <c r="Q67" s="408">
        <f t="shared" si="36"/>
        <v>0</v>
      </c>
      <c r="R67" s="408">
        <f t="shared" si="36"/>
        <v>0</v>
      </c>
      <c r="S67" s="408">
        <f t="shared" si="36"/>
        <v>0</v>
      </c>
      <c r="T67" s="408">
        <f t="shared" si="36"/>
        <v>0</v>
      </c>
      <c r="U67" s="408">
        <f t="shared" si="36"/>
        <v>0</v>
      </c>
      <c r="V67" s="408">
        <f t="shared" si="36"/>
        <v>0</v>
      </c>
      <c r="W67" s="408">
        <f t="shared" si="36"/>
        <v>0</v>
      </c>
      <c r="X67" s="408">
        <f t="shared" si="36"/>
        <v>0</v>
      </c>
      <c r="Y67" s="408">
        <f t="shared" si="36"/>
        <v>0</v>
      </c>
      <c r="Z67" s="408">
        <f t="shared" si="36"/>
        <v>0</v>
      </c>
      <c r="AA67" s="408">
        <f t="shared" si="36"/>
        <v>0</v>
      </c>
      <c r="AB67" s="408">
        <f t="shared" si="36"/>
        <v>0</v>
      </c>
      <c r="AD67" s="359"/>
      <c r="AE67" s="371">
        <f t="shared" si="38"/>
        <v>0</v>
      </c>
      <c r="AF67" s="371">
        <f t="shared" si="38"/>
        <v>0</v>
      </c>
      <c r="AG67" s="371">
        <f t="shared" si="38"/>
        <v>0</v>
      </c>
      <c r="AH67" s="371">
        <f t="shared" si="38"/>
        <v>0</v>
      </c>
      <c r="AI67" s="371">
        <f t="shared" si="38"/>
        <v>0</v>
      </c>
      <c r="AJ67" s="371">
        <f t="shared" si="38"/>
        <v>0</v>
      </c>
      <c r="AK67" s="371">
        <f t="shared" si="38"/>
        <v>0</v>
      </c>
      <c r="AL67" s="371">
        <f t="shared" si="38"/>
        <v>0</v>
      </c>
      <c r="AM67" s="371">
        <f t="shared" si="38"/>
        <v>0</v>
      </c>
      <c r="AN67" s="371">
        <f t="shared" si="38"/>
        <v>0</v>
      </c>
      <c r="AO67" s="371">
        <f t="shared" si="38"/>
        <v>0</v>
      </c>
      <c r="AP67" s="371">
        <f t="shared" si="24"/>
        <v>0</v>
      </c>
      <c r="AQ67" s="371">
        <f t="shared" si="39"/>
        <v>0</v>
      </c>
      <c r="AR67" s="371">
        <f t="shared" si="39"/>
        <v>0</v>
      </c>
      <c r="AS67" s="371">
        <f t="shared" si="39"/>
        <v>0</v>
      </c>
      <c r="AT67" s="371">
        <f t="shared" si="39"/>
        <v>0</v>
      </c>
      <c r="AU67" s="371">
        <f t="shared" si="39"/>
        <v>0</v>
      </c>
      <c r="AV67" s="371">
        <f t="shared" si="39"/>
        <v>0</v>
      </c>
      <c r="AW67" s="371">
        <f t="shared" si="39"/>
        <v>0</v>
      </c>
      <c r="AX67" s="371">
        <f t="shared" si="39"/>
        <v>0</v>
      </c>
      <c r="AY67" s="371">
        <f t="shared" si="39"/>
        <v>0</v>
      </c>
      <c r="AZ67" s="371">
        <f t="shared" si="39"/>
        <v>0</v>
      </c>
      <c r="BA67" s="371">
        <f t="shared" si="40"/>
        <v>0</v>
      </c>
      <c r="BB67" s="371">
        <f t="shared" si="40"/>
        <v>0</v>
      </c>
      <c r="BC67" s="371">
        <f t="shared" si="40"/>
        <v>0</v>
      </c>
      <c r="BD67" s="371">
        <f t="shared" si="40"/>
        <v>0</v>
      </c>
      <c r="BE67" s="371">
        <f t="shared" si="40"/>
        <v>0</v>
      </c>
      <c r="BF67" s="371">
        <f t="shared" si="40"/>
        <v>0</v>
      </c>
      <c r="BG67" s="371">
        <f t="shared" si="40"/>
        <v>0</v>
      </c>
      <c r="BH67" s="371">
        <f t="shared" si="40"/>
        <v>0</v>
      </c>
      <c r="BI67" s="371">
        <f t="shared" si="40"/>
        <v>0</v>
      </c>
      <c r="BJ67" s="371">
        <f t="shared" si="40"/>
        <v>0</v>
      </c>
      <c r="BK67" s="371">
        <f t="shared" si="41"/>
        <v>0</v>
      </c>
      <c r="BL67" s="371">
        <f t="shared" si="41"/>
        <v>0</v>
      </c>
      <c r="BM67" s="371">
        <f t="shared" si="41"/>
        <v>0</v>
      </c>
      <c r="BN67" s="371">
        <f t="shared" si="41"/>
        <v>0</v>
      </c>
      <c r="BO67" s="371">
        <f t="shared" si="41"/>
        <v>0</v>
      </c>
      <c r="BP67" s="371">
        <f t="shared" si="41"/>
        <v>0</v>
      </c>
      <c r="BQ67" s="371">
        <f t="shared" si="41"/>
        <v>0</v>
      </c>
      <c r="BR67" s="371">
        <f t="shared" si="41"/>
        <v>0</v>
      </c>
      <c r="BS67" s="371">
        <f t="shared" si="41"/>
        <v>0</v>
      </c>
      <c r="BT67" s="371">
        <f t="shared" si="41"/>
        <v>0</v>
      </c>
      <c r="BU67" s="371">
        <f t="shared" si="42"/>
        <v>0</v>
      </c>
      <c r="BV67" s="371">
        <f t="shared" si="42"/>
        <v>0</v>
      </c>
      <c r="BW67" s="371">
        <f t="shared" si="42"/>
        <v>0</v>
      </c>
      <c r="BX67" s="371">
        <f t="shared" si="42"/>
        <v>0</v>
      </c>
      <c r="BY67" s="371">
        <f t="shared" si="42"/>
        <v>0</v>
      </c>
      <c r="BZ67" s="371">
        <f t="shared" si="42"/>
        <v>0</v>
      </c>
    </row>
    <row r="68" spans="2:78" ht="21" hidden="1" customHeight="1" outlineLevel="3">
      <c r="B68" s="367"/>
      <c r="C68" s="370"/>
      <c r="D68" s="374">
        <f t="shared" si="29"/>
        <v>45626</v>
      </c>
      <c r="E68" s="373" cm="1">
        <f t="array" ref="E68">IF($D68=LatestMonthOfActuals,INDEX($AE$39:$BZ$39,0,MATCH($D68,$AE$8:$BZ$8,0)),0)</f>
        <v>0</v>
      </c>
      <c r="F68" s="359"/>
      <c r="G68" s="408">
        <f t="shared" si="37"/>
        <v>0</v>
      </c>
      <c r="H68" s="408">
        <f t="shared" si="37"/>
        <v>0</v>
      </c>
      <c r="I68" s="408">
        <f t="shared" si="37"/>
        <v>0</v>
      </c>
      <c r="J68" s="408">
        <f t="shared" si="37"/>
        <v>0</v>
      </c>
      <c r="K68" s="408"/>
      <c r="L68" s="408"/>
      <c r="M68" s="408">
        <f t="shared" si="36"/>
        <v>0</v>
      </c>
      <c r="N68" s="408">
        <f t="shared" si="36"/>
        <v>0</v>
      </c>
      <c r="O68" s="408">
        <f t="shared" si="36"/>
        <v>0</v>
      </c>
      <c r="P68" s="408">
        <f t="shared" si="36"/>
        <v>0</v>
      </c>
      <c r="Q68" s="408">
        <f t="shared" si="36"/>
        <v>0</v>
      </c>
      <c r="R68" s="408">
        <f t="shared" si="36"/>
        <v>0</v>
      </c>
      <c r="S68" s="408">
        <f t="shared" si="36"/>
        <v>0</v>
      </c>
      <c r="T68" s="408">
        <f t="shared" si="36"/>
        <v>0</v>
      </c>
      <c r="U68" s="408">
        <f t="shared" si="36"/>
        <v>0</v>
      </c>
      <c r="V68" s="408">
        <f t="shared" si="36"/>
        <v>0</v>
      </c>
      <c r="W68" s="408">
        <f t="shared" si="36"/>
        <v>0</v>
      </c>
      <c r="X68" s="408">
        <f t="shared" si="36"/>
        <v>0</v>
      </c>
      <c r="Y68" s="408">
        <f t="shared" si="36"/>
        <v>0</v>
      </c>
      <c r="Z68" s="408">
        <f t="shared" si="36"/>
        <v>0</v>
      </c>
      <c r="AA68" s="408">
        <f t="shared" si="36"/>
        <v>0</v>
      </c>
      <c r="AB68" s="408">
        <f t="shared" si="36"/>
        <v>0</v>
      </c>
      <c r="AD68" s="359"/>
      <c r="AE68" s="371">
        <f t="shared" si="38"/>
        <v>0</v>
      </c>
      <c r="AF68" s="371">
        <f t="shared" si="38"/>
        <v>0</v>
      </c>
      <c r="AG68" s="371">
        <f t="shared" si="38"/>
        <v>0</v>
      </c>
      <c r="AH68" s="371">
        <f t="shared" si="38"/>
        <v>0</v>
      </c>
      <c r="AI68" s="371">
        <f t="shared" si="38"/>
        <v>0</v>
      </c>
      <c r="AJ68" s="371">
        <f t="shared" si="38"/>
        <v>0</v>
      </c>
      <c r="AK68" s="371">
        <f t="shared" si="38"/>
        <v>0</v>
      </c>
      <c r="AL68" s="371">
        <f t="shared" si="38"/>
        <v>0</v>
      </c>
      <c r="AM68" s="371">
        <f t="shared" si="38"/>
        <v>0</v>
      </c>
      <c r="AN68" s="371">
        <f t="shared" si="38"/>
        <v>0</v>
      </c>
      <c r="AO68" s="371">
        <f t="shared" si="38"/>
        <v>0</v>
      </c>
      <c r="AP68" s="371">
        <f t="shared" si="24"/>
        <v>0</v>
      </c>
      <c r="AQ68" s="371">
        <f t="shared" si="39"/>
        <v>0</v>
      </c>
      <c r="AR68" s="371">
        <f t="shared" si="39"/>
        <v>0</v>
      </c>
      <c r="AS68" s="371">
        <f t="shared" si="39"/>
        <v>0</v>
      </c>
      <c r="AT68" s="371">
        <f t="shared" si="39"/>
        <v>0</v>
      </c>
      <c r="AU68" s="371">
        <f t="shared" si="39"/>
        <v>0</v>
      </c>
      <c r="AV68" s="371">
        <f t="shared" si="39"/>
        <v>0</v>
      </c>
      <c r="AW68" s="371">
        <f t="shared" si="39"/>
        <v>0</v>
      </c>
      <c r="AX68" s="371">
        <f t="shared" si="39"/>
        <v>0</v>
      </c>
      <c r="AY68" s="371">
        <f t="shared" si="39"/>
        <v>0</v>
      </c>
      <c r="AZ68" s="371">
        <f t="shared" si="39"/>
        <v>0</v>
      </c>
      <c r="BA68" s="371">
        <f t="shared" si="40"/>
        <v>0</v>
      </c>
      <c r="BB68" s="371">
        <f t="shared" si="40"/>
        <v>0</v>
      </c>
      <c r="BC68" s="371">
        <f t="shared" si="40"/>
        <v>0</v>
      </c>
      <c r="BD68" s="371">
        <f t="shared" si="40"/>
        <v>0</v>
      </c>
      <c r="BE68" s="371">
        <f t="shared" si="40"/>
        <v>0</v>
      </c>
      <c r="BF68" s="371">
        <f t="shared" si="40"/>
        <v>0</v>
      </c>
      <c r="BG68" s="371">
        <f t="shared" si="40"/>
        <v>0</v>
      </c>
      <c r="BH68" s="371">
        <f t="shared" si="40"/>
        <v>0</v>
      </c>
      <c r="BI68" s="371">
        <f t="shared" si="40"/>
        <v>0</v>
      </c>
      <c r="BJ68" s="371">
        <f t="shared" si="40"/>
        <v>0</v>
      </c>
      <c r="BK68" s="371">
        <f t="shared" si="41"/>
        <v>0</v>
      </c>
      <c r="BL68" s="371">
        <f t="shared" si="41"/>
        <v>0</v>
      </c>
      <c r="BM68" s="371">
        <f t="shared" si="41"/>
        <v>0</v>
      </c>
      <c r="BN68" s="371">
        <f t="shared" si="41"/>
        <v>0</v>
      </c>
      <c r="BO68" s="371">
        <f t="shared" si="41"/>
        <v>0</v>
      </c>
      <c r="BP68" s="371">
        <f t="shared" si="41"/>
        <v>0</v>
      </c>
      <c r="BQ68" s="371">
        <f t="shared" si="41"/>
        <v>0</v>
      </c>
      <c r="BR68" s="371">
        <f t="shared" si="41"/>
        <v>0</v>
      </c>
      <c r="BS68" s="371">
        <f t="shared" si="41"/>
        <v>0</v>
      </c>
      <c r="BT68" s="371">
        <f t="shared" si="41"/>
        <v>0</v>
      </c>
      <c r="BU68" s="371">
        <f t="shared" si="42"/>
        <v>0</v>
      </c>
      <c r="BV68" s="371">
        <f t="shared" si="42"/>
        <v>0</v>
      </c>
      <c r="BW68" s="371">
        <f t="shared" si="42"/>
        <v>0</v>
      </c>
      <c r="BX68" s="371">
        <f t="shared" si="42"/>
        <v>0</v>
      </c>
      <c r="BY68" s="371">
        <f t="shared" si="42"/>
        <v>0</v>
      </c>
      <c r="BZ68" s="371">
        <f t="shared" si="42"/>
        <v>0</v>
      </c>
    </row>
    <row r="69" spans="2:78" ht="21" hidden="1" customHeight="1" outlineLevel="3">
      <c r="B69" s="367"/>
      <c r="C69" s="370"/>
      <c r="D69" s="374">
        <f t="shared" si="29"/>
        <v>45657</v>
      </c>
      <c r="E69" s="373" cm="1">
        <f t="array" ref="E69">IF($D69=LatestMonthOfActuals,INDEX($AE$39:$BZ$39,0,MATCH($D69,$AE$8:$BZ$8,0)),0)</f>
        <v>0</v>
      </c>
      <c r="F69" s="359"/>
      <c r="G69" s="408">
        <f t="shared" si="37"/>
        <v>0</v>
      </c>
      <c r="H69" s="408">
        <f t="shared" si="37"/>
        <v>0</v>
      </c>
      <c r="I69" s="408">
        <f t="shared" si="37"/>
        <v>0</v>
      </c>
      <c r="J69" s="408">
        <f t="shared" si="37"/>
        <v>0</v>
      </c>
      <c r="K69" s="408"/>
      <c r="L69" s="408"/>
      <c r="M69" s="408">
        <f t="shared" si="36"/>
        <v>0</v>
      </c>
      <c r="N69" s="408">
        <f t="shared" si="36"/>
        <v>0</v>
      </c>
      <c r="O69" s="408">
        <f t="shared" si="36"/>
        <v>0</v>
      </c>
      <c r="P69" s="408">
        <f t="shared" si="36"/>
        <v>0</v>
      </c>
      <c r="Q69" s="408">
        <f t="shared" si="36"/>
        <v>0</v>
      </c>
      <c r="R69" s="408">
        <f t="shared" si="36"/>
        <v>0</v>
      </c>
      <c r="S69" s="408">
        <f t="shared" si="36"/>
        <v>0</v>
      </c>
      <c r="T69" s="408">
        <f t="shared" si="36"/>
        <v>0</v>
      </c>
      <c r="U69" s="408">
        <f t="shared" si="36"/>
        <v>0</v>
      </c>
      <c r="V69" s="408">
        <f t="shared" si="36"/>
        <v>0</v>
      </c>
      <c r="W69" s="408">
        <f t="shared" si="36"/>
        <v>0</v>
      </c>
      <c r="X69" s="408">
        <f t="shared" si="36"/>
        <v>0</v>
      </c>
      <c r="Y69" s="408">
        <f t="shared" si="36"/>
        <v>0</v>
      </c>
      <c r="Z69" s="408">
        <f t="shared" si="36"/>
        <v>0</v>
      </c>
      <c r="AA69" s="408">
        <f t="shared" si="36"/>
        <v>0</v>
      </c>
      <c r="AB69" s="408">
        <f t="shared" si="36"/>
        <v>0</v>
      </c>
      <c r="AD69" s="359"/>
      <c r="AE69" s="371">
        <f t="shared" si="38"/>
        <v>0</v>
      </c>
      <c r="AF69" s="371">
        <f t="shared" si="38"/>
        <v>0</v>
      </c>
      <c r="AG69" s="371">
        <f t="shared" si="38"/>
        <v>0</v>
      </c>
      <c r="AH69" s="371">
        <f t="shared" si="38"/>
        <v>0</v>
      </c>
      <c r="AI69" s="371">
        <f t="shared" si="38"/>
        <v>0</v>
      </c>
      <c r="AJ69" s="371">
        <f t="shared" si="38"/>
        <v>0</v>
      </c>
      <c r="AK69" s="371">
        <f t="shared" si="38"/>
        <v>0</v>
      </c>
      <c r="AL69" s="371">
        <f t="shared" si="38"/>
        <v>0</v>
      </c>
      <c r="AM69" s="371">
        <f t="shared" si="38"/>
        <v>0</v>
      </c>
      <c r="AN69" s="371">
        <f t="shared" si="38"/>
        <v>0</v>
      </c>
      <c r="AO69" s="371">
        <f t="shared" si="38"/>
        <v>0</v>
      </c>
      <c r="AP69" s="371">
        <f t="shared" si="24"/>
        <v>0</v>
      </c>
      <c r="AQ69" s="371">
        <f t="shared" si="39"/>
        <v>0</v>
      </c>
      <c r="AR69" s="371">
        <f t="shared" si="39"/>
        <v>0</v>
      </c>
      <c r="AS69" s="371">
        <f t="shared" si="39"/>
        <v>0</v>
      </c>
      <c r="AT69" s="371">
        <f t="shared" si="39"/>
        <v>0</v>
      </c>
      <c r="AU69" s="371">
        <f t="shared" si="39"/>
        <v>0</v>
      </c>
      <c r="AV69" s="371">
        <f t="shared" si="39"/>
        <v>0</v>
      </c>
      <c r="AW69" s="371">
        <f t="shared" si="39"/>
        <v>0</v>
      </c>
      <c r="AX69" s="371">
        <f t="shared" si="39"/>
        <v>0</v>
      </c>
      <c r="AY69" s="371">
        <f t="shared" si="39"/>
        <v>0</v>
      </c>
      <c r="AZ69" s="371">
        <f t="shared" si="39"/>
        <v>0</v>
      </c>
      <c r="BA69" s="371">
        <f t="shared" si="40"/>
        <v>0</v>
      </c>
      <c r="BB69" s="371">
        <f t="shared" si="40"/>
        <v>0</v>
      </c>
      <c r="BC69" s="371">
        <f t="shared" si="40"/>
        <v>0</v>
      </c>
      <c r="BD69" s="371">
        <f t="shared" si="40"/>
        <v>0</v>
      </c>
      <c r="BE69" s="371">
        <f t="shared" si="40"/>
        <v>0</v>
      </c>
      <c r="BF69" s="371">
        <f t="shared" si="40"/>
        <v>0</v>
      </c>
      <c r="BG69" s="371">
        <f t="shared" si="40"/>
        <v>0</v>
      </c>
      <c r="BH69" s="371">
        <f t="shared" si="40"/>
        <v>0</v>
      </c>
      <c r="BI69" s="371">
        <f t="shared" si="40"/>
        <v>0</v>
      </c>
      <c r="BJ69" s="371">
        <f t="shared" si="40"/>
        <v>0</v>
      </c>
      <c r="BK69" s="371">
        <f t="shared" si="41"/>
        <v>0</v>
      </c>
      <c r="BL69" s="371">
        <f t="shared" si="41"/>
        <v>0</v>
      </c>
      <c r="BM69" s="371">
        <f t="shared" si="41"/>
        <v>0</v>
      </c>
      <c r="BN69" s="371">
        <f t="shared" si="41"/>
        <v>0</v>
      </c>
      <c r="BO69" s="371">
        <f t="shared" si="41"/>
        <v>0</v>
      </c>
      <c r="BP69" s="371">
        <f t="shared" si="41"/>
        <v>0</v>
      </c>
      <c r="BQ69" s="371">
        <f t="shared" si="41"/>
        <v>0</v>
      </c>
      <c r="BR69" s="371">
        <f t="shared" si="41"/>
        <v>0</v>
      </c>
      <c r="BS69" s="371">
        <f t="shared" si="41"/>
        <v>0</v>
      </c>
      <c r="BT69" s="371">
        <f t="shared" si="41"/>
        <v>0</v>
      </c>
      <c r="BU69" s="371">
        <f t="shared" si="42"/>
        <v>0</v>
      </c>
      <c r="BV69" s="371">
        <f t="shared" si="42"/>
        <v>0</v>
      </c>
      <c r="BW69" s="371">
        <f t="shared" si="42"/>
        <v>0</v>
      </c>
      <c r="BX69" s="371">
        <f t="shared" si="42"/>
        <v>0</v>
      </c>
      <c r="BY69" s="371">
        <f t="shared" si="42"/>
        <v>0</v>
      </c>
      <c r="BZ69" s="371">
        <f t="shared" si="42"/>
        <v>0</v>
      </c>
    </row>
    <row r="70" spans="2:78" ht="21" hidden="1" customHeight="1" outlineLevel="3">
      <c r="B70" s="367"/>
      <c r="C70" s="370"/>
      <c r="D70" s="374">
        <f t="shared" si="29"/>
        <v>45688</v>
      </c>
      <c r="E70" s="373" cm="1">
        <f t="array" ref="E70">IF($D70=LatestMonthOfActuals,INDEX($AE$39:$BZ$39,0,MATCH($D70,$AE$8:$BZ$8,0)),0)</f>
        <v>0</v>
      </c>
      <c r="F70" s="359"/>
      <c r="G70" s="408">
        <f t="shared" si="37"/>
        <v>0</v>
      </c>
      <c r="H70" s="408">
        <f t="shared" si="37"/>
        <v>0</v>
      </c>
      <c r="I70" s="408">
        <f t="shared" si="37"/>
        <v>0</v>
      </c>
      <c r="J70" s="408">
        <f t="shared" si="37"/>
        <v>0</v>
      </c>
      <c r="K70" s="408"/>
      <c r="L70" s="408"/>
      <c r="M70" s="408">
        <f t="shared" si="36"/>
        <v>0</v>
      </c>
      <c r="N70" s="408">
        <f t="shared" si="36"/>
        <v>0</v>
      </c>
      <c r="O70" s="408">
        <f t="shared" si="36"/>
        <v>0</v>
      </c>
      <c r="P70" s="408">
        <f t="shared" si="36"/>
        <v>0</v>
      </c>
      <c r="Q70" s="408">
        <f t="shared" si="36"/>
        <v>0</v>
      </c>
      <c r="R70" s="408">
        <f t="shared" si="36"/>
        <v>0</v>
      </c>
      <c r="S70" s="408">
        <f t="shared" si="36"/>
        <v>0</v>
      </c>
      <c r="T70" s="408">
        <f t="shared" si="36"/>
        <v>0</v>
      </c>
      <c r="U70" s="408">
        <f t="shared" si="36"/>
        <v>0</v>
      </c>
      <c r="V70" s="408">
        <f t="shared" si="36"/>
        <v>0</v>
      </c>
      <c r="W70" s="408">
        <f t="shared" si="36"/>
        <v>0</v>
      </c>
      <c r="X70" s="408">
        <f t="shared" si="36"/>
        <v>0</v>
      </c>
      <c r="Y70" s="408">
        <f t="shared" si="36"/>
        <v>0</v>
      </c>
      <c r="Z70" s="408">
        <f t="shared" si="36"/>
        <v>0</v>
      </c>
      <c r="AA70" s="408">
        <f t="shared" si="36"/>
        <v>0</v>
      </c>
      <c r="AB70" s="408">
        <f t="shared" si="36"/>
        <v>0</v>
      </c>
      <c r="AD70" s="359"/>
      <c r="AE70" s="371">
        <f t="shared" si="38"/>
        <v>0</v>
      </c>
      <c r="AF70" s="371">
        <f t="shared" si="38"/>
        <v>0</v>
      </c>
      <c r="AG70" s="371">
        <f t="shared" si="38"/>
        <v>0</v>
      </c>
      <c r="AH70" s="371">
        <f t="shared" si="38"/>
        <v>0</v>
      </c>
      <c r="AI70" s="371">
        <f t="shared" si="38"/>
        <v>0</v>
      </c>
      <c r="AJ70" s="371">
        <f t="shared" si="38"/>
        <v>0</v>
      </c>
      <c r="AK70" s="371">
        <f t="shared" si="38"/>
        <v>0</v>
      </c>
      <c r="AL70" s="371">
        <f t="shared" si="38"/>
        <v>0</v>
      </c>
      <c r="AM70" s="371">
        <f t="shared" si="38"/>
        <v>0</v>
      </c>
      <c r="AN70" s="371">
        <f t="shared" si="38"/>
        <v>0</v>
      </c>
      <c r="AO70" s="371">
        <f t="shared" si="38"/>
        <v>0</v>
      </c>
      <c r="AP70" s="371">
        <f t="shared" si="24"/>
        <v>0</v>
      </c>
      <c r="AQ70" s="371">
        <f t="shared" si="39"/>
        <v>0</v>
      </c>
      <c r="AR70" s="371">
        <f t="shared" si="39"/>
        <v>0</v>
      </c>
      <c r="AS70" s="371">
        <f t="shared" si="39"/>
        <v>0</v>
      </c>
      <c r="AT70" s="371">
        <f t="shared" si="39"/>
        <v>0</v>
      </c>
      <c r="AU70" s="371">
        <f t="shared" si="39"/>
        <v>0</v>
      </c>
      <c r="AV70" s="371">
        <f t="shared" si="39"/>
        <v>0</v>
      </c>
      <c r="AW70" s="371">
        <f t="shared" si="39"/>
        <v>0</v>
      </c>
      <c r="AX70" s="371">
        <f t="shared" si="39"/>
        <v>0</v>
      </c>
      <c r="AY70" s="371">
        <f t="shared" si="39"/>
        <v>0</v>
      </c>
      <c r="AZ70" s="371">
        <f t="shared" si="39"/>
        <v>0</v>
      </c>
      <c r="BA70" s="371">
        <f t="shared" si="40"/>
        <v>0</v>
      </c>
      <c r="BB70" s="371">
        <f t="shared" si="40"/>
        <v>0</v>
      </c>
      <c r="BC70" s="371">
        <f t="shared" si="40"/>
        <v>0</v>
      </c>
      <c r="BD70" s="371">
        <f t="shared" si="40"/>
        <v>0</v>
      </c>
      <c r="BE70" s="371">
        <f t="shared" si="40"/>
        <v>0</v>
      </c>
      <c r="BF70" s="371">
        <f t="shared" si="40"/>
        <v>0</v>
      </c>
      <c r="BG70" s="371">
        <f t="shared" si="40"/>
        <v>0</v>
      </c>
      <c r="BH70" s="371">
        <f t="shared" si="40"/>
        <v>0</v>
      </c>
      <c r="BI70" s="371">
        <f t="shared" si="40"/>
        <v>0</v>
      </c>
      <c r="BJ70" s="371">
        <f t="shared" si="40"/>
        <v>0</v>
      </c>
      <c r="BK70" s="371">
        <f t="shared" si="41"/>
        <v>0</v>
      </c>
      <c r="BL70" s="371">
        <f t="shared" si="41"/>
        <v>0</v>
      </c>
      <c r="BM70" s="371">
        <f t="shared" si="41"/>
        <v>0</v>
      </c>
      <c r="BN70" s="371">
        <f t="shared" si="41"/>
        <v>0</v>
      </c>
      <c r="BO70" s="371">
        <f t="shared" si="41"/>
        <v>0</v>
      </c>
      <c r="BP70" s="371">
        <f t="shared" si="41"/>
        <v>0</v>
      </c>
      <c r="BQ70" s="371">
        <f t="shared" si="41"/>
        <v>0</v>
      </c>
      <c r="BR70" s="371">
        <f t="shared" si="41"/>
        <v>0</v>
      </c>
      <c r="BS70" s="371">
        <f t="shared" si="41"/>
        <v>0</v>
      </c>
      <c r="BT70" s="371">
        <f t="shared" si="41"/>
        <v>0</v>
      </c>
      <c r="BU70" s="371">
        <f t="shared" si="42"/>
        <v>0</v>
      </c>
      <c r="BV70" s="371">
        <f t="shared" si="42"/>
        <v>0</v>
      </c>
      <c r="BW70" s="371">
        <f t="shared" si="42"/>
        <v>0</v>
      </c>
      <c r="BX70" s="371">
        <f t="shared" si="42"/>
        <v>0</v>
      </c>
      <c r="BY70" s="371">
        <f t="shared" si="42"/>
        <v>0</v>
      </c>
      <c r="BZ70" s="371">
        <f t="shared" si="42"/>
        <v>0</v>
      </c>
    </row>
    <row r="71" spans="2:78" ht="21" hidden="1" customHeight="1" outlineLevel="3">
      <c r="B71" s="367"/>
      <c r="C71" s="370"/>
      <c r="D71" s="374">
        <f t="shared" si="29"/>
        <v>45716</v>
      </c>
      <c r="E71" s="373" cm="1">
        <f t="array" ref="E71">IF($D71=LatestMonthOfActuals,INDEX($AE$39:$BZ$39,0,MATCH($D71,$AE$8:$BZ$8,0)),0)</f>
        <v>0</v>
      </c>
      <c r="F71" s="359"/>
      <c r="G71" s="408">
        <f t="shared" si="37"/>
        <v>0</v>
      </c>
      <c r="H71" s="408">
        <f t="shared" si="37"/>
        <v>0</v>
      </c>
      <c r="I71" s="408">
        <f t="shared" si="37"/>
        <v>0</v>
      </c>
      <c r="J71" s="408">
        <f t="shared" si="37"/>
        <v>0</v>
      </c>
      <c r="K71" s="408"/>
      <c r="L71" s="408"/>
      <c r="M71" s="408">
        <f t="shared" si="36"/>
        <v>0</v>
      </c>
      <c r="N71" s="408">
        <f t="shared" si="36"/>
        <v>0</v>
      </c>
      <c r="O71" s="408">
        <f t="shared" si="36"/>
        <v>0</v>
      </c>
      <c r="P71" s="408">
        <f t="shared" si="36"/>
        <v>0</v>
      </c>
      <c r="Q71" s="408">
        <f t="shared" si="36"/>
        <v>0</v>
      </c>
      <c r="R71" s="408">
        <f t="shared" si="36"/>
        <v>0</v>
      </c>
      <c r="S71" s="408">
        <f t="shared" si="36"/>
        <v>0</v>
      </c>
      <c r="T71" s="408">
        <f t="shared" si="36"/>
        <v>0</v>
      </c>
      <c r="U71" s="408">
        <f t="shared" si="36"/>
        <v>0</v>
      </c>
      <c r="V71" s="408">
        <f t="shared" si="36"/>
        <v>0</v>
      </c>
      <c r="W71" s="408">
        <f t="shared" si="36"/>
        <v>0</v>
      </c>
      <c r="X71" s="408">
        <f t="shared" si="36"/>
        <v>0</v>
      </c>
      <c r="Y71" s="408">
        <f t="shared" si="36"/>
        <v>0</v>
      </c>
      <c r="Z71" s="408">
        <f t="shared" si="36"/>
        <v>0</v>
      </c>
      <c r="AA71" s="408">
        <f t="shared" si="36"/>
        <v>0</v>
      </c>
      <c r="AB71" s="408">
        <f t="shared" si="36"/>
        <v>0</v>
      </c>
      <c r="AD71" s="359"/>
      <c r="AE71" s="371">
        <f t="shared" si="38"/>
        <v>0</v>
      </c>
      <c r="AF71" s="371">
        <f t="shared" si="38"/>
        <v>0</v>
      </c>
      <c r="AG71" s="371">
        <f t="shared" si="38"/>
        <v>0</v>
      </c>
      <c r="AH71" s="371">
        <f t="shared" si="38"/>
        <v>0</v>
      </c>
      <c r="AI71" s="371">
        <f t="shared" si="38"/>
        <v>0</v>
      </c>
      <c r="AJ71" s="371">
        <f t="shared" si="38"/>
        <v>0</v>
      </c>
      <c r="AK71" s="371">
        <f t="shared" si="38"/>
        <v>0</v>
      </c>
      <c r="AL71" s="371">
        <f t="shared" si="38"/>
        <v>0</v>
      </c>
      <c r="AM71" s="371">
        <f t="shared" si="38"/>
        <v>0</v>
      </c>
      <c r="AN71" s="371">
        <f t="shared" si="38"/>
        <v>0</v>
      </c>
      <c r="AO71" s="371">
        <f t="shared" si="38"/>
        <v>0</v>
      </c>
      <c r="AP71" s="371">
        <f t="shared" si="24"/>
        <v>0</v>
      </c>
      <c r="AQ71" s="371">
        <f t="shared" si="39"/>
        <v>0</v>
      </c>
      <c r="AR71" s="371">
        <f t="shared" si="39"/>
        <v>0</v>
      </c>
      <c r="AS71" s="371">
        <f t="shared" si="39"/>
        <v>0</v>
      </c>
      <c r="AT71" s="371">
        <f t="shared" si="39"/>
        <v>0</v>
      </c>
      <c r="AU71" s="371">
        <f t="shared" si="39"/>
        <v>0</v>
      </c>
      <c r="AV71" s="371">
        <f t="shared" si="39"/>
        <v>0</v>
      </c>
      <c r="AW71" s="371">
        <f t="shared" si="39"/>
        <v>0</v>
      </c>
      <c r="AX71" s="371">
        <f t="shared" si="39"/>
        <v>0</v>
      </c>
      <c r="AY71" s="371">
        <f t="shared" si="39"/>
        <v>0</v>
      </c>
      <c r="AZ71" s="371">
        <f t="shared" si="39"/>
        <v>0</v>
      </c>
      <c r="BA71" s="371">
        <f t="shared" si="40"/>
        <v>0</v>
      </c>
      <c r="BB71" s="371">
        <f t="shared" si="40"/>
        <v>0</v>
      </c>
      <c r="BC71" s="371">
        <f t="shared" si="40"/>
        <v>0</v>
      </c>
      <c r="BD71" s="371">
        <f t="shared" si="40"/>
        <v>0</v>
      </c>
      <c r="BE71" s="371">
        <f t="shared" si="40"/>
        <v>0</v>
      </c>
      <c r="BF71" s="371">
        <f t="shared" si="40"/>
        <v>0</v>
      </c>
      <c r="BG71" s="371">
        <f t="shared" si="40"/>
        <v>0</v>
      </c>
      <c r="BH71" s="371">
        <f t="shared" si="40"/>
        <v>0</v>
      </c>
      <c r="BI71" s="371">
        <f t="shared" si="40"/>
        <v>0</v>
      </c>
      <c r="BJ71" s="371">
        <f t="shared" si="40"/>
        <v>0</v>
      </c>
      <c r="BK71" s="371">
        <f t="shared" si="41"/>
        <v>0</v>
      </c>
      <c r="BL71" s="371">
        <f t="shared" si="41"/>
        <v>0</v>
      </c>
      <c r="BM71" s="371">
        <f t="shared" si="41"/>
        <v>0</v>
      </c>
      <c r="BN71" s="371">
        <f t="shared" si="41"/>
        <v>0</v>
      </c>
      <c r="BO71" s="371">
        <f t="shared" si="41"/>
        <v>0</v>
      </c>
      <c r="BP71" s="371">
        <f t="shared" si="41"/>
        <v>0</v>
      </c>
      <c r="BQ71" s="371">
        <f t="shared" si="41"/>
        <v>0</v>
      </c>
      <c r="BR71" s="371">
        <f t="shared" si="41"/>
        <v>0</v>
      </c>
      <c r="BS71" s="371">
        <f t="shared" si="41"/>
        <v>0</v>
      </c>
      <c r="BT71" s="371">
        <f t="shared" si="41"/>
        <v>0</v>
      </c>
      <c r="BU71" s="371">
        <f t="shared" si="42"/>
        <v>0</v>
      </c>
      <c r="BV71" s="371">
        <f t="shared" si="42"/>
        <v>0</v>
      </c>
      <c r="BW71" s="371">
        <f t="shared" si="42"/>
        <v>0</v>
      </c>
      <c r="BX71" s="371">
        <f t="shared" si="42"/>
        <v>0</v>
      </c>
      <c r="BY71" s="371">
        <f t="shared" si="42"/>
        <v>0</v>
      </c>
      <c r="BZ71" s="371">
        <f t="shared" si="42"/>
        <v>0</v>
      </c>
    </row>
    <row r="72" spans="2:78" ht="21" hidden="1" customHeight="1" outlineLevel="3">
      <c r="B72" s="367"/>
      <c r="C72" s="370"/>
      <c r="D72" s="374">
        <f t="shared" si="29"/>
        <v>45747</v>
      </c>
      <c r="E72" s="373" cm="1">
        <f t="array" ref="E72">IF($D72=LatestMonthOfActuals,INDEX($AE$39:$BZ$39,0,MATCH($D72,$AE$8:$BZ$8,0)),0)</f>
        <v>0</v>
      </c>
      <c r="F72" s="359"/>
      <c r="G72" s="408">
        <f t="shared" si="37"/>
        <v>0</v>
      </c>
      <c r="H72" s="408">
        <f t="shared" si="37"/>
        <v>0</v>
      </c>
      <c r="I72" s="408">
        <f t="shared" si="37"/>
        <v>0</v>
      </c>
      <c r="J72" s="408">
        <f t="shared" si="37"/>
        <v>0</v>
      </c>
      <c r="K72" s="408"/>
      <c r="L72" s="408"/>
      <c r="M72" s="408">
        <f t="shared" si="36"/>
        <v>0</v>
      </c>
      <c r="N72" s="408">
        <f t="shared" si="36"/>
        <v>0</v>
      </c>
      <c r="O72" s="408">
        <f t="shared" si="36"/>
        <v>0</v>
      </c>
      <c r="P72" s="408">
        <f t="shared" si="36"/>
        <v>0</v>
      </c>
      <c r="Q72" s="408">
        <f t="shared" si="36"/>
        <v>0</v>
      </c>
      <c r="R72" s="408">
        <f t="shared" si="36"/>
        <v>0</v>
      </c>
      <c r="S72" s="408">
        <f t="shared" si="36"/>
        <v>0</v>
      </c>
      <c r="T72" s="408">
        <f t="shared" si="36"/>
        <v>0</v>
      </c>
      <c r="U72" s="408">
        <f t="shared" si="36"/>
        <v>0</v>
      </c>
      <c r="V72" s="408">
        <f t="shared" si="36"/>
        <v>0</v>
      </c>
      <c r="W72" s="408">
        <f t="shared" si="36"/>
        <v>0</v>
      </c>
      <c r="X72" s="408">
        <f t="shared" si="36"/>
        <v>0</v>
      </c>
      <c r="Y72" s="408">
        <f t="shared" si="36"/>
        <v>0</v>
      </c>
      <c r="Z72" s="408">
        <f t="shared" si="36"/>
        <v>0</v>
      </c>
      <c r="AA72" s="408">
        <f t="shared" si="36"/>
        <v>0</v>
      </c>
      <c r="AB72" s="408">
        <f t="shared" si="36"/>
        <v>0</v>
      </c>
      <c r="AD72" s="359"/>
      <c r="AE72" s="371">
        <f t="shared" si="38"/>
        <v>0</v>
      </c>
      <c r="AF72" s="371">
        <f t="shared" si="38"/>
        <v>0</v>
      </c>
      <c r="AG72" s="371">
        <f t="shared" si="38"/>
        <v>0</v>
      </c>
      <c r="AH72" s="371">
        <f t="shared" si="38"/>
        <v>0</v>
      </c>
      <c r="AI72" s="371">
        <f t="shared" si="38"/>
        <v>0</v>
      </c>
      <c r="AJ72" s="371">
        <f t="shared" si="38"/>
        <v>0</v>
      </c>
      <c r="AK72" s="371">
        <f t="shared" si="38"/>
        <v>0</v>
      </c>
      <c r="AL72" s="371">
        <f t="shared" si="38"/>
        <v>0</v>
      </c>
      <c r="AM72" s="371">
        <f t="shared" si="38"/>
        <v>0</v>
      </c>
      <c r="AN72" s="371">
        <f t="shared" si="38"/>
        <v>0</v>
      </c>
      <c r="AO72" s="371">
        <f t="shared" si="38"/>
        <v>0</v>
      </c>
      <c r="AP72" s="371">
        <f t="shared" si="24"/>
        <v>0</v>
      </c>
      <c r="AQ72" s="371">
        <f t="shared" si="39"/>
        <v>0</v>
      </c>
      <c r="AR72" s="371">
        <f t="shared" si="39"/>
        <v>0</v>
      </c>
      <c r="AS72" s="371">
        <f t="shared" si="39"/>
        <v>0</v>
      </c>
      <c r="AT72" s="371">
        <f t="shared" si="39"/>
        <v>0</v>
      </c>
      <c r="AU72" s="371">
        <f t="shared" si="39"/>
        <v>0</v>
      </c>
      <c r="AV72" s="371">
        <f t="shared" si="39"/>
        <v>0</v>
      </c>
      <c r="AW72" s="371">
        <f t="shared" si="39"/>
        <v>0</v>
      </c>
      <c r="AX72" s="371">
        <f t="shared" si="39"/>
        <v>0</v>
      </c>
      <c r="AY72" s="371">
        <f t="shared" si="39"/>
        <v>0</v>
      </c>
      <c r="AZ72" s="371">
        <f t="shared" si="39"/>
        <v>0</v>
      </c>
      <c r="BA72" s="371">
        <f t="shared" si="40"/>
        <v>0</v>
      </c>
      <c r="BB72" s="371">
        <f t="shared" si="40"/>
        <v>0</v>
      </c>
      <c r="BC72" s="371">
        <f t="shared" si="40"/>
        <v>0</v>
      </c>
      <c r="BD72" s="371">
        <f t="shared" si="40"/>
        <v>0</v>
      </c>
      <c r="BE72" s="371">
        <f t="shared" si="40"/>
        <v>0</v>
      </c>
      <c r="BF72" s="371">
        <f t="shared" si="40"/>
        <v>0</v>
      </c>
      <c r="BG72" s="371">
        <f t="shared" si="40"/>
        <v>0</v>
      </c>
      <c r="BH72" s="371">
        <f t="shared" si="40"/>
        <v>0</v>
      </c>
      <c r="BI72" s="371">
        <f t="shared" si="40"/>
        <v>0</v>
      </c>
      <c r="BJ72" s="371">
        <f t="shared" si="40"/>
        <v>0</v>
      </c>
      <c r="BK72" s="371">
        <f t="shared" si="41"/>
        <v>0</v>
      </c>
      <c r="BL72" s="371">
        <f t="shared" si="41"/>
        <v>0</v>
      </c>
      <c r="BM72" s="371">
        <f t="shared" si="41"/>
        <v>0</v>
      </c>
      <c r="BN72" s="371">
        <f t="shared" si="41"/>
        <v>0</v>
      </c>
      <c r="BO72" s="371">
        <f t="shared" si="41"/>
        <v>0</v>
      </c>
      <c r="BP72" s="371">
        <f t="shared" si="41"/>
        <v>0</v>
      </c>
      <c r="BQ72" s="371">
        <f t="shared" si="41"/>
        <v>0</v>
      </c>
      <c r="BR72" s="371">
        <f t="shared" si="41"/>
        <v>0</v>
      </c>
      <c r="BS72" s="371">
        <f t="shared" si="41"/>
        <v>0</v>
      </c>
      <c r="BT72" s="371">
        <f t="shared" si="41"/>
        <v>0</v>
      </c>
      <c r="BU72" s="371">
        <f t="shared" si="42"/>
        <v>0</v>
      </c>
      <c r="BV72" s="371">
        <f t="shared" si="42"/>
        <v>0</v>
      </c>
      <c r="BW72" s="371">
        <f t="shared" si="42"/>
        <v>0</v>
      </c>
      <c r="BX72" s="371">
        <f t="shared" si="42"/>
        <v>0</v>
      </c>
      <c r="BY72" s="371">
        <f t="shared" si="42"/>
        <v>0</v>
      </c>
      <c r="BZ72" s="371">
        <f t="shared" si="42"/>
        <v>0</v>
      </c>
    </row>
    <row r="73" spans="2:78" ht="21" hidden="1" customHeight="1" outlineLevel="3">
      <c r="B73" s="367"/>
      <c r="C73" s="370"/>
      <c r="D73" s="374">
        <f t="shared" si="29"/>
        <v>45777</v>
      </c>
      <c r="E73" s="373" cm="1">
        <f t="array" ref="E73">IF($D73=LatestMonthOfActuals,INDEX($AE$39:$BZ$39,0,MATCH($D73,$AE$8:$BZ$8,0)),0)</f>
        <v>0</v>
      </c>
      <c r="F73" s="359"/>
      <c r="G73" s="408">
        <f t="shared" si="37"/>
        <v>0</v>
      </c>
      <c r="H73" s="408">
        <f t="shared" si="37"/>
        <v>0</v>
      </c>
      <c r="I73" s="408">
        <f t="shared" si="37"/>
        <v>0</v>
      </c>
      <c r="J73" s="408">
        <f t="shared" si="37"/>
        <v>0</v>
      </c>
      <c r="K73" s="408"/>
      <c r="L73" s="408"/>
      <c r="M73" s="408">
        <f t="shared" si="36"/>
        <v>0</v>
      </c>
      <c r="N73" s="408">
        <f t="shared" si="36"/>
        <v>0</v>
      </c>
      <c r="O73" s="408">
        <f t="shared" si="36"/>
        <v>0</v>
      </c>
      <c r="P73" s="408">
        <f t="shared" si="36"/>
        <v>0</v>
      </c>
      <c r="Q73" s="408">
        <f t="shared" si="36"/>
        <v>0</v>
      </c>
      <c r="R73" s="408">
        <f t="shared" si="36"/>
        <v>0</v>
      </c>
      <c r="S73" s="408">
        <f t="shared" si="36"/>
        <v>0</v>
      </c>
      <c r="T73" s="408">
        <f t="shared" si="36"/>
        <v>0</v>
      </c>
      <c r="U73" s="408">
        <f t="shared" si="36"/>
        <v>0</v>
      </c>
      <c r="V73" s="408">
        <f t="shared" si="36"/>
        <v>0</v>
      </c>
      <c r="W73" s="408">
        <f t="shared" si="36"/>
        <v>0</v>
      </c>
      <c r="X73" s="408">
        <f t="shared" si="36"/>
        <v>0</v>
      </c>
      <c r="Y73" s="408">
        <f t="shared" si="36"/>
        <v>0</v>
      </c>
      <c r="Z73" s="408">
        <f t="shared" si="36"/>
        <v>0</v>
      </c>
      <c r="AA73" s="408">
        <f t="shared" si="36"/>
        <v>0</v>
      </c>
      <c r="AB73" s="408">
        <f t="shared" si="36"/>
        <v>0</v>
      </c>
      <c r="AD73" s="359"/>
      <c r="AE73" s="371">
        <f t="shared" si="38"/>
        <v>0</v>
      </c>
      <c r="AF73" s="371">
        <f t="shared" si="38"/>
        <v>0</v>
      </c>
      <c r="AG73" s="371">
        <f t="shared" si="38"/>
        <v>0</v>
      </c>
      <c r="AH73" s="371">
        <f t="shared" si="38"/>
        <v>0</v>
      </c>
      <c r="AI73" s="371">
        <f t="shared" si="38"/>
        <v>0</v>
      </c>
      <c r="AJ73" s="371">
        <f t="shared" si="38"/>
        <v>0</v>
      </c>
      <c r="AK73" s="371">
        <f t="shared" si="38"/>
        <v>0</v>
      </c>
      <c r="AL73" s="371">
        <f t="shared" si="38"/>
        <v>0</v>
      </c>
      <c r="AM73" s="371">
        <f t="shared" si="38"/>
        <v>0</v>
      </c>
      <c r="AN73" s="371">
        <f t="shared" si="38"/>
        <v>0</v>
      </c>
      <c r="AO73" s="371">
        <f t="shared" si="38"/>
        <v>0</v>
      </c>
      <c r="AP73" s="371">
        <f t="shared" si="24"/>
        <v>0</v>
      </c>
      <c r="AQ73" s="371">
        <f t="shared" si="39"/>
        <v>0</v>
      </c>
      <c r="AR73" s="371">
        <f t="shared" si="39"/>
        <v>0</v>
      </c>
      <c r="AS73" s="371">
        <f t="shared" si="39"/>
        <v>0</v>
      </c>
      <c r="AT73" s="371">
        <f t="shared" si="39"/>
        <v>0</v>
      </c>
      <c r="AU73" s="371">
        <f t="shared" si="39"/>
        <v>0</v>
      </c>
      <c r="AV73" s="371">
        <f t="shared" si="39"/>
        <v>0</v>
      </c>
      <c r="AW73" s="371">
        <f t="shared" si="39"/>
        <v>0</v>
      </c>
      <c r="AX73" s="371">
        <f t="shared" si="39"/>
        <v>0</v>
      </c>
      <c r="AY73" s="371">
        <f t="shared" si="39"/>
        <v>0</v>
      </c>
      <c r="AZ73" s="371">
        <f t="shared" si="39"/>
        <v>0</v>
      </c>
      <c r="BA73" s="371">
        <f t="shared" si="40"/>
        <v>0</v>
      </c>
      <c r="BB73" s="371">
        <f t="shared" si="40"/>
        <v>0</v>
      </c>
      <c r="BC73" s="371">
        <f t="shared" si="40"/>
        <v>0</v>
      </c>
      <c r="BD73" s="371">
        <f t="shared" si="40"/>
        <v>0</v>
      </c>
      <c r="BE73" s="371">
        <f t="shared" si="40"/>
        <v>0</v>
      </c>
      <c r="BF73" s="371">
        <f t="shared" si="40"/>
        <v>0</v>
      </c>
      <c r="BG73" s="371">
        <f t="shared" si="40"/>
        <v>0</v>
      </c>
      <c r="BH73" s="371">
        <f t="shared" si="40"/>
        <v>0</v>
      </c>
      <c r="BI73" s="371">
        <f t="shared" si="40"/>
        <v>0</v>
      </c>
      <c r="BJ73" s="371">
        <f t="shared" si="40"/>
        <v>0</v>
      </c>
      <c r="BK73" s="371">
        <f t="shared" si="41"/>
        <v>0</v>
      </c>
      <c r="BL73" s="371">
        <f t="shared" si="41"/>
        <v>0</v>
      </c>
      <c r="BM73" s="371">
        <f t="shared" si="41"/>
        <v>0</v>
      </c>
      <c r="BN73" s="371">
        <f t="shared" si="41"/>
        <v>0</v>
      </c>
      <c r="BO73" s="371">
        <f t="shared" si="41"/>
        <v>0</v>
      </c>
      <c r="BP73" s="371">
        <f t="shared" si="41"/>
        <v>0</v>
      </c>
      <c r="BQ73" s="371">
        <f t="shared" si="41"/>
        <v>0</v>
      </c>
      <c r="BR73" s="371">
        <f t="shared" si="41"/>
        <v>0</v>
      </c>
      <c r="BS73" s="371">
        <f t="shared" si="41"/>
        <v>0</v>
      </c>
      <c r="BT73" s="371">
        <f t="shared" si="41"/>
        <v>0</v>
      </c>
      <c r="BU73" s="371">
        <f t="shared" si="42"/>
        <v>0</v>
      </c>
      <c r="BV73" s="371">
        <f t="shared" si="42"/>
        <v>0</v>
      </c>
      <c r="BW73" s="371">
        <f t="shared" si="42"/>
        <v>0</v>
      </c>
      <c r="BX73" s="371">
        <f t="shared" si="42"/>
        <v>0</v>
      </c>
      <c r="BY73" s="371">
        <f t="shared" si="42"/>
        <v>0</v>
      </c>
      <c r="BZ73" s="371">
        <f t="shared" si="42"/>
        <v>0</v>
      </c>
    </row>
    <row r="74" spans="2:78" ht="21" hidden="1" customHeight="1" outlineLevel="3">
      <c r="B74" s="367"/>
      <c r="C74" s="370"/>
      <c r="D74" s="374">
        <f t="shared" si="29"/>
        <v>45808</v>
      </c>
      <c r="E74" s="373" cm="1">
        <f t="array" ref="E74">IF($D74=LatestMonthOfActuals,INDEX($AE$39:$BZ$39,0,MATCH($D74,$AE$8:$BZ$8,0)),0)</f>
        <v>0</v>
      </c>
      <c r="F74" s="359"/>
      <c r="G74" s="408">
        <f t="shared" si="37"/>
        <v>0</v>
      </c>
      <c r="H74" s="408">
        <f t="shared" si="37"/>
        <v>0</v>
      </c>
      <c r="I74" s="408">
        <f t="shared" si="37"/>
        <v>0</v>
      </c>
      <c r="J74" s="408">
        <f t="shared" si="37"/>
        <v>0</v>
      </c>
      <c r="K74" s="408"/>
      <c r="L74" s="408"/>
      <c r="M74" s="408">
        <f t="shared" si="36"/>
        <v>0</v>
      </c>
      <c r="N74" s="408">
        <f t="shared" si="36"/>
        <v>0</v>
      </c>
      <c r="O74" s="408">
        <f t="shared" si="36"/>
        <v>0</v>
      </c>
      <c r="P74" s="408">
        <f t="shared" si="36"/>
        <v>0</v>
      </c>
      <c r="Q74" s="408">
        <f t="shared" si="36"/>
        <v>0</v>
      </c>
      <c r="R74" s="408">
        <f t="shared" si="36"/>
        <v>0</v>
      </c>
      <c r="S74" s="408">
        <f t="shared" si="36"/>
        <v>0</v>
      </c>
      <c r="T74" s="408">
        <f t="shared" si="36"/>
        <v>0</v>
      </c>
      <c r="U74" s="408">
        <f t="shared" si="36"/>
        <v>0</v>
      </c>
      <c r="V74" s="408">
        <f t="shared" si="36"/>
        <v>0</v>
      </c>
      <c r="W74" s="408">
        <f t="shared" si="36"/>
        <v>0</v>
      </c>
      <c r="X74" s="408">
        <f t="shared" si="36"/>
        <v>0</v>
      </c>
      <c r="Y74" s="408">
        <f t="shared" si="36"/>
        <v>0</v>
      </c>
      <c r="Z74" s="408">
        <f t="shared" si="36"/>
        <v>0</v>
      </c>
      <c r="AA74" s="408">
        <f t="shared" si="36"/>
        <v>0</v>
      </c>
      <c r="AB74" s="408">
        <f t="shared" si="36"/>
        <v>0</v>
      </c>
      <c r="AD74" s="359"/>
      <c r="AE74" s="371">
        <f t="shared" si="38"/>
        <v>0</v>
      </c>
      <c r="AF74" s="371">
        <f t="shared" si="38"/>
        <v>0</v>
      </c>
      <c r="AG74" s="371">
        <f t="shared" si="38"/>
        <v>0</v>
      </c>
      <c r="AH74" s="371">
        <f t="shared" si="38"/>
        <v>0</v>
      </c>
      <c r="AI74" s="371">
        <f t="shared" si="38"/>
        <v>0</v>
      </c>
      <c r="AJ74" s="371">
        <f t="shared" si="38"/>
        <v>0</v>
      </c>
      <c r="AK74" s="371">
        <f t="shared" si="38"/>
        <v>0</v>
      </c>
      <c r="AL74" s="371">
        <f t="shared" si="38"/>
        <v>0</v>
      </c>
      <c r="AM74" s="371">
        <f t="shared" si="38"/>
        <v>0</v>
      </c>
      <c r="AN74" s="371">
        <f t="shared" si="38"/>
        <v>0</v>
      </c>
      <c r="AO74" s="371">
        <f t="shared" si="38"/>
        <v>0</v>
      </c>
      <c r="AP74" s="371">
        <f t="shared" si="24"/>
        <v>0</v>
      </c>
      <c r="AQ74" s="371">
        <f t="shared" si="39"/>
        <v>0</v>
      </c>
      <c r="AR74" s="371">
        <f t="shared" si="39"/>
        <v>0</v>
      </c>
      <c r="AS74" s="371">
        <f t="shared" si="39"/>
        <v>0</v>
      </c>
      <c r="AT74" s="371">
        <f t="shared" si="39"/>
        <v>0</v>
      </c>
      <c r="AU74" s="371">
        <f t="shared" si="39"/>
        <v>0</v>
      </c>
      <c r="AV74" s="371">
        <f t="shared" si="39"/>
        <v>0</v>
      </c>
      <c r="AW74" s="371">
        <f t="shared" si="39"/>
        <v>0</v>
      </c>
      <c r="AX74" s="371">
        <f t="shared" si="39"/>
        <v>0</v>
      </c>
      <c r="AY74" s="371">
        <f t="shared" si="39"/>
        <v>0</v>
      </c>
      <c r="AZ74" s="371">
        <f t="shared" si="39"/>
        <v>0</v>
      </c>
      <c r="BA74" s="371">
        <f t="shared" si="40"/>
        <v>0</v>
      </c>
      <c r="BB74" s="371">
        <f t="shared" si="40"/>
        <v>0</v>
      </c>
      <c r="BC74" s="371">
        <f t="shared" si="40"/>
        <v>0</v>
      </c>
      <c r="BD74" s="371">
        <f t="shared" si="40"/>
        <v>0</v>
      </c>
      <c r="BE74" s="371">
        <f t="shared" si="40"/>
        <v>0</v>
      </c>
      <c r="BF74" s="371">
        <f t="shared" si="40"/>
        <v>0</v>
      </c>
      <c r="BG74" s="371">
        <f t="shared" si="40"/>
        <v>0</v>
      </c>
      <c r="BH74" s="371">
        <f t="shared" si="40"/>
        <v>0</v>
      </c>
      <c r="BI74" s="371">
        <f t="shared" si="40"/>
        <v>0</v>
      </c>
      <c r="BJ74" s="371">
        <f t="shared" si="40"/>
        <v>0</v>
      </c>
      <c r="BK74" s="371">
        <f t="shared" si="41"/>
        <v>0</v>
      </c>
      <c r="BL74" s="371">
        <f t="shared" si="41"/>
        <v>0</v>
      </c>
      <c r="BM74" s="371">
        <f t="shared" si="41"/>
        <v>0</v>
      </c>
      <c r="BN74" s="371">
        <f t="shared" si="41"/>
        <v>0</v>
      </c>
      <c r="BO74" s="371">
        <f t="shared" si="41"/>
        <v>0</v>
      </c>
      <c r="BP74" s="371">
        <f t="shared" si="41"/>
        <v>0</v>
      </c>
      <c r="BQ74" s="371">
        <f t="shared" si="41"/>
        <v>0</v>
      </c>
      <c r="BR74" s="371">
        <f t="shared" si="41"/>
        <v>0</v>
      </c>
      <c r="BS74" s="371">
        <f t="shared" si="41"/>
        <v>0</v>
      </c>
      <c r="BT74" s="371">
        <f t="shared" si="41"/>
        <v>0</v>
      </c>
      <c r="BU74" s="371">
        <f t="shared" si="42"/>
        <v>0</v>
      </c>
      <c r="BV74" s="371">
        <f t="shared" si="42"/>
        <v>0</v>
      </c>
      <c r="BW74" s="371">
        <f t="shared" si="42"/>
        <v>0</v>
      </c>
      <c r="BX74" s="371">
        <f t="shared" si="42"/>
        <v>0</v>
      </c>
      <c r="BY74" s="371">
        <f t="shared" si="42"/>
        <v>0</v>
      </c>
      <c r="BZ74" s="371">
        <f t="shared" si="42"/>
        <v>0</v>
      </c>
    </row>
    <row r="75" spans="2:78" ht="21" hidden="1" customHeight="1" outlineLevel="3">
      <c r="B75" s="367"/>
      <c r="C75" s="370"/>
      <c r="D75" s="374">
        <f t="shared" si="29"/>
        <v>45838</v>
      </c>
      <c r="E75" s="373" cm="1">
        <f t="array" ref="E75">IF($D75=LatestMonthOfActuals,INDEX($AE$39:$BZ$39,0,MATCH($D75,$AE$8:$BZ$8,0)),0)</f>
        <v>0</v>
      </c>
      <c r="F75" s="359"/>
      <c r="G75" s="408">
        <f t="shared" si="37"/>
        <v>0</v>
      </c>
      <c r="H75" s="408">
        <f t="shared" si="37"/>
        <v>0</v>
      </c>
      <c r="I75" s="408">
        <f t="shared" si="37"/>
        <v>0</v>
      </c>
      <c r="J75" s="408">
        <f t="shared" si="37"/>
        <v>0</v>
      </c>
      <c r="K75" s="408"/>
      <c r="L75" s="408"/>
      <c r="M75" s="408">
        <f t="shared" si="36"/>
        <v>0</v>
      </c>
      <c r="N75" s="408">
        <f t="shared" si="36"/>
        <v>0</v>
      </c>
      <c r="O75" s="408">
        <f t="shared" si="36"/>
        <v>0</v>
      </c>
      <c r="P75" s="408">
        <f t="shared" si="36"/>
        <v>0</v>
      </c>
      <c r="Q75" s="408">
        <f t="shared" si="36"/>
        <v>0</v>
      </c>
      <c r="R75" s="408">
        <f t="shared" si="36"/>
        <v>0</v>
      </c>
      <c r="S75" s="408">
        <f t="shared" si="36"/>
        <v>0</v>
      </c>
      <c r="T75" s="408">
        <f t="shared" si="36"/>
        <v>0</v>
      </c>
      <c r="U75" s="408">
        <f t="shared" si="36"/>
        <v>0</v>
      </c>
      <c r="V75" s="408">
        <f t="shared" si="36"/>
        <v>0</v>
      </c>
      <c r="W75" s="408">
        <f t="shared" si="36"/>
        <v>0</v>
      </c>
      <c r="X75" s="408">
        <f t="shared" si="36"/>
        <v>0</v>
      </c>
      <c r="Y75" s="408">
        <f t="shared" si="36"/>
        <v>0</v>
      </c>
      <c r="Z75" s="408">
        <f t="shared" si="36"/>
        <v>0</v>
      </c>
      <c r="AA75" s="408">
        <f t="shared" si="36"/>
        <v>0</v>
      </c>
      <c r="AB75" s="408">
        <f t="shared" si="36"/>
        <v>0</v>
      </c>
      <c r="AD75" s="359"/>
      <c r="AE75" s="371">
        <f t="shared" si="38"/>
        <v>0</v>
      </c>
      <c r="AF75" s="371">
        <f t="shared" si="38"/>
        <v>0</v>
      </c>
      <c r="AG75" s="371">
        <f t="shared" si="38"/>
        <v>0</v>
      </c>
      <c r="AH75" s="371">
        <f t="shared" si="38"/>
        <v>0</v>
      </c>
      <c r="AI75" s="371">
        <f t="shared" si="38"/>
        <v>0</v>
      </c>
      <c r="AJ75" s="371">
        <f t="shared" si="38"/>
        <v>0</v>
      </c>
      <c r="AK75" s="371">
        <f t="shared" si="38"/>
        <v>0</v>
      </c>
      <c r="AL75" s="371">
        <f t="shared" si="38"/>
        <v>0</v>
      </c>
      <c r="AM75" s="371">
        <f t="shared" si="38"/>
        <v>0</v>
      </c>
      <c r="AN75" s="371">
        <f t="shared" si="38"/>
        <v>0</v>
      </c>
      <c r="AO75" s="371">
        <f t="shared" si="38"/>
        <v>0</v>
      </c>
      <c r="AP75" s="371">
        <f t="shared" si="24"/>
        <v>0</v>
      </c>
      <c r="AQ75" s="371">
        <f t="shared" si="39"/>
        <v>0</v>
      </c>
      <c r="AR75" s="371">
        <f t="shared" si="39"/>
        <v>0</v>
      </c>
      <c r="AS75" s="371">
        <f t="shared" si="39"/>
        <v>0</v>
      </c>
      <c r="AT75" s="371">
        <f t="shared" si="39"/>
        <v>0</v>
      </c>
      <c r="AU75" s="371">
        <f t="shared" si="39"/>
        <v>0</v>
      </c>
      <c r="AV75" s="371">
        <f t="shared" si="39"/>
        <v>0</v>
      </c>
      <c r="AW75" s="371">
        <f t="shared" si="39"/>
        <v>0</v>
      </c>
      <c r="AX75" s="371">
        <f t="shared" si="39"/>
        <v>0</v>
      </c>
      <c r="AY75" s="371">
        <f t="shared" si="39"/>
        <v>0</v>
      </c>
      <c r="AZ75" s="371">
        <f t="shared" si="39"/>
        <v>0</v>
      </c>
      <c r="BA75" s="371">
        <f t="shared" si="40"/>
        <v>0</v>
      </c>
      <c r="BB75" s="371">
        <f t="shared" si="40"/>
        <v>0</v>
      </c>
      <c r="BC75" s="371">
        <f t="shared" si="40"/>
        <v>0</v>
      </c>
      <c r="BD75" s="371">
        <f t="shared" si="40"/>
        <v>0</v>
      </c>
      <c r="BE75" s="371">
        <f t="shared" si="40"/>
        <v>0</v>
      </c>
      <c r="BF75" s="371">
        <f t="shared" si="40"/>
        <v>0</v>
      </c>
      <c r="BG75" s="371">
        <f t="shared" si="40"/>
        <v>0</v>
      </c>
      <c r="BH75" s="371">
        <f t="shared" si="40"/>
        <v>0</v>
      </c>
      <c r="BI75" s="371">
        <f t="shared" si="40"/>
        <v>0</v>
      </c>
      <c r="BJ75" s="371">
        <f t="shared" si="40"/>
        <v>0</v>
      </c>
      <c r="BK75" s="371">
        <f t="shared" si="41"/>
        <v>0</v>
      </c>
      <c r="BL75" s="371">
        <f t="shared" si="41"/>
        <v>0</v>
      </c>
      <c r="BM75" s="371">
        <f t="shared" si="41"/>
        <v>0</v>
      </c>
      <c r="BN75" s="371">
        <f t="shared" si="41"/>
        <v>0</v>
      </c>
      <c r="BO75" s="371">
        <f t="shared" si="41"/>
        <v>0</v>
      </c>
      <c r="BP75" s="371">
        <f t="shared" si="41"/>
        <v>0</v>
      </c>
      <c r="BQ75" s="371">
        <f t="shared" si="41"/>
        <v>0</v>
      </c>
      <c r="BR75" s="371">
        <f t="shared" si="41"/>
        <v>0</v>
      </c>
      <c r="BS75" s="371">
        <f t="shared" si="41"/>
        <v>0</v>
      </c>
      <c r="BT75" s="371">
        <f t="shared" si="41"/>
        <v>0</v>
      </c>
      <c r="BU75" s="371">
        <f t="shared" si="42"/>
        <v>0</v>
      </c>
      <c r="BV75" s="371">
        <f t="shared" si="42"/>
        <v>0</v>
      </c>
      <c r="BW75" s="371">
        <f t="shared" si="42"/>
        <v>0</v>
      </c>
      <c r="BX75" s="371">
        <f t="shared" si="42"/>
        <v>0</v>
      </c>
      <c r="BY75" s="371">
        <f t="shared" si="42"/>
        <v>0</v>
      </c>
      <c r="BZ75" s="371">
        <f t="shared" si="42"/>
        <v>0</v>
      </c>
    </row>
    <row r="76" spans="2:78" ht="21" hidden="1" customHeight="1" outlineLevel="3">
      <c r="B76" s="367"/>
      <c r="C76" s="370"/>
      <c r="D76" s="374">
        <f t="shared" si="29"/>
        <v>45869</v>
      </c>
      <c r="E76" s="373" cm="1">
        <f t="array" ref="E76">IF($D76=LatestMonthOfActuals,INDEX($AE$39:$BZ$39,0,MATCH($D76,$AE$8:$BZ$8,0)),0)</f>
        <v>0</v>
      </c>
      <c r="F76" s="359"/>
      <c r="G76" s="408">
        <f t="shared" si="37"/>
        <v>0</v>
      </c>
      <c r="H76" s="408">
        <f t="shared" si="37"/>
        <v>0</v>
      </c>
      <c r="I76" s="408">
        <f t="shared" si="37"/>
        <v>0</v>
      </c>
      <c r="J76" s="408">
        <f t="shared" si="37"/>
        <v>0</v>
      </c>
      <c r="K76" s="408"/>
      <c r="L76" s="408"/>
      <c r="M76" s="408">
        <f t="shared" si="36"/>
        <v>0</v>
      </c>
      <c r="N76" s="408">
        <f t="shared" si="36"/>
        <v>0</v>
      </c>
      <c r="O76" s="408">
        <f t="shared" si="36"/>
        <v>0</v>
      </c>
      <c r="P76" s="408">
        <f t="shared" si="36"/>
        <v>0</v>
      </c>
      <c r="Q76" s="408">
        <f t="shared" si="36"/>
        <v>0</v>
      </c>
      <c r="R76" s="408">
        <f t="shared" si="36"/>
        <v>0</v>
      </c>
      <c r="S76" s="408">
        <f t="shared" si="36"/>
        <v>0</v>
      </c>
      <c r="T76" s="408">
        <f t="shared" si="36"/>
        <v>0</v>
      </c>
      <c r="U76" s="408">
        <f t="shared" si="36"/>
        <v>0</v>
      </c>
      <c r="V76" s="408">
        <f t="shared" si="36"/>
        <v>0</v>
      </c>
      <c r="W76" s="408">
        <f t="shared" si="36"/>
        <v>0</v>
      </c>
      <c r="X76" s="408">
        <f t="shared" si="36"/>
        <v>0</v>
      </c>
      <c r="Y76" s="408">
        <f t="shared" si="36"/>
        <v>0</v>
      </c>
      <c r="Z76" s="408">
        <f t="shared" si="36"/>
        <v>0</v>
      </c>
      <c r="AA76" s="408">
        <f t="shared" si="36"/>
        <v>0</v>
      </c>
      <c r="AB76" s="408">
        <f t="shared" si="36"/>
        <v>0</v>
      </c>
      <c r="AD76" s="359"/>
      <c r="AE76" s="371">
        <f t="shared" ref="AE76:AO85" si="43">IFERROR(IF(AE$8&gt;=$D76,$E76*(INDEX($E$12:$E$23,(MATCH(MATCH(AE$8,$D$46:$D$93,0)-MATCH($D76,$D$46:$D$93,0),$D$12:$D$23,0)))),0),0)</f>
        <v>0</v>
      </c>
      <c r="AF76" s="371">
        <f t="shared" si="43"/>
        <v>0</v>
      </c>
      <c r="AG76" s="371">
        <f t="shared" si="43"/>
        <v>0</v>
      </c>
      <c r="AH76" s="371">
        <f t="shared" si="43"/>
        <v>0</v>
      </c>
      <c r="AI76" s="371">
        <f t="shared" si="43"/>
        <v>0</v>
      </c>
      <c r="AJ76" s="371">
        <f t="shared" si="43"/>
        <v>0</v>
      </c>
      <c r="AK76" s="371">
        <f t="shared" si="43"/>
        <v>0</v>
      </c>
      <c r="AL76" s="371">
        <f t="shared" si="43"/>
        <v>0</v>
      </c>
      <c r="AM76" s="371">
        <f t="shared" si="43"/>
        <v>0</v>
      </c>
      <c r="AN76" s="371">
        <f t="shared" si="43"/>
        <v>0</v>
      </c>
      <c r="AO76" s="371">
        <f t="shared" si="43"/>
        <v>0</v>
      </c>
      <c r="AP76" s="371">
        <f t="shared" si="24"/>
        <v>0</v>
      </c>
      <c r="AQ76" s="371">
        <f t="shared" ref="AQ76:AZ85" si="44">IFERROR(IF(AQ$8&gt;=$D76,$E76*(INDEX($E$12:$E$23,(MATCH(MATCH(AQ$8,$D$46:$D$93,0)-MATCH($D76,$D$46:$D$93,0),$D$12:$D$23,0)))),0),0)</f>
        <v>0</v>
      </c>
      <c r="AR76" s="371">
        <f t="shared" si="44"/>
        <v>0</v>
      </c>
      <c r="AS76" s="371">
        <f t="shared" si="44"/>
        <v>0</v>
      </c>
      <c r="AT76" s="371">
        <f t="shared" si="44"/>
        <v>0</v>
      </c>
      <c r="AU76" s="371">
        <f t="shared" si="44"/>
        <v>0</v>
      </c>
      <c r="AV76" s="371">
        <f t="shared" si="44"/>
        <v>0</v>
      </c>
      <c r="AW76" s="371">
        <f t="shared" si="44"/>
        <v>0</v>
      </c>
      <c r="AX76" s="371">
        <f t="shared" si="44"/>
        <v>0</v>
      </c>
      <c r="AY76" s="371">
        <f t="shared" si="44"/>
        <v>0</v>
      </c>
      <c r="AZ76" s="371">
        <f t="shared" si="44"/>
        <v>0</v>
      </c>
      <c r="BA76" s="371">
        <f t="shared" ref="BA76:BJ85" si="45">IFERROR(IF(BA$8&gt;=$D76,$E76*(INDEX($E$12:$E$23,(MATCH(MATCH(BA$8,$D$46:$D$93,0)-MATCH($D76,$D$46:$D$93,0),$D$12:$D$23,0)))),0),0)</f>
        <v>0</v>
      </c>
      <c r="BB76" s="371">
        <f t="shared" si="45"/>
        <v>0</v>
      </c>
      <c r="BC76" s="371">
        <f t="shared" si="45"/>
        <v>0</v>
      </c>
      <c r="BD76" s="371">
        <f t="shared" si="45"/>
        <v>0</v>
      </c>
      <c r="BE76" s="371">
        <f t="shared" si="45"/>
        <v>0</v>
      </c>
      <c r="BF76" s="371">
        <f t="shared" si="45"/>
        <v>0</v>
      </c>
      <c r="BG76" s="371">
        <f t="shared" si="45"/>
        <v>0</v>
      </c>
      <c r="BH76" s="371">
        <f t="shared" si="45"/>
        <v>0</v>
      </c>
      <c r="BI76" s="371">
        <f t="shared" si="45"/>
        <v>0</v>
      </c>
      <c r="BJ76" s="371">
        <f t="shared" si="45"/>
        <v>0</v>
      </c>
      <c r="BK76" s="371">
        <f t="shared" ref="BK76:BT85" si="46">IFERROR(IF(BK$8&gt;=$D76,$E76*(INDEX($E$12:$E$23,(MATCH(MATCH(BK$8,$D$46:$D$93,0)-MATCH($D76,$D$46:$D$93,0),$D$12:$D$23,0)))),0),0)</f>
        <v>0</v>
      </c>
      <c r="BL76" s="371">
        <f t="shared" si="46"/>
        <v>0</v>
      </c>
      <c r="BM76" s="371">
        <f t="shared" si="46"/>
        <v>0</v>
      </c>
      <c r="BN76" s="371">
        <f t="shared" si="46"/>
        <v>0</v>
      </c>
      <c r="BO76" s="371">
        <f t="shared" si="46"/>
        <v>0</v>
      </c>
      <c r="BP76" s="371">
        <f t="shared" si="46"/>
        <v>0</v>
      </c>
      <c r="BQ76" s="371">
        <f t="shared" si="46"/>
        <v>0</v>
      </c>
      <c r="BR76" s="371">
        <f t="shared" si="46"/>
        <v>0</v>
      </c>
      <c r="BS76" s="371">
        <f t="shared" si="46"/>
        <v>0</v>
      </c>
      <c r="BT76" s="371">
        <f t="shared" si="46"/>
        <v>0</v>
      </c>
      <c r="BU76" s="371">
        <f t="shared" ref="BU76:BZ85" si="47">IFERROR(IF(BU$8&gt;=$D76,$E76*(INDEX($E$12:$E$23,(MATCH(MATCH(BU$8,$D$46:$D$93,0)-MATCH($D76,$D$46:$D$93,0),$D$12:$D$23,0)))),0),0)</f>
        <v>0</v>
      </c>
      <c r="BV76" s="371">
        <f t="shared" si="47"/>
        <v>0</v>
      </c>
      <c r="BW76" s="371">
        <f t="shared" si="47"/>
        <v>0</v>
      </c>
      <c r="BX76" s="371">
        <f t="shared" si="47"/>
        <v>0</v>
      </c>
      <c r="BY76" s="371">
        <f t="shared" si="47"/>
        <v>0</v>
      </c>
      <c r="BZ76" s="371">
        <f t="shared" si="47"/>
        <v>0</v>
      </c>
    </row>
    <row r="77" spans="2:78" ht="21" hidden="1" customHeight="1" outlineLevel="3">
      <c r="B77" s="367"/>
      <c r="C77" s="370"/>
      <c r="D77" s="374">
        <f t="shared" si="29"/>
        <v>45900</v>
      </c>
      <c r="E77" s="373" cm="1">
        <f t="array" ref="E77">IF($D77=LatestMonthOfActuals,INDEX($AE$39:$BZ$39,0,MATCH($D77,$AE$8:$BZ$8,0)),0)</f>
        <v>0</v>
      </c>
      <c r="F77" s="359"/>
      <c r="G77" s="408">
        <f t="shared" si="37"/>
        <v>0</v>
      </c>
      <c r="H77" s="408">
        <f t="shared" si="37"/>
        <v>0</v>
      </c>
      <c r="I77" s="408">
        <f t="shared" si="37"/>
        <v>0</v>
      </c>
      <c r="J77" s="408">
        <f t="shared" si="37"/>
        <v>0</v>
      </c>
      <c r="K77" s="408"/>
      <c r="L77" s="408"/>
      <c r="M77" s="408">
        <f t="shared" si="36"/>
        <v>0</v>
      </c>
      <c r="N77" s="408">
        <f t="shared" si="36"/>
        <v>0</v>
      </c>
      <c r="O77" s="408">
        <f t="shared" si="36"/>
        <v>0</v>
      </c>
      <c r="P77" s="408">
        <f t="shared" si="36"/>
        <v>0</v>
      </c>
      <c r="Q77" s="408">
        <f t="shared" si="36"/>
        <v>0</v>
      </c>
      <c r="R77" s="408">
        <f t="shared" si="36"/>
        <v>0</v>
      </c>
      <c r="S77" s="408">
        <f t="shared" si="36"/>
        <v>0</v>
      </c>
      <c r="T77" s="408">
        <f t="shared" si="36"/>
        <v>0</v>
      </c>
      <c r="U77" s="408">
        <f t="shared" si="36"/>
        <v>0</v>
      </c>
      <c r="V77" s="408">
        <f t="shared" si="36"/>
        <v>0</v>
      </c>
      <c r="W77" s="408">
        <f t="shared" si="36"/>
        <v>0</v>
      </c>
      <c r="X77" s="408">
        <f t="shared" si="36"/>
        <v>0</v>
      </c>
      <c r="Y77" s="408">
        <f t="shared" si="36"/>
        <v>0</v>
      </c>
      <c r="Z77" s="408">
        <f t="shared" si="36"/>
        <v>0</v>
      </c>
      <c r="AA77" s="408">
        <f t="shared" si="36"/>
        <v>0</v>
      </c>
      <c r="AB77" s="408">
        <f t="shared" ref="AB77" si="48">SUMIFS($AE77:$BZ77,$AE$4:$BZ$4,"&gt;="&amp;AB$4,$AE77:$BZ77,"&lt;="&amp;AB$5)</f>
        <v>0</v>
      </c>
      <c r="AD77" s="359"/>
      <c r="AE77" s="371">
        <f t="shared" si="43"/>
        <v>0</v>
      </c>
      <c r="AF77" s="371">
        <f t="shared" si="43"/>
        <v>0</v>
      </c>
      <c r="AG77" s="371">
        <f t="shared" si="43"/>
        <v>0</v>
      </c>
      <c r="AH77" s="371">
        <f t="shared" si="43"/>
        <v>0</v>
      </c>
      <c r="AI77" s="371">
        <f t="shared" si="43"/>
        <v>0</v>
      </c>
      <c r="AJ77" s="371">
        <f t="shared" si="43"/>
        <v>0</v>
      </c>
      <c r="AK77" s="371">
        <f t="shared" si="43"/>
        <v>0</v>
      </c>
      <c r="AL77" s="371">
        <f t="shared" si="43"/>
        <v>0</v>
      </c>
      <c r="AM77" s="371">
        <f t="shared" si="43"/>
        <v>0</v>
      </c>
      <c r="AN77" s="371">
        <f t="shared" si="43"/>
        <v>0</v>
      </c>
      <c r="AO77" s="371">
        <f t="shared" si="43"/>
        <v>0</v>
      </c>
      <c r="AP77" s="371">
        <f t="shared" si="24"/>
        <v>0</v>
      </c>
      <c r="AQ77" s="371">
        <f t="shared" si="44"/>
        <v>0</v>
      </c>
      <c r="AR77" s="371">
        <f t="shared" si="44"/>
        <v>0</v>
      </c>
      <c r="AS77" s="371">
        <f t="shared" si="44"/>
        <v>0</v>
      </c>
      <c r="AT77" s="371">
        <f t="shared" si="44"/>
        <v>0</v>
      </c>
      <c r="AU77" s="371">
        <f t="shared" si="44"/>
        <v>0</v>
      </c>
      <c r="AV77" s="371">
        <f t="shared" si="44"/>
        <v>0</v>
      </c>
      <c r="AW77" s="371">
        <f t="shared" si="44"/>
        <v>0</v>
      </c>
      <c r="AX77" s="371">
        <f t="shared" si="44"/>
        <v>0</v>
      </c>
      <c r="AY77" s="371">
        <f t="shared" si="44"/>
        <v>0</v>
      </c>
      <c r="AZ77" s="371">
        <f t="shared" si="44"/>
        <v>0</v>
      </c>
      <c r="BA77" s="371">
        <f t="shared" si="45"/>
        <v>0</v>
      </c>
      <c r="BB77" s="371">
        <f t="shared" si="45"/>
        <v>0</v>
      </c>
      <c r="BC77" s="371">
        <f t="shared" si="45"/>
        <v>0</v>
      </c>
      <c r="BD77" s="371">
        <f t="shared" si="45"/>
        <v>0</v>
      </c>
      <c r="BE77" s="371">
        <f t="shared" si="45"/>
        <v>0</v>
      </c>
      <c r="BF77" s="371">
        <f t="shared" si="45"/>
        <v>0</v>
      </c>
      <c r="BG77" s="371">
        <f t="shared" si="45"/>
        <v>0</v>
      </c>
      <c r="BH77" s="371">
        <f t="shared" si="45"/>
        <v>0</v>
      </c>
      <c r="BI77" s="371">
        <f t="shared" si="45"/>
        <v>0</v>
      </c>
      <c r="BJ77" s="371">
        <f t="shared" si="45"/>
        <v>0</v>
      </c>
      <c r="BK77" s="371">
        <f t="shared" si="46"/>
        <v>0</v>
      </c>
      <c r="BL77" s="371">
        <f t="shared" si="46"/>
        <v>0</v>
      </c>
      <c r="BM77" s="371">
        <f t="shared" si="46"/>
        <v>0</v>
      </c>
      <c r="BN77" s="371">
        <f t="shared" si="46"/>
        <v>0</v>
      </c>
      <c r="BO77" s="371">
        <f t="shared" si="46"/>
        <v>0</v>
      </c>
      <c r="BP77" s="371">
        <f t="shared" si="46"/>
        <v>0</v>
      </c>
      <c r="BQ77" s="371">
        <f t="shared" si="46"/>
        <v>0</v>
      </c>
      <c r="BR77" s="371">
        <f t="shared" si="46"/>
        <v>0</v>
      </c>
      <c r="BS77" s="371">
        <f t="shared" si="46"/>
        <v>0</v>
      </c>
      <c r="BT77" s="371">
        <f t="shared" si="46"/>
        <v>0</v>
      </c>
      <c r="BU77" s="371">
        <f t="shared" si="47"/>
        <v>0</v>
      </c>
      <c r="BV77" s="371">
        <f t="shared" si="47"/>
        <v>0</v>
      </c>
      <c r="BW77" s="371">
        <f t="shared" si="47"/>
        <v>0</v>
      </c>
      <c r="BX77" s="371">
        <f t="shared" si="47"/>
        <v>0</v>
      </c>
      <c r="BY77" s="371">
        <f t="shared" si="47"/>
        <v>0</v>
      </c>
      <c r="BZ77" s="371">
        <f t="shared" si="47"/>
        <v>0</v>
      </c>
    </row>
    <row r="78" spans="2:78" ht="21" hidden="1" customHeight="1" outlineLevel="3">
      <c r="B78" s="367"/>
      <c r="C78" s="370"/>
      <c r="D78" s="374">
        <f t="shared" si="29"/>
        <v>45930</v>
      </c>
      <c r="E78" s="373" cm="1">
        <f t="array" ref="E78">IF($D78=LatestMonthOfActuals,INDEX($AE$39:$BZ$39,0,MATCH($D78,$AE$8:$BZ$8,0)),0)</f>
        <v>0</v>
      </c>
      <c r="F78" s="359"/>
      <c r="G78" s="408">
        <f t="shared" si="37"/>
        <v>0</v>
      </c>
      <c r="H78" s="408">
        <f t="shared" si="37"/>
        <v>0</v>
      </c>
      <c r="I78" s="408">
        <f t="shared" si="37"/>
        <v>0</v>
      </c>
      <c r="J78" s="408">
        <f t="shared" si="37"/>
        <v>0</v>
      </c>
      <c r="K78" s="408"/>
      <c r="L78" s="408"/>
      <c r="M78" s="408">
        <f t="shared" ref="M78:AB93" si="49">SUMIFS($AE78:$BZ78,$AE$4:$BZ$4,"&gt;="&amp;M$4,$AE78:$BZ78,"&lt;="&amp;M$5)</f>
        <v>0</v>
      </c>
      <c r="N78" s="408">
        <f t="shared" si="49"/>
        <v>0</v>
      </c>
      <c r="O78" s="408">
        <f t="shared" si="49"/>
        <v>0</v>
      </c>
      <c r="P78" s="408">
        <f t="shared" si="49"/>
        <v>0</v>
      </c>
      <c r="Q78" s="408">
        <f t="shared" si="49"/>
        <v>0</v>
      </c>
      <c r="R78" s="408">
        <f t="shared" si="49"/>
        <v>0</v>
      </c>
      <c r="S78" s="408">
        <f t="shared" si="49"/>
        <v>0</v>
      </c>
      <c r="T78" s="408">
        <f t="shared" si="49"/>
        <v>0</v>
      </c>
      <c r="U78" s="408">
        <f t="shared" si="49"/>
        <v>0</v>
      </c>
      <c r="V78" s="408">
        <f t="shared" si="49"/>
        <v>0</v>
      </c>
      <c r="W78" s="408">
        <f t="shared" si="49"/>
        <v>0</v>
      </c>
      <c r="X78" s="408">
        <f t="shared" si="49"/>
        <v>0</v>
      </c>
      <c r="Y78" s="408">
        <f t="shared" si="49"/>
        <v>0</v>
      </c>
      <c r="Z78" s="408">
        <f t="shared" si="49"/>
        <v>0</v>
      </c>
      <c r="AA78" s="408">
        <f t="shared" si="49"/>
        <v>0</v>
      </c>
      <c r="AB78" s="408">
        <f t="shared" si="49"/>
        <v>0</v>
      </c>
      <c r="AD78" s="359"/>
      <c r="AE78" s="371">
        <f t="shared" si="43"/>
        <v>0</v>
      </c>
      <c r="AF78" s="371">
        <f t="shared" si="43"/>
        <v>0</v>
      </c>
      <c r="AG78" s="371">
        <f t="shared" si="43"/>
        <v>0</v>
      </c>
      <c r="AH78" s="371">
        <f t="shared" si="43"/>
        <v>0</v>
      </c>
      <c r="AI78" s="371">
        <f t="shared" si="43"/>
        <v>0</v>
      </c>
      <c r="AJ78" s="371">
        <f t="shared" si="43"/>
        <v>0</v>
      </c>
      <c r="AK78" s="371">
        <f t="shared" si="43"/>
        <v>0</v>
      </c>
      <c r="AL78" s="371">
        <f t="shared" si="43"/>
        <v>0</v>
      </c>
      <c r="AM78" s="371">
        <f t="shared" si="43"/>
        <v>0</v>
      </c>
      <c r="AN78" s="371">
        <f t="shared" si="43"/>
        <v>0</v>
      </c>
      <c r="AO78" s="371">
        <f t="shared" si="43"/>
        <v>0</v>
      </c>
      <c r="AP78" s="371">
        <f t="shared" si="24"/>
        <v>0</v>
      </c>
      <c r="AQ78" s="371">
        <f t="shared" si="44"/>
        <v>0</v>
      </c>
      <c r="AR78" s="371">
        <f t="shared" si="44"/>
        <v>0</v>
      </c>
      <c r="AS78" s="371">
        <f t="shared" si="44"/>
        <v>0</v>
      </c>
      <c r="AT78" s="371">
        <f t="shared" si="44"/>
        <v>0</v>
      </c>
      <c r="AU78" s="371">
        <f t="shared" si="44"/>
        <v>0</v>
      </c>
      <c r="AV78" s="371">
        <f t="shared" si="44"/>
        <v>0</v>
      </c>
      <c r="AW78" s="371">
        <f t="shared" si="44"/>
        <v>0</v>
      </c>
      <c r="AX78" s="371">
        <f t="shared" si="44"/>
        <v>0</v>
      </c>
      <c r="AY78" s="371">
        <f t="shared" si="44"/>
        <v>0</v>
      </c>
      <c r="AZ78" s="371">
        <f t="shared" si="44"/>
        <v>0</v>
      </c>
      <c r="BA78" s="371">
        <f t="shared" si="45"/>
        <v>0</v>
      </c>
      <c r="BB78" s="371">
        <f t="shared" si="45"/>
        <v>0</v>
      </c>
      <c r="BC78" s="371">
        <f t="shared" si="45"/>
        <v>0</v>
      </c>
      <c r="BD78" s="371">
        <f t="shared" si="45"/>
        <v>0</v>
      </c>
      <c r="BE78" s="371">
        <f t="shared" si="45"/>
        <v>0</v>
      </c>
      <c r="BF78" s="371">
        <f t="shared" si="45"/>
        <v>0</v>
      </c>
      <c r="BG78" s="371">
        <f t="shared" si="45"/>
        <v>0</v>
      </c>
      <c r="BH78" s="371">
        <f t="shared" si="45"/>
        <v>0</v>
      </c>
      <c r="BI78" s="371">
        <f t="shared" si="45"/>
        <v>0</v>
      </c>
      <c r="BJ78" s="371">
        <f t="shared" si="45"/>
        <v>0</v>
      </c>
      <c r="BK78" s="371">
        <f t="shared" si="46"/>
        <v>0</v>
      </c>
      <c r="BL78" s="371">
        <f t="shared" si="46"/>
        <v>0</v>
      </c>
      <c r="BM78" s="371">
        <f t="shared" si="46"/>
        <v>0</v>
      </c>
      <c r="BN78" s="371">
        <f t="shared" si="46"/>
        <v>0</v>
      </c>
      <c r="BO78" s="371">
        <f t="shared" si="46"/>
        <v>0</v>
      </c>
      <c r="BP78" s="371">
        <f t="shared" si="46"/>
        <v>0</v>
      </c>
      <c r="BQ78" s="371">
        <f t="shared" si="46"/>
        <v>0</v>
      </c>
      <c r="BR78" s="371">
        <f t="shared" si="46"/>
        <v>0</v>
      </c>
      <c r="BS78" s="371">
        <f t="shared" si="46"/>
        <v>0</v>
      </c>
      <c r="BT78" s="371">
        <f t="shared" si="46"/>
        <v>0</v>
      </c>
      <c r="BU78" s="371">
        <f t="shared" si="47"/>
        <v>0</v>
      </c>
      <c r="BV78" s="371">
        <f t="shared" si="47"/>
        <v>0</v>
      </c>
      <c r="BW78" s="371">
        <f t="shared" si="47"/>
        <v>0</v>
      </c>
      <c r="BX78" s="371">
        <f t="shared" si="47"/>
        <v>0</v>
      </c>
      <c r="BY78" s="371">
        <f t="shared" si="47"/>
        <v>0</v>
      </c>
      <c r="BZ78" s="371">
        <f t="shared" si="47"/>
        <v>0</v>
      </c>
    </row>
    <row r="79" spans="2:78" ht="21" hidden="1" customHeight="1" outlineLevel="3">
      <c r="B79" s="367"/>
      <c r="C79" s="370"/>
      <c r="D79" s="374">
        <f t="shared" si="29"/>
        <v>45961</v>
      </c>
      <c r="E79" s="373" cm="1">
        <f t="array" ref="E79">IF($D79=LatestMonthOfActuals,INDEX($AE$39:$BZ$39,0,MATCH($D79,$AE$8:$BZ$8,0)),0)</f>
        <v>0</v>
      </c>
      <c r="F79" s="359"/>
      <c r="G79" s="408">
        <f t="shared" si="37"/>
        <v>0</v>
      </c>
      <c r="H79" s="408">
        <f t="shared" si="37"/>
        <v>0</v>
      </c>
      <c r="I79" s="408">
        <f t="shared" si="37"/>
        <v>0</v>
      </c>
      <c r="J79" s="408">
        <f t="shared" si="37"/>
        <v>0</v>
      </c>
      <c r="K79" s="408"/>
      <c r="L79" s="408"/>
      <c r="M79" s="408">
        <f t="shared" si="49"/>
        <v>0</v>
      </c>
      <c r="N79" s="408">
        <f t="shared" si="49"/>
        <v>0</v>
      </c>
      <c r="O79" s="408">
        <f t="shared" si="49"/>
        <v>0</v>
      </c>
      <c r="P79" s="408">
        <f t="shared" si="49"/>
        <v>0</v>
      </c>
      <c r="Q79" s="408">
        <f t="shared" si="49"/>
        <v>0</v>
      </c>
      <c r="R79" s="408">
        <f t="shared" si="49"/>
        <v>0</v>
      </c>
      <c r="S79" s="408">
        <f t="shared" si="49"/>
        <v>0</v>
      </c>
      <c r="T79" s="408">
        <f t="shared" si="49"/>
        <v>0</v>
      </c>
      <c r="U79" s="408">
        <f t="shared" si="49"/>
        <v>0</v>
      </c>
      <c r="V79" s="408">
        <f t="shared" si="49"/>
        <v>0</v>
      </c>
      <c r="W79" s="408">
        <f t="shared" si="49"/>
        <v>0</v>
      </c>
      <c r="X79" s="408">
        <f t="shared" si="49"/>
        <v>0</v>
      </c>
      <c r="Y79" s="408">
        <f t="shared" si="49"/>
        <v>0</v>
      </c>
      <c r="Z79" s="408">
        <f t="shared" si="49"/>
        <v>0</v>
      </c>
      <c r="AA79" s="408">
        <f t="shared" si="49"/>
        <v>0</v>
      </c>
      <c r="AB79" s="408">
        <f t="shared" si="49"/>
        <v>0</v>
      </c>
      <c r="AD79" s="359"/>
      <c r="AE79" s="371">
        <f t="shared" si="43"/>
        <v>0</v>
      </c>
      <c r="AF79" s="371">
        <f t="shared" si="43"/>
        <v>0</v>
      </c>
      <c r="AG79" s="371">
        <f t="shared" si="43"/>
        <v>0</v>
      </c>
      <c r="AH79" s="371">
        <f t="shared" si="43"/>
        <v>0</v>
      </c>
      <c r="AI79" s="371">
        <f t="shared" si="43"/>
        <v>0</v>
      </c>
      <c r="AJ79" s="371">
        <f t="shared" si="43"/>
        <v>0</v>
      </c>
      <c r="AK79" s="371">
        <f t="shared" si="43"/>
        <v>0</v>
      </c>
      <c r="AL79" s="371">
        <f t="shared" si="43"/>
        <v>0</v>
      </c>
      <c r="AM79" s="371">
        <f t="shared" si="43"/>
        <v>0</v>
      </c>
      <c r="AN79" s="371">
        <f t="shared" si="43"/>
        <v>0</v>
      </c>
      <c r="AO79" s="371">
        <f t="shared" si="43"/>
        <v>0</v>
      </c>
      <c r="AP79" s="371">
        <f t="shared" si="24"/>
        <v>0</v>
      </c>
      <c r="AQ79" s="371">
        <f t="shared" si="44"/>
        <v>0</v>
      </c>
      <c r="AR79" s="371">
        <f t="shared" si="44"/>
        <v>0</v>
      </c>
      <c r="AS79" s="371">
        <f t="shared" si="44"/>
        <v>0</v>
      </c>
      <c r="AT79" s="371">
        <f t="shared" si="44"/>
        <v>0</v>
      </c>
      <c r="AU79" s="371">
        <f t="shared" si="44"/>
        <v>0</v>
      </c>
      <c r="AV79" s="371">
        <f t="shared" si="44"/>
        <v>0</v>
      </c>
      <c r="AW79" s="371">
        <f t="shared" si="44"/>
        <v>0</v>
      </c>
      <c r="AX79" s="371">
        <f t="shared" si="44"/>
        <v>0</v>
      </c>
      <c r="AY79" s="371">
        <f t="shared" si="44"/>
        <v>0</v>
      </c>
      <c r="AZ79" s="371">
        <f t="shared" si="44"/>
        <v>0</v>
      </c>
      <c r="BA79" s="371">
        <f t="shared" si="45"/>
        <v>0</v>
      </c>
      <c r="BB79" s="371">
        <f t="shared" si="45"/>
        <v>0</v>
      </c>
      <c r="BC79" s="371">
        <f t="shared" si="45"/>
        <v>0</v>
      </c>
      <c r="BD79" s="371">
        <f t="shared" si="45"/>
        <v>0</v>
      </c>
      <c r="BE79" s="371">
        <f t="shared" si="45"/>
        <v>0</v>
      </c>
      <c r="BF79" s="371">
        <f t="shared" si="45"/>
        <v>0</v>
      </c>
      <c r="BG79" s="371">
        <f t="shared" si="45"/>
        <v>0</v>
      </c>
      <c r="BH79" s="371">
        <f t="shared" si="45"/>
        <v>0</v>
      </c>
      <c r="BI79" s="371">
        <f t="shared" si="45"/>
        <v>0</v>
      </c>
      <c r="BJ79" s="371">
        <f t="shared" si="45"/>
        <v>0</v>
      </c>
      <c r="BK79" s="371">
        <f t="shared" si="46"/>
        <v>0</v>
      </c>
      <c r="BL79" s="371">
        <f t="shared" si="46"/>
        <v>0</v>
      </c>
      <c r="BM79" s="371">
        <f t="shared" si="46"/>
        <v>0</v>
      </c>
      <c r="BN79" s="371">
        <f t="shared" si="46"/>
        <v>0</v>
      </c>
      <c r="BO79" s="371">
        <f t="shared" si="46"/>
        <v>0</v>
      </c>
      <c r="BP79" s="371">
        <f t="shared" si="46"/>
        <v>0</v>
      </c>
      <c r="BQ79" s="371">
        <f t="shared" si="46"/>
        <v>0</v>
      </c>
      <c r="BR79" s="371">
        <f t="shared" si="46"/>
        <v>0</v>
      </c>
      <c r="BS79" s="371">
        <f t="shared" si="46"/>
        <v>0</v>
      </c>
      <c r="BT79" s="371">
        <f t="shared" si="46"/>
        <v>0</v>
      </c>
      <c r="BU79" s="371">
        <f t="shared" si="47"/>
        <v>0</v>
      </c>
      <c r="BV79" s="371">
        <f t="shared" si="47"/>
        <v>0</v>
      </c>
      <c r="BW79" s="371">
        <f t="shared" si="47"/>
        <v>0</v>
      </c>
      <c r="BX79" s="371">
        <f t="shared" si="47"/>
        <v>0</v>
      </c>
      <c r="BY79" s="371">
        <f t="shared" si="47"/>
        <v>0</v>
      </c>
      <c r="BZ79" s="371">
        <f t="shared" si="47"/>
        <v>0</v>
      </c>
    </row>
    <row r="80" spans="2:78" ht="21" hidden="1" customHeight="1" outlineLevel="3">
      <c r="B80" s="367"/>
      <c r="C80" s="370"/>
      <c r="D80" s="374">
        <f t="shared" si="29"/>
        <v>45991</v>
      </c>
      <c r="E80" s="373" cm="1">
        <f t="array" ref="E80">IF($D80=LatestMonthOfActuals,INDEX($AE$39:$BZ$39,0,MATCH($D80,$AE$8:$BZ$8,0)),0)</f>
        <v>23270</v>
      </c>
      <c r="F80" s="359"/>
      <c r="G80" s="408">
        <f t="shared" si="37"/>
        <v>0</v>
      </c>
      <c r="H80" s="408">
        <f t="shared" si="37"/>
        <v>0</v>
      </c>
      <c r="I80" s="408">
        <f t="shared" si="37"/>
        <v>1939.1666666666665</v>
      </c>
      <c r="J80" s="408">
        <f t="shared" si="37"/>
        <v>21330.833333333332</v>
      </c>
      <c r="K80" s="408"/>
      <c r="L80" s="408"/>
      <c r="M80" s="408">
        <f t="shared" si="49"/>
        <v>23270</v>
      </c>
      <c r="N80" s="408">
        <f t="shared" si="49"/>
        <v>23270</v>
      </c>
      <c r="O80" s="408">
        <f t="shared" si="49"/>
        <v>23270</v>
      </c>
      <c r="P80" s="408">
        <f t="shared" si="49"/>
        <v>23270</v>
      </c>
      <c r="Q80" s="408">
        <f t="shared" si="49"/>
        <v>23270</v>
      </c>
      <c r="R80" s="408">
        <f t="shared" si="49"/>
        <v>23270</v>
      </c>
      <c r="S80" s="408">
        <f t="shared" si="49"/>
        <v>23270</v>
      </c>
      <c r="T80" s="408">
        <f t="shared" si="49"/>
        <v>23270</v>
      </c>
      <c r="U80" s="408">
        <f t="shared" si="49"/>
        <v>23270</v>
      </c>
      <c r="V80" s="408">
        <f t="shared" si="49"/>
        <v>23270</v>
      </c>
      <c r="W80" s="408">
        <f t="shared" si="49"/>
        <v>23270</v>
      </c>
      <c r="X80" s="408">
        <f t="shared" si="49"/>
        <v>23270</v>
      </c>
      <c r="Y80" s="408">
        <f t="shared" si="49"/>
        <v>21330.833333333332</v>
      </c>
      <c r="Z80" s="408">
        <f t="shared" si="49"/>
        <v>15513.33333333333</v>
      </c>
      <c r="AA80" s="408">
        <f t="shared" si="49"/>
        <v>9695.8333333333321</v>
      </c>
      <c r="AB80" s="408">
        <f t="shared" si="49"/>
        <v>3878.333333333333</v>
      </c>
      <c r="AD80" s="359"/>
      <c r="AE80" s="371">
        <f t="shared" si="43"/>
        <v>0</v>
      </c>
      <c r="AF80" s="371">
        <f t="shared" si="43"/>
        <v>0</v>
      </c>
      <c r="AG80" s="371">
        <f t="shared" si="43"/>
        <v>0</v>
      </c>
      <c r="AH80" s="371">
        <f t="shared" si="43"/>
        <v>0</v>
      </c>
      <c r="AI80" s="371">
        <f t="shared" si="43"/>
        <v>0</v>
      </c>
      <c r="AJ80" s="371">
        <f t="shared" si="43"/>
        <v>0</v>
      </c>
      <c r="AK80" s="371">
        <f t="shared" si="43"/>
        <v>0</v>
      </c>
      <c r="AL80" s="371">
        <f t="shared" si="43"/>
        <v>0</v>
      </c>
      <c r="AM80" s="371">
        <f t="shared" si="43"/>
        <v>0</v>
      </c>
      <c r="AN80" s="371">
        <f t="shared" si="43"/>
        <v>0</v>
      </c>
      <c r="AO80" s="371">
        <f t="shared" si="43"/>
        <v>0</v>
      </c>
      <c r="AP80" s="371">
        <f t="shared" si="24"/>
        <v>0</v>
      </c>
      <c r="AQ80" s="371">
        <f t="shared" si="44"/>
        <v>0</v>
      </c>
      <c r="AR80" s="371">
        <f t="shared" si="44"/>
        <v>0</v>
      </c>
      <c r="AS80" s="371">
        <f t="shared" si="44"/>
        <v>0</v>
      </c>
      <c r="AT80" s="371">
        <f t="shared" si="44"/>
        <v>0</v>
      </c>
      <c r="AU80" s="371">
        <f t="shared" si="44"/>
        <v>0</v>
      </c>
      <c r="AV80" s="371">
        <f t="shared" si="44"/>
        <v>0</v>
      </c>
      <c r="AW80" s="371">
        <f t="shared" si="44"/>
        <v>0</v>
      </c>
      <c r="AX80" s="371">
        <f t="shared" si="44"/>
        <v>0</v>
      </c>
      <c r="AY80" s="371">
        <f t="shared" si="44"/>
        <v>0</v>
      </c>
      <c r="AZ80" s="371">
        <f t="shared" si="44"/>
        <v>0</v>
      </c>
      <c r="BA80" s="371">
        <f t="shared" si="45"/>
        <v>0</v>
      </c>
      <c r="BB80" s="371">
        <f t="shared" si="45"/>
        <v>0</v>
      </c>
      <c r="BC80" s="371">
        <f t="shared" si="45"/>
        <v>0</v>
      </c>
      <c r="BD80" s="371">
        <f t="shared" si="45"/>
        <v>0</v>
      </c>
      <c r="BE80" s="371">
        <f t="shared" si="45"/>
        <v>0</v>
      </c>
      <c r="BF80" s="371">
        <f t="shared" si="45"/>
        <v>0</v>
      </c>
      <c r="BG80" s="371">
        <f t="shared" si="45"/>
        <v>0</v>
      </c>
      <c r="BH80" s="371">
        <f t="shared" si="45"/>
        <v>0</v>
      </c>
      <c r="BI80" s="371">
        <f t="shared" si="45"/>
        <v>0</v>
      </c>
      <c r="BJ80" s="371">
        <f t="shared" si="45"/>
        <v>0</v>
      </c>
      <c r="BK80" s="371">
        <f t="shared" si="46"/>
        <v>0</v>
      </c>
      <c r="BL80" s="371">
        <f t="shared" si="46"/>
        <v>0</v>
      </c>
      <c r="BM80" s="371">
        <f t="shared" si="46"/>
        <v>0</v>
      </c>
      <c r="BN80" s="371">
        <f t="shared" si="46"/>
        <v>1939.1666666666665</v>
      </c>
      <c r="BO80" s="371">
        <f t="shared" si="46"/>
        <v>1939.1666666666665</v>
      </c>
      <c r="BP80" s="371">
        <f t="shared" si="46"/>
        <v>1939.1666666666665</v>
      </c>
      <c r="BQ80" s="371">
        <f t="shared" si="46"/>
        <v>1939.1666666666665</v>
      </c>
      <c r="BR80" s="371">
        <f t="shared" si="46"/>
        <v>1939.1666666666665</v>
      </c>
      <c r="BS80" s="371">
        <f t="shared" si="46"/>
        <v>1939.1666666666665</v>
      </c>
      <c r="BT80" s="371">
        <f t="shared" si="46"/>
        <v>1939.1666666666665</v>
      </c>
      <c r="BU80" s="371">
        <f t="shared" si="47"/>
        <v>1939.1666666666665</v>
      </c>
      <c r="BV80" s="371">
        <f t="shared" si="47"/>
        <v>1939.1666666666665</v>
      </c>
      <c r="BW80" s="371">
        <f t="shared" si="47"/>
        <v>1939.1666666666665</v>
      </c>
      <c r="BX80" s="371">
        <f t="shared" si="47"/>
        <v>1939.1666666666665</v>
      </c>
      <c r="BY80" s="371">
        <f t="shared" si="47"/>
        <v>1939.1666666666665</v>
      </c>
      <c r="BZ80" s="371">
        <f t="shared" si="47"/>
        <v>0</v>
      </c>
    </row>
    <row r="81" spans="2:78" ht="21" hidden="1" customHeight="1" outlineLevel="3">
      <c r="B81" s="367"/>
      <c r="C81" s="370"/>
      <c r="D81" s="374">
        <f t="shared" si="29"/>
        <v>46022</v>
      </c>
      <c r="E81" s="373" cm="1">
        <f t="array" ref="E81">IF($D81=LatestMonthOfActuals,INDEX($AE$39:$BZ$39,0,MATCH($D81,$AE$8:$BZ$8,0)),0)</f>
        <v>0</v>
      </c>
      <c r="F81" s="359"/>
      <c r="G81" s="408">
        <f t="shared" si="37"/>
        <v>0</v>
      </c>
      <c r="H81" s="408">
        <f t="shared" si="37"/>
        <v>0</v>
      </c>
      <c r="I81" s="408">
        <f t="shared" si="37"/>
        <v>0</v>
      </c>
      <c r="J81" s="408">
        <f t="shared" si="37"/>
        <v>0</v>
      </c>
      <c r="K81" s="408"/>
      <c r="L81" s="408"/>
      <c r="M81" s="408">
        <f t="shared" si="49"/>
        <v>0</v>
      </c>
      <c r="N81" s="408">
        <f t="shared" si="49"/>
        <v>0</v>
      </c>
      <c r="O81" s="408">
        <f t="shared" si="49"/>
        <v>0</v>
      </c>
      <c r="P81" s="408">
        <f t="shared" si="49"/>
        <v>0</v>
      </c>
      <c r="Q81" s="408">
        <f t="shared" si="49"/>
        <v>0</v>
      </c>
      <c r="R81" s="408">
        <f t="shared" si="49"/>
        <v>0</v>
      </c>
      <c r="S81" s="408">
        <f t="shared" si="49"/>
        <v>0</v>
      </c>
      <c r="T81" s="408">
        <f t="shared" si="49"/>
        <v>0</v>
      </c>
      <c r="U81" s="408">
        <f t="shared" si="49"/>
        <v>0</v>
      </c>
      <c r="V81" s="408">
        <f t="shared" si="49"/>
        <v>0</v>
      </c>
      <c r="W81" s="408">
        <f t="shared" si="49"/>
        <v>0</v>
      </c>
      <c r="X81" s="408">
        <f t="shared" si="49"/>
        <v>0</v>
      </c>
      <c r="Y81" s="408">
        <f t="shared" si="49"/>
        <v>0</v>
      </c>
      <c r="Z81" s="408">
        <f t="shared" si="49"/>
        <v>0</v>
      </c>
      <c r="AA81" s="408">
        <f t="shared" si="49"/>
        <v>0</v>
      </c>
      <c r="AB81" s="408">
        <f t="shared" si="49"/>
        <v>0</v>
      </c>
      <c r="AD81" s="359"/>
      <c r="AE81" s="371">
        <f t="shared" si="43"/>
        <v>0</v>
      </c>
      <c r="AF81" s="371">
        <f t="shared" si="43"/>
        <v>0</v>
      </c>
      <c r="AG81" s="371">
        <f t="shared" si="43"/>
        <v>0</v>
      </c>
      <c r="AH81" s="371">
        <f t="shared" si="43"/>
        <v>0</v>
      </c>
      <c r="AI81" s="371">
        <f t="shared" si="43"/>
        <v>0</v>
      </c>
      <c r="AJ81" s="371">
        <f t="shared" si="43"/>
        <v>0</v>
      </c>
      <c r="AK81" s="371">
        <f t="shared" si="43"/>
        <v>0</v>
      </c>
      <c r="AL81" s="371">
        <f t="shared" si="43"/>
        <v>0</v>
      </c>
      <c r="AM81" s="371">
        <f t="shared" si="43"/>
        <v>0</v>
      </c>
      <c r="AN81" s="371">
        <f t="shared" si="43"/>
        <v>0</v>
      </c>
      <c r="AO81" s="371">
        <f t="shared" si="43"/>
        <v>0</v>
      </c>
      <c r="AP81" s="371">
        <f t="shared" si="24"/>
        <v>0</v>
      </c>
      <c r="AQ81" s="371">
        <f t="shared" si="44"/>
        <v>0</v>
      </c>
      <c r="AR81" s="371">
        <f t="shared" si="44"/>
        <v>0</v>
      </c>
      <c r="AS81" s="371">
        <f t="shared" si="44"/>
        <v>0</v>
      </c>
      <c r="AT81" s="371">
        <f t="shared" si="44"/>
        <v>0</v>
      </c>
      <c r="AU81" s="371">
        <f t="shared" si="44"/>
        <v>0</v>
      </c>
      <c r="AV81" s="371">
        <f t="shared" si="44"/>
        <v>0</v>
      </c>
      <c r="AW81" s="371">
        <f t="shared" si="44"/>
        <v>0</v>
      </c>
      <c r="AX81" s="371">
        <f t="shared" si="44"/>
        <v>0</v>
      </c>
      <c r="AY81" s="371">
        <f t="shared" si="44"/>
        <v>0</v>
      </c>
      <c r="AZ81" s="371">
        <f t="shared" si="44"/>
        <v>0</v>
      </c>
      <c r="BA81" s="371">
        <f t="shared" si="45"/>
        <v>0</v>
      </c>
      <c r="BB81" s="371">
        <f t="shared" si="45"/>
        <v>0</v>
      </c>
      <c r="BC81" s="371">
        <f t="shared" si="45"/>
        <v>0</v>
      </c>
      <c r="BD81" s="371">
        <f t="shared" si="45"/>
        <v>0</v>
      </c>
      <c r="BE81" s="371">
        <f t="shared" si="45"/>
        <v>0</v>
      </c>
      <c r="BF81" s="371">
        <f t="shared" si="45"/>
        <v>0</v>
      </c>
      <c r="BG81" s="371">
        <f t="shared" si="45"/>
        <v>0</v>
      </c>
      <c r="BH81" s="371">
        <f t="shared" si="45"/>
        <v>0</v>
      </c>
      <c r="BI81" s="371">
        <f t="shared" si="45"/>
        <v>0</v>
      </c>
      <c r="BJ81" s="371">
        <f t="shared" si="45"/>
        <v>0</v>
      </c>
      <c r="BK81" s="371">
        <f t="shared" si="46"/>
        <v>0</v>
      </c>
      <c r="BL81" s="371">
        <f t="shared" si="46"/>
        <v>0</v>
      </c>
      <c r="BM81" s="371">
        <f t="shared" si="46"/>
        <v>0</v>
      </c>
      <c r="BN81" s="371">
        <f t="shared" si="46"/>
        <v>0</v>
      </c>
      <c r="BO81" s="371">
        <f t="shared" si="46"/>
        <v>0</v>
      </c>
      <c r="BP81" s="371">
        <f t="shared" si="46"/>
        <v>0</v>
      </c>
      <c r="BQ81" s="371">
        <f t="shared" si="46"/>
        <v>0</v>
      </c>
      <c r="BR81" s="371">
        <f t="shared" si="46"/>
        <v>0</v>
      </c>
      <c r="BS81" s="371">
        <f t="shared" si="46"/>
        <v>0</v>
      </c>
      <c r="BT81" s="371">
        <f t="shared" si="46"/>
        <v>0</v>
      </c>
      <c r="BU81" s="371">
        <f t="shared" si="47"/>
        <v>0</v>
      </c>
      <c r="BV81" s="371">
        <f t="shared" si="47"/>
        <v>0</v>
      </c>
      <c r="BW81" s="371">
        <f t="shared" si="47"/>
        <v>0</v>
      </c>
      <c r="BX81" s="371">
        <f t="shared" si="47"/>
        <v>0</v>
      </c>
      <c r="BY81" s="371">
        <f t="shared" si="47"/>
        <v>0</v>
      </c>
      <c r="BZ81" s="371">
        <f t="shared" si="47"/>
        <v>0</v>
      </c>
    </row>
    <row r="82" spans="2:78" ht="21" hidden="1" customHeight="1" outlineLevel="3">
      <c r="B82" s="367"/>
      <c r="C82" s="370"/>
      <c r="D82" s="374">
        <f t="shared" si="29"/>
        <v>46053</v>
      </c>
      <c r="E82" s="373" cm="1">
        <f t="array" ref="E82">IF($D82=LatestMonthOfActuals,INDEX($AE$39:$BZ$39,0,MATCH($D82,$AE$8:$BZ$8,0)),0)</f>
        <v>0</v>
      </c>
      <c r="F82" s="359"/>
      <c r="G82" s="408">
        <f t="shared" si="37"/>
        <v>0</v>
      </c>
      <c r="H82" s="408">
        <f t="shared" si="37"/>
        <v>0</v>
      </c>
      <c r="I82" s="408">
        <f t="shared" si="37"/>
        <v>0</v>
      </c>
      <c r="J82" s="408">
        <f t="shared" si="37"/>
        <v>0</v>
      </c>
      <c r="K82" s="408"/>
      <c r="L82" s="408"/>
      <c r="M82" s="408">
        <f t="shared" si="49"/>
        <v>0</v>
      </c>
      <c r="N82" s="408">
        <f t="shared" si="49"/>
        <v>0</v>
      </c>
      <c r="O82" s="408">
        <f t="shared" si="49"/>
        <v>0</v>
      </c>
      <c r="P82" s="408">
        <f t="shared" si="49"/>
        <v>0</v>
      </c>
      <c r="Q82" s="408">
        <f t="shared" si="49"/>
        <v>0</v>
      </c>
      <c r="R82" s="408">
        <f t="shared" si="49"/>
        <v>0</v>
      </c>
      <c r="S82" s="408">
        <f t="shared" si="49"/>
        <v>0</v>
      </c>
      <c r="T82" s="408">
        <f t="shared" si="49"/>
        <v>0</v>
      </c>
      <c r="U82" s="408">
        <f t="shared" si="49"/>
        <v>0</v>
      </c>
      <c r="V82" s="408">
        <f t="shared" si="49"/>
        <v>0</v>
      </c>
      <c r="W82" s="408">
        <f t="shared" si="49"/>
        <v>0</v>
      </c>
      <c r="X82" s="408">
        <f t="shared" si="49"/>
        <v>0</v>
      </c>
      <c r="Y82" s="408">
        <f t="shared" si="49"/>
        <v>0</v>
      </c>
      <c r="Z82" s="408">
        <f t="shared" si="49"/>
        <v>0</v>
      </c>
      <c r="AA82" s="408">
        <f t="shared" si="49"/>
        <v>0</v>
      </c>
      <c r="AB82" s="408">
        <f t="shared" si="49"/>
        <v>0</v>
      </c>
      <c r="AD82" s="359"/>
      <c r="AE82" s="371">
        <f t="shared" si="43"/>
        <v>0</v>
      </c>
      <c r="AF82" s="371">
        <f t="shared" si="43"/>
        <v>0</v>
      </c>
      <c r="AG82" s="371">
        <f t="shared" si="43"/>
        <v>0</v>
      </c>
      <c r="AH82" s="371">
        <f t="shared" si="43"/>
        <v>0</v>
      </c>
      <c r="AI82" s="371">
        <f t="shared" si="43"/>
        <v>0</v>
      </c>
      <c r="AJ82" s="371">
        <f t="shared" si="43"/>
        <v>0</v>
      </c>
      <c r="AK82" s="371">
        <f t="shared" si="43"/>
        <v>0</v>
      </c>
      <c r="AL82" s="371">
        <f t="shared" si="43"/>
        <v>0</v>
      </c>
      <c r="AM82" s="371">
        <f t="shared" si="43"/>
        <v>0</v>
      </c>
      <c r="AN82" s="371">
        <f t="shared" si="43"/>
        <v>0</v>
      </c>
      <c r="AO82" s="371">
        <f t="shared" si="43"/>
        <v>0</v>
      </c>
      <c r="AP82" s="371">
        <f t="shared" si="24"/>
        <v>0</v>
      </c>
      <c r="AQ82" s="371">
        <f t="shared" si="44"/>
        <v>0</v>
      </c>
      <c r="AR82" s="371">
        <f t="shared" si="44"/>
        <v>0</v>
      </c>
      <c r="AS82" s="371">
        <f t="shared" si="44"/>
        <v>0</v>
      </c>
      <c r="AT82" s="371">
        <f t="shared" si="44"/>
        <v>0</v>
      </c>
      <c r="AU82" s="371">
        <f t="shared" si="44"/>
        <v>0</v>
      </c>
      <c r="AV82" s="371">
        <f t="shared" si="44"/>
        <v>0</v>
      </c>
      <c r="AW82" s="371">
        <f t="shared" si="44"/>
        <v>0</v>
      </c>
      <c r="AX82" s="371">
        <f t="shared" si="44"/>
        <v>0</v>
      </c>
      <c r="AY82" s="371">
        <f t="shared" si="44"/>
        <v>0</v>
      </c>
      <c r="AZ82" s="371">
        <f t="shared" si="44"/>
        <v>0</v>
      </c>
      <c r="BA82" s="371">
        <f t="shared" si="45"/>
        <v>0</v>
      </c>
      <c r="BB82" s="371">
        <f t="shared" si="45"/>
        <v>0</v>
      </c>
      <c r="BC82" s="371">
        <f t="shared" si="45"/>
        <v>0</v>
      </c>
      <c r="BD82" s="371">
        <f t="shared" si="45"/>
        <v>0</v>
      </c>
      <c r="BE82" s="371">
        <f t="shared" si="45"/>
        <v>0</v>
      </c>
      <c r="BF82" s="371">
        <f t="shared" si="45"/>
        <v>0</v>
      </c>
      <c r="BG82" s="371">
        <f t="shared" si="45"/>
        <v>0</v>
      </c>
      <c r="BH82" s="371">
        <f t="shared" si="45"/>
        <v>0</v>
      </c>
      <c r="BI82" s="371">
        <f t="shared" si="45"/>
        <v>0</v>
      </c>
      <c r="BJ82" s="371">
        <f t="shared" si="45"/>
        <v>0</v>
      </c>
      <c r="BK82" s="371">
        <f t="shared" si="46"/>
        <v>0</v>
      </c>
      <c r="BL82" s="371">
        <f t="shared" si="46"/>
        <v>0</v>
      </c>
      <c r="BM82" s="371">
        <f t="shared" si="46"/>
        <v>0</v>
      </c>
      <c r="BN82" s="371">
        <f t="shared" si="46"/>
        <v>0</v>
      </c>
      <c r="BO82" s="371">
        <f t="shared" si="46"/>
        <v>0</v>
      </c>
      <c r="BP82" s="371">
        <f t="shared" si="46"/>
        <v>0</v>
      </c>
      <c r="BQ82" s="371">
        <f t="shared" si="46"/>
        <v>0</v>
      </c>
      <c r="BR82" s="371">
        <f t="shared" si="46"/>
        <v>0</v>
      </c>
      <c r="BS82" s="371">
        <f t="shared" si="46"/>
        <v>0</v>
      </c>
      <c r="BT82" s="371">
        <f t="shared" si="46"/>
        <v>0</v>
      </c>
      <c r="BU82" s="371">
        <f t="shared" si="47"/>
        <v>0</v>
      </c>
      <c r="BV82" s="371">
        <f t="shared" si="47"/>
        <v>0</v>
      </c>
      <c r="BW82" s="371">
        <f t="shared" si="47"/>
        <v>0</v>
      </c>
      <c r="BX82" s="371">
        <f t="shared" si="47"/>
        <v>0</v>
      </c>
      <c r="BY82" s="371">
        <f t="shared" si="47"/>
        <v>0</v>
      </c>
      <c r="BZ82" s="371">
        <f t="shared" si="47"/>
        <v>0</v>
      </c>
    </row>
    <row r="83" spans="2:78" ht="21" hidden="1" customHeight="1" outlineLevel="3">
      <c r="B83" s="367"/>
      <c r="C83" s="370"/>
      <c r="D83" s="374">
        <f t="shared" si="29"/>
        <v>46081</v>
      </c>
      <c r="E83" s="373" cm="1">
        <f t="array" ref="E83">IF($D83=LatestMonthOfActuals,INDEX($AE$39:$BZ$39,0,MATCH($D83,$AE$8:$BZ$8,0)),0)</f>
        <v>0</v>
      </c>
      <c r="F83" s="359"/>
      <c r="G83" s="408">
        <f t="shared" si="37"/>
        <v>0</v>
      </c>
      <c r="H83" s="408">
        <f t="shared" si="37"/>
        <v>0</v>
      </c>
      <c r="I83" s="408">
        <f t="shared" si="37"/>
        <v>0</v>
      </c>
      <c r="J83" s="408">
        <f t="shared" si="37"/>
        <v>0</v>
      </c>
      <c r="K83" s="408"/>
      <c r="L83" s="408"/>
      <c r="M83" s="408">
        <f t="shared" si="49"/>
        <v>0</v>
      </c>
      <c r="N83" s="408">
        <f t="shared" si="49"/>
        <v>0</v>
      </c>
      <c r="O83" s="408">
        <f t="shared" si="49"/>
        <v>0</v>
      </c>
      <c r="P83" s="408">
        <f t="shared" si="49"/>
        <v>0</v>
      </c>
      <c r="Q83" s="408">
        <f t="shared" si="49"/>
        <v>0</v>
      </c>
      <c r="R83" s="408">
        <f t="shared" si="49"/>
        <v>0</v>
      </c>
      <c r="S83" s="408">
        <f t="shared" si="49"/>
        <v>0</v>
      </c>
      <c r="T83" s="408">
        <f t="shared" si="49"/>
        <v>0</v>
      </c>
      <c r="U83" s="408">
        <f t="shared" si="49"/>
        <v>0</v>
      </c>
      <c r="V83" s="408">
        <f t="shared" si="49"/>
        <v>0</v>
      </c>
      <c r="W83" s="408">
        <f t="shared" si="49"/>
        <v>0</v>
      </c>
      <c r="X83" s="408">
        <f t="shared" si="49"/>
        <v>0</v>
      </c>
      <c r="Y83" s="408">
        <f t="shared" si="49"/>
        <v>0</v>
      </c>
      <c r="Z83" s="408">
        <f t="shared" si="49"/>
        <v>0</v>
      </c>
      <c r="AA83" s="408">
        <f t="shared" si="49"/>
        <v>0</v>
      </c>
      <c r="AB83" s="408">
        <f t="shared" si="49"/>
        <v>0</v>
      </c>
      <c r="AD83" s="359"/>
      <c r="AE83" s="371">
        <f t="shared" si="43"/>
        <v>0</v>
      </c>
      <c r="AF83" s="371">
        <f t="shared" si="43"/>
        <v>0</v>
      </c>
      <c r="AG83" s="371">
        <f t="shared" si="43"/>
        <v>0</v>
      </c>
      <c r="AH83" s="371">
        <f t="shared" si="43"/>
        <v>0</v>
      </c>
      <c r="AI83" s="371">
        <f t="shared" si="43"/>
        <v>0</v>
      </c>
      <c r="AJ83" s="371">
        <f t="shared" si="43"/>
        <v>0</v>
      </c>
      <c r="AK83" s="371">
        <f t="shared" si="43"/>
        <v>0</v>
      </c>
      <c r="AL83" s="371">
        <f t="shared" si="43"/>
        <v>0</v>
      </c>
      <c r="AM83" s="371">
        <f t="shared" si="43"/>
        <v>0</v>
      </c>
      <c r="AN83" s="371">
        <f t="shared" si="43"/>
        <v>0</v>
      </c>
      <c r="AO83" s="371">
        <f t="shared" si="43"/>
        <v>0</v>
      </c>
      <c r="AP83" s="371">
        <f t="shared" si="24"/>
        <v>0</v>
      </c>
      <c r="AQ83" s="371">
        <f t="shared" si="44"/>
        <v>0</v>
      </c>
      <c r="AR83" s="371">
        <f t="shared" si="44"/>
        <v>0</v>
      </c>
      <c r="AS83" s="371">
        <f t="shared" si="44"/>
        <v>0</v>
      </c>
      <c r="AT83" s="371">
        <f t="shared" si="44"/>
        <v>0</v>
      </c>
      <c r="AU83" s="371">
        <f t="shared" si="44"/>
        <v>0</v>
      </c>
      <c r="AV83" s="371">
        <f t="shared" si="44"/>
        <v>0</v>
      </c>
      <c r="AW83" s="371">
        <f t="shared" si="44"/>
        <v>0</v>
      </c>
      <c r="AX83" s="371">
        <f t="shared" si="44"/>
        <v>0</v>
      </c>
      <c r="AY83" s="371">
        <f t="shared" si="44"/>
        <v>0</v>
      </c>
      <c r="AZ83" s="371">
        <f t="shared" si="44"/>
        <v>0</v>
      </c>
      <c r="BA83" s="371">
        <f t="shared" si="45"/>
        <v>0</v>
      </c>
      <c r="BB83" s="371">
        <f t="shared" si="45"/>
        <v>0</v>
      </c>
      <c r="BC83" s="371">
        <f t="shared" si="45"/>
        <v>0</v>
      </c>
      <c r="BD83" s="371">
        <f t="shared" si="45"/>
        <v>0</v>
      </c>
      <c r="BE83" s="371">
        <f t="shared" si="45"/>
        <v>0</v>
      </c>
      <c r="BF83" s="371">
        <f t="shared" si="45"/>
        <v>0</v>
      </c>
      <c r="BG83" s="371">
        <f t="shared" si="45"/>
        <v>0</v>
      </c>
      <c r="BH83" s="371">
        <f t="shared" si="45"/>
        <v>0</v>
      </c>
      <c r="BI83" s="371">
        <f t="shared" si="45"/>
        <v>0</v>
      </c>
      <c r="BJ83" s="371">
        <f t="shared" si="45"/>
        <v>0</v>
      </c>
      <c r="BK83" s="371">
        <f t="shared" si="46"/>
        <v>0</v>
      </c>
      <c r="BL83" s="371">
        <f t="shared" si="46"/>
        <v>0</v>
      </c>
      <c r="BM83" s="371">
        <f t="shared" si="46"/>
        <v>0</v>
      </c>
      <c r="BN83" s="371">
        <f t="shared" si="46"/>
        <v>0</v>
      </c>
      <c r="BO83" s="371">
        <f t="shared" si="46"/>
        <v>0</v>
      </c>
      <c r="BP83" s="371">
        <f t="shared" si="46"/>
        <v>0</v>
      </c>
      <c r="BQ83" s="371">
        <f t="shared" si="46"/>
        <v>0</v>
      </c>
      <c r="BR83" s="371">
        <f t="shared" si="46"/>
        <v>0</v>
      </c>
      <c r="BS83" s="371">
        <f t="shared" si="46"/>
        <v>0</v>
      </c>
      <c r="BT83" s="371">
        <f t="shared" si="46"/>
        <v>0</v>
      </c>
      <c r="BU83" s="371">
        <f t="shared" si="47"/>
        <v>0</v>
      </c>
      <c r="BV83" s="371">
        <f t="shared" si="47"/>
        <v>0</v>
      </c>
      <c r="BW83" s="371">
        <f t="shared" si="47"/>
        <v>0</v>
      </c>
      <c r="BX83" s="371">
        <f t="shared" si="47"/>
        <v>0</v>
      </c>
      <c r="BY83" s="371">
        <f t="shared" si="47"/>
        <v>0</v>
      </c>
      <c r="BZ83" s="371">
        <f t="shared" si="47"/>
        <v>0</v>
      </c>
    </row>
    <row r="84" spans="2:78" ht="21" hidden="1" customHeight="1" outlineLevel="3">
      <c r="B84" s="367"/>
      <c r="C84" s="370"/>
      <c r="D84" s="374">
        <f t="shared" si="29"/>
        <v>46112</v>
      </c>
      <c r="E84" s="373" cm="1">
        <f t="array" ref="E84">IF($D84=LatestMonthOfActuals,INDEX($AE$39:$BZ$39,0,MATCH($D84,$AE$8:$BZ$8,0)),0)</f>
        <v>0</v>
      </c>
      <c r="F84" s="359"/>
      <c r="G84" s="408">
        <f t="shared" si="37"/>
        <v>0</v>
      </c>
      <c r="H84" s="408">
        <f t="shared" si="37"/>
        <v>0</v>
      </c>
      <c r="I84" s="408">
        <f t="shared" si="37"/>
        <v>0</v>
      </c>
      <c r="J84" s="408">
        <f t="shared" si="37"/>
        <v>0</v>
      </c>
      <c r="K84" s="408"/>
      <c r="L84" s="408"/>
      <c r="M84" s="408">
        <f t="shared" si="49"/>
        <v>0</v>
      </c>
      <c r="N84" s="408">
        <f t="shared" si="49"/>
        <v>0</v>
      </c>
      <c r="O84" s="408">
        <f t="shared" si="49"/>
        <v>0</v>
      </c>
      <c r="P84" s="408">
        <f t="shared" si="49"/>
        <v>0</v>
      </c>
      <c r="Q84" s="408">
        <f t="shared" si="49"/>
        <v>0</v>
      </c>
      <c r="R84" s="408">
        <f t="shared" si="49"/>
        <v>0</v>
      </c>
      <c r="S84" s="408">
        <f t="shared" si="49"/>
        <v>0</v>
      </c>
      <c r="T84" s="408">
        <f t="shared" si="49"/>
        <v>0</v>
      </c>
      <c r="U84" s="408">
        <f t="shared" si="49"/>
        <v>0</v>
      </c>
      <c r="V84" s="408">
        <f t="shared" si="49"/>
        <v>0</v>
      </c>
      <c r="W84" s="408">
        <f t="shared" si="49"/>
        <v>0</v>
      </c>
      <c r="X84" s="408">
        <f t="shared" si="49"/>
        <v>0</v>
      </c>
      <c r="Y84" s="408">
        <f t="shared" si="49"/>
        <v>0</v>
      </c>
      <c r="Z84" s="408">
        <f t="shared" si="49"/>
        <v>0</v>
      </c>
      <c r="AA84" s="408">
        <f t="shared" si="49"/>
        <v>0</v>
      </c>
      <c r="AB84" s="408">
        <f t="shared" si="49"/>
        <v>0</v>
      </c>
      <c r="AD84" s="359"/>
      <c r="AE84" s="371">
        <f t="shared" si="43"/>
        <v>0</v>
      </c>
      <c r="AF84" s="371">
        <f t="shared" si="43"/>
        <v>0</v>
      </c>
      <c r="AG84" s="371">
        <f t="shared" si="43"/>
        <v>0</v>
      </c>
      <c r="AH84" s="371">
        <f t="shared" si="43"/>
        <v>0</v>
      </c>
      <c r="AI84" s="371">
        <f t="shared" si="43"/>
        <v>0</v>
      </c>
      <c r="AJ84" s="371">
        <f t="shared" si="43"/>
        <v>0</v>
      </c>
      <c r="AK84" s="371">
        <f t="shared" si="43"/>
        <v>0</v>
      </c>
      <c r="AL84" s="371">
        <f t="shared" si="43"/>
        <v>0</v>
      </c>
      <c r="AM84" s="371">
        <f t="shared" si="43"/>
        <v>0</v>
      </c>
      <c r="AN84" s="371">
        <f t="shared" si="43"/>
        <v>0</v>
      </c>
      <c r="AO84" s="371">
        <f t="shared" si="43"/>
        <v>0</v>
      </c>
      <c r="AP84" s="371">
        <f t="shared" si="24"/>
        <v>0</v>
      </c>
      <c r="AQ84" s="371">
        <f t="shared" si="44"/>
        <v>0</v>
      </c>
      <c r="AR84" s="371">
        <f t="shared" si="44"/>
        <v>0</v>
      </c>
      <c r="AS84" s="371">
        <f t="shared" si="44"/>
        <v>0</v>
      </c>
      <c r="AT84" s="371">
        <f t="shared" si="44"/>
        <v>0</v>
      </c>
      <c r="AU84" s="371">
        <f t="shared" si="44"/>
        <v>0</v>
      </c>
      <c r="AV84" s="371">
        <f t="shared" si="44"/>
        <v>0</v>
      </c>
      <c r="AW84" s="371">
        <f t="shared" si="44"/>
        <v>0</v>
      </c>
      <c r="AX84" s="371">
        <f t="shared" si="44"/>
        <v>0</v>
      </c>
      <c r="AY84" s="371">
        <f t="shared" si="44"/>
        <v>0</v>
      </c>
      <c r="AZ84" s="371">
        <f t="shared" si="44"/>
        <v>0</v>
      </c>
      <c r="BA84" s="371">
        <f t="shared" si="45"/>
        <v>0</v>
      </c>
      <c r="BB84" s="371">
        <f t="shared" si="45"/>
        <v>0</v>
      </c>
      <c r="BC84" s="371">
        <f t="shared" si="45"/>
        <v>0</v>
      </c>
      <c r="BD84" s="371">
        <f t="shared" si="45"/>
        <v>0</v>
      </c>
      <c r="BE84" s="371">
        <f t="shared" si="45"/>
        <v>0</v>
      </c>
      <c r="BF84" s="371">
        <f t="shared" si="45"/>
        <v>0</v>
      </c>
      <c r="BG84" s="371">
        <f t="shared" si="45"/>
        <v>0</v>
      </c>
      <c r="BH84" s="371">
        <f t="shared" si="45"/>
        <v>0</v>
      </c>
      <c r="BI84" s="371">
        <f t="shared" si="45"/>
        <v>0</v>
      </c>
      <c r="BJ84" s="371">
        <f t="shared" si="45"/>
        <v>0</v>
      </c>
      <c r="BK84" s="371">
        <f t="shared" si="46"/>
        <v>0</v>
      </c>
      <c r="BL84" s="371">
        <f t="shared" si="46"/>
        <v>0</v>
      </c>
      <c r="BM84" s="371">
        <f t="shared" si="46"/>
        <v>0</v>
      </c>
      <c r="BN84" s="371">
        <f t="shared" si="46"/>
        <v>0</v>
      </c>
      <c r="BO84" s="371">
        <f t="shared" si="46"/>
        <v>0</v>
      </c>
      <c r="BP84" s="371">
        <f t="shared" si="46"/>
        <v>0</v>
      </c>
      <c r="BQ84" s="371">
        <f t="shared" si="46"/>
        <v>0</v>
      </c>
      <c r="BR84" s="371">
        <f t="shared" si="46"/>
        <v>0</v>
      </c>
      <c r="BS84" s="371">
        <f t="shared" si="46"/>
        <v>0</v>
      </c>
      <c r="BT84" s="371">
        <f t="shared" si="46"/>
        <v>0</v>
      </c>
      <c r="BU84" s="371">
        <f t="shared" si="47"/>
        <v>0</v>
      </c>
      <c r="BV84" s="371">
        <f t="shared" si="47"/>
        <v>0</v>
      </c>
      <c r="BW84" s="371">
        <f t="shared" si="47"/>
        <v>0</v>
      </c>
      <c r="BX84" s="371">
        <f t="shared" si="47"/>
        <v>0</v>
      </c>
      <c r="BY84" s="371">
        <f t="shared" si="47"/>
        <v>0</v>
      </c>
      <c r="BZ84" s="371">
        <f t="shared" si="47"/>
        <v>0</v>
      </c>
    </row>
    <row r="85" spans="2:78" ht="21" hidden="1" customHeight="1" outlineLevel="3">
      <c r="B85" s="367"/>
      <c r="C85" s="370"/>
      <c r="D85" s="374">
        <f t="shared" si="29"/>
        <v>46142</v>
      </c>
      <c r="E85" s="373" cm="1">
        <f t="array" ref="E85">IF($D85=LatestMonthOfActuals,INDEX($AE$39:$BZ$39,0,MATCH($D85,$AE$8:$BZ$8,0)),0)</f>
        <v>0</v>
      </c>
      <c r="F85" s="359"/>
      <c r="G85" s="408">
        <f t="shared" si="37"/>
        <v>0</v>
      </c>
      <c r="H85" s="408">
        <f t="shared" si="37"/>
        <v>0</v>
      </c>
      <c r="I85" s="408">
        <f t="shared" si="37"/>
        <v>0</v>
      </c>
      <c r="J85" s="408">
        <f t="shared" si="37"/>
        <v>0</v>
      </c>
      <c r="K85" s="408"/>
      <c r="L85" s="408"/>
      <c r="M85" s="408">
        <f t="shared" si="49"/>
        <v>0</v>
      </c>
      <c r="N85" s="408">
        <f t="shared" si="49"/>
        <v>0</v>
      </c>
      <c r="O85" s="408">
        <f t="shared" si="49"/>
        <v>0</v>
      </c>
      <c r="P85" s="408">
        <f t="shared" si="49"/>
        <v>0</v>
      </c>
      <c r="Q85" s="408">
        <f t="shared" si="49"/>
        <v>0</v>
      </c>
      <c r="R85" s="408">
        <f t="shared" si="49"/>
        <v>0</v>
      </c>
      <c r="S85" s="408">
        <f t="shared" si="49"/>
        <v>0</v>
      </c>
      <c r="T85" s="408">
        <f t="shared" si="49"/>
        <v>0</v>
      </c>
      <c r="U85" s="408">
        <f t="shared" si="49"/>
        <v>0</v>
      </c>
      <c r="V85" s="408">
        <f t="shared" si="49"/>
        <v>0</v>
      </c>
      <c r="W85" s="408">
        <f t="shared" si="49"/>
        <v>0</v>
      </c>
      <c r="X85" s="408">
        <f t="shared" si="49"/>
        <v>0</v>
      </c>
      <c r="Y85" s="408">
        <f t="shared" si="49"/>
        <v>0</v>
      </c>
      <c r="Z85" s="408">
        <f t="shared" si="49"/>
        <v>0</v>
      </c>
      <c r="AA85" s="408">
        <f t="shared" si="49"/>
        <v>0</v>
      </c>
      <c r="AB85" s="408">
        <f t="shared" si="49"/>
        <v>0</v>
      </c>
      <c r="AD85" s="359"/>
      <c r="AE85" s="371">
        <f t="shared" si="43"/>
        <v>0</v>
      </c>
      <c r="AF85" s="371">
        <f t="shared" si="43"/>
        <v>0</v>
      </c>
      <c r="AG85" s="371">
        <f t="shared" si="43"/>
        <v>0</v>
      </c>
      <c r="AH85" s="371">
        <f t="shared" si="43"/>
        <v>0</v>
      </c>
      <c r="AI85" s="371">
        <f t="shared" si="43"/>
        <v>0</v>
      </c>
      <c r="AJ85" s="371">
        <f t="shared" si="43"/>
        <v>0</v>
      </c>
      <c r="AK85" s="371">
        <f t="shared" si="43"/>
        <v>0</v>
      </c>
      <c r="AL85" s="371">
        <f t="shared" si="43"/>
        <v>0</v>
      </c>
      <c r="AM85" s="371">
        <f t="shared" si="43"/>
        <v>0</v>
      </c>
      <c r="AN85" s="371">
        <f t="shared" si="43"/>
        <v>0</v>
      </c>
      <c r="AO85" s="371">
        <f t="shared" si="43"/>
        <v>0</v>
      </c>
      <c r="AP85" s="371">
        <f t="shared" si="24"/>
        <v>0</v>
      </c>
      <c r="AQ85" s="371">
        <f t="shared" si="44"/>
        <v>0</v>
      </c>
      <c r="AR85" s="371">
        <f t="shared" si="44"/>
        <v>0</v>
      </c>
      <c r="AS85" s="371">
        <f t="shared" si="44"/>
        <v>0</v>
      </c>
      <c r="AT85" s="371">
        <f t="shared" si="44"/>
        <v>0</v>
      </c>
      <c r="AU85" s="371">
        <f t="shared" si="44"/>
        <v>0</v>
      </c>
      <c r="AV85" s="371">
        <f t="shared" si="44"/>
        <v>0</v>
      </c>
      <c r="AW85" s="371">
        <f t="shared" si="44"/>
        <v>0</v>
      </c>
      <c r="AX85" s="371">
        <f t="shared" si="44"/>
        <v>0</v>
      </c>
      <c r="AY85" s="371">
        <f t="shared" si="44"/>
        <v>0</v>
      </c>
      <c r="AZ85" s="371">
        <f t="shared" si="44"/>
        <v>0</v>
      </c>
      <c r="BA85" s="371">
        <f t="shared" si="45"/>
        <v>0</v>
      </c>
      <c r="BB85" s="371">
        <f t="shared" si="45"/>
        <v>0</v>
      </c>
      <c r="BC85" s="371">
        <f t="shared" si="45"/>
        <v>0</v>
      </c>
      <c r="BD85" s="371">
        <f t="shared" si="45"/>
        <v>0</v>
      </c>
      <c r="BE85" s="371">
        <f t="shared" si="45"/>
        <v>0</v>
      </c>
      <c r="BF85" s="371">
        <f t="shared" si="45"/>
        <v>0</v>
      </c>
      <c r="BG85" s="371">
        <f t="shared" si="45"/>
        <v>0</v>
      </c>
      <c r="BH85" s="371">
        <f t="shared" si="45"/>
        <v>0</v>
      </c>
      <c r="BI85" s="371">
        <f t="shared" si="45"/>
        <v>0</v>
      </c>
      <c r="BJ85" s="371">
        <f t="shared" si="45"/>
        <v>0</v>
      </c>
      <c r="BK85" s="371">
        <f t="shared" si="46"/>
        <v>0</v>
      </c>
      <c r="BL85" s="371">
        <f t="shared" si="46"/>
        <v>0</v>
      </c>
      <c r="BM85" s="371">
        <f t="shared" si="46"/>
        <v>0</v>
      </c>
      <c r="BN85" s="371">
        <f t="shared" si="46"/>
        <v>0</v>
      </c>
      <c r="BO85" s="371">
        <f t="shared" si="46"/>
        <v>0</v>
      </c>
      <c r="BP85" s="371">
        <f t="shared" si="46"/>
        <v>0</v>
      </c>
      <c r="BQ85" s="371">
        <f t="shared" si="46"/>
        <v>0</v>
      </c>
      <c r="BR85" s="371">
        <f t="shared" si="46"/>
        <v>0</v>
      </c>
      <c r="BS85" s="371">
        <f t="shared" si="46"/>
        <v>0</v>
      </c>
      <c r="BT85" s="371">
        <f t="shared" si="46"/>
        <v>0</v>
      </c>
      <c r="BU85" s="371">
        <f t="shared" si="47"/>
        <v>0</v>
      </c>
      <c r="BV85" s="371">
        <f t="shared" si="47"/>
        <v>0</v>
      </c>
      <c r="BW85" s="371">
        <f t="shared" si="47"/>
        <v>0</v>
      </c>
      <c r="BX85" s="371">
        <f t="shared" si="47"/>
        <v>0</v>
      </c>
      <c r="BY85" s="371">
        <f t="shared" si="47"/>
        <v>0</v>
      </c>
      <c r="BZ85" s="371">
        <f t="shared" si="47"/>
        <v>0</v>
      </c>
    </row>
    <row r="86" spans="2:78" ht="21" hidden="1" customHeight="1" outlineLevel="3">
      <c r="B86" s="367"/>
      <c r="C86" s="370"/>
      <c r="D86" s="374">
        <f t="shared" si="29"/>
        <v>46173</v>
      </c>
      <c r="E86" s="373" cm="1">
        <f t="array" ref="E86">IF($D86=LatestMonthOfActuals,INDEX($AE$39:$BZ$39,0,MATCH($D86,$AE$8:$BZ$8,0)),0)</f>
        <v>0</v>
      </c>
      <c r="F86" s="359"/>
      <c r="G86" s="408">
        <f t="shared" ref="G86:J93" si="50">SUMIFS($AE86:$BZ86,$AE$4:$BZ$4,"&gt;="&amp;G$4,$AE$5:$BZ$5,"&lt;="&amp;G$5)</f>
        <v>0</v>
      </c>
      <c r="H86" s="408">
        <f t="shared" si="50"/>
        <v>0</v>
      </c>
      <c r="I86" s="408">
        <f t="shared" si="50"/>
        <v>0</v>
      </c>
      <c r="J86" s="408">
        <f t="shared" si="50"/>
        <v>0</v>
      </c>
      <c r="K86" s="408"/>
      <c r="L86" s="408"/>
      <c r="M86" s="408">
        <f t="shared" si="49"/>
        <v>0</v>
      </c>
      <c r="N86" s="408">
        <f t="shared" si="49"/>
        <v>0</v>
      </c>
      <c r="O86" s="408">
        <f t="shared" si="49"/>
        <v>0</v>
      </c>
      <c r="P86" s="408">
        <f t="shared" si="49"/>
        <v>0</v>
      </c>
      <c r="Q86" s="408">
        <f t="shared" si="49"/>
        <v>0</v>
      </c>
      <c r="R86" s="408">
        <f t="shared" si="49"/>
        <v>0</v>
      </c>
      <c r="S86" s="408">
        <f t="shared" si="49"/>
        <v>0</v>
      </c>
      <c r="T86" s="408">
        <f t="shared" si="49"/>
        <v>0</v>
      </c>
      <c r="U86" s="408">
        <f t="shared" si="49"/>
        <v>0</v>
      </c>
      <c r="V86" s="408">
        <f t="shared" si="49"/>
        <v>0</v>
      </c>
      <c r="W86" s="408">
        <f t="shared" si="49"/>
        <v>0</v>
      </c>
      <c r="X86" s="408">
        <f t="shared" si="49"/>
        <v>0</v>
      </c>
      <c r="Y86" s="408">
        <f t="shared" si="49"/>
        <v>0</v>
      </c>
      <c r="Z86" s="408">
        <f t="shared" si="49"/>
        <v>0</v>
      </c>
      <c r="AA86" s="408">
        <f t="shared" si="49"/>
        <v>0</v>
      </c>
      <c r="AB86" s="408">
        <f t="shared" si="49"/>
        <v>0</v>
      </c>
      <c r="AD86" s="359"/>
      <c r="AE86" s="371">
        <f t="shared" ref="AE86:AO93" si="51">IFERROR(IF(AE$8&gt;=$D86,$E86*(INDEX($E$12:$E$23,(MATCH(MATCH(AE$8,$D$46:$D$93,0)-MATCH($D86,$D$46:$D$93,0),$D$12:$D$23,0)))),0),0)</f>
        <v>0</v>
      </c>
      <c r="AF86" s="371">
        <f t="shared" si="51"/>
        <v>0</v>
      </c>
      <c r="AG86" s="371">
        <f t="shared" si="51"/>
        <v>0</v>
      </c>
      <c r="AH86" s="371">
        <f t="shared" si="51"/>
        <v>0</v>
      </c>
      <c r="AI86" s="371">
        <f t="shared" si="51"/>
        <v>0</v>
      </c>
      <c r="AJ86" s="371">
        <f t="shared" si="51"/>
        <v>0</v>
      </c>
      <c r="AK86" s="371">
        <f t="shared" si="51"/>
        <v>0</v>
      </c>
      <c r="AL86" s="371">
        <f t="shared" si="51"/>
        <v>0</v>
      </c>
      <c r="AM86" s="371">
        <f t="shared" si="51"/>
        <v>0</v>
      </c>
      <c r="AN86" s="371">
        <f t="shared" si="51"/>
        <v>0</v>
      </c>
      <c r="AO86" s="371">
        <f t="shared" si="51"/>
        <v>0</v>
      </c>
      <c r="AP86" s="371">
        <f t="shared" si="24"/>
        <v>0</v>
      </c>
      <c r="AQ86" s="371">
        <f t="shared" ref="AQ86:AZ93" si="52">IFERROR(IF(AQ$8&gt;=$D86,$E86*(INDEX($E$12:$E$23,(MATCH(MATCH(AQ$8,$D$46:$D$93,0)-MATCH($D86,$D$46:$D$93,0),$D$12:$D$23,0)))),0),0)</f>
        <v>0</v>
      </c>
      <c r="AR86" s="371">
        <f t="shared" si="52"/>
        <v>0</v>
      </c>
      <c r="AS86" s="371">
        <f t="shared" si="52"/>
        <v>0</v>
      </c>
      <c r="AT86" s="371">
        <f t="shared" si="52"/>
        <v>0</v>
      </c>
      <c r="AU86" s="371">
        <f t="shared" si="52"/>
        <v>0</v>
      </c>
      <c r="AV86" s="371">
        <f t="shared" si="52"/>
        <v>0</v>
      </c>
      <c r="AW86" s="371">
        <f t="shared" si="52"/>
        <v>0</v>
      </c>
      <c r="AX86" s="371">
        <f t="shared" si="52"/>
        <v>0</v>
      </c>
      <c r="AY86" s="371">
        <f t="shared" si="52"/>
        <v>0</v>
      </c>
      <c r="AZ86" s="371">
        <f t="shared" si="52"/>
        <v>0</v>
      </c>
      <c r="BA86" s="371">
        <f t="shared" ref="BA86:BJ93" si="53">IFERROR(IF(BA$8&gt;=$D86,$E86*(INDEX($E$12:$E$23,(MATCH(MATCH(BA$8,$D$46:$D$93,0)-MATCH($D86,$D$46:$D$93,0),$D$12:$D$23,0)))),0),0)</f>
        <v>0</v>
      </c>
      <c r="BB86" s="371">
        <f t="shared" si="53"/>
        <v>0</v>
      </c>
      <c r="BC86" s="371">
        <f t="shared" si="53"/>
        <v>0</v>
      </c>
      <c r="BD86" s="371">
        <f t="shared" si="53"/>
        <v>0</v>
      </c>
      <c r="BE86" s="371">
        <f t="shared" si="53"/>
        <v>0</v>
      </c>
      <c r="BF86" s="371">
        <f t="shared" si="53"/>
        <v>0</v>
      </c>
      <c r="BG86" s="371">
        <f t="shared" si="53"/>
        <v>0</v>
      </c>
      <c r="BH86" s="371">
        <f t="shared" si="53"/>
        <v>0</v>
      </c>
      <c r="BI86" s="371">
        <f t="shared" si="53"/>
        <v>0</v>
      </c>
      <c r="BJ86" s="371">
        <f t="shared" si="53"/>
        <v>0</v>
      </c>
      <c r="BK86" s="371">
        <f t="shared" ref="BK86:BT93" si="54">IFERROR(IF(BK$8&gt;=$D86,$E86*(INDEX($E$12:$E$23,(MATCH(MATCH(BK$8,$D$46:$D$93,0)-MATCH($D86,$D$46:$D$93,0),$D$12:$D$23,0)))),0),0)</f>
        <v>0</v>
      </c>
      <c r="BL86" s="371">
        <f t="shared" si="54"/>
        <v>0</v>
      </c>
      <c r="BM86" s="371">
        <f t="shared" si="54"/>
        <v>0</v>
      </c>
      <c r="BN86" s="371">
        <f t="shared" si="54"/>
        <v>0</v>
      </c>
      <c r="BO86" s="371">
        <f t="shared" si="54"/>
        <v>0</v>
      </c>
      <c r="BP86" s="371">
        <f t="shared" si="54"/>
        <v>0</v>
      </c>
      <c r="BQ86" s="371">
        <f t="shared" si="54"/>
        <v>0</v>
      </c>
      <c r="BR86" s="371">
        <f t="shared" si="54"/>
        <v>0</v>
      </c>
      <c r="BS86" s="371">
        <f t="shared" si="54"/>
        <v>0</v>
      </c>
      <c r="BT86" s="371">
        <f t="shared" si="54"/>
        <v>0</v>
      </c>
      <c r="BU86" s="371">
        <f t="shared" ref="BU86:BZ93" si="55">IFERROR(IF(BU$8&gt;=$D86,$E86*(INDEX($E$12:$E$23,(MATCH(MATCH(BU$8,$D$46:$D$93,0)-MATCH($D86,$D$46:$D$93,0),$D$12:$D$23,0)))),0),0)</f>
        <v>0</v>
      </c>
      <c r="BV86" s="371">
        <f t="shared" si="55"/>
        <v>0</v>
      </c>
      <c r="BW86" s="371">
        <f t="shared" si="55"/>
        <v>0</v>
      </c>
      <c r="BX86" s="371">
        <f t="shared" si="55"/>
        <v>0</v>
      </c>
      <c r="BY86" s="371">
        <f t="shared" si="55"/>
        <v>0</v>
      </c>
      <c r="BZ86" s="371">
        <f t="shared" si="55"/>
        <v>0</v>
      </c>
    </row>
    <row r="87" spans="2:78" ht="21" hidden="1" customHeight="1" outlineLevel="3">
      <c r="B87" s="367"/>
      <c r="C87" s="370"/>
      <c r="D87" s="374">
        <f t="shared" si="29"/>
        <v>46203</v>
      </c>
      <c r="E87" s="373" cm="1">
        <f t="array" ref="E87">IF($D87=LatestMonthOfActuals,INDEX($AE$39:$BZ$39,0,MATCH($D87,$AE$8:$BZ$8,0)),0)</f>
        <v>0</v>
      </c>
      <c r="F87" s="359"/>
      <c r="G87" s="408">
        <f t="shared" si="50"/>
        <v>0</v>
      </c>
      <c r="H87" s="408">
        <f t="shared" si="50"/>
        <v>0</v>
      </c>
      <c r="I87" s="408">
        <f t="shared" si="50"/>
        <v>0</v>
      </c>
      <c r="J87" s="408">
        <f t="shared" si="50"/>
        <v>0</v>
      </c>
      <c r="K87" s="408"/>
      <c r="L87" s="408"/>
      <c r="M87" s="408">
        <f t="shared" si="49"/>
        <v>0</v>
      </c>
      <c r="N87" s="408">
        <f t="shared" si="49"/>
        <v>0</v>
      </c>
      <c r="O87" s="408">
        <f t="shared" si="49"/>
        <v>0</v>
      </c>
      <c r="P87" s="408">
        <f t="shared" si="49"/>
        <v>0</v>
      </c>
      <c r="Q87" s="408">
        <f t="shared" si="49"/>
        <v>0</v>
      </c>
      <c r="R87" s="408">
        <f t="shared" si="49"/>
        <v>0</v>
      </c>
      <c r="S87" s="408">
        <f t="shared" si="49"/>
        <v>0</v>
      </c>
      <c r="T87" s="408">
        <f t="shared" si="49"/>
        <v>0</v>
      </c>
      <c r="U87" s="408">
        <f t="shared" si="49"/>
        <v>0</v>
      </c>
      <c r="V87" s="408">
        <f t="shared" si="49"/>
        <v>0</v>
      </c>
      <c r="W87" s="408">
        <f t="shared" si="49"/>
        <v>0</v>
      </c>
      <c r="X87" s="408">
        <f t="shared" si="49"/>
        <v>0</v>
      </c>
      <c r="Y87" s="408">
        <f t="shared" si="49"/>
        <v>0</v>
      </c>
      <c r="Z87" s="408">
        <f t="shared" si="49"/>
        <v>0</v>
      </c>
      <c r="AA87" s="408">
        <f t="shared" si="49"/>
        <v>0</v>
      </c>
      <c r="AB87" s="408">
        <f t="shared" si="49"/>
        <v>0</v>
      </c>
      <c r="AD87" s="359"/>
      <c r="AE87" s="371">
        <f t="shared" si="51"/>
        <v>0</v>
      </c>
      <c r="AF87" s="371">
        <f t="shared" si="51"/>
        <v>0</v>
      </c>
      <c r="AG87" s="371">
        <f t="shared" si="51"/>
        <v>0</v>
      </c>
      <c r="AH87" s="371">
        <f t="shared" si="51"/>
        <v>0</v>
      </c>
      <c r="AI87" s="371">
        <f t="shared" si="51"/>
        <v>0</v>
      </c>
      <c r="AJ87" s="371">
        <f t="shared" si="51"/>
        <v>0</v>
      </c>
      <c r="AK87" s="371">
        <f t="shared" si="51"/>
        <v>0</v>
      </c>
      <c r="AL87" s="371">
        <f t="shared" si="51"/>
        <v>0</v>
      </c>
      <c r="AM87" s="371">
        <f t="shared" si="51"/>
        <v>0</v>
      </c>
      <c r="AN87" s="371">
        <f t="shared" si="51"/>
        <v>0</v>
      </c>
      <c r="AO87" s="371">
        <f t="shared" si="51"/>
        <v>0</v>
      </c>
      <c r="AP87" s="371">
        <f t="shared" si="24"/>
        <v>0</v>
      </c>
      <c r="AQ87" s="371">
        <f t="shared" si="52"/>
        <v>0</v>
      </c>
      <c r="AR87" s="371">
        <f t="shared" si="52"/>
        <v>0</v>
      </c>
      <c r="AS87" s="371">
        <f t="shared" si="52"/>
        <v>0</v>
      </c>
      <c r="AT87" s="371">
        <f t="shared" si="52"/>
        <v>0</v>
      </c>
      <c r="AU87" s="371">
        <f t="shared" si="52"/>
        <v>0</v>
      </c>
      <c r="AV87" s="371">
        <f t="shared" si="52"/>
        <v>0</v>
      </c>
      <c r="AW87" s="371">
        <f t="shared" si="52"/>
        <v>0</v>
      </c>
      <c r="AX87" s="371">
        <f t="shared" si="52"/>
        <v>0</v>
      </c>
      <c r="AY87" s="371">
        <f t="shared" si="52"/>
        <v>0</v>
      </c>
      <c r="AZ87" s="371">
        <f t="shared" si="52"/>
        <v>0</v>
      </c>
      <c r="BA87" s="371">
        <f t="shared" si="53"/>
        <v>0</v>
      </c>
      <c r="BB87" s="371">
        <f t="shared" si="53"/>
        <v>0</v>
      </c>
      <c r="BC87" s="371">
        <f t="shared" si="53"/>
        <v>0</v>
      </c>
      <c r="BD87" s="371">
        <f t="shared" si="53"/>
        <v>0</v>
      </c>
      <c r="BE87" s="371">
        <f t="shared" si="53"/>
        <v>0</v>
      </c>
      <c r="BF87" s="371">
        <f t="shared" si="53"/>
        <v>0</v>
      </c>
      <c r="BG87" s="371">
        <f t="shared" si="53"/>
        <v>0</v>
      </c>
      <c r="BH87" s="371">
        <f t="shared" si="53"/>
        <v>0</v>
      </c>
      <c r="BI87" s="371">
        <f t="shared" si="53"/>
        <v>0</v>
      </c>
      <c r="BJ87" s="371">
        <f t="shared" si="53"/>
        <v>0</v>
      </c>
      <c r="BK87" s="371">
        <f t="shared" si="54"/>
        <v>0</v>
      </c>
      <c r="BL87" s="371">
        <f t="shared" si="54"/>
        <v>0</v>
      </c>
      <c r="BM87" s="371">
        <f t="shared" si="54"/>
        <v>0</v>
      </c>
      <c r="BN87" s="371">
        <f t="shared" si="54"/>
        <v>0</v>
      </c>
      <c r="BO87" s="371">
        <f t="shared" si="54"/>
        <v>0</v>
      </c>
      <c r="BP87" s="371">
        <f t="shared" si="54"/>
        <v>0</v>
      </c>
      <c r="BQ87" s="371">
        <f t="shared" si="54"/>
        <v>0</v>
      </c>
      <c r="BR87" s="371">
        <f t="shared" si="54"/>
        <v>0</v>
      </c>
      <c r="BS87" s="371">
        <f t="shared" si="54"/>
        <v>0</v>
      </c>
      <c r="BT87" s="371">
        <f t="shared" si="54"/>
        <v>0</v>
      </c>
      <c r="BU87" s="371">
        <f t="shared" si="55"/>
        <v>0</v>
      </c>
      <c r="BV87" s="371">
        <f t="shared" si="55"/>
        <v>0</v>
      </c>
      <c r="BW87" s="371">
        <f t="shared" si="55"/>
        <v>0</v>
      </c>
      <c r="BX87" s="371">
        <f t="shared" si="55"/>
        <v>0</v>
      </c>
      <c r="BY87" s="371">
        <f t="shared" si="55"/>
        <v>0</v>
      </c>
      <c r="BZ87" s="371">
        <f t="shared" si="55"/>
        <v>0</v>
      </c>
    </row>
    <row r="88" spans="2:78" ht="21" hidden="1" customHeight="1" outlineLevel="3">
      <c r="B88" s="367"/>
      <c r="C88" s="370"/>
      <c r="D88" s="374">
        <f t="shared" si="29"/>
        <v>46234</v>
      </c>
      <c r="E88" s="373" cm="1">
        <f t="array" ref="E88">IF($D88=LatestMonthOfActuals,INDEX($AE$39:$BZ$39,0,MATCH($D88,$AE$8:$BZ$8,0)),0)</f>
        <v>0</v>
      </c>
      <c r="F88" s="359"/>
      <c r="G88" s="408">
        <f t="shared" si="50"/>
        <v>0</v>
      </c>
      <c r="H88" s="408">
        <f t="shared" si="50"/>
        <v>0</v>
      </c>
      <c r="I88" s="408">
        <f t="shared" si="50"/>
        <v>0</v>
      </c>
      <c r="J88" s="408">
        <f t="shared" si="50"/>
        <v>0</v>
      </c>
      <c r="K88" s="408"/>
      <c r="L88" s="408"/>
      <c r="M88" s="408">
        <f t="shared" si="49"/>
        <v>0</v>
      </c>
      <c r="N88" s="408">
        <f t="shared" si="49"/>
        <v>0</v>
      </c>
      <c r="O88" s="408">
        <f t="shared" si="49"/>
        <v>0</v>
      </c>
      <c r="P88" s="408">
        <f t="shared" si="49"/>
        <v>0</v>
      </c>
      <c r="Q88" s="408">
        <f t="shared" si="49"/>
        <v>0</v>
      </c>
      <c r="R88" s="408">
        <f t="shared" si="49"/>
        <v>0</v>
      </c>
      <c r="S88" s="408">
        <f t="shared" si="49"/>
        <v>0</v>
      </c>
      <c r="T88" s="408">
        <f t="shared" si="49"/>
        <v>0</v>
      </c>
      <c r="U88" s="408">
        <f t="shared" si="49"/>
        <v>0</v>
      </c>
      <c r="V88" s="408">
        <f t="shared" si="49"/>
        <v>0</v>
      </c>
      <c r="W88" s="408">
        <f t="shared" si="49"/>
        <v>0</v>
      </c>
      <c r="X88" s="408">
        <f t="shared" si="49"/>
        <v>0</v>
      </c>
      <c r="Y88" s="408">
        <f t="shared" si="49"/>
        <v>0</v>
      </c>
      <c r="Z88" s="408">
        <f t="shared" si="49"/>
        <v>0</v>
      </c>
      <c r="AA88" s="408">
        <f t="shared" si="49"/>
        <v>0</v>
      </c>
      <c r="AB88" s="408">
        <f t="shared" si="49"/>
        <v>0</v>
      </c>
      <c r="AD88" s="359"/>
      <c r="AE88" s="371">
        <f t="shared" si="51"/>
        <v>0</v>
      </c>
      <c r="AF88" s="371">
        <f t="shared" si="51"/>
        <v>0</v>
      </c>
      <c r="AG88" s="371">
        <f t="shared" si="51"/>
        <v>0</v>
      </c>
      <c r="AH88" s="371">
        <f t="shared" si="51"/>
        <v>0</v>
      </c>
      <c r="AI88" s="371">
        <f t="shared" si="51"/>
        <v>0</v>
      </c>
      <c r="AJ88" s="371">
        <f t="shared" si="51"/>
        <v>0</v>
      </c>
      <c r="AK88" s="371">
        <f t="shared" si="51"/>
        <v>0</v>
      </c>
      <c r="AL88" s="371">
        <f t="shared" si="51"/>
        <v>0</v>
      </c>
      <c r="AM88" s="371">
        <f t="shared" si="51"/>
        <v>0</v>
      </c>
      <c r="AN88" s="371">
        <f t="shared" si="51"/>
        <v>0</v>
      </c>
      <c r="AO88" s="371">
        <f t="shared" si="51"/>
        <v>0</v>
      </c>
      <c r="AP88" s="371">
        <f t="shared" si="24"/>
        <v>0</v>
      </c>
      <c r="AQ88" s="371">
        <f t="shared" si="52"/>
        <v>0</v>
      </c>
      <c r="AR88" s="371">
        <f t="shared" si="52"/>
        <v>0</v>
      </c>
      <c r="AS88" s="371">
        <f t="shared" si="52"/>
        <v>0</v>
      </c>
      <c r="AT88" s="371">
        <f t="shared" si="52"/>
        <v>0</v>
      </c>
      <c r="AU88" s="371">
        <f t="shared" si="52"/>
        <v>0</v>
      </c>
      <c r="AV88" s="371">
        <f t="shared" si="52"/>
        <v>0</v>
      </c>
      <c r="AW88" s="371">
        <f t="shared" si="52"/>
        <v>0</v>
      </c>
      <c r="AX88" s="371">
        <f t="shared" si="52"/>
        <v>0</v>
      </c>
      <c r="AY88" s="371">
        <f t="shared" si="52"/>
        <v>0</v>
      </c>
      <c r="AZ88" s="371">
        <f t="shared" si="52"/>
        <v>0</v>
      </c>
      <c r="BA88" s="371">
        <f t="shared" si="53"/>
        <v>0</v>
      </c>
      <c r="BB88" s="371">
        <f t="shared" si="53"/>
        <v>0</v>
      </c>
      <c r="BC88" s="371">
        <f t="shared" si="53"/>
        <v>0</v>
      </c>
      <c r="BD88" s="371">
        <f t="shared" si="53"/>
        <v>0</v>
      </c>
      <c r="BE88" s="371">
        <f t="shared" si="53"/>
        <v>0</v>
      </c>
      <c r="BF88" s="371">
        <f t="shared" si="53"/>
        <v>0</v>
      </c>
      <c r="BG88" s="371">
        <f t="shared" si="53"/>
        <v>0</v>
      </c>
      <c r="BH88" s="371">
        <f t="shared" si="53"/>
        <v>0</v>
      </c>
      <c r="BI88" s="371">
        <f t="shared" si="53"/>
        <v>0</v>
      </c>
      <c r="BJ88" s="371">
        <f t="shared" si="53"/>
        <v>0</v>
      </c>
      <c r="BK88" s="371">
        <f t="shared" si="54"/>
        <v>0</v>
      </c>
      <c r="BL88" s="371">
        <f t="shared" si="54"/>
        <v>0</v>
      </c>
      <c r="BM88" s="371">
        <f t="shared" si="54"/>
        <v>0</v>
      </c>
      <c r="BN88" s="371">
        <f t="shared" si="54"/>
        <v>0</v>
      </c>
      <c r="BO88" s="371">
        <f t="shared" si="54"/>
        <v>0</v>
      </c>
      <c r="BP88" s="371">
        <f t="shared" si="54"/>
        <v>0</v>
      </c>
      <c r="BQ88" s="371">
        <f t="shared" si="54"/>
        <v>0</v>
      </c>
      <c r="BR88" s="371">
        <f t="shared" si="54"/>
        <v>0</v>
      </c>
      <c r="BS88" s="371">
        <f t="shared" si="54"/>
        <v>0</v>
      </c>
      <c r="BT88" s="371">
        <f t="shared" si="54"/>
        <v>0</v>
      </c>
      <c r="BU88" s="371">
        <f t="shared" si="55"/>
        <v>0</v>
      </c>
      <c r="BV88" s="371">
        <f t="shared" si="55"/>
        <v>0</v>
      </c>
      <c r="BW88" s="371">
        <f t="shared" si="55"/>
        <v>0</v>
      </c>
      <c r="BX88" s="371">
        <f t="shared" si="55"/>
        <v>0</v>
      </c>
      <c r="BY88" s="371">
        <f t="shared" si="55"/>
        <v>0</v>
      </c>
      <c r="BZ88" s="371">
        <f t="shared" si="55"/>
        <v>0</v>
      </c>
    </row>
    <row r="89" spans="2:78" ht="21" hidden="1" customHeight="1" outlineLevel="3">
      <c r="B89" s="367"/>
      <c r="C89" s="370"/>
      <c r="D89" s="374">
        <f t="shared" si="29"/>
        <v>46265</v>
      </c>
      <c r="E89" s="373" cm="1">
        <f t="array" ref="E89">IF($D89=LatestMonthOfActuals,INDEX($AE$39:$BZ$39,0,MATCH($D89,$AE$8:$BZ$8,0)),0)</f>
        <v>0</v>
      </c>
      <c r="F89" s="359"/>
      <c r="G89" s="408">
        <f t="shared" si="50"/>
        <v>0</v>
      </c>
      <c r="H89" s="408">
        <f t="shared" si="50"/>
        <v>0</v>
      </c>
      <c r="I89" s="408">
        <f t="shared" si="50"/>
        <v>0</v>
      </c>
      <c r="J89" s="408">
        <f t="shared" si="50"/>
        <v>0</v>
      </c>
      <c r="K89" s="408"/>
      <c r="L89" s="408"/>
      <c r="M89" s="408">
        <f t="shared" si="49"/>
        <v>0</v>
      </c>
      <c r="N89" s="408">
        <f t="shared" si="49"/>
        <v>0</v>
      </c>
      <c r="O89" s="408">
        <f t="shared" si="49"/>
        <v>0</v>
      </c>
      <c r="P89" s="408">
        <f t="shared" si="49"/>
        <v>0</v>
      </c>
      <c r="Q89" s="408">
        <f t="shared" si="49"/>
        <v>0</v>
      </c>
      <c r="R89" s="408">
        <f t="shared" si="49"/>
        <v>0</v>
      </c>
      <c r="S89" s="408">
        <f t="shared" si="49"/>
        <v>0</v>
      </c>
      <c r="T89" s="408">
        <f t="shared" si="49"/>
        <v>0</v>
      </c>
      <c r="U89" s="408">
        <f t="shared" si="49"/>
        <v>0</v>
      </c>
      <c r="V89" s="408">
        <f t="shared" si="49"/>
        <v>0</v>
      </c>
      <c r="W89" s="408">
        <f t="shared" si="49"/>
        <v>0</v>
      </c>
      <c r="X89" s="408">
        <f t="shared" si="49"/>
        <v>0</v>
      </c>
      <c r="Y89" s="408">
        <f t="shared" si="49"/>
        <v>0</v>
      </c>
      <c r="Z89" s="408">
        <f t="shared" si="49"/>
        <v>0</v>
      </c>
      <c r="AA89" s="408">
        <f t="shared" si="49"/>
        <v>0</v>
      </c>
      <c r="AB89" s="408">
        <f t="shared" si="49"/>
        <v>0</v>
      </c>
      <c r="AD89" s="359"/>
      <c r="AE89" s="371">
        <f t="shared" si="51"/>
        <v>0</v>
      </c>
      <c r="AF89" s="371">
        <f t="shared" si="51"/>
        <v>0</v>
      </c>
      <c r="AG89" s="371">
        <f t="shared" si="51"/>
        <v>0</v>
      </c>
      <c r="AH89" s="371">
        <f t="shared" si="51"/>
        <v>0</v>
      </c>
      <c r="AI89" s="371">
        <f t="shared" si="51"/>
        <v>0</v>
      </c>
      <c r="AJ89" s="371">
        <f t="shared" si="51"/>
        <v>0</v>
      </c>
      <c r="AK89" s="371">
        <f t="shared" si="51"/>
        <v>0</v>
      </c>
      <c r="AL89" s="371">
        <f t="shared" si="51"/>
        <v>0</v>
      </c>
      <c r="AM89" s="371">
        <f t="shared" si="51"/>
        <v>0</v>
      </c>
      <c r="AN89" s="371">
        <f t="shared" si="51"/>
        <v>0</v>
      </c>
      <c r="AO89" s="371">
        <f t="shared" si="51"/>
        <v>0</v>
      </c>
      <c r="AP89" s="371">
        <f t="shared" si="24"/>
        <v>0</v>
      </c>
      <c r="AQ89" s="371">
        <f t="shared" si="52"/>
        <v>0</v>
      </c>
      <c r="AR89" s="371">
        <f t="shared" si="52"/>
        <v>0</v>
      </c>
      <c r="AS89" s="371">
        <f t="shared" si="52"/>
        <v>0</v>
      </c>
      <c r="AT89" s="371">
        <f t="shared" si="52"/>
        <v>0</v>
      </c>
      <c r="AU89" s="371">
        <f t="shared" si="52"/>
        <v>0</v>
      </c>
      <c r="AV89" s="371">
        <f t="shared" si="52"/>
        <v>0</v>
      </c>
      <c r="AW89" s="371">
        <f t="shared" si="52"/>
        <v>0</v>
      </c>
      <c r="AX89" s="371">
        <f t="shared" si="52"/>
        <v>0</v>
      </c>
      <c r="AY89" s="371">
        <f t="shared" si="52"/>
        <v>0</v>
      </c>
      <c r="AZ89" s="371">
        <f t="shared" si="52"/>
        <v>0</v>
      </c>
      <c r="BA89" s="371">
        <f t="shared" si="53"/>
        <v>0</v>
      </c>
      <c r="BB89" s="371">
        <f t="shared" si="53"/>
        <v>0</v>
      </c>
      <c r="BC89" s="371">
        <f t="shared" si="53"/>
        <v>0</v>
      </c>
      <c r="BD89" s="371">
        <f t="shared" si="53"/>
        <v>0</v>
      </c>
      <c r="BE89" s="371">
        <f t="shared" si="53"/>
        <v>0</v>
      </c>
      <c r="BF89" s="371">
        <f t="shared" si="53"/>
        <v>0</v>
      </c>
      <c r="BG89" s="371">
        <f t="shared" si="53"/>
        <v>0</v>
      </c>
      <c r="BH89" s="371">
        <f t="shared" si="53"/>
        <v>0</v>
      </c>
      <c r="BI89" s="371">
        <f t="shared" si="53"/>
        <v>0</v>
      </c>
      <c r="BJ89" s="371">
        <f t="shared" si="53"/>
        <v>0</v>
      </c>
      <c r="BK89" s="371">
        <f t="shared" si="54"/>
        <v>0</v>
      </c>
      <c r="BL89" s="371">
        <f t="shared" si="54"/>
        <v>0</v>
      </c>
      <c r="BM89" s="371">
        <f t="shared" si="54"/>
        <v>0</v>
      </c>
      <c r="BN89" s="371">
        <f t="shared" si="54"/>
        <v>0</v>
      </c>
      <c r="BO89" s="371">
        <f t="shared" si="54"/>
        <v>0</v>
      </c>
      <c r="BP89" s="371">
        <f t="shared" si="54"/>
        <v>0</v>
      </c>
      <c r="BQ89" s="371">
        <f t="shared" si="54"/>
        <v>0</v>
      </c>
      <c r="BR89" s="371">
        <f t="shared" si="54"/>
        <v>0</v>
      </c>
      <c r="BS89" s="371">
        <f t="shared" si="54"/>
        <v>0</v>
      </c>
      <c r="BT89" s="371">
        <f t="shared" si="54"/>
        <v>0</v>
      </c>
      <c r="BU89" s="371">
        <f t="shared" si="55"/>
        <v>0</v>
      </c>
      <c r="BV89" s="371">
        <f t="shared" si="55"/>
        <v>0</v>
      </c>
      <c r="BW89" s="371">
        <f t="shared" si="55"/>
        <v>0</v>
      </c>
      <c r="BX89" s="371">
        <f t="shared" si="55"/>
        <v>0</v>
      </c>
      <c r="BY89" s="371">
        <f t="shared" si="55"/>
        <v>0</v>
      </c>
      <c r="BZ89" s="371">
        <f t="shared" si="55"/>
        <v>0</v>
      </c>
    </row>
    <row r="90" spans="2:78" ht="21" hidden="1" customHeight="1" outlineLevel="3">
      <c r="B90" s="367"/>
      <c r="C90" s="370"/>
      <c r="D90" s="374">
        <f t="shared" si="29"/>
        <v>46295</v>
      </c>
      <c r="E90" s="373" cm="1">
        <f t="array" ref="E90">IF($D90=LatestMonthOfActuals,INDEX($AE$39:$BZ$39,0,MATCH($D90,$AE$8:$BZ$8,0)),0)</f>
        <v>0</v>
      </c>
      <c r="F90" s="359"/>
      <c r="G90" s="408">
        <f t="shared" si="50"/>
        <v>0</v>
      </c>
      <c r="H90" s="408">
        <f t="shared" si="50"/>
        <v>0</v>
      </c>
      <c r="I90" s="408">
        <f t="shared" si="50"/>
        <v>0</v>
      </c>
      <c r="J90" s="408">
        <f t="shared" si="50"/>
        <v>0</v>
      </c>
      <c r="K90" s="408"/>
      <c r="L90" s="408"/>
      <c r="M90" s="408">
        <f t="shared" si="49"/>
        <v>0</v>
      </c>
      <c r="N90" s="408">
        <f t="shared" si="49"/>
        <v>0</v>
      </c>
      <c r="O90" s="408">
        <f t="shared" si="49"/>
        <v>0</v>
      </c>
      <c r="P90" s="408">
        <f t="shared" si="49"/>
        <v>0</v>
      </c>
      <c r="Q90" s="408">
        <f t="shared" si="49"/>
        <v>0</v>
      </c>
      <c r="R90" s="408">
        <f t="shared" si="49"/>
        <v>0</v>
      </c>
      <c r="S90" s="408">
        <f t="shared" si="49"/>
        <v>0</v>
      </c>
      <c r="T90" s="408">
        <f t="shared" si="49"/>
        <v>0</v>
      </c>
      <c r="U90" s="408">
        <f t="shared" si="49"/>
        <v>0</v>
      </c>
      <c r="V90" s="408">
        <f t="shared" si="49"/>
        <v>0</v>
      </c>
      <c r="W90" s="408">
        <f t="shared" si="49"/>
        <v>0</v>
      </c>
      <c r="X90" s="408">
        <f t="shared" si="49"/>
        <v>0</v>
      </c>
      <c r="Y90" s="408">
        <f t="shared" si="49"/>
        <v>0</v>
      </c>
      <c r="Z90" s="408">
        <f t="shared" si="49"/>
        <v>0</v>
      </c>
      <c r="AA90" s="408">
        <f t="shared" si="49"/>
        <v>0</v>
      </c>
      <c r="AB90" s="408">
        <f t="shared" si="49"/>
        <v>0</v>
      </c>
      <c r="AD90" s="359"/>
      <c r="AE90" s="371">
        <f t="shared" si="51"/>
        <v>0</v>
      </c>
      <c r="AF90" s="371">
        <f t="shared" si="51"/>
        <v>0</v>
      </c>
      <c r="AG90" s="371">
        <f t="shared" si="51"/>
        <v>0</v>
      </c>
      <c r="AH90" s="371">
        <f t="shared" si="51"/>
        <v>0</v>
      </c>
      <c r="AI90" s="371">
        <f t="shared" si="51"/>
        <v>0</v>
      </c>
      <c r="AJ90" s="371">
        <f t="shared" si="51"/>
        <v>0</v>
      </c>
      <c r="AK90" s="371">
        <f t="shared" si="51"/>
        <v>0</v>
      </c>
      <c r="AL90" s="371">
        <f t="shared" si="51"/>
        <v>0</v>
      </c>
      <c r="AM90" s="371">
        <f t="shared" si="51"/>
        <v>0</v>
      </c>
      <c r="AN90" s="371">
        <f t="shared" si="51"/>
        <v>0</v>
      </c>
      <c r="AO90" s="371">
        <f t="shared" si="51"/>
        <v>0</v>
      </c>
      <c r="AP90" s="371">
        <f t="shared" si="24"/>
        <v>0</v>
      </c>
      <c r="AQ90" s="371">
        <f t="shared" si="52"/>
        <v>0</v>
      </c>
      <c r="AR90" s="371">
        <f t="shared" si="52"/>
        <v>0</v>
      </c>
      <c r="AS90" s="371">
        <f t="shared" si="52"/>
        <v>0</v>
      </c>
      <c r="AT90" s="371">
        <f t="shared" si="52"/>
        <v>0</v>
      </c>
      <c r="AU90" s="371">
        <f t="shared" si="52"/>
        <v>0</v>
      </c>
      <c r="AV90" s="371">
        <f t="shared" si="52"/>
        <v>0</v>
      </c>
      <c r="AW90" s="371">
        <f t="shared" si="52"/>
        <v>0</v>
      </c>
      <c r="AX90" s="371">
        <f t="shared" si="52"/>
        <v>0</v>
      </c>
      <c r="AY90" s="371">
        <f t="shared" si="52"/>
        <v>0</v>
      </c>
      <c r="AZ90" s="371">
        <f t="shared" si="52"/>
        <v>0</v>
      </c>
      <c r="BA90" s="371">
        <f t="shared" si="53"/>
        <v>0</v>
      </c>
      <c r="BB90" s="371">
        <f t="shared" si="53"/>
        <v>0</v>
      </c>
      <c r="BC90" s="371">
        <f t="shared" si="53"/>
        <v>0</v>
      </c>
      <c r="BD90" s="371">
        <f t="shared" si="53"/>
        <v>0</v>
      </c>
      <c r="BE90" s="371">
        <f t="shared" si="53"/>
        <v>0</v>
      </c>
      <c r="BF90" s="371">
        <f t="shared" si="53"/>
        <v>0</v>
      </c>
      <c r="BG90" s="371">
        <f t="shared" si="53"/>
        <v>0</v>
      </c>
      <c r="BH90" s="371">
        <f t="shared" si="53"/>
        <v>0</v>
      </c>
      <c r="BI90" s="371">
        <f t="shared" si="53"/>
        <v>0</v>
      </c>
      <c r="BJ90" s="371">
        <f t="shared" si="53"/>
        <v>0</v>
      </c>
      <c r="BK90" s="371">
        <f t="shared" si="54"/>
        <v>0</v>
      </c>
      <c r="BL90" s="371">
        <f t="shared" si="54"/>
        <v>0</v>
      </c>
      <c r="BM90" s="371">
        <f t="shared" si="54"/>
        <v>0</v>
      </c>
      <c r="BN90" s="371">
        <f t="shared" si="54"/>
        <v>0</v>
      </c>
      <c r="BO90" s="371">
        <f t="shared" si="54"/>
        <v>0</v>
      </c>
      <c r="BP90" s="371">
        <f t="shared" si="54"/>
        <v>0</v>
      </c>
      <c r="BQ90" s="371">
        <f t="shared" si="54"/>
        <v>0</v>
      </c>
      <c r="BR90" s="371">
        <f t="shared" si="54"/>
        <v>0</v>
      </c>
      <c r="BS90" s="371">
        <f t="shared" si="54"/>
        <v>0</v>
      </c>
      <c r="BT90" s="371">
        <f t="shared" si="54"/>
        <v>0</v>
      </c>
      <c r="BU90" s="371">
        <f t="shared" si="55"/>
        <v>0</v>
      </c>
      <c r="BV90" s="371">
        <f t="shared" si="55"/>
        <v>0</v>
      </c>
      <c r="BW90" s="371">
        <f t="shared" si="55"/>
        <v>0</v>
      </c>
      <c r="BX90" s="371">
        <f t="shared" si="55"/>
        <v>0</v>
      </c>
      <c r="BY90" s="371">
        <f t="shared" si="55"/>
        <v>0</v>
      </c>
      <c r="BZ90" s="371">
        <f t="shared" si="55"/>
        <v>0</v>
      </c>
    </row>
    <row r="91" spans="2:78" ht="21" hidden="1" customHeight="1" outlineLevel="3">
      <c r="B91" s="367"/>
      <c r="C91" s="370"/>
      <c r="D91" s="374">
        <f t="shared" si="29"/>
        <v>46326</v>
      </c>
      <c r="E91" s="373" cm="1">
        <f t="array" ref="E91">IF($D91=LatestMonthOfActuals,INDEX($AE$39:$BZ$39,0,MATCH($D91,$AE$8:$BZ$8,0)),0)</f>
        <v>0</v>
      </c>
      <c r="F91" s="359"/>
      <c r="G91" s="408">
        <f t="shared" si="50"/>
        <v>0</v>
      </c>
      <c r="H91" s="408">
        <f t="shared" si="50"/>
        <v>0</v>
      </c>
      <c r="I91" s="408">
        <f t="shared" si="50"/>
        <v>0</v>
      </c>
      <c r="J91" s="408">
        <f t="shared" si="50"/>
        <v>0</v>
      </c>
      <c r="K91" s="408"/>
      <c r="L91" s="408"/>
      <c r="M91" s="408">
        <f t="shared" si="49"/>
        <v>0</v>
      </c>
      <c r="N91" s="408">
        <f t="shared" si="49"/>
        <v>0</v>
      </c>
      <c r="O91" s="408">
        <f t="shared" si="49"/>
        <v>0</v>
      </c>
      <c r="P91" s="408">
        <f t="shared" si="49"/>
        <v>0</v>
      </c>
      <c r="Q91" s="408">
        <f t="shared" si="49"/>
        <v>0</v>
      </c>
      <c r="R91" s="408">
        <f t="shared" si="49"/>
        <v>0</v>
      </c>
      <c r="S91" s="408">
        <f t="shared" si="49"/>
        <v>0</v>
      </c>
      <c r="T91" s="408">
        <f t="shared" si="49"/>
        <v>0</v>
      </c>
      <c r="U91" s="408">
        <f t="shared" si="49"/>
        <v>0</v>
      </c>
      <c r="V91" s="408">
        <f t="shared" si="49"/>
        <v>0</v>
      </c>
      <c r="W91" s="408">
        <f t="shared" si="49"/>
        <v>0</v>
      </c>
      <c r="X91" s="408">
        <f t="shared" si="49"/>
        <v>0</v>
      </c>
      <c r="Y91" s="408">
        <f t="shared" si="49"/>
        <v>0</v>
      </c>
      <c r="Z91" s="408">
        <f t="shared" si="49"/>
        <v>0</v>
      </c>
      <c r="AA91" s="408">
        <f t="shared" si="49"/>
        <v>0</v>
      </c>
      <c r="AB91" s="408">
        <f t="shared" si="49"/>
        <v>0</v>
      </c>
      <c r="AD91" s="359"/>
      <c r="AE91" s="371">
        <f t="shared" si="51"/>
        <v>0</v>
      </c>
      <c r="AF91" s="371">
        <f t="shared" si="51"/>
        <v>0</v>
      </c>
      <c r="AG91" s="371">
        <f t="shared" si="51"/>
        <v>0</v>
      </c>
      <c r="AH91" s="371">
        <f t="shared" si="51"/>
        <v>0</v>
      </c>
      <c r="AI91" s="371">
        <f t="shared" si="51"/>
        <v>0</v>
      </c>
      <c r="AJ91" s="371">
        <f t="shared" si="51"/>
        <v>0</v>
      </c>
      <c r="AK91" s="371">
        <f t="shared" si="51"/>
        <v>0</v>
      </c>
      <c r="AL91" s="371">
        <f t="shared" si="51"/>
        <v>0</v>
      </c>
      <c r="AM91" s="371">
        <f t="shared" si="51"/>
        <v>0</v>
      </c>
      <c r="AN91" s="371">
        <f t="shared" si="51"/>
        <v>0</v>
      </c>
      <c r="AO91" s="371">
        <f t="shared" si="51"/>
        <v>0</v>
      </c>
      <c r="AP91" s="371">
        <f t="shared" si="24"/>
        <v>0</v>
      </c>
      <c r="AQ91" s="371">
        <f t="shared" si="52"/>
        <v>0</v>
      </c>
      <c r="AR91" s="371">
        <f t="shared" si="52"/>
        <v>0</v>
      </c>
      <c r="AS91" s="371">
        <f t="shared" si="52"/>
        <v>0</v>
      </c>
      <c r="AT91" s="371">
        <f t="shared" si="52"/>
        <v>0</v>
      </c>
      <c r="AU91" s="371">
        <f t="shared" si="52"/>
        <v>0</v>
      </c>
      <c r="AV91" s="371">
        <f t="shared" si="52"/>
        <v>0</v>
      </c>
      <c r="AW91" s="371">
        <f t="shared" si="52"/>
        <v>0</v>
      </c>
      <c r="AX91" s="371">
        <f t="shared" si="52"/>
        <v>0</v>
      </c>
      <c r="AY91" s="371">
        <f t="shared" si="52"/>
        <v>0</v>
      </c>
      <c r="AZ91" s="371">
        <f t="shared" si="52"/>
        <v>0</v>
      </c>
      <c r="BA91" s="371">
        <f t="shared" si="53"/>
        <v>0</v>
      </c>
      <c r="BB91" s="371">
        <f t="shared" si="53"/>
        <v>0</v>
      </c>
      <c r="BC91" s="371">
        <f t="shared" si="53"/>
        <v>0</v>
      </c>
      <c r="BD91" s="371">
        <f t="shared" si="53"/>
        <v>0</v>
      </c>
      <c r="BE91" s="371">
        <f t="shared" si="53"/>
        <v>0</v>
      </c>
      <c r="BF91" s="371">
        <f t="shared" si="53"/>
        <v>0</v>
      </c>
      <c r="BG91" s="371">
        <f t="shared" si="53"/>
        <v>0</v>
      </c>
      <c r="BH91" s="371">
        <f t="shared" si="53"/>
        <v>0</v>
      </c>
      <c r="BI91" s="371">
        <f t="shared" si="53"/>
        <v>0</v>
      </c>
      <c r="BJ91" s="371">
        <f t="shared" si="53"/>
        <v>0</v>
      </c>
      <c r="BK91" s="371">
        <f t="shared" si="54"/>
        <v>0</v>
      </c>
      <c r="BL91" s="371">
        <f t="shared" si="54"/>
        <v>0</v>
      </c>
      <c r="BM91" s="371">
        <f t="shared" si="54"/>
        <v>0</v>
      </c>
      <c r="BN91" s="371">
        <f t="shared" si="54"/>
        <v>0</v>
      </c>
      <c r="BO91" s="371">
        <f t="shared" si="54"/>
        <v>0</v>
      </c>
      <c r="BP91" s="371">
        <f t="shared" si="54"/>
        <v>0</v>
      </c>
      <c r="BQ91" s="371">
        <f t="shared" si="54"/>
        <v>0</v>
      </c>
      <c r="BR91" s="371">
        <f t="shared" si="54"/>
        <v>0</v>
      </c>
      <c r="BS91" s="371">
        <f t="shared" si="54"/>
        <v>0</v>
      </c>
      <c r="BT91" s="371">
        <f t="shared" si="54"/>
        <v>0</v>
      </c>
      <c r="BU91" s="371">
        <f t="shared" si="55"/>
        <v>0</v>
      </c>
      <c r="BV91" s="371">
        <f t="shared" si="55"/>
        <v>0</v>
      </c>
      <c r="BW91" s="371">
        <f t="shared" si="55"/>
        <v>0</v>
      </c>
      <c r="BX91" s="371">
        <f t="shared" si="55"/>
        <v>0</v>
      </c>
      <c r="BY91" s="371">
        <f t="shared" si="55"/>
        <v>0</v>
      </c>
      <c r="BZ91" s="371">
        <f t="shared" si="55"/>
        <v>0</v>
      </c>
    </row>
    <row r="92" spans="2:78" ht="21" hidden="1" customHeight="1" outlineLevel="3">
      <c r="B92" s="367"/>
      <c r="C92" s="370"/>
      <c r="D92" s="374">
        <f t="shared" si="29"/>
        <v>46356</v>
      </c>
      <c r="E92" s="373" cm="1">
        <f t="array" ref="E92">IF($D92=LatestMonthOfActuals,INDEX($AE$39:$BZ$39,0,MATCH($D92,$AE$8:$BZ$8,0)),0)</f>
        <v>0</v>
      </c>
      <c r="F92" s="359"/>
      <c r="G92" s="408">
        <f t="shared" si="50"/>
        <v>0</v>
      </c>
      <c r="H92" s="408">
        <f t="shared" si="50"/>
        <v>0</v>
      </c>
      <c r="I92" s="408">
        <f t="shared" si="50"/>
        <v>0</v>
      </c>
      <c r="J92" s="408">
        <f t="shared" si="50"/>
        <v>0</v>
      </c>
      <c r="K92" s="408"/>
      <c r="L92" s="408"/>
      <c r="M92" s="408">
        <f t="shared" si="49"/>
        <v>0</v>
      </c>
      <c r="N92" s="408">
        <f t="shared" si="49"/>
        <v>0</v>
      </c>
      <c r="O92" s="408">
        <f t="shared" si="49"/>
        <v>0</v>
      </c>
      <c r="P92" s="408">
        <f t="shared" si="49"/>
        <v>0</v>
      </c>
      <c r="Q92" s="408">
        <f t="shared" si="49"/>
        <v>0</v>
      </c>
      <c r="R92" s="408">
        <f t="shared" si="49"/>
        <v>0</v>
      </c>
      <c r="S92" s="408">
        <f t="shared" si="49"/>
        <v>0</v>
      </c>
      <c r="T92" s="408">
        <f t="shared" si="49"/>
        <v>0</v>
      </c>
      <c r="U92" s="408">
        <f t="shared" si="49"/>
        <v>0</v>
      </c>
      <c r="V92" s="408">
        <f t="shared" si="49"/>
        <v>0</v>
      </c>
      <c r="W92" s="408">
        <f t="shared" si="49"/>
        <v>0</v>
      </c>
      <c r="X92" s="408">
        <f t="shared" si="49"/>
        <v>0</v>
      </c>
      <c r="Y92" s="408">
        <f t="shared" si="49"/>
        <v>0</v>
      </c>
      <c r="Z92" s="408">
        <f t="shared" si="49"/>
        <v>0</v>
      </c>
      <c r="AA92" s="408">
        <f t="shared" si="49"/>
        <v>0</v>
      </c>
      <c r="AB92" s="408">
        <f t="shared" si="49"/>
        <v>0</v>
      </c>
      <c r="AD92" s="359"/>
      <c r="AE92" s="371">
        <f t="shared" si="51"/>
        <v>0</v>
      </c>
      <c r="AF92" s="371">
        <f t="shared" si="51"/>
        <v>0</v>
      </c>
      <c r="AG92" s="371">
        <f t="shared" si="51"/>
        <v>0</v>
      </c>
      <c r="AH92" s="371">
        <f t="shared" si="51"/>
        <v>0</v>
      </c>
      <c r="AI92" s="371">
        <f t="shared" si="51"/>
        <v>0</v>
      </c>
      <c r="AJ92" s="371">
        <f t="shared" si="51"/>
        <v>0</v>
      </c>
      <c r="AK92" s="371">
        <f t="shared" si="51"/>
        <v>0</v>
      </c>
      <c r="AL92" s="371">
        <f t="shared" si="51"/>
        <v>0</v>
      </c>
      <c r="AM92" s="371">
        <f t="shared" si="51"/>
        <v>0</v>
      </c>
      <c r="AN92" s="371">
        <f t="shared" si="51"/>
        <v>0</v>
      </c>
      <c r="AO92" s="371">
        <f t="shared" si="51"/>
        <v>0</v>
      </c>
      <c r="AP92" s="371">
        <f t="shared" si="24"/>
        <v>0</v>
      </c>
      <c r="AQ92" s="371">
        <f t="shared" si="52"/>
        <v>0</v>
      </c>
      <c r="AR92" s="371">
        <f t="shared" si="52"/>
        <v>0</v>
      </c>
      <c r="AS92" s="371">
        <f t="shared" si="52"/>
        <v>0</v>
      </c>
      <c r="AT92" s="371">
        <f t="shared" si="52"/>
        <v>0</v>
      </c>
      <c r="AU92" s="371">
        <f t="shared" si="52"/>
        <v>0</v>
      </c>
      <c r="AV92" s="371">
        <f t="shared" si="52"/>
        <v>0</v>
      </c>
      <c r="AW92" s="371">
        <f t="shared" si="52"/>
        <v>0</v>
      </c>
      <c r="AX92" s="371">
        <f t="shared" si="52"/>
        <v>0</v>
      </c>
      <c r="AY92" s="371">
        <f t="shared" si="52"/>
        <v>0</v>
      </c>
      <c r="AZ92" s="371">
        <f t="shared" si="52"/>
        <v>0</v>
      </c>
      <c r="BA92" s="371">
        <f t="shared" si="53"/>
        <v>0</v>
      </c>
      <c r="BB92" s="371">
        <f t="shared" si="53"/>
        <v>0</v>
      </c>
      <c r="BC92" s="371">
        <f t="shared" si="53"/>
        <v>0</v>
      </c>
      <c r="BD92" s="371">
        <f t="shared" si="53"/>
        <v>0</v>
      </c>
      <c r="BE92" s="371">
        <f t="shared" si="53"/>
        <v>0</v>
      </c>
      <c r="BF92" s="371">
        <f t="shared" si="53"/>
        <v>0</v>
      </c>
      <c r="BG92" s="371">
        <f t="shared" si="53"/>
        <v>0</v>
      </c>
      <c r="BH92" s="371">
        <f t="shared" si="53"/>
        <v>0</v>
      </c>
      <c r="BI92" s="371">
        <f t="shared" si="53"/>
        <v>0</v>
      </c>
      <c r="BJ92" s="371">
        <f t="shared" si="53"/>
        <v>0</v>
      </c>
      <c r="BK92" s="371">
        <f t="shared" si="54"/>
        <v>0</v>
      </c>
      <c r="BL92" s="371">
        <f t="shared" si="54"/>
        <v>0</v>
      </c>
      <c r="BM92" s="371">
        <f t="shared" si="54"/>
        <v>0</v>
      </c>
      <c r="BN92" s="371">
        <f t="shared" si="54"/>
        <v>0</v>
      </c>
      <c r="BO92" s="371">
        <f t="shared" si="54"/>
        <v>0</v>
      </c>
      <c r="BP92" s="371">
        <f t="shared" si="54"/>
        <v>0</v>
      </c>
      <c r="BQ92" s="371">
        <f t="shared" si="54"/>
        <v>0</v>
      </c>
      <c r="BR92" s="371">
        <f t="shared" si="54"/>
        <v>0</v>
      </c>
      <c r="BS92" s="371">
        <f t="shared" si="54"/>
        <v>0</v>
      </c>
      <c r="BT92" s="371">
        <f t="shared" si="54"/>
        <v>0</v>
      </c>
      <c r="BU92" s="371">
        <f t="shared" si="55"/>
        <v>0</v>
      </c>
      <c r="BV92" s="371">
        <f t="shared" si="55"/>
        <v>0</v>
      </c>
      <c r="BW92" s="371">
        <f t="shared" si="55"/>
        <v>0</v>
      </c>
      <c r="BX92" s="371">
        <f t="shared" si="55"/>
        <v>0</v>
      </c>
      <c r="BY92" s="371">
        <f t="shared" si="55"/>
        <v>0</v>
      </c>
      <c r="BZ92" s="371">
        <f t="shared" si="55"/>
        <v>0</v>
      </c>
    </row>
    <row r="93" spans="2:78" ht="21" hidden="1" customHeight="1" outlineLevel="3">
      <c r="B93" s="367"/>
      <c r="C93" s="370"/>
      <c r="D93" s="374">
        <f t="shared" si="29"/>
        <v>46387</v>
      </c>
      <c r="E93" s="373" cm="1">
        <f t="array" ref="E93">IF($D93=LatestMonthOfActuals,INDEX($AE$39:$BZ$39,0,MATCH($D93,$AE$8:$BZ$8,0)),0)</f>
        <v>0</v>
      </c>
      <c r="F93" s="359"/>
      <c r="G93" s="408">
        <f t="shared" si="50"/>
        <v>0</v>
      </c>
      <c r="H93" s="408">
        <f t="shared" si="50"/>
        <v>0</v>
      </c>
      <c r="I93" s="408">
        <f t="shared" si="50"/>
        <v>0</v>
      </c>
      <c r="J93" s="408">
        <f t="shared" si="50"/>
        <v>0</v>
      </c>
      <c r="K93" s="408"/>
      <c r="L93" s="408"/>
      <c r="M93" s="408">
        <f t="shared" si="49"/>
        <v>0</v>
      </c>
      <c r="N93" s="408">
        <f t="shared" si="49"/>
        <v>0</v>
      </c>
      <c r="O93" s="408">
        <f t="shared" si="49"/>
        <v>0</v>
      </c>
      <c r="P93" s="408">
        <f t="shared" si="49"/>
        <v>0</v>
      </c>
      <c r="Q93" s="408">
        <f t="shared" si="49"/>
        <v>0</v>
      </c>
      <c r="R93" s="408">
        <f t="shared" si="49"/>
        <v>0</v>
      </c>
      <c r="S93" s="408">
        <f t="shared" si="49"/>
        <v>0</v>
      </c>
      <c r="T93" s="408">
        <f t="shared" si="49"/>
        <v>0</v>
      </c>
      <c r="U93" s="408">
        <f t="shared" si="49"/>
        <v>0</v>
      </c>
      <c r="V93" s="408">
        <f t="shared" si="49"/>
        <v>0</v>
      </c>
      <c r="W93" s="408">
        <f t="shared" si="49"/>
        <v>0</v>
      </c>
      <c r="X93" s="408">
        <f t="shared" si="49"/>
        <v>0</v>
      </c>
      <c r="Y93" s="408">
        <f t="shared" si="49"/>
        <v>0</v>
      </c>
      <c r="Z93" s="408">
        <f t="shared" si="49"/>
        <v>0</v>
      </c>
      <c r="AA93" s="408">
        <f t="shared" si="49"/>
        <v>0</v>
      </c>
      <c r="AB93" s="408">
        <f t="shared" ref="AB93" si="56">SUMIFS($AE93:$BZ93,$AE$4:$BZ$4,"&gt;="&amp;AB$4,$AE93:$BZ93,"&lt;="&amp;AB$5)</f>
        <v>0</v>
      </c>
      <c r="AD93" s="359"/>
      <c r="AE93" s="371">
        <f t="shared" si="51"/>
        <v>0</v>
      </c>
      <c r="AF93" s="371">
        <f t="shared" si="51"/>
        <v>0</v>
      </c>
      <c r="AG93" s="371">
        <f t="shared" si="51"/>
        <v>0</v>
      </c>
      <c r="AH93" s="371">
        <f t="shared" si="51"/>
        <v>0</v>
      </c>
      <c r="AI93" s="371">
        <f t="shared" si="51"/>
        <v>0</v>
      </c>
      <c r="AJ93" s="371">
        <f t="shared" si="51"/>
        <v>0</v>
      </c>
      <c r="AK93" s="371">
        <f t="shared" si="51"/>
        <v>0</v>
      </c>
      <c r="AL93" s="371">
        <f t="shared" si="51"/>
        <v>0</v>
      </c>
      <c r="AM93" s="371">
        <f t="shared" si="51"/>
        <v>0</v>
      </c>
      <c r="AN93" s="371">
        <f t="shared" si="51"/>
        <v>0</v>
      </c>
      <c r="AO93" s="371">
        <f t="shared" si="51"/>
        <v>0</v>
      </c>
      <c r="AP93" s="371">
        <f t="shared" si="24"/>
        <v>0</v>
      </c>
      <c r="AQ93" s="371">
        <f t="shared" si="52"/>
        <v>0</v>
      </c>
      <c r="AR93" s="371">
        <f t="shared" si="52"/>
        <v>0</v>
      </c>
      <c r="AS93" s="371">
        <f t="shared" si="52"/>
        <v>0</v>
      </c>
      <c r="AT93" s="371">
        <f t="shared" si="52"/>
        <v>0</v>
      </c>
      <c r="AU93" s="371">
        <f t="shared" si="52"/>
        <v>0</v>
      </c>
      <c r="AV93" s="371">
        <f t="shared" si="52"/>
        <v>0</v>
      </c>
      <c r="AW93" s="371">
        <f t="shared" si="52"/>
        <v>0</v>
      </c>
      <c r="AX93" s="371">
        <f t="shared" si="52"/>
        <v>0</v>
      </c>
      <c r="AY93" s="371">
        <f t="shared" si="52"/>
        <v>0</v>
      </c>
      <c r="AZ93" s="371">
        <f t="shared" si="52"/>
        <v>0</v>
      </c>
      <c r="BA93" s="371">
        <f t="shared" si="53"/>
        <v>0</v>
      </c>
      <c r="BB93" s="371">
        <f t="shared" si="53"/>
        <v>0</v>
      </c>
      <c r="BC93" s="371">
        <f t="shared" si="53"/>
        <v>0</v>
      </c>
      <c r="BD93" s="371">
        <f t="shared" si="53"/>
        <v>0</v>
      </c>
      <c r="BE93" s="371">
        <f t="shared" si="53"/>
        <v>0</v>
      </c>
      <c r="BF93" s="371">
        <f t="shared" si="53"/>
        <v>0</v>
      </c>
      <c r="BG93" s="371">
        <f t="shared" si="53"/>
        <v>0</v>
      </c>
      <c r="BH93" s="371">
        <f t="shared" si="53"/>
        <v>0</v>
      </c>
      <c r="BI93" s="371">
        <f t="shared" si="53"/>
        <v>0</v>
      </c>
      <c r="BJ93" s="371">
        <f t="shared" si="53"/>
        <v>0</v>
      </c>
      <c r="BK93" s="371">
        <f t="shared" si="54"/>
        <v>0</v>
      </c>
      <c r="BL93" s="371">
        <f t="shared" si="54"/>
        <v>0</v>
      </c>
      <c r="BM93" s="371">
        <f t="shared" si="54"/>
        <v>0</v>
      </c>
      <c r="BN93" s="371">
        <f t="shared" si="54"/>
        <v>0</v>
      </c>
      <c r="BO93" s="371">
        <f t="shared" si="54"/>
        <v>0</v>
      </c>
      <c r="BP93" s="371">
        <f t="shared" si="54"/>
        <v>0</v>
      </c>
      <c r="BQ93" s="371">
        <f t="shared" si="54"/>
        <v>0</v>
      </c>
      <c r="BR93" s="371">
        <f t="shared" si="54"/>
        <v>0</v>
      </c>
      <c r="BS93" s="371">
        <f t="shared" si="54"/>
        <v>0</v>
      </c>
      <c r="BT93" s="371">
        <f t="shared" si="54"/>
        <v>0</v>
      </c>
      <c r="BU93" s="371">
        <f t="shared" si="55"/>
        <v>0</v>
      </c>
      <c r="BV93" s="371">
        <f t="shared" si="55"/>
        <v>0</v>
      </c>
      <c r="BW93" s="371">
        <f t="shared" si="55"/>
        <v>0</v>
      </c>
      <c r="BX93" s="371">
        <f t="shared" si="55"/>
        <v>0</v>
      </c>
      <c r="BY93" s="371">
        <f t="shared" si="55"/>
        <v>0</v>
      </c>
      <c r="BZ93" s="371">
        <f t="shared" si="55"/>
        <v>0</v>
      </c>
    </row>
    <row r="94" spans="2:78" ht="21" customHeight="1" outlineLevel="1">
      <c r="B94" s="367"/>
      <c r="C94" s="370"/>
      <c r="D94" s="374"/>
      <c r="E94" s="373"/>
      <c r="F94" s="359"/>
      <c r="G94" s="375"/>
      <c r="H94" s="375"/>
      <c r="I94" s="375"/>
      <c r="J94" s="375"/>
      <c r="L94" s="359"/>
      <c r="M94" s="375"/>
      <c r="N94" s="375"/>
      <c r="O94" s="375"/>
      <c r="P94" s="375"/>
      <c r="Q94" s="375"/>
      <c r="R94" s="375"/>
      <c r="S94" s="375"/>
      <c r="T94" s="375"/>
      <c r="U94" s="375"/>
      <c r="V94" s="375"/>
      <c r="W94" s="375"/>
      <c r="X94" s="375"/>
      <c r="Y94" s="375"/>
      <c r="Z94" s="375"/>
      <c r="AA94" s="375"/>
      <c r="AB94" s="375"/>
      <c r="AD94" s="359"/>
      <c r="AE94" s="375"/>
      <c r="AF94" s="375"/>
      <c r="AG94" s="375"/>
      <c r="AH94" s="375"/>
      <c r="AI94" s="375"/>
      <c r="AJ94" s="375"/>
      <c r="AK94" s="375"/>
      <c r="AL94" s="375"/>
      <c r="AM94" s="375"/>
      <c r="AN94" s="375"/>
      <c r="AO94" s="375"/>
      <c r="AP94" s="375"/>
      <c r="AQ94" s="375"/>
      <c r="AR94" s="375"/>
      <c r="AS94" s="375"/>
      <c r="AT94" s="375"/>
      <c r="AU94" s="375"/>
      <c r="AV94" s="375"/>
      <c r="AW94" s="375"/>
      <c r="AX94" s="375"/>
      <c r="AY94" s="375"/>
      <c r="AZ94" s="375"/>
      <c r="BA94" s="375"/>
      <c r="BB94" s="375"/>
      <c r="BC94" s="375"/>
      <c r="BD94" s="375"/>
      <c r="BE94" s="375"/>
      <c r="BF94" s="375"/>
      <c r="BG94" s="375"/>
      <c r="BH94" s="375"/>
      <c r="BI94" s="375"/>
      <c r="BJ94" s="375"/>
      <c r="BK94" s="375"/>
      <c r="BL94" s="375"/>
      <c r="BM94" s="375"/>
      <c r="BN94" s="375"/>
      <c r="BO94" s="375"/>
      <c r="BP94" s="375"/>
      <c r="BQ94" s="375"/>
      <c r="BR94" s="375"/>
      <c r="BS94" s="375"/>
      <c r="BT94" s="375"/>
      <c r="BU94" s="375"/>
      <c r="BV94" s="375"/>
      <c r="BW94" s="375"/>
      <c r="BX94" s="375"/>
      <c r="BY94" s="375"/>
      <c r="BZ94" s="375"/>
    </row>
    <row r="95" spans="2:78" ht="15" outlineLevel="1" collapsed="1">
      <c r="B95" s="367"/>
      <c r="C95" s="523" t="str">
        <f>D24</f>
        <v>Projected Deferred Revenue</v>
      </c>
      <c r="D95" s="366"/>
      <c r="E95" s="522"/>
      <c r="F95" s="359"/>
      <c r="G95" s="378">
        <f>SUM(G97:G145)</f>
        <v>0</v>
      </c>
      <c r="H95" s="378">
        <f>SUM(H97:H145)</f>
        <v>0</v>
      </c>
      <c r="I95" s="378">
        <f>SUM(I97:I145)</f>
        <v>40000</v>
      </c>
      <c r="J95" s="378">
        <f>SUM(J97:J145)</f>
        <v>1400000</v>
      </c>
      <c r="K95" s="55"/>
      <c r="L95" s="359"/>
      <c r="M95" s="378">
        <f t="shared" ref="M95:AB95" si="57">SUM(M97:M145)</f>
        <v>1440000</v>
      </c>
      <c r="N95" s="378">
        <f t="shared" si="57"/>
        <v>1440000</v>
      </c>
      <c r="O95" s="378">
        <f t="shared" si="57"/>
        <v>1440000</v>
      </c>
      <c r="P95" s="378">
        <f t="shared" si="57"/>
        <v>1440000</v>
      </c>
      <c r="Q95" s="378">
        <f t="shared" si="57"/>
        <v>1440000</v>
      </c>
      <c r="R95" s="378">
        <f t="shared" si="57"/>
        <v>1440000</v>
      </c>
      <c r="S95" s="378">
        <f t="shared" si="57"/>
        <v>1440000</v>
      </c>
      <c r="T95" s="378">
        <f t="shared" si="57"/>
        <v>1440000</v>
      </c>
      <c r="U95" s="378">
        <f t="shared" si="57"/>
        <v>1440000</v>
      </c>
      <c r="V95" s="378">
        <f t="shared" si="57"/>
        <v>1440000</v>
      </c>
      <c r="W95" s="378">
        <f t="shared" si="57"/>
        <v>1440000</v>
      </c>
      <c r="X95" s="378">
        <f t="shared" si="57"/>
        <v>1440000</v>
      </c>
      <c r="Y95" s="378">
        <f t="shared" si="57"/>
        <v>1400000</v>
      </c>
      <c r="Z95" s="378">
        <f t="shared" si="57"/>
        <v>1080000</v>
      </c>
      <c r="AA95" s="378">
        <f t="shared" si="57"/>
        <v>720000</v>
      </c>
      <c r="AB95" s="378">
        <f t="shared" si="57"/>
        <v>360000</v>
      </c>
      <c r="AD95" s="359"/>
      <c r="AE95" s="378">
        <f t="shared" ref="AE95:BZ95" si="58">SUM(AE97:AE145)</f>
        <v>0</v>
      </c>
      <c r="AF95" s="378">
        <f t="shared" si="58"/>
        <v>0</v>
      </c>
      <c r="AG95" s="378">
        <f t="shared" si="58"/>
        <v>0</v>
      </c>
      <c r="AH95" s="378">
        <f t="shared" si="58"/>
        <v>0</v>
      </c>
      <c r="AI95" s="378">
        <f t="shared" si="58"/>
        <v>0</v>
      </c>
      <c r="AJ95" s="378">
        <f t="shared" si="58"/>
        <v>0</v>
      </c>
      <c r="AK95" s="378">
        <f t="shared" si="58"/>
        <v>0</v>
      </c>
      <c r="AL95" s="378">
        <f t="shared" si="58"/>
        <v>0</v>
      </c>
      <c r="AM95" s="378">
        <f t="shared" si="58"/>
        <v>0</v>
      </c>
      <c r="AN95" s="378">
        <f t="shared" si="58"/>
        <v>0</v>
      </c>
      <c r="AO95" s="378">
        <f t="shared" si="58"/>
        <v>0</v>
      </c>
      <c r="AP95" s="378">
        <f>SUM(AR97:AR145)</f>
        <v>0</v>
      </c>
      <c r="AQ95" s="378">
        <f t="shared" si="58"/>
        <v>0</v>
      </c>
      <c r="AR95" s="378">
        <f t="shared" si="58"/>
        <v>0</v>
      </c>
      <c r="AS95" s="378">
        <f t="shared" si="58"/>
        <v>0</v>
      </c>
      <c r="AT95" s="378">
        <f t="shared" si="58"/>
        <v>0</v>
      </c>
      <c r="AU95" s="378">
        <f t="shared" si="58"/>
        <v>0</v>
      </c>
      <c r="AV95" s="378">
        <f t="shared" si="58"/>
        <v>0</v>
      </c>
      <c r="AW95" s="378">
        <f t="shared" si="58"/>
        <v>0</v>
      </c>
      <c r="AX95" s="378">
        <f t="shared" si="58"/>
        <v>0</v>
      </c>
      <c r="AY95" s="378">
        <f t="shared" si="58"/>
        <v>0</v>
      </c>
      <c r="AZ95" s="378">
        <f t="shared" si="58"/>
        <v>0</v>
      </c>
      <c r="BA95" s="378">
        <f t="shared" si="58"/>
        <v>0</v>
      </c>
      <c r="BB95" s="378">
        <f t="shared" si="58"/>
        <v>0</v>
      </c>
      <c r="BC95" s="378">
        <f t="shared" si="58"/>
        <v>0</v>
      </c>
      <c r="BD95" s="378">
        <f t="shared" si="58"/>
        <v>0</v>
      </c>
      <c r="BE95" s="378">
        <f t="shared" si="58"/>
        <v>0</v>
      </c>
      <c r="BF95" s="378">
        <f t="shared" si="58"/>
        <v>0</v>
      </c>
      <c r="BG95" s="378">
        <f t="shared" si="58"/>
        <v>0</v>
      </c>
      <c r="BH95" s="378">
        <f t="shared" si="58"/>
        <v>0</v>
      </c>
      <c r="BI95" s="378">
        <f t="shared" si="58"/>
        <v>0</v>
      </c>
      <c r="BJ95" s="378">
        <f t="shared" si="58"/>
        <v>0</v>
      </c>
      <c r="BK95" s="378">
        <f t="shared" si="58"/>
        <v>0</v>
      </c>
      <c r="BL95" s="378">
        <f t="shared" si="58"/>
        <v>0</v>
      </c>
      <c r="BM95" s="378">
        <f t="shared" si="58"/>
        <v>0</v>
      </c>
      <c r="BN95" s="378">
        <f t="shared" si="58"/>
        <v>40000</v>
      </c>
      <c r="BO95" s="378">
        <f t="shared" si="58"/>
        <v>80000</v>
      </c>
      <c r="BP95" s="378">
        <f t="shared" si="58"/>
        <v>120000</v>
      </c>
      <c r="BQ95" s="378">
        <f t="shared" si="58"/>
        <v>120000</v>
      </c>
      <c r="BR95" s="378">
        <f t="shared" si="58"/>
        <v>120000</v>
      </c>
      <c r="BS95" s="378">
        <f t="shared" si="58"/>
        <v>120000</v>
      </c>
      <c r="BT95" s="378">
        <f t="shared" si="58"/>
        <v>120000</v>
      </c>
      <c r="BU95" s="378">
        <f t="shared" si="58"/>
        <v>120000</v>
      </c>
      <c r="BV95" s="378">
        <f t="shared" si="58"/>
        <v>120000</v>
      </c>
      <c r="BW95" s="378">
        <f t="shared" si="58"/>
        <v>120000</v>
      </c>
      <c r="BX95" s="378">
        <f t="shared" si="58"/>
        <v>120000</v>
      </c>
      <c r="BY95" s="378">
        <f t="shared" si="58"/>
        <v>120000</v>
      </c>
      <c r="BZ95" s="378">
        <f t="shared" si="58"/>
        <v>120000</v>
      </c>
    </row>
    <row r="96" spans="2:78" ht="21" hidden="1" customHeight="1" outlineLevel="3">
      <c r="B96" s="367"/>
      <c r="C96" s="370"/>
      <c r="D96" s="525"/>
      <c r="E96" s="373"/>
      <c r="F96" s="359"/>
      <c r="G96" s="375"/>
      <c r="H96" s="375"/>
      <c r="I96" s="375"/>
      <c r="J96" s="375"/>
      <c r="L96" s="359"/>
      <c r="M96" s="375"/>
      <c r="N96" s="375"/>
      <c r="O96" s="375"/>
      <c r="P96" s="375"/>
      <c r="Q96" s="375"/>
      <c r="R96" s="375"/>
      <c r="S96" s="375"/>
      <c r="T96" s="375"/>
      <c r="U96" s="375"/>
      <c r="V96" s="375"/>
      <c r="W96" s="375"/>
      <c r="X96" s="375"/>
      <c r="Y96" s="375"/>
      <c r="Z96" s="375"/>
      <c r="AA96" s="375"/>
      <c r="AB96" s="375"/>
      <c r="AD96" s="359"/>
      <c r="AE96" s="375"/>
      <c r="AF96" s="375"/>
      <c r="AG96" s="375"/>
      <c r="AH96" s="375"/>
      <c r="AI96" s="375"/>
      <c r="AJ96" s="375"/>
      <c r="AK96" s="375"/>
      <c r="AL96" s="375"/>
      <c r="AM96" s="375"/>
      <c r="AN96" s="375"/>
      <c r="AO96" s="375"/>
      <c r="AP96" s="375"/>
      <c r="AQ96" s="375"/>
      <c r="AR96" s="375"/>
      <c r="AS96" s="375"/>
      <c r="AT96" s="375"/>
      <c r="AU96" s="375"/>
      <c r="AV96" s="375"/>
      <c r="AW96" s="375"/>
      <c r="AX96" s="375"/>
      <c r="AY96" s="375"/>
      <c r="AZ96" s="375"/>
      <c r="BA96" s="375"/>
      <c r="BB96" s="375"/>
      <c r="BC96" s="375"/>
      <c r="BD96" s="375"/>
      <c r="BE96" s="375"/>
      <c r="BF96" s="375"/>
      <c r="BG96" s="375"/>
      <c r="BH96" s="375"/>
      <c r="BI96" s="375"/>
      <c r="BJ96" s="375"/>
      <c r="BK96" s="375"/>
      <c r="BL96" s="375"/>
      <c r="BM96" s="375"/>
      <c r="BN96" s="375"/>
      <c r="BO96" s="375"/>
      <c r="BP96" s="375"/>
      <c r="BQ96" s="375"/>
      <c r="BR96" s="375"/>
      <c r="BS96" s="375"/>
      <c r="BT96" s="375"/>
      <c r="BU96" s="375"/>
      <c r="BV96" s="375"/>
      <c r="BW96" s="375"/>
      <c r="BX96" s="375"/>
      <c r="BY96" s="375"/>
      <c r="BZ96" s="375"/>
    </row>
    <row r="97" spans="2:78" ht="21" hidden="1" customHeight="1" outlineLevel="3">
      <c r="B97" s="367"/>
      <c r="C97" s="370"/>
      <c r="D97" s="374" cm="1">
        <f t="array" ref="D97">EOM_Start_Date</f>
        <v>44957</v>
      </c>
      <c r="E97" s="373" cm="1">
        <f t="array" ref="E97">IF($D97&lt;=LatestMonthOfActuals,0,INDEX($AE$41:$BZ$41,0,MATCH($D97,$AE$8:$BZ$8,0)))</f>
        <v>0</v>
      </c>
      <c r="F97" s="359"/>
      <c r="G97" s="408">
        <f t="shared" ref="G97:J116" si="59">SUMIFS($AE97:$BZ97,$AE$4:$BZ$4,"&gt;="&amp;G$4,$AE$5:$BZ$5,"&lt;="&amp;G$5)</f>
        <v>0</v>
      </c>
      <c r="H97" s="408">
        <f t="shared" si="59"/>
        <v>0</v>
      </c>
      <c r="I97" s="408">
        <f t="shared" si="59"/>
        <v>0</v>
      </c>
      <c r="J97" s="408">
        <f t="shared" si="59"/>
        <v>0</v>
      </c>
      <c r="K97" s="408"/>
      <c r="L97" s="408"/>
      <c r="M97" s="408">
        <f t="shared" ref="M97:AB112" si="60">SUMIFS($AE97:$BZ97,$AE$4:$BZ$4,"&gt;="&amp;M$4,$AE97:$BZ97,"&lt;="&amp;M$5)</f>
        <v>0</v>
      </c>
      <c r="N97" s="408">
        <f t="shared" si="60"/>
        <v>0</v>
      </c>
      <c r="O97" s="408">
        <f t="shared" si="60"/>
        <v>0</v>
      </c>
      <c r="P97" s="408">
        <f t="shared" si="60"/>
        <v>0</v>
      </c>
      <c r="Q97" s="408">
        <f t="shared" si="60"/>
        <v>0</v>
      </c>
      <c r="R97" s="408">
        <f t="shared" si="60"/>
        <v>0</v>
      </c>
      <c r="S97" s="408">
        <f t="shared" si="60"/>
        <v>0</v>
      </c>
      <c r="T97" s="408">
        <f t="shared" si="60"/>
        <v>0</v>
      </c>
      <c r="U97" s="408">
        <f t="shared" si="60"/>
        <v>0</v>
      </c>
      <c r="V97" s="408">
        <f t="shared" si="60"/>
        <v>0</v>
      </c>
      <c r="W97" s="408">
        <f t="shared" si="60"/>
        <v>0</v>
      </c>
      <c r="X97" s="408">
        <f t="shared" si="60"/>
        <v>0</v>
      </c>
      <c r="Y97" s="408">
        <f t="shared" si="60"/>
        <v>0</v>
      </c>
      <c r="Z97" s="408">
        <f t="shared" si="60"/>
        <v>0</v>
      </c>
      <c r="AA97" s="408">
        <f t="shared" si="60"/>
        <v>0</v>
      </c>
      <c r="AB97" s="408">
        <f t="shared" si="60"/>
        <v>0</v>
      </c>
      <c r="AC97" s="524"/>
      <c r="AD97" s="359"/>
      <c r="AE97" s="524">
        <f t="shared" ref="AE97:AO106" si="61">IFERROR(IF(AE$8&gt;=$D97,$E97*(INDEX($E$25:$E$36,(MATCH(MATCH(AE$8,$D$97:$D$144,0)-MATCH($D97,$D$97:$D$144,0),$D$25:$D$36,0)))),0),0)</f>
        <v>0</v>
      </c>
      <c r="AF97" s="524">
        <f t="shared" si="61"/>
        <v>0</v>
      </c>
      <c r="AG97" s="524">
        <f t="shared" si="61"/>
        <v>0</v>
      </c>
      <c r="AH97" s="524">
        <f t="shared" si="61"/>
        <v>0</v>
      </c>
      <c r="AI97" s="524">
        <f t="shared" si="61"/>
        <v>0</v>
      </c>
      <c r="AJ97" s="524">
        <f t="shared" si="61"/>
        <v>0</v>
      </c>
      <c r="AK97" s="524">
        <f t="shared" si="61"/>
        <v>0</v>
      </c>
      <c r="AL97" s="524">
        <f t="shared" si="61"/>
        <v>0</v>
      </c>
      <c r="AM97" s="524">
        <f t="shared" si="61"/>
        <v>0</v>
      </c>
      <c r="AN97" s="524">
        <f t="shared" si="61"/>
        <v>0</v>
      </c>
      <c r="AO97" s="524">
        <f t="shared" si="61"/>
        <v>0</v>
      </c>
      <c r="AP97" s="524">
        <f t="shared" ref="AP97:AP144" si="62">IFERROR(IF(AR$8&gt;=$D97,$E97*(INDEX($E$25:$E$36,(MATCH(MATCH(AR$8,$D$97:$D$144,0)-MATCH($D97,$D$97:$D$144,0),$D$25:$D$36,0)))),0),0)</f>
        <v>0</v>
      </c>
      <c r="AQ97" s="524">
        <f t="shared" ref="AQ97:AZ106" si="63">IFERROR(IF(AQ$8&gt;=$D97,$E97*(INDEX($E$25:$E$36,(MATCH(MATCH(AQ$8,$D$97:$D$144,0)-MATCH($D97,$D$97:$D$144,0),$D$25:$D$36,0)))),0),0)</f>
        <v>0</v>
      </c>
      <c r="AR97" s="524">
        <f t="shared" si="63"/>
        <v>0</v>
      </c>
      <c r="AS97" s="524">
        <f t="shared" si="63"/>
        <v>0</v>
      </c>
      <c r="AT97" s="524">
        <f t="shared" si="63"/>
        <v>0</v>
      </c>
      <c r="AU97" s="524">
        <f t="shared" si="63"/>
        <v>0</v>
      </c>
      <c r="AV97" s="524">
        <f t="shared" si="63"/>
        <v>0</v>
      </c>
      <c r="AW97" s="524">
        <f t="shared" si="63"/>
        <v>0</v>
      </c>
      <c r="AX97" s="524">
        <f t="shared" si="63"/>
        <v>0</v>
      </c>
      <c r="AY97" s="524">
        <f t="shared" si="63"/>
        <v>0</v>
      </c>
      <c r="AZ97" s="524">
        <f t="shared" si="63"/>
        <v>0</v>
      </c>
      <c r="BA97" s="524">
        <f t="shared" ref="BA97:BJ106" si="64">IFERROR(IF(BA$8&gt;=$D97,$E97*(INDEX($E$25:$E$36,(MATCH(MATCH(BA$8,$D$97:$D$144,0)-MATCH($D97,$D$97:$D$144,0),$D$25:$D$36,0)))),0),0)</f>
        <v>0</v>
      </c>
      <c r="BB97" s="524">
        <f t="shared" si="64"/>
        <v>0</v>
      </c>
      <c r="BC97" s="524">
        <f t="shared" si="64"/>
        <v>0</v>
      </c>
      <c r="BD97" s="524">
        <f t="shared" si="64"/>
        <v>0</v>
      </c>
      <c r="BE97" s="524">
        <f t="shared" si="64"/>
        <v>0</v>
      </c>
      <c r="BF97" s="524">
        <f t="shared" si="64"/>
        <v>0</v>
      </c>
      <c r="BG97" s="524">
        <f t="shared" si="64"/>
        <v>0</v>
      </c>
      <c r="BH97" s="524">
        <f t="shared" si="64"/>
        <v>0</v>
      </c>
      <c r="BI97" s="524">
        <f t="shared" si="64"/>
        <v>0</v>
      </c>
      <c r="BJ97" s="524">
        <f t="shared" si="64"/>
        <v>0</v>
      </c>
      <c r="BK97" s="524">
        <f t="shared" ref="BK97:BT106" si="65">IFERROR(IF(BK$8&gt;=$D97,$E97*(INDEX($E$25:$E$36,(MATCH(MATCH(BK$8,$D$97:$D$144,0)-MATCH($D97,$D$97:$D$144,0),$D$25:$D$36,0)))),0),0)</f>
        <v>0</v>
      </c>
      <c r="BL97" s="524">
        <f t="shared" si="65"/>
        <v>0</v>
      </c>
      <c r="BM97" s="524">
        <f t="shared" si="65"/>
        <v>0</v>
      </c>
      <c r="BN97" s="524">
        <f t="shared" si="65"/>
        <v>0</v>
      </c>
      <c r="BO97" s="524">
        <f t="shared" si="65"/>
        <v>0</v>
      </c>
      <c r="BP97" s="524">
        <f t="shared" si="65"/>
        <v>0</v>
      </c>
      <c r="BQ97" s="524">
        <f t="shared" si="65"/>
        <v>0</v>
      </c>
      <c r="BR97" s="524">
        <f t="shared" si="65"/>
        <v>0</v>
      </c>
      <c r="BS97" s="524">
        <f t="shared" si="65"/>
        <v>0</v>
      </c>
      <c r="BT97" s="524">
        <f t="shared" si="65"/>
        <v>0</v>
      </c>
      <c r="BU97" s="524">
        <f t="shared" ref="BU97:BZ106" si="66">IFERROR(IF(BU$8&gt;=$D97,$E97*(INDEX($E$25:$E$36,(MATCH(MATCH(BU$8,$D$97:$D$144,0)-MATCH($D97,$D$97:$D$144,0),$D$25:$D$36,0)))),0),0)</f>
        <v>0</v>
      </c>
      <c r="BV97" s="524">
        <f t="shared" si="66"/>
        <v>0</v>
      </c>
      <c r="BW97" s="524">
        <f t="shared" si="66"/>
        <v>0</v>
      </c>
      <c r="BX97" s="524">
        <f t="shared" si="66"/>
        <v>0</v>
      </c>
      <c r="BY97" s="524">
        <f t="shared" si="66"/>
        <v>0</v>
      </c>
      <c r="BZ97" s="524">
        <f t="shared" si="66"/>
        <v>0</v>
      </c>
    </row>
    <row r="98" spans="2:78" ht="21" hidden="1" customHeight="1" outlineLevel="3">
      <c r="B98" s="367"/>
      <c r="C98" s="370"/>
      <c r="D98" s="374">
        <f t="shared" ref="D98:D144" si="67">EOMONTH(D97,1)</f>
        <v>44985</v>
      </c>
      <c r="E98" s="373" cm="1">
        <f t="array" ref="E98">IF($D98&lt;=LatestMonthOfActuals,0,INDEX($AE$41:$BZ$41,0,MATCH($D98,$AE$8:$BZ$8,0)))</f>
        <v>0</v>
      </c>
      <c r="F98" s="359"/>
      <c r="G98" s="408">
        <f t="shared" si="59"/>
        <v>0</v>
      </c>
      <c r="H98" s="408">
        <f t="shared" si="59"/>
        <v>0</v>
      </c>
      <c r="I98" s="408">
        <f t="shared" si="59"/>
        <v>0</v>
      </c>
      <c r="J98" s="408">
        <f t="shared" si="59"/>
        <v>0</v>
      </c>
      <c r="K98" s="408"/>
      <c r="L98" s="408"/>
      <c r="M98" s="408">
        <f t="shared" si="60"/>
        <v>0</v>
      </c>
      <c r="N98" s="408">
        <f t="shared" si="60"/>
        <v>0</v>
      </c>
      <c r="O98" s="408">
        <f t="shared" si="60"/>
        <v>0</v>
      </c>
      <c r="P98" s="408">
        <f t="shared" si="60"/>
        <v>0</v>
      </c>
      <c r="Q98" s="408">
        <f t="shared" si="60"/>
        <v>0</v>
      </c>
      <c r="R98" s="408">
        <f t="shared" si="60"/>
        <v>0</v>
      </c>
      <c r="S98" s="408">
        <f t="shared" si="60"/>
        <v>0</v>
      </c>
      <c r="T98" s="408">
        <f t="shared" si="60"/>
        <v>0</v>
      </c>
      <c r="U98" s="408">
        <f t="shared" si="60"/>
        <v>0</v>
      </c>
      <c r="V98" s="408">
        <f t="shared" si="60"/>
        <v>0</v>
      </c>
      <c r="W98" s="408">
        <f t="shared" si="60"/>
        <v>0</v>
      </c>
      <c r="X98" s="408">
        <f t="shared" si="60"/>
        <v>0</v>
      </c>
      <c r="Y98" s="408">
        <f t="shared" si="60"/>
        <v>0</v>
      </c>
      <c r="Z98" s="408">
        <f t="shared" si="60"/>
        <v>0</v>
      </c>
      <c r="AA98" s="408">
        <f t="shared" si="60"/>
        <v>0</v>
      </c>
      <c r="AB98" s="408">
        <f t="shared" si="60"/>
        <v>0</v>
      </c>
      <c r="AC98" s="524"/>
      <c r="AD98" s="359"/>
      <c r="AE98" s="524">
        <f t="shared" si="61"/>
        <v>0</v>
      </c>
      <c r="AF98" s="524">
        <f t="shared" si="61"/>
        <v>0</v>
      </c>
      <c r="AG98" s="524">
        <f t="shared" si="61"/>
        <v>0</v>
      </c>
      <c r="AH98" s="524">
        <f t="shared" si="61"/>
        <v>0</v>
      </c>
      <c r="AI98" s="524">
        <f t="shared" si="61"/>
        <v>0</v>
      </c>
      <c r="AJ98" s="524">
        <f t="shared" si="61"/>
        <v>0</v>
      </c>
      <c r="AK98" s="524">
        <f t="shared" si="61"/>
        <v>0</v>
      </c>
      <c r="AL98" s="524">
        <f t="shared" si="61"/>
        <v>0</v>
      </c>
      <c r="AM98" s="524">
        <f t="shared" si="61"/>
        <v>0</v>
      </c>
      <c r="AN98" s="524">
        <f t="shared" si="61"/>
        <v>0</v>
      </c>
      <c r="AO98" s="524">
        <f t="shared" si="61"/>
        <v>0</v>
      </c>
      <c r="AP98" s="524">
        <f t="shared" si="62"/>
        <v>0</v>
      </c>
      <c r="AQ98" s="524">
        <f t="shared" si="63"/>
        <v>0</v>
      </c>
      <c r="AR98" s="524">
        <f t="shared" si="63"/>
        <v>0</v>
      </c>
      <c r="AS98" s="524">
        <f t="shared" si="63"/>
        <v>0</v>
      </c>
      <c r="AT98" s="524">
        <f t="shared" si="63"/>
        <v>0</v>
      </c>
      <c r="AU98" s="524">
        <f t="shared" si="63"/>
        <v>0</v>
      </c>
      <c r="AV98" s="524">
        <f t="shared" si="63"/>
        <v>0</v>
      </c>
      <c r="AW98" s="524">
        <f t="shared" si="63"/>
        <v>0</v>
      </c>
      <c r="AX98" s="524">
        <f t="shared" si="63"/>
        <v>0</v>
      </c>
      <c r="AY98" s="524">
        <f t="shared" si="63"/>
        <v>0</v>
      </c>
      <c r="AZ98" s="524">
        <f t="shared" si="63"/>
        <v>0</v>
      </c>
      <c r="BA98" s="524">
        <f t="shared" si="64"/>
        <v>0</v>
      </c>
      <c r="BB98" s="524">
        <f t="shared" si="64"/>
        <v>0</v>
      </c>
      <c r="BC98" s="524">
        <f t="shared" si="64"/>
        <v>0</v>
      </c>
      <c r="BD98" s="524">
        <f t="shared" si="64"/>
        <v>0</v>
      </c>
      <c r="BE98" s="524">
        <f t="shared" si="64"/>
        <v>0</v>
      </c>
      <c r="BF98" s="524">
        <f t="shared" si="64"/>
        <v>0</v>
      </c>
      <c r="BG98" s="524">
        <f t="shared" si="64"/>
        <v>0</v>
      </c>
      <c r="BH98" s="524">
        <f t="shared" si="64"/>
        <v>0</v>
      </c>
      <c r="BI98" s="524">
        <f t="shared" si="64"/>
        <v>0</v>
      </c>
      <c r="BJ98" s="524">
        <f t="shared" si="64"/>
        <v>0</v>
      </c>
      <c r="BK98" s="524">
        <f t="shared" si="65"/>
        <v>0</v>
      </c>
      <c r="BL98" s="524">
        <f t="shared" si="65"/>
        <v>0</v>
      </c>
      <c r="BM98" s="524">
        <f t="shared" si="65"/>
        <v>0</v>
      </c>
      <c r="BN98" s="524">
        <f t="shared" si="65"/>
        <v>0</v>
      </c>
      <c r="BO98" s="524">
        <f t="shared" si="65"/>
        <v>0</v>
      </c>
      <c r="BP98" s="524">
        <f t="shared" si="65"/>
        <v>0</v>
      </c>
      <c r="BQ98" s="524">
        <f t="shared" si="65"/>
        <v>0</v>
      </c>
      <c r="BR98" s="524">
        <f t="shared" si="65"/>
        <v>0</v>
      </c>
      <c r="BS98" s="524">
        <f t="shared" si="65"/>
        <v>0</v>
      </c>
      <c r="BT98" s="524">
        <f t="shared" si="65"/>
        <v>0</v>
      </c>
      <c r="BU98" s="524">
        <f t="shared" si="66"/>
        <v>0</v>
      </c>
      <c r="BV98" s="524">
        <f t="shared" si="66"/>
        <v>0</v>
      </c>
      <c r="BW98" s="524">
        <f t="shared" si="66"/>
        <v>0</v>
      </c>
      <c r="BX98" s="524">
        <f t="shared" si="66"/>
        <v>0</v>
      </c>
      <c r="BY98" s="524">
        <f t="shared" si="66"/>
        <v>0</v>
      </c>
      <c r="BZ98" s="524">
        <f t="shared" si="66"/>
        <v>0</v>
      </c>
    </row>
    <row r="99" spans="2:78" ht="21" hidden="1" customHeight="1" outlineLevel="3">
      <c r="B99" s="367"/>
      <c r="C99" s="370"/>
      <c r="D99" s="374">
        <f t="shared" si="67"/>
        <v>45016</v>
      </c>
      <c r="E99" s="373" cm="1">
        <f t="array" ref="E99">IF($D99&lt;=LatestMonthOfActuals,0,INDEX($AE$41:$BZ$41,0,MATCH($D99,$AE$8:$BZ$8,0)))</f>
        <v>0</v>
      </c>
      <c r="F99" s="359"/>
      <c r="G99" s="408">
        <f t="shared" si="59"/>
        <v>0</v>
      </c>
      <c r="H99" s="408">
        <f t="shared" si="59"/>
        <v>0</v>
      </c>
      <c r="I99" s="408">
        <f t="shared" si="59"/>
        <v>0</v>
      </c>
      <c r="J99" s="408">
        <f t="shared" si="59"/>
        <v>0</v>
      </c>
      <c r="K99" s="408"/>
      <c r="L99" s="408"/>
      <c r="M99" s="408">
        <f t="shared" si="60"/>
        <v>0</v>
      </c>
      <c r="N99" s="408">
        <f t="shared" si="60"/>
        <v>0</v>
      </c>
      <c r="O99" s="408">
        <f t="shared" si="60"/>
        <v>0</v>
      </c>
      <c r="P99" s="408">
        <f t="shared" si="60"/>
        <v>0</v>
      </c>
      <c r="Q99" s="408">
        <f t="shared" si="60"/>
        <v>0</v>
      </c>
      <c r="R99" s="408">
        <f t="shared" si="60"/>
        <v>0</v>
      </c>
      <c r="S99" s="408">
        <f t="shared" si="60"/>
        <v>0</v>
      </c>
      <c r="T99" s="408">
        <f t="shared" si="60"/>
        <v>0</v>
      </c>
      <c r="U99" s="408">
        <f t="shared" si="60"/>
        <v>0</v>
      </c>
      <c r="V99" s="408">
        <f t="shared" si="60"/>
        <v>0</v>
      </c>
      <c r="W99" s="408">
        <f t="shared" si="60"/>
        <v>0</v>
      </c>
      <c r="X99" s="408">
        <f t="shared" si="60"/>
        <v>0</v>
      </c>
      <c r="Y99" s="408">
        <f t="shared" si="60"/>
        <v>0</v>
      </c>
      <c r="Z99" s="408">
        <f t="shared" si="60"/>
        <v>0</v>
      </c>
      <c r="AA99" s="408">
        <f t="shared" si="60"/>
        <v>0</v>
      </c>
      <c r="AB99" s="408">
        <f t="shared" si="60"/>
        <v>0</v>
      </c>
      <c r="AC99" s="524"/>
      <c r="AD99" s="359"/>
      <c r="AE99" s="524">
        <f t="shared" si="61"/>
        <v>0</v>
      </c>
      <c r="AF99" s="524">
        <f t="shared" si="61"/>
        <v>0</v>
      </c>
      <c r="AG99" s="524">
        <f t="shared" si="61"/>
        <v>0</v>
      </c>
      <c r="AH99" s="524">
        <f t="shared" si="61"/>
        <v>0</v>
      </c>
      <c r="AI99" s="524">
        <f t="shared" si="61"/>
        <v>0</v>
      </c>
      <c r="AJ99" s="524">
        <f t="shared" si="61"/>
        <v>0</v>
      </c>
      <c r="AK99" s="524">
        <f t="shared" si="61"/>
        <v>0</v>
      </c>
      <c r="AL99" s="524">
        <f t="shared" si="61"/>
        <v>0</v>
      </c>
      <c r="AM99" s="524">
        <f t="shared" si="61"/>
        <v>0</v>
      </c>
      <c r="AN99" s="524">
        <f t="shared" si="61"/>
        <v>0</v>
      </c>
      <c r="AO99" s="524">
        <f t="shared" si="61"/>
        <v>0</v>
      </c>
      <c r="AP99" s="524">
        <f t="shared" si="62"/>
        <v>0</v>
      </c>
      <c r="AQ99" s="524">
        <f t="shared" si="63"/>
        <v>0</v>
      </c>
      <c r="AR99" s="524">
        <f t="shared" si="63"/>
        <v>0</v>
      </c>
      <c r="AS99" s="524">
        <f t="shared" si="63"/>
        <v>0</v>
      </c>
      <c r="AT99" s="524">
        <f t="shared" si="63"/>
        <v>0</v>
      </c>
      <c r="AU99" s="524">
        <f t="shared" si="63"/>
        <v>0</v>
      </c>
      <c r="AV99" s="524">
        <f t="shared" si="63"/>
        <v>0</v>
      </c>
      <c r="AW99" s="524">
        <f t="shared" si="63"/>
        <v>0</v>
      </c>
      <c r="AX99" s="524">
        <f t="shared" si="63"/>
        <v>0</v>
      </c>
      <c r="AY99" s="524">
        <f t="shared" si="63"/>
        <v>0</v>
      </c>
      <c r="AZ99" s="524">
        <f t="shared" si="63"/>
        <v>0</v>
      </c>
      <c r="BA99" s="524">
        <f t="shared" si="64"/>
        <v>0</v>
      </c>
      <c r="BB99" s="524">
        <f t="shared" si="64"/>
        <v>0</v>
      </c>
      <c r="BC99" s="524">
        <f t="shared" si="64"/>
        <v>0</v>
      </c>
      <c r="BD99" s="524">
        <f t="shared" si="64"/>
        <v>0</v>
      </c>
      <c r="BE99" s="524">
        <f t="shared" si="64"/>
        <v>0</v>
      </c>
      <c r="BF99" s="524">
        <f t="shared" si="64"/>
        <v>0</v>
      </c>
      <c r="BG99" s="524">
        <f t="shared" si="64"/>
        <v>0</v>
      </c>
      <c r="BH99" s="524">
        <f t="shared" si="64"/>
        <v>0</v>
      </c>
      <c r="BI99" s="524">
        <f t="shared" si="64"/>
        <v>0</v>
      </c>
      <c r="BJ99" s="524">
        <f t="shared" si="64"/>
        <v>0</v>
      </c>
      <c r="BK99" s="524">
        <f t="shared" si="65"/>
        <v>0</v>
      </c>
      <c r="BL99" s="524">
        <f t="shared" si="65"/>
        <v>0</v>
      </c>
      <c r="BM99" s="524">
        <f t="shared" si="65"/>
        <v>0</v>
      </c>
      <c r="BN99" s="524">
        <f t="shared" si="65"/>
        <v>0</v>
      </c>
      <c r="BO99" s="524">
        <f t="shared" si="65"/>
        <v>0</v>
      </c>
      <c r="BP99" s="524">
        <f t="shared" si="65"/>
        <v>0</v>
      </c>
      <c r="BQ99" s="524">
        <f t="shared" si="65"/>
        <v>0</v>
      </c>
      <c r="BR99" s="524">
        <f t="shared" si="65"/>
        <v>0</v>
      </c>
      <c r="BS99" s="524">
        <f t="shared" si="65"/>
        <v>0</v>
      </c>
      <c r="BT99" s="524">
        <f t="shared" si="65"/>
        <v>0</v>
      </c>
      <c r="BU99" s="524">
        <f t="shared" si="66"/>
        <v>0</v>
      </c>
      <c r="BV99" s="524">
        <f t="shared" si="66"/>
        <v>0</v>
      </c>
      <c r="BW99" s="524">
        <f t="shared" si="66"/>
        <v>0</v>
      </c>
      <c r="BX99" s="524">
        <f t="shared" si="66"/>
        <v>0</v>
      </c>
      <c r="BY99" s="524">
        <f t="shared" si="66"/>
        <v>0</v>
      </c>
      <c r="BZ99" s="524">
        <f t="shared" si="66"/>
        <v>0</v>
      </c>
    </row>
    <row r="100" spans="2:78" ht="21" hidden="1" customHeight="1" outlineLevel="3">
      <c r="B100" s="367"/>
      <c r="C100" s="370"/>
      <c r="D100" s="374">
        <f t="shared" si="67"/>
        <v>45046</v>
      </c>
      <c r="E100" s="373" cm="1">
        <f t="array" ref="E100">IF($D100&lt;=LatestMonthOfActuals,0,INDEX($AE$41:$BZ$41,0,MATCH($D100,$AE$8:$BZ$8,0)))</f>
        <v>0</v>
      </c>
      <c r="F100" s="359"/>
      <c r="G100" s="408">
        <f t="shared" si="59"/>
        <v>0</v>
      </c>
      <c r="H100" s="408">
        <f t="shared" si="59"/>
        <v>0</v>
      </c>
      <c r="I100" s="408">
        <f t="shared" si="59"/>
        <v>0</v>
      </c>
      <c r="J100" s="408">
        <f t="shared" si="59"/>
        <v>0</v>
      </c>
      <c r="K100" s="408"/>
      <c r="L100" s="408"/>
      <c r="M100" s="408">
        <f t="shared" si="60"/>
        <v>0</v>
      </c>
      <c r="N100" s="408">
        <f t="shared" si="60"/>
        <v>0</v>
      </c>
      <c r="O100" s="408">
        <f t="shared" si="60"/>
        <v>0</v>
      </c>
      <c r="P100" s="408">
        <f t="shared" si="60"/>
        <v>0</v>
      </c>
      <c r="Q100" s="408">
        <f t="shared" si="60"/>
        <v>0</v>
      </c>
      <c r="R100" s="408">
        <f t="shared" si="60"/>
        <v>0</v>
      </c>
      <c r="S100" s="408">
        <f t="shared" si="60"/>
        <v>0</v>
      </c>
      <c r="T100" s="408">
        <f t="shared" si="60"/>
        <v>0</v>
      </c>
      <c r="U100" s="408">
        <f t="shared" si="60"/>
        <v>0</v>
      </c>
      <c r="V100" s="408">
        <f t="shared" si="60"/>
        <v>0</v>
      </c>
      <c r="W100" s="408">
        <f t="shared" si="60"/>
        <v>0</v>
      </c>
      <c r="X100" s="408">
        <f t="shared" si="60"/>
        <v>0</v>
      </c>
      <c r="Y100" s="408">
        <f t="shared" si="60"/>
        <v>0</v>
      </c>
      <c r="Z100" s="408">
        <f t="shared" si="60"/>
        <v>0</v>
      </c>
      <c r="AA100" s="408">
        <f t="shared" si="60"/>
        <v>0</v>
      </c>
      <c r="AB100" s="408">
        <f t="shared" si="60"/>
        <v>0</v>
      </c>
      <c r="AC100" s="524"/>
      <c r="AD100" s="359"/>
      <c r="AE100" s="524">
        <f t="shared" si="61"/>
        <v>0</v>
      </c>
      <c r="AF100" s="524">
        <f t="shared" si="61"/>
        <v>0</v>
      </c>
      <c r="AG100" s="524">
        <f t="shared" si="61"/>
        <v>0</v>
      </c>
      <c r="AH100" s="524">
        <f t="shared" si="61"/>
        <v>0</v>
      </c>
      <c r="AI100" s="524">
        <f t="shared" si="61"/>
        <v>0</v>
      </c>
      <c r="AJ100" s="524">
        <f t="shared" si="61"/>
        <v>0</v>
      </c>
      <c r="AK100" s="524">
        <f t="shared" si="61"/>
        <v>0</v>
      </c>
      <c r="AL100" s="524">
        <f t="shared" si="61"/>
        <v>0</v>
      </c>
      <c r="AM100" s="524">
        <f t="shared" si="61"/>
        <v>0</v>
      </c>
      <c r="AN100" s="524">
        <f t="shared" si="61"/>
        <v>0</v>
      </c>
      <c r="AO100" s="524">
        <f t="shared" si="61"/>
        <v>0</v>
      </c>
      <c r="AP100" s="524">
        <f t="shared" si="62"/>
        <v>0</v>
      </c>
      <c r="AQ100" s="524">
        <f t="shared" si="63"/>
        <v>0</v>
      </c>
      <c r="AR100" s="524">
        <f t="shared" si="63"/>
        <v>0</v>
      </c>
      <c r="AS100" s="524">
        <f t="shared" si="63"/>
        <v>0</v>
      </c>
      <c r="AT100" s="524">
        <f t="shared" si="63"/>
        <v>0</v>
      </c>
      <c r="AU100" s="524">
        <f t="shared" si="63"/>
        <v>0</v>
      </c>
      <c r="AV100" s="524">
        <f t="shared" si="63"/>
        <v>0</v>
      </c>
      <c r="AW100" s="524">
        <f t="shared" si="63"/>
        <v>0</v>
      </c>
      <c r="AX100" s="524">
        <f t="shared" si="63"/>
        <v>0</v>
      </c>
      <c r="AY100" s="524">
        <f t="shared" si="63"/>
        <v>0</v>
      </c>
      <c r="AZ100" s="524">
        <f t="shared" si="63"/>
        <v>0</v>
      </c>
      <c r="BA100" s="524">
        <f t="shared" si="64"/>
        <v>0</v>
      </c>
      <c r="BB100" s="524">
        <f t="shared" si="64"/>
        <v>0</v>
      </c>
      <c r="BC100" s="524">
        <f t="shared" si="64"/>
        <v>0</v>
      </c>
      <c r="BD100" s="524">
        <f t="shared" si="64"/>
        <v>0</v>
      </c>
      <c r="BE100" s="524">
        <f t="shared" si="64"/>
        <v>0</v>
      </c>
      <c r="BF100" s="524">
        <f t="shared" si="64"/>
        <v>0</v>
      </c>
      <c r="BG100" s="524">
        <f t="shared" si="64"/>
        <v>0</v>
      </c>
      <c r="BH100" s="524">
        <f t="shared" si="64"/>
        <v>0</v>
      </c>
      <c r="BI100" s="524">
        <f t="shared" si="64"/>
        <v>0</v>
      </c>
      <c r="BJ100" s="524">
        <f t="shared" si="64"/>
        <v>0</v>
      </c>
      <c r="BK100" s="524">
        <f t="shared" si="65"/>
        <v>0</v>
      </c>
      <c r="BL100" s="524">
        <f t="shared" si="65"/>
        <v>0</v>
      </c>
      <c r="BM100" s="524">
        <f t="shared" si="65"/>
        <v>0</v>
      </c>
      <c r="BN100" s="524">
        <f t="shared" si="65"/>
        <v>0</v>
      </c>
      <c r="BO100" s="524">
        <f t="shared" si="65"/>
        <v>0</v>
      </c>
      <c r="BP100" s="524">
        <f t="shared" si="65"/>
        <v>0</v>
      </c>
      <c r="BQ100" s="524">
        <f t="shared" si="65"/>
        <v>0</v>
      </c>
      <c r="BR100" s="524">
        <f t="shared" si="65"/>
        <v>0</v>
      </c>
      <c r="BS100" s="524">
        <f t="shared" si="65"/>
        <v>0</v>
      </c>
      <c r="BT100" s="524">
        <f t="shared" si="65"/>
        <v>0</v>
      </c>
      <c r="BU100" s="524">
        <f t="shared" si="66"/>
        <v>0</v>
      </c>
      <c r="BV100" s="524">
        <f t="shared" si="66"/>
        <v>0</v>
      </c>
      <c r="BW100" s="524">
        <f t="shared" si="66"/>
        <v>0</v>
      </c>
      <c r="BX100" s="524">
        <f t="shared" si="66"/>
        <v>0</v>
      </c>
      <c r="BY100" s="524">
        <f t="shared" si="66"/>
        <v>0</v>
      </c>
      <c r="BZ100" s="524">
        <f t="shared" si="66"/>
        <v>0</v>
      </c>
    </row>
    <row r="101" spans="2:78" ht="21" hidden="1" customHeight="1" outlineLevel="3">
      <c r="B101" s="367"/>
      <c r="C101" s="370"/>
      <c r="D101" s="374">
        <f t="shared" si="67"/>
        <v>45077</v>
      </c>
      <c r="E101" s="373" cm="1">
        <f t="array" ref="E101">IF($D101&lt;=LatestMonthOfActuals,0,INDEX($AE$41:$BZ$41,0,MATCH($D101,$AE$8:$BZ$8,0)))</f>
        <v>0</v>
      </c>
      <c r="F101" s="359"/>
      <c r="G101" s="408">
        <f t="shared" si="59"/>
        <v>0</v>
      </c>
      <c r="H101" s="408">
        <f t="shared" si="59"/>
        <v>0</v>
      </c>
      <c r="I101" s="408">
        <f t="shared" si="59"/>
        <v>0</v>
      </c>
      <c r="J101" s="408">
        <f t="shared" si="59"/>
        <v>0</v>
      </c>
      <c r="K101" s="408"/>
      <c r="L101" s="408"/>
      <c r="M101" s="408">
        <f t="shared" si="60"/>
        <v>0</v>
      </c>
      <c r="N101" s="408">
        <f t="shared" si="60"/>
        <v>0</v>
      </c>
      <c r="O101" s="408">
        <f t="shared" si="60"/>
        <v>0</v>
      </c>
      <c r="P101" s="408">
        <f t="shared" si="60"/>
        <v>0</v>
      </c>
      <c r="Q101" s="408">
        <f t="shared" si="60"/>
        <v>0</v>
      </c>
      <c r="R101" s="408">
        <f t="shared" si="60"/>
        <v>0</v>
      </c>
      <c r="S101" s="408">
        <f t="shared" si="60"/>
        <v>0</v>
      </c>
      <c r="T101" s="408">
        <f t="shared" si="60"/>
        <v>0</v>
      </c>
      <c r="U101" s="408">
        <f t="shared" si="60"/>
        <v>0</v>
      </c>
      <c r="V101" s="408">
        <f t="shared" si="60"/>
        <v>0</v>
      </c>
      <c r="W101" s="408">
        <f t="shared" si="60"/>
        <v>0</v>
      </c>
      <c r="X101" s="408">
        <f t="shared" si="60"/>
        <v>0</v>
      </c>
      <c r="Y101" s="408">
        <f t="shared" si="60"/>
        <v>0</v>
      </c>
      <c r="Z101" s="408">
        <f t="shared" si="60"/>
        <v>0</v>
      </c>
      <c r="AA101" s="408">
        <f t="shared" si="60"/>
        <v>0</v>
      </c>
      <c r="AB101" s="408">
        <f t="shared" si="60"/>
        <v>0</v>
      </c>
      <c r="AC101" s="524"/>
      <c r="AD101" s="359"/>
      <c r="AE101" s="524">
        <f t="shared" si="61"/>
        <v>0</v>
      </c>
      <c r="AF101" s="524">
        <f t="shared" si="61"/>
        <v>0</v>
      </c>
      <c r="AG101" s="524">
        <f t="shared" si="61"/>
        <v>0</v>
      </c>
      <c r="AH101" s="524">
        <f t="shared" si="61"/>
        <v>0</v>
      </c>
      <c r="AI101" s="524">
        <f t="shared" si="61"/>
        <v>0</v>
      </c>
      <c r="AJ101" s="524">
        <f t="shared" si="61"/>
        <v>0</v>
      </c>
      <c r="AK101" s="524">
        <f t="shared" si="61"/>
        <v>0</v>
      </c>
      <c r="AL101" s="524">
        <f t="shared" si="61"/>
        <v>0</v>
      </c>
      <c r="AM101" s="524">
        <f t="shared" si="61"/>
        <v>0</v>
      </c>
      <c r="AN101" s="524">
        <f t="shared" si="61"/>
        <v>0</v>
      </c>
      <c r="AO101" s="524">
        <f t="shared" si="61"/>
        <v>0</v>
      </c>
      <c r="AP101" s="524">
        <f t="shared" si="62"/>
        <v>0</v>
      </c>
      <c r="AQ101" s="524">
        <f t="shared" si="63"/>
        <v>0</v>
      </c>
      <c r="AR101" s="524">
        <f t="shared" si="63"/>
        <v>0</v>
      </c>
      <c r="AS101" s="524">
        <f t="shared" si="63"/>
        <v>0</v>
      </c>
      <c r="AT101" s="524">
        <f t="shared" si="63"/>
        <v>0</v>
      </c>
      <c r="AU101" s="524">
        <f t="shared" si="63"/>
        <v>0</v>
      </c>
      <c r="AV101" s="524">
        <f t="shared" si="63"/>
        <v>0</v>
      </c>
      <c r="AW101" s="524">
        <f t="shared" si="63"/>
        <v>0</v>
      </c>
      <c r="AX101" s="524">
        <f t="shared" si="63"/>
        <v>0</v>
      </c>
      <c r="AY101" s="524">
        <f t="shared" si="63"/>
        <v>0</v>
      </c>
      <c r="AZ101" s="524">
        <f t="shared" si="63"/>
        <v>0</v>
      </c>
      <c r="BA101" s="524">
        <f t="shared" si="64"/>
        <v>0</v>
      </c>
      <c r="BB101" s="524">
        <f t="shared" si="64"/>
        <v>0</v>
      </c>
      <c r="BC101" s="524">
        <f t="shared" si="64"/>
        <v>0</v>
      </c>
      <c r="BD101" s="524">
        <f t="shared" si="64"/>
        <v>0</v>
      </c>
      <c r="BE101" s="524">
        <f t="shared" si="64"/>
        <v>0</v>
      </c>
      <c r="BF101" s="524">
        <f t="shared" si="64"/>
        <v>0</v>
      </c>
      <c r="BG101" s="524">
        <f t="shared" si="64"/>
        <v>0</v>
      </c>
      <c r="BH101" s="524">
        <f t="shared" si="64"/>
        <v>0</v>
      </c>
      <c r="BI101" s="524">
        <f t="shared" si="64"/>
        <v>0</v>
      </c>
      <c r="BJ101" s="524">
        <f t="shared" si="64"/>
        <v>0</v>
      </c>
      <c r="BK101" s="524">
        <f t="shared" si="65"/>
        <v>0</v>
      </c>
      <c r="BL101" s="524">
        <f t="shared" si="65"/>
        <v>0</v>
      </c>
      <c r="BM101" s="524">
        <f t="shared" si="65"/>
        <v>0</v>
      </c>
      <c r="BN101" s="524">
        <f t="shared" si="65"/>
        <v>0</v>
      </c>
      <c r="BO101" s="524">
        <f t="shared" si="65"/>
        <v>0</v>
      </c>
      <c r="BP101" s="524">
        <f t="shared" si="65"/>
        <v>0</v>
      </c>
      <c r="BQ101" s="524">
        <f t="shared" si="65"/>
        <v>0</v>
      </c>
      <c r="BR101" s="524">
        <f t="shared" si="65"/>
        <v>0</v>
      </c>
      <c r="BS101" s="524">
        <f t="shared" si="65"/>
        <v>0</v>
      </c>
      <c r="BT101" s="524">
        <f t="shared" si="65"/>
        <v>0</v>
      </c>
      <c r="BU101" s="524">
        <f t="shared" si="66"/>
        <v>0</v>
      </c>
      <c r="BV101" s="524">
        <f t="shared" si="66"/>
        <v>0</v>
      </c>
      <c r="BW101" s="524">
        <f t="shared" si="66"/>
        <v>0</v>
      </c>
      <c r="BX101" s="524">
        <f t="shared" si="66"/>
        <v>0</v>
      </c>
      <c r="BY101" s="524">
        <f t="shared" si="66"/>
        <v>0</v>
      </c>
      <c r="BZ101" s="524">
        <f t="shared" si="66"/>
        <v>0</v>
      </c>
    </row>
    <row r="102" spans="2:78" ht="21" hidden="1" customHeight="1" outlineLevel="3">
      <c r="B102" s="367"/>
      <c r="C102" s="370"/>
      <c r="D102" s="374">
        <f t="shared" si="67"/>
        <v>45107</v>
      </c>
      <c r="E102" s="373" cm="1">
        <f t="array" ref="E102">IF($D102&lt;=LatestMonthOfActuals,0,INDEX($AE$41:$BZ$41,0,MATCH($D102,$AE$8:$BZ$8,0)))</f>
        <v>0</v>
      </c>
      <c r="F102" s="359"/>
      <c r="G102" s="408">
        <f t="shared" si="59"/>
        <v>0</v>
      </c>
      <c r="H102" s="408">
        <f t="shared" si="59"/>
        <v>0</v>
      </c>
      <c r="I102" s="408">
        <f t="shared" si="59"/>
        <v>0</v>
      </c>
      <c r="J102" s="408">
        <f t="shared" si="59"/>
        <v>0</v>
      </c>
      <c r="K102" s="408"/>
      <c r="L102" s="408"/>
      <c r="M102" s="408">
        <f t="shared" si="60"/>
        <v>0</v>
      </c>
      <c r="N102" s="408">
        <f t="shared" si="60"/>
        <v>0</v>
      </c>
      <c r="O102" s="408">
        <f t="shared" si="60"/>
        <v>0</v>
      </c>
      <c r="P102" s="408">
        <f t="shared" si="60"/>
        <v>0</v>
      </c>
      <c r="Q102" s="408">
        <f t="shared" si="60"/>
        <v>0</v>
      </c>
      <c r="R102" s="408">
        <f t="shared" si="60"/>
        <v>0</v>
      </c>
      <c r="S102" s="408">
        <f t="shared" si="60"/>
        <v>0</v>
      </c>
      <c r="T102" s="408">
        <f t="shared" si="60"/>
        <v>0</v>
      </c>
      <c r="U102" s="408">
        <f t="shared" si="60"/>
        <v>0</v>
      </c>
      <c r="V102" s="408">
        <f t="shared" si="60"/>
        <v>0</v>
      </c>
      <c r="W102" s="408">
        <f t="shared" si="60"/>
        <v>0</v>
      </c>
      <c r="X102" s="408">
        <f t="shared" si="60"/>
        <v>0</v>
      </c>
      <c r="Y102" s="408">
        <f t="shared" si="60"/>
        <v>0</v>
      </c>
      <c r="Z102" s="408">
        <f t="shared" si="60"/>
        <v>0</v>
      </c>
      <c r="AA102" s="408">
        <f t="shared" si="60"/>
        <v>0</v>
      </c>
      <c r="AB102" s="408">
        <f t="shared" si="60"/>
        <v>0</v>
      </c>
      <c r="AC102" s="524"/>
      <c r="AD102" s="359"/>
      <c r="AE102" s="524">
        <f t="shared" si="61"/>
        <v>0</v>
      </c>
      <c r="AF102" s="524">
        <f t="shared" si="61"/>
        <v>0</v>
      </c>
      <c r="AG102" s="524">
        <f t="shared" si="61"/>
        <v>0</v>
      </c>
      <c r="AH102" s="524">
        <f t="shared" si="61"/>
        <v>0</v>
      </c>
      <c r="AI102" s="524">
        <f t="shared" si="61"/>
        <v>0</v>
      </c>
      <c r="AJ102" s="524">
        <f t="shared" si="61"/>
        <v>0</v>
      </c>
      <c r="AK102" s="524">
        <f t="shared" si="61"/>
        <v>0</v>
      </c>
      <c r="AL102" s="524">
        <f t="shared" si="61"/>
        <v>0</v>
      </c>
      <c r="AM102" s="524">
        <f t="shared" si="61"/>
        <v>0</v>
      </c>
      <c r="AN102" s="524">
        <f t="shared" si="61"/>
        <v>0</v>
      </c>
      <c r="AO102" s="524">
        <f t="shared" si="61"/>
        <v>0</v>
      </c>
      <c r="AP102" s="524">
        <f t="shared" si="62"/>
        <v>0</v>
      </c>
      <c r="AQ102" s="524">
        <f t="shared" si="63"/>
        <v>0</v>
      </c>
      <c r="AR102" s="524">
        <f t="shared" si="63"/>
        <v>0</v>
      </c>
      <c r="AS102" s="524">
        <f t="shared" si="63"/>
        <v>0</v>
      </c>
      <c r="AT102" s="524">
        <f t="shared" si="63"/>
        <v>0</v>
      </c>
      <c r="AU102" s="524">
        <f t="shared" si="63"/>
        <v>0</v>
      </c>
      <c r="AV102" s="524">
        <f t="shared" si="63"/>
        <v>0</v>
      </c>
      <c r="AW102" s="524">
        <f t="shared" si="63"/>
        <v>0</v>
      </c>
      <c r="AX102" s="524">
        <f t="shared" si="63"/>
        <v>0</v>
      </c>
      <c r="AY102" s="524">
        <f t="shared" si="63"/>
        <v>0</v>
      </c>
      <c r="AZ102" s="524">
        <f t="shared" si="63"/>
        <v>0</v>
      </c>
      <c r="BA102" s="524">
        <f t="shared" si="64"/>
        <v>0</v>
      </c>
      <c r="BB102" s="524">
        <f t="shared" si="64"/>
        <v>0</v>
      </c>
      <c r="BC102" s="524">
        <f t="shared" si="64"/>
        <v>0</v>
      </c>
      <c r="BD102" s="524">
        <f t="shared" si="64"/>
        <v>0</v>
      </c>
      <c r="BE102" s="524">
        <f t="shared" si="64"/>
        <v>0</v>
      </c>
      <c r="BF102" s="524">
        <f t="shared" si="64"/>
        <v>0</v>
      </c>
      <c r="BG102" s="524">
        <f t="shared" si="64"/>
        <v>0</v>
      </c>
      <c r="BH102" s="524">
        <f t="shared" si="64"/>
        <v>0</v>
      </c>
      <c r="BI102" s="524">
        <f t="shared" si="64"/>
        <v>0</v>
      </c>
      <c r="BJ102" s="524">
        <f t="shared" si="64"/>
        <v>0</v>
      </c>
      <c r="BK102" s="524">
        <f t="shared" si="65"/>
        <v>0</v>
      </c>
      <c r="BL102" s="524">
        <f t="shared" si="65"/>
        <v>0</v>
      </c>
      <c r="BM102" s="524">
        <f t="shared" si="65"/>
        <v>0</v>
      </c>
      <c r="BN102" s="524">
        <f t="shared" si="65"/>
        <v>0</v>
      </c>
      <c r="BO102" s="524">
        <f t="shared" si="65"/>
        <v>0</v>
      </c>
      <c r="BP102" s="524">
        <f t="shared" si="65"/>
        <v>0</v>
      </c>
      <c r="BQ102" s="524">
        <f t="shared" si="65"/>
        <v>0</v>
      </c>
      <c r="BR102" s="524">
        <f t="shared" si="65"/>
        <v>0</v>
      </c>
      <c r="BS102" s="524">
        <f t="shared" si="65"/>
        <v>0</v>
      </c>
      <c r="BT102" s="524">
        <f t="shared" si="65"/>
        <v>0</v>
      </c>
      <c r="BU102" s="524">
        <f t="shared" si="66"/>
        <v>0</v>
      </c>
      <c r="BV102" s="524">
        <f t="shared" si="66"/>
        <v>0</v>
      </c>
      <c r="BW102" s="524">
        <f t="shared" si="66"/>
        <v>0</v>
      </c>
      <c r="BX102" s="524">
        <f t="shared" si="66"/>
        <v>0</v>
      </c>
      <c r="BY102" s="524">
        <f t="shared" si="66"/>
        <v>0</v>
      </c>
      <c r="BZ102" s="524">
        <f t="shared" si="66"/>
        <v>0</v>
      </c>
    </row>
    <row r="103" spans="2:78" ht="21" hidden="1" customHeight="1" outlineLevel="3">
      <c r="B103" s="367"/>
      <c r="C103" s="370"/>
      <c r="D103" s="374">
        <f t="shared" si="67"/>
        <v>45138</v>
      </c>
      <c r="E103" s="373" cm="1">
        <f t="array" ref="E103">IF($D103&lt;=LatestMonthOfActuals,0,INDEX($AE$41:$BZ$41,0,MATCH($D103,$AE$8:$BZ$8,0)))</f>
        <v>0</v>
      </c>
      <c r="F103" s="359"/>
      <c r="G103" s="408">
        <f t="shared" si="59"/>
        <v>0</v>
      </c>
      <c r="H103" s="408">
        <f t="shared" si="59"/>
        <v>0</v>
      </c>
      <c r="I103" s="408">
        <f t="shared" si="59"/>
        <v>0</v>
      </c>
      <c r="J103" s="408">
        <f t="shared" si="59"/>
        <v>0</v>
      </c>
      <c r="K103" s="408"/>
      <c r="L103" s="408"/>
      <c r="M103" s="408">
        <f t="shared" si="60"/>
        <v>0</v>
      </c>
      <c r="N103" s="408">
        <f t="shared" si="60"/>
        <v>0</v>
      </c>
      <c r="O103" s="408">
        <f t="shared" si="60"/>
        <v>0</v>
      </c>
      <c r="P103" s="408">
        <f t="shared" si="60"/>
        <v>0</v>
      </c>
      <c r="Q103" s="408">
        <f t="shared" si="60"/>
        <v>0</v>
      </c>
      <c r="R103" s="408">
        <f t="shared" si="60"/>
        <v>0</v>
      </c>
      <c r="S103" s="408">
        <f t="shared" si="60"/>
        <v>0</v>
      </c>
      <c r="T103" s="408">
        <f t="shared" si="60"/>
        <v>0</v>
      </c>
      <c r="U103" s="408">
        <f t="shared" si="60"/>
        <v>0</v>
      </c>
      <c r="V103" s="408">
        <f t="shared" si="60"/>
        <v>0</v>
      </c>
      <c r="W103" s="408">
        <f t="shared" si="60"/>
        <v>0</v>
      </c>
      <c r="X103" s="408">
        <f t="shared" si="60"/>
        <v>0</v>
      </c>
      <c r="Y103" s="408">
        <f t="shared" si="60"/>
        <v>0</v>
      </c>
      <c r="Z103" s="408">
        <f t="shared" si="60"/>
        <v>0</v>
      </c>
      <c r="AA103" s="408">
        <f t="shared" si="60"/>
        <v>0</v>
      </c>
      <c r="AB103" s="408">
        <f t="shared" si="60"/>
        <v>0</v>
      </c>
      <c r="AC103" s="524"/>
      <c r="AD103" s="359"/>
      <c r="AE103" s="524">
        <f t="shared" si="61"/>
        <v>0</v>
      </c>
      <c r="AF103" s="524">
        <f t="shared" si="61"/>
        <v>0</v>
      </c>
      <c r="AG103" s="524">
        <f t="shared" si="61"/>
        <v>0</v>
      </c>
      <c r="AH103" s="524">
        <f t="shared" si="61"/>
        <v>0</v>
      </c>
      <c r="AI103" s="524">
        <f t="shared" si="61"/>
        <v>0</v>
      </c>
      <c r="AJ103" s="524">
        <f t="shared" si="61"/>
        <v>0</v>
      </c>
      <c r="AK103" s="524">
        <f t="shared" si="61"/>
        <v>0</v>
      </c>
      <c r="AL103" s="524">
        <f t="shared" si="61"/>
        <v>0</v>
      </c>
      <c r="AM103" s="524">
        <f t="shared" si="61"/>
        <v>0</v>
      </c>
      <c r="AN103" s="524">
        <f t="shared" si="61"/>
        <v>0</v>
      </c>
      <c r="AO103" s="524">
        <f t="shared" si="61"/>
        <v>0</v>
      </c>
      <c r="AP103" s="524">
        <f t="shared" si="62"/>
        <v>0</v>
      </c>
      <c r="AQ103" s="524">
        <f t="shared" si="63"/>
        <v>0</v>
      </c>
      <c r="AR103" s="524">
        <f t="shared" si="63"/>
        <v>0</v>
      </c>
      <c r="AS103" s="524">
        <f t="shared" si="63"/>
        <v>0</v>
      </c>
      <c r="AT103" s="524">
        <f t="shared" si="63"/>
        <v>0</v>
      </c>
      <c r="AU103" s="524">
        <f t="shared" si="63"/>
        <v>0</v>
      </c>
      <c r="AV103" s="524">
        <f t="shared" si="63"/>
        <v>0</v>
      </c>
      <c r="AW103" s="524">
        <f t="shared" si="63"/>
        <v>0</v>
      </c>
      <c r="AX103" s="524">
        <f t="shared" si="63"/>
        <v>0</v>
      </c>
      <c r="AY103" s="524">
        <f t="shared" si="63"/>
        <v>0</v>
      </c>
      <c r="AZ103" s="524">
        <f t="shared" si="63"/>
        <v>0</v>
      </c>
      <c r="BA103" s="524">
        <f t="shared" si="64"/>
        <v>0</v>
      </c>
      <c r="BB103" s="524">
        <f t="shared" si="64"/>
        <v>0</v>
      </c>
      <c r="BC103" s="524">
        <f t="shared" si="64"/>
        <v>0</v>
      </c>
      <c r="BD103" s="524">
        <f t="shared" si="64"/>
        <v>0</v>
      </c>
      <c r="BE103" s="524">
        <f t="shared" si="64"/>
        <v>0</v>
      </c>
      <c r="BF103" s="524">
        <f t="shared" si="64"/>
        <v>0</v>
      </c>
      <c r="BG103" s="524">
        <f t="shared" si="64"/>
        <v>0</v>
      </c>
      <c r="BH103" s="524">
        <f t="shared" si="64"/>
        <v>0</v>
      </c>
      <c r="BI103" s="524">
        <f t="shared" si="64"/>
        <v>0</v>
      </c>
      <c r="BJ103" s="524">
        <f t="shared" si="64"/>
        <v>0</v>
      </c>
      <c r="BK103" s="524">
        <f t="shared" si="65"/>
        <v>0</v>
      </c>
      <c r="BL103" s="524">
        <f t="shared" si="65"/>
        <v>0</v>
      </c>
      <c r="BM103" s="524">
        <f t="shared" si="65"/>
        <v>0</v>
      </c>
      <c r="BN103" s="524">
        <f t="shared" si="65"/>
        <v>0</v>
      </c>
      <c r="BO103" s="524">
        <f t="shared" si="65"/>
        <v>0</v>
      </c>
      <c r="BP103" s="524">
        <f t="shared" si="65"/>
        <v>0</v>
      </c>
      <c r="BQ103" s="524">
        <f t="shared" si="65"/>
        <v>0</v>
      </c>
      <c r="BR103" s="524">
        <f t="shared" si="65"/>
        <v>0</v>
      </c>
      <c r="BS103" s="524">
        <f t="shared" si="65"/>
        <v>0</v>
      </c>
      <c r="BT103" s="524">
        <f t="shared" si="65"/>
        <v>0</v>
      </c>
      <c r="BU103" s="524">
        <f t="shared" si="66"/>
        <v>0</v>
      </c>
      <c r="BV103" s="524">
        <f t="shared" si="66"/>
        <v>0</v>
      </c>
      <c r="BW103" s="524">
        <f t="shared" si="66"/>
        <v>0</v>
      </c>
      <c r="BX103" s="524">
        <f t="shared" si="66"/>
        <v>0</v>
      </c>
      <c r="BY103" s="524">
        <f t="shared" si="66"/>
        <v>0</v>
      </c>
      <c r="BZ103" s="524">
        <f t="shared" si="66"/>
        <v>0</v>
      </c>
    </row>
    <row r="104" spans="2:78" ht="21" hidden="1" customHeight="1" outlineLevel="3">
      <c r="B104" s="367"/>
      <c r="C104" s="370"/>
      <c r="D104" s="374">
        <f t="shared" si="67"/>
        <v>45169</v>
      </c>
      <c r="E104" s="373" cm="1">
        <f t="array" ref="E104">IF($D104&lt;=LatestMonthOfActuals,0,INDEX($AE$41:$BZ$41,0,MATCH($D104,$AE$8:$BZ$8,0)))</f>
        <v>0</v>
      </c>
      <c r="F104" s="359"/>
      <c r="G104" s="408">
        <f t="shared" si="59"/>
        <v>0</v>
      </c>
      <c r="H104" s="408">
        <f t="shared" si="59"/>
        <v>0</v>
      </c>
      <c r="I104" s="408">
        <f t="shared" si="59"/>
        <v>0</v>
      </c>
      <c r="J104" s="408">
        <f t="shared" si="59"/>
        <v>0</v>
      </c>
      <c r="K104" s="408"/>
      <c r="L104" s="408"/>
      <c r="M104" s="408">
        <f t="shared" si="60"/>
        <v>0</v>
      </c>
      <c r="N104" s="408">
        <f t="shared" si="60"/>
        <v>0</v>
      </c>
      <c r="O104" s="408">
        <f t="shared" si="60"/>
        <v>0</v>
      </c>
      <c r="P104" s="408">
        <f t="shared" si="60"/>
        <v>0</v>
      </c>
      <c r="Q104" s="408">
        <f t="shared" si="60"/>
        <v>0</v>
      </c>
      <c r="R104" s="408">
        <f t="shared" si="60"/>
        <v>0</v>
      </c>
      <c r="S104" s="408">
        <f t="shared" si="60"/>
        <v>0</v>
      </c>
      <c r="T104" s="408">
        <f t="shared" si="60"/>
        <v>0</v>
      </c>
      <c r="U104" s="408">
        <f t="shared" si="60"/>
        <v>0</v>
      </c>
      <c r="V104" s="408">
        <f t="shared" si="60"/>
        <v>0</v>
      </c>
      <c r="W104" s="408">
        <f t="shared" si="60"/>
        <v>0</v>
      </c>
      <c r="X104" s="408">
        <f t="shared" si="60"/>
        <v>0</v>
      </c>
      <c r="Y104" s="408">
        <f t="shared" si="60"/>
        <v>0</v>
      </c>
      <c r="Z104" s="408">
        <f t="shared" si="60"/>
        <v>0</v>
      </c>
      <c r="AA104" s="408">
        <f t="shared" si="60"/>
        <v>0</v>
      </c>
      <c r="AB104" s="408">
        <f t="shared" si="60"/>
        <v>0</v>
      </c>
      <c r="AC104" s="524"/>
      <c r="AD104" s="359"/>
      <c r="AE104" s="524">
        <f t="shared" si="61"/>
        <v>0</v>
      </c>
      <c r="AF104" s="524">
        <f t="shared" si="61"/>
        <v>0</v>
      </c>
      <c r="AG104" s="524">
        <f t="shared" si="61"/>
        <v>0</v>
      </c>
      <c r="AH104" s="524">
        <f t="shared" si="61"/>
        <v>0</v>
      </c>
      <c r="AI104" s="524">
        <f t="shared" si="61"/>
        <v>0</v>
      </c>
      <c r="AJ104" s="524">
        <f t="shared" si="61"/>
        <v>0</v>
      </c>
      <c r="AK104" s="524">
        <f t="shared" si="61"/>
        <v>0</v>
      </c>
      <c r="AL104" s="524">
        <f t="shared" si="61"/>
        <v>0</v>
      </c>
      <c r="AM104" s="524">
        <f t="shared" si="61"/>
        <v>0</v>
      </c>
      <c r="AN104" s="524">
        <f t="shared" si="61"/>
        <v>0</v>
      </c>
      <c r="AO104" s="524">
        <f t="shared" si="61"/>
        <v>0</v>
      </c>
      <c r="AP104" s="524">
        <f t="shared" si="62"/>
        <v>0</v>
      </c>
      <c r="AQ104" s="524">
        <f t="shared" si="63"/>
        <v>0</v>
      </c>
      <c r="AR104" s="524">
        <f t="shared" si="63"/>
        <v>0</v>
      </c>
      <c r="AS104" s="524">
        <f t="shared" si="63"/>
        <v>0</v>
      </c>
      <c r="AT104" s="524">
        <f t="shared" si="63"/>
        <v>0</v>
      </c>
      <c r="AU104" s="524">
        <f t="shared" si="63"/>
        <v>0</v>
      </c>
      <c r="AV104" s="524">
        <f t="shared" si="63"/>
        <v>0</v>
      </c>
      <c r="AW104" s="524">
        <f t="shared" si="63"/>
        <v>0</v>
      </c>
      <c r="AX104" s="524">
        <f t="shared" si="63"/>
        <v>0</v>
      </c>
      <c r="AY104" s="524">
        <f t="shared" si="63"/>
        <v>0</v>
      </c>
      <c r="AZ104" s="524">
        <f t="shared" si="63"/>
        <v>0</v>
      </c>
      <c r="BA104" s="524">
        <f t="shared" si="64"/>
        <v>0</v>
      </c>
      <c r="BB104" s="524">
        <f t="shared" si="64"/>
        <v>0</v>
      </c>
      <c r="BC104" s="524">
        <f t="shared" si="64"/>
        <v>0</v>
      </c>
      <c r="BD104" s="524">
        <f t="shared" si="64"/>
        <v>0</v>
      </c>
      <c r="BE104" s="524">
        <f t="shared" si="64"/>
        <v>0</v>
      </c>
      <c r="BF104" s="524">
        <f t="shared" si="64"/>
        <v>0</v>
      </c>
      <c r="BG104" s="524">
        <f t="shared" si="64"/>
        <v>0</v>
      </c>
      <c r="BH104" s="524">
        <f t="shared" si="64"/>
        <v>0</v>
      </c>
      <c r="BI104" s="524">
        <f t="shared" si="64"/>
        <v>0</v>
      </c>
      <c r="BJ104" s="524">
        <f t="shared" si="64"/>
        <v>0</v>
      </c>
      <c r="BK104" s="524">
        <f t="shared" si="65"/>
        <v>0</v>
      </c>
      <c r="BL104" s="524">
        <f t="shared" si="65"/>
        <v>0</v>
      </c>
      <c r="BM104" s="524">
        <f t="shared" si="65"/>
        <v>0</v>
      </c>
      <c r="BN104" s="524">
        <f t="shared" si="65"/>
        <v>0</v>
      </c>
      <c r="BO104" s="524">
        <f t="shared" si="65"/>
        <v>0</v>
      </c>
      <c r="BP104" s="524">
        <f t="shared" si="65"/>
        <v>0</v>
      </c>
      <c r="BQ104" s="524">
        <f t="shared" si="65"/>
        <v>0</v>
      </c>
      <c r="BR104" s="524">
        <f t="shared" si="65"/>
        <v>0</v>
      </c>
      <c r="BS104" s="524">
        <f t="shared" si="65"/>
        <v>0</v>
      </c>
      <c r="BT104" s="524">
        <f t="shared" si="65"/>
        <v>0</v>
      </c>
      <c r="BU104" s="524">
        <f t="shared" si="66"/>
        <v>0</v>
      </c>
      <c r="BV104" s="524">
        <f t="shared" si="66"/>
        <v>0</v>
      </c>
      <c r="BW104" s="524">
        <f t="shared" si="66"/>
        <v>0</v>
      </c>
      <c r="BX104" s="524">
        <f t="shared" si="66"/>
        <v>0</v>
      </c>
      <c r="BY104" s="524">
        <f t="shared" si="66"/>
        <v>0</v>
      </c>
      <c r="BZ104" s="524">
        <f t="shared" si="66"/>
        <v>0</v>
      </c>
    </row>
    <row r="105" spans="2:78" ht="21" hidden="1" customHeight="1" outlineLevel="3">
      <c r="B105" s="367"/>
      <c r="C105" s="370"/>
      <c r="D105" s="374">
        <f t="shared" si="67"/>
        <v>45199</v>
      </c>
      <c r="E105" s="373" cm="1">
        <f t="array" ref="E105">IF($D105&lt;=LatestMonthOfActuals,0,INDEX($AE$41:$BZ$41,0,MATCH($D105,$AE$8:$BZ$8,0)))</f>
        <v>0</v>
      </c>
      <c r="F105" s="359"/>
      <c r="G105" s="408">
        <f t="shared" si="59"/>
        <v>0</v>
      </c>
      <c r="H105" s="408">
        <f t="shared" si="59"/>
        <v>0</v>
      </c>
      <c r="I105" s="408">
        <f t="shared" si="59"/>
        <v>0</v>
      </c>
      <c r="J105" s="408">
        <f t="shared" si="59"/>
        <v>0</v>
      </c>
      <c r="K105" s="408"/>
      <c r="L105" s="408"/>
      <c r="M105" s="408">
        <f t="shared" si="60"/>
        <v>0</v>
      </c>
      <c r="N105" s="408">
        <f t="shared" si="60"/>
        <v>0</v>
      </c>
      <c r="O105" s="408">
        <f t="shared" si="60"/>
        <v>0</v>
      </c>
      <c r="P105" s="408">
        <f t="shared" si="60"/>
        <v>0</v>
      </c>
      <c r="Q105" s="408">
        <f t="shared" si="60"/>
        <v>0</v>
      </c>
      <c r="R105" s="408">
        <f t="shared" si="60"/>
        <v>0</v>
      </c>
      <c r="S105" s="408">
        <f t="shared" si="60"/>
        <v>0</v>
      </c>
      <c r="T105" s="408">
        <f t="shared" si="60"/>
        <v>0</v>
      </c>
      <c r="U105" s="408">
        <f t="shared" si="60"/>
        <v>0</v>
      </c>
      <c r="V105" s="408">
        <f t="shared" si="60"/>
        <v>0</v>
      </c>
      <c r="W105" s="408">
        <f t="shared" si="60"/>
        <v>0</v>
      </c>
      <c r="X105" s="408">
        <f t="shared" si="60"/>
        <v>0</v>
      </c>
      <c r="Y105" s="408">
        <f t="shared" si="60"/>
        <v>0</v>
      </c>
      <c r="Z105" s="408">
        <f t="shared" si="60"/>
        <v>0</v>
      </c>
      <c r="AA105" s="408">
        <f t="shared" si="60"/>
        <v>0</v>
      </c>
      <c r="AB105" s="408">
        <f t="shared" si="60"/>
        <v>0</v>
      </c>
      <c r="AC105" s="524"/>
      <c r="AD105" s="359"/>
      <c r="AE105" s="524">
        <f t="shared" si="61"/>
        <v>0</v>
      </c>
      <c r="AF105" s="524">
        <f t="shared" si="61"/>
        <v>0</v>
      </c>
      <c r="AG105" s="524">
        <f t="shared" si="61"/>
        <v>0</v>
      </c>
      <c r="AH105" s="524">
        <f t="shared" si="61"/>
        <v>0</v>
      </c>
      <c r="AI105" s="524">
        <f t="shared" si="61"/>
        <v>0</v>
      </c>
      <c r="AJ105" s="524">
        <f t="shared" si="61"/>
        <v>0</v>
      </c>
      <c r="AK105" s="524">
        <f t="shared" si="61"/>
        <v>0</v>
      </c>
      <c r="AL105" s="524">
        <f t="shared" si="61"/>
        <v>0</v>
      </c>
      <c r="AM105" s="524">
        <f t="shared" si="61"/>
        <v>0</v>
      </c>
      <c r="AN105" s="524">
        <f t="shared" si="61"/>
        <v>0</v>
      </c>
      <c r="AO105" s="524">
        <f t="shared" si="61"/>
        <v>0</v>
      </c>
      <c r="AP105" s="524">
        <f t="shared" si="62"/>
        <v>0</v>
      </c>
      <c r="AQ105" s="524">
        <f t="shared" si="63"/>
        <v>0</v>
      </c>
      <c r="AR105" s="524">
        <f t="shared" si="63"/>
        <v>0</v>
      </c>
      <c r="AS105" s="524">
        <f t="shared" si="63"/>
        <v>0</v>
      </c>
      <c r="AT105" s="524">
        <f t="shared" si="63"/>
        <v>0</v>
      </c>
      <c r="AU105" s="524">
        <f t="shared" si="63"/>
        <v>0</v>
      </c>
      <c r="AV105" s="524">
        <f t="shared" si="63"/>
        <v>0</v>
      </c>
      <c r="AW105" s="524">
        <f t="shared" si="63"/>
        <v>0</v>
      </c>
      <c r="AX105" s="524">
        <f t="shared" si="63"/>
        <v>0</v>
      </c>
      <c r="AY105" s="524">
        <f t="shared" si="63"/>
        <v>0</v>
      </c>
      <c r="AZ105" s="524">
        <f t="shared" si="63"/>
        <v>0</v>
      </c>
      <c r="BA105" s="524">
        <f t="shared" si="64"/>
        <v>0</v>
      </c>
      <c r="BB105" s="524">
        <f t="shared" si="64"/>
        <v>0</v>
      </c>
      <c r="BC105" s="524">
        <f t="shared" si="64"/>
        <v>0</v>
      </c>
      <c r="BD105" s="524">
        <f t="shared" si="64"/>
        <v>0</v>
      </c>
      <c r="BE105" s="524">
        <f t="shared" si="64"/>
        <v>0</v>
      </c>
      <c r="BF105" s="524">
        <f t="shared" si="64"/>
        <v>0</v>
      </c>
      <c r="BG105" s="524">
        <f t="shared" si="64"/>
        <v>0</v>
      </c>
      <c r="BH105" s="524">
        <f t="shared" si="64"/>
        <v>0</v>
      </c>
      <c r="BI105" s="524">
        <f t="shared" si="64"/>
        <v>0</v>
      </c>
      <c r="BJ105" s="524">
        <f t="shared" si="64"/>
        <v>0</v>
      </c>
      <c r="BK105" s="524">
        <f t="shared" si="65"/>
        <v>0</v>
      </c>
      <c r="BL105" s="524">
        <f t="shared" si="65"/>
        <v>0</v>
      </c>
      <c r="BM105" s="524">
        <f t="shared" si="65"/>
        <v>0</v>
      </c>
      <c r="BN105" s="524">
        <f t="shared" si="65"/>
        <v>0</v>
      </c>
      <c r="BO105" s="524">
        <f t="shared" si="65"/>
        <v>0</v>
      </c>
      <c r="BP105" s="524">
        <f t="shared" si="65"/>
        <v>0</v>
      </c>
      <c r="BQ105" s="524">
        <f t="shared" si="65"/>
        <v>0</v>
      </c>
      <c r="BR105" s="524">
        <f t="shared" si="65"/>
        <v>0</v>
      </c>
      <c r="BS105" s="524">
        <f t="shared" si="65"/>
        <v>0</v>
      </c>
      <c r="BT105" s="524">
        <f t="shared" si="65"/>
        <v>0</v>
      </c>
      <c r="BU105" s="524">
        <f t="shared" si="66"/>
        <v>0</v>
      </c>
      <c r="BV105" s="524">
        <f t="shared" si="66"/>
        <v>0</v>
      </c>
      <c r="BW105" s="524">
        <f t="shared" si="66"/>
        <v>0</v>
      </c>
      <c r="BX105" s="524">
        <f t="shared" si="66"/>
        <v>0</v>
      </c>
      <c r="BY105" s="524">
        <f t="shared" si="66"/>
        <v>0</v>
      </c>
      <c r="BZ105" s="524">
        <f t="shared" si="66"/>
        <v>0</v>
      </c>
    </row>
    <row r="106" spans="2:78" ht="21" hidden="1" customHeight="1" outlineLevel="3">
      <c r="B106" s="367"/>
      <c r="C106" s="370"/>
      <c r="D106" s="374">
        <f t="shared" si="67"/>
        <v>45230</v>
      </c>
      <c r="E106" s="373" cm="1">
        <f t="array" ref="E106">IF($D106&lt;=LatestMonthOfActuals,0,INDEX($AE$41:$BZ$41,0,MATCH($D106,$AE$8:$BZ$8,0)))</f>
        <v>0</v>
      </c>
      <c r="F106" s="359"/>
      <c r="G106" s="408">
        <f t="shared" si="59"/>
        <v>0</v>
      </c>
      <c r="H106" s="408">
        <f t="shared" si="59"/>
        <v>0</v>
      </c>
      <c r="I106" s="408">
        <f t="shared" si="59"/>
        <v>0</v>
      </c>
      <c r="J106" s="408">
        <f t="shared" si="59"/>
        <v>0</v>
      </c>
      <c r="K106" s="408"/>
      <c r="L106" s="408"/>
      <c r="M106" s="408">
        <f t="shared" si="60"/>
        <v>0</v>
      </c>
      <c r="N106" s="408">
        <f t="shared" si="60"/>
        <v>0</v>
      </c>
      <c r="O106" s="408">
        <f t="shared" si="60"/>
        <v>0</v>
      </c>
      <c r="P106" s="408">
        <f t="shared" si="60"/>
        <v>0</v>
      </c>
      <c r="Q106" s="408">
        <f t="shared" si="60"/>
        <v>0</v>
      </c>
      <c r="R106" s="408">
        <f t="shared" si="60"/>
        <v>0</v>
      </c>
      <c r="S106" s="408">
        <f t="shared" si="60"/>
        <v>0</v>
      </c>
      <c r="T106" s="408">
        <f t="shared" si="60"/>
        <v>0</v>
      </c>
      <c r="U106" s="408">
        <f t="shared" si="60"/>
        <v>0</v>
      </c>
      <c r="V106" s="408">
        <f t="shared" si="60"/>
        <v>0</v>
      </c>
      <c r="W106" s="408">
        <f t="shared" si="60"/>
        <v>0</v>
      </c>
      <c r="X106" s="408">
        <f t="shared" si="60"/>
        <v>0</v>
      </c>
      <c r="Y106" s="408">
        <f t="shared" si="60"/>
        <v>0</v>
      </c>
      <c r="Z106" s="408">
        <f t="shared" si="60"/>
        <v>0</v>
      </c>
      <c r="AA106" s="408">
        <f t="shared" si="60"/>
        <v>0</v>
      </c>
      <c r="AB106" s="408">
        <f t="shared" si="60"/>
        <v>0</v>
      </c>
      <c r="AC106" s="524"/>
      <c r="AD106" s="359"/>
      <c r="AE106" s="524">
        <f t="shared" si="61"/>
        <v>0</v>
      </c>
      <c r="AF106" s="524">
        <f t="shared" si="61"/>
        <v>0</v>
      </c>
      <c r="AG106" s="524">
        <f t="shared" si="61"/>
        <v>0</v>
      </c>
      <c r="AH106" s="524">
        <f t="shared" si="61"/>
        <v>0</v>
      </c>
      <c r="AI106" s="524">
        <f t="shared" si="61"/>
        <v>0</v>
      </c>
      <c r="AJ106" s="524">
        <f t="shared" si="61"/>
        <v>0</v>
      </c>
      <c r="AK106" s="524">
        <f t="shared" si="61"/>
        <v>0</v>
      </c>
      <c r="AL106" s="524">
        <f t="shared" si="61"/>
        <v>0</v>
      </c>
      <c r="AM106" s="524">
        <f t="shared" si="61"/>
        <v>0</v>
      </c>
      <c r="AN106" s="524">
        <f t="shared" si="61"/>
        <v>0</v>
      </c>
      <c r="AO106" s="524">
        <f t="shared" si="61"/>
        <v>0</v>
      </c>
      <c r="AP106" s="524">
        <f t="shared" si="62"/>
        <v>0</v>
      </c>
      <c r="AQ106" s="524">
        <f t="shared" si="63"/>
        <v>0</v>
      </c>
      <c r="AR106" s="524">
        <f t="shared" si="63"/>
        <v>0</v>
      </c>
      <c r="AS106" s="524">
        <f t="shared" si="63"/>
        <v>0</v>
      </c>
      <c r="AT106" s="524">
        <f t="shared" si="63"/>
        <v>0</v>
      </c>
      <c r="AU106" s="524">
        <f t="shared" si="63"/>
        <v>0</v>
      </c>
      <c r="AV106" s="524">
        <f t="shared" si="63"/>
        <v>0</v>
      </c>
      <c r="AW106" s="524">
        <f t="shared" si="63"/>
        <v>0</v>
      </c>
      <c r="AX106" s="524">
        <f t="shared" si="63"/>
        <v>0</v>
      </c>
      <c r="AY106" s="524">
        <f t="shared" si="63"/>
        <v>0</v>
      </c>
      <c r="AZ106" s="524">
        <f t="shared" si="63"/>
        <v>0</v>
      </c>
      <c r="BA106" s="524">
        <f t="shared" si="64"/>
        <v>0</v>
      </c>
      <c r="BB106" s="524">
        <f t="shared" si="64"/>
        <v>0</v>
      </c>
      <c r="BC106" s="524">
        <f t="shared" si="64"/>
        <v>0</v>
      </c>
      <c r="BD106" s="524">
        <f t="shared" si="64"/>
        <v>0</v>
      </c>
      <c r="BE106" s="524">
        <f t="shared" si="64"/>
        <v>0</v>
      </c>
      <c r="BF106" s="524">
        <f t="shared" si="64"/>
        <v>0</v>
      </c>
      <c r="BG106" s="524">
        <f t="shared" si="64"/>
        <v>0</v>
      </c>
      <c r="BH106" s="524">
        <f t="shared" si="64"/>
        <v>0</v>
      </c>
      <c r="BI106" s="524">
        <f t="shared" si="64"/>
        <v>0</v>
      </c>
      <c r="BJ106" s="524">
        <f t="shared" si="64"/>
        <v>0</v>
      </c>
      <c r="BK106" s="524">
        <f t="shared" si="65"/>
        <v>0</v>
      </c>
      <c r="BL106" s="524">
        <f t="shared" si="65"/>
        <v>0</v>
      </c>
      <c r="BM106" s="524">
        <f t="shared" si="65"/>
        <v>0</v>
      </c>
      <c r="BN106" s="524">
        <f t="shared" si="65"/>
        <v>0</v>
      </c>
      <c r="BO106" s="524">
        <f t="shared" si="65"/>
        <v>0</v>
      </c>
      <c r="BP106" s="524">
        <f t="shared" si="65"/>
        <v>0</v>
      </c>
      <c r="BQ106" s="524">
        <f t="shared" si="65"/>
        <v>0</v>
      </c>
      <c r="BR106" s="524">
        <f t="shared" si="65"/>
        <v>0</v>
      </c>
      <c r="BS106" s="524">
        <f t="shared" si="65"/>
        <v>0</v>
      </c>
      <c r="BT106" s="524">
        <f t="shared" si="65"/>
        <v>0</v>
      </c>
      <c r="BU106" s="524">
        <f t="shared" si="66"/>
        <v>0</v>
      </c>
      <c r="BV106" s="524">
        <f t="shared" si="66"/>
        <v>0</v>
      </c>
      <c r="BW106" s="524">
        <f t="shared" si="66"/>
        <v>0</v>
      </c>
      <c r="BX106" s="524">
        <f t="shared" si="66"/>
        <v>0</v>
      </c>
      <c r="BY106" s="524">
        <f t="shared" si="66"/>
        <v>0</v>
      </c>
      <c r="BZ106" s="524">
        <f t="shared" si="66"/>
        <v>0</v>
      </c>
    </row>
    <row r="107" spans="2:78" ht="21" hidden="1" customHeight="1" outlineLevel="3">
      <c r="B107" s="367"/>
      <c r="C107" s="370"/>
      <c r="D107" s="374">
        <f t="shared" si="67"/>
        <v>45260</v>
      </c>
      <c r="E107" s="373" cm="1">
        <f t="array" ref="E107">IF($D107&lt;=LatestMonthOfActuals,0,INDEX($AE$41:$BZ$41,0,MATCH($D107,$AE$8:$BZ$8,0)))</f>
        <v>0</v>
      </c>
      <c r="F107" s="359"/>
      <c r="G107" s="408">
        <f t="shared" si="59"/>
        <v>0</v>
      </c>
      <c r="H107" s="408">
        <f t="shared" si="59"/>
        <v>0</v>
      </c>
      <c r="I107" s="408">
        <f t="shared" si="59"/>
        <v>0</v>
      </c>
      <c r="J107" s="408">
        <f t="shared" si="59"/>
        <v>0</v>
      </c>
      <c r="K107" s="408"/>
      <c r="L107" s="408"/>
      <c r="M107" s="408">
        <f t="shared" si="60"/>
        <v>0</v>
      </c>
      <c r="N107" s="408">
        <f t="shared" si="60"/>
        <v>0</v>
      </c>
      <c r="O107" s="408">
        <f t="shared" si="60"/>
        <v>0</v>
      </c>
      <c r="P107" s="408">
        <f t="shared" si="60"/>
        <v>0</v>
      </c>
      <c r="Q107" s="408">
        <f t="shared" si="60"/>
        <v>0</v>
      </c>
      <c r="R107" s="408">
        <f t="shared" si="60"/>
        <v>0</v>
      </c>
      <c r="S107" s="408">
        <f t="shared" si="60"/>
        <v>0</v>
      </c>
      <c r="T107" s="408">
        <f t="shared" si="60"/>
        <v>0</v>
      </c>
      <c r="U107" s="408">
        <f t="shared" si="60"/>
        <v>0</v>
      </c>
      <c r="V107" s="408">
        <f t="shared" si="60"/>
        <v>0</v>
      </c>
      <c r="W107" s="408">
        <f t="shared" si="60"/>
        <v>0</v>
      </c>
      <c r="X107" s="408">
        <f t="shared" si="60"/>
        <v>0</v>
      </c>
      <c r="Y107" s="408">
        <f t="shared" si="60"/>
        <v>0</v>
      </c>
      <c r="Z107" s="408">
        <f t="shared" si="60"/>
        <v>0</v>
      </c>
      <c r="AA107" s="408">
        <f t="shared" si="60"/>
        <v>0</v>
      </c>
      <c r="AB107" s="408">
        <f t="shared" si="60"/>
        <v>0</v>
      </c>
      <c r="AC107" s="524"/>
      <c r="AD107" s="359"/>
      <c r="AE107" s="524">
        <f t="shared" ref="AE107:AO116" si="68">IFERROR(IF(AE$8&gt;=$D107,$E107*(INDEX($E$25:$E$36,(MATCH(MATCH(AE$8,$D$97:$D$144,0)-MATCH($D107,$D$97:$D$144,0),$D$25:$D$36,0)))),0),0)</f>
        <v>0</v>
      </c>
      <c r="AF107" s="524">
        <f t="shared" si="68"/>
        <v>0</v>
      </c>
      <c r="AG107" s="524">
        <f t="shared" si="68"/>
        <v>0</v>
      </c>
      <c r="AH107" s="524">
        <f t="shared" si="68"/>
        <v>0</v>
      </c>
      <c r="AI107" s="524">
        <f t="shared" si="68"/>
        <v>0</v>
      </c>
      <c r="AJ107" s="524">
        <f t="shared" si="68"/>
        <v>0</v>
      </c>
      <c r="AK107" s="524">
        <f t="shared" si="68"/>
        <v>0</v>
      </c>
      <c r="AL107" s="524">
        <f t="shared" si="68"/>
        <v>0</v>
      </c>
      <c r="AM107" s="524">
        <f t="shared" si="68"/>
        <v>0</v>
      </c>
      <c r="AN107" s="524">
        <f t="shared" si="68"/>
        <v>0</v>
      </c>
      <c r="AO107" s="524">
        <f t="shared" si="68"/>
        <v>0</v>
      </c>
      <c r="AP107" s="524">
        <f t="shared" si="62"/>
        <v>0</v>
      </c>
      <c r="AQ107" s="524">
        <f t="shared" ref="AQ107:AZ116" si="69">IFERROR(IF(AQ$8&gt;=$D107,$E107*(INDEX($E$25:$E$36,(MATCH(MATCH(AQ$8,$D$97:$D$144,0)-MATCH($D107,$D$97:$D$144,0),$D$25:$D$36,0)))),0),0)</f>
        <v>0</v>
      </c>
      <c r="AR107" s="524">
        <f t="shared" si="69"/>
        <v>0</v>
      </c>
      <c r="AS107" s="524">
        <f t="shared" si="69"/>
        <v>0</v>
      </c>
      <c r="AT107" s="524">
        <f t="shared" si="69"/>
        <v>0</v>
      </c>
      <c r="AU107" s="524">
        <f t="shared" si="69"/>
        <v>0</v>
      </c>
      <c r="AV107" s="524">
        <f t="shared" si="69"/>
        <v>0</v>
      </c>
      <c r="AW107" s="524">
        <f t="shared" si="69"/>
        <v>0</v>
      </c>
      <c r="AX107" s="524">
        <f t="shared" si="69"/>
        <v>0</v>
      </c>
      <c r="AY107" s="524">
        <f t="shared" si="69"/>
        <v>0</v>
      </c>
      <c r="AZ107" s="524">
        <f t="shared" si="69"/>
        <v>0</v>
      </c>
      <c r="BA107" s="524">
        <f t="shared" ref="BA107:BJ116" si="70">IFERROR(IF(BA$8&gt;=$D107,$E107*(INDEX($E$25:$E$36,(MATCH(MATCH(BA$8,$D$97:$D$144,0)-MATCH($D107,$D$97:$D$144,0),$D$25:$D$36,0)))),0),0)</f>
        <v>0</v>
      </c>
      <c r="BB107" s="524">
        <f t="shared" si="70"/>
        <v>0</v>
      </c>
      <c r="BC107" s="524">
        <f t="shared" si="70"/>
        <v>0</v>
      </c>
      <c r="BD107" s="524">
        <f t="shared" si="70"/>
        <v>0</v>
      </c>
      <c r="BE107" s="524">
        <f t="shared" si="70"/>
        <v>0</v>
      </c>
      <c r="BF107" s="524">
        <f t="shared" si="70"/>
        <v>0</v>
      </c>
      <c r="BG107" s="524">
        <f t="shared" si="70"/>
        <v>0</v>
      </c>
      <c r="BH107" s="524">
        <f t="shared" si="70"/>
        <v>0</v>
      </c>
      <c r="BI107" s="524">
        <f t="shared" si="70"/>
        <v>0</v>
      </c>
      <c r="BJ107" s="524">
        <f t="shared" si="70"/>
        <v>0</v>
      </c>
      <c r="BK107" s="524">
        <f t="shared" ref="BK107:BT116" si="71">IFERROR(IF(BK$8&gt;=$D107,$E107*(INDEX($E$25:$E$36,(MATCH(MATCH(BK$8,$D$97:$D$144,0)-MATCH($D107,$D$97:$D$144,0),$D$25:$D$36,0)))),0),0)</f>
        <v>0</v>
      </c>
      <c r="BL107" s="524">
        <f t="shared" si="71"/>
        <v>0</v>
      </c>
      <c r="BM107" s="524">
        <f t="shared" si="71"/>
        <v>0</v>
      </c>
      <c r="BN107" s="524">
        <f t="shared" si="71"/>
        <v>0</v>
      </c>
      <c r="BO107" s="524">
        <f t="shared" si="71"/>
        <v>0</v>
      </c>
      <c r="BP107" s="524">
        <f t="shared" si="71"/>
        <v>0</v>
      </c>
      <c r="BQ107" s="524">
        <f t="shared" si="71"/>
        <v>0</v>
      </c>
      <c r="BR107" s="524">
        <f t="shared" si="71"/>
        <v>0</v>
      </c>
      <c r="BS107" s="524">
        <f t="shared" si="71"/>
        <v>0</v>
      </c>
      <c r="BT107" s="524">
        <f t="shared" si="71"/>
        <v>0</v>
      </c>
      <c r="BU107" s="524">
        <f t="shared" ref="BU107:BZ116" si="72">IFERROR(IF(BU$8&gt;=$D107,$E107*(INDEX($E$25:$E$36,(MATCH(MATCH(BU$8,$D$97:$D$144,0)-MATCH($D107,$D$97:$D$144,0),$D$25:$D$36,0)))),0),0)</f>
        <v>0</v>
      </c>
      <c r="BV107" s="524">
        <f t="shared" si="72"/>
        <v>0</v>
      </c>
      <c r="BW107" s="524">
        <f t="shared" si="72"/>
        <v>0</v>
      </c>
      <c r="BX107" s="524">
        <f t="shared" si="72"/>
        <v>0</v>
      </c>
      <c r="BY107" s="524">
        <f t="shared" si="72"/>
        <v>0</v>
      </c>
      <c r="BZ107" s="524">
        <f t="shared" si="72"/>
        <v>0</v>
      </c>
    </row>
    <row r="108" spans="2:78" ht="21" hidden="1" customHeight="1" outlineLevel="3">
      <c r="B108" s="367"/>
      <c r="C108" s="370"/>
      <c r="D108" s="374">
        <f t="shared" si="67"/>
        <v>45291</v>
      </c>
      <c r="E108" s="373" cm="1">
        <f t="array" ref="E108">IF($D108&lt;=LatestMonthOfActuals,0,INDEX($AE$41:$BZ$41,0,MATCH($D108,$AE$8:$BZ$8,0)))</f>
        <v>0</v>
      </c>
      <c r="F108" s="359"/>
      <c r="G108" s="408">
        <f t="shared" si="59"/>
        <v>0</v>
      </c>
      <c r="H108" s="408">
        <f t="shared" si="59"/>
        <v>0</v>
      </c>
      <c r="I108" s="408">
        <f t="shared" si="59"/>
        <v>0</v>
      </c>
      <c r="J108" s="408">
        <f t="shared" si="59"/>
        <v>0</v>
      </c>
      <c r="K108" s="408"/>
      <c r="L108" s="408"/>
      <c r="M108" s="408">
        <f t="shared" si="60"/>
        <v>0</v>
      </c>
      <c r="N108" s="408">
        <f t="shared" si="60"/>
        <v>0</v>
      </c>
      <c r="O108" s="408">
        <f t="shared" si="60"/>
        <v>0</v>
      </c>
      <c r="P108" s="408">
        <f t="shared" si="60"/>
        <v>0</v>
      </c>
      <c r="Q108" s="408">
        <f t="shared" si="60"/>
        <v>0</v>
      </c>
      <c r="R108" s="408">
        <f t="shared" si="60"/>
        <v>0</v>
      </c>
      <c r="S108" s="408">
        <f t="shared" si="60"/>
        <v>0</v>
      </c>
      <c r="T108" s="408">
        <f t="shared" si="60"/>
        <v>0</v>
      </c>
      <c r="U108" s="408">
        <f t="shared" si="60"/>
        <v>0</v>
      </c>
      <c r="V108" s="408">
        <f t="shared" si="60"/>
        <v>0</v>
      </c>
      <c r="W108" s="408">
        <f t="shared" si="60"/>
        <v>0</v>
      </c>
      <c r="X108" s="408">
        <f t="shared" si="60"/>
        <v>0</v>
      </c>
      <c r="Y108" s="408">
        <f t="shared" si="60"/>
        <v>0</v>
      </c>
      <c r="Z108" s="408">
        <f t="shared" si="60"/>
        <v>0</v>
      </c>
      <c r="AA108" s="408">
        <f t="shared" si="60"/>
        <v>0</v>
      </c>
      <c r="AB108" s="408">
        <f t="shared" si="60"/>
        <v>0</v>
      </c>
      <c r="AC108" s="524"/>
      <c r="AD108" s="359"/>
      <c r="AE108" s="524">
        <f t="shared" si="68"/>
        <v>0</v>
      </c>
      <c r="AF108" s="524">
        <f t="shared" si="68"/>
        <v>0</v>
      </c>
      <c r="AG108" s="524">
        <f t="shared" si="68"/>
        <v>0</v>
      </c>
      <c r="AH108" s="524">
        <f t="shared" si="68"/>
        <v>0</v>
      </c>
      <c r="AI108" s="524">
        <f t="shared" si="68"/>
        <v>0</v>
      </c>
      <c r="AJ108" s="524">
        <f t="shared" si="68"/>
        <v>0</v>
      </c>
      <c r="AK108" s="524">
        <f t="shared" si="68"/>
        <v>0</v>
      </c>
      <c r="AL108" s="524">
        <f t="shared" si="68"/>
        <v>0</v>
      </c>
      <c r="AM108" s="524">
        <f t="shared" si="68"/>
        <v>0</v>
      </c>
      <c r="AN108" s="524">
        <f t="shared" si="68"/>
        <v>0</v>
      </c>
      <c r="AO108" s="524">
        <f t="shared" si="68"/>
        <v>0</v>
      </c>
      <c r="AP108" s="524">
        <f t="shared" si="62"/>
        <v>0</v>
      </c>
      <c r="AQ108" s="524">
        <f t="shared" si="69"/>
        <v>0</v>
      </c>
      <c r="AR108" s="524">
        <f t="shared" si="69"/>
        <v>0</v>
      </c>
      <c r="AS108" s="524">
        <f t="shared" si="69"/>
        <v>0</v>
      </c>
      <c r="AT108" s="524">
        <f t="shared" si="69"/>
        <v>0</v>
      </c>
      <c r="AU108" s="524">
        <f t="shared" si="69"/>
        <v>0</v>
      </c>
      <c r="AV108" s="524">
        <f t="shared" si="69"/>
        <v>0</v>
      </c>
      <c r="AW108" s="524">
        <f t="shared" si="69"/>
        <v>0</v>
      </c>
      <c r="AX108" s="524">
        <f t="shared" si="69"/>
        <v>0</v>
      </c>
      <c r="AY108" s="524">
        <f t="shared" si="69"/>
        <v>0</v>
      </c>
      <c r="AZ108" s="524">
        <f t="shared" si="69"/>
        <v>0</v>
      </c>
      <c r="BA108" s="524">
        <f t="shared" si="70"/>
        <v>0</v>
      </c>
      <c r="BB108" s="524">
        <f t="shared" si="70"/>
        <v>0</v>
      </c>
      <c r="BC108" s="524">
        <f t="shared" si="70"/>
        <v>0</v>
      </c>
      <c r="BD108" s="524">
        <f t="shared" si="70"/>
        <v>0</v>
      </c>
      <c r="BE108" s="524">
        <f t="shared" si="70"/>
        <v>0</v>
      </c>
      <c r="BF108" s="524">
        <f t="shared" si="70"/>
        <v>0</v>
      </c>
      <c r="BG108" s="524">
        <f t="shared" si="70"/>
        <v>0</v>
      </c>
      <c r="BH108" s="524">
        <f t="shared" si="70"/>
        <v>0</v>
      </c>
      <c r="BI108" s="524">
        <f t="shared" si="70"/>
        <v>0</v>
      </c>
      <c r="BJ108" s="524">
        <f t="shared" si="70"/>
        <v>0</v>
      </c>
      <c r="BK108" s="524">
        <f t="shared" si="71"/>
        <v>0</v>
      </c>
      <c r="BL108" s="524">
        <f t="shared" si="71"/>
        <v>0</v>
      </c>
      <c r="BM108" s="524">
        <f t="shared" si="71"/>
        <v>0</v>
      </c>
      <c r="BN108" s="524">
        <f t="shared" si="71"/>
        <v>0</v>
      </c>
      <c r="BO108" s="524">
        <f t="shared" si="71"/>
        <v>0</v>
      </c>
      <c r="BP108" s="524">
        <f t="shared" si="71"/>
        <v>0</v>
      </c>
      <c r="BQ108" s="524">
        <f t="shared" si="71"/>
        <v>0</v>
      </c>
      <c r="BR108" s="524">
        <f t="shared" si="71"/>
        <v>0</v>
      </c>
      <c r="BS108" s="524">
        <f t="shared" si="71"/>
        <v>0</v>
      </c>
      <c r="BT108" s="524">
        <f t="shared" si="71"/>
        <v>0</v>
      </c>
      <c r="BU108" s="524">
        <f t="shared" si="72"/>
        <v>0</v>
      </c>
      <c r="BV108" s="524">
        <f t="shared" si="72"/>
        <v>0</v>
      </c>
      <c r="BW108" s="524">
        <f t="shared" si="72"/>
        <v>0</v>
      </c>
      <c r="BX108" s="524">
        <f t="shared" si="72"/>
        <v>0</v>
      </c>
      <c r="BY108" s="524">
        <f t="shared" si="72"/>
        <v>0</v>
      </c>
      <c r="BZ108" s="524">
        <f t="shared" si="72"/>
        <v>0</v>
      </c>
    </row>
    <row r="109" spans="2:78" ht="21" hidden="1" customHeight="1" outlineLevel="3">
      <c r="B109" s="367"/>
      <c r="C109" s="370"/>
      <c r="D109" s="374">
        <f t="shared" si="67"/>
        <v>45322</v>
      </c>
      <c r="E109" s="373" cm="1">
        <f t="array" ref="E109">IF($D109&lt;=LatestMonthOfActuals,0,INDEX($AE$41:$BZ$41,0,MATCH($D109,$AE$8:$BZ$8,0)))</f>
        <v>0</v>
      </c>
      <c r="F109" s="359"/>
      <c r="G109" s="408">
        <f t="shared" si="59"/>
        <v>0</v>
      </c>
      <c r="H109" s="408">
        <f t="shared" si="59"/>
        <v>0</v>
      </c>
      <c r="I109" s="408">
        <f t="shared" si="59"/>
        <v>0</v>
      </c>
      <c r="J109" s="408">
        <f t="shared" si="59"/>
        <v>0</v>
      </c>
      <c r="K109" s="408"/>
      <c r="L109" s="408"/>
      <c r="M109" s="408">
        <f t="shared" si="60"/>
        <v>0</v>
      </c>
      <c r="N109" s="408">
        <f t="shared" si="60"/>
        <v>0</v>
      </c>
      <c r="O109" s="408">
        <f t="shared" si="60"/>
        <v>0</v>
      </c>
      <c r="P109" s="408">
        <f t="shared" si="60"/>
        <v>0</v>
      </c>
      <c r="Q109" s="408">
        <f t="shared" si="60"/>
        <v>0</v>
      </c>
      <c r="R109" s="408">
        <f t="shared" si="60"/>
        <v>0</v>
      </c>
      <c r="S109" s="408">
        <f t="shared" si="60"/>
        <v>0</v>
      </c>
      <c r="T109" s="408">
        <f t="shared" si="60"/>
        <v>0</v>
      </c>
      <c r="U109" s="408">
        <f t="shared" si="60"/>
        <v>0</v>
      </c>
      <c r="V109" s="408">
        <f t="shared" si="60"/>
        <v>0</v>
      </c>
      <c r="W109" s="408">
        <f t="shared" si="60"/>
        <v>0</v>
      </c>
      <c r="X109" s="408">
        <f t="shared" si="60"/>
        <v>0</v>
      </c>
      <c r="Y109" s="408">
        <f t="shared" si="60"/>
        <v>0</v>
      </c>
      <c r="Z109" s="408">
        <f t="shared" si="60"/>
        <v>0</v>
      </c>
      <c r="AA109" s="408">
        <f t="shared" si="60"/>
        <v>0</v>
      </c>
      <c r="AB109" s="408">
        <f t="shared" si="60"/>
        <v>0</v>
      </c>
      <c r="AC109" s="524"/>
      <c r="AD109" s="359"/>
      <c r="AE109" s="524">
        <f t="shared" si="68"/>
        <v>0</v>
      </c>
      <c r="AF109" s="524">
        <f t="shared" si="68"/>
        <v>0</v>
      </c>
      <c r="AG109" s="524">
        <f t="shared" si="68"/>
        <v>0</v>
      </c>
      <c r="AH109" s="524">
        <f t="shared" si="68"/>
        <v>0</v>
      </c>
      <c r="AI109" s="524">
        <f t="shared" si="68"/>
        <v>0</v>
      </c>
      <c r="AJ109" s="524">
        <f t="shared" si="68"/>
        <v>0</v>
      </c>
      <c r="AK109" s="524">
        <f t="shared" si="68"/>
        <v>0</v>
      </c>
      <c r="AL109" s="524">
        <f t="shared" si="68"/>
        <v>0</v>
      </c>
      <c r="AM109" s="524">
        <f t="shared" si="68"/>
        <v>0</v>
      </c>
      <c r="AN109" s="524">
        <f t="shared" si="68"/>
        <v>0</v>
      </c>
      <c r="AO109" s="524">
        <f t="shared" si="68"/>
        <v>0</v>
      </c>
      <c r="AP109" s="524">
        <f t="shared" si="62"/>
        <v>0</v>
      </c>
      <c r="AQ109" s="524">
        <f t="shared" si="69"/>
        <v>0</v>
      </c>
      <c r="AR109" s="524">
        <f t="shared" si="69"/>
        <v>0</v>
      </c>
      <c r="AS109" s="524">
        <f t="shared" si="69"/>
        <v>0</v>
      </c>
      <c r="AT109" s="524">
        <f t="shared" si="69"/>
        <v>0</v>
      </c>
      <c r="AU109" s="524">
        <f t="shared" si="69"/>
        <v>0</v>
      </c>
      <c r="AV109" s="524">
        <f t="shared" si="69"/>
        <v>0</v>
      </c>
      <c r="AW109" s="524">
        <f t="shared" si="69"/>
        <v>0</v>
      </c>
      <c r="AX109" s="524">
        <f t="shared" si="69"/>
        <v>0</v>
      </c>
      <c r="AY109" s="524">
        <f t="shared" si="69"/>
        <v>0</v>
      </c>
      <c r="AZ109" s="524">
        <f t="shared" si="69"/>
        <v>0</v>
      </c>
      <c r="BA109" s="524">
        <f t="shared" si="70"/>
        <v>0</v>
      </c>
      <c r="BB109" s="524">
        <f t="shared" si="70"/>
        <v>0</v>
      </c>
      <c r="BC109" s="524">
        <f t="shared" si="70"/>
        <v>0</v>
      </c>
      <c r="BD109" s="524">
        <f t="shared" si="70"/>
        <v>0</v>
      </c>
      <c r="BE109" s="524">
        <f t="shared" si="70"/>
        <v>0</v>
      </c>
      <c r="BF109" s="524">
        <f t="shared" si="70"/>
        <v>0</v>
      </c>
      <c r="BG109" s="524">
        <f t="shared" si="70"/>
        <v>0</v>
      </c>
      <c r="BH109" s="524">
        <f t="shared" si="70"/>
        <v>0</v>
      </c>
      <c r="BI109" s="524">
        <f t="shared" si="70"/>
        <v>0</v>
      </c>
      <c r="BJ109" s="524">
        <f t="shared" si="70"/>
        <v>0</v>
      </c>
      <c r="BK109" s="524">
        <f t="shared" si="71"/>
        <v>0</v>
      </c>
      <c r="BL109" s="524">
        <f t="shared" si="71"/>
        <v>0</v>
      </c>
      <c r="BM109" s="524">
        <f t="shared" si="71"/>
        <v>0</v>
      </c>
      <c r="BN109" s="524">
        <f t="shared" si="71"/>
        <v>0</v>
      </c>
      <c r="BO109" s="524">
        <f t="shared" si="71"/>
        <v>0</v>
      </c>
      <c r="BP109" s="524">
        <f t="shared" si="71"/>
        <v>0</v>
      </c>
      <c r="BQ109" s="524">
        <f t="shared" si="71"/>
        <v>0</v>
      </c>
      <c r="BR109" s="524">
        <f t="shared" si="71"/>
        <v>0</v>
      </c>
      <c r="BS109" s="524">
        <f t="shared" si="71"/>
        <v>0</v>
      </c>
      <c r="BT109" s="524">
        <f t="shared" si="71"/>
        <v>0</v>
      </c>
      <c r="BU109" s="524">
        <f t="shared" si="72"/>
        <v>0</v>
      </c>
      <c r="BV109" s="524">
        <f t="shared" si="72"/>
        <v>0</v>
      </c>
      <c r="BW109" s="524">
        <f t="shared" si="72"/>
        <v>0</v>
      </c>
      <c r="BX109" s="524">
        <f t="shared" si="72"/>
        <v>0</v>
      </c>
      <c r="BY109" s="524">
        <f t="shared" si="72"/>
        <v>0</v>
      </c>
      <c r="BZ109" s="524">
        <f t="shared" si="72"/>
        <v>0</v>
      </c>
    </row>
    <row r="110" spans="2:78" ht="21" hidden="1" customHeight="1" outlineLevel="3">
      <c r="B110" s="367"/>
      <c r="C110" s="370"/>
      <c r="D110" s="374">
        <f t="shared" si="67"/>
        <v>45351</v>
      </c>
      <c r="E110" s="373" cm="1">
        <f t="array" ref="E110">IF($D110&lt;=LatestMonthOfActuals,0,INDEX($AE$41:$BZ$41,0,MATCH($D110,$AE$8:$BZ$8,0)))</f>
        <v>0</v>
      </c>
      <c r="F110" s="359"/>
      <c r="G110" s="408">
        <f t="shared" si="59"/>
        <v>0</v>
      </c>
      <c r="H110" s="408">
        <f t="shared" si="59"/>
        <v>0</v>
      </c>
      <c r="I110" s="408">
        <f t="shared" si="59"/>
        <v>0</v>
      </c>
      <c r="J110" s="408">
        <f t="shared" si="59"/>
        <v>0</v>
      </c>
      <c r="K110" s="408"/>
      <c r="L110" s="408"/>
      <c r="M110" s="408">
        <f t="shared" si="60"/>
        <v>0</v>
      </c>
      <c r="N110" s="408">
        <f t="shared" si="60"/>
        <v>0</v>
      </c>
      <c r="O110" s="408">
        <f t="shared" si="60"/>
        <v>0</v>
      </c>
      <c r="P110" s="408">
        <f t="shared" si="60"/>
        <v>0</v>
      </c>
      <c r="Q110" s="408">
        <f t="shared" si="60"/>
        <v>0</v>
      </c>
      <c r="R110" s="408">
        <f t="shared" si="60"/>
        <v>0</v>
      </c>
      <c r="S110" s="408">
        <f t="shared" si="60"/>
        <v>0</v>
      </c>
      <c r="T110" s="408">
        <f t="shared" si="60"/>
        <v>0</v>
      </c>
      <c r="U110" s="408">
        <f t="shared" si="60"/>
        <v>0</v>
      </c>
      <c r="V110" s="408">
        <f t="shared" si="60"/>
        <v>0</v>
      </c>
      <c r="W110" s="408">
        <f t="shared" si="60"/>
        <v>0</v>
      </c>
      <c r="X110" s="408">
        <f t="shared" si="60"/>
        <v>0</v>
      </c>
      <c r="Y110" s="408">
        <f t="shared" si="60"/>
        <v>0</v>
      </c>
      <c r="Z110" s="408">
        <f t="shared" si="60"/>
        <v>0</v>
      </c>
      <c r="AA110" s="408">
        <f t="shared" si="60"/>
        <v>0</v>
      </c>
      <c r="AB110" s="408">
        <f t="shared" si="60"/>
        <v>0</v>
      </c>
      <c r="AC110" s="524"/>
      <c r="AD110" s="359"/>
      <c r="AE110" s="524">
        <f t="shared" si="68"/>
        <v>0</v>
      </c>
      <c r="AF110" s="524">
        <f t="shared" si="68"/>
        <v>0</v>
      </c>
      <c r="AG110" s="524">
        <f t="shared" si="68"/>
        <v>0</v>
      </c>
      <c r="AH110" s="524">
        <f t="shared" si="68"/>
        <v>0</v>
      </c>
      <c r="AI110" s="524">
        <f t="shared" si="68"/>
        <v>0</v>
      </c>
      <c r="AJ110" s="524">
        <f t="shared" si="68"/>
        <v>0</v>
      </c>
      <c r="AK110" s="524">
        <f t="shared" si="68"/>
        <v>0</v>
      </c>
      <c r="AL110" s="524">
        <f t="shared" si="68"/>
        <v>0</v>
      </c>
      <c r="AM110" s="524">
        <f t="shared" si="68"/>
        <v>0</v>
      </c>
      <c r="AN110" s="524">
        <f t="shared" si="68"/>
        <v>0</v>
      </c>
      <c r="AO110" s="524">
        <f t="shared" si="68"/>
        <v>0</v>
      </c>
      <c r="AP110" s="524">
        <f t="shared" si="62"/>
        <v>0</v>
      </c>
      <c r="AQ110" s="524">
        <f t="shared" si="69"/>
        <v>0</v>
      </c>
      <c r="AR110" s="524">
        <f t="shared" si="69"/>
        <v>0</v>
      </c>
      <c r="AS110" s="524">
        <f t="shared" si="69"/>
        <v>0</v>
      </c>
      <c r="AT110" s="524">
        <f t="shared" si="69"/>
        <v>0</v>
      </c>
      <c r="AU110" s="524">
        <f t="shared" si="69"/>
        <v>0</v>
      </c>
      <c r="AV110" s="524">
        <f t="shared" si="69"/>
        <v>0</v>
      </c>
      <c r="AW110" s="524">
        <f t="shared" si="69"/>
        <v>0</v>
      </c>
      <c r="AX110" s="524">
        <f t="shared" si="69"/>
        <v>0</v>
      </c>
      <c r="AY110" s="524">
        <f t="shared" si="69"/>
        <v>0</v>
      </c>
      <c r="AZ110" s="524">
        <f t="shared" si="69"/>
        <v>0</v>
      </c>
      <c r="BA110" s="524">
        <f t="shared" si="70"/>
        <v>0</v>
      </c>
      <c r="BB110" s="524">
        <f t="shared" si="70"/>
        <v>0</v>
      </c>
      <c r="BC110" s="524">
        <f t="shared" si="70"/>
        <v>0</v>
      </c>
      <c r="BD110" s="524">
        <f t="shared" si="70"/>
        <v>0</v>
      </c>
      <c r="BE110" s="524">
        <f t="shared" si="70"/>
        <v>0</v>
      </c>
      <c r="BF110" s="524">
        <f t="shared" si="70"/>
        <v>0</v>
      </c>
      <c r="BG110" s="524">
        <f t="shared" si="70"/>
        <v>0</v>
      </c>
      <c r="BH110" s="524">
        <f t="shared" si="70"/>
        <v>0</v>
      </c>
      <c r="BI110" s="524">
        <f t="shared" si="70"/>
        <v>0</v>
      </c>
      <c r="BJ110" s="524">
        <f t="shared" si="70"/>
        <v>0</v>
      </c>
      <c r="BK110" s="524">
        <f t="shared" si="71"/>
        <v>0</v>
      </c>
      <c r="BL110" s="524">
        <f t="shared" si="71"/>
        <v>0</v>
      </c>
      <c r="BM110" s="524">
        <f t="shared" si="71"/>
        <v>0</v>
      </c>
      <c r="BN110" s="524">
        <f t="shared" si="71"/>
        <v>0</v>
      </c>
      <c r="BO110" s="524">
        <f t="shared" si="71"/>
        <v>0</v>
      </c>
      <c r="BP110" s="524">
        <f t="shared" si="71"/>
        <v>0</v>
      </c>
      <c r="BQ110" s="524">
        <f t="shared" si="71"/>
        <v>0</v>
      </c>
      <c r="BR110" s="524">
        <f t="shared" si="71"/>
        <v>0</v>
      </c>
      <c r="BS110" s="524">
        <f t="shared" si="71"/>
        <v>0</v>
      </c>
      <c r="BT110" s="524">
        <f t="shared" si="71"/>
        <v>0</v>
      </c>
      <c r="BU110" s="524">
        <f t="shared" si="72"/>
        <v>0</v>
      </c>
      <c r="BV110" s="524">
        <f t="shared" si="72"/>
        <v>0</v>
      </c>
      <c r="BW110" s="524">
        <f t="shared" si="72"/>
        <v>0</v>
      </c>
      <c r="BX110" s="524">
        <f t="shared" si="72"/>
        <v>0</v>
      </c>
      <c r="BY110" s="524">
        <f t="shared" si="72"/>
        <v>0</v>
      </c>
      <c r="BZ110" s="524">
        <f t="shared" si="72"/>
        <v>0</v>
      </c>
    </row>
    <row r="111" spans="2:78" ht="21" hidden="1" customHeight="1" outlineLevel="3">
      <c r="B111" s="367"/>
      <c r="C111" s="370"/>
      <c r="D111" s="374">
        <f t="shared" si="67"/>
        <v>45382</v>
      </c>
      <c r="E111" s="373" cm="1">
        <f t="array" ref="E111">IF($D111&lt;=LatestMonthOfActuals,0,INDEX($AE$41:$BZ$41,0,MATCH($D111,$AE$8:$BZ$8,0)))</f>
        <v>0</v>
      </c>
      <c r="F111" s="359"/>
      <c r="G111" s="408">
        <f t="shared" si="59"/>
        <v>0</v>
      </c>
      <c r="H111" s="408">
        <f t="shared" si="59"/>
        <v>0</v>
      </c>
      <c r="I111" s="408">
        <f t="shared" si="59"/>
        <v>0</v>
      </c>
      <c r="J111" s="408">
        <f t="shared" si="59"/>
        <v>0</v>
      </c>
      <c r="K111" s="408"/>
      <c r="L111" s="408"/>
      <c r="M111" s="408">
        <f t="shared" si="60"/>
        <v>0</v>
      </c>
      <c r="N111" s="408">
        <f t="shared" si="60"/>
        <v>0</v>
      </c>
      <c r="O111" s="408">
        <f t="shared" si="60"/>
        <v>0</v>
      </c>
      <c r="P111" s="408">
        <f t="shared" si="60"/>
        <v>0</v>
      </c>
      <c r="Q111" s="408">
        <f t="shared" si="60"/>
        <v>0</v>
      </c>
      <c r="R111" s="408">
        <f t="shared" si="60"/>
        <v>0</v>
      </c>
      <c r="S111" s="408">
        <f t="shared" si="60"/>
        <v>0</v>
      </c>
      <c r="T111" s="408">
        <f t="shared" si="60"/>
        <v>0</v>
      </c>
      <c r="U111" s="408">
        <f t="shared" si="60"/>
        <v>0</v>
      </c>
      <c r="V111" s="408">
        <f t="shared" si="60"/>
        <v>0</v>
      </c>
      <c r="W111" s="408">
        <f t="shared" si="60"/>
        <v>0</v>
      </c>
      <c r="X111" s="408">
        <f t="shared" si="60"/>
        <v>0</v>
      </c>
      <c r="Y111" s="408">
        <f t="shared" si="60"/>
        <v>0</v>
      </c>
      <c r="Z111" s="408">
        <f t="shared" si="60"/>
        <v>0</v>
      </c>
      <c r="AA111" s="408">
        <f t="shared" si="60"/>
        <v>0</v>
      </c>
      <c r="AB111" s="408">
        <f t="shared" si="60"/>
        <v>0</v>
      </c>
      <c r="AC111" s="524"/>
      <c r="AD111" s="359"/>
      <c r="AE111" s="524">
        <f t="shared" si="68"/>
        <v>0</v>
      </c>
      <c r="AF111" s="524">
        <f t="shared" si="68"/>
        <v>0</v>
      </c>
      <c r="AG111" s="524">
        <f t="shared" si="68"/>
        <v>0</v>
      </c>
      <c r="AH111" s="524">
        <f t="shared" si="68"/>
        <v>0</v>
      </c>
      <c r="AI111" s="524">
        <f t="shared" si="68"/>
        <v>0</v>
      </c>
      <c r="AJ111" s="524">
        <f t="shared" si="68"/>
        <v>0</v>
      </c>
      <c r="AK111" s="524">
        <f t="shared" si="68"/>
        <v>0</v>
      </c>
      <c r="AL111" s="524">
        <f t="shared" si="68"/>
        <v>0</v>
      </c>
      <c r="AM111" s="524">
        <f t="shared" si="68"/>
        <v>0</v>
      </c>
      <c r="AN111" s="524">
        <f t="shared" si="68"/>
        <v>0</v>
      </c>
      <c r="AO111" s="524">
        <f t="shared" si="68"/>
        <v>0</v>
      </c>
      <c r="AP111" s="524">
        <f t="shared" si="62"/>
        <v>0</v>
      </c>
      <c r="AQ111" s="524">
        <f t="shared" si="69"/>
        <v>0</v>
      </c>
      <c r="AR111" s="524">
        <f t="shared" si="69"/>
        <v>0</v>
      </c>
      <c r="AS111" s="524">
        <f t="shared" si="69"/>
        <v>0</v>
      </c>
      <c r="AT111" s="524">
        <f t="shared" si="69"/>
        <v>0</v>
      </c>
      <c r="AU111" s="524">
        <f t="shared" si="69"/>
        <v>0</v>
      </c>
      <c r="AV111" s="524">
        <f t="shared" si="69"/>
        <v>0</v>
      </c>
      <c r="AW111" s="524">
        <f t="shared" si="69"/>
        <v>0</v>
      </c>
      <c r="AX111" s="524">
        <f t="shared" si="69"/>
        <v>0</v>
      </c>
      <c r="AY111" s="524">
        <f t="shared" si="69"/>
        <v>0</v>
      </c>
      <c r="AZ111" s="524">
        <f t="shared" si="69"/>
        <v>0</v>
      </c>
      <c r="BA111" s="524">
        <f t="shared" si="70"/>
        <v>0</v>
      </c>
      <c r="BB111" s="524">
        <f t="shared" si="70"/>
        <v>0</v>
      </c>
      <c r="BC111" s="524">
        <f t="shared" si="70"/>
        <v>0</v>
      </c>
      <c r="BD111" s="524">
        <f t="shared" si="70"/>
        <v>0</v>
      </c>
      <c r="BE111" s="524">
        <f t="shared" si="70"/>
        <v>0</v>
      </c>
      <c r="BF111" s="524">
        <f t="shared" si="70"/>
        <v>0</v>
      </c>
      <c r="BG111" s="524">
        <f t="shared" si="70"/>
        <v>0</v>
      </c>
      <c r="BH111" s="524">
        <f t="shared" si="70"/>
        <v>0</v>
      </c>
      <c r="BI111" s="524">
        <f t="shared" si="70"/>
        <v>0</v>
      </c>
      <c r="BJ111" s="524">
        <f t="shared" si="70"/>
        <v>0</v>
      </c>
      <c r="BK111" s="524">
        <f t="shared" si="71"/>
        <v>0</v>
      </c>
      <c r="BL111" s="524">
        <f t="shared" si="71"/>
        <v>0</v>
      </c>
      <c r="BM111" s="524">
        <f t="shared" si="71"/>
        <v>0</v>
      </c>
      <c r="BN111" s="524">
        <f t="shared" si="71"/>
        <v>0</v>
      </c>
      <c r="BO111" s="524">
        <f t="shared" si="71"/>
        <v>0</v>
      </c>
      <c r="BP111" s="524">
        <f t="shared" si="71"/>
        <v>0</v>
      </c>
      <c r="BQ111" s="524">
        <f t="shared" si="71"/>
        <v>0</v>
      </c>
      <c r="BR111" s="524">
        <f t="shared" si="71"/>
        <v>0</v>
      </c>
      <c r="BS111" s="524">
        <f t="shared" si="71"/>
        <v>0</v>
      </c>
      <c r="BT111" s="524">
        <f t="shared" si="71"/>
        <v>0</v>
      </c>
      <c r="BU111" s="524">
        <f t="shared" si="72"/>
        <v>0</v>
      </c>
      <c r="BV111" s="524">
        <f t="shared" si="72"/>
        <v>0</v>
      </c>
      <c r="BW111" s="524">
        <f t="shared" si="72"/>
        <v>0</v>
      </c>
      <c r="BX111" s="524">
        <f t="shared" si="72"/>
        <v>0</v>
      </c>
      <c r="BY111" s="524">
        <f t="shared" si="72"/>
        <v>0</v>
      </c>
      <c r="BZ111" s="524">
        <f t="shared" si="72"/>
        <v>0</v>
      </c>
    </row>
    <row r="112" spans="2:78" ht="21" hidden="1" customHeight="1" outlineLevel="3">
      <c r="B112" s="367"/>
      <c r="C112" s="370"/>
      <c r="D112" s="374">
        <f t="shared" si="67"/>
        <v>45412</v>
      </c>
      <c r="E112" s="373" cm="1">
        <f t="array" ref="E112">IF($D112&lt;=LatestMonthOfActuals,0,INDEX($AE$41:$BZ$41,0,MATCH($D112,$AE$8:$BZ$8,0)))</f>
        <v>0</v>
      </c>
      <c r="F112" s="359"/>
      <c r="G112" s="408">
        <f t="shared" si="59"/>
        <v>0</v>
      </c>
      <c r="H112" s="408">
        <f t="shared" si="59"/>
        <v>0</v>
      </c>
      <c r="I112" s="408">
        <f t="shared" si="59"/>
        <v>0</v>
      </c>
      <c r="J112" s="408">
        <f t="shared" si="59"/>
        <v>0</v>
      </c>
      <c r="K112" s="408"/>
      <c r="L112" s="408"/>
      <c r="M112" s="408">
        <f t="shared" si="60"/>
        <v>0</v>
      </c>
      <c r="N112" s="408">
        <f t="shared" si="60"/>
        <v>0</v>
      </c>
      <c r="O112" s="408">
        <f t="shared" si="60"/>
        <v>0</v>
      </c>
      <c r="P112" s="408">
        <f t="shared" si="60"/>
        <v>0</v>
      </c>
      <c r="Q112" s="408">
        <f t="shared" si="60"/>
        <v>0</v>
      </c>
      <c r="R112" s="408">
        <f t="shared" si="60"/>
        <v>0</v>
      </c>
      <c r="S112" s="408">
        <f t="shared" si="60"/>
        <v>0</v>
      </c>
      <c r="T112" s="408">
        <f t="shared" si="60"/>
        <v>0</v>
      </c>
      <c r="U112" s="408">
        <f t="shared" si="60"/>
        <v>0</v>
      </c>
      <c r="V112" s="408">
        <f t="shared" si="60"/>
        <v>0</v>
      </c>
      <c r="W112" s="408">
        <f t="shared" si="60"/>
        <v>0</v>
      </c>
      <c r="X112" s="408">
        <f t="shared" si="60"/>
        <v>0</v>
      </c>
      <c r="Y112" s="408">
        <f t="shared" si="60"/>
        <v>0</v>
      </c>
      <c r="Z112" s="408">
        <f t="shared" si="60"/>
        <v>0</v>
      </c>
      <c r="AA112" s="408">
        <f t="shared" si="60"/>
        <v>0</v>
      </c>
      <c r="AB112" s="408">
        <f t="shared" ref="AB112" si="73">SUMIFS($AE112:$BZ112,$AE$4:$BZ$4,"&gt;="&amp;AB$4,$AE112:$BZ112,"&lt;="&amp;AB$5)</f>
        <v>0</v>
      </c>
      <c r="AC112" s="524"/>
      <c r="AD112" s="359"/>
      <c r="AE112" s="524">
        <f t="shared" si="68"/>
        <v>0</v>
      </c>
      <c r="AF112" s="524">
        <f t="shared" si="68"/>
        <v>0</v>
      </c>
      <c r="AG112" s="524">
        <f t="shared" si="68"/>
        <v>0</v>
      </c>
      <c r="AH112" s="524">
        <f t="shared" si="68"/>
        <v>0</v>
      </c>
      <c r="AI112" s="524">
        <f t="shared" si="68"/>
        <v>0</v>
      </c>
      <c r="AJ112" s="524">
        <f t="shared" si="68"/>
        <v>0</v>
      </c>
      <c r="AK112" s="524">
        <f t="shared" si="68"/>
        <v>0</v>
      </c>
      <c r="AL112" s="524">
        <f t="shared" si="68"/>
        <v>0</v>
      </c>
      <c r="AM112" s="524">
        <f t="shared" si="68"/>
        <v>0</v>
      </c>
      <c r="AN112" s="524">
        <f t="shared" si="68"/>
        <v>0</v>
      </c>
      <c r="AO112" s="524">
        <f t="shared" si="68"/>
        <v>0</v>
      </c>
      <c r="AP112" s="524">
        <f t="shared" si="62"/>
        <v>0</v>
      </c>
      <c r="AQ112" s="524">
        <f t="shared" si="69"/>
        <v>0</v>
      </c>
      <c r="AR112" s="524">
        <f t="shared" si="69"/>
        <v>0</v>
      </c>
      <c r="AS112" s="524">
        <f t="shared" si="69"/>
        <v>0</v>
      </c>
      <c r="AT112" s="524">
        <f t="shared" si="69"/>
        <v>0</v>
      </c>
      <c r="AU112" s="524">
        <f t="shared" si="69"/>
        <v>0</v>
      </c>
      <c r="AV112" s="524">
        <f t="shared" si="69"/>
        <v>0</v>
      </c>
      <c r="AW112" s="524">
        <f t="shared" si="69"/>
        <v>0</v>
      </c>
      <c r="AX112" s="524">
        <f t="shared" si="69"/>
        <v>0</v>
      </c>
      <c r="AY112" s="524">
        <f t="shared" si="69"/>
        <v>0</v>
      </c>
      <c r="AZ112" s="524">
        <f t="shared" si="69"/>
        <v>0</v>
      </c>
      <c r="BA112" s="524">
        <f t="shared" si="70"/>
        <v>0</v>
      </c>
      <c r="BB112" s="524">
        <f t="shared" si="70"/>
        <v>0</v>
      </c>
      <c r="BC112" s="524">
        <f t="shared" si="70"/>
        <v>0</v>
      </c>
      <c r="BD112" s="524">
        <f t="shared" si="70"/>
        <v>0</v>
      </c>
      <c r="BE112" s="524">
        <f t="shared" si="70"/>
        <v>0</v>
      </c>
      <c r="BF112" s="524">
        <f t="shared" si="70"/>
        <v>0</v>
      </c>
      <c r="BG112" s="524">
        <f t="shared" si="70"/>
        <v>0</v>
      </c>
      <c r="BH112" s="524">
        <f t="shared" si="70"/>
        <v>0</v>
      </c>
      <c r="BI112" s="524">
        <f t="shared" si="70"/>
        <v>0</v>
      </c>
      <c r="BJ112" s="524">
        <f t="shared" si="70"/>
        <v>0</v>
      </c>
      <c r="BK112" s="524">
        <f t="shared" si="71"/>
        <v>0</v>
      </c>
      <c r="BL112" s="524">
        <f t="shared" si="71"/>
        <v>0</v>
      </c>
      <c r="BM112" s="524">
        <f t="shared" si="71"/>
        <v>0</v>
      </c>
      <c r="BN112" s="524">
        <f t="shared" si="71"/>
        <v>0</v>
      </c>
      <c r="BO112" s="524">
        <f t="shared" si="71"/>
        <v>0</v>
      </c>
      <c r="BP112" s="524">
        <f t="shared" si="71"/>
        <v>0</v>
      </c>
      <c r="BQ112" s="524">
        <f t="shared" si="71"/>
        <v>0</v>
      </c>
      <c r="BR112" s="524">
        <f t="shared" si="71"/>
        <v>0</v>
      </c>
      <c r="BS112" s="524">
        <f t="shared" si="71"/>
        <v>0</v>
      </c>
      <c r="BT112" s="524">
        <f t="shared" si="71"/>
        <v>0</v>
      </c>
      <c r="BU112" s="524">
        <f t="shared" si="72"/>
        <v>0</v>
      </c>
      <c r="BV112" s="524">
        <f t="shared" si="72"/>
        <v>0</v>
      </c>
      <c r="BW112" s="524">
        <f t="shared" si="72"/>
        <v>0</v>
      </c>
      <c r="BX112" s="524">
        <f t="shared" si="72"/>
        <v>0</v>
      </c>
      <c r="BY112" s="524">
        <f t="shared" si="72"/>
        <v>0</v>
      </c>
      <c r="BZ112" s="524">
        <f t="shared" si="72"/>
        <v>0</v>
      </c>
    </row>
    <row r="113" spans="2:78" ht="21" hidden="1" customHeight="1" outlineLevel="3">
      <c r="B113" s="367"/>
      <c r="C113" s="370"/>
      <c r="D113" s="374">
        <f t="shared" si="67"/>
        <v>45443</v>
      </c>
      <c r="E113" s="373" cm="1">
        <f t="array" ref="E113">IF($D113&lt;=LatestMonthOfActuals,0,INDEX($AE$41:$BZ$41,0,MATCH($D113,$AE$8:$BZ$8,0)))</f>
        <v>0</v>
      </c>
      <c r="F113" s="359"/>
      <c r="G113" s="408">
        <f t="shared" si="59"/>
        <v>0</v>
      </c>
      <c r="H113" s="408">
        <f t="shared" si="59"/>
        <v>0</v>
      </c>
      <c r="I113" s="408">
        <f t="shared" si="59"/>
        <v>0</v>
      </c>
      <c r="J113" s="408">
        <f t="shared" si="59"/>
        <v>0</v>
      </c>
      <c r="K113" s="408"/>
      <c r="L113" s="408"/>
      <c r="M113" s="408">
        <f t="shared" ref="M113:AB128" si="74">SUMIFS($AE113:$BZ113,$AE$4:$BZ$4,"&gt;="&amp;M$4,$AE113:$BZ113,"&lt;="&amp;M$5)</f>
        <v>0</v>
      </c>
      <c r="N113" s="408">
        <f t="shared" si="74"/>
        <v>0</v>
      </c>
      <c r="O113" s="408">
        <f t="shared" si="74"/>
        <v>0</v>
      </c>
      <c r="P113" s="408">
        <f t="shared" si="74"/>
        <v>0</v>
      </c>
      <c r="Q113" s="408">
        <f t="shared" si="74"/>
        <v>0</v>
      </c>
      <c r="R113" s="408">
        <f t="shared" si="74"/>
        <v>0</v>
      </c>
      <c r="S113" s="408">
        <f t="shared" si="74"/>
        <v>0</v>
      </c>
      <c r="T113" s="408">
        <f t="shared" si="74"/>
        <v>0</v>
      </c>
      <c r="U113" s="408">
        <f t="shared" si="74"/>
        <v>0</v>
      </c>
      <c r="V113" s="408">
        <f t="shared" si="74"/>
        <v>0</v>
      </c>
      <c r="W113" s="408">
        <f t="shared" si="74"/>
        <v>0</v>
      </c>
      <c r="X113" s="408">
        <f t="shared" si="74"/>
        <v>0</v>
      </c>
      <c r="Y113" s="408">
        <f t="shared" si="74"/>
        <v>0</v>
      </c>
      <c r="Z113" s="408">
        <f t="shared" si="74"/>
        <v>0</v>
      </c>
      <c r="AA113" s="408">
        <f t="shared" si="74"/>
        <v>0</v>
      </c>
      <c r="AB113" s="408">
        <f t="shared" si="74"/>
        <v>0</v>
      </c>
      <c r="AC113" s="524"/>
      <c r="AD113" s="359"/>
      <c r="AE113" s="524">
        <f t="shared" si="68"/>
        <v>0</v>
      </c>
      <c r="AF113" s="524">
        <f t="shared" si="68"/>
        <v>0</v>
      </c>
      <c r="AG113" s="524">
        <f t="shared" si="68"/>
        <v>0</v>
      </c>
      <c r="AH113" s="524">
        <f t="shared" si="68"/>
        <v>0</v>
      </c>
      <c r="AI113" s="524">
        <f t="shared" si="68"/>
        <v>0</v>
      </c>
      <c r="AJ113" s="524">
        <f t="shared" si="68"/>
        <v>0</v>
      </c>
      <c r="AK113" s="524">
        <f t="shared" si="68"/>
        <v>0</v>
      </c>
      <c r="AL113" s="524">
        <f t="shared" si="68"/>
        <v>0</v>
      </c>
      <c r="AM113" s="524">
        <f t="shared" si="68"/>
        <v>0</v>
      </c>
      <c r="AN113" s="524">
        <f t="shared" si="68"/>
        <v>0</v>
      </c>
      <c r="AO113" s="524">
        <f t="shared" si="68"/>
        <v>0</v>
      </c>
      <c r="AP113" s="524">
        <f t="shared" si="62"/>
        <v>0</v>
      </c>
      <c r="AQ113" s="524">
        <f t="shared" si="69"/>
        <v>0</v>
      </c>
      <c r="AR113" s="524">
        <f t="shared" si="69"/>
        <v>0</v>
      </c>
      <c r="AS113" s="524">
        <f t="shared" si="69"/>
        <v>0</v>
      </c>
      <c r="AT113" s="524">
        <f t="shared" si="69"/>
        <v>0</v>
      </c>
      <c r="AU113" s="524">
        <f t="shared" si="69"/>
        <v>0</v>
      </c>
      <c r="AV113" s="524">
        <f t="shared" si="69"/>
        <v>0</v>
      </c>
      <c r="AW113" s="524">
        <f t="shared" si="69"/>
        <v>0</v>
      </c>
      <c r="AX113" s="524">
        <f t="shared" si="69"/>
        <v>0</v>
      </c>
      <c r="AY113" s="524">
        <f t="shared" si="69"/>
        <v>0</v>
      </c>
      <c r="AZ113" s="524">
        <f t="shared" si="69"/>
        <v>0</v>
      </c>
      <c r="BA113" s="524">
        <f t="shared" si="70"/>
        <v>0</v>
      </c>
      <c r="BB113" s="524">
        <f t="shared" si="70"/>
        <v>0</v>
      </c>
      <c r="BC113" s="524">
        <f t="shared" si="70"/>
        <v>0</v>
      </c>
      <c r="BD113" s="524">
        <f t="shared" si="70"/>
        <v>0</v>
      </c>
      <c r="BE113" s="524">
        <f t="shared" si="70"/>
        <v>0</v>
      </c>
      <c r="BF113" s="524">
        <f t="shared" si="70"/>
        <v>0</v>
      </c>
      <c r="BG113" s="524">
        <f t="shared" si="70"/>
        <v>0</v>
      </c>
      <c r="BH113" s="524">
        <f t="shared" si="70"/>
        <v>0</v>
      </c>
      <c r="BI113" s="524">
        <f t="shared" si="70"/>
        <v>0</v>
      </c>
      <c r="BJ113" s="524">
        <f t="shared" si="70"/>
        <v>0</v>
      </c>
      <c r="BK113" s="524">
        <f t="shared" si="71"/>
        <v>0</v>
      </c>
      <c r="BL113" s="524">
        <f t="shared" si="71"/>
        <v>0</v>
      </c>
      <c r="BM113" s="524">
        <f t="shared" si="71"/>
        <v>0</v>
      </c>
      <c r="BN113" s="524">
        <f t="shared" si="71"/>
        <v>0</v>
      </c>
      <c r="BO113" s="524">
        <f t="shared" si="71"/>
        <v>0</v>
      </c>
      <c r="BP113" s="524">
        <f t="shared" si="71"/>
        <v>0</v>
      </c>
      <c r="BQ113" s="524">
        <f t="shared" si="71"/>
        <v>0</v>
      </c>
      <c r="BR113" s="524">
        <f t="shared" si="71"/>
        <v>0</v>
      </c>
      <c r="BS113" s="524">
        <f t="shared" si="71"/>
        <v>0</v>
      </c>
      <c r="BT113" s="524">
        <f t="shared" si="71"/>
        <v>0</v>
      </c>
      <c r="BU113" s="524">
        <f t="shared" si="72"/>
        <v>0</v>
      </c>
      <c r="BV113" s="524">
        <f t="shared" si="72"/>
        <v>0</v>
      </c>
      <c r="BW113" s="524">
        <f t="shared" si="72"/>
        <v>0</v>
      </c>
      <c r="BX113" s="524">
        <f t="shared" si="72"/>
        <v>0</v>
      </c>
      <c r="BY113" s="524">
        <f t="shared" si="72"/>
        <v>0</v>
      </c>
      <c r="BZ113" s="524">
        <f t="shared" si="72"/>
        <v>0</v>
      </c>
    </row>
    <row r="114" spans="2:78" ht="21" hidden="1" customHeight="1" outlineLevel="3">
      <c r="B114" s="367"/>
      <c r="C114" s="370"/>
      <c r="D114" s="374">
        <f t="shared" si="67"/>
        <v>45473</v>
      </c>
      <c r="E114" s="373" cm="1">
        <f t="array" ref="E114">IF($D114&lt;=LatestMonthOfActuals,0,INDEX($AE$41:$BZ$41,0,MATCH($D114,$AE$8:$BZ$8,0)))</f>
        <v>0</v>
      </c>
      <c r="F114" s="359"/>
      <c r="G114" s="408">
        <f t="shared" si="59"/>
        <v>0</v>
      </c>
      <c r="H114" s="408">
        <f t="shared" si="59"/>
        <v>0</v>
      </c>
      <c r="I114" s="408">
        <f t="shared" si="59"/>
        <v>0</v>
      </c>
      <c r="J114" s="408">
        <f t="shared" si="59"/>
        <v>0</v>
      </c>
      <c r="K114" s="408"/>
      <c r="L114" s="408"/>
      <c r="M114" s="408">
        <f t="shared" si="74"/>
        <v>0</v>
      </c>
      <c r="N114" s="408">
        <f t="shared" si="74"/>
        <v>0</v>
      </c>
      <c r="O114" s="408">
        <f t="shared" si="74"/>
        <v>0</v>
      </c>
      <c r="P114" s="408">
        <f t="shared" si="74"/>
        <v>0</v>
      </c>
      <c r="Q114" s="408">
        <f t="shared" si="74"/>
        <v>0</v>
      </c>
      <c r="R114" s="408">
        <f t="shared" si="74"/>
        <v>0</v>
      </c>
      <c r="S114" s="408">
        <f t="shared" si="74"/>
        <v>0</v>
      </c>
      <c r="T114" s="408">
        <f t="shared" si="74"/>
        <v>0</v>
      </c>
      <c r="U114" s="408">
        <f t="shared" si="74"/>
        <v>0</v>
      </c>
      <c r="V114" s="408">
        <f t="shared" si="74"/>
        <v>0</v>
      </c>
      <c r="W114" s="408">
        <f t="shared" si="74"/>
        <v>0</v>
      </c>
      <c r="X114" s="408">
        <f t="shared" si="74"/>
        <v>0</v>
      </c>
      <c r="Y114" s="408">
        <f t="shared" si="74"/>
        <v>0</v>
      </c>
      <c r="Z114" s="408">
        <f t="shared" si="74"/>
        <v>0</v>
      </c>
      <c r="AA114" s="408">
        <f t="shared" si="74"/>
        <v>0</v>
      </c>
      <c r="AB114" s="408">
        <f t="shared" si="74"/>
        <v>0</v>
      </c>
      <c r="AC114" s="524"/>
      <c r="AD114" s="359"/>
      <c r="AE114" s="524">
        <f t="shared" si="68"/>
        <v>0</v>
      </c>
      <c r="AF114" s="524">
        <f t="shared" si="68"/>
        <v>0</v>
      </c>
      <c r="AG114" s="524">
        <f t="shared" si="68"/>
        <v>0</v>
      </c>
      <c r="AH114" s="524">
        <f t="shared" si="68"/>
        <v>0</v>
      </c>
      <c r="AI114" s="524">
        <f t="shared" si="68"/>
        <v>0</v>
      </c>
      <c r="AJ114" s="524">
        <f t="shared" si="68"/>
        <v>0</v>
      </c>
      <c r="AK114" s="524">
        <f t="shared" si="68"/>
        <v>0</v>
      </c>
      <c r="AL114" s="524">
        <f t="shared" si="68"/>
        <v>0</v>
      </c>
      <c r="AM114" s="524">
        <f t="shared" si="68"/>
        <v>0</v>
      </c>
      <c r="AN114" s="524">
        <f t="shared" si="68"/>
        <v>0</v>
      </c>
      <c r="AO114" s="524">
        <f t="shared" si="68"/>
        <v>0</v>
      </c>
      <c r="AP114" s="524">
        <f t="shared" si="62"/>
        <v>0</v>
      </c>
      <c r="AQ114" s="524">
        <f t="shared" si="69"/>
        <v>0</v>
      </c>
      <c r="AR114" s="524">
        <f t="shared" si="69"/>
        <v>0</v>
      </c>
      <c r="AS114" s="524">
        <f t="shared" si="69"/>
        <v>0</v>
      </c>
      <c r="AT114" s="524">
        <f t="shared" si="69"/>
        <v>0</v>
      </c>
      <c r="AU114" s="524">
        <f t="shared" si="69"/>
        <v>0</v>
      </c>
      <c r="AV114" s="524">
        <f t="shared" si="69"/>
        <v>0</v>
      </c>
      <c r="AW114" s="524">
        <f t="shared" si="69"/>
        <v>0</v>
      </c>
      <c r="AX114" s="524">
        <f t="shared" si="69"/>
        <v>0</v>
      </c>
      <c r="AY114" s="524">
        <f t="shared" si="69"/>
        <v>0</v>
      </c>
      <c r="AZ114" s="524">
        <f t="shared" si="69"/>
        <v>0</v>
      </c>
      <c r="BA114" s="524">
        <f t="shared" si="70"/>
        <v>0</v>
      </c>
      <c r="BB114" s="524">
        <f t="shared" si="70"/>
        <v>0</v>
      </c>
      <c r="BC114" s="524">
        <f t="shared" si="70"/>
        <v>0</v>
      </c>
      <c r="BD114" s="524">
        <f t="shared" si="70"/>
        <v>0</v>
      </c>
      <c r="BE114" s="524">
        <f t="shared" si="70"/>
        <v>0</v>
      </c>
      <c r="BF114" s="524">
        <f t="shared" si="70"/>
        <v>0</v>
      </c>
      <c r="BG114" s="524">
        <f t="shared" si="70"/>
        <v>0</v>
      </c>
      <c r="BH114" s="524">
        <f t="shared" si="70"/>
        <v>0</v>
      </c>
      <c r="BI114" s="524">
        <f t="shared" si="70"/>
        <v>0</v>
      </c>
      <c r="BJ114" s="524">
        <f t="shared" si="70"/>
        <v>0</v>
      </c>
      <c r="BK114" s="524">
        <f t="shared" si="71"/>
        <v>0</v>
      </c>
      <c r="BL114" s="524">
        <f t="shared" si="71"/>
        <v>0</v>
      </c>
      <c r="BM114" s="524">
        <f t="shared" si="71"/>
        <v>0</v>
      </c>
      <c r="BN114" s="524">
        <f t="shared" si="71"/>
        <v>0</v>
      </c>
      <c r="BO114" s="524">
        <f t="shared" si="71"/>
        <v>0</v>
      </c>
      <c r="BP114" s="524">
        <f t="shared" si="71"/>
        <v>0</v>
      </c>
      <c r="BQ114" s="524">
        <f t="shared" si="71"/>
        <v>0</v>
      </c>
      <c r="BR114" s="524">
        <f t="shared" si="71"/>
        <v>0</v>
      </c>
      <c r="BS114" s="524">
        <f t="shared" si="71"/>
        <v>0</v>
      </c>
      <c r="BT114" s="524">
        <f t="shared" si="71"/>
        <v>0</v>
      </c>
      <c r="BU114" s="524">
        <f t="shared" si="72"/>
        <v>0</v>
      </c>
      <c r="BV114" s="524">
        <f t="shared" si="72"/>
        <v>0</v>
      </c>
      <c r="BW114" s="524">
        <f t="shared" si="72"/>
        <v>0</v>
      </c>
      <c r="BX114" s="524">
        <f t="shared" si="72"/>
        <v>0</v>
      </c>
      <c r="BY114" s="524">
        <f t="shared" si="72"/>
        <v>0</v>
      </c>
      <c r="BZ114" s="524">
        <f t="shared" si="72"/>
        <v>0</v>
      </c>
    </row>
    <row r="115" spans="2:78" ht="21" hidden="1" customHeight="1" outlineLevel="3">
      <c r="B115" s="367"/>
      <c r="C115" s="370"/>
      <c r="D115" s="374">
        <f t="shared" si="67"/>
        <v>45504</v>
      </c>
      <c r="E115" s="373" cm="1">
        <f t="array" ref="E115">IF($D115&lt;=LatestMonthOfActuals,0,INDEX($AE$41:$BZ$41,0,MATCH($D115,$AE$8:$BZ$8,0)))</f>
        <v>0</v>
      </c>
      <c r="F115" s="359"/>
      <c r="G115" s="408">
        <f t="shared" si="59"/>
        <v>0</v>
      </c>
      <c r="H115" s="408">
        <f t="shared" si="59"/>
        <v>0</v>
      </c>
      <c r="I115" s="408">
        <f t="shared" si="59"/>
        <v>0</v>
      </c>
      <c r="J115" s="408">
        <f t="shared" si="59"/>
        <v>0</v>
      </c>
      <c r="K115" s="408"/>
      <c r="L115" s="408"/>
      <c r="M115" s="408">
        <f t="shared" si="74"/>
        <v>0</v>
      </c>
      <c r="N115" s="408">
        <f t="shared" si="74"/>
        <v>0</v>
      </c>
      <c r="O115" s="408">
        <f t="shared" si="74"/>
        <v>0</v>
      </c>
      <c r="P115" s="408">
        <f t="shared" si="74"/>
        <v>0</v>
      </c>
      <c r="Q115" s="408">
        <f t="shared" si="74"/>
        <v>0</v>
      </c>
      <c r="R115" s="408">
        <f t="shared" si="74"/>
        <v>0</v>
      </c>
      <c r="S115" s="408">
        <f t="shared" si="74"/>
        <v>0</v>
      </c>
      <c r="T115" s="408">
        <f t="shared" si="74"/>
        <v>0</v>
      </c>
      <c r="U115" s="408">
        <f t="shared" si="74"/>
        <v>0</v>
      </c>
      <c r="V115" s="408">
        <f t="shared" si="74"/>
        <v>0</v>
      </c>
      <c r="W115" s="408">
        <f t="shared" si="74"/>
        <v>0</v>
      </c>
      <c r="X115" s="408">
        <f t="shared" si="74"/>
        <v>0</v>
      </c>
      <c r="Y115" s="408">
        <f t="shared" si="74"/>
        <v>0</v>
      </c>
      <c r="Z115" s="408">
        <f t="shared" si="74"/>
        <v>0</v>
      </c>
      <c r="AA115" s="408">
        <f t="shared" si="74"/>
        <v>0</v>
      </c>
      <c r="AB115" s="408">
        <f t="shared" si="74"/>
        <v>0</v>
      </c>
      <c r="AC115" s="524"/>
      <c r="AD115" s="359"/>
      <c r="AE115" s="524">
        <f t="shared" si="68"/>
        <v>0</v>
      </c>
      <c r="AF115" s="524">
        <f t="shared" si="68"/>
        <v>0</v>
      </c>
      <c r="AG115" s="524">
        <f t="shared" si="68"/>
        <v>0</v>
      </c>
      <c r="AH115" s="524">
        <f t="shared" si="68"/>
        <v>0</v>
      </c>
      <c r="AI115" s="524">
        <f t="shared" si="68"/>
        <v>0</v>
      </c>
      <c r="AJ115" s="524">
        <f t="shared" si="68"/>
        <v>0</v>
      </c>
      <c r="AK115" s="524">
        <f t="shared" si="68"/>
        <v>0</v>
      </c>
      <c r="AL115" s="524">
        <f t="shared" si="68"/>
        <v>0</v>
      </c>
      <c r="AM115" s="524">
        <f t="shared" si="68"/>
        <v>0</v>
      </c>
      <c r="AN115" s="524">
        <f t="shared" si="68"/>
        <v>0</v>
      </c>
      <c r="AO115" s="524">
        <f t="shared" si="68"/>
        <v>0</v>
      </c>
      <c r="AP115" s="524">
        <f t="shared" si="62"/>
        <v>0</v>
      </c>
      <c r="AQ115" s="524">
        <f t="shared" si="69"/>
        <v>0</v>
      </c>
      <c r="AR115" s="524">
        <f t="shared" si="69"/>
        <v>0</v>
      </c>
      <c r="AS115" s="524">
        <f t="shared" si="69"/>
        <v>0</v>
      </c>
      <c r="AT115" s="524">
        <f t="shared" si="69"/>
        <v>0</v>
      </c>
      <c r="AU115" s="524">
        <f t="shared" si="69"/>
        <v>0</v>
      </c>
      <c r="AV115" s="524">
        <f t="shared" si="69"/>
        <v>0</v>
      </c>
      <c r="AW115" s="524">
        <f t="shared" si="69"/>
        <v>0</v>
      </c>
      <c r="AX115" s="524">
        <f t="shared" si="69"/>
        <v>0</v>
      </c>
      <c r="AY115" s="524">
        <f t="shared" si="69"/>
        <v>0</v>
      </c>
      <c r="AZ115" s="524">
        <f t="shared" si="69"/>
        <v>0</v>
      </c>
      <c r="BA115" s="524">
        <f t="shared" si="70"/>
        <v>0</v>
      </c>
      <c r="BB115" s="524">
        <f t="shared" si="70"/>
        <v>0</v>
      </c>
      <c r="BC115" s="524">
        <f t="shared" si="70"/>
        <v>0</v>
      </c>
      <c r="BD115" s="524">
        <f t="shared" si="70"/>
        <v>0</v>
      </c>
      <c r="BE115" s="524">
        <f t="shared" si="70"/>
        <v>0</v>
      </c>
      <c r="BF115" s="524">
        <f t="shared" si="70"/>
        <v>0</v>
      </c>
      <c r="BG115" s="524">
        <f t="shared" si="70"/>
        <v>0</v>
      </c>
      <c r="BH115" s="524">
        <f t="shared" si="70"/>
        <v>0</v>
      </c>
      <c r="BI115" s="524">
        <f t="shared" si="70"/>
        <v>0</v>
      </c>
      <c r="BJ115" s="524">
        <f t="shared" si="70"/>
        <v>0</v>
      </c>
      <c r="BK115" s="524">
        <f t="shared" si="71"/>
        <v>0</v>
      </c>
      <c r="BL115" s="524">
        <f t="shared" si="71"/>
        <v>0</v>
      </c>
      <c r="BM115" s="524">
        <f t="shared" si="71"/>
        <v>0</v>
      </c>
      <c r="BN115" s="524">
        <f t="shared" si="71"/>
        <v>0</v>
      </c>
      <c r="BO115" s="524">
        <f t="shared" si="71"/>
        <v>0</v>
      </c>
      <c r="BP115" s="524">
        <f t="shared" si="71"/>
        <v>0</v>
      </c>
      <c r="BQ115" s="524">
        <f t="shared" si="71"/>
        <v>0</v>
      </c>
      <c r="BR115" s="524">
        <f t="shared" si="71"/>
        <v>0</v>
      </c>
      <c r="BS115" s="524">
        <f t="shared" si="71"/>
        <v>0</v>
      </c>
      <c r="BT115" s="524">
        <f t="shared" si="71"/>
        <v>0</v>
      </c>
      <c r="BU115" s="524">
        <f t="shared" si="72"/>
        <v>0</v>
      </c>
      <c r="BV115" s="524">
        <f t="shared" si="72"/>
        <v>0</v>
      </c>
      <c r="BW115" s="524">
        <f t="shared" si="72"/>
        <v>0</v>
      </c>
      <c r="BX115" s="524">
        <f t="shared" si="72"/>
        <v>0</v>
      </c>
      <c r="BY115" s="524">
        <f t="shared" si="72"/>
        <v>0</v>
      </c>
      <c r="BZ115" s="524">
        <f t="shared" si="72"/>
        <v>0</v>
      </c>
    </row>
    <row r="116" spans="2:78" ht="21" hidden="1" customHeight="1" outlineLevel="3">
      <c r="B116" s="367"/>
      <c r="C116" s="370"/>
      <c r="D116" s="374">
        <f t="shared" si="67"/>
        <v>45535</v>
      </c>
      <c r="E116" s="373" cm="1">
        <f t="array" ref="E116">IF($D116&lt;=LatestMonthOfActuals,0,INDEX($AE$41:$BZ$41,0,MATCH($D116,$AE$8:$BZ$8,0)))</f>
        <v>0</v>
      </c>
      <c r="F116" s="359"/>
      <c r="G116" s="408">
        <f t="shared" si="59"/>
        <v>0</v>
      </c>
      <c r="H116" s="408">
        <f t="shared" si="59"/>
        <v>0</v>
      </c>
      <c r="I116" s="408">
        <f t="shared" si="59"/>
        <v>0</v>
      </c>
      <c r="J116" s="408">
        <f t="shared" si="59"/>
        <v>0</v>
      </c>
      <c r="K116" s="408"/>
      <c r="L116" s="408"/>
      <c r="M116" s="408">
        <f t="shared" si="74"/>
        <v>0</v>
      </c>
      <c r="N116" s="408">
        <f t="shared" si="74"/>
        <v>0</v>
      </c>
      <c r="O116" s="408">
        <f t="shared" si="74"/>
        <v>0</v>
      </c>
      <c r="P116" s="408">
        <f t="shared" si="74"/>
        <v>0</v>
      </c>
      <c r="Q116" s="408">
        <f t="shared" si="74"/>
        <v>0</v>
      </c>
      <c r="R116" s="408">
        <f t="shared" si="74"/>
        <v>0</v>
      </c>
      <c r="S116" s="408">
        <f t="shared" si="74"/>
        <v>0</v>
      </c>
      <c r="T116" s="408">
        <f t="shared" si="74"/>
        <v>0</v>
      </c>
      <c r="U116" s="408">
        <f t="shared" si="74"/>
        <v>0</v>
      </c>
      <c r="V116" s="408">
        <f t="shared" si="74"/>
        <v>0</v>
      </c>
      <c r="W116" s="408">
        <f t="shared" si="74"/>
        <v>0</v>
      </c>
      <c r="X116" s="408">
        <f t="shared" si="74"/>
        <v>0</v>
      </c>
      <c r="Y116" s="408">
        <f t="shared" si="74"/>
        <v>0</v>
      </c>
      <c r="Z116" s="408">
        <f t="shared" si="74"/>
        <v>0</v>
      </c>
      <c r="AA116" s="408">
        <f t="shared" si="74"/>
        <v>0</v>
      </c>
      <c r="AB116" s="408">
        <f t="shared" si="74"/>
        <v>0</v>
      </c>
      <c r="AC116" s="524"/>
      <c r="AD116" s="359"/>
      <c r="AE116" s="524">
        <f t="shared" si="68"/>
        <v>0</v>
      </c>
      <c r="AF116" s="524">
        <f t="shared" si="68"/>
        <v>0</v>
      </c>
      <c r="AG116" s="524">
        <f t="shared" si="68"/>
        <v>0</v>
      </c>
      <c r="AH116" s="524">
        <f t="shared" si="68"/>
        <v>0</v>
      </c>
      <c r="AI116" s="524">
        <f t="shared" si="68"/>
        <v>0</v>
      </c>
      <c r="AJ116" s="524">
        <f t="shared" si="68"/>
        <v>0</v>
      </c>
      <c r="AK116" s="524">
        <f t="shared" si="68"/>
        <v>0</v>
      </c>
      <c r="AL116" s="524">
        <f t="shared" si="68"/>
        <v>0</v>
      </c>
      <c r="AM116" s="524">
        <f t="shared" si="68"/>
        <v>0</v>
      </c>
      <c r="AN116" s="524">
        <f t="shared" si="68"/>
        <v>0</v>
      </c>
      <c r="AO116" s="524">
        <f t="shared" si="68"/>
        <v>0</v>
      </c>
      <c r="AP116" s="524">
        <f t="shared" si="62"/>
        <v>0</v>
      </c>
      <c r="AQ116" s="524">
        <f t="shared" si="69"/>
        <v>0</v>
      </c>
      <c r="AR116" s="524">
        <f t="shared" si="69"/>
        <v>0</v>
      </c>
      <c r="AS116" s="524">
        <f t="shared" si="69"/>
        <v>0</v>
      </c>
      <c r="AT116" s="524">
        <f t="shared" si="69"/>
        <v>0</v>
      </c>
      <c r="AU116" s="524">
        <f t="shared" si="69"/>
        <v>0</v>
      </c>
      <c r="AV116" s="524">
        <f t="shared" si="69"/>
        <v>0</v>
      </c>
      <c r="AW116" s="524">
        <f t="shared" si="69"/>
        <v>0</v>
      </c>
      <c r="AX116" s="524">
        <f t="shared" si="69"/>
        <v>0</v>
      </c>
      <c r="AY116" s="524">
        <f t="shared" si="69"/>
        <v>0</v>
      </c>
      <c r="AZ116" s="524">
        <f t="shared" si="69"/>
        <v>0</v>
      </c>
      <c r="BA116" s="524">
        <f t="shared" si="70"/>
        <v>0</v>
      </c>
      <c r="BB116" s="524">
        <f t="shared" si="70"/>
        <v>0</v>
      </c>
      <c r="BC116" s="524">
        <f t="shared" si="70"/>
        <v>0</v>
      </c>
      <c r="BD116" s="524">
        <f t="shared" si="70"/>
        <v>0</v>
      </c>
      <c r="BE116" s="524">
        <f t="shared" si="70"/>
        <v>0</v>
      </c>
      <c r="BF116" s="524">
        <f t="shared" si="70"/>
        <v>0</v>
      </c>
      <c r="BG116" s="524">
        <f t="shared" si="70"/>
        <v>0</v>
      </c>
      <c r="BH116" s="524">
        <f t="shared" si="70"/>
        <v>0</v>
      </c>
      <c r="BI116" s="524">
        <f t="shared" si="70"/>
        <v>0</v>
      </c>
      <c r="BJ116" s="524">
        <f t="shared" si="70"/>
        <v>0</v>
      </c>
      <c r="BK116" s="524">
        <f t="shared" si="71"/>
        <v>0</v>
      </c>
      <c r="BL116" s="524">
        <f t="shared" si="71"/>
        <v>0</v>
      </c>
      <c r="BM116" s="524">
        <f t="shared" si="71"/>
        <v>0</v>
      </c>
      <c r="BN116" s="524">
        <f t="shared" si="71"/>
        <v>0</v>
      </c>
      <c r="BO116" s="524">
        <f t="shared" si="71"/>
        <v>0</v>
      </c>
      <c r="BP116" s="524">
        <f t="shared" si="71"/>
        <v>0</v>
      </c>
      <c r="BQ116" s="524">
        <f t="shared" si="71"/>
        <v>0</v>
      </c>
      <c r="BR116" s="524">
        <f t="shared" si="71"/>
        <v>0</v>
      </c>
      <c r="BS116" s="524">
        <f t="shared" si="71"/>
        <v>0</v>
      </c>
      <c r="BT116" s="524">
        <f t="shared" si="71"/>
        <v>0</v>
      </c>
      <c r="BU116" s="524">
        <f t="shared" si="72"/>
        <v>0</v>
      </c>
      <c r="BV116" s="524">
        <f t="shared" si="72"/>
        <v>0</v>
      </c>
      <c r="BW116" s="524">
        <f t="shared" si="72"/>
        <v>0</v>
      </c>
      <c r="BX116" s="524">
        <f t="shared" si="72"/>
        <v>0</v>
      </c>
      <c r="BY116" s="524">
        <f t="shared" si="72"/>
        <v>0</v>
      </c>
      <c r="BZ116" s="524">
        <f t="shared" si="72"/>
        <v>0</v>
      </c>
    </row>
    <row r="117" spans="2:78" ht="21" hidden="1" customHeight="1" outlineLevel="3">
      <c r="B117" s="367"/>
      <c r="C117" s="370"/>
      <c r="D117" s="374">
        <f t="shared" si="67"/>
        <v>45565</v>
      </c>
      <c r="E117" s="373" cm="1">
        <f t="array" ref="E117">IF($D117&lt;=LatestMonthOfActuals,0,INDEX($AE$41:$BZ$41,0,MATCH($D117,$AE$8:$BZ$8,0)))</f>
        <v>0</v>
      </c>
      <c r="F117" s="359"/>
      <c r="G117" s="408">
        <f t="shared" ref="G117:J136" si="75">SUMIFS($AE117:$BZ117,$AE$4:$BZ$4,"&gt;="&amp;G$4,$AE$5:$BZ$5,"&lt;="&amp;G$5)</f>
        <v>0</v>
      </c>
      <c r="H117" s="408">
        <f t="shared" si="75"/>
        <v>0</v>
      </c>
      <c r="I117" s="408">
        <f t="shared" si="75"/>
        <v>0</v>
      </c>
      <c r="J117" s="408">
        <f t="shared" si="75"/>
        <v>0</v>
      </c>
      <c r="K117" s="408"/>
      <c r="L117" s="408"/>
      <c r="M117" s="408">
        <f t="shared" si="74"/>
        <v>0</v>
      </c>
      <c r="N117" s="408">
        <f t="shared" si="74"/>
        <v>0</v>
      </c>
      <c r="O117" s="408">
        <f t="shared" si="74"/>
        <v>0</v>
      </c>
      <c r="P117" s="408">
        <f t="shared" si="74"/>
        <v>0</v>
      </c>
      <c r="Q117" s="408">
        <f t="shared" si="74"/>
        <v>0</v>
      </c>
      <c r="R117" s="408">
        <f t="shared" si="74"/>
        <v>0</v>
      </c>
      <c r="S117" s="408">
        <f t="shared" si="74"/>
        <v>0</v>
      </c>
      <c r="T117" s="408">
        <f t="shared" si="74"/>
        <v>0</v>
      </c>
      <c r="U117" s="408">
        <f t="shared" si="74"/>
        <v>0</v>
      </c>
      <c r="V117" s="408">
        <f t="shared" si="74"/>
        <v>0</v>
      </c>
      <c r="W117" s="408">
        <f t="shared" si="74"/>
        <v>0</v>
      </c>
      <c r="X117" s="408">
        <f t="shared" si="74"/>
        <v>0</v>
      </c>
      <c r="Y117" s="408">
        <f t="shared" si="74"/>
        <v>0</v>
      </c>
      <c r="Z117" s="408">
        <f t="shared" si="74"/>
        <v>0</v>
      </c>
      <c r="AA117" s="408">
        <f t="shared" si="74"/>
        <v>0</v>
      </c>
      <c r="AB117" s="408">
        <f t="shared" si="74"/>
        <v>0</v>
      </c>
      <c r="AC117" s="524"/>
      <c r="AD117" s="359"/>
      <c r="AE117" s="524">
        <f t="shared" ref="AE117:AO126" si="76">IFERROR(IF(AE$8&gt;=$D117,$E117*(INDEX($E$25:$E$36,(MATCH(MATCH(AE$8,$D$97:$D$144,0)-MATCH($D117,$D$97:$D$144,0),$D$25:$D$36,0)))),0),0)</f>
        <v>0</v>
      </c>
      <c r="AF117" s="524">
        <f t="shared" si="76"/>
        <v>0</v>
      </c>
      <c r="AG117" s="524">
        <f t="shared" si="76"/>
        <v>0</v>
      </c>
      <c r="AH117" s="524">
        <f t="shared" si="76"/>
        <v>0</v>
      </c>
      <c r="AI117" s="524">
        <f t="shared" si="76"/>
        <v>0</v>
      </c>
      <c r="AJ117" s="524">
        <f t="shared" si="76"/>
        <v>0</v>
      </c>
      <c r="AK117" s="524">
        <f t="shared" si="76"/>
        <v>0</v>
      </c>
      <c r="AL117" s="524">
        <f t="shared" si="76"/>
        <v>0</v>
      </c>
      <c r="AM117" s="524">
        <f t="shared" si="76"/>
        <v>0</v>
      </c>
      <c r="AN117" s="524">
        <f t="shared" si="76"/>
        <v>0</v>
      </c>
      <c r="AO117" s="524">
        <f t="shared" si="76"/>
        <v>0</v>
      </c>
      <c r="AP117" s="524">
        <f t="shared" si="62"/>
        <v>0</v>
      </c>
      <c r="AQ117" s="524">
        <f t="shared" ref="AQ117:AZ126" si="77">IFERROR(IF(AQ$8&gt;=$D117,$E117*(INDEX($E$25:$E$36,(MATCH(MATCH(AQ$8,$D$97:$D$144,0)-MATCH($D117,$D$97:$D$144,0),$D$25:$D$36,0)))),0),0)</f>
        <v>0</v>
      </c>
      <c r="AR117" s="524">
        <f t="shared" si="77"/>
        <v>0</v>
      </c>
      <c r="AS117" s="524">
        <f t="shared" si="77"/>
        <v>0</v>
      </c>
      <c r="AT117" s="524">
        <f t="shared" si="77"/>
        <v>0</v>
      </c>
      <c r="AU117" s="524">
        <f t="shared" si="77"/>
        <v>0</v>
      </c>
      <c r="AV117" s="524">
        <f t="shared" si="77"/>
        <v>0</v>
      </c>
      <c r="AW117" s="524">
        <f t="shared" si="77"/>
        <v>0</v>
      </c>
      <c r="AX117" s="524">
        <f t="shared" si="77"/>
        <v>0</v>
      </c>
      <c r="AY117" s="524">
        <f t="shared" si="77"/>
        <v>0</v>
      </c>
      <c r="AZ117" s="524">
        <f t="shared" si="77"/>
        <v>0</v>
      </c>
      <c r="BA117" s="524">
        <f t="shared" ref="BA117:BJ126" si="78">IFERROR(IF(BA$8&gt;=$D117,$E117*(INDEX($E$25:$E$36,(MATCH(MATCH(BA$8,$D$97:$D$144,0)-MATCH($D117,$D$97:$D$144,0),$D$25:$D$36,0)))),0),0)</f>
        <v>0</v>
      </c>
      <c r="BB117" s="524">
        <f t="shared" si="78"/>
        <v>0</v>
      </c>
      <c r="BC117" s="524">
        <f t="shared" si="78"/>
        <v>0</v>
      </c>
      <c r="BD117" s="524">
        <f t="shared" si="78"/>
        <v>0</v>
      </c>
      <c r="BE117" s="524">
        <f t="shared" si="78"/>
        <v>0</v>
      </c>
      <c r="BF117" s="524">
        <f t="shared" si="78"/>
        <v>0</v>
      </c>
      <c r="BG117" s="524">
        <f t="shared" si="78"/>
        <v>0</v>
      </c>
      <c r="BH117" s="524">
        <f t="shared" si="78"/>
        <v>0</v>
      </c>
      <c r="BI117" s="524">
        <f t="shared" si="78"/>
        <v>0</v>
      </c>
      <c r="BJ117" s="524">
        <f t="shared" si="78"/>
        <v>0</v>
      </c>
      <c r="BK117" s="524">
        <f t="shared" ref="BK117:BT126" si="79">IFERROR(IF(BK$8&gt;=$D117,$E117*(INDEX($E$25:$E$36,(MATCH(MATCH(BK$8,$D$97:$D$144,0)-MATCH($D117,$D$97:$D$144,0),$D$25:$D$36,0)))),0),0)</f>
        <v>0</v>
      </c>
      <c r="BL117" s="524">
        <f t="shared" si="79"/>
        <v>0</v>
      </c>
      <c r="BM117" s="524">
        <f t="shared" si="79"/>
        <v>0</v>
      </c>
      <c r="BN117" s="524">
        <f t="shared" si="79"/>
        <v>0</v>
      </c>
      <c r="BO117" s="524">
        <f t="shared" si="79"/>
        <v>0</v>
      </c>
      <c r="BP117" s="524">
        <f t="shared" si="79"/>
        <v>0</v>
      </c>
      <c r="BQ117" s="524">
        <f t="shared" si="79"/>
        <v>0</v>
      </c>
      <c r="BR117" s="524">
        <f t="shared" si="79"/>
        <v>0</v>
      </c>
      <c r="BS117" s="524">
        <f t="shared" si="79"/>
        <v>0</v>
      </c>
      <c r="BT117" s="524">
        <f t="shared" si="79"/>
        <v>0</v>
      </c>
      <c r="BU117" s="524">
        <f t="shared" ref="BU117:BZ126" si="80">IFERROR(IF(BU$8&gt;=$D117,$E117*(INDEX($E$25:$E$36,(MATCH(MATCH(BU$8,$D$97:$D$144,0)-MATCH($D117,$D$97:$D$144,0),$D$25:$D$36,0)))),0),0)</f>
        <v>0</v>
      </c>
      <c r="BV117" s="524">
        <f t="shared" si="80"/>
        <v>0</v>
      </c>
      <c r="BW117" s="524">
        <f t="shared" si="80"/>
        <v>0</v>
      </c>
      <c r="BX117" s="524">
        <f t="shared" si="80"/>
        <v>0</v>
      </c>
      <c r="BY117" s="524">
        <f t="shared" si="80"/>
        <v>0</v>
      </c>
      <c r="BZ117" s="524">
        <f t="shared" si="80"/>
        <v>0</v>
      </c>
    </row>
    <row r="118" spans="2:78" ht="21" hidden="1" customHeight="1" outlineLevel="3">
      <c r="B118" s="367"/>
      <c r="C118" s="370"/>
      <c r="D118" s="374">
        <f t="shared" si="67"/>
        <v>45596</v>
      </c>
      <c r="E118" s="373" cm="1">
        <f t="array" ref="E118">IF($D118&lt;=LatestMonthOfActuals,0,INDEX($AE$41:$BZ$41,0,MATCH($D118,$AE$8:$BZ$8,0)))</f>
        <v>0</v>
      </c>
      <c r="F118" s="359"/>
      <c r="G118" s="408">
        <f t="shared" si="75"/>
        <v>0</v>
      </c>
      <c r="H118" s="408">
        <f t="shared" si="75"/>
        <v>0</v>
      </c>
      <c r="I118" s="408">
        <f t="shared" si="75"/>
        <v>0</v>
      </c>
      <c r="J118" s="408">
        <f t="shared" si="75"/>
        <v>0</v>
      </c>
      <c r="K118" s="408"/>
      <c r="L118" s="408"/>
      <c r="M118" s="408">
        <f t="shared" si="74"/>
        <v>0</v>
      </c>
      <c r="N118" s="408">
        <f t="shared" si="74"/>
        <v>0</v>
      </c>
      <c r="O118" s="408">
        <f t="shared" si="74"/>
        <v>0</v>
      </c>
      <c r="P118" s="408">
        <f t="shared" si="74"/>
        <v>0</v>
      </c>
      <c r="Q118" s="408">
        <f t="shared" si="74"/>
        <v>0</v>
      </c>
      <c r="R118" s="408">
        <f t="shared" si="74"/>
        <v>0</v>
      </c>
      <c r="S118" s="408">
        <f t="shared" si="74"/>
        <v>0</v>
      </c>
      <c r="T118" s="408">
        <f t="shared" si="74"/>
        <v>0</v>
      </c>
      <c r="U118" s="408">
        <f t="shared" si="74"/>
        <v>0</v>
      </c>
      <c r="V118" s="408">
        <f t="shared" si="74"/>
        <v>0</v>
      </c>
      <c r="W118" s="408">
        <f t="shared" si="74"/>
        <v>0</v>
      </c>
      <c r="X118" s="408">
        <f t="shared" si="74"/>
        <v>0</v>
      </c>
      <c r="Y118" s="408">
        <f t="shared" si="74"/>
        <v>0</v>
      </c>
      <c r="Z118" s="408">
        <f t="shared" si="74"/>
        <v>0</v>
      </c>
      <c r="AA118" s="408">
        <f t="shared" si="74"/>
        <v>0</v>
      </c>
      <c r="AB118" s="408">
        <f t="shared" si="74"/>
        <v>0</v>
      </c>
      <c r="AC118" s="524"/>
      <c r="AD118" s="359"/>
      <c r="AE118" s="524">
        <f t="shared" si="76"/>
        <v>0</v>
      </c>
      <c r="AF118" s="524">
        <f t="shared" si="76"/>
        <v>0</v>
      </c>
      <c r="AG118" s="524">
        <f t="shared" si="76"/>
        <v>0</v>
      </c>
      <c r="AH118" s="524">
        <f t="shared" si="76"/>
        <v>0</v>
      </c>
      <c r="AI118" s="524">
        <f t="shared" si="76"/>
        <v>0</v>
      </c>
      <c r="AJ118" s="524">
        <f t="shared" si="76"/>
        <v>0</v>
      </c>
      <c r="AK118" s="524">
        <f t="shared" si="76"/>
        <v>0</v>
      </c>
      <c r="AL118" s="524">
        <f t="shared" si="76"/>
        <v>0</v>
      </c>
      <c r="AM118" s="524">
        <f t="shared" si="76"/>
        <v>0</v>
      </c>
      <c r="AN118" s="524">
        <f t="shared" si="76"/>
        <v>0</v>
      </c>
      <c r="AO118" s="524">
        <f t="shared" si="76"/>
        <v>0</v>
      </c>
      <c r="AP118" s="524">
        <f t="shared" si="62"/>
        <v>0</v>
      </c>
      <c r="AQ118" s="524">
        <f t="shared" si="77"/>
        <v>0</v>
      </c>
      <c r="AR118" s="524">
        <f t="shared" si="77"/>
        <v>0</v>
      </c>
      <c r="AS118" s="524">
        <f t="shared" si="77"/>
        <v>0</v>
      </c>
      <c r="AT118" s="524">
        <f t="shared" si="77"/>
        <v>0</v>
      </c>
      <c r="AU118" s="524">
        <f t="shared" si="77"/>
        <v>0</v>
      </c>
      <c r="AV118" s="524">
        <f t="shared" si="77"/>
        <v>0</v>
      </c>
      <c r="AW118" s="524">
        <f t="shared" si="77"/>
        <v>0</v>
      </c>
      <c r="AX118" s="524">
        <f t="shared" si="77"/>
        <v>0</v>
      </c>
      <c r="AY118" s="524">
        <f t="shared" si="77"/>
        <v>0</v>
      </c>
      <c r="AZ118" s="524">
        <f t="shared" si="77"/>
        <v>0</v>
      </c>
      <c r="BA118" s="524">
        <f t="shared" si="78"/>
        <v>0</v>
      </c>
      <c r="BB118" s="524">
        <f t="shared" si="78"/>
        <v>0</v>
      </c>
      <c r="BC118" s="524">
        <f t="shared" si="78"/>
        <v>0</v>
      </c>
      <c r="BD118" s="524">
        <f t="shared" si="78"/>
        <v>0</v>
      </c>
      <c r="BE118" s="524">
        <f t="shared" si="78"/>
        <v>0</v>
      </c>
      <c r="BF118" s="524">
        <f t="shared" si="78"/>
        <v>0</v>
      </c>
      <c r="BG118" s="524">
        <f t="shared" si="78"/>
        <v>0</v>
      </c>
      <c r="BH118" s="524">
        <f t="shared" si="78"/>
        <v>0</v>
      </c>
      <c r="BI118" s="524">
        <f t="shared" si="78"/>
        <v>0</v>
      </c>
      <c r="BJ118" s="524">
        <f t="shared" si="78"/>
        <v>0</v>
      </c>
      <c r="BK118" s="524">
        <f t="shared" si="79"/>
        <v>0</v>
      </c>
      <c r="BL118" s="524">
        <f t="shared" si="79"/>
        <v>0</v>
      </c>
      <c r="BM118" s="524">
        <f t="shared" si="79"/>
        <v>0</v>
      </c>
      <c r="BN118" s="524">
        <f t="shared" si="79"/>
        <v>0</v>
      </c>
      <c r="BO118" s="524">
        <f t="shared" si="79"/>
        <v>0</v>
      </c>
      <c r="BP118" s="524">
        <f t="shared" si="79"/>
        <v>0</v>
      </c>
      <c r="BQ118" s="524">
        <f t="shared" si="79"/>
        <v>0</v>
      </c>
      <c r="BR118" s="524">
        <f t="shared" si="79"/>
        <v>0</v>
      </c>
      <c r="BS118" s="524">
        <f t="shared" si="79"/>
        <v>0</v>
      </c>
      <c r="BT118" s="524">
        <f t="shared" si="79"/>
        <v>0</v>
      </c>
      <c r="BU118" s="524">
        <f t="shared" si="80"/>
        <v>0</v>
      </c>
      <c r="BV118" s="524">
        <f t="shared" si="80"/>
        <v>0</v>
      </c>
      <c r="BW118" s="524">
        <f t="shared" si="80"/>
        <v>0</v>
      </c>
      <c r="BX118" s="524">
        <f t="shared" si="80"/>
        <v>0</v>
      </c>
      <c r="BY118" s="524">
        <f t="shared" si="80"/>
        <v>0</v>
      </c>
      <c r="BZ118" s="524">
        <f t="shared" si="80"/>
        <v>0</v>
      </c>
    </row>
    <row r="119" spans="2:78" ht="21" hidden="1" customHeight="1" outlineLevel="3">
      <c r="B119" s="367"/>
      <c r="C119" s="370"/>
      <c r="D119" s="374">
        <f t="shared" si="67"/>
        <v>45626</v>
      </c>
      <c r="E119" s="373" cm="1">
        <f t="array" ref="E119">IF($D119&lt;=LatestMonthOfActuals,0,INDEX($AE$41:$BZ$41,0,MATCH($D119,$AE$8:$BZ$8,0)))</f>
        <v>0</v>
      </c>
      <c r="F119" s="359"/>
      <c r="G119" s="408">
        <f t="shared" si="75"/>
        <v>0</v>
      </c>
      <c r="H119" s="408">
        <f t="shared" si="75"/>
        <v>0</v>
      </c>
      <c r="I119" s="408">
        <f t="shared" si="75"/>
        <v>0</v>
      </c>
      <c r="J119" s="408">
        <f t="shared" si="75"/>
        <v>0</v>
      </c>
      <c r="K119" s="408"/>
      <c r="L119" s="408"/>
      <c r="M119" s="408">
        <f t="shared" si="74"/>
        <v>0</v>
      </c>
      <c r="N119" s="408">
        <f t="shared" si="74"/>
        <v>0</v>
      </c>
      <c r="O119" s="408">
        <f t="shared" si="74"/>
        <v>0</v>
      </c>
      <c r="P119" s="408">
        <f t="shared" si="74"/>
        <v>0</v>
      </c>
      <c r="Q119" s="408">
        <f t="shared" si="74"/>
        <v>0</v>
      </c>
      <c r="R119" s="408">
        <f t="shared" si="74"/>
        <v>0</v>
      </c>
      <c r="S119" s="408">
        <f t="shared" si="74"/>
        <v>0</v>
      </c>
      <c r="T119" s="408">
        <f t="shared" si="74"/>
        <v>0</v>
      </c>
      <c r="U119" s="408">
        <f t="shared" si="74"/>
        <v>0</v>
      </c>
      <c r="V119" s="408">
        <f t="shared" si="74"/>
        <v>0</v>
      </c>
      <c r="W119" s="408">
        <f t="shared" si="74"/>
        <v>0</v>
      </c>
      <c r="X119" s="408">
        <f t="shared" si="74"/>
        <v>0</v>
      </c>
      <c r="Y119" s="408">
        <f t="shared" si="74"/>
        <v>0</v>
      </c>
      <c r="Z119" s="408">
        <f t="shared" si="74"/>
        <v>0</v>
      </c>
      <c r="AA119" s="408">
        <f t="shared" si="74"/>
        <v>0</v>
      </c>
      <c r="AB119" s="408">
        <f t="shared" si="74"/>
        <v>0</v>
      </c>
      <c r="AC119" s="524"/>
      <c r="AD119" s="359"/>
      <c r="AE119" s="524">
        <f t="shared" si="76"/>
        <v>0</v>
      </c>
      <c r="AF119" s="524">
        <f t="shared" si="76"/>
        <v>0</v>
      </c>
      <c r="AG119" s="524">
        <f t="shared" si="76"/>
        <v>0</v>
      </c>
      <c r="AH119" s="524">
        <f t="shared" si="76"/>
        <v>0</v>
      </c>
      <c r="AI119" s="524">
        <f t="shared" si="76"/>
        <v>0</v>
      </c>
      <c r="AJ119" s="524">
        <f t="shared" si="76"/>
        <v>0</v>
      </c>
      <c r="AK119" s="524">
        <f t="shared" si="76"/>
        <v>0</v>
      </c>
      <c r="AL119" s="524">
        <f t="shared" si="76"/>
        <v>0</v>
      </c>
      <c r="AM119" s="524">
        <f t="shared" si="76"/>
        <v>0</v>
      </c>
      <c r="AN119" s="524">
        <f t="shared" si="76"/>
        <v>0</v>
      </c>
      <c r="AO119" s="524">
        <f t="shared" si="76"/>
        <v>0</v>
      </c>
      <c r="AP119" s="524">
        <f t="shared" si="62"/>
        <v>0</v>
      </c>
      <c r="AQ119" s="524">
        <f t="shared" si="77"/>
        <v>0</v>
      </c>
      <c r="AR119" s="524">
        <f t="shared" si="77"/>
        <v>0</v>
      </c>
      <c r="AS119" s="524">
        <f t="shared" si="77"/>
        <v>0</v>
      </c>
      <c r="AT119" s="524">
        <f t="shared" si="77"/>
        <v>0</v>
      </c>
      <c r="AU119" s="524">
        <f t="shared" si="77"/>
        <v>0</v>
      </c>
      <c r="AV119" s="524">
        <f t="shared" si="77"/>
        <v>0</v>
      </c>
      <c r="AW119" s="524">
        <f t="shared" si="77"/>
        <v>0</v>
      </c>
      <c r="AX119" s="524">
        <f t="shared" si="77"/>
        <v>0</v>
      </c>
      <c r="AY119" s="524">
        <f t="shared" si="77"/>
        <v>0</v>
      </c>
      <c r="AZ119" s="524">
        <f t="shared" si="77"/>
        <v>0</v>
      </c>
      <c r="BA119" s="524">
        <f t="shared" si="78"/>
        <v>0</v>
      </c>
      <c r="BB119" s="524">
        <f t="shared" si="78"/>
        <v>0</v>
      </c>
      <c r="BC119" s="524">
        <f t="shared" si="78"/>
        <v>0</v>
      </c>
      <c r="BD119" s="524">
        <f t="shared" si="78"/>
        <v>0</v>
      </c>
      <c r="BE119" s="524">
        <f t="shared" si="78"/>
        <v>0</v>
      </c>
      <c r="BF119" s="524">
        <f t="shared" si="78"/>
        <v>0</v>
      </c>
      <c r="BG119" s="524">
        <f t="shared" si="78"/>
        <v>0</v>
      </c>
      <c r="BH119" s="524">
        <f t="shared" si="78"/>
        <v>0</v>
      </c>
      <c r="BI119" s="524">
        <f t="shared" si="78"/>
        <v>0</v>
      </c>
      <c r="BJ119" s="524">
        <f t="shared" si="78"/>
        <v>0</v>
      </c>
      <c r="BK119" s="524">
        <f t="shared" si="79"/>
        <v>0</v>
      </c>
      <c r="BL119" s="524">
        <f t="shared" si="79"/>
        <v>0</v>
      </c>
      <c r="BM119" s="524">
        <f t="shared" si="79"/>
        <v>0</v>
      </c>
      <c r="BN119" s="524">
        <f t="shared" si="79"/>
        <v>0</v>
      </c>
      <c r="BO119" s="524">
        <f t="shared" si="79"/>
        <v>0</v>
      </c>
      <c r="BP119" s="524">
        <f t="shared" si="79"/>
        <v>0</v>
      </c>
      <c r="BQ119" s="524">
        <f t="shared" si="79"/>
        <v>0</v>
      </c>
      <c r="BR119" s="524">
        <f t="shared" si="79"/>
        <v>0</v>
      </c>
      <c r="BS119" s="524">
        <f t="shared" si="79"/>
        <v>0</v>
      </c>
      <c r="BT119" s="524">
        <f t="shared" si="79"/>
        <v>0</v>
      </c>
      <c r="BU119" s="524">
        <f t="shared" si="80"/>
        <v>0</v>
      </c>
      <c r="BV119" s="524">
        <f t="shared" si="80"/>
        <v>0</v>
      </c>
      <c r="BW119" s="524">
        <f t="shared" si="80"/>
        <v>0</v>
      </c>
      <c r="BX119" s="524">
        <f t="shared" si="80"/>
        <v>0</v>
      </c>
      <c r="BY119" s="524">
        <f t="shared" si="80"/>
        <v>0</v>
      </c>
      <c r="BZ119" s="524">
        <f t="shared" si="80"/>
        <v>0</v>
      </c>
    </row>
    <row r="120" spans="2:78" ht="21" hidden="1" customHeight="1" outlineLevel="3">
      <c r="B120" s="367"/>
      <c r="C120" s="370"/>
      <c r="D120" s="374">
        <f t="shared" si="67"/>
        <v>45657</v>
      </c>
      <c r="E120" s="373" cm="1">
        <f t="array" ref="E120">IF($D120&lt;=LatestMonthOfActuals,0,INDEX($AE$41:$BZ$41,0,MATCH($D120,$AE$8:$BZ$8,0)))</f>
        <v>0</v>
      </c>
      <c r="F120" s="359"/>
      <c r="G120" s="408">
        <f t="shared" si="75"/>
        <v>0</v>
      </c>
      <c r="H120" s="408">
        <f t="shared" si="75"/>
        <v>0</v>
      </c>
      <c r="I120" s="408">
        <f t="shared" si="75"/>
        <v>0</v>
      </c>
      <c r="J120" s="408">
        <f t="shared" si="75"/>
        <v>0</v>
      </c>
      <c r="K120" s="408"/>
      <c r="L120" s="408"/>
      <c r="M120" s="408">
        <f t="shared" si="74"/>
        <v>0</v>
      </c>
      <c r="N120" s="408">
        <f t="shared" si="74"/>
        <v>0</v>
      </c>
      <c r="O120" s="408">
        <f t="shared" si="74"/>
        <v>0</v>
      </c>
      <c r="P120" s="408">
        <f t="shared" si="74"/>
        <v>0</v>
      </c>
      <c r="Q120" s="408">
        <f t="shared" si="74"/>
        <v>0</v>
      </c>
      <c r="R120" s="408">
        <f t="shared" si="74"/>
        <v>0</v>
      </c>
      <c r="S120" s="408">
        <f t="shared" si="74"/>
        <v>0</v>
      </c>
      <c r="T120" s="408">
        <f t="shared" si="74"/>
        <v>0</v>
      </c>
      <c r="U120" s="408">
        <f t="shared" si="74"/>
        <v>0</v>
      </c>
      <c r="V120" s="408">
        <f t="shared" si="74"/>
        <v>0</v>
      </c>
      <c r="W120" s="408">
        <f t="shared" si="74"/>
        <v>0</v>
      </c>
      <c r="X120" s="408">
        <f t="shared" si="74"/>
        <v>0</v>
      </c>
      <c r="Y120" s="408">
        <f t="shared" si="74"/>
        <v>0</v>
      </c>
      <c r="Z120" s="408">
        <f t="shared" si="74"/>
        <v>0</v>
      </c>
      <c r="AA120" s="408">
        <f t="shared" si="74"/>
        <v>0</v>
      </c>
      <c r="AB120" s="408">
        <f t="shared" si="74"/>
        <v>0</v>
      </c>
      <c r="AC120" s="524"/>
      <c r="AD120" s="359"/>
      <c r="AE120" s="524">
        <f t="shared" si="76"/>
        <v>0</v>
      </c>
      <c r="AF120" s="524">
        <f t="shared" si="76"/>
        <v>0</v>
      </c>
      <c r="AG120" s="524">
        <f t="shared" si="76"/>
        <v>0</v>
      </c>
      <c r="AH120" s="524">
        <f t="shared" si="76"/>
        <v>0</v>
      </c>
      <c r="AI120" s="524">
        <f t="shared" si="76"/>
        <v>0</v>
      </c>
      <c r="AJ120" s="524">
        <f t="shared" si="76"/>
        <v>0</v>
      </c>
      <c r="AK120" s="524">
        <f t="shared" si="76"/>
        <v>0</v>
      </c>
      <c r="AL120" s="524">
        <f t="shared" si="76"/>
        <v>0</v>
      </c>
      <c r="AM120" s="524">
        <f t="shared" si="76"/>
        <v>0</v>
      </c>
      <c r="AN120" s="524">
        <f t="shared" si="76"/>
        <v>0</v>
      </c>
      <c r="AO120" s="524">
        <f t="shared" si="76"/>
        <v>0</v>
      </c>
      <c r="AP120" s="524">
        <f t="shared" si="62"/>
        <v>0</v>
      </c>
      <c r="AQ120" s="524">
        <f t="shared" si="77"/>
        <v>0</v>
      </c>
      <c r="AR120" s="524">
        <f t="shared" si="77"/>
        <v>0</v>
      </c>
      <c r="AS120" s="524">
        <f t="shared" si="77"/>
        <v>0</v>
      </c>
      <c r="AT120" s="524">
        <f t="shared" si="77"/>
        <v>0</v>
      </c>
      <c r="AU120" s="524">
        <f t="shared" si="77"/>
        <v>0</v>
      </c>
      <c r="AV120" s="524">
        <f t="shared" si="77"/>
        <v>0</v>
      </c>
      <c r="AW120" s="524">
        <f t="shared" si="77"/>
        <v>0</v>
      </c>
      <c r="AX120" s="524">
        <f t="shared" si="77"/>
        <v>0</v>
      </c>
      <c r="AY120" s="524">
        <f t="shared" si="77"/>
        <v>0</v>
      </c>
      <c r="AZ120" s="524">
        <f t="shared" si="77"/>
        <v>0</v>
      </c>
      <c r="BA120" s="524">
        <f t="shared" si="78"/>
        <v>0</v>
      </c>
      <c r="BB120" s="524">
        <f t="shared" si="78"/>
        <v>0</v>
      </c>
      <c r="BC120" s="524">
        <f t="shared" si="78"/>
        <v>0</v>
      </c>
      <c r="BD120" s="524">
        <f t="shared" si="78"/>
        <v>0</v>
      </c>
      <c r="BE120" s="524">
        <f t="shared" si="78"/>
        <v>0</v>
      </c>
      <c r="BF120" s="524">
        <f t="shared" si="78"/>
        <v>0</v>
      </c>
      <c r="BG120" s="524">
        <f t="shared" si="78"/>
        <v>0</v>
      </c>
      <c r="BH120" s="524">
        <f t="shared" si="78"/>
        <v>0</v>
      </c>
      <c r="BI120" s="524">
        <f t="shared" si="78"/>
        <v>0</v>
      </c>
      <c r="BJ120" s="524">
        <f t="shared" si="78"/>
        <v>0</v>
      </c>
      <c r="BK120" s="524">
        <f t="shared" si="79"/>
        <v>0</v>
      </c>
      <c r="BL120" s="524">
        <f t="shared" si="79"/>
        <v>0</v>
      </c>
      <c r="BM120" s="524">
        <f t="shared" si="79"/>
        <v>0</v>
      </c>
      <c r="BN120" s="524">
        <f t="shared" si="79"/>
        <v>0</v>
      </c>
      <c r="BO120" s="524">
        <f t="shared" si="79"/>
        <v>0</v>
      </c>
      <c r="BP120" s="524">
        <f t="shared" si="79"/>
        <v>0</v>
      </c>
      <c r="BQ120" s="524">
        <f t="shared" si="79"/>
        <v>0</v>
      </c>
      <c r="BR120" s="524">
        <f t="shared" si="79"/>
        <v>0</v>
      </c>
      <c r="BS120" s="524">
        <f t="shared" si="79"/>
        <v>0</v>
      </c>
      <c r="BT120" s="524">
        <f t="shared" si="79"/>
        <v>0</v>
      </c>
      <c r="BU120" s="524">
        <f t="shared" si="80"/>
        <v>0</v>
      </c>
      <c r="BV120" s="524">
        <f t="shared" si="80"/>
        <v>0</v>
      </c>
      <c r="BW120" s="524">
        <f t="shared" si="80"/>
        <v>0</v>
      </c>
      <c r="BX120" s="524">
        <f t="shared" si="80"/>
        <v>0</v>
      </c>
      <c r="BY120" s="524">
        <f t="shared" si="80"/>
        <v>0</v>
      </c>
      <c r="BZ120" s="524">
        <f t="shared" si="80"/>
        <v>0</v>
      </c>
    </row>
    <row r="121" spans="2:78" ht="21" hidden="1" customHeight="1" outlineLevel="3">
      <c r="B121" s="367"/>
      <c r="C121" s="370"/>
      <c r="D121" s="374">
        <f t="shared" si="67"/>
        <v>45688</v>
      </c>
      <c r="E121" s="373" cm="1">
        <f t="array" ref="E121">IF($D121&lt;=LatestMonthOfActuals,0,INDEX($AE$41:$BZ$41,0,MATCH($D121,$AE$8:$BZ$8,0)))</f>
        <v>0</v>
      </c>
      <c r="F121" s="359"/>
      <c r="G121" s="408">
        <f t="shared" si="75"/>
        <v>0</v>
      </c>
      <c r="H121" s="408">
        <f t="shared" si="75"/>
        <v>0</v>
      </c>
      <c r="I121" s="408">
        <f t="shared" si="75"/>
        <v>0</v>
      </c>
      <c r="J121" s="408">
        <f t="shared" si="75"/>
        <v>0</v>
      </c>
      <c r="K121" s="408"/>
      <c r="L121" s="408"/>
      <c r="M121" s="408">
        <f t="shared" si="74"/>
        <v>0</v>
      </c>
      <c r="N121" s="408">
        <f t="shared" si="74"/>
        <v>0</v>
      </c>
      <c r="O121" s="408">
        <f t="shared" si="74"/>
        <v>0</v>
      </c>
      <c r="P121" s="408">
        <f t="shared" si="74"/>
        <v>0</v>
      </c>
      <c r="Q121" s="408">
        <f t="shared" si="74"/>
        <v>0</v>
      </c>
      <c r="R121" s="408">
        <f t="shared" si="74"/>
        <v>0</v>
      </c>
      <c r="S121" s="408">
        <f t="shared" si="74"/>
        <v>0</v>
      </c>
      <c r="T121" s="408">
        <f t="shared" si="74"/>
        <v>0</v>
      </c>
      <c r="U121" s="408">
        <f t="shared" si="74"/>
        <v>0</v>
      </c>
      <c r="V121" s="408">
        <f t="shared" si="74"/>
        <v>0</v>
      </c>
      <c r="W121" s="408">
        <f t="shared" si="74"/>
        <v>0</v>
      </c>
      <c r="X121" s="408">
        <f t="shared" si="74"/>
        <v>0</v>
      </c>
      <c r="Y121" s="408">
        <f t="shared" si="74"/>
        <v>0</v>
      </c>
      <c r="Z121" s="408">
        <f t="shared" si="74"/>
        <v>0</v>
      </c>
      <c r="AA121" s="408">
        <f t="shared" si="74"/>
        <v>0</v>
      </c>
      <c r="AB121" s="408">
        <f t="shared" si="74"/>
        <v>0</v>
      </c>
      <c r="AC121" s="524"/>
      <c r="AD121" s="359"/>
      <c r="AE121" s="524">
        <f t="shared" si="76"/>
        <v>0</v>
      </c>
      <c r="AF121" s="524">
        <f t="shared" si="76"/>
        <v>0</v>
      </c>
      <c r="AG121" s="524">
        <f t="shared" si="76"/>
        <v>0</v>
      </c>
      <c r="AH121" s="524">
        <f t="shared" si="76"/>
        <v>0</v>
      </c>
      <c r="AI121" s="524">
        <f t="shared" si="76"/>
        <v>0</v>
      </c>
      <c r="AJ121" s="524">
        <f t="shared" si="76"/>
        <v>0</v>
      </c>
      <c r="AK121" s="524">
        <f t="shared" si="76"/>
        <v>0</v>
      </c>
      <c r="AL121" s="524">
        <f t="shared" si="76"/>
        <v>0</v>
      </c>
      <c r="AM121" s="524">
        <f t="shared" si="76"/>
        <v>0</v>
      </c>
      <c r="AN121" s="524">
        <f t="shared" si="76"/>
        <v>0</v>
      </c>
      <c r="AO121" s="524">
        <f t="shared" si="76"/>
        <v>0</v>
      </c>
      <c r="AP121" s="524">
        <f t="shared" si="62"/>
        <v>0</v>
      </c>
      <c r="AQ121" s="524">
        <f t="shared" si="77"/>
        <v>0</v>
      </c>
      <c r="AR121" s="524">
        <f t="shared" si="77"/>
        <v>0</v>
      </c>
      <c r="AS121" s="524">
        <f t="shared" si="77"/>
        <v>0</v>
      </c>
      <c r="AT121" s="524">
        <f t="shared" si="77"/>
        <v>0</v>
      </c>
      <c r="AU121" s="524">
        <f t="shared" si="77"/>
        <v>0</v>
      </c>
      <c r="AV121" s="524">
        <f t="shared" si="77"/>
        <v>0</v>
      </c>
      <c r="AW121" s="524">
        <f t="shared" si="77"/>
        <v>0</v>
      </c>
      <c r="AX121" s="524">
        <f t="shared" si="77"/>
        <v>0</v>
      </c>
      <c r="AY121" s="524">
        <f t="shared" si="77"/>
        <v>0</v>
      </c>
      <c r="AZ121" s="524">
        <f t="shared" si="77"/>
        <v>0</v>
      </c>
      <c r="BA121" s="524">
        <f t="shared" si="78"/>
        <v>0</v>
      </c>
      <c r="BB121" s="524">
        <f t="shared" si="78"/>
        <v>0</v>
      </c>
      <c r="BC121" s="524">
        <f t="shared" si="78"/>
        <v>0</v>
      </c>
      <c r="BD121" s="524">
        <f t="shared" si="78"/>
        <v>0</v>
      </c>
      <c r="BE121" s="524">
        <f t="shared" si="78"/>
        <v>0</v>
      </c>
      <c r="BF121" s="524">
        <f t="shared" si="78"/>
        <v>0</v>
      </c>
      <c r="BG121" s="524">
        <f t="shared" si="78"/>
        <v>0</v>
      </c>
      <c r="BH121" s="524">
        <f t="shared" si="78"/>
        <v>0</v>
      </c>
      <c r="BI121" s="524">
        <f t="shared" si="78"/>
        <v>0</v>
      </c>
      <c r="BJ121" s="524">
        <f t="shared" si="78"/>
        <v>0</v>
      </c>
      <c r="BK121" s="524">
        <f t="shared" si="79"/>
        <v>0</v>
      </c>
      <c r="BL121" s="524">
        <f t="shared" si="79"/>
        <v>0</v>
      </c>
      <c r="BM121" s="524">
        <f t="shared" si="79"/>
        <v>0</v>
      </c>
      <c r="BN121" s="524">
        <f t="shared" si="79"/>
        <v>0</v>
      </c>
      <c r="BO121" s="524">
        <f t="shared" si="79"/>
        <v>0</v>
      </c>
      <c r="BP121" s="524">
        <f t="shared" si="79"/>
        <v>0</v>
      </c>
      <c r="BQ121" s="524">
        <f t="shared" si="79"/>
        <v>0</v>
      </c>
      <c r="BR121" s="524">
        <f t="shared" si="79"/>
        <v>0</v>
      </c>
      <c r="BS121" s="524">
        <f t="shared" si="79"/>
        <v>0</v>
      </c>
      <c r="BT121" s="524">
        <f t="shared" si="79"/>
        <v>0</v>
      </c>
      <c r="BU121" s="524">
        <f t="shared" si="80"/>
        <v>0</v>
      </c>
      <c r="BV121" s="524">
        <f t="shared" si="80"/>
        <v>0</v>
      </c>
      <c r="BW121" s="524">
        <f t="shared" si="80"/>
        <v>0</v>
      </c>
      <c r="BX121" s="524">
        <f t="shared" si="80"/>
        <v>0</v>
      </c>
      <c r="BY121" s="524">
        <f t="shared" si="80"/>
        <v>0</v>
      </c>
      <c r="BZ121" s="524">
        <f t="shared" si="80"/>
        <v>0</v>
      </c>
    </row>
    <row r="122" spans="2:78" ht="21" hidden="1" customHeight="1" outlineLevel="3">
      <c r="B122" s="367"/>
      <c r="C122" s="370"/>
      <c r="D122" s="374">
        <f t="shared" si="67"/>
        <v>45716</v>
      </c>
      <c r="E122" s="373" cm="1">
        <f t="array" ref="E122">IF($D122&lt;=LatestMonthOfActuals,0,INDEX($AE$41:$BZ$41,0,MATCH($D122,$AE$8:$BZ$8,0)))</f>
        <v>0</v>
      </c>
      <c r="F122" s="359"/>
      <c r="G122" s="408">
        <f t="shared" si="75"/>
        <v>0</v>
      </c>
      <c r="H122" s="408">
        <f t="shared" si="75"/>
        <v>0</v>
      </c>
      <c r="I122" s="408">
        <f t="shared" si="75"/>
        <v>0</v>
      </c>
      <c r="J122" s="408">
        <f t="shared" si="75"/>
        <v>0</v>
      </c>
      <c r="K122" s="408"/>
      <c r="L122" s="408"/>
      <c r="M122" s="408">
        <f t="shared" si="74"/>
        <v>0</v>
      </c>
      <c r="N122" s="408">
        <f t="shared" si="74"/>
        <v>0</v>
      </c>
      <c r="O122" s="408">
        <f t="shared" si="74"/>
        <v>0</v>
      </c>
      <c r="P122" s="408">
        <f t="shared" si="74"/>
        <v>0</v>
      </c>
      <c r="Q122" s="408">
        <f t="shared" si="74"/>
        <v>0</v>
      </c>
      <c r="R122" s="408">
        <f t="shared" si="74"/>
        <v>0</v>
      </c>
      <c r="S122" s="408">
        <f t="shared" si="74"/>
        <v>0</v>
      </c>
      <c r="T122" s="408">
        <f t="shared" si="74"/>
        <v>0</v>
      </c>
      <c r="U122" s="408">
        <f t="shared" si="74"/>
        <v>0</v>
      </c>
      <c r="V122" s="408">
        <f t="shared" si="74"/>
        <v>0</v>
      </c>
      <c r="W122" s="408">
        <f t="shared" si="74"/>
        <v>0</v>
      </c>
      <c r="X122" s="408">
        <f t="shared" si="74"/>
        <v>0</v>
      </c>
      <c r="Y122" s="408">
        <f t="shared" si="74"/>
        <v>0</v>
      </c>
      <c r="Z122" s="408">
        <f t="shared" si="74"/>
        <v>0</v>
      </c>
      <c r="AA122" s="408">
        <f t="shared" si="74"/>
        <v>0</v>
      </c>
      <c r="AB122" s="408">
        <f t="shared" si="74"/>
        <v>0</v>
      </c>
      <c r="AC122" s="524"/>
      <c r="AD122" s="359"/>
      <c r="AE122" s="524">
        <f t="shared" si="76"/>
        <v>0</v>
      </c>
      <c r="AF122" s="524">
        <f t="shared" si="76"/>
        <v>0</v>
      </c>
      <c r="AG122" s="524">
        <f t="shared" si="76"/>
        <v>0</v>
      </c>
      <c r="AH122" s="524">
        <f t="shared" si="76"/>
        <v>0</v>
      </c>
      <c r="AI122" s="524">
        <f t="shared" si="76"/>
        <v>0</v>
      </c>
      <c r="AJ122" s="524">
        <f t="shared" si="76"/>
        <v>0</v>
      </c>
      <c r="AK122" s="524">
        <f t="shared" si="76"/>
        <v>0</v>
      </c>
      <c r="AL122" s="524">
        <f t="shared" si="76"/>
        <v>0</v>
      </c>
      <c r="AM122" s="524">
        <f t="shared" si="76"/>
        <v>0</v>
      </c>
      <c r="AN122" s="524">
        <f t="shared" si="76"/>
        <v>0</v>
      </c>
      <c r="AO122" s="524">
        <f t="shared" si="76"/>
        <v>0</v>
      </c>
      <c r="AP122" s="524">
        <f t="shared" si="62"/>
        <v>0</v>
      </c>
      <c r="AQ122" s="524">
        <f t="shared" si="77"/>
        <v>0</v>
      </c>
      <c r="AR122" s="524">
        <f t="shared" si="77"/>
        <v>0</v>
      </c>
      <c r="AS122" s="524">
        <f t="shared" si="77"/>
        <v>0</v>
      </c>
      <c r="AT122" s="524">
        <f t="shared" si="77"/>
        <v>0</v>
      </c>
      <c r="AU122" s="524">
        <f t="shared" si="77"/>
        <v>0</v>
      </c>
      <c r="AV122" s="524">
        <f t="shared" si="77"/>
        <v>0</v>
      </c>
      <c r="AW122" s="524">
        <f t="shared" si="77"/>
        <v>0</v>
      </c>
      <c r="AX122" s="524">
        <f t="shared" si="77"/>
        <v>0</v>
      </c>
      <c r="AY122" s="524">
        <f t="shared" si="77"/>
        <v>0</v>
      </c>
      <c r="AZ122" s="524">
        <f t="shared" si="77"/>
        <v>0</v>
      </c>
      <c r="BA122" s="524">
        <f t="shared" si="78"/>
        <v>0</v>
      </c>
      <c r="BB122" s="524">
        <f t="shared" si="78"/>
        <v>0</v>
      </c>
      <c r="BC122" s="524">
        <f t="shared" si="78"/>
        <v>0</v>
      </c>
      <c r="BD122" s="524">
        <f t="shared" si="78"/>
        <v>0</v>
      </c>
      <c r="BE122" s="524">
        <f t="shared" si="78"/>
        <v>0</v>
      </c>
      <c r="BF122" s="524">
        <f t="shared" si="78"/>
        <v>0</v>
      </c>
      <c r="BG122" s="524">
        <f t="shared" si="78"/>
        <v>0</v>
      </c>
      <c r="BH122" s="524">
        <f t="shared" si="78"/>
        <v>0</v>
      </c>
      <c r="BI122" s="524">
        <f t="shared" si="78"/>
        <v>0</v>
      </c>
      <c r="BJ122" s="524">
        <f t="shared" si="78"/>
        <v>0</v>
      </c>
      <c r="BK122" s="524">
        <f t="shared" si="79"/>
        <v>0</v>
      </c>
      <c r="BL122" s="524">
        <f t="shared" si="79"/>
        <v>0</v>
      </c>
      <c r="BM122" s="524">
        <f t="shared" si="79"/>
        <v>0</v>
      </c>
      <c r="BN122" s="524">
        <f t="shared" si="79"/>
        <v>0</v>
      </c>
      <c r="BO122" s="524">
        <f t="shared" si="79"/>
        <v>0</v>
      </c>
      <c r="BP122" s="524">
        <f t="shared" si="79"/>
        <v>0</v>
      </c>
      <c r="BQ122" s="524">
        <f t="shared" si="79"/>
        <v>0</v>
      </c>
      <c r="BR122" s="524">
        <f t="shared" si="79"/>
        <v>0</v>
      </c>
      <c r="BS122" s="524">
        <f t="shared" si="79"/>
        <v>0</v>
      </c>
      <c r="BT122" s="524">
        <f t="shared" si="79"/>
        <v>0</v>
      </c>
      <c r="BU122" s="524">
        <f t="shared" si="80"/>
        <v>0</v>
      </c>
      <c r="BV122" s="524">
        <f t="shared" si="80"/>
        <v>0</v>
      </c>
      <c r="BW122" s="524">
        <f t="shared" si="80"/>
        <v>0</v>
      </c>
      <c r="BX122" s="524">
        <f t="shared" si="80"/>
        <v>0</v>
      </c>
      <c r="BY122" s="524">
        <f t="shared" si="80"/>
        <v>0</v>
      </c>
      <c r="BZ122" s="524">
        <f t="shared" si="80"/>
        <v>0</v>
      </c>
    </row>
    <row r="123" spans="2:78" ht="21" hidden="1" customHeight="1" outlineLevel="3">
      <c r="B123" s="367"/>
      <c r="C123" s="370"/>
      <c r="D123" s="374">
        <f t="shared" si="67"/>
        <v>45747</v>
      </c>
      <c r="E123" s="373" cm="1">
        <f t="array" ref="E123">IF($D123&lt;=LatestMonthOfActuals,0,INDEX($AE$41:$BZ$41,0,MATCH($D123,$AE$8:$BZ$8,0)))</f>
        <v>0</v>
      </c>
      <c r="F123" s="359"/>
      <c r="G123" s="408">
        <f t="shared" si="75"/>
        <v>0</v>
      </c>
      <c r="H123" s="408">
        <f t="shared" si="75"/>
        <v>0</v>
      </c>
      <c r="I123" s="408">
        <f t="shared" si="75"/>
        <v>0</v>
      </c>
      <c r="J123" s="408">
        <f t="shared" si="75"/>
        <v>0</v>
      </c>
      <c r="K123" s="408"/>
      <c r="L123" s="408"/>
      <c r="M123" s="408">
        <f t="shared" si="74"/>
        <v>0</v>
      </c>
      <c r="N123" s="408">
        <f t="shared" si="74"/>
        <v>0</v>
      </c>
      <c r="O123" s="408">
        <f t="shared" si="74"/>
        <v>0</v>
      </c>
      <c r="P123" s="408">
        <f t="shared" si="74"/>
        <v>0</v>
      </c>
      <c r="Q123" s="408">
        <f t="shared" si="74"/>
        <v>0</v>
      </c>
      <c r="R123" s="408">
        <f t="shared" si="74"/>
        <v>0</v>
      </c>
      <c r="S123" s="408">
        <f t="shared" si="74"/>
        <v>0</v>
      </c>
      <c r="T123" s="408">
        <f t="shared" si="74"/>
        <v>0</v>
      </c>
      <c r="U123" s="408">
        <f t="shared" si="74"/>
        <v>0</v>
      </c>
      <c r="V123" s="408">
        <f t="shared" si="74"/>
        <v>0</v>
      </c>
      <c r="W123" s="408">
        <f t="shared" si="74"/>
        <v>0</v>
      </c>
      <c r="X123" s="408">
        <f t="shared" si="74"/>
        <v>0</v>
      </c>
      <c r="Y123" s="408">
        <f t="shared" si="74"/>
        <v>0</v>
      </c>
      <c r="Z123" s="408">
        <f t="shared" si="74"/>
        <v>0</v>
      </c>
      <c r="AA123" s="408">
        <f t="shared" si="74"/>
        <v>0</v>
      </c>
      <c r="AB123" s="408">
        <f t="shared" si="74"/>
        <v>0</v>
      </c>
      <c r="AC123" s="524"/>
      <c r="AD123" s="359"/>
      <c r="AE123" s="524">
        <f t="shared" si="76"/>
        <v>0</v>
      </c>
      <c r="AF123" s="524">
        <f t="shared" si="76"/>
        <v>0</v>
      </c>
      <c r="AG123" s="524">
        <f t="shared" si="76"/>
        <v>0</v>
      </c>
      <c r="AH123" s="524">
        <f t="shared" si="76"/>
        <v>0</v>
      </c>
      <c r="AI123" s="524">
        <f t="shared" si="76"/>
        <v>0</v>
      </c>
      <c r="AJ123" s="524">
        <f t="shared" si="76"/>
        <v>0</v>
      </c>
      <c r="AK123" s="524">
        <f t="shared" si="76"/>
        <v>0</v>
      </c>
      <c r="AL123" s="524">
        <f t="shared" si="76"/>
        <v>0</v>
      </c>
      <c r="AM123" s="524">
        <f t="shared" si="76"/>
        <v>0</v>
      </c>
      <c r="AN123" s="524">
        <f t="shared" si="76"/>
        <v>0</v>
      </c>
      <c r="AO123" s="524">
        <f t="shared" si="76"/>
        <v>0</v>
      </c>
      <c r="AP123" s="524">
        <f t="shared" si="62"/>
        <v>0</v>
      </c>
      <c r="AQ123" s="524">
        <f t="shared" si="77"/>
        <v>0</v>
      </c>
      <c r="AR123" s="524">
        <f t="shared" si="77"/>
        <v>0</v>
      </c>
      <c r="AS123" s="524">
        <f t="shared" si="77"/>
        <v>0</v>
      </c>
      <c r="AT123" s="524">
        <f t="shared" si="77"/>
        <v>0</v>
      </c>
      <c r="AU123" s="524">
        <f t="shared" si="77"/>
        <v>0</v>
      </c>
      <c r="AV123" s="524">
        <f t="shared" si="77"/>
        <v>0</v>
      </c>
      <c r="AW123" s="524">
        <f t="shared" si="77"/>
        <v>0</v>
      </c>
      <c r="AX123" s="524">
        <f t="shared" si="77"/>
        <v>0</v>
      </c>
      <c r="AY123" s="524">
        <f t="shared" si="77"/>
        <v>0</v>
      </c>
      <c r="AZ123" s="524">
        <f t="shared" si="77"/>
        <v>0</v>
      </c>
      <c r="BA123" s="524">
        <f t="shared" si="78"/>
        <v>0</v>
      </c>
      <c r="BB123" s="524">
        <f t="shared" si="78"/>
        <v>0</v>
      </c>
      <c r="BC123" s="524">
        <f t="shared" si="78"/>
        <v>0</v>
      </c>
      <c r="BD123" s="524">
        <f t="shared" si="78"/>
        <v>0</v>
      </c>
      <c r="BE123" s="524">
        <f t="shared" si="78"/>
        <v>0</v>
      </c>
      <c r="BF123" s="524">
        <f t="shared" si="78"/>
        <v>0</v>
      </c>
      <c r="BG123" s="524">
        <f t="shared" si="78"/>
        <v>0</v>
      </c>
      <c r="BH123" s="524">
        <f t="shared" si="78"/>
        <v>0</v>
      </c>
      <c r="BI123" s="524">
        <f t="shared" si="78"/>
        <v>0</v>
      </c>
      <c r="BJ123" s="524">
        <f t="shared" si="78"/>
        <v>0</v>
      </c>
      <c r="BK123" s="524">
        <f t="shared" si="79"/>
        <v>0</v>
      </c>
      <c r="BL123" s="524">
        <f t="shared" si="79"/>
        <v>0</v>
      </c>
      <c r="BM123" s="524">
        <f t="shared" si="79"/>
        <v>0</v>
      </c>
      <c r="BN123" s="524">
        <f t="shared" si="79"/>
        <v>0</v>
      </c>
      <c r="BO123" s="524">
        <f t="shared" si="79"/>
        <v>0</v>
      </c>
      <c r="BP123" s="524">
        <f t="shared" si="79"/>
        <v>0</v>
      </c>
      <c r="BQ123" s="524">
        <f t="shared" si="79"/>
        <v>0</v>
      </c>
      <c r="BR123" s="524">
        <f t="shared" si="79"/>
        <v>0</v>
      </c>
      <c r="BS123" s="524">
        <f t="shared" si="79"/>
        <v>0</v>
      </c>
      <c r="BT123" s="524">
        <f t="shared" si="79"/>
        <v>0</v>
      </c>
      <c r="BU123" s="524">
        <f t="shared" si="80"/>
        <v>0</v>
      </c>
      <c r="BV123" s="524">
        <f t="shared" si="80"/>
        <v>0</v>
      </c>
      <c r="BW123" s="524">
        <f t="shared" si="80"/>
        <v>0</v>
      </c>
      <c r="BX123" s="524">
        <f t="shared" si="80"/>
        <v>0</v>
      </c>
      <c r="BY123" s="524">
        <f t="shared" si="80"/>
        <v>0</v>
      </c>
      <c r="BZ123" s="524">
        <f t="shared" si="80"/>
        <v>0</v>
      </c>
    </row>
    <row r="124" spans="2:78" ht="21" hidden="1" customHeight="1" outlineLevel="3">
      <c r="B124" s="367"/>
      <c r="C124" s="370"/>
      <c r="D124" s="374">
        <f t="shared" si="67"/>
        <v>45777</v>
      </c>
      <c r="E124" s="373" cm="1">
        <f t="array" ref="E124">IF($D124&lt;=LatestMonthOfActuals,0,INDEX($AE$41:$BZ$41,0,MATCH($D124,$AE$8:$BZ$8,0)))</f>
        <v>0</v>
      </c>
      <c r="F124" s="359"/>
      <c r="G124" s="408">
        <f t="shared" si="75"/>
        <v>0</v>
      </c>
      <c r="H124" s="408">
        <f t="shared" si="75"/>
        <v>0</v>
      </c>
      <c r="I124" s="408">
        <f t="shared" si="75"/>
        <v>0</v>
      </c>
      <c r="J124" s="408">
        <f t="shared" si="75"/>
        <v>0</v>
      </c>
      <c r="K124" s="408"/>
      <c r="L124" s="408"/>
      <c r="M124" s="408">
        <f t="shared" si="74"/>
        <v>0</v>
      </c>
      <c r="N124" s="408">
        <f t="shared" si="74"/>
        <v>0</v>
      </c>
      <c r="O124" s="408">
        <f t="shared" si="74"/>
        <v>0</v>
      </c>
      <c r="P124" s="408">
        <f t="shared" si="74"/>
        <v>0</v>
      </c>
      <c r="Q124" s="408">
        <f t="shared" si="74"/>
        <v>0</v>
      </c>
      <c r="R124" s="408">
        <f t="shared" si="74"/>
        <v>0</v>
      </c>
      <c r="S124" s="408">
        <f t="shared" si="74"/>
        <v>0</v>
      </c>
      <c r="T124" s="408">
        <f t="shared" si="74"/>
        <v>0</v>
      </c>
      <c r="U124" s="408">
        <f t="shared" si="74"/>
        <v>0</v>
      </c>
      <c r="V124" s="408">
        <f t="shared" si="74"/>
        <v>0</v>
      </c>
      <c r="W124" s="408">
        <f t="shared" si="74"/>
        <v>0</v>
      </c>
      <c r="X124" s="408">
        <f t="shared" si="74"/>
        <v>0</v>
      </c>
      <c r="Y124" s="408">
        <f t="shared" si="74"/>
        <v>0</v>
      </c>
      <c r="Z124" s="408">
        <f t="shared" si="74"/>
        <v>0</v>
      </c>
      <c r="AA124" s="408">
        <f t="shared" si="74"/>
        <v>0</v>
      </c>
      <c r="AB124" s="408">
        <f t="shared" si="74"/>
        <v>0</v>
      </c>
      <c r="AC124" s="524"/>
      <c r="AD124" s="359"/>
      <c r="AE124" s="524">
        <f t="shared" si="76"/>
        <v>0</v>
      </c>
      <c r="AF124" s="524">
        <f t="shared" si="76"/>
        <v>0</v>
      </c>
      <c r="AG124" s="524">
        <f t="shared" si="76"/>
        <v>0</v>
      </c>
      <c r="AH124" s="524">
        <f t="shared" si="76"/>
        <v>0</v>
      </c>
      <c r="AI124" s="524">
        <f t="shared" si="76"/>
        <v>0</v>
      </c>
      <c r="AJ124" s="524">
        <f t="shared" si="76"/>
        <v>0</v>
      </c>
      <c r="AK124" s="524">
        <f t="shared" si="76"/>
        <v>0</v>
      </c>
      <c r="AL124" s="524">
        <f t="shared" si="76"/>
        <v>0</v>
      </c>
      <c r="AM124" s="524">
        <f t="shared" si="76"/>
        <v>0</v>
      </c>
      <c r="AN124" s="524">
        <f t="shared" si="76"/>
        <v>0</v>
      </c>
      <c r="AO124" s="524">
        <f t="shared" si="76"/>
        <v>0</v>
      </c>
      <c r="AP124" s="524">
        <f t="shared" si="62"/>
        <v>0</v>
      </c>
      <c r="AQ124" s="524">
        <f t="shared" si="77"/>
        <v>0</v>
      </c>
      <c r="AR124" s="524">
        <f t="shared" si="77"/>
        <v>0</v>
      </c>
      <c r="AS124" s="524">
        <f t="shared" si="77"/>
        <v>0</v>
      </c>
      <c r="AT124" s="524">
        <f t="shared" si="77"/>
        <v>0</v>
      </c>
      <c r="AU124" s="524">
        <f t="shared" si="77"/>
        <v>0</v>
      </c>
      <c r="AV124" s="524">
        <f t="shared" si="77"/>
        <v>0</v>
      </c>
      <c r="AW124" s="524">
        <f t="shared" si="77"/>
        <v>0</v>
      </c>
      <c r="AX124" s="524">
        <f t="shared" si="77"/>
        <v>0</v>
      </c>
      <c r="AY124" s="524">
        <f t="shared" si="77"/>
        <v>0</v>
      </c>
      <c r="AZ124" s="524">
        <f t="shared" si="77"/>
        <v>0</v>
      </c>
      <c r="BA124" s="524">
        <f t="shared" si="78"/>
        <v>0</v>
      </c>
      <c r="BB124" s="524">
        <f t="shared" si="78"/>
        <v>0</v>
      </c>
      <c r="BC124" s="524">
        <f t="shared" si="78"/>
        <v>0</v>
      </c>
      <c r="BD124" s="524">
        <f t="shared" si="78"/>
        <v>0</v>
      </c>
      <c r="BE124" s="524">
        <f t="shared" si="78"/>
        <v>0</v>
      </c>
      <c r="BF124" s="524">
        <f t="shared" si="78"/>
        <v>0</v>
      </c>
      <c r="BG124" s="524">
        <f t="shared" si="78"/>
        <v>0</v>
      </c>
      <c r="BH124" s="524">
        <f t="shared" si="78"/>
        <v>0</v>
      </c>
      <c r="BI124" s="524">
        <f t="shared" si="78"/>
        <v>0</v>
      </c>
      <c r="BJ124" s="524">
        <f t="shared" si="78"/>
        <v>0</v>
      </c>
      <c r="BK124" s="524">
        <f t="shared" si="79"/>
        <v>0</v>
      </c>
      <c r="BL124" s="524">
        <f t="shared" si="79"/>
        <v>0</v>
      </c>
      <c r="BM124" s="524">
        <f t="shared" si="79"/>
        <v>0</v>
      </c>
      <c r="BN124" s="524">
        <f t="shared" si="79"/>
        <v>0</v>
      </c>
      <c r="BO124" s="524">
        <f t="shared" si="79"/>
        <v>0</v>
      </c>
      <c r="BP124" s="524">
        <f t="shared" si="79"/>
        <v>0</v>
      </c>
      <c r="BQ124" s="524">
        <f t="shared" si="79"/>
        <v>0</v>
      </c>
      <c r="BR124" s="524">
        <f t="shared" si="79"/>
        <v>0</v>
      </c>
      <c r="BS124" s="524">
        <f t="shared" si="79"/>
        <v>0</v>
      </c>
      <c r="BT124" s="524">
        <f t="shared" si="79"/>
        <v>0</v>
      </c>
      <c r="BU124" s="524">
        <f t="shared" si="80"/>
        <v>0</v>
      </c>
      <c r="BV124" s="524">
        <f t="shared" si="80"/>
        <v>0</v>
      </c>
      <c r="BW124" s="524">
        <f t="shared" si="80"/>
        <v>0</v>
      </c>
      <c r="BX124" s="524">
        <f t="shared" si="80"/>
        <v>0</v>
      </c>
      <c r="BY124" s="524">
        <f t="shared" si="80"/>
        <v>0</v>
      </c>
      <c r="BZ124" s="524">
        <f t="shared" si="80"/>
        <v>0</v>
      </c>
    </row>
    <row r="125" spans="2:78" ht="21" hidden="1" customHeight="1" outlineLevel="3">
      <c r="B125" s="367"/>
      <c r="C125" s="370"/>
      <c r="D125" s="374">
        <f t="shared" si="67"/>
        <v>45808</v>
      </c>
      <c r="E125" s="373" cm="1">
        <f t="array" ref="E125">IF($D125&lt;=LatestMonthOfActuals,0,INDEX($AE$41:$BZ$41,0,MATCH($D125,$AE$8:$BZ$8,0)))</f>
        <v>0</v>
      </c>
      <c r="F125" s="359"/>
      <c r="G125" s="408">
        <f t="shared" si="75"/>
        <v>0</v>
      </c>
      <c r="H125" s="408">
        <f t="shared" si="75"/>
        <v>0</v>
      </c>
      <c r="I125" s="408">
        <f t="shared" si="75"/>
        <v>0</v>
      </c>
      <c r="J125" s="408">
        <f t="shared" si="75"/>
        <v>0</v>
      </c>
      <c r="K125" s="408"/>
      <c r="L125" s="408"/>
      <c r="M125" s="408">
        <f t="shared" si="74"/>
        <v>0</v>
      </c>
      <c r="N125" s="408">
        <f t="shared" si="74"/>
        <v>0</v>
      </c>
      <c r="O125" s="408">
        <f t="shared" si="74"/>
        <v>0</v>
      </c>
      <c r="P125" s="408">
        <f t="shared" si="74"/>
        <v>0</v>
      </c>
      <c r="Q125" s="408">
        <f t="shared" si="74"/>
        <v>0</v>
      </c>
      <c r="R125" s="408">
        <f t="shared" si="74"/>
        <v>0</v>
      </c>
      <c r="S125" s="408">
        <f t="shared" si="74"/>
        <v>0</v>
      </c>
      <c r="T125" s="408">
        <f t="shared" si="74"/>
        <v>0</v>
      </c>
      <c r="U125" s="408">
        <f t="shared" si="74"/>
        <v>0</v>
      </c>
      <c r="V125" s="408">
        <f t="shared" si="74"/>
        <v>0</v>
      </c>
      <c r="W125" s="408">
        <f t="shared" si="74"/>
        <v>0</v>
      </c>
      <c r="X125" s="408">
        <f t="shared" si="74"/>
        <v>0</v>
      </c>
      <c r="Y125" s="408">
        <f t="shared" si="74"/>
        <v>0</v>
      </c>
      <c r="Z125" s="408">
        <f t="shared" si="74"/>
        <v>0</v>
      </c>
      <c r="AA125" s="408">
        <f t="shared" si="74"/>
        <v>0</v>
      </c>
      <c r="AB125" s="408">
        <f t="shared" si="74"/>
        <v>0</v>
      </c>
      <c r="AC125" s="524"/>
      <c r="AD125" s="359"/>
      <c r="AE125" s="524">
        <f t="shared" si="76"/>
        <v>0</v>
      </c>
      <c r="AF125" s="524">
        <f t="shared" si="76"/>
        <v>0</v>
      </c>
      <c r="AG125" s="524">
        <f t="shared" si="76"/>
        <v>0</v>
      </c>
      <c r="AH125" s="524">
        <f t="shared" si="76"/>
        <v>0</v>
      </c>
      <c r="AI125" s="524">
        <f t="shared" si="76"/>
        <v>0</v>
      </c>
      <c r="AJ125" s="524">
        <f t="shared" si="76"/>
        <v>0</v>
      </c>
      <c r="AK125" s="524">
        <f t="shared" si="76"/>
        <v>0</v>
      </c>
      <c r="AL125" s="524">
        <f t="shared" si="76"/>
        <v>0</v>
      </c>
      <c r="AM125" s="524">
        <f t="shared" si="76"/>
        <v>0</v>
      </c>
      <c r="AN125" s="524">
        <f t="shared" si="76"/>
        <v>0</v>
      </c>
      <c r="AO125" s="524">
        <f t="shared" si="76"/>
        <v>0</v>
      </c>
      <c r="AP125" s="524">
        <f t="shared" si="62"/>
        <v>0</v>
      </c>
      <c r="AQ125" s="524">
        <f t="shared" si="77"/>
        <v>0</v>
      </c>
      <c r="AR125" s="524">
        <f t="shared" si="77"/>
        <v>0</v>
      </c>
      <c r="AS125" s="524">
        <f t="shared" si="77"/>
        <v>0</v>
      </c>
      <c r="AT125" s="524">
        <f t="shared" si="77"/>
        <v>0</v>
      </c>
      <c r="AU125" s="524">
        <f t="shared" si="77"/>
        <v>0</v>
      </c>
      <c r="AV125" s="524">
        <f t="shared" si="77"/>
        <v>0</v>
      </c>
      <c r="AW125" s="524">
        <f t="shared" si="77"/>
        <v>0</v>
      </c>
      <c r="AX125" s="524">
        <f t="shared" si="77"/>
        <v>0</v>
      </c>
      <c r="AY125" s="524">
        <f t="shared" si="77"/>
        <v>0</v>
      </c>
      <c r="AZ125" s="524">
        <f t="shared" si="77"/>
        <v>0</v>
      </c>
      <c r="BA125" s="524">
        <f t="shared" si="78"/>
        <v>0</v>
      </c>
      <c r="BB125" s="524">
        <f t="shared" si="78"/>
        <v>0</v>
      </c>
      <c r="BC125" s="524">
        <f t="shared" si="78"/>
        <v>0</v>
      </c>
      <c r="BD125" s="524">
        <f t="shared" si="78"/>
        <v>0</v>
      </c>
      <c r="BE125" s="524">
        <f t="shared" si="78"/>
        <v>0</v>
      </c>
      <c r="BF125" s="524">
        <f t="shared" si="78"/>
        <v>0</v>
      </c>
      <c r="BG125" s="524">
        <f t="shared" si="78"/>
        <v>0</v>
      </c>
      <c r="BH125" s="524">
        <f t="shared" si="78"/>
        <v>0</v>
      </c>
      <c r="BI125" s="524">
        <f t="shared" si="78"/>
        <v>0</v>
      </c>
      <c r="BJ125" s="524">
        <f t="shared" si="78"/>
        <v>0</v>
      </c>
      <c r="BK125" s="524">
        <f t="shared" si="79"/>
        <v>0</v>
      </c>
      <c r="BL125" s="524">
        <f t="shared" si="79"/>
        <v>0</v>
      </c>
      <c r="BM125" s="524">
        <f t="shared" si="79"/>
        <v>0</v>
      </c>
      <c r="BN125" s="524">
        <f t="shared" si="79"/>
        <v>0</v>
      </c>
      <c r="BO125" s="524">
        <f t="shared" si="79"/>
        <v>0</v>
      </c>
      <c r="BP125" s="524">
        <f t="shared" si="79"/>
        <v>0</v>
      </c>
      <c r="BQ125" s="524">
        <f t="shared" si="79"/>
        <v>0</v>
      </c>
      <c r="BR125" s="524">
        <f t="shared" si="79"/>
        <v>0</v>
      </c>
      <c r="BS125" s="524">
        <f t="shared" si="79"/>
        <v>0</v>
      </c>
      <c r="BT125" s="524">
        <f t="shared" si="79"/>
        <v>0</v>
      </c>
      <c r="BU125" s="524">
        <f t="shared" si="80"/>
        <v>0</v>
      </c>
      <c r="BV125" s="524">
        <f t="shared" si="80"/>
        <v>0</v>
      </c>
      <c r="BW125" s="524">
        <f t="shared" si="80"/>
        <v>0</v>
      </c>
      <c r="BX125" s="524">
        <f t="shared" si="80"/>
        <v>0</v>
      </c>
      <c r="BY125" s="524">
        <f t="shared" si="80"/>
        <v>0</v>
      </c>
      <c r="BZ125" s="524">
        <f t="shared" si="80"/>
        <v>0</v>
      </c>
    </row>
    <row r="126" spans="2:78" ht="21" hidden="1" customHeight="1" outlineLevel="3">
      <c r="B126" s="367"/>
      <c r="C126" s="370"/>
      <c r="D126" s="374">
        <f t="shared" si="67"/>
        <v>45838</v>
      </c>
      <c r="E126" s="373" cm="1">
        <f t="array" ref="E126">IF($D126&lt;=LatestMonthOfActuals,0,INDEX($AE$41:$BZ$41,0,MATCH($D126,$AE$8:$BZ$8,0)))</f>
        <v>0</v>
      </c>
      <c r="F126" s="359"/>
      <c r="G126" s="408">
        <f t="shared" si="75"/>
        <v>0</v>
      </c>
      <c r="H126" s="408">
        <f t="shared" si="75"/>
        <v>0</v>
      </c>
      <c r="I126" s="408">
        <f t="shared" si="75"/>
        <v>0</v>
      </c>
      <c r="J126" s="408">
        <f t="shared" si="75"/>
        <v>0</v>
      </c>
      <c r="K126" s="408"/>
      <c r="L126" s="408"/>
      <c r="M126" s="408">
        <f t="shared" si="74"/>
        <v>0</v>
      </c>
      <c r="N126" s="408">
        <f t="shared" si="74"/>
        <v>0</v>
      </c>
      <c r="O126" s="408">
        <f t="shared" si="74"/>
        <v>0</v>
      </c>
      <c r="P126" s="408">
        <f t="shared" si="74"/>
        <v>0</v>
      </c>
      <c r="Q126" s="408">
        <f t="shared" si="74"/>
        <v>0</v>
      </c>
      <c r="R126" s="408">
        <f t="shared" si="74"/>
        <v>0</v>
      </c>
      <c r="S126" s="408">
        <f t="shared" si="74"/>
        <v>0</v>
      </c>
      <c r="T126" s="408">
        <f t="shared" si="74"/>
        <v>0</v>
      </c>
      <c r="U126" s="408">
        <f t="shared" si="74"/>
        <v>0</v>
      </c>
      <c r="V126" s="408">
        <f t="shared" si="74"/>
        <v>0</v>
      </c>
      <c r="W126" s="408">
        <f t="shared" si="74"/>
        <v>0</v>
      </c>
      <c r="X126" s="408">
        <f t="shared" si="74"/>
        <v>0</v>
      </c>
      <c r="Y126" s="408">
        <f t="shared" si="74"/>
        <v>0</v>
      </c>
      <c r="Z126" s="408">
        <f t="shared" si="74"/>
        <v>0</v>
      </c>
      <c r="AA126" s="408">
        <f t="shared" si="74"/>
        <v>0</v>
      </c>
      <c r="AB126" s="408">
        <f t="shared" si="74"/>
        <v>0</v>
      </c>
      <c r="AC126" s="524"/>
      <c r="AD126" s="359"/>
      <c r="AE126" s="524">
        <f t="shared" si="76"/>
        <v>0</v>
      </c>
      <c r="AF126" s="524">
        <f t="shared" si="76"/>
        <v>0</v>
      </c>
      <c r="AG126" s="524">
        <f t="shared" si="76"/>
        <v>0</v>
      </c>
      <c r="AH126" s="524">
        <f t="shared" si="76"/>
        <v>0</v>
      </c>
      <c r="AI126" s="524">
        <f t="shared" si="76"/>
        <v>0</v>
      </c>
      <c r="AJ126" s="524">
        <f t="shared" si="76"/>
        <v>0</v>
      </c>
      <c r="AK126" s="524">
        <f t="shared" si="76"/>
        <v>0</v>
      </c>
      <c r="AL126" s="524">
        <f t="shared" si="76"/>
        <v>0</v>
      </c>
      <c r="AM126" s="524">
        <f t="shared" si="76"/>
        <v>0</v>
      </c>
      <c r="AN126" s="524">
        <f t="shared" si="76"/>
        <v>0</v>
      </c>
      <c r="AO126" s="524">
        <f t="shared" si="76"/>
        <v>0</v>
      </c>
      <c r="AP126" s="524">
        <f t="shared" si="62"/>
        <v>0</v>
      </c>
      <c r="AQ126" s="524">
        <f t="shared" si="77"/>
        <v>0</v>
      </c>
      <c r="AR126" s="524">
        <f t="shared" si="77"/>
        <v>0</v>
      </c>
      <c r="AS126" s="524">
        <f t="shared" si="77"/>
        <v>0</v>
      </c>
      <c r="AT126" s="524">
        <f t="shared" si="77"/>
        <v>0</v>
      </c>
      <c r="AU126" s="524">
        <f t="shared" si="77"/>
        <v>0</v>
      </c>
      <c r="AV126" s="524">
        <f t="shared" si="77"/>
        <v>0</v>
      </c>
      <c r="AW126" s="524">
        <f t="shared" si="77"/>
        <v>0</v>
      </c>
      <c r="AX126" s="524">
        <f t="shared" si="77"/>
        <v>0</v>
      </c>
      <c r="AY126" s="524">
        <f t="shared" si="77"/>
        <v>0</v>
      </c>
      <c r="AZ126" s="524">
        <f t="shared" si="77"/>
        <v>0</v>
      </c>
      <c r="BA126" s="524">
        <f t="shared" si="78"/>
        <v>0</v>
      </c>
      <c r="BB126" s="524">
        <f t="shared" si="78"/>
        <v>0</v>
      </c>
      <c r="BC126" s="524">
        <f t="shared" si="78"/>
        <v>0</v>
      </c>
      <c r="BD126" s="524">
        <f t="shared" si="78"/>
        <v>0</v>
      </c>
      <c r="BE126" s="524">
        <f t="shared" si="78"/>
        <v>0</v>
      </c>
      <c r="BF126" s="524">
        <f t="shared" si="78"/>
        <v>0</v>
      </c>
      <c r="BG126" s="524">
        <f t="shared" si="78"/>
        <v>0</v>
      </c>
      <c r="BH126" s="524">
        <f t="shared" si="78"/>
        <v>0</v>
      </c>
      <c r="BI126" s="524">
        <f t="shared" si="78"/>
        <v>0</v>
      </c>
      <c r="BJ126" s="524">
        <f t="shared" si="78"/>
        <v>0</v>
      </c>
      <c r="BK126" s="524">
        <f t="shared" si="79"/>
        <v>0</v>
      </c>
      <c r="BL126" s="524">
        <f t="shared" si="79"/>
        <v>0</v>
      </c>
      <c r="BM126" s="524">
        <f t="shared" si="79"/>
        <v>0</v>
      </c>
      <c r="BN126" s="524">
        <f t="shared" si="79"/>
        <v>0</v>
      </c>
      <c r="BO126" s="524">
        <f t="shared" si="79"/>
        <v>0</v>
      </c>
      <c r="BP126" s="524">
        <f t="shared" si="79"/>
        <v>0</v>
      </c>
      <c r="BQ126" s="524">
        <f t="shared" si="79"/>
        <v>0</v>
      </c>
      <c r="BR126" s="524">
        <f t="shared" si="79"/>
        <v>0</v>
      </c>
      <c r="BS126" s="524">
        <f t="shared" si="79"/>
        <v>0</v>
      </c>
      <c r="BT126" s="524">
        <f t="shared" si="79"/>
        <v>0</v>
      </c>
      <c r="BU126" s="524">
        <f t="shared" si="80"/>
        <v>0</v>
      </c>
      <c r="BV126" s="524">
        <f t="shared" si="80"/>
        <v>0</v>
      </c>
      <c r="BW126" s="524">
        <f t="shared" si="80"/>
        <v>0</v>
      </c>
      <c r="BX126" s="524">
        <f t="shared" si="80"/>
        <v>0</v>
      </c>
      <c r="BY126" s="524">
        <f t="shared" si="80"/>
        <v>0</v>
      </c>
      <c r="BZ126" s="524">
        <f t="shared" si="80"/>
        <v>0</v>
      </c>
    </row>
    <row r="127" spans="2:78" ht="21" hidden="1" customHeight="1" outlineLevel="3">
      <c r="B127" s="367"/>
      <c r="C127" s="370"/>
      <c r="D127" s="374">
        <f t="shared" si="67"/>
        <v>45869</v>
      </c>
      <c r="E127" s="373" cm="1">
        <f t="array" ref="E127">IF($D127&lt;=LatestMonthOfActuals,0,INDEX($AE$41:$BZ$41,0,MATCH($D127,$AE$8:$BZ$8,0)))</f>
        <v>0</v>
      </c>
      <c r="F127" s="359"/>
      <c r="G127" s="408">
        <f t="shared" si="75"/>
        <v>0</v>
      </c>
      <c r="H127" s="408">
        <f t="shared" si="75"/>
        <v>0</v>
      </c>
      <c r="I127" s="408">
        <f t="shared" si="75"/>
        <v>0</v>
      </c>
      <c r="J127" s="408">
        <f t="shared" si="75"/>
        <v>0</v>
      </c>
      <c r="K127" s="408"/>
      <c r="L127" s="408"/>
      <c r="M127" s="408">
        <f t="shared" si="74"/>
        <v>0</v>
      </c>
      <c r="N127" s="408">
        <f t="shared" si="74"/>
        <v>0</v>
      </c>
      <c r="O127" s="408">
        <f t="shared" si="74"/>
        <v>0</v>
      </c>
      <c r="P127" s="408">
        <f t="shared" si="74"/>
        <v>0</v>
      </c>
      <c r="Q127" s="408">
        <f t="shared" si="74"/>
        <v>0</v>
      </c>
      <c r="R127" s="408">
        <f t="shared" si="74"/>
        <v>0</v>
      </c>
      <c r="S127" s="408">
        <f t="shared" si="74"/>
        <v>0</v>
      </c>
      <c r="T127" s="408">
        <f t="shared" si="74"/>
        <v>0</v>
      </c>
      <c r="U127" s="408">
        <f t="shared" si="74"/>
        <v>0</v>
      </c>
      <c r="V127" s="408">
        <f t="shared" si="74"/>
        <v>0</v>
      </c>
      <c r="W127" s="408">
        <f t="shared" si="74"/>
        <v>0</v>
      </c>
      <c r="X127" s="408">
        <f t="shared" si="74"/>
        <v>0</v>
      </c>
      <c r="Y127" s="408">
        <f t="shared" si="74"/>
        <v>0</v>
      </c>
      <c r="Z127" s="408">
        <f t="shared" si="74"/>
        <v>0</v>
      </c>
      <c r="AA127" s="408">
        <f t="shared" si="74"/>
        <v>0</v>
      </c>
      <c r="AB127" s="408">
        <f t="shared" si="74"/>
        <v>0</v>
      </c>
      <c r="AC127" s="524"/>
      <c r="AD127" s="359"/>
      <c r="AE127" s="524">
        <f t="shared" ref="AE127:AO136" si="81">IFERROR(IF(AE$8&gt;=$D127,$E127*(INDEX($E$25:$E$36,(MATCH(MATCH(AE$8,$D$97:$D$144,0)-MATCH($D127,$D$97:$D$144,0),$D$25:$D$36,0)))),0),0)</f>
        <v>0</v>
      </c>
      <c r="AF127" s="524">
        <f t="shared" si="81"/>
        <v>0</v>
      </c>
      <c r="AG127" s="524">
        <f t="shared" si="81"/>
        <v>0</v>
      </c>
      <c r="AH127" s="524">
        <f t="shared" si="81"/>
        <v>0</v>
      </c>
      <c r="AI127" s="524">
        <f t="shared" si="81"/>
        <v>0</v>
      </c>
      <c r="AJ127" s="524">
        <f t="shared" si="81"/>
        <v>0</v>
      </c>
      <c r="AK127" s="524">
        <f t="shared" si="81"/>
        <v>0</v>
      </c>
      <c r="AL127" s="524">
        <f t="shared" si="81"/>
        <v>0</v>
      </c>
      <c r="AM127" s="524">
        <f t="shared" si="81"/>
        <v>0</v>
      </c>
      <c r="AN127" s="524">
        <f t="shared" si="81"/>
        <v>0</v>
      </c>
      <c r="AO127" s="524">
        <f t="shared" si="81"/>
        <v>0</v>
      </c>
      <c r="AP127" s="524">
        <f t="shared" si="62"/>
        <v>0</v>
      </c>
      <c r="AQ127" s="524">
        <f t="shared" ref="AQ127:AZ136" si="82">IFERROR(IF(AQ$8&gt;=$D127,$E127*(INDEX($E$25:$E$36,(MATCH(MATCH(AQ$8,$D$97:$D$144,0)-MATCH($D127,$D$97:$D$144,0),$D$25:$D$36,0)))),0),0)</f>
        <v>0</v>
      </c>
      <c r="AR127" s="524">
        <f t="shared" si="82"/>
        <v>0</v>
      </c>
      <c r="AS127" s="524">
        <f t="shared" si="82"/>
        <v>0</v>
      </c>
      <c r="AT127" s="524">
        <f t="shared" si="82"/>
        <v>0</v>
      </c>
      <c r="AU127" s="524">
        <f t="shared" si="82"/>
        <v>0</v>
      </c>
      <c r="AV127" s="524">
        <f t="shared" si="82"/>
        <v>0</v>
      </c>
      <c r="AW127" s="524">
        <f t="shared" si="82"/>
        <v>0</v>
      </c>
      <c r="AX127" s="524">
        <f t="shared" si="82"/>
        <v>0</v>
      </c>
      <c r="AY127" s="524">
        <f t="shared" si="82"/>
        <v>0</v>
      </c>
      <c r="AZ127" s="524">
        <f t="shared" si="82"/>
        <v>0</v>
      </c>
      <c r="BA127" s="524">
        <f t="shared" ref="BA127:BJ136" si="83">IFERROR(IF(BA$8&gt;=$D127,$E127*(INDEX($E$25:$E$36,(MATCH(MATCH(BA$8,$D$97:$D$144,0)-MATCH($D127,$D$97:$D$144,0),$D$25:$D$36,0)))),0),0)</f>
        <v>0</v>
      </c>
      <c r="BB127" s="524">
        <f t="shared" si="83"/>
        <v>0</v>
      </c>
      <c r="BC127" s="524">
        <f t="shared" si="83"/>
        <v>0</v>
      </c>
      <c r="BD127" s="524">
        <f t="shared" si="83"/>
        <v>0</v>
      </c>
      <c r="BE127" s="524">
        <f t="shared" si="83"/>
        <v>0</v>
      </c>
      <c r="BF127" s="524">
        <f t="shared" si="83"/>
        <v>0</v>
      </c>
      <c r="BG127" s="524">
        <f t="shared" si="83"/>
        <v>0</v>
      </c>
      <c r="BH127" s="524">
        <f t="shared" si="83"/>
        <v>0</v>
      </c>
      <c r="BI127" s="524">
        <f t="shared" si="83"/>
        <v>0</v>
      </c>
      <c r="BJ127" s="524">
        <f t="shared" si="83"/>
        <v>0</v>
      </c>
      <c r="BK127" s="524">
        <f t="shared" ref="BK127:BT136" si="84">IFERROR(IF(BK$8&gt;=$D127,$E127*(INDEX($E$25:$E$36,(MATCH(MATCH(BK$8,$D$97:$D$144,0)-MATCH($D127,$D$97:$D$144,0),$D$25:$D$36,0)))),0),0)</f>
        <v>0</v>
      </c>
      <c r="BL127" s="524">
        <f t="shared" si="84"/>
        <v>0</v>
      </c>
      <c r="BM127" s="524">
        <f t="shared" si="84"/>
        <v>0</v>
      </c>
      <c r="BN127" s="524">
        <f t="shared" si="84"/>
        <v>0</v>
      </c>
      <c r="BO127" s="524">
        <f t="shared" si="84"/>
        <v>0</v>
      </c>
      <c r="BP127" s="524">
        <f t="shared" si="84"/>
        <v>0</v>
      </c>
      <c r="BQ127" s="524">
        <f t="shared" si="84"/>
        <v>0</v>
      </c>
      <c r="BR127" s="524">
        <f t="shared" si="84"/>
        <v>0</v>
      </c>
      <c r="BS127" s="524">
        <f t="shared" si="84"/>
        <v>0</v>
      </c>
      <c r="BT127" s="524">
        <f t="shared" si="84"/>
        <v>0</v>
      </c>
      <c r="BU127" s="524">
        <f t="shared" ref="BU127:BZ136" si="85">IFERROR(IF(BU$8&gt;=$D127,$E127*(INDEX($E$25:$E$36,(MATCH(MATCH(BU$8,$D$97:$D$144,0)-MATCH($D127,$D$97:$D$144,0),$D$25:$D$36,0)))),0),0)</f>
        <v>0</v>
      </c>
      <c r="BV127" s="524">
        <f t="shared" si="85"/>
        <v>0</v>
      </c>
      <c r="BW127" s="524">
        <f t="shared" si="85"/>
        <v>0</v>
      </c>
      <c r="BX127" s="524">
        <f t="shared" si="85"/>
        <v>0</v>
      </c>
      <c r="BY127" s="524">
        <f t="shared" si="85"/>
        <v>0</v>
      </c>
      <c r="BZ127" s="524">
        <f t="shared" si="85"/>
        <v>0</v>
      </c>
    </row>
    <row r="128" spans="2:78" ht="21" hidden="1" customHeight="1" outlineLevel="3">
      <c r="B128" s="367"/>
      <c r="C128" s="370"/>
      <c r="D128" s="374">
        <f t="shared" si="67"/>
        <v>45900</v>
      </c>
      <c r="E128" s="373" cm="1">
        <f t="array" ref="E128">IF($D128&lt;=LatestMonthOfActuals,0,INDEX($AE$41:$BZ$41,0,MATCH($D128,$AE$8:$BZ$8,0)))</f>
        <v>0</v>
      </c>
      <c r="F128" s="359"/>
      <c r="G128" s="408">
        <f t="shared" si="75"/>
        <v>0</v>
      </c>
      <c r="H128" s="408">
        <f t="shared" si="75"/>
        <v>0</v>
      </c>
      <c r="I128" s="408">
        <f t="shared" si="75"/>
        <v>0</v>
      </c>
      <c r="J128" s="408">
        <f t="shared" si="75"/>
        <v>0</v>
      </c>
      <c r="K128" s="408"/>
      <c r="L128" s="408"/>
      <c r="M128" s="408">
        <f t="shared" si="74"/>
        <v>0</v>
      </c>
      <c r="N128" s="408">
        <f t="shared" si="74"/>
        <v>0</v>
      </c>
      <c r="O128" s="408">
        <f t="shared" si="74"/>
        <v>0</v>
      </c>
      <c r="P128" s="408">
        <f t="shared" si="74"/>
        <v>0</v>
      </c>
      <c r="Q128" s="408">
        <f t="shared" si="74"/>
        <v>0</v>
      </c>
      <c r="R128" s="408">
        <f t="shared" si="74"/>
        <v>0</v>
      </c>
      <c r="S128" s="408">
        <f t="shared" si="74"/>
        <v>0</v>
      </c>
      <c r="T128" s="408">
        <f t="shared" si="74"/>
        <v>0</v>
      </c>
      <c r="U128" s="408">
        <f t="shared" si="74"/>
        <v>0</v>
      </c>
      <c r="V128" s="408">
        <f t="shared" si="74"/>
        <v>0</v>
      </c>
      <c r="W128" s="408">
        <f t="shared" si="74"/>
        <v>0</v>
      </c>
      <c r="X128" s="408">
        <f t="shared" si="74"/>
        <v>0</v>
      </c>
      <c r="Y128" s="408">
        <f t="shared" si="74"/>
        <v>0</v>
      </c>
      <c r="Z128" s="408">
        <f t="shared" si="74"/>
        <v>0</v>
      </c>
      <c r="AA128" s="408">
        <f t="shared" si="74"/>
        <v>0</v>
      </c>
      <c r="AB128" s="408">
        <f t="shared" ref="AB128" si="86">SUMIFS($AE128:$BZ128,$AE$4:$BZ$4,"&gt;="&amp;AB$4,$AE128:$BZ128,"&lt;="&amp;AB$5)</f>
        <v>0</v>
      </c>
      <c r="AC128" s="524"/>
      <c r="AD128" s="359"/>
      <c r="AE128" s="524">
        <f t="shared" si="81"/>
        <v>0</v>
      </c>
      <c r="AF128" s="524">
        <f t="shared" si="81"/>
        <v>0</v>
      </c>
      <c r="AG128" s="524">
        <f t="shared" si="81"/>
        <v>0</v>
      </c>
      <c r="AH128" s="524">
        <f t="shared" si="81"/>
        <v>0</v>
      </c>
      <c r="AI128" s="524">
        <f t="shared" si="81"/>
        <v>0</v>
      </c>
      <c r="AJ128" s="524">
        <f t="shared" si="81"/>
        <v>0</v>
      </c>
      <c r="AK128" s="524">
        <f t="shared" si="81"/>
        <v>0</v>
      </c>
      <c r="AL128" s="524">
        <f t="shared" si="81"/>
        <v>0</v>
      </c>
      <c r="AM128" s="524">
        <f t="shared" si="81"/>
        <v>0</v>
      </c>
      <c r="AN128" s="524">
        <f t="shared" si="81"/>
        <v>0</v>
      </c>
      <c r="AO128" s="524">
        <f t="shared" si="81"/>
        <v>0</v>
      </c>
      <c r="AP128" s="524">
        <f t="shared" si="62"/>
        <v>0</v>
      </c>
      <c r="AQ128" s="524">
        <f t="shared" si="82"/>
        <v>0</v>
      </c>
      <c r="AR128" s="524">
        <f t="shared" si="82"/>
        <v>0</v>
      </c>
      <c r="AS128" s="524">
        <f t="shared" si="82"/>
        <v>0</v>
      </c>
      <c r="AT128" s="524">
        <f t="shared" si="82"/>
        <v>0</v>
      </c>
      <c r="AU128" s="524">
        <f t="shared" si="82"/>
        <v>0</v>
      </c>
      <c r="AV128" s="524">
        <f t="shared" si="82"/>
        <v>0</v>
      </c>
      <c r="AW128" s="524">
        <f t="shared" si="82"/>
        <v>0</v>
      </c>
      <c r="AX128" s="524">
        <f t="shared" si="82"/>
        <v>0</v>
      </c>
      <c r="AY128" s="524">
        <f t="shared" si="82"/>
        <v>0</v>
      </c>
      <c r="AZ128" s="524">
        <f t="shared" si="82"/>
        <v>0</v>
      </c>
      <c r="BA128" s="524">
        <f t="shared" si="83"/>
        <v>0</v>
      </c>
      <c r="BB128" s="524">
        <f t="shared" si="83"/>
        <v>0</v>
      </c>
      <c r="BC128" s="524">
        <f t="shared" si="83"/>
        <v>0</v>
      </c>
      <c r="BD128" s="524">
        <f t="shared" si="83"/>
        <v>0</v>
      </c>
      <c r="BE128" s="524">
        <f t="shared" si="83"/>
        <v>0</v>
      </c>
      <c r="BF128" s="524">
        <f t="shared" si="83"/>
        <v>0</v>
      </c>
      <c r="BG128" s="524">
        <f t="shared" si="83"/>
        <v>0</v>
      </c>
      <c r="BH128" s="524">
        <f t="shared" si="83"/>
        <v>0</v>
      </c>
      <c r="BI128" s="524">
        <f t="shared" si="83"/>
        <v>0</v>
      </c>
      <c r="BJ128" s="524">
        <f t="shared" si="83"/>
        <v>0</v>
      </c>
      <c r="BK128" s="524">
        <f t="shared" si="84"/>
        <v>0</v>
      </c>
      <c r="BL128" s="524">
        <f t="shared" si="84"/>
        <v>0</v>
      </c>
      <c r="BM128" s="524">
        <f t="shared" si="84"/>
        <v>0</v>
      </c>
      <c r="BN128" s="524">
        <f t="shared" si="84"/>
        <v>0</v>
      </c>
      <c r="BO128" s="524">
        <f t="shared" si="84"/>
        <v>0</v>
      </c>
      <c r="BP128" s="524">
        <f t="shared" si="84"/>
        <v>0</v>
      </c>
      <c r="BQ128" s="524">
        <f t="shared" si="84"/>
        <v>0</v>
      </c>
      <c r="BR128" s="524">
        <f t="shared" si="84"/>
        <v>0</v>
      </c>
      <c r="BS128" s="524">
        <f t="shared" si="84"/>
        <v>0</v>
      </c>
      <c r="BT128" s="524">
        <f t="shared" si="84"/>
        <v>0</v>
      </c>
      <c r="BU128" s="524">
        <f t="shared" si="85"/>
        <v>0</v>
      </c>
      <c r="BV128" s="524">
        <f t="shared" si="85"/>
        <v>0</v>
      </c>
      <c r="BW128" s="524">
        <f t="shared" si="85"/>
        <v>0</v>
      </c>
      <c r="BX128" s="524">
        <f t="shared" si="85"/>
        <v>0</v>
      </c>
      <c r="BY128" s="524">
        <f t="shared" si="85"/>
        <v>0</v>
      </c>
      <c r="BZ128" s="524">
        <f t="shared" si="85"/>
        <v>0</v>
      </c>
    </row>
    <row r="129" spans="2:78" ht="21" hidden="1" customHeight="1" outlineLevel="3">
      <c r="B129" s="367"/>
      <c r="C129" s="370"/>
      <c r="D129" s="374">
        <f t="shared" si="67"/>
        <v>45930</v>
      </c>
      <c r="E129" s="373" cm="1">
        <f t="array" ref="E129">IF($D129&lt;=LatestMonthOfActuals,0,INDEX($AE$41:$BZ$41,0,MATCH($D129,$AE$8:$BZ$8,0)))</f>
        <v>0</v>
      </c>
      <c r="F129" s="359"/>
      <c r="G129" s="408">
        <f t="shared" si="75"/>
        <v>0</v>
      </c>
      <c r="H129" s="408">
        <f t="shared" si="75"/>
        <v>0</v>
      </c>
      <c r="I129" s="408">
        <f t="shared" si="75"/>
        <v>0</v>
      </c>
      <c r="J129" s="408">
        <f t="shared" si="75"/>
        <v>0</v>
      </c>
      <c r="K129" s="408"/>
      <c r="L129" s="408"/>
      <c r="M129" s="408">
        <f t="shared" ref="M129:AB144" si="87">SUMIFS($AE129:$BZ129,$AE$4:$BZ$4,"&gt;="&amp;M$4,$AE129:$BZ129,"&lt;="&amp;M$5)</f>
        <v>0</v>
      </c>
      <c r="N129" s="408">
        <f t="shared" si="87"/>
        <v>0</v>
      </c>
      <c r="O129" s="408">
        <f t="shared" si="87"/>
        <v>0</v>
      </c>
      <c r="P129" s="408">
        <f t="shared" si="87"/>
        <v>0</v>
      </c>
      <c r="Q129" s="408">
        <f t="shared" si="87"/>
        <v>0</v>
      </c>
      <c r="R129" s="408">
        <f t="shared" si="87"/>
        <v>0</v>
      </c>
      <c r="S129" s="408">
        <f t="shared" si="87"/>
        <v>0</v>
      </c>
      <c r="T129" s="408">
        <f t="shared" si="87"/>
        <v>0</v>
      </c>
      <c r="U129" s="408">
        <f t="shared" si="87"/>
        <v>0</v>
      </c>
      <c r="V129" s="408">
        <f t="shared" si="87"/>
        <v>0</v>
      </c>
      <c r="W129" s="408">
        <f t="shared" si="87"/>
        <v>0</v>
      </c>
      <c r="X129" s="408">
        <f t="shared" si="87"/>
        <v>0</v>
      </c>
      <c r="Y129" s="408">
        <f t="shared" si="87"/>
        <v>0</v>
      </c>
      <c r="Z129" s="408">
        <f t="shared" si="87"/>
        <v>0</v>
      </c>
      <c r="AA129" s="408">
        <f t="shared" si="87"/>
        <v>0</v>
      </c>
      <c r="AB129" s="408">
        <f t="shared" si="87"/>
        <v>0</v>
      </c>
      <c r="AC129" s="524"/>
      <c r="AD129" s="359"/>
      <c r="AE129" s="524">
        <f t="shared" si="81"/>
        <v>0</v>
      </c>
      <c r="AF129" s="524">
        <f t="shared" si="81"/>
        <v>0</v>
      </c>
      <c r="AG129" s="524">
        <f t="shared" si="81"/>
        <v>0</v>
      </c>
      <c r="AH129" s="524">
        <f t="shared" si="81"/>
        <v>0</v>
      </c>
      <c r="AI129" s="524">
        <f t="shared" si="81"/>
        <v>0</v>
      </c>
      <c r="AJ129" s="524">
        <f t="shared" si="81"/>
        <v>0</v>
      </c>
      <c r="AK129" s="524">
        <f t="shared" si="81"/>
        <v>0</v>
      </c>
      <c r="AL129" s="524">
        <f t="shared" si="81"/>
        <v>0</v>
      </c>
      <c r="AM129" s="524">
        <f t="shared" si="81"/>
        <v>0</v>
      </c>
      <c r="AN129" s="524">
        <f t="shared" si="81"/>
        <v>0</v>
      </c>
      <c r="AO129" s="524">
        <f t="shared" si="81"/>
        <v>0</v>
      </c>
      <c r="AP129" s="524">
        <f t="shared" si="62"/>
        <v>0</v>
      </c>
      <c r="AQ129" s="524">
        <f t="shared" si="82"/>
        <v>0</v>
      </c>
      <c r="AR129" s="524">
        <f t="shared" si="82"/>
        <v>0</v>
      </c>
      <c r="AS129" s="524">
        <f t="shared" si="82"/>
        <v>0</v>
      </c>
      <c r="AT129" s="524">
        <f t="shared" si="82"/>
        <v>0</v>
      </c>
      <c r="AU129" s="524">
        <f t="shared" si="82"/>
        <v>0</v>
      </c>
      <c r="AV129" s="524">
        <f t="shared" si="82"/>
        <v>0</v>
      </c>
      <c r="AW129" s="524">
        <f t="shared" si="82"/>
        <v>0</v>
      </c>
      <c r="AX129" s="524">
        <f t="shared" si="82"/>
        <v>0</v>
      </c>
      <c r="AY129" s="524">
        <f t="shared" si="82"/>
        <v>0</v>
      </c>
      <c r="AZ129" s="524">
        <f t="shared" si="82"/>
        <v>0</v>
      </c>
      <c r="BA129" s="524">
        <f t="shared" si="83"/>
        <v>0</v>
      </c>
      <c r="BB129" s="524">
        <f t="shared" si="83"/>
        <v>0</v>
      </c>
      <c r="BC129" s="524">
        <f t="shared" si="83"/>
        <v>0</v>
      </c>
      <c r="BD129" s="524">
        <f t="shared" si="83"/>
        <v>0</v>
      </c>
      <c r="BE129" s="524">
        <f t="shared" si="83"/>
        <v>0</v>
      </c>
      <c r="BF129" s="524">
        <f t="shared" si="83"/>
        <v>0</v>
      </c>
      <c r="BG129" s="524">
        <f t="shared" si="83"/>
        <v>0</v>
      </c>
      <c r="BH129" s="524">
        <f t="shared" si="83"/>
        <v>0</v>
      </c>
      <c r="BI129" s="524">
        <f t="shared" si="83"/>
        <v>0</v>
      </c>
      <c r="BJ129" s="524">
        <f t="shared" si="83"/>
        <v>0</v>
      </c>
      <c r="BK129" s="524">
        <f t="shared" si="84"/>
        <v>0</v>
      </c>
      <c r="BL129" s="524">
        <f t="shared" si="84"/>
        <v>0</v>
      </c>
      <c r="BM129" s="524">
        <f t="shared" si="84"/>
        <v>0</v>
      </c>
      <c r="BN129" s="524">
        <f t="shared" si="84"/>
        <v>0</v>
      </c>
      <c r="BO129" s="524">
        <f t="shared" si="84"/>
        <v>0</v>
      </c>
      <c r="BP129" s="524">
        <f t="shared" si="84"/>
        <v>0</v>
      </c>
      <c r="BQ129" s="524">
        <f t="shared" si="84"/>
        <v>0</v>
      </c>
      <c r="BR129" s="524">
        <f t="shared" si="84"/>
        <v>0</v>
      </c>
      <c r="BS129" s="524">
        <f t="shared" si="84"/>
        <v>0</v>
      </c>
      <c r="BT129" s="524">
        <f t="shared" si="84"/>
        <v>0</v>
      </c>
      <c r="BU129" s="524">
        <f t="shared" si="85"/>
        <v>0</v>
      </c>
      <c r="BV129" s="524">
        <f t="shared" si="85"/>
        <v>0</v>
      </c>
      <c r="BW129" s="524">
        <f t="shared" si="85"/>
        <v>0</v>
      </c>
      <c r="BX129" s="524">
        <f t="shared" si="85"/>
        <v>0</v>
      </c>
      <c r="BY129" s="524">
        <f t="shared" si="85"/>
        <v>0</v>
      </c>
      <c r="BZ129" s="524">
        <f t="shared" si="85"/>
        <v>0</v>
      </c>
    </row>
    <row r="130" spans="2:78" ht="21" hidden="1" customHeight="1" outlineLevel="3">
      <c r="B130" s="367"/>
      <c r="C130" s="370"/>
      <c r="D130" s="374">
        <f t="shared" si="67"/>
        <v>45961</v>
      </c>
      <c r="E130" s="373" cm="1">
        <f t="array" ref="E130">IF($D130&lt;=LatestMonthOfActuals,0,INDEX($AE$41:$BZ$41,0,MATCH($D130,$AE$8:$BZ$8,0)))</f>
        <v>0</v>
      </c>
      <c r="F130" s="359"/>
      <c r="G130" s="408">
        <f t="shared" si="75"/>
        <v>0</v>
      </c>
      <c r="H130" s="408">
        <f t="shared" si="75"/>
        <v>0</v>
      </c>
      <c r="I130" s="408">
        <f t="shared" si="75"/>
        <v>0</v>
      </c>
      <c r="J130" s="408">
        <f t="shared" si="75"/>
        <v>0</v>
      </c>
      <c r="K130" s="408"/>
      <c r="L130" s="408"/>
      <c r="M130" s="408">
        <f t="shared" si="87"/>
        <v>0</v>
      </c>
      <c r="N130" s="408">
        <f t="shared" si="87"/>
        <v>0</v>
      </c>
      <c r="O130" s="408">
        <f t="shared" si="87"/>
        <v>0</v>
      </c>
      <c r="P130" s="408">
        <f t="shared" si="87"/>
        <v>0</v>
      </c>
      <c r="Q130" s="408">
        <f t="shared" si="87"/>
        <v>0</v>
      </c>
      <c r="R130" s="408">
        <f t="shared" si="87"/>
        <v>0</v>
      </c>
      <c r="S130" s="408">
        <f t="shared" si="87"/>
        <v>0</v>
      </c>
      <c r="T130" s="408">
        <f t="shared" si="87"/>
        <v>0</v>
      </c>
      <c r="U130" s="408">
        <f t="shared" si="87"/>
        <v>0</v>
      </c>
      <c r="V130" s="408">
        <f t="shared" si="87"/>
        <v>0</v>
      </c>
      <c r="W130" s="408">
        <f t="shared" si="87"/>
        <v>0</v>
      </c>
      <c r="X130" s="408">
        <f t="shared" si="87"/>
        <v>0</v>
      </c>
      <c r="Y130" s="408">
        <f t="shared" si="87"/>
        <v>0</v>
      </c>
      <c r="Z130" s="408">
        <f t="shared" si="87"/>
        <v>0</v>
      </c>
      <c r="AA130" s="408">
        <f t="shared" si="87"/>
        <v>0</v>
      </c>
      <c r="AB130" s="408">
        <f t="shared" si="87"/>
        <v>0</v>
      </c>
      <c r="AC130" s="524"/>
      <c r="AD130" s="359"/>
      <c r="AE130" s="524">
        <f t="shared" si="81"/>
        <v>0</v>
      </c>
      <c r="AF130" s="524">
        <f t="shared" si="81"/>
        <v>0</v>
      </c>
      <c r="AG130" s="524">
        <f t="shared" si="81"/>
        <v>0</v>
      </c>
      <c r="AH130" s="524">
        <f t="shared" si="81"/>
        <v>0</v>
      </c>
      <c r="AI130" s="524">
        <f t="shared" si="81"/>
        <v>0</v>
      </c>
      <c r="AJ130" s="524">
        <f t="shared" si="81"/>
        <v>0</v>
      </c>
      <c r="AK130" s="524">
        <f t="shared" si="81"/>
        <v>0</v>
      </c>
      <c r="AL130" s="524">
        <f t="shared" si="81"/>
        <v>0</v>
      </c>
      <c r="AM130" s="524">
        <f t="shared" si="81"/>
        <v>0</v>
      </c>
      <c r="AN130" s="524">
        <f t="shared" si="81"/>
        <v>0</v>
      </c>
      <c r="AO130" s="524">
        <f t="shared" si="81"/>
        <v>0</v>
      </c>
      <c r="AP130" s="524">
        <f t="shared" si="62"/>
        <v>0</v>
      </c>
      <c r="AQ130" s="524">
        <f t="shared" si="82"/>
        <v>0</v>
      </c>
      <c r="AR130" s="524">
        <f t="shared" si="82"/>
        <v>0</v>
      </c>
      <c r="AS130" s="524">
        <f t="shared" si="82"/>
        <v>0</v>
      </c>
      <c r="AT130" s="524">
        <f t="shared" si="82"/>
        <v>0</v>
      </c>
      <c r="AU130" s="524">
        <f t="shared" si="82"/>
        <v>0</v>
      </c>
      <c r="AV130" s="524">
        <f t="shared" si="82"/>
        <v>0</v>
      </c>
      <c r="AW130" s="524">
        <f t="shared" si="82"/>
        <v>0</v>
      </c>
      <c r="AX130" s="524">
        <f t="shared" si="82"/>
        <v>0</v>
      </c>
      <c r="AY130" s="524">
        <f t="shared" si="82"/>
        <v>0</v>
      </c>
      <c r="AZ130" s="524">
        <f t="shared" si="82"/>
        <v>0</v>
      </c>
      <c r="BA130" s="524">
        <f t="shared" si="83"/>
        <v>0</v>
      </c>
      <c r="BB130" s="524">
        <f t="shared" si="83"/>
        <v>0</v>
      </c>
      <c r="BC130" s="524">
        <f t="shared" si="83"/>
        <v>0</v>
      </c>
      <c r="BD130" s="524">
        <f t="shared" si="83"/>
        <v>0</v>
      </c>
      <c r="BE130" s="524">
        <f t="shared" si="83"/>
        <v>0</v>
      </c>
      <c r="BF130" s="524">
        <f t="shared" si="83"/>
        <v>0</v>
      </c>
      <c r="BG130" s="524">
        <f t="shared" si="83"/>
        <v>0</v>
      </c>
      <c r="BH130" s="524">
        <f t="shared" si="83"/>
        <v>0</v>
      </c>
      <c r="BI130" s="524">
        <f t="shared" si="83"/>
        <v>0</v>
      </c>
      <c r="BJ130" s="524">
        <f t="shared" si="83"/>
        <v>0</v>
      </c>
      <c r="BK130" s="524">
        <f t="shared" si="84"/>
        <v>0</v>
      </c>
      <c r="BL130" s="524">
        <f t="shared" si="84"/>
        <v>0</v>
      </c>
      <c r="BM130" s="524">
        <f t="shared" si="84"/>
        <v>0</v>
      </c>
      <c r="BN130" s="524">
        <f t="shared" si="84"/>
        <v>0</v>
      </c>
      <c r="BO130" s="524">
        <f t="shared" si="84"/>
        <v>0</v>
      </c>
      <c r="BP130" s="524">
        <f t="shared" si="84"/>
        <v>0</v>
      </c>
      <c r="BQ130" s="524">
        <f t="shared" si="84"/>
        <v>0</v>
      </c>
      <c r="BR130" s="524">
        <f t="shared" si="84"/>
        <v>0</v>
      </c>
      <c r="BS130" s="524">
        <f t="shared" si="84"/>
        <v>0</v>
      </c>
      <c r="BT130" s="524">
        <f t="shared" si="84"/>
        <v>0</v>
      </c>
      <c r="BU130" s="524">
        <f t="shared" si="85"/>
        <v>0</v>
      </c>
      <c r="BV130" s="524">
        <f t="shared" si="85"/>
        <v>0</v>
      </c>
      <c r="BW130" s="524">
        <f t="shared" si="85"/>
        <v>0</v>
      </c>
      <c r="BX130" s="524">
        <f t="shared" si="85"/>
        <v>0</v>
      </c>
      <c r="BY130" s="524">
        <f t="shared" si="85"/>
        <v>0</v>
      </c>
      <c r="BZ130" s="524">
        <f t="shared" si="85"/>
        <v>0</v>
      </c>
    </row>
    <row r="131" spans="2:78" ht="21" hidden="1" customHeight="1" outlineLevel="3">
      <c r="B131" s="367"/>
      <c r="C131" s="370"/>
      <c r="D131" s="374">
        <f t="shared" si="67"/>
        <v>45991</v>
      </c>
      <c r="E131" s="373" cm="1">
        <f t="array" ref="E131">IF($D131&lt;=LatestMonthOfActuals,0,INDEX($AE$41:$BZ$41,0,MATCH($D131,$AE$8:$BZ$8,0)))</f>
        <v>0</v>
      </c>
      <c r="F131" s="359"/>
      <c r="G131" s="408">
        <f t="shared" si="75"/>
        <v>0</v>
      </c>
      <c r="H131" s="408">
        <f t="shared" si="75"/>
        <v>0</v>
      </c>
      <c r="I131" s="408">
        <f t="shared" si="75"/>
        <v>0</v>
      </c>
      <c r="J131" s="408">
        <f t="shared" si="75"/>
        <v>0</v>
      </c>
      <c r="K131" s="408"/>
      <c r="L131" s="408"/>
      <c r="M131" s="408">
        <f t="shared" si="87"/>
        <v>0</v>
      </c>
      <c r="N131" s="408">
        <f t="shared" si="87"/>
        <v>0</v>
      </c>
      <c r="O131" s="408">
        <f t="shared" si="87"/>
        <v>0</v>
      </c>
      <c r="P131" s="408">
        <f t="shared" si="87"/>
        <v>0</v>
      </c>
      <c r="Q131" s="408">
        <f t="shared" si="87"/>
        <v>0</v>
      </c>
      <c r="R131" s="408">
        <f t="shared" si="87"/>
        <v>0</v>
      </c>
      <c r="S131" s="408">
        <f t="shared" si="87"/>
        <v>0</v>
      </c>
      <c r="T131" s="408">
        <f t="shared" si="87"/>
        <v>0</v>
      </c>
      <c r="U131" s="408">
        <f t="shared" si="87"/>
        <v>0</v>
      </c>
      <c r="V131" s="408">
        <f t="shared" si="87"/>
        <v>0</v>
      </c>
      <c r="W131" s="408">
        <f t="shared" si="87"/>
        <v>0</v>
      </c>
      <c r="X131" s="408">
        <f t="shared" si="87"/>
        <v>0</v>
      </c>
      <c r="Y131" s="408">
        <f t="shared" si="87"/>
        <v>0</v>
      </c>
      <c r="Z131" s="408">
        <f t="shared" si="87"/>
        <v>0</v>
      </c>
      <c r="AA131" s="408">
        <f t="shared" si="87"/>
        <v>0</v>
      </c>
      <c r="AB131" s="408">
        <f t="shared" si="87"/>
        <v>0</v>
      </c>
      <c r="AC131" s="524"/>
      <c r="AD131" s="359"/>
      <c r="AE131" s="524">
        <f t="shared" si="81"/>
        <v>0</v>
      </c>
      <c r="AF131" s="524">
        <f t="shared" si="81"/>
        <v>0</v>
      </c>
      <c r="AG131" s="524">
        <f t="shared" si="81"/>
        <v>0</v>
      </c>
      <c r="AH131" s="524">
        <f t="shared" si="81"/>
        <v>0</v>
      </c>
      <c r="AI131" s="524">
        <f t="shared" si="81"/>
        <v>0</v>
      </c>
      <c r="AJ131" s="524">
        <f t="shared" si="81"/>
        <v>0</v>
      </c>
      <c r="AK131" s="524">
        <f t="shared" si="81"/>
        <v>0</v>
      </c>
      <c r="AL131" s="524">
        <f t="shared" si="81"/>
        <v>0</v>
      </c>
      <c r="AM131" s="524">
        <f t="shared" si="81"/>
        <v>0</v>
      </c>
      <c r="AN131" s="524">
        <f t="shared" si="81"/>
        <v>0</v>
      </c>
      <c r="AO131" s="524">
        <f t="shared" si="81"/>
        <v>0</v>
      </c>
      <c r="AP131" s="524">
        <f t="shared" si="62"/>
        <v>0</v>
      </c>
      <c r="AQ131" s="524">
        <f t="shared" si="82"/>
        <v>0</v>
      </c>
      <c r="AR131" s="524">
        <f t="shared" si="82"/>
        <v>0</v>
      </c>
      <c r="AS131" s="524">
        <f t="shared" si="82"/>
        <v>0</v>
      </c>
      <c r="AT131" s="524">
        <f t="shared" si="82"/>
        <v>0</v>
      </c>
      <c r="AU131" s="524">
        <f t="shared" si="82"/>
        <v>0</v>
      </c>
      <c r="AV131" s="524">
        <f t="shared" si="82"/>
        <v>0</v>
      </c>
      <c r="AW131" s="524">
        <f t="shared" si="82"/>
        <v>0</v>
      </c>
      <c r="AX131" s="524">
        <f t="shared" si="82"/>
        <v>0</v>
      </c>
      <c r="AY131" s="524">
        <f t="shared" si="82"/>
        <v>0</v>
      </c>
      <c r="AZ131" s="524">
        <f t="shared" si="82"/>
        <v>0</v>
      </c>
      <c r="BA131" s="524">
        <f t="shared" si="83"/>
        <v>0</v>
      </c>
      <c r="BB131" s="524">
        <f t="shared" si="83"/>
        <v>0</v>
      </c>
      <c r="BC131" s="524">
        <f t="shared" si="83"/>
        <v>0</v>
      </c>
      <c r="BD131" s="524">
        <f t="shared" si="83"/>
        <v>0</v>
      </c>
      <c r="BE131" s="524">
        <f t="shared" si="83"/>
        <v>0</v>
      </c>
      <c r="BF131" s="524">
        <f t="shared" si="83"/>
        <v>0</v>
      </c>
      <c r="BG131" s="524">
        <f t="shared" si="83"/>
        <v>0</v>
      </c>
      <c r="BH131" s="524">
        <f t="shared" si="83"/>
        <v>0</v>
      </c>
      <c r="BI131" s="524">
        <f t="shared" si="83"/>
        <v>0</v>
      </c>
      <c r="BJ131" s="524">
        <f t="shared" si="83"/>
        <v>0</v>
      </c>
      <c r="BK131" s="524">
        <f t="shared" si="84"/>
        <v>0</v>
      </c>
      <c r="BL131" s="524">
        <f t="shared" si="84"/>
        <v>0</v>
      </c>
      <c r="BM131" s="524">
        <f t="shared" si="84"/>
        <v>0</v>
      </c>
      <c r="BN131" s="524">
        <f t="shared" si="84"/>
        <v>0</v>
      </c>
      <c r="BO131" s="524">
        <f t="shared" si="84"/>
        <v>0</v>
      </c>
      <c r="BP131" s="524">
        <f t="shared" si="84"/>
        <v>0</v>
      </c>
      <c r="BQ131" s="524">
        <f t="shared" si="84"/>
        <v>0</v>
      </c>
      <c r="BR131" s="524">
        <f t="shared" si="84"/>
        <v>0</v>
      </c>
      <c r="BS131" s="524">
        <f t="shared" si="84"/>
        <v>0</v>
      </c>
      <c r="BT131" s="524">
        <f t="shared" si="84"/>
        <v>0</v>
      </c>
      <c r="BU131" s="524">
        <f t="shared" si="85"/>
        <v>0</v>
      </c>
      <c r="BV131" s="524">
        <f t="shared" si="85"/>
        <v>0</v>
      </c>
      <c r="BW131" s="524">
        <f t="shared" si="85"/>
        <v>0</v>
      </c>
      <c r="BX131" s="524">
        <f t="shared" si="85"/>
        <v>0</v>
      </c>
      <c r="BY131" s="524">
        <f t="shared" si="85"/>
        <v>0</v>
      </c>
      <c r="BZ131" s="524">
        <f t="shared" si="85"/>
        <v>0</v>
      </c>
    </row>
    <row r="132" spans="2:78" ht="21" hidden="1" customHeight="1" outlineLevel="3">
      <c r="B132" s="367"/>
      <c r="C132" s="370"/>
      <c r="D132" s="374">
        <f t="shared" si="67"/>
        <v>46022</v>
      </c>
      <c r="E132" s="373" cm="1">
        <f t="array" ref="E132">IF($D132&lt;=LatestMonthOfActuals,0,INDEX($AE$41:$BZ$41,0,MATCH($D132,$AE$8:$BZ$8,0)))</f>
        <v>120000</v>
      </c>
      <c r="F132" s="359"/>
      <c r="G132" s="408">
        <f t="shared" si="75"/>
        <v>0</v>
      </c>
      <c r="H132" s="408">
        <f t="shared" si="75"/>
        <v>0</v>
      </c>
      <c r="I132" s="408">
        <f t="shared" si="75"/>
        <v>40000</v>
      </c>
      <c r="J132" s="408">
        <f t="shared" si="75"/>
        <v>80000</v>
      </c>
      <c r="K132" s="408"/>
      <c r="L132" s="408"/>
      <c r="M132" s="408">
        <f t="shared" si="87"/>
        <v>120000</v>
      </c>
      <c r="N132" s="408">
        <f t="shared" si="87"/>
        <v>120000</v>
      </c>
      <c r="O132" s="408">
        <f t="shared" si="87"/>
        <v>120000</v>
      </c>
      <c r="P132" s="408">
        <f t="shared" si="87"/>
        <v>120000</v>
      </c>
      <c r="Q132" s="408">
        <f t="shared" si="87"/>
        <v>120000</v>
      </c>
      <c r="R132" s="408">
        <f t="shared" si="87"/>
        <v>120000</v>
      </c>
      <c r="S132" s="408">
        <f t="shared" si="87"/>
        <v>120000</v>
      </c>
      <c r="T132" s="408">
        <f t="shared" si="87"/>
        <v>120000</v>
      </c>
      <c r="U132" s="408">
        <f t="shared" si="87"/>
        <v>120000</v>
      </c>
      <c r="V132" s="408">
        <f t="shared" si="87"/>
        <v>120000</v>
      </c>
      <c r="W132" s="408">
        <f t="shared" si="87"/>
        <v>120000</v>
      </c>
      <c r="X132" s="408">
        <f t="shared" si="87"/>
        <v>120000</v>
      </c>
      <c r="Y132" s="408">
        <f t="shared" si="87"/>
        <v>80000</v>
      </c>
      <c r="Z132" s="408">
        <f t="shared" si="87"/>
        <v>0</v>
      </c>
      <c r="AA132" s="408">
        <f t="shared" si="87"/>
        <v>0</v>
      </c>
      <c r="AB132" s="408">
        <f t="shared" si="87"/>
        <v>0</v>
      </c>
      <c r="AC132" s="524"/>
      <c r="AD132" s="359"/>
      <c r="AE132" s="524">
        <f t="shared" si="81"/>
        <v>0</v>
      </c>
      <c r="AF132" s="524">
        <f t="shared" si="81"/>
        <v>0</v>
      </c>
      <c r="AG132" s="524">
        <f t="shared" si="81"/>
        <v>0</v>
      </c>
      <c r="AH132" s="524">
        <f t="shared" si="81"/>
        <v>0</v>
      </c>
      <c r="AI132" s="524">
        <f t="shared" si="81"/>
        <v>0</v>
      </c>
      <c r="AJ132" s="524">
        <f t="shared" si="81"/>
        <v>0</v>
      </c>
      <c r="AK132" s="524">
        <f t="shared" si="81"/>
        <v>0</v>
      </c>
      <c r="AL132" s="524">
        <f t="shared" si="81"/>
        <v>0</v>
      </c>
      <c r="AM132" s="524">
        <f t="shared" si="81"/>
        <v>0</v>
      </c>
      <c r="AN132" s="524">
        <f t="shared" si="81"/>
        <v>0</v>
      </c>
      <c r="AO132" s="524">
        <f t="shared" si="81"/>
        <v>0</v>
      </c>
      <c r="AP132" s="524">
        <f t="shared" si="62"/>
        <v>0</v>
      </c>
      <c r="AQ132" s="524">
        <f t="shared" si="82"/>
        <v>0</v>
      </c>
      <c r="AR132" s="524">
        <f t="shared" si="82"/>
        <v>0</v>
      </c>
      <c r="AS132" s="524">
        <f t="shared" si="82"/>
        <v>0</v>
      </c>
      <c r="AT132" s="524">
        <f t="shared" si="82"/>
        <v>0</v>
      </c>
      <c r="AU132" s="524">
        <f t="shared" si="82"/>
        <v>0</v>
      </c>
      <c r="AV132" s="524">
        <f t="shared" si="82"/>
        <v>0</v>
      </c>
      <c r="AW132" s="524">
        <f t="shared" si="82"/>
        <v>0</v>
      </c>
      <c r="AX132" s="524">
        <f t="shared" si="82"/>
        <v>0</v>
      </c>
      <c r="AY132" s="524">
        <f t="shared" si="82"/>
        <v>0</v>
      </c>
      <c r="AZ132" s="524">
        <f t="shared" si="82"/>
        <v>0</v>
      </c>
      <c r="BA132" s="524">
        <f t="shared" si="83"/>
        <v>0</v>
      </c>
      <c r="BB132" s="524">
        <f t="shared" si="83"/>
        <v>0</v>
      </c>
      <c r="BC132" s="524">
        <f t="shared" si="83"/>
        <v>0</v>
      </c>
      <c r="BD132" s="524">
        <f t="shared" si="83"/>
        <v>0</v>
      </c>
      <c r="BE132" s="524">
        <f t="shared" si="83"/>
        <v>0</v>
      </c>
      <c r="BF132" s="524">
        <f t="shared" si="83"/>
        <v>0</v>
      </c>
      <c r="BG132" s="524">
        <f t="shared" si="83"/>
        <v>0</v>
      </c>
      <c r="BH132" s="524">
        <f t="shared" si="83"/>
        <v>0</v>
      </c>
      <c r="BI132" s="524">
        <f t="shared" si="83"/>
        <v>0</v>
      </c>
      <c r="BJ132" s="524">
        <f t="shared" si="83"/>
        <v>0</v>
      </c>
      <c r="BK132" s="524">
        <f t="shared" si="84"/>
        <v>0</v>
      </c>
      <c r="BL132" s="524">
        <f t="shared" si="84"/>
        <v>0</v>
      </c>
      <c r="BM132" s="524">
        <f t="shared" si="84"/>
        <v>0</v>
      </c>
      <c r="BN132" s="524">
        <f t="shared" si="84"/>
        <v>40000</v>
      </c>
      <c r="BO132" s="524">
        <f t="shared" si="84"/>
        <v>40000</v>
      </c>
      <c r="BP132" s="524">
        <f t="shared" si="84"/>
        <v>40000</v>
      </c>
      <c r="BQ132" s="524">
        <f t="shared" si="84"/>
        <v>0</v>
      </c>
      <c r="BR132" s="524">
        <f t="shared" si="84"/>
        <v>0</v>
      </c>
      <c r="BS132" s="524">
        <f t="shared" si="84"/>
        <v>0</v>
      </c>
      <c r="BT132" s="524">
        <f t="shared" si="84"/>
        <v>0</v>
      </c>
      <c r="BU132" s="524">
        <f t="shared" si="85"/>
        <v>0</v>
      </c>
      <c r="BV132" s="524">
        <f t="shared" si="85"/>
        <v>0</v>
      </c>
      <c r="BW132" s="524">
        <f t="shared" si="85"/>
        <v>0</v>
      </c>
      <c r="BX132" s="524">
        <f t="shared" si="85"/>
        <v>0</v>
      </c>
      <c r="BY132" s="524">
        <f t="shared" si="85"/>
        <v>0</v>
      </c>
      <c r="BZ132" s="524">
        <f t="shared" si="85"/>
        <v>0</v>
      </c>
    </row>
    <row r="133" spans="2:78" ht="21" hidden="1" customHeight="1" outlineLevel="3">
      <c r="B133" s="367"/>
      <c r="C133" s="370"/>
      <c r="D133" s="374">
        <f t="shared" si="67"/>
        <v>46053</v>
      </c>
      <c r="E133" s="373" cm="1">
        <f t="array" ref="E133">IF($D133&lt;=LatestMonthOfActuals,0,INDEX($AE$41:$BZ$41,0,MATCH($D133,$AE$8:$BZ$8,0)))</f>
        <v>120000</v>
      </c>
      <c r="F133" s="359"/>
      <c r="G133" s="408">
        <f t="shared" si="75"/>
        <v>0</v>
      </c>
      <c r="H133" s="408">
        <f t="shared" si="75"/>
        <v>0</v>
      </c>
      <c r="I133" s="408">
        <f t="shared" si="75"/>
        <v>0</v>
      </c>
      <c r="J133" s="408">
        <f t="shared" si="75"/>
        <v>120000</v>
      </c>
      <c r="K133" s="408"/>
      <c r="L133" s="408"/>
      <c r="M133" s="408">
        <f t="shared" si="87"/>
        <v>120000</v>
      </c>
      <c r="N133" s="408">
        <f t="shared" si="87"/>
        <v>120000</v>
      </c>
      <c r="O133" s="408">
        <f t="shared" si="87"/>
        <v>120000</v>
      </c>
      <c r="P133" s="408">
        <f t="shared" si="87"/>
        <v>120000</v>
      </c>
      <c r="Q133" s="408">
        <f t="shared" si="87"/>
        <v>120000</v>
      </c>
      <c r="R133" s="408">
        <f t="shared" si="87"/>
        <v>120000</v>
      </c>
      <c r="S133" s="408">
        <f t="shared" si="87"/>
        <v>120000</v>
      </c>
      <c r="T133" s="408">
        <f t="shared" si="87"/>
        <v>120000</v>
      </c>
      <c r="U133" s="408">
        <f t="shared" si="87"/>
        <v>120000</v>
      </c>
      <c r="V133" s="408">
        <f t="shared" si="87"/>
        <v>120000</v>
      </c>
      <c r="W133" s="408">
        <f t="shared" si="87"/>
        <v>120000</v>
      </c>
      <c r="X133" s="408">
        <f t="shared" si="87"/>
        <v>120000</v>
      </c>
      <c r="Y133" s="408">
        <f t="shared" si="87"/>
        <v>120000</v>
      </c>
      <c r="Z133" s="408">
        <f t="shared" si="87"/>
        <v>0</v>
      </c>
      <c r="AA133" s="408">
        <f t="shared" si="87"/>
        <v>0</v>
      </c>
      <c r="AB133" s="408">
        <f t="shared" si="87"/>
        <v>0</v>
      </c>
      <c r="AC133" s="524"/>
      <c r="AD133" s="359"/>
      <c r="AE133" s="524">
        <f t="shared" si="81"/>
        <v>0</v>
      </c>
      <c r="AF133" s="524">
        <f t="shared" si="81"/>
        <v>0</v>
      </c>
      <c r="AG133" s="524">
        <f t="shared" si="81"/>
        <v>0</v>
      </c>
      <c r="AH133" s="524">
        <f t="shared" si="81"/>
        <v>0</v>
      </c>
      <c r="AI133" s="524">
        <f t="shared" si="81"/>
        <v>0</v>
      </c>
      <c r="AJ133" s="524">
        <f t="shared" si="81"/>
        <v>0</v>
      </c>
      <c r="AK133" s="524">
        <f t="shared" si="81"/>
        <v>0</v>
      </c>
      <c r="AL133" s="524">
        <f t="shared" si="81"/>
        <v>0</v>
      </c>
      <c r="AM133" s="524">
        <f t="shared" si="81"/>
        <v>0</v>
      </c>
      <c r="AN133" s="524">
        <f t="shared" si="81"/>
        <v>0</v>
      </c>
      <c r="AO133" s="524">
        <f t="shared" si="81"/>
        <v>0</v>
      </c>
      <c r="AP133" s="524">
        <f t="shared" si="62"/>
        <v>0</v>
      </c>
      <c r="AQ133" s="524">
        <f t="shared" si="82"/>
        <v>0</v>
      </c>
      <c r="AR133" s="524">
        <f t="shared" si="82"/>
        <v>0</v>
      </c>
      <c r="AS133" s="524">
        <f t="shared" si="82"/>
        <v>0</v>
      </c>
      <c r="AT133" s="524">
        <f t="shared" si="82"/>
        <v>0</v>
      </c>
      <c r="AU133" s="524">
        <f t="shared" si="82"/>
        <v>0</v>
      </c>
      <c r="AV133" s="524">
        <f t="shared" si="82"/>
        <v>0</v>
      </c>
      <c r="AW133" s="524">
        <f t="shared" si="82"/>
        <v>0</v>
      </c>
      <c r="AX133" s="524">
        <f t="shared" si="82"/>
        <v>0</v>
      </c>
      <c r="AY133" s="524">
        <f t="shared" si="82"/>
        <v>0</v>
      </c>
      <c r="AZ133" s="524">
        <f t="shared" si="82"/>
        <v>0</v>
      </c>
      <c r="BA133" s="524">
        <f t="shared" si="83"/>
        <v>0</v>
      </c>
      <c r="BB133" s="524">
        <f t="shared" si="83"/>
        <v>0</v>
      </c>
      <c r="BC133" s="524">
        <f t="shared" si="83"/>
        <v>0</v>
      </c>
      <c r="BD133" s="524">
        <f t="shared" si="83"/>
        <v>0</v>
      </c>
      <c r="BE133" s="524">
        <f t="shared" si="83"/>
        <v>0</v>
      </c>
      <c r="BF133" s="524">
        <f t="shared" si="83"/>
        <v>0</v>
      </c>
      <c r="BG133" s="524">
        <f t="shared" si="83"/>
        <v>0</v>
      </c>
      <c r="BH133" s="524">
        <f t="shared" si="83"/>
        <v>0</v>
      </c>
      <c r="BI133" s="524">
        <f t="shared" si="83"/>
        <v>0</v>
      </c>
      <c r="BJ133" s="524">
        <f t="shared" si="83"/>
        <v>0</v>
      </c>
      <c r="BK133" s="524">
        <f t="shared" si="84"/>
        <v>0</v>
      </c>
      <c r="BL133" s="524">
        <f t="shared" si="84"/>
        <v>0</v>
      </c>
      <c r="BM133" s="524">
        <f t="shared" si="84"/>
        <v>0</v>
      </c>
      <c r="BN133" s="524">
        <f t="shared" si="84"/>
        <v>0</v>
      </c>
      <c r="BO133" s="524">
        <f t="shared" si="84"/>
        <v>40000</v>
      </c>
      <c r="BP133" s="524">
        <f t="shared" si="84"/>
        <v>40000</v>
      </c>
      <c r="BQ133" s="524">
        <f t="shared" si="84"/>
        <v>40000</v>
      </c>
      <c r="BR133" s="524">
        <f t="shared" si="84"/>
        <v>0</v>
      </c>
      <c r="BS133" s="524">
        <f t="shared" si="84"/>
        <v>0</v>
      </c>
      <c r="BT133" s="524">
        <f t="shared" si="84"/>
        <v>0</v>
      </c>
      <c r="BU133" s="524">
        <f t="shared" si="85"/>
        <v>0</v>
      </c>
      <c r="BV133" s="524">
        <f t="shared" si="85"/>
        <v>0</v>
      </c>
      <c r="BW133" s="524">
        <f t="shared" si="85"/>
        <v>0</v>
      </c>
      <c r="BX133" s="524">
        <f t="shared" si="85"/>
        <v>0</v>
      </c>
      <c r="BY133" s="524">
        <f t="shared" si="85"/>
        <v>0</v>
      </c>
      <c r="BZ133" s="524">
        <f t="shared" si="85"/>
        <v>0</v>
      </c>
    </row>
    <row r="134" spans="2:78" ht="21" hidden="1" customHeight="1" outlineLevel="3">
      <c r="B134" s="367"/>
      <c r="C134" s="370"/>
      <c r="D134" s="374">
        <f t="shared" si="67"/>
        <v>46081</v>
      </c>
      <c r="E134" s="373" cm="1">
        <f t="array" ref="E134">IF($D134&lt;=LatestMonthOfActuals,0,INDEX($AE$41:$BZ$41,0,MATCH($D134,$AE$8:$BZ$8,0)))</f>
        <v>120000</v>
      </c>
      <c r="F134" s="359"/>
      <c r="G134" s="408">
        <f t="shared" si="75"/>
        <v>0</v>
      </c>
      <c r="H134" s="408">
        <f t="shared" si="75"/>
        <v>0</v>
      </c>
      <c r="I134" s="408">
        <f t="shared" si="75"/>
        <v>0</v>
      </c>
      <c r="J134" s="408">
        <f t="shared" si="75"/>
        <v>120000</v>
      </c>
      <c r="K134" s="408"/>
      <c r="L134" s="408"/>
      <c r="M134" s="408">
        <f t="shared" si="87"/>
        <v>120000</v>
      </c>
      <c r="N134" s="408">
        <f t="shared" si="87"/>
        <v>120000</v>
      </c>
      <c r="O134" s="408">
        <f t="shared" si="87"/>
        <v>120000</v>
      </c>
      <c r="P134" s="408">
        <f t="shared" si="87"/>
        <v>120000</v>
      </c>
      <c r="Q134" s="408">
        <f t="shared" si="87"/>
        <v>120000</v>
      </c>
      <c r="R134" s="408">
        <f t="shared" si="87"/>
        <v>120000</v>
      </c>
      <c r="S134" s="408">
        <f t="shared" si="87"/>
        <v>120000</v>
      </c>
      <c r="T134" s="408">
        <f t="shared" si="87"/>
        <v>120000</v>
      </c>
      <c r="U134" s="408">
        <f t="shared" si="87"/>
        <v>120000</v>
      </c>
      <c r="V134" s="408">
        <f t="shared" si="87"/>
        <v>120000</v>
      </c>
      <c r="W134" s="408">
        <f t="shared" si="87"/>
        <v>120000</v>
      </c>
      <c r="X134" s="408">
        <f t="shared" si="87"/>
        <v>120000</v>
      </c>
      <c r="Y134" s="408">
        <f t="shared" si="87"/>
        <v>120000</v>
      </c>
      <c r="Z134" s="408">
        <f t="shared" si="87"/>
        <v>40000</v>
      </c>
      <c r="AA134" s="408">
        <f t="shared" si="87"/>
        <v>0</v>
      </c>
      <c r="AB134" s="408">
        <f t="shared" si="87"/>
        <v>0</v>
      </c>
      <c r="AC134" s="524"/>
      <c r="AD134" s="359"/>
      <c r="AE134" s="524">
        <f t="shared" si="81"/>
        <v>0</v>
      </c>
      <c r="AF134" s="524">
        <f t="shared" si="81"/>
        <v>0</v>
      </c>
      <c r="AG134" s="524">
        <f t="shared" si="81"/>
        <v>0</v>
      </c>
      <c r="AH134" s="524">
        <f t="shared" si="81"/>
        <v>0</v>
      </c>
      <c r="AI134" s="524">
        <f t="shared" si="81"/>
        <v>0</v>
      </c>
      <c r="AJ134" s="524">
        <f t="shared" si="81"/>
        <v>0</v>
      </c>
      <c r="AK134" s="524">
        <f t="shared" si="81"/>
        <v>0</v>
      </c>
      <c r="AL134" s="524">
        <f t="shared" si="81"/>
        <v>0</v>
      </c>
      <c r="AM134" s="524">
        <f t="shared" si="81"/>
        <v>0</v>
      </c>
      <c r="AN134" s="524">
        <f t="shared" si="81"/>
        <v>0</v>
      </c>
      <c r="AO134" s="524">
        <f t="shared" si="81"/>
        <v>0</v>
      </c>
      <c r="AP134" s="524">
        <f t="shared" si="62"/>
        <v>0</v>
      </c>
      <c r="AQ134" s="524">
        <f t="shared" si="82"/>
        <v>0</v>
      </c>
      <c r="AR134" s="524">
        <f t="shared" si="82"/>
        <v>0</v>
      </c>
      <c r="AS134" s="524">
        <f t="shared" si="82"/>
        <v>0</v>
      </c>
      <c r="AT134" s="524">
        <f t="shared" si="82"/>
        <v>0</v>
      </c>
      <c r="AU134" s="524">
        <f t="shared" si="82"/>
        <v>0</v>
      </c>
      <c r="AV134" s="524">
        <f t="shared" si="82"/>
        <v>0</v>
      </c>
      <c r="AW134" s="524">
        <f t="shared" si="82"/>
        <v>0</v>
      </c>
      <c r="AX134" s="524">
        <f t="shared" si="82"/>
        <v>0</v>
      </c>
      <c r="AY134" s="524">
        <f t="shared" si="82"/>
        <v>0</v>
      </c>
      <c r="AZ134" s="524">
        <f t="shared" si="82"/>
        <v>0</v>
      </c>
      <c r="BA134" s="524">
        <f t="shared" si="83"/>
        <v>0</v>
      </c>
      <c r="BB134" s="524">
        <f t="shared" si="83"/>
        <v>0</v>
      </c>
      <c r="BC134" s="524">
        <f t="shared" si="83"/>
        <v>0</v>
      </c>
      <c r="BD134" s="524">
        <f t="shared" si="83"/>
        <v>0</v>
      </c>
      <c r="BE134" s="524">
        <f t="shared" si="83"/>
        <v>0</v>
      </c>
      <c r="BF134" s="524">
        <f t="shared" si="83"/>
        <v>0</v>
      </c>
      <c r="BG134" s="524">
        <f t="shared" si="83"/>
        <v>0</v>
      </c>
      <c r="BH134" s="524">
        <f t="shared" si="83"/>
        <v>0</v>
      </c>
      <c r="BI134" s="524">
        <f t="shared" si="83"/>
        <v>0</v>
      </c>
      <c r="BJ134" s="524">
        <f t="shared" si="83"/>
        <v>0</v>
      </c>
      <c r="BK134" s="524">
        <f t="shared" si="84"/>
        <v>0</v>
      </c>
      <c r="BL134" s="524">
        <f t="shared" si="84"/>
        <v>0</v>
      </c>
      <c r="BM134" s="524">
        <f t="shared" si="84"/>
        <v>0</v>
      </c>
      <c r="BN134" s="524">
        <f t="shared" si="84"/>
        <v>0</v>
      </c>
      <c r="BO134" s="524">
        <f t="shared" si="84"/>
        <v>0</v>
      </c>
      <c r="BP134" s="524">
        <f t="shared" si="84"/>
        <v>40000</v>
      </c>
      <c r="BQ134" s="524">
        <f t="shared" si="84"/>
        <v>40000</v>
      </c>
      <c r="BR134" s="524">
        <f t="shared" si="84"/>
        <v>40000</v>
      </c>
      <c r="BS134" s="524">
        <f t="shared" si="84"/>
        <v>0</v>
      </c>
      <c r="BT134" s="524">
        <f t="shared" si="84"/>
        <v>0</v>
      </c>
      <c r="BU134" s="524">
        <f t="shared" si="85"/>
        <v>0</v>
      </c>
      <c r="BV134" s="524">
        <f t="shared" si="85"/>
        <v>0</v>
      </c>
      <c r="BW134" s="524">
        <f t="shared" si="85"/>
        <v>0</v>
      </c>
      <c r="BX134" s="524">
        <f t="shared" si="85"/>
        <v>0</v>
      </c>
      <c r="BY134" s="524">
        <f t="shared" si="85"/>
        <v>0</v>
      </c>
      <c r="BZ134" s="524">
        <f t="shared" si="85"/>
        <v>0</v>
      </c>
    </row>
    <row r="135" spans="2:78" ht="21" hidden="1" customHeight="1" outlineLevel="3">
      <c r="B135" s="367"/>
      <c r="C135" s="370"/>
      <c r="D135" s="374">
        <f t="shared" si="67"/>
        <v>46112</v>
      </c>
      <c r="E135" s="373" cm="1">
        <f t="array" ref="E135">IF($D135&lt;=LatestMonthOfActuals,0,INDEX($AE$41:$BZ$41,0,MATCH($D135,$AE$8:$BZ$8,0)))</f>
        <v>120000</v>
      </c>
      <c r="F135" s="359"/>
      <c r="G135" s="408">
        <f t="shared" si="75"/>
        <v>0</v>
      </c>
      <c r="H135" s="408">
        <f t="shared" si="75"/>
        <v>0</v>
      </c>
      <c r="I135" s="408">
        <f t="shared" si="75"/>
        <v>0</v>
      </c>
      <c r="J135" s="408">
        <f t="shared" si="75"/>
        <v>120000</v>
      </c>
      <c r="K135" s="408"/>
      <c r="L135" s="408"/>
      <c r="M135" s="408">
        <f t="shared" si="87"/>
        <v>120000</v>
      </c>
      <c r="N135" s="408">
        <f t="shared" si="87"/>
        <v>120000</v>
      </c>
      <c r="O135" s="408">
        <f t="shared" si="87"/>
        <v>120000</v>
      </c>
      <c r="P135" s="408">
        <f t="shared" si="87"/>
        <v>120000</v>
      </c>
      <c r="Q135" s="408">
        <f t="shared" si="87"/>
        <v>120000</v>
      </c>
      <c r="R135" s="408">
        <f t="shared" si="87"/>
        <v>120000</v>
      </c>
      <c r="S135" s="408">
        <f t="shared" si="87"/>
        <v>120000</v>
      </c>
      <c r="T135" s="408">
        <f t="shared" si="87"/>
        <v>120000</v>
      </c>
      <c r="U135" s="408">
        <f t="shared" si="87"/>
        <v>120000</v>
      </c>
      <c r="V135" s="408">
        <f t="shared" si="87"/>
        <v>120000</v>
      </c>
      <c r="W135" s="408">
        <f t="shared" si="87"/>
        <v>120000</v>
      </c>
      <c r="X135" s="408">
        <f t="shared" si="87"/>
        <v>120000</v>
      </c>
      <c r="Y135" s="408">
        <f t="shared" si="87"/>
        <v>120000</v>
      </c>
      <c r="Z135" s="408">
        <f t="shared" si="87"/>
        <v>80000</v>
      </c>
      <c r="AA135" s="408">
        <f t="shared" si="87"/>
        <v>0</v>
      </c>
      <c r="AB135" s="408">
        <f t="shared" si="87"/>
        <v>0</v>
      </c>
      <c r="AC135" s="524"/>
      <c r="AD135" s="359"/>
      <c r="AE135" s="524">
        <f t="shared" si="81"/>
        <v>0</v>
      </c>
      <c r="AF135" s="524">
        <f t="shared" si="81"/>
        <v>0</v>
      </c>
      <c r="AG135" s="524">
        <f t="shared" si="81"/>
        <v>0</v>
      </c>
      <c r="AH135" s="524">
        <f t="shared" si="81"/>
        <v>0</v>
      </c>
      <c r="AI135" s="524">
        <f t="shared" si="81"/>
        <v>0</v>
      </c>
      <c r="AJ135" s="524">
        <f t="shared" si="81"/>
        <v>0</v>
      </c>
      <c r="AK135" s="524">
        <f t="shared" si="81"/>
        <v>0</v>
      </c>
      <c r="AL135" s="524">
        <f t="shared" si="81"/>
        <v>0</v>
      </c>
      <c r="AM135" s="524">
        <f t="shared" si="81"/>
        <v>0</v>
      </c>
      <c r="AN135" s="524">
        <f t="shared" si="81"/>
        <v>0</v>
      </c>
      <c r="AO135" s="524">
        <f t="shared" si="81"/>
        <v>0</v>
      </c>
      <c r="AP135" s="524">
        <f t="shared" si="62"/>
        <v>0</v>
      </c>
      <c r="AQ135" s="524">
        <f t="shared" si="82"/>
        <v>0</v>
      </c>
      <c r="AR135" s="524">
        <f t="shared" si="82"/>
        <v>0</v>
      </c>
      <c r="AS135" s="524">
        <f t="shared" si="82"/>
        <v>0</v>
      </c>
      <c r="AT135" s="524">
        <f t="shared" si="82"/>
        <v>0</v>
      </c>
      <c r="AU135" s="524">
        <f t="shared" si="82"/>
        <v>0</v>
      </c>
      <c r="AV135" s="524">
        <f t="shared" si="82"/>
        <v>0</v>
      </c>
      <c r="AW135" s="524">
        <f t="shared" si="82"/>
        <v>0</v>
      </c>
      <c r="AX135" s="524">
        <f t="shared" si="82"/>
        <v>0</v>
      </c>
      <c r="AY135" s="524">
        <f t="shared" si="82"/>
        <v>0</v>
      </c>
      <c r="AZ135" s="524">
        <f t="shared" si="82"/>
        <v>0</v>
      </c>
      <c r="BA135" s="524">
        <f t="shared" si="83"/>
        <v>0</v>
      </c>
      <c r="BB135" s="524">
        <f t="shared" si="83"/>
        <v>0</v>
      </c>
      <c r="BC135" s="524">
        <f t="shared" si="83"/>
        <v>0</v>
      </c>
      <c r="BD135" s="524">
        <f t="shared" si="83"/>
        <v>0</v>
      </c>
      <c r="BE135" s="524">
        <f t="shared" si="83"/>
        <v>0</v>
      </c>
      <c r="BF135" s="524">
        <f t="shared" si="83"/>
        <v>0</v>
      </c>
      <c r="BG135" s="524">
        <f t="shared" si="83"/>
        <v>0</v>
      </c>
      <c r="BH135" s="524">
        <f t="shared" si="83"/>
        <v>0</v>
      </c>
      <c r="BI135" s="524">
        <f t="shared" si="83"/>
        <v>0</v>
      </c>
      <c r="BJ135" s="524">
        <f t="shared" si="83"/>
        <v>0</v>
      </c>
      <c r="BK135" s="524">
        <f t="shared" si="84"/>
        <v>0</v>
      </c>
      <c r="BL135" s="524">
        <f t="shared" si="84"/>
        <v>0</v>
      </c>
      <c r="BM135" s="524">
        <f t="shared" si="84"/>
        <v>0</v>
      </c>
      <c r="BN135" s="524">
        <f t="shared" si="84"/>
        <v>0</v>
      </c>
      <c r="BO135" s="524">
        <f t="shared" si="84"/>
        <v>0</v>
      </c>
      <c r="BP135" s="524">
        <f t="shared" si="84"/>
        <v>0</v>
      </c>
      <c r="BQ135" s="524">
        <f t="shared" si="84"/>
        <v>40000</v>
      </c>
      <c r="BR135" s="524">
        <f t="shared" si="84"/>
        <v>40000</v>
      </c>
      <c r="BS135" s="524">
        <f t="shared" si="84"/>
        <v>40000</v>
      </c>
      <c r="BT135" s="524">
        <f t="shared" si="84"/>
        <v>0</v>
      </c>
      <c r="BU135" s="524">
        <f t="shared" si="85"/>
        <v>0</v>
      </c>
      <c r="BV135" s="524">
        <f t="shared" si="85"/>
        <v>0</v>
      </c>
      <c r="BW135" s="524">
        <f t="shared" si="85"/>
        <v>0</v>
      </c>
      <c r="BX135" s="524">
        <f t="shared" si="85"/>
        <v>0</v>
      </c>
      <c r="BY135" s="524">
        <f t="shared" si="85"/>
        <v>0</v>
      </c>
      <c r="BZ135" s="524">
        <f t="shared" si="85"/>
        <v>0</v>
      </c>
    </row>
    <row r="136" spans="2:78" ht="21" hidden="1" customHeight="1" outlineLevel="3">
      <c r="B136" s="367"/>
      <c r="C136" s="370"/>
      <c r="D136" s="374">
        <f t="shared" si="67"/>
        <v>46142</v>
      </c>
      <c r="E136" s="373" cm="1">
        <f t="array" ref="E136">IF($D136&lt;=LatestMonthOfActuals,0,INDEX($AE$41:$BZ$41,0,MATCH($D136,$AE$8:$BZ$8,0)))</f>
        <v>120000</v>
      </c>
      <c r="F136" s="359"/>
      <c r="G136" s="408">
        <f t="shared" si="75"/>
        <v>0</v>
      </c>
      <c r="H136" s="408">
        <f t="shared" si="75"/>
        <v>0</v>
      </c>
      <c r="I136" s="408">
        <f t="shared" si="75"/>
        <v>0</v>
      </c>
      <c r="J136" s="408">
        <f t="shared" si="75"/>
        <v>120000</v>
      </c>
      <c r="K136" s="408"/>
      <c r="L136" s="408"/>
      <c r="M136" s="408">
        <f t="shared" si="87"/>
        <v>120000</v>
      </c>
      <c r="N136" s="408">
        <f t="shared" si="87"/>
        <v>120000</v>
      </c>
      <c r="O136" s="408">
        <f t="shared" si="87"/>
        <v>120000</v>
      </c>
      <c r="P136" s="408">
        <f t="shared" si="87"/>
        <v>120000</v>
      </c>
      <c r="Q136" s="408">
        <f t="shared" si="87"/>
        <v>120000</v>
      </c>
      <c r="R136" s="408">
        <f t="shared" si="87"/>
        <v>120000</v>
      </c>
      <c r="S136" s="408">
        <f t="shared" si="87"/>
        <v>120000</v>
      </c>
      <c r="T136" s="408">
        <f t="shared" si="87"/>
        <v>120000</v>
      </c>
      <c r="U136" s="408">
        <f t="shared" si="87"/>
        <v>120000</v>
      </c>
      <c r="V136" s="408">
        <f t="shared" si="87"/>
        <v>120000</v>
      </c>
      <c r="W136" s="408">
        <f t="shared" si="87"/>
        <v>120000</v>
      </c>
      <c r="X136" s="408">
        <f t="shared" si="87"/>
        <v>120000</v>
      </c>
      <c r="Y136" s="408">
        <f t="shared" si="87"/>
        <v>120000</v>
      </c>
      <c r="Z136" s="408">
        <f t="shared" si="87"/>
        <v>120000</v>
      </c>
      <c r="AA136" s="408">
        <f t="shared" si="87"/>
        <v>0</v>
      </c>
      <c r="AB136" s="408">
        <f t="shared" si="87"/>
        <v>0</v>
      </c>
      <c r="AC136" s="524"/>
      <c r="AD136" s="359"/>
      <c r="AE136" s="524">
        <f t="shared" si="81"/>
        <v>0</v>
      </c>
      <c r="AF136" s="524">
        <f t="shared" si="81"/>
        <v>0</v>
      </c>
      <c r="AG136" s="524">
        <f t="shared" si="81"/>
        <v>0</v>
      </c>
      <c r="AH136" s="524">
        <f t="shared" si="81"/>
        <v>0</v>
      </c>
      <c r="AI136" s="524">
        <f t="shared" si="81"/>
        <v>0</v>
      </c>
      <c r="AJ136" s="524">
        <f t="shared" si="81"/>
        <v>0</v>
      </c>
      <c r="AK136" s="524">
        <f t="shared" si="81"/>
        <v>0</v>
      </c>
      <c r="AL136" s="524">
        <f t="shared" si="81"/>
        <v>0</v>
      </c>
      <c r="AM136" s="524">
        <f t="shared" si="81"/>
        <v>0</v>
      </c>
      <c r="AN136" s="524">
        <f t="shared" si="81"/>
        <v>0</v>
      </c>
      <c r="AO136" s="524">
        <f t="shared" si="81"/>
        <v>0</v>
      </c>
      <c r="AP136" s="524">
        <f t="shared" si="62"/>
        <v>0</v>
      </c>
      <c r="AQ136" s="524">
        <f t="shared" si="82"/>
        <v>0</v>
      </c>
      <c r="AR136" s="524">
        <f t="shared" si="82"/>
        <v>0</v>
      </c>
      <c r="AS136" s="524">
        <f t="shared" si="82"/>
        <v>0</v>
      </c>
      <c r="AT136" s="524">
        <f t="shared" si="82"/>
        <v>0</v>
      </c>
      <c r="AU136" s="524">
        <f t="shared" si="82"/>
        <v>0</v>
      </c>
      <c r="AV136" s="524">
        <f t="shared" si="82"/>
        <v>0</v>
      </c>
      <c r="AW136" s="524">
        <f t="shared" si="82"/>
        <v>0</v>
      </c>
      <c r="AX136" s="524">
        <f t="shared" si="82"/>
        <v>0</v>
      </c>
      <c r="AY136" s="524">
        <f t="shared" si="82"/>
        <v>0</v>
      </c>
      <c r="AZ136" s="524">
        <f t="shared" si="82"/>
        <v>0</v>
      </c>
      <c r="BA136" s="524">
        <f t="shared" si="83"/>
        <v>0</v>
      </c>
      <c r="BB136" s="524">
        <f t="shared" si="83"/>
        <v>0</v>
      </c>
      <c r="BC136" s="524">
        <f t="shared" si="83"/>
        <v>0</v>
      </c>
      <c r="BD136" s="524">
        <f t="shared" si="83"/>
        <v>0</v>
      </c>
      <c r="BE136" s="524">
        <f t="shared" si="83"/>
        <v>0</v>
      </c>
      <c r="BF136" s="524">
        <f t="shared" si="83"/>
        <v>0</v>
      </c>
      <c r="BG136" s="524">
        <f t="shared" si="83"/>
        <v>0</v>
      </c>
      <c r="BH136" s="524">
        <f t="shared" si="83"/>
        <v>0</v>
      </c>
      <c r="BI136" s="524">
        <f t="shared" si="83"/>
        <v>0</v>
      </c>
      <c r="BJ136" s="524">
        <f t="shared" si="83"/>
        <v>0</v>
      </c>
      <c r="BK136" s="524">
        <f t="shared" si="84"/>
        <v>0</v>
      </c>
      <c r="BL136" s="524">
        <f t="shared" si="84"/>
        <v>0</v>
      </c>
      <c r="BM136" s="524">
        <f t="shared" si="84"/>
        <v>0</v>
      </c>
      <c r="BN136" s="524">
        <f t="shared" si="84"/>
        <v>0</v>
      </c>
      <c r="BO136" s="524">
        <f t="shared" si="84"/>
        <v>0</v>
      </c>
      <c r="BP136" s="524">
        <f t="shared" si="84"/>
        <v>0</v>
      </c>
      <c r="BQ136" s="524">
        <f t="shared" si="84"/>
        <v>0</v>
      </c>
      <c r="BR136" s="524">
        <f t="shared" si="84"/>
        <v>40000</v>
      </c>
      <c r="BS136" s="524">
        <f t="shared" si="84"/>
        <v>40000</v>
      </c>
      <c r="BT136" s="524">
        <f t="shared" si="84"/>
        <v>40000</v>
      </c>
      <c r="BU136" s="524">
        <f t="shared" si="85"/>
        <v>0</v>
      </c>
      <c r="BV136" s="524">
        <f t="shared" si="85"/>
        <v>0</v>
      </c>
      <c r="BW136" s="524">
        <f t="shared" si="85"/>
        <v>0</v>
      </c>
      <c r="BX136" s="524">
        <f t="shared" si="85"/>
        <v>0</v>
      </c>
      <c r="BY136" s="524">
        <f t="shared" si="85"/>
        <v>0</v>
      </c>
      <c r="BZ136" s="524">
        <f t="shared" si="85"/>
        <v>0</v>
      </c>
    </row>
    <row r="137" spans="2:78" ht="21" hidden="1" customHeight="1" outlineLevel="3">
      <c r="B137" s="367"/>
      <c r="C137" s="370"/>
      <c r="D137" s="374">
        <f t="shared" si="67"/>
        <v>46173</v>
      </c>
      <c r="E137" s="373" cm="1">
        <f t="array" ref="E137">IF($D137&lt;=LatestMonthOfActuals,0,INDEX($AE$41:$BZ$41,0,MATCH($D137,$AE$8:$BZ$8,0)))</f>
        <v>120000</v>
      </c>
      <c r="F137" s="359"/>
      <c r="G137" s="408">
        <f t="shared" ref="G137:J144" si="88">SUMIFS($AE137:$BZ137,$AE$4:$BZ$4,"&gt;="&amp;G$4,$AE$5:$BZ$5,"&lt;="&amp;G$5)</f>
        <v>0</v>
      </c>
      <c r="H137" s="408">
        <f t="shared" si="88"/>
        <v>0</v>
      </c>
      <c r="I137" s="408">
        <f t="shared" si="88"/>
        <v>0</v>
      </c>
      <c r="J137" s="408">
        <f t="shared" si="88"/>
        <v>120000</v>
      </c>
      <c r="K137" s="408"/>
      <c r="L137" s="408"/>
      <c r="M137" s="408">
        <f t="shared" si="87"/>
        <v>120000</v>
      </c>
      <c r="N137" s="408">
        <f t="shared" si="87"/>
        <v>120000</v>
      </c>
      <c r="O137" s="408">
        <f t="shared" si="87"/>
        <v>120000</v>
      </c>
      <c r="P137" s="408">
        <f t="shared" si="87"/>
        <v>120000</v>
      </c>
      <c r="Q137" s="408">
        <f t="shared" si="87"/>
        <v>120000</v>
      </c>
      <c r="R137" s="408">
        <f t="shared" si="87"/>
        <v>120000</v>
      </c>
      <c r="S137" s="408">
        <f t="shared" si="87"/>
        <v>120000</v>
      </c>
      <c r="T137" s="408">
        <f t="shared" si="87"/>
        <v>120000</v>
      </c>
      <c r="U137" s="408">
        <f t="shared" si="87"/>
        <v>120000</v>
      </c>
      <c r="V137" s="408">
        <f t="shared" si="87"/>
        <v>120000</v>
      </c>
      <c r="W137" s="408">
        <f t="shared" si="87"/>
        <v>120000</v>
      </c>
      <c r="X137" s="408">
        <f t="shared" si="87"/>
        <v>120000</v>
      </c>
      <c r="Y137" s="408">
        <f t="shared" si="87"/>
        <v>120000</v>
      </c>
      <c r="Z137" s="408">
        <f t="shared" si="87"/>
        <v>120000</v>
      </c>
      <c r="AA137" s="408">
        <f t="shared" si="87"/>
        <v>40000</v>
      </c>
      <c r="AB137" s="408">
        <f t="shared" si="87"/>
        <v>0</v>
      </c>
      <c r="AC137" s="524"/>
      <c r="AD137" s="359"/>
      <c r="AE137" s="524">
        <f t="shared" ref="AE137:AO144" si="89">IFERROR(IF(AE$8&gt;=$D137,$E137*(INDEX($E$25:$E$36,(MATCH(MATCH(AE$8,$D$97:$D$144,0)-MATCH($D137,$D$97:$D$144,0),$D$25:$D$36,0)))),0),0)</f>
        <v>0</v>
      </c>
      <c r="AF137" s="524">
        <f t="shared" si="89"/>
        <v>0</v>
      </c>
      <c r="AG137" s="524">
        <f t="shared" si="89"/>
        <v>0</v>
      </c>
      <c r="AH137" s="524">
        <f t="shared" si="89"/>
        <v>0</v>
      </c>
      <c r="AI137" s="524">
        <f t="shared" si="89"/>
        <v>0</v>
      </c>
      <c r="AJ137" s="524">
        <f t="shared" si="89"/>
        <v>0</v>
      </c>
      <c r="AK137" s="524">
        <f t="shared" si="89"/>
        <v>0</v>
      </c>
      <c r="AL137" s="524">
        <f t="shared" si="89"/>
        <v>0</v>
      </c>
      <c r="AM137" s="524">
        <f t="shared" si="89"/>
        <v>0</v>
      </c>
      <c r="AN137" s="524">
        <f t="shared" si="89"/>
        <v>0</v>
      </c>
      <c r="AO137" s="524">
        <f t="shared" si="89"/>
        <v>0</v>
      </c>
      <c r="AP137" s="524">
        <f t="shared" si="62"/>
        <v>0</v>
      </c>
      <c r="AQ137" s="524">
        <f t="shared" ref="AQ137:AZ144" si="90">IFERROR(IF(AQ$8&gt;=$D137,$E137*(INDEX($E$25:$E$36,(MATCH(MATCH(AQ$8,$D$97:$D$144,0)-MATCH($D137,$D$97:$D$144,0),$D$25:$D$36,0)))),0),0)</f>
        <v>0</v>
      </c>
      <c r="AR137" s="524">
        <f t="shared" si="90"/>
        <v>0</v>
      </c>
      <c r="AS137" s="524">
        <f t="shared" si="90"/>
        <v>0</v>
      </c>
      <c r="AT137" s="524">
        <f t="shared" si="90"/>
        <v>0</v>
      </c>
      <c r="AU137" s="524">
        <f t="shared" si="90"/>
        <v>0</v>
      </c>
      <c r="AV137" s="524">
        <f t="shared" si="90"/>
        <v>0</v>
      </c>
      <c r="AW137" s="524">
        <f t="shared" si="90"/>
        <v>0</v>
      </c>
      <c r="AX137" s="524">
        <f t="shared" si="90"/>
        <v>0</v>
      </c>
      <c r="AY137" s="524">
        <f t="shared" si="90"/>
        <v>0</v>
      </c>
      <c r="AZ137" s="524">
        <f t="shared" si="90"/>
        <v>0</v>
      </c>
      <c r="BA137" s="524">
        <f t="shared" ref="BA137:BJ144" si="91">IFERROR(IF(BA$8&gt;=$D137,$E137*(INDEX($E$25:$E$36,(MATCH(MATCH(BA$8,$D$97:$D$144,0)-MATCH($D137,$D$97:$D$144,0),$D$25:$D$36,0)))),0),0)</f>
        <v>0</v>
      </c>
      <c r="BB137" s="524">
        <f t="shared" si="91"/>
        <v>0</v>
      </c>
      <c r="BC137" s="524">
        <f t="shared" si="91"/>
        <v>0</v>
      </c>
      <c r="BD137" s="524">
        <f t="shared" si="91"/>
        <v>0</v>
      </c>
      <c r="BE137" s="524">
        <f t="shared" si="91"/>
        <v>0</v>
      </c>
      <c r="BF137" s="524">
        <f t="shared" si="91"/>
        <v>0</v>
      </c>
      <c r="BG137" s="524">
        <f t="shared" si="91"/>
        <v>0</v>
      </c>
      <c r="BH137" s="524">
        <f t="shared" si="91"/>
        <v>0</v>
      </c>
      <c r="BI137" s="524">
        <f t="shared" si="91"/>
        <v>0</v>
      </c>
      <c r="BJ137" s="524">
        <f t="shared" si="91"/>
        <v>0</v>
      </c>
      <c r="BK137" s="524">
        <f t="shared" ref="BK137:BT144" si="92">IFERROR(IF(BK$8&gt;=$D137,$E137*(INDEX($E$25:$E$36,(MATCH(MATCH(BK$8,$D$97:$D$144,0)-MATCH($D137,$D$97:$D$144,0),$D$25:$D$36,0)))),0),0)</f>
        <v>0</v>
      </c>
      <c r="BL137" s="524">
        <f t="shared" si="92"/>
        <v>0</v>
      </c>
      <c r="BM137" s="524">
        <f t="shared" si="92"/>
        <v>0</v>
      </c>
      <c r="BN137" s="524">
        <f t="shared" si="92"/>
        <v>0</v>
      </c>
      <c r="BO137" s="524">
        <f t="shared" si="92"/>
        <v>0</v>
      </c>
      <c r="BP137" s="524">
        <f t="shared" si="92"/>
        <v>0</v>
      </c>
      <c r="BQ137" s="524">
        <f t="shared" si="92"/>
        <v>0</v>
      </c>
      <c r="BR137" s="524">
        <f t="shared" si="92"/>
        <v>0</v>
      </c>
      <c r="BS137" s="524">
        <f t="shared" si="92"/>
        <v>40000</v>
      </c>
      <c r="BT137" s="524">
        <f t="shared" si="92"/>
        <v>40000</v>
      </c>
      <c r="BU137" s="524">
        <f t="shared" ref="BU137:BZ144" si="93">IFERROR(IF(BU$8&gt;=$D137,$E137*(INDEX($E$25:$E$36,(MATCH(MATCH(BU$8,$D$97:$D$144,0)-MATCH($D137,$D$97:$D$144,0),$D$25:$D$36,0)))),0),0)</f>
        <v>40000</v>
      </c>
      <c r="BV137" s="524">
        <f t="shared" si="93"/>
        <v>0</v>
      </c>
      <c r="BW137" s="524">
        <f t="shared" si="93"/>
        <v>0</v>
      </c>
      <c r="BX137" s="524">
        <f t="shared" si="93"/>
        <v>0</v>
      </c>
      <c r="BY137" s="524">
        <f t="shared" si="93"/>
        <v>0</v>
      </c>
      <c r="BZ137" s="524">
        <f t="shared" si="93"/>
        <v>0</v>
      </c>
    </row>
    <row r="138" spans="2:78" ht="21" hidden="1" customHeight="1" outlineLevel="3">
      <c r="B138" s="367"/>
      <c r="C138" s="370"/>
      <c r="D138" s="374">
        <f t="shared" si="67"/>
        <v>46203</v>
      </c>
      <c r="E138" s="373" cm="1">
        <f t="array" ref="E138">IF($D138&lt;=LatestMonthOfActuals,0,INDEX($AE$41:$BZ$41,0,MATCH($D138,$AE$8:$BZ$8,0)))</f>
        <v>120000</v>
      </c>
      <c r="F138" s="359"/>
      <c r="G138" s="408">
        <f t="shared" si="88"/>
        <v>0</v>
      </c>
      <c r="H138" s="408">
        <f t="shared" si="88"/>
        <v>0</v>
      </c>
      <c r="I138" s="408">
        <f t="shared" si="88"/>
        <v>0</v>
      </c>
      <c r="J138" s="408">
        <f t="shared" si="88"/>
        <v>120000</v>
      </c>
      <c r="K138" s="408"/>
      <c r="L138" s="408"/>
      <c r="M138" s="408">
        <f t="shared" si="87"/>
        <v>120000</v>
      </c>
      <c r="N138" s="408">
        <f t="shared" si="87"/>
        <v>120000</v>
      </c>
      <c r="O138" s="408">
        <f t="shared" si="87"/>
        <v>120000</v>
      </c>
      <c r="P138" s="408">
        <f t="shared" si="87"/>
        <v>120000</v>
      </c>
      <c r="Q138" s="408">
        <f t="shared" si="87"/>
        <v>120000</v>
      </c>
      <c r="R138" s="408">
        <f t="shared" si="87"/>
        <v>120000</v>
      </c>
      <c r="S138" s="408">
        <f t="shared" si="87"/>
        <v>120000</v>
      </c>
      <c r="T138" s="408">
        <f t="shared" si="87"/>
        <v>120000</v>
      </c>
      <c r="U138" s="408">
        <f t="shared" si="87"/>
        <v>120000</v>
      </c>
      <c r="V138" s="408">
        <f t="shared" si="87"/>
        <v>120000</v>
      </c>
      <c r="W138" s="408">
        <f t="shared" si="87"/>
        <v>120000</v>
      </c>
      <c r="X138" s="408">
        <f t="shared" si="87"/>
        <v>120000</v>
      </c>
      <c r="Y138" s="408">
        <f t="shared" si="87"/>
        <v>120000</v>
      </c>
      <c r="Z138" s="408">
        <f t="shared" si="87"/>
        <v>120000</v>
      </c>
      <c r="AA138" s="408">
        <f t="shared" si="87"/>
        <v>80000</v>
      </c>
      <c r="AB138" s="408">
        <f t="shared" si="87"/>
        <v>0</v>
      </c>
      <c r="AC138" s="524"/>
      <c r="AD138" s="359"/>
      <c r="AE138" s="524">
        <f t="shared" si="89"/>
        <v>0</v>
      </c>
      <c r="AF138" s="524">
        <f t="shared" si="89"/>
        <v>0</v>
      </c>
      <c r="AG138" s="524">
        <f t="shared" si="89"/>
        <v>0</v>
      </c>
      <c r="AH138" s="524">
        <f t="shared" si="89"/>
        <v>0</v>
      </c>
      <c r="AI138" s="524">
        <f t="shared" si="89"/>
        <v>0</v>
      </c>
      <c r="AJ138" s="524">
        <f t="shared" si="89"/>
        <v>0</v>
      </c>
      <c r="AK138" s="524">
        <f t="shared" si="89"/>
        <v>0</v>
      </c>
      <c r="AL138" s="524">
        <f t="shared" si="89"/>
        <v>0</v>
      </c>
      <c r="AM138" s="524">
        <f t="shared" si="89"/>
        <v>0</v>
      </c>
      <c r="AN138" s="524">
        <f t="shared" si="89"/>
        <v>0</v>
      </c>
      <c r="AO138" s="524">
        <f t="shared" si="89"/>
        <v>0</v>
      </c>
      <c r="AP138" s="524">
        <f t="shared" si="62"/>
        <v>0</v>
      </c>
      <c r="AQ138" s="524">
        <f t="shared" si="90"/>
        <v>0</v>
      </c>
      <c r="AR138" s="524">
        <f t="shared" si="90"/>
        <v>0</v>
      </c>
      <c r="AS138" s="524">
        <f t="shared" si="90"/>
        <v>0</v>
      </c>
      <c r="AT138" s="524">
        <f t="shared" si="90"/>
        <v>0</v>
      </c>
      <c r="AU138" s="524">
        <f t="shared" si="90"/>
        <v>0</v>
      </c>
      <c r="AV138" s="524">
        <f t="shared" si="90"/>
        <v>0</v>
      </c>
      <c r="AW138" s="524">
        <f t="shared" si="90"/>
        <v>0</v>
      </c>
      <c r="AX138" s="524">
        <f t="shared" si="90"/>
        <v>0</v>
      </c>
      <c r="AY138" s="524">
        <f t="shared" si="90"/>
        <v>0</v>
      </c>
      <c r="AZ138" s="524">
        <f t="shared" si="90"/>
        <v>0</v>
      </c>
      <c r="BA138" s="524">
        <f t="shared" si="91"/>
        <v>0</v>
      </c>
      <c r="BB138" s="524">
        <f t="shared" si="91"/>
        <v>0</v>
      </c>
      <c r="BC138" s="524">
        <f t="shared" si="91"/>
        <v>0</v>
      </c>
      <c r="BD138" s="524">
        <f t="shared" si="91"/>
        <v>0</v>
      </c>
      <c r="BE138" s="524">
        <f t="shared" si="91"/>
        <v>0</v>
      </c>
      <c r="BF138" s="524">
        <f t="shared" si="91"/>
        <v>0</v>
      </c>
      <c r="BG138" s="524">
        <f t="shared" si="91"/>
        <v>0</v>
      </c>
      <c r="BH138" s="524">
        <f t="shared" si="91"/>
        <v>0</v>
      </c>
      <c r="BI138" s="524">
        <f t="shared" si="91"/>
        <v>0</v>
      </c>
      <c r="BJ138" s="524">
        <f t="shared" si="91"/>
        <v>0</v>
      </c>
      <c r="BK138" s="524">
        <f t="shared" si="92"/>
        <v>0</v>
      </c>
      <c r="BL138" s="524">
        <f t="shared" si="92"/>
        <v>0</v>
      </c>
      <c r="BM138" s="524">
        <f t="shared" si="92"/>
        <v>0</v>
      </c>
      <c r="BN138" s="524">
        <f t="shared" si="92"/>
        <v>0</v>
      </c>
      <c r="BO138" s="524">
        <f t="shared" si="92"/>
        <v>0</v>
      </c>
      <c r="BP138" s="524">
        <f t="shared" si="92"/>
        <v>0</v>
      </c>
      <c r="BQ138" s="524">
        <f t="shared" si="92"/>
        <v>0</v>
      </c>
      <c r="BR138" s="524">
        <f t="shared" si="92"/>
        <v>0</v>
      </c>
      <c r="BS138" s="524">
        <f t="shared" si="92"/>
        <v>0</v>
      </c>
      <c r="BT138" s="524">
        <f t="shared" si="92"/>
        <v>40000</v>
      </c>
      <c r="BU138" s="524">
        <f t="shared" si="93"/>
        <v>40000</v>
      </c>
      <c r="BV138" s="524">
        <f t="shared" si="93"/>
        <v>40000</v>
      </c>
      <c r="BW138" s="524">
        <f t="shared" si="93"/>
        <v>0</v>
      </c>
      <c r="BX138" s="524">
        <f t="shared" si="93"/>
        <v>0</v>
      </c>
      <c r="BY138" s="524">
        <f t="shared" si="93"/>
        <v>0</v>
      </c>
      <c r="BZ138" s="524">
        <f t="shared" si="93"/>
        <v>0</v>
      </c>
    </row>
    <row r="139" spans="2:78" ht="21" hidden="1" customHeight="1" outlineLevel="3">
      <c r="B139" s="367"/>
      <c r="C139" s="370"/>
      <c r="D139" s="374">
        <f t="shared" si="67"/>
        <v>46234</v>
      </c>
      <c r="E139" s="373" cm="1">
        <f t="array" ref="E139">IF($D139&lt;=LatestMonthOfActuals,0,INDEX($AE$41:$BZ$41,0,MATCH($D139,$AE$8:$BZ$8,0)))</f>
        <v>120000</v>
      </c>
      <c r="F139" s="359"/>
      <c r="G139" s="408">
        <f t="shared" si="88"/>
        <v>0</v>
      </c>
      <c r="H139" s="408">
        <f t="shared" si="88"/>
        <v>0</v>
      </c>
      <c r="I139" s="408">
        <f t="shared" si="88"/>
        <v>0</v>
      </c>
      <c r="J139" s="408">
        <f t="shared" si="88"/>
        <v>120000</v>
      </c>
      <c r="K139" s="408"/>
      <c r="L139" s="408"/>
      <c r="M139" s="408">
        <f t="shared" si="87"/>
        <v>120000</v>
      </c>
      <c r="N139" s="408">
        <f t="shared" si="87"/>
        <v>120000</v>
      </c>
      <c r="O139" s="408">
        <f t="shared" si="87"/>
        <v>120000</v>
      </c>
      <c r="P139" s="408">
        <f t="shared" si="87"/>
        <v>120000</v>
      </c>
      <c r="Q139" s="408">
        <f t="shared" si="87"/>
        <v>120000</v>
      </c>
      <c r="R139" s="408">
        <f t="shared" si="87"/>
        <v>120000</v>
      </c>
      <c r="S139" s="408">
        <f t="shared" si="87"/>
        <v>120000</v>
      </c>
      <c r="T139" s="408">
        <f t="shared" si="87"/>
        <v>120000</v>
      </c>
      <c r="U139" s="408">
        <f t="shared" si="87"/>
        <v>120000</v>
      </c>
      <c r="V139" s="408">
        <f t="shared" si="87"/>
        <v>120000</v>
      </c>
      <c r="W139" s="408">
        <f t="shared" si="87"/>
        <v>120000</v>
      </c>
      <c r="X139" s="408">
        <f t="shared" si="87"/>
        <v>120000</v>
      </c>
      <c r="Y139" s="408">
        <f t="shared" si="87"/>
        <v>120000</v>
      </c>
      <c r="Z139" s="408">
        <f t="shared" si="87"/>
        <v>120000</v>
      </c>
      <c r="AA139" s="408">
        <f t="shared" si="87"/>
        <v>120000</v>
      </c>
      <c r="AB139" s="408">
        <f t="shared" si="87"/>
        <v>0</v>
      </c>
      <c r="AC139" s="524"/>
      <c r="AD139" s="359"/>
      <c r="AE139" s="524">
        <f t="shared" si="89"/>
        <v>0</v>
      </c>
      <c r="AF139" s="524">
        <f t="shared" si="89"/>
        <v>0</v>
      </c>
      <c r="AG139" s="524">
        <f t="shared" si="89"/>
        <v>0</v>
      </c>
      <c r="AH139" s="524">
        <f t="shared" si="89"/>
        <v>0</v>
      </c>
      <c r="AI139" s="524">
        <f t="shared" si="89"/>
        <v>0</v>
      </c>
      <c r="AJ139" s="524">
        <f t="shared" si="89"/>
        <v>0</v>
      </c>
      <c r="AK139" s="524">
        <f t="shared" si="89"/>
        <v>0</v>
      </c>
      <c r="AL139" s="524">
        <f t="shared" si="89"/>
        <v>0</v>
      </c>
      <c r="AM139" s="524">
        <f t="shared" si="89"/>
        <v>0</v>
      </c>
      <c r="AN139" s="524">
        <f t="shared" si="89"/>
        <v>0</v>
      </c>
      <c r="AO139" s="524">
        <f t="shared" si="89"/>
        <v>0</v>
      </c>
      <c r="AP139" s="524">
        <f t="shared" si="62"/>
        <v>0</v>
      </c>
      <c r="AQ139" s="524">
        <f t="shared" si="90"/>
        <v>0</v>
      </c>
      <c r="AR139" s="524">
        <f t="shared" si="90"/>
        <v>0</v>
      </c>
      <c r="AS139" s="524">
        <f t="shared" si="90"/>
        <v>0</v>
      </c>
      <c r="AT139" s="524">
        <f t="shared" si="90"/>
        <v>0</v>
      </c>
      <c r="AU139" s="524">
        <f t="shared" si="90"/>
        <v>0</v>
      </c>
      <c r="AV139" s="524">
        <f t="shared" si="90"/>
        <v>0</v>
      </c>
      <c r="AW139" s="524">
        <f t="shared" si="90"/>
        <v>0</v>
      </c>
      <c r="AX139" s="524">
        <f t="shared" si="90"/>
        <v>0</v>
      </c>
      <c r="AY139" s="524">
        <f t="shared" si="90"/>
        <v>0</v>
      </c>
      <c r="AZ139" s="524">
        <f t="shared" si="90"/>
        <v>0</v>
      </c>
      <c r="BA139" s="524">
        <f t="shared" si="91"/>
        <v>0</v>
      </c>
      <c r="BB139" s="524">
        <f t="shared" si="91"/>
        <v>0</v>
      </c>
      <c r="BC139" s="524">
        <f t="shared" si="91"/>
        <v>0</v>
      </c>
      <c r="BD139" s="524">
        <f t="shared" si="91"/>
        <v>0</v>
      </c>
      <c r="BE139" s="524">
        <f t="shared" si="91"/>
        <v>0</v>
      </c>
      <c r="BF139" s="524">
        <f t="shared" si="91"/>
        <v>0</v>
      </c>
      <c r="BG139" s="524">
        <f t="shared" si="91"/>
        <v>0</v>
      </c>
      <c r="BH139" s="524">
        <f t="shared" si="91"/>
        <v>0</v>
      </c>
      <c r="BI139" s="524">
        <f t="shared" si="91"/>
        <v>0</v>
      </c>
      <c r="BJ139" s="524">
        <f t="shared" si="91"/>
        <v>0</v>
      </c>
      <c r="BK139" s="524">
        <f t="shared" si="92"/>
        <v>0</v>
      </c>
      <c r="BL139" s="524">
        <f t="shared" si="92"/>
        <v>0</v>
      </c>
      <c r="BM139" s="524">
        <f t="shared" si="92"/>
        <v>0</v>
      </c>
      <c r="BN139" s="524">
        <f t="shared" si="92"/>
        <v>0</v>
      </c>
      <c r="BO139" s="524">
        <f t="shared" si="92"/>
        <v>0</v>
      </c>
      <c r="BP139" s="524">
        <f t="shared" si="92"/>
        <v>0</v>
      </c>
      <c r="BQ139" s="524">
        <f t="shared" si="92"/>
        <v>0</v>
      </c>
      <c r="BR139" s="524">
        <f t="shared" si="92"/>
        <v>0</v>
      </c>
      <c r="BS139" s="524">
        <f t="shared" si="92"/>
        <v>0</v>
      </c>
      <c r="BT139" s="524">
        <f t="shared" si="92"/>
        <v>0</v>
      </c>
      <c r="BU139" s="524">
        <f t="shared" si="93"/>
        <v>40000</v>
      </c>
      <c r="BV139" s="524">
        <f t="shared" si="93"/>
        <v>40000</v>
      </c>
      <c r="BW139" s="524">
        <f t="shared" si="93"/>
        <v>40000</v>
      </c>
      <c r="BX139" s="524">
        <f t="shared" si="93"/>
        <v>0</v>
      </c>
      <c r="BY139" s="524">
        <f t="shared" si="93"/>
        <v>0</v>
      </c>
      <c r="BZ139" s="524">
        <f t="shared" si="93"/>
        <v>0</v>
      </c>
    </row>
    <row r="140" spans="2:78" ht="21" hidden="1" customHeight="1" outlineLevel="3">
      <c r="B140" s="367"/>
      <c r="C140" s="370"/>
      <c r="D140" s="374">
        <f t="shared" si="67"/>
        <v>46265</v>
      </c>
      <c r="E140" s="373" cm="1">
        <f t="array" ref="E140">IF($D140&lt;=LatestMonthOfActuals,0,INDEX($AE$41:$BZ$41,0,MATCH($D140,$AE$8:$BZ$8,0)))</f>
        <v>120000</v>
      </c>
      <c r="F140" s="359"/>
      <c r="G140" s="408">
        <f t="shared" si="88"/>
        <v>0</v>
      </c>
      <c r="H140" s="408">
        <f t="shared" si="88"/>
        <v>0</v>
      </c>
      <c r="I140" s="408">
        <f t="shared" si="88"/>
        <v>0</v>
      </c>
      <c r="J140" s="408">
        <f t="shared" si="88"/>
        <v>120000</v>
      </c>
      <c r="K140" s="408"/>
      <c r="L140" s="408"/>
      <c r="M140" s="408">
        <f t="shared" si="87"/>
        <v>120000</v>
      </c>
      <c r="N140" s="408">
        <f t="shared" si="87"/>
        <v>120000</v>
      </c>
      <c r="O140" s="408">
        <f t="shared" si="87"/>
        <v>120000</v>
      </c>
      <c r="P140" s="408">
        <f t="shared" si="87"/>
        <v>120000</v>
      </c>
      <c r="Q140" s="408">
        <f t="shared" si="87"/>
        <v>120000</v>
      </c>
      <c r="R140" s="408">
        <f t="shared" si="87"/>
        <v>120000</v>
      </c>
      <c r="S140" s="408">
        <f t="shared" si="87"/>
        <v>120000</v>
      </c>
      <c r="T140" s="408">
        <f t="shared" si="87"/>
        <v>120000</v>
      </c>
      <c r="U140" s="408">
        <f t="shared" si="87"/>
        <v>120000</v>
      </c>
      <c r="V140" s="408">
        <f t="shared" si="87"/>
        <v>120000</v>
      </c>
      <c r="W140" s="408">
        <f t="shared" si="87"/>
        <v>120000</v>
      </c>
      <c r="X140" s="408">
        <f t="shared" si="87"/>
        <v>120000</v>
      </c>
      <c r="Y140" s="408">
        <f t="shared" si="87"/>
        <v>120000</v>
      </c>
      <c r="Z140" s="408">
        <f t="shared" si="87"/>
        <v>120000</v>
      </c>
      <c r="AA140" s="408">
        <f t="shared" si="87"/>
        <v>120000</v>
      </c>
      <c r="AB140" s="408">
        <f t="shared" si="87"/>
        <v>40000</v>
      </c>
      <c r="AC140" s="524"/>
      <c r="AD140" s="359"/>
      <c r="AE140" s="524">
        <f t="shared" si="89"/>
        <v>0</v>
      </c>
      <c r="AF140" s="524">
        <f t="shared" si="89"/>
        <v>0</v>
      </c>
      <c r="AG140" s="524">
        <f t="shared" si="89"/>
        <v>0</v>
      </c>
      <c r="AH140" s="524">
        <f t="shared" si="89"/>
        <v>0</v>
      </c>
      <c r="AI140" s="524">
        <f t="shared" si="89"/>
        <v>0</v>
      </c>
      <c r="AJ140" s="524">
        <f t="shared" si="89"/>
        <v>0</v>
      </c>
      <c r="AK140" s="524">
        <f t="shared" si="89"/>
        <v>0</v>
      </c>
      <c r="AL140" s="524">
        <f t="shared" si="89"/>
        <v>0</v>
      </c>
      <c r="AM140" s="524">
        <f t="shared" si="89"/>
        <v>0</v>
      </c>
      <c r="AN140" s="524">
        <f t="shared" si="89"/>
        <v>0</v>
      </c>
      <c r="AO140" s="524">
        <f t="shared" si="89"/>
        <v>0</v>
      </c>
      <c r="AP140" s="524">
        <f t="shared" si="62"/>
        <v>0</v>
      </c>
      <c r="AQ140" s="524">
        <f t="shared" si="90"/>
        <v>0</v>
      </c>
      <c r="AR140" s="524">
        <f t="shared" si="90"/>
        <v>0</v>
      </c>
      <c r="AS140" s="524">
        <f t="shared" si="90"/>
        <v>0</v>
      </c>
      <c r="AT140" s="524">
        <f t="shared" si="90"/>
        <v>0</v>
      </c>
      <c r="AU140" s="524">
        <f t="shared" si="90"/>
        <v>0</v>
      </c>
      <c r="AV140" s="524">
        <f t="shared" si="90"/>
        <v>0</v>
      </c>
      <c r="AW140" s="524">
        <f t="shared" si="90"/>
        <v>0</v>
      </c>
      <c r="AX140" s="524">
        <f t="shared" si="90"/>
        <v>0</v>
      </c>
      <c r="AY140" s="524">
        <f t="shared" si="90"/>
        <v>0</v>
      </c>
      <c r="AZ140" s="524">
        <f t="shared" si="90"/>
        <v>0</v>
      </c>
      <c r="BA140" s="524">
        <f t="shared" si="91"/>
        <v>0</v>
      </c>
      <c r="BB140" s="524">
        <f t="shared" si="91"/>
        <v>0</v>
      </c>
      <c r="BC140" s="524">
        <f t="shared" si="91"/>
        <v>0</v>
      </c>
      <c r="BD140" s="524">
        <f t="shared" si="91"/>
        <v>0</v>
      </c>
      <c r="BE140" s="524">
        <f t="shared" si="91"/>
        <v>0</v>
      </c>
      <c r="BF140" s="524">
        <f t="shared" si="91"/>
        <v>0</v>
      </c>
      <c r="BG140" s="524">
        <f t="shared" si="91"/>
        <v>0</v>
      </c>
      <c r="BH140" s="524">
        <f t="shared" si="91"/>
        <v>0</v>
      </c>
      <c r="BI140" s="524">
        <f t="shared" si="91"/>
        <v>0</v>
      </c>
      <c r="BJ140" s="524">
        <f t="shared" si="91"/>
        <v>0</v>
      </c>
      <c r="BK140" s="524">
        <f t="shared" si="92"/>
        <v>0</v>
      </c>
      <c r="BL140" s="524">
        <f t="shared" si="92"/>
        <v>0</v>
      </c>
      <c r="BM140" s="524">
        <f t="shared" si="92"/>
        <v>0</v>
      </c>
      <c r="BN140" s="524">
        <f t="shared" si="92"/>
        <v>0</v>
      </c>
      <c r="BO140" s="524">
        <f t="shared" si="92"/>
        <v>0</v>
      </c>
      <c r="BP140" s="524">
        <f t="shared" si="92"/>
        <v>0</v>
      </c>
      <c r="BQ140" s="524">
        <f t="shared" si="92"/>
        <v>0</v>
      </c>
      <c r="BR140" s="524">
        <f t="shared" si="92"/>
        <v>0</v>
      </c>
      <c r="BS140" s="524">
        <f t="shared" si="92"/>
        <v>0</v>
      </c>
      <c r="BT140" s="524">
        <f t="shared" si="92"/>
        <v>0</v>
      </c>
      <c r="BU140" s="524">
        <f t="shared" si="93"/>
        <v>0</v>
      </c>
      <c r="BV140" s="524">
        <f t="shared" si="93"/>
        <v>40000</v>
      </c>
      <c r="BW140" s="524">
        <f t="shared" si="93"/>
        <v>40000</v>
      </c>
      <c r="BX140" s="524">
        <f t="shared" si="93"/>
        <v>40000</v>
      </c>
      <c r="BY140" s="524">
        <f t="shared" si="93"/>
        <v>0</v>
      </c>
      <c r="BZ140" s="524">
        <f t="shared" si="93"/>
        <v>0</v>
      </c>
    </row>
    <row r="141" spans="2:78" ht="21" hidden="1" customHeight="1" outlineLevel="3">
      <c r="B141" s="367"/>
      <c r="C141" s="370"/>
      <c r="D141" s="374">
        <f t="shared" si="67"/>
        <v>46295</v>
      </c>
      <c r="E141" s="373" cm="1">
        <f t="array" ref="E141">IF($D141&lt;=LatestMonthOfActuals,0,INDEX($AE$41:$BZ$41,0,MATCH($D141,$AE$8:$BZ$8,0)))</f>
        <v>120000</v>
      </c>
      <c r="F141" s="359"/>
      <c r="G141" s="408">
        <f t="shared" si="88"/>
        <v>0</v>
      </c>
      <c r="H141" s="408">
        <f t="shared" si="88"/>
        <v>0</v>
      </c>
      <c r="I141" s="408">
        <f t="shared" si="88"/>
        <v>0</v>
      </c>
      <c r="J141" s="408">
        <f t="shared" si="88"/>
        <v>120000</v>
      </c>
      <c r="K141" s="408"/>
      <c r="L141" s="408"/>
      <c r="M141" s="408">
        <f t="shared" si="87"/>
        <v>120000</v>
      </c>
      <c r="N141" s="408">
        <f t="shared" si="87"/>
        <v>120000</v>
      </c>
      <c r="O141" s="408">
        <f t="shared" si="87"/>
        <v>120000</v>
      </c>
      <c r="P141" s="408">
        <f t="shared" si="87"/>
        <v>120000</v>
      </c>
      <c r="Q141" s="408">
        <f t="shared" si="87"/>
        <v>120000</v>
      </c>
      <c r="R141" s="408">
        <f t="shared" si="87"/>
        <v>120000</v>
      </c>
      <c r="S141" s="408">
        <f t="shared" si="87"/>
        <v>120000</v>
      </c>
      <c r="T141" s="408">
        <f t="shared" si="87"/>
        <v>120000</v>
      </c>
      <c r="U141" s="408">
        <f t="shared" si="87"/>
        <v>120000</v>
      </c>
      <c r="V141" s="408">
        <f t="shared" si="87"/>
        <v>120000</v>
      </c>
      <c r="W141" s="408">
        <f t="shared" si="87"/>
        <v>120000</v>
      </c>
      <c r="X141" s="408">
        <f t="shared" si="87"/>
        <v>120000</v>
      </c>
      <c r="Y141" s="408">
        <f t="shared" si="87"/>
        <v>120000</v>
      </c>
      <c r="Z141" s="408">
        <f t="shared" si="87"/>
        <v>120000</v>
      </c>
      <c r="AA141" s="408">
        <f t="shared" si="87"/>
        <v>120000</v>
      </c>
      <c r="AB141" s="408">
        <f t="shared" si="87"/>
        <v>80000</v>
      </c>
      <c r="AC141" s="524"/>
      <c r="AD141" s="359"/>
      <c r="AE141" s="524">
        <f t="shared" si="89"/>
        <v>0</v>
      </c>
      <c r="AF141" s="524">
        <f t="shared" si="89"/>
        <v>0</v>
      </c>
      <c r="AG141" s="524">
        <f t="shared" si="89"/>
        <v>0</v>
      </c>
      <c r="AH141" s="524">
        <f t="shared" si="89"/>
        <v>0</v>
      </c>
      <c r="AI141" s="524">
        <f t="shared" si="89"/>
        <v>0</v>
      </c>
      <c r="AJ141" s="524">
        <f t="shared" si="89"/>
        <v>0</v>
      </c>
      <c r="AK141" s="524">
        <f t="shared" si="89"/>
        <v>0</v>
      </c>
      <c r="AL141" s="524">
        <f t="shared" si="89"/>
        <v>0</v>
      </c>
      <c r="AM141" s="524">
        <f t="shared" si="89"/>
        <v>0</v>
      </c>
      <c r="AN141" s="524">
        <f t="shared" si="89"/>
        <v>0</v>
      </c>
      <c r="AO141" s="524">
        <f t="shared" si="89"/>
        <v>0</v>
      </c>
      <c r="AP141" s="524">
        <f t="shared" si="62"/>
        <v>0</v>
      </c>
      <c r="AQ141" s="524">
        <f t="shared" si="90"/>
        <v>0</v>
      </c>
      <c r="AR141" s="524">
        <f t="shared" si="90"/>
        <v>0</v>
      </c>
      <c r="AS141" s="524">
        <f t="shared" si="90"/>
        <v>0</v>
      </c>
      <c r="AT141" s="524">
        <f t="shared" si="90"/>
        <v>0</v>
      </c>
      <c r="AU141" s="524">
        <f t="shared" si="90"/>
        <v>0</v>
      </c>
      <c r="AV141" s="524">
        <f t="shared" si="90"/>
        <v>0</v>
      </c>
      <c r="AW141" s="524">
        <f t="shared" si="90"/>
        <v>0</v>
      </c>
      <c r="AX141" s="524">
        <f t="shared" si="90"/>
        <v>0</v>
      </c>
      <c r="AY141" s="524">
        <f t="shared" si="90"/>
        <v>0</v>
      </c>
      <c r="AZ141" s="524">
        <f t="shared" si="90"/>
        <v>0</v>
      </c>
      <c r="BA141" s="524">
        <f t="shared" si="91"/>
        <v>0</v>
      </c>
      <c r="BB141" s="524">
        <f t="shared" si="91"/>
        <v>0</v>
      </c>
      <c r="BC141" s="524">
        <f t="shared" si="91"/>
        <v>0</v>
      </c>
      <c r="BD141" s="524">
        <f t="shared" si="91"/>
        <v>0</v>
      </c>
      <c r="BE141" s="524">
        <f t="shared" si="91"/>
        <v>0</v>
      </c>
      <c r="BF141" s="524">
        <f t="shared" si="91"/>
        <v>0</v>
      </c>
      <c r="BG141" s="524">
        <f t="shared" si="91"/>
        <v>0</v>
      </c>
      <c r="BH141" s="524">
        <f t="shared" si="91"/>
        <v>0</v>
      </c>
      <c r="BI141" s="524">
        <f t="shared" si="91"/>
        <v>0</v>
      </c>
      <c r="BJ141" s="524">
        <f t="shared" si="91"/>
        <v>0</v>
      </c>
      <c r="BK141" s="524">
        <f t="shared" si="92"/>
        <v>0</v>
      </c>
      <c r="BL141" s="524">
        <f t="shared" si="92"/>
        <v>0</v>
      </c>
      <c r="BM141" s="524">
        <f t="shared" si="92"/>
        <v>0</v>
      </c>
      <c r="BN141" s="524">
        <f t="shared" si="92"/>
        <v>0</v>
      </c>
      <c r="BO141" s="524">
        <f t="shared" si="92"/>
        <v>0</v>
      </c>
      <c r="BP141" s="524">
        <f t="shared" si="92"/>
        <v>0</v>
      </c>
      <c r="BQ141" s="524">
        <f t="shared" si="92"/>
        <v>0</v>
      </c>
      <c r="BR141" s="524">
        <f t="shared" si="92"/>
        <v>0</v>
      </c>
      <c r="BS141" s="524">
        <f t="shared" si="92"/>
        <v>0</v>
      </c>
      <c r="BT141" s="524">
        <f t="shared" si="92"/>
        <v>0</v>
      </c>
      <c r="BU141" s="524">
        <f t="shared" si="93"/>
        <v>0</v>
      </c>
      <c r="BV141" s="524">
        <f t="shared" si="93"/>
        <v>0</v>
      </c>
      <c r="BW141" s="524">
        <f t="shared" si="93"/>
        <v>40000</v>
      </c>
      <c r="BX141" s="524">
        <f t="shared" si="93"/>
        <v>40000</v>
      </c>
      <c r="BY141" s="524">
        <f t="shared" si="93"/>
        <v>40000</v>
      </c>
      <c r="BZ141" s="524">
        <f t="shared" si="93"/>
        <v>0</v>
      </c>
    </row>
    <row r="142" spans="2:78" ht="21" hidden="1" customHeight="1" outlineLevel="3">
      <c r="B142" s="367"/>
      <c r="C142" s="370"/>
      <c r="D142" s="374">
        <f t="shared" si="67"/>
        <v>46326</v>
      </c>
      <c r="E142" s="373" cm="1">
        <f t="array" ref="E142">IF($D142&lt;=LatestMonthOfActuals,0,INDEX($AE$41:$BZ$41,0,MATCH($D142,$AE$8:$BZ$8,0)))</f>
        <v>120000</v>
      </c>
      <c r="F142" s="359"/>
      <c r="G142" s="408">
        <f t="shared" si="88"/>
        <v>0</v>
      </c>
      <c r="H142" s="408">
        <f t="shared" si="88"/>
        <v>0</v>
      </c>
      <c r="I142" s="408">
        <f t="shared" si="88"/>
        <v>0</v>
      </c>
      <c r="J142" s="408">
        <f t="shared" si="88"/>
        <v>120000</v>
      </c>
      <c r="K142" s="408"/>
      <c r="L142" s="408"/>
      <c r="M142" s="408">
        <f t="shared" si="87"/>
        <v>120000</v>
      </c>
      <c r="N142" s="408">
        <f t="shared" si="87"/>
        <v>120000</v>
      </c>
      <c r="O142" s="408">
        <f t="shared" si="87"/>
        <v>120000</v>
      </c>
      <c r="P142" s="408">
        <f t="shared" si="87"/>
        <v>120000</v>
      </c>
      <c r="Q142" s="408">
        <f t="shared" si="87"/>
        <v>120000</v>
      </c>
      <c r="R142" s="408">
        <f t="shared" si="87"/>
        <v>120000</v>
      </c>
      <c r="S142" s="408">
        <f t="shared" si="87"/>
        <v>120000</v>
      </c>
      <c r="T142" s="408">
        <f t="shared" si="87"/>
        <v>120000</v>
      </c>
      <c r="U142" s="408">
        <f t="shared" si="87"/>
        <v>120000</v>
      </c>
      <c r="V142" s="408">
        <f t="shared" si="87"/>
        <v>120000</v>
      </c>
      <c r="W142" s="408">
        <f t="shared" si="87"/>
        <v>120000</v>
      </c>
      <c r="X142" s="408">
        <f t="shared" si="87"/>
        <v>120000</v>
      </c>
      <c r="Y142" s="408">
        <f t="shared" si="87"/>
        <v>120000</v>
      </c>
      <c r="Z142" s="408">
        <f t="shared" si="87"/>
        <v>120000</v>
      </c>
      <c r="AA142" s="408">
        <f t="shared" si="87"/>
        <v>120000</v>
      </c>
      <c r="AB142" s="408">
        <f t="shared" si="87"/>
        <v>120000</v>
      </c>
      <c r="AC142" s="524"/>
      <c r="AD142" s="359"/>
      <c r="AE142" s="524">
        <f t="shared" si="89"/>
        <v>0</v>
      </c>
      <c r="AF142" s="524">
        <f t="shared" si="89"/>
        <v>0</v>
      </c>
      <c r="AG142" s="524">
        <f t="shared" si="89"/>
        <v>0</v>
      </c>
      <c r="AH142" s="524">
        <f t="shared" si="89"/>
        <v>0</v>
      </c>
      <c r="AI142" s="524">
        <f t="shared" si="89"/>
        <v>0</v>
      </c>
      <c r="AJ142" s="524">
        <f t="shared" si="89"/>
        <v>0</v>
      </c>
      <c r="AK142" s="524">
        <f t="shared" si="89"/>
        <v>0</v>
      </c>
      <c r="AL142" s="524">
        <f t="shared" si="89"/>
        <v>0</v>
      </c>
      <c r="AM142" s="524">
        <f t="shared" si="89"/>
        <v>0</v>
      </c>
      <c r="AN142" s="524">
        <f t="shared" si="89"/>
        <v>0</v>
      </c>
      <c r="AO142" s="524">
        <f t="shared" si="89"/>
        <v>0</v>
      </c>
      <c r="AP142" s="524">
        <f t="shared" si="62"/>
        <v>0</v>
      </c>
      <c r="AQ142" s="524">
        <f t="shared" si="90"/>
        <v>0</v>
      </c>
      <c r="AR142" s="524">
        <f t="shared" si="90"/>
        <v>0</v>
      </c>
      <c r="AS142" s="524">
        <f t="shared" si="90"/>
        <v>0</v>
      </c>
      <c r="AT142" s="524">
        <f t="shared" si="90"/>
        <v>0</v>
      </c>
      <c r="AU142" s="524">
        <f t="shared" si="90"/>
        <v>0</v>
      </c>
      <c r="AV142" s="524">
        <f t="shared" si="90"/>
        <v>0</v>
      </c>
      <c r="AW142" s="524">
        <f t="shared" si="90"/>
        <v>0</v>
      </c>
      <c r="AX142" s="524">
        <f t="shared" si="90"/>
        <v>0</v>
      </c>
      <c r="AY142" s="524">
        <f t="shared" si="90"/>
        <v>0</v>
      </c>
      <c r="AZ142" s="524">
        <f t="shared" si="90"/>
        <v>0</v>
      </c>
      <c r="BA142" s="524">
        <f t="shared" si="91"/>
        <v>0</v>
      </c>
      <c r="BB142" s="524">
        <f t="shared" si="91"/>
        <v>0</v>
      </c>
      <c r="BC142" s="524">
        <f t="shared" si="91"/>
        <v>0</v>
      </c>
      <c r="BD142" s="524">
        <f t="shared" si="91"/>
        <v>0</v>
      </c>
      <c r="BE142" s="524">
        <f t="shared" si="91"/>
        <v>0</v>
      </c>
      <c r="BF142" s="524">
        <f t="shared" si="91"/>
        <v>0</v>
      </c>
      <c r="BG142" s="524">
        <f t="shared" si="91"/>
        <v>0</v>
      </c>
      <c r="BH142" s="524">
        <f t="shared" si="91"/>
        <v>0</v>
      </c>
      <c r="BI142" s="524">
        <f t="shared" si="91"/>
        <v>0</v>
      </c>
      <c r="BJ142" s="524">
        <f t="shared" si="91"/>
        <v>0</v>
      </c>
      <c r="BK142" s="524">
        <f t="shared" si="92"/>
        <v>0</v>
      </c>
      <c r="BL142" s="524">
        <f t="shared" si="92"/>
        <v>0</v>
      </c>
      <c r="BM142" s="524">
        <f t="shared" si="92"/>
        <v>0</v>
      </c>
      <c r="BN142" s="524">
        <f t="shared" si="92"/>
        <v>0</v>
      </c>
      <c r="BO142" s="524">
        <f t="shared" si="92"/>
        <v>0</v>
      </c>
      <c r="BP142" s="524">
        <f t="shared" si="92"/>
        <v>0</v>
      </c>
      <c r="BQ142" s="524">
        <f t="shared" si="92"/>
        <v>0</v>
      </c>
      <c r="BR142" s="524">
        <f t="shared" si="92"/>
        <v>0</v>
      </c>
      <c r="BS142" s="524">
        <f t="shared" si="92"/>
        <v>0</v>
      </c>
      <c r="BT142" s="524">
        <f t="shared" si="92"/>
        <v>0</v>
      </c>
      <c r="BU142" s="524">
        <f t="shared" si="93"/>
        <v>0</v>
      </c>
      <c r="BV142" s="524">
        <f t="shared" si="93"/>
        <v>0</v>
      </c>
      <c r="BW142" s="524">
        <f t="shared" si="93"/>
        <v>0</v>
      </c>
      <c r="BX142" s="524">
        <f t="shared" si="93"/>
        <v>40000</v>
      </c>
      <c r="BY142" s="524">
        <f t="shared" si="93"/>
        <v>40000</v>
      </c>
      <c r="BZ142" s="524">
        <f t="shared" si="93"/>
        <v>40000</v>
      </c>
    </row>
    <row r="143" spans="2:78" ht="21" hidden="1" customHeight="1" outlineLevel="3">
      <c r="B143" s="367"/>
      <c r="C143" s="370"/>
      <c r="D143" s="374">
        <f t="shared" si="67"/>
        <v>46356</v>
      </c>
      <c r="E143" s="373" cm="1">
        <f t="array" ref="E143">IF($D143&lt;=LatestMonthOfActuals,0,INDEX($AE$41:$BZ$41,0,MATCH($D143,$AE$8:$BZ$8,0)))</f>
        <v>120000</v>
      </c>
      <c r="F143" s="359"/>
      <c r="G143" s="408">
        <f t="shared" si="88"/>
        <v>0</v>
      </c>
      <c r="H143" s="408">
        <f t="shared" si="88"/>
        <v>0</v>
      </c>
      <c r="I143" s="408">
        <f t="shared" si="88"/>
        <v>0</v>
      </c>
      <c r="J143" s="408">
        <f t="shared" si="88"/>
        <v>80000</v>
      </c>
      <c r="K143" s="408"/>
      <c r="L143" s="408"/>
      <c r="M143" s="408">
        <f t="shared" si="87"/>
        <v>80000</v>
      </c>
      <c r="N143" s="408">
        <f t="shared" si="87"/>
        <v>80000</v>
      </c>
      <c r="O143" s="408">
        <f t="shared" si="87"/>
        <v>80000</v>
      </c>
      <c r="P143" s="408">
        <f t="shared" si="87"/>
        <v>80000</v>
      </c>
      <c r="Q143" s="408">
        <f t="shared" si="87"/>
        <v>80000</v>
      </c>
      <c r="R143" s="408">
        <f t="shared" si="87"/>
        <v>80000</v>
      </c>
      <c r="S143" s="408">
        <f t="shared" si="87"/>
        <v>80000</v>
      </c>
      <c r="T143" s="408">
        <f t="shared" si="87"/>
        <v>80000</v>
      </c>
      <c r="U143" s="408">
        <f t="shared" si="87"/>
        <v>80000</v>
      </c>
      <c r="V143" s="408">
        <f t="shared" si="87"/>
        <v>80000</v>
      </c>
      <c r="W143" s="408">
        <f t="shared" si="87"/>
        <v>80000</v>
      </c>
      <c r="X143" s="408">
        <f t="shared" si="87"/>
        <v>80000</v>
      </c>
      <c r="Y143" s="408">
        <f t="shared" si="87"/>
        <v>80000</v>
      </c>
      <c r="Z143" s="408">
        <f t="shared" si="87"/>
        <v>80000</v>
      </c>
      <c r="AA143" s="408">
        <f t="shared" si="87"/>
        <v>80000</v>
      </c>
      <c r="AB143" s="408">
        <f t="shared" si="87"/>
        <v>80000</v>
      </c>
      <c r="AC143" s="524"/>
      <c r="AD143" s="359"/>
      <c r="AE143" s="524">
        <f t="shared" si="89"/>
        <v>0</v>
      </c>
      <c r="AF143" s="524">
        <f t="shared" si="89"/>
        <v>0</v>
      </c>
      <c r="AG143" s="524">
        <f t="shared" si="89"/>
        <v>0</v>
      </c>
      <c r="AH143" s="524">
        <f t="shared" si="89"/>
        <v>0</v>
      </c>
      <c r="AI143" s="524">
        <f t="shared" si="89"/>
        <v>0</v>
      </c>
      <c r="AJ143" s="524">
        <f t="shared" si="89"/>
        <v>0</v>
      </c>
      <c r="AK143" s="524">
        <f t="shared" si="89"/>
        <v>0</v>
      </c>
      <c r="AL143" s="524">
        <f t="shared" si="89"/>
        <v>0</v>
      </c>
      <c r="AM143" s="524">
        <f t="shared" si="89"/>
        <v>0</v>
      </c>
      <c r="AN143" s="524">
        <f t="shared" si="89"/>
        <v>0</v>
      </c>
      <c r="AO143" s="524">
        <f t="shared" si="89"/>
        <v>0</v>
      </c>
      <c r="AP143" s="524">
        <f t="shared" si="62"/>
        <v>0</v>
      </c>
      <c r="AQ143" s="524">
        <f t="shared" si="90"/>
        <v>0</v>
      </c>
      <c r="AR143" s="524">
        <f t="shared" si="90"/>
        <v>0</v>
      </c>
      <c r="AS143" s="524">
        <f t="shared" si="90"/>
        <v>0</v>
      </c>
      <c r="AT143" s="524">
        <f t="shared" si="90"/>
        <v>0</v>
      </c>
      <c r="AU143" s="524">
        <f t="shared" si="90"/>
        <v>0</v>
      </c>
      <c r="AV143" s="524">
        <f t="shared" si="90"/>
        <v>0</v>
      </c>
      <c r="AW143" s="524">
        <f t="shared" si="90"/>
        <v>0</v>
      </c>
      <c r="AX143" s="524">
        <f t="shared" si="90"/>
        <v>0</v>
      </c>
      <c r="AY143" s="524">
        <f t="shared" si="90"/>
        <v>0</v>
      </c>
      <c r="AZ143" s="524">
        <f t="shared" si="90"/>
        <v>0</v>
      </c>
      <c r="BA143" s="524">
        <f t="shared" si="91"/>
        <v>0</v>
      </c>
      <c r="BB143" s="524">
        <f t="shared" si="91"/>
        <v>0</v>
      </c>
      <c r="BC143" s="524">
        <f t="shared" si="91"/>
        <v>0</v>
      </c>
      <c r="BD143" s="524">
        <f t="shared" si="91"/>
        <v>0</v>
      </c>
      <c r="BE143" s="524">
        <f t="shared" si="91"/>
        <v>0</v>
      </c>
      <c r="BF143" s="524">
        <f t="shared" si="91"/>
        <v>0</v>
      </c>
      <c r="BG143" s="524">
        <f t="shared" si="91"/>
        <v>0</v>
      </c>
      <c r="BH143" s="524">
        <f t="shared" si="91"/>
        <v>0</v>
      </c>
      <c r="BI143" s="524">
        <f t="shared" si="91"/>
        <v>0</v>
      </c>
      <c r="BJ143" s="524">
        <f t="shared" si="91"/>
        <v>0</v>
      </c>
      <c r="BK143" s="524">
        <f t="shared" si="92"/>
        <v>0</v>
      </c>
      <c r="BL143" s="524">
        <f t="shared" si="92"/>
        <v>0</v>
      </c>
      <c r="BM143" s="524">
        <f t="shared" si="92"/>
        <v>0</v>
      </c>
      <c r="BN143" s="524">
        <f t="shared" si="92"/>
        <v>0</v>
      </c>
      <c r="BO143" s="524">
        <f t="shared" si="92"/>
        <v>0</v>
      </c>
      <c r="BP143" s="524">
        <f t="shared" si="92"/>
        <v>0</v>
      </c>
      <c r="BQ143" s="524">
        <f t="shared" si="92"/>
        <v>0</v>
      </c>
      <c r="BR143" s="524">
        <f t="shared" si="92"/>
        <v>0</v>
      </c>
      <c r="BS143" s="524">
        <f t="shared" si="92"/>
        <v>0</v>
      </c>
      <c r="BT143" s="524">
        <f t="shared" si="92"/>
        <v>0</v>
      </c>
      <c r="BU143" s="524">
        <f t="shared" si="93"/>
        <v>0</v>
      </c>
      <c r="BV143" s="524">
        <f t="shared" si="93"/>
        <v>0</v>
      </c>
      <c r="BW143" s="524">
        <f t="shared" si="93"/>
        <v>0</v>
      </c>
      <c r="BX143" s="524">
        <f t="shared" si="93"/>
        <v>0</v>
      </c>
      <c r="BY143" s="524">
        <f t="shared" si="93"/>
        <v>40000</v>
      </c>
      <c r="BZ143" s="524">
        <f t="shared" si="93"/>
        <v>40000</v>
      </c>
    </row>
    <row r="144" spans="2:78" ht="21" hidden="1" customHeight="1" outlineLevel="3">
      <c r="B144" s="367"/>
      <c r="C144" s="370"/>
      <c r="D144" s="374">
        <f t="shared" si="67"/>
        <v>46387</v>
      </c>
      <c r="E144" s="373" cm="1">
        <f t="array" ref="E144">IF($D144&lt;=LatestMonthOfActuals,0,INDEX($AE$41:$BZ$41,0,MATCH($D144,$AE$8:$BZ$8,0)))</f>
        <v>120000</v>
      </c>
      <c r="F144" s="359"/>
      <c r="G144" s="408">
        <f t="shared" si="88"/>
        <v>0</v>
      </c>
      <c r="H144" s="408">
        <f t="shared" si="88"/>
        <v>0</v>
      </c>
      <c r="I144" s="408">
        <f t="shared" si="88"/>
        <v>0</v>
      </c>
      <c r="J144" s="408">
        <f t="shared" si="88"/>
        <v>40000</v>
      </c>
      <c r="K144" s="408"/>
      <c r="L144" s="408"/>
      <c r="M144" s="408">
        <f t="shared" si="87"/>
        <v>40000</v>
      </c>
      <c r="N144" s="408">
        <f t="shared" si="87"/>
        <v>40000</v>
      </c>
      <c r="O144" s="408">
        <f t="shared" si="87"/>
        <v>40000</v>
      </c>
      <c r="P144" s="408">
        <f t="shared" si="87"/>
        <v>40000</v>
      </c>
      <c r="Q144" s="408">
        <f t="shared" si="87"/>
        <v>40000</v>
      </c>
      <c r="R144" s="408">
        <f t="shared" si="87"/>
        <v>40000</v>
      </c>
      <c r="S144" s="408">
        <f t="shared" si="87"/>
        <v>40000</v>
      </c>
      <c r="T144" s="408">
        <f t="shared" si="87"/>
        <v>40000</v>
      </c>
      <c r="U144" s="408">
        <f t="shared" si="87"/>
        <v>40000</v>
      </c>
      <c r="V144" s="408">
        <f t="shared" si="87"/>
        <v>40000</v>
      </c>
      <c r="W144" s="408">
        <f t="shared" si="87"/>
        <v>40000</v>
      </c>
      <c r="X144" s="408">
        <f t="shared" si="87"/>
        <v>40000</v>
      </c>
      <c r="Y144" s="408">
        <f t="shared" si="87"/>
        <v>40000</v>
      </c>
      <c r="Z144" s="408">
        <f t="shared" si="87"/>
        <v>40000</v>
      </c>
      <c r="AA144" s="408">
        <f t="shared" si="87"/>
        <v>40000</v>
      </c>
      <c r="AB144" s="408">
        <f t="shared" ref="AB144" si="94">SUMIFS($AE144:$BZ144,$AE$4:$BZ$4,"&gt;="&amp;AB$4,$AE144:$BZ144,"&lt;="&amp;AB$5)</f>
        <v>40000</v>
      </c>
      <c r="AC144" s="524"/>
      <c r="AD144" s="359"/>
      <c r="AE144" s="524">
        <f t="shared" si="89"/>
        <v>0</v>
      </c>
      <c r="AF144" s="524">
        <f t="shared" si="89"/>
        <v>0</v>
      </c>
      <c r="AG144" s="524">
        <f t="shared" si="89"/>
        <v>0</v>
      </c>
      <c r="AH144" s="524">
        <f t="shared" si="89"/>
        <v>0</v>
      </c>
      <c r="AI144" s="524">
        <f t="shared" si="89"/>
        <v>0</v>
      </c>
      <c r="AJ144" s="524">
        <f t="shared" si="89"/>
        <v>0</v>
      </c>
      <c r="AK144" s="524">
        <f t="shared" si="89"/>
        <v>0</v>
      </c>
      <c r="AL144" s="524">
        <f t="shared" si="89"/>
        <v>0</v>
      </c>
      <c r="AM144" s="524">
        <f t="shared" si="89"/>
        <v>0</v>
      </c>
      <c r="AN144" s="524">
        <f t="shared" si="89"/>
        <v>0</v>
      </c>
      <c r="AO144" s="524">
        <f t="shared" si="89"/>
        <v>0</v>
      </c>
      <c r="AP144" s="524">
        <f t="shared" si="62"/>
        <v>0</v>
      </c>
      <c r="AQ144" s="524">
        <f t="shared" si="90"/>
        <v>0</v>
      </c>
      <c r="AR144" s="524">
        <f t="shared" si="90"/>
        <v>0</v>
      </c>
      <c r="AS144" s="524">
        <f t="shared" si="90"/>
        <v>0</v>
      </c>
      <c r="AT144" s="524">
        <f t="shared" si="90"/>
        <v>0</v>
      </c>
      <c r="AU144" s="524">
        <f t="shared" si="90"/>
        <v>0</v>
      </c>
      <c r="AV144" s="524">
        <f t="shared" si="90"/>
        <v>0</v>
      </c>
      <c r="AW144" s="524">
        <f t="shared" si="90"/>
        <v>0</v>
      </c>
      <c r="AX144" s="524">
        <f t="shared" si="90"/>
        <v>0</v>
      </c>
      <c r="AY144" s="524">
        <f t="shared" si="90"/>
        <v>0</v>
      </c>
      <c r="AZ144" s="524">
        <f t="shared" si="90"/>
        <v>0</v>
      </c>
      <c r="BA144" s="524">
        <f t="shared" si="91"/>
        <v>0</v>
      </c>
      <c r="BB144" s="524">
        <f t="shared" si="91"/>
        <v>0</v>
      </c>
      <c r="BC144" s="524">
        <f t="shared" si="91"/>
        <v>0</v>
      </c>
      <c r="BD144" s="524">
        <f t="shared" si="91"/>
        <v>0</v>
      </c>
      <c r="BE144" s="524">
        <f t="shared" si="91"/>
        <v>0</v>
      </c>
      <c r="BF144" s="524">
        <f t="shared" si="91"/>
        <v>0</v>
      </c>
      <c r="BG144" s="524">
        <f t="shared" si="91"/>
        <v>0</v>
      </c>
      <c r="BH144" s="524">
        <f t="shared" si="91"/>
        <v>0</v>
      </c>
      <c r="BI144" s="524">
        <f t="shared" si="91"/>
        <v>0</v>
      </c>
      <c r="BJ144" s="524">
        <f t="shared" si="91"/>
        <v>0</v>
      </c>
      <c r="BK144" s="524">
        <f t="shared" si="92"/>
        <v>0</v>
      </c>
      <c r="BL144" s="524">
        <f t="shared" si="92"/>
        <v>0</v>
      </c>
      <c r="BM144" s="524">
        <f t="shared" si="92"/>
        <v>0</v>
      </c>
      <c r="BN144" s="524">
        <f t="shared" si="92"/>
        <v>0</v>
      </c>
      <c r="BO144" s="524">
        <f t="shared" si="92"/>
        <v>0</v>
      </c>
      <c r="BP144" s="524">
        <f t="shared" si="92"/>
        <v>0</v>
      </c>
      <c r="BQ144" s="524">
        <f t="shared" si="92"/>
        <v>0</v>
      </c>
      <c r="BR144" s="524">
        <f t="shared" si="92"/>
        <v>0</v>
      </c>
      <c r="BS144" s="524">
        <f t="shared" si="92"/>
        <v>0</v>
      </c>
      <c r="BT144" s="524">
        <f t="shared" si="92"/>
        <v>0</v>
      </c>
      <c r="BU144" s="524">
        <f t="shared" si="93"/>
        <v>0</v>
      </c>
      <c r="BV144" s="524">
        <f t="shared" si="93"/>
        <v>0</v>
      </c>
      <c r="BW144" s="524">
        <f t="shared" si="93"/>
        <v>0</v>
      </c>
      <c r="BX144" s="524">
        <f t="shared" si="93"/>
        <v>0</v>
      </c>
      <c r="BY144" s="524">
        <f t="shared" si="93"/>
        <v>0</v>
      </c>
      <c r="BZ144" s="524">
        <f t="shared" si="93"/>
        <v>40000</v>
      </c>
    </row>
    <row r="145" spans="2:78" ht="21" customHeight="1" outlineLevel="1">
      <c r="B145" s="367"/>
      <c r="C145" s="370"/>
      <c r="D145" s="369"/>
      <c r="E145" s="373"/>
      <c r="F145" s="359"/>
      <c r="G145" s="368"/>
      <c r="H145" s="368"/>
      <c r="I145" s="368"/>
      <c r="J145" s="368"/>
      <c r="L145" s="359"/>
      <c r="M145" s="368"/>
      <c r="N145" s="368"/>
      <c r="O145" s="368"/>
      <c r="P145" s="368"/>
      <c r="Q145" s="368"/>
      <c r="R145" s="368"/>
      <c r="S145" s="368"/>
      <c r="T145" s="368"/>
      <c r="U145" s="368"/>
      <c r="V145" s="368"/>
      <c r="W145" s="368"/>
      <c r="X145" s="368"/>
      <c r="Y145" s="368"/>
      <c r="Z145" s="368"/>
      <c r="AA145" s="368"/>
      <c r="AB145" s="368"/>
      <c r="AD145" s="359"/>
      <c r="AE145" s="368"/>
      <c r="AF145" s="368"/>
      <c r="AG145" s="368"/>
      <c r="AH145" s="368"/>
      <c r="AI145" s="368"/>
      <c r="AJ145" s="368"/>
      <c r="AK145" s="368"/>
      <c r="AL145" s="368"/>
      <c r="AM145" s="368"/>
      <c r="AN145" s="368"/>
      <c r="AO145" s="368"/>
      <c r="AP145" s="368"/>
      <c r="AQ145" s="368"/>
      <c r="AR145" s="368"/>
      <c r="AS145" s="368"/>
      <c r="AT145" s="368"/>
      <c r="AU145" s="368"/>
      <c r="AV145" s="368"/>
      <c r="AW145" s="368"/>
      <c r="AX145" s="368"/>
      <c r="AY145" s="368"/>
      <c r="AZ145" s="368"/>
      <c r="BA145" s="368"/>
      <c r="BB145" s="368"/>
      <c r="BC145" s="368"/>
      <c r="BD145" s="368"/>
      <c r="BE145" s="368"/>
      <c r="BF145" s="368"/>
      <c r="BG145" s="368"/>
      <c r="BH145" s="368"/>
      <c r="BI145" s="368"/>
      <c r="BJ145" s="368"/>
      <c r="BK145" s="368"/>
      <c r="BL145" s="368"/>
      <c r="BM145" s="368"/>
      <c r="BN145" s="368"/>
      <c r="BO145" s="368"/>
      <c r="BP145" s="368"/>
      <c r="BQ145" s="368"/>
      <c r="BR145" s="368"/>
      <c r="BS145" s="368"/>
      <c r="BT145" s="368"/>
      <c r="BU145" s="368"/>
      <c r="BV145" s="368"/>
      <c r="BW145" s="368"/>
      <c r="BX145" s="368"/>
      <c r="BY145" s="368"/>
      <c r="BZ145" s="368"/>
    </row>
    <row r="146" spans="2:78" s="357" customFormat="1" ht="15" outlineLevel="1">
      <c r="B146" s="367"/>
      <c r="C146" s="523" t="s">
        <v>421</v>
      </c>
      <c r="D146" s="366"/>
      <c r="E146" s="522"/>
      <c r="F146" s="359"/>
      <c r="G146" s="364">
        <f>SUM(G44,G95)</f>
        <v>0</v>
      </c>
      <c r="H146" s="364">
        <f t="shared" ref="H146:J146" si="95">SUM(H44,H95)</f>
        <v>0</v>
      </c>
      <c r="I146" s="364">
        <f t="shared" si="95"/>
        <v>41939.166666666664</v>
      </c>
      <c r="J146" s="364">
        <f t="shared" si="95"/>
        <v>1421330.8333333333</v>
      </c>
      <c r="K146" s="432"/>
      <c r="L146" s="359"/>
      <c r="M146" s="364">
        <f t="shared" ref="M146:AB146" si="96">SUM(M44,M95)</f>
        <v>1463270</v>
      </c>
      <c r="N146" s="364">
        <f t="shared" si="96"/>
        <v>1463270</v>
      </c>
      <c r="O146" s="364">
        <f t="shared" si="96"/>
        <v>1463270</v>
      </c>
      <c r="P146" s="364">
        <f t="shared" si="96"/>
        <v>1463270</v>
      </c>
      <c r="Q146" s="364">
        <f t="shared" si="96"/>
        <v>1463270</v>
      </c>
      <c r="R146" s="364">
        <f t="shared" si="96"/>
        <v>1463270</v>
      </c>
      <c r="S146" s="364">
        <f t="shared" si="96"/>
        <v>1463270</v>
      </c>
      <c r="T146" s="364">
        <f t="shared" si="96"/>
        <v>1463270</v>
      </c>
      <c r="U146" s="364">
        <f t="shared" si="96"/>
        <v>1463270</v>
      </c>
      <c r="V146" s="364">
        <f t="shared" si="96"/>
        <v>1463270</v>
      </c>
      <c r="W146" s="364">
        <f t="shared" si="96"/>
        <v>1463270</v>
      </c>
      <c r="X146" s="364">
        <f t="shared" si="96"/>
        <v>1463270</v>
      </c>
      <c r="Y146" s="364">
        <f t="shared" si="96"/>
        <v>1421330.8333333333</v>
      </c>
      <c r="Z146" s="364">
        <f t="shared" si="96"/>
        <v>1095513.3333333333</v>
      </c>
      <c r="AA146" s="364">
        <f t="shared" si="96"/>
        <v>729695.83333333337</v>
      </c>
      <c r="AB146" s="364">
        <f t="shared" si="96"/>
        <v>363878.33333333331</v>
      </c>
      <c r="AD146" s="359"/>
      <c r="AE146" s="364">
        <f t="shared" ref="AE146:BZ146" si="97">SUM(AE44,AE95)</f>
        <v>0</v>
      </c>
      <c r="AF146" s="364">
        <f t="shared" si="97"/>
        <v>0</v>
      </c>
      <c r="AG146" s="364">
        <f t="shared" si="97"/>
        <v>0</v>
      </c>
      <c r="AH146" s="364">
        <f t="shared" si="97"/>
        <v>0</v>
      </c>
      <c r="AI146" s="364">
        <f t="shared" si="97"/>
        <v>0</v>
      </c>
      <c r="AJ146" s="364">
        <f t="shared" si="97"/>
        <v>0</v>
      </c>
      <c r="AK146" s="364">
        <f t="shared" si="97"/>
        <v>0</v>
      </c>
      <c r="AL146" s="364">
        <f t="shared" si="97"/>
        <v>0</v>
      </c>
      <c r="AM146" s="364">
        <f t="shared" si="97"/>
        <v>0</v>
      </c>
      <c r="AN146" s="364">
        <f t="shared" si="97"/>
        <v>0</v>
      </c>
      <c r="AO146" s="364">
        <f t="shared" si="97"/>
        <v>0</v>
      </c>
      <c r="AP146" s="364">
        <f>SUM(AR44,AR95)</f>
        <v>0</v>
      </c>
      <c r="AQ146" s="364">
        <f t="shared" si="97"/>
        <v>0</v>
      </c>
      <c r="AR146" s="364">
        <f t="shared" si="97"/>
        <v>0</v>
      </c>
      <c r="AS146" s="364">
        <f t="shared" si="97"/>
        <v>0</v>
      </c>
      <c r="AT146" s="364">
        <f t="shared" si="97"/>
        <v>0</v>
      </c>
      <c r="AU146" s="364">
        <f t="shared" si="97"/>
        <v>0</v>
      </c>
      <c r="AV146" s="364">
        <f t="shared" si="97"/>
        <v>0</v>
      </c>
      <c r="AW146" s="364">
        <f t="shared" si="97"/>
        <v>0</v>
      </c>
      <c r="AX146" s="364">
        <f t="shared" si="97"/>
        <v>0</v>
      </c>
      <c r="AY146" s="364">
        <f t="shared" si="97"/>
        <v>0</v>
      </c>
      <c r="AZ146" s="364">
        <f t="shared" si="97"/>
        <v>0</v>
      </c>
      <c r="BA146" s="364">
        <f t="shared" si="97"/>
        <v>0</v>
      </c>
      <c r="BB146" s="364">
        <f t="shared" si="97"/>
        <v>0</v>
      </c>
      <c r="BC146" s="364">
        <f t="shared" si="97"/>
        <v>0</v>
      </c>
      <c r="BD146" s="364">
        <f t="shared" si="97"/>
        <v>0</v>
      </c>
      <c r="BE146" s="364">
        <f t="shared" si="97"/>
        <v>0</v>
      </c>
      <c r="BF146" s="364">
        <f t="shared" si="97"/>
        <v>0</v>
      </c>
      <c r="BG146" s="364">
        <f t="shared" si="97"/>
        <v>0</v>
      </c>
      <c r="BH146" s="364">
        <f t="shared" si="97"/>
        <v>0</v>
      </c>
      <c r="BI146" s="364">
        <f t="shared" si="97"/>
        <v>0</v>
      </c>
      <c r="BJ146" s="364">
        <f t="shared" si="97"/>
        <v>0</v>
      </c>
      <c r="BK146" s="364">
        <f t="shared" si="97"/>
        <v>0</v>
      </c>
      <c r="BL146" s="364">
        <f t="shared" si="97"/>
        <v>0</v>
      </c>
      <c r="BM146" s="364">
        <f t="shared" si="97"/>
        <v>0</v>
      </c>
      <c r="BN146" s="364">
        <f t="shared" si="97"/>
        <v>41939.166666666664</v>
      </c>
      <c r="BO146" s="364">
        <f t="shared" si="97"/>
        <v>81939.166666666672</v>
      </c>
      <c r="BP146" s="364">
        <f t="shared" si="97"/>
        <v>121939.16666666667</v>
      </c>
      <c r="BQ146" s="364">
        <f t="shared" si="97"/>
        <v>121939.16666666667</v>
      </c>
      <c r="BR146" s="364">
        <f t="shared" si="97"/>
        <v>121939.16666666667</v>
      </c>
      <c r="BS146" s="364">
        <f t="shared" si="97"/>
        <v>121939.16666666667</v>
      </c>
      <c r="BT146" s="364">
        <f t="shared" si="97"/>
        <v>121939.16666666667</v>
      </c>
      <c r="BU146" s="364">
        <f t="shared" si="97"/>
        <v>121939.16666666667</v>
      </c>
      <c r="BV146" s="364">
        <f t="shared" si="97"/>
        <v>121939.16666666667</v>
      </c>
      <c r="BW146" s="364">
        <f t="shared" si="97"/>
        <v>121939.16666666667</v>
      </c>
      <c r="BX146" s="364">
        <f t="shared" si="97"/>
        <v>121939.16666666667</v>
      </c>
      <c r="BY146" s="364">
        <f t="shared" si="97"/>
        <v>121939.16666666667</v>
      </c>
      <c r="BZ146" s="364">
        <f t="shared" si="97"/>
        <v>120000</v>
      </c>
    </row>
    <row r="147" spans="2:78" ht="21" customHeight="1">
      <c r="B147" s="367"/>
      <c r="C147" s="370"/>
      <c r="D147" s="369"/>
      <c r="E147" s="373"/>
      <c r="F147" s="359"/>
      <c r="G147" s="368"/>
      <c r="H147" s="368"/>
      <c r="I147" s="368"/>
      <c r="J147" s="368"/>
      <c r="L147" s="359"/>
      <c r="M147" s="368"/>
      <c r="N147" s="368"/>
      <c r="O147" s="368"/>
      <c r="P147" s="368"/>
      <c r="Q147" s="368"/>
      <c r="R147" s="368"/>
      <c r="S147" s="368"/>
      <c r="T147" s="368"/>
      <c r="U147" s="368"/>
      <c r="V147" s="368"/>
      <c r="W147" s="368"/>
      <c r="X147" s="368"/>
      <c r="Y147" s="368"/>
      <c r="Z147" s="368"/>
      <c r="AA147" s="368"/>
      <c r="AB147" s="368"/>
      <c r="AD147" s="359"/>
      <c r="AE147" s="368"/>
      <c r="AF147" s="368"/>
      <c r="AG147" s="368"/>
      <c r="AH147" s="368"/>
      <c r="AI147" s="368"/>
      <c r="AJ147" s="368"/>
      <c r="AK147" s="368"/>
      <c r="AL147" s="368"/>
      <c r="AM147" s="368"/>
      <c r="AN147" s="368"/>
      <c r="AO147" s="368"/>
      <c r="AP147" s="368"/>
      <c r="AQ147" s="368"/>
      <c r="AR147" s="368"/>
      <c r="AS147" s="368"/>
      <c r="AT147" s="368"/>
      <c r="AU147" s="368"/>
      <c r="AV147" s="368"/>
      <c r="AW147" s="368"/>
      <c r="AX147" s="368"/>
      <c r="AY147" s="368"/>
      <c r="AZ147" s="368"/>
      <c r="BA147" s="368"/>
      <c r="BB147" s="368"/>
      <c r="BC147" s="368"/>
      <c r="BD147" s="368"/>
      <c r="BE147" s="368"/>
      <c r="BF147" s="368"/>
      <c r="BG147" s="368"/>
      <c r="BH147" s="368"/>
      <c r="BI147" s="368"/>
      <c r="BJ147" s="368"/>
      <c r="BK147" s="368"/>
      <c r="BL147" s="368"/>
      <c r="BM147" s="368"/>
      <c r="BN147" s="368"/>
      <c r="BO147" s="368"/>
      <c r="BP147" s="368"/>
      <c r="BQ147" s="368"/>
      <c r="BR147" s="368"/>
      <c r="BS147" s="368"/>
      <c r="BT147" s="368"/>
      <c r="BU147" s="368"/>
      <c r="BV147" s="368"/>
      <c r="BW147" s="368"/>
      <c r="BX147" s="368"/>
      <c r="BY147" s="368"/>
      <c r="BZ147" s="368"/>
    </row>
    <row r="148" spans="2:78" s="51" customFormat="1" ht="24">
      <c r="B148" s="632" t="s">
        <v>422</v>
      </c>
      <c r="C148" s="475"/>
      <c r="D148" s="475"/>
      <c r="E148" s="633"/>
      <c r="F148" s="359"/>
      <c r="G148" s="634"/>
      <c r="H148" s="634"/>
      <c r="I148" s="634"/>
      <c r="J148" s="634"/>
      <c r="L148" s="359"/>
      <c r="M148" s="634"/>
      <c r="N148" s="634"/>
      <c r="O148" s="634"/>
      <c r="P148" s="634"/>
      <c r="Q148" s="634"/>
      <c r="R148" s="634"/>
      <c r="S148" s="634"/>
      <c r="T148" s="634"/>
      <c r="U148" s="634"/>
      <c r="V148" s="634"/>
      <c r="W148" s="634"/>
      <c r="X148" s="634"/>
      <c r="Y148" s="634"/>
      <c r="Z148" s="634"/>
      <c r="AA148" s="634"/>
      <c r="AB148" s="634"/>
      <c r="AD148" s="359"/>
      <c r="AE148" s="634"/>
      <c r="AF148" s="634"/>
      <c r="AG148" s="634"/>
      <c r="AH148" s="634"/>
      <c r="AI148" s="634"/>
      <c r="AJ148" s="634"/>
      <c r="AK148" s="634"/>
      <c r="AL148" s="634"/>
      <c r="AM148" s="634"/>
      <c r="AN148" s="634"/>
      <c r="AO148" s="634"/>
      <c r="AP148" s="634"/>
      <c r="AQ148" s="634"/>
      <c r="AR148" s="634"/>
      <c r="AS148" s="634"/>
      <c r="AT148" s="634"/>
      <c r="AU148" s="634"/>
      <c r="AV148" s="634"/>
      <c r="AW148" s="634"/>
      <c r="AX148" s="634"/>
      <c r="AY148" s="634"/>
      <c r="AZ148" s="634"/>
      <c r="BA148" s="634"/>
      <c r="BB148" s="634"/>
      <c r="BC148" s="634"/>
      <c r="BD148" s="634"/>
      <c r="BE148" s="634"/>
      <c r="BF148" s="634"/>
      <c r="BG148" s="634"/>
      <c r="BH148" s="634"/>
      <c r="BI148" s="634"/>
      <c r="BJ148" s="634"/>
      <c r="BK148" s="634"/>
      <c r="BL148" s="634"/>
      <c r="BM148" s="634"/>
      <c r="BN148" s="634"/>
      <c r="BO148" s="634"/>
      <c r="BP148" s="634"/>
      <c r="BQ148" s="634"/>
      <c r="BR148" s="634"/>
      <c r="BS148" s="634"/>
      <c r="BT148" s="634"/>
      <c r="BU148" s="634"/>
      <c r="BV148" s="634"/>
      <c r="BW148" s="634"/>
      <c r="BX148" s="634"/>
      <c r="BY148" s="634"/>
      <c r="BZ148" s="634"/>
    </row>
    <row r="149" spans="2:78" ht="21" customHeight="1" outlineLevel="1">
      <c r="B149" s="367"/>
      <c r="C149" s="370"/>
      <c r="D149" s="383" t="s">
        <v>423</v>
      </c>
      <c r="E149" s="373"/>
      <c r="F149" s="359"/>
      <c r="G149" s="408">
        <f>INDEX($AE149:$BZ149,MATCH(G$4,$AE$4:$BZ$4,0))</f>
        <v>0</v>
      </c>
      <c r="H149" s="408">
        <f>INDEX($AE149:$BZ149,MATCH(H$4,$AE$4:$BZ$4,0))</f>
        <v>23270</v>
      </c>
      <c r="I149" s="408">
        <f>INDEX($AE149:$BZ149,MATCH(I$4,$AE$4:$BZ$4,0))</f>
        <v>23270</v>
      </c>
      <c r="J149" s="408">
        <f>INDEX($AE149:$BZ149,MATCH(J$4,$AE$4:$BZ$4,0))</f>
        <v>101330.83333333334</v>
      </c>
      <c r="K149" s="521"/>
      <c r="L149" s="359"/>
      <c r="M149" s="408">
        <f t="shared" ref="M149:AB149" si="98">INDEX($AE149:$BZ149,MATCH(M$4,$AE$4:$BZ$4,0))</f>
        <v>0</v>
      </c>
      <c r="N149" s="408">
        <f t="shared" si="98"/>
        <v>16538</v>
      </c>
      <c r="O149" s="408">
        <f t="shared" si="98"/>
        <v>19145</v>
      </c>
      <c r="P149" s="408">
        <f t="shared" si="98"/>
        <v>22162</v>
      </c>
      <c r="Q149" s="408">
        <f t="shared" si="98"/>
        <v>23270</v>
      </c>
      <c r="R149" s="408">
        <f t="shared" si="98"/>
        <v>23270</v>
      </c>
      <c r="S149" s="408">
        <f t="shared" si="98"/>
        <v>23270</v>
      </c>
      <c r="T149" s="408">
        <f t="shared" si="98"/>
        <v>23270</v>
      </c>
      <c r="U149" s="408">
        <f t="shared" si="98"/>
        <v>23270</v>
      </c>
      <c r="V149" s="408">
        <f t="shared" si="98"/>
        <v>23270</v>
      </c>
      <c r="W149" s="408">
        <f t="shared" si="98"/>
        <v>23270</v>
      </c>
      <c r="X149" s="408">
        <f t="shared" si="98"/>
        <v>23270</v>
      </c>
      <c r="Y149" s="408">
        <f t="shared" si="98"/>
        <v>101330.83333333334</v>
      </c>
      <c r="Z149" s="408">
        <f t="shared" si="98"/>
        <v>135513.33333333331</v>
      </c>
      <c r="AA149" s="408">
        <f t="shared" si="98"/>
        <v>129695.83333333327</v>
      </c>
      <c r="AB149" s="408">
        <f t="shared" si="98"/>
        <v>123878.33333333321</v>
      </c>
      <c r="AC149" s="479"/>
      <c r="AD149" s="359"/>
      <c r="AE149" s="520">
        <f>SUMIFS('Data Summary'!L$77:L$105,dataGLBSAcctIDs,$E$155)</f>
        <v>0</v>
      </c>
      <c r="AF149" s="479">
        <f>AE152</f>
        <v>15000</v>
      </c>
      <c r="AG149" s="479">
        <f t="shared" ref="AG149:BZ149" si="99">AF152</f>
        <v>15750</v>
      </c>
      <c r="AH149" s="479">
        <f t="shared" si="99"/>
        <v>16538</v>
      </c>
      <c r="AI149" s="479">
        <f t="shared" si="99"/>
        <v>17365</v>
      </c>
      <c r="AJ149" s="479">
        <f t="shared" si="99"/>
        <v>18233</v>
      </c>
      <c r="AK149" s="479">
        <f t="shared" si="99"/>
        <v>19145</v>
      </c>
      <c r="AL149" s="479">
        <f t="shared" si="99"/>
        <v>20102</v>
      </c>
      <c r="AM149" s="479">
        <f t="shared" si="99"/>
        <v>21107</v>
      </c>
      <c r="AN149" s="479">
        <f t="shared" si="99"/>
        <v>22162</v>
      </c>
      <c r="AO149" s="479">
        <f t="shared" si="99"/>
        <v>23270</v>
      </c>
      <c r="AP149" s="479">
        <f t="shared" si="99"/>
        <v>23270</v>
      </c>
      <c r="AQ149" s="479">
        <f>AR152</f>
        <v>23270</v>
      </c>
      <c r="AR149" s="479">
        <f t="shared" si="99"/>
        <v>23270</v>
      </c>
      <c r="AS149" s="479">
        <f t="shared" si="99"/>
        <v>23270</v>
      </c>
      <c r="AT149" s="479">
        <f t="shared" si="99"/>
        <v>23270</v>
      </c>
      <c r="AU149" s="479">
        <f t="shared" si="99"/>
        <v>23270</v>
      </c>
      <c r="AV149" s="479">
        <f t="shared" si="99"/>
        <v>23270</v>
      </c>
      <c r="AW149" s="479">
        <f t="shared" si="99"/>
        <v>23270</v>
      </c>
      <c r="AX149" s="479">
        <f t="shared" si="99"/>
        <v>23270</v>
      </c>
      <c r="AY149" s="479">
        <f t="shared" si="99"/>
        <v>23270</v>
      </c>
      <c r="AZ149" s="479">
        <f t="shared" si="99"/>
        <v>23270</v>
      </c>
      <c r="BA149" s="479">
        <f t="shared" si="99"/>
        <v>23270</v>
      </c>
      <c r="BB149" s="479">
        <f t="shared" si="99"/>
        <v>23270</v>
      </c>
      <c r="BC149" s="479">
        <f t="shared" si="99"/>
        <v>23270</v>
      </c>
      <c r="BD149" s="479">
        <f t="shared" si="99"/>
        <v>23270</v>
      </c>
      <c r="BE149" s="479">
        <f t="shared" si="99"/>
        <v>23270</v>
      </c>
      <c r="BF149" s="479">
        <f t="shared" si="99"/>
        <v>23270</v>
      </c>
      <c r="BG149" s="479">
        <f t="shared" si="99"/>
        <v>23270</v>
      </c>
      <c r="BH149" s="479">
        <f t="shared" si="99"/>
        <v>23270</v>
      </c>
      <c r="BI149" s="479">
        <f t="shared" si="99"/>
        <v>23270</v>
      </c>
      <c r="BJ149" s="479">
        <f t="shared" si="99"/>
        <v>23270</v>
      </c>
      <c r="BK149" s="479">
        <f t="shared" si="99"/>
        <v>23270</v>
      </c>
      <c r="BL149" s="479">
        <f t="shared" si="99"/>
        <v>23270</v>
      </c>
      <c r="BM149" s="479">
        <f>BL152</f>
        <v>23270</v>
      </c>
      <c r="BN149" s="479">
        <f>BM152</f>
        <v>23270</v>
      </c>
      <c r="BO149" s="479">
        <f t="shared" si="99"/>
        <v>101330.83333333334</v>
      </c>
      <c r="BP149" s="479">
        <f t="shared" si="99"/>
        <v>139391.66666666669</v>
      </c>
      <c r="BQ149" s="479">
        <f t="shared" si="99"/>
        <v>137452.5</v>
      </c>
      <c r="BR149" s="479">
        <f t="shared" si="99"/>
        <v>135513.33333333331</v>
      </c>
      <c r="BS149" s="479">
        <f t="shared" si="99"/>
        <v>133574.16666666663</v>
      </c>
      <c r="BT149" s="479">
        <f t="shared" si="99"/>
        <v>131634.99999999994</v>
      </c>
      <c r="BU149" s="479">
        <f t="shared" si="99"/>
        <v>129695.83333333327</v>
      </c>
      <c r="BV149" s="479">
        <f t="shared" si="99"/>
        <v>127756.66666666658</v>
      </c>
      <c r="BW149" s="479">
        <f t="shared" si="99"/>
        <v>125817.4999999999</v>
      </c>
      <c r="BX149" s="479">
        <f t="shared" si="99"/>
        <v>123878.33333333321</v>
      </c>
      <c r="BY149" s="479">
        <f t="shared" si="99"/>
        <v>121939.16666666653</v>
      </c>
      <c r="BZ149" s="479">
        <f t="shared" si="99"/>
        <v>119999.99999999984</v>
      </c>
    </row>
    <row r="150" spans="2:78" ht="21" customHeight="1" outlineLevel="1">
      <c r="B150" s="367"/>
      <c r="C150" s="370"/>
      <c r="D150" s="383" t="s">
        <v>424</v>
      </c>
      <c r="E150" s="373"/>
      <c r="F150" s="359"/>
      <c r="G150" s="408">
        <f t="shared" ref="G150:J151" si="100">SUMIFS($AE150:$BZ150,$AE$4:$BZ$4,"&gt;="&amp;G$4,$AE$5:$BZ$5,"&lt;="&amp;G$5)</f>
        <v>0</v>
      </c>
      <c r="H150" s="408">
        <f t="shared" si="100"/>
        <v>0</v>
      </c>
      <c r="I150" s="408">
        <f t="shared" si="100"/>
        <v>120000</v>
      </c>
      <c r="J150" s="408">
        <f t="shared" si="100"/>
        <v>1440000</v>
      </c>
      <c r="K150" s="408"/>
      <c r="L150" s="408"/>
      <c r="M150" s="408">
        <f t="shared" ref="M150:AB151" si="101">SUMIFS($AE150:$BZ150,$AE$4:$BZ$4,"&gt;="&amp;M$4,$AE$5:$BZ$5,"&lt;="&amp;M$5)</f>
        <v>0</v>
      </c>
      <c r="N150" s="408">
        <f t="shared" si="101"/>
        <v>0</v>
      </c>
      <c r="O150" s="408">
        <f t="shared" si="101"/>
        <v>0</v>
      </c>
      <c r="P150" s="408">
        <f t="shared" si="101"/>
        <v>0</v>
      </c>
      <c r="Q150" s="408">
        <f t="shared" si="101"/>
        <v>0</v>
      </c>
      <c r="R150" s="408">
        <f t="shared" si="101"/>
        <v>0</v>
      </c>
      <c r="S150" s="408">
        <f t="shared" si="101"/>
        <v>0</v>
      </c>
      <c r="T150" s="408">
        <f t="shared" si="101"/>
        <v>0</v>
      </c>
      <c r="U150" s="408">
        <f t="shared" si="101"/>
        <v>0</v>
      </c>
      <c r="V150" s="408">
        <f t="shared" si="101"/>
        <v>0</v>
      </c>
      <c r="W150" s="408">
        <f t="shared" si="101"/>
        <v>0</v>
      </c>
      <c r="X150" s="408">
        <f t="shared" si="101"/>
        <v>120000</v>
      </c>
      <c r="Y150" s="408">
        <f t="shared" si="101"/>
        <v>360000</v>
      </c>
      <c r="Z150" s="408">
        <f t="shared" si="101"/>
        <v>360000</v>
      </c>
      <c r="AA150" s="408">
        <f t="shared" si="101"/>
        <v>360000</v>
      </c>
      <c r="AB150" s="408">
        <f t="shared" si="101"/>
        <v>360000</v>
      </c>
      <c r="AC150" s="479"/>
      <c r="AD150" s="359"/>
      <c r="AE150" s="479">
        <f t="shared" ref="AE150:AO150" si="102">IF(AE$8&lt;=LatestMonthOfActuals,0,AE$41)</f>
        <v>0</v>
      </c>
      <c r="AF150" s="479">
        <f t="shared" si="102"/>
        <v>0</v>
      </c>
      <c r="AG150" s="479">
        <f t="shared" si="102"/>
        <v>0</v>
      </c>
      <c r="AH150" s="479">
        <f t="shared" si="102"/>
        <v>0</v>
      </c>
      <c r="AI150" s="479">
        <f t="shared" si="102"/>
        <v>0</v>
      </c>
      <c r="AJ150" s="479">
        <f t="shared" si="102"/>
        <v>0</v>
      </c>
      <c r="AK150" s="479">
        <f t="shared" si="102"/>
        <v>0</v>
      </c>
      <c r="AL150" s="479">
        <f t="shared" si="102"/>
        <v>0</v>
      </c>
      <c r="AM150" s="479">
        <f t="shared" si="102"/>
        <v>0</v>
      </c>
      <c r="AN150" s="479">
        <f t="shared" si="102"/>
        <v>0</v>
      </c>
      <c r="AO150" s="479">
        <f t="shared" si="102"/>
        <v>0</v>
      </c>
      <c r="AP150" s="479">
        <f>IF(AR$8&lt;=LatestMonthOfActuals,0,AR$41)</f>
        <v>0</v>
      </c>
      <c r="AQ150" s="479">
        <f t="shared" ref="AQ150:BZ150" si="103">IF(AQ$8&lt;=LatestMonthOfActuals,0,AQ$41)</f>
        <v>0</v>
      </c>
      <c r="AR150" s="479">
        <f t="shared" si="103"/>
        <v>0</v>
      </c>
      <c r="AS150" s="479">
        <f t="shared" si="103"/>
        <v>0</v>
      </c>
      <c r="AT150" s="479">
        <f t="shared" si="103"/>
        <v>0</v>
      </c>
      <c r="AU150" s="479">
        <f t="shared" si="103"/>
        <v>0</v>
      </c>
      <c r="AV150" s="479">
        <f t="shared" si="103"/>
        <v>0</v>
      </c>
      <c r="AW150" s="479">
        <f t="shared" si="103"/>
        <v>0</v>
      </c>
      <c r="AX150" s="479">
        <f t="shared" si="103"/>
        <v>0</v>
      </c>
      <c r="AY150" s="479">
        <f t="shared" si="103"/>
        <v>0</v>
      </c>
      <c r="AZ150" s="479">
        <f t="shared" si="103"/>
        <v>0</v>
      </c>
      <c r="BA150" s="479">
        <f t="shared" si="103"/>
        <v>0</v>
      </c>
      <c r="BB150" s="479">
        <f t="shared" si="103"/>
        <v>0</v>
      </c>
      <c r="BC150" s="479">
        <f t="shared" si="103"/>
        <v>0</v>
      </c>
      <c r="BD150" s="479">
        <f t="shared" si="103"/>
        <v>0</v>
      </c>
      <c r="BE150" s="479">
        <f t="shared" si="103"/>
        <v>0</v>
      </c>
      <c r="BF150" s="479">
        <f t="shared" si="103"/>
        <v>0</v>
      </c>
      <c r="BG150" s="479">
        <f t="shared" si="103"/>
        <v>0</v>
      </c>
      <c r="BH150" s="479">
        <f t="shared" si="103"/>
        <v>0</v>
      </c>
      <c r="BI150" s="479">
        <f t="shared" si="103"/>
        <v>0</v>
      </c>
      <c r="BJ150" s="479">
        <f t="shared" si="103"/>
        <v>0</v>
      </c>
      <c r="BK150" s="479">
        <f t="shared" si="103"/>
        <v>0</v>
      </c>
      <c r="BL150" s="479">
        <f t="shared" si="103"/>
        <v>0</v>
      </c>
      <c r="BM150" s="479">
        <f t="shared" si="103"/>
        <v>0</v>
      </c>
      <c r="BN150" s="479">
        <f>IF(BN$8&lt;=LatestMonthOfActuals,0,BN$41)</f>
        <v>120000</v>
      </c>
      <c r="BO150" s="479">
        <f t="shared" si="103"/>
        <v>120000</v>
      </c>
      <c r="BP150" s="479">
        <f t="shared" si="103"/>
        <v>120000</v>
      </c>
      <c r="BQ150" s="479">
        <f t="shared" si="103"/>
        <v>120000</v>
      </c>
      <c r="BR150" s="479">
        <f t="shared" si="103"/>
        <v>120000</v>
      </c>
      <c r="BS150" s="479">
        <f t="shared" si="103"/>
        <v>120000</v>
      </c>
      <c r="BT150" s="479">
        <f t="shared" si="103"/>
        <v>120000</v>
      </c>
      <c r="BU150" s="479">
        <f t="shared" si="103"/>
        <v>120000</v>
      </c>
      <c r="BV150" s="479">
        <f t="shared" si="103"/>
        <v>120000</v>
      </c>
      <c r="BW150" s="479">
        <f t="shared" si="103"/>
        <v>120000</v>
      </c>
      <c r="BX150" s="479">
        <f t="shared" si="103"/>
        <v>120000</v>
      </c>
      <c r="BY150" s="479">
        <f t="shared" si="103"/>
        <v>120000</v>
      </c>
      <c r="BZ150" s="479">
        <f t="shared" si="103"/>
        <v>120000</v>
      </c>
    </row>
    <row r="151" spans="2:78" ht="21" customHeight="1" outlineLevel="1">
      <c r="B151" s="367"/>
      <c r="C151" s="370"/>
      <c r="D151" s="383" t="s">
        <v>425</v>
      </c>
      <c r="E151" s="373"/>
      <c r="F151" s="359"/>
      <c r="G151" s="408">
        <f t="shared" si="100"/>
        <v>0</v>
      </c>
      <c r="H151" s="408">
        <f t="shared" si="100"/>
        <v>0</v>
      </c>
      <c r="I151" s="408">
        <f t="shared" si="100"/>
        <v>41939.166666666664</v>
      </c>
      <c r="J151" s="408">
        <f t="shared" si="100"/>
        <v>1421330.8333333335</v>
      </c>
      <c r="K151" s="408"/>
      <c r="L151" s="408"/>
      <c r="M151" s="408">
        <f t="shared" si="101"/>
        <v>0</v>
      </c>
      <c r="N151" s="408">
        <f t="shared" si="101"/>
        <v>0</v>
      </c>
      <c r="O151" s="408">
        <f t="shared" si="101"/>
        <v>0</v>
      </c>
      <c r="P151" s="408">
        <f t="shared" si="101"/>
        <v>0</v>
      </c>
      <c r="Q151" s="408">
        <f t="shared" si="101"/>
        <v>0</v>
      </c>
      <c r="R151" s="408">
        <f t="shared" si="101"/>
        <v>0</v>
      </c>
      <c r="S151" s="408">
        <f t="shared" si="101"/>
        <v>0</v>
      </c>
      <c r="T151" s="408">
        <f t="shared" si="101"/>
        <v>0</v>
      </c>
      <c r="U151" s="408">
        <f t="shared" si="101"/>
        <v>0</v>
      </c>
      <c r="V151" s="408">
        <f t="shared" si="101"/>
        <v>0</v>
      </c>
      <c r="W151" s="408">
        <f t="shared" si="101"/>
        <v>0</v>
      </c>
      <c r="X151" s="408">
        <f t="shared" si="101"/>
        <v>41939.166666666664</v>
      </c>
      <c r="Y151" s="408">
        <f t="shared" si="101"/>
        <v>325817.5</v>
      </c>
      <c r="Z151" s="408">
        <f t="shared" si="101"/>
        <v>365817.5</v>
      </c>
      <c r="AA151" s="408">
        <f t="shared" si="101"/>
        <v>365817.5</v>
      </c>
      <c r="AB151" s="408">
        <f t="shared" si="101"/>
        <v>363878.33333333337</v>
      </c>
      <c r="AC151" s="479"/>
      <c r="AD151" s="359"/>
      <c r="AE151" s="479">
        <f>AE$146</f>
        <v>0</v>
      </c>
      <c r="AF151" s="479">
        <f t="shared" ref="AF151:AO151" si="104">AF$146</f>
        <v>0</v>
      </c>
      <c r="AG151" s="479">
        <f t="shared" si="104"/>
        <v>0</v>
      </c>
      <c r="AH151" s="479">
        <f t="shared" si="104"/>
        <v>0</v>
      </c>
      <c r="AI151" s="479">
        <f t="shared" si="104"/>
        <v>0</v>
      </c>
      <c r="AJ151" s="479">
        <f t="shared" si="104"/>
        <v>0</v>
      </c>
      <c r="AK151" s="479">
        <f t="shared" si="104"/>
        <v>0</v>
      </c>
      <c r="AL151" s="479">
        <f t="shared" si="104"/>
        <v>0</v>
      </c>
      <c r="AM151" s="479">
        <f t="shared" si="104"/>
        <v>0</v>
      </c>
      <c r="AN151" s="479">
        <f t="shared" si="104"/>
        <v>0</v>
      </c>
      <c r="AO151" s="479">
        <f t="shared" si="104"/>
        <v>0</v>
      </c>
      <c r="AP151" s="479">
        <f>AR$146</f>
        <v>0</v>
      </c>
      <c r="AQ151" s="479">
        <f t="shared" ref="AQ151:BZ151" si="105">AQ$146</f>
        <v>0</v>
      </c>
      <c r="AR151" s="479">
        <f t="shared" si="105"/>
        <v>0</v>
      </c>
      <c r="AS151" s="479">
        <f t="shared" si="105"/>
        <v>0</v>
      </c>
      <c r="AT151" s="479">
        <f t="shared" si="105"/>
        <v>0</v>
      </c>
      <c r="AU151" s="479">
        <f t="shared" si="105"/>
        <v>0</v>
      </c>
      <c r="AV151" s="479">
        <f t="shared" si="105"/>
        <v>0</v>
      </c>
      <c r="AW151" s="479">
        <f t="shared" si="105"/>
        <v>0</v>
      </c>
      <c r="AX151" s="479">
        <f t="shared" si="105"/>
        <v>0</v>
      </c>
      <c r="AY151" s="479">
        <f t="shared" si="105"/>
        <v>0</v>
      </c>
      <c r="AZ151" s="479">
        <f t="shared" si="105"/>
        <v>0</v>
      </c>
      <c r="BA151" s="479">
        <f t="shared" si="105"/>
        <v>0</v>
      </c>
      <c r="BB151" s="479">
        <f t="shared" si="105"/>
        <v>0</v>
      </c>
      <c r="BC151" s="479">
        <f t="shared" si="105"/>
        <v>0</v>
      </c>
      <c r="BD151" s="479">
        <f t="shared" si="105"/>
        <v>0</v>
      </c>
      <c r="BE151" s="479">
        <f t="shared" si="105"/>
        <v>0</v>
      </c>
      <c r="BF151" s="479">
        <f t="shared" si="105"/>
        <v>0</v>
      </c>
      <c r="BG151" s="479">
        <f t="shared" si="105"/>
        <v>0</v>
      </c>
      <c r="BH151" s="479">
        <f t="shared" si="105"/>
        <v>0</v>
      </c>
      <c r="BI151" s="479">
        <f t="shared" si="105"/>
        <v>0</v>
      </c>
      <c r="BJ151" s="479">
        <f t="shared" si="105"/>
        <v>0</v>
      </c>
      <c r="BK151" s="479">
        <f t="shared" si="105"/>
        <v>0</v>
      </c>
      <c r="BL151" s="479">
        <f t="shared" si="105"/>
        <v>0</v>
      </c>
      <c r="BM151" s="479">
        <f t="shared" si="105"/>
        <v>0</v>
      </c>
      <c r="BN151" s="479">
        <f t="shared" si="105"/>
        <v>41939.166666666664</v>
      </c>
      <c r="BO151" s="479">
        <f t="shared" si="105"/>
        <v>81939.166666666672</v>
      </c>
      <c r="BP151" s="479">
        <f t="shared" si="105"/>
        <v>121939.16666666667</v>
      </c>
      <c r="BQ151" s="479">
        <f t="shared" si="105"/>
        <v>121939.16666666667</v>
      </c>
      <c r="BR151" s="479">
        <f t="shared" si="105"/>
        <v>121939.16666666667</v>
      </c>
      <c r="BS151" s="479">
        <f t="shared" si="105"/>
        <v>121939.16666666667</v>
      </c>
      <c r="BT151" s="479">
        <f t="shared" si="105"/>
        <v>121939.16666666667</v>
      </c>
      <c r="BU151" s="479">
        <f t="shared" si="105"/>
        <v>121939.16666666667</v>
      </c>
      <c r="BV151" s="479">
        <f t="shared" si="105"/>
        <v>121939.16666666667</v>
      </c>
      <c r="BW151" s="479">
        <f t="shared" si="105"/>
        <v>121939.16666666667</v>
      </c>
      <c r="BX151" s="479">
        <f t="shared" si="105"/>
        <v>121939.16666666667</v>
      </c>
      <c r="BY151" s="479">
        <f t="shared" si="105"/>
        <v>121939.16666666667</v>
      </c>
      <c r="BZ151" s="479">
        <f t="shared" si="105"/>
        <v>120000</v>
      </c>
    </row>
    <row r="152" spans="2:78" s="357" customFormat="1" ht="21" customHeight="1" outlineLevel="1">
      <c r="B152" s="367"/>
      <c r="C152" s="370"/>
      <c r="D152" s="365" t="s">
        <v>426</v>
      </c>
      <c r="E152" s="519"/>
      <c r="F152" s="359"/>
      <c r="G152" s="518">
        <f>INDEX($AE152:$BZ152,MATCH(G$5,$AE$5:$BZ$5,0))</f>
        <v>23270</v>
      </c>
      <c r="H152" s="518">
        <f>INDEX($AE152:$BZ152,MATCH(H$5,$AE$5:$BZ$5,0))</f>
        <v>23270</v>
      </c>
      <c r="I152" s="518">
        <f>INDEX($AE152:$BZ152,MATCH(I$5,$AE$5:$BZ$5,0))</f>
        <v>101330.83333333334</v>
      </c>
      <c r="J152" s="518">
        <f>INDEX($AE152:$BZ152,MATCH(J$5,$AE$5:$BZ$5,0))</f>
        <v>119999.99999999983</v>
      </c>
      <c r="L152" s="359"/>
      <c r="M152" s="518">
        <f t="shared" ref="M152:AB152" si="106">INDEX($AE152:$BZ152,MATCH(M$5,$AE$5:$BZ$5,0))</f>
        <v>16538</v>
      </c>
      <c r="N152" s="518">
        <f t="shared" si="106"/>
        <v>19145</v>
      </c>
      <c r="O152" s="518">
        <f t="shared" si="106"/>
        <v>22162</v>
      </c>
      <c r="P152" s="518">
        <f t="shared" si="106"/>
        <v>23270</v>
      </c>
      <c r="Q152" s="518">
        <f t="shared" si="106"/>
        <v>23270</v>
      </c>
      <c r="R152" s="518">
        <f t="shared" si="106"/>
        <v>23270</v>
      </c>
      <c r="S152" s="518">
        <f t="shared" si="106"/>
        <v>23270</v>
      </c>
      <c r="T152" s="518">
        <f t="shared" si="106"/>
        <v>23270</v>
      </c>
      <c r="U152" s="518">
        <f t="shared" si="106"/>
        <v>23270</v>
      </c>
      <c r="V152" s="518">
        <f t="shared" si="106"/>
        <v>23270</v>
      </c>
      <c r="W152" s="518">
        <f t="shared" si="106"/>
        <v>23270</v>
      </c>
      <c r="X152" s="518">
        <f t="shared" si="106"/>
        <v>101330.83333333334</v>
      </c>
      <c r="Y152" s="518">
        <f t="shared" si="106"/>
        <v>135513.33333333331</v>
      </c>
      <c r="Z152" s="518">
        <f t="shared" si="106"/>
        <v>129695.83333333327</v>
      </c>
      <c r="AA152" s="518">
        <f t="shared" si="106"/>
        <v>123878.33333333321</v>
      </c>
      <c r="AB152" s="518">
        <f t="shared" si="106"/>
        <v>119999.99999999983</v>
      </c>
      <c r="AD152" s="359"/>
      <c r="AE152" s="518">
        <f>IF(AE$8&lt;=LatestMonthOfActuals,AE155,AE149+AE150-AE151)</f>
        <v>15000</v>
      </c>
      <c r="AF152" s="518">
        <f t="shared" ref="AF152:BZ152" si="107">IF(AF$8&lt;=LatestMonthOfActuals,AF155,AF149+AF150-AF151)</f>
        <v>15750</v>
      </c>
      <c r="AG152" s="518">
        <f t="shared" si="107"/>
        <v>16538</v>
      </c>
      <c r="AH152" s="518">
        <f t="shared" si="107"/>
        <v>17365</v>
      </c>
      <c r="AI152" s="518">
        <f t="shared" si="107"/>
        <v>18233</v>
      </c>
      <c r="AJ152" s="518">
        <f t="shared" si="107"/>
        <v>19145</v>
      </c>
      <c r="AK152" s="518">
        <f t="shared" si="107"/>
        <v>20102</v>
      </c>
      <c r="AL152" s="518">
        <f t="shared" si="107"/>
        <v>21107</v>
      </c>
      <c r="AM152" s="518">
        <f t="shared" si="107"/>
        <v>22162</v>
      </c>
      <c r="AN152" s="518">
        <f t="shared" si="107"/>
        <v>23270</v>
      </c>
      <c r="AO152" s="518">
        <f t="shared" si="107"/>
        <v>23270</v>
      </c>
      <c r="AP152" s="518">
        <f t="shared" si="107"/>
        <v>23270</v>
      </c>
      <c r="AQ152" s="518">
        <f t="shared" si="107"/>
        <v>23270</v>
      </c>
      <c r="AR152" s="518">
        <f t="shared" si="107"/>
        <v>23270</v>
      </c>
      <c r="AS152" s="518">
        <f t="shared" si="107"/>
        <v>23270</v>
      </c>
      <c r="AT152" s="518">
        <f t="shared" si="107"/>
        <v>23270</v>
      </c>
      <c r="AU152" s="518">
        <f t="shared" si="107"/>
        <v>23270</v>
      </c>
      <c r="AV152" s="518">
        <f t="shared" si="107"/>
        <v>23270</v>
      </c>
      <c r="AW152" s="518">
        <f t="shared" si="107"/>
        <v>23270</v>
      </c>
      <c r="AX152" s="518">
        <f t="shared" si="107"/>
        <v>23270</v>
      </c>
      <c r="AY152" s="518">
        <f t="shared" si="107"/>
        <v>23270</v>
      </c>
      <c r="AZ152" s="518">
        <f t="shared" si="107"/>
        <v>23270</v>
      </c>
      <c r="BA152" s="518">
        <f t="shared" si="107"/>
        <v>23270</v>
      </c>
      <c r="BB152" s="518">
        <f t="shared" si="107"/>
        <v>23270</v>
      </c>
      <c r="BC152" s="518">
        <f t="shared" si="107"/>
        <v>23270</v>
      </c>
      <c r="BD152" s="518">
        <f t="shared" si="107"/>
        <v>23270</v>
      </c>
      <c r="BE152" s="518">
        <f t="shared" si="107"/>
        <v>23270</v>
      </c>
      <c r="BF152" s="518">
        <f t="shared" si="107"/>
        <v>23270</v>
      </c>
      <c r="BG152" s="518">
        <f t="shared" si="107"/>
        <v>23270</v>
      </c>
      <c r="BH152" s="518">
        <f t="shared" si="107"/>
        <v>23270</v>
      </c>
      <c r="BI152" s="518">
        <f t="shared" si="107"/>
        <v>23270</v>
      </c>
      <c r="BJ152" s="518">
        <f t="shared" si="107"/>
        <v>23270</v>
      </c>
      <c r="BK152" s="518">
        <f t="shared" si="107"/>
        <v>23270</v>
      </c>
      <c r="BL152" s="518">
        <f t="shared" si="107"/>
        <v>23270</v>
      </c>
      <c r="BM152" s="518">
        <f t="shared" si="107"/>
        <v>23270</v>
      </c>
      <c r="BN152" s="518">
        <f t="shared" si="107"/>
        <v>101330.83333333334</v>
      </c>
      <c r="BO152" s="518">
        <f t="shared" si="107"/>
        <v>139391.66666666669</v>
      </c>
      <c r="BP152" s="518">
        <f t="shared" si="107"/>
        <v>137452.5</v>
      </c>
      <c r="BQ152" s="518">
        <f t="shared" si="107"/>
        <v>135513.33333333331</v>
      </c>
      <c r="BR152" s="518">
        <f t="shared" si="107"/>
        <v>133574.16666666663</v>
      </c>
      <c r="BS152" s="518">
        <f t="shared" si="107"/>
        <v>131634.99999999994</v>
      </c>
      <c r="BT152" s="518">
        <f t="shared" si="107"/>
        <v>129695.83333333327</v>
      </c>
      <c r="BU152" s="518">
        <f t="shared" si="107"/>
        <v>127756.66666666658</v>
      </c>
      <c r="BV152" s="518">
        <f t="shared" si="107"/>
        <v>125817.4999999999</v>
      </c>
      <c r="BW152" s="518">
        <f t="shared" si="107"/>
        <v>123878.33333333321</v>
      </c>
      <c r="BX152" s="518">
        <f t="shared" si="107"/>
        <v>121939.16666666653</v>
      </c>
      <c r="BY152" s="518">
        <f t="shared" si="107"/>
        <v>119999.99999999984</v>
      </c>
      <c r="BZ152" s="518">
        <f t="shared" si="107"/>
        <v>119999.99999999983</v>
      </c>
    </row>
    <row r="153" spans="2:78" ht="21" customHeight="1">
      <c r="B153" s="367"/>
      <c r="C153" s="370"/>
      <c r="D153" s="369"/>
      <c r="E153" s="373"/>
      <c r="F153" s="359"/>
      <c r="G153" s="368"/>
      <c r="H153" s="368"/>
      <c r="I153" s="368"/>
      <c r="J153" s="368"/>
      <c r="L153" s="359"/>
      <c r="M153" s="368"/>
      <c r="N153" s="368"/>
      <c r="O153" s="368"/>
      <c r="P153" s="368"/>
      <c r="Q153" s="368"/>
      <c r="R153" s="368"/>
      <c r="S153" s="368"/>
      <c r="T153" s="368"/>
      <c r="U153" s="368"/>
      <c r="V153" s="368"/>
      <c r="W153" s="368"/>
      <c r="X153" s="368"/>
      <c r="Y153" s="368"/>
      <c r="Z153" s="368"/>
      <c r="AA153" s="368"/>
      <c r="AB153" s="368"/>
      <c r="AD153" s="359"/>
      <c r="AE153" s="368"/>
      <c r="AF153" s="368"/>
      <c r="AG153" s="368"/>
      <c r="AH153" s="368"/>
      <c r="AI153" s="368"/>
      <c r="AJ153" s="368"/>
      <c r="AK153" s="368"/>
      <c r="AL153" s="368"/>
      <c r="AM153" s="368"/>
      <c r="AN153" s="368"/>
      <c r="AO153" s="368"/>
      <c r="AP153" s="368"/>
      <c r="AQ153" s="368"/>
      <c r="AR153" s="368"/>
      <c r="AS153" s="368"/>
      <c r="AT153" s="368"/>
      <c r="AU153" s="368"/>
      <c r="AV153" s="368"/>
      <c r="AW153" s="368"/>
      <c r="AX153" s="368"/>
      <c r="AY153" s="368"/>
      <c r="AZ153" s="368"/>
      <c r="BA153" s="368"/>
      <c r="BB153" s="368"/>
      <c r="BC153" s="368"/>
      <c r="BD153" s="368"/>
      <c r="BE153" s="368"/>
      <c r="BF153" s="368"/>
      <c r="BG153" s="368"/>
      <c r="BH153" s="368"/>
      <c r="BI153" s="368"/>
      <c r="BJ153" s="368"/>
      <c r="BK153" s="368"/>
      <c r="BL153" s="368"/>
      <c r="BM153" s="368"/>
      <c r="BN153" s="368"/>
      <c r="BO153" s="368"/>
      <c r="BP153" s="368"/>
      <c r="BQ153" s="368"/>
      <c r="BR153" s="368"/>
      <c r="BS153" s="368"/>
      <c r="BT153" s="368"/>
      <c r="BU153" s="368"/>
      <c r="BV153" s="368"/>
      <c r="BW153" s="368"/>
      <c r="BX153" s="368"/>
      <c r="BY153" s="368"/>
      <c r="BZ153" s="368"/>
    </row>
    <row r="154" spans="2:78" s="51" customFormat="1" ht="24" collapsed="1">
      <c r="B154" s="632" t="s">
        <v>49</v>
      </c>
      <c r="C154" s="475"/>
      <c r="D154" s="475"/>
      <c r="E154" s="633"/>
      <c r="F154" s="359"/>
      <c r="G154" s="634"/>
      <c r="H154" s="634"/>
      <c r="I154" s="634"/>
      <c r="J154" s="634"/>
      <c r="L154" s="359"/>
      <c r="M154" s="634"/>
      <c r="N154" s="634"/>
      <c r="O154" s="634"/>
      <c r="P154" s="634"/>
      <c r="Q154" s="634"/>
      <c r="R154" s="634"/>
      <c r="S154" s="634"/>
      <c r="T154" s="634"/>
      <c r="U154" s="634"/>
      <c r="V154" s="634"/>
      <c r="W154" s="634"/>
      <c r="X154" s="634"/>
      <c r="Y154" s="634"/>
      <c r="Z154" s="634"/>
      <c r="AA154" s="634"/>
      <c r="AB154" s="634"/>
      <c r="AD154" s="359"/>
      <c r="AE154" s="634"/>
      <c r="AF154" s="634"/>
      <c r="AG154" s="634"/>
      <c r="AH154" s="634"/>
      <c r="AI154" s="634"/>
      <c r="AJ154" s="634"/>
      <c r="AK154" s="634"/>
      <c r="AL154" s="634"/>
      <c r="AM154" s="634"/>
      <c r="AN154" s="634"/>
      <c r="AO154" s="634"/>
      <c r="AP154" s="634"/>
      <c r="AQ154" s="634"/>
      <c r="AR154" s="634"/>
      <c r="AS154" s="634"/>
      <c r="AT154" s="634"/>
      <c r="AU154" s="634"/>
      <c r="AV154" s="634"/>
      <c r="AW154" s="634"/>
      <c r="AX154" s="634"/>
      <c r="AY154" s="634"/>
      <c r="AZ154" s="634"/>
      <c r="BA154" s="634"/>
      <c r="BB154" s="634"/>
      <c r="BC154" s="634"/>
      <c r="BD154" s="634"/>
      <c r="BE154" s="634"/>
      <c r="BF154" s="634"/>
      <c r="BG154" s="634"/>
      <c r="BH154" s="634"/>
      <c r="BI154" s="634"/>
      <c r="BJ154" s="634"/>
      <c r="BK154" s="634"/>
      <c r="BL154" s="634"/>
      <c r="BM154" s="634"/>
      <c r="BN154" s="634"/>
      <c r="BO154" s="634"/>
      <c r="BP154" s="634"/>
      <c r="BQ154" s="634"/>
      <c r="BR154" s="634"/>
      <c r="BS154" s="634"/>
      <c r="BT154" s="634"/>
      <c r="BU154" s="634"/>
      <c r="BV154" s="634"/>
      <c r="BW154" s="634"/>
      <c r="BX154" s="634"/>
      <c r="BY154" s="634"/>
      <c r="BZ154" s="634"/>
    </row>
    <row r="155" spans="2:78" ht="21" hidden="1" customHeight="1" outlineLevel="1">
      <c r="B155" s="367"/>
      <c r="C155" s="370"/>
      <c r="D155" s="383" t="s">
        <v>427</v>
      </c>
      <c r="E155" s="629">
        <v>158</v>
      </c>
      <c r="F155" s="359"/>
      <c r="G155" s="630">
        <f t="shared" ref="G155:J156" si="108">INDEX($AE155:$BZ155,MATCH(G$5,$AE$5:$BZ$5,0))</f>
        <v>23270</v>
      </c>
      <c r="H155" s="630">
        <f t="shared" si="108"/>
        <v>23270</v>
      </c>
      <c r="I155" s="630">
        <f t="shared" si="108"/>
        <v>101330.83333333334</v>
      </c>
      <c r="J155" s="630">
        <f t="shared" si="108"/>
        <v>119999.99999999983</v>
      </c>
      <c r="K155" s="631"/>
      <c r="L155" s="537"/>
      <c r="M155" s="630">
        <f t="shared" ref="M155:AB156" si="109">INDEX($AE155:$BZ155,MATCH(M$5,$AE$5:$BZ$5,0))</f>
        <v>16538</v>
      </c>
      <c r="N155" s="630">
        <f t="shared" si="109"/>
        <v>19145</v>
      </c>
      <c r="O155" s="630">
        <f t="shared" si="109"/>
        <v>22162</v>
      </c>
      <c r="P155" s="630">
        <f t="shared" si="109"/>
        <v>23270</v>
      </c>
      <c r="Q155" s="630">
        <f t="shared" si="109"/>
        <v>23270</v>
      </c>
      <c r="R155" s="630">
        <f t="shared" si="109"/>
        <v>23270</v>
      </c>
      <c r="S155" s="630">
        <f t="shared" si="109"/>
        <v>23270</v>
      </c>
      <c r="T155" s="630">
        <f t="shared" si="109"/>
        <v>23270</v>
      </c>
      <c r="U155" s="630">
        <f t="shared" si="109"/>
        <v>23270</v>
      </c>
      <c r="V155" s="630">
        <f t="shared" si="109"/>
        <v>23270</v>
      </c>
      <c r="W155" s="630">
        <f t="shared" si="109"/>
        <v>23270</v>
      </c>
      <c r="X155" s="630">
        <f t="shared" si="109"/>
        <v>101330.83333333334</v>
      </c>
      <c r="Y155" s="630">
        <f t="shared" si="109"/>
        <v>135513.33333333331</v>
      </c>
      <c r="Z155" s="630">
        <f t="shared" si="109"/>
        <v>129695.83333333327</v>
      </c>
      <c r="AA155" s="630">
        <f t="shared" si="109"/>
        <v>123878.33333333321</v>
      </c>
      <c r="AB155" s="630">
        <f t="shared" si="109"/>
        <v>119999.99999999983</v>
      </c>
      <c r="AC155" s="479"/>
      <c r="AD155" s="359"/>
      <c r="AE155" s="479">
        <f>IF(AE$8&lt;=LatestMonthOfActuals,SUMIFS('Data Summary'!M$77:M$105,dataGLBSAcctIDs,$E$155),AE152)</f>
        <v>15000</v>
      </c>
      <c r="AF155" s="479">
        <f>IF(AF$8&lt;=LatestMonthOfActuals,SUMIFS('Data Summary'!N$77:N$105,dataGLBSAcctIDs,$E$155),AF152)</f>
        <v>15750</v>
      </c>
      <c r="AG155" s="479">
        <f>IF(AG$8&lt;=LatestMonthOfActuals,SUMIFS('Data Summary'!O$77:O$105,dataGLBSAcctIDs,$E$155),AG152)</f>
        <v>16538</v>
      </c>
      <c r="AH155" s="479">
        <f>IF(AH$8&lt;=LatestMonthOfActuals,SUMIFS('Data Summary'!P$77:P$105,dataGLBSAcctIDs,$E$155),AH152)</f>
        <v>17365</v>
      </c>
      <c r="AI155" s="479">
        <f>IF(AI$8&lt;=LatestMonthOfActuals,SUMIFS('Data Summary'!Q$77:Q$105,dataGLBSAcctIDs,$E$155),AI152)</f>
        <v>18233</v>
      </c>
      <c r="AJ155" s="479">
        <f>IF(AJ$8&lt;=LatestMonthOfActuals,SUMIFS('Data Summary'!R$77:R$105,dataGLBSAcctIDs,$E$155),AJ152)</f>
        <v>19145</v>
      </c>
      <c r="AK155" s="479">
        <f>IF(AK$8&lt;=LatestMonthOfActuals,SUMIFS('Data Summary'!S$77:S$105,dataGLBSAcctIDs,$E$155),AK152)</f>
        <v>20102</v>
      </c>
      <c r="AL155" s="479">
        <f>IF(AL$8&lt;=LatestMonthOfActuals,SUMIFS('Data Summary'!T$77:T$105,dataGLBSAcctIDs,$E$155),AL152)</f>
        <v>21107</v>
      </c>
      <c r="AM155" s="479">
        <f>IF(AM$8&lt;=LatestMonthOfActuals,SUMIFS('Data Summary'!U$77:U$105,dataGLBSAcctIDs,$E$155),AM152)</f>
        <v>22162</v>
      </c>
      <c r="AN155" s="479">
        <f>IF(AN$8&lt;=LatestMonthOfActuals,SUMIFS('Data Summary'!V$77:V$105,dataGLBSAcctIDs,$E$155),AN152)</f>
        <v>23270</v>
      </c>
      <c r="AO155" s="479">
        <f>IF(AO$8&lt;=LatestMonthOfActuals,SUMIFS('Data Summary'!W$77:W$105,dataGLBSAcctIDs,$E$155),AO152)</f>
        <v>23270</v>
      </c>
      <c r="AP155" s="479">
        <f>IF(AP$8&lt;=LatestMonthOfActuals,SUMIFS('Data Summary'!X$77:X$105,dataGLBSAcctIDs,$E$155),AP152)</f>
        <v>23270</v>
      </c>
      <c r="AQ155" s="479">
        <f>IF(AQ$8&lt;=LatestMonthOfActuals,SUMIFS('Data Summary'!Y$77:Y$105,dataGLBSAcctIDs,$E$155),AQ152)</f>
        <v>23270</v>
      </c>
      <c r="AR155" s="479">
        <f>IF(AR$8&lt;=LatestMonthOfActuals,SUMIFS('Data Summary'!Z$77:Z$105,dataGLBSAcctIDs,$E$155),AR152)</f>
        <v>23270</v>
      </c>
      <c r="AS155" s="479">
        <f>IF(AS$8&lt;=LatestMonthOfActuals,SUMIFS('Data Summary'!AA$77:AA$105,dataGLBSAcctIDs,$E$155),AS152)</f>
        <v>23270</v>
      </c>
      <c r="AT155" s="479">
        <f>IF(AT$8&lt;=LatestMonthOfActuals,SUMIFS('Data Summary'!AB$77:AB$105,dataGLBSAcctIDs,$E$155),AT152)</f>
        <v>23270</v>
      </c>
      <c r="AU155" s="479">
        <f>IF(AU$8&lt;=LatestMonthOfActuals,SUMIFS('Data Summary'!AC$77:AC$105,dataGLBSAcctIDs,$E$155),AU152)</f>
        <v>23270</v>
      </c>
      <c r="AV155" s="479">
        <f>IF(AV$8&lt;=LatestMonthOfActuals,SUMIFS('Data Summary'!AD$77:AD$105,dataGLBSAcctIDs,$E$155),AV152)</f>
        <v>23270</v>
      </c>
      <c r="AW155" s="479">
        <f>IF(AW$8&lt;=LatestMonthOfActuals,SUMIFS('Data Summary'!AE$77:AE$105,dataGLBSAcctIDs,$E$155),AW152)</f>
        <v>23270</v>
      </c>
      <c r="AX155" s="479">
        <f>IF(AX$8&lt;=LatestMonthOfActuals,SUMIFS('Data Summary'!AF$77:AF$105,dataGLBSAcctIDs,$E$155),AX152)</f>
        <v>23270</v>
      </c>
      <c r="AY155" s="479">
        <f>IF(AY$8&lt;=LatestMonthOfActuals,SUMIFS('Data Summary'!AG$77:AG$105,dataGLBSAcctIDs,$E$155),AY152)</f>
        <v>23270</v>
      </c>
      <c r="AZ155" s="479">
        <f>IF(AZ$8&lt;=LatestMonthOfActuals,SUMIFS('Data Summary'!AH$77:AH$105,dataGLBSAcctIDs,$E$155),AZ152)</f>
        <v>23270</v>
      </c>
      <c r="BA155" s="479">
        <f>IF(BA$8&lt;=LatestMonthOfActuals,SUMIFS('Data Summary'!AI$77:AI$105,dataGLBSAcctIDs,$E$155),BA152)</f>
        <v>23270</v>
      </c>
      <c r="BB155" s="479">
        <f>IF(BB$8&lt;=LatestMonthOfActuals,SUMIFS('Data Summary'!AJ$77:AJ$105,dataGLBSAcctIDs,$E$155),BB152)</f>
        <v>23270</v>
      </c>
      <c r="BC155" s="479">
        <f>IF(BC$8&lt;=LatestMonthOfActuals,SUMIFS('Data Summary'!AK$77:AK$105,dataGLBSAcctIDs,$E$155),BC152)</f>
        <v>23270</v>
      </c>
      <c r="BD155" s="479">
        <f>IF(BD$8&lt;=LatestMonthOfActuals,SUMIFS('Data Summary'!AL$77:AL$105,dataGLBSAcctIDs,$E$155),BD152)</f>
        <v>23270</v>
      </c>
      <c r="BE155" s="479">
        <f>IF(BE$8&lt;=LatestMonthOfActuals,SUMIFS('Data Summary'!AM$77:AM$105,dataGLBSAcctIDs,$E$155),BE152)</f>
        <v>23270</v>
      </c>
      <c r="BF155" s="479">
        <f>IF(BF$8&lt;=LatestMonthOfActuals,SUMIFS('Data Summary'!AN$77:AN$105,dataGLBSAcctIDs,$E$155),BF152)</f>
        <v>23270</v>
      </c>
      <c r="BG155" s="479">
        <f>IF(BG$8&lt;=LatestMonthOfActuals,SUMIFS('Data Summary'!AO$77:AO$105,dataGLBSAcctIDs,$E$155),BG152)</f>
        <v>23270</v>
      </c>
      <c r="BH155" s="479">
        <f>IF(BH$8&lt;=LatestMonthOfActuals,SUMIFS('Data Summary'!AP$77:AP$105,dataGLBSAcctIDs,$E$155),BH152)</f>
        <v>23270</v>
      </c>
      <c r="BI155" s="479">
        <f>IF(BI$8&lt;=LatestMonthOfActuals,SUMIFS('Data Summary'!AQ$77:AQ$105,dataGLBSAcctIDs,$E$155),BI152)</f>
        <v>23270</v>
      </c>
      <c r="BJ155" s="479">
        <f>IF(BJ$8&lt;=LatestMonthOfActuals,SUMIFS('Data Summary'!AR$77:AR$105,dataGLBSAcctIDs,$E$155),BJ152)</f>
        <v>23270</v>
      </c>
      <c r="BK155" s="479">
        <f>IF(BK$8&lt;=LatestMonthOfActuals,SUMIFS('Data Summary'!AS$77:AS$105,dataGLBSAcctIDs,$E$155),BK152)</f>
        <v>23270</v>
      </c>
      <c r="BL155" s="479">
        <f>IF(BL$8&lt;=LatestMonthOfActuals,SUMIFS('Data Summary'!AT$77:AT$105,dataGLBSAcctIDs,$E$155),BL152)</f>
        <v>23270</v>
      </c>
      <c r="BM155" s="479">
        <f>IF(BM$8&lt;=LatestMonthOfActuals,SUMIFS('Data Summary'!AU$77:AU$105,dataGLBSAcctIDs,$E$155),BM152)</f>
        <v>23270</v>
      </c>
      <c r="BN155" s="479">
        <f>IF(BN$8&lt;=LatestMonthOfActuals,SUMIFS('Data Summary'!AV$77:AV$105,dataGLBSAcctIDs,$E$155),BN152)</f>
        <v>101330.83333333334</v>
      </c>
      <c r="BO155" s="479">
        <f>IF(BO$8&lt;=LatestMonthOfActuals,SUMIFS('Data Summary'!AW$77:AW$105,dataGLBSAcctIDs,$E$155),BO152)</f>
        <v>139391.66666666669</v>
      </c>
      <c r="BP155" s="479">
        <f>IF(BP$8&lt;=LatestMonthOfActuals,SUMIFS('Data Summary'!AX$77:AX$105,dataGLBSAcctIDs,$E$155),BP152)</f>
        <v>137452.5</v>
      </c>
      <c r="BQ155" s="479">
        <f>IF(BQ$8&lt;=LatestMonthOfActuals,SUMIFS('Data Summary'!AY$77:AY$105,dataGLBSAcctIDs,$E$155),BQ152)</f>
        <v>135513.33333333331</v>
      </c>
      <c r="BR155" s="479">
        <f>IF(BR$8&lt;=LatestMonthOfActuals,SUMIFS('Data Summary'!AZ$77:AZ$105,dataGLBSAcctIDs,$E$155),BR152)</f>
        <v>133574.16666666663</v>
      </c>
      <c r="BS155" s="479">
        <f>IF(BS$8&lt;=LatestMonthOfActuals,SUMIFS('Data Summary'!BA$77:BA$105,dataGLBSAcctIDs,$E$155),BS152)</f>
        <v>131634.99999999994</v>
      </c>
      <c r="BT155" s="479">
        <f>IF(BT$8&lt;=LatestMonthOfActuals,SUMIFS('Data Summary'!BB$77:BB$105,dataGLBSAcctIDs,$E$155),BT152)</f>
        <v>129695.83333333327</v>
      </c>
      <c r="BU155" s="479">
        <f>IF(BU$8&lt;=LatestMonthOfActuals,SUMIFS('Data Summary'!BC$77:BC$105,dataGLBSAcctIDs,$E$155),BU152)</f>
        <v>127756.66666666658</v>
      </c>
      <c r="BV155" s="479">
        <f>IF(BV$8&lt;=LatestMonthOfActuals,SUMIFS('Data Summary'!BD$77:BD$105,dataGLBSAcctIDs,$E$155),BV152)</f>
        <v>125817.4999999999</v>
      </c>
      <c r="BW155" s="479">
        <f>IF(BW$8&lt;=LatestMonthOfActuals,SUMIFS('Data Summary'!BE$77:BE$105,dataGLBSAcctIDs,$E$155),BW152)</f>
        <v>123878.33333333321</v>
      </c>
      <c r="BX155" s="479">
        <f>IF(BX$8&lt;=LatestMonthOfActuals,SUMIFS('Data Summary'!BF$77:BF$105,dataGLBSAcctIDs,$E$155),BX152)</f>
        <v>121939.16666666653</v>
      </c>
      <c r="BY155" s="479">
        <f>IF(BY$8&lt;=LatestMonthOfActuals,SUMIFS('Data Summary'!BG$77:BG$105,dataGLBSAcctIDs,$E$155),BY152)</f>
        <v>119999.99999999984</v>
      </c>
      <c r="BZ155" s="479">
        <f>IF(BZ$8&lt;=LatestMonthOfActuals,SUMIFS('Data Summary'!BH$77:BH$105,dataGLBSAcctIDs,$E$155),BZ152)</f>
        <v>119999.99999999983</v>
      </c>
    </row>
    <row r="156" spans="2:78" ht="21" hidden="1" customHeight="1" outlineLevel="1">
      <c r="B156" s="367"/>
      <c r="C156" s="370"/>
      <c r="D156" s="383" t="s">
        <v>98</v>
      </c>
      <c r="E156" s="629">
        <v>199</v>
      </c>
      <c r="F156" s="359"/>
      <c r="G156" s="630">
        <f t="shared" si="108"/>
        <v>0</v>
      </c>
      <c r="H156" s="630">
        <f t="shared" si="108"/>
        <v>0</v>
      </c>
      <c r="I156" s="630">
        <f t="shared" si="108"/>
        <v>41939.166666666664</v>
      </c>
      <c r="J156" s="630">
        <f t="shared" si="108"/>
        <v>120000</v>
      </c>
      <c r="K156" s="631"/>
      <c r="L156" s="537"/>
      <c r="M156" s="630">
        <f t="shared" si="109"/>
        <v>0</v>
      </c>
      <c r="N156" s="630">
        <f t="shared" si="109"/>
        <v>0</v>
      </c>
      <c r="O156" s="630">
        <f t="shared" si="109"/>
        <v>0</v>
      </c>
      <c r="P156" s="630">
        <f t="shared" si="109"/>
        <v>0</v>
      </c>
      <c r="Q156" s="630">
        <f t="shared" si="109"/>
        <v>0</v>
      </c>
      <c r="R156" s="630">
        <f t="shared" si="109"/>
        <v>0</v>
      </c>
      <c r="S156" s="630">
        <f t="shared" si="109"/>
        <v>0</v>
      </c>
      <c r="T156" s="630">
        <f t="shared" si="109"/>
        <v>0</v>
      </c>
      <c r="U156" s="630">
        <f t="shared" si="109"/>
        <v>0</v>
      </c>
      <c r="V156" s="630">
        <f t="shared" si="109"/>
        <v>0</v>
      </c>
      <c r="W156" s="630">
        <f t="shared" si="109"/>
        <v>0</v>
      </c>
      <c r="X156" s="630">
        <f t="shared" si="109"/>
        <v>41939.166666666664</v>
      </c>
      <c r="Y156" s="630">
        <f t="shared" si="109"/>
        <v>121939.16666666667</v>
      </c>
      <c r="Z156" s="630">
        <f t="shared" si="109"/>
        <v>121939.16666666667</v>
      </c>
      <c r="AA156" s="630">
        <f t="shared" si="109"/>
        <v>121939.16666666667</v>
      </c>
      <c r="AB156" s="630">
        <f t="shared" si="109"/>
        <v>120000</v>
      </c>
      <c r="AC156" s="479"/>
      <c r="AD156" s="359"/>
      <c r="AE156" s="479">
        <f>AE151</f>
        <v>0</v>
      </c>
      <c r="AF156" s="479">
        <f t="shared" ref="AF156:BM156" si="110">AF151</f>
        <v>0</v>
      </c>
      <c r="AG156" s="479">
        <f t="shared" si="110"/>
        <v>0</v>
      </c>
      <c r="AH156" s="479">
        <f t="shared" si="110"/>
        <v>0</v>
      </c>
      <c r="AI156" s="479">
        <f t="shared" si="110"/>
        <v>0</v>
      </c>
      <c r="AJ156" s="479">
        <f t="shared" si="110"/>
        <v>0</v>
      </c>
      <c r="AK156" s="479">
        <f t="shared" si="110"/>
        <v>0</v>
      </c>
      <c r="AL156" s="479">
        <f t="shared" si="110"/>
        <v>0</v>
      </c>
      <c r="AM156" s="479">
        <f t="shared" si="110"/>
        <v>0</v>
      </c>
      <c r="AN156" s="479">
        <f t="shared" si="110"/>
        <v>0</v>
      </c>
      <c r="AO156" s="479">
        <f t="shared" si="110"/>
        <v>0</v>
      </c>
      <c r="AP156" s="479">
        <f t="shared" si="110"/>
        <v>0</v>
      </c>
      <c r="AQ156" s="479">
        <f t="shared" si="110"/>
        <v>0</v>
      </c>
      <c r="AR156" s="479">
        <f t="shared" si="110"/>
        <v>0</v>
      </c>
      <c r="AS156" s="479">
        <f t="shared" si="110"/>
        <v>0</v>
      </c>
      <c r="AT156" s="479">
        <f t="shared" si="110"/>
        <v>0</v>
      </c>
      <c r="AU156" s="479">
        <f t="shared" si="110"/>
        <v>0</v>
      </c>
      <c r="AV156" s="479">
        <f t="shared" si="110"/>
        <v>0</v>
      </c>
      <c r="AW156" s="479">
        <f t="shared" si="110"/>
        <v>0</v>
      </c>
      <c r="AX156" s="479">
        <f t="shared" si="110"/>
        <v>0</v>
      </c>
      <c r="AY156" s="479">
        <f t="shared" si="110"/>
        <v>0</v>
      </c>
      <c r="AZ156" s="479">
        <f t="shared" si="110"/>
        <v>0</v>
      </c>
      <c r="BA156" s="479">
        <f t="shared" si="110"/>
        <v>0</v>
      </c>
      <c r="BB156" s="479">
        <f t="shared" si="110"/>
        <v>0</v>
      </c>
      <c r="BC156" s="479">
        <f t="shared" si="110"/>
        <v>0</v>
      </c>
      <c r="BD156" s="479">
        <f t="shared" si="110"/>
        <v>0</v>
      </c>
      <c r="BE156" s="479">
        <f t="shared" si="110"/>
        <v>0</v>
      </c>
      <c r="BF156" s="479">
        <f t="shared" si="110"/>
        <v>0</v>
      </c>
      <c r="BG156" s="479">
        <f t="shared" si="110"/>
        <v>0</v>
      </c>
      <c r="BH156" s="479">
        <f t="shared" si="110"/>
        <v>0</v>
      </c>
      <c r="BI156" s="479">
        <f t="shared" si="110"/>
        <v>0</v>
      </c>
      <c r="BJ156" s="479">
        <f t="shared" si="110"/>
        <v>0</v>
      </c>
      <c r="BK156" s="479">
        <f t="shared" si="110"/>
        <v>0</v>
      </c>
      <c r="BL156" s="479">
        <f t="shared" si="110"/>
        <v>0</v>
      </c>
      <c r="BM156" s="479">
        <f t="shared" si="110"/>
        <v>0</v>
      </c>
      <c r="BN156" s="479">
        <f>BN151</f>
        <v>41939.166666666664</v>
      </c>
      <c r="BO156" s="479">
        <f t="shared" ref="BO156:BZ156" si="111">BO151</f>
        <v>81939.166666666672</v>
      </c>
      <c r="BP156" s="479">
        <f t="shared" si="111"/>
        <v>121939.16666666667</v>
      </c>
      <c r="BQ156" s="479">
        <f t="shared" si="111"/>
        <v>121939.16666666667</v>
      </c>
      <c r="BR156" s="479">
        <f t="shared" si="111"/>
        <v>121939.16666666667</v>
      </c>
      <c r="BS156" s="479">
        <f t="shared" si="111"/>
        <v>121939.16666666667</v>
      </c>
      <c r="BT156" s="479">
        <f t="shared" si="111"/>
        <v>121939.16666666667</v>
      </c>
      <c r="BU156" s="479">
        <f t="shared" si="111"/>
        <v>121939.16666666667</v>
      </c>
      <c r="BV156" s="479">
        <f t="shared" si="111"/>
        <v>121939.16666666667</v>
      </c>
      <c r="BW156" s="479">
        <f t="shared" si="111"/>
        <v>121939.16666666667</v>
      </c>
      <c r="BX156" s="479">
        <f t="shared" si="111"/>
        <v>121939.16666666667</v>
      </c>
      <c r="BY156" s="479">
        <f t="shared" si="111"/>
        <v>121939.16666666667</v>
      </c>
      <c r="BZ156" s="479">
        <f t="shared" si="111"/>
        <v>120000</v>
      </c>
    </row>
    <row r="157" spans="2:78" ht="9" hidden="1" customHeight="1" outlineLevel="1">
      <c r="B157" s="367"/>
      <c r="C157" s="370"/>
      <c r="F157" s="359"/>
      <c r="G157" s="368"/>
      <c r="H157" s="368"/>
      <c r="I157" s="368"/>
      <c r="J157" s="368"/>
      <c r="L157" s="359"/>
      <c r="M157" s="368"/>
      <c r="N157" s="368"/>
      <c r="O157" s="368"/>
      <c r="P157" s="368"/>
      <c r="Q157" s="368"/>
      <c r="R157" s="368"/>
      <c r="S157" s="368"/>
      <c r="T157" s="368"/>
      <c r="U157" s="368"/>
      <c r="V157" s="368"/>
      <c r="W157" s="368"/>
      <c r="X157" s="368"/>
      <c r="Y157" s="368"/>
      <c r="Z157" s="368"/>
      <c r="AA157" s="368"/>
      <c r="AB157" s="368"/>
      <c r="AD157" s="359"/>
      <c r="AE157" s="368"/>
      <c r="AF157" s="368"/>
      <c r="AG157" s="368"/>
      <c r="AH157" s="368"/>
      <c r="AI157" s="368"/>
      <c r="AJ157" s="368"/>
      <c r="AK157" s="368"/>
      <c r="AL157" s="368"/>
      <c r="AM157" s="368"/>
      <c r="AN157" s="368"/>
      <c r="AO157" s="368"/>
      <c r="AP157" s="368"/>
      <c r="AQ157" s="368"/>
      <c r="AR157" s="368"/>
      <c r="AS157" s="368"/>
      <c r="AT157" s="368"/>
      <c r="AU157" s="368"/>
      <c r="AV157" s="368"/>
      <c r="AW157" s="368"/>
      <c r="AX157" s="368"/>
      <c r="AY157" s="368"/>
      <c r="AZ157" s="368"/>
      <c r="BA157" s="368"/>
      <c r="BB157" s="368"/>
      <c r="BC157" s="368"/>
      <c r="BD157" s="368"/>
      <c r="BE157" s="368"/>
      <c r="BF157" s="368"/>
      <c r="BG157" s="368"/>
      <c r="BH157" s="368"/>
      <c r="BI157" s="368"/>
      <c r="BJ157" s="368"/>
      <c r="BK157" s="368"/>
      <c r="BL157" s="368"/>
      <c r="BM157" s="368"/>
      <c r="BN157" s="368"/>
      <c r="BO157" s="368"/>
      <c r="BP157" s="368"/>
      <c r="BQ157" s="368"/>
      <c r="BR157" s="368"/>
      <c r="BS157" s="368"/>
      <c r="BT157" s="368"/>
      <c r="BU157" s="368"/>
      <c r="BV157" s="368"/>
      <c r="BW157" s="368"/>
      <c r="BX157" s="368"/>
      <c r="BY157" s="368"/>
      <c r="BZ157" s="368"/>
    </row>
    <row r="158" spans="2:78" ht="21" customHeight="1">
      <c r="B158" s="367"/>
      <c r="C158" s="370"/>
      <c r="F158" s="359"/>
      <c r="L158" s="359"/>
      <c r="AD158" s="359"/>
      <c r="AE158" s="368"/>
      <c r="AF158" s="368"/>
      <c r="AG158" s="368"/>
      <c r="AH158" s="368"/>
      <c r="AI158" s="368"/>
      <c r="AJ158" s="368"/>
      <c r="AK158" s="368"/>
      <c r="AL158" s="368"/>
      <c r="AM158" s="368"/>
      <c r="AN158" s="368"/>
      <c r="AO158" s="368"/>
      <c r="AP158" s="368"/>
      <c r="AQ158" s="368"/>
      <c r="AR158" s="368"/>
      <c r="AS158" s="368"/>
      <c r="AT158" s="368"/>
      <c r="AU158" s="368"/>
      <c r="AV158" s="368"/>
      <c r="AW158" s="368"/>
      <c r="AX158" s="368"/>
      <c r="AY158" s="368"/>
      <c r="AZ158" s="368"/>
      <c r="BA158" s="368"/>
      <c r="BB158" s="368"/>
      <c r="BC158" s="368"/>
      <c r="BD158" s="368"/>
      <c r="BE158" s="368"/>
      <c r="BF158" s="368"/>
      <c r="BG158" s="368"/>
      <c r="BH158" s="368"/>
      <c r="BI158" s="368"/>
      <c r="BJ158" s="368"/>
      <c r="BK158" s="368"/>
      <c r="BL158" s="368"/>
      <c r="BM158" s="368"/>
      <c r="BN158" s="368"/>
      <c r="BO158" s="368"/>
      <c r="BP158" s="368"/>
      <c r="BQ158" s="368"/>
      <c r="BR158" s="368"/>
      <c r="BS158" s="368"/>
      <c r="BT158" s="368"/>
      <c r="BU158" s="368"/>
      <c r="BV158" s="368"/>
      <c r="BW158" s="368"/>
      <c r="BX158" s="368"/>
      <c r="BY158" s="368"/>
      <c r="BZ158" s="368"/>
    </row>
    <row r="159" spans="2:78" s="517" customFormat="1" ht="21" customHeight="1">
      <c r="B159" s="367"/>
      <c r="C159" s="370"/>
      <c r="F159" s="359"/>
      <c r="L159" s="359"/>
      <c r="AD159" s="359"/>
    </row>
    <row r="160" spans="2:78">
      <c r="F160" s="359"/>
      <c r="L160" s="359"/>
      <c r="AD160" s="359"/>
    </row>
    <row r="161" spans="6:30">
      <c r="F161" s="359"/>
      <c r="L161" s="359"/>
      <c r="AD161" s="359"/>
    </row>
    <row r="162" spans="6:30">
      <c r="F162" s="359"/>
      <c r="L162" s="359"/>
      <c r="AD162" s="359"/>
    </row>
    <row r="163" spans="6:30">
      <c r="F163" s="359"/>
      <c r="L163" s="359"/>
      <c r="AD163" s="359"/>
    </row>
    <row r="164" spans="6:30">
      <c r="F164" s="359"/>
      <c r="L164" s="359"/>
      <c r="AD164" s="359"/>
    </row>
    <row r="165" spans="6:30">
      <c r="F165" s="359"/>
      <c r="L165" s="359"/>
      <c r="AD165" s="359"/>
    </row>
    <row r="166" spans="6:30">
      <c r="F166" s="359"/>
      <c r="L166" s="359"/>
      <c r="AD166" s="359"/>
    </row>
    <row r="167" spans="6:30">
      <c r="F167" s="359"/>
      <c r="L167" s="359"/>
      <c r="AD167" s="359"/>
    </row>
    <row r="168" spans="6:30">
      <c r="F168" s="359"/>
      <c r="L168" s="359"/>
      <c r="AD168" s="359"/>
    </row>
    <row r="169" spans="6:30">
      <c r="F169" s="359"/>
      <c r="L169" s="359"/>
      <c r="AD169" s="359"/>
    </row>
    <row r="170" spans="6:30">
      <c r="F170" s="359"/>
      <c r="L170" s="359"/>
      <c r="AD170" s="359"/>
    </row>
    <row r="171" spans="6:30">
      <c r="F171" s="359"/>
      <c r="L171" s="359"/>
      <c r="AD171" s="359"/>
    </row>
    <row r="172" spans="6:30">
      <c r="F172" s="359"/>
      <c r="L172" s="359"/>
      <c r="AD172" s="359"/>
    </row>
    <row r="173" spans="6:30">
      <c r="F173" s="359"/>
      <c r="L173" s="359"/>
      <c r="AD173" s="359"/>
    </row>
    <row r="174" spans="6:30">
      <c r="F174" s="359"/>
      <c r="L174" s="359"/>
      <c r="AD174" s="359"/>
    </row>
    <row r="175" spans="6:30">
      <c r="F175" s="359"/>
      <c r="L175" s="359"/>
      <c r="AD175" s="359"/>
    </row>
    <row r="176" spans="6:30">
      <c r="F176" s="359"/>
      <c r="L176" s="359"/>
      <c r="AD176" s="359"/>
    </row>
    <row r="177" spans="6:30">
      <c r="F177" s="359"/>
      <c r="L177" s="359"/>
      <c r="AD177" s="359"/>
    </row>
    <row r="178" spans="6:30">
      <c r="F178" s="359"/>
      <c r="L178" s="359"/>
      <c r="AD178" s="359"/>
    </row>
    <row r="179" spans="6:30">
      <c r="F179" s="359"/>
      <c r="L179" s="359"/>
      <c r="AD179" s="359"/>
    </row>
    <row r="180" spans="6:30">
      <c r="F180" s="359"/>
      <c r="L180" s="359"/>
      <c r="AD180" s="359"/>
    </row>
    <row r="181" spans="6:30">
      <c r="F181" s="359"/>
      <c r="L181" s="359"/>
      <c r="AD181" s="359"/>
    </row>
    <row r="182" spans="6:30">
      <c r="F182" s="359"/>
      <c r="L182" s="359"/>
      <c r="AD182" s="359"/>
    </row>
    <row r="183" spans="6:30">
      <c r="F183" s="359"/>
      <c r="L183" s="359"/>
      <c r="AD183" s="359"/>
    </row>
    <row r="184" spans="6:30">
      <c r="F184" s="359"/>
      <c r="L184" s="359"/>
      <c r="AD184" s="359"/>
    </row>
    <row r="185" spans="6:30">
      <c r="F185" s="359"/>
      <c r="L185" s="359"/>
      <c r="AD185" s="359"/>
    </row>
    <row r="186" spans="6:30">
      <c r="F186" s="359"/>
      <c r="L186" s="359"/>
      <c r="AD186" s="359"/>
    </row>
    <row r="187" spans="6:30">
      <c r="F187" s="359"/>
      <c r="L187" s="359"/>
      <c r="AD187" s="359"/>
    </row>
    <row r="188" spans="6:30">
      <c r="F188" s="359"/>
      <c r="L188" s="359"/>
      <c r="AD188" s="359"/>
    </row>
    <row r="189" spans="6:30">
      <c r="F189" s="359"/>
      <c r="L189" s="359"/>
      <c r="AD189" s="359"/>
    </row>
    <row r="190" spans="6:30">
      <c r="F190" s="359"/>
      <c r="L190" s="359"/>
      <c r="AD190" s="359"/>
    </row>
    <row r="191" spans="6:30">
      <c r="F191" s="359"/>
      <c r="L191" s="359"/>
      <c r="AD191" s="359"/>
    </row>
    <row r="192" spans="6:30">
      <c r="F192" s="359"/>
      <c r="L192" s="359"/>
      <c r="AD192" s="359"/>
    </row>
    <row r="193" spans="6:30">
      <c r="F193" s="359"/>
      <c r="L193" s="359"/>
      <c r="AD193" s="359"/>
    </row>
    <row r="194" spans="6:30">
      <c r="F194" s="359"/>
      <c r="L194" s="359"/>
      <c r="AD194" s="359"/>
    </row>
    <row r="195" spans="6:30">
      <c r="F195" s="359"/>
      <c r="L195" s="359"/>
      <c r="AD195" s="359"/>
    </row>
    <row r="196" spans="6:30">
      <c r="F196" s="359"/>
      <c r="L196" s="359"/>
      <c r="AD196" s="359"/>
    </row>
    <row r="197" spans="6:30">
      <c r="F197" s="359"/>
      <c r="L197" s="359"/>
      <c r="AD197" s="359"/>
    </row>
    <row r="198" spans="6:30">
      <c r="F198" s="359"/>
      <c r="L198" s="359"/>
      <c r="AD198" s="359"/>
    </row>
    <row r="199" spans="6:30">
      <c r="F199" s="359"/>
      <c r="L199" s="359"/>
      <c r="AD199" s="359"/>
    </row>
    <row r="200" spans="6:30">
      <c r="F200" s="359"/>
      <c r="L200" s="359"/>
      <c r="AD200" s="359"/>
    </row>
    <row r="201" spans="6:30">
      <c r="F201" s="359"/>
      <c r="L201" s="359"/>
      <c r="AD201" s="359"/>
    </row>
    <row r="202" spans="6:30">
      <c r="F202" s="359"/>
      <c r="L202" s="359"/>
      <c r="AD202" s="359"/>
    </row>
    <row r="203" spans="6:30">
      <c r="F203" s="359"/>
      <c r="L203" s="359"/>
      <c r="AD203" s="359"/>
    </row>
    <row r="204" spans="6:30">
      <c r="F204" s="359"/>
      <c r="L204" s="359"/>
      <c r="AD204" s="359"/>
    </row>
    <row r="205" spans="6:30">
      <c r="F205" s="359"/>
      <c r="L205" s="359"/>
      <c r="AD205" s="359"/>
    </row>
    <row r="206" spans="6:30">
      <c r="F206" s="359"/>
      <c r="L206" s="359"/>
      <c r="AD206" s="359"/>
    </row>
    <row r="207" spans="6:30">
      <c r="F207" s="359"/>
      <c r="L207" s="359"/>
      <c r="AD207" s="359"/>
    </row>
    <row r="208" spans="6:30">
      <c r="F208" s="359"/>
      <c r="L208" s="359"/>
      <c r="AD208" s="359"/>
    </row>
    <row r="209" spans="6:30">
      <c r="F209" s="434"/>
      <c r="L209" s="434"/>
      <c r="AD209" s="434"/>
    </row>
    <row r="210" spans="6:30">
      <c r="F210" s="434"/>
      <c r="L210" s="434"/>
      <c r="AD210" s="434"/>
    </row>
    <row r="211" spans="6:30">
      <c r="F211" s="434"/>
      <c r="L211" s="434"/>
      <c r="AD211" s="434"/>
    </row>
    <row r="212" spans="6:30">
      <c r="F212" s="434"/>
      <c r="L212" s="434"/>
      <c r="AD212" s="434"/>
    </row>
    <row r="213" spans="6:30">
      <c r="F213" s="434"/>
      <c r="L213" s="434"/>
      <c r="AD213" s="434"/>
    </row>
    <row r="214" spans="6:30">
      <c r="F214" s="434"/>
      <c r="L214" s="434"/>
      <c r="AD214" s="434"/>
    </row>
    <row r="215" spans="6:30">
      <c r="F215" s="434"/>
      <c r="L215" s="434"/>
      <c r="AD215" s="434"/>
    </row>
    <row r="216" spans="6:30">
      <c r="F216" s="434"/>
      <c r="L216" s="434"/>
      <c r="AD216" s="434"/>
    </row>
    <row r="217" spans="6:30">
      <c r="F217" s="434"/>
      <c r="L217" s="434"/>
      <c r="AD217" s="434"/>
    </row>
    <row r="218" spans="6:30">
      <c r="F218" s="434"/>
      <c r="L218" s="434"/>
      <c r="AD218" s="434"/>
    </row>
    <row r="219" spans="6:30">
      <c r="F219" s="434"/>
      <c r="L219" s="434"/>
      <c r="AD219" s="434"/>
    </row>
    <row r="220" spans="6:30">
      <c r="F220" s="434"/>
      <c r="L220" s="434"/>
      <c r="AD220" s="434"/>
    </row>
    <row r="221" spans="6:30">
      <c r="F221" s="434"/>
      <c r="L221" s="434"/>
      <c r="AD221" s="434"/>
    </row>
    <row r="222" spans="6:30">
      <c r="F222" s="434"/>
      <c r="L222" s="434"/>
      <c r="AD222" s="434"/>
    </row>
    <row r="223" spans="6:30">
      <c r="F223" s="434"/>
      <c r="L223" s="434"/>
      <c r="AD223" s="434"/>
    </row>
    <row r="224" spans="6:30">
      <c r="F224" s="434"/>
      <c r="L224" s="434"/>
      <c r="AD224" s="434"/>
    </row>
    <row r="225" spans="6:30">
      <c r="F225" s="434"/>
      <c r="L225" s="434"/>
      <c r="AD225" s="434"/>
    </row>
    <row r="226" spans="6:30">
      <c r="F226" s="434"/>
      <c r="L226" s="434"/>
      <c r="AD226" s="434"/>
    </row>
    <row r="227" spans="6:30">
      <c r="F227" s="434"/>
      <c r="L227" s="434"/>
      <c r="AD227" s="434"/>
    </row>
    <row r="228" spans="6:30">
      <c r="F228" s="434"/>
      <c r="L228" s="434"/>
      <c r="AD228" s="434"/>
    </row>
    <row r="229" spans="6:30">
      <c r="F229" s="434"/>
      <c r="L229" s="434"/>
      <c r="AD229" s="434"/>
    </row>
    <row r="230" spans="6:30">
      <c r="F230" s="434"/>
      <c r="L230" s="434"/>
      <c r="AD230" s="434"/>
    </row>
    <row r="231" spans="6:30">
      <c r="F231" s="434"/>
      <c r="L231" s="434"/>
      <c r="AD231" s="434"/>
    </row>
    <row r="232" spans="6:30">
      <c r="F232" s="434"/>
      <c r="L232" s="434"/>
      <c r="AD232" s="434"/>
    </row>
    <row r="233" spans="6:30">
      <c r="F233" s="434"/>
      <c r="L233" s="434"/>
      <c r="AD233" s="434"/>
    </row>
    <row r="234" spans="6:30">
      <c r="F234" s="434"/>
      <c r="L234" s="434"/>
      <c r="AD234" s="434"/>
    </row>
    <row r="235" spans="6:30">
      <c r="F235" s="434"/>
      <c r="L235" s="434"/>
      <c r="AD235" s="434"/>
    </row>
    <row r="236" spans="6:30">
      <c r="F236" s="431"/>
      <c r="L236" s="431"/>
      <c r="AD236" s="431"/>
    </row>
    <row r="237" spans="6:30">
      <c r="F237" s="434"/>
      <c r="L237" s="434"/>
      <c r="AD237" s="434"/>
    </row>
    <row r="238" spans="6:30">
      <c r="F238" s="431"/>
      <c r="L238" s="431"/>
      <c r="AD238" s="431"/>
    </row>
    <row r="239" spans="6:30">
      <c r="F239" s="431"/>
      <c r="L239" s="431"/>
      <c r="AD239" s="431"/>
    </row>
    <row r="240" spans="6:30">
      <c r="F240" s="431"/>
      <c r="L240" s="431"/>
      <c r="AD240" s="431"/>
    </row>
    <row r="241" spans="6:30">
      <c r="F241" s="431"/>
      <c r="L241" s="431"/>
      <c r="AD241" s="431"/>
    </row>
    <row r="242" spans="6:30">
      <c r="F242" s="431"/>
      <c r="L242" s="431"/>
      <c r="AD242" s="431"/>
    </row>
    <row r="243" spans="6:30">
      <c r="F243" s="431"/>
      <c r="L243" s="431"/>
      <c r="AD243" s="431"/>
    </row>
    <row r="244" spans="6:30">
      <c r="F244" s="431"/>
      <c r="L244" s="431"/>
      <c r="AD244" s="431"/>
    </row>
    <row r="245" spans="6:30">
      <c r="F245" s="431"/>
      <c r="L245" s="431"/>
      <c r="AD245" s="431"/>
    </row>
    <row r="246" spans="6:30">
      <c r="F246" s="359"/>
      <c r="L246" s="359"/>
      <c r="AD246" s="359"/>
    </row>
    <row r="247" spans="6:30">
      <c r="F247" s="431"/>
      <c r="L247" s="431"/>
      <c r="AD247" s="431"/>
    </row>
    <row r="248" spans="6:30">
      <c r="F248" s="431"/>
      <c r="L248" s="431"/>
      <c r="AD248" s="431"/>
    </row>
    <row r="249" spans="6:30">
      <c r="F249" s="431"/>
      <c r="L249" s="431"/>
      <c r="AD249" s="431"/>
    </row>
    <row r="250" spans="6:30">
      <c r="F250" s="359"/>
      <c r="L250" s="359"/>
      <c r="AD250" s="359"/>
    </row>
    <row r="251" spans="6:30">
      <c r="F251" s="359"/>
      <c r="L251" s="359"/>
      <c r="AD251" s="359"/>
    </row>
    <row r="252" spans="6:30">
      <c r="F252" s="359"/>
      <c r="L252" s="359"/>
      <c r="AD252" s="359"/>
    </row>
    <row r="253" spans="6:30">
      <c r="F253" s="431"/>
      <c r="L253" s="431"/>
      <c r="AD253" s="431"/>
    </row>
    <row r="254" spans="6:30">
      <c r="F254" s="431"/>
      <c r="L254" s="431"/>
      <c r="AD254" s="431"/>
    </row>
    <row r="255" spans="6:30">
      <c r="F255" s="431"/>
      <c r="L255" s="431"/>
      <c r="AD255" s="431"/>
    </row>
    <row r="256" spans="6:30">
      <c r="F256" s="431"/>
      <c r="L256" s="431"/>
      <c r="AD256" s="431"/>
    </row>
    <row r="257" spans="6:30">
      <c r="F257" s="359"/>
      <c r="L257" s="359"/>
      <c r="AD257" s="359"/>
    </row>
    <row r="258" spans="6:30">
      <c r="F258" s="434"/>
      <c r="L258" s="434"/>
      <c r="AD258" s="434"/>
    </row>
    <row r="259" spans="6:30">
      <c r="F259" s="431"/>
      <c r="L259" s="431"/>
      <c r="AD259" s="431"/>
    </row>
    <row r="260" spans="6:30">
      <c r="F260" s="431"/>
      <c r="L260" s="431"/>
      <c r="AD260" s="431"/>
    </row>
    <row r="261" spans="6:30">
      <c r="F261" s="359"/>
      <c r="L261" s="359"/>
      <c r="AD261" s="359"/>
    </row>
    <row r="262" spans="6:30">
      <c r="F262" s="431"/>
      <c r="L262" s="431"/>
      <c r="AD262" s="431"/>
    </row>
    <row r="263" spans="6:30">
      <c r="F263" s="431"/>
      <c r="L263" s="431"/>
      <c r="AD263" s="431"/>
    </row>
    <row r="264" spans="6:30">
      <c r="F264" s="431"/>
      <c r="L264" s="431"/>
      <c r="AD264" s="431"/>
    </row>
    <row r="265" spans="6:30">
      <c r="F265" s="431"/>
      <c r="L265" s="431"/>
      <c r="AD265" s="431"/>
    </row>
    <row r="266" spans="6:30">
      <c r="F266" s="434"/>
      <c r="L266" s="434"/>
      <c r="AD266" s="434"/>
    </row>
    <row r="267" spans="6:30">
      <c r="F267" s="431"/>
      <c r="L267" s="431"/>
      <c r="AD267" s="431"/>
    </row>
    <row r="268" spans="6:30">
      <c r="F268" s="434"/>
      <c r="L268" s="434"/>
      <c r="AD268" s="434"/>
    </row>
    <row r="269" spans="6:30">
      <c r="F269" s="431"/>
      <c r="L269" s="431"/>
      <c r="AD269" s="431"/>
    </row>
    <row r="270" spans="6:30">
      <c r="F270" s="434"/>
      <c r="L270" s="434"/>
      <c r="AD270" s="434"/>
    </row>
    <row r="271" spans="6:30">
      <c r="F271" s="431"/>
      <c r="L271" s="431"/>
      <c r="AD271" s="431"/>
    </row>
    <row r="272" spans="6:30">
      <c r="F272" s="431"/>
      <c r="L272" s="431"/>
      <c r="AD272" s="431"/>
    </row>
    <row r="273" spans="6:30">
      <c r="F273" s="359"/>
      <c r="L273" s="359"/>
      <c r="AD273" s="359"/>
    </row>
    <row r="274" spans="6:30">
      <c r="F274" s="359"/>
      <c r="L274" s="359"/>
      <c r="AD274" s="359"/>
    </row>
    <row r="275" spans="6:30">
      <c r="F275" s="431"/>
      <c r="L275" s="431"/>
      <c r="AD275" s="431"/>
    </row>
    <row r="276" spans="6:30">
      <c r="F276" s="431"/>
      <c r="L276" s="431"/>
      <c r="AD276" s="431"/>
    </row>
    <row r="277" spans="6:30">
      <c r="F277" s="359"/>
      <c r="L277" s="359"/>
      <c r="AD277" s="359"/>
    </row>
    <row r="278" spans="6:30">
      <c r="F278" s="359"/>
      <c r="L278" s="359"/>
      <c r="AD278" s="359"/>
    </row>
    <row r="279" spans="6:30">
      <c r="F279" s="359"/>
      <c r="L279" s="359"/>
      <c r="AD279" s="359"/>
    </row>
    <row r="280" spans="6:30">
      <c r="F280" s="431"/>
      <c r="L280" s="431"/>
      <c r="AD280" s="431"/>
    </row>
    <row r="281" spans="6:30">
      <c r="F281" s="359"/>
      <c r="L281" s="359"/>
      <c r="AD281" s="359"/>
    </row>
    <row r="282" spans="6:30">
      <c r="F282" s="431"/>
      <c r="L282" s="431"/>
      <c r="AD282" s="431"/>
    </row>
    <row r="283" spans="6:30">
      <c r="F283" s="434"/>
      <c r="L283" s="434"/>
      <c r="AD283" s="434"/>
    </row>
    <row r="284" spans="6:30">
      <c r="F284" s="431"/>
      <c r="L284" s="431"/>
      <c r="AD284" s="431"/>
    </row>
    <row r="285" spans="6:30">
      <c r="F285" s="431"/>
      <c r="L285" s="431"/>
      <c r="AD285" s="431"/>
    </row>
    <row r="286" spans="6:30">
      <c r="F286" s="431"/>
      <c r="L286" s="431"/>
      <c r="AD286" s="431"/>
    </row>
    <row r="295" spans="6:30">
      <c r="F295" s="431"/>
      <c r="L295" s="431"/>
      <c r="AD295" s="431"/>
    </row>
    <row r="297" spans="6:30">
      <c r="F297" s="359"/>
      <c r="L297" s="359"/>
      <c r="AD297" s="359"/>
    </row>
    <row r="298" spans="6:30">
      <c r="F298" s="431"/>
      <c r="L298" s="431"/>
      <c r="AD298" s="431"/>
    </row>
    <row r="303" spans="6:30">
      <c r="F303" s="359"/>
      <c r="L303" s="359"/>
      <c r="AD303" s="359"/>
    </row>
    <row r="306" spans="6:30">
      <c r="F306" s="431"/>
      <c r="L306" s="431"/>
      <c r="AD306" s="431"/>
    </row>
    <row r="307" spans="6:30">
      <c r="F307" s="431"/>
      <c r="L307" s="431"/>
      <c r="AD307" s="431"/>
    </row>
    <row r="312" spans="6:30">
      <c r="F312" s="359"/>
      <c r="L312" s="359"/>
      <c r="AD312" s="359"/>
    </row>
    <row r="313" spans="6:30">
      <c r="F313" s="359"/>
      <c r="L313" s="359"/>
      <c r="AD313" s="359"/>
    </row>
    <row r="316" spans="6:30">
      <c r="F316" s="431"/>
      <c r="L316" s="431"/>
      <c r="AD316" s="431"/>
    </row>
    <row r="317" spans="6:30">
      <c r="F317" s="431"/>
      <c r="L317" s="431"/>
      <c r="AD317" s="431"/>
    </row>
    <row r="321" spans="6:30">
      <c r="F321" s="359"/>
      <c r="L321" s="359"/>
      <c r="AD321" s="359"/>
    </row>
    <row r="330" spans="6:30">
      <c r="F330" s="359"/>
      <c r="L330" s="359"/>
      <c r="AD330" s="359"/>
    </row>
    <row r="332" spans="6:30">
      <c r="F332" s="359"/>
      <c r="L332" s="359"/>
      <c r="AD332" s="359"/>
    </row>
    <row r="343" spans="6:30">
      <c r="F343" s="359"/>
      <c r="L343" s="359"/>
      <c r="AD343" s="359"/>
    </row>
    <row r="344" spans="6:30">
      <c r="F344" s="359"/>
      <c r="L344" s="359"/>
      <c r="AD344" s="359"/>
    </row>
    <row r="351" spans="6:30">
      <c r="F351" s="359"/>
      <c r="L351" s="359"/>
      <c r="AD351" s="359"/>
    </row>
    <row r="360" spans="6:30">
      <c r="F360" s="359"/>
      <c r="L360" s="359"/>
      <c r="AD360" s="359"/>
    </row>
    <row r="361" spans="6:30">
      <c r="F361" s="359"/>
      <c r="L361" s="359"/>
      <c r="AD361" s="359"/>
    </row>
    <row r="365" spans="6:30">
      <c r="F365" s="359"/>
      <c r="L365" s="359"/>
      <c r="AD365" s="359"/>
    </row>
    <row r="376" spans="6:30">
      <c r="F376" s="359"/>
      <c r="L376" s="359"/>
      <c r="AD376" s="359"/>
    </row>
    <row r="377" spans="6:30">
      <c r="F377" s="359"/>
      <c r="L377" s="359"/>
      <c r="AD377" s="359"/>
    </row>
    <row r="381" spans="6:30">
      <c r="F381" s="359"/>
      <c r="L381" s="359"/>
      <c r="AD381" s="359"/>
    </row>
    <row r="386" spans="6:30">
      <c r="F386" s="359"/>
      <c r="L386" s="359"/>
      <c r="AD386" s="359"/>
    </row>
    <row r="387" spans="6:30">
      <c r="F387" s="359"/>
      <c r="L387" s="359"/>
      <c r="AD387" s="359"/>
    </row>
    <row r="389" spans="6:30">
      <c r="F389" s="359"/>
      <c r="L389" s="359"/>
      <c r="AD389" s="359"/>
    </row>
    <row r="394" spans="6:30">
      <c r="F394" s="359"/>
      <c r="L394" s="359"/>
      <c r="AD394" s="359"/>
    </row>
    <row r="395" spans="6:30">
      <c r="F395" s="359"/>
      <c r="L395" s="359"/>
      <c r="AD395" s="359"/>
    </row>
    <row r="401" spans="6:30">
      <c r="F401" s="359"/>
      <c r="L401" s="359"/>
      <c r="AD401" s="359"/>
    </row>
    <row r="402" spans="6:30">
      <c r="F402" s="359"/>
      <c r="L402" s="359"/>
      <c r="AD402" s="359"/>
    </row>
  </sheetData>
  <mergeCells count="3">
    <mergeCell ref="F2:F8"/>
    <mergeCell ref="L2:L8"/>
    <mergeCell ref="AD2:AD8"/>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4B2D2-2520-0F49-B9FB-ED1221A6A98D}">
  <sheetPr>
    <tabColor theme="3" tint="0.89999084444715716"/>
    <outlinePr summaryBelow="0" summaryRight="0"/>
  </sheetPr>
  <dimension ref="A1:CE390"/>
  <sheetViews>
    <sheetView showGridLines="0" zoomScale="110" zoomScaleNormal="110" workbookViewId="0">
      <pane xSplit="5" ySplit="8" topLeftCell="BE10" activePane="bottomRight" state="frozen"/>
      <selection pane="topRight" activeCell="D54" sqref="D54"/>
      <selection pane="bottomLeft" activeCell="D54" sqref="D54"/>
      <selection pane="bottomRight" activeCell="E18" sqref="E18"/>
    </sheetView>
  </sheetViews>
  <sheetFormatPr defaultColWidth="9.28515625" defaultRowHeight="18.75" customHeight="1" outlineLevelRow="3" outlineLevelCol="2"/>
  <cols>
    <col min="1" max="1" width="2.42578125" style="50" customWidth="1"/>
    <col min="2" max="2" width="2.42578125" style="356" customWidth="1"/>
    <col min="3" max="3" width="2.42578125" style="355" customWidth="1"/>
    <col min="4" max="4" width="21.28515625" style="50" bestFit="1" customWidth="1"/>
    <col min="5" max="5" width="14.42578125" style="372" customWidth="1" outlineLevel="2"/>
    <col min="6" max="6" width="2.7109375" style="55" customWidth="1"/>
    <col min="7" max="7" width="11.28515625" style="50" customWidth="1" outlineLevel="2"/>
    <col min="8" max="9" width="12.42578125" style="50" customWidth="1" outlineLevel="2"/>
    <col min="10" max="10" width="13.85546875" style="50" customWidth="1" outlineLevel="2"/>
    <col min="11" max="11" width="2.7109375" style="50" customWidth="1"/>
    <col min="12" max="12" width="3.7109375" style="55" bestFit="1" customWidth="1" collapsed="1"/>
    <col min="13" max="15" width="11.140625" style="50" hidden="1" customWidth="1" outlineLevel="2"/>
    <col min="16" max="16" width="11.28515625" style="50" hidden="1" customWidth="1" outlineLevel="2"/>
    <col min="17" max="19" width="11.140625" style="50" hidden="1" customWidth="1" outlineLevel="2"/>
    <col min="20" max="20" width="11.28515625" style="50" hidden="1" customWidth="1" outlineLevel="2"/>
    <col min="21" max="23" width="11.140625" style="50" hidden="1" customWidth="1" outlineLevel="2"/>
    <col min="24" max="25" width="12.28515625" style="50" hidden="1" customWidth="1" outlineLevel="2"/>
    <col min="26" max="28" width="13.85546875" style="50" hidden="1" customWidth="1" outlineLevel="2"/>
    <col min="29" max="29" width="2.7109375" style="50" customWidth="1"/>
    <col min="30" max="30" width="3.7109375" style="55" bestFit="1" customWidth="1"/>
    <col min="31" max="39" width="10" style="50" bestFit="1" customWidth="1" outlineLevel="1"/>
    <col min="40" max="42" width="11.140625" style="50" bestFit="1" customWidth="1" outlineLevel="1"/>
    <col min="43" max="51" width="10" style="50" bestFit="1" customWidth="1" outlineLevel="1"/>
    <col min="52" max="54" width="11.140625" style="50" bestFit="1" customWidth="1" outlineLevel="1"/>
    <col min="55" max="63" width="10" style="50" bestFit="1" customWidth="1" outlineLevel="1"/>
    <col min="64" max="66" width="11.140625" style="50" bestFit="1" customWidth="1" outlineLevel="1"/>
    <col min="67" max="67" width="10.42578125" style="50" bestFit="1" customWidth="1" outlineLevel="1"/>
    <col min="68" max="71" width="11.28515625" style="50" bestFit="1" customWidth="1" outlineLevel="1"/>
    <col min="72" max="78" width="12.85546875" style="50" bestFit="1" customWidth="1" outlineLevel="1"/>
    <col min="79" max="79" width="3.7109375" style="50" customWidth="1"/>
    <col min="80" max="16384" width="9.28515625" style="50"/>
  </cols>
  <sheetData>
    <row r="1" spans="1:79" ht="21" customHeight="1">
      <c r="A1" s="193" t="str">
        <f>Company_Name</f>
        <v>Model Wiz Demo *</v>
      </c>
      <c r="E1" s="535"/>
    </row>
    <row r="2" spans="1:79" s="8" customFormat="1" ht="21" customHeight="1">
      <c r="A2" s="148" t="str" cm="1">
        <f t="array" aca="1" ref="A2" ca="1">IFERROR(MID(CELL("filename",A1),FIND("]",CELL("filename",A1))+1,LEN(CELL("filename",A1))),"")</f>
        <v>AP</v>
      </c>
      <c r="B2" s="356"/>
      <c r="C2" s="355"/>
      <c r="D2" s="50"/>
      <c r="E2" s="372"/>
      <c r="F2" s="853" t="s">
        <v>159</v>
      </c>
      <c r="G2" s="148"/>
      <c r="H2" s="148"/>
      <c r="I2" s="148"/>
      <c r="J2" s="148"/>
      <c r="K2" s="148"/>
      <c r="L2" s="853" t="s">
        <v>160</v>
      </c>
      <c r="M2" s="403"/>
      <c r="N2" s="148"/>
      <c r="O2" s="148"/>
      <c r="P2" s="148"/>
      <c r="Q2" s="148"/>
      <c r="R2" s="148"/>
      <c r="S2" s="148"/>
      <c r="T2" s="148"/>
      <c r="U2" s="148"/>
      <c r="V2" s="148"/>
      <c r="W2" s="148"/>
      <c r="X2" s="148"/>
      <c r="Y2" s="148"/>
      <c r="Z2" s="148"/>
      <c r="AA2" s="148"/>
      <c r="AB2" s="148"/>
      <c r="AC2" s="407"/>
      <c r="AD2" s="853" t="s">
        <v>161</v>
      </c>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50"/>
    </row>
    <row r="3" spans="1:79" s="8" customFormat="1" ht="21" customHeight="1" collapsed="1">
      <c r="A3" s="192" t="str">
        <f>Error_Check</f>
        <v>Model Functioning Properly</v>
      </c>
      <c r="B3" s="356"/>
      <c r="C3" s="355"/>
      <c r="D3" s="50"/>
      <c r="E3" s="372"/>
      <c r="F3" s="853"/>
      <c r="G3" s="405" t="str">
        <f>IF(G$5&lt;=_xlfn.SINGLE(LatestMonthOfActuals),"Actual","Projected")</f>
        <v>Actual</v>
      </c>
      <c r="H3" s="405" t="str">
        <f>IF(H$5&lt;=_xlfn.SINGLE(LatestMonthOfActuals),"Actual","Projected")</f>
        <v>Actual</v>
      </c>
      <c r="I3" s="405" t="str">
        <f>IF(I$5&lt;=_xlfn.SINGLE(LatestMonthOfActuals),"Actual","Projected")</f>
        <v>Projected</v>
      </c>
      <c r="J3" s="405" t="str">
        <f>IF(J$5&lt;=_xlfn.SINGLE(LatestMonthOfActuals),"Actual","Projected")</f>
        <v>Projected</v>
      </c>
      <c r="K3" s="148"/>
      <c r="L3" s="853"/>
      <c r="M3" s="405" t="str">
        <f t="shared" ref="M3:AB3" si="0">IF(M$5&lt;=_xlfn.SINGLE(LatestMonthOfActuals),"Actual","Projected")</f>
        <v>Actual</v>
      </c>
      <c r="N3" s="405" t="str">
        <f t="shared" si="0"/>
        <v>Actual</v>
      </c>
      <c r="O3" s="405" t="str">
        <f t="shared" si="0"/>
        <v>Actual</v>
      </c>
      <c r="P3" s="405" t="str">
        <f t="shared" si="0"/>
        <v>Actual</v>
      </c>
      <c r="Q3" s="405" t="str">
        <f t="shared" si="0"/>
        <v>Actual</v>
      </c>
      <c r="R3" s="405" t="str">
        <f t="shared" si="0"/>
        <v>Actual</v>
      </c>
      <c r="S3" s="405" t="str">
        <f t="shared" si="0"/>
        <v>Actual</v>
      </c>
      <c r="T3" s="405" t="str">
        <f t="shared" si="0"/>
        <v>Actual</v>
      </c>
      <c r="U3" s="405" t="str">
        <f t="shared" si="0"/>
        <v>Actual</v>
      </c>
      <c r="V3" s="405" t="str">
        <f t="shared" si="0"/>
        <v>Actual</v>
      </c>
      <c r="W3" s="405" t="str">
        <f t="shared" si="0"/>
        <v>Actual</v>
      </c>
      <c r="X3" s="405" t="str">
        <f t="shared" si="0"/>
        <v>Projected</v>
      </c>
      <c r="Y3" s="405" t="str">
        <f t="shared" si="0"/>
        <v>Projected</v>
      </c>
      <c r="Z3" s="405" t="str">
        <f t="shared" si="0"/>
        <v>Projected</v>
      </c>
      <c r="AA3" s="405" t="str">
        <f t="shared" si="0"/>
        <v>Projected</v>
      </c>
      <c r="AB3" s="405" t="str">
        <f t="shared" si="0"/>
        <v>Projected</v>
      </c>
      <c r="AC3" s="406"/>
      <c r="AD3" s="853"/>
      <c r="AE3" s="405" t="str">
        <f t="shared" ref="AE3:BZ3" si="1">IF(AE$5&lt;=_xlfn.SINGLE(LatestMonthOfActuals),"Actual","Projected")</f>
        <v>Actual</v>
      </c>
      <c r="AF3" s="405" t="str">
        <f t="shared" si="1"/>
        <v>Actual</v>
      </c>
      <c r="AG3" s="405" t="str">
        <f t="shared" si="1"/>
        <v>Actual</v>
      </c>
      <c r="AH3" s="405" t="str">
        <f t="shared" si="1"/>
        <v>Actual</v>
      </c>
      <c r="AI3" s="405" t="str">
        <f t="shared" si="1"/>
        <v>Actual</v>
      </c>
      <c r="AJ3" s="405" t="str">
        <f t="shared" si="1"/>
        <v>Actual</v>
      </c>
      <c r="AK3" s="405" t="str">
        <f t="shared" si="1"/>
        <v>Actual</v>
      </c>
      <c r="AL3" s="405" t="str">
        <f t="shared" si="1"/>
        <v>Actual</v>
      </c>
      <c r="AM3" s="405" t="str">
        <f t="shared" si="1"/>
        <v>Actual</v>
      </c>
      <c r="AN3" s="405" t="str">
        <f t="shared" si="1"/>
        <v>Actual</v>
      </c>
      <c r="AO3" s="405" t="str">
        <f t="shared" si="1"/>
        <v>Actual</v>
      </c>
      <c r="AP3" s="405" t="str">
        <f t="shared" si="1"/>
        <v>Actual</v>
      </c>
      <c r="AQ3" s="405" t="str">
        <f t="shared" si="1"/>
        <v>Actual</v>
      </c>
      <c r="AR3" s="405" t="str">
        <f t="shared" si="1"/>
        <v>Actual</v>
      </c>
      <c r="AS3" s="405" t="str">
        <f t="shared" si="1"/>
        <v>Actual</v>
      </c>
      <c r="AT3" s="405" t="str">
        <f t="shared" si="1"/>
        <v>Actual</v>
      </c>
      <c r="AU3" s="405" t="str">
        <f t="shared" si="1"/>
        <v>Actual</v>
      </c>
      <c r="AV3" s="405" t="str">
        <f t="shared" si="1"/>
        <v>Actual</v>
      </c>
      <c r="AW3" s="405" t="str">
        <f t="shared" si="1"/>
        <v>Actual</v>
      </c>
      <c r="AX3" s="405" t="str">
        <f t="shared" si="1"/>
        <v>Actual</v>
      </c>
      <c r="AY3" s="405" t="str">
        <f t="shared" si="1"/>
        <v>Actual</v>
      </c>
      <c r="AZ3" s="405" t="str">
        <f t="shared" si="1"/>
        <v>Actual</v>
      </c>
      <c r="BA3" s="405" t="str">
        <f t="shared" si="1"/>
        <v>Actual</v>
      </c>
      <c r="BB3" s="405" t="str">
        <f t="shared" si="1"/>
        <v>Actual</v>
      </c>
      <c r="BC3" s="405" t="str">
        <f t="shared" si="1"/>
        <v>Actual</v>
      </c>
      <c r="BD3" s="405" t="str">
        <f t="shared" si="1"/>
        <v>Actual</v>
      </c>
      <c r="BE3" s="405" t="str">
        <f t="shared" si="1"/>
        <v>Actual</v>
      </c>
      <c r="BF3" s="405" t="str">
        <f t="shared" si="1"/>
        <v>Actual</v>
      </c>
      <c r="BG3" s="405" t="str">
        <f t="shared" si="1"/>
        <v>Actual</v>
      </c>
      <c r="BH3" s="405" t="str">
        <f t="shared" si="1"/>
        <v>Actual</v>
      </c>
      <c r="BI3" s="405" t="str">
        <f t="shared" si="1"/>
        <v>Actual</v>
      </c>
      <c r="BJ3" s="405" t="str">
        <f t="shared" si="1"/>
        <v>Actual</v>
      </c>
      <c r="BK3" s="405" t="str">
        <f t="shared" si="1"/>
        <v>Actual</v>
      </c>
      <c r="BL3" s="405" t="str">
        <f t="shared" si="1"/>
        <v>Actual</v>
      </c>
      <c r="BM3" s="405" t="str">
        <f t="shared" si="1"/>
        <v>Actual</v>
      </c>
      <c r="BN3" s="405" t="str">
        <f t="shared" si="1"/>
        <v>Projected</v>
      </c>
      <c r="BO3" s="405" t="str">
        <f t="shared" si="1"/>
        <v>Projected</v>
      </c>
      <c r="BP3" s="405" t="str">
        <f t="shared" si="1"/>
        <v>Projected</v>
      </c>
      <c r="BQ3" s="405" t="str">
        <f t="shared" si="1"/>
        <v>Projected</v>
      </c>
      <c r="BR3" s="405" t="str">
        <f t="shared" si="1"/>
        <v>Projected</v>
      </c>
      <c r="BS3" s="405" t="str">
        <f t="shared" si="1"/>
        <v>Projected</v>
      </c>
      <c r="BT3" s="405" t="str">
        <f t="shared" si="1"/>
        <v>Projected</v>
      </c>
      <c r="BU3" s="405" t="str">
        <f t="shared" si="1"/>
        <v>Projected</v>
      </c>
      <c r="BV3" s="405" t="str">
        <f t="shared" si="1"/>
        <v>Projected</v>
      </c>
      <c r="BW3" s="405" t="str">
        <f t="shared" si="1"/>
        <v>Projected</v>
      </c>
      <c r="BX3" s="405" t="str">
        <f t="shared" si="1"/>
        <v>Projected</v>
      </c>
      <c r="BY3" s="405" t="str">
        <f t="shared" si="1"/>
        <v>Projected</v>
      </c>
      <c r="BZ3" s="405" t="str">
        <f t="shared" si="1"/>
        <v>Projected</v>
      </c>
      <c r="CA3" s="50"/>
    </row>
    <row r="4" spans="1:79" s="534" customFormat="1" ht="18" hidden="1" customHeight="1" outlineLevel="2">
      <c r="A4" s="50"/>
      <c r="B4" s="356"/>
      <c r="C4" s="355"/>
      <c r="D4" s="50"/>
      <c r="E4" s="372"/>
      <c r="F4" s="853"/>
      <c r="G4" s="403">
        <f>Start_Date</f>
        <v>44927</v>
      </c>
      <c r="H4" s="403">
        <f>G5+1</f>
        <v>45292</v>
      </c>
      <c r="I4" s="403">
        <f>H5+1</f>
        <v>45658</v>
      </c>
      <c r="J4" s="403">
        <f>I5+1</f>
        <v>46023</v>
      </c>
      <c r="K4" s="148"/>
      <c r="L4" s="853"/>
      <c r="M4" s="403">
        <f>Start_Date</f>
        <v>44927</v>
      </c>
      <c r="N4" s="402">
        <f t="shared" ref="N4:AB4" si="2">M5+1</f>
        <v>45017</v>
      </c>
      <c r="O4" s="402">
        <f t="shared" si="2"/>
        <v>45108</v>
      </c>
      <c r="P4" s="402">
        <f t="shared" si="2"/>
        <v>45200</v>
      </c>
      <c r="Q4" s="402">
        <f t="shared" si="2"/>
        <v>45292</v>
      </c>
      <c r="R4" s="402">
        <f t="shared" si="2"/>
        <v>45383</v>
      </c>
      <c r="S4" s="402">
        <f t="shared" si="2"/>
        <v>45474</v>
      </c>
      <c r="T4" s="402">
        <f t="shared" si="2"/>
        <v>45566</v>
      </c>
      <c r="U4" s="402">
        <f t="shared" si="2"/>
        <v>45658</v>
      </c>
      <c r="V4" s="402">
        <f t="shared" si="2"/>
        <v>45748</v>
      </c>
      <c r="W4" s="402">
        <f t="shared" si="2"/>
        <v>45839</v>
      </c>
      <c r="X4" s="402">
        <f t="shared" si="2"/>
        <v>45931</v>
      </c>
      <c r="Y4" s="402">
        <f t="shared" si="2"/>
        <v>46023</v>
      </c>
      <c r="Z4" s="402">
        <f t="shared" si="2"/>
        <v>46113</v>
      </c>
      <c r="AA4" s="402">
        <f t="shared" si="2"/>
        <v>46204</v>
      </c>
      <c r="AB4" s="402">
        <f t="shared" si="2"/>
        <v>46296</v>
      </c>
      <c r="AC4" s="404"/>
      <c r="AD4" s="853"/>
      <c r="AE4" s="403">
        <f>Start_Date</f>
        <v>44927</v>
      </c>
      <c r="AF4" s="403">
        <f t="shared" ref="AF4:BZ4" si="3">EOMONTH(AF5,-1)+1</f>
        <v>44958</v>
      </c>
      <c r="AG4" s="403">
        <f t="shared" si="3"/>
        <v>44986</v>
      </c>
      <c r="AH4" s="403">
        <f t="shared" si="3"/>
        <v>45017</v>
      </c>
      <c r="AI4" s="403">
        <f t="shared" si="3"/>
        <v>45047</v>
      </c>
      <c r="AJ4" s="403">
        <f t="shared" si="3"/>
        <v>45078</v>
      </c>
      <c r="AK4" s="403">
        <f t="shared" si="3"/>
        <v>45108</v>
      </c>
      <c r="AL4" s="403">
        <f t="shared" si="3"/>
        <v>45139</v>
      </c>
      <c r="AM4" s="403">
        <f t="shared" si="3"/>
        <v>45170</v>
      </c>
      <c r="AN4" s="403">
        <f t="shared" si="3"/>
        <v>45200</v>
      </c>
      <c r="AO4" s="403">
        <f t="shared" si="3"/>
        <v>45231</v>
      </c>
      <c r="AP4" s="403">
        <f t="shared" si="3"/>
        <v>45261</v>
      </c>
      <c r="AQ4" s="403">
        <f t="shared" si="3"/>
        <v>45292</v>
      </c>
      <c r="AR4" s="403">
        <f t="shared" si="3"/>
        <v>45323</v>
      </c>
      <c r="AS4" s="403">
        <f t="shared" si="3"/>
        <v>45352</v>
      </c>
      <c r="AT4" s="403">
        <f t="shared" si="3"/>
        <v>45383</v>
      </c>
      <c r="AU4" s="403">
        <f t="shared" si="3"/>
        <v>45413</v>
      </c>
      <c r="AV4" s="403">
        <f t="shared" si="3"/>
        <v>45444</v>
      </c>
      <c r="AW4" s="403">
        <f t="shared" si="3"/>
        <v>45474</v>
      </c>
      <c r="AX4" s="403">
        <f t="shared" si="3"/>
        <v>45505</v>
      </c>
      <c r="AY4" s="403">
        <f t="shared" si="3"/>
        <v>45536</v>
      </c>
      <c r="AZ4" s="403">
        <f t="shared" si="3"/>
        <v>45566</v>
      </c>
      <c r="BA4" s="403">
        <f t="shared" si="3"/>
        <v>45597</v>
      </c>
      <c r="BB4" s="403">
        <f t="shared" si="3"/>
        <v>45627</v>
      </c>
      <c r="BC4" s="403">
        <f t="shared" si="3"/>
        <v>45658</v>
      </c>
      <c r="BD4" s="403">
        <f t="shared" si="3"/>
        <v>45689</v>
      </c>
      <c r="BE4" s="403">
        <f t="shared" si="3"/>
        <v>45717</v>
      </c>
      <c r="BF4" s="403">
        <f t="shared" si="3"/>
        <v>45748</v>
      </c>
      <c r="BG4" s="403">
        <f t="shared" si="3"/>
        <v>45778</v>
      </c>
      <c r="BH4" s="403">
        <f t="shared" si="3"/>
        <v>45809</v>
      </c>
      <c r="BI4" s="403">
        <f t="shared" si="3"/>
        <v>45839</v>
      </c>
      <c r="BJ4" s="403">
        <f t="shared" si="3"/>
        <v>45870</v>
      </c>
      <c r="BK4" s="403">
        <f t="shared" si="3"/>
        <v>45901</v>
      </c>
      <c r="BL4" s="403">
        <f t="shared" si="3"/>
        <v>45931</v>
      </c>
      <c r="BM4" s="403">
        <f t="shared" si="3"/>
        <v>45962</v>
      </c>
      <c r="BN4" s="403">
        <f t="shared" si="3"/>
        <v>45992</v>
      </c>
      <c r="BO4" s="403">
        <f t="shared" si="3"/>
        <v>46023</v>
      </c>
      <c r="BP4" s="403">
        <f t="shared" si="3"/>
        <v>46054</v>
      </c>
      <c r="BQ4" s="403">
        <f t="shared" si="3"/>
        <v>46082</v>
      </c>
      <c r="BR4" s="403">
        <f t="shared" si="3"/>
        <v>46113</v>
      </c>
      <c r="BS4" s="403">
        <f t="shared" si="3"/>
        <v>46143</v>
      </c>
      <c r="BT4" s="403">
        <f t="shared" si="3"/>
        <v>46174</v>
      </c>
      <c r="BU4" s="403">
        <f t="shared" si="3"/>
        <v>46204</v>
      </c>
      <c r="BV4" s="403">
        <f t="shared" si="3"/>
        <v>46235</v>
      </c>
      <c r="BW4" s="403">
        <f t="shared" si="3"/>
        <v>46266</v>
      </c>
      <c r="BX4" s="403">
        <f t="shared" si="3"/>
        <v>46296</v>
      </c>
      <c r="BY4" s="403">
        <f t="shared" si="3"/>
        <v>46327</v>
      </c>
      <c r="BZ4" s="403">
        <f t="shared" si="3"/>
        <v>46357</v>
      </c>
      <c r="CA4" s="50"/>
    </row>
    <row r="5" spans="1:79" s="534" customFormat="1" ht="21" hidden="1" customHeight="1" outlineLevel="2">
      <c r="A5" s="50"/>
      <c r="B5" s="356"/>
      <c r="C5" s="355"/>
      <c r="D5" s="50"/>
      <c r="E5" s="372"/>
      <c r="F5" s="853"/>
      <c r="G5" s="403">
        <f>EOMONTH(DATE(YEAR(Start_Date),1,1),Fiscal_Offset+IF(M6&lt;YEAR(Start_Date),-1,11))</f>
        <v>45291</v>
      </c>
      <c r="H5" s="402">
        <f>MIN(EOMONTH(G5,12),End_Date)</f>
        <v>45657</v>
      </c>
      <c r="I5" s="402">
        <f>MIN(EOMONTH(H5,12),End_Date)</f>
        <v>46022</v>
      </c>
      <c r="J5" s="402">
        <f>MIN(EOMONTH(I5,12),End_Date)</f>
        <v>46387</v>
      </c>
      <c r="K5" s="148"/>
      <c r="L5" s="853"/>
      <c r="M5" s="402">
        <f>EOMONTH(DATE(YEAR(Start_Date),1,1),MOD(ROUNDUP(MONTH(EOMONTH(Start_Date,-Fiscal_Offset))/3,0)*3+Fiscal_Offset-1,12))</f>
        <v>45016</v>
      </c>
      <c r="N5" s="402">
        <f t="shared" ref="N5:AB5" si="4">MIN(EOMONTH(N$4,2),End_Date)</f>
        <v>45107</v>
      </c>
      <c r="O5" s="402">
        <f t="shared" si="4"/>
        <v>45199</v>
      </c>
      <c r="P5" s="402">
        <f t="shared" si="4"/>
        <v>45291</v>
      </c>
      <c r="Q5" s="402">
        <f t="shared" si="4"/>
        <v>45382</v>
      </c>
      <c r="R5" s="402">
        <f t="shared" si="4"/>
        <v>45473</v>
      </c>
      <c r="S5" s="402">
        <f t="shared" si="4"/>
        <v>45565</v>
      </c>
      <c r="T5" s="402">
        <f t="shared" si="4"/>
        <v>45657</v>
      </c>
      <c r="U5" s="402">
        <f t="shared" si="4"/>
        <v>45747</v>
      </c>
      <c r="V5" s="402">
        <f t="shared" si="4"/>
        <v>45838</v>
      </c>
      <c r="W5" s="402">
        <f t="shared" si="4"/>
        <v>45930</v>
      </c>
      <c r="X5" s="402">
        <f t="shared" si="4"/>
        <v>46022</v>
      </c>
      <c r="Y5" s="402">
        <f t="shared" si="4"/>
        <v>46112</v>
      </c>
      <c r="Z5" s="402">
        <f t="shared" si="4"/>
        <v>46203</v>
      </c>
      <c r="AA5" s="402">
        <f t="shared" si="4"/>
        <v>46295</v>
      </c>
      <c r="AB5" s="402">
        <f t="shared" si="4"/>
        <v>46387</v>
      </c>
      <c r="AC5" s="404"/>
      <c r="AD5" s="853"/>
      <c r="AE5" s="403" cm="1">
        <f t="array" ref="AE5">EOM_Start_Date</f>
        <v>44957</v>
      </c>
      <c r="AF5" s="402">
        <f t="shared" ref="AF5:BZ5" si="5">EOMONTH(AE5,1)</f>
        <v>44985</v>
      </c>
      <c r="AG5" s="402">
        <f t="shared" si="5"/>
        <v>45016</v>
      </c>
      <c r="AH5" s="402">
        <f t="shared" si="5"/>
        <v>45046</v>
      </c>
      <c r="AI5" s="402">
        <f t="shared" si="5"/>
        <v>45077</v>
      </c>
      <c r="AJ5" s="402">
        <f t="shared" si="5"/>
        <v>45107</v>
      </c>
      <c r="AK5" s="402">
        <f t="shared" si="5"/>
        <v>45138</v>
      </c>
      <c r="AL5" s="402">
        <f t="shared" si="5"/>
        <v>45169</v>
      </c>
      <c r="AM5" s="402">
        <f t="shared" si="5"/>
        <v>45199</v>
      </c>
      <c r="AN5" s="402">
        <f t="shared" si="5"/>
        <v>45230</v>
      </c>
      <c r="AO5" s="402">
        <f t="shared" si="5"/>
        <v>45260</v>
      </c>
      <c r="AP5" s="402">
        <f t="shared" si="5"/>
        <v>45291</v>
      </c>
      <c r="AQ5" s="402">
        <f t="shared" si="5"/>
        <v>45322</v>
      </c>
      <c r="AR5" s="402">
        <f t="shared" si="5"/>
        <v>45351</v>
      </c>
      <c r="AS5" s="402">
        <f t="shared" si="5"/>
        <v>45382</v>
      </c>
      <c r="AT5" s="402">
        <f t="shared" si="5"/>
        <v>45412</v>
      </c>
      <c r="AU5" s="402">
        <f t="shared" si="5"/>
        <v>45443</v>
      </c>
      <c r="AV5" s="402">
        <f t="shared" si="5"/>
        <v>45473</v>
      </c>
      <c r="AW5" s="402">
        <f t="shared" si="5"/>
        <v>45504</v>
      </c>
      <c r="AX5" s="402">
        <f t="shared" si="5"/>
        <v>45535</v>
      </c>
      <c r="AY5" s="402">
        <f t="shared" si="5"/>
        <v>45565</v>
      </c>
      <c r="AZ5" s="402">
        <f t="shared" si="5"/>
        <v>45596</v>
      </c>
      <c r="BA5" s="402">
        <f t="shared" si="5"/>
        <v>45626</v>
      </c>
      <c r="BB5" s="402">
        <f t="shared" si="5"/>
        <v>45657</v>
      </c>
      <c r="BC5" s="402">
        <f t="shared" si="5"/>
        <v>45688</v>
      </c>
      <c r="BD5" s="402">
        <f t="shared" si="5"/>
        <v>45716</v>
      </c>
      <c r="BE5" s="402">
        <f t="shared" si="5"/>
        <v>45747</v>
      </c>
      <c r="BF5" s="402">
        <f t="shared" si="5"/>
        <v>45777</v>
      </c>
      <c r="BG5" s="402">
        <f t="shared" si="5"/>
        <v>45808</v>
      </c>
      <c r="BH5" s="402">
        <f t="shared" si="5"/>
        <v>45838</v>
      </c>
      <c r="BI5" s="402">
        <f t="shared" si="5"/>
        <v>45869</v>
      </c>
      <c r="BJ5" s="402">
        <f t="shared" si="5"/>
        <v>45900</v>
      </c>
      <c r="BK5" s="402">
        <f t="shared" si="5"/>
        <v>45930</v>
      </c>
      <c r="BL5" s="402">
        <f t="shared" si="5"/>
        <v>45961</v>
      </c>
      <c r="BM5" s="402">
        <f t="shared" si="5"/>
        <v>45991</v>
      </c>
      <c r="BN5" s="402">
        <f t="shared" si="5"/>
        <v>46022</v>
      </c>
      <c r="BO5" s="402">
        <f t="shared" si="5"/>
        <v>46053</v>
      </c>
      <c r="BP5" s="402">
        <f t="shared" si="5"/>
        <v>46081</v>
      </c>
      <c r="BQ5" s="402">
        <f t="shared" si="5"/>
        <v>46112</v>
      </c>
      <c r="BR5" s="402">
        <f t="shared" si="5"/>
        <v>46142</v>
      </c>
      <c r="BS5" s="402">
        <f t="shared" si="5"/>
        <v>46173</v>
      </c>
      <c r="BT5" s="402">
        <f t="shared" si="5"/>
        <v>46203</v>
      </c>
      <c r="BU5" s="402">
        <f t="shared" si="5"/>
        <v>46234</v>
      </c>
      <c r="BV5" s="402">
        <f t="shared" si="5"/>
        <v>46265</v>
      </c>
      <c r="BW5" s="402">
        <f t="shared" si="5"/>
        <v>46295</v>
      </c>
      <c r="BX5" s="402">
        <f t="shared" si="5"/>
        <v>46326</v>
      </c>
      <c r="BY5" s="402">
        <f t="shared" si="5"/>
        <v>46356</v>
      </c>
      <c r="BZ5" s="402">
        <f t="shared" si="5"/>
        <v>46387</v>
      </c>
      <c r="CA5" s="50"/>
    </row>
    <row r="6" spans="1:79" s="534" customFormat="1" ht="21" hidden="1" customHeight="1" outlineLevel="2">
      <c r="A6" s="50"/>
      <c r="B6" s="356"/>
      <c r="C6" s="355"/>
      <c r="D6" s="50"/>
      <c r="E6" s="372"/>
      <c r="F6" s="853"/>
      <c r="G6" s="369">
        <f>YEAR(EOMONTH(G5,-Fiscal_Offset))</f>
        <v>2023</v>
      </c>
      <c r="H6" s="369">
        <f>YEAR(EOMONTH(H5,-Fiscal_Offset))</f>
        <v>2024</v>
      </c>
      <c r="I6" s="369">
        <f>YEAR(EOMONTH(I5,-Fiscal_Offset))</f>
        <v>2025</v>
      </c>
      <c r="J6" s="369">
        <f>YEAR(EOMONTH(J5,-Fiscal_Offset))</f>
        <v>2026</v>
      </c>
      <c r="K6" s="148"/>
      <c r="L6" s="853"/>
      <c r="M6" s="369">
        <f t="shared" ref="M6:AB6" si="6">YEAR(EOMONTH(M5,-Fiscal_Offset))</f>
        <v>2023</v>
      </c>
      <c r="N6" s="369">
        <f t="shared" si="6"/>
        <v>2023</v>
      </c>
      <c r="O6" s="369">
        <f t="shared" si="6"/>
        <v>2023</v>
      </c>
      <c r="P6" s="369">
        <f t="shared" si="6"/>
        <v>2023</v>
      </c>
      <c r="Q6" s="369">
        <f t="shared" si="6"/>
        <v>2024</v>
      </c>
      <c r="R6" s="369">
        <f t="shared" si="6"/>
        <v>2024</v>
      </c>
      <c r="S6" s="369">
        <f t="shared" si="6"/>
        <v>2024</v>
      </c>
      <c r="T6" s="369">
        <f t="shared" si="6"/>
        <v>2024</v>
      </c>
      <c r="U6" s="369">
        <f t="shared" si="6"/>
        <v>2025</v>
      </c>
      <c r="V6" s="369">
        <f t="shared" si="6"/>
        <v>2025</v>
      </c>
      <c r="W6" s="369">
        <f t="shared" si="6"/>
        <v>2025</v>
      </c>
      <c r="X6" s="369">
        <f t="shared" si="6"/>
        <v>2025</v>
      </c>
      <c r="Y6" s="369">
        <f t="shared" si="6"/>
        <v>2026</v>
      </c>
      <c r="Z6" s="369">
        <f t="shared" si="6"/>
        <v>2026</v>
      </c>
      <c r="AA6" s="369">
        <f t="shared" si="6"/>
        <v>2026</v>
      </c>
      <c r="AB6" s="369">
        <f t="shared" si="6"/>
        <v>2026</v>
      </c>
      <c r="AC6" s="399"/>
      <c r="AD6" s="853"/>
      <c r="AE6" s="369">
        <f t="shared" ref="AE6:BZ6" si="7">YEAR(EOMONTH(AE5,-Fiscal_Offset))</f>
        <v>2023</v>
      </c>
      <c r="AF6" s="369">
        <f t="shared" si="7"/>
        <v>2023</v>
      </c>
      <c r="AG6" s="369">
        <f t="shared" si="7"/>
        <v>2023</v>
      </c>
      <c r="AH6" s="369">
        <f t="shared" si="7"/>
        <v>2023</v>
      </c>
      <c r="AI6" s="369">
        <f t="shared" si="7"/>
        <v>2023</v>
      </c>
      <c r="AJ6" s="369">
        <f t="shared" si="7"/>
        <v>2023</v>
      </c>
      <c r="AK6" s="369">
        <f t="shared" si="7"/>
        <v>2023</v>
      </c>
      <c r="AL6" s="369">
        <f t="shared" si="7"/>
        <v>2023</v>
      </c>
      <c r="AM6" s="369">
        <f t="shared" si="7"/>
        <v>2023</v>
      </c>
      <c r="AN6" s="369">
        <f t="shared" si="7"/>
        <v>2023</v>
      </c>
      <c r="AO6" s="369">
        <f t="shared" si="7"/>
        <v>2023</v>
      </c>
      <c r="AP6" s="369">
        <f t="shared" si="7"/>
        <v>2023</v>
      </c>
      <c r="AQ6" s="369">
        <f t="shared" si="7"/>
        <v>2024</v>
      </c>
      <c r="AR6" s="369">
        <f t="shared" si="7"/>
        <v>2024</v>
      </c>
      <c r="AS6" s="369">
        <f t="shared" si="7"/>
        <v>2024</v>
      </c>
      <c r="AT6" s="369">
        <f t="shared" si="7"/>
        <v>2024</v>
      </c>
      <c r="AU6" s="369">
        <f t="shared" si="7"/>
        <v>2024</v>
      </c>
      <c r="AV6" s="369">
        <f t="shared" si="7"/>
        <v>2024</v>
      </c>
      <c r="AW6" s="369">
        <f t="shared" si="7"/>
        <v>2024</v>
      </c>
      <c r="AX6" s="369">
        <f t="shared" si="7"/>
        <v>2024</v>
      </c>
      <c r="AY6" s="369">
        <f t="shared" si="7"/>
        <v>2024</v>
      </c>
      <c r="AZ6" s="369">
        <f t="shared" si="7"/>
        <v>2024</v>
      </c>
      <c r="BA6" s="369">
        <f t="shared" si="7"/>
        <v>2024</v>
      </c>
      <c r="BB6" s="369">
        <f t="shared" si="7"/>
        <v>2024</v>
      </c>
      <c r="BC6" s="369">
        <f t="shared" si="7"/>
        <v>2025</v>
      </c>
      <c r="BD6" s="369">
        <f t="shared" si="7"/>
        <v>2025</v>
      </c>
      <c r="BE6" s="369">
        <f t="shared" si="7"/>
        <v>2025</v>
      </c>
      <c r="BF6" s="369">
        <f t="shared" si="7"/>
        <v>2025</v>
      </c>
      <c r="BG6" s="369">
        <f t="shared" si="7"/>
        <v>2025</v>
      </c>
      <c r="BH6" s="369">
        <f t="shared" si="7"/>
        <v>2025</v>
      </c>
      <c r="BI6" s="369">
        <f t="shared" si="7"/>
        <v>2025</v>
      </c>
      <c r="BJ6" s="369">
        <f t="shared" si="7"/>
        <v>2025</v>
      </c>
      <c r="BK6" s="369">
        <f t="shared" si="7"/>
        <v>2025</v>
      </c>
      <c r="BL6" s="369">
        <f t="shared" si="7"/>
        <v>2025</v>
      </c>
      <c r="BM6" s="369">
        <f t="shared" si="7"/>
        <v>2025</v>
      </c>
      <c r="BN6" s="369">
        <f t="shared" si="7"/>
        <v>2025</v>
      </c>
      <c r="BO6" s="369">
        <f t="shared" si="7"/>
        <v>2026</v>
      </c>
      <c r="BP6" s="369">
        <f t="shared" si="7"/>
        <v>2026</v>
      </c>
      <c r="BQ6" s="369">
        <f t="shared" si="7"/>
        <v>2026</v>
      </c>
      <c r="BR6" s="369">
        <f t="shared" si="7"/>
        <v>2026</v>
      </c>
      <c r="BS6" s="369">
        <f t="shared" si="7"/>
        <v>2026</v>
      </c>
      <c r="BT6" s="369">
        <f t="shared" si="7"/>
        <v>2026</v>
      </c>
      <c r="BU6" s="369">
        <f t="shared" si="7"/>
        <v>2026</v>
      </c>
      <c r="BV6" s="369">
        <f t="shared" si="7"/>
        <v>2026</v>
      </c>
      <c r="BW6" s="369">
        <f t="shared" si="7"/>
        <v>2026</v>
      </c>
      <c r="BX6" s="369">
        <f t="shared" si="7"/>
        <v>2026</v>
      </c>
      <c r="BY6" s="369">
        <f t="shared" si="7"/>
        <v>2026</v>
      </c>
      <c r="BZ6" s="369">
        <f t="shared" si="7"/>
        <v>2026</v>
      </c>
      <c r="CA6" s="50"/>
    </row>
    <row r="7" spans="1:79" s="534" customFormat="1" ht="21" hidden="1" customHeight="1" outlineLevel="2">
      <c r="A7" s="50"/>
      <c r="B7" s="356"/>
      <c r="C7" s="355"/>
      <c r="D7" s="50"/>
      <c r="E7" s="372"/>
      <c r="F7" s="853"/>
      <c r="G7" s="369" t="str">
        <f>"Q"&amp; ROUNDUP(MONTH(EOMONTH(G5,-Fiscal_Offset))/3,0)</f>
        <v>Q4</v>
      </c>
      <c r="H7" s="369" t="str">
        <f>"Q"&amp; ROUNDUP(MONTH(EOMONTH(H5,-Fiscal_Offset))/3,0)</f>
        <v>Q4</v>
      </c>
      <c r="I7" s="369" t="str">
        <f>"Q"&amp; ROUNDUP(MONTH(EOMONTH(I5,-Fiscal_Offset))/3,0)</f>
        <v>Q4</v>
      </c>
      <c r="J7" s="369" t="str">
        <f>"Q"&amp; ROUNDUP(MONTH(EOMONTH(J5,-Fiscal_Offset))/3,0)</f>
        <v>Q4</v>
      </c>
      <c r="K7" s="148"/>
      <c r="L7" s="853"/>
      <c r="M7" s="369" t="str">
        <f t="shared" ref="M7:AB7" si="8">"Q"&amp; ROUNDUP(MONTH(EOMONTH(M5,-Fiscal_Offset))/3,0)</f>
        <v>Q1</v>
      </c>
      <c r="N7" s="369" t="str">
        <f t="shared" si="8"/>
        <v>Q2</v>
      </c>
      <c r="O7" s="369" t="str">
        <f t="shared" si="8"/>
        <v>Q3</v>
      </c>
      <c r="P7" s="369" t="str">
        <f t="shared" si="8"/>
        <v>Q4</v>
      </c>
      <c r="Q7" s="369" t="str">
        <f t="shared" si="8"/>
        <v>Q1</v>
      </c>
      <c r="R7" s="369" t="str">
        <f t="shared" si="8"/>
        <v>Q2</v>
      </c>
      <c r="S7" s="369" t="str">
        <f t="shared" si="8"/>
        <v>Q3</v>
      </c>
      <c r="T7" s="369" t="str">
        <f t="shared" si="8"/>
        <v>Q4</v>
      </c>
      <c r="U7" s="369" t="str">
        <f t="shared" si="8"/>
        <v>Q1</v>
      </c>
      <c r="V7" s="369" t="str">
        <f t="shared" si="8"/>
        <v>Q2</v>
      </c>
      <c r="W7" s="369" t="str">
        <f t="shared" si="8"/>
        <v>Q3</v>
      </c>
      <c r="X7" s="369" t="str">
        <f t="shared" si="8"/>
        <v>Q4</v>
      </c>
      <c r="Y7" s="369" t="str">
        <f t="shared" si="8"/>
        <v>Q1</v>
      </c>
      <c r="Z7" s="369" t="str">
        <f t="shared" si="8"/>
        <v>Q2</v>
      </c>
      <c r="AA7" s="369" t="str">
        <f t="shared" si="8"/>
        <v>Q3</v>
      </c>
      <c r="AB7" s="369" t="str">
        <f t="shared" si="8"/>
        <v>Q4</v>
      </c>
      <c r="AC7" s="399"/>
      <c r="AD7" s="853"/>
      <c r="AE7" s="369" t="str">
        <f t="shared" ref="AE7:BZ7" si="9">"Q"&amp; ROUNDUP(MONTH(EOMONTH(AE5,-Fiscal_Offset))/3,0)</f>
        <v>Q1</v>
      </c>
      <c r="AF7" s="369" t="str">
        <f t="shared" si="9"/>
        <v>Q1</v>
      </c>
      <c r="AG7" s="369" t="str">
        <f t="shared" si="9"/>
        <v>Q1</v>
      </c>
      <c r="AH7" s="369" t="str">
        <f t="shared" si="9"/>
        <v>Q2</v>
      </c>
      <c r="AI7" s="369" t="str">
        <f t="shared" si="9"/>
        <v>Q2</v>
      </c>
      <c r="AJ7" s="369" t="str">
        <f t="shared" si="9"/>
        <v>Q2</v>
      </c>
      <c r="AK7" s="369" t="str">
        <f t="shared" si="9"/>
        <v>Q3</v>
      </c>
      <c r="AL7" s="369" t="str">
        <f t="shared" si="9"/>
        <v>Q3</v>
      </c>
      <c r="AM7" s="369" t="str">
        <f t="shared" si="9"/>
        <v>Q3</v>
      </c>
      <c r="AN7" s="369" t="str">
        <f t="shared" si="9"/>
        <v>Q4</v>
      </c>
      <c r="AO7" s="369" t="str">
        <f t="shared" si="9"/>
        <v>Q4</v>
      </c>
      <c r="AP7" s="369" t="str">
        <f t="shared" si="9"/>
        <v>Q4</v>
      </c>
      <c r="AQ7" s="369" t="str">
        <f t="shared" si="9"/>
        <v>Q1</v>
      </c>
      <c r="AR7" s="369" t="str">
        <f t="shared" si="9"/>
        <v>Q1</v>
      </c>
      <c r="AS7" s="369" t="str">
        <f t="shared" si="9"/>
        <v>Q1</v>
      </c>
      <c r="AT7" s="369" t="str">
        <f t="shared" si="9"/>
        <v>Q2</v>
      </c>
      <c r="AU7" s="369" t="str">
        <f t="shared" si="9"/>
        <v>Q2</v>
      </c>
      <c r="AV7" s="369" t="str">
        <f t="shared" si="9"/>
        <v>Q2</v>
      </c>
      <c r="AW7" s="369" t="str">
        <f t="shared" si="9"/>
        <v>Q3</v>
      </c>
      <c r="AX7" s="369" t="str">
        <f t="shared" si="9"/>
        <v>Q3</v>
      </c>
      <c r="AY7" s="369" t="str">
        <f t="shared" si="9"/>
        <v>Q3</v>
      </c>
      <c r="AZ7" s="369" t="str">
        <f t="shared" si="9"/>
        <v>Q4</v>
      </c>
      <c r="BA7" s="369" t="str">
        <f t="shared" si="9"/>
        <v>Q4</v>
      </c>
      <c r="BB7" s="369" t="str">
        <f t="shared" si="9"/>
        <v>Q4</v>
      </c>
      <c r="BC7" s="369" t="str">
        <f t="shared" si="9"/>
        <v>Q1</v>
      </c>
      <c r="BD7" s="369" t="str">
        <f t="shared" si="9"/>
        <v>Q1</v>
      </c>
      <c r="BE7" s="369" t="str">
        <f t="shared" si="9"/>
        <v>Q1</v>
      </c>
      <c r="BF7" s="369" t="str">
        <f t="shared" si="9"/>
        <v>Q2</v>
      </c>
      <c r="BG7" s="369" t="str">
        <f t="shared" si="9"/>
        <v>Q2</v>
      </c>
      <c r="BH7" s="369" t="str">
        <f t="shared" si="9"/>
        <v>Q2</v>
      </c>
      <c r="BI7" s="369" t="str">
        <f t="shared" si="9"/>
        <v>Q3</v>
      </c>
      <c r="BJ7" s="369" t="str">
        <f t="shared" si="9"/>
        <v>Q3</v>
      </c>
      <c r="BK7" s="369" t="str">
        <f t="shared" si="9"/>
        <v>Q3</v>
      </c>
      <c r="BL7" s="369" t="str">
        <f t="shared" si="9"/>
        <v>Q4</v>
      </c>
      <c r="BM7" s="369" t="str">
        <f t="shared" si="9"/>
        <v>Q4</v>
      </c>
      <c r="BN7" s="369" t="str">
        <f t="shared" si="9"/>
        <v>Q4</v>
      </c>
      <c r="BO7" s="369" t="str">
        <f t="shared" si="9"/>
        <v>Q1</v>
      </c>
      <c r="BP7" s="369" t="str">
        <f t="shared" si="9"/>
        <v>Q1</v>
      </c>
      <c r="BQ7" s="369" t="str">
        <f t="shared" si="9"/>
        <v>Q1</v>
      </c>
      <c r="BR7" s="369" t="str">
        <f t="shared" si="9"/>
        <v>Q2</v>
      </c>
      <c r="BS7" s="369" t="str">
        <f t="shared" si="9"/>
        <v>Q2</v>
      </c>
      <c r="BT7" s="369" t="str">
        <f t="shared" si="9"/>
        <v>Q2</v>
      </c>
      <c r="BU7" s="369" t="str">
        <f t="shared" si="9"/>
        <v>Q3</v>
      </c>
      <c r="BV7" s="369" t="str">
        <f t="shared" si="9"/>
        <v>Q3</v>
      </c>
      <c r="BW7" s="369" t="str">
        <f t="shared" si="9"/>
        <v>Q3</v>
      </c>
      <c r="BX7" s="369" t="str">
        <f t="shared" si="9"/>
        <v>Q4</v>
      </c>
      <c r="BY7" s="369" t="str">
        <f t="shared" si="9"/>
        <v>Q4</v>
      </c>
      <c r="BZ7" s="369" t="str">
        <f t="shared" si="9"/>
        <v>Q4</v>
      </c>
      <c r="CA7" s="50"/>
    </row>
    <row r="8" spans="1:79" s="533" customFormat="1" ht="35.1" customHeight="1">
      <c r="A8" s="51"/>
      <c r="B8" s="387"/>
      <c r="C8" s="386"/>
      <c r="D8" s="51"/>
      <c r="E8" s="526"/>
      <c r="F8" s="853"/>
      <c r="G8" s="398">
        <f>G6</f>
        <v>2023</v>
      </c>
      <c r="H8" s="398">
        <f>H6</f>
        <v>2024</v>
      </c>
      <c r="I8" s="398">
        <f>I6</f>
        <v>2025</v>
      </c>
      <c r="J8" s="398">
        <f>J6</f>
        <v>2026</v>
      </c>
      <c r="K8" s="172"/>
      <c r="L8" s="853"/>
      <c r="M8" s="397" t="str">
        <f t="shared" ref="M8:AB8" si="10">CONCATENATE(CONCATENATE(M$7," ",M$6))</f>
        <v>Q1 2023</v>
      </c>
      <c r="N8" s="397" t="str">
        <f t="shared" si="10"/>
        <v>Q2 2023</v>
      </c>
      <c r="O8" s="397" t="str">
        <f t="shared" si="10"/>
        <v>Q3 2023</v>
      </c>
      <c r="P8" s="397" t="str">
        <f t="shared" si="10"/>
        <v>Q4 2023</v>
      </c>
      <c r="Q8" s="397" t="str">
        <f t="shared" si="10"/>
        <v>Q1 2024</v>
      </c>
      <c r="R8" s="397" t="str">
        <f t="shared" si="10"/>
        <v>Q2 2024</v>
      </c>
      <c r="S8" s="397" t="str">
        <f t="shared" si="10"/>
        <v>Q3 2024</v>
      </c>
      <c r="T8" s="397" t="str">
        <f t="shared" si="10"/>
        <v>Q4 2024</v>
      </c>
      <c r="U8" s="397" t="str">
        <f t="shared" si="10"/>
        <v>Q1 2025</v>
      </c>
      <c r="V8" s="397" t="str">
        <f t="shared" si="10"/>
        <v>Q2 2025</v>
      </c>
      <c r="W8" s="397" t="str">
        <f t="shared" si="10"/>
        <v>Q3 2025</v>
      </c>
      <c r="X8" s="397" t="str">
        <f t="shared" si="10"/>
        <v>Q4 2025</v>
      </c>
      <c r="Y8" s="397" t="str">
        <f t="shared" si="10"/>
        <v>Q1 2026</v>
      </c>
      <c r="Z8" s="397" t="str">
        <f t="shared" si="10"/>
        <v>Q2 2026</v>
      </c>
      <c r="AA8" s="397" t="str">
        <f t="shared" si="10"/>
        <v>Q3 2026</v>
      </c>
      <c r="AB8" s="397" t="str">
        <f t="shared" si="10"/>
        <v>Q4 2026</v>
      </c>
      <c r="AC8" s="396"/>
      <c r="AD8" s="853"/>
      <c r="AE8" s="395">
        <f t="shared" ref="AE8:BZ8" si="11">AE5</f>
        <v>44957</v>
      </c>
      <c r="AF8" s="395">
        <f t="shared" si="11"/>
        <v>44985</v>
      </c>
      <c r="AG8" s="395">
        <f t="shared" si="11"/>
        <v>45016</v>
      </c>
      <c r="AH8" s="395">
        <f t="shared" si="11"/>
        <v>45046</v>
      </c>
      <c r="AI8" s="395">
        <f t="shared" si="11"/>
        <v>45077</v>
      </c>
      <c r="AJ8" s="395">
        <f t="shared" si="11"/>
        <v>45107</v>
      </c>
      <c r="AK8" s="395">
        <f t="shared" si="11"/>
        <v>45138</v>
      </c>
      <c r="AL8" s="395">
        <f t="shared" si="11"/>
        <v>45169</v>
      </c>
      <c r="AM8" s="395">
        <f t="shared" si="11"/>
        <v>45199</v>
      </c>
      <c r="AN8" s="395">
        <f t="shared" si="11"/>
        <v>45230</v>
      </c>
      <c r="AO8" s="395">
        <f t="shared" si="11"/>
        <v>45260</v>
      </c>
      <c r="AP8" s="395">
        <f t="shared" si="11"/>
        <v>45291</v>
      </c>
      <c r="AQ8" s="395">
        <f t="shared" si="11"/>
        <v>45322</v>
      </c>
      <c r="AR8" s="395">
        <f t="shared" si="11"/>
        <v>45351</v>
      </c>
      <c r="AS8" s="395">
        <f t="shared" si="11"/>
        <v>45382</v>
      </c>
      <c r="AT8" s="395">
        <f t="shared" si="11"/>
        <v>45412</v>
      </c>
      <c r="AU8" s="395">
        <f t="shared" si="11"/>
        <v>45443</v>
      </c>
      <c r="AV8" s="395">
        <f t="shared" si="11"/>
        <v>45473</v>
      </c>
      <c r="AW8" s="395">
        <f t="shared" si="11"/>
        <v>45504</v>
      </c>
      <c r="AX8" s="395">
        <f t="shared" si="11"/>
        <v>45535</v>
      </c>
      <c r="AY8" s="395">
        <f t="shared" si="11"/>
        <v>45565</v>
      </c>
      <c r="AZ8" s="395">
        <f t="shared" si="11"/>
        <v>45596</v>
      </c>
      <c r="BA8" s="395">
        <f t="shared" si="11"/>
        <v>45626</v>
      </c>
      <c r="BB8" s="395">
        <f t="shared" si="11"/>
        <v>45657</v>
      </c>
      <c r="BC8" s="395">
        <f t="shared" si="11"/>
        <v>45688</v>
      </c>
      <c r="BD8" s="395">
        <f t="shared" si="11"/>
        <v>45716</v>
      </c>
      <c r="BE8" s="395">
        <f t="shared" si="11"/>
        <v>45747</v>
      </c>
      <c r="BF8" s="395">
        <f t="shared" si="11"/>
        <v>45777</v>
      </c>
      <c r="BG8" s="395">
        <f t="shared" si="11"/>
        <v>45808</v>
      </c>
      <c r="BH8" s="395">
        <f t="shared" si="11"/>
        <v>45838</v>
      </c>
      <c r="BI8" s="395">
        <f t="shared" si="11"/>
        <v>45869</v>
      </c>
      <c r="BJ8" s="395">
        <f t="shared" si="11"/>
        <v>45900</v>
      </c>
      <c r="BK8" s="395">
        <f t="shared" si="11"/>
        <v>45930</v>
      </c>
      <c r="BL8" s="395">
        <f t="shared" si="11"/>
        <v>45961</v>
      </c>
      <c r="BM8" s="395">
        <f t="shared" si="11"/>
        <v>45991</v>
      </c>
      <c r="BN8" s="395">
        <f t="shared" si="11"/>
        <v>46022</v>
      </c>
      <c r="BO8" s="395">
        <f t="shared" si="11"/>
        <v>46053</v>
      </c>
      <c r="BP8" s="395">
        <f t="shared" si="11"/>
        <v>46081</v>
      </c>
      <c r="BQ8" s="395">
        <f t="shared" si="11"/>
        <v>46112</v>
      </c>
      <c r="BR8" s="395">
        <f t="shared" si="11"/>
        <v>46142</v>
      </c>
      <c r="BS8" s="395">
        <f t="shared" si="11"/>
        <v>46173</v>
      </c>
      <c r="BT8" s="395">
        <f t="shared" si="11"/>
        <v>46203</v>
      </c>
      <c r="BU8" s="395">
        <f t="shared" si="11"/>
        <v>46234</v>
      </c>
      <c r="BV8" s="395">
        <f t="shared" si="11"/>
        <v>46265</v>
      </c>
      <c r="BW8" s="395">
        <f t="shared" si="11"/>
        <v>46295</v>
      </c>
      <c r="BX8" s="395">
        <f t="shared" si="11"/>
        <v>46326</v>
      </c>
      <c r="BY8" s="395">
        <f t="shared" si="11"/>
        <v>46356</v>
      </c>
      <c r="BZ8" s="395">
        <f t="shared" si="11"/>
        <v>46387</v>
      </c>
      <c r="CA8" s="51"/>
    </row>
    <row r="9" spans="1:79" s="51" customFormat="1" ht="24">
      <c r="B9" s="632" t="s">
        <v>411</v>
      </c>
      <c r="C9" s="475"/>
      <c r="D9" s="475"/>
      <c r="E9" s="633"/>
      <c r="F9" s="359"/>
      <c r="G9" s="634"/>
      <c r="H9" s="634"/>
      <c r="I9" s="634"/>
      <c r="J9" s="634"/>
      <c r="L9" s="359"/>
      <c r="M9" s="634"/>
      <c r="N9" s="634"/>
      <c r="O9" s="634"/>
      <c r="P9" s="634"/>
      <c r="Q9" s="634"/>
      <c r="R9" s="634"/>
      <c r="S9" s="634"/>
      <c r="T9" s="634"/>
      <c r="U9" s="634"/>
      <c r="V9" s="634"/>
      <c r="W9" s="634"/>
      <c r="X9" s="634"/>
      <c r="Y9" s="634"/>
      <c r="Z9" s="634"/>
      <c r="AA9" s="634"/>
      <c r="AB9" s="634"/>
      <c r="AD9" s="359"/>
      <c r="AE9" s="634"/>
      <c r="AF9" s="634"/>
      <c r="AG9" s="634"/>
      <c r="AH9" s="634"/>
      <c r="AI9" s="634"/>
      <c r="AJ9" s="634"/>
      <c r="AK9" s="634"/>
      <c r="AL9" s="634"/>
      <c r="AM9" s="634"/>
      <c r="AN9" s="634"/>
      <c r="AO9" s="634"/>
      <c r="AP9" s="634"/>
      <c r="AQ9" s="634"/>
      <c r="AR9" s="634"/>
      <c r="AS9" s="634"/>
      <c r="AT9" s="634"/>
      <c r="AU9" s="634"/>
      <c r="AV9" s="634"/>
      <c r="AW9" s="634"/>
      <c r="AX9" s="634"/>
      <c r="AY9" s="634"/>
      <c r="AZ9" s="634"/>
      <c r="BA9" s="634"/>
      <c r="BB9" s="634"/>
      <c r="BC9" s="634"/>
      <c r="BD9" s="634"/>
      <c r="BE9" s="634"/>
      <c r="BF9" s="634"/>
      <c r="BG9" s="634"/>
      <c r="BH9" s="634"/>
      <c r="BI9" s="634"/>
      <c r="BJ9" s="634"/>
      <c r="BK9" s="634"/>
      <c r="BL9" s="634"/>
      <c r="BM9" s="634"/>
      <c r="BN9" s="634"/>
      <c r="BO9" s="634"/>
      <c r="BP9" s="634"/>
      <c r="BQ9" s="634"/>
      <c r="BR9" s="634"/>
      <c r="BS9" s="634"/>
      <c r="BT9" s="634"/>
      <c r="BU9" s="634"/>
      <c r="BV9" s="634"/>
      <c r="BW9" s="634"/>
      <c r="BX9" s="634"/>
      <c r="BY9" s="634"/>
      <c r="BZ9" s="634"/>
    </row>
    <row r="10" spans="1:79" s="51" customFormat="1" ht="15" outlineLevel="1">
      <c r="A10" s="50"/>
      <c r="B10" s="367"/>
      <c r="C10" s="523" t="s">
        <v>142</v>
      </c>
      <c r="D10" s="366"/>
      <c r="E10" s="523"/>
      <c r="F10" s="531"/>
      <c r="G10" s="385"/>
      <c r="H10" s="385"/>
      <c r="I10" s="385"/>
      <c r="J10" s="385"/>
      <c r="K10" s="385"/>
      <c r="L10" s="531"/>
      <c r="M10" s="385"/>
      <c r="N10" s="385"/>
      <c r="O10" s="385"/>
      <c r="P10" s="385"/>
      <c r="Q10" s="385"/>
      <c r="R10" s="385"/>
      <c r="S10" s="385"/>
      <c r="T10" s="385"/>
      <c r="U10" s="385"/>
      <c r="V10" s="385"/>
      <c r="W10" s="385"/>
      <c r="X10" s="385"/>
      <c r="Y10" s="385"/>
      <c r="Z10" s="385"/>
      <c r="AA10" s="385"/>
      <c r="AB10" s="385"/>
      <c r="AD10" s="531"/>
      <c r="AE10" s="384"/>
      <c r="AF10" s="384"/>
      <c r="AG10" s="384"/>
      <c r="AH10" s="384"/>
      <c r="AI10" s="384"/>
      <c r="AJ10" s="384"/>
      <c r="AK10" s="384"/>
      <c r="AL10" s="384"/>
      <c r="AM10" s="384"/>
      <c r="AN10" s="384"/>
      <c r="AO10" s="384"/>
      <c r="AP10" s="384"/>
      <c r="AQ10" s="384"/>
      <c r="AR10" s="384"/>
      <c r="AS10" s="384"/>
      <c r="AT10" s="384"/>
      <c r="AU10" s="384"/>
      <c r="AV10" s="384"/>
      <c r="AW10" s="384"/>
      <c r="AX10" s="384"/>
      <c r="AY10" s="384"/>
      <c r="AZ10" s="384"/>
      <c r="BA10" s="384"/>
      <c r="BB10" s="384"/>
      <c r="BC10" s="384"/>
      <c r="BD10" s="384"/>
      <c r="BE10" s="384"/>
      <c r="BF10" s="384"/>
      <c r="BG10" s="384"/>
      <c r="BH10" s="384"/>
      <c r="BI10" s="384"/>
      <c r="BJ10" s="384"/>
      <c r="BK10" s="384"/>
      <c r="BL10" s="384"/>
      <c r="BM10" s="384"/>
      <c r="BN10" s="384"/>
      <c r="BO10" s="384"/>
      <c r="BP10" s="384"/>
      <c r="BQ10" s="384"/>
      <c r="BR10" s="384"/>
      <c r="BS10" s="384"/>
      <c r="BT10" s="384"/>
      <c r="BU10" s="384"/>
      <c r="BV10" s="384"/>
      <c r="BW10" s="384"/>
      <c r="BX10" s="384"/>
      <c r="BY10" s="384"/>
      <c r="BZ10" s="384"/>
    </row>
    <row r="11" spans="1:79" s="51" customFormat="1" ht="15" outlineLevel="1">
      <c r="A11" s="50"/>
      <c r="B11" s="367"/>
      <c r="C11" s="370"/>
      <c r="D11" s="383" t="s">
        <v>428</v>
      </c>
      <c r="E11" s="369"/>
      <c r="F11" s="531"/>
      <c r="G11" s="385"/>
      <c r="H11" s="385"/>
      <c r="I11" s="385"/>
      <c r="J11" s="385"/>
      <c r="K11" s="385"/>
      <c r="L11" s="531"/>
      <c r="M11" s="385"/>
      <c r="N11" s="385"/>
      <c r="O11" s="385"/>
      <c r="P11" s="385"/>
      <c r="Q11" s="385"/>
      <c r="R11" s="385"/>
      <c r="S11" s="385"/>
      <c r="T11" s="385"/>
      <c r="U11" s="385"/>
      <c r="V11" s="385"/>
      <c r="W11" s="385"/>
      <c r="X11" s="385"/>
      <c r="Y11" s="385"/>
      <c r="Z11" s="385"/>
      <c r="AA11" s="385"/>
      <c r="AB11" s="385"/>
      <c r="AD11" s="531"/>
      <c r="AE11" s="384"/>
      <c r="AF11" s="384"/>
      <c r="AG11" s="384"/>
      <c r="AH11" s="384"/>
      <c r="AI11" s="384"/>
      <c r="AJ11" s="384"/>
      <c r="AK11" s="384"/>
      <c r="AL11" s="384"/>
      <c r="AM11" s="384"/>
      <c r="AN11" s="384"/>
      <c r="AO11" s="384"/>
      <c r="AP11" s="384"/>
      <c r="AQ11" s="384"/>
      <c r="AR11" s="384"/>
      <c r="AS11" s="384"/>
      <c r="AT11" s="384"/>
      <c r="AU11" s="384"/>
      <c r="AV11" s="384"/>
      <c r="AW11" s="384"/>
      <c r="AX11" s="384"/>
      <c r="AY11" s="384"/>
      <c r="AZ11" s="384"/>
      <c r="BA11" s="384"/>
      <c r="BB11" s="384"/>
      <c r="BC11" s="384"/>
      <c r="BD11" s="384"/>
      <c r="BE11" s="384"/>
      <c r="BF11" s="384"/>
      <c r="BG11" s="384"/>
      <c r="BH11" s="384"/>
      <c r="BI11" s="384"/>
      <c r="BJ11" s="384"/>
      <c r="BK11" s="384"/>
      <c r="BL11" s="384"/>
      <c r="BM11" s="384"/>
      <c r="BN11" s="384"/>
      <c r="BO11" s="384"/>
      <c r="BP11" s="384"/>
      <c r="BQ11" s="384"/>
      <c r="BR11" s="384"/>
      <c r="BS11" s="384"/>
      <c r="BT11" s="384"/>
      <c r="BU11" s="384"/>
      <c r="BV11" s="384"/>
      <c r="BW11" s="384"/>
      <c r="BX11" s="384"/>
      <c r="BY11" s="384"/>
      <c r="BZ11" s="384"/>
    </row>
    <row r="12" spans="1:79" s="51" customFormat="1" ht="15" outlineLevel="2">
      <c r="A12" s="50"/>
      <c r="B12" s="367"/>
      <c r="C12" s="370"/>
      <c r="D12" s="636">
        <v>1</v>
      </c>
      <c r="E12" s="532">
        <v>0.5</v>
      </c>
      <c r="F12" s="531"/>
      <c r="G12" s="385"/>
      <c r="H12" s="385"/>
      <c r="I12" s="385"/>
      <c r="J12" s="385"/>
      <c r="K12" s="385"/>
      <c r="L12" s="531"/>
      <c r="M12" s="385"/>
      <c r="N12" s="385"/>
      <c r="O12" s="385"/>
      <c r="P12" s="385"/>
      <c r="Q12" s="385"/>
      <c r="R12" s="385"/>
      <c r="S12" s="385"/>
      <c r="T12" s="385"/>
      <c r="U12" s="385"/>
      <c r="V12" s="385"/>
      <c r="W12" s="385"/>
      <c r="X12" s="385"/>
      <c r="Y12" s="385"/>
      <c r="Z12" s="385"/>
      <c r="AA12" s="385"/>
      <c r="AB12" s="385"/>
      <c r="AD12" s="531"/>
      <c r="AE12" s="384"/>
      <c r="AF12" s="384"/>
      <c r="AG12" s="384"/>
      <c r="AH12" s="384"/>
      <c r="AI12" s="384"/>
      <c r="AJ12" s="384"/>
      <c r="AK12" s="384"/>
      <c r="AL12" s="384"/>
      <c r="AM12" s="384"/>
      <c r="AN12" s="384"/>
      <c r="AO12" s="384"/>
      <c r="AP12" s="384"/>
      <c r="AQ12" s="384"/>
      <c r="AR12" s="384"/>
      <c r="AS12" s="384"/>
      <c r="AT12" s="384"/>
      <c r="AU12" s="384"/>
      <c r="AV12" s="384"/>
      <c r="AW12" s="384"/>
      <c r="AX12" s="384"/>
      <c r="AY12" s="384"/>
      <c r="AZ12" s="384"/>
      <c r="BA12" s="384"/>
      <c r="BB12" s="384"/>
      <c r="BC12" s="384"/>
      <c r="BD12" s="384"/>
      <c r="BE12" s="384"/>
      <c r="BF12" s="384"/>
      <c r="BG12" s="384"/>
      <c r="BH12" s="384"/>
      <c r="BI12" s="384"/>
      <c r="BJ12" s="384"/>
      <c r="BK12" s="384"/>
      <c r="BL12" s="384"/>
      <c r="BM12" s="384"/>
      <c r="BN12" s="384"/>
      <c r="BO12" s="384"/>
      <c r="BP12" s="384"/>
      <c r="BQ12" s="384"/>
      <c r="BR12" s="384"/>
      <c r="BS12" s="384"/>
      <c r="BT12" s="384"/>
      <c r="BU12" s="384"/>
      <c r="BV12" s="384"/>
      <c r="BW12" s="384"/>
      <c r="BX12" s="384"/>
      <c r="BY12" s="384"/>
      <c r="BZ12" s="384"/>
    </row>
    <row r="13" spans="1:79" s="51" customFormat="1" ht="15" outlineLevel="2">
      <c r="A13" s="50"/>
      <c r="B13" s="367"/>
      <c r="C13" s="370"/>
      <c r="D13" s="636">
        <f>D12+1</f>
        <v>2</v>
      </c>
      <c r="E13" s="532">
        <v>0.25</v>
      </c>
      <c r="F13" s="531"/>
      <c r="G13" s="385"/>
      <c r="H13" s="385"/>
      <c r="I13" s="385"/>
      <c r="J13" s="385"/>
      <c r="K13" s="385"/>
      <c r="L13" s="531"/>
      <c r="M13" s="385"/>
      <c r="N13" s="385"/>
      <c r="O13" s="385"/>
      <c r="P13" s="385"/>
      <c r="Q13" s="385"/>
      <c r="R13" s="385"/>
      <c r="S13" s="385"/>
      <c r="T13" s="385"/>
      <c r="U13" s="385"/>
      <c r="V13" s="385"/>
      <c r="W13" s="385"/>
      <c r="X13" s="385"/>
      <c r="Y13" s="385"/>
      <c r="Z13" s="385"/>
      <c r="AA13" s="385"/>
      <c r="AB13" s="385"/>
      <c r="AD13" s="531"/>
      <c r="AE13" s="384"/>
      <c r="AF13" s="384"/>
      <c r="AG13" s="384"/>
      <c r="AH13" s="384"/>
      <c r="AI13" s="384"/>
      <c r="AJ13" s="384"/>
      <c r="AK13" s="384"/>
      <c r="AL13" s="384"/>
      <c r="AM13" s="384"/>
      <c r="AN13" s="384"/>
      <c r="AO13" s="384"/>
      <c r="AP13" s="384"/>
      <c r="AQ13" s="384"/>
      <c r="AR13" s="384"/>
      <c r="AS13" s="384"/>
      <c r="AT13" s="384"/>
      <c r="AU13" s="384"/>
      <c r="AV13" s="384"/>
      <c r="AW13" s="384"/>
      <c r="AX13" s="384"/>
      <c r="AY13" s="384"/>
      <c r="AZ13" s="384"/>
      <c r="BA13" s="384"/>
      <c r="BB13" s="384"/>
      <c r="BC13" s="384"/>
      <c r="BD13" s="384"/>
      <c r="BE13" s="384"/>
      <c r="BF13" s="384"/>
      <c r="BG13" s="384"/>
      <c r="BH13" s="384"/>
      <c r="BI13" s="384"/>
      <c r="BJ13" s="384"/>
      <c r="BK13" s="384"/>
      <c r="BL13" s="384"/>
      <c r="BM13" s="384"/>
      <c r="BN13" s="384"/>
      <c r="BO13" s="384"/>
      <c r="BP13" s="384"/>
      <c r="BQ13" s="384"/>
      <c r="BR13" s="384"/>
      <c r="BS13" s="384"/>
      <c r="BT13" s="384"/>
      <c r="BU13" s="384"/>
      <c r="BV13" s="384"/>
      <c r="BW13" s="384"/>
      <c r="BX13" s="384"/>
      <c r="BY13" s="384"/>
      <c r="BZ13" s="384"/>
    </row>
    <row r="14" spans="1:79" s="51" customFormat="1" ht="15" outlineLevel="2">
      <c r="A14" s="50"/>
      <c r="B14" s="367"/>
      <c r="C14" s="370"/>
      <c r="D14" s="636">
        <f t="shared" ref="D14:D16" si="12">D13+1</f>
        <v>3</v>
      </c>
      <c r="E14" s="532">
        <v>0.25</v>
      </c>
      <c r="F14" s="531"/>
      <c r="G14" s="385"/>
      <c r="H14" s="385"/>
      <c r="I14" s="385"/>
      <c r="J14" s="385"/>
      <c r="K14" s="385"/>
      <c r="L14" s="531"/>
      <c r="M14" s="385"/>
      <c r="N14" s="385"/>
      <c r="O14" s="385"/>
      <c r="P14" s="385"/>
      <c r="Q14" s="385"/>
      <c r="R14" s="385"/>
      <c r="S14" s="385"/>
      <c r="T14" s="385"/>
      <c r="U14" s="385"/>
      <c r="V14" s="385"/>
      <c r="W14" s="385"/>
      <c r="X14" s="385"/>
      <c r="Y14" s="385"/>
      <c r="Z14" s="385"/>
      <c r="AA14" s="385"/>
      <c r="AB14" s="385"/>
      <c r="AD14" s="531"/>
      <c r="AE14" s="384"/>
      <c r="AF14" s="384"/>
      <c r="AG14" s="384"/>
      <c r="AH14" s="384"/>
      <c r="AI14" s="384"/>
      <c r="AJ14" s="384"/>
      <c r="AK14" s="384"/>
      <c r="AL14" s="384"/>
      <c r="AM14" s="384"/>
      <c r="AN14" s="384"/>
      <c r="AO14" s="384"/>
      <c r="AP14" s="384"/>
      <c r="AQ14" s="384"/>
      <c r="AR14" s="384"/>
      <c r="AS14" s="384"/>
      <c r="AT14" s="384"/>
      <c r="AU14" s="384"/>
      <c r="AV14" s="384"/>
      <c r="AW14" s="384"/>
      <c r="AX14" s="384"/>
      <c r="AY14" s="384"/>
      <c r="AZ14" s="384"/>
      <c r="BA14" s="384"/>
      <c r="BB14" s="384"/>
      <c r="BC14" s="384"/>
      <c r="BD14" s="384"/>
      <c r="BE14" s="384"/>
      <c r="BF14" s="384"/>
      <c r="BG14" s="384"/>
      <c r="BH14" s="384"/>
      <c r="BI14" s="384"/>
      <c r="BJ14" s="384"/>
      <c r="BK14" s="384"/>
      <c r="BL14" s="384"/>
      <c r="BM14" s="384"/>
      <c r="BN14" s="384"/>
      <c r="BO14" s="384"/>
      <c r="BP14" s="384"/>
      <c r="BQ14" s="384"/>
      <c r="BR14" s="384"/>
      <c r="BS14" s="384"/>
      <c r="BT14" s="384"/>
      <c r="BU14" s="384"/>
      <c r="BV14" s="384"/>
      <c r="BW14" s="384"/>
      <c r="BX14" s="384"/>
      <c r="BY14" s="384"/>
      <c r="BZ14" s="384"/>
    </row>
    <row r="15" spans="1:79" s="51" customFormat="1" ht="15" outlineLevel="2">
      <c r="A15" s="50"/>
      <c r="B15" s="367"/>
      <c r="C15" s="370"/>
      <c r="D15" s="636">
        <f t="shared" si="12"/>
        <v>4</v>
      </c>
      <c r="E15" s="532">
        <v>0</v>
      </c>
      <c r="F15" s="531"/>
      <c r="G15" s="385"/>
      <c r="H15" s="385"/>
      <c r="I15" s="385"/>
      <c r="J15" s="385"/>
      <c r="K15" s="385"/>
      <c r="L15" s="531"/>
      <c r="M15" s="385"/>
      <c r="N15" s="385"/>
      <c r="O15" s="385"/>
      <c r="P15" s="385"/>
      <c r="Q15" s="385"/>
      <c r="R15" s="385"/>
      <c r="S15" s="385"/>
      <c r="T15" s="385"/>
      <c r="U15" s="385"/>
      <c r="V15" s="385"/>
      <c r="W15" s="385"/>
      <c r="X15" s="385"/>
      <c r="Y15" s="385"/>
      <c r="Z15" s="385"/>
      <c r="AA15" s="385"/>
      <c r="AB15" s="385"/>
      <c r="AD15" s="531"/>
      <c r="AE15" s="384"/>
      <c r="AF15" s="384"/>
      <c r="AG15" s="384"/>
      <c r="AH15" s="384"/>
      <c r="AI15" s="384"/>
      <c r="AJ15" s="384"/>
      <c r="AK15" s="384"/>
      <c r="AL15" s="384"/>
      <c r="AM15" s="384"/>
      <c r="AN15" s="384"/>
      <c r="AO15" s="384"/>
      <c r="AP15" s="384"/>
      <c r="AQ15" s="384"/>
      <c r="AR15" s="384"/>
      <c r="AS15" s="384"/>
      <c r="AT15" s="384"/>
      <c r="AU15" s="384"/>
      <c r="AV15" s="384"/>
      <c r="AW15" s="384"/>
      <c r="AX15" s="384"/>
      <c r="AY15" s="384"/>
      <c r="AZ15" s="384"/>
      <c r="BA15" s="384"/>
      <c r="BB15" s="384"/>
      <c r="BC15" s="384"/>
      <c r="BD15" s="384"/>
      <c r="BE15" s="384"/>
      <c r="BF15" s="384"/>
      <c r="BG15" s="384"/>
      <c r="BH15" s="384"/>
      <c r="BI15" s="384"/>
      <c r="BJ15" s="384"/>
      <c r="BK15" s="384"/>
      <c r="BL15" s="384"/>
      <c r="BM15" s="384"/>
      <c r="BN15" s="384"/>
      <c r="BO15" s="384"/>
      <c r="BP15" s="384"/>
      <c r="BQ15" s="384"/>
      <c r="BR15" s="384"/>
      <c r="BS15" s="384"/>
      <c r="BT15" s="384"/>
      <c r="BU15" s="384"/>
      <c r="BV15" s="384"/>
      <c r="BW15" s="384"/>
      <c r="BX15" s="384"/>
      <c r="BY15" s="384"/>
      <c r="BZ15" s="384"/>
    </row>
    <row r="16" spans="1:79" s="51" customFormat="1" ht="15" outlineLevel="2">
      <c r="A16" s="50"/>
      <c r="B16" s="367"/>
      <c r="C16" s="370"/>
      <c r="D16" s="636">
        <f t="shared" si="12"/>
        <v>5</v>
      </c>
      <c r="E16" s="532">
        <v>0</v>
      </c>
      <c r="F16" s="531"/>
      <c r="G16" s="385"/>
      <c r="H16" s="385"/>
      <c r="I16" s="385"/>
      <c r="J16" s="385"/>
      <c r="K16" s="385"/>
      <c r="L16" s="531"/>
      <c r="M16" s="385"/>
      <c r="N16" s="385"/>
      <c r="O16" s="385"/>
      <c r="P16" s="385"/>
      <c r="Q16" s="385"/>
      <c r="R16" s="385"/>
      <c r="S16" s="385"/>
      <c r="T16" s="385"/>
      <c r="U16" s="385"/>
      <c r="V16" s="385"/>
      <c r="W16" s="385"/>
      <c r="X16" s="385"/>
      <c r="Y16" s="385"/>
      <c r="Z16" s="385"/>
      <c r="AA16" s="385"/>
      <c r="AB16" s="385"/>
      <c r="AD16" s="531"/>
      <c r="AE16" s="384"/>
      <c r="AF16" s="384"/>
      <c r="AG16" s="384"/>
      <c r="AH16" s="384"/>
      <c r="AI16" s="384"/>
      <c r="AJ16" s="384"/>
      <c r="AK16" s="384"/>
      <c r="AL16" s="384"/>
      <c r="AM16" s="384"/>
      <c r="AN16" s="384"/>
      <c r="AO16" s="384"/>
      <c r="AP16" s="384"/>
      <c r="AQ16" s="384"/>
      <c r="AR16" s="384"/>
      <c r="AS16" s="384"/>
      <c r="AT16" s="384"/>
      <c r="AU16" s="384"/>
      <c r="AV16" s="384"/>
      <c r="AW16" s="384"/>
      <c r="AX16" s="384"/>
      <c r="AY16" s="384"/>
      <c r="AZ16" s="384"/>
      <c r="BA16" s="384"/>
      <c r="BB16" s="384"/>
      <c r="BC16" s="384"/>
      <c r="BD16" s="384"/>
      <c r="BE16" s="384"/>
      <c r="BF16" s="384"/>
      <c r="BG16" s="384"/>
      <c r="BH16" s="384"/>
      <c r="BI16" s="384"/>
      <c r="BJ16" s="384"/>
      <c r="BK16" s="384"/>
      <c r="BL16" s="384"/>
      <c r="BM16" s="384"/>
      <c r="BN16" s="384"/>
      <c r="BO16" s="384"/>
      <c r="BP16" s="384"/>
      <c r="BQ16" s="384"/>
      <c r="BR16" s="384"/>
      <c r="BS16" s="384"/>
      <c r="BT16" s="384"/>
      <c r="BU16" s="384"/>
      <c r="BV16" s="384"/>
      <c r="BW16" s="384"/>
      <c r="BX16" s="384"/>
      <c r="BY16" s="384"/>
      <c r="BZ16" s="384"/>
    </row>
    <row r="17" spans="1:83" s="51" customFormat="1" ht="15" outlineLevel="1">
      <c r="A17" s="50"/>
      <c r="B17" s="367"/>
      <c r="C17" s="370"/>
      <c r="D17" s="383" t="s">
        <v>429</v>
      </c>
      <c r="E17" s="369"/>
      <c r="F17" s="531"/>
      <c r="G17" s="385"/>
      <c r="H17" s="385"/>
      <c r="I17" s="385"/>
      <c r="J17" s="385"/>
      <c r="K17" s="385"/>
      <c r="L17" s="531"/>
      <c r="M17" s="385"/>
      <c r="N17" s="385"/>
      <c r="O17" s="385"/>
      <c r="P17" s="385"/>
      <c r="Q17" s="385"/>
      <c r="R17" s="385"/>
      <c r="S17" s="385"/>
      <c r="T17" s="385"/>
      <c r="U17" s="385"/>
      <c r="V17" s="385"/>
      <c r="W17" s="385"/>
      <c r="X17" s="385"/>
      <c r="Y17" s="385"/>
      <c r="Z17" s="385"/>
      <c r="AA17" s="385"/>
      <c r="AB17" s="385"/>
      <c r="AD17" s="531"/>
      <c r="AE17" s="384"/>
      <c r="AF17" s="384"/>
      <c r="AG17" s="384"/>
      <c r="AH17" s="384"/>
      <c r="AI17" s="384"/>
      <c r="AJ17" s="384"/>
      <c r="AK17" s="384"/>
      <c r="AL17" s="384"/>
      <c r="AM17" s="384"/>
      <c r="AN17" s="384"/>
      <c r="AO17" s="384"/>
      <c r="AP17" s="384"/>
      <c r="AQ17" s="384"/>
      <c r="AR17" s="384"/>
      <c r="AS17" s="384"/>
      <c r="AT17" s="384"/>
      <c r="AU17" s="384"/>
      <c r="AV17" s="384"/>
      <c r="AW17" s="384"/>
      <c r="AX17" s="384"/>
      <c r="AY17" s="384"/>
      <c r="AZ17" s="384"/>
      <c r="BA17" s="384"/>
      <c r="BB17" s="384"/>
      <c r="BC17" s="384"/>
      <c r="BD17" s="384"/>
      <c r="BE17" s="384"/>
      <c r="BF17" s="384"/>
      <c r="BG17" s="384"/>
      <c r="BH17" s="384"/>
      <c r="BI17" s="384"/>
      <c r="BJ17" s="384"/>
      <c r="BK17" s="384"/>
      <c r="BL17" s="384"/>
      <c r="BM17" s="384"/>
      <c r="BN17" s="384"/>
      <c r="BO17" s="384"/>
      <c r="BP17" s="384"/>
      <c r="BQ17" s="384"/>
      <c r="BR17" s="384"/>
      <c r="BS17" s="384"/>
      <c r="BT17" s="384"/>
      <c r="BU17" s="384"/>
      <c r="BV17" s="384"/>
      <c r="BW17" s="384"/>
      <c r="BX17" s="384"/>
      <c r="BY17" s="384"/>
      <c r="BZ17" s="384"/>
    </row>
    <row r="18" spans="1:83" s="51" customFormat="1" ht="15" outlineLevel="2">
      <c r="A18" s="50"/>
      <c r="B18" s="367"/>
      <c r="C18" s="370"/>
      <c r="D18" s="636">
        <v>0</v>
      </c>
      <c r="E18" s="532">
        <v>0</v>
      </c>
      <c r="F18" s="531"/>
      <c r="G18" s="385"/>
      <c r="H18" s="385"/>
      <c r="I18" s="385"/>
      <c r="J18" s="385"/>
      <c r="K18" s="385"/>
      <c r="L18" s="531"/>
      <c r="M18" s="385"/>
      <c r="N18" s="385"/>
      <c r="O18" s="385"/>
      <c r="P18" s="385"/>
      <c r="Q18" s="385"/>
      <c r="R18" s="385"/>
      <c r="S18" s="385"/>
      <c r="T18" s="385"/>
      <c r="U18" s="385"/>
      <c r="V18" s="385"/>
      <c r="W18" s="385"/>
      <c r="X18" s="385"/>
      <c r="Y18" s="385"/>
      <c r="Z18" s="385"/>
      <c r="AA18" s="385"/>
      <c r="AB18" s="385"/>
      <c r="AD18" s="531"/>
      <c r="AE18" s="384"/>
      <c r="AF18" s="384"/>
      <c r="AG18" s="384"/>
      <c r="AH18" s="384"/>
      <c r="AI18" s="384"/>
      <c r="AJ18" s="384"/>
      <c r="AK18" s="384"/>
      <c r="AL18" s="384"/>
      <c r="AM18" s="384"/>
      <c r="AN18" s="384"/>
      <c r="AO18" s="384"/>
      <c r="AP18" s="384"/>
      <c r="AQ18" s="384"/>
      <c r="AR18" s="384"/>
      <c r="AS18" s="384"/>
      <c r="AT18" s="384"/>
      <c r="AU18" s="384"/>
      <c r="AV18" s="384"/>
      <c r="AW18" s="384"/>
      <c r="AX18" s="384"/>
      <c r="AY18" s="384"/>
      <c r="AZ18" s="384"/>
      <c r="BA18" s="384"/>
      <c r="BB18" s="384"/>
      <c r="BC18" s="384"/>
      <c r="BD18" s="384"/>
      <c r="BE18" s="384"/>
      <c r="BF18" s="384"/>
      <c r="BG18" s="384"/>
      <c r="BH18" s="384"/>
      <c r="BI18" s="384"/>
      <c r="BJ18" s="384"/>
      <c r="BK18" s="384"/>
      <c r="BL18" s="384"/>
      <c r="BM18" s="384"/>
      <c r="BN18" s="384"/>
      <c r="BO18" s="384"/>
      <c r="BP18" s="384"/>
      <c r="BQ18" s="384"/>
      <c r="BR18" s="384"/>
      <c r="BS18" s="384"/>
      <c r="BT18" s="384"/>
      <c r="BU18" s="384"/>
      <c r="BV18" s="384"/>
      <c r="BW18" s="384"/>
      <c r="BX18" s="384"/>
      <c r="BY18" s="384"/>
      <c r="BZ18" s="384"/>
    </row>
    <row r="19" spans="1:83" s="51" customFormat="1" ht="15" outlineLevel="2">
      <c r="A19" s="50"/>
      <c r="B19" s="367"/>
      <c r="C19" s="370"/>
      <c r="D19" s="636">
        <v>1</v>
      </c>
      <c r="E19" s="532">
        <v>1</v>
      </c>
      <c r="F19" s="531"/>
      <c r="G19" s="385"/>
      <c r="H19" s="385"/>
      <c r="I19" s="385"/>
      <c r="J19" s="385"/>
      <c r="K19" s="385"/>
      <c r="L19" s="531"/>
      <c r="M19" s="385"/>
      <c r="N19" s="385"/>
      <c r="O19" s="385"/>
      <c r="P19" s="385"/>
      <c r="Q19" s="385"/>
      <c r="R19" s="385"/>
      <c r="S19" s="385"/>
      <c r="T19" s="385"/>
      <c r="U19" s="385"/>
      <c r="V19" s="385"/>
      <c r="W19" s="385"/>
      <c r="X19" s="385"/>
      <c r="Y19" s="385"/>
      <c r="Z19" s="385"/>
      <c r="AA19" s="385"/>
      <c r="AB19" s="385"/>
      <c r="AD19" s="531"/>
      <c r="AE19" s="384"/>
      <c r="AF19" s="384"/>
      <c r="AG19" s="384"/>
      <c r="AH19" s="384"/>
      <c r="AI19" s="384"/>
      <c r="AJ19" s="384"/>
      <c r="AK19" s="384"/>
      <c r="AL19" s="384"/>
      <c r="AM19" s="384"/>
      <c r="AN19" s="384"/>
      <c r="AO19" s="384"/>
      <c r="AP19" s="384"/>
      <c r="AQ19" s="384"/>
      <c r="AR19" s="384"/>
      <c r="AS19" s="384"/>
      <c r="AT19" s="384"/>
      <c r="AU19" s="384"/>
      <c r="AV19" s="384"/>
      <c r="AW19" s="384"/>
      <c r="AX19" s="384"/>
      <c r="AY19" s="384"/>
      <c r="AZ19" s="384"/>
      <c r="BA19" s="384"/>
      <c r="BB19" s="384"/>
      <c r="BC19" s="384"/>
      <c r="BD19" s="384"/>
      <c r="BE19" s="384"/>
      <c r="BF19" s="384"/>
      <c r="BG19" s="384"/>
      <c r="BH19" s="384"/>
      <c r="BI19" s="384"/>
      <c r="BJ19" s="384"/>
      <c r="BK19" s="384"/>
      <c r="BL19" s="384"/>
      <c r="BM19" s="384"/>
      <c r="BN19" s="384"/>
      <c r="BO19" s="384"/>
      <c r="BP19" s="384"/>
      <c r="BQ19" s="384"/>
      <c r="BR19" s="384"/>
      <c r="BS19" s="384"/>
      <c r="BT19" s="384"/>
      <c r="BU19" s="384"/>
      <c r="BV19" s="384"/>
      <c r="BW19" s="384"/>
      <c r="BX19" s="384"/>
      <c r="BY19" s="384"/>
      <c r="BZ19" s="384"/>
    </row>
    <row r="20" spans="1:83" s="51" customFormat="1" ht="15" outlineLevel="2">
      <c r="A20" s="50"/>
      <c r="B20" s="367"/>
      <c r="C20" s="370"/>
      <c r="D20" s="636">
        <v>2</v>
      </c>
      <c r="E20" s="532">
        <v>0</v>
      </c>
      <c r="F20" s="531"/>
      <c r="G20" s="385"/>
      <c r="H20" s="385"/>
      <c r="I20" s="385"/>
      <c r="J20" s="385"/>
      <c r="K20" s="385"/>
      <c r="L20" s="531"/>
      <c r="M20" s="385"/>
      <c r="N20" s="385"/>
      <c r="O20" s="385"/>
      <c r="P20" s="385"/>
      <c r="Q20" s="385"/>
      <c r="R20" s="385"/>
      <c r="S20" s="385"/>
      <c r="T20" s="385"/>
      <c r="U20" s="385"/>
      <c r="V20" s="385"/>
      <c r="W20" s="385"/>
      <c r="X20" s="385"/>
      <c r="Y20" s="385"/>
      <c r="Z20" s="385"/>
      <c r="AA20" s="385"/>
      <c r="AB20" s="385"/>
      <c r="AD20" s="531"/>
      <c r="AE20" s="384"/>
      <c r="AF20" s="384"/>
      <c r="AG20" s="384"/>
      <c r="AH20" s="384"/>
      <c r="AI20" s="384"/>
      <c r="AJ20" s="384"/>
      <c r="AK20" s="384"/>
      <c r="AL20" s="384"/>
      <c r="AM20" s="384"/>
      <c r="AN20" s="384"/>
      <c r="AO20" s="384"/>
      <c r="AP20" s="384"/>
      <c r="AQ20" s="384"/>
      <c r="AR20" s="384"/>
      <c r="AS20" s="384"/>
      <c r="AT20" s="384"/>
      <c r="AU20" s="384"/>
      <c r="AV20" s="384"/>
      <c r="AW20" s="384"/>
      <c r="AX20" s="384"/>
      <c r="AY20" s="384"/>
      <c r="AZ20" s="384"/>
      <c r="BA20" s="384"/>
      <c r="BB20" s="384"/>
      <c r="BC20" s="384"/>
      <c r="BD20" s="384"/>
      <c r="BE20" s="384"/>
      <c r="BF20" s="384"/>
      <c r="BG20" s="384"/>
      <c r="BH20" s="384"/>
      <c r="BI20" s="384"/>
      <c r="BJ20" s="384"/>
      <c r="BK20" s="384"/>
      <c r="BL20" s="384"/>
      <c r="BM20" s="384"/>
      <c r="BN20" s="384"/>
      <c r="BO20" s="384"/>
      <c r="BP20" s="384"/>
      <c r="BQ20" s="384"/>
      <c r="BR20" s="384"/>
      <c r="BS20" s="384"/>
      <c r="BT20" s="384"/>
      <c r="BU20" s="384"/>
      <c r="BV20" s="384"/>
      <c r="BW20" s="384"/>
      <c r="BX20" s="384"/>
      <c r="BY20" s="384"/>
      <c r="BZ20" s="384"/>
    </row>
    <row r="21" spans="1:83" s="51" customFormat="1" ht="15" outlineLevel="2">
      <c r="A21" s="50"/>
      <c r="B21" s="367"/>
      <c r="C21" s="370"/>
      <c r="D21" s="636">
        <v>3</v>
      </c>
      <c r="E21" s="532">
        <v>0</v>
      </c>
      <c r="F21" s="531"/>
      <c r="G21" s="385"/>
      <c r="H21" s="385"/>
      <c r="I21" s="385"/>
      <c r="J21" s="385"/>
      <c r="K21" s="385"/>
      <c r="L21" s="531"/>
      <c r="M21" s="385"/>
      <c r="N21" s="385"/>
      <c r="O21" s="385"/>
      <c r="P21" s="385"/>
      <c r="Q21" s="385"/>
      <c r="R21" s="385"/>
      <c r="S21" s="385"/>
      <c r="T21" s="385"/>
      <c r="U21" s="385"/>
      <c r="V21" s="385"/>
      <c r="W21" s="385"/>
      <c r="X21" s="385"/>
      <c r="Y21" s="385"/>
      <c r="Z21" s="385"/>
      <c r="AA21" s="385"/>
      <c r="AB21" s="385"/>
      <c r="AD21" s="531"/>
      <c r="AE21" s="384"/>
      <c r="AF21" s="384"/>
      <c r="AG21" s="384"/>
      <c r="AH21" s="384"/>
      <c r="AI21" s="384"/>
      <c r="AJ21" s="384"/>
      <c r="AK21" s="384"/>
      <c r="AL21" s="384"/>
      <c r="AM21" s="384"/>
      <c r="AN21" s="384"/>
      <c r="AO21" s="384"/>
      <c r="AP21" s="384"/>
      <c r="AQ21" s="384"/>
      <c r="AR21" s="384"/>
      <c r="AS21" s="384"/>
      <c r="AT21" s="384"/>
      <c r="AU21" s="384"/>
      <c r="AV21" s="384"/>
      <c r="AW21" s="384"/>
      <c r="AX21" s="384"/>
      <c r="AY21" s="384"/>
      <c r="AZ21" s="384"/>
      <c r="BA21" s="384"/>
      <c r="BB21" s="384"/>
      <c r="BC21" s="384"/>
      <c r="BD21" s="384"/>
      <c r="BE21" s="384"/>
      <c r="BF21" s="384"/>
      <c r="BG21" s="384"/>
      <c r="BH21" s="384"/>
      <c r="BI21" s="384"/>
      <c r="BJ21" s="384"/>
      <c r="BK21" s="384"/>
      <c r="BL21" s="384"/>
      <c r="BM21" s="384"/>
      <c r="BN21" s="384"/>
      <c r="BO21" s="384"/>
      <c r="BP21" s="384"/>
      <c r="BQ21" s="384"/>
      <c r="BR21" s="384"/>
      <c r="BS21" s="384"/>
      <c r="BT21" s="384"/>
      <c r="BU21" s="384"/>
      <c r="BV21" s="384"/>
      <c r="BW21" s="384"/>
      <c r="BX21" s="384"/>
      <c r="BY21" s="384"/>
      <c r="BZ21" s="384"/>
    </row>
    <row r="22" spans="1:83" s="51" customFormat="1" ht="15" outlineLevel="2">
      <c r="A22" s="50"/>
      <c r="B22" s="367"/>
      <c r="C22" s="370"/>
      <c r="D22" s="636">
        <v>4</v>
      </c>
      <c r="E22" s="532">
        <v>0</v>
      </c>
      <c r="F22" s="531"/>
      <c r="G22" s="385"/>
      <c r="H22" s="385"/>
      <c r="I22" s="385"/>
      <c r="J22" s="385"/>
      <c r="K22" s="385"/>
      <c r="L22" s="531"/>
      <c r="M22" s="385"/>
      <c r="N22" s="385"/>
      <c r="O22" s="385"/>
      <c r="P22" s="385"/>
      <c r="Q22" s="385"/>
      <c r="R22" s="385"/>
      <c r="S22" s="385"/>
      <c r="T22" s="385"/>
      <c r="U22" s="385"/>
      <c r="V22" s="385"/>
      <c r="W22" s="385"/>
      <c r="X22" s="385"/>
      <c r="Y22" s="385"/>
      <c r="Z22" s="385"/>
      <c r="AA22" s="385"/>
      <c r="AB22" s="385"/>
      <c r="AD22" s="531"/>
      <c r="AE22" s="384"/>
      <c r="AF22" s="384"/>
      <c r="AG22" s="384"/>
      <c r="AH22" s="384"/>
      <c r="AI22" s="384"/>
      <c r="AJ22" s="384"/>
      <c r="AK22" s="384"/>
      <c r="AL22" s="384"/>
      <c r="AM22" s="384"/>
      <c r="AN22" s="384"/>
      <c r="AO22" s="384"/>
      <c r="AP22" s="384"/>
      <c r="AQ22" s="384"/>
      <c r="AR22" s="384"/>
      <c r="AS22" s="384"/>
      <c r="AT22" s="384"/>
      <c r="AU22" s="384"/>
      <c r="AV22" s="384"/>
      <c r="AW22" s="384"/>
      <c r="AX22" s="384"/>
      <c r="AY22" s="384"/>
      <c r="AZ22" s="384"/>
      <c r="BA22" s="384"/>
      <c r="BB22" s="384"/>
      <c r="BC22" s="384"/>
      <c r="BD22" s="384"/>
      <c r="BE22" s="384"/>
      <c r="BF22" s="384"/>
      <c r="BG22" s="384"/>
      <c r="BH22" s="384"/>
      <c r="BI22" s="384"/>
      <c r="BJ22" s="384"/>
      <c r="BK22" s="384"/>
      <c r="BL22" s="384"/>
      <c r="BM22" s="384"/>
      <c r="BN22" s="384"/>
      <c r="BO22" s="384"/>
      <c r="BP22" s="384"/>
      <c r="BQ22" s="384"/>
      <c r="BR22" s="384"/>
      <c r="BS22" s="384"/>
      <c r="BT22" s="384"/>
      <c r="BU22" s="384"/>
      <c r="BV22" s="384"/>
      <c r="BW22" s="384"/>
      <c r="BX22" s="384"/>
      <c r="BY22" s="384"/>
      <c r="BZ22" s="384"/>
    </row>
    <row r="23" spans="1:83" s="51" customFormat="1">
      <c r="B23" s="387"/>
      <c r="C23" s="386"/>
      <c r="E23" s="526"/>
      <c r="F23" s="531"/>
      <c r="G23" s="385"/>
      <c r="H23" s="385"/>
      <c r="I23" s="385"/>
      <c r="J23" s="385"/>
      <c r="K23" s="385"/>
      <c r="L23" s="531"/>
      <c r="M23" s="385"/>
      <c r="N23" s="385"/>
      <c r="O23" s="385"/>
      <c r="P23" s="385"/>
      <c r="Q23" s="385"/>
      <c r="R23" s="385"/>
      <c r="S23" s="385"/>
      <c r="T23" s="385"/>
      <c r="U23" s="385"/>
      <c r="V23" s="385"/>
      <c r="W23" s="385"/>
      <c r="X23" s="385"/>
      <c r="Y23" s="385"/>
      <c r="Z23" s="385"/>
      <c r="AA23" s="385"/>
      <c r="AB23" s="385"/>
      <c r="AD23" s="531"/>
      <c r="AE23" s="384"/>
      <c r="AF23" s="384"/>
      <c r="AG23" s="384"/>
      <c r="AH23" s="384"/>
      <c r="AI23" s="384"/>
      <c r="AJ23" s="384"/>
      <c r="AK23" s="384"/>
      <c r="AL23" s="384"/>
      <c r="AM23" s="384"/>
      <c r="AN23" s="384"/>
      <c r="AO23" s="384"/>
      <c r="AP23" s="384"/>
      <c r="AQ23" s="384"/>
      <c r="AR23" s="384"/>
      <c r="AS23" s="384"/>
      <c r="AT23" s="384"/>
      <c r="AU23" s="384"/>
      <c r="AV23" s="384"/>
      <c r="AW23" s="384"/>
      <c r="AX23" s="384"/>
      <c r="AY23" s="384"/>
      <c r="AZ23" s="384"/>
      <c r="BA23" s="384"/>
      <c r="BB23" s="384"/>
      <c r="BC23" s="384"/>
      <c r="BD23" s="384"/>
      <c r="BE23" s="384"/>
      <c r="BF23" s="384"/>
      <c r="BG23" s="384"/>
      <c r="BH23" s="384"/>
      <c r="BI23" s="384"/>
      <c r="BJ23" s="384"/>
      <c r="BK23" s="384"/>
      <c r="BL23" s="384"/>
      <c r="BM23" s="384"/>
      <c r="BN23" s="384"/>
      <c r="BO23" s="384"/>
      <c r="BP23" s="384"/>
      <c r="BQ23" s="384"/>
      <c r="BR23" s="384"/>
      <c r="BS23" s="384"/>
      <c r="BT23" s="384"/>
      <c r="BU23" s="384"/>
      <c r="BV23" s="384"/>
      <c r="BW23" s="384"/>
      <c r="BX23" s="384"/>
      <c r="BY23" s="384"/>
      <c r="BZ23" s="384"/>
    </row>
    <row r="24" spans="1:83" s="51" customFormat="1" ht="24">
      <c r="B24" s="632" t="s">
        <v>418</v>
      </c>
      <c r="C24" s="475"/>
      <c r="D24" s="475"/>
      <c r="E24" s="633"/>
      <c r="F24" s="359"/>
      <c r="G24" s="634"/>
      <c r="H24" s="634"/>
      <c r="I24" s="634"/>
      <c r="J24" s="634"/>
      <c r="L24" s="359"/>
      <c r="M24" s="634"/>
      <c r="N24" s="634"/>
      <c r="O24" s="634"/>
      <c r="P24" s="634"/>
      <c r="Q24" s="634"/>
      <c r="R24" s="634"/>
      <c r="S24" s="634"/>
      <c r="T24" s="634"/>
      <c r="U24" s="634"/>
      <c r="V24" s="634"/>
      <c r="W24" s="634"/>
      <c r="X24" s="634"/>
      <c r="Y24" s="634"/>
      <c r="Z24" s="634"/>
      <c r="AA24" s="634"/>
      <c r="AB24" s="634"/>
      <c r="AD24" s="359"/>
      <c r="AE24" s="634"/>
      <c r="AF24" s="634"/>
      <c r="AG24" s="634"/>
      <c r="AH24" s="634"/>
      <c r="AI24" s="634"/>
      <c r="AJ24" s="634"/>
      <c r="AK24" s="634"/>
      <c r="AL24" s="634"/>
      <c r="AM24" s="634"/>
      <c r="AN24" s="634"/>
      <c r="AO24" s="634"/>
      <c r="AP24" s="634"/>
      <c r="AQ24" s="634"/>
      <c r="AR24" s="634"/>
      <c r="AS24" s="634"/>
      <c r="AT24" s="634"/>
      <c r="AU24" s="634"/>
      <c r="AV24" s="634"/>
      <c r="AW24" s="634"/>
      <c r="AX24" s="634"/>
      <c r="AY24" s="634"/>
      <c r="AZ24" s="634"/>
      <c r="BA24" s="634"/>
      <c r="BB24" s="634"/>
      <c r="BC24" s="634"/>
      <c r="BD24" s="634"/>
      <c r="BE24" s="634"/>
      <c r="BF24" s="634"/>
      <c r="BG24" s="634"/>
      <c r="BH24" s="634"/>
      <c r="BI24" s="634"/>
      <c r="BJ24" s="634"/>
      <c r="BK24" s="634"/>
      <c r="BL24" s="634"/>
      <c r="BM24" s="634"/>
      <c r="BN24" s="634"/>
      <c r="BO24" s="634"/>
      <c r="BP24" s="634"/>
      <c r="BQ24" s="634"/>
      <c r="BR24" s="634"/>
      <c r="BS24" s="634"/>
      <c r="BT24" s="634"/>
      <c r="BU24" s="634"/>
      <c r="BV24" s="634"/>
      <c r="BW24" s="634"/>
      <c r="BX24" s="634"/>
      <c r="BY24" s="634"/>
      <c r="BZ24" s="634"/>
    </row>
    <row r="25" spans="1:83" s="357" customFormat="1" ht="15" outlineLevel="1">
      <c r="B25" s="367"/>
      <c r="C25" s="523" t="s">
        <v>428</v>
      </c>
      <c r="D25" s="366"/>
      <c r="E25" s="522"/>
      <c r="F25" s="359"/>
      <c r="G25" s="364">
        <f>SUMIFS($AE25:$BZ25,$AE$4:$BZ$4,"&gt;="&amp;G$4,$AE$5:$BZ$5,"&lt;="&amp;G$5)</f>
        <v>0</v>
      </c>
      <c r="H25" s="364">
        <f>SUMIFS($AE25:$BZ25,$AE$4:$BZ$4,"&gt;="&amp;H$4,$AE$5:$BZ$5,"&lt;="&amp;H$5)</f>
        <v>0</v>
      </c>
      <c r="I25" s="364">
        <f>SUMIFS($AE25:$BZ25,$AE$4:$BZ$4,"&gt;="&amp;I$4,$AE$5:$BZ$5,"&lt;="&amp;I$5)</f>
        <v>55349.5</v>
      </c>
      <c r="J25" s="364">
        <f>SUMIFS($AE25:$BZ25,$AE$4:$BZ$4,"&gt;="&amp;J$4,$AE$5:$BZ$5,"&lt;="&amp;J$5)</f>
        <v>0</v>
      </c>
      <c r="K25" s="432"/>
      <c r="L25" s="359"/>
      <c r="M25" s="364">
        <f t="shared" ref="M25:AB25" si="13">SUMIFS($AE25:$BZ25,$AE$4:$BZ$4,"&gt;="&amp;M$4,$AE25:$BZ25,"&lt;="&amp;M$5)</f>
        <v>0</v>
      </c>
      <c r="N25" s="364">
        <f t="shared" si="13"/>
        <v>0</v>
      </c>
      <c r="O25" s="364">
        <f t="shared" si="13"/>
        <v>0</v>
      </c>
      <c r="P25" s="364">
        <f t="shared" si="13"/>
        <v>0</v>
      </c>
      <c r="Q25" s="364">
        <f t="shared" si="13"/>
        <v>0</v>
      </c>
      <c r="R25" s="364">
        <f t="shared" si="13"/>
        <v>0</v>
      </c>
      <c r="S25" s="364">
        <f t="shared" si="13"/>
        <v>0</v>
      </c>
      <c r="T25" s="364">
        <f t="shared" si="13"/>
        <v>0</v>
      </c>
      <c r="U25" s="364">
        <f t="shared" si="13"/>
        <v>0</v>
      </c>
      <c r="V25" s="364">
        <f t="shared" si="13"/>
        <v>0</v>
      </c>
      <c r="W25" s="364">
        <f t="shared" si="13"/>
        <v>0</v>
      </c>
      <c r="X25" s="364">
        <f t="shared" si="13"/>
        <v>0</v>
      </c>
      <c r="Y25" s="364">
        <f t="shared" si="13"/>
        <v>0</v>
      </c>
      <c r="Z25" s="364">
        <f t="shared" si="13"/>
        <v>0</v>
      </c>
      <c r="AA25" s="364">
        <f t="shared" si="13"/>
        <v>0</v>
      </c>
      <c r="AB25" s="364">
        <f t="shared" si="13"/>
        <v>0</v>
      </c>
      <c r="AD25" s="359"/>
      <c r="AE25" s="628">
        <f>IF(AE8=LatestMonthOfActuals,AE141,0)</f>
        <v>0</v>
      </c>
      <c r="AF25" s="628">
        <f t="shared" ref="AF25:BZ25" si="14">IF(AF8=LatestMonthOfActuals,AF141,0)</f>
        <v>0</v>
      </c>
      <c r="AG25" s="628">
        <f t="shared" si="14"/>
        <v>0</v>
      </c>
      <c r="AH25" s="628">
        <f t="shared" si="14"/>
        <v>0</v>
      </c>
      <c r="AI25" s="628">
        <f t="shared" si="14"/>
        <v>0</v>
      </c>
      <c r="AJ25" s="628">
        <f t="shared" si="14"/>
        <v>0</v>
      </c>
      <c r="AK25" s="628">
        <f t="shared" si="14"/>
        <v>0</v>
      </c>
      <c r="AL25" s="628">
        <f t="shared" si="14"/>
        <v>0</v>
      </c>
      <c r="AM25" s="628">
        <f t="shared" si="14"/>
        <v>0</v>
      </c>
      <c r="AN25" s="628">
        <f t="shared" si="14"/>
        <v>0</v>
      </c>
      <c r="AO25" s="628">
        <f t="shared" si="14"/>
        <v>0</v>
      </c>
      <c r="AP25" s="628">
        <f t="shared" si="14"/>
        <v>0</v>
      </c>
      <c r="AQ25" s="628">
        <f t="shared" si="14"/>
        <v>0</v>
      </c>
      <c r="AR25" s="628">
        <f t="shared" si="14"/>
        <v>0</v>
      </c>
      <c r="AS25" s="628">
        <f t="shared" si="14"/>
        <v>0</v>
      </c>
      <c r="AT25" s="628">
        <f t="shared" si="14"/>
        <v>0</v>
      </c>
      <c r="AU25" s="628">
        <f t="shared" si="14"/>
        <v>0</v>
      </c>
      <c r="AV25" s="628">
        <f t="shared" si="14"/>
        <v>0</v>
      </c>
      <c r="AW25" s="628">
        <f t="shared" si="14"/>
        <v>0</v>
      </c>
      <c r="AX25" s="628">
        <f t="shared" si="14"/>
        <v>0</v>
      </c>
      <c r="AY25" s="628">
        <f t="shared" si="14"/>
        <v>0</v>
      </c>
      <c r="AZ25" s="628">
        <f t="shared" si="14"/>
        <v>0</v>
      </c>
      <c r="BA25" s="628">
        <f t="shared" si="14"/>
        <v>0</v>
      </c>
      <c r="BB25" s="628">
        <f t="shared" si="14"/>
        <v>0</v>
      </c>
      <c r="BC25" s="628">
        <f t="shared" si="14"/>
        <v>0</v>
      </c>
      <c r="BD25" s="628">
        <f t="shared" si="14"/>
        <v>0</v>
      </c>
      <c r="BE25" s="628">
        <f t="shared" si="14"/>
        <v>0</v>
      </c>
      <c r="BF25" s="628">
        <f t="shared" si="14"/>
        <v>0</v>
      </c>
      <c r="BG25" s="628">
        <f t="shared" si="14"/>
        <v>0</v>
      </c>
      <c r="BH25" s="628">
        <f t="shared" si="14"/>
        <v>0</v>
      </c>
      <c r="BI25" s="628">
        <f t="shared" si="14"/>
        <v>0</v>
      </c>
      <c r="BJ25" s="628">
        <f t="shared" si="14"/>
        <v>0</v>
      </c>
      <c r="BK25" s="628">
        <f t="shared" si="14"/>
        <v>0</v>
      </c>
      <c r="BL25" s="628">
        <f t="shared" si="14"/>
        <v>0</v>
      </c>
      <c r="BM25" s="628">
        <f t="shared" si="14"/>
        <v>55349.5</v>
      </c>
      <c r="BN25" s="628">
        <f t="shared" si="14"/>
        <v>0</v>
      </c>
      <c r="BO25" s="628">
        <f t="shared" si="14"/>
        <v>0</v>
      </c>
      <c r="BP25" s="628">
        <f t="shared" si="14"/>
        <v>0</v>
      </c>
      <c r="BQ25" s="628">
        <f t="shared" si="14"/>
        <v>0</v>
      </c>
      <c r="BR25" s="628">
        <f t="shared" si="14"/>
        <v>0</v>
      </c>
      <c r="BS25" s="628">
        <f t="shared" si="14"/>
        <v>0</v>
      </c>
      <c r="BT25" s="628">
        <f t="shared" si="14"/>
        <v>0</v>
      </c>
      <c r="BU25" s="628">
        <f t="shared" si="14"/>
        <v>0</v>
      </c>
      <c r="BV25" s="628">
        <f t="shared" si="14"/>
        <v>0</v>
      </c>
      <c r="BW25" s="628">
        <f t="shared" si="14"/>
        <v>0</v>
      </c>
      <c r="BX25" s="628">
        <f t="shared" si="14"/>
        <v>0</v>
      </c>
      <c r="BY25" s="628">
        <f t="shared" si="14"/>
        <v>0</v>
      </c>
      <c r="BZ25" s="628">
        <f t="shared" si="14"/>
        <v>0</v>
      </c>
    </row>
    <row r="26" spans="1:83" s="51" customFormat="1" outlineLevel="1">
      <c r="B26" s="387"/>
      <c r="C26" s="386"/>
      <c r="E26" s="526"/>
      <c r="F26" s="359"/>
      <c r="G26" s="55"/>
      <c r="H26" s="55"/>
      <c r="I26" s="55"/>
      <c r="J26" s="55"/>
      <c r="L26" s="359"/>
      <c r="M26" s="55"/>
      <c r="N26" s="55"/>
      <c r="O26" s="55"/>
      <c r="P26" s="55"/>
      <c r="Q26" s="55"/>
      <c r="R26" s="55"/>
      <c r="S26" s="55"/>
      <c r="T26" s="55"/>
      <c r="U26" s="55"/>
      <c r="V26" s="55"/>
      <c r="W26" s="55"/>
      <c r="X26" s="55"/>
      <c r="Y26" s="55"/>
      <c r="Z26" s="55"/>
      <c r="AA26" s="55"/>
      <c r="AB26" s="55"/>
      <c r="AD26" s="359"/>
    </row>
    <row r="27" spans="1:83" s="357" customFormat="1" ht="15" outlineLevel="1">
      <c r="B27" s="367"/>
      <c r="C27" s="523" t="s">
        <v>430</v>
      </c>
      <c r="D27" s="366"/>
      <c r="E27" s="522"/>
      <c r="F27" s="359"/>
      <c r="G27" s="364">
        <f t="shared" ref="G27:J27" si="15">SUMIFS($AE27:$BZ27,$AE$4:$BZ$4,"&gt;="&amp;G$4,$AE$5:$BZ$5,"&lt;="&amp;G$5)</f>
        <v>248461.35</v>
      </c>
      <c r="H27" s="364">
        <f t="shared" si="15"/>
        <v>566977.79999999981</v>
      </c>
      <c r="I27" s="364">
        <f t="shared" si="15"/>
        <v>992237.57228181814</v>
      </c>
      <c r="J27" s="364">
        <f t="shared" si="15"/>
        <v>1189489.0408775737</v>
      </c>
      <c r="K27" s="432"/>
      <c r="L27" s="359"/>
      <c r="M27" s="364">
        <f t="shared" ref="M27:AB27" si="16">SUMIFS($AE27:$BZ27,$AE$4:$BZ$4,"&gt;="&amp;M$4,$AE$5:$BZ$5,"&lt;="&amp;M$5)</f>
        <v>47959.5</v>
      </c>
      <c r="N27" s="364">
        <f t="shared" si="16"/>
        <v>52164.149999999994</v>
      </c>
      <c r="O27" s="364">
        <f t="shared" si="16"/>
        <v>56902.05</v>
      </c>
      <c r="P27" s="364">
        <f t="shared" si="16"/>
        <v>91435.65</v>
      </c>
      <c r="Q27" s="364">
        <f t="shared" si="16"/>
        <v>106302.74999999999</v>
      </c>
      <c r="R27" s="364">
        <f t="shared" si="16"/>
        <v>129745.79999999999</v>
      </c>
      <c r="S27" s="364">
        <f t="shared" si="16"/>
        <v>158697</v>
      </c>
      <c r="T27" s="364">
        <f t="shared" si="16"/>
        <v>172232.24999999997</v>
      </c>
      <c r="U27" s="364">
        <f t="shared" si="16"/>
        <v>199380.81299999997</v>
      </c>
      <c r="V27" s="364">
        <f t="shared" si="16"/>
        <v>231198.82799999998</v>
      </c>
      <c r="W27" s="364">
        <f t="shared" si="16"/>
        <v>267579.408</v>
      </c>
      <c r="X27" s="364">
        <f t="shared" si="16"/>
        <v>294078.52328181814</v>
      </c>
      <c r="Y27" s="364">
        <f t="shared" si="16"/>
        <v>262465.1536128656</v>
      </c>
      <c r="Z27" s="364">
        <f t="shared" si="16"/>
        <v>295470.24746848468</v>
      </c>
      <c r="AA27" s="364">
        <f t="shared" si="16"/>
        <v>309183.17717550619</v>
      </c>
      <c r="AB27" s="364">
        <f t="shared" si="16"/>
        <v>322370.46262071724</v>
      </c>
      <c r="AD27" s="359"/>
      <c r="AE27" s="627">
        <f>SUM(AE28:AE29)*AE30</f>
        <v>15549</v>
      </c>
      <c r="AF27" s="627">
        <f t="shared" ref="AF27:BZ27" si="17">SUM(AF28:AF29)*AF30</f>
        <v>15981</v>
      </c>
      <c r="AG27" s="627">
        <f t="shared" si="17"/>
        <v>16429.5</v>
      </c>
      <c r="AH27" s="627">
        <f t="shared" si="17"/>
        <v>16895.849999999999</v>
      </c>
      <c r="AI27" s="627">
        <f t="shared" si="17"/>
        <v>17381.399999999998</v>
      </c>
      <c r="AJ27" s="627">
        <f t="shared" si="17"/>
        <v>17886.899999999998</v>
      </c>
      <c r="AK27" s="627">
        <f t="shared" si="17"/>
        <v>18412.2</v>
      </c>
      <c r="AL27" s="627">
        <f t="shared" si="17"/>
        <v>18959.849999999999</v>
      </c>
      <c r="AM27" s="627">
        <f t="shared" si="17"/>
        <v>19530</v>
      </c>
      <c r="AN27" s="627">
        <f t="shared" si="17"/>
        <v>20124.599999999999</v>
      </c>
      <c r="AO27" s="627">
        <f t="shared" si="17"/>
        <v>28504.2</v>
      </c>
      <c r="AP27" s="627">
        <f t="shared" si="17"/>
        <v>42806.85</v>
      </c>
      <c r="AQ27" s="627">
        <f t="shared" si="17"/>
        <v>29929.649999999998</v>
      </c>
      <c r="AR27" s="627">
        <f t="shared" si="17"/>
        <v>44947.199999999997</v>
      </c>
      <c r="AS27" s="627">
        <f t="shared" si="17"/>
        <v>31425.899999999998</v>
      </c>
      <c r="AT27" s="627">
        <f t="shared" si="17"/>
        <v>47194.35</v>
      </c>
      <c r="AU27" s="627">
        <f t="shared" si="17"/>
        <v>32997.15</v>
      </c>
      <c r="AV27" s="627">
        <f t="shared" si="17"/>
        <v>49554.299999999996</v>
      </c>
      <c r="AW27" s="627">
        <f t="shared" si="17"/>
        <v>52032</v>
      </c>
      <c r="AX27" s="627">
        <f t="shared" si="17"/>
        <v>52031.7</v>
      </c>
      <c r="AY27" s="627">
        <f t="shared" si="17"/>
        <v>54633.299999999996</v>
      </c>
      <c r="AZ27" s="627">
        <f t="shared" si="17"/>
        <v>54633.599999999991</v>
      </c>
      <c r="BA27" s="627">
        <f t="shared" si="17"/>
        <v>57365.399999999987</v>
      </c>
      <c r="BB27" s="627">
        <f t="shared" si="17"/>
        <v>60233.25</v>
      </c>
      <c r="BC27" s="627">
        <f t="shared" si="17"/>
        <v>63245.312999999995</v>
      </c>
      <c r="BD27" s="627">
        <f t="shared" si="17"/>
        <v>66407.399999999994</v>
      </c>
      <c r="BE27" s="627">
        <f t="shared" si="17"/>
        <v>69728.099999999991</v>
      </c>
      <c r="BF27" s="627">
        <f t="shared" si="17"/>
        <v>73214.399999999994</v>
      </c>
      <c r="BG27" s="627">
        <f t="shared" si="17"/>
        <v>76875.599999999991</v>
      </c>
      <c r="BH27" s="627">
        <f t="shared" si="17"/>
        <v>81108.827999999994</v>
      </c>
      <c r="BI27" s="627">
        <f t="shared" si="17"/>
        <v>84994.766999999978</v>
      </c>
      <c r="BJ27" s="627">
        <f t="shared" si="17"/>
        <v>89142.51</v>
      </c>
      <c r="BK27" s="627">
        <f t="shared" si="17"/>
        <v>93442.131000000008</v>
      </c>
      <c r="BL27" s="627">
        <f t="shared" si="17"/>
        <v>98114.237999999983</v>
      </c>
      <c r="BM27" s="627">
        <f t="shared" si="17"/>
        <v>104834.95199999998</v>
      </c>
      <c r="BN27" s="627">
        <f t="shared" si="17"/>
        <v>91129.333281818181</v>
      </c>
      <c r="BO27" s="627">
        <f t="shared" si="17"/>
        <v>86025.7322467872</v>
      </c>
      <c r="BP27" s="627">
        <f t="shared" si="17"/>
        <v>87543.935255415156</v>
      </c>
      <c r="BQ27" s="627">
        <f t="shared" si="17"/>
        <v>88895.486110663245</v>
      </c>
      <c r="BR27" s="627">
        <f t="shared" si="17"/>
        <v>97430.048159655023</v>
      </c>
      <c r="BS27" s="627">
        <f t="shared" si="17"/>
        <v>98280.388463798256</v>
      </c>
      <c r="BT27" s="627">
        <f t="shared" si="17"/>
        <v>99759.810845031432</v>
      </c>
      <c r="BU27" s="627">
        <f t="shared" si="17"/>
        <v>102002.91827537333</v>
      </c>
      <c r="BV27" s="627">
        <f t="shared" si="17"/>
        <v>103086.65220098445</v>
      </c>
      <c r="BW27" s="627">
        <f t="shared" si="17"/>
        <v>104093.60669914841</v>
      </c>
      <c r="BX27" s="627">
        <f t="shared" si="17"/>
        <v>105039.42272510209</v>
      </c>
      <c r="BY27" s="627">
        <f t="shared" si="17"/>
        <v>105949.63869410298</v>
      </c>
      <c r="BZ27" s="627">
        <f t="shared" si="17"/>
        <v>111381.40120151218</v>
      </c>
    </row>
    <row r="28" spans="1:83" ht="15.75" outlineLevel="2">
      <c r="B28" s="367"/>
      <c r="C28" s="386"/>
      <c r="D28" s="529" t="s">
        <v>80</v>
      </c>
      <c r="E28" s="530"/>
      <c r="F28" s="359"/>
      <c r="G28" s="408">
        <f t="shared" ref="G28:J29" si="18">SUMIFS($AE28:$BZ28,$AE$5:$BZ$5,"&gt;="&amp;G$4,$AE$5:$BZ$5,"&lt;="&amp;G$5)</f>
        <v>23959.5</v>
      </c>
      <c r="H28" s="408">
        <f t="shared" si="18"/>
        <v>53271.66</v>
      </c>
      <c r="I28" s="408">
        <f t="shared" si="18"/>
        <v>117947.93077272727</v>
      </c>
      <c r="J28" s="408">
        <f t="shared" si="18"/>
        <v>380313.00326676201</v>
      </c>
      <c r="K28" s="408"/>
      <c r="L28" s="408"/>
      <c r="M28" s="408">
        <f>SUMIFS($AE28:$BZ28,$AE$5:$BZ$5,"&gt;="&amp;M$4,$AE$5:$BZ$5,"&lt;="&amp;M$5)</f>
        <v>3476</v>
      </c>
      <c r="N28" s="408">
        <f t="shared" ref="N28:AB29" si="19">SUMIFS($AE28:$BZ28,$AE$5:$BZ$5,"&gt;="&amp;N$4,$AE$5:$BZ$5,"&lt;="&amp;N$5)</f>
        <v>4626</v>
      </c>
      <c r="O28" s="408">
        <f t="shared" si="19"/>
        <v>6157</v>
      </c>
      <c r="P28" s="408">
        <f t="shared" si="19"/>
        <v>9700.5</v>
      </c>
      <c r="Q28" s="408">
        <f t="shared" si="19"/>
        <v>11366</v>
      </c>
      <c r="R28" s="408">
        <f t="shared" si="19"/>
        <v>12551.5</v>
      </c>
      <c r="S28" s="408">
        <f t="shared" si="19"/>
        <v>14075.5</v>
      </c>
      <c r="T28" s="408">
        <f t="shared" si="19"/>
        <v>15278.66</v>
      </c>
      <c r="U28" s="408">
        <f t="shared" si="19"/>
        <v>17685.419999999998</v>
      </c>
      <c r="V28" s="408">
        <f t="shared" si="19"/>
        <v>20775.48</v>
      </c>
      <c r="W28" s="408">
        <f t="shared" si="19"/>
        <v>22702.080000000002</v>
      </c>
      <c r="X28" s="408">
        <f t="shared" si="19"/>
        <v>56784.950772727272</v>
      </c>
      <c r="Y28" s="408">
        <f t="shared" si="19"/>
        <v>94737.759374023415</v>
      </c>
      <c r="Z28" s="408">
        <f t="shared" si="19"/>
        <v>95060.567145950175</v>
      </c>
      <c r="AA28" s="408">
        <f t="shared" si="19"/>
        <v>95244.241279507973</v>
      </c>
      <c r="AB28" s="408">
        <f t="shared" si="19"/>
        <v>95270.435467280389</v>
      </c>
      <c r="AC28" s="521"/>
      <c r="AD28" s="359"/>
      <c r="AE28" s="625" cm="1">
        <f t="array" ref="AE28">SUM(_xlfn._xlws.FILTER(_xlfn._xlws.FILTER(dataSummaryPL,dataSummaryPLSections=$D28),(startDates&gt;=AE$4)*(endDates&lt;=AE$5)))</f>
        <v>1050</v>
      </c>
      <c r="AF28" s="625" cm="1">
        <f t="array" ref="AF28">SUM(_xlfn._xlws.FILTER(_xlfn._xlws.FILTER(dataSummaryPL,dataSummaryPLSections=$D28),(startDates&gt;=AF$4)*(endDates&lt;=AF$5)))</f>
        <v>1155</v>
      </c>
      <c r="AG28" s="625" cm="1">
        <f t="array" ref="AG28">SUM(_xlfn._xlws.FILTER(_xlfn._xlws.FILTER(dataSummaryPL,dataSummaryPLSections=$D28),(startDates&gt;=AG$4)*(endDates&lt;=AG$5)))</f>
        <v>1271</v>
      </c>
      <c r="AH28" s="625" cm="1">
        <f t="array" ref="AH28">SUM(_xlfn._xlws.FILTER(_xlfn._xlws.FILTER(dataSummaryPL,dataSummaryPLSections=$D28),(startDates&gt;=AH$4)*(endDates&lt;=AH$5)))</f>
        <v>1398</v>
      </c>
      <c r="AI28" s="625" cm="1">
        <f t="array" ref="AI28">SUM(_xlfn._xlws.FILTER(_xlfn._xlws.FILTER(dataSummaryPL,dataSummaryPLSections=$D28),(startDates&gt;=AI$4)*(endDates&lt;=AI$5)))</f>
        <v>1537</v>
      </c>
      <c r="AJ28" s="625" cm="1">
        <f t="array" ref="AJ28">SUM(_xlfn._xlws.FILTER(_xlfn._xlws.FILTER(dataSummaryPL,dataSummaryPLSections=$D28),(startDates&gt;=AJ$4)*(endDates&lt;=AJ$5)))</f>
        <v>1691</v>
      </c>
      <c r="AK28" s="625" cm="1">
        <f t="array" ref="AK28">SUM(_xlfn._xlws.FILTER(_xlfn._xlws.FILTER(dataSummaryPL,dataSummaryPLSections=$D28),(startDates&gt;=AK$4)*(endDates&lt;=AK$5)))</f>
        <v>1860</v>
      </c>
      <c r="AL28" s="625" cm="1">
        <f t="array" ref="AL28">SUM(_xlfn._xlws.FILTER(_xlfn._xlws.FILTER(dataSummaryPL,dataSummaryPLSections=$D28),(startDates&gt;=AL$4)*(endDates&lt;=AL$5)))</f>
        <v>2046.5</v>
      </c>
      <c r="AM28" s="625" cm="1">
        <f t="array" ref="AM28">SUM(_xlfn._xlws.FILTER(_xlfn._xlws.FILTER(dataSummaryPL,dataSummaryPLSections=$D28),(startDates&gt;=AM$4)*(endDates&lt;=AM$5)))</f>
        <v>2250.5</v>
      </c>
      <c r="AN28" s="625" cm="1">
        <f t="array" ref="AN28">SUM(_xlfn._xlws.FILTER(_xlfn._xlws.FILTER(dataSummaryPL,dataSummaryPLSections=$D28),(startDates&gt;=AN$4)*(endDates&lt;=AN$5)))</f>
        <v>2475.5</v>
      </c>
      <c r="AO28" s="625" cm="1">
        <f t="array" ref="AO28">SUM(_xlfn._xlws.FILTER(_xlfn._xlws.FILTER(dataSummaryPL,dataSummaryPLSections=$D28),(startDates&gt;=AO$4)*(endDates&lt;=AO$5)))</f>
        <v>3427.5</v>
      </c>
      <c r="AP28" s="625" cm="1">
        <f t="array" ref="AP28">SUM(_xlfn._xlws.FILTER(_xlfn._xlws.FILTER(dataSummaryPL,dataSummaryPLSections=$D28),(startDates&gt;=AP$4)*(endDates&lt;=AP$5)))</f>
        <v>3797.5</v>
      </c>
      <c r="AQ28" s="625" cm="1">
        <f t="array" ref="AQ28">SUM(_xlfn._xlws.FILTER(_xlfn._xlws.FILTER(dataSummaryPL,dataSummaryPLSections=$D28),(startDates&gt;=AQ$4)*(endDates&lt;=AQ$5)))</f>
        <v>3599</v>
      </c>
      <c r="AR28" s="625" cm="1">
        <f t="array" ref="AR28">SUM(_xlfn._xlws.FILTER(_xlfn._xlws.FILTER(dataSummaryPL,dataSummaryPLSections=$D28),(startDates&gt;=AR$4)*(endDates&lt;=AR$5)))</f>
        <v>3988</v>
      </c>
      <c r="AS28" s="625" cm="1">
        <f t="array" ref="AS28">SUM(_xlfn._xlws.FILTER(_xlfn._xlws.FILTER(dataSummaryPL,dataSummaryPLSections=$D28),(startDates&gt;=AS$4)*(endDates&lt;=AS$5)))</f>
        <v>3779</v>
      </c>
      <c r="AT28" s="625" cm="1">
        <f t="array" ref="AT28">SUM(_xlfn._xlws.FILTER(_xlfn._xlws.FILTER(dataSummaryPL,dataSummaryPLSections=$D28),(startDates&gt;=AT$4)*(endDates&lt;=AT$5)))</f>
        <v>4186.5</v>
      </c>
      <c r="AU28" s="625" cm="1">
        <f t="array" ref="AU28">SUM(_xlfn._xlws.FILTER(_xlfn._xlws.FILTER(dataSummaryPL,dataSummaryPLSections=$D28),(startDates&gt;=AU$4)*(endDates&lt;=AU$5)))</f>
        <v>3968.5</v>
      </c>
      <c r="AV28" s="625" cm="1">
        <f t="array" ref="AV28">SUM(_xlfn._xlws.FILTER(_xlfn._xlws.FILTER(dataSummaryPL,dataSummaryPLSections=$D28),(startDates&gt;=AV$4)*(endDates&lt;=AV$5)))</f>
        <v>4396.5</v>
      </c>
      <c r="AW28" s="625" cm="1">
        <f t="array" ref="AW28">SUM(_xlfn._xlws.FILTER(_xlfn._xlws.FILTER(dataSummaryPL,dataSummaryPLSections=$D28),(startDates&gt;=AW$4)*(endDates&lt;=AW$5)))</f>
        <v>4615</v>
      </c>
      <c r="AX28" s="625" cm="1">
        <f t="array" ref="AX28">SUM(_xlfn._xlws.FILTER(_xlfn._xlws.FILTER(dataSummaryPL,dataSummaryPLSections=$D28),(startDates&gt;=AX$4)*(endDates&lt;=AX$5)))</f>
        <v>4614.5</v>
      </c>
      <c r="AY28" s="625" cm="1">
        <f t="array" ref="AY28">SUM(_xlfn._xlws.FILTER(_xlfn._xlws.FILTER(dataSummaryPL,dataSummaryPLSections=$D28),(startDates&gt;=AY$4)*(endDates&lt;=AY$5)))</f>
        <v>4846</v>
      </c>
      <c r="AZ28" s="625" cm="1">
        <f t="array" ref="AZ28">SUM(_xlfn._xlws.FILTER(_xlfn._xlws.FILTER(dataSummaryPL,dataSummaryPLSections=$D28),(startDates&gt;=AZ$4)*(endDates&lt;=AZ$5)))</f>
        <v>4846.33</v>
      </c>
      <c r="BA28" s="625" cm="1">
        <f t="array" ref="BA28">SUM(_xlfn._xlws.FILTER(_xlfn._xlws.FILTER(dataSummaryPL,dataSummaryPLSections=$D28),(startDates&gt;=BA$4)*(endDates&lt;=BA$5)))</f>
        <v>5089.33</v>
      </c>
      <c r="BB28" s="625" cm="1">
        <f t="array" ref="BB28">SUM(_xlfn._xlws.FILTER(_xlfn._xlws.FILTER(dataSummaryPL,dataSummaryPLSections=$D28),(startDates&gt;=BB$4)*(endDates&lt;=BB$5)))</f>
        <v>5343</v>
      </c>
      <c r="BC28" s="625" cm="1">
        <f t="array" ref="BC28">SUM(_xlfn._xlws.FILTER(_xlfn._xlws.FILTER(dataSummaryPL,dataSummaryPLSections=$D28),(startDates&gt;=BC$4)*(endDates&lt;=BC$5)))</f>
        <v>5610.42</v>
      </c>
      <c r="BD28" s="625" cm="1">
        <f t="array" ref="BD28">SUM(_xlfn._xlws.FILTER(_xlfn._xlws.FILTER(dataSummaryPL,dataSummaryPLSections=$D28),(startDates&gt;=BD$4)*(endDates&lt;=BD$5)))</f>
        <v>5890</v>
      </c>
      <c r="BE28" s="625" cm="1">
        <f t="array" ref="BE28">SUM(_xlfn._xlws.FILTER(_xlfn._xlws.FILTER(dataSummaryPL,dataSummaryPLSections=$D28),(startDates&gt;=BE$4)*(endDates&lt;=BE$5)))</f>
        <v>6185</v>
      </c>
      <c r="BF28" s="625" cm="1">
        <f t="array" ref="BF28">SUM(_xlfn._xlws.FILTER(_xlfn._xlws.FILTER(dataSummaryPL,dataSummaryPLSections=$D28),(startDates&gt;=BF$4)*(endDates&lt;=BF$5)))</f>
        <v>6495</v>
      </c>
      <c r="BG28" s="625" cm="1">
        <f t="array" ref="BG28">SUM(_xlfn._xlws.FILTER(_xlfn._xlws.FILTER(dataSummaryPL,dataSummaryPLSections=$D28),(startDates&gt;=BG$4)*(endDates&lt;=BG$5)))</f>
        <v>6820</v>
      </c>
      <c r="BH28" s="625" cm="1">
        <f t="array" ref="BH28">SUM(_xlfn._xlws.FILTER(_xlfn._xlws.FILTER(dataSummaryPL,dataSummaryPLSections=$D28),(startDates&gt;=BH$4)*(endDates&lt;=BH$5)))</f>
        <v>7460.48</v>
      </c>
      <c r="BI28" s="625" cm="1">
        <f t="array" ref="BI28">SUM(_xlfn._xlws.FILTER(_xlfn._xlws.FILTER(dataSummaryPL,dataSummaryPLSections=$D28),(startDates&gt;=BI$4)*(endDates&lt;=BI$5)))</f>
        <v>6518.5</v>
      </c>
      <c r="BJ28" s="625" cm="1">
        <f t="array" ref="BJ28">SUM(_xlfn._xlws.FILTER(_xlfn._xlws.FILTER(dataSummaryPL,dataSummaryPLSections=$D28),(startDates&gt;=BJ$4)*(endDates&lt;=BJ$5)))</f>
        <v>7894.43</v>
      </c>
      <c r="BK28" s="625" cm="1">
        <f t="array" ref="BK28">SUM(_xlfn._xlws.FILTER(_xlfn._xlws.FILTER(dataSummaryPL,dataSummaryPLSections=$D28),(startDates&gt;=BK$4)*(endDates&lt;=BK$5)))</f>
        <v>8289.15</v>
      </c>
      <c r="BL28" s="625" cm="1">
        <f t="array" ref="BL28">SUM(_xlfn._xlws.FILTER(_xlfn._xlws.FILTER(dataSummaryPL,dataSummaryPLSections=$D28),(startDates&gt;=BL$4)*(endDates&lt;=BL$5)))</f>
        <v>8703.61</v>
      </c>
      <c r="BM28" s="625" cm="1">
        <f t="array" ref="BM28">SUM(_xlfn._xlws.FILTER(_xlfn._xlws.FILTER(dataSummaryPL,dataSummaryPLSections=$D28),(startDates&gt;=BM$4)*(endDates&lt;=BM$5)))</f>
        <v>9138.7900000000009</v>
      </c>
      <c r="BN28" s="625" cm="1">
        <f t="array" ref="BN28">SUM(_xlfn._xlws.FILTER(_xlfn._xlws.FILTER(dataSummaryPL,dataSummaryPLSections=$D28),(startDates&gt;=BN$4)*(endDates&lt;=BN$5)))</f>
        <v>38942.550772727271</v>
      </c>
      <c r="BO28" s="625" cm="1">
        <f t="array" ref="BO28">SUM(_xlfn._xlws.FILTER(_xlfn._xlws.FILTER(dataSummaryPL,dataSummaryPLSections=$D28),(startDates&gt;=BO$4)*(endDates&lt;=BO$5)))</f>
        <v>31452.469210123967</v>
      </c>
      <c r="BP28" s="625" cm="1">
        <f t="array" ref="BP28">SUM(_xlfn._xlws.FILTER(_xlfn._xlws.FILTER(dataSummaryPL,dataSummaryPLSections=$D28),(startDates&gt;=BP$4)*(endDates&lt;=BP$5)))</f>
        <v>31630.248373363072</v>
      </c>
      <c r="BQ28" s="625" cm="1">
        <f t="array" ref="BQ28">SUM(_xlfn._xlws.FILTER(_xlfn._xlws.FILTER(dataSummaryPL,dataSummaryPLSections=$D28),(startDates&gt;=BQ$4)*(endDates&lt;=BQ$5)))</f>
        <v>31655.041790536368</v>
      </c>
      <c r="BR28" s="625" cm="1">
        <f t="array" ref="BR28">SUM(_xlfn._xlws.FILTER(_xlfn._xlws.FILTER(dataSummaryPL,dataSummaryPLSections=$D28),(startDates&gt;=BR$4)*(endDates&lt;=BR$5)))</f>
        <v>31674.97461929921</v>
      </c>
      <c r="BS28" s="625" cm="1">
        <f t="array" ref="BS28">SUM(_xlfn._xlws.FILTER(_xlfn._xlws.FILTER(dataSummaryPL,dataSummaryPLSections=$D28),(startDates&gt;=BS$4)*(endDates&lt;=BS$5)))</f>
        <v>31689.134265021912</v>
      </c>
      <c r="BT28" s="625" cm="1">
        <f t="array" ref="BT28">SUM(_xlfn._xlws.FILTER(_xlfn._xlws.FILTER(dataSummaryPL,dataSummaryPLSections=$D28),(startDates&gt;=BT$4)*(endDates&lt;=BT$5)))</f>
        <v>31696.458261629054</v>
      </c>
      <c r="BU28" s="625" cm="1">
        <f t="array" ref="BU28">SUM(_xlfn._xlws.FILTER(_xlfn._xlws.FILTER(dataSummaryPL,dataSummaryPLSections=$D28),(startDates&gt;=BU$4)*(endDates&lt;=BU$5)))</f>
        <v>31726.336178118778</v>
      </c>
      <c r="BV28" s="625" cm="1">
        <f t="array" ref="BV28">SUM(_xlfn._xlws.FILTER(_xlfn._xlws.FILTER(dataSummaryPL,dataSummaryPLSections=$D28),(startDates&gt;=BV$4)*(endDates&lt;=BV$5)))</f>
        <v>31757.465382879651</v>
      </c>
      <c r="BW28" s="625" cm="1">
        <f t="array" ref="BW28">SUM(_xlfn._xlws.FILTER(_xlfn._xlws.FILTER(dataSummaryPL,dataSummaryPLSections=$D28),(startDates&gt;=BW$4)*(endDates&lt;=BW$5)))</f>
        <v>31760.439718509548</v>
      </c>
      <c r="BX28" s="625" cm="1">
        <f t="array" ref="BX28">SUM(_xlfn._xlws.FILTER(_xlfn._xlws.FILTER(dataSummaryPL,dataSummaryPLSections=$D28),(startDates&gt;=BX$4)*(endDates&lt;=BX$5)))</f>
        <v>31756.81534913414</v>
      </c>
      <c r="BY28" s="625" cm="1">
        <f t="array" ref="BY28">SUM(_xlfn._xlws.FILTER(_xlfn._xlws.FILTER(dataSummaryPL,dataSummaryPLSections=$D28),(startDates&gt;=BY$4)*(endDates&lt;=BY$5)))</f>
        <v>31745.972210347336</v>
      </c>
      <c r="BZ28" s="625" cm="1">
        <f t="array" ref="BZ28">SUM(_xlfn._xlws.FILTER(_xlfn._xlws.FILTER(dataSummaryPL,dataSummaryPLSections=$D28),(startDates&gt;=BZ$4)*(endDates&lt;=BZ$5)))</f>
        <v>31767.647907798917</v>
      </c>
      <c r="CE28" s="51"/>
    </row>
    <row r="29" spans="1:83" ht="15.75" outlineLevel="2">
      <c r="B29" s="367"/>
      <c r="C29" s="386"/>
      <c r="D29" s="529" t="s">
        <v>101</v>
      </c>
      <c r="E29" s="530"/>
      <c r="F29" s="359"/>
      <c r="G29" s="408">
        <f t="shared" si="18"/>
        <v>804245</v>
      </c>
      <c r="H29" s="408">
        <f t="shared" si="18"/>
        <v>1836654.3399999999</v>
      </c>
      <c r="I29" s="408">
        <f t="shared" si="18"/>
        <v>3189510.6435000002</v>
      </c>
      <c r="J29" s="408">
        <f t="shared" si="18"/>
        <v>3584650.4663251508</v>
      </c>
      <c r="K29" s="408"/>
      <c r="L29" s="408"/>
      <c r="M29" s="408">
        <f t="shared" ref="M29" si="20">SUMIFS($AE29:$BZ29,$AE$5:$BZ$5,"&gt;="&amp;M$4,$AE$5:$BZ$5,"&lt;="&amp;M$5)</f>
        <v>156389</v>
      </c>
      <c r="N29" s="408">
        <f t="shared" si="19"/>
        <v>169254.5</v>
      </c>
      <c r="O29" s="408">
        <f t="shared" si="19"/>
        <v>183516.5</v>
      </c>
      <c r="P29" s="408">
        <f t="shared" si="19"/>
        <v>295085</v>
      </c>
      <c r="Q29" s="408">
        <f t="shared" si="19"/>
        <v>342976.5</v>
      </c>
      <c r="R29" s="408">
        <f t="shared" si="19"/>
        <v>419934.5</v>
      </c>
      <c r="S29" s="408">
        <f t="shared" si="19"/>
        <v>514914.5</v>
      </c>
      <c r="T29" s="408">
        <f t="shared" si="19"/>
        <v>558828.84</v>
      </c>
      <c r="U29" s="408">
        <f t="shared" si="19"/>
        <v>646917.29</v>
      </c>
      <c r="V29" s="408">
        <f t="shared" si="19"/>
        <v>749887.28</v>
      </c>
      <c r="W29" s="408">
        <f t="shared" si="19"/>
        <v>869229.27999999991</v>
      </c>
      <c r="X29" s="408">
        <f t="shared" si="19"/>
        <v>923476.79349999991</v>
      </c>
      <c r="Y29" s="408">
        <f t="shared" si="19"/>
        <v>780146.08600219525</v>
      </c>
      <c r="Z29" s="408">
        <f t="shared" si="19"/>
        <v>889840.25774899893</v>
      </c>
      <c r="AA29" s="408">
        <f t="shared" si="19"/>
        <v>935366.34930551262</v>
      </c>
      <c r="AB29" s="408">
        <f t="shared" si="19"/>
        <v>979297.77326844377</v>
      </c>
      <c r="AC29" s="521"/>
      <c r="AD29" s="359"/>
      <c r="AE29" s="625" cm="1">
        <f t="array" ref="AE29">SUM(_xlfn._xlws.FILTER(_xlfn._xlws.FILTER(dataSummaryPL,dataSummaryPLSections=$D29),(startDates&gt;=AE$4)*(endDates&lt;=AE$5)))</f>
        <v>50780</v>
      </c>
      <c r="AF29" s="625" cm="1">
        <f t="array" ref="AF29">SUM(_xlfn._xlws.FILTER(_xlfn._xlws.FILTER(dataSummaryPL,dataSummaryPLSections=$D29),(startDates&gt;=AF$4)*(endDates&lt;=AF$5)))</f>
        <v>52115</v>
      </c>
      <c r="AG29" s="625" cm="1">
        <f t="array" ref="AG29">SUM(_xlfn._xlws.FILTER(_xlfn._xlws.FILTER(dataSummaryPL,dataSummaryPLSections=$D29),(startDates&gt;=AG$4)*(endDates&lt;=AG$5)))</f>
        <v>53494</v>
      </c>
      <c r="AH29" s="625" cm="1">
        <f t="array" ref="AH29">SUM(_xlfn._xlws.FILTER(_xlfn._xlws.FILTER(dataSummaryPL,dataSummaryPLSections=$D29),(startDates&gt;=AH$4)*(endDates&lt;=AH$5)))</f>
        <v>54921.5</v>
      </c>
      <c r="AI29" s="625" cm="1">
        <f t="array" ref="AI29">SUM(_xlfn._xlws.FILTER(_xlfn._xlws.FILTER(dataSummaryPL,dataSummaryPLSections=$D29),(startDates&gt;=AI$4)*(endDates&lt;=AI$5)))</f>
        <v>56401</v>
      </c>
      <c r="AJ29" s="625" cm="1">
        <f t="array" ref="AJ29">SUM(_xlfn._xlws.FILTER(_xlfn._xlws.FILTER(dataSummaryPL,dataSummaryPLSections=$D29),(startDates&gt;=AJ$4)*(endDates&lt;=AJ$5)))</f>
        <v>57932</v>
      </c>
      <c r="AK29" s="625" cm="1">
        <f t="array" ref="AK29">SUM(_xlfn._xlws.FILTER(_xlfn._xlws.FILTER(dataSummaryPL,dataSummaryPLSections=$D29),(startDates&gt;=AK$4)*(endDates&lt;=AK$5)))</f>
        <v>59514</v>
      </c>
      <c r="AL29" s="625" cm="1">
        <f t="array" ref="AL29">SUM(_xlfn._xlws.FILTER(_xlfn._xlws.FILTER(dataSummaryPL,dataSummaryPLSections=$D29),(startDates&gt;=AL$4)*(endDates&lt;=AL$5)))</f>
        <v>61153</v>
      </c>
      <c r="AM29" s="625" cm="1">
        <f t="array" ref="AM29">SUM(_xlfn._xlws.FILTER(_xlfn._xlws.FILTER(dataSummaryPL,dataSummaryPLSections=$D29),(startDates&gt;=AM$4)*(endDates&lt;=AM$5)))</f>
        <v>62849.5</v>
      </c>
      <c r="AN29" s="625" cm="1">
        <f t="array" ref="AN29">SUM(_xlfn._xlws.FILTER(_xlfn._xlws.FILTER(dataSummaryPL,dataSummaryPLSections=$D29),(startDates&gt;=AN$4)*(endDates&lt;=AN$5)))</f>
        <v>64606.5</v>
      </c>
      <c r="AO29" s="625" cm="1">
        <f t="array" ref="AO29">SUM(_xlfn._xlws.FILTER(_xlfn._xlws.FILTER(dataSummaryPL,dataSummaryPLSections=$D29),(startDates&gt;=AO$4)*(endDates&lt;=AO$5)))</f>
        <v>91586.5</v>
      </c>
      <c r="AP29" s="625" cm="1">
        <f t="array" ref="AP29">SUM(_xlfn._xlws.FILTER(_xlfn._xlws.FILTER(dataSummaryPL,dataSummaryPLSections=$D29),(startDates&gt;=AP$4)*(endDates&lt;=AP$5)))</f>
        <v>138892</v>
      </c>
      <c r="AQ29" s="625" cm="1">
        <f t="array" ref="AQ29">SUM(_xlfn._xlws.FILTER(_xlfn._xlws.FILTER(dataSummaryPL,dataSummaryPLSections=$D29),(startDates&gt;=AQ$4)*(endDates&lt;=AQ$5)))</f>
        <v>96166.5</v>
      </c>
      <c r="AR29" s="625" cm="1">
        <f t="array" ref="AR29">SUM(_xlfn._xlws.FILTER(_xlfn._xlws.FILTER(dataSummaryPL,dataSummaryPLSections=$D29),(startDates&gt;=AR$4)*(endDates&lt;=AR$5)))</f>
        <v>145836</v>
      </c>
      <c r="AS29" s="625" cm="1">
        <f t="array" ref="AS29">SUM(_xlfn._xlws.FILTER(_xlfn._xlws.FILTER(dataSummaryPL,dataSummaryPLSections=$D29),(startDates&gt;=AS$4)*(endDates&lt;=AS$5)))</f>
        <v>100974</v>
      </c>
      <c r="AT29" s="625" cm="1">
        <f t="array" ref="AT29">SUM(_xlfn._xlws.FILTER(_xlfn._xlws.FILTER(dataSummaryPL,dataSummaryPLSections=$D29),(startDates&gt;=AT$4)*(endDates&lt;=AT$5)))</f>
        <v>153128</v>
      </c>
      <c r="AU29" s="625" cm="1">
        <f t="array" ref="AU29">SUM(_xlfn._xlws.FILTER(_xlfn._xlws.FILTER(dataSummaryPL,dataSummaryPLSections=$D29),(startDates&gt;=AU$4)*(endDates&lt;=AU$5)))</f>
        <v>106022</v>
      </c>
      <c r="AV29" s="625" cm="1">
        <f t="array" ref="AV29">SUM(_xlfn._xlws.FILTER(_xlfn._xlws.FILTER(dataSummaryPL,dataSummaryPLSections=$D29),(startDates&gt;=AV$4)*(endDates&lt;=AV$5)))</f>
        <v>160784.5</v>
      </c>
      <c r="AW29" s="625" cm="1">
        <f t="array" ref="AW29">SUM(_xlfn._xlws.FILTER(_xlfn._xlws.FILTER(dataSummaryPL,dataSummaryPLSections=$D29),(startDates&gt;=AW$4)*(endDates&lt;=AW$5)))</f>
        <v>168825</v>
      </c>
      <c r="AX29" s="625" cm="1">
        <f t="array" ref="AX29">SUM(_xlfn._xlws.FILTER(_xlfn._xlws.FILTER(dataSummaryPL,dataSummaryPLSections=$D29),(startDates&gt;=AX$4)*(endDates&lt;=AX$5)))</f>
        <v>168824.5</v>
      </c>
      <c r="AY29" s="625" cm="1">
        <f t="array" ref="AY29">SUM(_xlfn._xlws.FILTER(_xlfn._xlws.FILTER(dataSummaryPL,dataSummaryPLSections=$D29),(startDates&gt;=AY$4)*(endDates&lt;=AY$5)))</f>
        <v>177265</v>
      </c>
      <c r="AZ29" s="625" cm="1">
        <f t="array" ref="AZ29">SUM(_xlfn._xlws.FILTER(_xlfn._xlws.FILTER(dataSummaryPL,dataSummaryPLSections=$D29),(startDates&gt;=AZ$4)*(endDates&lt;=AZ$5)))</f>
        <v>177265.66999999998</v>
      </c>
      <c r="BA29" s="625" cm="1">
        <f t="array" ref="BA29">SUM(_xlfn._xlws.FILTER(_xlfn._xlws.FILTER(dataSummaryPL,dataSummaryPLSections=$D29),(startDates&gt;=BA$4)*(endDates&lt;=BA$5)))</f>
        <v>186128.66999999998</v>
      </c>
      <c r="BB29" s="625" cm="1">
        <f t="array" ref="BB29">SUM(_xlfn._xlws.FILTER(_xlfn._xlws.FILTER(dataSummaryPL,dataSummaryPLSections=$D29),(startDates&gt;=BB$4)*(endDates&lt;=BB$5)))</f>
        <v>195434.5</v>
      </c>
      <c r="BC29" s="625" cm="1">
        <f t="array" ref="BC29">SUM(_xlfn._xlws.FILTER(_xlfn._xlws.FILTER(dataSummaryPL,dataSummaryPLSections=$D29),(startDates&gt;=BC$4)*(endDates&lt;=BC$5)))</f>
        <v>205207.28999999998</v>
      </c>
      <c r="BD29" s="625" cm="1">
        <f t="array" ref="BD29">SUM(_xlfn._xlws.FILTER(_xlfn._xlws.FILTER(dataSummaryPL,dataSummaryPLSections=$D29),(startDates&gt;=BD$4)*(endDates&lt;=BD$5)))</f>
        <v>215468</v>
      </c>
      <c r="BE29" s="625" cm="1">
        <f t="array" ref="BE29">SUM(_xlfn._xlws.FILTER(_xlfn._xlws.FILTER(dataSummaryPL,dataSummaryPLSections=$D29),(startDates&gt;=BE$4)*(endDates&lt;=BE$5)))</f>
        <v>226242</v>
      </c>
      <c r="BF29" s="625" cm="1">
        <f t="array" ref="BF29">SUM(_xlfn._xlws.FILTER(_xlfn._xlws.FILTER(dataSummaryPL,dataSummaryPLSections=$D29),(startDates&gt;=BF$4)*(endDates&lt;=BF$5)))</f>
        <v>237553</v>
      </c>
      <c r="BG29" s="625" cm="1">
        <f t="array" ref="BG29">SUM(_xlfn._xlws.FILTER(_xlfn._xlws.FILTER(dataSummaryPL,dataSummaryPLSections=$D29),(startDates&gt;=BG$4)*(endDates&lt;=BG$5)))</f>
        <v>249432</v>
      </c>
      <c r="BH29" s="625" cm="1">
        <f t="array" ref="BH29">SUM(_xlfn._xlws.FILTER(_xlfn._xlws.FILTER(dataSummaryPL,dataSummaryPLSections=$D29),(startDates&gt;=BH$4)*(endDates&lt;=BH$5)))</f>
        <v>262902.28000000003</v>
      </c>
      <c r="BI29" s="625" cm="1">
        <f t="array" ref="BI29">SUM(_xlfn._xlws.FILTER(_xlfn._xlws.FILTER(dataSummaryPL,dataSummaryPLSections=$D29),(startDates&gt;=BI$4)*(endDates&lt;=BI$5)))</f>
        <v>276797.38999999996</v>
      </c>
      <c r="BJ29" s="625" cm="1">
        <f t="array" ref="BJ29">SUM(_xlfn._xlws.FILTER(_xlfn._xlws.FILTER(dataSummaryPL,dataSummaryPLSections=$D29),(startDates&gt;=BJ$4)*(endDates&lt;=BJ$5)))</f>
        <v>289247.27</v>
      </c>
      <c r="BK29" s="625" cm="1">
        <f t="array" ref="BK29">SUM(_xlfn._xlws.FILTER(_xlfn._xlws.FILTER(dataSummaryPL,dataSummaryPLSections=$D29),(startDates&gt;=BK$4)*(endDates&lt;=BK$5)))</f>
        <v>303184.62</v>
      </c>
      <c r="BL29" s="625" cm="1">
        <f t="array" ref="BL29">SUM(_xlfn._xlws.FILTER(_xlfn._xlws.FILTER(dataSummaryPL,dataSummaryPLSections=$D29),(startDates&gt;=BL$4)*(endDates&lt;=BL$5)))</f>
        <v>318343.84999999998</v>
      </c>
      <c r="BM29" s="625" cm="1">
        <f t="array" ref="BM29">SUM(_xlfn._xlws.FILTER(_xlfn._xlws.FILTER(dataSummaryPL,dataSummaryPLSections=$D29),(startDates&gt;=BM$4)*(endDates&lt;=BM$5)))</f>
        <v>340311.04999999993</v>
      </c>
      <c r="BN29" s="625" cm="1">
        <f t="array" ref="BN29">SUM(_xlfn._xlws.FILTER(_xlfn._xlws.FILTER(dataSummaryPL,dataSummaryPLSections=$D29),(startDates&gt;=BN$4)*(endDates&lt;=BN$5)))</f>
        <v>264821.89350000001</v>
      </c>
      <c r="BO29" s="625" cm="1">
        <f t="array" ref="BO29">SUM(_xlfn._xlws.FILTER(_xlfn._xlws.FILTER(dataSummaryPL,dataSummaryPLSections=$D29),(startDates&gt;=BO$4)*(endDates&lt;=BO$5)))</f>
        <v>255299.97161250003</v>
      </c>
      <c r="BP29" s="625" cm="1">
        <f t="array" ref="BP29">SUM(_xlfn._xlws.FILTER(_xlfn._xlws.FILTER(dataSummaryPL,dataSummaryPLSections=$D29),(startDates&gt;=BP$4)*(endDates&lt;=BP$5)))</f>
        <v>260182.86914468749</v>
      </c>
      <c r="BQ29" s="625" cm="1">
        <f t="array" ref="BQ29">SUM(_xlfn._xlws.FILTER(_xlfn._xlws.FILTER(dataSummaryPL,dataSummaryPLSections=$D29),(startDates&gt;=BQ$4)*(endDates&lt;=BQ$5)))</f>
        <v>264663.2452450078</v>
      </c>
      <c r="BR29" s="625" cm="1">
        <f t="array" ref="BR29">SUM(_xlfn._xlws.FILTER(_xlfn._xlws.FILTER(dataSummaryPL,dataSummaryPLSections=$D29),(startDates&gt;=BR$4)*(endDates&lt;=BR$5)))</f>
        <v>293091.85257955088</v>
      </c>
      <c r="BS29" s="625" cm="1">
        <f t="array" ref="BS29">SUM(_xlfn._xlws.FILTER(_xlfn._xlws.FILTER(dataSummaryPL,dataSummaryPLSections=$D29),(startDates&gt;=BS$4)*(endDates&lt;=BS$5)))</f>
        <v>295912.16061430564</v>
      </c>
      <c r="BT29" s="625" cm="1">
        <f t="array" ref="BT29">SUM(_xlfn._xlws.FILTER(_xlfn._xlws.FILTER(dataSummaryPL,dataSummaryPLSections=$D29),(startDates&gt;=BT$4)*(endDates&lt;=BT$5)))</f>
        <v>300836.24455514242</v>
      </c>
      <c r="BU29" s="625" cm="1">
        <f t="array" ref="BU29">SUM(_xlfn._xlws.FILTER(_xlfn._xlws.FILTER(dataSummaryPL,dataSummaryPLSections=$D29),(startDates&gt;=BU$4)*(endDates&lt;=BU$5)))</f>
        <v>308283.39140645904</v>
      </c>
      <c r="BV29" s="625" cm="1">
        <f t="array" ref="BV29">SUM(_xlfn._xlws.FILTER(_xlfn._xlws.FILTER(dataSummaryPL,dataSummaryPLSections=$D29),(startDates&gt;=BV$4)*(endDates&lt;=BV$5)))</f>
        <v>311864.70862040186</v>
      </c>
      <c r="BW29" s="625" cm="1">
        <f t="array" ref="BW29">SUM(_xlfn._xlws.FILTER(_xlfn._xlws.FILTER(dataSummaryPL,dataSummaryPLSections=$D29),(startDates&gt;=BW$4)*(endDates&lt;=BW$5)))</f>
        <v>315218.24927865184</v>
      </c>
      <c r="BX29" s="625" cm="1">
        <f t="array" ref="BX29">SUM(_xlfn._xlws.FILTER(_xlfn._xlws.FILTER(dataSummaryPL,dataSummaryPLSections=$D29),(startDates&gt;=BX$4)*(endDates&lt;=BX$5)))</f>
        <v>318374.59373453952</v>
      </c>
      <c r="BY29" s="625" cm="1">
        <f t="array" ref="BY29">SUM(_xlfn._xlws.FILTER(_xlfn._xlws.FILTER(dataSummaryPL,dataSummaryPLSections=$D29),(startDates&gt;=BY$4)*(endDates&lt;=BY$5)))</f>
        <v>321419.49010332924</v>
      </c>
      <c r="BZ29" s="625" cm="1">
        <f t="array" ref="BZ29">SUM(_xlfn._xlws.FILTER(_xlfn._xlws.FILTER(dataSummaryPL,dataSummaryPLSections=$D29),(startDates&gt;=BZ$4)*(endDates&lt;=BZ$5)))</f>
        <v>339503.689430575</v>
      </c>
    </row>
    <row r="30" spans="1:83" s="51" customFormat="1" outlineLevel="2">
      <c r="B30" s="387"/>
      <c r="C30" s="386"/>
      <c r="D30" s="529" t="s">
        <v>431</v>
      </c>
      <c r="E30" s="526"/>
      <c r="F30" s="359"/>
      <c r="G30" s="658">
        <f>IFERROR(G27/SUM(G28:G29),0)</f>
        <v>0.3</v>
      </c>
      <c r="H30" s="658">
        <f t="shared" ref="H30:J30" si="21">IFERROR(H27/SUM(H28:H29),0)</f>
        <v>0.29999999999999993</v>
      </c>
      <c r="I30" s="658">
        <f t="shared" si="21"/>
        <v>0.29999999999999993</v>
      </c>
      <c r="J30" s="658">
        <f t="shared" si="21"/>
        <v>0.29999999999999993</v>
      </c>
      <c r="K30" s="658"/>
      <c r="L30" s="658"/>
      <c r="M30" s="658">
        <f t="shared" ref="M30:AB30" si="22">IFERROR(M27/SUM(M28:M29),0)</f>
        <v>0.3</v>
      </c>
      <c r="N30" s="658">
        <f t="shared" si="22"/>
        <v>0.3</v>
      </c>
      <c r="O30" s="658">
        <f t="shared" si="22"/>
        <v>0.3</v>
      </c>
      <c r="P30" s="658">
        <f t="shared" si="22"/>
        <v>0.3</v>
      </c>
      <c r="Q30" s="658">
        <f t="shared" si="22"/>
        <v>0.29999999999999993</v>
      </c>
      <c r="R30" s="658">
        <f t="shared" si="22"/>
        <v>0.3</v>
      </c>
      <c r="S30" s="658">
        <f t="shared" si="22"/>
        <v>0.3</v>
      </c>
      <c r="T30" s="658">
        <f t="shared" si="22"/>
        <v>0.29999999999999993</v>
      </c>
      <c r="U30" s="658">
        <f t="shared" si="22"/>
        <v>0.29999999999999993</v>
      </c>
      <c r="V30" s="658">
        <f t="shared" si="22"/>
        <v>0.3</v>
      </c>
      <c r="W30" s="658">
        <f t="shared" si="22"/>
        <v>0.30000000000000004</v>
      </c>
      <c r="X30" s="658">
        <f t="shared" si="22"/>
        <v>0.3</v>
      </c>
      <c r="Y30" s="658">
        <f t="shared" si="22"/>
        <v>0.3</v>
      </c>
      <c r="Z30" s="658">
        <f t="shared" si="22"/>
        <v>0.29999999999999993</v>
      </c>
      <c r="AA30" s="658">
        <f t="shared" si="22"/>
        <v>0.3</v>
      </c>
      <c r="AB30" s="658">
        <f t="shared" si="22"/>
        <v>0.3</v>
      </c>
      <c r="AC30" s="528"/>
      <c r="AD30" s="359"/>
      <c r="AE30" s="626">
        <v>0.3</v>
      </c>
      <c r="AF30" s="626">
        <v>0.3</v>
      </c>
      <c r="AG30" s="626">
        <v>0.3</v>
      </c>
      <c r="AH30" s="626">
        <v>0.3</v>
      </c>
      <c r="AI30" s="626">
        <v>0.3</v>
      </c>
      <c r="AJ30" s="626">
        <v>0.3</v>
      </c>
      <c r="AK30" s="626">
        <v>0.3</v>
      </c>
      <c r="AL30" s="626">
        <v>0.3</v>
      </c>
      <c r="AM30" s="626">
        <v>0.3</v>
      </c>
      <c r="AN30" s="626">
        <v>0.3</v>
      </c>
      <c r="AO30" s="626">
        <v>0.3</v>
      </c>
      <c r="AP30" s="626">
        <v>0.3</v>
      </c>
      <c r="AQ30" s="626">
        <v>0.3</v>
      </c>
      <c r="AR30" s="626">
        <v>0.3</v>
      </c>
      <c r="AS30" s="626">
        <v>0.3</v>
      </c>
      <c r="AT30" s="626">
        <v>0.3</v>
      </c>
      <c r="AU30" s="626">
        <v>0.3</v>
      </c>
      <c r="AV30" s="626">
        <v>0.3</v>
      </c>
      <c r="AW30" s="626">
        <v>0.3</v>
      </c>
      <c r="AX30" s="626">
        <v>0.3</v>
      </c>
      <c r="AY30" s="626">
        <v>0.3</v>
      </c>
      <c r="AZ30" s="626">
        <v>0.3</v>
      </c>
      <c r="BA30" s="626">
        <v>0.3</v>
      </c>
      <c r="BB30" s="626">
        <v>0.3</v>
      </c>
      <c r="BC30" s="626">
        <v>0.3</v>
      </c>
      <c r="BD30" s="626">
        <v>0.3</v>
      </c>
      <c r="BE30" s="626">
        <v>0.3</v>
      </c>
      <c r="BF30" s="626">
        <v>0.3</v>
      </c>
      <c r="BG30" s="626">
        <v>0.3</v>
      </c>
      <c r="BH30" s="626">
        <v>0.3</v>
      </c>
      <c r="BI30" s="626">
        <v>0.3</v>
      </c>
      <c r="BJ30" s="626">
        <v>0.3</v>
      </c>
      <c r="BK30" s="626">
        <v>0.3</v>
      </c>
      <c r="BL30" s="626">
        <v>0.3</v>
      </c>
      <c r="BM30" s="626">
        <v>0.3</v>
      </c>
      <c r="BN30" s="626">
        <v>0.3</v>
      </c>
      <c r="BO30" s="626">
        <v>0.3</v>
      </c>
      <c r="BP30" s="626">
        <v>0.3</v>
      </c>
      <c r="BQ30" s="626">
        <v>0.3</v>
      </c>
      <c r="BR30" s="626">
        <v>0.3</v>
      </c>
      <c r="BS30" s="626">
        <v>0.3</v>
      </c>
      <c r="BT30" s="626">
        <v>0.3</v>
      </c>
      <c r="BU30" s="626">
        <v>0.3</v>
      </c>
      <c r="BV30" s="626">
        <v>0.3</v>
      </c>
      <c r="BW30" s="626">
        <v>0.3</v>
      </c>
      <c r="BX30" s="626">
        <v>0.3</v>
      </c>
      <c r="BY30" s="626">
        <v>0.3</v>
      </c>
      <c r="BZ30" s="626">
        <v>0.3</v>
      </c>
    </row>
    <row r="31" spans="1:83" s="51" customFormat="1">
      <c r="B31" s="387"/>
      <c r="C31" s="386"/>
      <c r="D31" s="527"/>
      <c r="E31" s="526"/>
      <c r="F31" s="359"/>
      <c r="G31" s="55"/>
      <c r="H31" s="55"/>
      <c r="I31" s="55"/>
      <c r="J31" s="55"/>
      <c r="L31" s="359"/>
      <c r="M31" s="55"/>
      <c r="N31" s="55"/>
      <c r="O31" s="55"/>
      <c r="P31" s="55"/>
      <c r="Q31" s="55"/>
      <c r="R31" s="55"/>
      <c r="S31" s="55"/>
      <c r="T31" s="55"/>
      <c r="U31" s="55"/>
      <c r="V31" s="55"/>
      <c r="W31" s="55"/>
      <c r="X31" s="55"/>
      <c r="Y31" s="55"/>
      <c r="Z31" s="55"/>
      <c r="AA31" s="55"/>
      <c r="AB31" s="55"/>
      <c r="AD31" s="359"/>
    </row>
    <row r="32" spans="1:83" s="51" customFormat="1" ht="24">
      <c r="B32" s="632" t="s">
        <v>432</v>
      </c>
      <c r="C32" s="475"/>
      <c r="D32" s="475"/>
      <c r="E32" s="633"/>
      <c r="F32" s="359"/>
      <c r="G32" s="634"/>
      <c r="H32" s="634"/>
      <c r="I32" s="634"/>
      <c r="J32" s="634"/>
      <c r="L32" s="359"/>
      <c r="M32" s="634"/>
      <c r="N32" s="634"/>
      <c r="O32" s="634"/>
      <c r="P32" s="634"/>
      <c r="Q32" s="634"/>
      <c r="R32" s="634"/>
      <c r="S32" s="634"/>
      <c r="T32" s="634"/>
      <c r="U32" s="634"/>
      <c r="V32" s="634"/>
      <c r="W32" s="634"/>
      <c r="X32" s="634"/>
      <c r="Y32" s="634"/>
      <c r="Z32" s="634"/>
      <c r="AA32" s="634"/>
      <c r="AB32" s="634"/>
      <c r="AD32" s="359"/>
      <c r="AE32" s="634"/>
      <c r="AF32" s="634"/>
      <c r="AG32" s="634"/>
      <c r="AH32" s="634"/>
      <c r="AI32" s="634"/>
      <c r="AJ32" s="634"/>
      <c r="AK32" s="634"/>
      <c r="AL32" s="634"/>
      <c r="AM32" s="634"/>
      <c r="AN32" s="634"/>
      <c r="AO32" s="634"/>
      <c r="AP32" s="634"/>
      <c r="AQ32" s="634"/>
      <c r="AR32" s="634"/>
      <c r="AS32" s="634"/>
      <c r="AT32" s="634"/>
      <c r="AU32" s="634"/>
      <c r="AV32" s="634"/>
      <c r="AW32" s="634"/>
      <c r="AX32" s="634"/>
      <c r="AY32" s="634"/>
      <c r="AZ32" s="634"/>
      <c r="BA32" s="634"/>
      <c r="BB32" s="634"/>
      <c r="BC32" s="634"/>
      <c r="BD32" s="634"/>
      <c r="BE32" s="634"/>
      <c r="BF32" s="634"/>
      <c r="BG32" s="634"/>
      <c r="BH32" s="634"/>
      <c r="BI32" s="634"/>
      <c r="BJ32" s="634"/>
      <c r="BK32" s="634"/>
      <c r="BL32" s="634"/>
      <c r="BM32" s="634"/>
      <c r="BN32" s="634"/>
      <c r="BO32" s="634"/>
      <c r="BP32" s="634"/>
      <c r="BQ32" s="634"/>
      <c r="BR32" s="634"/>
      <c r="BS32" s="634"/>
      <c r="BT32" s="634"/>
      <c r="BU32" s="634"/>
      <c r="BV32" s="634"/>
      <c r="BW32" s="634"/>
      <c r="BX32" s="634"/>
      <c r="BY32" s="634"/>
      <c r="BZ32" s="634"/>
    </row>
    <row r="33" spans="2:78" ht="15" outlineLevel="1" collapsed="1">
      <c r="B33" s="367"/>
      <c r="C33" s="523" t="s">
        <v>428</v>
      </c>
      <c r="D33" s="366"/>
      <c r="E33" s="522"/>
      <c r="F33" s="359"/>
      <c r="G33" s="378">
        <f>SUM(G34:G82)</f>
        <v>0</v>
      </c>
      <c r="H33" s="378">
        <f>SUM(H34:H82)</f>
        <v>0</v>
      </c>
      <c r="I33" s="378">
        <f>SUM(I34:I82)</f>
        <v>27674.75</v>
      </c>
      <c r="J33" s="378">
        <f>SUM(J34:J82)</f>
        <v>27674.75</v>
      </c>
      <c r="K33" s="55"/>
      <c r="L33" s="359"/>
      <c r="M33" s="378">
        <f t="shared" ref="M33:AB33" si="23">SUM(M34:M82)</f>
        <v>0</v>
      </c>
      <c r="N33" s="378">
        <f t="shared" si="23"/>
        <v>0</v>
      </c>
      <c r="O33" s="378">
        <f t="shared" si="23"/>
        <v>0</v>
      </c>
      <c r="P33" s="378">
        <f t="shared" si="23"/>
        <v>0</v>
      </c>
      <c r="Q33" s="378">
        <f t="shared" si="23"/>
        <v>0</v>
      </c>
      <c r="R33" s="378">
        <f t="shared" si="23"/>
        <v>0</v>
      </c>
      <c r="S33" s="378">
        <f t="shared" si="23"/>
        <v>0</v>
      </c>
      <c r="T33" s="378">
        <f t="shared" si="23"/>
        <v>0</v>
      </c>
      <c r="U33" s="378">
        <f t="shared" si="23"/>
        <v>0</v>
      </c>
      <c r="V33" s="378">
        <f t="shared" si="23"/>
        <v>0</v>
      </c>
      <c r="W33" s="378">
        <f t="shared" si="23"/>
        <v>0</v>
      </c>
      <c r="X33" s="378">
        <f t="shared" si="23"/>
        <v>27674.75</v>
      </c>
      <c r="Y33" s="378">
        <f t="shared" si="23"/>
        <v>27674.75</v>
      </c>
      <c r="Z33" s="378">
        <f t="shared" si="23"/>
        <v>0</v>
      </c>
      <c r="AA33" s="378">
        <f t="shared" si="23"/>
        <v>0</v>
      </c>
      <c r="AB33" s="378">
        <f t="shared" si="23"/>
        <v>0</v>
      </c>
      <c r="AD33" s="359"/>
      <c r="AE33" s="378">
        <f t="shared" ref="AE33:BZ33" si="24">SUM(AE34:AE82)</f>
        <v>0</v>
      </c>
      <c r="AF33" s="378">
        <f t="shared" si="24"/>
        <v>0</v>
      </c>
      <c r="AG33" s="378">
        <f t="shared" si="24"/>
        <v>0</v>
      </c>
      <c r="AH33" s="378">
        <f t="shared" si="24"/>
        <v>0</v>
      </c>
      <c r="AI33" s="378">
        <f t="shared" si="24"/>
        <v>0</v>
      </c>
      <c r="AJ33" s="378">
        <f t="shared" si="24"/>
        <v>0</v>
      </c>
      <c r="AK33" s="378">
        <f t="shared" si="24"/>
        <v>0</v>
      </c>
      <c r="AL33" s="378">
        <f t="shared" si="24"/>
        <v>0</v>
      </c>
      <c r="AM33" s="378">
        <f t="shared" si="24"/>
        <v>0</v>
      </c>
      <c r="AN33" s="378">
        <f t="shared" si="24"/>
        <v>0</v>
      </c>
      <c r="AO33" s="378">
        <f t="shared" si="24"/>
        <v>0</v>
      </c>
      <c r="AP33" s="378">
        <f t="shared" si="24"/>
        <v>0</v>
      </c>
      <c r="AQ33" s="378">
        <f t="shared" si="24"/>
        <v>0</v>
      </c>
      <c r="AR33" s="378">
        <f t="shared" si="24"/>
        <v>0</v>
      </c>
      <c r="AS33" s="378">
        <f t="shared" si="24"/>
        <v>0</v>
      </c>
      <c r="AT33" s="378">
        <f t="shared" si="24"/>
        <v>0</v>
      </c>
      <c r="AU33" s="378">
        <f t="shared" si="24"/>
        <v>0</v>
      </c>
      <c r="AV33" s="378">
        <f t="shared" si="24"/>
        <v>0</v>
      </c>
      <c r="AW33" s="378">
        <f t="shared" si="24"/>
        <v>0</v>
      </c>
      <c r="AX33" s="378">
        <f t="shared" si="24"/>
        <v>0</v>
      </c>
      <c r="AY33" s="378">
        <f t="shared" si="24"/>
        <v>0</v>
      </c>
      <c r="AZ33" s="378">
        <f t="shared" si="24"/>
        <v>0</v>
      </c>
      <c r="BA33" s="378">
        <f t="shared" si="24"/>
        <v>0</v>
      </c>
      <c r="BB33" s="378">
        <f t="shared" si="24"/>
        <v>0</v>
      </c>
      <c r="BC33" s="378">
        <f t="shared" si="24"/>
        <v>0</v>
      </c>
      <c r="BD33" s="378">
        <f t="shared" si="24"/>
        <v>0</v>
      </c>
      <c r="BE33" s="378">
        <f t="shared" si="24"/>
        <v>0</v>
      </c>
      <c r="BF33" s="378">
        <f t="shared" si="24"/>
        <v>0</v>
      </c>
      <c r="BG33" s="378">
        <f t="shared" si="24"/>
        <v>0</v>
      </c>
      <c r="BH33" s="378">
        <f t="shared" si="24"/>
        <v>0</v>
      </c>
      <c r="BI33" s="378">
        <f t="shared" si="24"/>
        <v>0</v>
      </c>
      <c r="BJ33" s="378">
        <f t="shared" si="24"/>
        <v>0</v>
      </c>
      <c r="BK33" s="378">
        <f t="shared" si="24"/>
        <v>0</v>
      </c>
      <c r="BL33" s="378">
        <f t="shared" si="24"/>
        <v>0</v>
      </c>
      <c r="BM33" s="378">
        <f t="shared" si="24"/>
        <v>0</v>
      </c>
      <c r="BN33" s="378">
        <f t="shared" si="24"/>
        <v>27674.75</v>
      </c>
      <c r="BO33" s="378">
        <f t="shared" si="24"/>
        <v>13837.375</v>
      </c>
      <c r="BP33" s="378">
        <f t="shared" si="24"/>
        <v>13837.375</v>
      </c>
      <c r="BQ33" s="378">
        <f t="shared" si="24"/>
        <v>0</v>
      </c>
      <c r="BR33" s="378">
        <f t="shared" si="24"/>
        <v>0</v>
      </c>
      <c r="BS33" s="378">
        <f t="shared" si="24"/>
        <v>0</v>
      </c>
      <c r="BT33" s="378">
        <f t="shared" si="24"/>
        <v>0</v>
      </c>
      <c r="BU33" s="378">
        <f t="shared" si="24"/>
        <v>0</v>
      </c>
      <c r="BV33" s="378">
        <f t="shared" si="24"/>
        <v>0</v>
      </c>
      <c r="BW33" s="378">
        <f t="shared" si="24"/>
        <v>0</v>
      </c>
      <c r="BX33" s="378">
        <f t="shared" si="24"/>
        <v>0</v>
      </c>
      <c r="BY33" s="378">
        <f t="shared" si="24"/>
        <v>0</v>
      </c>
      <c r="BZ33" s="378">
        <f t="shared" si="24"/>
        <v>0</v>
      </c>
    </row>
    <row r="34" spans="2:78" ht="21" hidden="1" customHeight="1" outlineLevel="3">
      <c r="B34" s="367"/>
      <c r="C34" s="370"/>
      <c r="D34" s="369"/>
      <c r="E34" s="373"/>
      <c r="F34" s="359"/>
      <c r="G34" s="375"/>
      <c r="H34" s="375"/>
      <c r="I34" s="375"/>
      <c r="J34" s="375"/>
      <c r="L34" s="359"/>
      <c r="M34" s="375"/>
      <c r="N34" s="375"/>
      <c r="O34" s="375"/>
      <c r="P34" s="375"/>
      <c r="Q34" s="375"/>
      <c r="R34" s="375"/>
      <c r="S34" s="375"/>
      <c r="T34" s="375"/>
      <c r="U34" s="375"/>
      <c r="V34" s="375"/>
      <c r="W34" s="375"/>
      <c r="X34" s="375"/>
      <c r="Y34" s="375"/>
      <c r="Z34" s="375"/>
      <c r="AA34" s="375"/>
      <c r="AB34" s="375"/>
      <c r="AD34" s="359"/>
      <c r="AE34" s="375"/>
      <c r="AF34" s="375"/>
      <c r="AG34" s="375"/>
      <c r="AH34" s="375"/>
      <c r="AI34" s="375"/>
      <c r="AJ34" s="375"/>
      <c r="AK34" s="375"/>
      <c r="AL34" s="375"/>
      <c r="AM34" s="375"/>
      <c r="AN34" s="375"/>
      <c r="AO34" s="375"/>
      <c r="AP34" s="375"/>
      <c r="AQ34" s="375"/>
      <c r="AR34" s="375"/>
      <c r="AS34" s="375"/>
      <c r="AT34" s="375"/>
      <c r="AU34" s="375"/>
      <c r="AV34" s="375"/>
      <c r="AW34" s="375"/>
      <c r="AX34" s="375"/>
      <c r="AY34" s="375"/>
      <c r="AZ34" s="375"/>
      <c r="BA34" s="375"/>
      <c r="BB34" s="375"/>
      <c r="BC34" s="375"/>
      <c r="BD34" s="375"/>
      <c r="BE34" s="375"/>
      <c r="BF34" s="375"/>
      <c r="BG34" s="375"/>
      <c r="BH34" s="375"/>
      <c r="BI34" s="375"/>
      <c r="BJ34" s="375"/>
      <c r="BK34" s="375"/>
      <c r="BL34" s="375"/>
      <c r="BM34" s="375"/>
      <c r="BN34" s="375"/>
      <c r="BO34" s="375"/>
      <c r="BP34" s="375"/>
      <c r="BQ34" s="375"/>
      <c r="BR34" s="375"/>
      <c r="BS34" s="375"/>
      <c r="BT34" s="375"/>
      <c r="BU34" s="375"/>
      <c r="BV34" s="375"/>
      <c r="BW34" s="375"/>
      <c r="BX34" s="375"/>
      <c r="BY34" s="375"/>
      <c r="BZ34" s="375"/>
    </row>
    <row r="35" spans="2:78" ht="21" hidden="1" customHeight="1" outlineLevel="3">
      <c r="B35" s="367"/>
      <c r="C35" s="370"/>
      <c r="D35" s="374" cm="1">
        <f t="array" ref="D35">EOM_Start_Date</f>
        <v>44957</v>
      </c>
      <c r="E35" s="373" cm="1">
        <f t="array" ref="E35">IF($D35=LatestMonthOfActuals,INDEX($AE$25:$BZ$25,0,MATCH($D35,$AE$8:$BZ$8,0)),0)</f>
        <v>0</v>
      </c>
      <c r="F35" s="359"/>
      <c r="G35" s="408">
        <f t="shared" ref="G35:J82" si="25">SUMIFS($AE35:$BZ35,$AE$5:$BZ$5,"&gt;="&amp;G$4,$AE$5:$BZ$5,"&lt;="&amp;G$5)</f>
        <v>0</v>
      </c>
      <c r="H35" s="408">
        <f t="shared" si="25"/>
        <v>0</v>
      </c>
      <c r="I35" s="408">
        <f t="shared" si="25"/>
        <v>0</v>
      </c>
      <c r="J35" s="408">
        <f t="shared" si="25"/>
        <v>0</v>
      </c>
      <c r="K35" s="408"/>
      <c r="L35" s="408"/>
      <c r="M35" s="408">
        <f t="shared" ref="M35:AB50" si="26">SUMIFS($AE35:$BZ35,$AE$5:$BZ$5,"&gt;="&amp;M$4,$AE$5:$BZ$5,"&lt;="&amp;M$5)</f>
        <v>0</v>
      </c>
      <c r="N35" s="408">
        <f t="shared" si="26"/>
        <v>0</v>
      </c>
      <c r="O35" s="408">
        <f t="shared" si="26"/>
        <v>0</v>
      </c>
      <c r="P35" s="408">
        <f t="shared" si="26"/>
        <v>0</v>
      </c>
      <c r="Q35" s="408">
        <f t="shared" si="26"/>
        <v>0</v>
      </c>
      <c r="R35" s="408">
        <f t="shared" si="26"/>
        <v>0</v>
      </c>
      <c r="S35" s="408">
        <f t="shared" si="26"/>
        <v>0</v>
      </c>
      <c r="T35" s="408">
        <f t="shared" si="26"/>
        <v>0</v>
      </c>
      <c r="U35" s="408">
        <f t="shared" si="26"/>
        <v>0</v>
      </c>
      <c r="V35" s="408">
        <f t="shared" si="26"/>
        <v>0</v>
      </c>
      <c r="W35" s="408">
        <f t="shared" si="26"/>
        <v>0</v>
      </c>
      <c r="X35" s="408">
        <f t="shared" si="26"/>
        <v>0</v>
      </c>
      <c r="Y35" s="408">
        <f t="shared" si="26"/>
        <v>0</v>
      </c>
      <c r="Z35" s="408">
        <f t="shared" si="26"/>
        <v>0</v>
      </c>
      <c r="AA35" s="408">
        <f t="shared" si="26"/>
        <v>0</v>
      </c>
      <c r="AB35" s="408">
        <f t="shared" si="26"/>
        <v>0</v>
      </c>
      <c r="AD35" s="359"/>
      <c r="AE35" s="371">
        <f t="shared" ref="AE35:AN44" si="27">IFERROR(IF(AE$8&gt;=$D35,$E35*(INDEX($E$12:$E$16,(MATCH(MATCH(AE$8,$D$35:$D$82,0)-MATCH($D35,$D$35:$D$82,0),$D$12:$D$16,0)))),0),0)</f>
        <v>0</v>
      </c>
      <c r="AF35" s="371">
        <f t="shared" si="27"/>
        <v>0</v>
      </c>
      <c r="AG35" s="371">
        <f t="shared" si="27"/>
        <v>0</v>
      </c>
      <c r="AH35" s="371">
        <f t="shared" si="27"/>
        <v>0</v>
      </c>
      <c r="AI35" s="371">
        <f t="shared" si="27"/>
        <v>0</v>
      </c>
      <c r="AJ35" s="371">
        <f t="shared" si="27"/>
        <v>0</v>
      </c>
      <c r="AK35" s="371">
        <f t="shared" si="27"/>
        <v>0</v>
      </c>
      <c r="AL35" s="371">
        <f t="shared" si="27"/>
        <v>0</v>
      </c>
      <c r="AM35" s="371">
        <f t="shared" si="27"/>
        <v>0</v>
      </c>
      <c r="AN35" s="371">
        <f t="shared" si="27"/>
        <v>0</v>
      </c>
      <c r="AO35" s="371">
        <f t="shared" ref="AO35:AX44" si="28">IFERROR(IF(AO$8&gt;=$D35,$E35*(INDEX($E$12:$E$16,(MATCH(MATCH(AO$8,$D$35:$D$82,0)-MATCH($D35,$D$35:$D$82,0),$D$12:$D$16,0)))),0),0)</f>
        <v>0</v>
      </c>
      <c r="AP35" s="371">
        <f t="shared" si="28"/>
        <v>0</v>
      </c>
      <c r="AQ35" s="371">
        <f t="shared" si="28"/>
        <v>0</v>
      </c>
      <c r="AR35" s="371">
        <f t="shared" si="28"/>
        <v>0</v>
      </c>
      <c r="AS35" s="371">
        <f t="shared" si="28"/>
        <v>0</v>
      </c>
      <c r="AT35" s="371">
        <f t="shared" si="28"/>
        <v>0</v>
      </c>
      <c r="AU35" s="371">
        <f t="shared" si="28"/>
        <v>0</v>
      </c>
      <c r="AV35" s="371">
        <f t="shared" si="28"/>
        <v>0</v>
      </c>
      <c r="AW35" s="371">
        <f t="shared" si="28"/>
        <v>0</v>
      </c>
      <c r="AX35" s="371">
        <f t="shared" si="28"/>
        <v>0</v>
      </c>
      <c r="AY35" s="371">
        <f t="shared" ref="AY35:BH44" si="29">IFERROR(IF(AY$8&gt;=$D35,$E35*(INDEX($E$12:$E$16,(MATCH(MATCH(AY$8,$D$35:$D$82,0)-MATCH($D35,$D$35:$D$82,0),$D$12:$D$16,0)))),0),0)</f>
        <v>0</v>
      </c>
      <c r="AZ35" s="371">
        <f t="shared" si="29"/>
        <v>0</v>
      </c>
      <c r="BA35" s="371">
        <f t="shared" si="29"/>
        <v>0</v>
      </c>
      <c r="BB35" s="371">
        <f t="shared" si="29"/>
        <v>0</v>
      </c>
      <c r="BC35" s="371">
        <f t="shared" si="29"/>
        <v>0</v>
      </c>
      <c r="BD35" s="371">
        <f t="shared" si="29"/>
        <v>0</v>
      </c>
      <c r="BE35" s="371">
        <f t="shared" si="29"/>
        <v>0</v>
      </c>
      <c r="BF35" s="371">
        <f t="shared" si="29"/>
        <v>0</v>
      </c>
      <c r="BG35" s="371">
        <f t="shared" si="29"/>
        <v>0</v>
      </c>
      <c r="BH35" s="371">
        <f t="shared" si="29"/>
        <v>0</v>
      </c>
      <c r="BI35" s="371">
        <f t="shared" ref="BI35:BR44" si="30">IFERROR(IF(BI$8&gt;=$D35,$E35*(INDEX($E$12:$E$16,(MATCH(MATCH(BI$8,$D$35:$D$82,0)-MATCH($D35,$D$35:$D$82,0),$D$12:$D$16,0)))),0),0)</f>
        <v>0</v>
      </c>
      <c r="BJ35" s="371">
        <f t="shared" si="30"/>
        <v>0</v>
      </c>
      <c r="BK35" s="371">
        <f t="shared" si="30"/>
        <v>0</v>
      </c>
      <c r="BL35" s="371">
        <f t="shared" si="30"/>
        <v>0</v>
      </c>
      <c r="BM35" s="371">
        <f t="shared" si="30"/>
        <v>0</v>
      </c>
      <c r="BN35" s="371">
        <f t="shared" si="30"/>
        <v>0</v>
      </c>
      <c r="BO35" s="371">
        <f t="shared" si="30"/>
        <v>0</v>
      </c>
      <c r="BP35" s="371">
        <f t="shared" si="30"/>
        <v>0</v>
      </c>
      <c r="BQ35" s="371">
        <f t="shared" si="30"/>
        <v>0</v>
      </c>
      <c r="BR35" s="371">
        <f t="shared" si="30"/>
        <v>0</v>
      </c>
      <c r="BS35" s="371">
        <f t="shared" ref="BS35:BZ44" si="31">IFERROR(IF(BS$8&gt;=$D35,$E35*(INDEX($E$12:$E$16,(MATCH(MATCH(BS$8,$D$35:$D$82,0)-MATCH($D35,$D$35:$D$82,0),$D$12:$D$16,0)))),0),0)</f>
        <v>0</v>
      </c>
      <c r="BT35" s="371">
        <f t="shared" si="31"/>
        <v>0</v>
      </c>
      <c r="BU35" s="371">
        <f t="shared" si="31"/>
        <v>0</v>
      </c>
      <c r="BV35" s="371">
        <f t="shared" si="31"/>
        <v>0</v>
      </c>
      <c r="BW35" s="371">
        <f t="shared" si="31"/>
        <v>0</v>
      </c>
      <c r="BX35" s="371">
        <f t="shared" si="31"/>
        <v>0</v>
      </c>
      <c r="BY35" s="371">
        <f t="shared" si="31"/>
        <v>0</v>
      </c>
      <c r="BZ35" s="371">
        <f t="shared" si="31"/>
        <v>0</v>
      </c>
    </row>
    <row r="36" spans="2:78" ht="21" hidden="1" customHeight="1" outlineLevel="3">
      <c r="B36" s="367"/>
      <c r="C36" s="370"/>
      <c r="D36" s="374">
        <f t="shared" ref="D36:D82" si="32">EOMONTH(D35,1)</f>
        <v>44985</v>
      </c>
      <c r="E36" s="373" cm="1">
        <f t="array" ref="E36">IF($D36=LatestMonthOfActuals,INDEX($AE$25:$BZ$25,0,MATCH($D36,$AE$8:$BZ$8,0)),0)</f>
        <v>0</v>
      </c>
      <c r="F36" s="359"/>
      <c r="G36" s="408">
        <f t="shared" si="25"/>
        <v>0</v>
      </c>
      <c r="H36" s="408">
        <f t="shared" si="25"/>
        <v>0</v>
      </c>
      <c r="I36" s="408">
        <f t="shared" si="25"/>
        <v>0</v>
      </c>
      <c r="J36" s="408">
        <f t="shared" si="25"/>
        <v>0</v>
      </c>
      <c r="K36" s="408"/>
      <c r="L36" s="408"/>
      <c r="M36" s="408">
        <f t="shared" si="26"/>
        <v>0</v>
      </c>
      <c r="N36" s="408">
        <f t="shared" si="26"/>
        <v>0</v>
      </c>
      <c r="O36" s="408">
        <f t="shared" si="26"/>
        <v>0</v>
      </c>
      <c r="P36" s="408">
        <f t="shared" si="26"/>
        <v>0</v>
      </c>
      <c r="Q36" s="408">
        <f t="shared" si="26"/>
        <v>0</v>
      </c>
      <c r="R36" s="408">
        <f t="shared" si="26"/>
        <v>0</v>
      </c>
      <c r="S36" s="408">
        <f t="shared" si="26"/>
        <v>0</v>
      </c>
      <c r="T36" s="408">
        <f t="shared" si="26"/>
        <v>0</v>
      </c>
      <c r="U36" s="408">
        <f t="shared" si="26"/>
        <v>0</v>
      </c>
      <c r="V36" s="408">
        <f t="shared" si="26"/>
        <v>0</v>
      </c>
      <c r="W36" s="408">
        <f t="shared" si="26"/>
        <v>0</v>
      </c>
      <c r="X36" s="408">
        <f t="shared" si="26"/>
        <v>0</v>
      </c>
      <c r="Y36" s="408">
        <f t="shared" si="26"/>
        <v>0</v>
      </c>
      <c r="Z36" s="408">
        <f t="shared" si="26"/>
        <v>0</v>
      </c>
      <c r="AA36" s="408">
        <f t="shared" si="26"/>
        <v>0</v>
      </c>
      <c r="AB36" s="408">
        <f t="shared" si="26"/>
        <v>0</v>
      </c>
      <c r="AD36" s="359"/>
      <c r="AE36" s="371">
        <f t="shared" si="27"/>
        <v>0</v>
      </c>
      <c r="AF36" s="371">
        <f t="shared" si="27"/>
        <v>0</v>
      </c>
      <c r="AG36" s="371">
        <f t="shared" si="27"/>
        <v>0</v>
      </c>
      <c r="AH36" s="371">
        <f t="shared" si="27"/>
        <v>0</v>
      </c>
      <c r="AI36" s="371">
        <f t="shared" si="27"/>
        <v>0</v>
      </c>
      <c r="AJ36" s="371">
        <f t="shared" si="27"/>
        <v>0</v>
      </c>
      <c r="AK36" s="371">
        <f t="shared" si="27"/>
        <v>0</v>
      </c>
      <c r="AL36" s="371">
        <f t="shared" si="27"/>
        <v>0</v>
      </c>
      <c r="AM36" s="371">
        <f t="shared" si="27"/>
        <v>0</v>
      </c>
      <c r="AN36" s="371">
        <f t="shared" si="27"/>
        <v>0</v>
      </c>
      <c r="AO36" s="371">
        <f t="shared" si="28"/>
        <v>0</v>
      </c>
      <c r="AP36" s="371">
        <f t="shared" si="28"/>
        <v>0</v>
      </c>
      <c r="AQ36" s="371">
        <f t="shared" si="28"/>
        <v>0</v>
      </c>
      <c r="AR36" s="371">
        <f t="shared" si="28"/>
        <v>0</v>
      </c>
      <c r="AS36" s="371">
        <f t="shared" si="28"/>
        <v>0</v>
      </c>
      <c r="AT36" s="371">
        <f t="shared" si="28"/>
        <v>0</v>
      </c>
      <c r="AU36" s="371">
        <f t="shared" si="28"/>
        <v>0</v>
      </c>
      <c r="AV36" s="371">
        <f t="shared" si="28"/>
        <v>0</v>
      </c>
      <c r="AW36" s="371">
        <f t="shared" si="28"/>
        <v>0</v>
      </c>
      <c r="AX36" s="371">
        <f t="shared" si="28"/>
        <v>0</v>
      </c>
      <c r="AY36" s="371">
        <f t="shared" si="29"/>
        <v>0</v>
      </c>
      <c r="AZ36" s="371">
        <f t="shared" si="29"/>
        <v>0</v>
      </c>
      <c r="BA36" s="371">
        <f t="shared" si="29"/>
        <v>0</v>
      </c>
      <c r="BB36" s="371">
        <f t="shared" si="29"/>
        <v>0</v>
      </c>
      <c r="BC36" s="371">
        <f t="shared" si="29"/>
        <v>0</v>
      </c>
      <c r="BD36" s="371">
        <f t="shared" si="29"/>
        <v>0</v>
      </c>
      <c r="BE36" s="371">
        <f t="shared" si="29"/>
        <v>0</v>
      </c>
      <c r="BF36" s="371">
        <f t="shared" si="29"/>
        <v>0</v>
      </c>
      <c r="BG36" s="371">
        <f t="shared" si="29"/>
        <v>0</v>
      </c>
      <c r="BH36" s="371">
        <f t="shared" si="29"/>
        <v>0</v>
      </c>
      <c r="BI36" s="371">
        <f t="shared" si="30"/>
        <v>0</v>
      </c>
      <c r="BJ36" s="371">
        <f t="shared" si="30"/>
        <v>0</v>
      </c>
      <c r="BK36" s="371">
        <f t="shared" si="30"/>
        <v>0</v>
      </c>
      <c r="BL36" s="371">
        <f t="shared" si="30"/>
        <v>0</v>
      </c>
      <c r="BM36" s="371">
        <f t="shared" si="30"/>
        <v>0</v>
      </c>
      <c r="BN36" s="371">
        <f t="shared" si="30"/>
        <v>0</v>
      </c>
      <c r="BO36" s="371">
        <f t="shared" si="30"/>
        <v>0</v>
      </c>
      <c r="BP36" s="371">
        <f t="shared" si="30"/>
        <v>0</v>
      </c>
      <c r="BQ36" s="371">
        <f t="shared" si="30"/>
        <v>0</v>
      </c>
      <c r="BR36" s="371">
        <f t="shared" si="30"/>
        <v>0</v>
      </c>
      <c r="BS36" s="371">
        <f t="shared" si="31"/>
        <v>0</v>
      </c>
      <c r="BT36" s="371">
        <f t="shared" si="31"/>
        <v>0</v>
      </c>
      <c r="BU36" s="371">
        <f t="shared" si="31"/>
        <v>0</v>
      </c>
      <c r="BV36" s="371">
        <f t="shared" si="31"/>
        <v>0</v>
      </c>
      <c r="BW36" s="371">
        <f t="shared" si="31"/>
        <v>0</v>
      </c>
      <c r="BX36" s="371">
        <f t="shared" si="31"/>
        <v>0</v>
      </c>
      <c r="BY36" s="371">
        <f t="shared" si="31"/>
        <v>0</v>
      </c>
      <c r="BZ36" s="371">
        <f t="shared" si="31"/>
        <v>0</v>
      </c>
    </row>
    <row r="37" spans="2:78" ht="21" hidden="1" customHeight="1" outlineLevel="3">
      <c r="B37" s="367"/>
      <c r="C37" s="370"/>
      <c r="D37" s="374">
        <f t="shared" si="32"/>
        <v>45016</v>
      </c>
      <c r="E37" s="373" cm="1">
        <f t="array" ref="E37">IF($D37=LatestMonthOfActuals,INDEX($AE$25:$BZ$25,0,MATCH($D37,$AE$8:$BZ$8,0)),0)</f>
        <v>0</v>
      </c>
      <c r="F37" s="359"/>
      <c r="G37" s="408">
        <f t="shared" si="25"/>
        <v>0</v>
      </c>
      <c r="H37" s="408">
        <f t="shared" si="25"/>
        <v>0</v>
      </c>
      <c r="I37" s="408">
        <f t="shared" si="25"/>
        <v>0</v>
      </c>
      <c r="J37" s="408">
        <f t="shared" si="25"/>
        <v>0</v>
      </c>
      <c r="K37" s="408"/>
      <c r="L37" s="408"/>
      <c r="M37" s="408">
        <f t="shared" si="26"/>
        <v>0</v>
      </c>
      <c r="N37" s="408">
        <f t="shared" si="26"/>
        <v>0</v>
      </c>
      <c r="O37" s="408">
        <f t="shared" si="26"/>
        <v>0</v>
      </c>
      <c r="P37" s="408">
        <f t="shared" si="26"/>
        <v>0</v>
      </c>
      <c r="Q37" s="408">
        <f t="shared" si="26"/>
        <v>0</v>
      </c>
      <c r="R37" s="408">
        <f t="shared" si="26"/>
        <v>0</v>
      </c>
      <c r="S37" s="408">
        <f t="shared" si="26"/>
        <v>0</v>
      </c>
      <c r="T37" s="408">
        <f t="shared" si="26"/>
        <v>0</v>
      </c>
      <c r="U37" s="408">
        <f t="shared" si="26"/>
        <v>0</v>
      </c>
      <c r="V37" s="408">
        <f t="shared" si="26"/>
        <v>0</v>
      </c>
      <c r="W37" s="408">
        <f t="shared" si="26"/>
        <v>0</v>
      </c>
      <c r="X37" s="408">
        <f t="shared" si="26"/>
        <v>0</v>
      </c>
      <c r="Y37" s="408">
        <f t="shared" si="26"/>
        <v>0</v>
      </c>
      <c r="Z37" s="408">
        <f t="shared" si="26"/>
        <v>0</v>
      </c>
      <c r="AA37" s="408">
        <f t="shared" si="26"/>
        <v>0</v>
      </c>
      <c r="AB37" s="408">
        <f t="shared" si="26"/>
        <v>0</v>
      </c>
      <c r="AD37" s="359"/>
      <c r="AE37" s="371">
        <f t="shared" si="27"/>
        <v>0</v>
      </c>
      <c r="AF37" s="371">
        <f t="shared" si="27"/>
        <v>0</v>
      </c>
      <c r="AG37" s="371">
        <f t="shared" si="27"/>
        <v>0</v>
      </c>
      <c r="AH37" s="371">
        <f t="shared" si="27"/>
        <v>0</v>
      </c>
      <c r="AI37" s="371">
        <f t="shared" si="27"/>
        <v>0</v>
      </c>
      <c r="AJ37" s="371">
        <f t="shared" si="27"/>
        <v>0</v>
      </c>
      <c r="AK37" s="371">
        <f t="shared" si="27"/>
        <v>0</v>
      </c>
      <c r="AL37" s="371">
        <f t="shared" si="27"/>
        <v>0</v>
      </c>
      <c r="AM37" s="371">
        <f t="shared" si="27"/>
        <v>0</v>
      </c>
      <c r="AN37" s="371">
        <f t="shared" si="27"/>
        <v>0</v>
      </c>
      <c r="AO37" s="371">
        <f t="shared" si="28"/>
        <v>0</v>
      </c>
      <c r="AP37" s="371">
        <f t="shared" si="28"/>
        <v>0</v>
      </c>
      <c r="AQ37" s="371">
        <f t="shared" si="28"/>
        <v>0</v>
      </c>
      <c r="AR37" s="371">
        <f t="shared" si="28"/>
        <v>0</v>
      </c>
      <c r="AS37" s="371">
        <f t="shared" si="28"/>
        <v>0</v>
      </c>
      <c r="AT37" s="371">
        <f t="shared" si="28"/>
        <v>0</v>
      </c>
      <c r="AU37" s="371">
        <f t="shared" si="28"/>
        <v>0</v>
      </c>
      <c r="AV37" s="371">
        <f t="shared" si="28"/>
        <v>0</v>
      </c>
      <c r="AW37" s="371">
        <f t="shared" si="28"/>
        <v>0</v>
      </c>
      <c r="AX37" s="371">
        <f t="shared" si="28"/>
        <v>0</v>
      </c>
      <c r="AY37" s="371">
        <f t="shared" si="29"/>
        <v>0</v>
      </c>
      <c r="AZ37" s="371">
        <f t="shared" si="29"/>
        <v>0</v>
      </c>
      <c r="BA37" s="371">
        <f t="shared" si="29"/>
        <v>0</v>
      </c>
      <c r="BB37" s="371">
        <f t="shared" si="29"/>
        <v>0</v>
      </c>
      <c r="BC37" s="371">
        <f t="shared" si="29"/>
        <v>0</v>
      </c>
      <c r="BD37" s="371">
        <f t="shared" si="29"/>
        <v>0</v>
      </c>
      <c r="BE37" s="371">
        <f t="shared" si="29"/>
        <v>0</v>
      </c>
      <c r="BF37" s="371">
        <f t="shared" si="29"/>
        <v>0</v>
      </c>
      <c r="BG37" s="371">
        <f t="shared" si="29"/>
        <v>0</v>
      </c>
      <c r="BH37" s="371">
        <f t="shared" si="29"/>
        <v>0</v>
      </c>
      <c r="BI37" s="371">
        <f t="shared" si="30"/>
        <v>0</v>
      </c>
      <c r="BJ37" s="371">
        <f t="shared" si="30"/>
        <v>0</v>
      </c>
      <c r="BK37" s="371">
        <f t="shared" si="30"/>
        <v>0</v>
      </c>
      <c r="BL37" s="371">
        <f t="shared" si="30"/>
        <v>0</v>
      </c>
      <c r="BM37" s="371">
        <f t="shared" si="30"/>
        <v>0</v>
      </c>
      <c r="BN37" s="371">
        <f t="shared" si="30"/>
        <v>0</v>
      </c>
      <c r="BO37" s="371">
        <f t="shared" si="30"/>
        <v>0</v>
      </c>
      <c r="BP37" s="371">
        <f t="shared" si="30"/>
        <v>0</v>
      </c>
      <c r="BQ37" s="371">
        <f t="shared" si="30"/>
        <v>0</v>
      </c>
      <c r="BR37" s="371">
        <f t="shared" si="30"/>
        <v>0</v>
      </c>
      <c r="BS37" s="371">
        <f t="shared" si="31"/>
        <v>0</v>
      </c>
      <c r="BT37" s="371">
        <f t="shared" si="31"/>
        <v>0</v>
      </c>
      <c r="BU37" s="371">
        <f t="shared" si="31"/>
        <v>0</v>
      </c>
      <c r="BV37" s="371">
        <f t="shared" si="31"/>
        <v>0</v>
      </c>
      <c r="BW37" s="371">
        <f t="shared" si="31"/>
        <v>0</v>
      </c>
      <c r="BX37" s="371">
        <f t="shared" si="31"/>
        <v>0</v>
      </c>
      <c r="BY37" s="371">
        <f t="shared" si="31"/>
        <v>0</v>
      </c>
      <c r="BZ37" s="371">
        <f t="shared" si="31"/>
        <v>0</v>
      </c>
    </row>
    <row r="38" spans="2:78" ht="21" hidden="1" customHeight="1" outlineLevel="3">
      <c r="B38" s="367"/>
      <c r="C38" s="370"/>
      <c r="D38" s="374">
        <f t="shared" si="32"/>
        <v>45046</v>
      </c>
      <c r="E38" s="373" cm="1">
        <f t="array" ref="E38">IF($D38=LatestMonthOfActuals,INDEX($AE$25:$BZ$25,0,MATCH($D38,$AE$8:$BZ$8,0)),0)</f>
        <v>0</v>
      </c>
      <c r="F38" s="359"/>
      <c r="G38" s="408">
        <f t="shared" si="25"/>
        <v>0</v>
      </c>
      <c r="H38" s="408">
        <f t="shared" si="25"/>
        <v>0</v>
      </c>
      <c r="I38" s="408">
        <f t="shared" si="25"/>
        <v>0</v>
      </c>
      <c r="J38" s="408">
        <f t="shared" si="25"/>
        <v>0</v>
      </c>
      <c r="K38" s="408"/>
      <c r="L38" s="408"/>
      <c r="M38" s="408">
        <f t="shared" si="26"/>
        <v>0</v>
      </c>
      <c r="N38" s="408">
        <f t="shared" si="26"/>
        <v>0</v>
      </c>
      <c r="O38" s="408">
        <f t="shared" si="26"/>
        <v>0</v>
      </c>
      <c r="P38" s="408">
        <f t="shared" si="26"/>
        <v>0</v>
      </c>
      <c r="Q38" s="408">
        <f t="shared" si="26"/>
        <v>0</v>
      </c>
      <c r="R38" s="408">
        <f t="shared" si="26"/>
        <v>0</v>
      </c>
      <c r="S38" s="408">
        <f t="shared" si="26"/>
        <v>0</v>
      </c>
      <c r="T38" s="408">
        <f t="shared" si="26"/>
        <v>0</v>
      </c>
      <c r="U38" s="408">
        <f t="shared" si="26"/>
        <v>0</v>
      </c>
      <c r="V38" s="408">
        <f t="shared" si="26"/>
        <v>0</v>
      </c>
      <c r="W38" s="408">
        <f t="shared" si="26"/>
        <v>0</v>
      </c>
      <c r="X38" s="408">
        <f t="shared" si="26"/>
        <v>0</v>
      </c>
      <c r="Y38" s="408">
        <f t="shared" si="26"/>
        <v>0</v>
      </c>
      <c r="Z38" s="408">
        <f t="shared" si="26"/>
        <v>0</v>
      </c>
      <c r="AA38" s="408">
        <f t="shared" si="26"/>
        <v>0</v>
      </c>
      <c r="AB38" s="408">
        <f t="shared" si="26"/>
        <v>0</v>
      </c>
      <c r="AD38" s="359"/>
      <c r="AE38" s="371">
        <f t="shared" si="27"/>
        <v>0</v>
      </c>
      <c r="AF38" s="371">
        <f t="shared" si="27"/>
        <v>0</v>
      </c>
      <c r="AG38" s="371">
        <f t="shared" si="27"/>
        <v>0</v>
      </c>
      <c r="AH38" s="371">
        <f t="shared" si="27"/>
        <v>0</v>
      </c>
      <c r="AI38" s="371">
        <f t="shared" si="27"/>
        <v>0</v>
      </c>
      <c r="AJ38" s="371">
        <f t="shared" si="27"/>
        <v>0</v>
      </c>
      <c r="AK38" s="371">
        <f t="shared" si="27"/>
        <v>0</v>
      </c>
      <c r="AL38" s="371">
        <f t="shared" si="27"/>
        <v>0</v>
      </c>
      <c r="AM38" s="371">
        <f t="shared" si="27"/>
        <v>0</v>
      </c>
      <c r="AN38" s="371">
        <f t="shared" si="27"/>
        <v>0</v>
      </c>
      <c r="AO38" s="371">
        <f t="shared" si="28"/>
        <v>0</v>
      </c>
      <c r="AP38" s="371">
        <f t="shared" si="28"/>
        <v>0</v>
      </c>
      <c r="AQ38" s="371">
        <f t="shared" si="28"/>
        <v>0</v>
      </c>
      <c r="AR38" s="371">
        <f t="shared" si="28"/>
        <v>0</v>
      </c>
      <c r="AS38" s="371">
        <f t="shared" si="28"/>
        <v>0</v>
      </c>
      <c r="AT38" s="371">
        <f t="shared" si="28"/>
        <v>0</v>
      </c>
      <c r="AU38" s="371">
        <f t="shared" si="28"/>
        <v>0</v>
      </c>
      <c r="AV38" s="371">
        <f t="shared" si="28"/>
        <v>0</v>
      </c>
      <c r="AW38" s="371">
        <f t="shared" si="28"/>
        <v>0</v>
      </c>
      <c r="AX38" s="371">
        <f t="shared" si="28"/>
        <v>0</v>
      </c>
      <c r="AY38" s="371">
        <f t="shared" si="29"/>
        <v>0</v>
      </c>
      <c r="AZ38" s="371">
        <f t="shared" si="29"/>
        <v>0</v>
      </c>
      <c r="BA38" s="371">
        <f t="shared" si="29"/>
        <v>0</v>
      </c>
      <c r="BB38" s="371">
        <f t="shared" si="29"/>
        <v>0</v>
      </c>
      <c r="BC38" s="371">
        <f t="shared" si="29"/>
        <v>0</v>
      </c>
      <c r="BD38" s="371">
        <f t="shared" si="29"/>
        <v>0</v>
      </c>
      <c r="BE38" s="371">
        <f t="shared" si="29"/>
        <v>0</v>
      </c>
      <c r="BF38" s="371">
        <f t="shared" si="29"/>
        <v>0</v>
      </c>
      <c r="BG38" s="371">
        <f t="shared" si="29"/>
        <v>0</v>
      </c>
      <c r="BH38" s="371">
        <f t="shared" si="29"/>
        <v>0</v>
      </c>
      <c r="BI38" s="371">
        <f t="shared" si="30"/>
        <v>0</v>
      </c>
      <c r="BJ38" s="371">
        <f t="shared" si="30"/>
        <v>0</v>
      </c>
      <c r="BK38" s="371">
        <f t="shared" si="30"/>
        <v>0</v>
      </c>
      <c r="BL38" s="371">
        <f t="shared" si="30"/>
        <v>0</v>
      </c>
      <c r="BM38" s="371">
        <f t="shared" si="30"/>
        <v>0</v>
      </c>
      <c r="BN38" s="371">
        <f t="shared" si="30"/>
        <v>0</v>
      </c>
      <c r="BO38" s="371">
        <f t="shared" si="30"/>
        <v>0</v>
      </c>
      <c r="BP38" s="371">
        <f t="shared" si="30"/>
        <v>0</v>
      </c>
      <c r="BQ38" s="371">
        <f t="shared" si="30"/>
        <v>0</v>
      </c>
      <c r="BR38" s="371">
        <f t="shared" si="30"/>
        <v>0</v>
      </c>
      <c r="BS38" s="371">
        <f t="shared" si="31"/>
        <v>0</v>
      </c>
      <c r="BT38" s="371">
        <f t="shared" si="31"/>
        <v>0</v>
      </c>
      <c r="BU38" s="371">
        <f t="shared" si="31"/>
        <v>0</v>
      </c>
      <c r="BV38" s="371">
        <f t="shared" si="31"/>
        <v>0</v>
      </c>
      <c r="BW38" s="371">
        <f t="shared" si="31"/>
        <v>0</v>
      </c>
      <c r="BX38" s="371">
        <f t="shared" si="31"/>
        <v>0</v>
      </c>
      <c r="BY38" s="371">
        <f t="shared" si="31"/>
        <v>0</v>
      </c>
      <c r="BZ38" s="371">
        <f t="shared" si="31"/>
        <v>0</v>
      </c>
    </row>
    <row r="39" spans="2:78" ht="21" hidden="1" customHeight="1" outlineLevel="3">
      <c r="B39" s="367"/>
      <c r="C39" s="370"/>
      <c r="D39" s="374">
        <f t="shared" si="32"/>
        <v>45077</v>
      </c>
      <c r="E39" s="373" cm="1">
        <f t="array" ref="E39">IF($D39=LatestMonthOfActuals,INDEX($AE$25:$BZ$25,0,MATCH($D39,$AE$8:$BZ$8,0)),0)</f>
        <v>0</v>
      </c>
      <c r="F39" s="359"/>
      <c r="G39" s="408">
        <f t="shared" si="25"/>
        <v>0</v>
      </c>
      <c r="H39" s="408">
        <f t="shared" si="25"/>
        <v>0</v>
      </c>
      <c r="I39" s="408">
        <f t="shared" si="25"/>
        <v>0</v>
      </c>
      <c r="J39" s="408">
        <f t="shared" si="25"/>
        <v>0</v>
      </c>
      <c r="K39" s="408"/>
      <c r="L39" s="408"/>
      <c r="M39" s="408">
        <f t="shared" si="26"/>
        <v>0</v>
      </c>
      <c r="N39" s="408">
        <f t="shared" si="26"/>
        <v>0</v>
      </c>
      <c r="O39" s="408">
        <f t="shared" si="26"/>
        <v>0</v>
      </c>
      <c r="P39" s="408">
        <f t="shared" si="26"/>
        <v>0</v>
      </c>
      <c r="Q39" s="408">
        <f t="shared" si="26"/>
        <v>0</v>
      </c>
      <c r="R39" s="408">
        <f t="shared" si="26"/>
        <v>0</v>
      </c>
      <c r="S39" s="408">
        <f t="shared" si="26"/>
        <v>0</v>
      </c>
      <c r="T39" s="408">
        <f t="shared" si="26"/>
        <v>0</v>
      </c>
      <c r="U39" s="408">
        <f t="shared" si="26"/>
        <v>0</v>
      </c>
      <c r="V39" s="408">
        <f t="shared" si="26"/>
        <v>0</v>
      </c>
      <c r="W39" s="408">
        <f t="shared" si="26"/>
        <v>0</v>
      </c>
      <c r="X39" s="408">
        <f t="shared" si="26"/>
        <v>0</v>
      </c>
      <c r="Y39" s="408">
        <f t="shared" si="26"/>
        <v>0</v>
      </c>
      <c r="Z39" s="408">
        <f t="shared" si="26"/>
        <v>0</v>
      </c>
      <c r="AA39" s="408">
        <f t="shared" si="26"/>
        <v>0</v>
      </c>
      <c r="AB39" s="408">
        <f t="shared" si="26"/>
        <v>0</v>
      </c>
      <c r="AD39" s="359"/>
      <c r="AE39" s="371">
        <f t="shared" si="27"/>
        <v>0</v>
      </c>
      <c r="AF39" s="371">
        <f t="shared" si="27"/>
        <v>0</v>
      </c>
      <c r="AG39" s="371">
        <f t="shared" si="27"/>
        <v>0</v>
      </c>
      <c r="AH39" s="371">
        <f t="shared" si="27"/>
        <v>0</v>
      </c>
      <c r="AI39" s="371">
        <f t="shared" si="27"/>
        <v>0</v>
      </c>
      <c r="AJ39" s="371">
        <f t="shared" si="27"/>
        <v>0</v>
      </c>
      <c r="AK39" s="371">
        <f t="shared" si="27"/>
        <v>0</v>
      </c>
      <c r="AL39" s="371">
        <f t="shared" si="27"/>
        <v>0</v>
      </c>
      <c r="AM39" s="371">
        <f t="shared" si="27"/>
        <v>0</v>
      </c>
      <c r="AN39" s="371">
        <f t="shared" si="27"/>
        <v>0</v>
      </c>
      <c r="AO39" s="371">
        <f t="shared" si="28"/>
        <v>0</v>
      </c>
      <c r="AP39" s="371">
        <f t="shared" si="28"/>
        <v>0</v>
      </c>
      <c r="AQ39" s="371">
        <f t="shared" si="28"/>
        <v>0</v>
      </c>
      <c r="AR39" s="371">
        <f t="shared" si="28"/>
        <v>0</v>
      </c>
      <c r="AS39" s="371">
        <f t="shared" si="28"/>
        <v>0</v>
      </c>
      <c r="AT39" s="371">
        <f t="shared" si="28"/>
        <v>0</v>
      </c>
      <c r="AU39" s="371">
        <f t="shared" si="28"/>
        <v>0</v>
      </c>
      <c r="AV39" s="371">
        <f t="shared" si="28"/>
        <v>0</v>
      </c>
      <c r="AW39" s="371">
        <f t="shared" si="28"/>
        <v>0</v>
      </c>
      <c r="AX39" s="371">
        <f t="shared" si="28"/>
        <v>0</v>
      </c>
      <c r="AY39" s="371">
        <f t="shared" si="29"/>
        <v>0</v>
      </c>
      <c r="AZ39" s="371">
        <f t="shared" si="29"/>
        <v>0</v>
      </c>
      <c r="BA39" s="371">
        <f t="shared" si="29"/>
        <v>0</v>
      </c>
      <c r="BB39" s="371">
        <f t="shared" si="29"/>
        <v>0</v>
      </c>
      <c r="BC39" s="371">
        <f t="shared" si="29"/>
        <v>0</v>
      </c>
      <c r="BD39" s="371">
        <f t="shared" si="29"/>
        <v>0</v>
      </c>
      <c r="BE39" s="371">
        <f t="shared" si="29"/>
        <v>0</v>
      </c>
      <c r="BF39" s="371">
        <f t="shared" si="29"/>
        <v>0</v>
      </c>
      <c r="BG39" s="371">
        <f t="shared" si="29"/>
        <v>0</v>
      </c>
      <c r="BH39" s="371">
        <f t="shared" si="29"/>
        <v>0</v>
      </c>
      <c r="BI39" s="371">
        <f t="shared" si="30"/>
        <v>0</v>
      </c>
      <c r="BJ39" s="371">
        <f t="shared" si="30"/>
        <v>0</v>
      </c>
      <c r="BK39" s="371">
        <f t="shared" si="30"/>
        <v>0</v>
      </c>
      <c r="BL39" s="371">
        <f t="shared" si="30"/>
        <v>0</v>
      </c>
      <c r="BM39" s="371">
        <f t="shared" si="30"/>
        <v>0</v>
      </c>
      <c r="BN39" s="371">
        <f t="shared" si="30"/>
        <v>0</v>
      </c>
      <c r="BO39" s="371">
        <f t="shared" si="30"/>
        <v>0</v>
      </c>
      <c r="BP39" s="371">
        <f t="shared" si="30"/>
        <v>0</v>
      </c>
      <c r="BQ39" s="371">
        <f t="shared" si="30"/>
        <v>0</v>
      </c>
      <c r="BR39" s="371">
        <f t="shared" si="30"/>
        <v>0</v>
      </c>
      <c r="BS39" s="371">
        <f t="shared" si="31"/>
        <v>0</v>
      </c>
      <c r="BT39" s="371">
        <f t="shared" si="31"/>
        <v>0</v>
      </c>
      <c r="BU39" s="371">
        <f t="shared" si="31"/>
        <v>0</v>
      </c>
      <c r="BV39" s="371">
        <f t="shared" si="31"/>
        <v>0</v>
      </c>
      <c r="BW39" s="371">
        <f t="shared" si="31"/>
        <v>0</v>
      </c>
      <c r="BX39" s="371">
        <f t="shared" si="31"/>
        <v>0</v>
      </c>
      <c r="BY39" s="371">
        <f t="shared" si="31"/>
        <v>0</v>
      </c>
      <c r="BZ39" s="371">
        <f t="shared" si="31"/>
        <v>0</v>
      </c>
    </row>
    <row r="40" spans="2:78" ht="21" hidden="1" customHeight="1" outlineLevel="3">
      <c r="B40" s="367"/>
      <c r="C40" s="370"/>
      <c r="D40" s="374">
        <f t="shared" si="32"/>
        <v>45107</v>
      </c>
      <c r="E40" s="373" cm="1">
        <f t="array" ref="E40">IF($D40=LatestMonthOfActuals,INDEX($AE$25:$BZ$25,0,MATCH($D40,$AE$8:$BZ$8,0)),0)</f>
        <v>0</v>
      </c>
      <c r="F40" s="359"/>
      <c r="G40" s="408">
        <f t="shared" si="25"/>
        <v>0</v>
      </c>
      <c r="H40" s="408">
        <f t="shared" si="25"/>
        <v>0</v>
      </c>
      <c r="I40" s="408">
        <f t="shared" si="25"/>
        <v>0</v>
      </c>
      <c r="J40" s="408">
        <f t="shared" si="25"/>
        <v>0</v>
      </c>
      <c r="K40" s="408"/>
      <c r="L40" s="408"/>
      <c r="M40" s="408">
        <f t="shared" si="26"/>
        <v>0</v>
      </c>
      <c r="N40" s="408">
        <f t="shared" si="26"/>
        <v>0</v>
      </c>
      <c r="O40" s="408">
        <f t="shared" si="26"/>
        <v>0</v>
      </c>
      <c r="P40" s="408">
        <f t="shared" si="26"/>
        <v>0</v>
      </c>
      <c r="Q40" s="408">
        <f t="shared" si="26"/>
        <v>0</v>
      </c>
      <c r="R40" s="408">
        <f t="shared" si="26"/>
        <v>0</v>
      </c>
      <c r="S40" s="408">
        <f t="shared" si="26"/>
        <v>0</v>
      </c>
      <c r="T40" s="408">
        <f t="shared" si="26"/>
        <v>0</v>
      </c>
      <c r="U40" s="408">
        <f t="shared" si="26"/>
        <v>0</v>
      </c>
      <c r="V40" s="408">
        <f t="shared" si="26"/>
        <v>0</v>
      </c>
      <c r="W40" s="408">
        <f t="shared" si="26"/>
        <v>0</v>
      </c>
      <c r="X40" s="408">
        <f t="shared" si="26"/>
        <v>0</v>
      </c>
      <c r="Y40" s="408">
        <f t="shared" si="26"/>
        <v>0</v>
      </c>
      <c r="Z40" s="408">
        <f t="shared" si="26"/>
        <v>0</v>
      </c>
      <c r="AA40" s="408">
        <f t="shared" si="26"/>
        <v>0</v>
      </c>
      <c r="AB40" s="408">
        <f t="shared" si="26"/>
        <v>0</v>
      </c>
      <c r="AD40" s="359"/>
      <c r="AE40" s="371">
        <f t="shared" si="27"/>
        <v>0</v>
      </c>
      <c r="AF40" s="371">
        <f t="shared" si="27"/>
        <v>0</v>
      </c>
      <c r="AG40" s="371">
        <f t="shared" si="27"/>
        <v>0</v>
      </c>
      <c r="AH40" s="371">
        <f t="shared" si="27"/>
        <v>0</v>
      </c>
      <c r="AI40" s="371">
        <f t="shared" si="27"/>
        <v>0</v>
      </c>
      <c r="AJ40" s="371">
        <f t="shared" si="27"/>
        <v>0</v>
      </c>
      <c r="AK40" s="371">
        <f t="shared" si="27"/>
        <v>0</v>
      </c>
      <c r="AL40" s="371">
        <f t="shared" si="27"/>
        <v>0</v>
      </c>
      <c r="AM40" s="371">
        <f t="shared" si="27"/>
        <v>0</v>
      </c>
      <c r="AN40" s="371">
        <f t="shared" si="27"/>
        <v>0</v>
      </c>
      <c r="AO40" s="371">
        <f t="shared" si="28"/>
        <v>0</v>
      </c>
      <c r="AP40" s="371">
        <f t="shared" si="28"/>
        <v>0</v>
      </c>
      <c r="AQ40" s="371">
        <f t="shared" si="28"/>
        <v>0</v>
      </c>
      <c r="AR40" s="371">
        <f t="shared" si="28"/>
        <v>0</v>
      </c>
      <c r="AS40" s="371">
        <f t="shared" si="28"/>
        <v>0</v>
      </c>
      <c r="AT40" s="371">
        <f t="shared" si="28"/>
        <v>0</v>
      </c>
      <c r="AU40" s="371">
        <f t="shared" si="28"/>
        <v>0</v>
      </c>
      <c r="AV40" s="371">
        <f t="shared" si="28"/>
        <v>0</v>
      </c>
      <c r="AW40" s="371">
        <f t="shared" si="28"/>
        <v>0</v>
      </c>
      <c r="AX40" s="371">
        <f t="shared" si="28"/>
        <v>0</v>
      </c>
      <c r="AY40" s="371">
        <f t="shared" si="29"/>
        <v>0</v>
      </c>
      <c r="AZ40" s="371">
        <f t="shared" si="29"/>
        <v>0</v>
      </c>
      <c r="BA40" s="371">
        <f t="shared" si="29"/>
        <v>0</v>
      </c>
      <c r="BB40" s="371">
        <f t="shared" si="29"/>
        <v>0</v>
      </c>
      <c r="BC40" s="371">
        <f t="shared" si="29"/>
        <v>0</v>
      </c>
      <c r="BD40" s="371">
        <f t="shared" si="29"/>
        <v>0</v>
      </c>
      <c r="BE40" s="371">
        <f t="shared" si="29"/>
        <v>0</v>
      </c>
      <c r="BF40" s="371">
        <f t="shared" si="29"/>
        <v>0</v>
      </c>
      <c r="BG40" s="371">
        <f t="shared" si="29"/>
        <v>0</v>
      </c>
      <c r="BH40" s="371">
        <f t="shared" si="29"/>
        <v>0</v>
      </c>
      <c r="BI40" s="371">
        <f t="shared" si="30"/>
        <v>0</v>
      </c>
      <c r="BJ40" s="371">
        <f t="shared" si="30"/>
        <v>0</v>
      </c>
      <c r="BK40" s="371">
        <f t="shared" si="30"/>
        <v>0</v>
      </c>
      <c r="BL40" s="371">
        <f t="shared" si="30"/>
        <v>0</v>
      </c>
      <c r="BM40" s="371">
        <f t="shared" si="30"/>
        <v>0</v>
      </c>
      <c r="BN40" s="371">
        <f t="shared" si="30"/>
        <v>0</v>
      </c>
      <c r="BO40" s="371">
        <f t="shared" si="30"/>
        <v>0</v>
      </c>
      <c r="BP40" s="371">
        <f t="shared" si="30"/>
        <v>0</v>
      </c>
      <c r="BQ40" s="371">
        <f t="shared" si="30"/>
        <v>0</v>
      </c>
      <c r="BR40" s="371">
        <f t="shared" si="30"/>
        <v>0</v>
      </c>
      <c r="BS40" s="371">
        <f t="shared" si="31"/>
        <v>0</v>
      </c>
      <c r="BT40" s="371">
        <f t="shared" si="31"/>
        <v>0</v>
      </c>
      <c r="BU40" s="371">
        <f t="shared" si="31"/>
        <v>0</v>
      </c>
      <c r="BV40" s="371">
        <f t="shared" si="31"/>
        <v>0</v>
      </c>
      <c r="BW40" s="371">
        <f t="shared" si="31"/>
        <v>0</v>
      </c>
      <c r="BX40" s="371">
        <f t="shared" si="31"/>
        <v>0</v>
      </c>
      <c r="BY40" s="371">
        <f t="shared" si="31"/>
        <v>0</v>
      </c>
      <c r="BZ40" s="371">
        <f t="shared" si="31"/>
        <v>0</v>
      </c>
    </row>
    <row r="41" spans="2:78" ht="21" hidden="1" customHeight="1" outlineLevel="3">
      <c r="B41" s="367"/>
      <c r="C41" s="370"/>
      <c r="D41" s="374">
        <f t="shared" si="32"/>
        <v>45138</v>
      </c>
      <c r="E41" s="373" cm="1">
        <f t="array" ref="E41">IF($D41=LatestMonthOfActuals,INDEX($AE$25:$BZ$25,0,MATCH($D41,$AE$8:$BZ$8,0)),0)</f>
        <v>0</v>
      </c>
      <c r="F41" s="359"/>
      <c r="G41" s="408">
        <f t="shared" si="25"/>
        <v>0</v>
      </c>
      <c r="H41" s="408">
        <f t="shared" si="25"/>
        <v>0</v>
      </c>
      <c r="I41" s="408">
        <f t="shared" si="25"/>
        <v>0</v>
      </c>
      <c r="J41" s="408">
        <f t="shared" si="25"/>
        <v>0</v>
      </c>
      <c r="K41" s="408"/>
      <c r="L41" s="408"/>
      <c r="M41" s="408">
        <f t="shared" si="26"/>
        <v>0</v>
      </c>
      <c r="N41" s="408">
        <f t="shared" si="26"/>
        <v>0</v>
      </c>
      <c r="O41" s="408">
        <f t="shared" si="26"/>
        <v>0</v>
      </c>
      <c r="P41" s="408">
        <f t="shared" si="26"/>
        <v>0</v>
      </c>
      <c r="Q41" s="408">
        <f t="shared" si="26"/>
        <v>0</v>
      </c>
      <c r="R41" s="408">
        <f t="shared" si="26"/>
        <v>0</v>
      </c>
      <c r="S41" s="408">
        <f t="shared" si="26"/>
        <v>0</v>
      </c>
      <c r="T41" s="408">
        <f t="shared" si="26"/>
        <v>0</v>
      </c>
      <c r="U41" s="408">
        <f t="shared" si="26"/>
        <v>0</v>
      </c>
      <c r="V41" s="408">
        <f t="shared" si="26"/>
        <v>0</v>
      </c>
      <c r="W41" s="408">
        <f t="shared" si="26"/>
        <v>0</v>
      </c>
      <c r="X41" s="408">
        <f t="shared" si="26"/>
        <v>0</v>
      </c>
      <c r="Y41" s="408">
        <f t="shared" si="26"/>
        <v>0</v>
      </c>
      <c r="Z41" s="408">
        <f t="shared" si="26"/>
        <v>0</v>
      </c>
      <c r="AA41" s="408">
        <f t="shared" si="26"/>
        <v>0</v>
      </c>
      <c r="AB41" s="408">
        <f t="shared" si="26"/>
        <v>0</v>
      </c>
      <c r="AD41" s="359"/>
      <c r="AE41" s="371">
        <f t="shared" si="27"/>
        <v>0</v>
      </c>
      <c r="AF41" s="371">
        <f t="shared" si="27"/>
        <v>0</v>
      </c>
      <c r="AG41" s="371">
        <f t="shared" si="27"/>
        <v>0</v>
      </c>
      <c r="AH41" s="371">
        <f t="shared" si="27"/>
        <v>0</v>
      </c>
      <c r="AI41" s="371">
        <f t="shared" si="27"/>
        <v>0</v>
      </c>
      <c r="AJ41" s="371">
        <f t="shared" si="27"/>
        <v>0</v>
      </c>
      <c r="AK41" s="371">
        <f t="shared" si="27"/>
        <v>0</v>
      </c>
      <c r="AL41" s="371">
        <f t="shared" si="27"/>
        <v>0</v>
      </c>
      <c r="AM41" s="371">
        <f t="shared" si="27"/>
        <v>0</v>
      </c>
      <c r="AN41" s="371">
        <f t="shared" si="27"/>
        <v>0</v>
      </c>
      <c r="AO41" s="371">
        <f t="shared" si="28"/>
        <v>0</v>
      </c>
      <c r="AP41" s="371">
        <f t="shared" si="28"/>
        <v>0</v>
      </c>
      <c r="AQ41" s="371">
        <f t="shared" si="28"/>
        <v>0</v>
      </c>
      <c r="AR41" s="371">
        <f t="shared" si="28"/>
        <v>0</v>
      </c>
      <c r="AS41" s="371">
        <f t="shared" si="28"/>
        <v>0</v>
      </c>
      <c r="AT41" s="371">
        <f t="shared" si="28"/>
        <v>0</v>
      </c>
      <c r="AU41" s="371">
        <f t="shared" si="28"/>
        <v>0</v>
      </c>
      <c r="AV41" s="371">
        <f t="shared" si="28"/>
        <v>0</v>
      </c>
      <c r="AW41" s="371">
        <f t="shared" si="28"/>
        <v>0</v>
      </c>
      <c r="AX41" s="371">
        <f t="shared" si="28"/>
        <v>0</v>
      </c>
      <c r="AY41" s="371">
        <f t="shared" si="29"/>
        <v>0</v>
      </c>
      <c r="AZ41" s="371">
        <f t="shared" si="29"/>
        <v>0</v>
      </c>
      <c r="BA41" s="371">
        <f t="shared" si="29"/>
        <v>0</v>
      </c>
      <c r="BB41" s="371">
        <f t="shared" si="29"/>
        <v>0</v>
      </c>
      <c r="BC41" s="371">
        <f t="shared" si="29"/>
        <v>0</v>
      </c>
      <c r="BD41" s="371">
        <f t="shared" si="29"/>
        <v>0</v>
      </c>
      <c r="BE41" s="371">
        <f t="shared" si="29"/>
        <v>0</v>
      </c>
      <c r="BF41" s="371">
        <f t="shared" si="29"/>
        <v>0</v>
      </c>
      <c r="BG41" s="371">
        <f t="shared" si="29"/>
        <v>0</v>
      </c>
      <c r="BH41" s="371">
        <f t="shared" si="29"/>
        <v>0</v>
      </c>
      <c r="BI41" s="371">
        <f t="shared" si="30"/>
        <v>0</v>
      </c>
      <c r="BJ41" s="371">
        <f t="shared" si="30"/>
        <v>0</v>
      </c>
      <c r="BK41" s="371">
        <f t="shared" si="30"/>
        <v>0</v>
      </c>
      <c r="BL41" s="371">
        <f t="shared" si="30"/>
        <v>0</v>
      </c>
      <c r="BM41" s="371">
        <f t="shared" si="30"/>
        <v>0</v>
      </c>
      <c r="BN41" s="371">
        <f t="shared" si="30"/>
        <v>0</v>
      </c>
      <c r="BO41" s="371">
        <f t="shared" si="30"/>
        <v>0</v>
      </c>
      <c r="BP41" s="371">
        <f t="shared" si="30"/>
        <v>0</v>
      </c>
      <c r="BQ41" s="371">
        <f t="shared" si="30"/>
        <v>0</v>
      </c>
      <c r="BR41" s="371">
        <f t="shared" si="30"/>
        <v>0</v>
      </c>
      <c r="BS41" s="371">
        <f t="shared" si="31"/>
        <v>0</v>
      </c>
      <c r="BT41" s="371">
        <f t="shared" si="31"/>
        <v>0</v>
      </c>
      <c r="BU41" s="371">
        <f t="shared" si="31"/>
        <v>0</v>
      </c>
      <c r="BV41" s="371">
        <f t="shared" si="31"/>
        <v>0</v>
      </c>
      <c r="BW41" s="371">
        <f t="shared" si="31"/>
        <v>0</v>
      </c>
      <c r="BX41" s="371">
        <f t="shared" si="31"/>
        <v>0</v>
      </c>
      <c r="BY41" s="371">
        <f t="shared" si="31"/>
        <v>0</v>
      </c>
      <c r="BZ41" s="371">
        <f t="shared" si="31"/>
        <v>0</v>
      </c>
    </row>
    <row r="42" spans="2:78" ht="21" hidden="1" customHeight="1" outlineLevel="3">
      <c r="B42" s="367"/>
      <c r="C42" s="370"/>
      <c r="D42" s="374">
        <f t="shared" si="32"/>
        <v>45169</v>
      </c>
      <c r="E42" s="373" cm="1">
        <f t="array" ref="E42">IF($D42=LatestMonthOfActuals,INDEX($AE$25:$BZ$25,0,MATCH($D42,$AE$8:$BZ$8,0)),0)</f>
        <v>0</v>
      </c>
      <c r="F42" s="359"/>
      <c r="G42" s="408">
        <f t="shared" si="25"/>
        <v>0</v>
      </c>
      <c r="H42" s="408">
        <f t="shared" si="25"/>
        <v>0</v>
      </c>
      <c r="I42" s="408">
        <f t="shared" si="25"/>
        <v>0</v>
      </c>
      <c r="J42" s="408">
        <f t="shared" si="25"/>
        <v>0</v>
      </c>
      <c r="K42" s="408"/>
      <c r="L42" s="408"/>
      <c r="M42" s="408">
        <f t="shared" si="26"/>
        <v>0</v>
      </c>
      <c r="N42" s="408">
        <f t="shared" si="26"/>
        <v>0</v>
      </c>
      <c r="O42" s="408">
        <f t="shared" si="26"/>
        <v>0</v>
      </c>
      <c r="P42" s="408">
        <f t="shared" si="26"/>
        <v>0</v>
      </c>
      <c r="Q42" s="408">
        <f t="shared" si="26"/>
        <v>0</v>
      </c>
      <c r="R42" s="408">
        <f t="shared" si="26"/>
        <v>0</v>
      </c>
      <c r="S42" s="408">
        <f t="shared" si="26"/>
        <v>0</v>
      </c>
      <c r="T42" s="408">
        <f t="shared" si="26"/>
        <v>0</v>
      </c>
      <c r="U42" s="408">
        <f t="shared" si="26"/>
        <v>0</v>
      </c>
      <c r="V42" s="408">
        <f t="shared" si="26"/>
        <v>0</v>
      </c>
      <c r="W42" s="408">
        <f t="shared" si="26"/>
        <v>0</v>
      </c>
      <c r="X42" s="408">
        <f t="shared" si="26"/>
        <v>0</v>
      </c>
      <c r="Y42" s="408">
        <f t="shared" si="26"/>
        <v>0</v>
      </c>
      <c r="Z42" s="408">
        <f t="shared" si="26"/>
        <v>0</v>
      </c>
      <c r="AA42" s="408">
        <f t="shared" si="26"/>
        <v>0</v>
      </c>
      <c r="AB42" s="408">
        <f t="shared" si="26"/>
        <v>0</v>
      </c>
      <c r="AD42" s="359"/>
      <c r="AE42" s="371">
        <f t="shared" si="27"/>
        <v>0</v>
      </c>
      <c r="AF42" s="371">
        <f t="shared" si="27"/>
        <v>0</v>
      </c>
      <c r="AG42" s="371">
        <f t="shared" si="27"/>
        <v>0</v>
      </c>
      <c r="AH42" s="371">
        <f t="shared" si="27"/>
        <v>0</v>
      </c>
      <c r="AI42" s="371">
        <f t="shared" si="27"/>
        <v>0</v>
      </c>
      <c r="AJ42" s="371">
        <f t="shared" si="27"/>
        <v>0</v>
      </c>
      <c r="AK42" s="371">
        <f t="shared" si="27"/>
        <v>0</v>
      </c>
      <c r="AL42" s="371">
        <f t="shared" si="27"/>
        <v>0</v>
      </c>
      <c r="AM42" s="371">
        <f t="shared" si="27"/>
        <v>0</v>
      </c>
      <c r="AN42" s="371">
        <f t="shared" si="27"/>
        <v>0</v>
      </c>
      <c r="AO42" s="371">
        <f t="shared" si="28"/>
        <v>0</v>
      </c>
      <c r="AP42" s="371">
        <f t="shared" si="28"/>
        <v>0</v>
      </c>
      <c r="AQ42" s="371">
        <f t="shared" si="28"/>
        <v>0</v>
      </c>
      <c r="AR42" s="371">
        <f t="shared" si="28"/>
        <v>0</v>
      </c>
      <c r="AS42" s="371">
        <f t="shared" si="28"/>
        <v>0</v>
      </c>
      <c r="AT42" s="371">
        <f t="shared" si="28"/>
        <v>0</v>
      </c>
      <c r="AU42" s="371">
        <f t="shared" si="28"/>
        <v>0</v>
      </c>
      <c r="AV42" s="371">
        <f t="shared" si="28"/>
        <v>0</v>
      </c>
      <c r="AW42" s="371">
        <f t="shared" si="28"/>
        <v>0</v>
      </c>
      <c r="AX42" s="371">
        <f t="shared" si="28"/>
        <v>0</v>
      </c>
      <c r="AY42" s="371">
        <f t="shared" si="29"/>
        <v>0</v>
      </c>
      <c r="AZ42" s="371">
        <f t="shared" si="29"/>
        <v>0</v>
      </c>
      <c r="BA42" s="371">
        <f t="shared" si="29"/>
        <v>0</v>
      </c>
      <c r="BB42" s="371">
        <f t="shared" si="29"/>
        <v>0</v>
      </c>
      <c r="BC42" s="371">
        <f t="shared" si="29"/>
        <v>0</v>
      </c>
      <c r="BD42" s="371">
        <f t="shared" si="29"/>
        <v>0</v>
      </c>
      <c r="BE42" s="371">
        <f t="shared" si="29"/>
        <v>0</v>
      </c>
      <c r="BF42" s="371">
        <f t="shared" si="29"/>
        <v>0</v>
      </c>
      <c r="BG42" s="371">
        <f t="shared" si="29"/>
        <v>0</v>
      </c>
      <c r="BH42" s="371">
        <f t="shared" si="29"/>
        <v>0</v>
      </c>
      <c r="BI42" s="371">
        <f t="shared" si="30"/>
        <v>0</v>
      </c>
      <c r="BJ42" s="371">
        <f t="shared" si="30"/>
        <v>0</v>
      </c>
      <c r="BK42" s="371">
        <f t="shared" si="30"/>
        <v>0</v>
      </c>
      <c r="BL42" s="371">
        <f t="shared" si="30"/>
        <v>0</v>
      </c>
      <c r="BM42" s="371">
        <f t="shared" si="30"/>
        <v>0</v>
      </c>
      <c r="BN42" s="371">
        <f t="shared" si="30"/>
        <v>0</v>
      </c>
      <c r="BO42" s="371">
        <f t="shared" si="30"/>
        <v>0</v>
      </c>
      <c r="BP42" s="371">
        <f t="shared" si="30"/>
        <v>0</v>
      </c>
      <c r="BQ42" s="371">
        <f t="shared" si="30"/>
        <v>0</v>
      </c>
      <c r="BR42" s="371">
        <f t="shared" si="30"/>
        <v>0</v>
      </c>
      <c r="BS42" s="371">
        <f t="shared" si="31"/>
        <v>0</v>
      </c>
      <c r="BT42" s="371">
        <f t="shared" si="31"/>
        <v>0</v>
      </c>
      <c r="BU42" s="371">
        <f t="shared" si="31"/>
        <v>0</v>
      </c>
      <c r="BV42" s="371">
        <f t="shared" si="31"/>
        <v>0</v>
      </c>
      <c r="BW42" s="371">
        <f t="shared" si="31"/>
        <v>0</v>
      </c>
      <c r="BX42" s="371">
        <f t="shared" si="31"/>
        <v>0</v>
      </c>
      <c r="BY42" s="371">
        <f t="shared" si="31"/>
        <v>0</v>
      </c>
      <c r="BZ42" s="371">
        <f t="shared" si="31"/>
        <v>0</v>
      </c>
    </row>
    <row r="43" spans="2:78" ht="21" hidden="1" customHeight="1" outlineLevel="3">
      <c r="B43" s="367"/>
      <c r="C43" s="370"/>
      <c r="D43" s="374">
        <f t="shared" si="32"/>
        <v>45199</v>
      </c>
      <c r="E43" s="373" cm="1">
        <f t="array" ref="E43">IF($D43=LatestMonthOfActuals,INDEX($AE$25:$BZ$25,0,MATCH($D43,$AE$8:$BZ$8,0)),0)</f>
        <v>0</v>
      </c>
      <c r="F43" s="359"/>
      <c r="G43" s="408">
        <f t="shared" si="25"/>
        <v>0</v>
      </c>
      <c r="H43" s="408">
        <f t="shared" si="25"/>
        <v>0</v>
      </c>
      <c r="I43" s="408">
        <f t="shared" si="25"/>
        <v>0</v>
      </c>
      <c r="J43" s="408">
        <f t="shared" si="25"/>
        <v>0</v>
      </c>
      <c r="K43" s="408"/>
      <c r="L43" s="408"/>
      <c r="M43" s="408">
        <f t="shared" si="26"/>
        <v>0</v>
      </c>
      <c r="N43" s="408">
        <f t="shared" si="26"/>
        <v>0</v>
      </c>
      <c r="O43" s="408">
        <f t="shared" si="26"/>
        <v>0</v>
      </c>
      <c r="P43" s="408">
        <f t="shared" si="26"/>
        <v>0</v>
      </c>
      <c r="Q43" s="408">
        <f t="shared" si="26"/>
        <v>0</v>
      </c>
      <c r="R43" s="408">
        <f t="shared" si="26"/>
        <v>0</v>
      </c>
      <c r="S43" s="408">
        <f t="shared" si="26"/>
        <v>0</v>
      </c>
      <c r="T43" s="408">
        <f t="shared" si="26"/>
        <v>0</v>
      </c>
      <c r="U43" s="408">
        <f t="shared" si="26"/>
        <v>0</v>
      </c>
      <c r="V43" s="408">
        <f t="shared" si="26"/>
        <v>0</v>
      </c>
      <c r="W43" s="408">
        <f t="shared" si="26"/>
        <v>0</v>
      </c>
      <c r="X43" s="408">
        <f t="shared" si="26"/>
        <v>0</v>
      </c>
      <c r="Y43" s="408">
        <f t="shared" si="26"/>
        <v>0</v>
      </c>
      <c r="Z43" s="408">
        <f t="shared" si="26"/>
        <v>0</v>
      </c>
      <c r="AA43" s="408">
        <f t="shared" si="26"/>
        <v>0</v>
      </c>
      <c r="AB43" s="408">
        <f t="shared" si="26"/>
        <v>0</v>
      </c>
      <c r="AD43" s="359"/>
      <c r="AE43" s="371">
        <f t="shared" si="27"/>
        <v>0</v>
      </c>
      <c r="AF43" s="371">
        <f t="shared" si="27"/>
        <v>0</v>
      </c>
      <c r="AG43" s="371">
        <f t="shared" si="27"/>
        <v>0</v>
      </c>
      <c r="AH43" s="371">
        <f t="shared" si="27"/>
        <v>0</v>
      </c>
      <c r="AI43" s="371">
        <f t="shared" si="27"/>
        <v>0</v>
      </c>
      <c r="AJ43" s="371">
        <f t="shared" si="27"/>
        <v>0</v>
      </c>
      <c r="AK43" s="371">
        <f t="shared" si="27"/>
        <v>0</v>
      </c>
      <c r="AL43" s="371">
        <f t="shared" si="27"/>
        <v>0</v>
      </c>
      <c r="AM43" s="371">
        <f t="shared" si="27"/>
        <v>0</v>
      </c>
      <c r="AN43" s="371">
        <f t="shared" si="27"/>
        <v>0</v>
      </c>
      <c r="AO43" s="371">
        <f t="shared" si="28"/>
        <v>0</v>
      </c>
      <c r="AP43" s="371">
        <f t="shared" si="28"/>
        <v>0</v>
      </c>
      <c r="AQ43" s="371">
        <f t="shared" si="28"/>
        <v>0</v>
      </c>
      <c r="AR43" s="371">
        <f t="shared" si="28"/>
        <v>0</v>
      </c>
      <c r="AS43" s="371">
        <f t="shared" si="28"/>
        <v>0</v>
      </c>
      <c r="AT43" s="371">
        <f t="shared" si="28"/>
        <v>0</v>
      </c>
      <c r="AU43" s="371">
        <f t="shared" si="28"/>
        <v>0</v>
      </c>
      <c r="AV43" s="371">
        <f t="shared" si="28"/>
        <v>0</v>
      </c>
      <c r="AW43" s="371">
        <f t="shared" si="28"/>
        <v>0</v>
      </c>
      <c r="AX43" s="371">
        <f t="shared" si="28"/>
        <v>0</v>
      </c>
      <c r="AY43" s="371">
        <f t="shared" si="29"/>
        <v>0</v>
      </c>
      <c r="AZ43" s="371">
        <f t="shared" si="29"/>
        <v>0</v>
      </c>
      <c r="BA43" s="371">
        <f t="shared" si="29"/>
        <v>0</v>
      </c>
      <c r="BB43" s="371">
        <f t="shared" si="29"/>
        <v>0</v>
      </c>
      <c r="BC43" s="371">
        <f t="shared" si="29"/>
        <v>0</v>
      </c>
      <c r="BD43" s="371">
        <f t="shared" si="29"/>
        <v>0</v>
      </c>
      <c r="BE43" s="371">
        <f t="shared" si="29"/>
        <v>0</v>
      </c>
      <c r="BF43" s="371">
        <f t="shared" si="29"/>
        <v>0</v>
      </c>
      <c r="BG43" s="371">
        <f t="shared" si="29"/>
        <v>0</v>
      </c>
      <c r="BH43" s="371">
        <f t="shared" si="29"/>
        <v>0</v>
      </c>
      <c r="BI43" s="371">
        <f t="shared" si="30"/>
        <v>0</v>
      </c>
      <c r="BJ43" s="371">
        <f t="shared" si="30"/>
        <v>0</v>
      </c>
      <c r="BK43" s="371">
        <f t="shared" si="30"/>
        <v>0</v>
      </c>
      <c r="BL43" s="371">
        <f t="shared" si="30"/>
        <v>0</v>
      </c>
      <c r="BM43" s="371">
        <f t="shared" si="30"/>
        <v>0</v>
      </c>
      <c r="BN43" s="371">
        <f t="shared" si="30"/>
        <v>0</v>
      </c>
      <c r="BO43" s="371">
        <f t="shared" si="30"/>
        <v>0</v>
      </c>
      <c r="BP43" s="371">
        <f t="shared" si="30"/>
        <v>0</v>
      </c>
      <c r="BQ43" s="371">
        <f t="shared" si="30"/>
        <v>0</v>
      </c>
      <c r="BR43" s="371">
        <f t="shared" si="30"/>
        <v>0</v>
      </c>
      <c r="BS43" s="371">
        <f t="shared" si="31"/>
        <v>0</v>
      </c>
      <c r="BT43" s="371">
        <f t="shared" si="31"/>
        <v>0</v>
      </c>
      <c r="BU43" s="371">
        <f t="shared" si="31"/>
        <v>0</v>
      </c>
      <c r="BV43" s="371">
        <f t="shared" si="31"/>
        <v>0</v>
      </c>
      <c r="BW43" s="371">
        <f t="shared" si="31"/>
        <v>0</v>
      </c>
      <c r="BX43" s="371">
        <f t="shared" si="31"/>
        <v>0</v>
      </c>
      <c r="BY43" s="371">
        <f t="shared" si="31"/>
        <v>0</v>
      </c>
      <c r="BZ43" s="371">
        <f t="shared" si="31"/>
        <v>0</v>
      </c>
    </row>
    <row r="44" spans="2:78" ht="21" hidden="1" customHeight="1" outlineLevel="3">
      <c r="B44" s="367"/>
      <c r="C44" s="370"/>
      <c r="D44" s="374">
        <f t="shared" si="32"/>
        <v>45230</v>
      </c>
      <c r="E44" s="373" cm="1">
        <f t="array" ref="E44">IF($D44=LatestMonthOfActuals,INDEX($AE$25:$BZ$25,0,MATCH($D44,$AE$8:$BZ$8,0)),0)</f>
        <v>0</v>
      </c>
      <c r="F44" s="359"/>
      <c r="G44" s="408">
        <f t="shared" si="25"/>
        <v>0</v>
      </c>
      <c r="H44" s="408">
        <f t="shared" si="25"/>
        <v>0</v>
      </c>
      <c r="I44" s="408">
        <f t="shared" si="25"/>
        <v>0</v>
      </c>
      <c r="J44" s="408">
        <f t="shared" si="25"/>
        <v>0</v>
      </c>
      <c r="K44" s="408"/>
      <c r="L44" s="408"/>
      <c r="M44" s="408">
        <f t="shared" si="26"/>
        <v>0</v>
      </c>
      <c r="N44" s="408">
        <f t="shared" si="26"/>
        <v>0</v>
      </c>
      <c r="O44" s="408">
        <f t="shared" si="26"/>
        <v>0</v>
      </c>
      <c r="P44" s="408">
        <f t="shared" si="26"/>
        <v>0</v>
      </c>
      <c r="Q44" s="408">
        <f t="shared" si="26"/>
        <v>0</v>
      </c>
      <c r="R44" s="408">
        <f t="shared" si="26"/>
        <v>0</v>
      </c>
      <c r="S44" s="408">
        <f t="shared" si="26"/>
        <v>0</v>
      </c>
      <c r="T44" s="408">
        <f t="shared" si="26"/>
        <v>0</v>
      </c>
      <c r="U44" s="408">
        <f t="shared" si="26"/>
        <v>0</v>
      </c>
      <c r="V44" s="408">
        <f t="shared" si="26"/>
        <v>0</v>
      </c>
      <c r="W44" s="408">
        <f t="shared" si="26"/>
        <v>0</v>
      </c>
      <c r="X44" s="408">
        <f t="shared" si="26"/>
        <v>0</v>
      </c>
      <c r="Y44" s="408">
        <f t="shared" si="26"/>
        <v>0</v>
      </c>
      <c r="Z44" s="408">
        <f t="shared" si="26"/>
        <v>0</v>
      </c>
      <c r="AA44" s="408">
        <f t="shared" si="26"/>
        <v>0</v>
      </c>
      <c r="AB44" s="408">
        <f t="shared" si="26"/>
        <v>0</v>
      </c>
      <c r="AD44" s="359"/>
      <c r="AE44" s="371">
        <f t="shared" si="27"/>
        <v>0</v>
      </c>
      <c r="AF44" s="371">
        <f t="shared" si="27"/>
        <v>0</v>
      </c>
      <c r="AG44" s="371">
        <f t="shared" si="27"/>
        <v>0</v>
      </c>
      <c r="AH44" s="371">
        <f t="shared" si="27"/>
        <v>0</v>
      </c>
      <c r="AI44" s="371">
        <f t="shared" si="27"/>
        <v>0</v>
      </c>
      <c r="AJ44" s="371">
        <f t="shared" si="27"/>
        <v>0</v>
      </c>
      <c r="AK44" s="371">
        <f t="shared" si="27"/>
        <v>0</v>
      </c>
      <c r="AL44" s="371">
        <f t="shared" si="27"/>
        <v>0</v>
      </c>
      <c r="AM44" s="371">
        <f t="shared" si="27"/>
        <v>0</v>
      </c>
      <c r="AN44" s="371">
        <f t="shared" si="27"/>
        <v>0</v>
      </c>
      <c r="AO44" s="371">
        <f t="shared" si="28"/>
        <v>0</v>
      </c>
      <c r="AP44" s="371">
        <f t="shared" si="28"/>
        <v>0</v>
      </c>
      <c r="AQ44" s="371">
        <f t="shared" si="28"/>
        <v>0</v>
      </c>
      <c r="AR44" s="371">
        <f t="shared" si="28"/>
        <v>0</v>
      </c>
      <c r="AS44" s="371">
        <f t="shared" si="28"/>
        <v>0</v>
      </c>
      <c r="AT44" s="371">
        <f t="shared" si="28"/>
        <v>0</v>
      </c>
      <c r="AU44" s="371">
        <f t="shared" si="28"/>
        <v>0</v>
      </c>
      <c r="AV44" s="371">
        <f t="shared" si="28"/>
        <v>0</v>
      </c>
      <c r="AW44" s="371">
        <f t="shared" si="28"/>
        <v>0</v>
      </c>
      <c r="AX44" s="371">
        <f t="shared" si="28"/>
        <v>0</v>
      </c>
      <c r="AY44" s="371">
        <f t="shared" si="29"/>
        <v>0</v>
      </c>
      <c r="AZ44" s="371">
        <f t="shared" si="29"/>
        <v>0</v>
      </c>
      <c r="BA44" s="371">
        <f t="shared" si="29"/>
        <v>0</v>
      </c>
      <c r="BB44" s="371">
        <f t="shared" si="29"/>
        <v>0</v>
      </c>
      <c r="BC44" s="371">
        <f t="shared" si="29"/>
        <v>0</v>
      </c>
      <c r="BD44" s="371">
        <f t="shared" si="29"/>
        <v>0</v>
      </c>
      <c r="BE44" s="371">
        <f t="shared" si="29"/>
        <v>0</v>
      </c>
      <c r="BF44" s="371">
        <f t="shared" si="29"/>
        <v>0</v>
      </c>
      <c r="BG44" s="371">
        <f t="shared" si="29"/>
        <v>0</v>
      </c>
      <c r="BH44" s="371">
        <f t="shared" si="29"/>
        <v>0</v>
      </c>
      <c r="BI44" s="371">
        <f t="shared" si="30"/>
        <v>0</v>
      </c>
      <c r="BJ44" s="371">
        <f t="shared" si="30"/>
        <v>0</v>
      </c>
      <c r="BK44" s="371">
        <f t="shared" si="30"/>
        <v>0</v>
      </c>
      <c r="BL44" s="371">
        <f t="shared" si="30"/>
        <v>0</v>
      </c>
      <c r="BM44" s="371">
        <f t="shared" si="30"/>
        <v>0</v>
      </c>
      <c r="BN44" s="371">
        <f t="shared" si="30"/>
        <v>0</v>
      </c>
      <c r="BO44" s="371">
        <f t="shared" si="30"/>
        <v>0</v>
      </c>
      <c r="BP44" s="371">
        <f t="shared" si="30"/>
        <v>0</v>
      </c>
      <c r="BQ44" s="371">
        <f t="shared" si="30"/>
        <v>0</v>
      </c>
      <c r="BR44" s="371">
        <f t="shared" si="30"/>
        <v>0</v>
      </c>
      <c r="BS44" s="371">
        <f t="shared" si="31"/>
        <v>0</v>
      </c>
      <c r="BT44" s="371">
        <f t="shared" si="31"/>
        <v>0</v>
      </c>
      <c r="BU44" s="371">
        <f t="shared" si="31"/>
        <v>0</v>
      </c>
      <c r="BV44" s="371">
        <f t="shared" si="31"/>
        <v>0</v>
      </c>
      <c r="BW44" s="371">
        <f t="shared" si="31"/>
        <v>0</v>
      </c>
      <c r="BX44" s="371">
        <f t="shared" si="31"/>
        <v>0</v>
      </c>
      <c r="BY44" s="371">
        <f t="shared" si="31"/>
        <v>0</v>
      </c>
      <c r="BZ44" s="371">
        <f t="shared" si="31"/>
        <v>0</v>
      </c>
    </row>
    <row r="45" spans="2:78" ht="21" hidden="1" customHeight="1" outlineLevel="3">
      <c r="B45" s="367"/>
      <c r="C45" s="370"/>
      <c r="D45" s="374">
        <f t="shared" si="32"/>
        <v>45260</v>
      </c>
      <c r="E45" s="373" cm="1">
        <f t="array" ref="E45">IF($D45=LatestMonthOfActuals,INDEX($AE$25:$BZ$25,0,MATCH($D45,$AE$8:$BZ$8,0)),0)</f>
        <v>0</v>
      </c>
      <c r="F45" s="359"/>
      <c r="G45" s="408">
        <f t="shared" si="25"/>
        <v>0</v>
      </c>
      <c r="H45" s="408">
        <f t="shared" si="25"/>
        <v>0</v>
      </c>
      <c r="I45" s="408">
        <f t="shared" si="25"/>
        <v>0</v>
      </c>
      <c r="J45" s="408">
        <f t="shared" si="25"/>
        <v>0</v>
      </c>
      <c r="K45" s="408"/>
      <c r="L45" s="408"/>
      <c r="M45" s="408">
        <f t="shared" si="26"/>
        <v>0</v>
      </c>
      <c r="N45" s="408">
        <f t="shared" si="26"/>
        <v>0</v>
      </c>
      <c r="O45" s="408">
        <f t="shared" si="26"/>
        <v>0</v>
      </c>
      <c r="P45" s="408">
        <f t="shared" si="26"/>
        <v>0</v>
      </c>
      <c r="Q45" s="408">
        <f t="shared" si="26"/>
        <v>0</v>
      </c>
      <c r="R45" s="408">
        <f t="shared" si="26"/>
        <v>0</v>
      </c>
      <c r="S45" s="408">
        <f t="shared" si="26"/>
        <v>0</v>
      </c>
      <c r="T45" s="408">
        <f t="shared" si="26"/>
        <v>0</v>
      </c>
      <c r="U45" s="408">
        <f t="shared" si="26"/>
        <v>0</v>
      </c>
      <c r="V45" s="408">
        <f t="shared" si="26"/>
        <v>0</v>
      </c>
      <c r="W45" s="408">
        <f t="shared" si="26"/>
        <v>0</v>
      </c>
      <c r="X45" s="408">
        <f t="shared" si="26"/>
        <v>0</v>
      </c>
      <c r="Y45" s="408">
        <f t="shared" si="26"/>
        <v>0</v>
      </c>
      <c r="Z45" s="408">
        <f t="shared" si="26"/>
        <v>0</v>
      </c>
      <c r="AA45" s="408">
        <f t="shared" si="26"/>
        <v>0</v>
      </c>
      <c r="AB45" s="408">
        <f t="shared" si="26"/>
        <v>0</v>
      </c>
      <c r="AD45" s="359"/>
      <c r="AE45" s="371">
        <f t="shared" ref="AE45:AN54" si="33">IFERROR(IF(AE$8&gt;=$D45,$E45*(INDEX($E$12:$E$16,(MATCH(MATCH(AE$8,$D$35:$D$82,0)-MATCH($D45,$D$35:$D$82,0),$D$12:$D$16,0)))),0),0)</f>
        <v>0</v>
      </c>
      <c r="AF45" s="371">
        <f t="shared" si="33"/>
        <v>0</v>
      </c>
      <c r="AG45" s="371">
        <f t="shared" si="33"/>
        <v>0</v>
      </c>
      <c r="AH45" s="371">
        <f t="shared" si="33"/>
        <v>0</v>
      </c>
      <c r="AI45" s="371">
        <f t="shared" si="33"/>
        <v>0</v>
      </c>
      <c r="AJ45" s="371">
        <f t="shared" si="33"/>
        <v>0</v>
      </c>
      <c r="AK45" s="371">
        <f t="shared" si="33"/>
        <v>0</v>
      </c>
      <c r="AL45" s="371">
        <f t="shared" si="33"/>
        <v>0</v>
      </c>
      <c r="AM45" s="371">
        <f t="shared" si="33"/>
        <v>0</v>
      </c>
      <c r="AN45" s="371">
        <f t="shared" si="33"/>
        <v>0</v>
      </c>
      <c r="AO45" s="371">
        <f t="shared" ref="AO45:AX54" si="34">IFERROR(IF(AO$8&gt;=$D45,$E45*(INDEX($E$12:$E$16,(MATCH(MATCH(AO$8,$D$35:$D$82,0)-MATCH($D45,$D$35:$D$82,0),$D$12:$D$16,0)))),0),0)</f>
        <v>0</v>
      </c>
      <c r="AP45" s="371">
        <f t="shared" si="34"/>
        <v>0</v>
      </c>
      <c r="AQ45" s="371">
        <f t="shared" si="34"/>
        <v>0</v>
      </c>
      <c r="AR45" s="371">
        <f t="shared" si="34"/>
        <v>0</v>
      </c>
      <c r="AS45" s="371">
        <f t="shared" si="34"/>
        <v>0</v>
      </c>
      <c r="AT45" s="371">
        <f t="shared" si="34"/>
        <v>0</v>
      </c>
      <c r="AU45" s="371">
        <f t="shared" si="34"/>
        <v>0</v>
      </c>
      <c r="AV45" s="371">
        <f t="shared" si="34"/>
        <v>0</v>
      </c>
      <c r="AW45" s="371">
        <f t="shared" si="34"/>
        <v>0</v>
      </c>
      <c r="AX45" s="371">
        <f t="shared" si="34"/>
        <v>0</v>
      </c>
      <c r="AY45" s="371">
        <f t="shared" ref="AY45:BH54" si="35">IFERROR(IF(AY$8&gt;=$D45,$E45*(INDEX($E$12:$E$16,(MATCH(MATCH(AY$8,$D$35:$D$82,0)-MATCH($D45,$D$35:$D$82,0),$D$12:$D$16,0)))),0),0)</f>
        <v>0</v>
      </c>
      <c r="AZ45" s="371">
        <f t="shared" si="35"/>
        <v>0</v>
      </c>
      <c r="BA45" s="371">
        <f t="shared" si="35"/>
        <v>0</v>
      </c>
      <c r="BB45" s="371">
        <f t="shared" si="35"/>
        <v>0</v>
      </c>
      <c r="BC45" s="371">
        <f t="shared" si="35"/>
        <v>0</v>
      </c>
      <c r="BD45" s="371">
        <f t="shared" si="35"/>
        <v>0</v>
      </c>
      <c r="BE45" s="371">
        <f t="shared" si="35"/>
        <v>0</v>
      </c>
      <c r="BF45" s="371">
        <f t="shared" si="35"/>
        <v>0</v>
      </c>
      <c r="BG45" s="371">
        <f t="shared" si="35"/>
        <v>0</v>
      </c>
      <c r="BH45" s="371">
        <f t="shared" si="35"/>
        <v>0</v>
      </c>
      <c r="BI45" s="371">
        <f t="shared" ref="BI45:BR54" si="36">IFERROR(IF(BI$8&gt;=$D45,$E45*(INDEX($E$12:$E$16,(MATCH(MATCH(BI$8,$D$35:$D$82,0)-MATCH($D45,$D$35:$D$82,0),$D$12:$D$16,0)))),0),0)</f>
        <v>0</v>
      </c>
      <c r="BJ45" s="371">
        <f t="shared" si="36"/>
        <v>0</v>
      </c>
      <c r="BK45" s="371">
        <f t="shared" si="36"/>
        <v>0</v>
      </c>
      <c r="BL45" s="371">
        <f t="shared" si="36"/>
        <v>0</v>
      </c>
      <c r="BM45" s="371">
        <f t="shared" si="36"/>
        <v>0</v>
      </c>
      <c r="BN45" s="371">
        <f t="shared" si="36"/>
        <v>0</v>
      </c>
      <c r="BO45" s="371">
        <f t="shared" si="36"/>
        <v>0</v>
      </c>
      <c r="BP45" s="371">
        <f t="shared" si="36"/>
        <v>0</v>
      </c>
      <c r="BQ45" s="371">
        <f t="shared" si="36"/>
        <v>0</v>
      </c>
      <c r="BR45" s="371">
        <f t="shared" si="36"/>
        <v>0</v>
      </c>
      <c r="BS45" s="371">
        <f t="shared" ref="BS45:BZ54" si="37">IFERROR(IF(BS$8&gt;=$D45,$E45*(INDEX($E$12:$E$16,(MATCH(MATCH(BS$8,$D$35:$D$82,0)-MATCH($D45,$D$35:$D$82,0),$D$12:$D$16,0)))),0),0)</f>
        <v>0</v>
      </c>
      <c r="BT45" s="371">
        <f t="shared" si="37"/>
        <v>0</v>
      </c>
      <c r="BU45" s="371">
        <f t="shared" si="37"/>
        <v>0</v>
      </c>
      <c r="BV45" s="371">
        <f t="shared" si="37"/>
        <v>0</v>
      </c>
      <c r="BW45" s="371">
        <f t="shared" si="37"/>
        <v>0</v>
      </c>
      <c r="BX45" s="371">
        <f t="shared" si="37"/>
        <v>0</v>
      </c>
      <c r="BY45" s="371">
        <f t="shared" si="37"/>
        <v>0</v>
      </c>
      <c r="BZ45" s="371">
        <f t="shared" si="37"/>
        <v>0</v>
      </c>
    </row>
    <row r="46" spans="2:78" ht="21" hidden="1" customHeight="1" outlineLevel="3">
      <c r="B46" s="367"/>
      <c r="C46" s="370"/>
      <c r="D46" s="374">
        <f t="shared" si="32"/>
        <v>45291</v>
      </c>
      <c r="E46" s="373" cm="1">
        <f t="array" ref="E46">IF($D46=LatestMonthOfActuals,INDEX($AE$25:$BZ$25,0,MATCH($D46,$AE$8:$BZ$8,0)),0)</f>
        <v>0</v>
      </c>
      <c r="F46" s="359"/>
      <c r="G46" s="408">
        <f t="shared" si="25"/>
        <v>0</v>
      </c>
      <c r="H46" s="408">
        <f t="shared" si="25"/>
        <v>0</v>
      </c>
      <c r="I46" s="408">
        <f t="shared" si="25"/>
        <v>0</v>
      </c>
      <c r="J46" s="408">
        <f t="shared" si="25"/>
        <v>0</v>
      </c>
      <c r="K46" s="408"/>
      <c r="L46" s="408"/>
      <c r="M46" s="408">
        <f t="shared" si="26"/>
        <v>0</v>
      </c>
      <c r="N46" s="408">
        <f t="shared" si="26"/>
        <v>0</v>
      </c>
      <c r="O46" s="408">
        <f t="shared" si="26"/>
        <v>0</v>
      </c>
      <c r="P46" s="408">
        <f t="shared" si="26"/>
        <v>0</v>
      </c>
      <c r="Q46" s="408">
        <f t="shared" si="26"/>
        <v>0</v>
      </c>
      <c r="R46" s="408">
        <f t="shared" si="26"/>
        <v>0</v>
      </c>
      <c r="S46" s="408">
        <f t="shared" si="26"/>
        <v>0</v>
      </c>
      <c r="T46" s="408">
        <f t="shared" si="26"/>
        <v>0</v>
      </c>
      <c r="U46" s="408">
        <f t="shared" si="26"/>
        <v>0</v>
      </c>
      <c r="V46" s="408">
        <f t="shared" si="26"/>
        <v>0</v>
      </c>
      <c r="W46" s="408">
        <f t="shared" si="26"/>
        <v>0</v>
      </c>
      <c r="X46" s="408">
        <f t="shared" si="26"/>
        <v>0</v>
      </c>
      <c r="Y46" s="408">
        <f t="shared" si="26"/>
        <v>0</v>
      </c>
      <c r="Z46" s="408">
        <f t="shared" si="26"/>
        <v>0</v>
      </c>
      <c r="AA46" s="408">
        <f t="shared" si="26"/>
        <v>0</v>
      </c>
      <c r="AB46" s="408">
        <f t="shared" si="26"/>
        <v>0</v>
      </c>
      <c r="AD46" s="359"/>
      <c r="AE46" s="371">
        <f t="shared" si="33"/>
        <v>0</v>
      </c>
      <c r="AF46" s="371">
        <f t="shared" si="33"/>
        <v>0</v>
      </c>
      <c r="AG46" s="371">
        <f t="shared" si="33"/>
        <v>0</v>
      </c>
      <c r="AH46" s="371">
        <f t="shared" si="33"/>
        <v>0</v>
      </c>
      <c r="AI46" s="371">
        <f t="shared" si="33"/>
        <v>0</v>
      </c>
      <c r="AJ46" s="371">
        <f t="shared" si="33"/>
        <v>0</v>
      </c>
      <c r="AK46" s="371">
        <f t="shared" si="33"/>
        <v>0</v>
      </c>
      <c r="AL46" s="371">
        <f t="shared" si="33"/>
        <v>0</v>
      </c>
      <c r="AM46" s="371">
        <f t="shared" si="33"/>
        <v>0</v>
      </c>
      <c r="AN46" s="371">
        <f t="shared" si="33"/>
        <v>0</v>
      </c>
      <c r="AO46" s="371">
        <f t="shared" si="34"/>
        <v>0</v>
      </c>
      <c r="AP46" s="371">
        <f t="shared" si="34"/>
        <v>0</v>
      </c>
      <c r="AQ46" s="371">
        <f t="shared" si="34"/>
        <v>0</v>
      </c>
      <c r="AR46" s="371">
        <f t="shared" si="34"/>
        <v>0</v>
      </c>
      <c r="AS46" s="371">
        <f t="shared" si="34"/>
        <v>0</v>
      </c>
      <c r="AT46" s="371">
        <f t="shared" si="34"/>
        <v>0</v>
      </c>
      <c r="AU46" s="371">
        <f t="shared" si="34"/>
        <v>0</v>
      </c>
      <c r="AV46" s="371">
        <f t="shared" si="34"/>
        <v>0</v>
      </c>
      <c r="AW46" s="371">
        <f t="shared" si="34"/>
        <v>0</v>
      </c>
      <c r="AX46" s="371">
        <f t="shared" si="34"/>
        <v>0</v>
      </c>
      <c r="AY46" s="371">
        <f t="shared" si="35"/>
        <v>0</v>
      </c>
      <c r="AZ46" s="371">
        <f t="shared" si="35"/>
        <v>0</v>
      </c>
      <c r="BA46" s="371">
        <f t="shared" si="35"/>
        <v>0</v>
      </c>
      <c r="BB46" s="371">
        <f t="shared" si="35"/>
        <v>0</v>
      </c>
      <c r="BC46" s="371">
        <f t="shared" si="35"/>
        <v>0</v>
      </c>
      <c r="BD46" s="371">
        <f t="shared" si="35"/>
        <v>0</v>
      </c>
      <c r="BE46" s="371">
        <f t="shared" si="35"/>
        <v>0</v>
      </c>
      <c r="BF46" s="371">
        <f t="shared" si="35"/>
        <v>0</v>
      </c>
      <c r="BG46" s="371">
        <f t="shared" si="35"/>
        <v>0</v>
      </c>
      <c r="BH46" s="371">
        <f t="shared" si="35"/>
        <v>0</v>
      </c>
      <c r="BI46" s="371">
        <f t="shared" si="36"/>
        <v>0</v>
      </c>
      <c r="BJ46" s="371">
        <f t="shared" si="36"/>
        <v>0</v>
      </c>
      <c r="BK46" s="371">
        <f t="shared" si="36"/>
        <v>0</v>
      </c>
      <c r="BL46" s="371">
        <f t="shared" si="36"/>
        <v>0</v>
      </c>
      <c r="BM46" s="371">
        <f t="shared" si="36"/>
        <v>0</v>
      </c>
      <c r="BN46" s="371">
        <f t="shared" si="36"/>
        <v>0</v>
      </c>
      <c r="BO46" s="371">
        <f t="shared" si="36"/>
        <v>0</v>
      </c>
      <c r="BP46" s="371">
        <f t="shared" si="36"/>
        <v>0</v>
      </c>
      <c r="BQ46" s="371">
        <f t="shared" si="36"/>
        <v>0</v>
      </c>
      <c r="BR46" s="371">
        <f t="shared" si="36"/>
        <v>0</v>
      </c>
      <c r="BS46" s="371">
        <f t="shared" si="37"/>
        <v>0</v>
      </c>
      <c r="BT46" s="371">
        <f t="shared" si="37"/>
        <v>0</v>
      </c>
      <c r="BU46" s="371">
        <f t="shared" si="37"/>
        <v>0</v>
      </c>
      <c r="BV46" s="371">
        <f t="shared" si="37"/>
        <v>0</v>
      </c>
      <c r="BW46" s="371">
        <f t="shared" si="37"/>
        <v>0</v>
      </c>
      <c r="BX46" s="371">
        <f t="shared" si="37"/>
        <v>0</v>
      </c>
      <c r="BY46" s="371">
        <f t="shared" si="37"/>
        <v>0</v>
      </c>
      <c r="BZ46" s="371">
        <f t="shared" si="37"/>
        <v>0</v>
      </c>
    </row>
    <row r="47" spans="2:78" ht="21" hidden="1" customHeight="1" outlineLevel="3">
      <c r="B47" s="367"/>
      <c r="C47" s="370"/>
      <c r="D47" s="374">
        <f t="shared" si="32"/>
        <v>45322</v>
      </c>
      <c r="E47" s="373" cm="1">
        <f t="array" ref="E47">IF($D47=LatestMonthOfActuals,INDEX($AE$25:$BZ$25,0,MATCH($D47,$AE$8:$BZ$8,0)),0)</f>
        <v>0</v>
      </c>
      <c r="F47" s="359"/>
      <c r="G47" s="408">
        <f t="shared" si="25"/>
        <v>0</v>
      </c>
      <c r="H47" s="408">
        <f t="shared" si="25"/>
        <v>0</v>
      </c>
      <c r="I47" s="408">
        <f t="shared" si="25"/>
        <v>0</v>
      </c>
      <c r="J47" s="408">
        <f t="shared" si="25"/>
        <v>0</v>
      </c>
      <c r="K47" s="408"/>
      <c r="L47" s="408"/>
      <c r="M47" s="408">
        <f t="shared" si="26"/>
        <v>0</v>
      </c>
      <c r="N47" s="408">
        <f t="shared" si="26"/>
        <v>0</v>
      </c>
      <c r="O47" s="408">
        <f t="shared" si="26"/>
        <v>0</v>
      </c>
      <c r="P47" s="408">
        <f t="shared" si="26"/>
        <v>0</v>
      </c>
      <c r="Q47" s="408">
        <f t="shared" si="26"/>
        <v>0</v>
      </c>
      <c r="R47" s="408">
        <f t="shared" si="26"/>
        <v>0</v>
      </c>
      <c r="S47" s="408">
        <f t="shared" si="26"/>
        <v>0</v>
      </c>
      <c r="T47" s="408">
        <f t="shared" si="26"/>
        <v>0</v>
      </c>
      <c r="U47" s="408">
        <f t="shared" si="26"/>
        <v>0</v>
      </c>
      <c r="V47" s="408">
        <f t="shared" si="26"/>
        <v>0</v>
      </c>
      <c r="W47" s="408">
        <f t="shared" si="26"/>
        <v>0</v>
      </c>
      <c r="X47" s="408">
        <f t="shared" si="26"/>
        <v>0</v>
      </c>
      <c r="Y47" s="408">
        <f t="shared" si="26"/>
        <v>0</v>
      </c>
      <c r="Z47" s="408">
        <f t="shared" si="26"/>
        <v>0</v>
      </c>
      <c r="AA47" s="408">
        <f t="shared" si="26"/>
        <v>0</v>
      </c>
      <c r="AB47" s="408">
        <f t="shared" si="26"/>
        <v>0</v>
      </c>
      <c r="AD47" s="359"/>
      <c r="AE47" s="371">
        <f t="shared" si="33"/>
        <v>0</v>
      </c>
      <c r="AF47" s="371">
        <f t="shared" si="33"/>
        <v>0</v>
      </c>
      <c r="AG47" s="371">
        <f t="shared" si="33"/>
        <v>0</v>
      </c>
      <c r="AH47" s="371">
        <f t="shared" si="33"/>
        <v>0</v>
      </c>
      <c r="AI47" s="371">
        <f t="shared" si="33"/>
        <v>0</v>
      </c>
      <c r="AJ47" s="371">
        <f t="shared" si="33"/>
        <v>0</v>
      </c>
      <c r="AK47" s="371">
        <f t="shared" si="33"/>
        <v>0</v>
      </c>
      <c r="AL47" s="371">
        <f t="shared" si="33"/>
        <v>0</v>
      </c>
      <c r="AM47" s="371">
        <f t="shared" si="33"/>
        <v>0</v>
      </c>
      <c r="AN47" s="371">
        <f t="shared" si="33"/>
        <v>0</v>
      </c>
      <c r="AO47" s="371">
        <f t="shared" si="34"/>
        <v>0</v>
      </c>
      <c r="AP47" s="371">
        <f t="shared" si="34"/>
        <v>0</v>
      </c>
      <c r="AQ47" s="371">
        <f t="shared" si="34"/>
        <v>0</v>
      </c>
      <c r="AR47" s="371">
        <f t="shared" si="34"/>
        <v>0</v>
      </c>
      <c r="AS47" s="371">
        <f t="shared" si="34"/>
        <v>0</v>
      </c>
      <c r="AT47" s="371">
        <f t="shared" si="34"/>
        <v>0</v>
      </c>
      <c r="AU47" s="371">
        <f t="shared" si="34"/>
        <v>0</v>
      </c>
      <c r="AV47" s="371">
        <f t="shared" si="34"/>
        <v>0</v>
      </c>
      <c r="AW47" s="371">
        <f t="shared" si="34"/>
        <v>0</v>
      </c>
      <c r="AX47" s="371">
        <f t="shared" si="34"/>
        <v>0</v>
      </c>
      <c r="AY47" s="371">
        <f t="shared" si="35"/>
        <v>0</v>
      </c>
      <c r="AZ47" s="371">
        <f t="shared" si="35"/>
        <v>0</v>
      </c>
      <c r="BA47" s="371">
        <f t="shared" si="35"/>
        <v>0</v>
      </c>
      <c r="BB47" s="371">
        <f t="shared" si="35"/>
        <v>0</v>
      </c>
      <c r="BC47" s="371">
        <f t="shared" si="35"/>
        <v>0</v>
      </c>
      <c r="BD47" s="371">
        <f t="shared" si="35"/>
        <v>0</v>
      </c>
      <c r="BE47" s="371">
        <f t="shared" si="35"/>
        <v>0</v>
      </c>
      <c r="BF47" s="371">
        <f t="shared" si="35"/>
        <v>0</v>
      </c>
      <c r="BG47" s="371">
        <f t="shared" si="35"/>
        <v>0</v>
      </c>
      <c r="BH47" s="371">
        <f t="shared" si="35"/>
        <v>0</v>
      </c>
      <c r="BI47" s="371">
        <f t="shared" si="36"/>
        <v>0</v>
      </c>
      <c r="BJ47" s="371">
        <f t="shared" si="36"/>
        <v>0</v>
      </c>
      <c r="BK47" s="371">
        <f t="shared" si="36"/>
        <v>0</v>
      </c>
      <c r="BL47" s="371">
        <f t="shared" si="36"/>
        <v>0</v>
      </c>
      <c r="BM47" s="371">
        <f t="shared" si="36"/>
        <v>0</v>
      </c>
      <c r="BN47" s="371">
        <f t="shared" si="36"/>
        <v>0</v>
      </c>
      <c r="BO47" s="371">
        <f t="shared" si="36"/>
        <v>0</v>
      </c>
      <c r="BP47" s="371">
        <f t="shared" si="36"/>
        <v>0</v>
      </c>
      <c r="BQ47" s="371">
        <f t="shared" si="36"/>
        <v>0</v>
      </c>
      <c r="BR47" s="371">
        <f t="shared" si="36"/>
        <v>0</v>
      </c>
      <c r="BS47" s="371">
        <f t="shared" si="37"/>
        <v>0</v>
      </c>
      <c r="BT47" s="371">
        <f t="shared" si="37"/>
        <v>0</v>
      </c>
      <c r="BU47" s="371">
        <f t="shared" si="37"/>
        <v>0</v>
      </c>
      <c r="BV47" s="371">
        <f t="shared" si="37"/>
        <v>0</v>
      </c>
      <c r="BW47" s="371">
        <f t="shared" si="37"/>
        <v>0</v>
      </c>
      <c r="BX47" s="371">
        <f t="shared" si="37"/>
        <v>0</v>
      </c>
      <c r="BY47" s="371">
        <f t="shared" si="37"/>
        <v>0</v>
      </c>
      <c r="BZ47" s="371">
        <f t="shared" si="37"/>
        <v>0</v>
      </c>
    </row>
    <row r="48" spans="2:78" ht="21" hidden="1" customHeight="1" outlineLevel="3">
      <c r="B48" s="367"/>
      <c r="C48" s="370"/>
      <c r="D48" s="374">
        <f t="shared" si="32"/>
        <v>45351</v>
      </c>
      <c r="E48" s="373" cm="1">
        <f t="array" ref="E48">IF($D48=LatestMonthOfActuals,INDEX($AE$25:$BZ$25,0,MATCH($D48,$AE$8:$BZ$8,0)),0)</f>
        <v>0</v>
      </c>
      <c r="F48" s="359"/>
      <c r="G48" s="408">
        <f t="shared" si="25"/>
        <v>0</v>
      </c>
      <c r="H48" s="408">
        <f t="shared" si="25"/>
        <v>0</v>
      </c>
      <c r="I48" s="408">
        <f t="shared" si="25"/>
        <v>0</v>
      </c>
      <c r="J48" s="408">
        <f t="shared" si="25"/>
        <v>0</v>
      </c>
      <c r="K48" s="408"/>
      <c r="L48" s="408"/>
      <c r="M48" s="408">
        <f t="shared" si="26"/>
        <v>0</v>
      </c>
      <c r="N48" s="408">
        <f t="shared" si="26"/>
        <v>0</v>
      </c>
      <c r="O48" s="408">
        <f t="shared" si="26"/>
        <v>0</v>
      </c>
      <c r="P48" s="408">
        <f t="shared" si="26"/>
        <v>0</v>
      </c>
      <c r="Q48" s="408">
        <f t="shared" si="26"/>
        <v>0</v>
      </c>
      <c r="R48" s="408">
        <f t="shared" si="26"/>
        <v>0</v>
      </c>
      <c r="S48" s="408">
        <f t="shared" si="26"/>
        <v>0</v>
      </c>
      <c r="T48" s="408">
        <f t="shared" si="26"/>
        <v>0</v>
      </c>
      <c r="U48" s="408">
        <f t="shared" si="26"/>
        <v>0</v>
      </c>
      <c r="V48" s="408">
        <f t="shared" si="26"/>
        <v>0</v>
      </c>
      <c r="W48" s="408">
        <f t="shared" si="26"/>
        <v>0</v>
      </c>
      <c r="X48" s="408">
        <f t="shared" si="26"/>
        <v>0</v>
      </c>
      <c r="Y48" s="408">
        <f t="shared" si="26"/>
        <v>0</v>
      </c>
      <c r="Z48" s="408">
        <f t="shared" si="26"/>
        <v>0</v>
      </c>
      <c r="AA48" s="408">
        <f t="shared" si="26"/>
        <v>0</v>
      </c>
      <c r="AB48" s="408">
        <f t="shared" si="26"/>
        <v>0</v>
      </c>
      <c r="AD48" s="359"/>
      <c r="AE48" s="371">
        <f t="shared" si="33"/>
        <v>0</v>
      </c>
      <c r="AF48" s="371">
        <f t="shared" si="33"/>
        <v>0</v>
      </c>
      <c r="AG48" s="371">
        <f t="shared" si="33"/>
        <v>0</v>
      </c>
      <c r="AH48" s="371">
        <f t="shared" si="33"/>
        <v>0</v>
      </c>
      <c r="AI48" s="371">
        <f t="shared" si="33"/>
        <v>0</v>
      </c>
      <c r="AJ48" s="371">
        <f t="shared" si="33"/>
        <v>0</v>
      </c>
      <c r="AK48" s="371">
        <f t="shared" si="33"/>
        <v>0</v>
      </c>
      <c r="AL48" s="371">
        <f t="shared" si="33"/>
        <v>0</v>
      </c>
      <c r="AM48" s="371">
        <f t="shared" si="33"/>
        <v>0</v>
      </c>
      <c r="AN48" s="371">
        <f t="shared" si="33"/>
        <v>0</v>
      </c>
      <c r="AO48" s="371">
        <f t="shared" si="34"/>
        <v>0</v>
      </c>
      <c r="AP48" s="371">
        <f t="shared" si="34"/>
        <v>0</v>
      </c>
      <c r="AQ48" s="371">
        <f t="shared" si="34"/>
        <v>0</v>
      </c>
      <c r="AR48" s="371">
        <f t="shared" si="34"/>
        <v>0</v>
      </c>
      <c r="AS48" s="371">
        <f t="shared" si="34"/>
        <v>0</v>
      </c>
      <c r="AT48" s="371">
        <f t="shared" si="34"/>
        <v>0</v>
      </c>
      <c r="AU48" s="371">
        <f t="shared" si="34"/>
        <v>0</v>
      </c>
      <c r="AV48" s="371">
        <f t="shared" si="34"/>
        <v>0</v>
      </c>
      <c r="AW48" s="371">
        <f t="shared" si="34"/>
        <v>0</v>
      </c>
      <c r="AX48" s="371">
        <f t="shared" si="34"/>
        <v>0</v>
      </c>
      <c r="AY48" s="371">
        <f t="shared" si="35"/>
        <v>0</v>
      </c>
      <c r="AZ48" s="371">
        <f t="shared" si="35"/>
        <v>0</v>
      </c>
      <c r="BA48" s="371">
        <f t="shared" si="35"/>
        <v>0</v>
      </c>
      <c r="BB48" s="371">
        <f t="shared" si="35"/>
        <v>0</v>
      </c>
      <c r="BC48" s="371">
        <f t="shared" si="35"/>
        <v>0</v>
      </c>
      <c r="BD48" s="371">
        <f t="shared" si="35"/>
        <v>0</v>
      </c>
      <c r="BE48" s="371">
        <f t="shared" si="35"/>
        <v>0</v>
      </c>
      <c r="BF48" s="371">
        <f t="shared" si="35"/>
        <v>0</v>
      </c>
      <c r="BG48" s="371">
        <f t="shared" si="35"/>
        <v>0</v>
      </c>
      <c r="BH48" s="371">
        <f t="shared" si="35"/>
        <v>0</v>
      </c>
      <c r="BI48" s="371">
        <f t="shared" si="36"/>
        <v>0</v>
      </c>
      <c r="BJ48" s="371">
        <f t="shared" si="36"/>
        <v>0</v>
      </c>
      <c r="BK48" s="371">
        <f t="shared" si="36"/>
        <v>0</v>
      </c>
      <c r="BL48" s="371">
        <f t="shared" si="36"/>
        <v>0</v>
      </c>
      <c r="BM48" s="371">
        <f t="shared" si="36"/>
        <v>0</v>
      </c>
      <c r="BN48" s="371">
        <f t="shared" si="36"/>
        <v>0</v>
      </c>
      <c r="BO48" s="371">
        <f t="shared" si="36"/>
        <v>0</v>
      </c>
      <c r="BP48" s="371">
        <f t="shared" si="36"/>
        <v>0</v>
      </c>
      <c r="BQ48" s="371">
        <f t="shared" si="36"/>
        <v>0</v>
      </c>
      <c r="BR48" s="371">
        <f t="shared" si="36"/>
        <v>0</v>
      </c>
      <c r="BS48" s="371">
        <f t="shared" si="37"/>
        <v>0</v>
      </c>
      <c r="BT48" s="371">
        <f t="shared" si="37"/>
        <v>0</v>
      </c>
      <c r="BU48" s="371">
        <f t="shared" si="37"/>
        <v>0</v>
      </c>
      <c r="BV48" s="371">
        <f t="shared" si="37"/>
        <v>0</v>
      </c>
      <c r="BW48" s="371">
        <f t="shared" si="37"/>
        <v>0</v>
      </c>
      <c r="BX48" s="371">
        <f t="shared" si="37"/>
        <v>0</v>
      </c>
      <c r="BY48" s="371">
        <f t="shared" si="37"/>
        <v>0</v>
      </c>
      <c r="BZ48" s="371">
        <f t="shared" si="37"/>
        <v>0</v>
      </c>
    </row>
    <row r="49" spans="2:78" ht="21" hidden="1" customHeight="1" outlineLevel="3">
      <c r="B49" s="367"/>
      <c r="C49" s="370"/>
      <c r="D49" s="374">
        <f t="shared" si="32"/>
        <v>45382</v>
      </c>
      <c r="E49" s="373" cm="1">
        <f t="array" ref="E49">IF($D49=LatestMonthOfActuals,INDEX($AE$25:$BZ$25,0,MATCH($D49,$AE$8:$BZ$8,0)),0)</f>
        <v>0</v>
      </c>
      <c r="F49" s="359"/>
      <c r="G49" s="408">
        <f t="shared" si="25"/>
        <v>0</v>
      </c>
      <c r="H49" s="408">
        <f t="shared" si="25"/>
        <v>0</v>
      </c>
      <c r="I49" s="408">
        <f t="shared" si="25"/>
        <v>0</v>
      </c>
      <c r="J49" s="408">
        <f t="shared" si="25"/>
        <v>0</v>
      </c>
      <c r="K49" s="408"/>
      <c r="L49" s="408"/>
      <c r="M49" s="408">
        <f t="shared" si="26"/>
        <v>0</v>
      </c>
      <c r="N49" s="408">
        <f t="shared" si="26"/>
        <v>0</v>
      </c>
      <c r="O49" s="408">
        <f t="shared" si="26"/>
        <v>0</v>
      </c>
      <c r="P49" s="408">
        <f t="shared" si="26"/>
        <v>0</v>
      </c>
      <c r="Q49" s="408">
        <f t="shared" si="26"/>
        <v>0</v>
      </c>
      <c r="R49" s="408">
        <f t="shared" si="26"/>
        <v>0</v>
      </c>
      <c r="S49" s="408">
        <f t="shared" si="26"/>
        <v>0</v>
      </c>
      <c r="T49" s="408">
        <f t="shared" si="26"/>
        <v>0</v>
      </c>
      <c r="U49" s="408">
        <f t="shared" si="26"/>
        <v>0</v>
      </c>
      <c r="V49" s="408">
        <f t="shared" si="26"/>
        <v>0</v>
      </c>
      <c r="W49" s="408">
        <f t="shared" si="26"/>
        <v>0</v>
      </c>
      <c r="X49" s="408">
        <f t="shared" si="26"/>
        <v>0</v>
      </c>
      <c r="Y49" s="408">
        <f t="shared" si="26"/>
        <v>0</v>
      </c>
      <c r="Z49" s="408">
        <f t="shared" si="26"/>
        <v>0</v>
      </c>
      <c r="AA49" s="408">
        <f t="shared" si="26"/>
        <v>0</v>
      </c>
      <c r="AB49" s="408">
        <f t="shared" si="26"/>
        <v>0</v>
      </c>
      <c r="AD49" s="359"/>
      <c r="AE49" s="371">
        <f t="shared" si="33"/>
        <v>0</v>
      </c>
      <c r="AF49" s="371">
        <f t="shared" si="33"/>
        <v>0</v>
      </c>
      <c r="AG49" s="371">
        <f t="shared" si="33"/>
        <v>0</v>
      </c>
      <c r="AH49" s="371">
        <f t="shared" si="33"/>
        <v>0</v>
      </c>
      <c r="AI49" s="371">
        <f t="shared" si="33"/>
        <v>0</v>
      </c>
      <c r="AJ49" s="371">
        <f t="shared" si="33"/>
        <v>0</v>
      </c>
      <c r="AK49" s="371">
        <f t="shared" si="33"/>
        <v>0</v>
      </c>
      <c r="AL49" s="371">
        <f t="shared" si="33"/>
        <v>0</v>
      </c>
      <c r="AM49" s="371">
        <f t="shared" si="33"/>
        <v>0</v>
      </c>
      <c r="AN49" s="371">
        <f t="shared" si="33"/>
        <v>0</v>
      </c>
      <c r="AO49" s="371">
        <f t="shared" si="34"/>
        <v>0</v>
      </c>
      <c r="AP49" s="371">
        <f t="shared" si="34"/>
        <v>0</v>
      </c>
      <c r="AQ49" s="371">
        <f t="shared" si="34"/>
        <v>0</v>
      </c>
      <c r="AR49" s="371">
        <f t="shared" si="34"/>
        <v>0</v>
      </c>
      <c r="AS49" s="371">
        <f t="shared" si="34"/>
        <v>0</v>
      </c>
      <c r="AT49" s="371">
        <f t="shared" si="34"/>
        <v>0</v>
      </c>
      <c r="AU49" s="371">
        <f t="shared" si="34"/>
        <v>0</v>
      </c>
      <c r="AV49" s="371">
        <f t="shared" si="34"/>
        <v>0</v>
      </c>
      <c r="AW49" s="371">
        <f t="shared" si="34"/>
        <v>0</v>
      </c>
      <c r="AX49" s="371">
        <f t="shared" si="34"/>
        <v>0</v>
      </c>
      <c r="AY49" s="371">
        <f t="shared" si="35"/>
        <v>0</v>
      </c>
      <c r="AZ49" s="371">
        <f t="shared" si="35"/>
        <v>0</v>
      </c>
      <c r="BA49" s="371">
        <f t="shared" si="35"/>
        <v>0</v>
      </c>
      <c r="BB49" s="371">
        <f t="shared" si="35"/>
        <v>0</v>
      </c>
      <c r="BC49" s="371">
        <f t="shared" si="35"/>
        <v>0</v>
      </c>
      <c r="BD49" s="371">
        <f t="shared" si="35"/>
        <v>0</v>
      </c>
      <c r="BE49" s="371">
        <f t="shared" si="35"/>
        <v>0</v>
      </c>
      <c r="BF49" s="371">
        <f t="shared" si="35"/>
        <v>0</v>
      </c>
      <c r="BG49" s="371">
        <f t="shared" si="35"/>
        <v>0</v>
      </c>
      <c r="BH49" s="371">
        <f t="shared" si="35"/>
        <v>0</v>
      </c>
      <c r="BI49" s="371">
        <f t="shared" si="36"/>
        <v>0</v>
      </c>
      <c r="BJ49" s="371">
        <f t="shared" si="36"/>
        <v>0</v>
      </c>
      <c r="BK49" s="371">
        <f t="shared" si="36"/>
        <v>0</v>
      </c>
      <c r="BL49" s="371">
        <f t="shared" si="36"/>
        <v>0</v>
      </c>
      <c r="BM49" s="371">
        <f t="shared" si="36"/>
        <v>0</v>
      </c>
      <c r="BN49" s="371">
        <f t="shared" si="36"/>
        <v>0</v>
      </c>
      <c r="BO49" s="371">
        <f t="shared" si="36"/>
        <v>0</v>
      </c>
      <c r="BP49" s="371">
        <f t="shared" si="36"/>
        <v>0</v>
      </c>
      <c r="BQ49" s="371">
        <f t="shared" si="36"/>
        <v>0</v>
      </c>
      <c r="BR49" s="371">
        <f t="shared" si="36"/>
        <v>0</v>
      </c>
      <c r="BS49" s="371">
        <f t="shared" si="37"/>
        <v>0</v>
      </c>
      <c r="BT49" s="371">
        <f t="shared" si="37"/>
        <v>0</v>
      </c>
      <c r="BU49" s="371">
        <f t="shared" si="37"/>
        <v>0</v>
      </c>
      <c r="BV49" s="371">
        <f t="shared" si="37"/>
        <v>0</v>
      </c>
      <c r="BW49" s="371">
        <f t="shared" si="37"/>
        <v>0</v>
      </c>
      <c r="BX49" s="371">
        <f t="shared" si="37"/>
        <v>0</v>
      </c>
      <c r="BY49" s="371">
        <f t="shared" si="37"/>
        <v>0</v>
      </c>
      <c r="BZ49" s="371">
        <f t="shared" si="37"/>
        <v>0</v>
      </c>
    </row>
    <row r="50" spans="2:78" ht="21" hidden="1" customHeight="1" outlineLevel="3">
      <c r="B50" s="367"/>
      <c r="C50" s="370"/>
      <c r="D50" s="374">
        <f t="shared" si="32"/>
        <v>45412</v>
      </c>
      <c r="E50" s="373" cm="1">
        <f t="array" ref="E50">IF($D50=LatestMonthOfActuals,INDEX($AE$25:$BZ$25,0,MATCH($D50,$AE$8:$BZ$8,0)),0)</f>
        <v>0</v>
      </c>
      <c r="F50" s="359"/>
      <c r="G50" s="408">
        <f t="shared" si="25"/>
        <v>0</v>
      </c>
      <c r="H50" s="408">
        <f t="shared" si="25"/>
        <v>0</v>
      </c>
      <c r="I50" s="408">
        <f t="shared" si="25"/>
        <v>0</v>
      </c>
      <c r="J50" s="408">
        <f t="shared" si="25"/>
        <v>0</v>
      </c>
      <c r="K50" s="408"/>
      <c r="L50" s="408"/>
      <c r="M50" s="408">
        <f t="shared" si="26"/>
        <v>0</v>
      </c>
      <c r="N50" s="408">
        <f t="shared" si="26"/>
        <v>0</v>
      </c>
      <c r="O50" s="408">
        <f t="shared" si="26"/>
        <v>0</v>
      </c>
      <c r="P50" s="408">
        <f t="shared" si="26"/>
        <v>0</v>
      </c>
      <c r="Q50" s="408">
        <f t="shared" si="26"/>
        <v>0</v>
      </c>
      <c r="R50" s="408">
        <f t="shared" si="26"/>
        <v>0</v>
      </c>
      <c r="S50" s="408">
        <f t="shared" si="26"/>
        <v>0</v>
      </c>
      <c r="T50" s="408">
        <f t="shared" si="26"/>
        <v>0</v>
      </c>
      <c r="U50" s="408">
        <f t="shared" si="26"/>
        <v>0</v>
      </c>
      <c r="V50" s="408">
        <f t="shared" si="26"/>
        <v>0</v>
      </c>
      <c r="W50" s="408">
        <f t="shared" si="26"/>
        <v>0</v>
      </c>
      <c r="X50" s="408">
        <f t="shared" si="26"/>
        <v>0</v>
      </c>
      <c r="Y50" s="408">
        <f t="shared" si="26"/>
        <v>0</v>
      </c>
      <c r="Z50" s="408">
        <f t="shared" si="26"/>
        <v>0</v>
      </c>
      <c r="AA50" s="408">
        <f t="shared" si="26"/>
        <v>0</v>
      </c>
      <c r="AB50" s="408">
        <f t="shared" ref="N50:AB67" si="38">SUMIFS($AE50:$BZ50,$AE$5:$BZ$5,"&gt;="&amp;AB$4,$AE$5:$BZ$5,"&lt;="&amp;AB$5)</f>
        <v>0</v>
      </c>
      <c r="AD50" s="359"/>
      <c r="AE50" s="371">
        <f t="shared" si="33"/>
        <v>0</v>
      </c>
      <c r="AF50" s="371">
        <f t="shared" si="33"/>
        <v>0</v>
      </c>
      <c r="AG50" s="371">
        <f t="shared" si="33"/>
        <v>0</v>
      </c>
      <c r="AH50" s="371">
        <f t="shared" si="33"/>
        <v>0</v>
      </c>
      <c r="AI50" s="371">
        <f t="shared" si="33"/>
        <v>0</v>
      </c>
      <c r="AJ50" s="371">
        <f t="shared" si="33"/>
        <v>0</v>
      </c>
      <c r="AK50" s="371">
        <f t="shared" si="33"/>
        <v>0</v>
      </c>
      <c r="AL50" s="371">
        <f t="shared" si="33"/>
        <v>0</v>
      </c>
      <c r="AM50" s="371">
        <f t="shared" si="33"/>
        <v>0</v>
      </c>
      <c r="AN50" s="371">
        <f t="shared" si="33"/>
        <v>0</v>
      </c>
      <c r="AO50" s="371">
        <f t="shared" si="34"/>
        <v>0</v>
      </c>
      <c r="AP50" s="371">
        <f t="shared" si="34"/>
        <v>0</v>
      </c>
      <c r="AQ50" s="371">
        <f t="shared" si="34"/>
        <v>0</v>
      </c>
      <c r="AR50" s="371">
        <f t="shared" si="34"/>
        <v>0</v>
      </c>
      <c r="AS50" s="371">
        <f t="shared" si="34"/>
        <v>0</v>
      </c>
      <c r="AT50" s="371">
        <f t="shared" si="34"/>
        <v>0</v>
      </c>
      <c r="AU50" s="371">
        <f t="shared" si="34"/>
        <v>0</v>
      </c>
      <c r="AV50" s="371">
        <f t="shared" si="34"/>
        <v>0</v>
      </c>
      <c r="AW50" s="371">
        <f t="shared" si="34"/>
        <v>0</v>
      </c>
      <c r="AX50" s="371">
        <f t="shared" si="34"/>
        <v>0</v>
      </c>
      <c r="AY50" s="371">
        <f t="shared" si="35"/>
        <v>0</v>
      </c>
      <c r="AZ50" s="371">
        <f t="shared" si="35"/>
        <v>0</v>
      </c>
      <c r="BA50" s="371">
        <f t="shared" si="35"/>
        <v>0</v>
      </c>
      <c r="BB50" s="371">
        <f t="shared" si="35"/>
        <v>0</v>
      </c>
      <c r="BC50" s="371">
        <f t="shared" si="35"/>
        <v>0</v>
      </c>
      <c r="BD50" s="371">
        <f t="shared" si="35"/>
        <v>0</v>
      </c>
      <c r="BE50" s="371">
        <f t="shared" si="35"/>
        <v>0</v>
      </c>
      <c r="BF50" s="371">
        <f t="shared" si="35"/>
        <v>0</v>
      </c>
      <c r="BG50" s="371">
        <f t="shared" si="35"/>
        <v>0</v>
      </c>
      <c r="BH50" s="371">
        <f t="shared" si="35"/>
        <v>0</v>
      </c>
      <c r="BI50" s="371">
        <f t="shared" si="36"/>
        <v>0</v>
      </c>
      <c r="BJ50" s="371">
        <f t="shared" si="36"/>
        <v>0</v>
      </c>
      <c r="BK50" s="371">
        <f t="shared" si="36"/>
        <v>0</v>
      </c>
      <c r="BL50" s="371">
        <f t="shared" si="36"/>
        <v>0</v>
      </c>
      <c r="BM50" s="371">
        <f t="shared" si="36"/>
        <v>0</v>
      </c>
      <c r="BN50" s="371">
        <f t="shared" si="36"/>
        <v>0</v>
      </c>
      <c r="BO50" s="371">
        <f t="shared" si="36"/>
        <v>0</v>
      </c>
      <c r="BP50" s="371">
        <f t="shared" si="36"/>
        <v>0</v>
      </c>
      <c r="BQ50" s="371">
        <f t="shared" si="36"/>
        <v>0</v>
      </c>
      <c r="BR50" s="371">
        <f t="shared" si="36"/>
        <v>0</v>
      </c>
      <c r="BS50" s="371">
        <f t="shared" si="37"/>
        <v>0</v>
      </c>
      <c r="BT50" s="371">
        <f t="shared" si="37"/>
        <v>0</v>
      </c>
      <c r="BU50" s="371">
        <f t="shared" si="37"/>
        <v>0</v>
      </c>
      <c r="BV50" s="371">
        <f t="shared" si="37"/>
        <v>0</v>
      </c>
      <c r="BW50" s="371">
        <f t="shared" si="37"/>
        <v>0</v>
      </c>
      <c r="BX50" s="371">
        <f t="shared" si="37"/>
        <v>0</v>
      </c>
      <c r="BY50" s="371">
        <f t="shared" si="37"/>
        <v>0</v>
      </c>
      <c r="BZ50" s="371">
        <f t="shared" si="37"/>
        <v>0</v>
      </c>
    </row>
    <row r="51" spans="2:78" ht="21" hidden="1" customHeight="1" outlineLevel="3">
      <c r="B51" s="367"/>
      <c r="C51" s="370"/>
      <c r="D51" s="374">
        <f t="shared" si="32"/>
        <v>45443</v>
      </c>
      <c r="E51" s="373" cm="1">
        <f t="array" ref="E51">IF($D51=LatestMonthOfActuals,INDEX($AE$25:$BZ$25,0,MATCH($D51,$AE$8:$BZ$8,0)),0)</f>
        <v>0</v>
      </c>
      <c r="F51" s="359"/>
      <c r="G51" s="408">
        <f t="shared" si="25"/>
        <v>0</v>
      </c>
      <c r="H51" s="408">
        <f t="shared" si="25"/>
        <v>0</v>
      </c>
      <c r="I51" s="408">
        <f t="shared" si="25"/>
        <v>0</v>
      </c>
      <c r="J51" s="408">
        <f t="shared" si="25"/>
        <v>0</v>
      </c>
      <c r="K51" s="408"/>
      <c r="L51" s="408"/>
      <c r="M51" s="408">
        <f t="shared" ref="M51:M82" si="39">SUMIFS($AE51:$BZ51,$AE$5:$BZ$5,"&gt;="&amp;M$4,$AE$5:$BZ$5,"&lt;="&amp;M$5)</f>
        <v>0</v>
      </c>
      <c r="N51" s="408">
        <f t="shared" si="38"/>
        <v>0</v>
      </c>
      <c r="O51" s="408">
        <f t="shared" si="38"/>
        <v>0</v>
      </c>
      <c r="P51" s="408">
        <f t="shared" si="38"/>
        <v>0</v>
      </c>
      <c r="Q51" s="408">
        <f t="shared" si="38"/>
        <v>0</v>
      </c>
      <c r="R51" s="408">
        <f t="shared" si="38"/>
        <v>0</v>
      </c>
      <c r="S51" s="408">
        <f t="shared" si="38"/>
        <v>0</v>
      </c>
      <c r="T51" s="408">
        <f t="shared" si="38"/>
        <v>0</v>
      </c>
      <c r="U51" s="408">
        <f t="shared" si="38"/>
        <v>0</v>
      </c>
      <c r="V51" s="408">
        <f t="shared" si="38"/>
        <v>0</v>
      </c>
      <c r="W51" s="408">
        <f t="shared" si="38"/>
        <v>0</v>
      </c>
      <c r="X51" s="408">
        <f t="shared" si="38"/>
        <v>0</v>
      </c>
      <c r="Y51" s="408">
        <f t="shared" si="38"/>
        <v>0</v>
      </c>
      <c r="Z51" s="408">
        <f t="shared" si="38"/>
        <v>0</v>
      </c>
      <c r="AA51" s="408">
        <f t="shared" si="38"/>
        <v>0</v>
      </c>
      <c r="AB51" s="408">
        <f t="shared" si="38"/>
        <v>0</v>
      </c>
      <c r="AD51" s="359"/>
      <c r="AE51" s="371">
        <f t="shared" si="33"/>
        <v>0</v>
      </c>
      <c r="AF51" s="371">
        <f t="shared" si="33"/>
        <v>0</v>
      </c>
      <c r="AG51" s="371">
        <f t="shared" si="33"/>
        <v>0</v>
      </c>
      <c r="AH51" s="371">
        <f t="shared" si="33"/>
        <v>0</v>
      </c>
      <c r="AI51" s="371">
        <f t="shared" si="33"/>
        <v>0</v>
      </c>
      <c r="AJ51" s="371">
        <f t="shared" si="33"/>
        <v>0</v>
      </c>
      <c r="AK51" s="371">
        <f t="shared" si="33"/>
        <v>0</v>
      </c>
      <c r="AL51" s="371">
        <f t="shared" si="33"/>
        <v>0</v>
      </c>
      <c r="AM51" s="371">
        <f t="shared" si="33"/>
        <v>0</v>
      </c>
      <c r="AN51" s="371">
        <f t="shared" si="33"/>
        <v>0</v>
      </c>
      <c r="AO51" s="371">
        <f t="shared" si="34"/>
        <v>0</v>
      </c>
      <c r="AP51" s="371">
        <f t="shared" si="34"/>
        <v>0</v>
      </c>
      <c r="AQ51" s="371">
        <f t="shared" si="34"/>
        <v>0</v>
      </c>
      <c r="AR51" s="371">
        <f t="shared" si="34"/>
        <v>0</v>
      </c>
      <c r="AS51" s="371">
        <f t="shared" si="34"/>
        <v>0</v>
      </c>
      <c r="AT51" s="371">
        <f t="shared" si="34"/>
        <v>0</v>
      </c>
      <c r="AU51" s="371">
        <f t="shared" si="34"/>
        <v>0</v>
      </c>
      <c r="AV51" s="371">
        <f t="shared" si="34"/>
        <v>0</v>
      </c>
      <c r="AW51" s="371">
        <f t="shared" si="34"/>
        <v>0</v>
      </c>
      <c r="AX51" s="371">
        <f t="shared" si="34"/>
        <v>0</v>
      </c>
      <c r="AY51" s="371">
        <f t="shared" si="35"/>
        <v>0</v>
      </c>
      <c r="AZ51" s="371">
        <f t="shared" si="35"/>
        <v>0</v>
      </c>
      <c r="BA51" s="371">
        <f t="shared" si="35"/>
        <v>0</v>
      </c>
      <c r="BB51" s="371">
        <f t="shared" si="35"/>
        <v>0</v>
      </c>
      <c r="BC51" s="371">
        <f t="shared" si="35"/>
        <v>0</v>
      </c>
      <c r="BD51" s="371">
        <f t="shared" si="35"/>
        <v>0</v>
      </c>
      <c r="BE51" s="371">
        <f t="shared" si="35"/>
        <v>0</v>
      </c>
      <c r="BF51" s="371">
        <f t="shared" si="35"/>
        <v>0</v>
      </c>
      <c r="BG51" s="371">
        <f t="shared" si="35"/>
        <v>0</v>
      </c>
      <c r="BH51" s="371">
        <f t="shared" si="35"/>
        <v>0</v>
      </c>
      <c r="BI51" s="371">
        <f t="shared" si="36"/>
        <v>0</v>
      </c>
      <c r="BJ51" s="371">
        <f t="shared" si="36"/>
        <v>0</v>
      </c>
      <c r="BK51" s="371">
        <f t="shared" si="36"/>
        <v>0</v>
      </c>
      <c r="BL51" s="371">
        <f t="shared" si="36"/>
        <v>0</v>
      </c>
      <c r="BM51" s="371">
        <f t="shared" si="36"/>
        <v>0</v>
      </c>
      <c r="BN51" s="371">
        <f t="shared" si="36"/>
        <v>0</v>
      </c>
      <c r="BO51" s="371">
        <f t="shared" si="36"/>
        <v>0</v>
      </c>
      <c r="BP51" s="371">
        <f t="shared" si="36"/>
        <v>0</v>
      </c>
      <c r="BQ51" s="371">
        <f t="shared" si="36"/>
        <v>0</v>
      </c>
      <c r="BR51" s="371">
        <f t="shared" si="36"/>
        <v>0</v>
      </c>
      <c r="BS51" s="371">
        <f t="shared" si="37"/>
        <v>0</v>
      </c>
      <c r="BT51" s="371">
        <f t="shared" si="37"/>
        <v>0</v>
      </c>
      <c r="BU51" s="371">
        <f t="shared" si="37"/>
        <v>0</v>
      </c>
      <c r="BV51" s="371">
        <f t="shared" si="37"/>
        <v>0</v>
      </c>
      <c r="BW51" s="371">
        <f t="shared" si="37"/>
        <v>0</v>
      </c>
      <c r="BX51" s="371">
        <f t="shared" si="37"/>
        <v>0</v>
      </c>
      <c r="BY51" s="371">
        <f t="shared" si="37"/>
        <v>0</v>
      </c>
      <c r="BZ51" s="371">
        <f t="shared" si="37"/>
        <v>0</v>
      </c>
    </row>
    <row r="52" spans="2:78" ht="21" hidden="1" customHeight="1" outlineLevel="3">
      <c r="B52" s="367"/>
      <c r="C52" s="370"/>
      <c r="D52" s="374">
        <f t="shared" si="32"/>
        <v>45473</v>
      </c>
      <c r="E52" s="373" cm="1">
        <f t="array" ref="E52">IF($D52=LatestMonthOfActuals,INDEX($AE$25:$BZ$25,0,MATCH($D52,$AE$8:$BZ$8,0)),0)</f>
        <v>0</v>
      </c>
      <c r="F52" s="359"/>
      <c r="G52" s="408">
        <f t="shared" si="25"/>
        <v>0</v>
      </c>
      <c r="H52" s="408">
        <f t="shared" si="25"/>
        <v>0</v>
      </c>
      <c r="I52" s="408">
        <f t="shared" si="25"/>
        <v>0</v>
      </c>
      <c r="J52" s="408">
        <f t="shared" si="25"/>
        <v>0</v>
      </c>
      <c r="K52" s="408"/>
      <c r="L52" s="408"/>
      <c r="M52" s="408">
        <f t="shared" si="39"/>
        <v>0</v>
      </c>
      <c r="N52" s="408">
        <f t="shared" si="38"/>
        <v>0</v>
      </c>
      <c r="O52" s="408">
        <f t="shared" si="38"/>
        <v>0</v>
      </c>
      <c r="P52" s="408">
        <f t="shared" si="38"/>
        <v>0</v>
      </c>
      <c r="Q52" s="408">
        <f t="shared" si="38"/>
        <v>0</v>
      </c>
      <c r="R52" s="408">
        <f t="shared" si="38"/>
        <v>0</v>
      </c>
      <c r="S52" s="408">
        <f t="shared" si="38"/>
        <v>0</v>
      </c>
      <c r="T52" s="408">
        <f t="shared" si="38"/>
        <v>0</v>
      </c>
      <c r="U52" s="408">
        <f t="shared" si="38"/>
        <v>0</v>
      </c>
      <c r="V52" s="408">
        <f t="shared" si="38"/>
        <v>0</v>
      </c>
      <c r="W52" s="408">
        <f t="shared" si="38"/>
        <v>0</v>
      </c>
      <c r="X52" s="408">
        <f t="shared" si="38"/>
        <v>0</v>
      </c>
      <c r="Y52" s="408">
        <f t="shared" si="38"/>
        <v>0</v>
      </c>
      <c r="Z52" s="408">
        <f t="shared" si="38"/>
        <v>0</v>
      </c>
      <c r="AA52" s="408">
        <f t="shared" si="38"/>
        <v>0</v>
      </c>
      <c r="AB52" s="408">
        <f t="shared" si="38"/>
        <v>0</v>
      </c>
      <c r="AD52" s="359"/>
      <c r="AE52" s="371">
        <f t="shared" si="33"/>
        <v>0</v>
      </c>
      <c r="AF52" s="371">
        <f t="shared" si="33"/>
        <v>0</v>
      </c>
      <c r="AG52" s="371">
        <f t="shared" si="33"/>
        <v>0</v>
      </c>
      <c r="AH52" s="371">
        <f t="shared" si="33"/>
        <v>0</v>
      </c>
      <c r="AI52" s="371">
        <f t="shared" si="33"/>
        <v>0</v>
      </c>
      <c r="AJ52" s="371">
        <f t="shared" si="33"/>
        <v>0</v>
      </c>
      <c r="AK52" s="371">
        <f t="shared" si="33"/>
        <v>0</v>
      </c>
      <c r="AL52" s="371">
        <f t="shared" si="33"/>
        <v>0</v>
      </c>
      <c r="AM52" s="371">
        <f t="shared" si="33"/>
        <v>0</v>
      </c>
      <c r="AN52" s="371">
        <f t="shared" si="33"/>
        <v>0</v>
      </c>
      <c r="AO52" s="371">
        <f t="shared" si="34"/>
        <v>0</v>
      </c>
      <c r="AP52" s="371">
        <f t="shared" si="34"/>
        <v>0</v>
      </c>
      <c r="AQ52" s="371">
        <f t="shared" si="34"/>
        <v>0</v>
      </c>
      <c r="AR52" s="371">
        <f t="shared" si="34"/>
        <v>0</v>
      </c>
      <c r="AS52" s="371">
        <f t="shared" si="34"/>
        <v>0</v>
      </c>
      <c r="AT52" s="371">
        <f t="shared" si="34"/>
        <v>0</v>
      </c>
      <c r="AU52" s="371">
        <f t="shared" si="34"/>
        <v>0</v>
      </c>
      <c r="AV52" s="371">
        <f t="shared" si="34"/>
        <v>0</v>
      </c>
      <c r="AW52" s="371">
        <f t="shared" si="34"/>
        <v>0</v>
      </c>
      <c r="AX52" s="371">
        <f t="shared" si="34"/>
        <v>0</v>
      </c>
      <c r="AY52" s="371">
        <f t="shared" si="35"/>
        <v>0</v>
      </c>
      <c r="AZ52" s="371">
        <f t="shared" si="35"/>
        <v>0</v>
      </c>
      <c r="BA52" s="371">
        <f t="shared" si="35"/>
        <v>0</v>
      </c>
      <c r="BB52" s="371">
        <f t="shared" si="35"/>
        <v>0</v>
      </c>
      <c r="BC52" s="371">
        <f t="shared" si="35"/>
        <v>0</v>
      </c>
      <c r="BD52" s="371">
        <f t="shared" si="35"/>
        <v>0</v>
      </c>
      <c r="BE52" s="371">
        <f t="shared" si="35"/>
        <v>0</v>
      </c>
      <c r="BF52" s="371">
        <f t="shared" si="35"/>
        <v>0</v>
      </c>
      <c r="BG52" s="371">
        <f t="shared" si="35"/>
        <v>0</v>
      </c>
      <c r="BH52" s="371">
        <f t="shared" si="35"/>
        <v>0</v>
      </c>
      <c r="BI52" s="371">
        <f t="shared" si="36"/>
        <v>0</v>
      </c>
      <c r="BJ52" s="371">
        <f t="shared" si="36"/>
        <v>0</v>
      </c>
      <c r="BK52" s="371">
        <f t="shared" si="36"/>
        <v>0</v>
      </c>
      <c r="BL52" s="371">
        <f t="shared" si="36"/>
        <v>0</v>
      </c>
      <c r="BM52" s="371">
        <f t="shared" si="36"/>
        <v>0</v>
      </c>
      <c r="BN52" s="371">
        <f t="shared" si="36"/>
        <v>0</v>
      </c>
      <c r="BO52" s="371">
        <f t="shared" si="36"/>
        <v>0</v>
      </c>
      <c r="BP52" s="371">
        <f t="shared" si="36"/>
        <v>0</v>
      </c>
      <c r="BQ52" s="371">
        <f t="shared" si="36"/>
        <v>0</v>
      </c>
      <c r="BR52" s="371">
        <f t="shared" si="36"/>
        <v>0</v>
      </c>
      <c r="BS52" s="371">
        <f t="shared" si="37"/>
        <v>0</v>
      </c>
      <c r="BT52" s="371">
        <f t="shared" si="37"/>
        <v>0</v>
      </c>
      <c r="BU52" s="371">
        <f t="shared" si="37"/>
        <v>0</v>
      </c>
      <c r="BV52" s="371">
        <f t="shared" si="37"/>
        <v>0</v>
      </c>
      <c r="BW52" s="371">
        <f t="shared" si="37"/>
        <v>0</v>
      </c>
      <c r="BX52" s="371">
        <f t="shared" si="37"/>
        <v>0</v>
      </c>
      <c r="BY52" s="371">
        <f t="shared" si="37"/>
        <v>0</v>
      </c>
      <c r="BZ52" s="371">
        <f t="shared" si="37"/>
        <v>0</v>
      </c>
    </row>
    <row r="53" spans="2:78" ht="21" hidden="1" customHeight="1" outlineLevel="3">
      <c r="B53" s="367"/>
      <c r="C53" s="370"/>
      <c r="D53" s="374">
        <f t="shared" si="32"/>
        <v>45504</v>
      </c>
      <c r="E53" s="373" cm="1">
        <f t="array" ref="E53">IF($D53=LatestMonthOfActuals,INDEX($AE$25:$BZ$25,0,MATCH($D53,$AE$8:$BZ$8,0)),0)</f>
        <v>0</v>
      </c>
      <c r="F53" s="359"/>
      <c r="G53" s="408">
        <f t="shared" si="25"/>
        <v>0</v>
      </c>
      <c r="H53" s="408">
        <f t="shared" si="25"/>
        <v>0</v>
      </c>
      <c r="I53" s="408">
        <f t="shared" si="25"/>
        <v>0</v>
      </c>
      <c r="J53" s="408">
        <f t="shared" si="25"/>
        <v>0</v>
      </c>
      <c r="K53" s="408"/>
      <c r="L53" s="408"/>
      <c r="M53" s="408">
        <f t="shared" si="39"/>
        <v>0</v>
      </c>
      <c r="N53" s="408">
        <f t="shared" si="38"/>
        <v>0</v>
      </c>
      <c r="O53" s="408">
        <f t="shared" si="38"/>
        <v>0</v>
      </c>
      <c r="P53" s="408">
        <f t="shared" si="38"/>
        <v>0</v>
      </c>
      <c r="Q53" s="408">
        <f t="shared" si="38"/>
        <v>0</v>
      </c>
      <c r="R53" s="408">
        <f t="shared" si="38"/>
        <v>0</v>
      </c>
      <c r="S53" s="408">
        <f t="shared" si="38"/>
        <v>0</v>
      </c>
      <c r="T53" s="408">
        <f t="shared" si="38"/>
        <v>0</v>
      </c>
      <c r="U53" s="408">
        <f t="shared" si="38"/>
        <v>0</v>
      </c>
      <c r="V53" s="408">
        <f t="shared" si="38"/>
        <v>0</v>
      </c>
      <c r="W53" s="408">
        <f t="shared" si="38"/>
        <v>0</v>
      </c>
      <c r="X53" s="408">
        <f t="shared" si="38"/>
        <v>0</v>
      </c>
      <c r="Y53" s="408">
        <f t="shared" si="38"/>
        <v>0</v>
      </c>
      <c r="Z53" s="408">
        <f t="shared" si="38"/>
        <v>0</v>
      </c>
      <c r="AA53" s="408">
        <f t="shared" si="38"/>
        <v>0</v>
      </c>
      <c r="AB53" s="408">
        <f t="shared" si="38"/>
        <v>0</v>
      </c>
      <c r="AD53" s="359"/>
      <c r="AE53" s="371">
        <f t="shared" si="33"/>
        <v>0</v>
      </c>
      <c r="AF53" s="371">
        <f t="shared" si="33"/>
        <v>0</v>
      </c>
      <c r="AG53" s="371">
        <f t="shared" si="33"/>
        <v>0</v>
      </c>
      <c r="AH53" s="371">
        <f t="shared" si="33"/>
        <v>0</v>
      </c>
      <c r="AI53" s="371">
        <f t="shared" si="33"/>
        <v>0</v>
      </c>
      <c r="AJ53" s="371">
        <f t="shared" si="33"/>
        <v>0</v>
      </c>
      <c r="AK53" s="371">
        <f t="shared" si="33"/>
        <v>0</v>
      </c>
      <c r="AL53" s="371">
        <f t="shared" si="33"/>
        <v>0</v>
      </c>
      <c r="AM53" s="371">
        <f t="shared" si="33"/>
        <v>0</v>
      </c>
      <c r="AN53" s="371">
        <f t="shared" si="33"/>
        <v>0</v>
      </c>
      <c r="AO53" s="371">
        <f t="shared" si="34"/>
        <v>0</v>
      </c>
      <c r="AP53" s="371">
        <f t="shared" si="34"/>
        <v>0</v>
      </c>
      <c r="AQ53" s="371">
        <f t="shared" si="34"/>
        <v>0</v>
      </c>
      <c r="AR53" s="371">
        <f t="shared" si="34"/>
        <v>0</v>
      </c>
      <c r="AS53" s="371">
        <f t="shared" si="34"/>
        <v>0</v>
      </c>
      <c r="AT53" s="371">
        <f t="shared" si="34"/>
        <v>0</v>
      </c>
      <c r="AU53" s="371">
        <f t="shared" si="34"/>
        <v>0</v>
      </c>
      <c r="AV53" s="371">
        <f t="shared" si="34"/>
        <v>0</v>
      </c>
      <c r="AW53" s="371">
        <f t="shared" si="34"/>
        <v>0</v>
      </c>
      <c r="AX53" s="371">
        <f t="shared" si="34"/>
        <v>0</v>
      </c>
      <c r="AY53" s="371">
        <f t="shared" si="35"/>
        <v>0</v>
      </c>
      <c r="AZ53" s="371">
        <f t="shared" si="35"/>
        <v>0</v>
      </c>
      <c r="BA53" s="371">
        <f t="shared" si="35"/>
        <v>0</v>
      </c>
      <c r="BB53" s="371">
        <f t="shared" si="35"/>
        <v>0</v>
      </c>
      <c r="BC53" s="371">
        <f t="shared" si="35"/>
        <v>0</v>
      </c>
      <c r="BD53" s="371">
        <f t="shared" si="35"/>
        <v>0</v>
      </c>
      <c r="BE53" s="371">
        <f t="shared" si="35"/>
        <v>0</v>
      </c>
      <c r="BF53" s="371">
        <f t="shared" si="35"/>
        <v>0</v>
      </c>
      <c r="BG53" s="371">
        <f t="shared" si="35"/>
        <v>0</v>
      </c>
      <c r="BH53" s="371">
        <f t="shared" si="35"/>
        <v>0</v>
      </c>
      <c r="BI53" s="371">
        <f t="shared" si="36"/>
        <v>0</v>
      </c>
      <c r="BJ53" s="371">
        <f t="shared" si="36"/>
        <v>0</v>
      </c>
      <c r="BK53" s="371">
        <f t="shared" si="36"/>
        <v>0</v>
      </c>
      <c r="BL53" s="371">
        <f t="shared" si="36"/>
        <v>0</v>
      </c>
      <c r="BM53" s="371">
        <f t="shared" si="36"/>
        <v>0</v>
      </c>
      <c r="BN53" s="371">
        <f t="shared" si="36"/>
        <v>0</v>
      </c>
      <c r="BO53" s="371">
        <f t="shared" si="36"/>
        <v>0</v>
      </c>
      <c r="BP53" s="371">
        <f t="shared" si="36"/>
        <v>0</v>
      </c>
      <c r="BQ53" s="371">
        <f t="shared" si="36"/>
        <v>0</v>
      </c>
      <c r="BR53" s="371">
        <f t="shared" si="36"/>
        <v>0</v>
      </c>
      <c r="BS53" s="371">
        <f t="shared" si="37"/>
        <v>0</v>
      </c>
      <c r="BT53" s="371">
        <f t="shared" si="37"/>
        <v>0</v>
      </c>
      <c r="BU53" s="371">
        <f t="shared" si="37"/>
        <v>0</v>
      </c>
      <c r="BV53" s="371">
        <f t="shared" si="37"/>
        <v>0</v>
      </c>
      <c r="BW53" s="371">
        <f t="shared" si="37"/>
        <v>0</v>
      </c>
      <c r="BX53" s="371">
        <f t="shared" si="37"/>
        <v>0</v>
      </c>
      <c r="BY53" s="371">
        <f t="shared" si="37"/>
        <v>0</v>
      </c>
      <c r="BZ53" s="371">
        <f t="shared" si="37"/>
        <v>0</v>
      </c>
    </row>
    <row r="54" spans="2:78" ht="21" hidden="1" customHeight="1" outlineLevel="3">
      <c r="B54" s="367"/>
      <c r="C54" s="370"/>
      <c r="D54" s="374">
        <f t="shared" si="32"/>
        <v>45535</v>
      </c>
      <c r="E54" s="373" cm="1">
        <f t="array" ref="E54">IF($D54=LatestMonthOfActuals,INDEX($AE$25:$BZ$25,0,MATCH($D54,$AE$8:$BZ$8,0)),0)</f>
        <v>0</v>
      </c>
      <c r="F54" s="359"/>
      <c r="G54" s="408">
        <f t="shared" si="25"/>
        <v>0</v>
      </c>
      <c r="H54" s="408">
        <f t="shared" si="25"/>
        <v>0</v>
      </c>
      <c r="I54" s="408">
        <f t="shared" si="25"/>
        <v>0</v>
      </c>
      <c r="J54" s="408">
        <f t="shared" si="25"/>
        <v>0</v>
      </c>
      <c r="K54" s="408"/>
      <c r="L54" s="408"/>
      <c r="M54" s="408">
        <f t="shared" si="39"/>
        <v>0</v>
      </c>
      <c r="N54" s="408">
        <f t="shared" si="38"/>
        <v>0</v>
      </c>
      <c r="O54" s="408">
        <f t="shared" si="38"/>
        <v>0</v>
      </c>
      <c r="P54" s="408">
        <f t="shared" si="38"/>
        <v>0</v>
      </c>
      <c r="Q54" s="408">
        <f t="shared" si="38"/>
        <v>0</v>
      </c>
      <c r="R54" s="408">
        <f t="shared" si="38"/>
        <v>0</v>
      </c>
      <c r="S54" s="408">
        <f t="shared" si="38"/>
        <v>0</v>
      </c>
      <c r="T54" s="408">
        <f t="shared" si="38"/>
        <v>0</v>
      </c>
      <c r="U54" s="408">
        <f t="shared" si="38"/>
        <v>0</v>
      </c>
      <c r="V54" s="408">
        <f t="shared" si="38"/>
        <v>0</v>
      </c>
      <c r="W54" s="408">
        <f t="shared" si="38"/>
        <v>0</v>
      </c>
      <c r="X54" s="408">
        <f t="shared" si="38"/>
        <v>0</v>
      </c>
      <c r="Y54" s="408">
        <f t="shared" si="38"/>
        <v>0</v>
      </c>
      <c r="Z54" s="408">
        <f t="shared" si="38"/>
        <v>0</v>
      </c>
      <c r="AA54" s="408">
        <f t="shared" si="38"/>
        <v>0</v>
      </c>
      <c r="AB54" s="408">
        <f t="shared" si="38"/>
        <v>0</v>
      </c>
      <c r="AD54" s="359"/>
      <c r="AE54" s="371">
        <f t="shared" si="33"/>
        <v>0</v>
      </c>
      <c r="AF54" s="371">
        <f t="shared" si="33"/>
        <v>0</v>
      </c>
      <c r="AG54" s="371">
        <f t="shared" si="33"/>
        <v>0</v>
      </c>
      <c r="AH54" s="371">
        <f t="shared" si="33"/>
        <v>0</v>
      </c>
      <c r="AI54" s="371">
        <f t="shared" si="33"/>
        <v>0</v>
      </c>
      <c r="AJ54" s="371">
        <f t="shared" si="33"/>
        <v>0</v>
      </c>
      <c r="AK54" s="371">
        <f t="shared" si="33"/>
        <v>0</v>
      </c>
      <c r="AL54" s="371">
        <f t="shared" si="33"/>
        <v>0</v>
      </c>
      <c r="AM54" s="371">
        <f t="shared" si="33"/>
        <v>0</v>
      </c>
      <c r="AN54" s="371">
        <f t="shared" si="33"/>
        <v>0</v>
      </c>
      <c r="AO54" s="371">
        <f t="shared" si="34"/>
        <v>0</v>
      </c>
      <c r="AP54" s="371">
        <f t="shared" si="34"/>
        <v>0</v>
      </c>
      <c r="AQ54" s="371">
        <f t="shared" si="34"/>
        <v>0</v>
      </c>
      <c r="AR54" s="371">
        <f t="shared" si="34"/>
        <v>0</v>
      </c>
      <c r="AS54" s="371">
        <f t="shared" si="34"/>
        <v>0</v>
      </c>
      <c r="AT54" s="371">
        <f t="shared" si="34"/>
        <v>0</v>
      </c>
      <c r="AU54" s="371">
        <f t="shared" si="34"/>
        <v>0</v>
      </c>
      <c r="AV54" s="371">
        <f t="shared" si="34"/>
        <v>0</v>
      </c>
      <c r="AW54" s="371">
        <f t="shared" si="34"/>
        <v>0</v>
      </c>
      <c r="AX54" s="371">
        <f t="shared" si="34"/>
        <v>0</v>
      </c>
      <c r="AY54" s="371">
        <f t="shared" si="35"/>
        <v>0</v>
      </c>
      <c r="AZ54" s="371">
        <f t="shared" si="35"/>
        <v>0</v>
      </c>
      <c r="BA54" s="371">
        <f t="shared" si="35"/>
        <v>0</v>
      </c>
      <c r="BB54" s="371">
        <f t="shared" si="35"/>
        <v>0</v>
      </c>
      <c r="BC54" s="371">
        <f t="shared" si="35"/>
        <v>0</v>
      </c>
      <c r="BD54" s="371">
        <f t="shared" si="35"/>
        <v>0</v>
      </c>
      <c r="BE54" s="371">
        <f t="shared" si="35"/>
        <v>0</v>
      </c>
      <c r="BF54" s="371">
        <f t="shared" si="35"/>
        <v>0</v>
      </c>
      <c r="BG54" s="371">
        <f t="shared" si="35"/>
        <v>0</v>
      </c>
      <c r="BH54" s="371">
        <f t="shared" si="35"/>
        <v>0</v>
      </c>
      <c r="BI54" s="371">
        <f t="shared" si="36"/>
        <v>0</v>
      </c>
      <c r="BJ54" s="371">
        <f t="shared" si="36"/>
        <v>0</v>
      </c>
      <c r="BK54" s="371">
        <f t="shared" si="36"/>
        <v>0</v>
      </c>
      <c r="BL54" s="371">
        <f t="shared" si="36"/>
        <v>0</v>
      </c>
      <c r="BM54" s="371">
        <f t="shared" si="36"/>
        <v>0</v>
      </c>
      <c r="BN54" s="371">
        <f t="shared" si="36"/>
        <v>0</v>
      </c>
      <c r="BO54" s="371">
        <f t="shared" si="36"/>
        <v>0</v>
      </c>
      <c r="BP54" s="371">
        <f t="shared" si="36"/>
        <v>0</v>
      </c>
      <c r="BQ54" s="371">
        <f t="shared" si="36"/>
        <v>0</v>
      </c>
      <c r="BR54" s="371">
        <f t="shared" si="36"/>
        <v>0</v>
      </c>
      <c r="BS54" s="371">
        <f t="shared" si="37"/>
        <v>0</v>
      </c>
      <c r="BT54" s="371">
        <f t="shared" si="37"/>
        <v>0</v>
      </c>
      <c r="BU54" s="371">
        <f t="shared" si="37"/>
        <v>0</v>
      </c>
      <c r="BV54" s="371">
        <f t="shared" si="37"/>
        <v>0</v>
      </c>
      <c r="BW54" s="371">
        <f t="shared" si="37"/>
        <v>0</v>
      </c>
      <c r="BX54" s="371">
        <f t="shared" si="37"/>
        <v>0</v>
      </c>
      <c r="BY54" s="371">
        <f t="shared" si="37"/>
        <v>0</v>
      </c>
      <c r="BZ54" s="371">
        <f t="shared" si="37"/>
        <v>0</v>
      </c>
    </row>
    <row r="55" spans="2:78" ht="21" hidden="1" customHeight="1" outlineLevel="3">
      <c r="B55" s="367"/>
      <c r="C55" s="370"/>
      <c r="D55" s="374">
        <f t="shared" si="32"/>
        <v>45565</v>
      </c>
      <c r="E55" s="373" cm="1">
        <f t="array" ref="E55">IF($D55=LatestMonthOfActuals,INDEX($AE$25:$BZ$25,0,MATCH($D55,$AE$8:$BZ$8,0)),0)</f>
        <v>0</v>
      </c>
      <c r="F55" s="359"/>
      <c r="G55" s="408">
        <f t="shared" si="25"/>
        <v>0</v>
      </c>
      <c r="H55" s="408">
        <f t="shared" si="25"/>
        <v>0</v>
      </c>
      <c r="I55" s="408">
        <f t="shared" si="25"/>
        <v>0</v>
      </c>
      <c r="J55" s="408">
        <f t="shared" si="25"/>
        <v>0</v>
      </c>
      <c r="K55" s="408"/>
      <c r="L55" s="408"/>
      <c r="M55" s="408">
        <f t="shared" si="39"/>
        <v>0</v>
      </c>
      <c r="N55" s="408">
        <f t="shared" si="38"/>
        <v>0</v>
      </c>
      <c r="O55" s="408">
        <f t="shared" si="38"/>
        <v>0</v>
      </c>
      <c r="P55" s="408">
        <f t="shared" si="38"/>
        <v>0</v>
      </c>
      <c r="Q55" s="408">
        <f t="shared" si="38"/>
        <v>0</v>
      </c>
      <c r="R55" s="408">
        <f t="shared" si="38"/>
        <v>0</v>
      </c>
      <c r="S55" s="408">
        <f t="shared" si="38"/>
        <v>0</v>
      </c>
      <c r="T55" s="408">
        <f t="shared" si="38"/>
        <v>0</v>
      </c>
      <c r="U55" s="408">
        <f t="shared" si="38"/>
        <v>0</v>
      </c>
      <c r="V55" s="408">
        <f t="shared" si="38"/>
        <v>0</v>
      </c>
      <c r="W55" s="408">
        <f t="shared" si="38"/>
        <v>0</v>
      </c>
      <c r="X55" s="408">
        <f t="shared" si="38"/>
        <v>0</v>
      </c>
      <c r="Y55" s="408">
        <f t="shared" si="38"/>
        <v>0</v>
      </c>
      <c r="Z55" s="408">
        <f t="shared" si="38"/>
        <v>0</v>
      </c>
      <c r="AA55" s="408">
        <f t="shared" si="38"/>
        <v>0</v>
      </c>
      <c r="AB55" s="408">
        <f t="shared" si="38"/>
        <v>0</v>
      </c>
      <c r="AD55" s="359"/>
      <c r="AE55" s="371">
        <f t="shared" ref="AE55:AN64" si="40">IFERROR(IF(AE$8&gt;=$D55,$E55*(INDEX($E$12:$E$16,(MATCH(MATCH(AE$8,$D$35:$D$82,0)-MATCH($D55,$D$35:$D$82,0),$D$12:$D$16,0)))),0),0)</f>
        <v>0</v>
      </c>
      <c r="AF55" s="371">
        <f t="shared" si="40"/>
        <v>0</v>
      </c>
      <c r="AG55" s="371">
        <f t="shared" si="40"/>
        <v>0</v>
      </c>
      <c r="AH55" s="371">
        <f t="shared" si="40"/>
        <v>0</v>
      </c>
      <c r="AI55" s="371">
        <f t="shared" si="40"/>
        <v>0</v>
      </c>
      <c r="AJ55" s="371">
        <f t="shared" si="40"/>
        <v>0</v>
      </c>
      <c r="AK55" s="371">
        <f t="shared" si="40"/>
        <v>0</v>
      </c>
      <c r="AL55" s="371">
        <f t="shared" si="40"/>
        <v>0</v>
      </c>
      <c r="AM55" s="371">
        <f t="shared" si="40"/>
        <v>0</v>
      </c>
      <c r="AN55" s="371">
        <f t="shared" si="40"/>
        <v>0</v>
      </c>
      <c r="AO55" s="371">
        <f t="shared" ref="AO55:AX64" si="41">IFERROR(IF(AO$8&gt;=$D55,$E55*(INDEX($E$12:$E$16,(MATCH(MATCH(AO$8,$D$35:$D$82,0)-MATCH($D55,$D$35:$D$82,0),$D$12:$D$16,0)))),0),0)</f>
        <v>0</v>
      </c>
      <c r="AP55" s="371">
        <f t="shared" si="41"/>
        <v>0</v>
      </c>
      <c r="AQ55" s="371">
        <f t="shared" si="41"/>
        <v>0</v>
      </c>
      <c r="AR55" s="371">
        <f t="shared" si="41"/>
        <v>0</v>
      </c>
      <c r="AS55" s="371">
        <f t="shared" si="41"/>
        <v>0</v>
      </c>
      <c r="AT55" s="371">
        <f t="shared" si="41"/>
        <v>0</v>
      </c>
      <c r="AU55" s="371">
        <f t="shared" si="41"/>
        <v>0</v>
      </c>
      <c r="AV55" s="371">
        <f t="shared" si="41"/>
        <v>0</v>
      </c>
      <c r="AW55" s="371">
        <f t="shared" si="41"/>
        <v>0</v>
      </c>
      <c r="AX55" s="371">
        <f t="shared" si="41"/>
        <v>0</v>
      </c>
      <c r="AY55" s="371">
        <f t="shared" ref="AY55:BH64" si="42">IFERROR(IF(AY$8&gt;=$D55,$E55*(INDEX($E$12:$E$16,(MATCH(MATCH(AY$8,$D$35:$D$82,0)-MATCH($D55,$D$35:$D$82,0),$D$12:$D$16,0)))),0),0)</f>
        <v>0</v>
      </c>
      <c r="AZ55" s="371">
        <f t="shared" si="42"/>
        <v>0</v>
      </c>
      <c r="BA55" s="371">
        <f t="shared" si="42"/>
        <v>0</v>
      </c>
      <c r="BB55" s="371">
        <f t="shared" si="42"/>
        <v>0</v>
      </c>
      <c r="BC55" s="371">
        <f t="shared" si="42"/>
        <v>0</v>
      </c>
      <c r="BD55" s="371">
        <f t="shared" si="42"/>
        <v>0</v>
      </c>
      <c r="BE55" s="371">
        <f t="shared" si="42"/>
        <v>0</v>
      </c>
      <c r="BF55" s="371">
        <f t="shared" si="42"/>
        <v>0</v>
      </c>
      <c r="BG55" s="371">
        <f t="shared" si="42"/>
        <v>0</v>
      </c>
      <c r="BH55" s="371">
        <f t="shared" si="42"/>
        <v>0</v>
      </c>
      <c r="BI55" s="371">
        <f t="shared" ref="BI55:BR64" si="43">IFERROR(IF(BI$8&gt;=$D55,$E55*(INDEX($E$12:$E$16,(MATCH(MATCH(BI$8,$D$35:$D$82,0)-MATCH($D55,$D$35:$D$82,0),$D$12:$D$16,0)))),0),0)</f>
        <v>0</v>
      </c>
      <c r="BJ55" s="371">
        <f t="shared" si="43"/>
        <v>0</v>
      </c>
      <c r="BK55" s="371">
        <f t="shared" si="43"/>
        <v>0</v>
      </c>
      <c r="BL55" s="371">
        <f t="shared" si="43"/>
        <v>0</v>
      </c>
      <c r="BM55" s="371">
        <f t="shared" si="43"/>
        <v>0</v>
      </c>
      <c r="BN55" s="371">
        <f t="shared" si="43"/>
        <v>0</v>
      </c>
      <c r="BO55" s="371">
        <f t="shared" si="43"/>
        <v>0</v>
      </c>
      <c r="BP55" s="371">
        <f t="shared" si="43"/>
        <v>0</v>
      </c>
      <c r="BQ55" s="371">
        <f t="shared" si="43"/>
        <v>0</v>
      </c>
      <c r="BR55" s="371">
        <f t="shared" si="43"/>
        <v>0</v>
      </c>
      <c r="BS55" s="371">
        <f t="shared" ref="BS55:BZ64" si="44">IFERROR(IF(BS$8&gt;=$D55,$E55*(INDEX($E$12:$E$16,(MATCH(MATCH(BS$8,$D$35:$D$82,0)-MATCH($D55,$D$35:$D$82,0),$D$12:$D$16,0)))),0),0)</f>
        <v>0</v>
      </c>
      <c r="BT55" s="371">
        <f t="shared" si="44"/>
        <v>0</v>
      </c>
      <c r="BU55" s="371">
        <f t="shared" si="44"/>
        <v>0</v>
      </c>
      <c r="BV55" s="371">
        <f t="shared" si="44"/>
        <v>0</v>
      </c>
      <c r="BW55" s="371">
        <f t="shared" si="44"/>
        <v>0</v>
      </c>
      <c r="BX55" s="371">
        <f t="shared" si="44"/>
        <v>0</v>
      </c>
      <c r="BY55" s="371">
        <f t="shared" si="44"/>
        <v>0</v>
      </c>
      <c r="BZ55" s="371">
        <f t="shared" si="44"/>
        <v>0</v>
      </c>
    </row>
    <row r="56" spans="2:78" ht="21" hidden="1" customHeight="1" outlineLevel="3">
      <c r="B56" s="367"/>
      <c r="C56" s="370"/>
      <c r="D56" s="374">
        <f t="shared" si="32"/>
        <v>45596</v>
      </c>
      <c r="E56" s="373" cm="1">
        <f t="array" ref="E56">IF($D56=LatestMonthOfActuals,INDEX($AE$25:$BZ$25,0,MATCH($D56,$AE$8:$BZ$8,0)),0)</f>
        <v>0</v>
      </c>
      <c r="F56" s="359"/>
      <c r="G56" s="408">
        <f t="shared" si="25"/>
        <v>0</v>
      </c>
      <c r="H56" s="408">
        <f t="shared" si="25"/>
        <v>0</v>
      </c>
      <c r="I56" s="408">
        <f t="shared" si="25"/>
        <v>0</v>
      </c>
      <c r="J56" s="408">
        <f t="shared" si="25"/>
        <v>0</v>
      </c>
      <c r="K56" s="408"/>
      <c r="L56" s="408"/>
      <c r="M56" s="408">
        <f t="shared" si="39"/>
        <v>0</v>
      </c>
      <c r="N56" s="408">
        <f t="shared" si="38"/>
        <v>0</v>
      </c>
      <c r="O56" s="408">
        <f t="shared" si="38"/>
        <v>0</v>
      </c>
      <c r="P56" s="408">
        <f t="shared" si="38"/>
        <v>0</v>
      </c>
      <c r="Q56" s="408">
        <f t="shared" si="38"/>
        <v>0</v>
      </c>
      <c r="R56" s="408">
        <f t="shared" si="38"/>
        <v>0</v>
      </c>
      <c r="S56" s="408">
        <f t="shared" si="38"/>
        <v>0</v>
      </c>
      <c r="T56" s="408">
        <f t="shared" si="38"/>
        <v>0</v>
      </c>
      <c r="U56" s="408">
        <f t="shared" si="38"/>
        <v>0</v>
      </c>
      <c r="V56" s="408">
        <f t="shared" si="38"/>
        <v>0</v>
      </c>
      <c r="W56" s="408">
        <f t="shared" si="38"/>
        <v>0</v>
      </c>
      <c r="X56" s="408">
        <f t="shared" si="38"/>
        <v>0</v>
      </c>
      <c r="Y56" s="408">
        <f t="shared" si="38"/>
        <v>0</v>
      </c>
      <c r="Z56" s="408">
        <f t="shared" si="38"/>
        <v>0</v>
      </c>
      <c r="AA56" s="408">
        <f t="shared" si="38"/>
        <v>0</v>
      </c>
      <c r="AB56" s="408">
        <f t="shared" si="38"/>
        <v>0</v>
      </c>
      <c r="AD56" s="359"/>
      <c r="AE56" s="371">
        <f t="shared" si="40"/>
        <v>0</v>
      </c>
      <c r="AF56" s="371">
        <f t="shared" si="40"/>
        <v>0</v>
      </c>
      <c r="AG56" s="371">
        <f t="shared" si="40"/>
        <v>0</v>
      </c>
      <c r="AH56" s="371">
        <f t="shared" si="40"/>
        <v>0</v>
      </c>
      <c r="AI56" s="371">
        <f t="shared" si="40"/>
        <v>0</v>
      </c>
      <c r="AJ56" s="371">
        <f t="shared" si="40"/>
        <v>0</v>
      </c>
      <c r="AK56" s="371">
        <f t="shared" si="40"/>
        <v>0</v>
      </c>
      <c r="AL56" s="371">
        <f t="shared" si="40"/>
        <v>0</v>
      </c>
      <c r="AM56" s="371">
        <f t="shared" si="40"/>
        <v>0</v>
      </c>
      <c r="AN56" s="371">
        <f t="shared" si="40"/>
        <v>0</v>
      </c>
      <c r="AO56" s="371">
        <f t="shared" si="41"/>
        <v>0</v>
      </c>
      <c r="AP56" s="371">
        <f t="shared" si="41"/>
        <v>0</v>
      </c>
      <c r="AQ56" s="371">
        <f t="shared" si="41"/>
        <v>0</v>
      </c>
      <c r="AR56" s="371">
        <f t="shared" si="41"/>
        <v>0</v>
      </c>
      <c r="AS56" s="371">
        <f t="shared" si="41"/>
        <v>0</v>
      </c>
      <c r="AT56" s="371">
        <f t="shared" si="41"/>
        <v>0</v>
      </c>
      <c r="AU56" s="371">
        <f t="shared" si="41"/>
        <v>0</v>
      </c>
      <c r="AV56" s="371">
        <f t="shared" si="41"/>
        <v>0</v>
      </c>
      <c r="AW56" s="371">
        <f t="shared" si="41"/>
        <v>0</v>
      </c>
      <c r="AX56" s="371">
        <f t="shared" si="41"/>
        <v>0</v>
      </c>
      <c r="AY56" s="371">
        <f t="shared" si="42"/>
        <v>0</v>
      </c>
      <c r="AZ56" s="371">
        <f t="shared" si="42"/>
        <v>0</v>
      </c>
      <c r="BA56" s="371">
        <f t="shared" si="42"/>
        <v>0</v>
      </c>
      <c r="BB56" s="371">
        <f t="shared" si="42"/>
        <v>0</v>
      </c>
      <c r="BC56" s="371">
        <f t="shared" si="42"/>
        <v>0</v>
      </c>
      <c r="BD56" s="371">
        <f t="shared" si="42"/>
        <v>0</v>
      </c>
      <c r="BE56" s="371">
        <f t="shared" si="42"/>
        <v>0</v>
      </c>
      <c r="BF56" s="371">
        <f t="shared" si="42"/>
        <v>0</v>
      </c>
      <c r="BG56" s="371">
        <f t="shared" si="42"/>
        <v>0</v>
      </c>
      <c r="BH56" s="371">
        <f t="shared" si="42"/>
        <v>0</v>
      </c>
      <c r="BI56" s="371">
        <f t="shared" si="43"/>
        <v>0</v>
      </c>
      <c r="BJ56" s="371">
        <f t="shared" si="43"/>
        <v>0</v>
      </c>
      <c r="BK56" s="371">
        <f t="shared" si="43"/>
        <v>0</v>
      </c>
      <c r="BL56" s="371">
        <f t="shared" si="43"/>
        <v>0</v>
      </c>
      <c r="BM56" s="371">
        <f t="shared" si="43"/>
        <v>0</v>
      </c>
      <c r="BN56" s="371">
        <f t="shared" si="43"/>
        <v>0</v>
      </c>
      <c r="BO56" s="371">
        <f t="shared" si="43"/>
        <v>0</v>
      </c>
      <c r="BP56" s="371">
        <f t="shared" si="43"/>
        <v>0</v>
      </c>
      <c r="BQ56" s="371">
        <f t="shared" si="43"/>
        <v>0</v>
      </c>
      <c r="BR56" s="371">
        <f t="shared" si="43"/>
        <v>0</v>
      </c>
      <c r="BS56" s="371">
        <f t="shared" si="44"/>
        <v>0</v>
      </c>
      <c r="BT56" s="371">
        <f t="shared" si="44"/>
        <v>0</v>
      </c>
      <c r="BU56" s="371">
        <f t="shared" si="44"/>
        <v>0</v>
      </c>
      <c r="BV56" s="371">
        <f t="shared" si="44"/>
        <v>0</v>
      </c>
      <c r="BW56" s="371">
        <f t="shared" si="44"/>
        <v>0</v>
      </c>
      <c r="BX56" s="371">
        <f t="shared" si="44"/>
        <v>0</v>
      </c>
      <c r="BY56" s="371">
        <f t="shared" si="44"/>
        <v>0</v>
      </c>
      <c r="BZ56" s="371">
        <f t="shared" si="44"/>
        <v>0</v>
      </c>
    </row>
    <row r="57" spans="2:78" ht="21" hidden="1" customHeight="1" outlineLevel="3">
      <c r="B57" s="367"/>
      <c r="C57" s="370"/>
      <c r="D57" s="374">
        <f t="shared" si="32"/>
        <v>45626</v>
      </c>
      <c r="E57" s="373" cm="1">
        <f t="array" ref="E57">IF($D57=LatestMonthOfActuals,INDEX($AE$25:$BZ$25,0,MATCH($D57,$AE$8:$BZ$8,0)),0)</f>
        <v>0</v>
      </c>
      <c r="F57" s="359"/>
      <c r="G57" s="408">
        <f t="shared" si="25"/>
        <v>0</v>
      </c>
      <c r="H57" s="408">
        <f t="shared" si="25"/>
        <v>0</v>
      </c>
      <c r="I57" s="408">
        <f t="shared" si="25"/>
        <v>0</v>
      </c>
      <c r="J57" s="408">
        <f t="shared" si="25"/>
        <v>0</v>
      </c>
      <c r="K57" s="408"/>
      <c r="L57" s="408"/>
      <c r="M57" s="408">
        <f t="shared" si="39"/>
        <v>0</v>
      </c>
      <c r="N57" s="408">
        <f t="shared" si="38"/>
        <v>0</v>
      </c>
      <c r="O57" s="408">
        <f t="shared" si="38"/>
        <v>0</v>
      </c>
      <c r="P57" s="408">
        <f t="shared" si="38"/>
        <v>0</v>
      </c>
      <c r="Q57" s="408">
        <f t="shared" si="38"/>
        <v>0</v>
      </c>
      <c r="R57" s="408">
        <f t="shared" si="38"/>
        <v>0</v>
      </c>
      <c r="S57" s="408">
        <f t="shared" si="38"/>
        <v>0</v>
      </c>
      <c r="T57" s="408">
        <f t="shared" si="38"/>
        <v>0</v>
      </c>
      <c r="U57" s="408">
        <f t="shared" si="38"/>
        <v>0</v>
      </c>
      <c r="V57" s="408">
        <f t="shared" si="38"/>
        <v>0</v>
      </c>
      <c r="W57" s="408">
        <f t="shared" si="38"/>
        <v>0</v>
      </c>
      <c r="X57" s="408">
        <f t="shared" si="38"/>
        <v>0</v>
      </c>
      <c r="Y57" s="408">
        <f t="shared" si="38"/>
        <v>0</v>
      </c>
      <c r="Z57" s="408">
        <f t="shared" si="38"/>
        <v>0</v>
      </c>
      <c r="AA57" s="408">
        <f t="shared" si="38"/>
        <v>0</v>
      </c>
      <c r="AB57" s="408">
        <f t="shared" si="38"/>
        <v>0</v>
      </c>
      <c r="AD57" s="359"/>
      <c r="AE57" s="371">
        <f t="shared" si="40"/>
        <v>0</v>
      </c>
      <c r="AF57" s="371">
        <f t="shared" si="40"/>
        <v>0</v>
      </c>
      <c r="AG57" s="371">
        <f t="shared" si="40"/>
        <v>0</v>
      </c>
      <c r="AH57" s="371">
        <f t="shared" si="40"/>
        <v>0</v>
      </c>
      <c r="AI57" s="371">
        <f t="shared" si="40"/>
        <v>0</v>
      </c>
      <c r="AJ57" s="371">
        <f t="shared" si="40"/>
        <v>0</v>
      </c>
      <c r="AK57" s="371">
        <f t="shared" si="40"/>
        <v>0</v>
      </c>
      <c r="AL57" s="371">
        <f t="shared" si="40"/>
        <v>0</v>
      </c>
      <c r="AM57" s="371">
        <f t="shared" si="40"/>
        <v>0</v>
      </c>
      <c r="AN57" s="371">
        <f t="shared" si="40"/>
        <v>0</v>
      </c>
      <c r="AO57" s="371">
        <f t="shared" si="41"/>
        <v>0</v>
      </c>
      <c r="AP57" s="371">
        <f t="shared" si="41"/>
        <v>0</v>
      </c>
      <c r="AQ57" s="371">
        <f t="shared" si="41"/>
        <v>0</v>
      </c>
      <c r="AR57" s="371">
        <f t="shared" si="41"/>
        <v>0</v>
      </c>
      <c r="AS57" s="371">
        <f t="shared" si="41"/>
        <v>0</v>
      </c>
      <c r="AT57" s="371">
        <f t="shared" si="41"/>
        <v>0</v>
      </c>
      <c r="AU57" s="371">
        <f t="shared" si="41"/>
        <v>0</v>
      </c>
      <c r="AV57" s="371">
        <f t="shared" si="41"/>
        <v>0</v>
      </c>
      <c r="AW57" s="371">
        <f t="shared" si="41"/>
        <v>0</v>
      </c>
      <c r="AX57" s="371">
        <f t="shared" si="41"/>
        <v>0</v>
      </c>
      <c r="AY57" s="371">
        <f t="shared" si="42"/>
        <v>0</v>
      </c>
      <c r="AZ57" s="371">
        <f t="shared" si="42"/>
        <v>0</v>
      </c>
      <c r="BA57" s="371">
        <f t="shared" si="42"/>
        <v>0</v>
      </c>
      <c r="BB57" s="371">
        <f t="shared" si="42"/>
        <v>0</v>
      </c>
      <c r="BC57" s="371">
        <f t="shared" si="42"/>
        <v>0</v>
      </c>
      <c r="BD57" s="371">
        <f t="shared" si="42"/>
        <v>0</v>
      </c>
      <c r="BE57" s="371">
        <f t="shared" si="42"/>
        <v>0</v>
      </c>
      <c r="BF57" s="371">
        <f t="shared" si="42"/>
        <v>0</v>
      </c>
      <c r="BG57" s="371">
        <f t="shared" si="42"/>
        <v>0</v>
      </c>
      <c r="BH57" s="371">
        <f t="shared" si="42"/>
        <v>0</v>
      </c>
      <c r="BI57" s="371">
        <f t="shared" si="43"/>
        <v>0</v>
      </c>
      <c r="BJ57" s="371">
        <f t="shared" si="43"/>
        <v>0</v>
      </c>
      <c r="BK57" s="371">
        <f t="shared" si="43"/>
        <v>0</v>
      </c>
      <c r="BL57" s="371">
        <f t="shared" si="43"/>
        <v>0</v>
      </c>
      <c r="BM57" s="371">
        <f t="shared" si="43"/>
        <v>0</v>
      </c>
      <c r="BN57" s="371">
        <f t="shared" si="43"/>
        <v>0</v>
      </c>
      <c r="BO57" s="371">
        <f t="shared" si="43"/>
        <v>0</v>
      </c>
      <c r="BP57" s="371">
        <f t="shared" si="43"/>
        <v>0</v>
      </c>
      <c r="BQ57" s="371">
        <f t="shared" si="43"/>
        <v>0</v>
      </c>
      <c r="BR57" s="371">
        <f t="shared" si="43"/>
        <v>0</v>
      </c>
      <c r="BS57" s="371">
        <f t="shared" si="44"/>
        <v>0</v>
      </c>
      <c r="BT57" s="371">
        <f t="shared" si="44"/>
        <v>0</v>
      </c>
      <c r="BU57" s="371">
        <f t="shared" si="44"/>
        <v>0</v>
      </c>
      <c r="BV57" s="371">
        <f t="shared" si="44"/>
        <v>0</v>
      </c>
      <c r="BW57" s="371">
        <f t="shared" si="44"/>
        <v>0</v>
      </c>
      <c r="BX57" s="371">
        <f t="shared" si="44"/>
        <v>0</v>
      </c>
      <c r="BY57" s="371">
        <f t="shared" si="44"/>
        <v>0</v>
      </c>
      <c r="BZ57" s="371">
        <f t="shared" si="44"/>
        <v>0</v>
      </c>
    </row>
    <row r="58" spans="2:78" ht="21" hidden="1" customHeight="1" outlineLevel="3">
      <c r="B58" s="367"/>
      <c r="C58" s="370"/>
      <c r="D58" s="374">
        <f t="shared" si="32"/>
        <v>45657</v>
      </c>
      <c r="E58" s="373" cm="1">
        <f t="array" ref="E58">IF($D58=LatestMonthOfActuals,INDEX($AE$25:$BZ$25,0,MATCH($D58,$AE$8:$BZ$8,0)),0)</f>
        <v>0</v>
      </c>
      <c r="F58" s="359"/>
      <c r="G58" s="408">
        <f t="shared" si="25"/>
        <v>0</v>
      </c>
      <c r="H58" s="408">
        <f t="shared" si="25"/>
        <v>0</v>
      </c>
      <c r="I58" s="408">
        <f t="shared" si="25"/>
        <v>0</v>
      </c>
      <c r="J58" s="408">
        <f t="shared" si="25"/>
        <v>0</v>
      </c>
      <c r="K58" s="408"/>
      <c r="L58" s="408"/>
      <c r="M58" s="408">
        <f t="shared" si="39"/>
        <v>0</v>
      </c>
      <c r="N58" s="408">
        <f t="shared" si="38"/>
        <v>0</v>
      </c>
      <c r="O58" s="408">
        <f t="shared" si="38"/>
        <v>0</v>
      </c>
      <c r="P58" s="408">
        <f t="shared" si="38"/>
        <v>0</v>
      </c>
      <c r="Q58" s="408">
        <f t="shared" si="38"/>
        <v>0</v>
      </c>
      <c r="R58" s="408">
        <f t="shared" si="38"/>
        <v>0</v>
      </c>
      <c r="S58" s="408">
        <f t="shared" si="38"/>
        <v>0</v>
      </c>
      <c r="T58" s="408">
        <f t="shared" si="38"/>
        <v>0</v>
      </c>
      <c r="U58" s="408">
        <f t="shared" si="38"/>
        <v>0</v>
      </c>
      <c r="V58" s="408">
        <f t="shared" si="38"/>
        <v>0</v>
      </c>
      <c r="W58" s="408">
        <f t="shared" si="38"/>
        <v>0</v>
      </c>
      <c r="X58" s="408">
        <f t="shared" si="38"/>
        <v>0</v>
      </c>
      <c r="Y58" s="408">
        <f t="shared" si="38"/>
        <v>0</v>
      </c>
      <c r="Z58" s="408">
        <f t="shared" si="38"/>
        <v>0</v>
      </c>
      <c r="AA58" s="408">
        <f t="shared" si="38"/>
        <v>0</v>
      </c>
      <c r="AB58" s="408">
        <f t="shared" si="38"/>
        <v>0</v>
      </c>
      <c r="AD58" s="359"/>
      <c r="AE58" s="371">
        <f t="shared" si="40"/>
        <v>0</v>
      </c>
      <c r="AF58" s="371">
        <f t="shared" si="40"/>
        <v>0</v>
      </c>
      <c r="AG58" s="371">
        <f t="shared" si="40"/>
        <v>0</v>
      </c>
      <c r="AH58" s="371">
        <f t="shared" si="40"/>
        <v>0</v>
      </c>
      <c r="AI58" s="371">
        <f t="shared" si="40"/>
        <v>0</v>
      </c>
      <c r="AJ58" s="371">
        <f t="shared" si="40"/>
        <v>0</v>
      </c>
      <c r="AK58" s="371">
        <f t="shared" si="40"/>
        <v>0</v>
      </c>
      <c r="AL58" s="371">
        <f t="shared" si="40"/>
        <v>0</v>
      </c>
      <c r="AM58" s="371">
        <f t="shared" si="40"/>
        <v>0</v>
      </c>
      <c r="AN58" s="371">
        <f t="shared" si="40"/>
        <v>0</v>
      </c>
      <c r="AO58" s="371">
        <f t="shared" si="41"/>
        <v>0</v>
      </c>
      <c r="AP58" s="371">
        <f t="shared" si="41"/>
        <v>0</v>
      </c>
      <c r="AQ58" s="371">
        <f t="shared" si="41"/>
        <v>0</v>
      </c>
      <c r="AR58" s="371">
        <f t="shared" si="41"/>
        <v>0</v>
      </c>
      <c r="AS58" s="371">
        <f t="shared" si="41"/>
        <v>0</v>
      </c>
      <c r="AT58" s="371">
        <f t="shared" si="41"/>
        <v>0</v>
      </c>
      <c r="AU58" s="371">
        <f t="shared" si="41"/>
        <v>0</v>
      </c>
      <c r="AV58" s="371">
        <f t="shared" si="41"/>
        <v>0</v>
      </c>
      <c r="AW58" s="371">
        <f t="shared" si="41"/>
        <v>0</v>
      </c>
      <c r="AX58" s="371">
        <f t="shared" si="41"/>
        <v>0</v>
      </c>
      <c r="AY58" s="371">
        <f t="shared" si="42"/>
        <v>0</v>
      </c>
      <c r="AZ58" s="371">
        <f t="shared" si="42"/>
        <v>0</v>
      </c>
      <c r="BA58" s="371">
        <f t="shared" si="42"/>
        <v>0</v>
      </c>
      <c r="BB58" s="371">
        <f t="shared" si="42"/>
        <v>0</v>
      </c>
      <c r="BC58" s="371">
        <f t="shared" si="42"/>
        <v>0</v>
      </c>
      <c r="BD58" s="371">
        <f t="shared" si="42"/>
        <v>0</v>
      </c>
      <c r="BE58" s="371">
        <f t="shared" si="42"/>
        <v>0</v>
      </c>
      <c r="BF58" s="371">
        <f t="shared" si="42"/>
        <v>0</v>
      </c>
      <c r="BG58" s="371">
        <f t="shared" si="42"/>
        <v>0</v>
      </c>
      <c r="BH58" s="371">
        <f t="shared" si="42"/>
        <v>0</v>
      </c>
      <c r="BI58" s="371">
        <f t="shared" si="43"/>
        <v>0</v>
      </c>
      <c r="BJ58" s="371">
        <f t="shared" si="43"/>
        <v>0</v>
      </c>
      <c r="BK58" s="371">
        <f t="shared" si="43"/>
        <v>0</v>
      </c>
      <c r="BL58" s="371">
        <f t="shared" si="43"/>
        <v>0</v>
      </c>
      <c r="BM58" s="371">
        <f t="shared" si="43"/>
        <v>0</v>
      </c>
      <c r="BN58" s="371">
        <f t="shared" si="43"/>
        <v>0</v>
      </c>
      <c r="BO58" s="371">
        <f t="shared" si="43"/>
        <v>0</v>
      </c>
      <c r="BP58" s="371">
        <f t="shared" si="43"/>
        <v>0</v>
      </c>
      <c r="BQ58" s="371">
        <f t="shared" si="43"/>
        <v>0</v>
      </c>
      <c r="BR58" s="371">
        <f t="shared" si="43"/>
        <v>0</v>
      </c>
      <c r="BS58" s="371">
        <f t="shared" si="44"/>
        <v>0</v>
      </c>
      <c r="BT58" s="371">
        <f t="shared" si="44"/>
        <v>0</v>
      </c>
      <c r="BU58" s="371">
        <f t="shared" si="44"/>
        <v>0</v>
      </c>
      <c r="BV58" s="371">
        <f t="shared" si="44"/>
        <v>0</v>
      </c>
      <c r="BW58" s="371">
        <f t="shared" si="44"/>
        <v>0</v>
      </c>
      <c r="BX58" s="371">
        <f t="shared" si="44"/>
        <v>0</v>
      </c>
      <c r="BY58" s="371">
        <f t="shared" si="44"/>
        <v>0</v>
      </c>
      <c r="BZ58" s="371">
        <f t="shared" si="44"/>
        <v>0</v>
      </c>
    </row>
    <row r="59" spans="2:78" ht="21" hidden="1" customHeight="1" outlineLevel="3">
      <c r="B59" s="367"/>
      <c r="C59" s="370"/>
      <c r="D59" s="374">
        <f t="shared" si="32"/>
        <v>45688</v>
      </c>
      <c r="E59" s="373" cm="1">
        <f t="array" ref="E59">IF($D59=LatestMonthOfActuals,INDEX($AE$25:$BZ$25,0,MATCH($D59,$AE$8:$BZ$8,0)),0)</f>
        <v>0</v>
      </c>
      <c r="F59" s="359"/>
      <c r="G59" s="408">
        <f t="shared" si="25"/>
        <v>0</v>
      </c>
      <c r="H59" s="408">
        <f t="shared" si="25"/>
        <v>0</v>
      </c>
      <c r="I59" s="408">
        <f t="shared" si="25"/>
        <v>0</v>
      </c>
      <c r="J59" s="408">
        <f t="shared" si="25"/>
        <v>0</v>
      </c>
      <c r="K59" s="408"/>
      <c r="L59" s="408"/>
      <c r="M59" s="408">
        <f t="shared" si="39"/>
        <v>0</v>
      </c>
      <c r="N59" s="408">
        <f t="shared" si="38"/>
        <v>0</v>
      </c>
      <c r="O59" s="408">
        <f t="shared" si="38"/>
        <v>0</v>
      </c>
      <c r="P59" s="408">
        <f t="shared" si="38"/>
        <v>0</v>
      </c>
      <c r="Q59" s="408">
        <f t="shared" si="38"/>
        <v>0</v>
      </c>
      <c r="R59" s="408">
        <f t="shared" si="38"/>
        <v>0</v>
      </c>
      <c r="S59" s="408">
        <f t="shared" si="38"/>
        <v>0</v>
      </c>
      <c r="T59" s="408">
        <f t="shared" si="38"/>
        <v>0</v>
      </c>
      <c r="U59" s="408">
        <f t="shared" si="38"/>
        <v>0</v>
      </c>
      <c r="V59" s="408">
        <f t="shared" si="38"/>
        <v>0</v>
      </c>
      <c r="W59" s="408">
        <f t="shared" si="38"/>
        <v>0</v>
      </c>
      <c r="X59" s="408">
        <f t="shared" si="38"/>
        <v>0</v>
      </c>
      <c r="Y59" s="408">
        <f t="shared" si="38"/>
        <v>0</v>
      </c>
      <c r="Z59" s="408">
        <f t="shared" si="38"/>
        <v>0</v>
      </c>
      <c r="AA59" s="408">
        <f t="shared" si="38"/>
        <v>0</v>
      </c>
      <c r="AB59" s="408">
        <f t="shared" si="38"/>
        <v>0</v>
      </c>
      <c r="AD59" s="359"/>
      <c r="AE59" s="371">
        <f t="shared" si="40"/>
        <v>0</v>
      </c>
      <c r="AF59" s="371">
        <f t="shared" si="40"/>
        <v>0</v>
      </c>
      <c r="AG59" s="371">
        <f t="shared" si="40"/>
        <v>0</v>
      </c>
      <c r="AH59" s="371">
        <f t="shared" si="40"/>
        <v>0</v>
      </c>
      <c r="AI59" s="371">
        <f t="shared" si="40"/>
        <v>0</v>
      </c>
      <c r="AJ59" s="371">
        <f t="shared" si="40"/>
        <v>0</v>
      </c>
      <c r="AK59" s="371">
        <f t="shared" si="40"/>
        <v>0</v>
      </c>
      <c r="AL59" s="371">
        <f t="shared" si="40"/>
        <v>0</v>
      </c>
      <c r="AM59" s="371">
        <f t="shared" si="40"/>
        <v>0</v>
      </c>
      <c r="AN59" s="371">
        <f t="shared" si="40"/>
        <v>0</v>
      </c>
      <c r="AO59" s="371">
        <f t="shared" si="41"/>
        <v>0</v>
      </c>
      <c r="AP59" s="371">
        <f t="shared" si="41"/>
        <v>0</v>
      </c>
      <c r="AQ59" s="371">
        <f t="shared" si="41"/>
        <v>0</v>
      </c>
      <c r="AR59" s="371">
        <f t="shared" si="41"/>
        <v>0</v>
      </c>
      <c r="AS59" s="371">
        <f t="shared" si="41"/>
        <v>0</v>
      </c>
      <c r="AT59" s="371">
        <f t="shared" si="41"/>
        <v>0</v>
      </c>
      <c r="AU59" s="371">
        <f t="shared" si="41"/>
        <v>0</v>
      </c>
      <c r="AV59" s="371">
        <f t="shared" si="41"/>
        <v>0</v>
      </c>
      <c r="AW59" s="371">
        <f t="shared" si="41"/>
        <v>0</v>
      </c>
      <c r="AX59" s="371">
        <f t="shared" si="41"/>
        <v>0</v>
      </c>
      <c r="AY59" s="371">
        <f t="shared" si="42"/>
        <v>0</v>
      </c>
      <c r="AZ59" s="371">
        <f t="shared" si="42"/>
        <v>0</v>
      </c>
      <c r="BA59" s="371">
        <f t="shared" si="42"/>
        <v>0</v>
      </c>
      <c r="BB59" s="371">
        <f t="shared" si="42"/>
        <v>0</v>
      </c>
      <c r="BC59" s="371">
        <f t="shared" si="42"/>
        <v>0</v>
      </c>
      <c r="BD59" s="371">
        <f t="shared" si="42"/>
        <v>0</v>
      </c>
      <c r="BE59" s="371">
        <f t="shared" si="42"/>
        <v>0</v>
      </c>
      <c r="BF59" s="371">
        <f t="shared" si="42"/>
        <v>0</v>
      </c>
      <c r="BG59" s="371">
        <f t="shared" si="42"/>
        <v>0</v>
      </c>
      <c r="BH59" s="371">
        <f t="shared" si="42"/>
        <v>0</v>
      </c>
      <c r="BI59" s="371">
        <f t="shared" si="43"/>
        <v>0</v>
      </c>
      <c r="BJ59" s="371">
        <f t="shared" si="43"/>
        <v>0</v>
      </c>
      <c r="BK59" s="371">
        <f t="shared" si="43"/>
        <v>0</v>
      </c>
      <c r="BL59" s="371">
        <f t="shared" si="43"/>
        <v>0</v>
      </c>
      <c r="BM59" s="371">
        <f t="shared" si="43"/>
        <v>0</v>
      </c>
      <c r="BN59" s="371">
        <f t="shared" si="43"/>
        <v>0</v>
      </c>
      <c r="BO59" s="371">
        <f t="shared" si="43"/>
        <v>0</v>
      </c>
      <c r="BP59" s="371">
        <f t="shared" si="43"/>
        <v>0</v>
      </c>
      <c r="BQ59" s="371">
        <f t="shared" si="43"/>
        <v>0</v>
      </c>
      <c r="BR59" s="371">
        <f t="shared" si="43"/>
        <v>0</v>
      </c>
      <c r="BS59" s="371">
        <f t="shared" si="44"/>
        <v>0</v>
      </c>
      <c r="BT59" s="371">
        <f t="shared" si="44"/>
        <v>0</v>
      </c>
      <c r="BU59" s="371">
        <f t="shared" si="44"/>
        <v>0</v>
      </c>
      <c r="BV59" s="371">
        <f t="shared" si="44"/>
        <v>0</v>
      </c>
      <c r="BW59" s="371">
        <f t="shared" si="44"/>
        <v>0</v>
      </c>
      <c r="BX59" s="371">
        <f t="shared" si="44"/>
        <v>0</v>
      </c>
      <c r="BY59" s="371">
        <f t="shared" si="44"/>
        <v>0</v>
      </c>
      <c r="BZ59" s="371">
        <f t="shared" si="44"/>
        <v>0</v>
      </c>
    </row>
    <row r="60" spans="2:78" ht="21" hidden="1" customHeight="1" outlineLevel="3">
      <c r="B60" s="367"/>
      <c r="C60" s="370"/>
      <c r="D60" s="374">
        <f t="shared" si="32"/>
        <v>45716</v>
      </c>
      <c r="E60" s="373" cm="1">
        <f t="array" ref="E60">IF($D60=LatestMonthOfActuals,INDEX($AE$25:$BZ$25,0,MATCH($D60,$AE$8:$BZ$8,0)),0)</f>
        <v>0</v>
      </c>
      <c r="F60" s="359"/>
      <c r="G60" s="408">
        <f t="shared" si="25"/>
        <v>0</v>
      </c>
      <c r="H60" s="408">
        <f t="shared" si="25"/>
        <v>0</v>
      </c>
      <c r="I60" s="408">
        <f t="shared" si="25"/>
        <v>0</v>
      </c>
      <c r="J60" s="408">
        <f t="shared" si="25"/>
        <v>0</v>
      </c>
      <c r="K60" s="408"/>
      <c r="L60" s="408"/>
      <c r="M60" s="408">
        <f t="shared" si="39"/>
        <v>0</v>
      </c>
      <c r="N60" s="408">
        <f t="shared" si="38"/>
        <v>0</v>
      </c>
      <c r="O60" s="408">
        <f t="shared" si="38"/>
        <v>0</v>
      </c>
      <c r="P60" s="408">
        <f t="shared" si="38"/>
        <v>0</v>
      </c>
      <c r="Q60" s="408">
        <f t="shared" si="38"/>
        <v>0</v>
      </c>
      <c r="R60" s="408">
        <f t="shared" si="38"/>
        <v>0</v>
      </c>
      <c r="S60" s="408">
        <f t="shared" si="38"/>
        <v>0</v>
      </c>
      <c r="T60" s="408">
        <f t="shared" si="38"/>
        <v>0</v>
      </c>
      <c r="U60" s="408">
        <f t="shared" si="38"/>
        <v>0</v>
      </c>
      <c r="V60" s="408">
        <f t="shared" si="38"/>
        <v>0</v>
      </c>
      <c r="W60" s="408">
        <f t="shared" si="38"/>
        <v>0</v>
      </c>
      <c r="X60" s="408">
        <f t="shared" si="38"/>
        <v>0</v>
      </c>
      <c r="Y60" s="408">
        <f t="shared" si="38"/>
        <v>0</v>
      </c>
      <c r="Z60" s="408">
        <f t="shared" si="38"/>
        <v>0</v>
      </c>
      <c r="AA60" s="408">
        <f t="shared" si="38"/>
        <v>0</v>
      </c>
      <c r="AB60" s="408">
        <f t="shared" si="38"/>
        <v>0</v>
      </c>
      <c r="AD60" s="359"/>
      <c r="AE60" s="371">
        <f t="shared" si="40"/>
        <v>0</v>
      </c>
      <c r="AF60" s="371">
        <f t="shared" si="40"/>
        <v>0</v>
      </c>
      <c r="AG60" s="371">
        <f t="shared" si="40"/>
        <v>0</v>
      </c>
      <c r="AH60" s="371">
        <f t="shared" si="40"/>
        <v>0</v>
      </c>
      <c r="AI60" s="371">
        <f t="shared" si="40"/>
        <v>0</v>
      </c>
      <c r="AJ60" s="371">
        <f t="shared" si="40"/>
        <v>0</v>
      </c>
      <c r="AK60" s="371">
        <f t="shared" si="40"/>
        <v>0</v>
      </c>
      <c r="AL60" s="371">
        <f t="shared" si="40"/>
        <v>0</v>
      </c>
      <c r="AM60" s="371">
        <f t="shared" si="40"/>
        <v>0</v>
      </c>
      <c r="AN60" s="371">
        <f t="shared" si="40"/>
        <v>0</v>
      </c>
      <c r="AO60" s="371">
        <f t="shared" si="41"/>
        <v>0</v>
      </c>
      <c r="AP60" s="371">
        <f t="shared" si="41"/>
        <v>0</v>
      </c>
      <c r="AQ60" s="371">
        <f t="shared" si="41"/>
        <v>0</v>
      </c>
      <c r="AR60" s="371">
        <f t="shared" si="41"/>
        <v>0</v>
      </c>
      <c r="AS60" s="371">
        <f t="shared" si="41"/>
        <v>0</v>
      </c>
      <c r="AT60" s="371">
        <f t="shared" si="41"/>
        <v>0</v>
      </c>
      <c r="AU60" s="371">
        <f t="shared" si="41"/>
        <v>0</v>
      </c>
      <c r="AV60" s="371">
        <f t="shared" si="41"/>
        <v>0</v>
      </c>
      <c r="AW60" s="371">
        <f t="shared" si="41"/>
        <v>0</v>
      </c>
      <c r="AX60" s="371">
        <f t="shared" si="41"/>
        <v>0</v>
      </c>
      <c r="AY60" s="371">
        <f t="shared" si="42"/>
        <v>0</v>
      </c>
      <c r="AZ60" s="371">
        <f t="shared" si="42"/>
        <v>0</v>
      </c>
      <c r="BA60" s="371">
        <f t="shared" si="42"/>
        <v>0</v>
      </c>
      <c r="BB60" s="371">
        <f t="shared" si="42"/>
        <v>0</v>
      </c>
      <c r="BC60" s="371">
        <f t="shared" si="42"/>
        <v>0</v>
      </c>
      <c r="BD60" s="371">
        <f t="shared" si="42"/>
        <v>0</v>
      </c>
      <c r="BE60" s="371">
        <f t="shared" si="42"/>
        <v>0</v>
      </c>
      <c r="BF60" s="371">
        <f t="shared" si="42"/>
        <v>0</v>
      </c>
      <c r="BG60" s="371">
        <f t="shared" si="42"/>
        <v>0</v>
      </c>
      <c r="BH60" s="371">
        <f t="shared" si="42"/>
        <v>0</v>
      </c>
      <c r="BI60" s="371">
        <f t="shared" si="43"/>
        <v>0</v>
      </c>
      <c r="BJ60" s="371">
        <f t="shared" si="43"/>
        <v>0</v>
      </c>
      <c r="BK60" s="371">
        <f t="shared" si="43"/>
        <v>0</v>
      </c>
      <c r="BL60" s="371">
        <f t="shared" si="43"/>
        <v>0</v>
      </c>
      <c r="BM60" s="371">
        <f t="shared" si="43"/>
        <v>0</v>
      </c>
      <c r="BN60" s="371">
        <f t="shared" si="43"/>
        <v>0</v>
      </c>
      <c r="BO60" s="371">
        <f t="shared" si="43"/>
        <v>0</v>
      </c>
      <c r="BP60" s="371">
        <f t="shared" si="43"/>
        <v>0</v>
      </c>
      <c r="BQ60" s="371">
        <f t="shared" si="43"/>
        <v>0</v>
      </c>
      <c r="BR60" s="371">
        <f t="shared" si="43"/>
        <v>0</v>
      </c>
      <c r="BS60" s="371">
        <f t="shared" si="44"/>
        <v>0</v>
      </c>
      <c r="BT60" s="371">
        <f t="shared" si="44"/>
        <v>0</v>
      </c>
      <c r="BU60" s="371">
        <f t="shared" si="44"/>
        <v>0</v>
      </c>
      <c r="BV60" s="371">
        <f t="shared" si="44"/>
        <v>0</v>
      </c>
      <c r="BW60" s="371">
        <f t="shared" si="44"/>
        <v>0</v>
      </c>
      <c r="BX60" s="371">
        <f t="shared" si="44"/>
        <v>0</v>
      </c>
      <c r="BY60" s="371">
        <f t="shared" si="44"/>
        <v>0</v>
      </c>
      <c r="BZ60" s="371">
        <f t="shared" si="44"/>
        <v>0</v>
      </c>
    </row>
    <row r="61" spans="2:78" ht="21" hidden="1" customHeight="1" outlineLevel="3">
      <c r="B61" s="367"/>
      <c r="C61" s="370"/>
      <c r="D61" s="374">
        <f t="shared" si="32"/>
        <v>45747</v>
      </c>
      <c r="E61" s="373" cm="1">
        <f t="array" ref="E61">IF($D61=LatestMonthOfActuals,INDEX($AE$25:$BZ$25,0,MATCH($D61,$AE$8:$BZ$8,0)),0)</f>
        <v>0</v>
      </c>
      <c r="F61" s="359"/>
      <c r="G61" s="408">
        <f t="shared" si="25"/>
        <v>0</v>
      </c>
      <c r="H61" s="408">
        <f t="shared" si="25"/>
        <v>0</v>
      </c>
      <c r="I61" s="408">
        <f t="shared" si="25"/>
        <v>0</v>
      </c>
      <c r="J61" s="408">
        <f t="shared" si="25"/>
        <v>0</v>
      </c>
      <c r="K61" s="408"/>
      <c r="L61" s="408"/>
      <c r="M61" s="408">
        <f t="shared" si="39"/>
        <v>0</v>
      </c>
      <c r="N61" s="408">
        <f t="shared" si="38"/>
        <v>0</v>
      </c>
      <c r="O61" s="408">
        <f t="shared" si="38"/>
        <v>0</v>
      </c>
      <c r="P61" s="408">
        <f t="shared" si="38"/>
        <v>0</v>
      </c>
      <c r="Q61" s="408">
        <f t="shared" si="38"/>
        <v>0</v>
      </c>
      <c r="R61" s="408">
        <f t="shared" si="38"/>
        <v>0</v>
      </c>
      <c r="S61" s="408">
        <f t="shared" si="38"/>
        <v>0</v>
      </c>
      <c r="T61" s="408">
        <f t="shared" si="38"/>
        <v>0</v>
      </c>
      <c r="U61" s="408">
        <f t="shared" si="38"/>
        <v>0</v>
      </c>
      <c r="V61" s="408">
        <f t="shared" si="38"/>
        <v>0</v>
      </c>
      <c r="W61" s="408">
        <f t="shared" si="38"/>
        <v>0</v>
      </c>
      <c r="X61" s="408">
        <f t="shared" si="38"/>
        <v>0</v>
      </c>
      <c r="Y61" s="408">
        <f t="shared" si="38"/>
        <v>0</v>
      </c>
      <c r="Z61" s="408">
        <f t="shared" si="38"/>
        <v>0</v>
      </c>
      <c r="AA61" s="408">
        <f t="shared" si="38"/>
        <v>0</v>
      </c>
      <c r="AB61" s="408">
        <f t="shared" si="38"/>
        <v>0</v>
      </c>
      <c r="AD61" s="359"/>
      <c r="AE61" s="371">
        <f t="shared" si="40"/>
        <v>0</v>
      </c>
      <c r="AF61" s="371">
        <f t="shared" si="40"/>
        <v>0</v>
      </c>
      <c r="AG61" s="371">
        <f t="shared" si="40"/>
        <v>0</v>
      </c>
      <c r="AH61" s="371">
        <f t="shared" si="40"/>
        <v>0</v>
      </c>
      <c r="AI61" s="371">
        <f t="shared" si="40"/>
        <v>0</v>
      </c>
      <c r="AJ61" s="371">
        <f t="shared" si="40"/>
        <v>0</v>
      </c>
      <c r="AK61" s="371">
        <f t="shared" si="40"/>
        <v>0</v>
      </c>
      <c r="AL61" s="371">
        <f t="shared" si="40"/>
        <v>0</v>
      </c>
      <c r="AM61" s="371">
        <f t="shared" si="40"/>
        <v>0</v>
      </c>
      <c r="AN61" s="371">
        <f t="shared" si="40"/>
        <v>0</v>
      </c>
      <c r="AO61" s="371">
        <f t="shared" si="41"/>
        <v>0</v>
      </c>
      <c r="AP61" s="371">
        <f t="shared" si="41"/>
        <v>0</v>
      </c>
      <c r="AQ61" s="371">
        <f t="shared" si="41"/>
        <v>0</v>
      </c>
      <c r="AR61" s="371">
        <f t="shared" si="41"/>
        <v>0</v>
      </c>
      <c r="AS61" s="371">
        <f t="shared" si="41"/>
        <v>0</v>
      </c>
      <c r="AT61" s="371">
        <f t="shared" si="41"/>
        <v>0</v>
      </c>
      <c r="AU61" s="371">
        <f t="shared" si="41"/>
        <v>0</v>
      </c>
      <c r="AV61" s="371">
        <f t="shared" si="41"/>
        <v>0</v>
      </c>
      <c r="AW61" s="371">
        <f t="shared" si="41"/>
        <v>0</v>
      </c>
      <c r="AX61" s="371">
        <f t="shared" si="41"/>
        <v>0</v>
      </c>
      <c r="AY61" s="371">
        <f t="shared" si="42"/>
        <v>0</v>
      </c>
      <c r="AZ61" s="371">
        <f t="shared" si="42"/>
        <v>0</v>
      </c>
      <c r="BA61" s="371">
        <f t="shared" si="42"/>
        <v>0</v>
      </c>
      <c r="BB61" s="371">
        <f t="shared" si="42"/>
        <v>0</v>
      </c>
      <c r="BC61" s="371">
        <f t="shared" si="42"/>
        <v>0</v>
      </c>
      <c r="BD61" s="371">
        <f t="shared" si="42"/>
        <v>0</v>
      </c>
      <c r="BE61" s="371">
        <f t="shared" si="42"/>
        <v>0</v>
      </c>
      <c r="BF61" s="371">
        <f t="shared" si="42"/>
        <v>0</v>
      </c>
      <c r="BG61" s="371">
        <f t="shared" si="42"/>
        <v>0</v>
      </c>
      <c r="BH61" s="371">
        <f t="shared" si="42"/>
        <v>0</v>
      </c>
      <c r="BI61" s="371">
        <f t="shared" si="43"/>
        <v>0</v>
      </c>
      <c r="BJ61" s="371">
        <f t="shared" si="43"/>
        <v>0</v>
      </c>
      <c r="BK61" s="371">
        <f t="shared" si="43"/>
        <v>0</v>
      </c>
      <c r="BL61" s="371">
        <f t="shared" si="43"/>
        <v>0</v>
      </c>
      <c r="BM61" s="371">
        <f t="shared" si="43"/>
        <v>0</v>
      </c>
      <c r="BN61" s="371">
        <f t="shared" si="43"/>
        <v>0</v>
      </c>
      <c r="BO61" s="371">
        <f t="shared" si="43"/>
        <v>0</v>
      </c>
      <c r="BP61" s="371">
        <f t="shared" si="43"/>
        <v>0</v>
      </c>
      <c r="BQ61" s="371">
        <f t="shared" si="43"/>
        <v>0</v>
      </c>
      <c r="BR61" s="371">
        <f t="shared" si="43"/>
        <v>0</v>
      </c>
      <c r="BS61" s="371">
        <f t="shared" si="44"/>
        <v>0</v>
      </c>
      <c r="BT61" s="371">
        <f t="shared" si="44"/>
        <v>0</v>
      </c>
      <c r="BU61" s="371">
        <f t="shared" si="44"/>
        <v>0</v>
      </c>
      <c r="BV61" s="371">
        <f t="shared" si="44"/>
        <v>0</v>
      </c>
      <c r="BW61" s="371">
        <f t="shared" si="44"/>
        <v>0</v>
      </c>
      <c r="BX61" s="371">
        <f t="shared" si="44"/>
        <v>0</v>
      </c>
      <c r="BY61" s="371">
        <f t="shared" si="44"/>
        <v>0</v>
      </c>
      <c r="BZ61" s="371">
        <f t="shared" si="44"/>
        <v>0</v>
      </c>
    </row>
    <row r="62" spans="2:78" ht="21" hidden="1" customHeight="1" outlineLevel="3">
      <c r="B62" s="367"/>
      <c r="C62" s="370"/>
      <c r="D62" s="374">
        <f t="shared" si="32"/>
        <v>45777</v>
      </c>
      <c r="E62" s="373" cm="1">
        <f t="array" ref="E62">IF($D62=LatestMonthOfActuals,INDEX($AE$25:$BZ$25,0,MATCH($D62,$AE$8:$BZ$8,0)),0)</f>
        <v>0</v>
      </c>
      <c r="F62" s="359"/>
      <c r="G62" s="408">
        <f t="shared" si="25"/>
        <v>0</v>
      </c>
      <c r="H62" s="408">
        <f t="shared" si="25"/>
        <v>0</v>
      </c>
      <c r="I62" s="408">
        <f t="shared" si="25"/>
        <v>0</v>
      </c>
      <c r="J62" s="408">
        <f t="shared" si="25"/>
        <v>0</v>
      </c>
      <c r="K62" s="408"/>
      <c r="L62" s="408"/>
      <c r="M62" s="408">
        <f t="shared" si="39"/>
        <v>0</v>
      </c>
      <c r="N62" s="408">
        <f t="shared" si="38"/>
        <v>0</v>
      </c>
      <c r="O62" s="408">
        <f t="shared" si="38"/>
        <v>0</v>
      </c>
      <c r="P62" s="408">
        <f t="shared" si="38"/>
        <v>0</v>
      </c>
      <c r="Q62" s="408">
        <f t="shared" si="38"/>
        <v>0</v>
      </c>
      <c r="R62" s="408">
        <f t="shared" si="38"/>
        <v>0</v>
      </c>
      <c r="S62" s="408">
        <f t="shared" si="38"/>
        <v>0</v>
      </c>
      <c r="T62" s="408">
        <f t="shared" si="38"/>
        <v>0</v>
      </c>
      <c r="U62" s="408">
        <f t="shared" si="38"/>
        <v>0</v>
      </c>
      <c r="V62" s="408">
        <f t="shared" si="38"/>
        <v>0</v>
      </c>
      <c r="W62" s="408">
        <f t="shared" si="38"/>
        <v>0</v>
      </c>
      <c r="X62" s="408">
        <f t="shared" si="38"/>
        <v>0</v>
      </c>
      <c r="Y62" s="408">
        <f t="shared" si="38"/>
        <v>0</v>
      </c>
      <c r="Z62" s="408">
        <f t="shared" si="38"/>
        <v>0</v>
      </c>
      <c r="AA62" s="408">
        <f t="shared" si="38"/>
        <v>0</v>
      </c>
      <c r="AB62" s="408">
        <f t="shared" si="38"/>
        <v>0</v>
      </c>
      <c r="AD62" s="359"/>
      <c r="AE62" s="371">
        <f t="shared" si="40"/>
        <v>0</v>
      </c>
      <c r="AF62" s="371">
        <f t="shared" si="40"/>
        <v>0</v>
      </c>
      <c r="AG62" s="371">
        <f t="shared" si="40"/>
        <v>0</v>
      </c>
      <c r="AH62" s="371">
        <f t="shared" si="40"/>
        <v>0</v>
      </c>
      <c r="AI62" s="371">
        <f t="shared" si="40"/>
        <v>0</v>
      </c>
      <c r="AJ62" s="371">
        <f t="shared" si="40"/>
        <v>0</v>
      </c>
      <c r="AK62" s="371">
        <f t="shared" si="40"/>
        <v>0</v>
      </c>
      <c r="AL62" s="371">
        <f t="shared" si="40"/>
        <v>0</v>
      </c>
      <c r="AM62" s="371">
        <f t="shared" si="40"/>
        <v>0</v>
      </c>
      <c r="AN62" s="371">
        <f t="shared" si="40"/>
        <v>0</v>
      </c>
      <c r="AO62" s="371">
        <f t="shared" si="41"/>
        <v>0</v>
      </c>
      <c r="AP62" s="371">
        <f t="shared" si="41"/>
        <v>0</v>
      </c>
      <c r="AQ62" s="371">
        <f t="shared" si="41"/>
        <v>0</v>
      </c>
      <c r="AR62" s="371">
        <f t="shared" si="41"/>
        <v>0</v>
      </c>
      <c r="AS62" s="371">
        <f t="shared" si="41"/>
        <v>0</v>
      </c>
      <c r="AT62" s="371">
        <f t="shared" si="41"/>
        <v>0</v>
      </c>
      <c r="AU62" s="371">
        <f t="shared" si="41"/>
        <v>0</v>
      </c>
      <c r="AV62" s="371">
        <f t="shared" si="41"/>
        <v>0</v>
      </c>
      <c r="AW62" s="371">
        <f t="shared" si="41"/>
        <v>0</v>
      </c>
      <c r="AX62" s="371">
        <f t="shared" si="41"/>
        <v>0</v>
      </c>
      <c r="AY62" s="371">
        <f t="shared" si="42"/>
        <v>0</v>
      </c>
      <c r="AZ62" s="371">
        <f t="shared" si="42"/>
        <v>0</v>
      </c>
      <c r="BA62" s="371">
        <f t="shared" si="42"/>
        <v>0</v>
      </c>
      <c r="BB62" s="371">
        <f t="shared" si="42"/>
        <v>0</v>
      </c>
      <c r="BC62" s="371">
        <f t="shared" si="42"/>
        <v>0</v>
      </c>
      <c r="BD62" s="371">
        <f t="shared" si="42"/>
        <v>0</v>
      </c>
      <c r="BE62" s="371">
        <f t="shared" si="42"/>
        <v>0</v>
      </c>
      <c r="BF62" s="371">
        <f t="shared" si="42"/>
        <v>0</v>
      </c>
      <c r="BG62" s="371">
        <f t="shared" si="42"/>
        <v>0</v>
      </c>
      <c r="BH62" s="371">
        <f t="shared" si="42"/>
        <v>0</v>
      </c>
      <c r="BI62" s="371">
        <f t="shared" si="43"/>
        <v>0</v>
      </c>
      <c r="BJ62" s="371">
        <f t="shared" si="43"/>
        <v>0</v>
      </c>
      <c r="BK62" s="371">
        <f t="shared" si="43"/>
        <v>0</v>
      </c>
      <c r="BL62" s="371">
        <f t="shared" si="43"/>
        <v>0</v>
      </c>
      <c r="BM62" s="371">
        <f t="shared" si="43"/>
        <v>0</v>
      </c>
      <c r="BN62" s="371">
        <f t="shared" si="43"/>
        <v>0</v>
      </c>
      <c r="BO62" s="371">
        <f t="shared" si="43"/>
        <v>0</v>
      </c>
      <c r="BP62" s="371">
        <f t="shared" si="43"/>
        <v>0</v>
      </c>
      <c r="BQ62" s="371">
        <f t="shared" si="43"/>
        <v>0</v>
      </c>
      <c r="BR62" s="371">
        <f t="shared" si="43"/>
        <v>0</v>
      </c>
      <c r="BS62" s="371">
        <f t="shared" si="44"/>
        <v>0</v>
      </c>
      <c r="BT62" s="371">
        <f t="shared" si="44"/>
        <v>0</v>
      </c>
      <c r="BU62" s="371">
        <f t="shared" si="44"/>
        <v>0</v>
      </c>
      <c r="BV62" s="371">
        <f t="shared" si="44"/>
        <v>0</v>
      </c>
      <c r="BW62" s="371">
        <f t="shared" si="44"/>
        <v>0</v>
      </c>
      <c r="BX62" s="371">
        <f t="shared" si="44"/>
        <v>0</v>
      </c>
      <c r="BY62" s="371">
        <f t="shared" si="44"/>
        <v>0</v>
      </c>
      <c r="BZ62" s="371">
        <f t="shared" si="44"/>
        <v>0</v>
      </c>
    </row>
    <row r="63" spans="2:78" ht="21" hidden="1" customHeight="1" outlineLevel="3">
      <c r="B63" s="367"/>
      <c r="C63" s="370"/>
      <c r="D63" s="374">
        <f t="shared" si="32"/>
        <v>45808</v>
      </c>
      <c r="E63" s="373" cm="1">
        <f t="array" ref="E63">IF($D63=LatestMonthOfActuals,INDEX($AE$25:$BZ$25,0,MATCH($D63,$AE$8:$BZ$8,0)),0)</f>
        <v>0</v>
      </c>
      <c r="F63" s="359"/>
      <c r="G63" s="408">
        <f t="shared" si="25"/>
        <v>0</v>
      </c>
      <c r="H63" s="408">
        <f t="shared" si="25"/>
        <v>0</v>
      </c>
      <c r="I63" s="408">
        <f t="shared" si="25"/>
        <v>0</v>
      </c>
      <c r="J63" s="408">
        <f t="shared" si="25"/>
        <v>0</v>
      </c>
      <c r="K63" s="408"/>
      <c r="L63" s="408"/>
      <c r="M63" s="408">
        <f t="shared" si="39"/>
        <v>0</v>
      </c>
      <c r="N63" s="408">
        <f t="shared" si="38"/>
        <v>0</v>
      </c>
      <c r="O63" s="408">
        <f t="shared" si="38"/>
        <v>0</v>
      </c>
      <c r="P63" s="408">
        <f t="shared" si="38"/>
        <v>0</v>
      </c>
      <c r="Q63" s="408">
        <f t="shared" si="38"/>
        <v>0</v>
      </c>
      <c r="R63" s="408">
        <f t="shared" si="38"/>
        <v>0</v>
      </c>
      <c r="S63" s="408">
        <f t="shared" si="38"/>
        <v>0</v>
      </c>
      <c r="T63" s="408">
        <f t="shared" si="38"/>
        <v>0</v>
      </c>
      <c r="U63" s="408">
        <f t="shared" si="38"/>
        <v>0</v>
      </c>
      <c r="V63" s="408">
        <f t="shared" si="38"/>
        <v>0</v>
      </c>
      <c r="W63" s="408">
        <f t="shared" si="38"/>
        <v>0</v>
      </c>
      <c r="X63" s="408">
        <f t="shared" si="38"/>
        <v>0</v>
      </c>
      <c r="Y63" s="408">
        <f t="shared" si="38"/>
        <v>0</v>
      </c>
      <c r="Z63" s="408">
        <f t="shared" si="38"/>
        <v>0</v>
      </c>
      <c r="AA63" s="408">
        <f t="shared" si="38"/>
        <v>0</v>
      </c>
      <c r="AB63" s="408">
        <f t="shared" si="38"/>
        <v>0</v>
      </c>
      <c r="AD63" s="359"/>
      <c r="AE63" s="371">
        <f t="shared" si="40"/>
        <v>0</v>
      </c>
      <c r="AF63" s="371">
        <f t="shared" si="40"/>
        <v>0</v>
      </c>
      <c r="AG63" s="371">
        <f t="shared" si="40"/>
        <v>0</v>
      </c>
      <c r="AH63" s="371">
        <f t="shared" si="40"/>
        <v>0</v>
      </c>
      <c r="AI63" s="371">
        <f t="shared" si="40"/>
        <v>0</v>
      </c>
      <c r="AJ63" s="371">
        <f t="shared" si="40"/>
        <v>0</v>
      </c>
      <c r="AK63" s="371">
        <f t="shared" si="40"/>
        <v>0</v>
      </c>
      <c r="AL63" s="371">
        <f t="shared" si="40"/>
        <v>0</v>
      </c>
      <c r="AM63" s="371">
        <f t="shared" si="40"/>
        <v>0</v>
      </c>
      <c r="AN63" s="371">
        <f t="shared" si="40"/>
        <v>0</v>
      </c>
      <c r="AO63" s="371">
        <f t="shared" si="41"/>
        <v>0</v>
      </c>
      <c r="AP63" s="371">
        <f t="shared" si="41"/>
        <v>0</v>
      </c>
      <c r="AQ63" s="371">
        <f t="shared" si="41"/>
        <v>0</v>
      </c>
      <c r="AR63" s="371">
        <f t="shared" si="41"/>
        <v>0</v>
      </c>
      <c r="AS63" s="371">
        <f t="shared" si="41"/>
        <v>0</v>
      </c>
      <c r="AT63" s="371">
        <f t="shared" si="41"/>
        <v>0</v>
      </c>
      <c r="AU63" s="371">
        <f t="shared" si="41"/>
        <v>0</v>
      </c>
      <c r="AV63" s="371">
        <f t="shared" si="41"/>
        <v>0</v>
      </c>
      <c r="AW63" s="371">
        <f t="shared" si="41"/>
        <v>0</v>
      </c>
      <c r="AX63" s="371">
        <f t="shared" si="41"/>
        <v>0</v>
      </c>
      <c r="AY63" s="371">
        <f t="shared" si="42"/>
        <v>0</v>
      </c>
      <c r="AZ63" s="371">
        <f t="shared" si="42"/>
        <v>0</v>
      </c>
      <c r="BA63" s="371">
        <f t="shared" si="42"/>
        <v>0</v>
      </c>
      <c r="BB63" s="371">
        <f t="shared" si="42"/>
        <v>0</v>
      </c>
      <c r="BC63" s="371">
        <f t="shared" si="42"/>
        <v>0</v>
      </c>
      <c r="BD63" s="371">
        <f t="shared" si="42"/>
        <v>0</v>
      </c>
      <c r="BE63" s="371">
        <f t="shared" si="42"/>
        <v>0</v>
      </c>
      <c r="BF63" s="371">
        <f t="shared" si="42"/>
        <v>0</v>
      </c>
      <c r="BG63" s="371">
        <f t="shared" si="42"/>
        <v>0</v>
      </c>
      <c r="BH63" s="371">
        <f t="shared" si="42"/>
        <v>0</v>
      </c>
      <c r="BI63" s="371">
        <f t="shared" si="43"/>
        <v>0</v>
      </c>
      <c r="BJ63" s="371">
        <f t="shared" si="43"/>
        <v>0</v>
      </c>
      <c r="BK63" s="371">
        <f t="shared" si="43"/>
        <v>0</v>
      </c>
      <c r="BL63" s="371">
        <f t="shared" si="43"/>
        <v>0</v>
      </c>
      <c r="BM63" s="371">
        <f t="shared" si="43"/>
        <v>0</v>
      </c>
      <c r="BN63" s="371">
        <f t="shared" si="43"/>
        <v>0</v>
      </c>
      <c r="BO63" s="371">
        <f t="shared" si="43"/>
        <v>0</v>
      </c>
      <c r="BP63" s="371">
        <f t="shared" si="43"/>
        <v>0</v>
      </c>
      <c r="BQ63" s="371">
        <f t="shared" si="43"/>
        <v>0</v>
      </c>
      <c r="BR63" s="371">
        <f t="shared" si="43"/>
        <v>0</v>
      </c>
      <c r="BS63" s="371">
        <f t="shared" si="44"/>
        <v>0</v>
      </c>
      <c r="BT63" s="371">
        <f t="shared" si="44"/>
        <v>0</v>
      </c>
      <c r="BU63" s="371">
        <f t="shared" si="44"/>
        <v>0</v>
      </c>
      <c r="BV63" s="371">
        <f t="shared" si="44"/>
        <v>0</v>
      </c>
      <c r="BW63" s="371">
        <f t="shared" si="44"/>
        <v>0</v>
      </c>
      <c r="BX63" s="371">
        <f t="shared" si="44"/>
        <v>0</v>
      </c>
      <c r="BY63" s="371">
        <f t="shared" si="44"/>
        <v>0</v>
      </c>
      <c r="BZ63" s="371">
        <f t="shared" si="44"/>
        <v>0</v>
      </c>
    </row>
    <row r="64" spans="2:78" ht="21" hidden="1" customHeight="1" outlineLevel="3">
      <c r="B64" s="367"/>
      <c r="C64" s="370"/>
      <c r="D64" s="374">
        <f t="shared" si="32"/>
        <v>45838</v>
      </c>
      <c r="E64" s="373" cm="1">
        <f t="array" ref="E64">IF($D64=LatestMonthOfActuals,INDEX($AE$25:$BZ$25,0,MATCH($D64,$AE$8:$BZ$8,0)),0)</f>
        <v>0</v>
      </c>
      <c r="F64" s="359"/>
      <c r="G64" s="408">
        <f t="shared" si="25"/>
        <v>0</v>
      </c>
      <c r="H64" s="408">
        <f t="shared" si="25"/>
        <v>0</v>
      </c>
      <c r="I64" s="408">
        <f t="shared" si="25"/>
        <v>0</v>
      </c>
      <c r="J64" s="408">
        <f t="shared" si="25"/>
        <v>0</v>
      </c>
      <c r="K64" s="408"/>
      <c r="L64" s="408"/>
      <c r="M64" s="408">
        <f t="shared" si="39"/>
        <v>0</v>
      </c>
      <c r="N64" s="408">
        <f t="shared" si="38"/>
        <v>0</v>
      </c>
      <c r="O64" s="408">
        <f t="shared" si="38"/>
        <v>0</v>
      </c>
      <c r="P64" s="408">
        <f t="shared" si="38"/>
        <v>0</v>
      </c>
      <c r="Q64" s="408">
        <f t="shared" si="38"/>
        <v>0</v>
      </c>
      <c r="R64" s="408">
        <f t="shared" si="38"/>
        <v>0</v>
      </c>
      <c r="S64" s="408">
        <f t="shared" si="38"/>
        <v>0</v>
      </c>
      <c r="T64" s="408">
        <f t="shared" si="38"/>
        <v>0</v>
      </c>
      <c r="U64" s="408">
        <f t="shared" si="38"/>
        <v>0</v>
      </c>
      <c r="V64" s="408">
        <f t="shared" si="38"/>
        <v>0</v>
      </c>
      <c r="W64" s="408">
        <f t="shared" si="38"/>
        <v>0</v>
      </c>
      <c r="X64" s="408">
        <f t="shared" si="38"/>
        <v>0</v>
      </c>
      <c r="Y64" s="408">
        <f t="shared" si="38"/>
        <v>0</v>
      </c>
      <c r="Z64" s="408">
        <f t="shared" si="38"/>
        <v>0</v>
      </c>
      <c r="AA64" s="408">
        <f t="shared" si="38"/>
        <v>0</v>
      </c>
      <c r="AB64" s="408">
        <f t="shared" si="38"/>
        <v>0</v>
      </c>
      <c r="AD64" s="359"/>
      <c r="AE64" s="371">
        <f t="shared" si="40"/>
        <v>0</v>
      </c>
      <c r="AF64" s="371">
        <f t="shared" si="40"/>
        <v>0</v>
      </c>
      <c r="AG64" s="371">
        <f t="shared" si="40"/>
        <v>0</v>
      </c>
      <c r="AH64" s="371">
        <f t="shared" si="40"/>
        <v>0</v>
      </c>
      <c r="AI64" s="371">
        <f t="shared" si="40"/>
        <v>0</v>
      </c>
      <c r="AJ64" s="371">
        <f t="shared" si="40"/>
        <v>0</v>
      </c>
      <c r="AK64" s="371">
        <f t="shared" si="40"/>
        <v>0</v>
      </c>
      <c r="AL64" s="371">
        <f t="shared" si="40"/>
        <v>0</v>
      </c>
      <c r="AM64" s="371">
        <f t="shared" si="40"/>
        <v>0</v>
      </c>
      <c r="AN64" s="371">
        <f t="shared" si="40"/>
        <v>0</v>
      </c>
      <c r="AO64" s="371">
        <f t="shared" si="41"/>
        <v>0</v>
      </c>
      <c r="AP64" s="371">
        <f t="shared" si="41"/>
        <v>0</v>
      </c>
      <c r="AQ64" s="371">
        <f t="shared" si="41"/>
        <v>0</v>
      </c>
      <c r="AR64" s="371">
        <f t="shared" si="41"/>
        <v>0</v>
      </c>
      <c r="AS64" s="371">
        <f t="shared" si="41"/>
        <v>0</v>
      </c>
      <c r="AT64" s="371">
        <f t="shared" si="41"/>
        <v>0</v>
      </c>
      <c r="AU64" s="371">
        <f t="shared" si="41"/>
        <v>0</v>
      </c>
      <c r="AV64" s="371">
        <f t="shared" si="41"/>
        <v>0</v>
      </c>
      <c r="AW64" s="371">
        <f t="shared" si="41"/>
        <v>0</v>
      </c>
      <c r="AX64" s="371">
        <f t="shared" si="41"/>
        <v>0</v>
      </c>
      <c r="AY64" s="371">
        <f t="shared" si="42"/>
        <v>0</v>
      </c>
      <c r="AZ64" s="371">
        <f t="shared" si="42"/>
        <v>0</v>
      </c>
      <c r="BA64" s="371">
        <f t="shared" si="42"/>
        <v>0</v>
      </c>
      <c r="BB64" s="371">
        <f t="shared" si="42"/>
        <v>0</v>
      </c>
      <c r="BC64" s="371">
        <f t="shared" si="42"/>
        <v>0</v>
      </c>
      <c r="BD64" s="371">
        <f t="shared" si="42"/>
        <v>0</v>
      </c>
      <c r="BE64" s="371">
        <f t="shared" si="42"/>
        <v>0</v>
      </c>
      <c r="BF64" s="371">
        <f t="shared" si="42"/>
        <v>0</v>
      </c>
      <c r="BG64" s="371">
        <f t="shared" si="42"/>
        <v>0</v>
      </c>
      <c r="BH64" s="371">
        <f t="shared" si="42"/>
        <v>0</v>
      </c>
      <c r="BI64" s="371">
        <f t="shared" si="43"/>
        <v>0</v>
      </c>
      <c r="BJ64" s="371">
        <f t="shared" si="43"/>
        <v>0</v>
      </c>
      <c r="BK64" s="371">
        <f t="shared" si="43"/>
        <v>0</v>
      </c>
      <c r="BL64" s="371">
        <f t="shared" si="43"/>
        <v>0</v>
      </c>
      <c r="BM64" s="371">
        <f t="shared" si="43"/>
        <v>0</v>
      </c>
      <c r="BN64" s="371">
        <f t="shared" si="43"/>
        <v>0</v>
      </c>
      <c r="BO64" s="371">
        <f t="shared" si="43"/>
        <v>0</v>
      </c>
      <c r="BP64" s="371">
        <f t="shared" si="43"/>
        <v>0</v>
      </c>
      <c r="BQ64" s="371">
        <f t="shared" si="43"/>
        <v>0</v>
      </c>
      <c r="BR64" s="371">
        <f t="shared" si="43"/>
        <v>0</v>
      </c>
      <c r="BS64" s="371">
        <f t="shared" si="44"/>
        <v>0</v>
      </c>
      <c r="BT64" s="371">
        <f t="shared" si="44"/>
        <v>0</v>
      </c>
      <c r="BU64" s="371">
        <f t="shared" si="44"/>
        <v>0</v>
      </c>
      <c r="BV64" s="371">
        <f t="shared" si="44"/>
        <v>0</v>
      </c>
      <c r="BW64" s="371">
        <f t="shared" si="44"/>
        <v>0</v>
      </c>
      <c r="BX64" s="371">
        <f t="shared" si="44"/>
        <v>0</v>
      </c>
      <c r="BY64" s="371">
        <f t="shared" si="44"/>
        <v>0</v>
      </c>
      <c r="BZ64" s="371">
        <f t="shared" si="44"/>
        <v>0</v>
      </c>
    </row>
    <row r="65" spans="2:78" ht="21" hidden="1" customHeight="1" outlineLevel="3">
      <c r="B65" s="367"/>
      <c r="C65" s="370"/>
      <c r="D65" s="374">
        <f t="shared" si="32"/>
        <v>45869</v>
      </c>
      <c r="E65" s="373" cm="1">
        <f t="array" ref="E65">IF($D65=LatestMonthOfActuals,INDEX($AE$25:$BZ$25,0,MATCH($D65,$AE$8:$BZ$8,0)),0)</f>
        <v>0</v>
      </c>
      <c r="F65" s="359"/>
      <c r="G65" s="408">
        <f t="shared" si="25"/>
        <v>0</v>
      </c>
      <c r="H65" s="408">
        <f t="shared" si="25"/>
        <v>0</v>
      </c>
      <c r="I65" s="408">
        <f t="shared" si="25"/>
        <v>0</v>
      </c>
      <c r="J65" s="408">
        <f t="shared" si="25"/>
        <v>0</v>
      </c>
      <c r="K65" s="408"/>
      <c r="L65" s="408"/>
      <c r="M65" s="408">
        <f t="shared" si="39"/>
        <v>0</v>
      </c>
      <c r="N65" s="408">
        <f t="shared" si="38"/>
        <v>0</v>
      </c>
      <c r="O65" s="408">
        <f t="shared" si="38"/>
        <v>0</v>
      </c>
      <c r="P65" s="408">
        <f t="shared" si="38"/>
        <v>0</v>
      </c>
      <c r="Q65" s="408">
        <f t="shared" si="38"/>
        <v>0</v>
      </c>
      <c r="R65" s="408">
        <f t="shared" si="38"/>
        <v>0</v>
      </c>
      <c r="S65" s="408">
        <f t="shared" si="38"/>
        <v>0</v>
      </c>
      <c r="T65" s="408">
        <f t="shared" si="38"/>
        <v>0</v>
      </c>
      <c r="U65" s="408">
        <f t="shared" si="38"/>
        <v>0</v>
      </c>
      <c r="V65" s="408">
        <f t="shared" si="38"/>
        <v>0</v>
      </c>
      <c r="W65" s="408">
        <f t="shared" si="38"/>
        <v>0</v>
      </c>
      <c r="X65" s="408">
        <f t="shared" si="38"/>
        <v>0</v>
      </c>
      <c r="Y65" s="408">
        <f t="shared" si="38"/>
        <v>0</v>
      </c>
      <c r="Z65" s="408">
        <f t="shared" si="38"/>
        <v>0</v>
      </c>
      <c r="AA65" s="408">
        <f t="shared" si="38"/>
        <v>0</v>
      </c>
      <c r="AB65" s="408">
        <f t="shared" si="38"/>
        <v>0</v>
      </c>
      <c r="AD65" s="359"/>
      <c r="AE65" s="371">
        <f t="shared" ref="AE65:AN74" si="45">IFERROR(IF(AE$8&gt;=$D65,$E65*(INDEX($E$12:$E$16,(MATCH(MATCH(AE$8,$D$35:$D$82,0)-MATCH($D65,$D$35:$D$82,0),$D$12:$D$16,0)))),0),0)</f>
        <v>0</v>
      </c>
      <c r="AF65" s="371">
        <f t="shared" si="45"/>
        <v>0</v>
      </c>
      <c r="AG65" s="371">
        <f t="shared" si="45"/>
        <v>0</v>
      </c>
      <c r="AH65" s="371">
        <f t="shared" si="45"/>
        <v>0</v>
      </c>
      <c r="AI65" s="371">
        <f t="shared" si="45"/>
        <v>0</v>
      </c>
      <c r="AJ65" s="371">
        <f t="shared" si="45"/>
        <v>0</v>
      </c>
      <c r="AK65" s="371">
        <f t="shared" si="45"/>
        <v>0</v>
      </c>
      <c r="AL65" s="371">
        <f t="shared" si="45"/>
        <v>0</v>
      </c>
      <c r="AM65" s="371">
        <f t="shared" si="45"/>
        <v>0</v>
      </c>
      <c r="AN65" s="371">
        <f t="shared" si="45"/>
        <v>0</v>
      </c>
      <c r="AO65" s="371">
        <f t="shared" ref="AO65:AX74" si="46">IFERROR(IF(AO$8&gt;=$D65,$E65*(INDEX($E$12:$E$16,(MATCH(MATCH(AO$8,$D$35:$D$82,0)-MATCH($D65,$D$35:$D$82,0),$D$12:$D$16,0)))),0),0)</f>
        <v>0</v>
      </c>
      <c r="AP65" s="371">
        <f t="shared" si="46"/>
        <v>0</v>
      </c>
      <c r="AQ65" s="371">
        <f t="shared" si="46"/>
        <v>0</v>
      </c>
      <c r="AR65" s="371">
        <f t="shared" si="46"/>
        <v>0</v>
      </c>
      <c r="AS65" s="371">
        <f t="shared" si="46"/>
        <v>0</v>
      </c>
      <c r="AT65" s="371">
        <f t="shared" si="46"/>
        <v>0</v>
      </c>
      <c r="AU65" s="371">
        <f t="shared" si="46"/>
        <v>0</v>
      </c>
      <c r="AV65" s="371">
        <f t="shared" si="46"/>
        <v>0</v>
      </c>
      <c r="AW65" s="371">
        <f t="shared" si="46"/>
        <v>0</v>
      </c>
      <c r="AX65" s="371">
        <f t="shared" si="46"/>
        <v>0</v>
      </c>
      <c r="AY65" s="371">
        <f t="shared" ref="AY65:BH74" si="47">IFERROR(IF(AY$8&gt;=$D65,$E65*(INDEX($E$12:$E$16,(MATCH(MATCH(AY$8,$D$35:$D$82,0)-MATCH($D65,$D$35:$D$82,0),$D$12:$D$16,0)))),0),0)</f>
        <v>0</v>
      </c>
      <c r="AZ65" s="371">
        <f t="shared" si="47"/>
        <v>0</v>
      </c>
      <c r="BA65" s="371">
        <f t="shared" si="47"/>
        <v>0</v>
      </c>
      <c r="BB65" s="371">
        <f t="shared" si="47"/>
        <v>0</v>
      </c>
      <c r="BC65" s="371">
        <f t="shared" si="47"/>
        <v>0</v>
      </c>
      <c r="BD65" s="371">
        <f t="shared" si="47"/>
        <v>0</v>
      </c>
      <c r="BE65" s="371">
        <f t="shared" si="47"/>
        <v>0</v>
      </c>
      <c r="BF65" s="371">
        <f t="shared" si="47"/>
        <v>0</v>
      </c>
      <c r="BG65" s="371">
        <f t="shared" si="47"/>
        <v>0</v>
      </c>
      <c r="BH65" s="371">
        <f t="shared" si="47"/>
        <v>0</v>
      </c>
      <c r="BI65" s="371">
        <f t="shared" ref="BI65:BR74" si="48">IFERROR(IF(BI$8&gt;=$D65,$E65*(INDEX($E$12:$E$16,(MATCH(MATCH(BI$8,$D$35:$D$82,0)-MATCH($D65,$D$35:$D$82,0),$D$12:$D$16,0)))),0),0)</f>
        <v>0</v>
      </c>
      <c r="BJ65" s="371">
        <f t="shared" si="48"/>
        <v>0</v>
      </c>
      <c r="BK65" s="371">
        <f t="shared" si="48"/>
        <v>0</v>
      </c>
      <c r="BL65" s="371">
        <f t="shared" si="48"/>
        <v>0</v>
      </c>
      <c r="BM65" s="371">
        <f t="shared" si="48"/>
        <v>0</v>
      </c>
      <c r="BN65" s="371">
        <f t="shared" si="48"/>
        <v>0</v>
      </c>
      <c r="BO65" s="371">
        <f t="shared" si="48"/>
        <v>0</v>
      </c>
      <c r="BP65" s="371">
        <f t="shared" si="48"/>
        <v>0</v>
      </c>
      <c r="BQ65" s="371">
        <f t="shared" si="48"/>
        <v>0</v>
      </c>
      <c r="BR65" s="371">
        <f t="shared" si="48"/>
        <v>0</v>
      </c>
      <c r="BS65" s="371">
        <f t="shared" ref="BS65:BZ74" si="49">IFERROR(IF(BS$8&gt;=$D65,$E65*(INDEX($E$12:$E$16,(MATCH(MATCH(BS$8,$D$35:$D$82,0)-MATCH($D65,$D$35:$D$82,0),$D$12:$D$16,0)))),0),0)</f>
        <v>0</v>
      </c>
      <c r="BT65" s="371">
        <f t="shared" si="49"/>
        <v>0</v>
      </c>
      <c r="BU65" s="371">
        <f t="shared" si="49"/>
        <v>0</v>
      </c>
      <c r="BV65" s="371">
        <f t="shared" si="49"/>
        <v>0</v>
      </c>
      <c r="BW65" s="371">
        <f t="shared" si="49"/>
        <v>0</v>
      </c>
      <c r="BX65" s="371">
        <f t="shared" si="49"/>
        <v>0</v>
      </c>
      <c r="BY65" s="371">
        <f t="shared" si="49"/>
        <v>0</v>
      </c>
      <c r="BZ65" s="371">
        <f t="shared" si="49"/>
        <v>0</v>
      </c>
    </row>
    <row r="66" spans="2:78" ht="21" hidden="1" customHeight="1" outlineLevel="3">
      <c r="B66" s="367"/>
      <c r="C66" s="370"/>
      <c r="D66" s="374">
        <f t="shared" si="32"/>
        <v>45900</v>
      </c>
      <c r="E66" s="373" cm="1">
        <f t="array" ref="E66">IF($D66=LatestMonthOfActuals,INDEX($AE$25:$BZ$25,0,MATCH($D66,$AE$8:$BZ$8,0)),0)</f>
        <v>0</v>
      </c>
      <c r="F66" s="359"/>
      <c r="G66" s="408">
        <f t="shared" si="25"/>
        <v>0</v>
      </c>
      <c r="H66" s="408">
        <f t="shared" si="25"/>
        <v>0</v>
      </c>
      <c r="I66" s="408">
        <f t="shared" si="25"/>
        <v>0</v>
      </c>
      <c r="J66" s="408">
        <f t="shared" si="25"/>
        <v>0</v>
      </c>
      <c r="K66" s="408"/>
      <c r="L66" s="408"/>
      <c r="M66" s="408">
        <f t="shared" si="39"/>
        <v>0</v>
      </c>
      <c r="N66" s="408">
        <f t="shared" si="38"/>
        <v>0</v>
      </c>
      <c r="O66" s="408">
        <f t="shared" si="38"/>
        <v>0</v>
      </c>
      <c r="P66" s="408">
        <f t="shared" si="38"/>
        <v>0</v>
      </c>
      <c r="Q66" s="408">
        <f t="shared" si="38"/>
        <v>0</v>
      </c>
      <c r="R66" s="408">
        <f t="shared" si="38"/>
        <v>0</v>
      </c>
      <c r="S66" s="408">
        <f t="shared" si="38"/>
        <v>0</v>
      </c>
      <c r="T66" s="408">
        <f t="shared" si="38"/>
        <v>0</v>
      </c>
      <c r="U66" s="408">
        <f t="shared" si="38"/>
        <v>0</v>
      </c>
      <c r="V66" s="408">
        <f t="shared" si="38"/>
        <v>0</v>
      </c>
      <c r="W66" s="408">
        <f t="shared" si="38"/>
        <v>0</v>
      </c>
      <c r="X66" s="408">
        <f t="shared" si="38"/>
        <v>0</v>
      </c>
      <c r="Y66" s="408">
        <f t="shared" si="38"/>
        <v>0</v>
      </c>
      <c r="Z66" s="408">
        <f t="shared" si="38"/>
        <v>0</v>
      </c>
      <c r="AA66" s="408">
        <f t="shared" si="38"/>
        <v>0</v>
      </c>
      <c r="AB66" s="408">
        <f t="shared" si="38"/>
        <v>0</v>
      </c>
      <c r="AD66" s="359"/>
      <c r="AE66" s="371">
        <f t="shared" si="45"/>
        <v>0</v>
      </c>
      <c r="AF66" s="371">
        <f t="shared" si="45"/>
        <v>0</v>
      </c>
      <c r="AG66" s="371">
        <f t="shared" si="45"/>
        <v>0</v>
      </c>
      <c r="AH66" s="371">
        <f t="shared" si="45"/>
        <v>0</v>
      </c>
      <c r="AI66" s="371">
        <f t="shared" si="45"/>
        <v>0</v>
      </c>
      <c r="AJ66" s="371">
        <f t="shared" si="45"/>
        <v>0</v>
      </c>
      <c r="AK66" s="371">
        <f t="shared" si="45"/>
        <v>0</v>
      </c>
      <c r="AL66" s="371">
        <f t="shared" si="45"/>
        <v>0</v>
      </c>
      <c r="AM66" s="371">
        <f t="shared" si="45"/>
        <v>0</v>
      </c>
      <c r="AN66" s="371">
        <f t="shared" si="45"/>
        <v>0</v>
      </c>
      <c r="AO66" s="371">
        <f t="shared" si="46"/>
        <v>0</v>
      </c>
      <c r="AP66" s="371">
        <f t="shared" si="46"/>
        <v>0</v>
      </c>
      <c r="AQ66" s="371">
        <f t="shared" si="46"/>
        <v>0</v>
      </c>
      <c r="AR66" s="371">
        <f t="shared" si="46"/>
        <v>0</v>
      </c>
      <c r="AS66" s="371">
        <f t="shared" si="46"/>
        <v>0</v>
      </c>
      <c r="AT66" s="371">
        <f t="shared" si="46"/>
        <v>0</v>
      </c>
      <c r="AU66" s="371">
        <f t="shared" si="46"/>
        <v>0</v>
      </c>
      <c r="AV66" s="371">
        <f t="shared" si="46"/>
        <v>0</v>
      </c>
      <c r="AW66" s="371">
        <f t="shared" si="46"/>
        <v>0</v>
      </c>
      <c r="AX66" s="371">
        <f t="shared" si="46"/>
        <v>0</v>
      </c>
      <c r="AY66" s="371">
        <f t="shared" si="47"/>
        <v>0</v>
      </c>
      <c r="AZ66" s="371">
        <f t="shared" si="47"/>
        <v>0</v>
      </c>
      <c r="BA66" s="371">
        <f t="shared" si="47"/>
        <v>0</v>
      </c>
      <c r="BB66" s="371">
        <f t="shared" si="47"/>
        <v>0</v>
      </c>
      <c r="BC66" s="371">
        <f t="shared" si="47"/>
        <v>0</v>
      </c>
      <c r="BD66" s="371">
        <f t="shared" si="47"/>
        <v>0</v>
      </c>
      <c r="BE66" s="371">
        <f t="shared" si="47"/>
        <v>0</v>
      </c>
      <c r="BF66" s="371">
        <f t="shared" si="47"/>
        <v>0</v>
      </c>
      <c r="BG66" s="371">
        <f t="shared" si="47"/>
        <v>0</v>
      </c>
      <c r="BH66" s="371">
        <f t="shared" si="47"/>
        <v>0</v>
      </c>
      <c r="BI66" s="371">
        <f t="shared" si="48"/>
        <v>0</v>
      </c>
      <c r="BJ66" s="371">
        <f t="shared" si="48"/>
        <v>0</v>
      </c>
      <c r="BK66" s="371">
        <f t="shared" si="48"/>
        <v>0</v>
      </c>
      <c r="BL66" s="371">
        <f t="shared" si="48"/>
        <v>0</v>
      </c>
      <c r="BM66" s="371">
        <f t="shared" si="48"/>
        <v>0</v>
      </c>
      <c r="BN66" s="371">
        <f t="shared" si="48"/>
        <v>0</v>
      </c>
      <c r="BO66" s="371">
        <f t="shared" si="48"/>
        <v>0</v>
      </c>
      <c r="BP66" s="371">
        <f t="shared" si="48"/>
        <v>0</v>
      </c>
      <c r="BQ66" s="371">
        <f t="shared" si="48"/>
        <v>0</v>
      </c>
      <c r="BR66" s="371">
        <f t="shared" si="48"/>
        <v>0</v>
      </c>
      <c r="BS66" s="371">
        <f t="shared" si="49"/>
        <v>0</v>
      </c>
      <c r="BT66" s="371">
        <f t="shared" si="49"/>
        <v>0</v>
      </c>
      <c r="BU66" s="371">
        <f t="shared" si="49"/>
        <v>0</v>
      </c>
      <c r="BV66" s="371">
        <f t="shared" si="49"/>
        <v>0</v>
      </c>
      <c r="BW66" s="371">
        <f t="shared" si="49"/>
        <v>0</v>
      </c>
      <c r="BX66" s="371">
        <f t="shared" si="49"/>
        <v>0</v>
      </c>
      <c r="BY66" s="371">
        <f t="shared" si="49"/>
        <v>0</v>
      </c>
      <c r="BZ66" s="371">
        <f t="shared" si="49"/>
        <v>0</v>
      </c>
    </row>
    <row r="67" spans="2:78" ht="21" hidden="1" customHeight="1" outlineLevel="3">
      <c r="B67" s="367"/>
      <c r="C67" s="370"/>
      <c r="D67" s="374">
        <f t="shared" si="32"/>
        <v>45930</v>
      </c>
      <c r="E67" s="373" cm="1">
        <f t="array" ref="E67">IF($D67=LatestMonthOfActuals,INDEX($AE$25:$BZ$25,0,MATCH($D67,$AE$8:$BZ$8,0)),0)</f>
        <v>0</v>
      </c>
      <c r="F67" s="359"/>
      <c r="G67" s="408">
        <f t="shared" si="25"/>
        <v>0</v>
      </c>
      <c r="H67" s="408">
        <f t="shared" si="25"/>
        <v>0</v>
      </c>
      <c r="I67" s="408">
        <f t="shared" si="25"/>
        <v>0</v>
      </c>
      <c r="J67" s="408">
        <f t="shared" si="25"/>
        <v>0</v>
      </c>
      <c r="K67" s="408"/>
      <c r="L67" s="408"/>
      <c r="M67" s="408">
        <f t="shared" si="39"/>
        <v>0</v>
      </c>
      <c r="N67" s="408">
        <f t="shared" si="38"/>
        <v>0</v>
      </c>
      <c r="O67" s="408">
        <f t="shared" si="38"/>
        <v>0</v>
      </c>
      <c r="P67" s="408">
        <f t="shared" si="38"/>
        <v>0</v>
      </c>
      <c r="Q67" s="408">
        <f t="shared" si="38"/>
        <v>0</v>
      </c>
      <c r="R67" s="408">
        <f t="shared" si="38"/>
        <v>0</v>
      </c>
      <c r="S67" s="408">
        <f t="shared" si="38"/>
        <v>0</v>
      </c>
      <c r="T67" s="408">
        <f t="shared" si="38"/>
        <v>0</v>
      </c>
      <c r="U67" s="408">
        <f t="shared" si="38"/>
        <v>0</v>
      </c>
      <c r="V67" s="408">
        <f t="shared" si="38"/>
        <v>0</v>
      </c>
      <c r="W67" s="408">
        <f t="shared" si="38"/>
        <v>0</v>
      </c>
      <c r="X67" s="408">
        <f t="shared" si="38"/>
        <v>0</v>
      </c>
      <c r="Y67" s="408">
        <f t="shared" si="38"/>
        <v>0</v>
      </c>
      <c r="Z67" s="408">
        <f t="shared" si="38"/>
        <v>0</v>
      </c>
      <c r="AA67" s="408">
        <f t="shared" si="38"/>
        <v>0</v>
      </c>
      <c r="AB67" s="408">
        <f t="shared" ref="N67:AB82" si="50">SUMIFS($AE67:$BZ67,$AE$5:$BZ$5,"&gt;="&amp;AB$4,$AE$5:$BZ$5,"&lt;="&amp;AB$5)</f>
        <v>0</v>
      </c>
      <c r="AD67" s="359"/>
      <c r="AE67" s="371">
        <f t="shared" si="45"/>
        <v>0</v>
      </c>
      <c r="AF67" s="371">
        <f t="shared" si="45"/>
        <v>0</v>
      </c>
      <c r="AG67" s="371">
        <f t="shared" si="45"/>
        <v>0</v>
      </c>
      <c r="AH67" s="371">
        <f t="shared" si="45"/>
        <v>0</v>
      </c>
      <c r="AI67" s="371">
        <f t="shared" si="45"/>
        <v>0</v>
      </c>
      <c r="AJ67" s="371">
        <f t="shared" si="45"/>
        <v>0</v>
      </c>
      <c r="AK67" s="371">
        <f t="shared" si="45"/>
        <v>0</v>
      </c>
      <c r="AL67" s="371">
        <f t="shared" si="45"/>
        <v>0</v>
      </c>
      <c r="AM67" s="371">
        <f t="shared" si="45"/>
        <v>0</v>
      </c>
      <c r="AN67" s="371">
        <f t="shared" si="45"/>
        <v>0</v>
      </c>
      <c r="AO67" s="371">
        <f t="shared" si="46"/>
        <v>0</v>
      </c>
      <c r="AP67" s="371">
        <f t="shared" si="46"/>
        <v>0</v>
      </c>
      <c r="AQ67" s="371">
        <f t="shared" si="46"/>
        <v>0</v>
      </c>
      <c r="AR67" s="371">
        <f t="shared" si="46"/>
        <v>0</v>
      </c>
      <c r="AS67" s="371">
        <f t="shared" si="46"/>
        <v>0</v>
      </c>
      <c r="AT67" s="371">
        <f t="shared" si="46"/>
        <v>0</v>
      </c>
      <c r="AU67" s="371">
        <f t="shared" si="46"/>
        <v>0</v>
      </c>
      <c r="AV67" s="371">
        <f t="shared" si="46"/>
        <v>0</v>
      </c>
      <c r="AW67" s="371">
        <f t="shared" si="46"/>
        <v>0</v>
      </c>
      <c r="AX67" s="371">
        <f t="shared" si="46"/>
        <v>0</v>
      </c>
      <c r="AY67" s="371">
        <f t="shared" si="47"/>
        <v>0</v>
      </c>
      <c r="AZ67" s="371">
        <f t="shared" si="47"/>
        <v>0</v>
      </c>
      <c r="BA67" s="371">
        <f t="shared" si="47"/>
        <v>0</v>
      </c>
      <c r="BB67" s="371">
        <f t="shared" si="47"/>
        <v>0</v>
      </c>
      <c r="BC67" s="371">
        <f t="shared" si="47"/>
        <v>0</v>
      </c>
      <c r="BD67" s="371">
        <f t="shared" si="47"/>
        <v>0</v>
      </c>
      <c r="BE67" s="371">
        <f t="shared" si="47"/>
        <v>0</v>
      </c>
      <c r="BF67" s="371">
        <f t="shared" si="47"/>
        <v>0</v>
      </c>
      <c r="BG67" s="371">
        <f t="shared" si="47"/>
        <v>0</v>
      </c>
      <c r="BH67" s="371">
        <f t="shared" si="47"/>
        <v>0</v>
      </c>
      <c r="BI67" s="371">
        <f t="shared" si="48"/>
        <v>0</v>
      </c>
      <c r="BJ67" s="371">
        <f t="shared" si="48"/>
        <v>0</v>
      </c>
      <c r="BK67" s="371">
        <f t="shared" si="48"/>
        <v>0</v>
      </c>
      <c r="BL67" s="371">
        <f t="shared" si="48"/>
        <v>0</v>
      </c>
      <c r="BM67" s="371">
        <f t="shared" si="48"/>
        <v>0</v>
      </c>
      <c r="BN67" s="371">
        <f t="shared" si="48"/>
        <v>0</v>
      </c>
      <c r="BO67" s="371">
        <f t="shared" si="48"/>
        <v>0</v>
      </c>
      <c r="BP67" s="371">
        <f t="shared" si="48"/>
        <v>0</v>
      </c>
      <c r="BQ67" s="371">
        <f t="shared" si="48"/>
        <v>0</v>
      </c>
      <c r="BR67" s="371">
        <f t="shared" si="48"/>
        <v>0</v>
      </c>
      <c r="BS67" s="371">
        <f t="shared" si="49"/>
        <v>0</v>
      </c>
      <c r="BT67" s="371">
        <f t="shared" si="49"/>
        <v>0</v>
      </c>
      <c r="BU67" s="371">
        <f t="shared" si="49"/>
        <v>0</v>
      </c>
      <c r="BV67" s="371">
        <f t="shared" si="49"/>
        <v>0</v>
      </c>
      <c r="BW67" s="371">
        <f t="shared" si="49"/>
        <v>0</v>
      </c>
      <c r="BX67" s="371">
        <f t="shared" si="49"/>
        <v>0</v>
      </c>
      <c r="BY67" s="371">
        <f t="shared" si="49"/>
        <v>0</v>
      </c>
      <c r="BZ67" s="371">
        <f t="shared" si="49"/>
        <v>0</v>
      </c>
    </row>
    <row r="68" spans="2:78" ht="21" hidden="1" customHeight="1" outlineLevel="3">
      <c r="B68" s="367"/>
      <c r="C68" s="370"/>
      <c r="D68" s="374">
        <f t="shared" si="32"/>
        <v>45961</v>
      </c>
      <c r="E68" s="373" cm="1">
        <f t="array" ref="E68">IF($D68=LatestMonthOfActuals,INDEX($AE$25:$BZ$25,0,MATCH($D68,$AE$8:$BZ$8,0)),0)</f>
        <v>0</v>
      </c>
      <c r="F68" s="359"/>
      <c r="G68" s="408">
        <f t="shared" si="25"/>
        <v>0</v>
      </c>
      <c r="H68" s="408">
        <f t="shared" si="25"/>
        <v>0</v>
      </c>
      <c r="I68" s="408">
        <f t="shared" si="25"/>
        <v>0</v>
      </c>
      <c r="J68" s="408">
        <f t="shared" si="25"/>
        <v>0</v>
      </c>
      <c r="K68" s="408"/>
      <c r="L68" s="408"/>
      <c r="M68" s="408">
        <f t="shared" si="39"/>
        <v>0</v>
      </c>
      <c r="N68" s="408">
        <f t="shared" si="50"/>
        <v>0</v>
      </c>
      <c r="O68" s="408">
        <f t="shared" si="50"/>
        <v>0</v>
      </c>
      <c r="P68" s="408">
        <f t="shared" si="50"/>
        <v>0</v>
      </c>
      <c r="Q68" s="408">
        <f t="shared" si="50"/>
        <v>0</v>
      </c>
      <c r="R68" s="408">
        <f t="shared" si="50"/>
        <v>0</v>
      </c>
      <c r="S68" s="408">
        <f t="shared" si="50"/>
        <v>0</v>
      </c>
      <c r="T68" s="408">
        <f t="shared" si="50"/>
        <v>0</v>
      </c>
      <c r="U68" s="408">
        <f t="shared" si="50"/>
        <v>0</v>
      </c>
      <c r="V68" s="408">
        <f t="shared" si="50"/>
        <v>0</v>
      </c>
      <c r="W68" s="408">
        <f t="shared" si="50"/>
        <v>0</v>
      </c>
      <c r="X68" s="408">
        <f t="shared" si="50"/>
        <v>0</v>
      </c>
      <c r="Y68" s="408">
        <f t="shared" si="50"/>
        <v>0</v>
      </c>
      <c r="Z68" s="408">
        <f t="shared" si="50"/>
        <v>0</v>
      </c>
      <c r="AA68" s="408">
        <f t="shared" si="50"/>
        <v>0</v>
      </c>
      <c r="AB68" s="408">
        <f t="shared" si="50"/>
        <v>0</v>
      </c>
      <c r="AD68" s="359"/>
      <c r="AE68" s="371">
        <f t="shared" si="45"/>
        <v>0</v>
      </c>
      <c r="AF68" s="371">
        <f t="shared" si="45"/>
        <v>0</v>
      </c>
      <c r="AG68" s="371">
        <f t="shared" si="45"/>
        <v>0</v>
      </c>
      <c r="AH68" s="371">
        <f t="shared" si="45"/>
        <v>0</v>
      </c>
      <c r="AI68" s="371">
        <f t="shared" si="45"/>
        <v>0</v>
      </c>
      <c r="AJ68" s="371">
        <f t="shared" si="45"/>
        <v>0</v>
      </c>
      <c r="AK68" s="371">
        <f t="shared" si="45"/>
        <v>0</v>
      </c>
      <c r="AL68" s="371">
        <f t="shared" si="45"/>
        <v>0</v>
      </c>
      <c r="AM68" s="371">
        <f t="shared" si="45"/>
        <v>0</v>
      </c>
      <c r="AN68" s="371">
        <f t="shared" si="45"/>
        <v>0</v>
      </c>
      <c r="AO68" s="371">
        <f t="shared" si="46"/>
        <v>0</v>
      </c>
      <c r="AP68" s="371">
        <f t="shared" si="46"/>
        <v>0</v>
      </c>
      <c r="AQ68" s="371">
        <f t="shared" si="46"/>
        <v>0</v>
      </c>
      <c r="AR68" s="371">
        <f t="shared" si="46"/>
        <v>0</v>
      </c>
      <c r="AS68" s="371">
        <f t="shared" si="46"/>
        <v>0</v>
      </c>
      <c r="AT68" s="371">
        <f t="shared" si="46"/>
        <v>0</v>
      </c>
      <c r="AU68" s="371">
        <f t="shared" si="46"/>
        <v>0</v>
      </c>
      <c r="AV68" s="371">
        <f t="shared" si="46"/>
        <v>0</v>
      </c>
      <c r="AW68" s="371">
        <f t="shared" si="46"/>
        <v>0</v>
      </c>
      <c r="AX68" s="371">
        <f t="shared" si="46"/>
        <v>0</v>
      </c>
      <c r="AY68" s="371">
        <f t="shared" si="47"/>
        <v>0</v>
      </c>
      <c r="AZ68" s="371">
        <f t="shared" si="47"/>
        <v>0</v>
      </c>
      <c r="BA68" s="371">
        <f t="shared" si="47"/>
        <v>0</v>
      </c>
      <c r="BB68" s="371">
        <f t="shared" si="47"/>
        <v>0</v>
      </c>
      <c r="BC68" s="371">
        <f t="shared" si="47"/>
        <v>0</v>
      </c>
      <c r="BD68" s="371">
        <f t="shared" si="47"/>
        <v>0</v>
      </c>
      <c r="BE68" s="371">
        <f t="shared" si="47"/>
        <v>0</v>
      </c>
      <c r="BF68" s="371">
        <f t="shared" si="47"/>
        <v>0</v>
      </c>
      <c r="BG68" s="371">
        <f t="shared" si="47"/>
        <v>0</v>
      </c>
      <c r="BH68" s="371">
        <f t="shared" si="47"/>
        <v>0</v>
      </c>
      <c r="BI68" s="371">
        <f t="shared" si="48"/>
        <v>0</v>
      </c>
      <c r="BJ68" s="371">
        <f t="shared" si="48"/>
        <v>0</v>
      </c>
      <c r="BK68" s="371">
        <f t="shared" si="48"/>
        <v>0</v>
      </c>
      <c r="BL68" s="371">
        <f t="shared" si="48"/>
        <v>0</v>
      </c>
      <c r="BM68" s="371">
        <f t="shared" si="48"/>
        <v>0</v>
      </c>
      <c r="BN68" s="371">
        <f t="shared" si="48"/>
        <v>0</v>
      </c>
      <c r="BO68" s="371">
        <f t="shared" si="48"/>
        <v>0</v>
      </c>
      <c r="BP68" s="371">
        <f t="shared" si="48"/>
        <v>0</v>
      </c>
      <c r="BQ68" s="371">
        <f t="shared" si="48"/>
        <v>0</v>
      </c>
      <c r="BR68" s="371">
        <f t="shared" si="48"/>
        <v>0</v>
      </c>
      <c r="BS68" s="371">
        <f t="shared" si="49"/>
        <v>0</v>
      </c>
      <c r="BT68" s="371">
        <f t="shared" si="49"/>
        <v>0</v>
      </c>
      <c r="BU68" s="371">
        <f t="shared" si="49"/>
        <v>0</v>
      </c>
      <c r="BV68" s="371">
        <f t="shared" si="49"/>
        <v>0</v>
      </c>
      <c r="BW68" s="371">
        <f t="shared" si="49"/>
        <v>0</v>
      </c>
      <c r="BX68" s="371">
        <f t="shared" si="49"/>
        <v>0</v>
      </c>
      <c r="BY68" s="371">
        <f t="shared" si="49"/>
        <v>0</v>
      </c>
      <c r="BZ68" s="371">
        <f t="shared" si="49"/>
        <v>0</v>
      </c>
    </row>
    <row r="69" spans="2:78" ht="21" hidden="1" customHeight="1" outlineLevel="3">
      <c r="B69" s="367"/>
      <c r="C69" s="370"/>
      <c r="D69" s="374">
        <f t="shared" si="32"/>
        <v>45991</v>
      </c>
      <c r="E69" s="373" cm="1">
        <f t="array" ref="E69">IF($D69=LatestMonthOfActuals,INDEX($AE$25:$BZ$25,0,MATCH($D69,$AE$8:$BZ$8,0)),0)</f>
        <v>55349.5</v>
      </c>
      <c r="F69" s="359"/>
      <c r="G69" s="408">
        <f t="shared" si="25"/>
        <v>0</v>
      </c>
      <c r="H69" s="408">
        <f t="shared" si="25"/>
        <v>0</v>
      </c>
      <c r="I69" s="408">
        <f t="shared" si="25"/>
        <v>27674.75</v>
      </c>
      <c r="J69" s="408">
        <f t="shared" si="25"/>
        <v>27674.75</v>
      </c>
      <c r="K69" s="408"/>
      <c r="L69" s="408"/>
      <c r="M69" s="408">
        <f t="shared" si="39"/>
        <v>0</v>
      </c>
      <c r="N69" s="408">
        <f t="shared" si="50"/>
        <v>0</v>
      </c>
      <c r="O69" s="408">
        <f t="shared" si="50"/>
        <v>0</v>
      </c>
      <c r="P69" s="408">
        <f t="shared" si="50"/>
        <v>0</v>
      </c>
      <c r="Q69" s="408">
        <f t="shared" si="50"/>
        <v>0</v>
      </c>
      <c r="R69" s="408">
        <f t="shared" si="50"/>
        <v>0</v>
      </c>
      <c r="S69" s="408">
        <f t="shared" si="50"/>
        <v>0</v>
      </c>
      <c r="T69" s="408">
        <f t="shared" si="50"/>
        <v>0</v>
      </c>
      <c r="U69" s="408">
        <f t="shared" si="50"/>
        <v>0</v>
      </c>
      <c r="V69" s="408">
        <f t="shared" si="50"/>
        <v>0</v>
      </c>
      <c r="W69" s="408">
        <f t="shared" si="50"/>
        <v>0</v>
      </c>
      <c r="X69" s="408">
        <f t="shared" si="50"/>
        <v>27674.75</v>
      </c>
      <c r="Y69" s="408">
        <f t="shared" si="50"/>
        <v>27674.75</v>
      </c>
      <c r="Z69" s="408">
        <f t="shared" si="50"/>
        <v>0</v>
      </c>
      <c r="AA69" s="408">
        <f t="shared" si="50"/>
        <v>0</v>
      </c>
      <c r="AB69" s="408">
        <f t="shared" si="50"/>
        <v>0</v>
      </c>
      <c r="AD69" s="359"/>
      <c r="AE69" s="371">
        <f t="shared" si="45"/>
        <v>0</v>
      </c>
      <c r="AF69" s="371">
        <f t="shared" si="45"/>
        <v>0</v>
      </c>
      <c r="AG69" s="371">
        <f t="shared" si="45"/>
        <v>0</v>
      </c>
      <c r="AH69" s="371">
        <f t="shared" si="45"/>
        <v>0</v>
      </c>
      <c r="AI69" s="371">
        <f t="shared" si="45"/>
        <v>0</v>
      </c>
      <c r="AJ69" s="371">
        <f t="shared" si="45"/>
        <v>0</v>
      </c>
      <c r="AK69" s="371">
        <f t="shared" si="45"/>
        <v>0</v>
      </c>
      <c r="AL69" s="371">
        <f t="shared" si="45"/>
        <v>0</v>
      </c>
      <c r="AM69" s="371">
        <f t="shared" si="45"/>
        <v>0</v>
      </c>
      <c r="AN69" s="371">
        <f t="shared" si="45"/>
        <v>0</v>
      </c>
      <c r="AO69" s="371">
        <f t="shared" si="46"/>
        <v>0</v>
      </c>
      <c r="AP69" s="371">
        <f t="shared" si="46"/>
        <v>0</v>
      </c>
      <c r="AQ69" s="371">
        <f t="shared" si="46"/>
        <v>0</v>
      </c>
      <c r="AR69" s="371">
        <f t="shared" si="46"/>
        <v>0</v>
      </c>
      <c r="AS69" s="371">
        <f t="shared" si="46"/>
        <v>0</v>
      </c>
      <c r="AT69" s="371">
        <f t="shared" si="46"/>
        <v>0</v>
      </c>
      <c r="AU69" s="371">
        <f t="shared" si="46"/>
        <v>0</v>
      </c>
      <c r="AV69" s="371">
        <f t="shared" si="46"/>
        <v>0</v>
      </c>
      <c r="AW69" s="371">
        <f t="shared" si="46"/>
        <v>0</v>
      </c>
      <c r="AX69" s="371">
        <f t="shared" si="46"/>
        <v>0</v>
      </c>
      <c r="AY69" s="371">
        <f t="shared" si="47"/>
        <v>0</v>
      </c>
      <c r="AZ69" s="371">
        <f t="shared" si="47"/>
        <v>0</v>
      </c>
      <c r="BA69" s="371">
        <f t="shared" si="47"/>
        <v>0</v>
      </c>
      <c r="BB69" s="371">
        <f t="shared" si="47"/>
        <v>0</v>
      </c>
      <c r="BC69" s="371">
        <f t="shared" si="47"/>
        <v>0</v>
      </c>
      <c r="BD69" s="371">
        <f t="shared" si="47"/>
        <v>0</v>
      </c>
      <c r="BE69" s="371">
        <f t="shared" si="47"/>
        <v>0</v>
      </c>
      <c r="BF69" s="371">
        <f t="shared" si="47"/>
        <v>0</v>
      </c>
      <c r="BG69" s="371">
        <f t="shared" si="47"/>
        <v>0</v>
      </c>
      <c r="BH69" s="371">
        <f t="shared" si="47"/>
        <v>0</v>
      </c>
      <c r="BI69" s="371">
        <f t="shared" si="48"/>
        <v>0</v>
      </c>
      <c r="BJ69" s="371">
        <f t="shared" si="48"/>
        <v>0</v>
      </c>
      <c r="BK69" s="371">
        <f t="shared" si="48"/>
        <v>0</v>
      </c>
      <c r="BL69" s="371">
        <f t="shared" si="48"/>
        <v>0</v>
      </c>
      <c r="BM69" s="371">
        <f t="shared" si="48"/>
        <v>0</v>
      </c>
      <c r="BN69" s="371">
        <f t="shared" si="48"/>
        <v>27674.75</v>
      </c>
      <c r="BO69" s="371">
        <f t="shared" si="48"/>
        <v>13837.375</v>
      </c>
      <c r="BP69" s="371">
        <f t="shared" si="48"/>
        <v>13837.375</v>
      </c>
      <c r="BQ69" s="371">
        <f t="shared" si="48"/>
        <v>0</v>
      </c>
      <c r="BR69" s="371">
        <f t="shared" si="48"/>
        <v>0</v>
      </c>
      <c r="BS69" s="371">
        <f t="shared" si="49"/>
        <v>0</v>
      </c>
      <c r="BT69" s="371">
        <f t="shared" si="49"/>
        <v>0</v>
      </c>
      <c r="BU69" s="371">
        <f t="shared" si="49"/>
        <v>0</v>
      </c>
      <c r="BV69" s="371">
        <f t="shared" si="49"/>
        <v>0</v>
      </c>
      <c r="BW69" s="371">
        <f t="shared" si="49"/>
        <v>0</v>
      </c>
      <c r="BX69" s="371">
        <f t="shared" si="49"/>
        <v>0</v>
      </c>
      <c r="BY69" s="371">
        <f t="shared" si="49"/>
        <v>0</v>
      </c>
      <c r="BZ69" s="371">
        <f t="shared" si="49"/>
        <v>0</v>
      </c>
    </row>
    <row r="70" spans="2:78" ht="21" hidden="1" customHeight="1" outlineLevel="3">
      <c r="B70" s="367"/>
      <c r="C70" s="370"/>
      <c r="D70" s="374">
        <f t="shared" si="32"/>
        <v>46022</v>
      </c>
      <c r="E70" s="373" cm="1">
        <f t="array" ref="E70">IF($D70=LatestMonthOfActuals,INDEX($AE$25:$BZ$25,0,MATCH($D70,$AE$8:$BZ$8,0)),0)</f>
        <v>0</v>
      </c>
      <c r="F70" s="359"/>
      <c r="G70" s="408">
        <f t="shared" si="25"/>
        <v>0</v>
      </c>
      <c r="H70" s="408">
        <f t="shared" si="25"/>
        <v>0</v>
      </c>
      <c r="I70" s="408">
        <f t="shared" si="25"/>
        <v>0</v>
      </c>
      <c r="J70" s="408">
        <f t="shared" si="25"/>
        <v>0</v>
      </c>
      <c r="K70" s="408"/>
      <c r="L70" s="408"/>
      <c r="M70" s="408">
        <f t="shared" si="39"/>
        <v>0</v>
      </c>
      <c r="N70" s="408">
        <f t="shared" si="50"/>
        <v>0</v>
      </c>
      <c r="O70" s="408">
        <f t="shared" si="50"/>
        <v>0</v>
      </c>
      <c r="P70" s="408">
        <f t="shared" si="50"/>
        <v>0</v>
      </c>
      <c r="Q70" s="408">
        <f t="shared" si="50"/>
        <v>0</v>
      </c>
      <c r="R70" s="408">
        <f t="shared" si="50"/>
        <v>0</v>
      </c>
      <c r="S70" s="408">
        <f t="shared" si="50"/>
        <v>0</v>
      </c>
      <c r="T70" s="408">
        <f t="shared" si="50"/>
        <v>0</v>
      </c>
      <c r="U70" s="408">
        <f t="shared" si="50"/>
        <v>0</v>
      </c>
      <c r="V70" s="408">
        <f t="shared" si="50"/>
        <v>0</v>
      </c>
      <c r="W70" s="408">
        <f t="shared" si="50"/>
        <v>0</v>
      </c>
      <c r="X70" s="408">
        <f t="shared" si="50"/>
        <v>0</v>
      </c>
      <c r="Y70" s="408">
        <f t="shared" si="50"/>
        <v>0</v>
      </c>
      <c r="Z70" s="408">
        <f t="shared" si="50"/>
        <v>0</v>
      </c>
      <c r="AA70" s="408">
        <f t="shared" si="50"/>
        <v>0</v>
      </c>
      <c r="AB70" s="408">
        <f t="shared" si="50"/>
        <v>0</v>
      </c>
      <c r="AD70" s="359"/>
      <c r="AE70" s="371">
        <f t="shared" si="45"/>
        <v>0</v>
      </c>
      <c r="AF70" s="371">
        <f t="shared" si="45"/>
        <v>0</v>
      </c>
      <c r="AG70" s="371">
        <f t="shared" si="45"/>
        <v>0</v>
      </c>
      <c r="AH70" s="371">
        <f t="shared" si="45"/>
        <v>0</v>
      </c>
      <c r="AI70" s="371">
        <f t="shared" si="45"/>
        <v>0</v>
      </c>
      <c r="AJ70" s="371">
        <f t="shared" si="45"/>
        <v>0</v>
      </c>
      <c r="AK70" s="371">
        <f t="shared" si="45"/>
        <v>0</v>
      </c>
      <c r="AL70" s="371">
        <f t="shared" si="45"/>
        <v>0</v>
      </c>
      <c r="AM70" s="371">
        <f t="shared" si="45"/>
        <v>0</v>
      </c>
      <c r="AN70" s="371">
        <f t="shared" si="45"/>
        <v>0</v>
      </c>
      <c r="AO70" s="371">
        <f t="shared" si="46"/>
        <v>0</v>
      </c>
      <c r="AP70" s="371">
        <f t="shared" si="46"/>
        <v>0</v>
      </c>
      <c r="AQ70" s="371">
        <f t="shared" si="46"/>
        <v>0</v>
      </c>
      <c r="AR70" s="371">
        <f t="shared" si="46"/>
        <v>0</v>
      </c>
      <c r="AS70" s="371">
        <f t="shared" si="46"/>
        <v>0</v>
      </c>
      <c r="AT70" s="371">
        <f t="shared" si="46"/>
        <v>0</v>
      </c>
      <c r="AU70" s="371">
        <f t="shared" si="46"/>
        <v>0</v>
      </c>
      <c r="AV70" s="371">
        <f t="shared" si="46"/>
        <v>0</v>
      </c>
      <c r="AW70" s="371">
        <f t="shared" si="46"/>
        <v>0</v>
      </c>
      <c r="AX70" s="371">
        <f t="shared" si="46"/>
        <v>0</v>
      </c>
      <c r="AY70" s="371">
        <f t="shared" si="47"/>
        <v>0</v>
      </c>
      <c r="AZ70" s="371">
        <f t="shared" si="47"/>
        <v>0</v>
      </c>
      <c r="BA70" s="371">
        <f t="shared" si="47"/>
        <v>0</v>
      </c>
      <c r="BB70" s="371">
        <f t="shared" si="47"/>
        <v>0</v>
      </c>
      <c r="BC70" s="371">
        <f t="shared" si="47"/>
        <v>0</v>
      </c>
      <c r="BD70" s="371">
        <f t="shared" si="47"/>
        <v>0</v>
      </c>
      <c r="BE70" s="371">
        <f t="shared" si="47"/>
        <v>0</v>
      </c>
      <c r="BF70" s="371">
        <f t="shared" si="47"/>
        <v>0</v>
      </c>
      <c r="BG70" s="371">
        <f t="shared" si="47"/>
        <v>0</v>
      </c>
      <c r="BH70" s="371">
        <f t="shared" si="47"/>
        <v>0</v>
      </c>
      <c r="BI70" s="371">
        <f t="shared" si="48"/>
        <v>0</v>
      </c>
      <c r="BJ70" s="371">
        <f t="shared" si="48"/>
        <v>0</v>
      </c>
      <c r="BK70" s="371">
        <f t="shared" si="48"/>
        <v>0</v>
      </c>
      <c r="BL70" s="371">
        <f t="shared" si="48"/>
        <v>0</v>
      </c>
      <c r="BM70" s="371">
        <f t="shared" si="48"/>
        <v>0</v>
      </c>
      <c r="BN70" s="371">
        <f t="shared" si="48"/>
        <v>0</v>
      </c>
      <c r="BO70" s="371">
        <f t="shared" si="48"/>
        <v>0</v>
      </c>
      <c r="BP70" s="371">
        <f t="shared" si="48"/>
        <v>0</v>
      </c>
      <c r="BQ70" s="371">
        <f t="shared" si="48"/>
        <v>0</v>
      </c>
      <c r="BR70" s="371">
        <f t="shared" si="48"/>
        <v>0</v>
      </c>
      <c r="BS70" s="371">
        <f t="shared" si="49"/>
        <v>0</v>
      </c>
      <c r="BT70" s="371">
        <f t="shared" si="49"/>
        <v>0</v>
      </c>
      <c r="BU70" s="371">
        <f t="shared" si="49"/>
        <v>0</v>
      </c>
      <c r="BV70" s="371">
        <f t="shared" si="49"/>
        <v>0</v>
      </c>
      <c r="BW70" s="371">
        <f t="shared" si="49"/>
        <v>0</v>
      </c>
      <c r="BX70" s="371">
        <f t="shared" si="49"/>
        <v>0</v>
      </c>
      <c r="BY70" s="371">
        <f t="shared" si="49"/>
        <v>0</v>
      </c>
      <c r="BZ70" s="371">
        <f t="shared" si="49"/>
        <v>0</v>
      </c>
    </row>
    <row r="71" spans="2:78" ht="21" hidden="1" customHeight="1" outlineLevel="3">
      <c r="B71" s="367"/>
      <c r="C71" s="370"/>
      <c r="D71" s="374">
        <f t="shared" si="32"/>
        <v>46053</v>
      </c>
      <c r="E71" s="373" cm="1">
        <f t="array" ref="E71">IF($D71=LatestMonthOfActuals,INDEX($AE$25:$BZ$25,0,MATCH($D71,$AE$8:$BZ$8,0)),0)</f>
        <v>0</v>
      </c>
      <c r="F71" s="359"/>
      <c r="G71" s="408">
        <f t="shared" si="25"/>
        <v>0</v>
      </c>
      <c r="H71" s="408">
        <f t="shared" si="25"/>
        <v>0</v>
      </c>
      <c r="I71" s="408">
        <f t="shared" si="25"/>
        <v>0</v>
      </c>
      <c r="J71" s="408">
        <f t="shared" si="25"/>
        <v>0</v>
      </c>
      <c r="K71" s="408"/>
      <c r="L71" s="408"/>
      <c r="M71" s="408">
        <f t="shared" si="39"/>
        <v>0</v>
      </c>
      <c r="N71" s="408">
        <f t="shared" si="50"/>
        <v>0</v>
      </c>
      <c r="O71" s="408">
        <f t="shared" si="50"/>
        <v>0</v>
      </c>
      <c r="P71" s="408">
        <f t="shared" si="50"/>
        <v>0</v>
      </c>
      <c r="Q71" s="408">
        <f t="shared" si="50"/>
        <v>0</v>
      </c>
      <c r="R71" s="408">
        <f t="shared" si="50"/>
        <v>0</v>
      </c>
      <c r="S71" s="408">
        <f t="shared" si="50"/>
        <v>0</v>
      </c>
      <c r="T71" s="408">
        <f t="shared" si="50"/>
        <v>0</v>
      </c>
      <c r="U71" s="408">
        <f t="shared" si="50"/>
        <v>0</v>
      </c>
      <c r="V71" s="408">
        <f t="shared" si="50"/>
        <v>0</v>
      </c>
      <c r="W71" s="408">
        <f t="shared" si="50"/>
        <v>0</v>
      </c>
      <c r="X71" s="408">
        <f t="shared" si="50"/>
        <v>0</v>
      </c>
      <c r="Y71" s="408">
        <f t="shared" si="50"/>
        <v>0</v>
      </c>
      <c r="Z71" s="408">
        <f t="shared" si="50"/>
        <v>0</v>
      </c>
      <c r="AA71" s="408">
        <f t="shared" si="50"/>
        <v>0</v>
      </c>
      <c r="AB71" s="408">
        <f t="shared" si="50"/>
        <v>0</v>
      </c>
      <c r="AD71" s="359"/>
      <c r="AE71" s="371">
        <f t="shared" si="45"/>
        <v>0</v>
      </c>
      <c r="AF71" s="371">
        <f t="shared" si="45"/>
        <v>0</v>
      </c>
      <c r="AG71" s="371">
        <f t="shared" si="45"/>
        <v>0</v>
      </c>
      <c r="AH71" s="371">
        <f t="shared" si="45"/>
        <v>0</v>
      </c>
      <c r="AI71" s="371">
        <f t="shared" si="45"/>
        <v>0</v>
      </c>
      <c r="AJ71" s="371">
        <f t="shared" si="45"/>
        <v>0</v>
      </c>
      <c r="AK71" s="371">
        <f t="shared" si="45"/>
        <v>0</v>
      </c>
      <c r="AL71" s="371">
        <f t="shared" si="45"/>
        <v>0</v>
      </c>
      <c r="AM71" s="371">
        <f t="shared" si="45"/>
        <v>0</v>
      </c>
      <c r="AN71" s="371">
        <f t="shared" si="45"/>
        <v>0</v>
      </c>
      <c r="AO71" s="371">
        <f t="shared" si="46"/>
        <v>0</v>
      </c>
      <c r="AP71" s="371">
        <f t="shared" si="46"/>
        <v>0</v>
      </c>
      <c r="AQ71" s="371">
        <f t="shared" si="46"/>
        <v>0</v>
      </c>
      <c r="AR71" s="371">
        <f t="shared" si="46"/>
        <v>0</v>
      </c>
      <c r="AS71" s="371">
        <f t="shared" si="46"/>
        <v>0</v>
      </c>
      <c r="AT71" s="371">
        <f t="shared" si="46"/>
        <v>0</v>
      </c>
      <c r="AU71" s="371">
        <f t="shared" si="46"/>
        <v>0</v>
      </c>
      <c r="AV71" s="371">
        <f t="shared" si="46"/>
        <v>0</v>
      </c>
      <c r="AW71" s="371">
        <f t="shared" si="46"/>
        <v>0</v>
      </c>
      <c r="AX71" s="371">
        <f t="shared" si="46"/>
        <v>0</v>
      </c>
      <c r="AY71" s="371">
        <f t="shared" si="47"/>
        <v>0</v>
      </c>
      <c r="AZ71" s="371">
        <f t="shared" si="47"/>
        <v>0</v>
      </c>
      <c r="BA71" s="371">
        <f t="shared" si="47"/>
        <v>0</v>
      </c>
      <c r="BB71" s="371">
        <f t="shared" si="47"/>
        <v>0</v>
      </c>
      <c r="BC71" s="371">
        <f t="shared" si="47"/>
        <v>0</v>
      </c>
      <c r="BD71" s="371">
        <f t="shared" si="47"/>
        <v>0</v>
      </c>
      <c r="BE71" s="371">
        <f t="shared" si="47"/>
        <v>0</v>
      </c>
      <c r="BF71" s="371">
        <f t="shared" si="47"/>
        <v>0</v>
      </c>
      <c r="BG71" s="371">
        <f t="shared" si="47"/>
        <v>0</v>
      </c>
      <c r="BH71" s="371">
        <f t="shared" si="47"/>
        <v>0</v>
      </c>
      <c r="BI71" s="371">
        <f t="shared" si="48"/>
        <v>0</v>
      </c>
      <c r="BJ71" s="371">
        <f t="shared" si="48"/>
        <v>0</v>
      </c>
      <c r="BK71" s="371">
        <f t="shared" si="48"/>
        <v>0</v>
      </c>
      <c r="BL71" s="371">
        <f t="shared" si="48"/>
        <v>0</v>
      </c>
      <c r="BM71" s="371">
        <f t="shared" si="48"/>
        <v>0</v>
      </c>
      <c r="BN71" s="371">
        <f t="shared" si="48"/>
        <v>0</v>
      </c>
      <c r="BO71" s="371">
        <f t="shared" si="48"/>
        <v>0</v>
      </c>
      <c r="BP71" s="371">
        <f t="shared" si="48"/>
        <v>0</v>
      </c>
      <c r="BQ71" s="371">
        <f t="shared" si="48"/>
        <v>0</v>
      </c>
      <c r="BR71" s="371">
        <f t="shared" si="48"/>
        <v>0</v>
      </c>
      <c r="BS71" s="371">
        <f t="shared" si="49"/>
        <v>0</v>
      </c>
      <c r="BT71" s="371">
        <f t="shared" si="49"/>
        <v>0</v>
      </c>
      <c r="BU71" s="371">
        <f t="shared" si="49"/>
        <v>0</v>
      </c>
      <c r="BV71" s="371">
        <f t="shared" si="49"/>
        <v>0</v>
      </c>
      <c r="BW71" s="371">
        <f t="shared" si="49"/>
        <v>0</v>
      </c>
      <c r="BX71" s="371">
        <f t="shared" si="49"/>
        <v>0</v>
      </c>
      <c r="BY71" s="371">
        <f t="shared" si="49"/>
        <v>0</v>
      </c>
      <c r="BZ71" s="371">
        <f t="shared" si="49"/>
        <v>0</v>
      </c>
    </row>
    <row r="72" spans="2:78" ht="21" hidden="1" customHeight="1" outlineLevel="3">
      <c r="B72" s="367"/>
      <c r="C72" s="370"/>
      <c r="D72" s="374">
        <f t="shared" si="32"/>
        <v>46081</v>
      </c>
      <c r="E72" s="373" cm="1">
        <f t="array" ref="E72">IF($D72=LatestMonthOfActuals,INDEX($AE$25:$BZ$25,0,MATCH($D72,$AE$8:$BZ$8,0)),0)</f>
        <v>0</v>
      </c>
      <c r="F72" s="359"/>
      <c r="G72" s="408">
        <f t="shared" si="25"/>
        <v>0</v>
      </c>
      <c r="H72" s="408">
        <f t="shared" si="25"/>
        <v>0</v>
      </c>
      <c r="I72" s="408">
        <f t="shared" si="25"/>
        <v>0</v>
      </c>
      <c r="J72" s="408">
        <f t="shared" si="25"/>
        <v>0</v>
      </c>
      <c r="K72" s="408"/>
      <c r="L72" s="408"/>
      <c r="M72" s="408">
        <f t="shared" si="39"/>
        <v>0</v>
      </c>
      <c r="N72" s="408">
        <f t="shared" si="50"/>
        <v>0</v>
      </c>
      <c r="O72" s="408">
        <f t="shared" si="50"/>
        <v>0</v>
      </c>
      <c r="P72" s="408">
        <f t="shared" si="50"/>
        <v>0</v>
      </c>
      <c r="Q72" s="408">
        <f t="shared" si="50"/>
        <v>0</v>
      </c>
      <c r="R72" s="408">
        <f t="shared" si="50"/>
        <v>0</v>
      </c>
      <c r="S72" s="408">
        <f t="shared" si="50"/>
        <v>0</v>
      </c>
      <c r="T72" s="408">
        <f t="shared" si="50"/>
        <v>0</v>
      </c>
      <c r="U72" s="408">
        <f t="shared" si="50"/>
        <v>0</v>
      </c>
      <c r="V72" s="408">
        <f t="shared" si="50"/>
        <v>0</v>
      </c>
      <c r="W72" s="408">
        <f t="shared" si="50"/>
        <v>0</v>
      </c>
      <c r="X72" s="408">
        <f t="shared" si="50"/>
        <v>0</v>
      </c>
      <c r="Y72" s="408">
        <f t="shared" si="50"/>
        <v>0</v>
      </c>
      <c r="Z72" s="408">
        <f t="shared" si="50"/>
        <v>0</v>
      </c>
      <c r="AA72" s="408">
        <f t="shared" si="50"/>
        <v>0</v>
      </c>
      <c r="AB72" s="408">
        <f t="shared" si="50"/>
        <v>0</v>
      </c>
      <c r="AD72" s="359"/>
      <c r="AE72" s="371">
        <f t="shared" si="45"/>
        <v>0</v>
      </c>
      <c r="AF72" s="371">
        <f t="shared" si="45"/>
        <v>0</v>
      </c>
      <c r="AG72" s="371">
        <f t="shared" si="45"/>
        <v>0</v>
      </c>
      <c r="AH72" s="371">
        <f t="shared" si="45"/>
        <v>0</v>
      </c>
      <c r="AI72" s="371">
        <f t="shared" si="45"/>
        <v>0</v>
      </c>
      <c r="AJ72" s="371">
        <f t="shared" si="45"/>
        <v>0</v>
      </c>
      <c r="AK72" s="371">
        <f t="shared" si="45"/>
        <v>0</v>
      </c>
      <c r="AL72" s="371">
        <f t="shared" si="45"/>
        <v>0</v>
      </c>
      <c r="AM72" s="371">
        <f t="shared" si="45"/>
        <v>0</v>
      </c>
      <c r="AN72" s="371">
        <f t="shared" si="45"/>
        <v>0</v>
      </c>
      <c r="AO72" s="371">
        <f t="shared" si="46"/>
        <v>0</v>
      </c>
      <c r="AP72" s="371">
        <f t="shared" si="46"/>
        <v>0</v>
      </c>
      <c r="AQ72" s="371">
        <f t="shared" si="46"/>
        <v>0</v>
      </c>
      <c r="AR72" s="371">
        <f t="shared" si="46"/>
        <v>0</v>
      </c>
      <c r="AS72" s="371">
        <f t="shared" si="46"/>
        <v>0</v>
      </c>
      <c r="AT72" s="371">
        <f t="shared" si="46"/>
        <v>0</v>
      </c>
      <c r="AU72" s="371">
        <f t="shared" si="46"/>
        <v>0</v>
      </c>
      <c r="AV72" s="371">
        <f t="shared" si="46"/>
        <v>0</v>
      </c>
      <c r="AW72" s="371">
        <f t="shared" si="46"/>
        <v>0</v>
      </c>
      <c r="AX72" s="371">
        <f t="shared" si="46"/>
        <v>0</v>
      </c>
      <c r="AY72" s="371">
        <f t="shared" si="47"/>
        <v>0</v>
      </c>
      <c r="AZ72" s="371">
        <f t="shared" si="47"/>
        <v>0</v>
      </c>
      <c r="BA72" s="371">
        <f t="shared" si="47"/>
        <v>0</v>
      </c>
      <c r="BB72" s="371">
        <f t="shared" si="47"/>
        <v>0</v>
      </c>
      <c r="BC72" s="371">
        <f t="shared" si="47"/>
        <v>0</v>
      </c>
      <c r="BD72" s="371">
        <f t="shared" si="47"/>
        <v>0</v>
      </c>
      <c r="BE72" s="371">
        <f t="shared" si="47"/>
        <v>0</v>
      </c>
      <c r="BF72" s="371">
        <f t="shared" si="47"/>
        <v>0</v>
      </c>
      <c r="BG72" s="371">
        <f t="shared" si="47"/>
        <v>0</v>
      </c>
      <c r="BH72" s="371">
        <f t="shared" si="47"/>
        <v>0</v>
      </c>
      <c r="BI72" s="371">
        <f t="shared" si="48"/>
        <v>0</v>
      </c>
      <c r="BJ72" s="371">
        <f t="shared" si="48"/>
        <v>0</v>
      </c>
      <c r="BK72" s="371">
        <f t="shared" si="48"/>
        <v>0</v>
      </c>
      <c r="BL72" s="371">
        <f t="shared" si="48"/>
        <v>0</v>
      </c>
      <c r="BM72" s="371">
        <f t="shared" si="48"/>
        <v>0</v>
      </c>
      <c r="BN72" s="371">
        <f t="shared" si="48"/>
        <v>0</v>
      </c>
      <c r="BO72" s="371">
        <f t="shared" si="48"/>
        <v>0</v>
      </c>
      <c r="BP72" s="371">
        <f t="shared" si="48"/>
        <v>0</v>
      </c>
      <c r="BQ72" s="371">
        <f t="shared" si="48"/>
        <v>0</v>
      </c>
      <c r="BR72" s="371">
        <f t="shared" si="48"/>
        <v>0</v>
      </c>
      <c r="BS72" s="371">
        <f t="shared" si="49"/>
        <v>0</v>
      </c>
      <c r="BT72" s="371">
        <f t="shared" si="49"/>
        <v>0</v>
      </c>
      <c r="BU72" s="371">
        <f t="shared" si="49"/>
        <v>0</v>
      </c>
      <c r="BV72" s="371">
        <f t="shared" si="49"/>
        <v>0</v>
      </c>
      <c r="BW72" s="371">
        <f t="shared" si="49"/>
        <v>0</v>
      </c>
      <c r="BX72" s="371">
        <f t="shared" si="49"/>
        <v>0</v>
      </c>
      <c r="BY72" s="371">
        <f t="shared" si="49"/>
        <v>0</v>
      </c>
      <c r="BZ72" s="371">
        <f t="shared" si="49"/>
        <v>0</v>
      </c>
    </row>
    <row r="73" spans="2:78" ht="21" hidden="1" customHeight="1" outlineLevel="3">
      <c r="B73" s="367"/>
      <c r="C73" s="370"/>
      <c r="D73" s="374">
        <f t="shared" si="32"/>
        <v>46112</v>
      </c>
      <c r="E73" s="373" cm="1">
        <f t="array" ref="E73">IF($D73=LatestMonthOfActuals,INDEX($AE$25:$BZ$25,0,MATCH($D73,$AE$8:$BZ$8,0)),0)</f>
        <v>0</v>
      </c>
      <c r="F73" s="359"/>
      <c r="G73" s="408">
        <f t="shared" si="25"/>
        <v>0</v>
      </c>
      <c r="H73" s="408">
        <f t="shared" si="25"/>
        <v>0</v>
      </c>
      <c r="I73" s="408">
        <f t="shared" si="25"/>
        <v>0</v>
      </c>
      <c r="J73" s="408">
        <f t="shared" si="25"/>
        <v>0</v>
      </c>
      <c r="K73" s="408"/>
      <c r="L73" s="408"/>
      <c r="M73" s="408">
        <f t="shared" si="39"/>
        <v>0</v>
      </c>
      <c r="N73" s="408">
        <f t="shared" si="50"/>
        <v>0</v>
      </c>
      <c r="O73" s="408">
        <f t="shared" si="50"/>
        <v>0</v>
      </c>
      <c r="P73" s="408">
        <f t="shared" si="50"/>
        <v>0</v>
      </c>
      <c r="Q73" s="408">
        <f t="shared" si="50"/>
        <v>0</v>
      </c>
      <c r="R73" s="408">
        <f t="shared" si="50"/>
        <v>0</v>
      </c>
      <c r="S73" s="408">
        <f t="shared" si="50"/>
        <v>0</v>
      </c>
      <c r="T73" s="408">
        <f t="shared" si="50"/>
        <v>0</v>
      </c>
      <c r="U73" s="408">
        <f t="shared" si="50"/>
        <v>0</v>
      </c>
      <c r="V73" s="408">
        <f t="shared" si="50"/>
        <v>0</v>
      </c>
      <c r="W73" s="408">
        <f t="shared" si="50"/>
        <v>0</v>
      </c>
      <c r="X73" s="408">
        <f t="shared" si="50"/>
        <v>0</v>
      </c>
      <c r="Y73" s="408">
        <f t="shared" si="50"/>
        <v>0</v>
      </c>
      <c r="Z73" s="408">
        <f t="shared" si="50"/>
        <v>0</v>
      </c>
      <c r="AA73" s="408">
        <f t="shared" si="50"/>
        <v>0</v>
      </c>
      <c r="AB73" s="408">
        <f t="shared" si="50"/>
        <v>0</v>
      </c>
      <c r="AD73" s="359"/>
      <c r="AE73" s="371">
        <f t="shared" si="45"/>
        <v>0</v>
      </c>
      <c r="AF73" s="371">
        <f t="shared" si="45"/>
        <v>0</v>
      </c>
      <c r="AG73" s="371">
        <f t="shared" si="45"/>
        <v>0</v>
      </c>
      <c r="AH73" s="371">
        <f t="shared" si="45"/>
        <v>0</v>
      </c>
      <c r="AI73" s="371">
        <f t="shared" si="45"/>
        <v>0</v>
      </c>
      <c r="AJ73" s="371">
        <f t="shared" si="45"/>
        <v>0</v>
      </c>
      <c r="AK73" s="371">
        <f t="shared" si="45"/>
        <v>0</v>
      </c>
      <c r="AL73" s="371">
        <f t="shared" si="45"/>
        <v>0</v>
      </c>
      <c r="AM73" s="371">
        <f t="shared" si="45"/>
        <v>0</v>
      </c>
      <c r="AN73" s="371">
        <f t="shared" si="45"/>
        <v>0</v>
      </c>
      <c r="AO73" s="371">
        <f t="shared" si="46"/>
        <v>0</v>
      </c>
      <c r="AP73" s="371">
        <f t="shared" si="46"/>
        <v>0</v>
      </c>
      <c r="AQ73" s="371">
        <f t="shared" si="46"/>
        <v>0</v>
      </c>
      <c r="AR73" s="371">
        <f t="shared" si="46"/>
        <v>0</v>
      </c>
      <c r="AS73" s="371">
        <f t="shared" si="46"/>
        <v>0</v>
      </c>
      <c r="AT73" s="371">
        <f t="shared" si="46"/>
        <v>0</v>
      </c>
      <c r="AU73" s="371">
        <f t="shared" si="46"/>
        <v>0</v>
      </c>
      <c r="AV73" s="371">
        <f t="shared" si="46"/>
        <v>0</v>
      </c>
      <c r="AW73" s="371">
        <f t="shared" si="46"/>
        <v>0</v>
      </c>
      <c r="AX73" s="371">
        <f t="shared" si="46"/>
        <v>0</v>
      </c>
      <c r="AY73" s="371">
        <f t="shared" si="47"/>
        <v>0</v>
      </c>
      <c r="AZ73" s="371">
        <f t="shared" si="47"/>
        <v>0</v>
      </c>
      <c r="BA73" s="371">
        <f t="shared" si="47"/>
        <v>0</v>
      </c>
      <c r="BB73" s="371">
        <f t="shared" si="47"/>
        <v>0</v>
      </c>
      <c r="BC73" s="371">
        <f t="shared" si="47"/>
        <v>0</v>
      </c>
      <c r="BD73" s="371">
        <f t="shared" si="47"/>
        <v>0</v>
      </c>
      <c r="BE73" s="371">
        <f t="shared" si="47"/>
        <v>0</v>
      </c>
      <c r="BF73" s="371">
        <f t="shared" si="47"/>
        <v>0</v>
      </c>
      <c r="BG73" s="371">
        <f t="shared" si="47"/>
        <v>0</v>
      </c>
      <c r="BH73" s="371">
        <f t="shared" si="47"/>
        <v>0</v>
      </c>
      <c r="BI73" s="371">
        <f t="shared" si="48"/>
        <v>0</v>
      </c>
      <c r="BJ73" s="371">
        <f t="shared" si="48"/>
        <v>0</v>
      </c>
      <c r="BK73" s="371">
        <f t="shared" si="48"/>
        <v>0</v>
      </c>
      <c r="BL73" s="371">
        <f t="shared" si="48"/>
        <v>0</v>
      </c>
      <c r="BM73" s="371">
        <f t="shared" si="48"/>
        <v>0</v>
      </c>
      <c r="BN73" s="371">
        <f t="shared" si="48"/>
        <v>0</v>
      </c>
      <c r="BO73" s="371">
        <f t="shared" si="48"/>
        <v>0</v>
      </c>
      <c r="BP73" s="371">
        <f t="shared" si="48"/>
        <v>0</v>
      </c>
      <c r="BQ73" s="371">
        <f t="shared" si="48"/>
        <v>0</v>
      </c>
      <c r="BR73" s="371">
        <f t="shared" si="48"/>
        <v>0</v>
      </c>
      <c r="BS73" s="371">
        <f t="shared" si="49"/>
        <v>0</v>
      </c>
      <c r="BT73" s="371">
        <f t="shared" si="49"/>
        <v>0</v>
      </c>
      <c r="BU73" s="371">
        <f t="shared" si="49"/>
        <v>0</v>
      </c>
      <c r="BV73" s="371">
        <f t="shared" si="49"/>
        <v>0</v>
      </c>
      <c r="BW73" s="371">
        <f t="shared" si="49"/>
        <v>0</v>
      </c>
      <c r="BX73" s="371">
        <f t="shared" si="49"/>
        <v>0</v>
      </c>
      <c r="BY73" s="371">
        <f t="shared" si="49"/>
        <v>0</v>
      </c>
      <c r="BZ73" s="371">
        <f t="shared" si="49"/>
        <v>0</v>
      </c>
    </row>
    <row r="74" spans="2:78" ht="21" hidden="1" customHeight="1" outlineLevel="3">
      <c r="B74" s="367"/>
      <c r="C74" s="370"/>
      <c r="D74" s="374">
        <f t="shared" si="32"/>
        <v>46142</v>
      </c>
      <c r="E74" s="373" cm="1">
        <f t="array" ref="E74">IF($D74=LatestMonthOfActuals,INDEX($AE$25:$BZ$25,0,MATCH($D74,$AE$8:$BZ$8,0)),0)</f>
        <v>0</v>
      </c>
      <c r="F74" s="359"/>
      <c r="G74" s="408">
        <f t="shared" si="25"/>
        <v>0</v>
      </c>
      <c r="H74" s="408">
        <f t="shared" si="25"/>
        <v>0</v>
      </c>
      <c r="I74" s="408">
        <f t="shared" si="25"/>
        <v>0</v>
      </c>
      <c r="J74" s="408">
        <f t="shared" si="25"/>
        <v>0</v>
      </c>
      <c r="K74" s="408"/>
      <c r="L74" s="408"/>
      <c r="M74" s="408">
        <f t="shared" si="39"/>
        <v>0</v>
      </c>
      <c r="N74" s="408">
        <f t="shared" si="50"/>
        <v>0</v>
      </c>
      <c r="O74" s="408">
        <f t="shared" si="50"/>
        <v>0</v>
      </c>
      <c r="P74" s="408">
        <f t="shared" si="50"/>
        <v>0</v>
      </c>
      <c r="Q74" s="408">
        <f t="shared" si="50"/>
        <v>0</v>
      </c>
      <c r="R74" s="408">
        <f t="shared" si="50"/>
        <v>0</v>
      </c>
      <c r="S74" s="408">
        <f t="shared" si="50"/>
        <v>0</v>
      </c>
      <c r="T74" s="408">
        <f t="shared" si="50"/>
        <v>0</v>
      </c>
      <c r="U74" s="408">
        <f t="shared" si="50"/>
        <v>0</v>
      </c>
      <c r="V74" s="408">
        <f t="shared" si="50"/>
        <v>0</v>
      </c>
      <c r="W74" s="408">
        <f t="shared" si="50"/>
        <v>0</v>
      </c>
      <c r="X74" s="408">
        <f t="shared" si="50"/>
        <v>0</v>
      </c>
      <c r="Y74" s="408">
        <f t="shared" si="50"/>
        <v>0</v>
      </c>
      <c r="Z74" s="408">
        <f t="shared" si="50"/>
        <v>0</v>
      </c>
      <c r="AA74" s="408">
        <f t="shared" si="50"/>
        <v>0</v>
      </c>
      <c r="AB74" s="408">
        <f t="shared" si="50"/>
        <v>0</v>
      </c>
      <c r="AD74" s="359"/>
      <c r="AE74" s="371">
        <f t="shared" si="45"/>
        <v>0</v>
      </c>
      <c r="AF74" s="371">
        <f t="shared" si="45"/>
        <v>0</v>
      </c>
      <c r="AG74" s="371">
        <f t="shared" si="45"/>
        <v>0</v>
      </c>
      <c r="AH74" s="371">
        <f t="shared" si="45"/>
        <v>0</v>
      </c>
      <c r="AI74" s="371">
        <f t="shared" si="45"/>
        <v>0</v>
      </c>
      <c r="AJ74" s="371">
        <f t="shared" si="45"/>
        <v>0</v>
      </c>
      <c r="AK74" s="371">
        <f t="shared" si="45"/>
        <v>0</v>
      </c>
      <c r="AL74" s="371">
        <f t="shared" si="45"/>
        <v>0</v>
      </c>
      <c r="AM74" s="371">
        <f t="shared" si="45"/>
        <v>0</v>
      </c>
      <c r="AN74" s="371">
        <f t="shared" si="45"/>
        <v>0</v>
      </c>
      <c r="AO74" s="371">
        <f t="shared" si="46"/>
        <v>0</v>
      </c>
      <c r="AP74" s="371">
        <f t="shared" si="46"/>
        <v>0</v>
      </c>
      <c r="AQ74" s="371">
        <f t="shared" si="46"/>
        <v>0</v>
      </c>
      <c r="AR74" s="371">
        <f t="shared" si="46"/>
        <v>0</v>
      </c>
      <c r="AS74" s="371">
        <f t="shared" si="46"/>
        <v>0</v>
      </c>
      <c r="AT74" s="371">
        <f t="shared" si="46"/>
        <v>0</v>
      </c>
      <c r="AU74" s="371">
        <f t="shared" si="46"/>
        <v>0</v>
      </c>
      <c r="AV74" s="371">
        <f t="shared" si="46"/>
        <v>0</v>
      </c>
      <c r="AW74" s="371">
        <f t="shared" si="46"/>
        <v>0</v>
      </c>
      <c r="AX74" s="371">
        <f t="shared" si="46"/>
        <v>0</v>
      </c>
      <c r="AY74" s="371">
        <f t="shared" si="47"/>
        <v>0</v>
      </c>
      <c r="AZ74" s="371">
        <f t="shared" si="47"/>
        <v>0</v>
      </c>
      <c r="BA74" s="371">
        <f t="shared" si="47"/>
        <v>0</v>
      </c>
      <c r="BB74" s="371">
        <f t="shared" si="47"/>
        <v>0</v>
      </c>
      <c r="BC74" s="371">
        <f t="shared" si="47"/>
        <v>0</v>
      </c>
      <c r="BD74" s="371">
        <f t="shared" si="47"/>
        <v>0</v>
      </c>
      <c r="BE74" s="371">
        <f t="shared" si="47"/>
        <v>0</v>
      </c>
      <c r="BF74" s="371">
        <f t="shared" si="47"/>
        <v>0</v>
      </c>
      <c r="BG74" s="371">
        <f t="shared" si="47"/>
        <v>0</v>
      </c>
      <c r="BH74" s="371">
        <f t="shared" si="47"/>
        <v>0</v>
      </c>
      <c r="BI74" s="371">
        <f t="shared" si="48"/>
        <v>0</v>
      </c>
      <c r="BJ74" s="371">
        <f t="shared" si="48"/>
        <v>0</v>
      </c>
      <c r="BK74" s="371">
        <f t="shared" si="48"/>
        <v>0</v>
      </c>
      <c r="BL74" s="371">
        <f t="shared" si="48"/>
        <v>0</v>
      </c>
      <c r="BM74" s="371">
        <f t="shared" si="48"/>
        <v>0</v>
      </c>
      <c r="BN74" s="371">
        <f t="shared" si="48"/>
        <v>0</v>
      </c>
      <c r="BO74" s="371">
        <f t="shared" si="48"/>
        <v>0</v>
      </c>
      <c r="BP74" s="371">
        <f t="shared" si="48"/>
        <v>0</v>
      </c>
      <c r="BQ74" s="371">
        <f t="shared" si="48"/>
        <v>0</v>
      </c>
      <c r="BR74" s="371">
        <f t="shared" si="48"/>
        <v>0</v>
      </c>
      <c r="BS74" s="371">
        <f t="shared" si="49"/>
        <v>0</v>
      </c>
      <c r="BT74" s="371">
        <f t="shared" si="49"/>
        <v>0</v>
      </c>
      <c r="BU74" s="371">
        <f t="shared" si="49"/>
        <v>0</v>
      </c>
      <c r="BV74" s="371">
        <f t="shared" si="49"/>
        <v>0</v>
      </c>
      <c r="BW74" s="371">
        <f t="shared" si="49"/>
        <v>0</v>
      </c>
      <c r="BX74" s="371">
        <f t="shared" si="49"/>
        <v>0</v>
      </c>
      <c r="BY74" s="371">
        <f t="shared" si="49"/>
        <v>0</v>
      </c>
      <c r="BZ74" s="371">
        <f t="shared" si="49"/>
        <v>0</v>
      </c>
    </row>
    <row r="75" spans="2:78" ht="21" hidden="1" customHeight="1" outlineLevel="3">
      <c r="B75" s="367"/>
      <c r="C75" s="370"/>
      <c r="D75" s="374">
        <f t="shared" si="32"/>
        <v>46173</v>
      </c>
      <c r="E75" s="373" cm="1">
        <f t="array" ref="E75">IF($D75=LatestMonthOfActuals,INDEX($AE$25:$BZ$25,0,MATCH($D75,$AE$8:$BZ$8,0)),0)</f>
        <v>0</v>
      </c>
      <c r="F75" s="359"/>
      <c r="G75" s="408">
        <f t="shared" si="25"/>
        <v>0</v>
      </c>
      <c r="H75" s="408">
        <f t="shared" si="25"/>
        <v>0</v>
      </c>
      <c r="I75" s="408">
        <f t="shared" si="25"/>
        <v>0</v>
      </c>
      <c r="J75" s="408">
        <f t="shared" si="25"/>
        <v>0</v>
      </c>
      <c r="K75" s="408"/>
      <c r="L75" s="408"/>
      <c r="M75" s="408">
        <f t="shared" si="39"/>
        <v>0</v>
      </c>
      <c r="N75" s="408">
        <f t="shared" si="50"/>
        <v>0</v>
      </c>
      <c r="O75" s="408">
        <f t="shared" si="50"/>
        <v>0</v>
      </c>
      <c r="P75" s="408">
        <f t="shared" si="50"/>
        <v>0</v>
      </c>
      <c r="Q75" s="408">
        <f t="shared" si="50"/>
        <v>0</v>
      </c>
      <c r="R75" s="408">
        <f t="shared" si="50"/>
        <v>0</v>
      </c>
      <c r="S75" s="408">
        <f t="shared" si="50"/>
        <v>0</v>
      </c>
      <c r="T75" s="408">
        <f t="shared" si="50"/>
        <v>0</v>
      </c>
      <c r="U75" s="408">
        <f t="shared" si="50"/>
        <v>0</v>
      </c>
      <c r="V75" s="408">
        <f t="shared" si="50"/>
        <v>0</v>
      </c>
      <c r="W75" s="408">
        <f t="shared" si="50"/>
        <v>0</v>
      </c>
      <c r="X75" s="408">
        <f t="shared" si="50"/>
        <v>0</v>
      </c>
      <c r="Y75" s="408">
        <f t="shared" si="50"/>
        <v>0</v>
      </c>
      <c r="Z75" s="408">
        <f t="shared" si="50"/>
        <v>0</v>
      </c>
      <c r="AA75" s="408">
        <f t="shared" si="50"/>
        <v>0</v>
      </c>
      <c r="AB75" s="408">
        <f t="shared" si="50"/>
        <v>0</v>
      </c>
      <c r="AD75" s="359"/>
      <c r="AE75" s="371">
        <f t="shared" ref="AE75:AN82" si="51">IFERROR(IF(AE$8&gt;=$D75,$E75*(INDEX($E$12:$E$16,(MATCH(MATCH(AE$8,$D$35:$D$82,0)-MATCH($D75,$D$35:$D$82,0),$D$12:$D$16,0)))),0),0)</f>
        <v>0</v>
      </c>
      <c r="AF75" s="371">
        <f t="shared" si="51"/>
        <v>0</v>
      </c>
      <c r="AG75" s="371">
        <f t="shared" si="51"/>
        <v>0</v>
      </c>
      <c r="AH75" s="371">
        <f t="shared" si="51"/>
        <v>0</v>
      </c>
      <c r="AI75" s="371">
        <f t="shared" si="51"/>
        <v>0</v>
      </c>
      <c r="AJ75" s="371">
        <f t="shared" si="51"/>
        <v>0</v>
      </c>
      <c r="AK75" s="371">
        <f t="shared" si="51"/>
        <v>0</v>
      </c>
      <c r="AL75" s="371">
        <f t="shared" si="51"/>
        <v>0</v>
      </c>
      <c r="AM75" s="371">
        <f t="shared" si="51"/>
        <v>0</v>
      </c>
      <c r="AN75" s="371">
        <f t="shared" si="51"/>
        <v>0</v>
      </c>
      <c r="AO75" s="371">
        <f t="shared" ref="AO75:AX82" si="52">IFERROR(IF(AO$8&gt;=$D75,$E75*(INDEX($E$12:$E$16,(MATCH(MATCH(AO$8,$D$35:$D$82,0)-MATCH($D75,$D$35:$D$82,0),$D$12:$D$16,0)))),0),0)</f>
        <v>0</v>
      </c>
      <c r="AP75" s="371">
        <f t="shared" si="52"/>
        <v>0</v>
      </c>
      <c r="AQ75" s="371">
        <f t="shared" si="52"/>
        <v>0</v>
      </c>
      <c r="AR75" s="371">
        <f t="shared" si="52"/>
        <v>0</v>
      </c>
      <c r="AS75" s="371">
        <f t="shared" si="52"/>
        <v>0</v>
      </c>
      <c r="AT75" s="371">
        <f t="shared" si="52"/>
        <v>0</v>
      </c>
      <c r="AU75" s="371">
        <f t="shared" si="52"/>
        <v>0</v>
      </c>
      <c r="AV75" s="371">
        <f t="shared" si="52"/>
        <v>0</v>
      </c>
      <c r="AW75" s="371">
        <f t="shared" si="52"/>
        <v>0</v>
      </c>
      <c r="AX75" s="371">
        <f t="shared" si="52"/>
        <v>0</v>
      </c>
      <c r="AY75" s="371">
        <f t="shared" ref="AY75:BH82" si="53">IFERROR(IF(AY$8&gt;=$D75,$E75*(INDEX($E$12:$E$16,(MATCH(MATCH(AY$8,$D$35:$D$82,0)-MATCH($D75,$D$35:$D$82,0),$D$12:$D$16,0)))),0),0)</f>
        <v>0</v>
      </c>
      <c r="AZ75" s="371">
        <f t="shared" si="53"/>
        <v>0</v>
      </c>
      <c r="BA75" s="371">
        <f t="shared" si="53"/>
        <v>0</v>
      </c>
      <c r="BB75" s="371">
        <f t="shared" si="53"/>
        <v>0</v>
      </c>
      <c r="BC75" s="371">
        <f t="shared" si="53"/>
        <v>0</v>
      </c>
      <c r="BD75" s="371">
        <f t="shared" si="53"/>
        <v>0</v>
      </c>
      <c r="BE75" s="371">
        <f t="shared" si="53"/>
        <v>0</v>
      </c>
      <c r="BF75" s="371">
        <f t="shared" si="53"/>
        <v>0</v>
      </c>
      <c r="BG75" s="371">
        <f t="shared" si="53"/>
        <v>0</v>
      </c>
      <c r="BH75" s="371">
        <f t="shared" si="53"/>
        <v>0</v>
      </c>
      <c r="BI75" s="371">
        <f t="shared" ref="BI75:BR82" si="54">IFERROR(IF(BI$8&gt;=$D75,$E75*(INDEX($E$12:$E$16,(MATCH(MATCH(BI$8,$D$35:$D$82,0)-MATCH($D75,$D$35:$D$82,0),$D$12:$D$16,0)))),0),0)</f>
        <v>0</v>
      </c>
      <c r="BJ75" s="371">
        <f t="shared" si="54"/>
        <v>0</v>
      </c>
      <c r="BK75" s="371">
        <f t="shared" si="54"/>
        <v>0</v>
      </c>
      <c r="BL75" s="371">
        <f t="shared" si="54"/>
        <v>0</v>
      </c>
      <c r="BM75" s="371">
        <f t="shared" si="54"/>
        <v>0</v>
      </c>
      <c r="BN75" s="371">
        <f t="shared" si="54"/>
        <v>0</v>
      </c>
      <c r="BO75" s="371">
        <f t="shared" si="54"/>
        <v>0</v>
      </c>
      <c r="BP75" s="371">
        <f t="shared" si="54"/>
        <v>0</v>
      </c>
      <c r="BQ75" s="371">
        <f t="shared" si="54"/>
        <v>0</v>
      </c>
      <c r="BR75" s="371">
        <f t="shared" si="54"/>
        <v>0</v>
      </c>
      <c r="BS75" s="371">
        <f t="shared" ref="BS75:BZ82" si="55">IFERROR(IF(BS$8&gt;=$D75,$E75*(INDEX($E$12:$E$16,(MATCH(MATCH(BS$8,$D$35:$D$82,0)-MATCH($D75,$D$35:$D$82,0),$D$12:$D$16,0)))),0),0)</f>
        <v>0</v>
      </c>
      <c r="BT75" s="371">
        <f t="shared" si="55"/>
        <v>0</v>
      </c>
      <c r="BU75" s="371">
        <f t="shared" si="55"/>
        <v>0</v>
      </c>
      <c r="BV75" s="371">
        <f t="shared" si="55"/>
        <v>0</v>
      </c>
      <c r="BW75" s="371">
        <f t="shared" si="55"/>
        <v>0</v>
      </c>
      <c r="BX75" s="371">
        <f t="shared" si="55"/>
        <v>0</v>
      </c>
      <c r="BY75" s="371">
        <f t="shared" si="55"/>
        <v>0</v>
      </c>
      <c r="BZ75" s="371">
        <f t="shared" si="55"/>
        <v>0</v>
      </c>
    </row>
    <row r="76" spans="2:78" ht="21" hidden="1" customHeight="1" outlineLevel="3">
      <c r="B76" s="367"/>
      <c r="C76" s="370"/>
      <c r="D76" s="374">
        <f t="shared" si="32"/>
        <v>46203</v>
      </c>
      <c r="E76" s="373" cm="1">
        <f t="array" ref="E76">IF($D76=LatestMonthOfActuals,INDEX($AE$25:$BZ$25,0,MATCH($D76,$AE$8:$BZ$8,0)),0)</f>
        <v>0</v>
      </c>
      <c r="F76" s="359"/>
      <c r="G76" s="408">
        <f t="shared" si="25"/>
        <v>0</v>
      </c>
      <c r="H76" s="408">
        <f t="shared" si="25"/>
        <v>0</v>
      </c>
      <c r="I76" s="408">
        <f t="shared" si="25"/>
        <v>0</v>
      </c>
      <c r="J76" s="408">
        <f t="shared" si="25"/>
        <v>0</v>
      </c>
      <c r="K76" s="408"/>
      <c r="L76" s="408"/>
      <c r="M76" s="408">
        <f t="shared" si="39"/>
        <v>0</v>
      </c>
      <c r="N76" s="408">
        <f t="shared" si="50"/>
        <v>0</v>
      </c>
      <c r="O76" s="408">
        <f t="shared" si="50"/>
        <v>0</v>
      </c>
      <c r="P76" s="408">
        <f t="shared" si="50"/>
        <v>0</v>
      </c>
      <c r="Q76" s="408">
        <f t="shared" si="50"/>
        <v>0</v>
      </c>
      <c r="R76" s="408">
        <f t="shared" si="50"/>
        <v>0</v>
      </c>
      <c r="S76" s="408">
        <f t="shared" si="50"/>
        <v>0</v>
      </c>
      <c r="T76" s="408">
        <f t="shared" si="50"/>
        <v>0</v>
      </c>
      <c r="U76" s="408">
        <f t="shared" si="50"/>
        <v>0</v>
      </c>
      <c r="V76" s="408">
        <f t="shared" si="50"/>
        <v>0</v>
      </c>
      <c r="W76" s="408">
        <f t="shared" si="50"/>
        <v>0</v>
      </c>
      <c r="X76" s="408">
        <f t="shared" si="50"/>
        <v>0</v>
      </c>
      <c r="Y76" s="408">
        <f t="shared" si="50"/>
        <v>0</v>
      </c>
      <c r="Z76" s="408">
        <f t="shared" si="50"/>
        <v>0</v>
      </c>
      <c r="AA76" s="408">
        <f t="shared" si="50"/>
        <v>0</v>
      </c>
      <c r="AB76" s="408">
        <f t="shared" si="50"/>
        <v>0</v>
      </c>
      <c r="AD76" s="359"/>
      <c r="AE76" s="371">
        <f t="shared" si="51"/>
        <v>0</v>
      </c>
      <c r="AF76" s="371">
        <f t="shared" si="51"/>
        <v>0</v>
      </c>
      <c r="AG76" s="371">
        <f t="shared" si="51"/>
        <v>0</v>
      </c>
      <c r="AH76" s="371">
        <f t="shared" si="51"/>
        <v>0</v>
      </c>
      <c r="AI76" s="371">
        <f t="shared" si="51"/>
        <v>0</v>
      </c>
      <c r="AJ76" s="371">
        <f t="shared" si="51"/>
        <v>0</v>
      </c>
      <c r="AK76" s="371">
        <f t="shared" si="51"/>
        <v>0</v>
      </c>
      <c r="AL76" s="371">
        <f t="shared" si="51"/>
        <v>0</v>
      </c>
      <c r="AM76" s="371">
        <f t="shared" si="51"/>
        <v>0</v>
      </c>
      <c r="AN76" s="371">
        <f t="shared" si="51"/>
        <v>0</v>
      </c>
      <c r="AO76" s="371">
        <f t="shared" si="52"/>
        <v>0</v>
      </c>
      <c r="AP76" s="371">
        <f t="shared" si="52"/>
        <v>0</v>
      </c>
      <c r="AQ76" s="371">
        <f t="shared" si="52"/>
        <v>0</v>
      </c>
      <c r="AR76" s="371">
        <f t="shared" si="52"/>
        <v>0</v>
      </c>
      <c r="AS76" s="371">
        <f t="shared" si="52"/>
        <v>0</v>
      </c>
      <c r="AT76" s="371">
        <f t="shared" si="52"/>
        <v>0</v>
      </c>
      <c r="AU76" s="371">
        <f t="shared" si="52"/>
        <v>0</v>
      </c>
      <c r="AV76" s="371">
        <f t="shared" si="52"/>
        <v>0</v>
      </c>
      <c r="AW76" s="371">
        <f t="shared" si="52"/>
        <v>0</v>
      </c>
      <c r="AX76" s="371">
        <f t="shared" si="52"/>
        <v>0</v>
      </c>
      <c r="AY76" s="371">
        <f t="shared" si="53"/>
        <v>0</v>
      </c>
      <c r="AZ76" s="371">
        <f t="shared" si="53"/>
        <v>0</v>
      </c>
      <c r="BA76" s="371">
        <f t="shared" si="53"/>
        <v>0</v>
      </c>
      <c r="BB76" s="371">
        <f t="shared" si="53"/>
        <v>0</v>
      </c>
      <c r="BC76" s="371">
        <f t="shared" si="53"/>
        <v>0</v>
      </c>
      <c r="BD76" s="371">
        <f t="shared" si="53"/>
        <v>0</v>
      </c>
      <c r="BE76" s="371">
        <f t="shared" si="53"/>
        <v>0</v>
      </c>
      <c r="BF76" s="371">
        <f t="shared" si="53"/>
        <v>0</v>
      </c>
      <c r="BG76" s="371">
        <f t="shared" si="53"/>
        <v>0</v>
      </c>
      <c r="BH76" s="371">
        <f t="shared" si="53"/>
        <v>0</v>
      </c>
      <c r="BI76" s="371">
        <f t="shared" si="54"/>
        <v>0</v>
      </c>
      <c r="BJ76" s="371">
        <f t="shared" si="54"/>
        <v>0</v>
      </c>
      <c r="BK76" s="371">
        <f t="shared" si="54"/>
        <v>0</v>
      </c>
      <c r="BL76" s="371">
        <f t="shared" si="54"/>
        <v>0</v>
      </c>
      <c r="BM76" s="371">
        <f t="shared" si="54"/>
        <v>0</v>
      </c>
      <c r="BN76" s="371">
        <f t="shared" si="54"/>
        <v>0</v>
      </c>
      <c r="BO76" s="371">
        <f t="shared" si="54"/>
        <v>0</v>
      </c>
      <c r="BP76" s="371">
        <f t="shared" si="54"/>
        <v>0</v>
      </c>
      <c r="BQ76" s="371">
        <f t="shared" si="54"/>
        <v>0</v>
      </c>
      <c r="BR76" s="371">
        <f t="shared" si="54"/>
        <v>0</v>
      </c>
      <c r="BS76" s="371">
        <f t="shared" si="55"/>
        <v>0</v>
      </c>
      <c r="BT76" s="371">
        <f t="shared" si="55"/>
        <v>0</v>
      </c>
      <c r="BU76" s="371">
        <f t="shared" si="55"/>
        <v>0</v>
      </c>
      <c r="BV76" s="371">
        <f t="shared" si="55"/>
        <v>0</v>
      </c>
      <c r="BW76" s="371">
        <f t="shared" si="55"/>
        <v>0</v>
      </c>
      <c r="BX76" s="371">
        <f t="shared" si="55"/>
        <v>0</v>
      </c>
      <c r="BY76" s="371">
        <f t="shared" si="55"/>
        <v>0</v>
      </c>
      <c r="BZ76" s="371">
        <f t="shared" si="55"/>
        <v>0</v>
      </c>
    </row>
    <row r="77" spans="2:78" ht="21" hidden="1" customHeight="1" outlineLevel="3">
      <c r="B77" s="367"/>
      <c r="C77" s="370"/>
      <c r="D77" s="374">
        <f t="shared" si="32"/>
        <v>46234</v>
      </c>
      <c r="E77" s="373" cm="1">
        <f t="array" ref="E77">IF($D77=LatestMonthOfActuals,INDEX($AE$25:$BZ$25,0,MATCH($D77,$AE$8:$BZ$8,0)),0)</f>
        <v>0</v>
      </c>
      <c r="F77" s="359"/>
      <c r="G77" s="408">
        <f t="shared" si="25"/>
        <v>0</v>
      </c>
      <c r="H77" s="408">
        <f t="shared" si="25"/>
        <v>0</v>
      </c>
      <c r="I77" s="408">
        <f t="shared" si="25"/>
        <v>0</v>
      </c>
      <c r="J77" s="408">
        <f t="shared" si="25"/>
        <v>0</v>
      </c>
      <c r="K77" s="408"/>
      <c r="L77" s="408"/>
      <c r="M77" s="408">
        <f t="shared" si="39"/>
        <v>0</v>
      </c>
      <c r="N77" s="408">
        <f t="shared" si="50"/>
        <v>0</v>
      </c>
      <c r="O77" s="408">
        <f t="shared" si="50"/>
        <v>0</v>
      </c>
      <c r="P77" s="408">
        <f t="shared" si="50"/>
        <v>0</v>
      </c>
      <c r="Q77" s="408">
        <f t="shared" si="50"/>
        <v>0</v>
      </c>
      <c r="R77" s="408">
        <f t="shared" si="50"/>
        <v>0</v>
      </c>
      <c r="S77" s="408">
        <f t="shared" si="50"/>
        <v>0</v>
      </c>
      <c r="T77" s="408">
        <f t="shared" si="50"/>
        <v>0</v>
      </c>
      <c r="U77" s="408">
        <f t="shared" si="50"/>
        <v>0</v>
      </c>
      <c r="V77" s="408">
        <f t="shared" si="50"/>
        <v>0</v>
      </c>
      <c r="W77" s="408">
        <f t="shared" si="50"/>
        <v>0</v>
      </c>
      <c r="X77" s="408">
        <f t="shared" si="50"/>
        <v>0</v>
      </c>
      <c r="Y77" s="408">
        <f t="shared" si="50"/>
        <v>0</v>
      </c>
      <c r="Z77" s="408">
        <f t="shared" si="50"/>
        <v>0</v>
      </c>
      <c r="AA77" s="408">
        <f t="shared" si="50"/>
        <v>0</v>
      </c>
      <c r="AB77" s="408">
        <f t="shared" si="50"/>
        <v>0</v>
      </c>
      <c r="AD77" s="359"/>
      <c r="AE77" s="371">
        <f t="shared" si="51"/>
        <v>0</v>
      </c>
      <c r="AF77" s="371">
        <f t="shared" si="51"/>
        <v>0</v>
      </c>
      <c r="AG77" s="371">
        <f t="shared" si="51"/>
        <v>0</v>
      </c>
      <c r="AH77" s="371">
        <f t="shared" si="51"/>
        <v>0</v>
      </c>
      <c r="AI77" s="371">
        <f t="shared" si="51"/>
        <v>0</v>
      </c>
      <c r="AJ77" s="371">
        <f t="shared" si="51"/>
        <v>0</v>
      </c>
      <c r="AK77" s="371">
        <f t="shared" si="51"/>
        <v>0</v>
      </c>
      <c r="AL77" s="371">
        <f t="shared" si="51"/>
        <v>0</v>
      </c>
      <c r="AM77" s="371">
        <f t="shared" si="51"/>
        <v>0</v>
      </c>
      <c r="AN77" s="371">
        <f t="shared" si="51"/>
        <v>0</v>
      </c>
      <c r="AO77" s="371">
        <f t="shared" si="52"/>
        <v>0</v>
      </c>
      <c r="AP77" s="371">
        <f t="shared" si="52"/>
        <v>0</v>
      </c>
      <c r="AQ77" s="371">
        <f t="shared" si="52"/>
        <v>0</v>
      </c>
      <c r="AR77" s="371">
        <f t="shared" si="52"/>
        <v>0</v>
      </c>
      <c r="AS77" s="371">
        <f t="shared" si="52"/>
        <v>0</v>
      </c>
      <c r="AT77" s="371">
        <f t="shared" si="52"/>
        <v>0</v>
      </c>
      <c r="AU77" s="371">
        <f t="shared" si="52"/>
        <v>0</v>
      </c>
      <c r="AV77" s="371">
        <f t="shared" si="52"/>
        <v>0</v>
      </c>
      <c r="AW77" s="371">
        <f t="shared" si="52"/>
        <v>0</v>
      </c>
      <c r="AX77" s="371">
        <f t="shared" si="52"/>
        <v>0</v>
      </c>
      <c r="AY77" s="371">
        <f t="shared" si="53"/>
        <v>0</v>
      </c>
      <c r="AZ77" s="371">
        <f t="shared" si="53"/>
        <v>0</v>
      </c>
      <c r="BA77" s="371">
        <f t="shared" si="53"/>
        <v>0</v>
      </c>
      <c r="BB77" s="371">
        <f t="shared" si="53"/>
        <v>0</v>
      </c>
      <c r="BC77" s="371">
        <f t="shared" si="53"/>
        <v>0</v>
      </c>
      <c r="BD77" s="371">
        <f t="shared" si="53"/>
        <v>0</v>
      </c>
      <c r="BE77" s="371">
        <f t="shared" si="53"/>
        <v>0</v>
      </c>
      <c r="BF77" s="371">
        <f t="shared" si="53"/>
        <v>0</v>
      </c>
      <c r="BG77" s="371">
        <f t="shared" si="53"/>
        <v>0</v>
      </c>
      <c r="BH77" s="371">
        <f t="shared" si="53"/>
        <v>0</v>
      </c>
      <c r="BI77" s="371">
        <f t="shared" si="54"/>
        <v>0</v>
      </c>
      <c r="BJ77" s="371">
        <f t="shared" si="54"/>
        <v>0</v>
      </c>
      <c r="BK77" s="371">
        <f t="shared" si="54"/>
        <v>0</v>
      </c>
      <c r="BL77" s="371">
        <f t="shared" si="54"/>
        <v>0</v>
      </c>
      <c r="BM77" s="371">
        <f t="shared" si="54"/>
        <v>0</v>
      </c>
      <c r="BN77" s="371">
        <f t="shared" si="54"/>
        <v>0</v>
      </c>
      <c r="BO77" s="371">
        <f t="shared" si="54"/>
        <v>0</v>
      </c>
      <c r="BP77" s="371">
        <f t="shared" si="54"/>
        <v>0</v>
      </c>
      <c r="BQ77" s="371">
        <f t="shared" si="54"/>
        <v>0</v>
      </c>
      <c r="BR77" s="371">
        <f t="shared" si="54"/>
        <v>0</v>
      </c>
      <c r="BS77" s="371">
        <f t="shared" si="55"/>
        <v>0</v>
      </c>
      <c r="BT77" s="371">
        <f t="shared" si="55"/>
        <v>0</v>
      </c>
      <c r="BU77" s="371">
        <f t="shared" si="55"/>
        <v>0</v>
      </c>
      <c r="BV77" s="371">
        <f t="shared" si="55"/>
        <v>0</v>
      </c>
      <c r="BW77" s="371">
        <f t="shared" si="55"/>
        <v>0</v>
      </c>
      <c r="BX77" s="371">
        <f t="shared" si="55"/>
        <v>0</v>
      </c>
      <c r="BY77" s="371">
        <f t="shared" si="55"/>
        <v>0</v>
      </c>
      <c r="BZ77" s="371">
        <f t="shared" si="55"/>
        <v>0</v>
      </c>
    </row>
    <row r="78" spans="2:78" ht="21" hidden="1" customHeight="1" outlineLevel="3">
      <c r="B78" s="367"/>
      <c r="C78" s="370"/>
      <c r="D78" s="374">
        <f t="shared" si="32"/>
        <v>46265</v>
      </c>
      <c r="E78" s="373" cm="1">
        <f t="array" ref="E78">IF($D78=LatestMonthOfActuals,INDEX($AE$25:$BZ$25,0,MATCH($D78,$AE$8:$BZ$8,0)),0)</f>
        <v>0</v>
      </c>
      <c r="F78" s="359"/>
      <c r="G78" s="408">
        <f t="shared" si="25"/>
        <v>0</v>
      </c>
      <c r="H78" s="408">
        <f t="shared" si="25"/>
        <v>0</v>
      </c>
      <c r="I78" s="408">
        <f t="shared" si="25"/>
        <v>0</v>
      </c>
      <c r="J78" s="408">
        <f t="shared" si="25"/>
        <v>0</v>
      </c>
      <c r="K78" s="408"/>
      <c r="L78" s="408"/>
      <c r="M78" s="408">
        <f t="shared" si="39"/>
        <v>0</v>
      </c>
      <c r="N78" s="408">
        <f t="shared" si="50"/>
        <v>0</v>
      </c>
      <c r="O78" s="408">
        <f t="shared" si="50"/>
        <v>0</v>
      </c>
      <c r="P78" s="408">
        <f t="shared" si="50"/>
        <v>0</v>
      </c>
      <c r="Q78" s="408">
        <f t="shared" si="50"/>
        <v>0</v>
      </c>
      <c r="R78" s="408">
        <f t="shared" si="50"/>
        <v>0</v>
      </c>
      <c r="S78" s="408">
        <f t="shared" si="50"/>
        <v>0</v>
      </c>
      <c r="T78" s="408">
        <f t="shared" si="50"/>
        <v>0</v>
      </c>
      <c r="U78" s="408">
        <f t="shared" si="50"/>
        <v>0</v>
      </c>
      <c r="V78" s="408">
        <f t="shared" si="50"/>
        <v>0</v>
      </c>
      <c r="W78" s="408">
        <f t="shared" si="50"/>
        <v>0</v>
      </c>
      <c r="X78" s="408">
        <f t="shared" si="50"/>
        <v>0</v>
      </c>
      <c r="Y78" s="408">
        <f t="shared" si="50"/>
        <v>0</v>
      </c>
      <c r="Z78" s="408">
        <f t="shared" si="50"/>
        <v>0</v>
      </c>
      <c r="AA78" s="408">
        <f t="shared" si="50"/>
        <v>0</v>
      </c>
      <c r="AB78" s="408">
        <f t="shared" si="50"/>
        <v>0</v>
      </c>
      <c r="AD78" s="359"/>
      <c r="AE78" s="371">
        <f t="shared" si="51"/>
        <v>0</v>
      </c>
      <c r="AF78" s="371">
        <f t="shared" si="51"/>
        <v>0</v>
      </c>
      <c r="AG78" s="371">
        <f t="shared" si="51"/>
        <v>0</v>
      </c>
      <c r="AH78" s="371">
        <f t="shared" si="51"/>
        <v>0</v>
      </c>
      <c r="AI78" s="371">
        <f t="shared" si="51"/>
        <v>0</v>
      </c>
      <c r="AJ78" s="371">
        <f t="shared" si="51"/>
        <v>0</v>
      </c>
      <c r="AK78" s="371">
        <f t="shared" si="51"/>
        <v>0</v>
      </c>
      <c r="AL78" s="371">
        <f t="shared" si="51"/>
        <v>0</v>
      </c>
      <c r="AM78" s="371">
        <f t="shared" si="51"/>
        <v>0</v>
      </c>
      <c r="AN78" s="371">
        <f t="shared" si="51"/>
        <v>0</v>
      </c>
      <c r="AO78" s="371">
        <f t="shared" si="52"/>
        <v>0</v>
      </c>
      <c r="AP78" s="371">
        <f t="shared" si="52"/>
        <v>0</v>
      </c>
      <c r="AQ78" s="371">
        <f t="shared" si="52"/>
        <v>0</v>
      </c>
      <c r="AR78" s="371">
        <f t="shared" si="52"/>
        <v>0</v>
      </c>
      <c r="AS78" s="371">
        <f t="shared" si="52"/>
        <v>0</v>
      </c>
      <c r="AT78" s="371">
        <f t="shared" si="52"/>
        <v>0</v>
      </c>
      <c r="AU78" s="371">
        <f t="shared" si="52"/>
        <v>0</v>
      </c>
      <c r="AV78" s="371">
        <f t="shared" si="52"/>
        <v>0</v>
      </c>
      <c r="AW78" s="371">
        <f t="shared" si="52"/>
        <v>0</v>
      </c>
      <c r="AX78" s="371">
        <f t="shared" si="52"/>
        <v>0</v>
      </c>
      <c r="AY78" s="371">
        <f t="shared" si="53"/>
        <v>0</v>
      </c>
      <c r="AZ78" s="371">
        <f t="shared" si="53"/>
        <v>0</v>
      </c>
      <c r="BA78" s="371">
        <f t="shared" si="53"/>
        <v>0</v>
      </c>
      <c r="BB78" s="371">
        <f t="shared" si="53"/>
        <v>0</v>
      </c>
      <c r="BC78" s="371">
        <f t="shared" si="53"/>
        <v>0</v>
      </c>
      <c r="BD78" s="371">
        <f t="shared" si="53"/>
        <v>0</v>
      </c>
      <c r="BE78" s="371">
        <f t="shared" si="53"/>
        <v>0</v>
      </c>
      <c r="BF78" s="371">
        <f t="shared" si="53"/>
        <v>0</v>
      </c>
      <c r="BG78" s="371">
        <f t="shared" si="53"/>
        <v>0</v>
      </c>
      <c r="BH78" s="371">
        <f t="shared" si="53"/>
        <v>0</v>
      </c>
      <c r="BI78" s="371">
        <f t="shared" si="54"/>
        <v>0</v>
      </c>
      <c r="BJ78" s="371">
        <f t="shared" si="54"/>
        <v>0</v>
      </c>
      <c r="BK78" s="371">
        <f t="shared" si="54"/>
        <v>0</v>
      </c>
      <c r="BL78" s="371">
        <f t="shared" si="54"/>
        <v>0</v>
      </c>
      <c r="BM78" s="371">
        <f t="shared" si="54"/>
        <v>0</v>
      </c>
      <c r="BN78" s="371">
        <f t="shared" si="54"/>
        <v>0</v>
      </c>
      <c r="BO78" s="371">
        <f t="shared" si="54"/>
        <v>0</v>
      </c>
      <c r="BP78" s="371">
        <f t="shared" si="54"/>
        <v>0</v>
      </c>
      <c r="BQ78" s="371">
        <f t="shared" si="54"/>
        <v>0</v>
      </c>
      <c r="BR78" s="371">
        <f t="shared" si="54"/>
        <v>0</v>
      </c>
      <c r="BS78" s="371">
        <f t="shared" si="55"/>
        <v>0</v>
      </c>
      <c r="BT78" s="371">
        <f t="shared" si="55"/>
        <v>0</v>
      </c>
      <c r="BU78" s="371">
        <f t="shared" si="55"/>
        <v>0</v>
      </c>
      <c r="BV78" s="371">
        <f t="shared" si="55"/>
        <v>0</v>
      </c>
      <c r="BW78" s="371">
        <f t="shared" si="55"/>
        <v>0</v>
      </c>
      <c r="BX78" s="371">
        <f t="shared" si="55"/>
        <v>0</v>
      </c>
      <c r="BY78" s="371">
        <f t="shared" si="55"/>
        <v>0</v>
      </c>
      <c r="BZ78" s="371">
        <f t="shared" si="55"/>
        <v>0</v>
      </c>
    </row>
    <row r="79" spans="2:78" ht="21" hidden="1" customHeight="1" outlineLevel="3">
      <c r="B79" s="367"/>
      <c r="C79" s="370"/>
      <c r="D79" s="374">
        <f t="shared" si="32"/>
        <v>46295</v>
      </c>
      <c r="E79" s="373" cm="1">
        <f t="array" ref="E79">IF($D79=LatestMonthOfActuals,INDEX($AE$25:$BZ$25,0,MATCH($D79,$AE$8:$BZ$8,0)),0)</f>
        <v>0</v>
      </c>
      <c r="F79" s="359"/>
      <c r="G79" s="408">
        <f t="shared" si="25"/>
        <v>0</v>
      </c>
      <c r="H79" s="408">
        <f t="shared" si="25"/>
        <v>0</v>
      </c>
      <c r="I79" s="408">
        <f t="shared" si="25"/>
        <v>0</v>
      </c>
      <c r="J79" s="408">
        <f t="shared" si="25"/>
        <v>0</v>
      </c>
      <c r="K79" s="408"/>
      <c r="L79" s="408"/>
      <c r="M79" s="408">
        <f t="shared" si="39"/>
        <v>0</v>
      </c>
      <c r="N79" s="408">
        <f t="shared" si="50"/>
        <v>0</v>
      </c>
      <c r="O79" s="408">
        <f t="shared" si="50"/>
        <v>0</v>
      </c>
      <c r="P79" s="408">
        <f t="shared" si="50"/>
        <v>0</v>
      </c>
      <c r="Q79" s="408">
        <f t="shared" si="50"/>
        <v>0</v>
      </c>
      <c r="R79" s="408">
        <f t="shared" si="50"/>
        <v>0</v>
      </c>
      <c r="S79" s="408">
        <f t="shared" si="50"/>
        <v>0</v>
      </c>
      <c r="T79" s="408">
        <f t="shared" si="50"/>
        <v>0</v>
      </c>
      <c r="U79" s="408">
        <f t="shared" si="50"/>
        <v>0</v>
      </c>
      <c r="V79" s="408">
        <f t="shared" si="50"/>
        <v>0</v>
      </c>
      <c r="W79" s="408">
        <f t="shared" si="50"/>
        <v>0</v>
      </c>
      <c r="X79" s="408">
        <f t="shared" si="50"/>
        <v>0</v>
      </c>
      <c r="Y79" s="408">
        <f t="shared" si="50"/>
        <v>0</v>
      </c>
      <c r="Z79" s="408">
        <f t="shared" si="50"/>
        <v>0</v>
      </c>
      <c r="AA79" s="408">
        <f t="shared" si="50"/>
        <v>0</v>
      </c>
      <c r="AB79" s="408">
        <f t="shared" si="50"/>
        <v>0</v>
      </c>
      <c r="AD79" s="359"/>
      <c r="AE79" s="371">
        <f t="shared" si="51"/>
        <v>0</v>
      </c>
      <c r="AF79" s="371">
        <f t="shared" si="51"/>
        <v>0</v>
      </c>
      <c r="AG79" s="371">
        <f t="shared" si="51"/>
        <v>0</v>
      </c>
      <c r="AH79" s="371">
        <f t="shared" si="51"/>
        <v>0</v>
      </c>
      <c r="AI79" s="371">
        <f t="shared" si="51"/>
        <v>0</v>
      </c>
      <c r="AJ79" s="371">
        <f t="shared" si="51"/>
        <v>0</v>
      </c>
      <c r="AK79" s="371">
        <f t="shared" si="51"/>
        <v>0</v>
      </c>
      <c r="AL79" s="371">
        <f t="shared" si="51"/>
        <v>0</v>
      </c>
      <c r="AM79" s="371">
        <f t="shared" si="51"/>
        <v>0</v>
      </c>
      <c r="AN79" s="371">
        <f t="shared" si="51"/>
        <v>0</v>
      </c>
      <c r="AO79" s="371">
        <f t="shared" si="52"/>
        <v>0</v>
      </c>
      <c r="AP79" s="371">
        <f t="shared" si="52"/>
        <v>0</v>
      </c>
      <c r="AQ79" s="371">
        <f t="shared" si="52"/>
        <v>0</v>
      </c>
      <c r="AR79" s="371">
        <f t="shared" si="52"/>
        <v>0</v>
      </c>
      <c r="AS79" s="371">
        <f t="shared" si="52"/>
        <v>0</v>
      </c>
      <c r="AT79" s="371">
        <f t="shared" si="52"/>
        <v>0</v>
      </c>
      <c r="AU79" s="371">
        <f t="shared" si="52"/>
        <v>0</v>
      </c>
      <c r="AV79" s="371">
        <f t="shared" si="52"/>
        <v>0</v>
      </c>
      <c r="AW79" s="371">
        <f t="shared" si="52"/>
        <v>0</v>
      </c>
      <c r="AX79" s="371">
        <f t="shared" si="52"/>
        <v>0</v>
      </c>
      <c r="AY79" s="371">
        <f t="shared" si="53"/>
        <v>0</v>
      </c>
      <c r="AZ79" s="371">
        <f t="shared" si="53"/>
        <v>0</v>
      </c>
      <c r="BA79" s="371">
        <f t="shared" si="53"/>
        <v>0</v>
      </c>
      <c r="BB79" s="371">
        <f t="shared" si="53"/>
        <v>0</v>
      </c>
      <c r="BC79" s="371">
        <f t="shared" si="53"/>
        <v>0</v>
      </c>
      <c r="BD79" s="371">
        <f t="shared" si="53"/>
        <v>0</v>
      </c>
      <c r="BE79" s="371">
        <f t="shared" si="53"/>
        <v>0</v>
      </c>
      <c r="BF79" s="371">
        <f t="shared" si="53"/>
        <v>0</v>
      </c>
      <c r="BG79" s="371">
        <f t="shared" si="53"/>
        <v>0</v>
      </c>
      <c r="BH79" s="371">
        <f t="shared" si="53"/>
        <v>0</v>
      </c>
      <c r="BI79" s="371">
        <f t="shared" si="54"/>
        <v>0</v>
      </c>
      <c r="BJ79" s="371">
        <f t="shared" si="54"/>
        <v>0</v>
      </c>
      <c r="BK79" s="371">
        <f t="shared" si="54"/>
        <v>0</v>
      </c>
      <c r="BL79" s="371">
        <f t="shared" si="54"/>
        <v>0</v>
      </c>
      <c r="BM79" s="371">
        <f t="shared" si="54"/>
        <v>0</v>
      </c>
      <c r="BN79" s="371">
        <f t="shared" si="54"/>
        <v>0</v>
      </c>
      <c r="BO79" s="371">
        <f t="shared" si="54"/>
        <v>0</v>
      </c>
      <c r="BP79" s="371">
        <f t="shared" si="54"/>
        <v>0</v>
      </c>
      <c r="BQ79" s="371">
        <f t="shared" si="54"/>
        <v>0</v>
      </c>
      <c r="BR79" s="371">
        <f t="shared" si="54"/>
        <v>0</v>
      </c>
      <c r="BS79" s="371">
        <f t="shared" si="55"/>
        <v>0</v>
      </c>
      <c r="BT79" s="371">
        <f t="shared" si="55"/>
        <v>0</v>
      </c>
      <c r="BU79" s="371">
        <f t="shared" si="55"/>
        <v>0</v>
      </c>
      <c r="BV79" s="371">
        <f t="shared" si="55"/>
        <v>0</v>
      </c>
      <c r="BW79" s="371">
        <f t="shared" si="55"/>
        <v>0</v>
      </c>
      <c r="BX79" s="371">
        <f t="shared" si="55"/>
        <v>0</v>
      </c>
      <c r="BY79" s="371">
        <f t="shared" si="55"/>
        <v>0</v>
      </c>
      <c r="BZ79" s="371">
        <f t="shared" si="55"/>
        <v>0</v>
      </c>
    </row>
    <row r="80" spans="2:78" ht="21" hidden="1" customHeight="1" outlineLevel="3">
      <c r="B80" s="367"/>
      <c r="C80" s="370"/>
      <c r="D80" s="374">
        <f t="shared" si="32"/>
        <v>46326</v>
      </c>
      <c r="E80" s="373" cm="1">
        <f t="array" ref="E80">IF($D80=LatestMonthOfActuals,INDEX($AE$25:$BZ$25,0,MATCH($D80,$AE$8:$BZ$8,0)),0)</f>
        <v>0</v>
      </c>
      <c r="F80" s="359"/>
      <c r="G80" s="408">
        <f t="shared" si="25"/>
        <v>0</v>
      </c>
      <c r="H80" s="408">
        <f t="shared" si="25"/>
        <v>0</v>
      </c>
      <c r="I80" s="408">
        <f t="shared" si="25"/>
        <v>0</v>
      </c>
      <c r="J80" s="408">
        <f t="shared" si="25"/>
        <v>0</v>
      </c>
      <c r="K80" s="408"/>
      <c r="L80" s="408"/>
      <c r="M80" s="408">
        <f t="shared" si="39"/>
        <v>0</v>
      </c>
      <c r="N80" s="408">
        <f t="shared" si="50"/>
        <v>0</v>
      </c>
      <c r="O80" s="408">
        <f t="shared" si="50"/>
        <v>0</v>
      </c>
      <c r="P80" s="408">
        <f t="shared" si="50"/>
        <v>0</v>
      </c>
      <c r="Q80" s="408">
        <f t="shared" si="50"/>
        <v>0</v>
      </c>
      <c r="R80" s="408">
        <f t="shared" si="50"/>
        <v>0</v>
      </c>
      <c r="S80" s="408">
        <f t="shared" si="50"/>
        <v>0</v>
      </c>
      <c r="T80" s="408">
        <f t="shared" si="50"/>
        <v>0</v>
      </c>
      <c r="U80" s="408">
        <f t="shared" si="50"/>
        <v>0</v>
      </c>
      <c r="V80" s="408">
        <f t="shared" si="50"/>
        <v>0</v>
      </c>
      <c r="W80" s="408">
        <f t="shared" si="50"/>
        <v>0</v>
      </c>
      <c r="X80" s="408">
        <f t="shared" si="50"/>
        <v>0</v>
      </c>
      <c r="Y80" s="408">
        <f t="shared" si="50"/>
        <v>0</v>
      </c>
      <c r="Z80" s="408">
        <f t="shared" si="50"/>
        <v>0</v>
      </c>
      <c r="AA80" s="408">
        <f t="shared" si="50"/>
        <v>0</v>
      </c>
      <c r="AB80" s="408">
        <f t="shared" si="50"/>
        <v>0</v>
      </c>
      <c r="AD80" s="359"/>
      <c r="AE80" s="371">
        <f t="shared" si="51"/>
        <v>0</v>
      </c>
      <c r="AF80" s="371">
        <f t="shared" si="51"/>
        <v>0</v>
      </c>
      <c r="AG80" s="371">
        <f t="shared" si="51"/>
        <v>0</v>
      </c>
      <c r="AH80" s="371">
        <f t="shared" si="51"/>
        <v>0</v>
      </c>
      <c r="AI80" s="371">
        <f t="shared" si="51"/>
        <v>0</v>
      </c>
      <c r="AJ80" s="371">
        <f t="shared" si="51"/>
        <v>0</v>
      </c>
      <c r="AK80" s="371">
        <f t="shared" si="51"/>
        <v>0</v>
      </c>
      <c r="AL80" s="371">
        <f t="shared" si="51"/>
        <v>0</v>
      </c>
      <c r="AM80" s="371">
        <f t="shared" si="51"/>
        <v>0</v>
      </c>
      <c r="AN80" s="371">
        <f t="shared" si="51"/>
        <v>0</v>
      </c>
      <c r="AO80" s="371">
        <f t="shared" si="52"/>
        <v>0</v>
      </c>
      <c r="AP80" s="371">
        <f t="shared" si="52"/>
        <v>0</v>
      </c>
      <c r="AQ80" s="371">
        <f t="shared" si="52"/>
        <v>0</v>
      </c>
      <c r="AR80" s="371">
        <f t="shared" si="52"/>
        <v>0</v>
      </c>
      <c r="AS80" s="371">
        <f t="shared" si="52"/>
        <v>0</v>
      </c>
      <c r="AT80" s="371">
        <f t="shared" si="52"/>
        <v>0</v>
      </c>
      <c r="AU80" s="371">
        <f t="shared" si="52"/>
        <v>0</v>
      </c>
      <c r="AV80" s="371">
        <f t="shared" si="52"/>
        <v>0</v>
      </c>
      <c r="AW80" s="371">
        <f t="shared" si="52"/>
        <v>0</v>
      </c>
      <c r="AX80" s="371">
        <f t="shared" si="52"/>
        <v>0</v>
      </c>
      <c r="AY80" s="371">
        <f t="shared" si="53"/>
        <v>0</v>
      </c>
      <c r="AZ80" s="371">
        <f t="shared" si="53"/>
        <v>0</v>
      </c>
      <c r="BA80" s="371">
        <f t="shared" si="53"/>
        <v>0</v>
      </c>
      <c r="BB80" s="371">
        <f t="shared" si="53"/>
        <v>0</v>
      </c>
      <c r="BC80" s="371">
        <f t="shared" si="53"/>
        <v>0</v>
      </c>
      <c r="BD80" s="371">
        <f t="shared" si="53"/>
        <v>0</v>
      </c>
      <c r="BE80" s="371">
        <f t="shared" si="53"/>
        <v>0</v>
      </c>
      <c r="BF80" s="371">
        <f t="shared" si="53"/>
        <v>0</v>
      </c>
      <c r="BG80" s="371">
        <f t="shared" si="53"/>
        <v>0</v>
      </c>
      <c r="BH80" s="371">
        <f t="shared" si="53"/>
        <v>0</v>
      </c>
      <c r="BI80" s="371">
        <f t="shared" si="54"/>
        <v>0</v>
      </c>
      <c r="BJ80" s="371">
        <f t="shared" si="54"/>
        <v>0</v>
      </c>
      <c r="BK80" s="371">
        <f t="shared" si="54"/>
        <v>0</v>
      </c>
      <c r="BL80" s="371">
        <f t="shared" si="54"/>
        <v>0</v>
      </c>
      <c r="BM80" s="371">
        <f t="shared" si="54"/>
        <v>0</v>
      </c>
      <c r="BN80" s="371">
        <f t="shared" si="54"/>
        <v>0</v>
      </c>
      <c r="BO80" s="371">
        <f t="shared" si="54"/>
        <v>0</v>
      </c>
      <c r="BP80" s="371">
        <f t="shared" si="54"/>
        <v>0</v>
      </c>
      <c r="BQ80" s="371">
        <f t="shared" si="54"/>
        <v>0</v>
      </c>
      <c r="BR80" s="371">
        <f t="shared" si="54"/>
        <v>0</v>
      </c>
      <c r="BS80" s="371">
        <f t="shared" si="55"/>
        <v>0</v>
      </c>
      <c r="BT80" s="371">
        <f t="shared" si="55"/>
        <v>0</v>
      </c>
      <c r="BU80" s="371">
        <f t="shared" si="55"/>
        <v>0</v>
      </c>
      <c r="BV80" s="371">
        <f t="shared" si="55"/>
        <v>0</v>
      </c>
      <c r="BW80" s="371">
        <f t="shared" si="55"/>
        <v>0</v>
      </c>
      <c r="BX80" s="371">
        <f t="shared" si="55"/>
        <v>0</v>
      </c>
      <c r="BY80" s="371">
        <f t="shared" si="55"/>
        <v>0</v>
      </c>
      <c r="BZ80" s="371">
        <f t="shared" si="55"/>
        <v>0</v>
      </c>
    </row>
    <row r="81" spans="2:78" ht="21" hidden="1" customHeight="1" outlineLevel="3">
      <c r="B81" s="367"/>
      <c r="C81" s="370"/>
      <c r="D81" s="374">
        <f t="shared" si="32"/>
        <v>46356</v>
      </c>
      <c r="E81" s="373" cm="1">
        <f t="array" ref="E81">IF($D81=LatestMonthOfActuals,INDEX($AE$25:$BZ$25,0,MATCH($D81,$AE$8:$BZ$8,0)),0)</f>
        <v>0</v>
      </c>
      <c r="F81" s="359"/>
      <c r="G81" s="408">
        <f t="shared" si="25"/>
        <v>0</v>
      </c>
      <c r="H81" s="408">
        <f t="shared" si="25"/>
        <v>0</v>
      </c>
      <c r="I81" s="408">
        <f t="shared" si="25"/>
        <v>0</v>
      </c>
      <c r="J81" s="408">
        <f t="shared" si="25"/>
        <v>0</v>
      </c>
      <c r="K81" s="408"/>
      <c r="L81" s="408"/>
      <c r="M81" s="408">
        <f t="shared" si="39"/>
        <v>0</v>
      </c>
      <c r="N81" s="408">
        <f t="shared" si="50"/>
        <v>0</v>
      </c>
      <c r="O81" s="408">
        <f t="shared" si="50"/>
        <v>0</v>
      </c>
      <c r="P81" s="408">
        <f t="shared" si="50"/>
        <v>0</v>
      </c>
      <c r="Q81" s="408">
        <f t="shared" si="50"/>
        <v>0</v>
      </c>
      <c r="R81" s="408">
        <f t="shared" si="50"/>
        <v>0</v>
      </c>
      <c r="S81" s="408">
        <f t="shared" si="50"/>
        <v>0</v>
      </c>
      <c r="T81" s="408">
        <f t="shared" si="50"/>
        <v>0</v>
      </c>
      <c r="U81" s="408">
        <f t="shared" si="50"/>
        <v>0</v>
      </c>
      <c r="V81" s="408">
        <f t="shared" si="50"/>
        <v>0</v>
      </c>
      <c r="W81" s="408">
        <f t="shared" si="50"/>
        <v>0</v>
      </c>
      <c r="X81" s="408">
        <f t="shared" si="50"/>
        <v>0</v>
      </c>
      <c r="Y81" s="408">
        <f t="shared" si="50"/>
        <v>0</v>
      </c>
      <c r="Z81" s="408">
        <f t="shared" si="50"/>
        <v>0</v>
      </c>
      <c r="AA81" s="408">
        <f t="shared" si="50"/>
        <v>0</v>
      </c>
      <c r="AB81" s="408">
        <f t="shared" si="50"/>
        <v>0</v>
      </c>
      <c r="AD81" s="359"/>
      <c r="AE81" s="371">
        <f t="shared" si="51"/>
        <v>0</v>
      </c>
      <c r="AF81" s="371">
        <f t="shared" si="51"/>
        <v>0</v>
      </c>
      <c r="AG81" s="371">
        <f t="shared" si="51"/>
        <v>0</v>
      </c>
      <c r="AH81" s="371">
        <f t="shared" si="51"/>
        <v>0</v>
      </c>
      <c r="AI81" s="371">
        <f t="shared" si="51"/>
        <v>0</v>
      </c>
      <c r="AJ81" s="371">
        <f t="shared" si="51"/>
        <v>0</v>
      </c>
      <c r="AK81" s="371">
        <f t="shared" si="51"/>
        <v>0</v>
      </c>
      <c r="AL81" s="371">
        <f t="shared" si="51"/>
        <v>0</v>
      </c>
      <c r="AM81" s="371">
        <f t="shared" si="51"/>
        <v>0</v>
      </c>
      <c r="AN81" s="371">
        <f t="shared" si="51"/>
        <v>0</v>
      </c>
      <c r="AO81" s="371">
        <f t="shared" si="52"/>
        <v>0</v>
      </c>
      <c r="AP81" s="371">
        <f t="shared" si="52"/>
        <v>0</v>
      </c>
      <c r="AQ81" s="371">
        <f t="shared" si="52"/>
        <v>0</v>
      </c>
      <c r="AR81" s="371">
        <f t="shared" si="52"/>
        <v>0</v>
      </c>
      <c r="AS81" s="371">
        <f t="shared" si="52"/>
        <v>0</v>
      </c>
      <c r="AT81" s="371">
        <f t="shared" si="52"/>
        <v>0</v>
      </c>
      <c r="AU81" s="371">
        <f t="shared" si="52"/>
        <v>0</v>
      </c>
      <c r="AV81" s="371">
        <f t="shared" si="52"/>
        <v>0</v>
      </c>
      <c r="AW81" s="371">
        <f t="shared" si="52"/>
        <v>0</v>
      </c>
      <c r="AX81" s="371">
        <f t="shared" si="52"/>
        <v>0</v>
      </c>
      <c r="AY81" s="371">
        <f t="shared" si="53"/>
        <v>0</v>
      </c>
      <c r="AZ81" s="371">
        <f t="shared" si="53"/>
        <v>0</v>
      </c>
      <c r="BA81" s="371">
        <f t="shared" si="53"/>
        <v>0</v>
      </c>
      <c r="BB81" s="371">
        <f t="shared" si="53"/>
        <v>0</v>
      </c>
      <c r="BC81" s="371">
        <f t="shared" si="53"/>
        <v>0</v>
      </c>
      <c r="BD81" s="371">
        <f t="shared" si="53"/>
        <v>0</v>
      </c>
      <c r="BE81" s="371">
        <f t="shared" si="53"/>
        <v>0</v>
      </c>
      <c r="BF81" s="371">
        <f t="shared" si="53"/>
        <v>0</v>
      </c>
      <c r="BG81" s="371">
        <f t="shared" si="53"/>
        <v>0</v>
      </c>
      <c r="BH81" s="371">
        <f t="shared" si="53"/>
        <v>0</v>
      </c>
      <c r="BI81" s="371">
        <f t="shared" si="54"/>
        <v>0</v>
      </c>
      <c r="BJ81" s="371">
        <f t="shared" si="54"/>
        <v>0</v>
      </c>
      <c r="BK81" s="371">
        <f t="shared" si="54"/>
        <v>0</v>
      </c>
      <c r="BL81" s="371">
        <f t="shared" si="54"/>
        <v>0</v>
      </c>
      <c r="BM81" s="371">
        <f t="shared" si="54"/>
        <v>0</v>
      </c>
      <c r="BN81" s="371">
        <f t="shared" si="54"/>
        <v>0</v>
      </c>
      <c r="BO81" s="371">
        <f t="shared" si="54"/>
        <v>0</v>
      </c>
      <c r="BP81" s="371">
        <f t="shared" si="54"/>
        <v>0</v>
      </c>
      <c r="BQ81" s="371">
        <f t="shared" si="54"/>
        <v>0</v>
      </c>
      <c r="BR81" s="371">
        <f t="shared" si="54"/>
        <v>0</v>
      </c>
      <c r="BS81" s="371">
        <f t="shared" si="55"/>
        <v>0</v>
      </c>
      <c r="BT81" s="371">
        <f t="shared" si="55"/>
        <v>0</v>
      </c>
      <c r="BU81" s="371">
        <f t="shared" si="55"/>
        <v>0</v>
      </c>
      <c r="BV81" s="371">
        <f t="shared" si="55"/>
        <v>0</v>
      </c>
      <c r="BW81" s="371">
        <f t="shared" si="55"/>
        <v>0</v>
      </c>
      <c r="BX81" s="371">
        <f t="shared" si="55"/>
        <v>0</v>
      </c>
      <c r="BY81" s="371">
        <f t="shared" si="55"/>
        <v>0</v>
      </c>
      <c r="BZ81" s="371">
        <f t="shared" si="55"/>
        <v>0</v>
      </c>
    </row>
    <row r="82" spans="2:78" ht="21" hidden="1" customHeight="1" outlineLevel="3">
      <c r="B82" s="367"/>
      <c r="C82" s="370"/>
      <c r="D82" s="374">
        <f t="shared" si="32"/>
        <v>46387</v>
      </c>
      <c r="E82" s="373" cm="1">
        <f t="array" ref="E82">IF($D82=LatestMonthOfActuals,INDEX($AE$25:$BZ$25,0,MATCH($D82,$AE$8:$BZ$8,0)),0)</f>
        <v>0</v>
      </c>
      <c r="F82" s="359"/>
      <c r="G82" s="408">
        <f t="shared" si="25"/>
        <v>0</v>
      </c>
      <c r="H82" s="408">
        <f t="shared" si="25"/>
        <v>0</v>
      </c>
      <c r="I82" s="408">
        <f t="shared" si="25"/>
        <v>0</v>
      </c>
      <c r="J82" s="408">
        <f t="shared" si="25"/>
        <v>0</v>
      </c>
      <c r="K82" s="408"/>
      <c r="L82" s="408"/>
      <c r="M82" s="408">
        <f t="shared" si="39"/>
        <v>0</v>
      </c>
      <c r="N82" s="408">
        <f t="shared" si="50"/>
        <v>0</v>
      </c>
      <c r="O82" s="408">
        <f t="shared" si="50"/>
        <v>0</v>
      </c>
      <c r="P82" s="408">
        <f t="shared" si="50"/>
        <v>0</v>
      </c>
      <c r="Q82" s="408">
        <f t="shared" si="50"/>
        <v>0</v>
      </c>
      <c r="R82" s="408">
        <f t="shared" si="50"/>
        <v>0</v>
      </c>
      <c r="S82" s="408">
        <f t="shared" si="50"/>
        <v>0</v>
      </c>
      <c r="T82" s="408">
        <f t="shared" si="50"/>
        <v>0</v>
      </c>
      <c r="U82" s="408">
        <f t="shared" si="50"/>
        <v>0</v>
      </c>
      <c r="V82" s="408">
        <f t="shared" si="50"/>
        <v>0</v>
      </c>
      <c r="W82" s="408">
        <f t="shared" si="50"/>
        <v>0</v>
      </c>
      <c r="X82" s="408">
        <f t="shared" si="50"/>
        <v>0</v>
      </c>
      <c r="Y82" s="408">
        <f t="shared" si="50"/>
        <v>0</v>
      </c>
      <c r="Z82" s="408">
        <f t="shared" si="50"/>
        <v>0</v>
      </c>
      <c r="AA82" s="408">
        <f t="shared" si="50"/>
        <v>0</v>
      </c>
      <c r="AB82" s="408">
        <f t="shared" si="50"/>
        <v>0</v>
      </c>
      <c r="AD82" s="359"/>
      <c r="AE82" s="371">
        <f t="shared" si="51"/>
        <v>0</v>
      </c>
      <c r="AF82" s="371">
        <f t="shared" si="51"/>
        <v>0</v>
      </c>
      <c r="AG82" s="371">
        <f t="shared" si="51"/>
        <v>0</v>
      </c>
      <c r="AH82" s="371">
        <f t="shared" si="51"/>
        <v>0</v>
      </c>
      <c r="AI82" s="371">
        <f t="shared" si="51"/>
        <v>0</v>
      </c>
      <c r="AJ82" s="371">
        <f t="shared" si="51"/>
        <v>0</v>
      </c>
      <c r="AK82" s="371">
        <f t="shared" si="51"/>
        <v>0</v>
      </c>
      <c r="AL82" s="371">
        <f t="shared" si="51"/>
        <v>0</v>
      </c>
      <c r="AM82" s="371">
        <f t="shared" si="51"/>
        <v>0</v>
      </c>
      <c r="AN82" s="371">
        <f t="shared" si="51"/>
        <v>0</v>
      </c>
      <c r="AO82" s="371">
        <f t="shared" si="52"/>
        <v>0</v>
      </c>
      <c r="AP82" s="371">
        <f t="shared" si="52"/>
        <v>0</v>
      </c>
      <c r="AQ82" s="371">
        <f t="shared" si="52"/>
        <v>0</v>
      </c>
      <c r="AR82" s="371">
        <f t="shared" si="52"/>
        <v>0</v>
      </c>
      <c r="AS82" s="371">
        <f t="shared" si="52"/>
        <v>0</v>
      </c>
      <c r="AT82" s="371">
        <f t="shared" si="52"/>
        <v>0</v>
      </c>
      <c r="AU82" s="371">
        <f t="shared" si="52"/>
        <v>0</v>
      </c>
      <c r="AV82" s="371">
        <f t="shared" si="52"/>
        <v>0</v>
      </c>
      <c r="AW82" s="371">
        <f t="shared" si="52"/>
        <v>0</v>
      </c>
      <c r="AX82" s="371">
        <f t="shared" si="52"/>
        <v>0</v>
      </c>
      <c r="AY82" s="371">
        <f t="shared" si="53"/>
        <v>0</v>
      </c>
      <c r="AZ82" s="371">
        <f t="shared" si="53"/>
        <v>0</v>
      </c>
      <c r="BA82" s="371">
        <f t="shared" si="53"/>
        <v>0</v>
      </c>
      <c r="BB82" s="371">
        <f t="shared" si="53"/>
        <v>0</v>
      </c>
      <c r="BC82" s="371">
        <f t="shared" si="53"/>
        <v>0</v>
      </c>
      <c r="BD82" s="371">
        <f t="shared" si="53"/>
        <v>0</v>
      </c>
      <c r="BE82" s="371">
        <f t="shared" si="53"/>
        <v>0</v>
      </c>
      <c r="BF82" s="371">
        <f t="shared" si="53"/>
        <v>0</v>
      </c>
      <c r="BG82" s="371">
        <f t="shared" si="53"/>
        <v>0</v>
      </c>
      <c r="BH82" s="371">
        <f t="shared" si="53"/>
        <v>0</v>
      </c>
      <c r="BI82" s="371">
        <f t="shared" si="54"/>
        <v>0</v>
      </c>
      <c r="BJ82" s="371">
        <f t="shared" si="54"/>
        <v>0</v>
      </c>
      <c r="BK82" s="371">
        <f t="shared" si="54"/>
        <v>0</v>
      </c>
      <c r="BL82" s="371">
        <f t="shared" si="54"/>
        <v>0</v>
      </c>
      <c r="BM82" s="371">
        <f t="shared" si="54"/>
        <v>0</v>
      </c>
      <c r="BN82" s="371">
        <f t="shared" si="54"/>
        <v>0</v>
      </c>
      <c r="BO82" s="371">
        <f t="shared" si="54"/>
        <v>0</v>
      </c>
      <c r="BP82" s="371">
        <f t="shared" si="54"/>
        <v>0</v>
      </c>
      <c r="BQ82" s="371">
        <f t="shared" si="54"/>
        <v>0</v>
      </c>
      <c r="BR82" s="371">
        <f t="shared" si="54"/>
        <v>0</v>
      </c>
      <c r="BS82" s="371">
        <f t="shared" si="55"/>
        <v>0</v>
      </c>
      <c r="BT82" s="371">
        <f t="shared" si="55"/>
        <v>0</v>
      </c>
      <c r="BU82" s="371">
        <f t="shared" si="55"/>
        <v>0</v>
      </c>
      <c r="BV82" s="371">
        <f t="shared" si="55"/>
        <v>0</v>
      </c>
      <c r="BW82" s="371">
        <f t="shared" si="55"/>
        <v>0</v>
      </c>
      <c r="BX82" s="371">
        <f t="shared" si="55"/>
        <v>0</v>
      </c>
      <c r="BY82" s="371">
        <f t="shared" si="55"/>
        <v>0</v>
      </c>
      <c r="BZ82" s="371">
        <f t="shared" si="55"/>
        <v>0</v>
      </c>
    </row>
    <row r="83" spans="2:78" ht="21" customHeight="1" outlineLevel="1">
      <c r="B83" s="367"/>
      <c r="C83" s="370"/>
      <c r="D83" s="374"/>
      <c r="E83" s="373"/>
      <c r="F83" s="359"/>
      <c r="G83" s="375"/>
      <c r="H83" s="375"/>
      <c r="I83" s="375"/>
      <c r="J83" s="375"/>
      <c r="L83" s="359"/>
      <c r="M83" s="375"/>
      <c r="N83" s="375"/>
      <c r="O83" s="375"/>
      <c r="P83" s="375"/>
      <c r="Q83" s="375"/>
      <c r="R83" s="375"/>
      <c r="S83" s="375"/>
      <c r="T83" s="375"/>
      <c r="U83" s="375"/>
      <c r="V83" s="375"/>
      <c r="W83" s="375"/>
      <c r="X83" s="375"/>
      <c r="Y83" s="375"/>
      <c r="Z83" s="375"/>
      <c r="AA83" s="375"/>
      <c r="AB83" s="375"/>
      <c r="AD83" s="359"/>
      <c r="AE83" s="375"/>
      <c r="AF83" s="375"/>
      <c r="AG83" s="375"/>
      <c r="AH83" s="375"/>
      <c r="AI83" s="375"/>
      <c r="AJ83" s="375"/>
      <c r="AK83" s="375"/>
      <c r="AL83" s="375"/>
      <c r="AM83" s="375"/>
      <c r="AN83" s="375"/>
      <c r="AO83" s="375"/>
      <c r="AP83" s="375"/>
      <c r="AQ83" s="375"/>
      <c r="AR83" s="375"/>
      <c r="AS83" s="375"/>
      <c r="AT83" s="375"/>
      <c r="AU83" s="375"/>
      <c r="AV83" s="375"/>
      <c r="AW83" s="375"/>
      <c r="AX83" s="375"/>
      <c r="AY83" s="375"/>
      <c r="AZ83" s="375"/>
      <c r="BA83" s="375"/>
      <c r="BB83" s="375"/>
      <c r="BC83" s="375"/>
      <c r="BD83" s="375"/>
      <c r="BE83" s="375"/>
      <c r="BF83" s="375"/>
      <c r="BG83" s="375"/>
      <c r="BH83" s="375"/>
      <c r="BI83" s="375"/>
      <c r="BJ83" s="375"/>
      <c r="BK83" s="375"/>
      <c r="BL83" s="375"/>
      <c r="BM83" s="375"/>
      <c r="BN83" s="375"/>
      <c r="BO83" s="375"/>
      <c r="BP83" s="375"/>
      <c r="BQ83" s="375"/>
      <c r="BR83" s="375"/>
      <c r="BS83" s="375"/>
      <c r="BT83" s="375"/>
      <c r="BU83" s="375"/>
      <c r="BV83" s="375"/>
      <c r="BW83" s="375"/>
      <c r="BX83" s="375"/>
      <c r="BY83" s="375"/>
      <c r="BZ83" s="375"/>
    </row>
    <row r="84" spans="2:78" ht="15" outlineLevel="1" collapsed="1">
      <c r="B84" s="367"/>
      <c r="C84" s="523" t="str">
        <f>D17</f>
        <v>Projected AP</v>
      </c>
      <c r="D84" s="366"/>
      <c r="E84" s="522"/>
      <c r="F84" s="359"/>
      <c r="G84" s="378">
        <f>SUM(G86:G134)</f>
        <v>0</v>
      </c>
      <c r="H84" s="378">
        <f>SUM(H86:H134)</f>
        <v>0</v>
      </c>
      <c r="I84" s="378">
        <f>SUM(I86:I134)</f>
        <v>0</v>
      </c>
      <c r="J84" s="378">
        <f>SUM(J86:J134)</f>
        <v>1169236.9729578795</v>
      </c>
      <c r="K84" s="55"/>
      <c r="L84" s="359"/>
      <c r="M84" s="378">
        <f t="shared" ref="M84:AB84" si="56">SUM(M86:M134)</f>
        <v>0</v>
      </c>
      <c r="N84" s="378">
        <f t="shared" si="56"/>
        <v>0</v>
      </c>
      <c r="O84" s="378">
        <f t="shared" si="56"/>
        <v>0</v>
      </c>
      <c r="P84" s="378">
        <f t="shared" si="56"/>
        <v>0</v>
      </c>
      <c r="Q84" s="378">
        <f t="shared" si="56"/>
        <v>0</v>
      </c>
      <c r="R84" s="378">
        <f t="shared" si="56"/>
        <v>0</v>
      </c>
      <c r="S84" s="378">
        <f t="shared" si="56"/>
        <v>0</v>
      </c>
      <c r="T84" s="378">
        <f t="shared" si="56"/>
        <v>0</v>
      </c>
      <c r="U84" s="378">
        <f t="shared" si="56"/>
        <v>0</v>
      </c>
      <c r="V84" s="378">
        <f t="shared" si="56"/>
        <v>0</v>
      </c>
      <c r="W84" s="378">
        <f t="shared" si="56"/>
        <v>0</v>
      </c>
      <c r="X84" s="378">
        <f t="shared" si="56"/>
        <v>0</v>
      </c>
      <c r="Y84" s="378">
        <f t="shared" si="56"/>
        <v>264699.00078402052</v>
      </c>
      <c r="Z84" s="378">
        <f t="shared" si="56"/>
        <v>284605.92273411655</v>
      </c>
      <c r="AA84" s="378">
        <f t="shared" si="56"/>
        <v>304849.38132138923</v>
      </c>
      <c r="AB84" s="378">
        <f t="shared" si="56"/>
        <v>315082.66811835347</v>
      </c>
      <c r="AD84" s="359"/>
      <c r="AE84" s="378">
        <f t="shared" ref="AE84:BZ84" si="57">SUM(AE86:AE134)</f>
        <v>0</v>
      </c>
      <c r="AF84" s="378">
        <f t="shared" si="57"/>
        <v>0</v>
      </c>
      <c r="AG84" s="378">
        <f t="shared" si="57"/>
        <v>0</v>
      </c>
      <c r="AH84" s="378">
        <f t="shared" si="57"/>
        <v>0</v>
      </c>
      <c r="AI84" s="378">
        <f t="shared" si="57"/>
        <v>0</v>
      </c>
      <c r="AJ84" s="378">
        <f t="shared" si="57"/>
        <v>0</v>
      </c>
      <c r="AK84" s="378">
        <f t="shared" si="57"/>
        <v>0</v>
      </c>
      <c r="AL84" s="378">
        <f t="shared" si="57"/>
        <v>0</v>
      </c>
      <c r="AM84" s="378">
        <f t="shared" si="57"/>
        <v>0</v>
      </c>
      <c r="AN84" s="378">
        <f t="shared" si="57"/>
        <v>0</v>
      </c>
      <c r="AO84" s="378">
        <f t="shared" si="57"/>
        <v>0</v>
      </c>
      <c r="AP84" s="378">
        <f t="shared" si="57"/>
        <v>0</v>
      </c>
      <c r="AQ84" s="378">
        <f t="shared" si="57"/>
        <v>0</v>
      </c>
      <c r="AR84" s="378">
        <f t="shared" si="57"/>
        <v>0</v>
      </c>
      <c r="AS84" s="378">
        <f t="shared" si="57"/>
        <v>0</v>
      </c>
      <c r="AT84" s="378">
        <f t="shared" si="57"/>
        <v>0</v>
      </c>
      <c r="AU84" s="378">
        <f t="shared" si="57"/>
        <v>0</v>
      </c>
      <c r="AV84" s="378">
        <f t="shared" si="57"/>
        <v>0</v>
      </c>
      <c r="AW84" s="378">
        <f t="shared" si="57"/>
        <v>0</v>
      </c>
      <c r="AX84" s="378">
        <f t="shared" si="57"/>
        <v>0</v>
      </c>
      <c r="AY84" s="378">
        <f t="shared" si="57"/>
        <v>0</v>
      </c>
      <c r="AZ84" s="378">
        <f t="shared" si="57"/>
        <v>0</v>
      </c>
      <c r="BA84" s="378">
        <f t="shared" si="57"/>
        <v>0</v>
      </c>
      <c r="BB84" s="378">
        <f t="shared" si="57"/>
        <v>0</v>
      </c>
      <c r="BC84" s="378">
        <f t="shared" si="57"/>
        <v>0</v>
      </c>
      <c r="BD84" s="378">
        <f t="shared" si="57"/>
        <v>0</v>
      </c>
      <c r="BE84" s="378">
        <f t="shared" si="57"/>
        <v>0</v>
      </c>
      <c r="BF84" s="378">
        <f t="shared" si="57"/>
        <v>0</v>
      </c>
      <c r="BG84" s="378">
        <f t="shared" si="57"/>
        <v>0</v>
      </c>
      <c r="BH84" s="378">
        <f t="shared" si="57"/>
        <v>0</v>
      </c>
      <c r="BI84" s="378">
        <f t="shared" si="57"/>
        <v>0</v>
      </c>
      <c r="BJ84" s="378">
        <f t="shared" si="57"/>
        <v>0</v>
      </c>
      <c r="BK84" s="378">
        <f t="shared" si="57"/>
        <v>0</v>
      </c>
      <c r="BL84" s="378">
        <f t="shared" si="57"/>
        <v>0</v>
      </c>
      <c r="BM84" s="378">
        <f t="shared" si="57"/>
        <v>0</v>
      </c>
      <c r="BN84" s="378">
        <f t="shared" si="57"/>
        <v>0</v>
      </c>
      <c r="BO84" s="378">
        <f t="shared" si="57"/>
        <v>91129.333281818181</v>
      </c>
      <c r="BP84" s="378">
        <f t="shared" si="57"/>
        <v>86025.7322467872</v>
      </c>
      <c r="BQ84" s="378">
        <f t="shared" si="57"/>
        <v>87543.935255415156</v>
      </c>
      <c r="BR84" s="378">
        <f t="shared" si="57"/>
        <v>88895.486110663245</v>
      </c>
      <c r="BS84" s="378">
        <f t="shared" si="57"/>
        <v>97430.048159655023</v>
      </c>
      <c r="BT84" s="378">
        <f t="shared" si="57"/>
        <v>98280.388463798256</v>
      </c>
      <c r="BU84" s="378">
        <f t="shared" si="57"/>
        <v>99759.810845031432</v>
      </c>
      <c r="BV84" s="378">
        <f t="shared" si="57"/>
        <v>102002.91827537333</v>
      </c>
      <c r="BW84" s="378">
        <f t="shared" si="57"/>
        <v>103086.65220098445</v>
      </c>
      <c r="BX84" s="378">
        <f t="shared" si="57"/>
        <v>104093.60669914841</v>
      </c>
      <c r="BY84" s="378">
        <f t="shared" si="57"/>
        <v>105039.42272510209</v>
      </c>
      <c r="BZ84" s="378">
        <f t="shared" si="57"/>
        <v>105949.63869410298</v>
      </c>
    </row>
    <row r="85" spans="2:78" ht="21" hidden="1" customHeight="1" outlineLevel="3">
      <c r="B85" s="367"/>
      <c r="C85" s="370"/>
      <c r="D85" s="525"/>
      <c r="E85" s="373"/>
      <c r="F85" s="359"/>
      <c r="G85" s="375"/>
      <c r="H85" s="375"/>
      <c r="I85" s="375"/>
      <c r="J85" s="375"/>
      <c r="L85" s="359"/>
      <c r="M85" s="375"/>
      <c r="N85" s="375"/>
      <c r="O85" s="375"/>
      <c r="P85" s="375"/>
      <c r="Q85" s="375"/>
      <c r="R85" s="375"/>
      <c r="S85" s="375"/>
      <c r="T85" s="375"/>
      <c r="U85" s="375"/>
      <c r="V85" s="375"/>
      <c r="W85" s="375"/>
      <c r="X85" s="375"/>
      <c r="Y85" s="375"/>
      <c r="Z85" s="375"/>
      <c r="AA85" s="375"/>
      <c r="AB85" s="375"/>
      <c r="AD85" s="359"/>
      <c r="AE85" s="375"/>
      <c r="AF85" s="375"/>
      <c r="AG85" s="375"/>
      <c r="AH85" s="375"/>
      <c r="AI85" s="375"/>
      <c r="AJ85" s="375"/>
      <c r="AK85" s="375"/>
      <c r="AL85" s="375"/>
      <c r="AM85" s="375"/>
      <c r="AN85" s="375"/>
      <c r="AO85" s="375"/>
      <c r="AP85" s="375"/>
      <c r="AQ85" s="375"/>
      <c r="AR85" s="375"/>
      <c r="AS85" s="375"/>
      <c r="AT85" s="375"/>
      <c r="AU85" s="375"/>
      <c r="AV85" s="375"/>
      <c r="AW85" s="375"/>
      <c r="AX85" s="375"/>
      <c r="AY85" s="375"/>
      <c r="AZ85" s="375"/>
      <c r="BA85" s="375"/>
      <c r="BB85" s="375"/>
      <c r="BC85" s="375"/>
      <c r="BD85" s="375"/>
      <c r="BE85" s="375"/>
      <c r="BF85" s="375"/>
      <c r="BG85" s="375"/>
      <c r="BH85" s="375"/>
      <c r="BI85" s="375"/>
      <c r="BJ85" s="375"/>
      <c r="BK85" s="375"/>
      <c r="BL85" s="375"/>
      <c r="BM85" s="375"/>
      <c r="BN85" s="375"/>
      <c r="BO85" s="375"/>
      <c r="BP85" s="375"/>
      <c r="BQ85" s="375"/>
      <c r="BR85" s="375"/>
      <c r="BS85" s="375"/>
      <c r="BT85" s="375"/>
      <c r="BU85" s="375"/>
      <c r="BV85" s="375"/>
      <c r="BW85" s="375"/>
      <c r="BX85" s="375"/>
      <c r="BY85" s="375"/>
      <c r="BZ85" s="375"/>
    </row>
    <row r="86" spans="2:78" ht="21" hidden="1" customHeight="1" outlineLevel="3">
      <c r="B86" s="367"/>
      <c r="C86" s="370"/>
      <c r="D86" s="374" cm="1">
        <f t="array" ref="D86">EOM_Start_Date</f>
        <v>44957</v>
      </c>
      <c r="E86" s="373" cm="1">
        <f t="array" ref="E86">IF($D86&lt;=LatestMonthOfActuals,0,INDEX($AE$27:$BZ$27,0,MATCH($D86,$AE$8:$BZ$8,0)))</f>
        <v>0</v>
      </c>
      <c r="F86" s="359"/>
      <c r="G86" s="408">
        <f t="shared" ref="G86:J133" si="58">SUMIFS($AE86:$BZ86,$AE$5:$BZ$5,"&gt;="&amp;G$4,$AE$5:$BZ$5,"&lt;="&amp;G$5)</f>
        <v>0</v>
      </c>
      <c r="H86" s="408">
        <f t="shared" si="58"/>
        <v>0</v>
      </c>
      <c r="I86" s="408">
        <f t="shared" si="58"/>
        <v>0</v>
      </c>
      <c r="J86" s="408">
        <f t="shared" si="58"/>
        <v>0</v>
      </c>
      <c r="K86" s="408"/>
      <c r="L86" s="408"/>
      <c r="M86" s="408">
        <f t="shared" ref="M86:AB101" si="59">SUMIFS($AE86:$BZ86,$AE$5:$BZ$5,"&gt;="&amp;M$4,$AE$5:$BZ$5,"&lt;="&amp;M$5)</f>
        <v>0</v>
      </c>
      <c r="N86" s="408">
        <f t="shared" si="59"/>
        <v>0</v>
      </c>
      <c r="O86" s="408">
        <f t="shared" si="59"/>
        <v>0</v>
      </c>
      <c r="P86" s="408">
        <f t="shared" si="59"/>
        <v>0</v>
      </c>
      <c r="Q86" s="408">
        <f t="shared" si="59"/>
        <v>0</v>
      </c>
      <c r="R86" s="408">
        <f t="shared" si="59"/>
        <v>0</v>
      </c>
      <c r="S86" s="408">
        <f t="shared" si="59"/>
        <v>0</v>
      </c>
      <c r="T86" s="408">
        <f t="shared" si="59"/>
        <v>0</v>
      </c>
      <c r="U86" s="408">
        <f t="shared" si="59"/>
        <v>0</v>
      </c>
      <c r="V86" s="408">
        <f t="shared" si="59"/>
        <v>0</v>
      </c>
      <c r="W86" s="408">
        <f t="shared" si="59"/>
        <v>0</v>
      </c>
      <c r="X86" s="408">
        <f t="shared" si="59"/>
        <v>0</v>
      </c>
      <c r="Y86" s="408">
        <f t="shared" si="59"/>
        <v>0</v>
      </c>
      <c r="Z86" s="408">
        <f t="shared" si="59"/>
        <v>0</v>
      </c>
      <c r="AA86" s="408">
        <f t="shared" si="59"/>
        <v>0</v>
      </c>
      <c r="AB86" s="408">
        <f t="shared" si="59"/>
        <v>0</v>
      </c>
      <c r="AC86" s="524"/>
      <c r="AD86" s="359"/>
      <c r="AE86" s="524">
        <f t="shared" ref="AE86:AN95" si="60">IFERROR(IF(AE$8&gt;=$D86,$E86*(INDEX($E$18:$E$22,(MATCH(MATCH(AE$8,$D$86:$D$133,0)-MATCH($D86,$D$86:$D$133,0),$D$18:$D$22,0)))),0),0)</f>
        <v>0</v>
      </c>
      <c r="AF86" s="524">
        <f t="shared" si="60"/>
        <v>0</v>
      </c>
      <c r="AG86" s="524">
        <f t="shared" si="60"/>
        <v>0</v>
      </c>
      <c r="AH86" s="524">
        <f t="shared" si="60"/>
        <v>0</v>
      </c>
      <c r="AI86" s="524">
        <f t="shared" si="60"/>
        <v>0</v>
      </c>
      <c r="AJ86" s="524">
        <f t="shared" si="60"/>
        <v>0</v>
      </c>
      <c r="AK86" s="524">
        <f t="shared" si="60"/>
        <v>0</v>
      </c>
      <c r="AL86" s="524">
        <f t="shared" si="60"/>
        <v>0</v>
      </c>
      <c r="AM86" s="524">
        <f t="shared" si="60"/>
        <v>0</v>
      </c>
      <c r="AN86" s="524">
        <f t="shared" si="60"/>
        <v>0</v>
      </c>
      <c r="AO86" s="524">
        <f t="shared" ref="AO86:AX95" si="61">IFERROR(IF(AO$8&gt;=$D86,$E86*(INDEX($E$18:$E$22,(MATCH(MATCH(AO$8,$D$86:$D$133,0)-MATCH($D86,$D$86:$D$133,0),$D$18:$D$22,0)))),0),0)</f>
        <v>0</v>
      </c>
      <c r="AP86" s="524">
        <f t="shared" si="61"/>
        <v>0</v>
      </c>
      <c r="AQ86" s="524">
        <f t="shared" si="61"/>
        <v>0</v>
      </c>
      <c r="AR86" s="524">
        <f t="shared" si="61"/>
        <v>0</v>
      </c>
      <c r="AS86" s="524">
        <f t="shared" si="61"/>
        <v>0</v>
      </c>
      <c r="AT86" s="524">
        <f t="shared" si="61"/>
        <v>0</v>
      </c>
      <c r="AU86" s="524">
        <f t="shared" si="61"/>
        <v>0</v>
      </c>
      <c r="AV86" s="524">
        <f t="shared" si="61"/>
        <v>0</v>
      </c>
      <c r="AW86" s="524">
        <f t="shared" si="61"/>
        <v>0</v>
      </c>
      <c r="AX86" s="524">
        <f t="shared" si="61"/>
        <v>0</v>
      </c>
      <c r="AY86" s="524">
        <f t="shared" ref="AY86:BH95" si="62">IFERROR(IF(AY$8&gt;=$D86,$E86*(INDEX($E$18:$E$22,(MATCH(MATCH(AY$8,$D$86:$D$133,0)-MATCH($D86,$D$86:$D$133,0),$D$18:$D$22,0)))),0),0)</f>
        <v>0</v>
      </c>
      <c r="AZ86" s="524">
        <f t="shared" si="62"/>
        <v>0</v>
      </c>
      <c r="BA86" s="524">
        <f t="shared" si="62"/>
        <v>0</v>
      </c>
      <c r="BB86" s="524">
        <f t="shared" si="62"/>
        <v>0</v>
      </c>
      <c r="BC86" s="524">
        <f t="shared" si="62"/>
        <v>0</v>
      </c>
      <c r="BD86" s="524">
        <f t="shared" si="62"/>
        <v>0</v>
      </c>
      <c r="BE86" s="524">
        <f t="shared" si="62"/>
        <v>0</v>
      </c>
      <c r="BF86" s="524">
        <f t="shared" si="62"/>
        <v>0</v>
      </c>
      <c r="BG86" s="524">
        <f t="shared" si="62"/>
        <v>0</v>
      </c>
      <c r="BH86" s="524">
        <f t="shared" si="62"/>
        <v>0</v>
      </c>
      <c r="BI86" s="524">
        <f t="shared" ref="BI86:BR95" si="63">IFERROR(IF(BI$8&gt;=$D86,$E86*(INDEX($E$18:$E$22,(MATCH(MATCH(BI$8,$D$86:$D$133,0)-MATCH($D86,$D$86:$D$133,0),$D$18:$D$22,0)))),0),0)</f>
        <v>0</v>
      </c>
      <c r="BJ86" s="524">
        <f t="shared" si="63"/>
        <v>0</v>
      </c>
      <c r="BK86" s="524">
        <f t="shared" si="63"/>
        <v>0</v>
      </c>
      <c r="BL86" s="524">
        <f t="shared" si="63"/>
        <v>0</v>
      </c>
      <c r="BM86" s="524">
        <f t="shared" si="63"/>
        <v>0</v>
      </c>
      <c r="BN86" s="524">
        <f t="shared" si="63"/>
        <v>0</v>
      </c>
      <c r="BO86" s="524">
        <f t="shared" si="63"/>
        <v>0</v>
      </c>
      <c r="BP86" s="524">
        <f t="shared" si="63"/>
        <v>0</v>
      </c>
      <c r="BQ86" s="524">
        <f t="shared" si="63"/>
        <v>0</v>
      </c>
      <c r="BR86" s="524">
        <f t="shared" si="63"/>
        <v>0</v>
      </c>
      <c r="BS86" s="524">
        <f t="shared" ref="BS86:BZ95" si="64">IFERROR(IF(BS$8&gt;=$D86,$E86*(INDEX($E$18:$E$22,(MATCH(MATCH(BS$8,$D$86:$D$133,0)-MATCH($D86,$D$86:$D$133,0),$D$18:$D$22,0)))),0),0)</f>
        <v>0</v>
      </c>
      <c r="BT86" s="524">
        <f t="shared" si="64"/>
        <v>0</v>
      </c>
      <c r="BU86" s="524">
        <f t="shared" si="64"/>
        <v>0</v>
      </c>
      <c r="BV86" s="524">
        <f t="shared" si="64"/>
        <v>0</v>
      </c>
      <c r="BW86" s="524">
        <f t="shared" si="64"/>
        <v>0</v>
      </c>
      <c r="BX86" s="524">
        <f t="shared" si="64"/>
        <v>0</v>
      </c>
      <c r="BY86" s="524">
        <f t="shared" si="64"/>
        <v>0</v>
      </c>
      <c r="BZ86" s="524">
        <f t="shared" si="64"/>
        <v>0</v>
      </c>
    </row>
    <row r="87" spans="2:78" ht="21" hidden="1" customHeight="1" outlineLevel="3">
      <c r="B87" s="367"/>
      <c r="C87" s="370"/>
      <c r="D87" s="374">
        <f t="shared" ref="D87:D133" si="65">EOMONTH(D86,1)</f>
        <v>44985</v>
      </c>
      <c r="E87" s="373" cm="1">
        <f t="array" ref="E87">IF($D87&lt;=LatestMonthOfActuals,0,INDEX($AE$27:$BZ$27,0,MATCH($D87,$AE$8:$BZ$8,0)))</f>
        <v>0</v>
      </c>
      <c r="F87" s="359"/>
      <c r="G87" s="408">
        <f t="shared" si="58"/>
        <v>0</v>
      </c>
      <c r="H87" s="408">
        <f t="shared" si="58"/>
        <v>0</v>
      </c>
      <c r="I87" s="408">
        <f t="shared" si="58"/>
        <v>0</v>
      </c>
      <c r="J87" s="408">
        <f t="shared" si="58"/>
        <v>0</v>
      </c>
      <c r="K87" s="408"/>
      <c r="L87" s="408"/>
      <c r="M87" s="408">
        <f t="shared" si="59"/>
        <v>0</v>
      </c>
      <c r="N87" s="408">
        <f t="shared" si="59"/>
        <v>0</v>
      </c>
      <c r="O87" s="408">
        <f t="shared" si="59"/>
        <v>0</v>
      </c>
      <c r="P87" s="408">
        <f t="shared" si="59"/>
        <v>0</v>
      </c>
      <c r="Q87" s="408">
        <f t="shared" si="59"/>
        <v>0</v>
      </c>
      <c r="R87" s="408">
        <f t="shared" si="59"/>
        <v>0</v>
      </c>
      <c r="S87" s="408">
        <f t="shared" si="59"/>
        <v>0</v>
      </c>
      <c r="T87" s="408">
        <f t="shared" si="59"/>
        <v>0</v>
      </c>
      <c r="U87" s="408">
        <f t="shared" si="59"/>
        <v>0</v>
      </c>
      <c r="V87" s="408">
        <f t="shared" si="59"/>
        <v>0</v>
      </c>
      <c r="W87" s="408">
        <f t="shared" si="59"/>
        <v>0</v>
      </c>
      <c r="X87" s="408">
        <f t="shared" si="59"/>
        <v>0</v>
      </c>
      <c r="Y87" s="408">
        <f t="shared" si="59"/>
        <v>0</v>
      </c>
      <c r="Z87" s="408">
        <f t="shared" si="59"/>
        <v>0</v>
      </c>
      <c r="AA87" s="408">
        <f t="shared" si="59"/>
        <v>0</v>
      </c>
      <c r="AB87" s="408">
        <f t="shared" si="59"/>
        <v>0</v>
      </c>
      <c r="AC87" s="524"/>
      <c r="AD87" s="359"/>
      <c r="AE87" s="524">
        <f t="shared" si="60"/>
        <v>0</v>
      </c>
      <c r="AF87" s="524">
        <f t="shared" si="60"/>
        <v>0</v>
      </c>
      <c r="AG87" s="524">
        <f t="shared" si="60"/>
        <v>0</v>
      </c>
      <c r="AH87" s="524">
        <f t="shared" si="60"/>
        <v>0</v>
      </c>
      <c r="AI87" s="524">
        <f t="shared" si="60"/>
        <v>0</v>
      </c>
      <c r="AJ87" s="524">
        <f t="shared" si="60"/>
        <v>0</v>
      </c>
      <c r="AK87" s="524">
        <f t="shared" si="60"/>
        <v>0</v>
      </c>
      <c r="AL87" s="524">
        <f t="shared" si="60"/>
        <v>0</v>
      </c>
      <c r="AM87" s="524">
        <f t="shared" si="60"/>
        <v>0</v>
      </c>
      <c r="AN87" s="524">
        <f t="shared" si="60"/>
        <v>0</v>
      </c>
      <c r="AO87" s="524">
        <f t="shared" si="61"/>
        <v>0</v>
      </c>
      <c r="AP87" s="524">
        <f t="shared" si="61"/>
        <v>0</v>
      </c>
      <c r="AQ87" s="524">
        <f t="shared" si="61"/>
        <v>0</v>
      </c>
      <c r="AR87" s="524">
        <f t="shared" si="61"/>
        <v>0</v>
      </c>
      <c r="AS87" s="524">
        <f t="shared" si="61"/>
        <v>0</v>
      </c>
      <c r="AT87" s="524">
        <f t="shared" si="61"/>
        <v>0</v>
      </c>
      <c r="AU87" s="524">
        <f t="shared" si="61"/>
        <v>0</v>
      </c>
      <c r="AV87" s="524">
        <f t="shared" si="61"/>
        <v>0</v>
      </c>
      <c r="AW87" s="524">
        <f t="shared" si="61"/>
        <v>0</v>
      </c>
      <c r="AX87" s="524">
        <f t="shared" si="61"/>
        <v>0</v>
      </c>
      <c r="AY87" s="524">
        <f t="shared" si="62"/>
        <v>0</v>
      </c>
      <c r="AZ87" s="524">
        <f t="shared" si="62"/>
        <v>0</v>
      </c>
      <c r="BA87" s="524">
        <f t="shared" si="62"/>
        <v>0</v>
      </c>
      <c r="BB87" s="524">
        <f t="shared" si="62"/>
        <v>0</v>
      </c>
      <c r="BC87" s="524">
        <f t="shared" si="62"/>
        <v>0</v>
      </c>
      <c r="BD87" s="524">
        <f t="shared" si="62"/>
        <v>0</v>
      </c>
      <c r="BE87" s="524">
        <f t="shared" si="62"/>
        <v>0</v>
      </c>
      <c r="BF87" s="524">
        <f t="shared" si="62"/>
        <v>0</v>
      </c>
      <c r="BG87" s="524">
        <f t="shared" si="62"/>
        <v>0</v>
      </c>
      <c r="BH87" s="524">
        <f t="shared" si="62"/>
        <v>0</v>
      </c>
      <c r="BI87" s="524">
        <f t="shared" si="63"/>
        <v>0</v>
      </c>
      <c r="BJ87" s="524">
        <f t="shared" si="63"/>
        <v>0</v>
      </c>
      <c r="BK87" s="524">
        <f t="shared" si="63"/>
        <v>0</v>
      </c>
      <c r="BL87" s="524">
        <f t="shared" si="63"/>
        <v>0</v>
      </c>
      <c r="BM87" s="524">
        <f t="shared" si="63"/>
        <v>0</v>
      </c>
      <c r="BN87" s="524">
        <f t="shared" si="63"/>
        <v>0</v>
      </c>
      <c r="BO87" s="524">
        <f t="shared" si="63"/>
        <v>0</v>
      </c>
      <c r="BP87" s="524">
        <f t="shared" si="63"/>
        <v>0</v>
      </c>
      <c r="BQ87" s="524">
        <f t="shared" si="63"/>
        <v>0</v>
      </c>
      <c r="BR87" s="524">
        <f t="shared" si="63"/>
        <v>0</v>
      </c>
      <c r="BS87" s="524">
        <f t="shared" si="64"/>
        <v>0</v>
      </c>
      <c r="BT87" s="524">
        <f t="shared" si="64"/>
        <v>0</v>
      </c>
      <c r="BU87" s="524">
        <f t="shared" si="64"/>
        <v>0</v>
      </c>
      <c r="BV87" s="524">
        <f t="shared" si="64"/>
        <v>0</v>
      </c>
      <c r="BW87" s="524">
        <f t="shared" si="64"/>
        <v>0</v>
      </c>
      <c r="BX87" s="524">
        <f t="shared" si="64"/>
        <v>0</v>
      </c>
      <c r="BY87" s="524">
        <f t="shared" si="64"/>
        <v>0</v>
      </c>
      <c r="BZ87" s="524">
        <f t="shared" si="64"/>
        <v>0</v>
      </c>
    </row>
    <row r="88" spans="2:78" ht="21" hidden="1" customHeight="1" outlineLevel="3">
      <c r="B88" s="367"/>
      <c r="C88" s="370"/>
      <c r="D88" s="374">
        <f t="shared" si="65"/>
        <v>45016</v>
      </c>
      <c r="E88" s="373" cm="1">
        <f t="array" ref="E88">IF($D88&lt;=LatestMonthOfActuals,0,INDEX($AE$27:$BZ$27,0,MATCH($D88,$AE$8:$BZ$8,0)))</f>
        <v>0</v>
      </c>
      <c r="F88" s="359"/>
      <c r="G88" s="408">
        <f t="shared" si="58"/>
        <v>0</v>
      </c>
      <c r="H88" s="408">
        <f t="shared" si="58"/>
        <v>0</v>
      </c>
      <c r="I88" s="408">
        <f t="shared" si="58"/>
        <v>0</v>
      </c>
      <c r="J88" s="408">
        <f t="shared" si="58"/>
        <v>0</v>
      </c>
      <c r="K88" s="408"/>
      <c r="L88" s="408"/>
      <c r="M88" s="408">
        <f t="shared" si="59"/>
        <v>0</v>
      </c>
      <c r="N88" s="408">
        <f t="shared" si="59"/>
        <v>0</v>
      </c>
      <c r="O88" s="408">
        <f t="shared" si="59"/>
        <v>0</v>
      </c>
      <c r="P88" s="408">
        <f t="shared" si="59"/>
        <v>0</v>
      </c>
      <c r="Q88" s="408">
        <f t="shared" si="59"/>
        <v>0</v>
      </c>
      <c r="R88" s="408">
        <f t="shared" si="59"/>
        <v>0</v>
      </c>
      <c r="S88" s="408">
        <f t="shared" si="59"/>
        <v>0</v>
      </c>
      <c r="T88" s="408">
        <f t="shared" si="59"/>
        <v>0</v>
      </c>
      <c r="U88" s="408">
        <f t="shared" si="59"/>
        <v>0</v>
      </c>
      <c r="V88" s="408">
        <f t="shared" si="59"/>
        <v>0</v>
      </c>
      <c r="W88" s="408">
        <f t="shared" si="59"/>
        <v>0</v>
      </c>
      <c r="X88" s="408">
        <f t="shared" si="59"/>
        <v>0</v>
      </c>
      <c r="Y88" s="408">
        <f t="shared" si="59"/>
        <v>0</v>
      </c>
      <c r="Z88" s="408">
        <f t="shared" si="59"/>
        <v>0</v>
      </c>
      <c r="AA88" s="408">
        <f t="shared" si="59"/>
        <v>0</v>
      </c>
      <c r="AB88" s="408">
        <f t="shared" si="59"/>
        <v>0</v>
      </c>
      <c r="AC88" s="524"/>
      <c r="AD88" s="359"/>
      <c r="AE88" s="524">
        <f t="shared" si="60"/>
        <v>0</v>
      </c>
      <c r="AF88" s="524">
        <f t="shared" si="60"/>
        <v>0</v>
      </c>
      <c r="AG88" s="524">
        <f t="shared" si="60"/>
        <v>0</v>
      </c>
      <c r="AH88" s="524">
        <f t="shared" si="60"/>
        <v>0</v>
      </c>
      <c r="AI88" s="524">
        <f t="shared" si="60"/>
        <v>0</v>
      </c>
      <c r="AJ88" s="524">
        <f t="shared" si="60"/>
        <v>0</v>
      </c>
      <c r="AK88" s="524">
        <f t="shared" si="60"/>
        <v>0</v>
      </c>
      <c r="AL88" s="524">
        <f t="shared" si="60"/>
        <v>0</v>
      </c>
      <c r="AM88" s="524">
        <f t="shared" si="60"/>
        <v>0</v>
      </c>
      <c r="AN88" s="524">
        <f t="shared" si="60"/>
        <v>0</v>
      </c>
      <c r="AO88" s="524">
        <f t="shared" si="61"/>
        <v>0</v>
      </c>
      <c r="AP88" s="524">
        <f t="shared" si="61"/>
        <v>0</v>
      </c>
      <c r="AQ88" s="524">
        <f t="shared" si="61"/>
        <v>0</v>
      </c>
      <c r="AR88" s="524">
        <f t="shared" si="61"/>
        <v>0</v>
      </c>
      <c r="AS88" s="524">
        <f t="shared" si="61"/>
        <v>0</v>
      </c>
      <c r="AT88" s="524">
        <f t="shared" si="61"/>
        <v>0</v>
      </c>
      <c r="AU88" s="524">
        <f t="shared" si="61"/>
        <v>0</v>
      </c>
      <c r="AV88" s="524">
        <f t="shared" si="61"/>
        <v>0</v>
      </c>
      <c r="AW88" s="524">
        <f t="shared" si="61"/>
        <v>0</v>
      </c>
      <c r="AX88" s="524">
        <f t="shared" si="61"/>
        <v>0</v>
      </c>
      <c r="AY88" s="524">
        <f t="shared" si="62"/>
        <v>0</v>
      </c>
      <c r="AZ88" s="524">
        <f t="shared" si="62"/>
        <v>0</v>
      </c>
      <c r="BA88" s="524">
        <f t="shared" si="62"/>
        <v>0</v>
      </c>
      <c r="BB88" s="524">
        <f t="shared" si="62"/>
        <v>0</v>
      </c>
      <c r="BC88" s="524">
        <f t="shared" si="62"/>
        <v>0</v>
      </c>
      <c r="BD88" s="524">
        <f t="shared" si="62"/>
        <v>0</v>
      </c>
      <c r="BE88" s="524">
        <f t="shared" si="62"/>
        <v>0</v>
      </c>
      <c r="BF88" s="524">
        <f t="shared" si="62"/>
        <v>0</v>
      </c>
      <c r="BG88" s="524">
        <f t="shared" si="62"/>
        <v>0</v>
      </c>
      <c r="BH88" s="524">
        <f t="shared" si="62"/>
        <v>0</v>
      </c>
      <c r="BI88" s="524">
        <f t="shared" si="63"/>
        <v>0</v>
      </c>
      <c r="BJ88" s="524">
        <f t="shared" si="63"/>
        <v>0</v>
      </c>
      <c r="BK88" s="524">
        <f t="shared" si="63"/>
        <v>0</v>
      </c>
      <c r="BL88" s="524">
        <f t="shared" si="63"/>
        <v>0</v>
      </c>
      <c r="BM88" s="524">
        <f t="shared" si="63"/>
        <v>0</v>
      </c>
      <c r="BN88" s="524">
        <f t="shared" si="63"/>
        <v>0</v>
      </c>
      <c r="BO88" s="524">
        <f t="shared" si="63"/>
        <v>0</v>
      </c>
      <c r="BP88" s="524">
        <f t="shared" si="63"/>
        <v>0</v>
      </c>
      <c r="BQ88" s="524">
        <f t="shared" si="63"/>
        <v>0</v>
      </c>
      <c r="BR88" s="524">
        <f t="shared" si="63"/>
        <v>0</v>
      </c>
      <c r="BS88" s="524">
        <f t="shared" si="64"/>
        <v>0</v>
      </c>
      <c r="BT88" s="524">
        <f t="shared" si="64"/>
        <v>0</v>
      </c>
      <c r="BU88" s="524">
        <f t="shared" si="64"/>
        <v>0</v>
      </c>
      <c r="BV88" s="524">
        <f t="shared" si="64"/>
        <v>0</v>
      </c>
      <c r="BW88" s="524">
        <f t="shared" si="64"/>
        <v>0</v>
      </c>
      <c r="BX88" s="524">
        <f t="shared" si="64"/>
        <v>0</v>
      </c>
      <c r="BY88" s="524">
        <f t="shared" si="64"/>
        <v>0</v>
      </c>
      <c r="BZ88" s="524">
        <f t="shared" si="64"/>
        <v>0</v>
      </c>
    </row>
    <row r="89" spans="2:78" ht="21" hidden="1" customHeight="1" outlineLevel="3">
      <c r="B89" s="367"/>
      <c r="C89" s="370"/>
      <c r="D89" s="374">
        <f t="shared" si="65"/>
        <v>45046</v>
      </c>
      <c r="E89" s="373" cm="1">
        <f t="array" ref="E89">IF($D89&lt;=LatestMonthOfActuals,0,INDEX($AE$27:$BZ$27,0,MATCH($D89,$AE$8:$BZ$8,0)))</f>
        <v>0</v>
      </c>
      <c r="F89" s="359"/>
      <c r="G89" s="408">
        <f t="shared" si="58"/>
        <v>0</v>
      </c>
      <c r="H89" s="408">
        <f t="shared" si="58"/>
        <v>0</v>
      </c>
      <c r="I89" s="408">
        <f t="shared" si="58"/>
        <v>0</v>
      </c>
      <c r="J89" s="408">
        <f t="shared" si="58"/>
        <v>0</v>
      </c>
      <c r="K89" s="408"/>
      <c r="L89" s="408"/>
      <c r="M89" s="408">
        <f t="shared" si="59"/>
        <v>0</v>
      </c>
      <c r="N89" s="408">
        <f t="shared" si="59"/>
        <v>0</v>
      </c>
      <c r="O89" s="408">
        <f t="shared" si="59"/>
        <v>0</v>
      </c>
      <c r="P89" s="408">
        <f t="shared" si="59"/>
        <v>0</v>
      </c>
      <c r="Q89" s="408">
        <f t="shared" si="59"/>
        <v>0</v>
      </c>
      <c r="R89" s="408">
        <f t="shared" si="59"/>
        <v>0</v>
      </c>
      <c r="S89" s="408">
        <f t="shared" si="59"/>
        <v>0</v>
      </c>
      <c r="T89" s="408">
        <f t="shared" si="59"/>
        <v>0</v>
      </c>
      <c r="U89" s="408">
        <f t="shared" si="59"/>
        <v>0</v>
      </c>
      <c r="V89" s="408">
        <f t="shared" si="59"/>
        <v>0</v>
      </c>
      <c r="W89" s="408">
        <f t="shared" si="59"/>
        <v>0</v>
      </c>
      <c r="X89" s="408">
        <f t="shared" si="59"/>
        <v>0</v>
      </c>
      <c r="Y89" s="408">
        <f t="shared" si="59"/>
        <v>0</v>
      </c>
      <c r="Z89" s="408">
        <f t="shared" si="59"/>
        <v>0</v>
      </c>
      <c r="AA89" s="408">
        <f t="shared" si="59"/>
        <v>0</v>
      </c>
      <c r="AB89" s="408">
        <f t="shared" si="59"/>
        <v>0</v>
      </c>
      <c r="AC89" s="524"/>
      <c r="AD89" s="359"/>
      <c r="AE89" s="524">
        <f t="shared" si="60"/>
        <v>0</v>
      </c>
      <c r="AF89" s="524">
        <f t="shared" si="60"/>
        <v>0</v>
      </c>
      <c r="AG89" s="524">
        <f t="shared" si="60"/>
        <v>0</v>
      </c>
      <c r="AH89" s="524">
        <f t="shared" si="60"/>
        <v>0</v>
      </c>
      <c r="AI89" s="524">
        <f t="shared" si="60"/>
        <v>0</v>
      </c>
      <c r="AJ89" s="524">
        <f t="shared" si="60"/>
        <v>0</v>
      </c>
      <c r="AK89" s="524">
        <f t="shared" si="60"/>
        <v>0</v>
      </c>
      <c r="AL89" s="524">
        <f t="shared" si="60"/>
        <v>0</v>
      </c>
      <c r="AM89" s="524">
        <f t="shared" si="60"/>
        <v>0</v>
      </c>
      <c r="AN89" s="524">
        <f t="shared" si="60"/>
        <v>0</v>
      </c>
      <c r="AO89" s="524">
        <f t="shared" si="61"/>
        <v>0</v>
      </c>
      <c r="AP89" s="524">
        <f t="shared" si="61"/>
        <v>0</v>
      </c>
      <c r="AQ89" s="524">
        <f t="shared" si="61"/>
        <v>0</v>
      </c>
      <c r="AR89" s="524">
        <f t="shared" si="61"/>
        <v>0</v>
      </c>
      <c r="AS89" s="524">
        <f t="shared" si="61"/>
        <v>0</v>
      </c>
      <c r="AT89" s="524">
        <f t="shared" si="61"/>
        <v>0</v>
      </c>
      <c r="AU89" s="524">
        <f t="shared" si="61"/>
        <v>0</v>
      </c>
      <c r="AV89" s="524">
        <f t="shared" si="61"/>
        <v>0</v>
      </c>
      <c r="AW89" s="524">
        <f t="shared" si="61"/>
        <v>0</v>
      </c>
      <c r="AX89" s="524">
        <f t="shared" si="61"/>
        <v>0</v>
      </c>
      <c r="AY89" s="524">
        <f t="shared" si="62"/>
        <v>0</v>
      </c>
      <c r="AZ89" s="524">
        <f t="shared" si="62"/>
        <v>0</v>
      </c>
      <c r="BA89" s="524">
        <f t="shared" si="62"/>
        <v>0</v>
      </c>
      <c r="BB89" s="524">
        <f t="shared" si="62"/>
        <v>0</v>
      </c>
      <c r="BC89" s="524">
        <f t="shared" si="62"/>
        <v>0</v>
      </c>
      <c r="BD89" s="524">
        <f t="shared" si="62"/>
        <v>0</v>
      </c>
      <c r="BE89" s="524">
        <f t="shared" si="62"/>
        <v>0</v>
      </c>
      <c r="BF89" s="524">
        <f t="shared" si="62"/>
        <v>0</v>
      </c>
      <c r="BG89" s="524">
        <f t="shared" si="62"/>
        <v>0</v>
      </c>
      <c r="BH89" s="524">
        <f t="shared" si="62"/>
        <v>0</v>
      </c>
      <c r="BI89" s="524">
        <f t="shared" si="63"/>
        <v>0</v>
      </c>
      <c r="BJ89" s="524">
        <f t="shared" si="63"/>
        <v>0</v>
      </c>
      <c r="BK89" s="524">
        <f t="shared" si="63"/>
        <v>0</v>
      </c>
      <c r="BL89" s="524">
        <f t="shared" si="63"/>
        <v>0</v>
      </c>
      <c r="BM89" s="524">
        <f t="shared" si="63"/>
        <v>0</v>
      </c>
      <c r="BN89" s="524">
        <f t="shared" si="63"/>
        <v>0</v>
      </c>
      <c r="BO89" s="524">
        <f t="shared" si="63"/>
        <v>0</v>
      </c>
      <c r="BP89" s="524">
        <f t="shared" si="63"/>
        <v>0</v>
      </c>
      <c r="BQ89" s="524">
        <f t="shared" si="63"/>
        <v>0</v>
      </c>
      <c r="BR89" s="524">
        <f t="shared" si="63"/>
        <v>0</v>
      </c>
      <c r="BS89" s="524">
        <f t="shared" si="64"/>
        <v>0</v>
      </c>
      <c r="BT89" s="524">
        <f t="shared" si="64"/>
        <v>0</v>
      </c>
      <c r="BU89" s="524">
        <f t="shared" si="64"/>
        <v>0</v>
      </c>
      <c r="BV89" s="524">
        <f t="shared" si="64"/>
        <v>0</v>
      </c>
      <c r="BW89" s="524">
        <f t="shared" si="64"/>
        <v>0</v>
      </c>
      <c r="BX89" s="524">
        <f t="shared" si="64"/>
        <v>0</v>
      </c>
      <c r="BY89" s="524">
        <f t="shared" si="64"/>
        <v>0</v>
      </c>
      <c r="BZ89" s="524">
        <f t="shared" si="64"/>
        <v>0</v>
      </c>
    </row>
    <row r="90" spans="2:78" ht="21" hidden="1" customHeight="1" outlineLevel="3">
      <c r="B90" s="367"/>
      <c r="C90" s="370"/>
      <c r="D90" s="374">
        <f t="shared" si="65"/>
        <v>45077</v>
      </c>
      <c r="E90" s="373" cm="1">
        <f t="array" ref="E90">IF($D90&lt;=LatestMonthOfActuals,0,INDEX($AE$27:$BZ$27,0,MATCH($D90,$AE$8:$BZ$8,0)))</f>
        <v>0</v>
      </c>
      <c r="F90" s="359"/>
      <c r="G90" s="408">
        <f t="shared" si="58"/>
        <v>0</v>
      </c>
      <c r="H90" s="408">
        <f t="shared" si="58"/>
        <v>0</v>
      </c>
      <c r="I90" s="408">
        <f t="shared" si="58"/>
        <v>0</v>
      </c>
      <c r="J90" s="408">
        <f t="shared" si="58"/>
        <v>0</v>
      </c>
      <c r="K90" s="408"/>
      <c r="L90" s="408"/>
      <c r="M90" s="408">
        <f t="shared" si="59"/>
        <v>0</v>
      </c>
      <c r="N90" s="408">
        <f t="shared" si="59"/>
        <v>0</v>
      </c>
      <c r="O90" s="408">
        <f t="shared" si="59"/>
        <v>0</v>
      </c>
      <c r="P90" s="408">
        <f t="shared" si="59"/>
        <v>0</v>
      </c>
      <c r="Q90" s="408">
        <f t="shared" si="59"/>
        <v>0</v>
      </c>
      <c r="R90" s="408">
        <f t="shared" si="59"/>
        <v>0</v>
      </c>
      <c r="S90" s="408">
        <f t="shared" si="59"/>
        <v>0</v>
      </c>
      <c r="T90" s="408">
        <f t="shared" si="59"/>
        <v>0</v>
      </c>
      <c r="U90" s="408">
        <f t="shared" si="59"/>
        <v>0</v>
      </c>
      <c r="V90" s="408">
        <f t="shared" si="59"/>
        <v>0</v>
      </c>
      <c r="W90" s="408">
        <f t="shared" si="59"/>
        <v>0</v>
      </c>
      <c r="X90" s="408">
        <f t="shared" si="59"/>
        <v>0</v>
      </c>
      <c r="Y90" s="408">
        <f t="shared" si="59"/>
        <v>0</v>
      </c>
      <c r="Z90" s="408">
        <f t="shared" si="59"/>
        <v>0</v>
      </c>
      <c r="AA90" s="408">
        <f t="shared" si="59"/>
        <v>0</v>
      </c>
      <c r="AB90" s="408">
        <f t="shared" si="59"/>
        <v>0</v>
      </c>
      <c r="AC90" s="524"/>
      <c r="AD90" s="359"/>
      <c r="AE90" s="524">
        <f t="shared" si="60"/>
        <v>0</v>
      </c>
      <c r="AF90" s="524">
        <f t="shared" si="60"/>
        <v>0</v>
      </c>
      <c r="AG90" s="524">
        <f t="shared" si="60"/>
        <v>0</v>
      </c>
      <c r="AH90" s="524">
        <f t="shared" si="60"/>
        <v>0</v>
      </c>
      <c r="AI90" s="524">
        <f t="shared" si="60"/>
        <v>0</v>
      </c>
      <c r="AJ90" s="524">
        <f t="shared" si="60"/>
        <v>0</v>
      </c>
      <c r="AK90" s="524">
        <f t="shared" si="60"/>
        <v>0</v>
      </c>
      <c r="AL90" s="524">
        <f t="shared" si="60"/>
        <v>0</v>
      </c>
      <c r="AM90" s="524">
        <f t="shared" si="60"/>
        <v>0</v>
      </c>
      <c r="AN90" s="524">
        <f t="shared" si="60"/>
        <v>0</v>
      </c>
      <c r="AO90" s="524">
        <f t="shared" si="61"/>
        <v>0</v>
      </c>
      <c r="AP90" s="524">
        <f t="shared" si="61"/>
        <v>0</v>
      </c>
      <c r="AQ90" s="524">
        <f t="shared" si="61"/>
        <v>0</v>
      </c>
      <c r="AR90" s="524">
        <f t="shared" si="61"/>
        <v>0</v>
      </c>
      <c r="AS90" s="524">
        <f t="shared" si="61"/>
        <v>0</v>
      </c>
      <c r="AT90" s="524">
        <f t="shared" si="61"/>
        <v>0</v>
      </c>
      <c r="AU90" s="524">
        <f t="shared" si="61"/>
        <v>0</v>
      </c>
      <c r="AV90" s="524">
        <f t="shared" si="61"/>
        <v>0</v>
      </c>
      <c r="AW90" s="524">
        <f t="shared" si="61"/>
        <v>0</v>
      </c>
      <c r="AX90" s="524">
        <f t="shared" si="61"/>
        <v>0</v>
      </c>
      <c r="AY90" s="524">
        <f t="shared" si="62"/>
        <v>0</v>
      </c>
      <c r="AZ90" s="524">
        <f t="shared" si="62"/>
        <v>0</v>
      </c>
      <c r="BA90" s="524">
        <f t="shared" si="62"/>
        <v>0</v>
      </c>
      <c r="BB90" s="524">
        <f t="shared" si="62"/>
        <v>0</v>
      </c>
      <c r="BC90" s="524">
        <f t="shared" si="62"/>
        <v>0</v>
      </c>
      <c r="BD90" s="524">
        <f t="shared" si="62"/>
        <v>0</v>
      </c>
      <c r="BE90" s="524">
        <f t="shared" si="62"/>
        <v>0</v>
      </c>
      <c r="BF90" s="524">
        <f t="shared" si="62"/>
        <v>0</v>
      </c>
      <c r="BG90" s="524">
        <f t="shared" si="62"/>
        <v>0</v>
      </c>
      <c r="BH90" s="524">
        <f t="shared" si="62"/>
        <v>0</v>
      </c>
      <c r="BI90" s="524">
        <f t="shared" si="63"/>
        <v>0</v>
      </c>
      <c r="BJ90" s="524">
        <f t="shared" si="63"/>
        <v>0</v>
      </c>
      <c r="BK90" s="524">
        <f t="shared" si="63"/>
        <v>0</v>
      </c>
      <c r="BL90" s="524">
        <f t="shared" si="63"/>
        <v>0</v>
      </c>
      <c r="BM90" s="524">
        <f t="shared" si="63"/>
        <v>0</v>
      </c>
      <c r="BN90" s="524">
        <f t="shared" si="63"/>
        <v>0</v>
      </c>
      <c r="BO90" s="524">
        <f t="shared" si="63"/>
        <v>0</v>
      </c>
      <c r="BP90" s="524">
        <f t="shared" si="63"/>
        <v>0</v>
      </c>
      <c r="BQ90" s="524">
        <f t="shared" si="63"/>
        <v>0</v>
      </c>
      <c r="BR90" s="524">
        <f t="shared" si="63"/>
        <v>0</v>
      </c>
      <c r="BS90" s="524">
        <f t="shared" si="64"/>
        <v>0</v>
      </c>
      <c r="BT90" s="524">
        <f t="shared" si="64"/>
        <v>0</v>
      </c>
      <c r="BU90" s="524">
        <f t="shared" si="64"/>
        <v>0</v>
      </c>
      <c r="BV90" s="524">
        <f t="shared" si="64"/>
        <v>0</v>
      </c>
      <c r="BW90" s="524">
        <f t="shared" si="64"/>
        <v>0</v>
      </c>
      <c r="BX90" s="524">
        <f t="shared" si="64"/>
        <v>0</v>
      </c>
      <c r="BY90" s="524">
        <f t="shared" si="64"/>
        <v>0</v>
      </c>
      <c r="BZ90" s="524">
        <f t="shared" si="64"/>
        <v>0</v>
      </c>
    </row>
    <row r="91" spans="2:78" ht="21" hidden="1" customHeight="1" outlineLevel="3">
      <c r="B91" s="367"/>
      <c r="C91" s="370"/>
      <c r="D91" s="374">
        <f t="shared" si="65"/>
        <v>45107</v>
      </c>
      <c r="E91" s="373" cm="1">
        <f t="array" ref="E91">IF($D91&lt;=LatestMonthOfActuals,0,INDEX($AE$27:$BZ$27,0,MATCH($D91,$AE$8:$BZ$8,0)))</f>
        <v>0</v>
      </c>
      <c r="F91" s="359"/>
      <c r="G91" s="408">
        <f t="shared" si="58"/>
        <v>0</v>
      </c>
      <c r="H91" s="408">
        <f t="shared" si="58"/>
        <v>0</v>
      </c>
      <c r="I91" s="408">
        <f t="shared" si="58"/>
        <v>0</v>
      </c>
      <c r="J91" s="408">
        <f t="shared" si="58"/>
        <v>0</v>
      </c>
      <c r="K91" s="408"/>
      <c r="L91" s="408"/>
      <c r="M91" s="408">
        <f t="shared" si="59"/>
        <v>0</v>
      </c>
      <c r="N91" s="408">
        <f t="shared" si="59"/>
        <v>0</v>
      </c>
      <c r="O91" s="408">
        <f t="shared" si="59"/>
        <v>0</v>
      </c>
      <c r="P91" s="408">
        <f t="shared" si="59"/>
        <v>0</v>
      </c>
      <c r="Q91" s="408">
        <f t="shared" si="59"/>
        <v>0</v>
      </c>
      <c r="R91" s="408">
        <f t="shared" si="59"/>
        <v>0</v>
      </c>
      <c r="S91" s="408">
        <f t="shared" si="59"/>
        <v>0</v>
      </c>
      <c r="T91" s="408">
        <f t="shared" si="59"/>
        <v>0</v>
      </c>
      <c r="U91" s="408">
        <f t="shared" si="59"/>
        <v>0</v>
      </c>
      <c r="V91" s="408">
        <f t="shared" si="59"/>
        <v>0</v>
      </c>
      <c r="W91" s="408">
        <f t="shared" si="59"/>
        <v>0</v>
      </c>
      <c r="X91" s="408">
        <f t="shared" si="59"/>
        <v>0</v>
      </c>
      <c r="Y91" s="408">
        <f t="shared" si="59"/>
        <v>0</v>
      </c>
      <c r="Z91" s="408">
        <f t="shared" si="59"/>
        <v>0</v>
      </c>
      <c r="AA91" s="408">
        <f t="shared" si="59"/>
        <v>0</v>
      </c>
      <c r="AB91" s="408">
        <f t="shared" si="59"/>
        <v>0</v>
      </c>
      <c r="AC91" s="524"/>
      <c r="AD91" s="359"/>
      <c r="AE91" s="524">
        <f t="shared" si="60"/>
        <v>0</v>
      </c>
      <c r="AF91" s="524">
        <f t="shared" si="60"/>
        <v>0</v>
      </c>
      <c r="AG91" s="524">
        <f t="shared" si="60"/>
        <v>0</v>
      </c>
      <c r="AH91" s="524">
        <f t="shared" si="60"/>
        <v>0</v>
      </c>
      <c r="AI91" s="524">
        <f t="shared" si="60"/>
        <v>0</v>
      </c>
      <c r="AJ91" s="524">
        <f t="shared" si="60"/>
        <v>0</v>
      </c>
      <c r="AK91" s="524">
        <f t="shared" si="60"/>
        <v>0</v>
      </c>
      <c r="AL91" s="524">
        <f t="shared" si="60"/>
        <v>0</v>
      </c>
      <c r="AM91" s="524">
        <f t="shared" si="60"/>
        <v>0</v>
      </c>
      <c r="AN91" s="524">
        <f t="shared" si="60"/>
        <v>0</v>
      </c>
      <c r="AO91" s="524">
        <f t="shared" si="61"/>
        <v>0</v>
      </c>
      <c r="AP91" s="524">
        <f t="shared" si="61"/>
        <v>0</v>
      </c>
      <c r="AQ91" s="524">
        <f t="shared" si="61"/>
        <v>0</v>
      </c>
      <c r="AR91" s="524">
        <f t="shared" si="61"/>
        <v>0</v>
      </c>
      <c r="AS91" s="524">
        <f t="shared" si="61"/>
        <v>0</v>
      </c>
      <c r="AT91" s="524">
        <f t="shared" si="61"/>
        <v>0</v>
      </c>
      <c r="AU91" s="524">
        <f t="shared" si="61"/>
        <v>0</v>
      </c>
      <c r="AV91" s="524">
        <f t="shared" si="61"/>
        <v>0</v>
      </c>
      <c r="AW91" s="524">
        <f t="shared" si="61"/>
        <v>0</v>
      </c>
      <c r="AX91" s="524">
        <f t="shared" si="61"/>
        <v>0</v>
      </c>
      <c r="AY91" s="524">
        <f t="shared" si="62"/>
        <v>0</v>
      </c>
      <c r="AZ91" s="524">
        <f t="shared" si="62"/>
        <v>0</v>
      </c>
      <c r="BA91" s="524">
        <f t="shared" si="62"/>
        <v>0</v>
      </c>
      <c r="BB91" s="524">
        <f t="shared" si="62"/>
        <v>0</v>
      </c>
      <c r="BC91" s="524">
        <f t="shared" si="62"/>
        <v>0</v>
      </c>
      <c r="BD91" s="524">
        <f t="shared" si="62"/>
        <v>0</v>
      </c>
      <c r="BE91" s="524">
        <f t="shared" si="62"/>
        <v>0</v>
      </c>
      <c r="BF91" s="524">
        <f t="shared" si="62"/>
        <v>0</v>
      </c>
      <c r="BG91" s="524">
        <f t="shared" si="62"/>
        <v>0</v>
      </c>
      <c r="BH91" s="524">
        <f t="shared" si="62"/>
        <v>0</v>
      </c>
      <c r="BI91" s="524">
        <f t="shared" si="63"/>
        <v>0</v>
      </c>
      <c r="BJ91" s="524">
        <f t="shared" si="63"/>
        <v>0</v>
      </c>
      <c r="BK91" s="524">
        <f t="shared" si="63"/>
        <v>0</v>
      </c>
      <c r="BL91" s="524">
        <f t="shared" si="63"/>
        <v>0</v>
      </c>
      <c r="BM91" s="524">
        <f t="shared" si="63"/>
        <v>0</v>
      </c>
      <c r="BN91" s="524">
        <f t="shared" si="63"/>
        <v>0</v>
      </c>
      <c r="BO91" s="524">
        <f t="shared" si="63"/>
        <v>0</v>
      </c>
      <c r="BP91" s="524">
        <f t="shared" si="63"/>
        <v>0</v>
      </c>
      <c r="BQ91" s="524">
        <f t="shared" si="63"/>
        <v>0</v>
      </c>
      <c r="BR91" s="524">
        <f t="shared" si="63"/>
        <v>0</v>
      </c>
      <c r="BS91" s="524">
        <f t="shared" si="64"/>
        <v>0</v>
      </c>
      <c r="BT91" s="524">
        <f t="shared" si="64"/>
        <v>0</v>
      </c>
      <c r="BU91" s="524">
        <f t="shared" si="64"/>
        <v>0</v>
      </c>
      <c r="BV91" s="524">
        <f t="shared" si="64"/>
        <v>0</v>
      </c>
      <c r="BW91" s="524">
        <f t="shared" si="64"/>
        <v>0</v>
      </c>
      <c r="BX91" s="524">
        <f t="shared" si="64"/>
        <v>0</v>
      </c>
      <c r="BY91" s="524">
        <f t="shared" si="64"/>
        <v>0</v>
      </c>
      <c r="BZ91" s="524">
        <f t="shared" si="64"/>
        <v>0</v>
      </c>
    </row>
    <row r="92" spans="2:78" ht="21" hidden="1" customHeight="1" outlineLevel="3">
      <c r="B92" s="367"/>
      <c r="C92" s="370"/>
      <c r="D92" s="374">
        <f t="shared" si="65"/>
        <v>45138</v>
      </c>
      <c r="E92" s="373" cm="1">
        <f t="array" ref="E92">IF($D92&lt;=LatestMonthOfActuals,0,INDEX($AE$27:$BZ$27,0,MATCH($D92,$AE$8:$BZ$8,0)))</f>
        <v>0</v>
      </c>
      <c r="F92" s="359"/>
      <c r="G92" s="408">
        <f t="shared" si="58"/>
        <v>0</v>
      </c>
      <c r="H92" s="408">
        <f t="shared" si="58"/>
        <v>0</v>
      </c>
      <c r="I92" s="408">
        <f t="shared" si="58"/>
        <v>0</v>
      </c>
      <c r="J92" s="408">
        <f t="shared" si="58"/>
        <v>0</v>
      </c>
      <c r="K92" s="408"/>
      <c r="L92" s="408"/>
      <c r="M92" s="408">
        <f t="shared" si="59"/>
        <v>0</v>
      </c>
      <c r="N92" s="408">
        <f t="shared" si="59"/>
        <v>0</v>
      </c>
      <c r="O92" s="408">
        <f t="shared" si="59"/>
        <v>0</v>
      </c>
      <c r="P92" s="408">
        <f t="shared" si="59"/>
        <v>0</v>
      </c>
      <c r="Q92" s="408">
        <f t="shared" si="59"/>
        <v>0</v>
      </c>
      <c r="R92" s="408">
        <f t="shared" si="59"/>
        <v>0</v>
      </c>
      <c r="S92" s="408">
        <f t="shared" si="59"/>
        <v>0</v>
      </c>
      <c r="T92" s="408">
        <f t="shared" si="59"/>
        <v>0</v>
      </c>
      <c r="U92" s="408">
        <f t="shared" si="59"/>
        <v>0</v>
      </c>
      <c r="V92" s="408">
        <f t="shared" si="59"/>
        <v>0</v>
      </c>
      <c r="W92" s="408">
        <f t="shared" si="59"/>
        <v>0</v>
      </c>
      <c r="X92" s="408">
        <f t="shared" si="59"/>
        <v>0</v>
      </c>
      <c r="Y92" s="408">
        <f t="shared" si="59"/>
        <v>0</v>
      </c>
      <c r="Z92" s="408">
        <f t="shared" si="59"/>
        <v>0</v>
      </c>
      <c r="AA92" s="408">
        <f t="shared" si="59"/>
        <v>0</v>
      </c>
      <c r="AB92" s="408">
        <f t="shared" si="59"/>
        <v>0</v>
      </c>
      <c r="AC92" s="524"/>
      <c r="AD92" s="359"/>
      <c r="AE92" s="524">
        <f t="shared" si="60"/>
        <v>0</v>
      </c>
      <c r="AF92" s="524">
        <f t="shared" si="60"/>
        <v>0</v>
      </c>
      <c r="AG92" s="524">
        <f t="shared" si="60"/>
        <v>0</v>
      </c>
      <c r="AH92" s="524">
        <f t="shared" si="60"/>
        <v>0</v>
      </c>
      <c r="AI92" s="524">
        <f t="shared" si="60"/>
        <v>0</v>
      </c>
      <c r="AJ92" s="524">
        <f t="shared" si="60"/>
        <v>0</v>
      </c>
      <c r="AK92" s="524">
        <f t="shared" si="60"/>
        <v>0</v>
      </c>
      <c r="AL92" s="524">
        <f t="shared" si="60"/>
        <v>0</v>
      </c>
      <c r="AM92" s="524">
        <f t="shared" si="60"/>
        <v>0</v>
      </c>
      <c r="AN92" s="524">
        <f t="shared" si="60"/>
        <v>0</v>
      </c>
      <c r="AO92" s="524">
        <f t="shared" si="61"/>
        <v>0</v>
      </c>
      <c r="AP92" s="524">
        <f t="shared" si="61"/>
        <v>0</v>
      </c>
      <c r="AQ92" s="524">
        <f t="shared" si="61"/>
        <v>0</v>
      </c>
      <c r="AR92" s="524">
        <f t="shared" si="61"/>
        <v>0</v>
      </c>
      <c r="AS92" s="524">
        <f t="shared" si="61"/>
        <v>0</v>
      </c>
      <c r="AT92" s="524">
        <f t="shared" si="61"/>
        <v>0</v>
      </c>
      <c r="AU92" s="524">
        <f t="shared" si="61"/>
        <v>0</v>
      </c>
      <c r="AV92" s="524">
        <f t="shared" si="61"/>
        <v>0</v>
      </c>
      <c r="AW92" s="524">
        <f t="shared" si="61"/>
        <v>0</v>
      </c>
      <c r="AX92" s="524">
        <f t="shared" si="61"/>
        <v>0</v>
      </c>
      <c r="AY92" s="524">
        <f t="shared" si="62"/>
        <v>0</v>
      </c>
      <c r="AZ92" s="524">
        <f t="shared" si="62"/>
        <v>0</v>
      </c>
      <c r="BA92" s="524">
        <f t="shared" si="62"/>
        <v>0</v>
      </c>
      <c r="BB92" s="524">
        <f t="shared" si="62"/>
        <v>0</v>
      </c>
      <c r="BC92" s="524">
        <f t="shared" si="62"/>
        <v>0</v>
      </c>
      <c r="BD92" s="524">
        <f t="shared" si="62"/>
        <v>0</v>
      </c>
      <c r="BE92" s="524">
        <f t="shared" si="62"/>
        <v>0</v>
      </c>
      <c r="BF92" s="524">
        <f t="shared" si="62"/>
        <v>0</v>
      </c>
      <c r="BG92" s="524">
        <f t="shared" si="62"/>
        <v>0</v>
      </c>
      <c r="BH92" s="524">
        <f t="shared" si="62"/>
        <v>0</v>
      </c>
      <c r="BI92" s="524">
        <f t="shared" si="63"/>
        <v>0</v>
      </c>
      <c r="BJ92" s="524">
        <f t="shared" si="63"/>
        <v>0</v>
      </c>
      <c r="BK92" s="524">
        <f t="shared" si="63"/>
        <v>0</v>
      </c>
      <c r="BL92" s="524">
        <f t="shared" si="63"/>
        <v>0</v>
      </c>
      <c r="BM92" s="524">
        <f t="shared" si="63"/>
        <v>0</v>
      </c>
      <c r="BN92" s="524">
        <f t="shared" si="63"/>
        <v>0</v>
      </c>
      <c r="BO92" s="524">
        <f t="shared" si="63"/>
        <v>0</v>
      </c>
      <c r="BP92" s="524">
        <f t="shared" si="63"/>
        <v>0</v>
      </c>
      <c r="BQ92" s="524">
        <f t="shared" si="63"/>
        <v>0</v>
      </c>
      <c r="BR92" s="524">
        <f t="shared" si="63"/>
        <v>0</v>
      </c>
      <c r="BS92" s="524">
        <f t="shared" si="64"/>
        <v>0</v>
      </c>
      <c r="BT92" s="524">
        <f t="shared" si="64"/>
        <v>0</v>
      </c>
      <c r="BU92" s="524">
        <f t="shared" si="64"/>
        <v>0</v>
      </c>
      <c r="BV92" s="524">
        <f t="shared" si="64"/>
        <v>0</v>
      </c>
      <c r="BW92" s="524">
        <f t="shared" si="64"/>
        <v>0</v>
      </c>
      <c r="BX92" s="524">
        <f t="shared" si="64"/>
        <v>0</v>
      </c>
      <c r="BY92" s="524">
        <f t="shared" si="64"/>
        <v>0</v>
      </c>
      <c r="BZ92" s="524">
        <f t="shared" si="64"/>
        <v>0</v>
      </c>
    </row>
    <row r="93" spans="2:78" ht="21" hidden="1" customHeight="1" outlineLevel="3">
      <c r="B93" s="367"/>
      <c r="C93" s="370"/>
      <c r="D93" s="374">
        <f t="shared" si="65"/>
        <v>45169</v>
      </c>
      <c r="E93" s="373" cm="1">
        <f t="array" ref="E93">IF($D93&lt;=LatestMonthOfActuals,0,INDEX($AE$27:$BZ$27,0,MATCH($D93,$AE$8:$BZ$8,0)))</f>
        <v>0</v>
      </c>
      <c r="F93" s="359"/>
      <c r="G93" s="408">
        <f t="shared" si="58"/>
        <v>0</v>
      </c>
      <c r="H93" s="408">
        <f t="shared" si="58"/>
        <v>0</v>
      </c>
      <c r="I93" s="408">
        <f t="shared" si="58"/>
        <v>0</v>
      </c>
      <c r="J93" s="408">
        <f t="shared" si="58"/>
        <v>0</v>
      </c>
      <c r="K93" s="408"/>
      <c r="L93" s="408"/>
      <c r="M93" s="408">
        <f t="shared" si="59"/>
        <v>0</v>
      </c>
      <c r="N93" s="408">
        <f t="shared" si="59"/>
        <v>0</v>
      </c>
      <c r="O93" s="408">
        <f t="shared" si="59"/>
        <v>0</v>
      </c>
      <c r="P93" s="408">
        <f t="shared" si="59"/>
        <v>0</v>
      </c>
      <c r="Q93" s="408">
        <f t="shared" si="59"/>
        <v>0</v>
      </c>
      <c r="R93" s="408">
        <f t="shared" si="59"/>
        <v>0</v>
      </c>
      <c r="S93" s="408">
        <f t="shared" si="59"/>
        <v>0</v>
      </c>
      <c r="T93" s="408">
        <f t="shared" si="59"/>
        <v>0</v>
      </c>
      <c r="U93" s="408">
        <f t="shared" si="59"/>
        <v>0</v>
      </c>
      <c r="V93" s="408">
        <f t="shared" si="59"/>
        <v>0</v>
      </c>
      <c r="W93" s="408">
        <f t="shared" si="59"/>
        <v>0</v>
      </c>
      <c r="X93" s="408">
        <f t="shared" si="59"/>
        <v>0</v>
      </c>
      <c r="Y93" s="408">
        <f t="shared" si="59"/>
        <v>0</v>
      </c>
      <c r="Z93" s="408">
        <f t="shared" si="59"/>
        <v>0</v>
      </c>
      <c r="AA93" s="408">
        <f t="shared" si="59"/>
        <v>0</v>
      </c>
      <c r="AB93" s="408">
        <f t="shared" si="59"/>
        <v>0</v>
      </c>
      <c r="AC93" s="524"/>
      <c r="AD93" s="359"/>
      <c r="AE93" s="524">
        <f t="shared" si="60"/>
        <v>0</v>
      </c>
      <c r="AF93" s="524">
        <f t="shared" si="60"/>
        <v>0</v>
      </c>
      <c r="AG93" s="524">
        <f t="shared" si="60"/>
        <v>0</v>
      </c>
      <c r="AH93" s="524">
        <f t="shared" si="60"/>
        <v>0</v>
      </c>
      <c r="AI93" s="524">
        <f t="shared" si="60"/>
        <v>0</v>
      </c>
      <c r="AJ93" s="524">
        <f t="shared" si="60"/>
        <v>0</v>
      </c>
      <c r="AK93" s="524">
        <f t="shared" si="60"/>
        <v>0</v>
      </c>
      <c r="AL93" s="524">
        <f t="shared" si="60"/>
        <v>0</v>
      </c>
      <c r="AM93" s="524">
        <f t="shared" si="60"/>
        <v>0</v>
      </c>
      <c r="AN93" s="524">
        <f t="shared" si="60"/>
        <v>0</v>
      </c>
      <c r="AO93" s="524">
        <f t="shared" si="61"/>
        <v>0</v>
      </c>
      <c r="AP93" s="524">
        <f t="shared" si="61"/>
        <v>0</v>
      </c>
      <c r="AQ93" s="524">
        <f t="shared" si="61"/>
        <v>0</v>
      </c>
      <c r="AR93" s="524">
        <f t="shared" si="61"/>
        <v>0</v>
      </c>
      <c r="AS93" s="524">
        <f t="shared" si="61"/>
        <v>0</v>
      </c>
      <c r="AT93" s="524">
        <f t="shared" si="61"/>
        <v>0</v>
      </c>
      <c r="AU93" s="524">
        <f t="shared" si="61"/>
        <v>0</v>
      </c>
      <c r="AV93" s="524">
        <f t="shared" si="61"/>
        <v>0</v>
      </c>
      <c r="AW93" s="524">
        <f t="shared" si="61"/>
        <v>0</v>
      </c>
      <c r="AX93" s="524">
        <f t="shared" si="61"/>
        <v>0</v>
      </c>
      <c r="AY93" s="524">
        <f t="shared" si="62"/>
        <v>0</v>
      </c>
      <c r="AZ93" s="524">
        <f t="shared" si="62"/>
        <v>0</v>
      </c>
      <c r="BA93" s="524">
        <f t="shared" si="62"/>
        <v>0</v>
      </c>
      <c r="BB93" s="524">
        <f t="shared" si="62"/>
        <v>0</v>
      </c>
      <c r="BC93" s="524">
        <f t="shared" si="62"/>
        <v>0</v>
      </c>
      <c r="BD93" s="524">
        <f t="shared" si="62"/>
        <v>0</v>
      </c>
      <c r="BE93" s="524">
        <f t="shared" si="62"/>
        <v>0</v>
      </c>
      <c r="BF93" s="524">
        <f t="shared" si="62"/>
        <v>0</v>
      </c>
      <c r="BG93" s="524">
        <f t="shared" si="62"/>
        <v>0</v>
      </c>
      <c r="BH93" s="524">
        <f t="shared" si="62"/>
        <v>0</v>
      </c>
      <c r="BI93" s="524">
        <f t="shared" si="63"/>
        <v>0</v>
      </c>
      <c r="BJ93" s="524">
        <f t="shared" si="63"/>
        <v>0</v>
      </c>
      <c r="BK93" s="524">
        <f t="shared" si="63"/>
        <v>0</v>
      </c>
      <c r="BL93" s="524">
        <f t="shared" si="63"/>
        <v>0</v>
      </c>
      <c r="BM93" s="524">
        <f t="shared" si="63"/>
        <v>0</v>
      </c>
      <c r="BN93" s="524">
        <f t="shared" si="63"/>
        <v>0</v>
      </c>
      <c r="BO93" s="524">
        <f t="shared" si="63"/>
        <v>0</v>
      </c>
      <c r="BP93" s="524">
        <f t="shared" si="63"/>
        <v>0</v>
      </c>
      <c r="BQ93" s="524">
        <f t="shared" si="63"/>
        <v>0</v>
      </c>
      <c r="BR93" s="524">
        <f t="shared" si="63"/>
        <v>0</v>
      </c>
      <c r="BS93" s="524">
        <f t="shared" si="64"/>
        <v>0</v>
      </c>
      <c r="BT93" s="524">
        <f t="shared" si="64"/>
        <v>0</v>
      </c>
      <c r="BU93" s="524">
        <f t="shared" si="64"/>
        <v>0</v>
      </c>
      <c r="BV93" s="524">
        <f t="shared" si="64"/>
        <v>0</v>
      </c>
      <c r="BW93" s="524">
        <f t="shared" si="64"/>
        <v>0</v>
      </c>
      <c r="BX93" s="524">
        <f t="shared" si="64"/>
        <v>0</v>
      </c>
      <c r="BY93" s="524">
        <f t="shared" si="64"/>
        <v>0</v>
      </c>
      <c r="BZ93" s="524">
        <f t="shared" si="64"/>
        <v>0</v>
      </c>
    </row>
    <row r="94" spans="2:78" ht="21" hidden="1" customHeight="1" outlineLevel="3">
      <c r="B94" s="367"/>
      <c r="C94" s="370"/>
      <c r="D94" s="374">
        <f t="shared" si="65"/>
        <v>45199</v>
      </c>
      <c r="E94" s="373" cm="1">
        <f t="array" ref="E94">IF($D94&lt;=LatestMonthOfActuals,0,INDEX($AE$27:$BZ$27,0,MATCH($D94,$AE$8:$BZ$8,0)))</f>
        <v>0</v>
      </c>
      <c r="F94" s="359"/>
      <c r="G94" s="408">
        <f t="shared" si="58"/>
        <v>0</v>
      </c>
      <c r="H94" s="408">
        <f t="shared" si="58"/>
        <v>0</v>
      </c>
      <c r="I94" s="408">
        <f t="shared" si="58"/>
        <v>0</v>
      </c>
      <c r="J94" s="408">
        <f t="shared" si="58"/>
        <v>0</v>
      </c>
      <c r="K94" s="408"/>
      <c r="L94" s="408"/>
      <c r="M94" s="408">
        <f t="shared" si="59"/>
        <v>0</v>
      </c>
      <c r="N94" s="408">
        <f t="shared" si="59"/>
        <v>0</v>
      </c>
      <c r="O94" s="408">
        <f t="shared" si="59"/>
        <v>0</v>
      </c>
      <c r="P94" s="408">
        <f t="shared" si="59"/>
        <v>0</v>
      </c>
      <c r="Q94" s="408">
        <f t="shared" si="59"/>
        <v>0</v>
      </c>
      <c r="R94" s="408">
        <f t="shared" si="59"/>
        <v>0</v>
      </c>
      <c r="S94" s="408">
        <f t="shared" si="59"/>
        <v>0</v>
      </c>
      <c r="T94" s="408">
        <f t="shared" si="59"/>
        <v>0</v>
      </c>
      <c r="U94" s="408">
        <f t="shared" si="59"/>
        <v>0</v>
      </c>
      <c r="V94" s="408">
        <f t="shared" si="59"/>
        <v>0</v>
      </c>
      <c r="W94" s="408">
        <f t="shared" si="59"/>
        <v>0</v>
      </c>
      <c r="X94" s="408">
        <f t="shared" si="59"/>
        <v>0</v>
      </c>
      <c r="Y94" s="408">
        <f t="shared" si="59"/>
        <v>0</v>
      </c>
      <c r="Z94" s="408">
        <f t="shared" si="59"/>
        <v>0</v>
      </c>
      <c r="AA94" s="408">
        <f t="shared" si="59"/>
        <v>0</v>
      </c>
      <c r="AB94" s="408">
        <f t="shared" si="59"/>
        <v>0</v>
      </c>
      <c r="AC94" s="524"/>
      <c r="AD94" s="359"/>
      <c r="AE94" s="524">
        <f t="shared" si="60"/>
        <v>0</v>
      </c>
      <c r="AF94" s="524">
        <f t="shared" si="60"/>
        <v>0</v>
      </c>
      <c r="AG94" s="524">
        <f t="shared" si="60"/>
        <v>0</v>
      </c>
      <c r="AH94" s="524">
        <f t="shared" si="60"/>
        <v>0</v>
      </c>
      <c r="AI94" s="524">
        <f t="shared" si="60"/>
        <v>0</v>
      </c>
      <c r="AJ94" s="524">
        <f t="shared" si="60"/>
        <v>0</v>
      </c>
      <c r="AK94" s="524">
        <f t="shared" si="60"/>
        <v>0</v>
      </c>
      <c r="AL94" s="524">
        <f t="shared" si="60"/>
        <v>0</v>
      </c>
      <c r="AM94" s="524">
        <f t="shared" si="60"/>
        <v>0</v>
      </c>
      <c r="AN94" s="524">
        <f t="shared" si="60"/>
        <v>0</v>
      </c>
      <c r="AO94" s="524">
        <f t="shared" si="61"/>
        <v>0</v>
      </c>
      <c r="AP94" s="524">
        <f t="shared" si="61"/>
        <v>0</v>
      </c>
      <c r="AQ94" s="524">
        <f t="shared" si="61"/>
        <v>0</v>
      </c>
      <c r="AR94" s="524">
        <f t="shared" si="61"/>
        <v>0</v>
      </c>
      <c r="AS94" s="524">
        <f t="shared" si="61"/>
        <v>0</v>
      </c>
      <c r="AT94" s="524">
        <f t="shared" si="61"/>
        <v>0</v>
      </c>
      <c r="AU94" s="524">
        <f t="shared" si="61"/>
        <v>0</v>
      </c>
      <c r="AV94" s="524">
        <f t="shared" si="61"/>
        <v>0</v>
      </c>
      <c r="AW94" s="524">
        <f t="shared" si="61"/>
        <v>0</v>
      </c>
      <c r="AX94" s="524">
        <f t="shared" si="61"/>
        <v>0</v>
      </c>
      <c r="AY94" s="524">
        <f t="shared" si="62"/>
        <v>0</v>
      </c>
      <c r="AZ94" s="524">
        <f t="shared" si="62"/>
        <v>0</v>
      </c>
      <c r="BA94" s="524">
        <f t="shared" si="62"/>
        <v>0</v>
      </c>
      <c r="BB94" s="524">
        <f t="shared" si="62"/>
        <v>0</v>
      </c>
      <c r="BC94" s="524">
        <f t="shared" si="62"/>
        <v>0</v>
      </c>
      <c r="BD94" s="524">
        <f t="shared" si="62"/>
        <v>0</v>
      </c>
      <c r="BE94" s="524">
        <f t="shared" si="62"/>
        <v>0</v>
      </c>
      <c r="BF94" s="524">
        <f t="shared" si="62"/>
        <v>0</v>
      </c>
      <c r="BG94" s="524">
        <f t="shared" si="62"/>
        <v>0</v>
      </c>
      <c r="BH94" s="524">
        <f t="shared" si="62"/>
        <v>0</v>
      </c>
      <c r="BI94" s="524">
        <f t="shared" si="63"/>
        <v>0</v>
      </c>
      <c r="BJ94" s="524">
        <f t="shared" si="63"/>
        <v>0</v>
      </c>
      <c r="BK94" s="524">
        <f t="shared" si="63"/>
        <v>0</v>
      </c>
      <c r="BL94" s="524">
        <f t="shared" si="63"/>
        <v>0</v>
      </c>
      <c r="BM94" s="524">
        <f t="shared" si="63"/>
        <v>0</v>
      </c>
      <c r="BN94" s="524">
        <f t="shared" si="63"/>
        <v>0</v>
      </c>
      <c r="BO94" s="524">
        <f t="shared" si="63"/>
        <v>0</v>
      </c>
      <c r="BP94" s="524">
        <f t="shared" si="63"/>
        <v>0</v>
      </c>
      <c r="BQ94" s="524">
        <f t="shared" si="63"/>
        <v>0</v>
      </c>
      <c r="BR94" s="524">
        <f t="shared" si="63"/>
        <v>0</v>
      </c>
      <c r="BS94" s="524">
        <f t="shared" si="64"/>
        <v>0</v>
      </c>
      <c r="BT94" s="524">
        <f t="shared" si="64"/>
        <v>0</v>
      </c>
      <c r="BU94" s="524">
        <f t="shared" si="64"/>
        <v>0</v>
      </c>
      <c r="BV94" s="524">
        <f t="shared" si="64"/>
        <v>0</v>
      </c>
      <c r="BW94" s="524">
        <f t="shared" si="64"/>
        <v>0</v>
      </c>
      <c r="BX94" s="524">
        <f t="shared" si="64"/>
        <v>0</v>
      </c>
      <c r="BY94" s="524">
        <f t="shared" si="64"/>
        <v>0</v>
      </c>
      <c r="BZ94" s="524">
        <f t="shared" si="64"/>
        <v>0</v>
      </c>
    </row>
    <row r="95" spans="2:78" ht="21" hidden="1" customHeight="1" outlineLevel="3">
      <c r="B95" s="367"/>
      <c r="C95" s="370"/>
      <c r="D95" s="374">
        <f t="shared" si="65"/>
        <v>45230</v>
      </c>
      <c r="E95" s="373" cm="1">
        <f t="array" ref="E95">IF($D95&lt;=LatestMonthOfActuals,0,INDEX($AE$27:$BZ$27,0,MATCH($D95,$AE$8:$BZ$8,0)))</f>
        <v>0</v>
      </c>
      <c r="F95" s="359"/>
      <c r="G95" s="408">
        <f t="shared" si="58"/>
        <v>0</v>
      </c>
      <c r="H95" s="408">
        <f t="shared" si="58"/>
        <v>0</v>
      </c>
      <c r="I95" s="408">
        <f t="shared" si="58"/>
        <v>0</v>
      </c>
      <c r="J95" s="408">
        <f t="shared" si="58"/>
        <v>0</v>
      </c>
      <c r="K95" s="408"/>
      <c r="L95" s="408"/>
      <c r="M95" s="408">
        <f t="shared" si="59"/>
        <v>0</v>
      </c>
      <c r="N95" s="408">
        <f t="shared" si="59"/>
        <v>0</v>
      </c>
      <c r="O95" s="408">
        <f t="shared" si="59"/>
        <v>0</v>
      </c>
      <c r="P95" s="408">
        <f t="shared" si="59"/>
        <v>0</v>
      </c>
      <c r="Q95" s="408">
        <f t="shared" si="59"/>
        <v>0</v>
      </c>
      <c r="R95" s="408">
        <f t="shared" si="59"/>
        <v>0</v>
      </c>
      <c r="S95" s="408">
        <f t="shared" si="59"/>
        <v>0</v>
      </c>
      <c r="T95" s="408">
        <f t="shared" si="59"/>
        <v>0</v>
      </c>
      <c r="U95" s="408">
        <f t="shared" si="59"/>
        <v>0</v>
      </c>
      <c r="V95" s="408">
        <f t="shared" si="59"/>
        <v>0</v>
      </c>
      <c r="W95" s="408">
        <f t="shared" si="59"/>
        <v>0</v>
      </c>
      <c r="X95" s="408">
        <f t="shared" si="59"/>
        <v>0</v>
      </c>
      <c r="Y95" s="408">
        <f t="shared" si="59"/>
        <v>0</v>
      </c>
      <c r="Z95" s="408">
        <f t="shared" si="59"/>
        <v>0</v>
      </c>
      <c r="AA95" s="408">
        <f t="shared" si="59"/>
        <v>0</v>
      </c>
      <c r="AB95" s="408">
        <f t="shared" si="59"/>
        <v>0</v>
      </c>
      <c r="AC95" s="524"/>
      <c r="AD95" s="359"/>
      <c r="AE95" s="524">
        <f t="shared" si="60"/>
        <v>0</v>
      </c>
      <c r="AF95" s="524">
        <f t="shared" si="60"/>
        <v>0</v>
      </c>
      <c r="AG95" s="524">
        <f t="shared" si="60"/>
        <v>0</v>
      </c>
      <c r="AH95" s="524">
        <f t="shared" si="60"/>
        <v>0</v>
      </c>
      <c r="AI95" s="524">
        <f t="shared" si="60"/>
        <v>0</v>
      </c>
      <c r="AJ95" s="524">
        <f t="shared" si="60"/>
        <v>0</v>
      </c>
      <c r="AK95" s="524">
        <f t="shared" si="60"/>
        <v>0</v>
      </c>
      <c r="AL95" s="524">
        <f t="shared" si="60"/>
        <v>0</v>
      </c>
      <c r="AM95" s="524">
        <f t="shared" si="60"/>
        <v>0</v>
      </c>
      <c r="AN95" s="524">
        <f t="shared" si="60"/>
        <v>0</v>
      </c>
      <c r="AO95" s="524">
        <f t="shared" si="61"/>
        <v>0</v>
      </c>
      <c r="AP95" s="524">
        <f t="shared" si="61"/>
        <v>0</v>
      </c>
      <c r="AQ95" s="524">
        <f t="shared" si="61"/>
        <v>0</v>
      </c>
      <c r="AR95" s="524">
        <f t="shared" si="61"/>
        <v>0</v>
      </c>
      <c r="AS95" s="524">
        <f t="shared" si="61"/>
        <v>0</v>
      </c>
      <c r="AT95" s="524">
        <f t="shared" si="61"/>
        <v>0</v>
      </c>
      <c r="AU95" s="524">
        <f t="shared" si="61"/>
        <v>0</v>
      </c>
      <c r="AV95" s="524">
        <f t="shared" si="61"/>
        <v>0</v>
      </c>
      <c r="AW95" s="524">
        <f t="shared" si="61"/>
        <v>0</v>
      </c>
      <c r="AX95" s="524">
        <f t="shared" si="61"/>
        <v>0</v>
      </c>
      <c r="AY95" s="524">
        <f t="shared" si="62"/>
        <v>0</v>
      </c>
      <c r="AZ95" s="524">
        <f t="shared" si="62"/>
        <v>0</v>
      </c>
      <c r="BA95" s="524">
        <f t="shared" si="62"/>
        <v>0</v>
      </c>
      <c r="BB95" s="524">
        <f t="shared" si="62"/>
        <v>0</v>
      </c>
      <c r="BC95" s="524">
        <f t="shared" si="62"/>
        <v>0</v>
      </c>
      <c r="BD95" s="524">
        <f t="shared" si="62"/>
        <v>0</v>
      </c>
      <c r="BE95" s="524">
        <f t="shared" si="62"/>
        <v>0</v>
      </c>
      <c r="BF95" s="524">
        <f t="shared" si="62"/>
        <v>0</v>
      </c>
      <c r="BG95" s="524">
        <f t="shared" si="62"/>
        <v>0</v>
      </c>
      <c r="BH95" s="524">
        <f t="shared" si="62"/>
        <v>0</v>
      </c>
      <c r="BI95" s="524">
        <f t="shared" si="63"/>
        <v>0</v>
      </c>
      <c r="BJ95" s="524">
        <f t="shared" si="63"/>
        <v>0</v>
      </c>
      <c r="BK95" s="524">
        <f t="shared" si="63"/>
        <v>0</v>
      </c>
      <c r="BL95" s="524">
        <f t="shared" si="63"/>
        <v>0</v>
      </c>
      <c r="BM95" s="524">
        <f t="shared" si="63"/>
        <v>0</v>
      </c>
      <c r="BN95" s="524">
        <f t="shared" si="63"/>
        <v>0</v>
      </c>
      <c r="BO95" s="524">
        <f t="shared" si="63"/>
        <v>0</v>
      </c>
      <c r="BP95" s="524">
        <f t="shared" si="63"/>
        <v>0</v>
      </c>
      <c r="BQ95" s="524">
        <f t="shared" si="63"/>
        <v>0</v>
      </c>
      <c r="BR95" s="524">
        <f t="shared" si="63"/>
        <v>0</v>
      </c>
      <c r="BS95" s="524">
        <f t="shared" si="64"/>
        <v>0</v>
      </c>
      <c r="BT95" s="524">
        <f t="shared" si="64"/>
        <v>0</v>
      </c>
      <c r="BU95" s="524">
        <f t="shared" si="64"/>
        <v>0</v>
      </c>
      <c r="BV95" s="524">
        <f t="shared" si="64"/>
        <v>0</v>
      </c>
      <c r="BW95" s="524">
        <f t="shared" si="64"/>
        <v>0</v>
      </c>
      <c r="BX95" s="524">
        <f t="shared" si="64"/>
        <v>0</v>
      </c>
      <c r="BY95" s="524">
        <f t="shared" si="64"/>
        <v>0</v>
      </c>
      <c r="BZ95" s="524">
        <f t="shared" si="64"/>
        <v>0</v>
      </c>
    </row>
    <row r="96" spans="2:78" ht="21" hidden="1" customHeight="1" outlineLevel="3">
      <c r="B96" s="367"/>
      <c r="C96" s="370"/>
      <c r="D96" s="374">
        <f t="shared" si="65"/>
        <v>45260</v>
      </c>
      <c r="E96" s="373" cm="1">
        <f t="array" ref="E96">IF($D96&lt;=LatestMonthOfActuals,0,INDEX($AE$27:$BZ$27,0,MATCH($D96,$AE$8:$BZ$8,0)))</f>
        <v>0</v>
      </c>
      <c r="F96" s="359"/>
      <c r="G96" s="408">
        <f t="shared" si="58"/>
        <v>0</v>
      </c>
      <c r="H96" s="408">
        <f t="shared" si="58"/>
        <v>0</v>
      </c>
      <c r="I96" s="408">
        <f t="shared" si="58"/>
        <v>0</v>
      </c>
      <c r="J96" s="408">
        <f t="shared" si="58"/>
        <v>0</v>
      </c>
      <c r="K96" s="408"/>
      <c r="L96" s="408"/>
      <c r="M96" s="408">
        <f t="shared" si="59"/>
        <v>0</v>
      </c>
      <c r="N96" s="408">
        <f t="shared" si="59"/>
        <v>0</v>
      </c>
      <c r="O96" s="408">
        <f t="shared" si="59"/>
        <v>0</v>
      </c>
      <c r="P96" s="408">
        <f t="shared" si="59"/>
        <v>0</v>
      </c>
      <c r="Q96" s="408">
        <f t="shared" si="59"/>
        <v>0</v>
      </c>
      <c r="R96" s="408">
        <f t="shared" si="59"/>
        <v>0</v>
      </c>
      <c r="S96" s="408">
        <f t="shared" si="59"/>
        <v>0</v>
      </c>
      <c r="T96" s="408">
        <f t="shared" si="59"/>
        <v>0</v>
      </c>
      <c r="U96" s="408">
        <f t="shared" si="59"/>
        <v>0</v>
      </c>
      <c r="V96" s="408">
        <f t="shared" si="59"/>
        <v>0</v>
      </c>
      <c r="W96" s="408">
        <f t="shared" si="59"/>
        <v>0</v>
      </c>
      <c r="X96" s="408">
        <f t="shared" si="59"/>
        <v>0</v>
      </c>
      <c r="Y96" s="408">
        <f t="shared" si="59"/>
        <v>0</v>
      </c>
      <c r="Z96" s="408">
        <f t="shared" si="59"/>
        <v>0</v>
      </c>
      <c r="AA96" s="408">
        <f t="shared" si="59"/>
        <v>0</v>
      </c>
      <c r="AB96" s="408">
        <f t="shared" si="59"/>
        <v>0</v>
      </c>
      <c r="AC96" s="524"/>
      <c r="AD96" s="359"/>
      <c r="AE96" s="524">
        <f t="shared" ref="AE96:AN105" si="66">IFERROR(IF(AE$8&gt;=$D96,$E96*(INDEX($E$18:$E$22,(MATCH(MATCH(AE$8,$D$86:$D$133,0)-MATCH($D96,$D$86:$D$133,0),$D$18:$D$22,0)))),0),0)</f>
        <v>0</v>
      </c>
      <c r="AF96" s="524">
        <f t="shared" si="66"/>
        <v>0</v>
      </c>
      <c r="AG96" s="524">
        <f t="shared" si="66"/>
        <v>0</v>
      </c>
      <c r="AH96" s="524">
        <f t="shared" si="66"/>
        <v>0</v>
      </c>
      <c r="AI96" s="524">
        <f t="shared" si="66"/>
        <v>0</v>
      </c>
      <c r="AJ96" s="524">
        <f t="shared" si="66"/>
        <v>0</v>
      </c>
      <c r="AK96" s="524">
        <f t="shared" si="66"/>
        <v>0</v>
      </c>
      <c r="AL96" s="524">
        <f t="shared" si="66"/>
        <v>0</v>
      </c>
      <c r="AM96" s="524">
        <f t="shared" si="66"/>
        <v>0</v>
      </c>
      <c r="AN96" s="524">
        <f t="shared" si="66"/>
        <v>0</v>
      </c>
      <c r="AO96" s="524">
        <f t="shared" ref="AO96:AX105" si="67">IFERROR(IF(AO$8&gt;=$D96,$E96*(INDEX($E$18:$E$22,(MATCH(MATCH(AO$8,$D$86:$D$133,0)-MATCH($D96,$D$86:$D$133,0),$D$18:$D$22,0)))),0),0)</f>
        <v>0</v>
      </c>
      <c r="AP96" s="524">
        <f t="shared" si="67"/>
        <v>0</v>
      </c>
      <c r="AQ96" s="524">
        <f t="shared" si="67"/>
        <v>0</v>
      </c>
      <c r="AR96" s="524">
        <f t="shared" si="67"/>
        <v>0</v>
      </c>
      <c r="AS96" s="524">
        <f t="shared" si="67"/>
        <v>0</v>
      </c>
      <c r="AT96" s="524">
        <f t="shared" si="67"/>
        <v>0</v>
      </c>
      <c r="AU96" s="524">
        <f t="shared" si="67"/>
        <v>0</v>
      </c>
      <c r="AV96" s="524">
        <f t="shared" si="67"/>
        <v>0</v>
      </c>
      <c r="AW96" s="524">
        <f t="shared" si="67"/>
        <v>0</v>
      </c>
      <c r="AX96" s="524">
        <f t="shared" si="67"/>
        <v>0</v>
      </c>
      <c r="AY96" s="524">
        <f t="shared" ref="AY96:BH105" si="68">IFERROR(IF(AY$8&gt;=$D96,$E96*(INDEX($E$18:$E$22,(MATCH(MATCH(AY$8,$D$86:$D$133,0)-MATCH($D96,$D$86:$D$133,0),$D$18:$D$22,0)))),0),0)</f>
        <v>0</v>
      </c>
      <c r="AZ96" s="524">
        <f t="shared" si="68"/>
        <v>0</v>
      </c>
      <c r="BA96" s="524">
        <f t="shared" si="68"/>
        <v>0</v>
      </c>
      <c r="BB96" s="524">
        <f t="shared" si="68"/>
        <v>0</v>
      </c>
      <c r="BC96" s="524">
        <f t="shared" si="68"/>
        <v>0</v>
      </c>
      <c r="BD96" s="524">
        <f t="shared" si="68"/>
        <v>0</v>
      </c>
      <c r="BE96" s="524">
        <f t="shared" si="68"/>
        <v>0</v>
      </c>
      <c r="BF96" s="524">
        <f t="shared" si="68"/>
        <v>0</v>
      </c>
      <c r="BG96" s="524">
        <f t="shared" si="68"/>
        <v>0</v>
      </c>
      <c r="BH96" s="524">
        <f t="shared" si="68"/>
        <v>0</v>
      </c>
      <c r="BI96" s="524">
        <f t="shared" ref="BI96:BR105" si="69">IFERROR(IF(BI$8&gt;=$D96,$E96*(INDEX($E$18:$E$22,(MATCH(MATCH(BI$8,$D$86:$D$133,0)-MATCH($D96,$D$86:$D$133,0),$D$18:$D$22,0)))),0),0)</f>
        <v>0</v>
      </c>
      <c r="BJ96" s="524">
        <f t="shared" si="69"/>
        <v>0</v>
      </c>
      <c r="BK96" s="524">
        <f t="shared" si="69"/>
        <v>0</v>
      </c>
      <c r="BL96" s="524">
        <f t="shared" si="69"/>
        <v>0</v>
      </c>
      <c r="BM96" s="524">
        <f t="shared" si="69"/>
        <v>0</v>
      </c>
      <c r="BN96" s="524">
        <f t="shared" si="69"/>
        <v>0</v>
      </c>
      <c r="BO96" s="524">
        <f t="shared" si="69"/>
        <v>0</v>
      </c>
      <c r="BP96" s="524">
        <f t="shared" si="69"/>
        <v>0</v>
      </c>
      <c r="BQ96" s="524">
        <f t="shared" si="69"/>
        <v>0</v>
      </c>
      <c r="BR96" s="524">
        <f t="shared" si="69"/>
        <v>0</v>
      </c>
      <c r="BS96" s="524">
        <f t="shared" ref="BS96:BZ105" si="70">IFERROR(IF(BS$8&gt;=$D96,$E96*(INDEX($E$18:$E$22,(MATCH(MATCH(BS$8,$D$86:$D$133,0)-MATCH($D96,$D$86:$D$133,0),$D$18:$D$22,0)))),0),0)</f>
        <v>0</v>
      </c>
      <c r="BT96" s="524">
        <f t="shared" si="70"/>
        <v>0</v>
      </c>
      <c r="BU96" s="524">
        <f t="shared" si="70"/>
        <v>0</v>
      </c>
      <c r="BV96" s="524">
        <f t="shared" si="70"/>
        <v>0</v>
      </c>
      <c r="BW96" s="524">
        <f t="shared" si="70"/>
        <v>0</v>
      </c>
      <c r="BX96" s="524">
        <f t="shared" si="70"/>
        <v>0</v>
      </c>
      <c r="BY96" s="524">
        <f t="shared" si="70"/>
        <v>0</v>
      </c>
      <c r="BZ96" s="524">
        <f t="shared" si="70"/>
        <v>0</v>
      </c>
    </row>
    <row r="97" spans="2:78" ht="21" hidden="1" customHeight="1" outlineLevel="3">
      <c r="B97" s="367"/>
      <c r="C97" s="370"/>
      <c r="D97" s="374">
        <f t="shared" si="65"/>
        <v>45291</v>
      </c>
      <c r="E97" s="373" cm="1">
        <f t="array" ref="E97">IF($D97&lt;=LatestMonthOfActuals,0,INDEX($AE$27:$BZ$27,0,MATCH($D97,$AE$8:$BZ$8,0)))</f>
        <v>0</v>
      </c>
      <c r="F97" s="359"/>
      <c r="G97" s="408">
        <f t="shared" si="58"/>
        <v>0</v>
      </c>
      <c r="H97" s="408">
        <f t="shared" si="58"/>
        <v>0</v>
      </c>
      <c r="I97" s="408">
        <f t="shared" si="58"/>
        <v>0</v>
      </c>
      <c r="J97" s="408">
        <f t="shared" si="58"/>
        <v>0</v>
      </c>
      <c r="K97" s="408"/>
      <c r="L97" s="408"/>
      <c r="M97" s="408">
        <f t="shared" si="59"/>
        <v>0</v>
      </c>
      <c r="N97" s="408">
        <f t="shared" si="59"/>
        <v>0</v>
      </c>
      <c r="O97" s="408">
        <f t="shared" si="59"/>
        <v>0</v>
      </c>
      <c r="P97" s="408">
        <f t="shared" si="59"/>
        <v>0</v>
      </c>
      <c r="Q97" s="408">
        <f t="shared" si="59"/>
        <v>0</v>
      </c>
      <c r="R97" s="408">
        <f t="shared" si="59"/>
        <v>0</v>
      </c>
      <c r="S97" s="408">
        <f t="shared" si="59"/>
        <v>0</v>
      </c>
      <c r="T97" s="408">
        <f t="shared" si="59"/>
        <v>0</v>
      </c>
      <c r="U97" s="408">
        <f t="shared" si="59"/>
        <v>0</v>
      </c>
      <c r="V97" s="408">
        <f t="shared" si="59"/>
        <v>0</v>
      </c>
      <c r="W97" s="408">
        <f t="shared" si="59"/>
        <v>0</v>
      </c>
      <c r="X97" s="408">
        <f t="shared" si="59"/>
        <v>0</v>
      </c>
      <c r="Y97" s="408">
        <f t="shared" si="59"/>
        <v>0</v>
      </c>
      <c r="Z97" s="408">
        <f t="shared" si="59"/>
        <v>0</v>
      </c>
      <c r="AA97" s="408">
        <f t="shared" si="59"/>
        <v>0</v>
      </c>
      <c r="AB97" s="408">
        <f t="shared" si="59"/>
        <v>0</v>
      </c>
      <c r="AC97" s="524"/>
      <c r="AD97" s="359"/>
      <c r="AE97" s="524">
        <f t="shared" si="66"/>
        <v>0</v>
      </c>
      <c r="AF97" s="524">
        <f t="shared" si="66"/>
        <v>0</v>
      </c>
      <c r="AG97" s="524">
        <f t="shared" si="66"/>
        <v>0</v>
      </c>
      <c r="AH97" s="524">
        <f t="shared" si="66"/>
        <v>0</v>
      </c>
      <c r="AI97" s="524">
        <f t="shared" si="66"/>
        <v>0</v>
      </c>
      <c r="AJ97" s="524">
        <f t="shared" si="66"/>
        <v>0</v>
      </c>
      <c r="AK97" s="524">
        <f t="shared" si="66"/>
        <v>0</v>
      </c>
      <c r="AL97" s="524">
        <f t="shared" si="66"/>
        <v>0</v>
      </c>
      <c r="AM97" s="524">
        <f t="shared" si="66"/>
        <v>0</v>
      </c>
      <c r="AN97" s="524">
        <f t="shared" si="66"/>
        <v>0</v>
      </c>
      <c r="AO97" s="524">
        <f t="shared" si="67"/>
        <v>0</v>
      </c>
      <c r="AP97" s="524">
        <f t="shared" si="67"/>
        <v>0</v>
      </c>
      <c r="AQ97" s="524">
        <f t="shared" si="67"/>
        <v>0</v>
      </c>
      <c r="AR97" s="524">
        <f t="shared" si="67"/>
        <v>0</v>
      </c>
      <c r="AS97" s="524">
        <f t="shared" si="67"/>
        <v>0</v>
      </c>
      <c r="AT97" s="524">
        <f t="shared" si="67"/>
        <v>0</v>
      </c>
      <c r="AU97" s="524">
        <f t="shared" si="67"/>
        <v>0</v>
      </c>
      <c r="AV97" s="524">
        <f t="shared" si="67"/>
        <v>0</v>
      </c>
      <c r="AW97" s="524">
        <f t="shared" si="67"/>
        <v>0</v>
      </c>
      <c r="AX97" s="524">
        <f t="shared" si="67"/>
        <v>0</v>
      </c>
      <c r="AY97" s="524">
        <f t="shared" si="68"/>
        <v>0</v>
      </c>
      <c r="AZ97" s="524">
        <f t="shared" si="68"/>
        <v>0</v>
      </c>
      <c r="BA97" s="524">
        <f t="shared" si="68"/>
        <v>0</v>
      </c>
      <c r="BB97" s="524">
        <f t="shared" si="68"/>
        <v>0</v>
      </c>
      <c r="BC97" s="524">
        <f t="shared" si="68"/>
        <v>0</v>
      </c>
      <c r="BD97" s="524">
        <f t="shared" si="68"/>
        <v>0</v>
      </c>
      <c r="BE97" s="524">
        <f t="shared" si="68"/>
        <v>0</v>
      </c>
      <c r="BF97" s="524">
        <f t="shared" si="68"/>
        <v>0</v>
      </c>
      <c r="BG97" s="524">
        <f t="shared" si="68"/>
        <v>0</v>
      </c>
      <c r="BH97" s="524">
        <f t="shared" si="68"/>
        <v>0</v>
      </c>
      <c r="BI97" s="524">
        <f t="shared" si="69"/>
        <v>0</v>
      </c>
      <c r="BJ97" s="524">
        <f t="shared" si="69"/>
        <v>0</v>
      </c>
      <c r="BK97" s="524">
        <f t="shared" si="69"/>
        <v>0</v>
      </c>
      <c r="BL97" s="524">
        <f t="shared" si="69"/>
        <v>0</v>
      </c>
      <c r="BM97" s="524">
        <f t="shared" si="69"/>
        <v>0</v>
      </c>
      <c r="BN97" s="524">
        <f t="shared" si="69"/>
        <v>0</v>
      </c>
      <c r="BO97" s="524">
        <f t="shared" si="69"/>
        <v>0</v>
      </c>
      <c r="BP97" s="524">
        <f t="shared" si="69"/>
        <v>0</v>
      </c>
      <c r="BQ97" s="524">
        <f t="shared" si="69"/>
        <v>0</v>
      </c>
      <c r="BR97" s="524">
        <f t="shared" si="69"/>
        <v>0</v>
      </c>
      <c r="BS97" s="524">
        <f t="shared" si="70"/>
        <v>0</v>
      </c>
      <c r="BT97" s="524">
        <f t="shared" si="70"/>
        <v>0</v>
      </c>
      <c r="BU97" s="524">
        <f t="shared" si="70"/>
        <v>0</v>
      </c>
      <c r="BV97" s="524">
        <f t="shared" si="70"/>
        <v>0</v>
      </c>
      <c r="BW97" s="524">
        <f t="shared" si="70"/>
        <v>0</v>
      </c>
      <c r="BX97" s="524">
        <f t="shared" si="70"/>
        <v>0</v>
      </c>
      <c r="BY97" s="524">
        <f t="shared" si="70"/>
        <v>0</v>
      </c>
      <c r="BZ97" s="524">
        <f t="shared" si="70"/>
        <v>0</v>
      </c>
    </row>
    <row r="98" spans="2:78" ht="21" hidden="1" customHeight="1" outlineLevel="3">
      <c r="B98" s="367"/>
      <c r="C98" s="370"/>
      <c r="D98" s="374">
        <f t="shared" si="65"/>
        <v>45322</v>
      </c>
      <c r="E98" s="373" cm="1">
        <f t="array" ref="E98">IF($D98&lt;=LatestMonthOfActuals,0,INDEX($AE$27:$BZ$27,0,MATCH($D98,$AE$8:$BZ$8,0)))</f>
        <v>0</v>
      </c>
      <c r="F98" s="359"/>
      <c r="G98" s="408">
        <f t="shared" si="58"/>
        <v>0</v>
      </c>
      <c r="H98" s="408">
        <f t="shared" si="58"/>
        <v>0</v>
      </c>
      <c r="I98" s="408">
        <f t="shared" si="58"/>
        <v>0</v>
      </c>
      <c r="J98" s="408">
        <f t="shared" si="58"/>
        <v>0</v>
      </c>
      <c r="K98" s="408"/>
      <c r="L98" s="408"/>
      <c r="M98" s="408">
        <f t="shared" si="59"/>
        <v>0</v>
      </c>
      <c r="N98" s="408">
        <f t="shared" si="59"/>
        <v>0</v>
      </c>
      <c r="O98" s="408">
        <f t="shared" si="59"/>
        <v>0</v>
      </c>
      <c r="P98" s="408">
        <f t="shared" si="59"/>
        <v>0</v>
      </c>
      <c r="Q98" s="408">
        <f t="shared" si="59"/>
        <v>0</v>
      </c>
      <c r="R98" s="408">
        <f t="shared" si="59"/>
        <v>0</v>
      </c>
      <c r="S98" s="408">
        <f t="shared" si="59"/>
        <v>0</v>
      </c>
      <c r="T98" s="408">
        <f t="shared" si="59"/>
        <v>0</v>
      </c>
      <c r="U98" s="408">
        <f t="shared" si="59"/>
        <v>0</v>
      </c>
      <c r="V98" s="408">
        <f t="shared" si="59"/>
        <v>0</v>
      </c>
      <c r="W98" s="408">
        <f t="shared" si="59"/>
        <v>0</v>
      </c>
      <c r="X98" s="408">
        <f t="shared" si="59"/>
        <v>0</v>
      </c>
      <c r="Y98" s="408">
        <f t="shared" si="59"/>
        <v>0</v>
      </c>
      <c r="Z98" s="408">
        <f t="shared" si="59"/>
        <v>0</v>
      </c>
      <c r="AA98" s="408">
        <f t="shared" si="59"/>
        <v>0</v>
      </c>
      <c r="AB98" s="408">
        <f t="shared" si="59"/>
        <v>0</v>
      </c>
      <c r="AC98" s="524"/>
      <c r="AD98" s="359"/>
      <c r="AE98" s="524">
        <f t="shared" si="66"/>
        <v>0</v>
      </c>
      <c r="AF98" s="524">
        <f t="shared" si="66"/>
        <v>0</v>
      </c>
      <c r="AG98" s="524">
        <f t="shared" si="66"/>
        <v>0</v>
      </c>
      <c r="AH98" s="524">
        <f t="shared" si="66"/>
        <v>0</v>
      </c>
      <c r="AI98" s="524">
        <f t="shared" si="66"/>
        <v>0</v>
      </c>
      <c r="AJ98" s="524">
        <f t="shared" si="66"/>
        <v>0</v>
      </c>
      <c r="AK98" s="524">
        <f t="shared" si="66"/>
        <v>0</v>
      </c>
      <c r="AL98" s="524">
        <f t="shared" si="66"/>
        <v>0</v>
      </c>
      <c r="AM98" s="524">
        <f t="shared" si="66"/>
        <v>0</v>
      </c>
      <c r="AN98" s="524">
        <f t="shared" si="66"/>
        <v>0</v>
      </c>
      <c r="AO98" s="524">
        <f t="shared" si="67"/>
        <v>0</v>
      </c>
      <c r="AP98" s="524">
        <f t="shared" si="67"/>
        <v>0</v>
      </c>
      <c r="AQ98" s="524">
        <f t="shared" si="67"/>
        <v>0</v>
      </c>
      <c r="AR98" s="524">
        <f t="shared" si="67"/>
        <v>0</v>
      </c>
      <c r="AS98" s="524">
        <f t="shared" si="67"/>
        <v>0</v>
      </c>
      <c r="AT98" s="524">
        <f t="shared" si="67"/>
        <v>0</v>
      </c>
      <c r="AU98" s="524">
        <f t="shared" si="67"/>
        <v>0</v>
      </c>
      <c r="AV98" s="524">
        <f t="shared" si="67"/>
        <v>0</v>
      </c>
      <c r="AW98" s="524">
        <f t="shared" si="67"/>
        <v>0</v>
      </c>
      <c r="AX98" s="524">
        <f t="shared" si="67"/>
        <v>0</v>
      </c>
      <c r="AY98" s="524">
        <f t="shared" si="68"/>
        <v>0</v>
      </c>
      <c r="AZ98" s="524">
        <f t="shared" si="68"/>
        <v>0</v>
      </c>
      <c r="BA98" s="524">
        <f t="shared" si="68"/>
        <v>0</v>
      </c>
      <c r="BB98" s="524">
        <f t="shared" si="68"/>
        <v>0</v>
      </c>
      <c r="BC98" s="524">
        <f t="shared" si="68"/>
        <v>0</v>
      </c>
      <c r="BD98" s="524">
        <f t="shared" si="68"/>
        <v>0</v>
      </c>
      <c r="BE98" s="524">
        <f t="shared" si="68"/>
        <v>0</v>
      </c>
      <c r="BF98" s="524">
        <f t="shared" si="68"/>
        <v>0</v>
      </c>
      <c r="BG98" s="524">
        <f t="shared" si="68"/>
        <v>0</v>
      </c>
      <c r="BH98" s="524">
        <f t="shared" si="68"/>
        <v>0</v>
      </c>
      <c r="BI98" s="524">
        <f t="shared" si="69"/>
        <v>0</v>
      </c>
      <c r="BJ98" s="524">
        <f t="shared" si="69"/>
        <v>0</v>
      </c>
      <c r="BK98" s="524">
        <f t="shared" si="69"/>
        <v>0</v>
      </c>
      <c r="BL98" s="524">
        <f t="shared" si="69"/>
        <v>0</v>
      </c>
      <c r="BM98" s="524">
        <f t="shared" si="69"/>
        <v>0</v>
      </c>
      <c r="BN98" s="524">
        <f t="shared" si="69"/>
        <v>0</v>
      </c>
      <c r="BO98" s="524">
        <f t="shared" si="69"/>
        <v>0</v>
      </c>
      <c r="BP98" s="524">
        <f t="shared" si="69"/>
        <v>0</v>
      </c>
      <c r="BQ98" s="524">
        <f t="shared" si="69"/>
        <v>0</v>
      </c>
      <c r="BR98" s="524">
        <f t="shared" si="69"/>
        <v>0</v>
      </c>
      <c r="BS98" s="524">
        <f t="shared" si="70"/>
        <v>0</v>
      </c>
      <c r="BT98" s="524">
        <f t="shared" si="70"/>
        <v>0</v>
      </c>
      <c r="BU98" s="524">
        <f t="shared" si="70"/>
        <v>0</v>
      </c>
      <c r="BV98" s="524">
        <f t="shared" si="70"/>
        <v>0</v>
      </c>
      <c r="BW98" s="524">
        <f t="shared" si="70"/>
        <v>0</v>
      </c>
      <c r="BX98" s="524">
        <f t="shared" si="70"/>
        <v>0</v>
      </c>
      <c r="BY98" s="524">
        <f t="shared" si="70"/>
        <v>0</v>
      </c>
      <c r="BZ98" s="524">
        <f t="shared" si="70"/>
        <v>0</v>
      </c>
    </row>
    <row r="99" spans="2:78" ht="21" hidden="1" customHeight="1" outlineLevel="3">
      <c r="B99" s="367"/>
      <c r="C99" s="370"/>
      <c r="D99" s="374">
        <f t="shared" si="65"/>
        <v>45351</v>
      </c>
      <c r="E99" s="373" cm="1">
        <f t="array" ref="E99">IF($D99&lt;=LatestMonthOfActuals,0,INDEX($AE$27:$BZ$27,0,MATCH($D99,$AE$8:$BZ$8,0)))</f>
        <v>0</v>
      </c>
      <c r="F99" s="359"/>
      <c r="G99" s="408">
        <f t="shared" si="58"/>
        <v>0</v>
      </c>
      <c r="H99" s="408">
        <f t="shared" si="58"/>
        <v>0</v>
      </c>
      <c r="I99" s="408">
        <f t="shared" si="58"/>
        <v>0</v>
      </c>
      <c r="J99" s="408">
        <f t="shared" si="58"/>
        <v>0</v>
      </c>
      <c r="K99" s="408"/>
      <c r="L99" s="408"/>
      <c r="M99" s="408">
        <f t="shared" si="59"/>
        <v>0</v>
      </c>
      <c r="N99" s="408">
        <f t="shared" si="59"/>
        <v>0</v>
      </c>
      <c r="O99" s="408">
        <f t="shared" si="59"/>
        <v>0</v>
      </c>
      <c r="P99" s="408">
        <f t="shared" si="59"/>
        <v>0</v>
      </c>
      <c r="Q99" s="408">
        <f t="shared" si="59"/>
        <v>0</v>
      </c>
      <c r="R99" s="408">
        <f t="shared" si="59"/>
        <v>0</v>
      </c>
      <c r="S99" s="408">
        <f t="shared" si="59"/>
        <v>0</v>
      </c>
      <c r="T99" s="408">
        <f t="shared" si="59"/>
        <v>0</v>
      </c>
      <c r="U99" s="408">
        <f t="shared" si="59"/>
        <v>0</v>
      </c>
      <c r="V99" s="408">
        <f t="shared" si="59"/>
        <v>0</v>
      </c>
      <c r="W99" s="408">
        <f t="shared" si="59"/>
        <v>0</v>
      </c>
      <c r="X99" s="408">
        <f t="shared" si="59"/>
        <v>0</v>
      </c>
      <c r="Y99" s="408">
        <f t="shared" si="59"/>
        <v>0</v>
      </c>
      <c r="Z99" s="408">
        <f t="shared" si="59"/>
        <v>0</v>
      </c>
      <c r="AA99" s="408">
        <f t="shared" si="59"/>
        <v>0</v>
      </c>
      <c r="AB99" s="408">
        <f t="shared" si="59"/>
        <v>0</v>
      </c>
      <c r="AC99" s="524"/>
      <c r="AD99" s="359"/>
      <c r="AE99" s="524">
        <f t="shared" si="66"/>
        <v>0</v>
      </c>
      <c r="AF99" s="524">
        <f t="shared" si="66"/>
        <v>0</v>
      </c>
      <c r="AG99" s="524">
        <f t="shared" si="66"/>
        <v>0</v>
      </c>
      <c r="AH99" s="524">
        <f t="shared" si="66"/>
        <v>0</v>
      </c>
      <c r="AI99" s="524">
        <f t="shared" si="66"/>
        <v>0</v>
      </c>
      <c r="AJ99" s="524">
        <f t="shared" si="66"/>
        <v>0</v>
      </c>
      <c r="AK99" s="524">
        <f t="shared" si="66"/>
        <v>0</v>
      </c>
      <c r="AL99" s="524">
        <f t="shared" si="66"/>
        <v>0</v>
      </c>
      <c r="AM99" s="524">
        <f t="shared" si="66"/>
        <v>0</v>
      </c>
      <c r="AN99" s="524">
        <f t="shared" si="66"/>
        <v>0</v>
      </c>
      <c r="AO99" s="524">
        <f t="shared" si="67"/>
        <v>0</v>
      </c>
      <c r="AP99" s="524">
        <f t="shared" si="67"/>
        <v>0</v>
      </c>
      <c r="AQ99" s="524">
        <f t="shared" si="67"/>
        <v>0</v>
      </c>
      <c r="AR99" s="524">
        <f t="shared" si="67"/>
        <v>0</v>
      </c>
      <c r="AS99" s="524">
        <f t="shared" si="67"/>
        <v>0</v>
      </c>
      <c r="AT99" s="524">
        <f t="shared" si="67"/>
        <v>0</v>
      </c>
      <c r="AU99" s="524">
        <f t="shared" si="67"/>
        <v>0</v>
      </c>
      <c r="AV99" s="524">
        <f t="shared" si="67"/>
        <v>0</v>
      </c>
      <c r="AW99" s="524">
        <f t="shared" si="67"/>
        <v>0</v>
      </c>
      <c r="AX99" s="524">
        <f t="shared" si="67"/>
        <v>0</v>
      </c>
      <c r="AY99" s="524">
        <f t="shared" si="68"/>
        <v>0</v>
      </c>
      <c r="AZ99" s="524">
        <f t="shared" si="68"/>
        <v>0</v>
      </c>
      <c r="BA99" s="524">
        <f t="shared" si="68"/>
        <v>0</v>
      </c>
      <c r="BB99" s="524">
        <f t="shared" si="68"/>
        <v>0</v>
      </c>
      <c r="BC99" s="524">
        <f t="shared" si="68"/>
        <v>0</v>
      </c>
      <c r="BD99" s="524">
        <f t="shared" si="68"/>
        <v>0</v>
      </c>
      <c r="BE99" s="524">
        <f t="shared" si="68"/>
        <v>0</v>
      </c>
      <c r="BF99" s="524">
        <f t="shared" si="68"/>
        <v>0</v>
      </c>
      <c r="BG99" s="524">
        <f t="shared" si="68"/>
        <v>0</v>
      </c>
      <c r="BH99" s="524">
        <f t="shared" si="68"/>
        <v>0</v>
      </c>
      <c r="BI99" s="524">
        <f t="shared" si="69"/>
        <v>0</v>
      </c>
      <c r="BJ99" s="524">
        <f t="shared" si="69"/>
        <v>0</v>
      </c>
      <c r="BK99" s="524">
        <f t="shared" si="69"/>
        <v>0</v>
      </c>
      <c r="BL99" s="524">
        <f t="shared" si="69"/>
        <v>0</v>
      </c>
      <c r="BM99" s="524">
        <f t="shared" si="69"/>
        <v>0</v>
      </c>
      <c r="BN99" s="524">
        <f t="shared" si="69"/>
        <v>0</v>
      </c>
      <c r="BO99" s="524">
        <f t="shared" si="69"/>
        <v>0</v>
      </c>
      <c r="BP99" s="524">
        <f t="shared" si="69"/>
        <v>0</v>
      </c>
      <c r="BQ99" s="524">
        <f t="shared" si="69"/>
        <v>0</v>
      </c>
      <c r="BR99" s="524">
        <f t="shared" si="69"/>
        <v>0</v>
      </c>
      <c r="BS99" s="524">
        <f t="shared" si="70"/>
        <v>0</v>
      </c>
      <c r="BT99" s="524">
        <f t="shared" si="70"/>
        <v>0</v>
      </c>
      <c r="BU99" s="524">
        <f t="shared" si="70"/>
        <v>0</v>
      </c>
      <c r="BV99" s="524">
        <f t="shared" si="70"/>
        <v>0</v>
      </c>
      <c r="BW99" s="524">
        <f t="shared" si="70"/>
        <v>0</v>
      </c>
      <c r="BX99" s="524">
        <f t="shared" si="70"/>
        <v>0</v>
      </c>
      <c r="BY99" s="524">
        <f t="shared" si="70"/>
        <v>0</v>
      </c>
      <c r="BZ99" s="524">
        <f t="shared" si="70"/>
        <v>0</v>
      </c>
    </row>
    <row r="100" spans="2:78" ht="21" hidden="1" customHeight="1" outlineLevel="3">
      <c r="B100" s="367"/>
      <c r="C100" s="370"/>
      <c r="D100" s="374">
        <f t="shared" si="65"/>
        <v>45382</v>
      </c>
      <c r="E100" s="373" cm="1">
        <f t="array" ref="E100">IF($D100&lt;=LatestMonthOfActuals,0,INDEX($AE$27:$BZ$27,0,MATCH($D100,$AE$8:$BZ$8,0)))</f>
        <v>0</v>
      </c>
      <c r="F100" s="359"/>
      <c r="G100" s="408">
        <f t="shared" si="58"/>
        <v>0</v>
      </c>
      <c r="H100" s="408">
        <f t="shared" si="58"/>
        <v>0</v>
      </c>
      <c r="I100" s="408">
        <f t="shared" si="58"/>
        <v>0</v>
      </c>
      <c r="J100" s="408">
        <f t="shared" si="58"/>
        <v>0</v>
      </c>
      <c r="K100" s="408"/>
      <c r="L100" s="408"/>
      <c r="M100" s="408">
        <f t="shared" si="59"/>
        <v>0</v>
      </c>
      <c r="N100" s="408">
        <f t="shared" si="59"/>
        <v>0</v>
      </c>
      <c r="O100" s="408">
        <f t="shared" si="59"/>
        <v>0</v>
      </c>
      <c r="P100" s="408">
        <f t="shared" si="59"/>
        <v>0</v>
      </c>
      <c r="Q100" s="408">
        <f t="shared" si="59"/>
        <v>0</v>
      </c>
      <c r="R100" s="408">
        <f t="shared" si="59"/>
        <v>0</v>
      </c>
      <c r="S100" s="408">
        <f t="shared" si="59"/>
        <v>0</v>
      </c>
      <c r="T100" s="408">
        <f t="shared" si="59"/>
        <v>0</v>
      </c>
      <c r="U100" s="408">
        <f t="shared" si="59"/>
        <v>0</v>
      </c>
      <c r="V100" s="408">
        <f t="shared" si="59"/>
        <v>0</v>
      </c>
      <c r="W100" s="408">
        <f t="shared" si="59"/>
        <v>0</v>
      </c>
      <c r="X100" s="408">
        <f t="shared" si="59"/>
        <v>0</v>
      </c>
      <c r="Y100" s="408">
        <f t="shared" si="59"/>
        <v>0</v>
      </c>
      <c r="Z100" s="408">
        <f t="shared" si="59"/>
        <v>0</v>
      </c>
      <c r="AA100" s="408">
        <f t="shared" si="59"/>
        <v>0</v>
      </c>
      <c r="AB100" s="408">
        <f t="shared" si="59"/>
        <v>0</v>
      </c>
      <c r="AC100" s="524"/>
      <c r="AD100" s="359"/>
      <c r="AE100" s="524">
        <f t="shared" si="66"/>
        <v>0</v>
      </c>
      <c r="AF100" s="524">
        <f t="shared" si="66"/>
        <v>0</v>
      </c>
      <c r="AG100" s="524">
        <f t="shared" si="66"/>
        <v>0</v>
      </c>
      <c r="AH100" s="524">
        <f t="shared" si="66"/>
        <v>0</v>
      </c>
      <c r="AI100" s="524">
        <f t="shared" si="66"/>
        <v>0</v>
      </c>
      <c r="AJ100" s="524">
        <f t="shared" si="66"/>
        <v>0</v>
      </c>
      <c r="AK100" s="524">
        <f t="shared" si="66"/>
        <v>0</v>
      </c>
      <c r="AL100" s="524">
        <f t="shared" si="66"/>
        <v>0</v>
      </c>
      <c r="AM100" s="524">
        <f t="shared" si="66"/>
        <v>0</v>
      </c>
      <c r="AN100" s="524">
        <f t="shared" si="66"/>
        <v>0</v>
      </c>
      <c r="AO100" s="524">
        <f t="shared" si="67"/>
        <v>0</v>
      </c>
      <c r="AP100" s="524">
        <f t="shared" si="67"/>
        <v>0</v>
      </c>
      <c r="AQ100" s="524">
        <f t="shared" si="67"/>
        <v>0</v>
      </c>
      <c r="AR100" s="524">
        <f t="shared" si="67"/>
        <v>0</v>
      </c>
      <c r="AS100" s="524">
        <f t="shared" si="67"/>
        <v>0</v>
      </c>
      <c r="AT100" s="524">
        <f t="shared" si="67"/>
        <v>0</v>
      </c>
      <c r="AU100" s="524">
        <f t="shared" si="67"/>
        <v>0</v>
      </c>
      <c r="AV100" s="524">
        <f t="shared" si="67"/>
        <v>0</v>
      </c>
      <c r="AW100" s="524">
        <f t="shared" si="67"/>
        <v>0</v>
      </c>
      <c r="AX100" s="524">
        <f t="shared" si="67"/>
        <v>0</v>
      </c>
      <c r="AY100" s="524">
        <f t="shared" si="68"/>
        <v>0</v>
      </c>
      <c r="AZ100" s="524">
        <f t="shared" si="68"/>
        <v>0</v>
      </c>
      <c r="BA100" s="524">
        <f t="shared" si="68"/>
        <v>0</v>
      </c>
      <c r="BB100" s="524">
        <f t="shared" si="68"/>
        <v>0</v>
      </c>
      <c r="BC100" s="524">
        <f t="shared" si="68"/>
        <v>0</v>
      </c>
      <c r="BD100" s="524">
        <f t="shared" si="68"/>
        <v>0</v>
      </c>
      <c r="BE100" s="524">
        <f t="shared" si="68"/>
        <v>0</v>
      </c>
      <c r="BF100" s="524">
        <f t="shared" si="68"/>
        <v>0</v>
      </c>
      <c r="BG100" s="524">
        <f t="shared" si="68"/>
        <v>0</v>
      </c>
      <c r="BH100" s="524">
        <f t="shared" si="68"/>
        <v>0</v>
      </c>
      <c r="BI100" s="524">
        <f t="shared" si="69"/>
        <v>0</v>
      </c>
      <c r="BJ100" s="524">
        <f t="shared" si="69"/>
        <v>0</v>
      </c>
      <c r="BK100" s="524">
        <f t="shared" si="69"/>
        <v>0</v>
      </c>
      <c r="BL100" s="524">
        <f t="shared" si="69"/>
        <v>0</v>
      </c>
      <c r="BM100" s="524">
        <f t="shared" si="69"/>
        <v>0</v>
      </c>
      <c r="BN100" s="524">
        <f t="shared" si="69"/>
        <v>0</v>
      </c>
      <c r="BO100" s="524">
        <f t="shared" si="69"/>
        <v>0</v>
      </c>
      <c r="BP100" s="524">
        <f t="shared" si="69"/>
        <v>0</v>
      </c>
      <c r="BQ100" s="524">
        <f t="shared" si="69"/>
        <v>0</v>
      </c>
      <c r="BR100" s="524">
        <f t="shared" si="69"/>
        <v>0</v>
      </c>
      <c r="BS100" s="524">
        <f t="shared" si="70"/>
        <v>0</v>
      </c>
      <c r="BT100" s="524">
        <f t="shared" si="70"/>
        <v>0</v>
      </c>
      <c r="BU100" s="524">
        <f t="shared" si="70"/>
        <v>0</v>
      </c>
      <c r="BV100" s="524">
        <f t="shared" si="70"/>
        <v>0</v>
      </c>
      <c r="BW100" s="524">
        <f t="shared" si="70"/>
        <v>0</v>
      </c>
      <c r="BX100" s="524">
        <f t="shared" si="70"/>
        <v>0</v>
      </c>
      <c r="BY100" s="524">
        <f t="shared" si="70"/>
        <v>0</v>
      </c>
      <c r="BZ100" s="524">
        <f t="shared" si="70"/>
        <v>0</v>
      </c>
    </row>
    <row r="101" spans="2:78" ht="21" hidden="1" customHeight="1" outlineLevel="3">
      <c r="B101" s="367"/>
      <c r="C101" s="370"/>
      <c r="D101" s="374">
        <f t="shared" si="65"/>
        <v>45412</v>
      </c>
      <c r="E101" s="373" cm="1">
        <f t="array" ref="E101">IF($D101&lt;=LatestMonthOfActuals,0,INDEX($AE$27:$BZ$27,0,MATCH($D101,$AE$8:$BZ$8,0)))</f>
        <v>0</v>
      </c>
      <c r="F101" s="359"/>
      <c r="G101" s="408">
        <f t="shared" si="58"/>
        <v>0</v>
      </c>
      <c r="H101" s="408">
        <f t="shared" si="58"/>
        <v>0</v>
      </c>
      <c r="I101" s="408">
        <f t="shared" si="58"/>
        <v>0</v>
      </c>
      <c r="J101" s="408">
        <f t="shared" si="58"/>
        <v>0</v>
      </c>
      <c r="K101" s="408"/>
      <c r="L101" s="408"/>
      <c r="M101" s="408">
        <f t="shared" si="59"/>
        <v>0</v>
      </c>
      <c r="N101" s="408">
        <f t="shared" si="59"/>
        <v>0</v>
      </c>
      <c r="O101" s="408">
        <f t="shared" si="59"/>
        <v>0</v>
      </c>
      <c r="P101" s="408">
        <f t="shared" si="59"/>
        <v>0</v>
      </c>
      <c r="Q101" s="408">
        <f t="shared" si="59"/>
        <v>0</v>
      </c>
      <c r="R101" s="408">
        <f t="shared" si="59"/>
        <v>0</v>
      </c>
      <c r="S101" s="408">
        <f t="shared" si="59"/>
        <v>0</v>
      </c>
      <c r="T101" s="408">
        <f t="shared" si="59"/>
        <v>0</v>
      </c>
      <c r="U101" s="408">
        <f t="shared" si="59"/>
        <v>0</v>
      </c>
      <c r="V101" s="408">
        <f t="shared" si="59"/>
        <v>0</v>
      </c>
      <c r="W101" s="408">
        <f t="shared" si="59"/>
        <v>0</v>
      </c>
      <c r="X101" s="408">
        <f t="shared" si="59"/>
        <v>0</v>
      </c>
      <c r="Y101" s="408">
        <f t="shared" si="59"/>
        <v>0</v>
      </c>
      <c r="Z101" s="408">
        <f t="shared" si="59"/>
        <v>0</v>
      </c>
      <c r="AA101" s="408">
        <f t="shared" si="59"/>
        <v>0</v>
      </c>
      <c r="AB101" s="408">
        <f t="shared" ref="N101:AB118" si="71">SUMIFS($AE101:$BZ101,$AE$5:$BZ$5,"&gt;="&amp;AB$4,$AE$5:$BZ$5,"&lt;="&amp;AB$5)</f>
        <v>0</v>
      </c>
      <c r="AC101" s="524"/>
      <c r="AD101" s="359"/>
      <c r="AE101" s="524">
        <f t="shared" si="66"/>
        <v>0</v>
      </c>
      <c r="AF101" s="524">
        <f t="shared" si="66"/>
        <v>0</v>
      </c>
      <c r="AG101" s="524">
        <f t="shared" si="66"/>
        <v>0</v>
      </c>
      <c r="AH101" s="524">
        <f t="shared" si="66"/>
        <v>0</v>
      </c>
      <c r="AI101" s="524">
        <f t="shared" si="66"/>
        <v>0</v>
      </c>
      <c r="AJ101" s="524">
        <f t="shared" si="66"/>
        <v>0</v>
      </c>
      <c r="AK101" s="524">
        <f t="shared" si="66"/>
        <v>0</v>
      </c>
      <c r="AL101" s="524">
        <f t="shared" si="66"/>
        <v>0</v>
      </c>
      <c r="AM101" s="524">
        <f t="shared" si="66"/>
        <v>0</v>
      </c>
      <c r="AN101" s="524">
        <f t="shared" si="66"/>
        <v>0</v>
      </c>
      <c r="AO101" s="524">
        <f t="shared" si="67"/>
        <v>0</v>
      </c>
      <c r="AP101" s="524">
        <f t="shared" si="67"/>
        <v>0</v>
      </c>
      <c r="AQ101" s="524">
        <f t="shared" si="67"/>
        <v>0</v>
      </c>
      <c r="AR101" s="524">
        <f t="shared" si="67"/>
        <v>0</v>
      </c>
      <c r="AS101" s="524">
        <f t="shared" si="67"/>
        <v>0</v>
      </c>
      <c r="AT101" s="524">
        <f t="shared" si="67"/>
        <v>0</v>
      </c>
      <c r="AU101" s="524">
        <f t="shared" si="67"/>
        <v>0</v>
      </c>
      <c r="AV101" s="524">
        <f t="shared" si="67"/>
        <v>0</v>
      </c>
      <c r="AW101" s="524">
        <f t="shared" si="67"/>
        <v>0</v>
      </c>
      <c r="AX101" s="524">
        <f t="shared" si="67"/>
        <v>0</v>
      </c>
      <c r="AY101" s="524">
        <f t="shared" si="68"/>
        <v>0</v>
      </c>
      <c r="AZ101" s="524">
        <f t="shared" si="68"/>
        <v>0</v>
      </c>
      <c r="BA101" s="524">
        <f t="shared" si="68"/>
        <v>0</v>
      </c>
      <c r="BB101" s="524">
        <f t="shared" si="68"/>
        <v>0</v>
      </c>
      <c r="BC101" s="524">
        <f t="shared" si="68"/>
        <v>0</v>
      </c>
      <c r="BD101" s="524">
        <f t="shared" si="68"/>
        <v>0</v>
      </c>
      <c r="BE101" s="524">
        <f t="shared" si="68"/>
        <v>0</v>
      </c>
      <c r="BF101" s="524">
        <f t="shared" si="68"/>
        <v>0</v>
      </c>
      <c r="BG101" s="524">
        <f t="shared" si="68"/>
        <v>0</v>
      </c>
      <c r="BH101" s="524">
        <f t="shared" si="68"/>
        <v>0</v>
      </c>
      <c r="BI101" s="524">
        <f t="shared" si="69"/>
        <v>0</v>
      </c>
      <c r="BJ101" s="524">
        <f t="shared" si="69"/>
        <v>0</v>
      </c>
      <c r="BK101" s="524">
        <f t="shared" si="69"/>
        <v>0</v>
      </c>
      <c r="BL101" s="524">
        <f t="shared" si="69"/>
        <v>0</v>
      </c>
      <c r="BM101" s="524">
        <f t="shared" si="69"/>
        <v>0</v>
      </c>
      <c r="BN101" s="524">
        <f t="shared" si="69"/>
        <v>0</v>
      </c>
      <c r="BO101" s="524">
        <f t="shared" si="69"/>
        <v>0</v>
      </c>
      <c r="BP101" s="524">
        <f t="shared" si="69"/>
        <v>0</v>
      </c>
      <c r="BQ101" s="524">
        <f t="shared" si="69"/>
        <v>0</v>
      </c>
      <c r="BR101" s="524">
        <f t="shared" si="69"/>
        <v>0</v>
      </c>
      <c r="BS101" s="524">
        <f t="shared" si="70"/>
        <v>0</v>
      </c>
      <c r="BT101" s="524">
        <f t="shared" si="70"/>
        <v>0</v>
      </c>
      <c r="BU101" s="524">
        <f t="shared" si="70"/>
        <v>0</v>
      </c>
      <c r="BV101" s="524">
        <f t="shared" si="70"/>
        <v>0</v>
      </c>
      <c r="BW101" s="524">
        <f t="shared" si="70"/>
        <v>0</v>
      </c>
      <c r="BX101" s="524">
        <f t="shared" si="70"/>
        <v>0</v>
      </c>
      <c r="BY101" s="524">
        <f t="shared" si="70"/>
        <v>0</v>
      </c>
      <c r="BZ101" s="524">
        <f t="shared" si="70"/>
        <v>0</v>
      </c>
    </row>
    <row r="102" spans="2:78" ht="21" hidden="1" customHeight="1" outlineLevel="3">
      <c r="B102" s="367"/>
      <c r="C102" s="370"/>
      <c r="D102" s="374">
        <f t="shared" si="65"/>
        <v>45443</v>
      </c>
      <c r="E102" s="373" cm="1">
        <f t="array" ref="E102">IF($D102&lt;=LatestMonthOfActuals,0,INDEX($AE$27:$BZ$27,0,MATCH($D102,$AE$8:$BZ$8,0)))</f>
        <v>0</v>
      </c>
      <c r="F102" s="359"/>
      <c r="G102" s="408">
        <f t="shared" si="58"/>
        <v>0</v>
      </c>
      <c r="H102" s="408">
        <f t="shared" si="58"/>
        <v>0</v>
      </c>
      <c r="I102" s="408">
        <f t="shared" si="58"/>
        <v>0</v>
      </c>
      <c r="J102" s="408">
        <f t="shared" si="58"/>
        <v>0</v>
      </c>
      <c r="K102" s="408"/>
      <c r="L102" s="408"/>
      <c r="M102" s="408">
        <f t="shared" ref="M102:M133" si="72">SUMIFS($AE102:$BZ102,$AE$5:$BZ$5,"&gt;="&amp;M$4,$AE$5:$BZ$5,"&lt;="&amp;M$5)</f>
        <v>0</v>
      </c>
      <c r="N102" s="408">
        <f t="shared" si="71"/>
        <v>0</v>
      </c>
      <c r="O102" s="408">
        <f t="shared" si="71"/>
        <v>0</v>
      </c>
      <c r="P102" s="408">
        <f t="shared" si="71"/>
        <v>0</v>
      </c>
      <c r="Q102" s="408">
        <f t="shared" si="71"/>
        <v>0</v>
      </c>
      <c r="R102" s="408">
        <f t="shared" si="71"/>
        <v>0</v>
      </c>
      <c r="S102" s="408">
        <f t="shared" si="71"/>
        <v>0</v>
      </c>
      <c r="T102" s="408">
        <f t="shared" si="71"/>
        <v>0</v>
      </c>
      <c r="U102" s="408">
        <f t="shared" si="71"/>
        <v>0</v>
      </c>
      <c r="V102" s="408">
        <f t="shared" si="71"/>
        <v>0</v>
      </c>
      <c r="W102" s="408">
        <f t="shared" si="71"/>
        <v>0</v>
      </c>
      <c r="X102" s="408">
        <f t="shared" si="71"/>
        <v>0</v>
      </c>
      <c r="Y102" s="408">
        <f t="shared" si="71"/>
        <v>0</v>
      </c>
      <c r="Z102" s="408">
        <f t="shared" si="71"/>
        <v>0</v>
      </c>
      <c r="AA102" s="408">
        <f t="shared" si="71"/>
        <v>0</v>
      </c>
      <c r="AB102" s="408">
        <f t="shared" si="71"/>
        <v>0</v>
      </c>
      <c r="AC102" s="524"/>
      <c r="AD102" s="359"/>
      <c r="AE102" s="524">
        <f t="shared" si="66"/>
        <v>0</v>
      </c>
      <c r="AF102" s="524">
        <f t="shared" si="66"/>
        <v>0</v>
      </c>
      <c r="AG102" s="524">
        <f t="shared" si="66"/>
        <v>0</v>
      </c>
      <c r="AH102" s="524">
        <f t="shared" si="66"/>
        <v>0</v>
      </c>
      <c r="AI102" s="524">
        <f t="shared" si="66"/>
        <v>0</v>
      </c>
      <c r="AJ102" s="524">
        <f t="shared" si="66"/>
        <v>0</v>
      </c>
      <c r="AK102" s="524">
        <f t="shared" si="66"/>
        <v>0</v>
      </c>
      <c r="AL102" s="524">
        <f t="shared" si="66"/>
        <v>0</v>
      </c>
      <c r="AM102" s="524">
        <f t="shared" si="66"/>
        <v>0</v>
      </c>
      <c r="AN102" s="524">
        <f t="shared" si="66"/>
        <v>0</v>
      </c>
      <c r="AO102" s="524">
        <f t="shared" si="67"/>
        <v>0</v>
      </c>
      <c r="AP102" s="524">
        <f t="shared" si="67"/>
        <v>0</v>
      </c>
      <c r="AQ102" s="524">
        <f t="shared" si="67"/>
        <v>0</v>
      </c>
      <c r="AR102" s="524">
        <f t="shared" si="67"/>
        <v>0</v>
      </c>
      <c r="AS102" s="524">
        <f t="shared" si="67"/>
        <v>0</v>
      </c>
      <c r="AT102" s="524">
        <f t="shared" si="67"/>
        <v>0</v>
      </c>
      <c r="AU102" s="524">
        <f t="shared" si="67"/>
        <v>0</v>
      </c>
      <c r="AV102" s="524">
        <f t="shared" si="67"/>
        <v>0</v>
      </c>
      <c r="AW102" s="524">
        <f t="shared" si="67"/>
        <v>0</v>
      </c>
      <c r="AX102" s="524">
        <f t="shared" si="67"/>
        <v>0</v>
      </c>
      <c r="AY102" s="524">
        <f t="shared" si="68"/>
        <v>0</v>
      </c>
      <c r="AZ102" s="524">
        <f t="shared" si="68"/>
        <v>0</v>
      </c>
      <c r="BA102" s="524">
        <f t="shared" si="68"/>
        <v>0</v>
      </c>
      <c r="BB102" s="524">
        <f t="shared" si="68"/>
        <v>0</v>
      </c>
      <c r="BC102" s="524">
        <f t="shared" si="68"/>
        <v>0</v>
      </c>
      <c r="BD102" s="524">
        <f t="shared" si="68"/>
        <v>0</v>
      </c>
      <c r="BE102" s="524">
        <f t="shared" si="68"/>
        <v>0</v>
      </c>
      <c r="BF102" s="524">
        <f t="shared" si="68"/>
        <v>0</v>
      </c>
      <c r="BG102" s="524">
        <f t="shared" si="68"/>
        <v>0</v>
      </c>
      <c r="BH102" s="524">
        <f t="shared" si="68"/>
        <v>0</v>
      </c>
      <c r="BI102" s="524">
        <f t="shared" si="69"/>
        <v>0</v>
      </c>
      <c r="BJ102" s="524">
        <f t="shared" si="69"/>
        <v>0</v>
      </c>
      <c r="BK102" s="524">
        <f t="shared" si="69"/>
        <v>0</v>
      </c>
      <c r="BL102" s="524">
        <f t="shared" si="69"/>
        <v>0</v>
      </c>
      <c r="BM102" s="524">
        <f t="shared" si="69"/>
        <v>0</v>
      </c>
      <c r="BN102" s="524">
        <f t="shared" si="69"/>
        <v>0</v>
      </c>
      <c r="BO102" s="524">
        <f t="shared" si="69"/>
        <v>0</v>
      </c>
      <c r="BP102" s="524">
        <f t="shared" si="69"/>
        <v>0</v>
      </c>
      <c r="BQ102" s="524">
        <f t="shared" si="69"/>
        <v>0</v>
      </c>
      <c r="BR102" s="524">
        <f t="shared" si="69"/>
        <v>0</v>
      </c>
      <c r="BS102" s="524">
        <f t="shared" si="70"/>
        <v>0</v>
      </c>
      <c r="BT102" s="524">
        <f t="shared" si="70"/>
        <v>0</v>
      </c>
      <c r="BU102" s="524">
        <f t="shared" si="70"/>
        <v>0</v>
      </c>
      <c r="BV102" s="524">
        <f t="shared" si="70"/>
        <v>0</v>
      </c>
      <c r="BW102" s="524">
        <f t="shared" si="70"/>
        <v>0</v>
      </c>
      <c r="BX102" s="524">
        <f t="shared" si="70"/>
        <v>0</v>
      </c>
      <c r="BY102" s="524">
        <f t="shared" si="70"/>
        <v>0</v>
      </c>
      <c r="BZ102" s="524">
        <f t="shared" si="70"/>
        <v>0</v>
      </c>
    </row>
    <row r="103" spans="2:78" ht="21" hidden="1" customHeight="1" outlineLevel="3">
      <c r="B103" s="367"/>
      <c r="C103" s="370"/>
      <c r="D103" s="374">
        <f t="shared" si="65"/>
        <v>45473</v>
      </c>
      <c r="E103" s="373" cm="1">
        <f t="array" ref="E103">IF($D103&lt;=LatestMonthOfActuals,0,INDEX($AE$27:$BZ$27,0,MATCH($D103,$AE$8:$BZ$8,0)))</f>
        <v>0</v>
      </c>
      <c r="F103" s="359"/>
      <c r="G103" s="408">
        <f t="shared" si="58"/>
        <v>0</v>
      </c>
      <c r="H103" s="408">
        <f t="shared" si="58"/>
        <v>0</v>
      </c>
      <c r="I103" s="408">
        <f t="shared" si="58"/>
        <v>0</v>
      </c>
      <c r="J103" s="408">
        <f t="shared" si="58"/>
        <v>0</v>
      </c>
      <c r="K103" s="408"/>
      <c r="L103" s="408"/>
      <c r="M103" s="408">
        <f t="shared" si="72"/>
        <v>0</v>
      </c>
      <c r="N103" s="408">
        <f t="shared" si="71"/>
        <v>0</v>
      </c>
      <c r="O103" s="408">
        <f t="shared" si="71"/>
        <v>0</v>
      </c>
      <c r="P103" s="408">
        <f t="shared" si="71"/>
        <v>0</v>
      </c>
      <c r="Q103" s="408">
        <f t="shared" si="71"/>
        <v>0</v>
      </c>
      <c r="R103" s="408">
        <f t="shared" si="71"/>
        <v>0</v>
      </c>
      <c r="S103" s="408">
        <f t="shared" si="71"/>
        <v>0</v>
      </c>
      <c r="T103" s="408">
        <f t="shared" si="71"/>
        <v>0</v>
      </c>
      <c r="U103" s="408">
        <f t="shared" si="71"/>
        <v>0</v>
      </c>
      <c r="V103" s="408">
        <f t="shared" si="71"/>
        <v>0</v>
      </c>
      <c r="W103" s="408">
        <f t="shared" si="71"/>
        <v>0</v>
      </c>
      <c r="X103" s="408">
        <f t="shared" si="71"/>
        <v>0</v>
      </c>
      <c r="Y103" s="408">
        <f t="shared" si="71"/>
        <v>0</v>
      </c>
      <c r="Z103" s="408">
        <f t="shared" si="71"/>
        <v>0</v>
      </c>
      <c r="AA103" s="408">
        <f t="shared" si="71"/>
        <v>0</v>
      </c>
      <c r="AB103" s="408">
        <f t="shared" si="71"/>
        <v>0</v>
      </c>
      <c r="AC103" s="524"/>
      <c r="AD103" s="359"/>
      <c r="AE103" s="524">
        <f t="shared" si="66"/>
        <v>0</v>
      </c>
      <c r="AF103" s="524">
        <f t="shared" si="66"/>
        <v>0</v>
      </c>
      <c r="AG103" s="524">
        <f t="shared" si="66"/>
        <v>0</v>
      </c>
      <c r="AH103" s="524">
        <f t="shared" si="66"/>
        <v>0</v>
      </c>
      <c r="AI103" s="524">
        <f t="shared" si="66"/>
        <v>0</v>
      </c>
      <c r="AJ103" s="524">
        <f t="shared" si="66"/>
        <v>0</v>
      </c>
      <c r="AK103" s="524">
        <f t="shared" si="66"/>
        <v>0</v>
      </c>
      <c r="AL103" s="524">
        <f t="shared" si="66"/>
        <v>0</v>
      </c>
      <c r="AM103" s="524">
        <f t="shared" si="66"/>
        <v>0</v>
      </c>
      <c r="AN103" s="524">
        <f t="shared" si="66"/>
        <v>0</v>
      </c>
      <c r="AO103" s="524">
        <f t="shared" si="67"/>
        <v>0</v>
      </c>
      <c r="AP103" s="524">
        <f t="shared" si="67"/>
        <v>0</v>
      </c>
      <c r="AQ103" s="524">
        <f t="shared" si="67"/>
        <v>0</v>
      </c>
      <c r="AR103" s="524">
        <f t="shared" si="67"/>
        <v>0</v>
      </c>
      <c r="AS103" s="524">
        <f t="shared" si="67"/>
        <v>0</v>
      </c>
      <c r="AT103" s="524">
        <f t="shared" si="67"/>
        <v>0</v>
      </c>
      <c r="AU103" s="524">
        <f t="shared" si="67"/>
        <v>0</v>
      </c>
      <c r="AV103" s="524">
        <f t="shared" si="67"/>
        <v>0</v>
      </c>
      <c r="AW103" s="524">
        <f t="shared" si="67"/>
        <v>0</v>
      </c>
      <c r="AX103" s="524">
        <f t="shared" si="67"/>
        <v>0</v>
      </c>
      <c r="AY103" s="524">
        <f t="shared" si="68"/>
        <v>0</v>
      </c>
      <c r="AZ103" s="524">
        <f t="shared" si="68"/>
        <v>0</v>
      </c>
      <c r="BA103" s="524">
        <f t="shared" si="68"/>
        <v>0</v>
      </c>
      <c r="BB103" s="524">
        <f t="shared" si="68"/>
        <v>0</v>
      </c>
      <c r="BC103" s="524">
        <f t="shared" si="68"/>
        <v>0</v>
      </c>
      <c r="BD103" s="524">
        <f t="shared" si="68"/>
        <v>0</v>
      </c>
      <c r="BE103" s="524">
        <f t="shared" si="68"/>
        <v>0</v>
      </c>
      <c r="BF103" s="524">
        <f t="shared" si="68"/>
        <v>0</v>
      </c>
      <c r="BG103" s="524">
        <f t="shared" si="68"/>
        <v>0</v>
      </c>
      <c r="BH103" s="524">
        <f t="shared" si="68"/>
        <v>0</v>
      </c>
      <c r="BI103" s="524">
        <f t="shared" si="69"/>
        <v>0</v>
      </c>
      <c r="BJ103" s="524">
        <f t="shared" si="69"/>
        <v>0</v>
      </c>
      <c r="BK103" s="524">
        <f t="shared" si="69"/>
        <v>0</v>
      </c>
      <c r="BL103" s="524">
        <f t="shared" si="69"/>
        <v>0</v>
      </c>
      <c r="BM103" s="524">
        <f t="shared" si="69"/>
        <v>0</v>
      </c>
      <c r="BN103" s="524">
        <f t="shared" si="69"/>
        <v>0</v>
      </c>
      <c r="BO103" s="524">
        <f t="shared" si="69"/>
        <v>0</v>
      </c>
      <c r="BP103" s="524">
        <f t="shared" si="69"/>
        <v>0</v>
      </c>
      <c r="BQ103" s="524">
        <f t="shared" si="69"/>
        <v>0</v>
      </c>
      <c r="BR103" s="524">
        <f t="shared" si="69"/>
        <v>0</v>
      </c>
      <c r="BS103" s="524">
        <f t="shared" si="70"/>
        <v>0</v>
      </c>
      <c r="BT103" s="524">
        <f t="shared" si="70"/>
        <v>0</v>
      </c>
      <c r="BU103" s="524">
        <f t="shared" si="70"/>
        <v>0</v>
      </c>
      <c r="BV103" s="524">
        <f t="shared" si="70"/>
        <v>0</v>
      </c>
      <c r="BW103" s="524">
        <f t="shared" si="70"/>
        <v>0</v>
      </c>
      <c r="BX103" s="524">
        <f t="shared" si="70"/>
        <v>0</v>
      </c>
      <c r="BY103" s="524">
        <f t="shared" si="70"/>
        <v>0</v>
      </c>
      <c r="BZ103" s="524">
        <f t="shared" si="70"/>
        <v>0</v>
      </c>
    </row>
    <row r="104" spans="2:78" ht="21" hidden="1" customHeight="1" outlineLevel="3">
      <c r="B104" s="367"/>
      <c r="C104" s="370"/>
      <c r="D104" s="374">
        <f t="shared" si="65"/>
        <v>45504</v>
      </c>
      <c r="E104" s="373" cm="1">
        <f t="array" ref="E104">IF($D104&lt;=LatestMonthOfActuals,0,INDEX($AE$27:$BZ$27,0,MATCH($D104,$AE$8:$BZ$8,0)))</f>
        <v>0</v>
      </c>
      <c r="F104" s="359"/>
      <c r="G104" s="408">
        <f t="shared" si="58"/>
        <v>0</v>
      </c>
      <c r="H104" s="408">
        <f t="shared" si="58"/>
        <v>0</v>
      </c>
      <c r="I104" s="408">
        <f t="shared" si="58"/>
        <v>0</v>
      </c>
      <c r="J104" s="408">
        <f t="shared" si="58"/>
        <v>0</v>
      </c>
      <c r="K104" s="408"/>
      <c r="L104" s="408"/>
      <c r="M104" s="408">
        <f t="shared" si="72"/>
        <v>0</v>
      </c>
      <c r="N104" s="408">
        <f t="shared" si="71"/>
        <v>0</v>
      </c>
      <c r="O104" s="408">
        <f t="shared" si="71"/>
        <v>0</v>
      </c>
      <c r="P104" s="408">
        <f t="shared" si="71"/>
        <v>0</v>
      </c>
      <c r="Q104" s="408">
        <f t="shared" si="71"/>
        <v>0</v>
      </c>
      <c r="R104" s="408">
        <f t="shared" si="71"/>
        <v>0</v>
      </c>
      <c r="S104" s="408">
        <f t="shared" si="71"/>
        <v>0</v>
      </c>
      <c r="T104" s="408">
        <f t="shared" si="71"/>
        <v>0</v>
      </c>
      <c r="U104" s="408">
        <f t="shared" si="71"/>
        <v>0</v>
      </c>
      <c r="V104" s="408">
        <f t="shared" si="71"/>
        <v>0</v>
      </c>
      <c r="W104" s="408">
        <f t="shared" si="71"/>
        <v>0</v>
      </c>
      <c r="X104" s="408">
        <f t="shared" si="71"/>
        <v>0</v>
      </c>
      <c r="Y104" s="408">
        <f t="shared" si="71"/>
        <v>0</v>
      </c>
      <c r="Z104" s="408">
        <f t="shared" si="71"/>
        <v>0</v>
      </c>
      <c r="AA104" s="408">
        <f t="shared" si="71"/>
        <v>0</v>
      </c>
      <c r="AB104" s="408">
        <f t="shared" si="71"/>
        <v>0</v>
      </c>
      <c r="AC104" s="524"/>
      <c r="AD104" s="359"/>
      <c r="AE104" s="524">
        <f t="shared" si="66"/>
        <v>0</v>
      </c>
      <c r="AF104" s="524">
        <f t="shared" si="66"/>
        <v>0</v>
      </c>
      <c r="AG104" s="524">
        <f t="shared" si="66"/>
        <v>0</v>
      </c>
      <c r="AH104" s="524">
        <f t="shared" si="66"/>
        <v>0</v>
      </c>
      <c r="AI104" s="524">
        <f t="shared" si="66"/>
        <v>0</v>
      </c>
      <c r="AJ104" s="524">
        <f t="shared" si="66"/>
        <v>0</v>
      </c>
      <c r="AK104" s="524">
        <f t="shared" si="66"/>
        <v>0</v>
      </c>
      <c r="AL104" s="524">
        <f t="shared" si="66"/>
        <v>0</v>
      </c>
      <c r="AM104" s="524">
        <f t="shared" si="66"/>
        <v>0</v>
      </c>
      <c r="AN104" s="524">
        <f t="shared" si="66"/>
        <v>0</v>
      </c>
      <c r="AO104" s="524">
        <f t="shared" si="67"/>
        <v>0</v>
      </c>
      <c r="AP104" s="524">
        <f t="shared" si="67"/>
        <v>0</v>
      </c>
      <c r="AQ104" s="524">
        <f t="shared" si="67"/>
        <v>0</v>
      </c>
      <c r="AR104" s="524">
        <f t="shared" si="67"/>
        <v>0</v>
      </c>
      <c r="AS104" s="524">
        <f t="shared" si="67"/>
        <v>0</v>
      </c>
      <c r="AT104" s="524">
        <f t="shared" si="67"/>
        <v>0</v>
      </c>
      <c r="AU104" s="524">
        <f t="shared" si="67"/>
        <v>0</v>
      </c>
      <c r="AV104" s="524">
        <f t="shared" si="67"/>
        <v>0</v>
      </c>
      <c r="AW104" s="524">
        <f t="shared" si="67"/>
        <v>0</v>
      </c>
      <c r="AX104" s="524">
        <f t="shared" si="67"/>
        <v>0</v>
      </c>
      <c r="AY104" s="524">
        <f t="shared" si="68"/>
        <v>0</v>
      </c>
      <c r="AZ104" s="524">
        <f t="shared" si="68"/>
        <v>0</v>
      </c>
      <c r="BA104" s="524">
        <f t="shared" si="68"/>
        <v>0</v>
      </c>
      <c r="BB104" s="524">
        <f t="shared" si="68"/>
        <v>0</v>
      </c>
      <c r="BC104" s="524">
        <f t="shared" si="68"/>
        <v>0</v>
      </c>
      <c r="BD104" s="524">
        <f t="shared" si="68"/>
        <v>0</v>
      </c>
      <c r="BE104" s="524">
        <f t="shared" si="68"/>
        <v>0</v>
      </c>
      <c r="BF104" s="524">
        <f t="shared" si="68"/>
        <v>0</v>
      </c>
      <c r="BG104" s="524">
        <f t="shared" si="68"/>
        <v>0</v>
      </c>
      <c r="BH104" s="524">
        <f t="shared" si="68"/>
        <v>0</v>
      </c>
      <c r="BI104" s="524">
        <f t="shared" si="69"/>
        <v>0</v>
      </c>
      <c r="BJ104" s="524">
        <f t="shared" si="69"/>
        <v>0</v>
      </c>
      <c r="BK104" s="524">
        <f t="shared" si="69"/>
        <v>0</v>
      </c>
      <c r="BL104" s="524">
        <f t="shared" si="69"/>
        <v>0</v>
      </c>
      <c r="BM104" s="524">
        <f t="shared" si="69"/>
        <v>0</v>
      </c>
      <c r="BN104" s="524">
        <f t="shared" si="69"/>
        <v>0</v>
      </c>
      <c r="BO104" s="524">
        <f t="shared" si="69"/>
        <v>0</v>
      </c>
      <c r="BP104" s="524">
        <f t="shared" si="69"/>
        <v>0</v>
      </c>
      <c r="BQ104" s="524">
        <f t="shared" si="69"/>
        <v>0</v>
      </c>
      <c r="BR104" s="524">
        <f t="shared" si="69"/>
        <v>0</v>
      </c>
      <c r="BS104" s="524">
        <f t="shared" si="70"/>
        <v>0</v>
      </c>
      <c r="BT104" s="524">
        <f t="shared" si="70"/>
        <v>0</v>
      </c>
      <c r="BU104" s="524">
        <f t="shared" si="70"/>
        <v>0</v>
      </c>
      <c r="BV104" s="524">
        <f t="shared" si="70"/>
        <v>0</v>
      </c>
      <c r="BW104" s="524">
        <f t="shared" si="70"/>
        <v>0</v>
      </c>
      <c r="BX104" s="524">
        <f t="shared" si="70"/>
        <v>0</v>
      </c>
      <c r="BY104" s="524">
        <f t="shared" si="70"/>
        <v>0</v>
      </c>
      <c r="BZ104" s="524">
        <f t="shared" si="70"/>
        <v>0</v>
      </c>
    </row>
    <row r="105" spans="2:78" ht="21" hidden="1" customHeight="1" outlineLevel="3">
      <c r="B105" s="367"/>
      <c r="C105" s="370"/>
      <c r="D105" s="374">
        <f t="shared" si="65"/>
        <v>45535</v>
      </c>
      <c r="E105" s="373" cm="1">
        <f t="array" ref="E105">IF($D105&lt;=LatestMonthOfActuals,0,INDEX($AE$27:$BZ$27,0,MATCH($D105,$AE$8:$BZ$8,0)))</f>
        <v>0</v>
      </c>
      <c r="F105" s="359"/>
      <c r="G105" s="408">
        <f t="shared" si="58"/>
        <v>0</v>
      </c>
      <c r="H105" s="408">
        <f t="shared" si="58"/>
        <v>0</v>
      </c>
      <c r="I105" s="408">
        <f t="shared" si="58"/>
        <v>0</v>
      </c>
      <c r="J105" s="408">
        <f t="shared" si="58"/>
        <v>0</v>
      </c>
      <c r="K105" s="408"/>
      <c r="L105" s="408"/>
      <c r="M105" s="408">
        <f t="shared" si="72"/>
        <v>0</v>
      </c>
      <c r="N105" s="408">
        <f t="shared" si="71"/>
        <v>0</v>
      </c>
      <c r="O105" s="408">
        <f t="shared" si="71"/>
        <v>0</v>
      </c>
      <c r="P105" s="408">
        <f t="shared" si="71"/>
        <v>0</v>
      </c>
      <c r="Q105" s="408">
        <f t="shared" si="71"/>
        <v>0</v>
      </c>
      <c r="R105" s="408">
        <f t="shared" si="71"/>
        <v>0</v>
      </c>
      <c r="S105" s="408">
        <f t="shared" si="71"/>
        <v>0</v>
      </c>
      <c r="T105" s="408">
        <f t="shared" si="71"/>
        <v>0</v>
      </c>
      <c r="U105" s="408">
        <f t="shared" si="71"/>
        <v>0</v>
      </c>
      <c r="V105" s="408">
        <f t="shared" si="71"/>
        <v>0</v>
      </c>
      <c r="W105" s="408">
        <f t="shared" si="71"/>
        <v>0</v>
      </c>
      <c r="X105" s="408">
        <f t="shared" si="71"/>
        <v>0</v>
      </c>
      <c r="Y105" s="408">
        <f t="shared" si="71"/>
        <v>0</v>
      </c>
      <c r="Z105" s="408">
        <f t="shared" si="71"/>
        <v>0</v>
      </c>
      <c r="AA105" s="408">
        <f t="shared" si="71"/>
        <v>0</v>
      </c>
      <c r="AB105" s="408">
        <f t="shared" si="71"/>
        <v>0</v>
      </c>
      <c r="AC105" s="524"/>
      <c r="AD105" s="359"/>
      <c r="AE105" s="524">
        <f t="shared" si="66"/>
        <v>0</v>
      </c>
      <c r="AF105" s="524">
        <f t="shared" si="66"/>
        <v>0</v>
      </c>
      <c r="AG105" s="524">
        <f t="shared" si="66"/>
        <v>0</v>
      </c>
      <c r="AH105" s="524">
        <f t="shared" si="66"/>
        <v>0</v>
      </c>
      <c r="AI105" s="524">
        <f t="shared" si="66"/>
        <v>0</v>
      </c>
      <c r="AJ105" s="524">
        <f t="shared" si="66"/>
        <v>0</v>
      </c>
      <c r="AK105" s="524">
        <f t="shared" si="66"/>
        <v>0</v>
      </c>
      <c r="AL105" s="524">
        <f t="shared" si="66"/>
        <v>0</v>
      </c>
      <c r="AM105" s="524">
        <f t="shared" si="66"/>
        <v>0</v>
      </c>
      <c r="AN105" s="524">
        <f t="shared" si="66"/>
        <v>0</v>
      </c>
      <c r="AO105" s="524">
        <f t="shared" si="67"/>
        <v>0</v>
      </c>
      <c r="AP105" s="524">
        <f t="shared" si="67"/>
        <v>0</v>
      </c>
      <c r="AQ105" s="524">
        <f t="shared" si="67"/>
        <v>0</v>
      </c>
      <c r="AR105" s="524">
        <f t="shared" si="67"/>
        <v>0</v>
      </c>
      <c r="AS105" s="524">
        <f t="shared" si="67"/>
        <v>0</v>
      </c>
      <c r="AT105" s="524">
        <f t="shared" si="67"/>
        <v>0</v>
      </c>
      <c r="AU105" s="524">
        <f t="shared" si="67"/>
        <v>0</v>
      </c>
      <c r="AV105" s="524">
        <f t="shared" si="67"/>
        <v>0</v>
      </c>
      <c r="AW105" s="524">
        <f t="shared" si="67"/>
        <v>0</v>
      </c>
      <c r="AX105" s="524">
        <f t="shared" si="67"/>
        <v>0</v>
      </c>
      <c r="AY105" s="524">
        <f t="shared" si="68"/>
        <v>0</v>
      </c>
      <c r="AZ105" s="524">
        <f t="shared" si="68"/>
        <v>0</v>
      </c>
      <c r="BA105" s="524">
        <f t="shared" si="68"/>
        <v>0</v>
      </c>
      <c r="BB105" s="524">
        <f t="shared" si="68"/>
        <v>0</v>
      </c>
      <c r="BC105" s="524">
        <f t="shared" si="68"/>
        <v>0</v>
      </c>
      <c r="BD105" s="524">
        <f t="shared" si="68"/>
        <v>0</v>
      </c>
      <c r="BE105" s="524">
        <f t="shared" si="68"/>
        <v>0</v>
      </c>
      <c r="BF105" s="524">
        <f t="shared" si="68"/>
        <v>0</v>
      </c>
      <c r="BG105" s="524">
        <f t="shared" si="68"/>
        <v>0</v>
      </c>
      <c r="BH105" s="524">
        <f t="shared" si="68"/>
        <v>0</v>
      </c>
      <c r="BI105" s="524">
        <f t="shared" si="69"/>
        <v>0</v>
      </c>
      <c r="BJ105" s="524">
        <f t="shared" si="69"/>
        <v>0</v>
      </c>
      <c r="BK105" s="524">
        <f t="shared" si="69"/>
        <v>0</v>
      </c>
      <c r="BL105" s="524">
        <f t="shared" si="69"/>
        <v>0</v>
      </c>
      <c r="BM105" s="524">
        <f t="shared" si="69"/>
        <v>0</v>
      </c>
      <c r="BN105" s="524">
        <f t="shared" si="69"/>
        <v>0</v>
      </c>
      <c r="BO105" s="524">
        <f t="shared" si="69"/>
        <v>0</v>
      </c>
      <c r="BP105" s="524">
        <f t="shared" si="69"/>
        <v>0</v>
      </c>
      <c r="BQ105" s="524">
        <f t="shared" si="69"/>
        <v>0</v>
      </c>
      <c r="BR105" s="524">
        <f t="shared" si="69"/>
        <v>0</v>
      </c>
      <c r="BS105" s="524">
        <f t="shared" si="70"/>
        <v>0</v>
      </c>
      <c r="BT105" s="524">
        <f t="shared" si="70"/>
        <v>0</v>
      </c>
      <c r="BU105" s="524">
        <f t="shared" si="70"/>
        <v>0</v>
      </c>
      <c r="BV105" s="524">
        <f t="shared" si="70"/>
        <v>0</v>
      </c>
      <c r="BW105" s="524">
        <f t="shared" si="70"/>
        <v>0</v>
      </c>
      <c r="BX105" s="524">
        <f t="shared" si="70"/>
        <v>0</v>
      </c>
      <c r="BY105" s="524">
        <f t="shared" si="70"/>
        <v>0</v>
      </c>
      <c r="BZ105" s="524">
        <f t="shared" si="70"/>
        <v>0</v>
      </c>
    </row>
    <row r="106" spans="2:78" ht="21" hidden="1" customHeight="1" outlineLevel="3">
      <c r="B106" s="367"/>
      <c r="C106" s="370"/>
      <c r="D106" s="374">
        <f t="shared" si="65"/>
        <v>45565</v>
      </c>
      <c r="E106" s="373" cm="1">
        <f t="array" ref="E106">IF($D106&lt;=LatestMonthOfActuals,0,INDEX($AE$27:$BZ$27,0,MATCH($D106,$AE$8:$BZ$8,0)))</f>
        <v>0</v>
      </c>
      <c r="F106" s="359"/>
      <c r="G106" s="408">
        <f t="shared" si="58"/>
        <v>0</v>
      </c>
      <c r="H106" s="408">
        <f t="shared" si="58"/>
        <v>0</v>
      </c>
      <c r="I106" s="408">
        <f t="shared" si="58"/>
        <v>0</v>
      </c>
      <c r="J106" s="408">
        <f t="shared" si="58"/>
        <v>0</v>
      </c>
      <c r="K106" s="408"/>
      <c r="L106" s="408"/>
      <c r="M106" s="408">
        <f t="shared" si="72"/>
        <v>0</v>
      </c>
      <c r="N106" s="408">
        <f t="shared" si="71"/>
        <v>0</v>
      </c>
      <c r="O106" s="408">
        <f t="shared" si="71"/>
        <v>0</v>
      </c>
      <c r="P106" s="408">
        <f t="shared" si="71"/>
        <v>0</v>
      </c>
      <c r="Q106" s="408">
        <f t="shared" si="71"/>
        <v>0</v>
      </c>
      <c r="R106" s="408">
        <f t="shared" si="71"/>
        <v>0</v>
      </c>
      <c r="S106" s="408">
        <f t="shared" si="71"/>
        <v>0</v>
      </c>
      <c r="T106" s="408">
        <f t="shared" si="71"/>
        <v>0</v>
      </c>
      <c r="U106" s="408">
        <f t="shared" si="71"/>
        <v>0</v>
      </c>
      <c r="V106" s="408">
        <f t="shared" si="71"/>
        <v>0</v>
      </c>
      <c r="W106" s="408">
        <f t="shared" si="71"/>
        <v>0</v>
      </c>
      <c r="X106" s="408">
        <f t="shared" si="71"/>
        <v>0</v>
      </c>
      <c r="Y106" s="408">
        <f t="shared" si="71"/>
        <v>0</v>
      </c>
      <c r="Z106" s="408">
        <f t="shared" si="71"/>
        <v>0</v>
      </c>
      <c r="AA106" s="408">
        <f t="shared" si="71"/>
        <v>0</v>
      </c>
      <c r="AB106" s="408">
        <f t="shared" si="71"/>
        <v>0</v>
      </c>
      <c r="AC106" s="524"/>
      <c r="AD106" s="359"/>
      <c r="AE106" s="524">
        <f t="shared" ref="AE106:AN115" si="73">IFERROR(IF(AE$8&gt;=$D106,$E106*(INDEX($E$18:$E$22,(MATCH(MATCH(AE$8,$D$86:$D$133,0)-MATCH($D106,$D$86:$D$133,0),$D$18:$D$22,0)))),0),0)</f>
        <v>0</v>
      </c>
      <c r="AF106" s="524">
        <f t="shared" si="73"/>
        <v>0</v>
      </c>
      <c r="AG106" s="524">
        <f t="shared" si="73"/>
        <v>0</v>
      </c>
      <c r="AH106" s="524">
        <f t="shared" si="73"/>
        <v>0</v>
      </c>
      <c r="AI106" s="524">
        <f t="shared" si="73"/>
        <v>0</v>
      </c>
      <c r="AJ106" s="524">
        <f t="shared" si="73"/>
        <v>0</v>
      </c>
      <c r="AK106" s="524">
        <f t="shared" si="73"/>
        <v>0</v>
      </c>
      <c r="AL106" s="524">
        <f t="shared" si="73"/>
        <v>0</v>
      </c>
      <c r="AM106" s="524">
        <f t="shared" si="73"/>
        <v>0</v>
      </c>
      <c r="AN106" s="524">
        <f t="shared" si="73"/>
        <v>0</v>
      </c>
      <c r="AO106" s="524">
        <f t="shared" ref="AO106:AX115" si="74">IFERROR(IF(AO$8&gt;=$D106,$E106*(INDEX($E$18:$E$22,(MATCH(MATCH(AO$8,$D$86:$D$133,0)-MATCH($D106,$D$86:$D$133,0),$D$18:$D$22,0)))),0),0)</f>
        <v>0</v>
      </c>
      <c r="AP106" s="524">
        <f t="shared" si="74"/>
        <v>0</v>
      </c>
      <c r="AQ106" s="524">
        <f t="shared" si="74"/>
        <v>0</v>
      </c>
      <c r="AR106" s="524">
        <f t="shared" si="74"/>
        <v>0</v>
      </c>
      <c r="AS106" s="524">
        <f t="shared" si="74"/>
        <v>0</v>
      </c>
      <c r="AT106" s="524">
        <f t="shared" si="74"/>
        <v>0</v>
      </c>
      <c r="AU106" s="524">
        <f t="shared" si="74"/>
        <v>0</v>
      </c>
      <c r="AV106" s="524">
        <f t="shared" si="74"/>
        <v>0</v>
      </c>
      <c r="AW106" s="524">
        <f t="shared" si="74"/>
        <v>0</v>
      </c>
      <c r="AX106" s="524">
        <f t="shared" si="74"/>
        <v>0</v>
      </c>
      <c r="AY106" s="524">
        <f t="shared" ref="AY106:BH115" si="75">IFERROR(IF(AY$8&gt;=$D106,$E106*(INDEX($E$18:$E$22,(MATCH(MATCH(AY$8,$D$86:$D$133,0)-MATCH($D106,$D$86:$D$133,0),$D$18:$D$22,0)))),0),0)</f>
        <v>0</v>
      </c>
      <c r="AZ106" s="524">
        <f t="shared" si="75"/>
        <v>0</v>
      </c>
      <c r="BA106" s="524">
        <f t="shared" si="75"/>
        <v>0</v>
      </c>
      <c r="BB106" s="524">
        <f t="shared" si="75"/>
        <v>0</v>
      </c>
      <c r="BC106" s="524">
        <f t="shared" si="75"/>
        <v>0</v>
      </c>
      <c r="BD106" s="524">
        <f t="shared" si="75"/>
        <v>0</v>
      </c>
      <c r="BE106" s="524">
        <f t="shared" si="75"/>
        <v>0</v>
      </c>
      <c r="BF106" s="524">
        <f t="shared" si="75"/>
        <v>0</v>
      </c>
      <c r="BG106" s="524">
        <f t="shared" si="75"/>
        <v>0</v>
      </c>
      <c r="BH106" s="524">
        <f t="shared" si="75"/>
        <v>0</v>
      </c>
      <c r="BI106" s="524">
        <f t="shared" ref="BI106:BR115" si="76">IFERROR(IF(BI$8&gt;=$D106,$E106*(INDEX($E$18:$E$22,(MATCH(MATCH(BI$8,$D$86:$D$133,0)-MATCH($D106,$D$86:$D$133,0),$D$18:$D$22,0)))),0),0)</f>
        <v>0</v>
      </c>
      <c r="BJ106" s="524">
        <f t="shared" si="76"/>
        <v>0</v>
      </c>
      <c r="BK106" s="524">
        <f t="shared" si="76"/>
        <v>0</v>
      </c>
      <c r="BL106" s="524">
        <f t="shared" si="76"/>
        <v>0</v>
      </c>
      <c r="BM106" s="524">
        <f t="shared" si="76"/>
        <v>0</v>
      </c>
      <c r="BN106" s="524">
        <f t="shared" si="76"/>
        <v>0</v>
      </c>
      <c r="BO106" s="524">
        <f t="shared" si="76"/>
        <v>0</v>
      </c>
      <c r="BP106" s="524">
        <f t="shared" si="76"/>
        <v>0</v>
      </c>
      <c r="BQ106" s="524">
        <f t="shared" si="76"/>
        <v>0</v>
      </c>
      <c r="BR106" s="524">
        <f t="shared" si="76"/>
        <v>0</v>
      </c>
      <c r="BS106" s="524">
        <f t="shared" ref="BS106:BZ115" si="77">IFERROR(IF(BS$8&gt;=$D106,$E106*(INDEX($E$18:$E$22,(MATCH(MATCH(BS$8,$D$86:$D$133,0)-MATCH($D106,$D$86:$D$133,0),$D$18:$D$22,0)))),0),0)</f>
        <v>0</v>
      </c>
      <c r="BT106" s="524">
        <f t="shared" si="77"/>
        <v>0</v>
      </c>
      <c r="BU106" s="524">
        <f t="shared" si="77"/>
        <v>0</v>
      </c>
      <c r="BV106" s="524">
        <f t="shared" si="77"/>
        <v>0</v>
      </c>
      <c r="BW106" s="524">
        <f t="shared" si="77"/>
        <v>0</v>
      </c>
      <c r="BX106" s="524">
        <f t="shared" si="77"/>
        <v>0</v>
      </c>
      <c r="BY106" s="524">
        <f t="shared" si="77"/>
        <v>0</v>
      </c>
      <c r="BZ106" s="524">
        <f t="shared" si="77"/>
        <v>0</v>
      </c>
    </row>
    <row r="107" spans="2:78" ht="21" hidden="1" customHeight="1" outlineLevel="3">
      <c r="B107" s="367"/>
      <c r="C107" s="370"/>
      <c r="D107" s="374">
        <f t="shared" si="65"/>
        <v>45596</v>
      </c>
      <c r="E107" s="373" cm="1">
        <f t="array" ref="E107">IF($D107&lt;=LatestMonthOfActuals,0,INDEX($AE$27:$BZ$27,0,MATCH($D107,$AE$8:$BZ$8,0)))</f>
        <v>0</v>
      </c>
      <c r="F107" s="359"/>
      <c r="G107" s="408">
        <f t="shared" si="58"/>
        <v>0</v>
      </c>
      <c r="H107" s="408">
        <f t="shared" si="58"/>
        <v>0</v>
      </c>
      <c r="I107" s="408">
        <f t="shared" si="58"/>
        <v>0</v>
      </c>
      <c r="J107" s="408">
        <f t="shared" si="58"/>
        <v>0</v>
      </c>
      <c r="K107" s="408"/>
      <c r="L107" s="408"/>
      <c r="M107" s="408">
        <f t="shared" si="72"/>
        <v>0</v>
      </c>
      <c r="N107" s="408">
        <f t="shared" si="71"/>
        <v>0</v>
      </c>
      <c r="O107" s="408">
        <f t="shared" si="71"/>
        <v>0</v>
      </c>
      <c r="P107" s="408">
        <f t="shared" si="71"/>
        <v>0</v>
      </c>
      <c r="Q107" s="408">
        <f t="shared" si="71"/>
        <v>0</v>
      </c>
      <c r="R107" s="408">
        <f t="shared" si="71"/>
        <v>0</v>
      </c>
      <c r="S107" s="408">
        <f t="shared" si="71"/>
        <v>0</v>
      </c>
      <c r="T107" s="408">
        <f t="shared" si="71"/>
        <v>0</v>
      </c>
      <c r="U107" s="408">
        <f t="shared" si="71"/>
        <v>0</v>
      </c>
      <c r="V107" s="408">
        <f t="shared" si="71"/>
        <v>0</v>
      </c>
      <c r="W107" s="408">
        <f t="shared" si="71"/>
        <v>0</v>
      </c>
      <c r="X107" s="408">
        <f t="shared" si="71"/>
        <v>0</v>
      </c>
      <c r="Y107" s="408">
        <f t="shared" si="71"/>
        <v>0</v>
      </c>
      <c r="Z107" s="408">
        <f t="shared" si="71"/>
        <v>0</v>
      </c>
      <c r="AA107" s="408">
        <f t="shared" si="71"/>
        <v>0</v>
      </c>
      <c r="AB107" s="408">
        <f t="shared" si="71"/>
        <v>0</v>
      </c>
      <c r="AC107" s="524"/>
      <c r="AD107" s="359"/>
      <c r="AE107" s="524">
        <f t="shared" si="73"/>
        <v>0</v>
      </c>
      <c r="AF107" s="524">
        <f t="shared" si="73"/>
        <v>0</v>
      </c>
      <c r="AG107" s="524">
        <f t="shared" si="73"/>
        <v>0</v>
      </c>
      <c r="AH107" s="524">
        <f t="shared" si="73"/>
        <v>0</v>
      </c>
      <c r="AI107" s="524">
        <f t="shared" si="73"/>
        <v>0</v>
      </c>
      <c r="AJ107" s="524">
        <f t="shared" si="73"/>
        <v>0</v>
      </c>
      <c r="AK107" s="524">
        <f t="shared" si="73"/>
        <v>0</v>
      </c>
      <c r="AL107" s="524">
        <f t="shared" si="73"/>
        <v>0</v>
      </c>
      <c r="AM107" s="524">
        <f t="shared" si="73"/>
        <v>0</v>
      </c>
      <c r="AN107" s="524">
        <f t="shared" si="73"/>
        <v>0</v>
      </c>
      <c r="AO107" s="524">
        <f t="shared" si="74"/>
        <v>0</v>
      </c>
      <c r="AP107" s="524">
        <f t="shared" si="74"/>
        <v>0</v>
      </c>
      <c r="AQ107" s="524">
        <f t="shared" si="74"/>
        <v>0</v>
      </c>
      <c r="AR107" s="524">
        <f t="shared" si="74"/>
        <v>0</v>
      </c>
      <c r="AS107" s="524">
        <f t="shared" si="74"/>
        <v>0</v>
      </c>
      <c r="AT107" s="524">
        <f t="shared" si="74"/>
        <v>0</v>
      </c>
      <c r="AU107" s="524">
        <f t="shared" si="74"/>
        <v>0</v>
      </c>
      <c r="AV107" s="524">
        <f t="shared" si="74"/>
        <v>0</v>
      </c>
      <c r="AW107" s="524">
        <f t="shared" si="74"/>
        <v>0</v>
      </c>
      <c r="AX107" s="524">
        <f t="shared" si="74"/>
        <v>0</v>
      </c>
      <c r="AY107" s="524">
        <f t="shared" si="75"/>
        <v>0</v>
      </c>
      <c r="AZ107" s="524">
        <f t="shared" si="75"/>
        <v>0</v>
      </c>
      <c r="BA107" s="524">
        <f t="shared" si="75"/>
        <v>0</v>
      </c>
      <c r="BB107" s="524">
        <f t="shared" si="75"/>
        <v>0</v>
      </c>
      <c r="BC107" s="524">
        <f t="shared" si="75"/>
        <v>0</v>
      </c>
      <c r="BD107" s="524">
        <f t="shared" si="75"/>
        <v>0</v>
      </c>
      <c r="BE107" s="524">
        <f t="shared" si="75"/>
        <v>0</v>
      </c>
      <c r="BF107" s="524">
        <f t="shared" si="75"/>
        <v>0</v>
      </c>
      <c r="BG107" s="524">
        <f t="shared" si="75"/>
        <v>0</v>
      </c>
      <c r="BH107" s="524">
        <f t="shared" si="75"/>
        <v>0</v>
      </c>
      <c r="BI107" s="524">
        <f t="shared" si="76"/>
        <v>0</v>
      </c>
      <c r="BJ107" s="524">
        <f t="shared" si="76"/>
        <v>0</v>
      </c>
      <c r="BK107" s="524">
        <f t="shared" si="76"/>
        <v>0</v>
      </c>
      <c r="BL107" s="524">
        <f t="shared" si="76"/>
        <v>0</v>
      </c>
      <c r="BM107" s="524">
        <f t="shared" si="76"/>
        <v>0</v>
      </c>
      <c r="BN107" s="524">
        <f t="shared" si="76"/>
        <v>0</v>
      </c>
      <c r="BO107" s="524">
        <f t="shared" si="76"/>
        <v>0</v>
      </c>
      <c r="BP107" s="524">
        <f t="shared" si="76"/>
        <v>0</v>
      </c>
      <c r="BQ107" s="524">
        <f t="shared" si="76"/>
        <v>0</v>
      </c>
      <c r="BR107" s="524">
        <f t="shared" si="76"/>
        <v>0</v>
      </c>
      <c r="BS107" s="524">
        <f t="shared" si="77"/>
        <v>0</v>
      </c>
      <c r="BT107" s="524">
        <f t="shared" si="77"/>
        <v>0</v>
      </c>
      <c r="BU107" s="524">
        <f t="shared" si="77"/>
        <v>0</v>
      </c>
      <c r="BV107" s="524">
        <f t="shared" si="77"/>
        <v>0</v>
      </c>
      <c r="BW107" s="524">
        <f t="shared" si="77"/>
        <v>0</v>
      </c>
      <c r="BX107" s="524">
        <f t="shared" si="77"/>
        <v>0</v>
      </c>
      <c r="BY107" s="524">
        <f t="shared" si="77"/>
        <v>0</v>
      </c>
      <c r="BZ107" s="524">
        <f t="shared" si="77"/>
        <v>0</v>
      </c>
    </row>
    <row r="108" spans="2:78" ht="21" hidden="1" customHeight="1" outlineLevel="3">
      <c r="B108" s="367"/>
      <c r="C108" s="370"/>
      <c r="D108" s="374">
        <f t="shared" si="65"/>
        <v>45626</v>
      </c>
      <c r="E108" s="373" cm="1">
        <f t="array" ref="E108">IF($D108&lt;=LatestMonthOfActuals,0,INDEX($AE$27:$BZ$27,0,MATCH($D108,$AE$8:$BZ$8,0)))</f>
        <v>0</v>
      </c>
      <c r="F108" s="359"/>
      <c r="G108" s="408">
        <f t="shared" si="58"/>
        <v>0</v>
      </c>
      <c r="H108" s="408">
        <f t="shared" si="58"/>
        <v>0</v>
      </c>
      <c r="I108" s="408">
        <f t="shared" si="58"/>
        <v>0</v>
      </c>
      <c r="J108" s="408">
        <f t="shared" si="58"/>
        <v>0</v>
      </c>
      <c r="K108" s="408"/>
      <c r="L108" s="408"/>
      <c r="M108" s="408">
        <f t="shared" si="72"/>
        <v>0</v>
      </c>
      <c r="N108" s="408">
        <f t="shared" si="71"/>
        <v>0</v>
      </c>
      <c r="O108" s="408">
        <f t="shared" si="71"/>
        <v>0</v>
      </c>
      <c r="P108" s="408">
        <f t="shared" si="71"/>
        <v>0</v>
      </c>
      <c r="Q108" s="408">
        <f t="shared" si="71"/>
        <v>0</v>
      </c>
      <c r="R108" s="408">
        <f t="shared" si="71"/>
        <v>0</v>
      </c>
      <c r="S108" s="408">
        <f t="shared" si="71"/>
        <v>0</v>
      </c>
      <c r="T108" s="408">
        <f t="shared" si="71"/>
        <v>0</v>
      </c>
      <c r="U108" s="408">
        <f t="shared" si="71"/>
        <v>0</v>
      </c>
      <c r="V108" s="408">
        <f t="shared" si="71"/>
        <v>0</v>
      </c>
      <c r="W108" s="408">
        <f t="shared" si="71"/>
        <v>0</v>
      </c>
      <c r="X108" s="408">
        <f t="shared" si="71"/>
        <v>0</v>
      </c>
      <c r="Y108" s="408">
        <f t="shared" si="71"/>
        <v>0</v>
      </c>
      <c r="Z108" s="408">
        <f t="shared" si="71"/>
        <v>0</v>
      </c>
      <c r="AA108" s="408">
        <f t="shared" si="71"/>
        <v>0</v>
      </c>
      <c r="AB108" s="408">
        <f t="shared" si="71"/>
        <v>0</v>
      </c>
      <c r="AC108" s="524"/>
      <c r="AD108" s="359"/>
      <c r="AE108" s="524">
        <f t="shared" si="73"/>
        <v>0</v>
      </c>
      <c r="AF108" s="524">
        <f t="shared" si="73"/>
        <v>0</v>
      </c>
      <c r="AG108" s="524">
        <f t="shared" si="73"/>
        <v>0</v>
      </c>
      <c r="AH108" s="524">
        <f t="shared" si="73"/>
        <v>0</v>
      </c>
      <c r="AI108" s="524">
        <f t="shared" si="73"/>
        <v>0</v>
      </c>
      <c r="AJ108" s="524">
        <f t="shared" si="73"/>
        <v>0</v>
      </c>
      <c r="AK108" s="524">
        <f t="shared" si="73"/>
        <v>0</v>
      </c>
      <c r="AL108" s="524">
        <f t="shared" si="73"/>
        <v>0</v>
      </c>
      <c r="AM108" s="524">
        <f t="shared" si="73"/>
        <v>0</v>
      </c>
      <c r="AN108" s="524">
        <f t="shared" si="73"/>
        <v>0</v>
      </c>
      <c r="AO108" s="524">
        <f t="shared" si="74"/>
        <v>0</v>
      </c>
      <c r="AP108" s="524">
        <f t="shared" si="74"/>
        <v>0</v>
      </c>
      <c r="AQ108" s="524">
        <f t="shared" si="74"/>
        <v>0</v>
      </c>
      <c r="AR108" s="524">
        <f t="shared" si="74"/>
        <v>0</v>
      </c>
      <c r="AS108" s="524">
        <f t="shared" si="74"/>
        <v>0</v>
      </c>
      <c r="AT108" s="524">
        <f t="shared" si="74"/>
        <v>0</v>
      </c>
      <c r="AU108" s="524">
        <f t="shared" si="74"/>
        <v>0</v>
      </c>
      <c r="AV108" s="524">
        <f t="shared" si="74"/>
        <v>0</v>
      </c>
      <c r="AW108" s="524">
        <f t="shared" si="74"/>
        <v>0</v>
      </c>
      <c r="AX108" s="524">
        <f t="shared" si="74"/>
        <v>0</v>
      </c>
      <c r="AY108" s="524">
        <f t="shared" si="75"/>
        <v>0</v>
      </c>
      <c r="AZ108" s="524">
        <f t="shared" si="75"/>
        <v>0</v>
      </c>
      <c r="BA108" s="524">
        <f t="shared" si="75"/>
        <v>0</v>
      </c>
      <c r="BB108" s="524">
        <f t="shared" si="75"/>
        <v>0</v>
      </c>
      <c r="BC108" s="524">
        <f t="shared" si="75"/>
        <v>0</v>
      </c>
      <c r="BD108" s="524">
        <f t="shared" si="75"/>
        <v>0</v>
      </c>
      <c r="BE108" s="524">
        <f t="shared" si="75"/>
        <v>0</v>
      </c>
      <c r="BF108" s="524">
        <f t="shared" si="75"/>
        <v>0</v>
      </c>
      <c r="BG108" s="524">
        <f t="shared" si="75"/>
        <v>0</v>
      </c>
      <c r="BH108" s="524">
        <f t="shared" si="75"/>
        <v>0</v>
      </c>
      <c r="BI108" s="524">
        <f t="shared" si="76"/>
        <v>0</v>
      </c>
      <c r="BJ108" s="524">
        <f t="shared" si="76"/>
        <v>0</v>
      </c>
      <c r="BK108" s="524">
        <f t="shared" si="76"/>
        <v>0</v>
      </c>
      <c r="BL108" s="524">
        <f t="shared" si="76"/>
        <v>0</v>
      </c>
      <c r="BM108" s="524">
        <f t="shared" si="76"/>
        <v>0</v>
      </c>
      <c r="BN108" s="524">
        <f t="shared" si="76"/>
        <v>0</v>
      </c>
      <c r="BO108" s="524">
        <f t="shared" si="76"/>
        <v>0</v>
      </c>
      <c r="BP108" s="524">
        <f t="shared" si="76"/>
        <v>0</v>
      </c>
      <c r="BQ108" s="524">
        <f t="shared" si="76"/>
        <v>0</v>
      </c>
      <c r="BR108" s="524">
        <f t="shared" si="76"/>
        <v>0</v>
      </c>
      <c r="BS108" s="524">
        <f t="shared" si="77"/>
        <v>0</v>
      </c>
      <c r="BT108" s="524">
        <f t="shared" si="77"/>
        <v>0</v>
      </c>
      <c r="BU108" s="524">
        <f t="shared" si="77"/>
        <v>0</v>
      </c>
      <c r="BV108" s="524">
        <f t="shared" si="77"/>
        <v>0</v>
      </c>
      <c r="BW108" s="524">
        <f t="shared" si="77"/>
        <v>0</v>
      </c>
      <c r="BX108" s="524">
        <f t="shared" si="77"/>
        <v>0</v>
      </c>
      <c r="BY108" s="524">
        <f t="shared" si="77"/>
        <v>0</v>
      </c>
      <c r="BZ108" s="524">
        <f t="shared" si="77"/>
        <v>0</v>
      </c>
    </row>
    <row r="109" spans="2:78" ht="21" hidden="1" customHeight="1" outlineLevel="3">
      <c r="B109" s="367"/>
      <c r="C109" s="370"/>
      <c r="D109" s="374">
        <f t="shared" si="65"/>
        <v>45657</v>
      </c>
      <c r="E109" s="373" cm="1">
        <f t="array" ref="E109">IF($D109&lt;=LatestMonthOfActuals,0,INDEX($AE$27:$BZ$27,0,MATCH($D109,$AE$8:$BZ$8,0)))</f>
        <v>0</v>
      </c>
      <c r="F109" s="359"/>
      <c r="G109" s="408">
        <f t="shared" si="58"/>
        <v>0</v>
      </c>
      <c r="H109" s="408">
        <f t="shared" si="58"/>
        <v>0</v>
      </c>
      <c r="I109" s="408">
        <f t="shared" si="58"/>
        <v>0</v>
      </c>
      <c r="J109" s="408">
        <f t="shared" si="58"/>
        <v>0</v>
      </c>
      <c r="K109" s="408"/>
      <c r="L109" s="408"/>
      <c r="M109" s="408">
        <f t="shared" si="72"/>
        <v>0</v>
      </c>
      <c r="N109" s="408">
        <f t="shared" si="71"/>
        <v>0</v>
      </c>
      <c r="O109" s="408">
        <f t="shared" si="71"/>
        <v>0</v>
      </c>
      <c r="P109" s="408">
        <f t="shared" si="71"/>
        <v>0</v>
      </c>
      <c r="Q109" s="408">
        <f t="shared" si="71"/>
        <v>0</v>
      </c>
      <c r="R109" s="408">
        <f t="shared" si="71"/>
        <v>0</v>
      </c>
      <c r="S109" s="408">
        <f t="shared" si="71"/>
        <v>0</v>
      </c>
      <c r="T109" s="408">
        <f t="shared" si="71"/>
        <v>0</v>
      </c>
      <c r="U109" s="408">
        <f t="shared" si="71"/>
        <v>0</v>
      </c>
      <c r="V109" s="408">
        <f t="shared" si="71"/>
        <v>0</v>
      </c>
      <c r="W109" s="408">
        <f t="shared" si="71"/>
        <v>0</v>
      </c>
      <c r="X109" s="408">
        <f t="shared" si="71"/>
        <v>0</v>
      </c>
      <c r="Y109" s="408">
        <f t="shared" si="71"/>
        <v>0</v>
      </c>
      <c r="Z109" s="408">
        <f t="shared" si="71"/>
        <v>0</v>
      </c>
      <c r="AA109" s="408">
        <f t="shared" si="71"/>
        <v>0</v>
      </c>
      <c r="AB109" s="408">
        <f t="shared" si="71"/>
        <v>0</v>
      </c>
      <c r="AC109" s="524"/>
      <c r="AD109" s="359"/>
      <c r="AE109" s="524">
        <f t="shared" si="73"/>
        <v>0</v>
      </c>
      <c r="AF109" s="524">
        <f t="shared" si="73"/>
        <v>0</v>
      </c>
      <c r="AG109" s="524">
        <f t="shared" si="73"/>
        <v>0</v>
      </c>
      <c r="AH109" s="524">
        <f t="shared" si="73"/>
        <v>0</v>
      </c>
      <c r="AI109" s="524">
        <f t="shared" si="73"/>
        <v>0</v>
      </c>
      <c r="AJ109" s="524">
        <f t="shared" si="73"/>
        <v>0</v>
      </c>
      <c r="AK109" s="524">
        <f t="shared" si="73"/>
        <v>0</v>
      </c>
      <c r="AL109" s="524">
        <f t="shared" si="73"/>
        <v>0</v>
      </c>
      <c r="AM109" s="524">
        <f t="shared" si="73"/>
        <v>0</v>
      </c>
      <c r="AN109" s="524">
        <f t="shared" si="73"/>
        <v>0</v>
      </c>
      <c r="AO109" s="524">
        <f t="shared" si="74"/>
        <v>0</v>
      </c>
      <c r="AP109" s="524">
        <f t="shared" si="74"/>
        <v>0</v>
      </c>
      <c r="AQ109" s="524">
        <f t="shared" si="74"/>
        <v>0</v>
      </c>
      <c r="AR109" s="524">
        <f t="shared" si="74"/>
        <v>0</v>
      </c>
      <c r="AS109" s="524">
        <f t="shared" si="74"/>
        <v>0</v>
      </c>
      <c r="AT109" s="524">
        <f t="shared" si="74"/>
        <v>0</v>
      </c>
      <c r="AU109" s="524">
        <f t="shared" si="74"/>
        <v>0</v>
      </c>
      <c r="AV109" s="524">
        <f t="shared" si="74"/>
        <v>0</v>
      </c>
      <c r="AW109" s="524">
        <f t="shared" si="74"/>
        <v>0</v>
      </c>
      <c r="AX109" s="524">
        <f t="shared" si="74"/>
        <v>0</v>
      </c>
      <c r="AY109" s="524">
        <f t="shared" si="75"/>
        <v>0</v>
      </c>
      <c r="AZ109" s="524">
        <f t="shared" si="75"/>
        <v>0</v>
      </c>
      <c r="BA109" s="524">
        <f t="shared" si="75"/>
        <v>0</v>
      </c>
      <c r="BB109" s="524">
        <f t="shared" si="75"/>
        <v>0</v>
      </c>
      <c r="BC109" s="524">
        <f t="shared" si="75"/>
        <v>0</v>
      </c>
      <c r="BD109" s="524">
        <f t="shared" si="75"/>
        <v>0</v>
      </c>
      <c r="BE109" s="524">
        <f t="shared" si="75"/>
        <v>0</v>
      </c>
      <c r="BF109" s="524">
        <f t="shared" si="75"/>
        <v>0</v>
      </c>
      <c r="BG109" s="524">
        <f t="shared" si="75"/>
        <v>0</v>
      </c>
      <c r="BH109" s="524">
        <f t="shared" si="75"/>
        <v>0</v>
      </c>
      <c r="BI109" s="524">
        <f t="shared" si="76"/>
        <v>0</v>
      </c>
      <c r="BJ109" s="524">
        <f t="shared" si="76"/>
        <v>0</v>
      </c>
      <c r="BK109" s="524">
        <f t="shared" si="76"/>
        <v>0</v>
      </c>
      <c r="BL109" s="524">
        <f t="shared" si="76"/>
        <v>0</v>
      </c>
      <c r="BM109" s="524">
        <f t="shared" si="76"/>
        <v>0</v>
      </c>
      <c r="BN109" s="524">
        <f t="shared" si="76"/>
        <v>0</v>
      </c>
      <c r="BO109" s="524">
        <f t="shared" si="76"/>
        <v>0</v>
      </c>
      <c r="BP109" s="524">
        <f t="shared" si="76"/>
        <v>0</v>
      </c>
      <c r="BQ109" s="524">
        <f t="shared" si="76"/>
        <v>0</v>
      </c>
      <c r="BR109" s="524">
        <f t="shared" si="76"/>
        <v>0</v>
      </c>
      <c r="BS109" s="524">
        <f t="shared" si="77"/>
        <v>0</v>
      </c>
      <c r="BT109" s="524">
        <f t="shared" si="77"/>
        <v>0</v>
      </c>
      <c r="BU109" s="524">
        <f t="shared" si="77"/>
        <v>0</v>
      </c>
      <c r="BV109" s="524">
        <f t="shared" si="77"/>
        <v>0</v>
      </c>
      <c r="BW109" s="524">
        <f t="shared" si="77"/>
        <v>0</v>
      </c>
      <c r="BX109" s="524">
        <f t="shared" si="77"/>
        <v>0</v>
      </c>
      <c r="BY109" s="524">
        <f t="shared" si="77"/>
        <v>0</v>
      </c>
      <c r="BZ109" s="524">
        <f t="shared" si="77"/>
        <v>0</v>
      </c>
    </row>
    <row r="110" spans="2:78" ht="21" hidden="1" customHeight="1" outlineLevel="3">
      <c r="B110" s="367"/>
      <c r="C110" s="370"/>
      <c r="D110" s="374">
        <f t="shared" si="65"/>
        <v>45688</v>
      </c>
      <c r="E110" s="373" cm="1">
        <f t="array" ref="E110">IF($D110&lt;=LatestMonthOfActuals,0,INDEX($AE$27:$BZ$27,0,MATCH($D110,$AE$8:$BZ$8,0)))</f>
        <v>0</v>
      </c>
      <c r="F110" s="359"/>
      <c r="G110" s="408">
        <f t="shared" si="58"/>
        <v>0</v>
      </c>
      <c r="H110" s="408">
        <f t="shared" si="58"/>
        <v>0</v>
      </c>
      <c r="I110" s="408">
        <f t="shared" si="58"/>
        <v>0</v>
      </c>
      <c r="J110" s="408">
        <f t="shared" si="58"/>
        <v>0</v>
      </c>
      <c r="K110" s="408"/>
      <c r="L110" s="408"/>
      <c r="M110" s="408">
        <f t="shared" si="72"/>
        <v>0</v>
      </c>
      <c r="N110" s="408">
        <f t="shared" si="71"/>
        <v>0</v>
      </c>
      <c r="O110" s="408">
        <f t="shared" si="71"/>
        <v>0</v>
      </c>
      <c r="P110" s="408">
        <f t="shared" si="71"/>
        <v>0</v>
      </c>
      <c r="Q110" s="408">
        <f t="shared" si="71"/>
        <v>0</v>
      </c>
      <c r="R110" s="408">
        <f t="shared" si="71"/>
        <v>0</v>
      </c>
      <c r="S110" s="408">
        <f t="shared" si="71"/>
        <v>0</v>
      </c>
      <c r="T110" s="408">
        <f t="shared" si="71"/>
        <v>0</v>
      </c>
      <c r="U110" s="408">
        <f t="shared" si="71"/>
        <v>0</v>
      </c>
      <c r="V110" s="408">
        <f t="shared" si="71"/>
        <v>0</v>
      </c>
      <c r="W110" s="408">
        <f t="shared" si="71"/>
        <v>0</v>
      </c>
      <c r="X110" s="408">
        <f t="shared" si="71"/>
        <v>0</v>
      </c>
      <c r="Y110" s="408">
        <f t="shared" si="71"/>
        <v>0</v>
      </c>
      <c r="Z110" s="408">
        <f t="shared" si="71"/>
        <v>0</v>
      </c>
      <c r="AA110" s="408">
        <f t="shared" si="71"/>
        <v>0</v>
      </c>
      <c r="AB110" s="408">
        <f t="shared" si="71"/>
        <v>0</v>
      </c>
      <c r="AC110" s="524"/>
      <c r="AD110" s="359"/>
      <c r="AE110" s="524">
        <f t="shared" si="73"/>
        <v>0</v>
      </c>
      <c r="AF110" s="524">
        <f t="shared" si="73"/>
        <v>0</v>
      </c>
      <c r="AG110" s="524">
        <f t="shared" si="73"/>
        <v>0</v>
      </c>
      <c r="AH110" s="524">
        <f t="shared" si="73"/>
        <v>0</v>
      </c>
      <c r="AI110" s="524">
        <f t="shared" si="73"/>
        <v>0</v>
      </c>
      <c r="AJ110" s="524">
        <f t="shared" si="73"/>
        <v>0</v>
      </c>
      <c r="AK110" s="524">
        <f t="shared" si="73"/>
        <v>0</v>
      </c>
      <c r="AL110" s="524">
        <f t="shared" si="73"/>
        <v>0</v>
      </c>
      <c r="AM110" s="524">
        <f t="shared" si="73"/>
        <v>0</v>
      </c>
      <c r="AN110" s="524">
        <f t="shared" si="73"/>
        <v>0</v>
      </c>
      <c r="AO110" s="524">
        <f t="shared" si="74"/>
        <v>0</v>
      </c>
      <c r="AP110" s="524">
        <f t="shared" si="74"/>
        <v>0</v>
      </c>
      <c r="AQ110" s="524">
        <f t="shared" si="74"/>
        <v>0</v>
      </c>
      <c r="AR110" s="524">
        <f t="shared" si="74"/>
        <v>0</v>
      </c>
      <c r="AS110" s="524">
        <f t="shared" si="74"/>
        <v>0</v>
      </c>
      <c r="AT110" s="524">
        <f t="shared" si="74"/>
        <v>0</v>
      </c>
      <c r="AU110" s="524">
        <f t="shared" si="74"/>
        <v>0</v>
      </c>
      <c r="AV110" s="524">
        <f t="shared" si="74"/>
        <v>0</v>
      </c>
      <c r="AW110" s="524">
        <f t="shared" si="74"/>
        <v>0</v>
      </c>
      <c r="AX110" s="524">
        <f t="shared" si="74"/>
        <v>0</v>
      </c>
      <c r="AY110" s="524">
        <f t="shared" si="75"/>
        <v>0</v>
      </c>
      <c r="AZ110" s="524">
        <f t="shared" si="75"/>
        <v>0</v>
      </c>
      <c r="BA110" s="524">
        <f t="shared" si="75"/>
        <v>0</v>
      </c>
      <c r="BB110" s="524">
        <f t="shared" si="75"/>
        <v>0</v>
      </c>
      <c r="BC110" s="524">
        <f t="shared" si="75"/>
        <v>0</v>
      </c>
      <c r="BD110" s="524">
        <f t="shared" si="75"/>
        <v>0</v>
      </c>
      <c r="BE110" s="524">
        <f t="shared" si="75"/>
        <v>0</v>
      </c>
      <c r="BF110" s="524">
        <f t="shared" si="75"/>
        <v>0</v>
      </c>
      <c r="BG110" s="524">
        <f t="shared" si="75"/>
        <v>0</v>
      </c>
      <c r="BH110" s="524">
        <f t="shared" si="75"/>
        <v>0</v>
      </c>
      <c r="BI110" s="524">
        <f t="shared" si="76"/>
        <v>0</v>
      </c>
      <c r="BJ110" s="524">
        <f t="shared" si="76"/>
        <v>0</v>
      </c>
      <c r="BK110" s="524">
        <f t="shared" si="76"/>
        <v>0</v>
      </c>
      <c r="BL110" s="524">
        <f t="shared" si="76"/>
        <v>0</v>
      </c>
      <c r="BM110" s="524">
        <f t="shared" si="76"/>
        <v>0</v>
      </c>
      <c r="BN110" s="524">
        <f t="shared" si="76"/>
        <v>0</v>
      </c>
      <c r="BO110" s="524">
        <f t="shared" si="76"/>
        <v>0</v>
      </c>
      <c r="BP110" s="524">
        <f t="shared" si="76"/>
        <v>0</v>
      </c>
      <c r="BQ110" s="524">
        <f t="shared" si="76"/>
        <v>0</v>
      </c>
      <c r="BR110" s="524">
        <f t="shared" si="76"/>
        <v>0</v>
      </c>
      <c r="BS110" s="524">
        <f t="shared" si="77"/>
        <v>0</v>
      </c>
      <c r="BT110" s="524">
        <f t="shared" si="77"/>
        <v>0</v>
      </c>
      <c r="BU110" s="524">
        <f t="shared" si="77"/>
        <v>0</v>
      </c>
      <c r="BV110" s="524">
        <f t="shared" si="77"/>
        <v>0</v>
      </c>
      <c r="BW110" s="524">
        <f t="shared" si="77"/>
        <v>0</v>
      </c>
      <c r="BX110" s="524">
        <f t="shared" si="77"/>
        <v>0</v>
      </c>
      <c r="BY110" s="524">
        <f t="shared" si="77"/>
        <v>0</v>
      </c>
      <c r="BZ110" s="524">
        <f t="shared" si="77"/>
        <v>0</v>
      </c>
    </row>
    <row r="111" spans="2:78" ht="21" hidden="1" customHeight="1" outlineLevel="3">
      <c r="B111" s="367"/>
      <c r="C111" s="370"/>
      <c r="D111" s="374">
        <f t="shared" si="65"/>
        <v>45716</v>
      </c>
      <c r="E111" s="373" cm="1">
        <f t="array" ref="E111">IF($D111&lt;=LatestMonthOfActuals,0,INDEX($AE$27:$BZ$27,0,MATCH($D111,$AE$8:$BZ$8,0)))</f>
        <v>0</v>
      </c>
      <c r="F111" s="359"/>
      <c r="G111" s="408">
        <f t="shared" si="58"/>
        <v>0</v>
      </c>
      <c r="H111" s="408">
        <f t="shared" si="58"/>
        <v>0</v>
      </c>
      <c r="I111" s="408">
        <f t="shared" si="58"/>
        <v>0</v>
      </c>
      <c r="J111" s="408">
        <f t="shared" si="58"/>
        <v>0</v>
      </c>
      <c r="K111" s="408"/>
      <c r="L111" s="408"/>
      <c r="M111" s="408">
        <f t="shared" si="72"/>
        <v>0</v>
      </c>
      <c r="N111" s="408">
        <f t="shared" si="71"/>
        <v>0</v>
      </c>
      <c r="O111" s="408">
        <f t="shared" si="71"/>
        <v>0</v>
      </c>
      <c r="P111" s="408">
        <f t="shared" si="71"/>
        <v>0</v>
      </c>
      <c r="Q111" s="408">
        <f t="shared" si="71"/>
        <v>0</v>
      </c>
      <c r="R111" s="408">
        <f t="shared" si="71"/>
        <v>0</v>
      </c>
      <c r="S111" s="408">
        <f t="shared" si="71"/>
        <v>0</v>
      </c>
      <c r="T111" s="408">
        <f t="shared" si="71"/>
        <v>0</v>
      </c>
      <c r="U111" s="408">
        <f t="shared" si="71"/>
        <v>0</v>
      </c>
      <c r="V111" s="408">
        <f t="shared" si="71"/>
        <v>0</v>
      </c>
      <c r="W111" s="408">
        <f t="shared" si="71"/>
        <v>0</v>
      </c>
      <c r="X111" s="408">
        <f t="shared" si="71"/>
        <v>0</v>
      </c>
      <c r="Y111" s="408">
        <f t="shared" si="71"/>
        <v>0</v>
      </c>
      <c r="Z111" s="408">
        <f t="shared" si="71"/>
        <v>0</v>
      </c>
      <c r="AA111" s="408">
        <f t="shared" si="71"/>
        <v>0</v>
      </c>
      <c r="AB111" s="408">
        <f t="shared" si="71"/>
        <v>0</v>
      </c>
      <c r="AC111" s="524"/>
      <c r="AD111" s="359"/>
      <c r="AE111" s="524">
        <f t="shared" si="73"/>
        <v>0</v>
      </c>
      <c r="AF111" s="524">
        <f t="shared" si="73"/>
        <v>0</v>
      </c>
      <c r="AG111" s="524">
        <f t="shared" si="73"/>
        <v>0</v>
      </c>
      <c r="AH111" s="524">
        <f t="shared" si="73"/>
        <v>0</v>
      </c>
      <c r="AI111" s="524">
        <f t="shared" si="73"/>
        <v>0</v>
      </c>
      <c r="AJ111" s="524">
        <f t="shared" si="73"/>
        <v>0</v>
      </c>
      <c r="AK111" s="524">
        <f t="shared" si="73"/>
        <v>0</v>
      </c>
      <c r="AL111" s="524">
        <f t="shared" si="73"/>
        <v>0</v>
      </c>
      <c r="AM111" s="524">
        <f t="shared" si="73"/>
        <v>0</v>
      </c>
      <c r="AN111" s="524">
        <f t="shared" si="73"/>
        <v>0</v>
      </c>
      <c r="AO111" s="524">
        <f t="shared" si="74"/>
        <v>0</v>
      </c>
      <c r="AP111" s="524">
        <f t="shared" si="74"/>
        <v>0</v>
      </c>
      <c r="AQ111" s="524">
        <f t="shared" si="74"/>
        <v>0</v>
      </c>
      <c r="AR111" s="524">
        <f t="shared" si="74"/>
        <v>0</v>
      </c>
      <c r="AS111" s="524">
        <f t="shared" si="74"/>
        <v>0</v>
      </c>
      <c r="AT111" s="524">
        <f t="shared" si="74"/>
        <v>0</v>
      </c>
      <c r="AU111" s="524">
        <f t="shared" si="74"/>
        <v>0</v>
      </c>
      <c r="AV111" s="524">
        <f t="shared" si="74"/>
        <v>0</v>
      </c>
      <c r="AW111" s="524">
        <f t="shared" si="74"/>
        <v>0</v>
      </c>
      <c r="AX111" s="524">
        <f t="shared" si="74"/>
        <v>0</v>
      </c>
      <c r="AY111" s="524">
        <f t="shared" si="75"/>
        <v>0</v>
      </c>
      <c r="AZ111" s="524">
        <f t="shared" si="75"/>
        <v>0</v>
      </c>
      <c r="BA111" s="524">
        <f t="shared" si="75"/>
        <v>0</v>
      </c>
      <c r="BB111" s="524">
        <f t="shared" si="75"/>
        <v>0</v>
      </c>
      <c r="BC111" s="524">
        <f t="shared" si="75"/>
        <v>0</v>
      </c>
      <c r="BD111" s="524">
        <f t="shared" si="75"/>
        <v>0</v>
      </c>
      <c r="BE111" s="524">
        <f t="shared" si="75"/>
        <v>0</v>
      </c>
      <c r="BF111" s="524">
        <f t="shared" si="75"/>
        <v>0</v>
      </c>
      <c r="BG111" s="524">
        <f t="shared" si="75"/>
        <v>0</v>
      </c>
      <c r="BH111" s="524">
        <f t="shared" si="75"/>
        <v>0</v>
      </c>
      <c r="BI111" s="524">
        <f t="shared" si="76"/>
        <v>0</v>
      </c>
      <c r="BJ111" s="524">
        <f t="shared" si="76"/>
        <v>0</v>
      </c>
      <c r="BK111" s="524">
        <f t="shared" si="76"/>
        <v>0</v>
      </c>
      <c r="BL111" s="524">
        <f t="shared" si="76"/>
        <v>0</v>
      </c>
      <c r="BM111" s="524">
        <f t="shared" si="76"/>
        <v>0</v>
      </c>
      <c r="BN111" s="524">
        <f t="shared" si="76"/>
        <v>0</v>
      </c>
      <c r="BO111" s="524">
        <f t="shared" si="76"/>
        <v>0</v>
      </c>
      <c r="BP111" s="524">
        <f t="shared" si="76"/>
        <v>0</v>
      </c>
      <c r="BQ111" s="524">
        <f t="shared" si="76"/>
        <v>0</v>
      </c>
      <c r="BR111" s="524">
        <f t="shared" si="76"/>
        <v>0</v>
      </c>
      <c r="BS111" s="524">
        <f t="shared" si="77"/>
        <v>0</v>
      </c>
      <c r="BT111" s="524">
        <f t="shared" si="77"/>
        <v>0</v>
      </c>
      <c r="BU111" s="524">
        <f t="shared" si="77"/>
        <v>0</v>
      </c>
      <c r="BV111" s="524">
        <f t="shared" si="77"/>
        <v>0</v>
      </c>
      <c r="BW111" s="524">
        <f t="shared" si="77"/>
        <v>0</v>
      </c>
      <c r="BX111" s="524">
        <f t="shared" si="77"/>
        <v>0</v>
      </c>
      <c r="BY111" s="524">
        <f t="shared" si="77"/>
        <v>0</v>
      </c>
      <c r="BZ111" s="524">
        <f t="shared" si="77"/>
        <v>0</v>
      </c>
    </row>
    <row r="112" spans="2:78" ht="21" hidden="1" customHeight="1" outlineLevel="3">
      <c r="B112" s="367"/>
      <c r="C112" s="370"/>
      <c r="D112" s="374">
        <f t="shared" si="65"/>
        <v>45747</v>
      </c>
      <c r="E112" s="373" cm="1">
        <f t="array" ref="E112">IF($D112&lt;=LatestMonthOfActuals,0,INDEX($AE$27:$BZ$27,0,MATCH($D112,$AE$8:$BZ$8,0)))</f>
        <v>0</v>
      </c>
      <c r="F112" s="359"/>
      <c r="G112" s="408">
        <f t="shared" si="58"/>
        <v>0</v>
      </c>
      <c r="H112" s="408">
        <f t="shared" si="58"/>
        <v>0</v>
      </c>
      <c r="I112" s="408">
        <f t="shared" si="58"/>
        <v>0</v>
      </c>
      <c r="J112" s="408">
        <f t="shared" si="58"/>
        <v>0</v>
      </c>
      <c r="K112" s="408"/>
      <c r="L112" s="408"/>
      <c r="M112" s="408">
        <f t="shared" si="72"/>
        <v>0</v>
      </c>
      <c r="N112" s="408">
        <f t="shared" si="71"/>
        <v>0</v>
      </c>
      <c r="O112" s="408">
        <f t="shared" si="71"/>
        <v>0</v>
      </c>
      <c r="P112" s="408">
        <f t="shared" si="71"/>
        <v>0</v>
      </c>
      <c r="Q112" s="408">
        <f t="shared" si="71"/>
        <v>0</v>
      </c>
      <c r="R112" s="408">
        <f t="shared" si="71"/>
        <v>0</v>
      </c>
      <c r="S112" s="408">
        <f t="shared" si="71"/>
        <v>0</v>
      </c>
      <c r="T112" s="408">
        <f t="shared" si="71"/>
        <v>0</v>
      </c>
      <c r="U112" s="408">
        <f t="shared" si="71"/>
        <v>0</v>
      </c>
      <c r="V112" s="408">
        <f t="shared" si="71"/>
        <v>0</v>
      </c>
      <c r="W112" s="408">
        <f t="shared" si="71"/>
        <v>0</v>
      </c>
      <c r="X112" s="408">
        <f t="shared" si="71"/>
        <v>0</v>
      </c>
      <c r="Y112" s="408">
        <f t="shared" si="71"/>
        <v>0</v>
      </c>
      <c r="Z112" s="408">
        <f t="shared" si="71"/>
        <v>0</v>
      </c>
      <c r="AA112" s="408">
        <f t="shared" si="71"/>
        <v>0</v>
      </c>
      <c r="AB112" s="408">
        <f t="shared" si="71"/>
        <v>0</v>
      </c>
      <c r="AC112" s="524"/>
      <c r="AD112" s="359"/>
      <c r="AE112" s="524">
        <f t="shared" si="73"/>
        <v>0</v>
      </c>
      <c r="AF112" s="524">
        <f t="shared" si="73"/>
        <v>0</v>
      </c>
      <c r="AG112" s="524">
        <f t="shared" si="73"/>
        <v>0</v>
      </c>
      <c r="AH112" s="524">
        <f t="shared" si="73"/>
        <v>0</v>
      </c>
      <c r="AI112" s="524">
        <f t="shared" si="73"/>
        <v>0</v>
      </c>
      <c r="AJ112" s="524">
        <f t="shared" si="73"/>
        <v>0</v>
      </c>
      <c r="AK112" s="524">
        <f t="shared" si="73"/>
        <v>0</v>
      </c>
      <c r="AL112" s="524">
        <f t="shared" si="73"/>
        <v>0</v>
      </c>
      <c r="AM112" s="524">
        <f t="shared" si="73"/>
        <v>0</v>
      </c>
      <c r="AN112" s="524">
        <f t="shared" si="73"/>
        <v>0</v>
      </c>
      <c r="AO112" s="524">
        <f t="shared" si="74"/>
        <v>0</v>
      </c>
      <c r="AP112" s="524">
        <f t="shared" si="74"/>
        <v>0</v>
      </c>
      <c r="AQ112" s="524">
        <f t="shared" si="74"/>
        <v>0</v>
      </c>
      <c r="AR112" s="524">
        <f t="shared" si="74"/>
        <v>0</v>
      </c>
      <c r="AS112" s="524">
        <f t="shared" si="74"/>
        <v>0</v>
      </c>
      <c r="AT112" s="524">
        <f t="shared" si="74"/>
        <v>0</v>
      </c>
      <c r="AU112" s="524">
        <f t="shared" si="74"/>
        <v>0</v>
      </c>
      <c r="AV112" s="524">
        <f t="shared" si="74"/>
        <v>0</v>
      </c>
      <c r="AW112" s="524">
        <f t="shared" si="74"/>
        <v>0</v>
      </c>
      <c r="AX112" s="524">
        <f t="shared" si="74"/>
        <v>0</v>
      </c>
      <c r="AY112" s="524">
        <f t="shared" si="75"/>
        <v>0</v>
      </c>
      <c r="AZ112" s="524">
        <f t="shared" si="75"/>
        <v>0</v>
      </c>
      <c r="BA112" s="524">
        <f t="shared" si="75"/>
        <v>0</v>
      </c>
      <c r="BB112" s="524">
        <f t="shared" si="75"/>
        <v>0</v>
      </c>
      <c r="BC112" s="524">
        <f t="shared" si="75"/>
        <v>0</v>
      </c>
      <c r="BD112" s="524">
        <f t="shared" si="75"/>
        <v>0</v>
      </c>
      <c r="BE112" s="524">
        <f t="shared" si="75"/>
        <v>0</v>
      </c>
      <c r="BF112" s="524">
        <f t="shared" si="75"/>
        <v>0</v>
      </c>
      <c r="BG112" s="524">
        <f t="shared" si="75"/>
        <v>0</v>
      </c>
      <c r="BH112" s="524">
        <f t="shared" si="75"/>
        <v>0</v>
      </c>
      <c r="BI112" s="524">
        <f t="shared" si="76"/>
        <v>0</v>
      </c>
      <c r="BJ112" s="524">
        <f t="shared" si="76"/>
        <v>0</v>
      </c>
      <c r="BK112" s="524">
        <f t="shared" si="76"/>
        <v>0</v>
      </c>
      <c r="BL112" s="524">
        <f t="shared" si="76"/>
        <v>0</v>
      </c>
      <c r="BM112" s="524">
        <f t="shared" si="76"/>
        <v>0</v>
      </c>
      <c r="BN112" s="524">
        <f t="shared" si="76"/>
        <v>0</v>
      </c>
      <c r="BO112" s="524">
        <f t="shared" si="76"/>
        <v>0</v>
      </c>
      <c r="BP112" s="524">
        <f t="shared" si="76"/>
        <v>0</v>
      </c>
      <c r="BQ112" s="524">
        <f t="shared" si="76"/>
        <v>0</v>
      </c>
      <c r="BR112" s="524">
        <f t="shared" si="76"/>
        <v>0</v>
      </c>
      <c r="BS112" s="524">
        <f t="shared" si="77"/>
        <v>0</v>
      </c>
      <c r="BT112" s="524">
        <f t="shared" si="77"/>
        <v>0</v>
      </c>
      <c r="BU112" s="524">
        <f t="shared" si="77"/>
        <v>0</v>
      </c>
      <c r="BV112" s="524">
        <f t="shared" si="77"/>
        <v>0</v>
      </c>
      <c r="BW112" s="524">
        <f t="shared" si="77"/>
        <v>0</v>
      </c>
      <c r="BX112" s="524">
        <f t="shared" si="77"/>
        <v>0</v>
      </c>
      <c r="BY112" s="524">
        <f t="shared" si="77"/>
        <v>0</v>
      </c>
      <c r="BZ112" s="524">
        <f t="shared" si="77"/>
        <v>0</v>
      </c>
    </row>
    <row r="113" spans="2:78" ht="21" hidden="1" customHeight="1" outlineLevel="3">
      <c r="B113" s="367"/>
      <c r="C113" s="370"/>
      <c r="D113" s="374">
        <f t="shared" si="65"/>
        <v>45777</v>
      </c>
      <c r="E113" s="373" cm="1">
        <f t="array" ref="E113">IF($D113&lt;=LatestMonthOfActuals,0,INDEX($AE$27:$BZ$27,0,MATCH($D113,$AE$8:$BZ$8,0)))</f>
        <v>0</v>
      </c>
      <c r="F113" s="359"/>
      <c r="G113" s="408">
        <f t="shared" si="58"/>
        <v>0</v>
      </c>
      <c r="H113" s="408">
        <f t="shared" si="58"/>
        <v>0</v>
      </c>
      <c r="I113" s="408">
        <f t="shared" si="58"/>
        <v>0</v>
      </c>
      <c r="J113" s="408">
        <f t="shared" si="58"/>
        <v>0</v>
      </c>
      <c r="K113" s="408"/>
      <c r="L113" s="408"/>
      <c r="M113" s="408">
        <f t="shared" si="72"/>
        <v>0</v>
      </c>
      <c r="N113" s="408">
        <f t="shared" si="71"/>
        <v>0</v>
      </c>
      <c r="O113" s="408">
        <f t="shared" si="71"/>
        <v>0</v>
      </c>
      <c r="P113" s="408">
        <f t="shared" si="71"/>
        <v>0</v>
      </c>
      <c r="Q113" s="408">
        <f t="shared" si="71"/>
        <v>0</v>
      </c>
      <c r="R113" s="408">
        <f t="shared" si="71"/>
        <v>0</v>
      </c>
      <c r="S113" s="408">
        <f t="shared" si="71"/>
        <v>0</v>
      </c>
      <c r="T113" s="408">
        <f t="shared" si="71"/>
        <v>0</v>
      </c>
      <c r="U113" s="408">
        <f t="shared" si="71"/>
        <v>0</v>
      </c>
      <c r="V113" s="408">
        <f t="shared" si="71"/>
        <v>0</v>
      </c>
      <c r="W113" s="408">
        <f t="shared" si="71"/>
        <v>0</v>
      </c>
      <c r="X113" s="408">
        <f t="shared" si="71"/>
        <v>0</v>
      </c>
      <c r="Y113" s="408">
        <f t="shared" si="71"/>
        <v>0</v>
      </c>
      <c r="Z113" s="408">
        <f t="shared" si="71"/>
        <v>0</v>
      </c>
      <c r="AA113" s="408">
        <f t="shared" si="71"/>
        <v>0</v>
      </c>
      <c r="AB113" s="408">
        <f t="shared" si="71"/>
        <v>0</v>
      </c>
      <c r="AC113" s="524"/>
      <c r="AD113" s="359"/>
      <c r="AE113" s="524">
        <f t="shared" si="73"/>
        <v>0</v>
      </c>
      <c r="AF113" s="524">
        <f t="shared" si="73"/>
        <v>0</v>
      </c>
      <c r="AG113" s="524">
        <f t="shared" si="73"/>
        <v>0</v>
      </c>
      <c r="AH113" s="524">
        <f t="shared" si="73"/>
        <v>0</v>
      </c>
      <c r="AI113" s="524">
        <f t="shared" si="73"/>
        <v>0</v>
      </c>
      <c r="AJ113" s="524">
        <f t="shared" si="73"/>
        <v>0</v>
      </c>
      <c r="AK113" s="524">
        <f t="shared" si="73"/>
        <v>0</v>
      </c>
      <c r="AL113" s="524">
        <f t="shared" si="73"/>
        <v>0</v>
      </c>
      <c r="AM113" s="524">
        <f t="shared" si="73"/>
        <v>0</v>
      </c>
      <c r="AN113" s="524">
        <f t="shared" si="73"/>
        <v>0</v>
      </c>
      <c r="AO113" s="524">
        <f t="shared" si="74"/>
        <v>0</v>
      </c>
      <c r="AP113" s="524">
        <f t="shared" si="74"/>
        <v>0</v>
      </c>
      <c r="AQ113" s="524">
        <f t="shared" si="74"/>
        <v>0</v>
      </c>
      <c r="AR113" s="524">
        <f t="shared" si="74"/>
        <v>0</v>
      </c>
      <c r="AS113" s="524">
        <f t="shared" si="74"/>
        <v>0</v>
      </c>
      <c r="AT113" s="524">
        <f t="shared" si="74"/>
        <v>0</v>
      </c>
      <c r="AU113" s="524">
        <f t="shared" si="74"/>
        <v>0</v>
      </c>
      <c r="AV113" s="524">
        <f t="shared" si="74"/>
        <v>0</v>
      </c>
      <c r="AW113" s="524">
        <f t="shared" si="74"/>
        <v>0</v>
      </c>
      <c r="AX113" s="524">
        <f t="shared" si="74"/>
        <v>0</v>
      </c>
      <c r="AY113" s="524">
        <f t="shared" si="75"/>
        <v>0</v>
      </c>
      <c r="AZ113" s="524">
        <f t="shared" si="75"/>
        <v>0</v>
      </c>
      <c r="BA113" s="524">
        <f t="shared" si="75"/>
        <v>0</v>
      </c>
      <c r="BB113" s="524">
        <f t="shared" si="75"/>
        <v>0</v>
      </c>
      <c r="BC113" s="524">
        <f t="shared" si="75"/>
        <v>0</v>
      </c>
      <c r="BD113" s="524">
        <f t="shared" si="75"/>
        <v>0</v>
      </c>
      <c r="BE113" s="524">
        <f t="shared" si="75"/>
        <v>0</v>
      </c>
      <c r="BF113" s="524">
        <f t="shared" si="75"/>
        <v>0</v>
      </c>
      <c r="BG113" s="524">
        <f t="shared" si="75"/>
        <v>0</v>
      </c>
      <c r="BH113" s="524">
        <f t="shared" si="75"/>
        <v>0</v>
      </c>
      <c r="BI113" s="524">
        <f t="shared" si="76"/>
        <v>0</v>
      </c>
      <c r="BJ113" s="524">
        <f t="shared" si="76"/>
        <v>0</v>
      </c>
      <c r="BK113" s="524">
        <f t="shared" si="76"/>
        <v>0</v>
      </c>
      <c r="BL113" s="524">
        <f t="shared" si="76"/>
        <v>0</v>
      </c>
      <c r="BM113" s="524">
        <f t="shared" si="76"/>
        <v>0</v>
      </c>
      <c r="BN113" s="524">
        <f t="shared" si="76"/>
        <v>0</v>
      </c>
      <c r="BO113" s="524">
        <f t="shared" si="76"/>
        <v>0</v>
      </c>
      <c r="BP113" s="524">
        <f t="shared" si="76"/>
        <v>0</v>
      </c>
      <c r="BQ113" s="524">
        <f t="shared" si="76"/>
        <v>0</v>
      </c>
      <c r="BR113" s="524">
        <f t="shared" si="76"/>
        <v>0</v>
      </c>
      <c r="BS113" s="524">
        <f t="shared" si="77"/>
        <v>0</v>
      </c>
      <c r="BT113" s="524">
        <f t="shared" si="77"/>
        <v>0</v>
      </c>
      <c r="BU113" s="524">
        <f t="shared" si="77"/>
        <v>0</v>
      </c>
      <c r="BV113" s="524">
        <f t="shared" si="77"/>
        <v>0</v>
      </c>
      <c r="BW113" s="524">
        <f t="shared" si="77"/>
        <v>0</v>
      </c>
      <c r="BX113" s="524">
        <f t="shared" si="77"/>
        <v>0</v>
      </c>
      <c r="BY113" s="524">
        <f t="shared" si="77"/>
        <v>0</v>
      </c>
      <c r="BZ113" s="524">
        <f t="shared" si="77"/>
        <v>0</v>
      </c>
    </row>
    <row r="114" spans="2:78" ht="21" hidden="1" customHeight="1" outlineLevel="3">
      <c r="B114" s="367"/>
      <c r="C114" s="370"/>
      <c r="D114" s="374">
        <f t="shared" si="65"/>
        <v>45808</v>
      </c>
      <c r="E114" s="373" cm="1">
        <f t="array" ref="E114">IF($D114&lt;=LatestMonthOfActuals,0,INDEX($AE$27:$BZ$27,0,MATCH($D114,$AE$8:$BZ$8,0)))</f>
        <v>0</v>
      </c>
      <c r="F114" s="359"/>
      <c r="G114" s="408">
        <f t="shared" si="58"/>
        <v>0</v>
      </c>
      <c r="H114" s="408">
        <f t="shared" si="58"/>
        <v>0</v>
      </c>
      <c r="I114" s="408">
        <f t="shared" si="58"/>
        <v>0</v>
      </c>
      <c r="J114" s="408">
        <f t="shared" si="58"/>
        <v>0</v>
      </c>
      <c r="K114" s="408"/>
      <c r="L114" s="408"/>
      <c r="M114" s="408">
        <f t="shared" si="72"/>
        <v>0</v>
      </c>
      <c r="N114" s="408">
        <f t="shared" si="71"/>
        <v>0</v>
      </c>
      <c r="O114" s="408">
        <f t="shared" si="71"/>
        <v>0</v>
      </c>
      <c r="P114" s="408">
        <f t="shared" si="71"/>
        <v>0</v>
      </c>
      <c r="Q114" s="408">
        <f t="shared" si="71"/>
        <v>0</v>
      </c>
      <c r="R114" s="408">
        <f t="shared" si="71"/>
        <v>0</v>
      </c>
      <c r="S114" s="408">
        <f t="shared" si="71"/>
        <v>0</v>
      </c>
      <c r="T114" s="408">
        <f t="shared" si="71"/>
        <v>0</v>
      </c>
      <c r="U114" s="408">
        <f t="shared" si="71"/>
        <v>0</v>
      </c>
      <c r="V114" s="408">
        <f t="shared" si="71"/>
        <v>0</v>
      </c>
      <c r="W114" s="408">
        <f t="shared" si="71"/>
        <v>0</v>
      </c>
      <c r="X114" s="408">
        <f t="shared" si="71"/>
        <v>0</v>
      </c>
      <c r="Y114" s="408">
        <f t="shared" si="71"/>
        <v>0</v>
      </c>
      <c r="Z114" s="408">
        <f t="shared" si="71"/>
        <v>0</v>
      </c>
      <c r="AA114" s="408">
        <f t="shared" si="71"/>
        <v>0</v>
      </c>
      <c r="AB114" s="408">
        <f t="shared" si="71"/>
        <v>0</v>
      </c>
      <c r="AC114" s="524"/>
      <c r="AD114" s="359"/>
      <c r="AE114" s="524">
        <f t="shared" si="73"/>
        <v>0</v>
      </c>
      <c r="AF114" s="524">
        <f t="shared" si="73"/>
        <v>0</v>
      </c>
      <c r="AG114" s="524">
        <f t="shared" si="73"/>
        <v>0</v>
      </c>
      <c r="AH114" s="524">
        <f t="shared" si="73"/>
        <v>0</v>
      </c>
      <c r="AI114" s="524">
        <f t="shared" si="73"/>
        <v>0</v>
      </c>
      <c r="AJ114" s="524">
        <f t="shared" si="73"/>
        <v>0</v>
      </c>
      <c r="AK114" s="524">
        <f t="shared" si="73"/>
        <v>0</v>
      </c>
      <c r="AL114" s="524">
        <f t="shared" si="73"/>
        <v>0</v>
      </c>
      <c r="AM114" s="524">
        <f t="shared" si="73"/>
        <v>0</v>
      </c>
      <c r="AN114" s="524">
        <f t="shared" si="73"/>
        <v>0</v>
      </c>
      <c r="AO114" s="524">
        <f t="shared" si="74"/>
        <v>0</v>
      </c>
      <c r="AP114" s="524">
        <f t="shared" si="74"/>
        <v>0</v>
      </c>
      <c r="AQ114" s="524">
        <f t="shared" si="74"/>
        <v>0</v>
      </c>
      <c r="AR114" s="524">
        <f t="shared" si="74"/>
        <v>0</v>
      </c>
      <c r="AS114" s="524">
        <f t="shared" si="74"/>
        <v>0</v>
      </c>
      <c r="AT114" s="524">
        <f t="shared" si="74"/>
        <v>0</v>
      </c>
      <c r="AU114" s="524">
        <f t="shared" si="74"/>
        <v>0</v>
      </c>
      <c r="AV114" s="524">
        <f t="shared" si="74"/>
        <v>0</v>
      </c>
      <c r="AW114" s="524">
        <f t="shared" si="74"/>
        <v>0</v>
      </c>
      <c r="AX114" s="524">
        <f t="shared" si="74"/>
        <v>0</v>
      </c>
      <c r="AY114" s="524">
        <f t="shared" si="75"/>
        <v>0</v>
      </c>
      <c r="AZ114" s="524">
        <f t="shared" si="75"/>
        <v>0</v>
      </c>
      <c r="BA114" s="524">
        <f t="shared" si="75"/>
        <v>0</v>
      </c>
      <c r="BB114" s="524">
        <f t="shared" si="75"/>
        <v>0</v>
      </c>
      <c r="BC114" s="524">
        <f t="shared" si="75"/>
        <v>0</v>
      </c>
      <c r="BD114" s="524">
        <f t="shared" si="75"/>
        <v>0</v>
      </c>
      <c r="BE114" s="524">
        <f t="shared" si="75"/>
        <v>0</v>
      </c>
      <c r="BF114" s="524">
        <f t="shared" si="75"/>
        <v>0</v>
      </c>
      <c r="BG114" s="524">
        <f t="shared" si="75"/>
        <v>0</v>
      </c>
      <c r="BH114" s="524">
        <f t="shared" si="75"/>
        <v>0</v>
      </c>
      <c r="BI114" s="524">
        <f t="shared" si="76"/>
        <v>0</v>
      </c>
      <c r="BJ114" s="524">
        <f t="shared" si="76"/>
        <v>0</v>
      </c>
      <c r="BK114" s="524">
        <f t="shared" si="76"/>
        <v>0</v>
      </c>
      <c r="BL114" s="524">
        <f t="shared" si="76"/>
        <v>0</v>
      </c>
      <c r="BM114" s="524">
        <f t="shared" si="76"/>
        <v>0</v>
      </c>
      <c r="BN114" s="524">
        <f t="shared" si="76"/>
        <v>0</v>
      </c>
      <c r="BO114" s="524">
        <f t="shared" si="76"/>
        <v>0</v>
      </c>
      <c r="BP114" s="524">
        <f t="shared" si="76"/>
        <v>0</v>
      </c>
      <c r="BQ114" s="524">
        <f t="shared" si="76"/>
        <v>0</v>
      </c>
      <c r="BR114" s="524">
        <f t="shared" si="76"/>
        <v>0</v>
      </c>
      <c r="BS114" s="524">
        <f t="shared" si="77"/>
        <v>0</v>
      </c>
      <c r="BT114" s="524">
        <f t="shared" si="77"/>
        <v>0</v>
      </c>
      <c r="BU114" s="524">
        <f t="shared" si="77"/>
        <v>0</v>
      </c>
      <c r="BV114" s="524">
        <f t="shared" si="77"/>
        <v>0</v>
      </c>
      <c r="BW114" s="524">
        <f t="shared" si="77"/>
        <v>0</v>
      </c>
      <c r="BX114" s="524">
        <f t="shared" si="77"/>
        <v>0</v>
      </c>
      <c r="BY114" s="524">
        <f t="shared" si="77"/>
        <v>0</v>
      </c>
      <c r="BZ114" s="524">
        <f t="shared" si="77"/>
        <v>0</v>
      </c>
    </row>
    <row r="115" spans="2:78" ht="21" hidden="1" customHeight="1" outlineLevel="3">
      <c r="B115" s="367"/>
      <c r="C115" s="370"/>
      <c r="D115" s="374">
        <f t="shared" si="65"/>
        <v>45838</v>
      </c>
      <c r="E115" s="373" cm="1">
        <f t="array" ref="E115">IF($D115&lt;=LatestMonthOfActuals,0,INDEX($AE$27:$BZ$27,0,MATCH($D115,$AE$8:$BZ$8,0)))</f>
        <v>0</v>
      </c>
      <c r="F115" s="359"/>
      <c r="G115" s="408">
        <f t="shared" si="58"/>
        <v>0</v>
      </c>
      <c r="H115" s="408">
        <f t="shared" si="58"/>
        <v>0</v>
      </c>
      <c r="I115" s="408">
        <f t="shared" si="58"/>
        <v>0</v>
      </c>
      <c r="J115" s="408">
        <f t="shared" si="58"/>
        <v>0</v>
      </c>
      <c r="K115" s="408"/>
      <c r="L115" s="408"/>
      <c r="M115" s="408">
        <f t="shared" si="72"/>
        <v>0</v>
      </c>
      <c r="N115" s="408">
        <f t="shared" si="71"/>
        <v>0</v>
      </c>
      <c r="O115" s="408">
        <f t="shared" si="71"/>
        <v>0</v>
      </c>
      <c r="P115" s="408">
        <f t="shared" si="71"/>
        <v>0</v>
      </c>
      <c r="Q115" s="408">
        <f t="shared" si="71"/>
        <v>0</v>
      </c>
      <c r="R115" s="408">
        <f t="shared" si="71"/>
        <v>0</v>
      </c>
      <c r="S115" s="408">
        <f t="shared" si="71"/>
        <v>0</v>
      </c>
      <c r="T115" s="408">
        <f t="shared" si="71"/>
        <v>0</v>
      </c>
      <c r="U115" s="408">
        <f t="shared" si="71"/>
        <v>0</v>
      </c>
      <c r="V115" s="408">
        <f t="shared" si="71"/>
        <v>0</v>
      </c>
      <c r="W115" s="408">
        <f t="shared" si="71"/>
        <v>0</v>
      </c>
      <c r="X115" s="408">
        <f t="shared" si="71"/>
        <v>0</v>
      </c>
      <c r="Y115" s="408">
        <f t="shared" si="71"/>
        <v>0</v>
      </c>
      <c r="Z115" s="408">
        <f t="shared" si="71"/>
        <v>0</v>
      </c>
      <c r="AA115" s="408">
        <f t="shared" si="71"/>
        <v>0</v>
      </c>
      <c r="AB115" s="408">
        <f t="shared" si="71"/>
        <v>0</v>
      </c>
      <c r="AC115" s="524"/>
      <c r="AD115" s="359"/>
      <c r="AE115" s="524">
        <f t="shared" si="73"/>
        <v>0</v>
      </c>
      <c r="AF115" s="524">
        <f t="shared" si="73"/>
        <v>0</v>
      </c>
      <c r="AG115" s="524">
        <f t="shared" si="73"/>
        <v>0</v>
      </c>
      <c r="AH115" s="524">
        <f t="shared" si="73"/>
        <v>0</v>
      </c>
      <c r="AI115" s="524">
        <f t="shared" si="73"/>
        <v>0</v>
      </c>
      <c r="AJ115" s="524">
        <f t="shared" si="73"/>
        <v>0</v>
      </c>
      <c r="AK115" s="524">
        <f t="shared" si="73"/>
        <v>0</v>
      </c>
      <c r="AL115" s="524">
        <f t="shared" si="73"/>
        <v>0</v>
      </c>
      <c r="AM115" s="524">
        <f t="shared" si="73"/>
        <v>0</v>
      </c>
      <c r="AN115" s="524">
        <f t="shared" si="73"/>
        <v>0</v>
      </c>
      <c r="AO115" s="524">
        <f t="shared" si="74"/>
        <v>0</v>
      </c>
      <c r="AP115" s="524">
        <f t="shared" si="74"/>
        <v>0</v>
      </c>
      <c r="AQ115" s="524">
        <f t="shared" si="74"/>
        <v>0</v>
      </c>
      <c r="AR115" s="524">
        <f t="shared" si="74"/>
        <v>0</v>
      </c>
      <c r="AS115" s="524">
        <f t="shared" si="74"/>
        <v>0</v>
      </c>
      <c r="AT115" s="524">
        <f t="shared" si="74"/>
        <v>0</v>
      </c>
      <c r="AU115" s="524">
        <f t="shared" si="74"/>
        <v>0</v>
      </c>
      <c r="AV115" s="524">
        <f t="shared" si="74"/>
        <v>0</v>
      </c>
      <c r="AW115" s="524">
        <f t="shared" si="74"/>
        <v>0</v>
      </c>
      <c r="AX115" s="524">
        <f t="shared" si="74"/>
        <v>0</v>
      </c>
      <c r="AY115" s="524">
        <f t="shared" si="75"/>
        <v>0</v>
      </c>
      <c r="AZ115" s="524">
        <f t="shared" si="75"/>
        <v>0</v>
      </c>
      <c r="BA115" s="524">
        <f t="shared" si="75"/>
        <v>0</v>
      </c>
      <c r="BB115" s="524">
        <f t="shared" si="75"/>
        <v>0</v>
      </c>
      <c r="BC115" s="524">
        <f t="shared" si="75"/>
        <v>0</v>
      </c>
      <c r="BD115" s="524">
        <f t="shared" si="75"/>
        <v>0</v>
      </c>
      <c r="BE115" s="524">
        <f t="shared" si="75"/>
        <v>0</v>
      </c>
      <c r="BF115" s="524">
        <f t="shared" si="75"/>
        <v>0</v>
      </c>
      <c r="BG115" s="524">
        <f t="shared" si="75"/>
        <v>0</v>
      </c>
      <c r="BH115" s="524">
        <f t="shared" si="75"/>
        <v>0</v>
      </c>
      <c r="BI115" s="524">
        <f t="shared" si="76"/>
        <v>0</v>
      </c>
      <c r="BJ115" s="524">
        <f t="shared" si="76"/>
        <v>0</v>
      </c>
      <c r="BK115" s="524">
        <f t="shared" si="76"/>
        <v>0</v>
      </c>
      <c r="BL115" s="524">
        <f t="shared" si="76"/>
        <v>0</v>
      </c>
      <c r="BM115" s="524">
        <f t="shared" si="76"/>
        <v>0</v>
      </c>
      <c r="BN115" s="524">
        <f t="shared" si="76"/>
        <v>0</v>
      </c>
      <c r="BO115" s="524">
        <f t="shared" si="76"/>
        <v>0</v>
      </c>
      <c r="BP115" s="524">
        <f t="shared" si="76"/>
        <v>0</v>
      </c>
      <c r="BQ115" s="524">
        <f t="shared" si="76"/>
        <v>0</v>
      </c>
      <c r="BR115" s="524">
        <f t="shared" si="76"/>
        <v>0</v>
      </c>
      <c r="BS115" s="524">
        <f t="shared" si="77"/>
        <v>0</v>
      </c>
      <c r="BT115" s="524">
        <f t="shared" si="77"/>
        <v>0</v>
      </c>
      <c r="BU115" s="524">
        <f t="shared" si="77"/>
        <v>0</v>
      </c>
      <c r="BV115" s="524">
        <f t="shared" si="77"/>
        <v>0</v>
      </c>
      <c r="BW115" s="524">
        <f t="shared" si="77"/>
        <v>0</v>
      </c>
      <c r="BX115" s="524">
        <f t="shared" si="77"/>
        <v>0</v>
      </c>
      <c r="BY115" s="524">
        <f t="shared" si="77"/>
        <v>0</v>
      </c>
      <c r="BZ115" s="524">
        <f t="shared" si="77"/>
        <v>0</v>
      </c>
    </row>
    <row r="116" spans="2:78" ht="21" hidden="1" customHeight="1" outlineLevel="3">
      <c r="B116" s="367"/>
      <c r="C116" s="370"/>
      <c r="D116" s="374">
        <f t="shared" si="65"/>
        <v>45869</v>
      </c>
      <c r="E116" s="373" cm="1">
        <f t="array" ref="E116">IF($D116&lt;=LatestMonthOfActuals,0,INDEX($AE$27:$BZ$27,0,MATCH($D116,$AE$8:$BZ$8,0)))</f>
        <v>0</v>
      </c>
      <c r="F116" s="359"/>
      <c r="G116" s="408">
        <f t="shared" si="58"/>
        <v>0</v>
      </c>
      <c r="H116" s="408">
        <f t="shared" si="58"/>
        <v>0</v>
      </c>
      <c r="I116" s="408">
        <f t="shared" si="58"/>
        <v>0</v>
      </c>
      <c r="J116" s="408">
        <f t="shared" si="58"/>
        <v>0</v>
      </c>
      <c r="K116" s="408"/>
      <c r="L116" s="408"/>
      <c r="M116" s="408">
        <f t="shared" si="72"/>
        <v>0</v>
      </c>
      <c r="N116" s="408">
        <f t="shared" si="71"/>
        <v>0</v>
      </c>
      <c r="O116" s="408">
        <f t="shared" si="71"/>
        <v>0</v>
      </c>
      <c r="P116" s="408">
        <f t="shared" si="71"/>
        <v>0</v>
      </c>
      <c r="Q116" s="408">
        <f t="shared" si="71"/>
        <v>0</v>
      </c>
      <c r="R116" s="408">
        <f t="shared" si="71"/>
        <v>0</v>
      </c>
      <c r="S116" s="408">
        <f t="shared" si="71"/>
        <v>0</v>
      </c>
      <c r="T116" s="408">
        <f t="shared" si="71"/>
        <v>0</v>
      </c>
      <c r="U116" s="408">
        <f t="shared" si="71"/>
        <v>0</v>
      </c>
      <c r="V116" s="408">
        <f t="shared" si="71"/>
        <v>0</v>
      </c>
      <c r="W116" s="408">
        <f t="shared" si="71"/>
        <v>0</v>
      </c>
      <c r="X116" s="408">
        <f t="shared" si="71"/>
        <v>0</v>
      </c>
      <c r="Y116" s="408">
        <f t="shared" si="71"/>
        <v>0</v>
      </c>
      <c r="Z116" s="408">
        <f t="shared" si="71"/>
        <v>0</v>
      </c>
      <c r="AA116" s="408">
        <f t="shared" si="71"/>
        <v>0</v>
      </c>
      <c r="AB116" s="408">
        <f t="shared" si="71"/>
        <v>0</v>
      </c>
      <c r="AC116" s="524"/>
      <c r="AD116" s="359"/>
      <c r="AE116" s="524">
        <f t="shared" ref="AE116:AN125" si="78">IFERROR(IF(AE$8&gt;=$D116,$E116*(INDEX($E$18:$E$22,(MATCH(MATCH(AE$8,$D$86:$D$133,0)-MATCH($D116,$D$86:$D$133,0),$D$18:$D$22,0)))),0),0)</f>
        <v>0</v>
      </c>
      <c r="AF116" s="524">
        <f t="shared" si="78"/>
        <v>0</v>
      </c>
      <c r="AG116" s="524">
        <f t="shared" si="78"/>
        <v>0</v>
      </c>
      <c r="AH116" s="524">
        <f t="shared" si="78"/>
        <v>0</v>
      </c>
      <c r="AI116" s="524">
        <f t="shared" si="78"/>
        <v>0</v>
      </c>
      <c r="AJ116" s="524">
        <f t="shared" si="78"/>
        <v>0</v>
      </c>
      <c r="AK116" s="524">
        <f t="shared" si="78"/>
        <v>0</v>
      </c>
      <c r="AL116" s="524">
        <f t="shared" si="78"/>
        <v>0</v>
      </c>
      <c r="AM116" s="524">
        <f t="shared" si="78"/>
        <v>0</v>
      </c>
      <c r="AN116" s="524">
        <f t="shared" si="78"/>
        <v>0</v>
      </c>
      <c r="AO116" s="524">
        <f t="shared" ref="AO116:AX125" si="79">IFERROR(IF(AO$8&gt;=$D116,$E116*(INDEX($E$18:$E$22,(MATCH(MATCH(AO$8,$D$86:$D$133,0)-MATCH($D116,$D$86:$D$133,0),$D$18:$D$22,0)))),0),0)</f>
        <v>0</v>
      </c>
      <c r="AP116" s="524">
        <f t="shared" si="79"/>
        <v>0</v>
      </c>
      <c r="AQ116" s="524">
        <f t="shared" si="79"/>
        <v>0</v>
      </c>
      <c r="AR116" s="524">
        <f t="shared" si="79"/>
        <v>0</v>
      </c>
      <c r="AS116" s="524">
        <f t="shared" si="79"/>
        <v>0</v>
      </c>
      <c r="AT116" s="524">
        <f t="shared" si="79"/>
        <v>0</v>
      </c>
      <c r="AU116" s="524">
        <f t="shared" si="79"/>
        <v>0</v>
      </c>
      <c r="AV116" s="524">
        <f t="shared" si="79"/>
        <v>0</v>
      </c>
      <c r="AW116" s="524">
        <f t="shared" si="79"/>
        <v>0</v>
      </c>
      <c r="AX116" s="524">
        <f t="shared" si="79"/>
        <v>0</v>
      </c>
      <c r="AY116" s="524">
        <f t="shared" ref="AY116:BH125" si="80">IFERROR(IF(AY$8&gt;=$D116,$E116*(INDEX($E$18:$E$22,(MATCH(MATCH(AY$8,$D$86:$D$133,0)-MATCH($D116,$D$86:$D$133,0),$D$18:$D$22,0)))),0),0)</f>
        <v>0</v>
      </c>
      <c r="AZ116" s="524">
        <f t="shared" si="80"/>
        <v>0</v>
      </c>
      <c r="BA116" s="524">
        <f t="shared" si="80"/>
        <v>0</v>
      </c>
      <c r="BB116" s="524">
        <f t="shared" si="80"/>
        <v>0</v>
      </c>
      <c r="BC116" s="524">
        <f t="shared" si="80"/>
        <v>0</v>
      </c>
      <c r="BD116" s="524">
        <f t="shared" si="80"/>
        <v>0</v>
      </c>
      <c r="BE116" s="524">
        <f t="shared" si="80"/>
        <v>0</v>
      </c>
      <c r="BF116" s="524">
        <f t="shared" si="80"/>
        <v>0</v>
      </c>
      <c r="BG116" s="524">
        <f t="shared" si="80"/>
        <v>0</v>
      </c>
      <c r="BH116" s="524">
        <f t="shared" si="80"/>
        <v>0</v>
      </c>
      <c r="BI116" s="524">
        <f t="shared" ref="BI116:BR125" si="81">IFERROR(IF(BI$8&gt;=$D116,$E116*(INDEX($E$18:$E$22,(MATCH(MATCH(BI$8,$D$86:$D$133,0)-MATCH($D116,$D$86:$D$133,0),$D$18:$D$22,0)))),0),0)</f>
        <v>0</v>
      </c>
      <c r="BJ116" s="524">
        <f t="shared" si="81"/>
        <v>0</v>
      </c>
      <c r="BK116" s="524">
        <f t="shared" si="81"/>
        <v>0</v>
      </c>
      <c r="BL116" s="524">
        <f t="shared" si="81"/>
        <v>0</v>
      </c>
      <c r="BM116" s="524">
        <f t="shared" si="81"/>
        <v>0</v>
      </c>
      <c r="BN116" s="524">
        <f t="shared" si="81"/>
        <v>0</v>
      </c>
      <c r="BO116" s="524">
        <f t="shared" si="81"/>
        <v>0</v>
      </c>
      <c r="BP116" s="524">
        <f t="shared" si="81"/>
        <v>0</v>
      </c>
      <c r="BQ116" s="524">
        <f t="shared" si="81"/>
        <v>0</v>
      </c>
      <c r="BR116" s="524">
        <f t="shared" si="81"/>
        <v>0</v>
      </c>
      <c r="BS116" s="524">
        <f t="shared" ref="BS116:BZ125" si="82">IFERROR(IF(BS$8&gt;=$D116,$E116*(INDEX($E$18:$E$22,(MATCH(MATCH(BS$8,$D$86:$D$133,0)-MATCH($D116,$D$86:$D$133,0),$D$18:$D$22,0)))),0),0)</f>
        <v>0</v>
      </c>
      <c r="BT116" s="524">
        <f t="shared" si="82"/>
        <v>0</v>
      </c>
      <c r="BU116" s="524">
        <f t="shared" si="82"/>
        <v>0</v>
      </c>
      <c r="BV116" s="524">
        <f t="shared" si="82"/>
        <v>0</v>
      </c>
      <c r="BW116" s="524">
        <f t="shared" si="82"/>
        <v>0</v>
      </c>
      <c r="BX116" s="524">
        <f t="shared" si="82"/>
        <v>0</v>
      </c>
      <c r="BY116" s="524">
        <f t="shared" si="82"/>
        <v>0</v>
      </c>
      <c r="BZ116" s="524">
        <f t="shared" si="82"/>
        <v>0</v>
      </c>
    </row>
    <row r="117" spans="2:78" ht="21" hidden="1" customHeight="1" outlineLevel="3">
      <c r="B117" s="367"/>
      <c r="C117" s="370"/>
      <c r="D117" s="374">
        <f t="shared" si="65"/>
        <v>45900</v>
      </c>
      <c r="E117" s="373" cm="1">
        <f t="array" ref="E117">IF($D117&lt;=LatestMonthOfActuals,0,INDEX($AE$27:$BZ$27,0,MATCH($D117,$AE$8:$BZ$8,0)))</f>
        <v>0</v>
      </c>
      <c r="F117" s="359"/>
      <c r="G117" s="408">
        <f t="shared" si="58"/>
        <v>0</v>
      </c>
      <c r="H117" s="408">
        <f t="shared" si="58"/>
        <v>0</v>
      </c>
      <c r="I117" s="408">
        <f t="shared" si="58"/>
        <v>0</v>
      </c>
      <c r="J117" s="408">
        <f t="shared" si="58"/>
        <v>0</v>
      </c>
      <c r="K117" s="408"/>
      <c r="L117" s="408"/>
      <c r="M117" s="408">
        <f t="shared" si="72"/>
        <v>0</v>
      </c>
      <c r="N117" s="408">
        <f t="shared" si="71"/>
        <v>0</v>
      </c>
      <c r="O117" s="408">
        <f t="shared" si="71"/>
        <v>0</v>
      </c>
      <c r="P117" s="408">
        <f t="shared" si="71"/>
        <v>0</v>
      </c>
      <c r="Q117" s="408">
        <f t="shared" si="71"/>
        <v>0</v>
      </c>
      <c r="R117" s="408">
        <f t="shared" si="71"/>
        <v>0</v>
      </c>
      <c r="S117" s="408">
        <f t="shared" si="71"/>
        <v>0</v>
      </c>
      <c r="T117" s="408">
        <f t="shared" si="71"/>
        <v>0</v>
      </c>
      <c r="U117" s="408">
        <f t="shared" si="71"/>
        <v>0</v>
      </c>
      <c r="V117" s="408">
        <f t="shared" si="71"/>
        <v>0</v>
      </c>
      <c r="W117" s="408">
        <f t="shared" si="71"/>
        <v>0</v>
      </c>
      <c r="X117" s="408">
        <f t="shared" si="71"/>
        <v>0</v>
      </c>
      <c r="Y117" s="408">
        <f t="shared" si="71"/>
        <v>0</v>
      </c>
      <c r="Z117" s="408">
        <f t="shared" si="71"/>
        <v>0</v>
      </c>
      <c r="AA117" s="408">
        <f t="shared" si="71"/>
        <v>0</v>
      </c>
      <c r="AB117" s="408">
        <f t="shared" si="71"/>
        <v>0</v>
      </c>
      <c r="AC117" s="524"/>
      <c r="AD117" s="359"/>
      <c r="AE117" s="524">
        <f t="shared" si="78"/>
        <v>0</v>
      </c>
      <c r="AF117" s="524">
        <f t="shared" si="78"/>
        <v>0</v>
      </c>
      <c r="AG117" s="524">
        <f t="shared" si="78"/>
        <v>0</v>
      </c>
      <c r="AH117" s="524">
        <f t="shared" si="78"/>
        <v>0</v>
      </c>
      <c r="AI117" s="524">
        <f t="shared" si="78"/>
        <v>0</v>
      </c>
      <c r="AJ117" s="524">
        <f t="shared" si="78"/>
        <v>0</v>
      </c>
      <c r="AK117" s="524">
        <f t="shared" si="78"/>
        <v>0</v>
      </c>
      <c r="AL117" s="524">
        <f t="shared" si="78"/>
        <v>0</v>
      </c>
      <c r="AM117" s="524">
        <f t="shared" si="78"/>
        <v>0</v>
      </c>
      <c r="AN117" s="524">
        <f t="shared" si="78"/>
        <v>0</v>
      </c>
      <c r="AO117" s="524">
        <f t="shared" si="79"/>
        <v>0</v>
      </c>
      <c r="AP117" s="524">
        <f t="shared" si="79"/>
        <v>0</v>
      </c>
      <c r="AQ117" s="524">
        <f t="shared" si="79"/>
        <v>0</v>
      </c>
      <c r="AR117" s="524">
        <f t="shared" si="79"/>
        <v>0</v>
      </c>
      <c r="AS117" s="524">
        <f t="shared" si="79"/>
        <v>0</v>
      </c>
      <c r="AT117" s="524">
        <f t="shared" si="79"/>
        <v>0</v>
      </c>
      <c r="AU117" s="524">
        <f t="shared" si="79"/>
        <v>0</v>
      </c>
      <c r="AV117" s="524">
        <f t="shared" si="79"/>
        <v>0</v>
      </c>
      <c r="AW117" s="524">
        <f t="shared" si="79"/>
        <v>0</v>
      </c>
      <c r="AX117" s="524">
        <f t="shared" si="79"/>
        <v>0</v>
      </c>
      <c r="AY117" s="524">
        <f t="shared" si="80"/>
        <v>0</v>
      </c>
      <c r="AZ117" s="524">
        <f t="shared" si="80"/>
        <v>0</v>
      </c>
      <c r="BA117" s="524">
        <f t="shared" si="80"/>
        <v>0</v>
      </c>
      <c r="BB117" s="524">
        <f t="shared" si="80"/>
        <v>0</v>
      </c>
      <c r="BC117" s="524">
        <f t="shared" si="80"/>
        <v>0</v>
      </c>
      <c r="BD117" s="524">
        <f t="shared" si="80"/>
        <v>0</v>
      </c>
      <c r="BE117" s="524">
        <f t="shared" si="80"/>
        <v>0</v>
      </c>
      <c r="BF117" s="524">
        <f t="shared" si="80"/>
        <v>0</v>
      </c>
      <c r="BG117" s="524">
        <f t="shared" si="80"/>
        <v>0</v>
      </c>
      <c r="BH117" s="524">
        <f t="shared" si="80"/>
        <v>0</v>
      </c>
      <c r="BI117" s="524">
        <f t="shared" si="81"/>
        <v>0</v>
      </c>
      <c r="BJ117" s="524">
        <f t="shared" si="81"/>
        <v>0</v>
      </c>
      <c r="BK117" s="524">
        <f t="shared" si="81"/>
        <v>0</v>
      </c>
      <c r="BL117" s="524">
        <f t="shared" si="81"/>
        <v>0</v>
      </c>
      <c r="BM117" s="524">
        <f t="shared" si="81"/>
        <v>0</v>
      </c>
      <c r="BN117" s="524">
        <f t="shared" si="81"/>
        <v>0</v>
      </c>
      <c r="BO117" s="524">
        <f t="shared" si="81"/>
        <v>0</v>
      </c>
      <c r="BP117" s="524">
        <f t="shared" si="81"/>
        <v>0</v>
      </c>
      <c r="BQ117" s="524">
        <f t="shared" si="81"/>
        <v>0</v>
      </c>
      <c r="BR117" s="524">
        <f t="shared" si="81"/>
        <v>0</v>
      </c>
      <c r="BS117" s="524">
        <f t="shared" si="82"/>
        <v>0</v>
      </c>
      <c r="BT117" s="524">
        <f t="shared" si="82"/>
        <v>0</v>
      </c>
      <c r="BU117" s="524">
        <f t="shared" si="82"/>
        <v>0</v>
      </c>
      <c r="BV117" s="524">
        <f t="shared" si="82"/>
        <v>0</v>
      </c>
      <c r="BW117" s="524">
        <f t="shared" si="82"/>
        <v>0</v>
      </c>
      <c r="BX117" s="524">
        <f t="shared" si="82"/>
        <v>0</v>
      </c>
      <c r="BY117" s="524">
        <f t="shared" si="82"/>
        <v>0</v>
      </c>
      <c r="BZ117" s="524">
        <f t="shared" si="82"/>
        <v>0</v>
      </c>
    </row>
    <row r="118" spans="2:78" ht="21" hidden="1" customHeight="1" outlineLevel="3">
      <c r="B118" s="367"/>
      <c r="C118" s="370"/>
      <c r="D118" s="374">
        <f t="shared" si="65"/>
        <v>45930</v>
      </c>
      <c r="E118" s="373" cm="1">
        <f t="array" ref="E118">IF($D118&lt;=LatestMonthOfActuals,0,INDEX($AE$27:$BZ$27,0,MATCH($D118,$AE$8:$BZ$8,0)))</f>
        <v>0</v>
      </c>
      <c r="F118" s="359"/>
      <c r="G118" s="408">
        <f t="shared" si="58"/>
        <v>0</v>
      </c>
      <c r="H118" s="408">
        <f t="shared" si="58"/>
        <v>0</v>
      </c>
      <c r="I118" s="408">
        <f t="shared" si="58"/>
        <v>0</v>
      </c>
      <c r="J118" s="408">
        <f t="shared" si="58"/>
        <v>0</v>
      </c>
      <c r="K118" s="408"/>
      <c r="L118" s="408"/>
      <c r="M118" s="408">
        <f t="shared" si="72"/>
        <v>0</v>
      </c>
      <c r="N118" s="408">
        <f t="shared" si="71"/>
        <v>0</v>
      </c>
      <c r="O118" s="408">
        <f t="shared" si="71"/>
        <v>0</v>
      </c>
      <c r="P118" s="408">
        <f t="shared" si="71"/>
        <v>0</v>
      </c>
      <c r="Q118" s="408">
        <f t="shared" si="71"/>
        <v>0</v>
      </c>
      <c r="R118" s="408">
        <f t="shared" si="71"/>
        <v>0</v>
      </c>
      <c r="S118" s="408">
        <f t="shared" si="71"/>
        <v>0</v>
      </c>
      <c r="T118" s="408">
        <f t="shared" si="71"/>
        <v>0</v>
      </c>
      <c r="U118" s="408">
        <f t="shared" si="71"/>
        <v>0</v>
      </c>
      <c r="V118" s="408">
        <f t="shared" si="71"/>
        <v>0</v>
      </c>
      <c r="W118" s="408">
        <f t="shared" si="71"/>
        <v>0</v>
      </c>
      <c r="X118" s="408">
        <f t="shared" si="71"/>
        <v>0</v>
      </c>
      <c r="Y118" s="408">
        <f t="shared" si="71"/>
        <v>0</v>
      </c>
      <c r="Z118" s="408">
        <f t="shared" si="71"/>
        <v>0</v>
      </c>
      <c r="AA118" s="408">
        <f t="shared" si="71"/>
        <v>0</v>
      </c>
      <c r="AB118" s="408">
        <f t="shared" ref="N118:AB133" si="83">SUMIFS($AE118:$BZ118,$AE$5:$BZ$5,"&gt;="&amp;AB$4,$AE$5:$BZ$5,"&lt;="&amp;AB$5)</f>
        <v>0</v>
      </c>
      <c r="AC118" s="524"/>
      <c r="AD118" s="359"/>
      <c r="AE118" s="524">
        <f t="shared" si="78"/>
        <v>0</v>
      </c>
      <c r="AF118" s="524">
        <f t="shared" si="78"/>
        <v>0</v>
      </c>
      <c r="AG118" s="524">
        <f t="shared" si="78"/>
        <v>0</v>
      </c>
      <c r="AH118" s="524">
        <f t="shared" si="78"/>
        <v>0</v>
      </c>
      <c r="AI118" s="524">
        <f t="shared" si="78"/>
        <v>0</v>
      </c>
      <c r="AJ118" s="524">
        <f t="shared" si="78"/>
        <v>0</v>
      </c>
      <c r="AK118" s="524">
        <f t="shared" si="78"/>
        <v>0</v>
      </c>
      <c r="AL118" s="524">
        <f t="shared" si="78"/>
        <v>0</v>
      </c>
      <c r="AM118" s="524">
        <f t="shared" si="78"/>
        <v>0</v>
      </c>
      <c r="AN118" s="524">
        <f t="shared" si="78"/>
        <v>0</v>
      </c>
      <c r="AO118" s="524">
        <f t="shared" si="79"/>
        <v>0</v>
      </c>
      <c r="AP118" s="524">
        <f t="shared" si="79"/>
        <v>0</v>
      </c>
      <c r="AQ118" s="524">
        <f t="shared" si="79"/>
        <v>0</v>
      </c>
      <c r="AR118" s="524">
        <f t="shared" si="79"/>
        <v>0</v>
      </c>
      <c r="AS118" s="524">
        <f t="shared" si="79"/>
        <v>0</v>
      </c>
      <c r="AT118" s="524">
        <f t="shared" si="79"/>
        <v>0</v>
      </c>
      <c r="AU118" s="524">
        <f t="shared" si="79"/>
        <v>0</v>
      </c>
      <c r="AV118" s="524">
        <f t="shared" si="79"/>
        <v>0</v>
      </c>
      <c r="AW118" s="524">
        <f t="shared" si="79"/>
        <v>0</v>
      </c>
      <c r="AX118" s="524">
        <f t="shared" si="79"/>
        <v>0</v>
      </c>
      <c r="AY118" s="524">
        <f t="shared" si="80"/>
        <v>0</v>
      </c>
      <c r="AZ118" s="524">
        <f t="shared" si="80"/>
        <v>0</v>
      </c>
      <c r="BA118" s="524">
        <f t="shared" si="80"/>
        <v>0</v>
      </c>
      <c r="BB118" s="524">
        <f t="shared" si="80"/>
        <v>0</v>
      </c>
      <c r="BC118" s="524">
        <f t="shared" si="80"/>
        <v>0</v>
      </c>
      <c r="BD118" s="524">
        <f t="shared" si="80"/>
        <v>0</v>
      </c>
      <c r="BE118" s="524">
        <f t="shared" si="80"/>
        <v>0</v>
      </c>
      <c r="BF118" s="524">
        <f t="shared" si="80"/>
        <v>0</v>
      </c>
      <c r="BG118" s="524">
        <f t="shared" si="80"/>
        <v>0</v>
      </c>
      <c r="BH118" s="524">
        <f t="shared" si="80"/>
        <v>0</v>
      </c>
      <c r="BI118" s="524">
        <f t="shared" si="81"/>
        <v>0</v>
      </c>
      <c r="BJ118" s="524">
        <f t="shared" si="81"/>
        <v>0</v>
      </c>
      <c r="BK118" s="524">
        <f t="shared" si="81"/>
        <v>0</v>
      </c>
      <c r="BL118" s="524">
        <f t="shared" si="81"/>
        <v>0</v>
      </c>
      <c r="BM118" s="524">
        <f t="shared" si="81"/>
        <v>0</v>
      </c>
      <c r="BN118" s="524">
        <f t="shared" si="81"/>
        <v>0</v>
      </c>
      <c r="BO118" s="524">
        <f t="shared" si="81"/>
        <v>0</v>
      </c>
      <c r="BP118" s="524">
        <f t="shared" si="81"/>
        <v>0</v>
      </c>
      <c r="BQ118" s="524">
        <f t="shared" si="81"/>
        <v>0</v>
      </c>
      <c r="BR118" s="524">
        <f t="shared" si="81"/>
        <v>0</v>
      </c>
      <c r="BS118" s="524">
        <f t="shared" si="82"/>
        <v>0</v>
      </c>
      <c r="BT118" s="524">
        <f t="shared" si="82"/>
        <v>0</v>
      </c>
      <c r="BU118" s="524">
        <f t="shared" si="82"/>
        <v>0</v>
      </c>
      <c r="BV118" s="524">
        <f t="shared" si="82"/>
        <v>0</v>
      </c>
      <c r="BW118" s="524">
        <f t="shared" si="82"/>
        <v>0</v>
      </c>
      <c r="BX118" s="524">
        <f t="shared" si="82"/>
        <v>0</v>
      </c>
      <c r="BY118" s="524">
        <f t="shared" si="82"/>
        <v>0</v>
      </c>
      <c r="BZ118" s="524">
        <f t="shared" si="82"/>
        <v>0</v>
      </c>
    </row>
    <row r="119" spans="2:78" ht="21" hidden="1" customHeight="1" outlineLevel="3">
      <c r="B119" s="367"/>
      <c r="C119" s="370"/>
      <c r="D119" s="374">
        <f t="shared" si="65"/>
        <v>45961</v>
      </c>
      <c r="E119" s="373" cm="1">
        <f t="array" ref="E119">IF($D119&lt;=LatestMonthOfActuals,0,INDEX($AE$27:$BZ$27,0,MATCH($D119,$AE$8:$BZ$8,0)))</f>
        <v>0</v>
      </c>
      <c r="F119" s="359"/>
      <c r="G119" s="408">
        <f t="shared" si="58"/>
        <v>0</v>
      </c>
      <c r="H119" s="408">
        <f t="shared" si="58"/>
        <v>0</v>
      </c>
      <c r="I119" s="408">
        <f t="shared" si="58"/>
        <v>0</v>
      </c>
      <c r="J119" s="408">
        <f t="shared" si="58"/>
        <v>0</v>
      </c>
      <c r="K119" s="408"/>
      <c r="L119" s="408"/>
      <c r="M119" s="408">
        <f t="shared" si="72"/>
        <v>0</v>
      </c>
      <c r="N119" s="408">
        <f t="shared" si="83"/>
        <v>0</v>
      </c>
      <c r="O119" s="408">
        <f t="shared" si="83"/>
        <v>0</v>
      </c>
      <c r="P119" s="408">
        <f t="shared" si="83"/>
        <v>0</v>
      </c>
      <c r="Q119" s="408">
        <f t="shared" si="83"/>
        <v>0</v>
      </c>
      <c r="R119" s="408">
        <f t="shared" si="83"/>
        <v>0</v>
      </c>
      <c r="S119" s="408">
        <f t="shared" si="83"/>
        <v>0</v>
      </c>
      <c r="T119" s="408">
        <f t="shared" si="83"/>
        <v>0</v>
      </c>
      <c r="U119" s="408">
        <f t="shared" si="83"/>
        <v>0</v>
      </c>
      <c r="V119" s="408">
        <f t="shared" si="83"/>
        <v>0</v>
      </c>
      <c r="W119" s="408">
        <f t="shared" si="83"/>
        <v>0</v>
      </c>
      <c r="X119" s="408">
        <f t="shared" si="83"/>
        <v>0</v>
      </c>
      <c r="Y119" s="408">
        <f t="shared" si="83"/>
        <v>0</v>
      </c>
      <c r="Z119" s="408">
        <f t="shared" si="83"/>
        <v>0</v>
      </c>
      <c r="AA119" s="408">
        <f t="shared" si="83"/>
        <v>0</v>
      </c>
      <c r="AB119" s="408">
        <f t="shared" si="83"/>
        <v>0</v>
      </c>
      <c r="AC119" s="524"/>
      <c r="AD119" s="359"/>
      <c r="AE119" s="524">
        <f t="shared" si="78"/>
        <v>0</v>
      </c>
      <c r="AF119" s="524">
        <f t="shared" si="78"/>
        <v>0</v>
      </c>
      <c r="AG119" s="524">
        <f t="shared" si="78"/>
        <v>0</v>
      </c>
      <c r="AH119" s="524">
        <f t="shared" si="78"/>
        <v>0</v>
      </c>
      <c r="AI119" s="524">
        <f t="shared" si="78"/>
        <v>0</v>
      </c>
      <c r="AJ119" s="524">
        <f t="shared" si="78"/>
        <v>0</v>
      </c>
      <c r="AK119" s="524">
        <f t="shared" si="78"/>
        <v>0</v>
      </c>
      <c r="AL119" s="524">
        <f t="shared" si="78"/>
        <v>0</v>
      </c>
      <c r="AM119" s="524">
        <f t="shared" si="78"/>
        <v>0</v>
      </c>
      <c r="AN119" s="524">
        <f t="shared" si="78"/>
        <v>0</v>
      </c>
      <c r="AO119" s="524">
        <f t="shared" si="79"/>
        <v>0</v>
      </c>
      <c r="AP119" s="524">
        <f t="shared" si="79"/>
        <v>0</v>
      </c>
      <c r="AQ119" s="524">
        <f t="shared" si="79"/>
        <v>0</v>
      </c>
      <c r="AR119" s="524">
        <f t="shared" si="79"/>
        <v>0</v>
      </c>
      <c r="AS119" s="524">
        <f t="shared" si="79"/>
        <v>0</v>
      </c>
      <c r="AT119" s="524">
        <f t="shared" si="79"/>
        <v>0</v>
      </c>
      <c r="AU119" s="524">
        <f t="shared" si="79"/>
        <v>0</v>
      </c>
      <c r="AV119" s="524">
        <f t="shared" si="79"/>
        <v>0</v>
      </c>
      <c r="AW119" s="524">
        <f t="shared" si="79"/>
        <v>0</v>
      </c>
      <c r="AX119" s="524">
        <f t="shared" si="79"/>
        <v>0</v>
      </c>
      <c r="AY119" s="524">
        <f t="shared" si="80"/>
        <v>0</v>
      </c>
      <c r="AZ119" s="524">
        <f t="shared" si="80"/>
        <v>0</v>
      </c>
      <c r="BA119" s="524">
        <f t="shared" si="80"/>
        <v>0</v>
      </c>
      <c r="BB119" s="524">
        <f t="shared" si="80"/>
        <v>0</v>
      </c>
      <c r="BC119" s="524">
        <f t="shared" si="80"/>
        <v>0</v>
      </c>
      <c r="BD119" s="524">
        <f t="shared" si="80"/>
        <v>0</v>
      </c>
      <c r="BE119" s="524">
        <f t="shared" si="80"/>
        <v>0</v>
      </c>
      <c r="BF119" s="524">
        <f t="shared" si="80"/>
        <v>0</v>
      </c>
      <c r="BG119" s="524">
        <f t="shared" si="80"/>
        <v>0</v>
      </c>
      <c r="BH119" s="524">
        <f t="shared" si="80"/>
        <v>0</v>
      </c>
      <c r="BI119" s="524">
        <f t="shared" si="81"/>
        <v>0</v>
      </c>
      <c r="BJ119" s="524">
        <f t="shared" si="81"/>
        <v>0</v>
      </c>
      <c r="BK119" s="524">
        <f t="shared" si="81"/>
        <v>0</v>
      </c>
      <c r="BL119" s="524">
        <f t="shared" si="81"/>
        <v>0</v>
      </c>
      <c r="BM119" s="524">
        <f t="shared" si="81"/>
        <v>0</v>
      </c>
      <c r="BN119" s="524">
        <f t="shared" si="81"/>
        <v>0</v>
      </c>
      <c r="BO119" s="524">
        <f t="shared" si="81"/>
        <v>0</v>
      </c>
      <c r="BP119" s="524">
        <f t="shared" si="81"/>
        <v>0</v>
      </c>
      <c r="BQ119" s="524">
        <f t="shared" si="81"/>
        <v>0</v>
      </c>
      <c r="BR119" s="524">
        <f t="shared" si="81"/>
        <v>0</v>
      </c>
      <c r="BS119" s="524">
        <f t="shared" si="82"/>
        <v>0</v>
      </c>
      <c r="BT119" s="524">
        <f t="shared" si="82"/>
        <v>0</v>
      </c>
      <c r="BU119" s="524">
        <f t="shared" si="82"/>
        <v>0</v>
      </c>
      <c r="BV119" s="524">
        <f t="shared" si="82"/>
        <v>0</v>
      </c>
      <c r="BW119" s="524">
        <f t="shared" si="82"/>
        <v>0</v>
      </c>
      <c r="BX119" s="524">
        <f t="shared" si="82"/>
        <v>0</v>
      </c>
      <c r="BY119" s="524">
        <f t="shared" si="82"/>
        <v>0</v>
      </c>
      <c r="BZ119" s="524">
        <f t="shared" si="82"/>
        <v>0</v>
      </c>
    </row>
    <row r="120" spans="2:78" ht="21" hidden="1" customHeight="1" outlineLevel="3">
      <c r="B120" s="367"/>
      <c r="C120" s="370"/>
      <c r="D120" s="374">
        <f t="shared" si="65"/>
        <v>45991</v>
      </c>
      <c r="E120" s="373" cm="1">
        <f t="array" ref="E120">IF($D120&lt;=LatestMonthOfActuals,0,INDEX($AE$27:$BZ$27,0,MATCH($D120,$AE$8:$BZ$8,0)))</f>
        <v>0</v>
      </c>
      <c r="F120" s="359"/>
      <c r="G120" s="408">
        <f t="shared" si="58"/>
        <v>0</v>
      </c>
      <c r="H120" s="408">
        <f t="shared" si="58"/>
        <v>0</v>
      </c>
      <c r="I120" s="408">
        <f t="shared" si="58"/>
        <v>0</v>
      </c>
      <c r="J120" s="408">
        <f t="shared" si="58"/>
        <v>0</v>
      </c>
      <c r="K120" s="408"/>
      <c r="L120" s="408"/>
      <c r="M120" s="408">
        <f t="shared" si="72"/>
        <v>0</v>
      </c>
      <c r="N120" s="408">
        <f t="shared" si="83"/>
        <v>0</v>
      </c>
      <c r="O120" s="408">
        <f t="shared" si="83"/>
        <v>0</v>
      </c>
      <c r="P120" s="408">
        <f t="shared" si="83"/>
        <v>0</v>
      </c>
      <c r="Q120" s="408">
        <f t="shared" si="83"/>
        <v>0</v>
      </c>
      <c r="R120" s="408">
        <f t="shared" si="83"/>
        <v>0</v>
      </c>
      <c r="S120" s="408">
        <f t="shared" si="83"/>
        <v>0</v>
      </c>
      <c r="T120" s="408">
        <f t="shared" si="83"/>
        <v>0</v>
      </c>
      <c r="U120" s="408">
        <f t="shared" si="83"/>
        <v>0</v>
      </c>
      <c r="V120" s="408">
        <f t="shared" si="83"/>
        <v>0</v>
      </c>
      <c r="W120" s="408">
        <f t="shared" si="83"/>
        <v>0</v>
      </c>
      <c r="X120" s="408">
        <f t="shared" si="83"/>
        <v>0</v>
      </c>
      <c r="Y120" s="408">
        <f t="shared" si="83"/>
        <v>0</v>
      </c>
      <c r="Z120" s="408">
        <f t="shared" si="83"/>
        <v>0</v>
      </c>
      <c r="AA120" s="408">
        <f t="shared" si="83"/>
        <v>0</v>
      </c>
      <c r="AB120" s="408">
        <f t="shared" si="83"/>
        <v>0</v>
      </c>
      <c r="AC120" s="524"/>
      <c r="AD120" s="359"/>
      <c r="AE120" s="524">
        <f t="shared" si="78"/>
        <v>0</v>
      </c>
      <c r="AF120" s="524">
        <f t="shared" si="78"/>
        <v>0</v>
      </c>
      <c r="AG120" s="524">
        <f t="shared" si="78"/>
        <v>0</v>
      </c>
      <c r="AH120" s="524">
        <f t="shared" si="78"/>
        <v>0</v>
      </c>
      <c r="AI120" s="524">
        <f t="shared" si="78"/>
        <v>0</v>
      </c>
      <c r="AJ120" s="524">
        <f t="shared" si="78"/>
        <v>0</v>
      </c>
      <c r="AK120" s="524">
        <f t="shared" si="78"/>
        <v>0</v>
      </c>
      <c r="AL120" s="524">
        <f t="shared" si="78"/>
        <v>0</v>
      </c>
      <c r="AM120" s="524">
        <f t="shared" si="78"/>
        <v>0</v>
      </c>
      <c r="AN120" s="524">
        <f t="shared" si="78"/>
        <v>0</v>
      </c>
      <c r="AO120" s="524">
        <f t="shared" si="79"/>
        <v>0</v>
      </c>
      <c r="AP120" s="524">
        <f t="shared" si="79"/>
        <v>0</v>
      </c>
      <c r="AQ120" s="524">
        <f t="shared" si="79"/>
        <v>0</v>
      </c>
      <c r="AR120" s="524">
        <f t="shared" si="79"/>
        <v>0</v>
      </c>
      <c r="AS120" s="524">
        <f t="shared" si="79"/>
        <v>0</v>
      </c>
      <c r="AT120" s="524">
        <f t="shared" si="79"/>
        <v>0</v>
      </c>
      <c r="AU120" s="524">
        <f t="shared" si="79"/>
        <v>0</v>
      </c>
      <c r="AV120" s="524">
        <f t="shared" si="79"/>
        <v>0</v>
      </c>
      <c r="AW120" s="524">
        <f t="shared" si="79"/>
        <v>0</v>
      </c>
      <c r="AX120" s="524">
        <f t="shared" si="79"/>
        <v>0</v>
      </c>
      <c r="AY120" s="524">
        <f t="shared" si="80"/>
        <v>0</v>
      </c>
      <c r="AZ120" s="524">
        <f t="shared" si="80"/>
        <v>0</v>
      </c>
      <c r="BA120" s="524">
        <f t="shared" si="80"/>
        <v>0</v>
      </c>
      <c r="BB120" s="524">
        <f t="shared" si="80"/>
        <v>0</v>
      </c>
      <c r="BC120" s="524">
        <f t="shared" si="80"/>
        <v>0</v>
      </c>
      <c r="BD120" s="524">
        <f t="shared" si="80"/>
        <v>0</v>
      </c>
      <c r="BE120" s="524">
        <f t="shared" si="80"/>
        <v>0</v>
      </c>
      <c r="BF120" s="524">
        <f t="shared" si="80"/>
        <v>0</v>
      </c>
      <c r="BG120" s="524">
        <f t="shared" si="80"/>
        <v>0</v>
      </c>
      <c r="BH120" s="524">
        <f t="shared" si="80"/>
        <v>0</v>
      </c>
      <c r="BI120" s="524">
        <f t="shared" si="81"/>
        <v>0</v>
      </c>
      <c r="BJ120" s="524">
        <f t="shared" si="81"/>
        <v>0</v>
      </c>
      <c r="BK120" s="524">
        <f t="shared" si="81"/>
        <v>0</v>
      </c>
      <c r="BL120" s="524">
        <f t="shared" si="81"/>
        <v>0</v>
      </c>
      <c r="BM120" s="524">
        <f t="shared" si="81"/>
        <v>0</v>
      </c>
      <c r="BN120" s="524">
        <f t="shared" si="81"/>
        <v>0</v>
      </c>
      <c r="BO120" s="524">
        <f t="shared" si="81"/>
        <v>0</v>
      </c>
      <c r="BP120" s="524">
        <f t="shared" si="81"/>
        <v>0</v>
      </c>
      <c r="BQ120" s="524">
        <f t="shared" si="81"/>
        <v>0</v>
      </c>
      <c r="BR120" s="524">
        <f t="shared" si="81"/>
        <v>0</v>
      </c>
      <c r="BS120" s="524">
        <f t="shared" si="82"/>
        <v>0</v>
      </c>
      <c r="BT120" s="524">
        <f t="shared" si="82"/>
        <v>0</v>
      </c>
      <c r="BU120" s="524">
        <f t="shared" si="82"/>
        <v>0</v>
      </c>
      <c r="BV120" s="524">
        <f t="shared" si="82"/>
        <v>0</v>
      </c>
      <c r="BW120" s="524">
        <f t="shared" si="82"/>
        <v>0</v>
      </c>
      <c r="BX120" s="524">
        <f t="shared" si="82"/>
        <v>0</v>
      </c>
      <c r="BY120" s="524">
        <f t="shared" si="82"/>
        <v>0</v>
      </c>
      <c r="BZ120" s="524">
        <f t="shared" si="82"/>
        <v>0</v>
      </c>
    </row>
    <row r="121" spans="2:78" ht="21" hidden="1" customHeight="1" outlineLevel="3">
      <c r="B121" s="367"/>
      <c r="C121" s="370"/>
      <c r="D121" s="374">
        <f t="shared" si="65"/>
        <v>46022</v>
      </c>
      <c r="E121" s="373" cm="1">
        <f t="array" ref="E121">IF($D121&lt;=LatestMonthOfActuals,0,INDEX($AE$27:$BZ$27,0,MATCH($D121,$AE$8:$BZ$8,0)))</f>
        <v>91129.333281818181</v>
      </c>
      <c r="F121" s="359"/>
      <c r="G121" s="408">
        <f t="shared" si="58"/>
        <v>0</v>
      </c>
      <c r="H121" s="408">
        <f t="shared" si="58"/>
        <v>0</v>
      </c>
      <c r="I121" s="408">
        <f t="shared" si="58"/>
        <v>0</v>
      </c>
      <c r="J121" s="408">
        <f t="shared" si="58"/>
        <v>91129.333281818181</v>
      </c>
      <c r="K121" s="408"/>
      <c r="L121" s="408"/>
      <c r="M121" s="408">
        <f t="shared" si="72"/>
        <v>0</v>
      </c>
      <c r="N121" s="408">
        <f t="shared" si="83"/>
        <v>0</v>
      </c>
      <c r="O121" s="408">
        <f t="shared" si="83"/>
        <v>0</v>
      </c>
      <c r="P121" s="408">
        <f t="shared" si="83"/>
        <v>0</v>
      </c>
      <c r="Q121" s="408">
        <f t="shared" si="83"/>
        <v>0</v>
      </c>
      <c r="R121" s="408">
        <f t="shared" si="83"/>
        <v>0</v>
      </c>
      <c r="S121" s="408">
        <f t="shared" si="83"/>
        <v>0</v>
      </c>
      <c r="T121" s="408">
        <f t="shared" si="83"/>
        <v>0</v>
      </c>
      <c r="U121" s="408">
        <f t="shared" si="83"/>
        <v>0</v>
      </c>
      <c r="V121" s="408">
        <f t="shared" si="83"/>
        <v>0</v>
      </c>
      <c r="W121" s="408">
        <f t="shared" si="83"/>
        <v>0</v>
      </c>
      <c r="X121" s="408">
        <f t="shared" si="83"/>
        <v>0</v>
      </c>
      <c r="Y121" s="408">
        <f t="shared" si="83"/>
        <v>91129.333281818181</v>
      </c>
      <c r="Z121" s="408">
        <f t="shared" si="83"/>
        <v>0</v>
      </c>
      <c r="AA121" s="408">
        <f t="shared" si="83"/>
        <v>0</v>
      </c>
      <c r="AB121" s="408">
        <f t="shared" si="83"/>
        <v>0</v>
      </c>
      <c r="AC121" s="524"/>
      <c r="AD121" s="359"/>
      <c r="AE121" s="524">
        <f t="shared" si="78"/>
        <v>0</v>
      </c>
      <c r="AF121" s="524">
        <f t="shared" si="78"/>
        <v>0</v>
      </c>
      <c r="AG121" s="524">
        <f t="shared" si="78"/>
        <v>0</v>
      </c>
      <c r="AH121" s="524">
        <f t="shared" si="78"/>
        <v>0</v>
      </c>
      <c r="AI121" s="524">
        <f t="shared" si="78"/>
        <v>0</v>
      </c>
      <c r="AJ121" s="524">
        <f t="shared" si="78"/>
        <v>0</v>
      </c>
      <c r="AK121" s="524">
        <f t="shared" si="78"/>
        <v>0</v>
      </c>
      <c r="AL121" s="524">
        <f t="shared" si="78"/>
        <v>0</v>
      </c>
      <c r="AM121" s="524">
        <f t="shared" si="78"/>
        <v>0</v>
      </c>
      <c r="AN121" s="524">
        <f t="shared" si="78"/>
        <v>0</v>
      </c>
      <c r="AO121" s="524">
        <f t="shared" si="79"/>
        <v>0</v>
      </c>
      <c r="AP121" s="524">
        <f t="shared" si="79"/>
        <v>0</v>
      </c>
      <c r="AQ121" s="524">
        <f t="shared" si="79"/>
        <v>0</v>
      </c>
      <c r="AR121" s="524">
        <f t="shared" si="79"/>
        <v>0</v>
      </c>
      <c r="AS121" s="524">
        <f t="shared" si="79"/>
        <v>0</v>
      </c>
      <c r="AT121" s="524">
        <f t="shared" si="79"/>
        <v>0</v>
      </c>
      <c r="AU121" s="524">
        <f t="shared" si="79"/>
        <v>0</v>
      </c>
      <c r="AV121" s="524">
        <f t="shared" si="79"/>
        <v>0</v>
      </c>
      <c r="AW121" s="524">
        <f t="shared" si="79"/>
        <v>0</v>
      </c>
      <c r="AX121" s="524">
        <f t="shared" si="79"/>
        <v>0</v>
      </c>
      <c r="AY121" s="524">
        <f t="shared" si="80"/>
        <v>0</v>
      </c>
      <c r="AZ121" s="524">
        <f t="shared" si="80"/>
        <v>0</v>
      </c>
      <c r="BA121" s="524">
        <f t="shared" si="80"/>
        <v>0</v>
      </c>
      <c r="BB121" s="524">
        <f t="shared" si="80"/>
        <v>0</v>
      </c>
      <c r="BC121" s="524">
        <f t="shared" si="80"/>
        <v>0</v>
      </c>
      <c r="BD121" s="524">
        <f t="shared" si="80"/>
        <v>0</v>
      </c>
      <c r="BE121" s="524">
        <f t="shared" si="80"/>
        <v>0</v>
      </c>
      <c r="BF121" s="524">
        <f t="shared" si="80"/>
        <v>0</v>
      </c>
      <c r="BG121" s="524">
        <f t="shared" si="80"/>
        <v>0</v>
      </c>
      <c r="BH121" s="524">
        <f t="shared" si="80"/>
        <v>0</v>
      </c>
      <c r="BI121" s="524">
        <f t="shared" si="81"/>
        <v>0</v>
      </c>
      <c r="BJ121" s="524">
        <f t="shared" si="81"/>
        <v>0</v>
      </c>
      <c r="BK121" s="524">
        <f t="shared" si="81"/>
        <v>0</v>
      </c>
      <c r="BL121" s="524">
        <f t="shared" si="81"/>
        <v>0</v>
      </c>
      <c r="BM121" s="524">
        <f t="shared" si="81"/>
        <v>0</v>
      </c>
      <c r="BN121" s="524">
        <f t="shared" si="81"/>
        <v>0</v>
      </c>
      <c r="BO121" s="524">
        <f t="shared" si="81"/>
        <v>91129.333281818181</v>
      </c>
      <c r="BP121" s="524">
        <f t="shared" si="81"/>
        <v>0</v>
      </c>
      <c r="BQ121" s="524">
        <f t="shared" si="81"/>
        <v>0</v>
      </c>
      <c r="BR121" s="524">
        <f t="shared" si="81"/>
        <v>0</v>
      </c>
      <c r="BS121" s="524">
        <f t="shared" si="82"/>
        <v>0</v>
      </c>
      <c r="BT121" s="524">
        <f t="shared" si="82"/>
        <v>0</v>
      </c>
      <c r="BU121" s="524">
        <f t="shared" si="82"/>
        <v>0</v>
      </c>
      <c r="BV121" s="524">
        <f t="shared" si="82"/>
        <v>0</v>
      </c>
      <c r="BW121" s="524">
        <f t="shared" si="82"/>
        <v>0</v>
      </c>
      <c r="BX121" s="524">
        <f t="shared" si="82"/>
        <v>0</v>
      </c>
      <c r="BY121" s="524">
        <f t="shared" si="82"/>
        <v>0</v>
      </c>
      <c r="BZ121" s="524">
        <f t="shared" si="82"/>
        <v>0</v>
      </c>
    </row>
    <row r="122" spans="2:78" ht="21" hidden="1" customHeight="1" outlineLevel="3">
      <c r="B122" s="367"/>
      <c r="C122" s="370"/>
      <c r="D122" s="374">
        <f t="shared" si="65"/>
        <v>46053</v>
      </c>
      <c r="E122" s="373" cm="1">
        <f t="array" ref="E122">IF($D122&lt;=LatestMonthOfActuals,0,INDEX($AE$27:$BZ$27,0,MATCH($D122,$AE$8:$BZ$8,0)))</f>
        <v>86025.7322467872</v>
      </c>
      <c r="F122" s="359"/>
      <c r="G122" s="408">
        <f t="shared" si="58"/>
        <v>0</v>
      </c>
      <c r="H122" s="408">
        <f t="shared" si="58"/>
        <v>0</v>
      </c>
      <c r="I122" s="408">
        <f t="shared" si="58"/>
        <v>0</v>
      </c>
      <c r="J122" s="408">
        <f t="shared" si="58"/>
        <v>86025.7322467872</v>
      </c>
      <c r="K122" s="408"/>
      <c r="L122" s="408"/>
      <c r="M122" s="408">
        <f t="shared" si="72"/>
        <v>0</v>
      </c>
      <c r="N122" s="408">
        <f t="shared" si="83"/>
        <v>0</v>
      </c>
      <c r="O122" s="408">
        <f t="shared" si="83"/>
        <v>0</v>
      </c>
      <c r="P122" s="408">
        <f t="shared" si="83"/>
        <v>0</v>
      </c>
      <c r="Q122" s="408">
        <f t="shared" si="83"/>
        <v>0</v>
      </c>
      <c r="R122" s="408">
        <f t="shared" si="83"/>
        <v>0</v>
      </c>
      <c r="S122" s="408">
        <f t="shared" si="83"/>
        <v>0</v>
      </c>
      <c r="T122" s="408">
        <f t="shared" si="83"/>
        <v>0</v>
      </c>
      <c r="U122" s="408">
        <f t="shared" si="83"/>
        <v>0</v>
      </c>
      <c r="V122" s="408">
        <f t="shared" si="83"/>
        <v>0</v>
      </c>
      <c r="W122" s="408">
        <f t="shared" si="83"/>
        <v>0</v>
      </c>
      <c r="X122" s="408">
        <f t="shared" si="83"/>
        <v>0</v>
      </c>
      <c r="Y122" s="408">
        <f t="shared" si="83"/>
        <v>86025.7322467872</v>
      </c>
      <c r="Z122" s="408">
        <f t="shared" si="83"/>
        <v>0</v>
      </c>
      <c r="AA122" s="408">
        <f t="shared" si="83"/>
        <v>0</v>
      </c>
      <c r="AB122" s="408">
        <f t="shared" si="83"/>
        <v>0</v>
      </c>
      <c r="AC122" s="524"/>
      <c r="AD122" s="359"/>
      <c r="AE122" s="524">
        <f t="shared" si="78"/>
        <v>0</v>
      </c>
      <c r="AF122" s="524">
        <f t="shared" si="78"/>
        <v>0</v>
      </c>
      <c r="AG122" s="524">
        <f t="shared" si="78"/>
        <v>0</v>
      </c>
      <c r="AH122" s="524">
        <f t="shared" si="78"/>
        <v>0</v>
      </c>
      <c r="AI122" s="524">
        <f t="shared" si="78"/>
        <v>0</v>
      </c>
      <c r="AJ122" s="524">
        <f t="shared" si="78"/>
        <v>0</v>
      </c>
      <c r="AK122" s="524">
        <f t="shared" si="78"/>
        <v>0</v>
      </c>
      <c r="AL122" s="524">
        <f t="shared" si="78"/>
        <v>0</v>
      </c>
      <c r="AM122" s="524">
        <f t="shared" si="78"/>
        <v>0</v>
      </c>
      <c r="AN122" s="524">
        <f t="shared" si="78"/>
        <v>0</v>
      </c>
      <c r="AO122" s="524">
        <f t="shared" si="79"/>
        <v>0</v>
      </c>
      <c r="AP122" s="524">
        <f t="shared" si="79"/>
        <v>0</v>
      </c>
      <c r="AQ122" s="524">
        <f t="shared" si="79"/>
        <v>0</v>
      </c>
      <c r="AR122" s="524">
        <f t="shared" si="79"/>
        <v>0</v>
      </c>
      <c r="AS122" s="524">
        <f t="shared" si="79"/>
        <v>0</v>
      </c>
      <c r="AT122" s="524">
        <f t="shared" si="79"/>
        <v>0</v>
      </c>
      <c r="AU122" s="524">
        <f t="shared" si="79"/>
        <v>0</v>
      </c>
      <c r="AV122" s="524">
        <f t="shared" si="79"/>
        <v>0</v>
      </c>
      <c r="AW122" s="524">
        <f t="shared" si="79"/>
        <v>0</v>
      </c>
      <c r="AX122" s="524">
        <f t="shared" si="79"/>
        <v>0</v>
      </c>
      <c r="AY122" s="524">
        <f t="shared" si="80"/>
        <v>0</v>
      </c>
      <c r="AZ122" s="524">
        <f t="shared" si="80"/>
        <v>0</v>
      </c>
      <c r="BA122" s="524">
        <f t="shared" si="80"/>
        <v>0</v>
      </c>
      <c r="BB122" s="524">
        <f t="shared" si="80"/>
        <v>0</v>
      </c>
      <c r="BC122" s="524">
        <f t="shared" si="80"/>
        <v>0</v>
      </c>
      <c r="BD122" s="524">
        <f t="shared" si="80"/>
        <v>0</v>
      </c>
      <c r="BE122" s="524">
        <f t="shared" si="80"/>
        <v>0</v>
      </c>
      <c r="BF122" s="524">
        <f t="shared" si="80"/>
        <v>0</v>
      </c>
      <c r="BG122" s="524">
        <f t="shared" si="80"/>
        <v>0</v>
      </c>
      <c r="BH122" s="524">
        <f t="shared" si="80"/>
        <v>0</v>
      </c>
      <c r="BI122" s="524">
        <f t="shared" si="81"/>
        <v>0</v>
      </c>
      <c r="BJ122" s="524">
        <f t="shared" si="81"/>
        <v>0</v>
      </c>
      <c r="BK122" s="524">
        <f t="shared" si="81"/>
        <v>0</v>
      </c>
      <c r="BL122" s="524">
        <f t="shared" si="81"/>
        <v>0</v>
      </c>
      <c r="BM122" s="524">
        <f t="shared" si="81"/>
        <v>0</v>
      </c>
      <c r="BN122" s="524">
        <f t="shared" si="81"/>
        <v>0</v>
      </c>
      <c r="BO122" s="524">
        <f t="shared" si="81"/>
        <v>0</v>
      </c>
      <c r="BP122" s="524">
        <f t="shared" si="81"/>
        <v>86025.7322467872</v>
      </c>
      <c r="BQ122" s="524">
        <f t="shared" si="81"/>
        <v>0</v>
      </c>
      <c r="BR122" s="524">
        <f t="shared" si="81"/>
        <v>0</v>
      </c>
      <c r="BS122" s="524">
        <f t="shared" si="82"/>
        <v>0</v>
      </c>
      <c r="BT122" s="524">
        <f t="shared" si="82"/>
        <v>0</v>
      </c>
      <c r="BU122" s="524">
        <f t="shared" si="82"/>
        <v>0</v>
      </c>
      <c r="BV122" s="524">
        <f t="shared" si="82"/>
        <v>0</v>
      </c>
      <c r="BW122" s="524">
        <f t="shared" si="82"/>
        <v>0</v>
      </c>
      <c r="BX122" s="524">
        <f t="shared" si="82"/>
        <v>0</v>
      </c>
      <c r="BY122" s="524">
        <f t="shared" si="82"/>
        <v>0</v>
      </c>
      <c r="BZ122" s="524">
        <f t="shared" si="82"/>
        <v>0</v>
      </c>
    </row>
    <row r="123" spans="2:78" ht="21" hidden="1" customHeight="1" outlineLevel="3">
      <c r="B123" s="367"/>
      <c r="C123" s="370"/>
      <c r="D123" s="374">
        <f t="shared" si="65"/>
        <v>46081</v>
      </c>
      <c r="E123" s="373" cm="1">
        <f t="array" ref="E123">IF($D123&lt;=LatestMonthOfActuals,0,INDEX($AE$27:$BZ$27,0,MATCH($D123,$AE$8:$BZ$8,0)))</f>
        <v>87543.935255415156</v>
      </c>
      <c r="F123" s="359"/>
      <c r="G123" s="408">
        <f t="shared" si="58"/>
        <v>0</v>
      </c>
      <c r="H123" s="408">
        <f t="shared" si="58"/>
        <v>0</v>
      </c>
      <c r="I123" s="408">
        <f t="shared" si="58"/>
        <v>0</v>
      </c>
      <c r="J123" s="408">
        <f t="shared" si="58"/>
        <v>87543.935255415156</v>
      </c>
      <c r="K123" s="408"/>
      <c r="L123" s="408"/>
      <c r="M123" s="408">
        <f t="shared" si="72"/>
        <v>0</v>
      </c>
      <c r="N123" s="408">
        <f t="shared" si="83"/>
        <v>0</v>
      </c>
      <c r="O123" s="408">
        <f t="shared" si="83"/>
        <v>0</v>
      </c>
      <c r="P123" s="408">
        <f t="shared" si="83"/>
        <v>0</v>
      </c>
      <c r="Q123" s="408">
        <f t="shared" si="83"/>
        <v>0</v>
      </c>
      <c r="R123" s="408">
        <f t="shared" si="83"/>
        <v>0</v>
      </c>
      <c r="S123" s="408">
        <f t="shared" si="83"/>
        <v>0</v>
      </c>
      <c r="T123" s="408">
        <f t="shared" si="83"/>
        <v>0</v>
      </c>
      <c r="U123" s="408">
        <f t="shared" si="83"/>
        <v>0</v>
      </c>
      <c r="V123" s="408">
        <f t="shared" si="83"/>
        <v>0</v>
      </c>
      <c r="W123" s="408">
        <f t="shared" si="83"/>
        <v>0</v>
      </c>
      <c r="X123" s="408">
        <f t="shared" si="83"/>
        <v>0</v>
      </c>
      <c r="Y123" s="408">
        <f t="shared" si="83"/>
        <v>87543.935255415156</v>
      </c>
      <c r="Z123" s="408">
        <f t="shared" si="83"/>
        <v>0</v>
      </c>
      <c r="AA123" s="408">
        <f t="shared" si="83"/>
        <v>0</v>
      </c>
      <c r="AB123" s="408">
        <f t="shared" si="83"/>
        <v>0</v>
      </c>
      <c r="AC123" s="524"/>
      <c r="AD123" s="359"/>
      <c r="AE123" s="524">
        <f t="shared" si="78"/>
        <v>0</v>
      </c>
      <c r="AF123" s="524">
        <f t="shared" si="78"/>
        <v>0</v>
      </c>
      <c r="AG123" s="524">
        <f t="shared" si="78"/>
        <v>0</v>
      </c>
      <c r="AH123" s="524">
        <f t="shared" si="78"/>
        <v>0</v>
      </c>
      <c r="AI123" s="524">
        <f t="shared" si="78"/>
        <v>0</v>
      </c>
      <c r="AJ123" s="524">
        <f t="shared" si="78"/>
        <v>0</v>
      </c>
      <c r="AK123" s="524">
        <f t="shared" si="78"/>
        <v>0</v>
      </c>
      <c r="AL123" s="524">
        <f t="shared" si="78"/>
        <v>0</v>
      </c>
      <c r="AM123" s="524">
        <f t="shared" si="78"/>
        <v>0</v>
      </c>
      <c r="AN123" s="524">
        <f t="shared" si="78"/>
        <v>0</v>
      </c>
      <c r="AO123" s="524">
        <f t="shared" si="79"/>
        <v>0</v>
      </c>
      <c r="AP123" s="524">
        <f t="shared" si="79"/>
        <v>0</v>
      </c>
      <c r="AQ123" s="524">
        <f t="shared" si="79"/>
        <v>0</v>
      </c>
      <c r="AR123" s="524">
        <f t="shared" si="79"/>
        <v>0</v>
      </c>
      <c r="AS123" s="524">
        <f t="shared" si="79"/>
        <v>0</v>
      </c>
      <c r="AT123" s="524">
        <f t="shared" si="79"/>
        <v>0</v>
      </c>
      <c r="AU123" s="524">
        <f t="shared" si="79"/>
        <v>0</v>
      </c>
      <c r="AV123" s="524">
        <f t="shared" si="79"/>
        <v>0</v>
      </c>
      <c r="AW123" s="524">
        <f t="shared" si="79"/>
        <v>0</v>
      </c>
      <c r="AX123" s="524">
        <f t="shared" si="79"/>
        <v>0</v>
      </c>
      <c r="AY123" s="524">
        <f t="shared" si="80"/>
        <v>0</v>
      </c>
      <c r="AZ123" s="524">
        <f t="shared" si="80"/>
        <v>0</v>
      </c>
      <c r="BA123" s="524">
        <f t="shared" si="80"/>
        <v>0</v>
      </c>
      <c r="BB123" s="524">
        <f t="shared" si="80"/>
        <v>0</v>
      </c>
      <c r="BC123" s="524">
        <f t="shared" si="80"/>
        <v>0</v>
      </c>
      <c r="BD123" s="524">
        <f t="shared" si="80"/>
        <v>0</v>
      </c>
      <c r="BE123" s="524">
        <f t="shared" si="80"/>
        <v>0</v>
      </c>
      <c r="BF123" s="524">
        <f t="shared" si="80"/>
        <v>0</v>
      </c>
      <c r="BG123" s="524">
        <f t="shared" si="80"/>
        <v>0</v>
      </c>
      <c r="BH123" s="524">
        <f t="shared" si="80"/>
        <v>0</v>
      </c>
      <c r="BI123" s="524">
        <f t="shared" si="81"/>
        <v>0</v>
      </c>
      <c r="BJ123" s="524">
        <f t="shared" si="81"/>
        <v>0</v>
      </c>
      <c r="BK123" s="524">
        <f t="shared" si="81"/>
        <v>0</v>
      </c>
      <c r="BL123" s="524">
        <f t="shared" si="81"/>
        <v>0</v>
      </c>
      <c r="BM123" s="524">
        <f t="shared" si="81"/>
        <v>0</v>
      </c>
      <c r="BN123" s="524">
        <f t="shared" si="81"/>
        <v>0</v>
      </c>
      <c r="BO123" s="524">
        <f t="shared" si="81"/>
        <v>0</v>
      </c>
      <c r="BP123" s="524">
        <f t="shared" si="81"/>
        <v>0</v>
      </c>
      <c r="BQ123" s="524">
        <f t="shared" si="81"/>
        <v>87543.935255415156</v>
      </c>
      <c r="BR123" s="524">
        <f t="shared" si="81"/>
        <v>0</v>
      </c>
      <c r="BS123" s="524">
        <f t="shared" si="82"/>
        <v>0</v>
      </c>
      <c r="BT123" s="524">
        <f t="shared" si="82"/>
        <v>0</v>
      </c>
      <c r="BU123" s="524">
        <f t="shared" si="82"/>
        <v>0</v>
      </c>
      <c r="BV123" s="524">
        <f t="shared" si="82"/>
        <v>0</v>
      </c>
      <c r="BW123" s="524">
        <f t="shared" si="82"/>
        <v>0</v>
      </c>
      <c r="BX123" s="524">
        <f t="shared" si="82"/>
        <v>0</v>
      </c>
      <c r="BY123" s="524">
        <f t="shared" si="82"/>
        <v>0</v>
      </c>
      <c r="BZ123" s="524">
        <f t="shared" si="82"/>
        <v>0</v>
      </c>
    </row>
    <row r="124" spans="2:78" ht="21" hidden="1" customHeight="1" outlineLevel="3">
      <c r="B124" s="367"/>
      <c r="C124" s="370"/>
      <c r="D124" s="374">
        <f t="shared" si="65"/>
        <v>46112</v>
      </c>
      <c r="E124" s="373" cm="1">
        <f t="array" ref="E124">IF($D124&lt;=LatestMonthOfActuals,0,INDEX($AE$27:$BZ$27,0,MATCH($D124,$AE$8:$BZ$8,0)))</f>
        <v>88895.486110663245</v>
      </c>
      <c r="F124" s="359"/>
      <c r="G124" s="408">
        <f t="shared" si="58"/>
        <v>0</v>
      </c>
      <c r="H124" s="408">
        <f t="shared" si="58"/>
        <v>0</v>
      </c>
      <c r="I124" s="408">
        <f t="shared" si="58"/>
        <v>0</v>
      </c>
      <c r="J124" s="408">
        <f t="shared" si="58"/>
        <v>88895.486110663245</v>
      </c>
      <c r="K124" s="408"/>
      <c r="L124" s="408"/>
      <c r="M124" s="408">
        <f t="shared" si="72"/>
        <v>0</v>
      </c>
      <c r="N124" s="408">
        <f t="shared" si="83"/>
        <v>0</v>
      </c>
      <c r="O124" s="408">
        <f t="shared" si="83"/>
        <v>0</v>
      </c>
      <c r="P124" s="408">
        <f t="shared" si="83"/>
        <v>0</v>
      </c>
      <c r="Q124" s="408">
        <f t="shared" si="83"/>
        <v>0</v>
      </c>
      <c r="R124" s="408">
        <f t="shared" si="83"/>
        <v>0</v>
      </c>
      <c r="S124" s="408">
        <f t="shared" si="83"/>
        <v>0</v>
      </c>
      <c r="T124" s="408">
        <f t="shared" si="83"/>
        <v>0</v>
      </c>
      <c r="U124" s="408">
        <f t="shared" si="83"/>
        <v>0</v>
      </c>
      <c r="V124" s="408">
        <f t="shared" si="83"/>
        <v>0</v>
      </c>
      <c r="W124" s="408">
        <f t="shared" si="83"/>
        <v>0</v>
      </c>
      <c r="X124" s="408">
        <f t="shared" si="83"/>
        <v>0</v>
      </c>
      <c r="Y124" s="408">
        <f t="shared" si="83"/>
        <v>0</v>
      </c>
      <c r="Z124" s="408">
        <f t="shared" si="83"/>
        <v>88895.486110663245</v>
      </c>
      <c r="AA124" s="408">
        <f t="shared" si="83"/>
        <v>0</v>
      </c>
      <c r="AB124" s="408">
        <f t="shared" si="83"/>
        <v>0</v>
      </c>
      <c r="AC124" s="524"/>
      <c r="AD124" s="359"/>
      <c r="AE124" s="524">
        <f t="shared" si="78"/>
        <v>0</v>
      </c>
      <c r="AF124" s="524">
        <f t="shared" si="78"/>
        <v>0</v>
      </c>
      <c r="AG124" s="524">
        <f t="shared" si="78"/>
        <v>0</v>
      </c>
      <c r="AH124" s="524">
        <f t="shared" si="78"/>
        <v>0</v>
      </c>
      <c r="AI124" s="524">
        <f t="shared" si="78"/>
        <v>0</v>
      </c>
      <c r="AJ124" s="524">
        <f t="shared" si="78"/>
        <v>0</v>
      </c>
      <c r="AK124" s="524">
        <f t="shared" si="78"/>
        <v>0</v>
      </c>
      <c r="AL124" s="524">
        <f t="shared" si="78"/>
        <v>0</v>
      </c>
      <c r="AM124" s="524">
        <f t="shared" si="78"/>
        <v>0</v>
      </c>
      <c r="AN124" s="524">
        <f t="shared" si="78"/>
        <v>0</v>
      </c>
      <c r="AO124" s="524">
        <f t="shared" si="79"/>
        <v>0</v>
      </c>
      <c r="AP124" s="524">
        <f t="shared" si="79"/>
        <v>0</v>
      </c>
      <c r="AQ124" s="524">
        <f t="shared" si="79"/>
        <v>0</v>
      </c>
      <c r="AR124" s="524">
        <f t="shared" si="79"/>
        <v>0</v>
      </c>
      <c r="AS124" s="524">
        <f t="shared" si="79"/>
        <v>0</v>
      </c>
      <c r="AT124" s="524">
        <f t="shared" si="79"/>
        <v>0</v>
      </c>
      <c r="AU124" s="524">
        <f t="shared" si="79"/>
        <v>0</v>
      </c>
      <c r="AV124" s="524">
        <f t="shared" si="79"/>
        <v>0</v>
      </c>
      <c r="AW124" s="524">
        <f t="shared" si="79"/>
        <v>0</v>
      </c>
      <c r="AX124" s="524">
        <f t="shared" si="79"/>
        <v>0</v>
      </c>
      <c r="AY124" s="524">
        <f t="shared" si="80"/>
        <v>0</v>
      </c>
      <c r="AZ124" s="524">
        <f t="shared" si="80"/>
        <v>0</v>
      </c>
      <c r="BA124" s="524">
        <f t="shared" si="80"/>
        <v>0</v>
      </c>
      <c r="BB124" s="524">
        <f t="shared" si="80"/>
        <v>0</v>
      </c>
      <c r="BC124" s="524">
        <f t="shared" si="80"/>
        <v>0</v>
      </c>
      <c r="BD124" s="524">
        <f t="shared" si="80"/>
        <v>0</v>
      </c>
      <c r="BE124" s="524">
        <f t="shared" si="80"/>
        <v>0</v>
      </c>
      <c r="BF124" s="524">
        <f t="shared" si="80"/>
        <v>0</v>
      </c>
      <c r="BG124" s="524">
        <f t="shared" si="80"/>
        <v>0</v>
      </c>
      <c r="BH124" s="524">
        <f t="shared" si="80"/>
        <v>0</v>
      </c>
      <c r="BI124" s="524">
        <f t="shared" si="81"/>
        <v>0</v>
      </c>
      <c r="BJ124" s="524">
        <f t="shared" si="81"/>
        <v>0</v>
      </c>
      <c r="BK124" s="524">
        <f t="shared" si="81"/>
        <v>0</v>
      </c>
      <c r="BL124" s="524">
        <f t="shared" si="81"/>
        <v>0</v>
      </c>
      <c r="BM124" s="524">
        <f t="shared" si="81"/>
        <v>0</v>
      </c>
      <c r="BN124" s="524">
        <f t="shared" si="81"/>
        <v>0</v>
      </c>
      <c r="BO124" s="524">
        <f t="shared" si="81"/>
        <v>0</v>
      </c>
      <c r="BP124" s="524">
        <f t="shared" si="81"/>
        <v>0</v>
      </c>
      <c r="BQ124" s="524">
        <f t="shared" si="81"/>
        <v>0</v>
      </c>
      <c r="BR124" s="524">
        <f t="shared" si="81"/>
        <v>88895.486110663245</v>
      </c>
      <c r="BS124" s="524">
        <f t="shared" si="82"/>
        <v>0</v>
      </c>
      <c r="BT124" s="524">
        <f t="shared" si="82"/>
        <v>0</v>
      </c>
      <c r="BU124" s="524">
        <f t="shared" si="82"/>
        <v>0</v>
      </c>
      <c r="BV124" s="524">
        <f t="shared" si="82"/>
        <v>0</v>
      </c>
      <c r="BW124" s="524">
        <f t="shared" si="82"/>
        <v>0</v>
      </c>
      <c r="BX124" s="524">
        <f t="shared" si="82"/>
        <v>0</v>
      </c>
      <c r="BY124" s="524">
        <f t="shared" si="82"/>
        <v>0</v>
      </c>
      <c r="BZ124" s="524">
        <f t="shared" si="82"/>
        <v>0</v>
      </c>
    </row>
    <row r="125" spans="2:78" ht="21" hidden="1" customHeight="1" outlineLevel="3">
      <c r="B125" s="367"/>
      <c r="C125" s="370"/>
      <c r="D125" s="374">
        <f t="shared" si="65"/>
        <v>46142</v>
      </c>
      <c r="E125" s="373" cm="1">
        <f t="array" ref="E125">IF($D125&lt;=LatestMonthOfActuals,0,INDEX($AE$27:$BZ$27,0,MATCH($D125,$AE$8:$BZ$8,0)))</f>
        <v>97430.048159655023</v>
      </c>
      <c r="F125" s="359"/>
      <c r="G125" s="408">
        <f t="shared" si="58"/>
        <v>0</v>
      </c>
      <c r="H125" s="408">
        <f t="shared" si="58"/>
        <v>0</v>
      </c>
      <c r="I125" s="408">
        <f t="shared" si="58"/>
        <v>0</v>
      </c>
      <c r="J125" s="408">
        <f t="shared" si="58"/>
        <v>97430.048159655023</v>
      </c>
      <c r="K125" s="408"/>
      <c r="L125" s="408"/>
      <c r="M125" s="408">
        <f t="shared" si="72"/>
        <v>0</v>
      </c>
      <c r="N125" s="408">
        <f t="shared" si="83"/>
        <v>0</v>
      </c>
      <c r="O125" s="408">
        <f t="shared" si="83"/>
        <v>0</v>
      </c>
      <c r="P125" s="408">
        <f t="shared" si="83"/>
        <v>0</v>
      </c>
      <c r="Q125" s="408">
        <f t="shared" si="83"/>
        <v>0</v>
      </c>
      <c r="R125" s="408">
        <f t="shared" si="83"/>
        <v>0</v>
      </c>
      <c r="S125" s="408">
        <f t="shared" si="83"/>
        <v>0</v>
      </c>
      <c r="T125" s="408">
        <f t="shared" si="83"/>
        <v>0</v>
      </c>
      <c r="U125" s="408">
        <f t="shared" si="83"/>
        <v>0</v>
      </c>
      <c r="V125" s="408">
        <f t="shared" si="83"/>
        <v>0</v>
      </c>
      <c r="W125" s="408">
        <f t="shared" si="83"/>
        <v>0</v>
      </c>
      <c r="X125" s="408">
        <f t="shared" si="83"/>
        <v>0</v>
      </c>
      <c r="Y125" s="408">
        <f t="shared" si="83"/>
        <v>0</v>
      </c>
      <c r="Z125" s="408">
        <f t="shared" si="83"/>
        <v>97430.048159655023</v>
      </c>
      <c r="AA125" s="408">
        <f t="shared" si="83"/>
        <v>0</v>
      </c>
      <c r="AB125" s="408">
        <f t="shared" si="83"/>
        <v>0</v>
      </c>
      <c r="AC125" s="524"/>
      <c r="AD125" s="359"/>
      <c r="AE125" s="524">
        <f t="shared" si="78"/>
        <v>0</v>
      </c>
      <c r="AF125" s="524">
        <f t="shared" si="78"/>
        <v>0</v>
      </c>
      <c r="AG125" s="524">
        <f t="shared" si="78"/>
        <v>0</v>
      </c>
      <c r="AH125" s="524">
        <f t="shared" si="78"/>
        <v>0</v>
      </c>
      <c r="AI125" s="524">
        <f t="shared" si="78"/>
        <v>0</v>
      </c>
      <c r="AJ125" s="524">
        <f t="shared" si="78"/>
        <v>0</v>
      </c>
      <c r="AK125" s="524">
        <f t="shared" si="78"/>
        <v>0</v>
      </c>
      <c r="AL125" s="524">
        <f t="shared" si="78"/>
        <v>0</v>
      </c>
      <c r="AM125" s="524">
        <f t="shared" si="78"/>
        <v>0</v>
      </c>
      <c r="AN125" s="524">
        <f t="shared" si="78"/>
        <v>0</v>
      </c>
      <c r="AO125" s="524">
        <f t="shared" si="79"/>
        <v>0</v>
      </c>
      <c r="AP125" s="524">
        <f t="shared" si="79"/>
        <v>0</v>
      </c>
      <c r="AQ125" s="524">
        <f t="shared" si="79"/>
        <v>0</v>
      </c>
      <c r="AR125" s="524">
        <f t="shared" si="79"/>
        <v>0</v>
      </c>
      <c r="AS125" s="524">
        <f t="shared" si="79"/>
        <v>0</v>
      </c>
      <c r="AT125" s="524">
        <f t="shared" si="79"/>
        <v>0</v>
      </c>
      <c r="AU125" s="524">
        <f t="shared" si="79"/>
        <v>0</v>
      </c>
      <c r="AV125" s="524">
        <f t="shared" si="79"/>
        <v>0</v>
      </c>
      <c r="AW125" s="524">
        <f t="shared" si="79"/>
        <v>0</v>
      </c>
      <c r="AX125" s="524">
        <f t="shared" si="79"/>
        <v>0</v>
      </c>
      <c r="AY125" s="524">
        <f t="shared" si="80"/>
        <v>0</v>
      </c>
      <c r="AZ125" s="524">
        <f t="shared" si="80"/>
        <v>0</v>
      </c>
      <c r="BA125" s="524">
        <f t="shared" si="80"/>
        <v>0</v>
      </c>
      <c r="BB125" s="524">
        <f t="shared" si="80"/>
        <v>0</v>
      </c>
      <c r="BC125" s="524">
        <f t="shared" si="80"/>
        <v>0</v>
      </c>
      <c r="BD125" s="524">
        <f t="shared" si="80"/>
        <v>0</v>
      </c>
      <c r="BE125" s="524">
        <f t="shared" si="80"/>
        <v>0</v>
      </c>
      <c r="BF125" s="524">
        <f t="shared" si="80"/>
        <v>0</v>
      </c>
      <c r="BG125" s="524">
        <f t="shared" si="80"/>
        <v>0</v>
      </c>
      <c r="BH125" s="524">
        <f t="shared" si="80"/>
        <v>0</v>
      </c>
      <c r="BI125" s="524">
        <f t="shared" si="81"/>
        <v>0</v>
      </c>
      <c r="BJ125" s="524">
        <f t="shared" si="81"/>
        <v>0</v>
      </c>
      <c r="BK125" s="524">
        <f t="shared" si="81"/>
        <v>0</v>
      </c>
      <c r="BL125" s="524">
        <f t="shared" si="81"/>
        <v>0</v>
      </c>
      <c r="BM125" s="524">
        <f t="shared" si="81"/>
        <v>0</v>
      </c>
      <c r="BN125" s="524">
        <f t="shared" si="81"/>
        <v>0</v>
      </c>
      <c r="BO125" s="524">
        <f t="shared" si="81"/>
        <v>0</v>
      </c>
      <c r="BP125" s="524">
        <f t="shared" si="81"/>
        <v>0</v>
      </c>
      <c r="BQ125" s="524">
        <f t="shared" si="81"/>
        <v>0</v>
      </c>
      <c r="BR125" s="524">
        <f t="shared" si="81"/>
        <v>0</v>
      </c>
      <c r="BS125" s="524">
        <f t="shared" si="82"/>
        <v>97430.048159655023</v>
      </c>
      <c r="BT125" s="524">
        <f t="shared" si="82"/>
        <v>0</v>
      </c>
      <c r="BU125" s="524">
        <f t="shared" si="82"/>
        <v>0</v>
      </c>
      <c r="BV125" s="524">
        <f t="shared" si="82"/>
        <v>0</v>
      </c>
      <c r="BW125" s="524">
        <f t="shared" si="82"/>
        <v>0</v>
      </c>
      <c r="BX125" s="524">
        <f t="shared" si="82"/>
        <v>0</v>
      </c>
      <c r="BY125" s="524">
        <f t="shared" si="82"/>
        <v>0</v>
      </c>
      <c r="BZ125" s="524">
        <f t="shared" si="82"/>
        <v>0</v>
      </c>
    </row>
    <row r="126" spans="2:78" ht="21" hidden="1" customHeight="1" outlineLevel="3">
      <c r="B126" s="367"/>
      <c r="C126" s="370"/>
      <c r="D126" s="374">
        <f t="shared" si="65"/>
        <v>46173</v>
      </c>
      <c r="E126" s="373" cm="1">
        <f t="array" ref="E126">IF($D126&lt;=LatestMonthOfActuals,0,INDEX($AE$27:$BZ$27,0,MATCH($D126,$AE$8:$BZ$8,0)))</f>
        <v>98280.388463798256</v>
      </c>
      <c r="F126" s="359"/>
      <c r="G126" s="408">
        <f t="shared" si="58"/>
        <v>0</v>
      </c>
      <c r="H126" s="408">
        <f t="shared" si="58"/>
        <v>0</v>
      </c>
      <c r="I126" s="408">
        <f t="shared" si="58"/>
        <v>0</v>
      </c>
      <c r="J126" s="408">
        <f t="shared" si="58"/>
        <v>98280.388463798256</v>
      </c>
      <c r="K126" s="408"/>
      <c r="L126" s="408"/>
      <c r="M126" s="408">
        <f t="shared" si="72"/>
        <v>0</v>
      </c>
      <c r="N126" s="408">
        <f t="shared" si="83"/>
        <v>0</v>
      </c>
      <c r="O126" s="408">
        <f t="shared" si="83"/>
        <v>0</v>
      </c>
      <c r="P126" s="408">
        <f t="shared" si="83"/>
        <v>0</v>
      </c>
      <c r="Q126" s="408">
        <f t="shared" si="83"/>
        <v>0</v>
      </c>
      <c r="R126" s="408">
        <f t="shared" si="83"/>
        <v>0</v>
      </c>
      <c r="S126" s="408">
        <f t="shared" si="83"/>
        <v>0</v>
      </c>
      <c r="T126" s="408">
        <f t="shared" si="83"/>
        <v>0</v>
      </c>
      <c r="U126" s="408">
        <f t="shared" si="83"/>
        <v>0</v>
      </c>
      <c r="V126" s="408">
        <f t="shared" si="83"/>
        <v>0</v>
      </c>
      <c r="W126" s="408">
        <f t="shared" si="83"/>
        <v>0</v>
      </c>
      <c r="X126" s="408">
        <f t="shared" si="83"/>
        <v>0</v>
      </c>
      <c r="Y126" s="408">
        <f t="shared" si="83"/>
        <v>0</v>
      </c>
      <c r="Z126" s="408">
        <f t="shared" si="83"/>
        <v>98280.388463798256</v>
      </c>
      <c r="AA126" s="408">
        <f t="shared" si="83"/>
        <v>0</v>
      </c>
      <c r="AB126" s="408">
        <f t="shared" si="83"/>
        <v>0</v>
      </c>
      <c r="AC126" s="524"/>
      <c r="AD126" s="359"/>
      <c r="AE126" s="524">
        <f t="shared" ref="AE126:AN133" si="84">IFERROR(IF(AE$8&gt;=$D126,$E126*(INDEX($E$18:$E$22,(MATCH(MATCH(AE$8,$D$86:$D$133,0)-MATCH($D126,$D$86:$D$133,0),$D$18:$D$22,0)))),0),0)</f>
        <v>0</v>
      </c>
      <c r="AF126" s="524">
        <f t="shared" si="84"/>
        <v>0</v>
      </c>
      <c r="AG126" s="524">
        <f t="shared" si="84"/>
        <v>0</v>
      </c>
      <c r="AH126" s="524">
        <f t="shared" si="84"/>
        <v>0</v>
      </c>
      <c r="AI126" s="524">
        <f t="shared" si="84"/>
        <v>0</v>
      </c>
      <c r="AJ126" s="524">
        <f t="shared" si="84"/>
        <v>0</v>
      </c>
      <c r="AK126" s="524">
        <f t="shared" si="84"/>
        <v>0</v>
      </c>
      <c r="AL126" s="524">
        <f t="shared" si="84"/>
        <v>0</v>
      </c>
      <c r="AM126" s="524">
        <f t="shared" si="84"/>
        <v>0</v>
      </c>
      <c r="AN126" s="524">
        <f t="shared" si="84"/>
        <v>0</v>
      </c>
      <c r="AO126" s="524">
        <f t="shared" ref="AO126:AX133" si="85">IFERROR(IF(AO$8&gt;=$D126,$E126*(INDEX($E$18:$E$22,(MATCH(MATCH(AO$8,$D$86:$D$133,0)-MATCH($D126,$D$86:$D$133,0),$D$18:$D$22,0)))),0),0)</f>
        <v>0</v>
      </c>
      <c r="AP126" s="524">
        <f t="shared" si="85"/>
        <v>0</v>
      </c>
      <c r="AQ126" s="524">
        <f t="shared" si="85"/>
        <v>0</v>
      </c>
      <c r="AR126" s="524">
        <f t="shared" si="85"/>
        <v>0</v>
      </c>
      <c r="AS126" s="524">
        <f t="shared" si="85"/>
        <v>0</v>
      </c>
      <c r="AT126" s="524">
        <f t="shared" si="85"/>
        <v>0</v>
      </c>
      <c r="AU126" s="524">
        <f t="shared" si="85"/>
        <v>0</v>
      </c>
      <c r="AV126" s="524">
        <f t="shared" si="85"/>
        <v>0</v>
      </c>
      <c r="AW126" s="524">
        <f t="shared" si="85"/>
        <v>0</v>
      </c>
      <c r="AX126" s="524">
        <f t="shared" si="85"/>
        <v>0</v>
      </c>
      <c r="AY126" s="524">
        <f t="shared" ref="AY126:BH133" si="86">IFERROR(IF(AY$8&gt;=$D126,$E126*(INDEX($E$18:$E$22,(MATCH(MATCH(AY$8,$D$86:$D$133,0)-MATCH($D126,$D$86:$D$133,0),$D$18:$D$22,0)))),0),0)</f>
        <v>0</v>
      </c>
      <c r="AZ126" s="524">
        <f t="shared" si="86"/>
        <v>0</v>
      </c>
      <c r="BA126" s="524">
        <f t="shared" si="86"/>
        <v>0</v>
      </c>
      <c r="BB126" s="524">
        <f t="shared" si="86"/>
        <v>0</v>
      </c>
      <c r="BC126" s="524">
        <f t="shared" si="86"/>
        <v>0</v>
      </c>
      <c r="BD126" s="524">
        <f t="shared" si="86"/>
        <v>0</v>
      </c>
      <c r="BE126" s="524">
        <f t="shared" si="86"/>
        <v>0</v>
      </c>
      <c r="BF126" s="524">
        <f t="shared" si="86"/>
        <v>0</v>
      </c>
      <c r="BG126" s="524">
        <f t="shared" si="86"/>
        <v>0</v>
      </c>
      <c r="BH126" s="524">
        <f t="shared" si="86"/>
        <v>0</v>
      </c>
      <c r="BI126" s="524">
        <f t="shared" ref="BI126:BR133" si="87">IFERROR(IF(BI$8&gt;=$D126,$E126*(INDEX($E$18:$E$22,(MATCH(MATCH(BI$8,$D$86:$D$133,0)-MATCH($D126,$D$86:$D$133,0),$D$18:$D$22,0)))),0),0)</f>
        <v>0</v>
      </c>
      <c r="BJ126" s="524">
        <f t="shared" si="87"/>
        <v>0</v>
      </c>
      <c r="BK126" s="524">
        <f t="shared" si="87"/>
        <v>0</v>
      </c>
      <c r="BL126" s="524">
        <f t="shared" si="87"/>
        <v>0</v>
      </c>
      <c r="BM126" s="524">
        <f t="shared" si="87"/>
        <v>0</v>
      </c>
      <c r="BN126" s="524">
        <f t="shared" si="87"/>
        <v>0</v>
      </c>
      <c r="BO126" s="524">
        <f t="shared" si="87"/>
        <v>0</v>
      </c>
      <c r="BP126" s="524">
        <f t="shared" si="87"/>
        <v>0</v>
      </c>
      <c r="BQ126" s="524">
        <f t="shared" si="87"/>
        <v>0</v>
      </c>
      <c r="BR126" s="524">
        <f t="shared" si="87"/>
        <v>0</v>
      </c>
      <c r="BS126" s="524">
        <f t="shared" ref="BS126:BZ133" si="88">IFERROR(IF(BS$8&gt;=$D126,$E126*(INDEX($E$18:$E$22,(MATCH(MATCH(BS$8,$D$86:$D$133,0)-MATCH($D126,$D$86:$D$133,0),$D$18:$D$22,0)))),0),0)</f>
        <v>0</v>
      </c>
      <c r="BT126" s="524">
        <f t="shared" si="88"/>
        <v>98280.388463798256</v>
      </c>
      <c r="BU126" s="524">
        <f t="shared" si="88"/>
        <v>0</v>
      </c>
      <c r="BV126" s="524">
        <f t="shared" si="88"/>
        <v>0</v>
      </c>
      <c r="BW126" s="524">
        <f t="shared" si="88"/>
        <v>0</v>
      </c>
      <c r="BX126" s="524">
        <f t="shared" si="88"/>
        <v>0</v>
      </c>
      <c r="BY126" s="524">
        <f t="shared" si="88"/>
        <v>0</v>
      </c>
      <c r="BZ126" s="524">
        <f t="shared" si="88"/>
        <v>0</v>
      </c>
    </row>
    <row r="127" spans="2:78" ht="21" hidden="1" customHeight="1" outlineLevel="3">
      <c r="B127" s="367"/>
      <c r="C127" s="370"/>
      <c r="D127" s="374">
        <f t="shared" si="65"/>
        <v>46203</v>
      </c>
      <c r="E127" s="373" cm="1">
        <f t="array" ref="E127">IF($D127&lt;=LatestMonthOfActuals,0,INDEX($AE$27:$BZ$27,0,MATCH($D127,$AE$8:$BZ$8,0)))</f>
        <v>99759.810845031432</v>
      </c>
      <c r="F127" s="359"/>
      <c r="G127" s="408">
        <f t="shared" si="58"/>
        <v>0</v>
      </c>
      <c r="H127" s="408">
        <f t="shared" si="58"/>
        <v>0</v>
      </c>
      <c r="I127" s="408">
        <f t="shared" si="58"/>
        <v>0</v>
      </c>
      <c r="J127" s="408">
        <f t="shared" si="58"/>
        <v>99759.810845031432</v>
      </c>
      <c r="K127" s="408"/>
      <c r="L127" s="408"/>
      <c r="M127" s="408">
        <f t="shared" si="72"/>
        <v>0</v>
      </c>
      <c r="N127" s="408">
        <f t="shared" si="83"/>
        <v>0</v>
      </c>
      <c r="O127" s="408">
        <f t="shared" si="83"/>
        <v>0</v>
      </c>
      <c r="P127" s="408">
        <f t="shared" si="83"/>
        <v>0</v>
      </c>
      <c r="Q127" s="408">
        <f t="shared" si="83"/>
        <v>0</v>
      </c>
      <c r="R127" s="408">
        <f t="shared" si="83"/>
        <v>0</v>
      </c>
      <c r="S127" s="408">
        <f t="shared" si="83"/>
        <v>0</v>
      </c>
      <c r="T127" s="408">
        <f t="shared" si="83"/>
        <v>0</v>
      </c>
      <c r="U127" s="408">
        <f t="shared" si="83"/>
        <v>0</v>
      </c>
      <c r="V127" s="408">
        <f t="shared" si="83"/>
        <v>0</v>
      </c>
      <c r="W127" s="408">
        <f t="shared" si="83"/>
        <v>0</v>
      </c>
      <c r="X127" s="408">
        <f t="shared" si="83"/>
        <v>0</v>
      </c>
      <c r="Y127" s="408">
        <f t="shared" si="83"/>
        <v>0</v>
      </c>
      <c r="Z127" s="408">
        <f t="shared" si="83"/>
        <v>0</v>
      </c>
      <c r="AA127" s="408">
        <f t="shared" si="83"/>
        <v>99759.810845031432</v>
      </c>
      <c r="AB127" s="408">
        <f t="shared" si="83"/>
        <v>0</v>
      </c>
      <c r="AC127" s="524"/>
      <c r="AD127" s="359"/>
      <c r="AE127" s="524">
        <f t="shared" si="84"/>
        <v>0</v>
      </c>
      <c r="AF127" s="524">
        <f t="shared" si="84"/>
        <v>0</v>
      </c>
      <c r="AG127" s="524">
        <f t="shared" si="84"/>
        <v>0</v>
      </c>
      <c r="AH127" s="524">
        <f t="shared" si="84"/>
        <v>0</v>
      </c>
      <c r="AI127" s="524">
        <f t="shared" si="84"/>
        <v>0</v>
      </c>
      <c r="AJ127" s="524">
        <f t="shared" si="84"/>
        <v>0</v>
      </c>
      <c r="AK127" s="524">
        <f t="shared" si="84"/>
        <v>0</v>
      </c>
      <c r="AL127" s="524">
        <f t="shared" si="84"/>
        <v>0</v>
      </c>
      <c r="AM127" s="524">
        <f t="shared" si="84"/>
        <v>0</v>
      </c>
      <c r="AN127" s="524">
        <f t="shared" si="84"/>
        <v>0</v>
      </c>
      <c r="AO127" s="524">
        <f t="shared" si="85"/>
        <v>0</v>
      </c>
      <c r="AP127" s="524">
        <f t="shared" si="85"/>
        <v>0</v>
      </c>
      <c r="AQ127" s="524">
        <f t="shared" si="85"/>
        <v>0</v>
      </c>
      <c r="AR127" s="524">
        <f t="shared" si="85"/>
        <v>0</v>
      </c>
      <c r="AS127" s="524">
        <f t="shared" si="85"/>
        <v>0</v>
      </c>
      <c r="AT127" s="524">
        <f t="shared" si="85"/>
        <v>0</v>
      </c>
      <c r="AU127" s="524">
        <f t="shared" si="85"/>
        <v>0</v>
      </c>
      <c r="AV127" s="524">
        <f t="shared" si="85"/>
        <v>0</v>
      </c>
      <c r="AW127" s="524">
        <f t="shared" si="85"/>
        <v>0</v>
      </c>
      <c r="AX127" s="524">
        <f t="shared" si="85"/>
        <v>0</v>
      </c>
      <c r="AY127" s="524">
        <f t="shared" si="86"/>
        <v>0</v>
      </c>
      <c r="AZ127" s="524">
        <f t="shared" si="86"/>
        <v>0</v>
      </c>
      <c r="BA127" s="524">
        <f t="shared" si="86"/>
        <v>0</v>
      </c>
      <c r="BB127" s="524">
        <f t="shared" si="86"/>
        <v>0</v>
      </c>
      <c r="BC127" s="524">
        <f t="shared" si="86"/>
        <v>0</v>
      </c>
      <c r="BD127" s="524">
        <f t="shared" si="86"/>
        <v>0</v>
      </c>
      <c r="BE127" s="524">
        <f t="shared" si="86"/>
        <v>0</v>
      </c>
      <c r="BF127" s="524">
        <f t="shared" si="86"/>
        <v>0</v>
      </c>
      <c r="BG127" s="524">
        <f t="shared" si="86"/>
        <v>0</v>
      </c>
      <c r="BH127" s="524">
        <f t="shared" si="86"/>
        <v>0</v>
      </c>
      <c r="BI127" s="524">
        <f t="shared" si="87"/>
        <v>0</v>
      </c>
      <c r="BJ127" s="524">
        <f t="shared" si="87"/>
        <v>0</v>
      </c>
      <c r="BK127" s="524">
        <f t="shared" si="87"/>
        <v>0</v>
      </c>
      <c r="BL127" s="524">
        <f t="shared" si="87"/>
        <v>0</v>
      </c>
      <c r="BM127" s="524">
        <f t="shared" si="87"/>
        <v>0</v>
      </c>
      <c r="BN127" s="524">
        <f t="shared" si="87"/>
        <v>0</v>
      </c>
      <c r="BO127" s="524">
        <f t="shared" si="87"/>
        <v>0</v>
      </c>
      <c r="BP127" s="524">
        <f t="shared" si="87"/>
        <v>0</v>
      </c>
      <c r="BQ127" s="524">
        <f t="shared" si="87"/>
        <v>0</v>
      </c>
      <c r="BR127" s="524">
        <f t="shared" si="87"/>
        <v>0</v>
      </c>
      <c r="BS127" s="524">
        <f t="shared" si="88"/>
        <v>0</v>
      </c>
      <c r="BT127" s="524">
        <f t="shared" si="88"/>
        <v>0</v>
      </c>
      <c r="BU127" s="524">
        <f t="shared" si="88"/>
        <v>99759.810845031432</v>
      </c>
      <c r="BV127" s="524">
        <f t="shared" si="88"/>
        <v>0</v>
      </c>
      <c r="BW127" s="524">
        <f t="shared" si="88"/>
        <v>0</v>
      </c>
      <c r="BX127" s="524">
        <f t="shared" si="88"/>
        <v>0</v>
      </c>
      <c r="BY127" s="524">
        <f t="shared" si="88"/>
        <v>0</v>
      </c>
      <c r="BZ127" s="524">
        <f t="shared" si="88"/>
        <v>0</v>
      </c>
    </row>
    <row r="128" spans="2:78" ht="21" hidden="1" customHeight="1" outlineLevel="3">
      <c r="B128" s="367"/>
      <c r="C128" s="370"/>
      <c r="D128" s="374">
        <f t="shared" si="65"/>
        <v>46234</v>
      </c>
      <c r="E128" s="373" cm="1">
        <f t="array" ref="E128">IF($D128&lt;=LatestMonthOfActuals,0,INDEX($AE$27:$BZ$27,0,MATCH($D128,$AE$8:$BZ$8,0)))</f>
        <v>102002.91827537333</v>
      </c>
      <c r="F128" s="359"/>
      <c r="G128" s="408">
        <f t="shared" si="58"/>
        <v>0</v>
      </c>
      <c r="H128" s="408">
        <f t="shared" si="58"/>
        <v>0</v>
      </c>
      <c r="I128" s="408">
        <f t="shared" si="58"/>
        <v>0</v>
      </c>
      <c r="J128" s="408">
        <f t="shared" si="58"/>
        <v>102002.91827537333</v>
      </c>
      <c r="K128" s="408"/>
      <c r="L128" s="408"/>
      <c r="M128" s="408">
        <f t="shared" si="72"/>
        <v>0</v>
      </c>
      <c r="N128" s="408">
        <f t="shared" si="83"/>
        <v>0</v>
      </c>
      <c r="O128" s="408">
        <f t="shared" si="83"/>
        <v>0</v>
      </c>
      <c r="P128" s="408">
        <f t="shared" si="83"/>
        <v>0</v>
      </c>
      <c r="Q128" s="408">
        <f t="shared" si="83"/>
        <v>0</v>
      </c>
      <c r="R128" s="408">
        <f t="shared" si="83"/>
        <v>0</v>
      </c>
      <c r="S128" s="408">
        <f t="shared" si="83"/>
        <v>0</v>
      </c>
      <c r="T128" s="408">
        <f t="shared" si="83"/>
        <v>0</v>
      </c>
      <c r="U128" s="408">
        <f t="shared" si="83"/>
        <v>0</v>
      </c>
      <c r="V128" s="408">
        <f t="shared" si="83"/>
        <v>0</v>
      </c>
      <c r="W128" s="408">
        <f t="shared" si="83"/>
        <v>0</v>
      </c>
      <c r="X128" s="408">
        <f t="shared" si="83"/>
        <v>0</v>
      </c>
      <c r="Y128" s="408">
        <f t="shared" si="83"/>
        <v>0</v>
      </c>
      <c r="Z128" s="408">
        <f t="shared" si="83"/>
        <v>0</v>
      </c>
      <c r="AA128" s="408">
        <f t="shared" si="83"/>
        <v>102002.91827537333</v>
      </c>
      <c r="AB128" s="408">
        <f t="shared" si="83"/>
        <v>0</v>
      </c>
      <c r="AC128" s="524"/>
      <c r="AD128" s="359"/>
      <c r="AE128" s="524">
        <f t="shared" si="84"/>
        <v>0</v>
      </c>
      <c r="AF128" s="524">
        <f t="shared" si="84"/>
        <v>0</v>
      </c>
      <c r="AG128" s="524">
        <f t="shared" si="84"/>
        <v>0</v>
      </c>
      <c r="AH128" s="524">
        <f t="shared" si="84"/>
        <v>0</v>
      </c>
      <c r="AI128" s="524">
        <f t="shared" si="84"/>
        <v>0</v>
      </c>
      <c r="AJ128" s="524">
        <f t="shared" si="84"/>
        <v>0</v>
      </c>
      <c r="AK128" s="524">
        <f t="shared" si="84"/>
        <v>0</v>
      </c>
      <c r="AL128" s="524">
        <f t="shared" si="84"/>
        <v>0</v>
      </c>
      <c r="AM128" s="524">
        <f t="shared" si="84"/>
        <v>0</v>
      </c>
      <c r="AN128" s="524">
        <f t="shared" si="84"/>
        <v>0</v>
      </c>
      <c r="AO128" s="524">
        <f t="shared" si="85"/>
        <v>0</v>
      </c>
      <c r="AP128" s="524">
        <f t="shared" si="85"/>
        <v>0</v>
      </c>
      <c r="AQ128" s="524">
        <f t="shared" si="85"/>
        <v>0</v>
      </c>
      <c r="AR128" s="524">
        <f t="shared" si="85"/>
        <v>0</v>
      </c>
      <c r="AS128" s="524">
        <f t="shared" si="85"/>
        <v>0</v>
      </c>
      <c r="AT128" s="524">
        <f t="shared" si="85"/>
        <v>0</v>
      </c>
      <c r="AU128" s="524">
        <f t="shared" si="85"/>
        <v>0</v>
      </c>
      <c r="AV128" s="524">
        <f t="shared" si="85"/>
        <v>0</v>
      </c>
      <c r="AW128" s="524">
        <f t="shared" si="85"/>
        <v>0</v>
      </c>
      <c r="AX128" s="524">
        <f t="shared" si="85"/>
        <v>0</v>
      </c>
      <c r="AY128" s="524">
        <f t="shared" si="86"/>
        <v>0</v>
      </c>
      <c r="AZ128" s="524">
        <f t="shared" si="86"/>
        <v>0</v>
      </c>
      <c r="BA128" s="524">
        <f t="shared" si="86"/>
        <v>0</v>
      </c>
      <c r="BB128" s="524">
        <f t="shared" si="86"/>
        <v>0</v>
      </c>
      <c r="BC128" s="524">
        <f t="shared" si="86"/>
        <v>0</v>
      </c>
      <c r="BD128" s="524">
        <f t="shared" si="86"/>
        <v>0</v>
      </c>
      <c r="BE128" s="524">
        <f t="shared" si="86"/>
        <v>0</v>
      </c>
      <c r="BF128" s="524">
        <f t="shared" si="86"/>
        <v>0</v>
      </c>
      <c r="BG128" s="524">
        <f t="shared" si="86"/>
        <v>0</v>
      </c>
      <c r="BH128" s="524">
        <f t="shared" si="86"/>
        <v>0</v>
      </c>
      <c r="BI128" s="524">
        <f t="shared" si="87"/>
        <v>0</v>
      </c>
      <c r="BJ128" s="524">
        <f t="shared" si="87"/>
        <v>0</v>
      </c>
      <c r="BK128" s="524">
        <f t="shared" si="87"/>
        <v>0</v>
      </c>
      <c r="BL128" s="524">
        <f t="shared" si="87"/>
        <v>0</v>
      </c>
      <c r="BM128" s="524">
        <f t="shared" si="87"/>
        <v>0</v>
      </c>
      <c r="BN128" s="524">
        <f t="shared" si="87"/>
        <v>0</v>
      </c>
      <c r="BO128" s="524">
        <f t="shared" si="87"/>
        <v>0</v>
      </c>
      <c r="BP128" s="524">
        <f t="shared" si="87"/>
        <v>0</v>
      </c>
      <c r="BQ128" s="524">
        <f t="shared" si="87"/>
        <v>0</v>
      </c>
      <c r="BR128" s="524">
        <f t="shared" si="87"/>
        <v>0</v>
      </c>
      <c r="BS128" s="524">
        <f t="shared" si="88"/>
        <v>0</v>
      </c>
      <c r="BT128" s="524">
        <f t="shared" si="88"/>
        <v>0</v>
      </c>
      <c r="BU128" s="524">
        <f t="shared" si="88"/>
        <v>0</v>
      </c>
      <c r="BV128" s="524">
        <f t="shared" si="88"/>
        <v>102002.91827537333</v>
      </c>
      <c r="BW128" s="524">
        <f t="shared" si="88"/>
        <v>0</v>
      </c>
      <c r="BX128" s="524">
        <f t="shared" si="88"/>
        <v>0</v>
      </c>
      <c r="BY128" s="524">
        <f t="shared" si="88"/>
        <v>0</v>
      </c>
      <c r="BZ128" s="524">
        <f t="shared" si="88"/>
        <v>0</v>
      </c>
    </row>
    <row r="129" spans="2:78" ht="21" hidden="1" customHeight="1" outlineLevel="3">
      <c r="B129" s="367"/>
      <c r="C129" s="370"/>
      <c r="D129" s="374">
        <f t="shared" si="65"/>
        <v>46265</v>
      </c>
      <c r="E129" s="373" cm="1">
        <f t="array" ref="E129">IF($D129&lt;=LatestMonthOfActuals,0,INDEX($AE$27:$BZ$27,0,MATCH($D129,$AE$8:$BZ$8,0)))</f>
        <v>103086.65220098445</v>
      </c>
      <c r="F129" s="359"/>
      <c r="G129" s="408">
        <f t="shared" si="58"/>
        <v>0</v>
      </c>
      <c r="H129" s="408">
        <f t="shared" si="58"/>
        <v>0</v>
      </c>
      <c r="I129" s="408">
        <f t="shared" si="58"/>
        <v>0</v>
      </c>
      <c r="J129" s="408">
        <f t="shared" si="58"/>
        <v>103086.65220098445</v>
      </c>
      <c r="K129" s="408"/>
      <c r="L129" s="408"/>
      <c r="M129" s="408">
        <f t="shared" si="72"/>
        <v>0</v>
      </c>
      <c r="N129" s="408">
        <f t="shared" si="83"/>
        <v>0</v>
      </c>
      <c r="O129" s="408">
        <f t="shared" si="83"/>
        <v>0</v>
      </c>
      <c r="P129" s="408">
        <f t="shared" si="83"/>
        <v>0</v>
      </c>
      <c r="Q129" s="408">
        <f t="shared" si="83"/>
        <v>0</v>
      </c>
      <c r="R129" s="408">
        <f t="shared" si="83"/>
        <v>0</v>
      </c>
      <c r="S129" s="408">
        <f t="shared" si="83"/>
        <v>0</v>
      </c>
      <c r="T129" s="408">
        <f t="shared" si="83"/>
        <v>0</v>
      </c>
      <c r="U129" s="408">
        <f t="shared" si="83"/>
        <v>0</v>
      </c>
      <c r="V129" s="408">
        <f t="shared" si="83"/>
        <v>0</v>
      </c>
      <c r="W129" s="408">
        <f t="shared" si="83"/>
        <v>0</v>
      </c>
      <c r="X129" s="408">
        <f t="shared" si="83"/>
        <v>0</v>
      </c>
      <c r="Y129" s="408">
        <f t="shared" si="83"/>
        <v>0</v>
      </c>
      <c r="Z129" s="408">
        <f t="shared" si="83"/>
        <v>0</v>
      </c>
      <c r="AA129" s="408">
        <f t="shared" si="83"/>
        <v>103086.65220098445</v>
      </c>
      <c r="AB129" s="408">
        <f t="shared" si="83"/>
        <v>0</v>
      </c>
      <c r="AC129" s="524"/>
      <c r="AD129" s="359"/>
      <c r="AE129" s="524">
        <f t="shared" si="84"/>
        <v>0</v>
      </c>
      <c r="AF129" s="524">
        <f t="shared" si="84"/>
        <v>0</v>
      </c>
      <c r="AG129" s="524">
        <f t="shared" si="84"/>
        <v>0</v>
      </c>
      <c r="AH129" s="524">
        <f t="shared" si="84"/>
        <v>0</v>
      </c>
      <c r="AI129" s="524">
        <f t="shared" si="84"/>
        <v>0</v>
      </c>
      <c r="AJ129" s="524">
        <f t="shared" si="84"/>
        <v>0</v>
      </c>
      <c r="AK129" s="524">
        <f t="shared" si="84"/>
        <v>0</v>
      </c>
      <c r="AL129" s="524">
        <f t="shared" si="84"/>
        <v>0</v>
      </c>
      <c r="AM129" s="524">
        <f t="shared" si="84"/>
        <v>0</v>
      </c>
      <c r="AN129" s="524">
        <f t="shared" si="84"/>
        <v>0</v>
      </c>
      <c r="AO129" s="524">
        <f t="shared" si="85"/>
        <v>0</v>
      </c>
      <c r="AP129" s="524">
        <f t="shared" si="85"/>
        <v>0</v>
      </c>
      <c r="AQ129" s="524">
        <f t="shared" si="85"/>
        <v>0</v>
      </c>
      <c r="AR129" s="524">
        <f t="shared" si="85"/>
        <v>0</v>
      </c>
      <c r="AS129" s="524">
        <f t="shared" si="85"/>
        <v>0</v>
      </c>
      <c r="AT129" s="524">
        <f t="shared" si="85"/>
        <v>0</v>
      </c>
      <c r="AU129" s="524">
        <f t="shared" si="85"/>
        <v>0</v>
      </c>
      <c r="AV129" s="524">
        <f t="shared" si="85"/>
        <v>0</v>
      </c>
      <c r="AW129" s="524">
        <f t="shared" si="85"/>
        <v>0</v>
      </c>
      <c r="AX129" s="524">
        <f t="shared" si="85"/>
        <v>0</v>
      </c>
      <c r="AY129" s="524">
        <f t="shared" si="86"/>
        <v>0</v>
      </c>
      <c r="AZ129" s="524">
        <f t="shared" si="86"/>
        <v>0</v>
      </c>
      <c r="BA129" s="524">
        <f t="shared" si="86"/>
        <v>0</v>
      </c>
      <c r="BB129" s="524">
        <f t="shared" si="86"/>
        <v>0</v>
      </c>
      <c r="BC129" s="524">
        <f t="shared" si="86"/>
        <v>0</v>
      </c>
      <c r="BD129" s="524">
        <f t="shared" si="86"/>
        <v>0</v>
      </c>
      <c r="BE129" s="524">
        <f t="shared" si="86"/>
        <v>0</v>
      </c>
      <c r="BF129" s="524">
        <f t="shared" si="86"/>
        <v>0</v>
      </c>
      <c r="BG129" s="524">
        <f t="shared" si="86"/>
        <v>0</v>
      </c>
      <c r="BH129" s="524">
        <f t="shared" si="86"/>
        <v>0</v>
      </c>
      <c r="BI129" s="524">
        <f t="shared" si="87"/>
        <v>0</v>
      </c>
      <c r="BJ129" s="524">
        <f t="shared" si="87"/>
        <v>0</v>
      </c>
      <c r="BK129" s="524">
        <f t="shared" si="87"/>
        <v>0</v>
      </c>
      <c r="BL129" s="524">
        <f t="shared" si="87"/>
        <v>0</v>
      </c>
      <c r="BM129" s="524">
        <f t="shared" si="87"/>
        <v>0</v>
      </c>
      <c r="BN129" s="524">
        <f t="shared" si="87"/>
        <v>0</v>
      </c>
      <c r="BO129" s="524">
        <f t="shared" si="87"/>
        <v>0</v>
      </c>
      <c r="BP129" s="524">
        <f t="shared" si="87"/>
        <v>0</v>
      </c>
      <c r="BQ129" s="524">
        <f t="shared" si="87"/>
        <v>0</v>
      </c>
      <c r="BR129" s="524">
        <f t="shared" si="87"/>
        <v>0</v>
      </c>
      <c r="BS129" s="524">
        <f t="shared" si="88"/>
        <v>0</v>
      </c>
      <c r="BT129" s="524">
        <f t="shared" si="88"/>
        <v>0</v>
      </c>
      <c r="BU129" s="524">
        <f t="shared" si="88"/>
        <v>0</v>
      </c>
      <c r="BV129" s="524">
        <f t="shared" si="88"/>
        <v>0</v>
      </c>
      <c r="BW129" s="524">
        <f t="shared" si="88"/>
        <v>103086.65220098445</v>
      </c>
      <c r="BX129" s="524">
        <f t="shared" si="88"/>
        <v>0</v>
      </c>
      <c r="BY129" s="524">
        <f t="shared" si="88"/>
        <v>0</v>
      </c>
      <c r="BZ129" s="524">
        <f t="shared" si="88"/>
        <v>0</v>
      </c>
    </row>
    <row r="130" spans="2:78" ht="21" hidden="1" customHeight="1" outlineLevel="3">
      <c r="B130" s="367"/>
      <c r="C130" s="370"/>
      <c r="D130" s="374">
        <f t="shared" si="65"/>
        <v>46295</v>
      </c>
      <c r="E130" s="373" cm="1">
        <f t="array" ref="E130">IF($D130&lt;=LatestMonthOfActuals,0,INDEX($AE$27:$BZ$27,0,MATCH($D130,$AE$8:$BZ$8,0)))</f>
        <v>104093.60669914841</v>
      </c>
      <c r="F130" s="359"/>
      <c r="G130" s="408">
        <f t="shared" si="58"/>
        <v>0</v>
      </c>
      <c r="H130" s="408">
        <f t="shared" si="58"/>
        <v>0</v>
      </c>
      <c r="I130" s="408">
        <f t="shared" si="58"/>
        <v>0</v>
      </c>
      <c r="J130" s="408">
        <f t="shared" si="58"/>
        <v>104093.60669914841</v>
      </c>
      <c r="K130" s="408"/>
      <c r="L130" s="408"/>
      <c r="M130" s="408">
        <f t="shared" si="72"/>
        <v>0</v>
      </c>
      <c r="N130" s="408">
        <f t="shared" si="83"/>
        <v>0</v>
      </c>
      <c r="O130" s="408">
        <f t="shared" si="83"/>
        <v>0</v>
      </c>
      <c r="P130" s="408">
        <f t="shared" si="83"/>
        <v>0</v>
      </c>
      <c r="Q130" s="408">
        <f t="shared" si="83"/>
        <v>0</v>
      </c>
      <c r="R130" s="408">
        <f t="shared" si="83"/>
        <v>0</v>
      </c>
      <c r="S130" s="408">
        <f t="shared" si="83"/>
        <v>0</v>
      </c>
      <c r="T130" s="408">
        <f t="shared" si="83"/>
        <v>0</v>
      </c>
      <c r="U130" s="408">
        <f t="shared" si="83"/>
        <v>0</v>
      </c>
      <c r="V130" s="408">
        <f t="shared" si="83"/>
        <v>0</v>
      </c>
      <c r="W130" s="408">
        <f t="shared" si="83"/>
        <v>0</v>
      </c>
      <c r="X130" s="408">
        <f t="shared" si="83"/>
        <v>0</v>
      </c>
      <c r="Y130" s="408">
        <f t="shared" si="83"/>
        <v>0</v>
      </c>
      <c r="Z130" s="408">
        <f t="shared" si="83"/>
        <v>0</v>
      </c>
      <c r="AA130" s="408">
        <f t="shared" si="83"/>
        <v>0</v>
      </c>
      <c r="AB130" s="408">
        <f t="shared" si="83"/>
        <v>104093.60669914841</v>
      </c>
      <c r="AC130" s="524"/>
      <c r="AD130" s="359"/>
      <c r="AE130" s="524">
        <f t="shared" si="84"/>
        <v>0</v>
      </c>
      <c r="AF130" s="524">
        <f t="shared" si="84"/>
        <v>0</v>
      </c>
      <c r="AG130" s="524">
        <f t="shared" si="84"/>
        <v>0</v>
      </c>
      <c r="AH130" s="524">
        <f t="shared" si="84"/>
        <v>0</v>
      </c>
      <c r="AI130" s="524">
        <f t="shared" si="84"/>
        <v>0</v>
      </c>
      <c r="AJ130" s="524">
        <f t="shared" si="84"/>
        <v>0</v>
      </c>
      <c r="AK130" s="524">
        <f t="shared" si="84"/>
        <v>0</v>
      </c>
      <c r="AL130" s="524">
        <f t="shared" si="84"/>
        <v>0</v>
      </c>
      <c r="AM130" s="524">
        <f t="shared" si="84"/>
        <v>0</v>
      </c>
      <c r="AN130" s="524">
        <f t="shared" si="84"/>
        <v>0</v>
      </c>
      <c r="AO130" s="524">
        <f t="shared" si="85"/>
        <v>0</v>
      </c>
      <c r="AP130" s="524">
        <f t="shared" si="85"/>
        <v>0</v>
      </c>
      <c r="AQ130" s="524">
        <f t="shared" si="85"/>
        <v>0</v>
      </c>
      <c r="AR130" s="524">
        <f t="shared" si="85"/>
        <v>0</v>
      </c>
      <c r="AS130" s="524">
        <f t="shared" si="85"/>
        <v>0</v>
      </c>
      <c r="AT130" s="524">
        <f t="shared" si="85"/>
        <v>0</v>
      </c>
      <c r="AU130" s="524">
        <f t="shared" si="85"/>
        <v>0</v>
      </c>
      <c r="AV130" s="524">
        <f t="shared" si="85"/>
        <v>0</v>
      </c>
      <c r="AW130" s="524">
        <f t="shared" si="85"/>
        <v>0</v>
      </c>
      <c r="AX130" s="524">
        <f t="shared" si="85"/>
        <v>0</v>
      </c>
      <c r="AY130" s="524">
        <f t="shared" si="86"/>
        <v>0</v>
      </c>
      <c r="AZ130" s="524">
        <f t="shared" si="86"/>
        <v>0</v>
      </c>
      <c r="BA130" s="524">
        <f t="shared" si="86"/>
        <v>0</v>
      </c>
      <c r="BB130" s="524">
        <f t="shared" si="86"/>
        <v>0</v>
      </c>
      <c r="BC130" s="524">
        <f t="shared" si="86"/>
        <v>0</v>
      </c>
      <c r="BD130" s="524">
        <f t="shared" si="86"/>
        <v>0</v>
      </c>
      <c r="BE130" s="524">
        <f t="shared" si="86"/>
        <v>0</v>
      </c>
      <c r="BF130" s="524">
        <f t="shared" si="86"/>
        <v>0</v>
      </c>
      <c r="BG130" s="524">
        <f t="shared" si="86"/>
        <v>0</v>
      </c>
      <c r="BH130" s="524">
        <f t="shared" si="86"/>
        <v>0</v>
      </c>
      <c r="BI130" s="524">
        <f t="shared" si="87"/>
        <v>0</v>
      </c>
      <c r="BJ130" s="524">
        <f t="shared" si="87"/>
        <v>0</v>
      </c>
      <c r="BK130" s="524">
        <f t="shared" si="87"/>
        <v>0</v>
      </c>
      <c r="BL130" s="524">
        <f t="shared" si="87"/>
        <v>0</v>
      </c>
      <c r="BM130" s="524">
        <f t="shared" si="87"/>
        <v>0</v>
      </c>
      <c r="BN130" s="524">
        <f t="shared" si="87"/>
        <v>0</v>
      </c>
      <c r="BO130" s="524">
        <f t="shared" si="87"/>
        <v>0</v>
      </c>
      <c r="BP130" s="524">
        <f t="shared" si="87"/>
        <v>0</v>
      </c>
      <c r="BQ130" s="524">
        <f t="shared" si="87"/>
        <v>0</v>
      </c>
      <c r="BR130" s="524">
        <f t="shared" si="87"/>
        <v>0</v>
      </c>
      <c r="BS130" s="524">
        <f t="shared" si="88"/>
        <v>0</v>
      </c>
      <c r="BT130" s="524">
        <f t="shared" si="88"/>
        <v>0</v>
      </c>
      <c r="BU130" s="524">
        <f t="shared" si="88"/>
        <v>0</v>
      </c>
      <c r="BV130" s="524">
        <f t="shared" si="88"/>
        <v>0</v>
      </c>
      <c r="BW130" s="524">
        <f t="shared" si="88"/>
        <v>0</v>
      </c>
      <c r="BX130" s="524">
        <f t="shared" si="88"/>
        <v>104093.60669914841</v>
      </c>
      <c r="BY130" s="524">
        <f t="shared" si="88"/>
        <v>0</v>
      </c>
      <c r="BZ130" s="524">
        <f t="shared" si="88"/>
        <v>0</v>
      </c>
    </row>
    <row r="131" spans="2:78" ht="21" hidden="1" customHeight="1" outlineLevel="3">
      <c r="B131" s="367"/>
      <c r="C131" s="370"/>
      <c r="D131" s="374">
        <f t="shared" si="65"/>
        <v>46326</v>
      </c>
      <c r="E131" s="373" cm="1">
        <f t="array" ref="E131">IF($D131&lt;=LatestMonthOfActuals,0,INDEX($AE$27:$BZ$27,0,MATCH($D131,$AE$8:$BZ$8,0)))</f>
        <v>105039.42272510209</v>
      </c>
      <c r="F131" s="359"/>
      <c r="G131" s="408">
        <f t="shared" si="58"/>
        <v>0</v>
      </c>
      <c r="H131" s="408">
        <f t="shared" si="58"/>
        <v>0</v>
      </c>
      <c r="I131" s="408">
        <f t="shared" si="58"/>
        <v>0</v>
      </c>
      <c r="J131" s="408">
        <f t="shared" si="58"/>
        <v>105039.42272510209</v>
      </c>
      <c r="K131" s="408"/>
      <c r="L131" s="408"/>
      <c r="M131" s="408">
        <f t="shared" si="72"/>
        <v>0</v>
      </c>
      <c r="N131" s="408">
        <f t="shared" si="83"/>
        <v>0</v>
      </c>
      <c r="O131" s="408">
        <f t="shared" si="83"/>
        <v>0</v>
      </c>
      <c r="P131" s="408">
        <f t="shared" si="83"/>
        <v>0</v>
      </c>
      <c r="Q131" s="408">
        <f t="shared" si="83"/>
        <v>0</v>
      </c>
      <c r="R131" s="408">
        <f t="shared" si="83"/>
        <v>0</v>
      </c>
      <c r="S131" s="408">
        <f t="shared" si="83"/>
        <v>0</v>
      </c>
      <c r="T131" s="408">
        <f t="shared" si="83"/>
        <v>0</v>
      </c>
      <c r="U131" s="408">
        <f t="shared" si="83"/>
        <v>0</v>
      </c>
      <c r="V131" s="408">
        <f t="shared" si="83"/>
        <v>0</v>
      </c>
      <c r="W131" s="408">
        <f t="shared" si="83"/>
        <v>0</v>
      </c>
      <c r="X131" s="408">
        <f t="shared" si="83"/>
        <v>0</v>
      </c>
      <c r="Y131" s="408">
        <f t="shared" si="83"/>
        <v>0</v>
      </c>
      <c r="Z131" s="408">
        <f t="shared" si="83"/>
        <v>0</v>
      </c>
      <c r="AA131" s="408">
        <f t="shared" si="83"/>
        <v>0</v>
      </c>
      <c r="AB131" s="408">
        <f t="shared" si="83"/>
        <v>105039.42272510209</v>
      </c>
      <c r="AC131" s="524"/>
      <c r="AD131" s="359"/>
      <c r="AE131" s="524">
        <f t="shared" si="84"/>
        <v>0</v>
      </c>
      <c r="AF131" s="524">
        <f t="shared" si="84"/>
        <v>0</v>
      </c>
      <c r="AG131" s="524">
        <f t="shared" si="84"/>
        <v>0</v>
      </c>
      <c r="AH131" s="524">
        <f t="shared" si="84"/>
        <v>0</v>
      </c>
      <c r="AI131" s="524">
        <f t="shared" si="84"/>
        <v>0</v>
      </c>
      <c r="AJ131" s="524">
        <f t="shared" si="84"/>
        <v>0</v>
      </c>
      <c r="AK131" s="524">
        <f t="shared" si="84"/>
        <v>0</v>
      </c>
      <c r="AL131" s="524">
        <f t="shared" si="84"/>
        <v>0</v>
      </c>
      <c r="AM131" s="524">
        <f t="shared" si="84"/>
        <v>0</v>
      </c>
      <c r="AN131" s="524">
        <f t="shared" si="84"/>
        <v>0</v>
      </c>
      <c r="AO131" s="524">
        <f t="shared" si="85"/>
        <v>0</v>
      </c>
      <c r="AP131" s="524">
        <f t="shared" si="85"/>
        <v>0</v>
      </c>
      <c r="AQ131" s="524">
        <f t="shared" si="85"/>
        <v>0</v>
      </c>
      <c r="AR131" s="524">
        <f t="shared" si="85"/>
        <v>0</v>
      </c>
      <c r="AS131" s="524">
        <f t="shared" si="85"/>
        <v>0</v>
      </c>
      <c r="AT131" s="524">
        <f t="shared" si="85"/>
        <v>0</v>
      </c>
      <c r="AU131" s="524">
        <f t="shared" si="85"/>
        <v>0</v>
      </c>
      <c r="AV131" s="524">
        <f t="shared" si="85"/>
        <v>0</v>
      </c>
      <c r="AW131" s="524">
        <f t="shared" si="85"/>
        <v>0</v>
      </c>
      <c r="AX131" s="524">
        <f t="shared" si="85"/>
        <v>0</v>
      </c>
      <c r="AY131" s="524">
        <f t="shared" si="86"/>
        <v>0</v>
      </c>
      <c r="AZ131" s="524">
        <f t="shared" si="86"/>
        <v>0</v>
      </c>
      <c r="BA131" s="524">
        <f t="shared" si="86"/>
        <v>0</v>
      </c>
      <c r="BB131" s="524">
        <f t="shared" si="86"/>
        <v>0</v>
      </c>
      <c r="BC131" s="524">
        <f t="shared" si="86"/>
        <v>0</v>
      </c>
      <c r="BD131" s="524">
        <f t="shared" si="86"/>
        <v>0</v>
      </c>
      <c r="BE131" s="524">
        <f t="shared" si="86"/>
        <v>0</v>
      </c>
      <c r="BF131" s="524">
        <f t="shared" si="86"/>
        <v>0</v>
      </c>
      <c r="BG131" s="524">
        <f t="shared" si="86"/>
        <v>0</v>
      </c>
      <c r="BH131" s="524">
        <f t="shared" si="86"/>
        <v>0</v>
      </c>
      <c r="BI131" s="524">
        <f t="shared" si="87"/>
        <v>0</v>
      </c>
      <c r="BJ131" s="524">
        <f t="shared" si="87"/>
        <v>0</v>
      </c>
      <c r="BK131" s="524">
        <f t="shared" si="87"/>
        <v>0</v>
      </c>
      <c r="BL131" s="524">
        <f t="shared" si="87"/>
        <v>0</v>
      </c>
      <c r="BM131" s="524">
        <f t="shared" si="87"/>
        <v>0</v>
      </c>
      <c r="BN131" s="524">
        <f t="shared" si="87"/>
        <v>0</v>
      </c>
      <c r="BO131" s="524">
        <f t="shared" si="87"/>
        <v>0</v>
      </c>
      <c r="BP131" s="524">
        <f t="shared" si="87"/>
        <v>0</v>
      </c>
      <c r="BQ131" s="524">
        <f t="shared" si="87"/>
        <v>0</v>
      </c>
      <c r="BR131" s="524">
        <f t="shared" si="87"/>
        <v>0</v>
      </c>
      <c r="BS131" s="524">
        <f t="shared" si="88"/>
        <v>0</v>
      </c>
      <c r="BT131" s="524">
        <f t="shared" si="88"/>
        <v>0</v>
      </c>
      <c r="BU131" s="524">
        <f t="shared" si="88"/>
        <v>0</v>
      </c>
      <c r="BV131" s="524">
        <f t="shared" si="88"/>
        <v>0</v>
      </c>
      <c r="BW131" s="524">
        <f t="shared" si="88"/>
        <v>0</v>
      </c>
      <c r="BX131" s="524">
        <f t="shared" si="88"/>
        <v>0</v>
      </c>
      <c r="BY131" s="524">
        <f t="shared" si="88"/>
        <v>105039.42272510209</v>
      </c>
      <c r="BZ131" s="524">
        <f t="shared" si="88"/>
        <v>0</v>
      </c>
    </row>
    <row r="132" spans="2:78" ht="21" hidden="1" customHeight="1" outlineLevel="3">
      <c r="B132" s="367"/>
      <c r="C132" s="370"/>
      <c r="D132" s="374">
        <f t="shared" si="65"/>
        <v>46356</v>
      </c>
      <c r="E132" s="373" cm="1">
        <f t="array" ref="E132">IF($D132&lt;=LatestMonthOfActuals,0,INDEX($AE$27:$BZ$27,0,MATCH($D132,$AE$8:$BZ$8,0)))</f>
        <v>105949.63869410298</v>
      </c>
      <c r="F132" s="359"/>
      <c r="G132" s="408">
        <f t="shared" si="58"/>
        <v>0</v>
      </c>
      <c r="H132" s="408">
        <f t="shared" si="58"/>
        <v>0</v>
      </c>
      <c r="I132" s="408">
        <f t="shared" si="58"/>
        <v>0</v>
      </c>
      <c r="J132" s="408">
        <f t="shared" si="58"/>
        <v>105949.63869410298</v>
      </c>
      <c r="K132" s="408"/>
      <c r="L132" s="408"/>
      <c r="M132" s="408">
        <f t="shared" si="72"/>
        <v>0</v>
      </c>
      <c r="N132" s="408">
        <f t="shared" si="83"/>
        <v>0</v>
      </c>
      <c r="O132" s="408">
        <f t="shared" si="83"/>
        <v>0</v>
      </c>
      <c r="P132" s="408">
        <f t="shared" si="83"/>
        <v>0</v>
      </c>
      <c r="Q132" s="408">
        <f t="shared" si="83"/>
        <v>0</v>
      </c>
      <c r="R132" s="408">
        <f t="shared" si="83"/>
        <v>0</v>
      </c>
      <c r="S132" s="408">
        <f t="shared" si="83"/>
        <v>0</v>
      </c>
      <c r="T132" s="408">
        <f t="shared" si="83"/>
        <v>0</v>
      </c>
      <c r="U132" s="408">
        <f t="shared" si="83"/>
        <v>0</v>
      </c>
      <c r="V132" s="408">
        <f t="shared" si="83"/>
        <v>0</v>
      </c>
      <c r="W132" s="408">
        <f t="shared" si="83"/>
        <v>0</v>
      </c>
      <c r="X132" s="408">
        <f t="shared" si="83"/>
        <v>0</v>
      </c>
      <c r="Y132" s="408">
        <f t="shared" si="83"/>
        <v>0</v>
      </c>
      <c r="Z132" s="408">
        <f t="shared" si="83"/>
        <v>0</v>
      </c>
      <c r="AA132" s="408">
        <f t="shared" si="83"/>
        <v>0</v>
      </c>
      <c r="AB132" s="408">
        <f t="shared" si="83"/>
        <v>105949.63869410298</v>
      </c>
      <c r="AC132" s="524"/>
      <c r="AD132" s="359"/>
      <c r="AE132" s="524">
        <f t="shared" si="84"/>
        <v>0</v>
      </c>
      <c r="AF132" s="524">
        <f t="shared" si="84"/>
        <v>0</v>
      </c>
      <c r="AG132" s="524">
        <f t="shared" si="84"/>
        <v>0</v>
      </c>
      <c r="AH132" s="524">
        <f t="shared" si="84"/>
        <v>0</v>
      </c>
      <c r="AI132" s="524">
        <f t="shared" si="84"/>
        <v>0</v>
      </c>
      <c r="AJ132" s="524">
        <f t="shared" si="84"/>
        <v>0</v>
      </c>
      <c r="AK132" s="524">
        <f t="shared" si="84"/>
        <v>0</v>
      </c>
      <c r="AL132" s="524">
        <f t="shared" si="84"/>
        <v>0</v>
      </c>
      <c r="AM132" s="524">
        <f t="shared" si="84"/>
        <v>0</v>
      </c>
      <c r="AN132" s="524">
        <f t="shared" si="84"/>
        <v>0</v>
      </c>
      <c r="AO132" s="524">
        <f t="shared" si="85"/>
        <v>0</v>
      </c>
      <c r="AP132" s="524">
        <f t="shared" si="85"/>
        <v>0</v>
      </c>
      <c r="AQ132" s="524">
        <f t="shared" si="85"/>
        <v>0</v>
      </c>
      <c r="AR132" s="524">
        <f t="shared" si="85"/>
        <v>0</v>
      </c>
      <c r="AS132" s="524">
        <f t="shared" si="85"/>
        <v>0</v>
      </c>
      <c r="AT132" s="524">
        <f t="shared" si="85"/>
        <v>0</v>
      </c>
      <c r="AU132" s="524">
        <f t="shared" si="85"/>
        <v>0</v>
      </c>
      <c r="AV132" s="524">
        <f t="shared" si="85"/>
        <v>0</v>
      </c>
      <c r="AW132" s="524">
        <f t="shared" si="85"/>
        <v>0</v>
      </c>
      <c r="AX132" s="524">
        <f t="shared" si="85"/>
        <v>0</v>
      </c>
      <c r="AY132" s="524">
        <f t="shared" si="86"/>
        <v>0</v>
      </c>
      <c r="AZ132" s="524">
        <f t="shared" si="86"/>
        <v>0</v>
      </c>
      <c r="BA132" s="524">
        <f t="shared" si="86"/>
        <v>0</v>
      </c>
      <c r="BB132" s="524">
        <f t="shared" si="86"/>
        <v>0</v>
      </c>
      <c r="BC132" s="524">
        <f t="shared" si="86"/>
        <v>0</v>
      </c>
      <c r="BD132" s="524">
        <f t="shared" si="86"/>
        <v>0</v>
      </c>
      <c r="BE132" s="524">
        <f t="shared" si="86"/>
        <v>0</v>
      </c>
      <c r="BF132" s="524">
        <f t="shared" si="86"/>
        <v>0</v>
      </c>
      <c r="BG132" s="524">
        <f t="shared" si="86"/>
        <v>0</v>
      </c>
      <c r="BH132" s="524">
        <f t="shared" si="86"/>
        <v>0</v>
      </c>
      <c r="BI132" s="524">
        <f t="shared" si="87"/>
        <v>0</v>
      </c>
      <c r="BJ132" s="524">
        <f t="shared" si="87"/>
        <v>0</v>
      </c>
      <c r="BK132" s="524">
        <f t="shared" si="87"/>
        <v>0</v>
      </c>
      <c r="BL132" s="524">
        <f t="shared" si="87"/>
        <v>0</v>
      </c>
      <c r="BM132" s="524">
        <f t="shared" si="87"/>
        <v>0</v>
      </c>
      <c r="BN132" s="524">
        <f t="shared" si="87"/>
        <v>0</v>
      </c>
      <c r="BO132" s="524">
        <f t="shared" si="87"/>
        <v>0</v>
      </c>
      <c r="BP132" s="524">
        <f t="shared" si="87"/>
        <v>0</v>
      </c>
      <c r="BQ132" s="524">
        <f t="shared" si="87"/>
        <v>0</v>
      </c>
      <c r="BR132" s="524">
        <f t="shared" si="87"/>
        <v>0</v>
      </c>
      <c r="BS132" s="524">
        <f t="shared" si="88"/>
        <v>0</v>
      </c>
      <c r="BT132" s="524">
        <f t="shared" si="88"/>
        <v>0</v>
      </c>
      <c r="BU132" s="524">
        <f t="shared" si="88"/>
        <v>0</v>
      </c>
      <c r="BV132" s="524">
        <f t="shared" si="88"/>
        <v>0</v>
      </c>
      <c r="BW132" s="524">
        <f t="shared" si="88"/>
        <v>0</v>
      </c>
      <c r="BX132" s="524">
        <f t="shared" si="88"/>
        <v>0</v>
      </c>
      <c r="BY132" s="524">
        <f t="shared" si="88"/>
        <v>0</v>
      </c>
      <c r="BZ132" s="524">
        <f t="shared" si="88"/>
        <v>105949.63869410298</v>
      </c>
    </row>
    <row r="133" spans="2:78" ht="21" hidden="1" customHeight="1" outlineLevel="3">
      <c r="B133" s="367"/>
      <c r="C133" s="370"/>
      <c r="D133" s="374">
        <f t="shared" si="65"/>
        <v>46387</v>
      </c>
      <c r="E133" s="373" cm="1">
        <f t="array" ref="E133">IF($D133&lt;=LatestMonthOfActuals,0,INDEX($AE$27:$BZ$27,0,MATCH($D133,$AE$8:$BZ$8,0)))</f>
        <v>111381.40120151218</v>
      </c>
      <c r="F133" s="359"/>
      <c r="G133" s="408">
        <f t="shared" si="58"/>
        <v>0</v>
      </c>
      <c r="H133" s="408">
        <f t="shared" si="58"/>
        <v>0</v>
      </c>
      <c r="I133" s="408">
        <f t="shared" si="58"/>
        <v>0</v>
      </c>
      <c r="J133" s="408">
        <f t="shared" si="58"/>
        <v>0</v>
      </c>
      <c r="K133" s="408"/>
      <c r="L133" s="408"/>
      <c r="M133" s="408">
        <f t="shared" si="72"/>
        <v>0</v>
      </c>
      <c r="N133" s="408">
        <f t="shared" si="83"/>
        <v>0</v>
      </c>
      <c r="O133" s="408">
        <f t="shared" si="83"/>
        <v>0</v>
      </c>
      <c r="P133" s="408">
        <f t="shared" si="83"/>
        <v>0</v>
      </c>
      <c r="Q133" s="408">
        <f t="shared" si="83"/>
        <v>0</v>
      </c>
      <c r="R133" s="408">
        <f t="shared" si="83"/>
        <v>0</v>
      </c>
      <c r="S133" s="408">
        <f t="shared" si="83"/>
        <v>0</v>
      </c>
      <c r="T133" s="408">
        <f t="shared" si="83"/>
        <v>0</v>
      </c>
      <c r="U133" s="408">
        <f t="shared" si="83"/>
        <v>0</v>
      </c>
      <c r="V133" s="408">
        <f t="shared" si="83"/>
        <v>0</v>
      </c>
      <c r="W133" s="408">
        <f t="shared" si="83"/>
        <v>0</v>
      </c>
      <c r="X133" s="408">
        <f t="shared" si="83"/>
        <v>0</v>
      </c>
      <c r="Y133" s="408">
        <f t="shared" si="83"/>
        <v>0</v>
      </c>
      <c r="Z133" s="408">
        <f t="shared" si="83"/>
        <v>0</v>
      </c>
      <c r="AA133" s="408">
        <f t="shared" si="83"/>
        <v>0</v>
      </c>
      <c r="AB133" s="408">
        <f t="shared" si="83"/>
        <v>0</v>
      </c>
      <c r="AC133" s="524"/>
      <c r="AD133" s="359"/>
      <c r="AE133" s="524">
        <f t="shared" si="84"/>
        <v>0</v>
      </c>
      <c r="AF133" s="524">
        <f t="shared" si="84"/>
        <v>0</v>
      </c>
      <c r="AG133" s="524">
        <f t="shared" si="84"/>
        <v>0</v>
      </c>
      <c r="AH133" s="524">
        <f t="shared" si="84"/>
        <v>0</v>
      </c>
      <c r="AI133" s="524">
        <f t="shared" si="84"/>
        <v>0</v>
      </c>
      <c r="AJ133" s="524">
        <f t="shared" si="84"/>
        <v>0</v>
      </c>
      <c r="AK133" s="524">
        <f t="shared" si="84"/>
        <v>0</v>
      </c>
      <c r="AL133" s="524">
        <f t="shared" si="84"/>
        <v>0</v>
      </c>
      <c r="AM133" s="524">
        <f t="shared" si="84"/>
        <v>0</v>
      </c>
      <c r="AN133" s="524">
        <f t="shared" si="84"/>
        <v>0</v>
      </c>
      <c r="AO133" s="524">
        <f t="shared" si="85"/>
        <v>0</v>
      </c>
      <c r="AP133" s="524">
        <f t="shared" si="85"/>
        <v>0</v>
      </c>
      <c r="AQ133" s="524">
        <f t="shared" si="85"/>
        <v>0</v>
      </c>
      <c r="AR133" s="524">
        <f t="shared" si="85"/>
        <v>0</v>
      </c>
      <c r="AS133" s="524">
        <f t="shared" si="85"/>
        <v>0</v>
      </c>
      <c r="AT133" s="524">
        <f t="shared" si="85"/>
        <v>0</v>
      </c>
      <c r="AU133" s="524">
        <f t="shared" si="85"/>
        <v>0</v>
      </c>
      <c r="AV133" s="524">
        <f t="shared" si="85"/>
        <v>0</v>
      </c>
      <c r="AW133" s="524">
        <f t="shared" si="85"/>
        <v>0</v>
      </c>
      <c r="AX133" s="524">
        <f t="shared" si="85"/>
        <v>0</v>
      </c>
      <c r="AY133" s="524">
        <f t="shared" si="86"/>
        <v>0</v>
      </c>
      <c r="AZ133" s="524">
        <f t="shared" si="86"/>
        <v>0</v>
      </c>
      <c r="BA133" s="524">
        <f t="shared" si="86"/>
        <v>0</v>
      </c>
      <c r="BB133" s="524">
        <f t="shared" si="86"/>
        <v>0</v>
      </c>
      <c r="BC133" s="524">
        <f t="shared" si="86"/>
        <v>0</v>
      </c>
      <c r="BD133" s="524">
        <f t="shared" si="86"/>
        <v>0</v>
      </c>
      <c r="BE133" s="524">
        <f t="shared" si="86"/>
        <v>0</v>
      </c>
      <c r="BF133" s="524">
        <f t="shared" si="86"/>
        <v>0</v>
      </c>
      <c r="BG133" s="524">
        <f t="shared" si="86"/>
        <v>0</v>
      </c>
      <c r="BH133" s="524">
        <f t="shared" si="86"/>
        <v>0</v>
      </c>
      <c r="BI133" s="524">
        <f t="shared" si="87"/>
        <v>0</v>
      </c>
      <c r="BJ133" s="524">
        <f t="shared" si="87"/>
        <v>0</v>
      </c>
      <c r="BK133" s="524">
        <f t="shared" si="87"/>
        <v>0</v>
      </c>
      <c r="BL133" s="524">
        <f t="shared" si="87"/>
        <v>0</v>
      </c>
      <c r="BM133" s="524">
        <f t="shared" si="87"/>
        <v>0</v>
      </c>
      <c r="BN133" s="524">
        <f t="shared" si="87"/>
        <v>0</v>
      </c>
      <c r="BO133" s="524">
        <f t="shared" si="87"/>
        <v>0</v>
      </c>
      <c r="BP133" s="524">
        <f t="shared" si="87"/>
        <v>0</v>
      </c>
      <c r="BQ133" s="524">
        <f t="shared" si="87"/>
        <v>0</v>
      </c>
      <c r="BR133" s="524">
        <f t="shared" si="87"/>
        <v>0</v>
      </c>
      <c r="BS133" s="524">
        <f t="shared" si="88"/>
        <v>0</v>
      </c>
      <c r="BT133" s="524">
        <f t="shared" si="88"/>
        <v>0</v>
      </c>
      <c r="BU133" s="524">
        <f t="shared" si="88"/>
        <v>0</v>
      </c>
      <c r="BV133" s="524">
        <f t="shared" si="88"/>
        <v>0</v>
      </c>
      <c r="BW133" s="524">
        <f t="shared" si="88"/>
        <v>0</v>
      </c>
      <c r="BX133" s="524">
        <f t="shared" si="88"/>
        <v>0</v>
      </c>
      <c r="BY133" s="524">
        <f t="shared" si="88"/>
        <v>0</v>
      </c>
      <c r="BZ133" s="524">
        <f t="shared" si="88"/>
        <v>0</v>
      </c>
    </row>
    <row r="134" spans="2:78" ht="21" customHeight="1" outlineLevel="1">
      <c r="B134" s="367"/>
      <c r="C134" s="370"/>
      <c r="D134" s="369"/>
      <c r="E134" s="373"/>
      <c r="F134" s="359"/>
      <c r="G134" s="368"/>
      <c r="H134" s="368"/>
      <c r="I134" s="368"/>
      <c r="J134" s="368"/>
      <c r="L134" s="359"/>
      <c r="M134" s="368"/>
      <c r="N134" s="368"/>
      <c r="O134" s="368"/>
      <c r="P134" s="368"/>
      <c r="Q134" s="368"/>
      <c r="R134" s="368"/>
      <c r="S134" s="368"/>
      <c r="T134" s="368"/>
      <c r="U134" s="368"/>
      <c r="V134" s="368"/>
      <c r="W134" s="368"/>
      <c r="X134" s="368"/>
      <c r="Y134" s="368"/>
      <c r="Z134" s="368"/>
      <c r="AA134" s="368"/>
      <c r="AB134" s="368"/>
      <c r="AD134" s="359"/>
      <c r="AE134" s="368"/>
      <c r="AF134" s="368"/>
      <c r="AG134" s="368"/>
      <c r="AH134" s="368"/>
      <c r="AI134" s="368"/>
      <c r="AJ134" s="368"/>
      <c r="AK134" s="368"/>
      <c r="AL134" s="368"/>
      <c r="AM134" s="368"/>
      <c r="AN134" s="368"/>
      <c r="AO134" s="368"/>
      <c r="AP134" s="368"/>
      <c r="AQ134" s="368"/>
      <c r="AR134" s="368"/>
      <c r="AS134" s="368"/>
      <c r="AT134" s="368"/>
      <c r="AU134" s="368"/>
      <c r="AV134" s="368"/>
      <c r="AW134" s="368"/>
      <c r="AX134" s="368"/>
      <c r="AY134" s="368"/>
      <c r="AZ134" s="368"/>
      <c r="BA134" s="368"/>
      <c r="BB134" s="368"/>
      <c r="BC134" s="368"/>
      <c r="BD134" s="368"/>
      <c r="BE134" s="368"/>
      <c r="BF134" s="368"/>
      <c r="BG134" s="368"/>
      <c r="BH134" s="368"/>
      <c r="BI134" s="368"/>
      <c r="BJ134" s="368"/>
      <c r="BK134" s="368"/>
      <c r="BL134" s="368"/>
      <c r="BM134" s="368"/>
      <c r="BN134" s="368"/>
      <c r="BO134" s="368"/>
      <c r="BP134" s="368"/>
      <c r="BQ134" s="368"/>
      <c r="BR134" s="368"/>
      <c r="BS134" s="368"/>
      <c r="BT134" s="368"/>
      <c r="BU134" s="368"/>
      <c r="BV134" s="368"/>
      <c r="BW134" s="368"/>
      <c r="BX134" s="368"/>
      <c r="BY134" s="368"/>
      <c r="BZ134" s="368"/>
    </row>
    <row r="135" spans="2:78" s="357" customFormat="1" ht="15" outlineLevel="1">
      <c r="B135" s="367"/>
      <c r="C135" s="523" t="s">
        <v>421</v>
      </c>
      <c r="D135" s="366"/>
      <c r="E135" s="522"/>
      <c r="F135" s="359"/>
      <c r="G135" s="364">
        <f>SUM(G33,G84)</f>
        <v>0</v>
      </c>
      <c r="H135" s="364">
        <f t="shared" ref="H135:J135" si="89">SUM(H33,H84)</f>
        <v>0</v>
      </c>
      <c r="I135" s="364">
        <f t="shared" si="89"/>
        <v>27674.75</v>
      </c>
      <c r="J135" s="364">
        <f t="shared" si="89"/>
        <v>1196911.7229578795</v>
      </c>
      <c r="K135" s="432"/>
      <c r="L135" s="359"/>
      <c r="M135" s="364">
        <f t="shared" ref="M135:AB135" si="90">SUM(M33,M84)</f>
        <v>0</v>
      </c>
      <c r="N135" s="364">
        <f t="shared" si="90"/>
        <v>0</v>
      </c>
      <c r="O135" s="364">
        <f t="shared" si="90"/>
        <v>0</v>
      </c>
      <c r="P135" s="364">
        <f t="shared" si="90"/>
        <v>0</v>
      </c>
      <c r="Q135" s="364">
        <f t="shared" si="90"/>
        <v>0</v>
      </c>
      <c r="R135" s="364">
        <f t="shared" si="90"/>
        <v>0</v>
      </c>
      <c r="S135" s="364">
        <f t="shared" si="90"/>
        <v>0</v>
      </c>
      <c r="T135" s="364">
        <f t="shared" si="90"/>
        <v>0</v>
      </c>
      <c r="U135" s="364">
        <f t="shared" si="90"/>
        <v>0</v>
      </c>
      <c r="V135" s="364">
        <f t="shared" si="90"/>
        <v>0</v>
      </c>
      <c r="W135" s="364">
        <f t="shared" si="90"/>
        <v>0</v>
      </c>
      <c r="X135" s="364">
        <f t="shared" si="90"/>
        <v>27674.75</v>
      </c>
      <c r="Y135" s="364">
        <f t="shared" si="90"/>
        <v>292373.75078402052</v>
      </c>
      <c r="Z135" s="364">
        <f t="shared" si="90"/>
        <v>284605.92273411655</v>
      </c>
      <c r="AA135" s="364">
        <f t="shared" si="90"/>
        <v>304849.38132138923</v>
      </c>
      <c r="AB135" s="364">
        <f t="shared" si="90"/>
        <v>315082.66811835347</v>
      </c>
      <c r="AD135" s="359"/>
      <c r="AE135" s="364">
        <f t="shared" ref="AE135:BZ135" si="91">SUM(AE33,AE84)</f>
        <v>0</v>
      </c>
      <c r="AF135" s="364">
        <f t="shared" si="91"/>
        <v>0</v>
      </c>
      <c r="AG135" s="364">
        <f t="shared" si="91"/>
        <v>0</v>
      </c>
      <c r="AH135" s="364">
        <f t="shared" si="91"/>
        <v>0</v>
      </c>
      <c r="AI135" s="364">
        <f t="shared" si="91"/>
        <v>0</v>
      </c>
      <c r="AJ135" s="364">
        <f t="shared" si="91"/>
        <v>0</v>
      </c>
      <c r="AK135" s="364">
        <f t="shared" si="91"/>
        <v>0</v>
      </c>
      <c r="AL135" s="364">
        <f t="shared" si="91"/>
        <v>0</v>
      </c>
      <c r="AM135" s="364">
        <f t="shared" si="91"/>
        <v>0</v>
      </c>
      <c r="AN135" s="364">
        <f t="shared" si="91"/>
        <v>0</v>
      </c>
      <c r="AO135" s="364">
        <f t="shared" si="91"/>
        <v>0</v>
      </c>
      <c r="AP135" s="364">
        <f t="shared" si="91"/>
        <v>0</v>
      </c>
      <c r="AQ135" s="364">
        <f t="shared" si="91"/>
        <v>0</v>
      </c>
      <c r="AR135" s="364">
        <f t="shared" si="91"/>
        <v>0</v>
      </c>
      <c r="AS135" s="364">
        <f t="shared" si="91"/>
        <v>0</v>
      </c>
      <c r="AT135" s="364">
        <f t="shared" si="91"/>
        <v>0</v>
      </c>
      <c r="AU135" s="364">
        <f t="shared" si="91"/>
        <v>0</v>
      </c>
      <c r="AV135" s="364">
        <f t="shared" si="91"/>
        <v>0</v>
      </c>
      <c r="AW135" s="364">
        <f t="shared" si="91"/>
        <v>0</v>
      </c>
      <c r="AX135" s="364">
        <f t="shared" si="91"/>
        <v>0</v>
      </c>
      <c r="AY135" s="364">
        <f t="shared" si="91"/>
        <v>0</v>
      </c>
      <c r="AZ135" s="364">
        <f t="shared" si="91"/>
        <v>0</v>
      </c>
      <c r="BA135" s="364">
        <f t="shared" si="91"/>
        <v>0</v>
      </c>
      <c r="BB135" s="364">
        <f t="shared" si="91"/>
        <v>0</v>
      </c>
      <c r="BC135" s="364">
        <f t="shared" si="91"/>
        <v>0</v>
      </c>
      <c r="BD135" s="364">
        <f t="shared" si="91"/>
        <v>0</v>
      </c>
      <c r="BE135" s="364">
        <f t="shared" si="91"/>
        <v>0</v>
      </c>
      <c r="BF135" s="364">
        <f t="shared" si="91"/>
        <v>0</v>
      </c>
      <c r="BG135" s="364">
        <f t="shared" si="91"/>
        <v>0</v>
      </c>
      <c r="BH135" s="364">
        <f t="shared" si="91"/>
        <v>0</v>
      </c>
      <c r="BI135" s="364">
        <f t="shared" si="91"/>
        <v>0</v>
      </c>
      <c r="BJ135" s="364">
        <f t="shared" si="91"/>
        <v>0</v>
      </c>
      <c r="BK135" s="364">
        <f t="shared" si="91"/>
        <v>0</v>
      </c>
      <c r="BL135" s="364">
        <f t="shared" si="91"/>
        <v>0</v>
      </c>
      <c r="BM135" s="364">
        <f t="shared" si="91"/>
        <v>0</v>
      </c>
      <c r="BN135" s="364">
        <f t="shared" si="91"/>
        <v>27674.75</v>
      </c>
      <c r="BO135" s="364">
        <f t="shared" si="91"/>
        <v>104966.70828181818</v>
      </c>
      <c r="BP135" s="364">
        <f t="shared" si="91"/>
        <v>99863.1072467872</v>
      </c>
      <c r="BQ135" s="364">
        <f t="shared" si="91"/>
        <v>87543.935255415156</v>
      </c>
      <c r="BR135" s="364">
        <f t="shared" si="91"/>
        <v>88895.486110663245</v>
      </c>
      <c r="BS135" s="364">
        <f t="shared" si="91"/>
        <v>97430.048159655023</v>
      </c>
      <c r="BT135" s="364">
        <f t="shared" si="91"/>
        <v>98280.388463798256</v>
      </c>
      <c r="BU135" s="364">
        <f t="shared" si="91"/>
        <v>99759.810845031432</v>
      </c>
      <c r="BV135" s="364">
        <f t="shared" si="91"/>
        <v>102002.91827537333</v>
      </c>
      <c r="BW135" s="364">
        <f t="shared" si="91"/>
        <v>103086.65220098445</v>
      </c>
      <c r="BX135" s="364">
        <f t="shared" si="91"/>
        <v>104093.60669914841</v>
      </c>
      <c r="BY135" s="364">
        <f t="shared" si="91"/>
        <v>105039.42272510209</v>
      </c>
      <c r="BZ135" s="364">
        <f t="shared" si="91"/>
        <v>105949.63869410298</v>
      </c>
    </row>
    <row r="136" spans="2:78" ht="21" customHeight="1">
      <c r="B136" s="367"/>
      <c r="C136" s="370"/>
      <c r="D136" s="369"/>
      <c r="E136" s="373"/>
      <c r="F136" s="359"/>
      <c r="G136" s="368"/>
      <c r="H136" s="368"/>
      <c r="I136" s="368"/>
      <c r="J136" s="368"/>
      <c r="L136" s="359"/>
      <c r="M136" s="368"/>
      <c r="N136" s="368"/>
      <c r="O136" s="368"/>
      <c r="P136" s="368"/>
      <c r="Q136" s="368"/>
      <c r="R136" s="368"/>
      <c r="S136" s="368"/>
      <c r="T136" s="368"/>
      <c r="U136" s="368"/>
      <c r="V136" s="368"/>
      <c r="W136" s="368"/>
      <c r="X136" s="368"/>
      <c r="Y136" s="368"/>
      <c r="Z136" s="368"/>
      <c r="AA136" s="368"/>
      <c r="AB136" s="368"/>
      <c r="AD136" s="359"/>
      <c r="AE136" s="368"/>
      <c r="AF136" s="368"/>
      <c r="AG136" s="368"/>
      <c r="AH136" s="368"/>
      <c r="AI136" s="368"/>
      <c r="AJ136" s="368"/>
      <c r="AK136" s="368"/>
      <c r="AL136" s="368"/>
      <c r="AM136" s="368"/>
      <c r="AN136" s="368"/>
      <c r="AO136" s="368"/>
      <c r="AP136" s="368"/>
      <c r="AQ136" s="368"/>
      <c r="AR136" s="368"/>
      <c r="AS136" s="368"/>
      <c r="AT136" s="368"/>
      <c r="AU136" s="368"/>
      <c r="AV136" s="368"/>
      <c r="AW136" s="368"/>
      <c r="AX136" s="368"/>
      <c r="AY136" s="368"/>
      <c r="AZ136" s="368"/>
      <c r="BA136" s="368"/>
      <c r="BB136" s="368"/>
      <c r="BC136" s="368"/>
      <c r="BD136" s="368"/>
      <c r="BE136" s="368"/>
      <c r="BF136" s="368"/>
      <c r="BG136" s="368"/>
      <c r="BH136" s="368"/>
      <c r="BI136" s="368"/>
      <c r="BJ136" s="368"/>
      <c r="BK136" s="368"/>
      <c r="BL136" s="368"/>
      <c r="BM136" s="368"/>
      <c r="BN136" s="368"/>
      <c r="BO136" s="368"/>
      <c r="BP136" s="368"/>
      <c r="BQ136" s="368"/>
      <c r="BR136" s="368"/>
      <c r="BS136" s="368"/>
      <c r="BT136" s="368"/>
      <c r="BU136" s="368"/>
      <c r="BV136" s="368"/>
      <c r="BW136" s="368"/>
      <c r="BX136" s="368"/>
      <c r="BY136" s="368"/>
      <c r="BZ136" s="368"/>
    </row>
    <row r="137" spans="2:78" s="51" customFormat="1" ht="24">
      <c r="B137" s="632" t="s">
        <v>433</v>
      </c>
      <c r="C137" s="475"/>
      <c r="D137" s="475"/>
      <c r="E137" s="633"/>
      <c r="F137" s="359"/>
      <c r="G137" s="634"/>
      <c r="H137" s="634"/>
      <c r="I137" s="634"/>
      <c r="J137" s="634"/>
      <c r="L137" s="359"/>
      <c r="M137" s="634"/>
      <c r="N137" s="634"/>
      <c r="O137" s="634"/>
      <c r="P137" s="634"/>
      <c r="Q137" s="634"/>
      <c r="R137" s="634"/>
      <c r="S137" s="634"/>
      <c r="T137" s="634"/>
      <c r="U137" s="634"/>
      <c r="V137" s="634"/>
      <c r="W137" s="634"/>
      <c r="X137" s="634"/>
      <c r="Y137" s="634"/>
      <c r="Z137" s="634"/>
      <c r="AA137" s="634"/>
      <c r="AB137" s="634"/>
      <c r="AD137" s="359"/>
      <c r="AE137" s="634"/>
      <c r="AF137" s="634"/>
      <c r="AG137" s="634"/>
      <c r="AH137" s="634"/>
      <c r="AI137" s="634"/>
      <c r="AJ137" s="634"/>
      <c r="AK137" s="634"/>
      <c r="AL137" s="634"/>
      <c r="AM137" s="634"/>
      <c r="AN137" s="634"/>
      <c r="AO137" s="634"/>
      <c r="AP137" s="634"/>
      <c r="AQ137" s="634"/>
      <c r="AR137" s="634"/>
      <c r="AS137" s="634"/>
      <c r="AT137" s="634"/>
      <c r="AU137" s="634"/>
      <c r="AV137" s="634"/>
      <c r="AW137" s="634"/>
      <c r="AX137" s="634"/>
      <c r="AY137" s="634"/>
      <c r="AZ137" s="634"/>
      <c r="BA137" s="634"/>
      <c r="BB137" s="634"/>
      <c r="BC137" s="634"/>
      <c r="BD137" s="634"/>
      <c r="BE137" s="634"/>
      <c r="BF137" s="634"/>
      <c r="BG137" s="634"/>
      <c r="BH137" s="634"/>
      <c r="BI137" s="634"/>
      <c r="BJ137" s="634"/>
      <c r="BK137" s="634"/>
      <c r="BL137" s="634"/>
      <c r="BM137" s="634"/>
      <c r="BN137" s="634"/>
      <c r="BO137" s="634"/>
      <c r="BP137" s="634"/>
      <c r="BQ137" s="634"/>
      <c r="BR137" s="634"/>
      <c r="BS137" s="634"/>
      <c r="BT137" s="634"/>
      <c r="BU137" s="634"/>
      <c r="BV137" s="634"/>
      <c r="BW137" s="634"/>
      <c r="BX137" s="634"/>
      <c r="BY137" s="634"/>
      <c r="BZ137" s="634"/>
    </row>
    <row r="138" spans="2:78" ht="21" customHeight="1" outlineLevel="1">
      <c r="B138" s="367"/>
      <c r="C138" s="370"/>
      <c r="D138" s="383" t="s">
        <v>423</v>
      </c>
      <c r="E138" s="373"/>
      <c r="F138" s="359"/>
      <c r="G138" s="408">
        <f>INDEX($AE138:$BZ138,MATCH(G$4,$AE$4:$BZ$4,0))</f>
        <v>0</v>
      </c>
      <c r="H138" s="408">
        <f>INDEX($AE138:$BZ138,MATCH(H$4,$AE$4:$BZ$4,0))</f>
        <v>55349.5</v>
      </c>
      <c r="I138" s="408">
        <f>INDEX($AE138:$BZ138,MATCH(I$4,$AE$4:$BZ$4,0))</f>
        <v>55349.5</v>
      </c>
      <c r="J138" s="408">
        <f>INDEX($AE138:$BZ138,MATCH(J$4,$AE$4:$BZ$4,0))</f>
        <v>118804.0832818182</v>
      </c>
      <c r="K138" s="521"/>
      <c r="L138" s="359"/>
      <c r="M138" s="408">
        <f t="shared" ref="M138:AB138" si="92">INDEX($AE138:$BZ138,MATCH(M$4,$AE$4:$BZ$4,0))</f>
        <v>0</v>
      </c>
      <c r="N138" s="408">
        <f t="shared" si="92"/>
        <v>43504</v>
      </c>
      <c r="O138" s="408">
        <f t="shared" si="92"/>
        <v>48234</v>
      </c>
      <c r="P138" s="408">
        <f t="shared" si="92"/>
        <v>53477.5</v>
      </c>
      <c r="Q138" s="408">
        <f t="shared" si="92"/>
        <v>55349.5</v>
      </c>
      <c r="R138" s="408">
        <f t="shared" si="92"/>
        <v>55349.5</v>
      </c>
      <c r="S138" s="408">
        <f t="shared" si="92"/>
        <v>55349.5</v>
      </c>
      <c r="T138" s="408">
        <f t="shared" si="92"/>
        <v>55349.5</v>
      </c>
      <c r="U138" s="408">
        <f t="shared" si="92"/>
        <v>55349.5</v>
      </c>
      <c r="V138" s="408">
        <f t="shared" si="92"/>
        <v>55349.5</v>
      </c>
      <c r="W138" s="408">
        <f t="shared" si="92"/>
        <v>55349.5</v>
      </c>
      <c r="X138" s="408">
        <f t="shared" si="92"/>
        <v>55349.5</v>
      </c>
      <c r="Y138" s="408">
        <f t="shared" si="92"/>
        <v>118804.0832818182</v>
      </c>
      <c r="Z138" s="408">
        <f t="shared" si="92"/>
        <v>88895.486110663274</v>
      </c>
      <c r="AA138" s="408">
        <f t="shared" si="92"/>
        <v>99759.810845031418</v>
      </c>
      <c r="AB138" s="408">
        <f t="shared" si="92"/>
        <v>104093.6066991484</v>
      </c>
      <c r="AC138" s="479"/>
      <c r="AD138" s="359"/>
      <c r="AE138" s="520">
        <f>SUMIFS('Data Summary'!L$77:L$105,dataGLBSAcctIDs,$E$144)</f>
        <v>0</v>
      </c>
      <c r="AF138" s="479">
        <f t="shared" ref="AF138:BZ138" si="93">AE141</f>
        <v>37350</v>
      </c>
      <c r="AG138" s="479">
        <f t="shared" si="93"/>
        <v>42033</v>
      </c>
      <c r="AH138" s="479">
        <f t="shared" si="93"/>
        <v>43504</v>
      </c>
      <c r="AI138" s="479">
        <f t="shared" si="93"/>
        <v>45027</v>
      </c>
      <c r="AJ138" s="479">
        <f t="shared" si="93"/>
        <v>46603</v>
      </c>
      <c r="AK138" s="479">
        <f t="shared" si="93"/>
        <v>48234</v>
      </c>
      <c r="AL138" s="479">
        <f t="shared" si="93"/>
        <v>49922</v>
      </c>
      <c r="AM138" s="479">
        <f t="shared" si="93"/>
        <v>51669.5</v>
      </c>
      <c r="AN138" s="479">
        <f t="shared" si="93"/>
        <v>53477.5</v>
      </c>
      <c r="AO138" s="479">
        <f t="shared" si="93"/>
        <v>55349.5</v>
      </c>
      <c r="AP138" s="479">
        <f t="shared" si="93"/>
        <v>55349.5</v>
      </c>
      <c r="AQ138" s="479">
        <f t="shared" si="93"/>
        <v>55349.5</v>
      </c>
      <c r="AR138" s="479">
        <f t="shared" si="93"/>
        <v>55349.5</v>
      </c>
      <c r="AS138" s="479">
        <f t="shared" si="93"/>
        <v>55349.5</v>
      </c>
      <c r="AT138" s="479">
        <f t="shared" si="93"/>
        <v>55349.5</v>
      </c>
      <c r="AU138" s="479">
        <f t="shared" si="93"/>
        <v>55349.5</v>
      </c>
      <c r="AV138" s="479">
        <f t="shared" si="93"/>
        <v>55349.5</v>
      </c>
      <c r="AW138" s="479">
        <f t="shared" si="93"/>
        <v>55349.5</v>
      </c>
      <c r="AX138" s="479">
        <f t="shared" si="93"/>
        <v>55349.5</v>
      </c>
      <c r="AY138" s="479">
        <f t="shared" si="93"/>
        <v>55349.5</v>
      </c>
      <c r="AZ138" s="479">
        <f t="shared" si="93"/>
        <v>55349.5</v>
      </c>
      <c r="BA138" s="479">
        <f t="shared" si="93"/>
        <v>55349.5</v>
      </c>
      <c r="BB138" s="479">
        <f t="shared" si="93"/>
        <v>55349.5</v>
      </c>
      <c r="BC138" s="479">
        <f t="shared" si="93"/>
        <v>55349.5</v>
      </c>
      <c r="BD138" s="479">
        <f t="shared" si="93"/>
        <v>55349.5</v>
      </c>
      <c r="BE138" s="479">
        <f t="shared" si="93"/>
        <v>55349.5</v>
      </c>
      <c r="BF138" s="479">
        <f t="shared" si="93"/>
        <v>55349.5</v>
      </c>
      <c r="BG138" s="479">
        <f t="shared" si="93"/>
        <v>55349.5</v>
      </c>
      <c r="BH138" s="479">
        <f t="shared" si="93"/>
        <v>55349.5</v>
      </c>
      <c r="BI138" s="479">
        <f t="shared" si="93"/>
        <v>55349.5</v>
      </c>
      <c r="BJ138" s="479">
        <f t="shared" si="93"/>
        <v>55349.5</v>
      </c>
      <c r="BK138" s="479">
        <f t="shared" si="93"/>
        <v>55349.5</v>
      </c>
      <c r="BL138" s="479">
        <f t="shared" si="93"/>
        <v>55349.5</v>
      </c>
      <c r="BM138" s="479">
        <f t="shared" si="93"/>
        <v>55349.5</v>
      </c>
      <c r="BN138" s="479">
        <f t="shared" si="93"/>
        <v>55349.5</v>
      </c>
      <c r="BO138" s="479">
        <f t="shared" si="93"/>
        <v>118804.0832818182</v>
      </c>
      <c r="BP138" s="479">
        <f t="shared" si="93"/>
        <v>99863.107246787215</v>
      </c>
      <c r="BQ138" s="479">
        <f t="shared" si="93"/>
        <v>87543.935255415185</v>
      </c>
      <c r="BR138" s="479">
        <f t="shared" si="93"/>
        <v>88895.486110663274</v>
      </c>
      <c r="BS138" s="479">
        <f t="shared" si="93"/>
        <v>97430.048159655038</v>
      </c>
      <c r="BT138" s="479">
        <f t="shared" si="93"/>
        <v>98280.388463798256</v>
      </c>
      <c r="BU138" s="479">
        <f t="shared" si="93"/>
        <v>99759.810845031418</v>
      </c>
      <c r="BV138" s="479">
        <f t="shared" si="93"/>
        <v>102002.91827537332</v>
      </c>
      <c r="BW138" s="479">
        <f t="shared" si="93"/>
        <v>103086.65220098443</v>
      </c>
      <c r="BX138" s="479">
        <f t="shared" si="93"/>
        <v>104093.6066991484</v>
      </c>
      <c r="BY138" s="479">
        <f t="shared" si="93"/>
        <v>105039.42272510206</v>
      </c>
      <c r="BZ138" s="479">
        <f t="shared" si="93"/>
        <v>105949.63869410295</v>
      </c>
    </row>
    <row r="139" spans="2:78" ht="21" customHeight="1" outlineLevel="1">
      <c r="B139" s="367"/>
      <c r="C139" s="370"/>
      <c r="D139" s="383" t="s">
        <v>434</v>
      </c>
      <c r="E139" s="373"/>
      <c r="F139" s="359"/>
      <c r="G139" s="408">
        <f t="shared" ref="G139:J140" si="94">SUMIFS($AE139:$BZ139,$AE$5:$BZ$5,"&gt;="&amp;G$4,$AE$5:$BZ$5,"&lt;="&amp;G$5)</f>
        <v>0</v>
      </c>
      <c r="H139" s="408">
        <f t="shared" si="94"/>
        <v>0</v>
      </c>
      <c r="I139" s="408">
        <f t="shared" si="94"/>
        <v>91129.333281818181</v>
      </c>
      <c r="J139" s="408">
        <f t="shared" si="94"/>
        <v>1189489.0408775737</v>
      </c>
      <c r="K139" s="408"/>
      <c r="L139" s="408"/>
      <c r="M139" s="408">
        <f t="shared" ref="M139:AB140" si="95">SUMIFS($AE139:$BZ139,$AE$5:$BZ$5,"&gt;="&amp;M$4,$AE$5:$BZ$5,"&lt;="&amp;M$5)</f>
        <v>0</v>
      </c>
      <c r="N139" s="408">
        <f t="shared" si="95"/>
        <v>0</v>
      </c>
      <c r="O139" s="408">
        <f t="shared" si="95"/>
        <v>0</v>
      </c>
      <c r="P139" s="408">
        <f t="shared" si="95"/>
        <v>0</v>
      </c>
      <c r="Q139" s="408">
        <f t="shared" si="95"/>
        <v>0</v>
      </c>
      <c r="R139" s="408">
        <f t="shared" si="95"/>
        <v>0</v>
      </c>
      <c r="S139" s="408">
        <f t="shared" si="95"/>
        <v>0</v>
      </c>
      <c r="T139" s="408">
        <f t="shared" si="95"/>
        <v>0</v>
      </c>
      <c r="U139" s="408">
        <f t="shared" si="95"/>
        <v>0</v>
      </c>
      <c r="V139" s="408">
        <f t="shared" si="95"/>
        <v>0</v>
      </c>
      <c r="W139" s="408">
        <f t="shared" si="95"/>
        <v>0</v>
      </c>
      <c r="X139" s="408">
        <f t="shared" si="95"/>
        <v>91129.333281818181</v>
      </c>
      <c r="Y139" s="408">
        <f t="shared" si="95"/>
        <v>262465.1536128656</v>
      </c>
      <c r="Z139" s="408">
        <f t="shared" si="95"/>
        <v>295470.24746848468</v>
      </c>
      <c r="AA139" s="408">
        <f t="shared" si="95"/>
        <v>309183.17717550619</v>
      </c>
      <c r="AB139" s="408">
        <f t="shared" si="95"/>
        <v>322370.46262071724</v>
      </c>
      <c r="AC139" s="479"/>
      <c r="AD139" s="359"/>
      <c r="AE139" s="479">
        <f>IF(AE$8&lt;=LatestMonthOfActuals,0,AE$27)</f>
        <v>0</v>
      </c>
      <c r="AF139" s="479">
        <f t="shared" ref="AF139:BZ139" si="96">IF(AF$8&lt;=LatestMonthOfActuals,0,AF$27)</f>
        <v>0</v>
      </c>
      <c r="AG139" s="479">
        <f t="shared" si="96"/>
        <v>0</v>
      </c>
      <c r="AH139" s="479">
        <f t="shared" si="96"/>
        <v>0</v>
      </c>
      <c r="AI139" s="479">
        <f t="shared" si="96"/>
        <v>0</v>
      </c>
      <c r="AJ139" s="479">
        <f t="shared" si="96"/>
        <v>0</v>
      </c>
      <c r="AK139" s="479">
        <f t="shared" si="96"/>
        <v>0</v>
      </c>
      <c r="AL139" s="479">
        <f t="shared" si="96"/>
        <v>0</v>
      </c>
      <c r="AM139" s="479">
        <f t="shared" si="96"/>
        <v>0</v>
      </c>
      <c r="AN139" s="479">
        <f t="shared" si="96"/>
        <v>0</v>
      </c>
      <c r="AO139" s="479">
        <f t="shared" si="96"/>
        <v>0</v>
      </c>
      <c r="AP139" s="479">
        <f t="shared" si="96"/>
        <v>0</v>
      </c>
      <c r="AQ139" s="479">
        <f t="shared" si="96"/>
        <v>0</v>
      </c>
      <c r="AR139" s="479">
        <f t="shared" si="96"/>
        <v>0</v>
      </c>
      <c r="AS139" s="479">
        <f t="shared" si="96"/>
        <v>0</v>
      </c>
      <c r="AT139" s="479">
        <f t="shared" si="96"/>
        <v>0</v>
      </c>
      <c r="AU139" s="479">
        <f t="shared" si="96"/>
        <v>0</v>
      </c>
      <c r="AV139" s="479">
        <f t="shared" si="96"/>
        <v>0</v>
      </c>
      <c r="AW139" s="479">
        <f t="shared" si="96"/>
        <v>0</v>
      </c>
      <c r="AX139" s="479">
        <f t="shared" si="96"/>
        <v>0</v>
      </c>
      <c r="AY139" s="479">
        <f t="shared" si="96"/>
        <v>0</v>
      </c>
      <c r="AZ139" s="479">
        <f t="shared" si="96"/>
        <v>0</v>
      </c>
      <c r="BA139" s="479">
        <f t="shared" si="96"/>
        <v>0</v>
      </c>
      <c r="BB139" s="479">
        <f t="shared" si="96"/>
        <v>0</v>
      </c>
      <c r="BC139" s="479">
        <f t="shared" si="96"/>
        <v>0</v>
      </c>
      <c r="BD139" s="479">
        <f t="shared" si="96"/>
        <v>0</v>
      </c>
      <c r="BE139" s="479">
        <f t="shared" si="96"/>
        <v>0</v>
      </c>
      <c r="BF139" s="479">
        <f t="shared" si="96"/>
        <v>0</v>
      </c>
      <c r="BG139" s="479">
        <f t="shared" si="96"/>
        <v>0</v>
      </c>
      <c r="BH139" s="479">
        <f t="shared" si="96"/>
        <v>0</v>
      </c>
      <c r="BI139" s="479">
        <f t="shared" si="96"/>
        <v>0</v>
      </c>
      <c r="BJ139" s="479">
        <f t="shared" si="96"/>
        <v>0</v>
      </c>
      <c r="BK139" s="479">
        <f t="shared" si="96"/>
        <v>0</v>
      </c>
      <c r="BL139" s="479">
        <f t="shared" si="96"/>
        <v>0</v>
      </c>
      <c r="BM139" s="479">
        <f t="shared" si="96"/>
        <v>0</v>
      </c>
      <c r="BN139" s="479">
        <f t="shared" si="96"/>
        <v>91129.333281818181</v>
      </c>
      <c r="BO139" s="479">
        <f t="shared" si="96"/>
        <v>86025.7322467872</v>
      </c>
      <c r="BP139" s="479">
        <f t="shared" si="96"/>
        <v>87543.935255415156</v>
      </c>
      <c r="BQ139" s="479">
        <f t="shared" si="96"/>
        <v>88895.486110663245</v>
      </c>
      <c r="BR139" s="479">
        <f t="shared" si="96"/>
        <v>97430.048159655023</v>
      </c>
      <c r="BS139" s="479">
        <f t="shared" si="96"/>
        <v>98280.388463798256</v>
      </c>
      <c r="BT139" s="479">
        <f t="shared" si="96"/>
        <v>99759.810845031432</v>
      </c>
      <c r="BU139" s="479">
        <f t="shared" si="96"/>
        <v>102002.91827537333</v>
      </c>
      <c r="BV139" s="479">
        <f t="shared" si="96"/>
        <v>103086.65220098445</v>
      </c>
      <c r="BW139" s="479">
        <f t="shared" si="96"/>
        <v>104093.60669914841</v>
      </c>
      <c r="BX139" s="479">
        <f t="shared" si="96"/>
        <v>105039.42272510209</v>
      </c>
      <c r="BY139" s="479">
        <f t="shared" si="96"/>
        <v>105949.63869410298</v>
      </c>
      <c r="BZ139" s="479">
        <f t="shared" si="96"/>
        <v>111381.40120151218</v>
      </c>
    </row>
    <row r="140" spans="2:78" ht="21" customHeight="1" outlineLevel="1">
      <c r="B140" s="367"/>
      <c r="C140" s="370"/>
      <c r="D140" s="383" t="s">
        <v>435</v>
      </c>
      <c r="E140" s="373"/>
      <c r="F140" s="359"/>
      <c r="G140" s="408">
        <f t="shared" si="94"/>
        <v>0</v>
      </c>
      <c r="H140" s="408">
        <f t="shared" si="94"/>
        <v>0</v>
      </c>
      <c r="I140" s="408">
        <f t="shared" si="94"/>
        <v>27674.75</v>
      </c>
      <c r="J140" s="408">
        <f t="shared" si="94"/>
        <v>1196911.7229578795</v>
      </c>
      <c r="K140" s="408"/>
      <c r="L140" s="408"/>
      <c r="M140" s="408">
        <f t="shared" si="95"/>
        <v>0</v>
      </c>
      <c r="N140" s="408">
        <f t="shared" si="95"/>
        <v>0</v>
      </c>
      <c r="O140" s="408">
        <f t="shared" si="95"/>
        <v>0</v>
      </c>
      <c r="P140" s="408">
        <f t="shared" si="95"/>
        <v>0</v>
      </c>
      <c r="Q140" s="408">
        <f t="shared" si="95"/>
        <v>0</v>
      </c>
      <c r="R140" s="408">
        <f t="shared" si="95"/>
        <v>0</v>
      </c>
      <c r="S140" s="408">
        <f t="shared" si="95"/>
        <v>0</v>
      </c>
      <c r="T140" s="408">
        <f t="shared" si="95"/>
        <v>0</v>
      </c>
      <c r="U140" s="408">
        <f t="shared" si="95"/>
        <v>0</v>
      </c>
      <c r="V140" s="408">
        <f t="shared" si="95"/>
        <v>0</v>
      </c>
      <c r="W140" s="408">
        <f t="shared" si="95"/>
        <v>0</v>
      </c>
      <c r="X140" s="408">
        <f t="shared" si="95"/>
        <v>27674.75</v>
      </c>
      <c r="Y140" s="408">
        <f t="shared" si="95"/>
        <v>292373.75078402052</v>
      </c>
      <c r="Z140" s="408">
        <f t="shared" si="95"/>
        <v>284605.92273411655</v>
      </c>
      <c r="AA140" s="408">
        <f t="shared" si="95"/>
        <v>304849.38132138923</v>
      </c>
      <c r="AB140" s="408">
        <f t="shared" si="95"/>
        <v>315082.66811835347</v>
      </c>
      <c r="AC140" s="479"/>
      <c r="AD140" s="359"/>
      <c r="AE140" s="479">
        <f t="shared" ref="AE140:BZ140" si="97">AE$135</f>
        <v>0</v>
      </c>
      <c r="AF140" s="479">
        <f t="shared" si="97"/>
        <v>0</v>
      </c>
      <c r="AG140" s="479">
        <f t="shared" si="97"/>
        <v>0</v>
      </c>
      <c r="AH140" s="479">
        <f t="shared" si="97"/>
        <v>0</v>
      </c>
      <c r="AI140" s="479">
        <f t="shared" si="97"/>
        <v>0</v>
      </c>
      <c r="AJ140" s="479">
        <f t="shared" si="97"/>
        <v>0</v>
      </c>
      <c r="AK140" s="479">
        <f t="shared" si="97"/>
        <v>0</v>
      </c>
      <c r="AL140" s="479">
        <f t="shared" si="97"/>
        <v>0</v>
      </c>
      <c r="AM140" s="479">
        <f t="shared" si="97"/>
        <v>0</v>
      </c>
      <c r="AN140" s="479">
        <f t="shared" si="97"/>
        <v>0</v>
      </c>
      <c r="AO140" s="479">
        <f t="shared" si="97"/>
        <v>0</v>
      </c>
      <c r="AP140" s="479">
        <f t="shared" si="97"/>
        <v>0</v>
      </c>
      <c r="AQ140" s="479">
        <f t="shared" si="97"/>
        <v>0</v>
      </c>
      <c r="AR140" s="479">
        <f t="shared" si="97"/>
        <v>0</v>
      </c>
      <c r="AS140" s="479">
        <f t="shared" si="97"/>
        <v>0</v>
      </c>
      <c r="AT140" s="479">
        <f t="shared" si="97"/>
        <v>0</v>
      </c>
      <c r="AU140" s="479">
        <f t="shared" si="97"/>
        <v>0</v>
      </c>
      <c r="AV140" s="479">
        <f t="shared" si="97"/>
        <v>0</v>
      </c>
      <c r="AW140" s="479">
        <f t="shared" si="97"/>
        <v>0</v>
      </c>
      <c r="AX140" s="479">
        <f t="shared" si="97"/>
        <v>0</v>
      </c>
      <c r="AY140" s="479">
        <f t="shared" si="97"/>
        <v>0</v>
      </c>
      <c r="AZ140" s="479">
        <f t="shared" si="97"/>
        <v>0</v>
      </c>
      <c r="BA140" s="479">
        <f t="shared" si="97"/>
        <v>0</v>
      </c>
      <c r="BB140" s="479">
        <f t="shared" si="97"/>
        <v>0</v>
      </c>
      <c r="BC140" s="479">
        <f t="shared" si="97"/>
        <v>0</v>
      </c>
      <c r="BD140" s="479">
        <f t="shared" si="97"/>
        <v>0</v>
      </c>
      <c r="BE140" s="479">
        <f t="shared" si="97"/>
        <v>0</v>
      </c>
      <c r="BF140" s="479">
        <f t="shared" si="97"/>
        <v>0</v>
      </c>
      <c r="BG140" s="479">
        <f t="shared" si="97"/>
        <v>0</v>
      </c>
      <c r="BH140" s="479">
        <f t="shared" si="97"/>
        <v>0</v>
      </c>
      <c r="BI140" s="479">
        <f t="shared" si="97"/>
        <v>0</v>
      </c>
      <c r="BJ140" s="479">
        <f t="shared" si="97"/>
        <v>0</v>
      </c>
      <c r="BK140" s="479">
        <f t="shared" si="97"/>
        <v>0</v>
      </c>
      <c r="BL140" s="479">
        <f t="shared" si="97"/>
        <v>0</v>
      </c>
      <c r="BM140" s="479">
        <f t="shared" si="97"/>
        <v>0</v>
      </c>
      <c r="BN140" s="479">
        <f t="shared" si="97"/>
        <v>27674.75</v>
      </c>
      <c r="BO140" s="479">
        <f t="shared" si="97"/>
        <v>104966.70828181818</v>
      </c>
      <c r="BP140" s="479">
        <f t="shared" si="97"/>
        <v>99863.1072467872</v>
      </c>
      <c r="BQ140" s="479">
        <f t="shared" si="97"/>
        <v>87543.935255415156</v>
      </c>
      <c r="BR140" s="479">
        <f t="shared" si="97"/>
        <v>88895.486110663245</v>
      </c>
      <c r="BS140" s="479">
        <f t="shared" si="97"/>
        <v>97430.048159655023</v>
      </c>
      <c r="BT140" s="479">
        <f t="shared" si="97"/>
        <v>98280.388463798256</v>
      </c>
      <c r="BU140" s="479">
        <f t="shared" si="97"/>
        <v>99759.810845031432</v>
      </c>
      <c r="BV140" s="479">
        <f t="shared" si="97"/>
        <v>102002.91827537333</v>
      </c>
      <c r="BW140" s="479">
        <f t="shared" si="97"/>
        <v>103086.65220098445</v>
      </c>
      <c r="BX140" s="479">
        <f t="shared" si="97"/>
        <v>104093.60669914841</v>
      </c>
      <c r="BY140" s="479">
        <f t="shared" si="97"/>
        <v>105039.42272510209</v>
      </c>
      <c r="BZ140" s="479">
        <f t="shared" si="97"/>
        <v>105949.63869410298</v>
      </c>
    </row>
    <row r="141" spans="2:78" s="357" customFormat="1" ht="21" customHeight="1" outlineLevel="1">
      <c r="B141" s="367"/>
      <c r="C141" s="370"/>
      <c r="D141" s="365" t="s">
        <v>426</v>
      </c>
      <c r="E141" s="519"/>
      <c r="F141" s="359"/>
      <c r="G141" s="518">
        <f>INDEX($AE141:$BZ141,MATCH(G$5,$AE$5:$BZ$5,0))</f>
        <v>55349.5</v>
      </c>
      <c r="H141" s="518">
        <f>INDEX($AE141:$BZ141,MATCH(H$5,$AE$5:$BZ$5,0))</f>
        <v>55349.5</v>
      </c>
      <c r="I141" s="518">
        <f>INDEX($AE141:$BZ141,MATCH(I$5,$AE$5:$BZ$5,0))</f>
        <v>118804.0832818182</v>
      </c>
      <c r="J141" s="518">
        <f>INDEX($AE141:$BZ141,MATCH(J$5,$AE$5:$BZ$5,0))</f>
        <v>111381.40120151216</v>
      </c>
      <c r="L141" s="359"/>
      <c r="M141" s="518">
        <f t="shared" ref="M141:AB141" si="98">INDEX($AE141:$BZ141,MATCH(M$5,$AE$5:$BZ$5,0))</f>
        <v>43504</v>
      </c>
      <c r="N141" s="518">
        <f t="shared" si="98"/>
        <v>48234</v>
      </c>
      <c r="O141" s="518">
        <f t="shared" si="98"/>
        <v>53477.5</v>
      </c>
      <c r="P141" s="518">
        <f t="shared" si="98"/>
        <v>55349.5</v>
      </c>
      <c r="Q141" s="518">
        <f t="shared" si="98"/>
        <v>55349.5</v>
      </c>
      <c r="R141" s="518">
        <f t="shared" si="98"/>
        <v>55349.5</v>
      </c>
      <c r="S141" s="518">
        <f t="shared" si="98"/>
        <v>55349.5</v>
      </c>
      <c r="T141" s="518">
        <f t="shared" si="98"/>
        <v>55349.5</v>
      </c>
      <c r="U141" s="518">
        <f t="shared" si="98"/>
        <v>55349.5</v>
      </c>
      <c r="V141" s="518">
        <f t="shared" si="98"/>
        <v>55349.5</v>
      </c>
      <c r="W141" s="518">
        <f t="shared" si="98"/>
        <v>55349.5</v>
      </c>
      <c r="X141" s="518">
        <f t="shared" si="98"/>
        <v>118804.0832818182</v>
      </c>
      <c r="Y141" s="518">
        <f t="shared" si="98"/>
        <v>88895.486110663274</v>
      </c>
      <c r="Z141" s="518">
        <f t="shared" si="98"/>
        <v>99759.810845031418</v>
      </c>
      <c r="AA141" s="518">
        <f t="shared" si="98"/>
        <v>104093.6066991484</v>
      </c>
      <c r="AB141" s="518">
        <f t="shared" si="98"/>
        <v>111381.40120151216</v>
      </c>
      <c r="AD141" s="359"/>
      <c r="AE141" s="518">
        <f>IF(AE$8&lt;=LatestMonthOfActuals,SUMIFS('Data Summary'!M$77:M$105,dataGLBSAcctIDs,$E$144),AE138+AE139-AE140)</f>
        <v>37350</v>
      </c>
      <c r="AF141" s="518">
        <f>IF(AF$8&lt;=LatestMonthOfActuals,SUMIFS('Data Summary'!N$77:N$105,dataGLBSAcctIDs,$E$144),AF138+AF139-AF140)</f>
        <v>42033</v>
      </c>
      <c r="AG141" s="518">
        <f>IF(AG$8&lt;=LatestMonthOfActuals,SUMIFS('Data Summary'!O$77:O$105,dataGLBSAcctIDs,$E$144),AG138+AG139-AG140)</f>
        <v>43504</v>
      </c>
      <c r="AH141" s="518">
        <f>IF(AH$8&lt;=LatestMonthOfActuals,SUMIFS('Data Summary'!P$77:P$105,dataGLBSAcctIDs,$E$144),AH138+AH139-AH140)</f>
        <v>45027</v>
      </c>
      <c r="AI141" s="518">
        <f>IF(AI$8&lt;=LatestMonthOfActuals,SUMIFS('Data Summary'!Q$77:Q$105,dataGLBSAcctIDs,$E$144),AI138+AI139-AI140)</f>
        <v>46603</v>
      </c>
      <c r="AJ141" s="518">
        <f>IF(AJ$8&lt;=LatestMonthOfActuals,SUMIFS('Data Summary'!R$77:R$105,dataGLBSAcctIDs,$E$144),AJ138+AJ139-AJ140)</f>
        <v>48234</v>
      </c>
      <c r="AK141" s="518">
        <f>IF(AK$8&lt;=LatestMonthOfActuals,SUMIFS('Data Summary'!S$77:S$105,dataGLBSAcctIDs,$E$144),AK138+AK139-AK140)</f>
        <v>49922</v>
      </c>
      <c r="AL141" s="518">
        <f>IF(AL$8&lt;=LatestMonthOfActuals,SUMIFS('Data Summary'!T$77:T$105,dataGLBSAcctIDs,$E$144),AL138+AL139-AL140)</f>
        <v>51669.5</v>
      </c>
      <c r="AM141" s="518">
        <f>IF(AM$8&lt;=LatestMonthOfActuals,SUMIFS('Data Summary'!U$77:U$105,dataGLBSAcctIDs,$E$144),AM138+AM139-AM140)</f>
        <v>53477.5</v>
      </c>
      <c r="AN141" s="518">
        <f>IF(AN$8&lt;=LatestMonthOfActuals,SUMIFS('Data Summary'!V$77:V$105,dataGLBSAcctIDs,$E$144),AN138+AN139-AN140)</f>
        <v>55349.5</v>
      </c>
      <c r="AO141" s="518">
        <f>IF(AO$8&lt;=LatestMonthOfActuals,SUMIFS('Data Summary'!W$77:W$105,dataGLBSAcctIDs,$E$144),AO138+AO139-AO140)</f>
        <v>55349.5</v>
      </c>
      <c r="AP141" s="518">
        <f>IF(AP$8&lt;=LatestMonthOfActuals,SUMIFS('Data Summary'!X$77:X$105,dataGLBSAcctIDs,$E$144),AP138+AP139-AP140)</f>
        <v>55349.5</v>
      </c>
      <c r="AQ141" s="518">
        <f>IF(AQ$8&lt;=LatestMonthOfActuals,SUMIFS('Data Summary'!Y$77:Y$105,dataGLBSAcctIDs,$E$144),AQ138+AQ139-AQ140)</f>
        <v>55349.5</v>
      </c>
      <c r="AR141" s="518">
        <f>IF(AR$8&lt;=LatestMonthOfActuals,SUMIFS('Data Summary'!Z$77:Z$105,dataGLBSAcctIDs,$E$144),AR138+AR139-AR140)</f>
        <v>55349.5</v>
      </c>
      <c r="AS141" s="518">
        <f>IF(AS$8&lt;=LatestMonthOfActuals,SUMIFS('Data Summary'!AA$77:AA$105,dataGLBSAcctIDs,$E$144),AS138+AS139-AS140)</f>
        <v>55349.5</v>
      </c>
      <c r="AT141" s="518">
        <f>IF(AT$8&lt;=LatestMonthOfActuals,SUMIFS('Data Summary'!AB$77:AB$105,dataGLBSAcctIDs,$E$144),AT138+AT139-AT140)</f>
        <v>55349.5</v>
      </c>
      <c r="AU141" s="518">
        <f>IF(AU$8&lt;=LatestMonthOfActuals,SUMIFS('Data Summary'!AC$77:AC$105,dataGLBSAcctIDs,$E$144),AU138+AU139-AU140)</f>
        <v>55349.5</v>
      </c>
      <c r="AV141" s="518">
        <f>IF(AV$8&lt;=LatestMonthOfActuals,SUMIFS('Data Summary'!AD$77:AD$105,dataGLBSAcctIDs,$E$144),AV138+AV139-AV140)</f>
        <v>55349.5</v>
      </c>
      <c r="AW141" s="518">
        <f>IF(AW$8&lt;=LatestMonthOfActuals,SUMIFS('Data Summary'!AE$77:AE$105,dataGLBSAcctIDs,$E$144),AW138+AW139-AW140)</f>
        <v>55349.5</v>
      </c>
      <c r="AX141" s="518">
        <f>IF(AX$8&lt;=LatestMonthOfActuals,SUMIFS('Data Summary'!AF$77:AF$105,dataGLBSAcctIDs,$E$144),AX138+AX139-AX140)</f>
        <v>55349.5</v>
      </c>
      <c r="AY141" s="518">
        <f>IF(AY$8&lt;=LatestMonthOfActuals,SUMIFS('Data Summary'!AG$77:AG$105,dataGLBSAcctIDs,$E$144),AY138+AY139-AY140)</f>
        <v>55349.5</v>
      </c>
      <c r="AZ141" s="518">
        <f>IF(AZ$8&lt;=LatestMonthOfActuals,SUMIFS('Data Summary'!AH$77:AH$105,dataGLBSAcctIDs,$E$144),AZ138+AZ139-AZ140)</f>
        <v>55349.5</v>
      </c>
      <c r="BA141" s="518">
        <f>IF(BA$8&lt;=LatestMonthOfActuals,SUMIFS('Data Summary'!AI$77:AI$105,dataGLBSAcctIDs,$E$144),BA138+BA139-BA140)</f>
        <v>55349.5</v>
      </c>
      <c r="BB141" s="518">
        <f>IF(BB$8&lt;=LatestMonthOfActuals,SUMIFS('Data Summary'!AJ$77:AJ$105,dataGLBSAcctIDs,$E$144),BB138+BB139-BB140)</f>
        <v>55349.5</v>
      </c>
      <c r="BC141" s="518">
        <f>IF(BC$8&lt;=LatestMonthOfActuals,SUMIFS('Data Summary'!AK$77:AK$105,dataGLBSAcctIDs,$E$144),BC138+BC139-BC140)</f>
        <v>55349.5</v>
      </c>
      <c r="BD141" s="518">
        <f>IF(BD$8&lt;=LatestMonthOfActuals,SUMIFS('Data Summary'!AL$77:AL$105,dataGLBSAcctIDs,$E$144),BD138+BD139-BD140)</f>
        <v>55349.5</v>
      </c>
      <c r="BE141" s="518">
        <f>IF(BE$8&lt;=LatestMonthOfActuals,SUMIFS('Data Summary'!AM$77:AM$105,dataGLBSAcctIDs,$E$144),BE138+BE139-BE140)</f>
        <v>55349.5</v>
      </c>
      <c r="BF141" s="518">
        <f>IF(BF$8&lt;=LatestMonthOfActuals,SUMIFS('Data Summary'!AN$77:AN$105,dataGLBSAcctIDs,$E$144),BF138+BF139-BF140)</f>
        <v>55349.5</v>
      </c>
      <c r="BG141" s="518">
        <f>IF(BG$8&lt;=LatestMonthOfActuals,SUMIFS('Data Summary'!AO$77:AO$105,dataGLBSAcctIDs,$E$144),BG138+BG139-BG140)</f>
        <v>55349.5</v>
      </c>
      <c r="BH141" s="518">
        <f>IF(BH$8&lt;=LatestMonthOfActuals,SUMIFS('Data Summary'!AP$77:AP$105,dataGLBSAcctIDs,$E$144),BH138+BH139-BH140)</f>
        <v>55349.5</v>
      </c>
      <c r="BI141" s="518">
        <f>IF(BI$8&lt;=LatestMonthOfActuals,SUMIFS('Data Summary'!AQ$77:AQ$105,dataGLBSAcctIDs,$E$144),BI138+BI139-BI140)</f>
        <v>55349.5</v>
      </c>
      <c r="BJ141" s="518">
        <f>IF(BJ$8&lt;=LatestMonthOfActuals,SUMIFS('Data Summary'!AR$77:AR$105,dataGLBSAcctIDs,$E$144),BJ138+BJ139-BJ140)</f>
        <v>55349.5</v>
      </c>
      <c r="BK141" s="518">
        <f>IF(BK$8&lt;=LatestMonthOfActuals,SUMIFS('Data Summary'!AS$77:AS$105,dataGLBSAcctIDs,$E$144),BK138+BK139-BK140)</f>
        <v>55349.5</v>
      </c>
      <c r="BL141" s="518">
        <f>IF(BL$8&lt;=LatestMonthOfActuals,SUMIFS('Data Summary'!AT$77:AT$105,dataGLBSAcctIDs,$E$144),BL138+BL139-BL140)</f>
        <v>55349.5</v>
      </c>
      <c r="BM141" s="518">
        <f>IF(BM$8&lt;=LatestMonthOfActuals,SUMIFS('Data Summary'!AU$77:AU$105,dataGLBSAcctIDs,$E$144),BM138+BM139-BM140)</f>
        <v>55349.5</v>
      </c>
      <c r="BN141" s="518">
        <f>IF(BN$8&lt;=LatestMonthOfActuals,SUMIFS('Data Summary'!AV$77:AV$105,dataGLBSAcctIDs,$E$144),BN138+BN139-BN140)</f>
        <v>118804.0832818182</v>
      </c>
      <c r="BO141" s="518">
        <f>IF(BO$8&lt;=LatestMonthOfActuals,SUMIFS('Data Summary'!AW$77:AW$105,dataGLBSAcctIDs,$E$144),BO138+BO139-BO140)</f>
        <v>99863.107246787215</v>
      </c>
      <c r="BP141" s="518">
        <f>IF(BP$8&lt;=LatestMonthOfActuals,SUMIFS('Data Summary'!AX$77:AX$105,dataGLBSAcctIDs,$E$144),BP138+BP139-BP140)</f>
        <v>87543.935255415185</v>
      </c>
      <c r="BQ141" s="518">
        <f>IF(BQ$8&lt;=LatestMonthOfActuals,SUMIFS('Data Summary'!AY$77:AY$105,dataGLBSAcctIDs,$E$144),BQ138+BQ139-BQ140)</f>
        <v>88895.486110663274</v>
      </c>
      <c r="BR141" s="518">
        <f>IF(BR$8&lt;=LatestMonthOfActuals,SUMIFS('Data Summary'!AZ$77:AZ$105,dataGLBSAcctIDs,$E$144),BR138+BR139-BR140)</f>
        <v>97430.048159655038</v>
      </c>
      <c r="BS141" s="518">
        <f>IF(BS$8&lt;=LatestMonthOfActuals,SUMIFS('Data Summary'!BA$77:BA$105,dataGLBSAcctIDs,$E$144),BS138+BS139-BS140)</f>
        <v>98280.388463798256</v>
      </c>
      <c r="BT141" s="518">
        <f>IF(BT$8&lt;=LatestMonthOfActuals,SUMIFS('Data Summary'!BB$77:BB$105,dataGLBSAcctIDs,$E$144),BT138+BT139-BT140)</f>
        <v>99759.810845031418</v>
      </c>
      <c r="BU141" s="518">
        <f>IF(BU$8&lt;=LatestMonthOfActuals,SUMIFS('Data Summary'!BC$77:BC$105,dataGLBSAcctIDs,$E$144),BU138+BU139-BU140)</f>
        <v>102002.91827537332</v>
      </c>
      <c r="BV141" s="518">
        <f>IF(BV$8&lt;=LatestMonthOfActuals,SUMIFS('Data Summary'!BD$77:BD$105,dataGLBSAcctIDs,$E$144),BV138+BV139-BV140)</f>
        <v>103086.65220098443</v>
      </c>
      <c r="BW141" s="518">
        <f>IF(BW$8&lt;=LatestMonthOfActuals,SUMIFS('Data Summary'!BE$77:BE$105,dataGLBSAcctIDs,$E$144),BW138+BW139-BW140)</f>
        <v>104093.6066991484</v>
      </c>
      <c r="BX141" s="518">
        <f>IF(BX$8&lt;=LatestMonthOfActuals,SUMIFS('Data Summary'!BF$77:BF$105,dataGLBSAcctIDs,$E$144),BX138+BX139-BX140)</f>
        <v>105039.42272510206</v>
      </c>
      <c r="BY141" s="518">
        <f>IF(BY$8&lt;=LatestMonthOfActuals,SUMIFS('Data Summary'!BG$77:BG$105,dataGLBSAcctIDs,$E$144),BY138+BY139-BY140)</f>
        <v>105949.63869410295</v>
      </c>
      <c r="BZ141" s="518">
        <f>IF(BZ$8&lt;=LatestMonthOfActuals,SUMIFS('Data Summary'!BH$77:BH$105,dataGLBSAcctIDs,$E$144),BZ138+BZ139-BZ140)</f>
        <v>111381.40120151216</v>
      </c>
    </row>
    <row r="142" spans="2:78" ht="21" customHeight="1">
      <c r="B142" s="367"/>
      <c r="C142" s="370"/>
      <c r="D142" s="369"/>
      <c r="E142" s="373"/>
      <c r="F142" s="359"/>
      <c r="G142" s="368"/>
      <c r="H142" s="368"/>
      <c r="I142" s="368"/>
      <c r="J142" s="368"/>
      <c r="L142" s="359"/>
      <c r="M142" s="368"/>
      <c r="N142" s="368"/>
      <c r="O142" s="368"/>
      <c r="P142" s="368"/>
      <c r="Q142" s="368"/>
      <c r="R142" s="368"/>
      <c r="S142" s="368"/>
      <c r="T142" s="368"/>
      <c r="U142" s="368"/>
      <c r="V142" s="368"/>
      <c r="W142" s="368"/>
      <c r="X142" s="368"/>
      <c r="Y142" s="368"/>
      <c r="Z142" s="368"/>
      <c r="AA142" s="368"/>
      <c r="AB142" s="368"/>
      <c r="AD142" s="359"/>
      <c r="AE142" s="368"/>
      <c r="AF142" s="368"/>
      <c r="AG142" s="368"/>
      <c r="AH142" s="368"/>
      <c r="AI142" s="368"/>
      <c r="AJ142" s="368"/>
      <c r="AK142" s="368"/>
      <c r="AL142" s="368"/>
      <c r="AM142" s="368"/>
      <c r="AN142" s="368"/>
      <c r="AO142" s="368"/>
      <c r="AP142" s="368"/>
      <c r="AQ142" s="368"/>
      <c r="AR142" s="368"/>
      <c r="AS142" s="368"/>
      <c r="AT142" s="368"/>
      <c r="AU142" s="368"/>
      <c r="AV142" s="368"/>
      <c r="AW142" s="368"/>
      <c r="AX142" s="368"/>
      <c r="AY142" s="368"/>
      <c r="AZ142" s="368"/>
      <c r="BA142" s="368"/>
      <c r="BB142" s="368"/>
      <c r="BC142" s="368"/>
      <c r="BD142" s="368"/>
      <c r="BE142" s="368"/>
      <c r="BF142" s="368"/>
      <c r="BG142" s="368"/>
      <c r="BH142" s="368"/>
      <c r="BI142" s="368"/>
      <c r="BJ142" s="368"/>
      <c r="BK142" s="368"/>
      <c r="BL142" s="368"/>
      <c r="BM142" s="368"/>
      <c r="BN142" s="368"/>
      <c r="BO142" s="368"/>
      <c r="BP142" s="368"/>
      <c r="BQ142" s="368"/>
      <c r="BR142" s="368"/>
      <c r="BS142" s="368"/>
      <c r="BT142" s="368"/>
      <c r="BU142" s="368"/>
      <c r="BV142" s="368"/>
      <c r="BW142" s="368"/>
      <c r="BX142" s="368"/>
      <c r="BY142" s="368"/>
      <c r="BZ142" s="368"/>
    </row>
    <row r="143" spans="2:78" s="51" customFormat="1" ht="24">
      <c r="B143" s="632" t="s">
        <v>49</v>
      </c>
      <c r="C143" s="475"/>
      <c r="D143" s="475"/>
      <c r="E143" s="633"/>
      <c r="F143" s="359"/>
      <c r="G143" s="634"/>
      <c r="H143" s="634"/>
      <c r="I143" s="634"/>
      <c r="J143" s="634"/>
      <c r="L143" s="359"/>
      <c r="M143" s="634"/>
      <c r="N143" s="634"/>
      <c r="O143" s="634"/>
      <c r="P143" s="634"/>
      <c r="Q143" s="634"/>
      <c r="R143" s="634"/>
      <c r="S143" s="634"/>
      <c r="T143" s="634"/>
      <c r="U143" s="634"/>
      <c r="V143" s="634"/>
      <c r="W143" s="634"/>
      <c r="X143" s="634"/>
      <c r="Y143" s="634"/>
      <c r="Z143" s="634"/>
      <c r="AA143" s="634"/>
      <c r="AB143" s="634"/>
      <c r="AD143" s="359"/>
      <c r="AE143" s="634"/>
      <c r="AF143" s="634"/>
      <c r="AG143" s="634"/>
      <c r="AH143" s="634"/>
      <c r="AI143" s="634"/>
      <c r="AJ143" s="634"/>
      <c r="AK143" s="634"/>
      <c r="AL143" s="634"/>
      <c r="AM143" s="634"/>
      <c r="AN143" s="634"/>
      <c r="AO143" s="634"/>
      <c r="AP143" s="634"/>
      <c r="AQ143" s="634"/>
      <c r="AR143" s="634"/>
      <c r="AS143" s="634"/>
      <c r="AT143" s="634"/>
      <c r="AU143" s="634"/>
      <c r="AV143" s="634"/>
      <c r="AW143" s="634"/>
      <c r="AX143" s="634"/>
      <c r="AY143" s="634"/>
      <c r="AZ143" s="634"/>
      <c r="BA143" s="634"/>
      <c r="BB143" s="634"/>
      <c r="BC143" s="634"/>
      <c r="BD143" s="634"/>
      <c r="BE143" s="634"/>
      <c r="BF143" s="634"/>
      <c r="BG143" s="634"/>
      <c r="BH143" s="634"/>
      <c r="BI143" s="634"/>
      <c r="BJ143" s="634"/>
      <c r="BK143" s="634"/>
      <c r="BL143" s="634"/>
      <c r="BM143" s="634"/>
      <c r="BN143" s="634"/>
      <c r="BO143" s="634"/>
      <c r="BP143" s="634"/>
      <c r="BQ143" s="634"/>
      <c r="BR143" s="634"/>
      <c r="BS143" s="634"/>
      <c r="BT143" s="634"/>
      <c r="BU143" s="634"/>
      <c r="BV143" s="634"/>
      <c r="BW143" s="634"/>
      <c r="BX143" s="634"/>
      <c r="BY143" s="634"/>
      <c r="BZ143" s="634"/>
    </row>
    <row r="144" spans="2:78" ht="21" customHeight="1" outlineLevel="1">
      <c r="B144" s="367"/>
      <c r="C144" s="370"/>
      <c r="D144" s="383" t="s">
        <v>44</v>
      </c>
      <c r="E144" s="629">
        <v>155</v>
      </c>
      <c r="F144" s="359"/>
      <c r="G144" s="630">
        <f>INDEX($AE144:$BZ144,MATCH(G$5,$AE$5:$BZ$5,0))</f>
        <v>55349.5</v>
      </c>
      <c r="H144" s="630">
        <f>INDEX($AE144:$BZ144,MATCH(H$5,$AE$5:$BZ$5,0))</f>
        <v>55349.5</v>
      </c>
      <c r="I144" s="630">
        <f>INDEX($AE144:$BZ144,MATCH(I$5,$AE$5:$BZ$5,0))</f>
        <v>118804.0832818182</v>
      </c>
      <c r="J144" s="630">
        <f>INDEX($AE144:$BZ144,MATCH(J$5,$AE$5:$BZ$5,0))</f>
        <v>111381.40120151216</v>
      </c>
      <c r="K144" s="631"/>
      <c r="L144" s="537"/>
      <c r="M144" s="630">
        <f t="shared" ref="M144:AB144" si="99">INDEX($AE144:$BZ144,MATCH(M$5,$AE$5:$BZ$5,0))</f>
        <v>43504</v>
      </c>
      <c r="N144" s="630">
        <f t="shared" si="99"/>
        <v>48234</v>
      </c>
      <c r="O144" s="630">
        <f t="shared" si="99"/>
        <v>53477.5</v>
      </c>
      <c r="P144" s="630">
        <f t="shared" si="99"/>
        <v>55349.5</v>
      </c>
      <c r="Q144" s="630">
        <f t="shared" si="99"/>
        <v>55349.5</v>
      </c>
      <c r="R144" s="630">
        <f t="shared" si="99"/>
        <v>55349.5</v>
      </c>
      <c r="S144" s="630">
        <f t="shared" si="99"/>
        <v>55349.5</v>
      </c>
      <c r="T144" s="630">
        <f t="shared" si="99"/>
        <v>55349.5</v>
      </c>
      <c r="U144" s="630">
        <f t="shared" si="99"/>
        <v>55349.5</v>
      </c>
      <c r="V144" s="630">
        <f t="shared" si="99"/>
        <v>55349.5</v>
      </c>
      <c r="W144" s="630">
        <f t="shared" si="99"/>
        <v>55349.5</v>
      </c>
      <c r="X144" s="630">
        <f t="shared" si="99"/>
        <v>118804.0832818182</v>
      </c>
      <c r="Y144" s="630">
        <f t="shared" si="99"/>
        <v>88895.486110663274</v>
      </c>
      <c r="Z144" s="630">
        <f t="shared" si="99"/>
        <v>99759.810845031418</v>
      </c>
      <c r="AA144" s="630">
        <f t="shared" si="99"/>
        <v>104093.6066991484</v>
      </c>
      <c r="AB144" s="630">
        <f t="shared" si="99"/>
        <v>111381.40120151216</v>
      </c>
      <c r="AC144" s="479"/>
      <c r="AD144" s="359"/>
      <c r="AE144" s="479">
        <f>AE141</f>
        <v>37350</v>
      </c>
      <c r="AF144" s="479">
        <f t="shared" ref="AF144:BZ144" si="100">AF141</f>
        <v>42033</v>
      </c>
      <c r="AG144" s="479">
        <f t="shared" si="100"/>
        <v>43504</v>
      </c>
      <c r="AH144" s="479">
        <f t="shared" si="100"/>
        <v>45027</v>
      </c>
      <c r="AI144" s="479">
        <f t="shared" si="100"/>
        <v>46603</v>
      </c>
      <c r="AJ144" s="479">
        <f t="shared" si="100"/>
        <v>48234</v>
      </c>
      <c r="AK144" s="479">
        <f t="shared" si="100"/>
        <v>49922</v>
      </c>
      <c r="AL144" s="479">
        <f t="shared" si="100"/>
        <v>51669.5</v>
      </c>
      <c r="AM144" s="479">
        <f t="shared" si="100"/>
        <v>53477.5</v>
      </c>
      <c r="AN144" s="479">
        <f t="shared" si="100"/>
        <v>55349.5</v>
      </c>
      <c r="AO144" s="479">
        <f t="shared" si="100"/>
        <v>55349.5</v>
      </c>
      <c r="AP144" s="479">
        <f t="shared" si="100"/>
        <v>55349.5</v>
      </c>
      <c r="AQ144" s="479">
        <f t="shared" si="100"/>
        <v>55349.5</v>
      </c>
      <c r="AR144" s="479">
        <f t="shared" si="100"/>
        <v>55349.5</v>
      </c>
      <c r="AS144" s="479">
        <f t="shared" si="100"/>
        <v>55349.5</v>
      </c>
      <c r="AT144" s="479">
        <f t="shared" si="100"/>
        <v>55349.5</v>
      </c>
      <c r="AU144" s="479">
        <f t="shared" si="100"/>
        <v>55349.5</v>
      </c>
      <c r="AV144" s="479">
        <f t="shared" si="100"/>
        <v>55349.5</v>
      </c>
      <c r="AW144" s="479">
        <f t="shared" si="100"/>
        <v>55349.5</v>
      </c>
      <c r="AX144" s="479">
        <f t="shared" si="100"/>
        <v>55349.5</v>
      </c>
      <c r="AY144" s="479">
        <f t="shared" si="100"/>
        <v>55349.5</v>
      </c>
      <c r="AZ144" s="479">
        <f t="shared" si="100"/>
        <v>55349.5</v>
      </c>
      <c r="BA144" s="479">
        <f t="shared" si="100"/>
        <v>55349.5</v>
      </c>
      <c r="BB144" s="479">
        <f t="shared" si="100"/>
        <v>55349.5</v>
      </c>
      <c r="BC144" s="479">
        <f t="shared" si="100"/>
        <v>55349.5</v>
      </c>
      <c r="BD144" s="479">
        <f t="shared" si="100"/>
        <v>55349.5</v>
      </c>
      <c r="BE144" s="479">
        <f t="shared" si="100"/>
        <v>55349.5</v>
      </c>
      <c r="BF144" s="479">
        <f t="shared" si="100"/>
        <v>55349.5</v>
      </c>
      <c r="BG144" s="479">
        <f t="shared" si="100"/>
        <v>55349.5</v>
      </c>
      <c r="BH144" s="479">
        <f t="shared" si="100"/>
        <v>55349.5</v>
      </c>
      <c r="BI144" s="479">
        <f t="shared" si="100"/>
        <v>55349.5</v>
      </c>
      <c r="BJ144" s="479">
        <f t="shared" si="100"/>
        <v>55349.5</v>
      </c>
      <c r="BK144" s="479">
        <f t="shared" si="100"/>
        <v>55349.5</v>
      </c>
      <c r="BL144" s="479">
        <f t="shared" si="100"/>
        <v>55349.5</v>
      </c>
      <c r="BM144" s="479">
        <f t="shared" si="100"/>
        <v>55349.5</v>
      </c>
      <c r="BN144" s="479">
        <f t="shared" si="100"/>
        <v>118804.0832818182</v>
      </c>
      <c r="BO144" s="479">
        <f t="shared" si="100"/>
        <v>99863.107246787215</v>
      </c>
      <c r="BP144" s="479">
        <f t="shared" si="100"/>
        <v>87543.935255415185</v>
      </c>
      <c r="BQ144" s="479">
        <f t="shared" si="100"/>
        <v>88895.486110663274</v>
      </c>
      <c r="BR144" s="479">
        <f t="shared" si="100"/>
        <v>97430.048159655038</v>
      </c>
      <c r="BS144" s="479">
        <f t="shared" si="100"/>
        <v>98280.388463798256</v>
      </c>
      <c r="BT144" s="479">
        <f t="shared" si="100"/>
        <v>99759.810845031418</v>
      </c>
      <c r="BU144" s="479">
        <f t="shared" si="100"/>
        <v>102002.91827537332</v>
      </c>
      <c r="BV144" s="479">
        <f t="shared" si="100"/>
        <v>103086.65220098443</v>
      </c>
      <c r="BW144" s="479">
        <f t="shared" si="100"/>
        <v>104093.6066991484</v>
      </c>
      <c r="BX144" s="479">
        <f t="shared" si="100"/>
        <v>105039.42272510206</v>
      </c>
      <c r="BY144" s="479">
        <f t="shared" si="100"/>
        <v>105949.63869410295</v>
      </c>
      <c r="BZ144" s="479">
        <f t="shared" si="100"/>
        <v>111381.40120151216</v>
      </c>
    </row>
    <row r="145" spans="2:78" ht="9" customHeight="1" outlineLevel="1">
      <c r="B145" s="367"/>
      <c r="C145" s="370"/>
      <c r="F145" s="359"/>
      <c r="G145" s="368"/>
      <c r="H145" s="368"/>
      <c r="I145" s="368"/>
      <c r="J145" s="368"/>
      <c r="L145" s="359"/>
      <c r="M145" s="368"/>
      <c r="N145" s="368"/>
      <c r="O145" s="368"/>
      <c r="P145" s="368"/>
      <c r="Q145" s="368"/>
      <c r="R145" s="368"/>
      <c r="S145" s="368"/>
      <c r="T145" s="368"/>
      <c r="U145" s="368"/>
      <c r="V145" s="368"/>
      <c r="W145" s="368"/>
      <c r="X145" s="368"/>
      <c r="Y145" s="368"/>
      <c r="Z145" s="368"/>
      <c r="AA145" s="368"/>
      <c r="AB145" s="368"/>
      <c r="AD145" s="359"/>
      <c r="AE145" s="368"/>
      <c r="AF145" s="368"/>
      <c r="AG145" s="368"/>
      <c r="AH145" s="368"/>
      <c r="AI145" s="368"/>
      <c r="AJ145" s="368"/>
      <c r="AK145" s="368"/>
      <c r="AL145" s="368"/>
      <c r="AM145" s="368"/>
      <c r="AN145" s="368"/>
      <c r="AO145" s="368"/>
      <c r="AP145" s="368"/>
      <c r="AQ145" s="368"/>
      <c r="AR145" s="368"/>
      <c r="AS145" s="368"/>
      <c r="AT145" s="368"/>
      <c r="AU145" s="368"/>
      <c r="AV145" s="368"/>
      <c r="AW145" s="368"/>
      <c r="AX145" s="368"/>
      <c r="AY145" s="368"/>
      <c r="AZ145" s="368"/>
      <c r="BA145" s="368"/>
      <c r="BB145" s="368"/>
      <c r="BC145" s="368"/>
      <c r="BD145" s="368"/>
      <c r="BE145" s="368"/>
      <c r="BF145" s="368"/>
      <c r="BG145" s="368"/>
      <c r="BH145" s="368"/>
      <c r="BI145" s="368"/>
      <c r="BJ145" s="368"/>
      <c r="BK145" s="368"/>
      <c r="BL145" s="368"/>
      <c r="BM145" s="368"/>
      <c r="BN145" s="368"/>
      <c r="BO145" s="368"/>
      <c r="BP145" s="368"/>
      <c r="BQ145" s="368"/>
      <c r="BR145" s="368"/>
      <c r="BS145" s="368"/>
      <c r="BT145" s="368"/>
      <c r="BU145" s="368"/>
      <c r="BV145" s="368"/>
      <c r="BW145" s="368"/>
      <c r="BX145" s="368"/>
      <c r="BY145" s="368"/>
      <c r="BZ145" s="368"/>
    </row>
    <row r="146" spans="2:78" ht="21" customHeight="1">
      <c r="B146" s="367"/>
      <c r="C146" s="370"/>
      <c r="F146" s="359"/>
      <c r="L146" s="359"/>
      <c r="AD146" s="359"/>
      <c r="AE146" s="368"/>
      <c r="AF146" s="368"/>
      <c r="AG146" s="368"/>
      <c r="AH146" s="368"/>
      <c r="AI146" s="368"/>
      <c r="AJ146" s="368"/>
      <c r="AK146" s="368"/>
      <c r="AL146" s="368"/>
      <c r="AM146" s="368"/>
      <c r="AN146" s="368"/>
      <c r="AO146" s="368"/>
      <c r="AP146" s="368"/>
      <c r="AQ146" s="368"/>
      <c r="AR146" s="368"/>
      <c r="AS146" s="368"/>
      <c r="AT146" s="368"/>
      <c r="AU146" s="368"/>
      <c r="AV146" s="368"/>
      <c r="AW146" s="368"/>
      <c r="AX146" s="368"/>
      <c r="AY146" s="368"/>
      <c r="AZ146" s="368"/>
      <c r="BA146" s="368"/>
      <c r="BB146" s="368"/>
      <c r="BC146" s="368"/>
      <c r="BD146" s="368"/>
      <c r="BE146" s="368"/>
      <c r="BF146" s="368"/>
      <c r="BG146" s="368"/>
      <c r="BH146" s="368"/>
      <c r="BI146" s="368"/>
      <c r="BJ146" s="368"/>
      <c r="BK146" s="368"/>
      <c r="BL146" s="368"/>
      <c r="BM146" s="368"/>
      <c r="BN146" s="368"/>
      <c r="BO146" s="368"/>
      <c r="BP146" s="368"/>
      <c r="BQ146" s="368"/>
      <c r="BR146" s="368"/>
      <c r="BS146" s="368"/>
      <c r="BT146" s="368"/>
      <c r="BU146" s="368"/>
      <c r="BV146" s="368"/>
      <c r="BW146" s="368"/>
      <c r="BX146" s="368"/>
      <c r="BY146" s="368"/>
      <c r="BZ146" s="368"/>
    </row>
    <row r="147" spans="2:78" s="517" customFormat="1" ht="21" customHeight="1">
      <c r="B147" s="367"/>
      <c r="C147" s="370"/>
      <c r="F147" s="359"/>
      <c r="L147" s="359"/>
      <c r="AD147" s="359"/>
    </row>
    <row r="148" spans="2:78">
      <c r="F148" s="359"/>
      <c r="L148" s="359"/>
      <c r="AD148" s="359"/>
    </row>
    <row r="149" spans="2:78">
      <c r="F149" s="359"/>
      <c r="L149" s="359"/>
      <c r="AD149" s="359"/>
    </row>
    <row r="150" spans="2:78">
      <c r="F150" s="359"/>
      <c r="L150" s="359"/>
      <c r="AD150" s="359"/>
    </row>
    <row r="151" spans="2:78">
      <c r="F151" s="359"/>
      <c r="L151" s="359"/>
      <c r="AD151" s="359"/>
    </row>
    <row r="152" spans="2:78">
      <c r="F152" s="359"/>
      <c r="L152" s="359"/>
      <c r="AD152" s="359"/>
    </row>
    <row r="153" spans="2:78">
      <c r="F153" s="359"/>
      <c r="L153" s="359"/>
      <c r="AD153" s="359"/>
    </row>
    <row r="154" spans="2:78">
      <c r="F154" s="359"/>
      <c r="L154" s="359"/>
      <c r="AD154" s="359"/>
    </row>
    <row r="155" spans="2:78">
      <c r="F155" s="359"/>
      <c r="L155" s="359"/>
      <c r="AD155" s="359"/>
    </row>
    <row r="156" spans="2:78">
      <c r="F156" s="359"/>
      <c r="L156" s="359"/>
      <c r="AD156" s="359"/>
    </row>
    <row r="157" spans="2:78">
      <c r="F157" s="359"/>
      <c r="L157" s="359"/>
      <c r="AD157" s="359"/>
    </row>
    <row r="158" spans="2:78">
      <c r="F158" s="359"/>
      <c r="L158" s="359"/>
      <c r="AD158" s="359"/>
    </row>
    <row r="159" spans="2:78">
      <c r="F159" s="359"/>
      <c r="L159" s="359"/>
      <c r="AD159" s="359"/>
    </row>
    <row r="160" spans="2:78">
      <c r="F160" s="359"/>
      <c r="L160" s="359"/>
      <c r="AD160" s="359"/>
    </row>
    <row r="161" spans="6:30">
      <c r="F161" s="359"/>
      <c r="L161" s="359"/>
      <c r="AD161" s="359"/>
    </row>
    <row r="162" spans="6:30">
      <c r="F162" s="359"/>
      <c r="L162" s="359"/>
      <c r="AD162" s="359"/>
    </row>
    <row r="163" spans="6:30">
      <c r="F163" s="359"/>
      <c r="L163" s="359"/>
      <c r="AD163" s="359"/>
    </row>
    <row r="164" spans="6:30">
      <c r="F164" s="359"/>
      <c r="L164" s="359"/>
      <c r="AD164" s="359"/>
    </row>
    <row r="165" spans="6:30">
      <c r="F165" s="359"/>
      <c r="L165" s="359"/>
      <c r="AD165" s="359"/>
    </row>
    <row r="166" spans="6:30">
      <c r="F166" s="359"/>
      <c r="L166" s="359"/>
      <c r="AD166" s="359"/>
    </row>
    <row r="167" spans="6:30">
      <c r="F167" s="359"/>
      <c r="L167" s="359"/>
      <c r="AD167" s="359"/>
    </row>
    <row r="168" spans="6:30">
      <c r="F168" s="359"/>
      <c r="L168" s="359"/>
      <c r="AD168" s="359"/>
    </row>
    <row r="169" spans="6:30">
      <c r="F169" s="359"/>
      <c r="L169" s="359"/>
      <c r="AD169" s="359"/>
    </row>
    <row r="170" spans="6:30">
      <c r="F170" s="359"/>
      <c r="L170" s="359"/>
      <c r="AD170" s="359"/>
    </row>
    <row r="171" spans="6:30">
      <c r="F171" s="359"/>
      <c r="L171" s="359"/>
      <c r="AD171" s="359"/>
    </row>
    <row r="172" spans="6:30">
      <c r="F172" s="359"/>
      <c r="L172" s="359"/>
      <c r="AD172" s="359"/>
    </row>
    <row r="173" spans="6:30">
      <c r="F173" s="359"/>
      <c r="L173" s="359"/>
      <c r="AD173" s="359"/>
    </row>
    <row r="174" spans="6:30">
      <c r="F174" s="359"/>
      <c r="L174" s="359"/>
      <c r="AD174" s="359"/>
    </row>
    <row r="175" spans="6:30">
      <c r="F175" s="359"/>
      <c r="L175" s="359"/>
      <c r="AD175" s="359"/>
    </row>
    <row r="176" spans="6:30">
      <c r="F176" s="359"/>
      <c r="L176" s="359"/>
      <c r="AD176" s="359"/>
    </row>
    <row r="177" spans="6:30">
      <c r="F177" s="359"/>
      <c r="L177" s="359"/>
      <c r="AD177" s="359"/>
    </row>
    <row r="178" spans="6:30">
      <c r="F178" s="359"/>
      <c r="L178" s="359"/>
      <c r="AD178" s="359"/>
    </row>
    <row r="179" spans="6:30">
      <c r="F179" s="359"/>
      <c r="L179" s="359"/>
      <c r="AD179" s="359"/>
    </row>
    <row r="180" spans="6:30">
      <c r="F180" s="359"/>
      <c r="L180" s="359"/>
      <c r="AD180" s="359"/>
    </row>
    <row r="181" spans="6:30">
      <c r="F181" s="359"/>
      <c r="L181" s="359"/>
      <c r="AD181" s="359"/>
    </row>
    <row r="182" spans="6:30">
      <c r="F182" s="359"/>
      <c r="L182" s="359"/>
      <c r="AD182" s="359"/>
    </row>
    <row r="183" spans="6:30">
      <c r="F183" s="359"/>
      <c r="L183" s="359"/>
      <c r="AD183" s="359"/>
    </row>
    <row r="184" spans="6:30">
      <c r="F184" s="359"/>
      <c r="L184" s="359"/>
      <c r="AD184" s="359"/>
    </row>
    <row r="185" spans="6:30">
      <c r="F185" s="359"/>
      <c r="L185" s="359"/>
      <c r="AD185" s="359"/>
    </row>
    <row r="186" spans="6:30">
      <c r="F186" s="359"/>
      <c r="L186" s="359"/>
      <c r="AD186" s="359"/>
    </row>
    <row r="187" spans="6:30">
      <c r="F187" s="359"/>
      <c r="L187" s="359"/>
      <c r="AD187" s="359"/>
    </row>
    <row r="188" spans="6:30">
      <c r="F188" s="359"/>
      <c r="L188" s="359"/>
      <c r="AD188" s="359"/>
    </row>
    <row r="189" spans="6:30">
      <c r="F189" s="359"/>
      <c r="L189" s="359"/>
      <c r="AD189" s="359"/>
    </row>
    <row r="190" spans="6:30">
      <c r="F190" s="359"/>
      <c r="L190" s="359"/>
      <c r="AD190" s="359"/>
    </row>
    <row r="191" spans="6:30">
      <c r="F191" s="359"/>
      <c r="L191" s="359"/>
      <c r="AD191" s="359"/>
    </row>
    <row r="192" spans="6:30">
      <c r="F192" s="359"/>
      <c r="L192" s="359"/>
      <c r="AD192" s="359"/>
    </row>
    <row r="193" spans="6:30">
      <c r="F193" s="359"/>
      <c r="L193" s="359"/>
      <c r="AD193" s="359"/>
    </row>
    <row r="194" spans="6:30">
      <c r="F194" s="359"/>
      <c r="L194" s="359"/>
      <c r="AD194" s="359"/>
    </row>
    <row r="195" spans="6:30">
      <c r="F195" s="359"/>
      <c r="L195" s="359"/>
      <c r="AD195" s="359"/>
    </row>
    <row r="196" spans="6:30">
      <c r="F196" s="359"/>
      <c r="L196" s="359"/>
      <c r="AD196" s="359"/>
    </row>
    <row r="197" spans="6:30">
      <c r="F197" s="434"/>
      <c r="L197" s="434"/>
      <c r="AD197" s="434"/>
    </row>
    <row r="198" spans="6:30">
      <c r="F198" s="434"/>
      <c r="L198" s="434"/>
      <c r="AD198" s="434"/>
    </row>
    <row r="199" spans="6:30">
      <c r="F199" s="434"/>
      <c r="L199" s="434"/>
      <c r="AD199" s="434"/>
    </row>
    <row r="200" spans="6:30">
      <c r="F200" s="434"/>
      <c r="L200" s="434"/>
      <c r="AD200" s="434"/>
    </row>
    <row r="201" spans="6:30">
      <c r="F201" s="434"/>
      <c r="L201" s="434"/>
      <c r="AD201" s="434"/>
    </row>
    <row r="202" spans="6:30">
      <c r="F202" s="434"/>
      <c r="L202" s="434"/>
      <c r="AD202" s="434"/>
    </row>
    <row r="203" spans="6:30">
      <c r="F203" s="434"/>
      <c r="L203" s="434"/>
      <c r="AD203" s="434"/>
    </row>
    <row r="204" spans="6:30">
      <c r="F204" s="434"/>
      <c r="L204" s="434"/>
      <c r="AD204" s="434"/>
    </row>
    <row r="205" spans="6:30">
      <c r="F205" s="434"/>
      <c r="L205" s="434"/>
      <c r="AD205" s="434"/>
    </row>
    <row r="206" spans="6:30">
      <c r="F206" s="434"/>
      <c r="L206" s="434"/>
      <c r="AD206" s="434"/>
    </row>
    <row r="207" spans="6:30">
      <c r="F207" s="434"/>
      <c r="L207" s="434"/>
      <c r="AD207" s="434"/>
    </row>
    <row r="208" spans="6:30">
      <c r="F208" s="434"/>
      <c r="L208" s="434"/>
      <c r="AD208" s="434"/>
    </row>
    <row r="209" spans="6:30">
      <c r="F209" s="434"/>
      <c r="L209" s="434"/>
      <c r="AD209" s="434"/>
    </row>
    <row r="210" spans="6:30">
      <c r="F210" s="434"/>
      <c r="L210" s="434"/>
      <c r="AD210" s="434"/>
    </row>
    <row r="211" spans="6:30">
      <c r="F211" s="434"/>
      <c r="L211" s="434"/>
      <c r="AD211" s="434"/>
    </row>
    <row r="212" spans="6:30">
      <c r="F212" s="434"/>
      <c r="L212" s="434"/>
      <c r="AD212" s="434"/>
    </row>
    <row r="213" spans="6:30">
      <c r="F213" s="434"/>
      <c r="L213" s="434"/>
      <c r="AD213" s="434"/>
    </row>
    <row r="214" spans="6:30">
      <c r="F214" s="434"/>
      <c r="L214" s="434"/>
      <c r="AD214" s="434"/>
    </row>
    <row r="215" spans="6:30">
      <c r="F215" s="434"/>
      <c r="L215" s="434"/>
      <c r="AD215" s="434"/>
    </row>
    <row r="216" spans="6:30">
      <c r="F216" s="434"/>
      <c r="L216" s="434"/>
      <c r="AD216" s="434"/>
    </row>
    <row r="217" spans="6:30">
      <c r="F217" s="434"/>
      <c r="L217" s="434"/>
      <c r="AD217" s="434"/>
    </row>
    <row r="218" spans="6:30">
      <c r="F218" s="434"/>
      <c r="L218" s="434"/>
      <c r="AD218" s="434"/>
    </row>
    <row r="219" spans="6:30">
      <c r="F219" s="434"/>
      <c r="L219" s="434"/>
      <c r="AD219" s="434"/>
    </row>
    <row r="220" spans="6:30">
      <c r="F220" s="434"/>
      <c r="L220" s="434"/>
      <c r="AD220" s="434"/>
    </row>
    <row r="221" spans="6:30">
      <c r="F221" s="434"/>
      <c r="L221" s="434"/>
      <c r="AD221" s="434"/>
    </row>
    <row r="222" spans="6:30">
      <c r="F222" s="434"/>
      <c r="L222" s="434"/>
      <c r="AD222" s="434"/>
    </row>
    <row r="223" spans="6:30">
      <c r="F223" s="434"/>
      <c r="L223" s="434"/>
      <c r="AD223" s="434"/>
    </row>
    <row r="224" spans="6:30">
      <c r="F224" s="431"/>
      <c r="L224" s="431"/>
      <c r="AD224" s="431"/>
    </row>
    <row r="225" spans="6:30">
      <c r="F225" s="434"/>
      <c r="L225" s="434"/>
      <c r="AD225" s="434"/>
    </row>
    <row r="226" spans="6:30">
      <c r="F226" s="431"/>
      <c r="L226" s="431"/>
      <c r="AD226" s="431"/>
    </row>
    <row r="227" spans="6:30">
      <c r="F227" s="431"/>
      <c r="L227" s="431"/>
      <c r="AD227" s="431"/>
    </row>
    <row r="228" spans="6:30">
      <c r="F228" s="431"/>
      <c r="L228" s="431"/>
      <c r="AD228" s="431"/>
    </row>
    <row r="229" spans="6:30">
      <c r="F229" s="431"/>
      <c r="L229" s="431"/>
      <c r="AD229" s="431"/>
    </row>
    <row r="230" spans="6:30">
      <c r="F230" s="431"/>
      <c r="L230" s="431"/>
      <c r="AD230" s="431"/>
    </row>
    <row r="231" spans="6:30">
      <c r="F231" s="431"/>
      <c r="L231" s="431"/>
      <c r="AD231" s="431"/>
    </row>
    <row r="232" spans="6:30">
      <c r="F232" s="431"/>
      <c r="L232" s="431"/>
      <c r="AD232" s="431"/>
    </row>
    <row r="233" spans="6:30">
      <c r="F233" s="431"/>
      <c r="L233" s="431"/>
      <c r="AD233" s="431"/>
    </row>
    <row r="234" spans="6:30">
      <c r="F234" s="359"/>
      <c r="L234" s="359"/>
      <c r="AD234" s="359"/>
    </row>
    <row r="235" spans="6:30">
      <c r="F235" s="431"/>
      <c r="L235" s="431"/>
      <c r="AD235" s="431"/>
    </row>
    <row r="236" spans="6:30">
      <c r="F236" s="431"/>
      <c r="L236" s="431"/>
      <c r="AD236" s="431"/>
    </row>
    <row r="237" spans="6:30">
      <c r="F237" s="431"/>
      <c r="L237" s="431"/>
      <c r="AD237" s="431"/>
    </row>
    <row r="238" spans="6:30">
      <c r="F238" s="359"/>
      <c r="L238" s="359"/>
      <c r="AD238" s="359"/>
    </row>
    <row r="239" spans="6:30">
      <c r="F239" s="359"/>
      <c r="L239" s="359"/>
      <c r="AD239" s="359"/>
    </row>
    <row r="240" spans="6:30">
      <c r="F240" s="359"/>
      <c r="L240" s="359"/>
      <c r="AD240" s="359"/>
    </row>
    <row r="241" spans="6:30">
      <c r="F241" s="431"/>
      <c r="L241" s="431"/>
      <c r="AD241" s="431"/>
    </row>
    <row r="242" spans="6:30">
      <c r="F242" s="431"/>
      <c r="L242" s="431"/>
      <c r="AD242" s="431"/>
    </row>
    <row r="243" spans="6:30">
      <c r="F243" s="431"/>
      <c r="L243" s="431"/>
      <c r="AD243" s="431"/>
    </row>
    <row r="244" spans="6:30">
      <c r="F244" s="431"/>
      <c r="L244" s="431"/>
      <c r="AD244" s="431"/>
    </row>
    <row r="245" spans="6:30">
      <c r="F245" s="359"/>
      <c r="L245" s="359"/>
      <c r="AD245" s="359"/>
    </row>
    <row r="246" spans="6:30">
      <c r="F246" s="434"/>
      <c r="L246" s="434"/>
      <c r="AD246" s="434"/>
    </row>
    <row r="247" spans="6:30">
      <c r="F247" s="431"/>
      <c r="L247" s="431"/>
      <c r="AD247" s="431"/>
    </row>
    <row r="248" spans="6:30">
      <c r="F248" s="431"/>
      <c r="L248" s="431"/>
      <c r="AD248" s="431"/>
    </row>
    <row r="249" spans="6:30">
      <c r="F249" s="359"/>
      <c r="L249" s="359"/>
      <c r="AD249" s="359"/>
    </row>
    <row r="250" spans="6:30">
      <c r="F250" s="431"/>
      <c r="L250" s="431"/>
      <c r="AD250" s="431"/>
    </row>
    <row r="251" spans="6:30">
      <c r="F251" s="431"/>
      <c r="L251" s="431"/>
      <c r="AD251" s="431"/>
    </row>
    <row r="252" spans="6:30">
      <c r="F252" s="431"/>
      <c r="L252" s="431"/>
      <c r="AD252" s="431"/>
    </row>
    <row r="253" spans="6:30">
      <c r="F253" s="431"/>
      <c r="L253" s="431"/>
      <c r="AD253" s="431"/>
    </row>
    <row r="254" spans="6:30">
      <c r="F254" s="434"/>
      <c r="L254" s="434"/>
      <c r="AD254" s="434"/>
    </row>
    <row r="255" spans="6:30">
      <c r="F255" s="431"/>
      <c r="L255" s="431"/>
      <c r="AD255" s="431"/>
    </row>
    <row r="256" spans="6:30">
      <c r="F256" s="434"/>
      <c r="L256" s="434"/>
      <c r="AD256" s="434"/>
    </row>
    <row r="257" spans="6:30">
      <c r="F257" s="431"/>
      <c r="L257" s="431"/>
      <c r="AD257" s="431"/>
    </row>
    <row r="258" spans="6:30">
      <c r="F258" s="434"/>
      <c r="L258" s="434"/>
      <c r="AD258" s="434"/>
    </row>
    <row r="259" spans="6:30">
      <c r="F259" s="431"/>
      <c r="L259" s="431"/>
      <c r="AD259" s="431"/>
    </row>
    <row r="260" spans="6:30">
      <c r="F260" s="431"/>
      <c r="L260" s="431"/>
      <c r="AD260" s="431"/>
    </row>
    <row r="261" spans="6:30">
      <c r="F261" s="359"/>
      <c r="L261" s="359"/>
      <c r="AD261" s="359"/>
    </row>
    <row r="262" spans="6:30">
      <c r="F262" s="359"/>
      <c r="L262" s="359"/>
      <c r="AD262" s="359"/>
    </row>
    <row r="263" spans="6:30">
      <c r="F263" s="431"/>
      <c r="L263" s="431"/>
      <c r="AD263" s="431"/>
    </row>
    <row r="264" spans="6:30">
      <c r="F264" s="431"/>
      <c r="L264" s="431"/>
      <c r="AD264" s="431"/>
    </row>
    <row r="265" spans="6:30">
      <c r="F265" s="359"/>
      <c r="L265" s="359"/>
      <c r="AD265" s="359"/>
    </row>
    <row r="266" spans="6:30">
      <c r="F266" s="359"/>
      <c r="L266" s="359"/>
      <c r="AD266" s="359"/>
    </row>
    <row r="267" spans="6:30">
      <c r="F267" s="359"/>
      <c r="L267" s="359"/>
      <c r="AD267" s="359"/>
    </row>
    <row r="268" spans="6:30">
      <c r="F268" s="431"/>
      <c r="L268" s="431"/>
      <c r="AD268" s="431"/>
    </row>
    <row r="269" spans="6:30">
      <c r="F269" s="359"/>
      <c r="L269" s="359"/>
      <c r="AD269" s="359"/>
    </row>
    <row r="270" spans="6:30">
      <c r="F270" s="431"/>
      <c r="L270" s="431"/>
      <c r="AD270" s="431"/>
    </row>
    <row r="271" spans="6:30">
      <c r="F271" s="434"/>
      <c r="L271" s="434"/>
      <c r="AD271" s="434"/>
    </row>
    <row r="272" spans="6:30">
      <c r="F272" s="431"/>
      <c r="L272" s="431"/>
      <c r="AD272" s="431"/>
    </row>
    <row r="273" spans="6:30">
      <c r="F273" s="431"/>
      <c r="L273" s="431"/>
      <c r="AD273" s="431"/>
    </row>
    <row r="274" spans="6:30">
      <c r="F274" s="431"/>
      <c r="L274" s="431"/>
      <c r="AD274" s="431"/>
    </row>
    <row r="283" spans="6:30">
      <c r="F283" s="431"/>
      <c r="L283" s="431"/>
      <c r="AD283" s="431"/>
    </row>
    <row r="285" spans="6:30">
      <c r="F285" s="359"/>
      <c r="L285" s="359"/>
      <c r="AD285" s="359"/>
    </row>
    <row r="286" spans="6:30">
      <c r="F286" s="431"/>
      <c r="L286" s="431"/>
      <c r="AD286" s="431"/>
    </row>
    <row r="291" spans="6:30">
      <c r="F291" s="359"/>
      <c r="L291" s="359"/>
      <c r="AD291" s="359"/>
    </row>
    <row r="294" spans="6:30">
      <c r="F294" s="431"/>
      <c r="L294" s="431"/>
      <c r="AD294" s="431"/>
    </row>
    <row r="295" spans="6:30">
      <c r="F295" s="431"/>
      <c r="L295" s="431"/>
      <c r="AD295" s="431"/>
    </row>
    <row r="300" spans="6:30">
      <c r="F300" s="359"/>
      <c r="L300" s="359"/>
      <c r="AD300" s="359"/>
    </row>
    <row r="301" spans="6:30">
      <c r="F301" s="359"/>
      <c r="L301" s="359"/>
      <c r="AD301" s="359"/>
    </row>
    <row r="304" spans="6:30">
      <c r="F304" s="431"/>
      <c r="L304" s="431"/>
      <c r="AD304" s="431"/>
    </row>
    <row r="305" spans="6:30">
      <c r="F305" s="431"/>
      <c r="L305" s="431"/>
      <c r="AD305" s="431"/>
    </row>
    <row r="309" spans="6:30">
      <c r="F309" s="359"/>
      <c r="L309" s="359"/>
      <c r="AD309" s="359"/>
    </row>
    <row r="318" spans="6:30">
      <c r="F318" s="359"/>
      <c r="L318" s="359"/>
      <c r="AD318" s="359"/>
    </row>
    <row r="320" spans="6:30">
      <c r="F320" s="359"/>
      <c r="L320" s="359"/>
      <c r="AD320" s="359"/>
    </row>
    <row r="331" spans="6:30">
      <c r="F331" s="359"/>
      <c r="L331" s="359"/>
      <c r="AD331" s="359"/>
    </row>
    <row r="332" spans="6:30">
      <c r="F332" s="359"/>
      <c r="L332" s="359"/>
      <c r="AD332" s="359"/>
    </row>
    <row r="339" spans="6:30">
      <c r="F339" s="359"/>
      <c r="L339" s="359"/>
      <c r="AD339" s="359"/>
    </row>
    <row r="348" spans="6:30">
      <c r="F348" s="359"/>
      <c r="L348" s="359"/>
      <c r="AD348" s="359"/>
    </row>
    <row r="349" spans="6:30">
      <c r="F349" s="359"/>
      <c r="L349" s="359"/>
      <c r="AD349" s="359"/>
    </row>
    <row r="353" spans="6:30">
      <c r="F353" s="359"/>
      <c r="L353" s="359"/>
      <c r="AD353" s="359"/>
    </row>
    <row r="364" spans="6:30">
      <c r="F364" s="359"/>
      <c r="L364" s="359"/>
      <c r="AD364" s="359"/>
    </row>
    <row r="365" spans="6:30">
      <c r="F365" s="359"/>
      <c r="L365" s="359"/>
      <c r="AD365" s="359"/>
    </row>
    <row r="369" spans="6:30">
      <c r="F369" s="359"/>
      <c r="L369" s="359"/>
      <c r="AD369" s="359"/>
    </row>
    <row r="374" spans="6:30">
      <c r="F374" s="359"/>
      <c r="L374" s="359"/>
      <c r="AD374" s="359"/>
    </row>
    <row r="375" spans="6:30">
      <c r="F375" s="359"/>
      <c r="L375" s="359"/>
      <c r="AD375" s="359"/>
    </row>
    <row r="377" spans="6:30">
      <c r="F377" s="359"/>
      <c r="L377" s="359"/>
      <c r="AD377" s="359"/>
    </row>
    <row r="382" spans="6:30">
      <c r="F382" s="359"/>
      <c r="L382" s="359"/>
      <c r="AD382" s="359"/>
    </row>
    <row r="383" spans="6:30">
      <c r="F383" s="359"/>
      <c r="L383" s="359"/>
      <c r="AD383" s="359"/>
    </row>
    <row r="389" spans="6:30">
      <c r="F389" s="359"/>
      <c r="L389" s="359"/>
      <c r="AD389" s="359"/>
    </row>
    <row r="390" spans="6:30">
      <c r="F390" s="359"/>
      <c r="L390" s="359"/>
      <c r="AD390" s="359"/>
    </row>
  </sheetData>
  <mergeCells count="3">
    <mergeCell ref="F2:F8"/>
    <mergeCell ref="L2:L8"/>
    <mergeCell ref="AD2:AD8"/>
  </mergeCells>
  <pageMargins left="0.7" right="0.7" top="0.75" bottom="0.75" header="0.3" footer="0.3"/>
  <pageSetup orientation="portrait" r:id="rId1"/>
  <customProperties>
    <customPr name="sourceTemplate"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61DC-7A06-4FB8-B00F-BA4FB5316895}">
  <sheetPr>
    <tabColor theme="3" tint="0.89999084444715716"/>
    <outlinePr summaryBelow="0" summaryRight="0"/>
  </sheetPr>
  <dimension ref="A1:CA387"/>
  <sheetViews>
    <sheetView showGridLines="0" zoomScale="130" zoomScaleNormal="130" workbookViewId="0">
      <pane xSplit="5" ySplit="8" topLeftCell="BJ9" activePane="bottomRight" state="frozen"/>
      <selection pane="topRight" activeCell="D54" sqref="D54"/>
      <selection pane="bottomLeft" activeCell="D54" sqref="D54"/>
      <selection pane="bottomRight" activeCell="BG132" sqref="BG132"/>
    </sheetView>
  </sheetViews>
  <sheetFormatPr defaultColWidth="9.28515625" defaultRowHeight="18.75" customHeight="1" outlineLevelRow="3" outlineLevelCol="2"/>
  <cols>
    <col min="1" max="1" width="2.42578125" style="50" customWidth="1"/>
    <col min="2" max="2" width="2.42578125" style="356" customWidth="1"/>
    <col min="3" max="3" width="2.42578125" style="355" customWidth="1"/>
    <col min="4" max="4" width="21.28515625" style="50" bestFit="1" customWidth="1"/>
    <col min="5" max="5" width="14.42578125" style="372" customWidth="1" outlineLevel="2"/>
    <col min="6" max="6" width="2.7109375" style="55" customWidth="1"/>
    <col min="7" max="7" width="11.28515625" style="50" bestFit="1" customWidth="1" outlineLevel="2"/>
    <col min="8" max="9" width="12.42578125" style="50" bestFit="1" customWidth="1" outlineLevel="2"/>
    <col min="10" max="10" width="13.85546875" style="50" bestFit="1" customWidth="1" outlineLevel="2"/>
    <col min="11" max="11" width="2.7109375" style="50" customWidth="1"/>
    <col min="12" max="12" width="3.7109375" style="55" bestFit="1" customWidth="1"/>
    <col min="13" max="15" width="11.140625" style="50" bestFit="1" customWidth="1" outlineLevel="2"/>
    <col min="16" max="16" width="11.28515625" style="50" bestFit="1" customWidth="1" outlineLevel="2"/>
    <col min="17" max="19" width="11.140625" style="50" bestFit="1" customWidth="1" outlineLevel="2"/>
    <col min="20" max="20" width="11.28515625" style="50" bestFit="1" customWidth="1" outlineLevel="2"/>
    <col min="21" max="23" width="11.140625" style="50" bestFit="1" customWidth="1" outlineLevel="2"/>
    <col min="24" max="25" width="12.28515625" style="50" bestFit="1" customWidth="1" outlineLevel="2"/>
    <col min="26" max="28" width="13.85546875" style="50" bestFit="1" customWidth="1" outlineLevel="2"/>
    <col min="29" max="29" width="2.7109375" style="50" customWidth="1"/>
    <col min="30" max="30" width="3.7109375" style="55" bestFit="1" customWidth="1"/>
    <col min="31" max="39" width="10" style="50" bestFit="1" customWidth="1" outlineLevel="1"/>
    <col min="40" max="42" width="11.140625" style="50" bestFit="1" customWidth="1" outlineLevel="1"/>
    <col min="43" max="51" width="10" style="50" bestFit="1" customWidth="1" outlineLevel="1"/>
    <col min="52" max="54" width="11.140625" style="50" bestFit="1" customWidth="1" outlineLevel="1"/>
    <col min="55" max="63" width="10" style="50" bestFit="1" customWidth="1" outlineLevel="1"/>
    <col min="64" max="66" width="11.140625" style="50" bestFit="1" customWidth="1" outlineLevel="1"/>
    <col min="67" max="67" width="10.42578125" style="50" bestFit="1" customWidth="1" outlineLevel="1"/>
    <col min="68" max="71" width="11.28515625" style="50" bestFit="1" customWidth="1" outlineLevel="1"/>
    <col min="72" max="78" width="12.85546875" style="50" bestFit="1" customWidth="1" outlineLevel="1"/>
    <col min="79" max="79" width="3.7109375" style="50" customWidth="1"/>
    <col min="80" max="16384" width="9.28515625" style="50"/>
  </cols>
  <sheetData>
    <row r="1" spans="1:79" ht="21" customHeight="1">
      <c r="A1" s="193" t="str">
        <f>Company_Name</f>
        <v>Model Wiz Demo *</v>
      </c>
      <c r="E1" s="535"/>
    </row>
    <row r="2" spans="1:79" s="8" customFormat="1" ht="21" customHeight="1">
      <c r="A2" s="148" t="str" cm="1">
        <f t="array" aca="1" ref="A2" ca="1">IFERROR(MID(CELL("filename",A1),FIND("]",CELL("filename",A1))+1,LEN(CELL("filename",A1))),"")</f>
        <v>AR</v>
      </c>
      <c r="B2" s="356"/>
      <c r="C2" s="355"/>
      <c r="D2" s="50"/>
      <c r="E2" s="372"/>
      <c r="F2" s="853" t="s">
        <v>159</v>
      </c>
      <c r="G2" s="148"/>
      <c r="H2" s="148"/>
      <c r="I2" s="148"/>
      <c r="J2" s="148"/>
      <c r="K2" s="148"/>
      <c r="L2" s="853" t="s">
        <v>160</v>
      </c>
      <c r="M2" s="403"/>
      <c r="N2" s="148"/>
      <c r="O2" s="148"/>
      <c r="P2" s="148"/>
      <c r="Q2" s="148"/>
      <c r="R2" s="148"/>
      <c r="S2" s="148"/>
      <c r="T2" s="148"/>
      <c r="U2" s="148"/>
      <c r="V2" s="148"/>
      <c r="W2" s="148"/>
      <c r="X2" s="148"/>
      <c r="Y2" s="148"/>
      <c r="Z2" s="148"/>
      <c r="AA2" s="148"/>
      <c r="AB2" s="148"/>
      <c r="AC2" s="407"/>
      <c r="AD2" s="853" t="s">
        <v>161</v>
      </c>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50"/>
    </row>
    <row r="3" spans="1:79" s="8" customFormat="1" ht="21" customHeight="1" collapsed="1">
      <c r="A3" s="192" t="str">
        <f>Error_Check</f>
        <v>Model Functioning Properly</v>
      </c>
      <c r="B3" s="356"/>
      <c r="C3" s="355"/>
      <c r="D3" s="50"/>
      <c r="E3" s="372"/>
      <c r="F3" s="853"/>
      <c r="G3" s="405" t="str">
        <f>IF(G$5&lt;=_xlfn.SINGLE(LatestMonthOfActuals),"Actual","Projected")</f>
        <v>Actual</v>
      </c>
      <c r="H3" s="405" t="str">
        <f>IF(H$5&lt;=_xlfn.SINGLE(LatestMonthOfActuals),"Actual","Projected")</f>
        <v>Actual</v>
      </c>
      <c r="I3" s="405" t="str">
        <f>IF(I$5&lt;=_xlfn.SINGLE(LatestMonthOfActuals),"Actual","Projected")</f>
        <v>Projected</v>
      </c>
      <c r="J3" s="405" t="str">
        <f>IF(J$5&lt;=_xlfn.SINGLE(LatestMonthOfActuals),"Actual","Projected")</f>
        <v>Projected</v>
      </c>
      <c r="K3" s="148"/>
      <c r="L3" s="853"/>
      <c r="M3" s="405" t="str">
        <f t="shared" ref="M3:AB3" si="0">IF(M$5&lt;=_xlfn.SINGLE(LatestMonthOfActuals),"Actual","Projected")</f>
        <v>Actual</v>
      </c>
      <c r="N3" s="405" t="str">
        <f t="shared" si="0"/>
        <v>Actual</v>
      </c>
      <c r="O3" s="405" t="str">
        <f t="shared" si="0"/>
        <v>Actual</v>
      </c>
      <c r="P3" s="405" t="str">
        <f t="shared" si="0"/>
        <v>Actual</v>
      </c>
      <c r="Q3" s="405" t="str">
        <f t="shared" si="0"/>
        <v>Actual</v>
      </c>
      <c r="R3" s="405" t="str">
        <f t="shared" si="0"/>
        <v>Actual</v>
      </c>
      <c r="S3" s="405" t="str">
        <f t="shared" si="0"/>
        <v>Actual</v>
      </c>
      <c r="T3" s="405" t="str">
        <f t="shared" si="0"/>
        <v>Actual</v>
      </c>
      <c r="U3" s="405" t="str">
        <f t="shared" si="0"/>
        <v>Actual</v>
      </c>
      <c r="V3" s="405" t="str">
        <f t="shared" si="0"/>
        <v>Actual</v>
      </c>
      <c r="W3" s="405" t="str">
        <f t="shared" si="0"/>
        <v>Actual</v>
      </c>
      <c r="X3" s="405" t="str">
        <f t="shared" si="0"/>
        <v>Projected</v>
      </c>
      <c r="Y3" s="405" t="str">
        <f t="shared" si="0"/>
        <v>Projected</v>
      </c>
      <c r="Z3" s="405" t="str">
        <f t="shared" si="0"/>
        <v>Projected</v>
      </c>
      <c r="AA3" s="405" t="str">
        <f t="shared" si="0"/>
        <v>Projected</v>
      </c>
      <c r="AB3" s="405" t="str">
        <f t="shared" si="0"/>
        <v>Projected</v>
      </c>
      <c r="AC3" s="406"/>
      <c r="AD3" s="853"/>
      <c r="AE3" s="405" t="str">
        <f t="shared" ref="AE3:BZ3" si="1">IF(AE$5&lt;=_xlfn.SINGLE(LatestMonthOfActuals),"Actual","Projected")</f>
        <v>Actual</v>
      </c>
      <c r="AF3" s="405" t="str">
        <f t="shared" si="1"/>
        <v>Actual</v>
      </c>
      <c r="AG3" s="405" t="str">
        <f t="shared" si="1"/>
        <v>Actual</v>
      </c>
      <c r="AH3" s="405" t="str">
        <f t="shared" si="1"/>
        <v>Actual</v>
      </c>
      <c r="AI3" s="405" t="str">
        <f t="shared" si="1"/>
        <v>Actual</v>
      </c>
      <c r="AJ3" s="405" t="str">
        <f t="shared" si="1"/>
        <v>Actual</v>
      </c>
      <c r="AK3" s="405" t="str">
        <f t="shared" si="1"/>
        <v>Actual</v>
      </c>
      <c r="AL3" s="405" t="str">
        <f t="shared" si="1"/>
        <v>Actual</v>
      </c>
      <c r="AM3" s="405" t="str">
        <f t="shared" si="1"/>
        <v>Actual</v>
      </c>
      <c r="AN3" s="405" t="str">
        <f t="shared" si="1"/>
        <v>Actual</v>
      </c>
      <c r="AO3" s="405" t="str">
        <f t="shared" si="1"/>
        <v>Actual</v>
      </c>
      <c r="AP3" s="405" t="str">
        <f>IF(AR$5&lt;=_xlfn.SINGLE(LatestMonthOfActuals),"Actual","Projected")</f>
        <v>Actual</v>
      </c>
      <c r="AQ3" s="405" t="str">
        <f t="shared" si="1"/>
        <v>Actual</v>
      </c>
      <c r="AR3" s="405" t="str">
        <f t="shared" si="1"/>
        <v>Actual</v>
      </c>
      <c r="AS3" s="405" t="str">
        <f t="shared" si="1"/>
        <v>Actual</v>
      </c>
      <c r="AT3" s="405" t="str">
        <f t="shared" si="1"/>
        <v>Actual</v>
      </c>
      <c r="AU3" s="405" t="str">
        <f t="shared" si="1"/>
        <v>Actual</v>
      </c>
      <c r="AV3" s="405" t="str">
        <f t="shared" si="1"/>
        <v>Actual</v>
      </c>
      <c r="AW3" s="405" t="str">
        <f t="shared" si="1"/>
        <v>Actual</v>
      </c>
      <c r="AX3" s="405" t="str">
        <f t="shared" si="1"/>
        <v>Actual</v>
      </c>
      <c r="AY3" s="405" t="str">
        <f t="shared" si="1"/>
        <v>Actual</v>
      </c>
      <c r="AZ3" s="405" t="str">
        <f t="shared" si="1"/>
        <v>Actual</v>
      </c>
      <c r="BA3" s="405" t="str">
        <f t="shared" si="1"/>
        <v>Actual</v>
      </c>
      <c r="BB3" s="405" t="str">
        <f t="shared" si="1"/>
        <v>Actual</v>
      </c>
      <c r="BC3" s="405" t="str">
        <f t="shared" si="1"/>
        <v>Actual</v>
      </c>
      <c r="BD3" s="405" t="str">
        <f t="shared" si="1"/>
        <v>Actual</v>
      </c>
      <c r="BE3" s="405" t="str">
        <f t="shared" si="1"/>
        <v>Actual</v>
      </c>
      <c r="BF3" s="405" t="str">
        <f t="shared" si="1"/>
        <v>Actual</v>
      </c>
      <c r="BG3" s="405" t="str">
        <f t="shared" si="1"/>
        <v>Actual</v>
      </c>
      <c r="BH3" s="405" t="str">
        <f t="shared" si="1"/>
        <v>Actual</v>
      </c>
      <c r="BI3" s="405" t="str">
        <f t="shared" si="1"/>
        <v>Actual</v>
      </c>
      <c r="BJ3" s="405" t="str">
        <f t="shared" si="1"/>
        <v>Actual</v>
      </c>
      <c r="BK3" s="405" t="str">
        <f t="shared" si="1"/>
        <v>Actual</v>
      </c>
      <c r="BL3" s="405" t="str">
        <f t="shared" si="1"/>
        <v>Actual</v>
      </c>
      <c r="BM3" s="405" t="str">
        <f t="shared" si="1"/>
        <v>Actual</v>
      </c>
      <c r="BN3" s="405" t="str">
        <f t="shared" si="1"/>
        <v>Projected</v>
      </c>
      <c r="BO3" s="405" t="str">
        <f t="shared" si="1"/>
        <v>Projected</v>
      </c>
      <c r="BP3" s="405" t="str">
        <f t="shared" si="1"/>
        <v>Projected</v>
      </c>
      <c r="BQ3" s="405" t="str">
        <f t="shared" si="1"/>
        <v>Projected</v>
      </c>
      <c r="BR3" s="405" t="str">
        <f t="shared" si="1"/>
        <v>Projected</v>
      </c>
      <c r="BS3" s="405" t="str">
        <f t="shared" si="1"/>
        <v>Projected</v>
      </c>
      <c r="BT3" s="405" t="str">
        <f t="shared" si="1"/>
        <v>Projected</v>
      </c>
      <c r="BU3" s="405" t="str">
        <f t="shared" si="1"/>
        <v>Projected</v>
      </c>
      <c r="BV3" s="405" t="str">
        <f t="shared" si="1"/>
        <v>Projected</v>
      </c>
      <c r="BW3" s="405" t="str">
        <f t="shared" si="1"/>
        <v>Projected</v>
      </c>
      <c r="BX3" s="405" t="str">
        <f t="shared" si="1"/>
        <v>Projected</v>
      </c>
      <c r="BY3" s="405" t="str">
        <f t="shared" si="1"/>
        <v>Projected</v>
      </c>
      <c r="BZ3" s="405" t="str">
        <f t="shared" si="1"/>
        <v>Projected</v>
      </c>
      <c r="CA3" s="50"/>
    </row>
    <row r="4" spans="1:79" s="534" customFormat="1" ht="18" hidden="1" customHeight="1" outlineLevel="2">
      <c r="A4" s="50"/>
      <c r="B4" s="356"/>
      <c r="C4" s="355"/>
      <c r="D4" s="50"/>
      <c r="E4" s="372"/>
      <c r="F4" s="853"/>
      <c r="G4" s="403">
        <f>Start_Date</f>
        <v>44927</v>
      </c>
      <c r="H4" s="403">
        <f>G5+1</f>
        <v>45292</v>
      </c>
      <c r="I4" s="403">
        <f>H5+1</f>
        <v>45658</v>
      </c>
      <c r="J4" s="403">
        <f>I5+1</f>
        <v>46023</v>
      </c>
      <c r="K4" s="148"/>
      <c r="L4" s="853"/>
      <c r="M4" s="403">
        <f>Start_Date</f>
        <v>44927</v>
      </c>
      <c r="N4" s="402">
        <f t="shared" ref="N4:AB4" si="2">M5+1</f>
        <v>45017</v>
      </c>
      <c r="O4" s="402">
        <f t="shared" si="2"/>
        <v>45108</v>
      </c>
      <c r="P4" s="402">
        <f t="shared" si="2"/>
        <v>45200</v>
      </c>
      <c r="Q4" s="402">
        <f t="shared" si="2"/>
        <v>45292</v>
      </c>
      <c r="R4" s="402">
        <f t="shared" si="2"/>
        <v>45383</v>
      </c>
      <c r="S4" s="402">
        <f t="shared" si="2"/>
        <v>45474</v>
      </c>
      <c r="T4" s="402">
        <f t="shared" si="2"/>
        <v>45566</v>
      </c>
      <c r="U4" s="402">
        <f t="shared" si="2"/>
        <v>45658</v>
      </c>
      <c r="V4" s="402">
        <f t="shared" si="2"/>
        <v>45748</v>
      </c>
      <c r="W4" s="402">
        <f t="shared" si="2"/>
        <v>45839</v>
      </c>
      <c r="X4" s="402">
        <f t="shared" si="2"/>
        <v>45931</v>
      </c>
      <c r="Y4" s="402">
        <f t="shared" si="2"/>
        <v>46023</v>
      </c>
      <c r="Z4" s="402">
        <f t="shared" si="2"/>
        <v>46113</v>
      </c>
      <c r="AA4" s="402">
        <f t="shared" si="2"/>
        <v>46204</v>
      </c>
      <c r="AB4" s="402">
        <f t="shared" si="2"/>
        <v>46296</v>
      </c>
      <c r="AC4" s="404"/>
      <c r="AD4" s="853"/>
      <c r="AE4" s="403">
        <f>Start_Date</f>
        <v>44927</v>
      </c>
      <c r="AF4" s="403">
        <f t="shared" ref="AF4:BZ4" si="3">EOMONTH(AF5,-1)+1</f>
        <v>44958</v>
      </c>
      <c r="AG4" s="403">
        <f t="shared" si="3"/>
        <v>44986</v>
      </c>
      <c r="AH4" s="403">
        <f t="shared" si="3"/>
        <v>45017</v>
      </c>
      <c r="AI4" s="403">
        <f t="shared" si="3"/>
        <v>45047</v>
      </c>
      <c r="AJ4" s="403">
        <f t="shared" si="3"/>
        <v>45078</v>
      </c>
      <c r="AK4" s="403">
        <f t="shared" si="3"/>
        <v>45108</v>
      </c>
      <c r="AL4" s="403">
        <f t="shared" si="3"/>
        <v>45139</v>
      </c>
      <c r="AM4" s="403">
        <f t="shared" si="3"/>
        <v>45170</v>
      </c>
      <c r="AN4" s="403">
        <f t="shared" si="3"/>
        <v>45200</v>
      </c>
      <c r="AO4" s="403">
        <f t="shared" si="3"/>
        <v>45231</v>
      </c>
      <c r="AP4" s="403">
        <f>EOMONTH(AR5,-1)+1</f>
        <v>45323</v>
      </c>
      <c r="AQ4" s="403">
        <f t="shared" si="3"/>
        <v>45292</v>
      </c>
      <c r="AR4" s="403">
        <f t="shared" si="3"/>
        <v>45323</v>
      </c>
      <c r="AS4" s="403">
        <f t="shared" si="3"/>
        <v>45352</v>
      </c>
      <c r="AT4" s="403">
        <f t="shared" si="3"/>
        <v>45383</v>
      </c>
      <c r="AU4" s="403">
        <f t="shared" si="3"/>
        <v>45413</v>
      </c>
      <c r="AV4" s="403">
        <f t="shared" si="3"/>
        <v>45444</v>
      </c>
      <c r="AW4" s="403">
        <f t="shared" si="3"/>
        <v>45474</v>
      </c>
      <c r="AX4" s="403">
        <f t="shared" si="3"/>
        <v>45505</v>
      </c>
      <c r="AY4" s="403">
        <f t="shared" si="3"/>
        <v>45536</v>
      </c>
      <c r="AZ4" s="403">
        <f t="shared" si="3"/>
        <v>45566</v>
      </c>
      <c r="BA4" s="403">
        <f t="shared" si="3"/>
        <v>45597</v>
      </c>
      <c r="BB4" s="403">
        <f t="shared" si="3"/>
        <v>45627</v>
      </c>
      <c r="BC4" s="403">
        <f t="shared" si="3"/>
        <v>45658</v>
      </c>
      <c r="BD4" s="403">
        <f t="shared" si="3"/>
        <v>45689</v>
      </c>
      <c r="BE4" s="403">
        <f t="shared" si="3"/>
        <v>45717</v>
      </c>
      <c r="BF4" s="403">
        <f t="shared" si="3"/>
        <v>45748</v>
      </c>
      <c r="BG4" s="403">
        <f t="shared" si="3"/>
        <v>45778</v>
      </c>
      <c r="BH4" s="403">
        <f t="shared" si="3"/>
        <v>45809</v>
      </c>
      <c r="BI4" s="403">
        <f t="shared" si="3"/>
        <v>45839</v>
      </c>
      <c r="BJ4" s="403">
        <f t="shared" si="3"/>
        <v>45870</v>
      </c>
      <c r="BK4" s="403">
        <f t="shared" si="3"/>
        <v>45901</v>
      </c>
      <c r="BL4" s="403">
        <f t="shared" si="3"/>
        <v>45931</v>
      </c>
      <c r="BM4" s="403">
        <f t="shared" si="3"/>
        <v>45962</v>
      </c>
      <c r="BN4" s="403">
        <f t="shared" si="3"/>
        <v>45992</v>
      </c>
      <c r="BO4" s="403">
        <f t="shared" si="3"/>
        <v>46023</v>
      </c>
      <c r="BP4" s="403">
        <f t="shared" si="3"/>
        <v>46054</v>
      </c>
      <c r="BQ4" s="403">
        <f t="shared" si="3"/>
        <v>46082</v>
      </c>
      <c r="BR4" s="403">
        <f t="shared" si="3"/>
        <v>46113</v>
      </c>
      <c r="BS4" s="403">
        <f t="shared" si="3"/>
        <v>46143</v>
      </c>
      <c r="BT4" s="403">
        <f t="shared" si="3"/>
        <v>46174</v>
      </c>
      <c r="BU4" s="403">
        <f t="shared" si="3"/>
        <v>46204</v>
      </c>
      <c r="BV4" s="403">
        <f t="shared" si="3"/>
        <v>46235</v>
      </c>
      <c r="BW4" s="403">
        <f t="shared" si="3"/>
        <v>46266</v>
      </c>
      <c r="BX4" s="403">
        <f t="shared" si="3"/>
        <v>46296</v>
      </c>
      <c r="BY4" s="403">
        <f t="shared" si="3"/>
        <v>46327</v>
      </c>
      <c r="BZ4" s="403">
        <f t="shared" si="3"/>
        <v>46357</v>
      </c>
      <c r="CA4" s="50"/>
    </row>
    <row r="5" spans="1:79" s="534" customFormat="1" ht="21" hidden="1" customHeight="1" outlineLevel="2">
      <c r="A5" s="50"/>
      <c r="B5" s="356"/>
      <c r="C5" s="355"/>
      <c r="D5" s="50"/>
      <c r="E5" s="372"/>
      <c r="F5" s="853"/>
      <c r="G5" s="403">
        <f>EOMONTH(DATE(YEAR(Start_Date),1,1),Fiscal_Offset+IF(M6&lt;YEAR(Start_Date),-1,11))</f>
        <v>45291</v>
      </c>
      <c r="H5" s="402">
        <f>MIN(EOMONTH(G5,12),End_Date)</f>
        <v>45657</v>
      </c>
      <c r="I5" s="402">
        <f>MIN(EOMONTH(H5,12),End_Date)</f>
        <v>46022</v>
      </c>
      <c r="J5" s="402">
        <f>MIN(EOMONTH(I5,12),End_Date)</f>
        <v>46387</v>
      </c>
      <c r="K5" s="148"/>
      <c r="L5" s="853"/>
      <c r="M5" s="402">
        <f>EOMONTH(DATE(YEAR(Start_Date),1,1),MOD(ROUNDUP(MONTH(EOMONTH(Start_Date,-Fiscal_Offset))/3,0)*3+Fiscal_Offset-1,12))</f>
        <v>45016</v>
      </c>
      <c r="N5" s="402">
        <f t="shared" ref="N5:AB5" si="4">MIN(EOMONTH(N$4,2),End_Date)</f>
        <v>45107</v>
      </c>
      <c r="O5" s="402">
        <f t="shared" si="4"/>
        <v>45199</v>
      </c>
      <c r="P5" s="402">
        <f t="shared" si="4"/>
        <v>45291</v>
      </c>
      <c r="Q5" s="402">
        <f t="shared" si="4"/>
        <v>45382</v>
      </c>
      <c r="R5" s="402">
        <f t="shared" si="4"/>
        <v>45473</v>
      </c>
      <c r="S5" s="402">
        <f t="shared" si="4"/>
        <v>45565</v>
      </c>
      <c r="T5" s="402">
        <f t="shared" si="4"/>
        <v>45657</v>
      </c>
      <c r="U5" s="402">
        <f t="shared" si="4"/>
        <v>45747</v>
      </c>
      <c r="V5" s="402">
        <f t="shared" si="4"/>
        <v>45838</v>
      </c>
      <c r="W5" s="402">
        <f t="shared" si="4"/>
        <v>45930</v>
      </c>
      <c r="X5" s="402">
        <f t="shared" si="4"/>
        <v>46022</v>
      </c>
      <c r="Y5" s="402">
        <f t="shared" si="4"/>
        <v>46112</v>
      </c>
      <c r="Z5" s="402">
        <f t="shared" si="4"/>
        <v>46203</v>
      </c>
      <c r="AA5" s="402">
        <f t="shared" si="4"/>
        <v>46295</v>
      </c>
      <c r="AB5" s="402">
        <f t="shared" si="4"/>
        <v>46387</v>
      </c>
      <c r="AC5" s="404"/>
      <c r="AD5" s="853"/>
      <c r="AE5" s="403" cm="1">
        <f t="array" ref="AE5">EOM_Start_Date</f>
        <v>44957</v>
      </c>
      <c r="AF5" s="402">
        <f t="shared" ref="AF5:BZ5" si="5">EOMONTH(AE5,1)</f>
        <v>44985</v>
      </c>
      <c r="AG5" s="402">
        <f t="shared" si="5"/>
        <v>45016</v>
      </c>
      <c r="AH5" s="402">
        <f t="shared" si="5"/>
        <v>45046</v>
      </c>
      <c r="AI5" s="402">
        <f t="shared" si="5"/>
        <v>45077</v>
      </c>
      <c r="AJ5" s="402">
        <f t="shared" si="5"/>
        <v>45107</v>
      </c>
      <c r="AK5" s="402">
        <f t="shared" si="5"/>
        <v>45138</v>
      </c>
      <c r="AL5" s="402">
        <f t="shared" si="5"/>
        <v>45169</v>
      </c>
      <c r="AM5" s="402">
        <f t="shared" si="5"/>
        <v>45199</v>
      </c>
      <c r="AN5" s="402">
        <f t="shared" si="5"/>
        <v>45230</v>
      </c>
      <c r="AO5" s="402">
        <f t="shared" si="5"/>
        <v>45260</v>
      </c>
      <c r="AP5" s="402">
        <f t="shared" si="5"/>
        <v>45291</v>
      </c>
      <c r="AQ5" s="402">
        <f t="shared" si="5"/>
        <v>45322</v>
      </c>
      <c r="AR5" s="402">
        <f t="shared" si="5"/>
        <v>45351</v>
      </c>
      <c r="AS5" s="402">
        <f t="shared" si="5"/>
        <v>45382</v>
      </c>
      <c r="AT5" s="402">
        <f t="shared" si="5"/>
        <v>45412</v>
      </c>
      <c r="AU5" s="402">
        <f t="shared" si="5"/>
        <v>45443</v>
      </c>
      <c r="AV5" s="402">
        <f t="shared" si="5"/>
        <v>45473</v>
      </c>
      <c r="AW5" s="402">
        <f t="shared" si="5"/>
        <v>45504</v>
      </c>
      <c r="AX5" s="402">
        <f t="shared" si="5"/>
        <v>45535</v>
      </c>
      <c r="AY5" s="402">
        <f t="shared" si="5"/>
        <v>45565</v>
      </c>
      <c r="AZ5" s="402">
        <f t="shared" si="5"/>
        <v>45596</v>
      </c>
      <c r="BA5" s="402">
        <f t="shared" si="5"/>
        <v>45626</v>
      </c>
      <c r="BB5" s="402">
        <f t="shared" si="5"/>
        <v>45657</v>
      </c>
      <c r="BC5" s="402">
        <f t="shared" si="5"/>
        <v>45688</v>
      </c>
      <c r="BD5" s="402">
        <f t="shared" si="5"/>
        <v>45716</v>
      </c>
      <c r="BE5" s="402">
        <f t="shared" si="5"/>
        <v>45747</v>
      </c>
      <c r="BF5" s="402">
        <f t="shared" si="5"/>
        <v>45777</v>
      </c>
      <c r="BG5" s="402">
        <f t="shared" si="5"/>
        <v>45808</v>
      </c>
      <c r="BH5" s="402">
        <f t="shared" si="5"/>
        <v>45838</v>
      </c>
      <c r="BI5" s="402">
        <f t="shared" si="5"/>
        <v>45869</v>
      </c>
      <c r="BJ5" s="402">
        <f t="shared" si="5"/>
        <v>45900</v>
      </c>
      <c r="BK5" s="402">
        <f t="shared" si="5"/>
        <v>45930</v>
      </c>
      <c r="BL5" s="402">
        <f t="shared" si="5"/>
        <v>45961</v>
      </c>
      <c r="BM5" s="402">
        <f t="shared" si="5"/>
        <v>45991</v>
      </c>
      <c r="BN5" s="402">
        <f t="shared" si="5"/>
        <v>46022</v>
      </c>
      <c r="BO5" s="402">
        <f t="shared" si="5"/>
        <v>46053</v>
      </c>
      <c r="BP5" s="402">
        <f t="shared" si="5"/>
        <v>46081</v>
      </c>
      <c r="BQ5" s="402">
        <f t="shared" si="5"/>
        <v>46112</v>
      </c>
      <c r="BR5" s="402">
        <f t="shared" si="5"/>
        <v>46142</v>
      </c>
      <c r="BS5" s="402">
        <f t="shared" si="5"/>
        <v>46173</v>
      </c>
      <c r="BT5" s="402">
        <f t="shared" si="5"/>
        <v>46203</v>
      </c>
      <c r="BU5" s="402">
        <f t="shared" si="5"/>
        <v>46234</v>
      </c>
      <c r="BV5" s="402">
        <f t="shared" si="5"/>
        <v>46265</v>
      </c>
      <c r="BW5" s="402">
        <f t="shared" si="5"/>
        <v>46295</v>
      </c>
      <c r="BX5" s="402">
        <f t="shared" si="5"/>
        <v>46326</v>
      </c>
      <c r="BY5" s="402">
        <f t="shared" si="5"/>
        <v>46356</v>
      </c>
      <c r="BZ5" s="402">
        <f t="shared" si="5"/>
        <v>46387</v>
      </c>
      <c r="CA5" s="50"/>
    </row>
    <row r="6" spans="1:79" s="534" customFormat="1" ht="21" hidden="1" customHeight="1" outlineLevel="2">
      <c r="A6" s="50"/>
      <c r="B6" s="356"/>
      <c r="C6" s="355"/>
      <c r="D6" s="50"/>
      <c r="E6" s="372"/>
      <c r="F6" s="853"/>
      <c r="G6" s="369">
        <f>YEAR(EOMONTH(G5,-Fiscal_Offset))</f>
        <v>2023</v>
      </c>
      <c r="H6" s="369">
        <f>YEAR(EOMONTH(H5,-Fiscal_Offset))</f>
        <v>2024</v>
      </c>
      <c r="I6" s="369">
        <f>YEAR(EOMONTH(I5,-Fiscal_Offset))</f>
        <v>2025</v>
      </c>
      <c r="J6" s="369">
        <f>YEAR(EOMONTH(J5,-Fiscal_Offset))</f>
        <v>2026</v>
      </c>
      <c r="K6" s="148"/>
      <c r="L6" s="853"/>
      <c r="M6" s="369">
        <f t="shared" ref="M6:AB6" si="6">YEAR(EOMONTH(M5,-Fiscal_Offset))</f>
        <v>2023</v>
      </c>
      <c r="N6" s="369">
        <f t="shared" si="6"/>
        <v>2023</v>
      </c>
      <c r="O6" s="369">
        <f t="shared" si="6"/>
        <v>2023</v>
      </c>
      <c r="P6" s="369">
        <f t="shared" si="6"/>
        <v>2023</v>
      </c>
      <c r="Q6" s="369">
        <f t="shared" si="6"/>
        <v>2024</v>
      </c>
      <c r="R6" s="369">
        <f t="shared" si="6"/>
        <v>2024</v>
      </c>
      <c r="S6" s="369">
        <f t="shared" si="6"/>
        <v>2024</v>
      </c>
      <c r="T6" s="369">
        <f t="shared" si="6"/>
        <v>2024</v>
      </c>
      <c r="U6" s="369">
        <f t="shared" si="6"/>
        <v>2025</v>
      </c>
      <c r="V6" s="369">
        <f t="shared" si="6"/>
        <v>2025</v>
      </c>
      <c r="W6" s="369">
        <f t="shared" si="6"/>
        <v>2025</v>
      </c>
      <c r="X6" s="369">
        <f t="shared" si="6"/>
        <v>2025</v>
      </c>
      <c r="Y6" s="369">
        <f t="shared" si="6"/>
        <v>2026</v>
      </c>
      <c r="Z6" s="369">
        <f t="shared" si="6"/>
        <v>2026</v>
      </c>
      <c r="AA6" s="369">
        <f t="shared" si="6"/>
        <v>2026</v>
      </c>
      <c r="AB6" s="369">
        <f t="shared" si="6"/>
        <v>2026</v>
      </c>
      <c r="AC6" s="399"/>
      <c r="AD6" s="853"/>
      <c r="AE6" s="369">
        <f t="shared" ref="AE6:BZ6" si="7">YEAR(EOMONTH(AE5,-Fiscal_Offset))</f>
        <v>2023</v>
      </c>
      <c r="AF6" s="369">
        <f t="shared" si="7"/>
        <v>2023</v>
      </c>
      <c r="AG6" s="369">
        <f t="shared" si="7"/>
        <v>2023</v>
      </c>
      <c r="AH6" s="369">
        <f t="shared" si="7"/>
        <v>2023</v>
      </c>
      <c r="AI6" s="369">
        <f t="shared" si="7"/>
        <v>2023</v>
      </c>
      <c r="AJ6" s="369">
        <f t="shared" si="7"/>
        <v>2023</v>
      </c>
      <c r="AK6" s="369">
        <f t="shared" si="7"/>
        <v>2023</v>
      </c>
      <c r="AL6" s="369">
        <f t="shared" si="7"/>
        <v>2023</v>
      </c>
      <c r="AM6" s="369">
        <f t="shared" si="7"/>
        <v>2023</v>
      </c>
      <c r="AN6" s="369">
        <f t="shared" si="7"/>
        <v>2023</v>
      </c>
      <c r="AO6" s="369">
        <f t="shared" si="7"/>
        <v>2023</v>
      </c>
      <c r="AP6" s="369">
        <f>YEAR(EOMONTH(AR5,-Fiscal_Offset))</f>
        <v>2024</v>
      </c>
      <c r="AQ6" s="369">
        <f t="shared" si="7"/>
        <v>2024</v>
      </c>
      <c r="AR6" s="369">
        <f t="shared" si="7"/>
        <v>2024</v>
      </c>
      <c r="AS6" s="369">
        <f t="shared" si="7"/>
        <v>2024</v>
      </c>
      <c r="AT6" s="369">
        <f t="shared" si="7"/>
        <v>2024</v>
      </c>
      <c r="AU6" s="369">
        <f t="shared" si="7"/>
        <v>2024</v>
      </c>
      <c r="AV6" s="369">
        <f t="shared" si="7"/>
        <v>2024</v>
      </c>
      <c r="AW6" s="369">
        <f t="shared" si="7"/>
        <v>2024</v>
      </c>
      <c r="AX6" s="369">
        <f t="shared" si="7"/>
        <v>2024</v>
      </c>
      <c r="AY6" s="369">
        <f t="shared" si="7"/>
        <v>2024</v>
      </c>
      <c r="AZ6" s="369">
        <f t="shared" si="7"/>
        <v>2024</v>
      </c>
      <c r="BA6" s="369">
        <f t="shared" si="7"/>
        <v>2024</v>
      </c>
      <c r="BB6" s="369">
        <f t="shared" si="7"/>
        <v>2024</v>
      </c>
      <c r="BC6" s="369">
        <f t="shared" si="7"/>
        <v>2025</v>
      </c>
      <c r="BD6" s="369">
        <f t="shared" si="7"/>
        <v>2025</v>
      </c>
      <c r="BE6" s="369">
        <f t="shared" si="7"/>
        <v>2025</v>
      </c>
      <c r="BF6" s="369">
        <f t="shared" si="7"/>
        <v>2025</v>
      </c>
      <c r="BG6" s="369">
        <f t="shared" si="7"/>
        <v>2025</v>
      </c>
      <c r="BH6" s="369">
        <f t="shared" si="7"/>
        <v>2025</v>
      </c>
      <c r="BI6" s="369">
        <f t="shared" si="7"/>
        <v>2025</v>
      </c>
      <c r="BJ6" s="369">
        <f t="shared" si="7"/>
        <v>2025</v>
      </c>
      <c r="BK6" s="369">
        <f t="shared" si="7"/>
        <v>2025</v>
      </c>
      <c r="BL6" s="369">
        <f t="shared" si="7"/>
        <v>2025</v>
      </c>
      <c r="BM6" s="369">
        <f t="shared" si="7"/>
        <v>2025</v>
      </c>
      <c r="BN6" s="369">
        <f t="shared" si="7"/>
        <v>2025</v>
      </c>
      <c r="BO6" s="369">
        <f t="shared" si="7"/>
        <v>2026</v>
      </c>
      <c r="BP6" s="369">
        <f t="shared" si="7"/>
        <v>2026</v>
      </c>
      <c r="BQ6" s="369">
        <f t="shared" si="7"/>
        <v>2026</v>
      </c>
      <c r="BR6" s="369">
        <f t="shared" si="7"/>
        <v>2026</v>
      </c>
      <c r="BS6" s="369">
        <f t="shared" si="7"/>
        <v>2026</v>
      </c>
      <c r="BT6" s="369">
        <f t="shared" si="7"/>
        <v>2026</v>
      </c>
      <c r="BU6" s="369">
        <f t="shared" si="7"/>
        <v>2026</v>
      </c>
      <c r="BV6" s="369">
        <f t="shared" si="7"/>
        <v>2026</v>
      </c>
      <c r="BW6" s="369">
        <f t="shared" si="7"/>
        <v>2026</v>
      </c>
      <c r="BX6" s="369">
        <f t="shared" si="7"/>
        <v>2026</v>
      </c>
      <c r="BY6" s="369">
        <f t="shared" si="7"/>
        <v>2026</v>
      </c>
      <c r="BZ6" s="369">
        <f t="shared" si="7"/>
        <v>2026</v>
      </c>
      <c r="CA6" s="50"/>
    </row>
    <row r="7" spans="1:79" s="534" customFormat="1" ht="21" hidden="1" customHeight="1" outlineLevel="2">
      <c r="A7" s="50"/>
      <c r="B7" s="356"/>
      <c r="C7" s="355"/>
      <c r="D7" s="50"/>
      <c r="E7" s="372"/>
      <c r="F7" s="853"/>
      <c r="G7" s="369" t="str">
        <f>"Q"&amp; ROUNDUP(MONTH(EOMONTH(G5,-Fiscal_Offset))/3,0)</f>
        <v>Q4</v>
      </c>
      <c r="H7" s="369" t="str">
        <f>"Q"&amp; ROUNDUP(MONTH(EOMONTH(H5,-Fiscal_Offset))/3,0)</f>
        <v>Q4</v>
      </c>
      <c r="I7" s="369" t="str">
        <f>"Q"&amp; ROUNDUP(MONTH(EOMONTH(I5,-Fiscal_Offset))/3,0)</f>
        <v>Q4</v>
      </c>
      <c r="J7" s="369" t="str">
        <f>"Q"&amp; ROUNDUP(MONTH(EOMONTH(J5,-Fiscal_Offset))/3,0)</f>
        <v>Q4</v>
      </c>
      <c r="K7" s="148"/>
      <c r="L7" s="853"/>
      <c r="M7" s="369" t="str">
        <f t="shared" ref="M7:AB7" si="8">"Q"&amp; ROUNDUP(MONTH(EOMONTH(M5,-Fiscal_Offset))/3,0)</f>
        <v>Q1</v>
      </c>
      <c r="N7" s="369" t="str">
        <f t="shared" si="8"/>
        <v>Q2</v>
      </c>
      <c r="O7" s="369" t="str">
        <f t="shared" si="8"/>
        <v>Q3</v>
      </c>
      <c r="P7" s="369" t="str">
        <f t="shared" si="8"/>
        <v>Q4</v>
      </c>
      <c r="Q7" s="369" t="str">
        <f t="shared" si="8"/>
        <v>Q1</v>
      </c>
      <c r="R7" s="369" t="str">
        <f t="shared" si="8"/>
        <v>Q2</v>
      </c>
      <c r="S7" s="369" t="str">
        <f t="shared" si="8"/>
        <v>Q3</v>
      </c>
      <c r="T7" s="369" t="str">
        <f t="shared" si="8"/>
        <v>Q4</v>
      </c>
      <c r="U7" s="369" t="str">
        <f t="shared" si="8"/>
        <v>Q1</v>
      </c>
      <c r="V7" s="369" t="str">
        <f t="shared" si="8"/>
        <v>Q2</v>
      </c>
      <c r="W7" s="369" t="str">
        <f t="shared" si="8"/>
        <v>Q3</v>
      </c>
      <c r="X7" s="369" t="str">
        <f t="shared" si="8"/>
        <v>Q4</v>
      </c>
      <c r="Y7" s="369" t="str">
        <f t="shared" si="8"/>
        <v>Q1</v>
      </c>
      <c r="Z7" s="369" t="str">
        <f t="shared" si="8"/>
        <v>Q2</v>
      </c>
      <c r="AA7" s="369" t="str">
        <f t="shared" si="8"/>
        <v>Q3</v>
      </c>
      <c r="AB7" s="369" t="str">
        <f t="shared" si="8"/>
        <v>Q4</v>
      </c>
      <c r="AC7" s="399"/>
      <c r="AD7" s="853"/>
      <c r="AE7" s="369" t="str">
        <f t="shared" ref="AE7:BZ7" si="9">"Q"&amp; ROUNDUP(MONTH(EOMONTH(AE5,-Fiscal_Offset))/3,0)</f>
        <v>Q1</v>
      </c>
      <c r="AF7" s="369" t="str">
        <f t="shared" si="9"/>
        <v>Q1</v>
      </c>
      <c r="AG7" s="369" t="str">
        <f t="shared" si="9"/>
        <v>Q1</v>
      </c>
      <c r="AH7" s="369" t="str">
        <f t="shared" si="9"/>
        <v>Q2</v>
      </c>
      <c r="AI7" s="369" t="str">
        <f t="shared" si="9"/>
        <v>Q2</v>
      </c>
      <c r="AJ7" s="369" t="str">
        <f t="shared" si="9"/>
        <v>Q2</v>
      </c>
      <c r="AK7" s="369" t="str">
        <f t="shared" si="9"/>
        <v>Q3</v>
      </c>
      <c r="AL7" s="369" t="str">
        <f t="shared" si="9"/>
        <v>Q3</v>
      </c>
      <c r="AM7" s="369" t="str">
        <f t="shared" si="9"/>
        <v>Q3</v>
      </c>
      <c r="AN7" s="369" t="str">
        <f t="shared" si="9"/>
        <v>Q4</v>
      </c>
      <c r="AO7" s="369" t="str">
        <f t="shared" si="9"/>
        <v>Q4</v>
      </c>
      <c r="AP7" s="369" t="str">
        <f>"Q"&amp; ROUNDUP(MONTH(EOMONTH(AR5,-Fiscal_Offset))/3,0)</f>
        <v>Q1</v>
      </c>
      <c r="AQ7" s="369" t="str">
        <f t="shared" si="9"/>
        <v>Q1</v>
      </c>
      <c r="AR7" s="369" t="str">
        <f t="shared" si="9"/>
        <v>Q1</v>
      </c>
      <c r="AS7" s="369" t="str">
        <f t="shared" si="9"/>
        <v>Q1</v>
      </c>
      <c r="AT7" s="369" t="str">
        <f t="shared" si="9"/>
        <v>Q2</v>
      </c>
      <c r="AU7" s="369" t="str">
        <f t="shared" si="9"/>
        <v>Q2</v>
      </c>
      <c r="AV7" s="369" t="str">
        <f t="shared" si="9"/>
        <v>Q2</v>
      </c>
      <c r="AW7" s="369" t="str">
        <f t="shared" si="9"/>
        <v>Q3</v>
      </c>
      <c r="AX7" s="369" t="str">
        <f t="shared" si="9"/>
        <v>Q3</v>
      </c>
      <c r="AY7" s="369" t="str">
        <f t="shared" si="9"/>
        <v>Q3</v>
      </c>
      <c r="AZ7" s="369" t="str">
        <f t="shared" si="9"/>
        <v>Q4</v>
      </c>
      <c r="BA7" s="369" t="str">
        <f t="shared" si="9"/>
        <v>Q4</v>
      </c>
      <c r="BB7" s="369" t="str">
        <f t="shared" si="9"/>
        <v>Q4</v>
      </c>
      <c r="BC7" s="369" t="str">
        <f t="shared" si="9"/>
        <v>Q1</v>
      </c>
      <c r="BD7" s="369" t="str">
        <f t="shared" si="9"/>
        <v>Q1</v>
      </c>
      <c r="BE7" s="369" t="str">
        <f t="shared" si="9"/>
        <v>Q1</v>
      </c>
      <c r="BF7" s="369" t="str">
        <f t="shared" si="9"/>
        <v>Q2</v>
      </c>
      <c r="BG7" s="369" t="str">
        <f t="shared" si="9"/>
        <v>Q2</v>
      </c>
      <c r="BH7" s="369" t="str">
        <f t="shared" si="9"/>
        <v>Q2</v>
      </c>
      <c r="BI7" s="369" t="str">
        <f t="shared" si="9"/>
        <v>Q3</v>
      </c>
      <c r="BJ7" s="369" t="str">
        <f t="shared" si="9"/>
        <v>Q3</v>
      </c>
      <c r="BK7" s="369" t="str">
        <f t="shared" si="9"/>
        <v>Q3</v>
      </c>
      <c r="BL7" s="369" t="str">
        <f t="shared" si="9"/>
        <v>Q4</v>
      </c>
      <c r="BM7" s="369" t="str">
        <f t="shared" si="9"/>
        <v>Q4</v>
      </c>
      <c r="BN7" s="369" t="str">
        <f t="shared" si="9"/>
        <v>Q4</v>
      </c>
      <c r="BO7" s="369" t="str">
        <f t="shared" si="9"/>
        <v>Q1</v>
      </c>
      <c r="BP7" s="369" t="str">
        <f t="shared" si="9"/>
        <v>Q1</v>
      </c>
      <c r="BQ7" s="369" t="str">
        <f t="shared" si="9"/>
        <v>Q1</v>
      </c>
      <c r="BR7" s="369" t="str">
        <f t="shared" si="9"/>
        <v>Q2</v>
      </c>
      <c r="BS7" s="369" t="str">
        <f t="shared" si="9"/>
        <v>Q2</v>
      </c>
      <c r="BT7" s="369" t="str">
        <f t="shared" si="9"/>
        <v>Q2</v>
      </c>
      <c r="BU7" s="369" t="str">
        <f t="shared" si="9"/>
        <v>Q3</v>
      </c>
      <c r="BV7" s="369" t="str">
        <f t="shared" si="9"/>
        <v>Q3</v>
      </c>
      <c r="BW7" s="369" t="str">
        <f t="shared" si="9"/>
        <v>Q3</v>
      </c>
      <c r="BX7" s="369" t="str">
        <f t="shared" si="9"/>
        <v>Q4</v>
      </c>
      <c r="BY7" s="369" t="str">
        <f t="shared" si="9"/>
        <v>Q4</v>
      </c>
      <c r="BZ7" s="369" t="str">
        <f t="shared" si="9"/>
        <v>Q4</v>
      </c>
      <c r="CA7" s="50"/>
    </row>
    <row r="8" spans="1:79" s="533" customFormat="1" ht="35.1" customHeight="1">
      <c r="A8" s="51"/>
      <c r="B8" s="387"/>
      <c r="C8" s="386"/>
      <c r="D8" s="51"/>
      <c r="E8" s="526"/>
      <c r="F8" s="853"/>
      <c r="G8" s="398">
        <f>G6</f>
        <v>2023</v>
      </c>
      <c r="H8" s="398">
        <f>H6</f>
        <v>2024</v>
      </c>
      <c r="I8" s="398">
        <f>I6</f>
        <v>2025</v>
      </c>
      <c r="J8" s="398">
        <f>J6</f>
        <v>2026</v>
      </c>
      <c r="K8" s="172"/>
      <c r="L8" s="853"/>
      <c r="M8" s="397" t="str">
        <f t="shared" ref="M8:AB8" si="10">CONCATENATE(CONCATENATE(M$7," ",M$6))</f>
        <v>Q1 2023</v>
      </c>
      <c r="N8" s="397" t="str">
        <f t="shared" si="10"/>
        <v>Q2 2023</v>
      </c>
      <c r="O8" s="397" t="str">
        <f t="shared" si="10"/>
        <v>Q3 2023</v>
      </c>
      <c r="P8" s="397" t="str">
        <f t="shared" si="10"/>
        <v>Q4 2023</v>
      </c>
      <c r="Q8" s="397" t="str">
        <f t="shared" si="10"/>
        <v>Q1 2024</v>
      </c>
      <c r="R8" s="397" t="str">
        <f t="shared" si="10"/>
        <v>Q2 2024</v>
      </c>
      <c r="S8" s="397" t="str">
        <f t="shared" si="10"/>
        <v>Q3 2024</v>
      </c>
      <c r="T8" s="397" t="str">
        <f t="shared" si="10"/>
        <v>Q4 2024</v>
      </c>
      <c r="U8" s="397" t="str">
        <f t="shared" si="10"/>
        <v>Q1 2025</v>
      </c>
      <c r="V8" s="397" t="str">
        <f t="shared" si="10"/>
        <v>Q2 2025</v>
      </c>
      <c r="W8" s="397" t="str">
        <f t="shared" si="10"/>
        <v>Q3 2025</v>
      </c>
      <c r="X8" s="397" t="str">
        <f t="shared" si="10"/>
        <v>Q4 2025</v>
      </c>
      <c r="Y8" s="397" t="str">
        <f t="shared" si="10"/>
        <v>Q1 2026</v>
      </c>
      <c r="Z8" s="397" t="str">
        <f t="shared" si="10"/>
        <v>Q2 2026</v>
      </c>
      <c r="AA8" s="397" t="str">
        <f t="shared" si="10"/>
        <v>Q3 2026</v>
      </c>
      <c r="AB8" s="397" t="str">
        <f t="shared" si="10"/>
        <v>Q4 2026</v>
      </c>
      <c r="AC8" s="396"/>
      <c r="AD8" s="853"/>
      <c r="AE8" s="395">
        <f t="shared" ref="AE8:BZ8" si="11">AE5</f>
        <v>44957</v>
      </c>
      <c r="AF8" s="395">
        <f t="shared" si="11"/>
        <v>44985</v>
      </c>
      <c r="AG8" s="395">
        <f t="shared" si="11"/>
        <v>45016</v>
      </c>
      <c r="AH8" s="395">
        <f t="shared" si="11"/>
        <v>45046</v>
      </c>
      <c r="AI8" s="395">
        <f t="shared" si="11"/>
        <v>45077</v>
      </c>
      <c r="AJ8" s="395">
        <f t="shared" si="11"/>
        <v>45107</v>
      </c>
      <c r="AK8" s="395">
        <f t="shared" si="11"/>
        <v>45138</v>
      </c>
      <c r="AL8" s="395">
        <f t="shared" si="11"/>
        <v>45169</v>
      </c>
      <c r="AM8" s="395">
        <f t="shared" si="11"/>
        <v>45199</v>
      </c>
      <c r="AN8" s="395">
        <f t="shared" si="11"/>
        <v>45230</v>
      </c>
      <c r="AO8" s="395">
        <f t="shared" si="11"/>
        <v>45260</v>
      </c>
      <c r="AP8" s="395">
        <f>AR5</f>
        <v>45351</v>
      </c>
      <c r="AQ8" s="395">
        <f t="shared" si="11"/>
        <v>45322</v>
      </c>
      <c r="AR8" s="395">
        <f t="shared" si="11"/>
        <v>45351</v>
      </c>
      <c r="AS8" s="395">
        <f t="shared" si="11"/>
        <v>45382</v>
      </c>
      <c r="AT8" s="395">
        <f t="shared" si="11"/>
        <v>45412</v>
      </c>
      <c r="AU8" s="395">
        <f t="shared" si="11"/>
        <v>45443</v>
      </c>
      <c r="AV8" s="395">
        <f t="shared" si="11"/>
        <v>45473</v>
      </c>
      <c r="AW8" s="395">
        <f t="shared" si="11"/>
        <v>45504</v>
      </c>
      <c r="AX8" s="395">
        <f t="shared" si="11"/>
        <v>45535</v>
      </c>
      <c r="AY8" s="395">
        <f t="shared" si="11"/>
        <v>45565</v>
      </c>
      <c r="AZ8" s="395">
        <f t="shared" si="11"/>
        <v>45596</v>
      </c>
      <c r="BA8" s="395">
        <f t="shared" si="11"/>
        <v>45626</v>
      </c>
      <c r="BB8" s="395">
        <f t="shared" si="11"/>
        <v>45657</v>
      </c>
      <c r="BC8" s="395">
        <f t="shared" si="11"/>
        <v>45688</v>
      </c>
      <c r="BD8" s="395">
        <f t="shared" si="11"/>
        <v>45716</v>
      </c>
      <c r="BE8" s="395">
        <f t="shared" si="11"/>
        <v>45747</v>
      </c>
      <c r="BF8" s="395">
        <f t="shared" si="11"/>
        <v>45777</v>
      </c>
      <c r="BG8" s="395">
        <f t="shared" si="11"/>
        <v>45808</v>
      </c>
      <c r="BH8" s="395">
        <f t="shared" si="11"/>
        <v>45838</v>
      </c>
      <c r="BI8" s="395">
        <f t="shared" si="11"/>
        <v>45869</v>
      </c>
      <c r="BJ8" s="395">
        <f t="shared" si="11"/>
        <v>45900</v>
      </c>
      <c r="BK8" s="395">
        <f t="shared" si="11"/>
        <v>45930</v>
      </c>
      <c r="BL8" s="395">
        <f t="shared" si="11"/>
        <v>45961</v>
      </c>
      <c r="BM8" s="395">
        <f t="shared" si="11"/>
        <v>45991</v>
      </c>
      <c r="BN8" s="395">
        <f t="shared" si="11"/>
        <v>46022</v>
      </c>
      <c r="BO8" s="395">
        <f t="shared" si="11"/>
        <v>46053</v>
      </c>
      <c r="BP8" s="395">
        <f t="shared" si="11"/>
        <v>46081</v>
      </c>
      <c r="BQ8" s="395">
        <f t="shared" si="11"/>
        <v>46112</v>
      </c>
      <c r="BR8" s="395">
        <f t="shared" si="11"/>
        <v>46142</v>
      </c>
      <c r="BS8" s="395">
        <f t="shared" si="11"/>
        <v>46173</v>
      </c>
      <c r="BT8" s="395">
        <f t="shared" si="11"/>
        <v>46203</v>
      </c>
      <c r="BU8" s="395">
        <f t="shared" si="11"/>
        <v>46234</v>
      </c>
      <c r="BV8" s="395">
        <f t="shared" si="11"/>
        <v>46265</v>
      </c>
      <c r="BW8" s="395">
        <f t="shared" si="11"/>
        <v>46295</v>
      </c>
      <c r="BX8" s="395">
        <f t="shared" si="11"/>
        <v>46326</v>
      </c>
      <c r="BY8" s="395">
        <f t="shared" si="11"/>
        <v>46356</v>
      </c>
      <c r="BZ8" s="395">
        <f t="shared" si="11"/>
        <v>46387</v>
      </c>
      <c r="CA8" s="51"/>
    </row>
    <row r="9" spans="1:79" s="51" customFormat="1" ht="24">
      <c r="B9" s="632" t="s">
        <v>411</v>
      </c>
      <c r="C9" s="475"/>
      <c r="D9" s="475"/>
      <c r="E9" s="633"/>
      <c r="F9" s="359"/>
      <c r="G9" s="634"/>
      <c r="H9" s="634"/>
      <c r="I9" s="634"/>
      <c r="J9" s="634"/>
      <c r="L9" s="359"/>
      <c r="M9" s="634"/>
      <c r="N9" s="634"/>
      <c r="O9" s="634"/>
      <c r="P9" s="634"/>
      <c r="Q9" s="634"/>
      <c r="R9" s="634"/>
      <c r="S9" s="634"/>
      <c r="T9" s="634"/>
      <c r="U9" s="634"/>
      <c r="V9" s="634"/>
      <c r="W9" s="634"/>
      <c r="X9" s="634"/>
      <c r="Y9" s="634"/>
      <c r="Z9" s="634"/>
      <c r="AA9" s="634"/>
      <c r="AB9" s="634"/>
      <c r="AD9" s="359"/>
      <c r="AE9" s="634"/>
      <c r="AF9" s="634"/>
      <c r="AG9" s="634"/>
      <c r="AH9" s="634"/>
      <c r="AI9" s="634"/>
      <c r="AJ9" s="634"/>
      <c r="AK9" s="634"/>
      <c r="AL9" s="634"/>
      <c r="AM9" s="634"/>
      <c r="AN9" s="634"/>
      <c r="AO9" s="634"/>
      <c r="AP9" s="634"/>
      <c r="AQ9" s="634"/>
      <c r="AR9" s="634"/>
      <c r="AS9" s="634"/>
      <c r="AT9" s="634"/>
      <c r="AU9" s="634"/>
      <c r="AV9" s="634"/>
      <c r="AW9" s="634"/>
      <c r="AX9" s="634"/>
      <c r="AY9" s="634"/>
      <c r="AZ9" s="634"/>
      <c r="BA9" s="634"/>
      <c r="BB9" s="634"/>
      <c r="BC9" s="634"/>
      <c r="BD9" s="634"/>
      <c r="BE9" s="634"/>
      <c r="BF9" s="634"/>
      <c r="BG9" s="634"/>
      <c r="BH9" s="634"/>
      <c r="BI9" s="634"/>
      <c r="BJ9" s="634"/>
      <c r="BK9" s="634"/>
      <c r="BL9" s="634"/>
      <c r="BM9" s="634"/>
      <c r="BN9" s="634"/>
      <c r="BO9" s="634"/>
      <c r="BP9" s="634"/>
      <c r="BQ9" s="634"/>
      <c r="BR9" s="634"/>
      <c r="BS9" s="634"/>
      <c r="BT9" s="634"/>
      <c r="BU9" s="634"/>
      <c r="BV9" s="634"/>
      <c r="BW9" s="634"/>
      <c r="BX9" s="634"/>
      <c r="BY9" s="634"/>
      <c r="BZ9" s="634"/>
    </row>
    <row r="10" spans="1:79" s="51" customFormat="1" ht="15" outlineLevel="1">
      <c r="A10" s="50"/>
      <c r="B10" s="367"/>
      <c r="C10" s="523" t="s">
        <v>136</v>
      </c>
      <c r="D10" s="366"/>
      <c r="E10" s="638" t="s">
        <v>415</v>
      </c>
      <c r="F10" s="531"/>
      <c r="G10" s="385"/>
      <c r="H10" s="385"/>
      <c r="I10" s="385"/>
      <c r="J10" s="385"/>
      <c r="K10" s="385"/>
      <c r="L10" s="531"/>
      <c r="M10" s="385"/>
      <c r="N10" s="385"/>
      <c r="O10" s="385"/>
      <c r="P10" s="385"/>
      <c r="Q10" s="385"/>
      <c r="R10" s="385"/>
      <c r="S10" s="385"/>
      <c r="T10" s="385"/>
      <c r="U10" s="385"/>
      <c r="V10" s="385"/>
      <c r="W10" s="385"/>
      <c r="X10" s="385"/>
      <c r="Y10" s="385"/>
      <c r="Z10" s="385"/>
      <c r="AA10" s="385"/>
      <c r="AB10" s="385"/>
      <c r="AD10" s="531"/>
      <c r="AE10" s="384"/>
      <c r="AF10" s="384"/>
      <c r="AG10" s="384"/>
      <c r="AH10" s="384"/>
      <c r="AI10" s="384"/>
      <c r="AJ10" s="384"/>
      <c r="AK10" s="384"/>
      <c r="AL10" s="384"/>
      <c r="AM10" s="384"/>
      <c r="AN10" s="384"/>
      <c r="AO10" s="384"/>
      <c r="AP10" s="384"/>
      <c r="AQ10" s="384"/>
      <c r="AR10" s="384"/>
      <c r="AS10" s="384"/>
      <c r="AT10" s="384"/>
      <c r="AU10" s="384"/>
      <c r="AV10" s="384"/>
      <c r="AW10" s="384"/>
      <c r="AX10" s="384"/>
      <c r="AY10" s="384"/>
      <c r="AZ10" s="384"/>
      <c r="BA10" s="384"/>
      <c r="BB10" s="384"/>
      <c r="BC10" s="384"/>
      <c r="BD10" s="384"/>
      <c r="BE10" s="384"/>
      <c r="BF10" s="384"/>
      <c r="BG10" s="384"/>
      <c r="BH10" s="384"/>
      <c r="BI10" s="384"/>
      <c r="BJ10" s="384"/>
      <c r="BK10" s="384"/>
      <c r="BL10" s="384"/>
      <c r="BM10" s="384"/>
      <c r="BN10" s="384"/>
      <c r="BO10" s="384"/>
      <c r="BP10" s="384"/>
      <c r="BQ10" s="384"/>
      <c r="BR10" s="384"/>
      <c r="BS10" s="384"/>
      <c r="BT10" s="384"/>
      <c r="BU10" s="384"/>
      <c r="BV10" s="384"/>
      <c r="BW10" s="384"/>
      <c r="BX10" s="384"/>
      <c r="BY10" s="384"/>
      <c r="BZ10" s="384"/>
    </row>
    <row r="11" spans="1:79" s="51" customFormat="1" ht="15" outlineLevel="1">
      <c r="A11" s="50"/>
      <c r="B11" s="367"/>
      <c r="C11" s="370"/>
      <c r="D11" s="383" t="s">
        <v>436</v>
      </c>
      <c r="E11" s="369"/>
      <c r="F11" s="531"/>
      <c r="G11" s="385"/>
      <c r="H11" s="385"/>
      <c r="I11" s="385"/>
      <c r="J11" s="385"/>
      <c r="K11" s="385"/>
      <c r="L11" s="531"/>
      <c r="M11" s="385"/>
      <c r="N11" s="385"/>
      <c r="O11" s="385"/>
      <c r="P11" s="385"/>
      <c r="Q11" s="385"/>
      <c r="R11" s="385"/>
      <c r="S11" s="385"/>
      <c r="T11" s="385"/>
      <c r="U11" s="385"/>
      <c r="V11" s="385"/>
      <c r="W11" s="385"/>
      <c r="X11" s="385"/>
      <c r="Y11" s="385"/>
      <c r="Z11" s="385"/>
      <c r="AA11" s="385"/>
      <c r="AB11" s="385"/>
      <c r="AD11" s="531"/>
      <c r="AE11" s="384"/>
      <c r="AF11" s="384"/>
      <c r="AG11" s="384"/>
      <c r="AH11" s="384"/>
      <c r="AI11" s="384"/>
      <c r="AJ11" s="384"/>
      <c r="AK11" s="384"/>
      <c r="AL11" s="384"/>
      <c r="AM11" s="384"/>
      <c r="AN11" s="384"/>
      <c r="AO11" s="384"/>
      <c r="AP11" s="384"/>
      <c r="AQ11" s="384"/>
      <c r="AR11" s="384"/>
      <c r="AS11" s="384"/>
      <c r="AT11" s="384"/>
      <c r="AU11" s="384"/>
      <c r="AV11" s="384"/>
      <c r="AW11" s="384"/>
      <c r="AX11" s="384"/>
      <c r="AY11" s="384"/>
      <c r="AZ11" s="384"/>
      <c r="BA11" s="384"/>
      <c r="BB11" s="384"/>
      <c r="BC11" s="384"/>
      <c r="BD11" s="384"/>
      <c r="BE11" s="384"/>
      <c r="BF11" s="384"/>
      <c r="BG11" s="384"/>
      <c r="BH11" s="384"/>
      <c r="BI11" s="384"/>
      <c r="BJ11" s="384"/>
      <c r="BK11" s="384"/>
      <c r="BL11" s="384"/>
      <c r="BM11" s="384"/>
      <c r="BN11" s="384"/>
      <c r="BO11" s="384"/>
      <c r="BP11" s="384"/>
      <c r="BQ11" s="384"/>
      <c r="BR11" s="384"/>
      <c r="BS11" s="384"/>
      <c r="BT11" s="384"/>
      <c r="BU11" s="384"/>
      <c r="BV11" s="384"/>
      <c r="BW11" s="384"/>
      <c r="BX11" s="384"/>
      <c r="BY11" s="384"/>
      <c r="BZ11" s="384"/>
    </row>
    <row r="12" spans="1:79" s="51" customFormat="1" ht="15" outlineLevel="2">
      <c r="A12" s="50"/>
      <c r="B12" s="367"/>
      <c r="C12" s="370"/>
      <c r="D12" s="636">
        <v>1</v>
      </c>
      <c r="E12" s="532">
        <v>0.5</v>
      </c>
      <c r="F12" s="531"/>
      <c r="G12" s="385"/>
      <c r="H12" s="385"/>
      <c r="I12" s="385"/>
      <c r="J12" s="385"/>
      <c r="K12" s="385"/>
      <c r="L12" s="531"/>
      <c r="M12" s="385"/>
      <c r="N12" s="385"/>
      <c r="O12" s="385"/>
      <c r="P12" s="385"/>
      <c r="Q12" s="385"/>
      <c r="R12" s="385"/>
      <c r="S12" s="385"/>
      <c r="T12" s="385"/>
      <c r="U12" s="385"/>
      <c r="V12" s="385"/>
      <c r="W12" s="385"/>
      <c r="X12" s="385"/>
      <c r="Y12" s="385"/>
      <c r="Z12" s="385"/>
      <c r="AA12" s="385"/>
      <c r="AB12" s="385"/>
      <c r="AD12" s="531"/>
      <c r="AE12" s="384"/>
      <c r="AF12" s="384"/>
      <c r="AG12" s="384"/>
      <c r="AH12" s="384"/>
      <c r="AI12" s="384"/>
      <c r="AJ12" s="384"/>
      <c r="AK12" s="384"/>
      <c r="AL12" s="384"/>
      <c r="AM12" s="384"/>
      <c r="AN12" s="384"/>
      <c r="AO12" s="384"/>
      <c r="AP12" s="384"/>
      <c r="AQ12" s="384"/>
      <c r="AR12" s="384"/>
      <c r="AS12" s="384"/>
      <c r="AT12" s="384"/>
      <c r="AU12" s="384"/>
      <c r="AV12" s="384"/>
      <c r="AW12" s="384"/>
      <c r="AX12" s="384"/>
      <c r="AY12" s="384"/>
      <c r="AZ12" s="384"/>
      <c r="BA12" s="384"/>
      <c r="BB12" s="384"/>
      <c r="BC12" s="384"/>
      <c r="BD12" s="384"/>
      <c r="BE12" s="384"/>
      <c r="BF12" s="384"/>
      <c r="BG12" s="384"/>
      <c r="BH12" s="384"/>
      <c r="BI12" s="384"/>
      <c r="BJ12" s="384"/>
      <c r="BK12" s="384"/>
      <c r="BL12" s="384"/>
      <c r="BM12" s="384"/>
      <c r="BN12" s="384"/>
      <c r="BO12" s="384"/>
      <c r="BP12" s="384"/>
      <c r="BQ12" s="384"/>
      <c r="BR12" s="384"/>
      <c r="BS12" s="384"/>
      <c r="BT12" s="384"/>
      <c r="BU12" s="384"/>
      <c r="BV12" s="384"/>
      <c r="BW12" s="384"/>
      <c r="BX12" s="384"/>
      <c r="BY12" s="384"/>
      <c r="BZ12" s="384"/>
    </row>
    <row r="13" spans="1:79" s="51" customFormat="1" ht="15" outlineLevel="2">
      <c r="A13" s="50"/>
      <c r="B13" s="367"/>
      <c r="C13" s="370"/>
      <c r="D13" s="636">
        <f>D12+1</f>
        <v>2</v>
      </c>
      <c r="E13" s="532">
        <v>0.25</v>
      </c>
      <c r="F13" s="531"/>
      <c r="G13" s="385"/>
      <c r="H13" s="385"/>
      <c r="I13" s="385"/>
      <c r="J13" s="385"/>
      <c r="K13" s="385"/>
      <c r="L13" s="531"/>
      <c r="M13" s="385"/>
      <c r="N13" s="385"/>
      <c r="O13" s="385"/>
      <c r="P13" s="385"/>
      <c r="Q13" s="385"/>
      <c r="R13" s="385"/>
      <c r="S13" s="385"/>
      <c r="T13" s="385"/>
      <c r="U13" s="385"/>
      <c r="V13" s="385"/>
      <c r="W13" s="385"/>
      <c r="X13" s="385"/>
      <c r="Y13" s="385"/>
      <c r="Z13" s="385"/>
      <c r="AA13" s="385"/>
      <c r="AB13" s="385"/>
      <c r="AD13" s="531"/>
      <c r="AE13" s="384"/>
      <c r="AF13" s="384"/>
      <c r="AG13" s="384"/>
      <c r="AH13" s="384"/>
      <c r="AI13" s="384"/>
      <c r="AJ13" s="384"/>
      <c r="AK13" s="384"/>
      <c r="AL13" s="384"/>
      <c r="AM13" s="384"/>
      <c r="AN13" s="384"/>
      <c r="AO13" s="384"/>
      <c r="AP13" s="384"/>
      <c r="AQ13" s="384"/>
      <c r="AR13" s="384"/>
      <c r="AS13" s="384"/>
      <c r="AT13" s="384"/>
      <c r="AU13" s="384"/>
      <c r="AV13" s="384"/>
      <c r="AW13" s="384"/>
      <c r="AX13" s="384"/>
      <c r="AY13" s="384"/>
      <c r="AZ13" s="384"/>
      <c r="BA13" s="384"/>
      <c r="BB13" s="384"/>
      <c r="BC13" s="384"/>
      <c r="BD13" s="384"/>
      <c r="BE13" s="384"/>
      <c r="BF13" s="384"/>
      <c r="BG13" s="384"/>
      <c r="BH13" s="384"/>
      <c r="BI13" s="384"/>
      <c r="BJ13" s="384"/>
      <c r="BK13" s="384"/>
      <c r="BL13" s="384"/>
      <c r="BM13" s="384"/>
      <c r="BN13" s="384"/>
      <c r="BO13" s="384"/>
      <c r="BP13" s="384"/>
      <c r="BQ13" s="384"/>
      <c r="BR13" s="384"/>
      <c r="BS13" s="384"/>
      <c r="BT13" s="384"/>
      <c r="BU13" s="384"/>
      <c r="BV13" s="384"/>
      <c r="BW13" s="384"/>
      <c r="BX13" s="384"/>
      <c r="BY13" s="384"/>
      <c r="BZ13" s="384"/>
    </row>
    <row r="14" spans="1:79" s="51" customFormat="1" ht="15" outlineLevel="2">
      <c r="A14" s="50"/>
      <c r="B14" s="367"/>
      <c r="C14" s="370"/>
      <c r="D14" s="636">
        <f t="shared" ref="D14:D16" si="12">D13+1</f>
        <v>3</v>
      </c>
      <c r="E14" s="532">
        <v>0.25</v>
      </c>
      <c r="F14" s="531"/>
      <c r="G14" s="385"/>
      <c r="H14" s="385"/>
      <c r="I14" s="385"/>
      <c r="J14" s="385"/>
      <c r="K14" s="385"/>
      <c r="L14" s="531"/>
      <c r="M14" s="385"/>
      <c r="N14" s="385"/>
      <c r="O14" s="385"/>
      <c r="P14" s="385"/>
      <c r="Q14" s="385"/>
      <c r="R14" s="385"/>
      <c r="S14" s="385"/>
      <c r="T14" s="385"/>
      <c r="U14" s="385"/>
      <c r="V14" s="385"/>
      <c r="W14" s="385"/>
      <c r="X14" s="385"/>
      <c r="Y14" s="385"/>
      <c r="Z14" s="385"/>
      <c r="AA14" s="385"/>
      <c r="AB14" s="385"/>
      <c r="AD14" s="531"/>
      <c r="AE14" s="384"/>
      <c r="AF14" s="384"/>
      <c r="AG14" s="384"/>
      <c r="AH14" s="384"/>
      <c r="AI14" s="384"/>
      <c r="AJ14" s="384"/>
      <c r="AK14" s="384"/>
      <c r="AL14" s="384"/>
      <c r="AM14" s="384"/>
      <c r="AN14" s="384"/>
      <c r="AO14" s="384"/>
      <c r="AP14" s="384"/>
      <c r="AQ14" s="384"/>
      <c r="AR14" s="384"/>
      <c r="AS14" s="384"/>
      <c r="AT14" s="384"/>
      <c r="AU14" s="384"/>
      <c r="AV14" s="384"/>
      <c r="AW14" s="384"/>
      <c r="AX14" s="384"/>
      <c r="AY14" s="384"/>
      <c r="AZ14" s="384"/>
      <c r="BA14" s="384"/>
      <c r="BB14" s="384"/>
      <c r="BC14" s="384"/>
      <c r="BD14" s="384"/>
      <c r="BE14" s="384"/>
      <c r="BF14" s="384"/>
      <c r="BG14" s="384"/>
      <c r="BH14" s="384"/>
      <c r="BI14" s="384"/>
      <c r="BJ14" s="384"/>
      <c r="BK14" s="384"/>
      <c r="BL14" s="384"/>
      <c r="BM14" s="384"/>
      <c r="BN14" s="384"/>
      <c r="BO14" s="384"/>
      <c r="BP14" s="384"/>
      <c r="BQ14" s="384"/>
      <c r="BR14" s="384"/>
      <c r="BS14" s="384"/>
      <c r="BT14" s="384"/>
      <c r="BU14" s="384"/>
      <c r="BV14" s="384"/>
      <c r="BW14" s="384"/>
      <c r="BX14" s="384"/>
      <c r="BY14" s="384"/>
      <c r="BZ14" s="384"/>
    </row>
    <row r="15" spans="1:79" s="51" customFormat="1" ht="15" outlineLevel="2">
      <c r="A15" s="50"/>
      <c r="B15" s="367"/>
      <c r="C15" s="370"/>
      <c r="D15" s="636">
        <f t="shared" si="12"/>
        <v>4</v>
      </c>
      <c r="E15" s="532">
        <v>0</v>
      </c>
      <c r="F15" s="531"/>
      <c r="G15" s="385"/>
      <c r="H15" s="385"/>
      <c r="I15" s="385"/>
      <c r="J15" s="385"/>
      <c r="K15" s="385"/>
      <c r="L15" s="531"/>
      <c r="M15" s="385"/>
      <c r="N15" s="385"/>
      <c r="O15" s="385"/>
      <c r="P15" s="385"/>
      <c r="Q15" s="385"/>
      <c r="R15" s="385"/>
      <c r="S15" s="385"/>
      <c r="T15" s="385"/>
      <c r="U15" s="385"/>
      <c r="V15" s="385"/>
      <c r="W15" s="385"/>
      <c r="X15" s="385"/>
      <c r="Y15" s="385"/>
      <c r="Z15" s="385"/>
      <c r="AA15" s="385"/>
      <c r="AB15" s="385"/>
      <c r="AD15" s="531"/>
      <c r="AE15" s="384"/>
      <c r="AF15" s="384"/>
      <c r="AG15" s="384"/>
      <c r="AH15" s="384"/>
      <c r="AI15" s="384"/>
      <c r="AJ15" s="384"/>
      <c r="AK15" s="384"/>
      <c r="AL15" s="384"/>
      <c r="AM15" s="384"/>
      <c r="AN15" s="384"/>
      <c r="AO15" s="384"/>
      <c r="AP15" s="384"/>
      <c r="AQ15" s="384"/>
      <c r="AR15" s="384"/>
      <c r="AS15" s="384"/>
      <c r="AT15" s="384"/>
      <c r="AU15" s="384"/>
      <c r="AV15" s="384"/>
      <c r="AW15" s="384"/>
      <c r="AX15" s="384"/>
      <c r="AY15" s="384"/>
      <c r="AZ15" s="384"/>
      <c r="BA15" s="384"/>
      <c r="BB15" s="384"/>
      <c r="BC15" s="384"/>
      <c r="BD15" s="384"/>
      <c r="BE15" s="384"/>
      <c r="BF15" s="384"/>
      <c r="BG15" s="384"/>
      <c r="BH15" s="384"/>
      <c r="BI15" s="384"/>
      <c r="BJ15" s="384"/>
      <c r="BK15" s="384"/>
      <c r="BL15" s="384"/>
      <c r="BM15" s="384"/>
      <c r="BN15" s="384"/>
      <c r="BO15" s="384"/>
      <c r="BP15" s="384"/>
      <c r="BQ15" s="384"/>
      <c r="BR15" s="384"/>
      <c r="BS15" s="384"/>
      <c r="BT15" s="384"/>
      <c r="BU15" s="384"/>
      <c r="BV15" s="384"/>
      <c r="BW15" s="384"/>
      <c r="BX15" s="384"/>
      <c r="BY15" s="384"/>
      <c r="BZ15" s="384"/>
    </row>
    <row r="16" spans="1:79" s="51" customFormat="1" ht="15" outlineLevel="2">
      <c r="A16" s="50"/>
      <c r="B16" s="367"/>
      <c r="C16" s="370"/>
      <c r="D16" s="636">
        <f t="shared" si="12"/>
        <v>5</v>
      </c>
      <c r="E16" s="532">
        <v>0</v>
      </c>
      <c r="F16" s="531"/>
      <c r="G16" s="385"/>
      <c r="H16" s="385"/>
      <c r="I16" s="385"/>
      <c r="J16" s="385"/>
      <c r="K16" s="385"/>
      <c r="L16" s="531"/>
      <c r="M16" s="385"/>
      <c r="N16" s="385"/>
      <c r="O16" s="385"/>
      <c r="P16" s="385"/>
      <c r="Q16" s="385"/>
      <c r="R16" s="385"/>
      <c r="S16" s="385"/>
      <c r="T16" s="385"/>
      <c r="U16" s="385"/>
      <c r="V16" s="385"/>
      <c r="W16" s="385"/>
      <c r="X16" s="385"/>
      <c r="Y16" s="385"/>
      <c r="Z16" s="385"/>
      <c r="AA16" s="385"/>
      <c r="AB16" s="385"/>
      <c r="AD16" s="531"/>
      <c r="AE16" s="384"/>
      <c r="AF16" s="384"/>
      <c r="AG16" s="384"/>
      <c r="AH16" s="384"/>
      <c r="AI16" s="384"/>
      <c r="AJ16" s="384"/>
      <c r="AK16" s="384"/>
      <c r="AL16" s="384"/>
      <c r="AM16" s="384"/>
      <c r="AN16" s="384"/>
      <c r="AO16" s="384"/>
      <c r="AP16" s="384"/>
      <c r="AQ16" s="384"/>
      <c r="AR16" s="384"/>
      <c r="AS16" s="384"/>
      <c r="AT16" s="384"/>
      <c r="AU16" s="384"/>
      <c r="AV16" s="384"/>
      <c r="AW16" s="384"/>
      <c r="AX16" s="384"/>
      <c r="AY16" s="384"/>
      <c r="AZ16" s="384"/>
      <c r="BA16" s="384"/>
      <c r="BB16" s="384"/>
      <c r="BC16" s="384"/>
      <c r="BD16" s="384"/>
      <c r="BE16" s="384"/>
      <c r="BF16" s="384"/>
      <c r="BG16" s="384"/>
      <c r="BH16" s="384"/>
      <c r="BI16" s="384"/>
      <c r="BJ16" s="384"/>
      <c r="BK16" s="384"/>
      <c r="BL16" s="384"/>
      <c r="BM16" s="384"/>
      <c r="BN16" s="384"/>
      <c r="BO16" s="384"/>
      <c r="BP16" s="384"/>
      <c r="BQ16" s="384"/>
      <c r="BR16" s="384"/>
      <c r="BS16" s="384"/>
      <c r="BT16" s="384"/>
      <c r="BU16" s="384"/>
      <c r="BV16" s="384"/>
      <c r="BW16" s="384"/>
      <c r="BX16" s="384"/>
      <c r="BY16" s="384"/>
      <c r="BZ16" s="384"/>
    </row>
    <row r="17" spans="1:78" s="51" customFormat="1" ht="15" outlineLevel="1">
      <c r="A17" s="50"/>
      <c r="B17" s="367"/>
      <c r="C17" s="370"/>
      <c r="D17" s="383" t="s">
        <v>437</v>
      </c>
      <c r="E17" s="369"/>
      <c r="F17" s="531"/>
      <c r="G17" s="385"/>
      <c r="H17" s="385"/>
      <c r="I17" s="385"/>
      <c r="J17" s="385"/>
      <c r="K17" s="385"/>
      <c r="L17" s="531"/>
      <c r="M17" s="385"/>
      <c r="N17" s="385"/>
      <c r="O17" s="385"/>
      <c r="P17" s="385"/>
      <c r="Q17" s="385"/>
      <c r="R17" s="385"/>
      <c r="S17" s="385"/>
      <c r="T17" s="385"/>
      <c r="U17" s="385"/>
      <c r="V17" s="385"/>
      <c r="W17" s="385"/>
      <c r="X17" s="385"/>
      <c r="Y17" s="385"/>
      <c r="Z17" s="385"/>
      <c r="AA17" s="385"/>
      <c r="AB17" s="385"/>
      <c r="AD17" s="531"/>
      <c r="AE17" s="384"/>
      <c r="AF17" s="384"/>
      <c r="AG17" s="384"/>
      <c r="AH17" s="384"/>
      <c r="AI17" s="384"/>
      <c r="AJ17" s="384"/>
      <c r="AK17" s="384"/>
      <c r="AL17" s="384"/>
      <c r="AM17" s="384"/>
      <c r="AN17" s="384"/>
      <c r="AO17" s="384"/>
      <c r="AP17" s="384"/>
      <c r="AQ17" s="384"/>
      <c r="AR17" s="384"/>
      <c r="AS17" s="384"/>
      <c r="AT17" s="384"/>
      <c r="AU17" s="384"/>
      <c r="AV17" s="384"/>
      <c r="AW17" s="384"/>
      <c r="AX17" s="384"/>
      <c r="AY17" s="384"/>
      <c r="AZ17" s="384"/>
      <c r="BA17" s="384"/>
      <c r="BB17" s="384"/>
      <c r="BC17" s="384"/>
      <c r="BD17" s="384"/>
      <c r="BE17" s="384"/>
      <c r="BF17" s="384"/>
      <c r="BG17" s="384"/>
      <c r="BH17" s="384"/>
      <c r="BI17" s="384"/>
      <c r="BJ17" s="384"/>
      <c r="BK17" s="384"/>
      <c r="BL17" s="384"/>
      <c r="BM17" s="384"/>
      <c r="BN17" s="384"/>
      <c r="BO17" s="384"/>
      <c r="BP17" s="384"/>
      <c r="BQ17" s="384"/>
      <c r="BR17" s="384"/>
      <c r="BS17" s="384"/>
      <c r="BT17" s="384"/>
      <c r="BU17" s="384"/>
      <c r="BV17" s="384"/>
      <c r="BW17" s="384"/>
      <c r="BX17" s="384"/>
      <c r="BY17" s="384"/>
      <c r="BZ17" s="384"/>
    </row>
    <row r="18" spans="1:78" s="51" customFormat="1" ht="15" outlineLevel="2">
      <c r="A18" s="50"/>
      <c r="B18" s="367"/>
      <c r="C18" s="370"/>
      <c r="D18" s="636">
        <v>0</v>
      </c>
      <c r="E18" s="532">
        <v>0</v>
      </c>
      <c r="F18" s="531"/>
      <c r="G18" s="385"/>
      <c r="H18" s="385"/>
      <c r="I18" s="385"/>
      <c r="J18" s="385"/>
      <c r="K18" s="385"/>
      <c r="L18" s="531"/>
      <c r="M18" s="385"/>
      <c r="N18" s="385"/>
      <c r="O18" s="385"/>
      <c r="P18" s="385"/>
      <c r="Q18" s="385"/>
      <c r="R18" s="385"/>
      <c r="S18" s="385"/>
      <c r="T18" s="385"/>
      <c r="U18" s="385"/>
      <c r="V18" s="385"/>
      <c r="W18" s="385"/>
      <c r="X18" s="385"/>
      <c r="Y18" s="385"/>
      <c r="Z18" s="385"/>
      <c r="AA18" s="385"/>
      <c r="AB18" s="385"/>
      <c r="AD18" s="531"/>
      <c r="AE18" s="384"/>
      <c r="AF18" s="384"/>
      <c r="AG18" s="384"/>
      <c r="AH18" s="384"/>
      <c r="AI18" s="384"/>
      <c r="AJ18" s="384"/>
      <c r="AK18" s="384"/>
      <c r="AL18" s="384"/>
      <c r="AM18" s="384"/>
      <c r="AN18" s="384"/>
      <c r="AO18" s="384"/>
      <c r="AP18" s="384"/>
      <c r="AQ18" s="384"/>
      <c r="AR18" s="384"/>
      <c r="AS18" s="384"/>
      <c r="AT18" s="384"/>
      <c r="AU18" s="384"/>
      <c r="AV18" s="384"/>
      <c r="AW18" s="384"/>
      <c r="AX18" s="384"/>
      <c r="AY18" s="384"/>
      <c r="AZ18" s="384"/>
      <c r="BA18" s="384"/>
      <c r="BB18" s="384"/>
      <c r="BC18" s="384"/>
      <c r="BD18" s="384"/>
      <c r="BE18" s="384"/>
      <c r="BF18" s="384"/>
      <c r="BG18" s="384"/>
      <c r="BH18" s="384"/>
      <c r="BI18" s="384"/>
      <c r="BJ18" s="384"/>
      <c r="BK18" s="384"/>
      <c r="BL18" s="384"/>
      <c r="BM18" s="384"/>
      <c r="BN18" s="384"/>
      <c r="BO18" s="384"/>
      <c r="BP18" s="384"/>
      <c r="BQ18" s="384"/>
      <c r="BR18" s="384"/>
      <c r="BS18" s="384"/>
      <c r="BT18" s="384"/>
      <c r="BU18" s="384"/>
      <c r="BV18" s="384"/>
      <c r="BW18" s="384"/>
      <c r="BX18" s="384"/>
      <c r="BY18" s="384"/>
      <c r="BZ18" s="384"/>
    </row>
    <row r="19" spans="1:78" s="51" customFormat="1" ht="15" outlineLevel="2">
      <c r="A19" s="50"/>
      <c r="B19" s="367"/>
      <c r="C19" s="370"/>
      <c r="D19" s="636">
        <v>1</v>
      </c>
      <c r="E19" s="532">
        <v>0.5</v>
      </c>
      <c r="F19" s="531"/>
      <c r="G19" s="385"/>
      <c r="H19" s="385"/>
      <c r="I19" s="385"/>
      <c r="J19" s="385"/>
      <c r="K19" s="385"/>
      <c r="L19" s="531"/>
      <c r="M19" s="385"/>
      <c r="N19" s="385"/>
      <c r="O19" s="385"/>
      <c r="P19" s="385"/>
      <c r="Q19" s="385"/>
      <c r="R19" s="385"/>
      <c r="S19" s="385"/>
      <c r="T19" s="385"/>
      <c r="U19" s="385"/>
      <c r="V19" s="385"/>
      <c r="W19" s="385"/>
      <c r="X19" s="385"/>
      <c r="Y19" s="385"/>
      <c r="Z19" s="385"/>
      <c r="AA19" s="385"/>
      <c r="AB19" s="385"/>
      <c r="AD19" s="531"/>
      <c r="AE19" s="384"/>
      <c r="AF19" s="384"/>
      <c r="AG19" s="384"/>
      <c r="AH19" s="384"/>
      <c r="AI19" s="384"/>
      <c r="AJ19" s="384"/>
      <c r="AK19" s="384"/>
      <c r="AL19" s="384"/>
      <c r="AM19" s="384"/>
      <c r="AN19" s="384"/>
      <c r="AO19" s="384"/>
      <c r="AP19" s="384"/>
      <c r="AQ19" s="384"/>
      <c r="AR19" s="384"/>
      <c r="AS19" s="384"/>
      <c r="AT19" s="384"/>
      <c r="AU19" s="384"/>
      <c r="AV19" s="384"/>
      <c r="AW19" s="384"/>
      <c r="AX19" s="384"/>
      <c r="AY19" s="384"/>
      <c r="AZ19" s="384"/>
      <c r="BA19" s="384"/>
      <c r="BB19" s="384"/>
      <c r="BC19" s="384"/>
      <c r="BD19" s="384"/>
      <c r="BE19" s="384"/>
      <c r="BF19" s="384"/>
      <c r="BG19" s="384"/>
      <c r="BH19" s="384"/>
      <c r="BI19" s="384"/>
      <c r="BJ19" s="384"/>
      <c r="BK19" s="384"/>
      <c r="BL19" s="384"/>
      <c r="BM19" s="384"/>
      <c r="BN19" s="384"/>
      <c r="BO19" s="384"/>
      <c r="BP19" s="384"/>
      <c r="BQ19" s="384"/>
      <c r="BR19" s="384"/>
      <c r="BS19" s="384"/>
      <c r="BT19" s="384"/>
      <c r="BU19" s="384"/>
      <c r="BV19" s="384"/>
      <c r="BW19" s="384"/>
      <c r="BX19" s="384"/>
      <c r="BY19" s="384"/>
      <c r="BZ19" s="384"/>
    </row>
    <row r="20" spans="1:78" s="51" customFormat="1" ht="15" outlineLevel="2">
      <c r="A20" s="50"/>
      <c r="B20" s="367"/>
      <c r="C20" s="370"/>
      <c r="D20" s="636">
        <v>2</v>
      </c>
      <c r="E20" s="532">
        <v>0.5</v>
      </c>
      <c r="F20" s="531"/>
      <c r="G20" s="385"/>
      <c r="H20" s="385"/>
      <c r="I20" s="385"/>
      <c r="J20" s="385"/>
      <c r="K20" s="385"/>
      <c r="L20" s="531"/>
      <c r="M20" s="385"/>
      <c r="N20" s="385"/>
      <c r="O20" s="385"/>
      <c r="P20" s="385"/>
      <c r="Q20" s="385"/>
      <c r="R20" s="385"/>
      <c r="S20" s="385"/>
      <c r="T20" s="385"/>
      <c r="U20" s="385"/>
      <c r="V20" s="385"/>
      <c r="W20" s="385"/>
      <c r="X20" s="385"/>
      <c r="Y20" s="385"/>
      <c r="Z20" s="385"/>
      <c r="AA20" s="385"/>
      <c r="AB20" s="385"/>
      <c r="AD20" s="531"/>
      <c r="AE20" s="384"/>
      <c r="AF20" s="384"/>
      <c r="AG20" s="384"/>
      <c r="AH20" s="384"/>
      <c r="AI20" s="384"/>
      <c r="AJ20" s="384"/>
      <c r="AK20" s="384"/>
      <c r="AL20" s="384"/>
      <c r="AM20" s="384"/>
      <c r="AN20" s="384"/>
      <c r="AO20" s="384"/>
      <c r="AP20" s="384"/>
      <c r="AQ20" s="384"/>
      <c r="AR20" s="384"/>
      <c r="AS20" s="384"/>
      <c r="AT20" s="384"/>
      <c r="AU20" s="384"/>
      <c r="AV20" s="384"/>
      <c r="AW20" s="384"/>
      <c r="AX20" s="384"/>
      <c r="AY20" s="384"/>
      <c r="AZ20" s="384"/>
      <c r="BA20" s="384"/>
      <c r="BB20" s="384"/>
      <c r="BC20" s="384"/>
      <c r="BD20" s="384"/>
      <c r="BE20" s="384"/>
      <c r="BF20" s="384"/>
      <c r="BG20" s="384"/>
      <c r="BH20" s="384"/>
      <c r="BI20" s="384"/>
      <c r="BJ20" s="384"/>
      <c r="BK20" s="384"/>
      <c r="BL20" s="384"/>
      <c r="BM20" s="384"/>
      <c r="BN20" s="384"/>
      <c r="BO20" s="384"/>
      <c r="BP20" s="384"/>
      <c r="BQ20" s="384"/>
      <c r="BR20" s="384"/>
      <c r="BS20" s="384"/>
      <c r="BT20" s="384"/>
      <c r="BU20" s="384"/>
      <c r="BV20" s="384"/>
      <c r="BW20" s="384"/>
      <c r="BX20" s="384"/>
      <c r="BY20" s="384"/>
      <c r="BZ20" s="384"/>
    </row>
    <row r="21" spans="1:78" s="51" customFormat="1" ht="15" outlineLevel="2">
      <c r="A21" s="50"/>
      <c r="B21" s="367"/>
      <c r="C21" s="370"/>
      <c r="D21" s="636">
        <v>3</v>
      </c>
      <c r="E21" s="532">
        <v>0</v>
      </c>
      <c r="F21" s="531"/>
      <c r="G21" s="385"/>
      <c r="H21" s="385"/>
      <c r="I21" s="385"/>
      <c r="J21" s="385"/>
      <c r="K21" s="385"/>
      <c r="L21" s="531"/>
      <c r="M21" s="385"/>
      <c r="N21" s="385"/>
      <c r="O21" s="385"/>
      <c r="P21" s="385"/>
      <c r="Q21" s="385"/>
      <c r="R21" s="385"/>
      <c r="S21" s="385"/>
      <c r="T21" s="385"/>
      <c r="U21" s="385"/>
      <c r="V21" s="385"/>
      <c r="W21" s="385"/>
      <c r="X21" s="385"/>
      <c r="Y21" s="385"/>
      <c r="Z21" s="385"/>
      <c r="AA21" s="385"/>
      <c r="AB21" s="385"/>
      <c r="AD21" s="531"/>
      <c r="AE21" s="384"/>
      <c r="AF21" s="384"/>
      <c r="AG21" s="384"/>
      <c r="AH21" s="384"/>
      <c r="AI21" s="384"/>
      <c r="AJ21" s="384"/>
      <c r="AK21" s="384"/>
      <c r="AL21" s="384"/>
      <c r="AM21" s="384"/>
      <c r="AN21" s="384"/>
      <c r="AO21" s="384"/>
      <c r="AP21" s="384"/>
      <c r="AQ21" s="384"/>
      <c r="AR21" s="384"/>
      <c r="AS21" s="384"/>
      <c r="AT21" s="384"/>
      <c r="AU21" s="384"/>
      <c r="AV21" s="384"/>
      <c r="AW21" s="384"/>
      <c r="AX21" s="384"/>
      <c r="AY21" s="384"/>
      <c r="AZ21" s="384"/>
      <c r="BA21" s="384"/>
      <c r="BB21" s="384"/>
      <c r="BC21" s="384"/>
      <c r="BD21" s="384"/>
      <c r="BE21" s="384"/>
      <c r="BF21" s="384"/>
      <c r="BG21" s="384"/>
      <c r="BH21" s="384"/>
      <c r="BI21" s="384"/>
      <c r="BJ21" s="384"/>
      <c r="BK21" s="384"/>
      <c r="BL21" s="384"/>
      <c r="BM21" s="384"/>
      <c r="BN21" s="384"/>
      <c r="BO21" s="384"/>
      <c r="BP21" s="384"/>
      <c r="BQ21" s="384"/>
      <c r="BR21" s="384"/>
      <c r="BS21" s="384"/>
      <c r="BT21" s="384"/>
      <c r="BU21" s="384"/>
      <c r="BV21" s="384"/>
      <c r="BW21" s="384"/>
      <c r="BX21" s="384"/>
      <c r="BY21" s="384"/>
      <c r="BZ21" s="384"/>
    </row>
    <row r="22" spans="1:78" s="51" customFormat="1" ht="15" outlineLevel="2">
      <c r="A22" s="50"/>
      <c r="B22" s="367"/>
      <c r="C22" s="370"/>
      <c r="D22" s="636">
        <v>4</v>
      </c>
      <c r="E22" s="532">
        <v>0</v>
      </c>
      <c r="F22" s="531"/>
      <c r="G22" s="385"/>
      <c r="H22" s="385"/>
      <c r="I22" s="385"/>
      <c r="J22" s="385"/>
      <c r="K22" s="385"/>
      <c r="L22" s="531"/>
      <c r="M22" s="385"/>
      <c r="N22" s="385"/>
      <c r="O22" s="385"/>
      <c r="P22" s="385"/>
      <c r="Q22" s="385"/>
      <c r="R22" s="385"/>
      <c r="S22" s="385"/>
      <c r="T22" s="385"/>
      <c r="U22" s="385"/>
      <c r="V22" s="385"/>
      <c r="W22" s="385"/>
      <c r="X22" s="385"/>
      <c r="Y22" s="385"/>
      <c r="Z22" s="385"/>
      <c r="AA22" s="385"/>
      <c r="AB22" s="385"/>
      <c r="AD22" s="531"/>
      <c r="AE22" s="384"/>
      <c r="AF22" s="384"/>
      <c r="AG22" s="384"/>
      <c r="AH22" s="384"/>
      <c r="AI22" s="384"/>
      <c r="AJ22" s="384"/>
      <c r="AK22" s="384"/>
      <c r="AL22" s="384"/>
      <c r="AM22" s="384"/>
      <c r="AN22" s="384"/>
      <c r="AO22" s="384"/>
      <c r="AP22" s="384"/>
      <c r="AQ22" s="384"/>
      <c r="AR22" s="384"/>
      <c r="AS22" s="384"/>
      <c r="AT22" s="384"/>
      <c r="AU22" s="384"/>
      <c r="AV22" s="384"/>
      <c r="AW22" s="384"/>
      <c r="AX22" s="384"/>
      <c r="AY22" s="384"/>
      <c r="AZ22" s="384"/>
      <c r="BA22" s="384"/>
      <c r="BB22" s="384"/>
      <c r="BC22" s="384"/>
      <c r="BD22" s="384"/>
      <c r="BE22" s="384"/>
      <c r="BF22" s="384"/>
      <c r="BG22" s="384"/>
      <c r="BH22" s="384"/>
      <c r="BI22" s="384"/>
      <c r="BJ22" s="384"/>
      <c r="BK22" s="384"/>
      <c r="BL22" s="384"/>
      <c r="BM22" s="384"/>
      <c r="BN22" s="384"/>
      <c r="BO22" s="384"/>
      <c r="BP22" s="384"/>
      <c r="BQ22" s="384"/>
      <c r="BR22" s="384"/>
      <c r="BS22" s="384"/>
      <c r="BT22" s="384"/>
      <c r="BU22" s="384"/>
      <c r="BV22" s="384"/>
      <c r="BW22" s="384"/>
      <c r="BX22" s="384"/>
      <c r="BY22" s="384"/>
      <c r="BZ22" s="384"/>
    </row>
    <row r="23" spans="1:78" s="51" customFormat="1">
      <c r="B23" s="387"/>
      <c r="C23" s="386"/>
      <c r="E23" s="526"/>
      <c r="F23" s="531"/>
      <c r="G23" s="385"/>
      <c r="H23" s="385"/>
      <c r="I23" s="385"/>
      <c r="J23" s="385"/>
      <c r="K23" s="385"/>
      <c r="L23" s="531"/>
      <c r="M23" s="385"/>
      <c r="N23" s="385"/>
      <c r="O23" s="385"/>
      <c r="P23" s="385"/>
      <c r="Q23" s="385"/>
      <c r="R23" s="385"/>
      <c r="S23" s="385"/>
      <c r="T23" s="385"/>
      <c r="U23" s="385"/>
      <c r="V23" s="385"/>
      <c r="W23" s="385"/>
      <c r="X23" s="385"/>
      <c r="Y23" s="385"/>
      <c r="Z23" s="385"/>
      <c r="AA23" s="385"/>
      <c r="AB23" s="385"/>
      <c r="AD23" s="531"/>
      <c r="AE23" s="384"/>
      <c r="AF23" s="384"/>
      <c r="AG23" s="384"/>
      <c r="AH23" s="384"/>
      <c r="AI23" s="384"/>
      <c r="AJ23" s="384"/>
      <c r="AK23" s="384"/>
      <c r="AL23" s="384"/>
      <c r="AM23" s="384"/>
      <c r="AN23" s="384"/>
      <c r="AO23" s="384"/>
      <c r="AP23" s="384"/>
      <c r="AQ23" s="384"/>
      <c r="AR23" s="384"/>
      <c r="AS23" s="384"/>
      <c r="AT23" s="384"/>
      <c r="AU23" s="384"/>
      <c r="AV23" s="384"/>
      <c r="AW23" s="384"/>
      <c r="AX23" s="384"/>
      <c r="AY23" s="384"/>
      <c r="AZ23" s="384"/>
      <c r="BA23" s="384"/>
      <c r="BB23" s="384"/>
      <c r="BC23" s="384"/>
      <c r="BD23" s="384"/>
      <c r="BE23" s="384"/>
      <c r="BF23" s="384"/>
      <c r="BG23" s="384"/>
      <c r="BH23" s="384"/>
      <c r="BI23" s="384"/>
      <c r="BJ23" s="384"/>
      <c r="BK23" s="384"/>
      <c r="BL23" s="384"/>
      <c r="BM23" s="384"/>
      <c r="BN23" s="384"/>
      <c r="BO23" s="384"/>
      <c r="BP23" s="384"/>
      <c r="BQ23" s="384"/>
      <c r="BR23" s="384"/>
      <c r="BS23" s="384"/>
      <c r="BT23" s="384"/>
      <c r="BU23" s="384"/>
      <c r="BV23" s="384"/>
      <c r="BW23" s="384"/>
      <c r="BX23" s="384"/>
      <c r="BY23" s="384"/>
      <c r="BZ23" s="384"/>
    </row>
    <row r="24" spans="1:78" s="51" customFormat="1" ht="24">
      <c r="B24" s="632" t="s">
        <v>418</v>
      </c>
      <c r="C24" s="475"/>
      <c r="D24" s="475"/>
      <c r="E24" s="633"/>
      <c r="F24" s="359"/>
      <c r="G24" s="634"/>
      <c r="H24" s="634"/>
      <c r="I24" s="634"/>
      <c r="J24" s="634"/>
      <c r="L24" s="359"/>
      <c r="M24" s="634"/>
      <c r="N24" s="634"/>
      <c r="O24" s="634"/>
      <c r="P24" s="634"/>
      <c r="Q24" s="634"/>
      <c r="R24" s="634"/>
      <c r="S24" s="634"/>
      <c r="T24" s="634"/>
      <c r="U24" s="634"/>
      <c r="V24" s="634"/>
      <c r="W24" s="634"/>
      <c r="X24" s="634"/>
      <c r="Y24" s="634"/>
      <c r="Z24" s="634"/>
      <c r="AA24" s="634"/>
      <c r="AB24" s="634"/>
      <c r="AD24" s="359"/>
      <c r="AE24" s="634"/>
      <c r="AF24" s="634"/>
      <c r="AG24" s="634"/>
      <c r="AH24" s="634"/>
      <c r="AI24" s="634"/>
      <c r="AJ24" s="634"/>
      <c r="AK24" s="634"/>
      <c r="AL24" s="634"/>
      <c r="AM24" s="634"/>
      <c r="AN24" s="634"/>
      <c r="AO24" s="634"/>
      <c r="AP24" s="634"/>
      <c r="AQ24" s="634"/>
      <c r="AR24" s="634"/>
      <c r="AS24" s="634"/>
      <c r="AT24" s="634"/>
      <c r="AU24" s="634"/>
      <c r="AV24" s="634"/>
      <c r="AW24" s="634"/>
      <c r="AX24" s="634"/>
      <c r="AY24" s="634"/>
      <c r="AZ24" s="634"/>
      <c r="BA24" s="634"/>
      <c r="BB24" s="634"/>
      <c r="BC24" s="634"/>
      <c r="BD24" s="634"/>
      <c r="BE24" s="634"/>
      <c r="BF24" s="634"/>
      <c r="BG24" s="634"/>
      <c r="BH24" s="634"/>
      <c r="BI24" s="634"/>
      <c r="BJ24" s="634"/>
      <c r="BK24" s="634"/>
      <c r="BL24" s="634"/>
      <c r="BM24" s="634"/>
      <c r="BN24" s="634"/>
      <c r="BO24" s="634"/>
      <c r="BP24" s="634"/>
      <c r="BQ24" s="634"/>
      <c r="BR24" s="634"/>
      <c r="BS24" s="634"/>
      <c r="BT24" s="634"/>
      <c r="BU24" s="634"/>
      <c r="BV24" s="634"/>
      <c r="BW24" s="634"/>
      <c r="BX24" s="634"/>
      <c r="BY24" s="634"/>
      <c r="BZ24" s="634"/>
    </row>
    <row r="25" spans="1:78" s="357" customFormat="1" ht="15" outlineLevel="1">
      <c r="B25" s="367"/>
      <c r="C25" s="523" t="s">
        <v>436</v>
      </c>
      <c r="D25" s="366"/>
      <c r="E25" s="522"/>
      <c r="F25" s="359"/>
      <c r="G25" s="364">
        <f>SUMIFS($AE25:$BZ25,$AE$4:$BZ$4,"&gt;="&amp;G$4,$AE$5:$BZ$5,"&lt;="&amp;G$5)</f>
        <v>0</v>
      </c>
      <c r="H25" s="364">
        <f>SUMIFS($AE25:$BZ25,$AE$4:$BZ$4,"&gt;="&amp;H$4,$AE$5:$BZ$5,"&lt;="&amp;H$5)</f>
        <v>0</v>
      </c>
      <c r="I25" s="364">
        <f>SUMIFS($AE25:$BZ25,$AE$4:$BZ$4,"&gt;="&amp;I$4,$AE$5:$BZ$5,"&lt;="&amp;I$5)</f>
        <v>127198.48</v>
      </c>
      <c r="J25" s="364">
        <f>SUMIFS($AE25:$BZ25,$AE$4:$BZ$4,"&gt;="&amp;J$4,$AE$5:$BZ$5,"&lt;="&amp;J$5)</f>
        <v>0</v>
      </c>
      <c r="K25" s="432"/>
      <c r="L25" s="359"/>
      <c r="M25" s="364">
        <f t="shared" ref="M25:AB27" si="13">SUMIFS($AE25:$BZ25,$AE$4:$BZ$4,"&gt;="&amp;M$4,$AE25:$BZ25,"&lt;="&amp;M$5)</f>
        <v>0</v>
      </c>
      <c r="N25" s="364">
        <f t="shared" si="13"/>
        <v>0</v>
      </c>
      <c r="O25" s="364">
        <f t="shared" si="13"/>
        <v>0</v>
      </c>
      <c r="P25" s="364">
        <f t="shared" si="13"/>
        <v>0</v>
      </c>
      <c r="Q25" s="364">
        <f t="shared" si="13"/>
        <v>0</v>
      </c>
      <c r="R25" s="364">
        <f t="shared" si="13"/>
        <v>0</v>
      </c>
      <c r="S25" s="364">
        <f t="shared" si="13"/>
        <v>0</v>
      </c>
      <c r="T25" s="364">
        <f t="shared" si="13"/>
        <v>0</v>
      </c>
      <c r="U25" s="364">
        <f t="shared" si="13"/>
        <v>0</v>
      </c>
      <c r="V25" s="364">
        <f t="shared" si="13"/>
        <v>0</v>
      </c>
      <c r="W25" s="364">
        <f t="shared" si="13"/>
        <v>0</v>
      </c>
      <c r="X25" s="364">
        <f t="shared" si="13"/>
        <v>0</v>
      </c>
      <c r="Y25" s="364">
        <f t="shared" si="13"/>
        <v>0</v>
      </c>
      <c r="Z25" s="364">
        <f t="shared" si="13"/>
        <v>0</v>
      </c>
      <c r="AA25" s="364">
        <f t="shared" si="13"/>
        <v>0</v>
      </c>
      <c r="AB25" s="364">
        <f t="shared" si="13"/>
        <v>0</v>
      </c>
      <c r="AD25" s="359"/>
      <c r="AE25" s="628">
        <f t="shared" ref="AE25:AO25" si="14">IF(AE8=LatestMonthOfActuals,AE138,0)</f>
        <v>0</v>
      </c>
      <c r="AF25" s="628">
        <f t="shared" si="14"/>
        <v>0</v>
      </c>
      <c r="AG25" s="628">
        <f t="shared" si="14"/>
        <v>0</v>
      </c>
      <c r="AH25" s="628">
        <f t="shared" si="14"/>
        <v>0</v>
      </c>
      <c r="AI25" s="628">
        <f t="shared" si="14"/>
        <v>0</v>
      </c>
      <c r="AJ25" s="628">
        <f t="shared" si="14"/>
        <v>0</v>
      </c>
      <c r="AK25" s="628">
        <f t="shared" si="14"/>
        <v>0</v>
      </c>
      <c r="AL25" s="628">
        <f t="shared" si="14"/>
        <v>0</v>
      </c>
      <c r="AM25" s="628">
        <f t="shared" si="14"/>
        <v>0</v>
      </c>
      <c r="AN25" s="628">
        <f t="shared" si="14"/>
        <v>0</v>
      </c>
      <c r="AO25" s="628">
        <f t="shared" si="14"/>
        <v>0</v>
      </c>
      <c r="AP25" s="628">
        <f>IF(AR8=LatestMonthOfActuals,AR138,0)</f>
        <v>0</v>
      </c>
      <c r="AQ25" s="628">
        <f t="shared" ref="AQ25:BZ25" si="15">IF(AQ8=LatestMonthOfActuals,AQ138,0)</f>
        <v>0</v>
      </c>
      <c r="AR25" s="628">
        <f t="shared" si="15"/>
        <v>0</v>
      </c>
      <c r="AS25" s="628">
        <f t="shared" si="15"/>
        <v>0</v>
      </c>
      <c r="AT25" s="628">
        <f t="shared" si="15"/>
        <v>0</v>
      </c>
      <c r="AU25" s="628">
        <f t="shared" si="15"/>
        <v>0</v>
      </c>
      <c r="AV25" s="628">
        <f t="shared" si="15"/>
        <v>0</v>
      </c>
      <c r="AW25" s="628">
        <f t="shared" si="15"/>
        <v>0</v>
      </c>
      <c r="AX25" s="628">
        <f t="shared" si="15"/>
        <v>0</v>
      </c>
      <c r="AY25" s="628">
        <f t="shared" si="15"/>
        <v>0</v>
      </c>
      <c r="AZ25" s="628">
        <f t="shared" si="15"/>
        <v>0</v>
      </c>
      <c r="BA25" s="628">
        <f t="shared" si="15"/>
        <v>0</v>
      </c>
      <c r="BB25" s="628">
        <f t="shared" si="15"/>
        <v>0</v>
      </c>
      <c r="BC25" s="628">
        <f t="shared" si="15"/>
        <v>0</v>
      </c>
      <c r="BD25" s="628">
        <f t="shared" si="15"/>
        <v>0</v>
      </c>
      <c r="BE25" s="628">
        <f t="shared" si="15"/>
        <v>0</v>
      </c>
      <c r="BF25" s="628">
        <f t="shared" si="15"/>
        <v>0</v>
      </c>
      <c r="BG25" s="628">
        <f t="shared" si="15"/>
        <v>0</v>
      </c>
      <c r="BH25" s="628">
        <f t="shared" si="15"/>
        <v>0</v>
      </c>
      <c r="BI25" s="628">
        <f t="shared" si="15"/>
        <v>0</v>
      </c>
      <c r="BJ25" s="628">
        <f t="shared" si="15"/>
        <v>0</v>
      </c>
      <c r="BK25" s="628">
        <f t="shared" si="15"/>
        <v>0</v>
      </c>
      <c r="BL25" s="628">
        <f t="shared" si="15"/>
        <v>0</v>
      </c>
      <c r="BM25" s="628">
        <f t="shared" si="15"/>
        <v>127198.48</v>
      </c>
      <c r="BN25" s="628">
        <f t="shared" si="15"/>
        <v>0</v>
      </c>
      <c r="BO25" s="628">
        <f t="shared" si="15"/>
        <v>0</v>
      </c>
      <c r="BP25" s="628">
        <f t="shared" si="15"/>
        <v>0</v>
      </c>
      <c r="BQ25" s="628">
        <f t="shared" si="15"/>
        <v>0</v>
      </c>
      <c r="BR25" s="628">
        <f t="shared" si="15"/>
        <v>0</v>
      </c>
      <c r="BS25" s="628">
        <f t="shared" si="15"/>
        <v>0</v>
      </c>
      <c r="BT25" s="628">
        <f t="shared" si="15"/>
        <v>0</v>
      </c>
      <c r="BU25" s="628">
        <f t="shared" si="15"/>
        <v>0</v>
      </c>
      <c r="BV25" s="628">
        <f t="shared" si="15"/>
        <v>0</v>
      </c>
      <c r="BW25" s="628">
        <f t="shared" si="15"/>
        <v>0</v>
      </c>
      <c r="BX25" s="628">
        <f t="shared" si="15"/>
        <v>0</v>
      </c>
      <c r="BY25" s="628">
        <f t="shared" si="15"/>
        <v>0</v>
      </c>
      <c r="BZ25" s="628">
        <f t="shared" si="15"/>
        <v>0</v>
      </c>
    </row>
    <row r="26" spans="1:78" s="51" customFormat="1" outlineLevel="1">
      <c r="B26" s="387"/>
      <c r="C26" s="386"/>
      <c r="E26" s="526"/>
      <c r="F26" s="359"/>
      <c r="G26" s="55"/>
      <c r="H26" s="55"/>
      <c r="I26" s="55"/>
      <c r="J26" s="55"/>
      <c r="L26" s="359"/>
      <c r="M26" s="55"/>
      <c r="N26" s="55"/>
      <c r="O26" s="55"/>
      <c r="P26" s="55"/>
      <c r="Q26" s="55"/>
      <c r="R26" s="55"/>
      <c r="S26" s="55"/>
      <c r="T26" s="55"/>
      <c r="U26" s="55"/>
      <c r="V26" s="55"/>
      <c r="W26" s="55"/>
      <c r="X26" s="55"/>
      <c r="Y26" s="55"/>
      <c r="Z26" s="55"/>
      <c r="AA26" s="55"/>
      <c r="AB26" s="55"/>
      <c r="AD26" s="359"/>
    </row>
    <row r="27" spans="1:78" s="357" customFormat="1" ht="15" outlineLevel="1">
      <c r="B27" s="367"/>
      <c r="C27" s="523" t="s">
        <v>419</v>
      </c>
      <c r="D27" s="366"/>
      <c r="E27" s="522"/>
      <c r="F27" s="359"/>
      <c r="G27" s="364">
        <f>SUMIFS($AE27:$BZ27,$AE$4:$BZ$4,"&gt;="&amp;G$4,$AE$5:$BZ$5,"&lt;="&amp;G$5)</f>
        <v>0</v>
      </c>
      <c r="H27" s="364">
        <f>SUMIFS($AE27:$BZ27,$AE$4:$BZ$4,"&gt;="&amp;H$4,$AE$5:$BZ$5,"&lt;="&amp;H$5)</f>
        <v>0</v>
      </c>
      <c r="I27" s="364">
        <f>SUMIFS($AE27:$BZ27,$AE$4:$BZ$4,"&gt;="&amp;I$4,$AE$5:$BZ$5,"&lt;="&amp;I$5)</f>
        <v>120000</v>
      </c>
      <c r="J27" s="364">
        <f>SUMIFS($AE27:$BZ27,$AE$4:$BZ$4,"&gt;="&amp;J$4,$AE$5:$BZ$5,"&lt;="&amp;J$5)</f>
        <v>0</v>
      </c>
      <c r="K27" s="432"/>
      <c r="L27" s="359"/>
      <c r="M27" s="364">
        <f t="shared" si="13"/>
        <v>0</v>
      </c>
      <c r="N27" s="364">
        <f t="shared" si="13"/>
        <v>0</v>
      </c>
      <c r="O27" s="364">
        <f t="shared" si="13"/>
        <v>0</v>
      </c>
      <c r="P27" s="364">
        <f t="shared" si="13"/>
        <v>0</v>
      </c>
      <c r="Q27" s="364">
        <f t="shared" si="13"/>
        <v>0</v>
      </c>
      <c r="R27" s="364">
        <f t="shared" si="13"/>
        <v>0</v>
      </c>
      <c r="S27" s="364">
        <f t="shared" si="13"/>
        <v>0</v>
      </c>
      <c r="T27" s="364">
        <f t="shared" si="13"/>
        <v>0</v>
      </c>
      <c r="U27" s="364">
        <f t="shared" si="13"/>
        <v>0</v>
      </c>
      <c r="V27" s="364">
        <f t="shared" si="13"/>
        <v>0</v>
      </c>
      <c r="W27" s="364">
        <f t="shared" si="13"/>
        <v>0</v>
      </c>
      <c r="X27" s="364">
        <f t="shared" si="13"/>
        <v>0</v>
      </c>
      <c r="Y27" s="364">
        <f t="shared" si="13"/>
        <v>0</v>
      </c>
      <c r="Z27" s="364">
        <f t="shared" si="13"/>
        <v>0</v>
      </c>
      <c r="AA27" s="364">
        <f t="shared" si="13"/>
        <v>0</v>
      </c>
      <c r="AB27" s="364">
        <f t="shared" si="13"/>
        <v>0</v>
      </c>
      <c r="AD27" s="359"/>
      <c r="AE27" s="637">
        <v>0</v>
      </c>
      <c r="AF27" s="637">
        <v>0</v>
      </c>
      <c r="AG27" s="637">
        <v>0</v>
      </c>
      <c r="AH27" s="637">
        <v>0</v>
      </c>
      <c r="AI27" s="637">
        <v>0</v>
      </c>
      <c r="AJ27" s="637">
        <v>0</v>
      </c>
      <c r="AK27" s="637">
        <v>0</v>
      </c>
      <c r="AL27" s="637">
        <v>0</v>
      </c>
      <c r="AM27" s="637">
        <v>0</v>
      </c>
      <c r="AN27" s="637">
        <v>0</v>
      </c>
      <c r="AO27" s="637">
        <v>0</v>
      </c>
      <c r="AP27" s="637">
        <v>0</v>
      </c>
      <c r="AQ27" s="637">
        <v>0</v>
      </c>
      <c r="AR27" s="637">
        <v>0</v>
      </c>
      <c r="AS27" s="637">
        <v>0</v>
      </c>
      <c r="AT27" s="637">
        <v>0</v>
      </c>
      <c r="AU27" s="637">
        <v>0</v>
      </c>
      <c r="AV27" s="637">
        <v>0</v>
      </c>
      <c r="AW27" s="637">
        <v>0</v>
      </c>
      <c r="AX27" s="637">
        <v>0</v>
      </c>
      <c r="AY27" s="637">
        <v>0</v>
      </c>
      <c r="AZ27" s="637">
        <v>0</v>
      </c>
      <c r="BA27" s="637">
        <v>0</v>
      </c>
      <c r="BB27" s="637">
        <v>0</v>
      </c>
      <c r="BC27" s="637">
        <v>0</v>
      </c>
      <c r="BD27" s="637">
        <v>0</v>
      </c>
      <c r="BE27" s="637">
        <v>0</v>
      </c>
      <c r="BF27" s="637">
        <v>0</v>
      </c>
      <c r="BG27" s="637">
        <v>0</v>
      </c>
      <c r="BH27" s="637">
        <v>0</v>
      </c>
      <c r="BI27" s="637">
        <v>0</v>
      </c>
      <c r="BJ27" s="637">
        <v>0</v>
      </c>
      <c r="BK27" s="637">
        <v>0</v>
      </c>
      <c r="BL27" s="637">
        <v>0</v>
      </c>
      <c r="BM27" s="637">
        <v>0</v>
      </c>
      <c r="BN27" s="637">
        <v>120000</v>
      </c>
      <c r="BO27" s="637">
        <v>0</v>
      </c>
      <c r="BP27" s="637">
        <v>0</v>
      </c>
      <c r="BQ27" s="637">
        <v>0</v>
      </c>
      <c r="BR27" s="637">
        <v>0</v>
      </c>
      <c r="BS27" s="637">
        <v>0</v>
      </c>
      <c r="BT27" s="637">
        <v>0</v>
      </c>
      <c r="BU27" s="637">
        <v>0</v>
      </c>
      <c r="BV27" s="637">
        <v>0</v>
      </c>
      <c r="BW27" s="637">
        <v>0</v>
      </c>
      <c r="BX27" s="637">
        <v>0</v>
      </c>
      <c r="BY27" s="637">
        <v>0</v>
      </c>
      <c r="BZ27" s="637">
        <v>0</v>
      </c>
    </row>
    <row r="28" spans="1:78" s="51" customFormat="1">
      <c r="B28" s="387"/>
      <c r="C28" s="386"/>
      <c r="D28" s="527"/>
      <c r="E28" s="526"/>
      <c r="F28" s="359"/>
      <c r="G28" s="55"/>
      <c r="H28" s="55"/>
      <c r="I28" s="55"/>
      <c r="J28" s="55"/>
      <c r="L28" s="359"/>
      <c r="M28" s="55"/>
      <c r="N28" s="55"/>
      <c r="O28" s="55"/>
      <c r="P28" s="55"/>
      <c r="Q28" s="55"/>
      <c r="R28" s="55"/>
      <c r="S28" s="55"/>
      <c r="T28" s="55"/>
      <c r="U28" s="55"/>
      <c r="V28" s="55"/>
      <c r="W28" s="55"/>
      <c r="X28" s="55"/>
      <c r="Y28" s="55"/>
      <c r="Z28" s="55"/>
      <c r="AA28" s="55"/>
      <c r="AB28" s="55"/>
      <c r="AD28" s="359"/>
    </row>
    <row r="29" spans="1:78" s="51" customFormat="1" ht="24">
      <c r="B29" s="632" t="s">
        <v>432</v>
      </c>
      <c r="C29" s="475"/>
      <c r="D29" s="475"/>
      <c r="E29" s="633"/>
      <c r="F29" s="359"/>
      <c r="G29" s="634"/>
      <c r="H29" s="634"/>
      <c r="I29" s="634"/>
      <c r="J29" s="634"/>
      <c r="L29" s="359"/>
      <c r="M29" s="634"/>
      <c r="N29" s="634"/>
      <c r="O29" s="634"/>
      <c r="P29" s="634"/>
      <c r="Q29" s="634"/>
      <c r="R29" s="634"/>
      <c r="S29" s="634"/>
      <c r="T29" s="634"/>
      <c r="U29" s="634"/>
      <c r="V29" s="634"/>
      <c r="W29" s="634"/>
      <c r="X29" s="634"/>
      <c r="Y29" s="634"/>
      <c r="Z29" s="634"/>
      <c r="AA29" s="634"/>
      <c r="AB29" s="634"/>
      <c r="AD29" s="359"/>
      <c r="AE29" s="634"/>
      <c r="AF29" s="634"/>
      <c r="AG29" s="634"/>
      <c r="AH29" s="634"/>
      <c r="AI29" s="634"/>
      <c r="AJ29" s="634"/>
      <c r="AK29" s="634"/>
      <c r="AL29" s="634"/>
      <c r="AM29" s="634"/>
      <c r="AN29" s="634"/>
      <c r="AO29" s="634"/>
      <c r="AP29" s="634"/>
      <c r="AQ29" s="634"/>
      <c r="AR29" s="634"/>
      <c r="AS29" s="634"/>
      <c r="AT29" s="634"/>
      <c r="AU29" s="634"/>
      <c r="AV29" s="634"/>
      <c r="AW29" s="634"/>
      <c r="AX29" s="634"/>
      <c r="AY29" s="634"/>
      <c r="AZ29" s="634"/>
      <c r="BA29" s="634"/>
      <c r="BB29" s="634"/>
      <c r="BC29" s="634"/>
      <c r="BD29" s="634"/>
      <c r="BE29" s="634"/>
      <c r="BF29" s="634"/>
      <c r="BG29" s="634"/>
      <c r="BH29" s="634"/>
      <c r="BI29" s="634"/>
      <c r="BJ29" s="634"/>
      <c r="BK29" s="634"/>
      <c r="BL29" s="634"/>
      <c r="BM29" s="634"/>
      <c r="BN29" s="634"/>
      <c r="BO29" s="634"/>
      <c r="BP29" s="634"/>
      <c r="BQ29" s="634"/>
      <c r="BR29" s="634"/>
      <c r="BS29" s="634"/>
      <c r="BT29" s="634"/>
      <c r="BU29" s="634"/>
      <c r="BV29" s="634"/>
      <c r="BW29" s="634"/>
      <c r="BX29" s="634"/>
      <c r="BY29" s="634"/>
      <c r="BZ29" s="634"/>
    </row>
    <row r="30" spans="1:78" ht="15" outlineLevel="1" collapsed="1">
      <c r="B30" s="367"/>
      <c r="C30" s="523" t="s">
        <v>436</v>
      </c>
      <c r="D30" s="366"/>
      <c r="E30" s="522"/>
      <c r="F30" s="359"/>
      <c r="G30" s="378">
        <f>SUM(G31:G79)</f>
        <v>0</v>
      </c>
      <c r="H30" s="378">
        <f>SUM(H31:H79)</f>
        <v>0</v>
      </c>
      <c r="I30" s="378">
        <f>SUM(I31:I79)</f>
        <v>63599.24</v>
      </c>
      <c r="J30" s="378">
        <f>SUM(J31:J79)</f>
        <v>63599.24</v>
      </c>
      <c r="K30" s="55"/>
      <c r="L30" s="359"/>
      <c r="M30" s="378">
        <f t="shared" ref="M30:AB30" si="16">SUM(M31:M79)</f>
        <v>63599.24</v>
      </c>
      <c r="N30" s="378">
        <f t="shared" si="16"/>
        <v>63599.24</v>
      </c>
      <c r="O30" s="378">
        <f t="shared" si="16"/>
        <v>63599.24</v>
      </c>
      <c r="P30" s="378">
        <f t="shared" si="16"/>
        <v>63599.24</v>
      </c>
      <c r="Q30" s="378">
        <f t="shared" si="16"/>
        <v>63599.24</v>
      </c>
      <c r="R30" s="378">
        <f t="shared" si="16"/>
        <v>63599.24</v>
      </c>
      <c r="S30" s="378">
        <f t="shared" si="16"/>
        <v>63599.24</v>
      </c>
      <c r="T30" s="378">
        <f t="shared" si="16"/>
        <v>63599.24</v>
      </c>
      <c r="U30" s="378">
        <f t="shared" si="16"/>
        <v>63599.24</v>
      </c>
      <c r="V30" s="378">
        <f t="shared" si="16"/>
        <v>63599.24</v>
      </c>
      <c r="W30" s="378">
        <f t="shared" si="16"/>
        <v>63599.24</v>
      </c>
      <c r="X30" s="378">
        <f t="shared" si="16"/>
        <v>63599.24</v>
      </c>
      <c r="Y30" s="378">
        <f t="shared" si="16"/>
        <v>63599.24</v>
      </c>
      <c r="Z30" s="378">
        <f t="shared" si="16"/>
        <v>0</v>
      </c>
      <c r="AA30" s="378">
        <f t="shared" si="16"/>
        <v>0</v>
      </c>
      <c r="AB30" s="378">
        <f t="shared" si="16"/>
        <v>0</v>
      </c>
      <c r="AD30" s="359"/>
      <c r="AE30" s="378">
        <f t="shared" ref="AE30:BZ30" si="17">SUM(AE31:AE79)</f>
        <v>0</v>
      </c>
      <c r="AF30" s="378">
        <f t="shared" si="17"/>
        <v>0</v>
      </c>
      <c r="AG30" s="378">
        <f t="shared" si="17"/>
        <v>0</v>
      </c>
      <c r="AH30" s="378">
        <f t="shared" si="17"/>
        <v>0</v>
      </c>
      <c r="AI30" s="378">
        <f t="shared" si="17"/>
        <v>0</v>
      </c>
      <c r="AJ30" s="378">
        <f t="shared" si="17"/>
        <v>0</v>
      </c>
      <c r="AK30" s="378">
        <f t="shared" si="17"/>
        <v>0</v>
      </c>
      <c r="AL30" s="378">
        <f t="shared" si="17"/>
        <v>0</v>
      </c>
      <c r="AM30" s="378">
        <f t="shared" si="17"/>
        <v>0</v>
      </c>
      <c r="AN30" s="378">
        <f t="shared" si="17"/>
        <v>0</v>
      </c>
      <c r="AO30" s="378">
        <f t="shared" si="17"/>
        <v>0</v>
      </c>
      <c r="AP30" s="378">
        <f>SUM(AR31:AR79)</f>
        <v>0</v>
      </c>
      <c r="AQ30" s="378">
        <f t="shared" si="17"/>
        <v>0</v>
      </c>
      <c r="AR30" s="378">
        <f t="shared" si="17"/>
        <v>0</v>
      </c>
      <c r="AS30" s="378">
        <f t="shared" si="17"/>
        <v>0</v>
      </c>
      <c r="AT30" s="378">
        <f t="shared" si="17"/>
        <v>0</v>
      </c>
      <c r="AU30" s="378">
        <f t="shared" si="17"/>
        <v>0</v>
      </c>
      <c r="AV30" s="378">
        <f t="shared" si="17"/>
        <v>0</v>
      </c>
      <c r="AW30" s="378">
        <f t="shared" si="17"/>
        <v>0</v>
      </c>
      <c r="AX30" s="378">
        <f t="shared" si="17"/>
        <v>0</v>
      </c>
      <c r="AY30" s="378">
        <f t="shared" si="17"/>
        <v>0</v>
      </c>
      <c r="AZ30" s="378">
        <f t="shared" si="17"/>
        <v>0</v>
      </c>
      <c r="BA30" s="378">
        <f t="shared" si="17"/>
        <v>0</v>
      </c>
      <c r="BB30" s="378">
        <f t="shared" si="17"/>
        <v>0</v>
      </c>
      <c r="BC30" s="378">
        <f t="shared" si="17"/>
        <v>0</v>
      </c>
      <c r="BD30" s="378">
        <f t="shared" si="17"/>
        <v>0</v>
      </c>
      <c r="BE30" s="378">
        <f t="shared" si="17"/>
        <v>0</v>
      </c>
      <c r="BF30" s="378">
        <f t="shared" si="17"/>
        <v>0</v>
      </c>
      <c r="BG30" s="378">
        <f t="shared" si="17"/>
        <v>0</v>
      </c>
      <c r="BH30" s="378">
        <f t="shared" si="17"/>
        <v>0</v>
      </c>
      <c r="BI30" s="378">
        <f t="shared" si="17"/>
        <v>0</v>
      </c>
      <c r="BJ30" s="378">
        <f t="shared" si="17"/>
        <v>0</v>
      </c>
      <c r="BK30" s="378">
        <f t="shared" si="17"/>
        <v>0</v>
      </c>
      <c r="BL30" s="378">
        <f t="shared" si="17"/>
        <v>0</v>
      </c>
      <c r="BM30" s="378">
        <f t="shared" si="17"/>
        <v>0</v>
      </c>
      <c r="BN30" s="378">
        <f t="shared" si="17"/>
        <v>63599.24</v>
      </c>
      <c r="BO30" s="378">
        <f t="shared" si="17"/>
        <v>31799.62</v>
      </c>
      <c r="BP30" s="378">
        <f t="shared" si="17"/>
        <v>31799.62</v>
      </c>
      <c r="BQ30" s="378">
        <f t="shared" si="17"/>
        <v>0</v>
      </c>
      <c r="BR30" s="378">
        <f t="shared" si="17"/>
        <v>0</v>
      </c>
      <c r="BS30" s="378">
        <f t="shared" si="17"/>
        <v>0</v>
      </c>
      <c r="BT30" s="378">
        <f t="shared" si="17"/>
        <v>0</v>
      </c>
      <c r="BU30" s="378">
        <f t="shared" si="17"/>
        <v>0</v>
      </c>
      <c r="BV30" s="378">
        <f t="shared" si="17"/>
        <v>0</v>
      </c>
      <c r="BW30" s="378">
        <f t="shared" si="17"/>
        <v>0</v>
      </c>
      <c r="BX30" s="378">
        <f t="shared" si="17"/>
        <v>0</v>
      </c>
      <c r="BY30" s="378">
        <f t="shared" si="17"/>
        <v>0</v>
      </c>
      <c r="BZ30" s="378">
        <f t="shared" si="17"/>
        <v>0</v>
      </c>
    </row>
    <row r="31" spans="1:78" ht="21" hidden="1" customHeight="1" outlineLevel="3">
      <c r="B31" s="367"/>
      <c r="C31" s="370"/>
      <c r="D31" s="369"/>
      <c r="E31" s="373"/>
      <c r="F31" s="359"/>
      <c r="G31" s="375"/>
      <c r="H31" s="375"/>
      <c r="I31" s="375"/>
      <c r="J31" s="375"/>
      <c r="L31" s="359"/>
      <c r="M31" s="375"/>
      <c r="N31" s="375"/>
      <c r="O31" s="375"/>
      <c r="P31" s="375"/>
      <c r="Q31" s="375"/>
      <c r="R31" s="375"/>
      <c r="S31" s="375"/>
      <c r="T31" s="375"/>
      <c r="U31" s="375"/>
      <c r="V31" s="375"/>
      <c r="W31" s="375"/>
      <c r="X31" s="375"/>
      <c r="Y31" s="375"/>
      <c r="Z31" s="375"/>
      <c r="AA31" s="375"/>
      <c r="AB31" s="375"/>
      <c r="AD31" s="359"/>
      <c r="AE31" s="375"/>
      <c r="AF31" s="375"/>
      <c r="AG31" s="375"/>
      <c r="AH31" s="375"/>
      <c r="AI31" s="375"/>
      <c r="AJ31" s="375"/>
      <c r="AK31" s="375"/>
      <c r="AL31" s="375"/>
      <c r="AM31" s="375"/>
      <c r="AN31" s="375"/>
      <c r="AO31" s="375"/>
      <c r="AP31" s="375"/>
      <c r="AQ31" s="375"/>
      <c r="AR31" s="375"/>
      <c r="AS31" s="375"/>
      <c r="AT31" s="375"/>
      <c r="AU31" s="375"/>
      <c r="AV31" s="375"/>
      <c r="AW31" s="375"/>
      <c r="AX31" s="375"/>
      <c r="AY31" s="375"/>
      <c r="AZ31" s="375"/>
      <c r="BA31" s="375"/>
      <c r="BB31" s="375"/>
      <c r="BC31" s="375"/>
      <c r="BD31" s="375"/>
      <c r="BE31" s="375"/>
      <c r="BF31" s="375"/>
      <c r="BG31" s="375"/>
      <c r="BH31" s="375"/>
      <c r="BI31" s="375"/>
      <c r="BJ31" s="375"/>
      <c r="BK31" s="375"/>
      <c r="BL31" s="375"/>
      <c r="BM31" s="375"/>
      <c r="BN31" s="375"/>
      <c r="BO31" s="375"/>
      <c r="BP31" s="375"/>
      <c r="BQ31" s="375"/>
      <c r="BR31" s="375"/>
      <c r="BS31" s="375"/>
      <c r="BT31" s="375"/>
      <c r="BU31" s="375"/>
      <c r="BV31" s="375"/>
      <c r="BW31" s="375"/>
      <c r="BX31" s="375"/>
      <c r="BY31" s="375"/>
      <c r="BZ31" s="375"/>
    </row>
    <row r="32" spans="1:78" ht="21" hidden="1" customHeight="1" outlineLevel="3">
      <c r="B32" s="367"/>
      <c r="C32" s="370"/>
      <c r="D32" s="374" cm="1">
        <f t="array" ref="D32">EOM_Start_Date</f>
        <v>44957</v>
      </c>
      <c r="E32" s="373" cm="1">
        <f t="array" ref="E32">IF($D32=LatestMonthOfActuals,INDEX($AE$25:$BZ$25,0,MATCH($D32,$AE$8:$BZ$8,0)),0)</f>
        <v>0</v>
      </c>
      <c r="F32" s="359"/>
      <c r="G32" s="408">
        <f t="shared" ref="G32:J51" si="18">SUMIFS($AE32:$BZ32,$AE$4:$BZ$4,"&gt;="&amp;G$4,$AE$5:$BZ$5,"&lt;="&amp;G$5)</f>
        <v>0</v>
      </c>
      <c r="H32" s="408">
        <f t="shared" si="18"/>
        <v>0</v>
      </c>
      <c r="I32" s="408">
        <f t="shared" si="18"/>
        <v>0</v>
      </c>
      <c r="J32" s="408">
        <f t="shared" si="18"/>
        <v>0</v>
      </c>
      <c r="K32" s="408"/>
      <c r="L32" s="408"/>
      <c r="M32" s="408">
        <f t="shared" ref="M32:AB47" si="19">SUMIFS($AE32:$BZ32,$AE$4:$BZ$4,"&gt;="&amp;M$4,$AE32:$BZ32,"&lt;="&amp;M$5)</f>
        <v>0</v>
      </c>
      <c r="N32" s="408">
        <f t="shared" si="19"/>
        <v>0</v>
      </c>
      <c r="O32" s="408">
        <f t="shared" si="19"/>
        <v>0</v>
      </c>
      <c r="P32" s="408">
        <f t="shared" si="19"/>
        <v>0</v>
      </c>
      <c r="Q32" s="408">
        <f t="shared" si="19"/>
        <v>0</v>
      </c>
      <c r="R32" s="408">
        <f t="shared" si="19"/>
        <v>0</v>
      </c>
      <c r="S32" s="408">
        <f t="shared" si="19"/>
        <v>0</v>
      </c>
      <c r="T32" s="408">
        <f t="shared" si="19"/>
        <v>0</v>
      </c>
      <c r="U32" s="408">
        <f t="shared" si="19"/>
        <v>0</v>
      </c>
      <c r="V32" s="408">
        <f t="shared" si="19"/>
        <v>0</v>
      </c>
      <c r="W32" s="408">
        <f t="shared" si="19"/>
        <v>0</v>
      </c>
      <c r="X32" s="408">
        <f t="shared" si="19"/>
        <v>0</v>
      </c>
      <c r="Y32" s="408">
        <f t="shared" si="19"/>
        <v>0</v>
      </c>
      <c r="Z32" s="408">
        <f t="shared" si="19"/>
        <v>0</v>
      </c>
      <c r="AA32" s="408">
        <f t="shared" si="19"/>
        <v>0</v>
      </c>
      <c r="AB32" s="408">
        <f t="shared" si="19"/>
        <v>0</v>
      </c>
      <c r="AD32" s="359"/>
      <c r="AE32" s="371">
        <f t="shared" ref="AE32:AO41" si="20">IFERROR(IF(AE$8&gt;=$D32,$E32*(INDEX($E$12:$E$16,(MATCH(MATCH(AE$8,$D$32:$D$79,0)-MATCH($D32,$D$32:$D$79,0),$D$12:$D$16,0)))),0),0)</f>
        <v>0</v>
      </c>
      <c r="AF32" s="371">
        <f t="shared" si="20"/>
        <v>0</v>
      </c>
      <c r="AG32" s="371">
        <f t="shared" si="20"/>
        <v>0</v>
      </c>
      <c r="AH32" s="371">
        <f t="shared" si="20"/>
        <v>0</v>
      </c>
      <c r="AI32" s="371">
        <f t="shared" si="20"/>
        <v>0</v>
      </c>
      <c r="AJ32" s="371">
        <f t="shared" si="20"/>
        <v>0</v>
      </c>
      <c r="AK32" s="371">
        <f t="shared" si="20"/>
        <v>0</v>
      </c>
      <c r="AL32" s="371">
        <f t="shared" si="20"/>
        <v>0</v>
      </c>
      <c r="AM32" s="371">
        <f t="shared" si="20"/>
        <v>0</v>
      </c>
      <c r="AN32" s="371">
        <f t="shared" si="20"/>
        <v>0</v>
      </c>
      <c r="AO32" s="371">
        <f t="shared" si="20"/>
        <v>0</v>
      </c>
      <c r="AP32" s="371">
        <f t="shared" ref="AP32:AP79" si="21">IFERROR(IF(AR$8&gt;=$D32,$E32*(INDEX($E$12:$E$16,(MATCH(MATCH(AR$8,$D$32:$D$79,0)-MATCH($D32,$D$32:$D$79,0),$D$12:$D$16,0)))),0),0)</f>
        <v>0</v>
      </c>
      <c r="AQ32" s="371">
        <f t="shared" ref="AQ32:AZ41" si="22">IFERROR(IF(AQ$8&gt;=$D32,$E32*(INDEX($E$12:$E$16,(MATCH(MATCH(AQ$8,$D$32:$D$79,0)-MATCH($D32,$D$32:$D$79,0),$D$12:$D$16,0)))),0),0)</f>
        <v>0</v>
      </c>
      <c r="AR32" s="371">
        <f t="shared" si="22"/>
        <v>0</v>
      </c>
      <c r="AS32" s="371">
        <f t="shared" si="22"/>
        <v>0</v>
      </c>
      <c r="AT32" s="371">
        <f t="shared" si="22"/>
        <v>0</v>
      </c>
      <c r="AU32" s="371">
        <f t="shared" si="22"/>
        <v>0</v>
      </c>
      <c r="AV32" s="371">
        <f t="shared" si="22"/>
        <v>0</v>
      </c>
      <c r="AW32" s="371">
        <f t="shared" si="22"/>
        <v>0</v>
      </c>
      <c r="AX32" s="371">
        <f t="shared" si="22"/>
        <v>0</v>
      </c>
      <c r="AY32" s="371">
        <f t="shared" si="22"/>
        <v>0</v>
      </c>
      <c r="AZ32" s="371">
        <f t="shared" si="22"/>
        <v>0</v>
      </c>
      <c r="BA32" s="371">
        <f t="shared" ref="BA32:BJ41" si="23">IFERROR(IF(BA$8&gt;=$D32,$E32*(INDEX($E$12:$E$16,(MATCH(MATCH(BA$8,$D$32:$D$79,0)-MATCH($D32,$D$32:$D$79,0),$D$12:$D$16,0)))),0),0)</f>
        <v>0</v>
      </c>
      <c r="BB32" s="371">
        <f t="shared" si="23"/>
        <v>0</v>
      </c>
      <c r="BC32" s="371">
        <f t="shared" si="23"/>
        <v>0</v>
      </c>
      <c r="BD32" s="371">
        <f t="shared" si="23"/>
        <v>0</v>
      </c>
      <c r="BE32" s="371">
        <f t="shared" si="23"/>
        <v>0</v>
      </c>
      <c r="BF32" s="371">
        <f t="shared" si="23"/>
        <v>0</v>
      </c>
      <c r="BG32" s="371">
        <f t="shared" si="23"/>
        <v>0</v>
      </c>
      <c r="BH32" s="371">
        <f t="shared" si="23"/>
        <v>0</v>
      </c>
      <c r="BI32" s="371">
        <f t="shared" si="23"/>
        <v>0</v>
      </c>
      <c r="BJ32" s="371">
        <f t="shared" si="23"/>
        <v>0</v>
      </c>
      <c r="BK32" s="371">
        <f t="shared" ref="BK32:BT41" si="24">IFERROR(IF(BK$8&gt;=$D32,$E32*(INDEX($E$12:$E$16,(MATCH(MATCH(BK$8,$D$32:$D$79,0)-MATCH($D32,$D$32:$D$79,0),$D$12:$D$16,0)))),0),0)</f>
        <v>0</v>
      </c>
      <c r="BL32" s="371">
        <f t="shared" si="24"/>
        <v>0</v>
      </c>
      <c r="BM32" s="371">
        <f t="shared" si="24"/>
        <v>0</v>
      </c>
      <c r="BN32" s="371">
        <f t="shared" si="24"/>
        <v>0</v>
      </c>
      <c r="BO32" s="371">
        <f t="shared" si="24"/>
        <v>0</v>
      </c>
      <c r="BP32" s="371">
        <f t="shared" si="24"/>
        <v>0</v>
      </c>
      <c r="BQ32" s="371">
        <f t="shared" si="24"/>
        <v>0</v>
      </c>
      <c r="BR32" s="371">
        <f t="shared" si="24"/>
        <v>0</v>
      </c>
      <c r="BS32" s="371">
        <f t="shared" si="24"/>
        <v>0</v>
      </c>
      <c r="BT32" s="371">
        <f t="shared" si="24"/>
        <v>0</v>
      </c>
      <c r="BU32" s="371">
        <f t="shared" ref="BU32:BZ41" si="25">IFERROR(IF(BU$8&gt;=$D32,$E32*(INDEX($E$12:$E$16,(MATCH(MATCH(BU$8,$D$32:$D$79,0)-MATCH($D32,$D$32:$D$79,0),$D$12:$D$16,0)))),0),0)</f>
        <v>0</v>
      </c>
      <c r="BV32" s="371">
        <f t="shared" si="25"/>
        <v>0</v>
      </c>
      <c r="BW32" s="371">
        <f t="shared" si="25"/>
        <v>0</v>
      </c>
      <c r="BX32" s="371">
        <f t="shared" si="25"/>
        <v>0</v>
      </c>
      <c r="BY32" s="371">
        <f t="shared" si="25"/>
        <v>0</v>
      </c>
      <c r="BZ32" s="371">
        <f t="shared" si="25"/>
        <v>0</v>
      </c>
    </row>
    <row r="33" spans="2:78" ht="21" hidden="1" customHeight="1" outlineLevel="3">
      <c r="B33" s="367"/>
      <c r="C33" s="370"/>
      <c r="D33" s="374">
        <f t="shared" ref="D33:D79" si="26">EOMONTH(D32,1)</f>
        <v>44985</v>
      </c>
      <c r="E33" s="373" cm="1">
        <f t="array" ref="E33">IF($D33=LatestMonthOfActuals,INDEX($AE$25:$BZ$25,0,MATCH($D33,$AE$8:$BZ$8,0)),0)</f>
        <v>0</v>
      </c>
      <c r="F33" s="359"/>
      <c r="G33" s="408">
        <f t="shared" si="18"/>
        <v>0</v>
      </c>
      <c r="H33" s="408">
        <f t="shared" si="18"/>
        <v>0</v>
      </c>
      <c r="I33" s="408">
        <f t="shared" si="18"/>
        <v>0</v>
      </c>
      <c r="J33" s="408">
        <f t="shared" si="18"/>
        <v>0</v>
      </c>
      <c r="K33" s="408"/>
      <c r="L33" s="408"/>
      <c r="M33" s="408">
        <f t="shared" si="19"/>
        <v>0</v>
      </c>
      <c r="N33" s="408">
        <f t="shared" si="19"/>
        <v>0</v>
      </c>
      <c r="O33" s="408">
        <f t="shared" si="19"/>
        <v>0</v>
      </c>
      <c r="P33" s="408">
        <f t="shared" si="19"/>
        <v>0</v>
      </c>
      <c r="Q33" s="408">
        <f t="shared" si="19"/>
        <v>0</v>
      </c>
      <c r="R33" s="408">
        <f t="shared" si="19"/>
        <v>0</v>
      </c>
      <c r="S33" s="408">
        <f t="shared" si="19"/>
        <v>0</v>
      </c>
      <c r="T33" s="408">
        <f t="shared" si="19"/>
        <v>0</v>
      </c>
      <c r="U33" s="408">
        <f t="shared" si="19"/>
        <v>0</v>
      </c>
      <c r="V33" s="408">
        <f t="shared" si="19"/>
        <v>0</v>
      </c>
      <c r="W33" s="408">
        <f t="shared" si="19"/>
        <v>0</v>
      </c>
      <c r="X33" s="408">
        <f t="shared" si="19"/>
        <v>0</v>
      </c>
      <c r="Y33" s="408">
        <f t="shared" si="19"/>
        <v>0</v>
      </c>
      <c r="Z33" s="408">
        <f t="shared" si="19"/>
        <v>0</v>
      </c>
      <c r="AA33" s="408">
        <f t="shared" si="19"/>
        <v>0</v>
      </c>
      <c r="AB33" s="408">
        <f t="shared" si="19"/>
        <v>0</v>
      </c>
      <c r="AD33" s="359"/>
      <c r="AE33" s="371">
        <f t="shared" si="20"/>
        <v>0</v>
      </c>
      <c r="AF33" s="371">
        <f t="shared" si="20"/>
        <v>0</v>
      </c>
      <c r="AG33" s="371">
        <f t="shared" si="20"/>
        <v>0</v>
      </c>
      <c r="AH33" s="371">
        <f t="shared" si="20"/>
        <v>0</v>
      </c>
      <c r="AI33" s="371">
        <f t="shared" si="20"/>
        <v>0</v>
      </c>
      <c r="AJ33" s="371">
        <f t="shared" si="20"/>
        <v>0</v>
      </c>
      <c r="AK33" s="371">
        <f t="shared" si="20"/>
        <v>0</v>
      </c>
      <c r="AL33" s="371">
        <f t="shared" si="20"/>
        <v>0</v>
      </c>
      <c r="AM33" s="371">
        <f t="shared" si="20"/>
        <v>0</v>
      </c>
      <c r="AN33" s="371">
        <f t="shared" si="20"/>
        <v>0</v>
      </c>
      <c r="AO33" s="371">
        <f t="shared" si="20"/>
        <v>0</v>
      </c>
      <c r="AP33" s="371">
        <f t="shared" si="21"/>
        <v>0</v>
      </c>
      <c r="AQ33" s="371">
        <f t="shared" si="22"/>
        <v>0</v>
      </c>
      <c r="AR33" s="371">
        <f t="shared" si="22"/>
        <v>0</v>
      </c>
      <c r="AS33" s="371">
        <f t="shared" si="22"/>
        <v>0</v>
      </c>
      <c r="AT33" s="371">
        <f t="shared" si="22"/>
        <v>0</v>
      </c>
      <c r="AU33" s="371">
        <f t="shared" si="22"/>
        <v>0</v>
      </c>
      <c r="AV33" s="371">
        <f t="shared" si="22"/>
        <v>0</v>
      </c>
      <c r="AW33" s="371">
        <f t="shared" si="22"/>
        <v>0</v>
      </c>
      <c r="AX33" s="371">
        <f t="shared" si="22"/>
        <v>0</v>
      </c>
      <c r="AY33" s="371">
        <f t="shared" si="22"/>
        <v>0</v>
      </c>
      <c r="AZ33" s="371">
        <f t="shared" si="22"/>
        <v>0</v>
      </c>
      <c r="BA33" s="371">
        <f t="shared" si="23"/>
        <v>0</v>
      </c>
      <c r="BB33" s="371">
        <f t="shared" si="23"/>
        <v>0</v>
      </c>
      <c r="BC33" s="371">
        <f t="shared" si="23"/>
        <v>0</v>
      </c>
      <c r="BD33" s="371">
        <f t="shared" si="23"/>
        <v>0</v>
      </c>
      <c r="BE33" s="371">
        <f t="shared" si="23"/>
        <v>0</v>
      </c>
      <c r="BF33" s="371">
        <f t="shared" si="23"/>
        <v>0</v>
      </c>
      <c r="BG33" s="371">
        <f t="shared" si="23"/>
        <v>0</v>
      </c>
      <c r="BH33" s="371">
        <f t="shared" si="23"/>
        <v>0</v>
      </c>
      <c r="BI33" s="371">
        <f t="shared" si="23"/>
        <v>0</v>
      </c>
      <c r="BJ33" s="371">
        <f t="shared" si="23"/>
        <v>0</v>
      </c>
      <c r="BK33" s="371">
        <f t="shared" si="24"/>
        <v>0</v>
      </c>
      <c r="BL33" s="371">
        <f t="shared" si="24"/>
        <v>0</v>
      </c>
      <c r="BM33" s="371">
        <f t="shared" si="24"/>
        <v>0</v>
      </c>
      <c r="BN33" s="371">
        <f t="shared" si="24"/>
        <v>0</v>
      </c>
      <c r="BO33" s="371">
        <f t="shared" si="24"/>
        <v>0</v>
      </c>
      <c r="BP33" s="371">
        <f t="shared" si="24"/>
        <v>0</v>
      </c>
      <c r="BQ33" s="371">
        <f t="shared" si="24"/>
        <v>0</v>
      </c>
      <c r="BR33" s="371">
        <f t="shared" si="24"/>
        <v>0</v>
      </c>
      <c r="BS33" s="371">
        <f t="shared" si="24"/>
        <v>0</v>
      </c>
      <c r="BT33" s="371">
        <f t="shared" si="24"/>
        <v>0</v>
      </c>
      <c r="BU33" s="371">
        <f t="shared" si="25"/>
        <v>0</v>
      </c>
      <c r="BV33" s="371">
        <f t="shared" si="25"/>
        <v>0</v>
      </c>
      <c r="BW33" s="371">
        <f t="shared" si="25"/>
        <v>0</v>
      </c>
      <c r="BX33" s="371">
        <f t="shared" si="25"/>
        <v>0</v>
      </c>
      <c r="BY33" s="371">
        <f t="shared" si="25"/>
        <v>0</v>
      </c>
      <c r="BZ33" s="371">
        <f t="shared" si="25"/>
        <v>0</v>
      </c>
    </row>
    <row r="34" spans="2:78" ht="21" hidden="1" customHeight="1" outlineLevel="3">
      <c r="B34" s="367"/>
      <c r="C34" s="370"/>
      <c r="D34" s="374">
        <f t="shared" si="26"/>
        <v>45016</v>
      </c>
      <c r="E34" s="373" cm="1">
        <f t="array" ref="E34">IF($D34=LatestMonthOfActuals,INDEX($AE$25:$BZ$25,0,MATCH($D34,$AE$8:$BZ$8,0)),0)</f>
        <v>0</v>
      </c>
      <c r="F34" s="359"/>
      <c r="G34" s="408">
        <f t="shared" si="18"/>
        <v>0</v>
      </c>
      <c r="H34" s="408">
        <f t="shared" si="18"/>
        <v>0</v>
      </c>
      <c r="I34" s="408">
        <f t="shared" si="18"/>
        <v>0</v>
      </c>
      <c r="J34" s="408">
        <f t="shared" si="18"/>
        <v>0</v>
      </c>
      <c r="K34" s="408"/>
      <c r="L34" s="408"/>
      <c r="M34" s="408">
        <f t="shared" si="19"/>
        <v>0</v>
      </c>
      <c r="N34" s="408">
        <f t="shared" si="19"/>
        <v>0</v>
      </c>
      <c r="O34" s="408">
        <f t="shared" si="19"/>
        <v>0</v>
      </c>
      <c r="P34" s="408">
        <f t="shared" si="19"/>
        <v>0</v>
      </c>
      <c r="Q34" s="408">
        <f t="shared" si="19"/>
        <v>0</v>
      </c>
      <c r="R34" s="408">
        <f t="shared" si="19"/>
        <v>0</v>
      </c>
      <c r="S34" s="408">
        <f t="shared" si="19"/>
        <v>0</v>
      </c>
      <c r="T34" s="408">
        <f t="shared" si="19"/>
        <v>0</v>
      </c>
      <c r="U34" s="408">
        <f t="shared" si="19"/>
        <v>0</v>
      </c>
      <c r="V34" s="408">
        <f t="shared" si="19"/>
        <v>0</v>
      </c>
      <c r="W34" s="408">
        <f t="shared" si="19"/>
        <v>0</v>
      </c>
      <c r="X34" s="408">
        <f t="shared" si="19"/>
        <v>0</v>
      </c>
      <c r="Y34" s="408">
        <f t="shared" si="19"/>
        <v>0</v>
      </c>
      <c r="Z34" s="408">
        <f t="shared" si="19"/>
        <v>0</v>
      </c>
      <c r="AA34" s="408">
        <f t="shared" si="19"/>
        <v>0</v>
      </c>
      <c r="AB34" s="408">
        <f t="shared" si="19"/>
        <v>0</v>
      </c>
      <c r="AD34" s="359"/>
      <c r="AE34" s="371">
        <f t="shared" si="20"/>
        <v>0</v>
      </c>
      <c r="AF34" s="371">
        <f t="shared" si="20"/>
        <v>0</v>
      </c>
      <c r="AG34" s="371">
        <f t="shared" si="20"/>
        <v>0</v>
      </c>
      <c r="AH34" s="371">
        <f t="shared" si="20"/>
        <v>0</v>
      </c>
      <c r="AI34" s="371">
        <f t="shared" si="20"/>
        <v>0</v>
      </c>
      <c r="AJ34" s="371">
        <f t="shared" si="20"/>
        <v>0</v>
      </c>
      <c r="AK34" s="371">
        <f t="shared" si="20"/>
        <v>0</v>
      </c>
      <c r="AL34" s="371">
        <f t="shared" si="20"/>
        <v>0</v>
      </c>
      <c r="AM34" s="371">
        <f t="shared" si="20"/>
        <v>0</v>
      </c>
      <c r="AN34" s="371">
        <f t="shared" si="20"/>
        <v>0</v>
      </c>
      <c r="AO34" s="371">
        <f t="shared" si="20"/>
        <v>0</v>
      </c>
      <c r="AP34" s="371">
        <f t="shared" si="21"/>
        <v>0</v>
      </c>
      <c r="AQ34" s="371">
        <f t="shared" si="22"/>
        <v>0</v>
      </c>
      <c r="AR34" s="371">
        <f t="shared" si="22"/>
        <v>0</v>
      </c>
      <c r="AS34" s="371">
        <f t="shared" si="22"/>
        <v>0</v>
      </c>
      <c r="AT34" s="371">
        <f t="shared" si="22"/>
        <v>0</v>
      </c>
      <c r="AU34" s="371">
        <f t="shared" si="22"/>
        <v>0</v>
      </c>
      <c r="AV34" s="371">
        <f t="shared" si="22"/>
        <v>0</v>
      </c>
      <c r="AW34" s="371">
        <f t="shared" si="22"/>
        <v>0</v>
      </c>
      <c r="AX34" s="371">
        <f t="shared" si="22"/>
        <v>0</v>
      </c>
      <c r="AY34" s="371">
        <f t="shared" si="22"/>
        <v>0</v>
      </c>
      <c r="AZ34" s="371">
        <f t="shared" si="22"/>
        <v>0</v>
      </c>
      <c r="BA34" s="371">
        <f t="shared" si="23"/>
        <v>0</v>
      </c>
      <c r="BB34" s="371">
        <f t="shared" si="23"/>
        <v>0</v>
      </c>
      <c r="BC34" s="371">
        <f t="shared" si="23"/>
        <v>0</v>
      </c>
      <c r="BD34" s="371">
        <f t="shared" si="23"/>
        <v>0</v>
      </c>
      <c r="BE34" s="371">
        <f t="shared" si="23"/>
        <v>0</v>
      </c>
      <c r="BF34" s="371">
        <f t="shared" si="23"/>
        <v>0</v>
      </c>
      <c r="BG34" s="371">
        <f t="shared" si="23"/>
        <v>0</v>
      </c>
      <c r="BH34" s="371">
        <f t="shared" si="23"/>
        <v>0</v>
      </c>
      <c r="BI34" s="371">
        <f t="shared" si="23"/>
        <v>0</v>
      </c>
      <c r="BJ34" s="371">
        <f t="shared" si="23"/>
        <v>0</v>
      </c>
      <c r="BK34" s="371">
        <f t="shared" si="24"/>
        <v>0</v>
      </c>
      <c r="BL34" s="371">
        <f t="shared" si="24"/>
        <v>0</v>
      </c>
      <c r="BM34" s="371">
        <f t="shared" si="24"/>
        <v>0</v>
      </c>
      <c r="BN34" s="371">
        <f t="shared" si="24"/>
        <v>0</v>
      </c>
      <c r="BO34" s="371">
        <f t="shared" si="24"/>
        <v>0</v>
      </c>
      <c r="BP34" s="371">
        <f t="shared" si="24"/>
        <v>0</v>
      </c>
      <c r="BQ34" s="371">
        <f t="shared" si="24"/>
        <v>0</v>
      </c>
      <c r="BR34" s="371">
        <f t="shared" si="24"/>
        <v>0</v>
      </c>
      <c r="BS34" s="371">
        <f t="shared" si="24"/>
        <v>0</v>
      </c>
      <c r="BT34" s="371">
        <f t="shared" si="24"/>
        <v>0</v>
      </c>
      <c r="BU34" s="371">
        <f t="shared" si="25"/>
        <v>0</v>
      </c>
      <c r="BV34" s="371">
        <f t="shared" si="25"/>
        <v>0</v>
      </c>
      <c r="BW34" s="371">
        <f t="shared" si="25"/>
        <v>0</v>
      </c>
      <c r="BX34" s="371">
        <f t="shared" si="25"/>
        <v>0</v>
      </c>
      <c r="BY34" s="371">
        <f t="shared" si="25"/>
        <v>0</v>
      </c>
      <c r="BZ34" s="371">
        <f t="shared" si="25"/>
        <v>0</v>
      </c>
    </row>
    <row r="35" spans="2:78" ht="21" hidden="1" customHeight="1" outlineLevel="3">
      <c r="B35" s="367"/>
      <c r="C35" s="370"/>
      <c r="D35" s="374">
        <f t="shared" si="26"/>
        <v>45046</v>
      </c>
      <c r="E35" s="373" cm="1">
        <f t="array" ref="E35">IF($D35=LatestMonthOfActuals,INDEX($AE$25:$BZ$25,0,MATCH($D35,$AE$8:$BZ$8,0)),0)</f>
        <v>0</v>
      </c>
      <c r="F35" s="359"/>
      <c r="G35" s="408">
        <f t="shared" si="18"/>
        <v>0</v>
      </c>
      <c r="H35" s="408">
        <f t="shared" si="18"/>
        <v>0</v>
      </c>
      <c r="I35" s="408">
        <f t="shared" si="18"/>
        <v>0</v>
      </c>
      <c r="J35" s="408">
        <f t="shared" si="18"/>
        <v>0</v>
      </c>
      <c r="K35" s="408"/>
      <c r="L35" s="408"/>
      <c r="M35" s="408">
        <f t="shared" si="19"/>
        <v>0</v>
      </c>
      <c r="N35" s="408">
        <f t="shared" si="19"/>
        <v>0</v>
      </c>
      <c r="O35" s="408">
        <f t="shared" si="19"/>
        <v>0</v>
      </c>
      <c r="P35" s="408">
        <f t="shared" si="19"/>
        <v>0</v>
      </c>
      <c r="Q35" s="408">
        <f t="shared" si="19"/>
        <v>0</v>
      </c>
      <c r="R35" s="408">
        <f t="shared" si="19"/>
        <v>0</v>
      </c>
      <c r="S35" s="408">
        <f t="shared" si="19"/>
        <v>0</v>
      </c>
      <c r="T35" s="408">
        <f t="shared" si="19"/>
        <v>0</v>
      </c>
      <c r="U35" s="408">
        <f t="shared" si="19"/>
        <v>0</v>
      </c>
      <c r="V35" s="408">
        <f t="shared" si="19"/>
        <v>0</v>
      </c>
      <c r="W35" s="408">
        <f t="shared" si="19"/>
        <v>0</v>
      </c>
      <c r="X35" s="408">
        <f t="shared" si="19"/>
        <v>0</v>
      </c>
      <c r="Y35" s="408">
        <f t="shared" si="19"/>
        <v>0</v>
      </c>
      <c r="Z35" s="408">
        <f t="shared" si="19"/>
        <v>0</v>
      </c>
      <c r="AA35" s="408">
        <f t="shared" si="19"/>
        <v>0</v>
      </c>
      <c r="AB35" s="408">
        <f t="shared" si="19"/>
        <v>0</v>
      </c>
      <c r="AD35" s="359"/>
      <c r="AE35" s="371">
        <f t="shared" si="20"/>
        <v>0</v>
      </c>
      <c r="AF35" s="371">
        <f t="shared" si="20"/>
        <v>0</v>
      </c>
      <c r="AG35" s="371">
        <f t="shared" si="20"/>
        <v>0</v>
      </c>
      <c r="AH35" s="371">
        <f t="shared" si="20"/>
        <v>0</v>
      </c>
      <c r="AI35" s="371">
        <f t="shared" si="20"/>
        <v>0</v>
      </c>
      <c r="AJ35" s="371">
        <f t="shared" si="20"/>
        <v>0</v>
      </c>
      <c r="AK35" s="371">
        <f t="shared" si="20"/>
        <v>0</v>
      </c>
      <c r="AL35" s="371">
        <f t="shared" si="20"/>
        <v>0</v>
      </c>
      <c r="AM35" s="371">
        <f t="shared" si="20"/>
        <v>0</v>
      </c>
      <c r="AN35" s="371">
        <f t="shared" si="20"/>
        <v>0</v>
      </c>
      <c r="AO35" s="371">
        <f t="shared" si="20"/>
        <v>0</v>
      </c>
      <c r="AP35" s="371">
        <f t="shared" si="21"/>
        <v>0</v>
      </c>
      <c r="AQ35" s="371">
        <f t="shared" si="22"/>
        <v>0</v>
      </c>
      <c r="AR35" s="371">
        <f t="shared" si="22"/>
        <v>0</v>
      </c>
      <c r="AS35" s="371">
        <f t="shared" si="22"/>
        <v>0</v>
      </c>
      <c r="AT35" s="371">
        <f t="shared" si="22"/>
        <v>0</v>
      </c>
      <c r="AU35" s="371">
        <f t="shared" si="22"/>
        <v>0</v>
      </c>
      <c r="AV35" s="371">
        <f t="shared" si="22"/>
        <v>0</v>
      </c>
      <c r="AW35" s="371">
        <f t="shared" si="22"/>
        <v>0</v>
      </c>
      <c r="AX35" s="371">
        <f t="shared" si="22"/>
        <v>0</v>
      </c>
      <c r="AY35" s="371">
        <f t="shared" si="22"/>
        <v>0</v>
      </c>
      <c r="AZ35" s="371">
        <f t="shared" si="22"/>
        <v>0</v>
      </c>
      <c r="BA35" s="371">
        <f t="shared" si="23"/>
        <v>0</v>
      </c>
      <c r="BB35" s="371">
        <f t="shared" si="23"/>
        <v>0</v>
      </c>
      <c r="BC35" s="371">
        <f t="shared" si="23"/>
        <v>0</v>
      </c>
      <c r="BD35" s="371">
        <f t="shared" si="23"/>
        <v>0</v>
      </c>
      <c r="BE35" s="371">
        <f t="shared" si="23"/>
        <v>0</v>
      </c>
      <c r="BF35" s="371">
        <f t="shared" si="23"/>
        <v>0</v>
      </c>
      <c r="BG35" s="371">
        <f t="shared" si="23"/>
        <v>0</v>
      </c>
      <c r="BH35" s="371">
        <f t="shared" si="23"/>
        <v>0</v>
      </c>
      <c r="BI35" s="371">
        <f t="shared" si="23"/>
        <v>0</v>
      </c>
      <c r="BJ35" s="371">
        <f t="shared" si="23"/>
        <v>0</v>
      </c>
      <c r="BK35" s="371">
        <f t="shared" si="24"/>
        <v>0</v>
      </c>
      <c r="BL35" s="371">
        <f t="shared" si="24"/>
        <v>0</v>
      </c>
      <c r="BM35" s="371">
        <f t="shared" si="24"/>
        <v>0</v>
      </c>
      <c r="BN35" s="371">
        <f t="shared" si="24"/>
        <v>0</v>
      </c>
      <c r="BO35" s="371">
        <f t="shared" si="24"/>
        <v>0</v>
      </c>
      <c r="BP35" s="371">
        <f t="shared" si="24"/>
        <v>0</v>
      </c>
      <c r="BQ35" s="371">
        <f t="shared" si="24"/>
        <v>0</v>
      </c>
      <c r="BR35" s="371">
        <f t="shared" si="24"/>
        <v>0</v>
      </c>
      <c r="BS35" s="371">
        <f t="shared" si="24"/>
        <v>0</v>
      </c>
      <c r="BT35" s="371">
        <f t="shared" si="24"/>
        <v>0</v>
      </c>
      <c r="BU35" s="371">
        <f t="shared" si="25"/>
        <v>0</v>
      </c>
      <c r="BV35" s="371">
        <f t="shared" si="25"/>
        <v>0</v>
      </c>
      <c r="BW35" s="371">
        <f t="shared" si="25"/>
        <v>0</v>
      </c>
      <c r="BX35" s="371">
        <f t="shared" si="25"/>
        <v>0</v>
      </c>
      <c r="BY35" s="371">
        <f t="shared" si="25"/>
        <v>0</v>
      </c>
      <c r="BZ35" s="371">
        <f t="shared" si="25"/>
        <v>0</v>
      </c>
    </row>
    <row r="36" spans="2:78" ht="21" hidden="1" customHeight="1" outlineLevel="3">
      <c r="B36" s="367"/>
      <c r="C36" s="370"/>
      <c r="D36" s="374">
        <f t="shared" si="26"/>
        <v>45077</v>
      </c>
      <c r="E36" s="373" cm="1">
        <f t="array" ref="E36">IF($D36=LatestMonthOfActuals,INDEX($AE$25:$BZ$25,0,MATCH($D36,$AE$8:$BZ$8,0)),0)</f>
        <v>0</v>
      </c>
      <c r="F36" s="359"/>
      <c r="G36" s="408">
        <f t="shared" si="18"/>
        <v>0</v>
      </c>
      <c r="H36" s="408">
        <f t="shared" si="18"/>
        <v>0</v>
      </c>
      <c r="I36" s="408">
        <f t="shared" si="18"/>
        <v>0</v>
      </c>
      <c r="J36" s="408">
        <f t="shared" si="18"/>
        <v>0</v>
      </c>
      <c r="K36" s="408"/>
      <c r="L36" s="408"/>
      <c r="M36" s="408">
        <f t="shared" si="19"/>
        <v>0</v>
      </c>
      <c r="N36" s="408">
        <f t="shared" si="19"/>
        <v>0</v>
      </c>
      <c r="O36" s="408">
        <f t="shared" si="19"/>
        <v>0</v>
      </c>
      <c r="P36" s="408">
        <f t="shared" si="19"/>
        <v>0</v>
      </c>
      <c r="Q36" s="408">
        <f t="shared" si="19"/>
        <v>0</v>
      </c>
      <c r="R36" s="408">
        <f t="shared" si="19"/>
        <v>0</v>
      </c>
      <c r="S36" s="408">
        <f t="shared" si="19"/>
        <v>0</v>
      </c>
      <c r="T36" s="408">
        <f t="shared" si="19"/>
        <v>0</v>
      </c>
      <c r="U36" s="408">
        <f t="shared" si="19"/>
        <v>0</v>
      </c>
      <c r="V36" s="408">
        <f t="shared" si="19"/>
        <v>0</v>
      </c>
      <c r="W36" s="408">
        <f t="shared" si="19"/>
        <v>0</v>
      </c>
      <c r="X36" s="408">
        <f t="shared" si="19"/>
        <v>0</v>
      </c>
      <c r="Y36" s="408">
        <f t="shared" si="19"/>
        <v>0</v>
      </c>
      <c r="Z36" s="408">
        <f t="shared" si="19"/>
        <v>0</v>
      </c>
      <c r="AA36" s="408">
        <f t="shared" si="19"/>
        <v>0</v>
      </c>
      <c r="AB36" s="408">
        <f t="shared" si="19"/>
        <v>0</v>
      </c>
      <c r="AD36" s="359"/>
      <c r="AE36" s="371">
        <f t="shared" si="20"/>
        <v>0</v>
      </c>
      <c r="AF36" s="371">
        <f t="shared" si="20"/>
        <v>0</v>
      </c>
      <c r="AG36" s="371">
        <f t="shared" si="20"/>
        <v>0</v>
      </c>
      <c r="AH36" s="371">
        <f t="shared" si="20"/>
        <v>0</v>
      </c>
      <c r="AI36" s="371">
        <f t="shared" si="20"/>
        <v>0</v>
      </c>
      <c r="AJ36" s="371">
        <f t="shared" si="20"/>
        <v>0</v>
      </c>
      <c r="AK36" s="371">
        <f t="shared" si="20"/>
        <v>0</v>
      </c>
      <c r="AL36" s="371">
        <f t="shared" si="20"/>
        <v>0</v>
      </c>
      <c r="AM36" s="371">
        <f t="shared" si="20"/>
        <v>0</v>
      </c>
      <c r="AN36" s="371">
        <f t="shared" si="20"/>
        <v>0</v>
      </c>
      <c r="AO36" s="371">
        <f t="shared" si="20"/>
        <v>0</v>
      </c>
      <c r="AP36" s="371">
        <f t="shared" si="21"/>
        <v>0</v>
      </c>
      <c r="AQ36" s="371">
        <f t="shared" si="22"/>
        <v>0</v>
      </c>
      <c r="AR36" s="371">
        <f t="shared" si="22"/>
        <v>0</v>
      </c>
      <c r="AS36" s="371">
        <f t="shared" si="22"/>
        <v>0</v>
      </c>
      <c r="AT36" s="371">
        <f t="shared" si="22"/>
        <v>0</v>
      </c>
      <c r="AU36" s="371">
        <f t="shared" si="22"/>
        <v>0</v>
      </c>
      <c r="AV36" s="371">
        <f t="shared" si="22"/>
        <v>0</v>
      </c>
      <c r="AW36" s="371">
        <f t="shared" si="22"/>
        <v>0</v>
      </c>
      <c r="AX36" s="371">
        <f t="shared" si="22"/>
        <v>0</v>
      </c>
      <c r="AY36" s="371">
        <f t="shared" si="22"/>
        <v>0</v>
      </c>
      <c r="AZ36" s="371">
        <f t="shared" si="22"/>
        <v>0</v>
      </c>
      <c r="BA36" s="371">
        <f t="shared" si="23"/>
        <v>0</v>
      </c>
      <c r="BB36" s="371">
        <f t="shared" si="23"/>
        <v>0</v>
      </c>
      <c r="BC36" s="371">
        <f t="shared" si="23"/>
        <v>0</v>
      </c>
      <c r="BD36" s="371">
        <f t="shared" si="23"/>
        <v>0</v>
      </c>
      <c r="BE36" s="371">
        <f t="shared" si="23"/>
        <v>0</v>
      </c>
      <c r="BF36" s="371">
        <f t="shared" si="23"/>
        <v>0</v>
      </c>
      <c r="BG36" s="371">
        <f t="shared" si="23"/>
        <v>0</v>
      </c>
      <c r="BH36" s="371">
        <f t="shared" si="23"/>
        <v>0</v>
      </c>
      <c r="BI36" s="371">
        <f t="shared" si="23"/>
        <v>0</v>
      </c>
      <c r="BJ36" s="371">
        <f t="shared" si="23"/>
        <v>0</v>
      </c>
      <c r="BK36" s="371">
        <f t="shared" si="24"/>
        <v>0</v>
      </c>
      <c r="BL36" s="371">
        <f t="shared" si="24"/>
        <v>0</v>
      </c>
      <c r="BM36" s="371">
        <f t="shared" si="24"/>
        <v>0</v>
      </c>
      <c r="BN36" s="371">
        <f t="shared" si="24"/>
        <v>0</v>
      </c>
      <c r="BO36" s="371">
        <f t="shared" si="24"/>
        <v>0</v>
      </c>
      <c r="BP36" s="371">
        <f t="shared" si="24"/>
        <v>0</v>
      </c>
      <c r="BQ36" s="371">
        <f t="shared" si="24"/>
        <v>0</v>
      </c>
      <c r="BR36" s="371">
        <f t="shared" si="24"/>
        <v>0</v>
      </c>
      <c r="BS36" s="371">
        <f t="shared" si="24"/>
        <v>0</v>
      </c>
      <c r="BT36" s="371">
        <f t="shared" si="24"/>
        <v>0</v>
      </c>
      <c r="BU36" s="371">
        <f t="shared" si="25"/>
        <v>0</v>
      </c>
      <c r="BV36" s="371">
        <f t="shared" si="25"/>
        <v>0</v>
      </c>
      <c r="BW36" s="371">
        <f t="shared" si="25"/>
        <v>0</v>
      </c>
      <c r="BX36" s="371">
        <f t="shared" si="25"/>
        <v>0</v>
      </c>
      <c r="BY36" s="371">
        <f t="shared" si="25"/>
        <v>0</v>
      </c>
      <c r="BZ36" s="371">
        <f t="shared" si="25"/>
        <v>0</v>
      </c>
    </row>
    <row r="37" spans="2:78" ht="21" hidden="1" customHeight="1" outlineLevel="3">
      <c r="B37" s="367"/>
      <c r="C37" s="370"/>
      <c r="D37" s="374">
        <f t="shared" si="26"/>
        <v>45107</v>
      </c>
      <c r="E37" s="373" cm="1">
        <f t="array" ref="E37">IF($D37=LatestMonthOfActuals,INDEX($AE$25:$BZ$25,0,MATCH($D37,$AE$8:$BZ$8,0)),0)</f>
        <v>0</v>
      </c>
      <c r="F37" s="359"/>
      <c r="G37" s="408">
        <f t="shared" si="18"/>
        <v>0</v>
      </c>
      <c r="H37" s="408">
        <f t="shared" si="18"/>
        <v>0</v>
      </c>
      <c r="I37" s="408">
        <f t="shared" si="18"/>
        <v>0</v>
      </c>
      <c r="J37" s="408">
        <f t="shared" si="18"/>
        <v>0</v>
      </c>
      <c r="K37" s="408"/>
      <c r="L37" s="408"/>
      <c r="M37" s="408">
        <f t="shared" si="19"/>
        <v>0</v>
      </c>
      <c r="N37" s="408">
        <f t="shared" si="19"/>
        <v>0</v>
      </c>
      <c r="O37" s="408">
        <f t="shared" si="19"/>
        <v>0</v>
      </c>
      <c r="P37" s="408">
        <f t="shared" si="19"/>
        <v>0</v>
      </c>
      <c r="Q37" s="408">
        <f t="shared" si="19"/>
        <v>0</v>
      </c>
      <c r="R37" s="408">
        <f t="shared" si="19"/>
        <v>0</v>
      </c>
      <c r="S37" s="408">
        <f t="shared" si="19"/>
        <v>0</v>
      </c>
      <c r="T37" s="408">
        <f t="shared" si="19"/>
        <v>0</v>
      </c>
      <c r="U37" s="408">
        <f t="shared" si="19"/>
        <v>0</v>
      </c>
      <c r="V37" s="408">
        <f t="shared" si="19"/>
        <v>0</v>
      </c>
      <c r="W37" s="408">
        <f t="shared" si="19"/>
        <v>0</v>
      </c>
      <c r="X37" s="408">
        <f t="shared" si="19"/>
        <v>0</v>
      </c>
      <c r="Y37" s="408">
        <f t="shared" si="19"/>
        <v>0</v>
      </c>
      <c r="Z37" s="408">
        <f t="shared" si="19"/>
        <v>0</v>
      </c>
      <c r="AA37" s="408">
        <f t="shared" si="19"/>
        <v>0</v>
      </c>
      <c r="AB37" s="408">
        <f t="shared" si="19"/>
        <v>0</v>
      </c>
      <c r="AD37" s="359"/>
      <c r="AE37" s="371">
        <f t="shared" si="20"/>
        <v>0</v>
      </c>
      <c r="AF37" s="371">
        <f t="shared" si="20"/>
        <v>0</v>
      </c>
      <c r="AG37" s="371">
        <f t="shared" si="20"/>
        <v>0</v>
      </c>
      <c r="AH37" s="371">
        <f t="shared" si="20"/>
        <v>0</v>
      </c>
      <c r="AI37" s="371">
        <f t="shared" si="20"/>
        <v>0</v>
      </c>
      <c r="AJ37" s="371">
        <f t="shared" si="20"/>
        <v>0</v>
      </c>
      <c r="AK37" s="371">
        <f t="shared" si="20"/>
        <v>0</v>
      </c>
      <c r="AL37" s="371">
        <f t="shared" si="20"/>
        <v>0</v>
      </c>
      <c r="AM37" s="371">
        <f t="shared" si="20"/>
        <v>0</v>
      </c>
      <c r="AN37" s="371">
        <f t="shared" si="20"/>
        <v>0</v>
      </c>
      <c r="AO37" s="371">
        <f t="shared" si="20"/>
        <v>0</v>
      </c>
      <c r="AP37" s="371">
        <f t="shared" si="21"/>
        <v>0</v>
      </c>
      <c r="AQ37" s="371">
        <f t="shared" si="22"/>
        <v>0</v>
      </c>
      <c r="AR37" s="371">
        <f t="shared" si="22"/>
        <v>0</v>
      </c>
      <c r="AS37" s="371">
        <f t="shared" si="22"/>
        <v>0</v>
      </c>
      <c r="AT37" s="371">
        <f t="shared" si="22"/>
        <v>0</v>
      </c>
      <c r="AU37" s="371">
        <f t="shared" si="22"/>
        <v>0</v>
      </c>
      <c r="AV37" s="371">
        <f t="shared" si="22"/>
        <v>0</v>
      </c>
      <c r="AW37" s="371">
        <f t="shared" si="22"/>
        <v>0</v>
      </c>
      <c r="AX37" s="371">
        <f t="shared" si="22"/>
        <v>0</v>
      </c>
      <c r="AY37" s="371">
        <f t="shared" si="22"/>
        <v>0</v>
      </c>
      <c r="AZ37" s="371">
        <f t="shared" si="22"/>
        <v>0</v>
      </c>
      <c r="BA37" s="371">
        <f t="shared" si="23"/>
        <v>0</v>
      </c>
      <c r="BB37" s="371">
        <f t="shared" si="23"/>
        <v>0</v>
      </c>
      <c r="BC37" s="371">
        <f t="shared" si="23"/>
        <v>0</v>
      </c>
      <c r="BD37" s="371">
        <f t="shared" si="23"/>
        <v>0</v>
      </c>
      <c r="BE37" s="371">
        <f t="shared" si="23"/>
        <v>0</v>
      </c>
      <c r="BF37" s="371">
        <f t="shared" si="23"/>
        <v>0</v>
      </c>
      <c r="BG37" s="371">
        <f t="shared" si="23"/>
        <v>0</v>
      </c>
      <c r="BH37" s="371">
        <f t="shared" si="23"/>
        <v>0</v>
      </c>
      <c r="BI37" s="371">
        <f t="shared" si="23"/>
        <v>0</v>
      </c>
      <c r="BJ37" s="371">
        <f t="shared" si="23"/>
        <v>0</v>
      </c>
      <c r="BK37" s="371">
        <f t="shared" si="24"/>
        <v>0</v>
      </c>
      <c r="BL37" s="371">
        <f t="shared" si="24"/>
        <v>0</v>
      </c>
      <c r="BM37" s="371">
        <f t="shared" si="24"/>
        <v>0</v>
      </c>
      <c r="BN37" s="371">
        <f t="shared" si="24"/>
        <v>0</v>
      </c>
      <c r="BO37" s="371">
        <f t="shared" si="24"/>
        <v>0</v>
      </c>
      <c r="BP37" s="371">
        <f t="shared" si="24"/>
        <v>0</v>
      </c>
      <c r="BQ37" s="371">
        <f t="shared" si="24"/>
        <v>0</v>
      </c>
      <c r="BR37" s="371">
        <f t="shared" si="24"/>
        <v>0</v>
      </c>
      <c r="BS37" s="371">
        <f t="shared" si="24"/>
        <v>0</v>
      </c>
      <c r="BT37" s="371">
        <f t="shared" si="24"/>
        <v>0</v>
      </c>
      <c r="BU37" s="371">
        <f t="shared" si="25"/>
        <v>0</v>
      </c>
      <c r="BV37" s="371">
        <f t="shared" si="25"/>
        <v>0</v>
      </c>
      <c r="BW37" s="371">
        <f t="shared" si="25"/>
        <v>0</v>
      </c>
      <c r="BX37" s="371">
        <f t="shared" si="25"/>
        <v>0</v>
      </c>
      <c r="BY37" s="371">
        <f t="shared" si="25"/>
        <v>0</v>
      </c>
      <c r="BZ37" s="371">
        <f t="shared" si="25"/>
        <v>0</v>
      </c>
    </row>
    <row r="38" spans="2:78" ht="21" hidden="1" customHeight="1" outlineLevel="3">
      <c r="B38" s="367"/>
      <c r="C38" s="370"/>
      <c r="D38" s="374">
        <f t="shared" si="26"/>
        <v>45138</v>
      </c>
      <c r="E38" s="373" cm="1">
        <f t="array" ref="E38">IF($D38=LatestMonthOfActuals,INDEX($AE$25:$BZ$25,0,MATCH($D38,$AE$8:$BZ$8,0)),0)</f>
        <v>0</v>
      </c>
      <c r="F38" s="359"/>
      <c r="G38" s="408">
        <f t="shared" si="18"/>
        <v>0</v>
      </c>
      <c r="H38" s="408">
        <f t="shared" si="18"/>
        <v>0</v>
      </c>
      <c r="I38" s="408">
        <f t="shared" si="18"/>
        <v>0</v>
      </c>
      <c r="J38" s="408">
        <f t="shared" si="18"/>
        <v>0</v>
      </c>
      <c r="K38" s="408"/>
      <c r="L38" s="408"/>
      <c r="M38" s="408">
        <f t="shared" si="19"/>
        <v>0</v>
      </c>
      <c r="N38" s="408">
        <f t="shared" si="19"/>
        <v>0</v>
      </c>
      <c r="O38" s="408">
        <f t="shared" si="19"/>
        <v>0</v>
      </c>
      <c r="P38" s="408">
        <f t="shared" si="19"/>
        <v>0</v>
      </c>
      <c r="Q38" s="408">
        <f t="shared" si="19"/>
        <v>0</v>
      </c>
      <c r="R38" s="408">
        <f t="shared" si="19"/>
        <v>0</v>
      </c>
      <c r="S38" s="408">
        <f t="shared" si="19"/>
        <v>0</v>
      </c>
      <c r="T38" s="408">
        <f t="shared" si="19"/>
        <v>0</v>
      </c>
      <c r="U38" s="408">
        <f t="shared" si="19"/>
        <v>0</v>
      </c>
      <c r="V38" s="408">
        <f t="shared" si="19"/>
        <v>0</v>
      </c>
      <c r="W38" s="408">
        <f t="shared" si="19"/>
        <v>0</v>
      </c>
      <c r="X38" s="408">
        <f t="shared" si="19"/>
        <v>0</v>
      </c>
      <c r="Y38" s="408">
        <f t="shared" si="19"/>
        <v>0</v>
      </c>
      <c r="Z38" s="408">
        <f t="shared" si="19"/>
        <v>0</v>
      </c>
      <c r="AA38" s="408">
        <f t="shared" si="19"/>
        <v>0</v>
      </c>
      <c r="AB38" s="408">
        <f t="shared" si="19"/>
        <v>0</v>
      </c>
      <c r="AD38" s="359"/>
      <c r="AE38" s="371">
        <f t="shared" si="20"/>
        <v>0</v>
      </c>
      <c r="AF38" s="371">
        <f t="shared" si="20"/>
        <v>0</v>
      </c>
      <c r="AG38" s="371">
        <f t="shared" si="20"/>
        <v>0</v>
      </c>
      <c r="AH38" s="371">
        <f t="shared" si="20"/>
        <v>0</v>
      </c>
      <c r="AI38" s="371">
        <f t="shared" si="20"/>
        <v>0</v>
      </c>
      <c r="AJ38" s="371">
        <f t="shared" si="20"/>
        <v>0</v>
      </c>
      <c r="AK38" s="371">
        <f t="shared" si="20"/>
        <v>0</v>
      </c>
      <c r="AL38" s="371">
        <f t="shared" si="20"/>
        <v>0</v>
      </c>
      <c r="AM38" s="371">
        <f t="shared" si="20"/>
        <v>0</v>
      </c>
      <c r="AN38" s="371">
        <f t="shared" si="20"/>
        <v>0</v>
      </c>
      <c r="AO38" s="371">
        <f t="shared" si="20"/>
        <v>0</v>
      </c>
      <c r="AP38" s="371">
        <f t="shared" si="21"/>
        <v>0</v>
      </c>
      <c r="AQ38" s="371">
        <f t="shared" si="22"/>
        <v>0</v>
      </c>
      <c r="AR38" s="371">
        <f t="shared" si="22"/>
        <v>0</v>
      </c>
      <c r="AS38" s="371">
        <f t="shared" si="22"/>
        <v>0</v>
      </c>
      <c r="AT38" s="371">
        <f t="shared" si="22"/>
        <v>0</v>
      </c>
      <c r="AU38" s="371">
        <f t="shared" si="22"/>
        <v>0</v>
      </c>
      <c r="AV38" s="371">
        <f t="shared" si="22"/>
        <v>0</v>
      </c>
      <c r="AW38" s="371">
        <f t="shared" si="22"/>
        <v>0</v>
      </c>
      <c r="AX38" s="371">
        <f t="shared" si="22"/>
        <v>0</v>
      </c>
      <c r="AY38" s="371">
        <f t="shared" si="22"/>
        <v>0</v>
      </c>
      <c r="AZ38" s="371">
        <f t="shared" si="22"/>
        <v>0</v>
      </c>
      <c r="BA38" s="371">
        <f t="shared" si="23"/>
        <v>0</v>
      </c>
      <c r="BB38" s="371">
        <f t="shared" si="23"/>
        <v>0</v>
      </c>
      <c r="BC38" s="371">
        <f t="shared" si="23"/>
        <v>0</v>
      </c>
      <c r="BD38" s="371">
        <f t="shared" si="23"/>
        <v>0</v>
      </c>
      <c r="BE38" s="371">
        <f t="shared" si="23"/>
        <v>0</v>
      </c>
      <c r="BF38" s="371">
        <f t="shared" si="23"/>
        <v>0</v>
      </c>
      <c r="BG38" s="371">
        <f t="shared" si="23"/>
        <v>0</v>
      </c>
      <c r="BH38" s="371">
        <f t="shared" si="23"/>
        <v>0</v>
      </c>
      <c r="BI38" s="371">
        <f t="shared" si="23"/>
        <v>0</v>
      </c>
      <c r="BJ38" s="371">
        <f t="shared" si="23"/>
        <v>0</v>
      </c>
      <c r="BK38" s="371">
        <f t="shared" si="24"/>
        <v>0</v>
      </c>
      <c r="BL38" s="371">
        <f t="shared" si="24"/>
        <v>0</v>
      </c>
      <c r="BM38" s="371">
        <f t="shared" si="24"/>
        <v>0</v>
      </c>
      <c r="BN38" s="371">
        <f t="shared" si="24"/>
        <v>0</v>
      </c>
      <c r="BO38" s="371">
        <f t="shared" si="24"/>
        <v>0</v>
      </c>
      <c r="BP38" s="371">
        <f t="shared" si="24"/>
        <v>0</v>
      </c>
      <c r="BQ38" s="371">
        <f t="shared" si="24"/>
        <v>0</v>
      </c>
      <c r="BR38" s="371">
        <f t="shared" si="24"/>
        <v>0</v>
      </c>
      <c r="BS38" s="371">
        <f t="shared" si="24"/>
        <v>0</v>
      </c>
      <c r="BT38" s="371">
        <f t="shared" si="24"/>
        <v>0</v>
      </c>
      <c r="BU38" s="371">
        <f t="shared" si="25"/>
        <v>0</v>
      </c>
      <c r="BV38" s="371">
        <f t="shared" si="25"/>
        <v>0</v>
      </c>
      <c r="BW38" s="371">
        <f t="shared" si="25"/>
        <v>0</v>
      </c>
      <c r="BX38" s="371">
        <f t="shared" si="25"/>
        <v>0</v>
      </c>
      <c r="BY38" s="371">
        <f t="shared" si="25"/>
        <v>0</v>
      </c>
      <c r="BZ38" s="371">
        <f t="shared" si="25"/>
        <v>0</v>
      </c>
    </row>
    <row r="39" spans="2:78" ht="21" hidden="1" customHeight="1" outlineLevel="3">
      <c r="B39" s="367"/>
      <c r="C39" s="370"/>
      <c r="D39" s="374">
        <f t="shared" si="26"/>
        <v>45169</v>
      </c>
      <c r="E39" s="373" cm="1">
        <f t="array" ref="E39">IF($D39=LatestMonthOfActuals,INDEX($AE$25:$BZ$25,0,MATCH($D39,$AE$8:$BZ$8,0)),0)</f>
        <v>0</v>
      </c>
      <c r="F39" s="359"/>
      <c r="G39" s="408">
        <f t="shared" si="18"/>
        <v>0</v>
      </c>
      <c r="H39" s="408">
        <f t="shared" si="18"/>
        <v>0</v>
      </c>
      <c r="I39" s="408">
        <f t="shared" si="18"/>
        <v>0</v>
      </c>
      <c r="J39" s="408">
        <f t="shared" si="18"/>
        <v>0</v>
      </c>
      <c r="K39" s="408"/>
      <c r="L39" s="408"/>
      <c r="M39" s="408">
        <f t="shared" si="19"/>
        <v>0</v>
      </c>
      <c r="N39" s="408">
        <f t="shared" si="19"/>
        <v>0</v>
      </c>
      <c r="O39" s="408">
        <f t="shared" si="19"/>
        <v>0</v>
      </c>
      <c r="P39" s="408">
        <f t="shared" si="19"/>
        <v>0</v>
      </c>
      <c r="Q39" s="408">
        <f t="shared" si="19"/>
        <v>0</v>
      </c>
      <c r="R39" s="408">
        <f t="shared" si="19"/>
        <v>0</v>
      </c>
      <c r="S39" s="408">
        <f t="shared" si="19"/>
        <v>0</v>
      </c>
      <c r="T39" s="408">
        <f t="shared" si="19"/>
        <v>0</v>
      </c>
      <c r="U39" s="408">
        <f t="shared" si="19"/>
        <v>0</v>
      </c>
      <c r="V39" s="408">
        <f t="shared" si="19"/>
        <v>0</v>
      </c>
      <c r="W39" s="408">
        <f t="shared" si="19"/>
        <v>0</v>
      </c>
      <c r="X39" s="408">
        <f t="shared" si="19"/>
        <v>0</v>
      </c>
      <c r="Y39" s="408">
        <f t="shared" si="19"/>
        <v>0</v>
      </c>
      <c r="Z39" s="408">
        <f t="shared" si="19"/>
        <v>0</v>
      </c>
      <c r="AA39" s="408">
        <f t="shared" si="19"/>
        <v>0</v>
      </c>
      <c r="AB39" s="408">
        <f t="shared" si="19"/>
        <v>0</v>
      </c>
      <c r="AD39" s="359"/>
      <c r="AE39" s="371">
        <f t="shared" si="20"/>
        <v>0</v>
      </c>
      <c r="AF39" s="371">
        <f t="shared" si="20"/>
        <v>0</v>
      </c>
      <c r="AG39" s="371">
        <f t="shared" si="20"/>
        <v>0</v>
      </c>
      <c r="AH39" s="371">
        <f t="shared" si="20"/>
        <v>0</v>
      </c>
      <c r="AI39" s="371">
        <f t="shared" si="20"/>
        <v>0</v>
      </c>
      <c r="AJ39" s="371">
        <f t="shared" si="20"/>
        <v>0</v>
      </c>
      <c r="AK39" s="371">
        <f t="shared" si="20"/>
        <v>0</v>
      </c>
      <c r="AL39" s="371">
        <f t="shared" si="20"/>
        <v>0</v>
      </c>
      <c r="AM39" s="371">
        <f t="shared" si="20"/>
        <v>0</v>
      </c>
      <c r="AN39" s="371">
        <f t="shared" si="20"/>
        <v>0</v>
      </c>
      <c r="AO39" s="371">
        <f t="shared" si="20"/>
        <v>0</v>
      </c>
      <c r="AP39" s="371">
        <f t="shared" si="21"/>
        <v>0</v>
      </c>
      <c r="AQ39" s="371">
        <f t="shared" si="22"/>
        <v>0</v>
      </c>
      <c r="AR39" s="371">
        <f t="shared" si="22"/>
        <v>0</v>
      </c>
      <c r="AS39" s="371">
        <f t="shared" si="22"/>
        <v>0</v>
      </c>
      <c r="AT39" s="371">
        <f t="shared" si="22"/>
        <v>0</v>
      </c>
      <c r="AU39" s="371">
        <f t="shared" si="22"/>
        <v>0</v>
      </c>
      <c r="AV39" s="371">
        <f t="shared" si="22"/>
        <v>0</v>
      </c>
      <c r="AW39" s="371">
        <f t="shared" si="22"/>
        <v>0</v>
      </c>
      <c r="AX39" s="371">
        <f t="shared" si="22"/>
        <v>0</v>
      </c>
      <c r="AY39" s="371">
        <f t="shared" si="22"/>
        <v>0</v>
      </c>
      <c r="AZ39" s="371">
        <f t="shared" si="22"/>
        <v>0</v>
      </c>
      <c r="BA39" s="371">
        <f t="shared" si="23"/>
        <v>0</v>
      </c>
      <c r="BB39" s="371">
        <f t="shared" si="23"/>
        <v>0</v>
      </c>
      <c r="BC39" s="371">
        <f t="shared" si="23"/>
        <v>0</v>
      </c>
      <c r="BD39" s="371">
        <f t="shared" si="23"/>
        <v>0</v>
      </c>
      <c r="BE39" s="371">
        <f t="shared" si="23"/>
        <v>0</v>
      </c>
      <c r="BF39" s="371">
        <f t="shared" si="23"/>
        <v>0</v>
      </c>
      <c r="BG39" s="371">
        <f t="shared" si="23"/>
        <v>0</v>
      </c>
      <c r="BH39" s="371">
        <f t="shared" si="23"/>
        <v>0</v>
      </c>
      <c r="BI39" s="371">
        <f t="shared" si="23"/>
        <v>0</v>
      </c>
      <c r="BJ39" s="371">
        <f t="shared" si="23"/>
        <v>0</v>
      </c>
      <c r="BK39" s="371">
        <f t="shared" si="24"/>
        <v>0</v>
      </c>
      <c r="BL39" s="371">
        <f t="shared" si="24"/>
        <v>0</v>
      </c>
      <c r="BM39" s="371">
        <f t="shared" si="24"/>
        <v>0</v>
      </c>
      <c r="BN39" s="371">
        <f t="shared" si="24"/>
        <v>0</v>
      </c>
      <c r="BO39" s="371">
        <f t="shared" si="24"/>
        <v>0</v>
      </c>
      <c r="BP39" s="371">
        <f t="shared" si="24"/>
        <v>0</v>
      </c>
      <c r="BQ39" s="371">
        <f t="shared" si="24"/>
        <v>0</v>
      </c>
      <c r="BR39" s="371">
        <f t="shared" si="24"/>
        <v>0</v>
      </c>
      <c r="BS39" s="371">
        <f t="shared" si="24"/>
        <v>0</v>
      </c>
      <c r="BT39" s="371">
        <f t="shared" si="24"/>
        <v>0</v>
      </c>
      <c r="BU39" s="371">
        <f t="shared" si="25"/>
        <v>0</v>
      </c>
      <c r="BV39" s="371">
        <f t="shared" si="25"/>
        <v>0</v>
      </c>
      <c r="BW39" s="371">
        <f t="shared" si="25"/>
        <v>0</v>
      </c>
      <c r="BX39" s="371">
        <f t="shared" si="25"/>
        <v>0</v>
      </c>
      <c r="BY39" s="371">
        <f t="shared" si="25"/>
        <v>0</v>
      </c>
      <c r="BZ39" s="371">
        <f t="shared" si="25"/>
        <v>0</v>
      </c>
    </row>
    <row r="40" spans="2:78" ht="21" hidden="1" customHeight="1" outlineLevel="3">
      <c r="B40" s="367"/>
      <c r="C40" s="370"/>
      <c r="D40" s="374">
        <f t="shared" si="26"/>
        <v>45199</v>
      </c>
      <c r="E40" s="373" cm="1">
        <f t="array" ref="E40">IF($D40=LatestMonthOfActuals,INDEX($AE$25:$BZ$25,0,MATCH($D40,$AE$8:$BZ$8,0)),0)</f>
        <v>0</v>
      </c>
      <c r="F40" s="359"/>
      <c r="G40" s="408">
        <f t="shared" si="18"/>
        <v>0</v>
      </c>
      <c r="H40" s="408">
        <f t="shared" si="18"/>
        <v>0</v>
      </c>
      <c r="I40" s="408">
        <f t="shared" si="18"/>
        <v>0</v>
      </c>
      <c r="J40" s="408">
        <f t="shared" si="18"/>
        <v>0</v>
      </c>
      <c r="K40" s="408"/>
      <c r="L40" s="408"/>
      <c r="M40" s="408">
        <f t="shared" si="19"/>
        <v>0</v>
      </c>
      <c r="N40" s="408">
        <f t="shared" si="19"/>
        <v>0</v>
      </c>
      <c r="O40" s="408">
        <f t="shared" si="19"/>
        <v>0</v>
      </c>
      <c r="P40" s="408">
        <f t="shared" si="19"/>
        <v>0</v>
      </c>
      <c r="Q40" s="408">
        <f t="shared" si="19"/>
        <v>0</v>
      </c>
      <c r="R40" s="408">
        <f t="shared" si="19"/>
        <v>0</v>
      </c>
      <c r="S40" s="408">
        <f t="shared" si="19"/>
        <v>0</v>
      </c>
      <c r="T40" s="408">
        <f t="shared" si="19"/>
        <v>0</v>
      </c>
      <c r="U40" s="408">
        <f t="shared" si="19"/>
        <v>0</v>
      </c>
      <c r="V40" s="408">
        <f t="shared" si="19"/>
        <v>0</v>
      </c>
      <c r="W40" s="408">
        <f t="shared" si="19"/>
        <v>0</v>
      </c>
      <c r="X40" s="408">
        <f t="shared" si="19"/>
        <v>0</v>
      </c>
      <c r="Y40" s="408">
        <f t="shared" si="19"/>
        <v>0</v>
      </c>
      <c r="Z40" s="408">
        <f t="shared" si="19"/>
        <v>0</v>
      </c>
      <c r="AA40" s="408">
        <f t="shared" si="19"/>
        <v>0</v>
      </c>
      <c r="AB40" s="408">
        <f t="shared" si="19"/>
        <v>0</v>
      </c>
      <c r="AD40" s="359"/>
      <c r="AE40" s="371">
        <f t="shared" si="20"/>
        <v>0</v>
      </c>
      <c r="AF40" s="371">
        <f t="shared" si="20"/>
        <v>0</v>
      </c>
      <c r="AG40" s="371">
        <f t="shared" si="20"/>
        <v>0</v>
      </c>
      <c r="AH40" s="371">
        <f t="shared" si="20"/>
        <v>0</v>
      </c>
      <c r="AI40" s="371">
        <f t="shared" si="20"/>
        <v>0</v>
      </c>
      <c r="AJ40" s="371">
        <f t="shared" si="20"/>
        <v>0</v>
      </c>
      <c r="AK40" s="371">
        <f t="shared" si="20"/>
        <v>0</v>
      </c>
      <c r="AL40" s="371">
        <f t="shared" si="20"/>
        <v>0</v>
      </c>
      <c r="AM40" s="371">
        <f t="shared" si="20"/>
        <v>0</v>
      </c>
      <c r="AN40" s="371">
        <f t="shared" si="20"/>
        <v>0</v>
      </c>
      <c r="AO40" s="371">
        <f t="shared" si="20"/>
        <v>0</v>
      </c>
      <c r="AP40" s="371">
        <f t="shared" si="21"/>
        <v>0</v>
      </c>
      <c r="AQ40" s="371">
        <f t="shared" si="22"/>
        <v>0</v>
      </c>
      <c r="AR40" s="371">
        <f t="shared" si="22"/>
        <v>0</v>
      </c>
      <c r="AS40" s="371">
        <f t="shared" si="22"/>
        <v>0</v>
      </c>
      <c r="AT40" s="371">
        <f t="shared" si="22"/>
        <v>0</v>
      </c>
      <c r="AU40" s="371">
        <f t="shared" si="22"/>
        <v>0</v>
      </c>
      <c r="AV40" s="371">
        <f t="shared" si="22"/>
        <v>0</v>
      </c>
      <c r="AW40" s="371">
        <f t="shared" si="22"/>
        <v>0</v>
      </c>
      <c r="AX40" s="371">
        <f t="shared" si="22"/>
        <v>0</v>
      </c>
      <c r="AY40" s="371">
        <f t="shared" si="22"/>
        <v>0</v>
      </c>
      <c r="AZ40" s="371">
        <f t="shared" si="22"/>
        <v>0</v>
      </c>
      <c r="BA40" s="371">
        <f t="shared" si="23"/>
        <v>0</v>
      </c>
      <c r="BB40" s="371">
        <f t="shared" si="23"/>
        <v>0</v>
      </c>
      <c r="BC40" s="371">
        <f t="shared" si="23"/>
        <v>0</v>
      </c>
      <c r="BD40" s="371">
        <f t="shared" si="23"/>
        <v>0</v>
      </c>
      <c r="BE40" s="371">
        <f t="shared" si="23"/>
        <v>0</v>
      </c>
      <c r="BF40" s="371">
        <f t="shared" si="23"/>
        <v>0</v>
      </c>
      <c r="BG40" s="371">
        <f t="shared" si="23"/>
        <v>0</v>
      </c>
      <c r="BH40" s="371">
        <f t="shared" si="23"/>
        <v>0</v>
      </c>
      <c r="BI40" s="371">
        <f t="shared" si="23"/>
        <v>0</v>
      </c>
      <c r="BJ40" s="371">
        <f t="shared" si="23"/>
        <v>0</v>
      </c>
      <c r="BK40" s="371">
        <f t="shared" si="24"/>
        <v>0</v>
      </c>
      <c r="BL40" s="371">
        <f t="shared" si="24"/>
        <v>0</v>
      </c>
      <c r="BM40" s="371">
        <f t="shared" si="24"/>
        <v>0</v>
      </c>
      <c r="BN40" s="371">
        <f t="shared" si="24"/>
        <v>0</v>
      </c>
      <c r="BO40" s="371">
        <f t="shared" si="24"/>
        <v>0</v>
      </c>
      <c r="BP40" s="371">
        <f t="shared" si="24"/>
        <v>0</v>
      </c>
      <c r="BQ40" s="371">
        <f t="shared" si="24"/>
        <v>0</v>
      </c>
      <c r="BR40" s="371">
        <f t="shared" si="24"/>
        <v>0</v>
      </c>
      <c r="BS40" s="371">
        <f t="shared" si="24"/>
        <v>0</v>
      </c>
      <c r="BT40" s="371">
        <f t="shared" si="24"/>
        <v>0</v>
      </c>
      <c r="BU40" s="371">
        <f t="shared" si="25"/>
        <v>0</v>
      </c>
      <c r="BV40" s="371">
        <f t="shared" si="25"/>
        <v>0</v>
      </c>
      <c r="BW40" s="371">
        <f t="shared" si="25"/>
        <v>0</v>
      </c>
      <c r="BX40" s="371">
        <f t="shared" si="25"/>
        <v>0</v>
      </c>
      <c r="BY40" s="371">
        <f t="shared" si="25"/>
        <v>0</v>
      </c>
      <c r="BZ40" s="371">
        <f t="shared" si="25"/>
        <v>0</v>
      </c>
    </row>
    <row r="41" spans="2:78" ht="21" hidden="1" customHeight="1" outlineLevel="3">
      <c r="B41" s="367"/>
      <c r="C41" s="370"/>
      <c r="D41" s="374">
        <f t="shared" si="26"/>
        <v>45230</v>
      </c>
      <c r="E41" s="373" cm="1">
        <f t="array" ref="E41">IF($D41=LatestMonthOfActuals,INDEX($AE$25:$BZ$25,0,MATCH($D41,$AE$8:$BZ$8,0)),0)</f>
        <v>0</v>
      </c>
      <c r="F41" s="359"/>
      <c r="G41" s="408">
        <f t="shared" si="18"/>
        <v>0</v>
      </c>
      <c r="H41" s="408">
        <f t="shared" si="18"/>
        <v>0</v>
      </c>
      <c r="I41" s="408">
        <f t="shared" si="18"/>
        <v>0</v>
      </c>
      <c r="J41" s="408">
        <f t="shared" si="18"/>
        <v>0</v>
      </c>
      <c r="K41" s="408"/>
      <c r="L41" s="408"/>
      <c r="M41" s="408">
        <f t="shared" si="19"/>
        <v>0</v>
      </c>
      <c r="N41" s="408">
        <f t="shared" si="19"/>
        <v>0</v>
      </c>
      <c r="O41" s="408">
        <f t="shared" si="19"/>
        <v>0</v>
      </c>
      <c r="P41" s="408">
        <f t="shared" si="19"/>
        <v>0</v>
      </c>
      <c r="Q41" s="408">
        <f t="shared" si="19"/>
        <v>0</v>
      </c>
      <c r="R41" s="408">
        <f t="shared" si="19"/>
        <v>0</v>
      </c>
      <c r="S41" s="408">
        <f t="shared" si="19"/>
        <v>0</v>
      </c>
      <c r="T41" s="408">
        <f t="shared" si="19"/>
        <v>0</v>
      </c>
      <c r="U41" s="408">
        <f t="shared" si="19"/>
        <v>0</v>
      </c>
      <c r="V41" s="408">
        <f t="shared" si="19"/>
        <v>0</v>
      </c>
      <c r="W41" s="408">
        <f t="shared" si="19"/>
        <v>0</v>
      </c>
      <c r="X41" s="408">
        <f t="shared" si="19"/>
        <v>0</v>
      </c>
      <c r="Y41" s="408">
        <f t="shared" si="19"/>
        <v>0</v>
      </c>
      <c r="Z41" s="408">
        <f t="shared" si="19"/>
        <v>0</v>
      </c>
      <c r="AA41" s="408">
        <f t="shared" si="19"/>
        <v>0</v>
      </c>
      <c r="AB41" s="408">
        <f t="shared" si="19"/>
        <v>0</v>
      </c>
      <c r="AD41" s="359"/>
      <c r="AE41" s="371">
        <f t="shared" si="20"/>
        <v>0</v>
      </c>
      <c r="AF41" s="371">
        <f t="shared" si="20"/>
        <v>0</v>
      </c>
      <c r="AG41" s="371">
        <f t="shared" si="20"/>
        <v>0</v>
      </c>
      <c r="AH41" s="371">
        <f t="shared" si="20"/>
        <v>0</v>
      </c>
      <c r="AI41" s="371">
        <f t="shared" si="20"/>
        <v>0</v>
      </c>
      <c r="AJ41" s="371">
        <f t="shared" si="20"/>
        <v>0</v>
      </c>
      <c r="AK41" s="371">
        <f t="shared" si="20"/>
        <v>0</v>
      </c>
      <c r="AL41" s="371">
        <f t="shared" si="20"/>
        <v>0</v>
      </c>
      <c r="AM41" s="371">
        <f t="shared" si="20"/>
        <v>0</v>
      </c>
      <c r="AN41" s="371">
        <f t="shared" si="20"/>
        <v>0</v>
      </c>
      <c r="AO41" s="371">
        <f t="shared" si="20"/>
        <v>0</v>
      </c>
      <c r="AP41" s="371">
        <f t="shared" si="21"/>
        <v>0</v>
      </c>
      <c r="AQ41" s="371">
        <f t="shared" si="22"/>
        <v>0</v>
      </c>
      <c r="AR41" s="371">
        <f t="shared" si="22"/>
        <v>0</v>
      </c>
      <c r="AS41" s="371">
        <f t="shared" si="22"/>
        <v>0</v>
      </c>
      <c r="AT41" s="371">
        <f t="shared" si="22"/>
        <v>0</v>
      </c>
      <c r="AU41" s="371">
        <f t="shared" si="22"/>
        <v>0</v>
      </c>
      <c r="AV41" s="371">
        <f t="shared" si="22"/>
        <v>0</v>
      </c>
      <c r="AW41" s="371">
        <f t="shared" si="22"/>
        <v>0</v>
      </c>
      <c r="AX41" s="371">
        <f t="shared" si="22"/>
        <v>0</v>
      </c>
      <c r="AY41" s="371">
        <f t="shared" si="22"/>
        <v>0</v>
      </c>
      <c r="AZ41" s="371">
        <f t="shared" si="22"/>
        <v>0</v>
      </c>
      <c r="BA41" s="371">
        <f t="shared" si="23"/>
        <v>0</v>
      </c>
      <c r="BB41" s="371">
        <f t="shared" si="23"/>
        <v>0</v>
      </c>
      <c r="BC41" s="371">
        <f t="shared" si="23"/>
        <v>0</v>
      </c>
      <c r="BD41" s="371">
        <f t="shared" si="23"/>
        <v>0</v>
      </c>
      <c r="BE41" s="371">
        <f t="shared" si="23"/>
        <v>0</v>
      </c>
      <c r="BF41" s="371">
        <f t="shared" si="23"/>
        <v>0</v>
      </c>
      <c r="BG41" s="371">
        <f t="shared" si="23"/>
        <v>0</v>
      </c>
      <c r="BH41" s="371">
        <f t="shared" si="23"/>
        <v>0</v>
      </c>
      <c r="BI41" s="371">
        <f t="shared" si="23"/>
        <v>0</v>
      </c>
      <c r="BJ41" s="371">
        <f t="shared" si="23"/>
        <v>0</v>
      </c>
      <c r="BK41" s="371">
        <f t="shared" si="24"/>
        <v>0</v>
      </c>
      <c r="BL41" s="371">
        <f t="shared" si="24"/>
        <v>0</v>
      </c>
      <c r="BM41" s="371">
        <f t="shared" si="24"/>
        <v>0</v>
      </c>
      <c r="BN41" s="371">
        <f t="shared" si="24"/>
        <v>0</v>
      </c>
      <c r="BO41" s="371">
        <f t="shared" si="24"/>
        <v>0</v>
      </c>
      <c r="BP41" s="371">
        <f t="shared" si="24"/>
        <v>0</v>
      </c>
      <c r="BQ41" s="371">
        <f t="shared" si="24"/>
        <v>0</v>
      </c>
      <c r="BR41" s="371">
        <f t="shared" si="24"/>
        <v>0</v>
      </c>
      <c r="BS41" s="371">
        <f t="shared" si="24"/>
        <v>0</v>
      </c>
      <c r="BT41" s="371">
        <f t="shared" si="24"/>
        <v>0</v>
      </c>
      <c r="BU41" s="371">
        <f t="shared" si="25"/>
        <v>0</v>
      </c>
      <c r="BV41" s="371">
        <f t="shared" si="25"/>
        <v>0</v>
      </c>
      <c r="BW41" s="371">
        <f t="shared" si="25"/>
        <v>0</v>
      </c>
      <c r="BX41" s="371">
        <f t="shared" si="25"/>
        <v>0</v>
      </c>
      <c r="BY41" s="371">
        <f t="shared" si="25"/>
        <v>0</v>
      </c>
      <c r="BZ41" s="371">
        <f t="shared" si="25"/>
        <v>0</v>
      </c>
    </row>
    <row r="42" spans="2:78" ht="21" hidden="1" customHeight="1" outlineLevel="3">
      <c r="B42" s="367"/>
      <c r="C42" s="370"/>
      <c r="D42" s="374">
        <f t="shared" si="26"/>
        <v>45260</v>
      </c>
      <c r="E42" s="373" cm="1">
        <f t="array" ref="E42">IF($D42=LatestMonthOfActuals,INDEX($AE$25:$BZ$25,0,MATCH($D42,$AE$8:$BZ$8,0)),0)</f>
        <v>0</v>
      </c>
      <c r="F42" s="359"/>
      <c r="G42" s="408">
        <f t="shared" si="18"/>
        <v>0</v>
      </c>
      <c r="H42" s="408">
        <f t="shared" si="18"/>
        <v>0</v>
      </c>
      <c r="I42" s="408">
        <f t="shared" si="18"/>
        <v>0</v>
      </c>
      <c r="J42" s="408">
        <f t="shared" si="18"/>
        <v>0</v>
      </c>
      <c r="K42" s="408"/>
      <c r="L42" s="408"/>
      <c r="M42" s="408">
        <f t="shared" si="19"/>
        <v>0</v>
      </c>
      <c r="N42" s="408">
        <f t="shared" si="19"/>
        <v>0</v>
      </c>
      <c r="O42" s="408">
        <f t="shared" si="19"/>
        <v>0</v>
      </c>
      <c r="P42" s="408">
        <f t="shared" si="19"/>
        <v>0</v>
      </c>
      <c r="Q42" s="408">
        <f t="shared" si="19"/>
        <v>0</v>
      </c>
      <c r="R42" s="408">
        <f t="shared" si="19"/>
        <v>0</v>
      </c>
      <c r="S42" s="408">
        <f t="shared" si="19"/>
        <v>0</v>
      </c>
      <c r="T42" s="408">
        <f t="shared" si="19"/>
        <v>0</v>
      </c>
      <c r="U42" s="408">
        <f t="shared" si="19"/>
        <v>0</v>
      </c>
      <c r="V42" s="408">
        <f t="shared" si="19"/>
        <v>0</v>
      </c>
      <c r="W42" s="408">
        <f t="shared" si="19"/>
        <v>0</v>
      </c>
      <c r="X42" s="408">
        <f t="shared" si="19"/>
        <v>0</v>
      </c>
      <c r="Y42" s="408">
        <f t="shared" si="19"/>
        <v>0</v>
      </c>
      <c r="Z42" s="408">
        <f t="shared" si="19"/>
        <v>0</v>
      </c>
      <c r="AA42" s="408">
        <f t="shared" si="19"/>
        <v>0</v>
      </c>
      <c r="AB42" s="408">
        <f t="shared" si="19"/>
        <v>0</v>
      </c>
      <c r="AD42" s="359"/>
      <c r="AE42" s="371">
        <f t="shared" ref="AE42:AO51" si="27">IFERROR(IF(AE$8&gt;=$D42,$E42*(INDEX($E$12:$E$16,(MATCH(MATCH(AE$8,$D$32:$D$79,0)-MATCH($D42,$D$32:$D$79,0),$D$12:$D$16,0)))),0),0)</f>
        <v>0</v>
      </c>
      <c r="AF42" s="371">
        <f t="shared" si="27"/>
        <v>0</v>
      </c>
      <c r="AG42" s="371">
        <f t="shared" si="27"/>
        <v>0</v>
      </c>
      <c r="AH42" s="371">
        <f t="shared" si="27"/>
        <v>0</v>
      </c>
      <c r="AI42" s="371">
        <f t="shared" si="27"/>
        <v>0</v>
      </c>
      <c r="AJ42" s="371">
        <f t="shared" si="27"/>
        <v>0</v>
      </c>
      <c r="AK42" s="371">
        <f t="shared" si="27"/>
        <v>0</v>
      </c>
      <c r="AL42" s="371">
        <f t="shared" si="27"/>
        <v>0</v>
      </c>
      <c r="AM42" s="371">
        <f t="shared" si="27"/>
        <v>0</v>
      </c>
      <c r="AN42" s="371">
        <f t="shared" si="27"/>
        <v>0</v>
      </c>
      <c r="AO42" s="371">
        <f t="shared" si="27"/>
        <v>0</v>
      </c>
      <c r="AP42" s="371">
        <f t="shared" si="21"/>
        <v>0</v>
      </c>
      <c r="AQ42" s="371">
        <f t="shared" ref="AQ42:AZ51" si="28">IFERROR(IF(AQ$8&gt;=$D42,$E42*(INDEX($E$12:$E$16,(MATCH(MATCH(AQ$8,$D$32:$D$79,0)-MATCH($D42,$D$32:$D$79,0),$D$12:$D$16,0)))),0),0)</f>
        <v>0</v>
      </c>
      <c r="AR42" s="371">
        <f t="shared" si="28"/>
        <v>0</v>
      </c>
      <c r="AS42" s="371">
        <f t="shared" si="28"/>
        <v>0</v>
      </c>
      <c r="AT42" s="371">
        <f t="shared" si="28"/>
        <v>0</v>
      </c>
      <c r="AU42" s="371">
        <f t="shared" si="28"/>
        <v>0</v>
      </c>
      <c r="AV42" s="371">
        <f t="shared" si="28"/>
        <v>0</v>
      </c>
      <c r="AW42" s="371">
        <f t="shared" si="28"/>
        <v>0</v>
      </c>
      <c r="AX42" s="371">
        <f t="shared" si="28"/>
        <v>0</v>
      </c>
      <c r="AY42" s="371">
        <f t="shared" si="28"/>
        <v>0</v>
      </c>
      <c r="AZ42" s="371">
        <f t="shared" si="28"/>
        <v>0</v>
      </c>
      <c r="BA42" s="371">
        <f t="shared" ref="BA42:BJ51" si="29">IFERROR(IF(BA$8&gt;=$D42,$E42*(INDEX($E$12:$E$16,(MATCH(MATCH(BA$8,$D$32:$D$79,0)-MATCH($D42,$D$32:$D$79,0),$D$12:$D$16,0)))),0),0)</f>
        <v>0</v>
      </c>
      <c r="BB42" s="371">
        <f t="shared" si="29"/>
        <v>0</v>
      </c>
      <c r="BC42" s="371">
        <f t="shared" si="29"/>
        <v>0</v>
      </c>
      <c r="BD42" s="371">
        <f t="shared" si="29"/>
        <v>0</v>
      </c>
      <c r="BE42" s="371">
        <f t="shared" si="29"/>
        <v>0</v>
      </c>
      <c r="BF42" s="371">
        <f t="shared" si="29"/>
        <v>0</v>
      </c>
      <c r="BG42" s="371">
        <f t="shared" si="29"/>
        <v>0</v>
      </c>
      <c r="BH42" s="371">
        <f t="shared" si="29"/>
        <v>0</v>
      </c>
      <c r="BI42" s="371">
        <f t="shared" si="29"/>
        <v>0</v>
      </c>
      <c r="BJ42" s="371">
        <f t="shared" si="29"/>
        <v>0</v>
      </c>
      <c r="BK42" s="371">
        <f t="shared" ref="BK42:BT51" si="30">IFERROR(IF(BK$8&gt;=$D42,$E42*(INDEX($E$12:$E$16,(MATCH(MATCH(BK$8,$D$32:$D$79,0)-MATCH($D42,$D$32:$D$79,0),$D$12:$D$16,0)))),0),0)</f>
        <v>0</v>
      </c>
      <c r="BL42" s="371">
        <f t="shared" si="30"/>
        <v>0</v>
      </c>
      <c r="BM42" s="371">
        <f t="shared" si="30"/>
        <v>0</v>
      </c>
      <c r="BN42" s="371">
        <f t="shared" si="30"/>
        <v>0</v>
      </c>
      <c r="BO42" s="371">
        <f t="shared" si="30"/>
        <v>0</v>
      </c>
      <c r="BP42" s="371">
        <f t="shared" si="30"/>
        <v>0</v>
      </c>
      <c r="BQ42" s="371">
        <f t="shared" si="30"/>
        <v>0</v>
      </c>
      <c r="BR42" s="371">
        <f t="shared" si="30"/>
        <v>0</v>
      </c>
      <c r="BS42" s="371">
        <f t="shared" si="30"/>
        <v>0</v>
      </c>
      <c r="BT42" s="371">
        <f t="shared" si="30"/>
        <v>0</v>
      </c>
      <c r="BU42" s="371">
        <f t="shared" ref="BU42:BZ51" si="31">IFERROR(IF(BU$8&gt;=$D42,$E42*(INDEX($E$12:$E$16,(MATCH(MATCH(BU$8,$D$32:$D$79,0)-MATCH($D42,$D$32:$D$79,0),$D$12:$D$16,0)))),0),0)</f>
        <v>0</v>
      </c>
      <c r="BV42" s="371">
        <f t="shared" si="31"/>
        <v>0</v>
      </c>
      <c r="BW42" s="371">
        <f t="shared" si="31"/>
        <v>0</v>
      </c>
      <c r="BX42" s="371">
        <f t="shared" si="31"/>
        <v>0</v>
      </c>
      <c r="BY42" s="371">
        <f t="shared" si="31"/>
        <v>0</v>
      </c>
      <c r="BZ42" s="371">
        <f t="shared" si="31"/>
        <v>0</v>
      </c>
    </row>
    <row r="43" spans="2:78" ht="21" hidden="1" customHeight="1" outlineLevel="3">
      <c r="B43" s="367"/>
      <c r="C43" s="370"/>
      <c r="D43" s="374">
        <f t="shared" si="26"/>
        <v>45291</v>
      </c>
      <c r="E43" s="373" cm="1">
        <f t="array" ref="E43">IF($D43=LatestMonthOfActuals,INDEX($AE$25:$BZ$25,0,MATCH($D43,$AE$8:$BZ$8,0)),0)</f>
        <v>0</v>
      </c>
      <c r="F43" s="359"/>
      <c r="G43" s="408">
        <f t="shared" si="18"/>
        <v>0</v>
      </c>
      <c r="H43" s="408">
        <f t="shared" si="18"/>
        <v>0</v>
      </c>
      <c r="I43" s="408">
        <f t="shared" si="18"/>
        <v>0</v>
      </c>
      <c r="J43" s="408">
        <f t="shared" si="18"/>
        <v>0</v>
      </c>
      <c r="K43" s="408"/>
      <c r="L43" s="408"/>
      <c r="M43" s="408">
        <f t="shared" si="19"/>
        <v>0</v>
      </c>
      <c r="N43" s="408">
        <f t="shared" si="19"/>
        <v>0</v>
      </c>
      <c r="O43" s="408">
        <f t="shared" si="19"/>
        <v>0</v>
      </c>
      <c r="P43" s="408">
        <f t="shared" si="19"/>
        <v>0</v>
      </c>
      <c r="Q43" s="408">
        <f t="shared" si="19"/>
        <v>0</v>
      </c>
      <c r="R43" s="408">
        <f t="shared" si="19"/>
        <v>0</v>
      </c>
      <c r="S43" s="408">
        <f t="shared" si="19"/>
        <v>0</v>
      </c>
      <c r="T43" s="408">
        <f t="shared" si="19"/>
        <v>0</v>
      </c>
      <c r="U43" s="408">
        <f t="shared" si="19"/>
        <v>0</v>
      </c>
      <c r="V43" s="408">
        <f t="shared" si="19"/>
        <v>0</v>
      </c>
      <c r="W43" s="408">
        <f t="shared" si="19"/>
        <v>0</v>
      </c>
      <c r="X43" s="408">
        <f t="shared" si="19"/>
        <v>0</v>
      </c>
      <c r="Y43" s="408">
        <f t="shared" si="19"/>
        <v>0</v>
      </c>
      <c r="Z43" s="408">
        <f t="shared" si="19"/>
        <v>0</v>
      </c>
      <c r="AA43" s="408">
        <f t="shared" si="19"/>
        <v>0</v>
      </c>
      <c r="AB43" s="408">
        <f t="shared" si="19"/>
        <v>0</v>
      </c>
      <c r="AD43" s="359"/>
      <c r="AE43" s="371">
        <f t="shared" si="27"/>
        <v>0</v>
      </c>
      <c r="AF43" s="371">
        <f t="shared" si="27"/>
        <v>0</v>
      </c>
      <c r="AG43" s="371">
        <f t="shared" si="27"/>
        <v>0</v>
      </c>
      <c r="AH43" s="371">
        <f t="shared" si="27"/>
        <v>0</v>
      </c>
      <c r="AI43" s="371">
        <f t="shared" si="27"/>
        <v>0</v>
      </c>
      <c r="AJ43" s="371">
        <f t="shared" si="27"/>
        <v>0</v>
      </c>
      <c r="AK43" s="371">
        <f t="shared" si="27"/>
        <v>0</v>
      </c>
      <c r="AL43" s="371">
        <f t="shared" si="27"/>
        <v>0</v>
      </c>
      <c r="AM43" s="371">
        <f t="shared" si="27"/>
        <v>0</v>
      </c>
      <c r="AN43" s="371">
        <f t="shared" si="27"/>
        <v>0</v>
      </c>
      <c r="AO43" s="371">
        <f t="shared" si="27"/>
        <v>0</v>
      </c>
      <c r="AP43" s="371">
        <f t="shared" si="21"/>
        <v>0</v>
      </c>
      <c r="AQ43" s="371">
        <f t="shared" si="28"/>
        <v>0</v>
      </c>
      <c r="AR43" s="371">
        <f t="shared" si="28"/>
        <v>0</v>
      </c>
      <c r="AS43" s="371">
        <f t="shared" si="28"/>
        <v>0</v>
      </c>
      <c r="AT43" s="371">
        <f t="shared" si="28"/>
        <v>0</v>
      </c>
      <c r="AU43" s="371">
        <f t="shared" si="28"/>
        <v>0</v>
      </c>
      <c r="AV43" s="371">
        <f t="shared" si="28"/>
        <v>0</v>
      </c>
      <c r="AW43" s="371">
        <f t="shared" si="28"/>
        <v>0</v>
      </c>
      <c r="AX43" s="371">
        <f t="shared" si="28"/>
        <v>0</v>
      </c>
      <c r="AY43" s="371">
        <f t="shared" si="28"/>
        <v>0</v>
      </c>
      <c r="AZ43" s="371">
        <f t="shared" si="28"/>
        <v>0</v>
      </c>
      <c r="BA43" s="371">
        <f t="shared" si="29"/>
        <v>0</v>
      </c>
      <c r="BB43" s="371">
        <f t="shared" si="29"/>
        <v>0</v>
      </c>
      <c r="BC43" s="371">
        <f t="shared" si="29"/>
        <v>0</v>
      </c>
      <c r="BD43" s="371">
        <f t="shared" si="29"/>
        <v>0</v>
      </c>
      <c r="BE43" s="371">
        <f t="shared" si="29"/>
        <v>0</v>
      </c>
      <c r="BF43" s="371">
        <f t="shared" si="29"/>
        <v>0</v>
      </c>
      <c r="BG43" s="371">
        <f t="shared" si="29"/>
        <v>0</v>
      </c>
      <c r="BH43" s="371">
        <f t="shared" si="29"/>
        <v>0</v>
      </c>
      <c r="BI43" s="371">
        <f t="shared" si="29"/>
        <v>0</v>
      </c>
      <c r="BJ43" s="371">
        <f t="shared" si="29"/>
        <v>0</v>
      </c>
      <c r="BK43" s="371">
        <f t="shared" si="30"/>
        <v>0</v>
      </c>
      <c r="BL43" s="371">
        <f t="shared" si="30"/>
        <v>0</v>
      </c>
      <c r="BM43" s="371">
        <f t="shared" si="30"/>
        <v>0</v>
      </c>
      <c r="BN43" s="371">
        <f t="shared" si="30"/>
        <v>0</v>
      </c>
      <c r="BO43" s="371">
        <f t="shared" si="30"/>
        <v>0</v>
      </c>
      <c r="BP43" s="371">
        <f t="shared" si="30"/>
        <v>0</v>
      </c>
      <c r="BQ43" s="371">
        <f t="shared" si="30"/>
        <v>0</v>
      </c>
      <c r="BR43" s="371">
        <f t="shared" si="30"/>
        <v>0</v>
      </c>
      <c r="BS43" s="371">
        <f t="shared" si="30"/>
        <v>0</v>
      </c>
      <c r="BT43" s="371">
        <f t="shared" si="30"/>
        <v>0</v>
      </c>
      <c r="BU43" s="371">
        <f t="shared" si="31"/>
        <v>0</v>
      </c>
      <c r="BV43" s="371">
        <f t="shared" si="31"/>
        <v>0</v>
      </c>
      <c r="BW43" s="371">
        <f t="shared" si="31"/>
        <v>0</v>
      </c>
      <c r="BX43" s="371">
        <f t="shared" si="31"/>
        <v>0</v>
      </c>
      <c r="BY43" s="371">
        <f t="shared" si="31"/>
        <v>0</v>
      </c>
      <c r="BZ43" s="371">
        <f t="shared" si="31"/>
        <v>0</v>
      </c>
    </row>
    <row r="44" spans="2:78" ht="21" hidden="1" customHeight="1" outlineLevel="3">
      <c r="B44" s="367"/>
      <c r="C44" s="370"/>
      <c r="D44" s="374">
        <f t="shared" si="26"/>
        <v>45322</v>
      </c>
      <c r="E44" s="373" cm="1">
        <f t="array" ref="E44">IF($D44=LatestMonthOfActuals,INDEX($AE$25:$BZ$25,0,MATCH($D44,$AE$8:$BZ$8,0)),0)</f>
        <v>0</v>
      </c>
      <c r="F44" s="359"/>
      <c r="G44" s="408">
        <f t="shared" si="18"/>
        <v>0</v>
      </c>
      <c r="H44" s="408">
        <f t="shared" si="18"/>
        <v>0</v>
      </c>
      <c r="I44" s="408">
        <f t="shared" si="18"/>
        <v>0</v>
      </c>
      <c r="J44" s="408">
        <f t="shared" si="18"/>
        <v>0</v>
      </c>
      <c r="K44" s="408"/>
      <c r="L44" s="408"/>
      <c r="M44" s="408">
        <f t="shared" si="19"/>
        <v>0</v>
      </c>
      <c r="N44" s="408">
        <f t="shared" si="19"/>
        <v>0</v>
      </c>
      <c r="O44" s="408">
        <f t="shared" si="19"/>
        <v>0</v>
      </c>
      <c r="P44" s="408">
        <f t="shared" si="19"/>
        <v>0</v>
      </c>
      <c r="Q44" s="408">
        <f t="shared" si="19"/>
        <v>0</v>
      </c>
      <c r="R44" s="408">
        <f t="shared" si="19"/>
        <v>0</v>
      </c>
      <c r="S44" s="408">
        <f t="shared" si="19"/>
        <v>0</v>
      </c>
      <c r="T44" s="408">
        <f t="shared" si="19"/>
        <v>0</v>
      </c>
      <c r="U44" s="408">
        <f t="shared" si="19"/>
        <v>0</v>
      </c>
      <c r="V44" s="408">
        <f t="shared" si="19"/>
        <v>0</v>
      </c>
      <c r="W44" s="408">
        <f t="shared" si="19"/>
        <v>0</v>
      </c>
      <c r="X44" s="408">
        <f t="shared" si="19"/>
        <v>0</v>
      </c>
      <c r="Y44" s="408">
        <f t="shared" si="19"/>
        <v>0</v>
      </c>
      <c r="Z44" s="408">
        <f t="shared" si="19"/>
        <v>0</v>
      </c>
      <c r="AA44" s="408">
        <f t="shared" si="19"/>
        <v>0</v>
      </c>
      <c r="AB44" s="408">
        <f t="shared" si="19"/>
        <v>0</v>
      </c>
      <c r="AD44" s="359"/>
      <c r="AE44" s="371">
        <f t="shared" si="27"/>
        <v>0</v>
      </c>
      <c r="AF44" s="371">
        <f t="shared" si="27"/>
        <v>0</v>
      </c>
      <c r="AG44" s="371">
        <f t="shared" si="27"/>
        <v>0</v>
      </c>
      <c r="AH44" s="371">
        <f t="shared" si="27"/>
        <v>0</v>
      </c>
      <c r="AI44" s="371">
        <f t="shared" si="27"/>
        <v>0</v>
      </c>
      <c r="AJ44" s="371">
        <f t="shared" si="27"/>
        <v>0</v>
      </c>
      <c r="AK44" s="371">
        <f t="shared" si="27"/>
        <v>0</v>
      </c>
      <c r="AL44" s="371">
        <f t="shared" si="27"/>
        <v>0</v>
      </c>
      <c r="AM44" s="371">
        <f t="shared" si="27"/>
        <v>0</v>
      </c>
      <c r="AN44" s="371">
        <f t="shared" si="27"/>
        <v>0</v>
      </c>
      <c r="AO44" s="371">
        <f t="shared" si="27"/>
        <v>0</v>
      </c>
      <c r="AP44" s="371">
        <f t="shared" si="21"/>
        <v>0</v>
      </c>
      <c r="AQ44" s="371">
        <f t="shared" si="28"/>
        <v>0</v>
      </c>
      <c r="AR44" s="371">
        <f t="shared" si="28"/>
        <v>0</v>
      </c>
      <c r="AS44" s="371">
        <f t="shared" si="28"/>
        <v>0</v>
      </c>
      <c r="AT44" s="371">
        <f t="shared" si="28"/>
        <v>0</v>
      </c>
      <c r="AU44" s="371">
        <f t="shared" si="28"/>
        <v>0</v>
      </c>
      <c r="AV44" s="371">
        <f t="shared" si="28"/>
        <v>0</v>
      </c>
      <c r="AW44" s="371">
        <f t="shared" si="28"/>
        <v>0</v>
      </c>
      <c r="AX44" s="371">
        <f t="shared" si="28"/>
        <v>0</v>
      </c>
      <c r="AY44" s="371">
        <f t="shared" si="28"/>
        <v>0</v>
      </c>
      <c r="AZ44" s="371">
        <f t="shared" si="28"/>
        <v>0</v>
      </c>
      <c r="BA44" s="371">
        <f t="shared" si="29"/>
        <v>0</v>
      </c>
      <c r="BB44" s="371">
        <f t="shared" si="29"/>
        <v>0</v>
      </c>
      <c r="BC44" s="371">
        <f t="shared" si="29"/>
        <v>0</v>
      </c>
      <c r="BD44" s="371">
        <f t="shared" si="29"/>
        <v>0</v>
      </c>
      <c r="BE44" s="371">
        <f t="shared" si="29"/>
        <v>0</v>
      </c>
      <c r="BF44" s="371">
        <f t="shared" si="29"/>
        <v>0</v>
      </c>
      <c r="BG44" s="371">
        <f t="shared" si="29"/>
        <v>0</v>
      </c>
      <c r="BH44" s="371">
        <f t="shared" si="29"/>
        <v>0</v>
      </c>
      <c r="BI44" s="371">
        <f t="shared" si="29"/>
        <v>0</v>
      </c>
      <c r="BJ44" s="371">
        <f t="shared" si="29"/>
        <v>0</v>
      </c>
      <c r="BK44" s="371">
        <f t="shared" si="30"/>
        <v>0</v>
      </c>
      <c r="BL44" s="371">
        <f t="shared" si="30"/>
        <v>0</v>
      </c>
      <c r="BM44" s="371">
        <f t="shared" si="30"/>
        <v>0</v>
      </c>
      <c r="BN44" s="371">
        <f t="shared" si="30"/>
        <v>0</v>
      </c>
      <c r="BO44" s="371">
        <f t="shared" si="30"/>
        <v>0</v>
      </c>
      <c r="BP44" s="371">
        <f t="shared" si="30"/>
        <v>0</v>
      </c>
      <c r="BQ44" s="371">
        <f t="shared" si="30"/>
        <v>0</v>
      </c>
      <c r="BR44" s="371">
        <f t="shared" si="30"/>
        <v>0</v>
      </c>
      <c r="BS44" s="371">
        <f t="shared" si="30"/>
        <v>0</v>
      </c>
      <c r="BT44" s="371">
        <f t="shared" si="30"/>
        <v>0</v>
      </c>
      <c r="BU44" s="371">
        <f t="shared" si="31"/>
        <v>0</v>
      </c>
      <c r="BV44" s="371">
        <f t="shared" si="31"/>
        <v>0</v>
      </c>
      <c r="BW44" s="371">
        <f t="shared" si="31"/>
        <v>0</v>
      </c>
      <c r="BX44" s="371">
        <f t="shared" si="31"/>
        <v>0</v>
      </c>
      <c r="BY44" s="371">
        <f t="shared" si="31"/>
        <v>0</v>
      </c>
      <c r="BZ44" s="371">
        <f t="shared" si="31"/>
        <v>0</v>
      </c>
    </row>
    <row r="45" spans="2:78" ht="21" hidden="1" customHeight="1" outlineLevel="3">
      <c r="B45" s="367"/>
      <c r="C45" s="370"/>
      <c r="D45" s="374">
        <f t="shared" si="26"/>
        <v>45351</v>
      </c>
      <c r="E45" s="373" cm="1">
        <f t="array" ref="E45">IF($D45=LatestMonthOfActuals,INDEX($AE$25:$BZ$25,0,MATCH($D45,$AE$8:$BZ$8,0)),0)</f>
        <v>0</v>
      </c>
      <c r="F45" s="359"/>
      <c r="G45" s="408">
        <f t="shared" si="18"/>
        <v>0</v>
      </c>
      <c r="H45" s="408">
        <f t="shared" si="18"/>
        <v>0</v>
      </c>
      <c r="I45" s="408">
        <f t="shared" si="18"/>
        <v>0</v>
      </c>
      <c r="J45" s="408">
        <f t="shared" si="18"/>
        <v>0</v>
      </c>
      <c r="K45" s="408"/>
      <c r="L45" s="408"/>
      <c r="M45" s="408">
        <f t="shared" si="19"/>
        <v>0</v>
      </c>
      <c r="N45" s="408">
        <f t="shared" si="19"/>
        <v>0</v>
      </c>
      <c r="O45" s="408">
        <f t="shared" si="19"/>
        <v>0</v>
      </c>
      <c r="P45" s="408">
        <f t="shared" si="19"/>
        <v>0</v>
      </c>
      <c r="Q45" s="408">
        <f t="shared" si="19"/>
        <v>0</v>
      </c>
      <c r="R45" s="408">
        <f t="shared" si="19"/>
        <v>0</v>
      </c>
      <c r="S45" s="408">
        <f t="shared" si="19"/>
        <v>0</v>
      </c>
      <c r="T45" s="408">
        <f t="shared" si="19"/>
        <v>0</v>
      </c>
      <c r="U45" s="408">
        <f t="shared" si="19"/>
        <v>0</v>
      </c>
      <c r="V45" s="408">
        <f t="shared" si="19"/>
        <v>0</v>
      </c>
      <c r="W45" s="408">
        <f t="shared" si="19"/>
        <v>0</v>
      </c>
      <c r="X45" s="408">
        <f t="shared" si="19"/>
        <v>0</v>
      </c>
      <c r="Y45" s="408">
        <f t="shared" si="19"/>
        <v>0</v>
      </c>
      <c r="Z45" s="408">
        <f t="shared" si="19"/>
        <v>0</v>
      </c>
      <c r="AA45" s="408">
        <f t="shared" si="19"/>
        <v>0</v>
      </c>
      <c r="AB45" s="408">
        <f t="shared" si="19"/>
        <v>0</v>
      </c>
      <c r="AD45" s="359"/>
      <c r="AE45" s="371">
        <f t="shared" si="27"/>
        <v>0</v>
      </c>
      <c r="AF45" s="371">
        <f t="shared" si="27"/>
        <v>0</v>
      </c>
      <c r="AG45" s="371">
        <f t="shared" si="27"/>
        <v>0</v>
      </c>
      <c r="AH45" s="371">
        <f t="shared" si="27"/>
        <v>0</v>
      </c>
      <c r="AI45" s="371">
        <f t="shared" si="27"/>
        <v>0</v>
      </c>
      <c r="AJ45" s="371">
        <f t="shared" si="27"/>
        <v>0</v>
      </c>
      <c r="AK45" s="371">
        <f t="shared" si="27"/>
        <v>0</v>
      </c>
      <c r="AL45" s="371">
        <f t="shared" si="27"/>
        <v>0</v>
      </c>
      <c r="AM45" s="371">
        <f t="shared" si="27"/>
        <v>0</v>
      </c>
      <c r="AN45" s="371">
        <f t="shared" si="27"/>
        <v>0</v>
      </c>
      <c r="AO45" s="371">
        <f t="shared" si="27"/>
        <v>0</v>
      </c>
      <c r="AP45" s="371">
        <f t="shared" si="21"/>
        <v>0</v>
      </c>
      <c r="AQ45" s="371">
        <f t="shared" si="28"/>
        <v>0</v>
      </c>
      <c r="AR45" s="371">
        <f t="shared" si="28"/>
        <v>0</v>
      </c>
      <c r="AS45" s="371">
        <f t="shared" si="28"/>
        <v>0</v>
      </c>
      <c r="AT45" s="371">
        <f t="shared" si="28"/>
        <v>0</v>
      </c>
      <c r="AU45" s="371">
        <f t="shared" si="28"/>
        <v>0</v>
      </c>
      <c r="AV45" s="371">
        <f t="shared" si="28"/>
        <v>0</v>
      </c>
      <c r="AW45" s="371">
        <f t="shared" si="28"/>
        <v>0</v>
      </c>
      <c r="AX45" s="371">
        <f t="shared" si="28"/>
        <v>0</v>
      </c>
      <c r="AY45" s="371">
        <f t="shared" si="28"/>
        <v>0</v>
      </c>
      <c r="AZ45" s="371">
        <f t="shared" si="28"/>
        <v>0</v>
      </c>
      <c r="BA45" s="371">
        <f t="shared" si="29"/>
        <v>0</v>
      </c>
      <c r="BB45" s="371">
        <f t="shared" si="29"/>
        <v>0</v>
      </c>
      <c r="BC45" s="371">
        <f t="shared" si="29"/>
        <v>0</v>
      </c>
      <c r="BD45" s="371">
        <f t="shared" si="29"/>
        <v>0</v>
      </c>
      <c r="BE45" s="371">
        <f t="shared" si="29"/>
        <v>0</v>
      </c>
      <c r="BF45" s="371">
        <f t="shared" si="29"/>
        <v>0</v>
      </c>
      <c r="BG45" s="371">
        <f t="shared" si="29"/>
        <v>0</v>
      </c>
      <c r="BH45" s="371">
        <f t="shared" si="29"/>
        <v>0</v>
      </c>
      <c r="BI45" s="371">
        <f t="shared" si="29"/>
        <v>0</v>
      </c>
      <c r="BJ45" s="371">
        <f t="shared" si="29"/>
        <v>0</v>
      </c>
      <c r="BK45" s="371">
        <f t="shared" si="30"/>
        <v>0</v>
      </c>
      <c r="BL45" s="371">
        <f t="shared" si="30"/>
        <v>0</v>
      </c>
      <c r="BM45" s="371">
        <f t="shared" si="30"/>
        <v>0</v>
      </c>
      <c r="BN45" s="371">
        <f t="shared" si="30"/>
        <v>0</v>
      </c>
      <c r="BO45" s="371">
        <f t="shared" si="30"/>
        <v>0</v>
      </c>
      <c r="BP45" s="371">
        <f t="shared" si="30"/>
        <v>0</v>
      </c>
      <c r="BQ45" s="371">
        <f t="shared" si="30"/>
        <v>0</v>
      </c>
      <c r="BR45" s="371">
        <f t="shared" si="30"/>
        <v>0</v>
      </c>
      <c r="BS45" s="371">
        <f t="shared" si="30"/>
        <v>0</v>
      </c>
      <c r="BT45" s="371">
        <f t="shared" si="30"/>
        <v>0</v>
      </c>
      <c r="BU45" s="371">
        <f t="shared" si="31"/>
        <v>0</v>
      </c>
      <c r="BV45" s="371">
        <f t="shared" si="31"/>
        <v>0</v>
      </c>
      <c r="BW45" s="371">
        <f t="shared" si="31"/>
        <v>0</v>
      </c>
      <c r="BX45" s="371">
        <f t="shared" si="31"/>
        <v>0</v>
      </c>
      <c r="BY45" s="371">
        <f t="shared" si="31"/>
        <v>0</v>
      </c>
      <c r="BZ45" s="371">
        <f t="shared" si="31"/>
        <v>0</v>
      </c>
    </row>
    <row r="46" spans="2:78" ht="21" hidden="1" customHeight="1" outlineLevel="3">
      <c r="B46" s="367"/>
      <c r="C46" s="370"/>
      <c r="D46" s="374">
        <f t="shared" si="26"/>
        <v>45382</v>
      </c>
      <c r="E46" s="373" cm="1">
        <f t="array" ref="E46">IF($D46=LatestMonthOfActuals,INDEX($AE$25:$BZ$25,0,MATCH($D46,$AE$8:$BZ$8,0)),0)</f>
        <v>0</v>
      </c>
      <c r="F46" s="359"/>
      <c r="G46" s="408">
        <f t="shared" si="18"/>
        <v>0</v>
      </c>
      <c r="H46" s="408">
        <f t="shared" si="18"/>
        <v>0</v>
      </c>
      <c r="I46" s="408">
        <f t="shared" si="18"/>
        <v>0</v>
      </c>
      <c r="J46" s="408">
        <f t="shared" si="18"/>
        <v>0</v>
      </c>
      <c r="K46" s="408"/>
      <c r="L46" s="408"/>
      <c r="M46" s="408">
        <f t="shared" si="19"/>
        <v>0</v>
      </c>
      <c r="N46" s="408">
        <f t="shared" si="19"/>
        <v>0</v>
      </c>
      <c r="O46" s="408">
        <f t="shared" si="19"/>
        <v>0</v>
      </c>
      <c r="P46" s="408">
        <f t="shared" si="19"/>
        <v>0</v>
      </c>
      <c r="Q46" s="408">
        <f t="shared" si="19"/>
        <v>0</v>
      </c>
      <c r="R46" s="408">
        <f t="shared" si="19"/>
        <v>0</v>
      </c>
      <c r="S46" s="408">
        <f t="shared" si="19"/>
        <v>0</v>
      </c>
      <c r="T46" s="408">
        <f t="shared" si="19"/>
        <v>0</v>
      </c>
      <c r="U46" s="408">
        <f t="shared" si="19"/>
        <v>0</v>
      </c>
      <c r="V46" s="408">
        <f t="shared" si="19"/>
        <v>0</v>
      </c>
      <c r="W46" s="408">
        <f t="shared" si="19"/>
        <v>0</v>
      </c>
      <c r="X46" s="408">
        <f t="shared" si="19"/>
        <v>0</v>
      </c>
      <c r="Y46" s="408">
        <f t="shared" si="19"/>
        <v>0</v>
      </c>
      <c r="Z46" s="408">
        <f t="shared" si="19"/>
        <v>0</v>
      </c>
      <c r="AA46" s="408">
        <f t="shared" si="19"/>
        <v>0</v>
      </c>
      <c r="AB46" s="408">
        <f t="shared" si="19"/>
        <v>0</v>
      </c>
      <c r="AD46" s="359"/>
      <c r="AE46" s="371">
        <f t="shared" si="27"/>
        <v>0</v>
      </c>
      <c r="AF46" s="371">
        <f t="shared" si="27"/>
        <v>0</v>
      </c>
      <c r="AG46" s="371">
        <f t="shared" si="27"/>
        <v>0</v>
      </c>
      <c r="AH46" s="371">
        <f t="shared" si="27"/>
        <v>0</v>
      </c>
      <c r="AI46" s="371">
        <f t="shared" si="27"/>
        <v>0</v>
      </c>
      <c r="AJ46" s="371">
        <f t="shared" si="27"/>
        <v>0</v>
      </c>
      <c r="AK46" s="371">
        <f t="shared" si="27"/>
        <v>0</v>
      </c>
      <c r="AL46" s="371">
        <f t="shared" si="27"/>
        <v>0</v>
      </c>
      <c r="AM46" s="371">
        <f t="shared" si="27"/>
        <v>0</v>
      </c>
      <c r="AN46" s="371">
        <f t="shared" si="27"/>
        <v>0</v>
      </c>
      <c r="AO46" s="371">
        <f t="shared" si="27"/>
        <v>0</v>
      </c>
      <c r="AP46" s="371">
        <f t="shared" si="21"/>
        <v>0</v>
      </c>
      <c r="AQ46" s="371">
        <f t="shared" si="28"/>
        <v>0</v>
      </c>
      <c r="AR46" s="371">
        <f t="shared" si="28"/>
        <v>0</v>
      </c>
      <c r="AS46" s="371">
        <f t="shared" si="28"/>
        <v>0</v>
      </c>
      <c r="AT46" s="371">
        <f t="shared" si="28"/>
        <v>0</v>
      </c>
      <c r="AU46" s="371">
        <f t="shared" si="28"/>
        <v>0</v>
      </c>
      <c r="AV46" s="371">
        <f t="shared" si="28"/>
        <v>0</v>
      </c>
      <c r="AW46" s="371">
        <f t="shared" si="28"/>
        <v>0</v>
      </c>
      <c r="AX46" s="371">
        <f t="shared" si="28"/>
        <v>0</v>
      </c>
      <c r="AY46" s="371">
        <f t="shared" si="28"/>
        <v>0</v>
      </c>
      <c r="AZ46" s="371">
        <f t="shared" si="28"/>
        <v>0</v>
      </c>
      <c r="BA46" s="371">
        <f t="shared" si="29"/>
        <v>0</v>
      </c>
      <c r="BB46" s="371">
        <f t="shared" si="29"/>
        <v>0</v>
      </c>
      <c r="BC46" s="371">
        <f t="shared" si="29"/>
        <v>0</v>
      </c>
      <c r="BD46" s="371">
        <f t="shared" si="29"/>
        <v>0</v>
      </c>
      <c r="BE46" s="371">
        <f t="shared" si="29"/>
        <v>0</v>
      </c>
      <c r="BF46" s="371">
        <f t="shared" si="29"/>
        <v>0</v>
      </c>
      <c r="BG46" s="371">
        <f t="shared" si="29"/>
        <v>0</v>
      </c>
      <c r="BH46" s="371">
        <f t="shared" si="29"/>
        <v>0</v>
      </c>
      <c r="BI46" s="371">
        <f t="shared" si="29"/>
        <v>0</v>
      </c>
      <c r="BJ46" s="371">
        <f t="shared" si="29"/>
        <v>0</v>
      </c>
      <c r="BK46" s="371">
        <f t="shared" si="30"/>
        <v>0</v>
      </c>
      <c r="BL46" s="371">
        <f t="shared" si="30"/>
        <v>0</v>
      </c>
      <c r="BM46" s="371">
        <f t="shared" si="30"/>
        <v>0</v>
      </c>
      <c r="BN46" s="371">
        <f t="shared" si="30"/>
        <v>0</v>
      </c>
      <c r="BO46" s="371">
        <f t="shared" si="30"/>
        <v>0</v>
      </c>
      <c r="BP46" s="371">
        <f t="shared" si="30"/>
        <v>0</v>
      </c>
      <c r="BQ46" s="371">
        <f t="shared" si="30"/>
        <v>0</v>
      </c>
      <c r="BR46" s="371">
        <f t="shared" si="30"/>
        <v>0</v>
      </c>
      <c r="BS46" s="371">
        <f t="shared" si="30"/>
        <v>0</v>
      </c>
      <c r="BT46" s="371">
        <f t="shared" si="30"/>
        <v>0</v>
      </c>
      <c r="BU46" s="371">
        <f t="shared" si="31"/>
        <v>0</v>
      </c>
      <c r="BV46" s="371">
        <f t="shared" si="31"/>
        <v>0</v>
      </c>
      <c r="BW46" s="371">
        <f t="shared" si="31"/>
        <v>0</v>
      </c>
      <c r="BX46" s="371">
        <f t="shared" si="31"/>
        <v>0</v>
      </c>
      <c r="BY46" s="371">
        <f t="shared" si="31"/>
        <v>0</v>
      </c>
      <c r="BZ46" s="371">
        <f t="shared" si="31"/>
        <v>0</v>
      </c>
    </row>
    <row r="47" spans="2:78" ht="21" hidden="1" customHeight="1" outlineLevel="3">
      <c r="B47" s="367"/>
      <c r="C47" s="370"/>
      <c r="D47" s="374">
        <f t="shared" si="26"/>
        <v>45412</v>
      </c>
      <c r="E47" s="373" cm="1">
        <f t="array" ref="E47">IF($D47=LatestMonthOfActuals,INDEX($AE$25:$BZ$25,0,MATCH($D47,$AE$8:$BZ$8,0)),0)</f>
        <v>0</v>
      </c>
      <c r="F47" s="359"/>
      <c r="G47" s="408">
        <f t="shared" si="18"/>
        <v>0</v>
      </c>
      <c r="H47" s="408">
        <f t="shared" si="18"/>
        <v>0</v>
      </c>
      <c r="I47" s="408">
        <f t="shared" si="18"/>
        <v>0</v>
      </c>
      <c r="J47" s="408">
        <f t="shared" si="18"/>
        <v>0</v>
      </c>
      <c r="K47" s="408"/>
      <c r="L47" s="408"/>
      <c r="M47" s="408">
        <f t="shared" si="19"/>
        <v>0</v>
      </c>
      <c r="N47" s="408">
        <f t="shared" si="19"/>
        <v>0</v>
      </c>
      <c r="O47" s="408">
        <f t="shared" si="19"/>
        <v>0</v>
      </c>
      <c r="P47" s="408">
        <f t="shared" si="19"/>
        <v>0</v>
      </c>
      <c r="Q47" s="408">
        <f t="shared" si="19"/>
        <v>0</v>
      </c>
      <c r="R47" s="408">
        <f t="shared" si="19"/>
        <v>0</v>
      </c>
      <c r="S47" s="408">
        <f t="shared" si="19"/>
        <v>0</v>
      </c>
      <c r="T47" s="408">
        <f t="shared" si="19"/>
        <v>0</v>
      </c>
      <c r="U47" s="408">
        <f t="shared" si="19"/>
        <v>0</v>
      </c>
      <c r="V47" s="408">
        <f t="shared" si="19"/>
        <v>0</v>
      </c>
      <c r="W47" s="408">
        <f t="shared" si="19"/>
        <v>0</v>
      </c>
      <c r="X47" s="408">
        <f t="shared" si="19"/>
        <v>0</v>
      </c>
      <c r="Y47" s="408">
        <f t="shared" si="19"/>
        <v>0</v>
      </c>
      <c r="Z47" s="408">
        <f t="shared" si="19"/>
        <v>0</v>
      </c>
      <c r="AA47" s="408">
        <f t="shared" si="19"/>
        <v>0</v>
      </c>
      <c r="AB47" s="408">
        <f t="shared" ref="AB47" si="32">SUMIFS($AE47:$BZ47,$AE$4:$BZ$4,"&gt;="&amp;AB$4,$AE47:$BZ47,"&lt;="&amp;AB$5)</f>
        <v>0</v>
      </c>
      <c r="AD47" s="359"/>
      <c r="AE47" s="371">
        <f t="shared" si="27"/>
        <v>0</v>
      </c>
      <c r="AF47" s="371">
        <f t="shared" si="27"/>
        <v>0</v>
      </c>
      <c r="AG47" s="371">
        <f t="shared" si="27"/>
        <v>0</v>
      </c>
      <c r="AH47" s="371">
        <f t="shared" si="27"/>
        <v>0</v>
      </c>
      <c r="AI47" s="371">
        <f t="shared" si="27"/>
        <v>0</v>
      </c>
      <c r="AJ47" s="371">
        <f t="shared" si="27"/>
        <v>0</v>
      </c>
      <c r="AK47" s="371">
        <f t="shared" si="27"/>
        <v>0</v>
      </c>
      <c r="AL47" s="371">
        <f t="shared" si="27"/>
        <v>0</v>
      </c>
      <c r="AM47" s="371">
        <f t="shared" si="27"/>
        <v>0</v>
      </c>
      <c r="AN47" s="371">
        <f t="shared" si="27"/>
        <v>0</v>
      </c>
      <c r="AO47" s="371">
        <f t="shared" si="27"/>
        <v>0</v>
      </c>
      <c r="AP47" s="371">
        <f t="shared" si="21"/>
        <v>0</v>
      </c>
      <c r="AQ47" s="371">
        <f t="shared" si="28"/>
        <v>0</v>
      </c>
      <c r="AR47" s="371">
        <f t="shared" si="28"/>
        <v>0</v>
      </c>
      <c r="AS47" s="371">
        <f t="shared" si="28"/>
        <v>0</v>
      </c>
      <c r="AT47" s="371">
        <f t="shared" si="28"/>
        <v>0</v>
      </c>
      <c r="AU47" s="371">
        <f t="shared" si="28"/>
        <v>0</v>
      </c>
      <c r="AV47" s="371">
        <f t="shared" si="28"/>
        <v>0</v>
      </c>
      <c r="AW47" s="371">
        <f t="shared" si="28"/>
        <v>0</v>
      </c>
      <c r="AX47" s="371">
        <f t="shared" si="28"/>
        <v>0</v>
      </c>
      <c r="AY47" s="371">
        <f t="shared" si="28"/>
        <v>0</v>
      </c>
      <c r="AZ47" s="371">
        <f t="shared" si="28"/>
        <v>0</v>
      </c>
      <c r="BA47" s="371">
        <f t="shared" si="29"/>
        <v>0</v>
      </c>
      <c r="BB47" s="371">
        <f t="shared" si="29"/>
        <v>0</v>
      </c>
      <c r="BC47" s="371">
        <f t="shared" si="29"/>
        <v>0</v>
      </c>
      <c r="BD47" s="371">
        <f t="shared" si="29"/>
        <v>0</v>
      </c>
      <c r="BE47" s="371">
        <f t="shared" si="29"/>
        <v>0</v>
      </c>
      <c r="BF47" s="371">
        <f t="shared" si="29"/>
        <v>0</v>
      </c>
      <c r="BG47" s="371">
        <f t="shared" si="29"/>
        <v>0</v>
      </c>
      <c r="BH47" s="371">
        <f t="shared" si="29"/>
        <v>0</v>
      </c>
      <c r="BI47" s="371">
        <f t="shared" si="29"/>
        <v>0</v>
      </c>
      <c r="BJ47" s="371">
        <f t="shared" si="29"/>
        <v>0</v>
      </c>
      <c r="BK47" s="371">
        <f t="shared" si="30"/>
        <v>0</v>
      </c>
      <c r="BL47" s="371">
        <f t="shared" si="30"/>
        <v>0</v>
      </c>
      <c r="BM47" s="371">
        <f t="shared" si="30"/>
        <v>0</v>
      </c>
      <c r="BN47" s="371">
        <f t="shared" si="30"/>
        <v>0</v>
      </c>
      <c r="BO47" s="371">
        <f t="shared" si="30"/>
        <v>0</v>
      </c>
      <c r="BP47" s="371">
        <f t="shared" si="30"/>
        <v>0</v>
      </c>
      <c r="BQ47" s="371">
        <f t="shared" si="30"/>
        <v>0</v>
      </c>
      <c r="BR47" s="371">
        <f t="shared" si="30"/>
        <v>0</v>
      </c>
      <c r="BS47" s="371">
        <f t="shared" si="30"/>
        <v>0</v>
      </c>
      <c r="BT47" s="371">
        <f t="shared" si="30"/>
        <v>0</v>
      </c>
      <c r="BU47" s="371">
        <f t="shared" si="31"/>
        <v>0</v>
      </c>
      <c r="BV47" s="371">
        <f t="shared" si="31"/>
        <v>0</v>
      </c>
      <c r="BW47" s="371">
        <f t="shared" si="31"/>
        <v>0</v>
      </c>
      <c r="BX47" s="371">
        <f t="shared" si="31"/>
        <v>0</v>
      </c>
      <c r="BY47" s="371">
        <f t="shared" si="31"/>
        <v>0</v>
      </c>
      <c r="BZ47" s="371">
        <f t="shared" si="31"/>
        <v>0</v>
      </c>
    </row>
    <row r="48" spans="2:78" ht="21" hidden="1" customHeight="1" outlineLevel="3">
      <c r="B48" s="367"/>
      <c r="C48" s="370"/>
      <c r="D48" s="374">
        <f t="shared" si="26"/>
        <v>45443</v>
      </c>
      <c r="E48" s="373" cm="1">
        <f t="array" ref="E48">IF($D48=LatestMonthOfActuals,INDEX($AE$25:$BZ$25,0,MATCH($D48,$AE$8:$BZ$8,0)),0)</f>
        <v>0</v>
      </c>
      <c r="F48" s="359"/>
      <c r="G48" s="408">
        <f t="shared" si="18"/>
        <v>0</v>
      </c>
      <c r="H48" s="408">
        <f t="shared" si="18"/>
        <v>0</v>
      </c>
      <c r="I48" s="408">
        <f t="shared" si="18"/>
        <v>0</v>
      </c>
      <c r="J48" s="408">
        <f t="shared" si="18"/>
        <v>0</v>
      </c>
      <c r="K48" s="408"/>
      <c r="L48" s="408"/>
      <c r="M48" s="408">
        <f t="shared" ref="M48:AB63" si="33">SUMIFS($AE48:$BZ48,$AE$4:$BZ$4,"&gt;="&amp;M$4,$AE48:$BZ48,"&lt;="&amp;M$5)</f>
        <v>0</v>
      </c>
      <c r="N48" s="408">
        <f t="shared" si="33"/>
        <v>0</v>
      </c>
      <c r="O48" s="408">
        <f t="shared" si="33"/>
        <v>0</v>
      </c>
      <c r="P48" s="408">
        <f t="shared" si="33"/>
        <v>0</v>
      </c>
      <c r="Q48" s="408">
        <f t="shared" si="33"/>
        <v>0</v>
      </c>
      <c r="R48" s="408">
        <f t="shared" si="33"/>
        <v>0</v>
      </c>
      <c r="S48" s="408">
        <f t="shared" si="33"/>
        <v>0</v>
      </c>
      <c r="T48" s="408">
        <f t="shared" si="33"/>
        <v>0</v>
      </c>
      <c r="U48" s="408">
        <f t="shared" si="33"/>
        <v>0</v>
      </c>
      <c r="V48" s="408">
        <f t="shared" si="33"/>
        <v>0</v>
      </c>
      <c r="W48" s="408">
        <f t="shared" si="33"/>
        <v>0</v>
      </c>
      <c r="X48" s="408">
        <f t="shared" si="33"/>
        <v>0</v>
      </c>
      <c r="Y48" s="408">
        <f t="shared" si="33"/>
        <v>0</v>
      </c>
      <c r="Z48" s="408">
        <f t="shared" si="33"/>
        <v>0</v>
      </c>
      <c r="AA48" s="408">
        <f t="shared" si="33"/>
        <v>0</v>
      </c>
      <c r="AB48" s="408">
        <f t="shared" si="33"/>
        <v>0</v>
      </c>
      <c r="AD48" s="359"/>
      <c r="AE48" s="371">
        <f t="shared" si="27"/>
        <v>0</v>
      </c>
      <c r="AF48" s="371">
        <f t="shared" si="27"/>
        <v>0</v>
      </c>
      <c r="AG48" s="371">
        <f t="shared" si="27"/>
        <v>0</v>
      </c>
      <c r="AH48" s="371">
        <f t="shared" si="27"/>
        <v>0</v>
      </c>
      <c r="AI48" s="371">
        <f t="shared" si="27"/>
        <v>0</v>
      </c>
      <c r="AJ48" s="371">
        <f t="shared" si="27"/>
        <v>0</v>
      </c>
      <c r="AK48" s="371">
        <f t="shared" si="27"/>
        <v>0</v>
      </c>
      <c r="AL48" s="371">
        <f t="shared" si="27"/>
        <v>0</v>
      </c>
      <c r="AM48" s="371">
        <f t="shared" si="27"/>
        <v>0</v>
      </c>
      <c r="AN48" s="371">
        <f t="shared" si="27"/>
        <v>0</v>
      </c>
      <c r="AO48" s="371">
        <f t="shared" si="27"/>
        <v>0</v>
      </c>
      <c r="AP48" s="371">
        <f t="shared" si="21"/>
        <v>0</v>
      </c>
      <c r="AQ48" s="371">
        <f t="shared" si="28"/>
        <v>0</v>
      </c>
      <c r="AR48" s="371">
        <f t="shared" si="28"/>
        <v>0</v>
      </c>
      <c r="AS48" s="371">
        <f t="shared" si="28"/>
        <v>0</v>
      </c>
      <c r="AT48" s="371">
        <f t="shared" si="28"/>
        <v>0</v>
      </c>
      <c r="AU48" s="371">
        <f t="shared" si="28"/>
        <v>0</v>
      </c>
      <c r="AV48" s="371">
        <f t="shared" si="28"/>
        <v>0</v>
      </c>
      <c r="AW48" s="371">
        <f t="shared" si="28"/>
        <v>0</v>
      </c>
      <c r="AX48" s="371">
        <f t="shared" si="28"/>
        <v>0</v>
      </c>
      <c r="AY48" s="371">
        <f t="shared" si="28"/>
        <v>0</v>
      </c>
      <c r="AZ48" s="371">
        <f t="shared" si="28"/>
        <v>0</v>
      </c>
      <c r="BA48" s="371">
        <f t="shared" si="29"/>
        <v>0</v>
      </c>
      <c r="BB48" s="371">
        <f t="shared" si="29"/>
        <v>0</v>
      </c>
      <c r="BC48" s="371">
        <f t="shared" si="29"/>
        <v>0</v>
      </c>
      <c r="BD48" s="371">
        <f t="shared" si="29"/>
        <v>0</v>
      </c>
      <c r="BE48" s="371">
        <f t="shared" si="29"/>
        <v>0</v>
      </c>
      <c r="BF48" s="371">
        <f t="shared" si="29"/>
        <v>0</v>
      </c>
      <c r="BG48" s="371">
        <f t="shared" si="29"/>
        <v>0</v>
      </c>
      <c r="BH48" s="371">
        <f t="shared" si="29"/>
        <v>0</v>
      </c>
      <c r="BI48" s="371">
        <f t="shared" si="29"/>
        <v>0</v>
      </c>
      <c r="BJ48" s="371">
        <f t="shared" si="29"/>
        <v>0</v>
      </c>
      <c r="BK48" s="371">
        <f t="shared" si="30"/>
        <v>0</v>
      </c>
      <c r="BL48" s="371">
        <f t="shared" si="30"/>
        <v>0</v>
      </c>
      <c r="BM48" s="371">
        <f t="shared" si="30"/>
        <v>0</v>
      </c>
      <c r="BN48" s="371">
        <f t="shared" si="30"/>
        <v>0</v>
      </c>
      <c r="BO48" s="371">
        <f t="shared" si="30"/>
        <v>0</v>
      </c>
      <c r="BP48" s="371">
        <f t="shared" si="30"/>
        <v>0</v>
      </c>
      <c r="BQ48" s="371">
        <f t="shared" si="30"/>
        <v>0</v>
      </c>
      <c r="BR48" s="371">
        <f t="shared" si="30"/>
        <v>0</v>
      </c>
      <c r="BS48" s="371">
        <f t="shared" si="30"/>
        <v>0</v>
      </c>
      <c r="BT48" s="371">
        <f t="shared" si="30"/>
        <v>0</v>
      </c>
      <c r="BU48" s="371">
        <f t="shared" si="31"/>
        <v>0</v>
      </c>
      <c r="BV48" s="371">
        <f t="shared" si="31"/>
        <v>0</v>
      </c>
      <c r="BW48" s="371">
        <f t="shared" si="31"/>
        <v>0</v>
      </c>
      <c r="BX48" s="371">
        <f t="shared" si="31"/>
        <v>0</v>
      </c>
      <c r="BY48" s="371">
        <f t="shared" si="31"/>
        <v>0</v>
      </c>
      <c r="BZ48" s="371">
        <f t="shared" si="31"/>
        <v>0</v>
      </c>
    </row>
    <row r="49" spans="2:78" ht="21" hidden="1" customHeight="1" outlineLevel="3">
      <c r="B49" s="367"/>
      <c r="C49" s="370"/>
      <c r="D49" s="374">
        <f t="shared" si="26"/>
        <v>45473</v>
      </c>
      <c r="E49" s="373" cm="1">
        <f t="array" ref="E49">IF($D49=LatestMonthOfActuals,INDEX($AE$25:$BZ$25,0,MATCH($D49,$AE$8:$BZ$8,0)),0)</f>
        <v>0</v>
      </c>
      <c r="F49" s="359"/>
      <c r="G49" s="408">
        <f t="shared" si="18"/>
        <v>0</v>
      </c>
      <c r="H49" s="408">
        <f t="shared" si="18"/>
        <v>0</v>
      </c>
      <c r="I49" s="408">
        <f t="shared" si="18"/>
        <v>0</v>
      </c>
      <c r="J49" s="408">
        <f t="shared" si="18"/>
        <v>0</v>
      </c>
      <c r="K49" s="408"/>
      <c r="L49" s="408"/>
      <c r="M49" s="408">
        <f t="shared" si="33"/>
        <v>0</v>
      </c>
      <c r="N49" s="408">
        <f t="shared" si="33"/>
        <v>0</v>
      </c>
      <c r="O49" s="408">
        <f t="shared" si="33"/>
        <v>0</v>
      </c>
      <c r="P49" s="408">
        <f t="shared" si="33"/>
        <v>0</v>
      </c>
      <c r="Q49" s="408">
        <f t="shared" si="33"/>
        <v>0</v>
      </c>
      <c r="R49" s="408">
        <f t="shared" si="33"/>
        <v>0</v>
      </c>
      <c r="S49" s="408">
        <f t="shared" si="33"/>
        <v>0</v>
      </c>
      <c r="T49" s="408">
        <f t="shared" si="33"/>
        <v>0</v>
      </c>
      <c r="U49" s="408">
        <f t="shared" si="33"/>
        <v>0</v>
      </c>
      <c r="V49" s="408">
        <f t="shared" si="33"/>
        <v>0</v>
      </c>
      <c r="W49" s="408">
        <f t="shared" si="33"/>
        <v>0</v>
      </c>
      <c r="X49" s="408">
        <f t="shared" si="33"/>
        <v>0</v>
      </c>
      <c r="Y49" s="408">
        <f t="shared" si="33"/>
        <v>0</v>
      </c>
      <c r="Z49" s="408">
        <f t="shared" si="33"/>
        <v>0</v>
      </c>
      <c r="AA49" s="408">
        <f t="shared" si="33"/>
        <v>0</v>
      </c>
      <c r="AB49" s="408">
        <f t="shared" si="33"/>
        <v>0</v>
      </c>
      <c r="AD49" s="359"/>
      <c r="AE49" s="371">
        <f t="shared" si="27"/>
        <v>0</v>
      </c>
      <c r="AF49" s="371">
        <f t="shared" si="27"/>
        <v>0</v>
      </c>
      <c r="AG49" s="371">
        <f t="shared" si="27"/>
        <v>0</v>
      </c>
      <c r="AH49" s="371">
        <f t="shared" si="27"/>
        <v>0</v>
      </c>
      <c r="AI49" s="371">
        <f t="shared" si="27"/>
        <v>0</v>
      </c>
      <c r="AJ49" s="371">
        <f t="shared" si="27"/>
        <v>0</v>
      </c>
      <c r="AK49" s="371">
        <f t="shared" si="27"/>
        <v>0</v>
      </c>
      <c r="AL49" s="371">
        <f t="shared" si="27"/>
        <v>0</v>
      </c>
      <c r="AM49" s="371">
        <f t="shared" si="27"/>
        <v>0</v>
      </c>
      <c r="AN49" s="371">
        <f t="shared" si="27"/>
        <v>0</v>
      </c>
      <c r="AO49" s="371">
        <f t="shared" si="27"/>
        <v>0</v>
      </c>
      <c r="AP49" s="371">
        <f t="shared" si="21"/>
        <v>0</v>
      </c>
      <c r="AQ49" s="371">
        <f t="shared" si="28"/>
        <v>0</v>
      </c>
      <c r="AR49" s="371">
        <f t="shared" si="28"/>
        <v>0</v>
      </c>
      <c r="AS49" s="371">
        <f t="shared" si="28"/>
        <v>0</v>
      </c>
      <c r="AT49" s="371">
        <f t="shared" si="28"/>
        <v>0</v>
      </c>
      <c r="AU49" s="371">
        <f t="shared" si="28"/>
        <v>0</v>
      </c>
      <c r="AV49" s="371">
        <f t="shared" si="28"/>
        <v>0</v>
      </c>
      <c r="AW49" s="371">
        <f t="shared" si="28"/>
        <v>0</v>
      </c>
      <c r="AX49" s="371">
        <f t="shared" si="28"/>
        <v>0</v>
      </c>
      <c r="AY49" s="371">
        <f t="shared" si="28"/>
        <v>0</v>
      </c>
      <c r="AZ49" s="371">
        <f t="shared" si="28"/>
        <v>0</v>
      </c>
      <c r="BA49" s="371">
        <f t="shared" si="29"/>
        <v>0</v>
      </c>
      <c r="BB49" s="371">
        <f t="shared" si="29"/>
        <v>0</v>
      </c>
      <c r="BC49" s="371">
        <f t="shared" si="29"/>
        <v>0</v>
      </c>
      <c r="BD49" s="371">
        <f t="shared" si="29"/>
        <v>0</v>
      </c>
      <c r="BE49" s="371">
        <f t="shared" si="29"/>
        <v>0</v>
      </c>
      <c r="BF49" s="371">
        <f t="shared" si="29"/>
        <v>0</v>
      </c>
      <c r="BG49" s="371">
        <f t="shared" si="29"/>
        <v>0</v>
      </c>
      <c r="BH49" s="371">
        <f t="shared" si="29"/>
        <v>0</v>
      </c>
      <c r="BI49" s="371">
        <f t="shared" si="29"/>
        <v>0</v>
      </c>
      <c r="BJ49" s="371">
        <f t="shared" si="29"/>
        <v>0</v>
      </c>
      <c r="BK49" s="371">
        <f t="shared" si="30"/>
        <v>0</v>
      </c>
      <c r="BL49" s="371">
        <f t="shared" si="30"/>
        <v>0</v>
      </c>
      <c r="BM49" s="371">
        <f t="shared" si="30"/>
        <v>0</v>
      </c>
      <c r="BN49" s="371">
        <f t="shared" si="30"/>
        <v>0</v>
      </c>
      <c r="BO49" s="371">
        <f t="shared" si="30"/>
        <v>0</v>
      </c>
      <c r="BP49" s="371">
        <f t="shared" si="30"/>
        <v>0</v>
      </c>
      <c r="BQ49" s="371">
        <f t="shared" si="30"/>
        <v>0</v>
      </c>
      <c r="BR49" s="371">
        <f t="shared" si="30"/>
        <v>0</v>
      </c>
      <c r="BS49" s="371">
        <f t="shared" si="30"/>
        <v>0</v>
      </c>
      <c r="BT49" s="371">
        <f t="shared" si="30"/>
        <v>0</v>
      </c>
      <c r="BU49" s="371">
        <f t="shared" si="31"/>
        <v>0</v>
      </c>
      <c r="BV49" s="371">
        <f t="shared" si="31"/>
        <v>0</v>
      </c>
      <c r="BW49" s="371">
        <f t="shared" si="31"/>
        <v>0</v>
      </c>
      <c r="BX49" s="371">
        <f t="shared" si="31"/>
        <v>0</v>
      </c>
      <c r="BY49" s="371">
        <f t="shared" si="31"/>
        <v>0</v>
      </c>
      <c r="BZ49" s="371">
        <f t="shared" si="31"/>
        <v>0</v>
      </c>
    </row>
    <row r="50" spans="2:78" ht="21" hidden="1" customHeight="1" outlineLevel="3">
      <c r="B50" s="367"/>
      <c r="C50" s="370"/>
      <c r="D50" s="374">
        <f t="shared" si="26"/>
        <v>45504</v>
      </c>
      <c r="E50" s="373" cm="1">
        <f t="array" ref="E50">IF($D50=LatestMonthOfActuals,INDEX($AE$25:$BZ$25,0,MATCH($D50,$AE$8:$BZ$8,0)),0)</f>
        <v>0</v>
      </c>
      <c r="F50" s="359"/>
      <c r="G50" s="408">
        <f t="shared" si="18"/>
        <v>0</v>
      </c>
      <c r="H50" s="408">
        <f t="shared" si="18"/>
        <v>0</v>
      </c>
      <c r="I50" s="408">
        <f t="shared" si="18"/>
        <v>0</v>
      </c>
      <c r="J50" s="408">
        <f t="shared" si="18"/>
        <v>0</v>
      </c>
      <c r="K50" s="408"/>
      <c r="L50" s="408"/>
      <c r="M50" s="408">
        <f t="shared" si="33"/>
        <v>0</v>
      </c>
      <c r="N50" s="408">
        <f t="shared" si="33"/>
        <v>0</v>
      </c>
      <c r="O50" s="408">
        <f t="shared" si="33"/>
        <v>0</v>
      </c>
      <c r="P50" s="408">
        <f t="shared" si="33"/>
        <v>0</v>
      </c>
      <c r="Q50" s="408">
        <f t="shared" si="33"/>
        <v>0</v>
      </c>
      <c r="R50" s="408">
        <f t="shared" si="33"/>
        <v>0</v>
      </c>
      <c r="S50" s="408">
        <f t="shared" si="33"/>
        <v>0</v>
      </c>
      <c r="T50" s="408">
        <f t="shared" si="33"/>
        <v>0</v>
      </c>
      <c r="U50" s="408">
        <f t="shared" si="33"/>
        <v>0</v>
      </c>
      <c r="V50" s="408">
        <f t="shared" si="33"/>
        <v>0</v>
      </c>
      <c r="W50" s="408">
        <f t="shared" si="33"/>
        <v>0</v>
      </c>
      <c r="X50" s="408">
        <f t="shared" si="33"/>
        <v>0</v>
      </c>
      <c r="Y50" s="408">
        <f t="shared" si="33"/>
        <v>0</v>
      </c>
      <c r="Z50" s="408">
        <f t="shared" si="33"/>
        <v>0</v>
      </c>
      <c r="AA50" s="408">
        <f t="shared" si="33"/>
        <v>0</v>
      </c>
      <c r="AB50" s="408">
        <f t="shared" si="33"/>
        <v>0</v>
      </c>
      <c r="AD50" s="359"/>
      <c r="AE50" s="371">
        <f t="shared" si="27"/>
        <v>0</v>
      </c>
      <c r="AF50" s="371">
        <f t="shared" si="27"/>
        <v>0</v>
      </c>
      <c r="AG50" s="371">
        <f t="shared" si="27"/>
        <v>0</v>
      </c>
      <c r="AH50" s="371">
        <f t="shared" si="27"/>
        <v>0</v>
      </c>
      <c r="AI50" s="371">
        <f t="shared" si="27"/>
        <v>0</v>
      </c>
      <c r="AJ50" s="371">
        <f t="shared" si="27"/>
        <v>0</v>
      </c>
      <c r="AK50" s="371">
        <f t="shared" si="27"/>
        <v>0</v>
      </c>
      <c r="AL50" s="371">
        <f t="shared" si="27"/>
        <v>0</v>
      </c>
      <c r="AM50" s="371">
        <f t="shared" si="27"/>
        <v>0</v>
      </c>
      <c r="AN50" s="371">
        <f t="shared" si="27"/>
        <v>0</v>
      </c>
      <c r="AO50" s="371">
        <f t="shared" si="27"/>
        <v>0</v>
      </c>
      <c r="AP50" s="371">
        <f t="shared" si="21"/>
        <v>0</v>
      </c>
      <c r="AQ50" s="371">
        <f t="shared" si="28"/>
        <v>0</v>
      </c>
      <c r="AR50" s="371">
        <f t="shared" si="28"/>
        <v>0</v>
      </c>
      <c r="AS50" s="371">
        <f t="shared" si="28"/>
        <v>0</v>
      </c>
      <c r="AT50" s="371">
        <f t="shared" si="28"/>
        <v>0</v>
      </c>
      <c r="AU50" s="371">
        <f t="shared" si="28"/>
        <v>0</v>
      </c>
      <c r="AV50" s="371">
        <f t="shared" si="28"/>
        <v>0</v>
      </c>
      <c r="AW50" s="371">
        <f t="shared" si="28"/>
        <v>0</v>
      </c>
      <c r="AX50" s="371">
        <f t="shared" si="28"/>
        <v>0</v>
      </c>
      <c r="AY50" s="371">
        <f t="shared" si="28"/>
        <v>0</v>
      </c>
      <c r="AZ50" s="371">
        <f t="shared" si="28"/>
        <v>0</v>
      </c>
      <c r="BA50" s="371">
        <f t="shared" si="29"/>
        <v>0</v>
      </c>
      <c r="BB50" s="371">
        <f t="shared" si="29"/>
        <v>0</v>
      </c>
      <c r="BC50" s="371">
        <f t="shared" si="29"/>
        <v>0</v>
      </c>
      <c r="BD50" s="371">
        <f t="shared" si="29"/>
        <v>0</v>
      </c>
      <c r="BE50" s="371">
        <f t="shared" si="29"/>
        <v>0</v>
      </c>
      <c r="BF50" s="371">
        <f t="shared" si="29"/>
        <v>0</v>
      </c>
      <c r="BG50" s="371">
        <f t="shared" si="29"/>
        <v>0</v>
      </c>
      <c r="BH50" s="371">
        <f t="shared" si="29"/>
        <v>0</v>
      </c>
      <c r="BI50" s="371">
        <f t="shared" si="29"/>
        <v>0</v>
      </c>
      <c r="BJ50" s="371">
        <f t="shared" si="29"/>
        <v>0</v>
      </c>
      <c r="BK50" s="371">
        <f t="shared" si="30"/>
        <v>0</v>
      </c>
      <c r="BL50" s="371">
        <f t="shared" si="30"/>
        <v>0</v>
      </c>
      <c r="BM50" s="371">
        <f t="shared" si="30"/>
        <v>0</v>
      </c>
      <c r="BN50" s="371">
        <f t="shared" si="30"/>
        <v>0</v>
      </c>
      <c r="BO50" s="371">
        <f t="shared" si="30"/>
        <v>0</v>
      </c>
      <c r="BP50" s="371">
        <f t="shared" si="30"/>
        <v>0</v>
      </c>
      <c r="BQ50" s="371">
        <f t="shared" si="30"/>
        <v>0</v>
      </c>
      <c r="BR50" s="371">
        <f t="shared" si="30"/>
        <v>0</v>
      </c>
      <c r="BS50" s="371">
        <f t="shared" si="30"/>
        <v>0</v>
      </c>
      <c r="BT50" s="371">
        <f t="shared" si="30"/>
        <v>0</v>
      </c>
      <c r="BU50" s="371">
        <f t="shared" si="31"/>
        <v>0</v>
      </c>
      <c r="BV50" s="371">
        <f t="shared" si="31"/>
        <v>0</v>
      </c>
      <c r="BW50" s="371">
        <f t="shared" si="31"/>
        <v>0</v>
      </c>
      <c r="BX50" s="371">
        <f t="shared" si="31"/>
        <v>0</v>
      </c>
      <c r="BY50" s="371">
        <f t="shared" si="31"/>
        <v>0</v>
      </c>
      <c r="BZ50" s="371">
        <f t="shared" si="31"/>
        <v>0</v>
      </c>
    </row>
    <row r="51" spans="2:78" ht="21" hidden="1" customHeight="1" outlineLevel="3">
      <c r="B51" s="367"/>
      <c r="C51" s="370"/>
      <c r="D51" s="374">
        <f t="shared" si="26"/>
        <v>45535</v>
      </c>
      <c r="E51" s="373" cm="1">
        <f t="array" ref="E51">IF($D51=LatestMonthOfActuals,INDEX($AE$25:$BZ$25,0,MATCH($D51,$AE$8:$BZ$8,0)),0)</f>
        <v>0</v>
      </c>
      <c r="F51" s="359"/>
      <c r="G51" s="408">
        <f t="shared" si="18"/>
        <v>0</v>
      </c>
      <c r="H51" s="408">
        <f t="shared" si="18"/>
        <v>0</v>
      </c>
      <c r="I51" s="408">
        <f t="shared" si="18"/>
        <v>0</v>
      </c>
      <c r="J51" s="408">
        <f t="shared" si="18"/>
        <v>0</v>
      </c>
      <c r="K51" s="408"/>
      <c r="L51" s="408"/>
      <c r="M51" s="408">
        <f t="shared" si="33"/>
        <v>0</v>
      </c>
      <c r="N51" s="408">
        <f t="shared" si="33"/>
        <v>0</v>
      </c>
      <c r="O51" s="408">
        <f t="shared" si="33"/>
        <v>0</v>
      </c>
      <c r="P51" s="408">
        <f t="shared" si="33"/>
        <v>0</v>
      </c>
      <c r="Q51" s="408">
        <f t="shared" si="33"/>
        <v>0</v>
      </c>
      <c r="R51" s="408">
        <f t="shared" si="33"/>
        <v>0</v>
      </c>
      <c r="S51" s="408">
        <f t="shared" si="33"/>
        <v>0</v>
      </c>
      <c r="T51" s="408">
        <f t="shared" si="33"/>
        <v>0</v>
      </c>
      <c r="U51" s="408">
        <f t="shared" si="33"/>
        <v>0</v>
      </c>
      <c r="V51" s="408">
        <f t="shared" si="33"/>
        <v>0</v>
      </c>
      <c r="W51" s="408">
        <f t="shared" si="33"/>
        <v>0</v>
      </c>
      <c r="X51" s="408">
        <f t="shared" si="33"/>
        <v>0</v>
      </c>
      <c r="Y51" s="408">
        <f t="shared" si="33"/>
        <v>0</v>
      </c>
      <c r="Z51" s="408">
        <f t="shared" si="33"/>
        <v>0</v>
      </c>
      <c r="AA51" s="408">
        <f t="shared" si="33"/>
        <v>0</v>
      </c>
      <c r="AB51" s="408">
        <f t="shared" si="33"/>
        <v>0</v>
      </c>
      <c r="AD51" s="359"/>
      <c r="AE51" s="371">
        <f t="shared" si="27"/>
        <v>0</v>
      </c>
      <c r="AF51" s="371">
        <f t="shared" si="27"/>
        <v>0</v>
      </c>
      <c r="AG51" s="371">
        <f t="shared" si="27"/>
        <v>0</v>
      </c>
      <c r="AH51" s="371">
        <f t="shared" si="27"/>
        <v>0</v>
      </c>
      <c r="AI51" s="371">
        <f t="shared" si="27"/>
        <v>0</v>
      </c>
      <c r="AJ51" s="371">
        <f t="shared" si="27"/>
        <v>0</v>
      </c>
      <c r="AK51" s="371">
        <f t="shared" si="27"/>
        <v>0</v>
      </c>
      <c r="AL51" s="371">
        <f t="shared" si="27"/>
        <v>0</v>
      </c>
      <c r="AM51" s="371">
        <f t="shared" si="27"/>
        <v>0</v>
      </c>
      <c r="AN51" s="371">
        <f t="shared" si="27"/>
        <v>0</v>
      </c>
      <c r="AO51" s="371">
        <f t="shared" si="27"/>
        <v>0</v>
      </c>
      <c r="AP51" s="371">
        <f t="shared" si="21"/>
        <v>0</v>
      </c>
      <c r="AQ51" s="371">
        <f t="shared" si="28"/>
        <v>0</v>
      </c>
      <c r="AR51" s="371">
        <f t="shared" si="28"/>
        <v>0</v>
      </c>
      <c r="AS51" s="371">
        <f t="shared" si="28"/>
        <v>0</v>
      </c>
      <c r="AT51" s="371">
        <f t="shared" si="28"/>
        <v>0</v>
      </c>
      <c r="AU51" s="371">
        <f t="shared" si="28"/>
        <v>0</v>
      </c>
      <c r="AV51" s="371">
        <f t="shared" si="28"/>
        <v>0</v>
      </c>
      <c r="AW51" s="371">
        <f t="shared" si="28"/>
        <v>0</v>
      </c>
      <c r="AX51" s="371">
        <f t="shared" si="28"/>
        <v>0</v>
      </c>
      <c r="AY51" s="371">
        <f t="shared" si="28"/>
        <v>0</v>
      </c>
      <c r="AZ51" s="371">
        <f t="shared" si="28"/>
        <v>0</v>
      </c>
      <c r="BA51" s="371">
        <f t="shared" si="29"/>
        <v>0</v>
      </c>
      <c r="BB51" s="371">
        <f t="shared" si="29"/>
        <v>0</v>
      </c>
      <c r="BC51" s="371">
        <f t="shared" si="29"/>
        <v>0</v>
      </c>
      <c r="BD51" s="371">
        <f t="shared" si="29"/>
        <v>0</v>
      </c>
      <c r="BE51" s="371">
        <f t="shared" si="29"/>
        <v>0</v>
      </c>
      <c r="BF51" s="371">
        <f t="shared" si="29"/>
        <v>0</v>
      </c>
      <c r="BG51" s="371">
        <f t="shared" si="29"/>
        <v>0</v>
      </c>
      <c r="BH51" s="371">
        <f t="shared" si="29"/>
        <v>0</v>
      </c>
      <c r="BI51" s="371">
        <f t="shared" si="29"/>
        <v>0</v>
      </c>
      <c r="BJ51" s="371">
        <f t="shared" si="29"/>
        <v>0</v>
      </c>
      <c r="BK51" s="371">
        <f t="shared" si="30"/>
        <v>0</v>
      </c>
      <c r="BL51" s="371">
        <f t="shared" si="30"/>
        <v>0</v>
      </c>
      <c r="BM51" s="371">
        <f t="shared" si="30"/>
        <v>0</v>
      </c>
      <c r="BN51" s="371">
        <f t="shared" si="30"/>
        <v>0</v>
      </c>
      <c r="BO51" s="371">
        <f t="shared" si="30"/>
        <v>0</v>
      </c>
      <c r="BP51" s="371">
        <f t="shared" si="30"/>
        <v>0</v>
      </c>
      <c r="BQ51" s="371">
        <f t="shared" si="30"/>
        <v>0</v>
      </c>
      <c r="BR51" s="371">
        <f t="shared" si="30"/>
        <v>0</v>
      </c>
      <c r="BS51" s="371">
        <f t="shared" si="30"/>
        <v>0</v>
      </c>
      <c r="BT51" s="371">
        <f t="shared" si="30"/>
        <v>0</v>
      </c>
      <c r="BU51" s="371">
        <f t="shared" si="31"/>
        <v>0</v>
      </c>
      <c r="BV51" s="371">
        <f t="shared" si="31"/>
        <v>0</v>
      </c>
      <c r="BW51" s="371">
        <f t="shared" si="31"/>
        <v>0</v>
      </c>
      <c r="BX51" s="371">
        <f t="shared" si="31"/>
        <v>0</v>
      </c>
      <c r="BY51" s="371">
        <f t="shared" si="31"/>
        <v>0</v>
      </c>
      <c r="BZ51" s="371">
        <f t="shared" si="31"/>
        <v>0</v>
      </c>
    </row>
    <row r="52" spans="2:78" ht="21" hidden="1" customHeight="1" outlineLevel="3">
      <c r="B52" s="367"/>
      <c r="C52" s="370"/>
      <c r="D52" s="374">
        <f t="shared" si="26"/>
        <v>45565</v>
      </c>
      <c r="E52" s="373" cm="1">
        <f t="array" ref="E52">IF($D52=LatestMonthOfActuals,INDEX($AE$25:$BZ$25,0,MATCH($D52,$AE$8:$BZ$8,0)),0)</f>
        <v>0</v>
      </c>
      <c r="F52" s="359"/>
      <c r="G52" s="408">
        <f t="shared" ref="G52:J71" si="34">SUMIFS($AE52:$BZ52,$AE$4:$BZ$4,"&gt;="&amp;G$4,$AE$5:$BZ$5,"&lt;="&amp;G$5)</f>
        <v>0</v>
      </c>
      <c r="H52" s="408">
        <f t="shared" si="34"/>
        <v>0</v>
      </c>
      <c r="I52" s="408">
        <f t="shared" si="34"/>
        <v>0</v>
      </c>
      <c r="J52" s="408">
        <f t="shared" si="34"/>
        <v>0</v>
      </c>
      <c r="K52" s="408"/>
      <c r="L52" s="408"/>
      <c r="M52" s="408">
        <f t="shared" si="33"/>
        <v>0</v>
      </c>
      <c r="N52" s="408">
        <f t="shared" si="33"/>
        <v>0</v>
      </c>
      <c r="O52" s="408">
        <f t="shared" si="33"/>
        <v>0</v>
      </c>
      <c r="P52" s="408">
        <f t="shared" si="33"/>
        <v>0</v>
      </c>
      <c r="Q52" s="408">
        <f t="shared" si="33"/>
        <v>0</v>
      </c>
      <c r="R52" s="408">
        <f t="shared" si="33"/>
        <v>0</v>
      </c>
      <c r="S52" s="408">
        <f t="shared" si="33"/>
        <v>0</v>
      </c>
      <c r="T52" s="408">
        <f t="shared" si="33"/>
        <v>0</v>
      </c>
      <c r="U52" s="408">
        <f t="shared" si="33"/>
        <v>0</v>
      </c>
      <c r="V52" s="408">
        <f t="shared" si="33"/>
        <v>0</v>
      </c>
      <c r="W52" s="408">
        <f t="shared" si="33"/>
        <v>0</v>
      </c>
      <c r="X52" s="408">
        <f t="shared" si="33"/>
        <v>0</v>
      </c>
      <c r="Y52" s="408">
        <f t="shared" si="33"/>
        <v>0</v>
      </c>
      <c r="Z52" s="408">
        <f t="shared" si="33"/>
        <v>0</v>
      </c>
      <c r="AA52" s="408">
        <f t="shared" si="33"/>
        <v>0</v>
      </c>
      <c r="AB52" s="408">
        <f t="shared" si="33"/>
        <v>0</v>
      </c>
      <c r="AD52" s="359"/>
      <c r="AE52" s="371">
        <f t="shared" ref="AE52:AO61" si="35">IFERROR(IF(AE$8&gt;=$D52,$E52*(INDEX($E$12:$E$16,(MATCH(MATCH(AE$8,$D$32:$D$79,0)-MATCH($D52,$D$32:$D$79,0),$D$12:$D$16,0)))),0),0)</f>
        <v>0</v>
      </c>
      <c r="AF52" s="371">
        <f t="shared" si="35"/>
        <v>0</v>
      </c>
      <c r="AG52" s="371">
        <f t="shared" si="35"/>
        <v>0</v>
      </c>
      <c r="AH52" s="371">
        <f t="shared" si="35"/>
        <v>0</v>
      </c>
      <c r="AI52" s="371">
        <f t="shared" si="35"/>
        <v>0</v>
      </c>
      <c r="AJ52" s="371">
        <f t="shared" si="35"/>
        <v>0</v>
      </c>
      <c r="AK52" s="371">
        <f t="shared" si="35"/>
        <v>0</v>
      </c>
      <c r="AL52" s="371">
        <f t="shared" si="35"/>
        <v>0</v>
      </c>
      <c r="AM52" s="371">
        <f t="shared" si="35"/>
        <v>0</v>
      </c>
      <c r="AN52" s="371">
        <f t="shared" si="35"/>
        <v>0</v>
      </c>
      <c r="AO52" s="371">
        <f t="shared" si="35"/>
        <v>0</v>
      </c>
      <c r="AP52" s="371">
        <f t="shared" si="21"/>
        <v>0</v>
      </c>
      <c r="AQ52" s="371">
        <f t="shared" ref="AQ52:AZ61" si="36">IFERROR(IF(AQ$8&gt;=$D52,$E52*(INDEX($E$12:$E$16,(MATCH(MATCH(AQ$8,$D$32:$D$79,0)-MATCH($D52,$D$32:$D$79,0),$D$12:$D$16,0)))),0),0)</f>
        <v>0</v>
      </c>
      <c r="AR52" s="371">
        <f t="shared" si="36"/>
        <v>0</v>
      </c>
      <c r="AS52" s="371">
        <f t="shared" si="36"/>
        <v>0</v>
      </c>
      <c r="AT52" s="371">
        <f t="shared" si="36"/>
        <v>0</v>
      </c>
      <c r="AU52" s="371">
        <f t="shared" si="36"/>
        <v>0</v>
      </c>
      <c r="AV52" s="371">
        <f t="shared" si="36"/>
        <v>0</v>
      </c>
      <c r="AW52" s="371">
        <f t="shared" si="36"/>
        <v>0</v>
      </c>
      <c r="AX52" s="371">
        <f t="shared" si="36"/>
        <v>0</v>
      </c>
      <c r="AY52" s="371">
        <f t="shared" si="36"/>
        <v>0</v>
      </c>
      <c r="AZ52" s="371">
        <f t="shared" si="36"/>
        <v>0</v>
      </c>
      <c r="BA52" s="371">
        <f t="shared" ref="BA52:BJ61" si="37">IFERROR(IF(BA$8&gt;=$D52,$E52*(INDEX($E$12:$E$16,(MATCH(MATCH(BA$8,$D$32:$D$79,0)-MATCH($D52,$D$32:$D$79,0),$D$12:$D$16,0)))),0),0)</f>
        <v>0</v>
      </c>
      <c r="BB52" s="371">
        <f t="shared" si="37"/>
        <v>0</v>
      </c>
      <c r="BC52" s="371">
        <f t="shared" si="37"/>
        <v>0</v>
      </c>
      <c r="BD52" s="371">
        <f t="shared" si="37"/>
        <v>0</v>
      </c>
      <c r="BE52" s="371">
        <f t="shared" si="37"/>
        <v>0</v>
      </c>
      <c r="BF52" s="371">
        <f t="shared" si="37"/>
        <v>0</v>
      </c>
      <c r="BG52" s="371">
        <f t="shared" si="37"/>
        <v>0</v>
      </c>
      <c r="BH52" s="371">
        <f t="shared" si="37"/>
        <v>0</v>
      </c>
      <c r="BI52" s="371">
        <f t="shared" si="37"/>
        <v>0</v>
      </c>
      <c r="BJ52" s="371">
        <f t="shared" si="37"/>
        <v>0</v>
      </c>
      <c r="BK52" s="371">
        <f t="shared" ref="BK52:BT61" si="38">IFERROR(IF(BK$8&gt;=$D52,$E52*(INDEX($E$12:$E$16,(MATCH(MATCH(BK$8,$D$32:$D$79,0)-MATCH($D52,$D$32:$D$79,0),$D$12:$D$16,0)))),0),0)</f>
        <v>0</v>
      </c>
      <c r="BL52" s="371">
        <f t="shared" si="38"/>
        <v>0</v>
      </c>
      <c r="BM52" s="371">
        <f t="shared" si="38"/>
        <v>0</v>
      </c>
      <c r="BN52" s="371">
        <f t="shared" si="38"/>
        <v>0</v>
      </c>
      <c r="BO52" s="371">
        <f t="shared" si="38"/>
        <v>0</v>
      </c>
      <c r="BP52" s="371">
        <f t="shared" si="38"/>
        <v>0</v>
      </c>
      <c r="BQ52" s="371">
        <f t="shared" si="38"/>
        <v>0</v>
      </c>
      <c r="BR52" s="371">
        <f t="shared" si="38"/>
        <v>0</v>
      </c>
      <c r="BS52" s="371">
        <f t="shared" si="38"/>
        <v>0</v>
      </c>
      <c r="BT52" s="371">
        <f t="shared" si="38"/>
        <v>0</v>
      </c>
      <c r="BU52" s="371">
        <f t="shared" ref="BU52:BZ61" si="39">IFERROR(IF(BU$8&gt;=$D52,$E52*(INDEX($E$12:$E$16,(MATCH(MATCH(BU$8,$D$32:$D$79,0)-MATCH($D52,$D$32:$D$79,0),$D$12:$D$16,0)))),0),0)</f>
        <v>0</v>
      </c>
      <c r="BV52" s="371">
        <f t="shared" si="39"/>
        <v>0</v>
      </c>
      <c r="BW52" s="371">
        <f t="shared" si="39"/>
        <v>0</v>
      </c>
      <c r="BX52" s="371">
        <f t="shared" si="39"/>
        <v>0</v>
      </c>
      <c r="BY52" s="371">
        <f t="shared" si="39"/>
        <v>0</v>
      </c>
      <c r="BZ52" s="371">
        <f t="shared" si="39"/>
        <v>0</v>
      </c>
    </row>
    <row r="53" spans="2:78" ht="21" hidden="1" customHeight="1" outlineLevel="3">
      <c r="B53" s="367"/>
      <c r="C53" s="370"/>
      <c r="D53" s="374">
        <f t="shared" si="26"/>
        <v>45596</v>
      </c>
      <c r="E53" s="373" cm="1">
        <f t="array" ref="E53">IF($D53=LatestMonthOfActuals,INDEX($AE$25:$BZ$25,0,MATCH($D53,$AE$8:$BZ$8,0)),0)</f>
        <v>0</v>
      </c>
      <c r="F53" s="359"/>
      <c r="G53" s="408">
        <f t="shared" si="34"/>
        <v>0</v>
      </c>
      <c r="H53" s="408">
        <f t="shared" si="34"/>
        <v>0</v>
      </c>
      <c r="I53" s="408">
        <f t="shared" si="34"/>
        <v>0</v>
      </c>
      <c r="J53" s="408">
        <f t="shared" si="34"/>
        <v>0</v>
      </c>
      <c r="K53" s="408"/>
      <c r="L53" s="408"/>
      <c r="M53" s="408">
        <f t="shared" si="33"/>
        <v>0</v>
      </c>
      <c r="N53" s="408">
        <f t="shared" si="33"/>
        <v>0</v>
      </c>
      <c r="O53" s="408">
        <f t="shared" si="33"/>
        <v>0</v>
      </c>
      <c r="P53" s="408">
        <f t="shared" si="33"/>
        <v>0</v>
      </c>
      <c r="Q53" s="408">
        <f t="shared" si="33"/>
        <v>0</v>
      </c>
      <c r="R53" s="408">
        <f t="shared" si="33"/>
        <v>0</v>
      </c>
      <c r="S53" s="408">
        <f t="shared" si="33"/>
        <v>0</v>
      </c>
      <c r="T53" s="408">
        <f t="shared" si="33"/>
        <v>0</v>
      </c>
      <c r="U53" s="408">
        <f t="shared" si="33"/>
        <v>0</v>
      </c>
      <c r="V53" s="408">
        <f t="shared" si="33"/>
        <v>0</v>
      </c>
      <c r="W53" s="408">
        <f t="shared" si="33"/>
        <v>0</v>
      </c>
      <c r="X53" s="408">
        <f t="shared" si="33"/>
        <v>0</v>
      </c>
      <c r="Y53" s="408">
        <f t="shared" si="33"/>
        <v>0</v>
      </c>
      <c r="Z53" s="408">
        <f t="shared" si="33"/>
        <v>0</v>
      </c>
      <c r="AA53" s="408">
        <f t="shared" si="33"/>
        <v>0</v>
      </c>
      <c r="AB53" s="408">
        <f t="shared" si="33"/>
        <v>0</v>
      </c>
      <c r="AD53" s="359"/>
      <c r="AE53" s="371">
        <f t="shared" si="35"/>
        <v>0</v>
      </c>
      <c r="AF53" s="371">
        <f t="shared" si="35"/>
        <v>0</v>
      </c>
      <c r="AG53" s="371">
        <f t="shared" si="35"/>
        <v>0</v>
      </c>
      <c r="AH53" s="371">
        <f t="shared" si="35"/>
        <v>0</v>
      </c>
      <c r="AI53" s="371">
        <f t="shared" si="35"/>
        <v>0</v>
      </c>
      <c r="AJ53" s="371">
        <f t="shared" si="35"/>
        <v>0</v>
      </c>
      <c r="AK53" s="371">
        <f t="shared" si="35"/>
        <v>0</v>
      </c>
      <c r="AL53" s="371">
        <f t="shared" si="35"/>
        <v>0</v>
      </c>
      <c r="AM53" s="371">
        <f t="shared" si="35"/>
        <v>0</v>
      </c>
      <c r="AN53" s="371">
        <f t="shared" si="35"/>
        <v>0</v>
      </c>
      <c r="AO53" s="371">
        <f t="shared" si="35"/>
        <v>0</v>
      </c>
      <c r="AP53" s="371">
        <f t="shared" si="21"/>
        <v>0</v>
      </c>
      <c r="AQ53" s="371">
        <f t="shared" si="36"/>
        <v>0</v>
      </c>
      <c r="AR53" s="371">
        <f t="shared" si="36"/>
        <v>0</v>
      </c>
      <c r="AS53" s="371">
        <f t="shared" si="36"/>
        <v>0</v>
      </c>
      <c r="AT53" s="371">
        <f t="shared" si="36"/>
        <v>0</v>
      </c>
      <c r="AU53" s="371">
        <f t="shared" si="36"/>
        <v>0</v>
      </c>
      <c r="AV53" s="371">
        <f t="shared" si="36"/>
        <v>0</v>
      </c>
      <c r="AW53" s="371">
        <f t="shared" si="36"/>
        <v>0</v>
      </c>
      <c r="AX53" s="371">
        <f t="shared" si="36"/>
        <v>0</v>
      </c>
      <c r="AY53" s="371">
        <f t="shared" si="36"/>
        <v>0</v>
      </c>
      <c r="AZ53" s="371">
        <f t="shared" si="36"/>
        <v>0</v>
      </c>
      <c r="BA53" s="371">
        <f t="shared" si="37"/>
        <v>0</v>
      </c>
      <c r="BB53" s="371">
        <f t="shared" si="37"/>
        <v>0</v>
      </c>
      <c r="BC53" s="371">
        <f t="shared" si="37"/>
        <v>0</v>
      </c>
      <c r="BD53" s="371">
        <f t="shared" si="37"/>
        <v>0</v>
      </c>
      <c r="BE53" s="371">
        <f t="shared" si="37"/>
        <v>0</v>
      </c>
      <c r="BF53" s="371">
        <f t="shared" si="37"/>
        <v>0</v>
      </c>
      <c r="BG53" s="371">
        <f t="shared" si="37"/>
        <v>0</v>
      </c>
      <c r="BH53" s="371">
        <f t="shared" si="37"/>
        <v>0</v>
      </c>
      <c r="BI53" s="371">
        <f t="shared" si="37"/>
        <v>0</v>
      </c>
      <c r="BJ53" s="371">
        <f t="shared" si="37"/>
        <v>0</v>
      </c>
      <c r="BK53" s="371">
        <f t="shared" si="38"/>
        <v>0</v>
      </c>
      <c r="BL53" s="371">
        <f t="shared" si="38"/>
        <v>0</v>
      </c>
      <c r="BM53" s="371">
        <f t="shared" si="38"/>
        <v>0</v>
      </c>
      <c r="BN53" s="371">
        <f t="shared" si="38"/>
        <v>0</v>
      </c>
      <c r="BO53" s="371">
        <f t="shared" si="38"/>
        <v>0</v>
      </c>
      <c r="BP53" s="371">
        <f t="shared" si="38"/>
        <v>0</v>
      </c>
      <c r="BQ53" s="371">
        <f t="shared" si="38"/>
        <v>0</v>
      </c>
      <c r="BR53" s="371">
        <f t="shared" si="38"/>
        <v>0</v>
      </c>
      <c r="BS53" s="371">
        <f t="shared" si="38"/>
        <v>0</v>
      </c>
      <c r="BT53" s="371">
        <f t="shared" si="38"/>
        <v>0</v>
      </c>
      <c r="BU53" s="371">
        <f t="shared" si="39"/>
        <v>0</v>
      </c>
      <c r="BV53" s="371">
        <f t="shared" si="39"/>
        <v>0</v>
      </c>
      <c r="BW53" s="371">
        <f t="shared" si="39"/>
        <v>0</v>
      </c>
      <c r="BX53" s="371">
        <f t="shared" si="39"/>
        <v>0</v>
      </c>
      <c r="BY53" s="371">
        <f t="shared" si="39"/>
        <v>0</v>
      </c>
      <c r="BZ53" s="371">
        <f t="shared" si="39"/>
        <v>0</v>
      </c>
    </row>
    <row r="54" spans="2:78" ht="21" hidden="1" customHeight="1" outlineLevel="3">
      <c r="B54" s="367"/>
      <c r="C54" s="370"/>
      <c r="D54" s="374">
        <f t="shared" si="26"/>
        <v>45626</v>
      </c>
      <c r="E54" s="373" cm="1">
        <f t="array" ref="E54">IF($D54=LatestMonthOfActuals,INDEX($AE$25:$BZ$25,0,MATCH($D54,$AE$8:$BZ$8,0)),0)</f>
        <v>0</v>
      </c>
      <c r="F54" s="359"/>
      <c r="G54" s="408">
        <f t="shared" si="34"/>
        <v>0</v>
      </c>
      <c r="H54" s="408">
        <f t="shared" si="34"/>
        <v>0</v>
      </c>
      <c r="I54" s="408">
        <f t="shared" si="34"/>
        <v>0</v>
      </c>
      <c r="J54" s="408">
        <f t="shared" si="34"/>
        <v>0</v>
      </c>
      <c r="K54" s="408"/>
      <c r="L54" s="408"/>
      <c r="M54" s="408">
        <f t="shared" si="33"/>
        <v>0</v>
      </c>
      <c r="N54" s="408">
        <f t="shared" si="33"/>
        <v>0</v>
      </c>
      <c r="O54" s="408">
        <f t="shared" si="33"/>
        <v>0</v>
      </c>
      <c r="P54" s="408">
        <f t="shared" si="33"/>
        <v>0</v>
      </c>
      <c r="Q54" s="408">
        <f t="shared" si="33"/>
        <v>0</v>
      </c>
      <c r="R54" s="408">
        <f t="shared" si="33"/>
        <v>0</v>
      </c>
      <c r="S54" s="408">
        <f t="shared" si="33"/>
        <v>0</v>
      </c>
      <c r="T54" s="408">
        <f t="shared" si="33"/>
        <v>0</v>
      </c>
      <c r="U54" s="408">
        <f t="shared" si="33"/>
        <v>0</v>
      </c>
      <c r="V54" s="408">
        <f t="shared" si="33"/>
        <v>0</v>
      </c>
      <c r="W54" s="408">
        <f t="shared" si="33"/>
        <v>0</v>
      </c>
      <c r="X54" s="408">
        <f t="shared" si="33"/>
        <v>0</v>
      </c>
      <c r="Y54" s="408">
        <f t="shared" si="33"/>
        <v>0</v>
      </c>
      <c r="Z54" s="408">
        <f t="shared" si="33"/>
        <v>0</v>
      </c>
      <c r="AA54" s="408">
        <f t="shared" si="33"/>
        <v>0</v>
      </c>
      <c r="AB54" s="408">
        <f t="shared" si="33"/>
        <v>0</v>
      </c>
      <c r="AD54" s="359"/>
      <c r="AE54" s="371">
        <f t="shared" si="35"/>
        <v>0</v>
      </c>
      <c r="AF54" s="371">
        <f t="shared" si="35"/>
        <v>0</v>
      </c>
      <c r="AG54" s="371">
        <f t="shared" si="35"/>
        <v>0</v>
      </c>
      <c r="AH54" s="371">
        <f t="shared" si="35"/>
        <v>0</v>
      </c>
      <c r="AI54" s="371">
        <f t="shared" si="35"/>
        <v>0</v>
      </c>
      <c r="AJ54" s="371">
        <f t="shared" si="35"/>
        <v>0</v>
      </c>
      <c r="AK54" s="371">
        <f t="shared" si="35"/>
        <v>0</v>
      </c>
      <c r="AL54" s="371">
        <f t="shared" si="35"/>
        <v>0</v>
      </c>
      <c r="AM54" s="371">
        <f t="shared" si="35"/>
        <v>0</v>
      </c>
      <c r="AN54" s="371">
        <f t="shared" si="35"/>
        <v>0</v>
      </c>
      <c r="AO54" s="371">
        <f t="shared" si="35"/>
        <v>0</v>
      </c>
      <c r="AP54" s="371">
        <f t="shared" si="21"/>
        <v>0</v>
      </c>
      <c r="AQ54" s="371">
        <f t="shared" si="36"/>
        <v>0</v>
      </c>
      <c r="AR54" s="371">
        <f t="shared" si="36"/>
        <v>0</v>
      </c>
      <c r="AS54" s="371">
        <f t="shared" si="36"/>
        <v>0</v>
      </c>
      <c r="AT54" s="371">
        <f t="shared" si="36"/>
        <v>0</v>
      </c>
      <c r="AU54" s="371">
        <f t="shared" si="36"/>
        <v>0</v>
      </c>
      <c r="AV54" s="371">
        <f t="shared" si="36"/>
        <v>0</v>
      </c>
      <c r="AW54" s="371">
        <f t="shared" si="36"/>
        <v>0</v>
      </c>
      <c r="AX54" s="371">
        <f t="shared" si="36"/>
        <v>0</v>
      </c>
      <c r="AY54" s="371">
        <f t="shared" si="36"/>
        <v>0</v>
      </c>
      <c r="AZ54" s="371">
        <f t="shared" si="36"/>
        <v>0</v>
      </c>
      <c r="BA54" s="371">
        <f t="shared" si="37"/>
        <v>0</v>
      </c>
      <c r="BB54" s="371">
        <f t="shared" si="37"/>
        <v>0</v>
      </c>
      <c r="BC54" s="371">
        <f t="shared" si="37"/>
        <v>0</v>
      </c>
      <c r="BD54" s="371">
        <f t="shared" si="37"/>
        <v>0</v>
      </c>
      <c r="BE54" s="371">
        <f t="shared" si="37"/>
        <v>0</v>
      </c>
      <c r="BF54" s="371">
        <f t="shared" si="37"/>
        <v>0</v>
      </c>
      <c r="BG54" s="371">
        <f t="shared" si="37"/>
        <v>0</v>
      </c>
      <c r="BH54" s="371">
        <f t="shared" si="37"/>
        <v>0</v>
      </c>
      <c r="BI54" s="371">
        <f t="shared" si="37"/>
        <v>0</v>
      </c>
      <c r="BJ54" s="371">
        <f t="shared" si="37"/>
        <v>0</v>
      </c>
      <c r="BK54" s="371">
        <f t="shared" si="38"/>
        <v>0</v>
      </c>
      <c r="BL54" s="371">
        <f t="shared" si="38"/>
        <v>0</v>
      </c>
      <c r="BM54" s="371">
        <f t="shared" si="38"/>
        <v>0</v>
      </c>
      <c r="BN54" s="371">
        <f t="shared" si="38"/>
        <v>0</v>
      </c>
      <c r="BO54" s="371">
        <f t="shared" si="38"/>
        <v>0</v>
      </c>
      <c r="BP54" s="371">
        <f t="shared" si="38"/>
        <v>0</v>
      </c>
      <c r="BQ54" s="371">
        <f t="shared" si="38"/>
        <v>0</v>
      </c>
      <c r="BR54" s="371">
        <f t="shared" si="38"/>
        <v>0</v>
      </c>
      <c r="BS54" s="371">
        <f t="shared" si="38"/>
        <v>0</v>
      </c>
      <c r="BT54" s="371">
        <f t="shared" si="38"/>
        <v>0</v>
      </c>
      <c r="BU54" s="371">
        <f t="shared" si="39"/>
        <v>0</v>
      </c>
      <c r="BV54" s="371">
        <f t="shared" si="39"/>
        <v>0</v>
      </c>
      <c r="BW54" s="371">
        <f t="shared" si="39"/>
        <v>0</v>
      </c>
      <c r="BX54" s="371">
        <f t="shared" si="39"/>
        <v>0</v>
      </c>
      <c r="BY54" s="371">
        <f t="shared" si="39"/>
        <v>0</v>
      </c>
      <c r="BZ54" s="371">
        <f t="shared" si="39"/>
        <v>0</v>
      </c>
    </row>
    <row r="55" spans="2:78" ht="21" hidden="1" customHeight="1" outlineLevel="3">
      <c r="B55" s="367"/>
      <c r="C55" s="370"/>
      <c r="D55" s="374">
        <f t="shared" si="26"/>
        <v>45657</v>
      </c>
      <c r="E55" s="373" cm="1">
        <f t="array" ref="E55">IF($D55=LatestMonthOfActuals,INDEX($AE$25:$BZ$25,0,MATCH($D55,$AE$8:$BZ$8,0)),0)</f>
        <v>0</v>
      </c>
      <c r="F55" s="359"/>
      <c r="G55" s="408">
        <f t="shared" si="34"/>
        <v>0</v>
      </c>
      <c r="H55" s="408">
        <f t="shared" si="34"/>
        <v>0</v>
      </c>
      <c r="I55" s="408">
        <f t="shared" si="34"/>
        <v>0</v>
      </c>
      <c r="J55" s="408">
        <f t="shared" si="34"/>
        <v>0</v>
      </c>
      <c r="K55" s="408"/>
      <c r="L55" s="408"/>
      <c r="M55" s="408">
        <f t="shared" si="33"/>
        <v>0</v>
      </c>
      <c r="N55" s="408">
        <f t="shared" si="33"/>
        <v>0</v>
      </c>
      <c r="O55" s="408">
        <f t="shared" si="33"/>
        <v>0</v>
      </c>
      <c r="P55" s="408">
        <f t="shared" si="33"/>
        <v>0</v>
      </c>
      <c r="Q55" s="408">
        <f t="shared" si="33"/>
        <v>0</v>
      </c>
      <c r="R55" s="408">
        <f t="shared" si="33"/>
        <v>0</v>
      </c>
      <c r="S55" s="408">
        <f t="shared" si="33"/>
        <v>0</v>
      </c>
      <c r="T55" s="408">
        <f t="shared" si="33"/>
        <v>0</v>
      </c>
      <c r="U55" s="408">
        <f t="shared" si="33"/>
        <v>0</v>
      </c>
      <c r="V55" s="408">
        <f t="shared" si="33"/>
        <v>0</v>
      </c>
      <c r="W55" s="408">
        <f t="shared" si="33"/>
        <v>0</v>
      </c>
      <c r="X55" s="408">
        <f t="shared" si="33"/>
        <v>0</v>
      </c>
      <c r="Y55" s="408">
        <f t="shared" si="33"/>
        <v>0</v>
      </c>
      <c r="Z55" s="408">
        <f t="shared" si="33"/>
        <v>0</v>
      </c>
      <c r="AA55" s="408">
        <f t="shared" si="33"/>
        <v>0</v>
      </c>
      <c r="AB55" s="408">
        <f t="shared" si="33"/>
        <v>0</v>
      </c>
      <c r="AD55" s="359"/>
      <c r="AE55" s="371">
        <f t="shared" si="35"/>
        <v>0</v>
      </c>
      <c r="AF55" s="371">
        <f t="shared" si="35"/>
        <v>0</v>
      </c>
      <c r="AG55" s="371">
        <f t="shared" si="35"/>
        <v>0</v>
      </c>
      <c r="AH55" s="371">
        <f t="shared" si="35"/>
        <v>0</v>
      </c>
      <c r="AI55" s="371">
        <f t="shared" si="35"/>
        <v>0</v>
      </c>
      <c r="AJ55" s="371">
        <f t="shared" si="35"/>
        <v>0</v>
      </c>
      <c r="AK55" s="371">
        <f t="shared" si="35"/>
        <v>0</v>
      </c>
      <c r="AL55" s="371">
        <f t="shared" si="35"/>
        <v>0</v>
      </c>
      <c r="AM55" s="371">
        <f t="shared" si="35"/>
        <v>0</v>
      </c>
      <c r="AN55" s="371">
        <f t="shared" si="35"/>
        <v>0</v>
      </c>
      <c r="AO55" s="371">
        <f t="shared" si="35"/>
        <v>0</v>
      </c>
      <c r="AP55" s="371">
        <f t="shared" si="21"/>
        <v>0</v>
      </c>
      <c r="AQ55" s="371">
        <f t="shared" si="36"/>
        <v>0</v>
      </c>
      <c r="AR55" s="371">
        <f t="shared" si="36"/>
        <v>0</v>
      </c>
      <c r="AS55" s="371">
        <f t="shared" si="36"/>
        <v>0</v>
      </c>
      <c r="AT55" s="371">
        <f t="shared" si="36"/>
        <v>0</v>
      </c>
      <c r="AU55" s="371">
        <f t="shared" si="36"/>
        <v>0</v>
      </c>
      <c r="AV55" s="371">
        <f t="shared" si="36"/>
        <v>0</v>
      </c>
      <c r="AW55" s="371">
        <f t="shared" si="36"/>
        <v>0</v>
      </c>
      <c r="AX55" s="371">
        <f t="shared" si="36"/>
        <v>0</v>
      </c>
      <c r="AY55" s="371">
        <f t="shared" si="36"/>
        <v>0</v>
      </c>
      <c r="AZ55" s="371">
        <f t="shared" si="36"/>
        <v>0</v>
      </c>
      <c r="BA55" s="371">
        <f t="shared" si="37"/>
        <v>0</v>
      </c>
      <c r="BB55" s="371">
        <f t="shared" si="37"/>
        <v>0</v>
      </c>
      <c r="BC55" s="371">
        <f t="shared" si="37"/>
        <v>0</v>
      </c>
      <c r="BD55" s="371">
        <f t="shared" si="37"/>
        <v>0</v>
      </c>
      <c r="BE55" s="371">
        <f t="shared" si="37"/>
        <v>0</v>
      </c>
      <c r="BF55" s="371">
        <f t="shared" si="37"/>
        <v>0</v>
      </c>
      <c r="BG55" s="371">
        <f t="shared" si="37"/>
        <v>0</v>
      </c>
      <c r="BH55" s="371">
        <f t="shared" si="37"/>
        <v>0</v>
      </c>
      <c r="BI55" s="371">
        <f t="shared" si="37"/>
        <v>0</v>
      </c>
      <c r="BJ55" s="371">
        <f t="shared" si="37"/>
        <v>0</v>
      </c>
      <c r="BK55" s="371">
        <f t="shared" si="38"/>
        <v>0</v>
      </c>
      <c r="BL55" s="371">
        <f t="shared" si="38"/>
        <v>0</v>
      </c>
      <c r="BM55" s="371">
        <f t="shared" si="38"/>
        <v>0</v>
      </c>
      <c r="BN55" s="371">
        <f t="shared" si="38"/>
        <v>0</v>
      </c>
      <c r="BO55" s="371">
        <f t="shared" si="38"/>
        <v>0</v>
      </c>
      <c r="BP55" s="371">
        <f t="shared" si="38"/>
        <v>0</v>
      </c>
      <c r="BQ55" s="371">
        <f t="shared" si="38"/>
        <v>0</v>
      </c>
      <c r="BR55" s="371">
        <f t="shared" si="38"/>
        <v>0</v>
      </c>
      <c r="BS55" s="371">
        <f t="shared" si="38"/>
        <v>0</v>
      </c>
      <c r="BT55" s="371">
        <f t="shared" si="38"/>
        <v>0</v>
      </c>
      <c r="BU55" s="371">
        <f t="shared" si="39"/>
        <v>0</v>
      </c>
      <c r="BV55" s="371">
        <f t="shared" si="39"/>
        <v>0</v>
      </c>
      <c r="BW55" s="371">
        <f t="shared" si="39"/>
        <v>0</v>
      </c>
      <c r="BX55" s="371">
        <f t="shared" si="39"/>
        <v>0</v>
      </c>
      <c r="BY55" s="371">
        <f t="shared" si="39"/>
        <v>0</v>
      </c>
      <c r="BZ55" s="371">
        <f t="shared" si="39"/>
        <v>0</v>
      </c>
    </row>
    <row r="56" spans="2:78" ht="21" hidden="1" customHeight="1" outlineLevel="3">
      <c r="B56" s="367"/>
      <c r="C56" s="370"/>
      <c r="D56" s="374">
        <f t="shared" si="26"/>
        <v>45688</v>
      </c>
      <c r="E56" s="373" cm="1">
        <f t="array" ref="E56">IF($D56=LatestMonthOfActuals,INDEX($AE$25:$BZ$25,0,MATCH($D56,$AE$8:$BZ$8,0)),0)</f>
        <v>0</v>
      </c>
      <c r="F56" s="359"/>
      <c r="G56" s="408">
        <f t="shared" si="34"/>
        <v>0</v>
      </c>
      <c r="H56" s="408">
        <f t="shared" si="34"/>
        <v>0</v>
      </c>
      <c r="I56" s="408">
        <f t="shared" si="34"/>
        <v>0</v>
      </c>
      <c r="J56" s="408">
        <f t="shared" si="34"/>
        <v>0</v>
      </c>
      <c r="K56" s="408"/>
      <c r="L56" s="408"/>
      <c r="M56" s="408">
        <f t="shared" si="33"/>
        <v>0</v>
      </c>
      <c r="N56" s="408">
        <f t="shared" si="33"/>
        <v>0</v>
      </c>
      <c r="O56" s="408">
        <f t="shared" si="33"/>
        <v>0</v>
      </c>
      <c r="P56" s="408">
        <f t="shared" si="33"/>
        <v>0</v>
      </c>
      <c r="Q56" s="408">
        <f t="shared" si="33"/>
        <v>0</v>
      </c>
      <c r="R56" s="408">
        <f t="shared" si="33"/>
        <v>0</v>
      </c>
      <c r="S56" s="408">
        <f t="shared" si="33"/>
        <v>0</v>
      </c>
      <c r="T56" s="408">
        <f t="shared" si="33"/>
        <v>0</v>
      </c>
      <c r="U56" s="408">
        <f t="shared" si="33"/>
        <v>0</v>
      </c>
      <c r="V56" s="408">
        <f t="shared" si="33"/>
        <v>0</v>
      </c>
      <c r="W56" s="408">
        <f t="shared" si="33"/>
        <v>0</v>
      </c>
      <c r="X56" s="408">
        <f t="shared" si="33"/>
        <v>0</v>
      </c>
      <c r="Y56" s="408">
        <f t="shared" si="33"/>
        <v>0</v>
      </c>
      <c r="Z56" s="408">
        <f t="shared" si="33"/>
        <v>0</v>
      </c>
      <c r="AA56" s="408">
        <f t="shared" si="33"/>
        <v>0</v>
      </c>
      <c r="AB56" s="408">
        <f t="shared" si="33"/>
        <v>0</v>
      </c>
      <c r="AD56" s="359"/>
      <c r="AE56" s="371">
        <f t="shared" si="35"/>
        <v>0</v>
      </c>
      <c r="AF56" s="371">
        <f t="shared" si="35"/>
        <v>0</v>
      </c>
      <c r="AG56" s="371">
        <f t="shared" si="35"/>
        <v>0</v>
      </c>
      <c r="AH56" s="371">
        <f t="shared" si="35"/>
        <v>0</v>
      </c>
      <c r="AI56" s="371">
        <f t="shared" si="35"/>
        <v>0</v>
      </c>
      <c r="AJ56" s="371">
        <f t="shared" si="35"/>
        <v>0</v>
      </c>
      <c r="AK56" s="371">
        <f t="shared" si="35"/>
        <v>0</v>
      </c>
      <c r="AL56" s="371">
        <f t="shared" si="35"/>
        <v>0</v>
      </c>
      <c r="AM56" s="371">
        <f t="shared" si="35"/>
        <v>0</v>
      </c>
      <c r="AN56" s="371">
        <f t="shared" si="35"/>
        <v>0</v>
      </c>
      <c r="AO56" s="371">
        <f t="shared" si="35"/>
        <v>0</v>
      </c>
      <c r="AP56" s="371">
        <f t="shared" si="21"/>
        <v>0</v>
      </c>
      <c r="AQ56" s="371">
        <f t="shared" si="36"/>
        <v>0</v>
      </c>
      <c r="AR56" s="371">
        <f t="shared" si="36"/>
        <v>0</v>
      </c>
      <c r="AS56" s="371">
        <f t="shared" si="36"/>
        <v>0</v>
      </c>
      <c r="AT56" s="371">
        <f t="shared" si="36"/>
        <v>0</v>
      </c>
      <c r="AU56" s="371">
        <f t="shared" si="36"/>
        <v>0</v>
      </c>
      <c r="AV56" s="371">
        <f t="shared" si="36"/>
        <v>0</v>
      </c>
      <c r="AW56" s="371">
        <f t="shared" si="36"/>
        <v>0</v>
      </c>
      <c r="AX56" s="371">
        <f t="shared" si="36"/>
        <v>0</v>
      </c>
      <c r="AY56" s="371">
        <f t="shared" si="36"/>
        <v>0</v>
      </c>
      <c r="AZ56" s="371">
        <f t="shared" si="36"/>
        <v>0</v>
      </c>
      <c r="BA56" s="371">
        <f t="shared" si="37"/>
        <v>0</v>
      </c>
      <c r="BB56" s="371">
        <f t="shared" si="37"/>
        <v>0</v>
      </c>
      <c r="BC56" s="371">
        <f t="shared" si="37"/>
        <v>0</v>
      </c>
      <c r="BD56" s="371">
        <f t="shared" si="37"/>
        <v>0</v>
      </c>
      <c r="BE56" s="371">
        <f t="shared" si="37"/>
        <v>0</v>
      </c>
      <c r="BF56" s="371">
        <f t="shared" si="37"/>
        <v>0</v>
      </c>
      <c r="BG56" s="371">
        <f t="shared" si="37"/>
        <v>0</v>
      </c>
      <c r="BH56" s="371">
        <f t="shared" si="37"/>
        <v>0</v>
      </c>
      <c r="BI56" s="371">
        <f t="shared" si="37"/>
        <v>0</v>
      </c>
      <c r="BJ56" s="371">
        <f t="shared" si="37"/>
        <v>0</v>
      </c>
      <c r="BK56" s="371">
        <f t="shared" si="38"/>
        <v>0</v>
      </c>
      <c r="BL56" s="371">
        <f t="shared" si="38"/>
        <v>0</v>
      </c>
      <c r="BM56" s="371">
        <f t="shared" si="38"/>
        <v>0</v>
      </c>
      <c r="BN56" s="371">
        <f t="shared" si="38"/>
        <v>0</v>
      </c>
      <c r="BO56" s="371">
        <f t="shared" si="38"/>
        <v>0</v>
      </c>
      <c r="BP56" s="371">
        <f t="shared" si="38"/>
        <v>0</v>
      </c>
      <c r="BQ56" s="371">
        <f t="shared" si="38"/>
        <v>0</v>
      </c>
      <c r="BR56" s="371">
        <f t="shared" si="38"/>
        <v>0</v>
      </c>
      <c r="BS56" s="371">
        <f t="shared" si="38"/>
        <v>0</v>
      </c>
      <c r="BT56" s="371">
        <f t="shared" si="38"/>
        <v>0</v>
      </c>
      <c r="BU56" s="371">
        <f t="shared" si="39"/>
        <v>0</v>
      </c>
      <c r="BV56" s="371">
        <f t="shared" si="39"/>
        <v>0</v>
      </c>
      <c r="BW56" s="371">
        <f t="shared" si="39"/>
        <v>0</v>
      </c>
      <c r="BX56" s="371">
        <f t="shared" si="39"/>
        <v>0</v>
      </c>
      <c r="BY56" s="371">
        <f t="shared" si="39"/>
        <v>0</v>
      </c>
      <c r="BZ56" s="371">
        <f t="shared" si="39"/>
        <v>0</v>
      </c>
    </row>
    <row r="57" spans="2:78" ht="21" hidden="1" customHeight="1" outlineLevel="3">
      <c r="B57" s="367"/>
      <c r="C57" s="370"/>
      <c r="D57" s="374">
        <f t="shared" si="26"/>
        <v>45716</v>
      </c>
      <c r="E57" s="373" cm="1">
        <f t="array" ref="E57">IF($D57=LatestMonthOfActuals,INDEX($AE$25:$BZ$25,0,MATCH($D57,$AE$8:$BZ$8,0)),0)</f>
        <v>0</v>
      </c>
      <c r="F57" s="359"/>
      <c r="G57" s="408">
        <f t="shared" si="34"/>
        <v>0</v>
      </c>
      <c r="H57" s="408">
        <f t="shared" si="34"/>
        <v>0</v>
      </c>
      <c r="I57" s="408">
        <f t="shared" si="34"/>
        <v>0</v>
      </c>
      <c r="J57" s="408">
        <f t="shared" si="34"/>
        <v>0</v>
      </c>
      <c r="K57" s="408"/>
      <c r="L57" s="408"/>
      <c r="M57" s="408">
        <f t="shared" si="33"/>
        <v>0</v>
      </c>
      <c r="N57" s="408">
        <f t="shared" si="33"/>
        <v>0</v>
      </c>
      <c r="O57" s="408">
        <f t="shared" si="33"/>
        <v>0</v>
      </c>
      <c r="P57" s="408">
        <f t="shared" si="33"/>
        <v>0</v>
      </c>
      <c r="Q57" s="408">
        <f t="shared" si="33"/>
        <v>0</v>
      </c>
      <c r="R57" s="408">
        <f t="shared" si="33"/>
        <v>0</v>
      </c>
      <c r="S57" s="408">
        <f t="shared" si="33"/>
        <v>0</v>
      </c>
      <c r="T57" s="408">
        <f t="shared" si="33"/>
        <v>0</v>
      </c>
      <c r="U57" s="408">
        <f t="shared" si="33"/>
        <v>0</v>
      </c>
      <c r="V57" s="408">
        <f t="shared" si="33"/>
        <v>0</v>
      </c>
      <c r="W57" s="408">
        <f t="shared" si="33"/>
        <v>0</v>
      </c>
      <c r="X57" s="408">
        <f t="shared" si="33"/>
        <v>0</v>
      </c>
      <c r="Y57" s="408">
        <f t="shared" si="33"/>
        <v>0</v>
      </c>
      <c r="Z57" s="408">
        <f t="shared" si="33"/>
        <v>0</v>
      </c>
      <c r="AA57" s="408">
        <f t="shared" si="33"/>
        <v>0</v>
      </c>
      <c r="AB57" s="408">
        <f t="shared" si="33"/>
        <v>0</v>
      </c>
      <c r="AD57" s="359"/>
      <c r="AE57" s="371">
        <f t="shared" si="35"/>
        <v>0</v>
      </c>
      <c r="AF57" s="371">
        <f t="shared" si="35"/>
        <v>0</v>
      </c>
      <c r="AG57" s="371">
        <f t="shared" si="35"/>
        <v>0</v>
      </c>
      <c r="AH57" s="371">
        <f t="shared" si="35"/>
        <v>0</v>
      </c>
      <c r="AI57" s="371">
        <f t="shared" si="35"/>
        <v>0</v>
      </c>
      <c r="AJ57" s="371">
        <f t="shared" si="35"/>
        <v>0</v>
      </c>
      <c r="AK57" s="371">
        <f t="shared" si="35"/>
        <v>0</v>
      </c>
      <c r="AL57" s="371">
        <f t="shared" si="35"/>
        <v>0</v>
      </c>
      <c r="AM57" s="371">
        <f t="shared" si="35"/>
        <v>0</v>
      </c>
      <c r="AN57" s="371">
        <f t="shared" si="35"/>
        <v>0</v>
      </c>
      <c r="AO57" s="371">
        <f t="shared" si="35"/>
        <v>0</v>
      </c>
      <c r="AP57" s="371">
        <f t="shared" si="21"/>
        <v>0</v>
      </c>
      <c r="AQ57" s="371">
        <f t="shared" si="36"/>
        <v>0</v>
      </c>
      <c r="AR57" s="371">
        <f t="shared" si="36"/>
        <v>0</v>
      </c>
      <c r="AS57" s="371">
        <f t="shared" si="36"/>
        <v>0</v>
      </c>
      <c r="AT57" s="371">
        <f t="shared" si="36"/>
        <v>0</v>
      </c>
      <c r="AU57" s="371">
        <f t="shared" si="36"/>
        <v>0</v>
      </c>
      <c r="AV57" s="371">
        <f t="shared" si="36"/>
        <v>0</v>
      </c>
      <c r="AW57" s="371">
        <f t="shared" si="36"/>
        <v>0</v>
      </c>
      <c r="AX57" s="371">
        <f t="shared" si="36"/>
        <v>0</v>
      </c>
      <c r="AY57" s="371">
        <f t="shared" si="36"/>
        <v>0</v>
      </c>
      <c r="AZ57" s="371">
        <f t="shared" si="36"/>
        <v>0</v>
      </c>
      <c r="BA57" s="371">
        <f t="shared" si="37"/>
        <v>0</v>
      </c>
      <c r="BB57" s="371">
        <f t="shared" si="37"/>
        <v>0</v>
      </c>
      <c r="BC57" s="371">
        <f t="shared" si="37"/>
        <v>0</v>
      </c>
      <c r="BD57" s="371">
        <f t="shared" si="37"/>
        <v>0</v>
      </c>
      <c r="BE57" s="371">
        <f t="shared" si="37"/>
        <v>0</v>
      </c>
      <c r="BF57" s="371">
        <f t="shared" si="37"/>
        <v>0</v>
      </c>
      <c r="BG57" s="371">
        <f t="shared" si="37"/>
        <v>0</v>
      </c>
      <c r="BH57" s="371">
        <f t="shared" si="37"/>
        <v>0</v>
      </c>
      <c r="BI57" s="371">
        <f t="shared" si="37"/>
        <v>0</v>
      </c>
      <c r="BJ57" s="371">
        <f t="shared" si="37"/>
        <v>0</v>
      </c>
      <c r="BK57" s="371">
        <f t="shared" si="38"/>
        <v>0</v>
      </c>
      <c r="BL57" s="371">
        <f t="shared" si="38"/>
        <v>0</v>
      </c>
      <c r="BM57" s="371">
        <f t="shared" si="38"/>
        <v>0</v>
      </c>
      <c r="BN57" s="371">
        <f t="shared" si="38"/>
        <v>0</v>
      </c>
      <c r="BO57" s="371">
        <f t="shared" si="38"/>
        <v>0</v>
      </c>
      <c r="BP57" s="371">
        <f t="shared" si="38"/>
        <v>0</v>
      </c>
      <c r="BQ57" s="371">
        <f t="shared" si="38"/>
        <v>0</v>
      </c>
      <c r="BR57" s="371">
        <f t="shared" si="38"/>
        <v>0</v>
      </c>
      <c r="BS57" s="371">
        <f t="shared" si="38"/>
        <v>0</v>
      </c>
      <c r="BT57" s="371">
        <f t="shared" si="38"/>
        <v>0</v>
      </c>
      <c r="BU57" s="371">
        <f t="shared" si="39"/>
        <v>0</v>
      </c>
      <c r="BV57" s="371">
        <f t="shared" si="39"/>
        <v>0</v>
      </c>
      <c r="BW57" s="371">
        <f t="shared" si="39"/>
        <v>0</v>
      </c>
      <c r="BX57" s="371">
        <f t="shared" si="39"/>
        <v>0</v>
      </c>
      <c r="BY57" s="371">
        <f t="shared" si="39"/>
        <v>0</v>
      </c>
      <c r="BZ57" s="371">
        <f t="shared" si="39"/>
        <v>0</v>
      </c>
    </row>
    <row r="58" spans="2:78" ht="21" hidden="1" customHeight="1" outlineLevel="3">
      <c r="B58" s="367"/>
      <c r="C58" s="370"/>
      <c r="D58" s="374">
        <f t="shared" si="26"/>
        <v>45747</v>
      </c>
      <c r="E58" s="373" cm="1">
        <f t="array" ref="E58">IF($D58=LatestMonthOfActuals,INDEX($AE$25:$BZ$25,0,MATCH($D58,$AE$8:$BZ$8,0)),0)</f>
        <v>0</v>
      </c>
      <c r="F58" s="359"/>
      <c r="G58" s="408">
        <f t="shared" si="34"/>
        <v>0</v>
      </c>
      <c r="H58" s="408">
        <f t="shared" si="34"/>
        <v>0</v>
      </c>
      <c r="I58" s="408">
        <f t="shared" si="34"/>
        <v>0</v>
      </c>
      <c r="J58" s="408">
        <f t="shared" si="34"/>
        <v>0</v>
      </c>
      <c r="K58" s="408"/>
      <c r="L58" s="408"/>
      <c r="M58" s="408">
        <f t="shared" si="33"/>
        <v>0</v>
      </c>
      <c r="N58" s="408">
        <f t="shared" si="33"/>
        <v>0</v>
      </c>
      <c r="O58" s="408">
        <f t="shared" si="33"/>
        <v>0</v>
      </c>
      <c r="P58" s="408">
        <f t="shared" si="33"/>
        <v>0</v>
      </c>
      <c r="Q58" s="408">
        <f t="shared" si="33"/>
        <v>0</v>
      </c>
      <c r="R58" s="408">
        <f t="shared" si="33"/>
        <v>0</v>
      </c>
      <c r="S58" s="408">
        <f t="shared" si="33"/>
        <v>0</v>
      </c>
      <c r="T58" s="408">
        <f t="shared" si="33"/>
        <v>0</v>
      </c>
      <c r="U58" s="408">
        <f t="shared" si="33"/>
        <v>0</v>
      </c>
      <c r="V58" s="408">
        <f t="shared" si="33"/>
        <v>0</v>
      </c>
      <c r="W58" s="408">
        <f t="shared" si="33"/>
        <v>0</v>
      </c>
      <c r="X58" s="408">
        <f t="shared" si="33"/>
        <v>0</v>
      </c>
      <c r="Y58" s="408">
        <f t="shared" si="33"/>
        <v>0</v>
      </c>
      <c r="Z58" s="408">
        <f t="shared" si="33"/>
        <v>0</v>
      </c>
      <c r="AA58" s="408">
        <f t="shared" si="33"/>
        <v>0</v>
      </c>
      <c r="AB58" s="408">
        <f t="shared" si="33"/>
        <v>0</v>
      </c>
      <c r="AD58" s="359"/>
      <c r="AE58" s="371">
        <f t="shared" si="35"/>
        <v>0</v>
      </c>
      <c r="AF58" s="371">
        <f t="shared" si="35"/>
        <v>0</v>
      </c>
      <c r="AG58" s="371">
        <f t="shared" si="35"/>
        <v>0</v>
      </c>
      <c r="AH58" s="371">
        <f t="shared" si="35"/>
        <v>0</v>
      </c>
      <c r="AI58" s="371">
        <f t="shared" si="35"/>
        <v>0</v>
      </c>
      <c r="AJ58" s="371">
        <f t="shared" si="35"/>
        <v>0</v>
      </c>
      <c r="AK58" s="371">
        <f t="shared" si="35"/>
        <v>0</v>
      </c>
      <c r="AL58" s="371">
        <f t="shared" si="35"/>
        <v>0</v>
      </c>
      <c r="AM58" s="371">
        <f t="shared" si="35"/>
        <v>0</v>
      </c>
      <c r="AN58" s="371">
        <f t="shared" si="35"/>
        <v>0</v>
      </c>
      <c r="AO58" s="371">
        <f t="shared" si="35"/>
        <v>0</v>
      </c>
      <c r="AP58" s="371">
        <f t="shared" si="21"/>
        <v>0</v>
      </c>
      <c r="AQ58" s="371">
        <f t="shared" si="36"/>
        <v>0</v>
      </c>
      <c r="AR58" s="371">
        <f t="shared" si="36"/>
        <v>0</v>
      </c>
      <c r="AS58" s="371">
        <f t="shared" si="36"/>
        <v>0</v>
      </c>
      <c r="AT58" s="371">
        <f t="shared" si="36"/>
        <v>0</v>
      </c>
      <c r="AU58" s="371">
        <f t="shared" si="36"/>
        <v>0</v>
      </c>
      <c r="AV58" s="371">
        <f t="shared" si="36"/>
        <v>0</v>
      </c>
      <c r="AW58" s="371">
        <f t="shared" si="36"/>
        <v>0</v>
      </c>
      <c r="AX58" s="371">
        <f t="shared" si="36"/>
        <v>0</v>
      </c>
      <c r="AY58" s="371">
        <f t="shared" si="36"/>
        <v>0</v>
      </c>
      <c r="AZ58" s="371">
        <f t="shared" si="36"/>
        <v>0</v>
      </c>
      <c r="BA58" s="371">
        <f t="shared" si="37"/>
        <v>0</v>
      </c>
      <c r="BB58" s="371">
        <f t="shared" si="37"/>
        <v>0</v>
      </c>
      <c r="BC58" s="371">
        <f t="shared" si="37"/>
        <v>0</v>
      </c>
      <c r="BD58" s="371">
        <f t="shared" si="37"/>
        <v>0</v>
      </c>
      <c r="BE58" s="371">
        <f t="shared" si="37"/>
        <v>0</v>
      </c>
      <c r="BF58" s="371">
        <f t="shared" si="37"/>
        <v>0</v>
      </c>
      <c r="BG58" s="371">
        <f t="shared" si="37"/>
        <v>0</v>
      </c>
      <c r="BH58" s="371">
        <f t="shared" si="37"/>
        <v>0</v>
      </c>
      <c r="BI58" s="371">
        <f t="shared" si="37"/>
        <v>0</v>
      </c>
      <c r="BJ58" s="371">
        <f t="shared" si="37"/>
        <v>0</v>
      </c>
      <c r="BK58" s="371">
        <f t="shared" si="38"/>
        <v>0</v>
      </c>
      <c r="BL58" s="371">
        <f t="shared" si="38"/>
        <v>0</v>
      </c>
      <c r="BM58" s="371">
        <f t="shared" si="38"/>
        <v>0</v>
      </c>
      <c r="BN58" s="371">
        <f t="shared" si="38"/>
        <v>0</v>
      </c>
      <c r="BO58" s="371">
        <f t="shared" si="38"/>
        <v>0</v>
      </c>
      <c r="BP58" s="371">
        <f t="shared" si="38"/>
        <v>0</v>
      </c>
      <c r="BQ58" s="371">
        <f t="shared" si="38"/>
        <v>0</v>
      </c>
      <c r="BR58" s="371">
        <f t="shared" si="38"/>
        <v>0</v>
      </c>
      <c r="BS58" s="371">
        <f t="shared" si="38"/>
        <v>0</v>
      </c>
      <c r="BT58" s="371">
        <f t="shared" si="38"/>
        <v>0</v>
      </c>
      <c r="BU58" s="371">
        <f t="shared" si="39"/>
        <v>0</v>
      </c>
      <c r="BV58" s="371">
        <f t="shared" si="39"/>
        <v>0</v>
      </c>
      <c r="BW58" s="371">
        <f t="shared" si="39"/>
        <v>0</v>
      </c>
      <c r="BX58" s="371">
        <f t="shared" si="39"/>
        <v>0</v>
      </c>
      <c r="BY58" s="371">
        <f t="shared" si="39"/>
        <v>0</v>
      </c>
      <c r="BZ58" s="371">
        <f t="shared" si="39"/>
        <v>0</v>
      </c>
    </row>
    <row r="59" spans="2:78" ht="21" hidden="1" customHeight="1" outlineLevel="3">
      <c r="B59" s="367"/>
      <c r="C59" s="370"/>
      <c r="D59" s="374">
        <f t="shared" si="26"/>
        <v>45777</v>
      </c>
      <c r="E59" s="373" cm="1">
        <f t="array" ref="E59">IF($D59=LatestMonthOfActuals,INDEX($AE$25:$BZ$25,0,MATCH($D59,$AE$8:$BZ$8,0)),0)</f>
        <v>0</v>
      </c>
      <c r="F59" s="359"/>
      <c r="G59" s="408">
        <f t="shared" si="34"/>
        <v>0</v>
      </c>
      <c r="H59" s="408">
        <f t="shared" si="34"/>
        <v>0</v>
      </c>
      <c r="I59" s="408">
        <f t="shared" si="34"/>
        <v>0</v>
      </c>
      <c r="J59" s="408">
        <f t="shared" si="34"/>
        <v>0</v>
      </c>
      <c r="K59" s="408"/>
      <c r="L59" s="408"/>
      <c r="M59" s="408">
        <f t="shared" si="33"/>
        <v>0</v>
      </c>
      <c r="N59" s="408">
        <f t="shared" si="33"/>
        <v>0</v>
      </c>
      <c r="O59" s="408">
        <f t="shared" si="33"/>
        <v>0</v>
      </c>
      <c r="P59" s="408">
        <f t="shared" si="33"/>
        <v>0</v>
      </c>
      <c r="Q59" s="408">
        <f t="shared" si="33"/>
        <v>0</v>
      </c>
      <c r="R59" s="408">
        <f t="shared" si="33"/>
        <v>0</v>
      </c>
      <c r="S59" s="408">
        <f t="shared" si="33"/>
        <v>0</v>
      </c>
      <c r="T59" s="408">
        <f t="shared" si="33"/>
        <v>0</v>
      </c>
      <c r="U59" s="408">
        <f t="shared" si="33"/>
        <v>0</v>
      </c>
      <c r="V59" s="408">
        <f t="shared" si="33"/>
        <v>0</v>
      </c>
      <c r="W59" s="408">
        <f t="shared" si="33"/>
        <v>0</v>
      </c>
      <c r="X59" s="408">
        <f t="shared" si="33"/>
        <v>0</v>
      </c>
      <c r="Y59" s="408">
        <f t="shared" si="33"/>
        <v>0</v>
      </c>
      <c r="Z59" s="408">
        <f t="shared" si="33"/>
        <v>0</v>
      </c>
      <c r="AA59" s="408">
        <f t="shared" si="33"/>
        <v>0</v>
      </c>
      <c r="AB59" s="408">
        <f t="shared" si="33"/>
        <v>0</v>
      </c>
      <c r="AD59" s="359"/>
      <c r="AE59" s="371">
        <f t="shared" si="35"/>
        <v>0</v>
      </c>
      <c r="AF59" s="371">
        <f t="shared" si="35"/>
        <v>0</v>
      </c>
      <c r="AG59" s="371">
        <f t="shared" si="35"/>
        <v>0</v>
      </c>
      <c r="AH59" s="371">
        <f t="shared" si="35"/>
        <v>0</v>
      </c>
      <c r="AI59" s="371">
        <f t="shared" si="35"/>
        <v>0</v>
      </c>
      <c r="AJ59" s="371">
        <f t="shared" si="35"/>
        <v>0</v>
      </c>
      <c r="AK59" s="371">
        <f t="shared" si="35"/>
        <v>0</v>
      </c>
      <c r="AL59" s="371">
        <f t="shared" si="35"/>
        <v>0</v>
      </c>
      <c r="AM59" s="371">
        <f t="shared" si="35"/>
        <v>0</v>
      </c>
      <c r="AN59" s="371">
        <f t="shared" si="35"/>
        <v>0</v>
      </c>
      <c r="AO59" s="371">
        <f t="shared" si="35"/>
        <v>0</v>
      </c>
      <c r="AP59" s="371">
        <f t="shared" si="21"/>
        <v>0</v>
      </c>
      <c r="AQ59" s="371">
        <f t="shared" si="36"/>
        <v>0</v>
      </c>
      <c r="AR59" s="371">
        <f t="shared" si="36"/>
        <v>0</v>
      </c>
      <c r="AS59" s="371">
        <f t="shared" si="36"/>
        <v>0</v>
      </c>
      <c r="AT59" s="371">
        <f t="shared" si="36"/>
        <v>0</v>
      </c>
      <c r="AU59" s="371">
        <f t="shared" si="36"/>
        <v>0</v>
      </c>
      <c r="AV59" s="371">
        <f t="shared" si="36"/>
        <v>0</v>
      </c>
      <c r="AW59" s="371">
        <f t="shared" si="36"/>
        <v>0</v>
      </c>
      <c r="AX59" s="371">
        <f t="shared" si="36"/>
        <v>0</v>
      </c>
      <c r="AY59" s="371">
        <f t="shared" si="36"/>
        <v>0</v>
      </c>
      <c r="AZ59" s="371">
        <f t="shared" si="36"/>
        <v>0</v>
      </c>
      <c r="BA59" s="371">
        <f t="shared" si="37"/>
        <v>0</v>
      </c>
      <c r="BB59" s="371">
        <f t="shared" si="37"/>
        <v>0</v>
      </c>
      <c r="BC59" s="371">
        <f t="shared" si="37"/>
        <v>0</v>
      </c>
      <c r="BD59" s="371">
        <f t="shared" si="37"/>
        <v>0</v>
      </c>
      <c r="BE59" s="371">
        <f t="shared" si="37"/>
        <v>0</v>
      </c>
      <c r="BF59" s="371">
        <f t="shared" si="37"/>
        <v>0</v>
      </c>
      <c r="BG59" s="371">
        <f t="shared" si="37"/>
        <v>0</v>
      </c>
      <c r="BH59" s="371">
        <f t="shared" si="37"/>
        <v>0</v>
      </c>
      <c r="BI59" s="371">
        <f t="shared" si="37"/>
        <v>0</v>
      </c>
      <c r="BJ59" s="371">
        <f t="shared" si="37"/>
        <v>0</v>
      </c>
      <c r="BK59" s="371">
        <f t="shared" si="38"/>
        <v>0</v>
      </c>
      <c r="BL59" s="371">
        <f t="shared" si="38"/>
        <v>0</v>
      </c>
      <c r="BM59" s="371">
        <f t="shared" si="38"/>
        <v>0</v>
      </c>
      <c r="BN59" s="371">
        <f t="shared" si="38"/>
        <v>0</v>
      </c>
      <c r="BO59" s="371">
        <f t="shared" si="38"/>
        <v>0</v>
      </c>
      <c r="BP59" s="371">
        <f t="shared" si="38"/>
        <v>0</v>
      </c>
      <c r="BQ59" s="371">
        <f t="shared" si="38"/>
        <v>0</v>
      </c>
      <c r="BR59" s="371">
        <f t="shared" si="38"/>
        <v>0</v>
      </c>
      <c r="BS59" s="371">
        <f t="shared" si="38"/>
        <v>0</v>
      </c>
      <c r="BT59" s="371">
        <f t="shared" si="38"/>
        <v>0</v>
      </c>
      <c r="BU59" s="371">
        <f t="shared" si="39"/>
        <v>0</v>
      </c>
      <c r="BV59" s="371">
        <f t="shared" si="39"/>
        <v>0</v>
      </c>
      <c r="BW59" s="371">
        <f t="shared" si="39"/>
        <v>0</v>
      </c>
      <c r="BX59" s="371">
        <f t="shared" si="39"/>
        <v>0</v>
      </c>
      <c r="BY59" s="371">
        <f t="shared" si="39"/>
        <v>0</v>
      </c>
      <c r="BZ59" s="371">
        <f t="shared" si="39"/>
        <v>0</v>
      </c>
    </row>
    <row r="60" spans="2:78" ht="21" hidden="1" customHeight="1" outlineLevel="3">
      <c r="B60" s="367"/>
      <c r="C60" s="370"/>
      <c r="D60" s="374">
        <f t="shared" si="26"/>
        <v>45808</v>
      </c>
      <c r="E60" s="373" cm="1">
        <f t="array" ref="E60">IF($D60=LatestMonthOfActuals,INDEX($AE$25:$BZ$25,0,MATCH($D60,$AE$8:$BZ$8,0)),0)</f>
        <v>0</v>
      </c>
      <c r="F60" s="359"/>
      <c r="G60" s="408">
        <f t="shared" si="34"/>
        <v>0</v>
      </c>
      <c r="H60" s="408">
        <f t="shared" si="34"/>
        <v>0</v>
      </c>
      <c r="I60" s="408">
        <f t="shared" si="34"/>
        <v>0</v>
      </c>
      <c r="J60" s="408">
        <f t="shared" si="34"/>
        <v>0</v>
      </c>
      <c r="K60" s="408"/>
      <c r="L60" s="408"/>
      <c r="M60" s="408">
        <f t="shared" si="33"/>
        <v>0</v>
      </c>
      <c r="N60" s="408">
        <f t="shared" si="33"/>
        <v>0</v>
      </c>
      <c r="O60" s="408">
        <f t="shared" si="33"/>
        <v>0</v>
      </c>
      <c r="P60" s="408">
        <f t="shared" si="33"/>
        <v>0</v>
      </c>
      <c r="Q60" s="408">
        <f t="shared" si="33"/>
        <v>0</v>
      </c>
      <c r="R60" s="408">
        <f t="shared" si="33"/>
        <v>0</v>
      </c>
      <c r="S60" s="408">
        <f t="shared" si="33"/>
        <v>0</v>
      </c>
      <c r="T60" s="408">
        <f t="shared" si="33"/>
        <v>0</v>
      </c>
      <c r="U60" s="408">
        <f t="shared" si="33"/>
        <v>0</v>
      </c>
      <c r="V60" s="408">
        <f t="shared" si="33"/>
        <v>0</v>
      </c>
      <c r="W60" s="408">
        <f t="shared" si="33"/>
        <v>0</v>
      </c>
      <c r="X60" s="408">
        <f t="shared" si="33"/>
        <v>0</v>
      </c>
      <c r="Y60" s="408">
        <f t="shared" si="33"/>
        <v>0</v>
      </c>
      <c r="Z60" s="408">
        <f t="shared" si="33"/>
        <v>0</v>
      </c>
      <c r="AA60" s="408">
        <f t="shared" si="33"/>
        <v>0</v>
      </c>
      <c r="AB60" s="408">
        <f t="shared" si="33"/>
        <v>0</v>
      </c>
      <c r="AD60" s="359"/>
      <c r="AE60" s="371">
        <f t="shared" si="35"/>
        <v>0</v>
      </c>
      <c r="AF60" s="371">
        <f t="shared" si="35"/>
        <v>0</v>
      </c>
      <c r="AG60" s="371">
        <f t="shared" si="35"/>
        <v>0</v>
      </c>
      <c r="AH60" s="371">
        <f t="shared" si="35"/>
        <v>0</v>
      </c>
      <c r="AI60" s="371">
        <f t="shared" si="35"/>
        <v>0</v>
      </c>
      <c r="AJ60" s="371">
        <f t="shared" si="35"/>
        <v>0</v>
      </c>
      <c r="AK60" s="371">
        <f t="shared" si="35"/>
        <v>0</v>
      </c>
      <c r="AL60" s="371">
        <f t="shared" si="35"/>
        <v>0</v>
      </c>
      <c r="AM60" s="371">
        <f t="shared" si="35"/>
        <v>0</v>
      </c>
      <c r="AN60" s="371">
        <f t="shared" si="35"/>
        <v>0</v>
      </c>
      <c r="AO60" s="371">
        <f t="shared" si="35"/>
        <v>0</v>
      </c>
      <c r="AP60" s="371">
        <f t="shared" si="21"/>
        <v>0</v>
      </c>
      <c r="AQ60" s="371">
        <f t="shared" si="36"/>
        <v>0</v>
      </c>
      <c r="AR60" s="371">
        <f t="shared" si="36"/>
        <v>0</v>
      </c>
      <c r="AS60" s="371">
        <f t="shared" si="36"/>
        <v>0</v>
      </c>
      <c r="AT60" s="371">
        <f t="shared" si="36"/>
        <v>0</v>
      </c>
      <c r="AU60" s="371">
        <f t="shared" si="36"/>
        <v>0</v>
      </c>
      <c r="AV60" s="371">
        <f t="shared" si="36"/>
        <v>0</v>
      </c>
      <c r="AW60" s="371">
        <f t="shared" si="36"/>
        <v>0</v>
      </c>
      <c r="AX60" s="371">
        <f t="shared" si="36"/>
        <v>0</v>
      </c>
      <c r="AY60" s="371">
        <f t="shared" si="36"/>
        <v>0</v>
      </c>
      <c r="AZ60" s="371">
        <f t="shared" si="36"/>
        <v>0</v>
      </c>
      <c r="BA60" s="371">
        <f t="shared" si="37"/>
        <v>0</v>
      </c>
      <c r="BB60" s="371">
        <f t="shared" si="37"/>
        <v>0</v>
      </c>
      <c r="BC60" s="371">
        <f t="shared" si="37"/>
        <v>0</v>
      </c>
      <c r="BD60" s="371">
        <f t="shared" si="37"/>
        <v>0</v>
      </c>
      <c r="BE60" s="371">
        <f t="shared" si="37"/>
        <v>0</v>
      </c>
      <c r="BF60" s="371">
        <f t="shared" si="37"/>
        <v>0</v>
      </c>
      <c r="BG60" s="371">
        <f t="shared" si="37"/>
        <v>0</v>
      </c>
      <c r="BH60" s="371">
        <f t="shared" si="37"/>
        <v>0</v>
      </c>
      <c r="BI60" s="371">
        <f t="shared" si="37"/>
        <v>0</v>
      </c>
      <c r="BJ60" s="371">
        <f t="shared" si="37"/>
        <v>0</v>
      </c>
      <c r="BK60" s="371">
        <f t="shared" si="38"/>
        <v>0</v>
      </c>
      <c r="BL60" s="371">
        <f t="shared" si="38"/>
        <v>0</v>
      </c>
      <c r="BM60" s="371">
        <f t="shared" si="38"/>
        <v>0</v>
      </c>
      <c r="BN60" s="371">
        <f t="shared" si="38"/>
        <v>0</v>
      </c>
      <c r="BO60" s="371">
        <f t="shared" si="38"/>
        <v>0</v>
      </c>
      <c r="BP60" s="371">
        <f t="shared" si="38"/>
        <v>0</v>
      </c>
      <c r="BQ60" s="371">
        <f t="shared" si="38"/>
        <v>0</v>
      </c>
      <c r="BR60" s="371">
        <f t="shared" si="38"/>
        <v>0</v>
      </c>
      <c r="BS60" s="371">
        <f t="shared" si="38"/>
        <v>0</v>
      </c>
      <c r="BT60" s="371">
        <f t="shared" si="38"/>
        <v>0</v>
      </c>
      <c r="BU60" s="371">
        <f t="shared" si="39"/>
        <v>0</v>
      </c>
      <c r="BV60" s="371">
        <f t="shared" si="39"/>
        <v>0</v>
      </c>
      <c r="BW60" s="371">
        <f t="shared" si="39"/>
        <v>0</v>
      </c>
      <c r="BX60" s="371">
        <f t="shared" si="39"/>
        <v>0</v>
      </c>
      <c r="BY60" s="371">
        <f t="shared" si="39"/>
        <v>0</v>
      </c>
      <c r="BZ60" s="371">
        <f t="shared" si="39"/>
        <v>0</v>
      </c>
    </row>
    <row r="61" spans="2:78" ht="21" hidden="1" customHeight="1" outlineLevel="3">
      <c r="B61" s="367"/>
      <c r="C61" s="370"/>
      <c r="D61" s="374">
        <f t="shared" si="26"/>
        <v>45838</v>
      </c>
      <c r="E61" s="373" cm="1">
        <f t="array" ref="E61">IF($D61=LatestMonthOfActuals,INDEX($AE$25:$BZ$25,0,MATCH($D61,$AE$8:$BZ$8,0)),0)</f>
        <v>0</v>
      </c>
      <c r="F61" s="359"/>
      <c r="G61" s="408">
        <f t="shared" si="34"/>
        <v>0</v>
      </c>
      <c r="H61" s="408">
        <f t="shared" si="34"/>
        <v>0</v>
      </c>
      <c r="I61" s="408">
        <f t="shared" si="34"/>
        <v>0</v>
      </c>
      <c r="J61" s="408">
        <f t="shared" si="34"/>
        <v>0</v>
      </c>
      <c r="K61" s="408"/>
      <c r="L61" s="408"/>
      <c r="M61" s="408">
        <f t="shared" si="33"/>
        <v>0</v>
      </c>
      <c r="N61" s="408">
        <f t="shared" si="33"/>
        <v>0</v>
      </c>
      <c r="O61" s="408">
        <f t="shared" si="33"/>
        <v>0</v>
      </c>
      <c r="P61" s="408">
        <f t="shared" si="33"/>
        <v>0</v>
      </c>
      <c r="Q61" s="408">
        <f t="shared" si="33"/>
        <v>0</v>
      </c>
      <c r="R61" s="408">
        <f t="shared" si="33"/>
        <v>0</v>
      </c>
      <c r="S61" s="408">
        <f t="shared" si="33"/>
        <v>0</v>
      </c>
      <c r="T61" s="408">
        <f t="shared" si="33"/>
        <v>0</v>
      </c>
      <c r="U61" s="408">
        <f t="shared" si="33"/>
        <v>0</v>
      </c>
      <c r="V61" s="408">
        <f t="shared" si="33"/>
        <v>0</v>
      </c>
      <c r="W61" s="408">
        <f t="shared" si="33"/>
        <v>0</v>
      </c>
      <c r="X61" s="408">
        <f t="shared" si="33"/>
        <v>0</v>
      </c>
      <c r="Y61" s="408">
        <f t="shared" si="33"/>
        <v>0</v>
      </c>
      <c r="Z61" s="408">
        <f t="shared" si="33"/>
        <v>0</v>
      </c>
      <c r="AA61" s="408">
        <f t="shared" si="33"/>
        <v>0</v>
      </c>
      <c r="AB61" s="408">
        <f t="shared" si="33"/>
        <v>0</v>
      </c>
      <c r="AD61" s="359"/>
      <c r="AE61" s="371">
        <f t="shared" si="35"/>
        <v>0</v>
      </c>
      <c r="AF61" s="371">
        <f t="shared" si="35"/>
        <v>0</v>
      </c>
      <c r="AG61" s="371">
        <f t="shared" si="35"/>
        <v>0</v>
      </c>
      <c r="AH61" s="371">
        <f t="shared" si="35"/>
        <v>0</v>
      </c>
      <c r="AI61" s="371">
        <f t="shared" si="35"/>
        <v>0</v>
      </c>
      <c r="AJ61" s="371">
        <f t="shared" si="35"/>
        <v>0</v>
      </c>
      <c r="AK61" s="371">
        <f t="shared" si="35"/>
        <v>0</v>
      </c>
      <c r="AL61" s="371">
        <f t="shared" si="35"/>
        <v>0</v>
      </c>
      <c r="AM61" s="371">
        <f t="shared" si="35"/>
        <v>0</v>
      </c>
      <c r="AN61" s="371">
        <f t="shared" si="35"/>
        <v>0</v>
      </c>
      <c r="AO61" s="371">
        <f t="shared" si="35"/>
        <v>0</v>
      </c>
      <c r="AP61" s="371">
        <f t="shared" si="21"/>
        <v>0</v>
      </c>
      <c r="AQ61" s="371">
        <f t="shared" si="36"/>
        <v>0</v>
      </c>
      <c r="AR61" s="371">
        <f t="shared" si="36"/>
        <v>0</v>
      </c>
      <c r="AS61" s="371">
        <f t="shared" si="36"/>
        <v>0</v>
      </c>
      <c r="AT61" s="371">
        <f t="shared" si="36"/>
        <v>0</v>
      </c>
      <c r="AU61" s="371">
        <f t="shared" si="36"/>
        <v>0</v>
      </c>
      <c r="AV61" s="371">
        <f t="shared" si="36"/>
        <v>0</v>
      </c>
      <c r="AW61" s="371">
        <f t="shared" si="36"/>
        <v>0</v>
      </c>
      <c r="AX61" s="371">
        <f t="shared" si="36"/>
        <v>0</v>
      </c>
      <c r="AY61" s="371">
        <f t="shared" si="36"/>
        <v>0</v>
      </c>
      <c r="AZ61" s="371">
        <f t="shared" si="36"/>
        <v>0</v>
      </c>
      <c r="BA61" s="371">
        <f t="shared" si="37"/>
        <v>0</v>
      </c>
      <c r="BB61" s="371">
        <f t="shared" si="37"/>
        <v>0</v>
      </c>
      <c r="BC61" s="371">
        <f t="shared" si="37"/>
        <v>0</v>
      </c>
      <c r="BD61" s="371">
        <f t="shared" si="37"/>
        <v>0</v>
      </c>
      <c r="BE61" s="371">
        <f t="shared" si="37"/>
        <v>0</v>
      </c>
      <c r="BF61" s="371">
        <f t="shared" si="37"/>
        <v>0</v>
      </c>
      <c r="BG61" s="371">
        <f t="shared" si="37"/>
        <v>0</v>
      </c>
      <c r="BH61" s="371">
        <f t="shared" si="37"/>
        <v>0</v>
      </c>
      <c r="BI61" s="371">
        <f t="shared" si="37"/>
        <v>0</v>
      </c>
      <c r="BJ61" s="371">
        <f t="shared" si="37"/>
        <v>0</v>
      </c>
      <c r="BK61" s="371">
        <f t="shared" si="38"/>
        <v>0</v>
      </c>
      <c r="BL61" s="371">
        <f t="shared" si="38"/>
        <v>0</v>
      </c>
      <c r="BM61" s="371">
        <f t="shared" si="38"/>
        <v>0</v>
      </c>
      <c r="BN61" s="371">
        <f t="shared" si="38"/>
        <v>0</v>
      </c>
      <c r="BO61" s="371">
        <f t="shared" si="38"/>
        <v>0</v>
      </c>
      <c r="BP61" s="371">
        <f t="shared" si="38"/>
        <v>0</v>
      </c>
      <c r="BQ61" s="371">
        <f t="shared" si="38"/>
        <v>0</v>
      </c>
      <c r="BR61" s="371">
        <f t="shared" si="38"/>
        <v>0</v>
      </c>
      <c r="BS61" s="371">
        <f t="shared" si="38"/>
        <v>0</v>
      </c>
      <c r="BT61" s="371">
        <f t="shared" si="38"/>
        <v>0</v>
      </c>
      <c r="BU61" s="371">
        <f t="shared" si="39"/>
        <v>0</v>
      </c>
      <c r="BV61" s="371">
        <f t="shared" si="39"/>
        <v>0</v>
      </c>
      <c r="BW61" s="371">
        <f t="shared" si="39"/>
        <v>0</v>
      </c>
      <c r="BX61" s="371">
        <f t="shared" si="39"/>
        <v>0</v>
      </c>
      <c r="BY61" s="371">
        <f t="shared" si="39"/>
        <v>0</v>
      </c>
      <c r="BZ61" s="371">
        <f t="shared" si="39"/>
        <v>0</v>
      </c>
    </row>
    <row r="62" spans="2:78" ht="21" hidden="1" customHeight="1" outlineLevel="3">
      <c r="B62" s="367"/>
      <c r="C62" s="370"/>
      <c r="D62" s="374">
        <f t="shared" si="26"/>
        <v>45869</v>
      </c>
      <c r="E62" s="373" cm="1">
        <f t="array" ref="E62">IF($D62=LatestMonthOfActuals,INDEX($AE$25:$BZ$25,0,MATCH($D62,$AE$8:$BZ$8,0)),0)</f>
        <v>0</v>
      </c>
      <c r="F62" s="359"/>
      <c r="G62" s="408">
        <f t="shared" si="34"/>
        <v>0</v>
      </c>
      <c r="H62" s="408">
        <f t="shared" si="34"/>
        <v>0</v>
      </c>
      <c r="I62" s="408">
        <f t="shared" si="34"/>
        <v>0</v>
      </c>
      <c r="J62" s="408">
        <f t="shared" si="34"/>
        <v>0</v>
      </c>
      <c r="K62" s="408"/>
      <c r="L62" s="408"/>
      <c r="M62" s="408">
        <f t="shared" si="33"/>
        <v>0</v>
      </c>
      <c r="N62" s="408">
        <f t="shared" si="33"/>
        <v>0</v>
      </c>
      <c r="O62" s="408">
        <f t="shared" si="33"/>
        <v>0</v>
      </c>
      <c r="P62" s="408">
        <f t="shared" si="33"/>
        <v>0</v>
      </c>
      <c r="Q62" s="408">
        <f t="shared" si="33"/>
        <v>0</v>
      </c>
      <c r="R62" s="408">
        <f t="shared" si="33"/>
        <v>0</v>
      </c>
      <c r="S62" s="408">
        <f t="shared" si="33"/>
        <v>0</v>
      </c>
      <c r="T62" s="408">
        <f t="shared" si="33"/>
        <v>0</v>
      </c>
      <c r="U62" s="408">
        <f t="shared" si="33"/>
        <v>0</v>
      </c>
      <c r="V62" s="408">
        <f t="shared" si="33"/>
        <v>0</v>
      </c>
      <c r="W62" s="408">
        <f t="shared" si="33"/>
        <v>0</v>
      </c>
      <c r="X62" s="408">
        <f t="shared" si="33"/>
        <v>0</v>
      </c>
      <c r="Y62" s="408">
        <f t="shared" si="33"/>
        <v>0</v>
      </c>
      <c r="Z62" s="408">
        <f t="shared" si="33"/>
        <v>0</v>
      </c>
      <c r="AA62" s="408">
        <f t="shared" si="33"/>
        <v>0</v>
      </c>
      <c r="AB62" s="408">
        <f t="shared" si="33"/>
        <v>0</v>
      </c>
      <c r="AD62" s="359"/>
      <c r="AE62" s="371">
        <f t="shared" ref="AE62:AO71" si="40">IFERROR(IF(AE$8&gt;=$D62,$E62*(INDEX($E$12:$E$16,(MATCH(MATCH(AE$8,$D$32:$D$79,0)-MATCH($D62,$D$32:$D$79,0),$D$12:$D$16,0)))),0),0)</f>
        <v>0</v>
      </c>
      <c r="AF62" s="371">
        <f t="shared" si="40"/>
        <v>0</v>
      </c>
      <c r="AG62" s="371">
        <f t="shared" si="40"/>
        <v>0</v>
      </c>
      <c r="AH62" s="371">
        <f t="shared" si="40"/>
        <v>0</v>
      </c>
      <c r="AI62" s="371">
        <f t="shared" si="40"/>
        <v>0</v>
      </c>
      <c r="AJ62" s="371">
        <f t="shared" si="40"/>
        <v>0</v>
      </c>
      <c r="AK62" s="371">
        <f t="shared" si="40"/>
        <v>0</v>
      </c>
      <c r="AL62" s="371">
        <f t="shared" si="40"/>
        <v>0</v>
      </c>
      <c r="AM62" s="371">
        <f t="shared" si="40"/>
        <v>0</v>
      </c>
      <c r="AN62" s="371">
        <f t="shared" si="40"/>
        <v>0</v>
      </c>
      <c r="AO62" s="371">
        <f t="shared" si="40"/>
        <v>0</v>
      </c>
      <c r="AP62" s="371">
        <f t="shared" si="21"/>
        <v>0</v>
      </c>
      <c r="AQ62" s="371">
        <f t="shared" ref="AQ62:AZ71" si="41">IFERROR(IF(AQ$8&gt;=$D62,$E62*(INDEX($E$12:$E$16,(MATCH(MATCH(AQ$8,$D$32:$D$79,0)-MATCH($D62,$D$32:$D$79,0),$D$12:$D$16,0)))),0),0)</f>
        <v>0</v>
      </c>
      <c r="AR62" s="371">
        <f t="shared" si="41"/>
        <v>0</v>
      </c>
      <c r="AS62" s="371">
        <f t="shared" si="41"/>
        <v>0</v>
      </c>
      <c r="AT62" s="371">
        <f t="shared" si="41"/>
        <v>0</v>
      </c>
      <c r="AU62" s="371">
        <f t="shared" si="41"/>
        <v>0</v>
      </c>
      <c r="AV62" s="371">
        <f t="shared" si="41"/>
        <v>0</v>
      </c>
      <c r="AW62" s="371">
        <f t="shared" si="41"/>
        <v>0</v>
      </c>
      <c r="AX62" s="371">
        <f t="shared" si="41"/>
        <v>0</v>
      </c>
      <c r="AY62" s="371">
        <f t="shared" si="41"/>
        <v>0</v>
      </c>
      <c r="AZ62" s="371">
        <f t="shared" si="41"/>
        <v>0</v>
      </c>
      <c r="BA62" s="371">
        <f t="shared" ref="BA62:BJ71" si="42">IFERROR(IF(BA$8&gt;=$D62,$E62*(INDEX($E$12:$E$16,(MATCH(MATCH(BA$8,$D$32:$D$79,0)-MATCH($D62,$D$32:$D$79,0),$D$12:$D$16,0)))),0),0)</f>
        <v>0</v>
      </c>
      <c r="BB62" s="371">
        <f t="shared" si="42"/>
        <v>0</v>
      </c>
      <c r="BC62" s="371">
        <f t="shared" si="42"/>
        <v>0</v>
      </c>
      <c r="BD62" s="371">
        <f t="shared" si="42"/>
        <v>0</v>
      </c>
      <c r="BE62" s="371">
        <f t="shared" si="42"/>
        <v>0</v>
      </c>
      <c r="BF62" s="371">
        <f t="shared" si="42"/>
        <v>0</v>
      </c>
      <c r="BG62" s="371">
        <f t="shared" si="42"/>
        <v>0</v>
      </c>
      <c r="BH62" s="371">
        <f t="shared" si="42"/>
        <v>0</v>
      </c>
      <c r="BI62" s="371">
        <f t="shared" si="42"/>
        <v>0</v>
      </c>
      <c r="BJ62" s="371">
        <f t="shared" si="42"/>
        <v>0</v>
      </c>
      <c r="BK62" s="371">
        <f t="shared" ref="BK62:BT71" si="43">IFERROR(IF(BK$8&gt;=$D62,$E62*(INDEX($E$12:$E$16,(MATCH(MATCH(BK$8,$D$32:$D$79,0)-MATCH($D62,$D$32:$D$79,0),$D$12:$D$16,0)))),0),0)</f>
        <v>0</v>
      </c>
      <c r="BL62" s="371">
        <f t="shared" si="43"/>
        <v>0</v>
      </c>
      <c r="BM62" s="371">
        <f t="shared" si="43"/>
        <v>0</v>
      </c>
      <c r="BN62" s="371">
        <f t="shared" si="43"/>
        <v>0</v>
      </c>
      <c r="BO62" s="371">
        <f t="shared" si="43"/>
        <v>0</v>
      </c>
      <c r="BP62" s="371">
        <f t="shared" si="43"/>
        <v>0</v>
      </c>
      <c r="BQ62" s="371">
        <f t="shared" si="43"/>
        <v>0</v>
      </c>
      <c r="BR62" s="371">
        <f t="shared" si="43"/>
        <v>0</v>
      </c>
      <c r="BS62" s="371">
        <f t="shared" si="43"/>
        <v>0</v>
      </c>
      <c r="BT62" s="371">
        <f t="shared" si="43"/>
        <v>0</v>
      </c>
      <c r="BU62" s="371">
        <f t="shared" ref="BU62:BZ71" si="44">IFERROR(IF(BU$8&gt;=$D62,$E62*(INDEX($E$12:$E$16,(MATCH(MATCH(BU$8,$D$32:$D$79,0)-MATCH($D62,$D$32:$D$79,0),$D$12:$D$16,0)))),0),0)</f>
        <v>0</v>
      </c>
      <c r="BV62" s="371">
        <f t="shared" si="44"/>
        <v>0</v>
      </c>
      <c r="BW62" s="371">
        <f t="shared" si="44"/>
        <v>0</v>
      </c>
      <c r="BX62" s="371">
        <f t="shared" si="44"/>
        <v>0</v>
      </c>
      <c r="BY62" s="371">
        <f t="shared" si="44"/>
        <v>0</v>
      </c>
      <c r="BZ62" s="371">
        <f t="shared" si="44"/>
        <v>0</v>
      </c>
    </row>
    <row r="63" spans="2:78" ht="21" hidden="1" customHeight="1" outlineLevel="3">
      <c r="B63" s="367"/>
      <c r="C63" s="370"/>
      <c r="D63" s="374">
        <f t="shared" si="26"/>
        <v>45900</v>
      </c>
      <c r="E63" s="373" cm="1">
        <f t="array" ref="E63">IF($D63=LatestMonthOfActuals,INDEX($AE$25:$BZ$25,0,MATCH($D63,$AE$8:$BZ$8,0)),0)</f>
        <v>0</v>
      </c>
      <c r="F63" s="359"/>
      <c r="G63" s="408">
        <f t="shared" si="34"/>
        <v>0</v>
      </c>
      <c r="H63" s="408">
        <f t="shared" si="34"/>
        <v>0</v>
      </c>
      <c r="I63" s="408">
        <f t="shared" si="34"/>
        <v>0</v>
      </c>
      <c r="J63" s="408">
        <f t="shared" si="34"/>
        <v>0</v>
      </c>
      <c r="K63" s="408"/>
      <c r="L63" s="408"/>
      <c r="M63" s="408">
        <f t="shared" si="33"/>
        <v>0</v>
      </c>
      <c r="N63" s="408">
        <f t="shared" si="33"/>
        <v>0</v>
      </c>
      <c r="O63" s="408">
        <f t="shared" si="33"/>
        <v>0</v>
      </c>
      <c r="P63" s="408">
        <f t="shared" si="33"/>
        <v>0</v>
      </c>
      <c r="Q63" s="408">
        <f t="shared" si="33"/>
        <v>0</v>
      </c>
      <c r="R63" s="408">
        <f t="shared" si="33"/>
        <v>0</v>
      </c>
      <c r="S63" s="408">
        <f t="shared" si="33"/>
        <v>0</v>
      </c>
      <c r="T63" s="408">
        <f t="shared" si="33"/>
        <v>0</v>
      </c>
      <c r="U63" s="408">
        <f t="shared" si="33"/>
        <v>0</v>
      </c>
      <c r="V63" s="408">
        <f t="shared" si="33"/>
        <v>0</v>
      </c>
      <c r="W63" s="408">
        <f t="shared" si="33"/>
        <v>0</v>
      </c>
      <c r="X63" s="408">
        <f t="shared" si="33"/>
        <v>0</v>
      </c>
      <c r="Y63" s="408">
        <f t="shared" si="33"/>
        <v>0</v>
      </c>
      <c r="Z63" s="408">
        <f t="shared" si="33"/>
        <v>0</v>
      </c>
      <c r="AA63" s="408">
        <f t="shared" si="33"/>
        <v>0</v>
      </c>
      <c r="AB63" s="408">
        <f t="shared" ref="AB63" si="45">SUMIFS($AE63:$BZ63,$AE$4:$BZ$4,"&gt;="&amp;AB$4,$AE63:$BZ63,"&lt;="&amp;AB$5)</f>
        <v>0</v>
      </c>
      <c r="AD63" s="359"/>
      <c r="AE63" s="371">
        <f t="shared" si="40"/>
        <v>0</v>
      </c>
      <c r="AF63" s="371">
        <f t="shared" si="40"/>
        <v>0</v>
      </c>
      <c r="AG63" s="371">
        <f t="shared" si="40"/>
        <v>0</v>
      </c>
      <c r="AH63" s="371">
        <f t="shared" si="40"/>
        <v>0</v>
      </c>
      <c r="AI63" s="371">
        <f t="shared" si="40"/>
        <v>0</v>
      </c>
      <c r="AJ63" s="371">
        <f t="shared" si="40"/>
        <v>0</v>
      </c>
      <c r="AK63" s="371">
        <f t="shared" si="40"/>
        <v>0</v>
      </c>
      <c r="AL63" s="371">
        <f t="shared" si="40"/>
        <v>0</v>
      </c>
      <c r="AM63" s="371">
        <f t="shared" si="40"/>
        <v>0</v>
      </c>
      <c r="AN63" s="371">
        <f t="shared" si="40"/>
        <v>0</v>
      </c>
      <c r="AO63" s="371">
        <f t="shared" si="40"/>
        <v>0</v>
      </c>
      <c r="AP63" s="371">
        <f t="shared" si="21"/>
        <v>0</v>
      </c>
      <c r="AQ63" s="371">
        <f t="shared" si="41"/>
        <v>0</v>
      </c>
      <c r="AR63" s="371">
        <f t="shared" si="41"/>
        <v>0</v>
      </c>
      <c r="AS63" s="371">
        <f t="shared" si="41"/>
        <v>0</v>
      </c>
      <c r="AT63" s="371">
        <f t="shared" si="41"/>
        <v>0</v>
      </c>
      <c r="AU63" s="371">
        <f t="shared" si="41"/>
        <v>0</v>
      </c>
      <c r="AV63" s="371">
        <f t="shared" si="41"/>
        <v>0</v>
      </c>
      <c r="AW63" s="371">
        <f t="shared" si="41"/>
        <v>0</v>
      </c>
      <c r="AX63" s="371">
        <f t="shared" si="41"/>
        <v>0</v>
      </c>
      <c r="AY63" s="371">
        <f t="shared" si="41"/>
        <v>0</v>
      </c>
      <c r="AZ63" s="371">
        <f t="shared" si="41"/>
        <v>0</v>
      </c>
      <c r="BA63" s="371">
        <f t="shared" si="42"/>
        <v>0</v>
      </c>
      <c r="BB63" s="371">
        <f t="shared" si="42"/>
        <v>0</v>
      </c>
      <c r="BC63" s="371">
        <f t="shared" si="42"/>
        <v>0</v>
      </c>
      <c r="BD63" s="371">
        <f t="shared" si="42"/>
        <v>0</v>
      </c>
      <c r="BE63" s="371">
        <f t="shared" si="42"/>
        <v>0</v>
      </c>
      <c r="BF63" s="371">
        <f t="shared" si="42"/>
        <v>0</v>
      </c>
      <c r="BG63" s="371">
        <f t="shared" si="42"/>
        <v>0</v>
      </c>
      <c r="BH63" s="371">
        <f t="shared" si="42"/>
        <v>0</v>
      </c>
      <c r="BI63" s="371">
        <f t="shared" si="42"/>
        <v>0</v>
      </c>
      <c r="BJ63" s="371">
        <f t="shared" si="42"/>
        <v>0</v>
      </c>
      <c r="BK63" s="371">
        <f t="shared" si="43"/>
        <v>0</v>
      </c>
      <c r="BL63" s="371">
        <f t="shared" si="43"/>
        <v>0</v>
      </c>
      <c r="BM63" s="371">
        <f t="shared" si="43"/>
        <v>0</v>
      </c>
      <c r="BN63" s="371">
        <f t="shared" si="43"/>
        <v>0</v>
      </c>
      <c r="BO63" s="371">
        <f t="shared" si="43"/>
        <v>0</v>
      </c>
      <c r="BP63" s="371">
        <f t="shared" si="43"/>
        <v>0</v>
      </c>
      <c r="BQ63" s="371">
        <f t="shared" si="43"/>
        <v>0</v>
      </c>
      <c r="BR63" s="371">
        <f t="shared" si="43"/>
        <v>0</v>
      </c>
      <c r="BS63" s="371">
        <f t="shared" si="43"/>
        <v>0</v>
      </c>
      <c r="BT63" s="371">
        <f t="shared" si="43"/>
        <v>0</v>
      </c>
      <c r="BU63" s="371">
        <f t="shared" si="44"/>
        <v>0</v>
      </c>
      <c r="BV63" s="371">
        <f t="shared" si="44"/>
        <v>0</v>
      </c>
      <c r="BW63" s="371">
        <f t="shared" si="44"/>
        <v>0</v>
      </c>
      <c r="BX63" s="371">
        <f t="shared" si="44"/>
        <v>0</v>
      </c>
      <c r="BY63" s="371">
        <f t="shared" si="44"/>
        <v>0</v>
      </c>
      <c r="BZ63" s="371">
        <f t="shared" si="44"/>
        <v>0</v>
      </c>
    </row>
    <row r="64" spans="2:78" ht="21" hidden="1" customHeight="1" outlineLevel="3">
      <c r="B64" s="367"/>
      <c r="C64" s="370"/>
      <c r="D64" s="374">
        <f t="shared" si="26"/>
        <v>45930</v>
      </c>
      <c r="E64" s="373" cm="1">
        <f t="array" ref="E64">IF($D64=LatestMonthOfActuals,INDEX($AE$25:$BZ$25,0,MATCH($D64,$AE$8:$BZ$8,0)),0)</f>
        <v>0</v>
      </c>
      <c r="F64" s="359"/>
      <c r="G64" s="408">
        <f t="shared" si="34"/>
        <v>0</v>
      </c>
      <c r="H64" s="408">
        <f t="shared" si="34"/>
        <v>0</v>
      </c>
      <c r="I64" s="408">
        <f t="shared" si="34"/>
        <v>0</v>
      </c>
      <c r="J64" s="408">
        <f t="shared" si="34"/>
        <v>0</v>
      </c>
      <c r="K64" s="408"/>
      <c r="L64" s="408"/>
      <c r="M64" s="408">
        <f t="shared" ref="M64:AB79" si="46">SUMIFS($AE64:$BZ64,$AE$4:$BZ$4,"&gt;="&amp;M$4,$AE64:$BZ64,"&lt;="&amp;M$5)</f>
        <v>0</v>
      </c>
      <c r="N64" s="408">
        <f t="shared" si="46"/>
        <v>0</v>
      </c>
      <c r="O64" s="408">
        <f t="shared" si="46"/>
        <v>0</v>
      </c>
      <c r="P64" s="408">
        <f t="shared" si="46"/>
        <v>0</v>
      </c>
      <c r="Q64" s="408">
        <f t="shared" si="46"/>
        <v>0</v>
      </c>
      <c r="R64" s="408">
        <f t="shared" si="46"/>
        <v>0</v>
      </c>
      <c r="S64" s="408">
        <f t="shared" si="46"/>
        <v>0</v>
      </c>
      <c r="T64" s="408">
        <f t="shared" si="46"/>
        <v>0</v>
      </c>
      <c r="U64" s="408">
        <f t="shared" si="46"/>
        <v>0</v>
      </c>
      <c r="V64" s="408">
        <f t="shared" si="46"/>
        <v>0</v>
      </c>
      <c r="W64" s="408">
        <f t="shared" si="46"/>
        <v>0</v>
      </c>
      <c r="X64" s="408">
        <f t="shared" si="46"/>
        <v>0</v>
      </c>
      <c r="Y64" s="408">
        <f t="shared" si="46"/>
        <v>0</v>
      </c>
      <c r="Z64" s="408">
        <f t="shared" si="46"/>
        <v>0</v>
      </c>
      <c r="AA64" s="408">
        <f t="shared" si="46"/>
        <v>0</v>
      </c>
      <c r="AB64" s="408">
        <f t="shared" si="46"/>
        <v>0</v>
      </c>
      <c r="AD64" s="359"/>
      <c r="AE64" s="371">
        <f t="shared" si="40"/>
        <v>0</v>
      </c>
      <c r="AF64" s="371">
        <f t="shared" si="40"/>
        <v>0</v>
      </c>
      <c r="AG64" s="371">
        <f t="shared" si="40"/>
        <v>0</v>
      </c>
      <c r="AH64" s="371">
        <f t="shared" si="40"/>
        <v>0</v>
      </c>
      <c r="AI64" s="371">
        <f t="shared" si="40"/>
        <v>0</v>
      </c>
      <c r="AJ64" s="371">
        <f t="shared" si="40"/>
        <v>0</v>
      </c>
      <c r="AK64" s="371">
        <f t="shared" si="40"/>
        <v>0</v>
      </c>
      <c r="AL64" s="371">
        <f t="shared" si="40"/>
        <v>0</v>
      </c>
      <c r="AM64" s="371">
        <f t="shared" si="40"/>
        <v>0</v>
      </c>
      <c r="AN64" s="371">
        <f t="shared" si="40"/>
        <v>0</v>
      </c>
      <c r="AO64" s="371">
        <f t="shared" si="40"/>
        <v>0</v>
      </c>
      <c r="AP64" s="371">
        <f t="shared" si="21"/>
        <v>0</v>
      </c>
      <c r="AQ64" s="371">
        <f t="shared" si="41"/>
        <v>0</v>
      </c>
      <c r="AR64" s="371">
        <f t="shared" si="41"/>
        <v>0</v>
      </c>
      <c r="AS64" s="371">
        <f t="shared" si="41"/>
        <v>0</v>
      </c>
      <c r="AT64" s="371">
        <f t="shared" si="41"/>
        <v>0</v>
      </c>
      <c r="AU64" s="371">
        <f t="shared" si="41"/>
        <v>0</v>
      </c>
      <c r="AV64" s="371">
        <f t="shared" si="41"/>
        <v>0</v>
      </c>
      <c r="AW64" s="371">
        <f t="shared" si="41"/>
        <v>0</v>
      </c>
      <c r="AX64" s="371">
        <f t="shared" si="41"/>
        <v>0</v>
      </c>
      <c r="AY64" s="371">
        <f t="shared" si="41"/>
        <v>0</v>
      </c>
      <c r="AZ64" s="371">
        <f t="shared" si="41"/>
        <v>0</v>
      </c>
      <c r="BA64" s="371">
        <f t="shared" si="42"/>
        <v>0</v>
      </c>
      <c r="BB64" s="371">
        <f t="shared" si="42"/>
        <v>0</v>
      </c>
      <c r="BC64" s="371">
        <f t="shared" si="42"/>
        <v>0</v>
      </c>
      <c r="BD64" s="371">
        <f t="shared" si="42"/>
        <v>0</v>
      </c>
      <c r="BE64" s="371">
        <f t="shared" si="42"/>
        <v>0</v>
      </c>
      <c r="BF64" s="371">
        <f t="shared" si="42"/>
        <v>0</v>
      </c>
      <c r="BG64" s="371">
        <f t="shared" si="42"/>
        <v>0</v>
      </c>
      <c r="BH64" s="371">
        <f t="shared" si="42"/>
        <v>0</v>
      </c>
      <c r="BI64" s="371">
        <f t="shared" si="42"/>
        <v>0</v>
      </c>
      <c r="BJ64" s="371">
        <f t="shared" si="42"/>
        <v>0</v>
      </c>
      <c r="BK64" s="371">
        <f t="shared" si="43"/>
        <v>0</v>
      </c>
      <c r="BL64" s="371">
        <f t="shared" si="43"/>
        <v>0</v>
      </c>
      <c r="BM64" s="371">
        <f t="shared" si="43"/>
        <v>0</v>
      </c>
      <c r="BN64" s="371">
        <f t="shared" si="43"/>
        <v>0</v>
      </c>
      <c r="BO64" s="371">
        <f t="shared" si="43"/>
        <v>0</v>
      </c>
      <c r="BP64" s="371">
        <f t="shared" si="43"/>
        <v>0</v>
      </c>
      <c r="BQ64" s="371">
        <f t="shared" si="43"/>
        <v>0</v>
      </c>
      <c r="BR64" s="371">
        <f t="shared" si="43"/>
        <v>0</v>
      </c>
      <c r="BS64" s="371">
        <f t="shared" si="43"/>
        <v>0</v>
      </c>
      <c r="BT64" s="371">
        <f t="shared" si="43"/>
        <v>0</v>
      </c>
      <c r="BU64" s="371">
        <f t="shared" si="44"/>
        <v>0</v>
      </c>
      <c r="BV64" s="371">
        <f t="shared" si="44"/>
        <v>0</v>
      </c>
      <c r="BW64" s="371">
        <f t="shared" si="44"/>
        <v>0</v>
      </c>
      <c r="BX64" s="371">
        <f t="shared" si="44"/>
        <v>0</v>
      </c>
      <c r="BY64" s="371">
        <f t="shared" si="44"/>
        <v>0</v>
      </c>
      <c r="BZ64" s="371">
        <f t="shared" si="44"/>
        <v>0</v>
      </c>
    </row>
    <row r="65" spans="2:78" ht="21" hidden="1" customHeight="1" outlineLevel="3">
      <c r="B65" s="367"/>
      <c r="C65" s="370"/>
      <c r="D65" s="374">
        <f t="shared" si="26"/>
        <v>45961</v>
      </c>
      <c r="E65" s="373" cm="1">
        <f t="array" ref="E65">IF($D65=LatestMonthOfActuals,INDEX($AE$25:$BZ$25,0,MATCH($D65,$AE$8:$BZ$8,0)),0)</f>
        <v>0</v>
      </c>
      <c r="F65" s="359"/>
      <c r="G65" s="408">
        <f t="shared" si="34"/>
        <v>0</v>
      </c>
      <c r="H65" s="408">
        <f t="shared" si="34"/>
        <v>0</v>
      </c>
      <c r="I65" s="408">
        <f t="shared" si="34"/>
        <v>0</v>
      </c>
      <c r="J65" s="408">
        <f t="shared" si="34"/>
        <v>0</v>
      </c>
      <c r="K65" s="408"/>
      <c r="L65" s="408"/>
      <c r="M65" s="408">
        <f t="shared" si="46"/>
        <v>0</v>
      </c>
      <c r="N65" s="408">
        <f t="shared" si="46"/>
        <v>0</v>
      </c>
      <c r="O65" s="408">
        <f t="shared" si="46"/>
        <v>0</v>
      </c>
      <c r="P65" s="408">
        <f t="shared" si="46"/>
        <v>0</v>
      </c>
      <c r="Q65" s="408">
        <f t="shared" si="46"/>
        <v>0</v>
      </c>
      <c r="R65" s="408">
        <f t="shared" si="46"/>
        <v>0</v>
      </c>
      <c r="S65" s="408">
        <f t="shared" si="46"/>
        <v>0</v>
      </c>
      <c r="T65" s="408">
        <f t="shared" si="46"/>
        <v>0</v>
      </c>
      <c r="U65" s="408">
        <f t="shared" si="46"/>
        <v>0</v>
      </c>
      <c r="V65" s="408">
        <f t="shared" si="46"/>
        <v>0</v>
      </c>
      <c r="W65" s="408">
        <f t="shared" si="46"/>
        <v>0</v>
      </c>
      <c r="X65" s="408">
        <f t="shared" si="46"/>
        <v>0</v>
      </c>
      <c r="Y65" s="408">
        <f t="shared" si="46"/>
        <v>0</v>
      </c>
      <c r="Z65" s="408">
        <f t="shared" si="46"/>
        <v>0</v>
      </c>
      <c r="AA65" s="408">
        <f t="shared" si="46"/>
        <v>0</v>
      </c>
      <c r="AB65" s="408">
        <f t="shared" si="46"/>
        <v>0</v>
      </c>
      <c r="AD65" s="359"/>
      <c r="AE65" s="371">
        <f t="shared" si="40"/>
        <v>0</v>
      </c>
      <c r="AF65" s="371">
        <f t="shared" si="40"/>
        <v>0</v>
      </c>
      <c r="AG65" s="371">
        <f t="shared" si="40"/>
        <v>0</v>
      </c>
      <c r="AH65" s="371">
        <f t="shared" si="40"/>
        <v>0</v>
      </c>
      <c r="AI65" s="371">
        <f t="shared" si="40"/>
        <v>0</v>
      </c>
      <c r="AJ65" s="371">
        <f t="shared" si="40"/>
        <v>0</v>
      </c>
      <c r="AK65" s="371">
        <f t="shared" si="40"/>
        <v>0</v>
      </c>
      <c r="AL65" s="371">
        <f t="shared" si="40"/>
        <v>0</v>
      </c>
      <c r="AM65" s="371">
        <f t="shared" si="40"/>
        <v>0</v>
      </c>
      <c r="AN65" s="371">
        <f t="shared" si="40"/>
        <v>0</v>
      </c>
      <c r="AO65" s="371">
        <f t="shared" si="40"/>
        <v>0</v>
      </c>
      <c r="AP65" s="371">
        <f t="shared" si="21"/>
        <v>0</v>
      </c>
      <c r="AQ65" s="371">
        <f t="shared" si="41"/>
        <v>0</v>
      </c>
      <c r="AR65" s="371">
        <f t="shared" si="41"/>
        <v>0</v>
      </c>
      <c r="AS65" s="371">
        <f t="shared" si="41"/>
        <v>0</v>
      </c>
      <c r="AT65" s="371">
        <f t="shared" si="41"/>
        <v>0</v>
      </c>
      <c r="AU65" s="371">
        <f t="shared" si="41"/>
        <v>0</v>
      </c>
      <c r="AV65" s="371">
        <f t="shared" si="41"/>
        <v>0</v>
      </c>
      <c r="AW65" s="371">
        <f t="shared" si="41"/>
        <v>0</v>
      </c>
      <c r="AX65" s="371">
        <f t="shared" si="41"/>
        <v>0</v>
      </c>
      <c r="AY65" s="371">
        <f t="shared" si="41"/>
        <v>0</v>
      </c>
      <c r="AZ65" s="371">
        <f t="shared" si="41"/>
        <v>0</v>
      </c>
      <c r="BA65" s="371">
        <f t="shared" si="42"/>
        <v>0</v>
      </c>
      <c r="BB65" s="371">
        <f t="shared" si="42"/>
        <v>0</v>
      </c>
      <c r="BC65" s="371">
        <f t="shared" si="42"/>
        <v>0</v>
      </c>
      <c r="BD65" s="371">
        <f t="shared" si="42"/>
        <v>0</v>
      </c>
      <c r="BE65" s="371">
        <f t="shared" si="42"/>
        <v>0</v>
      </c>
      <c r="BF65" s="371">
        <f t="shared" si="42"/>
        <v>0</v>
      </c>
      <c r="BG65" s="371">
        <f t="shared" si="42"/>
        <v>0</v>
      </c>
      <c r="BH65" s="371">
        <f t="shared" si="42"/>
        <v>0</v>
      </c>
      <c r="BI65" s="371">
        <f t="shared" si="42"/>
        <v>0</v>
      </c>
      <c r="BJ65" s="371">
        <f t="shared" si="42"/>
        <v>0</v>
      </c>
      <c r="BK65" s="371">
        <f t="shared" si="43"/>
        <v>0</v>
      </c>
      <c r="BL65" s="371">
        <f t="shared" si="43"/>
        <v>0</v>
      </c>
      <c r="BM65" s="371">
        <f t="shared" si="43"/>
        <v>0</v>
      </c>
      <c r="BN65" s="371">
        <f t="shared" si="43"/>
        <v>0</v>
      </c>
      <c r="BO65" s="371">
        <f t="shared" si="43"/>
        <v>0</v>
      </c>
      <c r="BP65" s="371">
        <f t="shared" si="43"/>
        <v>0</v>
      </c>
      <c r="BQ65" s="371">
        <f t="shared" si="43"/>
        <v>0</v>
      </c>
      <c r="BR65" s="371">
        <f t="shared" si="43"/>
        <v>0</v>
      </c>
      <c r="BS65" s="371">
        <f t="shared" si="43"/>
        <v>0</v>
      </c>
      <c r="BT65" s="371">
        <f t="shared" si="43"/>
        <v>0</v>
      </c>
      <c r="BU65" s="371">
        <f t="shared" si="44"/>
        <v>0</v>
      </c>
      <c r="BV65" s="371">
        <f t="shared" si="44"/>
        <v>0</v>
      </c>
      <c r="BW65" s="371">
        <f t="shared" si="44"/>
        <v>0</v>
      </c>
      <c r="BX65" s="371">
        <f t="shared" si="44"/>
        <v>0</v>
      </c>
      <c r="BY65" s="371">
        <f t="shared" si="44"/>
        <v>0</v>
      </c>
      <c r="BZ65" s="371">
        <f t="shared" si="44"/>
        <v>0</v>
      </c>
    </row>
    <row r="66" spans="2:78" ht="21" hidden="1" customHeight="1" outlineLevel="3">
      <c r="B66" s="367"/>
      <c r="C66" s="370"/>
      <c r="D66" s="374">
        <f t="shared" si="26"/>
        <v>45991</v>
      </c>
      <c r="E66" s="373" cm="1">
        <f t="array" ref="E66">IF($D66=LatestMonthOfActuals,INDEX($AE$25:$BZ$25,0,MATCH($D66,$AE$8:$BZ$8,0)),0)</f>
        <v>127198.48</v>
      </c>
      <c r="F66" s="359"/>
      <c r="G66" s="408">
        <f t="shared" si="34"/>
        <v>0</v>
      </c>
      <c r="H66" s="408">
        <f t="shared" si="34"/>
        <v>0</v>
      </c>
      <c r="I66" s="408">
        <f t="shared" si="34"/>
        <v>63599.24</v>
      </c>
      <c r="J66" s="408">
        <f t="shared" si="34"/>
        <v>63599.24</v>
      </c>
      <c r="K66" s="408"/>
      <c r="L66" s="408"/>
      <c r="M66" s="408">
        <f t="shared" si="46"/>
        <v>63599.24</v>
      </c>
      <c r="N66" s="408">
        <f t="shared" si="46"/>
        <v>63599.24</v>
      </c>
      <c r="O66" s="408">
        <f t="shared" si="46"/>
        <v>63599.24</v>
      </c>
      <c r="P66" s="408">
        <f t="shared" si="46"/>
        <v>63599.24</v>
      </c>
      <c r="Q66" s="408">
        <f t="shared" si="46"/>
        <v>63599.24</v>
      </c>
      <c r="R66" s="408">
        <f t="shared" si="46"/>
        <v>63599.24</v>
      </c>
      <c r="S66" s="408">
        <f t="shared" si="46"/>
        <v>63599.24</v>
      </c>
      <c r="T66" s="408">
        <f t="shared" si="46"/>
        <v>63599.24</v>
      </c>
      <c r="U66" s="408">
        <f t="shared" si="46"/>
        <v>63599.24</v>
      </c>
      <c r="V66" s="408">
        <f t="shared" si="46"/>
        <v>63599.24</v>
      </c>
      <c r="W66" s="408">
        <f t="shared" si="46"/>
        <v>63599.24</v>
      </c>
      <c r="X66" s="408">
        <f t="shared" si="46"/>
        <v>63599.24</v>
      </c>
      <c r="Y66" s="408">
        <f t="shared" si="46"/>
        <v>63599.24</v>
      </c>
      <c r="Z66" s="408">
        <f t="shared" si="46"/>
        <v>0</v>
      </c>
      <c r="AA66" s="408">
        <f t="shared" si="46"/>
        <v>0</v>
      </c>
      <c r="AB66" s="408">
        <f t="shared" si="46"/>
        <v>0</v>
      </c>
      <c r="AD66" s="359"/>
      <c r="AE66" s="371">
        <f t="shared" si="40"/>
        <v>0</v>
      </c>
      <c r="AF66" s="371">
        <f t="shared" si="40"/>
        <v>0</v>
      </c>
      <c r="AG66" s="371">
        <f t="shared" si="40"/>
        <v>0</v>
      </c>
      <c r="AH66" s="371">
        <f t="shared" si="40"/>
        <v>0</v>
      </c>
      <c r="AI66" s="371">
        <f t="shared" si="40"/>
        <v>0</v>
      </c>
      <c r="AJ66" s="371">
        <f t="shared" si="40"/>
        <v>0</v>
      </c>
      <c r="AK66" s="371">
        <f t="shared" si="40"/>
        <v>0</v>
      </c>
      <c r="AL66" s="371">
        <f t="shared" si="40"/>
        <v>0</v>
      </c>
      <c r="AM66" s="371">
        <f t="shared" si="40"/>
        <v>0</v>
      </c>
      <c r="AN66" s="371">
        <f t="shared" si="40"/>
        <v>0</v>
      </c>
      <c r="AO66" s="371">
        <f t="shared" si="40"/>
        <v>0</v>
      </c>
      <c r="AP66" s="371">
        <f t="shared" si="21"/>
        <v>0</v>
      </c>
      <c r="AQ66" s="371">
        <f t="shared" si="41"/>
        <v>0</v>
      </c>
      <c r="AR66" s="371">
        <f t="shared" si="41"/>
        <v>0</v>
      </c>
      <c r="AS66" s="371">
        <f t="shared" si="41"/>
        <v>0</v>
      </c>
      <c r="AT66" s="371">
        <f t="shared" si="41"/>
        <v>0</v>
      </c>
      <c r="AU66" s="371">
        <f t="shared" si="41"/>
        <v>0</v>
      </c>
      <c r="AV66" s="371">
        <f t="shared" si="41"/>
        <v>0</v>
      </c>
      <c r="AW66" s="371">
        <f t="shared" si="41"/>
        <v>0</v>
      </c>
      <c r="AX66" s="371">
        <f t="shared" si="41"/>
        <v>0</v>
      </c>
      <c r="AY66" s="371">
        <f t="shared" si="41"/>
        <v>0</v>
      </c>
      <c r="AZ66" s="371">
        <f t="shared" si="41"/>
        <v>0</v>
      </c>
      <c r="BA66" s="371">
        <f t="shared" si="42"/>
        <v>0</v>
      </c>
      <c r="BB66" s="371">
        <f t="shared" si="42"/>
        <v>0</v>
      </c>
      <c r="BC66" s="371">
        <f t="shared" si="42"/>
        <v>0</v>
      </c>
      <c r="BD66" s="371">
        <f t="shared" si="42"/>
        <v>0</v>
      </c>
      <c r="BE66" s="371">
        <f t="shared" si="42"/>
        <v>0</v>
      </c>
      <c r="BF66" s="371">
        <f t="shared" si="42"/>
        <v>0</v>
      </c>
      <c r="BG66" s="371">
        <f t="shared" si="42"/>
        <v>0</v>
      </c>
      <c r="BH66" s="371">
        <f t="shared" si="42"/>
        <v>0</v>
      </c>
      <c r="BI66" s="371">
        <f t="shared" si="42"/>
        <v>0</v>
      </c>
      <c r="BJ66" s="371">
        <f t="shared" si="42"/>
        <v>0</v>
      </c>
      <c r="BK66" s="371">
        <f t="shared" si="43"/>
        <v>0</v>
      </c>
      <c r="BL66" s="371">
        <f t="shared" si="43"/>
        <v>0</v>
      </c>
      <c r="BM66" s="371">
        <f t="shared" si="43"/>
        <v>0</v>
      </c>
      <c r="BN66" s="371">
        <f t="shared" si="43"/>
        <v>63599.24</v>
      </c>
      <c r="BO66" s="371">
        <f t="shared" si="43"/>
        <v>31799.62</v>
      </c>
      <c r="BP66" s="371">
        <f t="shared" si="43"/>
        <v>31799.62</v>
      </c>
      <c r="BQ66" s="371">
        <f t="shared" si="43"/>
        <v>0</v>
      </c>
      <c r="BR66" s="371">
        <f t="shared" si="43"/>
        <v>0</v>
      </c>
      <c r="BS66" s="371">
        <f t="shared" si="43"/>
        <v>0</v>
      </c>
      <c r="BT66" s="371">
        <f t="shared" si="43"/>
        <v>0</v>
      </c>
      <c r="BU66" s="371">
        <f t="shared" si="44"/>
        <v>0</v>
      </c>
      <c r="BV66" s="371">
        <f t="shared" si="44"/>
        <v>0</v>
      </c>
      <c r="BW66" s="371">
        <f t="shared" si="44"/>
        <v>0</v>
      </c>
      <c r="BX66" s="371">
        <f t="shared" si="44"/>
        <v>0</v>
      </c>
      <c r="BY66" s="371">
        <f t="shared" si="44"/>
        <v>0</v>
      </c>
      <c r="BZ66" s="371">
        <f t="shared" si="44"/>
        <v>0</v>
      </c>
    </row>
    <row r="67" spans="2:78" ht="21" hidden="1" customHeight="1" outlineLevel="3">
      <c r="B67" s="367"/>
      <c r="C67" s="370"/>
      <c r="D67" s="374">
        <f t="shared" si="26"/>
        <v>46022</v>
      </c>
      <c r="E67" s="373" cm="1">
        <f t="array" ref="E67">IF($D67=LatestMonthOfActuals,INDEX($AE$25:$BZ$25,0,MATCH($D67,$AE$8:$BZ$8,0)),0)</f>
        <v>0</v>
      </c>
      <c r="F67" s="359"/>
      <c r="G67" s="408">
        <f t="shared" si="34"/>
        <v>0</v>
      </c>
      <c r="H67" s="408">
        <f t="shared" si="34"/>
        <v>0</v>
      </c>
      <c r="I67" s="408">
        <f t="shared" si="34"/>
        <v>0</v>
      </c>
      <c r="J67" s="408">
        <f t="shared" si="34"/>
        <v>0</v>
      </c>
      <c r="K67" s="408"/>
      <c r="L67" s="408"/>
      <c r="M67" s="408">
        <f t="shared" si="46"/>
        <v>0</v>
      </c>
      <c r="N67" s="408">
        <f t="shared" si="46"/>
        <v>0</v>
      </c>
      <c r="O67" s="408">
        <f t="shared" si="46"/>
        <v>0</v>
      </c>
      <c r="P67" s="408">
        <f t="shared" si="46"/>
        <v>0</v>
      </c>
      <c r="Q67" s="408">
        <f t="shared" si="46"/>
        <v>0</v>
      </c>
      <c r="R67" s="408">
        <f t="shared" si="46"/>
        <v>0</v>
      </c>
      <c r="S67" s="408">
        <f t="shared" si="46"/>
        <v>0</v>
      </c>
      <c r="T67" s="408">
        <f t="shared" si="46"/>
        <v>0</v>
      </c>
      <c r="U67" s="408">
        <f t="shared" si="46"/>
        <v>0</v>
      </c>
      <c r="V67" s="408">
        <f t="shared" si="46"/>
        <v>0</v>
      </c>
      <c r="W67" s="408">
        <f t="shared" si="46"/>
        <v>0</v>
      </c>
      <c r="X67" s="408">
        <f t="shared" si="46"/>
        <v>0</v>
      </c>
      <c r="Y67" s="408">
        <f t="shared" si="46"/>
        <v>0</v>
      </c>
      <c r="Z67" s="408">
        <f t="shared" si="46"/>
        <v>0</v>
      </c>
      <c r="AA67" s="408">
        <f t="shared" si="46"/>
        <v>0</v>
      </c>
      <c r="AB67" s="408">
        <f t="shared" si="46"/>
        <v>0</v>
      </c>
      <c r="AD67" s="359"/>
      <c r="AE67" s="371">
        <f t="shared" si="40"/>
        <v>0</v>
      </c>
      <c r="AF67" s="371">
        <f t="shared" si="40"/>
        <v>0</v>
      </c>
      <c r="AG67" s="371">
        <f t="shared" si="40"/>
        <v>0</v>
      </c>
      <c r="AH67" s="371">
        <f t="shared" si="40"/>
        <v>0</v>
      </c>
      <c r="AI67" s="371">
        <f t="shared" si="40"/>
        <v>0</v>
      </c>
      <c r="AJ67" s="371">
        <f t="shared" si="40"/>
        <v>0</v>
      </c>
      <c r="AK67" s="371">
        <f t="shared" si="40"/>
        <v>0</v>
      </c>
      <c r="AL67" s="371">
        <f t="shared" si="40"/>
        <v>0</v>
      </c>
      <c r="AM67" s="371">
        <f t="shared" si="40"/>
        <v>0</v>
      </c>
      <c r="AN67" s="371">
        <f t="shared" si="40"/>
        <v>0</v>
      </c>
      <c r="AO67" s="371">
        <f t="shared" si="40"/>
        <v>0</v>
      </c>
      <c r="AP67" s="371">
        <f t="shared" si="21"/>
        <v>0</v>
      </c>
      <c r="AQ67" s="371">
        <f t="shared" si="41"/>
        <v>0</v>
      </c>
      <c r="AR67" s="371">
        <f t="shared" si="41"/>
        <v>0</v>
      </c>
      <c r="AS67" s="371">
        <f t="shared" si="41"/>
        <v>0</v>
      </c>
      <c r="AT67" s="371">
        <f t="shared" si="41"/>
        <v>0</v>
      </c>
      <c r="AU67" s="371">
        <f t="shared" si="41"/>
        <v>0</v>
      </c>
      <c r="AV67" s="371">
        <f t="shared" si="41"/>
        <v>0</v>
      </c>
      <c r="AW67" s="371">
        <f t="shared" si="41"/>
        <v>0</v>
      </c>
      <c r="AX67" s="371">
        <f t="shared" si="41"/>
        <v>0</v>
      </c>
      <c r="AY67" s="371">
        <f t="shared" si="41"/>
        <v>0</v>
      </c>
      <c r="AZ67" s="371">
        <f t="shared" si="41"/>
        <v>0</v>
      </c>
      <c r="BA67" s="371">
        <f t="shared" si="42"/>
        <v>0</v>
      </c>
      <c r="BB67" s="371">
        <f t="shared" si="42"/>
        <v>0</v>
      </c>
      <c r="BC67" s="371">
        <f t="shared" si="42"/>
        <v>0</v>
      </c>
      <c r="BD67" s="371">
        <f t="shared" si="42"/>
        <v>0</v>
      </c>
      <c r="BE67" s="371">
        <f t="shared" si="42"/>
        <v>0</v>
      </c>
      <c r="BF67" s="371">
        <f t="shared" si="42"/>
        <v>0</v>
      </c>
      <c r="BG67" s="371">
        <f t="shared" si="42"/>
        <v>0</v>
      </c>
      <c r="BH67" s="371">
        <f t="shared" si="42"/>
        <v>0</v>
      </c>
      <c r="BI67" s="371">
        <f t="shared" si="42"/>
        <v>0</v>
      </c>
      <c r="BJ67" s="371">
        <f t="shared" si="42"/>
        <v>0</v>
      </c>
      <c r="BK67" s="371">
        <f t="shared" si="43"/>
        <v>0</v>
      </c>
      <c r="BL67" s="371">
        <f t="shared" si="43"/>
        <v>0</v>
      </c>
      <c r="BM67" s="371">
        <f t="shared" si="43"/>
        <v>0</v>
      </c>
      <c r="BN67" s="371">
        <f t="shared" si="43"/>
        <v>0</v>
      </c>
      <c r="BO67" s="371">
        <f t="shared" si="43"/>
        <v>0</v>
      </c>
      <c r="BP67" s="371">
        <f t="shared" si="43"/>
        <v>0</v>
      </c>
      <c r="BQ67" s="371">
        <f t="shared" si="43"/>
        <v>0</v>
      </c>
      <c r="BR67" s="371">
        <f t="shared" si="43"/>
        <v>0</v>
      </c>
      <c r="BS67" s="371">
        <f t="shared" si="43"/>
        <v>0</v>
      </c>
      <c r="BT67" s="371">
        <f t="shared" si="43"/>
        <v>0</v>
      </c>
      <c r="BU67" s="371">
        <f t="shared" si="44"/>
        <v>0</v>
      </c>
      <c r="BV67" s="371">
        <f t="shared" si="44"/>
        <v>0</v>
      </c>
      <c r="BW67" s="371">
        <f t="shared" si="44"/>
        <v>0</v>
      </c>
      <c r="BX67" s="371">
        <f t="shared" si="44"/>
        <v>0</v>
      </c>
      <c r="BY67" s="371">
        <f t="shared" si="44"/>
        <v>0</v>
      </c>
      <c r="BZ67" s="371">
        <f t="shared" si="44"/>
        <v>0</v>
      </c>
    </row>
    <row r="68" spans="2:78" ht="21" hidden="1" customHeight="1" outlineLevel="3">
      <c r="B68" s="367"/>
      <c r="C68" s="370"/>
      <c r="D68" s="374">
        <f t="shared" si="26"/>
        <v>46053</v>
      </c>
      <c r="E68" s="373" cm="1">
        <f t="array" ref="E68">IF($D68=LatestMonthOfActuals,INDEX($AE$25:$BZ$25,0,MATCH($D68,$AE$8:$BZ$8,0)),0)</f>
        <v>0</v>
      </c>
      <c r="F68" s="359"/>
      <c r="G68" s="408">
        <f t="shared" si="34"/>
        <v>0</v>
      </c>
      <c r="H68" s="408">
        <f t="shared" si="34"/>
        <v>0</v>
      </c>
      <c r="I68" s="408">
        <f t="shared" si="34"/>
        <v>0</v>
      </c>
      <c r="J68" s="408">
        <f t="shared" si="34"/>
        <v>0</v>
      </c>
      <c r="K68" s="408"/>
      <c r="L68" s="408"/>
      <c r="M68" s="408">
        <f t="shared" si="46"/>
        <v>0</v>
      </c>
      <c r="N68" s="408">
        <f t="shared" si="46"/>
        <v>0</v>
      </c>
      <c r="O68" s="408">
        <f t="shared" si="46"/>
        <v>0</v>
      </c>
      <c r="P68" s="408">
        <f t="shared" si="46"/>
        <v>0</v>
      </c>
      <c r="Q68" s="408">
        <f t="shared" si="46"/>
        <v>0</v>
      </c>
      <c r="R68" s="408">
        <f t="shared" si="46"/>
        <v>0</v>
      </c>
      <c r="S68" s="408">
        <f t="shared" si="46"/>
        <v>0</v>
      </c>
      <c r="T68" s="408">
        <f t="shared" si="46"/>
        <v>0</v>
      </c>
      <c r="U68" s="408">
        <f t="shared" si="46"/>
        <v>0</v>
      </c>
      <c r="V68" s="408">
        <f t="shared" si="46"/>
        <v>0</v>
      </c>
      <c r="W68" s="408">
        <f t="shared" si="46"/>
        <v>0</v>
      </c>
      <c r="X68" s="408">
        <f t="shared" si="46"/>
        <v>0</v>
      </c>
      <c r="Y68" s="408">
        <f t="shared" si="46"/>
        <v>0</v>
      </c>
      <c r="Z68" s="408">
        <f t="shared" si="46"/>
        <v>0</v>
      </c>
      <c r="AA68" s="408">
        <f t="shared" si="46"/>
        <v>0</v>
      </c>
      <c r="AB68" s="408">
        <f t="shared" si="46"/>
        <v>0</v>
      </c>
      <c r="AD68" s="359"/>
      <c r="AE68" s="371">
        <f t="shared" si="40"/>
        <v>0</v>
      </c>
      <c r="AF68" s="371">
        <f t="shared" si="40"/>
        <v>0</v>
      </c>
      <c r="AG68" s="371">
        <f t="shared" si="40"/>
        <v>0</v>
      </c>
      <c r="AH68" s="371">
        <f t="shared" si="40"/>
        <v>0</v>
      </c>
      <c r="AI68" s="371">
        <f t="shared" si="40"/>
        <v>0</v>
      </c>
      <c r="AJ68" s="371">
        <f t="shared" si="40"/>
        <v>0</v>
      </c>
      <c r="AK68" s="371">
        <f t="shared" si="40"/>
        <v>0</v>
      </c>
      <c r="AL68" s="371">
        <f t="shared" si="40"/>
        <v>0</v>
      </c>
      <c r="AM68" s="371">
        <f t="shared" si="40"/>
        <v>0</v>
      </c>
      <c r="AN68" s="371">
        <f t="shared" si="40"/>
        <v>0</v>
      </c>
      <c r="AO68" s="371">
        <f t="shared" si="40"/>
        <v>0</v>
      </c>
      <c r="AP68" s="371">
        <f t="shared" si="21"/>
        <v>0</v>
      </c>
      <c r="AQ68" s="371">
        <f t="shared" si="41"/>
        <v>0</v>
      </c>
      <c r="AR68" s="371">
        <f t="shared" si="41"/>
        <v>0</v>
      </c>
      <c r="AS68" s="371">
        <f t="shared" si="41"/>
        <v>0</v>
      </c>
      <c r="AT68" s="371">
        <f t="shared" si="41"/>
        <v>0</v>
      </c>
      <c r="AU68" s="371">
        <f t="shared" si="41"/>
        <v>0</v>
      </c>
      <c r="AV68" s="371">
        <f t="shared" si="41"/>
        <v>0</v>
      </c>
      <c r="AW68" s="371">
        <f t="shared" si="41"/>
        <v>0</v>
      </c>
      <c r="AX68" s="371">
        <f t="shared" si="41"/>
        <v>0</v>
      </c>
      <c r="AY68" s="371">
        <f t="shared" si="41"/>
        <v>0</v>
      </c>
      <c r="AZ68" s="371">
        <f t="shared" si="41"/>
        <v>0</v>
      </c>
      <c r="BA68" s="371">
        <f t="shared" si="42"/>
        <v>0</v>
      </c>
      <c r="BB68" s="371">
        <f t="shared" si="42"/>
        <v>0</v>
      </c>
      <c r="BC68" s="371">
        <f t="shared" si="42"/>
        <v>0</v>
      </c>
      <c r="BD68" s="371">
        <f t="shared" si="42"/>
        <v>0</v>
      </c>
      <c r="BE68" s="371">
        <f t="shared" si="42"/>
        <v>0</v>
      </c>
      <c r="BF68" s="371">
        <f t="shared" si="42"/>
        <v>0</v>
      </c>
      <c r="BG68" s="371">
        <f t="shared" si="42"/>
        <v>0</v>
      </c>
      <c r="BH68" s="371">
        <f t="shared" si="42"/>
        <v>0</v>
      </c>
      <c r="BI68" s="371">
        <f t="shared" si="42"/>
        <v>0</v>
      </c>
      <c r="BJ68" s="371">
        <f t="shared" si="42"/>
        <v>0</v>
      </c>
      <c r="BK68" s="371">
        <f t="shared" si="43"/>
        <v>0</v>
      </c>
      <c r="BL68" s="371">
        <f t="shared" si="43"/>
        <v>0</v>
      </c>
      <c r="BM68" s="371">
        <f t="shared" si="43"/>
        <v>0</v>
      </c>
      <c r="BN68" s="371">
        <f t="shared" si="43"/>
        <v>0</v>
      </c>
      <c r="BO68" s="371">
        <f t="shared" si="43"/>
        <v>0</v>
      </c>
      <c r="BP68" s="371">
        <f t="shared" si="43"/>
        <v>0</v>
      </c>
      <c r="BQ68" s="371">
        <f t="shared" si="43"/>
        <v>0</v>
      </c>
      <c r="BR68" s="371">
        <f t="shared" si="43"/>
        <v>0</v>
      </c>
      <c r="BS68" s="371">
        <f t="shared" si="43"/>
        <v>0</v>
      </c>
      <c r="BT68" s="371">
        <f t="shared" si="43"/>
        <v>0</v>
      </c>
      <c r="BU68" s="371">
        <f t="shared" si="44"/>
        <v>0</v>
      </c>
      <c r="BV68" s="371">
        <f t="shared" si="44"/>
        <v>0</v>
      </c>
      <c r="BW68" s="371">
        <f t="shared" si="44"/>
        <v>0</v>
      </c>
      <c r="BX68" s="371">
        <f t="shared" si="44"/>
        <v>0</v>
      </c>
      <c r="BY68" s="371">
        <f t="shared" si="44"/>
        <v>0</v>
      </c>
      <c r="BZ68" s="371">
        <f t="shared" si="44"/>
        <v>0</v>
      </c>
    </row>
    <row r="69" spans="2:78" ht="21" hidden="1" customHeight="1" outlineLevel="3">
      <c r="B69" s="367"/>
      <c r="C69" s="370"/>
      <c r="D69" s="374">
        <f t="shared" si="26"/>
        <v>46081</v>
      </c>
      <c r="E69" s="373" cm="1">
        <f t="array" ref="E69">IF($D69=LatestMonthOfActuals,INDEX($AE$25:$BZ$25,0,MATCH($D69,$AE$8:$BZ$8,0)),0)</f>
        <v>0</v>
      </c>
      <c r="F69" s="359"/>
      <c r="G69" s="408">
        <f t="shared" si="34"/>
        <v>0</v>
      </c>
      <c r="H69" s="408">
        <f t="shared" si="34"/>
        <v>0</v>
      </c>
      <c r="I69" s="408">
        <f t="shared" si="34"/>
        <v>0</v>
      </c>
      <c r="J69" s="408">
        <f t="shared" si="34"/>
        <v>0</v>
      </c>
      <c r="K69" s="408"/>
      <c r="L69" s="408"/>
      <c r="M69" s="408">
        <f t="shared" si="46"/>
        <v>0</v>
      </c>
      <c r="N69" s="408">
        <f t="shared" si="46"/>
        <v>0</v>
      </c>
      <c r="O69" s="408">
        <f t="shared" si="46"/>
        <v>0</v>
      </c>
      <c r="P69" s="408">
        <f t="shared" si="46"/>
        <v>0</v>
      </c>
      <c r="Q69" s="408">
        <f t="shared" si="46"/>
        <v>0</v>
      </c>
      <c r="R69" s="408">
        <f t="shared" si="46"/>
        <v>0</v>
      </c>
      <c r="S69" s="408">
        <f t="shared" si="46"/>
        <v>0</v>
      </c>
      <c r="T69" s="408">
        <f t="shared" si="46"/>
        <v>0</v>
      </c>
      <c r="U69" s="408">
        <f t="shared" si="46"/>
        <v>0</v>
      </c>
      <c r="V69" s="408">
        <f t="shared" si="46"/>
        <v>0</v>
      </c>
      <c r="W69" s="408">
        <f t="shared" si="46"/>
        <v>0</v>
      </c>
      <c r="X69" s="408">
        <f t="shared" si="46"/>
        <v>0</v>
      </c>
      <c r="Y69" s="408">
        <f t="shared" si="46"/>
        <v>0</v>
      </c>
      <c r="Z69" s="408">
        <f t="shared" si="46"/>
        <v>0</v>
      </c>
      <c r="AA69" s="408">
        <f t="shared" si="46"/>
        <v>0</v>
      </c>
      <c r="AB69" s="408">
        <f t="shared" si="46"/>
        <v>0</v>
      </c>
      <c r="AD69" s="359"/>
      <c r="AE69" s="371">
        <f t="shared" si="40"/>
        <v>0</v>
      </c>
      <c r="AF69" s="371">
        <f t="shared" si="40"/>
        <v>0</v>
      </c>
      <c r="AG69" s="371">
        <f t="shared" si="40"/>
        <v>0</v>
      </c>
      <c r="AH69" s="371">
        <f t="shared" si="40"/>
        <v>0</v>
      </c>
      <c r="AI69" s="371">
        <f t="shared" si="40"/>
        <v>0</v>
      </c>
      <c r="AJ69" s="371">
        <f t="shared" si="40"/>
        <v>0</v>
      </c>
      <c r="AK69" s="371">
        <f t="shared" si="40"/>
        <v>0</v>
      </c>
      <c r="AL69" s="371">
        <f t="shared" si="40"/>
        <v>0</v>
      </c>
      <c r="AM69" s="371">
        <f t="shared" si="40"/>
        <v>0</v>
      </c>
      <c r="AN69" s="371">
        <f t="shared" si="40"/>
        <v>0</v>
      </c>
      <c r="AO69" s="371">
        <f t="shared" si="40"/>
        <v>0</v>
      </c>
      <c r="AP69" s="371">
        <f t="shared" si="21"/>
        <v>0</v>
      </c>
      <c r="AQ69" s="371">
        <f t="shared" si="41"/>
        <v>0</v>
      </c>
      <c r="AR69" s="371">
        <f t="shared" si="41"/>
        <v>0</v>
      </c>
      <c r="AS69" s="371">
        <f t="shared" si="41"/>
        <v>0</v>
      </c>
      <c r="AT69" s="371">
        <f t="shared" si="41"/>
        <v>0</v>
      </c>
      <c r="AU69" s="371">
        <f t="shared" si="41"/>
        <v>0</v>
      </c>
      <c r="AV69" s="371">
        <f t="shared" si="41"/>
        <v>0</v>
      </c>
      <c r="AW69" s="371">
        <f t="shared" si="41"/>
        <v>0</v>
      </c>
      <c r="AX69" s="371">
        <f t="shared" si="41"/>
        <v>0</v>
      </c>
      <c r="AY69" s="371">
        <f t="shared" si="41"/>
        <v>0</v>
      </c>
      <c r="AZ69" s="371">
        <f t="shared" si="41"/>
        <v>0</v>
      </c>
      <c r="BA69" s="371">
        <f t="shared" si="42"/>
        <v>0</v>
      </c>
      <c r="BB69" s="371">
        <f t="shared" si="42"/>
        <v>0</v>
      </c>
      <c r="BC69" s="371">
        <f t="shared" si="42"/>
        <v>0</v>
      </c>
      <c r="BD69" s="371">
        <f t="shared" si="42"/>
        <v>0</v>
      </c>
      <c r="BE69" s="371">
        <f t="shared" si="42"/>
        <v>0</v>
      </c>
      <c r="BF69" s="371">
        <f t="shared" si="42"/>
        <v>0</v>
      </c>
      <c r="BG69" s="371">
        <f t="shared" si="42"/>
        <v>0</v>
      </c>
      <c r="BH69" s="371">
        <f t="shared" si="42"/>
        <v>0</v>
      </c>
      <c r="BI69" s="371">
        <f t="shared" si="42"/>
        <v>0</v>
      </c>
      <c r="BJ69" s="371">
        <f t="shared" si="42"/>
        <v>0</v>
      </c>
      <c r="BK69" s="371">
        <f t="shared" si="43"/>
        <v>0</v>
      </c>
      <c r="BL69" s="371">
        <f t="shared" si="43"/>
        <v>0</v>
      </c>
      <c r="BM69" s="371">
        <f t="shared" si="43"/>
        <v>0</v>
      </c>
      <c r="BN69" s="371">
        <f t="shared" si="43"/>
        <v>0</v>
      </c>
      <c r="BO69" s="371">
        <f t="shared" si="43"/>
        <v>0</v>
      </c>
      <c r="BP69" s="371">
        <f t="shared" si="43"/>
        <v>0</v>
      </c>
      <c r="BQ69" s="371">
        <f t="shared" si="43"/>
        <v>0</v>
      </c>
      <c r="BR69" s="371">
        <f t="shared" si="43"/>
        <v>0</v>
      </c>
      <c r="BS69" s="371">
        <f t="shared" si="43"/>
        <v>0</v>
      </c>
      <c r="BT69" s="371">
        <f t="shared" si="43"/>
        <v>0</v>
      </c>
      <c r="BU69" s="371">
        <f t="shared" si="44"/>
        <v>0</v>
      </c>
      <c r="BV69" s="371">
        <f t="shared" si="44"/>
        <v>0</v>
      </c>
      <c r="BW69" s="371">
        <f t="shared" si="44"/>
        <v>0</v>
      </c>
      <c r="BX69" s="371">
        <f t="shared" si="44"/>
        <v>0</v>
      </c>
      <c r="BY69" s="371">
        <f t="shared" si="44"/>
        <v>0</v>
      </c>
      <c r="BZ69" s="371">
        <f t="shared" si="44"/>
        <v>0</v>
      </c>
    </row>
    <row r="70" spans="2:78" ht="21" hidden="1" customHeight="1" outlineLevel="3">
      <c r="B70" s="367"/>
      <c r="C70" s="370"/>
      <c r="D70" s="374">
        <f t="shared" si="26"/>
        <v>46112</v>
      </c>
      <c r="E70" s="373" cm="1">
        <f t="array" ref="E70">IF($D70=LatestMonthOfActuals,INDEX($AE$25:$BZ$25,0,MATCH($D70,$AE$8:$BZ$8,0)),0)</f>
        <v>0</v>
      </c>
      <c r="F70" s="359"/>
      <c r="G70" s="408">
        <f t="shared" si="34"/>
        <v>0</v>
      </c>
      <c r="H70" s="408">
        <f t="shared" si="34"/>
        <v>0</v>
      </c>
      <c r="I70" s="408">
        <f t="shared" si="34"/>
        <v>0</v>
      </c>
      <c r="J70" s="408">
        <f t="shared" si="34"/>
        <v>0</v>
      </c>
      <c r="K70" s="408"/>
      <c r="L70" s="408"/>
      <c r="M70" s="408">
        <f t="shared" si="46"/>
        <v>0</v>
      </c>
      <c r="N70" s="408">
        <f t="shared" si="46"/>
        <v>0</v>
      </c>
      <c r="O70" s="408">
        <f t="shared" si="46"/>
        <v>0</v>
      </c>
      <c r="P70" s="408">
        <f t="shared" si="46"/>
        <v>0</v>
      </c>
      <c r="Q70" s="408">
        <f t="shared" si="46"/>
        <v>0</v>
      </c>
      <c r="R70" s="408">
        <f t="shared" si="46"/>
        <v>0</v>
      </c>
      <c r="S70" s="408">
        <f t="shared" si="46"/>
        <v>0</v>
      </c>
      <c r="T70" s="408">
        <f t="shared" si="46"/>
        <v>0</v>
      </c>
      <c r="U70" s="408">
        <f t="shared" si="46"/>
        <v>0</v>
      </c>
      <c r="V70" s="408">
        <f t="shared" si="46"/>
        <v>0</v>
      </c>
      <c r="W70" s="408">
        <f t="shared" si="46"/>
        <v>0</v>
      </c>
      <c r="X70" s="408">
        <f t="shared" si="46"/>
        <v>0</v>
      </c>
      <c r="Y70" s="408">
        <f t="shared" si="46"/>
        <v>0</v>
      </c>
      <c r="Z70" s="408">
        <f t="shared" si="46"/>
        <v>0</v>
      </c>
      <c r="AA70" s="408">
        <f t="shared" si="46"/>
        <v>0</v>
      </c>
      <c r="AB70" s="408">
        <f t="shared" si="46"/>
        <v>0</v>
      </c>
      <c r="AD70" s="359"/>
      <c r="AE70" s="371">
        <f t="shared" si="40"/>
        <v>0</v>
      </c>
      <c r="AF70" s="371">
        <f t="shared" si="40"/>
        <v>0</v>
      </c>
      <c r="AG70" s="371">
        <f t="shared" si="40"/>
        <v>0</v>
      </c>
      <c r="AH70" s="371">
        <f t="shared" si="40"/>
        <v>0</v>
      </c>
      <c r="AI70" s="371">
        <f t="shared" si="40"/>
        <v>0</v>
      </c>
      <c r="AJ70" s="371">
        <f t="shared" si="40"/>
        <v>0</v>
      </c>
      <c r="AK70" s="371">
        <f t="shared" si="40"/>
        <v>0</v>
      </c>
      <c r="AL70" s="371">
        <f t="shared" si="40"/>
        <v>0</v>
      </c>
      <c r="AM70" s="371">
        <f t="shared" si="40"/>
        <v>0</v>
      </c>
      <c r="AN70" s="371">
        <f t="shared" si="40"/>
        <v>0</v>
      </c>
      <c r="AO70" s="371">
        <f t="shared" si="40"/>
        <v>0</v>
      </c>
      <c r="AP70" s="371">
        <f t="shared" si="21"/>
        <v>0</v>
      </c>
      <c r="AQ70" s="371">
        <f t="shared" si="41"/>
        <v>0</v>
      </c>
      <c r="AR70" s="371">
        <f t="shared" si="41"/>
        <v>0</v>
      </c>
      <c r="AS70" s="371">
        <f t="shared" si="41"/>
        <v>0</v>
      </c>
      <c r="AT70" s="371">
        <f t="shared" si="41"/>
        <v>0</v>
      </c>
      <c r="AU70" s="371">
        <f t="shared" si="41"/>
        <v>0</v>
      </c>
      <c r="AV70" s="371">
        <f t="shared" si="41"/>
        <v>0</v>
      </c>
      <c r="AW70" s="371">
        <f t="shared" si="41"/>
        <v>0</v>
      </c>
      <c r="AX70" s="371">
        <f t="shared" si="41"/>
        <v>0</v>
      </c>
      <c r="AY70" s="371">
        <f t="shared" si="41"/>
        <v>0</v>
      </c>
      <c r="AZ70" s="371">
        <f t="shared" si="41"/>
        <v>0</v>
      </c>
      <c r="BA70" s="371">
        <f t="shared" si="42"/>
        <v>0</v>
      </c>
      <c r="BB70" s="371">
        <f t="shared" si="42"/>
        <v>0</v>
      </c>
      <c r="BC70" s="371">
        <f t="shared" si="42"/>
        <v>0</v>
      </c>
      <c r="BD70" s="371">
        <f t="shared" si="42"/>
        <v>0</v>
      </c>
      <c r="BE70" s="371">
        <f t="shared" si="42"/>
        <v>0</v>
      </c>
      <c r="BF70" s="371">
        <f t="shared" si="42"/>
        <v>0</v>
      </c>
      <c r="BG70" s="371">
        <f t="shared" si="42"/>
        <v>0</v>
      </c>
      <c r="BH70" s="371">
        <f t="shared" si="42"/>
        <v>0</v>
      </c>
      <c r="BI70" s="371">
        <f t="shared" si="42"/>
        <v>0</v>
      </c>
      <c r="BJ70" s="371">
        <f t="shared" si="42"/>
        <v>0</v>
      </c>
      <c r="BK70" s="371">
        <f t="shared" si="43"/>
        <v>0</v>
      </c>
      <c r="BL70" s="371">
        <f t="shared" si="43"/>
        <v>0</v>
      </c>
      <c r="BM70" s="371">
        <f t="shared" si="43"/>
        <v>0</v>
      </c>
      <c r="BN70" s="371">
        <f t="shared" si="43"/>
        <v>0</v>
      </c>
      <c r="BO70" s="371">
        <f t="shared" si="43"/>
        <v>0</v>
      </c>
      <c r="BP70" s="371">
        <f t="shared" si="43"/>
        <v>0</v>
      </c>
      <c r="BQ70" s="371">
        <f t="shared" si="43"/>
        <v>0</v>
      </c>
      <c r="BR70" s="371">
        <f t="shared" si="43"/>
        <v>0</v>
      </c>
      <c r="BS70" s="371">
        <f t="shared" si="43"/>
        <v>0</v>
      </c>
      <c r="BT70" s="371">
        <f t="shared" si="43"/>
        <v>0</v>
      </c>
      <c r="BU70" s="371">
        <f t="shared" si="44"/>
        <v>0</v>
      </c>
      <c r="BV70" s="371">
        <f t="shared" si="44"/>
        <v>0</v>
      </c>
      <c r="BW70" s="371">
        <f t="shared" si="44"/>
        <v>0</v>
      </c>
      <c r="BX70" s="371">
        <f t="shared" si="44"/>
        <v>0</v>
      </c>
      <c r="BY70" s="371">
        <f t="shared" si="44"/>
        <v>0</v>
      </c>
      <c r="BZ70" s="371">
        <f t="shared" si="44"/>
        <v>0</v>
      </c>
    </row>
    <row r="71" spans="2:78" ht="21" hidden="1" customHeight="1" outlineLevel="3">
      <c r="B71" s="367"/>
      <c r="C71" s="370"/>
      <c r="D71" s="374">
        <f t="shared" si="26"/>
        <v>46142</v>
      </c>
      <c r="E71" s="373" cm="1">
        <f t="array" ref="E71">IF($D71=LatestMonthOfActuals,INDEX($AE$25:$BZ$25,0,MATCH($D71,$AE$8:$BZ$8,0)),0)</f>
        <v>0</v>
      </c>
      <c r="F71" s="359"/>
      <c r="G71" s="408">
        <f t="shared" si="34"/>
        <v>0</v>
      </c>
      <c r="H71" s="408">
        <f t="shared" si="34"/>
        <v>0</v>
      </c>
      <c r="I71" s="408">
        <f t="shared" si="34"/>
        <v>0</v>
      </c>
      <c r="J71" s="408">
        <f t="shared" si="34"/>
        <v>0</v>
      </c>
      <c r="K71" s="408"/>
      <c r="L71" s="408"/>
      <c r="M71" s="408">
        <f t="shared" si="46"/>
        <v>0</v>
      </c>
      <c r="N71" s="408">
        <f t="shared" si="46"/>
        <v>0</v>
      </c>
      <c r="O71" s="408">
        <f t="shared" si="46"/>
        <v>0</v>
      </c>
      <c r="P71" s="408">
        <f t="shared" si="46"/>
        <v>0</v>
      </c>
      <c r="Q71" s="408">
        <f t="shared" si="46"/>
        <v>0</v>
      </c>
      <c r="R71" s="408">
        <f t="shared" si="46"/>
        <v>0</v>
      </c>
      <c r="S71" s="408">
        <f t="shared" si="46"/>
        <v>0</v>
      </c>
      <c r="T71" s="408">
        <f t="shared" si="46"/>
        <v>0</v>
      </c>
      <c r="U71" s="408">
        <f t="shared" si="46"/>
        <v>0</v>
      </c>
      <c r="V71" s="408">
        <f t="shared" si="46"/>
        <v>0</v>
      </c>
      <c r="W71" s="408">
        <f t="shared" si="46"/>
        <v>0</v>
      </c>
      <c r="X71" s="408">
        <f t="shared" si="46"/>
        <v>0</v>
      </c>
      <c r="Y71" s="408">
        <f t="shared" si="46"/>
        <v>0</v>
      </c>
      <c r="Z71" s="408">
        <f t="shared" si="46"/>
        <v>0</v>
      </c>
      <c r="AA71" s="408">
        <f t="shared" si="46"/>
        <v>0</v>
      </c>
      <c r="AB71" s="408">
        <f t="shared" si="46"/>
        <v>0</v>
      </c>
      <c r="AD71" s="359"/>
      <c r="AE71" s="371">
        <f t="shared" si="40"/>
        <v>0</v>
      </c>
      <c r="AF71" s="371">
        <f t="shared" si="40"/>
        <v>0</v>
      </c>
      <c r="AG71" s="371">
        <f t="shared" si="40"/>
        <v>0</v>
      </c>
      <c r="AH71" s="371">
        <f t="shared" si="40"/>
        <v>0</v>
      </c>
      <c r="AI71" s="371">
        <f t="shared" si="40"/>
        <v>0</v>
      </c>
      <c r="AJ71" s="371">
        <f t="shared" si="40"/>
        <v>0</v>
      </c>
      <c r="AK71" s="371">
        <f t="shared" si="40"/>
        <v>0</v>
      </c>
      <c r="AL71" s="371">
        <f t="shared" si="40"/>
        <v>0</v>
      </c>
      <c r="AM71" s="371">
        <f t="shared" si="40"/>
        <v>0</v>
      </c>
      <c r="AN71" s="371">
        <f t="shared" si="40"/>
        <v>0</v>
      </c>
      <c r="AO71" s="371">
        <f t="shared" si="40"/>
        <v>0</v>
      </c>
      <c r="AP71" s="371">
        <f t="shared" si="21"/>
        <v>0</v>
      </c>
      <c r="AQ71" s="371">
        <f t="shared" si="41"/>
        <v>0</v>
      </c>
      <c r="AR71" s="371">
        <f t="shared" si="41"/>
        <v>0</v>
      </c>
      <c r="AS71" s="371">
        <f t="shared" si="41"/>
        <v>0</v>
      </c>
      <c r="AT71" s="371">
        <f t="shared" si="41"/>
        <v>0</v>
      </c>
      <c r="AU71" s="371">
        <f t="shared" si="41"/>
        <v>0</v>
      </c>
      <c r="AV71" s="371">
        <f t="shared" si="41"/>
        <v>0</v>
      </c>
      <c r="AW71" s="371">
        <f t="shared" si="41"/>
        <v>0</v>
      </c>
      <c r="AX71" s="371">
        <f t="shared" si="41"/>
        <v>0</v>
      </c>
      <c r="AY71" s="371">
        <f t="shared" si="41"/>
        <v>0</v>
      </c>
      <c r="AZ71" s="371">
        <f t="shared" si="41"/>
        <v>0</v>
      </c>
      <c r="BA71" s="371">
        <f t="shared" si="42"/>
        <v>0</v>
      </c>
      <c r="BB71" s="371">
        <f t="shared" si="42"/>
        <v>0</v>
      </c>
      <c r="BC71" s="371">
        <f t="shared" si="42"/>
        <v>0</v>
      </c>
      <c r="BD71" s="371">
        <f t="shared" si="42"/>
        <v>0</v>
      </c>
      <c r="BE71" s="371">
        <f t="shared" si="42"/>
        <v>0</v>
      </c>
      <c r="BF71" s="371">
        <f t="shared" si="42"/>
        <v>0</v>
      </c>
      <c r="BG71" s="371">
        <f t="shared" si="42"/>
        <v>0</v>
      </c>
      <c r="BH71" s="371">
        <f t="shared" si="42"/>
        <v>0</v>
      </c>
      <c r="BI71" s="371">
        <f t="shared" si="42"/>
        <v>0</v>
      </c>
      <c r="BJ71" s="371">
        <f t="shared" si="42"/>
        <v>0</v>
      </c>
      <c r="BK71" s="371">
        <f t="shared" si="43"/>
        <v>0</v>
      </c>
      <c r="BL71" s="371">
        <f t="shared" si="43"/>
        <v>0</v>
      </c>
      <c r="BM71" s="371">
        <f t="shared" si="43"/>
        <v>0</v>
      </c>
      <c r="BN71" s="371">
        <f t="shared" si="43"/>
        <v>0</v>
      </c>
      <c r="BO71" s="371">
        <f t="shared" si="43"/>
        <v>0</v>
      </c>
      <c r="BP71" s="371">
        <f t="shared" si="43"/>
        <v>0</v>
      </c>
      <c r="BQ71" s="371">
        <f t="shared" si="43"/>
        <v>0</v>
      </c>
      <c r="BR71" s="371">
        <f t="shared" si="43"/>
        <v>0</v>
      </c>
      <c r="BS71" s="371">
        <f t="shared" si="43"/>
        <v>0</v>
      </c>
      <c r="BT71" s="371">
        <f t="shared" si="43"/>
        <v>0</v>
      </c>
      <c r="BU71" s="371">
        <f t="shared" si="44"/>
        <v>0</v>
      </c>
      <c r="BV71" s="371">
        <f t="shared" si="44"/>
        <v>0</v>
      </c>
      <c r="BW71" s="371">
        <f t="shared" si="44"/>
        <v>0</v>
      </c>
      <c r="BX71" s="371">
        <f t="shared" si="44"/>
        <v>0</v>
      </c>
      <c r="BY71" s="371">
        <f t="shared" si="44"/>
        <v>0</v>
      </c>
      <c r="BZ71" s="371">
        <f t="shared" si="44"/>
        <v>0</v>
      </c>
    </row>
    <row r="72" spans="2:78" ht="21" hidden="1" customHeight="1" outlineLevel="3">
      <c r="B72" s="367"/>
      <c r="C72" s="370"/>
      <c r="D72" s="374">
        <f t="shared" si="26"/>
        <v>46173</v>
      </c>
      <c r="E72" s="373" cm="1">
        <f t="array" ref="E72">IF($D72=LatestMonthOfActuals,INDEX($AE$25:$BZ$25,0,MATCH($D72,$AE$8:$BZ$8,0)),0)</f>
        <v>0</v>
      </c>
      <c r="F72" s="359"/>
      <c r="G72" s="408">
        <f t="shared" ref="G72:J79" si="47">SUMIFS($AE72:$BZ72,$AE$4:$BZ$4,"&gt;="&amp;G$4,$AE$5:$BZ$5,"&lt;="&amp;G$5)</f>
        <v>0</v>
      </c>
      <c r="H72" s="408">
        <f t="shared" si="47"/>
        <v>0</v>
      </c>
      <c r="I72" s="408">
        <f t="shared" si="47"/>
        <v>0</v>
      </c>
      <c r="J72" s="408">
        <f t="shared" si="47"/>
        <v>0</v>
      </c>
      <c r="K72" s="408"/>
      <c r="L72" s="408"/>
      <c r="M72" s="408">
        <f t="shared" si="46"/>
        <v>0</v>
      </c>
      <c r="N72" s="408">
        <f t="shared" si="46"/>
        <v>0</v>
      </c>
      <c r="O72" s="408">
        <f t="shared" si="46"/>
        <v>0</v>
      </c>
      <c r="P72" s="408">
        <f t="shared" si="46"/>
        <v>0</v>
      </c>
      <c r="Q72" s="408">
        <f t="shared" si="46"/>
        <v>0</v>
      </c>
      <c r="R72" s="408">
        <f t="shared" si="46"/>
        <v>0</v>
      </c>
      <c r="S72" s="408">
        <f t="shared" si="46"/>
        <v>0</v>
      </c>
      <c r="T72" s="408">
        <f t="shared" si="46"/>
        <v>0</v>
      </c>
      <c r="U72" s="408">
        <f t="shared" si="46"/>
        <v>0</v>
      </c>
      <c r="V72" s="408">
        <f t="shared" si="46"/>
        <v>0</v>
      </c>
      <c r="W72" s="408">
        <f t="shared" si="46"/>
        <v>0</v>
      </c>
      <c r="X72" s="408">
        <f t="shared" si="46"/>
        <v>0</v>
      </c>
      <c r="Y72" s="408">
        <f t="shared" si="46"/>
        <v>0</v>
      </c>
      <c r="Z72" s="408">
        <f t="shared" si="46"/>
        <v>0</v>
      </c>
      <c r="AA72" s="408">
        <f t="shared" si="46"/>
        <v>0</v>
      </c>
      <c r="AB72" s="408">
        <f t="shared" si="46"/>
        <v>0</v>
      </c>
      <c r="AD72" s="359"/>
      <c r="AE72" s="371">
        <f t="shared" ref="AE72:AO79" si="48">IFERROR(IF(AE$8&gt;=$D72,$E72*(INDEX($E$12:$E$16,(MATCH(MATCH(AE$8,$D$32:$D$79,0)-MATCH($D72,$D$32:$D$79,0),$D$12:$D$16,0)))),0),0)</f>
        <v>0</v>
      </c>
      <c r="AF72" s="371">
        <f t="shared" si="48"/>
        <v>0</v>
      </c>
      <c r="AG72" s="371">
        <f t="shared" si="48"/>
        <v>0</v>
      </c>
      <c r="AH72" s="371">
        <f t="shared" si="48"/>
        <v>0</v>
      </c>
      <c r="AI72" s="371">
        <f t="shared" si="48"/>
        <v>0</v>
      </c>
      <c r="AJ72" s="371">
        <f t="shared" si="48"/>
        <v>0</v>
      </c>
      <c r="AK72" s="371">
        <f t="shared" si="48"/>
        <v>0</v>
      </c>
      <c r="AL72" s="371">
        <f t="shared" si="48"/>
        <v>0</v>
      </c>
      <c r="AM72" s="371">
        <f t="shared" si="48"/>
        <v>0</v>
      </c>
      <c r="AN72" s="371">
        <f t="shared" si="48"/>
        <v>0</v>
      </c>
      <c r="AO72" s="371">
        <f t="shared" si="48"/>
        <v>0</v>
      </c>
      <c r="AP72" s="371">
        <f t="shared" si="21"/>
        <v>0</v>
      </c>
      <c r="AQ72" s="371">
        <f t="shared" ref="AQ72:AZ79" si="49">IFERROR(IF(AQ$8&gt;=$D72,$E72*(INDEX($E$12:$E$16,(MATCH(MATCH(AQ$8,$D$32:$D$79,0)-MATCH($D72,$D$32:$D$79,0),$D$12:$D$16,0)))),0),0)</f>
        <v>0</v>
      </c>
      <c r="AR72" s="371">
        <f t="shared" si="49"/>
        <v>0</v>
      </c>
      <c r="AS72" s="371">
        <f t="shared" si="49"/>
        <v>0</v>
      </c>
      <c r="AT72" s="371">
        <f t="shared" si="49"/>
        <v>0</v>
      </c>
      <c r="AU72" s="371">
        <f t="shared" si="49"/>
        <v>0</v>
      </c>
      <c r="AV72" s="371">
        <f t="shared" si="49"/>
        <v>0</v>
      </c>
      <c r="AW72" s="371">
        <f t="shared" si="49"/>
        <v>0</v>
      </c>
      <c r="AX72" s="371">
        <f t="shared" si="49"/>
        <v>0</v>
      </c>
      <c r="AY72" s="371">
        <f t="shared" si="49"/>
        <v>0</v>
      </c>
      <c r="AZ72" s="371">
        <f t="shared" si="49"/>
        <v>0</v>
      </c>
      <c r="BA72" s="371">
        <f t="shared" ref="BA72:BJ79" si="50">IFERROR(IF(BA$8&gt;=$D72,$E72*(INDEX($E$12:$E$16,(MATCH(MATCH(BA$8,$D$32:$D$79,0)-MATCH($D72,$D$32:$D$79,0),$D$12:$D$16,0)))),0),0)</f>
        <v>0</v>
      </c>
      <c r="BB72" s="371">
        <f t="shared" si="50"/>
        <v>0</v>
      </c>
      <c r="BC72" s="371">
        <f t="shared" si="50"/>
        <v>0</v>
      </c>
      <c r="BD72" s="371">
        <f t="shared" si="50"/>
        <v>0</v>
      </c>
      <c r="BE72" s="371">
        <f t="shared" si="50"/>
        <v>0</v>
      </c>
      <c r="BF72" s="371">
        <f t="shared" si="50"/>
        <v>0</v>
      </c>
      <c r="BG72" s="371">
        <f t="shared" si="50"/>
        <v>0</v>
      </c>
      <c r="BH72" s="371">
        <f t="shared" si="50"/>
        <v>0</v>
      </c>
      <c r="BI72" s="371">
        <f t="shared" si="50"/>
        <v>0</v>
      </c>
      <c r="BJ72" s="371">
        <f t="shared" si="50"/>
        <v>0</v>
      </c>
      <c r="BK72" s="371">
        <f t="shared" ref="BK72:BT79" si="51">IFERROR(IF(BK$8&gt;=$D72,$E72*(INDEX($E$12:$E$16,(MATCH(MATCH(BK$8,$D$32:$D$79,0)-MATCH($D72,$D$32:$D$79,0),$D$12:$D$16,0)))),0),0)</f>
        <v>0</v>
      </c>
      <c r="BL72" s="371">
        <f t="shared" si="51"/>
        <v>0</v>
      </c>
      <c r="BM72" s="371">
        <f t="shared" si="51"/>
        <v>0</v>
      </c>
      <c r="BN72" s="371">
        <f t="shared" si="51"/>
        <v>0</v>
      </c>
      <c r="BO72" s="371">
        <f t="shared" si="51"/>
        <v>0</v>
      </c>
      <c r="BP72" s="371">
        <f t="shared" si="51"/>
        <v>0</v>
      </c>
      <c r="BQ72" s="371">
        <f t="shared" si="51"/>
        <v>0</v>
      </c>
      <c r="BR72" s="371">
        <f t="shared" si="51"/>
        <v>0</v>
      </c>
      <c r="BS72" s="371">
        <f t="shared" si="51"/>
        <v>0</v>
      </c>
      <c r="BT72" s="371">
        <f t="shared" si="51"/>
        <v>0</v>
      </c>
      <c r="BU72" s="371">
        <f t="shared" ref="BU72:BZ79" si="52">IFERROR(IF(BU$8&gt;=$D72,$E72*(INDEX($E$12:$E$16,(MATCH(MATCH(BU$8,$D$32:$D$79,0)-MATCH($D72,$D$32:$D$79,0),$D$12:$D$16,0)))),0),0)</f>
        <v>0</v>
      </c>
      <c r="BV72" s="371">
        <f t="shared" si="52"/>
        <v>0</v>
      </c>
      <c r="BW72" s="371">
        <f t="shared" si="52"/>
        <v>0</v>
      </c>
      <c r="BX72" s="371">
        <f t="shared" si="52"/>
        <v>0</v>
      </c>
      <c r="BY72" s="371">
        <f t="shared" si="52"/>
        <v>0</v>
      </c>
      <c r="BZ72" s="371">
        <f t="shared" si="52"/>
        <v>0</v>
      </c>
    </row>
    <row r="73" spans="2:78" ht="21" hidden="1" customHeight="1" outlineLevel="3">
      <c r="B73" s="367"/>
      <c r="C73" s="370"/>
      <c r="D73" s="374">
        <f t="shared" si="26"/>
        <v>46203</v>
      </c>
      <c r="E73" s="373" cm="1">
        <f t="array" ref="E73">IF($D73=LatestMonthOfActuals,INDEX($AE$25:$BZ$25,0,MATCH($D73,$AE$8:$BZ$8,0)),0)</f>
        <v>0</v>
      </c>
      <c r="F73" s="359"/>
      <c r="G73" s="408">
        <f t="shared" si="47"/>
        <v>0</v>
      </c>
      <c r="H73" s="408">
        <f t="shared" si="47"/>
        <v>0</v>
      </c>
      <c r="I73" s="408">
        <f t="shared" si="47"/>
        <v>0</v>
      </c>
      <c r="J73" s="408">
        <f t="shared" si="47"/>
        <v>0</v>
      </c>
      <c r="K73" s="408"/>
      <c r="L73" s="408"/>
      <c r="M73" s="408">
        <f t="shared" si="46"/>
        <v>0</v>
      </c>
      <c r="N73" s="408">
        <f t="shared" si="46"/>
        <v>0</v>
      </c>
      <c r="O73" s="408">
        <f t="shared" si="46"/>
        <v>0</v>
      </c>
      <c r="P73" s="408">
        <f t="shared" si="46"/>
        <v>0</v>
      </c>
      <c r="Q73" s="408">
        <f t="shared" si="46"/>
        <v>0</v>
      </c>
      <c r="R73" s="408">
        <f t="shared" si="46"/>
        <v>0</v>
      </c>
      <c r="S73" s="408">
        <f t="shared" si="46"/>
        <v>0</v>
      </c>
      <c r="T73" s="408">
        <f t="shared" si="46"/>
        <v>0</v>
      </c>
      <c r="U73" s="408">
        <f t="shared" si="46"/>
        <v>0</v>
      </c>
      <c r="V73" s="408">
        <f t="shared" si="46"/>
        <v>0</v>
      </c>
      <c r="W73" s="408">
        <f t="shared" si="46"/>
        <v>0</v>
      </c>
      <c r="X73" s="408">
        <f t="shared" si="46"/>
        <v>0</v>
      </c>
      <c r="Y73" s="408">
        <f t="shared" si="46"/>
        <v>0</v>
      </c>
      <c r="Z73" s="408">
        <f t="shared" si="46"/>
        <v>0</v>
      </c>
      <c r="AA73" s="408">
        <f t="shared" si="46"/>
        <v>0</v>
      </c>
      <c r="AB73" s="408">
        <f t="shared" si="46"/>
        <v>0</v>
      </c>
      <c r="AD73" s="359"/>
      <c r="AE73" s="371">
        <f t="shared" si="48"/>
        <v>0</v>
      </c>
      <c r="AF73" s="371">
        <f t="shared" si="48"/>
        <v>0</v>
      </c>
      <c r="AG73" s="371">
        <f t="shared" si="48"/>
        <v>0</v>
      </c>
      <c r="AH73" s="371">
        <f t="shared" si="48"/>
        <v>0</v>
      </c>
      <c r="AI73" s="371">
        <f t="shared" si="48"/>
        <v>0</v>
      </c>
      <c r="AJ73" s="371">
        <f t="shared" si="48"/>
        <v>0</v>
      </c>
      <c r="AK73" s="371">
        <f t="shared" si="48"/>
        <v>0</v>
      </c>
      <c r="AL73" s="371">
        <f t="shared" si="48"/>
        <v>0</v>
      </c>
      <c r="AM73" s="371">
        <f t="shared" si="48"/>
        <v>0</v>
      </c>
      <c r="AN73" s="371">
        <f t="shared" si="48"/>
        <v>0</v>
      </c>
      <c r="AO73" s="371">
        <f t="shared" si="48"/>
        <v>0</v>
      </c>
      <c r="AP73" s="371">
        <f t="shared" si="21"/>
        <v>0</v>
      </c>
      <c r="AQ73" s="371">
        <f t="shared" si="49"/>
        <v>0</v>
      </c>
      <c r="AR73" s="371">
        <f t="shared" si="49"/>
        <v>0</v>
      </c>
      <c r="AS73" s="371">
        <f t="shared" si="49"/>
        <v>0</v>
      </c>
      <c r="AT73" s="371">
        <f t="shared" si="49"/>
        <v>0</v>
      </c>
      <c r="AU73" s="371">
        <f t="shared" si="49"/>
        <v>0</v>
      </c>
      <c r="AV73" s="371">
        <f t="shared" si="49"/>
        <v>0</v>
      </c>
      <c r="AW73" s="371">
        <f t="shared" si="49"/>
        <v>0</v>
      </c>
      <c r="AX73" s="371">
        <f t="shared" si="49"/>
        <v>0</v>
      </c>
      <c r="AY73" s="371">
        <f t="shared" si="49"/>
        <v>0</v>
      </c>
      <c r="AZ73" s="371">
        <f t="shared" si="49"/>
        <v>0</v>
      </c>
      <c r="BA73" s="371">
        <f t="shared" si="50"/>
        <v>0</v>
      </c>
      <c r="BB73" s="371">
        <f t="shared" si="50"/>
        <v>0</v>
      </c>
      <c r="BC73" s="371">
        <f t="shared" si="50"/>
        <v>0</v>
      </c>
      <c r="BD73" s="371">
        <f t="shared" si="50"/>
        <v>0</v>
      </c>
      <c r="BE73" s="371">
        <f t="shared" si="50"/>
        <v>0</v>
      </c>
      <c r="BF73" s="371">
        <f t="shared" si="50"/>
        <v>0</v>
      </c>
      <c r="BG73" s="371">
        <f t="shared" si="50"/>
        <v>0</v>
      </c>
      <c r="BH73" s="371">
        <f t="shared" si="50"/>
        <v>0</v>
      </c>
      <c r="BI73" s="371">
        <f t="shared" si="50"/>
        <v>0</v>
      </c>
      <c r="BJ73" s="371">
        <f t="shared" si="50"/>
        <v>0</v>
      </c>
      <c r="BK73" s="371">
        <f t="shared" si="51"/>
        <v>0</v>
      </c>
      <c r="BL73" s="371">
        <f t="shared" si="51"/>
        <v>0</v>
      </c>
      <c r="BM73" s="371">
        <f t="shared" si="51"/>
        <v>0</v>
      </c>
      <c r="BN73" s="371">
        <f t="shared" si="51"/>
        <v>0</v>
      </c>
      <c r="BO73" s="371">
        <f t="shared" si="51"/>
        <v>0</v>
      </c>
      <c r="BP73" s="371">
        <f t="shared" si="51"/>
        <v>0</v>
      </c>
      <c r="BQ73" s="371">
        <f t="shared" si="51"/>
        <v>0</v>
      </c>
      <c r="BR73" s="371">
        <f t="shared" si="51"/>
        <v>0</v>
      </c>
      <c r="BS73" s="371">
        <f t="shared" si="51"/>
        <v>0</v>
      </c>
      <c r="BT73" s="371">
        <f t="shared" si="51"/>
        <v>0</v>
      </c>
      <c r="BU73" s="371">
        <f t="shared" si="52"/>
        <v>0</v>
      </c>
      <c r="BV73" s="371">
        <f t="shared" si="52"/>
        <v>0</v>
      </c>
      <c r="BW73" s="371">
        <f t="shared" si="52"/>
        <v>0</v>
      </c>
      <c r="BX73" s="371">
        <f t="shared" si="52"/>
        <v>0</v>
      </c>
      <c r="BY73" s="371">
        <f t="shared" si="52"/>
        <v>0</v>
      </c>
      <c r="BZ73" s="371">
        <f t="shared" si="52"/>
        <v>0</v>
      </c>
    </row>
    <row r="74" spans="2:78" ht="21" hidden="1" customHeight="1" outlineLevel="3">
      <c r="B74" s="367"/>
      <c r="C74" s="370"/>
      <c r="D74" s="374">
        <f t="shared" si="26"/>
        <v>46234</v>
      </c>
      <c r="E74" s="373" cm="1">
        <f t="array" ref="E74">IF($D74=LatestMonthOfActuals,INDEX($AE$25:$BZ$25,0,MATCH($D74,$AE$8:$BZ$8,0)),0)</f>
        <v>0</v>
      </c>
      <c r="F74" s="359"/>
      <c r="G74" s="408">
        <f t="shared" si="47"/>
        <v>0</v>
      </c>
      <c r="H74" s="408">
        <f t="shared" si="47"/>
        <v>0</v>
      </c>
      <c r="I74" s="408">
        <f t="shared" si="47"/>
        <v>0</v>
      </c>
      <c r="J74" s="408">
        <f t="shared" si="47"/>
        <v>0</v>
      </c>
      <c r="K74" s="408"/>
      <c r="L74" s="408"/>
      <c r="M74" s="408">
        <f t="shared" si="46"/>
        <v>0</v>
      </c>
      <c r="N74" s="408">
        <f t="shared" si="46"/>
        <v>0</v>
      </c>
      <c r="O74" s="408">
        <f t="shared" si="46"/>
        <v>0</v>
      </c>
      <c r="P74" s="408">
        <f t="shared" si="46"/>
        <v>0</v>
      </c>
      <c r="Q74" s="408">
        <f t="shared" si="46"/>
        <v>0</v>
      </c>
      <c r="R74" s="408">
        <f t="shared" si="46"/>
        <v>0</v>
      </c>
      <c r="S74" s="408">
        <f t="shared" si="46"/>
        <v>0</v>
      </c>
      <c r="T74" s="408">
        <f t="shared" si="46"/>
        <v>0</v>
      </c>
      <c r="U74" s="408">
        <f t="shared" si="46"/>
        <v>0</v>
      </c>
      <c r="V74" s="408">
        <f t="shared" si="46"/>
        <v>0</v>
      </c>
      <c r="W74" s="408">
        <f t="shared" si="46"/>
        <v>0</v>
      </c>
      <c r="X74" s="408">
        <f t="shared" si="46"/>
        <v>0</v>
      </c>
      <c r="Y74" s="408">
        <f t="shared" si="46"/>
        <v>0</v>
      </c>
      <c r="Z74" s="408">
        <f t="shared" si="46"/>
        <v>0</v>
      </c>
      <c r="AA74" s="408">
        <f t="shared" si="46"/>
        <v>0</v>
      </c>
      <c r="AB74" s="408">
        <f t="shared" si="46"/>
        <v>0</v>
      </c>
      <c r="AD74" s="359"/>
      <c r="AE74" s="371">
        <f t="shared" si="48"/>
        <v>0</v>
      </c>
      <c r="AF74" s="371">
        <f t="shared" si="48"/>
        <v>0</v>
      </c>
      <c r="AG74" s="371">
        <f t="shared" si="48"/>
        <v>0</v>
      </c>
      <c r="AH74" s="371">
        <f t="shared" si="48"/>
        <v>0</v>
      </c>
      <c r="AI74" s="371">
        <f t="shared" si="48"/>
        <v>0</v>
      </c>
      <c r="AJ74" s="371">
        <f t="shared" si="48"/>
        <v>0</v>
      </c>
      <c r="AK74" s="371">
        <f t="shared" si="48"/>
        <v>0</v>
      </c>
      <c r="AL74" s="371">
        <f t="shared" si="48"/>
        <v>0</v>
      </c>
      <c r="AM74" s="371">
        <f t="shared" si="48"/>
        <v>0</v>
      </c>
      <c r="AN74" s="371">
        <f t="shared" si="48"/>
        <v>0</v>
      </c>
      <c r="AO74" s="371">
        <f t="shared" si="48"/>
        <v>0</v>
      </c>
      <c r="AP74" s="371">
        <f t="shared" si="21"/>
        <v>0</v>
      </c>
      <c r="AQ74" s="371">
        <f t="shared" si="49"/>
        <v>0</v>
      </c>
      <c r="AR74" s="371">
        <f t="shared" si="49"/>
        <v>0</v>
      </c>
      <c r="AS74" s="371">
        <f t="shared" si="49"/>
        <v>0</v>
      </c>
      <c r="AT74" s="371">
        <f t="shared" si="49"/>
        <v>0</v>
      </c>
      <c r="AU74" s="371">
        <f t="shared" si="49"/>
        <v>0</v>
      </c>
      <c r="AV74" s="371">
        <f t="shared" si="49"/>
        <v>0</v>
      </c>
      <c r="AW74" s="371">
        <f t="shared" si="49"/>
        <v>0</v>
      </c>
      <c r="AX74" s="371">
        <f t="shared" si="49"/>
        <v>0</v>
      </c>
      <c r="AY74" s="371">
        <f t="shared" si="49"/>
        <v>0</v>
      </c>
      <c r="AZ74" s="371">
        <f t="shared" si="49"/>
        <v>0</v>
      </c>
      <c r="BA74" s="371">
        <f t="shared" si="50"/>
        <v>0</v>
      </c>
      <c r="BB74" s="371">
        <f t="shared" si="50"/>
        <v>0</v>
      </c>
      <c r="BC74" s="371">
        <f t="shared" si="50"/>
        <v>0</v>
      </c>
      <c r="BD74" s="371">
        <f t="shared" si="50"/>
        <v>0</v>
      </c>
      <c r="BE74" s="371">
        <f t="shared" si="50"/>
        <v>0</v>
      </c>
      <c r="BF74" s="371">
        <f t="shared" si="50"/>
        <v>0</v>
      </c>
      <c r="BG74" s="371">
        <f t="shared" si="50"/>
        <v>0</v>
      </c>
      <c r="BH74" s="371">
        <f t="shared" si="50"/>
        <v>0</v>
      </c>
      <c r="BI74" s="371">
        <f t="shared" si="50"/>
        <v>0</v>
      </c>
      <c r="BJ74" s="371">
        <f t="shared" si="50"/>
        <v>0</v>
      </c>
      <c r="BK74" s="371">
        <f t="shared" si="51"/>
        <v>0</v>
      </c>
      <c r="BL74" s="371">
        <f t="shared" si="51"/>
        <v>0</v>
      </c>
      <c r="BM74" s="371">
        <f t="shared" si="51"/>
        <v>0</v>
      </c>
      <c r="BN74" s="371">
        <f t="shared" si="51"/>
        <v>0</v>
      </c>
      <c r="BO74" s="371">
        <f t="shared" si="51"/>
        <v>0</v>
      </c>
      <c r="BP74" s="371">
        <f t="shared" si="51"/>
        <v>0</v>
      </c>
      <c r="BQ74" s="371">
        <f t="shared" si="51"/>
        <v>0</v>
      </c>
      <c r="BR74" s="371">
        <f t="shared" si="51"/>
        <v>0</v>
      </c>
      <c r="BS74" s="371">
        <f t="shared" si="51"/>
        <v>0</v>
      </c>
      <c r="BT74" s="371">
        <f t="shared" si="51"/>
        <v>0</v>
      </c>
      <c r="BU74" s="371">
        <f t="shared" si="52"/>
        <v>0</v>
      </c>
      <c r="BV74" s="371">
        <f t="shared" si="52"/>
        <v>0</v>
      </c>
      <c r="BW74" s="371">
        <f t="shared" si="52"/>
        <v>0</v>
      </c>
      <c r="BX74" s="371">
        <f t="shared" si="52"/>
        <v>0</v>
      </c>
      <c r="BY74" s="371">
        <f t="shared" si="52"/>
        <v>0</v>
      </c>
      <c r="BZ74" s="371">
        <f t="shared" si="52"/>
        <v>0</v>
      </c>
    </row>
    <row r="75" spans="2:78" ht="21" hidden="1" customHeight="1" outlineLevel="3">
      <c r="B75" s="367"/>
      <c r="C75" s="370"/>
      <c r="D75" s="374">
        <f t="shared" si="26"/>
        <v>46265</v>
      </c>
      <c r="E75" s="373" cm="1">
        <f t="array" ref="E75">IF($D75=LatestMonthOfActuals,INDEX($AE$25:$BZ$25,0,MATCH($D75,$AE$8:$BZ$8,0)),0)</f>
        <v>0</v>
      </c>
      <c r="F75" s="359"/>
      <c r="G75" s="408">
        <f t="shared" si="47"/>
        <v>0</v>
      </c>
      <c r="H75" s="408">
        <f t="shared" si="47"/>
        <v>0</v>
      </c>
      <c r="I75" s="408">
        <f t="shared" si="47"/>
        <v>0</v>
      </c>
      <c r="J75" s="408">
        <f t="shared" si="47"/>
        <v>0</v>
      </c>
      <c r="K75" s="408"/>
      <c r="L75" s="408"/>
      <c r="M75" s="408">
        <f t="shared" si="46"/>
        <v>0</v>
      </c>
      <c r="N75" s="408">
        <f t="shared" si="46"/>
        <v>0</v>
      </c>
      <c r="O75" s="408">
        <f t="shared" si="46"/>
        <v>0</v>
      </c>
      <c r="P75" s="408">
        <f t="shared" si="46"/>
        <v>0</v>
      </c>
      <c r="Q75" s="408">
        <f t="shared" si="46"/>
        <v>0</v>
      </c>
      <c r="R75" s="408">
        <f t="shared" si="46"/>
        <v>0</v>
      </c>
      <c r="S75" s="408">
        <f t="shared" si="46"/>
        <v>0</v>
      </c>
      <c r="T75" s="408">
        <f t="shared" si="46"/>
        <v>0</v>
      </c>
      <c r="U75" s="408">
        <f t="shared" si="46"/>
        <v>0</v>
      </c>
      <c r="V75" s="408">
        <f t="shared" si="46"/>
        <v>0</v>
      </c>
      <c r="W75" s="408">
        <f t="shared" si="46"/>
        <v>0</v>
      </c>
      <c r="X75" s="408">
        <f t="shared" si="46"/>
        <v>0</v>
      </c>
      <c r="Y75" s="408">
        <f t="shared" si="46"/>
        <v>0</v>
      </c>
      <c r="Z75" s="408">
        <f t="shared" si="46"/>
        <v>0</v>
      </c>
      <c r="AA75" s="408">
        <f t="shared" si="46"/>
        <v>0</v>
      </c>
      <c r="AB75" s="408">
        <f t="shared" si="46"/>
        <v>0</v>
      </c>
      <c r="AD75" s="359"/>
      <c r="AE75" s="371">
        <f t="shared" si="48"/>
        <v>0</v>
      </c>
      <c r="AF75" s="371">
        <f t="shared" si="48"/>
        <v>0</v>
      </c>
      <c r="AG75" s="371">
        <f t="shared" si="48"/>
        <v>0</v>
      </c>
      <c r="AH75" s="371">
        <f t="shared" si="48"/>
        <v>0</v>
      </c>
      <c r="AI75" s="371">
        <f t="shared" si="48"/>
        <v>0</v>
      </c>
      <c r="AJ75" s="371">
        <f t="shared" si="48"/>
        <v>0</v>
      </c>
      <c r="AK75" s="371">
        <f t="shared" si="48"/>
        <v>0</v>
      </c>
      <c r="AL75" s="371">
        <f t="shared" si="48"/>
        <v>0</v>
      </c>
      <c r="AM75" s="371">
        <f t="shared" si="48"/>
        <v>0</v>
      </c>
      <c r="AN75" s="371">
        <f t="shared" si="48"/>
        <v>0</v>
      </c>
      <c r="AO75" s="371">
        <f t="shared" si="48"/>
        <v>0</v>
      </c>
      <c r="AP75" s="371">
        <f t="shared" si="21"/>
        <v>0</v>
      </c>
      <c r="AQ75" s="371">
        <f t="shared" si="49"/>
        <v>0</v>
      </c>
      <c r="AR75" s="371">
        <f t="shared" si="49"/>
        <v>0</v>
      </c>
      <c r="AS75" s="371">
        <f t="shared" si="49"/>
        <v>0</v>
      </c>
      <c r="AT75" s="371">
        <f t="shared" si="49"/>
        <v>0</v>
      </c>
      <c r="AU75" s="371">
        <f t="shared" si="49"/>
        <v>0</v>
      </c>
      <c r="AV75" s="371">
        <f t="shared" si="49"/>
        <v>0</v>
      </c>
      <c r="AW75" s="371">
        <f t="shared" si="49"/>
        <v>0</v>
      </c>
      <c r="AX75" s="371">
        <f t="shared" si="49"/>
        <v>0</v>
      </c>
      <c r="AY75" s="371">
        <f t="shared" si="49"/>
        <v>0</v>
      </c>
      <c r="AZ75" s="371">
        <f t="shared" si="49"/>
        <v>0</v>
      </c>
      <c r="BA75" s="371">
        <f t="shared" si="50"/>
        <v>0</v>
      </c>
      <c r="BB75" s="371">
        <f t="shared" si="50"/>
        <v>0</v>
      </c>
      <c r="BC75" s="371">
        <f t="shared" si="50"/>
        <v>0</v>
      </c>
      <c r="BD75" s="371">
        <f t="shared" si="50"/>
        <v>0</v>
      </c>
      <c r="BE75" s="371">
        <f t="shared" si="50"/>
        <v>0</v>
      </c>
      <c r="BF75" s="371">
        <f t="shared" si="50"/>
        <v>0</v>
      </c>
      <c r="BG75" s="371">
        <f t="shared" si="50"/>
        <v>0</v>
      </c>
      <c r="BH75" s="371">
        <f t="shared" si="50"/>
        <v>0</v>
      </c>
      <c r="BI75" s="371">
        <f t="shared" si="50"/>
        <v>0</v>
      </c>
      <c r="BJ75" s="371">
        <f t="shared" si="50"/>
        <v>0</v>
      </c>
      <c r="BK75" s="371">
        <f t="shared" si="51"/>
        <v>0</v>
      </c>
      <c r="BL75" s="371">
        <f t="shared" si="51"/>
        <v>0</v>
      </c>
      <c r="BM75" s="371">
        <f t="shared" si="51"/>
        <v>0</v>
      </c>
      <c r="BN75" s="371">
        <f t="shared" si="51"/>
        <v>0</v>
      </c>
      <c r="BO75" s="371">
        <f t="shared" si="51"/>
        <v>0</v>
      </c>
      <c r="BP75" s="371">
        <f t="shared" si="51"/>
        <v>0</v>
      </c>
      <c r="BQ75" s="371">
        <f t="shared" si="51"/>
        <v>0</v>
      </c>
      <c r="BR75" s="371">
        <f t="shared" si="51"/>
        <v>0</v>
      </c>
      <c r="BS75" s="371">
        <f t="shared" si="51"/>
        <v>0</v>
      </c>
      <c r="BT75" s="371">
        <f t="shared" si="51"/>
        <v>0</v>
      </c>
      <c r="BU75" s="371">
        <f t="shared" si="52"/>
        <v>0</v>
      </c>
      <c r="BV75" s="371">
        <f t="shared" si="52"/>
        <v>0</v>
      </c>
      <c r="BW75" s="371">
        <f t="shared" si="52"/>
        <v>0</v>
      </c>
      <c r="BX75" s="371">
        <f t="shared" si="52"/>
        <v>0</v>
      </c>
      <c r="BY75" s="371">
        <f t="shared" si="52"/>
        <v>0</v>
      </c>
      <c r="BZ75" s="371">
        <f t="shared" si="52"/>
        <v>0</v>
      </c>
    </row>
    <row r="76" spans="2:78" ht="21" hidden="1" customHeight="1" outlineLevel="3">
      <c r="B76" s="367"/>
      <c r="C76" s="370"/>
      <c r="D76" s="374">
        <f t="shared" si="26"/>
        <v>46295</v>
      </c>
      <c r="E76" s="373" cm="1">
        <f t="array" ref="E76">IF($D76=LatestMonthOfActuals,INDEX($AE$25:$BZ$25,0,MATCH($D76,$AE$8:$BZ$8,0)),0)</f>
        <v>0</v>
      </c>
      <c r="F76" s="359"/>
      <c r="G76" s="408">
        <f t="shared" si="47"/>
        <v>0</v>
      </c>
      <c r="H76" s="408">
        <f t="shared" si="47"/>
        <v>0</v>
      </c>
      <c r="I76" s="408">
        <f t="shared" si="47"/>
        <v>0</v>
      </c>
      <c r="J76" s="408">
        <f t="shared" si="47"/>
        <v>0</v>
      </c>
      <c r="K76" s="408"/>
      <c r="L76" s="408"/>
      <c r="M76" s="408">
        <f t="shared" si="46"/>
        <v>0</v>
      </c>
      <c r="N76" s="408">
        <f t="shared" si="46"/>
        <v>0</v>
      </c>
      <c r="O76" s="408">
        <f t="shared" si="46"/>
        <v>0</v>
      </c>
      <c r="P76" s="408">
        <f t="shared" si="46"/>
        <v>0</v>
      </c>
      <c r="Q76" s="408">
        <f t="shared" si="46"/>
        <v>0</v>
      </c>
      <c r="R76" s="408">
        <f t="shared" si="46"/>
        <v>0</v>
      </c>
      <c r="S76" s="408">
        <f t="shared" si="46"/>
        <v>0</v>
      </c>
      <c r="T76" s="408">
        <f t="shared" si="46"/>
        <v>0</v>
      </c>
      <c r="U76" s="408">
        <f t="shared" si="46"/>
        <v>0</v>
      </c>
      <c r="V76" s="408">
        <f t="shared" si="46"/>
        <v>0</v>
      </c>
      <c r="W76" s="408">
        <f t="shared" si="46"/>
        <v>0</v>
      </c>
      <c r="X76" s="408">
        <f t="shared" si="46"/>
        <v>0</v>
      </c>
      <c r="Y76" s="408">
        <f t="shared" si="46"/>
        <v>0</v>
      </c>
      <c r="Z76" s="408">
        <f t="shared" si="46"/>
        <v>0</v>
      </c>
      <c r="AA76" s="408">
        <f t="shared" si="46"/>
        <v>0</v>
      </c>
      <c r="AB76" s="408">
        <f t="shared" si="46"/>
        <v>0</v>
      </c>
      <c r="AD76" s="359"/>
      <c r="AE76" s="371">
        <f t="shared" si="48"/>
        <v>0</v>
      </c>
      <c r="AF76" s="371">
        <f t="shared" si="48"/>
        <v>0</v>
      </c>
      <c r="AG76" s="371">
        <f t="shared" si="48"/>
        <v>0</v>
      </c>
      <c r="AH76" s="371">
        <f t="shared" si="48"/>
        <v>0</v>
      </c>
      <c r="AI76" s="371">
        <f t="shared" si="48"/>
        <v>0</v>
      </c>
      <c r="AJ76" s="371">
        <f t="shared" si="48"/>
        <v>0</v>
      </c>
      <c r="AK76" s="371">
        <f t="shared" si="48"/>
        <v>0</v>
      </c>
      <c r="AL76" s="371">
        <f t="shared" si="48"/>
        <v>0</v>
      </c>
      <c r="AM76" s="371">
        <f t="shared" si="48"/>
        <v>0</v>
      </c>
      <c r="AN76" s="371">
        <f t="shared" si="48"/>
        <v>0</v>
      </c>
      <c r="AO76" s="371">
        <f t="shared" si="48"/>
        <v>0</v>
      </c>
      <c r="AP76" s="371">
        <f t="shared" si="21"/>
        <v>0</v>
      </c>
      <c r="AQ76" s="371">
        <f t="shared" si="49"/>
        <v>0</v>
      </c>
      <c r="AR76" s="371">
        <f t="shared" si="49"/>
        <v>0</v>
      </c>
      <c r="AS76" s="371">
        <f t="shared" si="49"/>
        <v>0</v>
      </c>
      <c r="AT76" s="371">
        <f t="shared" si="49"/>
        <v>0</v>
      </c>
      <c r="AU76" s="371">
        <f t="shared" si="49"/>
        <v>0</v>
      </c>
      <c r="AV76" s="371">
        <f t="shared" si="49"/>
        <v>0</v>
      </c>
      <c r="AW76" s="371">
        <f t="shared" si="49"/>
        <v>0</v>
      </c>
      <c r="AX76" s="371">
        <f t="shared" si="49"/>
        <v>0</v>
      </c>
      <c r="AY76" s="371">
        <f t="shared" si="49"/>
        <v>0</v>
      </c>
      <c r="AZ76" s="371">
        <f t="shared" si="49"/>
        <v>0</v>
      </c>
      <c r="BA76" s="371">
        <f t="shared" si="50"/>
        <v>0</v>
      </c>
      <c r="BB76" s="371">
        <f t="shared" si="50"/>
        <v>0</v>
      </c>
      <c r="BC76" s="371">
        <f t="shared" si="50"/>
        <v>0</v>
      </c>
      <c r="BD76" s="371">
        <f t="shared" si="50"/>
        <v>0</v>
      </c>
      <c r="BE76" s="371">
        <f t="shared" si="50"/>
        <v>0</v>
      </c>
      <c r="BF76" s="371">
        <f t="shared" si="50"/>
        <v>0</v>
      </c>
      <c r="BG76" s="371">
        <f t="shared" si="50"/>
        <v>0</v>
      </c>
      <c r="BH76" s="371">
        <f t="shared" si="50"/>
        <v>0</v>
      </c>
      <c r="BI76" s="371">
        <f t="shared" si="50"/>
        <v>0</v>
      </c>
      <c r="BJ76" s="371">
        <f t="shared" si="50"/>
        <v>0</v>
      </c>
      <c r="BK76" s="371">
        <f t="shared" si="51"/>
        <v>0</v>
      </c>
      <c r="BL76" s="371">
        <f t="shared" si="51"/>
        <v>0</v>
      </c>
      <c r="BM76" s="371">
        <f t="shared" si="51"/>
        <v>0</v>
      </c>
      <c r="BN76" s="371">
        <f t="shared" si="51"/>
        <v>0</v>
      </c>
      <c r="BO76" s="371">
        <f t="shared" si="51"/>
        <v>0</v>
      </c>
      <c r="BP76" s="371">
        <f t="shared" si="51"/>
        <v>0</v>
      </c>
      <c r="BQ76" s="371">
        <f t="shared" si="51"/>
        <v>0</v>
      </c>
      <c r="BR76" s="371">
        <f t="shared" si="51"/>
        <v>0</v>
      </c>
      <c r="BS76" s="371">
        <f t="shared" si="51"/>
        <v>0</v>
      </c>
      <c r="BT76" s="371">
        <f t="shared" si="51"/>
        <v>0</v>
      </c>
      <c r="BU76" s="371">
        <f t="shared" si="52"/>
        <v>0</v>
      </c>
      <c r="BV76" s="371">
        <f t="shared" si="52"/>
        <v>0</v>
      </c>
      <c r="BW76" s="371">
        <f t="shared" si="52"/>
        <v>0</v>
      </c>
      <c r="BX76" s="371">
        <f t="shared" si="52"/>
        <v>0</v>
      </c>
      <c r="BY76" s="371">
        <f t="shared" si="52"/>
        <v>0</v>
      </c>
      <c r="BZ76" s="371">
        <f t="shared" si="52"/>
        <v>0</v>
      </c>
    </row>
    <row r="77" spans="2:78" ht="21" hidden="1" customHeight="1" outlineLevel="3">
      <c r="B77" s="367"/>
      <c r="C77" s="370"/>
      <c r="D77" s="374">
        <f t="shared" si="26"/>
        <v>46326</v>
      </c>
      <c r="E77" s="373" cm="1">
        <f t="array" ref="E77">IF($D77=LatestMonthOfActuals,INDEX($AE$25:$BZ$25,0,MATCH($D77,$AE$8:$BZ$8,0)),0)</f>
        <v>0</v>
      </c>
      <c r="F77" s="359"/>
      <c r="G77" s="408">
        <f t="shared" si="47"/>
        <v>0</v>
      </c>
      <c r="H77" s="408">
        <f t="shared" si="47"/>
        <v>0</v>
      </c>
      <c r="I77" s="408">
        <f t="shared" si="47"/>
        <v>0</v>
      </c>
      <c r="J77" s="408">
        <f t="shared" si="47"/>
        <v>0</v>
      </c>
      <c r="K77" s="408"/>
      <c r="L77" s="408"/>
      <c r="M77" s="408">
        <f t="shared" si="46"/>
        <v>0</v>
      </c>
      <c r="N77" s="408">
        <f t="shared" si="46"/>
        <v>0</v>
      </c>
      <c r="O77" s="408">
        <f t="shared" si="46"/>
        <v>0</v>
      </c>
      <c r="P77" s="408">
        <f t="shared" si="46"/>
        <v>0</v>
      </c>
      <c r="Q77" s="408">
        <f t="shared" si="46"/>
        <v>0</v>
      </c>
      <c r="R77" s="408">
        <f t="shared" si="46"/>
        <v>0</v>
      </c>
      <c r="S77" s="408">
        <f t="shared" si="46"/>
        <v>0</v>
      </c>
      <c r="T77" s="408">
        <f t="shared" si="46"/>
        <v>0</v>
      </c>
      <c r="U77" s="408">
        <f t="shared" si="46"/>
        <v>0</v>
      </c>
      <c r="V77" s="408">
        <f t="shared" si="46"/>
        <v>0</v>
      </c>
      <c r="W77" s="408">
        <f t="shared" si="46"/>
        <v>0</v>
      </c>
      <c r="X77" s="408">
        <f t="shared" si="46"/>
        <v>0</v>
      </c>
      <c r="Y77" s="408">
        <f t="shared" si="46"/>
        <v>0</v>
      </c>
      <c r="Z77" s="408">
        <f t="shared" si="46"/>
        <v>0</v>
      </c>
      <c r="AA77" s="408">
        <f t="shared" si="46"/>
        <v>0</v>
      </c>
      <c r="AB77" s="408">
        <f t="shared" si="46"/>
        <v>0</v>
      </c>
      <c r="AD77" s="359"/>
      <c r="AE77" s="371">
        <f t="shared" si="48"/>
        <v>0</v>
      </c>
      <c r="AF77" s="371">
        <f t="shared" si="48"/>
        <v>0</v>
      </c>
      <c r="AG77" s="371">
        <f t="shared" si="48"/>
        <v>0</v>
      </c>
      <c r="AH77" s="371">
        <f t="shared" si="48"/>
        <v>0</v>
      </c>
      <c r="AI77" s="371">
        <f t="shared" si="48"/>
        <v>0</v>
      </c>
      <c r="AJ77" s="371">
        <f t="shared" si="48"/>
        <v>0</v>
      </c>
      <c r="AK77" s="371">
        <f t="shared" si="48"/>
        <v>0</v>
      </c>
      <c r="AL77" s="371">
        <f t="shared" si="48"/>
        <v>0</v>
      </c>
      <c r="AM77" s="371">
        <f t="shared" si="48"/>
        <v>0</v>
      </c>
      <c r="AN77" s="371">
        <f t="shared" si="48"/>
        <v>0</v>
      </c>
      <c r="AO77" s="371">
        <f t="shared" si="48"/>
        <v>0</v>
      </c>
      <c r="AP77" s="371">
        <f t="shared" si="21"/>
        <v>0</v>
      </c>
      <c r="AQ77" s="371">
        <f t="shared" si="49"/>
        <v>0</v>
      </c>
      <c r="AR77" s="371">
        <f t="shared" si="49"/>
        <v>0</v>
      </c>
      <c r="AS77" s="371">
        <f t="shared" si="49"/>
        <v>0</v>
      </c>
      <c r="AT77" s="371">
        <f t="shared" si="49"/>
        <v>0</v>
      </c>
      <c r="AU77" s="371">
        <f t="shared" si="49"/>
        <v>0</v>
      </c>
      <c r="AV77" s="371">
        <f t="shared" si="49"/>
        <v>0</v>
      </c>
      <c r="AW77" s="371">
        <f t="shared" si="49"/>
        <v>0</v>
      </c>
      <c r="AX77" s="371">
        <f t="shared" si="49"/>
        <v>0</v>
      </c>
      <c r="AY77" s="371">
        <f t="shared" si="49"/>
        <v>0</v>
      </c>
      <c r="AZ77" s="371">
        <f t="shared" si="49"/>
        <v>0</v>
      </c>
      <c r="BA77" s="371">
        <f t="shared" si="50"/>
        <v>0</v>
      </c>
      <c r="BB77" s="371">
        <f t="shared" si="50"/>
        <v>0</v>
      </c>
      <c r="BC77" s="371">
        <f t="shared" si="50"/>
        <v>0</v>
      </c>
      <c r="BD77" s="371">
        <f t="shared" si="50"/>
        <v>0</v>
      </c>
      <c r="BE77" s="371">
        <f t="shared" si="50"/>
        <v>0</v>
      </c>
      <c r="BF77" s="371">
        <f t="shared" si="50"/>
        <v>0</v>
      </c>
      <c r="BG77" s="371">
        <f t="shared" si="50"/>
        <v>0</v>
      </c>
      <c r="BH77" s="371">
        <f t="shared" si="50"/>
        <v>0</v>
      </c>
      <c r="BI77" s="371">
        <f t="shared" si="50"/>
        <v>0</v>
      </c>
      <c r="BJ77" s="371">
        <f t="shared" si="50"/>
        <v>0</v>
      </c>
      <c r="BK77" s="371">
        <f t="shared" si="51"/>
        <v>0</v>
      </c>
      <c r="BL77" s="371">
        <f t="shared" si="51"/>
        <v>0</v>
      </c>
      <c r="BM77" s="371">
        <f t="shared" si="51"/>
        <v>0</v>
      </c>
      <c r="BN77" s="371">
        <f t="shared" si="51"/>
        <v>0</v>
      </c>
      <c r="BO77" s="371">
        <f t="shared" si="51"/>
        <v>0</v>
      </c>
      <c r="BP77" s="371">
        <f t="shared" si="51"/>
        <v>0</v>
      </c>
      <c r="BQ77" s="371">
        <f t="shared" si="51"/>
        <v>0</v>
      </c>
      <c r="BR77" s="371">
        <f t="shared" si="51"/>
        <v>0</v>
      </c>
      <c r="BS77" s="371">
        <f t="shared" si="51"/>
        <v>0</v>
      </c>
      <c r="BT77" s="371">
        <f t="shared" si="51"/>
        <v>0</v>
      </c>
      <c r="BU77" s="371">
        <f t="shared" si="52"/>
        <v>0</v>
      </c>
      <c r="BV77" s="371">
        <f t="shared" si="52"/>
        <v>0</v>
      </c>
      <c r="BW77" s="371">
        <f t="shared" si="52"/>
        <v>0</v>
      </c>
      <c r="BX77" s="371">
        <f t="shared" si="52"/>
        <v>0</v>
      </c>
      <c r="BY77" s="371">
        <f t="shared" si="52"/>
        <v>0</v>
      </c>
      <c r="BZ77" s="371">
        <f t="shared" si="52"/>
        <v>0</v>
      </c>
    </row>
    <row r="78" spans="2:78" ht="21" hidden="1" customHeight="1" outlineLevel="3">
      <c r="B78" s="367"/>
      <c r="C78" s="370"/>
      <c r="D78" s="374">
        <f t="shared" si="26"/>
        <v>46356</v>
      </c>
      <c r="E78" s="373" cm="1">
        <f t="array" ref="E78">IF($D78=LatestMonthOfActuals,INDEX($AE$25:$BZ$25,0,MATCH($D78,$AE$8:$BZ$8,0)),0)</f>
        <v>0</v>
      </c>
      <c r="F78" s="359"/>
      <c r="G78" s="408">
        <f t="shared" si="47"/>
        <v>0</v>
      </c>
      <c r="H78" s="408">
        <f t="shared" si="47"/>
        <v>0</v>
      </c>
      <c r="I78" s="408">
        <f t="shared" si="47"/>
        <v>0</v>
      </c>
      <c r="J78" s="408">
        <f t="shared" si="47"/>
        <v>0</v>
      </c>
      <c r="K78" s="408"/>
      <c r="L78" s="408"/>
      <c r="M78" s="408">
        <f t="shared" si="46"/>
        <v>0</v>
      </c>
      <c r="N78" s="408">
        <f t="shared" si="46"/>
        <v>0</v>
      </c>
      <c r="O78" s="408">
        <f t="shared" si="46"/>
        <v>0</v>
      </c>
      <c r="P78" s="408">
        <f t="shared" si="46"/>
        <v>0</v>
      </c>
      <c r="Q78" s="408">
        <f t="shared" si="46"/>
        <v>0</v>
      </c>
      <c r="R78" s="408">
        <f t="shared" si="46"/>
        <v>0</v>
      </c>
      <c r="S78" s="408">
        <f t="shared" si="46"/>
        <v>0</v>
      </c>
      <c r="T78" s="408">
        <f t="shared" si="46"/>
        <v>0</v>
      </c>
      <c r="U78" s="408">
        <f t="shared" si="46"/>
        <v>0</v>
      </c>
      <c r="V78" s="408">
        <f t="shared" si="46"/>
        <v>0</v>
      </c>
      <c r="W78" s="408">
        <f t="shared" si="46"/>
        <v>0</v>
      </c>
      <c r="X78" s="408">
        <f t="shared" si="46"/>
        <v>0</v>
      </c>
      <c r="Y78" s="408">
        <f t="shared" si="46"/>
        <v>0</v>
      </c>
      <c r="Z78" s="408">
        <f t="shared" si="46"/>
        <v>0</v>
      </c>
      <c r="AA78" s="408">
        <f t="shared" si="46"/>
        <v>0</v>
      </c>
      <c r="AB78" s="408">
        <f t="shared" si="46"/>
        <v>0</v>
      </c>
      <c r="AD78" s="359"/>
      <c r="AE78" s="371">
        <f t="shared" si="48"/>
        <v>0</v>
      </c>
      <c r="AF78" s="371">
        <f t="shared" si="48"/>
        <v>0</v>
      </c>
      <c r="AG78" s="371">
        <f t="shared" si="48"/>
        <v>0</v>
      </c>
      <c r="AH78" s="371">
        <f t="shared" si="48"/>
        <v>0</v>
      </c>
      <c r="AI78" s="371">
        <f t="shared" si="48"/>
        <v>0</v>
      </c>
      <c r="AJ78" s="371">
        <f t="shared" si="48"/>
        <v>0</v>
      </c>
      <c r="AK78" s="371">
        <f t="shared" si="48"/>
        <v>0</v>
      </c>
      <c r="AL78" s="371">
        <f t="shared" si="48"/>
        <v>0</v>
      </c>
      <c r="AM78" s="371">
        <f t="shared" si="48"/>
        <v>0</v>
      </c>
      <c r="AN78" s="371">
        <f t="shared" si="48"/>
        <v>0</v>
      </c>
      <c r="AO78" s="371">
        <f t="shared" si="48"/>
        <v>0</v>
      </c>
      <c r="AP78" s="371">
        <f t="shared" si="21"/>
        <v>0</v>
      </c>
      <c r="AQ78" s="371">
        <f t="shared" si="49"/>
        <v>0</v>
      </c>
      <c r="AR78" s="371">
        <f t="shared" si="49"/>
        <v>0</v>
      </c>
      <c r="AS78" s="371">
        <f t="shared" si="49"/>
        <v>0</v>
      </c>
      <c r="AT78" s="371">
        <f t="shared" si="49"/>
        <v>0</v>
      </c>
      <c r="AU78" s="371">
        <f t="shared" si="49"/>
        <v>0</v>
      </c>
      <c r="AV78" s="371">
        <f t="shared" si="49"/>
        <v>0</v>
      </c>
      <c r="AW78" s="371">
        <f t="shared" si="49"/>
        <v>0</v>
      </c>
      <c r="AX78" s="371">
        <f t="shared" si="49"/>
        <v>0</v>
      </c>
      <c r="AY78" s="371">
        <f t="shared" si="49"/>
        <v>0</v>
      </c>
      <c r="AZ78" s="371">
        <f t="shared" si="49"/>
        <v>0</v>
      </c>
      <c r="BA78" s="371">
        <f t="shared" si="50"/>
        <v>0</v>
      </c>
      <c r="BB78" s="371">
        <f t="shared" si="50"/>
        <v>0</v>
      </c>
      <c r="BC78" s="371">
        <f t="shared" si="50"/>
        <v>0</v>
      </c>
      <c r="BD78" s="371">
        <f t="shared" si="50"/>
        <v>0</v>
      </c>
      <c r="BE78" s="371">
        <f t="shared" si="50"/>
        <v>0</v>
      </c>
      <c r="BF78" s="371">
        <f t="shared" si="50"/>
        <v>0</v>
      </c>
      <c r="BG78" s="371">
        <f t="shared" si="50"/>
        <v>0</v>
      </c>
      <c r="BH78" s="371">
        <f t="shared" si="50"/>
        <v>0</v>
      </c>
      <c r="BI78" s="371">
        <f t="shared" si="50"/>
        <v>0</v>
      </c>
      <c r="BJ78" s="371">
        <f t="shared" si="50"/>
        <v>0</v>
      </c>
      <c r="BK78" s="371">
        <f t="shared" si="51"/>
        <v>0</v>
      </c>
      <c r="BL78" s="371">
        <f t="shared" si="51"/>
        <v>0</v>
      </c>
      <c r="BM78" s="371">
        <f t="shared" si="51"/>
        <v>0</v>
      </c>
      <c r="BN78" s="371">
        <f t="shared" si="51"/>
        <v>0</v>
      </c>
      <c r="BO78" s="371">
        <f t="shared" si="51"/>
        <v>0</v>
      </c>
      <c r="BP78" s="371">
        <f t="shared" si="51"/>
        <v>0</v>
      </c>
      <c r="BQ78" s="371">
        <f t="shared" si="51"/>
        <v>0</v>
      </c>
      <c r="BR78" s="371">
        <f t="shared" si="51"/>
        <v>0</v>
      </c>
      <c r="BS78" s="371">
        <f t="shared" si="51"/>
        <v>0</v>
      </c>
      <c r="BT78" s="371">
        <f t="shared" si="51"/>
        <v>0</v>
      </c>
      <c r="BU78" s="371">
        <f t="shared" si="52"/>
        <v>0</v>
      </c>
      <c r="BV78" s="371">
        <f t="shared" si="52"/>
        <v>0</v>
      </c>
      <c r="BW78" s="371">
        <f t="shared" si="52"/>
        <v>0</v>
      </c>
      <c r="BX78" s="371">
        <f t="shared" si="52"/>
        <v>0</v>
      </c>
      <c r="BY78" s="371">
        <f t="shared" si="52"/>
        <v>0</v>
      </c>
      <c r="BZ78" s="371">
        <f t="shared" si="52"/>
        <v>0</v>
      </c>
    </row>
    <row r="79" spans="2:78" ht="21" hidden="1" customHeight="1" outlineLevel="3">
      <c r="B79" s="367"/>
      <c r="C79" s="370"/>
      <c r="D79" s="374">
        <f t="shared" si="26"/>
        <v>46387</v>
      </c>
      <c r="E79" s="373" cm="1">
        <f t="array" ref="E79">IF($D79=LatestMonthOfActuals,INDEX($AE$25:$BZ$25,0,MATCH($D79,$AE$8:$BZ$8,0)),0)</f>
        <v>0</v>
      </c>
      <c r="F79" s="359"/>
      <c r="G79" s="408">
        <f t="shared" si="47"/>
        <v>0</v>
      </c>
      <c r="H79" s="408">
        <f t="shared" si="47"/>
        <v>0</v>
      </c>
      <c r="I79" s="408">
        <f t="shared" si="47"/>
        <v>0</v>
      </c>
      <c r="J79" s="408">
        <f t="shared" si="47"/>
        <v>0</v>
      </c>
      <c r="K79" s="408"/>
      <c r="L79" s="408"/>
      <c r="M79" s="408">
        <f t="shared" si="46"/>
        <v>0</v>
      </c>
      <c r="N79" s="408">
        <f t="shared" si="46"/>
        <v>0</v>
      </c>
      <c r="O79" s="408">
        <f t="shared" si="46"/>
        <v>0</v>
      </c>
      <c r="P79" s="408">
        <f t="shared" si="46"/>
        <v>0</v>
      </c>
      <c r="Q79" s="408">
        <f t="shared" si="46"/>
        <v>0</v>
      </c>
      <c r="R79" s="408">
        <f t="shared" si="46"/>
        <v>0</v>
      </c>
      <c r="S79" s="408">
        <f t="shared" si="46"/>
        <v>0</v>
      </c>
      <c r="T79" s="408">
        <f t="shared" si="46"/>
        <v>0</v>
      </c>
      <c r="U79" s="408">
        <f t="shared" si="46"/>
        <v>0</v>
      </c>
      <c r="V79" s="408">
        <f t="shared" si="46"/>
        <v>0</v>
      </c>
      <c r="W79" s="408">
        <f t="shared" si="46"/>
        <v>0</v>
      </c>
      <c r="X79" s="408">
        <f t="shared" si="46"/>
        <v>0</v>
      </c>
      <c r="Y79" s="408">
        <f t="shared" si="46"/>
        <v>0</v>
      </c>
      <c r="Z79" s="408">
        <f t="shared" si="46"/>
        <v>0</v>
      </c>
      <c r="AA79" s="408">
        <f t="shared" si="46"/>
        <v>0</v>
      </c>
      <c r="AB79" s="408">
        <f t="shared" ref="AB79" si="53">SUMIFS($AE79:$BZ79,$AE$4:$BZ$4,"&gt;="&amp;AB$4,$AE79:$BZ79,"&lt;="&amp;AB$5)</f>
        <v>0</v>
      </c>
      <c r="AD79" s="359"/>
      <c r="AE79" s="371">
        <f t="shared" si="48"/>
        <v>0</v>
      </c>
      <c r="AF79" s="371">
        <f t="shared" si="48"/>
        <v>0</v>
      </c>
      <c r="AG79" s="371">
        <f t="shared" si="48"/>
        <v>0</v>
      </c>
      <c r="AH79" s="371">
        <f t="shared" si="48"/>
        <v>0</v>
      </c>
      <c r="AI79" s="371">
        <f t="shared" si="48"/>
        <v>0</v>
      </c>
      <c r="AJ79" s="371">
        <f t="shared" si="48"/>
        <v>0</v>
      </c>
      <c r="AK79" s="371">
        <f t="shared" si="48"/>
        <v>0</v>
      </c>
      <c r="AL79" s="371">
        <f t="shared" si="48"/>
        <v>0</v>
      </c>
      <c r="AM79" s="371">
        <f t="shared" si="48"/>
        <v>0</v>
      </c>
      <c r="AN79" s="371">
        <f t="shared" si="48"/>
        <v>0</v>
      </c>
      <c r="AO79" s="371">
        <f t="shared" si="48"/>
        <v>0</v>
      </c>
      <c r="AP79" s="371">
        <f t="shared" si="21"/>
        <v>0</v>
      </c>
      <c r="AQ79" s="371">
        <f t="shared" si="49"/>
        <v>0</v>
      </c>
      <c r="AR79" s="371">
        <f t="shared" si="49"/>
        <v>0</v>
      </c>
      <c r="AS79" s="371">
        <f t="shared" si="49"/>
        <v>0</v>
      </c>
      <c r="AT79" s="371">
        <f t="shared" si="49"/>
        <v>0</v>
      </c>
      <c r="AU79" s="371">
        <f t="shared" si="49"/>
        <v>0</v>
      </c>
      <c r="AV79" s="371">
        <f t="shared" si="49"/>
        <v>0</v>
      </c>
      <c r="AW79" s="371">
        <f t="shared" si="49"/>
        <v>0</v>
      </c>
      <c r="AX79" s="371">
        <f t="shared" si="49"/>
        <v>0</v>
      </c>
      <c r="AY79" s="371">
        <f t="shared" si="49"/>
        <v>0</v>
      </c>
      <c r="AZ79" s="371">
        <f t="shared" si="49"/>
        <v>0</v>
      </c>
      <c r="BA79" s="371">
        <f t="shared" si="50"/>
        <v>0</v>
      </c>
      <c r="BB79" s="371">
        <f t="shared" si="50"/>
        <v>0</v>
      </c>
      <c r="BC79" s="371">
        <f t="shared" si="50"/>
        <v>0</v>
      </c>
      <c r="BD79" s="371">
        <f t="shared" si="50"/>
        <v>0</v>
      </c>
      <c r="BE79" s="371">
        <f t="shared" si="50"/>
        <v>0</v>
      </c>
      <c r="BF79" s="371">
        <f t="shared" si="50"/>
        <v>0</v>
      </c>
      <c r="BG79" s="371">
        <f t="shared" si="50"/>
        <v>0</v>
      </c>
      <c r="BH79" s="371">
        <f t="shared" si="50"/>
        <v>0</v>
      </c>
      <c r="BI79" s="371">
        <f t="shared" si="50"/>
        <v>0</v>
      </c>
      <c r="BJ79" s="371">
        <f t="shared" si="50"/>
        <v>0</v>
      </c>
      <c r="BK79" s="371">
        <f t="shared" si="51"/>
        <v>0</v>
      </c>
      <c r="BL79" s="371">
        <f t="shared" si="51"/>
        <v>0</v>
      </c>
      <c r="BM79" s="371">
        <f t="shared" si="51"/>
        <v>0</v>
      </c>
      <c r="BN79" s="371">
        <f t="shared" si="51"/>
        <v>0</v>
      </c>
      <c r="BO79" s="371">
        <f t="shared" si="51"/>
        <v>0</v>
      </c>
      <c r="BP79" s="371">
        <f t="shared" si="51"/>
        <v>0</v>
      </c>
      <c r="BQ79" s="371">
        <f t="shared" si="51"/>
        <v>0</v>
      </c>
      <c r="BR79" s="371">
        <f t="shared" si="51"/>
        <v>0</v>
      </c>
      <c r="BS79" s="371">
        <f t="shared" si="51"/>
        <v>0</v>
      </c>
      <c r="BT79" s="371">
        <f t="shared" si="51"/>
        <v>0</v>
      </c>
      <c r="BU79" s="371">
        <f t="shared" si="52"/>
        <v>0</v>
      </c>
      <c r="BV79" s="371">
        <f t="shared" si="52"/>
        <v>0</v>
      </c>
      <c r="BW79" s="371">
        <f t="shared" si="52"/>
        <v>0</v>
      </c>
      <c r="BX79" s="371">
        <f t="shared" si="52"/>
        <v>0</v>
      </c>
      <c r="BY79" s="371">
        <f t="shared" si="52"/>
        <v>0</v>
      </c>
      <c r="BZ79" s="371">
        <f t="shared" si="52"/>
        <v>0</v>
      </c>
    </row>
    <row r="80" spans="2:78" ht="21" customHeight="1" outlineLevel="1">
      <c r="B80" s="367"/>
      <c r="C80" s="370"/>
      <c r="D80" s="374"/>
      <c r="E80" s="373"/>
      <c r="F80" s="359"/>
      <c r="G80" s="375"/>
      <c r="H80" s="375"/>
      <c r="I80" s="375"/>
      <c r="J80" s="375"/>
      <c r="L80" s="359"/>
      <c r="M80" s="375"/>
      <c r="N80" s="375"/>
      <c r="O80" s="375"/>
      <c r="P80" s="375"/>
      <c r="Q80" s="375"/>
      <c r="R80" s="375"/>
      <c r="S80" s="375"/>
      <c r="T80" s="375"/>
      <c r="U80" s="375"/>
      <c r="V80" s="375"/>
      <c r="W80" s="375"/>
      <c r="X80" s="375"/>
      <c r="Y80" s="375"/>
      <c r="Z80" s="375"/>
      <c r="AA80" s="375"/>
      <c r="AB80" s="375"/>
      <c r="AD80" s="359"/>
      <c r="AE80" s="375"/>
      <c r="AF80" s="375"/>
      <c r="AG80" s="375"/>
      <c r="AH80" s="375"/>
      <c r="AI80" s="375"/>
      <c r="AJ80" s="375"/>
      <c r="AK80" s="375"/>
      <c r="AL80" s="375"/>
      <c r="AM80" s="375"/>
      <c r="AN80" s="375"/>
      <c r="AO80" s="375"/>
      <c r="AP80" s="375"/>
      <c r="AQ80" s="375"/>
      <c r="AR80" s="375"/>
      <c r="AS80" s="375"/>
      <c r="AT80" s="375"/>
      <c r="AU80" s="375"/>
      <c r="AV80" s="375"/>
      <c r="AW80" s="375"/>
      <c r="AX80" s="375"/>
      <c r="AY80" s="375"/>
      <c r="AZ80" s="375"/>
      <c r="BA80" s="375"/>
      <c r="BB80" s="375"/>
      <c r="BC80" s="375"/>
      <c r="BD80" s="375"/>
      <c r="BE80" s="375"/>
      <c r="BF80" s="375"/>
      <c r="BG80" s="375"/>
      <c r="BH80" s="375"/>
      <c r="BI80" s="375"/>
      <c r="BJ80" s="375"/>
      <c r="BK80" s="375"/>
      <c r="BL80" s="375"/>
      <c r="BM80" s="375"/>
      <c r="BN80" s="375"/>
      <c r="BO80" s="375"/>
      <c r="BP80" s="375"/>
      <c r="BQ80" s="375"/>
      <c r="BR80" s="375"/>
      <c r="BS80" s="375"/>
      <c r="BT80" s="375"/>
      <c r="BU80" s="375"/>
      <c r="BV80" s="375"/>
      <c r="BW80" s="375"/>
      <c r="BX80" s="375"/>
      <c r="BY80" s="375"/>
      <c r="BZ80" s="375"/>
    </row>
    <row r="81" spans="2:78" ht="15" outlineLevel="1" collapsed="1">
      <c r="B81" s="367"/>
      <c r="C81" s="523" t="str">
        <f>D17</f>
        <v>Projected AR</v>
      </c>
      <c r="D81" s="366"/>
      <c r="E81" s="522"/>
      <c r="F81" s="359"/>
      <c r="G81" s="378">
        <f>SUM(G83:G131)</f>
        <v>0</v>
      </c>
      <c r="H81" s="378">
        <f>SUM(H83:H131)</f>
        <v>0</v>
      </c>
      <c r="I81" s="378">
        <f>SUM(I83:I131)</f>
        <v>0</v>
      </c>
      <c r="J81" s="378">
        <f>SUM(J83:J131)</f>
        <v>120000</v>
      </c>
      <c r="K81" s="55"/>
      <c r="L81" s="359"/>
      <c r="M81" s="378">
        <f t="shared" ref="M81:AB81" si="54">SUM(M83:M131)</f>
        <v>0</v>
      </c>
      <c r="N81" s="378">
        <f t="shared" si="54"/>
        <v>0</v>
      </c>
      <c r="O81" s="378">
        <f t="shared" si="54"/>
        <v>0</v>
      </c>
      <c r="P81" s="378">
        <f t="shared" si="54"/>
        <v>0</v>
      </c>
      <c r="Q81" s="378">
        <f t="shared" si="54"/>
        <v>0</v>
      </c>
      <c r="R81" s="378">
        <f t="shared" si="54"/>
        <v>0</v>
      </c>
      <c r="S81" s="378">
        <f t="shared" si="54"/>
        <v>0</v>
      </c>
      <c r="T81" s="378">
        <f t="shared" si="54"/>
        <v>0</v>
      </c>
      <c r="U81" s="378">
        <f t="shared" si="54"/>
        <v>0</v>
      </c>
      <c r="V81" s="378">
        <f t="shared" si="54"/>
        <v>0</v>
      </c>
      <c r="W81" s="378">
        <f t="shared" si="54"/>
        <v>0</v>
      </c>
      <c r="X81" s="378">
        <f t="shared" si="54"/>
        <v>0</v>
      </c>
      <c r="Y81" s="378">
        <f t="shared" si="54"/>
        <v>0</v>
      </c>
      <c r="Z81" s="378">
        <f t="shared" si="54"/>
        <v>0</v>
      </c>
      <c r="AA81" s="378">
        <f t="shared" si="54"/>
        <v>0</v>
      </c>
      <c r="AB81" s="378">
        <f t="shared" si="54"/>
        <v>0</v>
      </c>
      <c r="AD81" s="359"/>
      <c r="AE81" s="378">
        <f t="shared" ref="AE81:BZ81" si="55">SUM(AE83:AE131)</f>
        <v>0</v>
      </c>
      <c r="AF81" s="378">
        <f t="shared" si="55"/>
        <v>0</v>
      </c>
      <c r="AG81" s="378">
        <f t="shared" si="55"/>
        <v>0</v>
      </c>
      <c r="AH81" s="378">
        <f t="shared" si="55"/>
        <v>0</v>
      </c>
      <c r="AI81" s="378">
        <f t="shared" si="55"/>
        <v>0</v>
      </c>
      <c r="AJ81" s="378">
        <f t="shared" si="55"/>
        <v>0</v>
      </c>
      <c r="AK81" s="378">
        <f t="shared" si="55"/>
        <v>0</v>
      </c>
      <c r="AL81" s="378">
        <f t="shared" si="55"/>
        <v>0</v>
      </c>
      <c r="AM81" s="378">
        <f t="shared" si="55"/>
        <v>0</v>
      </c>
      <c r="AN81" s="378">
        <f t="shared" si="55"/>
        <v>0</v>
      </c>
      <c r="AO81" s="378">
        <f t="shared" si="55"/>
        <v>0</v>
      </c>
      <c r="AP81" s="378">
        <f>SUM(AR83:AR131)</f>
        <v>0</v>
      </c>
      <c r="AQ81" s="378">
        <f t="shared" si="55"/>
        <v>0</v>
      </c>
      <c r="AR81" s="378">
        <f t="shared" si="55"/>
        <v>0</v>
      </c>
      <c r="AS81" s="378">
        <f t="shared" si="55"/>
        <v>0</v>
      </c>
      <c r="AT81" s="378">
        <f t="shared" si="55"/>
        <v>0</v>
      </c>
      <c r="AU81" s="378">
        <f t="shared" si="55"/>
        <v>0</v>
      </c>
      <c r="AV81" s="378">
        <f t="shared" si="55"/>
        <v>0</v>
      </c>
      <c r="AW81" s="378">
        <f t="shared" si="55"/>
        <v>0</v>
      </c>
      <c r="AX81" s="378">
        <f t="shared" si="55"/>
        <v>0</v>
      </c>
      <c r="AY81" s="378">
        <f t="shared" si="55"/>
        <v>0</v>
      </c>
      <c r="AZ81" s="378">
        <f t="shared" si="55"/>
        <v>0</v>
      </c>
      <c r="BA81" s="378">
        <f t="shared" si="55"/>
        <v>0</v>
      </c>
      <c r="BB81" s="378">
        <f t="shared" si="55"/>
        <v>0</v>
      </c>
      <c r="BC81" s="378">
        <f t="shared" si="55"/>
        <v>0</v>
      </c>
      <c r="BD81" s="378">
        <f t="shared" si="55"/>
        <v>0</v>
      </c>
      <c r="BE81" s="378">
        <f t="shared" si="55"/>
        <v>0</v>
      </c>
      <c r="BF81" s="378">
        <f t="shared" si="55"/>
        <v>0</v>
      </c>
      <c r="BG81" s="378">
        <f t="shared" si="55"/>
        <v>0</v>
      </c>
      <c r="BH81" s="378">
        <f t="shared" si="55"/>
        <v>0</v>
      </c>
      <c r="BI81" s="378">
        <f t="shared" si="55"/>
        <v>0</v>
      </c>
      <c r="BJ81" s="378">
        <f t="shared" si="55"/>
        <v>0</v>
      </c>
      <c r="BK81" s="378">
        <f t="shared" si="55"/>
        <v>0</v>
      </c>
      <c r="BL81" s="378">
        <f t="shared" si="55"/>
        <v>0</v>
      </c>
      <c r="BM81" s="378">
        <f t="shared" si="55"/>
        <v>0</v>
      </c>
      <c r="BN81" s="378">
        <f t="shared" si="55"/>
        <v>0</v>
      </c>
      <c r="BO81" s="378">
        <f t="shared" si="55"/>
        <v>60000</v>
      </c>
      <c r="BP81" s="378">
        <f t="shared" si="55"/>
        <v>60000</v>
      </c>
      <c r="BQ81" s="378">
        <f t="shared" si="55"/>
        <v>0</v>
      </c>
      <c r="BR81" s="378">
        <f t="shared" si="55"/>
        <v>0</v>
      </c>
      <c r="BS81" s="378">
        <f t="shared" si="55"/>
        <v>0</v>
      </c>
      <c r="BT81" s="378">
        <f t="shared" si="55"/>
        <v>0</v>
      </c>
      <c r="BU81" s="378">
        <f t="shared" si="55"/>
        <v>0</v>
      </c>
      <c r="BV81" s="378">
        <f t="shared" si="55"/>
        <v>0</v>
      </c>
      <c r="BW81" s="378">
        <f t="shared" si="55"/>
        <v>0</v>
      </c>
      <c r="BX81" s="378">
        <f t="shared" si="55"/>
        <v>0</v>
      </c>
      <c r="BY81" s="378">
        <f t="shared" si="55"/>
        <v>0</v>
      </c>
      <c r="BZ81" s="378">
        <f t="shared" si="55"/>
        <v>0</v>
      </c>
    </row>
    <row r="82" spans="2:78" ht="21" hidden="1" customHeight="1" outlineLevel="3">
      <c r="B82" s="367"/>
      <c r="C82" s="370"/>
      <c r="D82" s="525"/>
      <c r="E82" s="373"/>
      <c r="F82" s="359"/>
      <c r="G82" s="375"/>
      <c r="H82" s="375"/>
      <c r="I82" s="375"/>
      <c r="J82" s="375"/>
      <c r="L82" s="359"/>
      <c r="M82" s="375"/>
      <c r="N82" s="375"/>
      <c r="O82" s="375"/>
      <c r="P82" s="375"/>
      <c r="Q82" s="375"/>
      <c r="R82" s="375"/>
      <c r="S82" s="375"/>
      <c r="T82" s="375"/>
      <c r="U82" s="375"/>
      <c r="V82" s="375"/>
      <c r="W82" s="375"/>
      <c r="X82" s="375"/>
      <c r="Y82" s="375"/>
      <c r="Z82" s="375"/>
      <c r="AA82" s="375"/>
      <c r="AB82" s="375"/>
      <c r="AD82" s="359"/>
      <c r="AE82" s="375"/>
      <c r="AF82" s="375"/>
      <c r="AG82" s="375"/>
      <c r="AH82" s="375"/>
      <c r="AI82" s="375"/>
      <c r="AJ82" s="375"/>
      <c r="AK82" s="375"/>
      <c r="AL82" s="375"/>
      <c r="AM82" s="375"/>
      <c r="AN82" s="375"/>
      <c r="AO82" s="375"/>
      <c r="AP82" s="375"/>
      <c r="AQ82" s="375"/>
      <c r="AR82" s="375"/>
      <c r="AS82" s="375"/>
      <c r="AT82" s="375"/>
      <c r="AU82" s="375"/>
      <c r="AV82" s="375"/>
      <c r="AW82" s="375"/>
      <c r="AX82" s="375"/>
      <c r="AY82" s="375"/>
      <c r="AZ82" s="375"/>
      <c r="BA82" s="375"/>
      <c r="BB82" s="375"/>
      <c r="BC82" s="375"/>
      <c r="BD82" s="375"/>
      <c r="BE82" s="375"/>
      <c r="BF82" s="375"/>
      <c r="BG82" s="375"/>
      <c r="BH82" s="375"/>
      <c r="BI82" s="375"/>
      <c r="BJ82" s="375"/>
      <c r="BK82" s="375"/>
      <c r="BL82" s="375"/>
      <c r="BM82" s="375"/>
      <c r="BN82" s="375"/>
      <c r="BO82" s="375"/>
      <c r="BP82" s="375"/>
      <c r="BQ82" s="375"/>
      <c r="BR82" s="375"/>
      <c r="BS82" s="375"/>
      <c r="BT82" s="375"/>
      <c r="BU82" s="375"/>
      <c r="BV82" s="375"/>
      <c r="BW82" s="375"/>
      <c r="BX82" s="375"/>
      <c r="BY82" s="375"/>
      <c r="BZ82" s="375"/>
    </row>
    <row r="83" spans="2:78" ht="21" hidden="1" customHeight="1" outlineLevel="3">
      <c r="B83" s="367"/>
      <c r="C83" s="370"/>
      <c r="D83" s="374" cm="1">
        <f t="array" ref="D83">EOM_Start_Date</f>
        <v>44957</v>
      </c>
      <c r="E83" s="373" cm="1">
        <f t="array" ref="E83">IF($D83&lt;=LatestMonthOfActuals,0,INDEX($AE$27:$BZ$27,0,MATCH($D83,$AE$8:$BZ$8,0)))</f>
        <v>0</v>
      </c>
      <c r="F83" s="359"/>
      <c r="G83" s="408">
        <f t="shared" ref="G83:J102" si="56">SUMIFS($AE83:$BZ83,$AE$4:$BZ$4,"&gt;="&amp;G$4,$AE$5:$BZ$5,"&lt;="&amp;G$5)</f>
        <v>0</v>
      </c>
      <c r="H83" s="408">
        <f t="shared" si="56"/>
        <v>0</v>
      </c>
      <c r="I83" s="408">
        <f t="shared" si="56"/>
        <v>0</v>
      </c>
      <c r="J83" s="408">
        <f t="shared" si="56"/>
        <v>0</v>
      </c>
      <c r="K83" s="408"/>
      <c r="L83" s="408"/>
      <c r="M83" s="408">
        <f t="shared" ref="M83:AB98" si="57">SUMIFS($AE83:$BZ83,$AE$4:$BZ$4,"&gt;="&amp;M$4,$AE83:$BZ83,"&lt;="&amp;M$5)</f>
        <v>0</v>
      </c>
      <c r="N83" s="408">
        <f t="shared" si="57"/>
        <v>0</v>
      </c>
      <c r="O83" s="408">
        <f t="shared" si="57"/>
        <v>0</v>
      </c>
      <c r="P83" s="408">
        <f t="shared" si="57"/>
        <v>0</v>
      </c>
      <c r="Q83" s="408">
        <f t="shared" si="57"/>
        <v>0</v>
      </c>
      <c r="R83" s="408">
        <f t="shared" si="57"/>
        <v>0</v>
      </c>
      <c r="S83" s="408">
        <f t="shared" si="57"/>
        <v>0</v>
      </c>
      <c r="T83" s="408">
        <f t="shared" si="57"/>
        <v>0</v>
      </c>
      <c r="U83" s="408">
        <f t="shared" si="57"/>
        <v>0</v>
      </c>
      <c r="V83" s="408">
        <f t="shared" si="57"/>
        <v>0</v>
      </c>
      <c r="W83" s="408">
        <f t="shared" si="57"/>
        <v>0</v>
      </c>
      <c r="X83" s="408">
        <f t="shared" si="57"/>
        <v>0</v>
      </c>
      <c r="Y83" s="408">
        <f t="shared" si="57"/>
        <v>0</v>
      </c>
      <c r="Z83" s="408">
        <f t="shared" si="57"/>
        <v>0</v>
      </c>
      <c r="AA83" s="408">
        <f t="shared" si="57"/>
        <v>0</v>
      </c>
      <c r="AB83" s="408">
        <f t="shared" si="57"/>
        <v>0</v>
      </c>
      <c r="AC83" s="524"/>
      <c r="AD83" s="359"/>
      <c r="AE83" s="524">
        <f t="shared" ref="AE83:AO92" si="58">IFERROR(IF(AE$8&gt;=$D83,$E83*(INDEX($E$18:$E$22,(MATCH(MATCH(AE$8,$D$83:$D$130,0)-MATCH($D83,$D$83:$D$130,0),$D$18:$D$22,0)))),0),0)</f>
        <v>0</v>
      </c>
      <c r="AF83" s="524">
        <f t="shared" si="58"/>
        <v>0</v>
      </c>
      <c r="AG83" s="524">
        <f t="shared" si="58"/>
        <v>0</v>
      </c>
      <c r="AH83" s="524">
        <f t="shared" si="58"/>
        <v>0</v>
      </c>
      <c r="AI83" s="524">
        <f t="shared" si="58"/>
        <v>0</v>
      </c>
      <c r="AJ83" s="524">
        <f t="shared" si="58"/>
        <v>0</v>
      </c>
      <c r="AK83" s="524">
        <f t="shared" si="58"/>
        <v>0</v>
      </c>
      <c r="AL83" s="524">
        <f t="shared" si="58"/>
        <v>0</v>
      </c>
      <c r="AM83" s="524">
        <f t="shared" si="58"/>
        <v>0</v>
      </c>
      <c r="AN83" s="524">
        <f t="shared" si="58"/>
        <v>0</v>
      </c>
      <c r="AO83" s="524">
        <f t="shared" si="58"/>
        <v>0</v>
      </c>
      <c r="AP83" s="524">
        <f t="shared" ref="AP83:AP130" si="59">IFERROR(IF(AR$8&gt;=$D83,$E83*(INDEX($E$18:$E$22,(MATCH(MATCH(AR$8,$D$83:$D$130,0)-MATCH($D83,$D$83:$D$130,0),$D$18:$D$22,0)))),0),0)</f>
        <v>0</v>
      </c>
      <c r="AQ83" s="524">
        <f t="shared" ref="AQ83:AZ92" si="60">IFERROR(IF(AQ$8&gt;=$D83,$E83*(INDEX($E$18:$E$22,(MATCH(MATCH(AQ$8,$D$83:$D$130,0)-MATCH($D83,$D$83:$D$130,0),$D$18:$D$22,0)))),0),0)</f>
        <v>0</v>
      </c>
      <c r="AR83" s="524">
        <f t="shared" si="60"/>
        <v>0</v>
      </c>
      <c r="AS83" s="524">
        <f t="shared" si="60"/>
        <v>0</v>
      </c>
      <c r="AT83" s="524">
        <f t="shared" si="60"/>
        <v>0</v>
      </c>
      <c r="AU83" s="524">
        <f t="shared" si="60"/>
        <v>0</v>
      </c>
      <c r="AV83" s="524">
        <f t="shared" si="60"/>
        <v>0</v>
      </c>
      <c r="AW83" s="524">
        <f t="shared" si="60"/>
        <v>0</v>
      </c>
      <c r="AX83" s="524">
        <f t="shared" si="60"/>
        <v>0</v>
      </c>
      <c r="AY83" s="524">
        <f t="shared" si="60"/>
        <v>0</v>
      </c>
      <c r="AZ83" s="524">
        <f t="shared" si="60"/>
        <v>0</v>
      </c>
      <c r="BA83" s="524">
        <f t="shared" ref="BA83:BJ92" si="61">IFERROR(IF(BA$8&gt;=$D83,$E83*(INDEX($E$18:$E$22,(MATCH(MATCH(BA$8,$D$83:$D$130,0)-MATCH($D83,$D$83:$D$130,0),$D$18:$D$22,0)))),0),0)</f>
        <v>0</v>
      </c>
      <c r="BB83" s="524">
        <f t="shared" si="61"/>
        <v>0</v>
      </c>
      <c r="BC83" s="524">
        <f t="shared" si="61"/>
        <v>0</v>
      </c>
      <c r="BD83" s="524">
        <f t="shared" si="61"/>
        <v>0</v>
      </c>
      <c r="BE83" s="524">
        <f t="shared" si="61"/>
        <v>0</v>
      </c>
      <c r="BF83" s="524">
        <f t="shared" si="61"/>
        <v>0</v>
      </c>
      <c r="BG83" s="524">
        <f t="shared" si="61"/>
        <v>0</v>
      </c>
      <c r="BH83" s="524">
        <f t="shared" si="61"/>
        <v>0</v>
      </c>
      <c r="BI83" s="524">
        <f t="shared" si="61"/>
        <v>0</v>
      </c>
      <c r="BJ83" s="524">
        <f t="shared" si="61"/>
        <v>0</v>
      </c>
      <c r="BK83" s="524">
        <f t="shared" ref="BK83:BT92" si="62">IFERROR(IF(BK$8&gt;=$D83,$E83*(INDEX($E$18:$E$22,(MATCH(MATCH(BK$8,$D$83:$D$130,0)-MATCH($D83,$D$83:$D$130,0),$D$18:$D$22,0)))),0),0)</f>
        <v>0</v>
      </c>
      <c r="BL83" s="524">
        <f t="shared" si="62"/>
        <v>0</v>
      </c>
      <c r="BM83" s="524">
        <f t="shared" si="62"/>
        <v>0</v>
      </c>
      <c r="BN83" s="524">
        <f t="shared" si="62"/>
        <v>0</v>
      </c>
      <c r="BO83" s="524">
        <f t="shared" si="62"/>
        <v>0</v>
      </c>
      <c r="BP83" s="524">
        <f t="shared" si="62"/>
        <v>0</v>
      </c>
      <c r="BQ83" s="524">
        <f t="shared" si="62"/>
        <v>0</v>
      </c>
      <c r="BR83" s="524">
        <f t="shared" si="62"/>
        <v>0</v>
      </c>
      <c r="BS83" s="524">
        <f t="shared" si="62"/>
        <v>0</v>
      </c>
      <c r="BT83" s="524">
        <f t="shared" si="62"/>
        <v>0</v>
      </c>
      <c r="BU83" s="524">
        <f t="shared" ref="BU83:BZ92" si="63">IFERROR(IF(BU$8&gt;=$D83,$E83*(INDEX($E$18:$E$22,(MATCH(MATCH(BU$8,$D$83:$D$130,0)-MATCH($D83,$D$83:$D$130,0),$D$18:$D$22,0)))),0),0)</f>
        <v>0</v>
      </c>
      <c r="BV83" s="524">
        <f t="shared" si="63"/>
        <v>0</v>
      </c>
      <c r="BW83" s="524">
        <f t="shared" si="63"/>
        <v>0</v>
      </c>
      <c r="BX83" s="524">
        <f t="shared" si="63"/>
        <v>0</v>
      </c>
      <c r="BY83" s="524">
        <f t="shared" si="63"/>
        <v>0</v>
      </c>
      <c r="BZ83" s="524">
        <f t="shared" si="63"/>
        <v>0</v>
      </c>
    </row>
    <row r="84" spans="2:78" ht="21" hidden="1" customHeight="1" outlineLevel="3">
      <c r="B84" s="367"/>
      <c r="C84" s="370"/>
      <c r="D84" s="374">
        <f t="shared" ref="D84:D130" si="64">EOMONTH(D83,1)</f>
        <v>44985</v>
      </c>
      <c r="E84" s="373" cm="1">
        <f t="array" ref="E84">IF($D84&lt;=LatestMonthOfActuals,0,INDEX($AE$27:$BZ$27,0,MATCH($D84,$AE$8:$BZ$8,0)))</f>
        <v>0</v>
      </c>
      <c r="F84" s="359"/>
      <c r="G84" s="408">
        <f t="shared" si="56"/>
        <v>0</v>
      </c>
      <c r="H84" s="408">
        <f t="shared" si="56"/>
        <v>0</v>
      </c>
      <c r="I84" s="408">
        <f t="shared" si="56"/>
        <v>0</v>
      </c>
      <c r="J84" s="408">
        <f t="shared" si="56"/>
        <v>0</v>
      </c>
      <c r="K84" s="408"/>
      <c r="L84" s="408"/>
      <c r="M84" s="408">
        <f t="shared" si="57"/>
        <v>0</v>
      </c>
      <c r="N84" s="408">
        <f t="shared" si="57"/>
        <v>0</v>
      </c>
      <c r="O84" s="408">
        <f t="shared" si="57"/>
        <v>0</v>
      </c>
      <c r="P84" s="408">
        <f t="shared" si="57"/>
        <v>0</v>
      </c>
      <c r="Q84" s="408">
        <f t="shared" si="57"/>
        <v>0</v>
      </c>
      <c r="R84" s="408">
        <f t="shared" si="57"/>
        <v>0</v>
      </c>
      <c r="S84" s="408">
        <f t="shared" si="57"/>
        <v>0</v>
      </c>
      <c r="T84" s="408">
        <f t="shared" si="57"/>
        <v>0</v>
      </c>
      <c r="U84" s="408">
        <f t="shared" si="57"/>
        <v>0</v>
      </c>
      <c r="V84" s="408">
        <f t="shared" si="57"/>
        <v>0</v>
      </c>
      <c r="W84" s="408">
        <f t="shared" si="57"/>
        <v>0</v>
      </c>
      <c r="X84" s="408">
        <f t="shared" si="57"/>
        <v>0</v>
      </c>
      <c r="Y84" s="408">
        <f t="shared" si="57"/>
        <v>0</v>
      </c>
      <c r="Z84" s="408">
        <f t="shared" si="57"/>
        <v>0</v>
      </c>
      <c r="AA84" s="408">
        <f t="shared" si="57"/>
        <v>0</v>
      </c>
      <c r="AB84" s="408">
        <f t="shared" si="57"/>
        <v>0</v>
      </c>
      <c r="AC84" s="524"/>
      <c r="AD84" s="359"/>
      <c r="AE84" s="524">
        <f t="shared" si="58"/>
        <v>0</v>
      </c>
      <c r="AF84" s="524">
        <f t="shared" si="58"/>
        <v>0</v>
      </c>
      <c r="AG84" s="524">
        <f t="shared" si="58"/>
        <v>0</v>
      </c>
      <c r="AH84" s="524">
        <f t="shared" si="58"/>
        <v>0</v>
      </c>
      <c r="AI84" s="524">
        <f t="shared" si="58"/>
        <v>0</v>
      </c>
      <c r="AJ84" s="524">
        <f t="shared" si="58"/>
        <v>0</v>
      </c>
      <c r="AK84" s="524">
        <f t="shared" si="58"/>
        <v>0</v>
      </c>
      <c r="AL84" s="524">
        <f t="shared" si="58"/>
        <v>0</v>
      </c>
      <c r="AM84" s="524">
        <f t="shared" si="58"/>
        <v>0</v>
      </c>
      <c r="AN84" s="524">
        <f t="shared" si="58"/>
        <v>0</v>
      </c>
      <c r="AO84" s="524">
        <f t="shared" si="58"/>
        <v>0</v>
      </c>
      <c r="AP84" s="524">
        <f t="shared" si="59"/>
        <v>0</v>
      </c>
      <c r="AQ84" s="524">
        <f t="shared" si="60"/>
        <v>0</v>
      </c>
      <c r="AR84" s="524">
        <f t="shared" si="60"/>
        <v>0</v>
      </c>
      <c r="AS84" s="524">
        <f t="shared" si="60"/>
        <v>0</v>
      </c>
      <c r="AT84" s="524">
        <f t="shared" si="60"/>
        <v>0</v>
      </c>
      <c r="AU84" s="524">
        <f t="shared" si="60"/>
        <v>0</v>
      </c>
      <c r="AV84" s="524">
        <f t="shared" si="60"/>
        <v>0</v>
      </c>
      <c r="AW84" s="524">
        <f t="shared" si="60"/>
        <v>0</v>
      </c>
      <c r="AX84" s="524">
        <f t="shared" si="60"/>
        <v>0</v>
      </c>
      <c r="AY84" s="524">
        <f t="shared" si="60"/>
        <v>0</v>
      </c>
      <c r="AZ84" s="524">
        <f t="shared" si="60"/>
        <v>0</v>
      </c>
      <c r="BA84" s="524">
        <f t="shared" si="61"/>
        <v>0</v>
      </c>
      <c r="BB84" s="524">
        <f t="shared" si="61"/>
        <v>0</v>
      </c>
      <c r="BC84" s="524">
        <f t="shared" si="61"/>
        <v>0</v>
      </c>
      <c r="BD84" s="524">
        <f t="shared" si="61"/>
        <v>0</v>
      </c>
      <c r="BE84" s="524">
        <f t="shared" si="61"/>
        <v>0</v>
      </c>
      <c r="BF84" s="524">
        <f t="shared" si="61"/>
        <v>0</v>
      </c>
      <c r="BG84" s="524">
        <f t="shared" si="61"/>
        <v>0</v>
      </c>
      <c r="BH84" s="524">
        <f t="shared" si="61"/>
        <v>0</v>
      </c>
      <c r="BI84" s="524">
        <f t="shared" si="61"/>
        <v>0</v>
      </c>
      <c r="BJ84" s="524">
        <f t="shared" si="61"/>
        <v>0</v>
      </c>
      <c r="BK84" s="524">
        <f t="shared" si="62"/>
        <v>0</v>
      </c>
      <c r="BL84" s="524">
        <f t="shared" si="62"/>
        <v>0</v>
      </c>
      <c r="BM84" s="524">
        <f t="shared" si="62"/>
        <v>0</v>
      </c>
      <c r="BN84" s="524">
        <f t="shared" si="62"/>
        <v>0</v>
      </c>
      <c r="BO84" s="524">
        <f t="shared" si="62"/>
        <v>0</v>
      </c>
      <c r="BP84" s="524">
        <f t="shared" si="62"/>
        <v>0</v>
      </c>
      <c r="BQ84" s="524">
        <f t="shared" si="62"/>
        <v>0</v>
      </c>
      <c r="BR84" s="524">
        <f t="shared" si="62"/>
        <v>0</v>
      </c>
      <c r="BS84" s="524">
        <f t="shared" si="62"/>
        <v>0</v>
      </c>
      <c r="BT84" s="524">
        <f t="shared" si="62"/>
        <v>0</v>
      </c>
      <c r="BU84" s="524">
        <f t="shared" si="63"/>
        <v>0</v>
      </c>
      <c r="BV84" s="524">
        <f t="shared" si="63"/>
        <v>0</v>
      </c>
      <c r="BW84" s="524">
        <f t="shared" si="63"/>
        <v>0</v>
      </c>
      <c r="BX84" s="524">
        <f t="shared" si="63"/>
        <v>0</v>
      </c>
      <c r="BY84" s="524">
        <f t="shared" si="63"/>
        <v>0</v>
      </c>
      <c r="BZ84" s="524">
        <f t="shared" si="63"/>
        <v>0</v>
      </c>
    </row>
    <row r="85" spans="2:78" ht="21" hidden="1" customHeight="1" outlineLevel="3">
      <c r="B85" s="367"/>
      <c r="C85" s="370"/>
      <c r="D85" s="374">
        <f t="shared" si="64"/>
        <v>45016</v>
      </c>
      <c r="E85" s="373" cm="1">
        <f t="array" ref="E85">IF($D85&lt;=LatestMonthOfActuals,0,INDEX($AE$27:$BZ$27,0,MATCH($D85,$AE$8:$BZ$8,0)))</f>
        <v>0</v>
      </c>
      <c r="F85" s="359"/>
      <c r="G85" s="408">
        <f t="shared" si="56"/>
        <v>0</v>
      </c>
      <c r="H85" s="408">
        <f t="shared" si="56"/>
        <v>0</v>
      </c>
      <c r="I85" s="408">
        <f t="shared" si="56"/>
        <v>0</v>
      </c>
      <c r="J85" s="408">
        <f t="shared" si="56"/>
        <v>0</v>
      </c>
      <c r="K85" s="408"/>
      <c r="L85" s="408"/>
      <c r="M85" s="408">
        <f t="shared" si="57"/>
        <v>0</v>
      </c>
      <c r="N85" s="408">
        <f t="shared" si="57"/>
        <v>0</v>
      </c>
      <c r="O85" s="408">
        <f t="shared" si="57"/>
        <v>0</v>
      </c>
      <c r="P85" s="408">
        <f t="shared" si="57"/>
        <v>0</v>
      </c>
      <c r="Q85" s="408">
        <f t="shared" si="57"/>
        <v>0</v>
      </c>
      <c r="R85" s="408">
        <f t="shared" si="57"/>
        <v>0</v>
      </c>
      <c r="S85" s="408">
        <f t="shared" si="57"/>
        <v>0</v>
      </c>
      <c r="T85" s="408">
        <f t="shared" si="57"/>
        <v>0</v>
      </c>
      <c r="U85" s="408">
        <f t="shared" si="57"/>
        <v>0</v>
      </c>
      <c r="V85" s="408">
        <f t="shared" si="57"/>
        <v>0</v>
      </c>
      <c r="W85" s="408">
        <f t="shared" si="57"/>
        <v>0</v>
      </c>
      <c r="X85" s="408">
        <f t="shared" si="57"/>
        <v>0</v>
      </c>
      <c r="Y85" s="408">
        <f t="shared" si="57"/>
        <v>0</v>
      </c>
      <c r="Z85" s="408">
        <f t="shared" si="57"/>
        <v>0</v>
      </c>
      <c r="AA85" s="408">
        <f t="shared" si="57"/>
        <v>0</v>
      </c>
      <c r="AB85" s="408">
        <f t="shared" si="57"/>
        <v>0</v>
      </c>
      <c r="AC85" s="524"/>
      <c r="AD85" s="359"/>
      <c r="AE85" s="524">
        <f t="shared" si="58"/>
        <v>0</v>
      </c>
      <c r="AF85" s="524">
        <f t="shared" si="58"/>
        <v>0</v>
      </c>
      <c r="AG85" s="524">
        <f t="shared" si="58"/>
        <v>0</v>
      </c>
      <c r="AH85" s="524">
        <f t="shared" si="58"/>
        <v>0</v>
      </c>
      <c r="AI85" s="524">
        <f t="shared" si="58"/>
        <v>0</v>
      </c>
      <c r="AJ85" s="524">
        <f t="shared" si="58"/>
        <v>0</v>
      </c>
      <c r="AK85" s="524">
        <f t="shared" si="58"/>
        <v>0</v>
      </c>
      <c r="AL85" s="524">
        <f t="shared" si="58"/>
        <v>0</v>
      </c>
      <c r="AM85" s="524">
        <f t="shared" si="58"/>
        <v>0</v>
      </c>
      <c r="AN85" s="524">
        <f t="shared" si="58"/>
        <v>0</v>
      </c>
      <c r="AO85" s="524">
        <f t="shared" si="58"/>
        <v>0</v>
      </c>
      <c r="AP85" s="524">
        <f t="shared" si="59"/>
        <v>0</v>
      </c>
      <c r="AQ85" s="524">
        <f t="shared" si="60"/>
        <v>0</v>
      </c>
      <c r="AR85" s="524">
        <f t="shared" si="60"/>
        <v>0</v>
      </c>
      <c r="AS85" s="524">
        <f t="shared" si="60"/>
        <v>0</v>
      </c>
      <c r="AT85" s="524">
        <f t="shared" si="60"/>
        <v>0</v>
      </c>
      <c r="AU85" s="524">
        <f t="shared" si="60"/>
        <v>0</v>
      </c>
      <c r="AV85" s="524">
        <f t="shared" si="60"/>
        <v>0</v>
      </c>
      <c r="AW85" s="524">
        <f t="shared" si="60"/>
        <v>0</v>
      </c>
      <c r="AX85" s="524">
        <f t="shared" si="60"/>
        <v>0</v>
      </c>
      <c r="AY85" s="524">
        <f t="shared" si="60"/>
        <v>0</v>
      </c>
      <c r="AZ85" s="524">
        <f t="shared" si="60"/>
        <v>0</v>
      </c>
      <c r="BA85" s="524">
        <f t="shared" si="61"/>
        <v>0</v>
      </c>
      <c r="BB85" s="524">
        <f t="shared" si="61"/>
        <v>0</v>
      </c>
      <c r="BC85" s="524">
        <f t="shared" si="61"/>
        <v>0</v>
      </c>
      <c r="BD85" s="524">
        <f t="shared" si="61"/>
        <v>0</v>
      </c>
      <c r="BE85" s="524">
        <f t="shared" si="61"/>
        <v>0</v>
      </c>
      <c r="BF85" s="524">
        <f t="shared" si="61"/>
        <v>0</v>
      </c>
      <c r="BG85" s="524">
        <f t="shared" si="61"/>
        <v>0</v>
      </c>
      <c r="BH85" s="524">
        <f t="shared" si="61"/>
        <v>0</v>
      </c>
      <c r="BI85" s="524">
        <f t="shared" si="61"/>
        <v>0</v>
      </c>
      <c r="BJ85" s="524">
        <f t="shared" si="61"/>
        <v>0</v>
      </c>
      <c r="BK85" s="524">
        <f t="shared" si="62"/>
        <v>0</v>
      </c>
      <c r="BL85" s="524">
        <f t="shared" si="62"/>
        <v>0</v>
      </c>
      <c r="BM85" s="524">
        <f t="shared" si="62"/>
        <v>0</v>
      </c>
      <c r="BN85" s="524">
        <f t="shared" si="62"/>
        <v>0</v>
      </c>
      <c r="BO85" s="524">
        <f t="shared" si="62"/>
        <v>0</v>
      </c>
      <c r="BP85" s="524">
        <f t="shared" si="62"/>
        <v>0</v>
      </c>
      <c r="BQ85" s="524">
        <f t="shared" si="62"/>
        <v>0</v>
      </c>
      <c r="BR85" s="524">
        <f t="shared" si="62"/>
        <v>0</v>
      </c>
      <c r="BS85" s="524">
        <f t="shared" si="62"/>
        <v>0</v>
      </c>
      <c r="BT85" s="524">
        <f t="shared" si="62"/>
        <v>0</v>
      </c>
      <c r="BU85" s="524">
        <f t="shared" si="63"/>
        <v>0</v>
      </c>
      <c r="BV85" s="524">
        <f t="shared" si="63"/>
        <v>0</v>
      </c>
      <c r="BW85" s="524">
        <f t="shared" si="63"/>
        <v>0</v>
      </c>
      <c r="BX85" s="524">
        <f t="shared" si="63"/>
        <v>0</v>
      </c>
      <c r="BY85" s="524">
        <f t="shared" si="63"/>
        <v>0</v>
      </c>
      <c r="BZ85" s="524">
        <f t="shared" si="63"/>
        <v>0</v>
      </c>
    </row>
    <row r="86" spans="2:78" ht="21" hidden="1" customHeight="1" outlineLevel="3">
      <c r="B86" s="367"/>
      <c r="C86" s="370"/>
      <c r="D86" s="374">
        <f t="shared" si="64"/>
        <v>45046</v>
      </c>
      <c r="E86" s="373" cm="1">
        <f t="array" ref="E86">IF($D86&lt;=LatestMonthOfActuals,0,INDEX($AE$27:$BZ$27,0,MATCH($D86,$AE$8:$BZ$8,0)))</f>
        <v>0</v>
      </c>
      <c r="F86" s="359"/>
      <c r="G86" s="408">
        <f t="shared" si="56"/>
        <v>0</v>
      </c>
      <c r="H86" s="408">
        <f t="shared" si="56"/>
        <v>0</v>
      </c>
      <c r="I86" s="408">
        <f t="shared" si="56"/>
        <v>0</v>
      </c>
      <c r="J86" s="408">
        <f t="shared" si="56"/>
        <v>0</v>
      </c>
      <c r="K86" s="408"/>
      <c r="L86" s="408"/>
      <c r="M86" s="408">
        <f t="shared" si="57"/>
        <v>0</v>
      </c>
      <c r="N86" s="408">
        <f t="shared" si="57"/>
        <v>0</v>
      </c>
      <c r="O86" s="408">
        <f t="shared" si="57"/>
        <v>0</v>
      </c>
      <c r="P86" s="408">
        <f t="shared" si="57"/>
        <v>0</v>
      </c>
      <c r="Q86" s="408">
        <f t="shared" si="57"/>
        <v>0</v>
      </c>
      <c r="R86" s="408">
        <f t="shared" si="57"/>
        <v>0</v>
      </c>
      <c r="S86" s="408">
        <f t="shared" si="57"/>
        <v>0</v>
      </c>
      <c r="T86" s="408">
        <f t="shared" si="57"/>
        <v>0</v>
      </c>
      <c r="U86" s="408">
        <f t="shared" si="57"/>
        <v>0</v>
      </c>
      <c r="V86" s="408">
        <f t="shared" si="57"/>
        <v>0</v>
      </c>
      <c r="W86" s="408">
        <f t="shared" si="57"/>
        <v>0</v>
      </c>
      <c r="X86" s="408">
        <f t="shared" si="57"/>
        <v>0</v>
      </c>
      <c r="Y86" s="408">
        <f t="shared" si="57"/>
        <v>0</v>
      </c>
      <c r="Z86" s="408">
        <f t="shared" si="57"/>
        <v>0</v>
      </c>
      <c r="AA86" s="408">
        <f t="shared" si="57"/>
        <v>0</v>
      </c>
      <c r="AB86" s="408">
        <f t="shared" si="57"/>
        <v>0</v>
      </c>
      <c r="AC86" s="524"/>
      <c r="AD86" s="359"/>
      <c r="AE86" s="524">
        <f t="shared" si="58"/>
        <v>0</v>
      </c>
      <c r="AF86" s="524">
        <f t="shared" si="58"/>
        <v>0</v>
      </c>
      <c r="AG86" s="524">
        <f t="shared" si="58"/>
        <v>0</v>
      </c>
      <c r="AH86" s="524">
        <f t="shared" si="58"/>
        <v>0</v>
      </c>
      <c r="AI86" s="524">
        <f t="shared" si="58"/>
        <v>0</v>
      </c>
      <c r="AJ86" s="524">
        <f t="shared" si="58"/>
        <v>0</v>
      </c>
      <c r="AK86" s="524">
        <f t="shared" si="58"/>
        <v>0</v>
      </c>
      <c r="AL86" s="524">
        <f t="shared" si="58"/>
        <v>0</v>
      </c>
      <c r="AM86" s="524">
        <f t="shared" si="58"/>
        <v>0</v>
      </c>
      <c r="AN86" s="524">
        <f t="shared" si="58"/>
        <v>0</v>
      </c>
      <c r="AO86" s="524">
        <f t="shared" si="58"/>
        <v>0</v>
      </c>
      <c r="AP86" s="524">
        <f t="shared" si="59"/>
        <v>0</v>
      </c>
      <c r="AQ86" s="524">
        <f t="shared" si="60"/>
        <v>0</v>
      </c>
      <c r="AR86" s="524">
        <f t="shared" si="60"/>
        <v>0</v>
      </c>
      <c r="AS86" s="524">
        <f t="shared" si="60"/>
        <v>0</v>
      </c>
      <c r="AT86" s="524">
        <f t="shared" si="60"/>
        <v>0</v>
      </c>
      <c r="AU86" s="524">
        <f t="shared" si="60"/>
        <v>0</v>
      </c>
      <c r="AV86" s="524">
        <f t="shared" si="60"/>
        <v>0</v>
      </c>
      <c r="AW86" s="524">
        <f t="shared" si="60"/>
        <v>0</v>
      </c>
      <c r="AX86" s="524">
        <f t="shared" si="60"/>
        <v>0</v>
      </c>
      <c r="AY86" s="524">
        <f t="shared" si="60"/>
        <v>0</v>
      </c>
      <c r="AZ86" s="524">
        <f t="shared" si="60"/>
        <v>0</v>
      </c>
      <c r="BA86" s="524">
        <f t="shared" si="61"/>
        <v>0</v>
      </c>
      <c r="BB86" s="524">
        <f t="shared" si="61"/>
        <v>0</v>
      </c>
      <c r="BC86" s="524">
        <f t="shared" si="61"/>
        <v>0</v>
      </c>
      <c r="BD86" s="524">
        <f t="shared" si="61"/>
        <v>0</v>
      </c>
      <c r="BE86" s="524">
        <f t="shared" si="61"/>
        <v>0</v>
      </c>
      <c r="BF86" s="524">
        <f t="shared" si="61"/>
        <v>0</v>
      </c>
      <c r="BG86" s="524">
        <f t="shared" si="61"/>
        <v>0</v>
      </c>
      <c r="BH86" s="524">
        <f t="shared" si="61"/>
        <v>0</v>
      </c>
      <c r="BI86" s="524">
        <f t="shared" si="61"/>
        <v>0</v>
      </c>
      <c r="BJ86" s="524">
        <f t="shared" si="61"/>
        <v>0</v>
      </c>
      <c r="BK86" s="524">
        <f t="shared" si="62"/>
        <v>0</v>
      </c>
      <c r="BL86" s="524">
        <f t="shared" si="62"/>
        <v>0</v>
      </c>
      <c r="BM86" s="524">
        <f t="shared" si="62"/>
        <v>0</v>
      </c>
      <c r="BN86" s="524">
        <f t="shared" si="62"/>
        <v>0</v>
      </c>
      <c r="BO86" s="524">
        <f t="shared" si="62"/>
        <v>0</v>
      </c>
      <c r="BP86" s="524">
        <f t="shared" si="62"/>
        <v>0</v>
      </c>
      <c r="BQ86" s="524">
        <f t="shared" si="62"/>
        <v>0</v>
      </c>
      <c r="BR86" s="524">
        <f t="shared" si="62"/>
        <v>0</v>
      </c>
      <c r="BS86" s="524">
        <f t="shared" si="62"/>
        <v>0</v>
      </c>
      <c r="BT86" s="524">
        <f t="shared" si="62"/>
        <v>0</v>
      </c>
      <c r="BU86" s="524">
        <f t="shared" si="63"/>
        <v>0</v>
      </c>
      <c r="BV86" s="524">
        <f t="shared" si="63"/>
        <v>0</v>
      </c>
      <c r="BW86" s="524">
        <f t="shared" si="63"/>
        <v>0</v>
      </c>
      <c r="BX86" s="524">
        <f t="shared" si="63"/>
        <v>0</v>
      </c>
      <c r="BY86" s="524">
        <f t="shared" si="63"/>
        <v>0</v>
      </c>
      <c r="BZ86" s="524">
        <f t="shared" si="63"/>
        <v>0</v>
      </c>
    </row>
    <row r="87" spans="2:78" ht="21" hidden="1" customHeight="1" outlineLevel="3">
      <c r="B87" s="367"/>
      <c r="C87" s="370"/>
      <c r="D87" s="374">
        <f t="shared" si="64"/>
        <v>45077</v>
      </c>
      <c r="E87" s="373" cm="1">
        <f t="array" ref="E87">IF($D87&lt;=LatestMonthOfActuals,0,INDEX($AE$27:$BZ$27,0,MATCH($D87,$AE$8:$BZ$8,0)))</f>
        <v>0</v>
      </c>
      <c r="F87" s="359"/>
      <c r="G87" s="408">
        <f t="shared" si="56"/>
        <v>0</v>
      </c>
      <c r="H87" s="408">
        <f t="shared" si="56"/>
        <v>0</v>
      </c>
      <c r="I87" s="408">
        <f t="shared" si="56"/>
        <v>0</v>
      </c>
      <c r="J87" s="408">
        <f t="shared" si="56"/>
        <v>0</v>
      </c>
      <c r="K87" s="408"/>
      <c r="L87" s="408"/>
      <c r="M87" s="408">
        <f t="shared" si="57"/>
        <v>0</v>
      </c>
      <c r="N87" s="408">
        <f t="shared" si="57"/>
        <v>0</v>
      </c>
      <c r="O87" s="408">
        <f t="shared" si="57"/>
        <v>0</v>
      </c>
      <c r="P87" s="408">
        <f t="shared" si="57"/>
        <v>0</v>
      </c>
      <c r="Q87" s="408">
        <f t="shared" si="57"/>
        <v>0</v>
      </c>
      <c r="R87" s="408">
        <f t="shared" si="57"/>
        <v>0</v>
      </c>
      <c r="S87" s="408">
        <f t="shared" si="57"/>
        <v>0</v>
      </c>
      <c r="T87" s="408">
        <f t="shared" si="57"/>
        <v>0</v>
      </c>
      <c r="U87" s="408">
        <f t="shared" si="57"/>
        <v>0</v>
      </c>
      <c r="V87" s="408">
        <f t="shared" si="57"/>
        <v>0</v>
      </c>
      <c r="W87" s="408">
        <f t="shared" si="57"/>
        <v>0</v>
      </c>
      <c r="X87" s="408">
        <f t="shared" si="57"/>
        <v>0</v>
      </c>
      <c r="Y87" s="408">
        <f t="shared" si="57"/>
        <v>0</v>
      </c>
      <c r="Z87" s="408">
        <f t="shared" si="57"/>
        <v>0</v>
      </c>
      <c r="AA87" s="408">
        <f t="shared" si="57"/>
        <v>0</v>
      </c>
      <c r="AB87" s="408">
        <f t="shared" si="57"/>
        <v>0</v>
      </c>
      <c r="AC87" s="524"/>
      <c r="AD87" s="359"/>
      <c r="AE87" s="524">
        <f t="shared" si="58"/>
        <v>0</v>
      </c>
      <c r="AF87" s="524">
        <f t="shared" si="58"/>
        <v>0</v>
      </c>
      <c r="AG87" s="524">
        <f t="shared" si="58"/>
        <v>0</v>
      </c>
      <c r="AH87" s="524">
        <f t="shared" si="58"/>
        <v>0</v>
      </c>
      <c r="AI87" s="524">
        <f t="shared" si="58"/>
        <v>0</v>
      </c>
      <c r="AJ87" s="524">
        <f t="shared" si="58"/>
        <v>0</v>
      </c>
      <c r="AK87" s="524">
        <f t="shared" si="58"/>
        <v>0</v>
      </c>
      <c r="AL87" s="524">
        <f t="shared" si="58"/>
        <v>0</v>
      </c>
      <c r="AM87" s="524">
        <f t="shared" si="58"/>
        <v>0</v>
      </c>
      <c r="AN87" s="524">
        <f t="shared" si="58"/>
        <v>0</v>
      </c>
      <c r="AO87" s="524">
        <f t="shared" si="58"/>
        <v>0</v>
      </c>
      <c r="AP87" s="524">
        <f t="shared" si="59"/>
        <v>0</v>
      </c>
      <c r="AQ87" s="524">
        <f t="shared" si="60"/>
        <v>0</v>
      </c>
      <c r="AR87" s="524">
        <f t="shared" si="60"/>
        <v>0</v>
      </c>
      <c r="AS87" s="524">
        <f t="shared" si="60"/>
        <v>0</v>
      </c>
      <c r="AT87" s="524">
        <f t="shared" si="60"/>
        <v>0</v>
      </c>
      <c r="AU87" s="524">
        <f t="shared" si="60"/>
        <v>0</v>
      </c>
      <c r="AV87" s="524">
        <f t="shared" si="60"/>
        <v>0</v>
      </c>
      <c r="AW87" s="524">
        <f t="shared" si="60"/>
        <v>0</v>
      </c>
      <c r="AX87" s="524">
        <f t="shared" si="60"/>
        <v>0</v>
      </c>
      <c r="AY87" s="524">
        <f t="shared" si="60"/>
        <v>0</v>
      </c>
      <c r="AZ87" s="524">
        <f t="shared" si="60"/>
        <v>0</v>
      </c>
      <c r="BA87" s="524">
        <f t="shared" si="61"/>
        <v>0</v>
      </c>
      <c r="BB87" s="524">
        <f t="shared" si="61"/>
        <v>0</v>
      </c>
      <c r="BC87" s="524">
        <f t="shared" si="61"/>
        <v>0</v>
      </c>
      <c r="BD87" s="524">
        <f t="shared" si="61"/>
        <v>0</v>
      </c>
      <c r="BE87" s="524">
        <f t="shared" si="61"/>
        <v>0</v>
      </c>
      <c r="BF87" s="524">
        <f t="shared" si="61"/>
        <v>0</v>
      </c>
      <c r="BG87" s="524">
        <f t="shared" si="61"/>
        <v>0</v>
      </c>
      <c r="BH87" s="524">
        <f t="shared" si="61"/>
        <v>0</v>
      </c>
      <c r="BI87" s="524">
        <f t="shared" si="61"/>
        <v>0</v>
      </c>
      <c r="BJ87" s="524">
        <f t="shared" si="61"/>
        <v>0</v>
      </c>
      <c r="BK87" s="524">
        <f t="shared" si="62"/>
        <v>0</v>
      </c>
      <c r="BL87" s="524">
        <f t="shared" si="62"/>
        <v>0</v>
      </c>
      <c r="BM87" s="524">
        <f t="shared" si="62"/>
        <v>0</v>
      </c>
      <c r="BN87" s="524">
        <f t="shared" si="62"/>
        <v>0</v>
      </c>
      <c r="BO87" s="524">
        <f t="shared" si="62"/>
        <v>0</v>
      </c>
      <c r="BP87" s="524">
        <f t="shared" si="62"/>
        <v>0</v>
      </c>
      <c r="BQ87" s="524">
        <f t="shared" si="62"/>
        <v>0</v>
      </c>
      <c r="BR87" s="524">
        <f t="shared" si="62"/>
        <v>0</v>
      </c>
      <c r="BS87" s="524">
        <f t="shared" si="62"/>
        <v>0</v>
      </c>
      <c r="BT87" s="524">
        <f t="shared" si="62"/>
        <v>0</v>
      </c>
      <c r="BU87" s="524">
        <f t="shared" si="63"/>
        <v>0</v>
      </c>
      <c r="BV87" s="524">
        <f t="shared" si="63"/>
        <v>0</v>
      </c>
      <c r="BW87" s="524">
        <f t="shared" si="63"/>
        <v>0</v>
      </c>
      <c r="BX87" s="524">
        <f t="shared" si="63"/>
        <v>0</v>
      </c>
      <c r="BY87" s="524">
        <f t="shared" si="63"/>
        <v>0</v>
      </c>
      <c r="BZ87" s="524">
        <f t="shared" si="63"/>
        <v>0</v>
      </c>
    </row>
    <row r="88" spans="2:78" ht="21" hidden="1" customHeight="1" outlineLevel="3">
      <c r="B88" s="367"/>
      <c r="C88" s="370"/>
      <c r="D88" s="374">
        <f t="shared" si="64"/>
        <v>45107</v>
      </c>
      <c r="E88" s="373" cm="1">
        <f t="array" ref="E88">IF($D88&lt;=LatestMonthOfActuals,0,INDEX($AE$27:$BZ$27,0,MATCH($D88,$AE$8:$BZ$8,0)))</f>
        <v>0</v>
      </c>
      <c r="F88" s="359"/>
      <c r="G88" s="408">
        <f t="shared" si="56"/>
        <v>0</v>
      </c>
      <c r="H88" s="408">
        <f t="shared" si="56"/>
        <v>0</v>
      </c>
      <c r="I88" s="408">
        <f t="shared" si="56"/>
        <v>0</v>
      </c>
      <c r="J88" s="408">
        <f t="shared" si="56"/>
        <v>0</v>
      </c>
      <c r="K88" s="408"/>
      <c r="L88" s="408"/>
      <c r="M88" s="408">
        <f t="shared" si="57"/>
        <v>0</v>
      </c>
      <c r="N88" s="408">
        <f t="shared" si="57"/>
        <v>0</v>
      </c>
      <c r="O88" s="408">
        <f t="shared" si="57"/>
        <v>0</v>
      </c>
      <c r="P88" s="408">
        <f t="shared" si="57"/>
        <v>0</v>
      </c>
      <c r="Q88" s="408">
        <f t="shared" si="57"/>
        <v>0</v>
      </c>
      <c r="R88" s="408">
        <f t="shared" si="57"/>
        <v>0</v>
      </c>
      <c r="S88" s="408">
        <f t="shared" si="57"/>
        <v>0</v>
      </c>
      <c r="T88" s="408">
        <f t="shared" si="57"/>
        <v>0</v>
      </c>
      <c r="U88" s="408">
        <f t="shared" si="57"/>
        <v>0</v>
      </c>
      <c r="V88" s="408">
        <f t="shared" si="57"/>
        <v>0</v>
      </c>
      <c r="W88" s="408">
        <f t="shared" si="57"/>
        <v>0</v>
      </c>
      <c r="X88" s="408">
        <f t="shared" si="57"/>
        <v>0</v>
      </c>
      <c r="Y88" s="408">
        <f t="shared" si="57"/>
        <v>0</v>
      </c>
      <c r="Z88" s="408">
        <f t="shared" si="57"/>
        <v>0</v>
      </c>
      <c r="AA88" s="408">
        <f t="shared" si="57"/>
        <v>0</v>
      </c>
      <c r="AB88" s="408">
        <f t="shared" si="57"/>
        <v>0</v>
      </c>
      <c r="AC88" s="524"/>
      <c r="AD88" s="359"/>
      <c r="AE88" s="524">
        <f t="shared" si="58"/>
        <v>0</v>
      </c>
      <c r="AF88" s="524">
        <f t="shared" si="58"/>
        <v>0</v>
      </c>
      <c r="AG88" s="524">
        <f t="shared" si="58"/>
        <v>0</v>
      </c>
      <c r="AH88" s="524">
        <f t="shared" si="58"/>
        <v>0</v>
      </c>
      <c r="AI88" s="524">
        <f t="shared" si="58"/>
        <v>0</v>
      </c>
      <c r="AJ88" s="524">
        <f t="shared" si="58"/>
        <v>0</v>
      </c>
      <c r="AK88" s="524">
        <f t="shared" si="58"/>
        <v>0</v>
      </c>
      <c r="AL88" s="524">
        <f t="shared" si="58"/>
        <v>0</v>
      </c>
      <c r="AM88" s="524">
        <f t="shared" si="58"/>
        <v>0</v>
      </c>
      <c r="AN88" s="524">
        <f t="shared" si="58"/>
        <v>0</v>
      </c>
      <c r="AO88" s="524">
        <f t="shared" si="58"/>
        <v>0</v>
      </c>
      <c r="AP88" s="524">
        <f t="shared" si="59"/>
        <v>0</v>
      </c>
      <c r="AQ88" s="524">
        <f t="shared" si="60"/>
        <v>0</v>
      </c>
      <c r="AR88" s="524">
        <f t="shared" si="60"/>
        <v>0</v>
      </c>
      <c r="AS88" s="524">
        <f t="shared" si="60"/>
        <v>0</v>
      </c>
      <c r="AT88" s="524">
        <f t="shared" si="60"/>
        <v>0</v>
      </c>
      <c r="AU88" s="524">
        <f t="shared" si="60"/>
        <v>0</v>
      </c>
      <c r="AV88" s="524">
        <f t="shared" si="60"/>
        <v>0</v>
      </c>
      <c r="AW88" s="524">
        <f t="shared" si="60"/>
        <v>0</v>
      </c>
      <c r="AX88" s="524">
        <f t="shared" si="60"/>
        <v>0</v>
      </c>
      <c r="AY88" s="524">
        <f t="shared" si="60"/>
        <v>0</v>
      </c>
      <c r="AZ88" s="524">
        <f t="shared" si="60"/>
        <v>0</v>
      </c>
      <c r="BA88" s="524">
        <f t="shared" si="61"/>
        <v>0</v>
      </c>
      <c r="BB88" s="524">
        <f t="shared" si="61"/>
        <v>0</v>
      </c>
      <c r="BC88" s="524">
        <f t="shared" si="61"/>
        <v>0</v>
      </c>
      <c r="BD88" s="524">
        <f t="shared" si="61"/>
        <v>0</v>
      </c>
      <c r="BE88" s="524">
        <f t="shared" si="61"/>
        <v>0</v>
      </c>
      <c r="BF88" s="524">
        <f t="shared" si="61"/>
        <v>0</v>
      </c>
      <c r="BG88" s="524">
        <f t="shared" si="61"/>
        <v>0</v>
      </c>
      <c r="BH88" s="524">
        <f t="shared" si="61"/>
        <v>0</v>
      </c>
      <c r="BI88" s="524">
        <f t="shared" si="61"/>
        <v>0</v>
      </c>
      <c r="BJ88" s="524">
        <f t="shared" si="61"/>
        <v>0</v>
      </c>
      <c r="BK88" s="524">
        <f t="shared" si="62"/>
        <v>0</v>
      </c>
      <c r="BL88" s="524">
        <f t="shared" si="62"/>
        <v>0</v>
      </c>
      <c r="BM88" s="524">
        <f t="shared" si="62"/>
        <v>0</v>
      </c>
      <c r="BN88" s="524">
        <f t="shared" si="62"/>
        <v>0</v>
      </c>
      <c r="BO88" s="524">
        <f t="shared" si="62"/>
        <v>0</v>
      </c>
      <c r="BP88" s="524">
        <f t="shared" si="62"/>
        <v>0</v>
      </c>
      <c r="BQ88" s="524">
        <f t="shared" si="62"/>
        <v>0</v>
      </c>
      <c r="BR88" s="524">
        <f t="shared" si="62"/>
        <v>0</v>
      </c>
      <c r="BS88" s="524">
        <f t="shared" si="62"/>
        <v>0</v>
      </c>
      <c r="BT88" s="524">
        <f t="shared" si="62"/>
        <v>0</v>
      </c>
      <c r="BU88" s="524">
        <f t="shared" si="63"/>
        <v>0</v>
      </c>
      <c r="BV88" s="524">
        <f t="shared" si="63"/>
        <v>0</v>
      </c>
      <c r="BW88" s="524">
        <f t="shared" si="63"/>
        <v>0</v>
      </c>
      <c r="BX88" s="524">
        <f t="shared" si="63"/>
        <v>0</v>
      </c>
      <c r="BY88" s="524">
        <f t="shared" si="63"/>
        <v>0</v>
      </c>
      <c r="BZ88" s="524">
        <f t="shared" si="63"/>
        <v>0</v>
      </c>
    </row>
    <row r="89" spans="2:78" ht="21" hidden="1" customHeight="1" outlineLevel="3">
      <c r="B89" s="367"/>
      <c r="C89" s="370"/>
      <c r="D89" s="374">
        <f t="shared" si="64"/>
        <v>45138</v>
      </c>
      <c r="E89" s="373" cm="1">
        <f t="array" ref="E89">IF($D89&lt;=LatestMonthOfActuals,0,INDEX($AE$27:$BZ$27,0,MATCH($D89,$AE$8:$BZ$8,0)))</f>
        <v>0</v>
      </c>
      <c r="F89" s="359"/>
      <c r="G89" s="408">
        <f t="shared" si="56"/>
        <v>0</v>
      </c>
      <c r="H89" s="408">
        <f t="shared" si="56"/>
        <v>0</v>
      </c>
      <c r="I89" s="408">
        <f t="shared" si="56"/>
        <v>0</v>
      </c>
      <c r="J89" s="408">
        <f t="shared" si="56"/>
        <v>0</v>
      </c>
      <c r="K89" s="408"/>
      <c r="L89" s="408"/>
      <c r="M89" s="408">
        <f t="shared" si="57"/>
        <v>0</v>
      </c>
      <c r="N89" s="408">
        <f t="shared" si="57"/>
        <v>0</v>
      </c>
      <c r="O89" s="408">
        <f t="shared" si="57"/>
        <v>0</v>
      </c>
      <c r="P89" s="408">
        <f t="shared" si="57"/>
        <v>0</v>
      </c>
      <c r="Q89" s="408">
        <f t="shared" si="57"/>
        <v>0</v>
      </c>
      <c r="R89" s="408">
        <f t="shared" si="57"/>
        <v>0</v>
      </c>
      <c r="S89" s="408">
        <f t="shared" si="57"/>
        <v>0</v>
      </c>
      <c r="T89" s="408">
        <f t="shared" si="57"/>
        <v>0</v>
      </c>
      <c r="U89" s="408">
        <f t="shared" si="57"/>
        <v>0</v>
      </c>
      <c r="V89" s="408">
        <f t="shared" si="57"/>
        <v>0</v>
      </c>
      <c r="W89" s="408">
        <f t="shared" si="57"/>
        <v>0</v>
      </c>
      <c r="X89" s="408">
        <f t="shared" si="57"/>
        <v>0</v>
      </c>
      <c r="Y89" s="408">
        <f t="shared" si="57"/>
        <v>0</v>
      </c>
      <c r="Z89" s="408">
        <f t="shared" si="57"/>
        <v>0</v>
      </c>
      <c r="AA89" s="408">
        <f t="shared" si="57"/>
        <v>0</v>
      </c>
      <c r="AB89" s="408">
        <f t="shared" si="57"/>
        <v>0</v>
      </c>
      <c r="AC89" s="524"/>
      <c r="AD89" s="359"/>
      <c r="AE89" s="524">
        <f t="shared" si="58"/>
        <v>0</v>
      </c>
      <c r="AF89" s="524">
        <f t="shared" si="58"/>
        <v>0</v>
      </c>
      <c r="AG89" s="524">
        <f t="shared" si="58"/>
        <v>0</v>
      </c>
      <c r="AH89" s="524">
        <f t="shared" si="58"/>
        <v>0</v>
      </c>
      <c r="AI89" s="524">
        <f t="shared" si="58"/>
        <v>0</v>
      </c>
      <c r="AJ89" s="524">
        <f t="shared" si="58"/>
        <v>0</v>
      </c>
      <c r="AK89" s="524">
        <f t="shared" si="58"/>
        <v>0</v>
      </c>
      <c r="AL89" s="524">
        <f t="shared" si="58"/>
        <v>0</v>
      </c>
      <c r="AM89" s="524">
        <f t="shared" si="58"/>
        <v>0</v>
      </c>
      <c r="AN89" s="524">
        <f t="shared" si="58"/>
        <v>0</v>
      </c>
      <c r="AO89" s="524">
        <f t="shared" si="58"/>
        <v>0</v>
      </c>
      <c r="AP89" s="524">
        <f t="shared" si="59"/>
        <v>0</v>
      </c>
      <c r="AQ89" s="524">
        <f t="shared" si="60"/>
        <v>0</v>
      </c>
      <c r="AR89" s="524">
        <f t="shared" si="60"/>
        <v>0</v>
      </c>
      <c r="AS89" s="524">
        <f t="shared" si="60"/>
        <v>0</v>
      </c>
      <c r="AT89" s="524">
        <f t="shared" si="60"/>
        <v>0</v>
      </c>
      <c r="AU89" s="524">
        <f t="shared" si="60"/>
        <v>0</v>
      </c>
      <c r="AV89" s="524">
        <f t="shared" si="60"/>
        <v>0</v>
      </c>
      <c r="AW89" s="524">
        <f t="shared" si="60"/>
        <v>0</v>
      </c>
      <c r="AX89" s="524">
        <f t="shared" si="60"/>
        <v>0</v>
      </c>
      <c r="AY89" s="524">
        <f t="shared" si="60"/>
        <v>0</v>
      </c>
      <c r="AZ89" s="524">
        <f t="shared" si="60"/>
        <v>0</v>
      </c>
      <c r="BA89" s="524">
        <f t="shared" si="61"/>
        <v>0</v>
      </c>
      <c r="BB89" s="524">
        <f t="shared" si="61"/>
        <v>0</v>
      </c>
      <c r="BC89" s="524">
        <f t="shared" si="61"/>
        <v>0</v>
      </c>
      <c r="BD89" s="524">
        <f t="shared" si="61"/>
        <v>0</v>
      </c>
      <c r="BE89" s="524">
        <f t="shared" si="61"/>
        <v>0</v>
      </c>
      <c r="BF89" s="524">
        <f t="shared" si="61"/>
        <v>0</v>
      </c>
      <c r="BG89" s="524">
        <f t="shared" si="61"/>
        <v>0</v>
      </c>
      <c r="BH89" s="524">
        <f t="shared" si="61"/>
        <v>0</v>
      </c>
      <c r="BI89" s="524">
        <f t="shared" si="61"/>
        <v>0</v>
      </c>
      <c r="BJ89" s="524">
        <f t="shared" si="61"/>
        <v>0</v>
      </c>
      <c r="BK89" s="524">
        <f t="shared" si="62"/>
        <v>0</v>
      </c>
      <c r="BL89" s="524">
        <f t="shared" si="62"/>
        <v>0</v>
      </c>
      <c r="BM89" s="524">
        <f t="shared" si="62"/>
        <v>0</v>
      </c>
      <c r="BN89" s="524">
        <f t="shared" si="62"/>
        <v>0</v>
      </c>
      <c r="BO89" s="524">
        <f t="shared" si="62"/>
        <v>0</v>
      </c>
      <c r="BP89" s="524">
        <f t="shared" si="62"/>
        <v>0</v>
      </c>
      <c r="BQ89" s="524">
        <f t="shared" si="62"/>
        <v>0</v>
      </c>
      <c r="BR89" s="524">
        <f t="shared" si="62"/>
        <v>0</v>
      </c>
      <c r="BS89" s="524">
        <f t="shared" si="62"/>
        <v>0</v>
      </c>
      <c r="BT89" s="524">
        <f t="shared" si="62"/>
        <v>0</v>
      </c>
      <c r="BU89" s="524">
        <f t="shared" si="63"/>
        <v>0</v>
      </c>
      <c r="BV89" s="524">
        <f t="shared" si="63"/>
        <v>0</v>
      </c>
      <c r="BW89" s="524">
        <f t="shared" si="63"/>
        <v>0</v>
      </c>
      <c r="BX89" s="524">
        <f t="shared" si="63"/>
        <v>0</v>
      </c>
      <c r="BY89" s="524">
        <f t="shared" si="63"/>
        <v>0</v>
      </c>
      <c r="BZ89" s="524">
        <f t="shared" si="63"/>
        <v>0</v>
      </c>
    </row>
    <row r="90" spans="2:78" ht="21" hidden="1" customHeight="1" outlineLevel="3">
      <c r="B90" s="367"/>
      <c r="C90" s="370"/>
      <c r="D90" s="374">
        <f t="shared" si="64"/>
        <v>45169</v>
      </c>
      <c r="E90" s="373" cm="1">
        <f t="array" ref="E90">IF($D90&lt;=LatestMonthOfActuals,0,INDEX($AE$27:$BZ$27,0,MATCH($D90,$AE$8:$BZ$8,0)))</f>
        <v>0</v>
      </c>
      <c r="F90" s="359"/>
      <c r="G90" s="408">
        <f t="shared" si="56"/>
        <v>0</v>
      </c>
      <c r="H90" s="408">
        <f t="shared" si="56"/>
        <v>0</v>
      </c>
      <c r="I90" s="408">
        <f t="shared" si="56"/>
        <v>0</v>
      </c>
      <c r="J90" s="408">
        <f t="shared" si="56"/>
        <v>0</v>
      </c>
      <c r="K90" s="408"/>
      <c r="L90" s="408"/>
      <c r="M90" s="408">
        <f t="shared" si="57"/>
        <v>0</v>
      </c>
      <c r="N90" s="408">
        <f t="shared" si="57"/>
        <v>0</v>
      </c>
      <c r="O90" s="408">
        <f t="shared" si="57"/>
        <v>0</v>
      </c>
      <c r="P90" s="408">
        <f t="shared" si="57"/>
        <v>0</v>
      </c>
      <c r="Q90" s="408">
        <f t="shared" si="57"/>
        <v>0</v>
      </c>
      <c r="R90" s="408">
        <f t="shared" si="57"/>
        <v>0</v>
      </c>
      <c r="S90" s="408">
        <f t="shared" si="57"/>
        <v>0</v>
      </c>
      <c r="T90" s="408">
        <f t="shared" si="57"/>
        <v>0</v>
      </c>
      <c r="U90" s="408">
        <f t="shared" si="57"/>
        <v>0</v>
      </c>
      <c r="V90" s="408">
        <f t="shared" si="57"/>
        <v>0</v>
      </c>
      <c r="W90" s="408">
        <f t="shared" si="57"/>
        <v>0</v>
      </c>
      <c r="X90" s="408">
        <f t="shared" si="57"/>
        <v>0</v>
      </c>
      <c r="Y90" s="408">
        <f t="shared" si="57"/>
        <v>0</v>
      </c>
      <c r="Z90" s="408">
        <f t="shared" si="57"/>
        <v>0</v>
      </c>
      <c r="AA90" s="408">
        <f t="shared" si="57"/>
        <v>0</v>
      </c>
      <c r="AB90" s="408">
        <f t="shared" si="57"/>
        <v>0</v>
      </c>
      <c r="AC90" s="524"/>
      <c r="AD90" s="359"/>
      <c r="AE90" s="524">
        <f t="shared" si="58"/>
        <v>0</v>
      </c>
      <c r="AF90" s="524">
        <f t="shared" si="58"/>
        <v>0</v>
      </c>
      <c r="AG90" s="524">
        <f t="shared" si="58"/>
        <v>0</v>
      </c>
      <c r="AH90" s="524">
        <f t="shared" si="58"/>
        <v>0</v>
      </c>
      <c r="AI90" s="524">
        <f t="shared" si="58"/>
        <v>0</v>
      </c>
      <c r="AJ90" s="524">
        <f t="shared" si="58"/>
        <v>0</v>
      </c>
      <c r="AK90" s="524">
        <f t="shared" si="58"/>
        <v>0</v>
      </c>
      <c r="AL90" s="524">
        <f t="shared" si="58"/>
        <v>0</v>
      </c>
      <c r="AM90" s="524">
        <f t="shared" si="58"/>
        <v>0</v>
      </c>
      <c r="AN90" s="524">
        <f t="shared" si="58"/>
        <v>0</v>
      </c>
      <c r="AO90" s="524">
        <f t="shared" si="58"/>
        <v>0</v>
      </c>
      <c r="AP90" s="524">
        <f t="shared" si="59"/>
        <v>0</v>
      </c>
      <c r="AQ90" s="524">
        <f t="shared" si="60"/>
        <v>0</v>
      </c>
      <c r="AR90" s="524">
        <f t="shared" si="60"/>
        <v>0</v>
      </c>
      <c r="AS90" s="524">
        <f t="shared" si="60"/>
        <v>0</v>
      </c>
      <c r="AT90" s="524">
        <f t="shared" si="60"/>
        <v>0</v>
      </c>
      <c r="AU90" s="524">
        <f t="shared" si="60"/>
        <v>0</v>
      </c>
      <c r="AV90" s="524">
        <f t="shared" si="60"/>
        <v>0</v>
      </c>
      <c r="AW90" s="524">
        <f t="shared" si="60"/>
        <v>0</v>
      </c>
      <c r="AX90" s="524">
        <f t="shared" si="60"/>
        <v>0</v>
      </c>
      <c r="AY90" s="524">
        <f t="shared" si="60"/>
        <v>0</v>
      </c>
      <c r="AZ90" s="524">
        <f t="shared" si="60"/>
        <v>0</v>
      </c>
      <c r="BA90" s="524">
        <f t="shared" si="61"/>
        <v>0</v>
      </c>
      <c r="BB90" s="524">
        <f t="shared" si="61"/>
        <v>0</v>
      </c>
      <c r="BC90" s="524">
        <f t="shared" si="61"/>
        <v>0</v>
      </c>
      <c r="BD90" s="524">
        <f t="shared" si="61"/>
        <v>0</v>
      </c>
      <c r="BE90" s="524">
        <f t="shared" si="61"/>
        <v>0</v>
      </c>
      <c r="BF90" s="524">
        <f t="shared" si="61"/>
        <v>0</v>
      </c>
      <c r="BG90" s="524">
        <f t="shared" si="61"/>
        <v>0</v>
      </c>
      <c r="BH90" s="524">
        <f t="shared" si="61"/>
        <v>0</v>
      </c>
      <c r="BI90" s="524">
        <f t="shared" si="61"/>
        <v>0</v>
      </c>
      <c r="BJ90" s="524">
        <f t="shared" si="61"/>
        <v>0</v>
      </c>
      <c r="BK90" s="524">
        <f t="shared" si="62"/>
        <v>0</v>
      </c>
      <c r="BL90" s="524">
        <f t="shared" si="62"/>
        <v>0</v>
      </c>
      <c r="BM90" s="524">
        <f t="shared" si="62"/>
        <v>0</v>
      </c>
      <c r="BN90" s="524">
        <f t="shared" si="62"/>
        <v>0</v>
      </c>
      <c r="BO90" s="524">
        <f t="shared" si="62"/>
        <v>0</v>
      </c>
      <c r="BP90" s="524">
        <f t="shared" si="62"/>
        <v>0</v>
      </c>
      <c r="BQ90" s="524">
        <f t="shared" si="62"/>
        <v>0</v>
      </c>
      <c r="BR90" s="524">
        <f t="shared" si="62"/>
        <v>0</v>
      </c>
      <c r="BS90" s="524">
        <f t="shared" si="62"/>
        <v>0</v>
      </c>
      <c r="BT90" s="524">
        <f t="shared" si="62"/>
        <v>0</v>
      </c>
      <c r="BU90" s="524">
        <f t="shared" si="63"/>
        <v>0</v>
      </c>
      <c r="BV90" s="524">
        <f t="shared" si="63"/>
        <v>0</v>
      </c>
      <c r="BW90" s="524">
        <f t="shared" si="63"/>
        <v>0</v>
      </c>
      <c r="BX90" s="524">
        <f t="shared" si="63"/>
        <v>0</v>
      </c>
      <c r="BY90" s="524">
        <f t="shared" si="63"/>
        <v>0</v>
      </c>
      <c r="BZ90" s="524">
        <f t="shared" si="63"/>
        <v>0</v>
      </c>
    </row>
    <row r="91" spans="2:78" ht="21" hidden="1" customHeight="1" outlineLevel="3">
      <c r="B91" s="367"/>
      <c r="C91" s="370"/>
      <c r="D91" s="374">
        <f t="shared" si="64"/>
        <v>45199</v>
      </c>
      <c r="E91" s="373" cm="1">
        <f t="array" ref="E91">IF($D91&lt;=LatestMonthOfActuals,0,INDEX($AE$27:$BZ$27,0,MATCH($D91,$AE$8:$BZ$8,0)))</f>
        <v>0</v>
      </c>
      <c r="F91" s="359"/>
      <c r="G91" s="408">
        <f t="shared" si="56"/>
        <v>0</v>
      </c>
      <c r="H91" s="408">
        <f t="shared" si="56"/>
        <v>0</v>
      </c>
      <c r="I91" s="408">
        <f t="shared" si="56"/>
        <v>0</v>
      </c>
      <c r="J91" s="408">
        <f t="shared" si="56"/>
        <v>0</v>
      </c>
      <c r="K91" s="408"/>
      <c r="L91" s="408"/>
      <c r="M91" s="408">
        <f t="shared" si="57"/>
        <v>0</v>
      </c>
      <c r="N91" s="408">
        <f t="shared" si="57"/>
        <v>0</v>
      </c>
      <c r="O91" s="408">
        <f t="shared" si="57"/>
        <v>0</v>
      </c>
      <c r="P91" s="408">
        <f t="shared" si="57"/>
        <v>0</v>
      </c>
      <c r="Q91" s="408">
        <f t="shared" si="57"/>
        <v>0</v>
      </c>
      <c r="R91" s="408">
        <f t="shared" si="57"/>
        <v>0</v>
      </c>
      <c r="S91" s="408">
        <f t="shared" si="57"/>
        <v>0</v>
      </c>
      <c r="T91" s="408">
        <f t="shared" si="57"/>
        <v>0</v>
      </c>
      <c r="U91" s="408">
        <f t="shared" si="57"/>
        <v>0</v>
      </c>
      <c r="V91" s="408">
        <f t="shared" si="57"/>
        <v>0</v>
      </c>
      <c r="W91" s="408">
        <f t="shared" si="57"/>
        <v>0</v>
      </c>
      <c r="X91" s="408">
        <f t="shared" si="57"/>
        <v>0</v>
      </c>
      <c r="Y91" s="408">
        <f t="shared" si="57"/>
        <v>0</v>
      </c>
      <c r="Z91" s="408">
        <f t="shared" si="57"/>
        <v>0</v>
      </c>
      <c r="AA91" s="408">
        <f t="shared" si="57"/>
        <v>0</v>
      </c>
      <c r="AB91" s="408">
        <f t="shared" si="57"/>
        <v>0</v>
      </c>
      <c r="AC91" s="524"/>
      <c r="AD91" s="359"/>
      <c r="AE91" s="524">
        <f t="shared" si="58"/>
        <v>0</v>
      </c>
      <c r="AF91" s="524">
        <f t="shared" si="58"/>
        <v>0</v>
      </c>
      <c r="AG91" s="524">
        <f t="shared" si="58"/>
        <v>0</v>
      </c>
      <c r="AH91" s="524">
        <f t="shared" si="58"/>
        <v>0</v>
      </c>
      <c r="AI91" s="524">
        <f t="shared" si="58"/>
        <v>0</v>
      </c>
      <c r="AJ91" s="524">
        <f t="shared" si="58"/>
        <v>0</v>
      </c>
      <c r="AK91" s="524">
        <f t="shared" si="58"/>
        <v>0</v>
      </c>
      <c r="AL91" s="524">
        <f t="shared" si="58"/>
        <v>0</v>
      </c>
      <c r="AM91" s="524">
        <f t="shared" si="58"/>
        <v>0</v>
      </c>
      <c r="AN91" s="524">
        <f t="shared" si="58"/>
        <v>0</v>
      </c>
      <c r="AO91" s="524">
        <f t="shared" si="58"/>
        <v>0</v>
      </c>
      <c r="AP91" s="524">
        <f t="shared" si="59"/>
        <v>0</v>
      </c>
      <c r="AQ91" s="524">
        <f t="shared" si="60"/>
        <v>0</v>
      </c>
      <c r="AR91" s="524">
        <f t="shared" si="60"/>
        <v>0</v>
      </c>
      <c r="AS91" s="524">
        <f t="shared" si="60"/>
        <v>0</v>
      </c>
      <c r="AT91" s="524">
        <f t="shared" si="60"/>
        <v>0</v>
      </c>
      <c r="AU91" s="524">
        <f t="shared" si="60"/>
        <v>0</v>
      </c>
      <c r="AV91" s="524">
        <f t="shared" si="60"/>
        <v>0</v>
      </c>
      <c r="AW91" s="524">
        <f t="shared" si="60"/>
        <v>0</v>
      </c>
      <c r="AX91" s="524">
        <f t="shared" si="60"/>
        <v>0</v>
      </c>
      <c r="AY91" s="524">
        <f t="shared" si="60"/>
        <v>0</v>
      </c>
      <c r="AZ91" s="524">
        <f t="shared" si="60"/>
        <v>0</v>
      </c>
      <c r="BA91" s="524">
        <f t="shared" si="61"/>
        <v>0</v>
      </c>
      <c r="BB91" s="524">
        <f t="shared" si="61"/>
        <v>0</v>
      </c>
      <c r="BC91" s="524">
        <f t="shared" si="61"/>
        <v>0</v>
      </c>
      <c r="BD91" s="524">
        <f t="shared" si="61"/>
        <v>0</v>
      </c>
      <c r="BE91" s="524">
        <f t="shared" si="61"/>
        <v>0</v>
      </c>
      <c r="BF91" s="524">
        <f t="shared" si="61"/>
        <v>0</v>
      </c>
      <c r="BG91" s="524">
        <f t="shared" si="61"/>
        <v>0</v>
      </c>
      <c r="BH91" s="524">
        <f t="shared" si="61"/>
        <v>0</v>
      </c>
      <c r="BI91" s="524">
        <f t="shared" si="61"/>
        <v>0</v>
      </c>
      <c r="BJ91" s="524">
        <f t="shared" si="61"/>
        <v>0</v>
      </c>
      <c r="BK91" s="524">
        <f t="shared" si="62"/>
        <v>0</v>
      </c>
      <c r="BL91" s="524">
        <f t="shared" si="62"/>
        <v>0</v>
      </c>
      <c r="BM91" s="524">
        <f t="shared" si="62"/>
        <v>0</v>
      </c>
      <c r="BN91" s="524">
        <f t="shared" si="62"/>
        <v>0</v>
      </c>
      <c r="BO91" s="524">
        <f t="shared" si="62"/>
        <v>0</v>
      </c>
      <c r="BP91" s="524">
        <f t="shared" si="62"/>
        <v>0</v>
      </c>
      <c r="BQ91" s="524">
        <f t="shared" si="62"/>
        <v>0</v>
      </c>
      <c r="BR91" s="524">
        <f t="shared" si="62"/>
        <v>0</v>
      </c>
      <c r="BS91" s="524">
        <f t="shared" si="62"/>
        <v>0</v>
      </c>
      <c r="BT91" s="524">
        <f t="shared" si="62"/>
        <v>0</v>
      </c>
      <c r="BU91" s="524">
        <f t="shared" si="63"/>
        <v>0</v>
      </c>
      <c r="BV91" s="524">
        <f t="shared" si="63"/>
        <v>0</v>
      </c>
      <c r="BW91" s="524">
        <f t="shared" si="63"/>
        <v>0</v>
      </c>
      <c r="BX91" s="524">
        <f t="shared" si="63"/>
        <v>0</v>
      </c>
      <c r="BY91" s="524">
        <f t="shared" si="63"/>
        <v>0</v>
      </c>
      <c r="BZ91" s="524">
        <f t="shared" si="63"/>
        <v>0</v>
      </c>
    </row>
    <row r="92" spans="2:78" ht="21" hidden="1" customHeight="1" outlineLevel="3">
      <c r="B92" s="367"/>
      <c r="C92" s="370"/>
      <c r="D92" s="374">
        <f t="shared" si="64"/>
        <v>45230</v>
      </c>
      <c r="E92" s="373" cm="1">
        <f t="array" ref="E92">IF($D92&lt;=LatestMonthOfActuals,0,INDEX($AE$27:$BZ$27,0,MATCH($D92,$AE$8:$BZ$8,0)))</f>
        <v>0</v>
      </c>
      <c r="F92" s="359"/>
      <c r="G92" s="408">
        <f t="shared" si="56"/>
        <v>0</v>
      </c>
      <c r="H92" s="408">
        <f t="shared" si="56"/>
        <v>0</v>
      </c>
      <c r="I92" s="408">
        <f t="shared" si="56"/>
        <v>0</v>
      </c>
      <c r="J92" s="408">
        <f t="shared" si="56"/>
        <v>0</v>
      </c>
      <c r="K92" s="408"/>
      <c r="L92" s="408"/>
      <c r="M92" s="408">
        <f t="shared" si="57"/>
        <v>0</v>
      </c>
      <c r="N92" s="408">
        <f t="shared" si="57"/>
        <v>0</v>
      </c>
      <c r="O92" s="408">
        <f t="shared" si="57"/>
        <v>0</v>
      </c>
      <c r="P92" s="408">
        <f t="shared" si="57"/>
        <v>0</v>
      </c>
      <c r="Q92" s="408">
        <f t="shared" si="57"/>
        <v>0</v>
      </c>
      <c r="R92" s="408">
        <f t="shared" si="57"/>
        <v>0</v>
      </c>
      <c r="S92" s="408">
        <f t="shared" si="57"/>
        <v>0</v>
      </c>
      <c r="T92" s="408">
        <f t="shared" si="57"/>
        <v>0</v>
      </c>
      <c r="U92" s="408">
        <f t="shared" si="57"/>
        <v>0</v>
      </c>
      <c r="V92" s="408">
        <f t="shared" si="57"/>
        <v>0</v>
      </c>
      <c r="W92" s="408">
        <f t="shared" si="57"/>
        <v>0</v>
      </c>
      <c r="X92" s="408">
        <f t="shared" si="57"/>
        <v>0</v>
      </c>
      <c r="Y92" s="408">
        <f t="shared" si="57"/>
        <v>0</v>
      </c>
      <c r="Z92" s="408">
        <f t="shared" si="57"/>
        <v>0</v>
      </c>
      <c r="AA92" s="408">
        <f t="shared" si="57"/>
        <v>0</v>
      </c>
      <c r="AB92" s="408">
        <f t="shared" si="57"/>
        <v>0</v>
      </c>
      <c r="AC92" s="524"/>
      <c r="AD92" s="359"/>
      <c r="AE92" s="524">
        <f t="shared" si="58"/>
        <v>0</v>
      </c>
      <c r="AF92" s="524">
        <f t="shared" si="58"/>
        <v>0</v>
      </c>
      <c r="AG92" s="524">
        <f t="shared" si="58"/>
        <v>0</v>
      </c>
      <c r="AH92" s="524">
        <f t="shared" si="58"/>
        <v>0</v>
      </c>
      <c r="AI92" s="524">
        <f t="shared" si="58"/>
        <v>0</v>
      </c>
      <c r="AJ92" s="524">
        <f t="shared" si="58"/>
        <v>0</v>
      </c>
      <c r="AK92" s="524">
        <f t="shared" si="58"/>
        <v>0</v>
      </c>
      <c r="AL92" s="524">
        <f t="shared" si="58"/>
        <v>0</v>
      </c>
      <c r="AM92" s="524">
        <f t="shared" si="58"/>
        <v>0</v>
      </c>
      <c r="AN92" s="524">
        <f t="shared" si="58"/>
        <v>0</v>
      </c>
      <c r="AO92" s="524">
        <f t="shared" si="58"/>
        <v>0</v>
      </c>
      <c r="AP92" s="524">
        <f t="shared" si="59"/>
        <v>0</v>
      </c>
      <c r="AQ92" s="524">
        <f t="shared" si="60"/>
        <v>0</v>
      </c>
      <c r="AR92" s="524">
        <f t="shared" si="60"/>
        <v>0</v>
      </c>
      <c r="AS92" s="524">
        <f t="shared" si="60"/>
        <v>0</v>
      </c>
      <c r="AT92" s="524">
        <f t="shared" si="60"/>
        <v>0</v>
      </c>
      <c r="AU92" s="524">
        <f t="shared" si="60"/>
        <v>0</v>
      </c>
      <c r="AV92" s="524">
        <f t="shared" si="60"/>
        <v>0</v>
      </c>
      <c r="AW92" s="524">
        <f t="shared" si="60"/>
        <v>0</v>
      </c>
      <c r="AX92" s="524">
        <f t="shared" si="60"/>
        <v>0</v>
      </c>
      <c r="AY92" s="524">
        <f t="shared" si="60"/>
        <v>0</v>
      </c>
      <c r="AZ92" s="524">
        <f t="shared" si="60"/>
        <v>0</v>
      </c>
      <c r="BA92" s="524">
        <f t="shared" si="61"/>
        <v>0</v>
      </c>
      <c r="BB92" s="524">
        <f t="shared" si="61"/>
        <v>0</v>
      </c>
      <c r="BC92" s="524">
        <f t="shared" si="61"/>
        <v>0</v>
      </c>
      <c r="BD92" s="524">
        <f t="shared" si="61"/>
        <v>0</v>
      </c>
      <c r="BE92" s="524">
        <f t="shared" si="61"/>
        <v>0</v>
      </c>
      <c r="BF92" s="524">
        <f t="shared" si="61"/>
        <v>0</v>
      </c>
      <c r="BG92" s="524">
        <f t="shared" si="61"/>
        <v>0</v>
      </c>
      <c r="BH92" s="524">
        <f t="shared" si="61"/>
        <v>0</v>
      </c>
      <c r="BI92" s="524">
        <f t="shared" si="61"/>
        <v>0</v>
      </c>
      <c r="BJ92" s="524">
        <f t="shared" si="61"/>
        <v>0</v>
      </c>
      <c r="BK92" s="524">
        <f t="shared" si="62"/>
        <v>0</v>
      </c>
      <c r="BL92" s="524">
        <f t="shared" si="62"/>
        <v>0</v>
      </c>
      <c r="BM92" s="524">
        <f t="shared" si="62"/>
        <v>0</v>
      </c>
      <c r="BN92" s="524">
        <f t="shared" si="62"/>
        <v>0</v>
      </c>
      <c r="BO92" s="524">
        <f t="shared" si="62"/>
        <v>0</v>
      </c>
      <c r="BP92" s="524">
        <f t="shared" si="62"/>
        <v>0</v>
      </c>
      <c r="BQ92" s="524">
        <f t="shared" si="62"/>
        <v>0</v>
      </c>
      <c r="BR92" s="524">
        <f t="shared" si="62"/>
        <v>0</v>
      </c>
      <c r="BS92" s="524">
        <f t="shared" si="62"/>
        <v>0</v>
      </c>
      <c r="BT92" s="524">
        <f t="shared" si="62"/>
        <v>0</v>
      </c>
      <c r="BU92" s="524">
        <f t="shared" si="63"/>
        <v>0</v>
      </c>
      <c r="BV92" s="524">
        <f t="shared" si="63"/>
        <v>0</v>
      </c>
      <c r="BW92" s="524">
        <f t="shared" si="63"/>
        <v>0</v>
      </c>
      <c r="BX92" s="524">
        <f t="shared" si="63"/>
        <v>0</v>
      </c>
      <c r="BY92" s="524">
        <f t="shared" si="63"/>
        <v>0</v>
      </c>
      <c r="BZ92" s="524">
        <f t="shared" si="63"/>
        <v>0</v>
      </c>
    </row>
    <row r="93" spans="2:78" ht="21" hidden="1" customHeight="1" outlineLevel="3">
      <c r="B93" s="367"/>
      <c r="C93" s="370"/>
      <c r="D93" s="374">
        <f t="shared" si="64"/>
        <v>45260</v>
      </c>
      <c r="E93" s="373" cm="1">
        <f t="array" ref="E93">IF($D93&lt;=LatestMonthOfActuals,0,INDEX($AE$27:$BZ$27,0,MATCH($D93,$AE$8:$BZ$8,0)))</f>
        <v>0</v>
      </c>
      <c r="F93" s="359"/>
      <c r="G93" s="408">
        <f t="shared" si="56"/>
        <v>0</v>
      </c>
      <c r="H93" s="408">
        <f t="shared" si="56"/>
        <v>0</v>
      </c>
      <c r="I93" s="408">
        <f t="shared" si="56"/>
        <v>0</v>
      </c>
      <c r="J93" s="408">
        <f t="shared" si="56"/>
        <v>0</v>
      </c>
      <c r="K93" s="408"/>
      <c r="L93" s="408"/>
      <c r="M93" s="408">
        <f t="shared" si="57"/>
        <v>0</v>
      </c>
      <c r="N93" s="408">
        <f t="shared" si="57"/>
        <v>0</v>
      </c>
      <c r="O93" s="408">
        <f t="shared" si="57"/>
        <v>0</v>
      </c>
      <c r="P93" s="408">
        <f t="shared" si="57"/>
        <v>0</v>
      </c>
      <c r="Q93" s="408">
        <f t="shared" si="57"/>
        <v>0</v>
      </c>
      <c r="R93" s="408">
        <f t="shared" si="57"/>
        <v>0</v>
      </c>
      <c r="S93" s="408">
        <f t="shared" si="57"/>
        <v>0</v>
      </c>
      <c r="T93" s="408">
        <f t="shared" si="57"/>
        <v>0</v>
      </c>
      <c r="U93" s="408">
        <f t="shared" si="57"/>
        <v>0</v>
      </c>
      <c r="V93" s="408">
        <f t="shared" si="57"/>
        <v>0</v>
      </c>
      <c r="W93" s="408">
        <f t="shared" si="57"/>
        <v>0</v>
      </c>
      <c r="X93" s="408">
        <f t="shared" si="57"/>
        <v>0</v>
      </c>
      <c r="Y93" s="408">
        <f t="shared" si="57"/>
        <v>0</v>
      </c>
      <c r="Z93" s="408">
        <f t="shared" si="57"/>
        <v>0</v>
      </c>
      <c r="AA93" s="408">
        <f t="shared" si="57"/>
        <v>0</v>
      </c>
      <c r="AB93" s="408">
        <f t="shared" si="57"/>
        <v>0</v>
      </c>
      <c r="AC93" s="524"/>
      <c r="AD93" s="359"/>
      <c r="AE93" s="524">
        <f t="shared" ref="AE93:AO102" si="65">IFERROR(IF(AE$8&gt;=$D93,$E93*(INDEX($E$18:$E$22,(MATCH(MATCH(AE$8,$D$83:$D$130,0)-MATCH($D93,$D$83:$D$130,0),$D$18:$D$22,0)))),0),0)</f>
        <v>0</v>
      </c>
      <c r="AF93" s="524">
        <f t="shared" si="65"/>
        <v>0</v>
      </c>
      <c r="AG93" s="524">
        <f t="shared" si="65"/>
        <v>0</v>
      </c>
      <c r="AH93" s="524">
        <f t="shared" si="65"/>
        <v>0</v>
      </c>
      <c r="AI93" s="524">
        <f t="shared" si="65"/>
        <v>0</v>
      </c>
      <c r="AJ93" s="524">
        <f t="shared" si="65"/>
        <v>0</v>
      </c>
      <c r="AK93" s="524">
        <f t="shared" si="65"/>
        <v>0</v>
      </c>
      <c r="AL93" s="524">
        <f t="shared" si="65"/>
        <v>0</v>
      </c>
      <c r="AM93" s="524">
        <f t="shared" si="65"/>
        <v>0</v>
      </c>
      <c r="AN93" s="524">
        <f t="shared" si="65"/>
        <v>0</v>
      </c>
      <c r="AO93" s="524">
        <f t="shared" si="65"/>
        <v>0</v>
      </c>
      <c r="AP93" s="524">
        <f t="shared" si="59"/>
        <v>0</v>
      </c>
      <c r="AQ93" s="524">
        <f t="shared" ref="AQ93:AZ102" si="66">IFERROR(IF(AQ$8&gt;=$D93,$E93*(INDEX($E$18:$E$22,(MATCH(MATCH(AQ$8,$D$83:$D$130,0)-MATCH($D93,$D$83:$D$130,0),$D$18:$D$22,0)))),0),0)</f>
        <v>0</v>
      </c>
      <c r="AR93" s="524">
        <f t="shared" si="66"/>
        <v>0</v>
      </c>
      <c r="AS93" s="524">
        <f t="shared" si="66"/>
        <v>0</v>
      </c>
      <c r="AT93" s="524">
        <f t="shared" si="66"/>
        <v>0</v>
      </c>
      <c r="AU93" s="524">
        <f t="shared" si="66"/>
        <v>0</v>
      </c>
      <c r="AV93" s="524">
        <f t="shared" si="66"/>
        <v>0</v>
      </c>
      <c r="AW93" s="524">
        <f t="shared" si="66"/>
        <v>0</v>
      </c>
      <c r="AX93" s="524">
        <f t="shared" si="66"/>
        <v>0</v>
      </c>
      <c r="AY93" s="524">
        <f t="shared" si="66"/>
        <v>0</v>
      </c>
      <c r="AZ93" s="524">
        <f t="shared" si="66"/>
        <v>0</v>
      </c>
      <c r="BA93" s="524">
        <f t="shared" ref="BA93:BJ102" si="67">IFERROR(IF(BA$8&gt;=$D93,$E93*(INDEX($E$18:$E$22,(MATCH(MATCH(BA$8,$D$83:$D$130,0)-MATCH($D93,$D$83:$D$130,0),$D$18:$D$22,0)))),0),0)</f>
        <v>0</v>
      </c>
      <c r="BB93" s="524">
        <f t="shared" si="67"/>
        <v>0</v>
      </c>
      <c r="BC93" s="524">
        <f t="shared" si="67"/>
        <v>0</v>
      </c>
      <c r="BD93" s="524">
        <f t="shared" si="67"/>
        <v>0</v>
      </c>
      <c r="BE93" s="524">
        <f t="shared" si="67"/>
        <v>0</v>
      </c>
      <c r="BF93" s="524">
        <f t="shared" si="67"/>
        <v>0</v>
      </c>
      <c r="BG93" s="524">
        <f t="shared" si="67"/>
        <v>0</v>
      </c>
      <c r="BH93" s="524">
        <f t="shared" si="67"/>
        <v>0</v>
      </c>
      <c r="BI93" s="524">
        <f t="shared" si="67"/>
        <v>0</v>
      </c>
      <c r="BJ93" s="524">
        <f t="shared" si="67"/>
        <v>0</v>
      </c>
      <c r="BK93" s="524">
        <f t="shared" ref="BK93:BT102" si="68">IFERROR(IF(BK$8&gt;=$D93,$E93*(INDEX($E$18:$E$22,(MATCH(MATCH(BK$8,$D$83:$D$130,0)-MATCH($D93,$D$83:$D$130,0),$D$18:$D$22,0)))),0),0)</f>
        <v>0</v>
      </c>
      <c r="BL93" s="524">
        <f t="shared" si="68"/>
        <v>0</v>
      </c>
      <c r="BM93" s="524">
        <f t="shared" si="68"/>
        <v>0</v>
      </c>
      <c r="BN93" s="524">
        <f t="shared" si="68"/>
        <v>0</v>
      </c>
      <c r="BO93" s="524">
        <f t="shared" si="68"/>
        <v>0</v>
      </c>
      <c r="BP93" s="524">
        <f t="shared" si="68"/>
        <v>0</v>
      </c>
      <c r="BQ93" s="524">
        <f t="shared" si="68"/>
        <v>0</v>
      </c>
      <c r="BR93" s="524">
        <f t="shared" si="68"/>
        <v>0</v>
      </c>
      <c r="BS93" s="524">
        <f t="shared" si="68"/>
        <v>0</v>
      </c>
      <c r="BT93" s="524">
        <f t="shared" si="68"/>
        <v>0</v>
      </c>
      <c r="BU93" s="524">
        <f t="shared" ref="BU93:BZ102" si="69">IFERROR(IF(BU$8&gt;=$D93,$E93*(INDEX($E$18:$E$22,(MATCH(MATCH(BU$8,$D$83:$D$130,0)-MATCH($D93,$D$83:$D$130,0),$D$18:$D$22,0)))),0),0)</f>
        <v>0</v>
      </c>
      <c r="BV93" s="524">
        <f t="shared" si="69"/>
        <v>0</v>
      </c>
      <c r="BW93" s="524">
        <f t="shared" si="69"/>
        <v>0</v>
      </c>
      <c r="BX93" s="524">
        <f t="shared" si="69"/>
        <v>0</v>
      </c>
      <c r="BY93" s="524">
        <f t="shared" si="69"/>
        <v>0</v>
      </c>
      <c r="BZ93" s="524">
        <f t="shared" si="69"/>
        <v>0</v>
      </c>
    </row>
    <row r="94" spans="2:78" ht="21" hidden="1" customHeight="1" outlineLevel="3">
      <c r="B94" s="367"/>
      <c r="C94" s="370"/>
      <c r="D94" s="374">
        <f t="shared" si="64"/>
        <v>45291</v>
      </c>
      <c r="E94" s="373" cm="1">
        <f t="array" ref="E94">IF($D94&lt;=LatestMonthOfActuals,0,INDEX($AE$27:$BZ$27,0,MATCH($D94,$AE$8:$BZ$8,0)))</f>
        <v>0</v>
      </c>
      <c r="F94" s="359"/>
      <c r="G94" s="408">
        <f t="shared" si="56"/>
        <v>0</v>
      </c>
      <c r="H94" s="408">
        <f t="shared" si="56"/>
        <v>0</v>
      </c>
      <c r="I94" s="408">
        <f t="shared" si="56"/>
        <v>0</v>
      </c>
      <c r="J94" s="408">
        <f t="shared" si="56"/>
        <v>0</v>
      </c>
      <c r="K94" s="408"/>
      <c r="L94" s="408"/>
      <c r="M94" s="408">
        <f t="shared" si="57"/>
        <v>0</v>
      </c>
      <c r="N94" s="408">
        <f t="shared" si="57"/>
        <v>0</v>
      </c>
      <c r="O94" s="408">
        <f t="shared" si="57"/>
        <v>0</v>
      </c>
      <c r="P94" s="408">
        <f t="shared" si="57"/>
        <v>0</v>
      </c>
      <c r="Q94" s="408">
        <f t="shared" si="57"/>
        <v>0</v>
      </c>
      <c r="R94" s="408">
        <f t="shared" si="57"/>
        <v>0</v>
      </c>
      <c r="S94" s="408">
        <f t="shared" si="57"/>
        <v>0</v>
      </c>
      <c r="T94" s="408">
        <f t="shared" si="57"/>
        <v>0</v>
      </c>
      <c r="U94" s="408">
        <f t="shared" si="57"/>
        <v>0</v>
      </c>
      <c r="V94" s="408">
        <f t="shared" si="57"/>
        <v>0</v>
      </c>
      <c r="W94" s="408">
        <f t="shared" si="57"/>
        <v>0</v>
      </c>
      <c r="X94" s="408">
        <f t="shared" si="57"/>
        <v>0</v>
      </c>
      <c r="Y94" s="408">
        <f t="shared" si="57"/>
        <v>0</v>
      </c>
      <c r="Z94" s="408">
        <f t="shared" si="57"/>
        <v>0</v>
      </c>
      <c r="AA94" s="408">
        <f t="shared" si="57"/>
        <v>0</v>
      </c>
      <c r="AB94" s="408">
        <f t="shared" si="57"/>
        <v>0</v>
      </c>
      <c r="AC94" s="524"/>
      <c r="AD94" s="359"/>
      <c r="AE94" s="524">
        <f t="shared" si="65"/>
        <v>0</v>
      </c>
      <c r="AF94" s="524">
        <f t="shared" si="65"/>
        <v>0</v>
      </c>
      <c r="AG94" s="524">
        <f t="shared" si="65"/>
        <v>0</v>
      </c>
      <c r="AH94" s="524">
        <f t="shared" si="65"/>
        <v>0</v>
      </c>
      <c r="AI94" s="524">
        <f t="shared" si="65"/>
        <v>0</v>
      </c>
      <c r="AJ94" s="524">
        <f t="shared" si="65"/>
        <v>0</v>
      </c>
      <c r="AK94" s="524">
        <f t="shared" si="65"/>
        <v>0</v>
      </c>
      <c r="AL94" s="524">
        <f t="shared" si="65"/>
        <v>0</v>
      </c>
      <c r="AM94" s="524">
        <f t="shared" si="65"/>
        <v>0</v>
      </c>
      <c r="AN94" s="524">
        <f t="shared" si="65"/>
        <v>0</v>
      </c>
      <c r="AO94" s="524">
        <f t="shared" si="65"/>
        <v>0</v>
      </c>
      <c r="AP94" s="524">
        <f t="shared" si="59"/>
        <v>0</v>
      </c>
      <c r="AQ94" s="524">
        <f t="shared" si="66"/>
        <v>0</v>
      </c>
      <c r="AR94" s="524">
        <f t="shared" si="66"/>
        <v>0</v>
      </c>
      <c r="AS94" s="524">
        <f t="shared" si="66"/>
        <v>0</v>
      </c>
      <c r="AT94" s="524">
        <f t="shared" si="66"/>
        <v>0</v>
      </c>
      <c r="AU94" s="524">
        <f t="shared" si="66"/>
        <v>0</v>
      </c>
      <c r="AV94" s="524">
        <f t="shared" si="66"/>
        <v>0</v>
      </c>
      <c r="AW94" s="524">
        <f t="shared" si="66"/>
        <v>0</v>
      </c>
      <c r="AX94" s="524">
        <f t="shared" si="66"/>
        <v>0</v>
      </c>
      <c r="AY94" s="524">
        <f t="shared" si="66"/>
        <v>0</v>
      </c>
      <c r="AZ94" s="524">
        <f t="shared" si="66"/>
        <v>0</v>
      </c>
      <c r="BA94" s="524">
        <f t="shared" si="67"/>
        <v>0</v>
      </c>
      <c r="BB94" s="524">
        <f t="shared" si="67"/>
        <v>0</v>
      </c>
      <c r="BC94" s="524">
        <f t="shared" si="67"/>
        <v>0</v>
      </c>
      <c r="BD94" s="524">
        <f t="shared" si="67"/>
        <v>0</v>
      </c>
      <c r="BE94" s="524">
        <f t="shared" si="67"/>
        <v>0</v>
      </c>
      <c r="BF94" s="524">
        <f t="shared" si="67"/>
        <v>0</v>
      </c>
      <c r="BG94" s="524">
        <f t="shared" si="67"/>
        <v>0</v>
      </c>
      <c r="BH94" s="524">
        <f t="shared" si="67"/>
        <v>0</v>
      </c>
      <c r="BI94" s="524">
        <f t="shared" si="67"/>
        <v>0</v>
      </c>
      <c r="BJ94" s="524">
        <f t="shared" si="67"/>
        <v>0</v>
      </c>
      <c r="BK94" s="524">
        <f t="shared" si="68"/>
        <v>0</v>
      </c>
      <c r="BL94" s="524">
        <f t="shared" si="68"/>
        <v>0</v>
      </c>
      <c r="BM94" s="524">
        <f t="shared" si="68"/>
        <v>0</v>
      </c>
      <c r="BN94" s="524">
        <f t="shared" si="68"/>
        <v>0</v>
      </c>
      <c r="BO94" s="524">
        <f t="shared" si="68"/>
        <v>0</v>
      </c>
      <c r="BP94" s="524">
        <f t="shared" si="68"/>
        <v>0</v>
      </c>
      <c r="BQ94" s="524">
        <f t="shared" si="68"/>
        <v>0</v>
      </c>
      <c r="BR94" s="524">
        <f t="shared" si="68"/>
        <v>0</v>
      </c>
      <c r="BS94" s="524">
        <f t="shared" si="68"/>
        <v>0</v>
      </c>
      <c r="BT94" s="524">
        <f t="shared" si="68"/>
        <v>0</v>
      </c>
      <c r="BU94" s="524">
        <f t="shared" si="69"/>
        <v>0</v>
      </c>
      <c r="BV94" s="524">
        <f t="shared" si="69"/>
        <v>0</v>
      </c>
      <c r="BW94" s="524">
        <f t="shared" si="69"/>
        <v>0</v>
      </c>
      <c r="BX94" s="524">
        <f t="shared" si="69"/>
        <v>0</v>
      </c>
      <c r="BY94" s="524">
        <f t="shared" si="69"/>
        <v>0</v>
      </c>
      <c r="BZ94" s="524">
        <f t="shared" si="69"/>
        <v>0</v>
      </c>
    </row>
    <row r="95" spans="2:78" ht="21" hidden="1" customHeight="1" outlineLevel="3">
      <c r="B95" s="367"/>
      <c r="C95" s="370"/>
      <c r="D95" s="374">
        <f t="shared" si="64"/>
        <v>45322</v>
      </c>
      <c r="E95" s="373" cm="1">
        <f t="array" ref="E95">IF($D95&lt;=LatestMonthOfActuals,0,INDEX($AE$27:$BZ$27,0,MATCH($D95,$AE$8:$BZ$8,0)))</f>
        <v>0</v>
      </c>
      <c r="F95" s="359"/>
      <c r="G95" s="408">
        <f t="shared" si="56"/>
        <v>0</v>
      </c>
      <c r="H95" s="408">
        <f t="shared" si="56"/>
        <v>0</v>
      </c>
      <c r="I95" s="408">
        <f t="shared" si="56"/>
        <v>0</v>
      </c>
      <c r="J95" s="408">
        <f t="shared" si="56"/>
        <v>0</v>
      </c>
      <c r="K95" s="408"/>
      <c r="L95" s="408"/>
      <c r="M95" s="408">
        <f t="shared" si="57"/>
        <v>0</v>
      </c>
      <c r="N95" s="408">
        <f t="shared" si="57"/>
        <v>0</v>
      </c>
      <c r="O95" s="408">
        <f t="shared" si="57"/>
        <v>0</v>
      </c>
      <c r="P95" s="408">
        <f t="shared" si="57"/>
        <v>0</v>
      </c>
      <c r="Q95" s="408">
        <f t="shared" si="57"/>
        <v>0</v>
      </c>
      <c r="R95" s="408">
        <f t="shared" si="57"/>
        <v>0</v>
      </c>
      <c r="S95" s="408">
        <f t="shared" si="57"/>
        <v>0</v>
      </c>
      <c r="T95" s="408">
        <f t="shared" si="57"/>
        <v>0</v>
      </c>
      <c r="U95" s="408">
        <f t="shared" si="57"/>
        <v>0</v>
      </c>
      <c r="V95" s="408">
        <f t="shared" si="57"/>
        <v>0</v>
      </c>
      <c r="W95" s="408">
        <f t="shared" si="57"/>
        <v>0</v>
      </c>
      <c r="X95" s="408">
        <f t="shared" si="57"/>
        <v>0</v>
      </c>
      <c r="Y95" s="408">
        <f t="shared" si="57"/>
        <v>0</v>
      </c>
      <c r="Z95" s="408">
        <f t="shared" si="57"/>
        <v>0</v>
      </c>
      <c r="AA95" s="408">
        <f t="shared" si="57"/>
        <v>0</v>
      </c>
      <c r="AB95" s="408">
        <f t="shared" si="57"/>
        <v>0</v>
      </c>
      <c r="AC95" s="524"/>
      <c r="AD95" s="359"/>
      <c r="AE95" s="524">
        <f t="shared" si="65"/>
        <v>0</v>
      </c>
      <c r="AF95" s="524">
        <f t="shared" si="65"/>
        <v>0</v>
      </c>
      <c r="AG95" s="524">
        <f t="shared" si="65"/>
        <v>0</v>
      </c>
      <c r="AH95" s="524">
        <f t="shared" si="65"/>
        <v>0</v>
      </c>
      <c r="AI95" s="524">
        <f t="shared" si="65"/>
        <v>0</v>
      </c>
      <c r="AJ95" s="524">
        <f t="shared" si="65"/>
        <v>0</v>
      </c>
      <c r="AK95" s="524">
        <f t="shared" si="65"/>
        <v>0</v>
      </c>
      <c r="AL95" s="524">
        <f t="shared" si="65"/>
        <v>0</v>
      </c>
      <c r="AM95" s="524">
        <f t="shared" si="65"/>
        <v>0</v>
      </c>
      <c r="AN95" s="524">
        <f t="shared" si="65"/>
        <v>0</v>
      </c>
      <c r="AO95" s="524">
        <f t="shared" si="65"/>
        <v>0</v>
      </c>
      <c r="AP95" s="524">
        <f t="shared" si="59"/>
        <v>0</v>
      </c>
      <c r="AQ95" s="524">
        <f t="shared" si="66"/>
        <v>0</v>
      </c>
      <c r="AR95" s="524">
        <f t="shared" si="66"/>
        <v>0</v>
      </c>
      <c r="AS95" s="524">
        <f t="shared" si="66"/>
        <v>0</v>
      </c>
      <c r="AT95" s="524">
        <f t="shared" si="66"/>
        <v>0</v>
      </c>
      <c r="AU95" s="524">
        <f t="shared" si="66"/>
        <v>0</v>
      </c>
      <c r="AV95" s="524">
        <f t="shared" si="66"/>
        <v>0</v>
      </c>
      <c r="AW95" s="524">
        <f t="shared" si="66"/>
        <v>0</v>
      </c>
      <c r="AX95" s="524">
        <f t="shared" si="66"/>
        <v>0</v>
      </c>
      <c r="AY95" s="524">
        <f t="shared" si="66"/>
        <v>0</v>
      </c>
      <c r="AZ95" s="524">
        <f t="shared" si="66"/>
        <v>0</v>
      </c>
      <c r="BA95" s="524">
        <f t="shared" si="67"/>
        <v>0</v>
      </c>
      <c r="BB95" s="524">
        <f t="shared" si="67"/>
        <v>0</v>
      </c>
      <c r="BC95" s="524">
        <f t="shared" si="67"/>
        <v>0</v>
      </c>
      <c r="BD95" s="524">
        <f t="shared" si="67"/>
        <v>0</v>
      </c>
      <c r="BE95" s="524">
        <f t="shared" si="67"/>
        <v>0</v>
      </c>
      <c r="BF95" s="524">
        <f t="shared" si="67"/>
        <v>0</v>
      </c>
      <c r="BG95" s="524">
        <f t="shared" si="67"/>
        <v>0</v>
      </c>
      <c r="BH95" s="524">
        <f t="shared" si="67"/>
        <v>0</v>
      </c>
      <c r="BI95" s="524">
        <f t="shared" si="67"/>
        <v>0</v>
      </c>
      <c r="BJ95" s="524">
        <f t="shared" si="67"/>
        <v>0</v>
      </c>
      <c r="BK95" s="524">
        <f t="shared" si="68"/>
        <v>0</v>
      </c>
      <c r="BL95" s="524">
        <f t="shared" si="68"/>
        <v>0</v>
      </c>
      <c r="BM95" s="524">
        <f t="shared" si="68"/>
        <v>0</v>
      </c>
      <c r="BN95" s="524">
        <f t="shared" si="68"/>
        <v>0</v>
      </c>
      <c r="BO95" s="524">
        <f t="shared" si="68"/>
        <v>0</v>
      </c>
      <c r="BP95" s="524">
        <f t="shared" si="68"/>
        <v>0</v>
      </c>
      <c r="BQ95" s="524">
        <f t="shared" si="68"/>
        <v>0</v>
      </c>
      <c r="BR95" s="524">
        <f t="shared" si="68"/>
        <v>0</v>
      </c>
      <c r="BS95" s="524">
        <f t="shared" si="68"/>
        <v>0</v>
      </c>
      <c r="BT95" s="524">
        <f t="shared" si="68"/>
        <v>0</v>
      </c>
      <c r="BU95" s="524">
        <f t="shared" si="69"/>
        <v>0</v>
      </c>
      <c r="BV95" s="524">
        <f t="shared" si="69"/>
        <v>0</v>
      </c>
      <c r="BW95" s="524">
        <f t="shared" si="69"/>
        <v>0</v>
      </c>
      <c r="BX95" s="524">
        <f t="shared" si="69"/>
        <v>0</v>
      </c>
      <c r="BY95" s="524">
        <f t="shared" si="69"/>
        <v>0</v>
      </c>
      <c r="BZ95" s="524">
        <f t="shared" si="69"/>
        <v>0</v>
      </c>
    </row>
    <row r="96" spans="2:78" ht="21" hidden="1" customHeight="1" outlineLevel="3">
      <c r="B96" s="367"/>
      <c r="C96" s="370"/>
      <c r="D96" s="374">
        <f t="shared" si="64"/>
        <v>45351</v>
      </c>
      <c r="E96" s="373" cm="1">
        <f t="array" ref="E96">IF($D96&lt;=LatestMonthOfActuals,0,INDEX($AE$27:$BZ$27,0,MATCH($D96,$AE$8:$BZ$8,0)))</f>
        <v>0</v>
      </c>
      <c r="F96" s="359"/>
      <c r="G96" s="408">
        <f t="shared" si="56"/>
        <v>0</v>
      </c>
      <c r="H96" s="408">
        <f t="shared" si="56"/>
        <v>0</v>
      </c>
      <c r="I96" s="408">
        <f t="shared" si="56"/>
        <v>0</v>
      </c>
      <c r="J96" s="408">
        <f t="shared" si="56"/>
        <v>0</v>
      </c>
      <c r="K96" s="408"/>
      <c r="L96" s="408"/>
      <c r="M96" s="408">
        <f t="shared" si="57"/>
        <v>0</v>
      </c>
      <c r="N96" s="408">
        <f t="shared" si="57"/>
        <v>0</v>
      </c>
      <c r="O96" s="408">
        <f t="shared" si="57"/>
        <v>0</v>
      </c>
      <c r="P96" s="408">
        <f t="shared" si="57"/>
        <v>0</v>
      </c>
      <c r="Q96" s="408">
        <f t="shared" si="57"/>
        <v>0</v>
      </c>
      <c r="R96" s="408">
        <f t="shared" si="57"/>
        <v>0</v>
      </c>
      <c r="S96" s="408">
        <f t="shared" si="57"/>
        <v>0</v>
      </c>
      <c r="T96" s="408">
        <f t="shared" si="57"/>
        <v>0</v>
      </c>
      <c r="U96" s="408">
        <f t="shared" si="57"/>
        <v>0</v>
      </c>
      <c r="V96" s="408">
        <f t="shared" si="57"/>
        <v>0</v>
      </c>
      <c r="W96" s="408">
        <f t="shared" si="57"/>
        <v>0</v>
      </c>
      <c r="X96" s="408">
        <f t="shared" si="57"/>
        <v>0</v>
      </c>
      <c r="Y96" s="408">
        <f t="shared" si="57"/>
        <v>0</v>
      </c>
      <c r="Z96" s="408">
        <f t="shared" si="57"/>
        <v>0</v>
      </c>
      <c r="AA96" s="408">
        <f t="shared" si="57"/>
        <v>0</v>
      </c>
      <c r="AB96" s="408">
        <f t="shared" si="57"/>
        <v>0</v>
      </c>
      <c r="AC96" s="524"/>
      <c r="AD96" s="359"/>
      <c r="AE96" s="524">
        <f t="shared" si="65"/>
        <v>0</v>
      </c>
      <c r="AF96" s="524">
        <f t="shared" si="65"/>
        <v>0</v>
      </c>
      <c r="AG96" s="524">
        <f t="shared" si="65"/>
        <v>0</v>
      </c>
      <c r="AH96" s="524">
        <f t="shared" si="65"/>
        <v>0</v>
      </c>
      <c r="AI96" s="524">
        <f t="shared" si="65"/>
        <v>0</v>
      </c>
      <c r="AJ96" s="524">
        <f t="shared" si="65"/>
        <v>0</v>
      </c>
      <c r="AK96" s="524">
        <f t="shared" si="65"/>
        <v>0</v>
      </c>
      <c r="AL96" s="524">
        <f t="shared" si="65"/>
        <v>0</v>
      </c>
      <c r="AM96" s="524">
        <f t="shared" si="65"/>
        <v>0</v>
      </c>
      <c r="AN96" s="524">
        <f t="shared" si="65"/>
        <v>0</v>
      </c>
      <c r="AO96" s="524">
        <f t="shared" si="65"/>
        <v>0</v>
      </c>
      <c r="AP96" s="524">
        <f t="shared" si="59"/>
        <v>0</v>
      </c>
      <c r="AQ96" s="524">
        <f t="shared" si="66"/>
        <v>0</v>
      </c>
      <c r="AR96" s="524">
        <f t="shared" si="66"/>
        <v>0</v>
      </c>
      <c r="AS96" s="524">
        <f t="shared" si="66"/>
        <v>0</v>
      </c>
      <c r="AT96" s="524">
        <f t="shared" si="66"/>
        <v>0</v>
      </c>
      <c r="AU96" s="524">
        <f t="shared" si="66"/>
        <v>0</v>
      </c>
      <c r="AV96" s="524">
        <f t="shared" si="66"/>
        <v>0</v>
      </c>
      <c r="AW96" s="524">
        <f t="shared" si="66"/>
        <v>0</v>
      </c>
      <c r="AX96" s="524">
        <f t="shared" si="66"/>
        <v>0</v>
      </c>
      <c r="AY96" s="524">
        <f t="shared" si="66"/>
        <v>0</v>
      </c>
      <c r="AZ96" s="524">
        <f t="shared" si="66"/>
        <v>0</v>
      </c>
      <c r="BA96" s="524">
        <f t="shared" si="67"/>
        <v>0</v>
      </c>
      <c r="BB96" s="524">
        <f t="shared" si="67"/>
        <v>0</v>
      </c>
      <c r="BC96" s="524">
        <f t="shared" si="67"/>
        <v>0</v>
      </c>
      <c r="BD96" s="524">
        <f t="shared" si="67"/>
        <v>0</v>
      </c>
      <c r="BE96" s="524">
        <f t="shared" si="67"/>
        <v>0</v>
      </c>
      <c r="BF96" s="524">
        <f t="shared" si="67"/>
        <v>0</v>
      </c>
      <c r="BG96" s="524">
        <f t="shared" si="67"/>
        <v>0</v>
      </c>
      <c r="BH96" s="524">
        <f t="shared" si="67"/>
        <v>0</v>
      </c>
      <c r="BI96" s="524">
        <f t="shared" si="67"/>
        <v>0</v>
      </c>
      <c r="BJ96" s="524">
        <f t="shared" si="67"/>
        <v>0</v>
      </c>
      <c r="BK96" s="524">
        <f t="shared" si="68"/>
        <v>0</v>
      </c>
      <c r="BL96" s="524">
        <f t="shared" si="68"/>
        <v>0</v>
      </c>
      <c r="BM96" s="524">
        <f t="shared" si="68"/>
        <v>0</v>
      </c>
      <c r="BN96" s="524">
        <f t="shared" si="68"/>
        <v>0</v>
      </c>
      <c r="BO96" s="524">
        <f t="shared" si="68"/>
        <v>0</v>
      </c>
      <c r="BP96" s="524">
        <f t="shared" si="68"/>
        <v>0</v>
      </c>
      <c r="BQ96" s="524">
        <f t="shared" si="68"/>
        <v>0</v>
      </c>
      <c r="BR96" s="524">
        <f t="shared" si="68"/>
        <v>0</v>
      </c>
      <c r="BS96" s="524">
        <f t="shared" si="68"/>
        <v>0</v>
      </c>
      <c r="BT96" s="524">
        <f t="shared" si="68"/>
        <v>0</v>
      </c>
      <c r="BU96" s="524">
        <f t="shared" si="69"/>
        <v>0</v>
      </c>
      <c r="BV96" s="524">
        <f t="shared" si="69"/>
        <v>0</v>
      </c>
      <c r="BW96" s="524">
        <f t="shared" si="69"/>
        <v>0</v>
      </c>
      <c r="BX96" s="524">
        <f t="shared" si="69"/>
        <v>0</v>
      </c>
      <c r="BY96" s="524">
        <f t="shared" si="69"/>
        <v>0</v>
      </c>
      <c r="BZ96" s="524">
        <f t="shared" si="69"/>
        <v>0</v>
      </c>
    </row>
    <row r="97" spans="2:78" ht="21" hidden="1" customHeight="1" outlineLevel="3">
      <c r="B97" s="367"/>
      <c r="C97" s="370"/>
      <c r="D97" s="374">
        <f t="shared" si="64"/>
        <v>45382</v>
      </c>
      <c r="E97" s="373" cm="1">
        <f t="array" ref="E97">IF($D97&lt;=LatestMonthOfActuals,0,INDEX($AE$27:$BZ$27,0,MATCH($D97,$AE$8:$BZ$8,0)))</f>
        <v>0</v>
      </c>
      <c r="F97" s="359"/>
      <c r="G97" s="408">
        <f t="shared" si="56"/>
        <v>0</v>
      </c>
      <c r="H97" s="408">
        <f t="shared" si="56"/>
        <v>0</v>
      </c>
      <c r="I97" s="408">
        <f t="shared" si="56"/>
        <v>0</v>
      </c>
      <c r="J97" s="408">
        <f t="shared" si="56"/>
        <v>0</v>
      </c>
      <c r="K97" s="408"/>
      <c r="L97" s="408"/>
      <c r="M97" s="408">
        <f t="shared" si="57"/>
        <v>0</v>
      </c>
      <c r="N97" s="408">
        <f t="shared" si="57"/>
        <v>0</v>
      </c>
      <c r="O97" s="408">
        <f t="shared" si="57"/>
        <v>0</v>
      </c>
      <c r="P97" s="408">
        <f t="shared" si="57"/>
        <v>0</v>
      </c>
      <c r="Q97" s="408">
        <f t="shared" si="57"/>
        <v>0</v>
      </c>
      <c r="R97" s="408">
        <f t="shared" si="57"/>
        <v>0</v>
      </c>
      <c r="S97" s="408">
        <f t="shared" si="57"/>
        <v>0</v>
      </c>
      <c r="T97" s="408">
        <f t="shared" si="57"/>
        <v>0</v>
      </c>
      <c r="U97" s="408">
        <f t="shared" si="57"/>
        <v>0</v>
      </c>
      <c r="V97" s="408">
        <f t="shared" si="57"/>
        <v>0</v>
      </c>
      <c r="W97" s="408">
        <f t="shared" si="57"/>
        <v>0</v>
      </c>
      <c r="X97" s="408">
        <f t="shared" si="57"/>
        <v>0</v>
      </c>
      <c r="Y97" s="408">
        <f t="shared" si="57"/>
        <v>0</v>
      </c>
      <c r="Z97" s="408">
        <f t="shared" si="57"/>
        <v>0</v>
      </c>
      <c r="AA97" s="408">
        <f t="shared" si="57"/>
        <v>0</v>
      </c>
      <c r="AB97" s="408">
        <f t="shared" si="57"/>
        <v>0</v>
      </c>
      <c r="AC97" s="524"/>
      <c r="AD97" s="359"/>
      <c r="AE97" s="524">
        <f t="shared" si="65"/>
        <v>0</v>
      </c>
      <c r="AF97" s="524">
        <f t="shared" si="65"/>
        <v>0</v>
      </c>
      <c r="AG97" s="524">
        <f t="shared" si="65"/>
        <v>0</v>
      </c>
      <c r="AH97" s="524">
        <f t="shared" si="65"/>
        <v>0</v>
      </c>
      <c r="AI97" s="524">
        <f t="shared" si="65"/>
        <v>0</v>
      </c>
      <c r="AJ97" s="524">
        <f t="shared" si="65"/>
        <v>0</v>
      </c>
      <c r="AK97" s="524">
        <f t="shared" si="65"/>
        <v>0</v>
      </c>
      <c r="AL97" s="524">
        <f t="shared" si="65"/>
        <v>0</v>
      </c>
      <c r="AM97" s="524">
        <f t="shared" si="65"/>
        <v>0</v>
      </c>
      <c r="AN97" s="524">
        <f t="shared" si="65"/>
        <v>0</v>
      </c>
      <c r="AO97" s="524">
        <f t="shared" si="65"/>
        <v>0</v>
      </c>
      <c r="AP97" s="524">
        <f t="shared" si="59"/>
        <v>0</v>
      </c>
      <c r="AQ97" s="524">
        <f t="shared" si="66"/>
        <v>0</v>
      </c>
      <c r="AR97" s="524">
        <f t="shared" si="66"/>
        <v>0</v>
      </c>
      <c r="AS97" s="524">
        <f t="shared" si="66"/>
        <v>0</v>
      </c>
      <c r="AT97" s="524">
        <f t="shared" si="66"/>
        <v>0</v>
      </c>
      <c r="AU97" s="524">
        <f t="shared" si="66"/>
        <v>0</v>
      </c>
      <c r="AV97" s="524">
        <f t="shared" si="66"/>
        <v>0</v>
      </c>
      <c r="AW97" s="524">
        <f t="shared" si="66"/>
        <v>0</v>
      </c>
      <c r="AX97" s="524">
        <f t="shared" si="66"/>
        <v>0</v>
      </c>
      <c r="AY97" s="524">
        <f t="shared" si="66"/>
        <v>0</v>
      </c>
      <c r="AZ97" s="524">
        <f t="shared" si="66"/>
        <v>0</v>
      </c>
      <c r="BA97" s="524">
        <f t="shared" si="67"/>
        <v>0</v>
      </c>
      <c r="BB97" s="524">
        <f t="shared" si="67"/>
        <v>0</v>
      </c>
      <c r="BC97" s="524">
        <f t="shared" si="67"/>
        <v>0</v>
      </c>
      <c r="BD97" s="524">
        <f t="shared" si="67"/>
        <v>0</v>
      </c>
      <c r="BE97" s="524">
        <f t="shared" si="67"/>
        <v>0</v>
      </c>
      <c r="BF97" s="524">
        <f t="shared" si="67"/>
        <v>0</v>
      </c>
      <c r="BG97" s="524">
        <f t="shared" si="67"/>
        <v>0</v>
      </c>
      <c r="BH97" s="524">
        <f t="shared" si="67"/>
        <v>0</v>
      </c>
      <c r="BI97" s="524">
        <f t="shared" si="67"/>
        <v>0</v>
      </c>
      <c r="BJ97" s="524">
        <f t="shared" si="67"/>
        <v>0</v>
      </c>
      <c r="BK97" s="524">
        <f t="shared" si="68"/>
        <v>0</v>
      </c>
      <c r="BL97" s="524">
        <f t="shared" si="68"/>
        <v>0</v>
      </c>
      <c r="BM97" s="524">
        <f t="shared" si="68"/>
        <v>0</v>
      </c>
      <c r="BN97" s="524">
        <f t="shared" si="68"/>
        <v>0</v>
      </c>
      <c r="BO97" s="524">
        <f t="shared" si="68"/>
        <v>0</v>
      </c>
      <c r="BP97" s="524">
        <f t="shared" si="68"/>
        <v>0</v>
      </c>
      <c r="BQ97" s="524">
        <f t="shared" si="68"/>
        <v>0</v>
      </c>
      <c r="BR97" s="524">
        <f t="shared" si="68"/>
        <v>0</v>
      </c>
      <c r="BS97" s="524">
        <f t="shared" si="68"/>
        <v>0</v>
      </c>
      <c r="BT97" s="524">
        <f t="shared" si="68"/>
        <v>0</v>
      </c>
      <c r="BU97" s="524">
        <f t="shared" si="69"/>
        <v>0</v>
      </c>
      <c r="BV97" s="524">
        <f t="shared" si="69"/>
        <v>0</v>
      </c>
      <c r="BW97" s="524">
        <f t="shared" si="69"/>
        <v>0</v>
      </c>
      <c r="BX97" s="524">
        <f t="shared" si="69"/>
        <v>0</v>
      </c>
      <c r="BY97" s="524">
        <f t="shared" si="69"/>
        <v>0</v>
      </c>
      <c r="BZ97" s="524">
        <f t="shared" si="69"/>
        <v>0</v>
      </c>
    </row>
    <row r="98" spans="2:78" ht="21" hidden="1" customHeight="1" outlineLevel="3">
      <c r="B98" s="367"/>
      <c r="C98" s="370"/>
      <c r="D98" s="374">
        <f t="shared" si="64"/>
        <v>45412</v>
      </c>
      <c r="E98" s="373" cm="1">
        <f t="array" ref="E98">IF($D98&lt;=LatestMonthOfActuals,0,INDEX($AE$27:$BZ$27,0,MATCH($D98,$AE$8:$BZ$8,0)))</f>
        <v>0</v>
      </c>
      <c r="F98" s="359"/>
      <c r="G98" s="408">
        <f t="shared" si="56"/>
        <v>0</v>
      </c>
      <c r="H98" s="408">
        <f t="shared" si="56"/>
        <v>0</v>
      </c>
      <c r="I98" s="408">
        <f t="shared" si="56"/>
        <v>0</v>
      </c>
      <c r="J98" s="408">
        <f t="shared" si="56"/>
        <v>0</v>
      </c>
      <c r="K98" s="408"/>
      <c r="L98" s="408"/>
      <c r="M98" s="408">
        <f t="shared" si="57"/>
        <v>0</v>
      </c>
      <c r="N98" s="408">
        <f t="shared" si="57"/>
        <v>0</v>
      </c>
      <c r="O98" s="408">
        <f t="shared" si="57"/>
        <v>0</v>
      </c>
      <c r="P98" s="408">
        <f t="shared" si="57"/>
        <v>0</v>
      </c>
      <c r="Q98" s="408">
        <f t="shared" si="57"/>
        <v>0</v>
      </c>
      <c r="R98" s="408">
        <f t="shared" si="57"/>
        <v>0</v>
      </c>
      <c r="S98" s="408">
        <f t="shared" si="57"/>
        <v>0</v>
      </c>
      <c r="T98" s="408">
        <f t="shared" si="57"/>
        <v>0</v>
      </c>
      <c r="U98" s="408">
        <f t="shared" si="57"/>
        <v>0</v>
      </c>
      <c r="V98" s="408">
        <f t="shared" si="57"/>
        <v>0</v>
      </c>
      <c r="W98" s="408">
        <f t="shared" si="57"/>
        <v>0</v>
      </c>
      <c r="X98" s="408">
        <f t="shared" si="57"/>
        <v>0</v>
      </c>
      <c r="Y98" s="408">
        <f t="shared" si="57"/>
        <v>0</v>
      </c>
      <c r="Z98" s="408">
        <f t="shared" si="57"/>
        <v>0</v>
      </c>
      <c r="AA98" s="408">
        <f t="shared" si="57"/>
        <v>0</v>
      </c>
      <c r="AB98" s="408">
        <f t="shared" ref="AB98" si="70">SUMIFS($AE98:$BZ98,$AE$4:$BZ$4,"&gt;="&amp;AB$4,$AE98:$BZ98,"&lt;="&amp;AB$5)</f>
        <v>0</v>
      </c>
      <c r="AC98" s="524"/>
      <c r="AD98" s="359"/>
      <c r="AE98" s="524">
        <f t="shared" si="65"/>
        <v>0</v>
      </c>
      <c r="AF98" s="524">
        <f t="shared" si="65"/>
        <v>0</v>
      </c>
      <c r="AG98" s="524">
        <f t="shared" si="65"/>
        <v>0</v>
      </c>
      <c r="AH98" s="524">
        <f t="shared" si="65"/>
        <v>0</v>
      </c>
      <c r="AI98" s="524">
        <f t="shared" si="65"/>
        <v>0</v>
      </c>
      <c r="AJ98" s="524">
        <f t="shared" si="65"/>
        <v>0</v>
      </c>
      <c r="AK98" s="524">
        <f t="shared" si="65"/>
        <v>0</v>
      </c>
      <c r="AL98" s="524">
        <f t="shared" si="65"/>
        <v>0</v>
      </c>
      <c r="AM98" s="524">
        <f t="shared" si="65"/>
        <v>0</v>
      </c>
      <c r="AN98" s="524">
        <f t="shared" si="65"/>
        <v>0</v>
      </c>
      <c r="AO98" s="524">
        <f t="shared" si="65"/>
        <v>0</v>
      </c>
      <c r="AP98" s="524">
        <f t="shared" si="59"/>
        <v>0</v>
      </c>
      <c r="AQ98" s="524">
        <f t="shared" si="66"/>
        <v>0</v>
      </c>
      <c r="AR98" s="524">
        <f t="shared" si="66"/>
        <v>0</v>
      </c>
      <c r="AS98" s="524">
        <f t="shared" si="66"/>
        <v>0</v>
      </c>
      <c r="AT98" s="524">
        <f t="shared" si="66"/>
        <v>0</v>
      </c>
      <c r="AU98" s="524">
        <f t="shared" si="66"/>
        <v>0</v>
      </c>
      <c r="AV98" s="524">
        <f t="shared" si="66"/>
        <v>0</v>
      </c>
      <c r="AW98" s="524">
        <f t="shared" si="66"/>
        <v>0</v>
      </c>
      <c r="AX98" s="524">
        <f t="shared" si="66"/>
        <v>0</v>
      </c>
      <c r="AY98" s="524">
        <f t="shared" si="66"/>
        <v>0</v>
      </c>
      <c r="AZ98" s="524">
        <f t="shared" si="66"/>
        <v>0</v>
      </c>
      <c r="BA98" s="524">
        <f t="shared" si="67"/>
        <v>0</v>
      </c>
      <c r="BB98" s="524">
        <f t="shared" si="67"/>
        <v>0</v>
      </c>
      <c r="BC98" s="524">
        <f t="shared" si="67"/>
        <v>0</v>
      </c>
      <c r="BD98" s="524">
        <f t="shared" si="67"/>
        <v>0</v>
      </c>
      <c r="BE98" s="524">
        <f t="shared" si="67"/>
        <v>0</v>
      </c>
      <c r="BF98" s="524">
        <f t="shared" si="67"/>
        <v>0</v>
      </c>
      <c r="BG98" s="524">
        <f t="shared" si="67"/>
        <v>0</v>
      </c>
      <c r="BH98" s="524">
        <f t="shared" si="67"/>
        <v>0</v>
      </c>
      <c r="BI98" s="524">
        <f t="shared" si="67"/>
        <v>0</v>
      </c>
      <c r="BJ98" s="524">
        <f t="shared" si="67"/>
        <v>0</v>
      </c>
      <c r="BK98" s="524">
        <f t="shared" si="68"/>
        <v>0</v>
      </c>
      <c r="BL98" s="524">
        <f t="shared" si="68"/>
        <v>0</v>
      </c>
      <c r="BM98" s="524">
        <f t="shared" si="68"/>
        <v>0</v>
      </c>
      <c r="BN98" s="524">
        <f t="shared" si="68"/>
        <v>0</v>
      </c>
      <c r="BO98" s="524">
        <f t="shared" si="68"/>
        <v>0</v>
      </c>
      <c r="BP98" s="524">
        <f t="shared" si="68"/>
        <v>0</v>
      </c>
      <c r="BQ98" s="524">
        <f t="shared" si="68"/>
        <v>0</v>
      </c>
      <c r="BR98" s="524">
        <f t="shared" si="68"/>
        <v>0</v>
      </c>
      <c r="BS98" s="524">
        <f t="shared" si="68"/>
        <v>0</v>
      </c>
      <c r="BT98" s="524">
        <f t="shared" si="68"/>
        <v>0</v>
      </c>
      <c r="BU98" s="524">
        <f t="shared" si="69"/>
        <v>0</v>
      </c>
      <c r="BV98" s="524">
        <f t="shared" si="69"/>
        <v>0</v>
      </c>
      <c r="BW98" s="524">
        <f t="shared" si="69"/>
        <v>0</v>
      </c>
      <c r="BX98" s="524">
        <f t="shared" si="69"/>
        <v>0</v>
      </c>
      <c r="BY98" s="524">
        <f t="shared" si="69"/>
        <v>0</v>
      </c>
      <c r="BZ98" s="524">
        <f t="shared" si="69"/>
        <v>0</v>
      </c>
    </row>
    <row r="99" spans="2:78" ht="21" hidden="1" customHeight="1" outlineLevel="3">
      <c r="B99" s="367"/>
      <c r="C99" s="370"/>
      <c r="D99" s="374">
        <f t="shared" si="64"/>
        <v>45443</v>
      </c>
      <c r="E99" s="373" cm="1">
        <f t="array" ref="E99">IF($D99&lt;=LatestMonthOfActuals,0,INDEX($AE$27:$BZ$27,0,MATCH($D99,$AE$8:$BZ$8,0)))</f>
        <v>0</v>
      </c>
      <c r="F99" s="359"/>
      <c r="G99" s="408">
        <f t="shared" si="56"/>
        <v>0</v>
      </c>
      <c r="H99" s="408">
        <f t="shared" si="56"/>
        <v>0</v>
      </c>
      <c r="I99" s="408">
        <f t="shared" si="56"/>
        <v>0</v>
      </c>
      <c r="J99" s="408">
        <f t="shared" si="56"/>
        <v>0</v>
      </c>
      <c r="K99" s="408"/>
      <c r="L99" s="408"/>
      <c r="M99" s="408">
        <f t="shared" ref="M99:AB114" si="71">SUMIFS($AE99:$BZ99,$AE$4:$BZ$4,"&gt;="&amp;M$4,$AE99:$BZ99,"&lt;="&amp;M$5)</f>
        <v>0</v>
      </c>
      <c r="N99" s="408">
        <f t="shared" si="71"/>
        <v>0</v>
      </c>
      <c r="O99" s="408">
        <f t="shared" si="71"/>
        <v>0</v>
      </c>
      <c r="P99" s="408">
        <f t="shared" si="71"/>
        <v>0</v>
      </c>
      <c r="Q99" s="408">
        <f t="shared" si="71"/>
        <v>0</v>
      </c>
      <c r="R99" s="408">
        <f t="shared" si="71"/>
        <v>0</v>
      </c>
      <c r="S99" s="408">
        <f t="shared" si="71"/>
        <v>0</v>
      </c>
      <c r="T99" s="408">
        <f t="shared" si="71"/>
        <v>0</v>
      </c>
      <c r="U99" s="408">
        <f t="shared" si="71"/>
        <v>0</v>
      </c>
      <c r="V99" s="408">
        <f t="shared" si="71"/>
        <v>0</v>
      </c>
      <c r="W99" s="408">
        <f t="shared" si="71"/>
        <v>0</v>
      </c>
      <c r="X99" s="408">
        <f t="shared" si="71"/>
        <v>0</v>
      </c>
      <c r="Y99" s="408">
        <f t="shared" si="71"/>
        <v>0</v>
      </c>
      <c r="Z99" s="408">
        <f t="shared" si="71"/>
        <v>0</v>
      </c>
      <c r="AA99" s="408">
        <f t="shared" si="71"/>
        <v>0</v>
      </c>
      <c r="AB99" s="408">
        <f t="shared" si="71"/>
        <v>0</v>
      </c>
      <c r="AC99" s="524"/>
      <c r="AD99" s="359"/>
      <c r="AE99" s="524">
        <f t="shared" si="65"/>
        <v>0</v>
      </c>
      <c r="AF99" s="524">
        <f t="shared" si="65"/>
        <v>0</v>
      </c>
      <c r="AG99" s="524">
        <f t="shared" si="65"/>
        <v>0</v>
      </c>
      <c r="AH99" s="524">
        <f t="shared" si="65"/>
        <v>0</v>
      </c>
      <c r="AI99" s="524">
        <f t="shared" si="65"/>
        <v>0</v>
      </c>
      <c r="AJ99" s="524">
        <f t="shared" si="65"/>
        <v>0</v>
      </c>
      <c r="AK99" s="524">
        <f t="shared" si="65"/>
        <v>0</v>
      </c>
      <c r="AL99" s="524">
        <f t="shared" si="65"/>
        <v>0</v>
      </c>
      <c r="AM99" s="524">
        <f t="shared" si="65"/>
        <v>0</v>
      </c>
      <c r="AN99" s="524">
        <f t="shared" si="65"/>
        <v>0</v>
      </c>
      <c r="AO99" s="524">
        <f t="shared" si="65"/>
        <v>0</v>
      </c>
      <c r="AP99" s="524">
        <f t="shared" si="59"/>
        <v>0</v>
      </c>
      <c r="AQ99" s="524">
        <f t="shared" si="66"/>
        <v>0</v>
      </c>
      <c r="AR99" s="524">
        <f t="shared" si="66"/>
        <v>0</v>
      </c>
      <c r="AS99" s="524">
        <f t="shared" si="66"/>
        <v>0</v>
      </c>
      <c r="AT99" s="524">
        <f t="shared" si="66"/>
        <v>0</v>
      </c>
      <c r="AU99" s="524">
        <f t="shared" si="66"/>
        <v>0</v>
      </c>
      <c r="AV99" s="524">
        <f t="shared" si="66"/>
        <v>0</v>
      </c>
      <c r="AW99" s="524">
        <f t="shared" si="66"/>
        <v>0</v>
      </c>
      <c r="AX99" s="524">
        <f t="shared" si="66"/>
        <v>0</v>
      </c>
      <c r="AY99" s="524">
        <f t="shared" si="66"/>
        <v>0</v>
      </c>
      <c r="AZ99" s="524">
        <f t="shared" si="66"/>
        <v>0</v>
      </c>
      <c r="BA99" s="524">
        <f t="shared" si="67"/>
        <v>0</v>
      </c>
      <c r="BB99" s="524">
        <f t="shared" si="67"/>
        <v>0</v>
      </c>
      <c r="BC99" s="524">
        <f t="shared" si="67"/>
        <v>0</v>
      </c>
      <c r="BD99" s="524">
        <f t="shared" si="67"/>
        <v>0</v>
      </c>
      <c r="BE99" s="524">
        <f t="shared" si="67"/>
        <v>0</v>
      </c>
      <c r="BF99" s="524">
        <f t="shared" si="67"/>
        <v>0</v>
      </c>
      <c r="BG99" s="524">
        <f t="shared" si="67"/>
        <v>0</v>
      </c>
      <c r="BH99" s="524">
        <f t="shared" si="67"/>
        <v>0</v>
      </c>
      <c r="BI99" s="524">
        <f t="shared" si="67"/>
        <v>0</v>
      </c>
      <c r="BJ99" s="524">
        <f t="shared" si="67"/>
        <v>0</v>
      </c>
      <c r="BK99" s="524">
        <f t="shared" si="68"/>
        <v>0</v>
      </c>
      <c r="BL99" s="524">
        <f t="shared" si="68"/>
        <v>0</v>
      </c>
      <c r="BM99" s="524">
        <f t="shared" si="68"/>
        <v>0</v>
      </c>
      <c r="BN99" s="524">
        <f t="shared" si="68"/>
        <v>0</v>
      </c>
      <c r="BO99" s="524">
        <f t="shared" si="68"/>
        <v>0</v>
      </c>
      <c r="BP99" s="524">
        <f t="shared" si="68"/>
        <v>0</v>
      </c>
      <c r="BQ99" s="524">
        <f t="shared" si="68"/>
        <v>0</v>
      </c>
      <c r="BR99" s="524">
        <f t="shared" si="68"/>
        <v>0</v>
      </c>
      <c r="BS99" s="524">
        <f t="shared" si="68"/>
        <v>0</v>
      </c>
      <c r="BT99" s="524">
        <f t="shared" si="68"/>
        <v>0</v>
      </c>
      <c r="BU99" s="524">
        <f t="shared" si="69"/>
        <v>0</v>
      </c>
      <c r="BV99" s="524">
        <f t="shared" si="69"/>
        <v>0</v>
      </c>
      <c r="BW99" s="524">
        <f t="shared" si="69"/>
        <v>0</v>
      </c>
      <c r="BX99" s="524">
        <f t="shared" si="69"/>
        <v>0</v>
      </c>
      <c r="BY99" s="524">
        <f t="shared" si="69"/>
        <v>0</v>
      </c>
      <c r="BZ99" s="524">
        <f t="shared" si="69"/>
        <v>0</v>
      </c>
    </row>
    <row r="100" spans="2:78" ht="21" hidden="1" customHeight="1" outlineLevel="3">
      <c r="B100" s="367"/>
      <c r="C100" s="370"/>
      <c r="D100" s="374">
        <f t="shared" si="64"/>
        <v>45473</v>
      </c>
      <c r="E100" s="373" cm="1">
        <f t="array" ref="E100">IF($D100&lt;=LatestMonthOfActuals,0,INDEX($AE$27:$BZ$27,0,MATCH($D100,$AE$8:$BZ$8,0)))</f>
        <v>0</v>
      </c>
      <c r="F100" s="359"/>
      <c r="G100" s="408">
        <f t="shared" si="56"/>
        <v>0</v>
      </c>
      <c r="H100" s="408">
        <f t="shared" si="56"/>
        <v>0</v>
      </c>
      <c r="I100" s="408">
        <f t="shared" si="56"/>
        <v>0</v>
      </c>
      <c r="J100" s="408">
        <f t="shared" si="56"/>
        <v>0</v>
      </c>
      <c r="K100" s="408"/>
      <c r="L100" s="408"/>
      <c r="M100" s="408">
        <f t="shared" si="71"/>
        <v>0</v>
      </c>
      <c r="N100" s="408">
        <f t="shared" si="71"/>
        <v>0</v>
      </c>
      <c r="O100" s="408">
        <f t="shared" si="71"/>
        <v>0</v>
      </c>
      <c r="P100" s="408">
        <f t="shared" si="71"/>
        <v>0</v>
      </c>
      <c r="Q100" s="408">
        <f t="shared" si="71"/>
        <v>0</v>
      </c>
      <c r="R100" s="408">
        <f t="shared" si="71"/>
        <v>0</v>
      </c>
      <c r="S100" s="408">
        <f t="shared" si="71"/>
        <v>0</v>
      </c>
      <c r="T100" s="408">
        <f t="shared" si="71"/>
        <v>0</v>
      </c>
      <c r="U100" s="408">
        <f t="shared" si="71"/>
        <v>0</v>
      </c>
      <c r="V100" s="408">
        <f t="shared" si="71"/>
        <v>0</v>
      </c>
      <c r="W100" s="408">
        <f t="shared" si="71"/>
        <v>0</v>
      </c>
      <c r="X100" s="408">
        <f t="shared" si="71"/>
        <v>0</v>
      </c>
      <c r="Y100" s="408">
        <f t="shared" si="71"/>
        <v>0</v>
      </c>
      <c r="Z100" s="408">
        <f t="shared" si="71"/>
        <v>0</v>
      </c>
      <c r="AA100" s="408">
        <f t="shared" si="71"/>
        <v>0</v>
      </c>
      <c r="AB100" s="408">
        <f t="shared" si="71"/>
        <v>0</v>
      </c>
      <c r="AC100" s="524"/>
      <c r="AD100" s="359"/>
      <c r="AE100" s="524">
        <f t="shared" si="65"/>
        <v>0</v>
      </c>
      <c r="AF100" s="524">
        <f t="shared" si="65"/>
        <v>0</v>
      </c>
      <c r="AG100" s="524">
        <f t="shared" si="65"/>
        <v>0</v>
      </c>
      <c r="AH100" s="524">
        <f t="shared" si="65"/>
        <v>0</v>
      </c>
      <c r="AI100" s="524">
        <f t="shared" si="65"/>
        <v>0</v>
      </c>
      <c r="AJ100" s="524">
        <f t="shared" si="65"/>
        <v>0</v>
      </c>
      <c r="AK100" s="524">
        <f t="shared" si="65"/>
        <v>0</v>
      </c>
      <c r="AL100" s="524">
        <f t="shared" si="65"/>
        <v>0</v>
      </c>
      <c r="AM100" s="524">
        <f t="shared" si="65"/>
        <v>0</v>
      </c>
      <c r="AN100" s="524">
        <f t="shared" si="65"/>
        <v>0</v>
      </c>
      <c r="AO100" s="524">
        <f t="shared" si="65"/>
        <v>0</v>
      </c>
      <c r="AP100" s="524">
        <f t="shared" si="59"/>
        <v>0</v>
      </c>
      <c r="AQ100" s="524">
        <f t="shared" si="66"/>
        <v>0</v>
      </c>
      <c r="AR100" s="524">
        <f t="shared" si="66"/>
        <v>0</v>
      </c>
      <c r="AS100" s="524">
        <f t="shared" si="66"/>
        <v>0</v>
      </c>
      <c r="AT100" s="524">
        <f t="shared" si="66"/>
        <v>0</v>
      </c>
      <c r="AU100" s="524">
        <f t="shared" si="66"/>
        <v>0</v>
      </c>
      <c r="AV100" s="524">
        <f t="shared" si="66"/>
        <v>0</v>
      </c>
      <c r="AW100" s="524">
        <f t="shared" si="66"/>
        <v>0</v>
      </c>
      <c r="AX100" s="524">
        <f t="shared" si="66"/>
        <v>0</v>
      </c>
      <c r="AY100" s="524">
        <f t="shared" si="66"/>
        <v>0</v>
      </c>
      <c r="AZ100" s="524">
        <f t="shared" si="66"/>
        <v>0</v>
      </c>
      <c r="BA100" s="524">
        <f t="shared" si="67"/>
        <v>0</v>
      </c>
      <c r="BB100" s="524">
        <f t="shared" si="67"/>
        <v>0</v>
      </c>
      <c r="BC100" s="524">
        <f t="shared" si="67"/>
        <v>0</v>
      </c>
      <c r="BD100" s="524">
        <f t="shared" si="67"/>
        <v>0</v>
      </c>
      <c r="BE100" s="524">
        <f t="shared" si="67"/>
        <v>0</v>
      </c>
      <c r="BF100" s="524">
        <f t="shared" si="67"/>
        <v>0</v>
      </c>
      <c r="BG100" s="524">
        <f t="shared" si="67"/>
        <v>0</v>
      </c>
      <c r="BH100" s="524">
        <f t="shared" si="67"/>
        <v>0</v>
      </c>
      <c r="BI100" s="524">
        <f t="shared" si="67"/>
        <v>0</v>
      </c>
      <c r="BJ100" s="524">
        <f t="shared" si="67"/>
        <v>0</v>
      </c>
      <c r="BK100" s="524">
        <f t="shared" si="68"/>
        <v>0</v>
      </c>
      <c r="BL100" s="524">
        <f t="shared" si="68"/>
        <v>0</v>
      </c>
      <c r="BM100" s="524">
        <f t="shared" si="68"/>
        <v>0</v>
      </c>
      <c r="BN100" s="524">
        <f t="shared" si="68"/>
        <v>0</v>
      </c>
      <c r="BO100" s="524">
        <f t="shared" si="68"/>
        <v>0</v>
      </c>
      <c r="BP100" s="524">
        <f t="shared" si="68"/>
        <v>0</v>
      </c>
      <c r="BQ100" s="524">
        <f t="shared" si="68"/>
        <v>0</v>
      </c>
      <c r="BR100" s="524">
        <f t="shared" si="68"/>
        <v>0</v>
      </c>
      <c r="BS100" s="524">
        <f t="shared" si="68"/>
        <v>0</v>
      </c>
      <c r="BT100" s="524">
        <f t="shared" si="68"/>
        <v>0</v>
      </c>
      <c r="BU100" s="524">
        <f t="shared" si="69"/>
        <v>0</v>
      </c>
      <c r="BV100" s="524">
        <f t="shared" si="69"/>
        <v>0</v>
      </c>
      <c r="BW100" s="524">
        <f t="shared" si="69"/>
        <v>0</v>
      </c>
      <c r="BX100" s="524">
        <f t="shared" si="69"/>
        <v>0</v>
      </c>
      <c r="BY100" s="524">
        <f t="shared" si="69"/>
        <v>0</v>
      </c>
      <c r="BZ100" s="524">
        <f t="shared" si="69"/>
        <v>0</v>
      </c>
    </row>
    <row r="101" spans="2:78" ht="21" hidden="1" customHeight="1" outlineLevel="3">
      <c r="B101" s="367"/>
      <c r="C101" s="370"/>
      <c r="D101" s="374">
        <f t="shared" si="64"/>
        <v>45504</v>
      </c>
      <c r="E101" s="373" cm="1">
        <f t="array" ref="E101">IF($D101&lt;=LatestMonthOfActuals,0,INDEX($AE$27:$BZ$27,0,MATCH($D101,$AE$8:$BZ$8,0)))</f>
        <v>0</v>
      </c>
      <c r="F101" s="359"/>
      <c r="G101" s="408">
        <f t="shared" si="56"/>
        <v>0</v>
      </c>
      <c r="H101" s="408">
        <f t="shared" si="56"/>
        <v>0</v>
      </c>
      <c r="I101" s="408">
        <f t="shared" si="56"/>
        <v>0</v>
      </c>
      <c r="J101" s="408">
        <f t="shared" si="56"/>
        <v>0</v>
      </c>
      <c r="K101" s="408"/>
      <c r="L101" s="408"/>
      <c r="M101" s="408">
        <f t="shared" si="71"/>
        <v>0</v>
      </c>
      <c r="N101" s="408">
        <f t="shared" si="71"/>
        <v>0</v>
      </c>
      <c r="O101" s="408">
        <f t="shared" si="71"/>
        <v>0</v>
      </c>
      <c r="P101" s="408">
        <f t="shared" si="71"/>
        <v>0</v>
      </c>
      <c r="Q101" s="408">
        <f t="shared" si="71"/>
        <v>0</v>
      </c>
      <c r="R101" s="408">
        <f t="shared" si="71"/>
        <v>0</v>
      </c>
      <c r="S101" s="408">
        <f t="shared" si="71"/>
        <v>0</v>
      </c>
      <c r="T101" s="408">
        <f t="shared" si="71"/>
        <v>0</v>
      </c>
      <c r="U101" s="408">
        <f t="shared" si="71"/>
        <v>0</v>
      </c>
      <c r="V101" s="408">
        <f t="shared" si="71"/>
        <v>0</v>
      </c>
      <c r="W101" s="408">
        <f t="shared" si="71"/>
        <v>0</v>
      </c>
      <c r="X101" s="408">
        <f t="shared" si="71"/>
        <v>0</v>
      </c>
      <c r="Y101" s="408">
        <f t="shared" si="71"/>
        <v>0</v>
      </c>
      <c r="Z101" s="408">
        <f t="shared" si="71"/>
        <v>0</v>
      </c>
      <c r="AA101" s="408">
        <f t="shared" si="71"/>
        <v>0</v>
      </c>
      <c r="AB101" s="408">
        <f t="shared" si="71"/>
        <v>0</v>
      </c>
      <c r="AC101" s="524"/>
      <c r="AD101" s="359"/>
      <c r="AE101" s="524">
        <f t="shared" si="65"/>
        <v>0</v>
      </c>
      <c r="AF101" s="524">
        <f t="shared" si="65"/>
        <v>0</v>
      </c>
      <c r="AG101" s="524">
        <f t="shared" si="65"/>
        <v>0</v>
      </c>
      <c r="AH101" s="524">
        <f t="shared" si="65"/>
        <v>0</v>
      </c>
      <c r="AI101" s="524">
        <f t="shared" si="65"/>
        <v>0</v>
      </c>
      <c r="AJ101" s="524">
        <f t="shared" si="65"/>
        <v>0</v>
      </c>
      <c r="AK101" s="524">
        <f t="shared" si="65"/>
        <v>0</v>
      </c>
      <c r="AL101" s="524">
        <f t="shared" si="65"/>
        <v>0</v>
      </c>
      <c r="AM101" s="524">
        <f t="shared" si="65"/>
        <v>0</v>
      </c>
      <c r="AN101" s="524">
        <f t="shared" si="65"/>
        <v>0</v>
      </c>
      <c r="AO101" s="524">
        <f t="shared" si="65"/>
        <v>0</v>
      </c>
      <c r="AP101" s="524">
        <f t="shared" si="59"/>
        <v>0</v>
      </c>
      <c r="AQ101" s="524">
        <f t="shared" si="66"/>
        <v>0</v>
      </c>
      <c r="AR101" s="524">
        <f t="shared" si="66"/>
        <v>0</v>
      </c>
      <c r="AS101" s="524">
        <f t="shared" si="66"/>
        <v>0</v>
      </c>
      <c r="AT101" s="524">
        <f t="shared" si="66"/>
        <v>0</v>
      </c>
      <c r="AU101" s="524">
        <f t="shared" si="66"/>
        <v>0</v>
      </c>
      <c r="AV101" s="524">
        <f t="shared" si="66"/>
        <v>0</v>
      </c>
      <c r="AW101" s="524">
        <f t="shared" si="66"/>
        <v>0</v>
      </c>
      <c r="AX101" s="524">
        <f t="shared" si="66"/>
        <v>0</v>
      </c>
      <c r="AY101" s="524">
        <f t="shared" si="66"/>
        <v>0</v>
      </c>
      <c r="AZ101" s="524">
        <f t="shared" si="66"/>
        <v>0</v>
      </c>
      <c r="BA101" s="524">
        <f t="shared" si="67"/>
        <v>0</v>
      </c>
      <c r="BB101" s="524">
        <f t="shared" si="67"/>
        <v>0</v>
      </c>
      <c r="BC101" s="524">
        <f t="shared" si="67"/>
        <v>0</v>
      </c>
      <c r="BD101" s="524">
        <f t="shared" si="67"/>
        <v>0</v>
      </c>
      <c r="BE101" s="524">
        <f t="shared" si="67"/>
        <v>0</v>
      </c>
      <c r="BF101" s="524">
        <f t="shared" si="67"/>
        <v>0</v>
      </c>
      <c r="BG101" s="524">
        <f t="shared" si="67"/>
        <v>0</v>
      </c>
      <c r="BH101" s="524">
        <f t="shared" si="67"/>
        <v>0</v>
      </c>
      <c r="BI101" s="524">
        <f t="shared" si="67"/>
        <v>0</v>
      </c>
      <c r="BJ101" s="524">
        <f t="shared" si="67"/>
        <v>0</v>
      </c>
      <c r="BK101" s="524">
        <f t="shared" si="68"/>
        <v>0</v>
      </c>
      <c r="BL101" s="524">
        <f t="shared" si="68"/>
        <v>0</v>
      </c>
      <c r="BM101" s="524">
        <f t="shared" si="68"/>
        <v>0</v>
      </c>
      <c r="BN101" s="524">
        <f t="shared" si="68"/>
        <v>0</v>
      </c>
      <c r="BO101" s="524">
        <f t="shared" si="68"/>
        <v>0</v>
      </c>
      <c r="BP101" s="524">
        <f t="shared" si="68"/>
        <v>0</v>
      </c>
      <c r="BQ101" s="524">
        <f t="shared" si="68"/>
        <v>0</v>
      </c>
      <c r="BR101" s="524">
        <f t="shared" si="68"/>
        <v>0</v>
      </c>
      <c r="BS101" s="524">
        <f t="shared" si="68"/>
        <v>0</v>
      </c>
      <c r="BT101" s="524">
        <f t="shared" si="68"/>
        <v>0</v>
      </c>
      <c r="BU101" s="524">
        <f t="shared" si="69"/>
        <v>0</v>
      </c>
      <c r="BV101" s="524">
        <f t="shared" si="69"/>
        <v>0</v>
      </c>
      <c r="BW101" s="524">
        <f t="shared" si="69"/>
        <v>0</v>
      </c>
      <c r="BX101" s="524">
        <f t="shared" si="69"/>
        <v>0</v>
      </c>
      <c r="BY101" s="524">
        <f t="shared" si="69"/>
        <v>0</v>
      </c>
      <c r="BZ101" s="524">
        <f t="shared" si="69"/>
        <v>0</v>
      </c>
    </row>
    <row r="102" spans="2:78" ht="21" hidden="1" customHeight="1" outlineLevel="3">
      <c r="B102" s="367"/>
      <c r="C102" s="370"/>
      <c r="D102" s="374">
        <f t="shared" si="64"/>
        <v>45535</v>
      </c>
      <c r="E102" s="373" cm="1">
        <f t="array" ref="E102">IF($D102&lt;=LatestMonthOfActuals,0,INDEX($AE$27:$BZ$27,0,MATCH($D102,$AE$8:$BZ$8,0)))</f>
        <v>0</v>
      </c>
      <c r="F102" s="359"/>
      <c r="G102" s="408">
        <f t="shared" si="56"/>
        <v>0</v>
      </c>
      <c r="H102" s="408">
        <f t="shared" si="56"/>
        <v>0</v>
      </c>
      <c r="I102" s="408">
        <f t="shared" si="56"/>
        <v>0</v>
      </c>
      <c r="J102" s="408">
        <f t="shared" si="56"/>
        <v>0</v>
      </c>
      <c r="K102" s="408"/>
      <c r="L102" s="408"/>
      <c r="M102" s="408">
        <f t="shared" si="71"/>
        <v>0</v>
      </c>
      <c r="N102" s="408">
        <f t="shared" si="71"/>
        <v>0</v>
      </c>
      <c r="O102" s="408">
        <f t="shared" si="71"/>
        <v>0</v>
      </c>
      <c r="P102" s="408">
        <f t="shared" si="71"/>
        <v>0</v>
      </c>
      <c r="Q102" s="408">
        <f t="shared" si="71"/>
        <v>0</v>
      </c>
      <c r="R102" s="408">
        <f t="shared" si="71"/>
        <v>0</v>
      </c>
      <c r="S102" s="408">
        <f t="shared" si="71"/>
        <v>0</v>
      </c>
      <c r="T102" s="408">
        <f t="shared" si="71"/>
        <v>0</v>
      </c>
      <c r="U102" s="408">
        <f t="shared" si="71"/>
        <v>0</v>
      </c>
      <c r="V102" s="408">
        <f t="shared" si="71"/>
        <v>0</v>
      </c>
      <c r="W102" s="408">
        <f t="shared" si="71"/>
        <v>0</v>
      </c>
      <c r="X102" s="408">
        <f t="shared" si="71"/>
        <v>0</v>
      </c>
      <c r="Y102" s="408">
        <f t="shared" si="71"/>
        <v>0</v>
      </c>
      <c r="Z102" s="408">
        <f t="shared" si="71"/>
        <v>0</v>
      </c>
      <c r="AA102" s="408">
        <f t="shared" si="71"/>
        <v>0</v>
      </c>
      <c r="AB102" s="408">
        <f t="shared" si="71"/>
        <v>0</v>
      </c>
      <c r="AC102" s="524"/>
      <c r="AD102" s="359"/>
      <c r="AE102" s="524">
        <f t="shared" si="65"/>
        <v>0</v>
      </c>
      <c r="AF102" s="524">
        <f t="shared" si="65"/>
        <v>0</v>
      </c>
      <c r="AG102" s="524">
        <f t="shared" si="65"/>
        <v>0</v>
      </c>
      <c r="AH102" s="524">
        <f t="shared" si="65"/>
        <v>0</v>
      </c>
      <c r="AI102" s="524">
        <f t="shared" si="65"/>
        <v>0</v>
      </c>
      <c r="AJ102" s="524">
        <f t="shared" si="65"/>
        <v>0</v>
      </c>
      <c r="AK102" s="524">
        <f t="shared" si="65"/>
        <v>0</v>
      </c>
      <c r="AL102" s="524">
        <f t="shared" si="65"/>
        <v>0</v>
      </c>
      <c r="AM102" s="524">
        <f t="shared" si="65"/>
        <v>0</v>
      </c>
      <c r="AN102" s="524">
        <f t="shared" si="65"/>
        <v>0</v>
      </c>
      <c r="AO102" s="524">
        <f t="shared" si="65"/>
        <v>0</v>
      </c>
      <c r="AP102" s="524">
        <f t="shared" si="59"/>
        <v>0</v>
      </c>
      <c r="AQ102" s="524">
        <f t="shared" si="66"/>
        <v>0</v>
      </c>
      <c r="AR102" s="524">
        <f t="shared" si="66"/>
        <v>0</v>
      </c>
      <c r="AS102" s="524">
        <f t="shared" si="66"/>
        <v>0</v>
      </c>
      <c r="AT102" s="524">
        <f t="shared" si="66"/>
        <v>0</v>
      </c>
      <c r="AU102" s="524">
        <f t="shared" si="66"/>
        <v>0</v>
      </c>
      <c r="AV102" s="524">
        <f t="shared" si="66"/>
        <v>0</v>
      </c>
      <c r="AW102" s="524">
        <f t="shared" si="66"/>
        <v>0</v>
      </c>
      <c r="AX102" s="524">
        <f t="shared" si="66"/>
        <v>0</v>
      </c>
      <c r="AY102" s="524">
        <f t="shared" si="66"/>
        <v>0</v>
      </c>
      <c r="AZ102" s="524">
        <f t="shared" si="66"/>
        <v>0</v>
      </c>
      <c r="BA102" s="524">
        <f t="shared" si="67"/>
        <v>0</v>
      </c>
      <c r="BB102" s="524">
        <f t="shared" si="67"/>
        <v>0</v>
      </c>
      <c r="BC102" s="524">
        <f t="shared" si="67"/>
        <v>0</v>
      </c>
      <c r="BD102" s="524">
        <f t="shared" si="67"/>
        <v>0</v>
      </c>
      <c r="BE102" s="524">
        <f t="shared" si="67"/>
        <v>0</v>
      </c>
      <c r="BF102" s="524">
        <f t="shared" si="67"/>
        <v>0</v>
      </c>
      <c r="BG102" s="524">
        <f t="shared" si="67"/>
        <v>0</v>
      </c>
      <c r="BH102" s="524">
        <f t="shared" si="67"/>
        <v>0</v>
      </c>
      <c r="BI102" s="524">
        <f t="shared" si="67"/>
        <v>0</v>
      </c>
      <c r="BJ102" s="524">
        <f t="shared" si="67"/>
        <v>0</v>
      </c>
      <c r="BK102" s="524">
        <f t="shared" si="68"/>
        <v>0</v>
      </c>
      <c r="BL102" s="524">
        <f t="shared" si="68"/>
        <v>0</v>
      </c>
      <c r="BM102" s="524">
        <f t="shared" si="68"/>
        <v>0</v>
      </c>
      <c r="BN102" s="524">
        <f t="shared" si="68"/>
        <v>0</v>
      </c>
      <c r="BO102" s="524">
        <f t="shared" si="68"/>
        <v>0</v>
      </c>
      <c r="BP102" s="524">
        <f t="shared" si="68"/>
        <v>0</v>
      </c>
      <c r="BQ102" s="524">
        <f t="shared" si="68"/>
        <v>0</v>
      </c>
      <c r="BR102" s="524">
        <f t="shared" si="68"/>
        <v>0</v>
      </c>
      <c r="BS102" s="524">
        <f t="shared" si="68"/>
        <v>0</v>
      </c>
      <c r="BT102" s="524">
        <f t="shared" si="68"/>
        <v>0</v>
      </c>
      <c r="BU102" s="524">
        <f t="shared" si="69"/>
        <v>0</v>
      </c>
      <c r="BV102" s="524">
        <f t="shared" si="69"/>
        <v>0</v>
      </c>
      <c r="BW102" s="524">
        <f t="shared" si="69"/>
        <v>0</v>
      </c>
      <c r="BX102" s="524">
        <f t="shared" si="69"/>
        <v>0</v>
      </c>
      <c r="BY102" s="524">
        <f t="shared" si="69"/>
        <v>0</v>
      </c>
      <c r="BZ102" s="524">
        <f t="shared" si="69"/>
        <v>0</v>
      </c>
    </row>
    <row r="103" spans="2:78" ht="21" hidden="1" customHeight="1" outlineLevel="3">
      <c r="B103" s="367"/>
      <c r="C103" s="370"/>
      <c r="D103" s="374">
        <f t="shared" si="64"/>
        <v>45565</v>
      </c>
      <c r="E103" s="373" cm="1">
        <f t="array" ref="E103">IF($D103&lt;=LatestMonthOfActuals,0,INDEX($AE$27:$BZ$27,0,MATCH($D103,$AE$8:$BZ$8,0)))</f>
        <v>0</v>
      </c>
      <c r="F103" s="359"/>
      <c r="G103" s="408">
        <f t="shared" ref="G103:J122" si="72">SUMIFS($AE103:$BZ103,$AE$4:$BZ$4,"&gt;="&amp;G$4,$AE$5:$BZ$5,"&lt;="&amp;G$5)</f>
        <v>0</v>
      </c>
      <c r="H103" s="408">
        <f t="shared" si="72"/>
        <v>0</v>
      </c>
      <c r="I103" s="408">
        <f t="shared" si="72"/>
        <v>0</v>
      </c>
      <c r="J103" s="408">
        <f t="shared" si="72"/>
        <v>0</v>
      </c>
      <c r="K103" s="408"/>
      <c r="L103" s="408"/>
      <c r="M103" s="408">
        <f t="shared" si="71"/>
        <v>0</v>
      </c>
      <c r="N103" s="408">
        <f t="shared" si="71"/>
        <v>0</v>
      </c>
      <c r="O103" s="408">
        <f t="shared" si="71"/>
        <v>0</v>
      </c>
      <c r="P103" s="408">
        <f t="shared" si="71"/>
        <v>0</v>
      </c>
      <c r="Q103" s="408">
        <f t="shared" si="71"/>
        <v>0</v>
      </c>
      <c r="R103" s="408">
        <f t="shared" si="71"/>
        <v>0</v>
      </c>
      <c r="S103" s="408">
        <f t="shared" si="71"/>
        <v>0</v>
      </c>
      <c r="T103" s="408">
        <f t="shared" si="71"/>
        <v>0</v>
      </c>
      <c r="U103" s="408">
        <f t="shared" si="71"/>
        <v>0</v>
      </c>
      <c r="V103" s="408">
        <f t="shared" si="71"/>
        <v>0</v>
      </c>
      <c r="W103" s="408">
        <f t="shared" si="71"/>
        <v>0</v>
      </c>
      <c r="X103" s="408">
        <f t="shared" si="71"/>
        <v>0</v>
      </c>
      <c r="Y103" s="408">
        <f t="shared" si="71"/>
        <v>0</v>
      </c>
      <c r="Z103" s="408">
        <f t="shared" si="71"/>
        <v>0</v>
      </c>
      <c r="AA103" s="408">
        <f t="shared" si="71"/>
        <v>0</v>
      </c>
      <c r="AB103" s="408">
        <f t="shared" si="71"/>
        <v>0</v>
      </c>
      <c r="AC103" s="524"/>
      <c r="AD103" s="359"/>
      <c r="AE103" s="524">
        <f t="shared" ref="AE103:AO112" si="73">IFERROR(IF(AE$8&gt;=$D103,$E103*(INDEX($E$18:$E$22,(MATCH(MATCH(AE$8,$D$83:$D$130,0)-MATCH($D103,$D$83:$D$130,0),$D$18:$D$22,0)))),0),0)</f>
        <v>0</v>
      </c>
      <c r="AF103" s="524">
        <f t="shared" si="73"/>
        <v>0</v>
      </c>
      <c r="AG103" s="524">
        <f t="shared" si="73"/>
        <v>0</v>
      </c>
      <c r="AH103" s="524">
        <f t="shared" si="73"/>
        <v>0</v>
      </c>
      <c r="AI103" s="524">
        <f t="shared" si="73"/>
        <v>0</v>
      </c>
      <c r="AJ103" s="524">
        <f t="shared" si="73"/>
        <v>0</v>
      </c>
      <c r="AK103" s="524">
        <f t="shared" si="73"/>
        <v>0</v>
      </c>
      <c r="AL103" s="524">
        <f t="shared" si="73"/>
        <v>0</v>
      </c>
      <c r="AM103" s="524">
        <f t="shared" si="73"/>
        <v>0</v>
      </c>
      <c r="AN103" s="524">
        <f t="shared" si="73"/>
        <v>0</v>
      </c>
      <c r="AO103" s="524">
        <f t="shared" si="73"/>
        <v>0</v>
      </c>
      <c r="AP103" s="524">
        <f t="shared" si="59"/>
        <v>0</v>
      </c>
      <c r="AQ103" s="524">
        <f t="shared" ref="AQ103:AZ112" si="74">IFERROR(IF(AQ$8&gt;=$D103,$E103*(INDEX($E$18:$E$22,(MATCH(MATCH(AQ$8,$D$83:$D$130,0)-MATCH($D103,$D$83:$D$130,0),$D$18:$D$22,0)))),0),0)</f>
        <v>0</v>
      </c>
      <c r="AR103" s="524">
        <f t="shared" si="74"/>
        <v>0</v>
      </c>
      <c r="AS103" s="524">
        <f t="shared" si="74"/>
        <v>0</v>
      </c>
      <c r="AT103" s="524">
        <f t="shared" si="74"/>
        <v>0</v>
      </c>
      <c r="AU103" s="524">
        <f t="shared" si="74"/>
        <v>0</v>
      </c>
      <c r="AV103" s="524">
        <f t="shared" si="74"/>
        <v>0</v>
      </c>
      <c r="AW103" s="524">
        <f t="shared" si="74"/>
        <v>0</v>
      </c>
      <c r="AX103" s="524">
        <f t="shared" si="74"/>
        <v>0</v>
      </c>
      <c r="AY103" s="524">
        <f t="shared" si="74"/>
        <v>0</v>
      </c>
      <c r="AZ103" s="524">
        <f t="shared" si="74"/>
        <v>0</v>
      </c>
      <c r="BA103" s="524">
        <f t="shared" ref="BA103:BJ112" si="75">IFERROR(IF(BA$8&gt;=$D103,$E103*(INDEX($E$18:$E$22,(MATCH(MATCH(BA$8,$D$83:$D$130,0)-MATCH($D103,$D$83:$D$130,0),$D$18:$D$22,0)))),0),0)</f>
        <v>0</v>
      </c>
      <c r="BB103" s="524">
        <f t="shared" si="75"/>
        <v>0</v>
      </c>
      <c r="BC103" s="524">
        <f t="shared" si="75"/>
        <v>0</v>
      </c>
      <c r="BD103" s="524">
        <f t="shared" si="75"/>
        <v>0</v>
      </c>
      <c r="BE103" s="524">
        <f t="shared" si="75"/>
        <v>0</v>
      </c>
      <c r="BF103" s="524">
        <f t="shared" si="75"/>
        <v>0</v>
      </c>
      <c r="BG103" s="524">
        <f t="shared" si="75"/>
        <v>0</v>
      </c>
      <c r="BH103" s="524">
        <f t="shared" si="75"/>
        <v>0</v>
      </c>
      <c r="BI103" s="524">
        <f t="shared" si="75"/>
        <v>0</v>
      </c>
      <c r="BJ103" s="524">
        <f t="shared" si="75"/>
        <v>0</v>
      </c>
      <c r="BK103" s="524">
        <f t="shared" ref="BK103:BT112" si="76">IFERROR(IF(BK$8&gt;=$D103,$E103*(INDEX($E$18:$E$22,(MATCH(MATCH(BK$8,$D$83:$D$130,0)-MATCH($D103,$D$83:$D$130,0),$D$18:$D$22,0)))),0),0)</f>
        <v>0</v>
      </c>
      <c r="BL103" s="524">
        <f t="shared" si="76"/>
        <v>0</v>
      </c>
      <c r="BM103" s="524">
        <f t="shared" si="76"/>
        <v>0</v>
      </c>
      <c r="BN103" s="524">
        <f t="shared" si="76"/>
        <v>0</v>
      </c>
      <c r="BO103" s="524">
        <f t="shared" si="76"/>
        <v>0</v>
      </c>
      <c r="BP103" s="524">
        <f t="shared" si="76"/>
        <v>0</v>
      </c>
      <c r="BQ103" s="524">
        <f t="shared" si="76"/>
        <v>0</v>
      </c>
      <c r="BR103" s="524">
        <f t="shared" si="76"/>
        <v>0</v>
      </c>
      <c r="BS103" s="524">
        <f t="shared" si="76"/>
        <v>0</v>
      </c>
      <c r="BT103" s="524">
        <f t="shared" si="76"/>
        <v>0</v>
      </c>
      <c r="BU103" s="524">
        <f t="shared" ref="BU103:BZ112" si="77">IFERROR(IF(BU$8&gt;=$D103,$E103*(INDEX($E$18:$E$22,(MATCH(MATCH(BU$8,$D$83:$D$130,0)-MATCH($D103,$D$83:$D$130,0),$D$18:$D$22,0)))),0),0)</f>
        <v>0</v>
      </c>
      <c r="BV103" s="524">
        <f t="shared" si="77"/>
        <v>0</v>
      </c>
      <c r="BW103" s="524">
        <f t="shared" si="77"/>
        <v>0</v>
      </c>
      <c r="BX103" s="524">
        <f t="shared" si="77"/>
        <v>0</v>
      </c>
      <c r="BY103" s="524">
        <f t="shared" si="77"/>
        <v>0</v>
      </c>
      <c r="BZ103" s="524">
        <f t="shared" si="77"/>
        <v>0</v>
      </c>
    </row>
    <row r="104" spans="2:78" ht="21" hidden="1" customHeight="1" outlineLevel="3">
      <c r="B104" s="367"/>
      <c r="C104" s="370"/>
      <c r="D104" s="374">
        <f t="shared" si="64"/>
        <v>45596</v>
      </c>
      <c r="E104" s="373" cm="1">
        <f t="array" ref="E104">IF($D104&lt;=LatestMonthOfActuals,0,INDEX($AE$27:$BZ$27,0,MATCH($D104,$AE$8:$BZ$8,0)))</f>
        <v>0</v>
      </c>
      <c r="F104" s="359"/>
      <c r="G104" s="408">
        <f t="shared" si="72"/>
        <v>0</v>
      </c>
      <c r="H104" s="408">
        <f t="shared" si="72"/>
        <v>0</v>
      </c>
      <c r="I104" s="408">
        <f t="shared" si="72"/>
        <v>0</v>
      </c>
      <c r="J104" s="408">
        <f t="shared" si="72"/>
        <v>0</v>
      </c>
      <c r="K104" s="408"/>
      <c r="L104" s="408"/>
      <c r="M104" s="408">
        <f t="shared" si="71"/>
        <v>0</v>
      </c>
      <c r="N104" s="408">
        <f t="shared" si="71"/>
        <v>0</v>
      </c>
      <c r="O104" s="408">
        <f t="shared" si="71"/>
        <v>0</v>
      </c>
      <c r="P104" s="408">
        <f t="shared" si="71"/>
        <v>0</v>
      </c>
      <c r="Q104" s="408">
        <f t="shared" si="71"/>
        <v>0</v>
      </c>
      <c r="R104" s="408">
        <f t="shared" si="71"/>
        <v>0</v>
      </c>
      <c r="S104" s="408">
        <f t="shared" si="71"/>
        <v>0</v>
      </c>
      <c r="T104" s="408">
        <f t="shared" si="71"/>
        <v>0</v>
      </c>
      <c r="U104" s="408">
        <f t="shared" si="71"/>
        <v>0</v>
      </c>
      <c r="V104" s="408">
        <f t="shared" si="71"/>
        <v>0</v>
      </c>
      <c r="W104" s="408">
        <f t="shared" si="71"/>
        <v>0</v>
      </c>
      <c r="X104" s="408">
        <f t="shared" si="71"/>
        <v>0</v>
      </c>
      <c r="Y104" s="408">
        <f t="shared" si="71"/>
        <v>0</v>
      </c>
      <c r="Z104" s="408">
        <f t="shared" si="71"/>
        <v>0</v>
      </c>
      <c r="AA104" s="408">
        <f t="shared" si="71"/>
        <v>0</v>
      </c>
      <c r="AB104" s="408">
        <f t="shared" si="71"/>
        <v>0</v>
      </c>
      <c r="AC104" s="524"/>
      <c r="AD104" s="359"/>
      <c r="AE104" s="524">
        <f t="shared" si="73"/>
        <v>0</v>
      </c>
      <c r="AF104" s="524">
        <f t="shared" si="73"/>
        <v>0</v>
      </c>
      <c r="AG104" s="524">
        <f t="shared" si="73"/>
        <v>0</v>
      </c>
      <c r="AH104" s="524">
        <f t="shared" si="73"/>
        <v>0</v>
      </c>
      <c r="AI104" s="524">
        <f t="shared" si="73"/>
        <v>0</v>
      </c>
      <c r="AJ104" s="524">
        <f t="shared" si="73"/>
        <v>0</v>
      </c>
      <c r="AK104" s="524">
        <f t="shared" si="73"/>
        <v>0</v>
      </c>
      <c r="AL104" s="524">
        <f t="shared" si="73"/>
        <v>0</v>
      </c>
      <c r="AM104" s="524">
        <f t="shared" si="73"/>
        <v>0</v>
      </c>
      <c r="AN104" s="524">
        <f t="shared" si="73"/>
        <v>0</v>
      </c>
      <c r="AO104" s="524">
        <f t="shared" si="73"/>
        <v>0</v>
      </c>
      <c r="AP104" s="524">
        <f t="shared" si="59"/>
        <v>0</v>
      </c>
      <c r="AQ104" s="524">
        <f t="shared" si="74"/>
        <v>0</v>
      </c>
      <c r="AR104" s="524">
        <f t="shared" si="74"/>
        <v>0</v>
      </c>
      <c r="AS104" s="524">
        <f t="shared" si="74"/>
        <v>0</v>
      </c>
      <c r="AT104" s="524">
        <f t="shared" si="74"/>
        <v>0</v>
      </c>
      <c r="AU104" s="524">
        <f t="shared" si="74"/>
        <v>0</v>
      </c>
      <c r="AV104" s="524">
        <f t="shared" si="74"/>
        <v>0</v>
      </c>
      <c r="AW104" s="524">
        <f t="shared" si="74"/>
        <v>0</v>
      </c>
      <c r="AX104" s="524">
        <f t="shared" si="74"/>
        <v>0</v>
      </c>
      <c r="AY104" s="524">
        <f t="shared" si="74"/>
        <v>0</v>
      </c>
      <c r="AZ104" s="524">
        <f t="shared" si="74"/>
        <v>0</v>
      </c>
      <c r="BA104" s="524">
        <f t="shared" si="75"/>
        <v>0</v>
      </c>
      <c r="BB104" s="524">
        <f t="shared" si="75"/>
        <v>0</v>
      </c>
      <c r="BC104" s="524">
        <f t="shared" si="75"/>
        <v>0</v>
      </c>
      <c r="BD104" s="524">
        <f t="shared" si="75"/>
        <v>0</v>
      </c>
      <c r="BE104" s="524">
        <f t="shared" si="75"/>
        <v>0</v>
      </c>
      <c r="BF104" s="524">
        <f t="shared" si="75"/>
        <v>0</v>
      </c>
      <c r="BG104" s="524">
        <f t="shared" si="75"/>
        <v>0</v>
      </c>
      <c r="BH104" s="524">
        <f t="shared" si="75"/>
        <v>0</v>
      </c>
      <c r="BI104" s="524">
        <f t="shared" si="75"/>
        <v>0</v>
      </c>
      <c r="BJ104" s="524">
        <f t="shared" si="75"/>
        <v>0</v>
      </c>
      <c r="BK104" s="524">
        <f t="shared" si="76"/>
        <v>0</v>
      </c>
      <c r="BL104" s="524">
        <f t="shared" si="76"/>
        <v>0</v>
      </c>
      <c r="BM104" s="524">
        <f t="shared" si="76"/>
        <v>0</v>
      </c>
      <c r="BN104" s="524">
        <f t="shared" si="76"/>
        <v>0</v>
      </c>
      <c r="BO104" s="524">
        <f t="shared" si="76"/>
        <v>0</v>
      </c>
      <c r="BP104" s="524">
        <f t="shared" si="76"/>
        <v>0</v>
      </c>
      <c r="BQ104" s="524">
        <f t="shared" si="76"/>
        <v>0</v>
      </c>
      <c r="BR104" s="524">
        <f t="shared" si="76"/>
        <v>0</v>
      </c>
      <c r="BS104" s="524">
        <f t="shared" si="76"/>
        <v>0</v>
      </c>
      <c r="BT104" s="524">
        <f t="shared" si="76"/>
        <v>0</v>
      </c>
      <c r="BU104" s="524">
        <f t="shared" si="77"/>
        <v>0</v>
      </c>
      <c r="BV104" s="524">
        <f t="shared" si="77"/>
        <v>0</v>
      </c>
      <c r="BW104" s="524">
        <f t="shared" si="77"/>
        <v>0</v>
      </c>
      <c r="BX104" s="524">
        <f t="shared" si="77"/>
        <v>0</v>
      </c>
      <c r="BY104" s="524">
        <f t="shared" si="77"/>
        <v>0</v>
      </c>
      <c r="BZ104" s="524">
        <f t="shared" si="77"/>
        <v>0</v>
      </c>
    </row>
    <row r="105" spans="2:78" ht="21" hidden="1" customHeight="1" outlineLevel="3">
      <c r="B105" s="367"/>
      <c r="C105" s="370"/>
      <c r="D105" s="374">
        <f t="shared" si="64"/>
        <v>45626</v>
      </c>
      <c r="E105" s="373" cm="1">
        <f t="array" ref="E105">IF($D105&lt;=LatestMonthOfActuals,0,INDEX($AE$27:$BZ$27,0,MATCH($D105,$AE$8:$BZ$8,0)))</f>
        <v>0</v>
      </c>
      <c r="F105" s="359"/>
      <c r="G105" s="408">
        <f t="shared" si="72"/>
        <v>0</v>
      </c>
      <c r="H105" s="408">
        <f t="shared" si="72"/>
        <v>0</v>
      </c>
      <c r="I105" s="408">
        <f t="shared" si="72"/>
        <v>0</v>
      </c>
      <c r="J105" s="408">
        <f t="shared" si="72"/>
        <v>0</v>
      </c>
      <c r="K105" s="408"/>
      <c r="L105" s="408"/>
      <c r="M105" s="408">
        <f t="shared" si="71"/>
        <v>0</v>
      </c>
      <c r="N105" s="408">
        <f t="shared" si="71"/>
        <v>0</v>
      </c>
      <c r="O105" s="408">
        <f t="shared" si="71"/>
        <v>0</v>
      </c>
      <c r="P105" s="408">
        <f t="shared" si="71"/>
        <v>0</v>
      </c>
      <c r="Q105" s="408">
        <f t="shared" si="71"/>
        <v>0</v>
      </c>
      <c r="R105" s="408">
        <f t="shared" si="71"/>
        <v>0</v>
      </c>
      <c r="S105" s="408">
        <f t="shared" si="71"/>
        <v>0</v>
      </c>
      <c r="T105" s="408">
        <f t="shared" si="71"/>
        <v>0</v>
      </c>
      <c r="U105" s="408">
        <f t="shared" si="71"/>
        <v>0</v>
      </c>
      <c r="V105" s="408">
        <f t="shared" si="71"/>
        <v>0</v>
      </c>
      <c r="W105" s="408">
        <f t="shared" si="71"/>
        <v>0</v>
      </c>
      <c r="X105" s="408">
        <f t="shared" si="71"/>
        <v>0</v>
      </c>
      <c r="Y105" s="408">
        <f t="shared" si="71"/>
        <v>0</v>
      </c>
      <c r="Z105" s="408">
        <f t="shared" si="71"/>
        <v>0</v>
      </c>
      <c r="AA105" s="408">
        <f t="shared" si="71"/>
        <v>0</v>
      </c>
      <c r="AB105" s="408">
        <f t="shared" si="71"/>
        <v>0</v>
      </c>
      <c r="AC105" s="524"/>
      <c r="AD105" s="359"/>
      <c r="AE105" s="524">
        <f t="shared" si="73"/>
        <v>0</v>
      </c>
      <c r="AF105" s="524">
        <f t="shared" si="73"/>
        <v>0</v>
      </c>
      <c r="AG105" s="524">
        <f t="shared" si="73"/>
        <v>0</v>
      </c>
      <c r="AH105" s="524">
        <f t="shared" si="73"/>
        <v>0</v>
      </c>
      <c r="AI105" s="524">
        <f t="shared" si="73"/>
        <v>0</v>
      </c>
      <c r="AJ105" s="524">
        <f t="shared" si="73"/>
        <v>0</v>
      </c>
      <c r="AK105" s="524">
        <f t="shared" si="73"/>
        <v>0</v>
      </c>
      <c r="AL105" s="524">
        <f t="shared" si="73"/>
        <v>0</v>
      </c>
      <c r="AM105" s="524">
        <f t="shared" si="73"/>
        <v>0</v>
      </c>
      <c r="AN105" s="524">
        <f t="shared" si="73"/>
        <v>0</v>
      </c>
      <c r="AO105" s="524">
        <f t="shared" si="73"/>
        <v>0</v>
      </c>
      <c r="AP105" s="524">
        <f t="shared" si="59"/>
        <v>0</v>
      </c>
      <c r="AQ105" s="524">
        <f t="shared" si="74"/>
        <v>0</v>
      </c>
      <c r="AR105" s="524">
        <f t="shared" si="74"/>
        <v>0</v>
      </c>
      <c r="AS105" s="524">
        <f t="shared" si="74"/>
        <v>0</v>
      </c>
      <c r="AT105" s="524">
        <f t="shared" si="74"/>
        <v>0</v>
      </c>
      <c r="AU105" s="524">
        <f t="shared" si="74"/>
        <v>0</v>
      </c>
      <c r="AV105" s="524">
        <f t="shared" si="74"/>
        <v>0</v>
      </c>
      <c r="AW105" s="524">
        <f t="shared" si="74"/>
        <v>0</v>
      </c>
      <c r="AX105" s="524">
        <f t="shared" si="74"/>
        <v>0</v>
      </c>
      <c r="AY105" s="524">
        <f t="shared" si="74"/>
        <v>0</v>
      </c>
      <c r="AZ105" s="524">
        <f t="shared" si="74"/>
        <v>0</v>
      </c>
      <c r="BA105" s="524">
        <f t="shared" si="75"/>
        <v>0</v>
      </c>
      <c r="BB105" s="524">
        <f t="shared" si="75"/>
        <v>0</v>
      </c>
      <c r="BC105" s="524">
        <f t="shared" si="75"/>
        <v>0</v>
      </c>
      <c r="BD105" s="524">
        <f t="shared" si="75"/>
        <v>0</v>
      </c>
      <c r="BE105" s="524">
        <f t="shared" si="75"/>
        <v>0</v>
      </c>
      <c r="BF105" s="524">
        <f t="shared" si="75"/>
        <v>0</v>
      </c>
      <c r="BG105" s="524">
        <f t="shared" si="75"/>
        <v>0</v>
      </c>
      <c r="BH105" s="524">
        <f t="shared" si="75"/>
        <v>0</v>
      </c>
      <c r="BI105" s="524">
        <f t="shared" si="75"/>
        <v>0</v>
      </c>
      <c r="BJ105" s="524">
        <f t="shared" si="75"/>
        <v>0</v>
      </c>
      <c r="BK105" s="524">
        <f t="shared" si="76"/>
        <v>0</v>
      </c>
      <c r="BL105" s="524">
        <f t="shared" si="76"/>
        <v>0</v>
      </c>
      <c r="BM105" s="524">
        <f t="shared" si="76"/>
        <v>0</v>
      </c>
      <c r="BN105" s="524">
        <f t="shared" si="76"/>
        <v>0</v>
      </c>
      <c r="BO105" s="524">
        <f t="shared" si="76"/>
        <v>0</v>
      </c>
      <c r="BP105" s="524">
        <f t="shared" si="76"/>
        <v>0</v>
      </c>
      <c r="BQ105" s="524">
        <f t="shared" si="76"/>
        <v>0</v>
      </c>
      <c r="BR105" s="524">
        <f t="shared" si="76"/>
        <v>0</v>
      </c>
      <c r="BS105" s="524">
        <f t="shared" si="76"/>
        <v>0</v>
      </c>
      <c r="BT105" s="524">
        <f t="shared" si="76"/>
        <v>0</v>
      </c>
      <c r="BU105" s="524">
        <f t="shared" si="77"/>
        <v>0</v>
      </c>
      <c r="BV105" s="524">
        <f t="shared" si="77"/>
        <v>0</v>
      </c>
      <c r="BW105" s="524">
        <f t="shared" si="77"/>
        <v>0</v>
      </c>
      <c r="BX105" s="524">
        <f t="shared" si="77"/>
        <v>0</v>
      </c>
      <c r="BY105" s="524">
        <f t="shared" si="77"/>
        <v>0</v>
      </c>
      <c r="BZ105" s="524">
        <f t="shared" si="77"/>
        <v>0</v>
      </c>
    </row>
    <row r="106" spans="2:78" ht="21" hidden="1" customHeight="1" outlineLevel="3">
      <c r="B106" s="367"/>
      <c r="C106" s="370"/>
      <c r="D106" s="374">
        <f t="shared" si="64"/>
        <v>45657</v>
      </c>
      <c r="E106" s="373" cm="1">
        <f t="array" ref="E106">IF($D106&lt;=LatestMonthOfActuals,0,INDEX($AE$27:$BZ$27,0,MATCH($D106,$AE$8:$BZ$8,0)))</f>
        <v>0</v>
      </c>
      <c r="F106" s="359"/>
      <c r="G106" s="408">
        <f t="shared" si="72"/>
        <v>0</v>
      </c>
      <c r="H106" s="408">
        <f t="shared" si="72"/>
        <v>0</v>
      </c>
      <c r="I106" s="408">
        <f t="shared" si="72"/>
        <v>0</v>
      </c>
      <c r="J106" s="408">
        <f t="shared" si="72"/>
        <v>0</v>
      </c>
      <c r="K106" s="408"/>
      <c r="L106" s="408"/>
      <c r="M106" s="408">
        <f t="shared" si="71"/>
        <v>0</v>
      </c>
      <c r="N106" s="408">
        <f t="shared" si="71"/>
        <v>0</v>
      </c>
      <c r="O106" s="408">
        <f t="shared" si="71"/>
        <v>0</v>
      </c>
      <c r="P106" s="408">
        <f t="shared" si="71"/>
        <v>0</v>
      </c>
      <c r="Q106" s="408">
        <f t="shared" si="71"/>
        <v>0</v>
      </c>
      <c r="R106" s="408">
        <f t="shared" si="71"/>
        <v>0</v>
      </c>
      <c r="S106" s="408">
        <f t="shared" si="71"/>
        <v>0</v>
      </c>
      <c r="T106" s="408">
        <f t="shared" si="71"/>
        <v>0</v>
      </c>
      <c r="U106" s="408">
        <f t="shared" si="71"/>
        <v>0</v>
      </c>
      <c r="V106" s="408">
        <f t="shared" si="71"/>
        <v>0</v>
      </c>
      <c r="W106" s="408">
        <f t="shared" si="71"/>
        <v>0</v>
      </c>
      <c r="X106" s="408">
        <f t="shared" si="71"/>
        <v>0</v>
      </c>
      <c r="Y106" s="408">
        <f t="shared" si="71"/>
        <v>0</v>
      </c>
      <c r="Z106" s="408">
        <f t="shared" si="71"/>
        <v>0</v>
      </c>
      <c r="AA106" s="408">
        <f t="shared" si="71"/>
        <v>0</v>
      </c>
      <c r="AB106" s="408">
        <f t="shared" si="71"/>
        <v>0</v>
      </c>
      <c r="AC106" s="524"/>
      <c r="AD106" s="359"/>
      <c r="AE106" s="524">
        <f t="shared" si="73"/>
        <v>0</v>
      </c>
      <c r="AF106" s="524">
        <f t="shared" si="73"/>
        <v>0</v>
      </c>
      <c r="AG106" s="524">
        <f t="shared" si="73"/>
        <v>0</v>
      </c>
      <c r="AH106" s="524">
        <f t="shared" si="73"/>
        <v>0</v>
      </c>
      <c r="AI106" s="524">
        <f t="shared" si="73"/>
        <v>0</v>
      </c>
      <c r="AJ106" s="524">
        <f t="shared" si="73"/>
        <v>0</v>
      </c>
      <c r="AK106" s="524">
        <f t="shared" si="73"/>
        <v>0</v>
      </c>
      <c r="AL106" s="524">
        <f t="shared" si="73"/>
        <v>0</v>
      </c>
      <c r="AM106" s="524">
        <f t="shared" si="73"/>
        <v>0</v>
      </c>
      <c r="AN106" s="524">
        <f t="shared" si="73"/>
        <v>0</v>
      </c>
      <c r="AO106" s="524">
        <f t="shared" si="73"/>
        <v>0</v>
      </c>
      <c r="AP106" s="524">
        <f t="shared" si="59"/>
        <v>0</v>
      </c>
      <c r="AQ106" s="524">
        <f t="shared" si="74"/>
        <v>0</v>
      </c>
      <c r="AR106" s="524">
        <f t="shared" si="74"/>
        <v>0</v>
      </c>
      <c r="AS106" s="524">
        <f t="shared" si="74"/>
        <v>0</v>
      </c>
      <c r="AT106" s="524">
        <f t="shared" si="74"/>
        <v>0</v>
      </c>
      <c r="AU106" s="524">
        <f t="shared" si="74"/>
        <v>0</v>
      </c>
      <c r="AV106" s="524">
        <f t="shared" si="74"/>
        <v>0</v>
      </c>
      <c r="AW106" s="524">
        <f t="shared" si="74"/>
        <v>0</v>
      </c>
      <c r="AX106" s="524">
        <f t="shared" si="74"/>
        <v>0</v>
      </c>
      <c r="AY106" s="524">
        <f t="shared" si="74"/>
        <v>0</v>
      </c>
      <c r="AZ106" s="524">
        <f t="shared" si="74"/>
        <v>0</v>
      </c>
      <c r="BA106" s="524">
        <f t="shared" si="75"/>
        <v>0</v>
      </c>
      <c r="BB106" s="524">
        <f t="shared" si="75"/>
        <v>0</v>
      </c>
      <c r="BC106" s="524">
        <f t="shared" si="75"/>
        <v>0</v>
      </c>
      <c r="BD106" s="524">
        <f t="shared" si="75"/>
        <v>0</v>
      </c>
      <c r="BE106" s="524">
        <f t="shared" si="75"/>
        <v>0</v>
      </c>
      <c r="BF106" s="524">
        <f t="shared" si="75"/>
        <v>0</v>
      </c>
      <c r="BG106" s="524">
        <f t="shared" si="75"/>
        <v>0</v>
      </c>
      <c r="BH106" s="524">
        <f t="shared" si="75"/>
        <v>0</v>
      </c>
      <c r="BI106" s="524">
        <f t="shared" si="75"/>
        <v>0</v>
      </c>
      <c r="BJ106" s="524">
        <f t="shared" si="75"/>
        <v>0</v>
      </c>
      <c r="BK106" s="524">
        <f t="shared" si="76"/>
        <v>0</v>
      </c>
      <c r="BL106" s="524">
        <f t="shared" si="76"/>
        <v>0</v>
      </c>
      <c r="BM106" s="524">
        <f t="shared" si="76"/>
        <v>0</v>
      </c>
      <c r="BN106" s="524">
        <f t="shared" si="76"/>
        <v>0</v>
      </c>
      <c r="BO106" s="524">
        <f t="shared" si="76"/>
        <v>0</v>
      </c>
      <c r="BP106" s="524">
        <f t="shared" si="76"/>
        <v>0</v>
      </c>
      <c r="BQ106" s="524">
        <f t="shared" si="76"/>
        <v>0</v>
      </c>
      <c r="BR106" s="524">
        <f t="shared" si="76"/>
        <v>0</v>
      </c>
      <c r="BS106" s="524">
        <f t="shared" si="76"/>
        <v>0</v>
      </c>
      <c r="BT106" s="524">
        <f t="shared" si="76"/>
        <v>0</v>
      </c>
      <c r="BU106" s="524">
        <f t="shared" si="77"/>
        <v>0</v>
      </c>
      <c r="BV106" s="524">
        <f t="shared" si="77"/>
        <v>0</v>
      </c>
      <c r="BW106" s="524">
        <f t="shared" si="77"/>
        <v>0</v>
      </c>
      <c r="BX106" s="524">
        <f t="shared" si="77"/>
        <v>0</v>
      </c>
      <c r="BY106" s="524">
        <f t="shared" si="77"/>
        <v>0</v>
      </c>
      <c r="BZ106" s="524">
        <f t="shared" si="77"/>
        <v>0</v>
      </c>
    </row>
    <row r="107" spans="2:78" ht="21" hidden="1" customHeight="1" outlineLevel="3">
      <c r="B107" s="367"/>
      <c r="C107" s="370"/>
      <c r="D107" s="374">
        <f t="shared" si="64"/>
        <v>45688</v>
      </c>
      <c r="E107" s="373" cm="1">
        <f t="array" ref="E107">IF($D107&lt;=LatestMonthOfActuals,0,INDEX($AE$27:$BZ$27,0,MATCH($D107,$AE$8:$BZ$8,0)))</f>
        <v>0</v>
      </c>
      <c r="F107" s="359"/>
      <c r="G107" s="408">
        <f t="shared" si="72"/>
        <v>0</v>
      </c>
      <c r="H107" s="408">
        <f t="shared" si="72"/>
        <v>0</v>
      </c>
      <c r="I107" s="408">
        <f t="shared" si="72"/>
        <v>0</v>
      </c>
      <c r="J107" s="408">
        <f t="shared" si="72"/>
        <v>0</v>
      </c>
      <c r="K107" s="408"/>
      <c r="L107" s="408"/>
      <c r="M107" s="408">
        <f t="shared" si="71"/>
        <v>0</v>
      </c>
      <c r="N107" s="408">
        <f t="shared" si="71"/>
        <v>0</v>
      </c>
      <c r="O107" s="408">
        <f t="shared" si="71"/>
        <v>0</v>
      </c>
      <c r="P107" s="408">
        <f t="shared" si="71"/>
        <v>0</v>
      </c>
      <c r="Q107" s="408">
        <f t="shared" si="71"/>
        <v>0</v>
      </c>
      <c r="R107" s="408">
        <f t="shared" si="71"/>
        <v>0</v>
      </c>
      <c r="S107" s="408">
        <f t="shared" si="71"/>
        <v>0</v>
      </c>
      <c r="T107" s="408">
        <f t="shared" si="71"/>
        <v>0</v>
      </c>
      <c r="U107" s="408">
        <f t="shared" si="71"/>
        <v>0</v>
      </c>
      <c r="V107" s="408">
        <f t="shared" si="71"/>
        <v>0</v>
      </c>
      <c r="W107" s="408">
        <f t="shared" si="71"/>
        <v>0</v>
      </c>
      <c r="X107" s="408">
        <f t="shared" si="71"/>
        <v>0</v>
      </c>
      <c r="Y107" s="408">
        <f t="shared" si="71"/>
        <v>0</v>
      </c>
      <c r="Z107" s="408">
        <f t="shared" si="71"/>
        <v>0</v>
      </c>
      <c r="AA107" s="408">
        <f t="shared" si="71"/>
        <v>0</v>
      </c>
      <c r="AB107" s="408">
        <f t="shared" si="71"/>
        <v>0</v>
      </c>
      <c r="AC107" s="524"/>
      <c r="AD107" s="359"/>
      <c r="AE107" s="524">
        <f t="shared" si="73"/>
        <v>0</v>
      </c>
      <c r="AF107" s="524">
        <f t="shared" si="73"/>
        <v>0</v>
      </c>
      <c r="AG107" s="524">
        <f t="shared" si="73"/>
        <v>0</v>
      </c>
      <c r="AH107" s="524">
        <f t="shared" si="73"/>
        <v>0</v>
      </c>
      <c r="AI107" s="524">
        <f t="shared" si="73"/>
        <v>0</v>
      </c>
      <c r="AJ107" s="524">
        <f t="shared" si="73"/>
        <v>0</v>
      </c>
      <c r="AK107" s="524">
        <f t="shared" si="73"/>
        <v>0</v>
      </c>
      <c r="AL107" s="524">
        <f t="shared" si="73"/>
        <v>0</v>
      </c>
      <c r="AM107" s="524">
        <f t="shared" si="73"/>
        <v>0</v>
      </c>
      <c r="AN107" s="524">
        <f t="shared" si="73"/>
        <v>0</v>
      </c>
      <c r="AO107" s="524">
        <f t="shared" si="73"/>
        <v>0</v>
      </c>
      <c r="AP107" s="524">
        <f t="shared" si="59"/>
        <v>0</v>
      </c>
      <c r="AQ107" s="524">
        <f t="shared" si="74"/>
        <v>0</v>
      </c>
      <c r="AR107" s="524">
        <f t="shared" si="74"/>
        <v>0</v>
      </c>
      <c r="AS107" s="524">
        <f t="shared" si="74"/>
        <v>0</v>
      </c>
      <c r="AT107" s="524">
        <f t="shared" si="74"/>
        <v>0</v>
      </c>
      <c r="AU107" s="524">
        <f t="shared" si="74"/>
        <v>0</v>
      </c>
      <c r="AV107" s="524">
        <f t="shared" si="74"/>
        <v>0</v>
      </c>
      <c r="AW107" s="524">
        <f t="shared" si="74"/>
        <v>0</v>
      </c>
      <c r="AX107" s="524">
        <f t="shared" si="74"/>
        <v>0</v>
      </c>
      <c r="AY107" s="524">
        <f t="shared" si="74"/>
        <v>0</v>
      </c>
      <c r="AZ107" s="524">
        <f t="shared" si="74"/>
        <v>0</v>
      </c>
      <c r="BA107" s="524">
        <f t="shared" si="75"/>
        <v>0</v>
      </c>
      <c r="BB107" s="524">
        <f t="shared" si="75"/>
        <v>0</v>
      </c>
      <c r="BC107" s="524">
        <f t="shared" si="75"/>
        <v>0</v>
      </c>
      <c r="BD107" s="524">
        <f t="shared" si="75"/>
        <v>0</v>
      </c>
      <c r="BE107" s="524">
        <f t="shared" si="75"/>
        <v>0</v>
      </c>
      <c r="BF107" s="524">
        <f t="shared" si="75"/>
        <v>0</v>
      </c>
      <c r="BG107" s="524">
        <f t="shared" si="75"/>
        <v>0</v>
      </c>
      <c r="BH107" s="524">
        <f t="shared" si="75"/>
        <v>0</v>
      </c>
      <c r="BI107" s="524">
        <f t="shared" si="75"/>
        <v>0</v>
      </c>
      <c r="BJ107" s="524">
        <f t="shared" si="75"/>
        <v>0</v>
      </c>
      <c r="BK107" s="524">
        <f t="shared" si="76"/>
        <v>0</v>
      </c>
      <c r="BL107" s="524">
        <f t="shared" si="76"/>
        <v>0</v>
      </c>
      <c r="BM107" s="524">
        <f t="shared" si="76"/>
        <v>0</v>
      </c>
      <c r="BN107" s="524">
        <f t="shared" si="76"/>
        <v>0</v>
      </c>
      <c r="BO107" s="524">
        <f t="shared" si="76"/>
        <v>0</v>
      </c>
      <c r="BP107" s="524">
        <f t="shared" si="76"/>
        <v>0</v>
      </c>
      <c r="BQ107" s="524">
        <f t="shared" si="76"/>
        <v>0</v>
      </c>
      <c r="BR107" s="524">
        <f t="shared" si="76"/>
        <v>0</v>
      </c>
      <c r="BS107" s="524">
        <f t="shared" si="76"/>
        <v>0</v>
      </c>
      <c r="BT107" s="524">
        <f t="shared" si="76"/>
        <v>0</v>
      </c>
      <c r="BU107" s="524">
        <f t="shared" si="77"/>
        <v>0</v>
      </c>
      <c r="BV107" s="524">
        <f t="shared" si="77"/>
        <v>0</v>
      </c>
      <c r="BW107" s="524">
        <f t="shared" si="77"/>
        <v>0</v>
      </c>
      <c r="BX107" s="524">
        <f t="shared" si="77"/>
        <v>0</v>
      </c>
      <c r="BY107" s="524">
        <f t="shared" si="77"/>
        <v>0</v>
      </c>
      <c r="BZ107" s="524">
        <f t="shared" si="77"/>
        <v>0</v>
      </c>
    </row>
    <row r="108" spans="2:78" ht="21" hidden="1" customHeight="1" outlineLevel="3">
      <c r="B108" s="367"/>
      <c r="C108" s="370"/>
      <c r="D108" s="374">
        <f t="shared" si="64"/>
        <v>45716</v>
      </c>
      <c r="E108" s="373" cm="1">
        <f t="array" ref="E108">IF($D108&lt;=LatestMonthOfActuals,0,INDEX($AE$27:$BZ$27,0,MATCH($D108,$AE$8:$BZ$8,0)))</f>
        <v>0</v>
      </c>
      <c r="F108" s="359"/>
      <c r="G108" s="408">
        <f t="shared" si="72"/>
        <v>0</v>
      </c>
      <c r="H108" s="408">
        <f t="shared" si="72"/>
        <v>0</v>
      </c>
      <c r="I108" s="408">
        <f t="shared" si="72"/>
        <v>0</v>
      </c>
      <c r="J108" s="408">
        <f t="shared" si="72"/>
        <v>0</v>
      </c>
      <c r="K108" s="408"/>
      <c r="L108" s="408"/>
      <c r="M108" s="408">
        <f t="shared" si="71"/>
        <v>0</v>
      </c>
      <c r="N108" s="408">
        <f t="shared" si="71"/>
        <v>0</v>
      </c>
      <c r="O108" s="408">
        <f t="shared" si="71"/>
        <v>0</v>
      </c>
      <c r="P108" s="408">
        <f t="shared" si="71"/>
        <v>0</v>
      </c>
      <c r="Q108" s="408">
        <f t="shared" si="71"/>
        <v>0</v>
      </c>
      <c r="R108" s="408">
        <f t="shared" si="71"/>
        <v>0</v>
      </c>
      <c r="S108" s="408">
        <f t="shared" si="71"/>
        <v>0</v>
      </c>
      <c r="T108" s="408">
        <f t="shared" si="71"/>
        <v>0</v>
      </c>
      <c r="U108" s="408">
        <f t="shared" si="71"/>
        <v>0</v>
      </c>
      <c r="V108" s="408">
        <f t="shared" si="71"/>
        <v>0</v>
      </c>
      <c r="W108" s="408">
        <f t="shared" si="71"/>
        <v>0</v>
      </c>
      <c r="X108" s="408">
        <f t="shared" si="71"/>
        <v>0</v>
      </c>
      <c r="Y108" s="408">
        <f t="shared" si="71"/>
        <v>0</v>
      </c>
      <c r="Z108" s="408">
        <f t="shared" si="71"/>
        <v>0</v>
      </c>
      <c r="AA108" s="408">
        <f t="shared" si="71"/>
        <v>0</v>
      </c>
      <c r="AB108" s="408">
        <f t="shared" si="71"/>
        <v>0</v>
      </c>
      <c r="AC108" s="524"/>
      <c r="AD108" s="359"/>
      <c r="AE108" s="524">
        <f t="shared" si="73"/>
        <v>0</v>
      </c>
      <c r="AF108" s="524">
        <f t="shared" si="73"/>
        <v>0</v>
      </c>
      <c r="AG108" s="524">
        <f t="shared" si="73"/>
        <v>0</v>
      </c>
      <c r="AH108" s="524">
        <f t="shared" si="73"/>
        <v>0</v>
      </c>
      <c r="AI108" s="524">
        <f t="shared" si="73"/>
        <v>0</v>
      </c>
      <c r="AJ108" s="524">
        <f t="shared" si="73"/>
        <v>0</v>
      </c>
      <c r="AK108" s="524">
        <f t="shared" si="73"/>
        <v>0</v>
      </c>
      <c r="AL108" s="524">
        <f t="shared" si="73"/>
        <v>0</v>
      </c>
      <c r="AM108" s="524">
        <f t="shared" si="73"/>
        <v>0</v>
      </c>
      <c r="AN108" s="524">
        <f t="shared" si="73"/>
        <v>0</v>
      </c>
      <c r="AO108" s="524">
        <f t="shared" si="73"/>
        <v>0</v>
      </c>
      <c r="AP108" s="524">
        <f t="shared" si="59"/>
        <v>0</v>
      </c>
      <c r="AQ108" s="524">
        <f t="shared" si="74"/>
        <v>0</v>
      </c>
      <c r="AR108" s="524">
        <f t="shared" si="74"/>
        <v>0</v>
      </c>
      <c r="AS108" s="524">
        <f t="shared" si="74"/>
        <v>0</v>
      </c>
      <c r="AT108" s="524">
        <f t="shared" si="74"/>
        <v>0</v>
      </c>
      <c r="AU108" s="524">
        <f t="shared" si="74"/>
        <v>0</v>
      </c>
      <c r="AV108" s="524">
        <f t="shared" si="74"/>
        <v>0</v>
      </c>
      <c r="AW108" s="524">
        <f t="shared" si="74"/>
        <v>0</v>
      </c>
      <c r="AX108" s="524">
        <f t="shared" si="74"/>
        <v>0</v>
      </c>
      <c r="AY108" s="524">
        <f t="shared" si="74"/>
        <v>0</v>
      </c>
      <c r="AZ108" s="524">
        <f t="shared" si="74"/>
        <v>0</v>
      </c>
      <c r="BA108" s="524">
        <f t="shared" si="75"/>
        <v>0</v>
      </c>
      <c r="BB108" s="524">
        <f t="shared" si="75"/>
        <v>0</v>
      </c>
      <c r="BC108" s="524">
        <f t="shared" si="75"/>
        <v>0</v>
      </c>
      <c r="BD108" s="524">
        <f t="shared" si="75"/>
        <v>0</v>
      </c>
      <c r="BE108" s="524">
        <f t="shared" si="75"/>
        <v>0</v>
      </c>
      <c r="BF108" s="524">
        <f t="shared" si="75"/>
        <v>0</v>
      </c>
      <c r="BG108" s="524">
        <f t="shared" si="75"/>
        <v>0</v>
      </c>
      <c r="BH108" s="524">
        <f t="shared" si="75"/>
        <v>0</v>
      </c>
      <c r="BI108" s="524">
        <f t="shared" si="75"/>
        <v>0</v>
      </c>
      <c r="BJ108" s="524">
        <f t="shared" si="75"/>
        <v>0</v>
      </c>
      <c r="BK108" s="524">
        <f t="shared" si="76"/>
        <v>0</v>
      </c>
      <c r="BL108" s="524">
        <f t="shared" si="76"/>
        <v>0</v>
      </c>
      <c r="BM108" s="524">
        <f t="shared" si="76"/>
        <v>0</v>
      </c>
      <c r="BN108" s="524">
        <f t="shared" si="76"/>
        <v>0</v>
      </c>
      <c r="BO108" s="524">
        <f t="shared" si="76"/>
        <v>0</v>
      </c>
      <c r="BP108" s="524">
        <f t="shared" si="76"/>
        <v>0</v>
      </c>
      <c r="BQ108" s="524">
        <f t="shared" si="76"/>
        <v>0</v>
      </c>
      <c r="BR108" s="524">
        <f t="shared" si="76"/>
        <v>0</v>
      </c>
      <c r="BS108" s="524">
        <f t="shared" si="76"/>
        <v>0</v>
      </c>
      <c r="BT108" s="524">
        <f t="shared" si="76"/>
        <v>0</v>
      </c>
      <c r="BU108" s="524">
        <f t="shared" si="77"/>
        <v>0</v>
      </c>
      <c r="BV108" s="524">
        <f t="shared" si="77"/>
        <v>0</v>
      </c>
      <c r="BW108" s="524">
        <f t="shared" si="77"/>
        <v>0</v>
      </c>
      <c r="BX108" s="524">
        <f t="shared" si="77"/>
        <v>0</v>
      </c>
      <c r="BY108" s="524">
        <f t="shared" si="77"/>
        <v>0</v>
      </c>
      <c r="BZ108" s="524">
        <f t="shared" si="77"/>
        <v>0</v>
      </c>
    </row>
    <row r="109" spans="2:78" ht="21" hidden="1" customHeight="1" outlineLevel="3">
      <c r="B109" s="367"/>
      <c r="C109" s="370"/>
      <c r="D109" s="374">
        <f t="shared" si="64"/>
        <v>45747</v>
      </c>
      <c r="E109" s="373" cm="1">
        <f t="array" ref="E109">IF($D109&lt;=LatestMonthOfActuals,0,INDEX($AE$27:$BZ$27,0,MATCH($D109,$AE$8:$BZ$8,0)))</f>
        <v>0</v>
      </c>
      <c r="F109" s="359"/>
      <c r="G109" s="408">
        <f t="shared" si="72"/>
        <v>0</v>
      </c>
      <c r="H109" s="408">
        <f t="shared" si="72"/>
        <v>0</v>
      </c>
      <c r="I109" s="408">
        <f t="shared" si="72"/>
        <v>0</v>
      </c>
      <c r="J109" s="408">
        <f t="shared" si="72"/>
        <v>0</v>
      </c>
      <c r="K109" s="408"/>
      <c r="L109" s="408"/>
      <c r="M109" s="408">
        <f t="shared" si="71"/>
        <v>0</v>
      </c>
      <c r="N109" s="408">
        <f t="shared" si="71"/>
        <v>0</v>
      </c>
      <c r="O109" s="408">
        <f t="shared" si="71"/>
        <v>0</v>
      </c>
      <c r="P109" s="408">
        <f t="shared" si="71"/>
        <v>0</v>
      </c>
      <c r="Q109" s="408">
        <f t="shared" si="71"/>
        <v>0</v>
      </c>
      <c r="R109" s="408">
        <f t="shared" si="71"/>
        <v>0</v>
      </c>
      <c r="S109" s="408">
        <f t="shared" si="71"/>
        <v>0</v>
      </c>
      <c r="T109" s="408">
        <f t="shared" si="71"/>
        <v>0</v>
      </c>
      <c r="U109" s="408">
        <f t="shared" si="71"/>
        <v>0</v>
      </c>
      <c r="V109" s="408">
        <f t="shared" si="71"/>
        <v>0</v>
      </c>
      <c r="W109" s="408">
        <f t="shared" si="71"/>
        <v>0</v>
      </c>
      <c r="X109" s="408">
        <f t="shared" si="71"/>
        <v>0</v>
      </c>
      <c r="Y109" s="408">
        <f t="shared" si="71"/>
        <v>0</v>
      </c>
      <c r="Z109" s="408">
        <f t="shared" si="71"/>
        <v>0</v>
      </c>
      <c r="AA109" s="408">
        <f t="shared" si="71"/>
        <v>0</v>
      </c>
      <c r="AB109" s="408">
        <f t="shared" si="71"/>
        <v>0</v>
      </c>
      <c r="AC109" s="524"/>
      <c r="AD109" s="359"/>
      <c r="AE109" s="524">
        <f t="shared" si="73"/>
        <v>0</v>
      </c>
      <c r="AF109" s="524">
        <f t="shared" si="73"/>
        <v>0</v>
      </c>
      <c r="AG109" s="524">
        <f t="shared" si="73"/>
        <v>0</v>
      </c>
      <c r="AH109" s="524">
        <f t="shared" si="73"/>
        <v>0</v>
      </c>
      <c r="AI109" s="524">
        <f t="shared" si="73"/>
        <v>0</v>
      </c>
      <c r="AJ109" s="524">
        <f t="shared" si="73"/>
        <v>0</v>
      </c>
      <c r="AK109" s="524">
        <f t="shared" si="73"/>
        <v>0</v>
      </c>
      <c r="AL109" s="524">
        <f t="shared" si="73"/>
        <v>0</v>
      </c>
      <c r="AM109" s="524">
        <f t="shared" si="73"/>
        <v>0</v>
      </c>
      <c r="AN109" s="524">
        <f t="shared" si="73"/>
        <v>0</v>
      </c>
      <c r="AO109" s="524">
        <f t="shared" si="73"/>
        <v>0</v>
      </c>
      <c r="AP109" s="524">
        <f t="shared" si="59"/>
        <v>0</v>
      </c>
      <c r="AQ109" s="524">
        <f t="shared" si="74"/>
        <v>0</v>
      </c>
      <c r="AR109" s="524">
        <f t="shared" si="74"/>
        <v>0</v>
      </c>
      <c r="AS109" s="524">
        <f t="shared" si="74"/>
        <v>0</v>
      </c>
      <c r="AT109" s="524">
        <f t="shared" si="74"/>
        <v>0</v>
      </c>
      <c r="AU109" s="524">
        <f t="shared" si="74"/>
        <v>0</v>
      </c>
      <c r="AV109" s="524">
        <f t="shared" si="74"/>
        <v>0</v>
      </c>
      <c r="AW109" s="524">
        <f t="shared" si="74"/>
        <v>0</v>
      </c>
      <c r="AX109" s="524">
        <f t="shared" si="74"/>
        <v>0</v>
      </c>
      <c r="AY109" s="524">
        <f t="shared" si="74"/>
        <v>0</v>
      </c>
      <c r="AZ109" s="524">
        <f t="shared" si="74"/>
        <v>0</v>
      </c>
      <c r="BA109" s="524">
        <f t="shared" si="75"/>
        <v>0</v>
      </c>
      <c r="BB109" s="524">
        <f t="shared" si="75"/>
        <v>0</v>
      </c>
      <c r="BC109" s="524">
        <f t="shared" si="75"/>
        <v>0</v>
      </c>
      <c r="BD109" s="524">
        <f t="shared" si="75"/>
        <v>0</v>
      </c>
      <c r="BE109" s="524">
        <f t="shared" si="75"/>
        <v>0</v>
      </c>
      <c r="BF109" s="524">
        <f t="shared" si="75"/>
        <v>0</v>
      </c>
      <c r="BG109" s="524">
        <f t="shared" si="75"/>
        <v>0</v>
      </c>
      <c r="BH109" s="524">
        <f t="shared" si="75"/>
        <v>0</v>
      </c>
      <c r="BI109" s="524">
        <f t="shared" si="75"/>
        <v>0</v>
      </c>
      <c r="BJ109" s="524">
        <f t="shared" si="75"/>
        <v>0</v>
      </c>
      <c r="BK109" s="524">
        <f t="shared" si="76"/>
        <v>0</v>
      </c>
      <c r="BL109" s="524">
        <f t="shared" si="76"/>
        <v>0</v>
      </c>
      <c r="BM109" s="524">
        <f t="shared" si="76"/>
        <v>0</v>
      </c>
      <c r="BN109" s="524">
        <f t="shared" si="76"/>
        <v>0</v>
      </c>
      <c r="BO109" s="524">
        <f t="shared" si="76"/>
        <v>0</v>
      </c>
      <c r="BP109" s="524">
        <f t="shared" si="76"/>
        <v>0</v>
      </c>
      <c r="BQ109" s="524">
        <f t="shared" si="76"/>
        <v>0</v>
      </c>
      <c r="BR109" s="524">
        <f t="shared" si="76"/>
        <v>0</v>
      </c>
      <c r="BS109" s="524">
        <f t="shared" si="76"/>
        <v>0</v>
      </c>
      <c r="BT109" s="524">
        <f t="shared" si="76"/>
        <v>0</v>
      </c>
      <c r="BU109" s="524">
        <f t="shared" si="77"/>
        <v>0</v>
      </c>
      <c r="BV109" s="524">
        <f t="shared" si="77"/>
        <v>0</v>
      </c>
      <c r="BW109" s="524">
        <f t="shared" si="77"/>
        <v>0</v>
      </c>
      <c r="BX109" s="524">
        <f t="shared" si="77"/>
        <v>0</v>
      </c>
      <c r="BY109" s="524">
        <f t="shared" si="77"/>
        <v>0</v>
      </c>
      <c r="BZ109" s="524">
        <f t="shared" si="77"/>
        <v>0</v>
      </c>
    </row>
    <row r="110" spans="2:78" ht="21" hidden="1" customHeight="1" outlineLevel="3">
      <c r="B110" s="367"/>
      <c r="C110" s="370"/>
      <c r="D110" s="374">
        <f t="shared" si="64"/>
        <v>45777</v>
      </c>
      <c r="E110" s="373" cm="1">
        <f t="array" ref="E110">IF($D110&lt;=LatestMonthOfActuals,0,INDEX($AE$27:$BZ$27,0,MATCH($D110,$AE$8:$BZ$8,0)))</f>
        <v>0</v>
      </c>
      <c r="F110" s="359"/>
      <c r="G110" s="408">
        <f t="shared" si="72"/>
        <v>0</v>
      </c>
      <c r="H110" s="408">
        <f t="shared" si="72"/>
        <v>0</v>
      </c>
      <c r="I110" s="408">
        <f t="shared" si="72"/>
        <v>0</v>
      </c>
      <c r="J110" s="408">
        <f t="shared" si="72"/>
        <v>0</v>
      </c>
      <c r="K110" s="408"/>
      <c r="L110" s="408"/>
      <c r="M110" s="408">
        <f t="shared" si="71"/>
        <v>0</v>
      </c>
      <c r="N110" s="408">
        <f t="shared" si="71"/>
        <v>0</v>
      </c>
      <c r="O110" s="408">
        <f t="shared" si="71"/>
        <v>0</v>
      </c>
      <c r="P110" s="408">
        <f t="shared" si="71"/>
        <v>0</v>
      </c>
      <c r="Q110" s="408">
        <f t="shared" si="71"/>
        <v>0</v>
      </c>
      <c r="R110" s="408">
        <f t="shared" si="71"/>
        <v>0</v>
      </c>
      <c r="S110" s="408">
        <f t="shared" si="71"/>
        <v>0</v>
      </c>
      <c r="T110" s="408">
        <f t="shared" si="71"/>
        <v>0</v>
      </c>
      <c r="U110" s="408">
        <f t="shared" si="71"/>
        <v>0</v>
      </c>
      <c r="V110" s="408">
        <f t="shared" si="71"/>
        <v>0</v>
      </c>
      <c r="W110" s="408">
        <f t="shared" si="71"/>
        <v>0</v>
      </c>
      <c r="X110" s="408">
        <f t="shared" si="71"/>
        <v>0</v>
      </c>
      <c r="Y110" s="408">
        <f t="shared" si="71"/>
        <v>0</v>
      </c>
      <c r="Z110" s="408">
        <f t="shared" si="71"/>
        <v>0</v>
      </c>
      <c r="AA110" s="408">
        <f t="shared" si="71"/>
        <v>0</v>
      </c>
      <c r="AB110" s="408">
        <f t="shared" si="71"/>
        <v>0</v>
      </c>
      <c r="AC110" s="524"/>
      <c r="AD110" s="359"/>
      <c r="AE110" s="524">
        <f t="shared" si="73"/>
        <v>0</v>
      </c>
      <c r="AF110" s="524">
        <f t="shared" si="73"/>
        <v>0</v>
      </c>
      <c r="AG110" s="524">
        <f t="shared" si="73"/>
        <v>0</v>
      </c>
      <c r="AH110" s="524">
        <f t="shared" si="73"/>
        <v>0</v>
      </c>
      <c r="AI110" s="524">
        <f t="shared" si="73"/>
        <v>0</v>
      </c>
      <c r="AJ110" s="524">
        <f t="shared" si="73"/>
        <v>0</v>
      </c>
      <c r="AK110" s="524">
        <f t="shared" si="73"/>
        <v>0</v>
      </c>
      <c r="AL110" s="524">
        <f t="shared" si="73"/>
        <v>0</v>
      </c>
      <c r="AM110" s="524">
        <f t="shared" si="73"/>
        <v>0</v>
      </c>
      <c r="AN110" s="524">
        <f t="shared" si="73"/>
        <v>0</v>
      </c>
      <c r="AO110" s="524">
        <f t="shared" si="73"/>
        <v>0</v>
      </c>
      <c r="AP110" s="524">
        <f t="shared" si="59"/>
        <v>0</v>
      </c>
      <c r="AQ110" s="524">
        <f t="shared" si="74"/>
        <v>0</v>
      </c>
      <c r="AR110" s="524">
        <f t="shared" si="74"/>
        <v>0</v>
      </c>
      <c r="AS110" s="524">
        <f t="shared" si="74"/>
        <v>0</v>
      </c>
      <c r="AT110" s="524">
        <f t="shared" si="74"/>
        <v>0</v>
      </c>
      <c r="AU110" s="524">
        <f t="shared" si="74"/>
        <v>0</v>
      </c>
      <c r="AV110" s="524">
        <f t="shared" si="74"/>
        <v>0</v>
      </c>
      <c r="AW110" s="524">
        <f t="shared" si="74"/>
        <v>0</v>
      </c>
      <c r="AX110" s="524">
        <f t="shared" si="74"/>
        <v>0</v>
      </c>
      <c r="AY110" s="524">
        <f t="shared" si="74"/>
        <v>0</v>
      </c>
      <c r="AZ110" s="524">
        <f t="shared" si="74"/>
        <v>0</v>
      </c>
      <c r="BA110" s="524">
        <f t="shared" si="75"/>
        <v>0</v>
      </c>
      <c r="BB110" s="524">
        <f t="shared" si="75"/>
        <v>0</v>
      </c>
      <c r="BC110" s="524">
        <f t="shared" si="75"/>
        <v>0</v>
      </c>
      <c r="BD110" s="524">
        <f t="shared" si="75"/>
        <v>0</v>
      </c>
      <c r="BE110" s="524">
        <f t="shared" si="75"/>
        <v>0</v>
      </c>
      <c r="BF110" s="524">
        <f t="shared" si="75"/>
        <v>0</v>
      </c>
      <c r="BG110" s="524">
        <f t="shared" si="75"/>
        <v>0</v>
      </c>
      <c r="BH110" s="524">
        <f t="shared" si="75"/>
        <v>0</v>
      </c>
      <c r="BI110" s="524">
        <f t="shared" si="75"/>
        <v>0</v>
      </c>
      <c r="BJ110" s="524">
        <f t="shared" si="75"/>
        <v>0</v>
      </c>
      <c r="BK110" s="524">
        <f t="shared" si="76"/>
        <v>0</v>
      </c>
      <c r="BL110" s="524">
        <f t="shared" si="76"/>
        <v>0</v>
      </c>
      <c r="BM110" s="524">
        <f t="shared" si="76"/>
        <v>0</v>
      </c>
      <c r="BN110" s="524">
        <f t="shared" si="76"/>
        <v>0</v>
      </c>
      <c r="BO110" s="524">
        <f t="shared" si="76"/>
        <v>0</v>
      </c>
      <c r="BP110" s="524">
        <f t="shared" si="76"/>
        <v>0</v>
      </c>
      <c r="BQ110" s="524">
        <f t="shared" si="76"/>
        <v>0</v>
      </c>
      <c r="BR110" s="524">
        <f t="shared" si="76"/>
        <v>0</v>
      </c>
      <c r="BS110" s="524">
        <f t="shared" si="76"/>
        <v>0</v>
      </c>
      <c r="BT110" s="524">
        <f t="shared" si="76"/>
        <v>0</v>
      </c>
      <c r="BU110" s="524">
        <f t="shared" si="77"/>
        <v>0</v>
      </c>
      <c r="BV110" s="524">
        <f t="shared" si="77"/>
        <v>0</v>
      </c>
      <c r="BW110" s="524">
        <f t="shared" si="77"/>
        <v>0</v>
      </c>
      <c r="BX110" s="524">
        <f t="shared" si="77"/>
        <v>0</v>
      </c>
      <c r="BY110" s="524">
        <f t="shared" si="77"/>
        <v>0</v>
      </c>
      <c r="BZ110" s="524">
        <f t="shared" si="77"/>
        <v>0</v>
      </c>
    </row>
    <row r="111" spans="2:78" ht="21" hidden="1" customHeight="1" outlineLevel="3">
      <c r="B111" s="367"/>
      <c r="C111" s="370"/>
      <c r="D111" s="374">
        <f t="shared" si="64"/>
        <v>45808</v>
      </c>
      <c r="E111" s="373" cm="1">
        <f t="array" ref="E111">IF($D111&lt;=LatestMonthOfActuals,0,INDEX($AE$27:$BZ$27,0,MATCH($D111,$AE$8:$BZ$8,0)))</f>
        <v>0</v>
      </c>
      <c r="F111" s="359"/>
      <c r="G111" s="408">
        <f t="shared" si="72"/>
        <v>0</v>
      </c>
      <c r="H111" s="408">
        <f t="shared" si="72"/>
        <v>0</v>
      </c>
      <c r="I111" s="408">
        <f t="shared" si="72"/>
        <v>0</v>
      </c>
      <c r="J111" s="408">
        <f t="shared" si="72"/>
        <v>0</v>
      </c>
      <c r="K111" s="408"/>
      <c r="L111" s="408"/>
      <c r="M111" s="408">
        <f t="shared" si="71"/>
        <v>0</v>
      </c>
      <c r="N111" s="408">
        <f t="shared" si="71"/>
        <v>0</v>
      </c>
      <c r="O111" s="408">
        <f t="shared" si="71"/>
        <v>0</v>
      </c>
      <c r="P111" s="408">
        <f t="shared" si="71"/>
        <v>0</v>
      </c>
      <c r="Q111" s="408">
        <f t="shared" si="71"/>
        <v>0</v>
      </c>
      <c r="R111" s="408">
        <f t="shared" si="71"/>
        <v>0</v>
      </c>
      <c r="S111" s="408">
        <f t="shared" si="71"/>
        <v>0</v>
      </c>
      <c r="T111" s="408">
        <f t="shared" si="71"/>
        <v>0</v>
      </c>
      <c r="U111" s="408">
        <f t="shared" si="71"/>
        <v>0</v>
      </c>
      <c r="V111" s="408">
        <f t="shared" si="71"/>
        <v>0</v>
      </c>
      <c r="W111" s="408">
        <f t="shared" si="71"/>
        <v>0</v>
      </c>
      <c r="X111" s="408">
        <f t="shared" si="71"/>
        <v>0</v>
      </c>
      <c r="Y111" s="408">
        <f t="shared" si="71"/>
        <v>0</v>
      </c>
      <c r="Z111" s="408">
        <f t="shared" si="71"/>
        <v>0</v>
      </c>
      <c r="AA111" s="408">
        <f t="shared" si="71"/>
        <v>0</v>
      </c>
      <c r="AB111" s="408">
        <f t="shared" si="71"/>
        <v>0</v>
      </c>
      <c r="AC111" s="524"/>
      <c r="AD111" s="359"/>
      <c r="AE111" s="524">
        <f t="shared" si="73"/>
        <v>0</v>
      </c>
      <c r="AF111" s="524">
        <f t="shared" si="73"/>
        <v>0</v>
      </c>
      <c r="AG111" s="524">
        <f t="shared" si="73"/>
        <v>0</v>
      </c>
      <c r="AH111" s="524">
        <f t="shared" si="73"/>
        <v>0</v>
      </c>
      <c r="AI111" s="524">
        <f t="shared" si="73"/>
        <v>0</v>
      </c>
      <c r="AJ111" s="524">
        <f t="shared" si="73"/>
        <v>0</v>
      </c>
      <c r="AK111" s="524">
        <f t="shared" si="73"/>
        <v>0</v>
      </c>
      <c r="AL111" s="524">
        <f t="shared" si="73"/>
        <v>0</v>
      </c>
      <c r="AM111" s="524">
        <f t="shared" si="73"/>
        <v>0</v>
      </c>
      <c r="AN111" s="524">
        <f t="shared" si="73"/>
        <v>0</v>
      </c>
      <c r="AO111" s="524">
        <f t="shared" si="73"/>
        <v>0</v>
      </c>
      <c r="AP111" s="524">
        <f t="shared" si="59"/>
        <v>0</v>
      </c>
      <c r="AQ111" s="524">
        <f t="shared" si="74"/>
        <v>0</v>
      </c>
      <c r="AR111" s="524">
        <f t="shared" si="74"/>
        <v>0</v>
      </c>
      <c r="AS111" s="524">
        <f t="shared" si="74"/>
        <v>0</v>
      </c>
      <c r="AT111" s="524">
        <f t="shared" si="74"/>
        <v>0</v>
      </c>
      <c r="AU111" s="524">
        <f t="shared" si="74"/>
        <v>0</v>
      </c>
      <c r="AV111" s="524">
        <f t="shared" si="74"/>
        <v>0</v>
      </c>
      <c r="AW111" s="524">
        <f t="shared" si="74"/>
        <v>0</v>
      </c>
      <c r="AX111" s="524">
        <f t="shared" si="74"/>
        <v>0</v>
      </c>
      <c r="AY111" s="524">
        <f t="shared" si="74"/>
        <v>0</v>
      </c>
      <c r="AZ111" s="524">
        <f t="shared" si="74"/>
        <v>0</v>
      </c>
      <c r="BA111" s="524">
        <f t="shared" si="75"/>
        <v>0</v>
      </c>
      <c r="BB111" s="524">
        <f t="shared" si="75"/>
        <v>0</v>
      </c>
      <c r="BC111" s="524">
        <f t="shared" si="75"/>
        <v>0</v>
      </c>
      <c r="BD111" s="524">
        <f t="shared" si="75"/>
        <v>0</v>
      </c>
      <c r="BE111" s="524">
        <f t="shared" si="75"/>
        <v>0</v>
      </c>
      <c r="BF111" s="524">
        <f t="shared" si="75"/>
        <v>0</v>
      </c>
      <c r="BG111" s="524">
        <f t="shared" si="75"/>
        <v>0</v>
      </c>
      <c r="BH111" s="524">
        <f t="shared" si="75"/>
        <v>0</v>
      </c>
      <c r="BI111" s="524">
        <f t="shared" si="75"/>
        <v>0</v>
      </c>
      <c r="BJ111" s="524">
        <f t="shared" si="75"/>
        <v>0</v>
      </c>
      <c r="BK111" s="524">
        <f t="shared" si="76"/>
        <v>0</v>
      </c>
      <c r="BL111" s="524">
        <f t="shared" si="76"/>
        <v>0</v>
      </c>
      <c r="BM111" s="524">
        <f t="shared" si="76"/>
        <v>0</v>
      </c>
      <c r="BN111" s="524">
        <f t="shared" si="76"/>
        <v>0</v>
      </c>
      <c r="BO111" s="524">
        <f t="shared" si="76"/>
        <v>0</v>
      </c>
      <c r="BP111" s="524">
        <f t="shared" si="76"/>
        <v>0</v>
      </c>
      <c r="BQ111" s="524">
        <f t="shared" si="76"/>
        <v>0</v>
      </c>
      <c r="BR111" s="524">
        <f t="shared" si="76"/>
        <v>0</v>
      </c>
      <c r="BS111" s="524">
        <f t="shared" si="76"/>
        <v>0</v>
      </c>
      <c r="BT111" s="524">
        <f t="shared" si="76"/>
        <v>0</v>
      </c>
      <c r="BU111" s="524">
        <f t="shared" si="77"/>
        <v>0</v>
      </c>
      <c r="BV111" s="524">
        <f t="shared" si="77"/>
        <v>0</v>
      </c>
      <c r="BW111" s="524">
        <f t="shared" si="77"/>
        <v>0</v>
      </c>
      <c r="BX111" s="524">
        <f t="shared" si="77"/>
        <v>0</v>
      </c>
      <c r="BY111" s="524">
        <f t="shared" si="77"/>
        <v>0</v>
      </c>
      <c r="BZ111" s="524">
        <f t="shared" si="77"/>
        <v>0</v>
      </c>
    </row>
    <row r="112" spans="2:78" ht="21" hidden="1" customHeight="1" outlineLevel="3">
      <c r="B112" s="367"/>
      <c r="C112" s="370"/>
      <c r="D112" s="374">
        <f t="shared" si="64"/>
        <v>45838</v>
      </c>
      <c r="E112" s="373" cm="1">
        <f t="array" ref="E112">IF($D112&lt;=LatestMonthOfActuals,0,INDEX($AE$27:$BZ$27,0,MATCH($D112,$AE$8:$BZ$8,0)))</f>
        <v>0</v>
      </c>
      <c r="F112" s="359"/>
      <c r="G112" s="408">
        <f t="shared" si="72"/>
        <v>0</v>
      </c>
      <c r="H112" s="408">
        <f t="shared" si="72"/>
        <v>0</v>
      </c>
      <c r="I112" s="408">
        <f t="shared" si="72"/>
        <v>0</v>
      </c>
      <c r="J112" s="408">
        <f t="shared" si="72"/>
        <v>0</v>
      </c>
      <c r="K112" s="408"/>
      <c r="L112" s="408"/>
      <c r="M112" s="408">
        <f t="shared" si="71"/>
        <v>0</v>
      </c>
      <c r="N112" s="408">
        <f t="shared" si="71"/>
        <v>0</v>
      </c>
      <c r="O112" s="408">
        <f t="shared" si="71"/>
        <v>0</v>
      </c>
      <c r="P112" s="408">
        <f t="shared" si="71"/>
        <v>0</v>
      </c>
      <c r="Q112" s="408">
        <f t="shared" si="71"/>
        <v>0</v>
      </c>
      <c r="R112" s="408">
        <f t="shared" si="71"/>
        <v>0</v>
      </c>
      <c r="S112" s="408">
        <f t="shared" si="71"/>
        <v>0</v>
      </c>
      <c r="T112" s="408">
        <f t="shared" si="71"/>
        <v>0</v>
      </c>
      <c r="U112" s="408">
        <f t="shared" si="71"/>
        <v>0</v>
      </c>
      <c r="V112" s="408">
        <f t="shared" si="71"/>
        <v>0</v>
      </c>
      <c r="W112" s="408">
        <f t="shared" si="71"/>
        <v>0</v>
      </c>
      <c r="X112" s="408">
        <f t="shared" si="71"/>
        <v>0</v>
      </c>
      <c r="Y112" s="408">
        <f t="shared" si="71"/>
        <v>0</v>
      </c>
      <c r="Z112" s="408">
        <f t="shared" si="71"/>
        <v>0</v>
      </c>
      <c r="AA112" s="408">
        <f t="shared" si="71"/>
        <v>0</v>
      </c>
      <c r="AB112" s="408">
        <f t="shared" si="71"/>
        <v>0</v>
      </c>
      <c r="AC112" s="524"/>
      <c r="AD112" s="359"/>
      <c r="AE112" s="524">
        <f t="shared" si="73"/>
        <v>0</v>
      </c>
      <c r="AF112" s="524">
        <f t="shared" si="73"/>
        <v>0</v>
      </c>
      <c r="AG112" s="524">
        <f t="shared" si="73"/>
        <v>0</v>
      </c>
      <c r="AH112" s="524">
        <f t="shared" si="73"/>
        <v>0</v>
      </c>
      <c r="AI112" s="524">
        <f t="shared" si="73"/>
        <v>0</v>
      </c>
      <c r="AJ112" s="524">
        <f t="shared" si="73"/>
        <v>0</v>
      </c>
      <c r="AK112" s="524">
        <f t="shared" si="73"/>
        <v>0</v>
      </c>
      <c r="AL112" s="524">
        <f t="shared" si="73"/>
        <v>0</v>
      </c>
      <c r="AM112" s="524">
        <f t="shared" si="73"/>
        <v>0</v>
      </c>
      <c r="AN112" s="524">
        <f t="shared" si="73"/>
        <v>0</v>
      </c>
      <c r="AO112" s="524">
        <f t="shared" si="73"/>
        <v>0</v>
      </c>
      <c r="AP112" s="524">
        <f t="shared" si="59"/>
        <v>0</v>
      </c>
      <c r="AQ112" s="524">
        <f t="shared" si="74"/>
        <v>0</v>
      </c>
      <c r="AR112" s="524">
        <f t="shared" si="74"/>
        <v>0</v>
      </c>
      <c r="AS112" s="524">
        <f t="shared" si="74"/>
        <v>0</v>
      </c>
      <c r="AT112" s="524">
        <f t="shared" si="74"/>
        <v>0</v>
      </c>
      <c r="AU112" s="524">
        <f t="shared" si="74"/>
        <v>0</v>
      </c>
      <c r="AV112" s="524">
        <f t="shared" si="74"/>
        <v>0</v>
      </c>
      <c r="AW112" s="524">
        <f t="shared" si="74"/>
        <v>0</v>
      </c>
      <c r="AX112" s="524">
        <f t="shared" si="74"/>
        <v>0</v>
      </c>
      <c r="AY112" s="524">
        <f t="shared" si="74"/>
        <v>0</v>
      </c>
      <c r="AZ112" s="524">
        <f t="shared" si="74"/>
        <v>0</v>
      </c>
      <c r="BA112" s="524">
        <f t="shared" si="75"/>
        <v>0</v>
      </c>
      <c r="BB112" s="524">
        <f t="shared" si="75"/>
        <v>0</v>
      </c>
      <c r="BC112" s="524">
        <f t="shared" si="75"/>
        <v>0</v>
      </c>
      <c r="BD112" s="524">
        <f t="shared" si="75"/>
        <v>0</v>
      </c>
      <c r="BE112" s="524">
        <f t="shared" si="75"/>
        <v>0</v>
      </c>
      <c r="BF112" s="524">
        <f t="shared" si="75"/>
        <v>0</v>
      </c>
      <c r="BG112" s="524">
        <f t="shared" si="75"/>
        <v>0</v>
      </c>
      <c r="BH112" s="524">
        <f t="shared" si="75"/>
        <v>0</v>
      </c>
      <c r="BI112" s="524">
        <f t="shared" si="75"/>
        <v>0</v>
      </c>
      <c r="BJ112" s="524">
        <f t="shared" si="75"/>
        <v>0</v>
      </c>
      <c r="BK112" s="524">
        <f t="shared" si="76"/>
        <v>0</v>
      </c>
      <c r="BL112" s="524">
        <f t="shared" si="76"/>
        <v>0</v>
      </c>
      <c r="BM112" s="524">
        <f t="shared" si="76"/>
        <v>0</v>
      </c>
      <c r="BN112" s="524">
        <f t="shared" si="76"/>
        <v>0</v>
      </c>
      <c r="BO112" s="524">
        <f t="shared" si="76"/>
        <v>0</v>
      </c>
      <c r="BP112" s="524">
        <f t="shared" si="76"/>
        <v>0</v>
      </c>
      <c r="BQ112" s="524">
        <f t="shared" si="76"/>
        <v>0</v>
      </c>
      <c r="BR112" s="524">
        <f t="shared" si="76"/>
        <v>0</v>
      </c>
      <c r="BS112" s="524">
        <f t="shared" si="76"/>
        <v>0</v>
      </c>
      <c r="BT112" s="524">
        <f t="shared" si="76"/>
        <v>0</v>
      </c>
      <c r="BU112" s="524">
        <f t="shared" si="77"/>
        <v>0</v>
      </c>
      <c r="BV112" s="524">
        <f t="shared" si="77"/>
        <v>0</v>
      </c>
      <c r="BW112" s="524">
        <f t="shared" si="77"/>
        <v>0</v>
      </c>
      <c r="BX112" s="524">
        <f t="shared" si="77"/>
        <v>0</v>
      </c>
      <c r="BY112" s="524">
        <f t="shared" si="77"/>
        <v>0</v>
      </c>
      <c r="BZ112" s="524">
        <f t="shared" si="77"/>
        <v>0</v>
      </c>
    </row>
    <row r="113" spans="2:78" ht="21" hidden="1" customHeight="1" outlineLevel="3">
      <c r="B113" s="367"/>
      <c r="C113" s="370"/>
      <c r="D113" s="374">
        <f t="shared" si="64"/>
        <v>45869</v>
      </c>
      <c r="E113" s="373" cm="1">
        <f t="array" ref="E113">IF($D113&lt;=LatestMonthOfActuals,0,INDEX($AE$27:$BZ$27,0,MATCH($D113,$AE$8:$BZ$8,0)))</f>
        <v>0</v>
      </c>
      <c r="F113" s="359"/>
      <c r="G113" s="408">
        <f t="shared" si="72"/>
        <v>0</v>
      </c>
      <c r="H113" s="408">
        <f t="shared" si="72"/>
        <v>0</v>
      </c>
      <c r="I113" s="408">
        <f t="shared" si="72"/>
        <v>0</v>
      </c>
      <c r="J113" s="408">
        <f t="shared" si="72"/>
        <v>0</v>
      </c>
      <c r="K113" s="408"/>
      <c r="L113" s="408"/>
      <c r="M113" s="408">
        <f t="shared" si="71"/>
        <v>0</v>
      </c>
      <c r="N113" s="408">
        <f t="shared" si="71"/>
        <v>0</v>
      </c>
      <c r="O113" s="408">
        <f t="shared" si="71"/>
        <v>0</v>
      </c>
      <c r="P113" s="408">
        <f t="shared" si="71"/>
        <v>0</v>
      </c>
      <c r="Q113" s="408">
        <f t="shared" si="71"/>
        <v>0</v>
      </c>
      <c r="R113" s="408">
        <f t="shared" si="71"/>
        <v>0</v>
      </c>
      <c r="S113" s="408">
        <f t="shared" si="71"/>
        <v>0</v>
      </c>
      <c r="T113" s="408">
        <f t="shared" si="71"/>
        <v>0</v>
      </c>
      <c r="U113" s="408">
        <f t="shared" si="71"/>
        <v>0</v>
      </c>
      <c r="V113" s="408">
        <f t="shared" si="71"/>
        <v>0</v>
      </c>
      <c r="W113" s="408">
        <f t="shared" si="71"/>
        <v>0</v>
      </c>
      <c r="X113" s="408">
        <f t="shared" si="71"/>
        <v>0</v>
      </c>
      <c r="Y113" s="408">
        <f t="shared" si="71"/>
        <v>0</v>
      </c>
      <c r="Z113" s="408">
        <f t="shared" si="71"/>
        <v>0</v>
      </c>
      <c r="AA113" s="408">
        <f t="shared" si="71"/>
        <v>0</v>
      </c>
      <c r="AB113" s="408">
        <f t="shared" si="71"/>
        <v>0</v>
      </c>
      <c r="AC113" s="524"/>
      <c r="AD113" s="359"/>
      <c r="AE113" s="524">
        <f t="shared" ref="AE113:AO122" si="78">IFERROR(IF(AE$8&gt;=$D113,$E113*(INDEX($E$18:$E$22,(MATCH(MATCH(AE$8,$D$83:$D$130,0)-MATCH($D113,$D$83:$D$130,0),$D$18:$D$22,0)))),0),0)</f>
        <v>0</v>
      </c>
      <c r="AF113" s="524">
        <f t="shared" si="78"/>
        <v>0</v>
      </c>
      <c r="AG113" s="524">
        <f t="shared" si="78"/>
        <v>0</v>
      </c>
      <c r="AH113" s="524">
        <f t="shared" si="78"/>
        <v>0</v>
      </c>
      <c r="AI113" s="524">
        <f t="shared" si="78"/>
        <v>0</v>
      </c>
      <c r="AJ113" s="524">
        <f t="shared" si="78"/>
        <v>0</v>
      </c>
      <c r="AK113" s="524">
        <f t="shared" si="78"/>
        <v>0</v>
      </c>
      <c r="AL113" s="524">
        <f t="shared" si="78"/>
        <v>0</v>
      </c>
      <c r="AM113" s="524">
        <f t="shared" si="78"/>
        <v>0</v>
      </c>
      <c r="AN113" s="524">
        <f t="shared" si="78"/>
        <v>0</v>
      </c>
      <c r="AO113" s="524">
        <f t="shared" si="78"/>
        <v>0</v>
      </c>
      <c r="AP113" s="524">
        <f t="shared" si="59"/>
        <v>0</v>
      </c>
      <c r="AQ113" s="524">
        <f t="shared" ref="AQ113:AZ122" si="79">IFERROR(IF(AQ$8&gt;=$D113,$E113*(INDEX($E$18:$E$22,(MATCH(MATCH(AQ$8,$D$83:$D$130,0)-MATCH($D113,$D$83:$D$130,0),$D$18:$D$22,0)))),0),0)</f>
        <v>0</v>
      </c>
      <c r="AR113" s="524">
        <f t="shared" si="79"/>
        <v>0</v>
      </c>
      <c r="AS113" s="524">
        <f t="shared" si="79"/>
        <v>0</v>
      </c>
      <c r="AT113" s="524">
        <f t="shared" si="79"/>
        <v>0</v>
      </c>
      <c r="AU113" s="524">
        <f t="shared" si="79"/>
        <v>0</v>
      </c>
      <c r="AV113" s="524">
        <f t="shared" si="79"/>
        <v>0</v>
      </c>
      <c r="AW113" s="524">
        <f t="shared" si="79"/>
        <v>0</v>
      </c>
      <c r="AX113" s="524">
        <f t="shared" si="79"/>
        <v>0</v>
      </c>
      <c r="AY113" s="524">
        <f t="shared" si="79"/>
        <v>0</v>
      </c>
      <c r="AZ113" s="524">
        <f t="shared" si="79"/>
        <v>0</v>
      </c>
      <c r="BA113" s="524">
        <f t="shared" ref="BA113:BJ122" si="80">IFERROR(IF(BA$8&gt;=$D113,$E113*(INDEX($E$18:$E$22,(MATCH(MATCH(BA$8,$D$83:$D$130,0)-MATCH($D113,$D$83:$D$130,0),$D$18:$D$22,0)))),0),0)</f>
        <v>0</v>
      </c>
      <c r="BB113" s="524">
        <f t="shared" si="80"/>
        <v>0</v>
      </c>
      <c r="BC113" s="524">
        <f t="shared" si="80"/>
        <v>0</v>
      </c>
      <c r="BD113" s="524">
        <f t="shared" si="80"/>
        <v>0</v>
      </c>
      <c r="BE113" s="524">
        <f t="shared" si="80"/>
        <v>0</v>
      </c>
      <c r="BF113" s="524">
        <f t="shared" si="80"/>
        <v>0</v>
      </c>
      <c r="BG113" s="524">
        <f t="shared" si="80"/>
        <v>0</v>
      </c>
      <c r="BH113" s="524">
        <f t="shared" si="80"/>
        <v>0</v>
      </c>
      <c r="BI113" s="524">
        <f t="shared" si="80"/>
        <v>0</v>
      </c>
      <c r="BJ113" s="524">
        <f t="shared" si="80"/>
        <v>0</v>
      </c>
      <c r="BK113" s="524">
        <f t="shared" ref="BK113:BT122" si="81">IFERROR(IF(BK$8&gt;=$D113,$E113*(INDEX($E$18:$E$22,(MATCH(MATCH(BK$8,$D$83:$D$130,0)-MATCH($D113,$D$83:$D$130,0),$D$18:$D$22,0)))),0),0)</f>
        <v>0</v>
      </c>
      <c r="BL113" s="524">
        <f t="shared" si="81"/>
        <v>0</v>
      </c>
      <c r="BM113" s="524">
        <f t="shared" si="81"/>
        <v>0</v>
      </c>
      <c r="BN113" s="524">
        <f t="shared" si="81"/>
        <v>0</v>
      </c>
      <c r="BO113" s="524">
        <f t="shared" si="81"/>
        <v>0</v>
      </c>
      <c r="BP113" s="524">
        <f t="shared" si="81"/>
        <v>0</v>
      </c>
      <c r="BQ113" s="524">
        <f t="shared" si="81"/>
        <v>0</v>
      </c>
      <c r="BR113" s="524">
        <f t="shared" si="81"/>
        <v>0</v>
      </c>
      <c r="BS113" s="524">
        <f t="shared" si="81"/>
        <v>0</v>
      </c>
      <c r="BT113" s="524">
        <f t="shared" si="81"/>
        <v>0</v>
      </c>
      <c r="BU113" s="524">
        <f t="shared" ref="BU113:BZ122" si="82">IFERROR(IF(BU$8&gt;=$D113,$E113*(INDEX($E$18:$E$22,(MATCH(MATCH(BU$8,$D$83:$D$130,0)-MATCH($D113,$D$83:$D$130,0),$D$18:$D$22,0)))),0),0)</f>
        <v>0</v>
      </c>
      <c r="BV113" s="524">
        <f t="shared" si="82"/>
        <v>0</v>
      </c>
      <c r="BW113" s="524">
        <f t="shared" si="82"/>
        <v>0</v>
      </c>
      <c r="BX113" s="524">
        <f t="shared" si="82"/>
        <v>0</v>
      </c>
      <c r="BY113" s="524">
        <f t="shared" si="82"/>
        <v>0</v>
      </c>
      <c r="BZ113" s="524">
        <f t="shared" si="82"/>
        <v>0</v>
      </c>
    </row>
    <row r="114" spans="2:78" ht="21" hidden="1" customHeight="1" outlineLevel="3">
      <c r="B114" s="367"/>
      <c r="C114" s="370"/>
      <c r="D114" s="374">
        <f t="shared" si="64"/>
        <v>45900</v>
      </c>
      <c r="E114" s="373" cm="1">
        <f t="array" ref="E114">IF($D114&lt;=LatestMonthOfActuals,0,INDEX($AE$27:$BZ$27,0,MATCH($D114,$AE$8:$BZ$8,0)))</f>
        <v>0</v>
      </c>
      <c r="F114" s="359"/>
      <c r="G114" s="408">
        <f t="shared" si="72"/>
        <v>0</v>
      </c>
      <c r="H114" s="408">
        <f t="shared" si="72"/>
        <v>0</v>
      </c>
      <c r="I114" s="408">
        <f t="shared" si="72"/>
        <v>0</v>
      </c>
      <c r="J114" s="408">
        <f t="shared" si="72"/>
        <v>0</v>
      </c>
      <c r="K114" s="408"/>
      <c r="L114" s="408"/>
      <c r="M114" s="408">
        <f t="shared" si="71"/>
        <v>0</v>
      </c>
      <c r="N114" s="408">
        <f t="shared" si="71"/>
        <v>0</v>
      </c>
      <c r="O114" s="408">
        <f t="shared" si="71"/>
        <v>0</v>
      </c>
      <c r="P114" s="408">
        <f t="shared" si="71"/>
        <v>0</v>
      </c>
      <c r="Q114" s="408">
        <f t="shared" si="71"/>
        <v>0</v>
      </c>
      <c r="R114" s="408">
        <f t="shared" si="71"/>
        <v>0</v>
      </c>
      <c r="S114" s="408">
        <f t="shared" si="71"/>
        <v>0</v>
      </c>
      <c r="T114" s="408">
        <f t="shared" si="71"/>
        <v>0</v>
      </c>
      <c r="U114" s="408">
        <f t="shared" si="71"/>
        <v>0</v>
      </c>
      <c r="V114" s="408">
        <f t="shared" si="71"/>
        <v>0</v>
      </c>
      <c r="W114" s="408">
        <f t="shared" si="71"/>
        <v>0</v>
      </c>
      <c r="X114" s="408">
        <f t="shared" si="71"/>
        <v>0</v>
      </c>
      <c r="Y114" s="408">
        <f t="shared" si="71"/>
        <v>0</v>
      </c>
      <c r="Z114" s="408">
        <f t="shared" si="71"/>
        <v>0</v>
      </c>
      <c r="AA114" s="408">
        <f t="shared" si="71"/>
        <v>0</v>
      </c>
      <c r="AB114" s="408">
        <f t="shared" ref="AB114" si="83">SUMIFS($AE114:$BZ114,$AE$4:$BZ$4,"&gt;="&amp;AB$4,$AE114:$BZ114,"&lt;="&amp;AB$5)</f>
        <v>0</v>
      </c>
      <c r="AC114" s="524"/>
      <c r="AD114" s="359"/>
      <c r="AE114" s="524">
        <f t="shared" si="78"/>
        <v>0</v>
      </c>
      <c r="AF114" s="524">
        <f t="shared" si="78"/>
        <v>0</v>
      </c>
      <c r="AG114" s="524">
        <f t="shared" si="78"/>
        <v>0</v>
      </c>
      <c r="AH114" s="524">
        <f t="shared" si="78"/>
        <v>0</v>
      </c>
      <c r="AI114" s="524">
        <f t="shared" si="78"/>
        <v>0</v>
      </c>
      <c r="AJ114" s="524">
        <f t="shared" si="78"/>
        <v>0</v>
      </c>
      <c r="AK114" s="524">
        <f t="shared" si="78"/>
        <v>0</v>
      </c>
      <c r="AL114" s="524">
        <f t="shared" si="78"/>
        <v>0</v>
      </c>
      <c r="AM114" s="524">
        <f t="shared" si="78"/>
        <v>0</v>
      </c>
      <c r="AN114" s="524">
        <f t="shared" si="78"/>
        <v>0</v>
      </c>
      <c r="AO114" s="524">
        <f t="shared" si="78"/>
        <v>0</v>
      </c>
      <c r="AP114" s="524">
        <f t="shared" si="59"/>
        <v>0</v>
      </c>
      <c r="AQ114" s="524">
        <f t="shared" si="79"/>
        <v>0</v>
      </c>
      <c r="AR114" s="524">
        <f t="shared" si="79"/>
        <v>0</v>
      </c>
      <c r="AS114" s="524">
        <f t="shared" si="79"/>
        <v>0</v>
      </c>
      <c r="AT114" s="524">
        <f t="shared" si="79"/>
        <v>0</v>
      </c>
      <c r="AU114" s="524">
        <f t="shared" si="79"/>
        <v>0</v>
      </c>
      <c r="AV114" s="524">
        <f t="shared" si="79"/>
        <v>0</v>
      </c>
      <c r="AW114" s="524">
        <f t="shared" si="79"/>
        <v>0</v>
      </c>
      <c r="AX114" s="524">
        <f t="shared" si="79"/>
        <v>0</v>
      </c>
      <c r="AY114" s="524">
        <f t="shared" si="79"/>
        <v>0</v>
      </c>
      <c r="AZ114" s="524">
        <f t="shared" si="79"/>
        <v>0</v>
      </c>
      <c r="BA114" s="524">
        <f t="shared" si="80"/>
        <v>0</v>
      </c>
      <c r="BB114" s="524">
        <f t="shared" si="80"/>
        <v>0</v>
      </c>
      <c r="BC114" s="524">
        <f t="shared" si="80"/>
        <v>0</v>
      </c>
      <c r="BD114" s="524">
        <f t="shared" si="80"/>
        <v>0</v>
      </c>
      <c r="BE114" s="524">
        <f t="shared" si="80"/>
        <v>0</v>
      </c>
      <c r="BF114" s="524">
        <f t="shared" si="80"/>
        <v>0</v>
      </c>
      <c r="BG114" s="524">
        <f t="shared" si="80"/>
        <v>0</v>
      </c>
      <c r="BH114" s="524">
        <f t="shared" si="80"/>
        <v>0</v>
      </c>
      <c r="BI114" s="524">
        <f t="shared" si="80"/>
        <v>0</v>
      </c>
      <c r="BJ114" s="524">
        <f t="shared" si="80"/>
        <v>0</v>
      </c>
      <c r="BK114" s="524">
        <f t="shared" si="81"/>
        <v>0</v>
      </c>
      <c r="BL114" s="524">
        <f t="shared" si="81"/>
        <v>0</v>
      </c>
      <c r="BM114" s="524">
        <f t="shared" si="81"/>
        <v>0</v>
      </c>
      <c r="BN114" s="524">
        <f t="shared" si="81"/>
        <v>0</v>
      </c>
      <c r="BO114" s="524">
        <f t="shared" si="81"/>
        <v>0</v>
      </c>
      <c r="BP114" s="524">
        <f t="shared" si="81"/>
        <v>0</v>
      </c>
      <c r="BQ114" s="524">
        <f t="shared" si="81"/>
        <v>0</v>
      </c>
      <c r="BR114" s="524">
        <f t="shared" si="81"/>
        <v>0</v>
      </c>
      <c r="BS114" s="524">
        <f t="shared" si="81"/>
        <v>0</v>
      </c>
      <c r="BT114" s="524">
        <f t="shared" si="81"/>
        <v>0</v>
      </c>
      <c r="BU114" s="524">
        <f t="shared" si="82"/>
        <v>0</v>
      </c>
      <c r="BV114" s="524">
        <f t="shared" si="82"/>
        <v>0</v>
      </c>
      <c r="BW114" s="524">
        <f t="shared" si="82"/>
        <v>0</v>
      </c>
      <c r="BX114" s="524">
        <f t="shared" si="82"/>
        <v>0</v>
      </c>
      <c r="BY114" s="524">
        <f t="shared" si="82"/>
        <v>0</v>
      </c>
      <c r="BZ114" s="524">
        <f t="shared" si="82"/>
        <v>0</v>
      </c>
    </row>
    <row r="115" spans="2:78" ht="21" hidden="1" customHeight="1" outlineLevel="3">
      <c r="B115" s="367"/>
      <c r="C115" s="370"/>
      <c r="D115" s="374">
        <f t="shared" si="64"/>
        <v>45930</v>
      </c>
      <c r="E115" s="373" cm="1">
        <f t="array" ref="E115">IF($D115&lt;=LatestMonthOfActuals,0,INDEX($AE$27:$BZ$27,0,MATCH($D115,$AE$8:$BZ$8,0)))</f>
        <v>0</v>
      </c>
      <c r="F115" s="359"/>
      <c r="G115" s="408">
        <f t="shared" si="72"/>
        <v>0</v>
      </c>
      <c r="H115" s="408">
        <f t="shared" si="72"/>
        <v>0</v>
      </c>
      <c r="I115" s="408">
        <f t="shared" si="72"/>
        <v>0</v>
      </c>
      <c r="J115" s="408">
        <f t="shared" si="72"/>
        <v>0</v>
      </c>
      <c r="K115" s="408"/>
      <c r="L115" s="408"/>
      <c r="M115" s="408">
        <f t="shared" ref="M115:AB130" si="84">SUMIFS($AE115:$BZ115,$AE$4:$BZ$4,"&gt;="&amp;M$4,$AE115:$BZ115,"&lt;="&amp;M$5)</f>
        <v>0</v>
      </c>
      <c r="N115" s="408">
        <f t="shared" si="84"/>
        <v>0</v>
      </c>
      <c r="O115" s="408">
        <f t="shared" si="84"/>
        <v>0</v>
      </c>
      <c r="P115" s="408">
        <f t="shared" si="84"/>
        <v>0</v>
      </c>
      <c r="Q115" s="408">
        <f t="shared" si="84"/>
        <v>0</v>
      </c>
      <c r="R115" s="408">
        <f t="shared" si="84"/>
        <v>0</v>
      </c>
      <c r="S115" s="408">
        <f t="shared" si="84"/>
        <v>0</v>
      </c>
      <c r="T115" s="408">
        <f t="shared" si="84"/>
        <v>0</v>
      </c>
      <c r="U115" s="408">
        <f t="shared" si="84"/>
        <v>0</v>
      </c>
      <c r="V115" s="408">
        <f t="shared" si="84"/>
        <v>0</v>
      </c>
      <c r="W115" s="408">
        <f t="shared" si="84"/>
        <v>0</v>
      </c>
      <c r="X115" s="408">
        <f t="shared" si="84"/>
        <v>0</v>
      </c>
      <c r="Y115" s="408">
        <f t="shared" si="84"/>
        <v>0</v>
      </c>
      <c r="Z115" s="408">
        <f t="shared" si="84"/>
        <v>0</v>
      </c>
      <c r="AA115" s="408">
        <f t="shared" si="84"/>
        <v>0</v>
      </c>
      <c r="AB115" s="408">
        <f t="shared" si="84"/>
        <v>0</v>
      </c>
      <c r="AC115" s="524"/>
      <c r="AD115" s="359"/>
      <c r="AE115" s="524">
        <f t="shared" si="78"/>
        <v>0</v>
      </c>
      <c r="AF115" s="524">
        <f t="shared" si="78"/>
        <v>0</v>
      </c>
      <c r="AG115" s="524">
        <f t="shared" si="78"/>
        <v>0</v>
      </c>
      <c r="AH115" s="524">
        <f t="shared" si="78"/>
        <v>0</v>
      </c>
      <c r="AI115" s="524">
        <f t="shared" si="78"/>
        <v>0</v>
      </c>
      <c r="AJ115" s="524">
        <f t="shared" si="78"/>
        <v>0</v>
      </c>
      <c r="AK115" s="524">
        <f t="shared" si="78"/>
        <v>0</v>
      </c>
      <c r="AL115" s="524">
        <f t="shared" si="78"/>
        <v>0</v>
      </c>
      <c r="AM115" s="524">
        <f t="shared" si="78"/>
        <v>0</v>
      </c>
      <c r="AN115" s="524">
        <f t="shared" si="78"/>
        <v>0</v>
      </c>
      <c r="AO115" s="524">
        <f t="shared" si="78"/>
        <v>0</v>
      </c>
      <c r="AP115" s="524">
        <f t="shared" si="59"/>
        <v>0</v>
      </c>
      <c r="AQ115" s="524">
        <f t="shared" si="79"/>
        <v>0</v>
      </c>
      <c r="AR115" s="524">
        <f t="shared" si="79"/>
        <v>0</v>
      </c>
      <c r="AS115" s="524">
        <f t="shared" si="79"/>
        <v>0</v>
      </c>
      <c r="AT115" s="524">
        <f t="shared" si="79"/>
        <v>0</v>
      </c>
      <c r="AU115" s="524">
        <f t="shared" si="79"/>
        <v>0</v>
      </c>
      <c r="AV115" s="524">
        <f t="shared" si="79"/>
        <v>0</v>
      </c>
      <c r="AW115" s="524">
        <f t="shared" si="79"/>
        <v>0</v>
      </c>
      <c r="AX115" s="524">
        <f t="shared" si="79"/>
        <v>0</v>
      </c>
      <c r="AY115" s="524">
        <f t="shared" si="79"/>
        <v>0</v>
      </c>
      <c r="AZ115" s="524">
        <f t="shared" si="79"/>
        <v>0</v>
      </c>
      <c r="BA115" s="524">
        <f t="shared" si="80"/>
        <v>0</v>
      </c>
      <c r="BB115" s="524">
        <f t="shared" si="80"/>
        <v>0</v>
      </c>
      <c r="BC115" s="524">
        <f t="shared" si="80"/>
        <v>0</v>
      </c>
      <c r="BD115" s="524">
        <f t="shared" si="80"/>
        <v>0</v>
      </c>
      <c r="BE115" s="524">
        <f t="shared" si="80"/>
        <v>0</v>
      </c>
      <c r="BF115" s="524">
        <f t="shared" si="80"/>
        <v>0</v>
      </c>
      <c r="BG115" s="524">
        <f t="shared" si="80"/>
        <v>0</v>
      </c>
      <c r="BH115" s="524">
        <f t="shared" si="80"/>
        <v>0</v>
      </c>
      <c r="BI115" s="524">
        <f t="shared" si="80"/>
        <v>0</v>
      </c>
      <c r="BJ115" s="524">
        <f t="shared" si="80"/>
        <v>0</v>
      </c>
      <c r="BK115" s="524">
        <f t="shared" si="81"/>
        <v>0</v>
      </c>
      <c r="BL115" s="524">
        <f t="shared" si="81"/>
        <v>0</v>
      </c>
      <c r="BM115" s="524">
        <f t="shared" si="81"/>
        <v>0</v>
      </c>
      <c r="BN115" s="524">
        <f t="shared" si="81"/>
        <v>0</v>
      </c>
      <c r="BO115" s="524">
        <f t="shared" si="81"/>
        <v>0</v>
      </c>
      <c r="BP115" s="524">
        <f t="shared" si="81"/>
        <v>0</v>
      </c>
      <c r="BQ115" s="524">
        <f t="shared" si="81"/>
        <v>0</v>
      </c>
      <c r="BR115" s="524">
        <f t="shared" si="81"/>
        <v>0</v>
      </c>
      <c r="BS115" s="524">
        <f t="shared" si="81"/>
        <v>0</v>
      </c>
      <c r="BT115" s="524">
        <f t="shared" si="81"/>
        <v>0</v>
      </c>
      <c r="BU115" s="524">
        <f t="shared" si="82"/>
        <v>0</v>
      </c>
      <c r="BV115" s="524">
        <f t="shared" si="82"/>
        <v>0</v>
      </c>
      <c r="BW115" s="524">
        <f t="shared" si="82"/>
        <v>0</v>
      </c>
      <c r="BX115" s="524">
        <f t="shared" si="82"/>
        <v>0</v>
      </c>
      <c r="BY115" s="524">
        <f t="shared" si="82"/>
        <v>0</v>
      </c>
      <c r="BZ115" s="524">
        <f t="shared" si="82"/>
        <v>0</v>
      </c>
    </row>
    <row r="116" spans="2:78" ht="21" hidden="1" customHeight="1" outlineLevel="3">
      <c r="B116" s="367"/>
      <c r="C116" s="370"/>
      <c r="D116" s="374">
        <f t="shared" si="64"/>
        <v>45961</v>
      </c>
      <c r="E116" s="373" cm="1">
        <f t="array" ref="E116">IF($D116&lt;=LatestMonthOfActuals,0,INDEX($AE$27:$BZ$27,0,MATCH($D116,$AE$8:$BZ$8,0)))</f>
        <v>0</v>
      </c>
      <c r="F116" s="359"/>
      <c r="G116" s="408">
        <f t="shared" si="72"/>
        <v>0</v>
      </c>
      <c r="H116" s="408">
        <f t="shared" si="72"/>
        <v>0</v>
      </c>
      <c r="I116" s="408">
        <f t="shared" si="72"/>
        <v>0</v>
      </c>
      <c r="J116" s="408">
        <f t="shared" si="72"/>
        <v>0</v>
      </c>
      <c r="K116" s="408"/>
      <c r="L116" s="408"/>
      <c r="M116" s="408">
        <f t="shared" si="84"/>
        <v>0</v>
      </c>
      <c r="N116" s="408">
        <f t="shared" si="84"/>
        <v>0</v>
      </c>
      <c r="O116" s="408">
        <f t="shared" si="84"/>
        <v>0</v>
      </c>
      <c r="P116" s="408">
        <f t="shared" si="84"/>
        <v>0</v>
      </c>
      <c r="Q116" s="408">
        <f t="shared" si="84"/>
        <v>0</v>
      </c>
      <c r="R116" s="408">
        <f t="shared" si="84"/>
        <v>0</v>
      </c>
      <c r="S116" s="408">
        <f t="shared" si="84"/>
        <v>0</v>
      </c>
      <c r="T116" s="408">
        <f t="shared" si="84"/>
        <v>0</v>
      </c>
      <c r="U116" s="408">
        <f t="shared" si="84"/>
        <v>0</v>
      </c>
      <c r="V116" s="408">
        <f t="shared" si="84"/>
        <v>0</v>
      </c>
      <c r="W116" s="408">
        <f t="shared" si="84"/>
        <v>0</v>
      </c>
      <c r="X116" s="408">
        <f t="shared" si="84"/>
        <v>0</v>
      </c>
      <c r="Y116" s="408">
        <f t="shared" si="84"/>
        <v>0</v>
      </c>
      <c r="Z116" s="408">
        <f t="shared" si="84"/>
        <v>0</v>
      </c>
      <c r="AA116" s="408">
        <f t="shared" si="84"/>
        <v>0</v>
      </c>
      <c r="AB116" s="408">
        <f t="shared" si="84"/>
        <v>0</v>
      </c>
      <c r="AC116" s="524"/>
      <c r="AD116" s="359"/>
      <c r="AE116" s="524">
        <f t="shared" si="78"/>
        <v>0</v>
      </c>
      <c r="AF116" s="524">
        <f t="shared" si="78"/>
        <v>0</v>
      </c>
      <c r="AG116" s="524">
        <f t="shared" si="78"/>
        <v>0</v>
      </c>
      <c r="AH116" s="524">
        <f t="shared" si="78"/>
        <v>0</v>
      </c>
      <c r="AI116" s="524">
        <f t="shared" si="78"/>
        <v>0</v>
      </c>
      <c r="AJ116" s="524">
        <f t="shared" si="78"/>
        <v>0</v>
      </c>
      <c r="AK116" s="524">
        <f t="shared" si="78"/>
        <v>0</v>
      </c>
      <c r="AL116" s="524">
        <f t="shared" si="78"/>
        <v>0</v>
      </c>
      <c r="AM116" s="524">
        <f t="shared" si="78"/>
        <v>0</v>
      </c>
      <c r="AN116" s="524">
        <f t="shared" si="78"/>
        <v>0</v>
      </c>
      <c r="AO116" s="524">
        <f t="shared" si="78"/>
        <v>0</v>
      </c>
      <c r="AP116" s="524">
        <f t="shared" si="59"/>
        <v>0</v>
      </c>
      <c r="AQ116" s="524">
        <f t="shared" si="79"/>
        <v>0</v>
      </c>
      <c r="AR116" s="524">
        <f t="shared" si="79"/>
        <v>0</v>
      </c>
      <c r="AS116" s="524">
        <f t="shared" si="79"/>
        <v>0</v>
      </c>
      <c r="AT116" s="524">
        <f t="shared" si="79"/>
        <v>0</v>
      </c>
      <c r="AU116" s="524">
        <f t="shared" si="79"/>
        <v>0</v>
      </c>
      <c r="AV116" s="524">
        <f t="shared" si="79"/>
        <v>0</v>
      </c>
      <c r="AW116" s="524">
        <f t="shared" si="79"/>
        <v>0</v>
      </c>
      <c r="AX116" s="524">
        <f t="shared" si="79"/>
        <v>0</v>
      </c>
      <c r="AY116" s="524">
        <f t="shared" si="79"/>
        <v>0</v>
      </c>
      <c r="AZ116" s="524">
        <f t="shared" si="79"/>
        <v>0</v>
      </c>
      <c r="BA116" s="524">
        <f t="shared" si="80"/>
        <v>0</v>
      </c>
      <c r="BB116" s="524">
        <f t="shared" si="80"/>
        <v>0</v>
      </c>
      <c r="BC116" s="524">
        <f t="shared" si="80"/>
        <v>0</v>
      </c>
      <c r="BD116" s="524">
        <f t="shared" si="80"/>
        <v>0</v>
      </c>
      <c r="BE116" s="524">
        <f t="shared" si="80"/>
        <v>0</v>
      </c>
      <c r="BF116" s="524">
        <f t="shared" si="80"/>
        <v>0</v>
      </c>
      <c r="BG116" s="524">
        <f t="shared" si="80"/>
        <v>0</v>
      </c>
      <c r="BH116" s="524">
        <f t="shared" si="80"/>
        <v>0</v>
      </c>
      <c r="BI116" s="524">
        <f t="shared" si="80"/>
        <v>0</v>
      </c>
      <c r="BJ116" s="524">
        <f t="shared" si="80"/>
        <v>0</v>
      </c>
      <c r="BK116" s="524">
        <f t="shared" si="81"/>
        <v>0</v>
      </c>
      <c r="BL116" s="524">
        <f t="shared" si="81"/>
        <v>0</v>
      </c>
      <c r="BM116" s="524">
        <f t="shared" si="81"/>
        <v>0</v>
      </c>
      <c r="BN116" s="524">
        <f t="shared" si="81"/>
        <v>0</v>
      </c>
      <c r="BO116" s="524">
        <f t="shared" si="81"/>
        <v>0</v>
      </c>
      <c r="BP116" s="524">
        <f t="shared" si="81"/>
        <v>0</v>
      </c>
      <c r="BQ116" s="524">
        <f t="shared" si="81"/>
        <v>0</v>
      </c>
      <c r="BR116" s="524">
        <f t="shared" si="81"/>
        <v>0</v>
      </c>
      <c r="BS116" s="524">
        <f t="shared" si="81"/>
        <v>0</v>
      </c>
      <c r="BT116" s="524">
        <f t="shared" si="81"/>
        <v>0</v>
      </c>
      <c r="BU116" s="524">
        <f t="shared" si="82"/>
        <v>0</v>
      </c>
      <c r="BV116" s="524">
        <f t="shared" si="82"/>
        <v>0</v>
      </c>
      <c r="BW116" s="524">
        <f t="shared" si="82"/>
        <v>0</v>
      </c>
      <c r="BX116" s="524">
        <f t="shared" si="82"/>
        <v>0</v>
      </c>
      <c r="BY116" s="524">
        <f t="shared" si="82"/>
        <v>0</v>
      </c>
      <c r="BZ116" s="524">
        <f t="shared" si="82"/>
        <v>0</v>
      </c>
    </row>
    <row r="117" spans="2:78" ht="21" hidden="1" customHeight="1" outlineLevel="3">
      <c r="B117" s="367"/>
      <c r="C117" s="370"/>
      <c r="D117" s="374">
        <f t="shared" si="64"/>
        <v>45991</v>
      </c>
      <c r="E117" s="373" cm="1">
        <f t="array" ref="E117">IF($D117&lt;=LatestMonthOfActuals,0,INDEX($AE$27:$BZ$27,0,MATCH($D117,$AE$8:$BZ$8,0)))</f>
        <v>0</v>
      </c>
      <c r="F117" s="359"/>
      <c r="G117" s="408">
        <f t="shared" si="72"/>
        <v>0</v>
      </c>
      <c r="H117" s="408">
        <f t="shared" si="72"/>
        <v>0</v>
      </c>
      <c r="I117" s="408">
        <f t="shared" si="72"/>
        <v>0</v>
      </c>
      <c r="J117" s="408">
        <f t="shared" si="72"/>
        <v>0</v>
      </c>
      <c r="K117" s="408"/>
      <c r="L117" s="408"/>
      <c r="M117" s="408">
        <f t="shared" si="84"/>
        <v>0</v>
      </c>
      <c r="N117" s="408">
        <f t="shared" si="84"/>
        <v>0</v>
      </c>
      <c r="O117" s="408">
        <f t="shared" si="84"/>
        <v>0</v>
      </c>
      <c r="P117" s="408">
        <f t="shared" si="84"/>
        <v>0</v>
      </c>
      <c r="Q117" s="408">
        <f t="shared" si="84"/>
        <v>0</v>
      </c>
      <c r="R117" s="408">
        <f t="shared" si="84"/>
        <v>0</v>
      </c>
      <c r="S117" s="408">
        <f t="shared" si="84"/>
        <v>0</v>
      </c>
      <c r="T117" s="408">
        <f t="shared" si="84"/>
        <v>0</v>
      </c>
      <c r="U117" s="408">
        <f t="shared" si="84"/>
        <v>0</v>
      </c>
      <c r="V117" s="408">
        <f t="shared" si="84"/>
        <v>0</v>
      </c>
      <c r="W117" s="408">
        <f t="shared" si="84"/>
        <v>0</v>
      </c>
      <c r="X117" s="408">
        <f t="shared" si="84"/>
        <v>0</v>
      </c>
      <c r="Y117" s="408">
        <f t="shared" si="84"/>
        <v>0</v>
      </c>
      <c r="Z117" s="408">
        <f t="shared" si="84"/>
        <v>0</v>
      </c>
      <c r="AA117" s="408">
        <f t="shared" si="84"/>
        <v>0</v>
      </c>
      <c r="AB117" s="408">
        <f t="shared" si="84"/>
        <v>0</v>
      </c>
      <c r="AC117" s="524"/>
      <c r="AD117" s="359"/>
      <c r="AE117" s="524">
        <f t="shared" si="78"/>
        <v>0</v>
      </c>
      <c r="AF117" s="524">
        <f t="shared" si="78"/>
        <v>0</v>
      </c>
      <c r="AG117" s="524">
        <f t="shared" si="78"/>
        <v>0</v>
      </c>
      <c r="AH117" s="524">
        <f t="shared" si="78"/>
        <v>0</v>
      </c>
      <c r="AI117" s="524">
        <f t="shared" si="78"/>
        <v>0</v>
      </c>
      <c r="AJ117" s="524">
        <f t="shared" si="78"/>
        <v>0</v>
      </c>
      <c r="AK117" s="524">
        <f t="shared" si="78"/>
        <v>0</v>
      </c>
      <c r="AL117" s="524">
        <f t="shared" si="78"/>
        <v>0</v>
      </c>
      <c r="AM117" s="524">
        <f t="shared" si="78"/>
        <v>0</v>
      </c>
      <c r="AN117" s="524">
        <f t="shared" si="78"/>
        <v>0</v>
      </c>
      <c r="AO117" s="524">
        <f t="shared" si="78"/>
        <v>0</v>
      </c>
      <c r="AP117" s="524">
        <f t="shared" si="59"/>
        <v>0</v>
      </c>
      <c r="AQ117" s="524">
        <f t="shared" si="79"/>
        <v>0</v>
      </c>
      <c r="AR117" s="524">
        <f t="shared" si="79"/>
        <v>0</v>
      </c>
      <c r="AS117" s="524">
        <f t="shared" si="79"/>
        <v>0</v>
      </c>
      <c r="AT117" s="524">
        <f t="shared" si="79"/>
        <v>0</v>
      </c>
      <c r="AU117" s="524">
        <f t="shared" si="79"/>
        <v>0</v>
      </c>
      <c r="AV117" s="524">
        <f t="shared" si="79"/>
        <v>0</v>
      </c>
      <c r="AW117" s="524">
        <f t="shared" si="79"/>
        <v>0</v>
      </c>
      <c r="AX117" s="524">
        <f t="shared" si="79"/>
        <v>0</v>
      </c>
      <c r="AY117" s="524">
        <f t="shared" si="79"/>
        <v>0</v>
      </c>
      <c r="AZ117" s="524">
        <f t="shared" si="79"/>
        <v>0</v>
      </c>
      <c r="BA117" s="524">
        <f t="shared" si="80"/>
        <v>0</v>
      </c>
      <c r="BB117" s="524">
        <f t="shared" si="80"/>
        <v>0</v>
      </c>
      <c r="BC117" s="524">
        <f t="shared" si="80"/>
        <v>0</v>
      </c>
      <c r="BD117" s="524">
        <f t="shared" si="80"/>
        <v>0</v>
      </c>
      <c r="BE117" s="524">
        <f t="shared" si="80"/>
        <v>0</v>
      </c>
      <c r="BF117" s="524">
        <f t="shared" si="80"/>
        <v>0</v>
      </c>
      <c r="BG117" s="524">
        <f t="shared" si="80"/>
        <v>0</v>
      </c>
      <c r="BH117" s="524">
        <f t="shared" si="80"/>
        <v>0</v>
      </c>
      <c r="BI117" s="524">
        <f t="shared" si="80"/>
        <v>0</v>
      </c>
      <c r="BJ117" s="524">
        <f t="shared" si="80"/>
        <v>0</v>
      </c>
      <c r="BK117" s="524">
        <f t="shared" si="81"/>
        <v>0</v>
      </c>
      <c r="BL117" s="524">
        <f t="shared" si="81"/>
        <v>0</v>
      </c>
      <c r="BM117" s="524">
        <f t="shared" si="81"/>
        <v>0</v>
      </c>
      <c r="BN117" s="524">
        <f t="shared" si="81"/>
        <v>0</v>
      </c>
      <c r="BO117" s="524">
        <f t="shared" si="81"/>
        <v>0</v>
      </c>
      <c r="BP117" s="524">
        <f t="shared" si="81"/>
        <v>0</v>
      </c>
      <c r="BQ117" s="524">
        <f t="shared" si="81"/>
        <v>0</v>
      </c>
      <c r="BR117" s="524">
        <f t="shared" si="81"/>
        <v>0</v>
      </c>
      <c r="BS117" s="524">
        <f t="shared" si="81"/>
        <v>0</v>
      </c>
      <c r="BT117" s="524">
        <f t="shared" si="81"/>
        <v>0</v>
      </c>
      <c r="BU117" s="524">
        <f t="shared" si="82"/>
        <v>0</v>
      </c>
      <c r="BV117" s="524">
        <f t="shared" si="82"/>
        <v>0</v>
      </c>
      <c r="BW117" s="524">
        <f t="shared" si="82"/>
        <v>0</v>
      </c>
      <c r="BX117" s="524">
        <f t="shared" si="82"/>
        <v>0</v>
      </c>
      <c r="BY117" s="524">
        <f t="shared" si="82"/>
        <v>0</v>
      </c>
      <c r="BZ117" s="524">
        <f t="shared" si="82"/>
        <v>0</v>
      </c>
    </row>
    <row r="118" spans="2:78" ht="21" hidden="1" customHeight="1" outlineLevel="3">
      <c r="B118" s="367"/>
      <c r="C118" s="370"/>
      <c r="D118" s="374">
        <f t="shared" si="64"/>
        <v>46022</v>
      </c>
      <c r="E118" s="373" cm="1">
        <f t="array" ref="E118">IF($D118&lt;=LatestMonthOfActuals,0,INDEX($AE$27:$BZ$27,0,MATCH($D118,$AE$8:$BZ$8,0)))</f>
        <v>120000</v>
      </c>
      <c r="F118" s="359"/>
      <c r="G118" s="408">
        <f t="shared" si="72"/>
        <v>0</v>
      </c>
      <c r="H118" s="408">
        <f t="shared" si="72"/>
        <v>0</v>
      </c>
      <c r="I118" s="408">
        <f t="shared" si="72"/>
        <v>0</v>
      </c>
      <c r="J118" s="408">
        <f t="shared" si="72"/>
        <v>120000</v>
      </c>
      <c r="K118" s="408"/>
      <c r="L118" s="408"/>
      <c r="M118" s="408">
        <f t="shared" si="84"/>
        <v>0</v>
      </c>
      <c r="N118" s="408">
        <f t="shared" si="84"/>
        <v>0</v>
      </c>
      <c r="O118" s="408">
        <f t="shared" si="84"/>
        <v>0</v>
      </c>
      <c r="P118" s="408">
        <f t="shared" si="84"/>
        <v>0</v>
      </c>
      <c r="Q118" s="408">
        <f t="shared" si="84"/>
        <v>0</v>
      </c>
      <c r="R118" s="408">
        <f t="shared" si="84"/>
        <v>0</v>
      </c>
      <c r="S118" s="408">
        <f t="shared" si="84"/>
        <v>0</v>
      </c>
      <c r="T118" s="408">
        <f t="shared" si="84"/>
        <v>0</v>
      </c>
      <c r="U118" s="408">
        <f t="shared" si="84"/>
        <v>0</v>
      </c>
      <c r="V118" s="408">
        <f t="shared" si="84"/>
        <v>0</v>
      </c>
      <c r="W118" s="408">
        <f t="shared" si="84"/>
        <v>0</v>
      </c>
      <c r="X118" s="408">
        <f t="shared" si="84"/>
        <v>0</v>
      </c>
      <c r="Y118" s="408">
        <f t="shared" si="84"/>
        <v>0</v>
      </c>
      <c r="Z118" s="408">
        <f t="shared" si="84"/>
        <v>0</v>
      </c>
      <c r="AA118" s="408">
        <f t="shared" si="84"/>
        <v>0</v>
      </c>
      <c r="AB118" s="408">
        <f t="shared" si="84"/>
        <v>0</v>
      </c>
      <c r="AC118" s="524"/>
      <c r="AD118" s="359"/>
      <c r="AE118" s="524">
        <f t="shared" si="78"/>
        <v>0</v>
      </c>
      <c r="AF118" s="524">
        <f t="shared" si="78"/>
        <v>0</v>
      </c>
      <c r="AG118" s="524">
        <f t="shared" si="78"/>
        <v>0</v>
      </c>
      <c r="AH118" s="524">
        <f t="shared" si="78"/>
        <v>0</v>
      </c>
      <c r="AI118" s="524">
        <f t="shared" si="78"/>
        <v>0</v>
      </c>
      <c r="AJ118" s="524">
        <f t="shared" si="78"/>
        <v>0</v>
      </c>
      <c r="AK118" s="524">
        <f t="shared" si="78"/>
        <v>0</v>
      </c>
      <c r="AL118" s="524">
        <f t="shared" si="78"/>
        <v>0</v>
      </c>
      <c r="AM118" s="524">
        <f t="shared" si="78"/>
        <v>0</v>
      </c>
      <c r="AN118" s="524">
        <f t="shared" si="78"/>
        <v>0</v>
      </c>
      <c r="AO118" s="524">
        <f t="shared" si="78"/>
        <v>0</v>
      </c>
      <c r="AP118" s="524">
        <f t="shared" si="59"/>
        <v>0</v>
      </c>
      <c r="AQ118" s="524">
        <f t="shared" si="79"/>
        <v>0</v>
      </c>
      <c r="AR118" s="524">
        <f t="shared" si="79"/>
        <v>0</v>
      </c>
      <c r="AS118" s="524">
        <f t="shared" si="79"/>
        <v>0</v>
      </c>
      <c r="AT118" s="524">
        <f t="shared" si="79"/>
        <v>0</v>
      </c>
      <c r="AU118" s="524">
        <f t="shared" si="79"/>
        <v>0</v>
      </c>
      <c r="AV118" s="524">
        <f t="shared" si="79"/>
        <v>0</v>
      </c>
      <c r="AW118" s="524">
        <f t="shared" si="79"/>
        <v>0</v>
      </c>
      <c r="AX118" s="524">
        <f t="shared" si="79"/>
        <v>0</v>
      </c>
      <c r="AY118" s="524">
        <f t="shared" si="79"/>
        <v>0</v>
      </c>
      <c r="AZ118" s="524">
        <f t="shared" si="79"/>
        <v>0</v>
      </c>
      <c r="BA118" s="524">
        <f t="shared" si="80"/>
        <v>0</v>
      </c>
      <c r="BB118" s="524">
        <f t="shared" si="80"/>
        <v>0</v>
      </c>
      <c r="BC118" s="524">
        <f t="shared" si="80"/>
        <v>0</v>
      </c>
      <c r="BD118" s="524">
        <f t="shared" si="80"/>
        <v>0</v>
      </c>
      <c r="BE118" s="524">
        <f t="shared" si="80"/>
        <v>0</v>
      </c>
      <c r="BF118" s="524">
        <f t="shared" si="80"/>
        <v>0</v>
      </c>
      <c r="BG118" s="524">
        <f t="shared" si="80"/>
        <v>0</v>
      </c>
      <c r="BH118" s="524">
        <f t="shared" si="80"/>
        <v>0</v>
      </c>
      <c r="BI118" s="524">
        <f t="shared" si="80"/>
        <v>0</v>
      </c>
      <c r="BJ118" s="524">
        <f t="shared" si="80"/>
        <v>0</v>
      </c>
      <c r="BK118" s="524">
        <f t="shared" si="81"/>
        <v>0</v>
      </c>
      <c r="BL118" s="524">
        <f t="shared" si="81"/>
        <v>0</v>
      </c>
      <c r="BM118" s="524">
        <f t="shared" si="81"/>
        <v>0</v>
      </c>
      <c r="BN118" s="524">
        <f t="shared" si="81"/>
        <v>0</v>
      </c>
      <c r="BO118" s="524">
        <f t="shared" si="81"/>
        <v>60000</v>
      </c>
      <c r="BP118" s="524">
        <f t="shared" si="81"/>
        <v>60000</v>
      </c>
      <c r="BQ118" s="524">
        <f t="shared" si="81"/>
        <v>0</v>
      </c>
      <c r="BR118" s="524">
        <f t="shared" si="81"/>
        <v>0</v>
      </c>
      <c r="BS118" s="524">
        <f t="shared" si="81"/>
        <v>0</v>
      </c>
      <c r="BT118" s="524">
        <f t="shared" si="81"/>
        <v>0</v>
      </c>
      <c r="BU118" s="524">
        <f t="shared" si="82"/>
        <v>0</v>
      </c>
      <c r="BV118" s="524">
        <f t="shared" si="82"/>
        <v>0</v>
      </c>
      <c r="BW118" s="524">
        <f t="shared" si="82"/>
        <v>0</v>
      </c>
      <c r="BX118" s="524">
        <f t="shared" si="82"/>
        <v>0</v>
      </c>
      <c r="BY118" s="524">
        <f t="shared" si="82"/>
        <v>0</v>
      </c>
      <c r="BZ118" s="524">
        <f t="shared" si="82"/>
        <v>0</v>
      </c>
    </row>
    <row r="119" spans="2:78" ht="21" hidden="1" customHeight="1" outlineLevel="3">
      <c r="B119" s="367"/>
      <c r="C119" s="370"/>
      <c r="D119" s="374">
        <f t="shared" si="64"/>
        <v>46053</v>
      </c>
      <c r="E119" s="373" cm="1">
        <f t="array" ref="E119">IF($D119&lt;=LatestMonthOfActuals,0,INDEX($AE$27:$BZ$27,0,MATCH($D119,$AE$8:$BZ$8,0)))</f>
        <v>0</v>
      </c>
      <c r="F119" s="359"/>
      <c r="G119" s="408">
        <f t="shared" si="72"/>
        <v>0</v>
      </c>
      <c r="H119" s="408">
        <f t="shared" si="72"/>
        <v>0</v>
      </c>
      <c r="I119" s="408">
        <f t="shared" si="72"/>
        <v>0</v>
      </c>
      <c r="J119" s="408">
        <f t="shared" si="72"/>
        <v>0</v>
      </c>
      <c r="K119" s="408"/>
      <c r="L119" s="408"/>
      <c r="M119" s="408">
        <f t="shared" si="84"/>
        <v>0</v>
      </c>
      <c r="N119" s="408">
        <f t="shared" si="84"/>
        <v>0</v>
      </c>
      <c r="O119" s="408">
        <f t="shared" si="84"/>
        <v>0</v>
      </c>
      <c r="P119" s="408">
        <f t="shared" si="84"/>
        <v>0</v>
      </c>
      <c r="Q119" s="408">
        <f t="shared" si="84"/>
        <v>0</v>
      </c>
      <c r="R119" s="408">
        <f t="shared" si="84"/>
        <v>0</v>
      </c>
      <c r="S119" s="408">
        <f t="shared" si="84"/>
        <v>0</v>
      </c>
      <c r="T119" s="408">
        <f t="shared" si="84"/>
        <v>0</v>
      </c>
      <c r="U119" s="408">
        <f t="shared" si="84"/>
        <v>0</v>
      </c>
      <c r="V119" s="408">
        <f t="shared" si="84"/>
        <v>0</v>
      </c>
      <c r="W119" s="408">
        <f t="shared" si="84"/>
        <v>0</v>
      </c>
      <c r="X119" s="408">
        <f t="shared" si="84"/>
        <v>0</v>
      </c>
      <c r="Y119" s="408">
        <f t="shared" si="84"/>
        <v>0</v>
      </c>
      <c r="Z119" s="408">
        <f t="shared" si="84"/>
        <v>0</v>
      </c>
      <c r="AA119" s="408">
        <f t="shared" si="84"/>
        <v>0</v>
      </c>
      <c r="AB119" s="408">
        <f t="shared" si="84"/>
        <v>0</v>
      </c>
      <c r="AC119" s="524"/>
      <c r="AD119" s="359"/>
      <c r="AE119" s="524">
        <f t="shared" si="78"/>
        <v>0</v>
      </c>
      <c r="AF119" s="524">
        <f t="shared" si="78"/>
        <v>0</v>
      </c>
      <c r="AG119" s="524">
        <f t="shared" si="78"/>
        <v>0</v>
      </c>
      <c r="AH119" s="524">
        <f t="shared" si="78"/>
        <v>0</v>
      </c>
      <c r="AI119" s="524">
        <f t="shared" si="78"/>
        <v>0</v>
      </c>
      <c r="AJ119" s="524">
        <f t="shared" si="78"/>
        <v>0</v>
      </c>
      <c r="AK119" s="524">
        <f t="shared" si="78"/>
        <v>0</v>
      </c>
      <c r="AL119" s="524">
        <f t="shared" si="78"/>
        <v>0</v>
      </c>
      <c r="AM119" s="524">
        <f t="shared" si="78"/>
        <v>0</v>
      </c>
      <c r="AN119" s="524">
        <f t="shared" si="78"/>
        <v>0</v>
      </c>
      <c r="AO119" s="524">
        <f t="shared" si="78"/>
        <v>0</v>
      </c>
      <c r="AP119" s="524">
        <f t="shared" si="59"/>
        <v>0</v>
      </c>
      <c r="AQ119" s="524">
        <f t="shared" si="79"/>
        <v>0</v>
      </c>
      <c r="AR119" s="524">
        <f t="shared" si="79"/>
        <v>0</v>
      </c>
      <c r="AS119" s="524">
        <f t="shared" si="79"/>
        <v>0</v>
      </c>
      <c r="AT119" s="524">
        <f t="shared" si="79"/>
        <v>0</v>
      </c>
      <c r="AU119" s="524">
        <f t="shared" si="79"/>
        <v>0</v>
      </c>
      <c r="AV119" s="524">
        <f t="shared" si="79"/>
        <v>0</v>
      </c>
      <c r="AW119" s="524">
        <f t="shared" si="79"/>
        <v>0</v>
      </c>
      <c r="AX119" s="524">
        <f t="shared" si="79"/>
        <v>0</v>
      </c>
      <c r="AY119" s="524">
        <f t="shared" si="79"/>
        <v>0</v>
      </c>
      <c r="AZ119" s="524">
        <f t="shared" si="79"/>
        <v>0</v>
      </c>
      <c r="BA119" s="524">
        <f t="shared" si="80"/>
        <v>0</v>
      </c>
      <c r="BB119" s="524">
        <f t="shared" si="80"/>
        <v>0</v>
      </c>
      <c r="BC119" s="524">
        <f t="shared" si="80"/>
        <v>0</v>
      </c>
      <c r="BD119" s="524">
        <f t="shared" si="80"/>
        <v>0</v>
      </c>
      <c r="BE119" s="524">
        <f t="shared" si="80"/>
        <v>0</v>
      </c>
      <c r="BF119" s="524">
        <f t="shared" si="80"/>
        <v>0</v>
      </c>
      <c r="BG119" s="524">
        <f t="shared" si="80"/>
        <v>0</v>
      </c>
      <c r="BH119" s="524">
        <f t="shared" si="80"/>
        <v>0</v>
      </c>
      <c r="BI119" s="524">
        <f t="shared" si="80"/>
        <v>0</v>
      </c>
      <c r="BJ119" s="524">
        <f t="shared" si="80"/>
        <v>0</v>
      </c>
      <c r="BK119" s="524">
        <f t="shared" si="81"/>
        <v>0</v>
      </c>
      <c r="BL119" s="524">
        <f t="shared" si="81"/>
        <v>0</v>
      </c>
      <c r="BM119" s="524">
        <f t="shared" si="81"/>
        <v>0</v>
      </c>
      <c r="BN119" s="524">
        <f t="shared" si="81"/>
        <v>0</v>
      </c>
      <c r="BO119" s="524">
        <f t="shared" si="81"/>
        <v>0</v>
      </c>
      <c r="BP119" s="524">
        <f t="shared" si="81"/>
        <v>0</v>
      </c>
      <c r="BQ119" s="524">
        <f t="shared" si="81"/>
        <v>0</v>
      </c>
      <c r="BR119" s="524">
        <f t="shared" si="81"/>
        <v>0</v>
      </c>
      <c r="BS119" s="524">
        <f t="shared" si="81"/>
        <v>0</v>
      </c>
      <c r="BT119" s="524">
        <f t="shared" si="81"/>
        <v>0</v>
      </c>
      <c r="BU119" s="524">
        <f t="shared" si="82"/>
        <v>0</v>
      </c>
      <c r="BV119" s="524">
        <f t="shared" si="82"/>
        <v>0</v>
      </c>
      <c r="BW119" s="524">
        <f t="shared" si="82"/>
        <v>0</v>
      </c>
      <c r="BX119" s="524">
        <f t="shared" si="82"/>
        <v>0</v>
      </c>
      <c r="BY119" s="524">
        <f t="shared" si="82"/>
        <v>0</v>
      </c>
      <c r="BZ119" s="524">
        <f t="shared" si="82"/>
        <v>0</v>
      </c>
    </row>
    <row r="120" spans="2:78" ht="21" hidden="1" customHeight="1" outlineLevel="3">
      <c r="B120" s="367"/>
      <c r="C120" s="370"/>
      <c r="D120" s="374">
        <f t="shared" si="64"/>
        <v>46081</v>
      </c>
      <c r="E120" s="373" cm="1">
        <f t="array" ref="E120">IF($D120&lt;=LatestMonthOfActuals,0,INDEX($AE$27:$BZ$27,0,MATCH($D120,$AE$8:$BZ$8,0)))</f>
        <v>0</v>
      </c>
      <c r="F120" s="359"/>
      <c r="G120" s="408">
        <f t="shared" si="72"/>
        <v>0</v>
      </c>
      <c r="H120" s="408">
        <f t="shared" si="72"/>
        <v>0</v>
      </c>
      <c r="I120" s="408">
        <f t="shared" si="72"/>
        <v>0</v>
      </c>
      <c r="J120" s="408">
        <f t="shared" si="72"/>
        <v>0</v>
      </c>
      <c r="K120" s="408"/>
      <c r="L120" s="408"/>
      <c r="M120" s="408">
        <f t="shared" si="84"/>
        <v>0</v>
      </c>
      <c r="N120" s="408">
        <f t="shared" si="84"/>
        <v>0</v>
      </c>
      <c r="O120" s="408">
        <f t="shared" si="84"/>
        <v>0</v>
      </c>
      <c r="P120" s="408">
        <f t="shared" si="84"/>
        <v>0</v>
      </c>
      <c r="Q120" s="408">
        <f t="shared" si="84"/>
        <v>0</v>
      </c>
      <c r="R120" s="408">
        <f t="shared" si="84"/>
        <v>0</v>
      </c>
      <c r="S120" s="408">
        <f t="shared" si="84"/>
        <v>0</v>
      </c>
      <c r="T120" s="408">
        <f t="shared" si="84"/>
        <v>0</v>
      </c>
      <c r="U120" s="408">
        <f t="shared" si="84"/>
        <v>0</v>
      </c>
      <c r="V120" s="408">
        <f t="shared" si="84"/>
        <v>0</v>
      </c>
      <c r="W120" s="408">
        <f t="shared" si="84"/>
        <v>0</v>
      </c>
      <c r="X120" s="408">
        <f t="shared" si="84"/>
        <v>0</v>
      </c>
      <c r="Y120" s="408">
        <f t="shared" si="84"/>
        <v>0</v>
      </c>
      <c r="Z120" s="408">
        <f t="shared" si="84"/>
        <v>0</v>
      </c>
      <c r="AA120" s="408">
        <f t="shared" si="84"/>
        <v>0</v>
      </c>
      <c r="AB120" s="408">
        <f t="shared" si="84"/>
        <v>0</v>
      </c>
      <c r="AC120" s="524"/>
      <c r="AD120" s="359"/>
      <c r="AE120" s="524">
        <f t="shared" si="78"/>
        <v>0</v>
      </c>
      <c r="AF120" s="524">
        <f t="shared" si="78"/>
        <v>0</v>
      </c>
      <c r="AG120" s="524">
        <f t="shared" si="78"/>
        <v>0</v>
      </c>
      <c r="AH120" s="524">
        <f t="shared" si="78"/>
        <v>0</v>
      </c>
      <c r="AI120" s="524">
        <f t="shared" si="78"/>
        <v>0</v>
      </c>
      <c r="AJ120" s="524">
        <f t="shared" si="78"/>
        <v>0</v>
      </c>
      <c r="AK120" s="524">
        <f t="shared" si="78"/>
        <v>0</v>
      </c>
      <c r="AL120" s="524">
        <f t="shared" si="78"/>
        <v>0</v>
      </c>
      <c r="AM120" s="524">
        <f t="shared" si="78"/>
        <v>0</v>
      </c>
      <c r="AN120" s="524">
        <f t="shared" si="78"/>
        <v>0</v>
      </c>
      <c r="AO120" s="524">
        <f t="shared" si="78"/>
        <v>0</v>
      </c>
      <c r="AP120" s="524">
        <f t="shared" si="59"/>
        <v>0</v>
      </c>
      <c r="AQ120" s="524">
        <f t="shared" si="79"/>
        <v>0</v>
      </c>
      <c r="AR120" s="524">
        <f t="shared" si="79"/>
        <v>0</v>
      </c>
      <c r="AS120" s="524">
        <f t="shared" si="79"/>
        <v>0</v>
      </c>
      <c r="AT120" s="524">
        <f t="shared" si="79"/>
        <v>0</v>
      </c>
      <c r="AU120" s="524">
        <f t="shared" si="79"/>
        <v>0</v>
      </c>
      <c r="AV120" s="524">
        <f t="shared" si="79"/>
        <v>0</v>
      </c>
      <c r="AW120" s="524">
        <f t="shared" si="79"/>
        <v>0</v>
      </c>
      <c r="AX120" s="524">
        <f t="shared" si="79"/>
        <v>0</v>
      </c>
      <c r="AY120" s="524">
        <f t="shared" si="79"/>
        <v>0</v>
      </c>
      <c r="AZ120" s="524">
        <f t="shared" si="79"/>
        <v>0</v>
      </c>
      <c r="BA120" s="524">
        <f t="shared" si="80"/>
        <v>0</v>
      </c>
      <c r="BB120" s="524">
        <f t="shared" si="80"/>
        <v>0</v>
      </c>
      <c r="BC120" s="524">
        <f t="shared" si="80"/>
        <v>0</v>
      </c>
      <c r="BD120" s="524">
        <f t="shared" si="80"/>
        <v>0</v>
      </c>
      <c r="BE120" s="524">
        <f t="shared" si="80"/>
        <v>0</v>
      </c>
      <c r="BF120" s="524">
        <f t="shared" si="80"/>
        <v>0</v>
      </c>
      <c r="BG120" s="524">
        <f t="shared" si="80"/>
        <v>0</v>
      </c>
      <c r="BH120" s="524">
        <f t="shared" si="80"/>
        <v>0</v>
      </c>
      <c r="BI120" s="524">
        <f t="shared" si="80"/>
        <v>0</v>
      </c>
      <c r="BJ120" s="524">
        <f t="shared" si="80"/>
        <v>0</v>
      </c>
      <c r="BK120" s="524">
        <f t="shared" si="81"/>
        <v>0</v>
      </c>
      <c r="BL120" s="524">
        <f t="shared" si="81"/>
        <v>0</v>
      </c>
      <c r="BM120" s="524">
        <f t="shared" si="81"/>
        <v>0</v>
      </c>
      <c r="BN120" s="524">
        <f t="shared" si="81"/>
        <v>0</v>
      </c>
      <c r="BO120" s="524">
        <f t="shared" si="81"/>
        <v>0</v>
      </c>
      <c r="BP120" s="524">
        <f t="shared" si="81"/>
        <v>0</v>
      </c>
      <c r="BQ120" s="524">
        <f t="shared" si="81"/>
        <v>0</v>
      </c>
      <c r="BR120" s="524">
        <f t="shared" si="81"/>
        <v>0</v>
      </c>
      <c r="BS120" s="524">
        <f t="shared" si="81"/>
        <v>0</v>
      </c>
      <c r="BT120" s="524">
        <f t="shared" si="81"/>
        <v>0</v>
      </c>
      <c r="BU120" s="524">
        <f t="shared" si="82"/>
        <v>0</v>
      </c>
      <c r="BV120" s="524">
        <f t="shared" si="82"/>
        <v>0</v>
      </c>
      <c r="BW120" s="524">
        <f t="shared" si="82"/>
        <v>0</v>
      </c>
      <c r="BX120" s="524">
        <f t="shared" si="82"/>
        <v>0</v>
      </c>
      <c r="BY120" s="524">
        <f t="shared" si="82"/>
        <v>0</v>
      </c>
      <c r="BZ120" s="524">
        <f t="shared" si="82"/>
        <v>0</v>
      </c>
    </row>
    <row r="121" spans="2:78" ht="21" hidden="1" customHeight="1" outlineLevel="3">
      <c r="B121" s="367"/>
      <c r="C121" s="370"/>
      <c r="D121" s="374">
        <f t="shared" si="64"/>
        <v>46112</v>
      </c>
      <c r="E121" s="373" cm="1">
        <f t="array" ref="E121">IF($D121&lt;=LatestMonthOfActuals,0,INDEX($AE$27:$BZ$27,0,MATCH($D121,$AE$8:$BZ$8,0)))</f>
        <v>0</v>
      </c>
      <c r="F121" s="359"/>
      <c r="G121" s="408">
        <f t="shared" si="72"/>
        <v>0</v>
      </c>
      <c r="H121" s="408">
        <f t="shared" si="72"/>
        <v>0</v>
      </c>
      <c r="I121" s="408">
        <f t="shared" si="72"/>
        <v>0</v>
      </c>
      <c r="J121" s="408">
        <f t="shared" si="72"/>
        <v>0</v>
      </c>
      <c r="K121" s="408"/>
      <c r="L121" s="408"/>
      <c r="M121" s="408">
        <f t="shared" si="84"/>
        <v>0</v>
      </c>
      <c r="N121" s="408">
        <f t="shared" si="84"/>
        <v>0</v>
      </c>
      <c r="O121" s="408">
        <f t="shared" si="84"/>
        <v>0</v>
      </c>
      <c r="P121" s="408">
        <f t="shared" si="84"/>
        <v>0</v>
      </c>
      <c r="Q121" s="408">
        <f t="shared" si="84"/>
        <v>0</v>
      </c>
      <c r="R121" s="408">
        <f t="shared" si="84"/>
        <v>0</v>
      </c>
      <c r="S121" s="408">
        <f t="shared" si="84"/>
        <v>0</v>
      </c>
      <c r="T121" s="408">
        <f t="shared" si="84"/>
        <v>0</v>
      </c>
      <c r="U121" s="408">
        <f t="shared" si="84"/>
        <v>0</v>
      </c>
      <c r="V121" s="408">
        <f t="shared" si="84"/>
        <v>0</v>
      </c>
      <c r="W121" s="408">
        <f t="shared" si="84"/>
        <v>0</v>
      </c>
      <c r="X121" s="408">
        <f t="shared" si="84"/>
        <v>0</v>
      </c>
      <c r="Y121" s="408">
        <f t="shared" si="84"/>
        <v>0</v>
      </c>
      <c r="Z121" s="408">
        <f t="shared" si="84"/>
        <v>0</v>
      </c>
      <c r="AA121" s="408">
        <f t="shared" si="84"/>
        <v>0</v>
      </c>
      <c r="AB121" s="408">
        <f t="shared" si="84"/>
        <v>0</v>
      </c>
      <c r="AC121" s="524"/>
      <c r="AD121" s="359"/>
      <c r="AE121" s="524">
        <f t="shared" si="78"/>
        <v>0</v>
      </c>
      <c r="AF121" s="524">
        <f t="shared" si="78"/>
        <v>0</v>
      </c>
      <c r="AG121" s="524">
        <f t="shared" si="78"/>
        <v>0</v>
      </c>
      <c r="AH121" s="524">
        <f t="shared" si="78"/>
        <v>0</v>
      </c>
      <c r="AI121" s="524">
        <f t="shared" si="78"/>
        <v>0</v>
      </c>
      <c r="AJ121" s="524">
        <f t="shared" si="78"/>
        <v>0</v>
      </c>
      <c r="AK121" s="524">
        <f t="shared" si="78"/>
        <v>0</v>
      </c>
      <c r="AL121" s="524">
        <f t="shared" si="78"/>
        <v>0</v>
      </c>
      <c r="AM121" s="524">
        <f t="shared" si="78"/>
        <v>0</v>
      </c>
      <c r="AN121" s="524">
        <f t="shared" si="78"/>
        <v>0</v>
      </c>
      <c r="AO121" s="524">
        <f t="shared" si="78"/>
        <v>0</v>
      </c>
      <c r="AP121" s="524">
        <f t="shared" si="59"/>
        <v>0</v>
      </c>
      <c r="AQ121" s="524">
        <f t="shared" si="79"/>
        <v>0</v>
      </c>
      <c r="AR121" s="524">
        <f t="shared" si="79"/>
        <v>0</v>
      </c>
      <c r="AS121" s="524">
        <f t="shared" si="79"/>
        <v>0</v>
      </c>
      <c r="AT121" s="524">
        <f t="shared" si="79"/>
        <v>0</v>
      </c>
      <c r="AU121" s="524">
        <f t="shared" si="79"/>
        <v>0</v>
      </c>
      <c r="AV121" s="524">
        <f t="shared" si="79"/>
        <v>0</v>
      </c>
      <c r="AW121" s="524">
        <f t="shared" si="79"/>
        <v>0</v>
      </c>
      <c r="AX121" s="524">
        <f t="shared" si="79"/>
        <v>0</v>
      </c>
      <c r="AY121" s="524">
        <f t="shared" si="79"/>
        <v>0</v>
      </c>
      <c r="AZ121" s="524">
        <f t="shared" si="79"/>
        <v>0</v>
      </c>
      <c r="BA121" s="524">
        <f t="shared" si="80"/>
        <v>0</v>
      </c>
      <c r="BB121" s="524">
        <f t="shared" si="80"/>
        <v>0</v>
      </c>
      <c r="BC121" s="524">
        <f t="shared" si="80"/>
        <v>0</v>
      </c>
      <c r="BD121" s="524">
        <f t="shared" si="80"/>
        <v>0</v>
      </c>
      <c r="BE121" s="524">
        <f t="shared" si="80"/>
        <v>0</v>
      </c>
      <c r="BF121" s="524">
        <f t="shared" si="80"/>
        <v>0</v>
      </c>
      <c r="BG121" s="524">
        <f t="shared" si="80"/>
        <v>0</v>
      </c>
      <c r="BH121" s="524">
        <f t="shared" si="80"/>
        <v>0</v>
      </c>
      <c r="BI121" s="524">
        <f t="shared" si="80"/>
        <v>0</v>
      </c>
      <c r="BJ121" s="524">
        <f t="shared" si="80"/>
        <v>0</v>
      </c>
      <c r="BK121" s="524">
        <f t="shared" si="81"/>
        <v>0</v>
      </c>
      <c r="BL121" s="524">
        <f t="shared" si="81"/>
        <v>0</v>
      </c>
      <c r="BM121" s="524">
        <f t="shared" si="81"/>
        <v>0</v>
      </c>
      <c r="BN121" s="524">
        <f t="shared" si="81"/>
        <v>0</v>
      </c>
      <c r="BO121" s="524">
        <f t="shared" si="81"/>
        <v>0</v>
      </c>
      <c r="BP121" s="524">
        <f t="shared" si="81"/>
        <v>0</v>
      </c>
      <c r="BQ121" s="524">
        <f t="shared" si="81"/>
        <v>0</v>
      </c>
      <c r="BR121" s="524">
        <f t="shared" si="81"/>
        <v>0</v>
      </c>
      <c r="BS121" s="524">
        <f t="shared" si="81"/>
        <v>0</v>
      </c>
      <c r="BT121" s="524">
        <f t="shared" si="81"/>
        <v>0</v>
      </c>
      <c r="BU121" s="524">
        <f t="shared" si="82"/>
        <v>0</v>
      </c>
      <c r="BV121" s="524">
        <f t="shared" si="82"/>
        <v>0</v>
      </c>
      <c r="BW121" s="524">
        <f t="shared" si="82"/>
        <v>0</v>
      </c>
      <c r="BX121" s="524">
        <f t="shared" si="82"/>
        <v>0</v>
      </c>
      <c r="BY121" s="524">
        <f t="shared" si="82"/>
        <v>0</v>
      </c>
      <c r="BZ121" s="524">
        <f t="shared" si="82"/>
        <v>0</v>
      </c>
    </row>
    <row r="122" spans="2:78" ht="21" hidden="1" customHeight="1" outlineLevel="3">
      <c r="B122" s="367"/>
      <c r="C122" s="370"/>
      <c r="D122" s="374">
        <f t="shared" si="64"/>
        <v>46142</v>
      </c>
      <c r="E122" s="373" cm="1">
        <f t="array" ref="E122">IF($D122&lt;=LatestMonthOfActuals,0,INDEX($AE$27:$BZ$27,0,MATCH($D122,$AE$8:$BZ$8,0)))</f>
        <v>0</v>
      </c>
      <c r="F122" s="359"/>
      <c r="G122" s="408">
        <f t="shared" si="72"/>
        <v>0</v>
      </c>
      <c r="H122" s="408">
        <f t="shared" si="72"/>
        <v>0</v>
      </c>
      <c r="I122" s="408">
        <f t="shared" si="72"/>
        <v>0</v>
      </c>
      <c r="J122" s="408">
        <f t="shared" si="72"/>
        <v>0</v>
      </c>
      <c r="K122" s="408"/>
      <c r="L122" s="408"/>
      <c r="M122" s="408">
        <f t="shared" si="84"/>
        <v>0</v>
      </c>
      <c r="N122" s="408">
        <f t="shared" si="84"/>
        <v>0</v>
      </c>
      <c r="O122" s="408">
        <f t="shared" si="84"/>
        <v>0</v>
      </c>
      <c r="P122" s="408">
        <f t="shared" si="84"/>
        <v>0</v>
      </c>
      <c r="Q122" s="408">
        <f t="shared" si="84"/>
        <v>0</v>
      </c>
      <c r="R122" s="408">
        <f t="shared" si="84"/>
        <v>0</v>
      </c>
      <c r="S122" s="408">
        <f t="shared" si="84"/>
        <v>0</v>
      </c>
      <c r="T122" s="408">
        <f t="shared" si="84"/>
        <v>0</v>
      </c>
      <c r="U122" s="408">
        <f t="shared" si="84"/>
        <v>0</v>
      </c>
      <c r="V122" s="408">
        <f t="shared" si="84"/>
        <v>0</v>
      </c>
      <c r="W122" s="408">
        <f t="shared" si="84"/>
        <v>0</v>
      </c>
      <c r="X122" s="408">
        <f t="shared" si="84"/>
        <v>0</v>
      </c>
      <c r="Y122" s="408">
        <f t="shared" si="84"/>
        <v>0</v>
      </c>
      <c r="Z122" s="408">
        <f t="shared" si="84"/>
        <v>0</v>
      </c>
      <c r="AA122" s="408">
        <f t="shared" si="84"/>
        <v>0</v>
      </c>
      <c r="AB122" s="408">
        <f t="shared" si="84"/>
        <v>0</v>
      </c>
      <c r="AC122" s="524"/>
      <c r="AD122" s="359"/>
      <c r="AE122" s="524">
        <f t="shared" si="78"/>
        <v>0</v>
      </c>
      <c r="AF122" s="524">
        <f t="shared" si="78"/>
        <v>0</v>
      </c>
      <c r="AG122" s="524">
        <f t="shared" si="78"/>
        <v>0</v>
      </c>
      <c r="AH122" s="524">
        <f t="shared" si="78"/>
        <v>0</v>
      </c>
      <c r="AI122" s="524">
        <f t="shared" si="78"/>
        <v>0</v>
      </c>
      <c r="AJ122" s="524">
        <f t="shared" si="78"/>
        <v>0</v>
      </c>
      <c r="AK122" s="524">
        <f t="shared" si="78"/>
        <v>0</v>
      </c>
      <c r="AL122" s="524">
        <f t="shared" si="78"/>
        <v>0</v>
      </c>
      <c r="AM122" s="524">
        <f t="shared" si="78"/>
        <v>0</v>
      </c>
      <c r="AN122" s="524">
        <f t="shared" si="78"/>
        <v>0</v>
      </c>
      <c r="AO122" s="524">
        <f t="shared" si="78"/>
        <v>0</v>
      </c>
      <c r="AP122" s="524">
        <f t="shared" si="59"/>
        <v>0</v>
      </c>
      <c r="AQ122" s="524">
        <f t="shared" si="79"/>
        <v>0</v>
      </c>
      <c r="AR122" s="524">
        <f t="shared" si="79"/>
        <v>0</v>
      </c>
      <c r="AS122" s="524">
        <f t="shared" si="79"/>
        <v>0</v>
      </c>
      <c r="AT122" s="524">
        <f t="shared" si="79"/>
        <v>0</v>
      </c>
      <c r="AU122" s="524">
        <f t="shared" si="79"/>
        <v>0</v>
      </c>
      <c r="AV122" s="524">
        <f t="shared" si="79"/>
        <v>0</v>
      </c>
      <c r="AW122" s="524">
        <f t="shared" si="79"/>
        <v>0</v>
      </c>
      <c r="AX122" s="524">
        <f t="shared" si="79"/>
        <v>0</v>
      </c>
      <c r="AY122" s="524">
        <f t="shared" si="79"/>
        <v>0</v>
      </c>
      <c r="AZ122" s="524">
        <f t="shared" si="79"/>
        <v>0</v>
      </c>
      <c r="BA122" s="524">
        <f t="shared" si="80"/>
        <v>0</v>
      </c>
      <c r="BB122" s="524">
        <f t="shared" si="80"/>
        <v>0</v>
      </c>
      <c r="BC122" s="524">
        <f t="shared" si="80"/>
        <v>0</v>
      </c>
      <c r="BD122" s="524">
        <f t="shared" si="80"/>
        <v>0</v>
      </c>
      <c r="BE122" s="524">
        <f t="shared" si="80"/>
        <v>0</v>
      </c>
      <c r="BF122" s="524">
        <f t="shared" si="80"/>
        <v>0</v>
      </c>
      <c r="BG122" s="524">
        <f t="shared" si="80"/>
        <v>0</v>
      </c>
      <c r="BH122" s="524">
        <f t="shared" si="80"/>
        <v>0</v>
      </c>
      <c r="BI122" s="524">
        <f t="shared" si="80"/>
        <v>0</v>
      </c>
      <c r="BJ122" s="524">
        <f t="shared" si="80"/>
        <v>0</v>
      </c>
      <c r="BK122" s="524">
        <f t="shared" si="81"/>
        <v>0</v>
      </c>
      <c r="BL122" s="524">
        <f t="shared" si="81"/>
        <v>0</v>
      </c>
      <c r="BM122" s="524">
        <f t="shared" si="81"/>
        <v>0</v>
      </c>
      <c r="BN122" s="524">
        <f t="shared" si="81"/>
        <v>0</v>
      </c>
      <c r="BO122" s="524">
        <f t="shared" si="81"/>
        <v>0</v>
      </c>
      <c r="BP122" s="524">
        <f t="shared" si="81"/>
        <v>0</v>
      </c>
      <c r="BQ122" s="524">
        <f t="shared" si="81"/>
        <v>0</v>
      </c>
      <c r="BR122" s="524">
        <f t="shared" si="81"/>
        <v>0</v>
      </c>
      <c r="BS122" s="524">
        <f t="shared" si="81"/>
        <v>0</v>
      </c>
      <c r="BT122" s="524">
        <f t="shared" si="81"/>
        <v>0</v>
      </c>
      <c r="BU122" s="524">
        <f t="shared" si="82"/>
        <v>0</v>
      </c>
      <c r="BV122" s="524">
        <f t="shared" si="82"/>
        <v>0</v>
      </c>
      <c r="BW122" s="524">
        <f t="shared" si="82"/>
        <v>0</v>
      </c>
      <c r="BX122" s="524">
        <f t="shared" si="82"/>
        <v>0</v>
      </c>
      <c r="BY122" s="524">
        <f t="shared" si="82"/>
        <v>0</v>
      </c>
      <c r="BZ122" s="524">
        <f t="shared" si="82"/>
        <v>0</v>
      </c>
    </row>
    <row r="123" spans="2:78" ht="21" hidden="1" customHeight="1" outlineLevel="3">
      <c r="B123" s="367"/>
      <c r="C123" s="370"/>
      <c r="D123" s="374">
        <f t="shared" si="64"/>
        <v>46173</v>
      </c>
      <c r="E123" s="373" cm="1">
        <f t="array" ref="E123">IF($D123&lt;=LatestMonthOfActuals,0,INDEX($AE$27:$BZ$27,0,MATCH($D123,$AE$8:$BZ$8,0)))</f>
        <v>0</v>
      </c>
      <c r="F123" s="359"/>
      <c r="G123" s="408">
        <f t="shared" ref="G123:J130" si="85">SUMIFS($AE123:$BZ123,$AE$4:$BZ$4,"&gt;="&amp;G$4,$AE$5:$BZ$5,"&lt;="&amp;G$5)</f>
        <v>0</v>
      </c>
      <c r="H123" s="408">
        <f t="shared" si="85"/>
        <v>0</v>
      </c>
      <c r="I123" s="408">
        <f t="shared" si="85"/>
        <v>0</v>
      </c>
      <c r="J123" s="408">
        <f t="shared" si="85"/>
        <v>0</v>
      </c>
      <c r="K123" s="408"/>
      <c r="L123" s="408"/>
      <c r="M123" s="408">
        <f t="shared" si="84"/>
        <v>0</v>
      </c>
      <c r="N123" s="408">
        <f t="shared" si="84"/>
        <v>0</v>
      </c>
      <c r="O123" s="408">
        <f t="shared" si="84"/>
        <v>0</v>
      </c>
      <c r="P123" s="408">
        <f t="shared" si="84"/>
        <v>0</v>
      </c>
      <c r="Q123" s="408">
        <f t="shared" si="84"/>
        <v>0</v>
      </c>
      <c r="R123" s="408">
        <f t="shared" si="84"/>
        <v>0</v>
      </c>
      <c r="S123" s="408">
        <f t="shared" si="84"/>
        <v>0</v>
      </c>
      <c r="T123" s="408">
        <f t="shared" si="84"/>
        <v>0</v>
      </c>
      <c r="U123" s="408">
        <f t="shared" si="84"/>
        <v>0</v>
      </c>
      <c r="V123" s="408">
        <f t="shared" si="84"/>
        <v>0</v>
      </c>
      <c r="W123" s="408">
        <f t="shared" si="84"/>
        <v>0</v>
      </c>
      <c r="X123" s="408">
        <f t="shared" si="84"/>
        <v>0</v>
      </c>
      <c r="Y123" s="408">
        <f t="shared" si="84"/>
        <v>0</v>
      </c>
      <c r="Z123" s="408">
        <f t="shared" si="84"/>
        <v>0</v>
      </c>
      <c r="AA123" s="408">
        <f t="shared" si="84"/>
        <v>0</v>
      </c>
      <c r="AB123" s="408">
        <f t="shared" si="84"/>
        <v>0</v>
      </c>
      <c r="AC123" s="524"/>
      <c r="AD123" s="359"/>
      <c r="AE123" s="524">
        <f t="shared" ref="AE123:AO130" si="86">IFERROR(IF(AE$8&gt;=$D123,$E123*(INDEX($E$18:$E$22,(MATCH(MATCH(AE$8,$D$83:$D$130,0)-MATCH($D123,$D$83:$D$130,0),$D$18:$D$22,0)))),0),0)</f>
        <v>0</v>
      </c>
      <c r="AF123" s="524">
        <f t="shared" si="86"/>
        <v>0</v>
      </c>
      <c r="AG123" s="524">
        <f t="shared" si="86"/>
        <v>0</v>
      </c>
      <c r="AH123" s="524">
        <f t="shared" si="86"/>
        <v>0</v>
      </c>
      <c r="AI123" s="524">
        <f t="shared" si="86"/>
        <v>0</v>
      </c>
      <c r="AJ123" s="524">
        <f t="shared" si="86"/>
        <v>0</v>
      </c>
      <c r="AK123" s="524">
        <f t="shared" si="86"/>
        <v>0</v>
      </c>
      <c r="AL123" s="524">
        <f t="shared" si="86"/>
        <v>0</v>
      </c>
      <c r="AM123" s="524">
        <f t="shared" si="86"/>
        <v>0</v>
      </c>
      <c r="AN123" s="524">
        <f t="shared" si="86"/>
        <v>0</v>
      </c>
      <c r="AO123" s="524">
        <f t="shared" si="86"/>
        <v>0</v>
      </c>
      <c r="AP123" s="524">
        <f t="shared" si="59"/>
        <v>0</v>
      </c>
      <c r="AQ123" s="524">
        <f t="shared" ref="AQ123:AZ130" si="87">IFERROR(IF(AQ$8&gt;=$D123,$E123*(INDEX($E$18:$E$22,(MATCH(MATCH(AQ$8,$D$83:$D$130,0)-MATCH($D123,$D$83:$D$130,0),$D$18:$D$22,0)))),0),0)</f>
        <v>0</v>
      </c>
      <c r="AR123" s="524">
        <f t="shared" si="87"/>
        <v>0</v>
      </c>
      <c r="AS123" s="524">
        <f t="shared" si="87"/>
        <v>0</v>
      </c>
      <c r="AT123" s="524">
        <f t="shared" si="87"/>
        <v>0</v>
      </c>
      <c r="AU123" s="524">
        <f t="shared" si="87"/>
        <v>0</v>
      </c>
      <c r="AV123" s="524">
        <f t="shared" si="87"/>
        <v>0</v>
      </c>
      <c r="AW123" s="524">
        <f t="shared" si="87"/>
        <v>0</v>
      </c>
      <c r="AX123" s="524">
        <f t="shared" si="87"/>
        <v>0</v>
      </c>
      <c r="AY123" s="524">
        <f t="shared" si="87"/>
        <v>0</v>
      </c>
      <c r="AZ123" s="524">
        <f t="shared" si="87"/>
        <v>0</v>
      </c>
      <c r="BA123" s="524">
        <f t="shared" ref="BA123:BJ130" si="88">IFERROR(IF(BA$8&gt;=$D123,$E123*(INDEX($E$18:$E$22,(MATCH(MATCH(BA$8,$D$83:$D$130,0)-MATCH($D123,$D$83:$D$130,0),$D$18:$D$22,0)))),0),0)</f>
        <v>0</v>
      </c>
      <c r="BB123" s="524">
        <f t="shared" si="88"/>
        <v>0</v>
      </c>
      <c r="BC123" s="524">
        <f t="shared" si="88"/>
        <v>0</v>
      </c>
      <c r="BD123" s="524">
        <f t="shared" si="88"/>
        <v>0</v>
      </c>
      <c r="BE123" s="524">
        <f t="shared" si="88"/>
        <v>0</v>
      </c>
      <c r="BF123" s="524">
        <f t="shared" si="88"/>
        <v>0</v>
      </c>
      <c r="BG123" s="524">
        <f t="shared" si="88"/>
        <v>0</v>
      </c>
      <c r="BH123" s="524">
        <f t="shared" si="88"/>
        <v>0</v>
      </c>
      <c r="BI123" s="524">
        <f t="shared" si="88"/>
        <v>0</v>
      </c>
      <c r="BJ123" s="524">
        <f t="shared" si="88"/>
        <v>0</v>
      </c>
      <c r="BK123" s="524">
        <f t="shared" ref="BK123:BT130" si="89">IFERROR(IF(BK$8&gt;=$D123,$E123*(INDEX($E$18:$E$22,(MATCH(MATCH(BK$8,$D$83:$D$130,0)-MATCH($D123,$D$83:$D$130,0),$D$18:$D$22,0)))),0),0)</f>
        <v>0</v>
      </c>
      <c r="BL123" s="524">
        <f t="shared" si="89"/>
        <v>0</v>
      </c>
      <c r="BM123" s="524">
        <f t="shared" si="89"/>
        <v>0</v>
      </c>
      <c r="BN123" s="524">
        <f t="shared" si="89"/>
        <v>0</v>
      </c>
      <c r="BO123" s="524">
        <f t="shared" si="89"/>
        <v>0</v>
      </c>
      <c r="BP123" s="524">
        <f t="shared" si="89"/>
        <v>0</v>
      </c>
      <c r="BQ123" s="524">
        <f t="shared" si="89"/>
        <v>0</v>
      </c>
      <c r="BR123" s="524">
        <f t="shared" si="89"/>
        <v>0</v>
      </c>
      <c r="BS123" s="524">
        <f t="shared" si="89"/>
        <v>0</v>
      </c>
      <c r="BT123" s="524">
        <f t="shared" si="89"/>
        <v>0</v>
      </c>
      <c r="BU123" s="524">
        <f t="shared" ref="BU123:BZ130" si="90">IFERROR(IF(BU$8&gt;=$D123,$E123*(INDEX($E$18:$E$22,(MATCH(MATCH(BU$8,$D$83:$D$130,0)-MATCH($D123,$D$83:$D$130,0),$D$18:$D$22,0)))),0),0)</f>
        <v>0</v>
      </c>
      <c r="BV123" s="524">
        <f t="shared" si="90"/>
        <v>0</v>
      </c>
      <c r="BW123" s="524">
        <f t="shared" si="90"/>
        <v>0</v>
      </c>
      <c r="BX123" s="524">
        <f t="shared" si="90"/>
        <v>0</v>
      </c>
      <c r="BY123" s="524">
        <f t="shared" si="90"/>
        <v>0</v>
      </c>
      <c r="BZ123" s="524">
        <f t="shared" si="90"/>
        <v>0</v>
      </c>
    </row>
    <row r="124" spans="2:78" ht="21" hidden="1" customHeight="1" outlineLevel="3">
      <c r="B124" s="367"/>
      <c r="C124" s="370"/>
      <c r="D124" s="374">
        <f t="shared" si="64"/>
        <v>46203</v>
      </c>
      <c r="E124" s="373" cm="1">
        <f t="array" ref="E124">IF($D124&lt;=LatestMonthOfActuals,0,INDEX($AE$27:$BZ$27,0,MATCH($D124,$AE$8:$BZ$8,0)))</f>
        <v>0</v>
      </c>
      <c r="F124" s="359"/>
      <c r="G124" s="408">
        <f t="shared" si="85"/>
        <v>0</v>
      </c>
      <c r="H124" s="408">
        <f t="shared" si="85"/>
        <v>0</v>
      </c>
      <c r="I124" s="408">
        <f t="shared" si="85"/>
        <v>0</v>
      </c>
      <c r="J124" s="408">
        <f t="shared" si="85"/>
        <v>0</v>
      </c>
      <c r="K124" s="408"/>
      <c r="L124" s="408"/>
      <c r="M124" s="408">
        <f t="shared" si="84"/>
        <v>0</v>
      </c>
      <c r="N124" s="408">
        <f t="shared" si="84"/>
        <v>0</v>
      </c>
      <c r="O124" s="408">
        <f t="shared" si="84"/>
        <v>0</v>
      </c>
      <c r="P124" s="408">
        <f t="shared" si="84"/>
        <v>0</v>
      </c>
      <c r="Q124" s="408">
        <f t="shared" si="84"/>
        <v>0</v>
      </c>
      <c r="R124" s="408">
        <f t="shared" si="84"/>
        <v>0</v>
      </c>
      <c r="S124" s="408">
        <f t="shared" si="84"/>
        <v>0</v>
      </c>
      <c r="T124" s="408">
        <f t="shared" si="84"/>
        <v>0</v>
      </c>
      <c r="U124" s="408">
        <f t="shared" si="84"/>
        <v>0</v>
      </c>
      <c r="V124" s="408">
        <f t="shared" si="84"/>
        <v>0</v>
      </c>
      <c r="W124" s="408">
        <f t="shared" si="84"/>
        <v>0</v>
      </c>
      <c r="X124" s="408">
        <f t="shared" si="84"/>
        <v>0</v>
      </c>
      <c r="Y124" s="408">
        <f t="shared" si="84"/>
        <v>0</v>
      </c>
      <c r="Z124" s="408">
        <f t="shared" si="84"/>
        <v>0</v>
      </c>
      <c r="AA124" s="408">
        <f t="shared" si="84"/>
        <v>0</v>
      </c>
      <c r="AB124" s="408">
        <f t="shared" si="84"/>
        <v>0</v>
      </c>
      <c r="AC124" s="524"/>
      <c r="AD124" s="359"/>
      <c r="AE124" s="524">
        <f t="shared" si="86"/>
        <v>0</v>
      </c>
      <c r="AF124" s="524">
        <f t="shared" si="86"/>
        <v>0</v>
      </c>
      <c r="AG124" s="524">
        <f t="shared" si="86"/>
        <v>0</v>
      </c>
      <c r="AH124" s="524">
        <f t="shared" si="86"/>
        <v>0</v>
      </c>
      <c r="AI124" s="524">
        <f t="shared" si="86"/>
        <v>0</v>
      </c>
      <c r="AJ124" s="524">
        <f t="shared" si="86"/>
        <v>0</v>
      </c>
      <c r="AK124" s="524">
        <f t="shared" si="86"/>
        <v>0</v>
      </c>
      <c r="AL124" s="524">
        <f t="shared" si="86"/>
        <v>0</v>
      </c>
      <c r="AM124" s="524">
        <f t="shared" si="86"/>
        <v>0</v>
      </c>
      <c r="AN124" s="524">
        <f t="shared" si="86"/>
        <v>0</v>
      </c>
      <c r="AO124" s="524">
        <f t="shared" si="86"/>
        <v>0</v>
      </c>
      <c r="AP124" s="524">
        <f t="shared" si="59"/>
        <v>0</v>
      </c>
      <c r="AQ124" s="524">
        <f t="shared" si="87"/>
        <v>0</v>
      </c>
      <c r="AR124" s="524">
        <f t="shared" si="87"/>
        <v>0</v>
      </c>
      <c r="AS124" s="524">
        <f t="shared" si="87"/>
        <v>0</v>
      </c>
      <c r="AT124" s="524">
        <f t="shared" si="87"/>
        <v>0</v>
      </c>
      <c r="AU124" s="524">
        <f t="shared" si="87"/>
        <v>0</v>
      </c>
      <c r="AV124" s="524">
        <f t="shared" si="87"/>
        <v>0</v>
      </c>
      <c r="AW124" s="524">
        <f t="shared" si="87"/>
        <v>0</v>
      </c>
      <c r="AX124" s="524">
        <f t="shared" si="87"/>
        <v>0</v>
      </c>
      <c r="AY124" s="524">
        <f t="shared" si="87"/>
        <v>0</v>
      </c>
      <c r="AZ124" s="524">
        <f t="shared" si="87"/>
        <v>0</v>
      </c>
      <c r="BA124" s="524">
        <f t="shared" si="88"/>
        <v>0</v>
      </c>
      <c r="BB124" s="524">
        <f t="shared" si="88"/>
        <v>0</v>
      </c>
      <c r="BC124" s="524">
        <f t="shared" si="88"/>
        <v>0</v>
      </c>
      <c r="BD124" s="524">
        <f t="shared" si="88"/>
        <v>0</v>
      </c>
      <c r="BE124" s="524">
        <f t="shared" si="88"/>
        <v>0</v>
      </c>
      <c r="BF124" s="524">
        <f t="shared" si="88"/>
        <v>0</v>
      </c>
      <c r="BG124" s="524">
        <f t="shared" si="88"/>
        <v>0</v>
      </c>
      <c r="BH124" s="524">
        <f t="shared" si="88"/>
        <v>0</v>
      </c>
      <c r="BI124" s="524">
        <f t="shared" si="88"/>
        <v>0</v>
      </c>
      <c r="BJ124" s="524">
        <f t="shared" si="88"/>
        <v>0</v>
      </c>
      <c r="BK124" s="524">
        <f t="shared" si="89"/>
        <v>0</v>
      </c>
      <c r="BL124" s="524">
        <f t="shared" si="89"/>
        <v>0</v>
      </c>
      <c r="BM124" s="524">
        <f t="shared" si="89"/>
        <v>0</v>
      </c>
      <c r="BN124" s="524">
        <f t="shared" si="89"/>
        <v>0</v>
      </c>
      <c r="BO124" s="524">
        <f t="shared" si="89"/>
        <v>0</v>
      </c>
      <c r="BP124" s="524">
        <f t="shared" si="89"/>
        <v>0</v>
      </c>
      <c r="BQ124" s="524">
        <f t="shared" si="89"/>
        <v>0</v>
      </c>
      <c r="BR124" s="524">
        <f t="shared" si="89"/>
        <v>0</v>
      </c>
      <c r="BS124" s="524">
        <f t="shared" si="89"/>
        <v>0</v>
      </c>
      <c r="BT124" s="524">
        <f t="shared" si="89"/>
        <v>0</v>
      </c>
      <c r="BU124" s="524">
        <f t="shared" si="90"/>
        <v>0</v>
      </c>
      <c r="BV124" s="524">
        <f t="shared" si="90"/>
        <v>0</v>
      </c>
      <c r="BW124" s="524">
        <f t="shared" si="90"/>
        <v>0</v>
      </c>
      <c r="BX124" s="524">
        <f t="shared" si="90"/>
        <v>0</v>
      </c>
      <c r="BY124" s="524">
        <f t="shared" si="90"/>
        <v>0</v>
      </c>
      <c r="BZ124" s="524">
        <f t="shared" si="90"/>
        <v>0</v>
      </c>
    </row>
    <row r="125" spans="2:78" ht="21" hidden="1" customHeight="1" outlineLevel="3">
      <c r="B125" s="367"/>
      <c r="C125" s="370"/>
      <c r="D125" s="374">
        <f t="shared" si="64"/>
        <v>46234</v>
      </c>
      <c r="E125" s="373" cm="1">
        <f t="array" ref="E125">IF($D125&lt;=LatestMonthOfActuals,0,INDEX($AE$27:$BZ$27,0,MATCH($D125,$AE$8:$BZ$8,0)))</f>
        <v>0</v>
      </c>
      <c r="F125" s="359"/>
      <c r="G125" s="408">
        <f t="shared" si="85"/>
        <v>0</v>
      </c>
      <c r="H125" s="408">
        <f t="shared" si="85"/>
        <v>0</v>
      </c>
      <c r="I125" s="408">
        <f t="shared" si="85"/>
        <v>0</v>
      </c>
      <c r="J125" s="408">
        <f t="shared" si="85"/>
        <v>0</v>
      </c>
      <c r="K125" s="408"/>
      <c r="L125" s="408"/>
      <c r="M125" s="408">
        <f t="shared" si="84"/>
        <v>0</v>
      </c>
      <c r="N125" s="408">
        <f t="shared" si="84"/>
        <v>0</v>
      </c>
      <c r="O125" s="408">
        <f t="shared" si="84"/>
        <v>0</v>
      </c>
      <c r="P125" s="408">
        <f t="shared" si="84"/>
        <v>0</v>
      </c>
      <c r="Q125" s="408">
        <f t="shared" si="84"/>
        <v>0</v>
      </c>
      <c r="R125" s="408">
        <f t="shared" si="84"/>
        <v>0</v>
      </c>
      <c r="S125" s="408">
        <f t="shared" si="84"/>
        <v>0</v>
      </c>
      <c r="T125" s="408">
        <f t="shared" si="84"/>
        <v>0</v>
      </c>
      <c r="U125" s="408">
        <f t="shared" si="84"/>
        <v>0</v>
      </c>
      <c r="V125" s="408">
        <f t="shared" si="84"/>
        <v>0</v>
      </c>
      <c r="W125" s="408">
        <f t="shared" si="84"/>
        <v>0</v>
      </c>
      <c r="X125" s="408">
        <f t="shared" si="84"/>
        <v>0</v>
      </c>
      <c r="Y125" s="408">
        <f t="shared" si="84"/>
        <v>0</v>
      </c>
      <c r="Z125" s="408">
        <f t="shared" si="84"/>
        <v>0</v>
      </c>
      <c r="AA125" s="408">
        <f t="shared" si="84"/>
        <v>0</v>
      </c>
      <c r="AB125" s="408">
        <f t="shared" si="84"/>
        <v>0</v>
      </c>
      <c r="AC125" s="524"/>
      <c r="AD125" s="359"/>
      <c r="AE125" s="524">
        <f t="shared" si="86"/>
        <v>0</v>
      </c>
      <c r="AF125" s="524">
        <f t="shared" si="86"/>
        <v>0</v>
      </c>
      <c r="AG125" s="524">
        <f t="shared" si="86"/>
        <v>0</v>
      </c>
      <c r="AH125" s="524">
        <f t="shared" si="86"/>
        <v>0</v>
      </c>
      <c r="AI125" s="524">
        <f t="shared" si="86"/>
        <v>0</v>
      </c>
      <c r="AJ125" s="524">
        <f t="shared" si="86"/>
        <v>0</v>
      </c>
      <c r="AK125" s="524">
        <f t="shared" si="86"/>
        <v>0</v>
      </c>
      <c r="AL125" s="524">
        <f t="shared" si="86"/>
        <v>0</v>
      </c>
      <c r="AM125" s="524">
        <f t="shared" si="86"/>
        <v>0</v>
      </c>
      <c r="AN125" s="524">
        <f t="shared" si="86"/>
        <v>0</v>
      </c>
      <c r="AO125" s="524">
        <f t="shared" si="86"/>
        <v>0</v>
      </c>
      <c r="AP125" s="524">
        <f t="shared" si="59"/>
        <v>0</v>
      </c>
      <c r="AQ125" s="524">
        <f t="shared" si="87"/>
        <v>0</v>
      </c>
      <c r="AR125" s="524">
        <f t="shared" si="87"/>
        <v>0</v>
      </c>
      <c r="AS125" s="524">
        <f t="shared" si="87"/>
        <v>0</v>
      </c>
      <c r="AT125" s="524">
        <f t="shared" si="87"/>
        <v>0</v>
      </c>
      <c r="AU125" s="524">
        <f t="shared" si="87"/>
        <v>0</v>
      </c>
      <c r="AV125" s="524">
        <f t="shared" si="87"/>
        <v>0</v>
      </c>
      <c r="AW125" s="524">
        <f t="shared" si="87"/>
        <v>0</v>
      </c>
      <c r="AX125" s="524">
        <f t="shared" si="87"/>
        <v>0</v>
      </c>
      <c r="AY125" s="524">
        <f t="shared" si="87"/>
        <v>0</v>
      </c>
      <c r="AZ125" s="524">
        <f t="shared" si="87"/>
        <v>0</v>
      </c>
      <c r="BA125" s="524">
        <f t="shared" si="88"/>
        <v>0</v>
      </c>
      <c r="BB125" s="524">
        <f t="shared" si="88"/>
        <v>0</v>
      </c>
      <c r="BC125" s="524">
        <f t="shared" si="88"/>
        <v>0</v>
      </c>
      <c r="BD125" s="524">
        <f t="shared" si="88"/>
        <v>0</v>
      </c>
      <c r="BE125" s="524">
        <f t="shared" si="88"/>
        <v>0</v>
      </c>
      <c r="BF125" s="524">
        <f t="shared" si="88"/>
        <v>0</v>
      </c>
      <c r="BG125" s="524">
        <f t="shared" si="88"/>
        <v>0</v>
      </c>
      <c r="BH125" s="524">
        <f t="shared" si="88"/>
        <v>0</v>
      </c>
      <c r="BI125" s="524">
        <f t="shared" si="88"/>
        <v>0</v>
      </c>
      <c r="BJ125" s="524">
        <f t="shared" si="88"/>
        <v>0</v>
      </c>
      <c r="BK125" s="524">
        <f t="shared" si="89"/>
        <v>0</v>
      </c>
      <c r="BL125" s="524">
        <f t="shared" si="89"/>
        <v>0</v>
      </c>
      <c r="BM125" s="524">
        <f t="shared" si="89"/>
        <v>0</v>
      </c>
      <c r="BN125" s="524">
        <f t="shared" si="89"/>
        <v>0</v>
      </c>
      <c r="BO125" s="524">
        <f t="shared" si="89"/>
        <v>0</v>
      </c>
      <c r="BP125" s="524">
        <f t="shared" si="89"/>
        <v>0</v>
      </c>
      <c r="BQ125" s="524">
        <f t="shared" si="89"/>
        <v>0</v>
      </c>
      <c r="BR125" s="524">
        <f t="shared" si="89"/>
        <v>0</v>
      </c>
      <c r="BS125" s="524">
        <f t="shared" si="89"/>
        <v>0</v>
      </c>
      <c r="BT125" s="524">
        <f t="shared" si="89"/>
        <v>0</v>
      </c>
      <c r="BU125" s="524">
        <f t="shared" si="90"/>
        <v>0</v>
      </c>
      <c r="BV125" s="524">
        <f t="shared" si="90"/>
        <v>0</v>
      </c>
      <c r="BW125" s="524">
        <f t="shared" si="90"/>
        <v>0</v>
      </c>
      <c r="BX125" s="524">
        <f t="shared" si="90"/>
        <v>0</v>
      </c>
      <c r="BY125" s="524">
        <f t="shared" si="90"/>
        <v>0</v>
      </c>
      <c r="BZ125" s="524">
        <f t="shared" si="90"/>
        <v>0</v>
      </c>
    </row>
    <row r="126" spans="2:78" ht="21" hidden="1" customHeight="1" outlineLevel="3">
      <c r="B126" s="367"/>
      <c r="C126" s="370"/>
      <c r="D126" s="374">
        <f t="shared" si="64"/>
        <v>46265</v>
      </c>
      <c r="E126" s="373" cm="1">
        <f t="array" ref="E126">IF($D126&lt;=LatestMonthOfActuals,0,INDEX($AE$27:$BZ$27,0,MATCH($D126,$AE$8:$BZ$8,0)))</f>
        <v>0</v>
      </c>
      <c r="F126" s="359"/>
      <c r="G126" s="408">
        <f t="shared" si="85"/>
        <v>0</v>
      </c>
      <c r="H126" s="408">
        <f t="shared" si="85"/>
        <v>0</v>
      </c>
      <c r="I126" s="408">
        <f t="shared" si="85"/>
        <v>0</v>
      </c>
      <c r="J126" s="408">
        <f t="shared" si="85"/>
        <v>0</v>
      </c>
      <c r="K126" s="408"/>
      <c r="L126" s="408"/>
      <c r="M126" s="408">
        <f t="shared" si="84"/>
        <v>0</v>
      </c>
      <c r="N126" s="408">
        <f t="shared" si="84"/>
        <v>0</v>
      </c>
      <c r="O126" s="408">
        <f t="shared" si="84"/>
        <v>0</v>
      </c>
      <c r="P126" s="408">
        <f t="shared" si="84"/>
        <v>0</v>
      </c>
      <c r="Q126" s="408">
        <f t="shared" si="84"/>
        <v>0</v>
      </c>
      <c r="R126" s="408">
        <f t="shared" si="84"/>
        <v>0</v>
      </c>
      <c r="S126" s="408">
        <f t="shared" si="84"/>
        <v>0</v>
      </c>
      <c r="T126" s="408">
        <f t="shared" si="84"/>
        <v>0</v>
      </c>
      <c r="U126" s="408">
        <f t="shared" si="84"/>
        <v>0</v>
      </c>
      <c r="V126" s="408">
        <f t="shared" si="84"/>
        <v>0</v>
      </c>
      <c r="W126" s="408">
        <f t="shared" si="84"/>
        <v>0</v>
      </c>
      <c r="X126" s="408">
        <f t="shared" si="84"/>
        <v>0</v>
      </c>
      <c r="Y126" s="408">
        <f t="shared" si="84"/>
        <v>0</v>
      </c>
      <c r="Z126" s="408">
        <f t="shared" si="84"/>
        <v>0</v>
      </c>
      <c r="AA126" s="408">
        <f t="shared" si="84"/>
        <v>0</v>
      </c>
      <c r="AB126" s="408">
        <f t="shared" si="84"/>
        <v>0</v>
      </c>
      <c r="AC126" s="524"/>
      <c r="AD126" s="359"/>
      <c r="AE126" s="524">
        <f t="shared" si="86"/>
        <v>0</v>
      </c>
      <c r="AF126" s="524">
        <f t="shared" si="86"/>
        <v>0</v>
      </c>
      <c r="AG126" s="524">
        <f t="shared" si="86"/>
        <v>0</v>
      </c>
      <c r="AH126" s="524">
        <f t="shared" si="86"/>
        <v>0</v>
      </c>
      <c r="AI126" s="524">
        <f t="shared" si="86"/>
        <v>0</v>
      </c>
      <c r="AJ126" s="524">
        <f t="shared" si="86"/>
        <v>0</v>
      </c>
      <c r="AK126" s="524">
        <f t="shared" si="86"/>
        <v>0</v>
      </c>
      <c r="AL126" s="524">
        <f t="shared" si="86"/>
        <v>0</v>
      </c>
      <c r="AM126" s="524">
        <f t="shared" si="86"/>
        <v>0</v>
      </c>
      <c r="AN126" s="524">
        <f t="shared" si="86"/>
        <v>0</v>
      </c>
      <c r="AO126" s="524">
        <f t="shared" si="86"/>
        <v>0</v>
      </c>
      <c r="AP126" s="524">
        <f t="shared" si="59"/>
        <v>0</v>
      </c>
      <c r="AQ126" s="524">
        <f t="shared" si="87"/>
        <v>0</v>
      </c>
      <c r="AR126" s="524">
        <f t="shared" si="87"/>
        <v>0</v>
      </c>
      <c r="AS126" s="524">
        <f t="shared" si="87"/>
        <v>0</v>
      </c>
      <c r="AT126" s="524">
        <f t="shared" si="87"/>
        <v>0</v>
      </c>
      <c r="AU126" s="524">
        <f t="shared" si="87"/>
        <v>0</v>
      </c>
      <c r="AV126" s="524">
        <f t="shared" si="87"/>
        <v>0</v>
      </c>
      <c r="AW126" s="524">
        <f t="shared" si="87"/>
        <v>0</v>
      </c>
      <c r="AX126" s="524">
        <f t="shared" si="87"/>
        <v>0</v>
      </c>
      <c r="AY126" s="524">
        <f t="shared" si="87"/>
        <v>0</v>
      </c>
      <c r="AZ126" s="524">
        <f t="shared" si="87"/>
        <v>0</v>
      </c>
      <c r="BA126" s="524">
        <f t="shared" si="88"/>
        <v>0</v>
      </c>
      <c r="BB126" s="524">
        <f t="shared" si="88"/>
        <v>0</v>
      </c>
      <c r="BC126" s="524">
        <f t="shared" si="88"/>
        <v>0</v>
      </c>
      <c r="BD126" s="524">
        <f t="shared" si="88"/>
        <v>0</v>
      </c>
      <c r="BE126" s="524">
        <f t="shared" si="88"/>
        <v>0</v>
      </c>
      <c r="BF126" s="524">
        <f t="shared" si="88"/>
        <v>0</v>
      </c>
      <c r="BG126" s="524">
        <f t="shared" si="88"/>
        <v>0</v>
      </c>
      <c r="BH126" s="524">
        <f t="shared" si="88"/>
        <v>0</v>
      </c>
      <c r="BI126" s="524">
        <f t="shared" si="88"/>
        <v>0</v>
      </c>
      <c r="BJ126" s="524">
        <f t="shared" si="88"/>
        <v>0</v>
      </c>
      <c r="BK126" s="524">
        <f t="shared" si="89"/>
        <v>0</v>
      </c>
      <c r="BL126" s="524">
        <f t="shared" si="89"/>
        <v>0</v>
      </c>
      <c r="BM126" s="524">
        <f t="shared" si="89"/>
        <v>0</v>
      </c>
      <c r="BN126" s="524">
        <f t="shared" si="89"/>
        <v>0</v>
      </c>
      <c r="BO126" s="524">
        <f t="shared" si="89"/>
        <v>0</v>
      </c>
      <c r="BP126" s="524">
        <f t="shared" si="89"/>
        <v>0</v>
      </c>
      <c r="BQ126" s="524">
        <f t="shared" si="89"/>
        <v>0</v>
      </c>
      <c r="BR126" s="524">
        <f t="shared" si="89"/>
        <v>0</v>
      </c>
      <c r="BS126" s="524">
        <f t="shared" si="89"/>
        <v>0</v>
      </c>
      <c r="BT126" s="524">
        <f t="shared" si="89"/>
        <v>0</v>
      </c>
      <c r="BU126" s="524">
        <f t="shared" si="90"/>
        <v>0</v>
      </c>
      <c r="BV126" s="524">
        <f t="shared" si="90"/>
        <v>0</v>
      </c>
      <c r="BW126" s="524">
        <f t="shared" si="90"/>
        <v>0</v>
      </c>
      <c r="BX126" s="524">
        <f t="shared" si="90"/>
        <v>0</v>
      </c>
      <c r="BY126" s="524">
        <f t="shared" si="90"/>
        <v>0</v>
      </c>
      <c r="BZ126" s="524">
        <f t="shared" si="90"/>
        <v>0</v>
      </c>
    </row>
    <row r="127" spans="2:78" ht="21" hidden="1" customHeight="1" outlineLevel="3">
      <c r="B127" s="367"/>
      <c r="C127" s="370"/>
      <c r="D127" s="374">
        <f t="shared" si="64"/>
        <v>46295</v>
      </c>
      <c r="E127" s="373" cm="1">
        <f t="array" ref="E127">IF($D127&lt;=LatestMonthOfActuals,0,INDEX($AE$27:$BZ$27,0,MATCH($D127,$AE$8:$BZ$8,0)))</f>
        <v>0</v>
      </c>
      <c r="F127" s="359"/>
      <c r="G127" s="408">
        <f t="shared" si="85"/>
        <v>0</v>
      </c>
      <c r="H127" s="408">
        <f t="shared" si="85"/>
        <v>0</v>
      </c>
      <c r="I127" s="408">
        <f t="shared" si="85"/>
        <v>0</v>
      </c>
      <c r="J127" s="408">
        <f t="shared" si="85"/>
        <v>0</v>
      </c>
      <c r="K127" s="408"/>
      <c r="L127" s="408"/>
      <c r="M127" s="408">
        <f t="shared" si="84"/>
        <v>0</v>
      </c>
      <c r="N127" s="408">
        <f t="shared" si="84"/>
        <v>0</v>
      </c>
      <c r="O127" s="408">
        <f t="shared" si="84"/>
        <v>0</v>
      </c>
      <c r="P127" s="408">
        <f t="shared" si="84"/>
        <v>0</v>
      </c>
      <c r="Q127" s="408">
        <f t="shared" si="84"/>
        <v>0</v>
      </c>
      <c r="R127" s="408">
        <f t="shared" si="84"/>
        <v>0</v>
      </c>
      <c r="S127" s="408">
        <f t="shared" si="84"/>
        <v>0</v>
      </c>
      <c r="T127" s="408">
        <f t="shared" si="84"/>
        <v>0</v>
      </c>
      <c r="U127" s="408">
        <f t="shared" si="84"/>
        <v>0</v>
      </c>
      <c r="V127" s="408">
        <f t="shared" si="84"/>
        <v>0</v>
      </c>
      <c r="W127" s="408">
        <f t="shared" si="84"/>
        <v>0</v>
      </c>
      <c r="X127" s="408">
        <f t="shared" si="84"/>
        <v>0</v>
      </c>
      <c r="Y127" s="408">
        <f t="shared" si="84"/>
        <v>0</v>
      </c>
      <c r="Z127" s="408">
        <f t="shared" si="84"/>
        <v>0</v>
      </c>
      <c r="AA127" s="408">
        <f t="shared" si="84"/>
        <v>0</v>
      </c>
      <c r="AB127" s="408">
        <f t="shared" si="84"/>
        <v>0</v>
      </c>
      <c r="AC127" s="524"/>
      <c r="AD127" s="359"/>
      <c r="AE127" s="524">
        <f t="shared" si="86"/>
        <v>0</v>
      </c>
      <c r="AF127" s="524">
        <f t="shared" si="86"/>
        <v>0</v>
      </c>
      <c r="AG127" s="524">
        <f t="shared" si="86"/>
        <v>0</v>
      </c>
      <c r="AH127" s="524">
        <f t="shared" si="86"/>
        <v>0</v>
      </c>
      <c r="AI127" s="524">
        <f t="shared" si="86"/>
        <v>0</v>
      </c>
      <c r="AJ127" s="524">
        <f t="shared" si="86"/>
        <v>0</v>
      </c>
      <c r="AK127" s="524">
        <f t="shared" si="86"/>
        <v>0</v>
      </c>
      <c r="AL127" s="524">
        <f t="shared" si="86"/>
        <v>0</v>
      </c>
      <c r="AM127" s="524">
        <f t="shared" si="86"/>
        <v>0</v>
      </c>
      <c r="AN127" s="524">
        <f t="shared" si="86"/>
        <v>0</v>
      </c>
      <c r="AO127" s="524">
        <f t="shared" si="86"/>
        <v>0</v>
      </c>
      <c r="AP127" s="524">
        <f t="shared" si="59"/>
        <v>0</v>
      </c>
      <c r="AQ127" s="524">
        <f t="shared" si="87"/>
        <v>0</v>
      </c>
      <c r="AR127" s="524">
        <f t="shared" si="87"/>
        <v>0</v>
      </c>
      <c r="AS127" s="524">
        <f t="shared" si="87"/>
        <v>0</v>
      </c>
      <c r="AT127" s="524">
        <f t="shared" si="87"/>
        <v>0</v>
      </c>
      <c r="AU127" s="524">
        <f t="shared" si="87"/>
        <v>0</v>
      </c>
      <c r="AV127" s="524">
        <f t="shared" si="87"/>
        <v>0</v>
      </c>
      <c r="AW127" s="524">
        <f t="shared" si="87"/>
        <v>0</v>
      </c>
      <c r="AX127" s="524">
        <f t="shared" si="87"/>
        <v>0</v>
      </c>
      <c r="AY127" s="524">
        <f t="shared" si="87"/>
        <v>0</v>
      </c>
      <c r="AZ127" s="524">
        <f t="shared" si="87"/>
        <v>0</v>
      </c>
      <c r="BA127" s="524">
        <f t="shared" si="88"/>
        <v>0</v>
      </c>
      <c r="BB127" s="524">
        <f t="shared" si="88"/>
        <v>0</v>
      </c>
      <c r="BC127" s="524">
        <f t="shared" si="88"/>
        <v>0</v>
      </c>
      <c r="BD127" s="524">
        <f t="shared" si="88"/>
        <v>0</v>
      </c>
      <c r="BE127" s="524">
        <f t="shared" si="88"/>
        <v>0</v>
      </c>
      <c r="BF127" s="524">
        <f t="shared" si="88"/>
        <v>0</v>
      </c>
      <c r="BG127" s="524">
        <f t="shared" si="88"/>
        <v>0</v>
      </c>
      <c r="BH127" s="524">
        <f t="shared" si="88"/>
        <v>0</v>
      </c>
      <c r="BI127" s="524">
        <f t="shared" si="88"/>
        <v>0</v>
      </c>
      <c r="BJ127" s="524">
        <f t="shared" si="88"/>
        <v>0</v>
      </c>
      <c r="BK127" s="524">
        <f t="shared" si="89"/>
        <v>0</v>
      </c>
      <c r="BL127" s="524">
        <f t="shared" si="89"/>
        <v>0</v>
      </c>
      <c r="BM127" s="524">
        <f t="shared" si="89"/>
        <v>0</v>
      </c>
      <c r="BN127" s="524">
        <f t="shared" si="89"/>
        <v>0</v>
      </c>
      <c r="BO127" s="524">
        <f t="shared" si="89"/>
        <v>0</v>
      </c>
      <c r="BP127" s="524">
        <f t="shared" si="89"/>
        <v>0</v>
      </c>
      <c r="BQ127" s="524">
        <f t="shared" si="89"/>
        <v>0</v>
      </c>
      <c r="BR127" s="524">
        <f t="shared" si="89"/>
        <v>0</v>
      </c>
      <c r="BS127" s="524">
        <f t="shared" si="89"/>
        <v>0</v>
      </c>
      <c r="BT127" s="524">
        <f t="shared" si="89"/>
        <v>0</v>
      </c>
      <c r="BU127" s="524">
        <f t="shared" si="90"/>
        <v>0</v>
      </c>
      <c r="BV127" s="524">
        <f t="shared" si="90"/>
        <v>0</v>
      </c>
      <c r="BW127" s="524">
        <f t="shared" si="90"/>
        <v>0</v>
      </c>
      <c r="BX127" s="524">
        <f t="shared" si="90"/>
        <v>0</v>
      </c>
      <c r="BY127" s="524">
        <f t="shared" si="90"/>
        <v>0</v>
      </c>
      <c r="BZ127" s="524">
        <f t="shared" si="90"/>
        <v>0</v>
      </c>
    </row>
    <row r="128" spans="2:78" ht="21" hidden="1" customHeight="1" outlineLevel="3">
      <c r="B128" s="367"/>
      <c r="C128" s="370"/>
      <c r="D128" s="374">
        <f t="shared" si="64"/>
        <v>46326</v>
      </c>
      <c r="E128" s="373" cm="1">
        <f t="array" ref="E128">IF($D128&lt;=LatestMonthOfActuals,0,INDEX($AE$27:$BZ$27,0,MATCH($D128,$AE$8:$BZ$8,0)))</f>
        <v>0</v>
      </c>
      <c r="F128" s="359"/>
      <c r="G128" s="408">
        <f t="shared" si="85"/>
        <v>0</v>
      </c>
      <c r="H128" s="408">
        <f t="shared" si="85"/>
        <v>0</v>
      </c>
      <c r="I128" s="408">
        <f t="shared" si="85"/>
        <v>0</v>
      </c>
      <c r="J128" s="408">
        <f t="shared" si="85"/>
        <v>0</v>
      </c>
      <c r="K128" s="408"/>
      <c r="L128" s="408"/>
      <c r="M128" s="408">
        <f t="shared" si="84"/>
        <v>0</v>
      </c>
      <c r="N128" s="408">
        <f t="shared" si="84"/>
        <v>0</v>
      </c>
      <c r="O128" s="408">
        <f t="shared" si="84"/>
        <v>0</v>
      </c>
      <c r="P128" s="408">
        <f t="shared" si="84"/>
        <v>0</v>
      </c>
      <c r="Q128" s="408">
        <f t="shared" si="84"/>
        <v>0</v>
      </c>
      <c r="R128" s="408">
        <f t="shared" si="84"/>
        <v>0</v>
      </c>
      <c r="S128" s="408">
        <f t="shared" si="84"/>
        <v>0</v>
      </c>
      <c r="T128" s="408">
        <f t="shared" si="84"/>
        <v>0</v>
      </c>
      <c r="U128" s="408">
        <f t="shared" si="84"/>
        <v>0</v>
      </c>
      <c r="V128" s="408">
        <f t="shared" si="84"/>
        <v>0</v>
      </c>
      <c r="W128" s="408">
        <f t="shared" si="84"/>
        <v>0</v>
      </c>
      <c r="X128" s="408">
        <f t="shared" si="84"/>
        <v>0</v>
      </c>
      <c r="Y128" s="408">
        <f t="shared" si="84"/>
        <v>0</v>
      </c>
      <c r="Z128" s="408">
        <f t="shared" si="84"/>
        <v>0</v>
      </c>
      <c r="AA128" s="408">
        <f t="shared" si="84"/>
        <v>0</v>
      </c>
      <c r="AB128" s="408">
        <f t="shared" si="84"/>
        <v>0</v>
      </c>
      <c r="AC128" s="524"/>
      <c r="AD128" s="359"/>
      <c r="AE128" s="524">
        <f t="shared" si="86"/>
        <v>0</v>
      </c>
      <c r="AF128" s="524">
        <f t="shared" si="86"/>
        <v>0</v>
      </c>
      <c r="AG128" s="524">
        <f t="shared" si="86"/>
        <v>0</v>
      </c>
      <c r="AH128" s="524">
        <f t="shared" si="86"/>
        <v>0</v>
      </c>
      <c r="AI128" s="524">
        <f t="shared" si="86"/>
        <v>0</v>
      </c>
      <c r="AJ128" s="524">
        <f t="shared" si="86"/>
        <v>0</v>
      </c>
      <c r="AK128" s="524">
        <f t="shared" si="86"/>
        <v>0</v>
      </c>
      <c r="AL128" s="524">
        <f t="shared" si="86"/>
        <v>0</v>
      </c>
      <c r="AM128" s="524">
        <f t="shared" si="86"/>
        <v>0</v>
      </c>
      <c r="AN128" s="524">
        <f t="shared" si="86"/>
        <v>0</v>
      </c>
      <c r="AO128" s="524">
        <f t="shared" si="86"/>
        <v>0</v>
      </c>
      <c r="AP128" s="524">
        <f t="shared" si="59"/>
        <v>0</v>
      </c>
      <c r="AQ128" s="524">
        <f t="shared" si="87"/>
        <v>0</v>
      </c>
      <c r="AR128" s="524">
        <f t="shared" si="87"/>
        <v>0</v>
      </c>
      <c r="AS128" s="524">
        <f t="shared" si="87"/>
        <v>0</v>
      </c>
      <c r="AT128" s="524">
        <f t="shared" si="87"/>
        <v>0</v>
      </c>
      <c r="AU128" s="524">
        <f t="shared" si="87"/>
        <v>0</v>
      </c>
      <c r="AV128" s="524">
        <f t="shared" si="87"/>
        <v>0</v>
      </c>
      <c r="AW128" s="524">
        <f t="shared" si="87"/>
        <v>0</v>
      </c>
      <c r="AX128" s="524">
        <f t="shared" si="87"/>
        <v>0</v>
      </c>
      <c r="AY128" s="524">
        <f t="shared" si="87"/>
        <v>0</v>
      </c>
      <c r="AZ128" s="524">
        <f t="shared" si="87"/>
        <v>0</v>
      </c>
      <c r="BA128" s="524">
        <f t="shared" si="88"/>
        <v>0</v>
      </c>
      <c r="BB128" s="524">
        <f t="shared" si="88"/>
        <v>0</v>
      </c>
      <c r="BC128" s="524">
        <f t="shared" si="88"/>
        <v>0</v>
      </c>
      <c r="BD128" s="524">
        <f t="shared" si="88"/>
        <v>0</v>
      </c>
      <c r="BE128" s="524">
        <f t="shared" si="88"/>
        <v>0</v>
      </c>
      <c r="BF128" s="524">
        <f t="shared" si="88"/>
        <v>0</v>
      </c>
      <c r="BG128" s="524">
        <f t="shared" si="88"/>
        <v>0</v>
      </c>
      <c r="BH128" s="524">
        <f t="shared" si="88"/>
        <v>0</v>
      </c>
      <c r="BI128" s="524">
        <f t="shared" si="88"/>
        <v>0</v>
      </c>
      <c r="BJ128" s="524">
        <f t="shared" si="88"/>
        <v>0</v>
      </c>
      <c r="BK128" s="524">
        <f t="shared" si="89"/>
        <v>0</v>
      </c>
      <c r="BL128" s="524">
        <f t="shared" si="89"/>
        <v>0</v>
      </c>
      <c r="BM128" s="524">
        <f t="shared" si="89"/>
        <v>0</v>
      </c>
      <c r="BN128" s="524">
        <f t="shared" si="89"/>
        <v>0</v>
      </c>
      <c r="BO128" s="524">
        <f t="shared" si="89"/>
        <v>0</v>
      </c>
      <c r="BP128" s="524">
        <f t="shared" si="89"/>
        <v>0</v>
      </c>
      <c r="BQ128" s="524">
        <f t="shared" si="89"/>
        <v>0</v>
      </c>
      <c r="BR128" s="524">
        <f t="shared" si="89"/>
        <v>0</v>
      </c>
      <c r="BS128" s="524">
        <f t="shared" si="89"/>
        <v>0</v>
      </c>
      <c r="BT128" s="524">
        <f t="shared" si="89"/>
        <v>0</v>
      </c>
      <c r="BU128" s="524">
        <f t="shared" si="90"/>
        <v>0</v>
      </c>
      <c r="BV128" s="524">
        <f t="shared" si="90"/>
        <v>0</v>
      </c>
      <c r="BW128" s="524">
        <f t="shared" si="90"/>
        <v>0</v>
      </c>
      <c r="BX128" s="524">
        <f t="shared" si="90"/>
        <v>0</v>
      </c>
      <c r="BY128" s="524">
        <f t="shared" si="90"/>
        <v>0</v>
      </c>
      <c r="BZ128" s="524">
        <f t="shared" si="90"/>
        <v>0</v>
      </c>
    </row>
    <row r="129" spans="2:78" ht="21" hidden="1" customHeight="1" outlineLevel="3">
      <c r="B129" s="367"/>
      <c r="C129" s="370"/>
      <c r="D129" s="374">
        <f t="shared" si="64"/>
        <v>46356</v>
      </c>
      <c r="E129" s="373" cm="1">
        <f t="array" ref="E129">IF($D129&lt;=LatestMonthOfActuals,0,INDEX($AE$27:$BZ$27,0,MATCH($D129,$AE$8:$BZ$8,0)))</f>
        <v>0</v>
      </c>
      <c r="F129" s="359"/>
      <c r="G129" s="408">
        <f t="shared" si="85"/>
        <v>0</v>
      </c>
      <c r="H129" s="408">
        <f t="shared" si="85"/>
        <v>0</v>
      </c>
      <c r="I129" s="408">
        <f t="shared" si="85"/>
        <v>0</v>
      </c>
      <c r="J129" s="408">
        <f t="shared" si="85"/>
        <v>0</v>
      </c>
      <c r="K129" s="408"/>
      <c r="L129" s="408"/>
      <c r="M129" s="408">
        <f t="shared" si="84"/>
        <v>0</v>
      </c>
      <c r="N129" s="408">
        <f t="shared" si="84"/>
        <v>0</v>
      </c>
      <c r="O129" s="408">
        <f t="shared" si="84"/>
        <v>0</v>
      </c>
      <c r="P129" s="408">
        <f t="shared" si="84"/>
        <v>0</v>
      </c>
      <c r="Q129" s="408">
        <f t="shared" si="84"/>
        <v>0</v>
      </c>
      <c r="R129" s="408">
        <f t="shared" si="84"/>
        <v>0</v>
      </c>
      <c r="S129" s="408">
        <f t="shared" si="84"/>
        <v>0</v>
      </c>
      <c r="T129" s="408">
        <f t="shared" si="84"/>
        <v>0</v>
      </c>
      <c r="U129" s="408">
        <f t="shared" si="84"/>
        <v>0</v>
      </c>
      <c r="V129" s="408">
        <f t="shared" si="84"/>
        <v>0</v>
      </c>
      <c r="W129" s="408">
        <f t="shared" si="84"/>
        <v>0</v>
      </c>
      <c r="X129" s="408">
        <f t="shared" si="84"/>
        <v>0</v>
      </c>
      <c r="Y129" s="408">
        <f t="shared" si="84"/>
        <v>0</v>
      </c>
      <c r="Z129" s="408">
        <f t="shared" si="84"/>
        <v>0</v>
      </c>
      <c r="AA129" s="408">
        <f t="shared" si="84"/>
        <v>0</v>
      </c>
      <c r="AB129" s="408">
        <f t="shared" si="84"/>
        <v>0</v>
      </c>
      <c r="AC129" s="524"/>
      <c r="AD129" s="359"/>
      <c r="AE129" s="524">
        <f t="shared" si="86"/>
        <v>0</v>
      </c>
      <c r="AF129" s="524">
        <f t="shared" si="86"/>
        <v>0</v>
      </c>
      <c r="AG129" s="524">
        <f t="shared" si="86"/>
        <v>0</v>
      </c>
      <c r="AH129" s="524">
        <f t="shared" si="86"/>
        <v>0</v>
      </c>
      <c r="AI129" s="524">
        <f t="shared" si="86"/>
        <v>0</v>
      </c>
      <c r="AJ129" s="524">
        <f t="shared" si="86"/>
        <v>0</v>
      </c>
      <c r="AK129" s="524">
        <f t="shared" si="86"/>
        <v>0</v>
      </c>
      <c r="AL129" s="524">
        <f t="shared" si="86"/>
        <v>0</v>
      </c>
      <c r="AM129" s="524">
        <f t="shared" si="86"/>
        <v>0</v>
      </c>
      <c r="AN129" s="524">
        <f t="shared" si="86"/>
        <v>0</v>
      </c>
      <c r="AO129" s="524">
        <f t="shared" si="86"/>
        <v>0</v>
      </c>
      <c r="AP129" s="524">
        <f t="shared" si="59"/>
        <v>0</v>
      </c>
      <c r="AQ129" s="524">
        <f t="shared" si="87"/>
        <v>0</v>
      </c>
      <c r="AR129" s="524">
        <f t="shared" si="87"/>
        <v>0</v>
      </c>
      <c r="AS129" s="524">
        <f t="shared" si="87"/>
        <v>0</v>
      </c>
      <c r="AT129" s="524">
        <f t="shared" si="87"/>
        <v>0</v>
      </c>
      <c r="AU129" s="524">
        <f t="shared" si="87"/>
        <v>0</v>
      </c>
      <c r="AV129" s="524">
        <f t="shared" si="87"/>
        <v>0</v>
      </c>
      <c r="AW129" s="524">
        <f t="shared" si="87"/>
        <v>0</v>
      </c>
      <c r="AX129" s="524">
        <f t="shared" si="87"/>
        <v>0</v>
      </c>
      <c r="AY129" s="524">
        <f t="shared" si="87"/>
        <v>0</v>
      </c>
      <c r="AZ129" s="524">
        <f t="shared" si="87"/>
        <v>0</v>
      </c>
      <c r="BA129" s="524">
        <f t="shared" si="88"/>
        <v>0</v>
      </c>
      <c r="BB129" s="524">
        <f t="shared" si="88"/>
        <v>0</v>
      </c>
      <c r="BC129" s="524">
        <f t="shared" si="88"/>
        <v>0</v>
      </c>
      <c r="BD129" s="524">
        <f t="shared" si="88"/>
        <v>0</v>
      </c>
      <c r="BE129" s="524">
        <f t="shared" si="88"/>
        <v>0</v>
      </c>
      <c r="BF129" s="524">
        <f t="shared" si="88"/>
        <v>0</v>
      </c>
      <c r="BG129" s="524">
        <f t="shared" si="88"/>
        <v>0</v>
      </c>
      <c r="BH129" s="524">
        <f t="shared" si="88"/>
        <v>0</v>
      </c>
      <c r="BI129" s="524">
        <f t="shared" si="88"/>
        <v>0</v>
      </c>
      <c r="BJ129" s="524">
        <f t="shared" si="88"/>
        <v>0</v>
      </c>
      <c r="BK129" s="524">
        <f t="shared" si="89"/>
        <v>0</v>
      </c>
      <c r="BL129" s="524">
        <f t="shared" si="89"/>
        <v>0</v>
      </c>
      <c r="BM129" s="524">
        <f t="shared" si="89"/>
        <v>0</v>
      </c>
      <c r="BN129" s="524">
        <f t="shared" si="89"/>
        <v>0</v>
      </c>
      <c r="BO129" s="524">
        <f t="shared" si="89"/>
        <v>0</v>
      </c>
      <c r="BP129" s="524">
        <f t="shared" si="89"/>
        <v>0</v>
      </c>
      <c r="BQ129" s="524">
        <f t="shared" si="89"/>
        <v>0</v>
      </c>
      <c r="BR129" s="524">
        <f t="shared" si="89"/>
        <v>0</v>
      </c>
      <c r="BS129" s="524">
        <f t="shared" si="89"/>
        <v>0</v>
      </c>
      <c r="BT129" s="524">
        <f t="shared" si="89"/>
        <v>0</v>
      </c>
      <c r="BU129" s="524">
        <f t="shared" si="90"/>
        <v>0</v>
      </c>
      <c r="BV129" s="524">
        <f t="shared" si="90"/>
        <v>0</v>
      </c>
      <c r="BW129" s="524">
        <f t="shared" si="90"/>
        <v>0</v>
      </c>
      <c r="BX129" s="524">
        <f t="shared" si="90"/>
        <v>0</v>
      </c>
      <c r="BY129" s="524">
        <f t="shared" si="90"/>
        <v>0</v>
      </c>
      <c r="BZ129" s="524">
        <f t="shared" si="90"/>
        <v>0</v>
      </c>
    </row>
    <row r="130" spans="2:78" ht="21" hidden="1" customHeight="1" outlineLevel="3">
      <c r="B130" s="367"/>
      <c r="C130" s="370"/>
      <c r="D130" s="374">
        <f t="shared" si="64"/>
        <v>46387</v>
      </c>
      <c r="E130" s="373" cm="1">
        <f t="array" ref="E130">IF($D130&lt;=LatestMonthOfActuals,0,INDEX($AE$27:$BZ$27,0,MATCH($D130,$AE$8:$BZ$8,0)))</f>
        <v>0</v>
      </c>
      <c r="F130" s="359"/>
      <c r="G130" s="408">
        <f t="shared" si="85"/>
        <v>0</v>
      </c>
      <c r="H130" s="408">
        <f t="shared" si="85"/>
        <v>0</v>
      </c>
      <c r="I130" s="408">
        <f t="shared" si="85"/>
        <v>0</v>
      </c>
      <c r="J130" s="408">
        <f t="shared" si="85"/>
        <v>0</v>
      </c>
      <c r="K130" s="408"/>
      <c r="L130" s="408"/>
      <c r="M130" s="408">
        <f t="shared" si="84"/>
        <v>0</v>
      </c>
      <c r="N130" s="408">
        <f t="shared" si="84"/>
        <v>0</v>
      </c>
      <c r="O130" s="408">
        <f t="shared" si="84"/>
        <v>0</v>
      </c>
      <c r="P130" s="408">
        <f t="shared" si="84"/>
        <v>0</v>
      </c>
      <c r="Q130" s="408">
        <f t="shared" si="84"/>
        <v>0</v>
      </c>
      <c r="R130" s="408">
        <f t="shared" si="84"/>
        <v>0</v>
      </c>
      <c r="S130" s="408">
        <f t="shared" si="84"/>
        <v>0</v>
      </c>
      <c r="T130" s="408">
        <f t="shared" si="84"/>
        <v>0</v>
      </c>
      <c r="U130" s="408">
        <f t="shared" si="84"/>
        <v>0</v>
      </c>
      <c r="V130" s="408">
        <f t="shared" si="84"/>
        <v>0</v>
      </c>
      <c r="W130" s="408">
        <f t="shared" si="84"/>
        <v>0</v>
      </c>
      <c r="X130" s="408">
        <f t="shared" si="84"/>
        <v>0</v>
      </c>
      <c r="Y130" s="408">
        <f t="shared" si="84"/>
        <v>0</v>
      </c>
      <c r="Z130" s="408">
        <f t="shared" si="84"/>
        <v>0</v>
      </c>
      <c r="AA130" s="408">
        <f t="shared" si="84"/>
        <v>0</v>
      </c>
      <c r="AB130" s="408">
        <f t="shared" ref="AB130" si="91">SUMIFS($AE130:$BZ130,$AE$4:$BZ$4,"&gt;="&amp;AB$4,$AE130:$BZ130,"&lt;="&amp;AB$5)</f>
        <v>0</v>
      </c>
      <c r="AC130" s="524"/>
      <c r="AD130" s="359"/>
      <c r="AE130" s="524">
        <f t="shared" si="86"/>
        <v>0</v>
      </c>
      <c r="AF130" s="524">
        <f t="shared" si="86"/>
        <v>0</v>
      </c>
      <c r="AG130" s="524">
        <f t="shared" si="86"/>
        <v>0</v>
      </c>
      <c r="AH130" s="524">
        <f t="shared" si="86"/>
        <v>0</v>
      </c>
      <c r="AI130" s="524">
        <f t="shared" si="86"/>
        <v>0</v>
      </c>
      <c r="AJ130" s="524">
        <f t="shared" si="86"/>
        <v>0</v>
      </c>
      <c r="AK130" s="524">
        <f t="shared" si="86"/>
        <v>0</v>
      </c>
      <c r="AL130" s="524">
        <f t="shared" si="86"/>
        <v>0</v>
      </c>
      <c r="AM130" s="524">
        <f t="shared" si="86"/>
        <v>0</v>
      </c>
      <c r="AN130" s="524">
        <f t="shared" si="86"/>
        <v>0</v>
      </c>
      <c r="AO130" s="524">
        <f t="shared" si="86"/>
        <v>0</v>
      </c>
      <c r="AP130" s="524">
        <f t="shared" si="59"/>
        <v>0</v>
      </c>
      <c r="AQ130" s="524">
        <f t="shared" si="87"/>
        <v>0</v>
      </c>
      <c r="AR130" s="524">
        <f t="shared" si="87"/>
        <v>0</v>
      </c>
      <c r="AS130" s="524">
        <f t="shared" si="87"/>
        <v>0</v>
      </c>
      <c r="AT130" s="524">
        <f t="shared" si="87"/>
        <v>0</v>
      </c>
      <c r="AU130" s="524">
        <f t="shared" si="87"/>
        <v>0</v>
      </c>
      <c r="AV130" s="524">
        <f t="shared" si="87"/>
        <v>0</v>
      </c>
      <c r="AW130" s="524">
        <f t="shared" si="87"/>
        <v>0</v>
      </c>
      <c r="AX130" s="524">
        <f t="shared" si="87"/>
        <v>0</v>
      </c>
      <c r="AY130" s="524">
        <f t="shared" si="87"/>
        <v>0</v>
      </c>
      <c r="AZ130" s="524">
        <f t="shared" si="87"/>
        <v>0</v>
      </c>
      <c r="BA130" s="524">
        <f t="shared" si="88"/>
        <v>0</v>
      </c>
      <c r="BB130" s="524">
        <f t="shared" si="88"/>
        <v>0</v>
      </c>
      <c r="BC130" s="524">
        <f t="shared" si="88"/>
        <v>0</v>
      </c>
      <c r="BD130" s="524">
        <f t="shared" si="88"/>
        <v>0</v>
      </c>
      <c r="BE130" s="524">
        <f t="shared" si="88"/>
        <v>0</v>
      </c>
      <c r="BF130" s="524">
        <f t="shared" si="88"/>
        <v>0</v>
      </c>
      <c r="BG130" s="524">
        <f t="shared" si="88"/>
        <v>0</v>
      </c>
      <c r="BH130" s="524">
        <f t="shared" si="88"/>
        <v>0</v>
      </c>
      <c r="BI130" s="524">
        <f t="shared" si="88"/>
        <v>0</v>
      </c>
      <c r="BJ130" s="524">
        <f t="shared" si="88"/>
        <v>0</v>
      </c>
      <c r="BK130" s="524">
        <f t="shared" si="89"/>
        <v>0</v>
      </c>
      <c r="BL130" s="524">
        <f t="shared" si="89"/>
        <v>0</v>
      </c>
      <c r="BM130" s="524">
        <f t="shared" si="89"/>
        <v>0</v>
      </c>
      <c r="BN130" s="524">
        <f t="shared" si="89"/>
        <v>0</v>
      </c>
      <c r="BO130" s="524">
        <f t="shared" si="89"/>
        <v>0</v>
      </c>
      <c r="BP130" s="524">
        <f t="shared" si="89"/>
        <v>0</v>
      </c>
      <c r="BQ130" s="524">
        <f t="shared" si="89"/>
        <v>0</v>
      </c>
      <c r="BR130" s="524">
        <f t="shared" si="89"/>
        <v>0</v>
      </c>
      <c r="BS130" s="524">
        <f t="shared" si="89"/>
        <v>0</v>
      </c>
      <c r="BT130" s="524">
        <f t="shared" si="89"/>
        <v>0</v>
      </c>
      <c r="BU130" s="524">
        <f t="shared" si="90"/>
        <v>0</v>
      </c>
      <c r="BV130" s="524">
        <f t="shared" si="90"/>
        <v>0</v>
      </c>
      <c r="BW130" s="524">
        <f t="shared" si="90"/>
        <v>0</v>
      </c>
      <c r="BX130" s="524">
        <f t="shared" si="90"/>
        <v>0</v>
      </c>
      <c r="BY130" s="524">
        <f t="shared" si="90"/>
        <v>0</v>
      </c>
      <c r="BZ130" s="524">
        <f t="shared" si="90"/>
        <v>0</v>
      </c>
    </row>
    <row r="131" spans="2:78" ht="21" customHeight="1" outlineLevel="1">
      <c r="B131" s="367"/>
      <c r="C131" s="370"/>
      <c r="D131" s="369"/>
      <c r="E131" s="373"/>
      <c r="F131" s="359"/>
      <c r="G131" s="368"/>
      <c r="H131" s="368"/>
      <c r="I131" s="368"/>
      <c r="J131" s="368"/>
      <c r="L131" s="359"/>
      <c r="M131" s="368"/>
      <c r="N131" s="368"/>
      <c r="O131" s="368"/>
      <c r="P131" s="368"/>
      <c r="Q131" s="368"/>
      <c r="R131" s="368"/>
      <c r="S131" s="368"/>
      <c r="T131" s="368"/>
      <c r="U131" s="368"/>
      <c r="V131" s="368"/>
      <c r="W131" s="368"/>
      <c r="X131" s="368"/>
      <c r="Y131" s="368"/>
      <c r="Z131" s="368"/>
      <c r="AA131" s="368"/>
      <c r="AB131" s="368"/>
      <c r="AD131" s="359"/>
      <c r="AE131" s="368"/>
      <c r="AF131" s="368"/>
      <c r="AG131" s="368"/>
      <c r="AH131" s="368"/>
      <c r="AI131" s="368"/>
      <c r="AJ131" s="368"/>
      <c r="AK131" s="368"/>
      <c r="AL131" s="368"/>
      <c r="AM131" s="368"/>
      <c r="AN131" s="368"/>
      <c r="AO131" s="368"/>
      <c r="AP131" s="368"/>
      <c r="AQ131" s="368"/>
      <c r="AR131" s="368"/>
      <c r="AS131" s="368"/>
      <c r="AT131" s="368"/>
      <c r="AU131" s="368"/>
      <c r="AV131" s="368"/>
      <c r="AW131" s="368"/>
      <c r="AX131" s="368"/>
      <c r="AY131" s="368"/>
      <c r="AZ131" s="368"/>
      <c r="BA131" s="368"/>
      <c r="BB131" s="368"/>
      <c r="BC131" s="368"/>
      <c r="BD131" s="368"/>
      <c r="BE131" s="368"/>
      <c r="BF131" s="368"/>
      <c r="BG131" s="368"/>
      <c r="BH131" s="368"/>
      <c r="BI131" s="368"/>
      <c r="BJ131" s="368"/>
      <c r="BK131" s="368"/>
      <c r="BL131" s="368"/>
      <c r="BM131" s="368"/>
      <c r="BN131" s="368"/>
      <c r="BO131" s="368"/>
      <c r="BP131" s="368"/>
      <c r="BQ131" s="368"/>
      <c r="BR131" s="368"/>
      <c r="BS131" s="368"/>
      <c r="BT131" s="368"/>
      <c r="BU131" s="368"/>
      <c r="BV131" s="368"/>
      <c r="BW131" s="368"/>
      <c r="BX131" s="368"/>
      <c r="BY131" s="368"/>
      <c r="BZ131" s="368"/>
    </row>
    <row r="132" spans="2:78" s="357" customFormat="1" ht="15" outlineLevel="1">
      <c r="B132" s="367"/>
      <c r="C132" s="523" t="s">
        <v>421</v>
      </c>
      <c r="D132" s="366"/>
      <c r="E132" s="522"/>
      <c r="F132" s="359"/>
      <c r="G132" s="364">
        <f>SUM(G30,G81)</f>
        <v>0</v>
      </c>
      <c r="H132" s="364">
        <f t="shared" ref="H132:J132" si="92">SUM(H30,H81)</f>
        <v>0</v>
      </c>
      <c r="I132" s="364">
        <f t="shared" si="92"/>
        <v>63599.24</v>
      </c>
      <c r="J132" s="364">
        <f t="shared" si="92"/>
        <v>183599.24</v>
      </c>
      <c r="K132" s="432"/>
      <c r="L132" s="359"/>
      <c r="M132" s="364">
        <f t="shared" ref="M132:AB132" si="93">SUM(M30,M81)</f>
        <v>63599.24</v>
      </c>
      <c r="N132" s="364">
        <f t="shared" si="93"/>
        <v>63599.24</v>
      </c>
      <c r="O132" s="364">
        <f t="shared" si="93"/>
        <v>63599.24</v>
      </c>
      <c r="P132" s="364">
        <f t="shared" si="93"/>
        <v>63599.24</v>
      </c>
      <c r="Q132" s="364">
        <f t="shared" si="93"/>
        <v>63599.24</v>
      </c>
      <c r="R132" s="364">
        <f t="shared" si="93"/>
        <v>63599.24</v>
      </c>
      <c r="S132" s="364">
        <f t="shared" si="93"/>
        <v>63599.24</v>
      </c>
      <c r="T132" s="364">
        <f t="shared" si="93"/>
        <v>63599.24</v>
      </c>
      <c r="U132" s="364">
        <f t="shared" si="93"/>
        <v>63599.24</v>
      </c>
      <c r="V132" s="364">
        <f t="shared" si="93"/>
        <v>63599.24</v>
      </c>
      <c r="W132" s="364">
        <f t="shared" si="93"/>
        <v>63599.24</v>
      </c>
      <c r="X132" s="364">
        <f t="shared" si="93"/>
        <v>63599.24</v>
      </c>
      <c r="Y132" s="364">
        <f t="shared" si="93"/>
        <v>63599.24</v>
      </c>
      <c r="Z132" s="364">
        <f t="shared" si="93"/>
        <v>0</v>
      </c>
      <c r="AA132" s="364">
        <f t="shared" si="93"/>
        <v>0</v>
      </c>
      <c r="AB132" s="364">
        <f t="shared" si="93"/>
        <v>0</v>
      </c>
      <c r="AD132" s="359"/>
      <c r="AE132" s="364">
        <f t="shared" ref="AE132:BZ132" si="94">SUM(AE30,AE81)</f>
        <v>0</v>
      </c>
      <c r="AF132" s="364">
        <f t="shared" si="94"/>
        <v>0</v>
      </c>
      <c r="AG132" s="364">
        <f t="shared" si="94"/>
        <v>0</v>
      </c>
      <c r="AH132" s="364">
        <f t="shared" si="94"/>
        <v>0</v>
      </c>
      <c r="AI132" s="364">
        <f t="shared" si="94"/>
        <v>0</v>
      </c>
      <c r="AJ132" s="364">
        <f t="shared" si="94"/>
        <v>0</v>
      </c>
      <c r="AK132" s="364">
        <f t="shared" si="94"/>
        <v>0</v>
      </c>
      <c r="AL132" s="364">
        <f t="shared" si="94"/>
        <v>0</v>
      </c>
      <c r="AM132" s="364">
        <f t="shared" si="94"/>
        <v>0</v>
      </c>
      <c r="AN132" s="364">
        <f t="shared" si="94"/>
        <v>0</v>
      </c>
      <c r="AO132" s="364">
        <f t="shared" si="94"/>
        <v>0</v>
      </c>
      <c r="AP132" s="364">
        <f>SUM(AR30,AR81)</f>
        <v>0</v>
      </c>
      <c r="AQ132" s="364">
        <f t="shared" si="94"/>
        <v>0</v>
      </c>
      <c r="AR132" s="364">
        <f t="shared" si="94"/>
        <v>0</v>
      </c>
      <c r="AS132" s="364">
        <f t="shared" si="94"/>
        <v>0</v>
      </c>
      <c r="AT132" s="364">
        <f t="shared" si="94"/>
        <v>0</v>
      </c>
      <c r="AU132" s="364">
        <f t="shared" si="94"/>
        <v>0</v>
      </c>
      <c r="AV132" s="364">
        <f t="shared" si="94"/>
        <v>0</v>
      </c>
      <c r="AW132" s="364">
        <f t="shared" si="94"/>
        <v>0</v>
      </c>
      <c r="AX132" s="364">
        <f t="shared" si="94"/>
        <v>0</v>
      </c>
      <c r="AY132" s="364">
        <f t="shared" si="94"/>
        <v>0</v>
      </c>
      <c r="AZ132" s="364">
        <f t="shared" si="94"/>
        <v>0</v>
      </c>
      <c r="BA132" s="364">
        <f t="shared" si="94"/>
        <v>0</v>
      </c>
      <c r="BB132" s="364">
        <f t="shared" si="94"/>
        <v>0</v>
      </c>
      <c r="BC132" s="364">
        <f t="shared" si="94"/>
        <v>0</v>
      </c>
      <c r="BD132" s="364">
        <f t="shared" si="94"/>
        <v>0</v>
      </c>
      <c r="BE132" s="364">
        <f t="shared" si="94"/>
        <v>0</v>
      </c>
      <c r="BF132" s="364">
        <f t="shared" si="94"/>
        <v>0</v>
      </c>
      <c r="BG132" s="364">
        <f t="shared" si="94"/>
        <v>0</v>
      </c>
      <c r="BH132" s="364">
        <f t="shared" si="94"/>
        <v>0</v>
      </c>
      <c r="BI132" s="364">
        <f t="shared" si="94"/>
        <v>0</v>
      </c>
      <c r="BJ132" s="364">
        <f t="shared" si="94"/>
        <v>0</v>
      </c>
      <c r="BK132" s="364">
        <f t="shared" si="94"/>
        <v>0</v>
      </c>
      <c r="BL132" s="364">
        <f t="shared" si="94"/>
        <v>0</v>
      </c>
      <c r="BM132" s="364">
        <f t="shared" si="94"/>
        <v>0</v>
      </c>
      <c r="BN132" s="364">
        <f t="shared" si="94"/>
        <v>63599.24</v>
      </c>
      <c r="BO132" s="364">
        <f t="shared" si="94"/>
        <v>91799.62</v>
      </c>
      <c r="BP132" s="364">
        <f t="shared" si="94"/>
        <v>91799.62</v>
      </c>
      <c r="BQ132" s="364">
        <f t="shared" si="94"/>
        <v>0</v>
      </c>
      <c r="BR132" s="364">
        <f t="shared" si="94"/>
        <v>0</v>
      </c>
      <c r="BS132" s="364">
        <f t="shared" si="94"/>
        <v>0</v>
      </c>
      <c r="BT132" s="364">
        <f t="shared" si="94"/>
        <v>0</v>
      </c>
      <c r="BU132" s="364">
        <f t="shared" si="94"/>
        <v>0</v>
      </c>
      <c r="BV132" s="364">
        <f t="shared" si="94"/>
        <v>0</v>
      </c>
      <c r="BW132" s="364">
        <f t="shared" si="94"/>
        <v>0</v>
      </c>
      <c r="BX132" s="364">
        <f t="shared" si="94"/>
        <v>0</v>
      </c>
      <c r="BY132" s="364">
        <f t="shared" si="94"/>
        <v>0</v>
      </c>
      <c r="BZ132" s="364">
        <f t="shared" si="94"/>
        <v>0</v>
      </c>
    </row>
    <row r="133" spans="2:78" ht="21" customHeight="1">
      <c r="B133" s="367"/>
      <c r="C133" s="370"/>
      <c r="D133" s="369"/>
      <c r="E133" s="373"/>
      <c r="F133" s="359"/>
      <c r="G133" s="368"/>
      <c r="H133" s="368"/>
      <c r="I133" s="368"/>
      <c r="J133" s="368"/>
      <c r="L133" s="359"/>
      <c r="M133" s="368"/>
      <c r="N133" s="368"/>
      <c r="O133" s="368"/>
      <c r="P133" s="368"/>
      <c r="Q133" s="368"/>
      <c r="R133" s="368"/>
      <c r="S133" s="368"/>
      <c r="T133" s="368"/>
      <c r="U133" s="368"/>
      <c r="V133" s="368"/>
      <c r="W133" s="368"/>
      <c r="X133" s="368"/>
      <c r="Y133" s="368"/>
      <c r="Z133" s="368"/>
      <c r="AA133" s="368"/>
      <c r="AB133" s="368"/>
      <c r="AD133" s="359"/>
      <c r="AE133" s="368"/>
      <c r="AF133" s="368"/>
      <c r="AG133" s="368"/>
      <c r="AH133" s="368"/>
      <c r="AI133" s="368"/>
      <c r="AJ133" s="368"/>
      <c r="AK133" s="368"/>
      <c r="AL133" s="368"/>
      <c r="AM133" s="368"/>
      <c r="AN133" s="368"/>
      <c r="AO133" s="368"/>
      <c r="AP133" s="368"/>
      <c r="AQ133" s="368"/>
      <c r="AR133" s="368"/>
      <c r="AS133" s="368"/>
      <c r="AT133" s="368"/>
      <c r="AU133" s="368"/>
      <c r="AV133" s="368"/>
      <c r="AW133" s="368"/>
      <c r="AX133" s="368"/>
      <c r="AY133" s="368"/>
      <c r="AZ133" s="368"/>
      <c r="BA133" s="368"/>
      <c r="BB133" s="368"/>
      <c r="BC133" s="368"/>
      <c r="BD133" s="368"/>
      <c r="BE133" s="368"/>
      <c r="BF133" s="368"/>
      <c r="BG133" s="368"/>
      <c r="BH133" s="368"/>
      <c r="BI133" s="368"/>
      <c r="BJ133" s="368"/>
      <c r="BK133" s="368"/>
      <c r="BL133" s="368"/>
      <c r="BM133" s="368"/>
      <c r="BN133" s="368"/>
      <c r="BO133" s="368"/>
      <c r="BP133" s="368"/>
      <c r="BQ133" s="368"/>
      <c r="BR133" s="368"/>
      <c r="BS133" s="368"/>
      <c r="BT133" s="368"/>
      <c r="BU133" s="368"/>
      <c r="BV133" s="368"/>
      <c r="BW133" s="368"/>
      <c r="BX133" s="368"/>
      <c r="BY133" s="368"/>
      <c r="BZ133" s="368"/>
    </row>
    <row r="134" spans="2:78" s="51" customFormat="1" ht="24">
      <c r="B134" s="632" t="s">
        <v>438</v>
      </c>
      <c r="C134" s="475"/>
      <c r="D134" s="475"/>
      <c r="E134" s="633"/>
      <c r="F134" s="359"/>
      <c r="G134" s="634"/>
      <c r="H134" s="634"/>
      <c r="I134" s="634"/>
      <c r="J134" s="634"/>
      <c r="L134" s="359"/>
      <c r="M134" s="634"/>
      <c r="N134" s="634"/>
      <c r="O134" s="634"/>
      <c r="P134" s="634"/>
      <c r="Q134" s="634"/>
      <c r="R134" s="634"/>
      <c r="S134" s="634"/>
      <c r="T134" s="634"/>
      <c r="U134" s="634"/>
      <c r="V134" s="634"/>
      <c r="W134" s="634"/>
      <c r="X134" s="634"/>
      <c r="Y134" s="634"/>
      <c r="Z134" s="634"/>
      <c r="AA134" s="634"/>
      <c r="AB134" s="634"/>
      <c r="AD134" s="359"/>
      <c r="AE134" s="634"/>
      <c r="AF134" s="634"/>
      <c r="AG134" s="634"/>
      <c r="AH134" s="634"/>
      <c r="AI134" s="634"/>
      <c r="AJ134" s="634"/>
      <c r="AK134" s="634"/>
      <c r="AL134" s="634"/>
      <c r="AM134" s="634"/>
      <c r="AN134" s="634"/>
      <c r="AO134" s="634"/>
      <c r="AP134" s="634"/>
      <c r="AQ134" s="634"/>
      <c r="AR134" s="634"/>
      <c r="AS134" s="634"/>
      <c r="AT134" s="634"/>
      <c r="AU134" s="634"/>
      <c r="AV134" s="634"/>
      <c r="AW134" s="634"/>
      <c r="AX134" s="634"/>
      <c r="AY134" s="634"/>
      <c r="AZ134" s="634"/>
      <c r="BA134" s="634"/>
      <c r="BB134" s="634"/>
      <c r="BC134" s="634"/>
      <c r="BD134" s="634"/>
      <c r="BE134" s="634"/>
      <c r="BF134" s="634"/>
      <c r="BG134" s="634"/>
      <c r="BH134" s="634"/>
      <c r="BI134" s="634"/>
      <c r="BJ134" s="634"/>
      <c r="BK134" s="634"/>
      <c r="BL134" s="634"/>
      <c r="BM134" s="634"/>
      <c r="BN134" s="634"/>
      <c r="BO134" s="634"/>
      <c r="BP134" s="634"/>
      <c r="BQ134" s="634"/>
      <c r="BR134" s="634"/>
      <c r="BS134" s="634"/>
      <c r="BT134" s="634"/>
      <c r="BU134" s="634"/>
      <c r="BV134" s="634"/>
      <c r="BW134" s="634"/>
      <c r="BX134" s="634"/>
      <c r="BY134" s="634"/>
      <c r="BZ134" s="634"/>
    </row>
    <row r="135" spans="2:78" ht="21" customHeight="1" outlineLevel="1">
      <c r="B135" s="367"/>
      <c r="C135" s="370"/>
      <c r="D135" s="383" t="s">
        <v>423</v>
      </c>
      <c r="E135" s="373"/>
      <c r="F135" s="359"/>
      <c r="G135" s="408">
        <f>INDEX($AE135:$BZ135,MATCH(G$4,$AE$4:$BZ$4,0))</f>
        <v>0</v>
      </c>
      <c r="H135" s="408">
        <f>INDEX($AE135:$BZ135,MATCH(H$4,$AE$4:$BZ$4,0))</f>
        <v>41812</v>
      </c>
      <c r="I135" s="408">
        <f>INDEX($AE135:$BZ135,MATCH(I$4,$AE$4:$BZ$4,0))</f>
        <v>52314</v>
      </c>
      <c r="J135" s="408">
        <f>INDEX($AE135:$BZ135,MATCH(J$4,$AE$4:$BZ$4,0))</f>
        <v>183599.24</v>
      </c>
      <c r="K135" s="521"/>
      <c r="L135" s="359"/>
      <c r="M135" s="408">
        <f t="shared" ref="M135:AB135" si="95">INDEX($AE135:$BZ135,MATCH(M$4,$AE$4:$BZ$4,0))</f>
        <v>0</v>
      </c>
      <c r="N135" s="408">
        <f t="shared" si="95"/>
        <v>20100</v>
      </c>
      <c r="O135" s="408">
        <f t="shared" si="95"/>
        <v>26753</v>
      </c>
      <c r="P135" s="408">
        <f t="shared" si="95"/>
        <v>35608</v>
      </c>
      <c r="Q135" s="408">
        <f t="shared" si="95"/>
        <v>41812</v>
      </c>
      <c r="R135" s="408">
        <f t="shared" si="95"/>
        <v>40987</v>
      </c>
      <c r="S135" s="408">
        <f t="shared" si="95"/>
        <v>44983</v>
      </c>
      <c r="T135" s="408">
        <f t="shared" si="95"/>
        <v>48580</v>
      </c>
      <c r="U135" s="408">
        <f t="shared" si="95"/>
        <v>52314</v>
      </c>
      <c r="V135" s="408">
        <f t="shared" si="95"/>
        <v>56307.77</v>
      </c>
      <c r="W135" s="408">
        <f t="shared" si="95"/>
        <v>78845.320000000007</v>
      </c>
      <c r="X135" s="408">
        <f t="shared" si="95"/>
        <v>98423.66</v>
      </c>
      <c r="Y135" s="408">
        <f t="shared" si="95"/>
        <v>183599.24</v>
      </c>
      <c r="Z135" s="408">
        <f t="shared" si="95"/>
        <v>0</v>
      </c>
      <c r="AA135" s="408">
        <f t="shared" si="95"/>
        <v>0</v>
      </c>
      <c r="AB135" s="408">
        <f t="shared" si="95"/>
        <v>0</v>
      </c>
      <c r="AC135" s="479"/>
      <c r="AD135" s="359"/>
      <c r="AE135" s="520">
        <f>SUMIFS('Data Summary'!L$77:L$105,dataGLBSAcctIDs,$E$141)</f>
        <v>0</v>
      </c>
      <c r="AF135" s="479">
        <f t="shared" ref="AF135:BZ135" si="96">AE138</f>
        <v>10000</v>
      </c>
      <c r="AG135" s="479">
        <f t="shared" si="96"/>
        <v>16000</v>
      </c>
      <c r="AH135" s="479">
        <f t="shared" si="96"/>
        <v>20100</v>
      </c>
      <c r="AI135" s="479">
        <f t="shared" si="96"/>
        <v>22110</v>
      </c>
      <c r="AJ135" s="479">
        <f t="shared" si="96"/>
        <v>24321</v>
      </c>
      <c r="AK135" s="479">
        <f t="shared" si="96"/>
        <v>26753</v>
      </c>
      <c r="AL135" s="479">
        <f t="shared" si="96"/>
        <v>29428</v>
      </c>
      <c r="AM135" s="479">
        <f t="shared" si="96"/>
        <v>32371</v>
      </c>
      <c r="AN135" s="479">
        <f t="shared" si="96"/>
        <v>35608</v>
      </c>
      <c r="AO135" s="479">
        <f t="shared" si="96"/>
        <v>39169</v>
      </c>
      <c r="AP135" s="479">
        <f t="shared" si="96"/>
        <v>44169</v>
      </c>
      <c r="AQ135" s="479">
        <f>AR138</f>
        <v>41812</v>
      </c>
      <c r="AR135" s="479">
        <f t="shared" si="96"/>
        <v>41127</v>
      </c>
      <c r="AS135" s="479">
        <f t="shared" si="96"/>
        <v>41812</v>
      </c>
      <c r="AT135" s="479">
        <f t="shared" si="96"/>
        <v>40987</v>
      </c>
      <c r="AU135" s="479">
        <f t="shared" si="96"/>
        <v>43374</v>
      </c>
      <c r="AV135" s="479">
        <f t="shared" si="96"/>
        <v>44161</v>
      </c>
      <c r="AW135" s="479">
        <f t="shared" si="96"/>
        <v>44983</v>
      </c>
      <c r="AX135" s="479">
        <f t="shared" si="96"/>
        <v>46381</v>
      </c>
      <c r="AY135" s="479">
        <f t="shared" si="96"/>
        <v>47434</v>
      </c>
      <c r="AZ135" s="479">
        <f t="shared" si="96"/>
        <v>48580</v>
      </c>
      <c r="BA135" s="479">
        <f t="shared" si="96"/>
        <v>49839</v>
      </c>
      <c r="BB135" s="479">
        <f t="shared" si="96"/>
        <v>51049</v>
      </c>
      <c r="BC135" s="479">
        <f t="shared" si="96"/>
        <v>52314</v>
      </c>
      <c r="BD135" s="479">
        <f t="shared" si="96"/>
        <v>53620.77</v>
      </c>
      <c r="BE135" s="479">
        <f t="shared" si="96"/>
        <v>54944.77</v>
      </c>
      <c r="BF135" s="479">
        <f t="shared" si="96"/>
        <v>56307.77</v>
      </c>
      <c r="BG135" s="479">
        <f t="shared" si="96"/>
        <v>57705.77</v>
      </c>
      <c r="BH135" s="479">
        <f t="shared" si="96"/>
        <v>59135.77</v>
      </c>
      <c r="BI135" s="479">
        <f t="shared" si="96"/>
        <v>78845.320000000007</v>
      </c>
      <c r="BJ135" s="479">
        <f t="shared" si="96"/>
        <v>77305.53</v>
      </c>
      <c r="BK135" s="479">
        <f t="shared" si="96"/>
        <v>78845.320000000007</v>
      </c>
      <c r="BL135" s="479">
        <f t="shared" si="96"/>
        <v>98423.66</v>
      </c>
      <c r="BM135" s="479">
        <f t="shared" si="96"/>
        <v>110041.05</v>
      </c>
      <c r="BN135" s="479">
        <f t="shared" si="96"/>
        <v>127198.48</v>
      </c>
      <c r="BO135" s="479">
        <f t="shared" si="96"/>
        <v>183599.24</v>
      </c>
      <c r="BP135" s="479">
        <f t="shared" si="96"/>
        <v>91799.62</v>
      </c>
      <c r="BQ135" s="479">
        <f t="shared" si="96"/>
        <v>0</v>
      </c>
      <c r="BR135" s="479">
        <f t="shared" si="96"/>
        <v>0</v>
      </c>
      <c r="BS135" s="479">
        <f t="shared" si="96"/>
        <v>0</v>
      </c>
      <c r="BT135" s="479">
        <f t="shared" si="96"/>
        <v>0</v>
      </c>
      <c r="BU135" s="479">
        <f t="shared" si="96"/>
        <v>0</v>
      </c>
      <c r="BV135" s="479">
        <f t="shared" si="96"/>
        <v>0</v>
      </c>
      <c r="BW135" s="479">
        <f t="shared" si="96"/>
        <v>0</v>
      </c>
      <c r="BX135" s="479">
        <f t="shared" si="96"/>
        <v>0</v>
      </c>
      <c r="BY135" s="479">
        <f t="shared" si="96"/>
        <v>0</v>
      </c>
      <c r="BZ135" s="479">
        <f t="shared" si="96"/>
        <v>0</v>
      </c>
    </row>
    <row r="136" spans="2:78" ht="21" customHeight="1" outlineLevel="1">
      <c r="B136" s="367"/>
      <c r="C136" s="370"/>
      <c r="D136" s="383" t="s">
        <v>424</v>
      </c>
      <c r="E136" s="373"/>
      <c r="F136" s="359"/>
      <c r="G136" s="408">
        <f t="shared" ref="G136:J137" si="97">SUMIFS($AE136:$BZ136,$AE$4:$BZ$4,"&gt;="&amp;G$4,$AE$5:$BZ$5,"&lt;="&amp;G$5)</f>
        <v>0</v>
      </c>
      <c r="H136" s="408">
        <f t="shared" si="97"/>
        <v>0</v>
      </c>
      <c r="I136" s="408">
        <f t="shared" si="97"/>
        <v>120000</v>
      </c>
      <c r="J136" s="408">
        <f t="shared" si="97"/>
        <v>0</v>
      </c>
      <c r="K136" s="408"/>
      <c r="L136" s="408"/>
      <c r="M136" s="408">
        <f t="shared" ref="M136:AB137" si="98">SUMIFS($AE136:$BZ136,$AE$4:$BZ$4,"&gt;="&amp;M$4,$AE$5:$BZ$5,"&lt;="&amp;M$5)</f>
        <v>0</v>
      </c>
      <c r="N136" s="408">
        <f t="shared" si="98"/>
        <v>0</v>
      </c>
      <c r="O136" s="408">
        <f t="shared" si="98"/>
        <v>0</v>
      </c>
      <c r="P136" s="408">
        <f t="shared" si="98"/>
        <v>0</v>
      </c>
      <c r="Q136" s="408">
        <f t="shared" si="98"/>
        <v>0</v>
      </c>
      <c r="R136" s="408">
        <f t="shared" si="98"/>
        <v>0</v>
      </c>
      <c r="S136" s="408">
        <f t="shared" si="98"/>
        <v>0</v>
      </c>
      <c r="T136" s="408">
        <f t="shared" si="98"/>
        <v>0</v>
      </c>
      <c r="U136" s="408">
        <f t="shared" si="98"/>
        <v>0</v>
      </c>
      <c r="V136" s="408">
        <f t="shared" si="98"/>
        <v>0</v>
      </c>
      <c r="W136" s="408">
        <f t="shared" si="98"/>
        <v>0</v>
      </c>
      <c r="X136" s="408">
        <f t="shared" si="98"/>
        <v>120000</v>
      </c>
      <c r="Y136" s="408">
        <f t="shared" si="98"/>
        <v>0</v>
      </c>
      <c r="Z136" s="408">
        <f t="shared" si="98"/>
        <v>0</v>
      </c>
      <c r="AA136" s="408">
        <f t="shared" si="98"/>
        <v>0</v>
      </c>
      <c r="AB136" s="408">
        <f t="shared" si="98"/>
        <v>0</v>
      </c>
      <c r="AC136" s="479"/>
      <c r="AD136" s="359"/>
      <c r="AE136" s="479">
        <f t="shared" ref="AE136:AO136" si="99">IF(AE$8&lt;=LatestMonthOfActuals,0,AE$27)</f>
        <v>0</v>
      </c>
      <c r="AF136" s="479">
        <f t="shared" si="99"/>
        <v>0</v>
      </c>
      <c r="AG136" s="479">
        <f t="shared" si="99"/>
        <v>0</v>
      </c>
      <c r="AH136" s="479">
        <f t="shared" si="99"/>
        <v>0</v>
      </c>
      <c r="AI136" s="479">
        <f t="shared" si="99"/>
        <v>0</v>
      </c>
      <c r="AJ136" s="479">
        <f t="shared" si="99"/>
        <v>0</v>
      </c>
      <c r="AK136" s="479">
        <f t="shared" si="99"/>
        <v>0</v>
      </c>
      <c r="AL136" s="479">
        <f t="shared" si="99"/>
        <v>0</v>
      </c>
      <c r="AM136" s="479">
        <f t="shared" si="99"/>
        <v>0</v>
      </c>
      <c r="AN136" s="479">
        <f t="shared" si="99"/>
        <v>0</v>
      </c>
      <c r="AO136" s="479">
        <f t="shared" si="99"/>
        <v>0</v>
      </c>
      <c r="AP136" s="479">
        <f>IF(AR$8&lt;=LatestMonthOfActuals,0,AR$27)</f>
        <v>0</v>
      </c>
      <c r="AQ136" s="479">
        <f t="shared" ref="AQ136:BZ136" si="100">IF(AQ$8&lt;=LatestMonthOfActuals,0,AQ$27)</f>
        <v>0</v>
      </c>
      <c r="AR136" s="479">
        <f t="shared" si="100"/>
        <v>0</v>
      </c>
      <c r="AS136" s="479">
        <f t="shared" si="100"/>
        <v>0</v>
      </c>
      <c r="AT136" s="479">
        <f t="shared" si="100"/>
        <v>0</v>
      </c>
      <c r="AU136" s="479">
        <f t="shared" si="100"/>
        <v>0</v>
      </c>
      <c r="AV136" s="479">
        <f t="shared" si="100"/>
        <v>0</v>
      </c>
      <c r="AW136" s="479">
        <f t="shared" si="100"/>
        <v>0</v>
      </c>
      <c r="AX136" s="479">
        <f t="shared" si="100"/>
        <v>0</v>
      </c>
      <c r="AY136" s="479">
        <f t="shared" si="100"/>
        <v>0</v>
      </c>
      <c r="AZ136" s="479">
        <f t="shared" si="100"/>
        <v>0</v>
      </c>
      <c r="BA136" s="479">
        <f t="shared" si="100"/>
        <v>0</v>
      </c>
      <c r="BB136" s="479">
        <f t="shared" si="100"/>
        <v>0</v>
      </c>
      <c r="BC136" s="479">
        <f t="shared" si="100"/>
        <v>0</v>
      </c>
      <c r="BD136" s="479">
        <f t="shared" si="100"/>
        <v>0</v>
      </c>
      <c r="BE136" s="479">
        <f t="shared" si="100"/>
        <v>0</v>
      </c>
      <c r="BF136" s="479">
        <f t="shared" si="100"/>
        <v>0</v>
      </c>
      <c r="BG136" s="479">
        <f t="shared" si="100"/>
        <v>0</v>
      </c>
      <c r="BH136" s="479">
        <f t="shared" si="100"/>
        <v>0</v>
      </c>
      <c r="BI136" s="479">
        <f t="shared" si="100"/>
        <v>0</v>
      </c>
      <c r="BJ136" s="479">
        <f t="shared" si="100"/>
        <v>0</v>
      </c>
      <c r="BK136" s="479">
        <f t="shared" si="100"/>
        <v>0</v>
      </c>
      <c r="BL136" s="479">
        <f t="shared" si="100"/>
        <v>0</v>
      </c>
      <c r="BM136" s="479">
        <f t="shared" si="100"/>
        <v>0</v>
      </c>
      <c r="BN136" s="479">
        <f t="shared" si="100"/>
        <v>120000</v>
      </c>
      <c r="BO136" s="479">
        <f t="shared" si="100"/>
        <v>0</v>
      </c>
      <c r="BP136" s="479">
        <f t="shared" si="100"/>
        <v>0</v>
      </c>
      <c r="BQ136" s="479">
        <f t="shared" si="100"/>
        <v>0</v>
      </c>
      <c r="BR136" s="479">
        <f t="shared" si="100"/>
        <v>0</v>
      </c>
      <c r="BS136" s="479">
        <f t="shared" si="100"/>
        <v>0</v>
      </c>
      <c r="BT136" s="479">
        <f t="shared" si="100"/>
        <v>0</v>
      </c>
      <c r="BU136" s="479">
        <f t="shared" si="100"/>
        <v>0</v>
      </c>
      <c r="BV136" s="479">
        <f t="shared" si="100"/>
        <v>0</v>
      </c>
      <c r="BW136" s="479">
        <f t="shared" si="100"/>
        <v>0</v>
      </c>
      <c r="BX136" s="479">
        <f t="shared" si="100"/>
        <v>0</v>
      </c>
      <c r="BY136" s="479">
        <f t="shared" si="100"/>
        <v>0</v>
      </c>
      <c r="BZ136" s="479">
        <f t="shared" si="100"/>
        <v>0</v>
      </c>
    </row>
    <row r="137" spans="2:78" ht="21" customHeight="1" outlineLevel="1">
      <c r="B137" s="367"/>
      <c r="C137" s="370"/>
      <c r="D137" s="383" t="s">
        <v>439</v>
      </c>
      <c r="E137" s="373"/>
      <c r="F137" s="359"/>
      <c r="G137" s="408">
        <f t="shared" si="97"/>
        <v>0</v>
      </c>
      <c r="H137" s="408">
        <f t="shared" si="97"/>
        <v>0</v>
      </c>
      <c r="I137" s="408">
        <f t="shared" si="97"/>
        <v>63599.24</v>
      </c>
      <c r="J137" s="408">
        <f t="shared" si="97"/>
        <v>183599.24</v>
      </c>
      <c r="K137" s="408"/>
      <c r="L137" s="408"/>
      <c r="M137" s="408">
        <f t="shared" si="98"/>
        <v>0</v>
      </c>
      <c r="N137" s="408">
        <f t="shared" si="98"/>
        <v>0</v>
      </c>
      <c r="O137" s="408">
        <f t="shared" si="98"/>
        <v>0</v>
      </c>
      <c r="P137" s="408">
        <f t="shared" si="98"/>
        <v>0</v>
      </c>
      <c r="Q137" s="408">
        <f t="shared" si="98"/>
        <v>0</v>
      </c>
      <c r="R137" s="408">
        <f t="shared" si="98"/>
        <v>0</v>
      </c>
      <c r="S137" s="408">
        <f t="shared" si="98"/>
        <v>0</v>
      </c>
      <c r="T137" s="408">
        <f t="shared" si="98"/>
        <v>0</v>
      </c>
      <c r="U137" s="408">
        <f t="shared" si="98"/>
        <v>0</v>
      </c>
      <c r="V137" s="408">
        <f t="shared" si="98"/>
        <v>0</v>
      </c>
      <c r="W137" s="408">
        <f t="shared" si="98"/>
        <v>0</v>
      </c>
      <c r="X137" s="408">
        <f t="shared" si="98"/>
        <v>63599.24</v>
      </c>
      <c r="Y137" s="408">
        <f t="shared" si="98"/>
        <v>183599.24</v>
      </c>
      <c r="Z137" s="408">
        <f t="shared" si="98"/>
        <v>0</v>
      </c>
      <c r="AA137" s="408">
        <f t="shared" si="98"/>
        <v>0</v>
      </c>
      <c r="AB137" s="408">
        <f t="shared" si="98"/>
        <v>0</v>
      </c>
      <c r="AC137" s="479"/>
      <c r="AD137" s="359"/>
      <c r="AE137" s="479">
        <f t="shared" ref="AE137:AO137" si="101">AE$132</f>
        <v>0</v>
      </c>
      <c r="AF137" s="479">
        <f t="shared" si="101"/>
        <v>0</v>
      </c>
      <c r="AG137" s="479">
        <f t="shared" si="101"/>
        <v>0</v>
      </c>
      <c r="AH137" s="479">
        <f t="shared" si="101"/>
        <v>0</v>
      </c>
      <c r="AI137" s="479">
        <f t="shared" si="101"/>
        <v>0</v>
      </c>
      <c r="AJ137" s="479">
        <f t="shared" si="101"/>
        <v>0</v>
      </c>
      <c r="AK137" s="479">
        <f t="shared" si="101"/>
        <v>0</v>
      </c>
      <c r="AL137" s="479">
        <f t="shared" si="101"/>
        <v>0</v>
      </c>
      <c r="AM137" s="479">
        <f t="shared" si="101"/>
        <v>0</v>
      </c>
      <c r="AN137" s="479">
        <f t="shared" si="101"/>
        <v>0</v>
      </c>
      <c r="AO137" s="479">
        <f t="shared" si="101"/>
        <v>0</v>
      </c>
      <c r="AP137" s="479">
        <f>AR$132</f>
        <v>0</v>
      </c>
      <c r="AQ137" s="479">
        <f t="shared" ref="AQ137:BZ137" si="102">AQ$132</f>
        <v>0</v>
      </c>
      <c r="AR137" s="479">
        <f t="shared" si="102"/>
        <v>0</v>
      </c>
      <c r="AS137" s="479">
        <f t="shared" si="102"/>
        <v>0</v>
      </c>
      <c r="AT137" s="479">
        <f t="shared" si="102"/>
        <v>0</v>
      </c>
      <c r="AU137" s="479">
        <f t="shared" si="102"/>
        <v>0</v>
      </c>
      <c r="AV137" s="479">
        <f t="shared" si="102"/>
        <v>0</v>
      </c>
      <c r="AW137" s="479">
        <f t="shared" si="102"/>
        <v>0</v>
      </c>
      <c r="AX137" s="479">
        <f t="shared" si="102"/>
        <v>0</v>
      </c>
      <c r="AY137" s="479">
        <f t="shared" si="102"/>
        <v>0</v>
      </c>
      <c r="AZ137" s="479">
        <f t="shared" si="102"/>
        <v>0</v>
      </c>
      <c r="BA137" s="479">
        <f t="shared" si="102"/>
        <v>0</v>
      </c>
      <c r="BB137" s="479">
        <f t="shared" si="102"/>
        <v>0</v>
      </c>
      <c r="BC137" s="479">
        <f t="shared" si="102"/>
        <v>0</v>
      </c>
      <c r="BD137" s="479">
        <f t="shared" si="102"/>
        <v>0</v>
      </c>
      <c r="BE137" s="479">
        <f t="shared" si="102"/>
        <v>0</v>
      </c>
      <c r="BF137" s="479">
        <f t="shared" si="102"/>
        <v>0</v>
      </c>
      <c r="BG137" s="479">
        <f t="shared" si="102"/>
        <v>0</v>
      </c>
      <c r="BH137" s="479">
        <f t="shared" si="102"/>
        <v>0</v>
      </c>
      <c r="BI137" s="479">
        <f t="shared" si="102"/>
        <v>0</v>
      </c>
      <c r="BJ137" s="479">
        <f t="shared" si="102"/>
        <v>0</v>
      </c>
      <c r="BK137" s="479">
        <f t="shared" si="102"/>
        <v>0</v>
      </c>
      <c r="BL137" s="479">
        <f t="shared" si="102"/>
        <v>0</v>
      </c>
      <c r="BM137" s="479">
        <f t="shared" si="102"/>
        <v>0</v>
      </c>
      <c r="BN137" s="479">
        <f t="shared" si="102"/>
        <v>63599.24</v>
      </c>
      <c r="BO137" s="479">
        <f t="shared" si="102"/>
        <v>91799.62</v>
      </c>
      <c r="BP137" s="479">
        <f t="shared" si="102"/>
        <v>91799.62</v>
      </c>
      <c r="BQ137" s="479">
        <f t="shared" si="102"/>
        <v>0</v>
      </c>
      <c r="BR137" s="479">
        <f t="shared" si="102"/>
        <v>0</v>
      </c>
      <c r="BS137" s="479">
        <f t="shared" si="102"/>
        <v>0</v>
      </c>
      <c r="BT137" s="479">
        <f t="shared" si="102"/>
        <v>0</v>
      </c>
      <c r="BU137" s="479">
        <f t="shared" si="102"/>
        <v>0</v>
      </c>
      <c r="BV137" s="479">
        <f t="shared" si="102"/>
        <v>0</v>
      </c>
      <c r="BW137" s="479">
        <f t="shared" si="102"/>
        <v>0</v>
      </c>
      <c r="BX137" s="479">
        <f t="shared" si="102"/>
        <v>0</v>
      </c>
      <c r="BY137" s="479">
        <f t="shared" si="102"/>
        <v>0</v>
      </c>
      <c r="BZ137" s="479">
        <f t="shared" si="102"/>
        <v>0</v>
      </c>
    </row>
    <row r="138" spans="2:78" s="357" customFormat="1" ht="21" customHeight="1" outlineLevel="1">
      <c r="B138" s="367"/>
      <c r="C138" s="370"/>
      <c r="D138" s="365" t="s">
        <v>426</v>
      </c>
      <c r="E138" s="519"/>
      <c r="F138" s="359"/>
      <c r="G138" s="518">
        <f>INDEX($AE138:$BZ138,MATCH(G$5,$AE$5:$BZ$5,0))</f>
        <v>34169</v>
      </c>
      <c r="H138" s="518">
        <f>INDEX($AE138:$BZ138,MATCH(H$5,$AE$5:$BZ$5,0))</f>
        <v>52314</v>
      </c>
      <c r="I138" s="518">
        <f>INDEX($AE138:$BZ138,MATCH(I$5,$AE$5:$BZ$5,0))</f>
        <v>183599.24</v>
      </c>
      <c r="J138" s="518">
        <f>INDEX($AE138:$BZ138,MATCH(J$5,$AE$5:$BZ$5,0))</f>
        <v>0</v>
      </c>
      <c r="L138" s="359"/>
      <c r="M138" s="518">
        <f t="shared" ref="M138:AB138" si="103">INDEX($AE138:$BZ138,MATCH(M$5,$AE$5:$BZ$5,0))</f>
        <v>20100</v>
      </c>
      <c r="N138" s="518">
        <f t="shared" si="103"/>
        <v>26753</v>
      </c>
      <c r="O138" s="518">
        <f t="shared" si="103"/>
        <v>35608</v>
      </c>
      <c r="P138" s="518">
        <f t="shared" si="103"/>
        <v>34169</v>
      </c>
      <c r="Q138" s="518">
        <f t="shared" si="103"/>
        <v>40987</v>
      </c>
      <c r="R138" s="518">
        <f t="shared" si="103"/>
        <v>44983</v>
      </c>
      <c r="S138" s="518">
        <f t="shared" si="103"/>
        <v>48580</v>
      </c>
      <c r="T138" s="518">
        <f t="shared" si="103"/>
        <v>52314</v>
      </c>
      <c r="U138" s="518">
        <f t="shared" si="103"/>
        <v>56307.77</v>
      </c>
      <c r="V138" s="518">
        <f t="shared" si="103"/>
        <v>78845.320000000007</v>
      </c>
      <c r="W138" s="518">
        <f t="shared" si="103"/>
        <v>98423.66</v>
      </c>
      <c r="X138" s="518">
        <f t="shared" si="103"/>
        <v>183599.24</v>
      </c>
      <c r="Y138" s="518">
        <f t="shared" si="103"/>
        <v>0</v>
      </c>
      <c r="Z138" s="518">
        <f t="shared" si="103"/>
        <v>0</v>
      </c>
      <c r="AA138" s="518">
        <f t="shared" si="103"/>
        <v>0</v>
      </c>
      <c r="AB138" s="518">
        <f t="shared" si="103"/>
        <v>0</v>
      </c>
      <c r="AD138" s="359"/>
      <c r="AE138" s="518">
        <f>IF(AE$8&lt;=LatestMonthOfActuals,SUMIFS('Data Summary'!M$77:M$105,dataGLBSAcctIDs,$E$141),AE135+AE136-AE137)</f>
        <v>10000</v>
      </c>
      <c r="AF138" s="518">
        <f>IF(AF$8&lt;=LatestMonthOfActuals,SUMIFS('Data Summary'!N$77:N$105,dataGLBSAcctIDs,$E$141),AF135+AF136-AF137)</f>
        <v>16000</v>
      </c>
      <c r="AG138" s="518">
        <f>IF(AG$8&lt;=LatestMonthOfActuals,SUMIFS('Data Summary'!O$77:O$105,dataGLBSAcctIDs,$E$141),AG135+AG136-AG137)</f>
        <v>20100</v>
      </c>
      <c r="AH138" s="518">
        <f>IF(AH$8&lt;=LatestMonthOfActuals,SUMIFS('Data Summary'!P$77:P$105,dataGLBSAcctIDs,$E$141),AH135+AH136-AH137)</f>
        <v>22110</v>
      </c>
      <c r="AI138" s="518">
        <f>IF(AI$8&lt;=LatestMonthOfActuals,SUMIFS('Data Summary'!Q$77:Q$105,dataGLBSAcctIDs,$E$141),AI135+AI136-AI137)</f>
        <v>24321</v>
      </c>
      <c r="AJ138" s="518">
        <f>IF(AJ$8&lt;=LatestMonthOfActuals,SUMIFS('Data Summary'!R$77:R$105,dataGLBSAcctIDs,$E$141),AJ135+AJ136-AJ137)</f>
        <v>26753</v>
      </c>
      <c r="AK138" s="518">
        <f>IF(AK$8&lt;=LatestMonthOfActuals,SUMIFS('Data Summary'!S$77:S$105,dataGLBSAcctIDs,$E$141),AK135+AK136-AK137)</f>
        <v>29428</v>
      </c>
      <c r="AL138" s="518">
        <f>IF(AL$8&lt;=LatestMonthOfActuals,SUMIFS('Data Summary'!T$77:T$105,dataGLBSAcctIDs,$E$141),AL135+AL136-AL137)</f>
        <v>32371</v>
      </c>
      <c r="AM138" s="518">
        <f>IF(AM$8&lt;=LatestMonthOfActuals,SUMIFS('Data Summary'!U$77:U$105,dataGLBSAcctIDs,$E$141),AM135+AM136-AM137)</f>
        <v>35608</v>
      </c>
      <c r="AN138" s="518">
        <f>IF(AN$8&lt;=LatestMonthOfActuals,SUMIFS('Data Summary'!V$77:V$105,dataGLBSAcctIDs,$E$141),AN135+AN136-AN137)</f>
        <v>39169</v>
      </c>
      <c r="AO138" s="518">
        <f>IF(AO$8&lt;=LatestMonthOfActuals,SUMIFS('Data Summary'!W$77:W$105,dataGLBSAcctIDs,$E$141),AO135+AO136-AO137)</f>
        <v>44169</v>
      </c>
      <c r="AP138" s="518">
        <f>IF(AR$8&lt;=LatestMonthOfActuals,SUMIFS('Data Summary'!X$77:X$105,dataGLBSAcctIDs,$E$141),AR135+AR136-AR137)</f>
        <v>34169</v>
      </c>
      <c r="AQ138" s="518">
        <f>IF(AQ$8&lt;=LatestMonthOfActuals,SUMIFS('Data Summary'!Y$77:Y$105,dataGLBSAcctIDs,$E$141),AQ135+AQ136-AQ137)</f>
        <v>41127</v>
      </c>
      <c r="AR138" s="518">
        <f>IF(AR$8&lt;=LatestMonthOfActuals,SUMIFS('Data Summary'!Z$77:Z$105,dataGLBSAcctIDs,$E$141),AR135+AR136-AR137)</f>
        <v>41812</v>
      </c>
      <c r="AS138" s="518">
        <f>IF(AS$8&lt;=LatestMonthOfActuals,SUMIFS('Data Summary'!AA$77:AA$105,dataGLBSAcctIDs,$E$141),AS135+AS136-AS137)</f>
        <v>40987</v>
      </c>
      <c r="AT138" s="518">
        <f>IF(AT$8&lt;=LatestMonthOfActuals,SUMIFS('Data Summary'!AB$77:AB$105,dataGLBSAcctIDs,$E$141),AT135+AT136-AT137)</f>
        <v>43374</v>
      </c>
      <c r="AU138" s="518">
        <f>IF(AU$8&lt;=LatestMonthOfActuals,SUMIFS('Data Summary'!AC$77:AC$105,dataGLBSAcctIDs,$E$141),AU135+AU136-AU137)</f>
        <v>44161</v>
      </c>
      <c r="AV138" s="518">
        <f>IF(AV$8&lt;=LatestMonthOfActuals,SUMIFS('Data Summary'!AD$77:AD$105,dataGLBSAcctIDs,$E$141),AV135+AV136-AV137)</f>
        <v>44983</v>
      </c>
      <c r="AW138" s="518">
        <f>IF(AW$8&lt;=LatestMonthOfActuals,SUMIFS('Data Summary'!AE$77:AE$105,dataGLBSAcctIDs,$E$141),AW135+AW136-AW137)</f>
        <v>46381</v>
      </c>
      <c r="AX138" s="518">
        <f>IF(AX$8&lt;=LatestMonthOfActuals,SUMIFS('Data Summary'!AF$77:AF$105,dataGLBSAcctIDs,$E$141),AX135+AX136-AX137)</f>
        <v>47434</v>
      </c>
      <c r="AY138" s="518">
        <f>IF(AY$8&lt;=LatestMonthOfActuals,SUMIFS('Data Summary'!AG$77:AG$105,dataGLBSAcctIDs,$E$141),AY135+AY136-AY137)</f>
        <v>48580</v>
      </c>
      <c r="AZ138" s="518">
        <f>IF(AZ$8&lt;=LatestMonthOfActuals,SUMIFS('Data Summary'!AH$77:AH$105,dataGLBSAcctIDs,$E$141),AZ135+AZ136-AZ137)</f>
        <v>49839</v>
      </c>
      <c r="BA138" s="518">
        <f>IF(BA$8&lt;=LatestMonthOfActuals,SUMIFS('Data Summary'!AI$77:AI$105,dataGLBSAcctIDs,$E$141),BA135+BA136-BA137)</f>
        <v>51049</v>
      </c>
      <c r="BB138" s="518">
        <f>IF(BB$8&lt;=LatestMonthOfActuals,SUMIFS('Data Summary'!AJ$77:AJ$105,dataGLBSAcctIDs,$E$141),BB135+BB136-BB137)</f>
        <v>52314</v>
      </c>
      <c r="BC138" s="518">
        <f>IF(BC$8&lt;=LatestMonthOfActuals,SUMIFS('Data Summary'!AK$77:AK$105,dataGLBSAcctIDs,$E$141),BC135+BC136-BC137)</f>
        <v>53620.77</v>
      </c>
      <c r="BD138" s="518">
        <f>IF(BD$8&lt;=LatestMonthOfActuals,SUMIFS('Data Summary'!AL$77:AL$105,dataGLBSAcctIDs,$E$141),BD135+BD136-BD137)</f>
        <v>54944.77</v>
      </c>
      <c r="BE138" s="518">
        <f>IF(BE$8&lt;=LatestMonthOfActuals,SUMIFS('Data Summary'!AM$77:AM$105,dataGLBSAcctIDs,$E$141),BE135+BE136-BE137)</f>
        <v>56307.77</v>
      </c>
      <c r="BF138" s="518">
        <f>IF(BF$8&lt;=LatestMonthOfActuals,SUMIFS('Data Summary'!AN$77:AN$105,dataGLBSAcctIDs,$E$141),BF135+BF136-BF137)</f>
        <v>57705.77</v>
      </c>
      <c r="BG138" s="518">
        <f>IF(BG$8&lt;=LatestMonthOfActuals,SUMIFS('Data Summary'!AO$77:AO$105,dataGLBSAcctIDs,$E$141),BG135+BG136-BG137)</f>
        <v>59135.77</v>
      </c>
      <c r="BH138" s="518">
        <f>IF(BH$8&lt;=LatestMonthOfActuals,SUMIFS('Data Summary'!AR$77:AR$105,dataGLBSAcctIDs,$E$141),BH135+BH136-BH137)</f>
        <v>78845.320000000007</v>
      </c>
      <c r="BI138" s="518">
        <f>IF(BI$8&lt;=LatestMonthOfActuals,SUMIFS('Data Summary'!AQ$77:AQ$105,dataGLBSAcctIDs,$E$141),BI135+BI136-BI137)</f>
        <v>77305.53</v>
      </c>
      <c r="BJ138" s="518">
        <f>IF(BJ$8&lt;=LatestMonthOfActuals,SUMIFS('Data Summary'!AR$77:AR$105,dataGLBSAcctIDs,$E$141),BJ135+BJ136-BJ137)</f>
        <v>78845.320000000007</v>
      </c>
      <c r="BK138" s="518">
        <f>IF(BK$8&lt;=LatestMonthOfActuals,SUMIFS('Data Summary'!AS$77:AS$105,dataGLBSAcctIDs,$E$141),BK135+BK136-BK137)</f>
        <v>98423.66</v>
      </c>
      <c r="BL138" s="518">
        <f>IF(BL$8&lt;=LatestMonthOfActuals,SUMIFS('Data Summary'!AT$77:AT$105,dataGLBSAcctIDs,$E$141),BL135+BL136-BL137)</f>
        <v>110041.05</v>
      </c>
      <c r="BM138" s="518">
        <f>IF(BM$8&lt;=LatestMonthOfActuals,SUMIFS('Data Summary'!AU$77:AU$105,dataGLBSAcctIDs,$E$141),BM135+BM136-BM137)</f>
        <v>127198.48</v>
      </c>
      <c r="BN138" s="518">
        <f>IF(BN$8&lt;=LatestMonthOfActuals,SUMIFS('Data Summary'!AV$77:AV$105,dataGLBSAcctIDs,$E$141),BN135+BN136-BN137)</f>
        <v>183599.24</v>
      </c>
      <c r="BO138" s="518">
        <f>IF(BO$8&lt;=LatestMonthOfActuals,SUMIFS('Data Summary'!AW$77:AW$105,dataGLBSAcctIDs,$E$141),BO135+BO136-BO137)</f>
        <v>91799.62</v>
      </c>
      <c r="BP138" s="518">
        <f>IF(BP$8&lt;=LatestMonthOfActuals,SUMIFS('Data Summary'!AX$77:AX$105,dataGLBSAcctIDs,$E$141),BP135+BP136-BP137)</f>
        <v>0</v>
      </c>
      <c r="BQ138" s="518">
        <f>IF(BQ$8&lt;=LatestMonthOfActuals,SUMIFS('Data Summary'!AY$77:AY$105,dataGLBSAcctIDs,$E$141),BQ135+BQ136-BQ137)</f>
        <v>0</v>
      </c>
      <c r="BR138" s="518">
        <f>IF(BR$8&lt;=LatestMonthOfActuals,SUMIFS('Data Summary'!AZ$77:AZ$105,dataGLBSAcctIDs,$E$141),BR135+BR136-BR137)</f>
        <v>0</v>
      </c>
      <c r="BS138" s="518">
        <f>IF(BS$8&lt;=LatestMonthOfActuals,SUMIFS('Data Summary'!BA$77:BA$105,dataGLBSAcctIDs,$E$141),BS135+BS136-BS137)</f>
        <v>0</v>
      </c>
      <c r="BT138" s="518">
        <f>IF(BT$8&lt;=LatestMonthOfActuals,SUMIFS('Data Summary'!BB$77:BB$105,dataGLBSAcctIDs,$E$141),BT135+BT136-BT137)</f>
        <v>0</v>
      </c>
      <c r="BU138" s="518">
        <f>IF(BU$8&lt;=LatestMonthOfActuals,SUMIFS('Data Summary'!BC$77:BC$105,dataGLBSAcctIDs,$E$141),BU135+BU136-BU137)</f>
        <v>0</v>
      </c>
      <c r="BV138" s="518">
        <f>IF(BV$8&lt;=LatestMonthOfActuals,SUMIFS('Data Summary'!BD$77:BD$105,dataGLBSAcctIDs,$E$141),BV135+BV136-BV137)</f>
        <v>0</v>
      </c>
      <c r="BW138" s="518">
        <f>IF(BW$8&lt;=LatestMonthOfActuals,SUMIFS('Data Summary'!BE$77:BE$105,dataGLBSAcctIDs,$E$141),BW135+BW136-BW137)</f>
        <v>0</v>
      </c>
      <c r="BX138" s="518">
        <f>IF(BX$8&lt;=LatestMonthOfActuals,SUMIFS('Data Summary'!BF$77:BF$105,dataGLBSAcctIDs,$E$141),BX135+BX136-BX137)</f>
        <v>0</v>
      </c>
      <c r="BY138" s="518">
        <f>IF(BY$8&lt;=LatestMonthOfActuals,SUMIFS('Data Summary'!BG$77:BG$105,dataGLBSAcctIDs,$E$141),BY135+BY136-BY137)</f>
        <v>0</v>
      </c>
      <c r="BZ138" s="518">
        <f>IF(BZ$8&lt;=LatestMonthOfActuals,SUMIFS('Data Summary'!BH$77:BH$105,dataGLBSAcctIDs,$E$141),BZ135+BZ136-BZ137)</f>
        <v>0</v>
      </c>
    </row>
    <row r="139" spans="2:78" ht="21" customHeight="1">
      <c r="B139" s="367"/>
      <c r="C139" s="370"/>
      <c r="D139" s="369"/>
      <c r="E139" s="373"/>
      <c r="F139" s="359"/>
      <c r="G139" s="368"/>
      <c r="H139" s="368"/>
      <c r="I139" s="368"/>
      <c r="J139" s="368"/>
      <c r="L139" s="359"/>
      <c r="M139" s="368"/>
      <c r="N139" s="368"/>
      <c r="O139" s="368"/>
      <c r="P139" s="368"/>
      <c r="Q139" s="368"/>
      <c r="R139" s="368"/>
      <c r="S139" s="368"/>
      <c r="T139" s="368"/>
      <c r="U139" s="368"/>
      <c r="V139" s="368"/>
      <c r="W139" s="368"/>
      <c r="X139" s="368"/>
      <c r="Y139" s="368"/>
      <c r="Z139" s="368"/>
      <c r="AA139" s="368"/>
      <c r="AB139" s="368"/>
      <c r="AD139" s="359"/>
      <c r="AE139" s="368"/>
      <c r="AF139" s="368"/>
      <c r="AG139" s="368"/>
      <c r="AH139" s="368"/>
      <c r="AI139" s="368"/>
      <c r="AJ139" s="368"/>
      <c r="AK139" s="368"/>
      <c r="AL139" s="368"/>
      <c r="AM139" s="368"/>
      <c r="AN139" s="368"/>
      <c r="AO139" s="368"/>
      <c r="AP139" s="368"/>
      <c r="AQ139" s="368"/>
      <c r="AR139" s="368"/>
      <c r="AS139" s="368"/>
      <c r="AT139" s="368"/>
      <c r="AU139" s="368"/>
      <c r="AV139" s="368"/>
      <c r="AW139" s="368"/>
      <c r="AX139" s="368"/>
      <c r="AY139" s="368"/>
      <c r="AZ139" s="368"/>
      <c r="BA139" s="368"/>
      <c r="BB139" s="368"/>
      <c r="BC139" s="368"/>
      <c r="BD139" s="368"/>
      <c r="BE139" s="368"/>
      <c r="BF139" s="368"/>
      <c r="BG139" s="368"/>
      <c r="BH139" s="368"/>
      <c r="BI139" s="368"/>
      <c r="BJ139" s="368"/>
      <c r="BK139" s="368"/>
      <c r="BL139" s="368"/>
      <c r="BM139" s="368"/>
      <c r="BN139" s="368"/>
      <c r="BO139" s="368"/>
      <c r="BP139" s="368"/>
      <c r="BQ139" s="368"/>
      <c r="BR139" s="368"/>
      <c r="BS139" s="368"/>
      <c r="BT139" s="368"/>
      <c r="BU139" s="368"/>
      <c r="BV139" s="368"/>
      <c r="BW139" s="368"/>
      <c r="BX139" s="368"/>
      <c r="BY139" s="368"/>
      <c r="BZ139" s="368"/>
    </row>
    <row r="140" spans="2:78" s="51" customFormat="1" ht="24">
      <c r="B140" s="632" t="s">
        <v>49</v>
      </c>
      <c r="C140" s="475"/>
      <c r="D140" s="475"/>
      <c r="E140" s="633"/>
      <c r="F140" s="359"/>
      <c r="G140" s="634"/>
      <c r="H140" s="634"/>
      <c r="I140" s="634"/>
      <c r="J140" s="634"/>
      <c r="L140" s="359"/>
      <c r="M140" s="634"/>
      <c r="N140" s="634"/>
      <c r="O140" s="634"/>
      <c r="P140" s="634"/>
      <c r="Q140" s="634"/>
      <c r="R140" s="634"/>
      <c r="S140" s="634"/>
      <c r="T140" s="634"/>
      <c r="U140" s="634"/>
      <c r="V140" s="634"/>
      <c r="W140" s="634"/>
      <c r="X140" s="634"/>
      <c r="Y140" s="634"/>
      <c r="Z140" s="634"/>
      <c r="AA140" s="634"/>
      <c r="AB140" s="634"/>
      <c r="AD140" s="359"/>
      <c r="AE140" s="634"/>
      <c r="AF140" s="634"/>
      <c r="AG140" s="634"/>
      <c r="AH140" s="634"/>
      <c r="AI140" s="634"/>
      <c r="AJ140" s="634"/>
      <c r="AK140" s="634"/>
      <c r="AL140" s="634"/>
      <c r="AM140" s="634"/>
      <c r="AN140" s="634"/>
      <c r="AO140" s="634"/>
      <c r="AP140" s="634"/>
      <c r="AQ140" s="634"/>
      <c r="AR140" s="634"/>
      <c r="AS140" s="634"/>
      <c r="AT140" s="634"/>
      <c r="AU140" s="634"/>
      <c r="AV140" s="634"/>
      <c r="AW140" s="634"/>
      <c r="AX140" s="634"/>
      <c r="AY140" s="634"/>
      <c r="AZ140" s="634"/>
      <c r="BA140" s="634"/>
      <c r="BB140" s="634"/>
      <c r="BC140" s="634"/>
      <c r="BD140" s="634"/>
      <c r="BE140" s="634"/>
      <c r="BF140" s="634"/>
      <c r="BG140" s="634"/>
      <c r="BH140" s="634"/>
      <c r="BI140" s="634"/>
      <c r="BJ140" s="634"/>
      <c r="BK140" s="634"/>
      <c r="BL140" s="634"/>
      <c r="BM140" s="634"/>
      <c r="BN140" s="634"/>
      <c r="BO140" s="634"/>
      <c r="BP140" s="634"/>
      <c r="BQ140" s="634"/>
      <c r="BR140" s="634"/>
      <c r="BS140" s="634"/>
      <c r="BT140" s="634"/>
      <c r="BU140" s="634"/>
      <c r="BV140" s="634"/>
      <c r="BW140" s="634"/>
      <c r="BX140" s="634"/>
      <c r="BY140" s="634"/>
      <c r="BZ140" s="634"/>
    </row>
    <row r="141" spans="2:78" ht="21" customHeight="1" outlineLevel="1">
      <c r="B141" s="367"/>
      <c r="C141" s="370"/>
      <c r="D141" s="383" t="s">
        <v>42</v>
      </c>
      <c r="E141" s="629">
        <v>8</v>
      </c>
      <c r="F141" s="359"/>
      <c r="G141" s="630">
        <f>INDEX($AE141:$BZ141,MATCH(G$5,$AE$5:$BZ$5,0))</f>
        <v>41812</v>
      </c>
      <c r="H141" s="630">
        <f>INDEX($AE141:$BZ141,MATCH(H$5,$AE$5:$BZ$5,0))</f>
        <v>52314</v>
      </c>
      <c r="I141" s="630">
        <f>INDEX($AE141:$BZ141,MATCH(I$5,$AE$5:$BZ$5,0))</f>
        <v>183599.24</v>
      </c>
      <c r="J141" s="630">
        <f>INDEX($AE141:$BZ141,MATCH(J$5,$AE$5:$BZ$5,0))</f>
        <v>0</v>
      </c>
      <c r="K141" s="631"/>
      <c r="L141" s="537"/>
      <c r="M141" s="630">
        <f t="shared" ref="M141:AB141" si="104">INDEX($AE141:$BZ141,MATCH(M$5,$AE$5:$BZ$5,0))</f>
        <v>20100</v>
      </c>
      <c r="N141" s="630">
        <f t="shared" si="104"/>
        <v>26753</v>
      </c>
      <c r="O141" s="630">
        <f t="shared" si="104"/>
        <v>35608</v>
      </c>
      <c r="P141" s="630">
        <f t="shared" si="104"/>
        <v>41812</v>
      </c>
      <c r="Q141" s="630">
        <f t="shared" si="104"/>
        <v>40987</v>
      </c>
      <c r="R141" s="630">
        <f t="shared" si="104"/>
        <v>44983</v>
      </c>
      <c r="S141" s="630">
        <f t="shared" si="104"/>
        <v>48580</v>
      </c>
      <c r="T141" s="630">
        <f t="shared" si="104"/>
        <v>52314</v>
      </c>
      <c r="U141" s="630">
        <f t="shared" si="104"/>
        <v>56307.77</v>
      </c>
      <c r="V141" s="630">
        <f t="shared" si="104"/>
        <v>78845.320000000007</v>
      </c>
      <c r="W141" s="630">
        <f t="shared" si="104"/>
        <v>98423.66</v>
      </c>
      <c r="X141" s="630">
        <f t="shared" si="104"/>
        <v>183599.24</v>
      </c>
      <c r="Y141" s="630">
        <f t="shared" si="104"/>
        <v>0</v>
      </c>
      <c r="Z141" s="630">
        <f t="shared" si="104"/>
        <v>0</v>
      </c>
      <c r="AA141" s="630">
        <f t="shared" si="104"/>
        <v>0</v>
      </c>
      <c r="AB141" s="630">
        <f t="shared" si="104"/>
        <v>0</v>
      </c>
      <c r="AC141" s="479"/>
      <c r="AD141" s="359"/>
      <c r="AE141" s="479">
        <f>AE138</f>
        <v>10000</v>
      </c>
      <c r="AF141" s="479">
        <f t="shared" ref="AF141:BZ141" si="105">AF138</f>
        <v>16000</v>
      </c>
      <c r="AG141" s="479">
        <f t="shared" si="105"/>
        <v>20100</v>
      </c>
      <c r="AH141" s="479">
        <f t="shared" si="105"/>
        <v>22110</v>
      </c>
      <c r="AI141" s="479">
        <f t="shared" si="105"/>
        <v>24321</v>
      </c>
      <c r="AJ141" s="479">
        <f t="shared" si="105"/>
        <v>26753</v>
      </c>
      <c r="AK141" s="479">
        <f t="shared" si="105"/>
        <v>29428</v>
      </c>
      <c r="AL141" s="479">
        <f t="shared" si="105"/>
        <v>32371</v>
      </c>
      <c r="AM141" s="479">
        <f t="shared" si="105"/>
        <v>35608</v>
      </c>
      <c r="AN141" s="479">
        <f t="shared" si="105"/>
        <v>39169</v>
      </c>
      <c r="AO141" s="479">
        <f t="shared" si="105"/>
        <v>44169</v>
      </c>
      <c r="AP141" s="479">
        <f>AR138</f>
        <v>41812</v>
      </c>
      <c r="AQ141" s="479">
        <f t="shared" si="105"/>
        <v>41127</v>
      </c>
      <c r="AR141" s="479">
        <f t="shared" si="105"/>
        <v>41812</v>
      </c>
      <c r="AS141" s="479">
        <f t="shared" si="105"/>
        <v>40987</v>
      </c>
      <c r="AT141" s="479">
        <f t="shared" si="105"/>
        <v>43374</v>
      </c>
      <c r="AU141" s="479">
        <f t="shared" si="105"/>
        <v>44161</v>
      </c>
      <c r="AV141" s="479">
        <f t="shared" si="105"/>
        <v>44983</v>
      </c>
      <c r="AW141" s="479">
        <f t="shared" si="105"/>
        <v>46381</v>
      </c>
      <c r="AX141" s="479">
        <f t="shared" si="105"/>
        <v>47434</v>
      </c>
      <c r="AY141" s="479">
        <f t="shared" si="105"/>
        <v>48580</v>
      </c>
      <c r="AZ141" s="479">
        <f t="shared" si="105"/>
        <v>49839</v>
      </c>
      <c r="BA141" s="479">
        <f t="shared" si="105"/>
        <v>51049</v>
      </c>
      <c r="BB141" s="479">
        <f t="shared" si="105"/>
        <v>52314</v>
      </c>
      <c r="BC141" s="479">
        <f t="shared" si="105"/>
        <v>53620.77</v>
      </c>
      <c r="BD141" s="479">
        <f t="shared" si="105"/>
        <v>54944.77</v>
      </c>
      <c r="BE141" s="479">
        <f t="shared" si="105"/>
        <v>56307.77</v>
      </c>
      <c r="BF141" s="479">
        <f t="shared" si="105"/>
        <v>57705.77</v>
      </c>
      <c r="BG141" s="479">
        <f t="shared" si="105"/>
        <v>59135.77</v>
      </c>
      <c r="BH141" s="479">
        <f t="shared" si="105"/>
        <v>78845.320000000007</v>
      </c>
      <c r="BI141" s="479">
        <f t="shared" si="105"/>
        <v>77305.53</v>
      </c>
      <c r="BJ141" s="479">
        <f t="shared" si="105"/>
        <v>78845.320000000007</v>
      </c>
      <c r="BK141" s="479">
        <f t="shared" si="105"/>
        <v>98423.66</v>
      </c>
      <c r="BL141" s="479">
        <f t="shared" si="105"/>
        <v>110041.05</v>
      </c>
      <c r="BM141" s="479">
        <f t="shared" si="105"/>
        <v>127198.48</v>
      </c>
      <c r="BN141" s="479">
        <f t="shared" si="105"/>
        <v>183599.24</v>
      </c>
      <c r="BO141" s="479">
        <f t="shared" si="105"/>
        <v>91799.62</v>
      </c>
      <c r="BP141" s="479">
        <f t="shared" si="105"/>
        <v>0</v>
      </c>
      <c r="BQ141" s="479">
        <f t="shared" si="105"/>
        <v>0</v>
      </c>
      <c r="BR141" s="479">
        <f t="shared" si="105"/>
        <v>0</v>
      </c>
      <c r="BS141" s="479">
        <f t="shared" si="105"/>
        <v>0</v>
      </c>
      <c r="BT141" s="479">
        <f t="shared" si="105"/>
        <v>0</v>
      </c>
      <c r="BU141" s="479">
        <f t="shared" si="105"/>
        <v>0</v>
      </c>
      <c r="BV141" s="479">
        <f t="shared" si="105"/>
        <v>0</v>
      </c>
      <c r="BW141" s="479">
        <f t="shared" si="105"/>
        <v>0</v>
      </c>
      <c r="BX141" s="479">
        <f t="shared" si="105"/>
        <v>0</v>
      </c>
      <c r="BY141" s="479">
        <f t="shared" si="105"/>
        <v>0</v>
      </c>
      <c r="BZ141" s="479">
        <f t="shared" si="105"/>
        <v>0</v>
      </c>
    </row>
    <row r="142" spans="2:78" ht="9" customHeight="1" outlineLevel="1">
      <c r="B142" s="367"/>
      <c r="C142" s="370"/>
      <c r="F142" s="359"/>
      <c r="G142" s="368"/>
      <c r="H142" s="368"/>
      <c r="I142" s="368"/>
      <c r="J142" s="368"/>
      <c r="L142" s="359"/>
      <c r="M142" s="368"/>
      <c r="N142" s="368"/>
      <c r="O142" s="368"/>
      <c r="P142" s="368"/>
      <c r="Q142" s="368"/>
      <c r="R142" s="368"/>
      <c r="S142" s="368"/>
      <c r="T142" s="368"/>
      <c r="U142" s="368"/>
      <c r="V142" s="368"/>
      <c r="W142" s="368"/>
      <c r="X142" s="368"/>
      <c r="Y142" s="368"/>
      <c r="Z142" s="368"/>
      <c r="AA142" s="368"/>
      <c r="AB142" s="368"/>
      <c r="AD142" s="359"/>
      <c r="AE142" s="368"/>
      <c r="AF142" s="368"/>
      <c r="AG142" s="368"/>
      <c r="AH142" s="368"/>
      <c r="AI142" s="368"/>
      <c r="AJ142" s="368"/>
      <c r="AK142" s="368"/>
      <c r="AL142" s="368"/>
      <c r="AM142" s="368"/>
      <c r="AN142" s="368"/>
      <c r="AO142" s="368"/>
      <c r="AP142" s="368"/>
      <c r="AQ142" s="368"/>
      <c r="AR142" s="368"/>
      <c r="AS142" s="368"/>
      <c r="AT142" s="368"/>
      <c r="AU142" s="368"/>
      <c r="AV142" s="368"/>
      <c r="AW142" s="368"/>
      <c r="AX142" s="368"/>
      <c r="AY142" s="368"/>
      <c r="AZ142" s="368"/>
      <c r="BA142" s="368"/>
      <c r="BB142" s="368"/>
      <c r="BC142" s="368"/>
      <c r="BD142" s="368"/>
      <c r="BE142" s="368"/>
      <c r="BF142" s="368"/>
      <c r="BG142" s="368"/>
      <c r="BH142" s="368"/>
      <c r="BI142" s="368"/>
      <c r="BJ142" s="368"/>
      <c r="BK142" s="368"/>
      <c r="BL142" s="368"/>
      <c r="BM142" s="368"/>
      <c r="BN142" s="368"/>
      <c r="BO142" s="368"/>
      <c r="BP142" s="368"/>
      <c r="BQ142" s="368"/>
      <c r="BR142" s="368"/>
      <c r="BS142" s="368"/>
      <c r="BT142" s="368"/>
      <c r="BU142" s="368"/>
      <c r="BV142" s="368"/>
      <c r="BW142" s="368"/>
      <c r="BX142" s="368"/>
      <c r="BY142" s="368"/>
      <c r="BZ142" s="368"/>
    </row>
    <row r="143" spans="2:78" ht="21" customHeight="1">
      <c r="B143" s="367"/>
      <c r="C143" s="370"/>
      <c r="F143" s="359"/>
      <c r="L143" s="359"/>
      <c r="AD143" s="359"/>
      <c r="AE143" s="368"/>
      <c r="AF143" s="368"/>
      <c r="AG143" s="368"/>
      <c r="AH143" s="368"/>
      <c r="AI143" s="368"/>
      <c r="AJ143" s="368"/>
      <c r="AK143" s="368"/>
      <c r="AL143" s="368"/>
      <c r="AM143" s="368"/>
      <c r="AN143" s="368"/>
      <c r="AO143" s="368"/>
      <c r="AP143" s="368"/>
      <c r="AQ143" s="368"/>
      <c r="AR143" s="368"/>
      <c r="AS143" s="368"/>
      <c r="AT143" s="368"/>
      <c r="AU143" s="368"/>
      <c r="AV143" s="368"/>
      <c r="AW143" s="368"/>
      <c r="AX143" s="368"/>
      <c r="AY143" s="368"/>
      <c r="AZ143" s="368"/>
      <c r="BA143" s="368"/>
      <c r="BB143" s="368"/>
      <c r="BC143" s="368"/>
      <c r="BD143" s="368"/>
      <c r="BE143" s="368"/>
      <c r="BF143" s="368"/>
      <c r="BG143" s="368"/>
      <c r="BH143" s="368"/>
      <c r="BI143" s="368"/>
      <c r="BJ143" s="368"/>
      <c r="BK143" s="368"/>
      <c r="BL143" s="368"/>
      <c r="BM143" s="368"/>
      <c r="BN143" s="368"/>
      <c r="BO143" s="368"/>
      <c r="BP143" s="368"/>
      <c r="BQ143" s="368"/>
      <c r="BR143" s="368"/>
      <c r="BS143" s="368"/>
      <c r="BT143" s="368"/>
      <c r="BU143" s="368"/>
      <c r="BV143" s="368"/>
      <c r="BW143" s="368"/>
      <c r="BX143" s="368"/>
      <c r="BY143" s="368"/>
      <c r="BZ143" s="368"/>
    </row>
    <row r="144" spans="2:78" s="517" customFormat="1" ht="21" customHeight="1">
      <c r="B144" s="367"/>
      <c r="C144" s="370"/>
      <c r="F144" s="359"/>
      <c r="L144" s="359"/>
      <c r="AD144" s="359"/>
    </row>
    <row r="145" spans="6:30">
      <c r="F145" s="359"/>
      <c r="L145" s="359"/>
      <c r="AD145" s="359"/>
    </row>
    <row r="146" spans="6:30">
      <c r="F146" s="359"/>
      <c r="L146" s="359"/>
      <c r="AD146" s="359"/>
    </row>
    <row r="147" spans="6:30">
      <c r="F147" s="359"/>
      <c r="L147" s="359"/>
      <c r="AD147" s="359"/>
    </row>
    <row r="148" spans="6:30">
      <c r="F148" s="359"/>
      <c r="L148" s="359"/>
      <c r="AD148" s="359"/>
    </row>
    <row r="149" spans="6:30">
      <c r="F149" s="359"/>
      <c r="L149" s="359"/>
      <c r="AD149" s="359"/>
    </row>
    <row r="150" spans="6:30">
      <c r="F150" s="359"/>
      <c r="L150" s="359"/>
      <c r="AD150" s="359"/>
    </row>
    <row r="151" spans="6:30">
      <c r="F151" s="359"/>
      <c r="L151" s="359"/>
      <c r="AD151" s="359"/>
    </row>
    <row r="152" spans="6:30">
      <c r="F152" s="359"/>
      <c r="L152" s="359"/>
      <c r="AD152" s="359"/>
    </row>
    <row r="153" spans="6:30">
      <c r="F153" s="359"/>
      <c r="L153" s="359"/>
      <c r="AD153" s="359"/>
    </row>
    <row r="154" spans="6:30">
      <c r="F154" s="359"/>
      <c r="L154" s="359"/>
      <c r="AD154" s="359"/>
    </row>
    <row r="155" spans="6:30">
      <c r="F155" s="359"/>
      <c r="L155" s="359"/>
      <c r="AD155" s="359"/>
    </row>
    <row r="156" spans="6:30">
      <c r="F156" s="359"/>
      <c r="L156" s="359"/>
      <c r="AD156" s="359"/>
    </row>
    <row r="157" spans="6:30">
      <c r="F157" s="359"/>
      <c r="L157" s="359"/>
      <c r="AD157" s="359"/>
    </row>
    <row r="158" spans="6:30">
      <c r="F158" s="359"/>
      <c r="L158" s="359"/>
      <c r="AD158" s="359"/>
    </row>
    <row r="159" spans="6:30">
      <c r="F159" s="359"/>
      <c r="L159" s="359"/>
      <c r="AD159" s="359"/>
    </row>
    <row r="160" spans="6:30">
      <c r="F160" s="359"/>
      <c r="L160" s="359"/>
      <c r="AD160" s="359"/>
    </row>
    <row r="161" spans="6:30">
      <c r="F161" s="359"/>
      <c r="L161" s="359"/>
      <c r="AD161" s="359"/>
    </row>
    <row r="162" spans="6:30">
      <c r="F162" s="359"/>
      <c r="L162" s="359"/>
      <c r="AD162" s="359"/>
    </row>
    <row r="163" spans="6:30">
      <c r="F163" s="359"/>
      <c r="L163" s="359"/>
      <c r="AD163" s="359"/>
    </row>
    <row r="164" spans="6:30">
      <c r="F164" s="359"/>
      <c r="L164" s="359"/>
      <c r="AD164" s="359"/>
    </row>
    <row r="165" spans="6:30">
      <c r="F165" s="359"/>
      <c r="L165" s="359"/>
      <c r="AD165" s="359"/>
    </row>
    <row r="166" spans="6:30">
      <c r="F166" s="359"/>
      <c r="L166" s="359"/>
      <c r="AD166" s="359"/>
    </row>
    <row r="167" spans="6:30">
      <c r="F167" s="359"/>
      <c r="L167" s="359"/>
      <c r="AD167" s="359"/>
    </row>
    <row r="168" spans="6:30">
      <c r="F168" s="359"/>
      <c r="L168" s="359"/>
      <c r="AD168" s="359"/>
    </row>
    <row r="169" spans="6:30">
      <c r="F169" s="359"/>
      <c r="L169" s="359"/>
      <c r="AD169" s="359"/>
    </row>
    <row r="170" spans="6:30">
      <c r="F170" s="359"/>
      <c r="L170" s="359"/>
      <c r="AD170" s="359"/>
    </row>
    <row r="171" spans="6:30">
      <c r="F171" s="359"/>
      <c r="L171" s="359"/>
      <c r="AD171" s="359"/>
    </row>
    <row r="172" spans="6:30">
      <c r="F172" s="359"/>
      <c r="L172" s="359"/>
      <c r="AD172" s="359"/>
    </row>
    <row r="173" spans="6:30">
      <c r="F173" s="359"/>
      <c r="L173" s="359"/>
      <c r="AD173" s="359"/>
    </row>
    <row r="174" spans="6:30">
      <c r="F174" s="359"/>
      <c r="L174" s="359"/>
      <c r="AD174" s="359"/>
    </row>
    <row r="175" spans="6:30">
      <c r="F175" s="359"/>
      <c r="L175" s="359"/>
      <c r="AD175" s="359"/>
    </row>
    <row r="176" spans="6:30">
      <c r="F176" s="359"/>
      <c r="L176" s="359"/>
      <c r="AD176" s="359"/>
    </row>
    <row r="177" spans="6:30">
      <c r="F177" s="359"/>
      <c r="L177" s="359"/>
      <c r="AD177" s="359"/>
    </row>
    <row r="178" spans="6:30">
      <c r="F178" s="359"/>
      <c r="L178" s="359"/>
      <c r="AD178" s="359"/>
    </row>
    <row r="179" spans="6:30">
      <c r="F179" s="359"/>
      <c r="L179" s="359"/>
      <c r="AD179" s="359"/>
    </row>
    <row r="180" spans="6:30">
      <c r="F180" s="359"/>
      <c r="L180" s="359"/>
      <c r="AD180" s="359"/>
    </row>
    <row r="181" spans="6:30">
      <c r="F181" s="359"/>
      <c r="L181" s="359"/>
      <c r="AD181" s="359"/>
    </row>
    <row r="182" spans="6:30">
      <c r="F182" s="359"/>
      <c r="L182" s="359"/>
      <c r="AD182" s="359"/>
    </row>
    <row r="183" spans="6:30">
      <c r="F183" s="359"/>
      <c r="L183" s="359"/>
      <c r="AD183" s="359"/>
    </row>
    <row r="184" spans="6:30">
      <c r="F184" s="359"/>
      <c r="L184" s="359"/>
      <c r="AD184" s="359"/>
    </row>
    <row r="185" spans="6:30">
      <c r="F185" s="359"/>
      <c r="L185" s="359"/>
      <c r="AD185" s="359"/>
    </row>
    <row r="186" spans="6:30">
      <c r="F186" s="359"/>
      <c r="L186" s="359"/>
      <c r="AD186" s="359"/>
    </row>
    <row r="187" spans="6:30">
      <c r="F187" s="359"/>
      <c r="L187" s="359"/>
      <c r="AD187" s="359"/>
    </row>
    <row r="188" spans="6:30">
      <c r="F188" s="359"/>
      <c r="L188" s="359"/>
      <c r="AD188" s="359"/>
    </row>
    <row r="189" spans="6:30">
      <c r="F189" s="359"/>
      <c r="L189" s="359"/>
      <c r="AD189" s="359"/>
    </row>
    <row r="190" spans="6:30">
      <c r="F190" s="359"/>
      <c r="L190" s="359"/>
      <c r="AD190" s="359"/>
    </row>
    <row r="191" spans="6:30">
      <c r="F191" s="359"/>
      <c r="L191" s="359"/>
      <c r="AD191" s="359"/>
    </row>
    <row r="192" spans="6:30">
      <c r="F192" s="359"/>
      <c r="L192" s="359"/>
      <c r="AD192" s="359"/>
    </row>
    <row r="193" spans="6:30">
      <c r="F193" s="359"/>
      <c r="L193" s="359"/>
      <c r="AD193" s="359"/>
    </row>
    <row r="194" spans="6:30">
      <c r="F194" s="434"/>
      <c r="L194" s="434"/>
      <c r="AD194" s="434"/>
    </row>
    <row r="195" spans="6:30">
      <c r="F195" s="434"/>
      <c r="L195" s="434"/>
      <c r="AD195" s="434"/>
    </row>
    <row r="196" spans="6:30">
      <c r="F196" s="434"/>
      <c r="L196" s="434"/>
      <c r="AD196" s="434"/>
    </row>
    <row r="197" spans="6:30">
      <c r="F197" s="434"/>
      <c r="L197" s="434"/>
      <c r="AD197" s="434"/>
    </row>
    <row r="198" spans="6:30">
      <c r="F198" s="434"/>
      <c r="L198" s="434"/>
      <c r="AD198" s="434"/>
    </row>
    <row r="199" spans="6:30">
      <c r="F199" s="434"/>
      <c r="L199" s="434"/>
      <c r="AD199" s="434"/>
    </row>
    <row r="200" spans="6:30">
      <c r="F200" s="434"/>
      <c r="L200" s="434"/>
      <c r="AD200" s="434"/>
    </row>
    <row r="201" spans="6:30">
      <c r="F201" s="434"/>
      <c r="L201" s="434"/>
      <c r="AD201" s="434"/>
    </row>
    <row r="202" spans="6:30">
      <c r="F202" s="434"/>
      <c r="L202" s="434"/>
      <c r="AD202" s="434"/>
    </row>
    <row r="203" spans="6:30">
      <c r="F203" s="434"/>
      <c r="L203" s="434"/>
      <c r="AD203" s="434"/>
    </row>
    <row r="204" spans="6:30">
      <c r="F204" s="434"/>
      <c r="L204" s="434"/>
      <c r="AD204" s="434"/>
    </row>
    <row r="205" spans="6:30">
      <c r="F205" s="434"/>
      <c r="L205" s="434"/>
      <c r="AD205" s="434"/>
    </row>
    <row r="206" spans="6:30">
      <c r="F206" s="434"/>
      <c r="L206" s="434"/>
      <c r="AD206" s="434"/>
    </row>
    <row r="207" spans="6:30">
      <c r="F207" s="434"/>
      <c r="L207" s="434"/>
      <c r="AD207" s="434"/>
    </row>
    <row r="208" spans="6:30">
      <c r="F208" s="434"/>
      <c r="L208" s="434"/>
      <c r="AD208" s="434"/>
    </row>
    <row r="209" spans="6:30">
      <c r="F209" s="434"/>
      <c r="L209" s="434"/>
      <c r="AD209" s="434"/>
    </row>
    <row r="210" spans="6:30">
      <c r="F210" s="434"/>
      <c r="L210" s="434"/>
      <c r="AD210" s="434"/>
    </row>
    <row r="211" spans="6:30">
      <c r="F211" s="434"/>
      <c r="L211" s="434"/>
      <c r="AD211" s="434"/>
    </row>
    <row r="212" spans="6:30">
      <c r="F212" s="434"/>
      <c r="L212" s="434"/>
      <c r="AD212" s="434"/>
    </row>
    <row r="213" spans="6:30">
      <c r="F213" s="434"/>
      <c r="L213" s="434"/>
      <c r="AD213" s="434"/>
    </row>
    <row r="214" spans="6:30">
      <c r="F214" s="434"/>
      <c r="L214" s="434"/>
      <c r="AD214" s="434"/>
    </row>
    <row r="215" spans="6:30">
      <c r="F215" s="434"/>
      <c r="L215" s="434"/>
      <c r="AD215" s="434"/>
    </row>
    <row r="216" spans="6:30">
      <c r="F216" s="434"/>
      <c r="L216" s="434"/>
      <c r="AD216" s="434"/>
    </row>
    <row r="217" spans="6:30">
      <c r="F217" s="434"/>
      <c r="L217" s="434"/>
      <c r="AD217" s="434"/>
    </row>
    <row r="218" spans="6:30">
      <c r="F218" s="434"/>
      <c r="L218" s="434"/>
      <c r="AD218" s="434"/>
    </row>
    <row r="219" spans="6:30">
      <c r="F219" s="434"/>
      <c r="L219" s="434"/>
      <c r="AD219" s="434"/>
    </row>
    <row r="220" spans="6:30">
      <c r="F220" s="434"/>
      <c r="L220" s="434"/>
      <c r="AD220" s="434"/>
    </row>
    <row r="221" spans="6:30">
      <c r="F221" s="431"/>
      <c r="L221" s="431"/>
      <c r="AD221" s="431"/>
    </row>
    <row r="222" spans="6:30">
      <c r="F222" s="434"/>
      <c r="L222" s="434"/>
      <c r="AD222" s="434"/>
    </row>
    <row r="223" spans="6:30">
      <c r="F223" s="431"/>
      <c r="L223" s="431"/>
      <c r="AD223" s="431"/>
    </row>
    <row r="224" spans="6:30">
      <c r="F224" s="431"/>
      <c r="L224" s="431"/>
      <c r="AD224" s="431"/>
    </row>
    <row r="225" spans="6:30">
      <c r="F225" s="431"/>
      <c r="L225" s="431"/>
      <c r="AD225" s="431"/>
    </row>
    <row r="226" spans="6:30">
      <c r="F226" s="431"/>
      <c r="L226" s="431"/>
      <c r="AD226" s="431"/>
    </row>
    <row r="227" spans="6:30">
      <c r="F227" s="431"/>
      <c r="L227" s="431"/>
      <c r="AD227" s="431"/>
    </row>
    <row r="228" spans="6:30">
      <c r="F228" s="431"/>
      <c r="L228" s="431"/>
      <c r="AD228" s="431"/>
    </row>
    <row r="229" spans="6:30">
      <c r="F229" s="431"/>
      <c r="L229" s="431"/>
      <c r="AD229" s="431"/>
    </row>
    <row r="230" spans="6:30">
      <c r="F230" s="431"/>
      <c r="L230" s="431"/>
      <c r="AD230" s="431"/>
    </row>
    <row r="231" spans="6:30">
      <c r="F231" s="359"/>
      <c r="L231" s="359"/>
      <c r="AD231" s="359"/>
    </row>
    <row r="232" spans="6:30">
      <c r="F232" s="431"/>
      <c r="L232" s="431"/>
      <c r="AD232" s="431"/>
    </row>
    <row r="233" spans="6:30">
      <c r="F233" s="431"/>
      <c r="L233" s="431"/>
      <c r="AD233" s="431"/>
    </row>
    <row r="234" spans="6:30">
      <c r="F234" s="431"/>
      <c r="L234" s="431"/>
      <c r="AD234" s="431"/>
    </row>
    <row r="235" spans="6:30">
      <c r="F235" s="359"/>
      <c r="L235" s="359"/>
      <c r="AD235" s="359"/>
    </row>
    <row r="236" spans="6:30">
      <c r="F236" s="359"/>
      <c r="L236" s="359"/>
      <c r="AD236" s="359"/>
    </row>
    <row r="237" spans="6:30">
      <c r="F237" s="359"/>
      <c r="L237" s="359"/>
      <c r="AD237" s="359"/>
    </row>
    <row r="238" spans="6:30">
      <c r="F238" s="431"/>
      <c r="L238" s="431"/>
      <c r="AD238" s="431"/>
    </row>
    <row r="239" spans="6:30">
      <c r="F239" s="431"/>
      <c r="L239" s="431"/>
      <c r="AD239" s="431"/>
    </row>
    <row r="240" spans="6:30">
      <c r="F240" s="431"/>
      <c r="L240" s="431"/>
      <c r="AD240" s="431"/>
    </row>
    <row r="241" spans="6:30">
      <c r="F241" s="431"/>
      <c r="L241" s="431"/>
      <c r="AD241" s="431"/>
    </row>
    <row r="242" spans="6:30">
      <c r="F242" s="359"/>
      <c r="L242" s="359"/>
      <c r="AD242" s="359"/>
    </row>
    <row r="243" spans="6:30">
      <c r="F243" s="434"/>
      <c r="L243" s="434"/>
      <c r="AD243" s="434"/>
    </row>
    <row r="244" spans="6:30">
      <c r="F244" s="431"/>
      <c r="L244" s="431"/>
      <c r="AD244" s="431"/>
    </row>
    <row r="245" spans="6:30">
      <c r="F245" s="431"/>
      <c r="L245" s="431"/>
      <c r="AD245" s="431"/>
    </row>
    <row r="246" spans="6:30">
      <c r="F246" s="359"/>
      <c r="L246" s="359"/>
      <c r="AD246" s="359"/>
    </row>
    <row r="247" spans="6:30">
      <c r="F247" s="431"/>
      <c r="L247" s="431"/>
      <c r="AD247" s="431"/>
    </row>
    <row r="248" spans="6:30">
      <c r="F248" s="431"/>
      <c r="L248" s="431"/>
      <c r="AD248" s="431"/>
    </row>
    <row r="249" spans="6:30">
      <c r="F249" s="431"/>
      <c r="L249" s="431"/>
      <c r="AD249" s="431"/>
    </row>
    <row r="250" spans="6:30">
      <c r="F250" s="431"/>
      <c r="L250" s="431"/>
      <c r="AD250" s="431"/>
    </row>
    <row r="251" spans="6:30">
      <c r="F251" s="434"/>
      <c r="L251" s="434"/>
      <c r="AD251" s="434"/>
    </row>
    <row r="252" spans="6:30">
      <c r="F252" s="431"/>
      <c r="L252" s="431"/>
      <c r="AD252" s="431"/>
    </row>
    <row r="253" spans="6:30">
      <c r="F253" s="434"/>
      <c r="L253" s="434"/>
      <c r="AD253" s="434"/>
    </row>
    <row r="254" spans="6:30">
      <c r="F254" s="431"/>
      <c r="L254" s="431"/>
      <c r="AD254" s="431"/>
    </row>
    <row r="255" spans="6:30">
      <c r="F255" s="434"/>
      <c r="L255" s="434"/>
      <c r="AD255" s="434"/>
    </row>
    <row r="256" spans="6:30">
      <c r="F256" s="431"/>
      <c r="L256" s="431"/>
      <c r="AD256" s="431"/>
    </row>
    <row r="257" spans="6:30">
      <c r="F257" s="431"/>
      <c r="L257" s="431"/>
      <c r="AD257" s="431"/>
    </row>
    <row r="258" spans="6:30">
      <c r="F258" s="359"/>
      <c r="L258" s="359"/>
      <c r="AD258" s="359"/>
    </row>
    <row r="259" spans="6:30">
      <c r="F259" s="359"/>
      <c r="L259" s="359"/>
      <c r="AD259" s="359"/>
    </row>
    <row r="260" spans="6:30">
      <c r="F260" s="431"/>
      <c r="L260" s="431"/>
      <c r="AD260" s="431"/>
    </row>
    <row r="261" spans="6:30">
      <c r="F261" s="431"/>
      <c r="L261" s="431"/>
      <c r="AD261" s="431"/>
    </row>
    <row r="262" spans="6:30">
      <c r="F262" s="359"/>
      <c r="L262" s="359"/>
      <c r="AD262" s="359"/>
    </row>
    <row r="263" spans="6:30">
      <c r="F263" s="359"/>
      <c r="L263" s="359"/>
      <c r="AD263" s="359"/>
    </row>
    <row r="264" spans="6:30">
      <c r="F264" s="359"/>
      <c r="L264" s="359"/>
      <c r="AD264" s="359"/>
    </row>
    <row r="265" spans="6:30">
      <c r="F265" s="431"/>
      <c r="L265" s="431"/>
      <c r="AD265" s="431"/>
    </row>
    <row r="266" spans="6:30">
      <c r="F266" s="359"/>
      <c r="L266" s="359"/>
      <c r="AD266" s="359"/>
    </row>
    <row r="267" spans="6:30">
      <c r="F267" s="431"/>
      <c r="L267" s="431"/>
      <c r="AD267" s="431"/>
    </row>
    <row r="268" spans="6:30">
      <c r="F268" s="434"/>
      <c r="L268" s="434"/>
      <c r="AD268" s="434"/>
    </row>
    <row r="269" spans="6:30">
      <c r="F269" s="431"/>
      <c r="L269" s="431"/>
      <c r="AD269" s="431"/>
    </row>
    <row r="270" spans="6:30">
      <c r="F270" s="431"/>
      <c r="L270" s="431"/>
      <c r="AD270" s="431"/>
    </row>
    <row r="271" spans="6:30">
      <c r="F271" s="431"/>
      <c r="L271" s="431"/>
      <c r="AD271" s="431"/>
    </row>
    <row r="280" spans="6:30">
      <c r="F280" s="431"/>
      <c r="L280" s="431"/>
      <c r="AD280" s="431"/>
    </row>
    <row r="282" spans="6:30">
      <c r="F282" s="359"/>
      <c r="L282" s="359"/>
      <c r="AD282" s="359"/>
    </row>
    <row r="283" spans="6:30">
      <c r="F283" s="431"/>
      <c r="L283" s="431"/>
      <c r="AD283" s="431"/>
    </row>
    <row r="288" spans="6:30">
      <c r="F288" s="359"/>
      <c r="L288" s="359"/>
      <c r="AD288" s="359"/>
    </row>
    <row r="291" spans="6:30">
      <c r="F291" s="431"/>
      <c r="L291" s="431"/>
      <c r="AD291" s="431"/>
    </row>
    <row r="292" spans="6:30">
      <c r="F292" s="431"/>
      <c r="L292" s="431"/>
      <c r="AD292" s="431"/>
    </row>
    <row r="297" spans="6:30">
      <c r="F297" s="359"/>
      <c r="L297" s="359"/>
      <c r="AD297" s="359"/>
    </row>
    <row r="298" spans="6:30">
      <c r="F298" s="359"/>
      <c r="L298" s="359"/>
      <c r="AD298" s="359"/>
    </row>
    <row r="301" spans="6:30">
      <c r="F301" s="431"/>
      <c r="L301" s="431"/>
      <c r="AD301" s="431"/>
    </row>
    <row r="302" spans="6:30">
      <c r="F302" s="431"/>
      <c r="L302" s="431"/>
      <c r="AD302" s="431"/>
    </row>
    <row r="306" spans="6:30">
      <c r="F306" s="359"/>
      <c r="L306" s="359"/>
      <c r="AD306" s="359"/>
    </row>
    <row r="315" spans="6:30">
      <c r="F315" s="359"/>
      <c r="L315" s="359"/>
      <c r="AD315" s="359"/>
    </row>
    <row r="317" spans="6:30">
      <c r="F317" s="359"/>
      <c r="L317" s="359"/>
      <c r="AD317" s="359"/>
    </row>
    <row r="328" spans="6:30">
      <c r="F328" s="359"/>
      <c r="L328" s="359"/>
      <c r="AD328" s="359"/>
    </row>
    <row r="329" spans="6:30">
      <c r="F329" s="359"/>
      <c r="L329" s="359"/>
      <c r="AD329" s="359"/>
    </row>
    <row r="336" spans="6:30">
      <c r="F336" s="359"/>
      <c r="L336" s="359"/>
      <c r="AD336" s="359"/>
    </row>
    <row r="345" spans="6:30">
      <c r="F345" s="359"/>
      <c r="L345" s="359"/>
      <c r="AD345" s="359"/>
    </row>
    <row r="346" spans="6:30">
      <c r="F346" s="359"/>
      <c r="L346" s="359"/>
      <c r="AD346" s="359"/>
    </row>
    <row r="350" spans="6:30">
      <c r="F350" s="359"/>
      <c r="L350" s="359"/>
      <c r="AD350" s="359"/>
    </row>
    <row r="361" spans="6:30">
      <c r="F361" s="359"/>
      <c r="L361" s="359"/>
      <c r="AD361" s="359"/>
    </row>
    <row r="362" spans="6:30">
      <c r="F362" s="359"/>
      <c r="L362" s="359"/>
      <c r="AD362" s="359"/>
    </row>
    <row r="366" spans="6:30">
      <c r="F366" s="359"/>
      <c r="L366" s="359"/>
      <c r="AD366" s="359"/>
    </row>
    <row r="371" spans="6:30">
      <c r="F371" s="359"/>
      <c r="L371" s="359"/>
      <c r="AD371" s="359"/>
    </row>
    <row r="372" spans="6:30">
      <c r="F372" s="359"/>
      <c r="L372" s="359"/>
      <c r="AD372" s="359"/>
    </row>
    <row r="374" spans="6:30">
      <c r="F374" s="359"/>
      <c r="L374" s="359"/>
      <c r="AD374" s="359"/>
    </row>
    <row r="379" spans="6:30">
      <c r="F379" s="359"/>
      <c r="L379" s="359"/>
      <c r="AD379" s="359"/>
    </row>
    <row r="380" spans="6:30">
      <c r="F380" s="359"/>
      <c r="L380" s="359"/>
      <c r="AD380" s="359"/>
    </row>
    <row r="386" spans="6:30">
      <c r="F386" s="359"/>
      <c r="L386" s="359"/>
      <c r="AD386" s="359"/>
    </row>
    <row r="387" spans="6:30">
      <c r="F387" s="359"/>
      <c r="L387" s="359"/>
      <c r="AD387" s="359"/>
    </row>
  </sheetData>
  <mergeCells count="3">
    <mergeCell ref="F2:F8"/>
    <mergeCell ref="L2:L8"/>
    <mergeCell ref="AD2:AD8"/>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108BE-59D8-4A19-9540-CA7748EE51D6}">
  <sheetPr>
    <tabColor theme="3" tint="0.89999084444715716"/>
    <outlinePr summaryBelow="0" summaryRight="0"/>
  </sheetPr>
  <dimension ref="A1:DJ302"/>
  <sheetViews>
    <sheetView showGridLines="0" zoomScale="110" zoomScaleNormal="110" workbookViewId="0">
      <pane xSplit="9" ySplit="8" topLeftCell="BJ9" activePane="bottomRight" state="frozen"/>
      <selection pane="topRight" activeCell="G1" sqref="G1"/>
      <selection pane="bottomLeft" activeCell="A9" sqref="A9"/>
      <selection pane="bottomRight" activeCell="BQ19" sqref="BQ19:BV23"/>
    </sheetView>
  </sheetViews>
  <sheetFormatPr defaultColWidth="9.140625" defaultRowHeight="15" outlineLevelRow="2" outlineLevelCol="2"/>
  <cols>
    <col min="1" max="1" width="2.28515625" style="502" customWidth="1"/>
    <col min="2" max="2" width="2" style="503" customWidth="1"/>
    <col min="3" max="3" width="24.7109375" style="502" bestFit="1" customWidth="1"/>
    <col min="4" max="4" width="20.140625" style="502" bestFit="1" customWidth="1" collapsed="1"/>
    <col min="5" max="5" width="20.140625" style="502" hidden="1" customWidth="1" outlineLevel="1"/>
    <col min="6" max="7" width="17" style="502" hidden="1" customWidth="1" outlineLevel="1"/>
    <col min="8" max="8" width="2.28515625" style="502" customWidth="1"/>
    <col min="9" max="9" width="2.85546875" style="502" customWidth="1"/>
    <col min="10" max="13" width="10.42578125" style="502" customWidth="1" outlineLevel="2"/>
    <col min="14" max="14" width="2.28515625" style="502" customWidth="1"/>
    <col min="15" max="15" width="2.42578125" style="502" customWidth="1"/>
    <col min="16" max="18" width="9.42578125" style="502" customWidth="1" outlineLevel="2"/>
    <col min="19" max="19" width="10.42578125" style="502" customWidth="1" outlineLevel="2"/>
    <col min="20" max="22" width="9.42578125" style="502" customWidth="1" outlineLevel="2"/>
    <col min="23" max="23" width="10.42578125" style="502" customWidth="1" outlineLevel="2"/>
    <col min="24" max="26" width="9.42578125" style="502" customWidth="1" outlineLevel="2"/>
    <col min="27" max="27" width="10.42578125" style="502" customWidth="1" outlineLevel="2"/>
    <col min="28" max="30" width="9.42578125" style="502" customWidth="1" outlineLevel="2"/>
    <col min="31" max="31" width="10.42578125" style="502" customWidth="1" outlineLevel="2"/>
    <col min="32" max="32" width="2.28515625" style="502" customWidth="1"/>
    <col min="33" max="33" width="2.85546875" style="502" customWidth="1"/>
    <col min="34" max="42" width="9.85546875" style="502" bestFit="1" customWidth="1" outlineLevel="1"/>
    <col min="43" max="81" width="10.42578125" style="502" bestFit="1" customWidth="1" outlineLevel="1"/>
    <col min="82" max="90" width="9.7109375" style="502" bestFit="1" customWidth="1"/>
    <col min="91" max="93" width="10.7109375" style="502" bestFit="1" customWidth="1"/>
    <col min="94" max="102" width="9.7109375" style="502" bestFit="1" customWidth="1"/>
    <col min="103" max="105" width="10.7109375" style="502" bestFit="1" customWidth="1"/>
    <col min="106" max="114" width="9.7109375" style="502" bestFit="1" customWidth="1"/>
    <col min="115" max="16384" width="9.140625" style="502"/>
  </cols>
  <sheetData>
    <row r="1" spans="1:114">
      <c r="A1" s="193" t="str">
        <f>Company_Name</f>
        <v>Model Wiz Demo *</v>
      </c>
    </row>
    <row r="2" spans="1:114">
      <c r="A2" s="148" t="str" cm="1">
        <f t="array" aca="1" ref="A2" ca="1">IFERROR(MID(CELL("filename",A1),FIND("]",CELL("filename",A1))+1,LEN(CELL("filename",A1))),"")</f>
        <v>Fixed &amp; Intangibles</v>
      </c>
      <c r="I2" s="853" t="s">
        <v>159</v>
      </c>
      <c r="J2" s="148"/>
      <c r="K2" s="148"/>
      <c r="L2" s="148"/>
      <c r="M2" s="148"/>
      <c r="N2" s="148"/>
      <c r="O2" s="853" t="s">
        <v>160</v>
      </c>
      <c r="P2" s="403"/>
      <c r="Q2" s="148"/>
      <c r="R2" s="148"/>
      <c r="S2" s="148"/>
      <c r="T2" s="148"/>
      <c r="U2" s="148"/>
      <c r="V2" s="148"/>
      <c r="W2" s="148"/>
      <c r="X2" s="148"/>
      <c r="Y2" s="148"/>
      <c r="Z2" s="148"/>
      <c r="AA2" s="148"/>
      <c r="AB2" s="148"/>
      <c r="AC2" s="148"/>
      <c r="AD2" s="148"/>
      <c r="AE2" s="148"/>
      <c r="AF2" s="407"/>
      <c r="AG2" s="853" t="s">
        <v>161</v>
      </c>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row>
    <row r="3" spans="1:114" ht="14.45" customHeight="1" collapsed="1">
      <c r="A3" s="192" t="str">
        <f>Error_Check</f>
        <v>Model Functioning Properly</v>
      </c>
      <c r="I3" s="853"/>
      <c r="J3" s="405" t="str">
        <f>IF(J$5&lt;=_xlfn.SINGLE(LatestMonthOfActuals),"Actual","Projected")</f>
        <v>Actual</v>
      </c>
      <c r="K3" s="405" t="str">
        <f>IF(K$5&lt;=_xlfn.SINGLE(LatestMonthOfActuals),"Actual","Projected")</f>
        <v>Actual</v>
      </c>
      <c r="L3" s="405" t="str">
        <f>IF(L$5&lt;=_xlfn.SINGLE(LatestMonthOfActuals),"Actual","Projected")</f>
        <v>Projected</v>
      </c>
      <c r="M3" s="405" t="str">
        <f>IF(M$5&lt;=_xlfn.SINGLE(LatestMonthOfActuals),"Actual","Projected")</f>
        <v>Projected</v>
      </c>
      <c r="N3" s="148"/>
      <c r="O3" s="853"/>
      <c r="P3" s="405" t="str">
        <f t="shared" ref="P3:AE3" si="0">IF(P$5&lt;=_xlfn.SINGLE(LatestMonthOfActuals),"Actual","Projected")</f>
        <v>Actual</v>
      </c>
      <c r="Q3" s="405" t="str">
        <f t="shared" si="0"/>
        <v>Actual</v>
      </c>
      <c r="R3" s="405" t="str">
        <f t="shared" si="0"/>
        <v>Actual</v>
      </c>
      <c r="S3" s="405" t="str">
        <f t="shared" si="0"/>
        <v>Actual</v>
      </c>
      <c r="T3" s="405" t="str">
        <f t="shared" si="0"/>
        <v>Actual</v>
      </c>
      <c r="U3" s="405" t="str">
        <f t="shared" si="0"/>
        <v>Actual</v>
      </c>
      <c r="V3" s="405" t="str">
        <f t="shared" si="0"/>
        <v>Actual</v>
      </c>
      <c r="W3" s="405" t="str">
        <f t="shared" si="0"/>
        <v>Actual</v>
      </c>
      <c r="X3" s="405" t="str">
        <f t="shared" si="0"/>
        <v>Actual</v>
      </c>
      <c r="Y3" s="405" t="str">
        <f t="shared" si="0"/>
        <v>Actual</v>
      </c>
      <c r="Z3" s="405" t="str">
        <f t="shared" si="0"/>
        <v>Actual</v>
      </c>
      <c r="AA3" s="405" t="str">
        <f t="shared" si="0"/>
        <v>Projected</v>
      </c>
      <c r="AB3" s="405" t="str">
        <f t="shared" si="0"/>
        <v>Projected</v>
      </c>
      <c r="AC3" s="405" t="str">
        <f t="shared" si="0"/>
        <v>Projected</v>
      </c>
      <c r="AD3" s="405" t="str">
        <f t="shared" si="0"/>
        <v>Projected</v>
      </c>
      <c r="AE3" s="405" t="str">
        <f t="shared" si="0"/>
        <v>Projected</v>
      </c>
      <c r="AF3" s="406"/>
      <c r="AG3" s="853"/>
      <c r="AH3" s="405" t="str">
        <f t="shared" ref="AH3:CC3" si="1">IF(AH$5&lt;=_xlfn.SINGLE(LatestMonthOfActuals),"Actual","Projected")</f>
        <v>Actual</v>
      </c>
      <c r="AI3" s="405" t="str">
        <f t="shared" si="1"/>
        <v>Actual</v>
      </c>
      <c r="AJ3" s="405" t="str">
        <f t="shared" si="1"/>
        <v>Actual</v>
      </c>
      <c r="AK3" s="405" t="str">
        <f t="shared" si="1"/>
        <v>Actual</v>
      </c>
      <c r="AL3" s="405" t="str">
        <f t="shared" si="1"/>
        <v>Actual</v>
      </c>
      <c r="AM3" s="405" t="str">
        <f t="shared" si="1"/>
        <v>Actual</v>
      </c>
      <c r="AN3" s="405" t="str">
        <f t="shared" si="1"/>
        <v>Actual</v>
      </c>
      <c r="AO3" s="405" t="str">
        <f t="shared" si="1"/>
        <v>Actual</v>
      </c>
      <c r="AP3" s="405" t="str">
        <f t="shared" si="1"/>
        <v>Actual</v>
      </c>
      <c r="AQ3" s="405" t="str">
        <f t="shared" si="1"/>
        <v>Actual</v>
      </c>
      <c r="AR3" s="405" t="str">
        <f t="shared" si="1"/>
        <v>Actual</v>
      </c>
      <c r="AS3" s="405" t="str">
        <f t="shared" si="1"/>
        <v>Actual</v>
      </c>
      <c r="AT3" s="405" t="str">
        <f t="shared" si="1"/>
        <v>Actual</v>
      </c>
      <c r="AU3" s="405" t="str">
        <f t="shared" si="1"/>
        <v>Actual</v>
      </c>
      <c r="AV3" s="405" t="str">
        <f t="shared" si="1"/>
        <v>Actual</v>
      </c>
      <c r="AW3" s="405" t="str">
        <f t="shared" si="1"/>
        <v>Actual</v>
      </c>
      <c r="AX3" s="405" t="str">
        <f t="shared" si="1"/>
        <v>Actual</v>
      </c>
      <c r="AY3" s="405" t="str">
        <f t="shared" si="1"/>
        <v>Actual</v>
      </c>
      <c r="AZ3" s="405" t="str">
        <f t="shared" si="1"/>
        <v>Actual</v>
      </c>
      <c r="BA3" s="405" t="str">
        <f t="shared" si="1"/>
        <v>Actual</v>
      </c>
      <c r="BB3" s="405" t="str">
        <f t="shared" si="1"/>
        <v>Actual</v>
      </c>
      <c r="BC3" s="405" t="str">
        <f t="shared" si="1"/>
        <v>Actual</v>
      </c>
      <c r="BD3" s="405" t="str">
        <f t="shared" si="1"/>
        <v>Actual</v>
      </c>
      <c r="BE3" s="405" t="str">
        <f t="shared" si="1"/>
        <v>Actual</v>
      </c>
      <c r="BF3" s="405" t="str">
        <f t="shared" si="1"/>
        <v>Actual</v>
      </c>
      <c r="BG3" s="405" t="str">
        <f t="shared" si="1"/>
        <v>Actual</v>
      </c>
      <c r="BH3" s="405" t="str">
        <f t="shared" si="1"/>
        <v>Actual</v>
      </c>
      <c r="BI3" s="405" t="str">
        <f t="shared" si="1"/>
        <v>Actual</v>
      </c>
      <c r="BJ3" s="405" t="str">
        <f t="shared" si="1"/>
        <v>Actual</v>
      </c>
      <c r="BK3" s="405" t="str">
        <f t="shared" si="1"/>
        <v>Actual</v>
      </c>
      <c r="BL3" s="405" t="str">
        <f t="shared" si="1"/>
        <v>Actual</v>
      </c>
      <c r="BM3" s="405" t="str">
        <f t="shared" si="1"/>
        <v>Actual</v>
      </c>
      <c r="BN3" s="405" t="str">
        <f t="shared" si="1"/>
        <v>Actual</v>
      </c>
      <c r="BO3" s="405" t="str">
        <f t="shared" si="1"/>
        <v>Actual</v>
      </c>
      <c r="BP3" s="405" t="str">
        <f t="shared" si="1"/>
        <v>Actual</v>
      </c>
      <c r="BQ3" s="405" t="str">
        <f t="shared" si="1"/>
        <v>Projected</v>
      </c>
      <c r="BR3" s="405" t="str">
        <f t="shared" si="1"/>
        <v>Projected</v>
      </c>
      <c r="BS3" s="405" t="str">
        <f t="shared" si="1"/>
        <v>Projected</v>
      </c>
      <c r="BT3" s="405" t="str">
        <f t="shared" si="1"/>
        <v>Projected</v>
      </c>
      <c r="BU3" s="405" t="str">
        <f t="shared" si="1"/>
        <v>Projected</v>
      </c>
      <c r="BV3" s="405" t="str">
        <f t="shared" si="1"/>
        <v>Projected</v>
      </c>
      <c r="BW3" s="405" t="str">
        <f t="shared" si="1"/>
        <v>Projected</v>
      </c>
      <c r="BX3" s="405" t="str">
        <f t="shared" si="1"/>
        <v>Projected</v>
      </c>
      <c r="BY3" s="405" t="str">
        <f t="shared" si="1"/>
        <v>Projected</v>
      </c>
      <c r="BZ3" s="405" t="str">
        <f t="shared" si="1"/>
        <v>Projected</v>
      </c>
      <c r="CA3" s="405" t="str">
        <f t="shared" si="1"/>
        <v>Projected</v>
      </c>
      <c r="CB3" s="405" t="str">
        <f t="shared" si="1"/>
        <v>Projected</v>
      </c>
      <c r="CC3" s="405" t="str">
        <f t="shared" si="1"/>
        <v>Projected</v>
      </c>
    </row>
    <row r="4" spans="1:114" s="515" customFormat="1" hidden="1" outlineLevel="2">
      <c r="B4" s="516"/>
      <c r="I4" s="853"/>
      <c r="J4" s="403">
        <f>Start_Date</f>
        <v>44927</v>
      </c>
      <c r="K4" s="403">
        <f>J5+1</f>
        <v>45292</v>
      </c>
      <c r="L4" s="403">
        <f>K5+1</f>
        <v>45658</v>
      </c>
      <c r="M4" s="403">
        <f>L5+1</f>
        <v>46023</v>
      </c>
      <c r="N4" s="148"/>
      <c r="O4" s="853"/>
      <c r="P4" s="403">
        <f>Start_Date</f>
        <v>44927</v>
      </c>
      <c r="Q4" s="402">
        <f t="shared" ref="Q4:AE4" si="2">P5+1</f>
        <v>45017</v>
      </c>
      <c r="R4" s="402">
        <f t="shared" si="2"/>
        <v>45108</v>
      </c>
      <c r="S4" s="402">
        <f t="shared" si="2"/>
        <v>45200</v>
      </c>
      <c r="T4" s="402">
        <f t="shared" si="2"/>
        <v>45292</v>
      </c>
      <c r="U4" s="402">
        <f t="shared" si="2"/>
        <v>45383</v>
      </c>
      <c r="V4" s="402">
        <f t="shared" si="2"/>
        <v>45474</v>
      </c>
      <c r="W4" s="402">
        <f t="shared" si="2"/>
        <v>45566</v>
      </c>
      <c r="X4" s="402">
        <f t="shared" si="2"/>
        <v>45658</v>
      </c>
      <c r="Y4" s="402">
        <f t="shared" si="2"/>
        <v>45748</v>
      </c>
      <c r="Z4" s="402">
        <f t="shared" si="2"/>
        <v>45839</v>
      </c>
      <c r="AA4" s="402">
        <f t="shared" si="2"/>
        <v>45931</v>
      </c>
      <c r="AB4" s="402">
        <f t="shared" si="2"/>
        <v>46023</v>
      </c>
      <c r="AC4" s="402">
        <f t="shared" si="2"/>
        <v>46113</v>
      </c>
      <c r="AD4" s="402">
        <f t="shared" si="2"/>
        <v>46204</v>
      </c>
      <c r="AE4" s="402">
        <f t="shared" si="2"/>
        <v>46296</v>
      </c>
      <c r="AF4" s="404"/>
      <c r="AG4" s="853"/>
      <c r="AH4" s="403">
        <f>Start_Date</f>
        <v>44927</v>
      </c>
      <c r="AI4" s="403">
        <f t="shared" ref="AI4:CC4" si="3">EOMONTH(AI5,-1)+1</f>
        <v>44958</v>
      </c>
      <c r="AJ4" s="403">
        <f t="shared" si="3"/>
        <v>44986</v>
      </c>
      <c r="AK4" s="403">
        <f t="shared" si="3"/>
        <v>45017</v>
      </c>
      <c r="AL4" s="403">
        <f t="shared" si="3"/>
        <v>45047</v>
      </c>
      <c r="AM4" s="403">
        <f t="shared" si="3"/>
        <v>45078</v>
      </c>
      <c r="AN4" s="403">
        <f t="shared" si="3"/>
        <v>45108</v>
      </c>
      <c r="AO4" s="403">
        <f t="shared" si="3"/>
        <v>45139</v>
      </c>
      <c r="AP4" s="403">
        <f t="shared" si="3"/>
        <v>45170</v>
      </c>
      <c r="AQ4" s="403">
        <f t="shared" si="3"/>
        <v>45200</v>
      </c>
      <c r="AR4" s="403">
        <f t="shared" si="3"/>
        <v>45231</v>
      </c>
      <c r="AS4" s="403">
        <f t="shared" si="3"/>
        <v>45261</v>
      </c>
      <c r="AT4" s="403">
        <f t="shared" si="3"/>
        <v>45292</v>
      </c>
      <c r="AU4" s="403">
        <f t="shared" si="3"/>
        <v>45323</v>
      </c>
      <c r="AV4" s="403">
        <f t="shared" si="3"/>
        <v>45352</v>
      </c>
      <c r="AW4" s="403">
        <f t="shared" si="3"/>
        <v>45383</v>
      </c>
      <c r="AX4" s="403">
        <f t="shared" si="3"/>
        <v>45413</v>
      </c>
      <c r="AY4" s="403">
        <f t="shared" si="3"/>
        <v>45444</v>
      </c>
      <c r="AZ4" s="403">
        <f t="shared" si="3"/>
        <v>45474</v>
      </c>
      <c r="BA4" s="403">
        <f t="shared" si="3"/>
        <v>45505</v>
      </c>
      <c r="BB4" s="403">
        <f t="shared" si="3"/>
        <v>45536</v>
      </c>
      <c r="BC4" s="403">
        <f t="shared" si="3"/>
        <v>45566</v>
      </c>
      <c r="BD4" s="403">
        <f t="shared" si="3"/>
        <v>45597</v>
      </c>
      <c r="BE4" s="403">
        <f t="shared" si="3"/>
        <v>45627</v>
      </c>
      <c r="BF4" s="403">
        <f t="shared" si="3"/>
        <v>45658</v>
      </c>
      <c r="BG4" s="403">
        <f t="shared" si="3"/>
        <v>45689</v>
      </c>
      <c r="BH4" s="403">
        <f t="shared" si="3"/>
        <v>45717</v>
      </c>
      <c r="BI4" s="403">
        <f t="shared" si="3"/>
        <v>45748</v>
      </c>
      <c r="BJ4" s="403">
        <f t="shared" si="3"/>
        <v>45778</v>
      </c>
      <c r="BK4" s="403">
        <f t="shared" si="3"/>
        <v>45809</v>
      </c>
      <c r="BL4" s="403">
        <f t="shared" si="3"/>
        <v>45839</v>
      </c>
      <c r="BM4" s="403">
        <f t="shared" si="3"/>
        <v>45870</v>
      </c>
      <c r="BN4" s="403">
        <f t="shared" si="3"/>
        <v>45901</v>
      </c>
      <c r="BO4" s="403">
        <f t="shared" si="3"/>
        <v>45931</v>
      </c>
      <c r="BP4" s="403">
        <f t="shared" si="3"/>
        <v>45962</v>
      </c>
      <c r="BQ4" s="403">
        <f t="shared" si="3"/>
        <v>45992</v>
      </c>
      <c r="BR4" s="403">
        <f t="shared" si="3"/>
        <v>46023</v>
      </c>
      <c r="BS4" s="403">
        <f t="shared" si="3"/>
        <v>46054</v>
      </c>
      <c r="BT4" s="403">
        <f t="shared" si="3"/>
        <v>46082</v>
      </c>
      <c r="BU4" s="403">
        <f t="shared" si="3"/>
        <v>46113</v>
      </c>
      <c r="BV4" s="403">
        <f t="shared" si="3"/>
        <v>46143</v>
      </c>
      <c r="BW4" s="403">
        <f t="shared" si="3"/>
        <v>46174</v>
      </c>
      <c r="BX4" s="403">
        <f t="shared" si="3"/>
        <v>46204</v>
      </c>
      <c r="BY4" s="403">
        <f t="shared" si="3"/>
        <v>46235</v>
      </c>
      <c r="BZ4" s="403">
        <f t="shared" si="3"/>
        <v>46266</v>
      </c>
      <c r="CA4" s="403">
        <f t="shared" si="3"/>
        <v>46296</v>
      </c>
      <c r="CB4" s="403">
        <f t="shared" si="3"/>
        <v>46327</v>
      </c>
      <c r="CC4" s="403">
        <f t="shared" si="3"/>
        <v>46357</v>
      </c>
    </row>
    <row r="5" spans="1:114" s="515" customFormat="1" hidden="1" outlineLevel="2">
      <c r="B5" s="516"/>
      <c r="I5" s="853"/>
      <c r="J5" s="403">
        <f>EOMONTH(DATE(YEAR(Start_Date),1,1),Fiscal_Offset+IF(P6&lt;YEAR(Start_Date),-1,11))</f>
        <v>45291</v>
      </c>
      <c r="K5" s="402">
        <f>MIN(EOMONTH(J5,12),End_Date)</f>
        <v>45657</v>
      </c>
      <c r="L5" s="402">
        <f>MIN(EOMONTH(K5,12),End_Date)</f>
        <v>46022</v>
      </c>
      <c r="M5" s="402">
        <f>MIN(EOMONTH(L5,12),End_Date)</f>
        <v>46387</v>
      </c>
      <c r="N5" s="148"/>
      <c r="O5" s="853"/>
      <c r="P5" s="402">
        <f>EOMONTH(DATE(YEAR(Start_Date),1,1),MOD(ROUNDUP(MONTH(EOMONTH(Start_Date,-Fiscal_Offset))/3,0)*3+Fiscal_Offset-1,12))</f>
        <v>45016</v>
      </c>
      <c r="Q5" s="402">
        <f t="shared" ref="Q5:AE5" si="4">MIN(EOMONTH(Q$4,2),End_Date)</f>
        <v>45107</v>
      </c>
      <c r="R5" s="402">
        <f t="shared" si="4"/>
        <v>45199</v>
      </c>
      <c r="S5" s="402">
        <f t="shared" si="4"/>
        <v>45291</v>
      </c>
      <c r="T5" s="402">
        <f t="shared" si="4"/>
        <v>45382</v>
      </c>
      <c r="U5" s="402">
        <f t="shared" si="4"/>
        <v>45473</v>
      </c>
      <c r="V5" s="402">
        <f t="shared" si="4"/>
        <v>45565</v>
      </c>
      <c r="W5" s="402">
        <f t="shared" si="4"/>
        <v>45657</v>
      </c>
      <c r="X5" s="402">
        <f t="shared" si="4"/>
        <v>45747</v>
      </c>
      <c r="Y5" s="402">
        <f t="shared" si="4"/>
        <v>45838</v>
      </c>
      <c r="Z5" s="402">
        <f t="shared" si="4"/>
        <v>45930</v>
      </c>
      <c r="AA5" s="402">
        <f t="shared" si="4"/>
        <v>46022</v>
      </c>
      <c r="AB5" s="402">
        <f t="shared" si="4"/>
        <v>46112</v>
      </c>
      <c r="AC5" s="402">
        <f t="shared" si="4"/>
        <v>46203</v>
      </c>
      <c r="AD5" s="402">
        <f t="shared" si="4"/>
        <v>46295</v>
      </c>
      <c r="AE5" s="402">
        <f t="shared" si="4"/>
        <v>46387</v>
      </c>
      <c r="AF5" s="404"/>
      <c r="AG5" s="853"/>
      <c r="AH5" s="403" cm="1">
        <f t="array" ref="AH5">EOM_Start_Date</f>
        <v>44957</v>
      </c>
      <c r="AI5" s="402">
        <f t="shared" ref="AI5:CC5" si="5">EOMONTH(AH5,1)</f>
        <v>44985</v>
      </c>
      <c r="AJ5" s="402">
        <f t="shared" si="5"/>
        <v>45016</v>
      </c>
      <c r="AK5" s="402">
        <f t="shared" si="5"/>
        <v>45046</v>
      </c>
      <c r="AL5" s="402">
        <f t="shared" si="5"/>
        <v>45077</v>
      </c>
      <c r="AM5" s="402">
        <f t="shared" si="5"/>
        <v>45107</v>
      </c>
      <c r="AN5" s="402">
        <f t="shared" si="5"/>
        <v>45138</v>
      </c>
      <c r="AO5" s="402">
        <f t="shared" si="5"/>
        <v>45169</v>
      </c>
      <c r="AP5" s="402">
        <f t="shared" si="5"/>
        <v>45199</v>
      </c>
      <c r="AQ5" s="402">
        <f t="shared" si="5"/>
        <v>45230</v>
      </c>
      <c r="AR5" s="402">
        <f t="shared" si="5"/>
        <v>45260</v>
      </c>
      <c r="AS5" s="402">
        <f t="shared" si="5"/>
        <v>45291</v>
      </c>
      <c r="AT5" s="402">
        <f t="shared" si="5"/>
        <v>45322</v>
      </c>
      <c r="AU5" s="402">
        <f t="shared" si="5"/>
        <v>45351</v>
      </c>
      <c r="AV5" s="402">
        <f t="shared" si="5"/>
        <v>45382</v>
      </c>
      <c r="AW5" s="402">
        <f t="shared" si="5"/>
        <v>45412</v>
      </c>
      <c r="AX5" s="402">
        <f t="shared" si="5"/>
        <v>45443</v>
      </c>
      <c r="AY5" s="402">
        <f t="shared" si="5"/>
        <v>45473</v>
      </c>
      <c r="AZ5" s="402">
        <f t="shared" si="5"/>
        <v>45504</v>
      </c>
      <c r="BA5" s="402">
        <f t="shared" si="5"/>
        <v>45535</v>
      </c>
      <c r="BB5" s="402">
        <f t="shared" si="5"/>
        <v>45565</v>
      </c>
      <c r="BC5" s="402">
        <f t="shared" si="5"/>
        <v>45596</v>
      </c>
      <c r="BD5" s="402">
        <f t="shared" si="5"/>
        <v>45626</v>
      </c>
      <c r="BE5" s="402">
        <f t="shared" si="5"/>
        <v>45657</v>
      </c>
      <c r="BF5" s="402">
        <f t="shared" si="5"/>
        <v>45688</v>
      </c>
      <c r="BG5" s="402">
        <f t="shared" si="5"/>
        <v>45716</v>
      </c>
      <c r="BH5" s="402">
        <f t="shared" si="5"/>
        <v>45747</v>
      </c>
      <c r="BI5" s="402">
        <f t="shared" si="5"/>
        <v>45777</v>
      </c>
      <c r="BJ5" s="402">
        <f t="shared" si="5"/>
        <v>45808</v>
      </c>
      <c r="BK5" s="402">
        <f t="shared" si="5"/>
        <v>45838</v>
      </c>
      <c r="BL5" s="402">
        <f t="shared" si="5"/>
        <v>45869</v>
      </c>
      <c r="BM5" s="402">
        <f t="shared" si="5"/>
        <v>45900</v>
      </c>
      <c r="BN5" s="402">
        <f t="shared" si="5"/>
        <v>45930</v>
      </c>
      <c r="BO5" s="402">
        <f t="shared" si="5"/>
        <v>45961</v>
      </c>
      <c r="BP5" s="402">
        <f t="shared" si="5"/>
        <v>45991</v>
      </c>
      <c r="BQ5" s="402">
        <f t="shared" si="5"/>
        <v>46022</v>
      </c>
      <c r="BR5" s="402">
        <f t="shared" si="5"/>
        <v>46053</v>
      </c>
      <c r="BS5" s="402">
        <f t="shared" si="5"/>
        <v>46081</v>
      </c>
      <c r="BT5" s="402">
        <f t="shared" si="5"/>
        <v>46112</v>
      </c>
      <c r="BU5" s="402">
        <f t="shared" si="5"/>
        <v>46142</v>
      </c>
      <c r="BV5" s="402">
        <f t="shared" si="5"/>
        <v>46173</v>
      </c>
      <c r="BW5" s="402">
        <f t="shared" si="5"/>
        <v>46203</v>
      </c>
      <c r="BX5" s="402">
        <f t="shared" si="5"/>
        <v>46234</v>
      </c>
      <c r="BY5" s="402">
        <f t="shared" si="5"/>
        <v>46265</v>
      </c>
      <c r="BZ5" s="402">
        <f t="shared" si="5"/>
        <v>46295</v>
      </c>
      <c r="CA5" s="402">
        <f t="shared" si="5"/>
        <v>46326</v>
      </c>
      <c r="CB5" s="402">
        <f t="shared" si="5"/>
        <v>46356</v>
      </c>
      <c r="CC5" s="402">
        <f t="shared" si="5"/>
        <v>46387</v>
      </c>
    </row>
    <row r="6" spans="1:114" s="515" customFormat="1" hidden="1" outlineLevel="2">
      <c r="B6" s="516"/>
      <c r="I6" s="853"/>
      <c r="J6" s="369">
        <f>YEAR(EOMONTH(J5,-Fiscal_Offset))</f>
        <v>2023</v>
      </c>
      <c r="K6" s="369">
        <f>YEAR(EOMONTH(K5,-Fiscal_Offset))</f>
        <v>2024</v>
      </c>
      <c r="L6" s="369">
        <f>YEAR(EOMONTH(L5,-Fiscal_Offset))</f>
        <v>2025</v>
      </c>
      <c r="M6" s="369">
        <f>YEAR(EOMONTH(M5,-Fiscal_Offset))</f>
        <v>2026</v>
      </c>
      <c r="N6" s="148"/>
      <c r="O6" s="853"/>
      <c r="P6" s="369">
        <f t="shared" ref="P6:AE6" si="6">YEAR(EOMONTH(P5,-Fiscal_Offset))</f>
        <v>2023</v>
      </c>
      <c r="Q6" s="369">
        <f t="shared" si="6"/>
        <v>2023</v>
      </c>
      <c r="R6" s="369">
        <f t="shared" si="6"/>
        <v>2023</v>
      </c>
      <c r="S6" s="369">
        <f t="shared" si="6"/>
        <v>2023</v>
      </c>
      <c r="T6" s="369">
        <f t="shared" si="6"/>
        <v>2024</v>
      </c>
      <c r="U6" s="369">
        <f t="shared" si="6"/>
        <v>2024</v>
      </c>
      <c r="V6" s="369">
        <f t="shared" si="6"/>
        <v>2024</v>
      </c>
      <c r="W6" s="369">
        <f t="shared" si="6"/>
        <v>2024</v>
      </c>
      <c r="X6" s="369">
        <f t="shared" si="6"/>
        <v>2025</v>
      </c>
      <c r="Y6" s="369">
        <f t="shared" si="6"/>
        <v>2025</v>
      </c>
      <c r="Z6" s="369">
        <f t="shared" si="6"/>
        <v>2025</v>
      </c>
      <c r="AA6" s="369">
        <f t="shared" si="6"/>
        <v>2025</v>
      </c>
      <c r="AB6" s="369">
        <f t="shared" si="6"/>
        <v>2026</v>
      </c>
      <c r="AC6" s="369">
        <f t="shared" si="6"/>
        <v>2026</v>
      </c>
      <c r="AD6" s="369">
        <f t="shared" si="6"/>
        <v>2026</v>
      </c>
      <c r="AE6" s="369">
        <f t="shared" si="6"/>
        <v>2026</v>
      </c>
      <c r="AF6" s="399"/>
      <c r="AG6" s="853"/>
      <c r="AH6" s="369">
        <f t="shared" ref="AH6:CC6" si="7">YEAR(EOMONTH(AH5,-Fiscal_Offset))</f>
        <v>2023</v>
      </c>
      <c r="AI6" s="369">
        <f t="shared" si="7"/>
        <v>2023</v>
      </c>
      <c r="AJ6" s="369">
        <f t="shared" si="7"/>
        <v>2023</v>
      </c>
      <c r="AK6" s="369">
        <f t="shared" si="7"/>
        <v>2023</v>
      </c>
      <c r="AL6" s="369">
        <f t="shared" si="7"/>
        <v>2023</v>
      </c>
      <c r="AM6" s="369">
        <f t="shared" si="7"/>
        <v>2023</v>
      </c>
      <c r="AN6" s="369">
        <f t="shared" si="7"/>
        <v>2023</v>
      </c>
      <c r="AO6" s="369">
        <f t="shared" si="7"/>
        <v>2023</v>
      </c>
      <c r="AP6" s="369">
        <f t="shared" si="7"/>
        <v>2023</v>
      </c>
      <c r="AQ6" s="369">
        <f t="shared" si="7"/>
        <v>2023</v>
      </c>
      <c r="AR6" s="369">
        <f t="shared" si="7"/>
        <v>2023</v>
      </c>
      <c r="AS6" s="369">
        <f t="shared" si="7"/>
        <v>2023</v>
      </c>
      <c r="AT6" s="369">
        <f t="shared" si="7"/>
        <v>2024</v>
      </c>
      <c r="AU6" s="369">
        <f t="shared" si="7"/>
        <v>2024</v>
      </c>
      <c r="AV6" s="369">
        <f t="shared" si="7"/>
        <v>2024</v>
      </c>
      <c r="AW6" s="369">
        <f t="shared" si="7"/>
        <v>2024</v>
      </c>
      <c r="AX6" s="369">
        <f t="shared" si="7"/>
        <v>2024</v>
      </c>
      <c r="AY6" s="369">
        <f t="shared" si="7"/>
        <v>2024</v>
      </c>
      <c r="AZ6" s="369">
        <f t="shared" si="7"/>
        <v>2024</v>
      </c>
      <c r="BA6" s="369">
        <f t="shared" si="7"/>
        <v>2024</v>
      </c>
      <c r="BB6" s="369">
        <f t="shared" si="7"/>
        <v>2024</v>
      </c>
      <c r="BC6" s="369">
        <f t="shared" si="7"/>
        <v>2024</v>
      </c>
      <c r="BD6" s="369">
        <f t="shared" si="7"/>
        <v>2024</v>
      </c>
      <c r="BE6" s="369">
        <f t="shared" si="7"/>
        <v>2024</v>
      </c>
      <c r="BF6" s="369">
        <f t="shared" si="7"/>
        <v>2025</v>
      </c>
      <c r="BG6" s="369">
        <f t="shared" si="7"/>
        <v>2025</v>
      </c>
      <c r="BH6" s="369">
        <f t="shared" si="7"/>
        <v>2025</v>
      </c>
      <c r="BI6" s="369">
        <f t="shared" si="7"/>
        <v>2025</v>
      </c>
      <c r="BJ6" s="369">
        <f t="shared" si="7"/>
        <v>2025</v>
      </c>
      <c r="BK6" s="369">
        <f t="shared" si="7"/>
        <v>2025</v>
      </c>
      <c r="BL6" s="369">
        <f t="shared" si="7"/>
        <v>2025</v>
      </c>
      <c r="BM6" s="369">
        <f t="shared" si="7"/>
        <v>2025</v>
      </c>
      <c r="BN6" s="369">
        <f t="shared" si="7"/>
        <v>2025</v>
      </c>
      <c r="BO6" s="369">
        <f t="shared" si="7"/>
        <v>2025</v>
      </c>
      <c r="BP6" s="369">
        <f t="shared" si="7"/>
        <v>2025</v>
      </c>
      <c r="BQ6" s="369">
        <f t="shared" si="7"/>
        <v>2025</v>
      </c>
      <c r="BR6" s="369">
        <f t="shared" si="7"/>
        <v>2026</v>
      </c>
      <c r="BS6" s="369">
        <f t="shared" si="7"/>
        <v>2026</v>
      </c>
      <c r="BT6" s="369">
        <f t="shared" si="7"/>
        <v>2026</v>
      </c>
      <c r="BU6" s="369">
        <f t="shared" si="7"/>
        <v>2026</v>
      </c>
      <c r="BV6" s="369">
        <f t="shared" si="7"/>
        <v>2026</v>
      </c>
      <c r="BW6" s="369">
        <f t="shared" si="7"/>
        <v>2026</v>
      </c>
      <c r="BX6" s="369">
        <f t="shared" si="7"/>
        <v>2026</v>
      </c>
      <c r="BY6" s="369">
        <f t="shared" si="7"/>
        <v>2026</v>
      </c>
      <c r="BZ6" s="369">
        <f t="shared" si="7"/>
        <v>2026</v>
      </c>
      <c r="CA6" s="369">
        <f t="shared" si="7"/>
        <v>2026</v>
      </c>
      <c r="CB6" s="369">
        <f t="shared" si="7"/>
        <v>2026</v>
      </c>
      <c r="CC6" s="369">
        <f t="shared" si="7"/>
        <v>2026</v>
      </c>
    </row>
    <row r="7" spans="1:114" s="515" customFormat="1" hidden="1" outlineLevel="2">
      <c r="B7" s="516"/>
      <c r="I7" s="853"/>
      <c r="J7" s="369" t="str">
        <f>"Q"&amp; ROUNDUP(MONTH(EOMONTH(J5,-Fiscal_Offset))/3,0)</f>
        <v>Q4</v>
      </c>
      <c r="K7" s="369" t="str">
        <f>"Q"&amp; ROUNDUP(MONTH(EOMONTH(K5,-Fiscal_Offset))/3,0)</f>
        <v>Q4</v>
      </c>
      <c r="L7" s="369" t="str">
        <f>"Q"&amp; ROUNDUP(MONTH(EOMONTH(L5,-Fiscal_Offset))/3,0)</f>
        <v>Q4</v>
      </c>
      <c r="M7" s="369" t="str">
        <f>"Q"&amp; ROUNDUP(MONTH(EOMONTH(M5,-Fiscal_Offset))/3,0)</f>
        <v>Q4</v>
      </c>
      <c r="N7" s="148"/>
      <c r="O7" s="853"/>
      <c r="P7" s="369" t="str">
        <f t="shared" ref="P7:AE7" si="8">"Q"&amp; ROUNDUP(MONTH(EOMONTH(P5,-Fiscal_Offset))/3,0)</f>
        <v>Q1</v>
      </c>
      <c r="Q7" s="369" t="str">
        <f t="shared" si="8"/>
        <v>Q2</v>
      </c>
      <c r="R7" s="369" t="str">
        <f t="shared" si="8"/>
        <v>Q3</v>
      </c>
      <c r="S7" s="369" t="str">
        <f t="shared" si="8"/>
        <v>Q4</v>
      </c>
      <c r="T7" s="369" t="str">
        <f t="shared" si="8"/>
        <v>Q1</v>
      </c>
      <c r="U7" s="369" t="str">
        <f t="shared" si="8"/>
        <v>Q2</v>
      </c>
      <c r="V7" s="369" t="str">
        <f t="shared" si="8"/>
        <v>Q3</v>
      </c>
      <c r="W7" s="369" t="str">
        <f t="shared" si="8"/>
        <v>Q4</v>
      </c>
      <c r="X7" s="369" t="str">
        <f t="shared" si="8"/>
        <v>Q1</v>
      </c>
      <c r="Y7" s="369" t="str">
        <f t="shared" si="8"/>
        <v>Q2</v>
      </c>
      <c r="Z7" s="369" t="str">
        <f t="shared" si="8"/>
        <v>Q3</v>
      </c>
      <c r="AA7" s="369" t="str">
        <f t="shared" si="8"/>
        <v>Q4</v>
      </c>
      <c r="AB7" s="369" t="str">
        <f t="shared" si="8"/>
        <v>Q1</v>
      </c>
      <c r="AC7" s="369" t="str">
        <f t="shared" si="8"/>
        <v>Q2</v>
      </c>
      <c r="AD7" s="369" t="str">
        <f t="shared" si="8"/>
        <v>Q3</v>
      </c>
      <c r="AE7" s="369" t="str">
        <f t="shared" si="8"/>
        <v>Q4</v>
      </c>
      <c r="AF7" s="399"/>
      <c r="AG7" s="853"/>
      <c r="AH7" s="369" t="str">
        <f t="shared" ref="AH7:CC7" si="9">"Q"&amp; ROUNDUP(MONTH(EOMONTH(AH5,-Fiscal_Offset))/3,0)</f>
        <v>Q1</v>
      </c>
      <c r="AI7" s="369" t="str">
        <f t="shared" si="9"/>
        <v>Q1</v>
      </c>
      <c r="AJ7" s="369" t="str">
        <f t="shared" si="9"/>
        <v>Q1</v>
      </c>
      <c r="AK7" s="369" t="str">
        <f t="shared" si="9"/>
        <v>Q2</v>
      </c>
      <c r="AL7" s="369" t="str">
        <f t="shared" si="9"/>
        <v>Q2</v>
      </c>
      <c r="AM7" s="369" t="str">
        <f t="shared" si="9"/>
        <v>Q2</v>
      </c>
      <c r="AN7" s="369" t="str">
        <f t="shared" si="9"/>
        <v>Q3</v>
      </c>
      <c r="AO7" s="369" t="str">
        <f t="shared" si="9"/>
        <v>Q3</v>
      </c>
      <c r="AP7" s="369" t="str">
        <f t="shared" si="9"/>
        <v>Q3</v>
      </c>
      <c r="AQ7" s="369" t="str">
        <f t="shared" si="9"/>
        <v>Q4</v>
      </c>
      <c r="AR7" s="369" t="str">
        <f t="shared" si="9"/>
        <v>Q4</v>
      </c>
      <c r="AS7" s="369" t="str">
        <f t="shared" si="9"/>
        <v>Q4</v>
      </c>
      <c r="AT7" s="369" t="str">
        <f t="shared" si="9"/>
        <v>Q1</v>
      </c>
      <c r="AU7" s="369" t="str">
        <f t="shared" si="9"/>
        <v>Q1</v>
      </c>
      <c r="AV7" s="369" t="str">
        <f t="shared" si="9"/>
        <v>Q1</v>
      </c>
      <c r="AW7" s="369" t="str">
        <f t="shared" si="9"/>
        <v>Q2</v>
      </c>
      <c r="AX7" s="369" t="str">
        <f t="shared" si="9"/>
        <v>Q2</v>
      </c>
      <c r="AY7" s="369" t="str">
        <f t="shared" si="9"/>
        <v>Q2</v>
      </c>
      <c r="AZ7" s="369" t="str">
        <f t="shared" si="9"/>
        <v>Q3</v>
      </c>
      <c r="BA7" s="369" t="str">
        <f t="shared" si="9"/>
        <v>Q3</v>
      </c>
      <c r="BB7" s="369" t="str">
        <f t="shared" si="9"/>
        <v>Q3</v>
      </c>
      <c r="BC7" s="369" t="str">
        <f t="shared" si="9"/>
        <v>Q4</v>
      </c>
      <c r="BD7" s="369" t="str">
        <f t="shared" si="9"/>
        <v>Q4</v>
      </c>
      <c r="BE7" s="369" t="str">
        <f t="shared" si="9"/>
        <v>Q4</v>
      </c>
      <c r="BF7" s="369" t="str">
        <f t="shared" si="9"/>
        <v>Q1</v>
      </c>
      <c r="BG7" s="369" t="str">
        <f t="shared" si="9"/>
        <v>Q1</v>
      </c>
      <c r="BH7" s="369" t="str">
        <f t="shared" si="9"/>
        <v>Q1</v>
      </c>
      <c r="BI7" s="369" t="str">
        <f t="shared" si="9"/>
        <v>Q2</v>
      </c>
      <c r="BJ7" s="369" t="str">
        <f t="shared" si="9"/>
        <v>Q2</v>
      </c>
      <c r="BK7" s="369" t="str">
        <f t="shared" si="9"/>
        <v>Q2</v>
      </c>
      <c r="BL7" s="369" t="str">
        <f t="shared" si="9"/>
        <v>Q3</v>
      </c>
      <c r="BM7" s="369" t="str">
        <f t="shared" si="9"/>
        <v>Q3</v>
      </c>
      <c r="BN7" s="369" t="str">
        <f t="shared" si="9"/>
        <v>Q3</v>
      </c>
      <c r="BO7" s="369" t="str">
        <f t="shared" si="9"/>
        <v>Q4</v>
      </c>
      <c r="BP7" s="369" t="str">
        <f t="shared" si="9"/>
        <v>Q4</v>
      </c>
      <c r="BQ7" s="369" t="str">
        <f t="shared" si="9"/>
        <v>Q4</v>
      </c>
      <c r="BR7" s="369" t="str">
        <f t="shared" si="9"/>
        <v>Q1</v>
      </c>
      <c r="BS7" s="369" t="str">
        <f t="shared" si="9"/>
        <v>Q1</v>
      </c>
      <c r="BT7" s="369" t="str">
        <f t="shared" si="9"/>
        <v>Q1</v>
      </c>
      <c r="BU7" s="369" t="str">
        <f t="shared" si="9"/>
        <v>Q2</v>
      </c>
      <c r="BV7" s="369" t="str">
        <f t="shared" si="9"/>
        <v>Q2</v>
      </c>
      <c r="BW7" s="369" t="str">
        <f t="shared" si="9"/>
        <v>Q2</v>
      </c>
      <c r="BX7" s="369" t="str">
        <f t="shared" si="9"/>
        <v>Q3</v>
      </c>
      <c r="BY7" s="369" t="str">
        <f t="shared" si="9"/>
        <v>Q3</v>
      </c>
      <c r="BZ7" s="369" t="str">
        <f t="shared" si="9"/>
        <v>Q3</v>
      </c>
      <c r="CA7" s="369" t="str">
        <f t="shared" si="9"/>
        <v>Q4</v>
      </c>
      <c r="CB7" s="369" t="str">
        <f t="shared" si="9"/>
        <v>Q4</v>
      </c>
      <c r="CC7" s="369" t="str">
        <f t="shared" si="9"/>
        <v>Q4</v>
      </c>
    </row>
    <row r="8" spans="1:114" ht="29.45" customHeight="1">
      <c r="D8" s="510"/>
      <c r="E8" s="510"/>
      <c r="F8" s="510"/>
      <c r="G8" s="510"/>
      <c r="I8" s="853"/>
      <c r="J8" s="398">
        <f>J6</f>
        <v>2023</v>
      </c>
      <c r="K8" s="398">
        <f>K6</f>
        <v>2024</v>
      </c>
      <c r="L8" s="398">
        <f>L6</f>
        <v>2025</v>
      </c>
      <c r="M8" s="398">
        <f>M6</f>
        <v>2026</v>
      </c>
      <c r="N8" s="172"/>
      <c r="O8" s="853"/>
      <c r="P8" s="397" t="str">
        <f t="shared" ref="P8:AE8" si="10">CONCATENATE(CONCATENATE(P$7," ",P$6))</f>
        <v>Q1 2023</v>
      </c>
      <c r="Q8" s="397" t="str">
        <f t="shared" si="10"/>
        <v>Q2 2023</v>
      </c>
      <c r="R8" s="397" t="str">
        <f t="shared" si="10"/>
        <v>Q3 2023</v>
      </c>
      <c r="S8" s="397" t="str">
        <f t="shared" si="10"/>
        <v>Q4 2023</v>
      </c>
      <c r="T8" s="397" t="str">
        <f t="shared" si="10"/>
        <v>Q1 2024</v>
      </c>
      <c r="U8" s="397" t="str">
        <f t="shared" si="10"/>
        <v>Q2 2024</v>
      </c>
      <c r="V8" s="397" t="str">
        <f t="shared" si="10"/>
        <v>Q3 2024</v>
      </c>
      <c r="W8" s="397" t="str">
        <f t="shared" si="10"/>
        <v>Q4 2024</v>
      </c>
      <c r="X8" s="397" t="str">
        <f t="shared" si="10"/>
        <v>Q1 2025</v>
      </c>
      <c r="Y8" s="397" t="str">
        <f t="shared" si="10"/>
        <v>Q2 2025</v>
      </c>
      <c r="Z8" s="397" t="str">
        <f t="shared" si="10"/>
        <v>Q3 2025</v>
      </c>
      <c r="AA8" s="397" t="str">
        <f t="shared" si="10"/>
        <v>Q4 2025</v>
      </c>
      <c r="AB8" s="397" t="str">
        <f t="shared" si="10"/>
        <v>Q1 2026</v>
      </c>
      <c r="AC8" s="397" t="str">
        <f t="shared" si="10"/>
        <v>Q2 2026</v>
      </c>
      <c r="AD8" s="397" t="str">
        <f t="shared" si="10"/>
        <v>Q3 2026</v>
      </c>
      <c r="AE8" s="397" t="str">
        <f t="shared" si="10"/>
        <v>Q4 2026</v>
      </c>
      <c r="AF8" s="396"/>
      <c r="AG8" s="853"/>
      <c r="AH8" s="395">
        <f t="shared" ref="AH8:CC8" si="11">AH5</f>
        <v>44957</v>
      </c>
      <c r="AI8" s="395">
        <f t="shared" si="11"/>
        <v>44985</v>
      </c>
      <c r="AJ8" s="395">
        <f t="shared" si="11"/>
        <v>45016</v>
      </c>
      <c r="AK8" s="395">
        <f t="shared" si="11"/>
        <v>45046</v>
      </c>
      <c r="AL8" s="395">
        <f t="shared" si="11"/>
        <v>45077</v>
      </c>
      <c r="AM8" s="395">
        <f t="shared" si="11"/>
        <v>45107</v>
      </c>
      <c r="AN8" s="395">
        <f t="shared" si="11"/>
        <v>45138</v>
      </c>
      <c r="AO8" s="395">
        <f t="shared" si="11"/>
        <v>45169</v>
      </c>
      <c r="AP8" s="395">
        <f t="shared" si="11"/>
        <v>45199</v>
      </c>
      <c r="AQ8" s="395">
        <f t="shared" si="11"/>
        <v>45230</v>
      </c>
      <c r="AR8" s="395">
        <f t="shared" si="11"/>
        <v>45260</v>
      </c>
      <c r="AS8" s="395">
        <f t="shared" si="11"/>
        <v>45291</v>
      </c>
      <c r="AT8" s="395">
        <f t="shared" si="11"/>
        <v>45322</v>
      </c>
      <c r="AU8" s="395">
        <f t="shared" si="11"/>
        <v>45351</v>
      </c>
      <c r="AV8" s="395">
        <f t="shared" si="11"/>
        <v>45382</v>
      </c>
      <c r="AW8" s="395">
        <f t="shared" si="11"/>
        <v>45412</v>
      </c>
      <c r="AX8" s="395">
        <f t="shared" si="11"/>
        <v>45443</v>
      </c>
      <c r="AY8" s="395">
        <f t="shared" si="11"/>
        <v>45473</v>
      </c>
      <c r="AZ8" s="395">
        <f t="shared" si="11"/>
        <v>45504</v>
      </c>
      <c r="BA8" s="395">
        <f t="shared" si="11"/>
        <v>45535</v>
      </c>
      <c r="BB8" s="395">
        <f t="shared" si="11"/>
        <v>45565</v>
      </c>
      <c r="BC8" s="395">
        <f t="shared" si="11"/>
        <v>45596</v>
      </c>
      <c r="BD8" s="395">
        <f t="shared" si="11"/>
        <v>45626</v>
      </c>
      <c r="BE8" s="395">
        <f t="shared" si="11"/>
        <v>45657</v>
      </c>
      <c r="BF8" s="395">
        <f t="shared" si="11"/>
        <v>45688</v>
      </c>
      <c r="BG8" s="395">
        <f t="shared" si="11"/>
        <v>45716</v>
      </c>
      <c r="BH8" s="395">
        <f t="shared" si="11"/>
        <v>45747</v>
      </c>
      <c r="BI8" s="395">
        <f t="shared" si="11"/>
        <v>45777</v>
      </c>
      <c r="BJ8" s="395">
        <f t="shared" si="11"/>
        <v>45808</v>
      </c>
      <c r="BK8" s="395">
        <f t="shared" si="11"/>
        <v>45838</v>
      </c>
      <c r="BL8" s="395">
        <f t="shared" si="11"/>
        <v>45869</v>
      </c>
      <c r="BM8" s="395">
        <f t="shared" si="11"/>
        <v>45900</v>
      </c>
      <c r="BN8" s="395">
        <f t="shared" si="11"/>
        <v>45930</v>
      </c>
      <c r="BO8" s="395">
        <f t="shared" si="11"/>
        <v>45961</v>
      </c>
      <c r="BP8" s="395">
        <f t="shared" si="11"/>
        <v>45991</v>
      </c>
      <c r="BQ8" s="395">
        <f t="shared" si="11"/>
        <v>46022</v>
      </c>
      <c r="BR8" s="395">
        <f t="shared" si="11"/>
        <v>46053</v>
      </c>
      <c r="BS8" s="395">
        <f t="shared" si="11"/>
        <v>46081</v>
      </c>
      <c r="BT8" s="395">
        <f t="shared" si="11"/>
        <v>46112</v>
      </c>
      <c r="BU8" s="395">
        <f t="shared" si="11"/>
        <v>46142</v>
      </c>
      <c r="BV8" s="395">
        <f t="shared" si="11"/>
        <v>46173</v>
      </c>
      <c r="BW8" s="395">
        <f t="shared" si="11"/>
        <v>46203</v>
      </c>
      <c r="BX8" s="395">
        <f t="shared" si="11"/>
        <v>46234</v>
      </c>
      <c r="BY8" s="395">
        <f t="shared" si="11"/>
        <v>46265</v>
      </c>
      <c r="BZ8" s="395">
        <f t="shared" si="11"/>
        <v>46295</v>
      </c>
      <c r="CA8" s="395">
        <f t="shared" si="11"/>
        <v>46326</v>
      </c>
      <c r="CB8" s="395">
        <f t="shared" si="11"/>
        <v>46356</v>
      </c>
      <c r="CC8" s="395">
        <f t="shared" si="11"/>
        <v>46387</v>
      </c>
      <c r="CD8" s="514"/>
      <c r="CE8" s="514"/>
      <c r="CF8" s="514"/>
      <c r="CG8" s="514"/>
      <c r="CH8" s="514"/>
      <c r="CI8" s="514"/>
      <c r="CJ8" s="514"/>
      <c r="CK8" s="514"/>
      <c r="CL8" s="514"/>
      <c r="CM8" s="514"/>
      <c r="CN8" s="514"/>
      <c r="CO8" s="514"/>
      <c r="CP8" s="514"/>
      <c r="CQ8" s="514"/>
      <c r="CR8" s="514"/>
      <c r="CS8" s="514"/>
      <c r="CT8" s="514"/>
      <c r="CU8" s="514"/>
      <c r="CV8" s="514"/>
      <c r="CW8" s="514"/>
      <c r="CX8" s="514"/>
      <c r="CY8" s="514"/>
      <c r="CZ8" s="514"/>
      <c r="DA8" s="514"/>
      <c r="DB8" s="514"/>
      <c r="DC8" s="514"/>
      <c r="DD8" s="514"/>
      <c r="DE8" s="514"/>
      <c r="DF8" s="514"/>
      <c r="DG8" s="514"/>
      <c r="DH8" s="514"/>
      <c r="DI8" s="514"/>
      <c r="DJ8" s="514"/>
    </row>
    <row r="9" spans="1:114">
      <c r="B9" s="506" t="s">
        <v>411</v>
      </c>
      <c r="C9" s="168"/>
      <c r="D9" s="168"/>
      <c r="E9" s="168"/>
      <c r="F9" s="168"/>
      <c r="G9" s="168"/>
      <c r="J9" s="168"/>
      <c r="K9" s="168"/>
      <c r="L9" s="168"/>
      <c r="M9" s="168"/>
      <c r="P9" s="168"/>
      <c r="Q9" s="168"/>
      <c r="R9" s="168"/>
      <c r="S9" s="168"/>
      <c r="T9" s="168"/>
      <c r="U9" s="168"/>
      <c r="V9" s="168"/>
      <c r="W9" s="168"/>
      <c r="X9" s="168"/>
      <c r="Y9" s="168"/>
      <c r="Z9" s="168"/>
      <c r="AA9" s="168"/>
      <c r="AB9" s="168"/>
      <c r="AC9" s="168"/>
      <c r="AD9" s="168"/>
      <c r="AE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row>
    <row r="10" spans="1:114" s="509" customFormat="1" ht="45" outlineLevel="1">
      <c r="C10" s="667" t="s">
        <v>440</v>
      </c>
      <c r="D10" s="668" t="s">
        <v>441</v>
      </c>
      <c r="E10" s="668" t="s">
        <v>442</v>
      </c>
      <c r="F10" s="668" t="s">
        <v>443</v>
      </c>
      <c r="G10" s="669" t="s">
        <v>444</v>
      </c>
      <c r="J10" s="513"/>
      <c r="P10" s="513"/>
    </row>
    <row r="11" spans="1:114" outlineLevel="1">
      <c r="C11" s="665" t="str" cm="1">
        <f t="array" ref="C11">INDEX(PBC_ACCOUNT_LIST[Name],_xlfn.XMATCH(E11,PBC_ACCOUNT_LIST[Id]))</f>
        <v>Computers</v>
      </c>
      <c r="D11" s="512">
        <v>36</v>
      </c>
      <c r="E11" s="512">
        <v>152</v>
      </c>
      <c r="F11" s="512">
        <v>191</v>
      </c>
      <c r="G11" s="666">
        <v>194</v>
      </c>
      <c r="H11" s="511"/>
      <c r="I11" s="511"/>
      <c r="J11" s="511"/>
      <c r="K11" s="511"/>
      <c r="L11" s="511"/>
      <c r="M11" s="511"/>
      <c r="N11" s="511"/>
      <c r="O11" s="511"/>
      <c r="P11" s="511"/>
      <c r="Q11" s="511"/>
      <c r="R11" s="511"/>
      <c r="S11" s="511"/>
      <c r="T11" s="511"/>
      <c r="U11" s="511"/>
      <c r="V11" s="511"/>
      <c r="W11" s="511"/>
      <c r="X11" s="511"/>
      <c r="Y11" s="511"/>
      <c r="Z11" s="511"/>
      <c r="AA11" s="511"/>
      <c r="AB11" s="511"/>
      <c r="AC11" s="511"/>
      <c r="AD11" s="511"/>
      <c r="AE11" s="511"/>
      <c r="AF11" s="511"/>
      <c r="AG11" s="511"/>
    </row>
    <row r="12" spans="1:114" outlineLevel="1">
      <c r="C12" s="665" t="str" cm="1">
        <f t="array" ref="C12">INDEX(PBC_ACCOUNT_LIST[Name],_xlfn.XMATCH(E12,PBC_ACCOUNT_LIST[Id]))</f>
        <v>Furniture</v>
      </c>
      <c r="D12" s="512">
        <v>36</v>
      </c>
      <c r="E12" s="512">
        <v>153</v>
      </c>
      <c r="F12" s="512">
        <v>191</v>
      </c>
      <c r="G12" s="666">
        <v>194</v>
      </c>
      <c r="H12" s="511"/>
      <c r="I12" s="511"/>
      <c r="J12" s="511"/>
      <c r="K12" s="511"/>
      <c r="L12" s="511"/>
      <c r="M12" s="511"/>
      <c r="N12" s="511"/>
      <c r="O12" s="511"/>
      <c r="P12" s="511"/>
      <c r="Q12" s="511"/>
      <c r="R12" s="511"/>
      <c r="S12" s="511"/>
      <c r="T12" s="511"/>
      <c r="U12" s="511"/>
      <c r="V12" s="511"/>
      <c r="W12" s="511"/>
      <c r="X12" s="511"/>
      <c r="Y12" s="511"/>
      <c r="Z12" s="511"/>
      <c r="AA12" s="511"/>
      <c r="AB12" s="511"/>
      <c r="AC12" s="511"/>
      <c r="AD12" s="511"/>
      <c r="AE12" s="511"/>
      <c r="AF12" s="511"/>
      <c r="AG12" s="511"/>
    </row>
    <row r="13" spans="1:114" outlineLevel="1">
      <c r="C13" s="665" t="str" cm="1">
        <f t="array" ref="C13">INDEX(PBC_ACCOUNT_LIST[Name],_xlfn.XMATCH(E13,PBC_ACCOUNT_LIST[Id]))</f>
        <v>Equipment</v>
      </c>
      <c r="D13" s="512">
        <v>36</v>
      </c>
      <c r="E13" s="512">
        <v>154</v>
      </c>
      <c r="F13" s="512">
        <v>191</v>
      </c>
      <c r="G13" s="666">
        <v>194</v>
      </c>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row>
    <row r="14" spans="1:114" outlineLevel="1">
      <c r="C14" s="665" t="str" cm="1">
        <f t="array" ref="C14">INDEX(PBC_ACCOUNT_LIST[Name],_xlfn.XMATCH(E14,PBC_ACCOUNT_LIST[Id]))</f>
        <v>Copyrights</v>
      </c>
      <c r="D14" s="512">
        <v>60</v>
      </c>
      <c r="E14" s="512">
        <v>60</v>
      </c>
      <c r="F14" s="512">
        <v>191</v>
      </c>
      <c r="G14" s="666">
        <v>194</v>
      </c>
      <c r="H14" s="511"/>
      <c r="I14" s="511"/>
      <c r="J14" s="511"/>
      <c r="K14" s="511"/>
      <c r="L14" s="511"/>
      <c r="M14" s="511"/>
      <c r="N14" s="511"/>
      <c r="O14" s="511"/>
      <c r="P14" s="511"/>
      <c r="Q14" s="511"/>
      <c r="R14" s="511"/>
      <c r="S14" s="511"/>
      <c r="T14" s="511"/>
      <c r="U14" s="511"/>
      <c r="V14" s="511"/>
      <c r="W14" s="511"/>
      <c r="X14" s="511"/>
      <c r="Y14" s="511"/>
      <c r="Z14" s="511"/>
      <c r="AA14" s="511"/>
      <c r="AB14" s="511"/>
      <c r="AC14" s="511"/>
      <c r="AD14" s="511"/>
      <c r="AE14" s="511"/>
      <c r="AF14" s="511"/>
      <c r="AG14" s="511"/>
    </row>
    <row r="15" spans="1:114" outlineLevel="1">
      <c r="C15" s="670" t="str" cm="1">
        <f t="array" ref="C15">INDEX(PBC_ACCOUNT_LIST[Name],_xlfn.XMATCH(E15,PBC_ACCOUNT_LIST[Id]))</f>
        <v>Trademarks</v>
      </c>
      <c r="D15" s="671">
        <v>60</v>
      </c>
      <c r="E15" s="671">
        <v>1150040001</v>
      </c>
      <c r="F15" s="671">
        <v>191</v>
      </c>
      <c r="G15" s="672">
        <v>194</v>
      </c>
      <c r="H15" s="511"/>
      <c r="I15" s="511"/>
      <c r="J15" s="511"/>
      <c r="K15" s="511"/>
      <c r="L15" s="511"/>
      <c r="M15" s="511"/>
      <c r="N15" s="511"/>
      <c r="O15" s="511"/>
      <c r="P15" s="511"/>
      <c r="Q15" s="511"/>
      <c r="R15" s="511"/>
      <c r="S15" s="511"/>
      <c r="T15" s="511"/>
      <c r="U15" s="511"/>
      <c r="V15" s="511"/>
      <c r="W15" s="511"/>
      <c r="X15" s="511"/>
      <c r="Y15" s="511"/>
      <c r="Z15" s="511"/>
      <c r="AA15" s="511"/>
      <c r="AB15" s="511"/>
      <c r="AC15" s="511"/>
      <c r="AD15" s="511"/>
      <c r="AE15" s="511"/>
      <c r="AF15" s="511"/>
      <c r="AG15" s="511"/>
    </row>
    <row r="17" spans="2:81">
      <c r="D17" s="509"/>
      <c r="E17" s="509" t="s">
        <v>442</v>
      </c>
      <c r="F17" s="509" t="s">
        <v>445</v>
      </c>
      <c r="G17" s="509" t="s">
        <v>446</v>
      </c>
      <c r="J17" s="504"/>
      <c r="K17" s="504"/>
      <c r="L17" s="504"/>
      <c r="M17" s="504"/>
      <c r="N17" s="504"/>
      <c r="O17" s="504"/>
      <c r="P17" s="504"/>
      <c r="Q17" s="504"/>
      <c r="R17" s="504"/>
      <c r="S17" s="504"/>
      <c r="T17" s="504"/>
      <c r="U17" s="504"/>
      <c r="V17" s="504"/>
      <c r="W17" s="504"/>
      <c r="X17" s="504"/>
      <c r="Y17" s="504"/>
      <c r="Z17" s="504"/>
      <c r="AA17" s="504"/>
      <c r="AB17" s="504"/>
      <c r="AC17" s="504"/>
      <c r="AD17" s="504"/>
      <c r="AE17" s="504"/>
      <c r="AH17" s="410"/>
      <c r="AI17" s="410"/>
      <c r="AJ17" s="410"/>
      <c r="AK17" s="410"/>
      <c r="AL17" s="410"/>
      <c r="AM17" s="410"/>
      <c r="AN17" s="410"/>
      <c r="AO17" s="410"/>
      <c r="AP17" s="410"/>
      <c r="AQ17" s="410"/>
      <c r="AR17" s="410"/>
      <c r="AS17" s="410"/>
      <c r="AT17" s="410"/>
      <c r="AU17" s="410"/>
      <c r="AV17" s="410"/>
      <c r="AW17" s="410"/>
      <c r="AX17" s="410"/>
      <c r="AY17" s="410"/>
      <c r="AZ17" s="410"/>
      <c r="BA17" s="410"/>
      <c r="BB17" s="410"/>
      <c r="BC17" s="410"/>
      <c r="BD17" s="410"/>
      <c r="BE17" s="410"/>
      <c r="BF17" s="410"/>
      <c r="BG17" s="410"/>
      <c r="BH17" s="410"/>
      <c r="BI17" s="410"/>
      <c r="BJ17" s="410"/>
      <c r="BK17" s="410"/>
      <c r="BL17" s="410"/>
      <c r="BM17" s="410"/>
      <c r="BN17" s="410"/>
      <c r="BO17" s="410"/>
      <c r="BP17" s="410"/>
      <c r="BQ17" s="410"/>
      <c r="BR17" s="410"/>
      <c r="BS17" s="410"/>
      <c r="BT17" s="410"/>
      <c r="BU17" s="410"/>
      <c r="BV17" s="410"/>
      <c r="BW17" s="410"/>
      <c r="BX17" s="410"/>
      <c r="BY17" s="410"/>
      <c r="BZ17" s="410"/>
      <c r="CA17" s="410"/>
      <c r="CB17" s="410"/>
      <c r="CC17" s="410"/>
    </row>
    <row r="18" spans="2:81" s="503" customFormat="1">
      <c r="B18" s="506" t="s">
        <v>447</v>
      </c>
      <c r="C18" s="168"/>
      <c r="D18" s="168"/>
      <c r="E18" s="168"/>
      <c r="F18" s="168"/>
      <c r="G18" s="168"/>
      <c r="J18" s="505">
        <f>SUM(J19:J21)</f>
        <v>0</v>
      </c>
      <c r="K18" s="505">
        <f>SUM(K19:K21)</f>
        <v>0</v>
      </c>
      <c r="L18" s="505">
        <f>SUM(L19:L21)</f>
        <v>20000</v>
      </c>
      <c r="M18" s="505">
        <f>SUM(M19:M21)</f>
        <v>25000</v>
      </c>
      <c r="P18" s="505">
        <f t="shared" ref="P18:AE18" si="12">SUM(P19:P21)</f>
        <v>0</v>
      </c>
      <c r="Q18" s="505">
        <f t="shared" si="12"/>
        <v>0</v>
      </c>
      <c r="R18" s="505">
        <f t="shared" si="12"/>
        <v>0</v>
      </c>
      <c r="S18" s="505">
        <f t="shared" si="12"/>
        <v>0</v>
      </c>
      <c r="T18" s="505">
        <f t="shared" si="12"/>
        <v>0</v>
      </c>
      <c r="U18" s="505">
        <f t="shared" si="12"/>
        <v>0</v>
      </c>
      <c r="V18" s="505">
        <f t="shared" si="12"/>
        <v>0</v>
      </c>
      <c r="W18" s="505">
        <f t="shared" si="12"/>
        <v>0</v>
      </c>
      <c r="X18" s="505">
        <f t="shared" si="12"/>
        <v>0</v>
      </c>
      <c r="Y18" s="505">
        <f t="shared" si="12"/>
        <v>0</v>
      </c>
      <c r="Z18" s="505">
        <f t="shared" si="12"/>
        <v>0</v>
      </c>
      <c r="AA18" s="505">
        <f t="shared" si="12"/>
        <v>20000</v>
      </c>
      <c r="AB18" s="505">
        <f t="shared" si="12"/>
        <v>10000</v>
      </c>
      <c r="AC18" s="505">
        <f t="shared" si="12"/>
        <v>15000</v>
      </c>
      <c r="AD18" s="505">
        <f t="shared" si="12"/>
        <v>0</v>
      </c>
      <c r="AE18" s="505">
        <f t="shared" si="12"/>
        <v>0</v>
      </c>
      <c r="AH18" s="505">
        <f t="shared" ref="AH18:CC18" si="13">SUM(AH19:AH21)</f>
        <v>0</v>
      </c>
      <c r="AI18" s="505">
        <f t="shared" si="13"/>
        <v>0</v>
      </c>
      <c r="AJ18" s="505">
        <f t="shared" si="13"/>
        <v>0</v>
      </c>
      <c r="AK18" s="505">
        <f t="shared" si="13"/>
        <v>0</v>
      </c>
      <c r="AL18" s="505">
        <f t="shared" si="13"/>
        <v>0</v>
      </c>
      <c r="AM18" s="505">
        <f t="shared" si="13"/>
        <v>0</v>
      </c>
      <c r="AN18" s="505">
        <f t="shared" si="13"/>
        <v>0</v>
      </c>
      <c r="AO18" s="505">
        <f t="shared" si="13"/>
        <v>0</v>
      </c>
      <c r="AP18" s="505">
        <f t="shared" si="13"/>
        <v>0</v>
      </c>
      <c r="AQ18" s="505">
        <f t="shared" si="13"/>
        <v>0</v>
      </c>
      <c r="AR18" s="505">
        <f t="shared" si="13"/>
        <v>0</v>
      </c>
      <c r="AS18" s="505">
        <f t="shared" si="13"/>
        <v>0</v>
      </c>
      <c r="AT18" s="505">
        <f t="shared" si="13"/>
        <v>0</v>
      </c>
      <c r="AU18" s="505">
        <f t="shared" si="13"/>
        <v>0</v>
      </c>
      <c r="AV18" s="505">
        <f t="shared" si="13"/>
        <v>0</v>
      </c>
      <c r="AW18" s="505">
        <f t="shared" si="13"/>
        <v>0</v>
      </c>
      <c r="AX18" s="505">
        <f t="shared" si="13"/>
        <v>0</v>
      </c>
      <c r="AY18" s="505">
        <f t="shared" si="13"/>
        <v>0</v>
      </c>
      <c r="AZ18" s="505">
        <f t="shared" si="13"/>
        <v>0</v>
      </c>
      <c r="BA18" s="505">
        <f t="shared" si="13"/>
        <v>0</v>
      </c>
      <c r="BB18" s="505">
        <f t="shared" si="13"/>
        <v>0</v>
      </c>
      <c r="BC18" s="505">
        <f t="shared" si="13"/>
        <v>0</v>
      </c>
      <c r="BD18" s="505">
        <f t="shared" si="13"/>
        <v>0</v>
      </c>
      <c r="BE18" s="505">
        <f t="shared" si="13"/>
        <v>0</v>
      </c>
      <c r="BF18" s="505">
        <f t="shared" si="13"/>
        <v>0</v>
      </c>
      <c r="BG18" s="505">
        <f t="shared" si="13"/>
        <v>0</v>
      </c>
      <c r="BH18" s="505">
        <f t="shared" si="13"/>
        <v>0</v>
      </c>
      <c r="BI18" s="505">
        <f t="shared" si="13"/>
        <v>0</v>
      </c>
      <c r="BJ18" s="505">
        <f t="shared" si="13"/>
        <v>0</v>
      </c>
      <c r="BK18" s="505">
        <f t="shared" si="13"/>
        <v>0</v>
      </c>
      <c r="BL18" s="505">
        <f t="shared" si="13"/>
        <v>0</v>
      </c>
      <c r="BM18" s="505">
        <f t="shared" si="13"/>
        <v>0</v>
      </c>
      <c r="BN18" s="505">
        <f t="shared" si="13"/>
        <v>0</v>
      </c>
      <c r="BO18" s="505">
        <f t="shared" si="13"/>
        <v>0</v>
      </c>
      <c r="BP18" s="505">
        <f t="shared" si="13"/>
        <v>0</v>
      </c>
      <c r="BQ18" s="505">
        <f t="shared" si="13"/>
        <v>20000</v>
      </c>
      <c r="BR18" s="505">
        <f t="shared" si="13"/>
        <v>0</v>
      </c>
      <c r="BS18" s="505">
        <f t="shared" si="13"/>
        <v>10000</v>
      </c>
      <c r="BT18" s="505">
        <f t="shared" si="13"/>
        <v>0</v>
      </c>
      <c r="BU18" s="505">
        <f t="shared" si="13"/>
        <v>0</v>
      </c>
      <c r="BV18" s="505">
        <f t="shared" si="13"/>
        <v>15000</v>
      </c>
      <c r="BW18" s="505">
        <f t="shared" si="13"/>
        <v>0</v>
      </c>
      <c r="BX18" s="505">
        <f t="shared" si="13"/>
        <v>0</v>
      </c>
      <c r="BY18" s="505">
        <f t="shared" si="13"/>
        <v>0</v>
      </c>
      <c r="BZ18" s="505">
        <f t="shared" si="13"/>
        <v>0</v>
      </c>
      <c r="CA18" s="505">
        <f t="shared" si="13"/>
        <v>0</v>
      </c>
      <c r="CB18" s="505">
        <f t="shared" si="13"/>
        <v>0</v>
      </c>
      <c r="CC18" s="505">
        <f t="shared" si="13"/>
        <v>0</v>
      </c>
    </row>
    <row r="19" spans="2:81" outlineLevel="1">
      <c r="C19" s="502" t="str">
        <f>C11</f>
        <v>Computers</v>
      </c>
      <c r="E19" s="502" cm="1">
        <f t="array" ref="E19">INDEX(FixedAssets[Asset ID],_xlfn.XMATCH($C19,FixedAssets[Asset]))</f>
        <v>152</v>
      </c>
      <c r="F19" s="502" cm="1">
        <f t="array" ref="F19">INDEX(FixedAssets[Depreciation
/ Amortization ID],_xlfn.XMATCH($C19,FixedAssets[Asset]))</f>
        <v>191</v>
      </c>
      <c r="G19" s="502" cm="1">
        <f t="array" ref="G19">INDEX(FixedAssets[Accumulated Depreciation
/ Amortization ID],_xlfn.XMATCH($C19,FixedAssets[Asset]))</f>
        <v>194</v>
      </c>
      <c r="J19" s="504">
        <f t="shared" ref="J19:M23" si="14">SUMIFS($AH19:$CC19,$AH$4:$CC$4,"&gt;="&amp;J$4,$AH$5:$CC$5,"&lt;="&amp;J$5)</f>
        <v>0</v>
      </c>
      <c r="K19" s="504">
        <f t="shared" si="14"/>
        <v>0</v>
      </c>
      <c r="L19" s="504">
        <f t="shared" si="14"/>
        <v>20000</v>
      </c>
      <c r="M19" s="504">
        <f t="shared" si="14"/>
        <v>0</v>
      </c>
      <c r="N19" s="504"/>
      <c r="O19" s="504"/>
      <c r="P19" s="504">
        <f t="shared" ref="P19:AE23" si="15">SUMIFS($AH19:$CC19,$AH$4:$CC$4,"&gt;="&amp;P$4,$AH$5:$CC$5,"&lt;="&amp;P$5)</f>
        <v>0</v>
      </c>
      <c r="Q19" s="504">
        <f t="shared" si="15"/>
        <v>0</v>
      </c>
      <c r="R19" s="504">
        <f t="shared" si="15"/>
        <v>0</v>
      </c>
      <c r="S19" s="504">
        <f t="shared" si="15"/>
        <v>0</v>
      </c>
      <c r="T19" s="504">
        <f t="shared" si="15"/>
        <v>0</v>
      </c>
      <c r="U19" s="504">
        <f t="shared" si="15"/>
        <v>0</v>
      </c>
      <c r="V19" s="504">
        <f t="shared" si="15"/>
        <v>0</v>
      </c>
      <c r="W19" s="504">
        <f t="shared" si="15"/>
        <v>0</v>
      </c>
      <c r="X19" s="504">
        <f t="shared" si="15"/>
        <v>0</v>
      </c>
      <c r="Y19" s="504">
        <f t="shared" si="15"/>
        <v>0</v>
      </c>
      <c r="Z19" s="504">
        <f t="shared" si="15"/>
        <v>0</v>
      </c>
      <c r="AA19" s="504">
        <f t="shared" si="15"/>
        <v>20000</v>
      </c>
      <c r="AB19" s="504">
        <f t="shared" si="15"/>
        <v>0</v>
      </c>
      <c r="AC19" s="504">
        <f t="shared" si="15"/>
        <v>0</v>
      </c>
      <c r="AD19" s="504">
        <f t="shared" si="15"/>
        <v>0</v>
      </c>
      <c r="AE19" s="504">
        <f t="shared" si="15"/>
        <v>0</v>
      </c>
      <c r="AH19" s="438">
        <v>0</v>
      </c>
      <c r="AI19" s="438">
        <v>0</v>
      </c>
      <c r="AJ19" s="438">
        <v>0</v>
      </c>
      <c r="AK19" s="438">
        <v>0</v>
      </c>
      <c r="AL19" s="438">
        <v>0</v>
      </c>
      <c r="AM19" s="438">
        <v>0</v>
      </c>
      <c r="AN19" s="438">
        <v>0</v>
      </c>
      <c r="AO19" s="438">
        <v>0</v>
      </c>
      <c r="AP19" s="438">
        <v>0</v>
      </c>
      <c r="AQ19" s="438">
        <v>0</v>
      </c>
      <c r="AR19" s="438">
        <v>0</v>
      </c>
      <c r="AS19" s="438">
        <v>0</v>
      </c>
      <c r="AT19" s="438">
        <v>0</v>
      </c>
      <c r="AU19" s="438">
        <v>0</v>
      </c>
      <c r="AV19" s="438">
        <v>0</v>
      </c>
      <c r="AW19" s="438">
        <v>0</v>
      </c>
      <c r="AX19" s="438">
        <v>0</v>
      </c>
      <c r="AY19" s="438">
        <v>0</v>
      </c>
      <c r="AZ19" s="438">
        <v>0</v>
      </c>
      <c r="BA19" s="438">
        <v>0</v>
      </c>
      <c r="BB19" s="438">
        <v>0</v>
      </c>
      <c r="BC19" s="438">
        <v>0</v>
      </c>
      <c r="BD19" s="438">
        <v>0</v>
      </c>
      <c r="BE19" s="438">
        <v>0</v>
      </c>
      <c r="BF19" s="438">
        <v>0</v>
      </c>
      <c r="BG19" s="438">
        <v>0</v>
      </c>
      <c r="BH19" s="438">
        <v>0</v>
      </c>
      <c r="BI19" s="438">
        <v>0</v>
      </c>
      <c r="BJ19" s="438">
        <v>0</v>
      </c>
      <c r="BK19" s="438">
        <v>0</v>
      </c>
      <c r="BL19" s="438">
        <v>0</v>
      </c>
      <c r="BM19" s="438">
        <v>0</v>
      </c>
      <c r="BN19" s="438">
        <v>0</v>
      </c>
      <c r="BO19" s="438">
        <v>0</v>
      </c>
      <c r="BP19" s="438">
        <v>0</v>
      </c>
      <c r="BQ19" s="438">
        <v>20000</v>
      </c>
      <c r="BR19" s="438">
        <v>0</v>
      </c>
      <c r="BS19" s="438">
        <v>0</v>
      </c>
      <c r="BT19" s="438">
        <v>0</v>
      </c>
      <c r="BU19" s="438">
        <v>0</v>
      </c>
      <c r="BV19" s="438">
        <v>0</v>
      </c>
      <c r="BW19" s="438">
        <v>0</v>
      </c>
      <c r="BX19" s="438">
        <v>0</v>
      </c>
      <c r="BY19" s="438">
        <v>0</v>
      </c>
      <c r="BZ19" s="438">
        <v>0</v>
      </c>
      <c r="CA19" s="438">
        <v>0</v>
      </c>
      <c r="CB19" s="438">
        <v>0</v>
      </c>
      <c r="CC19" s="438">
        <v>0</v>
      </c>
    </row>
    <row r="20" spans="2:81" outlineLevel="1">
      <c r="C20" s="502" t="str">
        <f>C12</f>
        <v>Furniture</v>
      </c>
      <c r="E20" s="502" cm="1">
        <f t="array" ref="E20">INDEX(FixedAssets[Asset ID],_xlfn.XMATCH($C20,FixedAssets[Asset]))</f>
        <v>153</v>
      </c>
      <c r="F20" s="502" cm="1">
        <f t="array" ref="F20">INDEX(FixedAssets[Depreciation
/ Amortization ID],_xlfn.XMATCH($C20,FixedAssets[Asset]))</f>
        <v>191</v>
      </c>
      <c r="G20" s="502" cm="1">
        <f t="array" ref="G20">INDEX(FixedAssets[Accumulated Depreciation
/ Amortization ID],_xlfn.XMATCH($C20,FixedAssets[Asset]))</f>
        <v>194</v>
      </c>
      <c r="J20" s="504">
        <f t="shared" si="14"/>
        <v>0</v>
      </c>
      <c r="K20" s="504">
        <f t="shared" si="14"/>
        <v>0</v>
      </c>
      <c r="L20" s="504">
        <f t="shared" si="14"/>
        <v>0</v>
      </c>
      <c r="M20" s="504">
        <f t="shared" si="14"/>
        <v>15000</v>
      </c>
      <c r="N20" s="504"/>
      <c r="O20" s="504"/>
      <c r="P20" s="504">
        <f t="shared" si="15"/>
        <v>0</v>
      </c>
      <c r="Q20" s="504">
        <f t="shared" si="15"/>
        <v>0</v>
      </c>
      <c r="R20" s="504">
        <f t="shared" si="15"/>
        <v>0</v>
      </c>
      <c r="S20" s="504">
        <f t="shared" si="15"/>
        <v>0</v>
      </c>
      <c r="T20" s="504">
        <f t="shared" si="15"/>
        <v>0</v>
      </c>
      <c r="U20" s="504">
        <f t="shared" si="15"/>
        <v>0</v>
      </c>
      <c r="V20" s="504">
        <f t="shared" si="15"/>
        <v>0</v>
      </c>
      <c r="W20" s="504">
        <f t="shared" si="15"/>
        <v>0</v>
      </c>
      <c r="X20" s="504">
        <f t="shared" si="15"/>
        <v>0</v>
      </c>
      <c r="Y20" s="504">
        <f t="shared" si="15"/>
        <v>0</v>
      </c>
      <c r="Z20" s="504">
        <f t="shared" si="15"/>
        <v>0</v>
      </c>
      <c r="AA20" s="504">
        <f t="shared" si="15"/>
        <v>0</v>
      </c>
      <c r="AB20" s="504">
        <f t="shared" si="15"/>
        <v>0</v>
      </c>
      <c r="AC20" s="504">
        <f t="shared" si="15"/>
        <v>15000</v>
      </c>
      <c r="AD20" s="504">
        <f t="shared" si="15"/>
        <v>0</v>
      </c>
      <c r="AE20" s="504">
        <f t="shared" si="15"/>
        <v>0</v>
      </c>
      <c r="AH20" s="438">
        <v>0</v>
      </c>
      <c r="AI20" s="438">
        <v>0</v>
      </c>
      <c r="AJ20" s="438">
        <v>0</v>
      </c>
      <c r="AK20" s="438">
        <v>0</v>
      </c>
      <c r="AL20" s="438">
        <v>0</v>
      </c>
      <c r="AM20" s="438">
        <v>0</v>
      </c>
      <c r="AN20" s="438">
        <v>0</v>
      </c>
      <c r="AO20" s="438">
        <v>0</v>
      </c>
      <c r="AP20" s="438">
        <v>0</v>
      </c>
      <c r="AQ20" s="438">
        <v>0</v>
      </c>
      <c r="AR20" s="438">
        <v>0</v>
      </c>
      <c r="AS20" s="438">
        <v>0</v>
      </c>
      <c r="AT20" s="438">
        <v>0</v>
      </c>
      <c r="AU20" s="438">
        <v>0</v>
      </c>
      <c r="AV20" s="438">
        <v>0</v>
      </c>
      <c r="AW20" s="438">
        <v>0</v>
      </c>
      <c r="AX20" s="438">
        <v>0</v>
      </c>
      <c r="AY20" s="438">
        <v>0</v>
      </c>
      <c r="AZ20" s="438">
        <v>0</v>
      </c>
      <c r="BA20" s="438">
        <v>0</v>
      </c>
      <c r="BB20" s="438">
        <v>0</v>
      </c>
      <c r="BC20" s="438">
        <v>0</v>
      </c>
      <c r="BD20" s="438">
        <v>0</v>
      </c>
      <c r="BE20" s="438">
        <v>0</v>
      </c>
      <c r="BF20" s="438">
        <v>0</v>
      </c>
      <c r="BG20" s="438">
        <v>0</v>
      </c>
      <c r="BH20" s="438">
        <v>0</v>
      </c>
      <c r="BI20" s="438">
        <v>0</v>
      </c>
      <c r="BJ20" s="438">
        <v>0</v>
      </c>
      <c r="BK20" s="438">
        <v>0</v>
      </c>
      <c r="BL20" s="438">
        <v>0</v>
      </c>
      <c r="BM20" s="438">
        <v>0</v>
      </c>
      <c r="BN20" s="438">
        <v>0</v>
      </c>
      <c r="BO20" s="438">
        <v>0</v>
      </c>
      <c r="BP20" s="438">
        <v>0</v>
      </c>
      <c r="BQ20" s="438">
        <v>0</v>
      </c>
      <c r="BR20" s="438">
        <v>0</v>
      </c>
      <c r="BS20" s="438">
        <v>0</v>
      </c>
      <c r="BT20" s="438">
        <v>0</v>
      </c>
      <c r="BU20" s="438">
        <v>0</v>
      </c>
      <c r="BV20" s="438">
        <v>15000</v>
      </c>
      <c r="BW20" s="438">
        <v>0</v>
      </c>
      <c r="BX20" s="438">
        <v>0</v>
      </c>
      <c r="BY20" s="438">
        <v>0</v>
      </c>
      <c r="BZ20" s="438">
        <v>0</v>
      </c>
      <c r="CA20" s="438">
        <v>0</v>
      </c>
      <c r="CB20" s="438">
        <v>0</v>
      </c>
      <c r="CC20" s="438">
        <v>0</v>
      </c>
    </row>
    <row r="21" spans="2:81" outlineLevel="1">
      <c r="C21" s="502" t="str">
        <f>C13</f>
        <v>Equipment</v>
      </c>
      <c r="E21" s="502" cm="1">
        <f t="array" ref="E21">INDEX(FixedAssets[Asset ID],_xlfn.XMATCH($C21,FixedAssets[Asset]))</f>
        <v>154</v>
      </c>
      <c r="F21" s="502" cm="1">
        <f t="array" ref="F21">INDEX(FixedAssets[Depreciation
/ Amortization ID],_xlfn.XMATCH($C21,FixedAssets[Asset]))</f>
        <v>191</v>
      </c>
      <c r="G21" s="502" cm="1">
        <f t="array" ref="G21">INDEX(FixedAssets[Accumulated Depreciation
/ Amortization ID],_xlfn.XMATCH($C21,FixedAssets[Asset]))</f>
        <v>194</v>
      </c>
      <c r="J21" s="504">
        <f t="shared" si="14"/>
        <v>0</v>
      </c>
      <c r="K21" s="504">
        <f t="shared" si="14"/>
        <v>0</v>
      </c>
      <c r="L21" s="504">
        <f t="shared" si="14"/>
        <v>0</v>
      </c>
      <c r="M21" s="504">
        <f t="shared" si="14"/>
        <v>10000</v>
      </c>
      <c r="N21" s="504"/>
      <c r="O21" s="504"/>
      <c r="P21" s="504">
        <f t="shared" si="15"/>
        <v>0</v>
      </c>
      <c r="Q21" s="504">
        <f t="shared" si="15"/>
        <v>0</v>
      </c>
      <c r="R21" s="504">
        <f t="shared" si="15"/>
        <v>0</v>
      </c>
      <c r="S21" s="504">
        <f t="shared" si="15"/>
        <v>0</v>
      </c>
      <c r="T21" s="504">
        <f t="shared" si="15"/>
        <v>0</v>
      </c>
      <c r="U21" s="504">
        <f t="shared" si="15"/>
        <v>0</v>
      </c>
      <c r="V21" s="504">
        <f t="shared" si="15"/>
        <v>0</v>
      </c>
      <c r="W21" s="504">
        <f t="shared" si="15"/>
        <v>0</v>
      </c>
      <c r="X21" s="504">
        <f t="shared" si="15"/>
        <v>0</v>
      </c>
      <c r="Y21" s="504">
        <f t="shared" si="15"/>
        <v>0</v>
      </c>
      <c r="Z21" s="504">
        <f t="shared" si="15"/>
        <v>0</v>
      </c>
      <c r="AA21" s="504">
        <f t="shared" si="15"/>
        <v>0</v>
      </c>
      <c r="AB21" s="504">
        <f t="shared" si="15"/>
        <v>10000</v>
      </c>
      <c r="AC21" s="504">
        <f t="shared" si="15"/>
        <v>0</v>
      </c>
      <c r="AD21" s="504">
        <f t="shared" si="15"/>
        <v>0</v>
      </c>
      <c r="AE21" s="504">
        <f t="shared" si="15"/>
        <v>0</v>
      </c>
      <c r="AH21" s="438">
        <v>0</v>
      </c>
      <c r="AI21" s="438">
        <v>0</v>
      </c>
      <c r="AJ21" s="438">
        <v>0</v>
      </c>
      <c r="AK21" s="438">
        <v>0</v>
      </c>
      <c r="AL21" s="438">
        <v>0</v>
      </c>
      <c r="AM21" s="438">
        <v>0</v>
      </c>
      <c r="AN21" s="438">
        <v>0</v>
      </c>
      <c r="AO21" s="438">
        <v>0</v>
      </c>
      <c r="AP21" s="438">
        <v>0</v>
      </c>
      <c r="AQ21" s="438">
        <v>0</v>
      </c>
      <c r="AR21" s="438">
        <v>0</v>
      </c>
      <c r="AS21" s="438">
        <v>0</v>
      </c>
      <c r="AT21" s="438">
        <v>0</v>
      </c>
      <c r="AU21" s="438">
        <v>0</v>
      </c>
      <c r="AV21" s="438">
        <v>0</v>
      </c>
      <c r="AW21" s="438">
        <v>0</v>
      </c>
      <c r="AX21" s="438">
        <v>0</v>
      </c>
      <c r="AY21" s="438">
        <v>0</v>
      </c>
      <c r="AZ21" s="438">
        <v>0</v>
      </c>
      <c r="BA21" s="438">
        <v>0</v>
      </c>
      <c r="BB21" s="438">
        <v>0</v>
      </c>
      <c r="BC21" s="438">
        <v>0</v>
      </c>
      <c r="BD21" s="438">
        <v>0</v>
      </c>
      <c r="BE21" s="438">
        <v>0</v>
      </c>
      <c r="BF21" s="438">
        <v>0</v>
      </c>
      <c r="BG21" s="438">
        <v>0</v>
      </c>
      <c r="BH21" s="438">
        <v>0</v>
      </c>
      <c r="BI21" s="438">
        <v>0</v>
      </c>
      <c r="BJ21" s="438">
        <v>0</v>
      </c>
      <c r="BK21" s="438">
        <v>0</v>
      </c>
      <c r="BL21" s="438">
        <v>0</v>
      </c>
      <c r="BM21" s="438">
        <v>0</v>
      </c>
      <c r="BN21" s="438">
        <v>0</v>
      </c>
      <c r="BO21" s="438">
        <v>0</v>
      </c>
      <c r="BP21" s="438">
        <v>0</v>
      </c>
      <c r="BQ21" s="438">
        <v>0</v>
      </c>
      <c r="BR21" s="438">
        <v>0</v>
      </c>
      <c r="BS21" s="438">
        <v>10000</v>
      </c>
      <c r="BT21" s="438">
        <v>0</v>
      </c>
      <c r="BU21" s="438">
        <v>0</v>
      </c>
      <c r="BV21" s="438">
        <v>0</v>
      </c>
      <c r="BW21" s="438">
        <v>0</v>
      </c>
      <c r="BX21" s="438">
        <v>0</v>
      </c>
      <c r="BY21" s="438">
        <v>0</v>
      </c>
      <c r="BZ21" s="438">
        <v>0</v>
      </c>
      <c r="CA21" s="438">
        <v>0</v>
      </c>
      <c r="CB21" s="438">
        <v>0</v>
      </c>
      <c r="CC21" s="438">
        <v>0</v>
      </c>
    </row>
    <row r="22" spans="2:81" outlineLevel="1">
      <c r="C22" s="502" t="str">
        <f t="shared" ref="C22:C23" si="16">C14</f>
        <v>Copyrights</v>
      </c>
      <c r="E22" s="502" cm="1">
        <f t="array" ref="E22">INDEX(FixedAssets[Asset ID],_xlfn.XMATCH($C22,FixedAssets[Asset]))</f>
        <v>60</v>
      </c>
      <c r="F22" s="502" cm="1">
        <f t="array" ref="F22">INDEX(FixedAssets[Depreciation
/ Amortization ID],_xlfn.XMATCH($C22,FixedAssets[Asset]))</f>
        <v>191</v>
      </c>
      <c r="G22" s="502" cm="1">
        <f t="array" ref="G22">INDEX(FixedAssets[Accumulated Depreciation
/ Amortization ID],_xlfn.XMATCH($C22,FixedAssets[Asset]))</f>
        <v>194</v>
      </c>
      <c r="J22" s="504">
        <f t="shared" si="14"/>
        <v>0</v>
      </c>
      <c r="K22" s="504">
        <f t="shared" si="14"/>
        <v>0</v>
      </c>
      <c r="L22" s="504">
        <f t="shared" si="14"/>
        <v>0</v>
      </c>
      <c r="M22" s="504">
        <f t="shared" si="14"/>
        <v>0</v>
      </c>
      <c r="N22" s="504"/>
      <c r="O22" s="504"/>
      <c r="P22" s="504">
        <f t="shared" si="15"/>
        <v>0</v>
      </c>
      <c r="Q22" s="504">
        <f t="shared" si="15"/>
        <v>0</v>
      </c>
      <c r="R22" s="504">
        <f t="shared" si="15"/>
        <v>0</v>
      </c>
      <c r="S22" s="504">
        <f t="shared" si="15"/>
        <v>0</v>
      </c>
      <c r="T22" s="504">
        <f t="shared" si="15"/>
        <v>0</v>
      </c>
      <c r="U22" s="504">
        <f t="shared" si="15"/>
        <v>0</v>
      </c>
      <c r="V22" s="504">
        <f t="shared" si="15"/>
        <v>0</v>
      </c>
      <c r="W22" s="504">
        <f t="shared" si="15"/>
        <v>0</v>
      </c>
      <c r="X22" s="504">
        <f t="shared" si="15"/>
        <v>0</v>
      </c>
      <c r="Y22" s="504">
        <f t="shared" si="15"/>
        <v>0</v>
      </c>
      <c r="Z22" s="504">
        <f t="shared" si="15"/>
        <v>0</v>
      </c>
      <c r="AA22" s="504">
        <f t="shared" si="15"/>
        <v>0</v>
      </c>
      <c r="AB22" s="504">
        <f t="shared" si="15"/>
        <v>0</v>
      </c>
      <c r="AC22" s="504">
        <f t="shared" si="15"/>
        <v>0</v>
      </c>
      <c r="AD22" s="504">
        <f t="shared" si="15"/>
        <v>0</v>
      </c>
      <c r="AE22" s="504">
        <f t="shared" si="15"/>
        <v>0</v>
      </c>
      <c r="AH22" s="438">
        <v>0</v>
      </c>
      <c r="AI22" s="438">
        <v>0</v>
      </c>
      <c r="AJ22" s="438">
        <v>0</v>
      </c>
      <c r="AK22" s="438">
        <v>0</v>
      </c>
      <c r="AL22" s="438">
        <v>0</v>
      </c>
      <c r="AM22" s="438">
        <v>0</v>
      </c>
      <c r="AN22" s="438">
        <v>0</v>
      </c>
      <c r="AO22" s="438">
        <v>0</v>
      </c>
      <c r="AP22" s="438">
        <v>0</v>
      </c>
      <c r="AQ22" s="438">
        <v>0</v>
      </c>
      <c r="AR22" s="438">
        <v>0</v>
      </c>
      <c r="AS22" s="438">
        <v>0</v>
      </c>
      <c r="AT22" s="438">
        <v>0</v>
      </c>
      <c r="AU22" s="438">
        <v>0</v>
      </c>
      <c r="AV22" s="438">
        <v>0</v>
      </c>
      <c r="AW22" s="438">
        <v>0</v>
      </c>
      <c r="AX22" s="438">
        <v>0</v>
      </c>
      <c r="AY22" s="438">
        <v>0</v>
      </c>
      <c r="AZ22" s="438">
        <v>0</v>
      </c>
      <c r="BA22" s="438">
        <v>0</v>
      </c>
      <c r="BB22" s="438">
        <v>0</v>
      </c>
      <c r="BC22" s="438">
        <v>0</v>
      </c>
      <c r="BD22" s="438">
        <v>0</v>
      </c>
      <c r="BE22" s="438">
        <v>0</v>
      </c>
      <c r="BF22" s="438">
        <v>0</v>
      </c>
      <c r="BG22" s="438">
        <v>0</v>
      </c>
      <c r="BH22" s="438">
        <v>0</v>
      </c>
      <c r="BI22" s="438">
        <v>0</v>
      </c>
      <c r="BJ22" s="438">
        <v>0</v>
      </c>
      <c r="BK22" s="438">
        <v>0</v>
      </c>
      <c r="BL22" s="438">
        <v>0</v>
      </c>
      <c r="BM22" s="438">
        <v>0</v>
      </c>
      <c r="BN22" s="438">
        <v>0</v>
      </c>
      <c r="BO22" s="438">
        <v>0</v>
      </c>
      <c r="BP22" s="438">
        <v>0</v>
      </c>
      <c r="BQ22" s="438">
        <v>0</v>
      </c>
      <c r="BR22" s="438">
        <v>0</v>
      </c>
      <c r="BS22" s="438">
        <v>0</v>
      </c>
      <c r="BT22" s="438">
        <v>0</v>
      </c>
      <c r="BU22" s="438">
        <v>0</v>
      </c>
      <c r="BV22" s="438">
        <v>0</v>
      </c>
      <c r="BW22" s="438">
        <v>0</v>
      </c>
      <c r="BX22" s="438">
        <v>0</v>
      </c>
      <c r="BY22" s="438">
        <v>0</v>
      </c>
      <c r="BZ22" s="438">
        <v>0</v>
      </c>
      <c r="CA22" s="438">
        <v>0</v>
      </c>
      <c r="CB22" s="438">
        <v>0</v>
      </c>
      <c r="CC22" s="438">
        <v>0</v>
      </c>
    </row>
    <row r="23" spans="2:81" outlineLevel="1">
      <c r="C23" s="502" t="str">
        <f t="shared" si="16"/>
        <v>Trademarks</v>
      </c>
      <c r="E23" s="502" cm="1">
        <f t="array" ref="E23">INDEX(FixedAssets[Asset ID],_xlfn.XMATCH($C23,FixedAssets[Asset]))</f>
        <v>1150040001</v>
      </c>
      <c r="F23" s="502" cm="1">
        <f t="array" ref="F23">INDEX(FixedAssets[Depreciation
/ Amortization ID],_xlfn.XMATCH($C23,FixedAssets[Asset]))</f>
        <v>191</v>
      </c>
      <c r="G23" s="502" cm="1">
        <f t="array" ref="G23">INDEX(FixedAssets[Accumulated Depreciation
/ Amortization ID],_xlfn.XMATCH($C23,FixedAssets[Asset]))</f>
        <v>194</v>
      </c>
      <c r="J23" s="504">
        <f t="shared" si="14"/>
        <v>0</v>
      </c>
      <c r="K23" s="504">
        <f t="shared" si="14"/>
        <v>0</v>
      </c>
      <c r="L23" s="504">
        <f t="shared" si="14"/>
        <v>0</v>
      </c>
      <c r="M23" s="504">
        <f t="shared" si="14"/>
        <v>0</v>
      </c>
      <c r="N23" s="504"/>
      <c r="O23" s="504"/>
      <c r="P23" s="504">
        <f t="shared" si="15"/>
        <v>0</v>
      </c>
      <c r="Q23" s="504">
        <f t="shared" si="15"/>
        <v>0</v>
      </c>
      <c r="R23" s="504">
        <f t="shared" si="15"/>
        <v>0</v>
      </c>
      <c r="S23" s="504">
        <f t="shared" si="15"/>
        <v>0</v>
      </c>
      <c r="T23" s="504">
        <f t="shared" si="15"/>
        <v>0</v>
      </c>
      <c r="U23" s="504">
        <f t="shared" si="15"/>
        <v>0</v>
      </c>
      <c r="V23" s="504">
        <f t="shared" si="15"/>
        <v>0</v>
      </c>
      <c r="W23" s="504">
        <f t="shared" si="15"/>
        <v>0</v>
      </c>
      <c r="X23" s="504">
        <f t="shared" si="15"/>
        <v>0</v>
      </c>
      <c r="Y23" s="504">
        <f t="shared" si="15"/>
        <v>0</v>
      </c>
      <c r="Z23" s="504">
        <f t="shared" si="15"/>
        <v>0</v>
      </c>
      <c r="AA23" s="504">
        <f t="shared" si="15"/>
        <v>0</v>
      </c>
      <c r="AB23" s="504">
        <f t="shared" si="15"/>
        <v>0</v>
      </c>
      <c r="AC23" s="504">
        <f t="shared" si="15"/>
        <v>0</v>
      </c>
      <c r="AD23" s="504">
        <f t="shared" si="15"/>
        <v>0</v>
      </c>
      <c r="AE23" s="504">
        <f t="shared" si="15"/>
        <v>0</v>
      </c>
      <c r="AH23" s="438">
        <v>0</v>
      </c>
      <c r="AI23" s="438">
        <v>0</v>
      </c>
      <c r="AJ23" s="438">
        <v>0</v>
      </c>
      <c r="AK23" s="438">
        <v>0</v>
      </c>
      <c r="AL23" s="438">
        <v>0</v>
      </c>
      <c r="AM23" s="438">
        <v>0</v>
      </c>
      <c r="AN23" s="438">
        <v>0</v>
      </c>
      <c r="AO23" s="438">
        <v>0</v>
      </c>
      <c r="AP23" s="438">
        <v>0</v>
      </c>
      <c r="AQ23" s="438">
        <v>0</v>
      </c>
      <c r="AR23" s="438">
        <v>0</v>
      </c>
      <c r="AS23" s="438">
        <v>0</v>
      </c>
      <c r="AT23" s="438">
        <v>0</v>
      </c>
      <c r="AU23" s="438">
        <v>0</v>
      </c>
      <c r="AV23" s="438">
        <v>0</v>
      </c>
      <c r="AW23" s="438">
        <v>0</v>
      </c>
      <c r="AX23" s="438">
        <v>0</v>
      </c>
      <c r="AY23" s="438">
        <v>0</v>
      </c>
      <c r="AZ23" s="438">
        <v>0</v>
      </c>
      <c r="BA23" s="438">
        <v>0</v>
      </c>
      <c r="BB23" s="438">
        <v>0</v>
      </c>
      <c r="BC23" s="438">
        <v>0</v>
      </c>
      <c r="BD23" s="438">
        <v>0</v>
      </c>
      <c r="BE23" s="438">
        <v>0</v>
      </c>
      <c r="BF23" s="438">
        <v>0</v>
      </c>
      <c r="BG23" s="438">
        <v>0</v>
      </c>
      <c r="BH23" s="438">
        <v>0</v>
      </c>
      <c r="BI23" s="438">
        <v>0</v>
      </c>
      <c r="BJ23" s="438">
        <v>0</v>
      </c>
      <c r="BK23" s="438">
        <v>0</v>
      </c>
      <c r="BL23" s="438">
        <v>0</v>
      </c>
      <c r="BM23" s="438">
        <v>0</v>
      </c>
      <c r="BN23" s="438">
        <v>0</v>
      </c>
      <c r="BO23" s="438">
        <v>0</v>
      </c>
      <c r="BP23" s="438">
        <v>0</v>
      </c>
      <c r="BQ23" s="438">
        <v>0</v>
      </c>
      <c r="BR23" s="438">
        <v>0</v>
      </c>
      <c r="BS23" s="438">
        <v>0</v>
      </c>
      <c r="BT23" s="438">
        <v>0</v>
      </c>
      <c r="BU23" s="438">
        <v>0</v>
      </c>
      <c r="BV23" s="438">
        <v>0</v>
      </c>
      <c r="BW23" s="438">
        <v>0</v>
      </c>
      <c r="BX23" s="438">
        <v>0</v>
      </c>
      <c r="BY23" s="438">
        <v>0</v>
      </c>
      <c r="BZ23" s="438">
        <v>0</v>
      </c>
      <c r="CA23" s="438">
        <v>0</v>
      </c>
      <c r="CB23" s="438">
        <v>0</v>
      </c>
      <c r="CC23" s="438">
        <v>0</v>
      </c>
    </row>
    <row r="25" spans="2:81" s="503" customFormat="1">
      <c r="B25" s="506" t="s">
        <v>448</v>
      </c>
      <c r="C25" s="168"/>
      <c r="D25" s="168"/>
      <c r="E25" s="168"/>
      <c r="F25" s="168"/>
      <c r="G25" s="168"/>
      <c r="J25" s="505">
        <f t="shared" ref="J25:M25" si="17">SUM(J26:J31)</f>
        <v>113669</v>
      </c>
      <c r="K25" s="505">
        <f t="shared" si="17"/>
        <v>118669</v>
      </c>
      <c r="L25" s="505">
        <f t="shared" si="17"/>
        <v>138669</v>
      </c>
      <c r="M25" s="505">
        <f t="shared" si="17"/>
        <v>163669</v>
      </c>
      <c r="P25" s="505">
        <f t="shared" ref="P25:AE25" si="18">SUM(P26:P31)</f>
        <v>65669</v>
      </c>
      <c r="Q25" s="505">
        <f t="shared" si="18"/>
        <v>111169</v>
      </c>
      <c r="R25" s="505">
        <f t="shared" si="18"/>
        <v>113669</v>
      </c>
      <c r="S25" s="505">
        <f t="shared" si="18"/>
        <v>113669</v>
      </c>
      <c r="T25" s="505">
        <f t="shared" si="18"/>
        <v>118669</v>
      </c>
      <c r="U25" s="505">
        <f t="shared" si="18"/>
        <v>118669</v>
      </c>
      <c r="V25" s="505">
        <f t="shared" si="18"/>
        <v>118669</v>
      </c>
      <c r="W25" s="505">
        <f t="shared" si="18"/>
        <v>118669</v>
      </c>
      <c r="X25" s="505">
        <f t="shared" si="18"/>
        <v>118669</v>
      </c>
      <c r="Y25" s="505">
        <f t="shared" si="18"/>
        <v>118669</v>
      </c>
      <c r="Z25" s="505">
        <f t="shared" si="18"/>
        <v>118669</v>
      </c>
      <c r="AA25" s="505">
        <f t="shared" si="18"/>
        <v>138669</v>
      </c>
      <c r="AB25" s="505">
        <f t="shared" si="18"/>
        <v>148669</v>
      </c>
      <c r="AC25" s="505">
        <f t="shared" si="18"/>
        <v>163669</v>
      </c>
      <c r="AD25" s="505">
        <f t="shared" si="18"/>
        <v>163669</v>
      </c>
      <c r="AE25" s="505">
        <f t="shared" si="18"/>
        <v>163669</v>
      </c>
      <c r="AH25" s="505">
        <f t="shared" ref="AH25:CB25" si="19">SUM(AH26:AH31)</f>
        <v>63169</v>
      </c>
      <c r="AI25" s="505">
        <f t="shared" si="19"/>
        <v>63169</v>
      </c>
      <c r="AJ25" s="505">
        <f t="shared" si="19"/>
        <v>65669</v>
      </c>
      <c r="AK25" s="505">
        <f t="shared" si="19"/>
        <v>100669</v>
      </c>
      <c r="AL25" s="505">
        <f t="shared" si="19"/>
        <v>103169</v>
      </c>
      <c r="AM25" s="505">
        <f t="shared" si="19"/>
        <v>111169</v>
      </c>
      <c r="AN25" s="505">
        <f t="shared" si="19"/>
        <v>111169</v>
      </c>
      <c r="AO25" s="505">
        <f t="shared" si="19"/>
        <v>113669</v>
      </c>
      <c r="AP25" s="505">
        <f t="shared" si="19"/>
        <v>113669</v>
      </c>
      <c r="AQ25" s="505">
        <f t="shared" si="19"/>
        <v>113669</v>
      </c>
      <c r="AR25" s="505">
        <f t="shared" si="19"/>
        <v>113669</v>
      </c>
      <c r="AS25" s="505">
        <f t="shared" si="19"/>
        <v>113669</v>
      </c>
      <c r="AT25" s="505">
        <f t="shared" si="19"/>
        <v>130669</v>
      </c>
      <c r="AU25" s="505">
        <f t="shared" si="19"/>
        <v>118669</v>
      </c>
      <c r="AV25" s="505">
        <f t="shared" si="19"/>
        <v>118669</v>
      </c>
      <c r="AW25" s="505">
        <f t="shared" si="19"/>
        <v>118669</v>
      </c>
      <c r="AX25" s="505">
        <f t="shared" si="19"/>
        <v>118669</v>
      </c>
      <c r="AY25" s="505">
        <f t="shared" si="19"/>
        <v>118669</v>
      </c>
      <c r="AZ25" s="505">
        <f t="shared" si="19"/>
        <v>118669</v>
      </c>
      <c r="BA25" s="505">
        <f t="shared" si="19"/>
        <v>118669</v>
      </c>
      <c r="BB25" s="505">
        <f t="shared" si="19"/>
        <v>118669</v>
      </c>
      <c r="BC25" s="505">
        <f t="shared" si="19"/>
        <v>118669</v>
      </c>
      <c r="BD25" s="505">
        <f t="shared" si="19"/>
        <v>118669</v>
      </c>
      <c r="BE25" s="505">
        <f t="shared" si="19"/>
        <v>118669</v>
      </c>
      <c r="BF25" s="505">
        <f t="shared" si="19"/>
        <v>118669</v>
      </c>
      <c r="BG25" s="505">
        <f t="shared" si="19"/>
        <v>118669</v>
      </c>
      <c r="BH25" s="505">
        <f t="shared" si="19"/>
        <v>118669</v>
      </c>
      <c r="BI25" s="505">
        <f t="shared" si="19"/>
        <v>118669</v>
      </c>
      <c r="BJ25" s="505">
        <f t="shared" si="19"/>
        <v>118669</v>
      </c>
      <c r="BK25" s="505">
        <f t="shared" si="19"/>
        <v>118669</v>
      </c>
      <c r="BL25" s="505">
        <f t="shared" si="19"/>
        <v>118669</v>
      </c>
      <c r="BM25" s="505">
        <f t="shared" si="19"/>
        <v>118669</v>
      </c>
      <c r="BN25" s="505">
        <f t="shared" si="19"/>
        <v>118669</v>
      </c>
      <c r="BO25" s="505">
        <f t="shared" si="19"/>
        <v>118669</v>
      </c>
      <c r="BP25" s="505">
        <f t="shared" si="19"/>
        <v>118669</v>
      </c>
      <c r="BQ25" s="505">
        <f t="shared" si="19"/>
        <v>138669</v>
      </c>
      <c r="BR25" s="505">
        <f t="shared" si="19"/>
        <v>138669</v>
      </c>
      <c r="BS25" s="505">
        <f t="shared" si="19"/>
        <v>148669</v>
      </c>
      <c r="BT25" s="505">
        <f t="shared" si="19"/>
        <v>148669</v>
      </c>
      <c r="BU25" s="505">
        <f t="shared" si="19"/>
        <v>148669</v>
      </c>
      <c r="BV25" s="505">
        <f t="shared" si="19"/>
        <v>163669</v>
      </c>
      <c r="BW25" s="505">
        <f t="shared" si="19"/>
        <v>163669</v>
      </c>
      <c r="BX25" s="505">
        <f t="shared" si="19"/>
        <v>163669</v>
      </c>
      <c r="BY25" s="505">
        <f t="shared" si="19"/>
        <v>163669</v>
      </c>
      <c r="BZ25" s="505">
        <f t="shared" si="19"/>
        <v>163669</v>
      </c>
      <c r="CA25" s="505">
        <f t="shared" si="19"/>
        <v>163669</v>
      </c>
      <c r="CB25" s="505">
        <f t="shared" si="19"/>
        <v>163669</v>
      </c>
      <c r="CC25" s="505">
        <f>SUM(CC26:CC31)</f>
        <v>163669</v>
      </c>
    </row>
    <row r="26" spans="2:81" outlineLevel="1">
      <c r="C26" s="502" t="str">
        <f>C11</f>
        <v>Computers</v>
      </c>
      <c r="E26" s="502" cm="1">
        <f t="array" ref="E26">INDEX(FixedAssets[Asset ID],_xlfn.XMATCH($C26,FixedAssets[Asset]))</f>
        <v>152</v>
      </c>
      <c r="F26" s="502" cm="1">
        <f t="array" ref="F26">INDEX(FixedAssets[Depreciation
/ Amortization ID],_xlfn.XMATCH($C26,FixedAssets[Asset]))</f>
        <v>191</v>
      </c>
      <c r="G26" s="502" cm="1">
        <f t="array" ref="G26">INDEX(FixedAssets[Accumulated Depreciation
/ Amortization ID],_xlfn.XMATCH($C26,FixedAssets[Asset]))</f>
        <v>194</v>
      </c>
      <c r="J26" s="504" cm="1">
        <f t="array" ref="J26">INDEX($AH26:$CC26,_xlfn.XMATCH(J$5,$AH$5:$CC$5))</f>
        <v>10000</v>
      </c>
      <c r="K26" s="504" cm="1">
        <f t="array" ref="K26">INDEX($AH26:$CC26,_xlfn.XMATCH(K$5,$AH$5:$CC$5))</f>
        <v>15000</v>
      </c>
      <c r="L26" s="504" cm="1">
        <f t="array" ref="L26">INDEX($AH26:$CC26,_xlfn.XMATCH(L$5,$AH$5:$CC$5))</f>
        <v>35000</v>
      </c>
      <c r="M26" s="504" cm="1">
        <f t="array" ref="M26">INDEX($AH26:$CC26,_xlfn.XMATCH(M$5,$AH$5:$CC$5))</f>
        <v>35000</v>
      </c>
      <c r="N26" s="504"/>
      <c r="O26" s="504"/>
      <c r="P26" s="504" cm="1">
        <f t="array" ref="P26">INDEX($AH26:$CC26,_xlfn.XMATCH(P$5,$AH$5:$CC$5))</f>
        <v>5000</v>
      </c>
      <c r="Q26" s="504" cm="1">
        <f t="array" ref="Q26">INDEX($AH26:$CC26,_xlfn.XMATCH(Q$5,$AH$5:$CC$5))</f>
        <v>7500</v>
      </c>
      <c r="R26" s="504" cm="1">
        <f t="array" ref="R26">INDEX($AH26:$CC26,_xlfn.XMATCH(R$5,$AH$5:$CC$5))</f>
        <v>10000</v>
      </c>
      <c r="S26" s="504" cm="1">
        <f t="array" ref="S26">INDEX($AH26:$CC26,_xlfn.XMATCH(S$5,$AH$5:$CC$5))</f>
        <v>10000</v>
      </c>
      <c r="T26" s="504" cm="1">
        <f t="array" ref="T26">INDEX($AH26:$CC26,_xlfn.XMATCH(T$5,$AH$5:$CC$5))</f>
        <v>15000</v>
      </c>
      <c r="U26" s="504" cm="1">
        <f t="array" ref="U26">INDEX($AH26:$CC26,_xlfn.XMATCH(U$5,$AH$5:$CC$5))</f>
        <v>15000</v>
      </c>
      <c r="V26" s="504" cm="1">
        <f t="array" ref="V26">INDEX($AH26:$CC26,_xlfn.XMATCH(V$5,$AH$5:$CC$5))</f>
        <v>15000</v>
      </c>
      <c r="W26" s="504" cm="1">
        <f t="array" ref="W26">INDEX($AH26:$CC26,_xlfn.XMATCH(W$5,$AH$5:$CC$5))</f>
        <v>15000</v>
      </c>
      <c r="X26" s="504" cm="1">
        <f t="array" ref="X26">INDEX($AH26:$CC26,_xlfn.XMATCH(X$5,$AH$5:$CC$5))</f>
        <v>15000</v>
      </c>
      <c r="Y26" s="504" cm="1">
        <f t="array" ref="Y26">INDEX($AH26:$CC26,_xlfn.XMATCH(Y$5,$AH$5:$CC$5))</f>
        <v>15000</v>
      </c>
      <c r="Z26" s="504" cm="1">
        <f t="array" ref="Z26">INDEX($AH26:$CC26,_xlfn.XMATCH(Z$5,$AH$5:$CC$5))</f>
        <v>15000</v>
      </c>
      <c r="AA26" s="504" cm="1">
        <f t="array" ref="AA26">INDEX($AH26:$CC26,_xlfn.XMATCH(AA$5,$AH$5:$CC$5))</f>
        <v>35000</v>
      </c>
      <c r="AB26" s="504" cm="1">
        <f t="array" ref="AB26">INDEX($AH26:$CC26,_xlfn.XMATCH(AB$5,$AH$5:$CC$5))</f>
        <v>35000</v>
      </c>
      <c r="AC26" s="504" cm="1">
        <f t="array" ref="AC26">INDEX($AH26:$CC26,_xlfn.XMATCH(AC$5,$AH$5:$CC$5))</f>
        <v>35000</v>
      </c>
      <c r="AD26" s="504" cm="1">
        <f t="array" ref="AD26">INDEX($AH26:$CC26,_xlfn.XMATCH(AD$5,$AH$5:$CC$5))</f>
        <v>35000</v>
      </c>
      <c r="AE26" s="504" cm="1">
        <f t="array" ref="AE26">INDEX($AH26:$CC26,_xlfn.XMATCH(AE$5,$AH$5:$CC$5))</f>
        <v>35000</v>
      </c>
      <c r="AH26" s="410">
        <f>IF(AH$8&lt;=LatestMonthOfActuals,SUMIFS('Data Summary'!M$77:M$105,dataGLBSAcctIDs,$E26),AG26+AH19)</f>
        <v>2500</v>
      </c>
      <c r="AI26" s="410">
        <f>IF(AI$8&lt;=LatestMonthOfActuals,SUMIFS('Data Summary'!N$77:N$105,dataGLBSAcctIDs,$E26),AH26+AI19)</f>
        <v>2500</v>
      </c>
      <c r="AJ26" s="410">
        <f>IF(AJ$8&lt;=LatestMonthOfActuals,SUMIFS('Data Summary'!O$77:O$105,dataGLBSAcctIDs,$E26),AI26+AJ19)</f>
        <v>5000</v>
      </c>
      <c r="AK26" s="410">
        <f>IF(AK$8&lt;=LatestMonthOfActuals,SUMIFS('Data Summary'!P$77:P$105,dataGLBSAcctIDs,$E26),AJ26+AK19)</f>
        <v>5000</v>
      </c>
      <c r="AL26" s="410">
        <f>IF(AL$8&lt;=LatestMonthOfActuals,SUMIFS('Data Summary'!Q$77:Q$105,dataGLBSAcctIDs,$E26),AK26+AL19)</f>
        <v>7500</v>
      </c>
      <c r="AM26" s="410">
        <f>IF(AM$8&lt;=LatestMonthOfActuals,SUMIFS('Data Summary'!R$77:R$105,dataGLBSAcctIDs,$E26),AL26+AM19)</f>
        <v>7500</v>
      </c>
      <c r="AN26" s="410">
        <f>IF(AN$8&lt;=LatestMonthOfActuals,SUMIFS('Data Summary'!S$77:S$105,dataGLBSAcctIDs,$E26),AM26+AN19)</f>
        <v>7500</v>
      </c>
      <c r="AO26" s="410">
        <f>IF(AO$8&lt;=LatestMonthOfActuals,SUMIFS('Data Summary'!T$77:T$105,dataGLBSAcctIDs,$E26),AN26+AO19)</f>
        <v>10000</v>
      </c>
      <c r="AP26" s="410">
        <f>IF(AP$8&lt;=LatestMonthOfActuals,SUMIFS('Data Summary'!U$77:U$105,dataGLBSAcctIDs,$E26),AO26+AP19)</f>
        <v>10000</v>
      </c>
      <c r="AQ26" s="410">
        <f>IF(AQ$8&lt;=LatestMonthOfActuals,SUMIFS('Data Summary'!V$77:V$105,dataGLBSAcctIDs,$E26),AP26+AQ19)</f>
        <v>10000</v>
      </c>
      <c r="AR26" s="410">
        <f>IF(AR$8&lt;=LatestMonthOfActuals,SUMIFS('Data Summary'!W$77:W$105,dataGLBSAcctIDs,$E26),AQ26+AR19)</f>
        <v>10000</v>
      </c>
      <c r="AS26" s="410">
        <f>IF(AS$8&lt;=LatestMonthOfActuals,SUMIFS('Data Summary'!X$77:X$105,dataGLBSAcctIDs,$E26),AR26+AS19)</f>
        <v>10000</v>
      </c>
      <c r="AT26" s="410">
        <f>IF(AT$8&lt;=LatestMonthOfActuals,SUMIFS('Data Summary'!Y$77:Y$105,dataGLBSAcctIDs,$E26),AS26+AT19)</f>
        <v>15000</v>
      </c>
      <c r="AU26" s="410">
        <f>IF(AU$8&lt;=LatestMonthOfActuals,SUMIFS('Data Summary'!Z$77:Z$105,dataGLBSAcctIDs,$E26),AT26+AU19)</f>
        <v>15000</v>
      </c>
      <c r="AV26" s="410">
        <f>IF(AV$8&lt;=LatestMonthOfActuals,SUMIFS('Data Summary'!AA$77:AA$105,dataGLBSAcctIDs,$E26),AU26+AV19)</f>
        <v>15000</v>
      </c>
      <c r="AW26" s="410">
        <f>IF(AW$8&lt;=LatestMonthOfActuals,SUMIFS('Data Summary'!AB$77:AB$105,dataGLBSAcctIDs,$E26),AV26+AW19)</f>
        <v>15000</v>
      </c>
      <c r="AX26" s="410">
        <f>IF(AX$8&lt;=LatestMonthOfActuals,SUMIFS('Data Summary'!AC$77:AC$105,dataGLBSAcctIDs,$E26),AW26+AX19)</f>
        <v>15000</v>
      </c>
      <c r="AY26" s="410">
        <f>IF(AY$8&lt;=LatestMonthOfActuals,SUMIFS('Data Summary'!AD$77:AD$105,dataGLBSAcctIDs,$E26),AX26+AY19)</f>
        <v>15000</v>
      </c>
      <c r="AZ26" s="410">
        <f>IF(AZ$8&lt;=LatestMonthOfActuals,SUMIFS('Data Summary'!AE$77:AE$105,dataGLBSAcctIDs,$E26),AY26+AZ19)</f>
        <v>15000</v>
      </c>
      <c r="BA26" s="410">
        <f>IF(BA$8&lt;=LatestMonthOfActuals,SUMIFS('Data Summary'!AF$77:AF$105,dataGLBSAcctIDs,$E26),AZ26+BA19)</f>
        <v>15000</v>
      </c>
      <c r="BB26" s="410">
        <f>IF(BB$8&lt;=LatestMonthOfActuals,SUMIFS('Data Summary'!AG$77:AG$105,dataGLBSAcctIDs,$E26),BA26+BB19)</f>
        <v>15000</v>
      </c>
      <c r="BC26" s="410">
        <f>IF(BC$8&lt;=LatestMonthOfActuals,SUMIFS('Data Summary'!AH$77:AH$105,dataGLBSAcctIDs,$E26),BB26+BC19)</f>
        <v>15000</v>
      </c>
      <c r="BD26" s="410">
        <f>IF(BD$8&lt;=LatestMonthOfActuals,SUMIFS('Data Summary'!AI$77:AI$105,dataGLBSAcctIDs,$E26),BC26+BD19)</f>
        <v>15000</v>
      </c>
      <c r="BE26" s="410">
        <f>IF(BE$8&lt;=LatestMonthOfActuals,SUMIFS('Data Summary'!AJ$77:AJ$105,dataGLBSAcctIDs,$E26),BD26+BE19)</f>
        <v>15000</v>
      </c>
      <c r="BF26" s="410">
        <f>IF(BF$8&lt;=LatestMonthOfActuals,SUMIFS('Data Summary'!AK$77:AK$105,dataGLBSAcctIDs,$E26),BE26+BF19)</f>
        <v>15000</v>
      </c>
      <c r="BG26" s="410">
        <f>IF(BG$8&lt;=LatestMonthOfActuals,SUMIFS('Data Summary'!AL$77:AL$105,dataGLBSAcctIDs,$E26),BF26+BG19)</f>
        <v>15000</v>
      </c>
      <c r="BH26" s="410">
        <f>IF(BH$8&lt;=LatestMonthOfActuals,SUMIFS('Data Summary'!AM$77:AM$105,dataGLBSAcctIDs,$E26),BG26+BH19)</f>
        <v>15000</v>
      </c>
      <c r="BI26" s="410">
        <f>IF(BI$8&lt;=LatestMonthOfActuals,SUMIFS('Data Summary'!AN$77:AN$105,dataGLBSAcctIDs,$E26),BH26+BI19)</f>
        <v>15000</v>
      </c>
      <c r="BJ26" s="410">
        <f>IF(BJ$8&lt;=LatestMonthOfActuals,SUMIFS('Data Summary'!AO$77:AO$105,dataGLBSAcctIDs,$E26),BI26+BJ19)</f>
        <v>15000</v>
      </c>
      <c r="BK26" s="410">
        <f>IF(BK$8&lt;=LatestMonthOfActuals,SUMIFS('Data Summary'!AP$77:AP$105,dataGLBSAcctIDs,$E26),BJ26+BK19)</f>
        <v>15000</v>
      </c>
      <c r="BL26" s="410">
        <f>IF(BL$8&lt;=LatestMonthOfActuals,SUMIFS('Data Summary'!AQ$77:AQ$105,dataGLBSAcctIDs,$E26),BK26+BL19)</f>
        <v>15000</v>
      </c>
      <c r="BM26" s="410">
        <f>IF(BM$8&lt;=LatestMonthOfActuals,SUMIFS('Data Summary'!AR$77:AR$105,dataGLBSAcctIDs,$E26),BL26+BM19)</f>
        <v>15000</v>
      </c>
      <c r="BN26" s="410">
        <f>IF(BN$8&lt;=LatestMonthOfActuals,SUMIFS('Data Summary'!AS$77:AS$105,dataGLBSAcctIDs,$E26),BM26+BN19)</f>
        <v>15000</v>
      </c>
      <c r="BO26" s="410">
        <f>IF(BO$8&lt;=LatestMonthOfActuals,SUMIFS('Data Summary'!AT$77:AT$105,dataGLBSAcctIDs,$E26),BN26+BO19)</f>
        <v>15000</v>
      </c>
      <c r="BP26" s="410">
        <f>IF(BP$8&lt;=LatestMonthOfActuals,SUMIFS('Data Summary'!AU$77:AU$105,dataGLBSAcctIDs,$E26),BO26+BP19)</f>
        <v>15000</v>
      </c>
      <c r="BQ26" s="410">
        <f>IF(BQ$8&lt;=LatestMonthOfActuals,SUMIFS('Data Summary'!AV$77:AV$105,dataGLBSAcctIDs,$E26),BP26+BQ19)</f>
        <v>35000</v>
      </c>
      <c r="BR26" s="410">
        <f>IF(BR$8&lt;=LatestMonthOfActuals,SUMIFS('Data Summary'!AW$77:AW$105,dataGLBSAcctIDs,$E26),BQ26+BR19)</f>
        <v>35000</v>
      </c>
      <c r="BS26" s="410">
        <f>IF(BS$8&lt;=LatestMonthOfActuals,SUMIFS('Data Summary'!AX$77:AX$105,dataGLBSAcctIDs,$E26),BR26+BS19)</f>
        <v>35000</v>
      </c>
      <c r="BT26" s="410">
        <f>IF(BT$8&lt;=LatestMonthOfActuals,SUMIFS('Data Summary'!AY$77:AY$105,dataGLBSAcctIDs,$E26),BS26+BT19)</f>
        <v>35000</v>
      </c>
      <c r="BU26" s="410">
        <f>IF(BU$8&lt;=LatestMonthOfActuals,SUMIFS('Data Summary'!AZ$77:AZ$105,dataGLBSAcctIDs,$E26),BT26+BU19)</f>
        <v>35000</v>
      </c>
      <c r="BV26" s="410">
        <f>IF(BV$8&lt;=LatestMonthOfActuals,SUMIFS('Data Summary'!BA$77:BA$105,dataGLBSAcctIDs,$E26),BU26+BV19)</f>
        <v>35000</v>
      </c>
      <c r="BW26" s="410">
        <f>IF(BW$8&lt;=LatestMonthOfActuals,SUMIFS('Data Summary'!BB$77:BB$105,dataGLBSAcctIDs,$E26),BV26+BW19)</f>
        <v>35000</v>
      </c>
      <c r="BX26" s="410">
        <f>IF(BX$8&lt;=LatestMonthOfActuals,SUMIFS('Data Summary'!BC$77:BC$105,dataGLBSAcctIDs,$E26),BW26+BX19)</f>
        <v>35000</v>
      </c>
      <c r="BY26" s="410">
        <f>IF(BY$8&lt;=LatestMonthOfActuals,SUMIFS('Data Summary'!BD$77:BD$105,dataGLBSAcctIDs,$E26),BX26+BY19)</f>
        <v>35000</v>
      </c>
      <c r="BZ26" s="410">
        <f>IF(BZ$8&lt;=LatestMonthOfActuals,SUMIFS('Data Summary'!BE$77:BE$105,dataGLBSAcctIDs,$E26),BY26+BZ19)</f>
        <v>35000</v>
      </c>
      <c r="CA26" s="410">
        <f>IF(CA$8&lt;=LatestMonthOfActuals,SUMIFS('Data Summary'!BF$77:BF$105,dataGLBSAcctIDs,$E26),BZ26+CA19)</f>
        <v>35000</v>
      </c>
      <c r="CB26" s="410">
        <f>IF(CB$8&lt;=LatestMonthOfActuals,SUMIFS('Data Summary'!BG$77:BG$105,dataGLBSAcctIDs,$E26),CA26+CB19)</f>
        <v>35000</v>
      </c>
      <c r="CC26" s="410">
        <f>IF(CC$8&lt;=LatestMonthOfActuals,SUMIFS('Data Summary'!BH$77:BH$105,dataGLBSAcctIDs,$E26),CB26+CC19)</f>
        <v>35000</v>
      </c>
    </row>
    <row r="27" spans="2:81" outlineLevel="1">
      <c r="C27" s="502" t="str">
        <f>C12</f>
        <v>Furniture</v>
      </c>
      <c r="E27" s="502" cm="1">
        <f t="array" ref="E27">INDEX(FixedAssets[Asset ID],_xlfn.XMATCH($C27,FixedAssets[Asset]))</f>
        <v>153</v>
      </c>
      <c r="F27" s="502" cm="1">
        <f t="array" ref="F27">INDEX(FixedAssets[Depreciation
/ Amortization ID],_xlfn.XMATCH($C27,FixedAssets[Asset]))</f>
        <v>191</v>
      </c>
      <c r="G27" s="502" cm="1">
        <f t="array" ref="G27">INDEX(FixedAssets[Accumulated Depreciation
/ Amortization ID],_xlfn.XMATCH($C27,FixedAssets[Asset]))</f>
        <v>194</v>
      </c>
      <c r="J27" s="504" cm="1">
        <f t="array" ref="J27">INDEX($AH27:$CC27,_xlfn.XMATCH(J$5,$AH$5:$CC$5))</f>
        <v>35000</v>
      </c>
      <c r="K27" s="504" cm="1">
        <f t="array" ref="K27">INDEX($AH27:$CC27,_xlfn.XMATCH(K$5,$AH$5:$CC$5))</f>
        <v>35000</v>
      </c>
      <c r="L27" s="504" cm="1">
        <f t="array" ref="L27">INDEX($AH27:$CC27,_xlfn.XMATCH(L$5,$AH$5:$CC$5))</f>
        <v>35000</v>
      </c>
      <c r="M27" s="504" cm="1">
        <f t="array" ref="M27">INDEX($AH27:$CC27,_xlfn.XMATCH(M$5,$AH$5:$CC$5))</f>
        <v>50000</v>
      </c>
      <c r="N27" s="504"/>
      <c r="O27" s="504"/>
      <c r="P27" s="504" cm="1">
        <f t="array" ref="P27">INDEX($AH27:$CC27,_xlfn.XMATCH(P$5,$AH$5:$CC$5))</f>
        <v>0</v>
      </c>
      <c r="Q27" s="504" cm="1">
        <f t="array" ref="Q27">INDEX($AH27:$CC27,_xlfn.XMATCH(Q$5,$AH$5:$CC$5))</f>
        <v>35000</v>
      </c>
      <c r="R27" s="504" cm="1">
        <f t="array" ref="R27">INDEX($AH27:$CC27,_xlfn.XMATCH(R$5,$AH$5:$CC$5))</f>
        <v>35000</v>
      </c>
      <c r="S27" s="504" cm="1">
        <f t="array" ref="S27">INDEX($AH27:$CC27,_xlfn.XMATCH(S$5,$AH$5:$CC$5))</f>
        <v>35000</v>
      </c>
      <c r="T27" s="504" cm="1">
        <f t="array" ref="T27">INDEX($AH27:$CC27,_xlfn.XMATCH(T$5,$AH$5:$CC$5))</f>
        <v>35000</v>
      </c>
      <c r="U27" s="504" cm="1">
        <f t="array" ref="U27">INDEX($AH27:$CC27,_xlfn.XMATCH(U$5,$AH$5:$CC$5))</f>
        <v>35000</v>
      </c>
      <c r="V27" s="504" cm="1">
        <f t="array" ref="V27">INDEX($AH27:$CC27,_xlfn.XMATCH(V$5,$AH$5:$CC$5))</f>
        <v>35000</v>
      </c>
      <c r="W27" s="504" cm="1">
        <f t="array" ref="W27">INDEX($AH27:$CC27,_xlfn.XMATCH(W$5,$AH$5:$CC$5))</f>
        <v>35000</v>
      </c>
      <c r="X27" s="504" cm="1">
        <f t="array" ref="X27">INDEX($AH27:$CC27,_xlfn.XMATCH(X$5,$AH$5:$CC$5))</f>
        <v>35000</v>
      </c>
      <c r="Y27" s="504" cm="1">
        <f t="array" ref="Y27">INDEX($AH27:$CC27,_xlfn.XMATCH(Y$5,$AH$5:$CC$5))</f>
        <v>35000</v>
      </c>
      <c r="Z27" s="504" cm="1">
        <f t="array" ref="Z27">INDEX($AH27:$CC27,_xlfn.XMATCH(Z$5,$AH$5:$CC$5))</f>
        <v>35000</v>
      </c>
      <c r="AA27" s="504" cm="1">
        <f t="array" ref="AA27">INDEX($AH27:$CC27,_xlfn.XMATCH(AA$5,$AH$5:$CC$5))</f>
        <v>35000</v>
      </c>
      <c r="AB27" s="504" cm="1">
        <f t="array" ref="AB27">INDEX($AH27:$CC27,_xlfn.XMATCH(AB$5,$AH$5:$CC$5))</f>
        <v>35000</v>
      </c>
      <c r="AC27" s="504" cm="1">
        <f t="array" ref="AC27">INDEX($AH27:$CC27,_xlfn.XMATCH(AC$5,$AH$5:$CC$5))</f>
        <v>50000</v>
      </c>
      <c r="AD27" s="504" cm="1">
        <f t="array" ref="AD27">INDEX($AH27:$CC27,_xlfn.XMATCH(AD$5,$AH$5:$CC$5))</f>
        <v>50000</v>
      </c>
      <c r="AE27" s="504" cm="1">
        <f t="array" ref="AE27">INDEX($AH27:$CC27,_xlfn.XMATCH(AE$5,$AH$5:$CC$5))</f>
        <v>50000</v>
      </c>
      <c r="AH27" s="410">
        <f>IF(AH$8&lt;=LatestMonthOfActuals,SUMIFS('Data Summary'!M$77:M$105,dataGLBSAcctIDs,$E27),AG27+AH20)</f>
        <v>0</v>
      </c>
      <c r="AI27" s="410">
        <f>IF(AI$8&lt;=LatestMonthOfActuals,SUMIFS('Data Summary'!N$77:N$105,dataGLBSAcctIDs,$E27),AH27+AI20)</f>
        <v>0</v>
      </c>
      <c r="AJ27" s="410">
        <f>IF(AJ$8&lt;=LatestMonthOfActuals,SUMIFS('Data Summary'!O$77:O$105,dataGLBSAcctIDs,$E27),AI27+AJ20)</f>
        <v>0</v>
      </c>
      <c r="AK27" s="410">
        <f>IF(AK$8&lt;=LatestMonthOfActuals,SUMIFS('Data Summary'!P$77:P$105,dataGLBSAcctIDs,$E27),AJ27+AK20)</f>
        <v>35000</v>
      </c>
      <c r="AL27" s="410">
        <f>IF(AL$8&lt;=LatestMonthOfActuals,SUMIFS('Data Summary'!Q$77:Q$105,dataGLBSAcctIDs,$E27),AK27+AL20)</f>
        <v>35000</v>
      </c>
      <c r="AM27" s="410">
        <f>IF(AM$8&lt;=LatestMonthOfActuals,SUMIFS('Data Summary'!R$77:R$105,dataGLBSAcctIDs,$E27),AL27+AM20)</f>
        <v>35000</v>
      </c>
      <c r="AN27" s="410">
        <f>IF(AN$8&lt;=LatestMonthOfActuals,SUMIFS('Data Summary'!S$77:S$105,dataGLBSAcctIDs,$E27),AM27+AN20)</f>
        <v>35000</v>
      </c>
      <c r="AO27" s="410">
        <f>IF(AO$8&lt;=LatestMonthOfActuals,SUMIFS('Data Summary'!T$77:T$105,dataGLBSAcctIDs,$E27),AN27+AO20)</f>
        <v>35000</v>
      </c>
      <c r="AP27" s="410">
        <f>IF(AP$8&lt;=LatestMonthOfActuals,SUMIFS('Data Summary'!U$77:U$105,dataGLBSAcctIDs,$E27),AO27+AP20)</f>
        <v>35000</v>
      </c>
      <c r="AQ27" s="410">
        <f>IF(AQ$8&lt;=LatestMonthOfActuals,SUMIFS('Data Summary'!V$77:V$105,dataGLBSAcctIDs,$E27),AP27+AQ20)</f>
        <v>35000</v>
      </c>
      <c r="AR27" s="410">
        <f>IF(AR$8&lt;=LatestMonthOfActuals,SUMIFS('Data Summary'!W$77:W$105,dataGLBSAcctIDs,$E27),AQ27+AR20)</f>
        <v>35000</v>
      </c>
      <c r="AS27" s="410">
        <f>IF(AS$8&lt;=LatestMonthOfActuals,SUMIFS('Data Summary'!X$77:X$105,dataGLBSAcctIDs,$E27),AR27+AS20)</f>
        <v>35000</v>
      </c>
      <c r="AT27" s="410">
        <f>IF(AT$8&lt;=LatestMonthOfActuals,SUMIFS('Data Summary'!Y$77:Y$105,dataGLBSAcctIDs,$E27),AS27+AT20)</f>
        <v>45000</v>
      </c>
      <c r="AU27" s="410">
        <f>IF(AU$8&lt;=LatestMonthOfActuals,SUMIFS('Data Summary'!Z$77:Z$105,dataGLBSAcctIDs,$E27),AT27+AU20)</f>
        <v>35000</v>
      </c>
      <c r="AV27" s="410">
        <f>IF(AV$8&lt;=LatestMonthOfActuals,SUMIFS('Data Summary'!AA$77:AA$105,dataGLBSAcctIDs,$E27),AU27+AV20)</f>
        <v>35000</v>
      </c>
      <c r="AW27" s="410">
        <f>IF(AW$8&lt;=LatestMonthOfActuals,SUMIFS('Data Summary'!AB$77:AB$105,dataGLBSAcctIDs,$E27),AV27+AW20)</f>
        <v>35000</v>
      </c>
      <c r="AX27" s="410">
        <f>IF(AX$8&lt;=LatestMonthOfActuals,SUMIFS('Data Summary'!AC$77:AC$105,dataGLBSAcctIDs,$E27),AW27+AX20)</f>
        <v>35000</v>
      </c>
      <c r="AY27" s="410">
        <f>IF(AY$8&lt;=LatestMonthOfActuals,SUMIFS('Data Summary'!AD$77:AD$105,dataGLBSAcctIDs,$E27),AX27+AY20)</f>
        <v>35000</v>
      </c>
      <c r="AZ27" s="410">
        <f>IF(AZ$8&lt;=LatestMonthOfActuals,SUMIFS('Data Summary'!AE$77:AE$105,dataGLBSAcctIDs,$E27),AY27+AZ20)</f>
        <v>35000</v>
      </c>
      <c r="BA27" s="410">
        <f>IF(BA$8&lt;=LatestMonthOfActuals,SUMIFS('Data Summary'!AF$77:AF$105,dataGLBSAcctIDs,$E27),AZ27+BA20)</f>
        <v>35000</v>
      </c>
      <c r="BB27" s="410">
        <f>IF(BB$8&lt;=LatestMonthOfActuals,SUMIFS('Data Summary'!AG$77:AG$105,dataGLBSAcctIDs,$E27),BA27+BB20)</f>
        <v>35000</v>
      </c>
      <c r="BC27" s="410">
        <f>IF(BC$8&lt;=LatestMonthOfActuals,SUMIFS('Data Summary'!AH$77:AH$105,dataGLBSAcctIDs,$E27),BB27+BC20)</f>
        <v>35000</v>
      </c>
      <c r="BD27" s="410">
        <f>IF(BD$8&lt;=LatestMonthOfActuals,SUMIFS('Data Summary'!AI$77:AI$105,dataGLBSAcctIDs,$E27),BC27+BD20)</f>
        <v>35000</v>
      </c>
      <c r="BE27" s="410">
        <f>IF(BE$8&lt;=LatestMonthOfActuals,SUMIFS('Data Summary'!AJ$77:AJ$105,dataGLBSAcctIDs,$E27),BD27+BE20)</f>
        <v>35000</v>
      </c>
      <c r="BF27" s="410">
        <f>IF(BF$8&lt;=LatestMonthOfActuals,SUMIFS('Data Summary'!AK$77:AK$105,dataGLBSAcctIDs,$E27),BE27+BF20)</f>
        <v>35000</v>
      </c>
      <c r="BG27" s="410">
        <f>IF(BG$8&lt;=LatestMonthOfActuals,SUMIFS('Data Summary'!AL$77:AL$105,dataGLBSAcctIDs,$E27),BF27+BG20)</f>
        <v>35000</v>
      </c>
      <c r="BH27" s="410">
        <f>IF(BH$8&lt;=LatestMonthOfActuals,SUMIFS('Data Summary'!AM$77:AM$105,dataGLBSAcctIDs,$E27),BG27+BH20)</f>
        <v>35000</v>
      </c>
      <c r="BI27" s="410">
        <f>IF(BI$8&lt;=LatestMonthOfActuals,SUMIFS('Data Summary'!AN$77:AN$105,dataGLBSAcctIDs,$E27),BH27+BI20)</f>
        <v>35000</v>
      </c>
      <c r="BJ27" s="410">
        <f>IF(BJ$8&lt;=LatestMonthOfActuals,SUMIFS('Data Summary'!AO$77:AO$105,dataGLBSAcctIDs,$E27),BI27+BJ20)</f>
        <v>35000</v>
      </c>
      <c r="BK27" s="410">
        <f>IF(BK$8&lt;=LatestMonthOfActuals,SUMIFS('Data Summary'!AP$77:AP$105,dataGLBSAcctIDs,$E27),BJ27+BK20)</f>
        <v>35000</v>
      </c>
      <c r="BL27" s="410">
        <f>IF(BL$8&lt;=LatestMonthOfActuals,SUMIFS('Data Summary'!AQ$77:AQ$105,dataGLBSAcctIDs,$E27),BK27+BL20)</f>
        <v>35000</v>
      </c>
      <c r="BM27" s="410">
        <f>IF(BM$8&lt;=LatestMonthOfActuals,SUMIFS('Data Summary'!AR$77:AR$105,dataGLBSAcctIDs,$E27),BL27+BM20)</f>
        <v>35000</v>
      </c>
      <c r="BN27" s="410">
        <f>IF(BN$8&lt;=LatestMonthOfActuals,SUMIFS('Data Summary'!AS$77:AS$105,dataGLBSAcctIDs,$E27),BM27+BN20)</f>
        <v>35000</v>
      </c>
      <c r="BO27" s="410">
        <f>IF(BO$8&lt;=LatestMonthOfActuals,SUMIFS('Data Summary'!AT$77:AT$105,dataGLBSAcctIDs,$E27),BN27+BO20)</f>
        <v>35000</v>
      </c>
      <c r="BP27" s="410">
        <f>IF(BP$8&lt;=LatestMonthOfActuals,SUMIFS('Data Summary'!AU$77:AU$105,dataGLBSAcctIDs,$E27),BO27+BP20)</f>
        <v>35000</v>
      </c>
      <c r="BQ27" s="410">
        <f>IF(BQ$8&lt;=LatestMonthOfActuals,SUMIFS('Data Summary'!AV$77:AV$105,dataGLBSAcctIDs,$E27),BP27+BQ20)</f>
        <v>35000</v>
      </c>
      <c r="BR27" s="410">
        <f>IF(BR$8&lt;=LatestMonthOfActuals,SUMIFS('Data Summary'!AW$77:AW$105,dataGLBSAcctIDs,$E27),BQ27+BR20)</f>
        <v>35000</v>
      </c>
      <c r="BS27" s="410">
        <f>IF(BS$8&lt;=LatestMonthOfActuals,SUMIFS('Data Summary'!AX$77:AX$105,dataGLBSAcctIDs,$E27),BR27+BS20)</f>
        <v>35000</v>
      </c>
      <c r="BT27" s="410">
        <f>IF(BT$8&lt;=LatestMonthOfActuals,SUMIFS('Data Summary'!AY$77:AY$105,dataGLBSAcctIDs,$E27),BS27+BT20)</f>
        <v>35000</v>
      </c>
      <c r="BU27" s="410">
        <f>IF(BU$8&lt;=LatestMonthOfActuals,SUMIFS('Data Summary'!AZ$77:AZ$105,dataGLBSAcctIDs,$E27),BT27+BU20)</f>
        <v>35000</v>
      </c>
      <c r="BV27" s="410">
        <f>IF(BV$8&lt;=LatestMonthOfActuals,SUMIFS('Data Summary'!BA$77:BA$105,dataGLBSAcctIDs,$E27),BU27+BV20)</f>
        <v>50000</v>
      </c>
      <c r="BW27" s="410">
        <f>IF(BW$8&lt;=LatestMonthOfActuals,SUMIFS('Data Summary'!BB$77:BB$105,dataGLBSAcctIDs,$E27),BV27+BW20)</f>
        <v>50000</v>
      </c>
      <c r="BX27" s="410">
        <f>IF(BX$8&lt;=LatestMonthOfActuals,SUMIFS('Data Summary'!BC$77:BC$105,dataGLBSAcctIDs,$E27),BW27+BX20)</f>
        <v>50000</v>
      </c>
      <c r="BY27" s="410">
        <f>IF(BY$8&lt;=LatestMonthOfActuals,SUMIFS('Data Summary'!BD$77:BD$105,dataGLBSAcctIDs,$E27),BX27+BY20)</f>
        <v>50000</v>
      </c>
      <c r="BZ27" s="410">
        <f>IF(BZ$8&lt;=LatestMonthOfActuals,SUMIFS('Data Summary'!BE$77:BE$105,dataGLBSAcctIDs,$E27),BY27+BZ20)</f>
        <v>50000</v>
      </c>
      <c r="CA27" s="410">
        <f>IF(CA$8&lt;=LatestMonthOfActuals,SUMIFS('Data Summary'!BF$77:BF$105,dataGLBSAcctIDs,$E27),BZ27+CA20)</f>
        <v>50000</v>
      </c>
      <c r="CB27" s="410">
        <f>IF(CB$8&lt;=LatestMonthOfActuals,SUMIFS('Data Summary'!BG$77:BG$105,dataGLBSAcctIDs,$E27),CA27+CB20)</f>
        <v>50000</v>
      </c>
      <c r="CC27" s="410">
        <f>IF(CC$8&lt;=LatestMonthOfActuals,SUMIFS('Data Summary'!BH$77:BH$105,dataGLBSAcctIDs,$E27),CB27+CC20)</f>
        <v>50000</v>
      </c>
    </row>
    <row r="28" spans="2:81" outlineLevel="1">
      <c r="C28" s="502" t="str">
        <f>C13</f>
        <v>Equipment</v>
      </c>
      <c r="E28" s="502" cm="1">
        <f t="array" ref="E28">INDEX(FixedAssets[Asset ID],_xlfn.XMATCH($C28,FixedAssets[Asset]))</f>
        <v>154</v>
      </c>
      <c r="F28" s="502" cm="1">
        <f t="array" ref="F28">INDEX(FixedAssets[Depreciation
/ Amortization ID],_xlfn.XMATCH($C28,FixedAssets[Asset]))</f>
        <v>191</v>
      </c>
      <c r="G28" s="502" cm="1">
        <f t="array" ref="G28">INDEX(FixedAssets[Accumulated Depreciation
/ Amortization ID],_xlfn.XMATCH($C28,FixedAssets[Asset]))</f>
        <v>194</v>
      </c>
      <c r="J28" s="504" cm="1">
        <f t="array" ref="J28">INDEX($AH28:$CC28,_xlfn.XMATCH(J$5,$AH$5:$CC$5))</f>
        <v>8000</v>
      </c>
      <c r="K28" s="504" cm="1">
        <f t="array" ref="K28">INDEX($AH28:$CC28,_xlfn.XMATCH(K$5,$AH$5:$CC$5))</f>
        <v>8000</v>
      </c>
      <c r="L28" s="504" cm="1">
        <f t="array" ref="L28">INDEX($AH28:$CC28,_xlfn.XMATCH(L$5,$AH$5:$CC$5))</f>
        <v>8000</v>
      </c>
      <c r="M28" s="504" cm="1">
        <f t="array" ref="M28">INDEX($AH28:$CC28,_xlfn.XMATCH(M$5,$AH$5:$CC$5))</f>
        <v>18000</v>
      </c>
      <c r="N28" s="504"/>
      <c r="O28" s="504"/>
      <c r="P28" s="504" cm="1">
        <f t="array" ref="P28">INDEX($AH28:$CC28,_xlfn.XMATCH(P$5,$AH$5:$CC$5))</f>
        <v>0</v>
      </c>
      <c r="Q28" s="504" cm="1">
        <f t="array" ref="Q28">INDEX($AH28:$CC28,_xlfn.XMATCH(Q$5,$AH$5:$CC$5))</f>
        <v>8000</v>
      </c>
      <c r="R28" s="504" cm="1">
        <f t="array" ref="R28">INDEX($AH28:$CC28,_xlfn.XMATCH(R$5,$AH$5:$CC$5))</f>
        <v>8000</v>
      </c>
      <c r="S28" s="504" cm="1">
        <f t="array" ref="S28">INDEX($AH28:$CC28,_xlfn.XMATCH(S$5,$AH$5:$CC$5))</f>
        <v>8000</v>
      </c>
      <c r="T28" s="504" cm="1">
        <f t="array" ref="T28">INDEX($AH28:$CC28,_xlfn.XMATCH(T$5,$AH$5:$CC$5))</f>
        <v>8000</v>
      </c>
      <c r="U28" s="504" cm="1">
        <f t="array" ref="U28">INDEX($AH28:$CC28,_xlfn.XMATCH(U$5,$AH$5:$CC$5))</f>
        <v>8000</v>
      </c>
      <c r="V28" s="504" cm="1">
        <f t="array" ref="V28">INDEX($AH28:$CC28,_xlfn.XMATCH(V$5,$AH$5:$CC$5))</f>
        <v>8000</v>
      </c>
      <c r="W28" s="504" cm="1">
        <f t="array" ref="W28">INDEX($AH28:$CC28,_xlfn.XMATCH(W$5,$AH$5:$CC$5))</f>
        <v>8000</v>
      </c>
      <c r="X28" s="504" cm="1">
        <f t="array" ref="X28">INDEX($AH28:$CC28,_xlfn.XMATCH(X$5,$AH$5:$CC$5))</f>
        <v>8000</v>
      </c>
      <c r="Y28" s="504" cm="1">
        <f t="array" ref="Y28">INDEX($AH28:$CC28,_xlfn.XMATCH(Y$5,$AH$5:$CC$5))</f>
        <v>8000</v>
      </c>
      <c r="Z28" s="504" cm="1">
        <f t="array" ref="Z28">INDEX($AH28:$CC28,_xlfn.XMATCH(Z$5,$AH$5:$CC$5))</f>
        <v>8000</v>
      </c>
      <c r="AA28" s="504" cm="1">
        <f t="array" ref="AA28">INDEX($AH28:$CC28,_xlfn.XMATCH(AA$5,$AH$5:$CC$5))</f>
        <v>8000</v>
      </c>
      <c r="AB28" s="504" cm="1">
        <f t="array" ref="AB28">INDEX($AH28:$CC28,_xlfn.XMATCH(AB$5,$AH$5:$CC$5))</f>
        <v>18000</v>
      </c>
      <c r="AC28" s="504" cm="1">
        <f t="array" ref="AC28">INDEX($AH28:$CC28,_xlfn.XMATCH(AC$5,$AH$5:$CC$5))</f>
        <v>18000</v>
      </c>
      <c r="AD28" s="504" cm="1">
        <f t="array" ref="AD28">INDEX($AH28:$CC28,_xlfn.XMATCH(AD$5,$AH$5:$CC$5))</f>
        <v>18000</v>
      </c>
      <c r="AE28" s="504" cm="1">
        <f t="array" ref="AE28">INDEX($AH28:$CC28,_xlfn.XMATCH(AE$5,$AH$5:$CC$5))</f>
        <v>18000</v>
      </c>
      <c r="AH28" s="410">
        <f>IF(AH$8&lt;=LatestMonthOfActuals,SUMIFS('Data Summary'!M$77:M$105,dataGLBSAcctIDs,$E28),AG28+AH21)</f>
        <v>0</v>
      </c>
      <c r="AI28" s="410">
        <f>IF(AI$8&lt;=LatestMonthOfActuals,SUMIFS('Data Summary'!N$77:N$105,dataGLBSAcctIDs,$E28),AH28+AI21)</f>
        <v>0</v>
      </c>
      <c r="AJ28" s="410">
        <f>IF(AJ$8&lt;=LatestMonthOfActuals,SUMIFS('Data Summary'!O$77:O$105,dataGLBSAcctIDs,$E28),AI28+AJ21)</f>
        <v>0</v>
      </c>
      <c r="AK28" s="410">
        <f>IF(AK$8&lt;=LatestMonthOfActuals,SUMIFS('Data Summary'!P$77:P$105,dataGLBSAcctIDs,$E28),AJ28+AK21)</f>
        <v>0</v>
      </c>
      <c r="AL28" s="410">
        <f>IF(AL$8&lt;=LatestMonthOfActuals,SUMIFS('Data Summary'!Q$77:Q$105,dataGLBSAcctIDs,$E28),AK28+AL21)</f>
        <v>0</v>
      </c>
      <c r="AM28" s="410">
        <f>IF(AM$8&lt;=LatestMonthOfActuals,SUMIFS('Data Summary'!R$77:R$105,dataGLBSAcctIDs,$E28),AL28+AM21)</f>
        <v>8000</v>
      </c>
      <c r="AN28" s="410">
        <f>IF(AN$8&lt;=LatestMonthOfActuals,SUMIFS('Data Summary'!S$77:S$105,dataGLBSAcctIDs,$E28),AM28+AN21)</f>
        <v>8000</v>
      </c>
      <c r="AO28" s="410">
        <f>IF(AO$8&lt;=LatestMonthOfActuals,SUMIFS('Data Summary'!T$77:T$105,dataGLBSAcctIDs,$E28),AN28+AO21)</f>
        <v>8000</v>
      </c>
      <c r="AP28" s="410">
        <f>IF(AP$8&lt;=LatestMonthOfActuals,SUMIFS('Data Summary'!U$77:U$105,dataGLBSAcctIDs,$E28),AO28+AP21)</f>
        <v>8000</v>
      </c>
      <c r="AQ28" s="410">
        <f>IF(AQ$8&lt;=LatestMonthOfActuals,SUMIFS('Data Summary'!V$77:V$105,dataGLBSAcctIDs,$E28),AP28+AQ21)</f>
        <v>8000</v>
      </c>
      <c r="AR28" s="410">
        <f>IF(AR$8&lt;=LatestMonthOfActuals,SUMIFS('Data Summary'!W$77:W$105,dataGLBSAcctIDs,$E28),AQ28+AR21)</f>
        <v>8000</v>
      </c>
      <c r="AS28" s="410">
        <f>IF(AS$8&lt;=LatestMonthOfActuals,SUMIFS('Data Summary'!X$77:X$105,dataGLBSAcctIDs,$E28),AR28+AS21)</f>
        <v>8000</v>
      </c>
      <c r="AT28" s="410">
        <f>IF(AT$8&lt;=LatestMonthOfActuals,SUMIFS('Data Summary'!Y$77:Y$105,dataGLBSAcctIDs,$E28),AS28+AT21)</f>
        <v>10000</v>
      </c>
      <c r="AU28" s="410">
        <f>IF(AU$8&lt;=LatestMonthOfActuals,SUMIFS('Data Summary'!Z$77:Z$105,dataGLBSAcctIDs,$E28),AT28+AU21)</f>
        <v>8000</v>
      </c>
      <c r="AV28" s="410">
        <f>IF(AV$8&lt;=LatestMonthOfActuals,SUMIFS('Data Summary'!AA$77:AA$105,dataGLBSAcctIDs,$E28),AU28+AV21)</f>
        <v>8000</v>
      </c>
      <c r="AW28" s="410">
        <f>IF(AW$8&lt;=LatestMonthOfActuals,SUMIFS('Data Summary'!AB$77:AB$105,dataGLBSAcctIDs,$E28),AV28+AW21)</f>
        <v>8000</v>
      </c>
      <c r="AX28" s="410">
        <f>IF(AX$8&lt;=LatestMonthOfActuals,SUMIFS('Data Summary'!AC$77:AC$105,dataGLBSAcctIDs,$E28),AW28+AX21)</f>
        <v>8000</v>
      </c>
      <c r="AY28" s="410">
        <f>IF(AY$8&lt;=LatestMonthOfActuals,SUMIFS('Data Summary'!AD$77:AD$105,dataGLBSAcctIDs,$E28),AX28+AY21)</f>
        <v>8000</v>
      </c>
      <c r="AZ28" s="410">
        <f>IF(AZ$8&lt;=LatestMonthOfActuals,SUMIFS('Data Summary'!AE$77:AE$105,dataGLBSAcctIDs,$E28),AY28+AZ21)</f>
        <v>8000</v>
      </c>
      <c r="BA28" s="410">
        <f>IF(BA$8&lt;=LatestMonthOfActuals,SUMIFS('Data Summary'!AF$77:AF$105,dataGLBSAcctIDs,$E28),AZ28+BA21)</f>
        <v>8000</v>
      </c>
      <c r="BB28" s="410">
        <f>IF(BB$8&lt;=LatestMonthOfActuals,SUMIFS('Data Summary'!AG$77:AG$105,dataGLBSAcctIDs,$E28),BA28+BB21)</f>
        <v>8000</v>
      </c>
      <c r="BC28" s="410">
        <f>IF(BC$8&lt;=LatestMonthOfActuals,SUMIFS('Data Summary'!AH$77:AH$105,dataGLBSAcctIDs,$E28),BB28+BC21)</f>
        <v>8000</v>
      </c>
      <c r="BD28" s="410">
        <f>IF(BD$8&lt;=LatestMonthOfActuals,SUMIFS('Data Summary'!AI$77:AI$105,dataGLBSAcctIDs,$E28),BC28+BD21)</f>
        <v>8000</v>
      </c>
      <c r="BE28" s="410">
        <f>IF(BE$8&lt;=LatestMonthOfActuals,SUMIFS('Data Summary'!AJ$77:AJ$105,dataGLBSAcctIDs,$E28),BD28+BE21)</f>
        <v>8000</v>
      </c>
      <c r="BF28" s="410">
        <f>IF(BF$8&lt;=LatestMonthOfActuals,SUMIFS('Data Summary'!AK$77:AK$105,dataGLBSAcctIDs,$E28),BE28+BF21)</f>
        <v>8000</v>
      </c>
      <c r="BG28" s="410">
        <f>IF(BG$8&lt;=LatestMonthOfActuals,SUMIFS('Data Summary'!AL$77:AL$105,dataGLBSAcctIDs,$E28),BF28+BG21)</f>
        <v>8000</v>
      </c>
      <c r="BH28" s="410">
        <f>IF(BH$8&lt;=LatestMonthOfActuals,SUMIFS('Data Summary'!AM$77:AM$105,dataGLBSAcctIDs,$E28),BG28+BH21)</f>
        <v>8000</v>
      </c>
      <c r="BI28" s="410">
        <f>IF(BI$8&lt;=LatestMonthOfActuals,SUMIFS('Data Summary'!AN$77:AN$105,dataGLBSAcctIDs,$E28),BH28+BI21)</f>
        <v>8000</v>
      </c>
      <c r="BJ28" s="410">
        <f>IF(BJ$8&lt;=LatestMonthOfActuals,SUMIFS('Data Summary'!AO$77:AO$105,dataGLBSAcctIDs,$E28),BI28+BJ21)</f>
        <v>8000</v>
      </c>
      <c r="BK28" s="410">
        <f>IF(BK$8&lt;=LatestMonthOfActuals,SUMIFS('Data Summary'!AP$77:AP$105,dataGLBSAcctIDs,$E28),BJ28+BK21)</f>
        <v>8000</v>
      </c>
      <c r="BL28" s="410">
        <f>IF(BL$8&lt;=LatestMonthOfActuals,SUMIFS('Data Summary'!AQ$77:AQ$105,dataGLBSAcctIDs,$E28),BK28+BL21)</f>
        <v>8000</v>
      </c>
      <c r="BM28" s="410">
        <f>IF(BM$8&lt;=LatestMonthOfActuals,SUMIFS('Data Summary'!AR$77:AR$105,dataGLBSAcctIDs,$E28),BL28+BM21)</f>
        <v>8000</v>
      </c>
      <c r="BN28" s="410">
        <f>IF(BN$8&lt;=LatestMonthOfActuals,SUMIFS('Data Summary'!AS$77:AS$105,dataGLBSAcctIDs,$E28),BM28+BN21)</f>
        <v>8000</v>
      </c>
      <c r="BO28" s="410">
        <f>IF(BO$8&lt;=LatestMonthOfActuals,SUMIFS('Data Summary'!AT$77:AT$105,dataGLBSAcctIDs,$E28),BN28+BO21)</f>
        <v>8000</v>
      </c>
      <c r="BP28" s="410">
        <f>IF(BP$8&lt;=LatestMonthOfActuals,SUMIFS('Data Summary'!AU$77:AU$105,dataGLBSAcctIDs,$E28),BO28+BP21)</f>
        <v>8000</v>
      </c>
      <c r="BQ28" s="410">
        <f>IF(BQ$8&lt;=LatestMonthOfActuals,SUMIFS('Data Summary'!AV$77:AV$105,dataGLBSAcctIDs,$E28),BP28+BQ21)</f>
        <v>8000</v>
      </c>
      <c r="BR28" s="410">
        <f>IF(BR$8&lt;=LatestMonthOfActuals,SUMIFS('Data Summary'!AW$77:AW$105,dataGLBSAcctIDs,$E28),BQ28+BR21)</f>
        <v>8000</v>
      </c>
      <c r="BS28" s="410">
        <f>IF(BS$8&lt;=LatestMonthOfActuals,SUMIFS('Data Summary'!AX$77:AX$105,dataGLBSAcctIDs,$E28),BR28+BS21)</f>
        <v>18000</v>
      </c>
      <c r="BT28" s="410">
        <f>IF(BT$8&lt;=LatestMonthOfActuals,SUMIFS('Data Summary'!AY$77:AY$105,dataGLBSAcctIDs,$E28),BS28+BT21)</f>
        <v>18000</v>
      </c>
      <c r="BU28" s="410">
        <f>IF(BU$8&lt;=LatestMonthOfActuals,SUMIFS('Data Summary'!AZ$77:AZ$105,dataGLBSAcctIDs,$E28),BT28+BU21)</f>
        <v>18000</v>
      </c>
      <c r="BV28" s="410">
        <f>IF(BV$8&lt;=LatestMonthOfActuals,SUMIFS('Data Summary'!BA$77:BA$105,dataGLBSAcctIDs,$E28),BU28+BV21)</f>
        <v>18000</v>
      </c>
      <c r="BW28" s="410">
        <f>IF(BW$8&lt;=LatestMonthOfActuals,SUMIFS('Data Summary'!BB$77:BB$105,dataGLBSAcctIDs,$E28),BV28+BW21)</f>
        <v>18000</v>
      </c>
      <c r="BX28" s="410">
        <f>IF(BX$8&lt;=LatestMonthOfActuals,SUMIFS('Data Summary'!BC$77:BC$105,dataGLBSAcctIDs,$E28),BW28+BX21)</f>
        <v>18000</v>
      </c>
      <c r="BY28" s="410">
        <f>IF(BY$8&lt;=LatestMonthOfActuals,SUMIFS('Data Summary'!BD$77:BD$105,dataGLBSAcctIDs,$E28),BX28+BY21)</f>
        <v>18000</v>
      </c>
      <c r="BZ28" s="410">
        <f>IF(BZ$8&lt;=LatestMonthOfActuals,SUMIFS('Data Summary'!BE$77:BE$105,dataGLBSAcctIDs,$E28),BY28+BZ21)</f>
        <v>18000</v>
      </c>
      <c r="CA28" s="410">
        <f>IF(CA$8&lt;=LatestMonthOfActuals,SUMIFS('Data Summary'!BF$77:BF$105,dataGLBSAcctIDs,$E28),BZ28+CA21)</f>
        <v>18000</v>
      </c>
      <c r="CB28" s="410">
        <f>IF(CB$8&lt;=LatestMonthOfActuals,SUMIFS('Data Summary'!BG$77:BG$105,dataGLBSAcctIDs,$E28),CA28+CB21)</f>
        <v>18000</v>
      </c>
      <c r="CC28" s="410">
        <f>IF(CC$8&lt;=LatestMonthOfActuals,SUMIFS('Data Summary'!BH$77:BH$105,dataGLBSAcctIDs,$E28),CB28+CC21)</f>
        <v>18000</v>
      </c>
    </row>
    <row r="29" spans="2:81" outlineLevel="1">
      <c r="C29" s="502" t="str">
        <f t="shared" ref="C29:C30" si="20">C14</f>
        <v>Copyrights</v>
      </c>
      <c r="E29" s="502" cm="1">
        <f t="array" ref="E29">INDEX(FixedAssets[Asset ID],_xlfn.XMATCH($C29,FixedAssets[Asset]))</f>
        <v>60</v>
      </c>
      <c r="F29" s="502" cm="1">
        <f t="array" ref="F29">INDEX(FixedAssets[Depreciation
/ Amortization ID],_xlfn.XMATCH($C29,FixedAssets[Asset]))</f>
        <v>191</v>
      </c>
      <c r="G29" s="502" cm="1">
        <f t="array" ref="G29">INDEX(FixedAssets[Accumulated Depreciation
/ Amortization ID],_xlfn.XMATCH($C29,FixedAssets[Asset]))</f>
        <v>194</v>
      </c>
      <c r="J29" s="504" cm="1">
        <f t="array" ref="J29">INDEX($AH29:$CC29,_xlfn.XMATCH(J$5,$AH$5:$CC$5))</f>
        <v>52718</v>
      </c>
      <c r="K29" s="504" cm="1">
        <f t="array" ref="K29">INDEX($AH29:$CC29,_xlfn.XMATCH(K$5,$AH$5:$CC$5))</f>
        <v>52718</v>
      </c>
      <c r="L29" s="504" cm="1">
        <f t="array" ref="L29">INDEX($AH29:$CC29,_xlfn.XMATCH(L$5,$AH$5:$CC$5))</f>
        <v>52718</v>
      </c>
      <c r="M29" s="504" cm="1">
        <f t="array" ref="M29">INDEX($AH29:$CC29,_xlfn.XMATCH(M$5,$AH$5:$CC$5))</f>
        <v>52718</v>
      </c>
      <c r="N29" s="504"/>
      <c r="O29" s="504"/>
      <c r="P29" s="504" cm="1">
        <f t="array" ref="P29">INDEX($AH29:$CC29,_xlfn.XMATCH(P$5,$AH$5:$CC$5))</f>
        <v>52718</v>
      </c>
      <c r="Q29" s="504" cm="1">
        <f t="array" ref="Q29">INDEX($AH29:$CC29,_xlfn.XMATCH(Q$5,$AH$5:$CC$5))</f>
        <v>52718</v>
      </c>
      <c r="R29" s="504" cm="1">
        <f t="array" ref="R29">INDEX($AH29:$CC29,_xlfn.XMATCH(R$5,$AH$5:$CC$5))</f>
        <v>52718</v>
      </c>
      <c r="S29" s="504" cm="1">
        <f t="array" ref="S29">INDEX($AH29:$CC29,_xlfn.XMATCH(S$5,$AH$5:$CC$5))</f>
        <v>52718</v>
      </c>
      <c r="T29" s="504" cm="1">
        <f t="array" ref="T29">INDEX($AH29:$CC29,_xlfn.XMATCH(T$5,$AH$5:$CC$5))</f>
        <v>52718</v>
      </c>
      <c r="U29" s="504" cm="1">
        <f t="array" ref="U29">INDEX($AH29:$CC29,_xlfn.XMATCH(U$5,$AH$5:$CC$5))</f>
        <v>52718</v>
      </c>
      <c r="V29" s="504" cm="1">
        <f t="array" ref="V29">INDEX($AH29:$CC29,_xlfn.XMATCH(V$5,$AH$5:$CC$5))</f>
        <v>52718</v>
      </c>
      <c r="W29" s="504" cm="1">
        <f t="array" ref="W29">INDEX($AH29:$CC29,_xlfn.XMATCH(W$5,$AH$5:$CC$5))</f>
        <v>52718</v>
      </c>
      <c r="X29" s="504" cm="1">
        <f t="array" ref="X29">INDEX($AH29:$CC29,_xlfn.XMATCH(X$5,$AH$5:$CC$5))</f>
        <v>52718</v>
      </c>
      <c r="Y29" s="504" cm="1">
        <f t="array" ref="Y29">INDEX($AH29:$CC29,_xlfn.XMATCH(Y$5,$AH$5:$CC$5))</f>
        <v>52718</v>
      </c>
      <c r="Z29" s="504" cm="1">
        <f t="array" ref="Z29">INDEX($AH29:$CC29,_xlfn.XMATCH(Z$5,$AH$5:$CC$5))</f>
        <v>52718</v>
      </c>
      <c r="AA29" s="504" cm="1">
        <f t="array" ref="AA29">INDEX($AH29:$CC29,_xlfn.XMATCH(AA$5,$AH$5:$CC$5))</f>
        <v>52718</v>
      </c>
      <c r="AB29" s="504" cm="1">
        <f t="array" ref="AB29">INDEX($AH29:$CC29,_xlfn.XMATCH(AB$5,$AH$5:$CC$5))</f>
        <v>52718</v>
      </c>
      <c r="AC29" s="504" cm="1">
        <f t="array" ref="AC29">INDEX($AH29:$CC29,_xlfn.XMATCH(AC$5,$AH$5:$CC$5))</f>
        <v>52718</v>
      </c>
      <c r="AD29" s="504" cm="1">
        <f t="array" ref="AD29">INDEX($AH29:$CC29,_xlfn.XMATCH(AD$5,$AH$5:$CC$5))</f>
        <v>52718</v>
      </c>
      <c r="AE29" s="504" cm="1">
        <f t="array" ref="AE29">INDEX($AH29:$CC29,_xlfn.XMATCH(AE$5,$AH$5:$CC$5))</f>
        <v>52718</v>
      </c>
      <c r="AH29" s="410">
        <f>IF(AH$8&lt;=LatestMonthOfActuals,SUMIFS('Data Summary'!M$77:M$105,dataGLBSAcctIDs,$E29),AG29+AH22)</f>
        <v>52718</v>
      </c>
      <c r="AI29" s="410">
        <f>IF(AI$8&lt;=LatestMonthOfActuals,SUMIFS('Data Summary'!N$77:N$105,dataGLBSAcctIDs,$E29),AH29+AI22)</f>
        <v>52718</v>
      </c>
      <c r="AJ29" s="410">
        <f>IF(AJ$8&lt;=LatestMonthOfActuals,SUMIFS('Data Summary'!O$77:O$105,dataGLBSAcctIDs,$E29),AI29+AJ22)</f>
        <v>52718</v>
      </c>
      <c r="AK29" s="410">
        <f>IF(AK$8&lt;=LatestMonthOfActuals,SUMIFS('Data Summary'!P$77:P$105,dataGLBSAcctIDs,$E29),AJ29+AK22)</f>
        <v>52718</v>
      </c>
      <c r="AL29" s="410">
        <f>IF(AL$8&lt;=LatestMonthOfActuals,SUMIFS('Data Summary'!Q$77:Q$105,dataGLBSAcctIDs,$E29),AK29+AL22)</f>
        <v>52718</v>
      </c>
      <c r="AM29" s="410">
        <f>IF(AM$8&lt;=LatestMonthOfActuals,SUMIFS('Data Summary'!R$77:R$105,dataGLBSAcctIDs,$E29),AL29+AM22)</f>
        <v>52718</v>
      </c>
      <c r="AN29" s="410">
        <f>IF(AN$8&lt;=LatestMonthOfActuals,SUMIFS('Data Summary'!S$77:S$105,dataGLBSAcctIDs,$E29),AM29+AN22)</f>
        <v>52718</v>
      </c>
      <c r="AO29" s="410">
        <f>IF(AO$8&lt;=LatestMonthOfActuals,SUMIFS('Data Summary'!T$77:T$105,dataGLBSAcctIDs,$E29),AN29+AO22)</f>
        <v>52718</v>
      </c>
      <c r="AP29" s="410">
        <f>IF(AP$8&lt;=LatestMonthOfActuals,SUMIFS('Data Summary'!U$77:U$105,dataGLBSAcctIDs,$E29),AO29+AP22)</f>
        <v>52718</v>
      </c>
      <c r="AQ29" s="410">
        <f>IF(AQ$8&lt;=LatestMonthOfActuals,SUMIFS('Data Summary'!V$77:V$105,dataGLBSAcctIDs,$E29),AP29+AQ22)</f>
        <v>52718</v>
      </c>
      <c r="AR29" s="410">
        <f>IF(AR$8&lt;=LatestMonthOfActuals,SUMIFS('Data Summary'!W$77:W$105,dataGLBSAcctIDs,$E29),AQ29+AR22)</f>
        <v>52718</v>
      </c>
      <c r="AS29" s="410">
        <f>IF(AS$8&lt;=LatestMonthOfActuals,SUMIFS('Data Summary'!X$77:X$105,dataGLBSAcctIDs,$E29),AR29+AS22)</f>
        <v>52718</v>
      </c>
      <c r="AT29" s="410">
        <f>IF(AT$8&lt;=LatestMonthOfActuals,SUMIFS('Data Summary'!Y$77:Y$105,dataGLBSAcctIDs,$E29),AS29+AT22)</f>
        <v>52718</v>
      </c>
      <c r="AU29" s="410">
        <f>IF(AU$8&lt;=LatestMonthOfActuals,SUMIFS('Data Summary'!Z$77:Z$105,dataGLBSAcctIDs,$E29),AT29+AU22)</f>
        <v>52718</v>
      </c>
      <c r="AV29" s="410">
        <f>IF(AV$8&lt;=LatestMonthOfActuals,SUMIFS('Data Summary'!AA$77:AA$105,dataGLBSAcctIDs,$E29),AU29+AV22)</f>
        <v>52718</v>
      </c>
      <c r="AW29" s="410">
        <f>IF(AW$8&lt;=LatestMonthOfActuals,SUMIFS('Data Summary'!AB$77:AB$105,dataGLBSAcctIDs,$E29),AV29+AW22)</f>
        <v>52718</v>
      </c>
      <c r="AX29" s="410">
        <f>IF(AX$8&lt;=LatestMonthOfActuals,SUMIFS('Data Summary'!AC$77:AC$105,dataGLBSAcctIDs,$E29),AW29+AX22)</f>
        <v>52718</v>
      </c>
      <c r="AY29" s="410">
        <f>IF(AY$8&lt;=LatestMonthOfActuals,SUMIFS('Data Summary'!AD$77:AD$105,dataGLBSAcctIDs,$E29),AX29+AY22)</f>
        <v>52718</v>
      </c>
      <c r="AZ29" s="410">
        <f>IF(AZ$8&lt;=LatestMonthOfActuals,SUMIFS('Data Summary'!AE$77:AE$105,dataGLBSAcctIDs,$E29),AY29+AZ22)</f>
        <v>52718</v>
      </c>
      <c r="BA29" s="410">
        <f>IF(BA$8&lt;=LatestMonthOfActuals,SUMIFS('Data Summary'!AF$77:AF$105,dataGLBSAcctIDs,$E29),AZ29+BA22)</f>
        <v>52718</v>
      </c>
      <c r="BB29" s="410">
        <f>IF(BB$8&lt;=LatestMonthOfActuals,SUMIFS('Data Summary'!AG$77:AG$105,dataGLBSAcctIDs,$E29),BA29+BB22)</f>
        <v>52718</v>
      </c>
      <c r="BC29" s="410">
        <f>IF(BC$8&lt;=LatestMonthOfActuals,SUMIFS('Data Summary'!AH$77:AH$105,dataGLBSAcctIDs,$E29),BB29+BC22)</f>
        <v>52718</v>
      </c>
      <c r="BD29" s="410">
        <f>IF(BD$8&lt;=LatestMonthOfActuals,SUMIFS('Data Summary'!AI$77:AI$105,dataGLBSAcctIDs,$E29),BC29+BD22)</f>
        <v>52718</v>
      </c>
      <c r="BE29" s="410">
        <f>IF(BE$8&lt;=LatestMonthOfActuals,SUMIFS('Data Summary'!AJ$77:AJ$105,dataGLBSAcctIDs,$E29),BD29+BE22)</f>
        <v>52718</v>
      </c>
      <c r="BF29" s="410">
        <f>IF(BF$8&lt;=LatestMonthOfActuals,SUMIFS('Data Summary'!AK$77:AK$105,dataGLBSAcctIDs,$E29),BE29+BF22)</f>
        <v>52718</v>
      </c>
      <c r="BG29" s="410">
        <f>IF(BG$8&lt;=LatestMonthOfActuals,SUMIFS('Data Summary'!AL$77:AL$105,dataGLBSAcctIDs,$E29),BF29+BG22)</f>
        <v>52718</v>
      </c>
      <c r="BH29" s="410">
        <f>IF(BH$8&lt;=LatestMonthOfActuals,SUMIFS('Data Summary'!AM$77:AM$105,dataGLBSAcctIDs,$E29),BG29+BH22)</f>
        <v>52718</v>
      </c>
      <c r="BI29" s="410">
        <f>IF(BI$8&lt;=LatestMonthOfActuals,SUMIFS('Data Summary'!AN$77:AN$105,dataGLBSAcctIDs,$E29),BH29+BI22)</f>
        <v>52718</v>
      </c>
      <c r="BJ29" s="410">
        <f>IF(BJ$8&lt;=LatestMonthOfActuals,SUMIFS('Data Summary'!AO$77:AO$105,dataGLBSAcctIDs,$E29),BI29+BJ22)</f>
        <v>52718</v>
      </c>
      <c r="BK29" s="410">
        <f>IF(BK$8&lt;=LatestMonthOfActuals,SUMIFS('Data Summary'!AP$77:AP$105,dataGLBSAcctIDs,$E29),BJ29+BK22)</f>
        <v>52718</v>
      </c>
      <c r="BL29" s="410">
        <f>IF(BL$8&lt;=LatestMonthOfActuals,SUMIFS('Data Summary'!AQ$77:AQ$105,dataGLBSAcctIDs,$E29),BK29+BL22)</f>
        <v>52718</v>
      </c>
      <c r="BM29" s="410">
        <f>IF(BM$8&lt;=LatestMonthOfActuals,SUMIFS('Data Summary'!AR$77:AR$105,dataGLBSAcctIDs,$E29),BL29+BM22)</f>
        <v>52718</v>
      </c>
      <c r="BN29" s="410">
        <f>IF(BN$8&lt;=LatestMonthOfActuals,SUMIFS('Data Summary'!AS$77:AS$105,dataGLBSAcctIDs,$E29),BM29+BN22)</f>
        <v>52718</v>
      </c>
      <c r="BO29" s="410">
        <f>IF(BO$8&lt;=LatestMonthOfActuals,SUMIFS('Data Summary'!AT$77:AT$105,dataGLBSAcctIDs,$E29),BN29+BO22)</f>
        <v>52718</v>
      </c>
      <c r="BP29" s="410">
        <f>IF(BP$8&lt;=LatestMonthOfActuals,SUMIFS('Data Summary'!AU$77:AU$105,dataGLBSAcctIDs,$E29),BO29+BP22)</f>
        <v>52718</v>
      </c>
      <c r="BQ29" s="410">
        <f>IF(BQ$8&lt;=LatestMonthOfActuals,SUMIFS('Data Summary'!AV$77:AV$105,dataGLBSAcctIDs,$E29),BP29+BQ22)</f>
        <v>52718</v>
      </c>
      <c r="BR29" s="410">
        <f>IF(BR$8&lt;=LatestMonthOfActuals,SUMIFS('Data Summary'!AW$77:AW$105,dataGLBSAcctIDs,$E29),BQ29+BR22)</f>
        <v>52718</v>
      </c>
      <c r="BS29" s="410">
        <f>IF(BS$8&lt;=LatestMonthOfActuals,SUMIFS('Data Summary'!AX$77:AX$105,dataGLBSAcctIDs,$E29),BR29+BS22)</f>
        <v>52718</v>
      </c>
      <c r="BT29" s="410">
        <f>IF(BT$8&lt;=LatestMonthOfActuals,SUMIFS('Data Summary'!AY$77:AY$105,dataGLBSAcctIDs,$E29),BS29+BT22)</f>
        <v>52718</v>
      </c>
      <c r="BU29" s="410">
        <f>IF(BU$8&lt;=LatestMonthOfActuals,SUMIFS('Data Summary'!AZ$77:AZ$105,dataGLBSAcctIDs,$E29),BT29+BU22)</f>
        <v>52718</v>
      </c>
      <c r="BV29" s="410">
        <f>IF(BV$8&lt;=LatestMonthOfActuals,SUMIFS('Data Summary'!BA$77:BA$105,dataGLBSAcctIDs,$E29),BU29+BV22)</f>
        <v>52718</v>
      </c>
      <c r="BW29" s="410">
        <f>IF(BW$8&lt;=LatestMonthOfActuals,SUMIFS('Data Summary'!BB$77:BB$105,dataGLBSAcctIDs,$E29),BV29+BW22)</f>
        <v>52718</v>
      </c>
      <c r="BX29" s="410">
        <f>IF(BX$8&lt;=LatestMonthOfActuals,SUMIFS('Data Summary'!BC$77:BC$105,dataGLBSAcctIDs,$E29),BW29+BX22)</f>
        <v>52718</v>
      </c>
      <c r="BY29" s="410">
        <f>IF(BY$8&lt;=LatestMonthOfActuals,SUMIFS('Data Summary'!BD$77:BD$105,dataGLBSAcctIDs,$E29),BX29+BY22)</f>
        <v>52718</v>
      </c>
      <c r="BZ29" s="410">
        <f>IF(BZ$8&lt;=LatestMonthOfActuals,SUMIFS('Data Summary'!BE$77:BE$105,dataGLBSAcctIDs,$E29),BY29+BZ22)</f>
        <v>52718</v>
      </c>
      <c r="CA29" s="410">
        <f>IF(CA$8&lt;=LatestMonthOfActuals,SUMIFS('Data Summary'!BF$77:BF$105,dataGLBSAcctIDs,$E29),BZ29+CA22)</f>
        <v>52718</v>
      </c>
      <c r="CB29" s="410">
        <f>IF(CB$8&lt;=LatestMonthOfActuals,SUMIFS('Data Summary'!BG$77:BG$105,dataGLBSAcctIDs,$E29),CA29+CB22)</f>
        <v>52718</v>
      </c>
      <c r="CC29" s="410">
        <f>IF(CC$8&lt;=LatestMonthOfActuals,SUMIFS('Data Summary'!BH$77:BH$105,dataGLBSAcctIDs,$E29),CB29+CC22)</f>
        <v>52718</v>
      </c>
    </row>
    <row r="30" spans="2:81" outlineLevel="1">
      <c r="C30" s="502" t="str">
        <f t="shared" si="20"/>
        <v>Trademarks</v>
      </c>
      <c r="E30" s="502" cm="1">
        <f t="array" ref="E30">INDEX(FixedAssets[Asset ID],_xlfn.XMATCH($C30,FixedAssets[Asset]))</f>
        <v>1150040001</v>
      </c>
      <c r="F30" s="502" cm="1">
        <f t="array" ref="F30">INDEX(FixedAssets[Depreciation
/ Amortization ID],_xlfn.XMATCH($C30,FixedAssets[Asset]))</f>
        <v>191</v>
      </c>
      <c r="G30" s="502" cm="1">
        <f t="array" ref="G30">INDEX(FixedAssets[Accumulated Depreciation
/ Amortization ID],_xlfn.XMATCH($C30,FixedAssets[Asset]))</f>
        <v>194</v>
      </c>
      <c r="J30" s="504" cm="1">
        <f t="array" ref="J30">INDEX($AH30:$CC30,_xlfn.XMATCH(J$5,$AH$5:$CC$5))</f>
        <v>7951</v>
      </c>
      <c r="K30" s="504" cm="1">
        <f t="array" ref="K30">INDEX($AH30:$CC30,_xlfn.XMATCH(K$5,$AH$5:$CC$5))</f>
        <v>7951</v>
      </c>
      <c r="L30" s="504" cm="1">
        <f t="array" ref="L30">INDEX($AH30:$CC30,_xlfn.XMATCH(L$5,$AH$5:$CC$5))</f>
        <v>7951</v>
      </c>
      <c r="M30" s="504" cm="1">
        <f t="array" ref="M30">INDEX($AH30:$CC30,_xlfn.XMATCH(M$5,$AH$5:$CC$5))</f>
        <v>7951</v>
      </c>
      <c r="N30" s="504"/>
      <c r="O30" s="504"/>
      <c r="P30" s="504" cm="1">
        <f t="array" ref="P30">INDEX($AH30:$CC30,_xlfn.XMATCH(P$5,$AH$5:$CC$5))</f>
        <v>7951</v>
      </c>
      <c r="Q30" s="504" cm="1">
        <f t="array" ref="Q30">INDEX($AH30:$CC30,_xlfn.XMATCH(Q$5,$AH$5:$CC$5))</f>
        <v>7951</v>
      </c>
      <c r="R30" s="504" cm="1">
        <f t="array" ref="R30">INDEX($AH30:$CC30,_xlfn.XMATCH(R$5,$AH$5:$CC$5))</f>
        <v>7951</v>
      </c>
      <c r="S30" s="504" cm="1">
        <f t="array" ref="S30">INDEX($AH30:$CC30,_xlfn.XMATCH(S$5,$AH$5:$CC$5))</f>
        <v>7951</v>
      </c>
      <c r="T30" s="504" cm="1">
        <f t="array" ref="T30">INDEX($AH30:$CC30,_xlfn.XMATCH(T$5,$AH$5:$CC$5))</f>
        <v>7951</v>
      </c>
      <c r="U30" s="504" cm="1">
        <f t="array" ref="U30">INDEX($AH30:$CC30,_xlfn.XMATCH(U$5,$AH$5:$CC$5))</f>
        <v>7951</v>
      </c>
      <c r="V30" s="504" cm="1">
        <f t="array" ref="V30">INDEX($AH30:$CC30,_xlfn.XMATCH(V$5,$AH$5:$CC$5))</f>
        <v>7951</v>
      </c>
      <c r="W30" s="504" cm="1">
        <f t="array" ref="W30">INDEX($AH30:$CC30,_xlfn.XMATCH(W$5,$AH$5:$CC$5))</f>
        <v>7951</v>
      </c>
      <c r="X30" s="504" cm="1">
        <f t="array" ref="X30">INDEX($AH30:$CC30,_xlfn.XMATCH(X$5,$AH$5:$CC$5))</f>
        <v>7951</v>
      </c>
      <c r="Y30" s="504" cm="1">
        <f t="array" ref="Y30">INDEX($AH30:$CC30,_xlfn.XMATCH(Y$5,$AH$5:$CC$5))</f>
        <v>7951</v>
      </c>
      <c r="Z30" s="504" cm="1">
        <f t="array" ref="Z30">INDEX($AH30:$CC30,_xlfn.XMATCH(Z$5,$AH$5:$CC$5))</f>
        <v>7951</v>
      </c>
      <c r="AA30" s="504" cm="1">
        <f t="array" ref="AA30">INDEX($AH30:$CC30,_xlfn.XMATCH(AA$5,$AH$5:$CC$5))</f>
        <v>7951</v>
      </c>
      <c r="AB30" s="504" cm="1">
        <f t="array" ref="AB30">INDEX($AH30:$CC30,_xlfn.XMATCH(AB$5,$AH$5:$CC$5))</f>
        <v>7951</v>
      </c>
      <c r="AC30" s="504" cm="1">
        <f t="array" ref="AC30">INDEX($AH30:$CC30,_xlfn.XMATCH(AC$5,$AH$5:$CC$5))</f>
        <v>7951</v>
      </c>
      <c r="AD30" s="504" cm="1">
        <f t="array" ref="AD30">INDEX($AH30:$CC30,_xlfn.XMATCH(AD$5,$AH$5:$CC$5))</f>
        <v>7951</v>
      </c>
      <c r="AE30" s="504" cm="1">
        <f t="array" ref="AE30">INDEX($AH30:$CC30,_xlfn.XMATCH(AE$5,$AH$5:$CC$5))</f>
        <v>7951</v>
      </c>
      <c r="AH30" s="410">
        <f>IF(AH$8&lt;=LatestMonthOfActuals,SUMIFS('Data Summary'!M$77:M$105,dataGLBSAcctIDs,$E30),AG30+AH23)</f>
        <v>7951</v>
      </c>
      <c r="AI30" s="410">
        <f>IF(AI$8&lt;=LatestMonthOfActuals,SUMIFS('Data Summary'!N$77:N$105,dataGLBSAcctIDs,$E30),AH30+AI23)</f>
        <v>7951</v>
      </c>
      <c r="AJ30" s="410">
        <f>IF(AJ$8&lt;=LatestMonthOfActuals,SUMIFS('Data Summary'!O$77:O$105,dataGLBSAcctIDs,$E30),AI30+AJ23)</f>
        <v>7951</v>
      </c>
      <c r="AK30" s="410">
        <f>IF(AK$8&lt;=LatestMonthOfActuals,SUMIFS('Data Summary'!P$77:P$105,dataGLBSAcctIDs,$E30),AJ30+AK23)</f>
        <v>7951</v>
      </c>
      <c r="AL30" s="410">
        <f>IF(AL$8&lt;=LatestMonthOfActuals,SUMIFS('Data Summary'!Q$77:Q$105,dataGLBSAcctIDs,$E30),AK30+AL23)</f>
        <v>7951</v>
      </c>
      <c r="AM30" s="410">
        <f>IF(AM$8&lt;=LatestMonthOfActuals,SUMIFS('Data Summary'!R$77:R$105,dataGLBSAcctIDs,$E30),AL30+AM23)</f>
        <v>7951</v>
      </c>
      <c r="AN30" s="410">
        <f>IF(AN$8&lt;=LatestMonthOfActuals,SUMIFS('Data Summary'!S$77:S$105,dataGLBSAcctIDs,$E30),AM30+AN23)</f>
        <v>7951</v>
      </c>
      <c r="AO30" s="410">
        <f>IF(AO$8&lt;=LatestMonthOfActuals,SUMIFS('Data Summary'!T$77:T$105,dataGLBSAcctIDs,$E30),AN30+AO23)</f>
        <v>7951</v>
      </c>
      <c r="AP30" s="410">
        <f>IF(AP$8&lt;=LatestMonthOfActuals,SUMIFS('Data Summary'!U$77:U$105,dataGLBSAcctIDs,$E30),AO30+AP23)</f>
        <v>7951</v>
      </c>
      <c r="AQ30" s="410">
        <f>IF(AQ$8&lt;=LatestMonthOfActuals,SUMIFS('Data Summary'!V$77:V$105,dataGLBSAcctIDs,$E30),AP30+AQ23)</f>
        <v>7951</v>
      </c>
      <c r="AR30" s="410">
        <f>IF(AR$8&lt;=LatestMonthOfActuals,SUMIFS('Data Summary'!W$77:W$105,dataGLBSAcctIDs,$E30),AQ30+AR23)</f>
        <v>7951</v>
      </c>
      <c r="AS30" s="410">
        <f>IF(AS$8&lt;=LatestMonthOfActuals,SUMIFS('Data Summary'!X$77:X$105,dataGLBSAcctIDs,$E30),AR30+AS23)</f>
        <v>7951</v>
      </c>
      <c r="AT30" s="410">
        <f>IF(AT$8&lt;=LatestMonthOfActuals,SUMIFS('Data Summary'!Y$77:Y$105,dataGLBSAcctIDs,$E30),AS30+AT23)</f>
        <v>7951</v>
      </c>
      <c r="AU30" s="410">
        <f>IF(AU$8&lt;=LatestMonthOfActuals,SUMIFS('Data Summary'!Z$77:Z$105,dataGLBSAcctIDs,$E30),AT30+AU23)</f>
        <v>7951</v>
      </c>
      <c r="AV30" s="410">
        <f>IF(AV$8&lt;=LatestMonthOfActuals,SUMIFS('Data Summary'!AA$77:AA$105,dataGLBSAcctIDs,$E30),AU30+AV23)</f>
        <v>7951</v>
      </c>
      <c r="AW30" s="410">
        <f>IF(AW$8&lt;=LatestMonthOfActuals,SUMIFS('Data Summary'!AB$77:AB$105,dataGLBSAcctIDs,$E30),AV30+AW23)</f>
        <v>7951</v>
      </c>
      <c r="AX30" s="410">
        <f>IF(AX$8&lt;=LatestMonthOfActuals,SUMIFS('Data Summary'!AC$77:AC$105,dataGLBSAcctIDs,$E30),AW30+AX23)</f>
        <v>7951</v>
      </c>
      <c r="AY30" s="410">
        <f>IF(AY$8&lt;=LatestMonthOfActuals,SUMIFS('Data Summary'!AD$77:AD$105,dataGLBSAcctIDs,$E30),AX30+AY23)</f>
        <v>7951</v>
      </c>
      <c r="AZ30" s="410">
        <f>IF(AZ$8&lt;=LatestMonthOfActuals,SUMIFS('Data Summary'!AE$77:AE$105,dataGLBSAcctIDs,$E30),AY30+AZ23)</f>
        <v>7951</v>
      </c>
      <c r="BA30" s="410">
        <f>IF(BA$8&lt;=LatestMonthOfActuals,SUMIFS('Data Summary'!AF$77:AF$105,dataGLBSAcctIDs,$E30),AZ30+BA23)</f>
        <v>7951</v>
      </c>
      <c r="BB30" s="410">
        <f>IF(BB$8&lt;=LatestMonthOfActuals,SUMIFS('Data Summary'!AG$77:AG$105,dataGLBSAcctIDs,$E30),BA30+BB23)</f>
        <v>7951</v>
      </c>
      <c r="BC30" s="410">
        <f>IF(BC$8&lt;=LatestMonthOfActuals,SUMIFS('Data Summary'!AH$77:AH$105,dataGLBSAcctIDs,$E30),BB30+BC23)</f>
        <v>7951</v>
      </c>
      <c r="BD30" s="410">
        <f>IF(BD$8&lt;=LatestMonthOfActuals,SUMIFS('Data Summary'!AI$77:AI$105,dataGLBSAcctIDs,$E30),BC30+BD23)</f>
        <v>7951</v>
      </c>
      <c r="BE30" s="410">
        <f>IF(BE$8&lt;=LatestMonthOfActuals,SUMIFS('Data Summary'!AJ$77:AJ$105,dataGLBSAcctIDs,$E30),BD30+BE23)</f>
        <v>7951</v>
      </c>
      <c r="BF30" s="410">
        <f>IF(BF$8&lt;=LatestMonthOfActuals,SUMIFS('Data Summary'!AK$77:AK$105,dataGLBSAcctIDs,$E30),BE30+BF23)</f>
        <v>7951</v>
      </c>
      <c r="BG30" s="410">
        <f>IF(BG$8&lt;=LatestMonthOfActuals,SUMIFS('Data Summary'!AL$77:AL$105,dataGLBSAcctIDs,$E30),BF30+BG23)</f>
        <v>7951</v>
      </c>
      <c r="BH30" s="410">
        <f>IF(BH$8&lt;=LatestMonthOfActuals,SUMIFS('Data Summary'!AM$77:AM$105,dataGLBSAcctIDs,$E30),BG30+BH23)</f>
        <v>7951</v>
      </c>
      <c r="BI30" s="410">
        <f>IF(BI$8&lt;=LatestMonthOfActuals,SUMIFS('Data Summary'!AN$77:AN$105,dataGLBSAcctIDs,$E30),BH30+BI23)</f>
        <v>7951</v>
      </c>
      <c r="BJ30" s="410">
        <f>IF(BJ$8&lt;=LatestMonthOfActuals,SUMIFS('Data Summary'!AO$77:AO$105,dataGLBSAcctIDs,$E30),BI30+BJ23)</f>
        <v>7951</v>
      </c>
      <c r="BK30" s="410">
        <f>IF(BK$8&lt;=LatestMonthOfActuals,SUMIFS('Data Summary'!AP$77:AP$105,dataGLBSAcctIDs,$E30),BJ30+BK23)</f>
        <v>7951</v>
      </c>
      <c r="BL30" s="410">
        <f>IF(BL$8&lt;=LatestMonthOfActuals,SUMIFS('Data Summary'!AQ$77:AQ$105,dataGLBSAcctIDs,$E30),BK30+BL23)</f>
        <v>7951</v>
      </c>
      <c r="BM30" s="410">
        <f>IF(BM$8&lt;=LatestMonthOfActuals,SUMIFS('Data Summary'!AR$77:AR$105,dataGLBSAcctIDs,$E30),BL30+BM23)</f>
        <v>7951</v>
      </c>
      <c r="BN30" s="410">
        <f>IF(BN$8&lt;=LatestMonthOfActuals,SUMIFS('Data Summary'!AS$77:AS$105,dataGLBSAcctIDs,$E30),BM30+BN23)</f>
        <v>7951</v>
      </c>
      <c r="BO30" s="410">
        <f>IF(BO$8&lt;=LatestMonthOfActuals,SUMIFS('Data Summary'!AT$77:AT$105,dataGLBSAcctIDs,$E30),BN30+BO23)</f>
        <v>7951</v>
      </c>
      <c r="BP30" s="410">
        <f>IF(BP$8&lt;=LatestMonthOfActuals,SUMIFS('Data Summary'!AU$77:AU$105,dataGLBSAcctIDs,$E30),BO30+BP23)</f>
        <v>7951</v>
      </c>
      <c r="BQ30" s="410">
        <f>IF(BQ$8&lt;=LatestMonthOfActuals,SUMIFS('Data Summary'!AV$77:AV$105,dataGLBSAcctIDs,$E30),BP30+BQ23)</f>
        <v>7951</v>
      </c>
      <c r="BR30" s="410">
        <f>IF(BR$8&lt;=LatestMonthOfActuals,SUMIFS('Data Summary'!AW$77:AW$105,dataGLBSAcctIDs,$E30),BQ30+BR23)</f>
        <v>7951</v>
      </c>
      <c r="BS30" s="410">
        <f>IF(BS$8&lt;=LatestMonthOfActuals,SUMIFS('Data Summary'!AX$77:AX$105,dataGLBSAcctIDs,$E30),BR30+BS23)</f>
        <v>7951</v>
      </c>
      <c r="BT30" s="410">
        <f>IF(BT$8&lt;=LatestMonthOfActuals,SUMIFS('Data Summary'!AY$77:AY$105,dataGLBSAcctIDs,$E30),BS30+BT23)</f>
        <v>7951</v>
      </c>
      <c r="BU30" s="410">
        <f>IF(BU$8&lt;=LatestMonthOfActuals,SUMIFS('Data Summary'!AZ$77:AZ$105,dataGLBSAcctIDs,$E30),BT30+BU23)</f>
        <v>7951</v>
      </c>
      <c r="BV30" s="410">
        <f>IF(BV$8&lt;=LatestMonthOfActuals,SUMIFS('Data Summary'!BA$77:BA$105,dataGLBSAcctIDs,$E30),BU30+BV23)</f>
        <v>7951</v>
      </c>
      <c r="BW30" s="410">
        <f>IF(BW$8&lt;=LatestMonthOfActuals,SUMIFS('Data Summary'!BB$77:BB$105,dataGLBSAcctIDs,$E30),BV30+BW23)</f>
        <v>7951</v>
      </c>
      <c r="BX30" s="410">
        <f>IF(BX$8&lt;=LatestMonthOfActuals,SUMIFS('Data Summary'!BC$77:BC$105,dataGLBSAcctIDs,$E30),BW30+BX23)</f>
        <v>7951</v>
      </c>
      <c r="BY30" s="410">
        <f>IF(BY$8&lt;=LatestMonthOfActuals,SUMIFS('Data Summary'!BD$77:BD$105,dataGLBSAcctIDs,$E30),BX30+BY23)</f>
        <v>7951</v>
      </c>
      <c r="BZ30" s="410">
        <f>IF(BZ$8&lt;=LatestMonthOfActuals,SUMIFS('Data Summary'!BE$77:BE$105,dataGLBSAcctIDs,$E30),BY30+BZ23)</f>
        <v>7951</v>
      </c>
      <c r="CA30" s="410">
        <f>IF(CA$8&lt;=LatestMonthOfActuals,SUMIFS('Data Summary'!BF$77:BF$105,dataGLBSAcctIDs,$E30),BZ30+CA23)</f>
        <v>7951</v>
      </c>
      <c r="CB30" s="410">
        <f>IF(CB$8&lt;=LatestMonthOfActuals,SUMIFS('Data Summary'!BG$77:BG$105,dataGLBSAcctIDs,$E30),CA30+CB23)</f>
        <v>7951</v>
      </c>
      <c r="CC30" s="410">
        <f>IF(CC$8&lt;=LatestMonthOfActuals,SUMIFS('Data Summary'!BH$77:BH$105,dataGLBSAcctIDs,$E30),CB30+CC23)</f>
        <v>7951</v>
      </c>
    </row>
    <row r="32" spans="2:81" s="503" customFormat="1">
      <c r="B32" s="506" t="s">
        <v>449</v>
      </c>
      <c r="C32" s="168"/>
      <c r="D32" s="168"/>
      <c r="E32" s="168"/>
      <c r="F32" s="168"/>
      <c r="G32" s="168"/>
      <c r="J32" s="505">
        <f>_xlfn.AGGREGATE(9,0,J33:J288)</f>
        <v>24869.911111111116</v>
      </c>
      <c r="K32" s="505">
        <f>_xlfn.AGGREGATE(9,0,K33:K288)</f>
        <v>31800.466666666678</v>
      </c>
      <c r="L32" s="505">
        <f>_xlfn.AGGREGATE(9,0,L33:L288)</f>
        <v>32022.688888888897</v>
      </c>
      <c r="M32" s="505">
        <f>_xlfn.AGGREGATE(9,0,M33:M288)</f>
        <v>31786.577777777773</v>
      </c>
      <c r="P32" s="505">
        <f t="shared" ref="P32:AE32" si="21">_xlfn.AGGREGATE(9,0,P33:P288)</f>
        <v>3311.2277777777781</v>
      </c>
      <c r="Q32" s="505">
        <f t="shared" si="21"/>
        <v>6727.8944444444451</v>
      </c>
      <c r="R32" s="505">
        <f t="shared" si="21"/>
        <v>7380.6722222222224</v>
      </c>
      <c r="S32" s="505">
        <f t="shared" si="21"/>
        <v>7450.1166666666677</v>
      </c>
      <c r="T32" s="505">
        <f t="shared" si="21"/>
        <v>8200.116666666665</v>
      </c>
      <c r="U32" s="505">
        <f t="shared" si="21"/>
        <v>7866.7833333333338</v>
      </c>
      <c r="V32" s="505">
        <f t="shared" si="21"/>
        <v>7866.7833333333338</v>
      </c>
      <c r="W32" s="505">
        <f t="shared" si="21"/>
        <v>7866.7833333333338</v>
      </c>
      <c r="X32" s="505">
        <f t="shared" si="21"/>
        <v>7866.7833333333338</v>
      </c>
      <c r="Y32" s="505">
        <f t="shared" si="21"/>
        <v>7866.7833333333338</v>
      </c>
      <c r="Z32" s="505">
        <f t="shared" si="21"/>
        <v>7866.7833333333338</v>
      </c>
      <c r="AA32" s="505">
        <f t="shared" si="21"/>
        <v>8422.3388888888894</v>
      </c>
      <c r="AB32" s="505">
        <f t="shared" si="21"/>
        <v>9811.2277777777763</v>
      </c>
      <c r="AC32" s="505">
        <f t="shared" si="21"/>
        <v>7505.6722222222224</v>
      </c>
      <c r="AD32" s="505">
        <f t="shared" si="21"/>
        <v>7269.5611111111111</v>
      </c>
      <c r="AE32" s="505">
        <f t="shared" si="21"/>
        <v>7200.1166666666659</v>
      </c>
      <c r="AH32" s="505">
        <f t="shared" ref="AH32:CC32" si="22">_xlfn.AGGREGATE(9,0,AH33:AH288)</f>
        <v>1080.5944444444444</v>
      </c>
      <c r="AI32" s="505">
        <f t="shared" si="22"/>
        <v>1080.5944444444444</v>
      </c>
      <c r="AJ32" s="505">
        <f t="shared" si="22"/>
        <v>1150.038888888889</v>
      </c>
      <c r="AK32" s="505">
        <f t="shared" si="22"/>
        <v>2122.2611111111114</v>
      </c>
      <c r="AL32" s="505">
        <f t="shared" si="22"/>
        <v>2191.7055555555557</v>
      </c>
      <c r="AM32" s="505">
        <f t="shared" si="22"/>
        <v>2413.9277777777779</v>
      </c>
      <c r="AN32" s="505">
        <f t="shared" si="22"/>
        <v>2413.9277777777779</v>
      </c>
      <c r="AO32" s="505">
        <f t="shared" si="22"/>
        <v>2483.3722222222223</v>
      </c>
      <c r="AP32" s="505">
        <f t="shared" si="22"/>
        <v>2483.3722222222223</v>
      </c>
      <c r="AQ32" s="505">
        <f t="shared" si="22"/>
        <v>2483.3722222222223</v>
      </c>
      <c r="AR32" s="505">
        <f t="shared" si="22"/>
        <v>2483.3722222222223</v>
      </c>
      <c r="AS32" s="505">
        <f t="shared" si="22"/>
        <v>2483.3722222222223</v>
      </c>
      <c r="AT32" s="505">
        <f t="shared" si="22"/>
        <v>2955.5944444444444</v>
      </c>
      <c r="AU32" s="505">
        <f t="shared" si="22"/>
        <v>2622.2611111111109</v>
      </c>
      <c r="AV32" s="505">
        <f t="shared" si="22"/>
        <v>2622.2611111111109</v>
      </c>
      <c r="AW32" s="505">
        <f t="shared" si="22"/>
        <v>2622.2611111111109</v>
      </c>
      <c r="AX32" s="505">
        <f t="shared" si="22"/>
        <v>2622.2611111111109</v>
      </c>
      <c r="AY32" s="505">
        <f t="shared" si="22"/>
        <v>2622.2611111111109</v>
      </c>
      <c r="AZ32" s="505">
        <f t="shared" si="22"/>
        <v>2622.2611111111109</v>
      </c>
      <c r="BA32" s="505">
        <f t="shared" si="22"/>
        <v>2622.2611111111109</v>
      </c>
      <c r="BB32" s="505">
        <f t="shared" si="22"/>
        <v>2622.2611111111109</v>
      </c>
      <c r="BC32" s="505">
        <f t="shared" si="22"/>
        <v>2622.2611111111109</v>
      </c>
      <c r="BD32" s="505">
        <f t="shared" si="22"/>
        <v>2622.2611111111109</v>
      </c>
      <c r="BE32" s="505">
        <f t="shared" si="22"/>
        <v>2622.2611111111109</v>
      </c>
      <c r="BF32" s="505">
        <f t="shared" si="22"/>
        <v>2622.2611111111109</v>
      </c>
      <c r="BG32" s="505">
        <f t="shared" si="22"/>
        <v>2622.2611111111109</v>
      </c>
      <c r="BH32" s="505">
        <f t="shared" si="22"/>
        <v>2622.2611111111109</v>
      </c>
      <c r="BI32" s="505">
        <f t="shared" si="22"/>
        <v>2622.2611111111109</v>
      </c>
      <c r="BJ32" s="505">
        <f t="shared" si="22"/>
        <v>2622.2611111111109</v>
      </c>
      <c r="BK32" s="505">
        <f t="shared" si="22"/>
        <v>2622.2611111111109</v>
      </c>
      <c r="BL32" s="505">
        <f t="shared" si="22"/>
        <v>2622.2611111111109</v>
      </c>
      <c r="BM32" s="505">
        <f t="shared" si="22"/>
        <v>2622.2611111111109</v>
      </c>
      <c r="BN32" s="505">
        <f t="shared" si="22"/>
        <v>2622.2611111111109</v>
      </c>
      <c r="BO32" s="505">
        <f t="shared" si="22"/>
        <v>2622.2611111111109</v>
      </c>
      <c r="BP32" s="505">
        <f t="shared" si="22"/>
        <v>2622.2611111111109</v>
      </c>
      <c r="BQ32" s="505">
        <f t="shared" si="22"/>
        <v>3177.8166666666666</v>
      </c>
      <c r="BR32" s="505">
        <f t="shared" si="22"/>
        <v>3108.3722222222223</v>
      </c>
      <c r="BS32" s="505">
        <f t="shared" si="22"/>
        <v>3386.15</v>
      </c>
      <c r="BT32" s="505">
        <f t="shared" si="22"/>
        <v>3316.7055555555553</v>
      </c>
      <c r="BU32" s="505">
        <f t="shared" si="22"/>
        <v>2344.4833333333336</v>
      </c>
      <c r="BV32" s="505">
        <f t="shared" si="22"/>
        <v>2691.7055555555557</v>
      </c>
      <c r="BW32" s="505">
        <f t="shared" si="22"/>
        <v>2469.4833333333336</v>
      </c>
      <c r="BX32" s="505">
        <f t="shared" si="22"/>
        <v>2469.4833333333336</v>
      </c>
      <c r="BY32" s="505">
        <f t="shared" si="22"/>
        <v>2400.0388888888892</v>
      </c>
      <c r="BZ32" s="505">
        <f t="shared" si="22"/>
        <v>2400.0388888888892</v>
      </c>
      <c r="CA32" s="505">
        <f t="shared" si="22"/>
        <v>2400.0388888888892</v>
      </c>
      <c r="CB32" s="505">
        <f t="shared" si="22"/>
        <v>2400.0388888888892</v>
      </c>
      <c r="CC32" s="505">
        <f t="shared" si="22"/>
        <v>2400.0388888888892</v>
      </c>
    </row>
    <row r="33" spans="3:81" outlineLevel="1" collapsed="1">
      <c r="C33" s="502" t="str">
        <f>C11</f>
        <v>Computers</v>
      </c>
      <c r="E33" s="502" cm="1">
        <f t="array" ref="E33">INDEX(FixedAssets[Asset ID],_xlfn.XMATCH($C33,FixedAssets[Asset]))</f>
        <v>152</v>
      </c>
      <c r="F33" s="502" cm="1">
        <f t="array" ref="F33">INDEX(FixedAssets[Depreciation
/ Amortization ID],_xlfn.XMATCH($C33,FixedAssets[Asset]))</f>
        <v>191</v>
      </c>
      <c r="G33" s="502" cm="1">
        <f t="array" ref="G33">INDEX(FixedAssets[Accumulated Depreciation
/ Amortization ID],_xlfn.XMATCH($C33,FixedAssets[Asset]))</f>
        <v>194</v>
      </c>
      <c r="H33" s="508"/>
      <c r="I33" s="508"/>
      <c r="J33" s="507">
        <f>_xlfn.AGGREGATE(9,0,J34:J83)</f>
        <v>2430.5555555555557</v>
      </c>
      <c r="K33" s="507">
        <f t="shared" ref="K33:M33" si="23">_xlfn.AGGREGATE(9,0,K34:K83)</f>
        <v>5000</v>
      </c>
      <c r="L33" s="507">
        <f t="shared" si="23"/>
        <v>5555.5555555555557</v>
      </c>
      <c r="M33" s="507">
        <f t="shared" si="23"/>
        <v>9236.1111111111113</v>
      </c>
      <c r="N33" s="509"/>
      <c r="O33" s="509"/>
      <c r="P33" s="507">
        <f t="shared" ref="P33" si="24">_xlfn.AGGREGATE(9,0,P34:P83)</f>
        <v>277.77777777777777</v>
      </c>
      <c r="Q33" s="507">
        <f t="shared" ref="Q33" si="25">_xlfn.AGGREGATE(9,0,Q34:Q83)</f>
        <v>555.55555555555554</v>
      </c>
      <c r="R33" s="507">
        <f t="shared" ref="R33" si="26">_xlfn.AGGREGATE(9,0,R34:R83)</f>
        <v>763.88888888888891</v>
      </c>
      <c r="S33" s="507">
        <f t="shared" ref="S33" si="27">_xlfn.AGGREGATE(9,0,S34:S83)</f>
        <v>833.33333333333326</v>
      </c>
      <c r="T33" s="507">
        <f t="shared" ref="T33" si="28">_xlfn.AGGREGATE(9,0,T34:T83)</f>
        <v>1250</v>
      </c>
      <c r="U33" s="507">
        <f t="shared" ref="U33" si="29">_xlfn.AGGREGATE(9,0,U34:U83)</f>
        <v>1250</v>
      </c>
      <c r="V33" s="507">
        <f t="shared" ref="V33" si="30">_xlfn.AGGREGATE(9,0,V34:V83)</f>
        <v>1250</v>
      </c>
      <c r="W33" s="507">
        <f t="shared" ref="W33" si="31">_xlfn.AGGREGATE(9,0,W34:W83)</f>
        <v>1250</v>
      </c>
      <c r="X33" s="507">
        <f t="shared" ref="X33" si="32">_xlfn.AGGREGATE(9,0,X34:X83)</f>
        <v>1250</v>
      </c>
      <c r="Y33" s="507">
        <f t="shared" ref="Y33" si="33">_xlfn.AGGREGATE(9,0,Y34:Y83)</f>
        <v>1250</v>
      </c>
      <c r="Z33" s="507">
        <f t="shared" ref="Z33" si="34">_xlfn.AGGREGATE(9,0,Z34:Z83)</f>
        <v>1250</v>
      </c>
      <c r="AA33" s="507">
        <f t="shared" ref="AA33" si="35">_xlfn.AGGREGATE(9,0,AA34:AA83)</f>
        <v>1805.5555555555557</v>
      </c>
      <c r="AB33" s="507">
        <f t="shared" ref="AB33" si="36">_xlfn.AGGREGATE(9,0,AB34:AB83)</f>
        <v>2638.8888888888887</v>
      </c>
      <c r="AC33" s="507">
        <f t="shared" ref="AC33" si="37">_xlfn.AGGREGATE(9,0,AC34:AC83)</f>
        <v>2361.1111111111109</v>
      </c>
      <c r="AD33" s="507">
        <f t="shared" ref="AD33" si="38">_xlfn.AGGREGATE(9,0,AD34:AD83)</f>
        <v>2152.7777777777774</v>
      </c>
      <c r="AE33" s="507">
        <f t="shared" ref="AE33" si="39">_xlfn.AGGREGATE(9,0,AE34:AE83)</f>
        <v>2083.333333333333</v>
      </c>
      <c r="AF33" s="508"/>
      <c r="AG33" s="508"/>
      <c r="AH33" s="507">
        <f t="shared" ref="AH33" si="40">_xlfn.AGGREGATE(9,0,AH34:AH83)</f>
        <v>69.444444444444443</v>
      </c>
      <c r="AI33" s="507">
        <f t="shared" ref="AI33" si="41">_xlfn.AGGREGATE(9,0,AI34:AI83)</f>
        <v>69.444444444444443</v>
      </c>
      <c r="AJ33" s="507">
        <f t="shared" ref="AJ33" si="42">_xlfn.AGGREGATE(9,0,AJ34:AJ83)</f>
        <v>138.88888888888889</v>
      </c>
      <c r="AK33" s="507">
        <f t="shared" ref="AK33" si="43">_xlfn.AGGREGATE(9,0,AK34:AK83)</f>
        <v>138.88888888888889</v>
      </c>
      <c r="AL33" s="507">
        <f t="shared" ref="AL33" si="44">_xlfn.AGGREGATE(9,0,AL34:AL83)</f>
        <v>208.33333333333331</v>
      </c>
      <c r="AM33" s="507">
        <f t="shared" ref="AM33" si="45">_xlfn.AGGREGATE(9,0,AM34:AM83)</f>
        <v>208.33333333333331</v>
      </c>
      <c r="AN33" s="507">
        <f t="shared" ref="AN33" si="46">_xlfn.AGGREGATE(9,0,AN34:AN83)</f>
        <v>208.33333333333331</v>
      </c>
      <c r="AO33" s="507">
        <f t="shared" ref="AO33" si="47">_xlfn.AGGREGATE(9,0,AO34:AO83)</f>
        <v>277.77777777777777</v>
      </c>
      <c r="AP33" s="507">
        <f t="shared" ref="AP33" si="48">_xlfn.AGGREGATE(9,0,AP34:AP83)</f>
        <v>277.77777777777777</v>
      </c>
      <c r="AQ33" s="507">
        <f t="shared" ref="AQ33" si="49">_xlfn.AGGREGATE(9,0,AQ34:AQ83)</f>
        <v>277.77777777777777</v>
      </c>
      <c r="AR33" s="507">
        <f t="shared" ref="AR33" si="50">_xlfn.AGGREGATE(9,0,AR34:AR83)</f>
        <v>277.77777777777777</v>
      </c>
      <c r="AS33" s="507">
        <f t="shared" ref="AS33" si="51">_xlfn.AGGREGATE(9,0,AS34:AS83)</f>
        <v>277.77777777777777</v>
      </c>
      <c r="AT33" s="507">
        <f t="shared" ref="AT33" si="52">_xlfn.AGGREGATE(9,0,AT34:AT83)</f>
        <v>416.66666666666663</v>
      </c>
      <c r="AU33" s="507">
        <f t="shared" ref="AU33" si="53">_xlfn.AGGREGATE(9,0,AU34:AU83)</f>
        <v>416.66666666666663</v>
      </c>
      <c r="AV33" s="507">
        <f t="shared" ref="AV33" si="54">_xlfn.AGGREGATE(9,0,AV34:AV83)</f>
        <v>416.66666666666663</v>
      </c>
      <c r="AW33" s="507">
        <f t="shared" ref="AW33" si="55">_xlfn.AGGREGATE(9,0,AW34:AW83)</f>
        <v>416.66666666666663</v>
      </c>
      <c r="AX33" s="507">
        <f t="shared" ref="AX33" si="56">_xlfn.AGGREGATE(9,0,AX34:AX83)</f>
        <v>416.66666666666663</v>
      </c>
      <c r="AY33" s="507">
        <f t="shared" ref="AY33" si="57">_xlfn.AGGREGATE(9,0,AY34:AY83)</f>
        <v>416.66666666666663</v>
      </c>
      <c r="AZ33" s="507">
        <f t="shared" ref="AZ33" si="58">_xlfn.AGGREGATE(9,0,AZ34:AZ83)</f>
        <v>416.66666666666663</v>
      </c>
      <c r="BA33" s="507">
        <f t="shared" ref="BA33" si="59">_xlfn.AGGREGATE(9,0,BA34:BA83)</f>
        <v>416.66666666666663</v>
      </c>
      <c r="BB33" s="507">
        <f t="shared" ref="BB33" si="60">_xlfn.AGGREGATE(9,0,BB34:BB83)</f>
        <v>416.66666666666663</v>
      </c>
      <c r="BC33" s="507">
        <f t="shared" ref="BC33" si="61">_xlfn.AGGREGATE(9,0,BC34:BC83)</f>
        <v>416.66666666666663</v>
      </c>
      <c r="BD33" s="507">
        <f t="shared" ref="BD33" si="62">_xlfn.AGGREGATE(9,0,BD34:BD83)</f>
        <v>416.66666666666663</v>
      </c>
      <c r="BE33" s="507">
        <f t="shared" ref="BE33" si="63">_xlfn.AGGREGATE(9,0,BE34:BE83)</f>
        <v>416.66666666666663</v>
      </c>
      <c r="BF33" s="507">
        <f t="shared" ref="BF33" si="64">_xlfn.AGGREGATE(9,0,BF34:BF83)</f>
        <v>416.66666666666663</v>
      </c>
      <c r="BG33" s="507">
        <f t="shared" ref="BG33" si="65">_xlfn.AGGREGATE(9,0,BG34:BG83)</f>
        <v>416.66666666666663</v>
      </c>
      <c r="BH33" s="507">
        <f t="shared" ref="BH33" si="66">_xlfn.AGGREGATE(9,0,BH34:BH83)</f>
        <v>416.66666666666663</v>
      </c>
      <c r="BI33" s="507">
        <f t="shared" ref="BI33" si="67">_xlfn.AGGREGATE(9,0,BI34:BI83)</f>
        <v>416.66666666666663</v>
      </c>
      <c r="BJ33" s="507">
        <f t="shared" ref="BJ33" si="68">_xlfn.AGGREGATE(9,0,BJ34:BJ83)</f>
        <v>416.66666666666663</v>
      </c>
      <c r="BK33" s="507">
        <f t="shared" ref="BK33" si="69">_xlfn.AGGREGATE(9,0,BK34:BK83)</f>
        <v>416.66666666666663</v>
      </c>
      <c r="BL33" s="507">
        <f t="shared" ref="BL33" si="70">_xlfn.AGGREGATE(9,0,BL34:BL83)</f>
        <v>416.66666666666663</v>
      </c>
      <c r="BM33" s="507">
        <f t="shared" ref="BM33" si="71">_xlfn.AGGREGATE(9,0,BM34:BM83)</f>
        <v>416.66666666666663</v>
      </c>
      <c r="BN33" s="507">
        <f t="shared" ref="BN33" si="72">_xlfn.AGGREGATE(9,0,BN34:BN83)</f>
        <v>416.66666666666663</v>
      </c>
      <c r="BO33" s="507">
        <f t="shared" ref="BO33" si="73">_xlfn.AGGREGATE(9,0,BO34:BO83)</f>
        <v>416.66666666666663</v>
      </c>
      <c r="BP33" s="507">
        <f t="shared" ref="BP33" si="74">_xlfn.AGGREGATE(9,0,BP34:BP83)</f>
        <v>416.66666666666663</v>
      </c>
      <c r="BQ33" s="507">
        <f t="shared" ref="BQ33" si="75">_xlfn.AGGREGATE(9,0,BQ34:BQ83)</f>
        <v>972.22222222222217</v>
      </c>
      <c r="BR33" s="507">
        <f t="shared" ref="BR33" si="76">_xlfn.AGGREGATE(9,0,BR34:BR83)</f>
        <v>902.77777777777771</v>
      </c>
      <c r="BS33" s="507">
        <f t="shared" ref="BS33" si="77">_xlfn.AGGREGATE(9,0,BS34:BS83)</f>
        <v>902.77777777777771</v>
      </c>
      <c r="BT33" s="507">
        <f t="shared" ref="BT33" si="78">_xlfn.AGGREGATE(9,0,BT34:BT83)</f>
        <v>833.33333333333326</v>
      </c>
      <c r="BU33" s="507">
        <f t="shared" ref="BU33" si="79">_xlfn.AGGREGATE(9,0,BU34:BU83)</f>
        <v>833.33333333333326</v>
      </c>
      <c r="BV33" s="507">
        <f t="shared" ref="BV33" si="80">_xlfn.AGGREGATE(9,0,BV34:BV83)</f>
        <v>763.88888888888891</v>
      </c>
      <c r="BW33" s="507">
        <f t="shared" ref="BW33" si="81">_xlfn.AGGREGATE(9,0,BW34:BW83)</f>
        <v>763.88888888888891</v>
      </c>
      <c r="BX33" s="507">
        <f t="shared" ref="BX33" si="82">_xlfn.AGGREGATE(9,0,BX34:BX83)</f>
        <v>763.88888888888891</v>
      </c>
      <c r="BY33" s="507">
        <f t="shared" ref="BY33" si="83">_xlfn.AGGREGATE(9,0,BY34:BY83)</f>
        <v>694.44444444444446</v>
      </c>
      <c r="BZ33" s="507">
        <f t="shared" ref="BZ33" si="84">_xlfn.AGGREGATE(9,0,BZ34:BZ83)</f>
        <v>694.44444444444446</v>
      </c>
      <c r="CA33" s="507">
        <f t="shared" ref="CA33" si="85">_xlfn.AGGREGATE(9,0,CA34:CA83)</f>
        <v>694.44444444444446</v>
      </c>
      <c r="CB33" s="507">
        <f t="shared" ref="CB33" si="86">_xlfn.AGGREGATE(9,0,CB34:CB83)</f>
        <v>694.44444444444446</v>
      </c>
      <c r="CC33" s="507">
        <f t="shared" ref="CC33" si="87">_xlfn.AGGREGATE(9,0,CC34:CC83)</f>
        <v>694.44444444444446</v>
      </c>
    </row>
    <row r="34" spans="3:81" hidden="1" outlineLevel="2">
      <c r="AH34" s="507"/>
      <c r="AI34" s="507"/>
      <c r="AJ34" s="507"/>
      <c r="AK34" s="507"/>
      <c r="AL34" s="507"/>
      <c r="AM34" s="507"/>
      <c r="AN34" s="507"/>
      <c r="AO34" s="507"/>
      <c r="AP34" s="507"/>
      <c r="AQ34" s="507"/>
      <c r="AR34" s="507"/>
      <c r="AS34" s="507"/>
      <c r="AT34" s="507"/>
      <c r="AU34" s="507"/>
      <c r="AV34" s="507"/>
      <c r="AW34" s="507"/>
      <c r="AX34" s="507"/>
      <c r="AY34" s="507"/>
      <c r="AZ34" s="507"/>
      <c r="BA34" s="507"/>
      <c r="BB34" s="507"/>
      <c r="BC34" s="507"/>
      <c r="BD34" s="507"/>
      <c r="BE34" s="507"/>
      <c r="BF34" s="507"/>
      <c r="BG34" s="507"/>
      <c r="BH34" s="507"/>
      <c r="BI34" s="507"/>
      <c r="BJ34" s="507"/>
      <c r="BK34" s="507"/>
      <c r="BL34" s="507"/>
      <c r="BM34" s="507"/>
      <c r="BN34" s="507"/>
      <c r="BO34" s="507"/>
      <c r="BP34" s="507"/>
      <c r="BQ34" s="507"/>
      <c r="BR34" s="507"/>
      <c r="BS34" s="507"/>
      <c r="BT34" s="507"/>
      <c r="BU34" s="507"/>
      <c r="BV34" s="507"/>
      <c r="BW34" s="507"/>
      <c r="BX34" s="507"/>
      <c r="BY34" s="507"/>
      <c r="BZ34" s="507"/>
      <c r="CA34" s="507"/>
      <c r="CB34" s="507"/>
      <c r="CC34" s="507"/>
    </row>
    <row r="35" spans="3:81" hidden="1" outlineLevel="2">
      <c r="C35" s="664" cm="1">
        <f t="array" ref="C35">EOM_Start_Date</f>
        <v>44957</v>
      </c>
      <c r="D35" s="508"/>
      <c r="E35" s="508" cm="1">
        <f t="array" ref="E35">SUMPRODUCT(($AH$26:$CC$31)*($AH$5:$CC$5=$C35)*($E$26:$E$31=E$33))-SUMPRODUCT(($AH$26:$CC$31)*($AH$5:$CC$5=EOMONTH($C35,-1))*($E$26:$E$31=E$33))</f>
        <v>2500</v>
      </c>
      <c r="F35" s="508"/>
      <c r="G35" s="508"/>
      <c r="H35" s="508"/>
      <c r="I35" s="508"/>
      <c r="J35" s="504">
        <f t="shared" ref="J35:J82" si="88">SUMIFS($AH35:$CC35,$AH$4:$CC$4,"&gt;="&amp;J$4,$AH$5:$CC$5,"&lt;="&amp;J$5)</f>
        <v>833.33333333333337</v>
      </c>
      <c r="K35" s="504">
        <f t="shared" ref="K35:M50" si="89">SUMIFS($AH35:$CC35,$AH$4:$CC$4,"&gt;="&amp;K$4,$AH$5:$CC$5,"&lt;="&amp;K$5)</f>
        <v>833.33333333333337</v>
      </c>
      <c r="L35" s="504">
        <f t="shared" si="89"/>
        <v>833.33333333333337</v>
      </c>
      <c r="M35" s="504">
        <f t="shared" si="89"/>
        <v>0</v>
      </c>
      <c r="N35" s="504"/>
      <c r="O35" s="504"/>
      <c r="P35" s="504">
        <f t="shared" ref="P35:AE50" si="90">SUMIFS($AH35:$CC35,$AH$4:$CC$4,"&gt;="&amp;P$4,$AH$5:$CC$5,"&lt;="&amp;P$5)</f>
        <v>208.33333333333331</v>
      </c>
      <c r="Q35" s="504">
        <f t="shared" si="90"/>
        <v>208.33333333333331</v>
      </c>
      <c r="R35" s="504">
        <f t="shared" si="90"/>
        <v>208.33333333333331</v>
      </c>
      <c r="S35" s="504">
        <f t="shared" si="90"/>
        <v>208.33333333333331</v>
      </c>
      <c r="T35" s="504">
        <f t="shared" si="90"/>
        <v>208.33333333333331</v>
      </c>
      <c r="U35" s="504">
        <f t="shared" si="90"/>
        <v>208.33333333333331</v>
      </c>
      <c r="V35" s="504">
        <f t="shared" si="90"/>
        <v>208.33333333333331</v>
      </c>
      <c r="W35" s="504">
        <f t="shared" si="90"/>
        <v>208.33333333333331</v>
      </c>
      <c r="X35" s="504">
        <f t="shared" si="90"/>
        <v>208.33333333333331</v>
      </c>
      <c r="Y35" s="504">
        <f t="shared" si="90"/>
        <v>208.33333333333331</v>
      </c>
      <c r="Z35" s="504">
        <f t="shared" si="90"/>
        <v>208.33333333333331</v>
      </c>
      <c r="AA35" s="504">
        <f t="shared" si="90"/>
        <v>208.33333333333331</v>
      </c>
      <c r="AB35" s="504">
        <f t="shared" si="90"/>
        <v>0</v>
      </c>
      <c r="AC35" s="504">
        <f t="shared" si="90"/>
        <v>0</v>
      </c>
      <c r="AD35" s="504">
        <f t="shared" si="90"/>
        <v>0</v>
      </c>
      <c r="AE35" s="504">
        <f t="shared" si="90"/>
        <v>0</v>
      </c>
      <c r="AF35" s="508"/>
      <c r="AG35" s="508"/>
      <c r="AH35" s="507" cm="1">
        <f t="array" ref="AH35">_xlfn.LET(_xlpm.DepreciationMonths,INDEX(FixedAssets[Depreciation
/ Amortization Months],_xlfn.XMATCH($E$33,FixedAssets[Asset ID])),IF(AND((_xlfn.XMATCH(AH$8,$AH$8:$CC$8))-_xlfn.XMATCH($C35,$C$35:$C$82)+1&lt;=_xlpm.DepreciationMonths,$C35&lt;=AH$8),$E35/_xlpm.DepreciationMonths,0))</f>
        <v>69.444444444444443</v>
      </c>
      <c r="AI35" s="507" cm="1">
        <f t="array" ref="AI35">_xlfn.LET(_xlpm.DepreciationMonths,INDEX(FixedAssets[Depreciation
/ Amortization Months],_xlfn.XMATCH($E$33,FixedAssets[Asset ID])),IF(AND((_xlfn.XMATCH(AI$8,$AH$8:$CC$8))-_xlfn.XMATCH($C35,$C$35:$C$82)+1&lt;=_xlpm.DepreciationMonths,$C35&lt;=AI$8),$E35/_xlpm.DepreciationMonths,0))</f>
        <v>69.444444444444443</v>
      </c>
      <c r="AJ35" s="507" cm="1">
        <f t="array" ref="AJ35">_xlfn.LET(_xlpm.DepreciationMonths,INDEX(FixedAssets[Depreciation
/ Amortization Months],_xlfn.XMATCH($E$33,FixedAssets[Asset ID])),IF(AND((_xlfn.XMATCH(AJ$8,$AH$8:$CC$8))-_xlfn.XMATCH($C35,$C$35:$C$82)+1&lt;=_xlpm.DepreciationMonths,$C35&lt;=AJ$8),$E35/_xlpm.DepreciationMonths,0))</f>
        <v>69.444444444444443</v>
      </c>
      <c r="AK35" s="507" cm="1">
        <f t="array" ref="AK35">_xlfn.LET(_xlpm.DepreciationMonths,INDEX(FixedAssets[Depreciation
/ Amortization Months],_xlfn.XMATCH($E$33,FixedAssets[Asset ID])),IF(AND((_xlfn.XMATCH(AK$8,$AH$8:$CC$8))-_xlfn.XMATCH($C35,$C$35:$C$82)+1&lt;=_xlpm.DepreciationMonths,$C35&lt;=AK$8),$E35/_xlpm.DepreciationMonths,0))</f>
        <v>69.444444444444443</v>
      </c>
      <c r="AL35" s="507" cm="1">
        <f t="array" ref="AL35">_xlfn.LET(_xlpm.DepreciationMonths,INDEX(FixedAssets[Depreciation
/ Amortization Months],_xlfn.XMATCH($E$33,FixedAssets[Asset ID])),IF(AND((_xlfn.XMATCH(AL$8,$AH$8:$CC$8))-_xlfn.XMATCH($C35,$C$35:$C$82)+1&lt;=_xlpm.DepreciationMonths,$C35&lt;=AL$8),$E35/_xlpm.DepreciationMonths,0))</f>
        <v>69.444444444444443</v>
      </c>
      <c r="AM35" s="507" cm="1">
        <f t="array" ref="AM35">_xlfn.LET(_xlpm.DepreciationMonths,INDEX(FixedAssets[Depreciation
/ Amortization Months],_xlfn.XMATCH($E$33,FixedAssets[Asset ID])),IF(AND((_xlfn.XMATCH(AM$8,$AH$8:$CC$8))-_xlfn.XMATCH($C35,$C$35:$C$82)+1&lt;=_xlpm.DepreciationMonths,$C35&lt;=AM$8),$E35/_xlpm.DepreciationMonths,0))</f>
        <v>69.444444444444443</v>
      </c>
      <c r="AN35" s="507" cm="1">
        <f t="array" ref="AN35">_xlfn.LET(_xlpm.DepreciationMonths,INDEX(FixedAssets[Depreciation
/ Amortization Months],_xlfn.XMATCH($E$33,FixedAssets[Asset ID])),IF(AND((_xlfn.XMATCH(AN$8,$AH$8:$CC$8))-_xlfn.XMATCH($C35,$C$35:$C$82)+1&lt;=_xlpm.DepreciationMonths,$C35&lt;=AN$8),$E35/_xlpm.DepreciationMonths,0))</f>
        <v>69.444444444444443</v>
      </c>
      <c r="AO35" s="507" cm="1">
        <f t="array" ref="AO35">_xlfn.LET(_xlpm.DepreciationMonths,INDEX(FixedAssets[Depreciation
/ Amortization Months],_xlfn.XMATCH($E$33,FixedAssets[Asset ID])),IF(AND((_xlfn.XMATCH(AO$8,$AH$8:$CC$8))-_xlfn.XMATCH($C35,$C$35:$C$82)+1&lt;=_xlpm.DepreciationMonths,$C35&lt;=AO$8),$E35/_xlpm.DepreciationMonths,0))</f>
        <v>69.444444444444443</v>
      </c>
      <c r="AP35" s="507" cm="1">
        <f t="array" ref="AP35">_xlfn.LET(_xlpm.DepreciationMonths,INDEX(FixedAssets[Depreciation
/ Amortization Months],_xlfn.XMATCH($E$33,FixedAssets[Asset ID])),IF(AND((_xlfn.XMATCH(AP$8,$AH$8:$CC$8))-_xlfn.XMATCH($C35,$C$35:$C$82)+1&lt;=_xlpm.DepreciationMonths,$C35&lt;=AP$8),$E35/_xlpm.DepreciationMonths,0))</f>
        <v>69.444444444444443</v>
      </c>
      <c r="AQ35" s="507" cm="1">
        <f t="array" ref="AQ35">_xlfn.LET(_xlpm.DepreciationMonths,INDEX(FixedAssets[Depreciation
/ Amortization Months],_xlfn.XMATCH($E$33,FixedAssets[Asset ID])),IF(AND((_xlfn.XMATCH(AQ$8,$AH$8:$CC$8))-_xlfn.XMATCH($C35,$C$35:$C$82)+1&lt;=_xlpm.DepreciationMonths,$C35&lt;=AQ$8),$E35/_xlpm.DepreciationMonths,0))</f>
        <v>69.444444444444443</v>
      </c>
      <c r="AR35" s="507" cm="1">
        <f t="array" ref="AR35">_xlfn.LET(_xlpm.DepreciationMonths,INDEX(FixedAssets[Depreciation
/ Amortization Months],_xlfn.XMATCH($E$33,FixedAssets[Asset ID])),IF(AND((_xlfn.XMATCH(AR$8,$AH$8:$CC$8))-_xlfn.XMATCH($C35,$C$35:$C$82)+1&lt;=_xlpm.DepreciationMonths,$C35&lt;=AR$8),$E35/_xlpm.DepreciationMonths,0))</f>
        <v>69.444444444444443</v>
      </c>
      <c r="AS35" s="507" cm="1">
        <f t="array" ref="AS35">_xlfn.LET(_xlpm.DepreciationMonths,INDEX(FixedAssets[Depreciation
/ Amortization Months],_xlfn.XMATCH($E$33,FixedAssets[Asset ID])),IF(AND((_xlfn.XMATCH(AS$8,$AH$8:$CC$8))-_xlfn.XMATCH($C35,$C$35:$C$82)+1&lt;=_xlpm.DepreciationMonths,$C35&lt;=AS$8),$E35/_xlpm.DepreciationMonths,0))</f>
        <v>69.444444444444443</v>
      </c>
      <c r="AT35" s="507" cm="1">
        <f t="array" ref="AT35">_xlfn.LET(_xlpm.DepreciationMonths,INDEX(FixedAssets[Depreciation
/ Amortization Months],_xlfn.XMATCH($E$33,FixedAssets[Asset ID])),IF(AND((_xlfn.XMATCH(AT$8,$AH$8:$CC$8))-_xlfn.XMATCH($C35,$C$35:$C$82)+1&lt;=_xlpm.DepreciationMonths,$C35&lt;=AT$8),$E35/_xlpm.DepreciationMonths,0))</f>
        <v>69.444444444444443</v>
      </c>
      <c r="AU35" s="507" cm="1">
        <f t="array" ref="AU35">_xlfn.LET(_xlpm.DepreciationMonths,INDEX(FixedAssets[Depreciation
/ Amortization Months],_xlfn.XMATCH($E$33,FixedAssets[Asset ID])),IF(AND((_xlfn.XMATCH(AU$8,$AH$8:$CC$8))-_xlfn.XMATCH($C35,$C$35:$C$82)+1&lt;=_xlpm.DepreciationMonths,$C35&lt;=AU$8),$E35/_xlpm.DepreciationMonths,0))</f>
        <v>69.444444444444443</v>
      </c>
      <c r="AV35" s="507" cm="1">
        <f t="array" ref="AV35">_xlfn.LET(_xlpm.DepreciationMonths,INDEX(FixedAssets[Depreciation
/ Amortization Months],_xlfn.XMATCH($E$33,FixedAssets[Asset ID])),IF(AND((_xlfn.XMATCH(AV$8,$AH$8:$CC$8))-_xlfn.XMATCH($C35,$C$35:$C$82)+1&lt;=_xlpm.DepreciationMonths,$C35&lt;=AV$8),$E35/_xlpm.DepreciationMonths,0))</f>
        <v>69.444444444444443</v>
      </c>
      <c r="AW35" s="507" cm="1">
        <f t="array" ref="AW35">_xlfn.LET(_xlpm.DepreciationMonths,INDEX(FixedAssets[Depreciation
/ Amortization Months],_xlfn.XMATCH($E$33,FixedAssets[Asset ID])),IF(AND((_xlfn.XMATCH(AW$8,$AH$8:$CC$8))-_xlfn.XMATCH($C35,$C$35:$C$82)+1&lt;=_xlpm.DepreciationMonths,$C35&lt;=AW$8),$E35/_xlpm.DepreciationMonths,0))</f>
        <v>69.444444444444443</v>
      </c>
      <c r="AX35" s="507" cm="1">
        <f t="array" ref="AX35">_xlfn.LET(_xlpm.DepreciationMonths,INDEX(FixedAssets[Depreciation
/ Amortization Months],_xlfn.XMATCH($E$33,FixedAssets[Asset ID])),IF(AND((_xlfn.XMATCH(AX$8,$AH$8:$CC$8))-_xlfn.XMATCH($C35,$C$35:$C$82)+1&lt;=_xlpm.DepreciationMonths,$C35&lt;=AX$8),$E35/_xlpm.DepreciationMonths,0))</f>
        <v>69.444444444444443</v>
      </c>
      <c r="AY35" s="507" cm="1">
        <f t="array" ref="AY35">_xlfn.LET(_xlpm.DepreciationMonths,INDEX(FixedAssets[Depreciation
/ Amortization Months],_xlfn.XMATCH($E$33,FixedAssets[Asset ID])),IF(AND((_xlfn.XMATCH(AY$8,$AH$8:$CC$8))-_xlfn.XMATCH($C35,$C$35:$C$82)+1&lt;=_xlpm.DepreciationMonths,$C35&lt;=AY$8),$E35/_xlpm.DepreciationMonths,0))</f>
        <v>69.444444444444443</v>
      </c>
      <c r="AZ35" s="507" cm="1">
        <f t="array" ref="AZ35">_xlfn.LET(_xlpm.DepreciationMonths,INDEX(FixedAssets[Depreciation
/ Amortization Months],_xlfn.XMATCH($E$33,FixedAssets[Asset ID])),IF(AND((_xlfn.XMATCH(AZ$8,$AH$8:$CC$8))-_xlfn.XMATCH($C35,$C$35:$C$82)+1&lt;=_xlpm.DepreciationMonths,$C35&lt;=AZ$8),$E35/_xlpm.DepreciationMonths,0))</f>
        <v>69.444444444444443</v>
      </c>
      <c r="BA35" s="507" cm="1">
        <f t="array" ref="BA35">_xlfn.LET(_xlpm.DepreciationMonths,INDEX(FixedAssets[Depreciation
/ Amortization Months],_xlfn.XMATCH($E$33,FixedAssets[Asset ID])),IF(AND((_xlfn.XMATCH(BA$8,$AH$8:$CC$8))-_xlfn.XMATCH($C35,$C$35:$C$82)+1&lt;=_xlpm.DepreciationMonths,$C35&lt;=BA$8),$E35/_xlpm.DepreciationMonths,0))</f>
        <v>69.444444444444443</v>
      </c>
      <c r="BB35" s="507" cm="1">
        <f t="array" ref="BB35">_xlfn.LET(_xlpm.DepreciationMonths,INDEX(FixedAssets[Depreciation
/ Amortization Months],_xlfn.XMATCH($E$33,FixedAssets[Asset ID])),IF(AND((_xlfn.XMATCH(BB$8,$AH$8:$CC$8))-_xlfn.XMATCH($C35,$C$35:$C$82)+1&lt;=_xlpm.DepreciationMonths,$C35&lt;=BB$8),$E35/_xlpm.DepreciationMonths,0))</f>
        <v>69.444444444444443</v>
      </c>
      <c r="BC35" s="507" cm="1">
        <f t="array" ref="BC35">_xlfn.LET(_xlpm.DepreciationMonths,INDEX(FixedAssets[Depreciation
/ Amortization Months],_xlfn.XMATCH($E$33,FixedAssets[Asset ID])),IF(AND((_xlfn.XMATCH(BC$8,$AH$8:$CC$8))-_xlfn.XMATCH($C35,$C$35:$C$82)+1&lt;=_xlpm.DepreciationMonths,$C35&lt;=BC$8),$E35/_xlpm.DepreciationMonths,0))</f>
        <v>69.444444444444443</v>
      </c>
      <c r="BD35" s="507" cm="1">
        <f t="array" ref="BD35">_xlfn.LET(_xlpm.DepreciationMonths,INDEX(FixedAssets[Depreciation
/ Amortization Months],_xlfn.XMATCH($E$33,FixedAssets[Asset ID])),IF(AND((_xlfn.XMATCH(BD$8,$AH$8:$CC$8))-_xlfn.XMATCH($C35,$C$35:$C$82)+1&lt;=_xlpm.DepreciationMonths,$C35&lt;=BD$8),$E35/_xlpm.DepreciationMonths,0))</f>
        <v>69.444444444444443</v>
      </c>
      <c r="BE35" s="507" cm="1">
        <f t="array" ref="BE35">_xlfn.LET(_xlpm.DepreciationMonths,INDEX(FixedAssets[Depreciation
/ Amortization Months],_xlfn.XMATCH($E$33,FixedAssets[Asset ID])),IF(AND((_xlfn.XMATCH(BE$8,$AH$8:$CC$8))-_xlfn.XMATCH($C35,$C$35:$C$82)+1&lt;=_xlpm.DepreciationMonths,$C35&lt;=BE$8),$E35/_xlpm.DepreciationMonths,0))</f>
        <v>69.444444444444443</v>
      </c>
      <c r="BF35" s="507" cm="1">
        <f t="array" ref="BF35">_xlfn.LET(_xlpm.DepreciationMonths,INDEX(FixedAssets[Depreciation
/ Amortization Months],_xlfn.XMATCH($E$33,FixedAssets[Asset ID])),IF(AND((_xlfn.XMATCH(BF$8,$AH$8:$CC$8))-_xlfn.XMATCH($C35,$C$35:$C$82)+1&lt;=_xlpm.DepreciationMonths,$C35&lt;=BF$8),$E35/_xlpm.DepreciationMonths,0))</f>
        <v>69.444444444444443</v>
      </c>
      <c r="BG35" s="507" cm="1">
        <f t="array" ref="BG35">_xlfn.LET(_xlpm.DepreciationMonths,INDEX(FixedAssets[Depreciation
/ Amortization Months],_xlfn.XMATCH($E$33,FixedAssets[Asset ID])),IF(AND((_xlfn.XMATCH(BG$8,$AH$8:$CC$8))-_xlfn.XMATCH($C35,$C$35:$C$82)+1&lt;=_xlpm.DepreciationMonths,$C35&lt;=BG$8),$E35/_xlpm.DepreciationMonths,0))</f>
        <v>69.444444444444443</v>
      </c>
      <c r="BH35" s="507" cm="1">
        <f t="array" ref="BH35">_xlfn.LET(_xlpm.DepreciationMonths,INDEX(FixedAssets[Depreciation
/ Amortization Months],_xlfn.XMATCH($E$33,FixedAssets[Asset ID])),IF(AND((_xlfn.XMATCH(BH$8,$AH$8:$CC$8))-_xlfn.XMATCH($C35,$C$35:$C$82)+1&lt;=_xlpm.DepreciationMonths,$C35&lt;=BH$8),$E35/_xlpm.DepreciationMonths,0))</f>
        <v>69.444444444444443</v>
      </c>
      <c r="BI35" s="507" cm="1">
        <f t="array" ref="BI35">_xlfn.LET(_xlpm.DepreciationMonths,INDEX(FixedAssets[Depreciation
/ Amortization Months],_xlfn.XMATCH($E$33,FixedAssets[Asset ID])),IF(AND((_xlfn.XMATCH(BI$8,$AH$8:$CC$8))-_xlfn.XMATCH($C35,$C$35:$C$82)+1&lt;=_xlpm.DepreciationMonths,$C35&lt;=BI$8),$E35/_xlpm.DepreciationMonths,0))</f>
        <v>69.444444444444443</v>
      </c>
      <c r="BJ35" s="507" cm="1">
        <f t="array" ref="BJ35">_xlfn.LET(_xlpm.DepreciationMonths,INDEX(FixedAssets[Depreciation
/ Amortization Months],_xlfn.XMATCH($E$33,FixedAssets[Asset ID])),IF(AND((_xlfn.XMATCH(BJ$8,$AH$8:$CC$8))-_xlfn.XMATCH($C35,$C$35:$C$82)+1&lt;=_xlpm.DepreciationMonths,$C35&lt;=BJ$8),$E35/_xlpm.DepreciationMonths,0))</f>
        <v>69.444444444444443</v>
      </c>
      <c r="BK35" s="507" cm="1">
        <f t="array" ref="BK35">_xlfn.LET(_xlpm.DepreciationMonths,INDEX(FixedAssets[Depreciation
/ Amortization Months],_xlfn.XMATCH($E$33,FixedAssets[Asset ID])),IF(AND((_xlfn.XMATCH(BK$8,$AH$8:$CC$8))-_xlfn.XMATCH($C35,$C$35:$C$82)+1&lt;=_xlpm.DepreciationMonths,$C35&lt;=BK$8),$E35/_xlpm.DepreciationMonths,0))</f>
        <v>69.444444444444443</v>
      </c>
      <c r="BL35" s="507" cm="1">
        <f t="array" ref="BL35">_xlfn.LET(_xlpm.DepreciationMonths,INDEX(FixedAssets[Depreciation
/ Amortization Months],_xlfn.XMATCH($E$33,FixedAssets[Asset ID])),IF(AND((_xlfn.XMATCH(BL$8,$AH$8:$CC$8))-_xlfn.XMATCH($C35,$C$35:$C$82)+1&lt;=_xlpm.DepreciationMonths,$C35&lt;=BL$8),$E35/_xlpm.DepreciationMonths,0))</f>
        <v>69.444444444444443</v>
      </c>
      <c r="BM35" s="507" cm="1">
        <f t="array" ref="BM35">_xlfn.LET(_xlpm.DepreciationMonths,INDEX(FixedAssets[Depreciation
/ Amortization Months],_xlfn.XMATCH($E$33,FixedAssets[Asset ID])),IF(AND((_xlfn.XMATCH(BM$8,$AH$8:$CC$8))-_xlfn.XMATCH($C35,$C$35:$C$82)+1&lt;=_xlpm.DepreciationMonths,$C35&lt;=BM$8),$E35/_xlpm.DepreciationMonths,0))</f>
        <v>69.444444444444443</v>
      </c>
      <c r="BN35" s="507" cm="1">
        <f t="array" ref="BN35">_xlfn.LET(_xlpm.DepreciationMonths,INDEX(FixedAssets[Depreciation
/ Amortization Months],_xlfn.XMATCH($E$33,FixedAssets[Asset ID])),IF(AND((_xlfn.XMATCH(BN$8,$AH$8:$CC$8))-_xlfn.XMATCH($C35,$C$35:$C$82)+1&lt;=_xlpm.DepreciationMonths,$C35&lt;=BN$8),$E35/_xlpm.DepreciationMonths,0))</f>
        <v>69.444444444444443</v>
      </c>
      <c r="BO35" s="507" cm="1">
        <f t="array" ref="BO35">_xlfn.LET(_xlpm.DepreciationMonths,INDEX(FixedAssets[Depreciation
/ Amortization Months],_xlfn.XMATCH($E$33,FixedAssets[Asset ID])),IF(AND((_xlfn.XMATCH(BO$8,$AH$8:$CC$8))-_xlfn.XMATCH($C35,$C$35:$C$82)+1&lt;=_xlpm.DepreciationMonths,$C35&lt;=BO$8),$E35/_xlpm.DepreciationMonths,0))</f>
        <v>69.444444444444443</v>
      </c>
      <c r="BP35" s="507" cm="1">
        <f t="array" ref="BP35">_xlfn.LET(_xlpm.DepreciationMonths,INDEX(FixedAssets[Depreciation
/ Amortization Months],_xlfn.XMATCH($E$33,FixedAssets[Asset ID])),IF(AND((_xlfn.XMATCH(BP$8,$AH$8:$CC$8))-_xlfn.XMATCH($C35,$C$35:$C$82)+1&lt;=_xlpm.DepreciationMonths,$C35&lt;=BP$8),$E35/_xlpm.DepreciationMonths,0))</f>
        <v>69.444444444444443</v>
      </c>
      <c r="BQ35" s="507" cm="1">
        <f t="array" ref="BQ35">_xlfn.LET(_xlpm.DepreciationMonths,INDEX(FixedAssets[Depreciation
/ Amortization Months],_xlfn.XMATCH($E$33,FixedAssets[Asset ID])),IF(AND((_xlfn.XMATCH(BQ$8,$AH$8:$CC$8))-_xlfn.XMATCH($C35,$C$35:$C$82)+1&lt;=_xlpm.DepreciationMonths,$C35&lt;=BQ$8),$E35/_xlpm.DepreciationMonths,0))</f>
        <v>69.444444444444443</v>
      </c>
      <c r="BR35" s="507" cm="1">
        <f t="array" ref="BR35">_xlfn.LET(_xlpm.DepreciationMonths,INDEX(FixedAssets[Depreciation
/ Amortization Months],_xlfn.XMATCH($E$33,FixedAssets[Asset ID])),IF(AND((_xlfn.XMATCH(BR$8,$AH$8:$CC$8))-_xlfn.XMATCH($C35,$C$35:$C$82)+1&lt;=_xlpm.DepreciationMonths,$C35&lt;=BR$8),$E35/_xlpm.DepreciationMonths,0))</f>
        <v>0</v>
      </c>
      <c r="BS35" s="507" cm="1">
        <f t="array" ref="BS35">_xlfn.LET(_xlpm.DepreciationMonths,INDEX(FixedAssets[Depreciation
/ Amortization Months],_xlfn.XMATCH($E$33,FixedAssets[Asset ID])),IF(AND((_xlfn.XMATCH(BS$8,$AH$8:$CC$8))-_xlfn.XMATCH($C35,$C$35:$C$82)+1&lt;=_xlpm.DepreciationMonths,$C35&lt;=BS$8),$E35/_xlpm.DepreciationMonths,0))</f>
        <v>0</v>
      </c>
      <c r="BT35" s="507" cm="1">
        <f t="array" ref="BT35">_xlfn.LET(_xlpm.DepreciationMonths,INDEX(FixedAssets[Depreciation
/ Amortization Months],_xlfn.XMATCH($E$33,FixedAssets[Asset ID])),IF(AND((_xlfn.XMATCH(BT$8,$AH$8:$CC$8))-_xlfn.XMATCH($C35,$C$35:$C$82)+1&lt;=_xlpm.DepreciationMonths,$C35&lt;=BT$8),$E35/_xlpm.DepreciationMonths,0))</f>
        <v>0</v>
      </c>
      <c r="BU35" s="507" cm="1">
        <f t="array" ref="BU35">_xlfn.LET(_xlpm.DepreciationMonths,INDEX(FixedAssets[Depreciation
/ Amortization Months],_xlfn.XMATCH($E$33,FixedAssets[Asset ID])),IF(AND((_xlfn.XMATCH(BU$8,$AH$8:$CC$8))-_xlfn.XMATCH($C35,$C$35:$C$82)+1&lt;=_xlpm.DepreciationMonths,$C35&lt;=BU$8),$E35/_xlpm.DepreciationMonths,0))</f>
        <v>0</v>
      </c>
      <c r="BV35" s="507" cm="1">
        <f t="array" ref="BV35">_xlfn.LET(_xlpm.DepreciationMonths,INDEX(FixedAssets[Depreciation
/ Amortization Months],_xlfn.XMATCH($E$33,FixedAssets[Asset ID])),IF(AND((_xlfn.XMATCH(BV$8,$AH$8:$CC$8))-_xlfn.XMATCH($C35,$C$35:$C$82)+1&lt;=_xlpm.DepreciationMonths,$C35&lt;=BV$8),$E35/_xlpm.DepreciationMonths,0))</f>
        <v>0</v>
      </c>
      <c r="BW35" s="507" cm="1">
        <f t="array" ref="BW35">_xlfn.LET(_xlpm.DepreciationMonths,INDEX(FixedAssets[Depreciation
/ Amortization Months],_xlfn.XMATCH($E$33,FixedAssets[Asset ID])),IF(AND((_xlfn.XMATCH(BW$8,$AH$8:$CC$8))-_xlfn.XMATCH($C35,$C$35:$C$82)+1&lt;=_xlpm.DepreciationMonths,$C35&lt;=BW$8),$E35/_xlpm.DepreciationMonths,0))</f>
        <v>0</v>
      </c>
      <c r="BX35" s="507" cm="1">
        <f t="array" ref="BX35">_xlfn.LET(_xlpm.DepreciationMonths,INDEX(FixedAssets[Depreciation
/ Amortization Months],_xlfn.XMATCH($E$33,FixedAssets[Asset ID])),IF(AND((_xlfn.XMATCH(BX$8,$AH$8:$CC$8))-_xlfn.XMATCH($C35,$C$35:$C$82)+1&lt;=_xlpm.DepreciationMonths,$C35&lt;=BX$8),$E35/_xlpm.DepreciationMonths,0))</f>
        <v>0</v>
      </c>
      <c r="BY35" s="507" cm="1">
        <f t="array" ref="BY35">_xlfn.LET(_xlpm.DepreciationMonths,INDEX(FixedAssets[Depreciation
/ Amortization Months],_xlfn.XMATCH($E$33,FixedAssets[Asset ID])),IF(AND((_xlfn.XMATCH(BY$8,$AH$8:$CC$8))-_xlfn.XMATCH($C35,$C$35:$C$82)+1&lt;=_xlpm.DepreciationMonths,$C35&lt;=BY$8),$E35/_xlpm.DepreciationMonths,0))</f>
        <v>0</v>
      </c>
      <c r="BZ35" s="507" cm="1">
        <f t="array" ref="BZ35">_xlfn.LET(_xlpm.DepreciationMonths,INDEX(FixedAssets[Depreciation
/ Amortization Months],_xlfn.XMATCH($E$33,FixedAssets[Asset ID])),IF(AND((_xlfn.XMATCH(BZ$8,$AH$8:$CC$8))-_xlfn.XMATCH($C35,$C$35:$C$82)+1&lt;=_xlpm.DepreciationMonths,$C35&lt;=BZ$8),$E35/_xlpm.DepreciationMonths,0))</f>
        <v>0</v>
      </c>
      <c r="CA35" s="507" cm="1">
        <f t="array" ref="CA35">_xlfn.LET(_xlpm.DepreciationMonths,INDEX(FixedAssets[Depreciation
/ Amortization Months],_xlfn.XMATCH($E$33,FixedAssets[Asset ID])),IF(AND((_xlfn.XMATCH(CA$8,$AH$8:$CC$8))-_xlfn.XMATCH($C35,$C$35:$C$82)+1&lt;=_xlpm.DepreciationMonths,$C35&lt;=CA$8),$E35/_xlpm.DepreciationMonths,0))</f>
        <v>0</v>
      </c>
      <c r="CB35" s="507" cm="1">
        <f t="array" ref="CB35">_xlfn.LET(_xlpm.DepreciationMonths,INDEX(FixedAssets[Depreciation
/ Amortization Months],_xlfn.XMATCH($E$33,FixedAssets[Asset ID])),IF(AND((_xlfn.XMATCH(CB$8,$AH$8:$CC$8))-_xlfn.XMATCH($C35,$C$35:$C$82)+1&lt;=_xlpm.DepreciationMonths,$C35&lt;=CB$8),$E35/_xlpm.DepreciationMonths,0))</f>
        <v>0</v>
      </c>
      <c r="CC35" s="507" cm="1">
        <f t="array" ref="CC35">_xlfn.LET(_xlpm.DepreciationMonths,INDEX(FixedAssets[Depreciation
/ Amortization Months],_xlfn.XMATCH($E$33,FixedAssets[Asset ID])),IF(AND((_xlfn.XMATCH(CC$8,$AH$8:$CC$8))-_xlfn.XMATCH($C35,$C$35:$C$82)+1&lt;=_xlpm.DepreciationMonths,$C35&lt;=CC$8),$E35/_xlpm.DepreciationMonths,0))</f>
        <v>0</v>
      </c>
    </row>
    <row r="36" spans="3:81" hidden="1" outlineLevel="2">
      <c r="C36" s="664">
        <f t="shared" ref="C36:C82" si="91">EOMONTH(C35,1)</f>
        <v>44985</v>
      </c>
      <c r="D36" s="508"/>
      <c r="E36" s="508" cm="1">
        <f t="array" ref="E36">SUMPRODUCT(($AH$26:$CC$31)*($AH$5:$CC$5=$C36)*($E$26:$E$31=E$33))-SUMPRODUCT(($AH$26:$CC$31)*($AH$5:$CC$5=EOMONTH($C36,-1))*($E$26:$E$31=E$33))</f>
        <v>0</v>
      </c>
      <c r="F36" s="508"/>
      <c r="G36" s="508"/>
      <c r="H36" s="508"/>
      <c r="I36" s="508"/>
      <c r="J36" s="504">
        <f t="shared" si="88"/>
        <v>0</v>
      </c>
      <c r="K36" s="504">
        <f t="shared" si="89"/>
        <v>0</v>
      </c>
      <c r="L36" s="504">
        <f t="shared" si="89"/>
        <v>0</v>
      </c>
      <c r="M36" s="504">
        <f t="shared" si="89"/>
        <v>0</v>
      </c>
      <c r="N36" s="504"/>
      <c r="O36" s="504"/>
      <c r="P36" s="504">
        <f t="shared" si="90"/>
        <v>0</v>
      </c>
      <c r="Q36" s="504">
        <f t="shared" si="90"/>
        <v>0</v>
      </c>
      <c r="R36" s="504">
        <f t="shared" si="90"/>
        <v>0</v>
      </c>
      <c r="S36" s="504">
        <f t="shared" si="90"/>
        <v>0</v>
      </c>
      <c r="T36" s="504">
        <f t="shared" si="90"/>
        <v>0</v>
      </c>
      <c r="U36" s="504">
        <f t="shared" si="90"/>
        <v>0</v>
      </c>
      <c r="V36" s="504">
        <f t="shared" si="90"/>
        <v>0</v>
      </c>
      <c r="W36" s="504">
        <f t="shared" si="90"/>
        <v>0</v>
      </c>
      <c r="X36" s="504">
        <f t="shared" si="90"/>
        <v>0</v>
      </c>
      <c r="Y36" s="504">
        <f t="shared" si="90"/>
        <v>0</v>
      </c>
      <c r="Z36" s="504">
        <f t="shared" si="90"/>
        <v>0</v>
      </c>
      <c r="AA36" s="504">
        <f t="shared" si="90"/>
        <v>0</v>
      </c>
      <c r="AB36" s="504">
        <f t="shared" si="90"/>
        <v>0</v>
      </c>
      <c r="AC36" s="504">
        <f t="shared" si="90"/>
        <v>0</v>
      </c>
      <c r="AD36" s="504">
        <f t="shared" si="90"/>
        <v>0</v>
      </c>
      <c r="AE36" s="504">
        <f t="shared" si="90"/>
        <v>0</v>
      </c>
      <c r="AF36" s="508"/>
      <c r="AG36" s="508"/>
      <c r="AH36" s="507" cm="1">
        <f t="array" ref="AH36">_xlfn.LET(_xlpm.DepreciationMonths,INDEX(FixedAssets[Depreciation
/ Amortization Months],_xlfn.XMATCH($E$33,FixedAssets[Asset ID])),IF(AND((_xlfn.XMATCH(AH$8,$AH$8:$CC$8))-_xlfn.XMATCH($C36,$C$35:$C$82)+1&lt;=_xlpm.DepreciationMonths,$C36&lt;=AH$8),$E36/_xlpm.DepreciationMonths,0))</f>
        <v>0</v>
      </c>
      <c r="AI36" s="507" cm="1">
        <f t="array" ref="AI36">_xlfn.LET(_xlpm.DepreciationMonths,INDEX(FixedAssets[Depreciation
/ Amortization Months],_xlfn.XMATCH($E$33,FixedAssets[Asset ID])),IF(AND((_xlfn.XMATCH(AI$8,$AH$8:$CC$8))-_xlfn.XMATCH($C36,$C$35:$C$82)+1&lt;=_xlpm.DepreciationMonths,$C36&lt;=AI$8),$E36/_xlpm.DepreciationMonths,0))</f>
        <v>0</v>
      </c>
      <c r="AJ36" s="507" cm="1">
        <f t="array" ref="AJ36">_xlfn.LET(_xlpm.DepreciationMonths,INDEX(FixedAssets[Depreciation
/ Amortization Months],_xlfn.XMATCH($E$33,FixedAssets[Asset ID])),IF(AND((_xlfn.XMATCH(AJ$8,$AH$8:$CC$8))-_xlfn.XMATCH($C36,$C$35:$C$82)+1&lt;=_xlpm.DepreciationMonths,$C36&lt;=AJ$8),$E36/_xlpm.DepreciationMonths,0))</f>
        <v>0</v>
      </c>
      <c r="AK36" s="507" cm="1">
        <f t="array" ref="AK36">_xlfn.LET(_xlpm.DepreciationMonths,INDEX(FixedAssets[Depreciation
/ Amortization Months],_xlfn.XMATCH($E$33,FixedAssets[Asset ID])),IF(AND((_xlfn.XMATCH(AK$8,$AH$8:$CC$8))-_xlfn.XMATCH($C36,$C$35:$C$82)+1&lt;=_xlpm.DepreciationMonths,$C36&lt;=AK$8),$E36/_xlpm.DepreciationMonths,0))</f>
        <v>0</v>
      </c>
      <c r="AL36" s="507" cm="1">
        <f t="array" ref="AL36">_xlfn.LET(_xlpm.DepreciationMonths,INDEX(FixedAssets[Depreciation
/ Amortization Months],_xlfn.XMATCH($E$33,FixedAssets[Asset ID])),IF(AND((_xlfn.XMATCH(AL$8,$AH$8:$CC$8))-_xlfn.XMATCH($C36,$C$35:$C$82)+1&lt;=_xlpm.DepreciationMonths,$C36&lt;=AL$8),$E36/_xlpm.DepreciationMonths,0))</f>
        <v>0</v>
      </c>
      <c r="AM36" s="507" cm="1">
        <f t="array" ref="AM36">_xlfn.LET(_xlpm.DepreciationMonths,INDEX(FixedAssets[Depreciation
/ Amortization Months],_xlfn.XMATCH($E$33,FixedAssets[Asset ID])),IF(AND((_xlfn.XMATCH(AM$8,$AH$8:$CC$8))-_xlfn.XMATCH($C36,$C$35:$C$82)+1&lt;=_xlpm.DepreciationMonths,$C36&lt;=AM$8),$E36/_xlpm.DepreciationMonths,0))</f>
        <v>0</v>
      </c>
      <c r="AN36" s="507" cm="1">
        <f t="array" ref="AN36">_xlfn.LET(_xlpm.DepreciationMonths,INDEX(FixedAssets[Depreciation
/ Amortization Months],_xlfn.XMATCH($E$33,FixedAssets[Asset ID])),IF(AND((_xlfn.XMATCH(AN$8,$AH$8:$CC$8))-_xlfn.XMATCH($C36,$C$35:$C$82)+1&lt;=_xlpm.DepreciationMonths,$C36&lt;=AN$8),$E36/_xlpm.DepreciationMonths,0))</f>
        <v>0</v>
      </c>
      <c r="AO36" s="507" cm="1">
        <f t="array" ref="AO36">_xlfn.LET(_xlpm.DepreciationMonths,INDEX(FixedAssets[Depreciation
/ Amortization Months],_xlfn.XMATCH($E$33,FixedAssets[Asset ID])),IF(AND((_xlfn.XMATCH(AO$8,$AH$8:$CC$8))-_xlfn.XMATCH($C36,$C$35:$C$82)+1&lt;=_xlpm.DepreciationMonths,$C36&lt;=AO$8),$E36/_xlpm.DepreciationMonths,0))</f>
        <v>0</v>
      </c>
      <c r="AP36" s="507" cm="1">
        <f t="array" ref="AP36">_xlfn.LET(_xlpm.DepreciationMonths,INDEX(FixedAssets[Depreciation
/ Amortization Months],_xlfn.XMATCH($E$33,FixedAssets[Asset ID])),IF(AND((_xlfn.XMATCH(AP$8,$AH$8:$CC$8))-_xlfn.XMATCH($C36,$C$35:$C$82)+1&lt;=_xlpm.DepreciationMonths,$C36&lt;=AP$8),$E36/_xlpm.DepreciationMonths,0))</f>
        <v>0</v>
      </c>
      <c r="AQ36" s="507" cm="1">
        <f t="array" ref="AQ36">_xlfn.LET(_xlpm.DepreciationMonths,INDEX(FixedAssets[Depreciation
/ Amortization Months],_xlfn.XMATCH($E$33,FixedAssets[Asset ID])),IF(AND((_xlfn.XMATCH(AQ$8,$AH$8:$CC$8))-_xlfn.XMATCH($C36,$C$35:$C$82)+1&lt;=_xlpm.DepreciationMonths,$C36&lt;=AQ$8),$E36/_xlpm.DepreciationMonths,0))</f>
        <v>0</v>
      </c>
      <c r="AR36" s="507" cm="1">
        <f t="array" ref="AR36">_xlfn.LET(_xlpm.DepreciationMonths,INDEX(FixedAssets[Depreciation
/ Amortization Months],_xlfn.XMATCH($E$33,FixedAssets[Asset ID])),IF(AND((_xlfn.XMATCH(AR$8,$AH$8:$CC$8))-_xlfn.XMATCH($C36,$C$35:$C$82)+1&lt;=_xlpm.DepreciationMonths,$C36&lt;=AR$8),$E36/_xlpm.DepreciationMonths,0))</f>
        <v>0</v>
      </c>
      <c r="AS36" s="507" cm="1">
        <f t="array" ref="AS36">_xlfn.LET(_xlpm.DepreciationMonths,INDEX(FixedAssets[Depreciation
/ Amortization Months],_xlfn.XMATCH($E$33,FixedAssets[Asset ID])),IF(AND((_xlfn.XMATCH(AS$8,$AH$8:$CC$8))-_xlfn.XMATCH($C36,$C$35:$C$82)+1&lt;=_xlpm.DepreciationMonths,$C36&lt;=AS$8),$E36/_xlpm.DepreciationMonths,0))</f>
        <v>0</v>
      </c>
      <c r="AT36" s="507" cm="1">
        <f t="array" ref="AT36">_xlfn.LET(_xlpm.DepreciationMonths,INDEX(FixedAssets[Depreciation
/ Amortization Months],_xlfn.XMATCH($E$33,FixedAssets[Asset ID])),IF(AND((_xlfn.XMATCH(AT$8,$AH$8:$CC$8))-_xlfn.XMATCH($C36,$C$35:$C$82)+1&lt;=_xlpm.DepreciationMonths,$C36&lt;=AT$8),$E36/_xlpm.DepreciationMonths,0))</f>
        <v>0</v>
      </c>
      <c r="AU36" s="507" cm="1">
        <f t="array" ref="AU36">_xlfn.LET(_xlpm.DepreciationMonths,INDEX(FixedAssets[Depreciation
/ Amortization Months],_xlfn.XMATCH($E$33,FixedAssets[Asset ID])),IF(AND((_xlfn.XMATCH(AU$8,$AH$8:$CC$8))-_xlfn.XMATCH($C36,$C$35:$C$82)+1&lt;=_xlpm.DepreciationMonths,$C36&lt;=AU$8),$E36/_xlpm.DepreciationMonths,0))</f>
        <v>0</v>
      </c>
      <c r="AV36" s="507" cm="1">
        <f t="array" ref="AV36">_xlfn.LET(_xlpm.DepreciationMonths,INDEX(FixedAssets[Depreciation
/ Amortization Months],_xlfn.XMATCH($E$33,FixedAssets[Asset ID])),IF(AND((_xlfn.XMATCH(AV$8,$AH$8:$CC$8))-_xlfn.XMATCH($C36,$C$35:$C$82)+1&lt;=_xlpm.DepreciationMonths,$C36&lt;=AV$8),$E36/_xlpm.DepreciationMonths,0))</f>
        <v>0</v>
      </c>
      <c r="AW36" s="507" cm="1">
        <f t="array" ref="AW36">_xlfn.LET(_xlpm.DepreciationMonths,INDEX(FixedAssets[Depreciation
/ Amortization Months],_xlfn.XMATCH($E$33,FixedAssets[Asset ID])),IF(AND((_xlfn.XMATCH(AW$8,$AH$8:$CC$8))-_xlfn.XMATCH($C36,$C$35:$C$82)+1&lt;=_xlpm.DepreciationMonths,$C36&lt;=AW$8),$E36/_xlpm.DepreciationMonths,0))</f>
        <v>0</v>
      </c>
      <c r="AX36" s="507" cm="1">
        <f t="array" ref="AX36">_xlfn.LET(_xlpm.DepreciationMonths,INDEX(FixedAssets[Depreciation
/ Amortization Months],_xlfn.XMATCH($E$33,FixedAssets[Asset ID])),IF(AND((_xlfn.XMATCH(AX$8,$AH$8:$CC$8))-_xlfn.XMATCH($C36,$C$35:$C$82)+1&lt;=_xlpm.DepreciationMonths,$C36&lt;=AX$8),$E36/_xlpm.DepreciationMonths,0))</f>
        <v>0</v>
      </c>
      <c r="AY36" s="507" cm="1">
        <f t="array" ref="AY36">_xlfn.LET(_xlpm.DepreciationMonths,INDEX(FixedAssets[Depreciation
/ Amortization Months],_xlfn.XMATCH($E$33,FixedAssets[Asset ID])),IF(AND((_xlfn.XMATCH(AY$8,$AH$8:$CC$8))-_xlfn.XMATCH($C36,$C$35:$C$82)+1&lt;=_xlpm.DepreciationMonths,$C36&lt;=AY$8),$E36/_xlpm.DepreciationMonths,0))</f>
        <v>0</v>
      </c>
      <c r="AZ36" s="507" cm="1">
        <f t="array" ref="AZ36">_xlfn.LET(_xlpm.DepreciationMonths,INDEX(FixedAssets[Depreciation
/ Amortization Months],_xlfn.XMATCH($E$33,FixedAssets[Asset ID])),IF(AND((_xlfn.XMATCH(AZ$8,$AH$8:$CC$8))-_xlfn.XMATCH($C36,$C$35:$C$82)+1&lt;=_xlpm.DepreciationMonths,$C36&lt;=AZ$8),$E36/_xlpm.DepreciationMonths,0))</f>
        <v>0</v>
      </c>
      <c r="BA36" s="507" cm="1">
        <f t="array" ref="BA36">_xlfn.LET(_xlpm.DepreciationMonths,INDEX(FixedAssets[Depreciation
/ Amortization Months],_xlfn.XMATCH($E$33,FixedAssets[Asset ID])),IF(AND((_xlfn.XMATCH(BA$8,$AH$8:$CC$8))-_xlfn.XMATCH($C36,$C$35:$C$82)+1&lt;=_xlpm.DepreciationMonths,$C36&lt;=BA$8),$E36/_xlpm.DepreciationMonths,0))</f>
        <v>0</v>
      </c>
      <c r="BB36" s="507" cm="1">
        <f t="array" ref="BB36">_xlfn.LET(_xlpm.DepreciationMonths,INDEX(FixedAssets[Depreciation
/ Amortization Months],_xlfn.XMATCH($E$33,FixedAssets[Asset ID])),IF(AND((_xlfn.XMATCH(BB$8,$AH$8:$CC$8))-_xlfn.XMATCH($C36,$C$35:$C$82)+1&lt;=_xlpm.DepreciationMonths,$C36&lt;=BB$8),$E36/_xlpm.DepreciationMonths,0))</f>
        <v>0</v>
      </c>
      <c r="BC36" s="507" cm="1">
        <f t="array" ref="BC36">_xlfn.LET(_xlpm.DepreciationMonths,INDEX(FixedAssets[Depreciation
/ Amortization Months],_xlfn.XMATCH($E$33,FixedAssets[Asset ID])),IF(AND((_xlfn.XMATCH(BC$8,$AH$8:$CC$8))-_xlfn.XMATCH($C36,$C$35:$C$82)+1&lt;=_xlpm.DepreciationMonths,$C36&lt;=BC$8),$E36/_xlpm.DepreciationMonths,0))</f>
        <v>0</v>
      </c>
      <c r="BD36" s="507" cm="1">
        <f t="array" ref="BD36">_xlfn.LET(_xlpm.DepreciationMonths,INDEX(FixedAssets[Depreciation
/ Amortization Months],_xlfn.XMATCH($E$33,FixedAssets[Asset ID])),IF(AND((_xlfn.XMATCH(BD$8,$AH$8:$CC$8))-_xlfn.XMATCH($C36,$C$35:$C$82)+1&lt;=_xlpm.DepreciationMonths,$C36&lt;=BD$8),$E36/_xlpm.DepreciationMonths,0))</f>
        <v>0</v>
      </c>
      <c r="BE36" s="507" cm="1">
        <f t="array" ref="BE36">_xlfn.LET(_xlpm.DepreciationMonths,INDEX(FixedAssets[Depreciation
/ Amortization Months],_xlfn.XMATCH($E$33,FixedAssets[Asset ID])),IF(AND((_xlfn.XMATCH(BE$8,$AH$8:$CC$8))-_xlfn.XMATCH($C36,$C$35:$C$82)+1&lt;=_xlpm.DepreciationMonths,$C36&lt;=BE$8),$E36/_xlpm.DepreciationMonths,0))</f>
        <v>0</v>
      </c>
      <c r="BF36" s="507" cm="1">
        <f t="array" ref="BF36">_xlfn.LET(_xlpm.DepreciationMonths,INDEX(FixedAssets[Depreciation
/ Amortization Months],_xlfn.XMATCH($E$33,FixedAssets[Asset ID])),IF(AND((_xlfn.XMATCH(BF$8,$AH$8:$CC$8))-_xlfn.XMATCH($C36,$C$35:$C$82)+1&lt;=_xlpm.DepreciationMonths,$C36&lt;=BF$8),$E36/_xlpm.DepreciationMonths,0))</f>
        <v>0</v>
      </c>
      <c r="BG36" s="507" cm="1">
        <f t="array" ref="BG36">_xlfn.LET(_xlpm.DepreciationMonths,INDEX(FixedAssets[Depreciation
/ Amortization Months],_xlfn.XMATCH($E$33,FixedAssets[Asset ID])),IF(AND((_xlfn.XMATCH(BG$8,$AH$8:$CC$8))-_xlfn.XMATCH($C36,$C$35:$C$82)+1&lt;=_xlpm.DepreciationMonths,$C36&lt;=BG$8),$E36/_xlpm.DepreciationMonths,0))</f>
        <v>0</v>
      </c>
      <c r="BH36" s="507" cm="1">
        <f t="array" ref="BH36">_xlfn.LET(_xlpm.DepreciationMonths,INDEX(FixedAssets[Depreciation
/ Amortization Months],_xlfn.XMATCH($E$33,FixedAssets[Asset ID])),IF(AND((_xlfn.XMATCH(BH$8,$AH$8:$CC$8))-_xlfn.XMATCH($C36,$C$35:$C$82)+1&lt;=_xlpm.DepreciationMonths,$C36&lt;=BH$8),$E36/_xlpm.DepreciationMonths,0))</f>
        <v>0</v>
      </c>
      <c r="BI36" s="507" cm="1">
        <f t="array" ref="BI36">_xlfn.LET(_xlpm.DepreciationMonths,INDEX(FixedAssets[Depreciation
/ Amortization Months],_xlfn.XMATCH($E$33,FixedAssets[Asset ID])),IF(AND((_xlfn.XMATCH(BI$8,$AH$8:$CC$8))-_xlfn.XMATCH($C36,$C$35:$C$82)+1&lt;=_xlpm.DepreciationMonths,$C36&lt;=BI$8),$E36/_xlpm.DepreciationMonths,0))</f>
        <v>0</v>
      </c>
      <c r="BJ36" s="507" cm="1">
        <f t="array" ref="BJ36">_xlfn.LET(_xlpm.DepreciationMonths,INDEX(FixedAssets[Depreciation
/ Amortization Months],_xlfn.XMATCH($E$33,FixedAssets[Asset ID])),IF(AND((_xlfn.XMATCH(BJ$8,$AH$8:$CC$8))-_xlfn.XMATCH($C36,$C$35:$C$82)+1&lt;=_xlpm.DepreciationMonths,$C36&lt;=BJ$8),$E36/_xlpm.DepreciationMonths,0))</f>
        <v>0</v>
      </c>
      <c r="BK36" s="507" cm="1">
        <f t="array" ref="BK36">_xlfn.LET(_xlpm.DepreciationMonths,INDEX(FixedAssets[Depreciation
/ Amortization Months],_xlfn.XMATCH($E$33,FixedAssets[Asset ID])),IF(AND((_xlfn.XMATCH(BK$8,$AH$8:$CC$8))-_xlfn.XMATCH($C36,$C$35:$C$82)+1&lt;=_xlpm.DepreciationMonths,$C36&lt;=BK$8),$E36/_xlpm.DepreciationMonths,0))</f>
        <v>0</v>
      </c>
      <c r="BL36" s="507" cm="1">
        <f t="array" ref="BL36">_xlfn.LET(_xlpm.DepreciationMonths,INDEX(FixedAssets[Depreciation
/ Amortization Months],_xlfn.XMATCH($E$33,FixedAssets[Asset ID])),IF(AND((_xlfn.XMATCH(BL$8,$AH$8:$CC$8))-_xlfn.XMATCH($C36,$C$35:$C$82)+1&lt;=_xlpm.DepreciationMonths,$C36&lt;=BL$8),$E36/_xlpm.DepreciationMonths,0))</f>
        <v>0</v>
      </c>
      <c r="BM36" s="507" cm="1">
        <f t="array" ref="BM36">_xlfn.LET(_xlpm.DepreciationMonths,INDEX(FixedAssets[Depreciation
/ Amortization Months],_xlfn.XMATCH($E$33,FixedAssets[Asset ID])),IF(AND((_xlfn.XMATCH(BM$8,$AH$8:$CC$8))-_xlfn.XMATCH($C36,$C$35:$C$82)+1&lt;=_xlpm.DepreciationMonths,$C36&lt;=BM$8),$E36/_xlpm.DepreciationMonths,0))</f>
        <v>0</v>
      </c>
      <c r="BN36" s="507" cm="1">
        <f t="array" ref="BN36">_xlfn.LET(_xlpm.DepreciationMonths,INDEX(FixedAssets[Depreciation
/ Amortization Months],_xlfn.XMATCH($E$33,FixedAssets[Asset ID])),IF(AND((_xlfn.XMATCH(BN$8,$AH$8:$CC$8))-_xlfn.XMATCH($C36,$C$35:$C$82)+1&lt;=_xlpm.DepreciationMonths,$C36&lt;=BN$8),$E36/_xlpm.DepreciationMonths,0))</f>
        <v>0</v>
      </c>
      <c r="BO36" s="507" cm="1">
        <f t="array" ref="BO36">_xlfn.LET(_xlpm.DepreciationMonths,INDEX(FixedAssets[Depreciation
/ Amortization Months],_xlfn.XMATCH($E$33,FixedAssets[Asset ID])),IF(AND((_xlfn.XMATCH(BO$8,$AH$8:$CC$8))-_xlfn.XMATCH($C36,$C$35:$C$82)+1&lt;=_xlpm.DepreciationMonths,$C36&lt;=BO$8),$E36/_xlpm.DepreciationMonths,0))</f>
        <v>0</v>
      </c>
      <c r="BP36" s="507" cm="1">
        <f t="array" ref="BP36">_xlfn.LET(_xlpm.DepreciationMonths,INDEX(FixedAssets[Depreciation
/ Amortization Months],_xlfn.XMATCH($E$33,FixedAssets[Asset ID])),IF(AND((_xlfn.XMATCH(BP$8,$AH$8:$CC$8))-_xlfn.XMATCH($C36,$C$35:$C$82)+1&lt;=_xlpm.DepreciationMonths,$C36&lt;=BP$8),$E36/_xlpm.DepreciationMonths,0))</f>
        <v>0</v>
      </c>
      <c r="BQ36" s="507" cm="1">
        <f t="array" ref="BQ36">_xlfn.LET(_xlpm.DepreciationMonths,INDEX(FixedAssets[Depreciation
/ Amortization Months],_xlfn.XMATCH($E$33,FixedAssets[Asset ID])),IF(AND((_xlfn.XMATCH(BQ$8,$AH$8:$CC$8))-_xlfn.XMATCH($C36,$C$35:$C$82)+1&lt;=_xlpm.DepreciationMonths,$C36&lt;=BQ$8),$E36/_xlpm.DepreciationMonths,0))</f>
        <v>0</v>
      </c>
      <c r="BR36" s="507" cm="1">
        <f t="array" ref="BR36">_xlfn.LET(_xlpm.DepreciationMonths,INDEX(FixedAssets[Depreciation
/ Amortization Months],_xlfn.XMATCH($E$33,FixedAssets[Asset ID])),IF(AND((_xlfn.XMATCH(BR$8,$AH$8:$CC$8))-_xlfn.XMATCH($C36,$C$35:$C$82)+1&lt;=_xlpm.DepreciationMonths,$C36&lt;=BR$8),$E36/_xlpm.DepreciationMonths,0))</f>
        <v>0</v>
      </c>
      <c r="BS36" s="507" cm="1">
        <f t="array" ref="BS36">_xlfn.LET(_xlpm.DepreciationMonths,INDEX(FixedAssets[Depreciation
/ Amortization Months],_xlfn.XMATCH($E$33,FixedAssets[Asset ID])),IF(AND((_xlfn.XMATCH(BS$8,$AH$8:$CC$8))-_xlfn.XMATCH($C36,$C$35:$C$82)+1&lt;=_xlpm.DepreciationMonths,$C36&lt;=BS$8),$E36/_xlpm.DepreciationMonths,0))</f>
        <v>0</v>
      </c>
      <c r="BT36" s="507" cm="1">
        <f t="array" ref="BT36">_xlfn.LET(_xlpm.DepreciationMonths,INDEX(FixedAssets[Depreciation
/ Amortization Months],_xlfn.XMATCH($E$33,FixedAssets[Asset ID])),IF(AND((_xlfn.XMATCH(BT$8,$AH$8:$CC$8))-_xlfn.XMATCH($C36,$C$35:$C$82)+1&lt;=_xlpm.DepreciationMonths,$C36&lt;=BT$8),$E36/_xlpm.DepreciationMonths,0))</f>
        <v>0</v>
      </c>
      <c r="BU36" s="507" cm="1">
        <f t="array" ref="BU36">_xlfn.LET(_xlpm.DepreciationMonths,INDEX(FixedAssets[Depreciation
/ Amortization Months],_xlfn.XMATCH($E$33,FixedAssets[Asset ID])),IF(AND((_xlfn.XMATCH(BU$8,$AH$8:$CC$8))-_xlfn.XMATCH($C36,$C$35:$C$82)+1&lt;=_xlpm.DepreciationMonths,$C36&lt;=BU$8),$E36/_xlpm.DepreciationMonths,0))</f>
        <v>0</v>
      </c>
      <c r="BV36" s="507" cm="1">
        <f t="array" ref="BV36">_xlfn.LET(_xlpm.DepreciationMonths,INDEX(FixedAssets[Depreciation
/ Amortization Months],_xlfn.XMATCH($E$33,FixedAssets[Asset ID])),IF(AND((_xlfn.XMATCH(BV$8,$AH$8:$CC$8))-_xlfn.XMATCH($C36,$C$35:$C$82)+1&lt;=_xlpm.DepreciationMonths,$C36&lt;=BV$8),$E36/_xlpm.DepreciationMonths,0))</f>
        <v>0</v>
      </c>
      <c r="BW36" s="507" cm="1">
        <f t="array" ref="BW36">_xlfn.LET(_xlpm.DepreciationMonths,INDEX(FixedAssets[Depreciation
/ Amortization Months],_xlfn.XMATCH($E$33,FixedAssets[Asset ID])),IF(AND((_xlfn.XMATCH(BW$8,$AH$8:$CC$8))-_xlfn.XMATCH($C36,$C$35:$C$82)+1&lt;=_xlpm.DepreciationMonths,$C36&lt;=BW$8),$E36/_xlpm.DepreciationMonths,0))</f>
        <v>0</v>
      </c>
      <c r="BX36" s="507" cm="1">
        <f t="array" ref="BX36">_xlfn.LET(_xlpm.DepreciationMonths,INDEX(FixedAssets[Depreciation
/ Amortization Months],_xlfn.XMATCH($E$33,FixedAssets[Asset ID])),IF(AND((_xlfn.XMATCH(BX$8,$AH$8:$CC$8))-_xlfn.XMATCH($C36,$C$35:$C$82)+1&lt;=_xlpm.DepreciationMonths,$C36&lt;=BX$8),$E36/_xlpm.DepreciationMonths,0))</f>
        <v>0</v>
      </c>
      <c r="BY36" s="507" cm="1">
        <f t="array" ref="BY36">_xlfn.LET(_xlpm.DepreciationMonths,INDEX(FixedAssets[Depreciation
/ Amortization Months],_xlfn.XMATCH($E$33,FixedAssets[Asset ID])),IF(AND((_xlfn.XMATCH(BY$8,$AH$8:$CC$8))-_xlfn.XMATCH($C36,$C$35:$C$82)+1&lt;=_xlpm.DepreciationMonths,$C36&lt;=BY$8),$E36/_xlpm.DepreciationMonths,0))</f>
        <v>0</v>
      </c>
      <c r="BZ36" s="507" cm="1">
        <f t="array" ref="BZ36">_xlfn.LET(_xlpm.DepreciationMonths,INDEX(FixedAssets[Depreciation
/ Amortization Months],_xlfn.XMATCH($E$33,FixedAssets[Asset ID])),IF(AND((_xlfn.XMATCH(BZ$8,$AH$8:$CC$8))-_xlfn.XMATCH($C36,$C$35:$C$82)+1&lt;=_xlpm.DepreciationMonths,$C36&lt;=BZ$8),$E36/_xlpm.DepreciationMonths,0))</f>
        <v>0</v>
      </c>
      <c r="CA36" s="507" cm="1">
        <f t="array" ref="CA36">_xlfn.LET(_xlpm.DepreciationMonths,INDEX(FixedAssets[Depreciation
/ Amortization Months],_xlfn.XMATCH($E$33,FixedAssets[Asset ID])),IF(AND((_xlfn.XMATCH(CA$8,$AH$8:$CC$8))-_xlfn.XMATCH($C36,$C$35:$C$82)+1&lt;=_xlpm.DepreciationMonths,$C36&lt;=CA$8),$E36/_xlpm.DepreciationMonths,0))</f>
        <v>0</v>
      </c>
      <c r="CB36" s="507" cm="1">
        <f t="array" ref="CB36">_xlfn.LET(_xlpm.DepreciationMonths,INDEX(FixedAssets[Depreciation
/ Amortization Months],_xlfn.XMATCH($E$33,FixedAssets[Asset ID])),IF(AND((_xlfn.XMATCH(CB$8,$AH$8:$CC$8))-_xlfn.XMATCH($C36,$C$35:$C$82)+1&lt;=_xlpm.DepreciationMonths,$C36&lt;=CB$8),$E36/_xlpm.DepreciationMonths,0))</f>
        <v>0</v>
      </c>
      <c r="CC36" s="507" cm="1">
        <f t="array" ref="CC36">_xlfn.LET(_xlpm.DepreciationMonths,INDEX(FixedAssets[Depreciation
/ Amortization Months],_xlfn.XMATCH($E$33,FixedAssets[Asset ID])),IF(AND((_xlfn.XMATCH(CC$8,$AH$8:$CC$8))-_xlfn.XMATCH($C36,$C$35:$C$82)+1&lt;=_xlpm.DepreciationMonths,$C36&lt;=CC$8),$E36/_xlpm.DepreciationMonths,0))</f>
        <v>0</v>
      </c>
    </row>
    <row r="37" spans="3:81" hidden="1" outlineLevel="2">
      <c r="C37" s="664">
        <f t="shared" si="91"/>
        <v>45016</v>
      </c>
      <c r="D37" s="508"/>
      <c r="E37" s="508" cm="1">
        <f t="array" ref="E37">SUMPRODUCT(($AH$26:$CC$31)*($AH$5:$CC$5=$C37)*($E$26:$E$31=E$33))-SUMPRODUCT(($AH$26:$CC$31)*($AH$5:$CC$5=EOMONTH($C37,-1))*($E$26:$E$31=E$33))</f>
        <v>2500</v>
      </c>
      <c r="F37" s="508"/>
      <c r="G37" s="508"/>
      <c r="H37" s="508"/>
      <c r="I37" s="508"/>
      <c r="J37" s="504">
        <f t="shared" si="88"/>
        <v>694.44444444444446</v>
      </c>
      <c r="K37" s="504">
        <f t="shared" si="89"/>
        <v>833.33333333333337</v>
      </c>
      <c r="L37" s="504">
        <f t="shared" si="89"/>
        <v>833.33333333333337</v>
      </c>
      <c r="M37" s="504">
        <f t="shared" si="89"/>
        <v>138.88888888888889</v>
      </c>
      <c r="N37" s="504"/>
      <c r="O37" s="504"/>
      <c r="P37" s="504">
        <f t="shared" si="90"/>
        <v>69.444444444444443</v>
      </c>
      <c r="Q37" s="504">
        <f t="shared" si="90"/>
        <v>208.33333333333331</v>
      </c>
      <c r="R37" s="504">
        <f t="shared" si="90"/>
        <v>208.33333333333331</v>
      </c>
      <c r="S37" s="504">
        <f t="shared" si="90"/>
        <v>208.33333333333331</v>
      </c>
      <c r="T37" s="504">
        <f t="shared" si="90"/>
        <v>208.33333333333331</v>
      </c>
      <c r="U37" s="504">
        <f t="shared" si="90"/>
        <v>208.33333333333331</v>
      </c>
      <c r="V37" s="504">
        <f t="shared" si="90"/>
        <v>208.33333333333331</v>
      </c>
      <c r="W37" s="504">
        <f t="shared" si="90"/>
        <v>208.33333333333331</v>
      </c>
      <c r="X37" s="504">
        <f t="shared" si="90"/>
        <v>208.33333333333331</v>
      </c>
      <c r="Y37" s="504">
        <f t="shared" si="90"/>
        <v>208.33333333333331</v>
      </c>
      <c r="Z37" s="504">
        <f t="shared" si="90"/>
        <v>208.33333333333331</v>
      </c>
      <c r="AA37" s="504">
        <f t="shared" si="90"/>
        <v>208.33333333333331</v>
      </c>
      <c r="AB37" s="504">
        <f t="shared" si="90"/>
        <v>138.88888888888889</v>
      </c>
      <c r="AC37" s="504">
        <f t="shared" si="90"/>
        <v>0</v>
      </c>
      <c r="AD37" s="504">
        <f t="shared" si="90"/>
        <v>0</v>
      </c>
      <c r="AE37" s="504">
        <f t="shared" si="90"/>
        <v>0</v>
      </c>
      <c r="AF37" s="508"/>
      <c r="AG37" s="508"/>
      <c r="AH37" s="507" cm="1">
        <f t="array" ref="AH37">_xlfn.LET(_xlpm.DepreciationMonths,INDEX(FixedAssets[Depreciation
/ Amortization Months],_xlfn.XMATCH($E$33,FixedAssets[Asset ID])),IF(AND((_xlfn.XMATCH(AH$8,$AH$8:$CC$8))-_xlfn.XMATCH($C37,$C$35:$C$82)+1&lt;=_xlpm.DepreciationMonths,$C37&lt;=AH$8),$E37/_xlpm.DepreciationMonths,0))</f>
        <v>0</v>
      </c>
      <c r="AI37" s="507" cm="1">
        <f t="array" ref="AI37">_xlfn.LET(_xlpm.DepreciationMonths,INDEX(FixedAssets[Depreciation
/ Amortization Months],_xlfn.XMATCH($E$33,FixedAssets[Asset ID])),IF(AND((_xlfn.XMATCH(AI$8,$AH$8:$CC$8))-_xlfn.XMATCH($C37,$C$35:$C$82)+1&lt;=_xlpm.DepreciationMonths,$C37&lt;=AI$8),$E37/_xlpm.DepreciationMonths,0))</f>
        <v>0</v>
      </c>
      <c r="AJ37" s="507" cm="1">
        <f t="array" ref="AJ37">_xlfn.LET(_xlpm.DepreciationMonths,INDEX(FixedAssets[Depreciation
/ Amortization Months],_xlfn.XMATCH($E$33,FixedAssets[Asset ID])),IF(AND((_xlfn.XMATCH(AJ$8,$AH$8:$CC$8))-_xlfn.XMATCH($C37,$C$35:$C$82)+1&lt;=_xlpm.DepreciationMonths,$C37&lt;=AJ$8),$E37/_xlpm.DepreciationMonths,0))</f>
        <v>69.444444444444443</v>
      </c>
      <c r="AK37" s="507" cm="1">
        <f t="array" ref="AK37">_xlfn.LET(_xlpm.DepreciationMonths,INDEX(FixedAssets[Depreciation
/ Amortization Months],_xlfn.XMATCH($E$33,FixedAssets[Asset ID])),IF(AND((_xlfn.XMATCH(AK$8,$AH$8:$CC$8))-_xlfn.XMATCH($C37,$C$35:$C$82)+1&lt;=_xlpm.DepreciationMonths,$C37&lt;=AK$8),$E37/_xlpm.DepreciationMonths,0))</f>
        <v>69.444444444444443</v>
      </c>
      <c r="AL37" s="507" cm="1">
        <f t="array" ref="AL37">_xlfn.LET(_xlpm.DepreciationMonths,INDEX(FixedAssets[Depreciation
/ Amortization Months],_xlfn.XMATCH($E$33,FixedAssets[Asset ID])),IF(AND((_xlfn.XMATCH(AL$8,$AH$8:$CC$8))-_xlfn.XMATCH($C37,$C$35:$C$82)+1&lt;=_xlpm.DepreciationMonths,$C37&lt;=AL$8),$E37/_xlpm.DepreciationMonths,0))</f>
        <v>69.444444444444443</v>
      </c>
      <c r="AM37" s="507" cm="1">
        <f t="array" ref="AM37">_xlfn.LET(_xlpm.DepreciationMonths,INDEX(FixedAssets[Depreciation
/ Amortization Months],_xlfn.XMATCH($E$33,FixedAssets[Asset ID])),IF(AND((_xlfn.XMATCH(AM$8,$AH$8:$CC$8))-_xlfn.XMATCH($C37,$C$35:$C$82)+1&lt;=_xlpm.DepreciationMonths,$C37&lt;=AM$8),$E37/_xlpm.DepreciationMonths,0))</f>
        <v>69.444444444444443</v>
      </c>
      <c r="AN37" s="507" cm="1">
        <f t="array" ref="AN37">_xlfn.LET(_xlpm.DepreciationMonths,INDEX(FixedAssets[Depreciation
/ Amortization Months],_xlfn.XMATCH($E$33,FixedAssets[Asset ID])),IF(AND((_xlfn.XMATCH(AN$8,$AH$8:$CC$8))-_xlfn.XMATCH($C37,$C$35:$C$82)+1&lt;=_xlpm.DepreciationMonths,$C37&lt;=AN$8),$E37/_xlpm.DepreciationMonths,0))</f>
        <v>69.444444444444443</v>
      </c>
      <c r="AO37" s="507" cm="1">
        <f t="array" ref="AO37">_xlfn.LET(_xlpm.DepreciationMonths,INDEX(FixedAssets[Depreciation
/ Amortization Months],_xlfn.XMATCH($E$33,FixedAssets[Asset ID])),IF(AND((_xlfn.XMATCH(AO$8,$AH$8:$CC$8))-_xlfn.XMATCH($C37,$C$35:$C$82)+1&lt;=_xlpm.DepreciationMonths,$C37&lt;=AO$8),$E37/_xlpm.DepreciationMonths,0))</f>
        <v>69.444444444444443</v>
      </c>
      <c r="AP37" s="507" cm="1">
        <f t="array" ref="AP37">_xlfn.LET(_xlpm.DepreciationMonths,INDEX(FixedAssets[Depreciation
/ Amortization Months],_xlfn.XMATCH($E$33,FixedAssets[Asset ID])),IF(AND((_xlfn.XMATCH(AP$8,$AH$8:$CC$8))-_xlfn.XMATCH($C37,$C$35:$C$82)+1&lt;=_xlpm.DepreciationMonths,$C37&lt;=AP$8),$E37/_xlpm.DepreciationMonths,0))</f>
        <v>69.444444444444443</v>
      </c>
      <c r="AQ37" s="507" cm="1">
        <f t="array" ref="AQ37">_xlfn.LET(_xlpm.DepreciationMonths,INDEX(FixedAssets[Depreciation
/ Amortization Months],_xlfn.XMATCH($E$33,FixedAssets[Asset ID])),IF(AND((_xlfn.XMATCH(AQ$8,$AH$8:$CC$8))-_xlfn.XMATCH($C37,$C$35:$C$82)+1&lt;=_xlpm.DepreciationMonths,$C37&lt;=AQ$8),$E37/_xlpm.DepreciationMonths,0))</f>
        <v>69.444444444444443</v>
      </c>
      <c r="AR37" s="507" cm="1">
        <f t="array" ref="AR37">_xlfn.LET(_xlpm.DepreciationMonths,INDEX(FixedAssets[Depreciation
/ Amortization Months],_xlfn.XMATCH($E$33,FixedAssets[Asset ID])),IF(AND((_xlfn.XMATCH(AR$8,$AH$8:$CC$8))-_xlfn.XMATCH($C37,$C$35:$C$82)+1&lt;=_xlpm.DepreciationMonths,$C37&lt;=AR$8),$E37/_xlpm.DepreciationMonths,0))</f>
        <v>69.444444444444443</v>
      </c>
      <c r="AS37" s="507" cm="1">
        <f t="array" ref="AS37">_xlfn.LET(_xlpm.DepreciationMonths,INDEX(FixedAssets[Depreciation
/ Amortization Months],_xlfn.XMATCH($E$33,FixedAssets[Asset ID])),IF(AND((_xlfn.XMATCH(AS$8,$AH$8:$CC$8))-_xlfn.XMATCH($C37,$C$35:$C$82)+1&lt;=_xlpm.DepreciationMonths,$C37&lt;=AS$8),$E37/_xlpm.DepreciationMonths,0))</f>
        <v>69.444444444444443</v>
      </c>
      <c r="AT37" s="507" cm="1">
        <f t="array" ref="AT37">_xlfn.LET(_xlpm.DepreciationMonths,INDEX(FixedAssets[Depreciation
/ Amortization Months],_xlfn.XMATCH($E$33,FixedAssets[Asset ID])),IF(AND((_xlfn.XMATCH(AT$8,$AH$8:$CC$8))-_xlfn.XMATCH($C37,$C$35:$C$82)+1&lt;=_xlpm.DepreciationMonths,$C37&lt;=AT$8),$E37/_xlpm.DepreciationMonths,0))</f>
        <v>69.444444444444443</v>
      </c>
      <c r="AU37" s="507" cm="1">
        <f t="array" ref="AU37">_xlfn.LET(_xlpm.DepreciationMonths,INDEX(FixedAssets[Depreciation
/ Amortization Months],_xlfn.XMATCH($E$33,FixedAssets[Asset ID])),IF(AND((_xlfn.XMATCH(AU$8,$AH$8:$CC$8))-_xlfn.XMATCH($C37,$C$35:$C$82)+1&lt;=_xlpm.DepreciationMonths,$C37&lt;=AU$8),$E37/_xlpm.DepreciationMonths,0))</f>
        <v>69.444444444444443</v>
      </c>
      <c r="AV37" s="507" cm="1">
        <f t="array" ref="AV37">_xlfn.LET(_xlpm.DepreciationMonths,INDEX(FixedAssets[Depreciation
/ Amortization Months],_xlfn.XMATCH($E$33,FixedAssets[Asset ID])),IF(AND((_xlfn.XMATCH(AV$8,$AH$8:$CC$8))-_xlfn.XMATCH($C37,$C$35:$C$82)+1&lt;=_xlpm.DepreciationMonths,$C37&lt;=AV$8),$E37/_xlpm.DepreciationMonths,0))</f>
        <v>69.444444444444443</v>
      </c>
      <c r="AW37" s="507" cm="1">
        <f t="array" ref="AW37">_xlfn.LET(_xlpm.DepreciationMonths,INDEX(FixedAssets[Depreciation
/ Amortization Months],_xlfn.XMATCH($E$33,FixedAssets[Asset ID])),IF(AND((_xlfn.XMATCH(AW$8,$AH$8:$CC$8))-_xlfn.XMATCH($C37,$C$35:$C$82)+1&lt;=_xlpm.DepreciationMonths,$C37&lt;=AW$8),$E37/_xlpm.DepreciationMonths,0))</f>
        <v>69.444444444444443</v>
      </c>
      <c r="AX37" s="507" cm="1">
        <f t="array" ref="AX37">_xlfn.LET(_xlpm.DepreciationMonths,INDEX(FixedAssets[Depreciation
/ Amortization Months],_xlfn.XMATCH($E$33,FixedAssets[Asset ID])),IF(AND((_xlfn.XMATCH(AX$8,$AH$8:$CC$8))-_xlfn.XMATCH($C37,$C$35:$C$82)+1&lt;=_xlpm.DepreciationMonths,$C37&lt;=AX$8),$E37/_xlpm.DepreciationMonths,0))</f>
        <v>69.444444444444443</v>
      </c>
      <c r="AY37" s="507" cm="1">
        <f t="array" ref="AY37">_xlfn.LET(_xlpm.DepreciationMonths,INDEX(FixedAssets[Depreciation
/ Amortization Months],_xlfn.XMATCH($E$33,FixedAssets[Asset ID])),IF(AND((_xlfn.XMATCH(AY$8,$AH$8:$CC$8))-_xlfn.XMATCH($C37,$C$35:$C$82)+1&lt;=_xlpm.DepreciationMonths,$C37&lt;=AY$8),$E37/_xlpm.DepreciationMonths,0))</f>
        <v>69.444444444444443</v>
      </c>
      <c r="AZ37" s="507" cm="1">
        <f t="array" ref="AZ37">_xlfn.LET(_xlpm.DepreciationMonths,INDEX(FixedAssets[Depreciation
/ Amortization Months],_xlfn.XMATCH($E$33,FixedAssets[Asset ID])),IF(AND((_xlfn.XMATCH(AZ$8,$AH$8:$CC$8))-_xlfn.XMATCH($C37,$C$35:$C$82)+1&lt;=_xlpm.DepreciationMonths,$C37&lt;=AZ$8),$E37/_xlpm.DepreciationMonths,0))</f>
        <v>69.444444444444443</v>
      </c>
      <c r="BA37" s="507" cm="1">
        <f t="array" ref="BA37">_xlfn.LET(_xlpm.DepreciationMonths,INDEX(FixedAssets[Depreciation
/ Amortization Months],_xlfn.XMATCH($E$33,FixedAssets[Asset ID])),IF(AND((_xlfn.XMATCH(BA$8,$AH$8:$CC$8))-_xlfn.XMATCH($C37,$C$35:$C$82)+1&lt;=_xlpm.DepreciationMonths,$C37&lt;=BA$8),$E37/_xlpm.DepreciationMonths,0))</f>
        <v>69.444444444444443</v>
      </c>
      <c r="BB37" s="507" cm="1">
        <f t="array" ref="BB37">_xlfn.LET(_xlpm.DepreciationMonths,INDEX(FixedAssets[Depreciation
/ Amortization Months],_xlfn.XMATCH($E$33,FixedAssets[Asset ID])),IF(AND((_xlfn.XMATCH(BB$8,$AH$8:$CC$8))-_xlfn.XMATCH($C37,$C$35:$C$82)+1&lt;=_xlpm.DepreciationMonths,$C37&lt;=BB$8),$E37/_xlpm.DepreciationMonths,0))</f>
        <v>69.444444444444443</v>
      </c>
      <c r="BC37" s="507" cm="1">
        <f t="array" ref="BC37">_xlfn.LET(_xlpm.DepreciationMonths,INDEX(FixedAssets[Depreciation
/ Amortization Months],_xlfn.XMATCH($E$33,FixedAssets[Asset ID])),IF(AND((_xlfn.XMATCH(BC$8,$AH$8:$CC$8))-_xlfn.XMATCH($C37,$C$35:$C$82)+1&lt;=_xlpm.DepreciationMonths,$C37&lt;=BC$8),$E37/_xlpm.DepreciationMonths,0))</f>
        <v>69.444444444444443</v>
      </c>
      <c r="BD37" s="507" cm="1">
        <f t="array" ref="BD37">_xlfn.LET(_xlpm.DepreciationMonths,INDEX(FixedAssets[Depreciation
/ Amortization Months],_xlfn.XMATCH($E$33,FixedAssets[Asset ID])),IF(AND((_xlfn.XMATCH(BD$8,$AH$8:$CC$8))-_xlfn.XMATCH($C37,$C$35:$C$82)+1&lt;=_xlpm.DepreciationMonths,$C37&lt;=BD$8),$E37/_xlpm.DepreciationMonths,0))</f>
        <v>69.444444444444443</v>
      </c>
      <c r="BE37" s="507" cm="1">
        <f t="array" ref="BE37">_xlfn.LET(_xlpm.DepreciationMonths,INDEX(FixedAssets[Depreciation
/ Amortization Months],_xlfn.XMATCH($E$33,FixedAssets[Asset ID])),IF(AND((_xlfn.XMATCH(BE$8,$AH$8:$CC$8))-_xlfn.XMATCH($C37,$C$35:$C$82)+1&lt;=_xlpm.DepreciationMonths,$C37&lt;=BE$8),$E37/_xlpm.DepreciationMonths,0))</f>
        <v>69.444444444444443</v>
      </c>
      <c r="BF37" s="507" cm="1">
        <f t="array" ref="BF37">_xlfn.LET(_xlpm.DepreciationMonths,INDEX(FixedAssets[Depreciation
/ Amortization Months],_xlfn.XMATCH($E$33,FixedAssets[Asset ID])),IF(AND((_xlfn.XMATCH(BF$8,$AH$8:$CC$8))-_xlfn.XMATCH($C37,$C$35:$C$82)+1&lt;=_xlpm.DepreciationMonths,$C37&lt;=BF$8),$E37/_xlpm.DepreciationMonths,0))</f>
        <v>69.444444444444443</v>
      </c>
      <c r="BG37" s="507" cm="1">
        <f t="array" ref="BG37">_xlfn.LET(_xlpm.DepreciationMonths,INDEX(FixedAssets[Depreciation
/ Amortization Months],_xlfn.XMATCH($E$33,FixedAssets[Asset ID])),IF(AND((_xlfn.XMATCH(BG$8,$AH$8:$CC$8))-_xlfn.XMATCH($C37,$C$35:$C$82)+1&lt;=_xlpm.DepreciationMonths,$C37&lt;=BG$8),$E37/_xlpm.DepreciationMonths,0))</f>
        <v>69.444444444444443</v>
      </c>
      <c r="BH37" s="507" cm="1">
        <f t="array" ref="BH37">_xlfn.LET(_xlpm.DepreciationMonths,INDEX(FixedAssets[Depreciation
/ Amortization Months],_xlfn.XMATCH($E$33,FixedAssets[Asset ID])),IF(AND((_xlfn.XMATCH(BH$8,$AH$8:$CC$8))-_xlfn.XMATCH($C37,$C$35:$C$82)+1&lt;=_xlpm.DepreciationMonths,$C37&lt;=BH$8),$E37/_xlpm.DepreciationMonths,0))</f>
        <v>69.444444444444443</v>
      </c>
      <c r="BI37" s="507" cm="1">
        <f t="array" ref="BI37">_xlfn.LET(_xlpm.DepreciationMonths,INDEX(FixedAssets[Depreciation
/ Amortization Months],_xlfn.XMATCH($E$33,FixedAssets[Asset ID])),IF(AND((_xlfn.XMATCH(BI$8,$AH$8:$CC$8))-_xlfn.XMATCH($C37,$C$35:$C$82)+1&lt;=_xlpm.DepreciationMonths,$C37&lt;=BI$8),$E37/_xlpm.DepreciationMonths,0))</f>
        <v>69.444444444444443</v>
      </c>
      <c r="BJ37" s="507" cm="1">
        <f t="array" ref="BJ37">_xlfn.LET(_xlpm.DepreciationMonths,INDEX(FixedAssets[Depreciation
/ Amortization Months],_xlfn.XMATCH($E$33,FixedAssets[Asset ID])),IF(AND((_xlfn.XMATCH(BJ$8,$AH$8:$CC$8))-_xlfn.XMATCH($C37,$C$35:$C$82)+1&lt;=_xlpm.DepreciationMonths,$C37&lt;=BJ$8),$E37/_xlpm.DepreciationMonths,0))</f>
        <v>69.444444444444443</v>
      </c>
      <c r="BK37" s="507" cm="1">
        <f t="array" ref="BK37">_xlfn.LET(_xlpm.DepreciationMonths,INDEX(FixedAssets[Depreciation
/ Amortization Months],_xlfn.XMATCH($E$33,FixedAssets[Asset ID])),IF(AND((_xlfn.XMATCH(BK$8,$AH$8:$CC$8))-_xlfn.XMATCH($C37,$C$35:$C$82)+1&lt;=_xlpm.DepreciationMonths,$C37&lt;=BK$8),$E37/_xlpm.DepreciationMonths,0))</f>
        <v>69.444444444444443</v>
      </c>
      <c r="BL37" s="507" cm="1">
        <f t="array" ref="BL37">_xlfn.LET(_xlpm.DepreciationMonths,INDEX(FixedAssets[Depreciation
/ Amortization Months],_xlfn.XMATCH($E$33,FixedAssets[Asset ID])),IF(AND((_xlfn.XMATCH(BL$8,$AH$8:$CC$8))-_xlfn.XMATCH($C37,$C$35:$C$82)+1&lt;=_xlpm.DepreciationMonths,$C37&lt;=BL$8),$E37/_xlpm.DepreciationMonths,0))</f>
        <v>69.444444444444443</v>
      </c>
      <c r="BM37" s="507" cm="1">
        <f t="array" ref="BM37">_xlfn.LET(_xlpm.DepreciationMonths,INDEX(FixedAssets[Depreciation
/ Amortization Months],_xlfn.XMATCH($E$33,FixedAssets[Asset ID])),IF(AND((_xlfn.XMATCH(BM$8,$AH$8:$CC$8))-_xlfn.XMATCH($C37,$C$35:$C$82)+1&lt;=_xlpm.DepreciationMonths,$C37&lt;=BM$8),$E37/_xlpm.DepreciationMonths,0))</f>
        <v>69.444444444444443</v>
      </c>
      <c r="BN37" s="507" cm="1">
        <f t="array" ref="BN37">_xlfn.LET(_xlpm.DepreciationMonths,INDEX(FixedAssets[Depreciation
/ Amortization Months],_xlfn.XMATCH($E$33,FixedAssets[Asset ID])),IF(AND((_xlfn.XMATCH(BN$8,$AH$8:$CC$8))-_xlfn.XMATCH($C37,$C$35:$C$82)+1&lt;=_xlpm.DepreciationMonths,$C37&lt;=BN$8),$E37/_xlpm.DepreciationMonths,0))</f>
        <v>69.444444444444443</v>
      </c>
      <c r="BO37" s="507" cm="1">
        <f t="array" ref="BO37">_xlfn.LET(_xlpm.DepreciationMonths,INDEX(FixedAssets[Depreciation
/ Amortization Months],_xlfn.XMATCH($E$33,FixedAssets[Asset ID])),IF(AND((_xlfn.XMATCH(BO$8,$AH$8:$CC$8))-_xlfn.XMATCH($C37,$C$35:$C$82)+1&lt;=_xlpm.DepreciationMonths,$C37&lt;=BO$8),$E37/_xlpm.DepreciationMonths,0))</f>
        <v>69.444444444444443</v>
      </c>
      <c r="BP37" s="507" cm="1">
        <f t="array" ref="BP37">_xlfn.LET(_xlpm.DepreciationMonths,INDEX(FixedAssets[Depreciation
/ Amortization Months],_xlfn.XMATCH($E$33,FixedAssets[Asset ID])),IF(AND((_xlfn.XMATCH(BP$8,$AH$8:$CC$8))-_xlfn.XMATCH($C37,$C$35:$C$82)+1&lt;=_xlpm.DepreciationMonths,$C37&lt;=BP$8),$E37/_xlpm.DepreciationMonths,0))</f>
        <v>69.444444444444443</v>
      </c>
      <c r="BQ37" s="507" cm="1">
        <f t="array" ref="BQ37">_xlfn.LET(_xlpm.DepreciationMonths,INDEX(FixedAssets[Depreciation
/ Amortization Months],_xlfn.XMATCH($E$33,FixedAssets[Asset ID])),IF(AND((_xlfn.XMATCH(BQ$8,$AH$8:$CC$8))-_xlfn.XMATCH($C37,$C$35:$C$82)+1&lt;=_xlpm.DepreciationMonths,$C37&lt;=BQ$8),$E37/_xlpm.DepreciationMonths,0))</f>
        <v>69.444444444444443</v>
      </c>
      <c r="BR37" s="507" cm="1">
        <f t="array" ref="BR37">_xlfn.LET(_xlpm.DepreciationMonths,INDEX(FixedAssets[Depreciation
/ Amortization Months],_xlfn.XMATCH($E$33,FixedAssets[Asset ID])),IF(AND((_xlfn.XMATCH(BR$8,$AH$8:$CC$8))-_xlfn.XMATCH($C37,$C$35:$C$82)+1&lt;=_xlpm.DepreciationMonths,$C37&lt;=BR$8),$E37/_xlpm.DepreciationMonths,0))</f>
        <v>69.444444444444443</v>
      </c>
      <c r="BS37" s="507" cm="1">
        <f t="array" ref="BS37">_xlfn.LET(_xlpm.DepreciationMonths,INDEX(FixedAssets[Depreciation
/ Amortization Months],_xlfn.XMATCH($E$33,FixedAssets[Asset ID])),IF(AND((_xlfn.XMATCH(BS$8,$AH$8:$CC$8))-_xlfn.XMATCH($C37,$C$35:$C$82)+1&lt;=_xlpm.DepreciationMonths,$C37&lt;=BS$8),$E37/_xlpm.DepreciationMonths,0))</f>
        <v>69.444444444444443</v>
      </c>
      <c r="BT37" s="507" cm="1">
        <f t="array" ref="BT37">_xlfn.LET(_xlpm.DepreciationMonths,INDEX(FixedAssets[Depreciation
/ Amortization Months],_xlfn.XMATCH($E$33,FixedAssets[Asset ID])),IF(AND((_xlfn.XMATCH(BT$8,$AH$8:$CC$8))-_xlfn.XMATCH($C37,$C$35:$C$82)+1&lt;=_xlpm.DepreciationMonths,$C37&lt;=BT$8),$E37/_xlpm.DepreciationMonths,0))</f>
        <v>0</v>
      </c>
      <c r="BU37" s="507" cm="1">
        <f t="array" ref="BU37">_xlfn.LET(_xlpm.DepreciationMonths,INDEX(FixedAssets[Depreciation
/ Amortization Months],_xlfn.XMATCH($E$33,FixedAssets[Asset ID])),IF(AND((_xlfn.XMATCH(BU$8,$AH$8:$CC$8))-_xlfn.XMATCH($C37,$C$35:$C$82)+1&lt;=_xlpm.DepreciationMonths,$C37&lt;=BU$8),$E37/_xlpm.DepreciationMonths,0))</f>
        <v>0</v>
      </c>
      <c r="BV37" s="507" cm="1">
        <f t="array" ref="BV37">_xlfn.LET(_xlpm.DepreciationMonths,INDEX(FixedAssets[Depreciation
/ Amortization Months],_xlfn.XMATCH($E$33,FixedAssets[Asset ID])),IF(AND((_xlfn.XMATCH(BV$8,$AH$8:$CC$8))-_xlfn.XMATCH($C37,$C$35:$C$82)+1&lt;=_xlpm.DepreciationMonths,$C37&lt;=BV$8),$E37/_xlpm.DepreciationMonths,0))</f>
        <v>0</v>
      </c>
      <c r="BW37" s="507" cm="1">
        <f t="array" ref="BW37">_xlfn.LET(_xlpm.DepreciationMonths,INDEX(FixedAssets[Depreciation
/ Amortization Months],_xlfn.XMATCH($E$33,FixedAssets[Asset ID])),IF(AND((_xlfn.XMATCH(BW$8,$AH$8:$CC$8))-_xlfn.XMATCH($C37,$C$35:$C$82)+1&lt;=_xlpm.DepreciationMonths,$C37&lt;=BW$8),$E37/_xlpm.DepreciationMonths,0))</f>
        <v>0</v>
      </c>
      <c r="BX37" s="507" cm="1">
        <f t="array" ref="BX37">_xlfn.LET(_xlpm.DepreciationMonths,INDEX(FixedAssets[Depreciation
/ Amortization Months],_xlfn.XMATCH($E$33,FixedAssets[Asset ID])),IF(AND((_xlfn.XMATCH(BX$8,$AH$8:$CC$8))-_xlfn.XMATCH($C37,$C$35:$C$82)+1&lt;=_xlpm.DepreciationMonths,$C37&lt;=BX$8),$E37/_xlpm.DepreciationMonths,0))</f>
        <v>0</v>
      </c>
      <c r="BY37" s="507" cm="1">
        <f t="array" ref="BY37">_xlfn.LET(_xlpm.DepreciationMonths,INDEX(FixedAssets[Depreciation
/ Amortization Months],_xlfn.XMATCH($E$33,FixedAssets[Asset ID])),IF(AND((_xlfn.XMATCH(BY$8,$AH$8:$CC$8))-_xlfn.XMATCH($C37,$C$35:$C$82)+1&lt;=_xlpm.DepreciationMonths,$C37&lt;=BY$8),$E37/_xlpm.DepreciationMonths,0))</f>
        <v>0</v>
      </c>
      <c r="BZ37" s="507" cm="1">
        <f t="array" ref="BZ37">_xlfn.LET(_xlpm.DepreciationMonths,INDEX(FixedAssets[Depreciation
/ Amortization Months],_xlfn.XMATCH($E$33,FixedAssets[Asset ID])),IF(AND((_xlfn.XMATCH(BZ$8,$AH$8:$CC$8))-_xlfn.XMATCH($C37,$C$35:$C$82)+1&lt;=_xlpm.DepreciationMonths,$C37&lt;=BZ$8),$E37/_xlpm.DepreciationMonths,0))</f>
        <v>0</v>
      </c>
      <c r="CA37" s="507" cm="1">
        <f t="array" ref="CA37">_xlfn.LET(_xlpm.DepreciationMonths,INDEX(FixedAssets[Depreciation
/ Amortization Months],_xlfn.XMATCH($E$33,FixedAssets[Asset ID])),IF(AND((_xlfn.XMATCH(CA$8,$AH$8:$CC$8))-_xlfn.XMATCH($C37,$C$35:$C$82)+1&lt;=_xlpm.DepreciationMonths,$C37&lt;=CA$8),$E37/_xlpm.DepreciationMonths,0))</f>
        <v>0</v>
      </c>
      <c r="CB37" s="507" cm="1">
        <f t="array" ref="CB37">_xlfn.LET(_xlpm.DepreciationMonths,INDEX(FixedAssets[Depreciation
/ Amortization Months],_xlfn.XMATCH($E$33,FixedAssets[Asset ID])),IF(AND((_xlfn.XMATCH(CB$8,$AH$8:$CC$8))-_xlfn.XMATCH($C37,$C$35:$C$82)+1&lt;=_xlpm.DepreciationMonths,$C37&lt;=CB$8),$E37/_xlpm.DepreciationMonths,0))</f>
        <v>0</v>
      </c>
      <c r="CC37" s="507" cm="1">
        <f t="array" ref="CC37">_xlfn.LET(_xlpm.DepreciationMonths,INDEX(FixedAssets[Depreciation
/ Amortization Months],_xlfn.XMATCH($E$33,FixedAssets[Asset ID])),IF(AND((_xlfn.XMATCH(CC$8,$AH$8:$CC$8))-_xlfn.XMATCH($C37,$C$35:$C$82)+1&lt;=_xlpm.DepreciationMonths,$C37&lt;=CC$8),$E37/_xlpm.DepreciationMonths,0))</f>
        <v>0</v>
      </c>
    </row>
    <row r="38" spans="3:81" hidden="1" outlineLevel="2">
      <c r="C38" s="664">
        <f t="shared" si="91"/>
        <v>45046</v>
      </c>
      <c r="D38" s="508"/>
      <c r="E38" s="508" cm="1">
        <f t="array" ref="E38">SUMPRODUCT(($AH$26:$CC$31)*($AH$5:$CC$5=$C38)*($E$26:$E$31=E$33))-SUMPRODUCT(($AH$26:$CC$31)*($AH$5:$CC$5=EOMONTH($C38,-1))*($E$26:$E$31=E$33))</f>
        <v>0</v>
      </c>
      <c r="F38" s="508"/>
      <c r="G38" s="508"/>
      <c r="H38" s="508"/>
      <c r="I38" s="508"/>
      <c r="J38" s="504">
        <f t="shared" si="88"/>
        <v>0</v>
      </c>
      <c r="K38" s="504">
        <f t="shared" si="89"/>
        <v>0</v>
      </c>
      <c r="L38" s="504">
        <f t="shared" si="89"/>
        <v>0</v>
      </c>
      <c r="M38" s="504">
        <f t="shared" si="89"/>
        <v>0</v>
      </c>
      <c r="N38" s="504"/>
      <c r="O38" s="504"/>
      <c r="P38" s="504">
        <f t="shared" si="90"/>
        <v>0</v>
      </c>
      <c r="Q38" s="504">
        <f t="shared" si="90"/>
        <v>0</v>
      </c>
      <c r="R38" s="504">
        <f t="shared" si="90"/>
        <v>0</v>
      </c>
      <c r="S38" s="504">
        <f t="shared" si="90"/>
        <v>0</v>
      </c>
      <c r="T38" s="504">
        <f t="shared" si="90"/>
        <v>0</v>
      </c>
      <c r="U38" s="504">
        <f t="shared" si="90"/>
        <v>0</v>
      </c>
      <c r="V38" s="504">
        <f t="shared" si="90"/>
        <v>0</v>
      </c>
      <c r="W38" s="504">
        <f t="shared" si="90"/>
        <v>0</v>
      </c>
      <c r="X38" s="504">
        <f t="shared" si="90"/>
        <v>0</v>
      </c>
      <c r="Y38" s="504">
        <f t="shared" si="90"/>
        <v>0</v>
      </c>
      <c r="Z38" s="504">
        <f t="shared" si="90"/>
        <v>0</v>
      </c>
      <c r="AA38" s="504">
        <f t="shared" si="90"/>
        <v>0</v>
      </c>
      <c r="AB38" s="504">
        <f t="shared" si="90"/>
        <v>0</v>
      </c>
      <c r="AC38" s="504">
        <f t="shared" si="90"/>
        <v>0</v>
      </c>
      <c r="AD38" s="504">
        <f t="shared" si="90"/>
        <v>0</v>
      </c>
      <c r="AE38" s="504">
        <f t="shared" si="90"/>
        <v>0</v>
      </c>
      <c r="AF38" s="508"/>
      <c r="AG38" s="508"/>
      <c r="AH38" s="507" cm="1">
        <f t="array" ref="AH38">_xlfn.LET(_xlpm.DepreciationMonths,INDEX(FixedAssets[Depreciation
/ Amortization Months],_xlfn.XMATCH($E$33,FixedAssets[Asset ID])),IF(AND((_xlfn.XMATCH(AH$8,$AH$8:$CC$8))-_xlfn.XMATCH($C38,$C$35:$C$82)+1&lt;=_xlpm.DepreciationMonths,$C38&lt;=AH$8),$E38/_xlpm.DepreciationMonths,0))</f>
        <v>0</v>
      </c>
      <c r="AI38" s="507" cm="1">
        <f t="array" ref="AI38">_xlfn.LET(_xlpm.DepreciationMonths,INDEX(FixedAssets[Depreciation
/ Amortization Months],_xlfn.XMATCH($E$33,FixedAssets[Asset ID])),IF(AND((_xlfn.XMATCH(AI$8,$AH$8:$CC$8))-_xlfn.XMATCH($C38,$C$35:$C$82)+1&lt;=_xlpm.DepreciationMonths,$C38&lt;=AI$8),$E38/_xlpm.DepreciationMonths,0))</f>
        <v>0</v>
      </c>
      <c r="AJ38" s="507" cm="1">
        <f t="array" ref="AJ38">_xlfn.LET(_xlpm.DepreciationMonths,INDEX(FixedAssets[Depreciation
/ Amortization Months],_xlfn.XMATCH($E$33,FixedAssets[Asset ID])),IF(AND((_xlfn.XMATCH(AJ$8,$AH$8:$CC$8))-_xlfn.XMATCH($C38,$C$35:$C$82)+1&lt;=_xlpm.DepreciationMonths,$C38&lt;=AJ$8),$E38/_xlpm.DepreciationMonths,0))</f>
        <v>0</v>
      </c>
      <c r="AK38" s="507" cm="1">
        <f t="array" ref="AK38">_xlfn.LET(_xlpm.DepreciationMonths,INDEX(FixedAssets[Depreciation
/ Amortization Months],_xlfn.XMATCH($E$33,FixedAssets[Asset ID])),IF(AND((_xlfn.XMATCH(AK$8,$AH$8:$CC$8))-_xlfn.XMATCH($C38,$C$35:$C$82)+1&lt;=_xlpm.DepreciationMonths,$C38&lt;=AK$8),$E38/_xlpm.DepreciationMonths,0))</f>
        <v>0</v>
      </c>
      <c r="AL38" s="507" cm="1">
        <f t="array" ref="AL38">_xlfn.LET(_xlpm.DepreciationMonths,INDEX(FixedAssets[Depreciation
/ Amortization Months],_xlfn.XMATCH($E$33,FixedAssets[Asset ID])),IF(AND((_xlfn.XMATCH(AL$8,$AH$8:$CC$8))-_xlfn.XMATCH($C38,$C$35:$C$82)+1&lt;=_xlpm.DepreciationMonths,$C38&lt;=AL$8),$E38/_xlpm.DepreciationMonths,0))</f>
        <v>0</v>
      </c>
      <c r="AM38" s="507" cm="1">
        <f t="array" ref="AM38">_xlfn.LET(_xlpm.DepreciationMonths,INDEX(FixedAssets[Depreciation
/ Amortization Months],_xlfn.XMATCH($E$33,FixedAssets[Asset ID])),IF(AND((_xlfn.XMATCH(AM$8,$AH$8:$CC$8))-_xlfn.XMATCH($C38,$C$35:$C$82)+1&lt;=_xlpm.DepreciationMonths,$C38&lt;=AM$8),$E38/_xlpm.DepreciationMonths,0))</f>
        <v>0</v>
      </c>
      <c r="AN38" s="507" cm="1">
        <f t="array" ref="AN38">_xlfn.LET(_xlpm.DepreciationMonths,INDEX(FixedAssets[Depreciation
/ Amortization Months],_xlfn.XMATCH($E$33,FixedAssets[Asset ID])),IF(AND((_xlfn.XMATCH(AN$8,$AH$8:$CC$8))-_xlfn.XMATCH($C38,$C$35:$C$82)+1&lt;=_xlpm.DepreciationMonths,$C38&lt;=AN$8),$E38/_xlpm.DepreciationMonths,0))</f>
        <v>0</v>
      </c>
      <c r="AO38" s="507" cm="1">
        <f t="array" ref="AO38">_xlfn.LET(_xlpm.DepreciationMonths,INDEX(FixedAssets[Depreciation
/ Amortization Months],_xlfn.XMATCH($E$33,FixedAssets[Asset ID])),IF(AND((_xlfn.XMATCH(AO$8,$AH$8:$CC$8))-_xlfn.XMATCH($C38,$C$35:$C$82)+1&lt;=_xlpm.DepreciationMonths,$C38&lt;=AO$8),$E38/_xlpm.DepreciationMonths,0))</f>
        <v>0</v>
      </c>
      <c r="AP38" s="507" cm="1">
        <f t="array" ref="AP38">_xlfn.LET(_xlpm.DepreciationMonths,INDEX(FixedAssets[Depreciation
/ Amortization Months],_xlfn.XMATCH($E$33,FixedAssets[Asset ID])),IF(AND((_xlfn.XMATCH(AP$8,$AH$8:$CC$8))-_xlfn.XMATCH($C38,$C$35:$C$82)+1&lt;=_xlpm.DepreciationMonths,$C38&lt;=AP$8),$E38/_xlpm.DepreciationMonths,0))</f>
        <v>0</v>
      </c>
      <c r="AQ38" s="507" cm="1">
        <f t="array" ref="AQ38">_xlfn.LET(_xlpm.DepreciationMonths,INDEX(FixedAssets[Depreciation
/ Amortization Months],_xlfn.XMATCH($E$33,FixedAssets[Asset ID])),IF(AND((_xlfn.XMATCH(AQ$8,$AH$8:$CC$8))-_xlfn.XMATCH($C38,$C$35:$C$82)+1&lt;=_xlpm.DepreciationMonths,$C38&lt;=AQ$8),$E38/_xlpm.DepreciationMonths,0))</f>
        <v>0</v>
      </c>
      <c r="AR38" s="507" cm="1">
        <f t="array" ref="AR38">_xlfn.LET(_xlpm.DepreciationMonths,INDEX(FixedAssets[Depreciation
/ Amortization Months],_xlfn.XMATCH($E$33,FixedAssets[Asset ID])),IF(AND((_xlfn.XMATCH(AR$8,$AH$8:$CC$8))-_xlfn.XMATCH($C38,$C$35:$C$82)+1&lt;=_xlpm.DepreciationMonths,$C38&lt;=AR$8),$E38/_xlpm.DepreciationMonths,0))</f>
        <v>0</v>
      </c>
      <c r="AS38" s="507" cm="1">
        <f t="array" ref="AS38">_xlfn.LET(_xlpm.DepreciationMonths,INDEX(FixedAssets[Depreciation
/ Amortization Months],_xlfn.XMATCH($E$33,FixedAssets[Asset ID])),IF(AND((_xlfn.XMATCH(AS$8,$AH$8:$CC$8))-_xlfn.XMATCH($C38,$C$35:$C$82)+1&lt;=_xlpm.DepreciationMonths,$C38&lt;=AS$8),$E38/_xlpm.DepreciationMonths,0))</f>
        <v>0</v>
      </c>
      <c r="AT38" s="507" cm="1">
        <f t="array" ref="AT38">_xlfn.LET(_xlpm.DepreciationMonths,INDEX(FixedAssets[Depreciation
/ Amortization Months],_xlfn.XMATCH($E$33,FixedAssets[Asset ID])),IF(AND((_xlfn.XMATCH(AT$8,$AH$8:$CC$8))-_xlfn.XMATCH($C38,$C$35:$C$82)+1&lt;=_xlpm.DepreciationMonths,$C38&lt;=AT$8),$E38/_xlpm.DepreciationMonths,0))</f>
        <v>0</v>
      </c>
      <c r="AU38" s="507" cm="1">
        <f t="array" ref="AU38">_xlfn.LET(_xlpm.DepreciationMonths,INDEX(FixedAssets[Depreciation
/ Amortization Months],_xlfn.XMATCH($E$33,FixedAssets[Asset ID])),IF(AND((_xlfn.XMATCH(AU$8,$AH$8:$CC$8))-_xlfn.XMATCH($C38,$C$35:$C$82)+1&lt;=_xlpm.DepreciationMonths,$C38&lt;=AU$8),$E38/_xlpm.DepreciationMonths,0))</f>
        <v>0</v>
      </c>
      <c r="AV38" s="507" cm="1">
        <f t="array" ref="AV38">_xlfn.LET(_xlpm.DepreciationMonths,INDEX(FixedAssets[Depreciation
/ Amortization Months],_xlfn.XMATCH($E$33,FixedAssets[Asset ID])),IF(AND((_xlfn.XMATCH(AV$8,$AH$8:$CC$8))-_xlfn.XMATCH($C38,$C$35:$C$82)+1&lt;=_xlpm.DepreciationMonths,$C38&lt;=AV$8),$E38/_xlpm.DepreciationMonths,0))</f>
        <v>0</v>
      </c>
      <c r="AW38" s="507" cm="1">
        <f t="array" ref="AW38">_xlfn.LET(_xlpm.DepreciationMonths,INDEX(FixedAssets[Depreciation
/ Amortization Months],_xlfn.XMATCH($E$33,FixedAssets[Asset ID])),IF(AND((_xlfn.XMATCH(AW$8,$AH$8:$CC$8))-_xlfn.XMATCH($C38,$C$35:$C$82)+1&lt;=_xlpm.DepreciationMonths,$C38&lt;=AW$8),$E38/_xlpm.DepreciationMonths,0))</f>
        <v>0</v>
      </c>
      <c r="AX38" s="507" cm="1">
        <f t="array" ref="AX38">_xlfn.LET(_xlpm.DepreciationMonths,INDEX(FixedAssets[Depreciation
/ Amortization Months],_xlfn.XMATCH($E$33,FixedAssets[Asset ID])),IF(AND((_xlfn.XMATCH(AX$8,$AH$8:$CC$8))-_xlfn.XMATCH($C38,$C$35:$C$82)+1&lt;=_xlpm.DepreciationMonths,$C38&lt;=AX$8),$E38/_xlpm.DepreciationMonths,0))</f>
        <v>0</v>
      </c>
      <c r="AY38" s="507" cm="1">
        <f t="array" ref="AY38">_xlfn.LET(_xlpm.DepreciationMonths,INDEX(FixedAssets[Depreciation
/ Amortization Months],_xlfn.XMATCH($E$33,FixedAssets[Asset ID])),IF(AND((_xlfn.XMATCH(AY$8,$AH$8:$CC$8))-_xlfn.XMATCH($C38,$C$35:$C$82)+1&lt;=_xlpm.DepreciationMonths,$C38&lt;=AY$8),$E38/_xlpm.DepreciationMonths,0))</f>
        <v>0</v>
      </c>
      <c r="AZ38" s="507" cm="1">
        <f t="array" ref="AZ38">_xlfn.LET(_xlpm.DepreciationMonths,INDEX(FixedAssets[Depreciation
/ Amortization Months],_xlfn.XMATCH($E$33,FixedAssets[Asset ID])),IF(AND((_xlfn.XMATCH(AZ$8,$AH$8:$CC$8))-_xlfn.XMATCH($C38,$C$35:$C$82)+1&lt;=_xlpm.DepreciationMonths,$C38&lt;=AZ$8),$E38/_xlpm.DepreciationMonths,0))</f>
        <v>0</v>
      </c>
      <c r="BA38" s="507" cm="1">
        <f t="array" ref="BA38">_xlfn.LET(_xlpm.DepreciationMonths,INDEX(FixedAssets[Depreciation
/ Amortization Months],_xlfn.XMATCH($E$33,FixedAssets[Asset ID])),IF(AND((_xlfn.XMATCH(BA$8,$AH$8:$CC$8))-_xlfn.XMATCH($C38,$C$35:$C$82)+1&lt;=_xlpm.DepreciationMonths,$C38&lt;=BA$8),$E38/_xlpm.DepreciationMonths,0))</f>
        <v>0</v>
      </c>
      <c r="BB38" s="507" cm="1">
        <f t="array" ref="BB38">_xlfn.LET(_xlpm.DepreciationMonths,INDEX(FixedAssets[Depreciation
/ Amortization Months],_xlfn.XMATCH($E$33,FixedAssets[Asset ID])),IF(AND((_xlfn.XMATCH(BB$8,$AH$8:$CC$8))-_xlfn.XMATCH($C38,$C$35:$C$82)+1&lt;=_xlpm.DepreciationMonths,$C38&lt;=BB$8),$E38/_xlpm.DepreciationMonths,0))</f>
        <v>0</v>
      </c>
      <c r="BC38" s="507" cm="1">
        <f t="array" ref="BC38">_xlfn.LET(_xlpm.DepreciationMonths,INDEX(FixedAssets[Depreciation
/ Amortization Months],_xlfn.XMATCH($E$33,FixedAssets[Asset ID])),IF(AND((_xlfn.XMATCH(BC$8,$AH$8:$CC$8))-_xlfn.XMATCH($C38,$C$35:$C$82)+1&lt;=_xlpm.DepreciationMonths,$C38&lt;=BC$8),$E38/_xlpm.DepreciationMonths,0))</f>
        <v>0</v>
      </c>
      <c r="BD38" s="507" cm="1">
        <f t="array" ref="BD38">_xlfn.LET(_xlpm.DepreciationMonths,INDEX(FixedAssets[Depreciation
/ Amortization Months],_xlfn.XMATCH($E$33,FixedAssets[Asset ID])),IF(AND((_xlfn.XMATCH(BD$8,$AH$8:$CC$8))-_xlfn.XMATCH($C38,$C$35:$C$82)+1&lt;=_xlpm.DepreciationMonths,$C38&lt;=BD$8),$E38/_xlpm.DepreciationMonths,0))</f>
        <v>0</v>
      </c>
      <c r="BE38" s="507" cm="1">
        <f t="array" ref="BE38">_xlfn.LET(_xlpm.DepreciationMonths,INDEX(FixedAssets[Depreciation
/ Amortization Months],_xlfn.XMATCH($E$33,FixedAssets[Asset ID])),IF(AND((_xlfn.XMATCH(BE$8,$AH$8:$CC$8))-_xlfn.XMATCH($C38,$C$35:$C$82)+1&lt;=_xlpm.DepreciationMonths,$C38&lt;=BE$8),$E38/_xlpm.DepreciationMonths,0))</f>
        <v>0</v>
      </c>
      <c r="BF38" s="507" cm="1">
        <f t="array" ref="BF38">_xlfn.LET(_xlpm.DepreciationMonths,INDEX(FixedAssets[Depreciation
/ Amortization Months],_xlfn.XMATCH($E$33,FixedAssets[Asset ID])),IF(AND((_xlfn.XMATCH(BF$8,$AH$8:$CC$8))-_xlfn.XMATCH($C38,$C$35:$C$82)+1&lt;=_xlpm.DepreciationMonths,$C38&lt;=BF$8),$E38/_xlpm.DepreciationMonths,0))</f>
        <v>0</v>
      </c>
      <c r="BG38" s="507" cm="1">
        <f t="array" ref="BG38">_xlfn.LET(_xlpm.DepreciationMonths,INDEX(FixedAssets[Depreciation
/ Amortization Months],_xlfn.XMATCH($E$33,FixedAssets[Asset ID])),IF(AND((_xlfn.XMATCH(BG$8,$AH$8:$CC$8))-_xlfn.XMATCH($C38,$C$35:$C$82)+1&lt;=_xlpm.DepreciationMonths,$C38&lt;=BG$8),$E38/_xlpm.DepreciationMonths,0))</f>
        <v>0</v>
      </c>
      <c r="BH38" s="507" cm="1">
        <f t="array" ref="BH38">_xlfn.LET(_xlpm.DepreciationMonths,INDEX(FixedAssets[Depreciation
/ Amortization Months],_xlfn.XMATCH($E$33,FixedAssets[Asset ID])),IF(AND((_xlfn.XMATCH(BH$8,$AH$8:$CC$8))-_xlfn.XMATCH($C38,$C$35:$C$82)+1&lt;=_xlpm.DepreciationMonths,$C38&lt;=BH$8),$E38/_xlpm.DepreciationMonths,0))</f>
        <v>0</v>
      </c>
      <c r="BI38" s="507" cm="1">
        <f t="array" ref="BI38">_xlfn.LET(_xlpm.DepreciationMonths,INDEX(FixedAssets[Depreciation
/ Amortization Months],_xlfn.XMATCH($E$33,FixedAssets[Asset ID])),IF(AND((_xlfn.XMATCH(BI$8,$AH$8:$CC$8))-_xlfn.XMATCH($C38,$C$35:$C$82)+1&lt;=_xlpm.DepreciationMonths,$C38&lt;=BI$8),$E38/_xlpm.DepreciationMonths,0))</f>
        <v>0</v>
      </c>
      <c r="BJ38" s="507" cm="1">
        <f t="array" ref="BJ38">_xlfn.LET(_xlpm.DepreciationMonths,INDEX(FixedAssets[Depreciation
/ Amortization Months],_xlfn.XMATCH($E$33,FixedAssets[Asset ID])),IF(AND((_xlfn.XMATCH(BJ$8,$AH$8:$CC$8))-_xlfn.XMATCH($C38,$C$35:$C$82)+1&lt;=_xlpm.DepreciationMonths,$C38&lt;=BJ$8),$E38/_xlpm.DepreciationMonths,0))</f>
        <v>0</v>
      </c>
      <c r="BK38" s="507" cm="1">
        <f t="array" ref="BK38">_xlfn.LET(_xlpm.DepreciationMonths,INDEX(FixedAssets[Depreciation
/ Amortization Months],_xlfn.XMATCH($E$33,FixedAssets[Asset ID])),IF(AND((_xlfn.XMATCH(BK$8,$AH$8:$CC$8))-_xlfn.XMATCH($C38,$C$35:$C$82)+1&lt;=_xlpm.DepreciationMonths,$C38&lt;=BK$8),$E38/_xlpm.DepreciationMonths,0))</f>
        <v>0</v>
      </c>
      <c r="BL38" s="507" cm="1">
        <f t="array" ref="BL38">_xlfn.LET(_xlpm.DepreciationMonths,INDEX(FixedAssets[Depreciation
/ Amortization Months],_xlfn.XMATCH($E$33,FixedAssets[Asset ID])),IF(AND((_xlfn.XMATCH(BL$8,$AH$8:$CC$8))-_xlfn.XMATCH($C38,$C$35:$C$82)+1&lt;=_xlpm.DepreciationMonths,$C38&lt;=BL$8),$E38/_xlpm.DepreciationMonths,0))</f>
        <v>0</v>
      </c>
      <c r="BM38" s="507" cm="1">
        <f t="array" ref="BM38">_xlfn.LET(_xlpm.DepreciationMonths,INDEX(FixedAssets[Depreciation
/ Amortization Months],_xlfn.XMATCH($E$33,FixedAssets[Asset ID])),IF(AND((_xlfn.XMATCH(BM$8,$AH$8:$CC$8))-_xlfn.XMATCH($C38,$C$35:$C$82)+1&lt;=_xlpm.DepreciationMonths,$C38&lt;=BM$8),$E38/_xlpm.DepreciationMonths,0))</f>
        <v>0</v>
      </c>
      <c r="BN38" s="507" cm="1">
        <f t="array" ref="BN38">_xlfn.LET(_xlpm.DepreciationMonths,INDEX(FixedAssets[Depreciation
/ Amortization Months],_xlfn.XMATCH($E$33,FixedAssets[Asset ID])),IF(AND((_xlfn.XMATCH(BN$8,$AH$8:$CC$8))-_xlfn.XMATCH($C38,$C$35:$C$82)+1&lt;=_xlpm.DepreciationMonths,$C38&lt;=BN$8),$E38/_xlpm.DepreciationMonths,0))</f>
        <v>0</v>
      </c>
      <c r="BO38" s="507" cm="1">
        <f t="array" ref="BO38">_xlfn.LET(_xlpm.DepreciationMonths,INDEX(FixedAssets[Depreciation
/ Amortization Months],_xlfn.XMATCH($E$33,FixedAssets[Asset ID])),IF(AND((_xlfn.XMATCH(BO$8,$AH$8:$CC$8))-_xlfn.XMATCH($C38,$C$35:$C$82)+1&lt;=_xlpm.DepreciationMonths,$C38&lt;=BO$8),$E38/_xlpm.DepreciationMonths,0))</f>
        <v>0</v>
      </c>
      <c r="BP38" s="507" cm="1">
        <f t="array" ref="BP38">_xlfn.LET(_xlpm.DepreciationMonths,INDEX(FixedAssets[Depreciation
/ Amortization Months],_xlfn.XMATCH($E$33,FixedAssets[Asset ID])),IF(AND((_xlfn.XMATCH(BP$8,$AH$8:$CC$8))-_xlfn.XMATCH($C38,$C$35:$C$82)+1&lt;=_xlpm.DepreciationMonths,$C38&lt;=BP$8),$E38/_xlpm.DepreciationMonths,0))</f>
        <v>0</v>
      </c>
      <c r="BQ38" s="507" cm="1">
        <f t="array" ref="BQ38">_xlfn.LET(_xlpm.DepreciationMonths,INDEX(FixedAssets[Depreciation
/ Amortization Months],_xlfn.XMATCH($E$33,FixedAssets[Asset ID])),IF(AND((_xlfn.XMATCH(BQ$8,$AH$8:$CC$8))-_xlfn.XMATCH($C38,$C$35:$C$82)+1&lt;=_xlpm.DepreciationMonths,$C38&lt;=BQ$8),$E38/_xlpm.DepreciationMonths,0))</f>
        <v>0</v>
      </c>
      <c r="BR38" s="507" cm="1">
        <f t="array" ref="BR38">_xlfn.LET(_xlpm.DepreciationMonths,INDEX(FixedAssets[Depreciation
/ Amortization Months],_xlfn.XMATCH($E$33,FixedAssets[Asset ID])),IF(AND((_xlfn.XMATCH(BR$8,$AH$8:$CC$8))-_xlfn.XMATCH($C38,$C$35:$C$82)+1&lt;=_xlpm.DepreciationMonths,$C38&lt;=BR$8),$E38/_xlpm.DepreciationMonths,0))</f>
        <v>0</v>
      </c>
      <c r="BS38" s="507" cm="1">
        <f t="array" ref="BS38">_xlfn.LET(_xlpm.DepreciationMonths,INDEX(FixedAssets[Depreciation
/ Amortization Months],_xlfn.XMATCH($E$33,FixedAssets[Asset ID])),IF(AND((_xlfn.XMATCH(BS$8,$AH$8:$CC$8))-_xlfn.XMATCH($C38,$C$35:$C$82)+1&lt;=_xlpm.DepreciationMonths,$C38&lt;=BS$8),$E38/_xlpm.DepreciationMonths,0))</f>
        <v>0</v>
      </c>
      <c r="BT38" s="507" cm="1">
        <f t="array" ref="BT38">_xlfn.LET(_xlpm.DepreciationMonths,INDEX(FixedAssets[Depreciation
/ Amortization Months],_xlfn.XMATCH($E$33,FixedAssets[Asset ID])),IF(AND((_xlfn.XMATCH(BT$8,$AH$8:$CC$8))-_xlfn.XMATCH($C38,$C$35:$C$82)+1&lt;=_xlpm.DepreciationMonths,$C38&lt;=BT$8),$E38/_xlpm.DepreciationMonths,0))</f>
        <v>0</v>
      </c>
      <c r="BU38" s="507" cm="1">
        <f t="array" ref="BU38">_xlfn.LET(_xlpm.DepreciationMonths,INDEX(FixedAssets[Depreciation
/ Amortization Months],_xlfn.XMATCH($E$33,FixedAssets[Asset ID])),IF(AND((_xlfn.XMATCH(BU$8,$AH$8:$CC$8))-_xlfn.XMATCH($C38,$C$35:$C$82)+1&lt;=_xlpm.DepreciationMonths,$C38&lt;=BU$8),$E38/_xlpm.DepreciationMonths,0))</f>
        <v>0</v>
      </c>
      <c r="BV38" s="507" cm="1">
        <f t="array" ref="BV38">_xlfn.LET(_xlpm.DepreciationMonths,INDEX(FixedAssets[Depreciation
/ Amortization Months],_xlfn.XMATCH($E$33,FixedAssets[Asset ID])),IF(AND((_xlfn.XMATCH(BV$8,$AH$8:$CC$8))-_xlfn.XMATCH($C38,$C$35:$C$82)+1&lt;=_xlpm.DepreciationMonths,$C38&lt;=BV$8),$E38/_xlpm.DepreciationMonths,0))</f>
        <v>0</v>
      </c>
      <c r="BW38" s="507" cm="1">
        <f t="array" ref="BW38">_xlfn.LET(_xlpm.DepreciationMonths,INDEX(FixedAssets[Depreciation
/ Amortization Months],_xlfn.XMATCH($E$33,FixedAssets[Asset ID])),IF(AND((_xlfn.XMATCH(BW$8,$AH$8:$CC$8))-_xlfn.XMATCH($C38,$C$35:$C$82)+1&lt;=_xlpm.DepreciationMonths,$C38&lt;=BW$8),$E38/_xlpm.DepreciationMonths,0))</f>
        <v>0</v>
      </c>
      <c r="BX38" s="507" cm="1">
        <f t="array" ref="BX38">_xlfn.LET(_xlpm.DepreciationMonths,INDEX(FixedAssets[Depreciation
/ Amortization Months],_xlfn.XMATCH($E$33,FixedAssets[Asset ID])),IF(AND((_xlfn.XMATCH(BX$8,$AH$8:$CC$8))-_xlfn.XMATCH($C38,$C$35:$C$82)+1&lt;=_xlpm.DepreciationMonths,$C38&lt;=BX$8),$E38/_xlpm.DepreciationMonths,0))</f>
        <v>0</v>
      </c>
      <c r="BY38" s="507" cm="1">
        <f t="array" ref="BY38">_xlfn.LET(_xlpm.DepreciationMonths,INDEX(FixedAssets[Depreciation
/ Amortization Months],_xlfn.XMATCH($E$33,FixedAssets[Asset ID])),IF(AND((_xlfn.XMATCH(BY$8,$AH$8:$CC$8))-_xlfn.XMATCH($C38,$C$35:$C$82)+1&lt;=_xlpm.DepreciationMonths,$C38&lt;=BY$8),$E38/_xlpm.DepreciationMonths,0))</f>
        <v>0</v>
      </c>
      <c r="BZ38" s="507" cm="1">
        <f t="array" ref="BZ38">_xlfn.LET(_xlpm.DepreciationMonths,INDEX(FixedAssets[Depreciation
/ Amortization Months],_xlfn.XMATCH($E$33,FixedAssets[Asset ID])),IF(AND((_xlfn.XMATCH(BZ$8,$AH$8:$CC$8))-_xlfn.XMATCH($C38,$C$35:$C$82)+1&lt;=_xlpm.DepreciationMonths,$C38&lt;=BZ$8),$E38/_xlpm.DepreciationMonths,0))</f>
        <v>0</v>
      </c>
      <c r="CA38" s="507" cm="1">
        <f t="array" ref="CA38">_xlfn.LET(_xlpm.DepreciationMonths,INDEX(FixedAssets[Depreciation
/ Amortization Months],_xlfn.XMATCH($E$33,FixedAssets[Asset ID])),IF(AND((_xlfn.XMATCH(CA$8,$AH$8:$CC$8))-_xlfn.XMATCH($C38,$C$35:$C$82)+1&lt;=_xlpm.DepreciationMonths,$C38&lt;=CA$8),$E38/_xlpm.DepreciationMonths,0))</f>
        <v>0</v>
      </c>
      <c r="CB38" s="507" cm="1">
        <f t="array" ref="CB38">_xlfn.LET(_xlpm.DepreciationMonths,INDEX(FixedAssets[Depreciation
/ Amortization Months],_xlfn.XMATCH($E$33,FixedAssets[Asset ID])),IF(AND((_xlfn.XMATCH(CB$8,$AH$8:$CC$8))-_xlfn.XMATCH($C38,$C$35:$C$82)+1&lt;=_xlpm.DepreciationMonths,$C38&lt;=CB$8),$E38/_xlpm.DepreciationMonths,0))</f>
        <v>0</v>
      </c>
      <c r="CC38" s="507" cm="1">
        <f t="array" ref="CC38">_xlfn.LET(_xlpm.DepreciationMonths,INDEX(FixedAssets[Depreciation
/ Amortization Months],_xlfn.XMATCH($E$33,FixedAssets[Asset ID])),IF(AND((_xlfn.XMATCH(CC$8,$AH$8:$CC$8))-_xlfn.XMATCH($C38,$C$35:$C$82)+1&lt;=_xlpm.DepreciationMonths,$C38&lt;=CC$8),$E38/_xlpm.DepreciationMonths,0))</f>
        <v>0</v>
      </c>
    </row>
    <row r="39" spans="3:81" hidden="1" outlineLevel="2">
      <c r="C39" s="664">
        <f t="shared" si="91"/>
        <v>45077</v>
      </c>
      <c r="D39" s="508"/>
      <c r="E39" s="508" cm="1">
        <f t="array" ref="E39">SUMPRODUCT(($AH$26:$CC$31)*($AH$5:$CC$5=$C39)*($E$26:$E$31=E$33))-SUMPRODUCT(($AH$26:$CC$31)*($AH$5:$CC$5=EOMONTH($C39,-1))*($E$26:$E$31=E$33))</f>
        <v>2500</v>
      </c>
      <c r="F39" s="508"/>
      <c r="G39" s="508"/>
      <c r="H39" s="508"/>
      <c r="I39" s="508"/>
      <c r="J39" s="504">
        <f t="shared" si="88"/>
        <v>555.55555555555554</v>
      </c>
      <c r="K39" s="504">
        <f t="shared" si="89"/>
        <v>833.33333333333337</v>
      </c>
      <c r="L39" s="504">
        <f t="shared" si="89"/>
        <v>833.33333333333337</v>
      </c>
      <c r="M39" s="504">
        <f t="shared" si="89"/>
        <v>277.77777777777777</v>
      </c>
      <c r="N39" s="504"/>
      <c r="O39" s="504"/>
      <c r="P39" s="504">
        <f t="shared" si="90"/>
        <v>0</v>
      </c>
      <c r="Q39" s="504">
        <f t="shared" si="90"/>
        <v>138.88888888888889</v>
      </c>
      <c r="R39" s="504">
        <f t="shared" si="90"/>
        <v>208.33333333333331</v>
      </c>
      <c r="S39" s="504">
        <f t="shared" si="90"/>
        <v>208.33333333333331</v>
      </c>
      <c r="T39" s="504">
        <f t="shared" si="90"/>
        <v>208.33333333333331</v>
      </c>
      <c r="U39" s="504">
        <f t="shared" si="90"/>
        <v>208.33333333333331</v>
      </c>
      <c r="V39" s="504">
        <f t="shared" si="90"/>
        <v>208.33333333333331</v>
      </c>
      <c r="W39" s="504">
        <f t="shared" si="90"/>
        <v>208.33333333333331</v>
      </c>
      <c r="X39" s="504">
        <f t="shared" si="90"/>
        <v>208.33333333333331</v>
      </c>
      <c r="Y39" s="504">
        <f t="shared" si="90"/>
        <v>208.33333333333331</v>
      </c>
      <c r="Z39" s="504">
        <f t="shared" si="90"/>
        <v>208.33333333333331</v>
      </c>
      <c r="AA39" s="504">
        <f t="shared" si="90"/>
        <v>208.33333333333331</v>
      </c>
      <c r="AB39" s="504">
        <f t="shared" si="90"/>
        <v>208.33333333333331</v>
      </c>
      <c r="AC39" s="504">
        <f t="shared" si="90"/>
        <v>69.444444444444443</v>
      </c>
      <c r="AD39" s="504">
        <f t="shared" si="90"/>
        <v>0</v>
      </c>
      <c r="AE39" s="504">
        <f t="shared" si="90"/>
        <v>0</v>
      </c>
      <c r="AF39" s="508"/>
      <c r="AG39" s="508"/>
      <c r="AH39" s="507" cm="1">
        <f t="array" ref="AH39">_xlfn.LET(_xlpm.DepreciationMonths,INDEX(FixedAssets[Depreciation
/ Amortization Months],_xlfn.XMATCH($E$33,FixedAssets[Asset ID])),IF(AND((_xlfn.XMATCH(AH$8,$AH$8:$CC$8))-_xlfn.XMATCH($C39,$C$35:$C$82)+1&lt;=_xlpm.DepreciationMonths,$C39&lt;=AH$8),$E39/_xlpm.DepreciationMonths,0))</f>
        <v>0</v>
      </c>
      <c r="AI39" s="507" cm="1">
        <f t="array" ref="AI39">_xlfn.LET(_xlpm.DepreciationMonths,INDEX(FixedAssets[Depreciation
/ Amortization Months],_xlfn.XMATCH($E$33,FixedAssets[Asset ID])),IF(AND((_xlfn.XMATCH(AI$8,$AH$8:$CC$8))-_xlfn.XMATCH($C39,$C$35:$C$82)+1&lt;=_xlpm.DepreciationMonths,$C39&lt;=AI$8),$E39/_xlpm.DepreciationMonths,0))</f>
        <v>0</v>
      </c>
      <c r="AJ39" s="507" cm="1">
        <f t="array" ref="AJ39">_xlfn.LET(_xlpm.DepreciationMonths,INDEX(FixedAssets[Depreciation
/ Amortization Months],_xlfn.XMATCH($E$33,FixedAssets[Asset ID])),IF(AND((_xlfn.XMATCH(AJ$8,$AH$8:$CC$8))-_xlfn.XMATCH($C39,$C$35:$C$82)+1&lt;=_xlpm.DepreciationMonths,$C39&lt;=AJ$8),$E39/_xlpm.DepreciationMonths,0))</f>
        <v>0</v>
      </c>
      <c r="AK39" s="507" cm="1">
        <f t="array" ref="AK39">_xlfn.LET(_xlpm.DepreciationMonths,INDEX(FixedAssets[Depreciation
/ Amortization Months],_xlfn.XMATCH($E$33,FixedAssets[Asset ID])),IF(AND((_xlfn.XMATCH(AK$8,$AH$8:$CC$8))-_xlfn.XMATCH($C39,$C$35:$C$82)+1&lt;=_xlpm.DepreciationMonths,$C39&lt;=AK$8),$E39/_xlpm.DepreciationMonths,0))</f>
        <v>0</v>
      </c>
      <c r="AL39" s="507" cm="1">
        <f t="array" ref="AL39">_xlfn.LET(_xlpm.DepreciationMonths,INDEX(FixedAssets[Depreciation
/ Amortization Months],_xlfn.XMATCH($E$33,FixedAssets[Asset ID])),IF(AND((_xlfn.XMATCH(AL$8,$AH$8:$CC$8))-_xlfn.XMATCH($C39,$C$35:$C$82)+1&lt;=_xlpm.DepreciationMonths,$C39&lt;=AL$8),$E39/_xlpm.DepreciationMonths,0))</f>
        <v>69.444444444444443</v>
      </c>
      <c r="AM39" s="507" cm="1">
        <f t="array" ref="AM39">_xlfn.LET(_xlpm.DepreciationMonths,INDEX(FixedAssets[Depreciation
/ Amortization Months],_xlfn.XMATCH($E$33,FixedAssets[Asset ID])),IF(AND((_xlfn.XMATCH(AM$8,$AH$8:$CC$8))-_xlfn.XMATCH($C39,$C$35:$C$82)+1&lt;=_xlpm.DepreciationMonths,$C39&lt;=AM$8),$E39/_xlpm.DepreciationMonths,0))</f>
        <v>69.444444444444443</v>
      </c>
      <c r="AN39" s="507" cm="1">
        <f t="array" ref="AN39">_xlfn.LET(_xlpm.DepreciationMonths,INDEX(FixedAssets[Depreciation
/ Amortization Months],_xlfn.XMATCH($E$33,FixedAssets[Asset ID])),IF(AND((_xlfn.XMATCH(AN$8,$AH$8:$CC$8))-_xlfn.XMATCH($C39,$C$35:$C$82)+1&lt;=_xlpm.DepreciationMonths,$C39&lt;=AN$8),$E39/_xlpm.DepreciationMonths,0))</f>
        <v>69.444444444444443</v>
      </c>
      <c r="AO39" s="507" cm="1">
        <f t="array" ref="AO39">_xlfn.LET(_xlpm.DepreciationMonths,INDEX(FixedAssets[Depreciation
/ Amortization Months],_xlfn.XMATCH($E$33,FixedAssets[Asset ID])),IF(AND((_xlfn.XMATCH(AO$8,$AH$8:$CC$8))-_xlfn.XMATCH($C39,$C$35:$C$82)+1&lt;=_xlpm.DepreciationMonths,$C39&lt;=AO$8),$E39/_xlpm.DepreciationMonths,0))</f>
        <v>69.444444444444443</v>
      </c>
      <c r="AP39" s="507" cm="1">
        <f t="array" ref="AP39">_xlfn.LET(_xlpm.DepreciationMonths,INDEX(FixedAssets[Depreciation
/ Amortization Months],_xlfn.XMATCH($E$33,FixedAssets[Asset ID])),IF(AND((_xlfn.XMATCH(AP$8,$AH$8:$CC$8))-_xlfn.XMATCH($C39,$C$35:$C$82)+1&lt;=_xlpm.DepreciationMonths,$C39&lt;=AP$8),$E39/_xlpm.DepreciationMonths,0))</f>
        <v>69.444444444444443</v>
      </c>
      <c r="AQ39" s="507" cm="1">
        <f t="array" ref="AQ39">_xlfn.LET(_xlpm.DepreciationMonths,INDEX(FixedAssets[Depreciation
/ Amortization Months],_xlfn.XMATCH($E$33,FixedAssets[Asset ID])),IF(AND((_xlfn.XMATCH(AQ$8,$AH$8:$CC$8))-_xlfn.XMATCH($C39,$C$35:$C$82)+1&lt;=_xlpm.DepreciationMonths,$C39&lt;=AQ$8),$E39/_xlpm.DepreciationMonths,0))</f>
        <v>69.444444444444443</v>
      </c>
      <c r="AR39" s="507" cm="1">
        <f t="array" ref="AR39">_xlfn.LET(_xlpm.DepreciationMonths,INDEX(FixedAssets[Depreciation
/ Amortization Months],_xlfn.XMATCH($E$33,FixedAssets[Asset ID])),IF(AND((_xlfn.XMATCH(AR$8,$AH$8:$CC$8))-_xlfn.XMATCH($C39,$C$35:$C$82)+1&lt;=_xlpm.DepreciationMonths,$C39&lt;=AR$8),$E39/_xlpm.DepreciationMonths,0))</f>
        <v>69.444444444444443</v>
      </c>
      <c r="AS39" s="507" cm="1">
        <f t="array" ref="AS39">_xlfn.LET(_xlpm.DepreciationMonths,INDEX(FixedAssets[Depreciation
/ Amortization Months],_xlfn.XMATCH($E$33,FixedAssets[Asset ID])),IF(AND((_xlfn.XMATCH(AS$8,$AH$8:$CC$8))-_xlfn.XMATCH($C39,$C$35:$C$82)+1&lt;=_xlpm.DepreciationMonths,$C39&lt;=AS$8),$E39/_xlpm.DepreciationMonths,0))</f>
        <v>69.444444444444443</v>
      </c>
      <c r="AT39" s="507" cm="1">
        <f t="array" ref="AT39">_xlfn.LET(_xlpm.DepreciationMonths,INDEX(FixedAssets[Depreciation
/ Amortization Months],_xlfn.XMATCH($E$33,FixedAssets[Asset ID])),IF(AND((_xlfn.XMATCH(AT$8,$AH$8:$CC$8))-_xlfn.XMATCH($C39,$C$35:$C$82)+1&lt;=_xlpm.DepreciationMonths,$C39&lt;=AT$8),$E39/_xlpm.DepreciationMonths,0))</f>
        <v>69.444444444444443</v>
      </c>
      <c r="AU39" s="507" cm="1">
        <f t="array" ref="AU39">_xlfn.LET(_xlpm.DepreciationMonths,INDEX(FixedAssets[Depreciation
/ Amortization Months],_xlfn.XMATCH($E$33,FixedAssets[Asset ID])),IF(AND((_xlfn.XMATCH(AU$8,$AH$8:$CC$8))-_xlfn.XMATCH($C39,$C$35:$C$82)+1&lt;=_xlpm.DepreciationMonths,$C39&lt;=AU$8),$E39/_xlpm.DepreciationMonths,0))</f>
        <v>69.444444444444443</v>
      </c>
      <c r="AV39" s="507" cm="1">
        <f t="array" ref="AV39">_xlfn.LET(_xlpm.DepreciationMonths,INDEX(FixedAssets[Depreciation
/ Amortization Months],_xlfn.XMATCH($E$33,FixedAssets[Asset ID])),IF(AND((_xlfn.XMATCH(AV$8,$AH$8:$CC$8))-_xlfn.XMATCH($C39,$C$35:$C$82)+1&lt;=_xlpm.DepreciationMonths,$C39&lt;=AV$8),$E39/_xlpm.DepreciationMonths,0))</f>
        <v>69.444444444444443</v>
      </c>
      <c r="AW39" s="507" cm="1">
        <f t="array" ref="AW39">_xlfn.LET(_xlpm.DepreciationMonths,INDEX(FixedAssets[Depreciation
/ Amortization Months],_xlfn.XMATCH($E$33,FixedAssets[Asset ID])),IF(AND((_xlfn.XMATCH(AW$8,$AH$8:$CC$8))-_xlfn.XMATCH($C39,$C$35:$C$82)+1&lt;=_xlpm.DepreciationMonths,$C39&lt;=AW$8),$E39/_xlpm.DepreciationMonths,0))</f>
        <v>69.444444444444443</v>
      </c>
      <c r="AX39" s="507" cm="1">
        <f t="array" ref="AX39">_xlfn.LET(_xlpm.DepreciationMonths,INDEX(FixedAssets[Depreciation
/ Amortization Months],_xlfn.XMATCH($E$33,FixedAssets[Asset ID])),IF(AND((_xlfn.XMATCH(AX$8,$AH$8:$CC$8))-_xlfn.XMATCH($C39,$C$35:$C$82)+1&lt;=_xlpm.DepreciationMonths,$C39&lt;=AX$8),$E39/_xlpm.DepreciationMonths,0))</f>
        <v>69.444444444444443</v>
      </c>
      <c r="AY39" s="507" cm="1">
        <f t="array" ref="AY39">_xlfn.LET(_xlpm.DepreciationMonths,INDEX(FixedAssets[Depreciation
/ Amortization Months],_xlfn.XMATCH($E$33,FixedAssets[Asset ID])),IF(AND((_xlfn.XMATCH(AY$8,$AH$8:$CC$8))-_xlfn.XMATCH($C39,$C$35:$C$82)+1&lt;=_xlpm.DepreciationMonths,$C39&lt;=AY$8),$E39/_xlpm.DepreciationMonths,0))</f>
        <v>69.444444444444443</v>
      </c>
      <c r="AZ39" s="507" cm="1">
        <f t="array" ref="AZ39">_xlfn.LET(_xlpm.DepreciationMonths,INDEX(FixedAssets[Depreciation
/ Amortization Months],_xlfn.XMATCH($E$33,FixedAssets[Asset ID])),IF(AND((_xlfn.XMATCH(AZ$8,$AH$8:$CC$8))-_xlfn.XMATCH($C39,$C$35:$C$82)+1&lt;=_xlpm.DepreciationMonths,$C39&lt;=AZ$8),$E39/_xlpm.DepreciationMonths,0))</f>
        <v>69.444444444444443</v>
      </c>
      <c r="BA39" s="507" cm="1">
        <f t="array" ref="BA39">_xlfn.LET(_xlpm.DepreciationMonths,INDEX(FixedAssets[Depreciation
/ Amortization Months],_xlfn.XMATCH($E$33,FixedAssets[Asset ID])),IF(AND((_xlfn.XMATCH(BA$8,$AH$8:$CC$8))-_xlfn.XMATCH($C39,$C$35:$C$82)+1&lt;=_xlpm.DepreciationMonths,$C39&lt;=BA$8),$E39/_xlpm.DepreciationMonths,0))</f>
        <v>69.444444444444443</v>
      </c>
      <c r="BB39" s="507" cm="1">
        <f t="array" ref="BB39">_xlfn.LET(_xlpm.DepreciationMonths,INDEX(FixedAssets[Depreciation
/ Amortization Months],_xlfn.XMATCH($E$33,FixedAssets[Asset ID])),IF(AND((_xlfn.XMATCH(BB$8,$AH$8:$CC$8))-_xlfn.XMATCH($C39,$C$35:$C$82)+1&lt;=_xlpm.DepreciationMonths,$C39&lt;=BB$8),$E39/_xlpm.DepreciationMonths,0))</f>
        <v>69.444444444444443</v>
      </c>
      <c r="BC39" s="507" cm="1">
        <f t="array" ref="BC39">_xlfn.LET(_xlpm.DepreciationMonths,INDEX(FixedAssets[Depreciation
/ Amortization Months],_xlfn.XMATCH($E$33,FixedAssets[Asset ID])),IF(AND((_xlfn.XMATCH(BC$8,$AH$8:$CC$8))-_xlfn.XMATCH($C39,$C$35:$C$82)+1&lt;=_xlpm.DepreciationMonths,$C39&lt;=BC$8),$E39/_xlpm.DepreciationMonths,0))</f>
        <v>69.444444444444443</v>
      </c>
      <c r="BD39" s="507" cm="1">
        <f t="array" ref="BD39">_xlfn.LET(_xlpm.DepreciationMonths,INDEX(FixedAssets[Depreciation
/ Amortization Months],_xlfn.XMATCH($E$33,FixedAssets[Asset ID])),IF(AND((_xlfn.XMATCH(BD$8,$AH$8:$CC$8))-_xlfn.XMATCH($C39,$C$35:$C$82)+1&lt;=_xlpm.DepreciationMonths,$C39&lt;=BD$8),$E39/_xlpm.DepreciationMonths,0))</f>
        <v>69.444444444444443</v>
      </c>
      <c r="BE39" s="507" cm="1">
        <f t="array" ref="BE39">_xlfn.LET(_xlpm.DepreciationMonths,INDEX(FixedAssets[Depreciation
/ Amortization Months],_xlfn.XMATCH($E$33,FixedAssets[Asset ID])),IF(AND((_xlfn.XMATCH(BE$8,$AH$8:$CC$8))-_xlfn.XMATCH($C39,$C$35:$C$82)+1&lt;=_xlpm.DepreciationMonths,$C39&lt;=BE$8),$E39/_xlpm.DepreciationMonths,0))</f>
        <v>69.444444444444443</v>
      </c>
      <c r="BF39" s="507" cm="1">
        <f t="array" ref="BF39">_xlfn.LET(_xlpm.DepreciationMonths,INDEX(FixedAssets[Depreciation
/ Amortization Months],_xlfn.XMATCH($E$33,FixedAssets[Asset ID])),IF(AND((_xlfn.XMATCH(BF$8,$AH$8:$CC$8))-_xlfn.XMATCH($C39,$C$35:$C$82)+1&lt;=_xlpm.DepreciationMonths,$C39&lt;=BF$8),$E39/_xlpm.DepreciationMonths,0))</f>
        <v>69.444444444444443</v>
      </c>
      <c r="BG39" s="507" cm="1">
        <f t="array" ref="BG39">_xlfn.LET(_xlpm.DepreciationMonths,INDEX(FixedAssets[Depreciation
/ Amortization Months],_xlfn.XMATCH($E$33,FixedAssets[Asset ID])),IF(AND((_xlfn.XMATCH(BG$8,$AH$8:$CC$8))-_xlfn.XMATCH($C39,$C$35:$C$82)+1&lt;=_xlpm.DepreciationMonths,$C39&lt;=BG$8),$E39/_xlpm.DepreciationMonths,0))</f>
        <v>69.444444444444443</v>
      </c>
      <c r="BH39" s="507" cm="1">
        <f t="array" ref="BH39">_xlfn.LET(_xlpm.DepreciationMonths,INDEX(FixedAssets[Depreciation
/ Amortization Months],_xlfn.XMATCH($E$33,FixedAssets[Asset ID])),IF(AND((_xlfn.XMATCH(BH$8,$AH$8:$CC$8))-_xlfn.XMATCH($C39,$C$35:$C$82)+1&lt;=_xlpm.DepreciationMonths,$C39&lt;=BH$8),$E39/_xlpm.DepreciationMonths,0))</f>
        <v>69.444444444444443</v>
      </c>
      <c r="BI39" s="507" cm="1">
        <f t="array" ref="BI39">_xlfn.LET(_xlpm.DepreciationMonths,INDEX(FixedAssets[Depreciation
/ Amortization Months],_xlfn.XMATCH($E$33,FixedAssets[Asset ID])),IF(AND((_xlfn.XMATCH(BI$8,$AH$8:$CC$8))-_xlfn.XMATCH($C39,$C$35:$C$82)+1&lt;=_xlpm.DepreciationMonths,$C39&lt;=BI$8),$E39/_xlpm.DepreciationMonths,0))</f>
        <v>69.444444444444443</v>
      </c>
      <c r="BJ39" s="507" cm="1">
        <f t="array" ref="BJ39">_xlfn.LET(_xlpm.DepreciationMonths,INDEX(FixedAssets[Depreciation
/ Amortization Months],_xlfn.XMATCH($E$33,FixedAssets[Asset ID])),IF(AND((_xlfn.XMATCH(BJ$8,$AH$8:$CC$8))-_xlfn.XMATCH($C39,$C$35:$C$82)+1&lt;=_xlpm.DepreciationMonths,$C39&lt;=BJ$8),$E39/_xlpm.DepreciationMonths,0))</f>
        <v>69.444444444444443</v>
      </c>
      <c r="BK39" s="507" cm="1">
        <f t="array" ref="BK39">_xlfn.LET(_xlpm.DepreciationMonths,INDEX(FixedAssets[Depreciation
/ Amortization Months],_xlfn.XMATCH($E$33,FixedAssets[Asset ID])),IF(AND((_xlfn.XMATCH(BK$8,$AH$8:$CC$8))-_xlfn.XMATCH($C39,$C$35:$C$82)+1&lt;=_xlpm.DepreciationMonths,$C39&lt;=BK$8),$E39/_xlpm.DepreciationMonths,0))</f>
        <v>69.444444444444443</v>
      </c>
      <c r="BL39" s="507" cm="1">
        <f t="array" ref="BL39">_xlfn.LET(_xlpm.DepreciationMonths,INDEX(FixedAssets[Depreciation
/ Amortization Months],_xlfn.XMATCH($E$33,FixedAssets[Asset ID])),IF(AND((_xlfn.XMATCH(BL$8,$AH$8:$CC$8))-_xlfn.XMATCH($C39,$C$35:$C$82)+1&lt;=_xlpm.DepreciationMonths,$C39&lt;=BL$8),$E39/_xlpm.DepreciationMonths,0))</f>
        <v>69.444444444444443</v>
      </c>
      <c r="BM39" s="507" cm="1">
        <f t="array" ref="BM39">_xlfn.LET(_xlpm.DepreciationMonths,INDEX(FixedAssets[Depreciation
/ Amortization Months],_xlfn.XMATCH($E$33,FixedAssets[Asset ID])),IF(AND((_xlfn.XMATCH(BM$8,$AH$8:$CC$8))-_xlfn.XMATCH($C39,$C$35:$C$82)+1&lt;=_xlpm.DepreciationMonths,$C39&lt;=BM$8),$E39/_xlpm.DepreciationMonths,0))</f>
        <v>69.444444444444443</v>
      </c>
      <c r="BN39" s="507" cm="1">
        <f t="array" ref="BN39">_xlfn.LET(_xlpm.DepreciationMonths,INDEX(FixedAssets[Depreciation
/ Amortization Months],_xlfn.XMATCH($E$33,FixedAssets[Asset ID])),IF(AND((_xlfn.XMATCH(BN$8,$AH$8:$CC$8))-_xlfn.XMATCH($C39,$C$35:$C$82)+1&lt;=_xlpm.DepreciationMonths,$C39&lt;=BN$8),$E39/_xlpm.DepreciationMonths,0))</f>
        <v>69.444444444444443</v>
      </c>
      <c r="BO39" s="507" cm="1">
        <f t="array" ref="BO39">_xlfn.LET(_xlpm.DepreciationMonths,INDEX(FixedAssets[Depreciation
/ Amortization Months],_xlfn.XMATCH($E$33,FixedAssets[Asset ID])),IF(AND((_xlfn.XMATCH(BO$8,$AH$8:$CC$8))-_xlfn.XMATCH($C39,$C$35:$C$82)+1&lt;=_xlpm.DepreciationMonths,$C39&lt;=BO$8),$E39/_xlpm.DepreciationMonths,0))</f>
        <v>69.444444444444443</v>
      </c>
      <c r="BP39" s="507" cm="1">
        <f t="array" ref="BP39">_xlfn.LET(_xlpm.DepreciationMonths,INDEX(FixedAssets[Depreciation
/ Amortization Months],_xlfn.XMATCH($E$33,FixedAssets[Asset ID])),IF(AND((_xlfn.XMATCH(BP$8,$AH$8:$CC$8))-_xlfn.XMATCH($C39,$C$35:$C$82)+1&lt;=_xlpm.DepreciationMonths,$C39&lt;=BP$8),$E39/_xlpm.DepreciationMonths,0))</f>
        <v>69.444444444444443</v>
      </c>
      <c r="BQ39" s="507" cm="1">
        <f t="array" ref="BQ39">_xlfn.LET(_xlpm.DepreciationMonths,INDEX(FixedAssets[Depreciation
/ Amortization Months],_xlfn.XMATCH($E$33,FixedAssets[Asset ID])),IF(AND((_xlfn.XMATCH(BQ$8,$AH$8:$CC$8))-_xlfn.XMATCH($C39,$C$35:$C$82)+1&lt;=_xlpm.DepreciationMonths,$C39&lt;=BQ$8),$E39/_xlpm.DepreciationMonths,0))</f>
        <v>69.444444444444443</v>
      </c>
      <c r="BR39" s="507" cm="1">
        <f t="array" ref="BR39">_xlfn.LET(_xlpm.DepreciationMonths,INDEX(FixedAssets[Depreciation
/ Amortization Months],_xlfn.XMATCH($E$33,FixedAssets[Asset ID])),IF(AND((_xlfn.XMATCH(BR$8,$AH$8:$CC$8))-_xlfn.XMATCH($C39,$C$35:$C$82)+1&lt;=_xlpm.DepreciationMonths,$C39&lt;=BR$8),$E39/_xlpm.DepreciationMonths,0))</f>
        <v>69.444444444444443</v>
      </c>
      <c r="BS39" s="507" cm="1">
        <f t="array" ref="BS39">_xlfn.LET(_xlpm.DepreciationMonths,INDEX(FixedAssets[Depreciation
/ Amortization Months],_xlfn.XMATCH($E$33,FixedAssets[Asset ID])),IF(AND((_xlfn.XMATCH(BS$8,$AH$8:$CC$8))-_xlfn.XMATCH($C39,$C$35:$C$82)+1&lt;=_xlpm.DepreciationMonths,$C39&lt;=BS$8),$E39/_xlpm.DepreciationMonths,0))</f>
        <v>69.444444444444443</v>
      </c>
      <c r="BT39" s="507" cm="1">
        <f t="array" ref="BT39">_xlfn.LET(_xlpm.DepreciationMonths,INDEX(FixedAssets[Depreciation
/ Amortization Months],_xlfn.XMATCH($E$33,FixedAssets[Asset ID])),IF(AND((_xlfn.XMATCH(BT$8,$AH$8:$CC$8))-_xlfn.XMATCH($C39,$C$35:$C$82)+1&lt;=_xlpm.DepreciationMonths,$C39&lt;=BT$8),$E39/_xlpm.DepreciationMonths,0))</f>
        <v>69.444444444444443</v>
      </c>
      <c r="BU39" s="507" cm="1">
        <f t="array" ref="BU39">_xlfn.LET(_xlpm.DepreciationMonths,INDEX(FixedAssets[Depreciation
/ Amortization Months],_xlfn.XMATCH($E$33,FixedAssets[Asset ID])),IF(AND((_xlfn.XMATCH(BU$8,$AH$8:$CC$8))-_xlfn.XMATCH($C39,$C$35:$C$82)+1&lt;=_xlpm.DepreciationMonths,$C39&lt;=BU$8),$E39/_xlpm.DepreciationMonths,0))</f>
        <v>69.444444444444443</v>
      </c>
      <c r="BV39" s="507" cm="1">
        <f t="array" ref="BV39">_xlfn.LET(_xlpm.DepreciationMonths,INDEX(FixedAssets[Depreciation
/ Amortization Months],_xlfn.XMATCH($E$33,FixedAssets[Asset ID])),IF(AND((_xlfn.XMATCH(BV$8,$AH$8:$CC$8))-_xlfn.XMATCH($C39,$C$35:$C$82)+1&lt;=_xlpm.DepreciationMonths,$C39&lt;=BV$8),$E39/_xlpm.DepreciationMonths,0))</f>
        <v>0</v>
      </c>
      <c r="BW39" s="507" cm="1">
        <f t="array" ref="BW39">_xlfn.LET(_xlpm.DepreciationMonths,INDEX(FixedAssets[Depreciation
/ Amortization Months],_xlfn.XMATCH($E$33,FixedAssets[Asset ID])),IF(AND((_xlfn.XMATCH(BW$8,$AH$8:$CC$8))-_xlfn.XMATCH($C39,$C$35:$C$82)+1&lt;=_xlpm.DepreciationMonths,$C39&lt;=BW$8),$E39/_xlpm.DepreciationMonths,0))</f>
        <v>0</v>
      </c>
      <c r="BX39" s="507" cm="1">
        <f t="array" ref="BX39">_xlfn.LET(_xlpm.DepreciationMonths,INDEX(FixedAssets[Depreciation
/ Amortization Months],_xlfn.XMATCH($E$33,FixedAssets[Asset ID])),IF(AND((_xlfn.XMATCH(BX$8,$AH$8:$CC$8))-_xlfn.XMATCH($C39,$C$35:$C$82)+1&lt;=_xlpm.DepreciationMonths,$C39&lt;=BX$8),$E39/_xlpm.DepreciationMonths,0))</f>
        <v>0</v>
      </c>
      <c r="BY39" s="507" cm="1">
        <f t="array" ref="BY39">_xlfn.LET(_xlpm.DepreciationMonths,INDEX(FixedAssets[Depreciation
/ Amortization Months],_xlfn.XMATCH($E$33,FixedAssets[Asset ID])),IF(AND((_xlfn.XMATCH(BY$8,$AH$8:$CC$8))-_xlfn.XMATCH($C39,$C$35:$C$82)+1&lt;=_xlpm.DepreciationMonths,$C39&lt;=BY$8),$E39/_xlpm.DepreciationMonths,0))</f>
        <v>0</v>
      </c>
      <c r="BZ39" s="507" cm="1">
        <f t="array" ref="BZ39">_xlfn.LET(_xlpm.DepreciationMonths,INDEX(FixedAssets[Depreciation
/ Amortization Months],_xlfn.XMATCH($E$33,FixedAssets[Asset ID])),IF(AND((_xlfn.XMATCH(BZ$8,$AH$8:$CC$8))-_xlfn.XMATCH($C39,$C$35:$C$82)+1&lt;=_xlpm.DepreciationMonths,$C39&lt;=BZ$8),$E39/_xlpm.DepreciationMonths,0))</f>
        <v>0</v>
      </c>
      <c r="CA39" s="507" cm="1">
        <f t="array" ref="CA39">_xlfn.LET(_xlpm.DepreciationMonths,INDEX(FixedAssets[Depreciation
/ Amortization Months],_xlfn.XMATCH($E$33,FixedAssets[Asset ID])),IF(AND((_xlfn.XMATCH(CA$8,$AH$8:$CC$8))-_xlfn.XMATCH($C39,$C$35:$C$82)+1&lt;=_xlpm.DepreciationMonths,$C39&lt;=CA$8),$E39/_xlpm.DepreciationMonths,0))</f>
        <v>0</v>
      </c>
      <c r="CB39" s="507" cm="1">
        <f t="array" ref="CB39">_xlfn.LET(_xlpm.DepreciationMonths,INDEX(FixedAssets[Depreciation
/ Amortization Months],_xlfn.XMATCH($E$33,FixedAssets[Asset ID])),IF(AND((_xlfn.XMATCH(CB$8,$AH$8:$CC$8))-_xlfn.XMATCH($C39,$C$35:$C$82)+1&lt;=_xlpm.DepreciationMonths,$C39&lt;=CB$8),$E39/_xlpm.DepreciationMonths,0))</f>
        <v>0</v>
      </c>
      <c r="CC39" s="507" cm="1">
        <f t="array" ref="CC39">_xlfn.LET(_xlpm.DepreciationMonths,INDEX(FixedAssets[Depreciation
/ Amortization Months],_xlfn.XMATCH($E$33,FixedAssets[Asset ID])),IF(AND((_xlfn.XMATCH(CC$8,$AH$8:$CC$8))-_xlfn.XMATCH($C39,$C$35:$C$82)+1&lt;=_xlpm.DepreciationMonths,$C39&lt;=CC$8),$E39/_xlpm.DepreciationMonths,0))</f>
        <v>0</v>
      </c>
    </row>
    <row r="40" spans="3:81" hidden="1" outlineLevel="2">
      <c r="C40" s="664">
        <f t="shared" si="91"/>
        <v>45107</v>
      </c>
      <c r="D40" s="508"/>
      <c r="E40" s="508" cm="1">
        <f t="array" ref="E40">SUMPRODUCT(($AH$26:$CC$31)*($AH$5:$CC$5=$C40)*($E$26:$E$31=E$33))-SUMPRODUCT(($AH$26:$CC$31)*($AH$5:$CC$5=EOMONTH($C40,-1))*($E$26:$E$31=E$33))</f>
        <v>0</v>
      </c>
      <c r="F40" s="508"/>
      <c r="G40" s="508"/>
      <c r="H40" s="508"/>
      <c r="I40" s="508"/>
      <c r="J40" s="504">
        <f t="shared" si="88"/>
        <v>0</v>
      </c>
      <c r="K40" s="504">
        <f t="shared" si="89"/>
        <v>0</v>
      </c>
      <c r="L40" s="504">
        <f t="shared" si="89"/>
        <v>0</v>
      </c>
      <c r="M40" s="504">
        <f t="shared" si="89"/>
        <v>0</v>
      </c>
      <c r="N40" s="504"/>
      <c r="O40" s="504"/>
      <c r="P40" s="504">
        <f t="shared" si="90"/>
        <v>0</v>
      </c>
      <c r="Q40" s="504">
        <f t="shared" si="90"/>
        <v>0</v>
      </c>
      <c r="R40" s="504">
        <f t="shared" si="90"/>
        <v>0</v>
      </c>
      <c r="S40" s="504">
        <f t="shared" si="90"/>
        <v>0</v>
      </c>
      <c r="T40" s="504">
        <f t="shared" si="90"/>
        <v>0</v>
      </c>
      <c r="U40" s="504">
        <f t="shared" si="90"/>
        <v>0</v>
      </c>
      <c r="V40" s="504">
        <f t="shared" si="90"/>
        <v>0</v>
      </c>
      <c r="W40" s="504">
        <f t="shared" si="90"/>
        <v>0</v>
      </c>
      <c r="X40" s="504">
        <f t="shared" si="90"/>
        <v>0</v>
      </c>
      <c r="Y40" s="504">
        <f t="shared" si="90"/>
        <v>0</v>
      </c>
      <c r="Z40" s="504">
        <f t="shared" si="90"/>
        <v>0</v>
      </c>
      <c r="AA40" s="504">
        <f t="shared" si="90"/>
        <v>0</v>
      </c>
      <c r="AB40" s="504">
        <f t="shared" si="90"/>
        <v>0</v>
      </c>
      <c r="AC40" s="504">
        <f t="shared" si="90"/>
        <v>0</v>
      </c>
      <c r="AD40" s="504">
        <f t="shared" si="90"/>
        <v>0</v>
      </c>
      <c r="AE40" s="504">
        <f t="shared" si="90"/>
        <v>0</v>
      </c>
      <c r="AF40" s="508"/>
      <c r="AG40" s="508"/>
      <c r="AH40" s="507" cm="1">
        <f t="array" ref="AH40">_xlfn.LET(_xlpm.DepreciationMonths,INDEX(FixedAssets[Depreciation
/ Amortization Months],_xlfn.XMATCH($E$33,FixedAssets[Asset ID])),IF(AND((_xlfn.XMATCH(AH$8,$AH$8:$CC$8))-_xlfn.XMATCH($C40,$C$35:$C$82)+1&lt;=_xlpm.DepreciationMonths,$C40&lt;=AH$8),$E40/_xlpm.DepreciationMonths,0))</f>
        <v>0</v>
      </c>
      <c r="AI40" s="507" cm="1">
        <f t="array" ref="AI40">_xlfn.LET(_xlpm.DepreciationMonths,INDEX(FixedAssets[Depreciation
/ Amortization Months],_xlfn.XMATCH($E$33,FixedAssets[Asset ID])),IF(AND((_xlfn.XMATCH(AI$8,$AH$8:$CC$8))-_xlfn.XMATCH($C40,$C$35:$C$82)+1&lt;=_xlpm.DepreciationMonths,$C40&lt;=AI$8),$E40/_xlpm.DepreciationMonths,0))</f>
        <v>0</v>
      </c>
      <c r="AJ40" s="507" cm="1">
        <f t="array" ref="AJ40">_xlfn.LET(_xlpm.DepreciationMonths,INDEX(FixedAssets[Depreciation
/ Amortization Months],_xlfn.XMATCH($E$33,FixedAssets[Asset ID])),IF(AND((_xlfn.XMATCH(AJ$8,$AH$8:$CC$8))-_xlfn.XMATCH($C40,$C$35:$C$82)+1&lt;=_xlpm.DepreciationMonths,$C40&lt;=AJ$8),$E40/_xlpm.DepreciationMonths,0))</f>
        <v>0</v>
      </c>
      <c r="AK40" s="507" cm="1">
        <f t="array" ref="AK40">_xlfn.LET(_xlpm.DepreciationMonths,INDEX(FixedAssets[Depreciation
/ Amortization Months],_xlfn.XMATCH($E$33,FixedAssets[Asset ID])),IF(AND((_xlfn.XMATCH(AK$8,$AH$8:$CC$8))-_xlfn.XMATCH($C40,$C$35:$C$82)+1&lt;=_xlpm.DepreciationMonths,$C40&lt;=AK$8),$E40/_xlpm.DepreciationMonths,0))</f>
        <v>0</v>
      </c>
      <c r="AL40" s="507" cm="1">
        <f t="array" ref="AL40">_xlfn.LET(_xlpm.DepreciationMonths,INDEX(FixedAssets[Depreciation
/ Amortization Months],_xlfn.XMATCH($E$33,FixedAssets[Asset ID])),IF(AND((_xlfn.XMATCH(AL$8,$AH$8:$CC$8))-_xlfn.XMATCH($C40,$C$35:$C$82)+1&lt;=_xlpm.DepreciationMonths,$C40&lt;=AL$8),$E40/_xlpm.DepreciationMonths,0))</f>
        <v>0</v>
      </c>
      <c r="AM40" s="507" cm="1">
        <f t="array" ref="AM40">_xlfn.LET(_xlpm.DepreciationMonths,INDEX(FixedAssets[Depreciation
/ Amortization Months],_xlfn.XMATCH($E$33,FixedAssets[Asset ID])),IF(AND((_xlfn.XMATCH(AM$8,$AH$8:$CC$8))-_xlfn.XMATCH($C40,$C$35:$C$82)+1&lt;=_xlpm.DepreciationMonths,$C40&lt;=AM$8),$E40/_xlpm.DepreciationMonths,0))</f>
        <v>0</v>
      </c>
      <c r="AN40" s="507" cm="1">
        <f t="array" ref="AN40">_xlfn.LET(_xlpm.DepreciationMonths,INDEX(FixedAssets[Depreciation
/ Amortization Months],_xlfn.XMATCH($E$33,FixedAssets[Asset ID])),IF(AND((_xlfn.XMATCH(AN$8,$AH$8:$CC$8))-_xlfn.XMATCH($C40,$C$35:$C$82)+1&lt;=_xlpm.DepreciationMonths,$C40&lt;=AN$8),$E40/_xlpm.DepreciationMonths,0))</f>
        <v>0</v>
      </c>
      <c r="AO40" s="507" cm="1">
        <f t="array" ref="AO40">_xlfn.LET(_xlpm.DepreciationMonths,INDEX(FixedAssets[Depreciation
/ Amortization Months],_xlfn.XMATCH($E$33,FixedAssets[Asset ID])),IF(AND((_xlfn.XMATCH(AO$8,$AH$8:$CC$8))-_xlfn.XMATCH($C40,$C$35:$C$82)+1&lt;=_xlpm.DepreciationMonths,$C40&lt;=AO$8),$E40/_xlpm.DepreciationMonths,0))</f>
        <v>0</v>
      </c>
      <c r="AP40" s="507" cm="1">
        <f t="array" ref="AP40">_xlfn.LET(_xlpm.DepreciationMonths,INDEX(FixedAssets[Depreciation
/ Amortization Months],_xlfn.XMATCH($E$33,FixedAssets[Asset ID])),IF(AND((_xlfn.XMATCH(AP$8,$AH$8:$CC$8))-_xlfn.XMATCH($C40,$C$35:$C$82)+1&lt;=_xlpm.DepreciationMonths,$C40&lt;=AP$8),$E40/_xlpm.DepreciationMonths,0))</f>
        <v>0</v>
      </c>
      <c r="AQ40" s="507" cm="1">
        <f t="array" ref="AQ40">_xlfn.LET(_xlpm.DepreciationMonths,INDEX(FixedAssets[Depreciation
/ Amortization Months],_xlfn.XMATCH($E$33,FixedAssets[Asset ID])),IF(AND((_xlfn.XMATCH(AQ$8,$AH$8:$CC$8))-_xlfn.XMATCH($C40,$C$35:$C$82)+1&lt;=_xlpm.DepreciationMonths,$C40&lt;=AQ$8),$E40/_xlpm.DepreciationMonths,0))</f>
        <v>0</v>
      </c>
      <c r="AR40" s="507" cm="1">
        <f t="array" ref="AR40">_xlfn.LET(_xlpm.DepreciationMonths,INDEX(FixedAssets[Depreciation
/ Amortization Months],_xlfn.XMATCH($E$33,FixedAssets[Asset ID])),IF(AND((_xlfn.XMATCH(AR$8,$AH$8:$CC$8))-_xlfn.XMATCH($C40,$C$35:$C$82)+1&lt;=_xlpm.DepreciationMonths,$C40&lt;=AR$8),$E40/_xlpm.DepreciationMonths,0))</f>
        <v>0</v>
      </c>
      <c r="AS40" s="507" cm="1">
        <f t="array" ref="AS40">_xlfn.LET(_xlpm.DepreciationMonths,INDEX(FixedAssets[Depreciation
/ Amortization Months],_xlfn.XMATCH($E$33,FixedAssets[Asset ID])),IF(AND((_xlfn.XMATCH(AS$8,$AH$8:$CC$8))-_xlfn.XMATCH($C40,$C$35:$C$82)+1&lt;=_xlpm.DepreciationMonths,$C40&lt;=AS$8),$E40/_xlpm.DepreciationMonths,0))</f>
        <v>0</v>
      </c>
      <c r="AT40" s="507" cm="1">
        <f t="array" ref="AT40">_xlfn.LET(_xlpm.DepreciationMonths,INDEX(FixedAssets[Depreciation
/ Amortization Months],_xlfn.XMATCH($E$33,FixedAssets[Asset ID])),IF(AND((_xlfn.XMATCH(AT$8,$AH$8:$CC$8))-_xlfn.XMATCH($C40,$C$35:$C$82)+1&lt;=_xlpm.DepreciationMonths,$C40&lt;=AT$8),$E40/_xlpm.DepreciationMonths,0))</f>
        <v>0</v>
      </c>
      <c r="AU40" s="507" cm="1">
        <f t="array" ref="AU40">_xlfn.LET(_xlpm.DepreciationMonths,INDEX(FixedAssets[Depreciation
/ Amortization Months],_xlfn.XMATCH($E$33,FixedAssets[Asset ID])),IF(AND((_xlfn.XMATCH(AU$8,$AH$8:$CC$8))-_xlfn.XMATCH($C40,$C$35:$C$82)+1&lt;=_xlpm.DepreciationMonths,$C40&lt;=AU$8),$E40/_xlpm.DepreciationMonths,0))</f>
        <v>0</v>
      </c>
      <c r="AV40" s="507" cm="1">
        <f t="array" ref="AV40">_xlfn.LET(_xlpm.DepreciationMonths,INDEX(FixedAssets[Depreciation
/ Amortization Months],_xlfn.XMATCH($E$33,FixedAssets[Asset ID])),IF(AND((_xlfn.XMATCH(AV$8,$AH$8:$CC$8))-_xlfn.XMATCH($C40,$C$35:$C$82)+1&lt;=_xlpm.DepreciationMonths,$C40&lt;=AV$8),$E40/_xlpm.DepreciationMonths,0))</f>
        <v>0</v>
      </c>
      <c r="AW40" s="507" cm="1">
        <f t="array" ref="AW40">_xlfn.LET(_xlpm.DepreciationMonths,INDEX(FixedAssets[Depreciation
/ Amortization Months],_xlfn.XMATCH($E$33,FixedAssets[Asset ID])),IF(AND((_xlfn.XMATCH(AW$8,$AH$8:$CC$8))-_xlfn.XMATCH($C40,$C$35:$C$82)+1&lt;=_xlpm.DepreciationMonths,$C40&lt;=AW$8),$E40/_xlpm.DepreciationMonths,0))</f>
        <v>0</v>
      </c>
      <c r="AX40" s="507" cm="1">
        <f t="array" ref="AX40">_xlfn.LET(_xlpm.DepreciationMonths,INDEX(FixedAssets[Depreciation
/ Amortization Months],_xlfn.XMATCH($E$33,FixedAssets[Asset ID])),IF(AND((_xlfn.XMATCH(AX$8,$AH$8:$CC$8))-_xlfn.XMATCH($C40,$C$35:$C$82)+1&lt;=_xlpm.DepreciationMonths,$C40&lt;=AX$8),$E40/_xlpm.DepreciationMonths,0))</f>
        <v>0</v>
      </c>
      <c r="AY40" s="507" cm="1">
        <f t="array" ref="AY40">_xlfn.LET(_xlpm.DepreciationMonths,INDEX(FixedAssets[Depreciation
/ Amortization Months],_xlfn.XMATCH($E$33,FixedAssets[Asset ID])),IF(AND((_xlfn.XMATCH(AY$8,$AH$8:$CC$8))-_xlfn.XMATCH($C40,$C$35:$C$82)+1&lt;=_xlpm.DepreciationMonths,$C40&lt;=AY$8),$E40/_xlpm.DepreciationMonths,0))</f>
        <v>0</v>
      </c>
      <c r="AZ40" s="507" cm="1">
        <f t="array" ref="AZ40">_xlfn.LET(_xlpm.DepreciationMonths,INDEX(FixedAssets[Depreciation
/ Amortization Months],_xlfn.XMATCH($E$33,FixedAssets[Asset ID])),IF(AND((_xlfn.XMATCH(AZ$8,$AH$8:$CC$8))-_xlfn.XMATCH($C40,$C$35:$C$82)+1&lt;=_xlpm.DepreciationMonths,$C40&lt;=AZ$8),$E40/_xlpm.DepreciationMonths,0))</f>
        <v>0</v>
      </c>
      <c r="BA40" s="507" cm="1">
        <f t="array" ref="BA40">_xlfn.LET(_xlpm.DepreciationMonths,INDEX(FixedAssets[Depreciation
/ Amortization Months],_xlfn.XMATCH($E$33,FixedAssets[Asset ID])),IF(AND((_xlfn.XMATCH(BA$8,$AH$8:$CC$8))-_xlfn.XMATCH($C40,$C$35:$C$82)+1&lt;=_xlpm.DepreciationMonths,$C40&lt;=BA$8),$E40/_xlpm.DepreciationMonths,0))</f>
        <v>0</v>
      </c>
      <c r="BB40" s="507" cm="1">
        <f t="array" ref="BB40">_xlfn.LET(_xlpm.DepreciationMonths,INDEX(FixedAssets[Depreciation
/ Amortization Months],_xlfn.XMATCH($E$33,FixedAssets[Asset ID])),IF(AND((_xlfn.XMATCH(BB$8,$AH$8:$CC$8))-_xlfn.XMATCH($C40,$C$35:$C$82)+1&lt;=_xlpm.DepreciationMonths,$C40&lt;=BB$8),$E40/_xlpm.DepreciationMonths,0))</f>
        <v>0</v>
      </c>
      <c r="BC40" s="507" cm="1">
        <f t="array" ref="BC40">_xlfn.LET(_xlpm.DepreciationMonths,INDEX(FixedAssets[Depreciation
/ Amortization Months],_xlfn.XMATCH($E$33,FixedAssets[Asset ID])),IF(AND((_xlfn.XMATCH(BC$8,$AH$8:$CC$8))-_xlfn.XMATCH($C40,$C$35:$C$82)+1&lt;=_xlpm.DepreciationMonths,$C40&lt;=BC$8),$E40/_xlpm.DepreciationMonths,0))</f>
        <v>0</v>
      </c>
      <c r="BD40" s="507" cm="1">
        <f t="array" ref="BD40">_xlfn.LET(_xlpm.DepreciationMonths,INDEX(FixedAssets[Depreciation
/ Amortization Months],_xlfn.XMATCH($E$33,FixedAssets[Asset ID])),IF(AND((_xlfn.XMATCH(BD$8,$AH$8:$CC$8))-_xlfn.XMATCH($C40,$C$35:$C$82)+1&lt;=_xlpm.DepreciationMonths,$C40&lt;=BD$8),$E40/_xlpm.DepreciationMonths,0))</f>
        <v>0</v>
      </c>
      <c r="BE40" s="507" cm="1">
        <f t="array" ref="BE40">_xlfn.LET(_xlpm.DepreciationMonths,INDEX(FixedAssets[Depreciation
/ Amortization Months],_xlfn.XMATCH($E$33,FixedAssets[Asset ID])),IF(AND((_xlfn.XMATCH(BE$8,$AH$8:$CC$8))-_xlfn.XMATCH($C40,$C$35:$C$82)+1&lt;=_xlpm.DepreciationMonths,$C40&lt;=BE$8),$E40/_xlpm.DepreciationMonths,0))</f>
        <v>0</v>
      </c>
      <c r="BF40" s="507" cm="1">
        <f t="array" ref="BF40">_xlfn.LET(_xlpm.DepreciationMonths,INDEX(FixedAssets[Depreciation
/ Amortization Months],_xlfn.XMATCH($E$33,FixedAssets[Asset ID])),IF(AND((_xlfn.XMATCH(BF$8,$AH$8:$CC$8))-_xlfn.XMATCH($C40,$C$35:$C$82)+1&lt;=_xlpm.DepreciationMonths,$C40&lt;=BF$8),$E40/_xlpm.DepreciationMonths,0))</f>
        <v>0</v>
      </c>
      <c r="BG40" s="507" cm="1">
        <f t="array" ref="BG40">_xlfn.LET(_xlpm.DepreciationMonths,INDEX(FixedAssets[Depreciation
/ Amortization Months],_xlfn.XMATCH($E$33,FixedAssets[Asset ID])),IF(AND((_xlfn.XMATCH(BG$8,$AH$8:$CC$8))-_xlfn.XMATCH($C40,$C$35:$C$82)+1&lt;=_xlpm.DepreciationMonths,$C40&lt;=BG$8),$E40/_xlpm.DepreciationMonths,0))</f>
        <v>0</v>
      </c>
      <c r="BH40" s="507" cm="1">
        <f t="array" ref="BH40">_xlfn.LET(_xlpm.DepreciationMonths,INDEX(FixedAssets[Depreciation
/ Amortization Months],_xlfn.XMATCH($E$33,FixedAssets[Asset ID])),IF(AND((_xlfn.XMATCH(BH$8,$AH$8:$CC$8))-_xlfn.XMATCH($C40,$C$35:$C$82)+1&lt;=_xlpm.DepreciationMonths,$C40&lt;=BH$8),$E40/_xlpm.DepreciationMonths,0))</f>
        <v>0</v>
      </c>
      <c r="BI40" s="507" cm="1">
        <f t="array" ref="BI40">_xlfn.LET(_xlpm.DepreciationMonths,INDEX(FixedAssets[Depreciation
/ Amortization Months],_xlfn.XMATCH($E$33,FixedAssets[Asset ID])),IF(AND((_xlfn.XMATCH(BI$8,$AH$8:$CC$8))-_xlfn.XMATCH($C40,$C$35:$C$82)+1&lt;=_xlpm.DepreciationMonths,$C40&lt;=BI$8),$E40/_xlpm.DepreciationMonths,0))</f>
        <v>0</v>
      </c>
      <c r="BJ40" s="507" cm="1">
        <f t="array" ref="BJ40">_xlfn.LET(_xlpm.DepreciationMonths,INDEX(FixedAssets[Depreciation
/ Amortization Months],_xlfn.XMATCH($E$33,FixedAssets[Asset ID])),IF(AND((_xlfn.XMATCH(BJ$8,$AH$8:$CC$8))-_xlfn.XMATCH($C40,$C$35:$C$82)+1&lt;=_xlpm.DepreciationMonths,$C40&lt;=BJ$8),$E40/_xlpm.DepreciationMonths,0))</f>
        <v>0</v>
      </c>
      <c r="BK40" s="507" cm="1">
        <f t="array" ref="BK40">_xlfn.LET(_xlpm.DepreciationMonths,INDEX(FixedAssets[Depreciation
/ Amortization Months],_xlfn.XMATCH($E$33,FixedAssets[Asset ID])),IF(AND((_xlfn.XMATCH(BK$8,$AH$8:$CC$8))-_xlfn.XMATCH($C40,$C$35:$C$82)+1&lt;=_xlpm.DepreciationMonths,$C40&lt;=BK$8),$E40/_xlpm.DepreciationMonths,0))</f>
        <v>0</v>
      </c>
      <c r="BL40" s="507" cm="1">
        <f t="array" ref="BL40">_xlfn.LET(_xlpm.DepreciationMonths,INDEX(FixedAssets[Depreciation
/ Amortization Months],_xlfn.XMATCH($E$33,FixedAssets[Asset ID])),IF(AND((_xlfn.XMATCH(BL$8,$AH$8:$CC$8))-_xlfn.XMATCH($C40,$C$35:$C$82)+1&lt;=_xlpm.DepreciationMonths,$C40&lt;=BL$8),$E40/_xlpm.DepreciationMonths,0))</f>
        <v>0</v>
      </c>
      <c r="BM40" s="507" cm="1">
        <f t="array" ref="BM40">_xlfn.LET(_xlpm.DepreciationMonths,INDEX(FixedAssets[Depreciation
/ Amortization Months],_xlfn.XMATCH($E$33,FixedAssets[Asset ID])),IF(AND((_xlfn.XMATCH(BM$8,$AH$8:$CC$8))-_xlfn.XMATCH($C40,$C$35:$C$82)+1&lt;=_xlpm.DepreciationMonths,$C40&lt;=BM$8),$E40/_xlpm.DepreciationMonths,0))</f>
        <v>0</v>
      </c>
      <c r="BN40" s="507" cm="1">
        <f t="array" ref="BN40">_xlfn.LET(_xlpm.DepreciationMonths,INDEX(FixedAssets[Depreciation
/ Amortization Months],_xlfn.XMATCH($E$33,FixedAssets[Asset ID])),IF(AND((_xlfn.XMATCH(BN$8,$AH$8:$CC$8))-_xlfn.XMATCH($C40,$C$35:$C$82)+1&lt;=_xlpm.DepreciationMonths,$C40&lt;=BN$8),$E40/_xlpm.DepreciationMonths,0))</f>
        <v>0</v>
      </c>
      <c r="BO40" s="507" cm="1">
        <f t="array" ref="BO40">_xlfn.LET(_xlpm.DepreciationMonths,INDEX(FixedAssets[Depreciation
/ Amortization Months],_xlfn.XMATCH($E$33,FixedAssets[Asset ID])),IF(AND((_xlfn.XMATCH(BO$8,$AH$8:$CC$8))-_xlfn.XMATCH($C40,$C$35:$C$82)+1&lt;=_xlpm.DepreciationMonths,$C40&lt;=BO$8),$E40/_xlpm.DepreciationMonths,0))</f>
        <v>0</v>
      </c>
      <c r="BP40" s="507" cm="1">
        <f t="array" ref="BP40">_xlfn.LET(_xlpm.DepreciationMonths,INDEX(FixedAssets[Depreciation
/ Amortization Months],_xlfn.XMATCH($E$33,FixedAssets[Asset ID])),IF(AND((_xlfn.XMATCH(BP$8,$AH$8:$CC$8))-_xlfn.XMATCH($C40,$C$35:$C$82)+1&lt;=_xlpm.DepreciationMonths,$C40&lt;=BP$8),$E40/_xlpm.DepreciationMonths,0))</f>
        <v>0</v>
      </c>
      <c r="BQ40" s="507" cm="1">
        <f t="array" ref="BQ40">_xlfn.LET(_xlpm.DepreciationMonths,INDEX(FixedAssets[Depreciation
/ Amortization Months],_xlfn.XMATCH($E$33,FixedAssets[Asset ID])),IF(AND((_xlfn.XMATCH(BQ$8,$AH$8:$CC$8))-_xlfn.XMATCH($C40,$C$35:$C$82)+1&lt;=_xlpm.DepreciationMonths,$C40&lt;=BQ$8),$E40/_xlpm.DepreciationMonths,0))</f>
        <v>0</v>
      </c>
      <c r="BR40" s="507" cm="1">
        <f t="array" ref="BR40">_xlfn.LET(_xlpm.DepreciationMonths,INDEX(FixedAssets[Depreciation
/ Amortization Months],_xlfn.XMATCH($E$33,FixedAssets[Asset ID])),IF(AND((_xlfn.XMATCH(BR$8,$AH$8:$CC$8))-_xlfn.XMATCH($C40,$C$35:$C$82)+1&lt;=_xlpm.DepreciationMonths,$C40&lt;=BR$8),$E40/_xlpm.DepreciationMonths,0))</f>
        <v>0</v>
      </c>
      <c r="BS40" s="507" cm="1">
        <f t="array" ref="BS40">_xlfn.LET(_xlpm.DepreciationMonths,INDEX(FixedAssets[Depreciation
/ Amortization Months],_xlfn.XMATCH($E$33,FixedAssets[Asset ID])),IF(AND((_xlfn.XMATCH(BS$8,$AH$8:$CC$8))-_xlfn.XMATCH($C40,$C$35:$C$82)+1&lt;=_xlpm.DepreciationMonths,$C40&lt;=BS$8),$E40/_xlpm.DepreciationMonths,0))</f>
        <v>0</v>
      </c>
      <c r="BT40" s="507" cm="1">
        <f t="array" ref="BT40">_xlfn.LET(_xlpm.DepreciationMonths,INDEX(FixedAssets[Depreciation
/ Amortization Months],_xlfn.XMATCH($E$33,FixedAssets[Asset ID])),IF(AND((_xlfn.XMATCH(BT$8,$AH$8:$CC$8))-_xlfn.XMATCH($C40,$C$35:$C$82)+1&lt;=_xlpm.DepreciationMonths,$C40&lt;=BT$8),$E40/_xlpm.DepreciationMonths,0))</f>
        <v>0</v>
      </c>
      <c r="BU40" s="507" cm="1">
        <f t="array" ref="BU40">_xlfn.LET(_xlpm.DepreciationMonths,INDEX(FixedAssets[Depreciation
/ Amortization Months],_xlfn.XMATCH($E$33,FixedAssets[Asset ID])),IF(AND((_xlfn.XMATCH(BU$8,$AH$8:$CC$8))-_xlfn.XMATCH($C40,$C$35:$C$82)+1&lt;=_xlpm.DepreciationMonths,$C40&lt;=BU$8),$E40/_xlpm.DepreciationMonths,0))</f>
        <v>0</v>
      </c>
      <c r="BV40" s="507" cm="1">
        <f t="array" ref="BV40">_xlfn.LET(_xlpm.DepreciationMonths,INDEX(FixedAssets[Depreciation
/ Amortization Months],_xlfn.XMATCH($E$33,FixedAssets[Asset ID])),IF(AND((_xlfn.XMATCH(BV$8,$AH$8:$CC$8))-_xlfn.XMATCH($C40,$C$35:$C$82)+1&lt;=_xlpm.DepreciationMonths,$C40&lt;=BV$8),$E40/_xlpm.DepreciationMonths,0))</f>
        <v>0</v>
      </c>
      <c r="BW40" s="507" cm="1">
        <f t="array" ref="BW40">_xlfn.LET(_xlpm.DepreciationMonths,INDEX(FixedAssets[Depreciation
/ Amortization Months],_xlfn.XMATCH($E$33,FixedAssets[Asset ID])),IF(AND((_xlfn.XMATCH(BW$8,$AH$8:$CC$8))-_xlfn.XMATCH($C40,$C$35:$C$82)+1&lt;=_xlpm.DepreciationMonths,$C40&lt;=BW$8),$E40/_xlpm.DepreciationMonths,0))</f>
        <v>0</v>
      </c>
      <c r="BX40" s="507" cm="1">
        <f t="array" ref="BX40">_xlfn.LET(_xlpm.DepreciationMonths,INDEX(FixedAssets[Depreciation
/ Amortization Months],_xlfn.XMATCH($E$33,FixedAssets[Asset ID])),IF(AND((_xlfn.XMATCH(BX$8,$AH$8:$CC$8))-_xlfn.XMATCH($C40,$C$35:$C$82)+1&lt;=_xlpm.DepreciationMonths,$C40&lt;=BX$8),$E40/_xlpm.DepreciationMonths,0))</f>
        <v>0</v>
      </c>
      <c r="BY40" s="507" cm="1">
        <f t="array" ref="BY40">_xlfn.LET(_xlpm.DepreciationMonths,INDEX(FixedAssets[Depreciation
/ Amortization Months],_xlfn.XMATCH($E$33,FixedAssets[Asset ID])),IF(AND((_xlfn.XMATCH(BY$8,$AH$8:$CC$8))-_xlfn.XMATCH($C40,$C$35:$C$82)+1&lt;=_xlpm.DepreciationMonths,$C40&lt;=BY$8),$E40/_xlpm.DepreciationMonths,0))</f>
        <v>0</v>
      </c>
      <c r="BZ40" s="507" cm="1">
        <f t="array" ref="BZ40">_xlfn.LET(_xlpm.DepreciationMonths,INDEX(FixedAssets[Depreciation
/ Amortization Months],_xlfn.XMATCH($E$33,FixedAssets[Asset ID])),IF(AND((_xlfn.XMATCH(BZ$8,$AH$8:$CC$8))-_xlfn.XMATCH($C40,$C$35:$C$82)+1&lt;=_xlpm.DepreciationMonths,$C40&lt;=BZ$8),$E40/_xlpm.DepreciationMonths,0))</f>
        <v>0</v>
      </c>
      <c r="CA40" s="507" cm="1">
        <f t="array" ref="CA40">_xlfn.LET(_xlpm.DepreciationMonths,INDEX(FixedAssets[Depreciation
/ Amortization Months],_xlfn.XMATCH($E$33,FixedAssets[Asset ID])),IF(AND((_xlfn.XMATCH(CA$8,$AH$8:$CC$8))-_xlfn.XMATCH($C40,$C$35:$C$82)+1&lt;=_xlpm.DepreciationMonths,$C40&lt;=CA$8),$E40/_xlpm.DepreciationMonths,0))</f>
        <v>0</v>
      </c>
      <c r="CB40" s="507" cm="1">
        <f t="array" ref="CB40">_xlfn.LET(_xlpm.DepreciationMonths,INDEX(FixedAssets[Depreciation
/ Amortization Months],_xlfn.XMATCH($E$33,FixedAssets[Asset ID])),IF(AND((_xlfn.XMATCH(CB$8,$AH$8:$CC$8))-_xlfn.XMATCH($C40,$C$35:$C$82)+1&lt;=_xlpm.DepreciationMonths,$C40&lt;=CB$8),$E40/_xlpm.DepreciationMonths,0))</f>
        <v>0</v>
      </c>
      <c r="CC40" s="507" cm="1">
        <f t="array" ref="CC40">_xlfn.LET(_xlpm.DepreciationMonths,INDEX(FixedAssets[Depreciation
/ Amortization Months],_xlfn.XMATCH($E$33,FixedAssets[Asset ID])),IF(AND((_xlfn.XMATCH(CC$8,$AH$8:$CC$8))-_xlfn.XMATCH($C40,$C$35:$C$82)+1&lt;=_xlpm.DepreciationMonths,$C40&lt;=CC$8),$E40/_xlpm.DepreciationMonths,0))</f>
        <v>0</v>
      </c>
    </row>
    <row r="41" spans="3:81" hidden="1" outlineLevel="2">
      <c r="C41" s="664">
        <f t="shared" si="91"/>
        <v>45138</v>
      </c>
      <c r="D41" s="508"/>
      <c r="E41" s="508" cm="1">
        <f t="array" ref="E41">SUMPRODUCT(($AH$26:$CC$31)*($AH$5:$CC$5=$C41)*($E$26:$E$31=E$33))-SUMPRODUCT(($AH$26:$CC$31)*($AH$5:$CC$5=EOMONTH($C41,-1))*($E$26:$E$31=E$33))</f>
        <v>0</v>
      </c>
      <c r="F41" s="508"/>
      <c r="G41" s="508"/>
      <c r="H41" s="508"/>
      <c r="I41" s="508"/>
      <c r="J41" s="504">
        <f t="shared" si="88"/>
        <v>0</v>
      </c>
      <c r="K41" s="504">
        <f t="shared" si="89"/>
        <v>0</v>
      </c>
      <c r="L41" s="504">
        <f t="shared" si="89"/>
        <v>0</v>
      </c>
      <c r="M41" s="504">
        <f t="shared" si="89"/>
        <v>0</v>
      </c>
      <c r="N41" s="504"/>
      <c r="O41" s="504"/>
      <c r="P41" s="504">
        <f t="shared" si="90"/>
        <v>0</v>
      </c>
      <c r="Q41" s="504">
        <f t="shared" si="90"/>
        <v>0</v>
      </c>
      <c r="R41" s="504">
        <f t="shared" si="90"/>
        <v>0</v>
      </c>
      <c r="S41" s="504">
        <f t="shared" si="90"/>
        <v>0</v>
      </c>
      <c r="T41" s="504">
        <f t="shared" si="90"/>
        <v>0</v>
      </c>
      <c r="U41" s="504">
        <f t="shared" si="90"/>
        <v>0</v>
      </c>
      <c r="V41" s="504">
        <f t="shared" si="90"/>
        <v>0</v>
      </c>
      <c r="W41" s="504">
        <f t="shared" si="90"/>
        <v>0</v>
      </c>
      <c r="X41" s="504">
        <f t="shared" si="90"/>
        <v>0</v>
      </c>
      <c r="Y41" s="504">
        <f t="shared" si="90"/>
        <v>0</v>
      </c>
      <c r="Z41" s="504">
        <f t="shared" si="90"/>
        <v>0</v>
      </c>
      <c r="AA41" s="504">
        <f t="shared" si="90"/>
        <v>0</v>
      </c>
      <c r="AB41" s="504">
        <f t="shared" si="90"/>
        <v>0</v>
      </c>
      <c r="AC41" s="504">
        <f t="shared" si="90"/>
        <v>0</v>
      </c>
      <c r="AD41" s="504">
        <f t="shared" si="90"/>
        <v>0</v>
      </c>
      <c r="AE41" s="504">
        <f t="shared" si="90"/>
        <v>0</v>
      </c>
      <c r="AF41" s="508"/>
      <c r="AG41" s="508"/>
      <c r="AH41" s="507" cm="1">
        <f t="array" ref="AH41">_xlfn.LET(_xlpm.DepreciationMonths,INDEX(FixedAssets[Depreciation
/ Amortization Months],_xlfn.XMATCH($E$33,FixedAssets[Asset ID])),IF(AND((_xlfn.XMATCH(AH$8,$AH$8:$CC$8))-_xlfn.XMATCH($C41,$C$35:$C$82)+1&lt;=_xlpm.DepreciationMonths,$C41&lt;=AH$8),$E41/_xlpm.DepreciationMonths,0))</f>
        <v>0</v>
      </c>
      <c r="AI41" s="507" cm="1">
        <f t="array" ref="AI41">_xlfn.LET(_xlpm.DepreciationMonths,INDEX(FixedAssets[Depreciation
/ Amortization Months],_xlfn.XMATCH($E$33,FixedAssets[Asset ID])),IF(AND((_xlfn.XMATCH(AI$8,$AH$8:$CC$8))-_xlfn.XMATCH($C41,$C$35:$C$82)+1&lt;=_xlpm.DepreciationMonths,$C41&lt;=AI$8),$E41/_xlpm.DepreciationMonths,0))</f>
        <v>0</v>
      </c>
      <c r="AJ41" s="507" cm="1">
        <f t="array" ref="AJ41">_xlfn.LET(_xlpm.DepreciationMonths,INDEX(FixedAssets[Depreciation
/ Amortization Months],_xlfn.XMATCH($E$33,FixedAssets[Asset ID])),IF(AND((_xlfn.XMATCH(AJ$8,$AH$8:$CC$8))-_xlfn.XMATCH($C41,$C$35:$C$82)+1&lt;=_xlpm.DepreciationMonths,$C41&lt;=AJ$8),$E41/_xlpm.DepreciationMonths,0))</f>
        <v>0</v>
      </c>
      <c r="AK41" s="507" cm="1">
        <f t="array" ref="AK41">_xlfn.LET(_xlpm.DepreciationMonths,INDEX(FixedAssets[Depreciation
/ Amortization Months],_xlfn.XMATCH($E$33,FixedAssets[Asset ID])),IF(AND((_xlfn.XMATCH(AK$8,$AH$8:$CC$8))-_xlfn.XMATCH($C41,$C$35:$C$82)+1&lt;=_xlpm.DepreciationMonths,$C41&lt;=AK$8),$E41/_xlpm.DepreciationMonths,0))</f>
        <v>0</v>
      </c>
      <c r="AL41" s="507" cm="1">
        <f t="array" ref="AL41">_xlfn.LET(_xlpm.DepreciationMonths,INDEX(FixedAssets[Depreciation
/ Amortization Months],_xlfn.XMATCH($E$33,FixedAssets[Asset ID])),IF(AND((_xlfn.XMATCH(AL$8,$AH$8:$CC$8))-_xlfn.XMATCH($C41,$C$35:$C$82)+1&lt;=_xlpm.DepreciationMonths,$C41&lt;=AL$8),$E41/_xlpm.DepreciationMonths,0))</f>
        <v>0</v>
      </c>
      <c r="AM41" s="507" cm="1">
        <f t="array" ref="AM41">_xlfn.LET(_xlpm.DepreciationMonths,INDEX(FixedAssets[Depreciation
/ Amortization Months],_xlfn.XMATCH($E$33,FixedAssets[Asset ID])),IF(AND((_xlfn.XMATCH(AM$8,$AH$8:$CC$8))-_xlfn.XMATCH($C41,$C$35:$C$82)+1&lt;=_xlpm.DepreciationMonths,$C41&lt;=AM$8),$E41/_xlpm.DepreciationMonths,0))</f>
        <v>0</v>
      </c>
      <c r="AN41" s="507" cm="1">
        <f t="array" ref="AN41">_xlfn.LET(_xlpm.DepreciationMonths,INDEX(FixedAssets[Depreciation
/ Amortization Months],_xlfn.XMATCH($E$33,FixedAssets[Asset ID])),IF(AND((_xlfn.XMATCH(AN$8,$AH$8:$CC$8))-_xlfn.XMATCH($C41,$C$35:$C$82)+1&lt;=_xlpm.DepreciationMonths,$C41&lt;=AN$8),$E41/_xlpm.DepreciationMonths,0))</f>
        <v>0</v>
      </c>
      <c r="AO41" s="507" cm="1">
        <f t="array" ref="AO41">_xlfn.LET(_xlpm.DepreciationMonths,INDEX(FixedAssets[Depreciation
/ Amortization Months],_xlfn.XMATCH($E$33,FixedAssets[Asset ID])),IF(AND((_xlfn.XMATCH(AO$8,$AH$8:$CC$8))-_xlfn.XMATCH($C41,$C$35:$C$82)+1&lt;=_xlpm.DepreciationMonths,$C41&lt;=AO$8),$E41/_xlpm.DepreciationMonths,0))</f>
        <v>0</v>
      </c>
      <c r="AP41" s="507" cm="1">
        <f t="array" ref="AP41">_xlfn.LET(_xlpm.DepreciationMonths,INDEX(FixedAssets[Depreciation
/ Amortization Months],_xlfn.XMATCH($E$33,FixedAssets[Asset ID])),IF(AND((_xlfn.XMATCH(AP$8,$AH$8:$CC$8))-_xlfn.XMATCH($C41,$C$35:$C$82)+1&lt;=_xlpm.DepreciationMonths,$C41&lt;=AP$8),$E41/_xlpm.DepreciationMonths,0))</f>
        <v>0</v>
      </c>
      <c r="AQ41" s="507" cm="1">
        <f t="array" ref="AQ41">_xlfn.LET(_xlpm.DepreciationMonths,INDEX(FixedAssets[Depreciation
/ Amortization Months],_xlfn.XMATCH($E$33,FixedAssets[Asset ID])),IF(AND((_xlfn.XMATCH(AQ$8,$AH$8:$CC$8))-_xlfn.XMATCH($C41,$C$35:$C$82)+1&lt;=_xlpm.DepreciationMonths,$C41&lt;=AQ$8),$E41/_xlpm.DepreciationMonths,0))</f>
        <v>0</v>
      </c>
      <c r="AR41" s="507" cm="1">
        <f t="array" ref="AR41">_xlfn.LET(_xlpm.DepreciationMonths,INDEX(FixedAssets[Depreciation
/ Amortization Months],_xlfn.XMATCH($E$33,FixedAssets[Asset ID])),IF(AND((_xlfn.XMATCH(AR$8,$AH$8:$CC$8))-_xlfn.XMATCH($C41,$C$35:$C$82)+1&lt;=_xlpm.DepreciationMonths,$C41&lt;=AR$8),$E41/_xlpm.DepreciationMonths,0))</f>
        <v>0</v>
      </c>
      <c r="AS41" s="507" cm="1">
        <f t="array" ref="AS41">_xlfn.LET(_xlpm.DepreciationMonths,INDEX(FixedAssets[Depreciation
/ Amortization Months],_xlfn.XMATCH($E$33,FixedAssets[Asset ID])),IF(AND((_xlfn.XMATCH(AS$8,$AH$8:$CC$8))-_xlfn.XMATCH($C41,$C$35:$C$82)+1&lt;=_xlpm.DepreciationMonths,$C41&lt;=AS$8),$E41/_xlpm.DepreciationMonths,0))</f>
        <v>0</v>
      </c>
      <c r="AT41" s="507" cm="1">
        <f t="array" ref="AT41">_xlfn.LET(_xlpm.DepreciationMonths,INDEX(FixedAssets[Depreciation
/ Amortization Months],_xlfn.XMATCH($E$33,FixedAssets[Asset ID])),IF(AND((_xlfn.XMATCH(AT$8,$AH$8:$CC$8))-_xlfn.XMATCH($C41,$C$35:$C$82)+1&lt;=_xlpm.DepreciationMonths,$C41&lt;=AT$8),$E41/_xlpm.DepreciationMonths,0))</f>
        <v>0</v>
      </c>
      <c r="AU41" s="507" cm="1">
        <f t="array" ref="AU41">_xlfn.LET(_xlpm.DepreciationMonths,INDEX(FixedAssets[Depreciation
/ Amortization Months],_xlfn.XMATCH($E$33,FixedAssets[Asset ID])),IF(AND((_xlfn.XMATCH(AU$8,$AH$8:$CC$8))-_xlfn.XMATCH($C41,$C$35:$C$82)+1&lt;=_xlpm.DepreciationMonths,$C41&lt;=AU$8),$E41/_xlpm.DepreciationMonths,0))</f>
        <v>0</v>
      </c>
      <c r="AV41" s="507" cm="1">
        <f t="array" ref="AV41">_xlfn.LET(_xlpm.DepreciationMonths,INDEX(FixedAssets[Depreciation
/ Amortization Months],_xlfn.XMATCH($E$33,FixedAssets[Asset ID])),IF(AND((_xlfn.XMATCH(AV$8,$AH$8:$CC$8))-_xlfn.XMATCH($C41,$C$35:$C$82)+1&lt;=_xlpm.DepreciationMonths,$C41&lt;=AV$8),$E41/_xlpm.DepreciationMonths,0))</f>
        <v>0</v>
      </c>
      <c r="AW41" s="507" cm="1">
        <f t="array" ref="AW41">_xlfn.LET(_xlpm.DepreciationMonths,INDEX(FixedAssets[Depreciation
/ Amortization Months],_xlfn.XMATCH($E$33,FixedAssets[Asset ID])),IF(AND((_xlfn.XMATCH(AW$8,$AH$8:$CC$8))-_xlfn.XMATCH($C41,$C$35:$C$82)+1&lt;=_xlpm.DepreciationMonths,$C41&lt;=AW$8),$E41/_xlpm.DepreciationMonths,0))</f>
        <v>0</v>
      </c>
      <c r="AX41" s="507" cm="1">
        <f t="array" ref="AX41">_xlfn.LET(_xlpm.DepreciationMonths,INDEX(FixedAssets[Depreciation
/ Amortization Months],_xlfn.XMATCH($E$33,FixedAssets[Asset ID])),IF(AND((_xlfn.XMATCH(AX$8,$AH$8:$CC$8))-_xlfn.XMATCH($C41,$C$35:$C$82)+1&lt;=_xlpm.DepreciationMonths,$C41&lt;=AX$8),$E41/_xlpm.DepreciationMonths,0))</f>
        <v>0</v>
      </c>
      <c r="AY41" s="507" cm="1">
        <f t="array" ref="AY41">_xlfn.LET(_xlpm.DepreciationMonths,INDEX(FixedAssets[Depreciation
/ Amortization Months],_xlfn.XMATCH($E$33,FixedAssets[Asset ID])),IF(AND((_xlfn.XMATCH(AY$8,$AH$8:$CC$8))-_xlfn.XMATCH($C41,$C$35:$C$82)+1&lt;=_xlpm.DepreciationMonths,$C41&lt;=AY$8),$E41/_xlpm.DepreciationMonths,0))</f>
        <v>0</v>
      </c>
      <c r="AZ41" s="507" cm="1">
        <f t="array" ref="AZ41">_xlfn.LET(_xlpm.DepreciationMonths,INDEX(FixedAssets[Depreciation
/ Amortization Months],_xlfn.XMATCH($E$33,FixedAssets[Asset ID])),IF(AND((_xlfn.XMATCH(AZ$8,$AH$8:$CC$8))-_xlfn.XMATCH($C41,$C$35:$C$82)+1&lt;=_xlpm.DepreciationMonths,$C41&lt;=AZ$8),$E41/_xlpm.DepreciationMonths,0))</f>
        <v>0</v>
      </c>
      <c r="BA41" s="507" cm="1">
        <f t="array" ref="BA41">_xlfn.LET(_xlpm.DepreciationMonths,INDEX(FixedAssets[Depreciation
/ Amortization Months],_xlfn.XMATCH($E$33,FixedAssets[Asset ID])),IF(AND((_xlfn.XMATCH(BA$8,$AH$8:$CC$8))-_xlfn.XMATCH($C41,$C$35:$C$82)+1&lt;=_xlpm.DepreciationMonths,$C41&lt;=BA$8),$E41/_xlpm.DepreciationMonths,0))</f>
        <v>0</v>
      </c>
      <c r="BB41" s="507" cm="1">
        <f t="array" ref="BB41">_xlfn.LET(_xlpm.DepreciationMonths,INDEX(FixedAssets[Depreciation
/ Amortization Months],_xlfn.XMATCH($E$33,FixedAssets[Asset ID])),IF(AND((_xlfn.XMATCH(BB$8,$AH$8:$CC$8))-_xlfn.XMATCH($C41,$C$35:$C$82)+1&lt;=_xlpm.DepreciationMonths,$C41&lt;=BB$8),$E41/_xlpm.DepreciationMonths,0))</f>
        <v>0</v>
      </c>
      <c r="BC41" s="507" cm="1">
        <f t="array" ref="BC41">_xlfn.LET(_xlpm.DepreciationMonths,INDEX(FixedAssets[Depreciation
/ Amortization Months],_xlfn.XMATCH($E$33,FixedAssets[Asset ID])),IF(AND((_xlfn.XMATCH(BC$8,$AH$8:$CC$8))-_xlfn.XMATCH($C41,$C$35:$C$82)+1&lt;=_xlpm.DepreciationMonths,$C41&lt;=BC$8),$E41/_xlpm.DepreciationMonths,0))</f>
        <v>0</v>
      </c>
      <c r="BD41" s="507" cm="1">
        <f t="array" ref="BD41">_xlfn.LET(_xlpm.DepreciationMonths,INDEX(FixedAssets[Depreciation
/ Amortization Months],_xlfn.XMATCH($E$33,FixedAssets[Asset ID])),IF(AND((_xlfn.XMATCH(BD$8,$AH$8:$CC$8))-_xlfn.XMATCH($C41,$C$35:$C$82)+1&lt;=_xlpm.DepreciationMonths,$C41&lt;=BD$8),$E41/_xlpm.DepreciationMonths,0))</f>
        <v>0</v>
      </c>
      <c r="BE41" s="507" cm="1">
        <f t="array" ref="BE41">_xlfn.LET(_xlpm.DepreciationMonths,INDEX(FixedAssets[Depreciation
/ Amortization Months],_xlfn.XMATCH($E$33,FixedAssets[Asset ID])),IF(AND((_xlfn.XMATCH(BE$8,$AH$8:$CC$8))-_xlfn.XMATCH($C41,$C$35:$C$82)+1&lt;=_xlpm.DepreciationMonths,$C41&lt;=BE$8),$E41/_xlpm.DepreciationMonths,0))</f>
        <v>0</v>
      </c>
      <c r="BF41" s="507" cm="1">
        <f t="array" ref="BF41">_xlfn.LET(_xlpm.DepreciationMonths,INDEX(FixedAssets[Depreciation
/ Amortization Months],_xlfn.XMATCH($E$33,FixedAssets[Asset ID])),IF(AND((_xlfn.XMATCH(BF$8,$AH$8:$CC$8))-_xlfn.XMATCH($C41,$C$35:$C$82)+1&lt;=_xlpm.DepreciationMonths,$C41&lt;=BF$8),$E41/_xlpm.DepreciationMonths,0))</f>
        <v>0</v>
      </c>
      <c r="BG41" s="507" cm="1">
        <f t="array" ref="BG41">_xlfn.LET(_xlpm.DepreciationMonths,INDEX(FixedAssets[Depreciation
/ Amortization Months],_xlfn.XMATCH($E$33,FixedAssets[Asset ID])),IF(AND((_xlfn.XMATCH(BG$8,$AH$8:$CC$8))-_xlfn.XMATCH($C41,$C$35:$C$82)+1&lt;=_xlpm.DepreciationMonths,$C41&lt;=BG$8),$E41/_xlpm.DepreciationMonths,0))</f>
        <v>0</v>
      </c>
      <c r="BH41" s="507" cm="1">
        <f t="array" ref="BH41">_xlfn.LET(_xlpm.DepreciationMonths,INDEX(FixedAssets[Depreciation
/ Amortization Months],_xlfn.XMATCH($E$33,FixedAssets[Asset ID])),IF(AND((_xlfn.XMATCH(BH$8,$AH$8:$CC$8))-_xlfn.XMATCH($C41,$C$35:$C$82)+1&lt;=_xlpm.DepreciationMonths,$C41&lt;=BH$8),$E41/_xlpm.DepreciationMonths,0))</f>
        <v>0</v>
      </c>
      <c r="BI41" s="507" cm="1">
        <f t="array" ref="BI41">_xlfn.LET(_xlpm.DepreciationMonths,INDEX(FixedAssets[Depreciation
/ Amortization Months],_xlfn.XMATCH($E$33,FixedAssets[Asset ID])),IF(AND((_xlfn.XMATCH(BI$8,$AH$8:$CC$8))-_xlfn.XMATCH($C41,$C$35:$C$82)+1&lt;=_xlpm.DepreciationMonths,$C41&lt;=BI$8),$E41/_xlpm.DepreciationMonths,0))</f>
        <v>0</v>
      </c>
      <c r="BJ41" s="507" cm="1">
        <f t="array" ref="BJ41">_xlfn.LET(_xlpm.DepreciationMonths,INDEX(FixedAssets[Depreciation
/ Amortization Months],_xlfn.XMATCH($E$33,FixedAssets[Asset ID])),IF(AND((_xlfn.XMATCH(BJ$8,$AH$8:$CC$8))-_xlfn.XMATCH($C41,$C$35:$C$82)+1&lt;=_xlpm.DepreciationMonths,$C41&lt;=BJ$8),$E41/_xlpm.DepreciationMonths,0))</f>
        <v>0</v>
      </c>
      <c r="BK41" s="507" cm="1">
        <f t="array" ref="BK41">_xlfn.LET(_xlpm.DepreciationMonths,INDEX(FixedAssets[Depreciation
/ Amortization Months],_xlfn.XMATCH($E$33,FixedAssets[Asset ID])),IF(AND((_xlfn.XMATCH(BK$8,$AH$8:$CC$8))-_xlfn.XMATCH($C41,$C$35:$C$82)+1&lt;=_xlpm.DepreciationMonths,$C41&lt;=BK$8),$E41/_xlpm.DepreciationMonths,0))</f>
        <v>0</v>
      </c>
      <c r="BL41" s="507" cm="1">
        <f t="array" ref="BL41">_xlfn.LET(_xlpm.DepreciationMonths,INDEX(FixedAssets[Depreciation
/ Amortization Months],_xlfn.XMATCH($E$33,FixedAssets[Asset ID])),IF(AND((_xlfn.XMATCH(BL$8,$AH$8:$CC$8))-_xlfn.XMATCH($C41,$C$35:$C$82)+1&lt;=_xlpm.DepreciationMonths,$C41&lt;=BL$8),$E41/_xlpm.DepreciationMonths,0))</f>
        <v>0</v>
      </c>
      <c r="BM41" s="507" cm="1">
        <f t="array" ref="BM41">_xlfn.LET(_xlpm.DepreciationMonths,INDEX(FixedAssets[Depreciation
/ Amortization Months],_xlfn.XMATCH($E$33,FixedAssets[Asset ID])),IF(AND((_xlfn.XMATCH(BM$8,$AH$8:$CC$8))-_xlfn.XMATCH($C41,$C$35:$C$82)+1&lt;=_xlpm.DepreciationMonths,$C41&lt;=BM$8),$E41/_xlpm.DepreciationMonths,0))</f>
        <v>0</v>
      </c>
      <c r="BN41" s="507" cm="1">
        <f t="array" ref="BN41">_xlfn.LET(_xlpm.DepreciationMonths,INDEX(FixedAssets[Depreciation
/ Amortization Months],_xlfn.XMATCH($E$33,FixedAssets[Asset ID])),IF(AND((_xlfn.XMATCH(BN$8,$AH$8:$CC$8))-_xlfn.XMATCH($C41,$C$35:$C$82)+1&lt;=_xlpm.DepreciationMonths,$C41&lt;=BN$8),$E41/_xlpm.DepreciationMonths,0))</f>
        <v>0</v>
      </c>
      <c r="BO41" s="507" cm="1">
        <f t="array" ref="BO41">_xlfn.LET(_xlpm.DepreciationMonths,INDEX(FixedAssets[Depreciation
/ Amortization Months],_xlfn.XMATCH($E$33,FixedAssets[Asset ID])),IF(AND((_xlfn.XMATCH(BO$8,$AH$8:$CC$8))-_xlfn.XMATCH($C41,$C$35:$C$82)+1&lt;=_xlpm.DepreciationMonths,$C41&lt;=BO$8),$E41/_xlpm.DepreciationMonths,0))</f>
        <v>0</v>
      </c>
      <c r="BP41" s="507" cm="1">
        <f t="array" ref="BP41">_xlfn.LET(_xlpm.DepreciationMonths,INDEX(FixedAssets[Depreciation
/ Amortization Months],_xlfn.XMATCH($E$33,FixedAssets[Asset ID])),IF(AND((_xlfn.XMATCH(BP$8,$AH$8:$CC$8))-_xlfn.XMATCH($C41,$C$35:$C$82)+1&lt;=_xlpm.DepreciationMonths,$C41&lt;=BP$8),$E41/_xlpm.DepreciationMonths,0))</f>
        <v>0</v>
      </c>
      <c r="BQ41" s="507" cm="1">
        <f t="array" ref="BQ41">_xlfn.LET(_xlpm.DepreciationMonths,INDEX(FixedAssets[Depreciation
/ Amortization Months],_xlfn.XMATCH($E$33,FixedAssets[Asset ID])),IF(AND((_xlfn.XMATCH(BQ$8,$AH$8:$CC$8))-_xlfn.XMATCH($C41,$C$35:$C$82)+1&lt;=_xlpm.DepreciationMonths,$C41&lt;=BQ$8),$E41/_xlpm.DepreciationMonths,0))</f>
        <v>0</v>
      </c>
      <c r="BR41" s="507" cm="1">
        <f t="array" ref="BR41">_xlfn.LET(_xlpm.DepreciationMonths,INDEX(FixedAssets[Depreciation
/ Amortization Months],_xlfn.XMATCH($E$33,FixedAssets[Asset ID])),IF(AND((_xlfn.XMATCH(BR$8,$AH$8:$CC$8))-_xlfn.XMATCH($C41,$C$35:$C$82)+1&lt;=_xlpm.DepreciationMonths,$C41&lt;=BR$8),$E41/_xlpm.DepreciationMonths,0))</f>
        <v>0</v>
      </c>
      <c r="BS41" s="507" cm="1">
        <f t="array" ref="BS41">_xlfn.LET(_xlpm.DepreciationMonths,INDEX(FixedAssets[Depreciation
/ Amortization Months],_xlfn.XMATCH($E$33,FixedAssets[Asset ID])),IF(AND((_xlfn.XMATCH(BS$8,$AH$8:$CC$8))-_xlfn.XMATCH($C41,$C$35:$C$82)+1&lt;=_xlpm.DepreciationMonths,$C41&lt;=BS$8),$E41/_xlpm.DepreciationMonths,0))</f>
        <v>0</v>
      </c>
      <c r="BT41" s="507" cm="1">
        <f t="array" ref="BT41">_xlfn.LET(_xlpm.DepreciationMonths,INDEX(FixedAssets[Depreciation
/ Amortization Months],_xlfn.XMATCH($E$33,FixedAssets[Asset ID])),IF(AND((_xlfn.XMATCH(BT$8,$AH$8:$CC$8))-_xlfn.XMATCH($C41,$C$35:$C$82)+1&lt;=_xlpm.DepreciationMonths,$C41&lt;=BT$8),$E41/_xlpm.DepreciationMonths,0))</f>
        <v>0</v>
      </c>
      <c r="BU41" s="507" cm="1">
        <f t="array" ref="BU41">_xlfn.LET(_xlpm.DepreciationMonths,INDEX(FixedAssets[Depreciation
/ Amortization Months],_xlfn.XMATCH($E$33,FixedAssets[Asset ID])),IF(AND((_xlfn.XMATCH(BU$8,$AH$8:$CC$8))-_xlfn.XMATCH($C41,$C$35:$C$82)+1&lt;=_xlpm.DepreciationMonths,$C41&lt;=BU$8),$E41/_xlpm.DepreciationMonths,0))</f>
        <v>0</v>
      </c>
      <c r="BV41" s="507" cm="1">
        <f t="array" ref="BV41">_xlfn.LET(_xlpm.DepreciationMonths,INDEX(FixedAssets[Depreciation
/ Amortization Months],_xlfn.XMATCH($E$33,FixedAssets[Asset ID])),IF(AND((_xlfn.XMATCH(BV$8,$AH$8:$CC$8))-_xlfn.XMATCH($C41,$C$35:$C$82)+1&lt;=_xlpm.DepreciationMonths,$C41&lt;=BV$8),$E41/_xlpm.DepreciationMonths,0))</f>
        <v>0</v>
      </c>
      <c r="BW41" s="507" cm="1">
        <f t="array" ref="BW41">_xlfn.LET(_xlpm.DepreciationMonths,INDEX(FixedAssets[Depreciation
/ Amortization Months],_xlfn.XMATCH($E$33,FixedAssets[Asset ID])),IF(AND((_xlfn.XMATCH(BW$8,$AH$8:$CC$8))-_xlfn.XMATCH($C41,$C$35:$C$82)+1&lt;=_xlpm.DepreciationMonths,$C41&lt;=BW$8),$E41/_xlpm.DepreciationMonths,0))</f>
        <v>0</v>
      </c>
      <c r="BX41" s="507" cm="1">
        <f t="array" ref="BX41">_xlfn.LET(_xlpm.DepreciationMonths,INDEX(FixedAssets[Depreciation
/ Amortization Months],_xlfn.XMATCH($E$33,FixedAssets[Asset ID])),IF(AND((_xlfn.XMATCH(BX$8,$AH$8:$CC$8))-_xlfn.XMATCH($C41,$C$35:$C$82)+1&lt;=_xlpm.DepreciationMonths,$C41&lt;=BX$8),$E41/_xlpm.DepreciationMonths,0))</f>
        <v>0</v>
      </c>
      <c r="BY41" s="507" cm="1">
        <f t="array" ref="BY41">_xlfn.LET(_xlpm.DepreciationMonths,INDEX(FixedAssets[Depreciation
/ Amortization Months],_xlfn.XMATCH($E$33,FixedAssets[Asset ID])),IF(AND((_xlfn.XMATCH(BY$8,$AH$8:$CC$8))-_xlfn.XMATCH($C41,$C$35:$C$82)+1&lt;=_xlpm.DepreciationMonths,$C41&lt;=BY$8),$E41/_xlpm.DepreciationMonths,0))</f>
        <v>0</v>
      </c>
      <c r="BZ41" s="507" cm="1">
        <f t="array" ref="BZ41">_xlfn.LET(_xlpm.DepreciationMonths,INDEX(FixedAssets[Depreciation
/ Amortization Months],_xlfn.XMATCH($E$33,FixedAssets[Asset ID])),IF(AND((_xlfn.XMATCH(BZ$8,$AH$8:$CC$8))-_xlfn.XMATCH($C41,$C$35:$C$82)+1&lt;=_xlpm.DepreciationMonths,$C41&lt;=BZ$8),$E41/_xlpm.DepreciationMonths,0))</f>
        <v>0</v>
      </c>
      <c r="CA41" s="507" cm="1">
        <f t="array" ref="CA41">_xlfn.LET(_xlpm.DepreciationMonths,INDEX(FixedAssets[Depreciation
/ Amortization Months],_xlfn.XMATCH($E$33,FixedAssets[Asset ID])),IF(AND((_xlfn.XMATCH(CA$8,$AH$8:$CC$8))-_xlfn.XMATCH($C41,$C$35:$C$82)+1&lt;=_xlpm.DepreciationMonths,$C41&lt;=CA$8),$E41/_xlpm.DepreciationMonths,0))</f>
        <v>0</v>
      </c>
      <c r="CB41" s="507" cm="1">
        <f t="array" ref="CB41">_xlfn.LET(_xlpm.DepreciationMonths,INDEX(FixedAssets[Depreciation
/ Amortization Months],_xlfn.XMATCH($E$33,FixedAssets[Asset ID])),IF(AND((_xlfn.XMATCH(CB$8,$AH$8:$CC$8))-_xlfn.XMATCH($C41,$C$35:$C$82)+1&lt;=_xlpm.DepreciationMonths,$C41&lt;=CB$8),$E41/_xlpm.DepreciationMonths,0))</f>
        <v>0</v>
      </c>
      <c r="CC41" s="507" cm="1">
        <f t="array" ref="CC41">_xlfn.LET(_xlpm.DepreciationMonths,INDEX(FixedAssets[Depreciation
/ Amortization Months],_xlfn.XMATCH($E$33,FixedAssets[Asset ID])),IF(AND((_xlfn.XMATCH(CC$8,$AH$8:$CC$8))-_xlfn.XMATCH($C41,$C$35:$C$82)+1&lt;=_xlpm.DepreciationMonths,$C41&lt;=CC$8),$E41/_xlpm.DepreciationMonths,0))</f>
        <v>0</v>
      </c>
    </row>
    <row r="42" spans="3:81" hidden="1" outlineLevel="2">
      <c r="C42" s="664">
        <f t="shared" si="91"/>
        <v>45169</v>
      </c>
      <c r="D42" s="508"/>
      <c r="E42" s="508" cm="1">
        <f t="array" ref="E42">SUMPRODUCT(($AH$26:$CC$31)*($AH$5:$CC$5=$C42)*($E$26:$E$31=E$33))-SUMPRODUCT(($AH$26:$CC$31)*($AH$5:$CC$5=EOMONTH($C42,-1))*($E$26:$E$31=E$33))</f>
        <v>2500</v>
      </c>
      <c r="F42" s="508"/>
      <c r="G42" s="508"/>
      <c r="H42" s="508"/>
      <c r="I42" s="508"/>
      <c r="J42" s="504">
        <f t="shared" si="88"/>
        <v>347.22222222222223</v>
      </c>
      <c r="K42" s="504">
        <f t="shared" si="89"/>
        <v>833.33333333333337</v>
      </c>
      <c r="L42" s="504">
        <f t="shared" si="89"/>
        <v>833.33333333333337</v>
      </c>
      <c r="M42" s="504">
        <f t="shared" si="89"/>
        <v>486.11111111111114</v>
      </c>
      <c r="N42" s="504"/>
      <c r="O42" s="504"/>
      <c r="P42" s="504">
        <f t="shared" si="90"/>
        <v>0</v>
      </c>
      <c r="Q42" s="504">
        <f t="shared" si="90"/>
        <v>0</v>
      </c>
      <c r="R42" s="504">
        <f t="shared" si="90"/>
        <v>138.88888888888889</v>
      </c>
      <c r="S42" s="504">
        <f t="shared" si="90"/>
        <v>208.33333333333331</v>
      </c>
      <c r="T42" s="504">
        <f t="shared" si="90"/>
        <v>208.33333333333331</v>
      </c>
      <c r="U42" s="504">
        <f t="shared" si="90"/>
        <v>208.33333333333331</v>
      </c>
      <c r="V42" s="504">
        <f t="shared" si="90"/>
        <v>208.33333333333331</v>
      </c>
      <c r="W42" s="504">
        <f t="shared" si="90"/>
        <v>208.33333333333331</v>
      </c>
      <c r="X42" s="504">
        <f t="shared" si="90"/>
        <v>208.33333333333331</v>
      </c>
      <c r="Y42" s="504">
        <f t="shared" si="90"/>
        <v>208.33333333333331</v>
      </c>
      <c r="Z42" s="504">
        <f t="shared" si="90"/>
        <v>208.33333333333331</v>
      </c>
      <c r="AA42" s="504">
        <f t="shared" si="90"/>
        <v>208.33333333333331</v>
      </c>
      <c r="AB42" s="504">
        <f t="shared" si="90"/>
        <v>208.33333333333331</v>
      </c>
      <c r="AC42" s="504">
        <f t="shared" si="90"/>
        <v>208.33333333333331</v>
      </c>
      <c r="AD42" s="504">
        <f t="shared" si="90"/>
        <v>69.444444444444443</v>
      </c>
      <c r="AE42" s="504">
        <f t="shared" si="90"/>
        <v>0</v>
      </c>
      <c r="AF42" s="508"/>
      <c r="AG42" s="508"/>
      <c r="AH42" s="507" cm="1">
        <f t="array" ref="AH42">_xlfn.LET(_xlpm.DepreciationMonths,INDEX(FixedAssets[Depreciation
/ Amortization Months],_xlfn.XMATCH($E$33,FixedAssets[Asset ID])),IF(AND((_xlfn.XMATCH(AH$8,$AH$8:$CC$8))-_xlfn.XMATCH($C42,$C$35:$C$82)+1&lt;=_xlpm.DepreciationMonths,$C42&lt;=AH$8),$E42/_xlpm.DepreciationMonths,0))</f>
        <v>0</v>
      </c>
      <c r="AI42" s="507" cm="1">
        <f t="array" ref="AI42">_xlfn.LET(_xlpm.DepreciationMonths,INDEX(FixedAssets[Depreciation
/ Amortization Months],_xlfn.XMATCH($E$33,FixedAssets[Asset ID])),IF(AND((_xlfn.XMATCH(AI$8,$AH$8:$CC$8))-_xlfn.XMATCH($C42,$C$35:$C$82)+1&lt;=_xlpm.DepreciationMonths,$C42&lt;=AI$8),$E42/_xlpm.DepreciationMonths,0))</f>
        <v>0</v>
      </c>
      <c r="AJ42" s="507" cm="1">
        <f t="array" ref="AJ42">_xlfn.LET(_xlpm.DepreciationMonths,INDEX(FixedAssets[Depreciation
/ Amortization Months],_xlfn.XMATCH($E$33,FixedAssets[Asset ID])),IF(AND((_xlfn.XMATCH(AJ$8,$AH$8:$CC$8))-_xlfn.XMATCH($C42,$C$35:$C$82)+1&lt;=_xlpm.DepreciationMonths,$C42&lt;=AJ$8),$E42/_xlpm.DepreciationMonths,0))</f>
        <v>0</v>
      </c>
      <c r="AK42" s="507" cm="1">
        <f t="array" ref="AK42">_xlfn.LET(_xlpm.DepreciationMonths,INDEX(FixedAssets[Depreciation
/ Amortization Months],_xlfn.XMATCH($E$33,FixedAssets[Asset ID])),IF(AND((_xlfn.XMATCH(AK$8,$AH$8:$CC$8))-_xlfn.XMATCH($C42,$C$35:$C$82)+1&lt;=_xlpm.DepreciationMonths,$C42&lt;=AK$8),$E42/_xlpm.DepreciationMonths,0))</f>
        <v>0</v>
      </c>
      <c r="AL42" s="507" cm="1">
        <f t="array" ref="AL42">_xlfn.LET(_xlpm.DepreciationMonths,INDEX(FixedAssets[Depreciation
/ Amortization Months],_xlfn.XMATCH($E$33,FixedAssets[Asset ID])),IF(AND((_xlfn.XMATCH(AL$8,$AH$8:$CC$8))-_xlfn.XMATCH($C42,$C$35:$C$82)+1&lt;=_xlpm.DepreciationMonths,$C42&lt;=AL$8),$E42/_xlpm.DepreciationMonths,0))</f>
        <v>0</v>
      </c>
      <c r="AM42" s="507" cm="1">
        <f t="array" ref="AM42">_xlfn.LET(_xlpm.DepreciationMonths,INDEX(FixedAssets[Depreciation
/ Amortization Months],_xlfn.XMATCH($E$33,FixedAssets[Asset ID])),IF(AND((_xlfn.XMATCH(AM$8,$AH$8:$CC$8))-_xlfn.XMATCH($C42,$C$35:$C$82)+1&lt;=_xlpm.DepreciationMonths,$C42&lt;=AM$8),$E42/_xlpm.DepreciationMonths,0))</f>
        <v>0</v>
      </c>
      <c r="AN42" s="507" cm="1">
        <f t="array" ref="AN42">_xlfn.LET(_xlpm.DepreciationMonths,INDEX(FixedAssets[Depreciation
/ Amortization Months],_xlfn.XMATCH($E$33,FixedAssets[Asset ID])),IF(AND((_xlfn.XMATCH(AN$8,$AH$8:$CC$8))-_xlfn.XMATCH($C42,$C$35:$C$82)+1&lt;=_xlpm.DepreciationMonths,$C42&lt;=AN$8),$E42/_xlpm.DepreciationMonths,0))</f>
        <v>0</v>
      </c>
      <c r="AO42" s="507" cm="1">
        <f t="array" ref="AO42">_xlfn.LET(_xlpm.DepreciationMonths,INDEX(FixedAssets[Depreciation
/ Amortization Months],_xlfn.XMATCH($E$33,FixedAssets[Asset ID])),IF(AND((_xlfn.XMATCH(AO$8,$AH$8:$CC$8))-_xlfn.XMATCH($C42,$C$35:$C$82)+1&lt;=_xlpm.DepreciationMonths,$C42&lt;=AO$8),$E42/_xlpm.DepreciationMonths,0))</f>
        <v>69.444444444444443</v>
      </c>
      <c r="AP42" s="507" cm="1">
        <f t="array" ref="AP42">_xlfn.LET(_xlpm.DepreciationMonths,INDEX(FixedAssets[Depreciation
/ Amortization Months],_xlfn.XMATCH($E$33,FixedAssets[Asset ID])),IF(AND((_xlfn.XMATCH(AP$8,$AH$8:$CC$8))-_xlfn.XMATCH($C42,$C$35:$C$82)+1&lt;=_xlpm.DepreciationMonths,$C42&lt;=AP$8),$E42/_xlpm.DepreciationMonths,0))</f>
        <v>69.444444444444443</v>
      </c>
      <c r="AQ42" s="507" cm="1">
        <f t="array" ref="AQ42">_xlfn.LET(_xlpm.DepreciationMonths,INDEX(FixedAssets[Depreciation
/ Amortization Months],_xlfn.XMATCH($E$33,FixedAssets[Asset ID])),IF(AND((_xlfn.XMATCH(AQ$8,$AH$8:$CC$8))-_xlfn.XMATCH($C42,$C$35:$C$82)+1&lt;=_xlpm.DepreciationMonths,$C42&lt;=AQ$8),$E42/_xlpm.DepreciationMonths,0))</f>
        <v>69.444444444444443</v>
      </c>
      <c r="AR42" s="507" cm="1">
        <f t="array" ref="AR42">_xlfn.LET(_xlpm.DepreciationMonths,INDEX(FixedAssets[Depreciation
/ Amortization Months],_xlfn.XMATCH($E$33,FixedAssets[Asset ID])),IF(AND((_xlfn.XMATCH(AR$8,$AH$8:$CC$8))-_xlfn.XMATCH($C42,$C$35:$C$82)+1&lt;=_xlpm.DepreciationMonths,$C42&lt;=AR$8),$E42/_xlpm.DepreciationMonths,0))</f>
        <v>69.444444444444443</v>
      </c>
      <c r="AS42" s="507" cm="1">
        <f t="array" ref="AS42">_xlfn.LET(_xlpm.DepreciationMonths,INDEX(FixedAssets[Depreciation
/ Amortization Months],_xlfn.XMATCH($E$33,FixedAssets[Asset ID])),IF(AND((_xlfn.XMATCH(AS$8,$AH$8:$CC$8))-_xlfn.XMATCH($C42,$C$35:$C$82)+1&lt;=_xlpm.DepreciationMonths,$C42&lt;=AS$8),$E42/_xlpm.DepreciationMonths,0))</f>
        <v>69.444444444444443</v>
      </c>
      <c r="AT42" s="507" cm="1">
        <f t="array" ref="AT42">_xlfn.LET(_xlpm.DepreciationMonths,INDEX(FixedAssets[Depreciation
/ Amortization Months],_xlfn.XMATCH($E$33,FixedAssets[Asset ID])),IF(AND((_xlfn.XMATCH(AT$8,$AH$8:$CC$8))-_xlfn.XMATCH($C42,$C$35:$C$82)+1&lt;=_xlpm.DepreciationMonths,$C42&lt;=AT$8),$E42/_xlpm.DepreciationMonths,0))</f>
        <v>69.444444444444443</v>
      </c>
      <c r="AU42" s="507" cm="1">
        <f t="array" ref="AU42">_xlfn.LET(_xlpm.DepreciationMonths,INDEX(FixedAssets[Depreciation
/ Amortization Months],_xlfn.XMATCH($E$33,FixedAssets[Asset ID])),IF(AND((_xlfn.XMATCH(AU$8,$AH$8:$CC$8))-_xlfn.XMATCH($C42,$C$35:$C$82)+1&lt;=_xlpm.DepreciationMonths,$C42&lt;=AU$8),$E42/_xlpm.DepreciationMonths,0))</f>
        <v>69.444444444444443</v>
      </c>
      <c r="AV42" s="507" cm="1">
        <f t="array" ref="AV42">_xlfn.LET(_xlpm.DepreciationMonths,INDEX(FixedAssets[Depreciation
/ Amortization Months],_xlfn.XMATCH($E$33,FixedAssets[Asset ID])),IF(AND((_xlfn.XMATCH(AV$8,$AH$8:$CC$8))-_xlfn.XMATCH($C42,$C$35:$C$82)+1&lt;=_xlpm.DepreciationMonths,$C42&lt;=AV$8),$E42/_xlpm.DepreciationMonths,0))</f>
        <v>69.444444444444443</v>
      </c>
      <c r="AW42" s="507" cm="1">
        <f t="array" ref="AW42">_xlfn.LET(_xlpm.DepreciationMonths,INDEX(FixedAssets[Depreciation
/ Amortization Months],_xlfn.XMATCH($E$33,FixedAssets[Asset ID])),IF(AND((_xlfn.XMATCH(AW$8,$AH$8:$CC$8))-_xlfn.XMATCH($C42,$C$35:$C$82)+1&lt;=_xlpm.DepreciationMonths,$C42&lt;=AW$8),$E42/_xlpm.DepreciationMonths,0))</f>
        <v>69.444444444444443</v>
      </c>
      <c r="AX42" s="507" cm="1">
        <f t="array" ref="AX42">_xlfn.LET(_xlpm.DepreciationMonths,INDEX(FixedAssets[Depreciation
/ Amortization Months],_xlfn.XMATCH($E$33,FixedAssets[Asset ID])),IF(AND((_xlfn.XMATCH(AX$8,$AH$8:$CC$8))-_xlfn.XMATCH($C42,$C$35:$C$82)+1&lt;=_xlpm.DepreciationMonths,$C42&lt;=AX$8),$E42/_xlpm.DepreciationMonths,0))</f>
        <v>69.444444444444443</v>
      </c>
      <c r="AY42" s="507" cm="1">
        <f t="array" ref="AY42">_xlfn.LET(_xlpm.DepreciationMonths,INDEX(FixedAssets[Depreciation
/ Amortization Months],_xlfn.XMATCH($E$33,FixedAssets[Asset ID])),IF(AND((_xlfn.XMATCH(AY$8,$AH$8:$CC$8))-_xlfn.XMATCH($C42,$C$35:$C$82)+1&lt;=_xlpm.DepreciationMonths,$C42&lt;=AY$8),$E42/_xlpm.DepreciationMonths,0))</f>
        <v>69.444444444444443</v>
      </c>
      <c r="AZ42" s="507" cm="1">
        <f t="array" ref="AZ42">_xlfn.LET(_xlpm.DepreciationMonths,INDEX(FixedAssets[Depreciation
/ Amortization Months],_xlfn.XMATCH($E$33,FixedAssets[Asset ID])),IF(AND((_xlfn.XMATCH(AZ$8,$AH$8:$CC$8))-_xlfn.XMATCH($C42,$C$35:$C$82)+1&lt;=_xlpm.DepreciationMonths,$C42&lt;=AZ$8),$E42/_xlpm.DepreciationMonths,0))</f>
        <v>69.444444444444443</v>
      </c>
      <c r="BA42" s="507" cm="1">
        <f t="array" ref="BA42">_xlfn.LET(_xlpm.DepreciationMonths,INDEX(FixedAssets[Depreciation
/ Amortization Months],_xlfn.XMATCH($E$33,FixedAssets[Asset ID])),IF(AND((_xlfn.XMATCH(BA$8,$AH$8:$CC$8))-_xlfn.XMATCH($C42,$C$35:$C$82)+1&lt;=_xlpm.DepreciationMonths,$C42&lt;=BA$8),$E42/_xlpm.DepreciationMonths,0))</f>
        <v>69.444444444444443</v>
      </c>
      <c r="BB42" s="507" cm="1">
        <f t="array" ref="BB42">_xlfn.LET(_xlpm.DepreciationMonths,INDEX(FixedAssets[Depreciation
/ Amortization Months],_xlfn.XMATCH($E$33,FixedAssets[Asset ID])),IF(AND((_xlfn.XMATCH(BB$8,$AH$8:$CC$8))-_xlfn.XMATCH($C42,$C$35:$C$82)+1&lt;=_xlpm.DepreciationMonths,$C42&lt;=BB$8),$E42/_xlpm.DepreciationMonths,0))</f>
        <v>69.444444444444443</v>
      </c>
      <c r="BC42" s="507" cm="1">
        <f t="array" ref="BC42">_xlfn.LET(_xlpm.DepreciationMonths,INDEX(FixedAssets[Depreciation
/ Amortization Months],_xlfn.XMATCH($E$33,FixedAssets[Asset ID])),IF(AND((_xlfn.XMATCH(BC$8,$AH$8:$CC$8))-_xlfn.XMATCH($C42,$C$35:$C$82)+1&lt;=_xlpm.DepreciationMonths,$C42&lt;=BC$8),$E42/_xlpm.DepreciationMonths,0))</f>
        <v>69.444444444444443</v>
      </c>
      <c r="BD42" s="507" cm="1">
        <f t="array" ref="BD42">_xlfn.LET(_xlpm.DepreciationMonths,INDEX(FixedAssets[Depreciation
/ Amortization Months],_xlfn.XMATCH($E$33,FixedAssets[Asset ID])),IF(AND((_xlfn.XMATCH(BD$8,$AH$8:$CC$8))-_xlfn.XMATCH($C42,$C$35:$C$82)+1&lt;=_xlpm.DepreciationMonths,$C42&lt;=BD$8),$E42/_xlpm.DepreciationMonths,0))</f>
        <v>69.444444444444443</v>
      </c>
      <c r="BE42" s="507" cm="1">
        <f t="array" ref="BE42">_xlfn.LET(_xlpm.DepreciationMonths,INDEX(FixedAssets[Depreciation
/ Amortization Months],_xlfn.XMATCH($E$33,FixedAssets[Asset ID])),IF(AND((_xlfn.XMATCH(BE$8,$AH$8:$CC$8))-_xlfn.XMATCH($C42,$C$35:$C$82)+1&lt;=_xlpm.DepreciationMonths,$C42&lt;=BE$8),$E42/_xlpm.DepreciationMonths,0))</f>
        <v>69.444444444444443</v>
      </c>
      <c r="BF42" s="507" cm="1">
        <f t="array" ref="BF42">_xlfn.LET(_xlpm.DepreciationMonths,INDEX(FixedAssets[Depreciation
/ Amortization Months],_xlfn.XMATCH($E$33,FixedAssets[Asset ID])),IF(AND((_xlfn.XMATCH(BF$8,$AH$8:$CC$8))-_xlfn.XMATCH($C42,$C$35:$C$82)+1&lt;=_xlpm.DepreciationMonths,$C42&lt;=BF$8),$E42/_xlpm.DepreciationMonths,0))</f>
        <v>69.444444444444443</v>
      </c>
      <c r="BG42" s="507" cm="1">
        <f t="array" ref="BG42">_xlfn.LET(_xlpm.DepreciationMonths,INDEX(FixedAssets[Depreciation
/ Amortization Months],_xlfn.XMATCH($E$33,FixedAssets[Asset ID])),IF(AND((_xlfn.XMATCH(BG$8,$AH$8:$CC$8))-_xlfn.XMATCH($C42,$C$35:$C$82)+1&lt;=_xlpm.DepreciationMonths,$C42&lt;=BG$8),$E42/_xlpm.DepreciationMonths,0))</f>
        <v>69.444444444444443</v>
      </c>
      <c r="BH42" s="507" cm="1">
        <f t="array" ref="BH42">_xlfn.LET(_xlpm.DepreciationMonths,INDEX(FixedAssets[Depreciation
/ Amortization Months],_xlfn.XMATCH($E$33,FixedAssets[Asset ID])),IF(AND((_xlfn.XMATCH(BH$8,$AH$8:$CC$8))-_xlfn.XMATCH($C42,$C$35:$C$82)+1&lt;=_xlpm.DepreciationMonths,$C42&lt;=BH$8),$E42/_xlpm.DepreciationMonths,0))</f>
        <v>69.444444444444443</v>
      </c>
      <c r="BI42" s="507" cm="1">
        <f t="array" ref="BI42">_xlfn.LET(_xlpm.DepreciationMonths,INDEX(FixedAssets[Depreciation
/ Amortization Months],_xlfn.XMATCH($E$33,FixedAssets[Asset ID])),IF(AND((_xlfn.XMATCH(BI$8,$AH$8:$CC$8))-_xlfn.XMATCH($C42,$C$35:$C$82)+1&lt;=_xlpm.DepreciationMonths,$C42&lt;=BI$8),$E42/_xlpm.DepreciationMonths,0))</f>
        <v>69.444444444444443</v>
      </c>
      <c r="BJ42" s="507" cm="1">
        <f t="array" ref="BJ42">_xlfn.LET(_xlpm.DepreciationMonths,INDEX(FixedAssets[Depreciation
/ Amortization Months],_xlfn.XMATCH($E$33,FixedAssets[Asset ID])),IF(AND((_xlfn.XMATCH(BJ$8,$AH$8:$CC$8))-_xlfn.XMATCH($C42,$C$35:$C$82)+1&lt;=_xlpm.DepreciationMonths,$C42&lt;=BJ$8),$E42/_xlpm.DepreciationMonths,0))</f>
        <v>69.444444444444443</v>
      </c>
      <c r="BK42" s="507" cm="1">
        <f t="array" ref="BK42">_xlfn.LET(_xlpm.DepreciationMonths,INDEX(FixedAssets[Depreciation
/ Amortization Months],_xlfn.XMATCH($E$33,FixedAssets[Asset ID])),IF(AND((_xlfn.XMATCH(BK$8,$AH$8:$CC$8))-_xlfn.XMATCH($C42,$C$35:$C$82)+1&lt;=_xlpm.DepreciationMonths,$C42&lt;=BK$8),$E42/_xlpm.DepreciationMonths,0))</f>
        <v>69.444444444444443</v>
      </c>
      <c r="BL42" s="507" cm="1">
        <f t="array" ref="BL42">_xlfn.LET(_xlpm.DepreciationMonths,INDEX(FixedAssets[Depreciation
/ Amortization Months],_xlfn.XMATCH($E$33,FixedAssets[Asset ID])),IF(AND((_xlfn.XMATCH(BL$8,$AH$8:$CC$8))-_xlfn.XMATCH($C42,$C$35:$C$82)+1&lt;=_xlpm.DepreciationMonths,$C42&lt;=BL$8),$E42/_xlpm.DepreciationMonths,0))</f>
        <v>69.444444444444443</v>
      </c>
      <c r="BM42" s="507" cm="1">
        <f t="array" ref="BM42">_xlfn.LET(_xlpm.DepreciationMonths,INDEX(FixedAssets[Depreciation
/ Amortization Months],_xlfn.XMATCH($E$33,FixedAssets[Asset ID])),IF(AND((_xlfn.XMATCH(BM$8,$AH$8:$CC$8))-_xlfn.XMATCH($C42,$C$35:$C$82)+1&lt;=_xlpm.DepreciationMonths,$C42&lt;=BM$8),$E42/_xlpm.DepreciationMonths,0))</f>
        <v>69.444444444444443</v>
      </c>
      <c r="BN42" s="507" cm="1">
        <f t="array" ref="BN42">_xlfn.LET(_xlpm.DepreciationMonths,INDEX(FixedAssets[Depreciation
/ Amortization Months],_xlfn.XMATCH($E$33,FixedAssets[Asset ID])),IF(AND((_xlfn.XMATCH(BN$8,$AH$8:$CC$8))-_xlfn.XMATCH($C42,$C$35:$C$82)+1&lt;=_xlpm.DepreciationMonths,$C42&lt;=BN$8),$E42/_xlpm.DepreciationMonths,0))</f>
        <v>69.444444444444443</v>
      </c>
      <c r="BO42" s="507" cm="1">
        <f t="array" ref="BO42">_xlfn.LET(_xlpm.DepreciationMonths,INDEX(FixedAssets[Depreciation
/ Amortization Months],_xlfn.XMATCH($E$33,FixedAssets[Asset ID])),IF(AND((_xlfn.XMATCH(BO$8,$AH$8:$CC$8))-_xlfn.XMATCH($C42,$C$35:$C$82)+1&lt;=_xlpm.DepreciationMonths,$C42&lt;=BO$8),$E42/_xlpm.DepreciationMonths,0))</f>
        <v>69.444444444444443</v>
      </c>
      <c r="BP42" s="507" cm="1">
        <f t="array" ref="BP42">_xlfn.LET(_xlpm.DepreciationMonths,INDEX(FixedAssets[Depreciation
/ Amortization Months],_xlfn.XMATCH($E$33,FixedAssets[Asset ID])),IF(AND((_xlfn.XMATCH(BP$8,$AH$8:$CC$8))-_xlfn.XMATCH($C42,$C$35:$C$82)+1&lt;=_xlpm.DepreciationMonths,$C42&lt;=BP$8),$E42/_xlpm.DepreciationMonths,0))</f>
        <v>69.444444444444443</v>
      </c>
      <c r="BQ42" s="507" cm="1">
        <f t="array" ref="BQ42">_xlfn.LET(_xlpm.DepreciationMonths,INDEX(FixedAssets[Depreciation
/ Amortization Months],_xlfn.XMATCH($E$33,FixedAssets[Asset ID])),IF(AND((_xlfn.XMATCH(BQ$8,$AH$8:$CC$8))-_xlfn.XMATCH($C42,$C$35:$C$82)+1&lt;=_xlpm.DepreciationMonths,$C42&lt;=BQ$8),$E42/_xlpm.DepreciationMonths,0))</f>
        <v>69.444444444444443</v>
      </c>
      <c r="BR42" s="507" cm="1">
        <f t="array" ref="BR42">_xlfn.LET(_xlpm.DepreciationMonths,INDEX(FixedAssets[Depreciation
/ Amortization Months],_xlfn.XMATCH($E$33,FixedAssets[Asset ID])),IF(AND((_xlfn.XMATCH(BR$8,$AH$8:$CC$8))-_xlfn.XMATCH($C42,$C$35:$C$82)+1&lt;=_xlpm.DepreciationMonths,$C42&lt;=BR$8),$E42/_xlpm.DepreciationMonths,0))</f>
        <v>69.444444444444443</v>
      </c>
      <c r="BS42" s="507" cm="1">
        <f t="array" ref="BS42">_xlfn.LET(_xlpm.DepreciationMonths,INDEX(FixedAssets[Depreciation
/ Amortization Months],_xlfn.XMATCH($E$33,FixedAssets[Asset ID])),IF(AND((_xlfn.XMATCH(BS$8,$AH$8:$CC$8))-_xlfn.XMATCH($C42,$C$35:$C$82)+1&lt;=_xlpm.DepreciationMonths,$C42&lt;=BS$8),$E42/_xlpm.DepreciationMonths,0))</f>
        <v>69.444444444444443</v>
      </c>
      <c r="BT42" s="507" cm="1">
        <f t="array" ref="BT42">_xlfn.LET(_xlpm.DepreciationMonths,INDEX(FixedAssets[Depreciation
/ Amortization Months],_xlfn.XMATCH($E$33,FixedAssets[Asset ID])),IF(AND((_xlfn.XMATCH(BT$8,$AH$8:$CC$8))-_xlfn.XMATCH($C42,$C$35:$C$82)+1&lt;=_xlpm.DepreciationMonths,$C42&lt;=BT$8),$E42/_xlpm.DepreciationMonths,0))</f>
        <v>69.444444444444443</v>
      </c>
      <c r="BU42" s="507" cm="1">
        <f t="array" ref="BU42">_xlfn.LET(_xlpm.DepreciationMonths,INDEX(FixedAssets[Depreciation
/ Amortization Months],_xlfn.XMATCH($E$33,FixedAssets[Asset ID])),IF(AND((_xlfn.XMATCH(BU$8,$AH$8:$CC$8))-_xlfn.XMATCH($C42,$C$35:$C$82)+1&lt;=_xlpm.DepreciationMonths,$C42&lt;=BU$8),$E42/_xlpm.DepreciationMonths,0))</f>
        <v>69.444444444444443</v>
      </c>
      <c r="BV42" s="507" cm="1">
        <f t="array" ref="BV42">_xlfn.LET(_xlpm.DepreciationMonths,INDEX(FixedAssets[Depreciation
/ Amortization Months],_xlfn.XMATCH($E$33,FixedAssets[Asset ID])),IF(AND((_xlfn.XMATCH(BV$8,$AH$8:$CC$8))-_xlfn.XMATCH($C42,$C$35:$C$82)+1&lt;=_xlpm.DepreciationMonths,$C42&lt;=BV$8),$E42/_xlpm.DepreciationMonths,0))</f>
        <v>69.444444444444443</v>
      </c>
      <c r="BW42" s="507" cm="1">
        <f t="array" ref="BW42">_xlfn.LET(_xlpm.DepreciationMonths,INDEX(FixedAssets[Depreciation
/ Amortization Months],_xlfn.XMATCH($E$33,FixedAssets[Asset ID])),IF(AND((_xlfn.XMATCH(BW$8,$AH$8:$CC$8))-_xlfn.XMATCH($C42,$C$35:$C$82)+1&lt;=_xlpm.DepreciationMonths,$C42&lt;=BW$8),$E42/_xlpm.DepreciationMonths,0))</f>
        <v>69.444444444444443</v>
      </c>
      <c r="BX42" s="507" cm="1">
        <f t="array" ref="BX42">_xlfn.LET(_xlpm.DepreciationMonths,INDEX(FixedAssets[Depreciation
/ Amortization Months],_xlfn.XMATCH($E$33,FixedAssets[Asset ID])),IF(AND((_xlfn.XMATCH(BX$8,$AH$8:$CC$8))-_xlfn.XMATCH($C42,$C$35:$C$82)+1&lt;=_xlpm.DepreciationMonths,$C42&lt;=BX$8),$E42/_xlpm.DepreciationMonths,0))</f>
        <v>69.444444444444443</v>
      </c>
      <c r="BY42" s="507" cm="1">
        <f t="array" ref="BY42">_xlfn.LET(_xlpm.DepreciationMonths,INDEX(FixedAssets[Depreciation
/ Amortization Months],_xlfn.XMATCH($E$33,FixedAssets[Asset ID])),IF(AND((_xlfn.XMATCH(BY$8,$AH$8:$CC$8))-_xlfn.XMATCH($C42,$C$35:$C$82)+1&lt;=_xlpm.DepreciationMonths,$C42&lt;=BY$8),$E42/_xlpm.DepreciationMonths,0))</f>
        <v>0</v>
      </c>
      <c r="BZ42" s="507" cm="1">
        <f t="array" ref="BZ42">_xlfn.LET(_xlpm.DepreciationMonths,INDEX(FixedAssets[Depreciation
/ Amortization Months],_xlfn.XMATCH($E$33,FixedAssets[Asset ID])),IF(AND((_xlfn.XMATCH(BZ$8,$AH$8:$CC$8))-_xlfn.XMATCH($C42,$C$35:$C$82)+1&lt;=_xlpm.DepreciationMonths,$C42&lt;=BZ$8),$E42/_xlpm.DepreciationMonths,0))</f>
        <v>0</v>
      </c>
      <c r="CA42" s="507" cm="1">
        <f t="array" ref="CA42">_xlfn.LET(_xlpm.DepreciationMonths,INDEX(FixedAssets[Depreciation
/ Amortization Months],_xlfn.XMATCH($E$33,FixedAssets[Asset ID])),IF(AND((_xlfn.XMATCH(CA$8,$AH$8:$CC$8))-_xlfn.XMATCH($C42,$C$35:$C$82)+1&lt;=_xlpm.DepreciationMonths,$C42&lt;=CA$8),$E42/_xlpm.DepreciationMonths,0))</f>
        <v>0</v>
      </c>
      <c r="CB42" s="507" cm="1">
        <f t="array" ref="CB42">_xlfn.LET(_xlpm.DepreciationMonths,INDEX(FixedAssets[Depreciation
/ Amortization Months],_xlfn.XMATCH($E$33,FixedAssets[Asset ID])),IF(AND((_xlfn.XMATCH(CB$8,$AH$8:$CC$8))-_xlfn.XMATCH($C42,$C$35:$C$82)+1&lt;=_xlpm.DepreciationMonths,$C42&lt;=CB$8),$E42/_xlpm.DepreciationMonths,0))</f>
        <v>0</v>
      </c>
      <c r="CC42" s="507" cm="1">
        <f t="array" ref="CC42">_xlfn.LET(_xlpm.DepreciationMonths,INDEX(FixedAssets[Depreciation
/ Amortization Months],_xlfn.XMATCH($E$33,FixedAssets[Asset ID])),IF(AND((_xlfn.XMATCH(CC$8,$AH$8:$CC$8))-_xlfn.XMATCH($C42,$C$35:$C$82)+1&lt;=_xlpm.DepreciationMonths,$C42&lt;=CC$8),$E42/_xlpm.DepreciationMonths,0))</f>
        <v>0</v>
      </c>
    </row>
    <row r="43" spans="3:81" hidden="1" outlineLevel="2">
      <c r="C43" s="664">
        <f t="shared" si="91"/>
        <v>45199</v>
      </c>
      <c r="D43" s="508"/>
      <c r="E43" s="508" cm="1">
        <f t="array" ref="E43">SUMPRODUCT(($AH$26:$CC$31)*($AH$5:$CC$5=$C43)*($E$26:$E$31=E$33))-SUMPRODUCT(($AH$26:$CC$31)*($AH$5:$CC$5=EOMONTH($C43,-1))*($E$26:$E$31=E$33))</f>
        <v>0</v>
      </c>
      <c r="F43" s="508"/>
      <c r="G43" s="508"/>
      <c r="H43" s="508"/>
      <c r="I43" s="508"/>
      <c r="J43" s="504">
        <f t="shared" si="88"/>
        <v>0</v>
      </c>
      <c r="K43" s="504">
        <f t="shared" si="89"/>
        <v>0</v>
      </c>
      <c r="L43" s="504">
        <f t="shared" si="89"/>
        <v>0</v>
      </c>
      <c r="M43" s="504">
        <f t="shared" si="89"/>
        <v>0</v>
      </c>
      <c r="N43" s="504"/>
      <c r="O43" s="504"/>
      <c r="P43" s="504">
        <f t="shared" si="90"/>
        <v>0</v>
      </c>
      <c r="Q43" s="504">
        <f t="shared" si="90"/>
        <v>0</v>
      </c>
      <c r="R43" s="504">
        <f t="shared" si="90"/>
        <v>0</v>
      </c>
      <c r="S43" s="504">
        <f t="shared" si="90"/>
        <v>0</v>
      </c>
      <c r="T43" s="504">
        <f t="shared" si="90"/>
        <v>0</v>
      </c>
      <c r="U43" s="504">
        <f t="shared" si="90"/>
        <v>0</v>
      </c>
      <c r="V43" s="504">
        <f t="shared" si="90"/>
        <v>0</v>
      </c>
      <c r="W43" s="504">
        <f t="shared" si="90"/>
        <v>0</v>
      </c>
      <c r="X43" s="504">
        <f t="shared" si="90"/>
        <v>0</v>
      </c>
      <c r="Y43" s="504">
        <f t="shared" si="90"/>
        <v>0</v>
      </c>
      <c r="Z43" s="504">
        <f t="shared" si="90"/>
        <v>0</v>
      </c>
      <c r="AA43" s="504">
        <f t="shared" si="90"/>
        <v>0</v>
      </c>
      <c r="AB43" s="504">
        <f t="shared" si="90"/>
        <v>0</v>
      </c>
      <c r="AC43" s="504">
        <f t="shared" si="90"/>
        <v>0</v>
      </c>
      <c r="AD43" s="504">
        <f t="shared" si="90"/>
        <v>0</v>
      </c>
      <c r="AE43" s="504">
        <f t="shared" si="90"/>
        <v>0</v>
      </c>
      <c r="AF43" s="508"/>
      <c r="AG43" s="508"/>
      <c r="AH43" s="507" cm="1">
        <f t="array" ref="AH43">_xlfn.LET(_xlpm.DepreciationMonths,INDEX(FixedAssets[Depreciation
/ Amortization Months],_xlfn.XMATCH($E$33,FixedAssets[Asset ID])),IF(AND((_xlfn.XMATCH(AH$8,$AH$8:$CC$8))-_xlfn.XMATCH($C43,$C$35:$C$82)+1&lt;=_xlpm.DepreciationMonths,$C43&lt;=AH$8),$E43/_xlpm.DepreciationMonths,0))</f>
        <v>0</v>
      </c>
      <c r="AI43" s="507" cm="1">
        <f t="array" ref="AI43">_xlfn.LET(_xlpm.DepreciationMonths,INDEX(FixedAssets[Depreciation
/ Amortization Months],_xlfn.XMATCH($E$33,FixedAssets[Asset ID])),IF(AND((_xlfn.XMATCH(AI$8,$AH$8:$CC$8))-_xlfn.XMATCH($C43,$C$35:$C$82)+1&lt;=_xlpm.DepreciationMonths,$C43&lt;=AI$8),$E43/_xlpm.DepreciationMonths,0))</f>
        <v>0</v>
      </c>
      <c r="AJ43" s="507" cm="1">
        <f t="array" ref="AJ43">_xlfn.LET(_xlpm.DepreciationMonths,INDEX(FixedAssets[Depreciation
/ Amortization Months],_xlfn.XMATCH($E$33,FixedAssets[Asset ID])),IF(AND((_xlfn.XMATCH(AJ$8,$AH$8:$CC$8))-_xlfn.XMATCH($C43,$C$35:$C$82)+1&lt;=_xlpm.DepreciationMonths,$C43&lt;=AJ$8),$E43/_xlpm.DepreciationMonths,0))</f>
        <v>0</v>
      </c>
      <c r="AK43" s="507" cm="1">
        <f t="array" ref="AK43">_xlfn.LET(_xlpm.DepreciationMonths,INDEX(FixedAssets[Depreciation
/ Amortization Months],_xlfn.XMATCH($E$33,FixedAssets[Asset ID])),IF(AND((_xlfn.XMATCH(AK$8,$AH$8:$CC$8))-_xlfn.XMATCH($C43,$C$35:$C$82)+1&lt;=_xlpm.DepreciationMonths,$C43&lt;=AK$8),$E43/_xlpm.DepreciationMonths,0))</f>
        <v>0</v>
      </c>
      <c r="AL43" s="507" cm="1">
        <f t="array" ref="AL43">_xlfn.LET(_xlpm.DepreciationMonths,INDEX(FixedAssets[Depreciation
/ Amortization Months],_xlfn.XMATCH($E$33,FixedAssets[Asset ID])),IF(AND((_xlfn.XMATCH(AL$8,$AH$8:$CC$8))-_xlfn.XMATCH($C43,$C$35:$C$82)+1&lt;=_xlpm.DepreciationMonths,$C43&lt;=AL$8),$E43/_xlpm.DepreciationMonths,0))</f>
        <v>0</v>
      </c>
      <c r="AM43" s="507" cm="1">
        <f t="array" ref="AM43">_xlfn.LET(_xlpm.DepreciationMonths,INDEX(FixedAssets[Depreciation
/ Amortization Months],_xlfn.XMATCH($E$33,FixedAssets[Asset ID])),IF(AND((_xlfn.XMATCH(AM$8,$AH$8:$CC$8))-_xlfn.XMATCH($C43,$C$35:$C$82)+1&lt;=_xlpm.DepreciationMonths,$C43&lt;=AM$8),$E43/_xlpm.DepreciationMonths,0))</f>
        <v>0</v>
      </c>
      <c r="AN43" s="507" cm="1">
        <f t="array" ref="AN43">_xlfn.LET(_xlpm.DepreciationMonths,INDEX(FixedAssets[Depreciation
/ Amortization Months],_xlfn.XMATCH($E$33,FixedAssets[Asset ID])),IF(AND((_xlfn.XMATCH(AN$8,$AH$8:$CC$8))-_xlfn.XMATCH($C43,$C$35:$C$82)+1&lt;=_xlpm.DepreciationMonths,$C43&lt;=AN$8),$E43/_xlpm.DepreciationMonths,0))</f>
        <v>0</v>
      </c>
      <c r="AO43" s="507" cm="1">
        <f t="array" ref="AO43">_xlfn.LET(_xlpm.DepreciationMonths,INDEX(FixedAssets[Depreciation
/ Amortization Months],_xlfn.XMATCH($E$33,FixedAssets[Asset ID])),IF(AND((_xlfn.XMATCH(AO$8,$AH$8:$CC$8))-_xlfn.XMATCH($C43,$C$35:$C$82)+1&lt;=_xlpm.DepreciationMonths,$C43&lt;=AO$8),$E43/_xlpm.DepreciationMonths,0))</f>
        <v>0</v>
      </c>
      <c r="AP43" s="507" cm="1">
        <f t="array" ref="AP43">_xlfn.LET(_xlpm.DepreciationMonths,INDEX(FixedAssets[Depreciation
/ Amortization Months],_xlfn.XMATCH($E$33,FixedAssets[Asset ID])),IF(AND((_xlfn.XMATCH(AP$8,$AH$8:$CC$8))-_xlfn.XMATCH($C43,$C$35:$C$82)+1&lt;=_xlpm.DepreciationMonths,$C43&lt;=AP$8),$E43/_xlpm.DepreciationMonths,0))</f>
        <v>0</v>
      </c>
      <c r="AQ43" s="507" cm="1">
        <f t="array" ref="AQ43">_xlfn.LET(_xlpm.DepreciationMonths,INDEX(FixedAssets[Depreciation
/ Amortization Months],_xlfn.XMATCH($E$33,FixedAssets[Asset ID])),IF(AND((_xlfn.XMATCH(AQ$8,$AH$8:$CC$8))-_xlfn.XMATCH($C43,$C$35:$C$82)+1&lt;=_xlpm.DepreciationMonths,$C43&lt;=AQ$8),$E43/_xlpm.DepreciationMonths,0))</f>
        <v>0</v>
      </c>
      <c r="AR43" s="507" cm="1">
        <f t="array" ref="AR43">_xlfn.LET(_xlpm.DepreciationMonths,INDEX(FixedAssets[Depreciation
/ Amortization Months],_xlfn.XMATCH($E$33,FixedAssets[Asset ID])),IF(AND((_xlfn.XMATCH(AR$8,$AH$8:$CC$8))-_xlfn.XMATCH($C43,$C$35:$C$82)+1&lt;=_xlpm.DepreciationMonths,$C43&lt;=AR$8),$E43/_xlpm.DepreciationMonths,0))</f>
        <v>0</v>
      </c>
      <c r="AS43" s="507" cm="1">
        <f t="array" ref="AS43">_xlfn.LET(_xlpm.DepreciationMonths,INDEX(FixedAssets[Depreciation
/ Amortization Months],_xlfn.XMATCH($E$33,FixedAssets[Asset ID])),IF(AND((_xlfn.XMATCH(AS$8,$AH$8:$CC$8))-_xlfn.XMATCH($C43,$C$35:$C$82)+1&lt;=_xlpm.DepreciationMonths,$C43&lt;=AS$8),$E43/_xlpm.DepreciationMonths,0))</f>
        <v>0</v>
      </c>
      <c r="AT43" s="507" cm="1">
        <f t="array" ref="AT43">_xlfn.LET(_xlpm.DepreciationMonths,INDEX(FixedAssets[Depreciation
/ Amortization Months],_xlfn.XMATCH($E$33,FixedAssets[Asset ID])),IF(AND((_xlfn.XMATCH(AT$8,$AH$8:$CC$8))-_xlfn.XMATCH($C43,$C$35:$C$82)+1&lt;=_xlpm.DepreciationMonths,$C43&lt;=AT$8),$E43/_xlpm.DepreciationMonths,0))</f>
        <v>0</v>
      </c>
      <c r="AU43" s="507" cm="1">
        <f t="array" ref="AU43">_xlfn.LET(_xlpm.DepreciationMonths,INDEX(FixedAssets[Depreciation
/ Amortization Months],_xlfn.XMATCH($E$33,FixedAssets[Asset ID])),IF(AND((_xlfn.XMATCH(AU$8,$AH$8:$CC$8))-_xlfn.XMATCH($C43,$C$35:$C$82)+1&lt;=_xlpm.DepreciationMonths,$C43&lt;=AU$8),$E43/_xlpm.DepreciationMonths,0))</f>
        <v>0</v>
      </c>
      <c r="AV43" s="507" cm="1">
        <f t="array" ref="AV43">_xlfn.LET(_xlpm.DepreciationMonths,INDEX(FixedAssets[Depreciation
/ Amortization Months],_xlfn.XMATCH($E$33,FixedAssets[Asset ID])),IF(AND((_xlfn.XMATCH(AV$8,$AH$8:$CC$8))-_xlfn.XMATCH($C43,$C$35:$C$82)+1&lt;=_xlpm.DepreciationMonths,$C43&lt;=AV$8),$E43/_xlpm.DepreciationMonths,0))</f>
        <v>0</v>
      </c>
      <c r="AW43" s="507" cm="1">
        <f t="array" ref="AW43">_xlfn.LET(_xlpm.DepreciationMonths,INDEX(FixedAssets[Depreciation
/ Amortization Months],_xlfn.XMATCH($E$33,FixedAssets[Asset ID])),IF(AND((_xlfn.XMATCH(AW$8,$AH$8:$CC$8))-_xlfn.XMATCH($C43,$C$35:$C$82)+1&lt;=_xlpm.DepreciationMonths,$C43&lt;=AW$8),$E43/_xlpm.DepreciationMonths,0))</f>
        <v>0</v>
      </c>
      <c r="AX43" s="507" cm="1">
        <f t="array" ref="AX43">_xlfn.LET(_xlpm.DepreciationMonths,INDEX(FixedAssets[Depreciation
/ Amortization Months],_xlfn.XMATCH($E$33,FixedAssets[Asset ID])),IF(AND((_xlfn.XMATCH(AX$8,$AH$8:$CC$8))-_xlfn.XMATCH($C43,$C$35:$C$82)+1&lt;=_xlpm.DepreciationMonths,$C43&lt;=AX$8),$E43/_xlpm.DepreciationMonths,0))</f>
        <v>0</v>
      </c>
      <c r="AY43" s="507" cm="1">
        <f t="array" ref="AY43">_xlfn.LET(_xlpm.DepreciationMonths,INDEX(FixedAssets[Depreciation
/ Amortization Months],_xlfn.XMATCH($E$33,FixedAssets[Asset ID])),IF(AND((_xlfn.XMATCH(AY$8,$AH$8:$CC$8))-_xlfn.XMATCH($C43,$C$35:$C$82)+1&lt;=_xlpm.DepreciationMonths,$C43&lt;=AY$8),$E43/_xlpm.DepreciationMonths,0))</f>
        <v>0</v>
      </c>
      <c r="AZ43" s="507" cm="1">
        <f t="array" ref="AZ43">_xlfn.LET(_xlpm.DepreciationMonths,INDEX(FixedAssets[Depreciation
/ Amortization Months],_xlfn.XMATCH($E$33,FixedAssets[Asset ID])),IF(AND((_xlfn.XMATCH(AZ$8,$AH$8:$CC$8))-_xlfn.XMATCH($C43,$C$35:$C$82)+1&lt;=_xlpm.DepreciationMonths,$C43&lt;=AZ$8),$E43/_xlpm.DepreciationMonths,0))</f>
        <v>0</v>
      </c>
      <c r="BA43" s="507" cm="1">
        <f t="array" ref="BA43">_xlfn.LET(_xlpm.DepreciationMonths,INDEX(FixedAssets[Depreciation
/ Amortization Months],_xlfn.XMATCH($E$33,FixedAssets[Asset ID])),IF(AND((_xlfn.XMATCH(BA$8,$AH$8:$CC$8))-_xlfn.XMATCH($C43,$C$35:$C$82)+1&lt;=_xlpm.DepreciationMonths,$C43&lt;=BA$8),$E43/_xlpm.DepreciationMonths,0))</f>
        <v>0</v>
      </c>
      <c r="BB43" s="507" cm="1">
        <f t="array" ref="BB43">_xlfn.LET(_xlpm.DepreciationMonths,INDEX(FixedAssets[Depreciation
/ Amortization Months],_xlfn.XMATCH($E$33,FixedAssets[Asset ID])),IF(AND((_xlfn.XMATCH(BB$8,$AH$8:$CC$8))-_xlfn.XMATCH($C43,$C$35:$C$82)+1&lt;=_xlpm.DepreciationMonths,$C43&lt;=BB$8),$E43/_xlpm.DepreciationMonths,0))</f>
        <v>0</v>
      </c>
      <c r="BC43" s="507" cm="1">
        <f t="array" ref="BC43">_xlfn.LET(_xlpm.DepreciationMonths,INDEX(FixedAssets[Depreciation
/ Amortization Months],_xlfn.XMATCH($E$33,FixedAssets[Asset ID])),IF(AND((_xlfn.XMATCH(BC$8,$AH$8:$CC$8))-_xlfn.XMATCH($C43,$C$35:$C$82)+1&lt;=_xlpm.DepreciationMonths,$C43&lt;=BC$8),$E43/_xlpm.DepreciationMonths,0))</f>
        <v>0</v>
      </c>
      <c r="BD43" s="507" cm="1">
        <f t="array" ref="BD43">_xlfn.LET(_xlpm.DepreciationMonths,INDEX(FixedAssets[Depreciation
/ Amortization Months],_xlfn.XMATCH($E$33,FixedAssets[Asset ID])),IF(AND((_xlfn.XMATCH(BD$8,$AH$8:$CC$8))-_xlfn.XMATCH($C43,$C$35:$C$82)+1&lt;=_xlpm.DepreciationMonths,$C43&lt;=BD$8),$E43/_xlpm.DepreciationMonths,0))</f>
        <v>0</v>
      </c>
      <c r="BE43" s="507" cm="1">
        <f t="array" ref="BE43">_xlfn.LET(_xlpm.DepreciationMonths,INDEX(FixedAssets[Depreciation
/ Amortization Months],_xlfn.XMATCH($E$33,FixedAssets[Asset ID])),IF(AND((_xlfn.XMATCH(BE$8,$AH$8:$CC$8))-_xlfn.XMATCH($C43,$C$35:$C$82)+1&lt;=_xlpm.DepreciationMonths,$C43&lt;=BE$8),$E43/_xlpm.DepreciationMonths,0))</f>
        <v>0</v>
      </c>
      <c r="BF43" s="507" cm="1">
        <f t="array" ref="BF43">_xlfn.LET(_xlpm.DepreciationMonths,INDEX(FixedAssets[Depreciation
/ Amortization Months],_xlfn.XMATCH($E$33,FixedAssets[Asset ID])),IF(AND((_xlfn.XMATCH(BF$8,$AH$8:$CC$8))-_xlfn.XMATCH($C43,$C$35:$C$82)+1&lt;=_xlpm.DepreciationMonths,$C43&lt;=BF$8),$E43/_xlpm.DepreciationMonths,0))</f>
        <v>0</v>
      </c>
      <c r="BG43" s="507" cm="1">
        <f t="array" ref="BG43">_xlfn.LET(_xlpm.DepreciationMonths,INDEX(FixedAssets[Depreciation
/ Amortization Months],_xlfn.XMATCH($E$33,FixedAssets[Asset ID])),IF(AND((_xlfn.XMATCH(BG$8,$AH$8:$CC$8))-_xlfn.XMATCH($C43,$C$35:$C$82)+1&lt;=_xlpm.DepreciationMonths,$C43&lt;=BG$8),$E43/_xlpm.DepreciationMonths,0))</f>
        <v>0</v>
      </c>
      <c r="BH43" s="507" cm="1">
        <f t="array" ref="BH43">_xlfn.LET(_xlpm.DepreciationMonths,INDEX(FixedAssets[Depreciation
/ Amortization Months],_xlfn.XMATCH($E$33,FixedAssets[Asset ID])),IF(AND((_xlfn.XMATCH(BH$8,$AH$8:$CC$8))-_xlfn.XMATCH($C43,$C$35:$C$82)+1&lt;=_xlpm.DepreciationMonths,$C43&lt;=BH$8),$E43/_xlpm.DepreciationMonths,0))</f>
        <v>0</v>
      </c>
      <c r="BI43" s="507" cm="1">
        <f t="array" ref="BI43">_xlfn.LET(_xlpm.DepreciationMonths,INDEX(FixedAssets[Depreciation
/ Amortization Months],_xlfn.XMATCH($E$33,FixedAssets[Asset ID])),IF(AND((_xlfn.XMATCH(BI$8,$AH$8:$CC$8))-_xlfn.XMATCH($C43,$C$35:$C$82)+1&lt;=_xlpm.DepreciationMonths,$C43&lt;=BI$8),$E43/_xlpm.DepreciationMonths,0))</f>
        <v>0</v>
      </c>
      <c r="BJ43" s="507" cm="1">
        <f t="array" ref="BJ43">_xlfn.LET(_xlpm.DepreciationMonths,INDEX(FixedAssets[Depreciation
/ Amortization Months],_xlfn.XMATCH($E$33,FixedAssets[Asset ID])),IF(AND((_xlfn.XMATCH(BJ$8,$AH$8:$CC$8))-_xlfn.XMATCH($C43,$C$35:$C$82)+1&lt;=_xlpm.DepreciationMonths,$C43&lt;=BJ$8),$E43/_xlpm.DepreciationMonths,0))</f>
        <v>0</v>
      </c>
      <c r="BK43" s="507" cm="1">
        <f t="array" ref="BK43">_xlfn.LET(_xlpm.DepreciationMonths,INDEX(FixedAssets[Depreciation
/ Amortization Months],_xlfn.XMATCH($E$33,FixedAssets[Asset ID])),IF(AND((_xlfn.XMATCH(BK$8,$AH$8:$CC$8))-_xlfn.XMATCH($C43,$C$35:$C$82)+1&lt;=_xlpm.DepreciationMonths,$C43&lt;=BK$8),$E43/_xlpm.DepreciationMonths,0))</f>
        <v>0</v>
      </c>
      <c r="BL43" s="507" cm="1">
        <f t="array" ref="BL43">_xlfn.LET(_xlpm.DepreciationMonths,INDEX(FixedAssets[Depreciation
/ Amortization Months],_xlfn.XMATCH($E$33,FixedAssets[Asset ID])),IF(AND((_xlfn.XMATCH(BL$8,$AH$8:$CC$8))-_xlfn.XMATCH($C43,$C$35:$C$82)+1&lt;=_xlpm.DepreciationMonths,$C43&lt;=BL$8),$E43/_xlpm.DepreciationMonths,0))</f>
        <v>0</v>
      </c>
      <c r="BM43" s="507" cm="1">
        <f t="array" ref="BM43">_xlfn.LET(_xlpm.DepreciationMonths,INDEX(FixedAssets[Depreciation
/ Amortization Months],_xlfn.XMATCH($E$33,FixedAssets[Asset ID])),IF(AND((_xlfn.XMATCH(BM$8,$AH$8:$CC$8))-_xlfn.XMATCH($C43,$C$35:$C$82)+1&lt;=_xlpm.DepreciationMonths,$C43&lt;=BM$8),$E43/_xlpm.DepreciationMonths,0))</f>
        <v>0</v>
      </c>
      <c r="BN43" s="507" cm="1">
        <f t="array" ref="BN43">_xlfn.LET(_xlpm.DepreciationMonths,INDEX(FixedAssets[Depreciation
/ Amortization Months],_xlfn.XMATCH($E$33,FixedAssets[Asset ID])),IF(AND((_xlfn.XMATCH(BN$8,$AH$8:$CC$8))-_xlfn.XMATCH($C43,$C$35:$C$82)+1&lt;=_xlpm.DepreciationMonths,$C43&lt;=BN$8),$E43/_xlpm.DepreciationMonths,0))</f>
        <v>0</v>
      </c>
      <c r="BO43" s="507" cm="1">
        <f t="array" ref="BO43">_xlfn.LET(_xlpm.DepreciationMonths,INDEX(FixedAssets[Depreciation
/ Amortization Months],_xlfn.XMATCH($E$33,FixedAssets[Asset ID])),IF(AND((_xlfn.XMATCH(BO$8,$AH$8:$CC$8))-_xlfn.XMATCH($C43,$C$35:$C$82)+1&lt;=_xlpm.DepreciationMonths,$C43&lt;=BO$8),$E43/_xlpm.DepreciationMonths,0))</f>
        <v>0</v>
      </c>
      <c r="BP43" s="507" cm="1">
        <f t="array" ref="BP43">_xlfn.LET(_xlpm.DepreciationMonths,INDEX(FixedAssets[Depreciation
/ Amortization Months],_xlfn.XMATCH($E$33,FixedAssets[Asset ID])),IF(AND((_xlfn.XMATCH(BP$8,$AH$8:$CC$8))-_xlfn.XMATCH($C43,$C$35:$C$82)+1&lt;=_xlpm.DepreciationMonths,$C43&lt;=BP$8),$E43/_xlpm.DepreciationMonths,0))</f>
        <v>0</v>
      </c>
      <c r="BQ43" s="507" cm="1">
        <f t="array" ref="BQ43">_xlfn.LET(_xlpm.DepreciationMonths,INDEX(FixedAssets[Depreciation
/ Amortization Months],_xlfn.XMATCH($E$33,FixedAssets[Asset ID])),IF(AND((_xlfn.XMATCH(BQ$8,$AH$8:$CC$8))-_xlfn.XMATCH($C43,$C$35:$C$82)+1&lt;=_xlpm.DepreciationMonths,$C43&lt;=BQ$8),$E43/_xlpm.DepreciationMonths,0))</f>
        <v>0</v>
      </c>
      <c r="BR43" s="507" cm="1">
        <f t="array" ref="BR43">_xlfn.LET(_xlpm.DepreciationMonths,INDEX(FixedAssets[Depreciation
/ Amortization Months],_xlfn.XMATCH($E$33,FixedAssets[Asset ID])),IF(AND((_xlfn.XMATCH(BR$8,$AH$8:$CC$8))-_xlfn.XMATCH($C43,$C$35:$C$82)+1&lt;=_xlpm.DepreciationMonths,$C43&lt;=BR$8),$E43/_xlpm.DepreciationMonths,0))</f>
        <v>0</v>
      </c>
      <c r="BS43" s="507" cm="1">
        <f t="array" ref="BS43">_xlfn.LET(_xlpm.DepreciationMonths,INDEX(FixedAssets[Depreciation
/ Amortization Months],_xlfn.XMATCH($E$33,FixedAssets[Asset ID])),IF(AND((_xlfn.XMATCH(BS$8,$AH$8:$CC$8))-_xlfn.XMATCH($C43,$C$35:$C$82)+1&lt;=_xlpm.DepreciationMonths,$C43&lt;=BS$8),$E43/_xlpm.DepreciationMonths,0))</f>
        <v>0</v>
      </c>
      <c r="BT43" s="507" cm="1">
        <f t="array" ref="BT43">_xlfn.LET(_xlpm.DepreciationMonths,INDEX(FixedAssets[Depreciation
/ Amortization Months],_xlfn.XMATCH($E$33,FixedAssets[Asset ID])),IF(AND((_xlfn.XMATCH(BT$8,$AH$8:$CC$8))-_xlfn.XMATCH($C43,$C$35:$C$82)+1&lt;=_xlpm.DepreciationMonths,$C43&lt;=BT$8),$E43/_xlpm.DepreciationMonths,0))</f>
        <v>0</v>
      </c>
      <c r="BU43" s="507" cm="1">
        <f t="array" ref="BU43">_xlfn.LET(_xlpm.DepreciationMonths,INDEX(FixedAssets[Depreciation
/ Amortization Months],_xlfn.XMATCH($E$33,FixedAssets[Asset ID])),IF(AND((_xlfn.XMATCH(BU$8,$AH$8:$CC$8))-_xlfn.XMATCH($C43,$C$35:$C$82)+1&lt;=_xlpm.DepreciationMonths,$C43&lt;=BU$8),$E43/_xlpm.DepreciationMonths,0))</f>
        <v>0</v>
      </c>
      <c r="BV43" s="507" cm="1">
        <f t="array" ref="BV43">_xlfn.LET(_xlpm.DepreciationMonths,INDEX(FixedAssets[Depreciation
/ Amortization Months],_xlfn.XMATCH($E$33,FixedAssets[Asset ID])),IF(AND((_xlfn.XMATCH(BV$8,$AH$8:$CC$8))-_xlfn.XMATCH($C43,$C$35:$C$82)+1&lt;=_xlpm.DepreciationMonths,$C43&lt;=BV$8),$E43/_xlpm.DepreciationMonths,0))</f>
        <v>0</v>
      </c>
      <c r="BW43" s="507" cm="1">
        <f t="array" ref="BW43">_xlfn.LET(_xlpm.DepreciationMonths,INDEX(FixedAssets[Depreciation
/ Amortization Months],_xlfn.XMATCH($E$33,FixedAssets[Asset ID])),IF(AND((_xlfn.XMATCH(BW$8,$AH$8:$CC$8))-_xlfn.XMATCH($C43,$C$35:$C$82)+1&lt;=_xlpm.DepreciationMonths,$C43&lt;=BW$8),$E43/_xlpm.DepreciationMonths,0))</f>
        <v>0</v>
      </c>
      <c r="BX43" s="507" cm="1">
        <f t="array" ref="BX43">_xlfn.LET(_xlpm.DepreciationMonths,INDEX(FixedAssets[Depreciation
/ Amortization Months],_xlfn.XMATCH($E$33,FixedAssets[Asset ID])),IF(AND((_xlfn.XMATCH(BX$8,$AH$8:$CC$8))-_xlfn.XMATCH($C43,$C$35:$C$82)+1&lt;=_xlpm.DepreciationMonths,$C43&lt;=BX$8),$E43/_xlpm.DepreciationMonths,0))</f>
        <v>0</v>
      </c>
      <c r="BY43" s="507" cm="1">
        <f t="array" ref="BY43">_xlfn.LET(_xlpm.DepreciationMonths,INDEX(FixedAssets[Depreciation
/ Amortization Months],_xlfn.XMATCH($E$33,FixedAssets[Asset ID])),IF(AND((_xlfn.XMATCH(BY$8,$AH$8:$CC$8))-_xlfn.XMATCH($C43,$C$35:$C$82)+1&lt;=_xlpm.DepreciationMonths,$C43&lt;=BY$8),$E43/_xlpm.DepreciationMonths,0))</f>
        <v>0</v>
      </c>
      <c r="BZ43" s="507" cm="1">
        <f t="array" ref="BZ43">_xlfn.LET(_xlpm.DepreciationMonths,INDEX(FixedAssets[Depreciation
/ Amortization Months],_xlfn.XMATCH($E$33,FixedAssets[Asset ID])),IF(AND((_xlfn.XMATCH(BZ$8,$AH$8:$CC$8))-_xlfn.XMATCH($C43,$C$35:$C$82)+1&lt;=_xlpm.DepreciationMonths,$C43&lt;=BZ$8),$E43/_xlpm.DepreciationMonths,0))</f>
        <v>0</v>
      </c>
      <c r="CA43" s="507" cm="1">
        <f t="array" ref="CA43">_xlfn.LET(_xlpm.DepreciationMonths,INDEX(FixedAssets[Depreciation
/ Amortization Months],_xlfn.XMATCH($E$33,FixedAssets[Asset ID])),IF(AND((_xlfn.XMATCH(CA$8,$AH$8:$CC$8))-_xlfn.XMATCH($C43,$C$35:$C$82)+1&lt;=_xlpm.DepreciationMonths,$C43&lt;=CA$8),$E43/_xlpm.DepreciationMonths,0))</f>
        <v>0</v>
      </c>
      <c r="CB43" s="507" cm="1">
        <f t="array" ref="CB43">_xlfn.LET(_xlpm.DepreciationMonths,INDEX(FixedAssets[Depreciation
/ Amortization Months],_xlfn.XMATCH($E$33,FixedAssets[Asset ID])),IF(AND((_xlfn.XMATCH(CB$8,$AH$8:$CC$8))-_xlfn.XMATCH($C43,$C$35:$C$82)+1&lt;=_xlpm.DepreciationMonths,$C43&lt;=CB$8),$E43/_xlpm.DepreciationMonths,0))</f>
        <v>0</v>
      </c>
      <c r="CC43" s="507" cm="1">
        <f t="array" ref="CC43">_xlfn.LET(_xlpm.DepreciationMonths,INDEX(FixedAssets[Depreciation
/ Amortization Months],_xlfn.XMATCH($E$33,FixedAssets[Asset ID])),IF(AND((_xlfn.XMATCH(CC$8,$AH$8:$CC$8))-_xlfn.XMATCH($C43,$C$35:$C$82)+1&lt;=_xlpm.DepreciationMonths,$C43&lt;=CC$8),$E43/_xlpm.DepreciationMonths,0))</f>
        <v>0</v>
      </c>
    </row>
    <row r="44" spans="3:81" hidden="1" outlineLevel="2">
      <c r="C44" s="664">
        <f t="shared" si="91"/>
        <v>45230</v>
      </c>
      <c r="D44" s="508"/>
      <c r="E44" s="508" cm="1">
        <f t="array" ref="E44">SUMPRODUCT(($AH$26:$CC$31)*($AH$5:$CC$5=$C44)*($E$26:$E$31=E$33))-SUMPRODUCT(($AH$26:$CC$31)*($AH$5:$CC$5=EOMONTH($C44,-1))*($E$26:$E$31=E$33))</f>
        <v>0</v>
      </c>
      <c r="F44" s="508"/>
      <c r="G44" s="508"/>
      <c r="H44" s="508"/>
      <c r="I44" s="508"/>
      <c r="J44" s="504">
        <f t="shared" si="88"/>
        <v>0</v>
      </c>
      <c r="K44" s="504">
        <f t="shared" si="89"/>
        <v>0</v>
      </c>
      <c r="L44" s="504">
        <f t="shared" si="89"/>
        <v>0</v>
      </c>
      <c r="M44" s="504">
        <f t="shared" si="89"/>
        <v>0</v>
      </c>
      <c r="N44" s="504"/>
      <c r="O44" s="504"/>
      <c r="P44" s="504">
        <f t="shared" si="90"/>
        <v>0</v>
      </c>
      <c r="Q44" s="504">
        <f t="shared" si="90"/>
        <v>0</v>
      </c>
      <c r="R44" s="504">
        <f t="shared" si="90"/>
        <v>0</v>
      </c>
      <c r="S44" s="504">
        <f t="shared" si="90"/>
        <v>0</v>
      </c>
      <c r="T44" s="504">
        <f t="shared" si="90"/>
        <v>0</v>
      </c>
      <c r="U44" s="504">
        <f t="shared" si="90"/>
        <v>0</v>
      </c>
      <c r="V44" s="504">
        <f t="shared" si="90"/>
        <v>0</v>
      </c>
      <c r="W44" s="504">
        <f t="shared" si="90"/>
        <v>0</v>
      </c>
      <c r="X44" s="504">
        <f t="shared" si="90"/>
        <v>0</v>
      </c>
      <c r="Y44" s="504">
        <f t="shared" si="90"/>
        <v>0</v>
      </c>
      <c r="Z44" s="504">
        <f t="shared" si="90"/>
        <v>0</v>
      </c>
      <c r="AA44" s="504">
        <f t="shared" si="90"/>
        <v>0</v>
      </c>
      <c r="AB44" s="504">
        <f t="shared" si="90"/>
        <v>0</v>
      </c>
      <c r="AC44" s="504">
        <f t="shared" si="90"/>
        <v>0</v>
      </c>
      <c r="AD44" s="504">
        <f t="shared" si="90"/>
        <v>0</v>
      </c>
      <c r="AE44" s="504">
        <f t="shared" si="90"/>
        <v>0</v>
      </c>
      <c r="AF44" s="508"/>
      <c r="AG44" s="508"/>
      <c r="AH44" s="507" cm="1">
        <f t="array" ref="AH44">_xlfn.LET(_xlpm.DepreciationMonths,INDEX(FixedAssets[Depreciation
/ Amortization Months],_xlfn.XMATCH($E$33,FixedAssets[Asset ID])),IF(AND((_xlfn.XMATCH(AH$8,$AH$8:$CC$8))-_xlfn.XMATCH($C44,$C$35:$C$82)+1&lt;=_xlpm.DepreciationMonths,$C44&lt;=AH$8),$E44/_xlpm.DepreciationMonths,0))</f>
        <v>0</v>
      </c>
      <c r="AI44" s="507" cm="1">
        <f t="array" ref="AI44">_xlfn.LET(_xlpm.DepreciationMonths,INDEX(FixedAssets[Depreciation
/ Amortization Months],_xlfn.XMATCH($E$33,FixedAssets[Asset ID])),IF(AND((_xlfn.XMATCH(AI$8,$AH$8:$CC$8))-_xlfn.XMATCH($C44,$C$35:$C$82)+1&lt;=_xlpm.DepreciationMonths,$C44&lt;=AI$8),$E44/_xlpm.DepreciationMonths,0))</f>
        <v>0</v>
      </c>
      <c r="AJ44" s="507" cm="1">
        <f t="array" ref="AJ44">_xlfn.LET(_xlpm.DepreciationMonths,INDEX(FixedAssets[Depreciation
/ Amortization Months],_xlfn.XMATCH($E$33,FixedAssets[Asset ID])),IF(AND((_xlfn.XMATCH(AJ$8,$AH$8:$CC$8))-_xlfn.XMATCH($C44,$C$35:$C$82)+1&lt;=_xlpm.DepreciationMonths,$C44&lt;=AJ$8),$E44/_xlpm.DepreciationMonths,0))</f>
        <v>0</v>
      </c>
      <c r="AK44" s="507" cm="1">
        <f t="array" ref="AK44">_xlfn.LET(_xlpm.DepreciationMonths,INDEX(FixedAssets[Depreciation
/ Amortization Months],_xlfn.XMATCH($E$33,FixedAssets[Asset ID])),IF(AND((_xlfn.XMATCH(AK$8,$AH$8:$CC$8))-_xlfn.XMATCH($C44,$C$35:$C$82)+1&lt;=_xlpm.DepreciationMonths,$C44&lt;=AK$8),$E44/_xlpm.DepreciationMonths,0))</f>
        <v>0</v>
      </c>
      <c r="AL44" s="507" cm="1">
        <f t="array" ref="AL44">_xlfn.LET(_xlpm.DepreciationMonths,INDEX(FixedAssets[Depreciation
/ Amortization Months],_xlfn.XMATCH($E$33,FixedAssets[Asset ID])),IF(AND((_xlfn.XMATCH(AL$8,$AH$8:$CC$8))-_xlfn.XMATCH($C44,$C$35:$C$82)+1&lt;=_xlpm.DepreciationMonths,$C44&lt;=AL$8),$E44/_xlpm.DepreciationMonths,0))</f>
        <v>0</v>
      </c>
      <c r="AM44" s="507" cm="1">
        <f t="array" ref="AM44">_xlfn.LET(_xlpm.DepreciationMonths,INDEX(FixedAssets[Depreciation
/ Amortization Months],_xlfn.XMATCH($E$33,FixedAssets[Asset ID])),IF(AND((_xlfn.XMATCH(AM$8,$AH$8:$CC$8))-_xlfn.XMATCH($C44,$C$35:$C$82)+1&lt;=_xlpm.DepreciationMonths,$C44&lt;=AM$8),$E44/_xlpm.DepreciationMonths,0))</f>
        <v>0</v>
      </c>
      <c r="AN44" s="507" cm="1">
        <f t="array" ref="AN44">_xlfn.LET(_xlpm.DepreciationMonths,INDEX(FixedAssets[Depreciation
/ Amortization Months],_xlfn.XMATCH($E$33,FixedAssets[Asset ID])),IF(AND((_xlfn.XMATCH(AN$8,$AH$8:$CC$8))-_xlfn.XMATCH($C44,$C$35:$C$82)+1&lt;=_xlpm.DepreciationMonths,$C44&lt;=AN$8),$E44/_xlpm.DepreciationMonths,0))</f>
        <v>0</v>
      </c>
      <c r="AO44" s="507" cm="1">
        <f t="array" ref="AO44">_xlfn.LET(_xlpm.DepreciationMonths,INDEX(FixedAssets[Depreciation
/ Amortization Months],_xlfn.XMATCH($E$33,FixedAssets[Asset ID])),IF(AND((_xlfn.XMATCH(AO$8,$AH$8:$CC$8))-_xlfn.XMATCH($C44,$C$35:$C$82)+1&lt;=_xlpm.DepreciationMonths,$C44&lt;=AO$8),$E44/_xlpm.DepreciationMonths,0))</f>
        <v>0</v>
      </c>
      <c r="AP44" s="507" cm="1">
        <f t="array" ref="AP44">_xlfn.LET(_xlpm.DepreciationMonths,INDEX(FixedAssets[Depreciation
/ Amortization Months],_xlfn.XMATCH($E$33,FixedAssets[Asset ID])),IF(AND((_xlfn.XMATCH(AP$8,$AH$8:$CC$8))-_xlfn.XMATCH($C44,$C$35:$C$82)+1&lt;=_xlpm.DepreciationMonths,$C44&lt;=AP$8),$E44/_xlpm.DepreciationMonths,0))</f>
        <v>0</v>
      </c>
      <c r="AQ44" s="507" cm="1">
        <f t="array" ref="AQ44">_xlfn.LET(_xlpm.DepreciationMonths,INDEX(FixedAssets[Depreciation
/ Amortization Months],_xlfn.XMATCH($E$33,FixedAssets[Asset ID])),IF(AND((_xlfn.XMATCH(AQ$8,$AH$8:$CC$8))-_xlfn.XMATCH($C44,$C$35:$C$82)+1&lt;=_xlpm.DepreciationMonths,$C44&lt;=AQ$8),$E44/_xlpm.DepreciationMonths,0))</f>
        <v>0</v>
      </c>
      <c r="AR44" s="507" cm="1">
        <f t="array" ref="AR44">_xlfn.LET(_xlpm.DepreciationMonths,INDEX(FixedAssets[Depreciation
/ Amortization Months],_xlfn.XMATCH($E$33,FixedAssets[Asset ID])),IF(AND((_xlfn.XMATCH(AR$8,$AH$8:$CC$8))-_xlfn.XMATCH($C44,$C$35:$C$82)+1&lt;=_xlpm.DepreciationMonths,$C44&lt;=AR$8),$E44/_xlpm.DepreciationMonths,0))</f>
        <v>0</v>
      </c>
      <c r="AS44" s="507" cm="1">
        <f t="array" ref="AS44">_xlfn.LET(_xlpm.DepreciationMonths,INDEX(FixedAssets[Depreciation
/ Amortization Months],_xlfn.XMATCH($E$33,FixedAssets[Asset ID])),IF(AND((_xlfn.XMATCH(AS$8,$AH$8:$CC$8))-_xlfn.XMATCH($C44,$C$35:$C$82)+1&lt;=_xlpm.DepreciationMonths,$C44&lt;=AS$8),$E44/_xlpm.DepreciationMonths,0))</f>
        <v>0</v>
      </c>
      <c r="AT44" s="507" cm="1">
        <f t="array" ref="AT44">_xlfn.LET(_xlpm.DepreciationMonths,INDEX(FixedAssets[Depreciation
/ Amortization Months],_xlfn.XMATCH($E$33,FixedAssets[Asset ID])),IF(AND((_xlfn.XMATCH(AT$8,$AH$8:$CC$8))-_xlfn.XMATCH($C44,$C$35:$C$82)+1&lt;=_xlpm.DepreciationMonths,$C44&lt;=AT$8),$E44/_xlpm.DepreciationMonths,0))</f>
        <v>0</v>
      </c>
      <c r="AU44" s="507" cm="1">
        <f t="array" ref="AU44">_xlfn.LET(_xlpm.DepreciationMonths,INDEX(FixedAssets[Depreciation
/ Amortization Months],_xlfn.XMATCH($E$33,FixedAssets[Asset ID])),IF(AND((_xlfn.XMATCH(AU$8,$AH$8:$CC$8))-_xlfn.XMATCH($C44,$C$35:$C$82)+1&lt;=_xlpm.DepreciationMonths,$C44&lt;=AU$8),$E44/_xlpm.DepreciationMonths,0))</f>
        <v>0</v>
      </c>
      <c r="AV44" s="507" cm="1">
        <f t="array" ref="AV44">_xlfn.LET(_xlpm.DepreciationMonths,INDEX(FixedAssets[Depreciation
/ Amortization Months],_xlfn.XMATCH($E$33,FixedAssets[Asset ID])),IF(AND((_xlfn.XMATCH(AV$8,$AH$8:$CC$8))-_xlfn.XMATCH($C44,$C$35:$C$82)+1&lt;=_xlpm.DepreciationMonths,$C44&lt;=AV$8),$E44/_xlpm.DepreciationMonths,0))</f>
        <v>0</v>
      </c>
      <c r="AW44" s="507" cm="1">
        <f t="array" ref="AW44">_xlfn.LET(_xlpm.DepreciationMonths,INDEX(FixedAssets[Depreciation
/ Amortization Months],_xlfn.XMATCH($E$33,FixedAssets[Asset ID])),IF(AND((_xlfn.XMATCH(AW$8,$AH$8:$CC$8))-_xlfn.XMATCH($C44,$C$35:$C$82)+1&lt;=_xlpm.DepreciationMonths,$C44&lt;=AW$8),$E44/_xlpm.DepreciationMonths,0))</f>
        <v>0</v>
      </c>
      <c r="AX44" s="507" cm="1">
        <f t="array" ref="AX44">_xlfn.LET(_xlpm.DepreciationMonths,INDEX(FixedAssets[Depreciation
/ Amortization Months],_xlfn.XMATCH($E$33,FixedAssets[Asset ID])),IF(AND((_xlfn.XMATCH(AX$8,$AH$8:$CC$8))-_xlfn.XMATCH($C44,$C$35:$C$82)+1&lt;=_xlpm.DepreciationMonths,$C44&lt;=AX$8),$E44/_xlpm.DepreciationMonths,0))</f>
        <v>0</v>
      </c>
      <c r="AY44" s="507" cm="1">
        <f t="array" ref="AY44">_xlfn.LET(_xlpm.DepreciationMonths,INDEX(FixedAssets[Depreciation
/ Amortization Months],_xlfn.XMATCH($E$33,FixedAssets[Asset ID])),IF(AND((_xlfn.XMATCH(AY$8,$AH$8:$CC$8))-_xlfn.XMATCH($C44,$C$35:$C$82)+1&lt;=_xlpm.DepreciationMonths,$C44&lt;=AY$8),$E44/_xlpm.DepreciationMonths,0))</f>
        <v>0</v>
      </c>
      <c r="AZ44" s="507" cm="1">
        <f t="array" ref="AZ44">_xlfn.LET(_xlpm.DepreciationMonths,INDEX(FixedAssets[Depreciation
/ Amortization Months],_xlfn.XMATCH($E$33,FixedAssets[Asset ID])),IF(AND((_xlfn.XMATCH(AZ$8,$AH$8:$CC$8))-_xlfn.XMATCH($C44,$C$35:$C$82)+1&lt;=_xlpm.DepreciationMonths,$C44&lt;=AZ$8),$E44/_xlpm.DepreciationMonths,0))</f>
        <v>0</v>
      </c>
      <c r="BA44" s="507" cm="1">
        <f t="array" ref="BA44">_xlfn.LET(_xlpm.DepreciationMonths,INDEX(FixedAssets[Depreciation
/ Amortization Months],_xlfn.XMATCH($E$33,FixedAssets[Asset ID])),IF(AND((_xlfn.XMATCH(BA$8,$AH$8:$CC$8))-_xlfn.XMATCH($C44,$C$35:$C$82)+1&lt;=_xlpm.DepreciationMonths,$C44&lt;=BA$8),$E44/_xlpm.DepreciationMonths,0))</f>
        <v>0</v>
      </c>
      <c r="BB44" s="507" cm="1">
        <f t="array" ref="BB44">_xlfn.LET(_xlpm.DepreciationMonths,INDEX(FixedAssets[Depreciation
/ Amortization Months],_xlfn.XMATCH($E$33,FixedAssets[Asset ID])),IF(AND((_xlfn.XMATCH(BB$8,$AH$8:$CC$8))-_xlfn.XMATCH($C44,$C$35:$C$82)+1&lt;=_xlpm.DepreciationMonths,$C44&lt;=BB$8),$E44/_xlpm.DepreciationMonths,0))</f>
        <v>0</v>
      </c>
      <c r="BC44" s="507" cm="1">
        <f t="array" ref="BC44">_xlfn.LET(_xlpm.DepreciationMonths,INDEX(FixedAssets[Depreciation
/ Amortization Months],_xlfn.XMATCH($E$33,FixedAssets[Asset ID])),IF(AND((_xlfn.XMATCH(BC$8,$AH$8:$CC$8))-_xlfn.XMATCH($C44,$C$35:$C$82)+1&lt;=_xlpm.DepreciationMonths,$C44&lt;=BC$8),$E44/_xlpm.DepreciationMonths,0))</f>
        <v>0</v>
      </c>
      <c r="BD44" s="507" cm="1">
        <f t="array" ref="BD44">_xlfn.LET(_xlpm.DepreciationMonths,INDEX(FixedAssets[Depreciation
/ Amortization Months],_xlfn.XMATCH($E$33,FixedAssets[Asset ID])),IF(AND((_xlfn.XMATCH(BD$8,$AH$8:$CC$8))-_xlfn.XMATCH($C44,$C$35:$C$82)+1&lt;=_xlpm.DepreciationMonths,$C44&lt;=BD$8),$E44/_xlpm.DepreciationMonths,0))</f>
        <v>0</v>
      </c>
      <c r="BE44" s="507" cm="1">
        <f t="array" ref="BE44">_xlfn.LET(_xlpm.DepreciationMonths,INDEX(FixedAssets[Depreciation
/ Amortization Months],_xlfn.XMATCH($E$33,FixedAssets[Asset ID])),IF(AND((_xlfn.XMATCH(BE$8,$AH$8:$CC$8))-_xlfn.XMATCH($C44,$C$35:$C$82)+1&lt;=_xlpm.DepreciationMonths,$C44&lt;=BE$8),$E44/_xlpm.DepreciationMonths,0))</f>
        <v>0</v>
      </c>
      <c r="BF44" s="507" cm="1">
        <f t="array" ref="BF44">_xlfn.LET(_xlpm.DepreciationMonths,INDEX(FixedAssets[Depreciation
/ Amortization Months],_xlfn.XMATCH($E$33,FixedAssets[Asset ID])),IF(AND((_xlfn.XMATCH(BF$8,$AH$8:$CC$8))-_xlfn.XMATCH($C44,$C$35:$C$82)+1&lt;=_xlpm.DepreciationMonths,$C44&lt;=BF$8),$E44/_xlpm.DepreciationMonths,0))</f>
        <v>0</v>
      </c>
      <c r="BG44" s="507" cm="1">
        <f t="array" ref="BG44">_xlfn.LET(_xlpm.DepreciationMonths,INDEX(FixedAssets[Depreciation
/ Amortization Months],_xlfn.XMATCH($E$33,FixedAssets[Asset ID])),IF(AND((_xlfn.XMATCH(BG$8,$AH$8:$CC$8))-_xlfn.XMATCH($C44,$C$35:$C$82)+1&lt;=_xlpm.DepreciationMonths,$C44&lt;=BG$8),$E44/_xlpm.DepreciationMonths,0))</f>
        <v>0</v>
      </c>
      <c r="BH44" s="507" cm="1">
        <f t="array" ref="BH44">_xlfn.LET(_xlpm.DepreciationMonths,INDEX(FixedAssets[Depreciation
/ Amortization Months],_xlfn.XMATCH($E$33,FixedAssets[Asset ID])),IF(AND((_xlfn.XMATCH(BH$8,$AH$8:$CC$8))-_xlfn.XMATCH($C44,$C$35:$C$82)+1&lt;=_xlpm.DepreciationMonths,$C44&lt;=BH$8),$E44/_xlpm.DepreciationMonths,0))</f>
        <v>0</v>
      </c>
      <c r="BI44" s="507" cm="1">
        <f t="array" ref="BI44">_xlfn.LET(_xlpm.DepreciationMonths,INDEX(FixedAssets[Depreciation
/ Amortization Months],_xlfn.XMATCH($E$33,FixedAssets[Asset ID])),IF(AND((_xlfn.XMATCH(BI$8,$AH$8:$CC$8))-_xlfn.XMATCH($C44,$C$35:$C$82)+1&lt;=_xlpm.DepreciationMonths,$C44&lt;=BI$8),$E44/_xlpm.DepreciationMonths,0))</f>
        <v>0</v>
      </c>
      <c r="BJ44" s="507" cm="1">
        <f t="array" ref="BJ44">_xlfn.LET(_xlpm.DepreciationMonths,INDEX(FixedAssets[Depreciation
/ Amortization Months],_xlfn.XMATCH($E$33,FixedAssets[Asset ID])),IF(AND((_xlfn.XMATCH(BJ$8,$AH$8:$CC$8))-_xlfn.XMATCH($C44,$C$35:$C$82)+1&lt;=_xlpm.DepreciationMonths,$C44&lt;=BJ$8),$E44/_xlpm.DepreciationMonths,0))</f>
        <v>0</v>
      </c>
      <c r="BK44" s="507" cm="1">
        <f t="array" ref="BK44">_xlfn.LET(_xlpm.DepreciationMonths,INDEX(FixedAssets[Depreciation
/ Amortization Months],_xlfn.XMATCH($E$33,FixedAssets[Asset ID])),IF(AND((_xlfn.XMATCH(BK$8,$AH$8:$CC$8))-_xlfn.XMATCH($C44,$C$35:$C$82)+1&lt;=_xlpm.DepreciationMonths,$C44&lt;=BK$8),$E44/_xlpm.DepreciationMonths,0))</f>
        <v>0</v>
      </c>
      <c r="BL44" s="507" cm="1">
        <f t="array" ref="BL44">_xlfn.LET(_xlpm.DepreciationMonths,INDEX(FixedAssets[Depreciation
/ Amortization Months],_xlfn.XMATCH($E$33,FixedAssets[Asset ID])),IF(AND((_xlfn.XMATCH(BL$8,$AH$8:$CC$8))-_xlfn.XMATCH($C44,$C$35:$C$82)+1&lt;=_xlpm.DepreciationMonths,$C44&lt;=BL$8),$E44/_xlpm.DepreciationMonths,0))</f>
        <v>0</v>
      </c>
      <c r="BM44" s="507" cm="1">
        <f t="array" ref="BM44">_xlfn.LET(_xlpm.DepreciationMonths,INDEX(FixedAssets[Depreciation
/ Amortization Months],_xlfn.XMATCH($E$33,FixedAssets[Asset ID])),IF(AND((_xlfn.XMATCH(BM$8,$AH$8:$CC$8))-_xlfn.XMATCH($C44,$C$35:$C$82)+1&lt;=_xlpm.DepreciationMonths,$C44&lt;=BM$8),$E44/_xlpm.DepreciationMonths,0))</f>
        <v>0</v>
      </c>
      <c r="BN44" s="507" cm="1">
        <f t="array" ref="BN44">_xlfn.LET(_xlpm.DepreciationMonths,INDEX(FixedAssets[Depreciation
/ Amortization Months],_xlfn.XMATCH($E$33,FixedAssets[Asset ID])),IF(AND((_xlfn.XMATCH(BN$8,$AH$8:$CC$8))-_xlfn.XMATCH($C44,$C$35:$C$82)+1&lt;=_xlpm.DepreciationMonths,$C44&lt;=BN$8),$E44/_xlpm.DepreciationMonths,0))</f>
        <v>0</v>
      </c>
      <c r="BO44" s="507" cm="1">
        <f t="array" ref="BO44">_xlfn.LET(_xlpm.DepreciationMonths,INDEX(FixedAssets[Depreciation
/ Amortization Months],_xlfn.XMATCH($E$33,FixedAssets[Asset ID])),IF(AND((_xlfn.XMATCH(BO$8,$AH$8:$CC$8))-_xlfn.XMATCH($C44,$C$35:$C$82)+1&lt;=_xlpm.DepreciationMonths,$C44&lt;=BO$8),$E44/_xlpm.DepreciationMonths,0))</f>
        <v>0</v>
      </c>
      <c r="BP44" s="507" cm="1">
        <f t="array" ref="BP44">_xlfn.LET(_xlpm.DepreciationMonths,INDEX(FixedAssets[Depreciation
/ Amortization Months],_xlfn.XMATCH($E$33,FixedAssets[Asset ID])),IF(AND((_xlfn.XMATCH(BP$8,$AH$8:$CC$8))-_xlfn.XMATCH($C44,$C$35:$C$82)+1&lt;=_xlpm.DepreciationMonths,$C44&lt;=BP$8),$E44/_xlpm.DepreciationMonths,0))</f>
        <v>0</v>
      </c>
      <c r="BQ44" s="507" cm="1">
        <f t="array" ref="BQ44">_xlfn.LET(_xlpm.DepreciationMonths,INDEX(FixedAssets[Depreciation
/ Amortization Months],_xlfn.XMATCH($E$33,FixedAssets[Asset ID])),IF(AND((_xlfn.XMATCH(BQ$8,$AH$8:$CC$8))-_xlfn.XMATCH($C44,$C$35:$C$82)+1&lt;=_xlpm.DepreciationMonths,$C44&lt;=BQ$8),$E44/_xlpm.DepreciationMonths,0))</f>
        <v>0</v>
      </c>
      <c r="BR44" s="507" cm="1">
        <f t="array" ref="BR44">_xlfn.LET(_xlpm.DepreciationMonths,INDEX(FixedAssets[Depreciation
/ Amortization Months],_xlfn.XMATCH($E$33,FixedAssets[Asset ID])),IF(AND((_xlfn.XMATCH(BR$8,$AH$8:$CC$8))-_xlfn.XMATCH($C44,$C$35:$C$82)+1&lt;=_xlpm.DepreciationMonths,$C44&lt;=BR$8),$E44/_xlpm.DepreciationMonths,0))</f>
        <v>0</v>
      </c>
      <c r="BS44" s="507" cm="1">
        <f t="array" ref="BS44">_xlfn.LET(_xlpm.DepreciationMonths,INDEX(FixedAssets[Depreciation
/ Amortization Months],_xlfn.XMATCH($E$33,FixedAssets[Asset ID])),IF(AND((_xlfn.XMATCH(BS$8,$AH$8:$CC$8))-_xlfn.XMATCH($C44,$C$35:$C$82)+1&lt;=_xlpm.DepreciationMonths,$C44&lt;=BS$8),$E44/_xlpm.DepreciationMonths,0))</f>
        <v>0</v>
      </c>
      <c r="BT44" s="507" cm="1">
        <f t="array" ref="BT44">_xlfn.LET(_xlpm.DepreciationMonths,INDEX(FixedAssets[Depreciation
/ Amortization Months],_xlfn.XMATCH($E$33,FixedAssets[Asset ID])),IF(AND((_xlfn.XMATCH(BT$8,$AH$8:$CC$8))-_xlfn.XMATCH($C44,$C$35:$C$82)+1&lt;=_xlpm.DepreciationMonths,$C44&lt;=BT$8),$E44/_xlpm.DepreciationMonths,0))</f>
        <v>0</v>
      </c>
      <c r="BU44" s="507" cm="1">
        <f t="array" ref="BU44">_xlfn.LET(_xlpm.DepreciationMonths,INDEX(FixedAssets[Depreciation
/ Amortization Months],_xlfn.XMATCH($E$33,FixedAssets[Asset ID])),IF(AND((_xlfn.XMATCH(BU$8,$AH$8:$CC$8))-_xlfn.XMATCH($C44,$C$35:$C$82)+1&lt;=_xlpm.DepreciationMonths,$C44&lt;=BU$8),$E44/_xlpm.DepreciationMonths,0))</f>
        <v>0</v>
      </c>
      <c r="BV44" s="507" cm="1">
        <f t="array" ref="BV44">_xlfn.LET(_xlpm.DepreciationMonths,INDEX(FixedAssets[Depreciation
/ Amortization Months],_xlfn.XMATCH($E$33,FixedAssets[Asset ID])),IF(AND((_xlfn.XMATCH(BV$8,$AH$8:$CC$8))-_xlfn.XMATCH($C44,$C$35:$C$82)+1&lt;=_xlpm.DepreciationMonths,$C44&lt;=BV$8),$E44/_xlpm.DepreciationMonths,0))</f>
        <v>0</v>
      </c>
      <c r="BW44" s="507" cm="1">
        <f t="array" ref="BW44">_xlfn.LET(_xlpm.DepreciationMonths,INDEX(FixedAssets[Depreciation
/ Amortization Months],_xlfn.XMATCH($E$33,FixedAssets[Asset ID])),IF(AND((_xlfn.XMATCH(BW$8,$AH$8:$CC$8))-_xlfn.XMATCH($C44,$C$35:$C$82)+1&lt;=_xlpm.DepreciationMonths,$C44&lt;=BW$8),$E44/_xlpm.DepreciationMonths,0))</f>
        <v>0</v>
      </c>
      <c r="BX44" s="507" cm="1">
        <f t="array" ref="BX44">_xlfn.LET(_xlpm.DepreciationMonths,INDEX(FixedAssets[Depreciation
/ Amortization Months],_xlfn.XMATCH($E$33,FixedAssets[Asset ID])),IF(AND((_xlfn.XMATCH(BX$8,$AH$8:$CC$8))-_xlfn.XMATCH($C44,$C$35:$C$82)+1&lt;=_xlpm.DepreciationMonths,$C44&lt;=BX$8),$E44/_xlpm.DepreciationMonths,0))</f>
        <v>0</v>
      </c>
      <c r="BY44" s="507" cm="1">
        <f t="array" ref="BY44">_xlfn.LET(_xlpm.DepreciationMonths,INDEX(FixedAssets[Depreciation
/ Amortization Months],_xlfn.XMATCH($E$33,FixedAssets[Asset ID])),IF(AND((_xlfn.XMATCH(BY$8,$AH$8:$CC$8))-_xlfn.XMATCH($C44,$C$35:$C$82)+1&lt;=_xlpm.DepreciationMonths,$C44&lt;=BY$8),$E44/_xlpm.DepreciationMonths,0))</f>
        <v>0</v>
      </c>
      <c r="BZ44" s="507" cm="1">
        <f t="array" ref="BZ44">_xlfn.LET(_xlpm.DepreciationMonths,INDEX(FixedAssets[Depreciation
/ Amortization Months],_xlfn.XMATCH($E$33,FixedAssets[Asset ID])),IF(AND((_xlfn.XMATCH(BZ$8,$AH$8:$CC$8))-_xlfn.XMATCH($C44,$C$35:$C$82)+1&lt;=_xlpm.DepreciationMonths,$C44&lt;=BZ$8),$E44/_xlpm.DepreciationMonths,0))</f>
        <v>0</v>
      </c>
      <c r="CA44" s="507" cm="1">
        <f t="array" ref="CA44">_xlfn.LET(_xlpm.DepreciationMonths,INDEX(FixedAssets[Depreciation
/ Amortization Months],_xlfn.XMATCH($E$33,FixedAssets[Asset ID])),IF(AND((_xlfn.XMATCH(CA$8,$AH$8:$CC$8))-_xlfn.XMATCH($C44,$C$35:$C$82)+1&lt;=_xlpm.DepreciationMonths,$C44&lt;=CA$8),$E44/_xlpm.DepreciationMonths,0))</f>
        <v>0</v>
      </c>
      <c r="CB44" s="507" cm="1">
        <f t="array" ref="CB44">_xlfn.LET(_xlpm.DepreciationMonths,INDEX(FixedAssets[Depreciation
/ Amortization Months],_xlfn.XMATCH($E$33,FixedAssets[Asset ID])),IF(AND((_xlfn.XMATCH(CB$8,$AH$8:$CC$8))-_xlfn.XMATCH($C44,$C$35:$C$82)+1&lt;=_xlpm.DepreciationMonths,$C44&lt;=CB$8),$E44/_xlpm.DepreciationMonths,0))</f>
        <v>0</v>
      </c>
      <c r="CC44" s="507" cm="1">
        <f t="array" ref="CC44">_xlfn.LET(_xlpm.DepreciationMonths,INDEX(FixedAssets[Depreciation
/ Amortization Months],_xlfn.XMATCH($E$33,FixedAssets[Asset ID])),IF(AND((_xlfn.XMATCH(CC$8,$AH$8:$CC$8))-_xlfn.XMATCH($C44,$C$35:$C$82)+1&lt;=_xlpm.DepreciationMonths,$C44&lt;=CC$8),$E44/_xlpm.DepreciationMonths,0))</f>
        <v>0</v>
      </c>
    </row>
    <row r="45" spans="3:81" hidden="1" outlineLevel="2">
      <c r="C45" s="664">
        <f t="shared" si="91"/>
        <v>45260</v>
      </c>
      <c r="D45" s="508"/>
      <c r="E45" s="508" cm="1">
        <f t="array" ref="E45">SUMPRODUCT(($AH$26:$CC$31)*($AH$5:$CC$5=$C45)*($E$26:$E$31=E$33))-SUMPRODUCT(($AH$26:$CC$31)*($AH$5:$CC$5=EOMONTH($C45,-1))*($E$26:$E$31=E$33))</f>
        <v>0</v>
      </c>
      <c r="F45" s="508"/>
      <c r="G45" s="508"/>
      <c r="H45" s="508"/>
      <c r="I45" s="508"/>
      <c r="J45" s="504">
        <f t="shared" si="88"/>
        <v>0</v>
      </c>
      <c r="K45" s="504">
        <f t="shared" si="89"/>
        <v>0</v>
      </c>
      <c r="L45" s="504">
        <f t="shared" si="89"/>
        <v>0</v>
      </c>
      <c r="M45" s="504">
        <f t="shared" si="89"/>
        <v>0</v>
      </c>
      <c r="N45" s="504"/>
      <c r="O45" s="504"/>
      <c r="P45" s="504">
        <f t="shared" si="90"/>
        <v>0</v>
      </c>
      <c r="Q45" s="504">
        <f t="shared" si="90"/>
        <v>0</v>
      </c>
      <c r="R45" s="504">
        <f t="shared" si="90"/>
        <v>0</v>
      </c>
      <c r="S45" s="504">
        <f t="shared" si="90"/>
        <v>0</v>
      </c>
      <c r="T45" s="504">
        <f t="shared" si="90"/>
        <v>0</v>
      </c>
      <c r="U45" s="504">
        <f t="shared" si="90"/>
        <v>0</v>
      </c>
      <c r="V45" s="504">
        <f t="shared" si="90"/>
        <v>0</v>
      </c>
      <c r="W45" s="504">
        <f t="shared" si="90"/>
        <v>0</v>
      </c>
      <c r="X45" s="504">
        <f t="shared" si="90"/>
        <v>0</v>
      </c>
      <c r="Y45" s="504">
        <f t="shared" si="90"/>
        <v>0</v>
      </c>
      <c r="Z45" s="504">
        <f t="shared" si="90"/>
        <v>0</v>
      </c>
      <c r="AA45" s="504">
        <f t="shared" si="90"/>
        <v>0</v>
      </c>
      <c r="AB45" s="504">
        <f t="shared" si="90"/>
        <v>0</v>
      </c>
      <c r="AC45" s="504">
        <f t="shared" si="90"/>
        <v>0</v>
      </c>
      <c r="AD45" s="504">
        <f t="shared" si="90"/>
        <v>0</v>
      </c>
      <c r="AE45" s="504">
        <f t="shared" si="90"/>
        <v>0</v>
      </c>
      <c r="AF45" s="508"/>
      <c r="AG45" s="508"/>
      <c r="AH45" s="507" cm="1">
        <f t="array" ref="AH45">_xlfn.LET(_xlpm.DepreciationMonths,INDEX(FixedAssets[Depreciation
/ Amortization Months],_xlfn.XMATCH($E$33,FixedAssets[Asset ID])),IF(AND((_xlfn.XMATCH(AH$8,$AH$8:$CC$8))-_xlfn.XMATCH($C45,$C$35:$C$82)+1&lt;=_xlpm.DepreciationMonths,$C45&lt;=AH$8),$E45/_xlpm.DepreciationMonths,0))</f>
        <v>0</v>
      </c>
      <c r="AI45" s="507" cm="1">
        <f t="array" ref="AI45">_xlfn.LET(_xlpm.DepreciationMonths,INDEX(FixedAssets[Depreciation
/ Amortization Months],_xlfn.XMATCH($E$33,FixedAssets[Asset ID])),IF(AND((_xlfn.XMATCH(AI$8,$AH$8:$CC$8))-_xlfn.XMATCH($C45,$C$35:$C$82)+1&lt;=_xlpm.DepreciationMonths,$C45&lt;=AI$8),$E45/_xlpm.DepreciationMonths,0))</f>
        <v>0</v>
      </c>
      <c r="AJ45" s="507" cm="1">
        <f t="array" ref="AJ45">_xlfn.LET(_xlpm.DepreciationMonths,INDEX(FixedAssets[Depreciation
/ Amortization Months],_xlfn.XMATCH($E$33,FixedAssets[Asset ID])),IF(AND((_xlfn.XMATCH(AJ$8,$AH$8:$CC$8))-_xlfn.XMATCH($C45,$C$35:$C$82)+1&lt;=_xlpm.DepreciationMonths,$C45&lt;=AJ$8),$E45/_xlpm.DepreciationMonths,0))</f>
        <v>0</v>
      </c>
      <c r="AK45" s="507" cm="1">
        <f t="array" ref="AK45">_xlfn.LET(_xlpm.DepreciationMonths,INDEX(FixedAssets[Depreciation
/ Amortization Months],_xlfn.XMATCH($E$33,FixedAssets[Asset ID])),IF(AND((_xlfn.XMATCH(AK$8,$AH$8:$CC$8))-_xlfn.XMATCH($C45,$C$35:$C$82)+1&lt;=_xlpm.DepreciationMonths,$C45&lt;=AK$8),$E45/_xlpm.DepreciationMonths,0))</f>
        <v>0</v>
      </c>
      <c r="AL45" s="507" cm="1">
        <f t="array" ref="AL45">_xlfn.LET(_xlpm.DepreciationMonths,INDEX(FixedAssets[Depreciation
/ Amortization Months],_xlfn.XMATCH($E$33,FixedAssets[Asset ID])),IF(AND((_xlfn.XMATCH(AL$8,$AH$8:$CC$8))-_xlfn.XMATCH($C45,$C$35:$C$82)+1&lt;=_xlpm.DepreciationMonths,$C45&lt;=AL$8),$E45/_xlpm.DepreciationMonths,0))</f>
        <v>0</v>
      </c>
      <c r="AM45" s="507" cm="1">
        <f t="array" ref="AM45">_xlfn.LET(_xlpm.DepreciationMonths,INDEX(FixedAssets[Depreciation
/ Amortization Months],_xlfn.XMATCH($E$33,FixedAssets[Asset ID])),IF(AND((_xlfn.XMATCH(AM$8,$AH$8:$CC$8))-_xlfn.XMATCH($C45,$C$35:$C$82)+1&lt;=_xlpm.DepreciationMonths,$C45&lt;=AM$8),$E45/_xlpm.DepreciationMonths,0))</f>
        <v>0</v>
      </c>
      <c r="AN45" s="507" cm="1">
        <f t="array" ref="AN45">_xlfn.LET(_xlpm.DepreciationMonths,INDEX(FixedAssets[Depreciation
/ Amortization Months],_xlfn.XMATCH($E$33,FixedAssets[Asset ID])),IF(AND((_xlfn.XMATCH(AN$8,$AH$8:$CC$8))-_xlfn.XMATCH($C45,$C$35:$C$82)+1&lt;=_xlpm.DepreciationMonths,$C45&lt;=AN$8),$E45/_xlpm.DepreciationMonths,0))</f>
        <v>0</v>
      </c>
      <c r="AO45" s="507" cm="1">
        <f t="array" ref="AO45">_xlfn.LET(_xlpm.DepreciationMonths,INDEX(FixedAssets[Depreciation
/ Amortization Months],_xlfn.XMATCH($E$33,FixedAssets[Asset ID])),IF(AND((_xlfn.XMATCH(AO$8,$AH$8:$CC$8))-_xlfn.XMATCH($C45,$C$35:$C$82)+1&lt;=_xlpm.DepreciationMonths,$C45&lt;=AO$8),$E45/_xlpm.DepreciationMonths,0))</f>
        <v>0</v>
      </c>
      <c r="AP45" s="507" cm="1">
        <f t="array" ref="AP45">_xlfn.LET(_xlpm.DepreciationMonths,INDEX(FixedAssets[Depreciation
/ Amortization Months],_xlfn.XMATCH($E$33,FixedAssets[Asset ID])),IF(AND((_xlfn.XMATCH(AP$8,$AH$8:$CC$8))-_xlfn.XMATCH($C45,$C$35:$C$82)+1&lt;=_xlpm.DepreciationMonths,$C45&lt;=AP$8),$E45/_xlpm.DepreciationMonths,0))</f>
        <v>0</v>
      </c>
      <c r="AQ45" s="507" cm="1">
        <f t="array" ref="AQ45">_xlfn.LET(_xlpm.DepreciationMonths,INDEX(FixedAssets[Depreciation
/ Amortization Months],_xlfn.XMATCH($E$33,FixedAssets[Asset ID])),IF(AND((_xlfn.XMATCH(AQ$8,$AH$8:$CC$8))-_xlfn.XMATCH($C45,$C$35:$C$82)+1&lt;=_xlpm.DepreciationMonths,$C45&lt;=AQ$8),$E45/_xlpm.DepreciationMonths,0))</f>
        <v>0</v>
      </c>
      <c r="AR45" s="507" cm="1">
        <f t="array" ref="AR45">_xlfn.LET(_xlpm.DepreciationMonths,INDEX(FixedAssets[Depreciation
/ Amortization Months],_xlfn.XMATCH($E$33,FixedAssets[Asset ID])),IF(AND((_xlfn.XMATCH(AR$8,$AH$8:$CC$8))-_xlfn.XMATCH($C45,$C$35:$C$82)+1&lt;=_xlpm.DepreciationMonths,$C45&lt;=AR$8),$E45/_xlpm.DepreciationMonths,0))</f>
        <v>0</v>
      </c>
      <c r="AS45" s="507" cm="1">
        <f t="array" ref="AS45">_xlfn.LET(_xlpm.DepreciationMonths,INDEX(FixedAssets[Depreciation
/ Amortization Months],_xlfn.XMATCH($E$33,FixedAssets[Asset ID])),IF(AND((_xlfn.XMATCH(AS$8,$AH$8:$CC$8))-_xlfn.XMATCH($C45,$C$35:$C$82)+1&lt;=_xlpm.DepreciationMonths,$C45&lt;=AS$8),$E45/_xlpm.DepreciationMonths,0))</f>
        <v>0</v>
      </c>
      <c r="AT45" s="507" cm="1">
        <f t="array" ref="AT45">_xlfn.LET(_xlpm.DepreciationMonths,INDEX(FixedAssets[Depreciation
/ Amortization Months],_xlfn.XMATCH($E$33,FixedAssets[Asset ID])),IF(AND((_xlfn.XMATCH(AT$8,$AH$8:$CC$8))-_xlfn.XMATCH($C45,$C$35:$C$82)+1&lt;=_xlpm.DepreciationMonths,$C45&lt;=AT$8),$E45/_xlpm.DepreciationMonths,0))</f>
        <v>0</v>
      </c>
      <c r="AU45" s="507" cm="1">
        <f t="array" ref="AU45">_xlfn.LET(_xlpm.DepreciationMonths,INDEX(FixedAssets[Depreciation
/ Amortization Months],_xlfn.XMATCH($E$33,FixedAssets[Asset ID])),IF(AND((_xlfn.XMATCH(AU$8,$AH$8:$CC$8))-_xlfn.XMATCH($C45,$C$35:$C$82)+1&lt;=_xlpm.DepreciationMonths,$C45&lt;=AU$8),$E45/_xlpm.DepreciationMonths,0))</f>
        <v>0</v>
      </c>
      <c r="AV45" s="507" cm="1">
        <f t="array" ref="AV45">_xlfn.LET(_xlpm.DepreciationMonths,INDEX(FixedAssets[Depreciation
/ Amortization Months],_xlfn.XMATCH($E$33,FixedAssets[Asset ID])),IF(AND((_xlfn.XMATCH(AV$8,$AH$8:$CC$8))-_xlfn.XMATCH($C45,$C$35:$C$82)+1&lt;=_xlpm.DepreciationMonths,$C45&lt;=AV$8),$E45/_xlpm.DepreciationMonths,0))</f>
        <v>0</v>
      </c>
      <c r="AW45" s="507" cm="1">
        <f t="array" ref="AW45">_xlfn.LET(_xlpm.DepreciationMonths,INDEX(FixedAssets[Depreciation
/ Amortization Months],_xlfn.XMATCH($E$33,FixedAssets[Asset ID])),IF(AND((_xlfn.XMATCH(AW$8,$AH$8:$CC$8))-_xlfn.XMATCH($C45,$C$35:$C$82)+1&lt;=_xlpm.DepreciationMonths,$C45&lt;=AW$8),$E45/_xlpm.DepreciationMonths,0))</f>
        <v>0</v>
      </c>
      <c r="AX45" s="507" cm="1">
        <f t="array" ref="AX45">_xlfn.LET(_xlpm.DepreciationMonths,INDEX(FixedAssets[Depreciation
/ Amortization Months],_xlfn.XMATCH($E$33,FixedAssets[Asset ID])),IF(AND((_xlfn.XMATCH(AX$8,$AH$8:$CC$8))-_xlfn.XMATCH($C45,$C$35:$C$82)+1&lt;=_xlpm.DepreciationMonths,$C45&lt;=AX$8),$E45/_xlpm.DepreciationMonths,0))</f>
        <v>0</v>
      </c>
      <c r="AY45" s="507" cm="1">
        <f t="array" ref="AY45">_xlfn.LET(_xlpm.DepreciationMonths,INDEX(FixedAssets[Depreciation
/ Amortization Months],_xlfn.XMATCH($E$33,FixedAssets[Asset ID])),IF(AND((_xlfn.XMATCH(AY$8,$AH$8:$CC$8))-_xlfn.XMATCH($C45,$C$35:$C$82)+1&lt;=_xlpm.DepreciationMonths,$C45&lt;=AY$8),$E45/_xlpm.DepreciationMonths,0))</f>
        <v>0</v>
      </c>
      <c r="AZ45" s="507" cm="1">
        <f t="array" ref="AZ45">_xlfn.LET(_xlpm.DepreciationMonths,INDEX(FixedAssets[Depreciation
/ Amortization Months],_xlfn.XMATCH($E$33,FixedAssets[Asset ID])),IF(AND((_xlfn.XMATCH(AZ$8,$AH$8:$CC$8))-_xlfn.XMATCH($C45,$C$35:$C$82)+1&lt;=_xlpm.DepreciationMonths,$C45&lt;=AZ$8),$E45/_xlpm.DepreciationMonths,0))</f>
        <v>0</v>
      </c>
      <c r="BA45" s="507" cm="1">
        <f t="array" ref="BA45">_xlfn.LET(_xlpm.DepreciationMonths,INDEX(FixedAssets[Depreciation
/ Amortization Months],_xlfn.XMATCH($E$33,FixedAssets[Asset ID])),IF(AND((_xlfn.XMATCH(BA$8,$AH$8:$CC$8))-_xlfn.XMATCH($C45,$C$35:$C$82)+1&lt;=_xlpm.DepreciationMonths,$C45&lt;=BA$8),$E45/_xlpm.DepreciationMonths,0))</f>
        <v>0</v>
      </c>
      <c r="BB45" s="507" cm="1">
        <f t="array" ref="BB45">_xlfn.LET(_xlpm.DepreciationMonths,INDEX(FixedAssets[Depreciation
/ Amortization Months],_xlfn.XMATCH($E$33,FixedAssets[Asset ID])),IF(AND((_xlfn.XMATCH(BB$8,$AH$8:$CC$8))-_xlfn.XMATCH($C45,$C$35:$C$82)+1&lt;=_xlpm.DepreciationMonths,$C45&lt;=BB$8),$E45/_xlpm.DepreciationMonths,0))</f>
        <v>0</v>
      </c>
      <c r="BC45" s="507" cm="1">
        <f t="array" ref="BC45">_xlfn.LET(_xlpm.DepreciationMonths,INDEX(FixedAssets[Depreciation
/ Amortization Months],_xlfn.XMATCH($E$33,FixedAssets[Asset ID])),IF(AND((_xlfn.XMATCH(BC$8,$AH$8:$CC$8))-_xlfn.XMATCH($C45,$C$35:$C$82)+1&lt;=_xlpm.DepreciationMonths,$C45&lt;=BC$8),$E45/_xlpm.DepreciationMonths,0))</f>
        <v>0</v>
      </c>
      <c r="BD45" s="507" cm="1">
        <f t="array" ref="BD45">_xlfn.LET(_xlpm.DepreciationMonths,INDEX(FixedAssets[Depreciation
/ Amortization Months],_xlfn.XMATCH($E$33,FixedAssets[Asset ID])),IF(AND((_xlfn.XMATCH(BD$8,$AH$8:$CC$8))-_xlfn.XMATCH($C45,$C$35:$C$82)+1&lt;=_xlpm.DepreciationMonths,$C45&lt;=BD$8),$E45/_xlpm.DepreciationMonths,0))</f>
        <v>0</v>
      </c>
      <c r="BE45" s="507" cm="1">
        <f t="array" ref="BE45">_xlfn.LET(_xlpm.DepreciationMonths,INDEX(FixedAssets[Depreciation
/ Amortization Months],_xlfn.XMATCH($E$33,FixedAssets[Asset ID])),IF(AND((_xlfn.XMATCH(BE$8,$AH$8:$CC$8))-_xlfn.XMATCH($C45,$C$35:$C$82)+1&lt;=_xlpm.DepreciationMonths,$C45&lt;=BE$8),$E45/_xlpm.DepreciationMonths,0))</f>
        <v>0</v>
      </c>
      <c r="BF45" s="507" cm="1">
        <f t="array" ref="BF45">_xlfn.LET(_xlpm.DepreciationMonths,INDEX(FixedAssets[Depreciation
/ Amortization Months],_xlfn.XMATCH($E$33,FixedAssets[Asset ID])),IF(AND((_xlfn.XMATCH(BF$8,$AH$8:$CC$8))-_xlfn.XMATCH($C45,$C$35:$C$82)+1&lt;=_xlpm.DepreciationMonths,$C45&lt;=BF$8),$E45/_xlpm.DepreciationMonths,0))</f>
        <v>0</v>
      </c>
      <c r="BG45" s="507" cm="1">
        <f t="array" ref="BG45">_xlfn.LET(_xlpm.DepreciationMonths,INDEX(FixedAssets[Depreciation
/ Amortization Months],_xlfn.XMATCH($E$33,FixedAssets[Asset ID])),IF(AND((_xlfn.XMATCH(BG$8,$AH$8:$CC$8))-_xlfn.XMATCH($C45,$C$35:$C$82)+1&lt;=_xlpm.DepreciationMonths,$C45&lt;=BG$8),$E45/_xlpm.DepreciationMonths,0))</f>
        <v>0</v>
      </c>
      <c r="BH45" s="507" cm="1">
        <f t="array" ref="BH45">_xlfn.LET(_xlpm.DepreciationMonths,INDEX(FixedAssets[Depreciation
/ Amortization Months],_xlfn.XMATCH($E$33,FixedAssets[Asset ID])),IF(AND((_xlfn.XMATCH(BH$8,$AH$8:$CC$8))-_xlfn.XMATCH($C45,$C$35:$C$82)+1&lt;=_xlpm.DepreciationMonths,$C45&lt;=BH$8),$E45/_xlpm.DepreciationMonths,0))</f>
        <v>0</v>
      </c>
      <c r="BI45" s="507" cm="1">
        <f t="array" ref="BI45">_xlfn.LET(_xlpm.DepreciationMonths,INDEX(FixedAssets[Depreciation
/ Amortization Months],_xlfn.XMATCH($E$33,FixedAssets[Asset ID])),IF(AND((_xlfn.XMATCH(BI$8,$AH$8:$CC$8))-_xlfn.XMATCH($C45,$C$35:$C$82)+1&lt;=_xlpm.DepreciationMonths,$C45&lt;=BI$8),$E45/_xlpm.DepreciationMonths,0))</f>
        <v>0</v>
      </c>
      <c r="BJ45" s="507" cm="1">
        <f t="array" ref="BJ45">_xlfn.LET(_xlpm.DepreciationMonths,INDEX(FixedAssets[Depreciation
/ Amortization Months],_xlfn.XMATCH($E$33,FixedAssets[Asset ID])),IF(AND((_xlfn.XMATCH(BJ$8,$AH$8:$CC$8))-_xlfn.XMATCH($C45,$C$35:$C$82)+1&lt;=_xlpm.DepreciationMonths,$C45&lt;=BJ$8),$E45/_xlpm.DepreciationMonths,0))</f>
        <v>0</v>
      </c>
      <c r="BK45" s="507" cm="1">
        <f t="array" ref="BK45">_xlfn.LET(_xlpm.DepreciationMonths,INDEX(FixedAssets[Depreciation
/ Amortization Months],_xlfn.XMATCH($E$33,FixedAssets[Asset ID])),IF(AND((_xlfn.XMATCH(BK$8,$AH$8:$CC$8))-_xlfn.XMATCH($C45,$C$35:$C$82)+1&lt;=_xlpm.DepreciationMonths,$C45&lt;=BK$8),$E45/_xlpm.DepreciationMonths,0))</f>
        <v>0</v>
      </c>
      <c r="BL45" s="507" cm="1">
        <f t="array" ref="BL45">_xlfn.LET(_xlpm.DepreciationMonths,INDEX(FixedAssets[Depreciation
/ Amortization Months],_xlfn.XMATCH($E$33,FixedAssets[Asset ID])),IF(AND((_xlfn.XMATCH(BL$8,$AH$8:$CC$8))-_xlfn.XMATCH($C45,$C$35:$C$82)+1&lt;=_xlpm.DepreciationMonths,$C45&lt;=BL$8),$E45/_xlpm.DepreciationMonths,0))</f>
        <v>0</v>
      </c>
      <c r="BM45" s="507" cm="1">
        <f t="array" ref="BM45">_xlfn.LET(_xlpm.DepreciationMonths,INDEX(FixedAssets[Depreciation
/ Amortization Months],_xlfn.XMATCH($E$33,FixedAssets[Asset ID])),IF(AND((_xlfn.XMATCH(BM$8,$AH$8:$CC$8))-_xlfn.XMATCH($C45,$C$35:$C$82)+1&lt;=_xlpm.DepreciationMonths,$C45&lt;=BM$8),$E45/_xlpm.DepreciationMonths,0))</f>
        <v>0</v>
      </c>
      <c r="BN45" s="507" cm="1">
        <f t="array" ref="BN45">_xlfn.LET(_xlpm.DepreciationMonths,INDEX(FixedAssets[Depreciation
/ Amortization Months],_xlfn.XMATCH($E$33,FixedAssets[Asset ID])),IF(AND((_xlfn.XMATCH(BN$8,$AH$8:$CC$8))-_xlfn.XMATCH($C45,$C$35:$C$82)+1&lt;=_xlpm.DepreciationMonths,$C45&lt;=BN$8),$E45/_xlpm.DepreciationMonths,0))</f>
        <v>0</v>
      </c>
      <c r="BO45" s="507" cm="1">
        <f t="array" ref="BO45">_xlfn.LET(_xlpm.DepreciationMonths,INDEX(FixedAssets[Depreciation
/ Amortization Months],_xlfn.XMATCH($E$33,FixedAssets[Asset ID])),IF(AND((_xlfn.XMATCH(BO$8,$AH$8:$CC$8))-_xlfn.XMATCH($C45,$C$35:$C$82)+1&lt;=_xlpm.DepreciationMonths,$C45&lt;=BO$8),$E45/_xlpm.DepreciationMonths,0))</f>
        <v>0</v>
      </c>
      <c r="BP45" s="507" cm="1">
        <f t="array" ref="BP45">_xlfn.LET(_xlpm.DepreciationMonths,INDEX(FixedAssets[Depreciation
/ Amortization Months],_xlfn.XMATCH($E$33,FixedAssets[Asset ID])),IF(AND((_xlfn.XMATCH(BP$8,$AH$8:$CC$8))-_xlfn.XMATCH($C45,$C$35:$C$82)+1&lt;=_xlpm.DepreciationMonths,$C45&lt;=BP$8),$E45/_xlpm.DepreciationMonths,0))</f>
        <v>0</v>
      </c>
      <c r="BQ45" s="507" cm="1">
        <f t="array" ref="BQ45">_xlfn.LET(_xlpm.DepreciationMonths,INDEX(FixedAssets[Depreciation
/ Amortization Months],_xlfn.XMATCH($E$33,FixedAssets[Asset ID])),IF(AND((_xlfn.XMATCH(BQ$8,$AH$8:$CC$8))-_xlfn.XMATCH($C45,$C$35:$C$82)+1&lt;=_xlpm.DepreciationMonths,$C45&lt;=BQ$8),$E45/_xlpm.DepreciationMonths,0))</f>
        <v>0</v>
      </c>
      <c r="BR45" s="507" cm="1">
        <f t="array" ref="BR45">_xlfn.LET(_xlpm.DepreciationMonths,INDEX(FixedAssets[Depreciation
/ Amortization Months],_xlfn.XMATCH($E$33,FixedAssets[Asset ID])),IF(AND((_xlfn.XMATCH(BR$8,$AH$8:$CC$8))-_xlfn.XMATCH($C45,$C$35:$C$82)+1&lt;=_xlpm.DepreciationMonths,$C45&lt;=BR$8),$E45/_xlpm.DepreciationMonths,0))</f>
        <v>0</v>
      </c>
      <c r="BS45" s="507" cm="1">
        <f t="array" ref="BS45">_xlfn.LET(_xlpm.DepreciationMonths,INDEX(FixedAssets[Depreciation
/ Amortization Months],_xlfn.XMATCH($E$33,FixedAssets[Asset ID])),IF(AND((_xlfn.XMATCH(BS$8,$AH$8:$CC$8))-_xlfn.XMATCH($C45,$C$35:$C$82)+1&lt;=_xlpm.DepreciationMonths,$C45&lt;=BS$8),$E45/_xlpm.DepreciationMonths,0))</f>
        <v>0</v>
      </c>
      <c r="BT45" s="507" cm="1">
        <f t="array" ref="BT45">_xlfn.LET(_xlpm.DepreciationMonths,INDEX(FixedAssets[Depreciation
/ Amortization Months],_xlfn.XMATCH($E$33,FixedAssets[Asset ID])),IF(AND((_xlfn.XMATCH(BT$8,$AH$8:$CC$8))-_xlfn.XMATCH($C45,$C$35:$C$82)+1&lt;=_xlpm.DepreciationMonths,$C45&lt;=BT$8),$E45/_xlpm.DepreciationMonths,0))</f>
        <v>0</v>
      </c>
      <c r="BU45" s="507" cm="1">
        <f t="array" ref="BU45">_xlfn.LET(_xlpm.DepreciationMonths,INDEX(FixedAssets[Depreciation
/ Amortization Months],_xlfn.XMATCH($E$33,FixedAssets[Asset ID])),IF(AND((_xlfn.XMATCH(BU$8,$AH$8:$CC$8))-_xlfn.XMATCH($C45,$C$35:$C$82)+1&lt;=_xlpm.DepreciationMonths,$C45&lt;=BU$8),$E45/_xlpm.DepreciationMonths,0))</f>
        <v>0</v>
      </c>
      <c r="BV45" s="507" cm="1">
        <f t="array" ref="BV45">_xlfn.LET(_xlpm.DepreciationMonths,INDEX(FixedAssets[Depreciation
/ Amortization Months],_xlfn.XMATCH($E$33,FixedAssets[Asset ID])),IF(AND((_xlfn.XMATCH(BV$8,$AH$8:$CC$8))-_xlfn.XMATCH($C45,$C$35:$C$82)+1&lt;=_xlpm.DepreciationMonths,$C45&lt;=BV$8),$E45/_xlpm.DepreciationMonths,0))</f>
        <v>0</v>
      </c>
      <c r="BW45" s="507" cm="1">
        <f t="array" ref="BW45">_xlfn.LET(_xlpm.DepreciationMonths,INDEX(FixedAssets[Depreciation
/ Amortization Months],_xlfn.XMATCH($E$33,FixedAssets[Asset ID])),IF(AND((_xlfn.XMATCH(BW$8,$AH$8:$CC$8))-_xlfn.XMATCH($C45,$C$35:$C$82)+1&lt;=_xlpm.DepreciationMonths,$C45&lt;=BW$8),$E45/_xlpm.DepreciationMonths,0))</f>
        <v>0</v>
      </c>
      <c r="BX45" s="507" cm="1">
        <f t="array" ref="BX45">_xlfn.LET(_xlpm.DepreciationMonths,INDEX(FixedAssets[Depreciation
/ Amortization Months],_xlfn.XMATCH($E$33,FixedAssets[Asset ID])),IF(AND((_xlfn.XMATCH(BX$8,$AH$8:$CC$8))-_xlfn.XMATCH($C45,$C$35:$C$82)+1&lt;=_xlpm.DepreciationMonths,$C45&lt;=BX$8),$E45/_xlpm.DepreciationMonths,0))</f>
        <v>0</v>
      </c>
      <c r="BY45" s="507" cm="1">
        <f t="array" ref="BY45">_xlfn.LET(_xlpm.DepreciationMonths,INDEX(FixedAssets[Depreciation
/ Amortization Months],_xlfn.XMATCH($E$33,FixedAssets[Asset ID])),IF(AND((_xlfn.XMATCH(BY$8,$AH$8:$CC$8))-_xlfn.XMATCH($C45,$C$35:$C$82)+1&lt;=_xlpm.DepreciationMonths,$C45&lt;=BY$8),$E45/_xlpm.DepreciationMonths,0))</f>
        <v>0</v>
      </c>
      <c r="BZ45" s="507" cm="1">
        <f t="array" ref="BZ45">_xlfn.LET(_xlpm.DepreciationMonths,INDEX(FixedAssets[Depreciation
/ Amortization Months],_xlfn.XMATCH($E$33,FixedAssets[Asset ID])),IF(AND((_xlfn.XMATCH(BZ$8,$AH$8:$CC$8))-_xlfn.XMATCH($C45,$C$35:$C$82)+1&lt;=_xlpm.DepreciationMonths,$C45&lt;=BZ$8),$E45/_xlpm.DepreciationMonths,0))</f>
        <v>0</v>
      </c>
      <c r="CA45" s="507" cm="1">
        <f t="array" ref="CA45">_xlfn.LET(_xlpm.DepreciationMonths,INDEX(FixedAssets[Depreciation
/ Amortization Months],_xlfn.XMATCH($E$33,FixedAssets[Asset ID])),IF(AND((_xlfn.XMATCH(CA$8,$AH$8:$CC$8))-_xlfn.XMATCH($C45,$C$35:$C$82)+1&lt;=_xlpm.DepreciationMonths,$C45&lt;=CA$8),$E45/_xlpm.DepreciationMonths,0))</f>
        <v>0</v>
      </c>
      <c r="CB45" s="507" cm="1">
        <f t="array" ref="CB45">_xlfn.LET(_xlpm.DepreciationMonths,INDEX(FixedAssets[Depreciation
/ Amortization Months],_xlfn.XMATCH($E$33,FixedAssets[Asset ID])),IF(AND((_xlfn.XMATCH(CB$8,$AH$8:$CC$8))-_xlfn.XMATCH($C45,$C$35:$C$82)+1&lt;=_xlpm.DepreciationMonths,$C45&lt;=CB$8),$E45/_xlpm.DepreciationMonths,0))</f>
        <v>0</v>
      </c>
      <c r="CC45" s="507" cm="1">
        <f t="array" ref="CC45">_xlfn.LET(_xlpm.DepreciationMonths,INDEX(FixedAssets[Depreciation
/ Amortization Months],_xlfn.XMATCH($E$33,FixedAssets[Asset ID])),IF(AND((_xlfn.XMATCH(CC$8,$AH$8:$CC$8))-_xlfn.XMATCH($C45,$C$35:$C$82)+1&lt;=_xlpm.DepreciationMonths,$C45&lt;=CC$8),$E45/_xlpm.DepreciationMonths,0))</f>
        <v>0</v>
      </c>
    </row>
    <row r="46" spans="3:81" hidden="1" outlineLevel="2">
      <c r="C46" s="664">
        <f t="shared" si="91"/>
        <v>45291</v>
      </c>
      <c r="D46" s="508"/>
      <c r="E46" s="508" cm="1">
        <f t="array" ref="E46">SUMPRODUCT(($AH$26:$CC$31)*($AH$5:$CC$5=$C46)*($E$26:$E$31=E$33))-SUMPRODUCT(($AH$26:$CC$31)*($AH$5:$CC$5=EOMONTH($C46,-1))*($E$26:$E$31=E$33))</f>
        <v>0</v>
      </c>
      <c r="F46" s="508"/>
      <c r="G46" s="508"/>
      <c r="H46" s="508"/>
      <c r="I46" s="508"/>
      <c r="J46" s="504">
        <f t="shared" si="88"/>
        <v>0</v>
      </c>
      <c r="K46" s="504">
        <f t="shared" si="89"/>
        <v>0</v>
      </c>
      <c r="L46" s="504">
        <f t="shared" si="89"/>
        <v>0</v>
      </c>
      <c r="M46" s="504">
        <f t="shared" si="89"/>
        <v>0</v>
      </c>
      <c r="N46" s="504"/>
      <c r="O46" s="504"/>
      <c r="P46" s="504">
        <f t="shared" si="90"/>
        <v>0</v>
      </c>
      <c r="Q46" s="504">
        <f t="shared" si="90"/>
        <v>0</v>
      </c>
      <c r="R46" s="504">
        <f t="shared" si="90"/>
        <v>0</v>
      </c>
      <c r="S46" s="504">
        <f t="shared" si="90"/>
        <v>0</v>
      </c>
      <c r="T46" s="504">
        <f t="shared" si="90"/>
        <v>0</v>
      </c>
      <c r="U46" s="504">
        <f t="shared" si="90"/>
        <v>0</v>
      </c>
      <c r="V46" s="504">
        <f t="shared" si="90"/>
        <v>0</v>
      </c>
      <c r="W46" s="504">
        <f t="shared" si="90"/>
        <v>0</v>
      </c>
      <c r="X46" s="504">
        <f t="shared" si="90"/>
        <v>0</v>
      </c>
      <c r="Y46" s="504">
        <f t="shared" si="90"/>
        <v>0</v>
      </c>
      <c r="Z46" s="504">
        <f t="shared" si="90"/>
        <v>0</v>
      </c>
      <c r="AA46" s="504">
        <f t="shared" si="90"/>
        <v>0</v>
      </c>
      <c r="AB46" s="504">
        <f t="shared" si="90"/>
        <v>0</v>
      </c>
      <c r="AC46" s="504">
        <f t="shared" si="90"/>
        <v>0</v>
      </c>
      <c r="AD46" s="504">
        <f t="shared" si="90"/>
        <v>0</v>
      </c>
      <c r="AE46" s="504">
        <f t="shared" si="90"/>
        <v>0</v>
      </c>
      <c r="AF46" s="508"/>
      <c r="AG46" s="508"/>
      <c r="AH46" s="507" cm="1">
        <f t="array" ref="AH46">_xlfn.LET(_xlpm.DepreciationMonths,INDEX(FixedAssets[Depreciation
/ Amortization Months],_xlfn.XMATCH($E$33,FixedAssets[Asset ID])),IF(AND((_xlfn.XMATCH(AH$8,$AH$8:$CC$8))-_xlfn.XMATCH($C46,$C$35:$C$82)+1&lt;=_xlpm.DepreciationMonths,$C46&lt;=AH$8),$E46/_xlpm.DepreciationMonths,0))</f>
        <v>0</v>
      </c>
      <c r="AI46" s="507" cm="1">
        <f t="array" ref="AI46">_xlfn.LET(_xlpm.DepreciationMonths,INDEX(FixedAssets[Depreciation
/ Amortization Months],_xlfn.XMATCH($E$33,FixedAssets[Asset ID])),IF(AND((_xlfn.XMATCH(AI$8,$AH$8:$CC$8))-_xlfn.XMATCH($C46,$C$35:$C$82)+1&lt;=_xlpm.DepreciationMonths,$C46&lt;=AI$8),$E46/_xlpm.DepreciationMonths,0))</f>
        <v>0</v>
      </c>
      <c r="AJ46" s="507" cm="1">
        <f t="array" ref="AJ46">_xlfn.LET(_xlpm.DepreciationMonths,INDEX(FixedAssets[Depreciation
/ Amortization Months],_xlfn.XMATCH($E$33,FixedAssets[Asset ID])),IF(AND((_xlfn.XMATCH(AJ$8,$AH$8:$CC$8))-_xlfn.XMATCH($C46,$C$35:$C$82)+1&lt;=_xlpm.DepreciationMonths,$C46&lt;=AJ$8),$E46/_xlpm.DepreciationMonths,0))</f>
        <v>0</v>
      </c>
      <c r="AK46" s="507" cm="1">
        <f t="array" ref="AK46">_xlfn.LET(_xlpm.DepreciationMonths,INDEX(FixedAssets[Depreciation
/ Amortization Months],_xlfn.XMATCH($E$33,FixedAssets[Asset ID])),IF(AND((_xlfn.XMATCH(AK$8,$AH$8:$CC$8))-_xlfn.XMATCH($C46,$C$35:$C$82)+1&lt;=_xlpm.DepreciationMonths,$C46&lt;=AK$8),$E46/_xlpm.DepreciationMonths,0))</f>
        <v>0</v>
      </c>
      <c r="AL46" s="507" cm="1">
        <f t="array" ref="AL46">_xlfn.LET(_xlpm.DepreciationMonths,INDEX(FixedAssets[Depreciation
/ Amortization Months],_xlfn.XMATCH($E$33,FixedAssets[Asset ID])),IF(AND((_xlfn.XMATCH(AL$8,$AH$8:$CC$8))-_xlfn.XMATCH($C46,$C$35:$C$82)+1&lt;=_xlpm.DepreciationMonths,$C46&lt;=AL$8),$E46/_xlpm.DepreciationMonths,0))</f>
        <v>0</v>
      </c>
      <c r="AM46" s="507" cm="1">
        <f t="array" ref="AM46">_xlfn.LET(_xlpm.DepreciationMonths,INDEX(FixedAssets[Depreciation
/ Amortization Months],_xlfn.XMATCH($E$33,FixedAssets[Asset ID])),IF(AND((_xlfn.XMATCH(AM$8,$AH$8:$CC$8))-_xlfn.XMATCH($C46,$C$35:$C$82)+1&lt;=_xlpm.DepreciationMonths,$C46&lt;=AM$8),$E46/_xlpm.DepreciationMonths,0))</f>
        <v>0</v>
      </c>
      <c r="AN46" s="507" cm="1">
        <f t="array" ref="AN46">_xlfn.LET(_xlpm.DepreciationMonths,INDEX(FixedAssets[Depreciation
/ Amortization Months],_xlfn.XMATCH($E$33,FixedAssets[Asset ID])),IF(AND((_xlfn.XMATCH(AN$8,$AH$8:$CC$8))-_xlfn.XMATCH($C46,$C$35:$C$82)+1&lt;=_xlpm.DepreciationMonths,$C46&lt;=AN$8),$E46/_xlpm.DepreciationMonths,0))</f>
        <v>0</v>
      </c>
      <c r="AO46" s="507" cm="1">
        <f t="array" ref="AO46">_xlfn.LET(_xlpm.DepreciationMonths,INDEX(FixedAssets[Depreciation
/ Amortization Months],_xlfn.XMATCH($E$33,FixedAssets[Asset ID])),IF(AND((_xlfn.XMATCH(AO$8,$AH$8:$CC$8))-_xlfn.XMATCH($C46,$C$35:$C$82)+1&lt;=_xlpm.DepreciationMonths,$C46&lt;=AO$8),$E46/_xlpm.DepreciationMonths,0))</f>
        <v>0</v>
      </c>
      <c r="AP46" s="507" cm="1">
        <f t="array" ref="AP46">_xlfn.LET(_xlpm.DepreciationMonths,INDEX(FixedAssets[Depreciation
/ Amortization Months],_xlfn.XMATCH($E$33,FixedAssets[Asset ID])),IF(AND((_xlfn.XMATCH(AP$8,$AH$8:$CC$8))-_xlfn.XMATCH($C46,$C$35:$C$82)+1&lt;=_xlpm.DepreciationMonths,$C46&lt;=AP$8),$E46/_xlpm.DepreciationMonths,0))</f>
        <v>0</v>
      </c>
      <c r="AQ46" s="507" cm="1">
        <f t="array" ref="AQ46">_xlfn.LET(_xlpm.DepreciationMonths,INDEX(FixedAssets[Depreciation
/ Amortization Months],_xlfn.XMATCH($E$33,FixedAssets[Asset ID])),IF(AND((_xlfn.XMATCH(AQ$8,$AH$8:$CC$8))-_xlfn.XMATCH($C46,$C$35:$C$82)+1&lt;=_xlpm.DepreciationMonths,$C46&lt;=AQ$8),$E46/_xlpm.DepreciationMonths,0))</f>
        <v>0</v>
      </c>
      <c r="AR46" s="507" cm="1">
        <f t="array" ref="AR46">_xlfn.LET(_xlpm.DepreciationMonths,INDEX(FixedAssets[Depreciation
/ Amortization Months],_xlfn.XMATCH($E$33,FixedAssets[Asset ID])),IF(AND((_xlfn.XMATCH(AR$8,$AH$8:$CC$8))-_xlfn.XMATCH($C46,$C$35:$C$82)+1&lt;=_xlpm.DepreciationMonths,$C46&lt;=AR$8),$E46/_xlpm.DepreciationMonths,0))</f>
        <v>0</v>
      </c>
      <c r="AS46" s="507" cm="1">
        <f t="array" ref="AS46">_xlfn.LET(_xlpm.DepreciationMonths,INDEX(FixedAssets[Depreciation
/ Amortization Months],_xlfn.XMATCH($E$33,FixedAssets[Asset ID])),IF(AND((_xlfn.XMATCH(AS$8,$AH$8:$CC$8))-_xlfn.XMATCH($C46,$C$35:$C$82)+1&lt;=_xlpm.DepreciationMonths,$C46&lt;=AS$8),$E46/_xlpm.DepreciationMonths,0))</f>
        <v>0</v>
      </c>
      <c r="AT46" s="507" cm="1">
        <f t="array" ref="AT46">_xlfn.LET(_xlpm.DepreciationMonths,INDEX(FixedAssets[Depreciation
/ Amortization Months],_xlfn.XMATCH($E$33,FixedAssets[Asset ID])),IF(AND((_xlfn.XMATCH(AT$8,$AH$8:$CC$8))-_xlfn.XMATCH($C46,$C$35:$C$82)+1&lt;=_xlpm.DepreciationMonths,$C46&lt;=AT$8),$E46/_xlpm.DepreciationMonths,0))</f>
        <v>0</v>
      </c>
      <c r="AU46" s="507" cm="1">
        <f t="array" ref="AU46">_xlfn.LET(_xlpm.DepreciationMonths,INDEX(FixedAssets[Depreciation
/ Amortization Months],_xlfn.XMATCH($E$33,FixedAssets[Asset ID])),IF(AND((_xlfn.XMATCH(AU$8,$AH$8:$CC$8))-_xlfn.XMATCH($C46,$C$35:$C$82)+1&lt;=_xlpm.DepreciationMonths,$C46&lt;=AU$8),$E46/_xlpm.DepreciationMonths,0))</f>
        <v>0</v>
      </c>
      <c r="AV46" s="507" cm="1">
        <f t="array" ref="AV46">_xlfn.LET(_xlpm.DepreciationMonths,INDEX(FixedAssets[Depreciation
/ Amortization Months],_xlfn.XMATCH($E$33,FixedAssets[Asset ID])),IF(AND((_xlfn.XMATCH(AV$8,$AH$8:$CC$8))-_xlfn.XMATCH($C46,$C$35:$C$82)+1&lt;=_xlpm.DepreciationMonths,$C46&lt;=AV$8),$E46/_xlpm.DepreciationMonths,0))</f>
        <v>0</v>
      </c>
      <c r="AW46" s="507" cm="1">
        <f t="array" ref="AW46">_xlfn.LET(_xlpm.DepreciationMonths,INDEX(FixedAssets[Depreciation
/ Amortization Months],_xlfn.XMATCH($E$33,FixedAssets[Asset ID])),IF(AND((_xlfn.XMATCH(AW$8,$AH$8:$CC$8))-_xlfn.XMATCH($C46,$C$35:$C$82)+1&lt;=_xlpm.DepreciationMonths,$C46&lt;=AW$8),$E46/_xlpm.DepreciationMonths,0))</f>
        <v>0</v>
      </c>
      <c r="AX46" s="507" cm="1">
        <f t="array" ref="AX46">_xlfn.LET(_xlpm.DepreciationMonths,INDEX(FixedAssets[Depreciation
/ Amortization Months],_xlfn.XMATCH($E$33,FixedAssets[Asset ID])),IF(AND((_xlfn.XMATCH(AX$8,$AH$8:$CC$8))-_xlfn.XMATCH($C46,$C$35:$C$82)+1&lt;=_xlpm.DepreciationMonths,$C46&lt;=AX$8),$E46/_xlpm.DepreciationMonths,0))</f>
        <v>0</v>
      </c>
      <c r="AY46" s="507" cm="1">
        <f t="array" ref="AY46">_xlfn.LET(_xlpm.DepreciationMonths,INDEX(FixedAssets[Depreciation
/ Amortization Months],_xlfn.XMATCH($E$33,FixedAssets[Asset ID])),IF(AND((_xlfn.XMATCH(AY$8,$AH$8:$CC$8))-_xlfn.XMATCH($C46,$C$35:$C$82)+1&lt;=_xlpm.DepreciationMonths,$C46&lt;=AY$8),$E46/_xlpm.DepreciationMonths,0))</f>
        <v>0</v>
      </c>
      <c r="AZ46" s="507" cm="1">
        <f t="array" ref="AZ46">_xlfn.LET(_xlpm.DepreciationMonths,INDEX(FixedAssets[Depreciation
/ Amortization Months],_xlfn.XMATCH($E$33,FixedAssets[Asset ID])),IF(AND((_xlfn.XMATCH(AZ$8,$AH$8:$CC$8))-_xlfn.XMATCH($C46,$C$35:$C$82)+1&lt;=_xlpm.DepreciationMonths,$C46&lt;=AZ$8),$E46/_xlpm.DepreciationMonths,0))</f>
        <v>0</v>
      </c>
      <c r="BA46" s="507" cm="1">
        <f t="array" ref="BA46">_xlfn.LET(_xlpm.DepreciationMonths,INDEX(FixedAssets[Depreciation
/ Amortization Months],_xlfn.XMATCH($E$33,FixedAssets[Asset ID])),IF(AND((_xlfn.XMATCH(BA$8,$AH$8:$CC$8))-_xlfn.XMATCH($C46,$C$35:$C$82)+1&lt;=_xlpm.DepreciationMonths,$C46&lt;=BA$8),$E46/_xlpm.DepreciationMonths,0))</f>
        <v>0</v>
      </c>
      <c r="BB46" s="507" cm="1">
        <f t="array" ref="BB46">_xlfn.LET(_xlpm.DepreciationMonths,INDEX(FixedAssets[Depreciation
/ Amortization Months],_xlfn.XMATCH($E$33,FixedAssets[Asset ID])),IF(AND((_xlfn.XMATCH(BB$8,$AH$8:$CC$8))-_xlfn.XMATCH($C46,$C$35:$C$82)+1&lt;=_xlpm.DepreciationMonths,$C46&lt;=BB$8),$E46/_xlpm.DepreciationMonths,0))</f>
        <v>0</v>
      </c>
      <c r="BC46" s="507" cm="1">
        <f t="array" ref="BC46">_xlfn.LET(_xlpm.DepreciationMonths,INDEX(FixedAssets[Depreciation
/ Amortization Months],_xlfn.XMATCH($E$33,FixedAssets[Asset ID])),IF(AND((_xlfn.XMATCH(BC$8,$AH$8:$CC$8))-_xlfn.XMATCH($C46,$C$35:$C$82)+1&lt;=_xlpm.DepreciationMonths,$C46&lt;=BC$8),$E46/_xlpm.DepreciationMonths,0))</f>
        <v>0</v>
      </c>
      <c r="BD46" s="507" cm="1">
        <f t="array" ref="BD46">_xlfn.LET(_xlpm.DepreciationMonths,INDEX(FixedAssets[Depreciation
/ Amortization Months],_xlfn.XMATCH($E$33,FixedAssets[Asset ID])),IF(AND((_xlfn.XMATCH(BD$8,$AH$8:$CC$8))-_xlfn.XMATCH($C46,$C$35:$C$82)+1&lt;=_xlpm.DepreciationMonths,$C46&lt;=BD$8),$E46/_xlpm.DepreciationMonths,0))</f>
        <v>0</v>
      </c>
      <c r="BE46" s="507" cm="1">
        <f t="array" ref="BE46">_xlfn.LET(_xlpm.DepreciationMonths,INDEX(FixedAssets[Depreciation
/ Amortization Months],_xlfn.XMATCH($E$33,FixedAssets[Asset ID])),IF(AND((_xlfn.XMATCH(BE$8,$AH$8:$CC$8))-_xlfn.XMATCH($C46,$C$35:$C$82)+1&lt;=_xlpm.DepreciationMonths,$C46&lt;=BE$8),$E46/_xlpm.DepreciationMonths,0))</f>
        <v>0</v>
      </c>
      <c r="BF46" s="507" cm="1">
        <f t="array" ref="BF46">_xlfn.LET(_xlpm.DepreciationMonths,INDEX(FixedAssets[Depreciation
/ Amortization Months],_xlfn.XMATCH($E$33,FixedAssets[Asset ID])),IF(AND((_xlfn.XMATCH(BF$8,$AH$8:$CC$8))-_xlfn.XMATCH($C46,$C$35:$C$82)+1&lt;=_xlpm.DepreciationMonths,$C46&lt;=BF$8),$E46/_xlpm.DepreciationMonths,0))</f>
        <v>0</v>
      </c>
      <c r="BG46" s="507" cm="1">
        <f t="array" ref="BG46">_xlfn.LET(_xlpm.DepreciationMonths,INDEX(FixedAssets[Depreciation
/ Amortization Months],_xlfn.XMATCH($E$33,FixedAssets[Asset ID])),IF(AND((_xlfn.XMATCH(BG$8,$AH$8:$CC$8))-_xlfn.XMATCH($C46,$C$35:$C$82)+1&lt;=_xlpm.DepreciationMonths,$C46&lt;=BG$8),$E46/_xlpm.DepreciationMonths,0))</f>
        <v>0</v>
      </c>
      <c r="BH46" s="507" cm="1">
        <f t="array" ref="BH46">_xlfn.LET(_xlpm.DepreciationMonths,INDEX(FixedAssets[Depreciation
/ Amortization Months],_xlfn.XMATCH($E$33,FixedAssets[Asset ID])),IF(AND((_xlfn.XMATCH(BH$8,$AH$8:$CC$8))-_xlfn.XMATCH($C46,$C$35:$C$82)+1&lt;=_xlpm.DepreciationMonths,$C46&lt;=BH$8),$E46/_xlpm.DepreciationMonths,0))</f>
        <v>0</v>
      </c>
      <c r="BI46" s="507" cm="1">
        <f t="array" ref="BI46">_xlfn.LET(_xlpm.DepreciationMonths,INDEX(FixedAssets[Depreciation
/ Amortization Months],_xlfn.XMATCH($E$33,FixedAssets[Asset ID])),IF(AND((_xlfn.XMATCH(BI$8,$AH$8:$CC$8))-_xlfn.XMATCH($C46,$C$35:$C$82)+1&lt;=_xlpm.DepreciationMonths,$C46&lt;=BI$8),$E46/_xlpm.DepreciationMonths,0))</f>
        <v>0</v>
      </c>
      <c r="BJ46" s="507" cm="1">
        <f t="array" ref="BJ46">_xlfn.LET(_xlpm.DepreciationMonths,INDEX(FixedAssets[Depreciation
/ Amortization Months],_xlfn.XMATCH($E$33,FixedAssets[Asset ID])),IF(AND((_xlfn.XMATCH(BJ$8,$AH$8:$CC$8))-_xlfn.XMATCH($C46,$C$35:$C$82)+1&lt;=_xlpm.DepreciationMonths,$C46&lt;=BJ$8),$E46/_xlpm.DepreciationMonths,0))</f>
        <v>0</v>
      </c>
      <c r="BK46" s="507" cm="1">
        <f t="array" ref="BK46">_xlfn.LET(_xlpm.DepreciationMonths,INDEX(FixedAssets[Depreciation
/ Amortization Months],_xlfn.XMATCH($E$33,FixedAssets[Asset ID])),IF(AND((_xlfn.XMATCH(BK$8,$AH$8:$CC$8))-_xlfn.XMATCH($C46,$C$35:$C$82)+1&lt;=_xlpm.DepreciationMonths,$C46&lt;=BK$8),$E46/_xlpm.DepreciationMonths,0))</f>
        <v>0</v>
      </c>
      <c r="BL46" s="507" cm="1">
        <f t="array" ref="BL46">_xlfn.LET(_xlpm.DepreciationMonths,INDEX(FixedAssets[Depreciation
/ Amortization Months],_xlfn.XMATCH($E$33,FixedAssets[Asset ID])),IF(AND((_xlfn.XMATCH(BL$8,$AH$8:$CC$8))-_xlfn.XMATCH($C46,$C$35:$C$82)+1&lt;=_xlpm.DepreciationMonths,$C46&lt;=BL$8),$E46/_xlpm.DepreciationMonths,0))</f>
        <v>0</v>
      </c>
      <c r="BM46" s="507" cm="1">
        <f t="array" ref="BM46">_xlfn.LET(_xlpm.DepreciationMonths,INDEX(FixedAssets[Depreciation
/ Amortization Months],_xlfn.XMATCH($E$33,FixedAssets[Asset ID])),IF(AND((_xlfn.XMATCH(BM$8,$AH$8:$CC$8))-_xlfn.XMATCH($C46,$C$35:$C$82)+1&lt;=_xlpm.DepreciationMonths,$C46&lt;=BM$8),$E46/_xlpm.DepreciationMonths,0))</f>
        <v>0</v>
      </c>
      <c r="BN46" s="507" cm="1">
        <f t="array" ref="BN46">_xlfn.LET(_xlpm.DepreciationMonths,INDEX(FixedAssets[Depreciation
/ Amortization Months],_xlfn.XMATCH($E$33,FixedAssets[Asset ID])),IF(AND((_xlfn.XMATCH(BN$8,$AH$8:$CC$8))-_xlfn.XMATCH($C46,$C$35:$C$82)+1&lt;=_xlpm.DepreciationMonths,$C46&lt;=BN$8),$E46/_xlpm.DepreciationMonths,0))</f>
        <v>0</v>
      </c>
      <c r="BO46" s="507" cm="1">
        <f t="array" ref="BO46">_xlfn.LET(_xlpm.DepreciationMonths,INDEX(FixedAssets[Depreciation
/ Amortization Months],_xlfn.XMATCH($E$33,FixedAssets[Asset ID])),IF(AND((_xlfn.XMATCH(BO$8,$AH$8:$CC$8))-_xlfn.XMATCH($C46,$C$35:$C$82)+1&lt;=_xlpm.DepreciationMonths,$C46&lt;=BO$8),$E46/_xlpm.DepreciationMonths,0))</f>
        <v>0</v>
      </c>
      <c r="BP46" s="507" cm="1">
        <f t="array" ref="BP46">_xlfn.LET(_xlpm.DepreciationMonths,INDEX(FixedAssets[Depreciation
/ Amortization Months],_xlfn.XMATCH($E$33,FixedAssets[Asset ID])),IF(AND((_xlfn.XMATCH(BP$8,$AH$8:$CC$8))-_xlfn.XMATCH($C46,$C$35:$C$82)+1&lt;=_xlpm.DepreciationMonths,$C46&lt;=BP$8),$E46/_xlpm.DepreciationMonths,0))</f>
        <v>0</v>
      </c>
      <c r="BQ46" s="507" cm="1">
        <f t="array" ref="BQ46">_xlfn.LET(_xlpm.DepreciationMonths,INDEX(FixedAssets[Depreciation
/ Amortization Months],_xlfn.XMATCH($E$33,FixedAssets[Asset ID])),IF(AND((_xlfn.XMATCH(BQ$8,$AH$8:$CC$8))-_xlfn.XMATCH($C46,$C$35:$C$82)+1&lt;=_xlpm.DepreciationMonths,$C46&lt;=BQ$8),$E46/_xlpm.DepreciationMonths,0))</f>
        <v>0</v>
      </c>
      <c r="BR46" s="507" cm="1">
        <f t="array" ref="BR46">_xlfn.LET(_xlpm.DepreciationMonths,INDEX(FixedAssets[Depreciation
/ Amortization Months],_xlfn.XMATCH($E$33,FixedAssets[Asset ID])),IF(AND((_xlfn.XMATCH(BR$8,$AH$8:$CC$8))-_xlfn.XMATCH($C46,$C$35:$C$82)+1&lt;=_xlpm.DepreciationMonths,$C46&lt;=BR$8),$E46/_xlpm.DepreciationMonths,0))</f>
        <v>0</v>
      </c>
      <c r="BS46" s="507" cm="1">
        <f t="array" ref="BS46">_xlfn.LET(_xlpm.DepreciationMonths,INDEX(FixedAssets[Depreciation
/ Amortization Months],_xlfn.XMATCH($E$33,FixedAssets[Asset ID])),IF(AND((_xlfn.XMATCH(BS$8,$AH$8:$CC$8))-_xlfn.XMATCH($C46,$C$35:$C$82)+1&lt;=_xlpm.DepreciationMonths,$C46&lt;=BS$8),$E46/_xlpm.DepreciationMonths,0))</f>
        <v>0</v>
      </c>
      <c r="BT46" s="507" cm="1">
        <f t="array" ref="BT46">_xlfn.LET(_xlpm.DepreciationMonths,INDEX(FixedAssets[Depreciation
/ Amortization Months],_xlfn.XMATCH($E$33,FixedAssets[Asset ID])),IF(AND((_xlfn.XMATCH(BT$8,$AH$8:$CC$8))-_xlfn.XMATCH($C46,$C$35:$C$82)+1&lt;=_xlpm.DepreciationMonths,$C46&lt;=BT$8),$E46/_xlpm.DepreciationMonths,0))</f>
        <v>0</v>
      </c>
      <c r="BU46" s="507" cm="1">
        <f t="array" ref="BU46">_xlfn.LET(_xlpm.DepreciationMonths,INDEX(FixedAssets[Depreciation
/ Amortization Months],_xlfn.XMATCH($E$33,FixedAssets[Asset ID])),IF(AND((_xlfn.XMATCH(BU$8,$AH$8:$CC$8))-_xlfn.XMATCH($C46,$C$35:$C$82)+1&lt;=_xlpm.DepreciationMonths,$C46&lt;=BU$8),$E46/_xlpm.DepreciationMonths,0))</f>
        <v>0</v>
      </c>
      <c r="BV46" s="507" cm="1">
        <f t="array" ref="BV46">_xlfn.LET(_xlpm.DepreciationMonths,INDEX(FixedAssets[Depreciation
/ Amortization Months],_xlfn.XMATCH($E$33,FixedAssets[Asset ID])),IF(AND((_xlfn.XMATCH(BV$8,$AH$8:$CC$8))-_xlfn.XMATCH($C46,$C$35:$C$82)+1&lt;=_xlpm.DepreciationMonths,$C46&lt;=BV$8),$E46/_xlpm.DepreciationMonths,0))</f>
        <v>0</v>
      </c>
      <c r="BW46" s="507" cm="1">
        <f t="array" ref="BW46">_xlfn.LET(_xlpm.DepreciationMonths,INDEX(FixedAssets[Depreciation
/ Amortization Months],_xlfn.XMATCH($E$33,FixedAssets[Asset ID])),IF(AND((_xlfn.XMATCH(BW$8,$AH$8:$CC$8))-_xlfn.XMATCH($C46,$C$35:$C$82)+1&lt;=_xlpm.DepreciationMonths,$C46&lt;=BW$8),$E46/_xlpm.DepreciationMonths,0))</f>
        <v>0</v>
      </c>
      <c r="BX46" s="507" cm="1">
        <f t="array" ref="BX46">_xlfn.LET(_xlpm.DepreciationMonths,INDEX(FixedAssets[Depreciation
/ Amortization Months],_xlfn.XMATCH($E$33,FixedAssets[Asset ID])),IF(AND((_xlfn.XMATCH(BX$8,$AH$8:$CC$8))-_xlfn.XMATCH($C46,$C$35:$C$82)+1&lt;=_xlpm.DepreciationMonths,$C46&lt;=BX$8),$E46/_xlpm.DepreciationMonths,0))</f>
        <v>0</v>
      </c>
      <c r="BY46" s="507" cm="1">
        <f t="array" ref="BY46">_xlfn.LET(_xlpm.DepreciationMonths,INDEX(FixedAssets[Depreciation
/ Amortization Months],_xlfn.XMATCH($E$33,FixedAssets[Asset ID])),IF(AND((_xlfn.XMATCH(BY$8,$AH$8:$CC$8))-_xlfn.XMATCH($C46,$C$35:$C$82)+1&lt;=_xlpm.DepreciationMonths,$C46&lt;=BY$8),$E46/_xlpm.DepreciationMonths,0))</f>
        <v>0</v>
      </c>
      <c r="BZ46" s="507" cm="1">
        <f t="array" ref="BZ46">_xlfn.LET(_xlpm.DepreciationMonths,INDEX(FixedAssets[Depreciation
/ Amortization Months],_xlfn.XMATCH($E$33,FixedAssets[Asset ID])),IF(AND((_xlfn.XMATCH(BZ$8,$AH$8:$CC$8))-_xlfn.XMATCH($C46,$C$35:$C$82)+1&lt;=_xlpm.DepreciationMonths,$C46&lt;=BZ$8),$E46/_xlpm.DepreciationMonths,0))</f>
        <v>0</v>
      </c>
      <c r="CA46" s="507" cm="1">
        <f t="array" ref="CA46">_xlfn.LET(_xlpm.DepreciationMonths,INDEX(FixedAssets[Depreciation
/ Amortization Months],_xlfn.XMATCH($E$33,FixedAssets[Asset ID])),IF(AND((_xlfn.XMATCH(CA$8,$AH$8:$CC$8))-_xlfn.XMATCH($C46,$C$35:$C$82)+1&lt;=_xlpm.DepreciationMonths,$C46&lt;=CA$8),$E46/_xlpm.DepreciationMonths,0))</f>
        <v>0</v>
      </c>
      <c r="CB46" s="507" cm="1">
        <f t="array" ref="CB46">_xlfn.LET(_xlpm.DepreciationMonths,INDEX(FixedAssets[Depreciation
/ Amortization Months],_xlfn.XMATCH($E$33,FixedAssets[Asset ID])),IF(AND((_xlfn.XMATCH(CB$8,$AH$8:$CC$8))-_xlfn.XMATCH($C46,$C$35:$C$82)+1&lt;=_xlpm.DepreciationMonths,$C46&lt;=CB$8),$E46/_xlpm.DepreciationMonths,0))</f>
        <v>0</v>
      </c>
      <c r="CC46" s="507" cm="1">
        <f t="array" ref="CC46">_xlfn.LET(_xlpm.DepreciationMonths,INDEX(FixedAssets[Depreciation
/ Amortization Months],_xlfn.XMATCH($E$33,FixedAssets[Asset ID])),IF(AND((_xlfn.XMATCH(CC$8,$AH$8:$CC$8))-_xlfn.XMATCH($C46,$C$35:$C$82)+1&lt;=_xlpm.DepreciationMonths,$C46&lt;=CC$8),$E46/_xlpm.DepreciationMonths,0))</f>
        <v>0</v>
      </c>
    </row>
    <row r="47" spans="3:81" hidden="1" outlineLevel="2">
      <c r="C47" s="664">
        <f t="shared" si="91"/>
        <v>45322</v>
      </c>
      <c r="D47" s="508"/>
      <c r="E47" s="508" cm="1">
        <f t="array" ref="E47">SUMPRODUCT(($AH$26:$CC$31)*($AH$5:$CC$5=$C47)*($E$26:$E$31=E$33))-SUMPRODUCT(($AH$26:$CC$31)*($AH$5:$CC$5=EOMONTH($C47,-1))*($E$26:$E$31=E$33))</f>
        <v>5000</v>
      </c>
      <c r="F47" s="508"/>
      <c r="G47" s="508"/>
      <c r="H47" s="508"/>
      <c r="I47" s="508"/>
      <c r="J47" s="504">
        <f t="shared" si="88"/>
        <v>0</v>
      </c>
      <c r="K47" s="504">
        <f t="shared" si="89"/>
        <v>1666.6666666666667</v>
      </c>
      <c r="L47" s="504">
        <f t="shared" si="89"/>
        <v>1666.6666666666667</v>
      </c>
      <c r="M47" s="504">
        <f t="shared" si="89"/>
        <v>1666.6666666666667</v>
      </c>
      <c r="N47" s="504"/>
      <c r="O47" s="504"/>
      <c r="P47" s="504">
        <f t="shared" si="90"/>
        <v>0</v>
      </c>
      <c r="Q47" s="504">
        <f t="shared" si="90"/>
        <v>0</v>
      </c>
      <c r="R47" s="504">
        <f t="shared" si="90"/>
        <v>0</v>
      </c>
      <c r="S47" s="504">
        <f t="shared" si="90"/>
        <v>0</v>
      </c>
      <c r="T47" s="504">
        <f t="shared" si="90"/>
        <v>416.66666666666663</v>
      </c>
      <c r="U47" s="504">
        <f t="shared" si="90"/>
        <v>416.66666666666663</v>
      </c>
      <c r="V47" s="504">
        <f t="shared" si="90"/>
        <v>416.66666666666663</v>
      </c>
      <c r="W47" s="504">
        <f t="shared" si="90"/>
        <v>416.66666666666663</v>
      </c>
      <c r="X47" s="504">
        <f t="shared" si="90"/>
        <v>416.66666666666663</v>
      </c>
      <c r="Y47" s="504">
        <f t="shared" si="90"/>
        <v>416.66666666666663</v>
      </c>
      <c r="Z47" s="504">
        <f t="shared" si="90"/>
        <v>416.66666666666663</v>
      </c>
      <c r="AA47" s="504">
        <f t="shared" si="90"/>
        <v>416.66666666666663</v>
      </c>
      <c r="AB47" s="504">
        <f t="shared" si="90"/>
        <v>416.66666666666663</v>
      </c>
      <c r="AC47" s="504">
        <f t="shared" si="90"/>
        <v>416.66666666666663</v>
      </c>
      <c r="AD47" s="504">
        <f t="shared" si="90"/>
        <v>416.66666666666663</v>
      </c>
      <c r="AE47" s="504">
        <f t="shared" si="90"/>
        <v>416.66666666666663</v>
      </c>
      <c r="AF47" s="508"/>
      <c r="AG47" s="508"/>
      <c r="AH47" s="507" cm="1">
        <f t="array" ref="AH47">_xlfn.LET(_xlpm.DepreciationMonths,INDEX(FixedAssets[Depreciation
/ Amortization Months],_xlfn.XMATCH($E$33,FixedAssets[Asset ID])),IF(AND((_xlfn.XMATCH(AH$8,$AH$8:$CC$8))-_xlfn.XMATCH($C47,$C$35:$C$82)+1&lt;=_xlpm.DepreciationMonths,$C47&lt;=AH$8),$E47/_xlpm.DepreciationMonths,0))</f>
        <v>0</v>
      </c>
      <c r="AI47" s="507" cm="1">
        <f t="array" ref="AI47">_xlfn.LET(_xlpm.DepreciationMonths,INDEX(FixedAssets[Depreciation
/ Amortization Months],_xlfn.XMATCH($E$33,FixedAssets[Asset ID])),IF(AND((_xlfn.XMATCH(AI$8,$AH$8:$CC$8))-_xlfn.XMATCH($C47,$C$35:$C$82)+1&lt;=_xlpm.DepreciationMonths,$C47&lt;=AI$8),$E47/_xlpm.DepreciationMonths,0))</f>
        <v>0</v>
      </c>
      <c r="AJ47" s="507" cm="1">
        <f t="array" ref="AJ47">_xlfn.LET(_xlpm.DepreciationMonths,INDEX(FixedAssets[Depreciation
/ Amortization Months],_xlfn.XMATCH($E$33,FixedAssets[Asset ID])),IF(AND((_xlfn.XMATCH(AJ$8,$AH$8:$CC$8))-_xlfn.XMATCH($C47,$C$35:$C$82)+1&lt;=_xlpm.DepreciationMonths,$C47&lt;=AJ$8),$E47/_xlpm.DepreciationMonths,0))</f>
        <v>0</v>
      </c>
      <c r="AK47" s="507" cm="1">
        <f t="array" ref="AK47">_xlfn.LET(_xlpm.DepreciationMonths,INDEX(FixedAssets[Depreciation
/ Amortization Months],_xlfn.XMATCH($E$33,FixedAssets[Asset ID])),IF(AND((_xlfn.XMATCH(AK$8,$AH$8:$CC$8))-_xlfn.XMATCH($C47,$C$35:$C$82)+1&lt;=_xlpm.DepreciationMonths,$C47&lt;=AK$8),$E47/_xlpm.DepreciationMonths,0))</f>
        <v>0</v>
      </c>
      <c r="AL47" s="507" cm="1">
        <f t="array" ref="AL47">_xlfn.LET(_xlpm.DepreciationMonths,INDEX(FixedAssets[Depreciation
/ Amortization Months],_xlfn.XMATCH($E$33,FixedAssets[Asset ID])),IF(AND((_xlfn.XMATCH(AL$8,$AH$8:$CC$8))-_xlfn.XMATCH($C47,$C$35:$C$82)+1&lt;=_xlpm.DepreciationMonths,$C47&lt;=AL$8),$E47/_xlpm.DepreciationMonths,0))</f>
        <v>0</v>
      </c>
      <c r="AM47" s="507" cm="1">
        <f t="array" ref="AM47">_xlfn.LET(_xlpm.DepreciationMonths,INDEX(FixedAssets[Depreciation
/ Amortization Months],_xlfn.XMATCH($E$33,FixedAssets[Asset ID])),IF(AND((_xlfn.XMATCH(AM$8,$AH$8:$CC$8))-_xlfn.XMATCH($C47,$C$35:$C$82)+1&lt;=_xlpm.DepreciationMonths,$C47&lt;=AM$8),$E47/_xlpm.DepreciationMonths,0))</f>
        <v>0</v>
      </c>
      <c r="AN47" s="507" cm="1">
        <f t="array" ref="AN47">_xlfn.LET(_xlpm.DepreciationMonths,INDEX(FixedAssets[Depreciation
/ Amortization Months],_xlfn.XMATCH($E$33,FixedAssets[Asset ID])),IF(AND((_xlfn.XMATCH(AN$8,$AH$8:$CC$8))-_xlfn.XMATCH($C47,$C$35:$C$82)+1&lt;=_xlpm.DepreciationMonths,$C47&lt;=AN$8),$E47/_xlpm.DepreciationMonths,0))</f>
        <v>0</v>
      </c>
      <c r="AO47" s="507" cm="1">
        <f t="array" ref="AO47">_xlfn.LET(_xlpm.DepreciationMonths,INDEX(FixedAssets[Depreciation
/ Amortization Months],_xlfn.XMATCH($E$33,FixedAssets[Asset ID])),IF(AND((_xlfn.XMATCH(AO$8,$AH$8:$CC$8))-_xlfn.XMATCH($C47,$C$35:$C$82)+1&lt;=_xlpm.DepreciationMonths,$C47&lt;=AO$8),$E47/_xlpm.DepreciationMonths,0))</f>
        <v>0</v>
      </c>
      <c r="AP47" s="507" cm="1">
        <f t="array" ref="AP47">_xlfn.LET(_xlpm.DepreciationMonths,INDEX(FixedAssets[Depreciation
/ Amortization Months],_xlfn.XMATCH($E$33,FixedAssets[Asset ID])),IF(AND((_xlfn.XMATCH(AP$8,$AH$8:$CC$8))-_xlfn.XMATCH($C47,$C$35:$C$82)+1&lt;=_xlpm.DepreciationMonths,$C47&lt;=AP$8),$E47/_xlpm.DepreciationMonths,0))</f>
        <v>0</v>
      </c>
      <c r="AQ47" s="507" cm="1">
        <f t="array" ref="AQ47">_xlfn.LET(_xlpm.DepreciationMonths,INDEX(FixedAssets[Depreciation
/ Amortization Months],_xlfn.XMATCH($E$33,FixedAssets[Asset ID])),IF(AND((_xlfn.XMATCH(AQ$8,$AH$8:$CC$8))-_xlfn.XMATCH($C47,$C$35:$C$82)+1&lt;=_xlpm.DepreciationMonths,$C47&lt;=AQ$8),$E47/_xlpm.DepreciationMonths,0))</f>
        <v>0</v>
      </c>
      <c r="AR47" s="507" cm="1">
        <f t="array" ref="AR47">_xlfn.LET(_xlpm.DepreciationMonths,INDEX(FixedAssets[Depreciation
/ Amortization Months],_xlfn.XMATCH($E$33,FixedAssets[Asset ID])),IF(AND((_xlfn.XMATCH(AR$8,$AH$8:$CC$8))-_xlfn.XMATCH($C47,$C$35:$C$82)+1&lt;=_xlpm.DepreciationMonths,$C47&lt;=AR$8),$E47/_xlpm.DepreciationMonths,0))</f>
        <v>0</v>
      </c>
      <c r="AS47" s="507" cm="1">
        <f t="array" ref="AS47">_xlfn.LET(_xlpm.DepreciationMonths,INDEX(FixedAssets[Depreciation
/ Amortization Months],_xlfn.XMATCH($E$33,FixedAssets[Asset ID])),IF(AND((_xlfn.XMATCH(AS$8,$AH$8:$CC$8))-_xlfn.XMATCH($C47,$C$35:$C$82)+1&lt;=_xlpm.DepreciationMonths,$C47&lt;=AS$8),$E47/_xlpm.DepreciationMonths,0))</f>
        <v>0</v>
      </c>
      <c r="AT47" s="507" cm="1">
        <f t="array" ref="AT47">_xlfn.LET(_xlpm.DepreciationMonths,INDEX(FixedAssets[Depreciation
/ Amortization Months],_xlfn.XMATCH($E$33,FixedAssets[Asset ID])),IF(AND((_xlfn.XMATCH(AT$8,$AH$8:$CC$8))-_xlfn.XMATCH($C47,$C$35:$C$82)+1&lt;=_xlpm.DepreciationMonths,$C47&lt;=AT$8),$E47/_xlpm.DepreciationMonths,0))</f>
        <v>138.88888888888889</v>
      </c>
      <c r="AU47" s="507" cm="1">
        <f t="array" ref="AU47">_xlfn.LET(_xlpm.DepreciationMonths,INDEX(FixedAssets[Depreciation
/ Amortization Months],_xlfn.XMATCH($E$33,FixedAssets[Asset ID])),IF(AND((_xlfn.XMATCH(AU$8,$AH$8:$CC$8))-_xlfn.XMATCH($C47,$C$35:$C$82)+1&lt;=_xlpm.DepreciationMonths,$C47&lt;=AU$8),$E47/_xlpm.DepreciationMonths,0))</f>
        <v>138.88888888888889</v>
      </c>
      <c r="AV47" s="507" cm="1">
        <f t="array" ref="AV47">_xlfn.LET(_xlpm.DepreciationMonths,INDEX(FixedAssets[Depreciation
/ Amortization Months],_xlfn.XMATCH($E$33,FixedAssets[Asset ID])),IF(AND((_xlfn.XMATCH(AV$8,$AH$8:$CC$8))-_xlfn.XMATCH($C47,$C$35:$C$82)+1&lt;=_xlpm.DepreciationMonths,$C47&lt;=AV$8),$E47/_xlpm.DepreciationMonths,0))</f>
        <v>138.88888888888889</v>
      </c>
      <c r="AW47" s="507" cm="1">
        <f t="array" ref="AW47">_xlfn.LET(_xlpm.DepreciationMonths,INDEX(FixedAssets[Depreciation
/ Amortization Months],_xlfn.XMATCH($E$33,FixedAssets[Asset ID])),IF(AND((_xlfn.XMATCH(AW$8,$AH$8:$CC$8))-_xlfn.XMATCH($C47,$C$35:$C$82)+1&lt;=_xlpm.DepreciationMonths,$C47&lt;=AW$8),$E47/_xlpm.DepreciationMonths,0))</f>
        <v>138.88888888888889</v>
      </c>
      <c r="AX47" s="507" cm="1">
        <f t="array" ref="AX47">_xlfn.LET(_xlpm.DepreciationMonths,INDEX(FixedAssets[Depreciation
/ Amortization Months],_xlfn.XMATCH($E$33,FixedAssets[Asset ID])),IF(AND((_xlfn.XMATCH(AX$8,$AH$8:$CC$8))-_xlfn.XMATCH($C47,$C$35:$C$82)+1&lt;=_xlpm.DepreciationMonths,$C47&lt;=AX$8),$E47/_xlpm.DepreciationMonths,0))</f>
        <v>138.88888888888889</v>
      </c>
      <c r="AY47" s="507" cm="1">
        <f t="array" ref="AY47">_xlfn.LET(_xlpm.DepreciationMonths,INDEX(FixedAssets[Depreciation
/ Amortization Months],_xlfn.XMATCH($E$33,FixedAssets[Asset ID])),IF(AND((_xlfn.XMATCH(AY$8,$AH$8:$CC$8))-_xlfn.XMATCH($C47,$C$35:$C$82)+1&lt;=_xlpm.DepreciationMonths,$C47&lt;=AY$8),$E47/_xlpm.DepreciationMonths,0))</f>
        <v>138.88888888888889</v>
      </c>
      <c r="AZ47" s="507" cm="1">
        <f t="array" ref="AZ47">_xlfn.LET(_xlpm.DepreciationMonths,INDEX(FixedAssets[Depreciation
/ Amortization Months],_xlfn.XMATCH($E$33,FixedAssets[Asset ID])),IF(AND((_xlfn.XMATCH(AZ$8,$AH$8:$CC$8))-_xlfn.XMATCH($C47,$C$35:$C$82)+1&lt;=_xlpm.DepreciationMonths,$C47&lt;=AZ$8),$E47/_xlpm.DepreciationMonths,0))</f>
        <v>138.88888888888889</v>
      </c>
      <c r="BA47" s="507" cm="1">
        <f t="array" ref="BA47">_xlfn.LET(_xlpm.DepreciationMonths,INDEX(FixedAssets[Depreciation
/ Amortization Months],_xlfn.XMATCH($E$33,FixedAssets[Asset ID])),IF(AND((_xlfn.XMATCH(BA$8,$AH$8:$CC$8))-_xlfn.XMATCH($C47,$C$35:$C$82)+1&lt;=_xlpm.DepreciationMonths,$C47&lt;=BA$8),$E47/_xlpm.DepreciationMonths,0))</f>
        <v>138.88888888888889</v>
      </c>
      <c r="BB47" s="507" cm="1">
        <f t="array" ref="BB47">_xlfn.LET(_xlpm.DepreciationMonths,INDEX(FixedAssets[Depreciation
/ Amortization Months],_xlfn.XMATCH($E$33,FixedAssets[Asset ID])),IF(AND((_xlfn.XMATCH(BB$8,$AH$8:$CC$8))-_xlfn.XMATCH($C47,$C$35:$C$82)+1&lt;=_xlpm.DepreciationMonths,$C47&lt;=BB$8),$E47/_xlpm.DepreciationMonths,0))</f>
        <v>138.88888888888889</v>
      </c>
      <c r="BC47" s="507" cm="1">
        <f t="array" ref="BC47">_xlfn.LET(_xlpm.DepreciationMonths,INDEX(FixedAssets[Depreciation
/ Amortization Months],_xlfn.XMATCH($E$33,FixedAssets[Asset ID])),IF(AND((_xlfn.XMATCH(BC$8,$AH$8:$CC$8))-_xlfn.XMATCH($C47,$C$35:$C$82)+1&lt;=_xlpm.DepreciationMonths,$C47&lt;=BC$8),$E47/_xlpm.DepreciationMonths,0))</f>
        <v>138.88888888888889</v>
      </c>
      <c r="BD47" s="507" cm="1">
        <f t="array" ref="BD47">_xlfn.LET(_xlpm.DepreciationMonths,INDEX(FixedAssets[Depreciation
/ Amortization Months],_xlfn.XMATCH($E$33,FixedAssets[Asset ID])),IF(AND((_xlfn.XMATCH(BD$8,$AH$8:$CC$8))-_xlfn.XMATCH($C47,$C$35:$C$82)+1&lt;=_xlpm.DepreciationMonths,$C47&lt;=BD$8),$E47/_xlpm.DepreciationMonths,0))</f>
        <v>138.88888888888889</v>
      </c>
      <c r="BE47" s="507" cm="1">
        <f t="array" ref="BE47">_xlfn.LET(_xlpm.DepreciationMonths,INDEX(FixedAssets[Depreciation
/ Amortization Months],_xlfn.XMATCH($E$33,FixedAssets[Asset ID])),IF(AND((_xlfn.XMATCH(BE$8,$AH$8:$CC$8))-_xlfn.XMATCH($C47,$C$35:$C$82)+1&lt;=_xlpm.DepreciationMonths,$C47&lt;=BE$8),$E47/_xlpm.DepreciationMonths,0))</f>
        <v>138.88888888888889</v>
      </c>
      <c r="BF47" s="507" cm="1">
        <f t="array" ref="BF47">_xlfn.LET(_xlpm.DepreciationMonths,INDEX(FixedAssets[Depreciation
/ Amortization Months],_xlfn.XMATCH($E$33,FixedAssets[Asset ID])),IF(AND((_xlfn.XMATCH(BF$8,$AH$8:$CC$8))-_xlfn.XMATCH($C47,$C$35:$C$82)+1&lt;=_xlpm.DepreciationMonths,$C47&lt;=BF$8),$E47/_xlpm.DepreciationMonths,0))</f>
        <v>138.88888888888889</v>
      </c>
      <c r="BG47" s="507" cm="1">
        <f t="array" ref="BG47">_xlfn.LET(_xlpm.DepreciationMonths,INDEX(FixedAssets[Depreciation
/ Amortization Months],_xlfn.XMATCH($E$33,FixedAssets[Asset ID])),IF(AND((_xlfn.XMATCH(BG$8,$AH$8:$CC$8))-_xlfn.XMATCH($C47,$C$35:$C$82)+1&lt;=_xlpm.DepreciationMonths,$C47&lt;=BG$8),$E47/_xlpm.DepreciationMonths,0))</f>
        <v>138.88888888888889</v>
      </c>
      <c r="BH47" s="507" cm="1">
        <f t="array" ref="BH47">_xlfn.LET(_xlpm.DepreciationMonths,INDEX(FixedAssets[Depreciation
/ Amortization Months],_xlfn.XMATCH($E$33,FixedAssets[Asset ID])),IF(AND((_xlfn.XMATCH(BH$8,$AH$8:$CC$8))-_xlfn.XMATCH($C47,$C$35:$C$82)+1&lt;=_xlpm.DepreciationMonths,$C47&lt;=BH$8),$E47/_xlpm.DepreciationMonths,0))</f>
        <v>138.88888888888889</v>
      </c>
      <c r="BI47" s="507" cm="1">
        <f t="array" ref="BI47">_xlfn.LET(_xlpm.DepreciationMonths,INDEX(FixedAssets[Depreciation
/ Amortization Months],_xlfn.XMATCH($E$33,FixedAssets[Asset ID])),IF(AND((_xlfn.XMATCH(BI$8,$AH$8:$CC$8))-_xlfn.XMATCH($C47,$C$35:$C$82)+1&lt;=_xlpm.DepreciationMonths,$C47&lt;=BI$8),$E47/_xlpm.DepreciationMonths,0))</f>
        <v>138.88888888888889</v>
      </c>
      <c r="BJ47" s="507" cm="1">
        <f t="array" ref="BJ47">_xlfn.LET(_xlpm.DepreciationMonths,INDEX(FixedAssets[Depreciation
/ Amortization Months],_xlfn.XMATCH($E$33,FixedAssets[Asset ID])),IF(AND((_xlfn.XMATCH(BJ$8,$AH$8:$CC$8))-_xlfn.XMATCH($C47,$C$35:$C$82)+1&lt;=_xlpm.DepreciationMonths,$C47&lt;=BJ$8),$E47/_xlpm.DepreciationMonths,0))</f>
        <v>138.88888888888889</v>
      </c>
      <c r="BK47" s="507" cm="1">
        <f t="array" ref="BK47">_xlfn.LET(_xlpm.DepreciationMonths,INDEX(FixedAssets[Depreciation
/ Amortization Months],_xlfn.XMATCH($E$33,FixedAssets[Asset ID])),IF(AND((_xlfn.XMATCH(BK$8,$AH$8:$CC$8))-_xlfn.XMATCH($C47,$C$35:$C$82)+1&lt;=_xlpm.DepreciationMonths,$C47&lt;=BK$8),$E47/_xlpm.DepreciationMonths,0))</f>
        <v>138.88888888888889</v>
      </c>
      <c r="BL47" s="507" cm="1">
        <f t="array" ref="BL47">_xlfn.LET(_xlpm.DepreciationMonths,INDEX(FixedAssets[Depreciation
/ Amortization Months],_xlfn.XMATCH($E$33,FixedAssets[Asset ID])),IF(AND((_xlfn.XMATCH(BL$8,$AH$8:$CC$8))-_xlfn.XMATCH($C47,$C$35:$C$82)+1&lt;=_xlpm.DepreciationMonths,$C47&lt;=BL$8),$E47/_xlpm.DepreciationMonths,0))</f>
        <v>138.88888888888889</v>
      </c>
      <c r="BM47" s="507" cm="1">
        <f t="array" ref="BM47">_xlfn.LET(_xlpm.DepreciationMonths,INDEX(FixedAssets[Depreciation
/ Amortization Months],_xlfn.XMATCH($E$33,FixedAssets[Asset ID])),IF(AND((_xlfn.XMATCH(BM$8,$AH$8:$CC$8))-_xlfn.XMATCH($C47,$C$35:$C$82)+1&lt;=_xlpm.DepreciationMonths,$C47&lt;=BM$8),$E47/_xlpm.DepreciationMonths,0))</f>
        <v>138.88888888888889</v>
      </c>
      <c r="BN47" s="507" cm="1">
        <f t="array" ref="BN47">_xlfn.LET(_xlpm.DepreciationMonths,INDEX(FixedAssets[Depreciation
/ Amortization Months],_xlfn.XMATCH($E$33,FixedAssets[Asset ID])),IF(AND((_xlfn.XMATCH(BN$8,$AH$8:$CC$8))-_xlfn.XMATCH($C47,$C$35:$C$82)+1&lt;=_xlpm.DepreciationMonths,$C47&lt;=BN$8),$E47/_xlpm.DepreciationMonths,0))</f>
        <v>138.88888888888889</v>
      </c>
      <c r="BO47" s="507" cm="1">
        <f t="array" ref="BO47">_xlfn.LET(_xlpm.DepreciationMonths,INDEX(FixedAssets[Depreciation
/ Amortization Months],_xlfn.XMATCH($E$33,FixedAssets[Asset ID])),IF(AND((_xlfn.XMATCH(BO$8,$AH$8:$CC$8))-_xlfn.XMATCH($C47,$C$35:$C$82)+1&lt;=_xlpm.DepreciationMonths,$C47&lt;=BO$8),$E47/_xlpm.DepreciationMonths,0))</f>
        <v>138.88888888888889</v>
      </c>
      <c r="BP47" s="507" cm="1">
        <f t="array" ref="BP47">_xlfn.LET(_xlpm.DepreciationMonths,INDEX(FixedAssets[Depreciation
/ Amortization Months],_xlfn.XMATCH($E$33,FixedAssets[Asset ID])),IF(AND((_xlfn.XMATCH(BP$8,$AH$8:$CC$8))-_xlfn.XMATCH($C47,$C$35:$C$82)+1&lt;=_xlpm.DepreciationMonths,$C47&lt;=BP$8),$E47/_xlpm.DepreciationMonths,0))</f>
        <v>138.88888888888889</v>
      </c>
      <c r="BQ47" s="507" cm="1">
        <f t="array" ref="BQ47">_xlfn.LET(_xlpm.DepreciationMonths,INDEX(FixedAssets[Depreciation
/ Amortization Months],_xlfn.XMATCH($E$33,FixedAssets[Asset ID])),IF(AND((_xlfn.XMATCH(BQ$8,$AH$8:$CC$8))-_xlfn.XMATCH($C47,$C$35:$C$82)+1&lt;=_xlpm.DepreciationMonths,$C47&lt;=BQ$8),$E47/_xlpm.DepreciationMonths,0))</f>
        <v>138.88888888888889</v>
      </c>
      <c r="BR47" s="507" cm="1">
        <f t="array" ref="BR47">_xlfn.LET(_xlpm.DepreciationMonths,INDEX(FixedAssets[Depreciation
/ Amortization Months],_xlfn.XMATCH($E$33,FixedAssets[Asset ID])),IF(AND((_xlfn.XMATCH(BR$8,$AH$8:$CC$8))-_xlfn.XMATCH($C47,$C$35:$C$82)+1&lt;=_xlpm.DepreciationMonths,$C47&lt;=BR$8),$E47/_xlpm.DepreciationMonths,0))</f>
        <v>138.88888888888889</v>
      </c>
      <c r="BS47" s="507" cm="1">
        <f t="array" ref="BS47">_xlfn.LET(_xlpm.DepreciationMonths,INDEX(FixedAssets[Depreciation
/ Amortization Months],_xlfn.XMATCH($E$33,FixedAssets[Asset ID])),IF(AND((_xlfn.XMATCH(BS$8,$AH$8:$CC$8))-_xlfn.XMATCH($C47,$C$35:$C$82)+1&lt;=_xlpm.DepreciationMonths,$C47&lt;=BS$8),$E47/_xlpm.DepreciationMonths,0))</f>
        <v>138.88888888888889</v>
      </c>
      <c r="BT47" s="507" cm="1">
        <f t="array" ref="BT47">_xlfn.LET(_xlpm.DepreciationMonths,INDEX(FixedAssets[Depreciation
/ Amortization Months],_xlfn.XMATCH($E$33,FixedAssets[Asset ID])),IF(AND((_xlfn.XMATCH(BT$8,$AH$8:$CC$8))-_xlfn.XMATCH($C47,$C$35:$C$82)+1&lt;=_xlpm.DepreciationMonths,$C47&lt;=BT$8),$E47/_xlpm.DepreciationMonths,0))</f>
        <v>138.88888888888889</v>
      </c>
      <c r="BU47" s="507" cm="1">
        <f t="array" ref="BU47">_xlfn.LET(_xlpm.DepreciationMonths,INDEX(FixedAssets[Depreciation
/ Amortization Months],_xlfn.XMATCH($E$33,FixedAssets[Asset ID])),IF(AND((_xlfn.XMATCH(BU$8,$AH$8:$CC$8))-_xlfn.XMATCH($C47,$C$35:$C$82)+1&lt;=_xlpm.DepreciationMonths,$C47&lt;=BU$8),$E47/_xlpm.DepreciationMonths,0))</f>
        <v>138.88888888888889</v>
      </c>
      <c r="BV47" s="507" cm="1">
        <f t="array" ref="BV47">_xlfn.LET(_xlpm.DepreciationMonths,INDEX(FixedAssets[Depreciation
/ Amortization Months],_xlfn.XMATCH($E$33,FixedAssets[Asset ID])),IF(AND((_xlfn.XMATCH(BV$8,$AH$8:$CC$8))-_xlfn.XMATCH($C47,$C$35:$C$82)+1&lt;=_xlpm.DepreciationMonths,$C47&lt;=BV$8),$E47/_xlpm.DepreciationMonths,0))</f>
        <v>138.88888888888889</v>
      </c>
      <c r="BW47" s="507" cm="1">
        <f t="array" ref="BW47">_xlfn.LET(_xlpm.DepreciationMonths,INDEX(FixedAssets[Depreciation
/ Amortization Months],_xlfn.XMATCH($E$33,FixedAssets[Asset ID])),IF(AND((_xlfn.XMATCH(BW$8,$AH$8:$CC$8))-_xlfn.XMATCH($C47,$C$35:$C$82)+1&lt;=_xlpm.DepreciationMonths,$C47&lt;=BW$8),$E47/_xlpm.DepreciationMonths,0))</f>
        <v>138.88888888888889</v>
      </c>
      <c r="BX47" s="507" cm="1">
        <f t="array" ref="BX47">_xlfn.LET(_xlpm.DepreciationMonths,INDEX(FixedAssets[Depreciation
/ Amortization Months],_xlfn.XMATCH($E$33,FixedAssets[Asset ID])),IF(AND((_xlfn.XMATCH(BX$8,$AH$8:$CC$8))-_xlfn.XMATCH($C47,$C$35:$C$82)+1&lt;=_xlpm.DepreciationMonths,$C47&lt;=BX$8),$E47/_xlpm.DepreciationMonths,0))</f>
        <v>138.88888888888889</v>
      </c>
      <c r="BY47" s="507" cm="1">
        <f t="array" ref="BY47">_xlfn.LET(_xlpm.DepreciationMonths,INDEX(FixedAssets[Depreciation
/ Amortization Months],_xlfn.XMATCH($E$33,FixedAssets[Asset ID])),IF(AND((_xlfn.XMATCH(BY$8,$AH$8:$CC$8))-_xlfn.XMATCH($C47,$C$35:$C$82)+1&lt;=_xlpm.DepreciationMonths,$C47&lt;=BY$8),$E47/_xlpm.DepreciationMonths,0))</f>
        <v>138.88888888888889</v>
      </c>
      <c r="BZ47" s="507" cm="1">
        <f t="array" ref="BZ47">_xlfn.LET(_xlpm.DepreciationMonths,INDEX(FixedAssets[Depreciation
/ Amortization Months],_xlfn.XMATCH($E$33,FixedAssets[Asset ID])),IF(AND((_xlfn.XMATCH(BZ$8,$AH$8:$CC$8))-_xlfn.XMATCH($C47,$C$35:$C$82)+1&lt;=_xlpm.DepreciationMonths,$C47&lt;=BZ$8),$E47/_xlpm.DepreciationMonths,0))</f>
        <v>138.88888888888889</v>
      </c>
      <c r="CA47" s="507" cm="1">
        <f t="array" ref="CA47">_xlfn.LET(_xlpm.DepreciationMonths,INDEX(FixedAssets[Depreciation
/ Amortization Months],_xlfn.XMATCH($E$33,FixedAssets[Asset ID])),IF(AND((_xlfn.XMATCH(CA$8,$AH$8:$CC$8))-_xlfn.XMATCH($C47,$C$35:$C$82)+1&lt;=_xlpm.DepreciationMonths,$C47&lt;=CA$8),$E47/_xlpm.DepreciationMonths,0))</f>
        <v>138.88888888888889</v>
      </c>
      <c r="CB47" s="507" cm="1">
        <f t="array" ref="CB47">_xlfn.LET(_xlpm.DepreciationMonths,INDEX(FixedAssets[Depreciation
/ Amortization Months],_xlfn.XMATCH($E$33,FixedAssets[Asset ID])),IF(AND((_xlfn.XMATCH(CB$8,$AH$8:$CC$8))-_xlfn.XMATCH($C47,$C$35:$C$82)+1&lt;=_xlpm.DepreciationMonths,$C47&lt;=CB$8),$E47/_xlpm.DepreciationMonths,0))</f>
        <v>138.88888888888889</v>
      </c>
      <c r="CC47" s="507" cm="1">
        <f t="array" ref="CC47">_xlfn.LET(_xlpm.DepreciationMonths,INDEX(FixedAssets[Depreciation
/ Amortization Months],_xlfn.XMATCH($E$33,FixedAssets[Asset ID])),IF(AND((_xlfn.XMATCH(CC$8,$AH$8:$CC$8))-_xlfn.XMATCH($C47,$C$35:$C$82)+1&lt;=_xlpm.DepreciationMonths,$C47&lt;=CC$8),$E47/_xlpm.DepreciationMonths,0))</f>
        <v>138.88888888888889</v>
      </c>
    </row>
    <row r="48" spans="3:81" hidden="1" outlineLevel="2">
      <c r="C48" s="664">
        <f t="shared" si="91"/>
        <v>45351</v>
      </c>
      <c r="D48" s="508"/>
      <c r="E48" s="508" cm="1">
        <f t="array" ref="E48">SUMPRODUCT(($AH$26:$CC$31)*($AH$5:$CC$5=$C48)*($E$26:$E$31=E$33))-SUMPRODUCT(($AH$26:$CC$31)*($AH$5:$CC$5=EOMONTH($C48,-1))*($E$26:$E$31=E$33))</f>
        <v>0</v>
      </c>
      <c r="F48" s="508"/>
      <c r="G48" s="508"/>
      <c r="H48" s="508"/>
      <c r="I48" s="508"/>
      <c r="J48" s="504">
        <f t="shared" si="88"/>
        <v>0</v>
      </c>
      <c r="K48" s="504">
        <f t="shared" si="89"/>
        <v>0</v>
      </c>
      <c r="L48" s="504">
        <f t="shared" si="89"/>
        <v>0</v>
      </c>
      <c r="M48" s="504">
        <f t="shared" si="89"/>
        <v>0</v>
      </c>
      <c r="N48" s="504"/>
      <c r="O48" s="504"/>
      <c r="P48" s="504">
        <f t="shared" si="90"/>
        <v>0</v>
      </c>
      <c r="Q48" s="504">
        <f t="shared" si="90"/>
        <v>0</v>
      </c>
      <c r="R48" s="504">
        <f t="shared" si="90"/>
        <v>0</v>
      </c>
      <c r="S48" s="504">
        <f t="shared" si="90"/>
        <v>0</v>
      </c>
      <c r="T48" s="504">
        <f t="shared" si="90"/>
        <v>0</v>
      </c>
      <c r="U48" s="504">
        <f t="shared" si="90"/>
        <v>0</v>
      </c>
      <c r="V48" s="504">
        <f t="shared" si="90"/>
        <v>0</v>
      </c>
      <c r="W48" s="504">
        <f t="shared" si="90"/>
        <v>0</v>
      </c>
      <c r="X48" s="504">
        <f t="shared" si="90"/>
        <v>0</v>
      </c>
      <c r="Y48" s="504">
        <f t="shared" si="90"/>
        <v>0</v>
      </c>
      <c r="Z48" s="504">
        <f t="shared" si="90"/>
        <v>0</v>
      </c>
      <c r="AA48" s="504">
        <f t="shared" si="90"/>
        <v>0</v>
      </c>
      <c r="AB48" s="504">
        <f t="shared" si="90"/>
        <v>0</v>
      </c>
      <c r="AC48" s="504">
        <f t="shared" si="90"/>
        <v>0</v>
      </c>
      <c r="AD48" s="504">
        <f t="shared" si="90"/>
        <v>0</v>
      </c>
      <c r="AE48" s="504">
        <f t="shared" si="90"/>
        <v>0</v>
      </c>
      <c r="AF48" s="508"/>
      <c r="AG48" s="508"/>
      <c r="AH48" s="507" cm="1">
        <f t="array" ref="AH48">_xlfn.LET(_xlpm.DepreciationMonths,INDEX(FixedAssets[Depreciation
/ Amortization Months],_xlfn.XMATCH($E$33,FixedAssets[Asset ID])),IF(AND((_xlfn.XMATCH(AH$8,$AH$8:$CC$8))-_xlfn.XMATCH($C48,$C$35:$C$82)+1&lt;=_xlpm.DepreciationMonths,$C48&lt;=AH$8),$E48/_xlpm.DepreciationMonths,0))</f>
        <v>0</v>
      </c>
      <c r="AI48" s="507" cm="1">
        <f t="array" ref="AI48">_xlfn.LET(_xlpm.DepreciationMonths,INDEX(FixedAssets[Depreciation
/ Amortization Months],_xlfn.XMATCH($E$33,FixedAssets[Asset ID])),IF(AND((_xlfn.XMATCH(AI$8,$AH$8:$CC$8))-_xlfn.XMATCH($C48,$C$35:$C$82)+1&lt;=_xlpm.DepreciationMonths,$C48&lt;=AI$8),$E48/_xlpm.DepreciationMonths,0))</f>
        <v>0</v>
      </c>
      <c r="AJ48" s="507" cm="1">
        <f t="array" ref="AJ48">_xlfn.LET(_xlpm.DepreciationMonths,INDEX(FixedAssets[Depreciation
/ Amortization Months],_xlfn.XMATCH($E$33,FixedAssets[Asset ID])),IF(AND((_xlfn.XMATCH(AJ$8,$AH$8:$CC$8))-_xlfn.XMATCH($C48,$C$35:$C$82)+1&lt;=_xlpm.DepreciationMonths,$C48&lt;=AJ$8),$E48/_xlpm.DepreciationMonths,0))</f>
        <v>0</v>
      </c>
      <c r="AK48" s="507" cm="1">
        <f t="array" ref="AK48">_xlfn.LET(_xlpm.DepreciationMonths,INDEX(FixedAssets[Depreciation
/ Amortization Months],_xlfn.XMATCH($E$33,FixedAssets[Asset ID])),IF(AND((_xlfn.XMATCH(AK$8,$AH$8:$CC$8))-_xlfn.XMATCH($C48,$C$35:$C$82)+1&lt;=_xlpm.DepreciationMonths,$C48&lt;=AK$8),$E48/_xlpm.DepreciationMonths,0))</f>
        <v>0</v>
      </c>
      <c r="AL48" s="507" cm="1">
        <f t="array" ref="AL48">_xlfn.LET(_xlpm.DepreciationMonths,INDEX(FixedAssets[Depreciation
/ Amortization Months],_xlfn.XMATCH($E$33,FixedAssets[Asset ID])),IF(AND((_xlfn.XMATCH(AL$8,$AH$8:$CC$8))-_xlfn.XMATCH($C48,$C$35:$C$82)+1&lt;=_xlpm.DepreciationMonths,$C48&lt;=AL$8),$E48/_xlpm.DepreciationMonths,0))</f>
        <v>0</v>
      </c>
      <c r="AM48" s="507" cm="1">
        <f t="array" ref="AM48">_xlfn.LET(_xlpm.DepreciationMonths,INDEX(FixedAssets[Depreciation
/ Amortization Months],_xlfn.XMATCH($E$33,FixedAssets[Asset ID])),IF(AND((_xlfn.XMATCH(AM$8,$AH$8:$CC$8))-_xlfn.XMATCH($C48,$C$35:$C$82)+1&lt;=_xlpm.DepreciationMonths,$C48&lt;=AM$8),$E48/_xlpm.DepreciationMonths,0))</f>
        <v>0</v>
      </c>
      <c r="AN48" s="507" cm="1">
        <f t="array" ref="AN48">_xlfn.LET(_xlpm.DepreciationMonths,INDEX(FixedAssets[Depreciation
/ Amortization Months],_xlfn.XMATCH($E$33,FixedAssets[Asset ID])),IF(AND((_xlfn.XMATCH(AN$8,$AH$8:$CC$8))-_xlfn.XMATCH($C48,$C$35:$C$82)+1&lt;=_xlpm.DepreciationMonths,$C48&lt;=AN$8),$E48/_xlpm.DepreciationMonths,0))</f>
        <v>0</v>
      </c>
      <c r="AO48" s="507" cm="1">
        <f t="array" ref="AO48">_xlfn.LET(_xlpm.DepreciationMonths,INDEX(FixedAssets[Depreciation
/ Amortization Months],_xlfn.XMATCH($E$33,FixedAssets[Asset ID])),IF(AND((_xlfn.XMATCH(AO$8,$AH$8:$CC$8))-_xlfn.XMATCH($C48,$C$35:$C$82)+1&lt;=_xlpm.DepreciationMonths,$C48&lt;=AO$8),$E48/_xlpm.DepreciationMonths,0))</f>
        <v>0</v>
      </c>
      <c r="AP48" s="507" cm="1">
        <f t="array" ref="AP48">_xlfn.LET(_xlpm.DepreciationMonths,INDEX(FixedAssets[Depreciation
/ Amortization Months],_xlfn.XMATCH($E$33,FixedAssets[Asset ID])),IF(AND((_xlfn.XMATCH(AP$8,$AH$8:$CC$8))-_xlfn.XMATCH($C48,$C$35:$C$82)+1&lt;=_xlpm.DepreciationMonths,$C48&lt;=AP$8),$E48/_xlpm.DepreciationMonths,0))</f>
        <v>0</v>
      </c>
      <c r="AQ48" s="507" cm="1">
        <f t="array" ref="AQ48">_xlfn.LET(_xlpm.DepreciationMonths,INDEX(FixedAssets[Depreciation
/ Amortization Months],_xlfn.XMATCH($E$33,FixedAssets[Asset ID])),IF(AND((_xlfn.XMATCH(AQ$8,$AH$8:$CC$8))-_xlfn.XMATCH($C48,$C$35:$C$82)+1&lt;=_xlpm.DepreciationMonths,$C48&lt;=AQ$8),$E48/_xlpm.DepreciationMonths,0))</f>
        <v>0</v>
      </c>
      <c r="AR48" s="507" cm="1">
        <f t="array" ref="AR48">_xlfn.LET(_xlpm.DepreciationMonths,INDEX(FixedAssets[Depreciation
/ Amortization Months],_xlfn.XMATCH($E$33,FixedAssets[Asset ID])),IF(AND((_xlfn.XMATCH(AR$8,$AH$8:$CC$8))-_xlfn.XMATCH($C48,$C$35:$C$82)+1&lt;=_xlpm.DepreciationMonths,$C48&lt;=AR$8),$E48/_xlpm.DepreciationMonths,0))</f>
        <v>0</v>
      </c>
      <c r="AS48" s="507" cm="1">
        <f t="array" ref="AS48">_xlfn.LET(_xlpm.DepreciationMonths,INDEX(FixedAssets[Depreciation
/ Amortization Months],_xlfn.XMATCH($E$33,FixedAssets[Asset ID])),IF(AND((_xlfn.XMATCH(AS$8,$AH$8:$CC$8))-_xlfn.XMATCH($C48,$C$35:$C$82)+1&lt;=_xlpm.DepreciationMonths,$C48&lt;=AS$8),$E48/_xlpm.DepreciationMonths,0))</f>
        <v>0</v>
      </c>
      <c r="AT48" s="507" cm="1">
        <f t="array" ref="AT48">_xlfn.LET(_xlpm.DepreciationMonths,INDEX(FixedAssets[Depreciation
/ Amortization Months],_xlfn.XMATCH($E$33,FixedAssets[Asset ID])),IF(AND((_xlfn.XMATCH(AT$8,$AH$8:$CC$8))-_xlfn.XMATCH($C48,$C$35:$C$82)+1&lt;=_xlpm.DepreciationMonths,$C48&lt;=AT$8),$E48/_xlpm.DepreciationMonths,0))</f>
        <v>0</v>
      </c>
      <c r="AU48" s="507" cm="1">
        <f t="array" ref="AU48">_xlfn.LET(_xlpm.DepreciationMonths,INDEX(FixedAssets[Depreciation
/ Amortization Months],_xlfn.XMATCH($E$33,FixedAssets[Asset ID])),IF(AND((_xlfn.XMATCH(AU$8,$AH$8:$CC$8))-_xlfn.XMATCH($C48,$C$35:$C$82)+1&lt;=_xlpm.DepreciationMonths,$C48&lt;=AU$8),$E48/_xlpm.DepreciationMonths,0))</f>
        <v>0</v>
      </c>
      <c r="AV48" s="507" cm="1">
        <f t="array" ref="AV48">_xlfn.LET(_xlpm.DepreciationMonths,INDEX(FixedAssets[Depreciation
/ Amortization Months],_xlfn.XMATCH($E$33,FixedAssets[Asset ID])),IF(AND((_xlfn.XMATCH(AV$8,$AH$8:$CC$8))-_xlfn.XMATCH($C48,$C$35:$C$82)+1&lt;=_xlpm.DepreciationMonths,$C48&lt;=AV$8),$E48/_xlpm.DepreciationMonths,0))</f>
        <v>0</v>
      </c>
      <c r="AW48" s="507" cm="1">
        <f t="array" ref="AW48">_xlfn.LET(_xlpm.DepreciationMonths,INDEX(FixedAssets[Depreciation
/ Amortization Months],_xlfn.XMATCH($E$33,FixedAssets[Asset ID])),IF(AND((_xlfn.XMATCH(AW$8,$AH$8:$CC$8))-_xlfn.XMATCH($C48,$C$35:$C$82)+1&lt;=_xlpm.DepreciationMonths,$C48&lt;=AW$8),$E48/_xlpm.DepreciationMonths,0))</f>
        <v>0</v>
      </c>
      <c r="AX48" s="507" cm="1">
        <f t="array" ref="AX48">_xlfn.LET(_xlpm.DepreciationMonths,INDEX(FixedAssets[Depreciation
/ Amortization Months],_xlfn.XMATCH($E$33,FixedAssets[Asset ID])),IF(AND((_xlfn.XMATCH(AX$8,$AH$8:$CC$8))-_xlfn.XMATCH($C48,$C$35:$C$82)+1&lt;=_xlpm.DepreciationMonths,$C48&lt;=AX$8),$E48/_xlpm.DepreciationMonths,0))</f>
        <v>0</v>
      </c>
      <c r="AY48" s="507" cm="1">
        <f t="array" ref="AY48">_xlfn.LET(_xlpm.DepreciationMonths,INDEX(FixedAssets[Depreciation
/ Amortization Months],_xlfn.XMATCH($E$33,FixedAssets[Asset ID])),IF(AND((_xlfn.XMATCH(AY$8,$AH$8:$CC$8))-_xlfn.XMATCH($C48,$C$35:$C$82)+1&lt;=_xlpm.DepreciationMonths,$C48&lt;=AY$8),$E48/_xlpm.DepreciationMonths,0))</f>
        <v>0</v>
      </c>
      <c r="AZ48" s="507" cm="1">
        <f t="array" ref="AZ48">_xlfn.LET(_xlpm.DepreciationMonths,INDEX(FixedAssets[Depreciation
/ Amortization Months],_xlfn.XMATCH($E$33,FixedAssets[Asset ID])),IF(AND((_xlfn.XMATCH(AZ$8,$AH$8:$CC$8))-_xlfn.XMATCH($C48,$C$35:$C$82)+1&lt;=_xlpm.DepreciationMonths,$C48&lt;=AZ$8),$E48/_xlpm.DepreciationMonths,0))</f>
        <v>0</v>
      </c>
      <c r="BA48" s="507" cm="1">
        <f t="array" ref="BA48">_xlfn.LET(_xlpm.DepreciationMonths,INDEX(FixedAssets[Depreciation
/ Amortization Months],_xlfn.XMATCH($E$33,FixedAssets[Asset ID])),IF(AND((_xlfn.XMATCH(BA$8,$AH$8:$CC$8))-_xlfn.XMATCH($C48,$C$35:$C$82)+1&lt;=_xlpm.DepreciationMonths,$C48&lt;=BA$8),$E48/_xlpm.DepreciationMonths,0))</f>
        <v>0</v>
      </c>
      <c r="BB48" s="507" cm="1">
        <f t="array" ref="BB48">_xlfn.LET(_xlpm.DepreciationMonths,INDEX(FixedAssets[Depreciation
/ Amortization Months],_xlfn.XMATCH($E$33,FixedAssets[Asset ID])),IF(AND((_xlfn.XMATCH(BB$8,$AH$8:$CC$8))-_xlfn.XMATCH($C48,$C$35:$C$82)+1&lt;=_xlpm.DepreciationMonths,$C48&lt;=BB$8),$E48/_xlpm.DepreciationMonths,0))</f>
        <v>0</v>
      </c>
      <c r="BC48" s="507" cm="1">
        <f t="array" ref="BC48">_xlfn.LET(_xlpm.DepreciationMonths,INDEX(FixedAssets[Depreciation
/ Amortization Months],_xlfn.XMATCH($E$33,FixedAssets[Asset ID])),IF(AND((_xlfn.XMATCH(BC$8,$AH$8:$CC$8))-_xlfn.XMATCH($C48,$C$35:$C$82)+1&lt;=_xlpm.DepreciationMonths,$C48&lt;=BC$8),$E48/_xlpm.DepreciationMonths,0))</f>
        <v>0</v>
      </c>
      <c r="BD48" s="507" cm="1">
        <f t="array" ref="BD48">_xlfn.LET(_xlpm.DepreciationMonths,INDEX(FixedAssets[Depreciation
/ Amortization Months],_xlfn.XMATCH($E$33,FixedAssets[Asset ID])),IF(AND((_xlfn.XMATCH(BD$8,$AH$8:$CC$8))-_xlfn.XMATCH($C48,$C$35:$C$82)+1&lt;=_xlpm.DepreciationMonths,$C48&lt;=BD$8),$E48/_xlpm.DepreciationMonths,0))</f>
        <v>0</v>
      </c>
      <c r="BE48" s="507" cm="1">
        <f t="array" ref="BE48">_xlfn.LET(_xlpm.DepreciationMonths,INDEX(FixedAssets[Depreciation
/ Amortization Months],_xlfn.XMATCH($E$33,FixedAssets[Asset ID])),IF(AND((_xlfn.XMATCH(BE$8,$AH$8:$CC$8))-_xlfn.XMATCH($C48,$C$35:$C$82)+1&lt;=_xlpm.DepreciationMonths,$C48&lt;=BE$8),$E48/_xlpm.DepreciationMonths,0))</f>
        <v>0</v>
      </c>
      <c r="BF48" s="507" cm="1">
        <f t="array" ref="BF48">_xlfn.LET(_xlpm.DepreciationMonths,INDEX(FixedAssets[Depreciation
/ Amortization Months],_xlfn.XMATCH($E$33,FixedAssets[Asset ID])),IF(AND((_xlfn.XMATCH(BF$8,$AH$8:$CC$8))-_xlfn.XMATCH($C48,$C$35:$C$82)+1&lt;=_xlpm.DepreciationMonths,$C48&lt;=BF$8),$E48/_xlpm.DepreciationMonths,0))</f>
        <v>0</v>
      </c>
      <c r="BG48" s="507" cm="1">
        <f t="array" ref="BG48">_xlfn.LET(_xlpm.DepreciationMonths,INDEX(FixedAssets[Depreciation
/ Amortization Months],_xlfn.XMATCH($E$33,FixedAssets[Asset ID])),IF(AND((_xlfn.XMATCH(BG$8,$AH$8:$CC$8))-_xlfn.XMATCH($C48,$C$35:$C$82)+1&lt;=_xlpm.DepreciationMonths,$C48&lt;=BG$8),$E48/_xlpm.DepreciationMonths,0))</f>
        <v>0</v>
      </c>
      <c r="BH48" s="507" cm="1">
        <f t="array" ref="BH48">_xlfn.LET(_xlpm.DepreciationMonths,INDEX(FixedAssets[Depreciation
/ Amortization Months],_xlfn.XMATCH($E$33,FixedAssets[Asset ID])),IF(AND((_xlfn.XMATCH(BH$8,$AH$8:$CC$8))-_xlfn.XMATCH($C48,$C$35:$C$82)+1&lt;=_xlpm.DepreciationMonths,$C48&lt;=BH$8),$E48/_xlpm.DepreciationMonths,0))</f>
        <v>0</v>
      </c>
      <c r="BI48" s="507" cm="1">
        <f t="array" ref="BI48">_xlfn.LET(_xlpm.DepreciationMonths,INDEX(FixedAssets[Depreciation
/ Amortization Months],_xlfn.XMATCH($E$33,FixedAssets[Asset ID])),IF(AND((_xlfn.XMATCH(BI$8,$AH$8:$CC$8))-_xlfn.XMATCH($C48,$C$35:$C$82)+1&lt;=_xlpm.DepreciationMonths,$C48&lt;=BI$8),$E48/_xlpm.DepreciationMonths,0))</f>
        <v>0</v>
      </c>
      <c r="BJ48" s="507" cm="1">
        <f t="array" ref="BJ48">_xlfn.LET(_xlpm.DepreciationMonths,INDEX(FixedAssets[Depreciation
/ Amortization Months],_xlfn.XMATCH($E$33,FixedAssets[Asset ID])),IF(AND((_xlfn.XMATCH(BJ$8,$AH$8:$CC$8))-_xlfn.XMATCH($C48,$C$35:$C$82)+1&lt;=_xlpm.DepreciationMonths,$C48&lt;=BJ$8),$E48/_xlpm.DepreciationMonths,0))</f>
        <v>0</v>
      </c>
      <c r="BK48" s="507" cm="1">
        <f t="array" ref="BK48">_xlfn.LET(_xlpm.DepreciationMonths,INDEX(FixedAssets[Depreciation
/ Amortization Months],_xlfn.XMATCH($E$33,FixedAssets[Asset ID])),IF(AND((_xlfn.XMATCH(BK$8,$AH$8:$CC$8))-_xlfn.XMATCH($C48,$C$35:$C$82)+1&lt;=_xlpm.DepreciationMonths,$C48&lt;=BK$8),$E48/_xlpm.DepreciationMonths,0))</f>
        <v>0</v>
      </c>
      <c r="BL48" s="507" cm="1">
        <f t="array" ref="BL48">_xlfn.LET(_xlpm.DepreciationMonths,INDEX(FixedAssets[Depreciation
/ Amortization Months],_xlfn.XMATCH($E$33,FixedAssets[Asset ID])),IF(AND((_xlfn.XMATCH(BL$8,$AH$8:$CC$8))-_xlfn.XMATCH($C48,$C$35:$C$82)+1&lt;=_xlpm.DepreciationMonths,$C48&lt;=BL$8),$E48/_xlpm.DepreciationMonths,0))</f>
        <v>0</v>
      </c>
      <c r="BM48" s="507" cm="1">
        <f t="array" ref="BM48">_xlfn.LET(_xlpm.DepreciationMonths,INDEX(FixedAssets[Depreciation
/ Amortization Months],_xlfn.XMATCH($E$33,FixedAssets[Asset ID])),IF(AND((_xlfn.XMATCH(BM$8,$AH$8:$CC$8))-_xlfn.XMATCH($C48,$C$35:$C$82)+1&lt;=_xlpm.DepreciationMonths,$C48&lt;=BM$8),$E48/_xlpm.DepreciationMonths,0))</f>
        <v>0</v>
      </c>
      <c r="BN48" s="507" cm="1">
        <f t="array" ref="BN48">_xlfn.LET(_xlpm.DepreciationMonths,INDEX(FixedAssets[Depreciation
/ Amortization Months],_xlfn.XMATCH($E$33,FixedAssets[Asset ID])),IF(AND((_xlfn.XMATCH(BN$8,$AH$8:$CC$8))-_xlfn.XMATCH($C48,$C$35:$C$82)+1&lt;=_xlpm.DepreciationMonths,$C48&lt;=BN$8),$E48/_xlpm.DepreciationMonths,0))</f>
        <v>0</v>
      </c>
      <c r="BO48" s="507" cm="1">
        <f t="array" ref="BO48">_xlfn.LET(_xlpm.DepreciationMonths,INDEX(FixedAssets[Depreciation
/ Amortization Months],_xlfn.XMATCH($E$33,FixedAssets[Asset ID])),IF(AND((_xlfn.XMATCH(BO$8,$AH$8:$CC$8))-_xlfn.XMATCH($C48,$C$35:$C$82)+1&lt;=_xlpm.DepreciationMonths,$C48&lt;=BO$8),$E48/_xlpm.DepreciationMonths,0))</f>
        <v>0</v>
      </c>
      <c r="BP48" s="507" cm="1">
        <f t="array" ref="BP48">_xlfn.LET(_xlpm.DepreciationMonths,INDEX(FixedAssets[Depreciation
/ Amortization Months],_xlfn.XMATCH($E$33,FixedAssets[Asset ID])),IF(AND((_xlfn.XMATCH(BP$8,$AH$8:$CC$8))-_xlfn.XMATCH($C48,$C$35:$C$82)+1&lt;=_xlpm.DepreciationMonths,$C48&lt;=BP$8),$E48/_xlpm.DepreciationMonths,0))</f>
        <v>0</v>
      </c>
      <c r="BQ48" s="507" cm="1">
        <f t="array" ref="BQ48">_xlfn.LET(_xlpm.DepreciationMonths,INDEX(FixedAssets[Depreciation
/ Amortization Months],_xlfn.XMATCH($E$33,FixedAssets[Asset ID])),IF(AND((_xlfn.XMATCH(BQ$8,$AH$8:$CC$8))-_xlfn.XMATCH($C48,$C$35:$C$82)+1&lt;=_xlpm.DepreciationMonths,$C48&lt;=BQ$8),$E48/_xlpm.DepreciationMonths,0))</f>
        <v>0</v>
      </c>
      <c r="BR48" s="507" cm="1">
        <f t="array" ref="BR48">_xlfn.LET(_xlpm.DepreciationMonths,INDEX(FixedAssets[Depreciation
/ Amortization Months],_xlfn.XMATCH($E$33,FixedAssets[Asset ID])),IF(AND((_xlfn.XMATCH(BR$8,$AH$8:$CC$8))-_xlfn.XMATCH($C48,$C$35:$C$82)+1&lt;=_xlpm.DepreciationMonths,$C48&lt;=BR$8),$E48/_xlpm.DepreciationMonths,0))</f>
        <v>0</v>
      </c>
      <c r="BS48" s="507" cm="1">
        <f t="array" ref="BS48">_xlfn.LET(_xlpm.DepreciationMonths,INDEX(FixedAssets[Depreciation
/ Amortization Months],_xlfn.XMATCH($E$33,FixedAssets[Asset ID])),IF(AND((_xlfn.XMATCH(BS$8,$AH$8:$CC$8))-_xlfn.XMATCH($C48,$C$35:$C$82)+1&lt;=_xlpm.DepreciationMonths,$C48&lt;=BS$8),$E48/_xlpm.DepreciationMonths,0))</f>
        <v>0</v>
      </c>
      <c r="BT48" s="507" cm="1">
        <f t="array" ref="BT48">_xlfn.LET(_xlpm.DepreciationMonths,INDEX(FixedAssets[Depreciation
/ Amortization Months],_xlfn.XMATCH($E$33,FixedAssets[Asset ID])),IF(AND((_xlfn.XMATCH(BT$8,$AH$8:$CC$8))-_xlfn.XMATCH($C48,$C$35:$C$82)+1&lt;=_xlpm.DepreciationMonths,$C48&lt;=BT$8),$E48/_xlpm.DepreciationMonths,0))</f>
        <v>0</v>
      </c>
      <c r="BU48" s="507" cm="1">
        <f t="array" ref="BU48">_xlfn.LET(_xlpm.DepreciationMonths,INDEX(FixedAssets[Depreciation
/ Amortization Months],_xlfn.XMATCH($E$33,FixedAssets[Asset ID])),IF(AND((_xlfn.XMATCH(BU$8,$AH$8:$CC$8))-_xlfn.XMATCH($C48,$C$35:$C$82)+1&lt;=_xlpm.DepreciationMonths,$C48&lt;=BU$8),$E48/_xlpm.DepreciationMonths,0))</f>
        <v>0</v>
      </c>
      <c r="BV48" s="507" cm="1">
        <f t="array" ref="BV48">_xlfn.LET(_xlpm.DepreciationMonths,INDEX(FixedAssets[Depreciation
/ Amortization Months],_xlfn.XMATCH($E$33,FixedAssets[Asset ID])),IF(AND((_xlfn.XMATCH(BV$8,$AH$8:$CC$8))-_xlfn.XMATCH($C48,$C$35:$C$82)+1&lt;=_xlpm.DepreciationMonths,$C48&lt;=BV$8),$E48/_xlpm.DepreciationMonths,0))</f>
        <v>0</v>
      </c>
      <c r="BW48" s="507" cm="1">
        <f t="array" ref="BW48">_xlfn.LET(_xlpm.DepreciationMonths,INDEX(FixedAssets[Depreciation
/ Amortization Months],_xlfn.XMATCH($E$33,FixedAssets[Asset ID])),IF(AND((_xlfn.XMATCH(BW$8,$AH$8:$CC$8))-_xlfn.XMATCH($C48,$C$35:$C$82)+1&lt;=_xlpm.DepreciationMonths,$C48&lt;=BW$8),$E48/_xlpm.DepreciationMonths,0))</f>
        <v>0</v>
      </c>
      <c r="BX48" s="507" cm="1">
        <f t="array" ref="BX48">_xlfn.LET(_xlpm.DepreciationMonths,INDEX(FixedAssets[Depreciation
/ Amortization Months],_xlfn.XMATCH($E$33,FixedAssets[Asset ID])),IF(AND((_xlfn.XMATCH(BX$8,$AH$8:$CC$8))-_xlfn.XMATCH($C48,$C$35:$C$82)+1&lt;=_xlpm.DepreciationMonths,$C48&lt;=BX$8),$E48/_xlpm.DepreciationMonths,0))</f>
        <v>0</v>
      </c>
      <c r="BY48" s="507" cm="1">
        <f t="array" ref="BY48">_xlfn.LET(_xlpm.DepreciationMonths,INDEX(FixedAssets[Depreciation
/ Amortization Months],_xlfn.XMATCH($E$33,FixedAssets[Asset ID])),IF(AND((_xlfn.XMATCH(BY$8,$AH$8:$CC$8))-_xlfn.XMATCH($C48,$C$35:$C$82)+1&lt;=_xlpm.DepreciationMonths,$C48&lt;=BY$8),$E48/_xlpm.DepreciationMonths,0))</f>
        <v>0</v>
      </c>
      <c r="BZ48" s="507" cm="1">
        <f t="array" ref="BZ48">_xlfn.LET(_xlpm.DepreciationMonths,INDEX(FixedAssets[Depreciation
/ Amortization Months],_xlfn.XMATCH($E$33,FixedAssets[Asset ID])),IF(AND((_xlfn.XMATCH(BZ$8,$AH$8:$CC$8))-_xlfn.XMATCH($C48,$C$35:$C$82)+1&lt;=_xlpm.DepreciationMonths,$C48&lt;=BZ$8),$E48/_xlpm.DepreciationMonths,0))</f>
        <v>0</v>
      </c>
      <c r="CA48" s="507" cm="1">
        <f t="array" ref="CA48">_xlfn.LET(_xlpm.DepreciationMonths,INDEX(FixedAssets[Depreciation
/ Amortization Months],_xlfn.XMATCH($E$33,FixedAssets[Asset ID])),IF(AND((_xlfn.XMATCH(CA$8,$AH$8:$CC$8))-_xlfn.XMATCH($C48,$C$35:$C$82)+1&lt;=_xlpm.DepreciationMonths,$C48&lt;=CA$8),$E48/_xlpm.DepreciationMonths,0))</f>
        <v>0</v>
      </c>
      <c r="CB48" s="507" cm="1">
        <f t="array" ref="CB48">_xlfn.LET(_xlpm.DepreciationMonths,INDEX(FixedAssets[Depreciation
/ Amortization Months],_xlfn.XMATCH($E$33,FixedAssets[Asset ID])),IF(AND((_xlfn.XMATCH(CB$8,$AH$8:$CC$8))-_xlfn.XMATCH($C48,$C$35:$C$82)+1&lt;=_xlpm.DepreciationMonths,$C48&lt;=CB$8),$E48/_xlpm.DepreciationMonths,0))</f>
        <v>0</v>
      </c>
      <c r="CC48" s="507" cm="1">
        <f t="array" ref="CC48">_xlfn.LET(_xlpm.DepreciationMonths,INDEX(FixedAssets[Depreciation
/ Amortization Months],_xlfn.XMATCH($E$33,FixedAssets[Asset ID])),IF(AND((_xlfn.XMATCH(CC$8,$AH$8:$CC$8))-_xlfn.XMATCH($C48,$C$35:$C$82)+1&lt;=_xlpm.DepreciationMonths,$C48&lt;=CC$8),$E48/_xlpm.DepreciationMonths,0))</f>
        <v>0</v>
      </c>
    </row>
    <row r="49" spans="3:81" hidden="1" outlineLevel="2">
      <c r="C49" s="664">
        <f t="shared" si="91"/>
        <v>45382</v>
      </c>
      <c r="D49" s="508"/>
      <c r="E49" s="508" cm="1">
        <f t="array" ref="E49">SUMPRODUCT(($AH$26:$CC$31)*($AH$5:$CC$5=$C49)*($E$26:$E$31=E$33))-SUMPRODUCT(($AH$26:$CC$31)*($AH$5:$CC$5=EOMONTH($C49,-1))*($E$26:$E$31=E$33))</f>
        <v>0</v>
      </c>
      <c r="F49" s="508"/>
      <c r="G49" s="508"/>
      <c r="H49" s="508"/>
      <c r="I49" s="508"/>
      <c r="J49" s="504">
        <f t="shared" si="88"/>
        <v>0</v>
      </c>
      <c r="K49" s="504">
        <f t="shared" si="89"/>
        <v>0</v>
      </c>
      <c r="L49" s="504">
        <f t="shared" si="89"/>
        <v>0</v>
      </c>
      <c r="M49" s="504">
        <f t="shared" si="89"/>
        <v>0</v>
      </c>
      <c r="N49" s="504"/>
      <c r="O49" s="504"/>
      <c r="P49" s="504">
        <f t="shared" si="90"/>
        <v>0</v>
      </c>
      <c r="Q49" s="504">
        <f t="shared" si="90"/>
        <v>0</v>
      </c>
      <c r="R49" s="504">
        <f t="shared" si="90"/>
        <v>0</v>
      </c>
      <c r="S49" s="504">
        <f t="shared" si="90"/>
        <v>0</v>
      </c>
      <c r="T49" s="504">
        <f t="shared" si="90"/>
        <v>0</v>
      </c>
      <c r="U49" s="504">
        <f t="shared" si="90"/>
        <v>0</v>
      </c>
      <c r="V49" s="504">
        <f t="shared" si="90"/>
        <v>0</v>
      </c>
      <c r="W49" s="504">
        <f t="shared" si="90"/>
        <v>0</v>
      </c>
      <c r="X49" s="504">
        <f t="shared" si="90"/>
        <v>0</v>
      </c>
      <c r="Y49" s="504">
        <f t="shared" si="90"/>
        <v>0</v>
      </c>
      <c r="Z49" s="504">
        <f t="shared" si="90"/>
        <v>0</v>
      </c>
      <c r="AA49" s="504">
        <f t="shared" si="90"/>
        <v>0</v>
      </c>
      <c r="AB49" s="504">
        <f t="shared" si="90"/>
        <v>0</v>
      </c>
      <c r="AC49" s="504">
        <f t="shared" si="90"/>
        <v>0</v>
      </c>
      <c r="AD49" s="504">
        <f t="shared" si="90"/>
        <v>0</v>
      </c>
      <c r="AE49" s="504">
        <f t="shared" si="90"/>
        <v>0</v>
      </c>
      <c r="AF49" s="508"/>
      <c r="AG49" s="508"/>
      <c r="AH49" s="507" cm="1">
        <f t="array" ref="AH49">_xlfn.LET(_xlpm.DepreciationMonths,INDEX(FixedAssets[Depreciation
/ Amortization Months],_xlfn.XMATCH($E$33,FixedAssets[Asset ID])),IF(AND((_xlfn.XMATCH(AH$8,$AH$8:$CC$8))-_xlfn.XMATCH($C49,$C$35:$C$82)+1&lt;=_xlpm.DepreciationMonths,$C49&lt;=AH$8),$E49/_xlpm.DepreciationMonths,0))</f>
        <v>0</v>
      </c>
      <c r="AI49" s="507" cm="1">
        <f t="array" ref="AI49">_xlfn.LET(_xlpm.DepreciationMonths,INDEX(FixedAssets[Depreciation
/ Amortization Months],_xlfn.XMATCH($E$33,FixedAssets[Asset ID])),IF(AND((_xlfn.XMATCH(AI$8,$AH$8:$CC$8))-_xlfn.XMATCH($C49,$C$35:$C$82)+1&lt;=_xlpm.DepreciationMonths,$C49&lt;=AI$8),$E49/_xlpm.DepreciationMonths,0))</f>
        <v>0</v>
      </c>
      <c r="AJ49" s="507" cm="1">
        <f t="array" ref="AJ49">_xlfn.LET(_xlpm.DepreciationMonths,INDEX(FixedAssets[Depreciation
/ Amortization Months],_xlfn.XMATCH($E$33,FixedAssets[Asset ID])),IF(AND((_xlfn.XMATCH(AJ$8,$AH$8:$CC$8))-_xlfn.XMATCH($C49,$C$35:$C$82)+1&lt;=_xlpm.DepreciationMonths,$C49&lt;=AJ$8),$E49/_xlpm.DepreciationMonths,0))</f>
        <v>0</v>
      </c>
      <c r="AK49" s="507" cm="1">
        <f t="array" ref="AK49">_xlfn.LET(_xlpm.DepreciationMonths,INDEX(FixedAssets[Depreciation
/ Amortization Months],_xlfn.XMATCH($E$33,FixedAssets[Asset ID])),IF(AND((_xlfn.XMATCH(AK$8,$AH$8:$CC$8))-_xlfn.XMATCH($C49,$C$35:$C$82)+1&lt;=_xlpm.DepreciationMonths,$C49&lt;=AK$8),$E49/_xlpm.DepreciationMonths,0))</f>
        <v>0</v>
      </c>
      <c r="AL49" s="507" cm="1">
        <f t="array" ref="AL49">_xlfn.LET(_xlpm.DepreciationMonths,INDEX(FixedAssets[Depreciation
/ Amortization Months],_xlfn.XMATCH($E$33,FixedAssets[Asset ID])),IF(AND((_xlfn.XMATCH(AL$8,$AH$8:$CC$8))-_xlfn.XMATCH($C49,$C$35:$C$82)+1&lt;=_xlpm.DepreciationMonths,$C49&lt;=AL$8),$E49/_xlpm.DepreciationMonths,0))</f>
        <v>0</v>
      </c>
      <c r="AM49" s="507" cm="1">
        <f t="array" ref="AM49">_xlfn.LET(_xlpm.DepreciationMonths,INDEX(FixedAssets[Depreciation
/ Amortization Months],_xlfn.XMATCH($E$33,FixedAssets[Asset ID])),IF(AND((_xlfn.XMATCH(AM$8,$AH$8:$CC$8))-_xlfn.XMATCH($C49,$C$35:$C$82)+1&lt;=_xlpm.DepreciationMonths,$C49&lt;=AM$8),$E49/_xlpm.DepreciationMonths,0))</f>
        <v>0</v>
      </c>
      <c r="AN49" s="507" cm="1">
        <f t="array" ref="AN49">_xlfn.LET(_xlpm.DepreciationMonths,INDEX(FixedAssets[Depreciation
/ Amortization Months],_xlfn.XMATCH($E$33,FixedAssets[Asset ID])),IF(AND((_xlfn.XMATCH(AN$8,$AH$8:$CC$8))-_xlfn.XMATCH($C49,$C$35:$C$82)+1&lt;=_xlpm.DepreciationMonths,$C49&lt;=AN$8),$E49/_xlpm.DepreciationMonths,0))</f>
        <v>0</v>
      </c>
      <c r="AO49" s="507" cm="1">
        <f t="array" ref="AO49">_xlfn.LET(_xlpm.DepreciationMonths,INDEX(FixedAssets[Depreciation
/ Amortization Months],_xlfn.XMATCH($E$33,FixedAssets[Asset ID])),IF(AND((_xlfn.XMATCH(AO$8,$AH$8:$CC$8))-_xlfn.XMATCH($C49,$C$35:$C$82)+1&lt;=_xlpm.DepreciationMonths,$C49&lt;=AO$8),$E49/_xlpm.DepreciationMonths,0))</f>
        <v>0</v>
      </c>
      <c r="AP49" s="507" cm="1">
        <f t="array" ref="AP49">_xlfn.LET(_xlpm.DepreciationMonths,INDEX(FixedAssets[Depreciation
/ Amortization Months],_xlfn.XMATCH($E$33,FixedAssets[Asset ID])),IF(AND((_xlfn.XMATCH(AP$8,$AH$8:$CC$8))-_xlfn.XMATCH($C49,$C$35:$C$82)+1&lt;=_xlpm.DepreciationMonths,$C49&lt;=AP$8),$E49/_xlpm.DepreciationMonths,0))</f>
        <v>0</v>
      </c>
      <c r="AQ49" s="507" cm="1">
        <f t="array" ref="AQ49">_xlfn.LET(_xlpm.DepreciationMonths,INDEX(FixedAssets[Depreciation
/ Amortization Months],_xlfn.XMATCH($E$33,FixedAssets[Asset ID])),IF(AND((_xlfn.XMATCH(AQ$8,$AH$8:$CC$8))-_xlfn.XMATCH($C49,$C$35:$C$82)+1&lt;=_xlpm.DepreciationMonths,$C49&lt;=AQ$8),$E49/_xlpm.DepreciationMonths,0))</f>
        <v>0</v>
      </c>
      <c r="AR49" s="507" cm="1">
        <f t="array" ref="AR49">_xlfn.LET(_xlpm.DepreciationMonths,INDEX(FixedAssets[Depreciation
/ Amortization Months],_xlfn.XMATCH($E$33,FixedAssets[Asset ID])),IF(AND((_xlfn.XMATCH(AR$8,$AH$8:$CC$8))-_xlfn.XMATCH($C49,$C$35:$C$82)+1&lt;=_xlpm.DepreciationMonths,$C49&lt;=AR$8),$E49/_xlpm.DepreciationMonths,0))</f>
        <v>0</v>
      </c>
      <c r="AS49" s="507" cm="1">
        <f t="array" ref="AS49">_xlfn.LET(_xlpm.DepreciationMonths,INDEX(FixedAssets[Depreciation
/ Amortization Months],_xlfn.XMATCH($E$33,FixedAssets[Asset ID])),IF(AND((_xlfn.XMATCH(AS$8,$AH$8:$CC$8))-_xlfn.XMATCH($C49,$C$35:$C$82)+1&lt;=_xlpm.DepreciationMonths,$C49&lt;=AS$8),$E49/_xlpm.DepreciationMonths,0))</f>
        <v>0</v>
      </c>
      <c r="AT49" s="507" cm="1">
        <f t="array" ref="AT49">_xlfn.LET(_xlpm.DepreciationMonths,INDEX(FixedAssets[Depreciation
/ Amortization Months],_xlfn.XMATCH($E$33,FixedAssets[Asset ID])),IF(AND((_xlfn.XMATCH(AT$8,$AH$8:$CC$8))-_xlfn.XMATCH($C49,$C$35:$C$82)+1&lt;=_xlpm.DepreciationMonths,$C49&lt;=AT$8),$E49/_xlpm.DepreciationMonths,0))</f>
        <v>0</v>
      </c>
      <c r="AU49" s="507" cm="1">
        <f t="array" ref="AU49">_xlfn.LET(_xlpm.DepreciationMonths,INDEX(FixedAssets[Depreciation
/ Amortization Months],_xlfn.XMATCH($E$33,FixedAssets[Asset ID])),IF(AND((_xlfn.XMATCH(AU$8,$AH$8:$CC$8))-_xlfn.XMATCH($C49,$C$35:$C$82)+1&lt;=_xlpm.DepreciationMonths,$C49&lt;=AU$8),$E49/_xlpm.DepreciationMonths,0))</f>
        <v>0</v>
      </c>
      <c r="AV49" s="507" cm="1">
        <f t="array" ref="AV49">_xlfn.LET(_xlpm.DepreciationMonths,INDEX(FixedAssets[Depreciation
/ Amortization Months],_xlfn.XMATCH($E$33,FixedAssets[Asset ID])),IF(AND((_xlfn.XMATCH(AV$8,$AH$8:$CC$8))-_xlfn.XMATCH($C49,$C$35:$C$82)+1&lt;=_xlpm.DepreciationMonths,$C49&lt;=AV$8),$E49/_xlpm.DepreciationMonths,0))</f>
        <v>0</v>
      </c>
      <c r="AW49" s="507" cm="1">
        <f t="array" ref="AW49">_xlfn.LET(_xlpm.DepreciationMonths,INDEX(FixedAssets[Depreciation
/ Amortization Months],_xlfn.XMATCH($E$33,FixedAssets[Asset ID])),IF(AND((_xlfn.XMATCH(AW$8,$AH$8:$CC$8))-_xlfn.XMATCH($C49,$C$35:$C$82)+1&lt;=_xlpm.DepreciationMonths,$C49&lt;=AW$8),$E49/_xlpm.DepreciationMonths,0))</f>
        <v>0</v>
      </c>
      <c r="AX49" s="507" cm="1">
        <f t="array" ref="AX49">_xlfn.LET(_xlpm.DepreciationMonths,INDEX(FixedAssets[Depreciation
/ Amortization Months],_xlfn.XMATCH($E$33,FixedAssets[Asset ID])),IF(AND((_xlfn.XMATCH(AX$8,$AH$8:$CC$8))-_xlfn.XMATCH($C49,$C$35:$C$82)+1&lt;=_xlpm.DepreciationMonths,$C49&lt;=AX$8),$E49/_xlpm.DepreciationMonths,0))</f>
        <v>0</v>
      </c>
      <c r="AY49" s="507" cm="1">
        <f t="array" ref="AY49">_xlfn.LET(_xlpm.DepreciationMonths,INDEX(FixedAssets[Depreciation
/ Amortization Months],_xlfn.XMATCH($E$33,FixedAssets[Asset ID])),IF(AND((_xlfn.XMATCH(AY$8,$AH$8:$CC$8))-_xlfn.XMATCH($C49,$C$35:$C$82)+1&lt;=_xlpm.DepreciationMonths,$C49&lt;=AY$8),$E49/_xlpm.DepreciationMonths,0))</f>
        <v>0</v>
      </c>
      <c r="AZ49" s="507" cm="1">
        <f t="array" ref="AZ49">_xlfn.LET(_xlpm.DepreciationMonths,INDEX(FixedAssets[Depreciation
/ Amortization Months],_xlfn.XMATCH($E$33,FixedAssets[Asset ID])),IF(AND((_xlfn.XMATCH(AZ$8,$AH$8:$CC$8))-_xlfn.XMATCH($C49,$C$35:$C$82)+1&lt;=_xlpm.DepreciationMonths,$C49&lt;=AZ$8),$E49/_xlpm.DepreciationMonths,0))</f>
        <v>0</v>
      </c>
      <c r="BA49" s="507" cm="1">
        <f t="array" ref="BA49">_xlfn.LET(_xlpm.DepreciationMonths,INDEX(FixedAssets[Depreciation
/ Amortization Months],_xlfn.XMATCH($E$33,FixedAssets[Asset ID])),IF(AND((_xlfn.XMATCH(BA$8,$AH$8:$CC$8))-_xlfn.XMATCH($C49,$C$35:$C$82)+1&lt;=_xlpm.DepreciationMonths,$C49&lt;=BA$8),$E49/_xlpm.DepreciationMonths,0))</f>
        <v>0</v>
      </c>
      <c r="BB49" s="507" cm="1">
        <f t="array" ref="BB49">_xlfn.LET(_xlpm.DepreciationMonths,INDEX(FixedAssets[Depreciation
/ Amortization Months],_xlfn.XMATCH($E$33,FixedAssets[Asset ID])),IF(AND((_xlfn.XMATCH(BB$8,$AH$8:$CC$8))-_xlfn.XMATCH($C49,$C$35:$C$82)+1&lt;=_xlpm.DepreciationMonths,$C49&lt;=BB$8),$E49/_xlpm.DepreciationMonths,0))</f>
        <v>0</v>
      </c>
      <c r="BC49" s="507" cm="1">
        <f t="array" ref="BC49">_xlfn.LET(_xlpm.DepreciationMonths,INDEX(FixedAssets[Depreciation
/ Amortization Months],_xlfn.XMATCH($E$33,FixedAssets[Asset ID])),IF(AND((_xlfn.XMATCH(BC$8,$AH$8:$CC$8))-_xlfn.XMATCH($C49,$C$35:$C$82)+1&lt;=_xlpm.DepreciationMonths,$C49&lt;=BC$8),$E49/_xlpm.DepreciationMonths,0))</f>
        <v>0</v>
      </c>
      <c r="BD49" s="507" cm="1">
        <f t="array" ref="BD49">_xlfn.LET(_xlpm.DepreciationMonths,INDEX(FixedAssets[Depreciation
/ Amortization Months],_xlfn.XMATCH($E$33,FixedAssets[Asset ID])),IF(AND((_xlfn.XMATCH(BD$8,$AH$8:$CC$8))-_xlfn.XMATCH($C49,$C$35:$C$82)+1&lt;=_xlpm.DepreciationMonths,$C49&lt;=BD$8),$E49/_xlpm.DepreciationMonths,0))</f>
        <v>0</v>
      </c>
      <c r="BE49" s="507" cm="1">
        <f t="array" ref="BE49">_xlfn.LET(_xlpm.DepreciationMonths,INDEX(FixedAssets[Depreciation
/ Amortization Months],_xlfn.XMATCH($E$33,FixedAssets[Asset ID])),IF(AND((_xlfn.XMATCH(BE$8,$AH$8:$CC$8))-_xlfn.XMATCH($C49,$C$35:$C$82)+1&lt;=_xlpm.DepreciationMonths,$C49&lt;=BE$8),$E49/_xlpm.DepreciationMonths,0))</f>
        <v>0</v>
      </c>
      <c r="BF49" s="507" cm="1">
        <f t="array" ref="BF49">_xlfn.LET(_xlpm.DepreciationMonths,INDEX(FixedAssets[Depreciation
/ Amortization Months],_xlfn.XMATCH($E$33,FixedAssets[Asset ID])),IF(AND((_xlfn.XMATCH(BF$8,$AH$8:$CC$8))-_xlfn.XMATCH($C49,$C$35:$C$82)+1&lt;=_xlpm.DepreciationMonths,$C49&lt;=BF$8),$E49/_xlpm.DepreciationMonths,0))</f>
        <v>0</v>
      </c>
      <c r="BG49" s="507" cm="1">
        <f t="array" ref="BG49">_xlfn.LET(_xlpm.DepreciationMonths,INDEX(FixedAssets[Depreciation
/ Amortization Months],_xlfn.XMATCH($E$33,FixedAssets[Asset ID])),IF(AND((_xlfn.XMATCH(BG$8,$AH$8:$CC$8))-_xlfn.XMATCH($C49,$C$35:$C$82)+1&lt;=_xlpm.DepreciationMonths,$C49&lt;=BG$8),$E49/_xlpm.DepreciationMonths,0))</f>
        <v>0</v>
      </c>
      <c r="BH49" s="507" cm="1">
        <f t="array" ref="BH49">_xlfn.LET(_xlpm.DepreciationMonths,INDEX(FixedAssets[Depreciation
/ Amortization Months],_xlfn.XMATCH($E$33,FixedAssets[Asset ID])),IF(AND((_xlfn.XMATCH(BH$8,$AH$8:$CC$8))-_xlfn.XMATCH($C49,$C$35:$C$82)+1&lt;=_xlpm.DepreciationMonths,$C49&lt;=BH$8),$E49/_xlpm.DepreciationMonths,0))</f>
        <v>0</v>
      </c>
      <c r="BI49" s="507" cm="1">
        <f t="array" ref="BI49">_xlfn.LET(_xlpm.DepreciationMonths,INDEX(FixedAssets[Depreciation
/ Amortization Months],_xlfn.XMATCH($E$33,FixedAssets[Asset ID])),IF(AND((_xlfn.XMATCH(BI$8,$AH$8:$CC$8))-_xlfn.XMATCH($C49,$C$35:$C$82)+1&lt;=_xlpm.DepreciationMonths,$C49&lt;=BI$8),$E49/_xlpm.DepreciationMonths,0))</f>
        <v>0</v>
      </c>
      <c r="BJ49" s="507" cm="1">
        <f t="array" ref="BJ49">_xlfn.LET(_xlpm.DepreciationMonths,INDEX(FixedAssets[Depreciation
/ Amortization Months],_xlfn.XMATCH($E$33,FixedAssets[Asset ID])),IF(AND((_xlfn.XMATCH(BJ$8,$AH$8:$CC$8))-_xlfn.XMATCH($C49,$C$35:$C$82)+1&lt;=_xlpm.DepreciationMonths,$C49&lt;=BJ$8),$E49/_xlpm.DepreciationMonths,0))</f>
        <v>0</v>
      </c>
      <c r="BK49" s="507" cm="1">
        <f t="array" ref="BK49">_xlfn.LET(_xlpm.DepreciationMonths,INDEX(FixedAssets[Depreciation
/ Amortization Months],_xlfn.XMATCH($E$33,FixedAssets[Asset ID])),IF(AND((_xlfn.XMATCH(BK$8,$AH$8:$CC$8))-_xlfn.XMATCH($C49,$C$35:$C$82)+1&lt;=_xlpm.DepreciationMonths,$C49&lt;=BK$8),$E49/_xlpm.DepreciationMonths,0))</f>
        <v>0</v>
      </c>
      <c r="BL49" s="507" cm="1">
        <f t="array" ref="BL49">_xlfn.LET(_xlpm.DepreciationMonths,INDEX(FixedAssets[Depreciation
/ Amortization Months],_xlfn.XMATCH($E$33,FixedAssets[Asset ID])),IF(AND((_xlfn.XMATCH(BL$8,$AH$8:$CC$8))-_xlfn.XMATCH($C49,$C$35:$C$82)+1&lt;=_xlpm.DepreciationMonths,$C49&lt;=BL$8),$E49/_xlpm.DepreciationMonths,0))</f>
        <v>0</v>
      </c>
      <c r="BM49" s="507" cm="1">
        <f t="array" ref="BM49">_xlfn.LET(_xlpm.DepreciationMonths,INDEX(FixedAssets[Depreciation
/ Amortization Months],_xlfn.XMATCH($E$33,FixedAssets[Asset ID])),IF(AND((_xlfn.XMATCH(BM$8,$AH$8:$CC$8))-_xlfn.XMATCH($C49,$C$35:$C$82)+1&lt;=_xlpm.DepreciationMonths,$C49&lt;=BM$8),$E49/_xlpm.DepreciationMonths,0))</f>
        <v>0</v>
      </c>
      <c r="BN49" s="507" cm="1">
        <f t="array" ref="BN49">_xlfn.LET(_xlpm.DepreciationMonths,INDEX(FixedAssets[Depreciation
/ Amortization Months],_xlfn.XMATCH($E$33,FixedAssets[Asset ID])),IF(AND((_xlfn.XMATCH(BN$8,$AH$8:$CC$8))-_xlfn.XMATCH($C49,$C$35:$C$82)+1&lt;=_xlpm.DepreciationMonths,$C49&lt;=BN$8),$E49/_xlpm.DepreciationMonths,0))</f>
        <v>0</v>
      </c>
      <c r="BO49" s="507" cm="1">
        <f t="array" ref="BO49">_xlfn.LET(_xlpm.DepreciationMonths,INDEX(FixedAssets[Depreciation
/ Amortization Months],_xlfn.XMATCH($E$33,FixedAssets[Asset ID])),IF(AND((_xlfn.XMATCH(BO$8,$AH$8:$CC$8))-_xlfn.XMATCH($C49,$C$35:$C$82)+1&lt;=_xlpm.DepreciationMonths,$C49&lt;=BO$8),$E49/_xlpm.DepreciationMonths,0))</f>
        <v>0</v>
      </c>
      <c r="BP49" s="507" cm="1">
        <f t="array" ref="BP49">_xlfn.LET(_xlpm.DepreciationMonths,INDEX(FixedAssets[Depreciation
/ Amortization Months],_xlfn.XMATCH($E$33,FixedAssets[Asset ID])),IF(AND((_xlfn.XMATCH(BP$8,$AH$8:$CC$8))-_xlfn.XMATCH($C49,$C$35:$C$82)+1&lt;=_xlpm.DepreciationMonths,$C49&lt;=BP$8),$E49/_xlpm.DepreciationMonths,0))</f>
        <v>0</v>
      </c>
      <c r="BQ49" s="507" cm="1">
        <f t="array" ref="BQ49">_xlfn.LET(_xlpm.DepreciationMonths,INDEX(FixedAssets[Depreciation
/ Amortization Months],_xlfn.XMATCH($E$33,FixedAssets[Asset ID])),IF(AND((_xlfn.XMATCH(BQ$8,$AH$8:$CC$8))-_xlfn.XMATCH($C49,$C$35:$C$82)+1&lt;=_xlpm.DepreciationMonths,$C49&lt;=BQ$8),$E49/_xlpm.DepreciationMonths,0))</f>
        <v>0</v>
      </c>
      <c r="BR49" s="507" cm="1">
        <f t="array" ref="BR49">_xlfn.LET(_xlpm.DepreciationMonths,INDEX(FixedAssets[Depreciation
/ Amortization Months],_xlfn.XMATCH($E$33,FixedAssets[Asset ID])),IF(AND((_xlfn.XMATCH(BR$8,$AH$8:$CC$8))-_xlfn.XMATCH($C49,$C$35:$C$82)+1&lt;=_xlpm.DepreciationMonths,$C49&lt;=BR$8),$E49/_xlpm.DepreciationMonths,0))</f>
        <v>0</v>
      </c>
      <c r="BS49" s="507" cm="1">
        <f t="array" ref="BS49">_xlfn.LET(_xlpm.DepreciationMonths,INDEX(FixedAssets[Depreciation
/ Amortization Months],_xlfn.XMATCH($E$33,FixedAssets[Asset ID])),IF(AND((_xlfn.XMATCH(BS$8,$AH$8:$CC$8))-_xlfn.XMATCH($C49,$C$35:$C$82)+1&lt;=_xlpm.DepreciationMonths,$C49&lt;=BS$8),$E49/_xlpm.DepreciationMonths,0))</f>
        <v>0</v>
      </c>
      <c r="BT49" s="507" cm="1">
        <f t="array" ref="BT49">_xlfn.LET(_xlpm.DepreciationMonths,INDEX(FixedAssets[Depreciation
/ Amortization Months],_xlfn.XMATCH($E$33,FixedAssets[Asset ID])),IF(AND((_xlfn.XMATCH(BT$8,$AH$8:$CC$8))-_xlfn.XMATCH($C49,$C$35:$C$82)+1&lt;=_xlpm.DepreciationMonths,$C49&lt;=BT$8),$E49/_xlpm.DepreciationMonths,0))</f>
        <v>0</v>
      </c>
      <c r="BU49" s="507" cm="1">
        <f t="array" ref="BU49">_xlfn.LET(_xlpm.DepreciationMonths,INDEX(FixedAssets[Depreciation
/ Amortization Months],_xlfn.XMATCH($E$33,FixedAssets[Asset ID])),IF(AND((_xlfn.XMATCH(BU$8,$AH$8:$CC$8))-_xlfn.XMATCH($C49,$C$35:$C$82)+1&lt;=_xlpm.DepreciationMonths,$C49&lt;=BU$8),$E49/_xlpm.DepreciationMonths,0))</f>
        <v>0</v>
      </c>
      <c r="BV49" s="507" cm="1">
        <f t="array" ref="BV49">_xlfn.LET(_xlpm.DepreciationMonths,INDEX(FixedAssets[Depreciation
/ Amortization Months],_xlfn.XMATCH($E$33,FixedAssets[Asset ID])),IF(AND((_xlfn.XMATCH(BV$8,$AH$8:$CC$8))-_xlfn.XMATCH($C49,$C$35:$C$82)+1&lt;=_xlpm.DepreciationMonths,$C49&lt;=BV$8),$E49/_xlpm.DepreciationMonths,0))</f>
        <v>0</v>
      </c>
      <c r="BW49" s="507" cm="1">
        <f t="array" ref="BW49">_xlfn.LET(_xlpm.DepreciationMonths,INDEX(FixedAssets[Depreciation
/ Amortization Months],_xlfn.XMATCH($E$33,FixedAssets[Asset ID])),IF(AND((_xlfn.XMATCH(BW$8,$AH$8:$CC$8))-_xlfn.XMATCH($C49,$C$35:$C$82)+1&lt;=_xlpm.DepreciationMonths,$C49&lt;=BW$8),$E49/_xlpm.DepreciationMonths,0))</f>
        <v>0</v>
      </c>
      <c r="BX49" s="507" cm="1">
        <f t="array" ref="BX49">_xlfn.LET(_xlpm.DepreciationMonths,INDEX(FixedAssets[Depreciation
/ Amortization Months],_xlfn.XMATCH($E$33,FixedAssets[Asset ID])),IF(AND((_xlfn.XMATCH(BX$8,$AH$8:$CC$8))-_xlfn.XMATCH($C49,$C$35:$C$82)+1&lt;=_xlpm.DepreciationMonths,$C49&lt;=BX$8),$E49/_xlpm.DepreciationMonths,0))</f>
        <v>0</v>
      </c>
      <c r="BY49" s="507" cm="1">
        <f t="array" ref="BY49">_xlfn.LET(_xlpm.DepreciationMonths,INDEX(FixedAssets[Depreciation
/ Amortization Months],_xlfn.XMATCH($E$33,FixedAssets[Asset ID])),IF(AND((_xlfn.XMATCH(BY$8,$AH$8:$CC$8))-_xlfn.XMATCH($C49,$C$35:$C$82)+1&lt;=_xlpm.DepreciationMonths,$C49&lt;=BY$8),$E49/_xlpm.DepreciationMonths,0))</f>
        <v>0</v>
      </c>
      <c r="BZ49" s="507" cm="1">
        <f t="array" ref="BZ49">_xlfn.LET(_xlpm.DepreciationMonths,INDEX(FixedAssets[Depreciation
/ Amortization Months],_xlfn.XMATCH($E$33,FixedAssets[Asset ID])),IF(AND((_xlfn.XMATCH(BZ$8,$AH$8:$CC$8))-_xlfn.XMATCH($C49,$C$35:$C$82)+1&lt;=_xlpm.DepreciationMonths,$C49&lt;=BZ$8),$E49/_xlpm.DepreciationMonths,0))</f>
        <v>0</v>
      </c>
      <c r="CA49" s="507" cm="1">
        <f t="array" ref="CA49">_xlfn.LET(_xlpm.DepreciationMonths,INDEX(FixedAssets[Depreciation
/ Amortization Months],_xlfn.XMATCH($E$33,FixedAssets[Asset ID])),IF(AND((_xlfn.XMATCH(CA$8,$AH$8:$CC$8))-_xlfn.XMATCH($C49,$C$35:$C$82)+1&lt;=_xlpm.DepreciationMonths,$C49&lt;=CA$8),$E49/_xlpm.DepreciationMonths,0))</f>
        <v>0</v>
      </c>
      <c r="CB49" s="507" cm="1">
        <f t="array" ref="CB49">_xlfn.LET(_xlpm.DepreciationMonths,INDEX(FixedAssets[Depreciation
/ Amortization Months],_xlfn.XMATCH($E$33,FixedAssets[Asset ID])),IF(AND((_xlfn.XMATCH(CB$8,$AH$8:$CC$8))-_xlfn.XMATCH($C49,$C$35:$C$82)+1&lt;=_xlpm.DepreciationMonths,$C49&lt;=CB$8),$E49/_xlpm.DepreciationMonths,0))</f>
        <v>0</v>
      </c>
      <c r="CC49" s="507" cm="1">
        <f t="array" ref="CC49">_xlfn.LET(_xlpm.DepreciationMonths,INDEX(FixedAssets[Depreciation
/ Amortization Months],_xlfn.XMATCH($E$33,FixedAssets[Asset ID])),IF(AND((_xlfn.XMATCH(CC$8,$AH$8:$CC$8))-_xlfn.XMATCH($C49,$C$35:$C$82)+1&lt;=_xlpm.DepreciationMonths,$C49&lt;=CC$8),$E49/_xlpm.DepreciationMonths,0))</f>
        <v>0</v>
      </c>
    </row>
    <row r="50" spans="3:81" hidden="1" outlineLevel="2">
      <c r="C50" s="664">
        <f t="shared" si="91"/>
        <v>45412</v>
      </c>
      <c r="D50" s="508"/>
      <c r="E50" s="508" cm="1">
        <f t="array" ref="E50">SUMPRODUCT(($AH$26:$CC$31)*($AH$5:$CC$5=$C50)*($E$26:$E$31=E$33))-SUMPRODUCT(($AH$26:$CC$31)*($AH$5:$CC$5=EOMONTH($C50,-1))*($E$26:$E$31=E$33))</f>
        <v>0</v>
      </c>
      <c r="F50" s="508"/>
      <c r="G50" s="508"/>
      <c r="H50" s="508"/>
      <c r="I50" s="508"/>
      <c r="J50" s="504">
        <f t="shared" si="88"/>
        <v>0</v>
      </c>
      <c r="K50" s="504">
        <f t="shared" si="89"/>
        <v>0</v>
      </c>
      <c r="L50" s="504">
        <f t="shared" si="89"/>
        <v>0</v>
      </c>
      <c r="M50" s="504">
        <f t="shared" si="89"/>
        <v>0</v>
      </c>
      <c r="N50" s="504"/>
      <c r="O50" s="504"/>
      <c r="P50" s="504">
        <f t="shared" si="90"/>
        <v>0</v>
      </c>
      <c r="Q50" s="504">
        <f t="shared" si="90"/>
        <v>0</v>
      </c>
      <c r="R50" s="504">
        <f t="shared" si="90"/>
        <v>0</v>
      </c>
      <c r="S50" s="504">
        <f t="shared" si="90"/>
        <v>0</v>
      </c>
      <c r="T50" s="504">
        <f t="shared" si="90"/>
        <v>0</v>
      </c>
      <c r="U50" s="504">
        <f t="shared" si="90"/>
        <v>0</v>
      </c>
      <c r="V50" s="504">
        <f t="shared" si="90"/>
        <v>0</v>
      </c>
      <c r="W50" s="504">
        <f t="shared" si="90"/>
        <v>0</v>
      </c>
      <c r="X50" s="504">
        <f t="shared" si="90"/>
        <v>0</v>
      </c>
      <c r="Y50" s="504">
        <f t="shared" si="90"/>
        <v>0</v>
      </c>
      <c r="Z50" s="504">
        <f t="shared" si="90"/>
        <v>0</v>
      </c>
      <c r="AA50" s="504">
        <f t="shared" si="90"/>
        <v>0</v>
      </c>
      <c r="AB50" s="504">
        <f t="shared" si="90"/>
        <v>0</v>
      </c>
      <c r="AC50" s="504">
        <f t="shared" si="90"/>
        <v>0</v>
      </c>
      <c r="AD50" s="504">
        <f t="shared" si="90"/>
        <v>0</v>
      </c>
      <c r="AE50" s="504">
        <f t="shared" ref="AE50" si="92">SUMIFS($AH50:$CC50,$AH$4:$CC$4,"&gt;="&amp;AE$4,$AH$5:$CC$5,"&lt;="&amp;AE$5)</f>
        <v>0</v>
      </c>
      <c r="AF50" s="508"/>
      <c r="AG50" s="508"/>
      <c r="AH50" s="507" cm="1">
        <f t="array" ref="AH50">_xlfn.LET(_xlpm.DepreciationMonths,INDEX(FixedAssets[Depreciation
/ Amortization Months],_xlfn.XMATCH($E$33,FixedAssets[Asset ID])),IF(AND((_xlfn.XMATCH(AH$8,$AH$8:$CC$8))-_xlfn.XMATCH($C50,$C$35:$C$82)+1&lt;=_xlpm.DepreciationMonths,$C50&lt;=AH$8),$E50/_xlpm.DepreciationMonths,0))</f>
        <v>0</v>
      </c>
      <c r="AI50" s="507" cm="1">
        <f t="array" ref="AI50">_xlfn.LET(_xlpm.DepreciationMonths,INDEX(FixedAssets[Depreciation
/ Amortization Months],_xlfn.XMATCH($E$33,FixedAssets[Asset ID])),IF(AND((_xlfn.XMATCH(AI$8,$AH$8:$CC$8))-_xlfn.XMATCH($C50,$C$35:$C$82)+1&lt;=_xlpm.DepreciationMonths,$C50&lt;=AI$8),$E50/_xlpm.DepreciationMonths,0))</f>
        <v>0</v>
      </c>
      <c r="AJ50" s="507" cm="1">
        <f t="array" ref="AJ50">_xlfn.LET(_xlpm.DepreciationMonths,INDEX(FixedAssets[Depreciation
/ Amortization Months],_xlfn.XMATCH($E$33,FixedAssets[Asset ID])),IF(AND((_xlfn.XMATCH(AJ$8,$AH$8:$CC$8))-_xlfn.XMATCH($C50,$C$35:$C$82)+1&lt;=_xlpm.DepreciationMonths,$C50&lt;=AJ$8),$E50/_xlpm.DepreciationMonths,0))</f>
        <v>0</v>
      </c>
      <c r="AK50" s="507" cm="1">
        <f t="array" ref="AK50">_xlfn.LET(_xlpm.DepreciationMonths,INDEX(FixedAssets[Depreciation
/ Amortization Months],_xlfn.XMATCH($E$33,FixedAssets[Asset ID])),IF(AND((_xlfn.XMATCH(AK$8,$AH$8:$CC$8))-_xlfn.XMATCH($C50,$C$35:$C$82)+1&lt;=_xlpm.DepreciationMonths,$C50&lt;=AK$8),$E50/_xlpm.DepreciationMonths,0))</f>
        <v>0</v>
      </c>
      <c r="AL50" s="507" cm="1">
        <f t="array" ref="AL50">_xlfn.LET(_xlpm.DepreciationMonths,INDEX(FixedAssets[Depreciation
/ Amortization Months],_xlfn.XMATCH($E$33,FixedAssets[Asset ID])),IF(AND((_xlfn.XMATCH(AL$8,$AH$8:$CC$8))-_xlfn.XMATCH($C50,$C$35:$C$82)+1&lt;=_xlpm.DepreciationMonths,$C50&lt;=AL$8),$E50/_xlpm.DepreciationMonths,0))</f>
        <v>0</v>
      </c>
      <c r="AM50" s="507" cm="1">
        <f t="array" ref="AM50">_xlfn.LET(_xlpm.DepreciationMonths,INDEX(FixedAssets[Depreciation
/ Amortization Months],_xlfn.XMATCH($E$33,FixedAssets[Asset ID])),IF(AND((_xlfn.XMATCH(AM$8,$AH$8:$CC$8))-_xlfn.XMATCH($C50,$C$35:$C$82)+1&lt;=_xlpm.DepreciationMonths,$C50&lt;=AM$8),$E50/_xlpm.DepreciationMonths,0))</f>
        <v>0</v>
      </c>
      <c r="AN50" s="507" cm="1">
        <f t="array" ref="AN50">_xlfn.LET(_xlpm.DepreciationMonths,INDEX(FixedAssets[Depreciation
/ Amortization Months],_xlfn.XMATCH($E$33,FixedAssets[Asset ID])),IF(AND((_xlfn.XMATCH(AN$8,$AH$8:$CC$8))-_xlfn.XMATCH($C50,$C$35:$C$82)+1&lt;=_xlpm.DepreciationMonths,$C50&lt;=AN$8),$E50/_xlpm.DepreciationMonths,0))</f>
        <v>0</v>
      </c>
      <c r="AO50" s="507" cm="1">
        <f t="array" ref="AO50">_xlfn.LET(_xlpm.DepreciationMonths,INDEX(FixedAssets[Depreciation
/ Amortization Months],_xlfn.XMATCH($E$33,FixedAssets[Asset ID])),IF(AND((_xlfn.XMATCH(AO$8,$AH$8:$CC$8))-_xlfn.XMATCH($C50,$C$35:$C$82)+1&lt;=_xlpm.DepreciationMonths,$C50&lt;=AO$8),$E50/_xlpm.DepreciationMonths,0))</f>
        <v>0</v>
      </c>
      <c r="AP50" s="507" cm="1">
        <f t="array" ref="AP50">_xlfn.LET(_xlpm.DepreciationMonths,INDEX(FixedAssets[Depreciation
/ Amortization Months],_xlfn.XMATCH($E$33,FixedAssets[Asset ID])),IF(AND((_xlfn.XMATCH(AP$8,$AH$8:$CC$8))-_xlfn.XMATCH($C50,$C$35:$C$82)+1&lt;=_xlpm.DepreciationMonths,$C50&lt;=AP$8),$E50/_xlpm.DepreciationMonths,0))</f>
        <v>0</v>
      </c>
      <c r="AQ50" s="507" cm="1">
        <f t="array" ref="AQ50">_xlfn.LET(_xlpm.DepreciationMonths,INDEX(FixedAssets[Depreciation
/ Amortization Months],_xlfn.XMATCH($E$33,FixedAssets[Asset ID])),IF(AND((_xlfn.XMATCH(AQ$8,$AH$8:$CC$8))-_xlfn.XMATCH($C50,$C$35:$C$82)+1&lt;=_xlpm.DepreciationMonths,$C50&lt;=AQ$8),$E50/_xlpm.DepreciationMonths,0))</f>
        <v>0</v>
      </c>
      <c r="AR50" s="507" cm="1">
        <f t="array" ref="AR50">_xlfn.LET(_xlpm.DepreciationMonths,INDEX(FixedAssets[Depreciation
/ Amortization Months],_xlfn.XMATCH($E$33,FixedAssets[Asset ID])),IF(AND((_xlfn.XMATCH(AR$8,$AH$8:$CC$8))-_xlfn.XMATCH($C50,$C$35:$C$82)+1&lt;=_xlpm.DepreciationMonths,$C50&lt;=AR$8),$E50/_xlpm.DepreciationMonths,0))</f>
        <v>0</v>
      </c>
      <c r="AS50" s="507" cm="1">
        <f t="array" ref="AS50">_xlfn.LET(_xlpm.DepreciationMonths,INDEX(FixedAssets[Depreciation
/ Amortization Months],_xlfn.XMATCH($E$33,FixedAssets[Asset ID])),IF(AND((_xlfn.XMATCH(AS$8,$AH$8:$CC$8))-_xlfn.XMATCH($C50,$C$35:$C$82)+1&lt;=_xlpm.DepreciationMonths,$C50&lt;=AS$8),$E50/_xlpm.DepreciationMonths,0))</f>
        <v>0</v>
      </c>
      <c r="AT50" s="507" cm="1">
        <f t="array" ref="AT50">_xlfn.LET(_xlpm.DepreciationMonths,INDEX(FixedAssets[Depreciation
/ Amortization Months],_xlfn.XMATCH($E$33,FixedAssets[Asset ID])),IF(AND((_xlfn.XMATCH(AT$8,$AH$8:$CC$8))-_xlfn.XMATCH($C50,$C$35:$C$82)+1&lt;=_xlpm.DepreciationMonths,$C50&lt;=AT$8),$E50/_xlpm.DepreciationMonths,0))</f>
        <v>0</v>
      </c>
      <c r="AU50" s="507" cm="1">
        <f t="array" ref="AU50">_xlfn.LET(_xlpm.DepreciationMonths,INDEX(FixedAssets[Depreciation
/ Amortization Months],_xlfn.XMATCH($E$33,FixedAssets[Asset ID])),IF(AND((_xlfn.XMATCH(AU$8,$AH$8:$CC$8))-_xlfn.XMATCH($C50,$C$35:$C$82)+1&lt;=_xlpm.DepreciationMonths,$C50&lt;=AU$8),$E50/_xlpm.DepreciationMonths,0))</f>
        <v>0</v>
      </c>
      <c r="AV50" s="507" cm="1">
        <f t="array" ref="AV50">_xlfn.LET(_xlpm.DepreciationMonths,INDEX(FixedAssets[Depreciation
/ Amortization Months],_xlfn.XMATCH($E$33,FixedAssets[Asset ID])),IF(AND((_xlfn.XMATCH(AV$8,$AH$8:$CC$8))-_xlfn.XMATCH($C50,$C$35:$C$82)+1&lt;=_xlpm.DepreciationMonths,$C50&lt;=AV$8),$E50/_xlpm.DepreciationMonths,0))</f>
        <v>0</v>
      </c>
      <c r="AW50" s="507" cm="1">
        <f t="array" ref="AW50">_xlfn.LET(_xlpm.DepreciationMonths,INDEX(FixedAssets[Depreciation
/ Amortization Months],_xlfn.XMATCH($E$33,FixedAssets[Asset ID])),IF(AND((_xlfn.XMATCH(AW$8,$AH$8:$CC$8))-_xlfn.XMATCH($C50,$C$35:$C$82)+1&lt;=_xlpm.DepreciationMonths,$C50&lt;=AW$8),$E50/_xlpm.DepreciationMonths,0))</f>
        <v>0</v>
      </c>
      <c r="AX50" s="507" cm="1">
        <f t="array" ref="AX50">_xlfn.LET(_xlpm.DepreciationMonths,INDEX(FixedAssets[Depreciation
/ Amortization Months],_xlfn.XMATCH($E$33,FixedAssets[Asset ID])),IF(AND((_xlfn.XMATCH(AX$8,$AH$8:$CC$8))-_xlfn.XMATCH($C50,$C$35:$C$82)+1&lt;=_xlpm.DepreciationMonths,$C50&lt;=AX$8),$E50/_xlpm.DepreciationMonths,0))</f>
        <v>0</v>
      </c>
      <c r="AY50" s="507" cm="1">
        <f t="array" ref="AY50">_xlfn.LET(_xlpm.DepreciationMonths,INDEX(FixedAssets[Depreciation
/ Amortization Months],_xlfn.XMATCH($E$33,FixedAssets[Asset ID])),IF(AND((_xlfn.XMATCH(AY$8,$AH$8:$CC$8))-_xlfn.XMATCH($C50,$C$35:$C$82)+1&lt;=_xlpm.DepreciationMonths,$C50&lt;=AY$8),$E50/_xlpm.DepreciationMonths,0))</f>
        <v>0</v>
      </c>
      <c r="AZ50" s="507" cm="1">
        <f t="array" ref="AZ50">_xlfn.LET(_xlpm.DepreciationMonths,INDEX(FixedAssets[Depreciation
/ Amortization Months],_xlfn.XMATCH($E$33,FixedAssets[Asset ID])),IF(AND((_xlfn.XMATCH(AZ$8,$AH$8:$CC$8))-_xlfn.XMATCH($C50,$C$35:$C$82)+1&lt;=_xlpm.DepreciationMonths,$C50&lt;=AZ$8),$E50/_xlpm.DepreciationMonths,0))</f>
        <v>0</v>
      </c>
      <c r="BA50" s="507" cm="1">
        <f t="array" ref="BA50">_xlfn.LET(_xlpm.DepreciationMonths,INDEX(FixedAssets[Depreciation
/ Amortization Months],_xlfn.XMATCH($E$33,FixedAssets[Asset ID])),IF(AND((_xlfn.XMATCH(BA$8,$AH$8:$CC$8))-_xlfn.XMATCH($C50,$C$35:$C$82)+1&lt;=_xlpm.DepreciationMonths,$C50&lt;=BA$8),$E50/_xlpm.DepreciationMonths,0))</f>
        <v>0</v>
      </c>
      <c r="BB50" s="507" cm="1">
        <f t="array" ref="BB50">_xlfn.LET(_xlpm.DepreciationMonths,INDEX(FixedAssets[Depreciation
/ Amortization Months],_xlfn.XMATCH($E$33,FixedAssets[Asset ID])),IF(AND((_xlfn.XMATCH(BB$8,$AH$8:$CC$8))-_xlfn.XMATCH($C50,$C$35:$C$82)+1&lt;=_xlpm.DepreciationMonths,$C50&lt;=BB$8),$E50/_xlpm.DepreciationMonths,0))</f>
        <v>0</v>
      </c>
      <c r="BC50" s="507" cm="1">
        <f t="array" ref="BC50">_xlfn.LET(_xlpm.DepreciationMonths,INDEX(FixedAssets[Depreciation
/ Amortization Months],_xlfn.XMATCH($E$33,FixedAssets[Asset ID])),IF(AND((_xlfn.XMATCH(BC$8,$AH$8:$CC$8))-_xlfn.XMATCH($C50,$C$35:$C$82)+1&lt;=_xlpm.DepreciationMonths,$C50&lt;=BC$8),$E50/_xlpm.DepreciationMonths,0))</f>
        <v>0</v>
      </c>
      <c r="BD50" s="507" cm="1">
        <f t="array" ref="BD50">_xlfn.LET(_xlpm.DepreciationMonths,INDEX(FixedAssets[Depreciation
/ Amortization Months],_xlfn.XMATCH($E$33,FixedAssets[Asset ID])),IF(AND((_xlfn.XMATCH(BD$8,$AH$8:$CC$8))-_xlfn.XMATCH($C50,$C$35:$C$82)+1&lt;=_xlpm.DepreciationMonths,$C50&lt;=BD$8),$E50/_xlpm.DepreciationMonths,0))</f>
        <v>0</v>
      </c>
      <c r="BE50" s="507" cm="1">
        <f t="array" ref="BE50">_xlfn.LET(_xlpm.DepreciationMonths,INDEX(FixedAssets[Depreciation
/ Amortization Months],_xlfn.XMATCH($E$33,FixedAssets[Asset ID])),IF(AND((_xlfn.XMATCH(BE$8,$AH$8:$CC$8))-_xlfn.XMATCH($C50,$C$35:$C$82)+1&lt;=_xlpm.DepreciationMonths,$C50&lt;=BE$8),$E50/_xlpm.DepreciationMonths,0))</f>
        <v>0</v>
      </c>
      <c r="BF50" s="507" cm="1">
        <f t="array" ref="BF50">_xlfn.LET(_xlpm.DepreciationMonths,INDEX(FixedAssets[Depreciation
/ Amortization Months],_xlfn.XMATCH($E$33,FixedAssets[Asset ID])),IF(AND((_xlfn.XMATCH(BF$8,$AH$8:$CC$8))-_xlfn.XMATCH($C50,$C$35:$C$82)+1&lt;=_xlpm.DepreciationMonths,$C50&lt;=BF$8),$E50/_xlpm.DepreciationMonths,0))</f>
        <v>0</v>
      </c>
      <c r="BG50" s="507" cm="1">
        <f t="array" ref="BG50">_xlfn.LET(_xlpm.DepreciationMonths,INDEX(FixedAssets[Depreciation
/ Amortization Months],_xlfn.XMATCH($E$33,FixedAssets[Asset ID])),IF(AND((_xlfn.XMATCH(BG$8,$AH$8:$CC$8))-_xlfn.XMATCH($C50,$C$35:$C$82)+1&lt;=_xlpm.DepreciationMonths,$C50&lt;=BG$8),$E50/_xlpm.DepreciationMonths,0))</f>
        <v>0</v>
      </c>
      <c r="BH50" s="507" cm="1">
        <f t="array" ref="BH50">_xlfn.LET(_xlpm.DepreciationMonths,INDEX(FixedAssets[Depreciation
/ Amortization Months],_xlfn.XMATCH($E$33,FixedAssets[Asset ID])),IF(AND((_xlfn.XMATCH(BH$8,$AH$8:$CC$8))-_xlfn.XMATCH($C50,$C$35:$C$82)+1&lt;=_xlpm.DepreciationMonths,$C50&lt;=BH$8),$E50/_xlpm.DepreciationMonths,0))</f>
        <v>0</v>
      </c>
      <c r="BI50" s="507" cm="1">
        <f t="array" ref="BI50">_xlfn.LET(_xlpm.DepreciationMonths,INDEX(FixedAssets[Depreciation
/ Amortization Months],_xlfn.XMATCH($E$33,FixedAssets[Asset ID])),IF(AND((_xlfn.XMATCH(BI$8,$AH$8:$CC$8))-_xlfn.XMATCH($C50,$C$35:$C$82)+1&lt;=_xlpm.DepreciationMonths,$C50&lt;=BI$8),$E50/_xlpm.DepreciationMonths,0))</f>
        <v>0</v>
      </c>
      <c r="BJ50" s="507" cm="1">
        <f t="array" ref="BJ50">_xlfn.LET(_xlpm.DepreciationMonths,INDEX(FixedAssets[Depreciation
/ Amortization Months],_xlfn.XMATCH($E$33,FixedAssets[Asset ID])),IF(AND((_xlfn.XMATCH(BJ$8,$AH$8:$CC$8))-_xlfn.XMATCH($C50,$C$35:$C$82)+1&lt;=_xlpm.DepreciationMonths,$C50&lt;=BJ$8),$E50/_xlpm.DepreciationMonths,0))</f>
        <v>0</v>
      </c>
      <c r="BK50" s="507" cm="1">
        <f t="array" ref="BK50">_xlfn.LET(_xlpm.DepreciationMonths,INDEX(FixedAssets[Depreciation
/ Amortization Months],_xlfn.XMATCH($E$33,FixedAssets[Asset ID])),IF(AND((_xlfn.XMATCH(BK$8,$AH$8:$CC$8))-_xlfn.XMATCH($C50,$C$35:$C$82)+1&lt;=_xlpm.DepreciationMonths,$C50&lt;=BK$8),$E50/_xlpm.DepreciationMonths,0))</f>
        <v>0</v>
      </c>
      <c r="BL50" s="507" cm="1">
        <f t="array" ref="BL50">_xlfn.LET(_xlpm.DepreciationMonths,INDEX(FixedAssets[Depreciation
/ Amortization Months],_xlfn.XMATCH($E$33,FixedAssets[Asset ID])),IF(AND((_xlfn.XMATCH(BL$8,$AH$8:$CC$8))-_xlfn.XMATCH($C50,$C$35:$C$82)+1&lt;=_xlpm.DepreciationMonths,$C50&lt;=BL$8),$E50/_xlpm.DepreciationMonths,0))</f>
        <v>0</v>
      </c>
      <c r="BM50" s="507" cm="1">
        <f t="array" ref="BM50">_xlfn.LET(_xlpm.DepreciationMonths,INDEX(FixedAssets[Depreciation
/ Amortization Months],_xlfn.XMATCH($E$33,FixedAssets[Asset ID])),IF(AND((_xlfn.XMATCH(BM$8,$AH$8:$CC$8))-_xlfn.XMATCH($C50,$C$35:$C$82)+1&lt;=_xlpm.DepreciationMonths,$C50&lt;=BM$8),$E50/_xlpm.DepreciationMonths,0))</f>
        <v>0</v>
      </c>
      <c r="BN50" s="507" cm="1">
        <f t="array" ref="BN50">_xlfn.LET(_xlpm.DepreciationMonths,INDEX(FixedAssets[Depreciation
/ Amortization Months],_xlfn.XMATCH($E$33,FixedAssets[Asset ID])),IF(AND((_xlfn.XMATCH(BN$8,$AH$8:$CC$8))-_xlfn.XMATCH($C50,$C$35:$C$82)+1&lt;=_xlpm.DepreciationMonths,$C50&lt;=BN$8),$E50/_xlpm.DepreciationMonths,0))</f>
        <v>0</v>
      </c>
      <c r="BO50" s="507" cm="1">
        <f t="array" ref="BO50">_xlfn.LET(_xlpm.DepreciationMonths,INDEX(FixedAssets[Depreciation
/ Amortization Months],_xlfn.XMATCH($E$33,FixedAssets[Asset ID])),IF(AND((_xlfn.XMATCH(BO$8,$AH$8:$CC$8))-_xlfn.XMATCH($C50,$C$35:$C$82)+1&lt;=_xlpm.DepreciationMonths,$C50&lt;=BO$8),$E50/_xlpm.DepreciationMonths,0))</f>
        <v>0</v>
      </c>
      <c r="BP50" s="507" cm="1">
        <f t="array" ref="BP50">_xlfn.LET(_xlpm.DepreciationMonths,INDEX(FixedAssets[Depreciation
/ Amortization Months],_xlfn.XMATCH($E$33,FixedAssets[Asset ID])),IF(AND((_xlfn.XMATCH(BP$8,$AH$8:$CC$8))-_xlfn.XMATCH($C50,$C$35:$C$82)+1&lt;=_xlpm.DepreciationMonths,$C50&lt;=BP$8),$E50/_xlpm.DepreciationMonths,0))</f>
        <v>0</v>
      </c>
      <c r="BQ50" s="507" cm="1">
        <f t="array" ref="BQ50">_xlfn.LET(_xlpm.DepreciationMonths,INDEX(FixedAssets[Depreciation
/ Amortization Months],_xlfn.XMATCH($E$33,FixedAssets[Asset ID])),IF(AND((_xlfn.XMATCH(BQ$8,$AH$8:$CC$8))-_xlfn.XMATCH($C50,$C$35:$C$82)+1&lt;=_xlpm.DepreciationMonths,$C50&lt;=BQ$8),$E50/_xlpm.DepreciationMonths,0))</f>
        <v>0</v>
      </c>
      <c r="BR50" s="507" cm="1">
        <f t="array" ref="BR50">_xlfn.LET(_xlpm.DepreciationMonths,INDEX(FixedAssets[Depreciation
/ Amortization Months],_xlfn.XMATCH($E$33,FixedAssets[Asset ID])),IF(AND((_xlfn.XMATCH(BR$8,$AH$8:$CC$8))-_xlfn.XMATCH($C50,$C$35:$C$82)+1&lt;=_xlpm.DepreciationMonths,$C50&lt;=BR$8),$E50/_xlpm.DepreciationMonths,0))</f>
        <v>0</v>
      </c>
      <c r="BS50" s="507" cm="1">
        <f t="array" ref="BS50">_xlfn.LET(_xlpm.DepreciationMonths,INDEX(FixedAssets[Depreciation
/ Amortization Months],_xlfn.XMATCH($E$33,FixedAssets[Asset ID])),IF(AND((_xlfn.XMATCH(BS$8,$AH$8:$CC$8))-_xlfn.XMATCH($C50,$C$35:$C$82)+1&lt;=_xlpm.DepreciationMonths,$C50&lt;=BS$8),$E50/_xlpm.DepreciationMonths,0))</f>
        <v>0</v>
      </c>
      <c r="BT50" s="507" cm="1">
        <f t="array" ref="BT50">_xlfn.LET(_xlpm.DepreciationMonths,INDEX(FixedAssets[Depreciation
/ Amortization Months],_xlfn.XMATCH($E$33,FixedAssets[Asset ID])),IF(AND((_xlfn.XMATCH(BT$8,$AH$8:$CC$8))-_xlfn.XMATCH($C50,$C$35:$C$82)+1&lt;=_xlpm.DepreciationMonths,$C50&lt;=BT$8),$E50/_xlpm.DepreciationMonths,0))</f>
        <v>0</v>
      </c>
      <c r="BU50" s="507" cm="1">
        <f t="array" ref="BU50">_xlfn.LET(_xlpm.DepreciationMonths,INDEX(FixedAssets[Depreciation
/ Amortization Months],_xlfn.XMATCH($E$33,FixedAssets[Asset ID])),IF(AND((_xlfn.XMATCH(BU$8,$AH$8:$CC$8))-_xlfn.XMATCH($C50,$C$35:$C$82)+1&lt;=_xlpm.DepreciationMonths,$C50&lt;=BU$8),$E50/_xlpm.DepreciationMonths,0))</f>
        <v>0</v>
      </c>
      <c r="BV50" s="507" cm="1">
        <f t="array" ref="BV50">_xlfn.LET(_xlpm.DepreciationMonths,INDEX(FixedAssets[Depreciation
/ Amortization Months],_xlfn.XMATCH($E$33,FixedAssets[Asset ID])),IF(AND((_xlfn.XMATCH(BV$8,$AH$8:$CC$8))-_xlfn.XMATCH($C50,$C$35:$C$82)+1&lt;=_xlpm.DepreciationMonths,$C50&lt;=BV$8),$E50/_xlpm.DepreciationMonths,0))</f>
        <v>0</v>
      </c>
      <c r="BW50" s="507" cm="1">
        <f t="array" ref="BW50">_xlfn.LET(_xlpm.DepreciationMonths,INDEX(FixedAssets[Depreciation
/ Amortization Months],_xlfn.XMATCH($E$33,FixedAssets[Asset ID])),IF(AND((_xlfn.XMATCH(BW$8,$AH$8:$CC$8))-_xlfn.XMATCH($C50,$C$35:$C$82)+1&lt;=_xlpm.DepreciationMonths,$C50&lt;=BW$8),$E50/_xlpm.DepreciationMonths,0))</f>
        <v>0</v>
      </c>
      <c r="BX50" s="507" cm="1">
        <f t="array" ref="BX50">_xlfn.LET(_xlpm.DepreciationMonths,INDEX(FixedAssets[Depreciation
/ Amortization Months],_xlfn.XMATCH($E$33,FixedAssets[Asset ID])),IF(AND((_xlfn.XMATCH(BX$8,$AH$8:$CC$8))-_xlfn.XMATCH($C50,$C$35:$C$82)+1&lt;=_xlpm.DepreciationMonths,$C50&lt;=BX$8),$E50/_xlpm.DepreciationMonths,0))</f>
        <v>0</v>
      </c>
      <c r="BY50" s="507" cm="1">
        <f t="array" ref="BY50">_xlfn.LET(_xlpm.DepreciationMonths,INDEX(FixedAssets[Depreciation
/ Amortization Months],_xlfn.XMATCH($E$33,FixedAssets[Asset ID])),IF(AND((_xlfn.XMATCH(BY$8,$AH$8:$CC$8))-_xlfn.XMATCH($C50,$C$35:$C$82)+1&lt;=_xlpm.DepreciationMonths,$C50&lt;=BY$8),$E50/_xlpm.DepreciationMonths,0))</f>
        <v>0</v>
      </c>
      <c r="BZ50" s="507" cm="1">
        <f t="array" ref="BZ50">_xlfn.LET(_xlpm.DepreciationMonths,INDEX(FixedAssets[Depreciation
/ Amortization Months],_xlfn.XMATCH($E$33,FixedAssets[Asset ID])),IF(AND((_xlfn.XMATCH(BZ$8,$AH$8:$CC$8))-_xlfn.XMATCH($C50,$C$35:$C$82)+1&lt;=_xlpm.DepreciationMonths,$C50&lt;=BZ$8),$E50/_xlpm.DepreciationMonths,0))</f>
        <v>0</v>
      </c>
      <c r="CA50" s="507" cm="1">
        <f t="array" ref="CA50">_xlfn.LET(_xlpm.DepreciationMonths,INDEX(FixedAssets[Depreciation
/ Amortization Months],_xlfn.XMATCH($E$33,FixedAssets[Asset ID])),IF(AND((_xlfn.XMATCH(CA$8,$AH$8:$CC$8))-_xlfn.XMATCH($C50,$C$35:$C$82)+1&lt;=_xlpm.DepreciationMonths,$C50&lt;=CA$8),$E50/_xlpm.DepreciationMonths,0))</f>
        <v>0</v>
      </c>
      <c r="CB50" s="507" cm="1">
        <f t="array" ref="CB50">_xlfn.LET(_xlpm.DepreciationMonths,INDEX(FixedAssets[Depreciation
/ Amortization Months],_xlfn.XMATCH($E$33,FixedAssets[Asset ID])),IF(AND((_xlfn.XMATCH(CB$8,$AH$8:$CC$8))-_xlfn.XMATCH($C50,$C$35:$C$82)+1&lt;=_xlpm.DepreciationMonths,$C50&lt;=CB$8),$E50/_xlpm.DepreciationMonths,0))</f>
        <v>0</v>
      </c>
      <c r="CC50" s="507" cm="1">
        <f t="array" ref="CC50">_xlfn.LET(_xlpm.DepreciationMonths,INDEX(FixedAssets[Depreciation
/ Amortization Months],_xlfn.XMATCH($E$33,FixedAssets[Asset ID])),IF(AND((_xlfn.XMATCH(CC$8,$AH$8:$CC$8))-_xlfn.XMATCH($C50,$C$35:$C$82)+1&lt;=_xlpm.DepreciationMonths,$C50&lt;=CC$8),$E50/_xlpm.DepreciationMonths,0))</f>
        <v>0</v>
      </c>
    </row>
    <row r="51" spans="3:81" hidden="1" outlineLevel="2">
      <c r="C51" s="664">
        <f t="shared" si="91"/>
        <v>45443</v>
      </c>
      <c r="D51" s="508"/>
      <c r="E51" s="508" cm="1">
        <f t="array" ref="E51">SUMPRODUCT(($AH$26:$CC$31)*($AH$5:$CC$5=$C51)*($E$26:$E$31=E$33))-SUMPRODUCT(($AH$26:$CC$31)*($AH$5:$CC$5=EOMONTH($C51,-1))*($E$26:$E$31=E$33))</f>
        <v>0</v>
      </c>
      <c r="F51" s="508"/>
      <c r="G51" s="508"/>
      <c r="H51" s="508"/>
      <c r="I51" s="508"/>
      <c r="J51" s="504">
        <f t="shared" si="88"/>
        <v>0</v>
      </c>
      <c r="K51" s="504">
        <f t="shared" ref="K51:M66" si="93">SUMIFS($AH51:$CC51,$AH$4:$CC$4,"&gt;="&amp;K$4,$AH$5:$CC$5,"&lt;="&amp;K$5)</f>
        <v>0</v>
      </c>
      <c r="L51" s="504">
        <f t="shared" si="93"/>
        <v>0</v>
      </c>
      <c r="M51" s="504">
        <f t="shared" si="93"/>
        <v>0</v>
      </c>
      <c r="N51" s="504"/>
      <c r="O51" s="504"/>
      <c r="P51" s="504">
        <f t="shared" ref="P51:AE66" si="94">SUMIFS($AH51:$CC51,$AH$4:$CC$4,"&gt;="&amp;P$4,$AH$5:$CC$5,"&lt;="&amp;P$5)</f>
        <v>0</v>
      </c>
      <c r="Q51" s="504">
        <f t="shared" si="94"/>
        <v>0</v>
      </c>
      <c r="R51" s="504">
        <f t="shared" si="94"/>
        <v>0</v>
      </c>
      <c r="S51" s="504">
        <f t="shared" si="94"/>
        <v>0</v>
      </c>
      <c r="T51" s="504">
        <f t="shared" si="94"/>
        <v>0</v>
      </c>
      <c r="U51" s="504">
        <f t="shared" si="94"/>
        <v>0</v>
      </c>
      <c r="V51" s="504">
        <f t="shared" si="94"/>
        <v>0</v>
      </c>
      <c r="W51" s="504">
        <f t="shared" si="94"/>
        <v>0</v>
      </c>
      <c r="X51" s="504">
        <f t="shared" si="94"/>
        <v>0</v>
      </c>
      <c r="Y51" s="504">
        <f t="shared" si="94"/>
        <v>0</v>
      </c>
      <c r="Z51" s="504">
        <f t="shared" si="94"/>
        <v>0</v>
      </c>
      <c r="AA51" s="504">
        <f t="shared" si="94"/>
        <v>0</v>
      </c>
      <c r="AB51" s="504">
        <f t="shared" si="94"/>
        <v>0</v>
      </c>
      <c r="AC51" s="504">
        <f t="shared" si="94"/>
        <v>0</v>
      </c>
      <c r="AD51" s="504">
        <f t="shared" si="94"/>
        <v>0</v>
      </c>
      <c r="AE51" s="504">
        <f t="shared" si="94"/>
        <v>0</v>
      </c>
      <c r="AF51" s="508"/>
      <c r="AG51" s="508"/>
      <c r="AH51" s="507" cm="1">
        <f t="array" ref="AH51">_xlfn.LET(_xlpm.DepreciationMonths,INDEX(FixedAssets[Depreciation
/ Amortization Months],_xlfn.XMATCH($E$33,FixedAssets[Asset ID])),IF(AND((_xlfn.XMATCH(AH$8,$AH$8:$CC$8))-_xlfn.XMATCH($C51,$C$35:$C$82)+1&lt;=_xlpm.DepreciationMonths,$C51&lt;=AH$8),$E51/_xlpm.DepreciationMonths,0))</f>
        <v>0</v>
      </c>
      <c r="AI51" s="507" cm="1">
        <f t="array" ref="AI51">_xlfn.LET(_xlpm.DepreciationMonths,INDEX(FixedAssets[Depreciation
/ Amortization Months],_xlfn.XMATCH($E$33,FixedAssets[Asset ID])),IF(AND((_xlfn.XMATCH(AI$8,$AH$8:$CC$8))-_xlfn.XMATCH($C51,$C$35:$C$82)+1&lt;=_xlpm.DepreciationMonths,$C51&lt;=AI$8),$E51/_xlpm.DepreciationMonths,0))</f>
        <v>0</v>
      </c>
      <c r="AJ51" s="507" cm="1">
        <f t="array" ref="AJ51">_xlfn.LET(_xlpm.DepreciationMonths,INDEX(FixedAssets[Depreciation
/ Amortization Months],_xlfn.XMATCH($E$33,FixedAssets[Asset ID])),IF(AND((_xlfn.XMATCH(AJ$8,$AH$8:$CC$8))-_xlfn.XMATCH($C51,$C$35:$C$82)+1&lt;=_xlpm.DepreciationMonths,$C51&lt;=AJ$8),$E51/_xlpm.DepreciationMonths,0))</f>
        <v>0</v>
      </c>
      <c r="AK51" s="507" cm="1">
        <f t="array" ref="AK51">_xlfn.LET(_xlpm.DepreciationMonths,INDEX(FixedAssets[Depreciation
/ Amortization Months],_xlfn.XMATCH($E$33,FixedAssets[Asset ID])),IF(AND((_xlfn.XMATCH(AK$8,$AH$8:$CC$8))-_xlfn.XMATCH($C51,$C$35:$C$82)+1&lt;=_xlpm.DepreciationMonths,$C51&lt;=AK$8),$E51/_xlpm.DepreciationMonths,0))</f>
        <v>0</v>
      </c>
      <c r="AL51" s="507" cm="1">
        <f t="array" ref="AL51">_xlfn.LET(_xlpm.DepreciationMonths,INDEX(FixedAssets[Depreciation
/ Amortization Months],_xlfn.XMATCH($E$33,FixedAssets[Asset ID])),IF(AND((_xlfn.XMATCH(AL$8,$AH$8:$CC$8))-_xlfn.XMATCH($C51,$C$35:$C$82)+1&lt;=_xlpm.DepreciationMonths,$C51&lt;=AL$8),$E51/_xlpm.DepreciationMonths,0))</f>
        <v>0</v>
      </c>
      <c r="AM51" s="507" cm="1">
        <f t="array" ref="AM51">_xlfn.LET(_xlpm.DepreciationMonths,INDEX(FixedAssets[Depreciation
/ Amortization Months],_xlfn.XMATCH($E$33,FixedAssets[Asset ID])),IF(AND((_xlfn.XMATCH(AM$8,$AH$8:$CC$8))-_xlfn.XMATCH($C51,$C$35:$C$82)+1&lt;=_xlpm.DepreciationMonths,$C51&lt;=AM$8),$E51/_xlpm.DepreciationMonths,0))</f>
        <v>0</v>
      </c>
      <c r="AN51" s="507" cm="1">
        <f t="array" ref="AN51">_xlfn.LET(_xlpm.DepreciationMonths,INDEX(FixedAssets[Depreciation
/ Amortization Months],_xlfn.XMATCH($E$33,FixedAssets[Asset ID])),IF(AND((_xlfn.XMATCH(AN$8,$AH$8:$CC$8))-_xlfn.XMATCH($C51,$C$35:$C$82)+1&lt;=_xlpm.DepreciationMonths,$C51&lt;=AN$8),$E51/_xlpm.DepreciationMonths,0))</f>
        <v>0</v>
      </c>
      <c r="AO51" s="507" cm="1">
        <f t="array" ref="AO51">_xlfn.LET(_xlpm.DepreciationMonths,INDEX(FixedAssets[Depreciation
/ Amortization Months],_xlfn.XMATCH($E$33,FixedAssets[Asset ID])),IF(AND((_xlfn.XMATCH(AO$8,$AH$8:$CC$8))-_xlfn.XMATCH($C51,$C$35:$C$82)+1&lt;=_xlpm.DepreciationMonths,$C51&lt;=AO$8),$E51/_xlpm.DepreciationMonths,0))</f>
        <v>0</v>
      </c>
      <c r="AP51" s="507" cm="1">
        <f t="array" ref="AP51">_xlfn.LET(_xlpm.DepreciationMonths,INDEX(FixedAssets[Depreciation
/ Amortization Months],_xlfn.XMATCH($E$33,FixedAssets[Asset ID])),IF(AND((_xlfn.XMATCH(AP$8,$AH$8:$CC$8))-_xlfn.XMATCH($C51,$C$35:$C$82)+1&lt;=_xlpm.DepreciationMonths,$C51&lt;=AP$8),$E51/_xlpm.DepreciationMonths,0))</f>
        <v>0</v>
      </c>
      <c r="AQ51" s="507" cm="1">
        <f t="array" ref="AQ51">_xlfn.LET(_xlpm.DepreciationMonths,INDEX(FixedAssets[Depreciation
/ Amortization Months],_xlfn.XMATCH($E$33,FixedAssets[Asset ID])),IF(AND((_xlfn.XMATCH(AQ$8,$AH$8:$CC$8))-_xlfn.XMATCH($C51,$C$35:$C$82)+1&lt;=_xlpm.DepreciationMonths,$C51&lt;=AQ$8),$E51/_xlpm.DepreciationMonths,0))</f>
        <v>0</v>
      </c>
      <c r="AR51" s="507" cm="1">
        <f t="array" ref="AR51">_xlfn.LET(_xlpm.DepreciationMonths,INDEX(FixedAssets[Depreciation
/ Amortization Months],_xlfn.XMATCH($E$33,FixedAssets[Asset ID])),IF(AND((_xlfn.XMATCH(AR$8,$AH$8:$CC$8))-_xlfn.XMATCH($C51,$C$35:$C$82)+1&lt;=_xlpm.DepreciationMonths,$C51&lt;=AR$8),$E51/_xlpm.DepreciationMonths,0))</f>
        <v>0</v>
      </c>
      <c r="AS51" s="507" cm="1">
        <f t="array" ref="AS51">_xlfn.LET(_xlpm.DepreciationMonths,INDEX(FixedAssets[Depreciation
/ Amortization Months],_xlfn.XMATCH($E$33,FixedAssets[Asset ID])),IF(AND((_xlfn.XMATCH(AS$8,$AH$8:$CC$8))-_xlfn.XMATCH($C51,$C$35:$C$82)+1&lt;=_xlpm.DepreciationMonths,$C51&lt;=AS$8),$E51/_xlpm.DepreciationMonths,0))</f>
        <v>0</v>
      </c>
      <c r="AT51" s="507" cm="1">
        <f t="array" ref="AT51">_xlfn.LET(_xlpm.DepreciationMonths,INDEX(FixedAssets[Depreciation
/ Amortization Months],_xlfn.XMATCH($E$33,FixedAssets[Asset ID])),IF(AND((_xlfn.XMATCH(AT$8,$AH$8:$CC$8))-_xlfn.XMATCH($C51,$C$35:$C$82)+1&lt;=_xlpm.DepreciationMonths,$C51&lt;=AT$8),$E51/_xlpm.DepreciationMonths,0))</f>
        <v>0</v>
      </c>
      <c r="AU51" s="507" cm="1">
        <f t="array" ref="AU51">_xlfn.LET(_xlpm.DepreciationMonths,INDEX(FixedAssets[Depreciation
/ Amortization Months],_xlfn.XMATCH($E$33,FixedAssets[Asset ID])),IF(AND((_xlfn.XMATCH(AU$8,$AH$8:$CC$8))-_xlfn.XMATCH($C51,$C$35:$C$82)+1&lt;=_xlpm.DepreciationMonths,$C51&lt;=AU$8),$E51/_xlpm.DepreciationMonths,0))</f>
        <v>0</v>
      </c>
      <c r="AV51" s="507" cm="1">
        <f t="array" ref="AV51">_xlfn.LET(_xlpm.DepreciationMonths,INDEX(FixedAssets[Depreciation
/ Amortization Months],_xlfn.XMATCH($E$33,FixedAssets[Asset ID])),IF(AND((_xlfn.XMATCH(AV$8,$AH$8:$CC$8))-_xlfn.XMATCH($C51,$C$35:$C$82)+1&lt;=_xlpm.DepreciationMonths,$C51&lt;=AV$8),$E51/_xlpm.DepreciationMonths,0))</f>
        <v>0</v>
      </c>
      <c r="AW51" s="507" cm="1">
        <f t="array" ref="AW51">_xlfn.LET(_xlpm.DepreciationMonths,INDEX(FixedAssets[Depreciation
/ Amortization Months],_xlfn.XMATCH($E$33,FixedAssets[Asset ID])),IF(AND((_xlfn.XMATCH(AW$8,$AH$8:$CC$8))-_xlfn.XMATCH($C51,$C$35:$C$82)+1&lt;=_xlpm.DepreciationMonths,$C51&lt;=AW$8),$E51/_xlpm.DepreciationMonths,0))</f>
        <v>0</v>
      </c>
      <c r="AX51" s="507" cm="1">
        <f t="array" ref="AX51">_xlfn.LET(_xlpm.DepreciationMonths,INDEX(FixedAssets[Depreciation
/ Amortization Months],_xlfn.XMATCH($E$33,FixedAssets[Asset ID])),IF(AND((_xlfn.XMATCH(AX$8,$AH$8:$CC$8))-_xlfn.XMATCH($C51,$C$35:$C$82)+1&lt;=_xlpm.DepreciationMonths,$C51&lt;=AX$8),$E51/_xlpm.DepreciationMonths,0))</f>
        <v>0</v>
      </c>
      <c r="AY51" s="507" cm="1">
        <f t="array" ref="AY51">_xlfn.LET(_xlpm.DepreciationMonths,INDEX(FixedAssets[Depreciation
/ Amortization Months],_xlfn.XMATCH($E$33,FixedAssets[Asset ID])),IF(AND((_xlfn.XMATCH(AY$8,$AH$8:$CC$8))-_xlfn.XMATCH($C51,$C$35:$C$82)+1&lt;=_xlpm.DepreciationMonths,$C51&lt;=AY$8),$E51/_xlpm.DepreciationMonths,0))</f>
        <v>0</v>
      </c>
      <c r="AZ51" s="507" cm="1">
        <f t="array" ref="AZ51">_xlfn.LET(_xlpm.DepreciationMonths,INDEX(FixedAssets[Depreciation
/ Amortization Months],_xlfn.XMATCH($E$33,FixedAssets[Asset ID])),IF(AND((_xlfn.XMATCH(AZ$8,$AH$8:$CC$8))-_xlfn.XMATCH($C51,$C$35:$C$82)+1&lt;=_xlpm.DepreciationMonths,$C51&lt;=AZ$8),$E51/_xlpm.DepreciationMonths,0))</f>
        <v>0</v>
      </c>
      <c r="BA51" s="507" cm="1">
        <f t="array" ref="BA51">_xlfn.LET(_xlpm.DepreciationMonths,INDEX(FixedAssets[Depreciation
/ Amortization Months],_xlfn.XMATCH($E$33,FixedAssets[Asset ID])),IF(AND((_xlfn.XMATCH(BA$8,$AH$8:$CC$8))-_xlfn.XMATCH($C51,$C$35:$C$82)+1&lt;=_xlpm.DepreciationMonths,$C51&lt;=BA$8),$E51/_xlpm.DepreciationMonths,0))</f>
        <v>0</v>
      </c>
      <c r="BB51" s="507" cm="1">
        <f t="array" ref="BB51">_xlfn.LET(_xlpm.DepreciationMonths,INDEX(FixedAssets[Depreciation
/ Amortization Months],_xlfn.XMATCH($E$33,FixedAssets[Asset ID])),IF(AND((_xlfn.XMATCH(BB$8,$AH$8:$CC$8))-_xlfn.XMATCH($C51,$C$35:$C$82)+1&lt;=_xlpm.DepreciationMonths,$C51&lt;=BB$8),$E51/_xlpm.DepreciationMonths,0))</f>
        <v>0</v>
      </c>
      <c r="BC51" s="507" cm="1">
        <f t="array" ref="BC51">_xlfn.LET(_xlpm.DepreciationMonths,INDEX(FixedAssets[Depreciation
/ Amortization Months],_xlfn.XMATCH($E$33,FixedAssets[Asset ID])),IF(AND((_xlfn.XMATCH(BC$8,$AH$8:$CC$8))-_xlfn.XMATCH($C51,$C$35:$C$82)+1&lt;=_xlpm.DepreciationMonths,$C51&lt;=BC$8),$E51/_xlpm.DepreciationMonths,0))</f>
        <v>0</v>
      </c>
      <c r="BD51" s="507" cm="1">
        <f t="array" ref="BD51">_xlfn.LET(_xlpm.DepreciationMonths,INDEX(FixedAssets[Depreciation
/ Amortization Months],_xlfn.XMATCH($E$33,FixedAssets[Asset ID])),IF(AND((_xlfn.XMATCH(BD$8,$AH$8:$CC$8))-_xlfn.XMATCH($C51,$C$35:$C$82)+1&lt;=_xlpm.DepreciationMonths,$C51&lt;=BD$8),$E51/_xlpm.DepreciationMonths,0))</f>
        <v>0</v>
      </c>
      <c r="BE51" s="507" cm="1">
        <f t="array" ref="BE51">_xlfn.LET(_xlpm.DepreciationMonths,INDEX(FixedAssets[Depreciation
/ Amortization Months],_xlfn.XMATCH($E$33,FixedAssets[Asset ID])),IF(AND((_xlfn.XMATCH(BE$8,$AH$8:$CC$8))-_xlfn.XMATCH($C51,$C$35:$C$82)+1&lt;=_xlpm.DepreciationMonths,$C51&lt;=BE$8),$E51/_xlpm.DepreciationMonths,0))</f>
        <v>0</v>
      </c>
      <c r="BF51" s="507" cm="1">
        <f t="array" ref="BF51">_xlfn.LET(_xlpm.DepreciationMonths,INDEX(FixedAssets[Depreciation
/ Amortization Months],_xlfn.XMATCH($E$33,FixedAssets[Asset ID])),IF(AND((_xlfn.XMATCH(BF$8,$AH$8:$CC$8))-_xlfn.XMATCH($C51,$C$35:$C$82)+1&lt;=_xlpm.DepreciationMonths,$C51&lt;=BF$8),$E51/_xlpm.DepreciationMonths,0))</f>
        <v>0</v>
      </c>
      <c r="BG51" s="507" cm="1">
        <f t="array" ref="BG51">_xlfn.LET(_xlpm.DepreciationMonths,INDEX(FixedAssets[Depreciation
/ Amortization Months],_xlfn.XMATCH($E$33,FixedAssets[Asset ID])),IF(AND((_xlfn.XMATCH(BG$8,$AH$8:$CC$8))-_xlfn.XMATCH($C51,$C$35:$C$82)+1&lt;=_xlpm.DepreciationMonths,$C51&lt;=BG$8),$E51/_xlpm.DepreciationMonths,0))</f>
        <v>0</v>
      </c>
      <c r="BH51" s="507" cm="1">
        <f t="array" ref="BH51">_xlfn.LET(_xlpm.DepreciationMonths,INDEX(FixedAssets[Depreciation
/ Amortization Months],_xlfn.XMATCH($E$33,FixedAssets[Asset ID])),IF(AND((_xlfn.XMATCH(BH$8,$AH$8:$CC$8))-_xlfn.XMATCH($C51,$C$35:$C$82)+1&lt;=_xlpm.DepreciationMonths,$C51&lt;=BH$8),$E51/_xlpm.DepreciationMonths,0))</f>
        <v>0</v>
      </c>
      <c r="BI51" s="507" cm="1">
        <f t="array" ref="BI51">_xlfn.LET(_xlpm.DepreciationMonths,INDEX(FixedAssets[Depreciation
/ Amortization Months],_xlfn.XMATCH($E$33,FixedAssets[Asset ID])),IF(AND((_xlfn.XMATCH(BI$8,$AH$8:$CC$8))-_xlfn.XMATCH($C51,$C$35:$C$82)+1&lt;=_xlpm.DepreciationMonths,$C51&lt;=BI$8),$E51/_xlpm.DepreciationMonths,0))</f>
        <v>0</v>
      </c>
      <c r="BJ51" s="507" cm="1">
        <f t="array" ref="BJ51">_xlfn.LET(_xlpm.DepreciationMonths,INDEX(FixedAssets[Depreciation
/ Amortization Months],_xlfn.XMATCH($E$33,FixedAssets[Asset ID])),IF(AND((_xlfn.XMATCH(BJ$8,$AH$8:$CC$8))-_xlfn.XMATCH($C51,$C$35:$C$82)+1&lt;=_xlpm.DepreciationMonths,$C51&lt;=BJ$8),$E51/_xlpm.DepreciationMonths,0))</f>
        <v>0</v>
      </c>
      <c r="BK51" s="507" cm="1">
        <f t="array" ref="BK51">_xlfn.LET(_xlpm.DepreciationMonths,INDEX(FixedAssets[Depreciation
/ Amortization Months],_xlfn.XMATCH($E$33,FixedAssets[Asset ID])),IF(AND((_xlfn.XMATCH(BK$8,$AH$8:$CC$8))-_xlfn.XMATCH($C51,$C$35:$C$82)+1&lt;=_xlpm.DepreciationMonths,$C51&lt;=BK$8),$E51/_xlpm.DepreciationMonths,0))</f>
        <v>0</v>
      </c>
      <c r="BL51" s="507" cm="1">
        <f t="array" ref="BL51">_xlfn.LET(_xlpm.DepreciationMonths,INDEX(FixedAssets[Depreciation
/ Amortization Months],_xlfn.XMATCH($E$33,FixedAssets[Asset ID])),IF(AND((_xlfn.XMATCH(BL$8,$AH$8:$CC$8))-_xlfn.XMATCH($C51,$C$35:$C$82)+1&lt;=_xlpm.DepreciationMonths,$C51&lt;=BL$8),$E51/_xlpm.DepreciationMonths,0))</f>
        <v>0</v>
      </c>
      <c r="BM51" s="507" cm="1">
        <f t="array" ref="BM51">_xlfn.LET(_xlpm.DepreciationMonths,INDEX(FixedAssets[Depreciation
/ Amortization Months],_xlfn.XMATCH($E$33,FixedAssets[Asset ID])),IF(AND((_xlfn.XMATCH(BM$8,$AH$8:$CC$8))-_xlfn.XMATCH($C51,$C$35:$C$82)+1&lt;=_xlpm.DepreciationMonths,$C51&lt;=BM$8),$E51/_xlpm.DepreciationMonths,0))</f>
        <v>0</v>
      </c>
      <c r="BN51" s="507" cm="1">
        <f t="array" ref="BN51">_xlfn.LET(_xlpm.DepreciationMonths,INDEX(FixedAssets[Depreciation
/ Amortization Months],_xlfn.XMATCH($E$33,FixedAssets[Asset ID])),IF(AND((_xlfn.XMATCH(BN$8,$AH$8:$CC$8))-_xlfn.XMATCH($C51,$C$35:$C$82)+1&lt;=_xlpm.DepreciationMonths,$C51&lt;=BN$8),$E51/_xlpm.DepreciationMonths,0))</f>
        <v>0</v>
      </c>
      <c r="BO51" s="507" cm="1">
        <f t="array" ref="BO51">_xlfn.LET(_xlpm.DepreciationMonths,INDEX(FixedAssets[Depreciation
/ Amortization Months],_xlfn.XMATCH($E$33,FixedAssets[Asset ID])),IF(AND((_xlfn.XMATCH(BO$8,$AH$8:$CC$8))-_xlfn.XMATCH($C51,$C$35:$C$82)+1&lt;=_xlpm.DepreciationMonths,$C51&lt;=BO$8),$E51/_xlpm.DepreciationMonths,0))</f>
        <v>0</v>
      </c>
      <c r="BP51" s="507" cm="1">
        <f t="array" ref="BP51">_xlfn.LET(_xlpm.DepreciationMonths,INDEX(FixedAssets[Depreciation
/ Amortization Months],_xlfn.XMATCH($E$33,FixedAssets[Asset ID])),IF(AND((_xlfn.XMATCH(BP$8,$AH$8:$CC$8))-_xlfn.XMATCH($C51,$C$35:$C$82)+1&lt;=_xlpm.DepreciationMonths,$C51&lt;=BP$8),$E51/_xlpm.DepreciationMonths,0))</f>
        <v>0</v>
      </c>
      <c r="BQ51" s="507" cm="1">
        <f t="array" ref="BQ51">_xlfn.LET(_xlpm.DepreciationMonths,INDEX(FixedAssets[Depreciation
/ Amortization Months],_xlfn.XMATCH($E$33,FixedAssets[Asset ID])),IF(AND((_xlfn.XMATCH(BQ$8,$AH$8:$CC$8))-_xlfn.XMATCH($C51,$C$35:$C$82)+1&lt;=_xlpm.DepreciationMonths,$C51&lt;=BQ$8),$E51/_xlpm.DepreciationMonths,0))</f>
        <v>0</v>
      </c>
      <c r="BR51" s="507" cm="1">
        <f t="array" ref="BR51">_xlfn.LET(_xlpm.DepreciationMonths,INDEX(FixedAssets[Depreciation
/ Amortization Months],_xlfn.XMATCH($E$33,FixedAssets[Asset ID])),IF(AND((_xlfn.XMATCH(BR$8,$AH$8:$CC$8))-_xlfn.XMATCH($C51,$C$35:$C$82)+1&lt;=_xlpm.DepreciationMonths,$C51&lt;=BR$8),$E51/_xlpm.DepreciationMonths,0))</f>
        <v>0</v>
      </c>
      <c r="BS51" s="507" cm="1">
        <f t="array" ref="BS51">_xlfn.LET(_xlpm.DepreciationMonths,INDEX(FixedAssets[Depreciation
/ Amortization Months],_xlfn.XMATCH($E$33,FixedAssets[Asset ID])),IF(AND((_xlfn.XMATCH(BS$8,$AH$8:$CC$8))-_xlfn.XMATCH($C51,$C$35:$C$82)+1&lt;=_xlpm.DepreciationMonths,$C51&lt;=BS$8),$E51/_xlpm.DepreciationMonths,0))</f>
        <v>0</v>
      </c>
      <c r="BT51" s="507" cm="1">
        <f t="array" ref="BT51">_xlfn.LET(_xlpm.DepreciationMonths,INDEX(FixedAssets[Depreciation
/ Amortization Months],_xlfn.XMATCH($E$33,FixedAssets[Asset ID])),IF(AND((_xlfn.XMATCH(BT$8,$AH$8:$CC$8))-_xlfn.XMATCH($C51,$C$35:$C$82)+1&lt;=_xlpm.DepreciationMonths,$C51&lt;=BT$8),$E51/_xlpm.DepreciationMonths,0))</f>
        <v>0</v>
      </c>
      <c r="BU51" s="507" cm="1">
        <f t="array" ref="BU51">_xlfn.LET(_xlpm.DepreciationMonths,INDEX(FixedAssets[Depreciation
/ Amortization Months],_xlfn.XMATCH($E$33,FixedAssets[Asset ID])),IF(AND((_xlfn.XMATCH(BU$8,$AH$8:$CC$8))-_xlfn.XMATCH($C51,$C$35:$C$82)+1&lt;=_xlpm.DepreciationMonths,$C51&lt;=BU$8),$E51/_xlpm.DepreciationMonths,0))</f>
        <v>0</v>
      </c>
      <c r="BV51" s="507" cm="1">
        <f t="array" ref="BV51">_xlfn.LET(_xlpm.DepreciationMonths,INDEX(FixedAssets[Depreciation
/ Amortization Months],_xlfn.XMATCH($E$33,FixedAssets[Asset ID])),IF(AND((_xlfn.XMATCH(BV$8,$AH$8:$CC$8))-_xlfn.XMATCH($C51,$C$35:$C$82)+1&lt;=_xlpm.DepreciationMonths,$C51&lt;=BV$8),$E51/_xlpm.DepreciationMonths,0))</f>
        <v>0</v>
      </c>
      <c r="BW51" s="507" cm="1">
        <f t="array" ref="BW51">_xlfn.LET(_xlpm.DepreciationMonths,INDEX(FixedAssets[Depreciation
/ Amortization Months],_xlfn.XMATCH($E$33,FixedAssets[Asset ID])),IF(AND((_xlfn.XMATCH(BW$8,$AH$8:$CC$8))-_xlfn.XMATCH($C51,$C$35:$C$82)+1&lt;=_xlpm.DepreciationMonths,$C51&lt;=BW$8),$E51/_xlpm.DepreciationMonths,0))</f>
        <v>0</v>
      </c>
      <c r="BX51" s="507" cm="1">
        <f t="array" ref="BX51">_xlfn.LET(_xlpm.DepreciationMonths,INDEX(FixedAssets[Depreciation
/ Amortization Months],_xlfn.XMATCH($E$33,FixedAssets[Asset ID])),IF(AND((_xlfn.XMATCH(BX$8,$AH$8:$CC$8))-_xlfn.XMATCH($C51,$C$35:$C$82)+1&lt;=_xlpm.DepreciationMonths,$C51&lt;=BX$8),$E51/_xlpm.DepreciationMonths,0))</f>
        <v>0</v>
      </c>
      <c r="BY51" s="507" cm="1">
        <f t="array" ref="BY51">_xlfn.LET(_xlpm.DepreciationMonths,INDEX(FixedAssets[Depreciation
/ Amortization Months],_xlfn.XMATCH($E$33,FixedAssets[Asset ID])),IF(AND((_xlfn.XMATCH(BY$8,$AH$8:$CC$8))-_xlfn.XMATCH($C51,$C$35:$C$82)+1&lt;=_xlpm.DepreciationMonths,$C51&lt;=BY$8),$E51/_xlpm.DepreciationMonths,0))</f>
        <v>0</v>
      </c>
      <c r="BZ51" s="507" cm="1">
        <f t="array" ref="BZ51">_xlfn.LET(_xlpm.DepreciationMonths,INDEX(FixedAssets[Depreciation
/ Amortization Months],_xlfn.XMATCH($E$33,FixedAssets[Asset ID])),IF(AND((_xlfn.XMATCH(BZ$8,$AH$8:$CC$8))-_xlfn.XMATCH($C51,$C$35:$C$82)+1&lt;=_xlpm.DepreciationMonths,$C51&lt;=BZ$8),$E51/_xlpm.DepreciationMonths,0))</f>
        <v>0</v>
      </c>
      <c r="CA51" s="507" cm="1">
        <f t="array" ref="CA51">_xlfn.LET(_xlpm.DepreciationMonths,INDEX(FixedAssets[Depreciation
/ Amortization Months],_xlfn.XMATCH($E$33,FixedAssets[Asset ID])),IF(AND((_xlfn.XMATCH(CA$8,$AH$8:$CC$8))-_xlfn.XMATCH($C51,$C$35:$C$82)+1&lt;=_xlpm.DepreciationMonths,$C51&lt;=CA$8),$E51/_xlpm.DepreciationMonths,0))</f>
        <v>0</v>
      </c>
      <c r="CB51" s="507" cm="1">
        <f t="array" ref="CB51">_xlfn.LET(_xlpm.DepreciationMonths,INDEX(FixedAssets[Depreciation
/ Amortization Months],_xlfn.XMATCH($E$33,FixedAssets[Asset ID])),IF(AND((_xlfn.XMATCH(CB$8,$AH$8:$CC$8))-_xlfn.XMATCH($C51,$C$35:$C$82)+1&lt;=_xlpm.DepreciationMonths,$C51&lt;=CB$8),$E51/_xlpm.DepreciationMonths,0))</f>
        <v>0</v>
      </c>
      <c r="CC51" s="507" cm="1">
        <f t="array" ref="CC51">_xlfn.LET(_xlpm.DepreciationMonths,INDEX(FixedAssets[Depreciation
/ Amortization Months],_xlfn.XMATCH($E$33,FixedAssets[Asset ID])),IF(AND((_xlfn.XMATCH(CC$8,$AH$8:$CC$8))-_xlfn.XMATCH($C51,$C$35:$C$82)+1&lt;=_xlpm.DepreciationMonths,$C51&lt;=CC$8),$E51/_xlpm.DepreciationMonths,0))</f>
        <v>0</v>
      </c>
    </row>
    <row r="52" spans="3:81" hidden="1" outlineLevel="2">
      <c r="C52" s="664">
        <f t="shared" si="91"/>
        <v>45473</v>
      </c>
      <c r="D52" s="508"/>
      <c r="E52" s="508" cm="1">
        <f t="array" ref="E52">SUMPRODUCT(($AH$26:$CC$31)*($AH$5:$CC$5=$C52)*($E$26:$E$31=E$33))-SUMPRODUCT(($AH$26:$CC$31)*($AH$5:$CC$5=EOMONTH($C52,-1))*($E$26:$E$31=E$33))</f>
        <v>0</v>
      </c>
      <c r="F52" s="508"/>
      <c r="G52" s="508"/>
      <c r="H52" s="508"/>
      <c r="I52" s="508"/>
      <c r="J52" s="504">
        <f t="shared" si="88"/>
        <v>0</v>
      </c>
      <c r="K52" s="504">
        <f t="shared" si="93"/>
        <v>0</v>
      </c>
      <c r="L52" s="504">
        <f t="shared" si="93"/>
        <v>0</v>
      </c>
      <c r="M52" s="504">
        <f t="shared" si="93"/>
        <v>0</v>
      </c>
      <c r="N52" s="504"/>
      <c r="O52" s="504"/>
      <c r="P52" s="504">
        <f t="shared" si="94"/>
        <v>0</v>
      </c>
      <c r="Q52" s="504">
        <f t="shared" si="94"/>
        <v>0</v>
      </c>
      <c r="R52" s="504">
        <f t="shared" si="94"/>
        <v>0</v>
      </c>
      <c r="S52" s="504">
        <f t="shared" si="94"/>
        <v>0</v>
      </c>
      <c r="T52" s="504">
        <f t="shared" si="94"/>
        <v>0</v>
      </c>
      <c r="U52" s="504">
        <f t="shared" si="94"/>
        <v>0</v>
      </c>
      <c r="V52" s="504">
        <f t="shared" si="94"/>
        <v>0</v>
      </c>
      <c r="W52" s="504">
        <f t="shared" si="94"/>
        <v>0</v>
      </c>
      <c r="X52" s="504">
        <f t="shared" si="94"/>
        <v>0</v>
      </c>
      <c r="Y52" s="504">
        <f t="shared" si="94"/>
        <v>0</v>
      </c>
      <c r="Z52" s="504">
        <f t="shared" si="94"/>
        <v>0</v>
      </c>
      <c r="AA52" s="504">
        <f t="shared" si="94"/>
        <v>0</v>
      </c>
      <c r="AB52" s="504">
        <f t="shared" si="94"/>
        <v>0</v>
      </c>
      <c r="AC52" s="504">
        <f t="shared" si="94"/>
        <v>0</v>
      </c>
      <c r="AD52" s="504">
        <f t="shared" si="94"/>
        <v>0</v>
      </c>
      <c r="AE52" s="504">
        <f t="shared" si="94"/>
        <v>0</v>
      </c>
      <c r="AF52" s="508"/>
      <c r="AG52" s="508"/>
      <c r="AH52" s="507" cm="1">
        <f t="array" ref="AH52">_xlfn.LET(_xlpm.DepreciationMonths,INDEX(FixedAssets[Depreciation
/ Amortization Months],_xlfn.XMATCH($E$33,FixedAssets[Asset ID])),IF(AND((_xlfn.XMATCH(AH$8,$AH$8:$CC$8))-_xlfn.XMATCH($C52,$C$35:$C$82)+1&lt;=_xlpm.DepreciationMonths,$C52&lt;=AH$8),$E52/_xlpm.DepreciationMonths,0))</f>
        <v>0</v>
      </c>
      <c r="AI52" s="507" cm="1">
        <f t="array" ref="AI52">_xlfn.LET(_xlpm.DepreciationMonths,INDEX(FixedAssets[Depreciation
/ Amortization Months],_xlfn.XMATCH($E$33,FixedAssets[Asset ID])),IF(AND((_xlfn.XMATCH(AI$8,$AH$8:$CC$8))-_xlfn.XMATCH($C52,$C$35:$C$82)+1&lt;=_xlpm.DepreciationMonths,$C52&lt;=AI$8),$E52/_xlpm.DepreciationMonths,0))</f>
        <v>0</v>
      </c>
      <c r="AJ52" s="507" cm="1">
        <f t="array" ref="AJ52">_xlfn.LET(_xlpm.DepreciationMonths,INDEX(FixedAssets[Depreciation
/ Amortization Months],_xlfn.XMATCH($E$33,FixedAssets[Asset ID])),IF(AND((_xlfn.XMATCH(AJ$8,$AH$8:$CC$8))-_xlfn.XMATCH($C52,$C$35:$C$82)+1&lt;=_xlpm.DepreciationMonths,$C52&lt;=AJ$8),$E52/_xlpm.DepreciationMonths,0))</f>
        <v>0</v>
      </c>
      <c r="AK52" s="507" cm="1">
        <f t="array" ref="AK52">_xlfn.LET(_xlpm.DepreciationMonths,INDEX(FixedAssets[Depreciation
/ Amortization Months],_xlfn.XMATCH($E$33,FixedAssets[Asset ID])),IF(AND((_xlfn.XMATCH(AK$8,$AH$8:$CC$8))-_xlfn.XMATCH($C52,$C$35:$C$82)+1&lt;=_xlpm.DepreciationMonths,$C52&lt;=AK$8),$E52/_xlpm.DepreciationMonths,0))</f>
        <v>0</v>
      </c>
      <c r="AL52" s="507" cm="1">
        <f t="array" ref="AL52">_xlfn.LET(_xlpm.DepreciationMonths,INDEX(FixedAssets[Depreciation
/ Amortization Months],_xlfn.XMATCH($E$33,FixedAssets[Asset ID])),IF(AND((_xlfn.XMATCH(AL$8,$AH$8:$CC$8))-_xlfn.XMATCH($C52,$C$35:$C$82)+1&lt;=_xlpm.DepreciationMonths,$C52&lt;=AL$8),$E52/_xlpm.DepreciationMonths,0))</f>
        <v>0</v>
      </c>
      <c r="AM52" s="507" cm="1">
        <f t="array" ref="AM52">_xlfn.LET(_xlpm.DepreciationMonths,INDEX(FixedAssets[Depreciation
/ Amortization Months],_xlfn.XMATCH($E$33,FixedAssets[Asset ID])),IF(AND((_xlfn.XMATCH(AM$8,$AH$8:$CC$8))-_xlfn.XMATCH($C52,$C$35:$C$82)+1&lt;=_xlpm.DepreciationMonths,$C52&lt;=AM$8),$E52/_xlpm.DepreciationMonths,0))</f>
        <v>0</v>
      </c>
      <c r="AN52" s="507" cm="1">
        <f t="array" ref="AN52">_xlfn.LET(_xlpm.DepreciationMonths,INDEX(FixedAssets[Depreciation
/ Amortization Months],_xlfn.XMATCH($E$33,FixedAssets[Asset ID])),IF(AND((_xlfn.XMATCH(AN$8,$AH$8:$CC$8))-_xlfn.XMATCH($C52,$C$35:$C$82)+1&lt;=_xlpm.DepreciationMonths,$C52&lt;=AN$8),$E52/_xlpm.DepreciationMonths,0))</f>
        <v>0</v>
      </c>
      <c r="AO52" s="507" cm="1">
        <f t="array" ref="AO52">_xlfn.LET(_xlpm.DepreciationMonths,INDEX(FixedAssets[Depreciation
/ Amortization Months],_xlfn.XMATCH($E$33,FixedAssets[Asset ID])),IF(AND((_xlfn.XMATCH(AO$8,$AH$8:$CC$8))-_xlfn.XMATCH($C52,$C$35:$C$82)+1&lt;=_xlpm.DepreciationMonths,$C52&lt;=AO$8),$E52/_xlpm.DepreciationMonths,0))</f>
        <v>0</v>
      </c>
      <c r="AP52" s="507" cm="1">
        <f t="array" ref="AP52">_xlfn.LET(_xlpm.DepreciationMonths,INDEX(FixedAssets[Depreciation
/ Amortization Months],_xlfn.XMATCH($E$33,FixedAssets[Asset ID])),IF(AND((_xlfn.XMATCH(AP$8,$AH$8:$CC$8))-_xlfn.XMATCH($C52,$C$35:$C$82)+1&lt;=_xlpm.DepreciationMonths,$C52&lt;=AP$8),$E52/_xlpm.DepreciationMonths,0))</f>
        <v>0</v>
      </c>
      <c r="AQ52" s="507" cm="1">
        <f t="array" ref="AQ52">_xlfn.LET(_xlpm.DepreciationMonths,INDEX(FixedAssets[Depreciation
/ Amortization Months],_xlfn.XMATCH($E$33,FixedAssets[Asset ID])),IF(AND((_xlfn.XMATCH(AQ$8,$AH$8:$CC$8))-_xlfn.XMATCH($C52,$C$35:$C$82)+1&lt;=_xlpm.DepreciationMonths,$C52&lt;=AQ$8),$E52/_xlpm.DepreciationMonths,0))</f>
        <v>0</v>
      </c>
      <c r="AR52" s="507" cm="1">
        <f t="array" ref="AR52">_xlfn.LET(_xlpm.DepreciationMonths,INDEX(FixedAssets[Depreciation
/ Amortization Months],_xlfn.XMATCH($E$33,FixedAssets[Asset ID])),IF(AND((_xlfn.XMATCH(AR$8,$AH$8:$CC$8))-_xlfn.XMATCH($C52,$C$35:$C$82)+1&lt;=_xlpm.DepreciationMonths,$C52&lt;=AR$8),$E52/_xlpm.DepreciationMonths,0))</f>
        <v>0</v>
      </c>
      <c r="AS52" s="507" cm="1">
        <f t="array" ref="AS52">_xlfn.LET(_xlpm.DepreciationMonths,INDEX(FixedAssets[Depreciation
/ Amortization Months],_xlfn.XMATCH($E$33,FixedAssets[Asset ID])),IF(AND((_xlfn.XMATCH(AS$8,$AH$8:$CC$8))-_xlfn.XMATCH($C52,$C$35:$C$82)+1&lt;=_xlpm.DepreciationMonths,$C52&lt;=AS$8),$E52/_xlpm.DepreciationMonths,0))</f>
        <v>0</v>
      </c>
      <c r="AT52" s="507" cm="1">
        <f t="array" ref="AT52">_xlfn.LET(_xlpm.DepreciationMonths,INDEX(FixedAssets[Depreciation
/ Amortization Months],_xlfn.XMATCH($E$33,FixedAssets[Asset ID])),IF(AND((_xlfn.XMATCH(AT$8,$AH$8:$CC$8))-_xlfn.XMATCH($C52,$C$35:$C$82)+1&lt;=_xlpm.DepreciationMonths,$C52&lt;=AT$8),$E52/_xlpm.DepreciationMonths,0))</f>
        <v>0</v>
      </c>
      <c r="AU52" s="507" cm="1">
        <f t="array" ref="AU52">_xlfn.LET(_xlpm.DepreciationMonths,INDEX(FixedAssets[Depreciation
/ Amortization Months],_xlfn.XMATCH($E$33,FixedAssets[Asset ID])),IF(AND((_xlfn.XMATCH(AU$8,$AH$8:$CC$8))-_xlfn.XMATCH($C52,$C$35:$C$82)+1&lt;=_xlpm.DepreciationMonths,$C52&lt;=AU$8),$E52/_xlpm.DepreciationMonths,0))</f>
        <v>0</v>
      </c>
      <c r="AV52" s="507" cm="1">
        <f t="array" ref="AV52">_xlfn.LET(_xlpm.DepreciationMonths,INDEX(FixedAssets[Depreciation
/ Amortization Months],_xlfn.XMATCH($E$33,FixedAssets[Asset ID])),IF(AND((_xlfn.XMATCH(AV$8,$AH$8:$CC$8))-_xlfn.XMATCH($C52,$C$35:$C$82)+1&lt;=_xlpm.DepreciationMonths,$C52&lt;=AV$8),$E52/_xlpm.DepreciationMonths,0))</f>
        <v>0</v>
      </c>
      <c r="AW52" s="507" cm="1">
        <f t="array" ref="AW52">_xlfn.LET(_xlpm.DepreciationMonths,INDEX(FixedAssets[Depreciation
/ Amortization Months],_xlfn.XMATCH($E$33,FixedAssets[Asset ID])),IF(AND((_xlfn.XMATCH(AW$8,$AH$8:$CC$8))-_xlfn.XMATCH($C52,$C$35:$C$82)+1&lt;=_xlpm.DepreciationMonths,$C52&lt;=AW$8),$E52/_xlpm.DepreciationMonths,0))</f>
        <v>0</v>
      </c>
      <c r="AX52" s="507" cm="1">
        <f t="array" ref="AX52">_xlfn.LET(_xlpm.DepreciationMonths,INDEX(FixedAssets[Depreciation
/ Amortization Months],_xlfn.XMATCH($E$33,FixedAssets[Asset ID])),IF(AND((_xlfn.XMATCH(AX$8,$AH$8:$CC$8))-_xlfn.XMATCH($C52,$C$35:$C$82)+1&lt;=_xlpm.DepreciationMonths,$C52&lt;=AX$8),$E52/_xlpm.DepreciationMonths,0))</f>
        <v>0</v>
      </c>
      <c r="AY52" s="507" cm="1">
        <f t="array" ref="AY52">_xlfn.LET(_xlpm.DepreciationMonths,INDEX(FixedAssets[Depreciation
/ Amortization Months],_xlfn.XMATCH($E$33,FixedAssets[Asset ID])),IF(AND((_xlfn.XMATCH(AY$8,$AH$8:$CC$8))-_xlfn.XMATCH($C52,$C$35:$C$82)+1&lt;=_xlpm.DepreciationMonths,$C52&lt;=AY$8),$E52/_xlpm.DepreciationMonths,0))</f>
        <v>0</v>
      </c>
      <c r="AZ52" s="507" cm="1">
        <f t="array" ref="AZ52">_xlfn.LET(_xlpm.DepreciationMonths,INDEX(FixedAssets[Depreciation
/ Amortization Months],_xlfn.XMATCH($E$33,FixedAssets[Asset ID])),IF(AND((_xlfn.XMATCH(AZ$8,$AH$8:$CC$8))-_xlfn.XMATCH($C52,$C$35:$C$82)+1&lt;=_xlpm.DepreciationMonths,$C52&lt;=AZ$8),$E52/_xlpm.DepreciationMonths,0))</f>
        <v>0</v>
      </c>
      <c r="BA52" s="507" cm="1">
        <f t="array" ref="BA52">_xlfn.LET(_xlpm.DepreciationMonths,INDEX(FixedAssets[Depreciation
/ Amortization Months],_xlfn.XMATCH($E$33,FixedAssets[Asset ID])),IF(AND((_xlfn.XMATCH(BA$8,$AH$8:$CC$8))-_xlfn.XMATCH($C52,$C$35:$C$82)+1&lt;=_xlpm.DepreciationMonths,$C52&lt;=BA$8),$E52/_xlpm.DepreciationMonths,0))</f>
        <v>0</v>
      </c>
      <c r="BB52" s="507" cm="1">
        <f t="array" ref="BB52">_xlfn.LET(_xlpm.DepreciationMonths,INDEX(FixedAssets[Depreciation
/ Amortization Months],_xlfn.XMATCH($E$33,FixedAssets[Asset ID])),IF(AND((_xlfn.XMATCH(BB$8,$AH$8:$CC$8))-_xlfn.XMATCH($C52,$C$35:$C$82)+1&lt;=_xlpm.DepreciationMonths,$C52&lt;=BB$8),$E52/_xlpm.DepreciationMonths,0))</f>
        <v>0</v>
      </c>
      <c r="BC52" s="507" cm="1">
        <f t="array" ref="BC52">_xlfn.LET(_xlpm.DepreciationMonths,INDEX(FixedAssets[Depreciation
/ Amortization Months],_xlfn.XMATCH($E$33,FixedAssets[Asset ID])),IF(AND((_xlfn.XMATCH(BC$8,$AH$8:$CC$8))-_xlfn.XMATCH($C52,$C$35:$C$82)+1&lt;=_xlpm.DepreciationMonths,$C52&lt;=BC$8),$E52/_xlpm.DepreciationMonths,0))</f>
        <v>0</v>
      </c>
      <c r="BD52" s="507" cm="1">
        <f t="array" ref="BD52">_xlfn.LET(_xlpm.DepreciationMonths,INDEX(FixedAssets[Depreciation
/ Amortization Months],_xlfn.XMATCH($E$33,FixedAssets[Asset ID])),IF(AND((_xlfn.XMATCH(BD$8,$AH$8:$CC$8))-_xlfn.XMATCH($C52,$C$35:$C$82)+1&lt;=_xlpm.DepreciationMonths,$C52&lt;=BD$8),$E52/_xlpm.DepreciationMonths,0))</f>
        <v>0</v>
      </c>
      <c r="BE52" s="507" cm="1">
        <f t="array" ref="BE52">_xlfn.LET(_xlpm.DepreciationMonths,INDEX(FixedAssets[Depreciation
/ Amortization Months],_xlfn.XMATCH($E$33,FixedAssets[Asset ID])),IF(AND((_xlfn.XMATCH(BE$8,$AH$8:$CC$8))-_xlfn.XMATCH($C52,$C$35:$C$82)+1&lt;=_xlpm.DepreciationMonths,$C52&lt;=BE$8),$E52/_xlpm.DepreciationMonths,0))</f>
        <v>0</v>
      </c>
      <c r="BF52" s="507" cm="1">
        <f t="array" ref="BF52">_xlfn.LET(_xlpm.DepreciationMonths,INDEX(FixedAssets[Depreciation
/ Amortization Months],_xlfn.XMATCH($E$33,FixedAssets[Asset ID])),IF(AND((_xlfn.XMATCH(BF$8,$AH$8:$CC$8))-_xlfn.XMATCH($C52,$C$35:$C$82)+1&lt;=_xlpm.DepreciationMonths,$C52&lt;=BF$8),$E52/_xlpm.DepreciationMonths,0))</f>
        <v>0</v>
      </c>
      <c r="BG52" s="507" cm="1">
        <f t="array" ref="BG52">_xlfn.LET(_xlpm.DepreciationMonths,INDEX(FixedAssets[Depreciation
/ Amortization Months],_xlfn.XMATCH($E$33,FixedAssets[Asset ID])),IF(AND((_xlfn.XMATCH(BG$8,$AH$8:$CC$8))-_xlfn.XMATCH($C52,$C$35:$C$82)+1&lt;=_xlpm.DepreciationMonths,$C52&lt;=BG$8),$E52/_xlpm.DepreciationMonths,0))</f>
        <v>0</v>
      </c>
      <c r="BH52" s="507" cm="1">
        <f t="array" ref="BH52">_xlfn.LET(_xlpm.DepreciationMonths,INDEX(FixedAssets[Depreciation
/ Amortization Months],_xlfn.XMATCH($E$33,FixedAssets[Asset ID])),IF(AND((_xlfn.XMATCH(BH$8,$AH$8:$CC$8))-_xlfn.XMATCH($C52,$C$35:$C$82)+1&lt;=_xlpm.DepreciationMonths,$C52&lt;=BH$8),$E52/_xlpm.DepreciationMonths,0))</f>
        <v>0</v>
      </c>
      <c r="BI52" s="507" cm="1">
        <f t="array" ref="BI52">_xlfn.LET(_xlpm.DepreciationMonths,INDEX(FixedAssets[Depreciation
/ Amortization Months],_xlfn.XMATCH($E$33,FixedAssets[Asset ID])),IF(AND((_xlfn.XMATCH(BI$8,$AH$8:$CC$8))-_xlfn.XMATCH($C52,$C$35:$C$82)+1&lt;=_xlpm.DepreciationMonths,$C52&lt;=BI$8),$E52/_xlpm.DepreciationMonths,0))</f>
        <v>0</v>
      </c>
      <c r="BJ52" s="507" cm="1">
        <f t="array" ref="BJ52">_xlfn.LET(_xlpm.DepreciationMonths,INDEX(FixedAssets[Depreciation
/ Amortization Months],_xlfn.XMATCH($E$33,FixedAssets[Asset ID])),IF(AND((_xlfn.XMATCH(BJ$8,$AH$8:$CC$8))-_xlfn.XMATCH($C52,$C$35:$C$82)+1&lt;=_xlpm.DepreciationMonths,$C52&lt;=BJ$8),$E52/_xlpm.DepreciationMonths,0))</f>
        <v>0</v>
      </c>
      <c r="BK52" s="507" cm="1">
        <f t="array" ref="BK52">_xlfn.LET(_xlpm.DepreciationMonths,INDEX(FixedAssets[Depreciation
/ Amortization Months],_xlfn.XMATCH($E$33,FixedAssets[Asset ID])),IF(AND((_xlfn.XMATCH(BK$8,$AH$8:$CC$8))-_xlfn.XMATCH($C52,$C$35:$C$82)+1&lt;=_xlpm.DepreciationMonths,$C52&lt;=BK$8),$E52/_xlpm.DepreciationMonths,0))</f>
        <v>0</v>
      </c>
      <c r="BL52" s="507" cm="1">
        <f t="array" ref="BL52">_xlfn.LET(_xlpm.DepreciationMonths,INDEX(FixedAssets[Depreciation
/ Amortization Months],_xlfn.XMATCH($E$33,FixedAssets[Asset ID])),IF(AND((_xlfn.XMATCH(BL$8,$AH$8:$CC$8))-_xlfn.XMATCH($C52,$C$35:$C$82)+1&lt;=_xlpm.DepreciationMonths,$C52&lt;=BL$8),$E52/_xlpm.DepreciationMonths,0))</f>
        <v>0</v>
      </c>
      <c r="BM52" s="507" cm="1">
        <f t="array" ref="BM52">_xlfn.LET(_xlpm.DepreciationMonths,INDEX(FixedAssets[Depreciation
/ Amortization Months],_xlfn.XMATCH($E$33,FixedAssets[Asset ID])),IF(AND((_xlfn.XMATCH(BM$8,$AH$8:$CC$8))-_xlfn.XMATCH($C52,$C$35:$C$82)+1&lt;=_xlpm.DepreciationMonths,$C52&lt;=BM$8),$E52/_xlpm.DepreciationMonths,0))</f>
        <v>0</v>
      </c>
      <c r="BN52" s="507" cm="1">
        <f t="array" ref="BN52">_xlfn.LET(_xlpm.DepreciationMonths,INDEX(FixedAssets[Depreciation
/ Amortization Months],_xlfn.XMATCH($E$33,FixedAssets[Asset ID])),IF(AND((_xlfn.XMATCH(BN$8,$AH$8:$CC$8))-_xlfn.XMATCH($C52,$C$35:$C$82)+1&lt;=_xlpm.DepreciationMonths,$C52&lt;=BN$8),$E52/_xlpm.DepreciationMonths,0))</f>
        <v>0</v>
      </c>
      <c r="BO52" s="507" cm="1">
        <f t="array" ref="BO52">_xlfn.LET(_xlpm.DepreciationMonths,INDEX(FixedAssets[Depreciation
/ Amortization Months],_xlfn.XMATCH($E$33,FixedAssets[Asset ID])),IF(AND((_xlfn.XMATCH(BO$8,$AH$8:$CC$8))-_xlfn.XMATCH($C52,$C$35:$C$82)+1&lt;=_xlpm.DepreciationMonths,$C52&lt;=BO$8),$E52/_xlpm.DepreciationMonths,0))</f>
        <v>0</v>
      </c>
      <c r="BP52" s="507" cm="1">
        <f t="array" ref="BP52">_xlfn.LET(_xlpm.DepreciationMonths,INDEX(FixedAssets[Depreciation
/ Amortization Months],_xlfn.XMATCH($E$33,FixedAssets[Asset ID])),IF(AND((_xlfn.XMATCH(BP$8,$AH$8:$CC$8))-_xlfn.XMATCH($C52,$C$35:$C$82)+1&lt;=_xlpm.DepreciationMonths,$C52&lt;=BP$8),$E52/_xlpm.DepreciationMonths,0))</f>
        <v>0</v>
      </c>
      <c r="BQ52" s="507" cm="1">
        <f t="array" ref="BQ52">_xlfn.LET(_xlpm.DepreciationMonths,INDEX(FixedAssets[Depreciation
/ Amortization Months],_xlfn.XMATCH($E$33,FixedAssets[Asset ID])),IF(AND((_xlfn.XMATCH(BQ$8,$AH$8:$CC$8))-_xlfn.XMATCH($C52,$C$35:$C$82)+1&lt;=_xlpm.DepreciationMonths,$C52&lt;=BQ$8),$E52/_xlpm.DepreciationMonths,0))</f>
        <v>0</v>
      </c>
      <c r="BR52" s="507" cm="1">
        <f t="array" ref="BR52">_xlfn.LET(_xlpm.DepreciationMonths,INDEX(FixedAssets[Depreciation
/ Amortization Months],_xlfn.XMATCH($E$33,FixedAssets[Asset ID])),IF(AND((_xlfn.XMATCH(BR$8,$AH$8:$CC$8))-_xlfn.XMATCH($C52,$C$35:$C$82)+1&lt;=_xlpm.DepreciationMonths,$C52&lt;=BR$8),$E52/_xlpm.DepreciationMonths,0))</f>
        <v>0</v>
      </c>
      <c r="BS52" s="507" cm="1">
        <f t="array" ref="BS52">_xlfn.LET(_xlpm.DepreciationMonths,INDEX(FixedAssets[Depreciation
/ Amortization Months],_xlfn.XMATCH($E$33,FixedAssets[Asset ID])),IF(AND((_xlfn.XMATCH(BS$8,$AH$8:$CC$8))-_xlfn.XMATCH($C52,$C$35:$C$82)+1&lt;=_xlpm.DepreciationMonths,$C52&lt;=BS$8),$E52/_xlpm.DepreciationMonths,0))</f>
        <v>0</v>
      </c>
      <c r="BT52" s="507" cm="1">
        <f t="array" ref="BT52">_xlfn.LET(_xlpm.DepreciationMonths,INDEX(FixedAssets[Depreciation
/ Amortization Months],_xlfn.XMATCH($E$33,FixedAssets[Asset ID])),IF(AND((_xlfn.XMATCH(BT$8,$AH$8:$CC$8))-_xlfn.XMATCH($C52,$C$35:$C$82)+1&lt;=_xlpm.DepreciationMonths,$C52&lt;=BT$8),$E52/_xlpm.DepreciationMonths,0))</f>
        <v>0</v>
      </c>
      <c r="BU52" s="507" cm="1">
        <f t="array" ref="BU52">_xlfn.LET(_xlpm.DepreciationMonths,INDEX(FixedAssets[Depreciation
/ Amortization Months],_xlfn.XMATCH($E$33,FixedAssets[Asset ID])),IF(AND((_xlfn.XMATCH(BU$8,$AH$8:$CC$8))-_xlfn.XMATCH($C52,$C$35:$C$82)+1&lt;=_xlpm.DepreciationMonths,$C52&lt;=BU$8),$E52/_xlpm.DepreciationMonths,0))</f>
        <v>0</v>
      </c>
      <c r="BV52" s="507" cm="1">
        <f t="array" ref="BV52">_xlfn.LET(_xlpm.DepreciationMonths,INDEX(FixedAssets[Depreciation
/ Amortization Months],_xlfn.XMATCH($E$33,FixedAssets[Asset ID])),IF(AND((_xlfn.XMATCH(BV$8,$AH$8:$CC$8))-_xlfn.XMATCH($C52,$C$35:$C$82)+1&lt;=_xlpm.DepreciationMonths,$C52&lt;=BV$8),$E52/_xlpm.DepreciationMonths,0))</f>
        <v>0</v>
      </c>
      <c r="BW52" s="507" cm="1">
        <f t="array" ref="BW52">_xlfn.LET(_xlpm.DepreciationMonths,INDEX(FixedAssets[Depreciation
/ Amortization Months],_xlfn.XMATCH($E$33,FixedAssets[Asset ID])),IF(AND((_xlfn.XMATCH(BW$8,$AH$8:$CC$8))-_xlfn.XMATCH($C52,$C$35:$C$82)+1&lt;=_xlpm.DepreciationMonths,$C52&lt;=BW$8),$E52/_xlpm.DepreciationMonths,0))</f>
        <v>0</v>
      </c>
      <c r="BX52" s="507" cm="1">
        <f t="array" ref="BX52">_xlfn.LET(_xlpm.DepreciationMonths,INDEX(FixedAssets[Depreciation
/ Amortization Months],_xlfn.XMATCH($E$33,FixedAssets[Asset ID])),IF(AND((_xlfn.XMATCH(BX$8,$AH$8:$CC$8))-_xlfn.XMATCH($C52,$C$35:$C$82)+1&lt;=_xlpm.DepreciationMonths,$C52&lt;=BX$8),$E52/_xlpm.DepreciationMonths,0))</f>
        <v>0</v>
      </c>
      <c r="BY52" s="507" cm="1">
        <f t="array" ref="BY52">_xlfn.LET(_xlpm.DepreciationMonths,INDEX(FixedAssets[Depreciation
/ Amortization Months],_xlfn.XMATCH($E$33,FixedAssets[Asset ID])),IF(AND((_xlfn.XMATCH(BY$8,$AH$8:$CC$8))-_xlfn.XMATCH($C52,$C$35:$C$82)+1&lt;=_xlpm.DepreciationMonths,$C52&lt;=BY$8),$E52/_xlpm.DepreciationMonths,0))</f>
        <v>0</v>
      </c>
      <c r="BZ52" s="507" cm="1">
        <f t="array" ref="BZ52">_xlfn.LET(_xlpm.DepreciationMonths,INDEX(FixedAssets[Depreciation
/ Amortization Months],_xlfn.XMATCH($E$33,FixedAssets[Asset ID])),IF(AND((_xlfn.XMATCH(BZ$8,$AH$8:$CC$8))-_xlfn.XMATCH($C52,$C$35:$C$82)+1&lt;=_xlpm.DepreciationMonths,$C52&lt;=BZ$8),$E52/_xlpm.DepreciationMonths,0))</f>
        <v>0</v>
      </c>
      <c r="CA52" s="507" cm="1">
        <f t="array" ref="CA52">_xlfn.LET(_xlpm.DepreciationMonths,INDEX(FixedAssets[Depreciation
/ Amortization Months],_xlfn.XMATCH($E$33,FixedAssets[Asset ID])),IF(AND((_xlfn.XMATCH(CA$8,$AH$8:$CC$8))-_xlfn.XMATCH($C52,$C$35:$C$82)+1&lt;=_xlpm.DepreciationMonths,$C52&lt;=CA$8),$E52/_xlpm.DepreciationMonths,0))</f>
        <v>0</v>
      </c>
      <c r="CB52" s="507" cm="1">
        <f t="array" ref="CB52">_xlfn.LET(_xlpm.DepreciationMonths,INDEX(FixedAssets[Depreciation
/ Amortization Months],_xlfn.XMATCH($E$33,FixedAssets[Asset ID])),IF(AND((_xlfn.XMATCH(CB$8,$AH$8:$CC$8))-_xlfn.XMATCH($C52,$C$35:$C$82)+1&lt;=_xlpm.DepreciationMonths,$C52&lt;=CB$8),$E52/_xlpm.DepreciationMonths,0))</f>
        <v>0</v>
      </c>
      <c r="CC52" s="507" cm="1">
        <f t="array" ref="CC52">_xlfn.LET(_xlpm.DepreciationMonths,INDEX(FixedAssets[Depreciation
/ Amortization Months],_xlfn.XMATCH($E$33,FixedAssets[Asset ID])),IF(AND((_xlfn.XMATCH(CC$8,$AH$8:$CC$8))-_xlfn.XMATCH($C52,$C$35:$C$82)+1&lt;=_xlpm.DepreciationMonths,$C52&lt;=CC$8),$E52/_xlpm.DepreciationMonths,0))</f>
        <v>0</v>
      </c>
    </row>
    <row r="53" spans="3:81" hidden="1" outlineLevel="2">
      <c r="C53" s="664">
        <f t="shared" si="91"/>
        <v>45504</v>
      </c>
      <c r="D53" s="508"/>
      <c r="E53" s="508" cm="1">
        <f t="array" ref="E53">SUMPRODUCT(($AH$26:$CC$31)*($AH$5:$CC$5=$C53)*($E$26:$E$31=E$33))-SUMPRODUCT(($AH$26:$CC$31)*($AH$5:$CC$5=EOMONTH($C53,-1))*($E$26:$E$31=E$33))</f>
        <v>0</v>
      </c>
      <c r="F53" s="508"/>
      <c r="G53" s="508"/>
      <c r="H53" s="508"/>
      <c r="I53" s="508"/>
      <c r="J53" s="504">
        <f t="shared" si="88"/>
        <v>0</v>
      </c>
      <c r="K53" s="504">
        <f t="shared" si="93"/>
        <v>0</v>
      </c>
      <c r="L53" s="504">
        <f t="shared" si="93"/>
        <v>0</v>
      </c>
      <c r="M53" s="504">
        <f t="shared" si="93"/>
        <v>0</v>
      </c>
      <c r="N53" s="504"/>
      <c r="O53" s="504"/>
      <c r="P53" s="504">
        <f t="shared" si="94"/>
        <v>0</v>
      </c>
      <c r="Q53" s="504">
        <f t="shared" si="94"/>
        <v>0</v>
      </c>
      <c r="R53" s="504">
        <f t="shared" si="94"/>
        <v>0</v>
      </c>
      <c r="S53" s="504">
        <f t="shared" si="94"/>
        <v>0</v>
      </c>
      <c r="T53" s="504">
        <f t="shared" si="94"/>
        <v>0</v>
      </c>
      <c r="U53" s="504">
        <f t="shared" si="94"/>
        <v>0</v>
      </c>
      <c r="V53" s="504">
        <f t="shared" si="94"/>
        <v>0</v>
      </c>
      <c r="W53" s="504">
        <f t="shared" si="94"/>
        <v>0</v>
      </c>
      <c r="X53" s="504">
        <f t="shared" si="94"/>
        <v>0</v>
      </c>
      <c r="Y53" s="504">
        <f t="shared" si="94"/>
        <v>0</v>
      </c>
      <c r="Z53" s="504">
        <f t="shared" si="94"/>
        <v>0</v>
      </c>
      <c r="AA53" s="504">
        <f t="shared" si="94"/>
        <v>0</v>
      </c>
      <c r="AB53" s="504">
        <f t="shared" si="94"/>
        <v>0</v>
      </c>
      <c r="AC53" s="504">
        <f t="shared" si="94"/>
        <v>0</v>
      </c>
      <c r="AD53" s="504">
        <f t="shared" si="94"/>
        <v>0</v>
      </c>
      <c r="AE53" s="504">
        <f t="shared" si="94"/>
        <v>0</v>
      </c>
      <c r="AF53" s="508"/>
      <c r="AG53" s="508"/>
      <c r="AH53" s="507" cm="1">
        <f t="array" ref="AH53">_xlfn.LET(_xlpm.DepreciationMonths,INDEX(FixedAssets[Depreciation
/ Amortization Months],_xlfn.XMATCH($E$33,FixedAssets[Asset ID])),IF(AND((_xlfn.XMATCH(AH$8,$AH$8:$CC$8))-_xlfn.XMATCH($C53,$C$35:$C$82)+1&lt;=_xlpm.DepreciationMonths,$C53&lt;=AH$8),$E53/_xlpm.DepreciationMonths,0))</f>
        <v>0</v>
      </c>
      <c r="AI53" s="507" cm="1">
        <f t="array" ref="AI53">_xlfn.LET(_xlpm.DepreciationMonths,INDEX(FixedAssets[Depreciation
/ Amortization Months],_xlfn.XMATCH($E$33,FixedAssets[Asset ID])),IF(AND((_xlfn.XMATCH(AI$8,$AH$8:$CC$8))-_xlfn.XMATCH($C53,$C$35:$C$82)+1&lt;=_xlpm.DepreciationMonths,$C53&lt;=AI$8),$E53/_xlpm.DepreciationMonths,0))</f>
        <v>0</v>
      </c>
      <c r="AJ53" s="507" cm="1">
        <f t="array" ref="AJ53">_xlfn.LET(_xlpm.DepreciationMonths,INDEX(FixedAssets[Depreciation
/ Amortization Months],_xlfn.XMATCH($E$33,FixedAssets[Asset ID])),IF(AND((_xlfn.XMATCH(AJ$8,$AH$8:$CC$8))-_xlfn.XMATCH($C53,$C$35:$C$82)+1&lt;=_xlpm.DepreciationMonths,$C53&lt;=AJ$8),$E53/_xlpm.DepreciationMonths,0))</f>
        <v>0</v>
      </c>
      <c r="AK53" s="507" cm="1">
        <f t="array" ref="AK53">_xlfn.LET(_xlpm.DepreciationMonths,INDEX(FixedAssets[Depreciation
/ Amortization Months],_xlfn.XMATCH($E$33,FixedAssets[Asset ID])),IF(AND((_xlfn.XMATCH(AK$8,$AH$8:$CC$8))-_xlfn.XMATCH($C53,$C$35:$C$82)+1&lt;=_xlpm.DepreciationMonths,$C53&lt;=AK$8),$E53/_xlpm.DepreciationMonths,0))</f>
        <v>0</v>
      </c>
      <c r="AL53" s="507" cm="1">
        <f t="array" ref="AL53">_xlfn.LET(_xlpm.DepreciationMonths,INDEX(FixedAssets[Depreciation
/ Amortization Months],_xlfn.XMATCH($E$33,FixedAssets[Asset ID])),IF(AND((_xlfn.XMATCH(AL$8,$AH$8:$CC$8))-_xlfn.XMATCH($C53,$C$35:$C$82)+1&lt;=_xlpm.DepreciationMonths,$C53&lt;=AL$8),$E53/_xlpm.DepreciationMonths,0))</f>
        <v>0</v>
      </c>
      <c r="AM53" s="507" cm="1">
        <f t="array" ref="AM53">_xlfn.LET(_xlpm.DepreciationMonths,INDEX(FixedAssets[Depreciation
/ Amortization Months],_xlfn.XMATCH($E$33,FixedAssets[Asset ID])),IF(AND((_xlfn.XMATCH(AM$8,$AH$8:$CC$8))-_xlfn.XMATCH($C53,$C$35:$C$82)+1&lt;=_xlpm.DepreciationMonths,$C53&lt;=AM$8),$E53/_xlpm.DepreciationMonths,0))</f>
        <v>0</v>
      </c>
      <c r="AN53" s="507" cm="1">
        <f t="array" ref="AN53">_xlfn.LET(_xlpm.DepreciationMonths,INDEX(FixedAssets[Depreciation
/ Amortization Months],_xlfn.XMATCH($E$33,FixedAssets[Asset ID])),IF(AND((_xlfn.XMATCH(AN$8,$AH$8:$CC$8))-_xlfn.XMATCH($C53,$C$35:$C$82)+1&lt;=_xlpm.DepreciationMonths,$C53&lt;=AN$8),$E53/_xlpm.DepreciationMonths,0))</f>
        <v>0</v>
      </c>
      <c r="AO53" s="507" cm="1">
        <f t="array" ref="AO53">_xlfn.LET(_xlpm.DepreciationMonths,INDEX(FixedAssets[Depreciation
/ Amortization Months],_xlfn.XMATCH($E$33,FixedAssets[Asset ID])),IF(AND((_xlfn.XMATCH(AO$8,$AH$8:$CC$8))-_xlfn.XMATCH($C53,$C$35:$C$82)+1&lt;=_xlpm.DepreciationMonths,$C53&lt;=AO$8),$E53/_xlpm.DepreciationMonths,0))</f>
        <v>0</v>
      </c>
      <c r="AP53" s="507" cm="1">
        <f t="array" ref="AP53">_xlfn.LET(_xlpm.DepreciationMonths,INDEX(FixedAssets[Depreciation
/ Amortization Months],_xlfn.XMATCH($E$33,FixedAssets[Asset ID])),IF(AND((_xlfn.XMATCH(AP$8,$AH$8:$CC$8))-_xlfn.XMATCH($C53,$C$35:$C$82)+1&lt;=_xlpm.DepreciationMonths,$C53&lt;=AP$8),$E53/_xlpm.DepreciationMonths,0))</f>
        <v>0</v>
      </c>
      <c r="AQ53" s="507" cm="1">
        <f t="array" ref="AQ53">_xlfn.LET(_xlpm.DepreciationMonths,INDEX(FixedAssets[Depreciation
/ Amortization Months],_xlfn.XMATCH($E$33,FixedAssets[Asset ID])),IF(AND((_xlfn.XMATCH(AQ$8,$AH$8:$CC$8))-_xlfn.XMATCH($C53,$C$35:$C$82)+1&lt;=_xlpm.DepreciationMonths,$C53&lt;=AQ$8),$E53/_xlpm.DepreciationMonths,0))</f>
        <v>0</v>
      </c>
      <c r="AR53" s="507" cm="1">
        <f t="array" ref="AR53">_xlfn.LET(_xlpm.DepreciationMonths,INDEX(FixedAssets[Depreciation
/ Amortization Months],_xlfn.XMATCH($E$33,FixedAssets[Asset ID])),IF(AND((_xlfn.XMATCH(AR$8,$AH$8:$CC$8))-_xlfn.XMATCH($C53,$C$35:$C$82)+1&lt;=_xlpm.DepreciationMonths,$C53&lt;=AR$8),$E53/_xlpm.DepreciationMonths,0))</f>
        <v>0</v>
      </c>
      <c r="AS53" s="507" cm="1">
        <f t="array" ref="AS53">_xlfn.LET(_xlpm.DepreciationMonths,INDEX(FixedAssets[Depreciation
/ Amortization Months],_xlfn.XMATCH($E$33,FixedAssets[Asset ID])),IF(AND((_xlfn.XMATCH(AS$8,$AH$8:$CC$8))-_xlfn.XMATCH($C53,$C$35:$C$82)+1&lt;=_xlpm.DepreciationMonths,$C53&lt;=AS$8),$E53/_xlpm.DepreciationMonths,0))</f>
        <v>0</v>
      </c>
      <c r="AT53" s="507" cm="1">
        <f t="array" ref="AT53">_xlfn.LET(_xlpm.DepreciationMonths,INDEX(FixedAssets[Depreciation
/ Amortization Months],_xlfn.XMATCH($E$33,FixedAssets[Asset ID])),IF(AND((_xlfn.XMATCH(AT$8,$AH$8:$CC$8))-_xlfn.XMATCH($C53,$C$35:$C$82)+1&lt;=_xlpm.DepreciationMonths,$C53&lt;=AT$8),$E53/_xlpm.DepreciationMonths,0))</f>
        <v>0</v>
      </c>
      <c r="AU53" s="507" cm="1">
        <f t="array" ref="AU53">_xlfn.LET(_xlpm.DepreciationMonths,INDEX(FixedAssets[Depreciation
/ Amortization Months],_xlfn.XMATCH($E$33,FixedAssets[Asset ID])),IF(AND((_xlfn.XMATCH(AU$8,$AH$8:$CC$8))-_xlfn.XMATCH($C53,$C$35:$C$82)+1&lt;=_xlpm.DepreciationMonths,$C53&lt;=AU$8),$E53/_xlpm.DepreciationMonths,0))</f>
        <v>0</v>
      </c>
      <c r="AV53" s="507" cm="1">
        <f t="array" ref="AV53">_xlfn.LET(_xlpm.DepreciationMonths,INDEX(FixedAssets[Depreciation
/ Amortization Months],_xlfn.XMATCH($E$33,FixedAssets[Asset ID])),IF(AND((_xlfn.XMATCH(AV$8,$AH$8:$CC$8))-_xlfn.XMATCH($C53,$C$35:$C$82)+1&lt;=_xlpm.DepreciationMonths,$C53&lt;=AV$8),$E53/_xlpm.DepreciationMonths,0))</f>
        <v>0</v>
      </c>
      <c r="AW53" s="507" cm="1">
        <f t="array" ref="AW53">_xlfn.LET(_xlpm.DepreciationMonths,INDEX(FixedAssets[Depreciation
/ Amortization Months],_xlfn.XMATCH($E$33,FixedAssets[Asset ID])),IF(AND((_xlfn.XMATCH(AW$8,$AH$8:$CC$8))-_xlfn.XMATCH($C53,$C$35:$C$82)+1&lt;=_xlpm.DepreciationMonths,$C53&lt;=AW$8),$E53/_xlpm.DepreciationMonths,0))</f>
        <v>0</v>
      </c>
      <c r="AX53" s="507" cm="1">
        <f t="array" ref="AX53">_xlfn.LET(_xlpm.DepreciationMonths,INDEX(FixedAssets[Depreciation
/ Amortization Months],_xlfn.XMATCH($E$33,FixedAssets[Asset ID])),IF(AND((_xlfn.XMATCH(AX$8,$AH$8:$CC$8))-_xlfn.XMATCH($C53,$C$35:$C$82)+1&lt;=_xlpm.DepreciationMonths,$C53&lt;=AX$8),$E53/_xlpm.DepreciationMonths,0))</f>
        <v>0</v>
      </c>
      <c r="AY53" s="507" cm="1">
        <f t="array" ref="AY53">_xlfn.LET(_xlpm.DepreciationMonths,INDEX(FixedAssets[Depreciation
/ Amortization Months],_xlfn.XMATCH($E$33,FixedAssets[Asset ID])),IF(AND((_xlfn.XMATCH(AY$8,$AH$8:$CC$8))-_xlfn.XMATCH($C53,$C$35:$C$82)+1&lt;=_xlpm.DepreciationMonths,$C53&lt;=AY$8),$E53/_xlpm.DepreciationMonths,0))</f>
        <v>0</v>
      </c>
      <c r="AZ53" s="507" cm="1">
        <f t="array" ref="AZ53">_xlfn.LET(_xlpm.DepreciationMonths,INDEX(FixedAssets[Depreciation
/ Amortization Months],_xlfn.XMATCH($E$33,FixedAssets[Asset ID])),IF(AND((_xlfn.XMATCH(AZ$8,$AH$8:$CC$8))-_xlfn.XMATCH($C53,$C$35:$C$82)+1&lt;=_xlpm.DepreciationMonths,$C53&lt;=AZ$8),$E53/_xlpm.DepreciationMonths,0))</f>
        <v>0</v>
      </c>
      <c r="BA53" s="507" cm="1">
        <f t="array" ref="BA53">_xlfn.LET(_xlpm.DepreciationMonths,INDEX(FixedAssets[Depreciation
/ Amortization Months],_xlfn.XMATCH($E$33,FixedAssets[Asset ID])),IF(AND((_xlfn.XMATCH(BA$8,$AH$8:$CC$8))-_xlfn.XMATCH($C53,$C$35:$C$82)+1&lt;=_xlpm.DepreciationMonths,$C53&lt;=BA$8),$E53/_xlpm.DepreciationMonths,0))</f>
        <v>0</v>
      </c>
      <c r="BB53" s="507" cm="1">
        <f t="array" ref="BB53">_xlfn.LET(_xlpm.DepreciationMonths,INDEX(FixedAssets[Depreciation
/ Amortization Months],_xlfn.XMATCH($E$33,FixedAssets[Asset ID])),IF(AND((_xlfn.XMATCH(BB$8,$AH$8:$CC$8))-_xlfn.XMATCH($C53,$C$35:$C$82)+1&lt;=_xlpm.DepreciationMonths,$C53&lt;=BB$8),$E53/_xlpm.DepreciationMonths,0))</f>
        <v>0</v>
      </c>
      <c r="BC53" s="507" cm="1">
        <f t="array" ref="BC53">_xlfn.LET(_xlpm.DepreciationMonths,INDEX(FixedAssets[Depreciation
/ Amortization Months],_xlfn.XMATCH($E$33,FixedAssets[Asset ID])),IF(AND((_xlfn.XMATCH(BC$8,$AH$8:$CC$8))-_xlfn.XMATCH($C53,$C$35:$C$82)+1&lt;=_xlpm.DepreciationMonths,$C53&lt;=BC$8),$E53/_xlpm.DepreciationMonths,0))</f>
        <v>0</v>
      </c>
      <c r="BD53" s="507" cm="1">
        <f t="array" ref="BD53">_xlfn.LET(_xlpm.DepreciationMonths,INDEX(FixedAssets[Depreciation
/ Amortization Months],_xlfn.XMATCH($E$33,FixedAssets[Asset ID])),IF(AND((_xlfn.XMATCH(BD$8,$AH$8:$CC$8))-_xlfn.XMATCH($C53,$C$35:$C$82)+1&lt;=_xlpm.DepreciationMonths,$C53&lt;=BD$8),$E53/_xlpm.DepreciationMonths,0))</f>
        <v>0</v>
      </c>
      <c r="BE53" s="507" cm="1">
        <f t="array" ref="BE53">_xlfn.LET(_xlpm.DepreciationMonths,INDEX(FixedAssets[Depreciation
/ Amortization Months],_xlfn.XMATCH($E$33,FixedAssets[Asset ID])),IF(AND((_xlfn.XMATCH(BE$8,$AH$8:$CC$8))-_xlfn.XMATCH($C53,$C$35:$C$82)+1&lt;=_xlpm.DepreciationMonths,$C53&lt;=BE$8),$E53/_xlpm.DepreciationMonths,0))</f>
        <v>0</v>
      </c>
      <c r="BF53" s="507" cm="1">
        <f t="array" ref="BF53">_xlfn.LET(_xlpm.DepreciationMonths,INDEX(FixedAssets[Depreciation
/ Amortization Months],_xlfn.XMATCH($E$33,FixedAssets[Asset ID])),IF(AND((_xlfn.XMATCH(BF$8,$AH$8:$CC$8))-_xlfn.XMATCH($C53,$C$35:$C$82)+1&lt;=_xlpm.DepreciationMonths,$C53&lt;=BF$8),$E53/_xlpm.DepreciationMonths,0))</f>
        <v>0</v>
      </c>
      <c r="BG53" s="507" cm="1">
        <f t="array" ref="BG53">_xlfn.LET(_xlpm.DepreciationMonths,INDEX(FixedAssets[Depreciation
/ Amortization Months],_xlfn.XMATCH($E$33,FixedAssets[Asset ID])),IF(AND((_xlfn.XMATCH(BG$8,$AH$8:$CC$8))-_xlfn.XMATCH($C53,$C$35:$C$82)+1&lt;=_xlpm.DepreciationMonths,$C53&lt;=BG$8),$E53/_xlpm.DepreciationMonths,0))</f>
        <v>0</v>
      </c>
      <c r="BH53" s="507" cm="1">
        <f t="array" ref="BH53">_xlfn.LET(_xlpm.DepreciationMonths,INDEX(FixedAssets[Depreciation
/ Amortization Months],_xlfn.XMATCH($E$33,FixedAssets[Asset ID])),IF(AND((_xlfn.XMATCH(BH$8,$AH$8:$CC$8))-_xlfn.XMATCH($C53,$C$35:$C$82)+1&lt;=_xlpm.DepreciationMonths,$C53&lt;=BH$8),$E53/_xlpm.DepreciationMonths,0))</f>
        <v>0</v>
      </c>
      <c r="BI53" s="507" cm="1">
        <f t="array" ref="BI53">_xlfn.LET(_xlpm.DepreciationMonths,INDEX(FixedAssets[Depreciation
/ Amortization Months],_xlfn.XMATCH($E$33,FixedAssets[Asset ID])),IF(AND((_xlfn.XMATCH(BI$8,$AH$8:$CC$8))-_xlfn.XMATCH($C53,$C$35:$C$82)+1&lt;=_xlpm.DepreciationMonths,$C53&lt;=BI$8),$E53/_xlpm.DepreciationMonths,0))</f>
        <v>0</v>
      </c>
      <c r="BJ53" s="507" cm="1">
        <f t="array" ref="BJ53">_xlfn.LET(_xlpm.DepreciationMonths,INDEX(FixedAssets[Depreciation
/ Amortization Months],_xlfn.XMATCH($E$33,FixedAssets[Asset ID])),IF(AND((_xlfn.XMATCH(BJ$8,$AH$8:$CC$8))-_xlfn.XMATCH($C53,$C$35:$C$82)+1&lt;=_xlpm.DepreciationMonths,$C53&lt;=BJ$8),$E53/_xlpm.DepreciationMonths,0))</f>
        <v>0</v>
      </c>
      <c r="BK53" s="507" cm="1">
        <f t="array" ref="BK53">_xlfn.LET(_xlpm.DepreciationMonths,INDEX(FixedAssets[Depreciation
/ Amortization Months],_xlfn.XMATCH($E$33,FixedAssets[Asset ID])),IF(AND((_xlfn.XMATCH(BK$8,$AH$8:$CC$8))-_xlfn.XMATCH($C53,$C$35:$C$82)+1&lt;=_xlpm.DepreciationMonths,$C53&lt;=BK$8),$E53/_xlpm.DepreciationMonths,0))</f>
        <v>0</v>
      </c>
      <c r="BL53" s="507" cm="1">
        <f t="array" ref="BL53">_xlfn.LET(_xlpm.DepreciationMonths,INDEX(FixedAssets[Depreciation
/ Amortization Months],_xlfn.XMATCH($E$33,FixedAssets[Asset ID])),IF(AND((_xlfn.XMATCH(BL$8,$AH$8:$CC$8))-_xlfn.XMATCH($C53,$C$35:$C$82)+1&lt;=_xlpm.DepreciationMonths,$C53&lt;=BL$8),$E53/_xlpm.DepreciationMonths,0))</f>
        <v>0</v>
      </c>
      <c r="BM53" s="507" cm="1">
        <f t="array" ref="BM53">_xlfn.LET(_xlpm.DepreciationMonths,INDEX(FixedAssets[Depreciation
/ Amortization Months],_xlfn.XMATCH($E$33,FixedAssets[Asset ID])),IF(AND((_xlfn.XMATCH(BM$8,$AH$8:$CC$8))-_xlfn.XMATCH($C53,$C$35:$C$82)+1&lt;=_xlpm.DepreciationMonths,$C53&lt;=BM$8),$E53/_xlpm.DepreciationMonths,0))</f>
        <v>0</v>
      </c>
      <c r="BN53" s="507" cm="1">
        <f t="array" ref="BN53">_xlfn.LET(_xlpm.DepreciationMonths,INDEX(FixedAssets[Depreciation
/ Amortization Months],_xlfn.XMATCH($E$33,FixedAssets[Asset ID])),IF(AND((_xlfn.XMATCH(BN$8,$AH$8:$CC$8))-_xlfn.XMATCH($C53,$C$35:$C$82)+1&lt;=_xlpm.DepreciationMonths,$C53&lt;=BN$8),$E53/_xlpm.DepreciationMonths,0))</f>
        <v>0</v>
      </c>
      <c r="BO53" s="507" cm="1">
        <f t="array" ref="BO53">_xlfn.LET(_xlpm.DepreciationMonths,INDEX(FixedAssets[Depreciation
/ Amortization Months],_xlfn.XMATCH($E$33,FixedAssets[Asset ID])),IF(AND((_xlfn.XMATCH(BO$8,$AH$8:$CC$8))-_xlfn.XMATCH($C53,$C$35:$C$82)+1&lt;=_xlpm.DepreciationMonths,$C53&lt;=BO$8),$E53/_xlpm.DepreciationMonths,0))</f>
        <v>0</v>
      </c>
      <c r="BP53" s="507" cm="1">
        <f t="array" ref="BP53">_xlfn.LET(_xlpm.DepreciationMonths,INDEX(FixedAssets[Depreciation
/ Amortization Months],_xlfn.XMATCH($E$33,FixedAssets[Asset ID])),IF(AND((_xlfn.XMATCH(BP$8,$AH$8:$CC$8))-_xlfn.XMATCH($C53,$C$35:$C$82)+1&lt;=_xlpm.DepreciationMonths,$C53&lt;=BP$8),$E53/_xlpm.DepreciationMonths,0))</f>
        <v>0</v>
      </c>
      <c r="BQ53" s="507" cm="1">
        <f t="array" ref="BQ53">_xlfn.LET(_xlpm.DepreciationMonths,INDEX(FixedAssets[Depreciation
/ Amortization Months],_xlfn.XMATCH($E$33,FixedAssets[Asset ID])),IF(AND((_xlfn.XMATCH(BQ$8,$AH$8:$CC$8))-_xlfn.XMATCH($C53,$C$35:$C$82)+1&lt;=_xlpm.DepreciationMonths,$C53&lt;=BQ$8),$E53/_xlpm.DepreciationMonths,0))</f>
        <v>0</v>
      </c>
      <c r="BR53" s="507" cm="1">
        <f t="array" ref="BR53">_xlfn.LET(_xlpm.DepreciationMonths,INDEX(FixedAssets[Depreciation
/ Amortization Months],_xlfn.XMATCH($E$33,FixedAssets[Asset ID])),IF(AND((_xlfn.XMATCH(BR$8,$AH$8:$CC$8))-_xlfn.XMATCH($C53,$C$35:$C$82)+1&lt;=_xlpm.DepreciationMonths,$C53&lt;=BR$8),$E53/_xlpm.DepreciationMonths,0))</f>
        <v>0</v>
      </c>
      <c r="BS53" s="507" cm="1">
        <f t="array" ref="BS53">_xlfn.LET(_xlpm.DepreciationMonths,INDEX(FixedAssets[Depreciation
/ Amortization Months],_xlfn.XMATCH($E$33,FixedAssets[Asset ID])),IF(AND((_xlfn.XMATCH(BS$8,$AH$8:$CC$8))-_xlfn.XMATCH($C53,$C$35:$C$82)+1&lt;=_xlpm.DepreciationMonths,$C53&lt;=BS$8),$E53/_xlpm.DepreciationMonths,0))</f>
        <v>0</v>
      </c>
      <c r="BT53" s="507" cm="1">
        <f t="array" ref="BT53">_xlfn.LET(_xlpm.DepreciationMonths,INDEX(FixedAssets[Depreciation
/ Amortization Months],_xlfn.XMATCH($E$33,FixedAssets[Asset ID])),IF(AND((_xlfn.XMATCH(BT$8,$AH$8:$CC$8))-_xlfn.XMATCH($C53,$C$35:$C$82)+1&lt;=_xlpm.DepreciationMonths,$C53&lt;=BT$8),$E53/_xlpm.DepreciationMonths,0))</f>
        <v>0</v>
      </c>
      <c r="BU53" s="507" cm="1">
        <f t="array" ref="BU53">_xlfn.LET(_xlpm.DepreciationMonths,INDEX(FixedAssets[Depreciation
/ Amortization Months],_xlfn.XMATCH($E$33,FixedAssets[Asset ID])),IF(AND((_xlfn.XMATCH(BU$8,$AH$8:$CC$8))-_xlfn.XMATCH($C53,$C$35:$C$82)+1&lt;=_xlpm.DepreciationMonths,$C53&lt;=BU$8),$E53/_xlpm.DepreciationMonths,0))</f>
        <v>0</v>
      </c>
      <c r="BV53" s="507" cm="1">
        <f t="array" ref="BV53">_xlfn.LET(_xlpm.DepreciationMonths,INDEX(FixedAssets[Depreciation
/ Amortization Months],_xlfn.XMATCH($E$33,FixedAssets[Asset ID])),IF(AND((_xlfn.XMATCH(BV$8,$AH$8:$CC$8))-_xlfn.XMATCH($C53,$C$35:$C$82)+1&lt;=_xlpm.DepreciationMonths,$C53&lt;=BV$8),$E53/_xlpm.DepreciationMonths,0))</f>
        <v>0</v>
      </c>
      <c r="BW53" s="507" cm="1">
        <f t="array" ref="BW53">_xlfn.LET(_xlpm.DepreciationMonths,INDEX(FixedAssets[Depreciation
/ Amortization Months],_xlfn.XMATCH($E$33,FixedAssets[Asset ID])),IF(AND((_xlfn.XMATCH(BW$8,$AH$8:$CC$8))-_xlfn.XMATCH($C53,$C$35:$C$82)+1&lt;=_xlpm.DepreciationMonths,$C53&lt;=BW$8),$E53/_xlpm.DepreciationMonths,0))</f>
        <v>0</v>
      </c>
      <c r="BX53" s="507" cm="1">
        <f t="array" ref="BX53">_xlfn.LET(_xlpm.DepreciationMonths,INDEX(FixedAssets[Depreciation
/ Amortization Months],_xlfn.XMATCH($E$33,FixedAssets[Asset ID])),IF(AND((_xlfn.XMATCH(BX$8,$AH$8:$CC$8))-_xlfn.XMATCH($C53,$C$35:$C$82)+1&lt;=_xlpm.DepreciationMonths,$C53&lt;=BX$8),$E53/_xlpm.DepreciationMonths,0))</f>
        <v>0</v>
      </c>
      <c r="BY53" s="507" cm="1">
        <f t="array" ref="BY53">_xlfn.LET(_xlpm.DepreciationMonths,INDEX(FixedAssets[Depreciation
/ Amortization Months],_xlfn.XMATCH($E$33,FixedAssets[Asset ID])),IF(AND((_xlfn.XMATCH(BY$8,$AH$8:$CC$8))-_xlfn.XMATCH($C53,$C$35:$C$82)+1&lt;=_xlpm.DepreciationMonths,$C53&lt;=BY$8),$E53/_xlpm.DepreciationMonths,0))</f>
        <v>0</v>
      </c>
      <c r="BZ53" s="507" cm="1">
        <f t="array" ref="BZ53">_xlfn.LET(_xlpm.DepreciationMonths,INDEX(FixedAssets[Depreciation
/ Amortization Months],_xlfn.XMATCH($E$33,FixedAssets[Asset ID])),IF(AND((_xlfn.XMATCH(BZ$8,$AH$8:$CC$8))-_xlfn.XMATCH($C53,$C$35:$C$82)+1&lt;=_xlpm.DepreciationMonths,$C53&lt;=BZ$8),$E53/_xlpm.DepreciationMonths,0))</f>
        <v>0</v>
      </c>
      <c r="CA53" s="507" cm="1">
        <f t="array" ref="CA53">_xlfn.LET(_xlpm.DepreciationMonths,INDEX(FixedAssets[Depreciation
/ Amortization Months],_xlfn.XMATCH($E$33,FixedAssets[Asset ID])),IF(AND((_xlfn.XMATCH(CA$8,$AH$8:$CC$8))-_xlfn.XMATCH($C53,$C$35:$C$82)+1&lt;=_xlpm.DepreciationMonths,$C53&lt;=CA$8),$E53/_xlpm.DepreciationMonths,0))</f>
        <v>0</v>
      </c>
      <c r="CB53" s="507" cm="1">
        <f t="array" ref="CB53">_xlfn.LET(_xlpm.DepreciationMonths,INDEX(FixedAssets[Depreciation
/ Amortization Months],_xlfn.XMATCH($E$33,FixedAssets[Asset ID])),IF(AND((_xlfn.XMATCH(CB$8,$AH$8:$CC$8))-_xlfn.XMATCH($C53,$C$35:$C$82)+1&lt;=_xlpm.DepreciationMonths,$C53&lt;=CB$8),$E53/_xlpm.DepreciationMonths,0))</f>
        <v>0</v>
      </c>
      <c r="CC53" s="507" cm="1">
        <f t="array" ref="CC53">_xlfn.LET(_xlpm.DepreciationMonths,INDEX(FixedAssets[Depreciation
/ Amortization Months],_xlfn.XMATCH($E$33,FixedAssets[Asset ID])),IF(AND((_xlfn.XMATCH(CC$8,$AH$8:$CC$8))-_xlfn.XMATCH($C53,$C$35:$C$82)+1&lt;=_xlpm.DepreciationMonths,$C53&lt;=CC$8),$E53/_xlpm.DepreciationMonths,0))</f>
        <v>0</v>
      </c>
    </row>
    <row r="54" spans="3:81" hidden="1" outlineLevel="2">
      <c r="C54" s="664">
        <f t="shared" si="91"/>
        <v>45535</v>
      </c>
      <c r="D54" s="508"/>
      <c r="E54" s="508" cm="1">
        <f t="array" ref="E54">SUMPRODUCT(($AH$26:$CC$31)*($AH$5:$CC$5=$C54)*($E$26:$E$31=E$33))-SUMPRODUCT(($AH$26:$CC$31)*($AH$5:$CC$5=EOMONTH($C54,-1))*($E$26:$E$31=E$33))</f>
        <v>0</v>
      </c>
      <c r="F54" s="508"/>
      <c r="G54" s="508"/>
      <c r="H54" s="508"/>
      <c r="I54" s="508"/>
      <c r="J54" s="504">
        <f t="shared" si="88"/>
        <v>0</v>
      </c>
      <c r="K54" s="504">
        <f t="shared" si="93"/>
        <v>0</v>
      </c>
      <c r="L54" s="504">
        <f t="shared" si="93"/>
        <v>0</v>
      </c>
      <c r="M54" s="504">
        <f t="shared" si="93"/>
        <v>0</v>
      </c>
      <c r="N54" s="504"/>
      <c r="O54" s="504"/>
      <c r="P54" s="504">
        <f t="shared" si="94"/>
        <v>0</v>
      </c>
      <c r="Q54" s="504">
        <f t="shared" si="94"/>
        <v>0</v>
      </c>
      <c r="R54" s="504">
        <f t="shared" si="94"/>
        <v>0</v>
      </c>
      <c r="S54" s="504">
        <f t="shared" si="94"/>
        <v>0</v>
      </c>
      <c r="T54" s="504">
        <f t="shared" si="94"/>
        <v>0</v>
      </c>
      <c r="U54" s="504">
        <f t="shared" si="94"/>
        <v>0</v>
      </c>
      <c r="V54" s="504">
        <f t="shared" si="94"/>
        <v>0</v>
      </c>
      <c r="W54" s="504">
        <f t="shared" si="94"/>
        <v>0</v>
      </c>
      <c r="X54" s="504">
        <f t="shared" si="94"/>
        <v>0</v>
      </c>
      <c r="Y54" s="504">
        <f t="shared" si="94"/>
        <v>0</v>
      </c>
      <c r="Z54" s="504">
        <f t="shared" si="94"/>
        <v>0</v>
      </c>
      <c r="AA54" s="504">
        <f t="shared" si="94"/>
        <v>0</v>
      </c>
      <c r="AB54" s="504">
        <f t="shared" si="94"/>
        <v>0</v>
      </c>
      <c r="AC54" s="504">
        <f t="shared" si="94"/>
        <v>0</v>
      </c>
      <c r="AD54" s="504">
        <f t="shared" si="94"/>
        <v>0</v>
      </c>
      <c r="AE54" s="504">
        <f t="shared" si="94"/>
        <v>0</v>
      </c>
      <c r="AF54" s="508"/>
      <c r="AG54" s="508"/>
      <c r="AH54" s="507" cm="1">
        <f t="array" ref="AH54">_xlfn.LET(_xlpm.DepreciationMonths,INDEX(FixedAssets[Depreciation
/ Amortization Months],_xlfn.XMATCH($E$33,FixedAssets[Asset ID])),IF(AND((_xlfn.XMATCH(AH$8,$AH$8:$CC$8))-_xlfn.XMATCH($C54,$C$35:$C$82)+1&lt;=_xlpm.DepreciationMonths,$C54&lt;=AH$8),$E54/_xlpm.DepreciationMonths,0))</f>
        <v>0</v>
      </c>
      <c r="AI54" s="507" cm="1">
        <f t="array" ref="AI54">_xlfn.LET(_xlpm.DepreciationMonths,INDEX(FixedAssets[Depreciation
/ Amortization Months],_xlfn.XMATCH($E$33,FixedAssets[Asset ID])),IF(AND((_xlfn.XMATCH(AI$8,$AH$8:$CC$8))-_xlfn.XMATCH($C54,$C$35:$C$82)+1&lt;=_xlpm.DepreciationMonths,$C54&lt;=AI$8),$E54/_xlpm.DepreciationMonths,0))</f>
        <v>0</v>
      </c>
      <c r="AJ54" s="507" cm="1">
        <f t="array" ref="AJ54">_xlfn.LET(_xlpm.DepreciationMonths,INDEX(FixedAssets[Depreciation
/ Amortization Months],_xlfn.XMATCH($E$33,FixedAssets[Asset ID])),IF(AND((_xlfn.XMATCH(AJ$8,$AH$8:$CC$8))-_xlfn.XMATCH($C54,$C$35:$C$82)+1&lt;=_xlpm.DepreciationMonths,$C54&lt;=AJ$8),$E54/_xlpm.DepreciationMonths,0))</f>
        <v>0</v>
      </c>
      <c r="AK54" s="507" cm="1">
        <f t="array" ref="AK54">_xlfn.LET(_xlpm.DepreciationMonths,INDEX(FixedAssets[Depreciation
/ Amortization Months],_xlfn.XMATCH($E$33,FixedAssets[Asset ID])),IF(AND((_xlfn.XMATCH(AK$8,$AH$8:$CC$8))-_xlfn.XMATCH($C54,$C$35:$C$82)+1&lt;=_xlpm.DepreciationMonths,$C54&lt;=AK$8),$E54/_xlpm.DepreciationMonths,0))</f>
        <v>0</v>
      </c>
      <c r="AL54" s="507" cm="1">
        <f t="array" ref="AL54">_xlfn.LET(_xlpm.DepreciationMonths,INDEX(FixedAssets[Depreciation
/ Amortization Months],_xlfn.XMATCH($E$33,FixedAssets[Asset ID])),IF(AND((_xlfn.XMATCH(AL$8,$AH$8:$CC$8))-_xlfn.XMATCH($C54,$C$35:$C$82)+1&lt;=_xlpm.DepreciationMonths,$C54&lt;=AL$8),$E54/_xlpm.DepreciationMonths,0))</f>
        <v>0</v>
      </c>
      <c r="AM54" s="507" cm="1">
        <f t="array" ref="AM54">_xlfn.LET(_xlpm.DepreciationMonths,INDEX(FixedAssets[Depreciation
/ Amortization Months],_xlfn.XMATCH($E$33,FixedAssets[Asset ID])),IF(AND((_xlfn.XMATCH(AM$8,$AH$8:$CC$8))-_xlfn.XMATCH($C54,$C$35:$C$82)+1&lt;=_xlpm.DepreciationMonths,$C54&lt;=AM$8),$E54/_xlpm.DepreciationMonths,0))</f>
        <v>0</v>
      </c>
      <c r="AN54" s="507" cm="1">
        <f t="array" ref="AN54">_xlfn.LET(_xlpm.DepreciationMonths,INDEX(FixedAssets[Depreciation
/ Amortization Months],_xlfn.XMATCH($E$33,FixedAssets[Asset ID])),IF(AND((_xlfn.XMATCH(AN$8,$AH$8:$CC$8))-_xlfn.XMATCH($C54,$C$35:$C$82)+1&lt;=_xlpm.DepreciationMonths,$C54&lt;=AN$8),$E54/_xlpm.DepreciationMonths,0))</f>
        <v>0</v>
      </c>
      <c r="AO54" s="507" cm="1">
        <f t="array" ref="AO54">_xlfn.LET(_xlpm.DepreciationMonths,INDEX(FixedAssets[Depreciation
/ Amortization Months],_xlfn.XMATCH($E$33,FixedAssets[Asset ID])),IF(AND((_xlfn.XMATCH(AO$8,$AH$8:$CC$8))-_xlfn.XMATCH($C54,$C$35:$C$82)+1&lt;=_xlpm.DepreciationMonths,$C54&lt;=AO$8),$E54/_xlpm.DepreciationMonths,0))</f>
        <v>0</v>
      </c>
      <c r="AP54" s="507" cm="1">
        <f t="array" ref="AP54">_xlfn.LET(_xlpm.DepreciationMonths,INDEX(FixedAssets[Depreciation
/ Amortization Months],_xlfn.XMATCH($E$33,FixedAssets[Asset ID])),IF(AND((_xlfn.XMATCH(AP$8,$AH$8:$CC$8))-_xlfn.XMATCH($C54,$C$35:$C$82)+1&lt;=_xlpm.DepreciationMonths,$C54&lt;=AP$8),$E54/_xlpm.DepreciationMonths,0))</f>
        <v>0</v>
      </c>
      <c r="AQ54" s="507" cm="1">
        <f t="array" ref="AQ54">_xlfn.LET(_xlpm.DepreciationMonths,INDEX(FixedAssets[Depreciation
/ Amortization Months],_xlfn.XMATCH($E$33,FixedAssets[Asset ID])),IF(AND((_xlfn.XMATCH(AQ$8,$AH$8:$CC$8))-_xlfn.XMATCH($C54,$C$35:$C$82)+1&lt;=_xlpm.DepreciationMonths,$C54&lt;=AQ$8),$E54/_xlpm.DepreciationMonths,0))</f>
        <v>0</v>
      </c>
      <c r="AR54" s="507" cm="1">
        <f t="array" ref="AR54">_xlfn.LET(_xlpm.DepreciationMonths,INDEX(FixedAssets[Depreciation
/ Amortization Months],_xlfn.XMATCH($E$33,FixedAssets[Asset ID])),IF(AND((_xlfn.XMATCH(AR$8,$AH$8:$CC$8))-_xlfn.XMATCH($C54,$C$35:$C$82)+1&lt;=_xlpm.DepreciationMonths,$C54&lt;=AR$8),$E54/_xlpm.DepreciationMonths,0))</f>
        <v>0</v>
      </c>
      <c r="AS54" s="507" cm="1">
        <f t="array" ref="AS54">_xlfn.LET(_xlpm.DepreciationMonths,INDEX(FixedAssets[Depreciation
/ Amortization Months],_xlfn.XMATCH($E$33,FixedAssets[Asset ID])),IF(AND((_xlfn.XMATCH(AS$8,$AH$8:$CC$8))-_xlfn.XMATCH($C54,$C$35:$C$82)+1&lt;=_xlpm.DepreciationMonths,$C54&lt;=AS$8),$E54/_xlpm.DepreciationMonths,0))</f>
        <v>0</v>
      </c>
      <c r="AT54" s="507" cm="1">
        <f t="array" ref="AT54">_xlfn.LET(_xlpm.DepreciationMonths,INDEX(FixedAssets[Depreciation
/ Amortization Months],_xlfn.XMATCH($E$33,FixedAssets[Asset ID])),IF(AND((_xlfn.XMATCH(AT$8,$AH$8:$CC$8))-_xlfn.XMATCH($C54,$C$35:$C$82)+1&lt;=_xlpm.DepreciationMonths,$C54&lt;=AT$8),$E54/_xlpm.DepreciationMonths,0))</f>
        <v>0</v>
      </c>
      <c r="AU54" s="507" cm="1">
        <f t="array" ref="AU54">_xlfn.LET(_xlpm.DepreciationMonths,INDEX(FixedAssets[Depreciation
/ Amortization Months],_xlfn.XMATCH($E$33,FixedAssets[Asset ID])),IF(AND((_xlfn.XMATCH(AU$8,$AH$8:$CC$8))-_xlfn.XMATCH($C54,$C$35:$C$82)+1&lt;=_xlpm.DepreciationMonths,$C54&lt;=AU$8),$E54/_xlpm.DepreciationMonths,0))</f>
        <v>0</v>
      </c>
      <c r="AV54" s="507" cm="1">
        <f t="array" ref="AV54">_xlfn.LET(_xlpm.DepreciationMonths,INDEX(FixedAssets[Depreciation
/ Amortization Months],_xlfn.XMATCH($E$33,FixedAssets[Asset ID])),IF(AND((_xlfn.XMATCH(AV$8,$AH$8:$CC$8))-_xlfn.XMATCH($C54,$C$35:$C$82)+1&lt;=_xlpm.DepreciationMonths,$C54&lt;=AV$8),$E54/_xlpm.DepreciationMonths,0))</f>
        <v>0</v>
      </c>
      <c r="AW54" s="507" cm="1">
        <f t="array" ref="AW54">_xlfn.LET(_xlpm.DepreciationMonths,INDEX(FixedAssets[Depreciation
/ Amortization Months],_xlfn.XMATCH($E$33,FixedAssets[Asset ID])),IF(AND((_xlfn.XMATCH(AW$8,$AH$8:$CC$8))-_xlfn.XMATCH($C54,$C$35:$C$82)+1&lt;=_xlpm.DepreciationMonths,$C54&lt;=AW$8),$E54/_xlpm.DepreciationMonths,0))</f>
        <v>0</v>
      </c>
      <c r="AX54" s="507" cm="1">
        <f t="array" ref="AX54">_xlfn.LET(_xlpm.DepreciationMonths,INDEX(FixedAssets[Depreciation
/ Amortization Months],_xlfn.XMATCH($E$33,FixedAssets[Asset ID])),IF(AND((_xlfn.XMATCH(AX$8,$AH$8:$CC$8))-_xlfn.XMATCH($C54,$C$35:$C$82)+1&lt;=_xlpm.DepreciationMonths,$C54&lt;=AX$8),$E54/_xlpm.DepreciationMonths,0))</f>
        <v>0</v>
      </c>
      <c r="AY54" s="507" cm="1">
        <f t="array" ref="AY54">_xlfn.LET(_xlpm.DepreciationMonths,INDEX(FixedAssets[Depreciation
/ Amortization Months],_xlfn.XMATCH($E$33,FixedAssets[Asset ID])),IF(AND((_xlfn.XMATCH(AY$8,$AH$8:$CC$8))-_xlfn.XMATCH($C54,$C$35:$C$82)+1&lt;=_xlpm.DepreciationMonths,$C54&lt;=AY$8),$E54/_xlpm.DepreciationMonths,0))</f>
        <v>0</v>
      </c>
      <c r="AZ54" s="507" cm="1">
        <f t="array" ref="AZ54">_xlfn.LET(_xlpm.DepreciationMonths,INDEX(FixedAssets[Depreciation
/ Amortization Months],_xlfn.XMATCH($E$33,FixedAssets[Asset ID])),IF(AND((_xlfn.XMATCH(AZ$8,$AH$8:$CC$8))-_xlfn.XMATCH($C54,$C$35:$C$82)+1&lt;=_xlpm.DepreciationMonths,$C54&lt;=AZ$8),$E54/_xlpm.DepreciationMonths,0))</f>
        <v>0</v>
      </c>
      <c r="BA54" s="507" cm="1">
        <f t="array" ref="BA54">_xlfn.LET(_xlpm.DepreciationMonths,INDEX(FixedAssets[Depreciation
/ Amortization Months],_xlfn.XMATCH($E$33,FixedAssets[Asset ID])),IF(AND((_xlfn.XMATCH(BA$8,$AH$8:$CC$8))-_xlfn.XMATCH($C54,$C$35:$C$82)+1&lt;=_xlpm.DepreciationMonths,$C54&lt;=BA$8),$E54/_xlpm.DepreciationMonths,0))</f>
        <v>0</v>
      </c>
      <c r="BB54" s="507" cm="1">
        <f t="array" ref="BB54">_xlfn.LET(_xlpm.DepreciationMonths,INDEX(FixedAssets[Depreciation
/ Amortization Months],_xlfn.XMATCH($E$33,FixedAssets[Asset ID])),IF(AND((_xlfn.XMATCH(BB$8,$AH$8:$CC$8))-_xlfn.XMATCH($C54,$C$35:$C$82)+1&lt;=_xlpm.DepreciationMonths,$C54&lt;=BB$8),$E54/_xlpm.DepreciationMonths,0))</f>
        <v>0</v>
      </c>
      <c r="BC54" s="507" cm="1">
        <f t="array" ref="BC54">_xlfn.LET(_xlpm.DepreciationMonths,INDEX(FixedAssets[Depreciation
/ Amortization Months],_xlfn.XMATCH($E$33,FixedAssets[Asset ID])),IF(AND((_xlfn.XMATCH(BC$8,$AH$8:$CC$8))-_xlfn.XMATCH($C54,$C$35:$C$82)+1&lt;=_xlpm.DepreciationMonths,$C54&lt;=BC$8),$E54/_xlpm.DepreciationMonths,0))</f>
        <v>0</v>
      </c>
      <c r="BD54" s="507" cm="1">
        <f t="array" ref="BD54">_xlfn.LET(_xlpm.DepreciationMonths,INDEX(FixedAssets[Depreciation
/ Amortization Months],_xlfn.XMATCH($E$33,FixedAssets[Asset ID])),IF(AND((_xlfn.XMATCH(BD$8,$AH$8:$CC$8))-_xlfn.XMATCH($C54,$C$35:$C$82)+1&lt;=_xlpm.DepreciationMonths,$C54&lt;=BD$8),$E54/_xlpm.DepreciationMonths,0))</f>
        <v>0</v>
      </c>
      <c r="BE54" s="507" cm="1">
        <f t="array" ref="BE54">_xlfn.LET(_xlpm.DepreciationMonths,INDEX(FixedAssets[Depreciation
/ Amortization Months],_xlfn.XMATCH($E$33,FixedAssets[Asset ID])),IF(AND((_xlfn.XMATCH(BE$8,$AH$8:$CC$8))-_xlfn.XMATCH($C54,$C$35:$C$82)+1&lt;=_xlpm.DepreciationMonths,$C54&lt;=BE$8),$E54/_xlpm.DepreciationMonths,0))</f>
        <v>0</v>
      </c>
      <c r="BF54" s="507" cm="1">
        <f t="array" ref="BF54">_xlfn.LET(_xlpm.DepreciationMonths,INDEX(FixedAssets[Depreciation
/ Amortization Months],_xlfn.XMATCH($E$33,FixedAssets[Asset ID])),IF(AND((_xlfn.XMATCH(BF$8,$AH$8:$CC$8))-_xlfn.XMATCH($C54,$C$35:$C$82)+1&lt;=_xlpm.DepreciationMonths,$C54&lt;=BF$8),$E54/_xlpm.DepreciationMonths,0))</f>
        <v>0</v>
      </c>
      <c r="BG54" s="507" cm="1">
        <f t="array" ref="BG54">_xlfn.LET(_xlpm.DepreciationMonths,INDEX(FixedAssets[Depreciation
/ Amortization Months],_xlfn.XMATCH($E$33,FixedAssets[Asset ID])),IF(AND((_xlfn.XMATCH(BG$8,$AH$8:$CC$8))-_xlfn.XMATCH($C54,$C$35:$C$82)+1&lt;=_xlpm.DepreciationMonths,$C54&lt;=BG$8),$E54/_xlpm.DepreciationMonths,0))</f>
        <v>0</v>
      </c>
      <c r="BH54" s="507" cm="1">
        <f t="array" ref="BH54">_xlfn.LET(_xlpm.DepreciationMonths,INDEX(FixedAssets[Depreciation
/ Amortization Months],_xlfn.XMATCH($E$33,FixedAssets[Asset ID])),IF(AND((_xlfn.XMATCH(BH$8,$AH$8:$CC$8))-_xlfn.XMATCH($C54,$C$35:$C$82)+1&lt;=_xlpm.DepreciationMonths,$C54&lt;=BH$8),$E54/_xlpm.DepreciationMonths,0))</f>
        <v>0</v>
      </c>
      <c r="BI54" s="507" cm="1">
        <f t="array" ref="BI54">_xlfn.LET(_xlpm.DepreciationMonths,INDEX(FixedAssets[Depreciation
/ Amortization Months],_xlfn.XMATCH($E$33,FixedAssets[Asset ID])),IF(AND((_xlfn.XMATCH(BI$8,$AH$8:$CC$8))-_xlfn.XMATCH($C54,$C$35:$C$82)+1&lt;=_xlpm.DepreciationMonths,$C54&lt;=BI$8),$E54/_xlpm.DepreciationMonths,0))</f>
        <v>0</v>
      </c>
      <c r="BJ54" s="507" cm="1">
        <f t="array" ref="BJ54">_xlfn.LET(_xlpm.DepreciationMonths,INDEX(FixedAssets[Depreciation
/ Amortization Months],_xlfn.XMATCH($E$33,FixedAssets[Asset ID])),IF(AND((_xlfn.XMATCH(BJ$8,$AH$8:$CC$8))-_xlfn.XMATCH($C54,$C$35:$C$82)+1&lt;=_xlpm.DepreciationMonths,$C54&lt;=BJ$8),$E54/_xlpm.DepreciationMonths,0))</f>
        <v>0</v>
      </c>
      <c r="BK54" s="507" cm="1">
        <f t="array" ref="BK54">_xlfn.LET(_xlpm.DepreciationMonths,INDEX(FixedAssets[Depreciation
/ Amortization Months],_xlfn.XMATCH($E$33,FixedAssets[Asset ID])),IF(AND((_xlfn.XMATCH(BK$8,$AH$8:$CC$8))-_xlfn.XMATCH($C54,$C$35:$C$82)+1&lt;=_xlpm.DepreciationMonths,$C54&lt;=BK$8),$E54/_xlpm.DepreciationMonths,0))</f>
        <v>0</v>
      </c>
      <c r="BL54" s="507" cm="1">
        <f t="array" ref="BL54">_xlfn.LET(_xlpm.DepreciationMonths,INDEX(FixedAssets[Depreciation
/ Amortization Months],_xlfn.XMATCH($E$33,FixedAssets[Asset ID])),IF(AND((_xlfn.XMATCH(BL$8,$AH$8:$CC$8))-_xlfn.XMATCH($C54,$C$35:$C$82)+1&lt;=_xlpm.DepreciationMonths,$C54&lt;=BL$8),$E54/_xlpm.DepreciationMonths,0))</f>
        <v>0</v>
      </c>
      <c r="BM54" s="507" cm="1">
        <f t="array" ref="BM54">_xlfn.LET(_xlpm.DepreciationMonths,INDEX(FixedAssets[Depreciation
/ Amortization Months],_xlfn.XMATCH($E$33,FixedAssets[Asset ID])),IF(AND((_xlfn.XMATCH(BM$8,$AH$8:$CC$8))-_xlfn.XMATCH($C54,$C$35:$C$82)+1&lt;=_xlpm.DepreciationMonths,$C54&lt;=BM$8),$E54/_xlpm.DepreciationMonths,0))</f>
        <v>0</v>
      </c>
      <c r="BN54" s="507" cm="1">
        <f t="array" ref="BN54">_xlfn.LET(_xlpm.DepreciationMonths,INDEX(FixedAssets[Depreciation
/ Amortization Months],_xlfn.XMATCH($E$33,FixedAssets[Asset ID])),IF(AND((_xlfn.XMATCH(BN$8,$AH$8:$CC$8))-_xlfn.XMATCH($C54,$C$35:$C$82)+1&lt;=_xlpm.DepreciationMonths,$C54&lt;=BN$8),$E54/_xlpm.DepreciationMonths,0))</f>
        <v>0</v>
      </c>
      <c r="BO54" s="507" cm="1">
        <f t="array" ref="BO54">_xlfn.LET(_xlpm.DepreciationMonths,INDEX(FixedAssets[Depreciation
/ Amortization Months],_xlfn.XMATCH($E$33,FixedAssets[Asset ID])),IF(AND((_xlfn.XMATCH(BO$8,$AH$8:$CC$8))-_xlfn.XMATCH($C54,$C$35:$C$82)+1&lt;=_xlpm.DepreciationMonths,$C54&lt;=BO$8),$E54/_xlpm.DepreciationMonths,0))</f>
        <v>0</v>
      </c>
      <c r="BP54" s="507" cm="1">
        <f t="array" ref="BP54">_xlfn.LET(_xlpm.DepreciationMonths,INDEX(FixedAssets[Depreciation
/ Amortization Months],_xlfn.XMATCH($E$33,FixedAssets[Asset ID])),IF(AND((_xlfn.XMATCH(BP$8,$AH$8:$CC$8))-_xlfn.XMATCH($C54,$C$35:$C$82)+1&lt;=_xlpm.DepreciationMonths,$C54&lt;=BP$8),$E54/_xlpm.DepreciationMonths,0))</f>
        <v>0</v>
      </c>
      <c r="BQ54" s="507" cm="1">
        <f t="array" ref="BQ54">_xlfn.LET(_xlpm.DepreciationMonths,INDEX(FixedAssets[Depreciation
/ Amortization Months],_xlfn.XMATCH($E$33,FixedAssets[Asset ID])),IF(AND((_xlfn.XMATCH(BQ$8,$AH$8:$CC$8))-_xlfn.XMATCH($C54,$C$35:$C$82)+1&lt;=_xlpm.DepreciationMonths,$C54&lt;=BQ$8),$E54/_xlpm.DepreciationMonths,0))</f>
        <v>0</v>
      </c>
      <c r="BR54" s="507" cm="1">
        <f t="array" ref="BR54">_xlfn.LET(_xlpm.DepreciationMonths,INDEX(FixedAssets[Depreciation
/ Amortization Months],_xlfn.XMATCH($E$33,FixedAssets[Asset ID])),IF(AND((_xlfn.XMATCH(BR$8,$AH$8:$CC$8))-_xlfn.XMATCH($C54,$C$35:$C$82)+1&lt;=_xlpm.DepreciationMonths,$C54&lt;=BR$8),$E54/_xlpm.DepreciationMonths,0))</f>
        <v>0</v>
      </c>
      <c r="BS54" s="507" cm="1">
        <f t="array" ref="BS54">_xlfn.LET(_xlpm.DepreciationMonths,INDEX(FixedAssets[Depreciation
/ Amortization Months],_xlfn.XMATCH($E$33,FixedAssets[Asset ID])),IF(AND((_xlfn.XMATCH(BS$8,$AH$8:$CC$8))-_xlfn.XMATCH($C54,$C$35:$C$82)+1&lt;=_xlpm.DepreciationMonths,$C54&lt;=BS$8),$E54/_xlpm.DepreciationMonths,0))</f>
        <v>0</v>
      </c>
      <c r="BT54" s="507" cm="1">
        <f t="array" ref="BT54">_xlfn.LET(_xlpm.DepreciationMonths,INDEX(FixedAssets[Depreciation
/ Amortization Months],_xlfn.XMATCH($E$33,FixedAssets[Asset ID])),IF(AND((_xlfn.XMATCH(BT$8,$AH$8:$CC$8))-_xlfn.XMATCH($C54,$C$35:$C$82)+1&lt;=_xlpm.DepreciationMonths,$C54&lt;=BT$8),$E54/_xlpm.DepreciationMonths,0))</f>
        <v>0</v>
      </c>
      <c r="BU54" s="507" cm="1">
        <f t="array" ref="BU54">_xlfn.LET(_xlpm.DepreciationMonths,INDEX(FixedAssets[Depreciation
/ Amortization Months],_xlfn.XMATCH($E$33,FixedAssets[Asset ID])),IF(AND((_xlfn.XMATCH(BU$8,$AH$8:$CC$8))-_xlfn.XMATCH($C54,$C$35:$C$82)+1&lt;=_xlpm.DepreciationMonths,$C54&lt;=BU$8),$E54/_xlpm.DepreciationMonths,0))</f>
        <v>0</v>
      </c>
      <c r="BV54" s="507" cm="1">
        <f t="array" ref="BV54">_xlfn.LET(_xlpm.DepreciationMonths,INDEX(FixedAssets[Depreciation
/ Amortization Months],_xlfn.XMATCH($E$33,FixedAssets[Asset ID])),IF(AND((_xlfn.XMATCH(BV$8,$AH$8:$CC$8))-_xlfn.XMATCH($C54,$C$35:$C$82)+1&lt;=_xlpm.DepreciationMonths,$C54&lt;=BV$8),$E54/_xlpm.DepreciationMonths,0))</f>
        <v>0</v>
      </c>
      <c r="BW54" s="507" cm="1">
        <f t="array" ref="BW54">_xlfn.LET(_xlpm.DepreciationMonths,INDEX(FixedAssets[Depreciation
/ Amortization Months],_xlfn.XMATCH($E$33,FixedAssets[Asset ID])),IF(AND((_xlfn.XMATCH(BW$8,$AH$8:$CC$8))-_xlfn.XMATCH($C54,$C$35:$C$82)+1&lt;=_xlpm.DepreciationMonths,$C54&lt;=BW$8),$E54/_xlpm.DepreciationMonths,0))</f>
        <v>0</v>
      </c>
      <c r="BX54" s="507" cm="1">
        <f t="array" ref="BX54">_xlfn.LET(_xlpm.DepreciationMonths,INDEX(FixedAssets[Depreciation
/ Amortization Months],_xlfn.XMATCH($E$33,FixedAssets[Asset ID])),IF(AND((_xlfn.XMATCH(BX$8,$AH$8:$CC$8))-_xlfn.XMATCH($C54,$C$35:$C$82)+1&lt;=_xlpm.DepreciationMonths,$C54&lt;=BX$8),$E54/_xlpm.DepreciationMonths,0))</f>
        <v>0</v>
      </c>
      <c r="BY54" s="507" cm="1">
        <f t="array" ref="BY54">_xlfn.LET(_xlpm.DepreciationMonths,INDEX(FixedAssets[Depreciation
/ Amortization Months],_xlfn.XMATCH($E$33,FixedAssets[Asset ID])),IF(AND((_xlfn.XMATCH(BY$8,$AH$8:$CC$8))-_xlfn.XMATCH($C54,$C$35:$C$82)+1&lt;=_xlpm.DepreciationMonths,$C54&lt;=BY$8),$E54/_xlpm.DepreciationMonths,0))</f>
        <v>0</v>
      </c>
      <c r="BZ54" s="507" cm="1">
        <f t="array" ref="BZ54">_xlfn.LET(_xlpm.DepreciationMonths,INDEX(FixedAssets[Depreciation
/ Amortization Months],_xlfn.XMATCH($E$33,FixedAssets[Asset ID])),IF(AND((_xlfn.XMATCH(BZ$8,$AH$8:$CC$8))-_xlfn.XMATCH($C54,$C$35:$C$82)+1&lt;=_xlpm.DepreciationMonths,$C54&lt;=BZ$8),$E54/_xlpm.DepreciationMonths,0))</f>
        <v>0</v>
      </c>
      <c r="CA54" s="507" cm="1">
        <f t="array" ref="CA54">_xlfn.LET(_xlpm.DepreciationMonths,INDEX(FixedAssets[Depreciation
/ Amortization Months],_xlfn.XMATCH($E$33,FixedAssets[Asset ID])),IF(AND((_xlfn.XMATCH(CA$8,$AH$8:$CC$8))-_xlfn.XMATCH($C54,$C$35:$C$82)+1&lt;=_xlpm.DepreciationMonths,$C54&lt;=CA$8),$E54/_xlpm.DepreciationMonths,0))</f>
        <v>0</v>
      </c>
      <c r="CB54" s="507" cm="1">
        <f t="array" ref="CB54">_xlfn.LET(_xlpm.DepreciationMonths,INDEX(FixedAssets[Depreciation
/ Amortization Months],_xlfn.XMATCH($E$33,FixedAssets[Asset ID])),IF(AND((_xlfn.XMATCH(CB$8,$AH$8:$CC$8))-_xlfn.XMATCH($C54,$C$35:$C$82)+1&lt;=_xlpm.DepreciationMonths,$C54&lt;=CB$8),$E54/_xlpm.DepreciationMonths,0))</f>
        <v>0</v>
      </c>
      <c r="CC54" s="507" cm="1">
        <f t="array" ref="CC54">_xlfn.LET(_xlpm.DepreciationMonths,INDEX(FixedAssets[Depreciation
/ Amortization Months],_xlfn.XMATCH($E$33,FixedAssets[Asset ID])),IF(AND((_xlfn.XMATCH(CC$8,$AH$8:$CC$8))-_xlfn.XMATCH($C54,$C$35:$C$82)+1&lt;=_xlpm.DepreciationMonths,$C54&lt;=CC$8),$E54/_xlpm.DepreciationMonths,0))</f>
        <v>0</v>
      </c>
    </row>
    <row r="55" spans="3:81" hidden="1" outlineLevel="2">
      <c r="C55" s="664">
        <f t="shared" si="91"/>
        <v>45565</v>
      </c>
      <c r="D55" s="508"/>
      <c r="E55" s="508" cm="1">
        <f t="array" ref="E55">SUMPRODUCT(($AH$26:$CC$31)*($AH$5:$CC$5=$C55)*($E$26:$E$31=E$33))-SUMPRODUCT(($AH$26:$CC$31)*($AH$5:$CC$5=EOMONTH($C55,-1))*($E$26:$E$31=E$33))</f>
        <v>0</v>
      </c>
      <c r="F55" s="508"/>
      <c r="G55" s="508"/>
      <c r="H55" s="508"/>
      <c r="I55" s="508"/>
      <c r="J55" s="504">
        <f t="shared" si="88"/>
        <v>0</v>
      </c>
      <c r="K55" s="504">
        <f t="shared" si="93"/>
        <v>0</v>
      </c>
      <c r="L55" s="504">
        <f t="shared" si="93"/>
        <v>0</v>
      </c>
      <c r="M55" s="504">
        <f t="shared" si="93"/>
        <v>0</v>
      </c>
      <c r="N55" s="504"/>
      <c r="O55" s="504"/>
      <c r="P55" s="504">
        <f t="shared" si="94"/>
        <v>0</v>
      </c>
      <c r="Q55" s="504">
        <f t="shared" si="94"/>
        <v>0</v>
      </c>
      <c r="R55" s="504">
        <f t="shared" si="94"/>
        <v>0</v>
      </c>
      <c r="S55" s="504">
        <f t="shared" si="94"/>
        <v>0</v>
      </c>
      <c r="T55" s="504">
        <f t="shared" si="94"/>
        <v>0</v>
      </c>
      <c r="U55" s="504">
        <f t="shared" si="94"/>
        <v>0</v>
      </c>
      <c r="V55" s="504">
        <f t="shared" si="94"/>
        <v>0</v>
      </c>
      <c r="W55" s="504">
        <f t="shared" si="94"/>
        <v>0</v>
      </c>
      <c r="X55" s="504">
        <f t="shared" si="94"/>
        <v>0</v>
      </c>
      <c r="Y55" s="504">
        <f t="shared" si="94"/>
        <v>0</v>
      </c>
      <c r="Z55" s="504">
        <f t="shared" si="94"/>
        <v>0</v>
      </c>
      <c r="AA55" s="504">
        <f t="shared" si="94"/>
        <v>0</v>
      </c>
      <c r="AB55" s="504">
        <f t="shared" si="94"/>
        <v>0</v>
      </c>
      <c r="AC55" s="504">
        <f t="shared" si="94"/>
        <v>0</v>
      </c>
      <c r="AD55" s="504">
        <f t="shared" si="94"/>
        <v>0</v>
      </c>
      <c r="AE55" s="504">
        <f t="shared" si="94"/>
        <v>0</v>
      </c>
      <c r="AF55" s="508"/>
      <c r="AG55" s="508"/>
      <c r="AH55" s="507" cm="1">
        <f t="array" ref="AH55">_xlfn.LET(_xlpm.DepreciationMonths,INDEX(FixedAssets[Depreciation
/ Amortization Months],_xlfn.XMATCH($E$33,FixedAssets[Asset ID])),IF(AND((_xlfn.XMATCH(AH$8,$AH$8:$CC$8))-_xlfn.XMATCH($C55,$C$35:$C$82)+1&lt;=_xlpm.DepreciationMonths,$C55&lt;=AH$8),$E55/_xlpm.DepreciationMonths,0))</f>
        <v>0</v>
      </c>
      <c r="AI55" s="507" cm="1">
        <f t="array" ref="AI55">_xlfn.LET(_xlpm.DepreciationMonths,INDEX(FixedAssets[Depreciation
/ Amortization Months],_xlfn.XMATCH($E$33,FixedAssets[Asset ID])),IF(AND((_xlfn.XMATCH(AI$8,$AH$8:$CC$8))-_xlfn.XMATCH($C55,$C$35:$C$82)+1&lt;=_xlpm.DepreciationMonths,$C55&lt;=AI$8),$E55/_xlpm.DepreciationMonths,0))</f>
        <v>0</v>
      </c>
      <c r="AJ55" s="507" cm="1">
        <f t="array" ref="AJ55">_xlfn.LET(_xlpm.DepreciationMonths,INDEX(FixedAssets[Depreciation
/ Amortization Months],_xlfn.XMATCH($E$33,FixedAssets[Asset ID])),IF(AND((_xlfn.XMATCH(AJ$8,$AH$8:$CC$8))-_xlfn.XMATCH($C55,$C$35:$C$82)+1&lt;=_xlpm.DepreciationMonths,$C55&lt;=AJ$8),$E55/_xlpm.DepreciationMonths,0))</f>
        <v>0</v>
      </c>
      <c r="AK55" s="507" cm="1">
        <f t="array" ref="AK55">_xlfn.LET(_xlpm.DepreciationMonths,INDEX(FixedAssets[Depreciation
/ Amortization Months],_xlfn.XMATCH($E$33,FixedAssets[Asset ID])),IF(AND((_xlfn.XMATCH(AK$8,$AH$8:$CC$8))-_xlfn.XMATCH($C55,$C$35:$C$82)+1&lt;=_xlpm.DepreciationMonths,$C55&lt;=AK$8),$E55/_xlpm.DepreciationMonths,0))</f>
        <v>0</v>
      </c>
      <c r="AL55" s="507" cm="1">
        <f t="array" ref="AL55">_xlfn.LET(_xlpm.DepreciationMonths,INDEX(FixedAssets[Depreciation
/ Amortization Months],_xlfn.XMATCH($E$33,FixedAssets[Asset ID])),IF(AND((_xlfn.XMATCH(AL$8,$AH$8:$CC$8))-_xlfn.XMATCH($C55,$C$35:$C$82)+1&lt;=_xlpm.DepreciationMonths,$C55&lt;=AL$8),$E55/_xlpm.DepreciationMonths,0))</f>
        <v>0</v>
      </c>
      <c r="AM55" s="507" cm="1">
        <f t="array" ref="AM55">_xlfn.LET(_xlpm.DepreciationMonths,INDEX(FixedAssets[Depreciation
/ Amortization Months],_xlfn.XMATCH($E$33,FixedAssets[Asset ID])),IF(AND((_xlfn.XMATCH(AM$8,$AH$8:$CC$8))-_xlfn.XMATCH($C55,$C$35:$C$82)+1&lt;=_xlpm.DepreciationMonths,$C55&lt;=AM$8),$E55/_xlpm.DepreciationMonths,0))</f>
        <v>0</v>
      </c>
      <c r="AN55" s="507" cm="1">
        <f t="array" ref="AN55">_xlfn.LET(_xlpm.DepreciationMonths,INDEX(FixedAssets[Depreciation
/ Amortization Months],_xlfn.XMATCH($E$33,FixedAssets[Asset ID])),IF(AND((_xlfn.XMATCH(AN$8,$AH$8:$CC$8))-_xlfn.XMATCH($C55,$C$35:$C$82)+1&lt;=_xlpm.DepreciationMonths,$C55&lt;=AN$8),$E55/_xlpm.DepreciationMonths,0))</f>
        <v>0</v>
      </c>
      <c r="AO55" s="507" cm="1">
        <f t="array" ref="AO55">_xlfn.LET(_xlpm.DepreciationMonths,INDEX(FixedAssets[Depreciation
/ Amortization Months],_xlfn.XMATCH($E$33,FixedAssets[Asset ID])),IF(AND((_xlfn.XMATCH(AO$8,$AH$8:$CC$8))-_xlfn.XMATCH($C55,$C$35:$C$82)+1&lt;=_xlpm.DepreciationMonths,$C55&lt;=AO$8),$E55/_xlpm.DepreciationMonths,0))</f>
        <v>0</v>
      </c>
      <c r="AP55" s="507" cm="1">
        <f t="array" ref="AP55">_xlfn.LET(_xlpm.DepreciationMonths,INDEX(FixedAssets[Depreciation
/ Amortization Months],_xlfn.XMATCH($E$33,FixedAssets[Asset ID])),IF(AND((_xlfn.XMATCH(AP$8,$AH$8:$CC$8))-_xlfn.XMATCH($C55,$C$35:$C$82)+1&lt;=_xlpm.DepreciationMonths,$C55&lt;=AP$8),$E55/_xlpm.DepreciationMonths,0))</f>
        <v>0</v>
      </c>
      <c r="AQ55" s="507" cm="1">
        <f t="array" ref="AQ55">_xlfn.LET(_xlpm.DepreciationMonths,INDEX(FixedAssets[Depreciation
/ Amortization Months],_xlfn.XMATCH($E$33,FixedAssets[Asset ID])),IF(AND((_xlfn.XMATCH(AQ$8,$AH$8:$CC$8))-_xlfn.XMATCH($C55,$C$35:$C$82)+1&lt;=_xlpm.DepreciationMonths,$C55&lt;=AQ$8),$E55/_xlpm.DepreciationMonths,0))</f>
        <v>0</v>
      </c>
      <c r="AR55" s="507" cm="1">
        <f t="array" ref="AR55">_xlfn.LET(_xlpm.DepreciationMonths,INDEX(FixedAssets[Depreciation
/ Amortization Months],_xlfn.XMATCH($E$33,FixedAssets[Asset ID])),IF(AND((_xlfn.XMATCH(AR$8,$AH$8:$CC$8))-_xlfn.XMATCH($C55,$C$35:$C$82)+1&lt;=_xlpm.DepreciationMonths,$C55&lt;=AR$8),$E55/_xlpm.DepreciationMonths,0))</f>
        <v>0</v>
      </c>
      <c r="AS55" s="507" cm="1">
        <f t="array" ref="AS55">_xlfn.LET(_xlpm.DepreciationMonths,INDEX(FixedAssets[Depreciation
/ Amortization Months],_xlfn.XMATCH($E$33,FixedAssets[Asset ID])),IF(AND((_xlfn.XMATCH(AS$8,$AH$8:$CC$8))-_xlfn.XMATCH($C55,$C$35:$C$82)+1&lt;=_xlpm.DepreciationMonths,$C55&lt;=AS$8),$E55/_xlpm.DepreciationMonths,0))</f>
        <v>0</v>
      </c>
      <c r="AT55" s="507" cm="1">
        <f t="array" ref="AT55">_xlfn.LET(_xlpm.DepreciationMonths,INDEX(FixedAssets[Depreciation
/ Amortization Months],_xlfn.XMATCH($E$33,FixedAssets[Asset ID])),IF(AND((_xlfn.XMATCH(AT$8,$AH$8:$CC$8))-_xlfn.XMATCH($C55,$C$35:$C$82)+1&lt;=_xlpm.DepreciationMonths,$C55&lt;=AT$8),$E55/_xlpm.DepreciationMonths,0))</f>
        <v>0</v>
      </c>
      <c r="AU55" s="507" cm="1">
        <f t="array" ref="AU55">_xlfn.LET(_xlpm.DepreciationMonths,INDEX(FixedAssets[Depreciation
/ Amortization Months],_xlfn.XMATCH($E$33,FixedAssets[Asset ID])),IF(AND((_xlfn.XMATCH(AU$8,$AH$8:$CC$8))-_xlfn.XMATCH($C55,$C$35:$C$82)+1&lt;=_xlpm.DepreciationMonths,$C55&lt;=AU$8),$E55/_xlpm.DepreciationMonths,0))</f>
        <v>0</v>
      </c>
      <c r="AV55" s="507" cm="1">
        <f t="array" ref="AV55">_xlfn.LET(_xlpm.DepreciationMonths,INDEX(FixedAssets[Depreciation
/ Amortization Months],_xlfn.XMATCH($E$33,FixedAssets[Asset ID])),IF(AND((_xlfn.XMATCH(AV$8,$AH$8:$CC$8))-_xlfn.XMATCH($C55,$C$35:$C$82)+1&lt;=_xlpm.DepreciationMonths,$C55&lt;=AV$8),$E55/_xlpm.DepreciationMonths,0))</f>
        <v>0</v>
      </c>
      <c r="AW55" s="507" cm="1">
        <f t="array" ref="AW55">_xlfn.LET(_xlpm.DepreciationMonths,INDEX(FixedAssets[Depreciation
/ Amortization Months],_xlfn.XMATCH($E$33,FixedAssets[Asset ID])),IF(AND((_xlfn.XMATCH(AW$8,$AH$8:$CC$8))-_xlfn.XMATCH($C55,$C$35:$C$82)+1&lt;=_xlpm.DepreciationMonths,$C55&lt;=AW$8),$E55/_xlpm.DepreciationMonths,0))</f>
        <v>0</v>
      </c>
      <c r="AX55" s="507" cm="1">
        <f t="array" ref="AX55">_xlfn.LET(_xlpm.DepreciationMonths,INDEX(FixedAssets[Depreciation
/ Amortization Months],_xlfn.XMATCH($E$33,FixedAssets[Asset ID])),IF(AND((_xlfn.XMATCH(AX$8,$AH$8:$CC$8))-_xlfn.XMATCH($C55,$C$35:$C$82)+1&lt;=_xlpm.DepreciationMonths,$C55&lt;=AX$8),$E55/_xlpm.DepreciationMonths,0))</f>
        <v>0</v>
      </c>
      <c r="AY55" s="507" cm="1">
        <f t="array" ref="AY55">_xlfn.LET(_xlpm.DepreciationMonths,INDEX(FixedAssets[Depreciation
/ Amortization Months],_xlfn.XMATCH($E$33,FixedAssets[Asset ID])),IF(AND((_xlfn.XMATCH(AY$8,$AH$8:$CC$8))-_xlfn.XMATCH($C55,$C$35:$C$82)+1&lt;=_xlpm.DepreciationMonths,$C55&lt;=AY$8),$E55/_xlpm.DepreciationMonths,0))</f>
        <v>0</v>
      </c>
      <c r="AZ55" s="507" cm="1">
        <f t="array" ref="AZ55">_xlfn.LET(_xlpm.DepreciationMonths,INDEX(FixedAssets[Depreciation
/ Amortization Months],_xlfn.XMATCH($E$33,FixedAssets[Asset ID])),IF(AND((_xlfn.XMATCH(AZ$8,$AH$8:$CC$8))-_xlfn.XMATCH($C55,$C$35:$C$82)+1&lt;=_xlpm.DepreciationMonths,$C55&lt;=AZ$8),$E55/_xlpm.DepreciationMonths,0))</f>
        <v>0</v>
      </c>
      <c r="BA55" s="507" cm="1">
        <f t="array" ref="BA55">_xlfn.LET(_xlpm.DepreciationMonths,INDEX(FixedAssets[Depreciation
/ Amortization Months],_xlfn.XMATCH($E$33,FixedAssets[Asset ID])),IF(AND((_xlfn.XMATCH(BA$8,$AH$8:$CC$8))-_xlfn.XMATCH($C55,$C$35:$C$82)+1&lt;=_xlpm.DepreciationMonths,$C55&lt;=BA$8),$E55/_xlpm.DepreciationMonths,0))</f>
        <v>0</v>
      </c>
      <c r="BB55" s="507" cm="1">
        <f t="array" ref="BB55">_xlfn.LET(_xlpm.DepreciationMonths,INDEX(FixedAssets[Depreciation
/ Amortization Months],_xlfn.XMATCH($E$33,FixedAssets[Asset ID])),IF(AND((_xlfn.XMATCH(BB$8,$AH$8:$CC$8))-_xlfn.XMATCH($C55,$C$35:$C$82)+1&lt;=_xlpm.DepreciationMonths,$C55&lt;=BB$8),$E55/_xlpm.DepreciationMonths,0))</f>
        <v>0</v>
      </c>
      <c r="BC55" s="507" cm="1">
        <f t="array" ref="BC55">_xlfn.LET(_xlpm.DepreciationMonths,INDEX(FixedAssets[Depreciation
/ Amortization Months],_xlfn.XMATCH($E$33,FixedAssets[Asset ID])),IF(AND((_xlfn.XMATCH(BC$8,$AH$8:$CC$8))-_xlfn.XMATCH($C55,$C$35:$C$82)+1&lt;=_xlpm.DepreciationMonths,$C55&lt;=BC$8),$E55/_xlpm.DepreciationMonths,0))</f>
        <v>0</v>
      </c>
      <c r="BD55" s="507" cm="1">
        <f t="array" ref="BD55">_xlfn.LET(_xlpm.DepreciationMonths,INDEX(FixedAssets[Depreciation
/ Amortization Months],_xlfn.XMATCH($E$33,FixedAssets[Asset ID])),IF(AND((_xlfn.XMATCH(BD$8,$AH$8:$CC$8))-_xlfn.XMATCH($C55,$C$35:$C$82)+1&lt;=_xlpm.DepreciationMonths,$C55&lt;=BD$8),$E55/_xlpm.DepreciationMonths,0))</f>
        <v>0</v>
      </c>
      <c r="BE55" s="507" cm="1">
        <f t="array" ref="BE55">_xlfn.LET(_xlpm.DepreciationMonths,INDEX(FixedAssets[Depreciation
/ Amortization Months],_xlfn.XMATCH($E$33,FixedAssets[Asset ID])),IF(AND((_xlfn.XMATCH(BE$8,$AH$8:$CC$8))-_xlfn.XMATCH($C55,$C$35:$C$82)+1&lt;=_xlpm.DepreciationMonths,$C55&lt;=BE$8),$E55/_xlpm.DepreciationMonths,0))</f>
        <v>0</v>
      </c>
      <c r="BF55" s="507" cm="1">
        <f t="array" ref="BF55">_xlfn.LET(_xlpm.DepreciationMonths,INDEX(FixedAssets[Depreciation
/ Amortization Months],_xlfn.XMATCH($E$33,FixedAssets[Asset ID])),IF(AND((_xlfn.XMATCH(BF$8,$AH$8:$CC$8))-_xlfn.XMATCH($C55,$C$35:$C$82)+1&lt;=_xlpm.DepreciationMonths,$C55&lt;=BF$8),$E55/_xlpm.DepreciationMonths,0))</f>
        <v>0</v>
      </c>
      <c r="BG55" s="507" cm="1">
        <f t="array" ref="BG55">_xlfn.LET(_xlpm.DepreciationMonths,INDEX(FixedAssets[Depreciation
/ Amortization Months],_xlfn.XMATCH($E$33,FixedAssets[Asset ID])),IF(AND((_xlfn.XMATCH(BG$8,$AH$8:$CC$8))-_xlfn.XMATCH($C55,$C$35:$C$82)+1&lt;=_xlpm.DepreciationMonths,$C55&lt;=BG$8),$E55/_xlpm.DepreciationMonths,0))</f>
        <v>0</v>
      </c>
      <c r="BH55" s="507" cm="1">
        <f t="array" ref="BH55">_xlfn.LET(_xlpm.DepreciationMonths,INDEX(FixedAssets[Depreciation
/ Amortization Months],_xlfn.XMATCH($E$33,FixedAssets[Asset ID])),IF(AND((_xlfn.XMATCH(BH$8,$AH$8:$CC$8))-_xlfn.XMATCH($C55,$C$35:$C$82)+1&lt;=_xlpm.DepreciationMonths,$C55&lt;=BH$8),$E55/_xlpm.DepreciationMonths,0))</f>
        <v>0</v>
      </c>
      <c r="BI55" s="507" cm="1">
        <f t="array" ref="BI55">_xlfn.LET(_xlpm.DepreciationMonths,INDEX(FixedAssets[Depreciation
/ Amortization Months],_xlfn.XMATCH($E$33,FixedAssets[Asset ID])),IF(AND((_xlfn.XMATCH(BI$8,$AH$8:$CC$8))-_xlfn.XMATCH($C55,$C$35:$C$82)+1&lt;=_xlpm.DepreciationMonths,$C55&lt;=BI$8),$E55/_xlpm.DepreciationMonths,0))</f>
        <v>0</v>
      </c>
      <c r="BJ55" s="507" cm="1">
        <f t="array" ref="BJ55">_xlfn.LET(_xlpm.DepreciationMonths,INDEX(FixedAssets[Depreciation
/ Amortization Months],_xlfn.XMATCH($E$33,FixedAssets[Asset ID])),IF(AND((_xlfn.XMATCH(BJ$8,$AH$8:$CC$8))-_xlfn.XMATCH($C55,$C$35:$C$82)+1&lt;=_xlpm.DepreciationMonths,$C55&lt;=BJ$8),$E55/_xlpm.DepreciationMonths,0))</f>
        <v>0</v>
      </c>
      <c r="BK55" s="507" cm="1">
        <f t="array" ref="BK55">_xlfn.LET(_xlpm.DepreciationMonths,INDEX(FixedAssets[Depreciation
/ Amortization Months],_xlfn.XMATCH($E$33,FixedAssets[Asset ID])),IF(AND((_xlfn.XMATCH(BK$8,$AH$8:$CC$8))-_xlfn.XMATCH($C55,$C$35:$C$82)+1&lt;=_xlpm.DepreciationMonths,$C55&lt;=BK$8),$E55/_xlpm.DepreciationMonths,0))</f>
        <v>0</v>
      </c>
      <c r="BL55" s="507" cm="1">
        <f t="array" ref="BL55">_xlfn.LET(_xlpm.DepreciationMonths,INDEX(FixedAssets[Depreciation
/ Amortization Months],_xlfn.XMATCH($E$33,FixedAssets[Asset ID])),IF(AND((_xlfn.XMATCH(BL$8,$AH$8:$CC$8))-_xlfn.XMATCH($C55,$C$35:$C$82)+1&lt;=_xlpm.DepreciationMonths,$C55&lt;=BL$8),$E55/_xlpm.DepreciationMonths,0))</f>
        <v>0</v>
      </c>
      <c r="BM55" s="507" cm="1">
        <f t="array" ref="BM55">_xlfn.LET(_xlpm.DepreciationMonths,INDEX(FixedAssets[Depreciation
/ Amortization Months],_xlfn.XMATCH($E$33,FixedAssets[Asset ID])),IF(AND((_xlfn.XMATCH(BM$8,$AH$8:$CC$8))-_xlfn.XMATCH($C55,$C$35:$C$82)+1&lt;=_xlpm.DepreciationMonths,$C55&lt;=BM$8),$E55/_xlpm.DepreciationMonths,0))</f>
        <v>0</v>
      </c>
      <c r="BN55" s="507" cm="1">
        <f t="array" ref="BN55">_xlfn.LET(_xlpm.DepreciationMonths,INDEX(FixedAssets[Depreciation
/ Amortization Months],_xlfn.XMATCH($E$33,FixedAssets[Asset ID])),IF(AND((_xlfn.XMATCH(BN$8,$AH$8:$CC$8))-_xlfn.XMATCH($C55,$C$35:$C$82)+1&lt;=_xlpm.DepreciationMonths,$C55&lt;=BN$8),$E55/_xlpm.DepreciationMonths,0))</f>
        <v>0</v>
      </c>
      <c r="BO55" s="507" cm="1">
        <f t="array" ref="BO55">_xlfn.LET(_xlpm.DepreciationMonths,INDEX(FixedAssets[Depreciation
/ Amortization Months],_xlfn.XMATCH($E$33,FixedAssets[Asset ID])),IF(AND((_xlfn.XMATCH(BO$8,$AH$8:$CC$8))-_xlfn.XMATCH($C55,$C$35:$C$82)+1&lt;=_xlpm.DepreciationMonths,$C55&lt;=BO$8),$E55/_xlpm.DepreciationMonths,0))</f>
        <v>0</v>
      </c>
      <c r="BP55" s="507" cm="1">
        <f t="array" ref="BP55">_xlfn.LET(_xlpm.DepreciationMonths,INDEX(FixedAssets[Depreciation
/ Amortization Months],_xlfn.XMATCH($E$33,FixedAssets[Asset ID])),IF(AND((_xlfn.XMATCH(BP$8,$AH$8:$CC$8))-_xlfn.XMATCH($C55,$C$35:$C$82)+1&lt;=_xlpm.DepreciationMonths,$C55&lt;=BP$8),$E55/_xlpm.DepreciationMonths,0))</f>
        <v>0</v>
      </c>
      <c r="BQ55" s="507" cm="1">
        <f t="array" ref="BQ55">_xlfn.LET(_xlpm.DepreciationMonths,INDEX(FixedAssets[Depreciation
/ Amortization Months],_xlfn.XMATCH($E$33,FixedAssets[Asset ID])),IF(AND((_xlfn.XMATCH(BQ$8,$AH$8:$CC$8))-_xlfn.XMATCH($C55,$C$35:$C$82)+1&lt;=_xlpm.DepreciationMonths,$C55&lt;=BQ$8),$E55/_xlpm.DepreciationMonths,0))</f>
        <v>0</v>
      </c>
      <c r="BR55" s="507" cm="1">
        <f t="array" ref="BR55">_xlfn.LET(_xlpm.DepreciationMonths,INDEX(FixedAssets[Depreciation
/ Amortization Months],_xlfn.XMATCH($E$33,FixedAssets[Asset ID])),IF(AND((_xlfn.XMATCH(BR$8,$AH$8:$CC$8))-_xlfn.XMATCH($C55,$C$35:$C$82)+1&lt;=_xlpm.DepreciationMonths,$C55&lt;=BR$8),$E55/_xlpm.DepreciationMonths,0))</f>
        <v>0</v>
      </c>
      <c r="BS55" s="507" cm="1">
        <f t="array" ref="BS55">_xlfn.LET(_xlpm.DepreciationMonths,INDEX(FixedAssets[Depreciation
/ Amortization Months],_xlfn.XMATCH($E$33,FixedAssets[Asset ID])),IF(AND((_xlfn.XMATCH(BS$8,$AH$8:$CC$8))-_xlfn.XMATCH($C55,$C$35:$C$82)+1&lt;=_xlpm.DepreciationMonths,$C55&lt;=BS$8),$E55/_xlpm.DepreciationMonths,0))</f>
        <v>0</v>
      </c>
      <c r="BT55" s="507" cm="1">
        <f t="array" ref="BT55">_xlfn.LET(_xlpm.DepreciationMonths,INDEX(FixedAssets[Depreciation
/ Amortization Months],_xlfn.XMATCH($E$33,FixedAssets[Asset ID])),IF(AND((_xlfn.XMATCH(BT$8,$AH$8:$CC$8))-_xlfn.XMATCH($C55,$C$35:$C$82)+1&lt;=_xlpm.DepreciationMonths,$C55&lt;=BT$8),$E55/_xlpm.DepreciationMonths,0))</f>
        <v>0</v>
      </c>
      <c r="BU55" s="507" cm="1">
        <f t="array" ref="BU55">_xlfn.LET(_xlpm.DepreciationMonths,INDEX(FixedAssets[Depreciation
/ Amortization Months],_xlfn.XMATCH($E$33,FixedAssets[Asset ID])),IF(AND((_xlfn.XMATCH(BU$8,$AH$8:$CC$8))-_xlfn.XMATCH($C55,$C$35:$C$82)+1&lt;=_xlpm.DepreciationMonths,$C55&lt;=BU$8),$E55/_xlpm.DepreciationMonths,0))</f>
        <v>0</v>
      </c>
      <c r="BV55" s="507" cm="1">
        <f t="array" ref="BV55">_xlfn.LET(_xlpm.DepreciationMonths,INDEX(FixedAssets[Depreciation
/ Amortization Months],_xlfn.XMATCH($E$33,FixedAssets[Asset ID])),IF(AND((_xlfn.XMATCH(BV$8,$AH$8:$CC$8))-_xlfn.XMATCH($C55,$C$35:$C$82)+1&lt;=_xlpm.DepreciationMonths,$C55&lt;=BV$8),$E55/_xlpm.DepreciationMonths,0))</f>
        <v>0</v>
      </c>
      <c r="BW55" s="507" cm="1">
        <f t="array" ref="BW55">_xlfn.LET(_xlpm.DepreciationMonths,INDEX(FixedAssets[Depreciation
/ Amortization Months],_xlfn.XMATCH($E$33,FixedAssets[Asset ID])),IF(AND((_xlfn.XMATCH(BW$8,$AH$8:$CC$8))-_xlfn.XMATCH($C55,$C$35:$C$82)+1&lt;=_xlpm.DepreciationMonths,$C55&lt;=BW$8),$E55/_xlpm.DepreciationMonths,0))</f>
        <v>0</v>
      </c>
      <c r="BX55" s="507" cm="1">
        <f t="array" ref="BX55">_xlfn.LET(_xlpm.DepreciationMonths,INDEX(FixedAssets[Depreciation
/ Amortization Months],_xlfn.XMATCH($E$33,FixedAssets[Asset ID])),IF(AND((_xlfn.XMATCH(BX$8,$AH$8:$CC$8))-_xlfn.XMATCH($C55,$C$35:$C$82)+1&lt;=_xlpm.DepreciationMonths,$C55&lt;=BX$8),$E55/_xlpm.DepreciationMonths,0))</f>
        <v>0</v>
      </c>
      <c r="BY55" s="507" cm="1">
        <f t="array" ref="BY55">_xlfn.LET(_xlpm.DepreciationMonths,INDEX(FixedAssets[Depreciation
/ Amortization Months],_xlfn.XMATCH($E$33,FixedAssets[Asset ID])),IF(AND((_xlfn.XMATCH(BY$8,$AH$8:$CC$8))-_xlfn.XMATCH($C55,$C$35:$C$82)+1&lt;=_xlpm.DepreciationMonths,$C55&lt;=BY$8),$E55/_xlpm.DepreciationMonths,0))</f>
        <v>0</v>
      </c>
      <c r="BZ55" s="507" cm="1">
        <f t="array" ref="BZ55">_xlfn.LET(_xlpm.DepreciationMonths,INDEX(FixedAssets[Depreciation
/ Amortization Months],_xlfn.XMATCH($E$33,FixedAssets[Asset ID])),IF(AND((_xlfn.XMATCH(BZ$8,$AH$8:$CC$8))-_xlfn.XMATCH($C55,$C$35:$C$82)+1&lt;=_xlpm.DepreciationMonths,$C55&lt;=BZ$8),$E55/_xlpm.DepreciationMonths,0))</f>
        <v>0</v>
      </c>
      <c r="CA55" s="507" cm="1">
        <f t="array" ref="CA55">_xlfn.LET(_xlpm.DepreciationMonths,INDEX(FixedAssets[Depreciation
/ Amortization Months],_xlfn.XMATCH($E$33,FixedAssets[Asset ID])),IF(AND((_xlfn.XMATCH(CA$8,$AH$8:$CC$8))-_xlfn.XMATCH($C55,$C$35:$C$82)+1&lt;=_xlpm.DepreciationMonths,$C55&lt;=CA$8),$E55/_xlpm.DepreciationMonths,0))</f>
        <v>0</v>
      </c>
      <c r="CB55" s="507" cm="1">
        <f t="array" ref="CB55">_xlfn.LET(_xlpm.DepreciationMonths,INDEX(FixedAssets[Depreciation
/ Amortization Months],_xlfn.XMATCH($E$33,FixedAssets[Asset ID])),IF(AND((_xlfn.XMATCH(CB$8,$AH$8:$CC$8))-_xlfn.XMATCH($C55,$C$35:$C$82)+1&lt;=_xlpm.DepreciationMonths,$C55&lt;=CB$8),$E55/_xlpm.DepreciationMonths,0))</f>
        <v>0</v>
      </c>
      <c r="CC55" s="507" cm="1">
        <f t="array" ref="CC55">_xlfn.LET(_xlpm.DepreciationMonths,INDEX(FixedAssets[Depreciation
/ Amortization Months],_xlfn.XMATCH($E$33,FixedAssets[Asset ID])),IF(AND((_xlfn.XMATCH(CC$8,$AH$8:$CC$8))-_xlfn.XMATCH($C55,$C$35:$C$82)+1&lt;=_xlpm.DepreciationMonths,$C55&lt;=CC$8),$E55/_xlpm.DepreciationMonths,0))</f>
        <v>0</v>
      </c>
    </row>
    <row r="56" spans="3:81" hidden="1" outlineLevel="2">
      <c r="C56" s="664">
        <f t="shared" si="91"/>
        <v>45596</v>
      </c>
      <c r="D56" s="508"/>
      <c r="E56" s="508" cm="1">
        <f t="array" ref="E56">SUMPRODUCT(($AH$26:$CC$31)*($AH$5:$CC$5=$C56)*($E$26:$E$31=E$33))-SUMPRODUCT(($AH$26:$CC$31)*($AH$5:$CC$5=EOMONTH($C56,-1))*($E$26:$E$31=E$33))</f>
        <v>0</v>
      </c>
      <c r="F56" s="508"/>
      <c r="G56" s="508"/>
      <c r="H56" s="508"/>
      <c r="I56" s="508"/>
      <c r="J56" s="504">
        <f t="shared" si="88"/>
        <v>0</v>
      </c>
      <c r="K56" s="504">
        <f t="shared" si="93"/>
        <v>0</v>
      </c>
      <c r="L56" s="504">
        <f t="shared" si="93"/>
        <v>0</v>
      </c>
      <c r="M56" s="504">
        <f t="shared" si="93"/>
        <v>0</v>
      </c>
      <c r="N56" s="504"/>
      <c r="O56" s="504"/>
      <c r="P56" s="504">
        <f t="shared" si="94"/>
        <v>0</v>
      </c>
      <c r="Q56" s="504">
        <f t="shared" si="94"/>
        <v>0</v>
      </c>
      <c r="R56" s="504">
        <f t="shared" si="94"/>
        <v>0</v>
      </c>
      <c r="S56" s="504">
        <f t="shared" si="94"/>
        <v>0</v>
      </c>
      <c r="T56" s="504">
        <f t="shared" si="94"/>
        <v>0</v>
      </c>
      <c r="U56" s="504">
        <f t="shared" si="94"/>
        <v>0</v>
      </c>
      <c r="V56" s="504">
        <f t="shared" si="94"/>
        <v>0</v>
      </c>
      <c r="W56" s="504">
        <f t="shared" si="94"/>
        <v>0</v>
      </c>
      <c r="X56" s="504">
        <f t="shared" si="94"/>
        <v>0</v>
      </c>
      <c r="Y56" s="504">
        <f t="shared" si="94"/>
        <v>0</v>
      </c>
      <c r="Z56" s="504">
        <f t="shared" si="94"/>
        <v>0</v>
      </c>
      <c r="AA56" s="504">
        <f t="shared" si="94"/>
        <v>0</v>
      </c>
      <c r="AB56" s="504">
        <f t="shared" si="94"/>
        <v>0</v>
      </c>
      <c r="AC56" s="504">
        <f t="shared" si="94"/>
        <v>0</v>
      </c>
      <c r="AD56" s="504">
        <f t="shared" si="94"/>
        <v>0</v>
      </c>
      <c r="AE56" s="504">
        <f t="shared" si="94"/>
        <v>0</v>
      </c>
      <c r="AF56" s="508"/>
      <c r="AG56" s="508"/>
      <c r="AH56" s="507" cm="1">
        <f t="array" ref="AH56">_xlfn.LET(_xlpm.DepreciationMonths,INDEX(FixedAssets[Depreciation
/ Amortization Months],_xlfn.XMATCH($E$33,FixedAssets[Asset ID])),IF(AND((_xlfn.XMATCH(AH$8,$AH$8:$CC$8))-_xlfn.XMATCH($C56,$C$35:$C$82)+1&lt;=_xlpm.DepreciationMonths,$C56&lt;=AH$8),$E56/_xlpm.DepreciationMonths,0))</f>
        <v>0</v>
      </c>
      <c r="AI56" s="507" cm="1">
        <f t="array" ref="AI56">_xlfn.LET(_xlpm.DepreciationMonths,INDEX(FixedAssets[Depreciation
/ Amortization Months],_xlfn.XMATCH($E$33,FixedAssets[Asset ID])),IF(AND((_xlfn.XMATCH(AI$8,$AH$8:$CC$8))-_xlfn.XMATCH($C56,$C$35:$C$82)+1&lt;=_xlpm.DepreciationMonths,$C56&lt;=AI$8),$E56/_xlpm.DepreciationMonths,0))</f>
        <v>0</v>
      </c>
      <c r="AJ56" s="507" cm="1">
        <f t="array" ref="AJ56">_xlfn.LET(_xlpm.DepreciationMonths,INDEX(FixedAssets[Depreciation
/ Amortization Months],_xlfn.XMATCH($E$33,FixedAssets[Asset ID])),IF(AND((_xlfn.XMATCH(AJ$8,$AH$8:$CC$8))-_xlfn.XMATCH($C56,$C$35:$C$82)+1&lt;=_xlpm.DepreciationMonths,$C56&lt;=AJ$8),$E56/_xlpm.DepreciationMonths,0))</f>
        <v>0</v>
      </c>
      <c r="AK56" s="507" cm="1">
        <f t="array" ref="AK56">_xlfn.LET(_xlpm.DepreciationMonths,INDEX(FixedAssets[Depreciation
/ Amortization Months],_xlfn.XMATCH($E$33,FixedAssets[Asset ID])),IF(AND((_xlfn.XMATCH(AK$8,$AH$8:$CC$8))-_xlfn.XMATCH($C56,$C$35:$C$82)+1&lt;=_xlpm.DepreciationMonths,$C56&lt;=AK$8),$E56/_xlpm.DepreciationMonths,0))</f>
        <v>0</v>
      </c>
      <c r="AL56" s="507" cm="1">
        <f t="array" ref="AL56">_xlfn.LET(_xlpm.DepreciationMonths,INDEX(FixedAssets[Depreciation
/ Amortization Months],_xlfn.XMATCH($E$33,FixedAssets[Asset ID])),IF(AND((_xlfn.XMATCH(AL$8,$AH$8:$CC$8))-_xlfn.XMATCH($C56,$C$35:$C$82)+1&lt;=_xlpm.DepreciationMonths,$C56&lt;=AL$8),$E56/_xlpm.DepreciationMonths,0))</f>
        <v>0</v>
      </c>
      <c r="AM56" s="507" cm="1">
        <f t="array" ref="AM56">_xlfn.LET(_xlpm.DepreciationMonths,INDEX(FixedAssets[Depreciation
/ Amortization Months],_xlfn.XMATCH($E$33,FixedAssets[Asset ID])),IF(AND((_xlfn.XMATCH(AM$8,$AH$8:$CC$8))-_xlfn.XMATCH($C56,$C$35:$C$82)+1&lt;=_xlpm.DepreciationMonths,$C56&lt;=AM$8),$E56/_xlpm.DepreciationMonths,0))</f>
        <v>0</v>
      </c>
      <c r="AN56" s="507" cm="1">
        <f t="array" ref="AN56">_xlfn.LET(_xlpm.DepreciationMonths,INDEX(FixedAssets[Depreciation
/ Amortization Months],_xlfn.XMATCH($E$33,FixedAssets[Asset ID])),IF(AND((_xlfn.XMATCH(AN$8,$AH$8:$CC$8))-_xlfn.XMATCH($C56,$C$35:$C$82)+1&lt;=_xlpm.DepreciationMonths,$C56&lt;=AN$8),$E56/_xlpm.DepreciationMonths,0))</f>
        <v>0</v>
      </c>
      <c r="AO56" s="507" cm="1">
        <f t="array" ref="AO56">_xlfn.LET(_xlpm.DepreciationMonths,INDEX(FixedAssets[Depreciation
/ Amortization Months],_xlfn.XMATCH($E$33,FixedAssets[Asset ID])),IF(AND((_xlfn.XMATCH(AO$8,$AH$8:$CC$8))-_xlfn.XMATCH($C56,$C$35:$C$82)+1&lt;=_xlpm.DepreciationMonths,$C56&lt;=AO$8),$E56/_xlpm.DepreciationMonths,0))</f>
        <v>0</v>
      </c>
      <c r="AP56" s="507" cm="1">
        <f t="array" ref="AP56">_xlfn.LET(_xlpm.DepreciationMonths,INDEX(FixedAssets[Depreciation
/ Amortization Months],_xlfn.XMATCH($E$33,FixedAssets[Asset ID])),IF(AND((_xlfn.XMATCH(AP$8,$AH$8:$CC$8))-_xlfn.XMATCH($C56,$C$35:$C$82)+1&lt;=_xlpm.DepreciationMonths,$C56&lt;=AP$8),$E56/_xlpm.DepreciationMonths,0))</f>
        <v>0</v>
      </c>
      <c r="AQ56" s="507" cm="1">
        <f t="array" ref="AQ56">_xlfn.LET(_xlpm.DepreciationMonths,INDEX(FixedAssets[Depreciation
/ Amortization Months],_xlfn.XMATCH($E$33,FixedAssets[Asset ID])),IF(AND((_xlfn.XMATCH(AQ$8,$AH$8:$CC$8))-_xlfn.XMATCH($C56,$C$35:$C$82)+1&lt;=_xlpm.DepreciationMonths,$C56&lt;=AQ$8),$E56/_xlpm.DepreciationMonths,0))</f>
        <v>0</v>
      </c>
      <c r="AR56" s="507" cm="1">
        <f t="array" ref="AR56">_xlfn.LET(_xlpm.DepreciationMonths,INDEX(FixedAssets[Depreciation
/ Amortization Months],_xlfn.XMATCH($E$33,FixedAssets[Asset ID])),IF(AND((_xlfn.XMATCH(AR$8,$AH$8:$CC$8))-_xlfn.XMATCH($C56,$C$35:$C$82)+1&lt;=_xlpm.DepreciationMonths,$C56&lt;=AR$8),$E56/_xlpm.DepreciationMonths,0))</f>
        <v>0</v>
      </c>
      <c r="AS56" s="507" cm="1">
        <f t="array" ref="AS56">_xlfn.LET(_xlpm.DepreciationMonths,INDEX(FixedAssets[Depreciation
/ Amortization Months],_xlfn.XMATCH($E$33,FixedAssets[Asset ID])),IF(AND((_xlfn.XMATCH(AS$8,$AH$8:$CC$8))-_xlfn.XMATCH($C56,$C$35:$C$82)+1&lt;=_xlpm.DepreciationMonths,$C56&lt;=AS$8),$E56/_xlpm.DepreciationMonths,0))</f>
        <v>0</v>
      </c>
      <c r="AT56" s="507" cm="1">
        <f t="array" ref="AT56">_xlfn.LET(_xlpm.DepreciationMonths,INDEX(FixedAssets[Depreciation
/ Amortization Months],_xlfn.XMATCH($E$33,FixedAssets[Asset ID])),IF(AND((_xlfn.XMATCH(AT$8,$AH$8:$CC$8))-_xlfn.XMATCH($C56,$C$35:$C$82)+1&lt;=_xlpm.DepreciationMonths,$C56&lt;=AT$8),$E56/_xlpm.DepreciationMonths,0))</f>
        <v>0</v>
      </c>
      <c r="AU56" s="507" cm="1">
        <f t="array" ref="AU56">_xlfn.LET(_xlpm.DepreciationMonths,INDEX(FixedAssets[Depreciation
/ Amortization Months],_xlfn.XMATCH($E$33,FixedAssets[Asset ID])),IF(AND((_xlfn.XMATCH(AU$8,$AH$8:$CC$8))-_xlfn.XMATCH($C56,$C$35:$C$82)+1&lt;=_xlpm.DepreciationMonths,$C56&lt;=AU$8),$E56/_xlpm.DepreciationMonths,0))</f>
        <v>0</v>
      </c>
      <c r="AV56" s="507" cm="1">
        <f t="array" ref="AV56">_xlfn.LET(_xlpm.DepreciationMonths,INDEX(FixedAssets[Depreciation
/ Amortization Months],_xlfn.XMATCH($E$33,FixedAssets[Asset ID])),IF(AND((_xlfn.XMATCH(AV$8,$AH$8:$CC$8))-_xlfn.XMATCH($C56,$C$35:$C$82)+1&lt;=_xlpm.DepreciationMonths,$C56&lt;=AV$8),$E56/_xlpm.DepreciationMonths,0))</f>
        <v>0</v>
      </c>
      <c r="AW56" s="507" cm="1">
        <f t="array" ref="AW56">_xlfn.LET(_xlpm.DepreciationMonths,INDEX(FixedAssets[Depreciation
/ Amortization Months],_xlfn.XMATCH($E$33,FixedAssets[Asset ID])),IF(AND((_xlfn.XMATCH(AW$8,$AH$8:$CC$8))-_xlfn.XMATCH($C56,$C$35:$C$82)+1&lt;=_xlpm.DepreciationMonths,$C56&lt;=AW$8),$E56/_xlpm.DepreciationMonths,0))</f>
        <v>0</v>
      </c>
      <c r="AX56" s="507" cm="1">
        <f t="array" ref="AX56">_xlfn.LET(_xlpm.DepreciationMonths,INDEX(FixedAssets[Depreciation
/ Amortization Months],_xlfn.XMATCH($E$33,FixedAssets[Asset ID])),IF(AND((_xlfn.XMATCH(AX$8,$AH$8:$CC$8))-_xlfn.XMATCH($C56,$C$35:$C$82)+1&lt;=_xlpm.DepreciationMonths,$C56&lt;=AX$8),$E56/_xlpm.DepreciationMonths,0))</f>
        <v>0</v>
      </c>
      <c r="AY56" s="507" cm="1">
        <f t="array" ref="AY56">_xlfn.LET(_xlpm.DepreciationMonths,INDEX(FixedAssets[Depreciation
/ Amortization Months],_xlfn.XMATCH($E$33,FixedAssets[Asset ID])),IF(AND((_xlfn.XMATCH(AY$8,$AH$8:$CC$8))-_xlfn.XMATCH($C56,$C$35:$C$82)+1&lt;=_xlpm.DepreciationMonths,$C56&lt;=AY$8),$E56/_xlpm.DepreciationMonths,0))</f>
        <v>0</v>
      </c>
      <c r="AZ56" s="507" cm="1">
        <f t="array" ref="AZ56">_xlfn.LET(_xlpm.DepreciationMonths,INDEX(FixedAssets[Depreciation
/ Amortization Months],_xlfn.XMATCH($E$33,FixedAssets[Asset ID])),IF(AND((_xlfn.XMATCH(AZ$8,$AH$8:$CC$8))-_xlfn.XMATCH($C56,$C$35:$C$82)+1&lt;=_xlpm.DepreciationMonths,$C56&lt;=AZ$8),$E56/_xlpm.DepreciationMonths,0))</f>
        <v>0</v>
      </c>
      <c r="BA56" s="507" cm="1">
        <f t="array" ref="BA56">_xlfn.LET(_xlpm.DepreciationMonths,INDEX(FixedAssets[Depreciation
/ Amortization Months],_xlfn.XMATCH($E$33,FixedAssets[Asset ID])),IF(AND((_xlfn.XMATCH(BA$8,$AH$8:$CC$8))-_xlfn.XMATCH($C56,$C$35:$C$82)+1&lt;=_xlpm.DepreciationMonths,$C56&lt;=BA$8),$E56/_xlpm.DepreciationMonths,0))</f>
        <v>0</v>
      </c>
      <c r="BB56" s="507" cm="1">
        <f t="array" ref="BB56">_xlfn.LET(_xlpm.DepreciationMonths,INDEX(FixedAssets[Depreciation
/ Amortization Months],_xlfn.XMATCH($E$33,FixedAssets[Asset ID])),IF(AND((_xlfn.XMATCH(BB$8,$AH$8:$CC$8))-_xlfn.XMATCH($C56,$C$35:$C$82)+1&lt;=_xlpm.DepreciationMonths,$C56&lt;=BB$8),$E56/_xlpm.DepreciationMonths,0))</f>
        <v>0</v>
      </c>
      <c r="BC56" s="507" cm="1">
        <f t="array" ref="BC56">_xlfn.LET(_xlpm.DepreciationMonths,INDEX(FixedAssets[Depreciation
/ Amortization Months],_xlfn.XMATCH($E$33,FixedAssets[Asset ID])),IF(AND((_xlfn.XMATCH(BC$8,$AH$8:$CC$8))-_xlfn.XMATCH($C56,$C$35:$C$82)+1&lt;=_xlpm.DepreciationMonths,$C56&lt;=BC$8),$E56/_xlpm.DepreciationMonths,0))</f>
        <v>0</v>
      </c>
      <c r="BD56" s="507" cm="1">
        <f t="array" ref="BD56">_xlfn.LET(_xlpm.DepreciationMonths,INDEX(FixedAssets[Depreciation
/ Amortization Months],_xlfn.XMATCH($E$33,FixedAssets[Asset ID])),IF(AND((_xlfn.XMATCH(BD$8,$AH$8:$CC$8))-_xlfn.XMATCH($C56,$C$35:$C$82)+1&lt;=_xlpm.DepreciationMonths,$C56&lt;=BD$8),$E56/_xlpm.DepreciationMonths,0))</f>
        <v>0</v>
      </c>
      <c r="BE56" s="507" cm="1">
        <f t="array" ref="BE56">_xlfn.LET(_xlpm.DepreciationMonths,INDEX(FixedAssets[Depreciation
/ Amortization Months],_xlfn.XMATCH($E$33,FixedAssets[Asset ID])),IF(AND((_xlfn.XMATCH(BE$8,$AH$8:$CC$8))-_xlfn.XMATCH($C56,$C$35:$C$82)+1&lt;=_xlpm.DepreciationMonths,$C56&lt;=BE$8),$E56/_xlpm.DepreciationMonths,0))</f>
        <v>0</v>
      </c>
      <c r="BF56" s="507" cm="1">
        <f t="array" ref="BF56">_xlfn.LET(_xlpm.DepreciationMonths,INDEX(FixedAssets[Depreciation
/ Amortization Months],_xlfn.XMATCH($E$33,FixedAssets[Asset ID])),IF(AND((_xlfn.XMATCH(BF$8,$AH$8:$CC$8))-_xlfn.XMATCH($C56,$C$35:$C$82)+1&lt;=_xlpm.DepreciationMonths,$C56&lt;=BF$8),$E56/_xlpm.DepreciationMonths,0))</f>
        <v>0</v>
      </c>
      <c r="BG56" s="507" cm="1">
        <f t="array" ref="BG56">_xlfn.LET(_xlpm.DepreciationMonths,INDEX(FixedAssets[Depreciation
/ Amortization Months],_xlfn.XMATCH($E$33,FixedAssets[Asset ID])),IF(AND((_xlfn.XMATCH(BG$8,$AH$8:$CC$8))-_xlfn.XMATCH($C56,$C$35:$C$82)+1&lt;=_xlpm.DepreciationMonths,$C56&lt;=BG$8),$E56/_xlpm.DepreciationMonths,0))</f>
        <v>0</v>
      </c>
      <c r="BH56" s="507" cm="1">
        <f t="array" ref="BH56">_xlfn.LET(_xlpm.DepreciationMonths,INDEX(FixedAssets[Depreciation
/ Amortization Months],_xlfn.XMATCH($E$33,FixedAssets[Asset ID])),IF(AND((_xlfn.XMATCH(BH$8,$AH$8:$CC$8))-_xlfn.XMATCH($C56,$C$35:$C$82)+1&lt;=_xlpm.DepreciationMonths,$C56&lt;=BH$8),$E56/_xlpm.DepreciationMonths,0))</f>
        <v>0</v>
      </c>
      <c r="BI56" s="507" cm="1">
        <f t="array" ref="BI56">_xlfn.LET(_xlpm.DepreciationMonths,INDEX(FixedAssets[Depreciation
/ Amortization Months],_xlfn.XMATCH($E$33,FixedAssets[Asset ID])),IF(AND((_xlfn.XMATCH(BI$8,$AH$8:$CC$8))-_xlfn.XMATCH($C56,$C$35:$C$82)+1&lt;=_xlpm.DepreciationMonths,$C56&lt;=BI$8),$E56/_xlpm.DepreciationMonths,0))</f>
        <v>0</v>
      </c>
      <c r="BJ56" s="507" cm="1">
        <f t="array" ref="BJ56">_xlfn.LET(_xlpm.DepreciationMonths,INDEX(FixedAssets[Depreciation
/ Amortization Months],_xlfn.XMATCH($E$33,FixedAssets[Asset ID])),IF(AND((_xlfn.XMATCH(BJ$8,$AH$8:$CC$8))-_xlfn.XMATCH($C56,$C$35:$C$82)+1&lt;=_xlpm.DepreciationMonths,$C56&lt;=BJ$8),$E56/_xlpm.DepreciationMonths,0))</f>
        <v>0</v>
      </c>
      <c r="BK56" s="507" cm="1">
        <f t="array" ref="BK56">_xlfn.LET(_xlpm.DepreciationMonths,INDEX(FixedAssets[Depreciation
/ Amortization Months],_xlfn.XMATCH($E$33,FixedAssets[Asset ID])),IF(AND((_xlfn.XMATCH(BK$8,$AH$8:$CC$8))-_xlfn.XMATCH($C56,$C$35:$C$82)+1&lt;=_xlpm.DepreciationMonths,$C56&lt;=BK$8),$E56/_xlpm.DepreciationMonths,0))</f>
        <v>0</v>
      </c>
      <c r="BL56" s="507" cm="1">
        <f t="array" ref="BL56">_xlfn.LET(_xlpm.DepreciationMonths,INDEX(FixedAssets[Depreciation
/ Amortization Months],_xlfn.XMATCH($E$33,FixedAssets[Asset ID])),IF(AND((_xlfn.XMATCH(BL$8,$AH$8:$CC$8))-_xlfn.XMATCH($C56,$C$35:$C$82)+1&lt;=_xlpm.DepreciationMonths,$C56&lt;=BL$8),$E56/_xlpm.DepreciationMonths,0))</f>
        <v>0</v>
      </c>
      <c r="BM56" s="507" cm="1">
        <f t="array" ref="BM56">_xlfn.LET(_xlpm.DepreciationMonths,INDEX(FixedAssets[Depreciation
/ Amortization Months],_xlfn.XMATCH($E$33,FixedAssets[Asset ID])),IF(AND((_xlfn.XMATCH(BM$8,$AH$8:$CC$8))-_xlfn.XMATCH($C56,$C$35:$C$82)+1&lt;=_xlpm.DepreciationMonths,$C56&lt;=BM$8),$E56/_xlpm.DepreciationMonths,0))</f>
        <v>0</v>
      </c>
      <c r="BN56" s="507" cm="1">
        <f t="array" ref="BN56">_xlfn.LET(_xlpm.DepreciationMonths,INDEX(FixedAssets[Depreciation
/ Amortization Months],_xlfn.XMATCH($E$33,FixedAssets[Asset ID])),IF(AND((_xlfn.XMATCH(BN$8,$AH$8:$CC$8))-_xlfn.XMATCH($C56,$C$35:$C$82)+1&lt;=_xlpm.DepreciationMonths,$C56&lt;=BN$8),$E56/_xlpm.DepreciationMonths,0))</f>
        <v>0</v>
      </c>
      <c r="BO56" s="507" cm="1">
        <f t="array" ref="BO56">_xlfn.LET(_xlpm.DepreciationMonths,INDEX(FixedAssets[Depreciation
/ Amortization Months],_xlfn.XMATCH($E$33,FixedAssets[Asset ID])),IF(AND((_xlfn.XMATCH(BO$8,$AH$8:$CC$8))-_xlfn.XMATCH($C56,$C$35:$C$82)+1&lt;=_xlpm.DepreciationMonths,$C56&lt;=BO$8),$E56/_xlpm.DepreciationMonths,0))</f>
        <v>0</v>
      </c>
      <c r="BP56" s="507" cm="1">
        <f t="array" ref="BP56">_xlfn.LET(_xlpm.DepreciationMonths,INDEX(FixedAssets[Depreciation
/ Amortization Months],_xlfn.XMATCH($E$33,FixedAssets[Asset ID])),IF(AND((_xlfn.XMATCH(BP$8,$AH$8:$CC$8))-_xlfn.XMATCH($C56,$C$35:$C$82)+1&lt;=_xlpm.DepreciationMonths,$C56&lt;=BP$8),$E56/_xlpm.DepreciationMonths,0))</f>
        <v>0</v>
      </c>
      <c r="BQ56" s="507" cm="1">
        <f t="array" ref="BQ56">_xlfn.LET(_xlpm.DepreciationMonths,INDEX(FixedAssets[Depreciation
/ Amortization Months],_xlfn.XMATCH($E$33,FixedAssets[Asset ID])),IF(AND((_xlfn.XMATCH(BQ$8,$AH$8:$CC$8))-_xlfn.XMATCH($C56,$C$35:$C$82)+1&lt;=_xlpm.DepreciationMonths,$C56&lt;=BQ$8),$E56/_xlpm.DepreciationMonths,0))</f>
        <v>0</v>
      </c>
      <c r="BR56" s="507" cm="1">
        <f t="array" ref="BR56">_xlfn.LET(_xlpm.DepreciationMonths,INDEX(FixedAssets[Depreciation
/ Amortization Months],_xlfn.XMATCH($E$33,FixedAssets[Asset ID])),IF(AND((_xlfn.XMATCH(BR$8,$AH$8:$CC$8))-_xlfn.XMATCH($C56,$C$35:$C$82)+1&lt;=_xlpm.DepreciationMonths,$C56&lt;=BR$8),$E56/_xlpm.DepreciationMonths,0))</f>
        <v>0</v>
      </c>
      <c r="BS56" s="507" cm="1">
        <f t="array" ref="BS56">_xlfn.LET(_xlpm.DepreciationMonths,INDEX(FixedAssets[Depreciation
/ Amortization Months],_xlfn.XMATCH($E$33,FixedAssets[Asset ID])),IF(AND((_xlfn.XMATCH(BS$8,$AH$8:$CC$8))-_xlfn.XMATCH($C56,$C$35:$C$82)+1&lt;=_xlpm.DepreciationMonths,$C56&lt;=BS$8),$E56/_xlpm.DepreciationMonths,0))</f>
        <v>0</v>
      </c>
      <c r="BT56" s="507" cm="1">
        <f t="array" ref="BT56">_xlfn.LET(_xlpm.DepreciationMonths,INDEX(FixedAssets[Depreciation
/ Amortization Months],_xlfn.XMATCH($E$33,FixedAssets[Asset ID])),IF(AND((_xlfn.XMATCH(BT$8,$AH$8:$CC$8))-_xlfn.XMATCH($C56,$C$35:$C$82)+1&lt;=_xlpm.DepreciationMonths,$C56&lt;=BT$8),$E56/_xlpm.DepreciationMonths,0))</f>
        <v>0</v>
      </c>
      <c r="BU56" s="507" cm="1">
        <f t="array" ref="BU56">_xlfn.LET(_xlpm.DepreciationMonths,INDEX(FixedAssets[Depreciation
/ Amortization Months],_xlfn.XMATCH($E$33,FixedAssets[Asset ID])),IF(AND((_xlfn.XMATCH(BU$8,$AH$8:$CC$8))-_xlfn.XMATCH($C56,$C$35:$C$82)+1&lt;=_xlpm.DepreciationMonths,$C56&lt;=BU$8),$E56/_xlpm.DepreciationMonths,0))</f>
        <v>0</v>
      </c>
      <c r="BV56" s="507" cm="1">
        <f t="array" ref="BV56">_xlfn.LET(_xlpm.DepreciationMonths,INDEX(FixedAssets[Depreciation
/ Amortization Months],_xlfn.XMATCH($E$33,FixedAssets[Asset ID])),IF(AND((_xlfn.XMATCH(BV$8,$AH$8:$CC$8))-_xlfn.XMATCH($C56,$C$35:$C$82)+1&lt;=_xlpm.DepreciationMonths,$C56&lt;=BV$8),$E56/_xlpm.DepreciationMonths,0))</f>
        <v>0</v>
      </c>
      <c r="BW56" s="507" cm="1">
        <f t="array" ref="BW56">_xlfn.LET(_xlpm.DepreciationMonths,INDEX(FixedAssets[Depreciation
/ Amortization Months],_xlfn.XMATCH($E$33,FixedAssets[Asset ID])),IF(AND((_xlfn.XMATCH(BW$8,$AH$8:$CC$8))-_xlfn.XMATCH($C56,$C$35:$C$82)+1&lt;=_xlpm.DepreciationMonths,$C56&lt;=BW$8),$E56/_xlpm.DepreciationMonths,0))</f>
        <v>0</v>
      </c>
      <c r="BX56" s="507" cm="1">
        <f t="array" ref="BX56">_xlfn.LET(_xlpm.DepreciationMonths,INDEX(FixedAssets[Depreciation
/ Amortization Months],_xlfn.XMATCH($E$33,FixedAssets[Asset ID])),IF(AND((_xlfn.XMATCH(BX$8,$AH$8:$CC$8))-_xlfn.XMATCH($C56,$C$35:$C$82)+1&lt;=_xlpm.DepreciationMonths,$C56&lt;=BX$8),$E56/_xlpm.DepreciationMonths,0))</f>
        <v>0</v>
      </c>
      <c r="BY56" s="507" cm="1">
        <f t="array" ref="BY56">_xlfn.LET(_xlpm.DepreciationMonths,INDEX(FixedAssets[Depreciation
/ Amortization Months],_xlfn.XMATCH($E$33,FixedAssets[Asset ID])),IF(AND((_xlfn.XMATCH(BY$8,$AH$8:$CC$8))-_xlfn.XMATCH($C56,$C$35:$C$82)+1&lt;=_xlpm.DepreciationMonths,$C56&lt;=BY$8),$E56/_xlpm.DepreciationMonths,0))</f>
        <v>0</v>
      </c>
      <c r="BZ56" s="507" cm="1">
        <f t="array" ref="BZ56">_xlfn.LET(_xlpm.DepreciationMonths,INDEX(FixedAssets[Depreciation
/ Amortization Months],_xlfn.XMATCH($E$33,FixedAssets[Asset ID])),IF(AND((_xlfn.XMATCH(BZ$8,$AH$8:$CC$8))-_xlfn.XMATCH($C56,$C$35:$C$82)+1&lt;=_xlpm.DepreciationMonths,$C56&lt;=BZ$8),$E56/_xlpm.DepreciationMonths,0))</f>
        <v>0</v>
      </c>
      <c r="CA56" s="507" cm="1">
        <f t="array" ref="CA56">_xlfn.LET(_xlpm.DepreciationMonths,INDEX(FixedAssets[Depreciation
/ Amortization Months],_xlfn.XMATCH($E$33,FixedAssets[Asset ID])),IF(AND((_xlfn.XMATCH(CA$8,$AH$8:$CC$8))-_xlfn.XMATCH($C56,$C$35:$C$82)+1&lt;=_xlpm.DepreciationMonths,$C56&lt;=CA$8),$E56/_xlpm.DepreciationMonths,0))</f>
        <v>0</v>
      </c>
      <c r="CB56" s="507" cm="1">
        <f t="array" ref="CB56">_xlfn.LET(_xlpm.DepreciationMonths,INDEX(FixedAssets[Depreciation
/ Amortization Months],_xlfn.XMATCH($E$33,FixedAssets[Asset ID])),IF(AND((_xlfn.XMATCH(CB$8,$AH$8:$CC$8))-_xlfn.XMATCH($C56,$C$35:$C$82)+1&lt;=_xlpm.DepreciationMonths,$C56&lt;=CB$8),$E56/_xlpm.DepreciationMonths,0))</f>
        <v>0</v>
      </c>
      <c r="CC56" s="507" cm="1">
        <f t="array" ref="CC56">_xlfn.LET(_xlpm.DepreciationMonths,INDEX(FixedAssets[Depreciation
/ Amortization Months],_xlfn.XMATCH($E$33,FixedAssets[Asset ID])),IF(AND((_xlfn.XMATCH(CC$8,$AH$8:$CC$8))-_xlfn.XMATCH($C56,$C$35:$C$82)+1&lt;=_xlpm.DepreciationMonths,$C56&lt;=CC$8),$E56/_xlpm.DepreciationMonths,0))</f>
        <v>0</v>
      </c>
    </row>
    <row r="57" spans="3:81" hidden="1" outlineLevel="2">
      <c r="C57" s="664">
        <f t="shared" si="91"/>
        <v>45626</v>
      </c>
      <c r="D57" s="508"/>
      <c r="E57" s="508" cm="1">
        <f t="array" ref="E57">SUMPRODUCT(($AH$26:$CC$31)*($AH$5:$CC$5=$C57)*($E$26:$E$31=E$33))-SUMPRODUCT(($AH$26:$CC$31)*($AH$5:$CC$5=EOMONTH($C57,-1))*($E$26:$E$31=E$33))</f>
        <v>0</v>
      </c>
      <c r="F57" s="508"/>
      <c r="G57" s="508"/>
      <c r="H57" s="508"/>
      <c r="I57" s="508"/>
      <c r="J57" s="504">
        <f t="shared" si="88"/>
        <v>0</v>
      </c>
      <c r="K57" s="504">
        <f t="shared" si="93"/>
        <v>0</v>
      </c>
      <c r="L57" s="504">
        <f t="shared" si="93"/>
        <v>0</v>
      </c>
      <c r="M57" s="504">
        <f t="shared" si="93"/>
        <v>0</v>
      </c>
      <c r="N57" s="504"/>
      <c r="O57" s="504"/>
      <c r="P57" s="504">
        <f t="shared" si="94"/>
        <v>0</v>
      </c>
      <c r="Q57" s="504">
        <f t="shared" si="94"/>
        <v>0</v>
      </c>
      <c r="R57" s="504">
        <f t="shared" si="94"/>
        <v>0</v>
      </c>
      <c r="S57" s="504">
        <f t="shared" si="94"/>
        <v>0</v>
      </c>
      <c r="T57" s="504">
        <f t="shared" si="94"/>
        <v>0</v>
      </c>
      <c r="U57" s="504">
        <f t="shared" si="94"/>
        <v>0</v>
      </c>
      <c r="V57" s="504">
        <f t="shared" si="94"/>
        <v>0</v>
      </c>
      <c r="W57" s="504">
        <f t="shared" si="94"/>
        <v>0</v>
      </c>
      <c r="X57" s="504">
        <f t="shared" si="94"/>
        <v>0</v>
      </c>
      <c r="Y57" s="504">
        <f t="shared" si="94"/>
        <v>0</v>
      </c>
      <c r="Z57" s="504">
        <f t="shared" si="94"/>
        <v>0</v>
      </c>
      <c r="AA57" s="504">
        <f t="shared" si="94"/>
        <v>0</v>
      </c>
      <c r="AB57" s="504">
        <f t="shared" si="94"/>
        <v>0</v>
      </c>
      <c r="AC57" s="504">
        <f t="shared" si="94"/>
        <v>0</v>
      </c>
      <c r="AD57" s="504">
        <f t="shared" si="94"/>
        <v>0</v>
      </c>
      <c r="AE57" s="504">
        <f t="shared" si="94"/>
        <v>0</v>
      </c>
      <c r="AF57" s="508"/>
      <c r="AG57" s="508"/>
      <c r="AH57" s="507" cm="1">
        <f t="array" ref="AH57">_xlfn.LET(_xlpm.DepreciationMonths,INDEX(FixedAssets[Depreciation
/ Amortization Months],_xlfn.XMATCH($E$33,FixedAssets[Asset ID])),IF(AND((_xlfn.XMATCH(AH$8,$AH$8:$CC$8))-_xlfn.XMATCH($C57,$C$35:$C$82)+1&lt;=_xlpm.DepreciationMonths,$C57&lt;=AH$8),$E57/_xlpm.DepreciationMonths,0))</f>
        <v>0</v>
      </c>
      <c r="AI57" s="507" cm="1">
        <f t="array" ref="AI57">_xlfn.LET(_xlpm.DepreciationMonths,INDEX(FixedAssets[Depreciation
/ Amortization Months],_xlfn.XMATCH($E$33,FixedAssets[Asset ID])),IF(AND((_xlfn.XMATCH(AI$8,$AH$8:$CC$8))-_xlfn.XMATCH($C57,$C$35:$C$82)+1&lt;=_xlpm.DepreciationMonths,$C57&lt;=AI$8),$E57/_xlpm.DepreciationMonths,0))</f>
        <v>0</v>
      </c>
      <c r="AJ57" s="507" cm="1">
        <f t="array" ref="AJ57">_xlfn.LET(_xlpm.DepreciationMonths,INDEX(FixedAssets[Depreciation
/ Amortization Months],_xlfn.XMATCH($E$33,FixedAssets[Asset ID])),IF(AND((_xlfn.XMATCH(AJ$8,$AH$8:$CC$8))-_xlfn.XMATCH($C57,$C$35:$C$82)+1&lt;=_xlpm.DepreciationMonths,$C57&lt;=AJ$8),$E57/_xlpm.DepreciationMonths,0))</f>
        <v>0</v>
      </c>
      <c r="AK57" s="507" cm="1">
        <f t="array" ref="AK57">_xlfn.LET(_xlpm.DepreciationMonths,INDEX(FixedAssets[Depreciation
/ Amortization Months],_xlfn.XMATCH($E$33,FixedAssets[Asset ID])),IF(AND((_xlfn.XMATCH(AK$8,$AH$8:$CC$8))-_xlfn.XMATCH($C57,$C$35:$C$82)+1&lt;=_xlpm.DepreciationMonths,$C57&lt;=AK$8),$E57/_xlpm.DepreciationMonths,0))</f>
        <v>0</v>
      </c>
      <c r="AL57" s="507" cm="1">
        <f t="array" ref="AL57">_xlfn.LET(_xlpm.DepreciationMonths,INDEX(FixedAssets[Depreciation
/ Amortization Months],_xlfn.XMATCH($E$33,FixedAssets[Asset ID])),IF(AND((_xlfn.XMATCH(AL$8,$AH$8:$CC$8))-_xlfn.XMATCH($C57,$C$35:$C$82)+1&lt;=_xlpm.DepreciationMonths,$C57&lt;=AL$8),$E57/_xlpm.DepreciationMonths,0))</f>
        <v>0</v>
      </c>
      <c r="AM57" s="507" cm="1">
        <f t="array" ref="AM57">_xlfn.LET(_xlpm.DepreciationMonths,INDEX(FixedAssets[Depreciation
/ Amortization Months],_xlfn.XMATCH($E$33,FixedAssets[Asset ID])),IF(AND((_xlfn.XMATCH(AM$8,$AH$8:$CC$8))-_xlfn.XMATCH($C57,$C$35:$C$82)+1&lt;=_xlpm.DepreciationMonths,$C57&lt;=AM$8),$E57/_xlpm.DepreciationMonths,0))</f>
        <v>0</v>
      </c>
      <c r="AN57" s="507" cm="1">
        <f t="array" ref="AN57">_xlfn.LET(_xlpm.DepreciationMonths,INDEX(FixedAssets[Depreciation
/ Amortization Months],_xlfn.XMATCH($E$33,FixedAssets[Asset ID])),IF(AND((_xlfn.XMATCH(AN$8,$AH$8:$CC$8))-_xlfn.XMATCH($C57,$C$35:$C$82)+1&lt;=_xlpm.DepreciationMonths,$C57&lt;=AN$8),$E57/_xlpm.DepreciationMonths,0))</f>
        <v>0</v>
      </c>
      <c r="AO57" s="507" cm="1">
        <f t="array" ref="AO57">_xlfn.LET(_xlpm.DepreciationMonths,INDEX(FixedAssets[Depreciation
/ Amortization Months],_xlfn.XMATCH($E$33,FixedAssets[Asset ID])),IF(AND((_xlfn.XMATCH(AO$8,$AH$8:$CC$8))-_xlfn.XMATCH($C57,$C$35:$C$82)+1&lt;=_xlpm.DepreciationMonths,$C57&lt;=AO$8),$E57/_xlpm.DepreciationMonths,0))</f>
        <v>0</v>
      </c>
      <c r="AP57" s="507" cm="1">
        <f t="array" ref="AP57">_xlfn.LET(_xlpm.DepreciationMonths,INDEX(FixedAssets[Depreciation
/ Amortization Months],_xlfn.XMATCH($E$33,FixedAssets[Asset ID])),IF(AND((_xlfn.XMATCH(AP$8,$AH$8:$CC$8))-_xlfn.XMATCH($C57,$C$35:$C$82)+1&lt;=_xlpm.DepreciationMonths,$C57&lt;=AP$8),$E57/_xlpm.DepreciationMonths,0))</f>
        <v>0</v>
      </c>
      <c r="AQ57" s="507" cm="1">
        <f t="array" ref="AQ57">_xlfn.LET(_xlpm.DepreciationMonths,INDEX(FixedAssets[Depreciation
/ Amortization Months],_xlfn.XMATCH($E$33,FixedAssets[Asset ID])),IF(AND((_xlfn.XMATCH(AQ$8,$AH$8:$CC$8))-_xlfn.XMATCH($C57,$C$35:$C$82)+1&lt;=_xlpm.DepreciationMonths,$C57&lt;=AQ$8),$E57/_xlpm.DepreciationMonths,0))</f>
        <v>0</v>
      </c>
      <c r="AR57" s="507" cm="1">
        <f t="array" ref="AR57">_xlfn.LET(_xlpm.DepreciationMonths,INDEX(FixedAssets[Depreciation
/ Amortization Months],_xlfn.XMATCH($E$33,FixedAssets[Asset ID])),IF(AND((_xlfn.XMATCH(AR$8,$AH$8:$CC$8))-_xlfn.XMATCH($C57,$C$35:$C$82)+1&lt;=_xlpm.DepreciationMonths,$C57&lt;=AR$8),$E57/_xlpm.DepreciationMonths,0))</f>
        <v>0</v>
      </c>
      <c r="AS57" s="507" cm="1">
        <f t="array" ref="AS57">_xlfn.LET(_xlpm.DepreciationMonths,INDEX(FixedAssets[Depreciation
/ Amortization Months],_xlfn.XMATCH($E$33,FixedAssets[Asset ID])),IF(AND((_xlfn.XMATCH(AS$8,$AH$8:$CC$8))-_xlfn.XMATCH($C57,$C$35:$C$82)+1&lt;=_xlpm.DepreciationMonths,$C57&lt;=AS$8),$E57/_xlpm.DepreciationMonths,0))</f>
        <v>0</v>
      </c>
      <c r="AT57" s="507" cm="1">
        <f t="array" ref="AT57">_xlfn.LET(_xlpm.DepreciationMonths,INDEX(FixedAssets[Depreciation
/ Amortization Months],_xlfn.XMATCH($E$33,FixedAssets[Asset ID])),IF(AND((_xlfn.XMATCH(AT$8,$AH$8:$CC$8))-_xlfn.XMATCH($C57,$C$35:$C$82)+1&lt;=_xlpm.DepreciationMonths,$C57&lt;=AT$8),$E57/_xlpm.DepreciationMonths,0))</f>
        <v>0</v>
      </c>
      <c r="AU57" s="507" cm="1">
        <f t="array" ref="AU57">_xlfn.LET(_xlpm.DepreciationMonths,INDEX(FixedAssets[Depreciation
/ Amortization Months],_xlfn.XMATCH($E$33,FixedAssets[Asset ID])),IF(AND((_xlfn.XMATCH(AU$8,$AH$8:$CC$8))-_xlfn.XMATCH($C57,$C$35:$C$82)+1&lt;=_xlpm.DepreciationMonths,$C57&lt;=AU$8),$E57/_xlpm.DepreciationMonths,0))</f>
        <v>0</v>
      </c>
      <c r="AV57" s="507" cm="1">
        <f t="array" ref="AV57">_xlfn.LET(_xlpm.DepreciationMonths,INDEX(FixedAssets[Depreciation
/ Amortization Months],_xlfn.XMATCH($E$33,FixedAssets[Asset ID])),IF(AND((_xlfn.XMATCH(AV$8,$AH$8:$CC$8))-_xlfn.XMATCH($C57,$C$35:$C$82)+1&lt;=_xlpm.DepreciationMonths,$C57&lt;=AV$8),$E57/_xlpm.DepreciationMonths,0))</f>
        <v>0</v>
      </c>
      <c r="AW57" s="507" cm="1">
        <f t="array" ref="AW57">_xlfn.LET(_xlpm.DepreciationMonths,INDEX(FixedAssets[Depreciation
/ Amortization Months],_xlfn.XMATCH($E$33,FixedAssets[Asset ID])),IF(AND((_xlfn.XMATCH(AW$8,$AH$8:$CC$8))-_xlfn.XMATCH($C57,$C$35:$C$82)+1&lt;=_xlpm.DepreciationMonths,$C57&lt;=AW$8),$E57/_xlpm.DepreciationMonths,0))</f>
        <v>0</v>
      </c>
      <c r="AX57" s="507" cm="1">
        <f t="array" ref="AX57">_xlfn.LET(_xlpm.DepreciationMonths,INDEX(FixedAssets[Depreciation
/ Amortization Months],_xlfn.XMATCH($E$33,FixedAssets[Asset ID])),IF(AND((_xlfn.XMATCH(AX$8,$AH$8:$CC$8))-_xlfn.XMATCH($C57,$C$35:$C$82)+1&lt;=_xlpm.DepreciationMonths,$C57&lt;=AX$8),$E57/_xlpm.DepreciationMonths,0))</f>
        <v>0</v>
      </c>
      <c r="AY57" s="507" cm="1">
        <f t="array" ref="AY57">_xlfn.LET(_xlpm.DepreciationMonths,INDEX(FixedAssets[Depreciation
/ Amortization Months],_xlfn.XMATCH($E$33,FixedAssets[Asset ID])),IF(AND((_xlfn.XMATCH(AY$8,$AH$8:$CC$8))-_xlfn.XMATCH($C57,$C$35:$C$82)+1&lt;=_xlpm.DepreciationMonths,$C57&lt;=AY$8),$E57/_xlpm.DepreciationMonths,0))</f>
        <v>0</v>
      </c>
      <c r="AZ57" s="507" cm="1">
        <f t="array" ref="AZ57">_xlfn.LET(_xlpm.DepreciationMonths,INDEX(FixedAssets[Depreciation
/ Amortization Months],_xlfn.XMATCH($E$33,FixedAssets[Asset ID])),IF(AND((_xlfn.XMATCH(AZ$8,$AH$8:$CC$8))-_xlfn.XMATCH($C57,$C$35:$C$82)+1&lt;=_xlpm.DepreciationMonths,$C57&lt;=AZ$8),$E57/_xlpm.DepreciationMonths,0))</f>
        <v>0</v>
      </c>
      <c r="BA57" s="507" cm="1">
        <f t="array" ref="BA57">_xlfn.LET(_xlpm.DepreciationMonths,INDEX(FixedAssets[Depreciation
/ Amortization Months],_xlfn.XMATCH($E$33,FixedAssets[Asset ID])),IF(AND((_xlfn.XMATCH(BA$8,$AH$8:$CC$8))-_xlfn.XMATCH($C57,$C$35:$C$82)+1&lt;=_xlpm.DepreciationMonths,$C57&lt;=BA$8),$E57/_xlpm.DepreciationMonths,0))</f>
        <v>0</v>
      </c>
      <c r="BB57" s="507" cm="1">
        <f t="array" ref="BB57">_xlfn.LET(_xlpm.DepreciationMonths,INDEX(FixedAssets[Depreciation
/ Amortization Months],_xlfn.XMATCH($E$33,FixedAssets[Asset ID])),IF(AND((_xlfn.XMATCH(BB$8,$AH$8:$CC$8))-_xlfn.XMATCH($C57,$C$35:$C$82)+1&lt;=_xlpm.DepreciationMonths,$C57&lt;=BB$8),$E57/_xlpm.DepreciationMonths,0))</f>
        <v>0</v>
      </c>
      <c r="BC57" s="507" cm="1">
        <f t="array" ref="BC57">_xlfn.LET(_xlpm.DepreciationMonths,INDEX(FixedAssets[Depreciation
/ Amortization Months],_xlfn.XMATCH($E$33,FixedAssets[Asset ID])),IF(AND((_xlfn.XMATCH(BC$8,$AH$8:$CC$8))-_xlfn.XMATCH($C57,$C$35:$C$82)+1&lt;=_xlpm.DepreciationMonths,$C57&lt;=BC$8),$E57/_xlpm.DepreciationMonths,0))</f>
        <v>0</v>
      </c>
      <c r="BD57" s="507" cm="1">
        <f t="array" ref="BD57">_xlfn.LET(_xlpm.DepreciationMonths,INDEX(FixedAssets[Depreciation
/ Amortization Months],_xlfn.XMATCH($E$33,FixedAssets[Asset ID])),IF(AND((_xlfn.XMATCH(BD$8,$AH$8:$CC$8))-_xlfn.XMATCH($C57,$C$35:$C$82)+1&lt;=_xlpm.DepreciationMonths,$C57&lt;=BD$8),$E57/_xlpm.DepreciationMonths,0))</f>
        <v>0</v>
      </c>
      <c r="BE57" s="507" cm="1">
        <f t="array" ref="BE57">_xlfn.LET(_xlpm.DepreciationMonths,INDEX(FixedAssets[Depreciation
/ Amortization Months],_xlfn.XMATCH($E$33,FixedAssets[Asset ID])),IF(AND((_xlfn.XMATCH(BE$8,$AH$8:$CC$8))-_xlfn.XMATCH($C57,$C$35:$C$82)+1&lt;=_xlpm.DepreciationMonths,$C57&lt;=BE$8),$E57/_xlpm.DepreciationMonths,0))</f>
        <v>0</v>
      </c>
      <c r="BF57" s="507" cm="1">
        <f t="array" ref="BF57">_xlfn.LET(_xlpm.DepreciationMonths,INDEX(FixedAssets[Depreciation
/ Amortization Months],_xlfn.XMATCH($E$33,FixedAssets[Asset ID])),IF(AND((_xlfn.XMATCH(BF$8,$AH$8:$CC$8))-_xlfn.XMATCH($C57,$C$35:$C$82)+1&lt;=_xlpm.DepreciationMonths,$C57&lt;=BF$8),$E57/_xlpm.DepreciationMonths,0))</f>
        <v>0</v>
      </c>
      <c r="BG57" s="507" cm="1">
        <f t="array" ref="BG57">_xlfn.LET(_xlpm.DepreciationMonths,INDEX(FixedAssets[Depreciation
/ Amortization Months],_xlfn.XMATCH($E$33,FixedAssets[Asset ID])),IF(AND((_xlfn.XMATCH(BG$8,$AH$8:$CC$8))-_xlfn.XMATCH($C57,$C$35:$C$82)+1&lt;=_xlpm.DepreciationMonths,$C57&lt;=BG$8),$E57/_xlpm.DepreciationMonths,0))</f>
        <v>0</v>
      </c>
      <c r="BH57" s="507" cm="1">
        <f t="array" ref="BH57">_xlfn.LET(_xlpm.DepreciationMonths,INDEX(FixedAssets[Depreciation
/ Amortization Months],_xlfn.XMATCH($E$33,FixedAssets[Asset ID])),IF(AND((_xlfn.XMATCH(BH$8,$AH$8:$CC$8))-_xlfn.XMATCH($C57,$C$35:$C$82)+1&lt;=_xlpm.DepreciationMonths,$C57&lt;=BH$8),$E57/_xlpm.DepreciationMonths,0))</f>
        <v>0</v>
      </c>
      <c r="BI57" s="507" cm="1">
        <f t="array" ref="BI57">_xlfn.LET(_xlpm.DepreciationMonths,INDEX(FixedAssets[Depreciation
/ Amortization Months],_xlfn.XMATCH($E$33,FixedAssets[Asset ID])),IF(AND((_xlfn.XMATCH(BI$8,$AH$8:$CC$8))-_xlfn.XMATCH($C57,$C$35:$C$82)+1&lt;=_xlpm.DepreciationMonths,$C57&lt;=BI$8),$E57/_xlpm.DepreciationMonths,0))</f>
        <v>0</v>
      </c>
      <c r="BJ57" s="507" cm="1">
        <f t="array" ref="BJ57">_xlfn.LET(_xlpm.DepreciationMonths,INDEX(FixedAssets[Depreciation
/ Amortization Months],_xlfn.XMATCH($E$33,FixedAssets[Asset ID])),IF(AND((_xlfn.XMATCH(BJ$8,$AH$8:$CC$8))-_xlfn.XMATCH($C57,$C$35:$C$82)+1&lt;=_xlpm.DepreciationMonths,$C57&lt;=BJ$8),$E57/_xlpm.DepreciationMonths,0))</f>
        <v>0</v>
      </c>
      <c r="BK57" s="507" cm="1">
        <f t="array" ref="BK57">_xlfn.LET(_xlpm.DepreciationMonths,INDEX(FixedAssets[Depreciation
/ Amortization Months],_xlfn.XMATCH($E$33,FixedAssets[Asset ID])),IF(AND((_xlfn.XMATCH(BK$8,$AH$8:$CC$8))-_xlfn.XMATCH($C57,$C$35:$C$82)+1&lt;=_xlpm.DepreciationMonths,$C57&lt;=BK$8),$E57/_xlpm.DepreciationMonths,0))</f>
        <v>0</v>
      </c>
      <c r="BL57" s="507" cm="1">
        <f t="array" ref="BL57">_xlfn.LET(_xlpm.DepreciationMonths,INDEX(FixedAssets[Depreciation
/ Amortization Months],_xlfn.XMATCH($E$33,FixedAssets[Asset ID])),IF(AND((_xlfn.XMATCH(BL$8,$AH$8:$CC$8))-_xlfn.XMATCH($C57,$C$35:$C$82)+1&lt;=_xlpm.DepreciationMonths,$C57&lt;=BL$8),$E57/_xlpm.DepreciationMonths,0))</f>
        <v>0</v>
      </c>
      <c r="BM57" s="507" cm="1">
        <f t="array" ref="BM57">_xlfn.LET(_xlpm.DepreciationMonths,INDEX(FixedAssets[Depreciation
/ Amortization Months],_xlfn.XMATCH($E$33,FixedAssets[Asset ID])),IF(AND((_xlfn.XMATCH(BM$8,$AH$8:$CC$8))-_xlfn.XMATCH($C57,$C$35:$C$82)+1&lt;=_xlpm.DepreciationMonths,$C57&lt;=BM$8),$E57/_xlpm.DepreciationMonths,0))</f>
        <v>0</v>
      </c>
      <c r="BN57" s="507" cm="1">
        <f t="array" ref="BN57">_xlfn.LET(_xlpm.DepreciationMonths,INDEX(FixedAssets[Depreciation
/ Amortization Months],_xlfn.XMATCH($E$33,FixedAssets[Asset ID])),IF(AND((_xlfn.XMATCH(BN$8,$AH$8:$CC$8))-_xlfn.XMATCH($C57,$C$35:$C$82)+1&lt;=_xlpm.DepreciationMonths,$C57&lt;=BN$8),$E57/_xlpm.DepreciationMonths,0))</f>
        <v>0</v>
      </c>
      <c r="BO57" s="507" cm="1">
        <f t="array" ref="BO57">_xlfn.LET(_xlpm.DepreciationMonths,INDEX(FixedAssets[Depreciation
/ Amortization Months],_xlfn.XMATCH($E$33,FixedAssets[Asset ID])),IF(AND((_xlfn.XMATCH(BO$8,$AH$8:$CC$8))-_xlfn.XMATCH($C57,$C$35:$C$82)+1&lt;=_xlpm.DepreciationMonths,$C57&lt;=BO$8),$E57/_xlpm.DepreciationMonths,0))</f>
        <v>0</v>
      </c>
      <c r="BP57" s="507" cm="1">
        <f t="array" ref="BP57">_xlfn.LET(_xlpm.DepreciationMonths,INDEX(FixedAssets[Depreciation
/ Amortization Months],_xlfn.XMATCH($E$33,FixedAssets[Asset ID])),IF(AND((_xlfn.XMATCH(BP$8,$AH$8:$CC$8))-_xlfn.XMATCH($C57,$C$35:$C$82)+1&lt;=_xlpm.DepreciationMonths,$C57&lt;=BP$8),$E57/_xlpm.DepreciationMonths,0))</f>
        <v>0</v>
      </c>
      <c r="BQ57" s="507" cm="1">
        <f t="array" ref="BQ57">_xlfn.LET(_xlpm.DepreciationMonths,INDEX(FixedAssets[Depreciation
/ Amortization Months],_xlfn.XMATCH($E$33,FixedAssets[Asset ID])),IF(AND((_xlfn.XMATCH(BQ$8,$AH$8:$CC$8))-_xlfn.XMATCH($C57,$C$35:$C$82)+1&lt;=_xlpm.DepreciationMonths,$C57&lt;=BQ$8),$E57/_xlpm.DepreciationMonths,0))</f>
        <v>0</v>
      </c>
      <c r="BR57" s="507" cm="1">
        <f t="array" ref="BR57">_xlfn.LET(_xlpm.DepreciationMonths,INDEX(FixedAssets[Depreciation
/ Amortization Months],_xlfn.XMATCH($E$33,FixedAssets[Asset ID])),IF(AND((_xlfn.XMATCH(BR$8,$AH$8:$CC$8))-_xlfn.XMATCH($C57,$C$35:$C$82)+1&lt;=_xlpm.DepreciationMonths,$C57&lt;=BR$8),$E57/_xlpm.DepreciationMonths,0))</f>
        <v>0</v>
      </c>
      <c r="BS57" s="507" cm="1">
        <f t="array" ref="BS57">_xlfn.LET(_xlpm.DepreciationMonths,INDEX(FixedAssets[Depreciation
/ Amortization Months],_xlfn.XMATCH($E$33,FixedAssets[Asset ID])),IF(AND((_xlfn.XMATCH(BS$8,$AH$8:$CC$8))-_xlfn.XMATCH($C57,$C$35:$C$82)+1&lt;=_xlpm.DepreciationMonths,$C57&lt;=BS$8),$E57/_xlpm.DepreciationMonths,0))</f>
        <v>0</v>
      </c>
      <c r="BT57" s="507" cm="1">
        <f t="array" ref="BT57">_xlfn.LET(_xlpm.DepreciationMonths,INDEX(FixedAssets[Depreciation
/ Amortization Months],_xlfn.XMATCH($E$33,FixedAssets[Asset ID])),IF(AND((_xlfn.XMATCH(BT$8,$AH$8:$CC$8))-_xlfn.XMATCH($C57,$C$35:$C$82)+1&lt;=_xlpm.DepreciationMonths,$C57&lt;=BT$8),$E57/_xlpm.DepreciationMonths,0))</f>
        <v>0</v>
      </c>
      <c r="BU57" s="507" cm="1">
        <f t="array" ref="BU57">_xlfn.LET(_xlpm.DepreciationMonths,INDEX(FixedAssets[Depreciation
/ Amortization Months],_xlfn.XMATCH($E$33,FixedAssets[Asset ID])),IF(AND((_xlfn.XMATCH(BU$8,$AH$8:$CC$8))-_xlfn.XMATCH($C57,$C$35:$C$82)+1&lt;=_xlpm.DepreciationMonths,$C57&lt;=BU$8),$E57/_xlpm.DepreciationMonths,0))</f>
        <v>0</v>
      </c>
      <c r="BV57" s="507" cm="1">
        <f t="array" ref="BV57">_xlfn.LET(_xlpm.DepreciationMonths,INDEX(FixedAssets[Depreciation
/ Amortization Months],_xlfn.XMATCH($E$33,FixedAssets[Asset ID])),IF(AND((_xlfn.XMATCH(BV$8,$AH$8:$CC$8))-_xlfn.XMATCH($C57,$C$35:$C$82)+1&lt;=_xlpm.DepreciationMonths,$C57&lt;=BV$8),$E57/_xlpm.DepreciationMonths,0))</f>
        <v>0</v>
      </c>
      <c r="BW57" s="507" cm="1">
        <f t="array" ref="BW57">_xlfn.LET(_xlpm.DepreciationMonths,INDEX(FixedAssets[Depreciation
/ Amortization Months],_xlfn.XMATCH($E$33,FixedAssets[Asset ID])),IF(AND((_xlfn.XMATCH(BW$8,$AH$8:$CC$8))-_xlfn.XMATCH($C57,$C$35:$C$82)+1&lt;=_xlpm.DepreciationMonths,$C57&lt;=BW$8),$E57/_xlpm.DepreciationMonths,0))</f>
        <v>0</v>
      </c>
      <c r="BX57" s="507" cm="1">
        <f t="array" ref="BX57">_xlfn.LET(_xlpm.DepreciationMonths,INDEX(FixedAssets[Depreciation
/ Amortization Months],_xlfn.XMATCH($E$33,FixedAssets[Asset ID])),IF(AND((_xlfn.XMATCH(BX$8,$AH$8:$CC$8))-_xlfn.XMATCH($C57,$C$35:$C$82)+1&lt;=_xlpm.DepreciationMonths,$C57&lt;=BX$8),$E57/_xlpm.DepreciationMonths,0))</f>
        <v>0</v>
      </c>
      <c r="BY57" s="507" cm="1">
        <f t="array" ref="BY57">_xlfn.LET(_xlpm.DepreciationMonths,INDEX(FixedAssets[Depreciation
/ Amortization Months],_xlfn.XMATCH($E$33,FixedAssets[Asset ID])),IF(AND((_xlfn.XMATCH(BY$8,$AH$8:$CC$8))-_xlfn.XMATCH($C57,$C$35:$C$82)+1&lt;=_xlpm.DepreciationMonths,$C57&lt;=BY$8),$E57/_xlpm.DepreciationMonths,0))</f>
        <v>0</v>
      </c>
      <c r="BZ57" s="507" cm="1">
        <f t="array" ref="BZ57">_xlfn.LET(_xlpm.DepreciationMonths,INDEX(FixedAssets[Depreciation
/ Amortization Months],_xlfn.XMATCH($E$33,FixedAssets[Asset ID])),IF(AND((_xlfn.XMATCH(BZ$8,$AH$8:$CC$8))-_xlfn.XMATCH($C57,$C$35:$C$82)+1&lt;=_xlpm.DepreciationMonths,$C57&lt;=BZ$8),$E57/_xlpm.DepreciationMonths,0))</f>
        <v>0</v>
      </c>
      <c r="CA57" s="507" cm="1">
        <f t="array" ref="CA57">_xlfn.LET(_xlpm.DepreciationMonths,INDEX(FixedAssets[Depreciation
/ Amortization Months],_xlfn.XMATCH($E$33,FixedAssets[Asset ID])),IF(AND((_xlfn.XMATCH(CA$8,$AH$8:$CC$8))-_xlfn.XMATCH($C57,$C$35:$C$82)+1&lt;=_xlpm.DepreciationMonths,$C57&lt;=CA$8),$E57/_xlpm.DepreciationMonths,0))</f>
        <v>0</v>
      </c>
      <c r="CB57" s="507" cm="1">
        <f t="array" ref="CB57">_xlfn.LET(_xlpm.DepreciationMonths,INDEX(FixedAssets[Depreciation
/ Amortization Months],_xlfn.XMATCH($E$33,FixedAssets[Asset ID])),IF(AND((_xlfn.XMATCH(CB$8,$AH$8:$CC$8))-_xlfn.XMATCH($C57,$C$35:$C$82)+1&lt;=_xlpm.DepreciationMonths,$C57&lt;=CB$8),$E57/_xlpm.DepreciationMonths,0))</f>
        <v>0</v>
      </c>
      <c r="CC57" s="507" cm="1">
        <f t="array" ref="CC57">_xlfn.LET(_xlpm.DepreciationMonths,INDEX(FixedAssets[Depreciation
/ Amortization Months],_xlfn.XMATCH($E$33,FixedAssets[Asset ID])),IF(AND((_xlfn.XMATCH(CC$8,$AH$8:$CC$8))-_xlfn.XMATCH($C57,$C$35:$C$82)+1&lt;=_xlpm.DepreciationMonths,$C57&lt;=CC$8),$E57/_xlpm.DepreciationMonths,0))</f>
        <v>0</v>
      </c>
    </row>
    <row r="58" spans="3:81" hidden="1" outlineLevel="2">
      <c r="C58" s="664">
        <f t="shared" si="91"/>
        <v>45657</v>
      </c>
      <c r="D58" s="508"/>
      <c r="E58" s="508" cm="1">
        <f t="array" ref="E58">SUMPRODUCT(($AH$26:$CC$31)*($AH$5:$CC$5=$C58)*($E$26:$E$31=E$33))-SUMPRODUCT(($AH$26:$CC$31)*($AH$5:$CC$5=EOMONTH($C58,-1))*($E$26:$E$31=E$33))</f>
        <v>0</v>
      </c>
      <c r="F58" s="508"/>
      <c r="G58" s="508"/>
      <c r="H58" s="508"/>
      <c r="I58" s="508"/>
      <c r="J58" s="504">
        <f t="shared" si="88"/>
        <v>0</v>
      </c>
      <c r="K58" s="504">
        <f t="shared" si="93"/>
        <v>0</v>
      </c>
      <c r="L58" s="504">
        <f t="shared" si="93"/>
        <v>0</v>
      </c>
      <c r="M58" s="504">
        <f t="shared" si="93"/>
        <v>0</v>
      </c>
      <c r="N58" s="504"/>
      <c r="O58" s="504"/>
      <c r="P58" s="504">
        <f t="shared" si="94"/>
        <v>0</v>
      </c>
      <c r="Q58" s="504">
        <f t="shared" si="94"/>
        <v>0</v>
      </c>
      <c r="R58" s="504">
        <f t="shared" si="94"/>
        <v>0</v>
      </c>
      <c r="S58" s="504">
        <f t="shared" si="94"/>
        <v>0</v>
      </c>
      <c r="T58" s="504">
        <f t="shared" si="94"/>
        <v>0</v>
      </c>
      <c r="U58" s="504">
        <f t="shared" si="94"/>
        <v>0</v>
      </c>
      <c r="V58" s="504">
        <f t="shared" si="94"/>
        <v>0</v>
      </c>
      <c r="W58" s="504">
        <f t="shared" si="94"/>
        <v>0</v>
      </c>
      <c r="X58" s="504">
        <f t="shared" si="94"/>
        <v>0</v>
      </c>
      <c r="Y58" s="504">
        <f t="shared" si="94"/>
        <v>0</v>
      </c>
      <c r="Z58" s="504">
        <f t="shared" si="94"/>
        <v>0</v>
      </c>
      <c r="AA58" s="504">
        <f t="shared" si="94"/>
        <v>0</v>
      </c>
      <c r="AB58" s="504">
        <f t="shared" si="94"/>
        <v>0</v>
      </c>
      <c r="AC58" s="504">
        <f t="shared" si="94"/>
        <v>0</v>
      </c>
      <c r="AD58" s="504">
        <f t="shared" si="94"/>
        <v>0</v>
      </c>
      <c r="AE58" s="504">
        <f t="shared" si="94"/>
        <v>0</v>
      </c>
      <c r="AF58" s="508"/>
      <c r="AG58" s="508"/>
      <c r="AH58" s="507" cm="1">
        <f t="array" ref="AH58">_xlfn.LET(_xlpm.DepreciationMonths,INDEX(FixedAssets[Depreciation
/ Amortization Months],_xlfn.XMATCH($E$33,FixedAssets[Asset ID])),IF(AND((_xlfn.XMATCH(AH$8,$AH$8:$CC$8))-_xlfn.XMATCH($C58,$C$35:$C$82)+1&lt;=_xlpm.DepreciationMonths,$C58&lt;=AH$8),$E58/_xlpm.DepreciationMonths,0))</f>
        <v>0</v>
      </c>
      <c r="AI58" s="507" cm="1">
        <f t="array" ref="AI58">_xlfn.LET(_xlpm.DepreciationMonths,INDEX(FixedAssets[Depreciation
/ Amortization Months],_xlfn.XMATCH($E$33,FixedAssets[Asset ID])),IF(AND((_xlfn.XMATCH(AI$8,$AH$8:$CC$8))-_xlfn.XMATCH($C58,$C$35:$C$82)+1&lt;=_xlpm.DepreciationMonths,$C58&lt;=AI$8),$E58/_xlpm.DepreciationMonths,0))</f>
        <v>0</v>
      </c>
      <c r="AJ58" s="507" cm="1">
        <f t="array" ref="AJ58">_xlfn.LET(_xlpm.DepreciationMonths,INDEX(FixedAssets[Depreciation
/ Amortization Months],_xlfn.XMATCH($E$33,FixedAssets[Asset ID])),IF(AND((_xlfn.XMATCH(AJ$8,$AH$8:$CC$8))-_xlfn.XMATCH($C58,$C$35:$C$82)+1&lt;=_xlpm.DepreciationMonths,$C58&lt;=AJ$8),$E58/_xlpm.DepreciationMonths,0))</f>
        <v>0</v>
      </c>
      <c r="AK58" s="507" cm="1">
        <f t="array" ref="AK58">_xlfn.LET(_xlpm.DepreciationMonths,INDEX(FixedAssets[Depreciation
/ Amortization Months],_xlfn.XMATCH($E$33,FixedAssets[Asset ID])),IF(AND((_xlfn.XMATCH(AK$8,$AH$8:$CC$8))-_xlfn.XMATCH($C58,$C$35:$C$82)+1&lt;=_xlpm.DepreciationMonths,$C58&lt;=AK$8),$E58/_xlpm.DepreciationMonths,0))</f>
        <v>0</v>
      </c>
      <c r="AL58" s="507" cm="1">
        <f t="array" ref="AL58">_xlfn.LET(_xlpm.DepreciationMonths,INDEX(FixedAssets[Depreciation
/ Amortization Months],_xlfn.XMATCH($E$33,FixedAssets[Asset ID])),IF(AND((_xlfn.XMATCH(AL$8,$AH$8:$CC$8))-_xlfn.XMATCH($C58,$C$35:$C$82)+1&lt;=_xlpm.DepreciationMonths,$C58&lt;=AL$8),$E58/_xlpm.DepreciationMonths,0))</f>
        <v>0</v>
      </c>
      <c r="AM58" s="507" cm="1">
        <f t="array" ref="AM58">_xlfn.LET(_xlpm.DepreciationMonths,INDEX(FixedAssets[Depreciation
/ Amortization Months],_xlfn.XMATCH($E$33,FixedAssets[Asset ID])),IF(AND((_xlfn.XMATCH(AM$8,$AH$8:$CC$8))-_xlfn.XMATCH($C58,$C$35:$C$82)+1&lt;=_xlpm.DepreciationMonths,$C58&lt;=AM$8),$E58/_xlpm.DepreciationMonths,0))</f>
        <v>0</v>
      </c>
      <c r="AN58" s="507" cm="1">
        <f t="array" ref="AN58">_xlfn.LET(_xlpm.DepreciationMonths,INDEX(FixedAssets[Depreciation
/ Amortization Months],_xlfn.XMATCH($E$33,FixedAssets[Asset ID])),IF(AND((_xlfn.XMATCH(AN$8,$AH$8:$CC$8))-_xlfn.XMATCH($C58,$C$35:$C$82)+1&lt;=_xlpm.DepreciationMonths,$C58&lt;=AN$8),$E58/_xlpm.DepreciationMonths,0))</f>
        <v>0</v>
      </c>
      <c r="AO58" s="507" cm="1">
        <f t="array" ref="AO58">_xlfn.LET(_xlpm.DepreciationMonths,INDEX(FixedAssets[Depreciation
/ Amortization Months],_xlfn.XMATCH($E$33,FixedAssets[Asset ID])),IF(AND((_xlfn.XMATCH(AO$8,$AH$8:$CC$8))-_xlfn.XMATCH($C58,$C$35:$C$82)+1&lt;=_xlpm.DepreciationMonths,$C58&lt;=AO$8),$E58/_xlpm.DepreciationMonths,0))</f>
        <v>0</v>
      </c>
      <c r="AP58" s="507" cm="1">
        <f t="array" ref="AP58">_xlfn.LET(_xlpm.DepreciationMonths,INDEX(FixedAssets[Depreciation
/ Amortization Months],_xlfn.XMATCH($E$33,FixedAssets[Asset ID])),IF(AND((_xlfn.XMATCH(AP$8,$AH$8:$CC$8))-_xlfn.XMATCH($C58,$C$35:$C$82)+1&lt;=_xlpm.DepreciationMonths,$C58&lt;=AP$8),$E58/_xlpm.DepreciationMonths,0))</f>
        <v>0</v>
      </c>
      <c r="AQ58" s="507" cm="1">
        <f t="array" ref="AQ58">_xlfn.LET(_xlpm.DepreciationMonths,INDEX(FixedAssets[Depreciation
/ Amortization Months],_xlfn.XMATCH($E$33,FixedAssets[Asset ID])),IF(AND((_xlfn.XMATCH(AQ$8,$AH$8:$CC$8))-_xlfn.XMATCH($C58,$C$35:$C$82)+1&lt;=_xlpm.DepreciationMonths,$C58&lt;=AQ$8),$E58/_xlpm.DepreciationMonths,0))</f>
        <v>0</v>
      </c>
      <c r="AR58" s="507" cm="1">
        <f t="array" ref="AR58">_xlfn.LET(_xlpm.DepreciationMonths,INDEX(FixedAssets[Depreciation
/ Amortization Months],_xlfn.XMATCH($E$33,FixedAssets[Asset ID])),IF(AND((_xlfn.XMATCH(AR$8,$AH$8:$CC$8))-_xlfn.XMATCH($C58,$C$35:$C$82)+1&lt;=_xlpm.DepreciationMonths,$C58&lt;=AR$8),$E58/_xlpm.DepreciationMonths,0))</f>
        <v>0</v>
      </c>
      <c r="AS58" s="507" cm="1">
        <f t="array" ref="AS58">_xlfn.LET(_xlpm.DepreciationMonths,INDEX(FixedAssets[Depreciation
/ Amortization Months],_xlfn.XMATCH($E$33,FixedAssets[Asset ID])),IF(AND((_xlfn.XMATCH(AS$8,$AH$8:$CC$8))-_xlfn.XMATCH($C58,$C$35:$C$82)+1&lt;=_xlpm.DepreciationMonths,$C58&lt;=AS$8),$E58/_xlpm.DepreciationMonths,0))</f>
        <v>0</v>
      </c>
      <c r="AT58" s="507" cm="1">
        <f t="array" ref="AT58">_xlfn.LET(_xlpm.DepreciationMonths,INDEX(FixedAssets[Depreciation
/ Amortization Months],_xlfn.XMATCH($E$33,FixedAssets[Asset ID])),IF(AND((_xlfn.XMATCH(AT$8,$AH$8:$CC$8))-_xlfn.XMATCH($C58,$C$35:$C$82)+1&lt;=_xlpm.DepreciationMonths,$C58&lt;=AT$8),$E58/_xlpm.DepreciationMonths,0))</f>
        <v>0</v>
      </c>
      <c r="AU58" s="507" cm="1">
        <f t="array" ref="AU58">_xlfn.LET(_xlpm.DepreciationMonths,INDEX(FixedAssets[Depreciation
/ Amortization Months],_xlfn.XMATCH($E$33,FixedAssets[Asset ID])),IF(AND((_xlfn.XMATCH(AU$8,$AH$8:$CC$8))-_xlfn.XMATCH($C58,$C$35:$C$82)+1&lt;=_xlpm.DepreciationMonths,$C58&lt;=AU$8),$E58/_xlpm.DepreciationMonths,0))</f>
        <v>0</v>
      </c>
      <c r="AV58" s="507" cm="1">
        <f t="array" ref="AV58">_xlfn.LET(_xlpm.DepreciationMonths,INDEX(FixedAssets[Depreciation
/ Amortization Months],_xlfn.XMATCH($E$33,FixedAssets[Asset ID])),IF(AND((_xlfn.XMATCH(AV$8,$AH$8:$CC$8))-_xlfn.XMATCH($C58,$C$35:$C$82)+1&lt;=_xlpm.DepreciationMonths,$C58&lt;=AV$8),$E58/_xlpm.DepreciationMonths,0))</f>
        <v>0</v>
      </c>
      <c r="AW58" s="507" cm="1">
        <f t="array" ref="AW58">_xlfn.LET(_xlpm.DepreciationMonths,INDEX(FixedAssets[Depreciation
/ Amortization Months],_xlfn.XMATCH($E$33,FixedAssets[Asset ID])),IF(AND((_xlfn.XMATCH(AW$8,$AH$8:$CC$8))-_xlfn.XMATCH($C58,$C$35:$C$82)+1&lt;=_xlpm.DepreciationMonths,$C58&lt;=AW$8),$E58/_xlpm.DepreciationMonths,0))</f>
        <v>0</v>
      </c>
      <c r="AX58" s="507" cm="1">
        <f t="array" ref="AX58">_xlfn.LET(_xlpm.DepreciationMonths,INDEX(FixedAssets[Depreciation
/ Amortization Months],_xlfn.XMATCH($E$33,FixedAssets[Asset ID])),IF(AND((_xlfn.XMATCH(AX$8,$AH$8:$CC$8))-_xlfn.XMATCH($C58,$C$35:$C$82)+1&lt;=_xlpm.DepreciationMonths,$C58&lt;=AX$8),$E58/_xlpm.DepreciationMonths,0))</f>
        <v>0</v>
      </c>
      <c r="AY58" s="507" cm="1">
        <f t="array" ref="AY58">_xlfn.LET(_xlpm.DepreciationMonths,INDEX(FixedAssets[Depreciation
/ Amortization Months],_xlfn.XMATCH($E$33,FixedAssets[Asset ID])),IF(AND((_xlfn.XMATCH(AY$8,$AH$8:$CC$8))-_xlfn.XMATCH($C58,$C$35:$C$82)+1&lt;=_xlpm.DepreciationMonths,$C58&lt;=AY$8),$E58/_xlpm.DepreciationMonths,0))</f>
        <v>0</v>
      </c>
      <c r="AZ58" s="507" cm="1">
        <f t="array" ref="AZ58">_xlfn.LET(_xlpm.DepreciationMonths,INDEX(FixedAssets[Depreciation
/ Amortization Months],_xlfn.XMATCH($E$33,FixedAssets[Asset ID])),IF(AND((_xlfn.XMATCH(AZ$8,$AH$8:$CC$8))-_xlfn.XMATCH($C58,$C$35:$C$82)+1&lt;=_xlpm.DepreciationMonths,$C58&lt;=AZ$8),$E58/_xlpm.DepreciationMonths,0))</f>
        <v>0</v>
      </c>
      <c r="BA58" s="507" cm="1">
        <f t="array" ref="BA58">_xlfn.LET(_xlpm.DepreciationMonths,INDEX(FixedAssets[Depreciation
/ Amortization Months],_xlfn.XMATCH($E$33,FixedAssets[Asset ID])),IF(AND((_xlfn.XMATCH(BA$8,$AH$8:$CC$8))-_xlfn.XMATCH($C58,$C$35:$C$82)+1&lt;=_xlpm.DepreciationMonths,$C58&lt;=BA$8),$E58/_xlpm.DepreciationMonths,0))</f>
        <v>0</v>
      </c>
      <c r="BB58" s="507" cm="1">
        <f t="array" ref="BB58">_xlfn.LET(_xlpm.DepreciationMonths,INDEX(FixedAssets[Depreciation
/ Amortization Months],_xlfn.XMATCH($E$33,FixedAssets[Asset ID])),IF(AND((_xlfn.XMATCH(BB$8,$AH$8:$CC$8))-_xlfn.XMATCH($C58,$C$35:$C$82)+1&lt;=_xlpm.DepreciationMonths,$C58&lt;=BB$8),$E58/_xlpm.DepreciationMonths,0))</f>
        <v>0</v>
      </c>
      <c r="BC58" s="507" cm="1">
        <f t="array" ref="BC58">_xlfn.LET(_xlpm.DepreciationMonths,INDEX(FixedAssets[Depreciation
/ Amortization Months],_xlfn.XMATCH($E$33,FixedAssets[Asset ID])),IF(AND((_xlfn.XMATCH(BC$8,$AH$8:$CC$8))-_xlfn.XMATCH($C58,$C$35:$C$82)+1&lt;=_xlpm.DepreciationMonths,$C58&lt;=BC$8),$E58/_xlpm.DepreciationMonths,0))</f>
        <v>0</v>
      </c>
      <c r="BD58" s="507" cm="1">
        <f t="array" ref="BD58">_xlfn.LET(_xlpm.DepreciationMonths,INDEX(FixedAssets[Depreciation
/ Amortization Months],_xlfn.XMATCH($E$33,FixedAssets[Asset ID])),IF(AND((_xlfn.XMATCH(BD$8,$AH$8:$CC$8))-_xlfn.XMATCH($C58,$C$35:$C$82)+1&lt;=_xlpm.DepreciationMonths,$C58&lt;=BD$8),$E58/_xlpm.DepreciationMonths,0))</f>
        <v>0</v>
      </c>
      <c r="BE58" s="507" cm="1">
        <f t="array" ref="BE58">_xlfn.LET(_xlpm.DepreciationMonths,INDEX(FixedAssets[Depreciation
/ Amortization Months],_xlfn.XMATCH($E$33,FixedAssets[Asset ID])),IF(AND((_xlfn.XMATCH(BE$8,$AH$8:$CC$8))-_xlfn.XMATCH($C58,$C$35:$C$82)+1&lt;=_xlpm.DepreciationMonths,$C58&lt;=BE$8),$E58/_xlpm.DepreciationMonths,0))</f>
        <v>0</v>
      </c>
      <c r="BF58" s="507" cm="1">
        <f t="array" ref="BF58">_xlfn.LET(_xlpm.DepreciationMonths,INDEX(FixedAssets[Depreciation
/ Amortization Months],_xlfn.XMATCH($E$33,FixedAssets[Asset ID])),IF(AND((_xlfn.XMATCH(BF$8,$AH$8:$CC$8))-_xlfn.XMATCH($C58,$C$35:$C$82)+1&lt;=_xlpm.DepreciationMonths,$C58&lt;=BF$8),$E58/_xlpm.DepreciationMonths,0))</f>
        <v>0</v>
      </c>
      <c r="BG58" s="507" cm="1">
        <f t="array" ref="BG58">_xlfn.LET(_xlpm.DepreciationMonths,INDEX(FixedAssets[Depreciation
/ Amortization Months],_xlfn.XMATCH($E$33,FixedAssets[Asset ID])),IF(AND((_xlfn.XMATCH(BG$8,$AH$8:$CC$8))-_xlfn.XMATCH($C58,$C$35:$C$82)+1&lt;=_xlpm.DepreciationMonths,$C58&lt;=BG$8),$E58/_xlpm.DepreciationMonths,0))</f>
        <v>0</v>
      </c>
      <c r="BH58" s="507" cm="1">
        <f t="array" ref="BH58">_xlfn.LET(_xlpm.DepreciationMonths,INDEX(FixedAssets[Depreciation
/ Amortization Months],_xlfn.XMATCH($E$33,FixedAssets[Asset ID])),IF(AND((_xlfn.XMATCH(BH$8,$AH$8:$CC$8))-_xlfn.XMATCH($C58,$C$35:$C$82)+1&lt;=_xlpm.DepreciationMonths,$C58&lt;=BH$8),$E58/_xlpm.DepreciationMonths,0))</f>
        <v>0</v>
      </c>
      <c r="BI58" s="507" cm="1">
        <f t="array" ref="BI58">_xlfn.LET(_xlpm.DepreciationMonths,INDEX(FixedAssets[Depreciation
/ Amortization Months],_xlfn.XMATCH($E$33,FixedAssets[Asset ID])),IF(AND((_xlfn.XMATCH(BI$8,$AH$8:$CC$8))-_xlfn.XMATCH($C58,$C$35:$C$82)+1&lt;=_xlpm.DepreciationMonths,$C58&lt;=BI$8),$E58/_xlpm.DepreciationMonths,0))</f>
        <v>0</v>
      </c>
      <c r="BJ58" s="507" cm="1">
        <f t="array" ref="BJ58">_xlfn.LET(_xlpm.DepreciationMonths,INDEX(FixedAssets[Depreciation
/ Amortization Months],_xlfn.XMATCH($E$33,FixedAssets[Asset ID])),IF(AND((_xlfn.XMATCH(BJ$8,$AH$8:$CC$8))-_xlfn.XMATCH($C58,$C$35:$C$82)+1&lt;=_xlpm.DepreciationMonths,$C58&lt;=BJ$8),$E58/_xlpm.DepreciationMonths,0))</f>
        <v>0</v>
      </c>
      <c r="BK58" s="507" cm="1">
        <f t="array" ref="BK58">_xlfn.LET(_xlpm.DepreciationMonths,INDEX(FixedAssets[Depreciation
/ Amortization Months],_xlfn.XMATCH($E$33,FixedAssets[Asset ID])),IF(AND((_xlfn.XMATCH(BK$8,$AH$8:$CC$8))-_xlfn.XMATCH($C58,$C$35:$C$82)+1&lt;=_xlpm.DepreciationMonths,$C58&lt;=BK$8),$E58/_xlpm.DepreciationMonths,0))</f>
        <v>0</v>
      </c>
      <c r="BL58" s="507" cm="1">
        <f t="array" ref="BL58">_xlfn.LET(_xlpm.DepreciationMonths,INDEX(FixedAssets[Depreciation
/ Amortization Months],_xlfn.XMATCH($E$33,FixedAssets[Asset ID])),IF(AND((_xlfn.XMATCH(BL$8,$AH$8:$CC$8))-_xlfn.XMATCH($C58,$C$35:$C$82)+1&lt;=_xlpm.DepreciationMonths,$C58&lt;=BL$8),$E58/_xlpm.DepreciationMonths,0))</f>
        <v>0</v>
      </c>
      <c r="BM58" s="507" cm="1">
        <f t="array" ref="BM58">_xlfn.LET(_xlpm.DepreciationMonths,INDEX(FixedAssets[Depreciation
/ Amortization Months],_xlfn.XMATCH($E$33,FixedAssets[Asset ID])),IF(AND((_xlfn.XMATCH(BM$8,$AH$8:$CC$8))-_xlfn.XMATCH($C58,$C$35:$C$82)+1&lt;=_xlpm.DepreciationMonths,$C58&lt;=BM$8),$E58/_xlpm.DepreciationMonths,0))</f>
        <v>0</v>
      </c>
      <c r="BN58" s="507" cm="1">
        <f t="array" ref="BN58">_xlfn.LET(_xlpm.DepreciationMonths,INDEX(FixedAssets[Depreciation
/ Amortization Months],_xlfn.XMATCH($E$33,FixedAssets[Asset ID])),IF(AND((_xlfn.XMATCH(BN$8,$AH$8:$CC$8))-_xlfn.XMATCH($C58,$C$35:$C$82)+1&lt;=_xlpm.DepreciationMonths,$C58&lt;=BN$8),$E58/_xlpm.DepreciationMonths,0))</f>
        <v>0</v>
      </c>
      <c r="BO58" s="507" cm="1">
        <f t="array" ref="BO58">_xlfn.LET(_xlpm.DepreciationMonths,INDEX(FixedAssets[Depreciation
/ Amortization Months],_xlfn.XMATCH($E$33,FixedAssets[Asset ID])),IF(AND((_xlfn.XMATCH(BO$8,$AH$8:$CC$8))-_xlfn.XMATCH($C58,$C$35:$C$82)+1&lt;=_xlpm.DepreciationMonths,$C58&lt;=BO$8),$E58/_xlpm.DepreciationMonths,0))</f>
        <v>0</v>
      </c>
      <c r="BP58" s="507" cm="1">
        <f t="array" ref="BP58">_xlfn.LET(_xlpm.DepreciationMonths,INDEX(FixedAssets[Depreciation
/ Amortization Months],_xlfn.XMATCH($E$33,FixedAssets[Asset ID])),IF(AND((_xlfn.XMATCH(BP$8,$AH$8:$CC$8))-_xlfn.XMATCH($C58,$C$35:$C$82)+1&lt;=_xlpm.DepreciationMonths,$C58&lt;=BP$8),$E58/_xlpm.DepreciationMonths,0))</f>
        <v>0</v>
      </c>
      <c r="BQ58" s="507" cm="1">
        <f t="array" ref="BQ58">_xlfn.LET(_xlpm.DepreciationMonths,INDEX(FixedAssets[Depreciation
/ Amortization Months],_xlfn.XMATCH($E$33,FixedAssets[Asset ID])),IF(AND((_xlfn.XMATCH(BQ$8,$AH$8:$CC$8))-_xlfn.XMATCH($C58,$C$35:$C$82)+1&lt;=_xlpm.DepreciationMonths,$C58&lt;=BQ$8),$E58/_xlpm.DepreciationMonths,0))</f>
        <v>0</v>
      </c>
      <c r="BR58" s="507" cm="1">
        <f t="array" ref="BR58">_xlfn.LET(_xlpm.DepreciationMonths,INDEX(FixedAssets[Depreciation
/ Amortization Months],_xlfn.XMATCH($E$33,FixedAssets[Asset ID])),IF(AND((_xlfn.XMATCH(BR$8,$AH$8:$CC$8))-_xlfn.XMATCH($C58,$C$35:$C$82)+1&lt;=_xlpm.DepreciationMonths,$C58&lt;=BR$8),$E58/_xlpm.DepreciationMonths,0))</f>
        <v>0</v>
      </c>
      <c r="BS58" s="507" cm="1">
        <f t="array" ref="BS58">_xlfn.LET(_xlpm.DepreciationMonths,INDEX(FixedAssets[Depreciation
/ Amortization Months],_xlfn.XMATCH($E$33,FixedAssets[Asset ID])),IF(AND((_xlfn.XMATCH(BS$8,$AH$8:$CC$8))-_xlfn.XMATCH($C58,$C$35:$C$82)+1&lt;=_xlpm.DepreciationMonths,$C58&lt;=BS$8),$E58/_xlpm.DepreciationMonths,0))</f>
        <v>0</v>
      </c>
      <c r="BT58" s="507" cm="1">
        <f t="array" ref="BT58">_xlfn.LET(_xlpm.DepreciationMonths,INDEX(FixedAssets[Depreciation
/ Amortization Months],_xlfn.XMATCH($E$33,FixedAssets[Asset ID])),IF(AND((_xlfn.XMATCH(BT$8,$AH$8:$CC$8))-_xlfn.XMATCH($C58,$C$35:$C$82)+1&lt;=_xlpm.DepreciationMonths,$C58&lt;=BT$8),$E58/_xlpm.DepreciationMonths,0))</f>
        <v>0</v>
      </c>
      <c r="BU58" s="507" cm="1">
        <f t="array" ref="BU58">_xlfn.LET(_xlpm.DepreciationMonths,INDEX(FixedAssets[Depreciation
/ Amortization Months],_xlfn.XMATCH($E$33,FixedAssets[Asset ID])),IF(AND((_xlfn.XMATCH(BU$8,$AH$8:$CC$8))-_xlfn.XMATCH($C58,$C$35:$C$82)+1&lt;=_xlpm.DepreciationMonths,$C58&lt;=BU$8),$E58/_xlpm.DepreciationMonths,0))</f>
        <v>0</v>
      </c>
      <c r="BV58" s="507" cm="1">
        <f t="array" ref="BV58">_xlfn.LET(_xlpm.DepreciationMonths,INDEX(FixedAssets[Depreciation
/ Amortization Months],_xlfn.XMATCH($E$33,FixedAssets[Asset ID])),IF(AND((_xlfn.XMATCH(BV$8,$AH$8:$CC$8))-_xlfn.XMATCH($C58,$C$35:$C$82)+1&lt;=_xlpm.DepreciationMonths,$C58&lt;=BV$8),$E58/_xlpm.DepreciationMonths,0))</f>
        <v>0</v>
      </c>
      <c r="BW58" s="507" cm="1">
        <f t="array" ref="BW58">_xlfn.LET(_xlpm.DepreciationMonths,INDEX(FixedAssets[Depreciation
/ Amortization Months],_xlfn.XMATCH($E$33,FixedAssets[Asset ID])),IF(AND((_xlfn.XMATCH(BW$8,$AH$8:$CC$8))-_xlfn.XMATCH($C58,$C$35:$C$82)+1&lt;=_xlpm.DepreciationMonths,$C58&lt;=BW$8),$E58/_xlpm.DepreciationMonths,0))</f>
        <v>0</v>
      </c>
      <c r="BX58" s="507" cm="1">
        <f t="array" ref="BX58">_xlfn.LET(_xlpm.DepreciationMonths,INDEX(FixedAssets[Depreciation
/ Amortization Months],_xlfn.XMATCH($E$33,FixedAssets[Asset ID])),IF(AND((_xlfn.XMATCH(BX$8,$AH$8:$CC$8))-_xlfn.XMATCH($C58,$C$35:$C$82)+1&lt;=_xlpm.DepreciationMonths,$C58&lt;=BX$8),$E58/_xlpm.DepreciationMonths,0))</f>
        <v>0</v>
      </c>
      <c r="BY58" s="507" cm="1">
        <f t="array" ref="BY58">_xlfn.LET(_xlpm.DepreciationMonths,INDEX(FixedAssets[Depreciation
/ Amortization Months],_xlfn.XMATCH($E$33,FixedAssets[Asset ID])),IF(AND((_xlfn.XMATCH(BY$8,$AH$8:$CC$8))-_xlfn.XMATCH($C58,$C$35:$C$82)+1&lt;=_xlpm.DepreciationMonths,$C58&lt;=BY$8),$E58/_xlpm.DepreciationMonths,0))</f>
        <v>0</v>
      </c>
      <c r="BZ58" s="507" cm="1">
        <f t="array" ref="BZ58">_xlfn.LET(_xlpm.DepreciationMonths,INDEX(FixedAssets[Depreciation
/ Amortization Months],_xlfn.XMATCH($E$33,FixedAssets[Asset ID])),IF(AND((_xlfn.XMATCH(BZ$8,$AH$8:$CC$8))-_xlfn.XMATCH($C58,$C$35:$C$82)+1&lt;=_xlpm.DepreciationMonths,$C58&lt;=BZ$8),$E58/_xlpm.DepreciationMonths,0))</f>
        <v>0</v>
      </c>
      <c r="CA58" s="507" cm="1">
        <f t="array" ref="CA58">_xlfn.LET(_xlpm.DepreciationMonths,INDEX(FixedAssets[Depreciation
/ Amortization Months],_xlfn.XMATCH($E$33,FixedAssets[Asset ID])),IF(AND((_xlfn.XMATCH(CA$8,$AH$8:$CC$8))-_xlfn.XMATCH($C58,$C$35:$C$82)+1&lt;=_xlpm.DepreciationMonths,$C58&lt;=CA$8),$E58/_xlpm.DepreciationMonths,0))</f>
        <v>0</v>
      </c>
      <c r="CB58" s="507" cm="1">
        <f t="array" ref="CB58">_xlfn.LET(_xlpm.DepreciationMonths,INDEX(FixedAssets[Depreciation
/ Amortization Months],_xlfn.XMATCH($E$33,FixedAssets[Asset ID])),IF(AND((_xlfn.XMATCH(CB$8,$AH$8:$CC$8))-_xlfn.XMATCH($C58,$C$35:$C$82)+1&lt;=_xlpm.DepreciationMonths,$C58&lt;=CB$8),$E58/_xlpm.DepreciationMonths,0))</f>
        <v>0</v>
      </c>
      <c r="CC58" s="507" cm="1">
        <f t="array" ref="CC58">_xlfn.LET(_xlpm.DepreciationMonths,INDEX(FixedAssets[Depreciation
/ Amortization Months],_xlfn.XMATCH($E$33,FixedAssets[Asset ID])),IF(AND((_xlfn.XMATCH(CC$8,$AH$8:$CC$8))-_xlfn.XMATCH($C58,$C$35:$C$82)+1&lt;=_xlpm.DepreciationMonths,$C58&lt;=CC$8),$E58/_xlpm.DepreciationMonths,0))</f>
        <v>0</v>
      </c>
    </row>
    <row r="59" spans="3:81" hidden="1" outlineLevel="2">
      <c r="C59" s="664">
        <f t="shared" si="91"/>
        <v>45688</v>
      </c>
      <c r="D59" s="508"/>
      <c r="E59" s="508" cm="1">
        <f t="array" ref="E59">SUMPRODUCT(($AH$26:$CC$31)*($AH$5:$CC$5=$C59)*($E$26:$E$31=E$33))-SUMPRODUCT(($AH$26:$CC$31)*($AH$5:$CC$5=EOMONTH($C59,-1))*($E$26:$E$31=E$33))</f>
        <v>0</v>
      </c>
      <c r="F59" s="508"/>
      <c r="G59" s="508"/>
      <c r="H59" s="508"/>
      <c r="I59" s="508"/>
      <c r="J59" s="504">
        <f t="shared" si="88"/>
        <v>0</v>
      </c>
      <c r="K59" s="504">
        <f t="shared" si="93"/>
        <v>0</v>
      </c>
      <c r="L59" s="504">
        <f t="shared" si="93"/>
        <v>0</v>
      </c>
      <c r="M59" s="504">
        <f t="shared" si="93"/>
        <v>0</v>
      </c>
      <c r="N59" s="504"/>
      <c r="O59" s="504"/>
      <c r="P59" s="504">
        <f t="shared" si="94"/>
        <v>0</v>
      </c>
      <c r="Q59" s="504">
        <f t="shared" si="94"/>
        <v>0</v>
      </c>
      <c r="R59" s="504">
        <f t="shared" si="94"/>
        <v>0</v>
      </c>
      <c r="S59" s="504">
        <f t="shared" si="94"/>
        <v>0</v>
      </c>
      <c r="T59" s="504">
        <f t="shared" si="94"/>
        <v>0</v>
      </c>
      <c r="U59" s="504">
        <f t="shared" si="94"/>
        <v>0</v>
      </c>
      <c r="V59" s="504">
        <f t="shared" si="94"/>
        <v>0</v>
      </c>
      <c r="W59" s="504">
        <f t="shared" si="94"/>
        <v>0</v>
      </c>
      <c r="X59" s="504">
        <f t="shared" si="94"/>
        <v>0</v>
      </c>
      <c r="Y59" s="504">
        <f t="shared" si="94"/>
        <v>0</v>
      </c>
      <c r="Z59" s="504">
        <f t="shared" si="94"/>
        <v>0</v>
      </c>
      <c r="AA59" s="504">
        <f t="shared" si="94"/>
        <v>0</v>
      </c>
      <c r="AB59" s="504">
        <f t="shared" si="94"/>
        <v>0</v>
      </c>
      <c r="AC59" s="504">
        <f t="shared" si="94"/>
        <v>0</v>
      </c>
      <c r="AD59" s="504">
        <f t="shared" si="94"/>
        <v>0</v>
      </c>
      <c r="AE59" s="504">
        <f t="shared" si="94"/>
        <v>0</v>
      </c>
      <c r="AF59" s="508"/>
      <c r="AG59" s="508"/>
      <c r="AH59" s="507" cm="1">
        <f t="array" ref="AH59">_xlfn.LET(_xlpm.DepreciationMonths,INDEX(FixedAssets[Depreciation
/ Amortization Months],_xlfn.XMATCH($E$33,FixedAssets[Asset ID])),IF(AND((_xlfn.XMATCH(AH$8,$AH$8:$CC$8))-_xlfn.XMATCH($C59,$C$35:$C$82)+1&lt;=_xlpm.DepreciationMonths,$C59&lt;=AH$8),$E59/_xlpm.DepreciationMonths,0))</f>
        <v>0</v>
      </c>
      <c r="AI59" s="507" cm="1">
        <f t="array" ref="AI59">_xlfn.LET(_xlpm.DepreciationMonths,INDEX(FixedAssets[Depreciation
/ Amortization Months],_xlfn.XMATCH($E$33,FixedAssets[Asset ID])),IF(AND((_xlfn.XMATCH(AI$8,$AH$8:$CC$8))-_xlfn.XMATCH($C59,$C$35:$C$82)+1&lt;=_xlpm.DepreciationMonths,$C59&lt;=AI$8),$E59/_xlpm.DepreciationMonths,0))</f>
        <v>0</v>
      </c>
      <c r="AJ59" s="507" cm="1">
        <f t="array" ref="AJ59">_xlfn.LET(_xlpm.DepreciationMonths,INDEX(FixedAssets[Depreciation
/ Amortization Months],_xlfn.XMATCH($E$33,FixedAssets[Asset ID])),IF(AND((_xlfn.XMATCH(AJ$8,$AH$8:$CC$8))-_xlfn.XMATCH($C59,$C$35:$C$82)+1&lt;=_xlpm.DepreciationMonths,$C59&lt;=AJ$8),$E59/_xlpm.DepreciationMonths,0))</f>
        <v>0</v>
      </c>
      <c r="AK59" s="507" cm="1">
        <f t="array" ref="AK59">_xlfn.LET(_xlpm.DepreciationMonths,INDEX(FixedAssets[Depreciation
/ Amortization Months],_xlfn.XMATCH($E$33,FixedAssets[Asset ID])),IF(AND((_xlfn.XMATCH(AK$8,$AH$8:$CC$8))-_xlfn.XMATCH($C59,$C$35:$C$82)+1&lt;=_xlpm.DepreciationMonths,$C59&lt;=AK$8),$E59/_xlpm.DepreciationMonths,0))</f>
        <v>0</v>
      </c>
      <c r="AL59" s="507" cm="1">
        <f t="array" ref="AL59">_xlfn.LET(_xlpm.DepreciationMonths,INDEX(FixedAssets[Depreciation
/ Amortization Months],_xlfn.XMATCH($E$33,FixedAssets[Asset ID])),IF(AND((_xlfn.XMATCH(AL$8,$AH$8:$CC$8))-_xlfn.XMATCH($C59,$C$35:$C$82)+1&lt;=_xlpm.DepreciationMonths,$C59&lt;=AL$8),$E59/_xlpm.DepreciationMonths,0))</f>
        <v>0</v>
      </c>
      <c r="AM59" s="507" cm="1">
        <f t="array" ref="AM59">_xlfn.LET(_xlpm.DepreciationMonths,INDEX(FixedAssets[Depreciation
/ Amortization Months],_xlfn.XMATCH($E$33,FixedAssets[Asset ID])),IF(AND((_xlfn.XMATCH(AM$8,$AH$8:$CC$8))-_xlfn.XMATCH($C59,$C$35:$C$82)+1&lt;=_xlpm.DepreciationMonths,$C59&lt;=AM$8),$E59/_xlpm.DepreciationMonths,0))</f>
        <v>0</v>
      </c>
      <c r="AN59" s="507" cm="1">
        <f t="array" ref="AN59">_xlfn.LET(_xlpm.DepreciationMonths,INDEX(FixedAssets[Depreciation
/ Amortization Months],_xlfn.XMATCH($E$33,FixedAssets[Asset ID])),IF(AND((_xlfn.XMATCH(AN$8,$AH$8:$CC$8))-_xlfn.XMATCH($C59,$C$35:$C$82)+1&lt;=_xlpm.DepreciationMonths,$C59&lt;=AN$8),$E59/_xlpm.DepreciationMonths,0))</f>
        <v>0</v>
      </c>
      <c r="AO59" s="507" cm="1">
        <f t="array" ref="AO59">_xlfn.LET(_xlpm.DepreciationMonths,INDEX(FixedAssets[Depreciation
/ Amortization Months],_xlfn.XMATCH($E$33,FixedAssets[Asset ID])),IF(AND((_xlfn.XMATCH(AO$8,$AH$8:$CC$8))-_xlfn.XMATCH($C59,$C$35:$C$82)+1&lt;=_xlpm.DepreciationMonths,$C59&lt;=AO$8),$E59/_xlpm.DepreciationMonths,0))</f>
        <v>0</v>
      </c>
      <c r="AP59" s="507" cm="1">
        <f t="array" ref="AP59">_xlfn.LET(_xlpm.DepreciationMonths,INDEX(FixedAssets[Depreciation
/ Amortization Months],_xlfn.XMATCH($E$33,FixedAssets[Asset ID])),IF(AND((_xlfn.XMATCH(AP$8,$AH$8:$CC$8))-_xlfn.XMATCH($C59,$C$35:$C$82)+1&lt;=_xlpm.DepreciationMonths,$C59&lt;=AP$8),$E59/_xlpm.DepreciationMonths,0))</f>
        <v>0</v>
      </c>
      <c r="AQ59" s="507" cm="1">
        <f t="array" ref="AQ59">_xlfn.LET(_xlpm.DepreciationMonths,INDEX(FixedAssets[Depreciation
/ Amortization Months],_xlfn.XMATCH($E$33,FixedAssets[Asset ID])),IF(AND((_xlfn.XMATCH(AQ$8,$AH$8:$CC$8))-_xlfn.XMATCH($C59,$C$35:$C$82)+1&lt;=_xlpm.DepreciationMonths,$C59&lt;=AQ$8),$E59/_xlpm.DepreciationMonths,0))</f>
        <v>0</v>
      </c>
      <c r="AR59" s="507" cm="1">
        <f t="array" ref="AR59">_xlfn.LET(_xlpm.DepreciationMonths,INDEX(FixedAssets[Depreciation
/ Amortization Months],_xlfn.XMATCH($E$33,FixedAssets[Asset ID])),IF(AND((_xlfn.XMATCH(AR$8,$AH$8:$CC$8))-_xlfn.XMATCH($C59,$C$35:$C$82)+1&lt;=_xlpm.DepreciationMonths,$C59&lt;=AR$8),$E59/_xlpm.DepreciationMonths,0))</f>
        <v>0</v>
      </c>
      <c r="AS59" s="507" cm="1">
        <f t="array" ref="AS59">_xlfn.LET(_xlpm.DepreciationMonths,INDEX(FixedAssets[Depreciation
/ Amortization Months],_xlfn.XMATCH($E$33,FixedAssets[Asset ID])),IF(AND((_xlfn.XMATCH(AS$8,$AH$8:$CC$8))-_xlfn.XMATCH($C59,$C$35:$C$82)+1&lt;=_xlpm.DepreciationMonths,$C59&lt;=AS$8),$E59/_xlpm.DepreciationMonths,0))</f>
        <v>0</v>
      </c>
      <c r="AT59" s="507" cm="1">
        <f t="array" ref="AT59">_xlfn.LET(_xlpm.DepreciationMonths,INDEX(FixedAssets[Depreciation
/ Amortization Months],_xlfn.XMATCH($E$33,FixedAssets[Asset ID])),IF(AND((_xlfn.XMATCH(AT$8,$AH$8:$CC$8))-_xlfn.XMATCH($C59,$C$35:$C$82)+1&lt;=_xlpm.DepreciationMonths,$C59&lt;=AT$8),$E59/_xlpm.DepreciationMonths,0))</f>
        <v>0</v>
      </c>
      <c r="AU59" s="507" cm="1">
        <f t="array" ref="AU59">_xlfn.LET(_xlpm.DepreciationMonths,INDEX(FixedAssets[Depreciation
/ Amortization Months],_xlfn.XMATCH($E$33,FixedAssets[Asset ID])),IF(AND((_xlfn.XMATCH(AU$8,$AH$8:$CC$8))-_xlfn.XMATCH($C59,$C$35:$C$82)+1&lt;=_xlpm.DepreciationMonths,$C59&lt;=AU$8),$E59/_xlpm.DepreciationMonths,0))</f>
        <v>0</v>
      </c>
      <c r="AV59" s="507" cm="1">
        <f t="array" ref="AV59">_xlfn.LET(_xlpm.DepreciationMonths,INDEX(FixedAssets[Depreciation
/ Amortization Months],_xlfn.XMATCH($E$33,FixedAssets[Asset ID])),IF(AND((_xlfn.XMATCH(AV$8,$AH$8:$CC$8))-_xlfn.XMATCH($C59,$C$35:$C$82)+1&lt;=_xlpm.DepreciationMonths,$C59&lt;=AV$8),$E59/_xlpm.DepreciationMonths,0))</f>
        <v>0</v>
      </c>
      <c r="AW59" s="507" cm="1">
        <f t="array" ref="AW59">_xlfn.LET(_xlpm.DepreciationMonths,INDEX(FixedAssets[Depreciation
/ Amortization Months],_xlfn.XMATCH($E$33,FixedAssets[Asset ID])),IF(AND((_xlfn.XMATCH(AW$8,$AH$8:$CC$8))-_xlfn.XMATCH($C59,$C$35:$C$82)+1&lt;=_xlpm.DepreciationMonths,$C59&lt;=AW$8),$E59/_xlpm.DepreciationMonths,0))</f>
        <v>0</v>
      </c>
      <c r="AX59" s="507" cm="1">
        <f t="array" ref="AX59">_xlfn.LET(_xlpm.DepreciationMonths,INDEX(FixedAssets[Depreciation
/ Amortization Months],_xlfn.XMATCH($E$33,FixedAssets[Asset ID])),IF(AND((_xlfn.XMATCH(AX$8,$AH$8:$CC$8))-_xlfn.XMATCH($C59,$C$35:$C$82)+1&lt;=_xlpm.DepreciationMonths,$C59&lt;=AX$8),$E59/_xlpm.DepreciationMonths,0))</f>
        <v>0</v>
      </c>
      <c r="AY59" s="507" cm="1">
        <f t="array" ref="AY59">_xlfn.LET(_xlpm.DepreciationMonths,INDEX(FixedAssets[Depreciation
/ Amortization Months],_xlfn.XMATCH($E$33,FixedAssets[Asset ID])),IF(AND((_xlfn.XMATCH(AY$8,$AH$8:$CC$8))-_xlfn.XMATCH($C59,$C$35:$C$82)+1&lt;=_xlpm.DepreciationMonths,$C59&lt;=AY$8),$E59/_xlpm.DepreciationMonths,0))</f>
        <v>0</v>
      </c>
      <c r="AZ59" s="507" cm="1">
        <f t="array" ref="AZ59">_xlfn.LET(_xlpm.DepreciationMonths,INDEX(FixedAssets[Depreciation
/ Amortization Months],_xlfn.XMATCH($E$33,FixedAssets[Asset ID])),IF(AND((_xlfn.XMATCH(AZ$8,$AH$8:$CC$8))-_xlfn.XMATCH($C59,$C$35:$C$82)+1&lt;=_xlpm.DepreciationMonths,$C59&lt;=AZ$8),$E59/_xlpm.DepreciationMonths,0))</f>
        <v>0</v>
      </c>
      <c r="BA59" s="507" cm="1">
        <f t="array" ref="BA59">_xlfn.LET(_xlpm.DepreciationMonths,INDEX(FixedAssets[Depreciation
/ Amortization Months],_xlfn.XMATCH($E$33,FixedAssets[Asset ID])),IF(AND((_xlfn.XMATCH(BA$8,$AH$8:$CC$8))-_xlfn.XMATCH($C59,$C$35:$C$82)+1&lt;=_xlpm.DepreciationMonths,$C59&lt;=BA$8),$E59/_xlpm.DepreciationMonths,0))</f>
        <v>0</v>
      </c>
      <c r="BB59" s="507" cm="1">
        <f t="array" ref="BB59">_xlfn.LET(_xlpm.DepreciationMonths,INDEX(FixedAssets[Depreciation
/ Amortization Months],_xlfn.XMATCH($E$33,FixedAssets[Asset ID])),IF(AND((_xlfn.XMATCH(BB$8,$AH$8:$CC$8))-_xlfn.XMATCH($C59,$C$35:$C$82)+1&lt;=_xlpm.DepreciationMonths,$C59&lt;=BB$8),$E59/_xlpm.DepreciationMonths,0))</f>
        <v>0</v>
      </c>
      <c r="BC59" s="507" cm="1">
        <f t="array" ref="BC59">_xlfn.LET(_xlpm.DepreciationMonths,INDEX(FixedAssets[Depreciation
/ Amortization Months],_xlfn.XMATCH($E$33,FixedAssets[Asset ID])),IF(AND((_xlfn.XMATCH(BC$8,$AH$8:$CC$8))-_xlfn.XMATCH($C59,$C$35:$C$82)+1&lt;=_xlpm.DepreciationMonths,$C59&lt;=BC$8),$E59/_xlpm.DepreciationMonths,0))</f>
        <v>0</v>
      </c>
      <c r="BD59" s="507" cm="1">
        <f t="array" ref="BD59">_xlfn.LET(_xlpm.DepreciationMonths,INDEX(FixedAssets[Depreciation
/ Amortization Months],_xlfn.XMATCH($E$33,FixedAssets[Asset ID])),IF(AND((_xlfn.XMATCH(BD$8,$AH$8:$CC$8))-_xlfn.XMATCH($C59,$C$35:$C$82)+1&lt;=_xlpm.DepreciationMonths,$C59&lt;=BD$8),$E59/_xlpm.DepreciationMonths,0))</f>
        <v>0</v>
      </c>
      <c r="BE59" s="507" cm="1">
        <f t="array" ref="BE59">_xlfn.LET(_xlpm.DepreciationMonths,INDEX(FixedAssets[Depreciation
/ Amortization Months],_xlfn.XMATCH($E$33,FixedAssets[Asset ID])),IF(AND((_xlfn.XMATCH(BE$8,$AH$8:$CC$8))-_xlfn.XMATCH($C59,$C$35:$C$82)+1&lt;=_xlpm.DepreciationMonths,$C59&lt;=BE$8),$E59/_xlpm.DepreciationMonths,0))</f>
        <v>0</v>
      </c>
      <c r="BF59" s="507" cm="1">
        <f t="array" ref="BF59">_xlfn.LET(_xlpm.DepreciationMonths,INDEX(FixedAssets[Depreciation
/ Amortization Months],_xlfn.XMATCH($E$33,FixedAssets[Asset ID])),IF(AND((_xlfn.XMATCH(BF$8,$AH$8:$CC$8))-_xlfn.XMATCH($C59,$C$35:$C$82)+1&lt;=_xlpm.DepreciationMonths,$C59&lt;=BF$8),$E59/_xlpm.DepreciationMonths,0))</f>
        <v>0</v>
      </c>
      <c r="BG59" s="507" cm="1">
        <f t="array" ref="BG59">_xlfn.LET(_xlpm.DepreciationMonths,INDEX(FixedAssets[Depreciation
/ Amortization Months],_xlfn.XMATCH($E$33,FixedAssets[Asset ID])),IF(AND((_xlfn.XMATCH(BG$8,$AH$8:$CC$8))-_xlfn.XMATCH($C59,$C$35:$C$82)+1&lt;=_xlpm.DepreciationMonths,$C59&lt;=BG$8),$E59/_xlpm.DepreciationMonths,0))</f>
        <v>0</v>
      </c>
      <c r="BH59" s="507" cm="1">
        <f t="array" ref="BH59">_xlfn.LET(_xlpm.DepreciationMonths,INDEX(FixedAssets[Depreciation
/ Amortization Months],_xlfn.XMATCH($E$33,FixedAssets[Asset ID])),IF(AND((_xlfn.XMATCH(BH$8,$AH$8:$CC$8))-_xlfn.XMATCH($C59,$C$35:$C$82)+1&lt;=_xlpm.DepreciationMonths,$C59&lt;=BH$8),$E59/_xlpm.DepreciationMonths,0))</f>
        <v>0</v>
      </c>
      <c r="BI59" s="507" cm="1">
        <f t="array" ref="BI59">_xlfn.LET(_xlpm.DepreciationMonths,INDEX(FixedAssets[Depreciation
/ Amortization Months],_xlfn.XMATCH($E$33,FixedAssets[Asset ID])),IF(AND((_xlfn.XMATCH(BI$8,$AH$8:$CC$8))-_xlfn.XMATCH($C59,$C$35:$C$82)+1&lt;=_xlpm.DepreciationMonths,$C59&lt;=BI$8),$E59/_xlpm.DepreciationMonths,0))</f>
        <v>0</v>
      </c>
      <c r="BJ59" s="507" cm="1">
        <f t="array" ref="BJ59">_xlfn.LET(_xlpm.DepreciationMonths,INDEX(FixedAssets[Depreciation
/ Amortization Months],_xlfn.XMATCH($E$33,FixedAssets[Asset ID])),IF(AND((_xlfn.XMATCH(BJ$8,$AH$8:$CC$8))-_xlfn.XMATCH($C59,$C$35:$C$82)+1&lt;=_xlpm.DepreciationMonths,$C59&lt;=BJ$8),$E59/_xlpm.DepreciationMonths,0))</f>
        <v>0</v>
      </c>
      <c r="BK59" s="507" cm="1">
        <f t="array" ref="BK59">_xlfn.LET(_xlpm.DepreciationMonths,INDEX(FixedAssets[Depreciation
/ Amortization Months],_xlfn.XMATCH($E$33,FixedAssets[Asset ID])),IF(AND((_xlfn.XMATCH(BK$8,$AH$8:$CC$8))-_xlfn.XMATCH($C59,$C$35:$C$82)+1&lt;=_xlpm.DepreciationMonths,$C59&lt;=BK$8),$E59/_xlpm.DepreciationMonths,0))</f>
        <v>0</v>
      </c>
      <c r="BL59" s="507" cm="1">
        <f t="array" ref="BL59">_xlfn.LET(_xlpm.DepreciationMonths,INDEX(FixedAssets[Depreciation
/ Amortization Months],_xlfn.XMATCH($E$33,FixedAssets[Asset ID])),IF(AND((_xlfn.XMATCH(BL$8,$AH$8:$CC$8))-_xlfn.XMATCH($C59,$C$35:$C$82)+1&lt;=_xlpm.DepreciationMonths,$C59&lt;=BL$8),$E59/_xlpm.DepreciationMonths,0))</f>
        <v>0</v>
      </c>
      <c r="BM59" s="507" cm="1">
        <f t="array" ref="BM59">_xlfn.LET(_xlpm.DepreciationMonths,INDEX(FixedAssets[Depreciation
/ Amortization Months],_xlfn.XMATCH($E$33,FixedAssets[Asset ID])),IF(AND((_xlfn.XMATCH(BM$8,$AH$8:$CC$8))-_xlfn.XMATCH($C59,$C$35:$C$82)+1&lt;=_xlpm.DepreciationMonths,$C59&lt;=BM$8),$E59/_xlpm.DepreciationMonths,0))</f>
        <v>0</v>
      </c>
      <c r="BN59" s="507" cm="1">
        <f t="array" ref="BN59">_xlfn.LET(_xlpm.DepreciationMonths,INDEX(FixedAssets[Depreciation
/ Amortization Months],_xlfn.XMATCH($E$33,FixedAssets[Asset ID])),IF(AND((_xlfn.XMATCH(BN$8,$AH$8:$CC$8))-_xlfn.XMATCH($C59,$C$35:$C$82)+1&lt;=_xlpm.DepreciationMonths,$C59&lt;=BN$8),$E59/_xlpm.DepreciationMonths,0))</f>
        <v>0</v>
      </c>
      <c r="BO59" s="507" cm="1">
        <f t="array" ref="BO59">_xlfn.LET(_xlpm.DepreciationMonths,INDEX(FixedAssets[Depreciation
/ Amortization Months],_xlfn.XMATCH($E$33,FixedAssets[Asset ID])),IF(AND((_xlfn.XMATCH(BO$8,$AH$8:$CC$8))-_xlfn.XMATCH($C59,$C$35:$C$82)+1&lt;=_xlpm.DepreciationMonths,$C59&lt;=BO$8),$E59/_xlpm.DepreciationMonths,0))</f>
        <v>0</v>
      </c>
      <c r="BP59" s="507" cm="1">
        <f t="array" ref="BP59">_xlfn.LET(_xlpm.DepreciationMonths,INDEX(FixedAssets[Depreciation
/ Amortization Months],_xlfn.XMATCH($E$33,FixedAssets[Asset ID])),IF(AND((_xlfn.XMATCH(BP$8,$AH$8:$CC$8))-_xlfn.XMATCH($C59,$C$35:$C$82)+1&lt;=_xlpm.DepreciationMonths,$C59&lt;=BP$8),$E59/_xlpm.DepreciationMonths,0))</f>
        <v>0</v>
      </c>
      <c r="BQ59" s="507" cm="1">
        <f t="array" ref="BQ59">_xlfn.LET(_xlpm.DepreciationMonths,INDEX(FixedAssets[Depreciation
/ Amortization Months],_xlfn.XMATCH($E$33,FixedAssets[Asset ID])),IF(AND((_xlfn.XMATCH(BQ$8,$AH$8:$CC$8))-_xlfn.XMATCH($C59,$C$35:$C$82)+1&lt;=_xlpm.DepreciationMonths,$C59&lt;=BQ$8),$E59/_xlpm.DepreciationMonths,0))</f>
        <v>0</v>
      </c>
      <c r="BR59" s="507" cm="1">
        <f t="array" ref="BR59">_xlfn.LET(_xlpm.DepreciationMonths,INDEX(FixedAssets[Depreciation
/ Amortization Months],_xlfn.XMATCH($E$33,FixedAssets[Asset ID])),IF(AND((_xlfn.XMATCH(BR$8,$AH$8:$CC$8))-_xlfn.XMATCH($C59,$C$35:$C$82)+1&lt;=_xlpm.DepreciationMonths,$C59&lt;=BR$8),$E59/_xlpm.DepreciationMonths,0))</f>
        <v>0</v>
      </c>
      <c r="BS59" s="507" cm="1">
        <f t="array" ref="BS59">_xlfn.LET(_xlpm.DepreciationMonths,INDEX(FixedAssets[Depreciation
/ Amortization Months],_xlfn.XMATCH($E$33,FixedAssets[Asset ID])),IF(AND((_xlfn.XMATCH(BS$8,$AH$8:$CC$8))-_xlfn.XMATCH($C59,$C$35:$C$82)+1&lt;=_xlpm.DepreciationMonths,$C59&lt;=BS$8),$E59/_xlpm.DepreciationMonths,0))</f>
        <v>0</v>
      </c>
      <c r="BT59" s="507" cm="1">
        <f t="array" ref="BT59">_xlfn.LET(_xlpm.DepreciationMonths,INDEX(FixedAssets[Depreciation
/ Amortization Months],_xlfn.XMATCH($E$33,FixedAssets[Asset ID])),IF(AND((_xlfn.XMATCH(BT$8,$AH$8:$CC$8))-_xlfn.XMATCH($C59,$C$35:$C$82)+1&lt;=_xlpm.DepreciationMonths,$C59&lt;=BT$8),$E59/_xlpm.DepreciationMonths,0))</f>
        <v>0</v>
      </c>
      <c r="BU59" s="507" cm="1">
        <f t="array" ref="BU59">_xlfn.LET(_xlpm.DepreciationMonths,INDEX(FixedAssets[Depreciation
/ Amortization Months],_xlfn.XMATCH($E$33,FixedAssets[Asset ID])),IF(AND((_xlfn.XMATCH(BU$8,$AH$8:$CC$8))-_xlfn.XMATCH($C59,$C$35:$C$82)+1&lt;=_xlpm.DepreciationMonths,$C59&lt;=BU$8),$E59/_xlpm.DepreciationMonths,0))</f>
        <v>0</v>
      </c>
      <c r="BV59" s="507" cm="1">
        <f t="array" ref="BV59">_xlfn.LET(_xlpm.DepreciationMonths,INDEX(FixedAssets[Depreciation
/ Amortization Months],_xlfn.XMATCH($E$33,FixedAssets[Asset ID])),IF(AND((_xlfn.XMATCH(BV$8,$AH$8:$CC$8))-_xlfn.XMATCH($C59,$C$35:$C$82)+1&lt;=_xlpm.DepreciationMonths,$C59&lt;=BV$8),$E59/_xlpm.DepreciationMonths,0))</f>
        <v>0</v>
      </c>
      <c r="BW59" s="507" cm="1">
        <f t="array" ref="BW59">_xlfn.LET(_xlpm.DepreciationMonths,INDEX(FixedAssets[Depreciation
/ Amortization Months],_xlfn.XMATCH($E$33,FixedAssets[Asset ID])),IF(AND((_xlfn.XMATCH(BW$8,$AH$8:$CC$8))-_xlfn.XMATCH($C59,$C$35:$C$82)+1&lt;=_xlpm.DepreciationMonths,$C59&lt;=BW$8),$E59/_xlpm.DepreciationMonths,0))</f>
        <v>0</v>
      </c>
      <c r="BX59" s="507" cm="1">
        <f t="array" ref="BX59">_xlfn.LET(_xlpm.DepreciationMonths,INDEX(FixedAssets[Depreciation
/ Amortization Months],_xlfn.XMATCH($E$33,FixedAssets[Asset ID])),IF(AND((_xlfn.XMATCH(BX$8,$AH$8:$CC$8))-_xlfn.XMATCH($C59,$C$35:$C$82)+1&lt;=_xlpm.DepreciationMonths,$C59&lt;=BX$8),$E59/_xlpm.DepreciationMonths,0))</f>
        <v>0</v>
      </c>
      <c r="BY59" s="507" cm="1">
        <f t="array" ref="BY59">_xlfn.LET(_xlpm.DepreciationMonths,INDEX(FixedAssets[Depreciation
/ Amortization Months],_xlfn.XMATCH($E$33,FixedAssets[Asset ID])),IF(AND((_xlfn.XMATCH(BY$8,$AH$8:$CC$8))-_xlfn.XMATCH($C59,$C$35:$C$82)+1&lt;=_xlpm.DepreciationMonths,$C59&lt;=BY$8),$E59/_xlpm.DepreciationMonths,0))</f>
        <v>0</v>
      </c>
      <c r="BZ59" s="507" cm="1">
        <f t="array" ref="BZ59">_xlfn.LET(_xlpm.DepreciationMonths,INDEX(FixedAssets[Depreciation
/ Amortization Months],_xlfn.XMATCH($E$33,FixedAssets[Asset ID])),IF(AND((_xlfn.XMATCH(BZ$8,$AH$8:$CC$8))-_xlfn.XMATCH($C59,$C$35:$C$82)+1&lt;=_xlpm.DepreciationMonths,$C59&lt;=BZ$8),$E59/_xlpm.DepreciationMonths,0))</f>
        <v>0</v>
      </c>
      <c r="CA59" s="507" cm="1">
        <f t="array" ref="CA59">_xlfn.LET(_xlpm.DepreciationMonths,INDEX(FixedAssets[Depreciation
/ Amortization Months],_xlfn.XMATCH($E$33,FixedAssets[Asset ID])),IF(AND((_xlfn.XMATCH(CA$8,$AH$8:$CC$8))-_xlfn.XMATCH($C59,$C$35:$C$82)+1&lt;=_xlpm.DepreciationMonths,$C59&lt;=CA$8),$E59/_xlpm.DepreciationMonths,0))</f>
        <v>0</v>
      </c>
      <c r="CB59" s="507" cm="1">
        <f t="array" ref="CB59">_xlfn.LET(_xlpm.DepreciationMonths,INDEX(FixedAssets[Depreciation
/ Amortization Months],_xlfn.XMATCH($E$33,FixedAssets[Asset ID])),IF(AND((_xlfn.XMATCH(CB$8,$AH$8:$CC$8))-_xlfn.XMATCH($C59,$C$35:$C$82)+1&lt;=_xlpm.DepreciationMonths,$C59&lt;=CB$8),$E59/_xlpm.DepreciationMonths,0))</f>
        <v>0</v>
      </c>
      <c r="CC59" s="507" cm="1">
        <f t="array" ref="CC59">_xlfn.LET(_xlpm.DepreciationMonths,INDEX(FixedAssets[Depreciation
/ Amortization Months],_xlfn.XMATCH($E$33,FixedAssets[Asset ID])),IF(AND((_xlfn.XMATCH(CC$8,$AH$8:$CC$8))-_xlfn.XMATCH($C59,$C$35:$C$82)+1&lt;=_xlpm.DepreciationMonths,$C59&lt;=CC$8),$E59/_xlpm.DepreciationMonths,0))</f>
        <v>0</v>
      </c>
    </row>
    <row r="60" spans="3:81" hidden="1" outlineLevel="2">
      <c r="C60" s="664">
        <f t="shared" si="91"/>
        <v>45716</v>
      </c>
      <c r="D60" s="508"/>
      <c r="E60" s="508" cm="1">
        <f t="array" ref="E60">SUMPRODUCT(($AH$26:$CC$31)*($AH$5:$CC$5=$C60)*($E$26:$E$31=E$33))-SUMPRODUCT(($AH$26:$CC$31)*($AH$5:$CC$5=EOMONTH($C60,-1))*($E$26:$E$31=E$33))</f>
        <v>0</v>
      </c>
      <c r="F60" s="508"/>
      <c r="G60" s="508"/>
      <c r="H60" s="508"/>
      <c r="I60" s="508"/>
      <c r="J60" s="504">
        <f t="shared" si="88"/>
        <v>0</v>
      </c>
      <c r="K60" s="504">
        <f t="shared" si="93"/>
        <v>0</v>
      </c>
      <c r="L60" s="504">
        <f t="shared" si="93"/>
        <v>0</v>
      </c>
      <c r="M60" s="504">
        <f t="shared" si="93"/>
        <v>0</v>
      </c>
      <c r="N60" s="504"/>
      <c r="O60" s="504"/>
      <c r="P60" s="504">
        <f t="shared" si="94"/>
        <v>0</v>
      </c>
      <c r="Q60" s="504">
        <f t="shared" si="94"/>
        <v>0</v>
      </c>
      <c r="R60" s="504">
        <f t="shared" si="94"/>
        <v>0</v>
      </c>
      <c r="S60" s="504">
        <f t="shared" si="94"/>
        <v>0</v>
      </c>
      <c r="T60" s="504">
        <f t="shared" si="94"/>
        <v>0</v>
      </c>
      <c r="U60" s="504">
        <f t="shared" si="94"/>
        <v>0</v>
      </c>
      <c r="V60" s="504">
        <f t="shared" si="94"/>
        <v>0</v>
      </c>
      <c r="W60" s="504">
        <f t="shared" si="94"/>
        <v>0</v>
      </c>
      <c r="X60" s="504">
        <f t="shared" si="94"/>
        <v>0</v>
      </c>
      <c r="Y60" s="504">
        <f t="shared" si="94"/>
        <v>0</v>
      </c>
      <c r="Z60" s="504">
        <f t="shared" si="94"/>
        <v>0</v>
      </c>
      <c r="AA60" s="504">
        <f t="shared" si="94"/>
        <v>0</v>
      </c>
      <c r="AB60" s="504">
        <f t="shared" si="94"/>
        <v>0</v>
      </c>
      <c r="AC60" s="504">
        <f t="shared" si="94"/>
        <v>0</v>
      </c>
      <c r="AD60" s="504">
        <f t="shared" si="94"/>
        <v>0</v>
      </c>
      <c r="AE60" s="504">
        <f t="shared" si="94"/>
        <v>0</v>
      </c>
      <c r="AF60" s="508"/>
      <c r="AG60" s="508"/>
      <c r="AH60" s="507" cm="1">
        <f t="array" ref="AH60">_xlfn.LET(_xlpm.DepreciationMonths,INDEX(FixedAssets[Depreciation
/ Amortization Months],_xlfn.XMATCH($E$33,FixedAssets[Asset ID])),IF(AND((_xlfn.XMATCH(AH$8,$AH$8:$CC$8))-_xlfn.XMATCH($C60,$C$35:$C$82)+1&lt;=_xlpm.DepreciationMonths,$C60&lt;=AH$8),$E60/_xlpm.DepreciationMonths,0))</f>
        <v>0</v>
      </c>
      <c r="AI60" s="507" cm="1">
        <f t="array" ref="AI60">_xlfn.LET(_xlpm.DepreciationMonths,INDEX(FixedAssets[Depreciation
/ Amortization Months],_xlfn.XMATCH($E$33,FixedAssets[Asset ID])),IF(AND((_xlfn.XMATCH(AI$8,$AH$8:$CC$8))-_xlfn.XMATCH($C60,$C$35:$C$82)+1&lt;=_xlpm.DepreciationMonths,$C60&lt;=AI$8),$E60/_xlpm.DepreciationMonths,0))</f>
        <v>0</v>
      </c>
      <c r="AJ60" s="507" cm="1">
        <f t="array" ref="AJ60">_xlfn.LET(_xlpm.DepreciationMonths,INDEX(FixedAssets[Depreciation
/ Amortization Months],_xlfn.XMATCH($E$33,FixedAssets[Asset ID])),IF(AND((_xlfn.XMATCH(AJ$8,$AH$8:$CC$8))-_xlfn.XMATCH($C60,$C$35:$C$82)+1&lt;=_xlpm.DepreciationMonths,$C60&lt;=AJ$8),$E60/_xlpm.DepreciationMonths,0))</f>
        <v>0</v>
      </c>
      <c r="AK60" s="507" cm="1">
        <f t="array" ref="AK60">_xlfn.LET(_xlpm.DepreciationMonths,INDEX(FixedAssets[Depreciation
/ Amortization Months],_xlfn.XMATCH($E$33,FixedAssets[Asset ID])),IF(AND((_xlfn.XMATCH(AK$8,$AH$8:$CC$8))-_xlfn.XMATCH($C60,$C$35:$C$82)+1&lt;=_xlpm.DepreciationMonths,$C60&lt;=AK$8),$E60/_xlpm.DepreciationMonths,0))</f>
        <v>0</v>
      </c>
      <c r="AL60" s="507" cm="1">
        <f t="array" ref="AL60">_xlfn.LET(_xlpm.DepreciationMonths,INDEX(FixedAssets[Depreciation
/ Amortization Months],_xlfn.XMATCH($E$33,FixedAssets[Asset ID])),IF(AND((_xlfn.XMATCH(AL$8,$AH$8:$CC$8))-_xlfn.XMATCH($C60,$C$35:$C$82)+1&lt;=_xlpm.DepreciationMonths,$C60&lt;=AL$8),$E60/_xlpm.DepreciationMonths,0))</f>
        <v>0</v>
      </c>
      <c r="AM60" s="507" cm="1">
        <f t="array" ref="AM60">_xlfn.LET(_xlpm.DepreciationMonths,INDEX(FixedAssets[Depreciation
/ Amortization Months],_xlfn.XMATCH($E$33,FixedAssets[Asset ID])),IF(AND((_xlfn.XMATCH(AM$8,$AH$8:$CC$8))-_xlfn.XMATCH($C60,$C$35:$C$82)+1&lt;=_xlpm.DepreciationMonths,$C60&lt;=AM$8),$E60/_xlpm.DepreciationMonths,0))</f>
        <v>0</v>
      </c>
      <c r="AN60" s="507" cm="1">
        <f t="array" ref="AN60">_xlfn.LET(_xlpm.DepreciationMonths,INDEX(FixedAssets[Depreciation
/ Amortization Months],_xlfn.XMATCH($E$33,FixedAssets[Asset ID])),IF(AND((_xlfn.XMATCH(AN$8,$AH$8:$CC$8))-_xlfn.XMATCH($C60,$C$35:$C$82)+1&lt;=_xlpm.DepreciationMonths,$C60&lt;=AN$8),$E60/_xlpm.DepreciationMonths,0))</f>
        <v>0</v>
      </c>
      <c r="AO60" s="507" cm="1">
        <f t="array" ref="AO60">_xlfn.LET(_xlpm.DepreciationMonths,INDEX(FixedAssets[Depreciation
/ Amortization Months],_xlfn.XMATCH($E$33,FixedAssets[Asset ID])),IF(AND((_xlfn.XMATCH(AO$8,$AH$8:$CC$8))-_xlfn.XMATCH($C60,$C$35:$C$82)+1&lt;=_xlpm.DepreciationMonths,$C60&lt;=AO$8),$E60/_xlpm.DepreciationMonths,0))</f>
        <v>0</v>
      </c>
      <c r="AP60" s="507" cm="1">
        <f t="array" ref="AP60">_xlfn.LET(_xlpm.DepreciationMonths,INDEX(FixedAssets[Depreciation
/ Amortization Months],_xlfn.XMATCH($E$33,FixedAssets[Asset ID])),IF(AND((_xlfn.XMATCH(AP$8,$AH$8:$CC$8))-_xlfn.XMATCH($C60,$C$35:$C$82)+1&lt;=_xlpm.DepreciationMonths,$C60&lt;=AP$8),$E60/_xlpm.DepreciationMonths,0))</f>
        <v>0</v>
      </c>
      <c r="AQ60" s="507" cm="1">
        <f t="array" ref="AQ60">_xlfn.LET(_xlpm.DepreciationMonths,INDEX(FixedAssets[Depreciation
/ Amortization Months],_xlfn.XMATCH($E$33,FixedAssets[Asset ID])),IF(AND((_xlfn.XMATCH(AQ$8,$AH$8:$CC$8))-_xlfn.XMATCH($C60,$C$35:$C$82)+1&lt;=_xlpm.DepreciationMonths,$C60&lt;=AQ$8),$E60/_xlpm.DepreciationMonths,0))</f>
        <v>0</v>
      </c>
      <c r="AR60" s="507" cm="1">
        <f t="array" ref="AR60">_xlfn.LET(_xlpm.DepreciationMonths,INDEX(FixedAssets[Depreciation
/ Amortization Months],_xlfn.XMATCH($E$33,FixedAssets[Asset ID])),IF(AND((_xlfn.XMATCH(AR$8,$AH$8:$CC$8))-_xlfn.XMATCH($C60,$C$35:$C$82)+1&lt;=_xlpm.DepreciationMonths,$C60&lt;=AR$8),$E60/_xlpm.DepreciationMonths,0))</f>
        <v>0</v>
      </c>
      <c r="AS60" s="507" cm="1">
        <f t="array" ref="AS60">_xlfn.LET(_xlpm.DepreciationMonths,INDEX(FixedAssets[Depreciation
/ Amortization Months],_xlfn.XMATCH($E$33,FixedAssets[Asset ID])),IF(AND((_xlfn.XMATCH(AS$8,$AH$8:$CC$8))-_xlfn.XMATCH($C60,$C$35:$C$82)+1&lt;=_xlpm.DepreciationMonths,$C60&lt;=AS$8),$E60/_xlpm.DepreciationMonths,0))</f>
        <v>0</v>
      </c>
      <c r="AT60" s="507" cm="1">
        <f t="array" ref="AT60">_xlfn.LET(_xlpm.DepreciationMonths,INDEX(FixedAssets[Depreciation
/ Amortization Months],_xlfn.XMATCH($E$33,FixedAssets[Asset ID])),IF(AND((_xlfn.XMATCH(AT$8,$AH$8:$CC$8))-_xlfn.XMATCH($C60,$C$35:$C$82)+1&lt;=_xlpm.DepreciationMonths,$C60&lt;=AT$8),$E60/_xlpm.DepreciationMonths,0))</f>
        <v>0</v>
      </c>
      <c r="AU60" s="507" cm="1">
        <f t="array" ref="AU60">_xlfn.LET(_xlpm.DepreciationMonths,INDEX(FixedAssets[Depreciation
/ Amortization Months],_xlfn.XMATCH($E$33,FixedAssets[Asset ID])),IF(AND((_xlfn.XMATCH(AU$8,$AH$8:$CC$8))-_xlfn.XMATCH($C60,$C$35:$C$82)+1&lt;=_xlpm.DepreciationMonths,$C60&lt;=AU$8),$E60/_xlpm.DepreciationMonths,0))</f>
        <v>0</v>
      </c>
      <c r="AV60" s="507" cm="1">
        <f t="array" ref="AV60">_xlfn.LET(_xlpm.DepreciationMonths,INDEX(FixedAssets[Depreciation
/ Amortization Months],_xlfn.XMATCH($E$33,FixedAssets[Asset ID])),IF(AND((_xlfn.XMATCH(AV$8,$AH$8:$CC$8))-_xlfn.XMATCH($C60,$C$35:$C$82)+1&lt;=_xlpm.DepreciationMonths,$C60&lt;=AV$8),$E60/_xlpm.DepreciationMonths,0))</f>
        <v>0</v>
      </c>
      <c r="AW60" s="507" cm="1">
        <f t="array" ref="AW60">_xlfn.LET(_xlpm.DepreciationMonths,INDEX(FixedAssets[Depreciation
/ Amortization Months],_xlfn.XMATCH($E$33,FixedAssets[Asset ID])),IF(AND((_xlfn.XMATCH(AW$8,$AH$8:$CC$8))-_xlfn.XMATCH($C60,$C$35:$C$82)+1&lt;=_xlpm.DepreciationMonths,$C60&lt;=AW$8),$E60/_xlpm.DepreciationMonths,0))</f>
        <v>0</v>
      </c>
      <c r="AX60" s="507" cm="1">
        <f t="array" ref="AX60">_xlfn.LET(_xlpm.DepreciationMonths,INDEX(FixedAssets[Depreciation
/ Amortization Months],_xlfn.XMATCH($E$33,FixedAssets[Asset ID])),IF(AND((_xlfn.XMATCH(AX$8,$AH$8:$CC$8))-_xlfn.XMATCH($C60,$C$35:$C$82)+1&lt;=_xlpm.DepreciationMonths,$C60&lt;=AX$8),$E60/_xlpm.DepreciationMonths,0))</f>
        <v>0</v>
      </c>
      <c r="AY60" s="507" cm="1">
        <f t="array" ref="AY60">_xlfn.LET(_xlpm.DepreciationMonths,INDEX(FixedAssets[Depreciation
/ Amortization Months],_xlfn.XMATCH($E$33,FixedAssets[Asset ID])),IF(AND((_xlfn.XMATCH(AY$8,$AH$8:$CC$8))-_xlfn.XMATCH($C60,$C$35:$C$82)+1&lt;=_xlpm.DepreciationMonths,$C60&lt;=AY$8),$E60/_xlpm.DepreciationMonths,0))</f>
        <v>0</v>
      </c>
      <c r="AZ60" s="507" cm="1">
        <f t="array" ref="AZ60">_xlfn.LET(_xlpm.DepreciationMonths,INDEX(FixedAssets[Depreciation
/ Amortization Months],_xlfn.XMATCH($E$33,FixedAssets[Asset ID])),IF(AND((_xlfn.XMATCH(AZ$8,$AH$8:$CC$8))-_xlfn.XMATCH($C60,$C$35:$C$82)+1&lt;=_xlpm.DepreciationMonths,$C60&lt;=AZ$8),$E60/_xlpm.DepreciationMonths,0))</f>
        <v>0</v>
      </c>
      <c r="BA60" s="507" cm="1">
        <f t="array" ref="BA60">_xlfn.LET(_xlpm.DepreciationMonths,INDEX(FixedAssets[Depreciation
/ Amortization Months],_xlfn.XMATCH($E$33,FixedAssets[Asset ID])),IF(AND((_xlfn.XMATCH(BA$8,$AH$8:$CC$8))-_xlfn.XMATCH($C60,$C$35:$C$82)+1&lt;=_xlpm.DepreciationMonths,$C60&lt;=BA$8),$E60/_xlpm.DepreciationMonths,0))</f>
        <v>0</v>
      </c>
      <c r="BB60" s="507" cm="1">
        <f t="array" ref="BB60">_xlfn.LET(_xlpm.DepreciationMonths,INDEX(FixedAssets[Depreciation
/ Amortization Months],_xlfn.XMATCH($E$33,FixedAssets[Asset ID])),IF(AND((_xlfn.XMATCH(BB$8,$AH$8:$CC$8))-_xlfn.XMATCH($C60,$C$35:$C$82)+1&lt;=_xlpm.DepreciationMonths,$C60&lt;=BB$8),$E60/_xlpm.DepreciationMonths,0))</f>
        <v>0</v>
      </c>
      <c r="BC60" s="507" cm="1">
        <f t="array" ref="BC60">_xlfn.LET(_xlpm.DepreciationMonths,INDEX(FixedAssets[Depreciation
/ Amortization Months],_xlfn.XMATCH($E$33,FixedAssets[Asset ID])),IF(AND((_xlfn.XMATCH(BC$8,$AH$8:$CC$8))-_xlfn.XMATCH($C60,$C$35:$C$82)+1&lt;=_xlpm.DepreciationMonths,$C60&lt;=BC$8),$E60/_xlpm.DepreciationMonths,0))</f>
        <v>0</v>
      </c>
      <c r="BD60" s="507" cm="1">
        <f t="array" ref="BD60">_xlfn.LET(_xlpm.DepreciationMonths,INDEX(FixedAssets[Depreciation
/ Amortization Months],_xlfn.XMATCH($E$33,FixedAssets[Asset ID])),IF(AND((_xlfn.XMATCH(BD$8,$AH$8:$CC$8))-_xlfn.XMATCH($C60,$C$35:$C$82)+1&lt;=_xlpm.DepreciationMonths,$C60&lt;=BD$8),$E60/_xlpm.DepreciationMonths,0))</f>
        <v>0</v>
      </c>
      <c r="BE60" s="507" cm="1">
        <f t="array" ref="BE60">_xlfn.LET(_xlpm.DepreciationMonths,INDEX(FixedAssets[Depreciation
/ Amortization Months],_xlfn.XMATCH($E$33,FixedAssets[Asset ID])),IF(AND((_xlfn.XMATCH(BE$8,$AH$8:$CC$8))-_xlfn.XMATCH($C60,$C$35:$C$82)+1&lt;=_xlpm.DepreciationMonths,$C60&lt;=BE$8),$E60/_xlpm.DepreciationMonths,0))</f>
        <v>0</v>
      </c>
      <c r="BF60" s="507" cm="1">
        <f t="array" ref="BF60">_xlfn.LET(_xlpm.DepreciationMonths,INDEX(FixedAssets[Depreciation
/ Amortization Months],_xlfn.XMATCH($E$33,FixedAssets[Asset ID])),IF(AND((_xlfn.XMATCH(BF$8,$AH$8:$CC$8))-_xlfn.XMATCH($C60,$C$35:$C$82)+1&lt;=_xlpm.DepreciationMonths,$C60&lt;=BF$8),$E60/_xlpm.DepreciationMonths,0))</f>
        <v>0</v>
      </c>
      <c r="BG60" s="507" cm="1">
        <f t="array" ref="BG60">_xlfn.LET(_xlpm.DepreciationMonths,INDEX(FixedAssets[Depreciation
/ Amortization Months],_xlfn.XMATCH($E$33,FixedAssets[Asset ID])),IF(AND((_xlfn.XMATCH(BG$8,$AH$8:$CC$8))-_xlfn.XMATCH($C60,$C$35:$C$82)+1&lt;=_xlpm.DepreciationMonths,$C60&lt;=BG$8),$E60/_xlpm.DepreciationMonths,0))</f>
        <v>0</v>
      </c>
      <c r="BH60" s="507" cm="1">
        <f t="array" ref="BH60">_xlfn.LET(_xlpm.DepreciationMonths,INDEX(FixedAssets[Depreciation
/ Amortization Months],_xlfn.XMATCH($E$33,FixedAssets[Asset ID])),IF(AND((_xlfn.XMATCH(BH$8,$AH$8:$CC$8))-_xlfn.XMATCH($C60,$C$35:$C$82)+1&lt;=_xlpm.DepreciationMonths,$C60&lt;=BH$8),$E60/_xlpm.DepreciationMonths,0))</f>
        <v>0</v>
      </c>
      <c r="BI60" s="507" cm="1">
        <f t="array" ref="BI60">_xlfn.LET(_xlpm.DepreciationMonths,INDEX(FixedAssets[Depreciation
/ Amortization Months],_xlfn.XMATCH($E$33,FixedAssets[Asset ID])),IF(AND((_xlfn.XMATCH(BI$8,$AH$8:$CC$8))-_xlfn.XMATCH($C60,$C$35:$C$82)+1&lt;=_xlpm.DepreciationMonths,$C60&lt;=BI$8),$E60/_xlpm.DepreciationMonths,0))</f>
        <v>0</v>
      </c>
      <c r="BJ60" s="507" cm="1">
        <f t="array" ref="BJ60">_xlfn.LET(_xlpm.DepreciationMonths,INDEX(FixedAssets[Depreciation
/ Amortization Months],_xlfn.XMATCH($E$33,FixedAssets[Asset ID])),IF(AND((_xlfn.XMATCH(BJ$8,$AH$8:$CC$8))-_xlfn.XMATCH($C60,$C$35:$C$82)+1&lt;=_xlpm.DepreciationMonths,$C60&lt;=BJ$8),$E60/_xlpm.DepreciationMonths,0))</f>
        <v>0</v>
      </c>
      <c r="BK60" s="507" cm="1">
        <f t="array" ref="BK60">_xlfn.LET(_xlpm.DepreciationMonths,INDEX(FixedAssets[Depreciation
/ Amortization Months],_xlfn.XMATCH($E$33,FixedAssets[Asset ID])),IF(AND((_xlfn.XMATCH(BK$8,$AH$8:$CC$8))-_xlfn.XMATCH($C60,$C$35:$C$82)+1&lt;=_xlpm.DepreciationMonths,$C60&lt;=BK$8),$E60/_xlpm.DepreciationMonths,0))</f>
        <v>0</v>
      </c>
      <c r="BL60" s="507" cm="1">
        <f t="array" ref="BL60">_xlfn.LET(_xlpm.DepreciationMonths,INDEX(FixedAssets[Depreciation
/ Amortization Months],_xlfn.XMATCH($E$33,FixedAssets[Asset ID])),IF(AND((_xlfn.XMATCH(BL$8,$AH$8:$CC$8))-_xlfn.XMATCH($C60,$C$35:$C$82)+1&lt;=_xlpm.DepreciationMonths,$C60&lt;=BL$8),$E60/_xlpm.DepreciationMonths,0))</f>
        <v>0</v>
      </c>
      <c r="BM60" s="507" cm="1">
        <f t="array" ref="BM60">_xlfn.LET(_xlpm.DepreciationMonths,INDEX(FixedAssets[Depreciation
/ Amortization Months],_xlfn.XMATCH($E$33,FixedAssets[Asset ID])),IF(AND((_xlfn.XMATCH(BM$8,$AH$8:$CC$8))-_xlfn.XMATCH($C60,$C$35:$C$82)+1&lt;=_xlpm.DepreciationMonths,$C60&lt;=BM$8),$E60/_xlpm.DepreciationMonths,0))</f>
        <v>0</v>
      </c>
      <c r="BN60" s="507" cm="1">
        <f t="array" ref="BN60">_xlfn.LET(_xlpm.DepreciationMonths,INDEX(FixedAssets[Depreciation
/ Amortization Months],_xlfn.XMATCH($E$33,FixedAssets[Asset ID])),IF(AND((_xlfn.XMATCH(BN$8,$AH$8:$CC$8))-_xlfn.XMATCH($C60,$C$35:$C$82)+1&lt;=_xlpm.DepreciationMonths,$C60&lt;=BN$8),$E60/_xlpm.DepreciationMonths,0))</f>
        <v>0</v>
      </c>
      <c r="BO60" s="507" cm="1">
        <f t="array" ref="BO60">_xlfn.LET(_xlpm.DepreciationMonths,INDEX(FixedAssets[Depreciation
/ Amortization Months],_xlfn.XMATCH($E$33,FixedAssets[Asset ID])),IF(AND((_xlfn.XMATCH(BO$8,$AH$8:$CC$8))-_xlfn.XMATCH($C60,$C$35:$C$82)+1&lt;=_xlpm.DepreciationMonths,$C60&lt;=BO$8),$E60/_xlpm.DepreciationMonths,0))</f>
        <v>0</v>
      </c>
      <c r="BP60" s="507" cm="1">
        <f t="array" ref="BP60">_xlfn.LET(_xlpm.DepreciationMonths,INDEX(FixedAssets[Depreciation
/ Amortization Months],_xlfn.XMATCH($E$33,FixedAssets[Asset ID])),IF(AND((_xlfn.XMATCH(BP$8,$AH$8:$CC$8))-_xlfn.XMATCH($C60,$C$35:$C$82)+1&lt;=_xlpm.DepreciationMonths,$C60&lt;=BP$8),$E60/_xlpm.DepreciationMonths,0))</f>
        <v>0</v>
      </c>
      <c r="BQ60" s="507" cm="1">
        <f t="array" ref="BQ60">_xlfn.LET(_xlpm.DepreciationMonths,INDEX(FixedAssets[Depreciation
/ Amortization Months],_xlfn.XMATCH($E$33,FixedAssets[Asset ID])),IF(AND((_xlfn.XMATCH(BQ$8,$AH$8:$CC$8))-_xlfn.XMATCH($C60,$C$35:$C$82)+1&lt;=_xlpm.DepreciationMonths,$C60&lt;=BQ$8),$E60/_xlpm.DepreciationMonths,0))</f>
        <v>0</v>
      </c>
      <c r="BR60" s="507" cm="1">
        <f t="array" ref="BR60">_xlfn.LET(_xlpm.DepreciationMonths,INDEX(FixedAssets[Depreciation
/ Amortization Months],_xlfn.XMATCH($E$33,FixedAssets[Asset ID])),IF(AND((_xlfn.XMATCH(BR$8,$AH$8:$CC$8))-_xlfn.XMATCH($C60,$C$35:$C$82)+1&lt;=_xlpm.DepreciationMonths,$C60&lt;=BR$8),$E60/_xlpm.DepreciationMonths,0))</f>
        <v>0</v>
      </c>
      <c r="BS60" s="507" cm="1">
        <f t="array" ref="BS60">_xlfn.LET(_xlpm.DepreciationMonths,INDEX(FixedAssets[Depreciation
/ Amortization Months],_xlfn.XMATCH($E$33,FixedAssets[Asset ID])),IF(AND((_xlfn.XMATCH(BS$8,$AH$8:$CC$8))-_xlfn.XMATCH($C60,$C$35:$C$82)+1&lt;=_xlpm.DepreciationMonths,$C60&lt;=BS$8),$E60/_xlpm.DepreciationMonths,0))</f>
        <v>0</v>
      </c>
      <c r="BT60" s="507" cm="1">
        <f t="array" ref="BT60">_xlfn.LET(_xlpm.DepreciationMonths,INDEX(FixedAssets[Depreciation
/ Amortization Months],_xlfn.XMATCH($E$33,FixedAssets[Asset ID])),IF(AND((_xlfn.XMATCH(BT$8,$AH$8:$CC$8))-_xlfn.XMATCH($C60,$C$35:$C$82)+1&lt;=_xlpm.DepreciationMonths,$C60&lt;=BT$8),$E60/_xlpm.DepreciationMonths,0))</f>
        <v>0</v>
      </c>
      <c r="BU60" s="507" cm="1">
        <f t="array" ref="BU60">_xlfn.LET(_xlpm.DepreciationMonths,INDEX(FixedAssets[Depreciation
/ Amortization Months],_xlfn.XMATCH($E$33,FixedAssets[Asset ID])),IF(AND((_xlfn.XMATCH(BU$8,$AH$8:$CC$8))-_xlfn.XMATCH($C60,$C$35:$C$82)+1&lt;=_xlpm.DepreciationMonths,$C60&lt;=BU$8),$E60/_xlpm.DepreciationMonths,0))</f>
        <v>0</v>
      </c>
      <c r="BV60" s="507" cm="1">
        <f t="array" ref="BV60">_xlfn.LET(_xlpm.DepreciationMonths,INDEX(FixedAssets[Depreciation
/ Amortization Months],_xlfn.XMATCH($E$33,FixedAssets[Asset ID])),IF(AND((_xlfn.XMATCH(BV$8,$AH$8:$CC$8))-_xlfn.XMATCH($C60,$C$35:$C$82)+1&lt;=_xlpm.DepreciationMonths,$C60&lt;=BV$8),$E60/_xlpm.DepreciationMonths,0))</f>
        <v>0</v>
      </c>
      <c r="BW60" s="507" cm="1">
        <f t="array" ref="BW60">_xlfn.LET(_xlpm.DepreciationMonths,INDEX(FixedAssets[Depreciation
/ Amortization Months],_xlfn.XMATCH($E$33,FixedAssets[Asset ID])),IF(AND((_xlfn.XMATCH(BW$8,$AH$8:$CC$8))-_xlfn.XMATCH($C60,$C$35:$C$82)+1&lt;=_xlpm.DepreciationMonths,$C60&lt;=BW$8),$E60/_xlpm.DepreciationMonths,0))</f>
        <v>0</v>
      </c>
      <c r="BX60" s="507" cm="1">
        <f t="array" ref="BX60">_xlfn.LET(_xlpm.DepreciationMonths,INDEX(FixedAssets[Depreciation
/ Amortization Months],_xlfn.XMATCH($E$33,FixedAssets[Asset ID])),IF(AND((_xlfn.XMATCH(BX$8,$AH$8:$CC$8))-_xlfn.XMATCH($C60,$C$35:$C$82)+1&lt;=_xlpm.DepreciationMonths,$C60&lt;=BX$8),$E60/_xlpm.DepreciationMonths,0))</f>
        <v>0</v>
      </c>
      <c r="BY60" s="507" cm="1">
        <f t="array" ref="BY60">_xlfn.LET(_xlpm.DepreciationMonths,INDEX(FixedAssets[Depreciation
/ Amortization Months],_xlfn.XMATCH($E$33,FixedAssets[Asset ID])),IF(AND((_xlfn.XMATCH(BY$8,$AH$8:$CC$8))-_xlfn.XMATCH($C60,$C$35:$C$82)+1&lt;=_xlpm.DepreciationMonths,$C60&lt;=BY$8),$E60/_xlpm.DepreciationMonths,0))</f>
        <v>0</v>
      </c>
      <c r="BZ60" s="507" cm="1">
        <f t="array" ref="BZ60">_xlfn.LET(_xlpm.DepreciationMonths,INDEX(FixedAssets[Depreciation
/ Amortization Months],_xlfn.XMATCH($E$33,FixedAssets[Asset ID])),IF(AND((_xlfn.XMATCH(BZ$8,$AH$8:$CC$8))-_xlfn.XMATCH($C60,$C$35:$C$82)+1&lt;=_xlpm.DepreciationMonths,$C60&lt;=BZ$8),$E60/_xlpm.DepreciationMonths,0))</f>
        <v>0</v>
      </c>
      <c r="CA60" s="507" cm="1">
        <f t="array" ref="CA60">_xlfn.LET(_xlpm.DepreciationMonths,INDEX(FixedAssets[Depreciation
/ Amortization Months],_xlfn.XMATCH($E$33,FixedAssets[Asset ID])),IF(AND((_xlfn.XMATCH(CA$8,$AH$8:$CC$8))-_xlfn.XMATCH($C60,$C$35:$C$82)+1&lt;=_xlpm.DepreciationMonths,$C60&lt;=CA$8),$E60/_xlpm.DepreciationMonths,0))</f>
        <v>0</v>
      </c>
      <c r="CB60" s="507" cm="1">
        <f t="array" ref="CB60">_xlfn.LET(_xlpm.DepreciationMonths,INDEX(FixedAssets[Depreciation
/ Amortization Months],_xlfn.XMATCH($E$33,FixedAssets[Asset ID])),IF(AND((_xlfn.XMATCH(CB$8,$AH$8:$CC$8))-_xlfn.XMATCH($C60,$C$35:$C$82)+1&lt;=_xlpm.DepreciationMonths,$C60&lt;=CB$8),$E60/_xlpm.DepreciationMonths,0))</f>
        <v>0</v>
      </c>
      <c r="CC60" s="507" cm="1">
        <f t="array" ref="CC60">_xlfn.LET(_xlpm.DepreciationMonths,INDEX(FixedAssets[Depreciation
/ Amortization Months],_xlfn.XMATCH($E$33,FixedAssets[Asset ID])),IF(AND((_xlfn.XMATCH(CC$8,$AH$8:$CC$8))-_xlfn.XMATCH($C60,$C$35:$C$82)+1&lt;=_xlpm.DepreciationMonths,$C60&lt;=CC$8),$E60/_xlpm.DepreciationMonths,0))</f>
        <v>0</v>
      </c>
    </row>
    <row r="61" spans="3:81" hidden="1" outlineLevel="2">
      <c r="C61" s="664">
        <f t="shared" si="91"/>
        <v>45747</v>
      </c>
      <c r="D61" s="508"/>
      <c r="E61" s="508" cm="1">
        <f t="array" ref="E61">SUMPRODUCT(($AH$26:$CC$31)*($AH$5:$CC$5=$C61)*($E$26:$E$31=E$33))-SUMPRODUCT(($AH$26:$CC$31)*($AH$5:$CC$5=EOMONTH($C61,-1))*($E$26:$E$31=E$33))</f>
        <v>0</v>
      </c>
      <c r="F61" s="508"/>
      <c r="G61" s="508"/>
      <c r="H61" s="508"/>
      <c r="I61" s="508"/>
      <c r="J61" s="504">
        <f t="shared" si="88"/>
        <v>0</v>
      </c>
      <c r="K61" s="504">
        <f t="shared" si="93"/>
        <v>0</v>
      </c>
      <c r="L61" s="504">
        <f t="shared" si="93"/>
        <v>0</v>
      </c>
      <c r="M61" s="504">
        <f t="shared" si="93"/>
        <v>0</v>
      </c>
      <c r="N61" s="504"/>
      <c r="O61" s="504"/>
      <c r="P61" s="504">
        <f t="shared" si="94"/>
        <v>0</v>
      </c>
      <c r="Q61" s="504">
        <f t="shared" si="94"/>
        <v>0</v>
      </c>
      <c r="R61" s="504">
        <f t="shared" si="94"/>
        <v>0</v>
      </c>
      <c r="S61" s="504">
        <f t="shared" si="94"/>
        <v>0</v>
      </c>
      <c r="T61" s="504">
        <f t="shared" si="94"/>
        <v>0</v>
      </c>
      <c r="U61" s="504">
        <f t="shared" si="94"/>
        <v>0</v>
      </c>
      <c r="V61" s="504">
        <f t="shared" si="94"/>
        <v>0</v>
      </c>
      <c r="W61" s="504">
        <f t="shared" si="94"/>
        <v>0</v>
      </c>
      <c r="X61" s="504">
        <f t="shared" si="94"/>
        <v>0</v>
      </c>
      <c r="Y61" s="504">
        <f t="shared" si="94"/>
        <v>0</v>
      </c>
      <c r="Z61" s="504">
        <f t="shared" si="94"/>
        <v>0</v>
      </c>
      <c r="AA61" s="504">
        <f t="shared" si="94"/>
        <v>0</v>
      </c>
      <c r="AB61" s="504">
        <f t="shared" si="94"/>
        <v>0</v>
      </c>
      <c r="AC61" s="504">
        <f t="shared" si="94"/>
        <v>0</v>
      </c>
      <c r="AD61" s="504">
        <f t="shared" si="94"/>
        <v>0</v>
      </c>
      <c r="AE61" s="504">
        <f t="shared" si="94"/>
        <v>0</v>
      </c>
      <c r="AF61" s="508"/>
      <c r="AG61" s="508"/>
      <c r="AH61" s="507" cm="1">
        <f t="array" ref="AH61">_xlfn.LET(_xlpm.DepreciationMonths,INDEX(FixedAssets[Depreciation
/ Amortization Months],_xlfn.XMATCH($E$33,FixedAssets[Asset ID])),IF(AND((_xlfn.XMATCH(AH$8,$AH$8:$CC$8))-_xlfn.XMATCH($C61,$C$35:$C$82)+1&lt;=_xlpm.DepreciationMonths,$C61&lt;=AH$8),$E61/_xlpm.DepreciationMonths,0))</f>
        <v>0</v>
      </c>
      <c r="AI61" s="507" cm="1">
        <f t="array" ref="AI61">_xlfn.LET(_xlpm.DepreciationMonths,INDEX(FixedAssets[Depreciation
/ Amortization Months],_xlfn.XMATCH($E$33,FixedAssets[Asset ID])),IF(AND((_xlfn.XMATCH(AI$8,$AH$8:$CC$8))-_xlfn.XMATCH($C61,$C$35:$C$82)+1&lt;=_xlpm.DepreciationMonths,$C61&lt;=AI$8),$E61/_xlpm.DepreciationMonths,0))</f>
        <v>0</v>
      </c>
      <c r="AJ61" s="507" cm="1">
        <f t="array" ref="AJ61">_xlfn.LET(_xlpm.DepreciationMonths,INDEX(FixedAssets[Depreciation
/ Amortization Months],_xlfn.XMATCH($E$33,FixedAssets[Asset ID])),IF(AND((_xlfn.XMATCH(AJ$8,$AH$8:$CC$8))-_xlfn.XMATCH($C61,$C$35:$C$82)+1&lt;=_xlpm.DepreciationMonths,$C61&lt;=AJ$8),$E61/_xlpm.DepreciationMonths,0))</f>
        <v>0</v>
      </c>
      <c r="AK61" s="507" cm="1">
        <f t="array" ref="AK61">_xlfn.LET(_xlpm.DepreciationMonths,INDEX(FixedAssets[Depreciation
/ Amortization Months],_xlfn.XMATCH($E$33,FixedAssets[Asset ID])),IF(AND((_xlfn.XMATCH(AK$8,$AH$8:$CC$8))-_xlfn.XMATCH($C61,$C$35:$C$82)+1&lt;=_xlpm.DepreciationMonths,$C61&lt;=AK$8),$E61/_xlpm.DepreciationMonths,0))</f>
        <v>0</v>
      </c>
      <c r="AL61" s="507" cm="1">
        <f t="array" ref="AL61">_xlfn.LET(_xlpm.DepreciationMonths,INDEX(FixedAssets[Depreciation
/ Amortization Months],_xlfn.XMATCH($E$33,FixedAssets[Asset ID])),IF(AND((_xlfn.XMATCH(AL$8,$AH$8:$CC$8))-_xlfn.XMATCH($C61,$C$35:$C$82)+1&lt;=_xlpm.DepreciationMonths,$C61&lt;=AL$8),$E61/_xlpm.DepreciationMonths,0))</f>
        <v>0</v>
      </c>
      <c r="AM61" s="507" cm="1">
        <f t="array" ref="AM61">_xlfn.LET(_xlpm.DepreciationMonths,INDEX(FixedAssets[Depreciation
/ Amortization Months],_xlfn.XMATCH($E$33,FixedAssets[Asset ID])),IF(AND((_xlfn.XMATCH(AM$8,$AH$8:$CC$8))-_xlfn.XMATCH($C61,$C$35:$C$82)+1&lt;=_xlpm.DepreciationMonths,$C61&lt;=AM$8),$E61/_xlpm.DepreciationMonths,0))</f>
        <v>0</v>
      </c>
      <c r="AN61" s="507" cm="1">
        <f t="array" ref="AN61">_xlfn.LET(_xlpm.DepreciationMonths,INDEX(FixedAssets[Depreciation
/ Amortization Months],_xlfn.XMATCH($E$33,FixedAssets[Asset ID])),IF(AND((_xlfn.XMATCH(AN$8,$AH$8:$CC$8))-_xlfn.XMATCH($C61,$C$35:$C$82)+1&lt;=_xlpm.DepreciationMonths,$C61&lt;=AN$8),$E61/_xlpm.DepreciationMonths,0))</f>
        <v>0</v>
      </c>
      <c r="AO61" s="507" cm="1">
        <f t="array" ref="AO61">_xlfn.LET(_xlpm.DepreciationMonths,INDEX(FixedAssets[Depreciation
/ Amortization Months],_xlfn.XMATCH($E$33,FixedAssets[Asset ID])),IF(AND((_xlfn.XMATCH(AO$8,$AH$8:$CC$8))-_xlfn.XMATCH($C61,$C$35:$C$82)+1&lt;=_xlpm.DepreciationMonths,$C61&lt;=AO$8),$E61/_xlpm.DepreciationMonths,0))</f>
        <v>0</v>
      </c>
      <c r="AP61" s="507" cm="1">
        <f t="array" ref="AP61">_xlfn.LET(_xlpm.DepreciationMonths,INDEX(FixedAssets[Depreciation
/ Amortization Months],_xlfn.XMATCH($E$33,FixedAssets[Asset ID])),IF(AND((_xlfn.XMATCH(AP$8,$AH$8:$CC$8))-_xlfn.XMATCH($C61,$C$35:$C$82)+1&lt;=_xlpm.DepreciationMonths,$C61&lt;=AP$8),$E61/_xlpm.DepreciationMonths,0))</f>
        <v>0</v>
      </c>
      <c r="AQ61" s="507" cm="1">
        <f t="array" ref="AQ61">_xlfn.LET(_xlpm.DepreciationMonths,INDEX(FixedAssets[Depreciation
/ Amortization Months],_xlfn.XMATCH($E$33,FixedAssets[Asset ID])),IF(AND((_xlfn.XMATCH(AQ$8,$AH$8:$CC$8))-_xlfn.XMATCH($C61,$C$35:$C$82)+1&lt;=_xlpm.DepreciationMonths,$C61&lt;=AQ$8),$E61/_xlpm.DepreciationMonths,0))</f>
        <v>0</v>
      </c>
      <c r="AR61" s="507" cm="1">
        <f t="array" ref="AR61">_xlfn.LET(_xlpm.DepreciationMonths,INDEX(FixedAssets[Depreciation
/ Amortization Months],_xlfn.XMATCH($E$33,FixedAssets[Asset ID])),IF(AND((_xlfn.XMATCH(AR$8,$AH$8:$CC$8))-_xlfn.XMATCH($C61,$C$35:$C$82)+1&lt;=_xlpm.DepreciationMonths,$C61&lt;=AR$8),$E61/_xlpm.DepreciationMonths,0))</f>
        <v>0</v>
      </c>
      <c r="AS61" s="507" cm="1">
        <f t="array" ref="AS61">_xlfn.LET(_xlpm.DepreciationMonths,INDEX(FixedAssets[Depreciation
/ Amortization Months],_xlfn.XMATCH($E$33,FixedAssets[Asset ID])),IF(AND((_xlfn.XMATCH(AS$8,$AH$8:$CC$8))-_xlfn.XMATCH($C61,$C$35:$C$82)+1&lt;=_xlpm.DepreciationMonths,$C61&lt;=AS$8),$E61/_xlpm.DepreciationMonths,0))</f>
        <v>0</v>
      </c>
      <c r="AT61" s="507" cm="1">
        <f t="array" ref="AT61">_xlfn.LET(_xlpm.DepreciationMonths,INDEX(FixedAssets[Depreciation
/ Amortization Months],_xlfn.XMATCH($E$33,FixedAssets[Asset ID])),IF(AND((_xlfn.XMATCH(AT$8,$AH$8:$CC$8))-_xlfn.XMATCH($C61,$C$35:$C$82)+1&lt;=_xlpm.DepreciationMonths,$C61&lt;=AT$8),$E61/_xlpm.DepreciationMonths,0))</f>
        <v>0</v>
      </c>
      <c r="AU61" s="507" cm="1">
        <f t="array" ref="AU61">_xlfn.LET(_xlpm.DepreciationMonths,INDEX(FixedAssets[Depreciation
/ Amortization Months],_xlfn.XMATCH($E$33,FixedAssets[Asset ID])),IF(AND((_xlfn.XMATCH(AU$8,$AH$8:$CC$8))-_xlfn.XMATCH($C61,$C$35:$C$82)+1&lt;=_xlpm.DepreciationMonths,$C61&lt;=AU$8),$E61/_xlpm.DepreciationMonths,0))</f>
        <v>0</v>
      </c>
      <c r="AV61" s="507" cm="1">
        <f t="array" ref="AV61">_xlfn.LET(_xlpm.DepreciationMonths,INDEX(FixedAssets[Depreciation
/ Amortization Months],_xlfn.XMATCH($E$33,FixedAssets[Asset ID])),IF(AND((_xlfn.XMATCH(AV$8,$AH$8:$CC$8))-_xlfn.XMATCH($C61,$C$35:$C$82)+1&lt;=_xlpm.DepreciationMonths,$C61&lt;=AV$8),$E61/_xlpm.DepreciationMonths,0))</f>
        <v>0</v>
      </c>
      <c r="AW61" s="507" cm="1">
        <f t="array" ref="AW61">_xlfn.LET(_xlpm.DepreciationMonths,INDEX(FixedAssets[Depreciation
/ Amortization Months],_xlfn.XMATCH($E$33,FixedAssets[Asset ID])),IF(AND((_xlfn.XMATCH(AW$8,$AH$8:$CC$8))-_xlfn.XMATCH($C61,$C$35:$C$82)+1&lt;=_xlpm.DepreciationMonths,$C61&lt;=AW$8),$E61/_xlpm.DepreciationMonths,0))</f>
        <v>0</v>
      </c>
      <c r="AX61" s="507" cm="1">
        <f t="array" ref="AX61">_xlfn.LET(_xlpm.DepreciationMonths,INDEX(FixedAssets[Depreciation
/ Amortization Months],_xlfn.XMATCH($E$33,FixedAssets[Asset ID])),IF(AND((_xlfn.XMATCH(AX$8,$AH$8:$CC$8))-_xlfn.XMATCH($C61,$C$35:$C$82)+1&lt;=_xlpm.DepreciationMonths,$C61&lt;=AX$8),$E61/_xlpm.DepreciationMonths,0))</f>
        <v>0</v>
      </c>
      <c r="AY61" s="507" cm="1">
        <f t="array" ref="AY61">_xlfn.LET(_xlpm.DepreciationMonths,INDEX(FixedAssets[Depreciation
/ Amortization Months],_xlfn.XMATCH($E$33,FixedAssets[Asset ID])),IF(AND((_xlfn.XMATCH(AY$8,$AH$8:$CC$8))-_xlfn.XMATCH($C61,$C$35:$C$82)+1&lt;=_xlpm.DepreciationMonths,$C61&lt;=AY$8),$E61/_xlpm.DepreciationMonths,0))</f>
        <v>0</v>
      </c>
      <c r="AZ61" s="507" cm="1">
        <f t="array" ref="AZ61">_xlfn.LET(_xlpm.DepreciationMonths,INDEX(FixedAssets[Depreciation
/ Amortization Months],_xlfn.XMATCH($E$33,FixedAssets[Asset ID])),IF(AND((_xlfn.XMATCH(AZ$8,$AH$8:$CC$8))-_xlfn.XMATCH($C61,$C$35:$C$82)+1&lt;=_xlpm.DepreciationMonths,$C61&lt;=AZ$8),$E61/_xlpm.DepreciationMonths,0))</f>
        <v>0</v>
      </c>
      <c r="BA61" s="507" cm="1">
        <f t="array" ref="BA61">_xlfn.LET(_xlpm.DepreciationMonths,INDEX(FixedAssets[Depreciation
/ Amortization Months],_xlfn.XMATCH($E$33,FixedAssets[Asset ID])),IF(AND((_xlfn.XMATCH(BA$8,$AH$8:$CC$8))-_xlfn.XMATCH($C61,$C$35:$C$82)+1&lt;=_xlpm.DepreciationMonths,$C61&lt;=BA$8),$E61/_xlpm.DepreciationMonths,0))</f>
        <v>0</v>
      </c>
      <c r="BB61" s="507" cm="1">
        <f t="array" ref="BB61">_xlfn.LET(_xlpm.DepreciationMonths,INDEX(FixedAssets[Depreciation
/ Amortization Months],_xlfn.XMATCH($E$33,FixedAssets[Asset ID])),IF(AND((_xlfn.XMATCH(BB$8,$AH$8:$CC$8))-_xlfn.XMATCH($C61,$C$35:$C$82)+1&lt;=_xlpm.DepreciationMonths,$C61&lt;=BB$8),$E61/_xlpm.DepreciationMonths,0))</f>
        <v>0</v>
      </c>
      <c r="BC61" s="507" cm="1">
        <f t="array" ref="BC61">_xlfn.LET(_xlpm.DepreciationMonths,INDEX(FixedAssets[Depreciation
/ Amortization Months],_xlfn.XMATCH($E$33,FixedAssets[Asset ID])),IF(AND((_xlfn.XMATCH(BC$8,$AH$8:$CC$8))-_xlfn.XMATCH($C61,$C$35:$C$82)+1&lt;=_xlpm.DepreciationMonths,$C61&lt;=BC$8),$E61/_xlpm.DepreciationMonths,0))</f>
        <v>0</v>
      </c>
      <c r="BD61" s="507" cm="1">
        <f t="array" ref="BD61">_xlfn.LET(_xlpm.DepreciationMonths,INDEX(FixedAssets[Depreciation
/ Amortization Months],_xlfn.XMATCH($E$33,FixedAssets[Asset ID])),IF(AND((_xlfn.XMATCH(BD$8,$AH$8:$CC$8))-_xlfn.XMATCH($C61,$C$35:$C$82)+1&lt;=_xlpm.DepreciationMonths,$C61&lt;=BD$8),$E61/_xlpm.DepreciationMonths,0))</f>
        <v>0</v>
      </c>
      <c r="BE61" s="507" cm="1">
        <f t="array" ref="BE61">_xlfn.LET(_xlpm.DepreciationMonths,INDEX(FixedAssets[Depreciation
/ Amortization Months],_xlfn.XMATCH($E$33,FixedAssets[Asset ID])),IF(AND((_xlfn.XMATCH(BE$8,$AH$8:$CC$8))-_xlfn.XMATCH($C61,$C$35:$C$82)+1&lt;=_xlpm.DepreciationMonths,$C61&lt;=BE$8),$E61/_xlpm.DepreciationMonths,0))</f>
        <v>0</v>
      </c>
      <c r="BF61" s="507" cm="1">
        <f t="array" ref="BF61">_xlfn.LET(_xlpm.DepreciationMonths,INDEX(FixedAssets[Depreciation
/ Amortization Months],_xlfn.XMATCH($E$33,FixedAssets[Asset ID])),IF(AND((_xlfn.XMATCH(BF$8,$AH$8:$CC$8))-_xlfn.XMATCH($C61,$C$35:$C$82)+1&lt;=_xlpm.DepreciationMonths,$C61&lt;=BF$8),$E61/_xlpm.DepreciationMonths,0))</f>
        <v>0</v>
      </c>
      <c r="BG61" s="507" cm="1">
        <f t="array" ref="BG61">_xlfn.LET(_xlpm.DepreciationMonths,INDEX(FixedAssets[Depreciation
/ Amortization Months],_xlfn.XMATCH($E$33,FixedAssets[Asset ID])),IF(AND((_xlfn.XMATCH(BG$8,$AH$8:$CC$8))-_xlfn.XMATCH($C61,$C$35:$C$82)+1&lt;=_xlpm.DepreciationMonths,$C61&lt;=BG$8),$E61/_xlpm.DepreciationMonths,0))</f>
        <v>0</v>
      </c>
      <c r="BH61" s="507" cm="1">
        <f t="array" ref="BH61">_xlfn.LET(_xlpm.DepreciationMonths,INDEX(FixedAssets[Depreciation
/ Amortization Months],_xlfn.XMATCH($E$33,FixedAssets[Asset ID])),IF(AND((_xlfn.XMATCH(BH$8,$AH$8:$CC$8))-_xlfn.XMATCH($C61,$C$35:$C$82)+1&lt;=_xlpm.DepreciationMonths,$C61&lt;=BH$8),$E61/_xlpm.DepreciationMonths,0))</f>
        <v>0</v>
      </c>
      <c r="BI61" s="507" cm="1">
        <f t="array" ref="BI61">_xlfn.LET(_xlpm.DepreciationMonths,INDEX(FixedAssets[Depreciation
/ Amortization Months],_xlfn.XMATCH($E$33,FixedAssets[Asset ID])),IF(AND((_xlfn.XMATCH(BI$8,$AH$8:$CC$8))-_xlfn.XMATCH($C61,$C$35:$C$82)+1&lt;=_xlpm.DepreciationMonths,$C61&lt;=BI$8),$E61/_xlpm.DepreciationMonths,0))</f>
        <v>0</v>
      </c>
      <c r="BJ61" s="507" cm="1">
        <f t="array" ref="BJ61">_xlfn.LET(_xlpm.DepreciationMonths,INDEX(FixedAssets[Depreciation
/ Amortization Months],_xlfn.XMATCH($E$33,FixedAssets[Asset ID])),IF(AND((_xlfn.XMATCH(BJ$8,$AH$8:$CC$8))-_xlfn.XMATCH($C61,$C$35:$C$82)+1&lt;=_xlpm.DepreciationMonths,$C61&lt;=BJ$8),$E61/_xlpm.DepreciationMonths,0))</f>
        <v>0</v>
      </c>
      <c r="BK61" s="507" cm="1">
        <f t="array" ref="BK61">_xlfn.LET(_xlpm.DepreciationMonths,INDEX(FixedAssets[Depreciation
/ Amortization Months],_xlfn.XMATCH($E$33,FixedAssets[Asset ID])),IF(AND((_xlfn.XMATCH(BK$8,$AH$8:$CC$8))-_xlfn.XMATCH($C61,$C$35:$C$82)+1&lt;=_xlpm.DepreciationMonths,$C61&lt;=BK$8),$E61/_xlpm.DepreciationMonths,0))</f>
        <v>0</v>
      </c>
      <c r="BL61" s="507" cm="1">
        <f t="array" ref="BL61">_xlfn.LET(_xlpm.DepreciationMonths,INDEX(FixedAssets[Depreciation
/ Amortization Months],_xlfn.XMATCH($E$33,FixedAssets[Asset ID])),IF(AND((_xlfn.XMATCH(BL$8,$AH$8:$CC$8))-_xlfn.XMATCH($C61,$C$35:$C$82)+1&lt;=_xlpm.DepreciationMonths,$C61&lt;=BL$8),$E61/_xlpm.DepreciationMonths,0))</f>
        <v>0</v>
      </c>
      <c r="BM61" s="507" cm="1">
        <f t="array" ref="BM61">_xlfn.LET(_xlpm.DepreciationMonths,INDEX(FixedAssets[Depreciation
/ Amortization Months],_xlfn.XMATCH($E$33,FixedAssets[Asset ID])),IF(AND((_xlfn.XMATCH(BM$8,$AH$8:$CC$8))-_xlfn.XMATCH($C61,$C$35:$C$82)+1&lt;=_xlpm.DepreciationMonths,$C61&lt;=BM$8),$E61/_xlpm.DepreciationMonths,0))</f>
        <v>0</v>
      </c>
      <c r="BN61" s="507" cm="1">
        <f t="array" ref="BN61">_xlfn.LET(_xlpm.DepreciationMonths,INDEX(FixedAssets[Depreciation
/ Amortization Months],_xlfn.XMATCH($E$33,FixedAssets[Asset ID])),IF(AND((_xlfn.XMATCH(BN$8,$AH$8:$CC$8))-_xlfn.XMATCH($C61,$C$35:$C$82)+1&lt;=_xlpm.DepreciationMonths,$C61&lt;=BN$8),$E61/_xlpm.DepreciationMonths,0))</f>
        <v>0</v>
      </c>
      <c r="BO61" s="507" cm="1">
        <f t="array" ref="BO61">_xlfn.LET(_xlpm.DepreciationMonths,INDEX(FixedAssets[Depreciation
/ Amortization Months],_xlfn.XMATCH($E$33,FixedAssets[Asset ID])),IF(AND((_xlfn.XMATCH(BO$8,$AH$8:$CC$8))-_xlfn.XMATCH($C61,$C$35:$C$82)+1&lt;=_xlpm.DepreciationMonths,$C61&lt;=BO$8),$E61/_xlpm.DepreciationMonths,0))</f>
        <v>0</v>
      </c>
      <c r="BP61" s="507" cm="1">
        <f t="array" ref="BP61">_xlfn.LET(_xlpm.DepreciationMonths,INDEX(FixedAssets[Depreciation
/ Amortization Months],_xlfn.XMATCH($E$33,FixedAssets[Asset ID])),IF(AND((_xlfn.XMATCH(BP$8,$AH$8:$CC$8))-_xlfn.XMATCH($C61,$C$35:$C$82)+1&lt;=_xlpm.DepreciationMonths,$C61&lt;=BP$8),$E61/_xlpm.DepreciationMonths,0))</f>
        <v>0</v>
      </c>
      <c r="BQ61" s="507" cm="1">
        <f t="array" ref="BQ61">_xlfn.LET(_xlpm.DepreciationMonths,INDEX(FixedAssets[Depreciation
/ Amortization Months],_xlfn.XMATCH($E$33,FixedAssets[Asset ID])),IF(AND((_xlfn.XMATCH(BQ$8,$AH$8:$CC$8))-_xlfn.XMATCH($C61,$C$35:$C$82)+1&lt;=_xlpm.DepreciationMonths,$C61&lt;=BQ$8),$E61/_xlpm.DepreciationMonths,0))</f>
        <v>0</v>
      </c>
      <c r="BR61" s="507" cm="1">
        <f t="array" ref="BR61">_xlfn.LET(_xlpm.DepreciationMonths,INDEX(FixedAssets[Depreciation
/ Amortization Months],_xlfn.XMATCH($E$33,FixedAssets[Asset ID])),IF(AND((_xlfn.XMATCH(BR$8,$AH$8:$CC$8))-_xlfn.XMATCH($C61,$C$35:$C$82)+1&lt;=_xlpm.DepreciationMonths,$C61&lt;=BR$8),$E61/_xlpm.DepreciationMonths,0))</f>
        <v>0</v>
      </c>
      <c r="BS61" s="507" cm="1">
        <f t="array" ref="BS61">_xlfn.LET(_xlpm.DepreciationMonths,INDEX(FixedAssets[Depreciation
/ Amortization Months],_xlfn.XMATCH($E$33,FixedAssets[Asset ID])),IF(AND((_xlfn.XMATCH(BS$8,$AH$8:$CC$8))-_xlfn.XMATCH($C61,$C$35:$C$82)+1&lt;=_xlpm.DepreciationMonths,$C61&lt;=BS$8),$E61/_xlpm.DepreciationMonths,0))</f>
        <v>0</v>
      </c>
      <c r="BT61" s="507" cm="1">
        <f t="array" ref="BT61">_xlfn.LET(_xlpm.DepreciationMonths,INDEX(FixedAssets[Depreciation
/ Amortization Months],_xlfn.XMATCH($E$33,FixedAssets[Asset ID])),IF(AND((_xlfn.XMATCH(BT$8,$AH$8:$CC$8))-_xlfn.XMATCH($C61,$C$35:$C$82)+1&lt;=_xlpm.DepreciationMonths,$C61&lt;=BT$8),$E61/_xlpm.DepreciationMonths,0))</f>
        <v>0</v>
      </c>
      <c r="BU61" s="507" cm="1">
        <f t="array" ref="BU61">_xlfn.LET(_xlpm.DepreciationMonths,INDEX(FixedAssets[Depreciation
/ Amortization Months],_xlfn.XMATCH($E$33,FixedAssets[Asset ID])),IF(AND((_xlfn.XMATCH(BU$8,$AH$8:$CC$8))-_xlfn.XMATCH($C61,$C$35:$C$82)+1&lt;=_xlpm.DepreciationMonths,$C61&lt;=BU$8),$E61/_xlpm.DepreciationMonths,0))</f>
        <v>0</v>
      </c>
      <c r="BV61" s="507" cm="1">
        <f t="array" ref="BV61">_xlfn.LET(_xlpm.DepreciationMonths,INDEX(FixedAssets[Depreciation
/ Amortization Months],_xlfn.XMATCH($E$33,FixedAssets[Asset ID])),IF(AND((_xlfn.XMATCH(BV$8,$AH$8:$CC$8))-_xlfn.XMATCH($C61,$C$35:$C$82)+1&lt;=_xlpm.DepreciationMonths,$C61&lt;=BV$8),$E61/_xlpm.DepreciationMonths,0))</f>
        <v>0</v>
      </c>
      <c r="BW61" s="507" cm="1">
        <f t="array" ref="BW61">_xlfn.LET(_xlpm.DepreciationMonths,INDEX(FixedAssets[Depreciation
/ Amortization Months],_xlfn.XMATCH($E$33,FixedAssets[Asset ID])),IF(AND((_xlfn.XMATCH(BW$8,$AH$8:$CC$8))-_xlfn.XMATCH($C61,$C$35:$C$82)+1&lt;=_xlpm.DepreciationMonths,$C61&lt;=BW$8),$E61/_xlpm.DepreciationMonths,0))</f>
        <v>0</v>
      </c>
      <c r="BX61" s="507" cm="1">
        <f t="array" ref="BX61">_xlfn.LET(_xlpm.DepreciationMonths,INDEX(FixedAssets[Depreciation
/ Amortization Months],_xlfn.XMATCH($E$33,FixedAssets[Asset ID])),IF(AND((_xlfn.XMATCH(BX$8,$AH$8:$CC$8))-_xlfn.XMATCH($C61,$C$35:$C$82)+1&lt;=_xlpm.DepreciationMonths,$C61&lt;=BX$8),$E61/_xlpm.DepreciationMonths,0))</f>
        <v>0</v>
      </c>
      <c r="BY61" s="507" cm="1">
        <f t="array" ref="BY61">_xlfn.LET(_xlpm.DepreciationMonths,INDEX(FixedAssets[Depreciation
/ Amortization Months],_xlfn.XMATCH($E$33,FixedAssets[Asset ID])),IF(AND((_xlfn.XMATCH(BY$8,$AH$8:$CC$8))-_xlfn.XMATCH($C61,$C$35:$C$82)+1&lt;=_xlpm.DepreciationMonths,$C61&lt;=BY$8),$E61/_xlpm.DepreciationMonths,0))</f>
        <v>0</v>
      </c>
      <c r="BZ61" s="507" cm="1">
        <f t="array" ref="BZ61">_xlfn.LET(_xlpm.DepreciationMonths,INDEX(FixedAssets[Depreciation
/ Amortization Months],_xlfn.XMATCH($E$33,FixedAssets[Asset ID])),IF(AND((_xlfn.XMATCH(BZ$8,$AH$8:$CC$8))-_xlfn.XMATCH($C61,$C$35:$C$82)+1&lt;=_xlpm.DepreciationMonths,$C61&lt;=BZ$8),$E61/_xlpm.DepreciationMonths,0))</f>
        <v>0</v>
      </c>
      <c r="CA61" s="507" cm="1">
        <f t="array" ref="CA61">_xlfn.LET(_xlpm.DepreciationMonths,INDEX(FixedAssets[Depreciation
/ Amortization Months],_xlfn.XMATCH($E$33,FixedAssets[Asset ID])),IF(AND((_xlfn.XMATCH(CA$8,$AH$8:$CC$8))-_xlfn.XMATCH($C61,$C$35:$C$82)+1&lt;=_xlpm.DepreciationMonths,$C61&lt;=CA$8),$E61/_xlpm.DepreciationMonths,0))</f>
        <v>0</v>
      </c>
      <c r="CB61" s="507" cm="1">
        <f t="array" ref="CB61">_xlfn.LET(_xlpm.DepreciationMonths,INDEX(FixedAssets[Depreciation
/ Amortization Months],_xlfn.XMATCH($E$33,FixedAssets[Asset ID])),IF(AND((_xlfn.XMATCH(CB$8,$AH$8:$CC$8))-_xlfn.XMATCH($C61,$C$35:$C$82)+1&lt;=_xlpm.DepreciationMonths,$C61&lt;=CB$8),$E61/_xlpm.DepreciationMonths,0))</f>
        <v>0</v>
      </c>
      <c r="CC61" s="507" cm="1">
        <f t="array" ref="CC61">_xlfn.LET(_xlpm.DepreciationMonths,INDEX(FixedAssets[Depreciation
/ Amortization Months],_xlfn.XMATCH($E$33,FixedAssets[Asset ID])),IF(AND((_xlfn.XMATCH(CC$8,$AH$8:$CC$8))-_xlfn.XMATCH($C61,$C$35:$C$82)+1&lt;=_xlpm.DepreciationMonths,$C61&lt;=CC$8),$E61/_xlpm.DepreciationMonths,0))</f>
        <v>0</v>
      </c>
    </row>
    <row r="62" spans="3:81" hidden="1" outlineLevel="2">
      <c r="C62" s="664">
        <f t="shared" si="91"/>
        <v>45777</v>
      </c>
      <c r="D62" s="508"/>
      <c r="E62" s="508" cm="1">
        <f t="array" ref="E62">SUMPRODUCT(($AH$26:$CC$31)*($AH$5:$CC$5=$C62)*($E$26:$E$31=E$33))-SUMPRODUCT(($AH$26:$CC$31)*($AH$5:$CC$5=EOMONTH($C62,-1))*($E$26:$E$31=E$33))</f>
        <v>0</v>
      </c>
      <c r="F62" s="508"/>
      <c r="G62" s="508"/>
      <c r="H62" s="508"/>
      <c r="I62" s="508"/>
      <c r="J62" s="504">
        <f t="shared" si="88"/>
        <v>0</v>
      </c>
      <c r="K62" s="504">
        <f t="shared" si="93"/>
        <v>0</v>
      </c>
      <c r="L62" s="504">
        <f t="shared" si="93"/>
        <v>0</v>
      </c>
      <c r="M62" s="504">
        <f t="shared" si="93"/>
        <v>0</v>
      </c>
      <c r="N62" s="504"/>
      <c r="O62" s="504"/>
      <c r="P62" s="504">
        <f t="shared" si="94"/>
        <v>0</v>
      </c>
      <c r="Q62" s="504">
        <f t="shared" si="94"/>
        <v>0</v>
      </c>
      <c r="R62" s="504">
        <f t="shared" si="94"/>
        <v>0</v>
      </c>
      <c r="S62" s="504">
        <f t="shared" si="94"/>
        <v>0</v>
      </c>
      <c r="T62" s="504">
        <f t="shared" si="94"/>
        <v>0</v>
      </c>
      <c r="U62" s="504">
        <f t="shared" si="94"/>
        <v>0</v>
      </c>
      <c r="V62" s="504">
        <f t="shared" si="94"/>
        <v>0</v>
      </c>
      <c r="W62" s="504">
        <f t="shared" si="94"/>
        <v>0</v>
      </c>
      <c r="X62" s="504">
        <f t="shared" si="94"/>
        <v>0</v>
      </c>
      <c r="Y62" s="504">
        <f t="shared" si="94"/>
        <v>0</v>
      </c>
      <c r="Z62" s="504">
        <f t="shared" si="94"/>
        <v>0</v>
      </c>
      <c r="AA62" s="504">
        <f t="shared" si="94"/>
        <v>0</v>
      </c>
      <c r="AB62" s="504">
        <f t="shared" si="94"/>
        <v>0</v>
      </c>
      <c r="AC62" s="504">
        <f t="shared" si="94"/>
        <v>0</v>
      </c>
      <c r="AD62" s="504">
        <f t="shared" si="94"/>
        <v>0</v>
      </c>
      <c r="AE62" s="504">
        <f t="shared" si="94"/>
        <v>0</v>
      </c>
      <c r="AF62" s="508"/>
      <c r="AG62" s="508"/>
      <c r="AH62" s="507" cm="1">
        <f t="array" ref="AH62">_xlfn.LET(_xlpm.DepreciationMonths,INDEX(FixedAssets[Depreciation
/ Amortization Months],_xlfn.XMATCH($E$33,FixedAssets[Asset ID])),IF(AND((_xlfn.XMATCH(AH$8,$AH$8:$CC$8))-_xlfn.XMATCH($C62,$C$35:$C$82)+1&lt;=_xlpm.DepreciationMonths,$C62&lt;=AH$8),$E62/_xlpm.DepreciationMonths,0))</f>
        <v>0</v>
      </c>
      <c r="AI62" s="507" cm="1">
        <f t="array" ref="AI62">_xlfn.LET(_xlpm.DepreciationMonths,INDEX(FixedAssets[Depreciation
/ Amortization Months],_xlfn.XMATCH($E$33,FixedAssets[Asset ID])),IF(AND((_xlfn.XMATCH(AI$8,$AH$8:$CC$8))-_xlfn.XMATCH($C62,$C$35:$C$82)+1&lt;=_xlpm.DepreciationMonths,$C62&lt;=AI$8),$E62/_xlpm.DepreciationMonths,0))</f>
        <v>0</v>
      </c>
      <c r="AJ62" s="507" cm="1">
        <f t="array" ref="AJ62">_xlfn.LET(_xlpm.DepreciationMonths,INDEX(FixedAssets[Depreciation
/ Amortization Months],_xlfn.XMATCH($E$33,FixedAssets[Asset ID])),IF(AND((_xlfn.XMATCH(AJ$8,$AH$8:$CC$8))-_xlfn.XMATCH($C62,$C$35:$C$82)+1&lt;=_xlpm.DepreciationMonths,$C62&lt;=AJ$8),$E62/_xlpm.DepreciationMonths,0))</f>
        <v>0</v>
      </c>
      <c r="AK62" s="507" cm="1">
        <f t="array" ref="AK62">_xlfn.LET(_xlpm.DepreciationMonths,INDEX(FixedAssets[Depreciation
/ Amortization Months],_xlfn.XMATCH($E$33,FixedAssets[Asset ID])),IF(AND((_xlfn.XMATCH(AK$8,$AH$8:$CC$8))-_xlfn.XMATCH($C62,$C$35:$C$82)+1&lt;=_xlpm.DepreciationMonths,$C62&lt;=AK$8),$E62/_xlpm.DepreciationMonths,0))</f>
        <v>0</v>
      </c>
      <c r="AL62" s="507" cm="1">
        <f t="array" ref="AL62">_xlfn.LET(_xlpm.DepreciationMonths,INDEX(FixedAssets[Depreciation
/ Amortization Months],_xlfn.XMATCH($E$33,FixedAssets[Asset ID])),IF(AND((_xlfn.XMATCH(AL$8,$AH$8:$CC$8))-_xlfn.XMATCH($C62,$C$35:$C$82)+1&lt;=_xlpm.DepreciationMonths,$C62&lt;=AL$8),$E62/_xlpm.DepreciationMonths,0))</f>
        <v>0</v>
      </c>
      <c r="AM62" s="507" cm="1">
        <f t="array" ref="AM62">_xlfn.LET(_xlpm.DepreciationMonths,INDEX(FixedAssets[Depreciation
/ Amortization Months],_xlfn.XMATCH($E$33,FixedAssets[Asset ID])),IF(AND((_xlfn.XMATCH(AM$8,$AH$8:$CC$8))-_xlfn.XMATCH($C62,$C$35:$C$82)+1&lt;=_xlpm.DepreciationMonths,$C62&lt;=AM$8),$E62/_xlpm.DepreciationMonths,0))</f>
        <v>0</v>
      </c>
      <c r="AN62" s="507" cm="1">
        <f t="array" ref="AN62">_xlfn.LET(_xlpm.DepreciationMonths,INDEX(FixedAssets[Depreciation
/ Amortization Months],_xlfn.XMATCH($E$33,FixedAssets[Asset ID])),IF(AND((_xlfn.XMATCH(AN$8,$AH$8:$CC$8))-_xlfn.XMATCH($C62,$C$35:$C$82)+1&lt;=_xlpm.DepreciationMonths,$C62&lt;=AN$8),$E62/_xlpm.DepreciationMonths,0))</f>
        <v>0</v>
      </c>
      <c r="AO62" s="507" cm="1">
        <f t="array" ref="AO62">_xlfn.LET(_xlpm.DepreciationMonths,INDEX(FixedAssets[Depreciation
/ Amortization Months],_xlfn.XMATCH($E$33,FixedAssets[Asset ID])),IF(AND((_xlfn.XMATCH(AO$8,$AH$8:$CC$8))-_xlfn.XMATCH($C62,$C$35:$C$82)+1&lt;=_xlpm.DepreciationMonths,$C62&lt;=AO$8),$E62/_xlpm.DepreciationMonths,0))</f>
        <v>0</v>
      </c>
      <c r="AP62" s="507" cm="1">
        <f t="array" ref="AP62">_xlfn.LET(_xlpm.DepreciationMonths,INDEX(FixedAssets[Depreciation
/ Amortization Months],_xlfn.XMATCH($E$33,FixedAssets[Asset ID])),IF(AND((_xlfn.XMATCH(AP$8,$AH$8:$CC$8))-_xlfn.XMATCH($C62,$C$35:$C$82)+1&lt;=_xlpm.DepreciationMonths,$C62&lt;=AP$8),$E62/_xlpm.DepreciationMonths,0))</f>
        <v>0</v>
      </c>
      <c r="AQ62" s="507" cm="1">
        <f t="array" ref="AQ62">_xlfn.LET(_xlpm.DepreciationMonths,INDEX(FixedAssets[Depreciation
/ Amortization Months],_xlfn.XMATCH($E$33,FixedAssets[Asset ID])),IF(AND((_xlfn.XMATCH(AQ$8,$AH$8:$CC$8))-_xlfn.XMATCH($C62,$C$35:$C$82)+1&lt;=_xlpm.DepreciationMonths,$C62&lt;=AQ$8),$E62/_xlpm.DepreciationMonths,0))</f>
        <v>0</v>
      </c>
      <c r="AR62" s="507" cm="1">
        <f t="array" ref="AR62">_xlfn.LET(_xlpm.DepreciationMonths,INDEX(FixedAssets[Depreciation
/ Amortization Months],_xlfn.XMATCH($E$33,FixedAssets[Asset ID])),IF(AND((_xlfn.XMATCH(AR$8,$AH$8:$CC$8))-_xlfn.XMATCH($C62,$C$35:$C$82)+1&lt;=_xlpm.DepreciationMonths,$C62&lt;=AR$8),$E62/_xlpm.DepreciationMonths,0))</f>
        <v>0</v>
      </c>
      <c r="AS62" s="507" cm="1">
        <f t="array" ref="AS62">_xlfn.LET(_xlpm.DepreciationMonths,INDEX(FixedAssets[Depreciation
/ Amortization Months],_xlfn.XMATCH($E$33,FixedAssets[Asset ID])),IF(AND((_xlfn.XMATCH(AS$8,$AH$8:$CC$8))-_xlfn.XMATCH($C62,$C$35:$C$82)+1&lt;=_xlpm.DepreciationMonths,$C62&lt;=AS$8),$E62/_xlpm.DepreciationMonths,0))</f>
        <v>0</v>
      </c>
      <c r="AT62" s="507" cm="1">
        <f t="array" ref="AT62">_xlfn.LET(_xlpm.DepreciationMonths,INDEX(FixedAssets[Depreciation
/ Amortization Months],_xlfn.XMATCH($E$33,FixedAssets[Asset ID])),IF(AND((_xlfn.XMATCH(AT$8,$AH$8:$CC$8))-_xlfn.XMATCH($C62,$C$35:$C$82)+1&lt;=_xlpm.DepreciationMonths,$C62&lt;=AT$8),$E62/_xlpm.DepreciationMonths,0))</f>
        <v>0</v>
      </c>
      <c r="AU62" s="507" cm="1">
        <f t="array" ref="AU62">_xlfn.LET(_xlpm.DepreciationMonths,INDEX(FixedAssets[Depreciation
/ Amortization Months],_xlfn.XMATCH($E$33,FixedAssets[Asset ID])),IF(AND((_xlfn.XMATCH(AU$8,$AH$8:$CC$8))-_xlfn.XMATCH($C62,$C$35:$C$82)+1&lt;=_xlpm.DepreciationMonths,$C62&lt;=AU$8),$E62/_xlpm.DepreciationMonths,0))</f>
        <v>0</v>
      </c>
      <c r="AV62" s="507" cm="1">
        <f t="array" ref="AV62">_xlfn.LET(_xlpm.DepreciationMonths,INDEX(FixedAssets[Depreciation
/ Amortization Months],_xlfn.XMATCH($E$33,FixedAssets[Asset ID])),IF(AND((_xlfn.XMATCH(AV$8,$AH$8:$CC$8))-_xlfn.XMATCH($C62,$C$35:$C$82)+1&lt;=_xlpm.DepreciationMonths,$C62&lt;=AV$8),$E62/_xlpm.DepreciationMonths,0))</f>
        <v>0</v>
      </c>
      <c r="AW62" s="507" cm="1">
        <f t="array" ref="AW62">_xlfn.LET(_xlpm.DepreciationMonths,INDEX(FixedAssets[Depreciation
/ Amortization Months],_xlfn.XMATCH($E$33,FixedAssets[Asset ID])),IF(AND((_xlfn.XMATCH(AW$8,$AH$8:$CC$8))-_xlfn.XMATCH($C62,$C$35:$C$82)+1&lt;=_xlpm.DepreciationMonths,$C62&lt;=AW$8),$E62/_xlpm.DepreciationMonths,0))</f>
        <v>0</v>
      </c>
      <c r="AX62" s="507" cm="1">
        <f t="array" ref="AX62">_xlfn.LET(_xlpm.DepreciationMonths,INDEX(FixedAssets[Depreciation
/ Amortization Months],_xlfn.XMATCH($E$33,FixedAssets[Asset ID])),IF(AND((_xlfn.XMATCH(AX$8,$AH$8:$CC$8))-_xlfn.XMATCH($C62,$C$35:$C$82)+1&lt;=_xlpm.DepreciationMonths,$C62&lt;=AX$8),$E62/_xlpm.DepreciationMonths,0))</f>
        <v>0</v>
      </c>
      <c r="AY62" s="507" cm="1">
        <f t="array" ref="AY62">_xlfn.LET(_xlpm.DepreciationMonths,INDEX(FixedAssets[Depreciation
/ Amortization Months],_xlfn.XMATCH($E$33,FixedAssets[Asset ID])),IF(AND((_xlfn.XMATCH(AY$8,$AH$8:$CC$8))-_xlfn.XMATCH($C62,$C$35:$C$82)+1&lt;=_xlpm.DepreciationMonths,$C62&lt;=AY$8),$E62/_xlpm.DepreciationMonths,0))</f>
        <v>0</v>
      </c>
      <c r="AZ62" s="507" cm="1">
        <f t="array" ref="AZ62">_xlfn.LET(_xlpm.DepreciationMonths,INDEX(FixedAssets[Depreciation
/ Amortization Months],_xlfn.XMATCH($E$33,FixedAssets[Asset ID])),IF(AND((_xlfn.XMATCH(AZ$8,$AH$8:$CC$8))-_xlfn.XMATCH($C62,$C$35:$C$82)+1&lt;=_xlpm.DepreciationMonths,$C62&lt;=AZ$8),$E62/_xlpm.DepreciationMonths,0))</f>
        <v>0</v>
      </c>
      <c r="BA62" s="507" cm="1">
        <f t="array" ref="BA62">_xlfn.LET(_xlpm.DepreciationMonths,INDEX(FixedAssets[Depreciation
/ Amortization Months],_xlfn.XMATCH($E$33,FixedAssets[Asset ID])),IF(AND((_xlfn.XMATCH(BA$8,$AH$8:$CC$8))-_xlfn.XMATCH($C62,$C$35:$C$82)+1&lt;=_xlpm.DepreciationMonths,$C62&lt;=BA$8),$E62/_xlpm.DepreciationMonths,0))</f>
        <v>0</v>
      </c>
      <c r="BB62" s="507" cm="1">
        <f t="array" ref="BB62">_xlfn.LET(_xlpm.DepreciationMonths,INDEX(FixedAssets[Depreciation
/ Amortization Months],_xlfn.XMATCH($E$33,FixedAssets[Asset ID])),IF(AND((_xlfn.XMATCH(BB$8,$AH$8:$CC$8))-_xlfn.XMATCH($C62,$C$35:$C$82)+1&lt;=_xlpm.DepreciationMonths,$C62&lt;=BB$8),$E62/_xlpm.DepreciationMonths,0))</f>
        <v>0</v>
      </c>
      <c r="BC62" s="507" cm="1">
        <f t="array" ref="BC62">_xlfn.LET(_xlpm.DepreciationMonths,INDEX(FixedAssets[Depreciation
/ Amortization Months],_xlfn.XMATCH($E$33,FixedAssets[Asset ID])),IF(AND((_xlfn.XMATCH(BC$8,$AH$8:$CC$8))-_xlfn.XMATCH($C62,$C$35:$C$82)+1&lt;=_xlpm.DepreciationMonths,$C62&lt;=BC$8),$E62/_xlpm.DepreciationMonths,0))</f>
        <v>0</v>
      </c>
      <c r="BD62" s="507" cm="1">
        <f t="array" ref="BD62">_xlfn.LET(_xlpm.DepreciationMonths,INDEX(FixedAssets[Depreciation
/ Amortization Months],_xlfn.XMATCH($E$33,FixedAssets[Asset ID])),IF(AND((_xlfn.XMATCH(BD$8,$AH$8:$CC$8))-_xlfn.XMATCH($C62,$C$35:$C$82)+1&lt;=_xlpm.DepreciationMonths,$C62&lt;=BD$8),$E62/_xlpm.DepreciationMonths,0))</f>
        <v>0</v>
      </c>
      <c r="BE62" s="507" cm="1">
        <f t="array" ref="BE62">_xlfn.LET(_xlpm.DepreciationMonths,INDEX(FixedAssets[Depreciation
/ Amortization Months],_xlfn.XMATCH($E$33,FixedAssets[Asset ID])),IF(AND((_xlfn.XMATCH(BE$8,$AH$8:$CC$8))-_xlfn.XMATCH($C62,$C$35:$C$82)+1&lt;=_xlpm.DepreciationMonths,$C62&lt;=BE$8),$E62/_xlpm.DepreciationMonths,0))</f>
        <v>0</v>
      </c>
      <c r="BF62" s="507" cm="1">
        <f t="array" ref="BF62">_xlfn.LET(_xlpm.DepreciationMonths,INDEX(FixedAssets[Depreciation
/ Amortization Months],_xlfn.XMATCH($E$33,FixedAssets[Asset ID])),IF(AND((_xlfn.XMATCH(BF$8,$AH$8:$CC$8))-_xlfn.XMATCH($C62,$C$35:$C$82)+1&lt;=_xlpm.DepreciationMonths,$C62&lt;=BF$8),$E62/_xlpm.DepreciationMonths,0))</f>
        <v>0</v>
      </c>
      <c r="BG62" s="507" cm="1">
        <f t="array" ref="BG62">_xlfn.LET(_xlpm.DepreciationMonths,INDEX(FixedAssets[Depreciation
/ Amortization Months],_xlfn.XMATCH($E$33,FixedAssets[Asset ID])),IF(AND((_xlfn.XMATCH(BG$8,$AH$8:$CC$8))-_xlfn.XMATCH($C62,$C$35:$C$82)+1&lt;=_xlpm.DepreciationMonths,$C62&lt;=BG$8),$E62/_xlpm.DepreciationMonths,0))</f>
        <v>0</v>
      </c>
      <c r="BH62" s="507" cm="1">
        <f t="array" ref="BH62">_xlfn.LET(_xlpm.DepreciationMonths,INDEX(FixedAssets[Depreciation
/ Amortization Months],_xlfn.XMATCH($E$33,FixedAssets[Asset ID])),IF(AND((_xlfn.XMATCH(BH$8,$AH$8:$CC$8))-_xlfn.XMATCH($C62,$C$35:$C$82)+1&lt;=_xlpm.DepreciationMonths,$C62&lt;=BH$8),$E62/_xlpm.DepreciationMonths,0))</f>
        <v>0</v>
      </c>
      <c r="BI62" s="507" cm="1">
        <f t="array" ref="BI62">_xlfn.LET(_xlpm.DepreciationMonths,INDEX(FixedAssets[Depreciation
/ Amortization Months],_xlfn.XMATCH($E$33,FixedAssets[Asset ID])),IF(AND((_xlfn.XMATCH(BI$8,$AH$8:$CC$8))-_xlfn.XMATCH($C62,$C$35:$C$82)+1&lt;=_xlpm.DepreciationMonths,$C62&lt;=BI$8),$E62/_xlpm.DepreciationMonths,0))</f>
        <v>0</v>
      </c>
      <c r="BJ62" s="507" cm="1">
        <f t="array" ref="BJ62">_xlfn.LET(_xlpm.DepreciationMonths,INDEX(FixedAssets[Depreciation
/ Amortization Months],_xlfn.XMATCH($E$33,FixedAssets[Asset ID])),IF(AND((_xlfn.XMATCH(BJ$8,$AH$8:$CC$8))-_xlfn.XMATCH($C62,$C$35:$C$82)+1&lt;=_xlpm.DepreciationMonths,$C62&lt;=BJ$8),$E62/_xlpm.DepreciationMonths,0))</f>
        <v>0</v>
      </c>
      <c r="BK62" s="507" cm="1">
        <f t="array" ref="BK62">_xlfn.LET(_xlpm.DepreciationMonths,INDEX(FixedAssets[Depreciation
/ Amortization Months],_xlfn.XMATCH($E$33,FixedAssets[Asset ID])),IF(AND((_xlfn.XMATCH(BK$8,$AH$8:$CC$8))-_xlfn.XMATCH($C62,$C$35:$C$82)+1&lt;=_xlpm.DepreciationMonths,$C62&lt;=BK$8),$E62/_xlpm.DepreciationMonths,0))</f>
        <v>0</v>
      </c>
      <c r="BL62" s="507" cm="1">
        <f t="array" ref="BL62">_xlfn.LET(_xlpm.DepreciationMonths,INDEX(FixedAssets[Depreciation
/ Amortization Months],_xlfn.XMATCH($E$33,FixedAssets[Asset ID])),IF(AND((_xlfn.XMATCH(BL$8,$AH$8:$CC$8))-_xlfn.XMATCH($C62,$C$35:$C$82)+1&lt;=_xlpm.DepreciationMonths,$C62&lt;=BL$8),$E62/_xlpm.DepreciationMonths,0))</f>
        <v>0</v>
      </c>
      <c r="BM62" s="507" cm="1">
        <f t="array" ref="BM62">_xlfn.LET(_xlpm.DepreciationMonths,INDEX(FixedAssets[Depreciation
/ Amortization Months],_xlfn.XMATCH($E$33,FixedAssets[Asset ID])),IF(AND((_xlfn.XMATCH(BM$8,$AH$8:$CC$8))-_xlfn.XMATCH($C62,$C$35:$C$82)+1&lt;=_xlpm.DepreciationMonths,$C62&lt;=BM$8),$E62/_xlpm.DepreciationMonths,0))</f>
        <v>0</v>
      </c>
      <c r="BN62" s="507" cm="1">
        <f t="array" ref="BN62">_xlfn.LET(_xlpm.DepreciationMonths,INDEX(FixedAssets[Depreciation
/ Amortization Months],_xlfn.XMATCH($E$33,FixedAssets[Asset ID])),IF(AND((_xlfn.XMATCH(BN$8,$AH$8:$CC$8))-_xlfn.XMATCH($C62,$C$35:$C$82)+1&lt;=_xlpm.DepreciationMonths,$C62&lt;=BN$8),$E62/_xlpm.DepreciationMonths,0))</f>
        <v>0</v>
      </c>
      <c r="BO62" s="507" cm="1">
        <f t="array" ref="BO62">_xlfn.LET(_xlpm.DepreciationMonths,INDEX(FixedAssets[Depreciation
/ Amortization Months],_xlfn.XMATCH($E$33,FixedAssets[Asset ID])),IF(AND((_xlfn.XMATCH(BO$8,$AH$8:$CC$8))-_xlfn.XMATCH($C62,$C$35:$C$82)+1&lt;=_xlpm.DepreciationMonths,$C62&lt;=BO$8),$E62/_xlpm.DepreciationMonths,0))</f>
        <v>0</v>
      </c>
      <c r="BP62" s="507" cm="1">
        <f t="array" ref="BP62">_xlfn.LET(_xlpm.DepreciationMonths,INDEX(FixedAssets[Depreciation
/ Amortization Months],_xlfn.XMATCH($E$33,FixedAssets[Asset ID])),IF(AND((_xlfn.XMATCH(BP$8,$AH$8:$CC$8))-_xlfn.XMATCH($C62,$C$35:$C$82)+1&lt;=_xlpm.DepreciationMonths,$C62&lt;=BP$8),$E62/_xlpm.DepreciationMonths,0))</f>
        <v>0</v>
      </c>
      <c r="BQ62" s="507" cm="1">
        <f t="array" ref="BQ62">_xlfn.LET(_xlpm.DepreciationMonths,INDEX(FixedAssets[Depreciation
/ Amortization Months],_xlfn.XMATCH($E$33,FixedAssets[Asset ID])),IF(AND((_xlfn.XMATCH(BQ$8,$AH$8:$CC$8))-_xlfn.XMATCH($C62,$C$35:$C$82)+1&lt;=_xlpm.DepreciationMonths,$C62&lt;=BQ$8),$E62/_xlpm.DepreciationMonths,0))</f>
        <v>0</v>
      </c>
      <c r="BR62" s="507" cm="1">
        <f t="array" ref="BR62">_xlfn.LET(_xlpm.DepreciationMonths,INDEX(FixedAssets[Depreciation
/ Amortization Months],_xlfn.XMATCH($E$33,FixedAssets[Asset ID])),IF(AND((_xlfn.XMATCH(BR$8,$AH$8:$CC$8))-_xlfn.XMATCH($C62,$C$35:$C$82)+1&lt;=_xlpm.DepreciationMonths,$C62&lt;=BR$8),$E62/_xlpm.DepreciationMonths,0))</f>
        <v>0</v>
      </c>
      <c r="BS62" s="507" cm="1">
        <f t="array" ref="BS62">_xlfn.LET(_xlpm.DepreciationMonths,INDEX(FixedAssets[Depreciation
/ Amortization Months],_xlfn.XMATCH($E$33,FixedAssets[Asset ID])),IF(AND((_xlfn.XMATCH(BS$8,$AH$8:$CC$8))-_xlfn.XMATCH($C62,$C$35:$C$82)+1&lt;=_xlpm.DepreciationMonths,$C62&lt;=BS$8),$E62/_xlpm.DepreciationMonths,0))</f>
        <v>0</v>
      </c>
      <c r="BT62" s="507" cm="1">
        <f t="array" ref="BT62">_xlfn.LET(_xlpm.DepreciationMonths,INDEX(FixedAssets[Depreciation
/ Amortization Months],_xlfn.XMATCH($E$33,FixedAssets[Asset ID])),IF(AND((_xlfn.XMATCH(BT$8,$AH$8:$CC$8))-_xlfn.XMATCH($C62,$C$35:$C$82)+1&lt;=_xlpm.DepreciationMonths,$C62&lt;=BT$8),$E62/_xlpm.DepreciationMonths,0))</f>
        <v>0</v>
      </c>
      <c r="BU62" s="507" cm="1">
        <f t="array" ref="BU62">_xlfn.LET(_xlpm.DepreciationMonths,INDEX(FixedAssets[Depreciation
/ Amortization Months],_xlfn.XMATCH($E$33,FixedAssets[Asset ID])),IF(AND((_xlfn.XMATCH(BU$8,$AH$8:$CC$8))-_xlfn.XMATCH($C62,$C$35:$C$82)+1&lt;=_xlpm.DepreciationMonths,$C62&lt;=BU$8),$E62/_xlpm.DepreciationMonths,0))</f>
        <v>0</v>
      </c>
      <c r="BV62" s="507" cm="1">
        <f t="array" ref="BV62">_xlfn.LET(_xlpm.DepreciationMonths,INDEX(FixedAssets[Depreciation
/ Amortization Months],_xlfn.XMATCH($E$33,FixedAssets[Asset ID])),IF(AND((_xlfn.XMATCH(BV$8,$AH$8:$CC$8))-_xlfn.XMATCH($C62,$C$35:$C$82)+1&lt;=_xlpm.DepreciationMonths,$C62&lt;=BV$8),$E62/_xlpm.DepreciationMonths,0))</f>
        <v>0</v>
      </c>
      <c r="BW62" s="507" cm="1">
        <f t="array" ref="BW62">_xlfn.LET(_xlpm.DepreciationMonths,INDEX(FixedAssets[Depreciation
/ Amortization Months],_xlfn.XMATCH($E$33,FixedAssets[Asset ID])),IF(AND((_xlfn.XMATCH(BW$8,$AH$8:$CC$8))-_xlfn.XMATCH($C62,$C$35:$C$82)+1&lt;=_xlpm.DepreciationMonths,$C62&lt;=BW$8),$E62/_xlpm.DepreciationMonths,0))</f>
        <v>0</v>
      </c>
      <c r="BX62" s="507" cm="1">
        <f t="array" ref="BX62">_xlfn.LET(_xlpm.DepreciationMonths,INDEX(FixedAssets[Depreciation
/ Amortization Months],_xlfn.XMATCH($E$33,FixedAssets[Asset ID])),IF(AND((_xlfn.XMATCH(BX$8,$AH$8:$CC$8))-_xlfn.XMATCH($C62,$C$35:$C$82)+1&lt;=_xlpm.DepreciationMonths,$C62&lt;=BX$8),$E62/_xlpm.DepreciationMonths,0))</f>
        <v>0</v>
      </c>
      <c r="BY62" s="507" cm="1">
        <f t="array" ref="BY62">_xlfn.LET(_xlpm.DepreciationMonths,INDEX(FixedAssets[Depreciation
/ Amortization Months],_xlfn.XMATCH($E$33,FixedAssets[Asset ID])),IF(AND((_xlfn.XMATCH(BY$8,$AH$8:$CC$8))-_xlfn.XMATCH($C62,$C$35:$C$82)+1&lt;=_xlpm.DepreciationMonths,$C62&lt;=BY$8),$E62/_xlpm.DepreciationMonths,0))</f>
        <v>0</v>
      </c>
      <c r="BZ62" s="507" cm="1">
        <f t="array" ref="BZ62">_xlfn.LET(_xlpm.DepreciationMonths,INDEX(FixedAssets[Depreciation
/ Amortization Months],_xlfn.XMATCH($E$33,FixedAssets[Asset ID])),IF(AND((_xlfn.XMATCH(BZ$8,$AH$8:$CC$8))-_xlfn.XMATCH($C62,$C$35:$C$82)+1&lt;=_xlpm.DepreciationMonths,$C62&lt;=BZ$8),$E62/_xlpm.DepreciationMonths,0))</f>
        <v>0</v>
      </c>
      <c r="CA62" s="507" cm="1">
        <f t="array" ref="CA62">_xlfn.LET(_xlpm.DepreciationMonths,INDEX(FixedAssets[Depreciation
/ Amortization Months],_xlfn.XMATCH($E$33,FixedAssets[Asset ID])),IF(AND((_xlfn.XMATCH(CA$8,$AH$8:$CC$8))-_xlfn.XMATCH($C62,$C$35:$C$82)+1&lt;=_xlpm.DepreciationMonths,$C62&lt;=CA$8),$E62/_xlpm.DepreciationMonths,0))</f>
        <v>0</v>
      </c>
      <c r="CB62" s="507" cm="1">
        <f t="array" ref="CB62">_xlfn.LET(_xlpm.DepreciationMonths,INDEX(FixedAssets[Depreciation
/ Amortization Months],_xlfn.XMATCH($E$33,FixedAssets[Asset ID])),IF(AND((_xlfn.XMATCH(CB$8,$AH$8:$CC$8))-_xlfn.XMATCH($C62,$C$35:$C$82)+1&lt;=_xlpm.DepreciationMonths,$C62&lt;=CB$8),$E62/_xlpm.DepreciationMonths,0))</f>
        <v>0</v>
      </c>
      <c r="CC62" s="507" cm="1">
        <f t="array" ref="CC62">_xlfn.LET(_xlpm.DepreciationMonths,INDEX(FixedAssets[Depreciation
/ Amortization Months],_xlfn.XMATCH($E$33,FixedAssets[Asset ID])),IF(AND((_xlfn.XMATCH(CC$8,$AH$8:$CC$8))-_xlfn.XMATCH($C62,$C$35:$C$82)+1&lt;=_xlpm.DepreciationMonths,$C62&lt;=CC$8),$E62/_xlpm.DepreciationMonths,0))</f>
        <v>0</v>
      </c>
    </row>
    <row r="63" spans="3:81" hidden="1" outlineLevel="2">
      <c r="C63" s="664">
        <f t="shared" si="91"/>
        <v>45808</v>
      </c>
      <c r="D63" s="508"/>
      <c r="E63" s="508" cm="1">
        <f t="array" ref="E63">SUMPRODUCT(($AH$26:$CC$31)*($AH$5:$CC$5=$C63)*($E$26:$E$31=E$33))-SUMPRODUCT(($AH$26:$CC$31)*($AH$5:$CC$5=EOMONTH($C63,-1))*($E$26:$E$31=E$33))</f>
        <v>0</v>
      </c>
      <c r="F63" s="508"/>
      <c r="G63" s="508"/>
      <c r="H63" s="508"/>
      <c r="I63" s="508"/>
      <c r="J63" s="504">
        <f t="shared" si="88"/>
        <v>0</v>
      </c>
      <c r="K63" s="504">
        <f t="shared" si="93"/>
        <v>0</v>
      </c>
      <c r="L63" s="504">
        <f t="shared" si="93"/>
        <v>0</v>
      </c>
      <c r="M63" s="504">
        <f t="shared" si="93"/>
        <v>0</v>
      </c>
      <c r="N63" s="504"/>
      <c r="O63" s="504"/>
      <c r="P63" s="504">
        <f t="shared" si="94"/>
        <v>0</v>
      </c>
      <c r="Q63" s="504">
        <f t="shared" si="94"/>
        <v>0</v>
      </c>
      <c r="R63" s="504">
        <f t="shared" si="94"/>
        <v>0</v>
      </c>
      <c r="S63" s="504">
        <f t="shared" si="94"/>
        <v>0</v>
      </c>
      <c r="T63" s="504">
        <f t="shared" si="94"/>
        <v>0</v>
      </c>
      <c r="U63" s="504">
        <f t="shared" si="94"/>
        <v>0</v>
      </c>
      <c r="V63" s="504">
        <f t="shared" si="94"/>
        <v>0</v>
      </c>
      <c r="W63" s="504">
        <f t="shared" si="94"/>
        <v>0</v>
      </c>
      <c r="X63" s="504">
        <f t="shared" si="94"/>
        <v>0</v>
      </c>
      <c r="Y63" s="504">
        <f t="shared" si="94"/>
        <v>0</v>
      </c>
      <c r="Z63" s="504">
        <f t="shared" si="94"/>
        <v>0</v>
      </c>
      <c r="AA63" s="504">
        <f t="shared" si="94"/>
        <v>0</v>
      </c>
      <c r="AB63" s="504">
        <f t="shared" si="94"/>
        <v>0</v>
      </c>
      <c r="AC63" s="504">
        <f t="shared" si="94"/>
        <v>0</v>
      </c>
      <c r="AD63" s="504">
        <f t="shared" si="94"/>
        <v>0</v>
      </c>
      <c r="AE63" s="504">
        <f t="shared" si="94"/>
        <v>0</v>
      </c>
      <c r="AF63" s="508"/>
      <c r="AG63" s="508"/>
      <c r="AH63" s="507" cm="1">
        <f t="array" ref="AH63">_xlfn.LET(_xlpm.DepreciationMonths,INDEX(FixedAssets[Depreciation
/ Amortization Months],_xlfn.XMATCH($E$33,FixedAssets[Asset ID])),IF(AND((_xlfn.XMATCH(AH$8,$AH$8:$CC$8))-_xlfn.XMATCH($C63,$C$35:$C$82)+1&lt;=_xlpm.DepreciationMonths,$C63&lt;=AH$8),$E63/_xlpm.DepreciationMonths,0))</f>
        <v>0</v>
      </c>
      <c r="AI63" s="507" cm="1">
        <f t="array" ref="AI63">_xlfn.LET(_xlpm.DepreciationMonths,INDEX(FixedAssets[Depreciation
/ Amortization Months],_xlfn.XMATCH($E$33,FixedAssets[Asset ID])),IF(AND((_xlfn.XMATCH(AI$8,$AH$8:$CC$8))-_xlfn.XMATCH($C63,$C$35:$C$82)+1&lt;=_xlpm.DepreciationMonths,$C63&lt;=AI$8),$E63/_xlpm.DepreciationMonths,0))</f>
        <v>0</v>
      </c>
      <c r="AJ63" s="507" cm="1">
        <f t="array" ref="AJ63">_xlfn.LET(_xlpm.DepreciationMonths,INDEX(FixedAssets[Depreciation
/ Amortization Months],_xlfn.XMATCH($E$33,FixedAssets[Asset ID])),IF(AND((_xlfn.XMATCH(AJ$8,$AH$8:$CC$8))-_xlfn.XMATCH($C63,$C$35:$C$82)+1&lt;=_xlpm.DepreciationMonths,$C63&lt;=AJ$8),$E63/_xlpm.DepreciationMonths,0))</f>
        <v>0</v>
      </c>
      <c r="AK63" s="507" cm="1">
        <f t="array" ref="AK63">_xlfn.LET(_xlpm.DepreciationMonths,INDEX(FixedAssets[Depreciation
/ Amortization Months],_xlfn.XMATCH($E$33,FixedAssets[Asset ID])),IF(AND((_xlfn.XMATCH(AK$8,$AH$8:$CC$8))-_xlfn.XMATCH($C63,$C$35:$C$82)+1&lt;=_xlpm.DepreciationMonths,$C63&lt;=AK$8),$E63/_xlpm.DepreciationMonths,0))</f>
        <v>0</v>
      </c>
      <c r="AL63" s="507" cm="1">
        <f t="array" ref="AL63">_xlfn.LET(_xlpm.DepreciationMonths,INDEX(FixedAssets[Depreciation
/ Amortization Months],_xlfn.XMATCH($E$33,FixedAssets[Asset ID])),IF(AND((_xlfn.XMATCH(AL$8,$AH$8:$CC$8))-_xlfn.XMATCH($C63,$C$35:$C$82)+1&lt;=_xlpm.DepreciationMonths,$C63&lt;=AL$8),$E63/_xlpm.DepreciationMonths,0))</f>
        <v>0</v>
      </c>
      <c r="AM63" s="507" cm="1">
        <f t="array" ref="AM63">_xlfn.LET(_xlpm.DepreciationMonths,INDEX(FixedAssets[Depreciation
/ Amortization Months],_xlfn.XMATCH($E$33,FixedAssets[Asset ID])),IF(AND((_xlfn.XMATCH(AM$8,$AH$8:$CC$8))-_xlfn.XMATCH($C63,$C$35:$C$82)+1&lt;=_xlpm.DepreciationMonths,$C63&lt;=AM$8),$E63/_xlpm.DepreciationMonths,0))</f>
        <v>0</v>
      </c>
      <c r="AN63" s="507" cm="1">
        <f t="array" ref="AN63">_xlfn.LET(_xlpm.DepreciationMonths,INDEX(FixedAssets[Depreciation
/ Amortization Months],_xlfn.XMATCH($E$33,FixedAssets[Asset ID])),IF(AND((_xlfn.XMATCH(AN$8,$AH$8:$CC$8))-_xlfn.XMATCH($C63,$C$35:$C$82)+1&lt;=_xlpm.DepreciationMonths,$C63&lt;=AN$8),$E63/_xlpm.DepreciationMonths,0))</f>
        <v>0</v>
      </c>
      <c r="AO63" s="507" cm="1">
        <f t="array" ref="AO63">_xlfn.LET(_xlpm.DepreciationMonths,INDEX(FixedAssets[Depreciation
/ Amortization Months],_xlfn.XMATCH($E$33,FixedAssets[Asset ID])),IF(AND((_xlfn.XMATCH(AO$8,$AH$8:$CC$8))-_xlfn.XMATCH($C63,$C$35:$C$82)+1&lt;=_xlpm.DepreciationMonths,$C63&lt;=AO$8),$E63/_xlpm.DepreciationMonths,0))</f>
        <v>0</v>
      </c>
      <c r="AP63" s="507" cm="1">
        <f t="array" ref="AP63">_xlfn.LET(_xlpm.DepreciationMonths,INDEX(FixedAssets[Depreciation
/ Amortization Months],_xlfn.XMATCH($E$33,FixedAssets[Asset ID])),IF(AND((_xlfn.XMATCH(AP$8,$AH$8:$CC$8))-_xlfn.XMATCH($C63,$C$35:$C$82)+1&lt;=_xlpm.DepreciationMonths,$C63&lt;=AP$8),$E63/_xlpm.DepreciationMonths,0))</f>
        <v>0</v>
      </c>
      <c r="AQ63" s="507" cm="1">
        <f t="array" ref="AQ63">_xlfn.LET(_xlpm.DepreciationMonths,INDEX(FixedAssets[Depreciation
/ Amortization Months],_xlfn.XMATCH($E$33,FixedAssets[Asset ID])),IF(AND((_xlfn.XMATCH(AQ$8,$AH$8:$CC$8))-_xlfn.XMATCH($C63,$C$35:$C$82)+1&lt;=_xlpm.DepreciationMonths,$C63&lt;=AQ$8),$E63/_xlpm.DepreciationMonths,0))</f>
        <v>0</v>
      </c>
      <c r="AR63" s="507" cm="1">
        <f t="array" ref="AR63">_xlfn.LET(_xlpm.DepreciationMonths,INDEX(FixedAssets[Depreciation
/ Amortization Months],_xlfn.XMATCH($E$33,FixedAssets[Asset ID])),IF(AND((_xlfn.XMATCH(AR$8,$AH$8:$CC$8))-_xlfn.XMATCH($C63,$C$35:$C$82)+1&lt;=_xlpm.DepreciationMonths,$C63&lt;=AR$8),$E63/_xlpm.DepreciationMonths,0))</f>
        <v>0</v>
      </c>
      <c r="AS63" s="507" cm="1">
        <f t="array" ref="AS63">_xlfn.LET(_xlpm.DepreciationMonths,INDEX(FixedAssets[Depreciation
/ Amortization Months],_xlfn.XMATCH($E$33,FixedAssets[Asset ID])),IF(AND((_xlfn.XMATCH(AS$8,$AH$8:$CC$8))-_xlfn.XMATCH($C63,$C$35:$C$82)+1&lt;=_xlpm.DepreciationMonths,$C63&lt;=AS$8),$E63/_xlpm.DepreciationMonths,0))</f>
        <v>0</v>
      </c>
      <c r="AT63" s="507" cm="1">
        <f t="array" ref="AT63">_xlfn.LET(_xlpm.DepreciationMonths,INDEX(FixedAssets[Depreciation
/ Amortization Months],_xlfn.XMATCH($E$33,FixedAssets[Asset ID])),IF(AND((_xlfn.XMATCH(AT$8,$AH$8:$CC$8))-_xlfn.XMATCH($C63,$C$35:$C$82)+1&lt;=_xlpm.DepreciationMonths,$C63&lt;=AT$8),$E63/_xlpm.DepreciationMonths,0))</f>
        <v>0</v>
      </c>
      <c r="AU63" s="507" cm="1">
        <f t="array" ref="AU63">_xlfn.LET(_xlpm.DepreciationMonths,INDEX(FixedAssets[Depreciation
/ Amortization Months],_xlfn.XMATCH($E$33,FixedAssets[Asset ID])),IF(AND((_xlfn.XMATCH(AU$8,$AH$8:$CC$8))-_xlfn.XMATCH($C63,$C$35:$C$82)+1&lt;=_xlpm.DepreciationMonths,$C63&lt;=AU$8),$E63/_xlpm.DepreciationMonths,0))</f>
        <v>0</v>
      </c>
      <c r="AV63" s="507" cm="1">
        <f t="array" ref="AV63">_xlfn.LET(_xlpm.DepreciationMonths,INDEX(FixedAssets[Depreciation
/ Amortization Months],_xlfn.XMATCH($E$33,FixedAssets[Asset ID])),IF(AND((_xlfn.XMATCH(AV$8,$AH$8:$CC$8))-_xlfn.XMATCH($C63,$C$35:$C$82)+1&lt;=_xlpm.DepreciationMonths,$C63&lt;=AV$8),$E63/_xlpm.DepreciationMonths,0))</f>
        <v>0</v>
      </c>
      <c r="AW63" s="507" cm="1">
        <f t="array" ref="AW63">_xlfn.LET(_xlpm.DepreciationMonths,INDEX(FixedAssets[Depreciation
/ Amortization Months],_xlfn.XMATCH($E$33,FixedAssets[Asset ID])),IF(AND((_xlfn.XMATCH(AW$8,$AH$8:$CC$8))-_xlfn.XMATCH($C63,$C$35:$C$82)+1&lt;=_xlpm.DepreciationMonths,$C63&lt;=AW$8),$E63/_xlpm.DepreciationMonths,0))</f>
        <v>0</v>
      </c>
      <c r="AX63" s="507" cm="1">
        <f t="array" ref="AX63">_xlfn.LET(_xlpm.DepreciationMonths,INDEX(FixedAssets[Depreciation
/ Amortization Months],_xlfn.XMATCH($E$33,FixedAssets[Asset ID])),IF(AND((_xlfn.XMATCH(AX$8,$AH$8:$CC$8))-_xlfn.XMATCH($C63,$C$35:$C$82)+1&lt;=_xlpm.DepreciationMonths,$C63&lt;=AX$8),$E63/_xlpm.DepreciationMonths,0))</f>
        <v>0</v>
      </c>
      <c r="AY63" s="507" cm="1">
        <f t="array" ref="AY63">_xlfn.LET(_xlpm.DepreciationMonths,INDEX(FixedAssets[Depreciation
/ Amortization Months],_xlfn.XMATCH($E$33,FixedAssets[Asset ID])),IF(AND((_xlfn.XMATCH(AY$8,$AH$8:$CC$8))-_xlfn.XMATCH($C63,$C$35:$C$82)+1&lt;=_xlpm.DepreciationMonths,$C63&lt;=AY$8),$E63/_xlpm.DepreciationMonths,0))</f>
        <v>0</v>
      </c>
      <c r="AZ63" s="507" cm="1">
        <f t="array" ref="AZ63">_xlfn.LET(_xlpm.DepreciationMonths,INDEX(FixedAssets[Depreciation
/ Amortization Months],_xlfn.XMATCH($E$33,FixedAssets[Asset ID])),IF(AND((_xlfn.XMATCH(AZ$8,$AH$8:$CC$8))-_xlfn.XMATCH($C63,$C$35:$C$82)+1&lt;=_xlpm.DepreciationMonths,$C63&lt;=AZ$8),$E63/_xlpm.DepreciationMonths,0))</f>
        <v>0</v>
      </c>
      <c r="BA63" s="507" cm="1">
        <f t="array" ref="BA63">_xlfn.LET(_xlpm.DepreciationMonths,INDEX(FixedAssets[Depreciation
/ Amortization Months],_xlfn.XMATCH($E$33,FixedAssets[Asset ID])),IF(AND((_xlfn.XMATCH(BA$8,$AH$8:$CC$8))-_xlfn.XMATCH($C63,$C$35:$C$82)+1&lt;=_xlpm.DepreciationMonths,$C63&lt;=BA$8),$E63/_xlpm.DepreciationMonths,0))</f>
        <v>0</v>
      </c>
      <c r="BB63" s="507" cm="1">
        <f t="array" ref="BB63">_xlfn.LET(_xlpm.DepreciationMonths,INDEX(FixedAssets[Depreciation
/ Amortization Months],_xlfn.XMATCH($E$33,FixedAssets[Asset ID])),IF(AND((_xlfn.XMATCH(BB$8,$AH$8:$CC$8))-_xlfn.XMATCH($C63,$C$35:$C$82)+1&lt;=_xlpm.DepreciationMonths,$C63&lt;=BB$8),$E63/_xlpm.DepreciationMonths,0))</f>
        <v>0</v>
      </c>
      <c r="BC63" s="507" cm="1">
        <f t="array" ref="BC63">_xlfn.LET(_xlpm.DepreciationMonths,INDEX(FixedAssets[Depreciation
/ Amortization Months],_xlfn.XMATCH($E$33,FixedAssets[Asset ID])),IF(AND((_xlfn.XMATCH(BC$8,$AH$8:$CC$8))-_xlfn.XMATCH($C63,$C$35:$C$82)+1&lt;=_xlpm.DepreciationMonths,$C63&lt;=BC$8),$E63/_xlpm.DepreciationMonths,0))</f>
        <v>0</v>
      </c>
      <c r="BD63" s="507" cm="1">
        <f t="array" ref="BD63">_xlfn.LET(_xlpm.DepreciationMonths,INDEX(FixedAssets[Depreciation
/ Amortization Months],_xlfn.XMATCH($E$33,FixedAssets[Asset ID])),IF(AND((_xlfn.XMATCH(BD$8,$AH$8:$CC$8))-_xlfn.XMATCH($C63,$C$35:$C$82)+1&lt;=_xlpm.DepreciationMonths,$C63&lt;=BD$8),$E63/_xlpm.DepreciationMonths,0))</f>
        <v>0</v>
      </c>
      <c r="BE63" s="507" cm="1">
        <f t="array" ref="BE63">_xlfn.LET(_xlpm.DepreciationMonths,INDEX(FixedAssets[Depreciation
/ Amortization Months],_xlfn.XMATCH($E$33,FixedAssets[Asset ID])),IF(AND((_xlfn.XMATCH(BE$8,$AH$8:$CC$8))-_xlfn.XMATCH($C63,$C$35:$C$82)+1&lt;=_xlpm.DepreciationMonths,$C63&lt;=BE$8),$E63/_xlpm.DepreciationMonths,0))</f>
        <v>0</v>
      </c>
      <c r="BF63" s="507" cm="1">
        <f t="array" ref="BF63">_xlfn.LET(_xlpm.DepreciationMonths,INDEX(FixedAssets[Depreciation
/ Amortization Months],_xlfn.XMATCH($E$33,FixedAssets[Asset ID])),IF(AND((_xlfn.XMATCH(BF$8,$AH$8:$CC$8))-_xlfn.XMATCH($C63,$C$35:$C$82)+1&lt;=_xlpm.DepreciationMonths,$C63&lt;=BF$8),$E63/_xlpm.DepreciationMonths,0))</f>
        <v>0</v>
      </c>
      <c r="BG63" s="507" cm="1">
        <f t="array" ref="BG63">_xlfn.LET(_xlpm.DepreciationMonths,INDEX(FixedAssets[Depreciation
/ Amortization Months],_xlfn.XMATCH($E$33,FixedAssets[Asset ID])),IF(AND((_xlfn.XMATCH(BG$8,$AH$8:$CC$8))-_xlfn.XMATCH($C63,$C$35:$C$82)+1&lt;=_xlpm.DepreciationMonths,$C63&lt;=BG$8),$E63/_xlpm.DepreciationMonths,0))</f>
        <v>0</v>
      </c>
      <c r="BH63" s="507" cm="1">
        <f t="array" ref="BH63">_xlfn.LET(_xlpm.DepreciationMonths,INDEX(FixedAssets[Depreciation
/ Amortization Months],_xlfn.XMATCH($E$33,FixedAssets[Asset ID])),IF(AND((_xlfn.XMATCH(BH$8,$AH$8:$CC$8))-_xlfn.XMATCH($C63,$C$35:$C$82)+1&lt;=_xlpm.DepreciationMonths,$C63&lt;=BH$8),$E63/_xlpm.DepreciationMonths,0))</f>
        <v>0</v>
      </c>
      <c r="BI63" s="507" cm="1">
        <f t="array" ref="BI63">_xlfn.LET(_xlpm.DepreciationMonths,INDEX(FixedAssets[Depreciation
/ Amortization Months],_xlfn.XMATCH($E$33,FixedAssets[Asset ID])),IF(AND((_xlfn.XMATCH(BI$8,$AH$8:$CC$8))-_xlfn.XMATCH($C63,$C$35:$C$82)+1&lt;=_xlpm.DepreciationMonths,$C63&lt;=BI$8),$E63/_xlpm.DepreciationMonths,0))</f>
        <v>0</v>
      </c>
      <c r="BJ63" s="507" cm="1">
        <f t="array" ref="BJ63">_xlfn.LET(_xlpm.DepreciationMonths,INDEX(FixedAssets[Depreciation
/ Amortization Months],_xlfn.XMATCH($E$33,FixedAssets[Asset ID])),IF(AND((_xlfn.XMATCH(BJ$8,$AH$8:$CC$8))-_xlfn.XMATCH($C63,$C$35:$C$82)+1&lt;=_xlpm.DepreciationMonths,$C63&lt;=BJ$8),$E63/_xlpm.DepreciationMonths,0))</f>
        <v>0</v>
      </c>
      <c r="BK63" s="507" cm="1">
        <f t="array" ref="BK63">_xlfn.LET(_xlpm.DepreciationMonths,INDEX(FixedAssets[Depreciation
/ Amortization Months],_xlfn.XMATCH($E$33,FixedAssets[Asset ID])),IF(AND((_xlfn.XMATCH(BK$8,$AH$8:$CC$8))-_xlfn.XMATCH($C63,$C$35:$C$82)+1&lt;=_xlpm.DepreciationMonths,$C63&lt;=BK$8),$E63/_xlpm.DepreciationMonths,0))</f>
        <v>0</v>
      </c>
      <c r="BL63" s="507" cm="1">
        <f t="array" ref="BL63">_xlfn.LET(_xlpm.DepreciationMonths,INDEX(FixedAssets[Depreciation
/ Amortization Months],_xlfn.XMATCH($E$33,FixedAssets[Asset ID])),IF(AND((_xlfn.XMATCH(BL$8,$AH$8:$CC$8))-_xlfn.XMATCH($C63,$C$35:$C$82)+1&lt;=_xlpm.DepreciationMonths,$C63&lt;=BL$8),$E63/_xlpm.DepreciationMonths,0))</f>
        <v>0</v>
      </c>
      <c r="BM63" s="507" cm="1">
        <f t="array" ref="BM63">_xlfn.LET(_xlpm.DepreciationMonths,INDEX(FixedAssets[Depreciation
/ Amortization Months],_xlfn.XMATCH($E$33,FixedAssets[Asset ID])),IF(AND((_xlfn.XMATCH(BM$8,$AH$8:$CC$8))-_xlfn.XMATCH($C63,$C$35:$C$82)+1&lt;=_xlpm.DepreciationMonths,$C63&lt;=BM$8),$E63/_xlpm.DepreciationMonths,0))</f>
        <v>0</v>
      </c>
      <c r="BN63" s="507" cm="1">
        <f t="array" ref="BN63">_xlfn.LET(_xlpm.DepreciationMonths,INDEX(FixedAssets[Depreciation
/ Amortization Months],_xlfn.XMATCH($E$33,FixedAssets[Asset ID])),IF(AND((_xlfn.XMATCH(BN$8,$AH$8:$CC$8))-_xlfn.XMATCH($C63,$C$35:$C$82)+1&lt;=_xlpm.DepreciationMonths,$C63&lt;=BN$8),$E63/_xlpm.DepreciationMonths,0))</f>
        <v>0</v>
      </c>
      <c r="BO63" s="507" cm="1">
        <f t="array" ref="BO63">_xlfn.LET(_xlpm.DepreciationMonths,INDEX(FixedAssets[Depreciation
/ Amortization Months],_xlfn.XMATCH($E$33,FixedAssets[Asset ID])),IF(AND((_xlfn.XMATCH(BO$8,$AH$8:$CC$8))-_xlfn.XMATCH($C63,$C$35:$C$82)+1&lt;=_xlpm.DepreciationMonths,$C63&lt;=BO$8),$E63/_xlpm.DepreciationMonths,0))</f>
        <v>0</v>
      </c>
      <c r="BP63" s="507" cm="1">
        <f t="array" ref="BP63">_xlfn.LET(_xlpm.DepreciationMonths,INDEX(FixedAssets[Depreciation
/ Amortization Months],_xlfn.XMATCH($E$33,FixedAssets[Asset ID])),IF(AND((_xlfn.XMATCH(BP$8,$AH$8:$CC$8))-_xlfn.XMATCH($C63,$C$35:$C$82)+1&lt;=_xlpm.DepreciationMonths,$C63&lt;=BP$8),$E63/_xlpm.DepreciationMonths,0))</f>
        <v>0</v>
      </c>
      <c r="BQ63" s="507" cm="1">
        <f t="array" ref="BQ63">_xlfn.LET(_xlpm.DepreciationMonths,INDEX(FixedAssets[Depreciation
/ Amortization Months],_xlfn.XMATCH($E$33,FixedAssets[Asset ID])),IF(AND((_xlfn.XMATCH(BQ$8,$AH$8:$CC$8))-_xlfn.XMATCH($C63,$C$35:$C$82)+1&lt;=_xlpm.DepreciationMonths,$C63&lt;=BQ$8),$E63/_xlpm.DepreciationMonths,0))</f>
        <v>0</v>
      </c>
      <c r="BR63" s="507" cm="1">
        <f t="array" ref="BR63">_xlfn.LET(_xlpm.DepreciationMonths,INDEX(FixedAssets[Depreciation
/ Amortization Months],_xlfn.XMATCH($E$33,FixedAssets[Asset ID])),IF(AND((_xlfn.XMATCH(BR$8,$AH$8:$CC$8))-_xlfn.XMATCH($C63,$C$35:$C$82)+1&lt;=_xlpm.DepreciationMonths,$C63&lt;=BR$8),$E63/_xlpm.DepreciationMonths,0))</f>
        <v>0</v>
      </c>
      <c r="BS63" s="507" cm="1">
        <f t="array" ref="BS63">_xlfn.LET(_xlpm.DepreciationMonths,INDEX(FixedAssets[Depreciation
/ Amortization Months],_xlfn.XMATCH($E$33,FixedAssets[Asset ID])),IF(AND((_xlfn.XMATCH(BS$8,$AH$8:$CC$8))-_xlfn.XMATCH($C63,$C$35:$C$82)+1&lt;=_xlpm.DepreciationMonths,$C63&lt;=BS$8),$E63/_xlpm.DepreciationMonths,0))</f>
        <v>0</v>
      </c>
      <c r="BT63" s="507" cm="1">
        <f t="array" ref="BT63">_xlfn.LET(_xlpm.DepreciationMonths,INDEX(FixedAssets[Depreciation
/ Amortization Months],_xlfn.XMATCH($E$33,FixedAssets[Asset ID])),IF(AND((_xlfn.XMATCH(BT$8,$AH$8:$CC$8))-_xlfn.XMATCH($C63,$C$35:$C$82)+1&lt;=_xlpm.DepreciationMonths,$C63&lt;=BT$8),$E63/_xlpm.DepreciationMonths,0))</f>
        <v>0</v>
      </c>
      <c r="BU63" s="507" cm="1">
        <f t="array" ref="BU63">_xlfn.LET(_xlpm.DepreciationMonths,INDEX(FixedAssets[Depreciation
/ Amortization Months],_xlfn.XMATCH($E$33,FixedAssets[Asset ID])),IF(AND((_xlfn.XMATCH(BU$8,$AH$8:$CC$8))-_xlfn.XMATCH($C63,$C$35:$C$82)+1&lt;=_xlpm.DepreciationMonths,$C63&lt;=BU$8),$E63/_xlpm.DepreciationMonths,0))</f>
        <v>0</v>
      </c>
      <c r="BV63" s="507" cm="1">
        <f t="array" ref="BV63">_xlfn.LET(_xlpm.DepreciationMonths,INDEX(FixedAssets[Depreciation
/ Amortization Months],_xlfn.XMATCH($E$33,FixedAssets[Asset ID])),IF(AND((_xlfn.XMATCH(BV$8,$AH$8:$CC$8))-_xlfn.XMATCH($C63,$C$35:$C$82)+1&lt;=_xlpm.DepreciationMonths,$C63&lt;=BV$8),$E63/_xlpm.DepreciationMonths,0))</f>
        <v>0</v>
      </c>
      <c r="BW63" s="507" cm="1">
        <f t="array" ref="BW63">_xlfn.LET(_xlpm.DepreciationMonths,INDEX(FixedAssets[Depreciation
/ Amortization Months],_xlfn.XMATCH($E$33,FixedAssets[Asset ID])),IF(AND((_xlfn.XMATCH(BW$8,$AH$8:$CC$8))-_xlfn.XMATCH($C63,$C$35:$C$82)+1&lt;=_xlpm.DepreciationMonths,$C63&lt;=BW$8),$E63/_xlpm.DepreciationMonths,0))</f>
        <v>0</v>
      </c>
      <c r="BX63" s="507" cm="1">
        <f t="array" ref="BX63">_xlfn.LET(_xlpm.DepreciationMonths,INDEX(FixedAssets[Depreciation
/ Amortization Months],_xlfn.XMATCH($E$33,FixedAssets[Asset ID])),IF(AND((_xlfn.XMATCH(BX$8,$AH$8:$CC$8))-_xlfn.XMATCH($C63,$C$35:$C$82)+1&lt;=_xlpm.DepreciationMonths,$C63&lt;=BX$8),$E63/_xlpm.DepreciationMonths,0))</f>
        <v>0</v>
      </c>
      <c r="BY63" s="507" cm="1">
        <f t="array" ref="BY63">_xlfn.LET(_xlpm.DepreciationMonths,INDEX(FixedAssets[Depreciation
/ Amortization Months],_xlfn.XMATCH($E$33,FixedAssets[Asset ID])),IF(AND((_xlfn.XMATCH(BY$8,$AH$8:$CC$8))-_xlfn.XMATCH($C63,$C$35:$C$82)+1&lt;=_xlpm.DepreciationMonths,$C63&lt;=BY$8),$E63/_xlpm.DepreciationMonths,0))</f>
        <v>0</v>
      </c>
      <c r="BZ63" s="507" cm="1">
        <f t="array" ref="BZ63">_xlfn.LET(_xlpm.DepreciationMonths,INDEX(FixedAssets[Depreciation
/ Amortization Months],_xlfn.XMATCH($E$33,FixedAssets[Asset ID])),IF(AND((_xlfn.XMATCH(BZ$8,$AH$8:$CC$8))-_xlfn.XMATCH($C63,$C$35:$C$82)+1&lt;=_xlpm.DepreciationMonths,$C63&lt;=BZ$8),$E63/_xlpm.DepreciationMonths,0))</f>
        <v>0</v>
      </c>
      <c r="CA63" s="507" cm="1">
        <f t="array" ref="CA63">_xlfn.LET(_xlpm.DepreciationMonths,INDEX(FixedAssets[Depreciation
/ Amortization Months],_xlfn.XMATCH($E$33,FixedAssets[Asset ID])),IF(AND((_xlfn.XMATCH(CA$8,$AH$8:$CC$8))-_xlfn.XMATCH($C63,$C$35:$C$82)+1&lt;=_xlpm.DepreciationMonths,$C63&lt;=CA$8),$E63/_xlpm.DepreciationMonths,0))</f>
        <v>0</v>
      </c>
      <c r="CB63" s="507" cm="1">
        <f t="array" ref="CB63">_xlfn.LET(_xlpm.DepreciationMonths,INDEX(FixedAssets[Depreciation
/ Amortization Months],_xlfn.XMATCH($E$33,FixedAssets[Asset ID])),IF(AND((_xlfn.XMATCH(CB$8,$AH$8:$CC$8))-_xlfn.XMATCH($C63,$C$35:$C$82)+1&lt;=_xlpm.DepreciationMonths,$C63&lt;=CB$8),$E63/_xlpm.DepreciationMonths,0))</f>
        <v>0</v>
      </c>
      <c r="CC63" s="507" cm="1">
        <f t="array" ref="CC63">_xlfn.LET(_xlpm.DepreciationMonths,INDEX(FixedAssets[Depreciation
/ Amortization Months],_xlfn.XMATCH($E$33,FixedAssets[Asset ID])),IF(AND((_xlfn.XMATCH(CC$8,$AH$8:$CC$8))-_xlfn.XMATCH($C63,$C$35:$C$82)+1&lt;=_xlpm.DepreciationMonths,$C63&lt;=CC$8),$E63/_xlpm.DepreciationMonths,0))</f>
        <v>0</v>
      </c>
    </row>
    <row r="64" spans="3:81" hidden="1" outlineLevel="2">
      <c r="C64" s="664">
        <f t="shared" si="91"/>
        <v>45838</v>
      </c>
      <c r="D64" s="508"/>
      <c r="E64" s="508" cm="1">
        <f t="array" ref="E64">SUMPRODUCT(($AH$26:$CC$31)*($AH$5:$CC$5=$C64)*($E$26:$E$31=E$33))-SUMPRODUCT(($AH$26:$CC$31)*($AH$5:$CC$5=EOMONTH($C64,-1))*($E$26:$E$31=E$33))</f>
        <v>0</v>
      </c>
      <c r="F64" s="508"/>
      <c r="G64" s="508"/>
      <c r="H64" s="508"/>
      <c r="I64" s="508"/>
      <c r="J64" s="504">
        <f t="shared" si="88"/>
        <v>0</v>
      </c>
      <c r="K64" s="504">
        <f t="shared" si="93"/>
        <v>0</v>
      </c>
      <c r="L64" s="504">
        <f t="shared" si="93"/>
        <v>0</v>
      </c>
      <c r="M64" s="504">
        <f t="shared" si="93"/>
        <v>0</v>
      </c>
      <c r="N64" s="504"/>
      <c r="O64" s="504"/>
      <c r="P64" s="504">
        <f t="shared" si="94"/>
        <v>0</v>
      </c>
      <c r="Q64" s="504">
        <f t="shared" si="94"/>
        <v>0</v>
      </c>
      <c r="R64" s="504">
        <f t="shared" si="94"/>
        <v>0</v>
      </c>
      <c r="S64" s="504">
        <f t="shared" si="94"/>
        <v>0</v>
      </c>
      <c r="T64" s="504">
        <f t="shared" si="94"/>
        <v>0</v>
      </c>
      <c r="U64" s="504">
        <f t="shared" si="94"/>
        <v>0</v>
      </c>
      <c r="V64" s="504">
        <f t="shared" si="94"/>
        <v>0</v>
      </c>
      <c r="W64" s="504">
        <f t="shared" si="94"/>
        <v>0</v>
      </c>
      <c r="X64" s="504">
        <f t="shared" si="94"/>
        <v>0</v>
      </c>
      <c r="Y64" s="504">
        <f t="shared" si="94"/>
        <v>0</v>
      </c>
      <c r="Z64" s="504">
        <f t="shared" si="94"/>
        <v>0</v>
      </c>
      <c r="AA64" s="504">
        <f t="shared" si="94"/>
        <v>0</v>
      </c>
      <c r="AB64" s="504">
        <f t="shared" si="94"/>
        <v>0</v>
      </c>
      <c r="AC64" s="504">
        <f t="shared" si="94"/>
        <v>0</v>
      </c>
      <c r="AD64" s="504">
        <f t="shared" si="94"/>
        <v>0</v>
      </c>
      <c r="AE64" s="504">
        <f t="shared" si="94"/>
        <v>0</v>
      </c>
      <c r="AF64" s="508"/>
      <c r="AG64" s="508"/>
      <c r="AH64" s="507" cm="1">
        <f t="array" ref="AH64">_xlfn.LET(_xlpm.DepreciationMonths,INDEX(FixedAssets[Depreciation
/ Amortization Months],_xlfn.XMATCH($E$33,FixedAssets[Asset ID])),IF(AND((_xlfn.XMATCH(AH$8,$AH$8:$CC$8))-_xlfn.XMATCH($C64,$C$35:$C$82)+1&lt;=_xlpm.DepreciationMonths,$C64&lt;=AH$8),$E64/_xlpm.DepreciationMonths,0))</f>
        <v>0</v>
      </c>
      <c r="AI64" s="507" cm="1">
        <f t="array" ref="AI64">_xlfn.LET(_xlpm.DepreciationMonths,INDEX(FixedAssets[Depreciation
/ Amortization Months],_xlfn.XMATCH($E$33,FixedAssets[Asset ID])),IF(AND((_xlfn.XMATCH(AI$8,$AH$8:$CC$8))-_xlfn.XMATCH($C64,$C$35:$C$82)+1&lt;=_xlpm.DepreciationMonths,$C64&lt;=AI$8),$E64/_xlpm.DepreciationMonths,0))</f>
        <v>0</v>
      </c>
      <c r="AJ64" s="507" cm="1">
        <f t="array" ref="AJ64">_xlfn.LET(_xlpm.DepreciationMonths,INDEX(FixedAssets[Depreciation
/ Amortization Months],_xlfn.XMATCH($E$33,FixedAssets[Asset ID])),IF(AND((_xlfn.XMATCH(AJ$8,$AH$8:$CC$8))-_xlfn.XMATCH($C64,$C$35:$C$82)+1&lt;=_xlpm.DepreciationMonths,$C64&lt;=AJ$8),$E64/_xlpm.DepreciationMonths,0))</f>
        <v>0</v>
      </c>
      <c r="AK64" s="507" cm="1">
        <f t="array" ref="AK64">_xlfn.LET(_xlpm.DepreciationMonths,INDEX(FixedAssets[Depreciation
/ Amortization Months],_xlfn.XMATCH($E$33,FixedAssets[Asset ID])),IF(AND((_xlfn.XMATCH(AK$8,$AH$8:$CC$8))-_xlfn.XMATCH($C64,$C$35:$C$82)+1&lt;=_xlpm.DepreciationMonths,$C64&lt;=AK$8),$E64/_xlpm.DepreciationMonths,0))</f>
        <v>0</v>
      </c>
      <c r="AL64" s="507" cm="1">
        <f t="array" ref="AL64">_xlfn.LET(_xlpm.DepreciationMonths,INDEX(FixedAssets[Depreciation
/ Amortization Months],_xlfn.XMATCH($E$33,FixedAssets[Asset ID])),IF(AND((_xlfn.XMATCH(AL$8,$AH$8:$CC$8))-_xlfn.XMATCH($C64,$C$35:$C$82)+1&lt;=_xlpm.DepreciationMonths,$C64&lt;=AL$8),$E64/_xlpm.DepreciationMonths,0))</f>
        <v>0</v>
      </c>
      <c r="AM64" s="507" cm="1">
        <f t="array" ref="AM64">_xlfn.LET(_xlpm.DepreciationMonths,INDEX(FixedAssets[Depreciation
/ Amortization Months],_xlfn.XMATCH($E$33,FixedAssets[Asset ID])),IF(AND((_xlfn.XMATCH(AM$8,$AH$8:$CC$8))-_xlfn.XMATCH($C64,$C$35:$C$82)+1&lt;=_xlpm.DepreciationMonths,$C64&lt;=AM$8),$E64/_xlpm.DepreciationMonths,0))</f>
        <v>0</v>
      </c>
      <c r="AN64" s="507" cm="1">
        <f t="array" ref="AN64">_xlfn.LET(_xlpm.DepreciationMonths,INDEX(FixedAssets[Depreciation
/ Amortization Months],_xlfn.XMATCH($E$33,FixedAssets[Asset ID])),IF(AND((_xlfn.XMATCH(AN$8,$AH$8:$CC$8))-_xlfn.XMATCH($C64,$C$35:$C$82)+1&lt;=_xlpm.DepreciationMonths,$C64&lt;=AN$8),$E64/_xlpm.DepreciationMonths,0))</f>
        <v>0</v>
      </c>
      <c r="AO64" s="507" cm="1">
        <f t="array" ref="AO64">_xlfn.LET(_xlpm.DepreciationMonths,INDEX(FixedAssets[Depreciation
/ Amortization Months],_xlfn.XMATCH($E$33,FixedAssets[Asset ID])),IF(AND((_xlfn.XMATCH(AO$8,$AH$8:$CC$8))-_xlfn.XMATCH($C64,$C$35:$C$82)+1&lt;=_xlpm.DepreciationMonths,$C64&lt;=AO$8),$E64/_xlpm.DepreciationMonths,0))</f>
        <v>0</v>
      </c>
      <c r="AP64" s="507" cm="1">
        <f t="array" ref="AP64">_xlfn.LET(_xlpm.DepreciationMonths,INDEX(FixedAssets[Depreciation
/ Amortization Months],_xlfn.XMATCH($E$33,FixedAssets[Asset ID])),IF(AND((_xlfn.XMATCH(AP$8,$AH$8:$CC$8))-_xlfn.XMATCH($C64,$C$35:$C$82)+1&lt;=_xlpm.DepreciationMonths,$C64&lt;=AP$8),$E64/_xlpm.DepreciationMonths,0))</f>
        <v>0</v>
      </c>
      <c r="AQ64" s="507" cm="1">
        <f t="array" ref="AQ64">_xlfn.LET(_xlpm.DepreciationMonths,INDEX(FixedAssets[Depreciation
/ Amortization Months],_xlfn.XMATCH($E$33,FixedAssets[Asset ID])),IF(AND((_xlfn.XMATCH(AQ$8,$AH$8:$CC$8))-_xlfn.XMATCH($C64,$C$35:$C$82)+1&lt;=_xlpm.DepreciationMonths,$C64&lt;=AQ$8),$E64/_xlpm.DepreciationMonths,0))</f>
        <v>0</v>
      </c>
      <c r="AR64" s="507" cm="1">
        <f t="array" ref="AR64">_xlfn.LET(_xlpm.DepreciationMonths,INDEX(FixedAssets[Depreciation
/ Amortization Months],_xlfn.XMATCH($E$33,FixedAssets[Asset ID])),IF(AND((_xlfn.XMATCH(AR$8,$AH$8:$CC$8))-_xlfn.XMATCH($C64,$C$35:$C$82)+1&lt;=_xlpm.DepreciationMonths,$C64&lt;=AR$8),$E64/_xlpm.DepreciationMonths,0))</f>
        <v>0</v>
      </c>
      <c r="AS64" s="507" cm="1">
        <f t="array" ref="AS64">_xlfn.LET(_xlpm.DepreciationMonths,INDEX(FixedAssets[Depreciation
/ Amortization Months],_xlfn.XMATCH($E$33,FixedAssets[Asset ID])),IF(AND((_xlfn.XMATCH(AS$8,$AH$8:$CC$8))-_xlfn.XMATCH($C64,$C$35:$C$82)+1&lt;=_xlpm.DepreciationMonths,$C64&lt;=AS$8),$E64/_xlpm.DepreciationMonths,0))</f>
        <v>0</v>
      </c>
      <c r="AT64" s="507" cm="1">
        <f t="array" ref="AT64">_xlfn.LET(_xlpm.DepreciationMonths,INDEX(FixedAssets[Depreciation
/ Amortization Months],_xlfn.XMATCH($E$33,FixedAssets[Asset ID])),IF(AND((_xlfn.XMATCH(AT$8,$AH$8:$CC$8))-_xlfn.XMATCH($C64,$C$35:$C$82)+1&lt;=_xlpm.DepreciationMonths,$C64&lt;=AT$8),$E64/_xlpm.DepreciationMonths,0))</f>
        <v>0</v>
      </c>
      <c r="AU64" s="507" cm="1">
        <f t="array" ref="AU64">_xlfn.LET(_xlpm.DepreciationMonths,INDEX(FixedAssets[Depreciation
/ Amortization Months],_xlfn.XMATCH($E$33,FixedAssets[Asset ID])),IF(AND((_xlfn.XMATCH(AU$8,$AH$8:$CC$8))-_xlfn.XMATCH($C64,$C$35:$C$82)+1&lt;=_xlpm.DepreciationMonths,$C64&lt;=AU$8),$E64/_xlpm.DepreciationMonths,0))</f>
        <v>0</v>
      </c>
      <c r="AV64" s="507" cm="1">
        <f t="array" ref="AV64">_xlfn.LET(_xlpm.DepreciationMonths,INDEX(FixedAssets[Depreciation
/ Amortization Months],_xlfn.XMATCH($E$33,FixedAssets[Asset ID])),IF(AND((_xlfn.XMATCH(AV$8,$AH$8:$CC$8))-_xlfn.XMATCH($C64,$C$35:$C$82)+1&lt;=_xlpm.DepreciationMonths,$C64&lt;=AV$8),$E64/_xlpm.DepreciationMonths,0))</f>
        <v>0</v>
      </c>
      <c r="AW64" s="507" cm="1">
        <f t="array" ref="AW64">_xlfn.LET(_xlpm.DepreciationMonths,INDEX(FixedAssets[Depreciation
/ Amortization Months],_xlfn.XMATCH($E$33,FixedAssets[Asset ID])),IF(AND((_xlfn.XMATCH(AW$8,$AH$8:$CC$8))-_xlfn.XMATCH($C64,$C$35:$C$82)+1&lt;=_xlpm.DepreciationMonths,$C64&lt;=AW$8),$E64/_xlpm.DepreciationMonths,0))</f>
        <v>0</v>
      </c>
      <c r="AX64" s="507" cm="1">
        <f t="array" ref="AX64">_xlfn.LET(_xlpm.DepreciationMonths,INDEX(FixedAssets[Depreciation
/ Amortization Months],_xlfn.XMATCH($E$33,FixedAssets[Asset ID])),IF(AND((_xlfn.XMATCH(AX$8,$AH$8:$CC$8))-_xlfn.XMATCH($C64,$C$35:$C$82)+1&lt;=_xlpm.DepreciationMonths,$C64&lt;=AX$8),$E64/_xlpm.DepreciationMonths,0))</f>
        <v>0</v>
      </c>
      <c r="AY64" s="507" cm="1">
        <f t="array" ref="AY64">_xlfn.LET(_xlpm.DepreciationMonths,INDEX(FixedAssets[Depreciation
/ Amortization Months],_xlfn.XMATCH($E$33,FixedAssets[Asset ID])),IF(AND((_xlfn.XMATCH(AY$8,$AH$8:$CC$8))-_xlfn.XMATCH($C64,$C$35:$C$82)+1&lt;=_xlpm.DepreciationMonths,$C64&lt;=AY$8),$E64/_xlpm.DepreciationMonths,0))</f>
        <v>0</v>
      </c>
      <c r="AZ64" s="507" cm="1">
        <f t="array" ref="AZ64">_xlfn.LET(_xlpm.DepreciationMonths,INDEX(FixedAssets[Depreciation
/ Amortization Months],_xlfn.XMATCH($E$33,FixedAssets[Asset ID])),IF(AND((_xlfn.XMATCH(AZ$8,$AH$8:$CC$8))-_xlfn.XMATCH($C64,$C$35:$C$82)+1&lt;=_xlpm.DepreciationMonths,$C64&lt;=AZ$8),$E64/_xlpm.DepreciationMonths,0))</f>
        <v>0</v>
      </c>
      <c r="BA64" s="507" cm="1">
        <f t="array" ref="BA64">_xlfn.LET(_xlpm.DepreciationMonths,INDEX(FixedAssets[Depreciation
/ Amortization Months],_xlfn.XMATCH($E$33,FixedAssets[Asset ID])),IF(AND((_xlfn.XMATCH(BA$8,$AH$8:$CC$8))-_xlfn.XMATCH($C64,$C$35:$C$82)+1&lt;=_xlpm.DepreciationMonths,$C64&lt;=BA$8),$E64/_xlpm.DepreciationMonths,0))</f>
        <v>0</v>
      </c>
      <c r="BB64" s="507" cm="1">
        <f t="array" ref="BB64">_xlfn.LET(_xlpm.DepreciationMonths,INDEX(FixedAssets[Depreciation
/ Amortization Months],_xlfn.XMATCH($E$33,FixedAssets[Asset ID])),IF(AND((_xlfn.XMATCH(BB$8,$AH$8:$CC$8))-_xlfn.XMATCH($C64,$C$35:$C$82)+1&lt;=_xlpm.DepreciationMonths,$C64&lt;=BB$8),$E64/_xlpm.DepreciationMonths,0))</f>
        <v>0</v>
      </c>
      <c r="BC64" s="507" cm="1">
        <f t="array" ref="BC64">_xlfn.LET(_xlpm.DepreciationMonths,INDEX(FixedAssets[Depreciation
/ Amortization Months],_xlfn.XMATCH($E$33,FixedAssets[Asset ID])),IF(AND((_xlfn.XMATCH(BC$8,$AH$8:$CC$8))-_xlfn.XMATCH($C64,$C$35:$C$82)+1&lt;=_xlpm.DepreciationMonths,$C64&lt;=BC$8),$E64/_xlpm.DepreciationMonths,0))</f>
        <v>0</v>
      </c>
      <c r="BD64" s="507" cm="1">
        <f t="array" ref="BD64">_xlfn.LET(_xlpm.DepreciationMonths,INDEX(FixedAssets[Depreciation
/ Amortization Months],_xlfn.XMATCH($E$33,FixedAssets[Asset ID])),IF(AND((_xlfn.XMATCH(BD$8,$AH$8:$CC$8))-_xlfn.XMATCH($C64,$C$35:$C$82)+1&lt;=_xlpm.DepreciationMonths,$C64&lt;=BD$8),$E64/_xlpm.DepreciationMonths,0))</f>
        <v>0</v>
      </c>
      <c r="BE64" s="507" cm="1">
        <f t="array" ref="BE64">_xlfn.LET(_xlpm.DepreciationMonths,INDEX(FixedAssets[Depreciation
/ Amortization Months],_xlfn.XMATCH($E$33,FixedAssets[Asset ID])),IF(AND((_xlfn.XMATCH(BE$8,$AH$8:$CC$8))-_xlfn.XMATCH($C64,$C$35:$C$82)+1&lt;=_xlpm.DepreciationMonths,$C64&lt;=BE$8),$E64/_xlpm.DepreciationMonths,0))</f>
        <v>0</v>
      </c>
      <c r="BF64" s="507" cm="1">
        <f t="array" ref="BF64">_xlfn.LET(_xlpm.DepreciationMonths,INDEX(FixedAssets[Depreciation
/ Amortization Months],_xlfn.XMATCH($E$33,FixedAssets[Asset ID])),IF(AND((_xlfn.XMATCH(BF$8,$AH$8:$CC$8))-_xlfn.XMATCH($C64,$C$35:$C$82)+1&lt;=_xlpm.DepreciationMonths,$C64&lt;=BF$8),$E64/_xlpm.DepreciationMonths,0))</f>
        <v>0</v>
      </c>
      <c r="BG64" s="507" cm="1">
        <f t="array" ref="BG64">_xlfn.LET(_xlpm.DepreciationMonths,INDEX(FixedAssets[Depreciation
/ Amortization Months],_xlfn.XMATCH($E$33,FixedAssets[Asset ID])),IF(AND((_xlfn.XMATCH(BG$8,$AH$8:$CC$8))-_xlfn.XMATCH($C64,$C$35:$C$82)+1&lt;=_xlpm.DepreciationMonths,$C64&lt;=BG$8),$E64/_xlpm.DepreciationMonths,0))</f>
        <v>0</v>
      </c>
      <c r="BH64" s="507" cm="1">
        <f t="array" ref="BH64">_xlfn.LET(_xlpm.DepreciationMonths,INDEX(FixedAssets[Depreciation
/ Amortization Months],_xlfn.XMATCH($E$33,FixedAssets[Asset ID])),IF(AND((_xlfn.XMATCH(BH$8,$AH$8:$CC$8))-_xlfn.XMATCH($C64,$C$35:$C$82)+1&lt;=_xlpm.DepreciationMonths,$C64&lt;=BH$8),$E64/_xlpm.DepreciationMonths,0))</f>
        <v>0</v>
      </c>
      <c r="BI64" s="507" cm="1">
        <f t="array" ref="BI64">_xlfn.LET(_xlpm.DepreciationMonths,INDEX(FixedAssets[Depreciation
/ Amortization Months],_xlfn.XMATCH($E$33,FixedAssets[Asset ID])),IF(AND((_xlfn.XMATCH(BI$8,$AH$8:$CC$8))-_xlfn.XMATCH($C64,$C$35:$C$82)+1&lt;=_xlpm.DepreciationMonths,$C64&lt;=BI$8),$E64/_xlpm.DepreciationMonths,0))</f>
        <v>0</v>
      </c>
      <c r="BJ64" s="507" cm="1">
        <f t="array" ref="BJ64">_xlfn.LET(_xlpm.DepreciationMonths,INDEX(FixedAssets[Depreciation
/ Amortization Months],_xlfn.XMATCH($E$33,FixedAssets[Asset ID])),IF(AND((_xlfn.XMATCH(BJ$8,$AH$8:$CC$8))-_xlfn.XMATCH($C64,$C$35:$C$82)+1&lt;=_xlpm.DepreciationMonths,$C64&lt;=BJ$8),$E64/_xlpm.DepreciationMonths,0))</f>
        <v>0</v>
      </c>
      <c r="BK64" s="507" cm="1">
        <f t="array" ref="BK64">_xlfn.LET(_xlpm.DepreciationMonths,INDEX(FixedAssets[Depreciation
/ Amortization Months],_xlfn.XMATCH($E$33,FixedAssets[Asset ID])),IF(AND((_xlfn.XMATCH(BK$8,$AH$8:$CC$8))-_xlfn.XMATCH($C64,$C$35:$C$82)+1&lt;=_xlpm.DepreciationMonths,$C64&lt;=BK$8),$E64/_xlpm.DepreciationMonths,0))</f>
        <v>0</v>
      </c>
      <c r="BL64" s="507" cm="1">
        <f t="array" ref="BL64">_xlfn.LET(_xlpm.DepreciationMonths,INDEX(FixedAssets[Depreciation
/ Amortization Months],_xlfn.XMATCH($E$33,FixedAssets[Asset ID])),IF(AND((_xlfn.XMATCH(BL$8,$AH$8:$CC$8))-_xlfn.XMATCH($C64,$C$35:$C$82)+1&lt;=_xlpm.DepreciationMonths,$C64&lt;=BL$8),$E64/_xlpm.DepreciationMonths,0))</f>
        <v>0</v>
      </c>
      <c r="BM64" s="507" cm="1">
        <f t="array" ref="BM64">_xlfn.LET(_xlpm.DepreciationMonths,INDEX(FixedAssets[Depreciation
/ Amortization Months],_xlfn.XMATCH($E$33,FixedAssets[Asset ID])),IF(AND((_xlfn.XMATCH(BM$8,$AH$8:$CC$8))-_xlfn.XMATCH($C64,$C$35:$C$82)+1&lt;=_xlpm.DepreciationMonths,$C64&lt;=BM$8),$E64/_xlpm.DepreciationMonths,0))</f>
        <v>0</v>
      </c>
      <c r="BN64" s="507" cm="1">
        <f t="array" ref="BN64">_xlfn.LET(_xlpm.DepreciationMonths,INDEX(FixedAssets[Depreciation
/ Amortization Months],_xlfn.XMATCH($E$33,FixedAssets[Asset ID])),IF(AND((_xlfn.XMATCH(BN$8,$AH$8:$CC$8))-_xlfn.XMATCH($C64,$C$35:$C$82)+1&lt;=_xlpm.DepreciationMonths,$C64&lt;=BN$8),$E64/_xlpm.DepreciationMonths,0))</f>
        <v>0</v>
      </c>
      <c r="BO64" s="507" cm="1">
        <f t="array" ref="BO64">_xlfn.LET(_xlpm.DepreciationMonths,INDEX(FixedAssets[Depreciation
/ Amortization Months],_xlfn.XMATCH($E$33,FixedAssets[Asset ID])),IF(AND((_xlfn.XMATCH(BO$8,$AH$8:$CC$8))-_xlfn.XMATCH($C64,$C$35:$C$82)+1&lt;=_xlpm.DepreciationMonths,$C64&lt;=BO$8),$E64/_xlpm.DepreciationMonths,0))</f>
        <v>0</v>
      </c>
      <c r="BP64" s="507" cm="1">
        <f t="array" ref="BP64">_xlfn.LET(_xlpm.DepreciationMonths,INDEX(FixedAssets[Depreciation
/ Amortization Months],_xlfn.XMATCH($E$33,FixedAssets[Asset ID])),IF(AND((_xlfn.XMATCH(BP$8,$AH$8:$CC$8))-_xlfn.XMATCH($C64,$C$35:$C$82)+1&lt;=_xlpm.DepreciationMonths,$C64&lt;=BP$8),$E64/_xlpm.DepreciationMonths,0))</f>
        <v>0</v>
      </c>
      <c r="BQ64" s="507" cm="1">
        <f t="array" ref="BQ64">_xlfn.LET(_xlpm.DepreciationMonths,INDEX(FixedAssets[Depreciation
/ Amortization Months],_xlfn.XMATCH($E$33,FixedAssets[Asset ID])),IF(AND((_xlfn.XMATCH(BQ$8,$AH$8:$CC$8))-_xlfn.XMATCH($C64,$C$35:$C$82)+1&lt;=_xlpm.DepreciationMonths,$C64&lt;=BQ$8),$E64/_xlpm.DepreciationMonths,0))</f>
        <v>0</v>
      </c>
      <c r="BR64" s="507" cm="1">
        <f t="array" ref="BR64">_xlfn.LET(_xlpm.DepreciationMonths,INDEX(FixedAssets[Depreciation
/ Amortization Months],_xlfn.XMATCH($E$33,FixedAssets[Asset ID])),IF(AND((_xlfn.XMATCH(BR$8,$AH$8:$CC$8))-_xlfn.XMATCH($C64,$C$35:$C$82)+1&lt;=_xlpm.DepreciationMonths,$C64&lt;=BR$8),$E64/_xlpm.DepreciationMonths,0))</f>
        <v>0</v>
      </c>
      <c r="BS64" s="507" cm="1">
        <f t="array" ref="BS64">_xlfn.LET(_xlpm.DepreciationMonths,INDEX(FixedAssets[Depreciation
/ Amortization Months],_xlfn.XMATCH($E$33,FixedAssets[Asset ID])),IF(AND((_xlfn.XMATCH(BS$8,$AH$8:$CC$8))-_xlfn.XMATCH($C64,$C$35:$C$82)+1&lt;=_xlpm.DepreciationMonths,$C64&lt;=BS$8),$E64/_xlpm.DepreciationMonths,0))</f>
        <v>0</v>
      </c>
      <c r="BT64" s="507" cm="1">
        <f t="array" ref="BT64">_xlfn.LET(_xlpm.DepreciationMonths,INDEX(FixedAssets[Depreciation
/ Amortization Months],_xlfn.XMATCH($E$33,FixedAssets[Asset ID])),IF(AND((_xlfn.XMATCH(BT$8,$AH$8:$CC$8))-_xlfn.XMATCH($C64,$C$35:$C$82)+1&lt;=_xlpm.DepreciationMonths,$C64&lt;=BT$8),$E64/_xlpm.DepreciationMonths,0))</f>
        <v>0</v>
      </c>
      <c r="BU64" s="507" cm="1">
        <f t="array" ref="BU64">_xlfn.LET(_xlpm.DepreciationMonths,INDEX(FixedAssets[Depreciation
/ Amortization Months],_xlfn.XMATCH($E$33,FixedAssets[Asset ID])),IF(AND((_xlfn.XMATCH(BU$8,$AH$8:$CC$8))-_xlfn.XMATCH($C64,$C$35:$C$82)+1&lt;=_xlpm.DepreciationMonths,$C64&lt;=BU$8),$E64/_xlpm.DepreciationMonths,0))</f>
        <v>0</v>
      </c>
      <c r="BV64" s="507" cm="1">
        <f t="array" ref="BV64">_xlfn.LET(_xlpm.DepreciationMonths,INDEX(FixedAssets[Depreciation
/ Amortization Months],_xlfn.XMATCH($E$33,FixedAssets[Asset ID])),IF(AND((_xlfn.XMATCH(BV$8,$AH$8:$CC$8))-_xlfn.XMATCH($C64,$C$35:$C$82)+1&lt;=_xlpm.DepreciationMonths,$C64&lt;=BV$8),$E64/_xlpm.DepreciationMonths,0))</f>
        <v>0</v>
      </c>
      <c r="BW64" s="507" cm="1">
        <f t="array" ref="BW64">_xlfn.LET(_xlpm.DepreciationMonths,INDEX(FixedAssets[Depreciation
/ Amortization Months],_xlfn.XMATCH($E$33,FixedAssets[Asset ID])),IF(AND((_xlfn.XMATCH(BW$8,$AH$8:$CC$8))-_xlfn.XMATCH($C64,$C$35:$C$82)+1&lt;=_xlpm.DepreciationMonths,$C64&lt;=BW$8),$E64/_xlpm.DepreciationMonths,0))</f>
        <v>0</v>
      </c>
      <c r="BX64" s="507" cm="1">
        <f t="array" ref="BX64">_xlfn.LET(_xlpm.DepreciationMonths,INDEX(FixedAssets[Depreciation
/ Amortization Months],_xlfn.XMATCH($E$33,FixedAssets[Asset ID])),IF(AND((_xlfn.XMATCH(BX$8,$AH$8:$CC$8))-_xlfn.XMATCH($C64,$C$35:$C$82)+1&lt;=_xlpm.DepreciationMonths,$C64&lt;=BX$8),$E64/_xlpm.DepreciationMonths,0))</f>
        <v>0</v>
      </c>
      <c r="BY64" s="507" cm="1">
        <f t="array" ref="BY64">_xlfn.LET(_xlpm.DepreciationMonths,INDEX(FixedAssets[Depreciation
/ Amortization Months],_xlfn.XMATCH($E$33,FixedAssets[Asset ID])),IF(AND((_xlfn.XMATCH(BY$8,$AH$8:$CC$8))-_xlfn.XMATCH($C64,$C$35:$C$82)+1&lt;=_xlpm.DepreciationMonths,$C64&lt;=BY$8),$E64/_xlpm.DepreciationMonths,0))</f>
        <v>0</v>
      </c>
      <c r="BZ64" s="507" cm="1">
        <f t="array" ref="BZ64">_xlfn.LET(_xlpm.DepreciationMonths,INDEX(FixedAssets[Depreciation
/ Amortization Months],_xlfn.XMATCH($E$33,FixedAssets[Asset ID])),IF(AND((_xlfn.XMATCH(BZ$8,$AH$8:$CC$8))-_xlfn.XMATCH($C64,$C$35:$C$82)+1&lt;=_xlpm.DepreciationMonths,$C64&lt;=BZ$8),$E64/_xlpm.DepreciationMonths,0))</f>
        <v>0</v>
      </c>
      <c r="CA64" s="507" cm="1">
        <f t="array" ref="CA64">_xlfn.LET(_xlpm.DepreciationMonths,INDEX(FixedAssets[Depreciation
/ Amortization Months],_xlfn.XMATCH($E$33,FixedAssets[Asset ID])),IF(AND((_xlfn.XMATCH(CA$8,$AH$8:$CC$8))-_xlfn.XMATCH($C64,$C$35:$C$82)+1&lt;=_xlpm.DepreciationMonths,$C64&lt;=CA$8),$E64/_xlpm.DepreciationMonths,0))</f>
        <v>0</v>
      </c>
      <c r="CB64" s="507" cm="1">
        <f t="array" ref="CB64">_xlfn.LET(_xlpm.DepreciationMonths,INDEX(FixedAssets[Depreciation
/ Amortization Months],_xlfn.XMATCH($E$33,FixedAssets[Asset ID])),IF(AND((_xlfn.XMATCH(CB$8,$AH$8:$CC$8))-_xlfn.XMATCH($C64,$C$35:$C$82)+1&lt;=_xlpm.DepreciationMonths,$C64&lt;=CB$8),$E64/_xlpm.DepreciationMonths,0))</f>
        <v>0</v>
      </c>
      <c r="CC64" s="507" cm="1">
        <f t="array" ref="CC64">_xlfn.LET(_xlpm.DepreciationMonths,INDEX(FixedAssets[Depreciation
/ Amortization Months],_xlfn.XMATCH($E$33,FixedAssets[Asset ID])),IF(AND((_xlfn.XMATCH(CC$8,$AH$8:$CC$8))-_xlfn.XMATCH($C64,$C$35:$C$82)+1&lt;=_xlpm.DepreciationMonths,$C64&lt;=CC$8),$E64/_xlpm.DepreciationMonths,0))</f>
        <v>0</v>
      </c>
    </row>
    <row r="65" spans="3:81" hidden="1" outlineLevel="2">
      <c r="C65" s="664">
        <f t="shared" si="91"/>
        <v>45869</v>
      </c>
      <c r="D65" s="508"/>
      <c r="E65" s="508" cm="1">
        <f t="array" ref="E65">SUMPRODUCT(($AH$26:$CC$31)*($AH$5:$CC$5=$C65)*($E$26:$E$31=E$33))-SUMPRODUCT(($AH$26:$CC$31)*($AH$5:$CC$5=EOMONTH($C65,-1))*($E$26:$E$31=E$33))</f>
        <v>0</v>
      </c>
      <c r="F65" s="508"/>
      <c r="G65" s="508"/>
      <c r="H65" s="508"/>
      <c r="I65" s="508"/>
      <c r="J65" s="504">
        <f t="shared" si="88"/>
        <v>0</v>
      </c>
      <c r="K65" s="504">
        <f t="shared" si="93"/>
        <v>0</v>
      </c>
      <c r="L65" s="504">
        <f t="shared" si="93"/>
        <v>0</v>
      </c>
      <c r="M65" s="504">
        <f t="shared" si="93"/>
        <v>0</v>
      </c>
      <c r="N65" s="504"/>
      <c r="O65" s="504"/>
      <c r="P65" s="504">
        <f t="shared" si="94"/>
        <v>0</v>
      </c>
      <c r="Q65" s="504">
        <f t="shared" si="94"/>
        <v>0</v>
      </c>
      <c r="R65" s="504">
        <f t="shared" si="94"/>
        <v>0</v>
      </c>
      <c r="S65" s="504">
        <f t="shared" si="94"/>
        <v>0</v>
      </c>
      <c r="T65" s="504">
        <f t="shared" si="94"/>
        <v>0</v>
      </c>
      <c r="U65" s="504">
        <f t="shared" si="94"/>
        <v>0</v>
      </c>
      <c r="V65" s="504">
        <f t="shared" si="94"/>
        <v>0</v>
      </c>
      <c r="W65" s="504">
        <f t="shared" si="94"/>
        <v>0</v>
      </c>
      <c r="X65" s="504">
        <f t="shared" si="94"/>
        <v>0</v>
      </c>
      <c r="Y65" s="504">
        <f t="shared" si="94"/>
        <v>0</v>
      </c>
      <c r="Z65" s="504">
        <f t="shared" si="94"/>
        <v>0</v>
      </c>
      <c r="AA65" s="504">
        <f t="shared" si="94"/>
        <v>0</v>
      </c>
      <c r="AB65" s="504">
        <f t="shared" si="94"/>
        <v>0</v>
      </c>
      <c r="AC65" s="504">
        <f t="shared" si="94"/>
        <v>0</v>
      </c>
      <c r="AD65" s="504">
        <f t="shared" si="94"/>
        <v>0</v>
      </c>
      <c r="AE65" s="504">
        <f t="shared" si="94"/>
        <v>0</v>
      </c>
      <c r="AF65" s="508"/>
      <c r="AG65" s="508"/>
      <c r="AH65" s="507" cm="1">
        <f t="array" ref="AH65">_xlfn.LET(_xlpm.DepreciationMonths,INDEX(FixedAssets[Depreciation
/ Amortization Months],_xlfn.XMATCH($E$33,FixedAssets[Asset ID])),IF(AND((_xlfn.XMATCH(AH$8,$AH$8:$CC$8))-_xlfn.XMATCH($C65,$C$35:$C$82)+1&lt;=_xlpm.DepreciationMonths,$C65&lt;=AH$8),$E65/_xlpm.DepreciationMonths,0))</f>
        <v>0</v>
      </c>
      <c r="AI65" s="507" cm="1">
        <f t="array" ref="AI65">_xlfn.LET(_xlpm.DepreciationMonths,INDEX(FixedAssets[Depreciation
/ Amortization Months],_xlfn.XMATCH($E$33,FixedAssets[Asset ID])),IF(AND((_xlfn.XMATCH(AI$8,$AH$8:$CC$8))-_xlfn.XMATCH($C65,$C$35:$C$82)+1&lt;=_xlpm.DepreciationMonths,$C65&lt;=AI$8),$E65/_xlpm.DepreciationMonths,0))</f>
        <v>0</v>
      </c>
      <c r="AJ65" s="507" cm="1">
        <f t="array" ref="AJ65">_xlfn.LET(_xlpm.DepreciationMonths,INDEX(FixedAssets[Depreciation
/ Amortization Months],_xlfn.XMATCH($E$33,FixedAssets[Asset ID])),IF(AND((_xlfn.XMATCH(AJ$8,$AH$8:$CC$8))-_xlfn.XMATCH($C65,$C$35:$C$82)+1&lt;=_xlpm.DepreciationMonths,$C65&lt;=AJ$8),$E65/_xlpm.DepreciationMonths,0))</f>
        <v>0</v>
      </c>
      <c r="AK65" s="507" cm="1">
        <f t="array" ref="AK65">_xlfn.LET(_xlpm.DepreciationMonths,INDEX(FixedAssets[Depreciation
/ Amortization Months],_xlfn.XMATCH($E$33,FixedAssets[Asset ID])),IF(AND((_xlfn.XMATCH(AK$8,$AH$8:$CC$8))-_xlfn.XMATCH($C65,$C$35:$C$82)+1&lt;=_xlpm.DepreciationMonths,$C65&lt;=AK$8),$E65/_xlpm.DepreciationMonths,0))</f>
        <v>0</v>
      </c>
      <c r="AL65" s="507" cm="1">
        <f t="array" ref="AL65">_xlfn.LET(_xlpm.DepreciationMonths,INDEX(FixedAssets[Depreciation
/ Amortization Months],_xlfn.XMATCH($E$33,FixedAssets[Asset ID])),IF(AND((_xlfn.XMATCH(AL$8,$AH$8:$CC$8))-_xlfn.XMATCH($C65,$C$35:$C$82)+1&lt;=_xlpm.DepreciationMonths,$C65&lt;=AL$8),$E65/_xlpm.DepreciationMonths,0))</f>
        <v>0</v>
      </c>
      <c r="AM65" s="507" cm="1">
        <f t="array" ref="AM65">_xlfn.LET(_xlpm.DepreciationMonths,INDEX(FixedAssets[Depreciation
/ Amortization Months],_xlfn.XMATCH($E$33,FixedAssets[Asset ID])),IF(AND((_xlfn.XMATCH(AM$8,$AH$8:$CC$8))-_xlfn.XMATCH($C65,$C$35:$C$82)+1&lt;=_xlpm.DepreciationMonths,$C65&lt;=AM$8),$E65/_xlpm.DepreciationMonths,0))</f>
        <v>0</v>
      </c>
      <c r="AN65" s="507" cm="1">
        <f t="array" ref="AN65">_xlfn.LET(_xlpm.DepreciationMonths,INDEX(FixedAssets[Depreciation
/ Amortization Months],_xlfn.XMATCH($E$33,FixedAssets[Asset ID])),IF(AND((_xlfn.XMATCH(AN$8,$AH$8:$CC$8))-_xlfn.XMATCH($C65,$C$35:$C$82)+1&lt;=_xlpm.DepreciationMonths,$C65&lt;=AN$8),$E65/_xlpm.DepreciationMonths,0))</f>
        <v>0</v>
      </c>
      <c r="AO65" s="507" cm="1">
        <f t="array" ref="AO65">_xlfn.LET(_xlpm.DepreciationMonths,INDEX(FixedAssets[Depreciation
/ Amortization Months],_xlfn.XMATCH($E$33,FixedAssets[Asset ID])),IF(AND((_xlfn.XMATCH(AO$8,$AH$8:$CC$8))-_xlfn.XMATCH($C65,$C$35:$C$82)+1&lt;=_xlpm.DepreciationMonths,$C65&lt;=AO$8),$E65/_xlpm.DepreciationMonths,0))</f>
        <v>0</v>
      </c>
      <c r="AP65" s="507" cm="1">
        <f t="array" ref="AP65">_xlfn.LET(_xlpm.DepreciationMonths,INDEX(FixedAssets[Depreciation
/ Amortization Months],_xlfn.XMATCH($E$33,FixedAssets[Asset ID])),IF(AND((_xlfn.XMATCH(AP$8,$AH$8:$CC$8))-_xlfn.XMATCH($C65,$C$35:$C$82)+1&lt;=_xlpm.DepreciationMonths,$C65&lt;=AP$8),$E65/_xlpm.DepreciationMonths,0))</f>
        <v>0</v>
      </c>
      <c r="AQ65" s="507" cm="1">
        <f t="array" ref="AQ65">_xlfn.LET(_xlpm.DepreciationMonths,INDEX(FixedAssets[Depreciation
/ Amortization Months],_xlfn.XMATCH($E$33,FixedAssets[Asset ID])),IF(AND((_xlfn.XMATCH(AQ$8,$AH$8:$CC$8))-_xlfn.XMATCH($C65,$C$35:$C$82)+1&lt;=_xlpm.DepreciationMonths,$C65&lt;=AQ$8),$E65/_xlpm.DepreciationMonths,0))</f>
        <v>0</v>
      </c>
      <c r="AR65" s="507" cm="1">
        <f t="array" ref="AR65">_xlfn.LET(_xlpm.DepreciationMonths,INDEX(FixedAssets[Depreciation
/ Amortization Months],_xlfn.XMATCH($E$33,FixedAssets[Asset ID])),IF(AND((_xlfn.XMATCH(AR$8,$AH$8:$CC$8))-_xlfn.XMATCH($C65,$C$35:$C$82)+1&lt;=_xlpm.DepreciationMonths,$C65&lt;=AR$8),$E65/_xlpm.DepreciationMonths,0))</f>
        <v>0</v>
      </c>
      <c r="AS65" s="507" cm="1">
        <f t="array" ref="AS65">_xlfn.LET(_xlpm.DepreciationMonths,INDEX(FixedAssets[Depreciation
/ Amortization Months],_xlfn.XMATCH($E$33,FixedAssets[Asset ID])),IF(AND((_xlfn.XMATCH(AS$8,$AH$8:$CC$8))-_xlfn.XMATCH($C65,$C$35:$C$82)+1&lt;=_xlpm.DepreciationMonths,$C65&lt;=AS$8),$E65/_xlpm.DepreciationMonths,0))</f>
        <v>0</v>
      </c>
      <c r="AT65" s="507" cm="1">
        <f t="array" ref="AT65">_xlfn.LET(_xlpm.DepreciationMonths,INDEX(FixedAssets[Depreciation
/ Amortization Months],_xlfn.XMATCH($E$33,FixedAssets[Asset ID])),IF(AND((_xlfn.XMATCH(AT$8,$AH$8:$CC$8))-_xlfn.XMATCH($C65,$C$35:$C$82)+1&lt;=_xlpm.DepreciationMonths,$C65&lt;=AT$8),$E65/_xlpm.DepreciationMonths,0))</f>
        <v>0</v>
      </c>
      <c r="AU65" s="507" cm="1">
        <f t="array" ref="AU65">_xlfn.LET(_xlpm.DepreciationMonths,INDEX(FixedAssets[Depreciation
/ Amortization Months],_xlfn.XMATCH($E$33,FixedAssets[Asset ID])),IF(AND((_xlfn.XMATCH(AU$8,$AH$8:$CC$8))-_xlfn.XMATCH($C65,$C$35:$C$82)+1&lt;=_xlpm.DepreciationMonths,$C65&lt;=AU$8),$E65/_xlpm.DepreciationMonths,0))</f>
        <v>0</v>
      </c>
      <c r="AV65" s="507" cm="1">
        <f t="array" ref="AV65">_xlfn.LET(_xlpm.DepreciationMonths,INDEX(FixedAssets[Depreciation
/ Amortization Months],_xlfn.XMATCH($E$33,FixedAssets[Asset ID])),IF(AND((_xlfn.XMATCH(AV$8,$AH$8:$CC$8))-_xlfn.XMATCH($C65,$C$35:$C$82)+1&lt;=_xlpm.DepreciationMonths,$C65&lt;=AV$8),$E65/_xlpm.DepreciationMonths,0))</f>
        <v>0</v>
      </c>
      <c r="AW65" s="507" cm="1">
        <f t="array" ref="AW65">_xlfn.LET(_xlpm.DepreciationMonths,INDEX(FixedAssets[Depreciation
/ Amortization Months],_xlfn.XMATCH($E$33,FixedAssets[Asset ID])),IF(AND((_xlfn.XMATCH(AW$8,$AH$8:$CC$8))-_xlfn.XMATCH($C65,$C$35:$C$82)+1&lt;=_xlpm.DepreciationMonths,$C65&lt;=AW$8),$E65/_xlpm.DepreciationMonths,0))</f>
        <v>0</v>
      </c>
      <c r="AX65" s="507" cm="1">
        <f t="array" ref="AX65">_xlfn.LET(_xlpm.DepreciationMonths,INDEX(FixedAssets[Depreciation
/ Amortization Months],_xlfn.XMATCH($E$33,FixedAssets[Asset ID])),IF(AND((_xlfn.XMATCH(AX$8,$AH$8:$CC$8))-_xlfn.XMATCH($C65,$C$35:$C$82)+1&lt;=_xlpm.DepreciationMonths,$C65&lt;=AX$8),$E65/_xlpm.DepreciationMonths,0))</f>
        <v>0</v>
      </c>
      <c r="AY65" s="507" cm="1">
        <f t="array" ref="AY65">_xlfn.LET(_xlpm.DepreciationMonths,INDEX(FixedAssets[Depreciation
/ Amortization Months],_xlfn.XMATCH($E$33,FixedAssets[Asset ID])),IF(AND((_xlfn.XMATCH(AY$8,$AH$8:$CC$8))-_xlfn.XMATCH($C65,$C$35:$C$82)+1&lt;=_xlpm.DepreciationMonths,$C65&lt;=AY$8),$E65/_xlpm.DepreciationMonths,0))</f>
        <v>0</v>
      </c>
      <c r="AZ65" s="507" cm="1">
        <f t="array" ref="AZ65">_xlfn.LET(_xlpm.DepreciationMonths,INDEX(FixedAssets[Depreciation
/ Amortization Months],_xlfn.XMATCH($E$33,FixedAssets[Asset ID])),IF(AND((_xlfn.XMATCH(AZ$8,$AH$8:$CC$8))-_xlfn.XMATCH($C65,$C$35:$C$82)+1&lt;=_xlpm.DepreciationMonths,$C65&lt;=AZ$8),$E65/_xlpm.DepreciationMonths,0))</f>
        <v>0</v>
      </c>
      <c r="BA65" s="507" cm="1">
        <f t="array" ref="BA65">_xlfn.LET(_xlpm.DepreciationMonths,INDEX(FixedAssets[Depreciation
/ Amortization Months],_xlfn.XMATCH($E$33,FixedAssets[Asset ID])),IF(AND((_xlfn.XMATCH(BA$8,$AH$8:$CC$8))-_xlfn.XMATCH($C65,$C$35:$C$82)+1&lt;=_xlpm.DepreciationMonths,$C65&lt;=BA$8),$E65/_xlpm.DepreciationMonths,0))</f>
        <v>0</v>
      </c>
      <c r="BB65" s="507" cm="1">
        <f t="array" ref="BB65">_xlfn.LET(_xlpm.DepreciationMonths,INDEX(FixedAssets[Depreciation
/ Amortization Months],_xlfn.XMATCH($E$33,FixedAssets[Asset ID])),IF(AND((_xlfn.XMATCH(BB$8,$AH$8:$CC$8))-_xlfn.XMATCH($C65,$C$35:$C$82)+1&lt;=_xlpm.DepreciationMonths,$C65&lt;=BB$8),$E65/_xlpm.DepreciationMonths,0))</f>
        <v>0</v>
      </c>
      <c r="BC65" s="507" cm="1">
        <f t="array" ref="BC65">_xlfn.LET(_xlpm.DepreciationMonths,INDEX(FixedAssets[Depreciation
/ Amortization Months],_xlfn.XMATCH($E$33,FixedAssets[Asset ID])),IF(AND((_xlfn.XMATCH(BC$8,$AH$8:$CC$8))-_xlfn.XMATCH($C65,$C$35:$C$82)+1&lt;=_xlpm.DepreciationMonths,$C65&lt;=BC$8),$E65/_xlpm.DepreciationMonths,0))</f>
        <v>0</v>
      </c>
      <c r="BD65" s="507" cm="1">
        <f t="array" ref="BD65">_xlfn.LET(_xlpm.DepreciationMonths,INDEX(FixedAssets[Depreciation
/ Amortization Months],_xlfn.XMATCH($E$33,FixedAssets[Asset ID])),IF(AND((_xlfn.XMATCH(BD$8,$AH$8:$CC$8))-_xlfn.XMATCH($C65,$C$35:$C$82)+1&lt;=_xlpm.DepreciationMonths,$C65&lt;=BD$8),$E65/_xlpm.DepreciationMonths,0))</f>
        <v>0</v>
      </c>
      <c r="BE65" s="507" cm="1">
        <f t="array" ref="BE65">_xlfn.LET(_xlpm.DepreciationMonths,INDEX(FixedAssets[Depreciation
/ Amortization Months],_xlfn.XMATCH($E$33,FixedAssets[Asset ID])),IF(AND((_xlfn.XMATCH(BE$8,$AH$8:$CC$8))-_xlfn.XMATCH($C65,$C$35:$C$82)+1&lt;=_xlpm.DepreciationMonths,$C65&lt;=BE$8),$E65/_xlpm.DepreciationMonths,0))</f>
        <v>0</v>
      </c>
      <c r="BF65" s="507" cm="1">
        <f t="array" ref="BF65">_xlfn.LET(_xlpm.DepreciationMonths,INDEX(FixedAssets[Depreciation
/ Amortization Months],_xlfn.XMATCH($E$33,FixedAssets[Asset ID])),IF(AND((_xlfn.XMATCH(BF$8,$AH$8:$CC$8))-_xlfn.XMATCH($C65,$C$35:$C$82)+1&lt;=_xlpm.DepreciationMonths,$C65&lt;=BF$8),$E65/_xlpm.DepreciationMonths,0))</f>
        <v>0</v>
      </c>
      <c r="BG65" s="507" cm="1">
        <f t="array" ref="BG65">_xlfn.LET(_xlpm.DepreciationMonths,INDEX(FixedAssets[Depreciation
/ Amortization Months],_xlfn.XMATCH($E$33,FixedAssets[Asset ID])),IF(AND((_xlfn.XMATCH(BG$8,$AH$8:$CC$8))-_xlfn.XMATCH($C65,$C$35:$C$82)+1&lt;=_xlpm.DepreciationMonths,$C65&lt;=BG$8),$E65/_xlpm.DepreciationMonths,0))</f>
        <v>0</v>
      </c>
      <c r="BH65" s="507" cm="1">
        <f t="array" ref="BH65">_xlfn.LET(_xlpm.DepreciationMonths,INDEX(FixedAssets[Depreciation
/ Amortization Months],_xlfn.XMATCH($E$33,FixedAssets[Asset ID])),IF(AND((_xlfn.XMATCH(BH$8,$AH$8:$CC$8))-_xlfn.XMATCH($C65,$C$35:$C$82)+1&lt;=_xlpm.DepreciationMonths,$C65&lt;=BH$8),$E65/_xlpm.DepreciationMonths,0))</f>
        <v>0</v>
      </c>
      <c r="BI65" s="507" cm="1">
        <f t="array" ref="BI65">_xlfn.LET(_xlpm.DepreciationMonths,INDEX(FixedAssets[Depreciation
/ Amortization Months],_xlfn.XMATCH($E$33,FixedAssets[Asset ID])),IF(AND((_xlfn.XMATCH(BI$8,$AH$8:$CC$8))-_xlfn.XMATCH($C65,$C$35:$C$82)+1&lt;=_xlpm.DepreciationMonths,$C65&lt;=BI$8),$E65/_xlpm.DepreciationMonths,0))</f>
        <v>0</v>
      </c>
      <c r="BJ65" s="507" cm="1">
        <f t="array" ref="BJ65">_xlfn.LET(_xlpm.DepreciationMonths,INDEX(FixedAssets[Depreciation
/ Amortization Months],_xlfn.XMATCH($E$33,FixedAssets[Asset ID])),IF(AND((_xlfn.XMATCH(BJ$8,$AH$8:$CC$8))-_xlfn.XMATCH($C65,$C$35:$C$82)+1&lt;=_xlpm.DepreciationMonths,$C65&lt;=BJ$8),$E65/_xlpm.DepreciationMonths,0))</f>
        <v>0</v>
      </c>
      <c r="BK65" s="507" cm="1">
        <f t="array" ref="BK65">_xlfn.LET(_xlpm.DepreciationMonths,INDEX(FixedAssets[Depreciation
/ Amortization Months],_xlfn.XMATCH($E$33,FixedAssets[Asset ID])),IF(AND((_xlfn.XMATCH(BK$8,$AH$8:$CC$8))-_xlfn.XMATCH($C65,$C$35:$C$82)+1&lt;=_xlpm.DepreciationMonths,$C65&lt;=BK$8),$E65/_xlpm.DepreciationMonths,0))</f>
        <v>0</v>
      </c>
      <c r="BL65" s="507" cm="1">
        <f t="array" ref="BL65">_xlfn.LET(_xlpm.DepreciationMonths,INDEX(FixedAssets[Depreciation
/ Amortization Months],_xlfn.XMATCH($E$33,FixedAssets[Asset ID])),IF(AND((_xlfn.XMATCH(BL$8,$AH$8:$CC$8))-_xlfn.XMATCH($C65,$C$35:$C$82)+1&lt;=_xlpm.DepreciationMonths,$C65&lt;=BL$8),$E65/_xlpm.DepreciationMonths,0))</f>
        <v>0</v>
      </c>
      <c r="BM65" s="507" cm="1">
        <f t="array" ref="BM65">_xlfn.LET(_xlpm.DepreciationMonths,INDEX(FixedAssets[Depreciation
/ Amortization Months],_xlfn.XMATCH($E$33,FixedAssets[Asset ID])),IF(AND((_xlfn.XMATCH(BM$8,$AH$8:$CC$8))-_xlfn.XMATCH($C65,$C$35:$C$82)+1&lt;=_xlpm.DepreciationMonths,$C65&lt;=BM$8),$E65/_xlpm.DepreciationMonths,0))</f>
        <v>0</v>
      </c>
      <c r="BN65" s="507" cm="1">
        <f t="array" ref="BN65">_xlfn.LET(_xlpm.DepreciationMonths,INDEX(FixedAssets[Depreciation
/ Amortization Months],_xlfn.XMATCH($E$33,FixedAssets[Asset ID])),IF(AND((_xlfn.XMATCH(BN$8,$AH$8:$CC$8))-_xlfn.XMATCH($C65,$C$35:$C$82)+1&lt;=_xlpm.DepreciationMonths,$C65&lt;=BN$8),$E65/_xlpm.DepreciationMonths,0))</f>
        <v>0</v>
      </c>
      <c r="BO65" s="507" cm="1">
        <f t="array" ref="BO65">_xlfn.LET(_xlpm.DepreciationMonths,INDEX(FixedAssets[Depreciation
/ Amortization Months],_xlfn.XMATCH($E$33,FixedAssets[Asset ID])),IF(AND((_xlfn.XMATCH(BO$8,$AH$8:$CC$8))-_xlfn.XMATCH($C65,$C$35:$C$82)+1&lt;=_xlpm.DepreciationMonths,$C65&lt;=BO$8),$E65/_xlpm.DepreciationMonths,0))</f>
        <v>0</v>
      </c>
      <c r="BP65" s="507" cm="1">
        <f t="array" ref="BP65">_xlfn.LET(_xlpm.DepreciationMonths,INDEX(FixedAssets[Depreciation
/ Amortization Months],_xlfn.XMATCH($E$33,FixedAssets[Asset ID])),IF(AND((_xlfn.XMATCH(BP$8,$AH$8:$CC$8))-_xlfn.XMATCH($C65,$C$35:$C$82)+1&lt;=_xlpm.DepreciationMonths,$C65&lt;=BP$8),$E65/_xlpm.DepreciationMonths,0))</f>
        <v>0</v>
      </c>
      <c r="BQ65" s="507" cm="1">
        <f t="array" ref="BQ65">_xlfn.LET(_xlpm.DepreciationMonths,INDEX(FixedAssets[Depreciation
/ Amortization Months],_xlfn.XMATCH($E$33,FixedAssets[Asset ID])),IF(AND((_xlfn.XMATCH(BQ$8,$AH$8:$CC$8))-_xlfn.XMATCH($C65,$C$35:$C$82)+1&lt;=_xlpm.DepreciationMonths,$C65&lt;=BQ$8),$E65/_xlpm.DepreciationMonths,0))</f>
        <v>0</v>
      </c>
      <c r="BR65" s="507" cm="1">
        <f t="array" ref="BR65">_xlfn.LET(_xlpm.DepreciationMonths,INDEX(FixedAssets[Depreciation
/ Amortization Months],_xlfn.XMATCH($E$33,FixedAssets[Asset ID])),IF(AND((_xlfn.XMATCH(BR$8,$AH$8:$CC$8))-_xlfn.XMATCH($C65,$C$35:$C$82)+1&lt;=_xlpm.DepreciationMonths,$C65&lt;=BR$8),$E65/_xlpm.DepreciationMonths,0))</f>
        <v>0</v>
      </c>
      <c r="BS65" s="507" cm="1">
        <f t="array" ref="BS65">_xlfn.LET(_xlpm.DepreciationMonths,INDEX(FixedAssets[Depreciation
/ Amortization Months],_xlfn.XMATCH($E$33,FixedAssets[Asset ID])),IF(AND((_xlfn.XMATCH(BS$8,$AH$8:$CC$8))-_xlfn.XMATCH($C65,$C$35:$C$82)+1&lt;=_xlpm.DepreciationMonths,$C65&lt;=BS$8),$E65/_xlpm.DepreciationMonths,0))</f>
        <v>0</v>
      </c>
      <c r="BT65" s="507" cm="1">
        <f t="array" ref="BT65">_xlfn.LET(_xlpm.DepreciationMonths,INDEX(FixedAssets[Depreciation
/ Amortization Months],_xlfn.XMATCH($E$33,FixedAssets[Asset ID])),IF(AND((_xlfn.XMATCH(BT$8,$AH$8:$CC$8))-_xlfn.XMATCH($C65,$C$35:$C$82)+1&lt;=_xlpm.DepreciationMonths,$C65&lt;=BT$8),$E65/_xlpm.DepreciationMonths,0))</f>
        <v>0</v>
      </c>
      <c r="BU65" s="507" cm="1">
        <f t="array" ref="BU65">_xlfn.LET(_xlpm.DepreciationMonths,INDEX(FixedAssets[Depreciation
/ Amortization Months],_xlfn.XMATCH($E$33,FixedAssets[Asset ID])),IF(AND((_xlfn.XMATCH(BU$8,$AH$8:$CC$8))-_xlfn.XMATCH($C65,$C$35:$C$82)+1&lt;=_xlpm.DepreciationMonths,$C65&lt;=BU$8),$E65/_xlpm.DepreciationMonths,0))</f>
        <v>0</v>
      </c>
      <c r="BV65" s="507" cm="1">
        <f t="array" ref="BV65">_xlfn.LET(_xlpm.DepreciationMonths,INDEX(FixedAssets[Depreciation
/ Amortization Months],_xlfn.XMATCH($E$33,FixedAssets[Asset ID])),IF(AND((_xlfn.XMATCH(BV$8,$AH$8:$CC$8))-_xlfn.XMATCH($C65,$C$35:$C$82)+1&lt;=_xlpm.DepreciationMonths,$C65&lt;=BV$8),$E65/_xlpm.DepreciationMonths,0))</f>
        <v>0</v>
      </c>
      <c r="BW65" s="507" cm="1">
        <f t="array" ref="BW65">_xlfn.LET(_xlpm.DepreciationMonths,INDEX(FixedAssets[Depreciation
/ Amortization Months],_xlfn.XMATCH($E$33,FixedAssets[Asset ID])),IF(AND((_xlfn.XMATCH(BW$8,$AH$8:$CC$8))-_xlfn.XMATCH($C65,$C$35:$C$82)+1&lt;=_xlpm.DepreciationMonths,$C65&lt;=BW$8),$E65/_xlpm.DepreciationMonths,0))</f>
        <v>0</v>
      </c>
      <c r="BX65" s="507" cm="1">
        <f t="array" ref="BX65">_xlfn.LET(_xlpm.DepreciationMonths,INDEX(FixedAssets[Depreciation
/ Amortization Months],_xlfn.XMATCH($E$33,FixedAssets[Asset ID])),IF(AND((_xlfn.XMATCH(BX$8,$AH$8:$CC$8))-_xlfn.XMATCH($C65,$C$35:$C$82)+1&lt;=_xlpm.DepreciationMonths,$C65&lt;=BX$8),$E65/_xlpm.DepreciationMonths,0))</f>
        <v>0</v>
      </c>
      <c r="BY65" s="507" cm="1">
        <f t="array" ref="BY65">_xlfn.LET(_xlpm.DepreciationMonths,INDEX(FixedAssets[Depreciation
/ Amortization Months],_xlfn.XMATCH($E$33,FixedAssets[Asset ID])),IF(AND((_xlfn.XMATCH(BY$8,$AH$8:$CC$8))-_xlfn.XMATCH($C65,$C$35:$C$82)+1&lt;=_xlpm.DepreciationMonths,$C65&lt;=BY$8),$E65/_xlpm.DepreciationMonths,0))</f>
        <v>0</v>
      </c>
      <c r="BZ65" s="507" cm="1">
        <f t="array" ref="BZ65">_xlfn.LET(_xlpm.DepreciationMonths,INDEX(FixedAssets[Depreciation
/ Amortization Months],_xlfn.XMATCH($E$33,FixedAssets[Asset ID])),IF(AND((_xlfn.XMATCH(BZ$8,$AH$8:$CC$8))-_xlfn.XMATCH($C65,$C$35:$C$82)+1&lt;=_xlpm.DepreciationMonths,$C65&lt;=BZ$8),$E65/_xlpm.DepreciationMonths,0))</f>
        <v>0</v>
      </c>
      <c r="CA65" s="507" cm="1">
        <f t="array" ref="CA65">_xlfn.LET(_xlpm.DepreciationMonths,INDEX(FixedAssets[Depreciation
/ Amortization Months],_xlfn.XMATCH($E$33,FixedAssets[Asset ID])),IF(AND((_xlfn.XMATCH(CA$8,$AH$8:$CC$8))-_xlfn.XMATCH($C65,$C$35:$C$82)+1&lt;=_xlpm.DepreciationMonths,$C65&lt;=CA$8),$E65/_xlpm.DepreciationMonths,0))</f>
        <v>0</v>
      </c>
      <c r="CB65" s="507" cm="1">
        <f t="array" ref="CB65">_xlfn.LET(_xlpm.DepreciationMonths,INDEX(FixedAssets[Depreciation
/ Amortization Months],_xlfn.XMATCH($E$33,FixedAssets[Asset ID])),IF(AND((_xlfn.XMATCH(CB$8,$AH$8:$CC$8))-_xlfn.XMATCH($C65,$C$35:$C$82)+1&lt;=_xlpm.DepreciationMonths,$C65&lt;=CB$8),$E65/_xlpm.DepreciationMonths,0))</f>
        <v>0</v>
      </c>
      <c r="CC65" s="507" cm="1">
        <f t="array" ref="CC65">_xlfn.LET(_xlpm.DepreciationMonths,INDEX(FixedAssets[Depreciation
/ Amortization Months],_xlfn.XMATCH($E$33,FixedAssets[Asset ID])),IF(AND((_xlfn.XMATCH(CC$8,$AH$8:$CC$8))-_xlfn.XMATCH($C65,$C$35:$C$82)+1&lt;=_xlpm.DepreciationMonths,$C65&lt;=CC$8),$E65/_xlpm.DepreciationMonths,0))</f>
        <v>0</v>
      </c>
    </row>
    <row r="66" spans="3:81" hidden="1" outlineLevel="2">
      <c r="C66" s="664">
        <f t="shared" si="91"/>
        <v>45900</v>
      </c>
      <c r="D66" s="508"/>
      <c r="E66" s="508" cm="1">
        <f t="array" ref="E66">SUMPRODUCT(($AH$26:$CC$31)*($AH$5:$CC$5=$C66)*($E$26:$E$31=E$33))-SUMPRODUCT(($AH$26:$CC$31)*($AH$5:$CC$5=EOMONTH($C66,-1))*($E$26:$E$31=E$33))</f>
        <v>0</v>
      </c>
      <c r="F66" s="508"/>
      <c r="G66" s="508"/>
      <c r="H66" s="508"/>
      <c r="I66" s="508"/>
      <c r="J66" s="504">
        <f t="shared" si="88"/>
        <v>0</v>
      </c>
      <c r="K66" s="504">
        <f t="shared" si="93"/>
        <v>0</v>
      </c>
      <c r="L66" s="504">
        <f t="shared" si="93"/>
        <v>0</v>
      </c>
      <c r="M66" s="504">
        <f t="shared" si="93"/>
        <v>0</v>
      </c>
      <c r="N66" s="504"/>
      <c r="O66" s="504"/>
      <c r="P66" s="504">
        <f t="shared" si="94"/>
        <v>0</v>
      </c>
      <c r="Q66" s="504">
        <f t="shared" si="94"/>
        <v>0</v>
      </c>
      <c r="R66" s="504">
        <f t="shared" si="94"/>
        <v>0</v>
      </c>
      <c r="S66" s="504">
        <f t="shared" si="94"/>
        <v>0</v>
      </c>
      <c r="T66" s="504">
        <f t="shared" si="94"/>
        <v>0</v>
      </c>
      <c r="U66" s="504">
        <f t="shared" si="94"/>
        <v>0</v>
      </c>
      <c r="V66" s="504">
        <f t="shared" si="94"/>
        <v>0</v>
      </c>
      <c r="W66" s="504">
        <f t="shared" si="94"/>
        <v>0</v>
      </c>
      <c r="X66" s="504">
        <f t="shared" si="94"/>
        <v>0</v>
      </c>
      <c r="Y66" s="504">
        <f t="shared" si="94"/>
        <v>0</v>
      </c>
      <c r="Z66" s="504">
        <f t="shared" si="94"/>
        <v>0</v>
      </c>
      <c r="AA66" s="504">
        <f t="shared" si="94"/>
        <v>0</v>
      </c>
      <c r="AB66" s="504">
        <f t="shared" si="94"/>
        <v>0</v>
      </c>
      <c r="AC66" s="504">
        <f t="shared" si="94"/>
        <v>0</v>
      </c>
      <c r="AD66" s="504">
        <f t="shared" si="94"/>
        <v>0</v>
      </c>
      <c r="AE66" s="504">
        <f t="shared" ref="AE66" si="95">SUMIFS($AH66:$CC66,$AH$4:$CC$4,"&gt;="&amp;AE$4,$AH$5:$CC$5,"&lt;="&amp;AE$5)</f>
        <v>0</v>
      </c>
      <c r="AF66" s="508"/>
      <c r="AG66" s="508"/>
      <c r="AH66" s="507" cm="1">
        <f t="array" ref="AH66">_xlfn.LET(_xlpm.DepreciationMonths,INDEX(FixedAssets[Depreciation
/ Amortization Months],_xlfn.XMATCH($E$33,FixedAssets[Asset ID])),IF(AND((_xlfn.XMATCH(AH$8,$AH$8:$CC$8))-_xlfn.XMATCH($C66,$C$35:$C$82)+1&lt;=_xlpm.DepreciationMonths,$C66&lt;=AH$8),$E66/_xlpm.DepreciationMonths,0))</f>
        <v>0</v>
      </c>
      <c r="AI66" s="507" cm="1">
        <f t="array" ref="AI66">_xlfn.LET(_xlpm.DepreciationMonths,INDEX(FixedAssets[Depreciation
/ Amortization Months],_xlfn.XMATCH($E$33,FixedAssets[Asset ID])),IF(AND((_xlfn.XMATCH(AI$8,$AH$8:$CC$8))-_xlfn.XMATCH($C66,$C$35:$C$82)+1&lt;=_xlpm.DepreciationMonths,$C66&lt;=AI$8),$E66/_xlpm.DepreciationMonths,0))</f>
        <v>0</v>
      </c>
      <c r="AJ66" s="507" cm="1">
        <f t="array" ref="AJ66">_xlfn.LET(_xlpm.DepreciationMonths,INDEX(FixedAssets[Depreciation
/ Amortization Months],_xlfn.XMATCH($E$33,FixedAssets[Asset ID])),IF(AND((_xlfn.XMATCH(AJ$8,$AH$8:$CC$8))-_xlfn.XMATCH($C66,$C$35:$C$82)+1&lt;=_xlpm.DepreciationMonths,$C66&lt;=AJ$8),$E66/_xlpm.DepreciationMonths,0))</f>
        <v>0</v>
      </c>
      <c r="AK66" s="507" cm="1">
        <f t="array" ref="AK66">_xlfn.LET(_xlpm.DepreciationMonths,INDEX(FixedAssets[Depreciation
/ Amortization Months],_xlfn.XMATCH($E$33,FixedAssets[Asset ID])),IF(AND((_xlfn.XMATCH(AK$8,$AH$8:$CC$8))-_xlfn.XMATCH($C66,$C$35:$C$82)+1&lt;=_xlpm.DepreciationMonths,$C66&lt;=AK$8),$E66/_xlpm.DepreciationMonths,0))</f>
        <v>0</v>
      </c>
      <c r="AL66" s="507" cm="1">
        <f t="array" ref="AL66">_xlfn.LET(_xlpm.DepreciationMonths,INDEX(FixedAssets[Depreciation
/ Amortization Months],_xlfn.XMATCH($E$33,FixedAssets[Asset ID])),IF(AND((_xlfn.XMATCH(AL$8,$AH$8:$CC$8))-_xlfn.XMATCH($C66,$C$35:$C$82)+1&lt;=_xlpm.DepreciationMonths,$C66&lt;=AL$8),$E66/_xlpm.DepreciationMonths,0))</f>
        <v>0</v>
      </c>
      <c r="AM66" s="507" cm="1">
        <f t="array" ref="AM66">_xlfn.LET(_xlpm.DepreciationMonths,INDEX(FixedAssets[Depreciation
/ Amortization Months],_xlfn.XMATCH($E$33,FixedAssets[Asset ID])),IF(AND((_xlfn.XMATCH(AM$8,$AH$8:$CC$8))-_xlfn.XMATCH($C66,$C$35:$C$82)+1&lt;=_xlpm.DepreciationMonths,$C66&lt;=AM$8),$E66/_xlpm.DepreciationMonths,0))</f>
        <v>0</v>
      </c>
      <c r="AN66" s="507" cm="1">
        <f t="array" ref="AN66">_xlfn.LET(_xlpm.DepreciationMonths,INDEX(FixedAssets[Depreciation
/ Amortization Months],_xlfn.XMATCH($E$33,FixedAssets[Asset ID])),IF(AND((_xlfn.XMATCH(AN$8,$AH$8:$CC$8))-_xlfn.XMATCH($C66,$C$35:$C$82)+1&lt;=_xlpm.DepreciationMonths,$C66&lt;=AN$8),$E66/_xlpm.DepreciationMonths,0))</f>
        <v>0</v>
      </c>
      <c r="AO66" s="507" cm="1">
        <f t="array" ref="AO66">_xlfn.LET(_xlpm.DepreciationMonths,INDEX(FixedAssets[Depreciation
/ Amortization Months],_xlfn.XMATCH($E$33,FixedAssets[Asset ID])),IF(AND((_xlfn.XMATCH(AO$8,$AH$8:$CC$8))-_xlfn.XMATCH($C66,$C$35:$C$82)+1&lt;=_xlpm.DepreciationMonths,$C66&lt;=AO$8),$E66/_xlpm.DepreciationMonths,0))</f>
        <v>0</v>
      </c>
      <c r="AP66" s="507" cm="1">
        <f t="array" ref="AP66">_xlfn.LET(_xlpm.DepreciationMonths,INDEX(FixedAssets[Depreciation
/ Amortization Months],_xlfn.XMATCH($E$33,FixedAssets[Asset ID])),IF(AND((_xlfn.XMATCH(AP$8,$AH$8:$CC$8))-_xlfn.XMATCH($C66,$C$35:$C$82)+1&lt;=_xlpm.DepreciationMonths,$C66&lt;=AP$8),$E66/_xlpm.DepreciationMonths,0))</f>
        <v>0</v>
      </c>
      <c r="AQ66" s="507" cm="1">
        <f t="array" ref="AQ66">_xlfn.LET(_xlpm.DepreciationMonths,INDEX(FixedAssets[Depreciation
/ Amortization Months],_xlfn.XMATCH($E$33,FixedAssets[Asset ID])),IF(AND((_xlfn.XMATCH(AQ$8,$AH$8:$CC$8))-_xlfn.XMATCH($C66,$C$35:$C$82)+1&lt;=_xlpm.DepreciationMonths,$C66&lt;=AQ$8),$E66/_xlpm.DepreciationMonths,0))</f>
        <v>0</v>
      </c>
      <c r="AR66" s="507" cm="1">
        <f t="array" ref="AR66">_xlfn.LET(_xlpm.DepreciationMonths,INDEX(FixedAssets[Depreciation
/ Amortization Months],_xlfn.XMATCH($E$33,FixedAssets[Asset ID])),IF(AND((_xlfn.XMATCH(AR$8,$AH$8:$CC$8))-_xlfn.XMATCH($C66,$C$35:$C$82)+1&lt;=_xlpm.DepreciationMonths,$C66&lt;=AR$8),$E66/_xlpm.DepreciationMonths,0))</f>
        <v>0</v>
      </c>
      <c r="AS66" s="507" cm="1">
        <f t="array" ref="AS66">_xlfn.LET(_xlpm.DepreciationMonths,INDEX(FixedAssets[Depreciation
/ Amortization Months],_xlfn.XMATCH($E$33,FixedAssets[Asset ID])),IF(AND((_xlfn.XMATCH(AS$8,$AH$8:$CC$8))-_xlfn.XMATCH($C66,$C$35:$C$82)+1&lt;=_xlpm.DepreciationMonths,$C66&lt;=AS$8),$E66/_xlpm.DepreciationMonths,0))</f>
        <v>0</v>
      </c>
      <c r="AT66" s="507" cm="1">
        <f t="array" ref="AT66">_xlfn.LET(_xlpm.DepreciationMonths,INDEX(FixedAssets[Depreciation
/ Amortization Months],_xlfn.XMATCH($E$33,FixedAssets[Asset ID])),IF(AND((_xlfn.XMATCH(AT$8,$AH$8:$CC$8))-_xlfn.XMATCH($C66,$C$35:$C$82)+1&lt;=_xlpm.DepreciationMonths,$C66&lt;=AT$8),$E66/_xlpm.DepreciationMonths,0))</f>
        <v>0</v>
      </c>
      <c r="AU66" s="507" cm="1">
        <f t="array" ref="AU66">_xlfn.LET(_xlpm.DepreciationMonths,INDEX(FixedAssets[Depreciation
/ Amortization Months],_xlfn.XMATCH($E$33,FixedAssets[Asset ID])),IF(AND((_xlfn.XMATCH(AU$8,$AH$8:$CC$8))-_xlfn.XMATCH($C66,$C$35:$C$82)+1&lt;=_xlpm.DepreciationMonths,$C66&lt;=AU$8),$E66/_xlpm.DepreciationMonths,0))</f>
        <v>0</v>
      </c>
      <c r="AV66" s="507" cm="1">
        <f t="array" ref="AV66">_xlfn.LET(_xlpm.DepreciationMonths,INDEX(FixedAssets[Depreciation
/ Amortization Months],_xlfn.XMATCH($E$33,FixedAssets[Asset ID])),IF(AND((_xlfn.XMATCH(AV$8,$AH$8:$CC$8))-_xlfn.XMATCH($C66,$C$35:$C$82)+1&lt;=_xlpm.DepreciationMonths,$C66&lt;=AV$8),$E66/_xlpm.DepreciationMonths,0))</f>
        <v>0</v>
      </c>
      <c r="AW66" s="507" cm="1">
        <f t="array" ref="AW66">_xlfn.LET(_xlpm.DepreciationMonths,INDEX(FixedAssets[Depreciation
/ Amortization Months],_xlfn.XMATCH($E$33,FixedAssets[Asset ID])),IF(AND((_xlfn.XMATCH(AW$8,$AH$8:$CC$8))-_xlfn.XMATCH($C66,$C$35:$C$82)+1&lt;=_xlpm.DepreciationMonths,$C66&lt;=AW$8),$E66/_xlpm.DepreciationMonths,0))</f>
        <v>0</v>
      </c>
      <c r="AX66" s="507" cm="1">
        <f t="array" ref="AX66">_xlfn.LET(_xlpm.DepreciationMonths,INDEX(FixedAssets[Depreciation
/ Amortization Months],_xlfn.XMATCH($E$33,FixedAssets[Asset ID])),IF(AND((_xlfn.XMATCH(AX$8,$AH$8:$CC$8))-_xlfn.XMATCH($C66,$C$35:$C$82)+1&lt;=_xlpm.DepreciationMonths,$C66&lt;=AX$8),$E66/_xlpm.DepreciationMonths,0))</f>
        <v>0</v>
      </c>
      <c r="AY66" s="507" cm="1">
        <f t="array" ref="AY66">_xlfn.LET(_xlpm.DepreciationMonths,INDEX(FixedAssets[Depreciation
/ Amortization Months],_xlfn.XMATCH($E$33,FixedAssets[Asset ID])),IF(AND((_xlfn.XMATCH(AY$8,$AH$8:$CC$8))-_xlfn.XMATCH($C66,$C$35:$C$82)+1&lt;=_xlpm.DepreciationMonths,$C66&lt;=AY$8),$E66/_xlpm.DepreciationMonths,0))</f>
        <v>0</v>
      </c>
      <c r="AZ66" s="507" cm="1">
        <f t="array" ref="AZ66">_xlfn.LET(_xlpm.DepreciationMonths,INDEX(FixedAssets[Depreciation
/ Amortization Months],_xlfn.XMATCH($E$33,FixedAssets[Asset ID])),IF(AND((_xlfn.XMATCH(AZ$8,$AH$8:$CC$8))-_xlfn.XMATCH($C66,$C$35:$C$82)+1&lt;=_xlpm.DepreciationMonths,$C66&lt;=AZ$8),$E66/_xlpm.DepreciationMonths,0))</f>
        <v>0</v>
      </c>
      <c r="BA66" s="507" cm="1">
        <f t="array" ref="BA66">_xlfn.LET(_xlpm.DepreciationMonths,INDEX(FixedAssets[Depreciation
/ Amortization Months],_xlfn.XMATCH($E$33,FixedAssets[Asset ID])),IF(AND((_xlfn.XMATCH(BA$8,$AH$8:$CC$8))-_xlfn.XMATCH($C66,$C$35:$C$82)+1&lt;=_xlpm.DepreciationMonths,$C66&lt;=BA$8),$E66/_xlpm.DepreciationMonths,0))</f>
        <v>0</v>
      </c>
      <c r="BB66" s="507" cm="1">
        <f t="array" ref="BB66">_xlfn.LET(_xlpm.DepreciationMonths,INDEX(FixedAssets[Depreciation
/ Amortization Months],_xlfn.XMATCH($E$33,FixedAssets[Asset ID])),IF(AND((_xlfn.XMATCH(BB$8,$AH$8:$CC$8))-_xlfn.XMATCH($C66,$C$35:$C$82)+1&lt;=_xlpm.DepreciationMonths,$C66&lt;=BB$8),$E66/_xlpm.DepreciationMonths,0))</f>
        <v>0</v>
      </c>
      <c r="BC66" s="507" cm="1">
        <f t="array" ref="BC66">_xlfn.LET(_xlpm.DepreciationMonths,INDEX(FixedAssets[Depreciation
/ Amortization Months],_xlfn.XMATCH($E$33,FixedAssets[Asset ID])),IF(AND((_xlfn.XMATCH(BC$8,$AH$8:$CC$8))-_xlfn.XMATCH($C66,$C$35:$C$82)+1&lt;=_xlpm.DepreciationMonths,$C66&lt;=BC$8),$E66/_xlpm.DepreciationMonths,0))</f>
        <v>0</v>
      </c>
      <c r="BD66" s="507" cm="1">
        <f t="array" ref="BD66">_xlfn.LET(_xlpm.DepreciationMonths,INDEX(FixedAssets[Depreciation
/ Amortization Months],_xlfn.XMATCH($E$33,FixedAssets[Asset ID])),IF(AND((_xlfn.XMATCH(BD$8,$AH$8:$CC$8))-_xlfn.XMATCH($C66,$C$35:$C$82)+1&lt;=_xlpm.DepreciationMonths,$C66&lt;=BD$8),$E66/_xlpm.DepreciationMonths,0))</f>
        <v>0</v>
      </c>
      <c r="BE66" s="507" cm="1">
        <f t="array" ref="BE66">_xlfn.LET(_xlpm.DepreciationMonths,INDEX(FixedAssets[Depreciation
/ Amortization Months],_xlfn.XMATCH($E$33,FixedAssets[Asset ID])),IF(AND((_xlfn.XMATCH(BE$8,$AH$8:$CC$8))-_xlfn.XMATCH($C66,$C$35:$C$82)+1&lt;=_xlpm.DepreciationMonths,$C66&lt;=BE$8),$E66/_xlpm.DepreciationMonths,0))</f>
        <v>0</v>
      </c>
      <c r="BF66" s="507" cm="1">
        <f t="array" ref="BF66">_xlfn.LET(_xlpm.DepreciationMonths,INDEX(FixedAssets[Depreciation
/ Amortization Months],_xlfn.XMATCH($E$33,FixedAssets[Asset ID])),IF(AND((_xlfn.XMATCH(BF$8,$AH$8:$CC$8))-_xlfn.XMATCH($C66,$C$35:$C$82)+1&lt;=_xlpm.DepreciationMonths,$C66&lt;=BF$8),$E66/_xlpm.DepreciationMonths,0))</f>
        <v>0</v>
      </c>
      <c r="BG66" s="507" cm="1">
        <f t="array" ref="BG66">_xlfn.LET(_xlpm.DepreciationMonths,INDEX(FixedAssets[Depreciation
/ Amortization Months],_xlfn.XMATCH($E$33,FixedAssets[Asset ID])),IF(AND((_xlfn.XMATCH(BG$8,$AH$8:$CC$8))-_xlfn.XMATCH($C66,$C$35:$C$82)+1&lt;=_xlpm.DepreciationMonths,$C66&lt;=BG$8),$E66/_xlpm.DepreciationMonths,0))</f>
        <v>0</v>
      </c>
      <c r="BH66" s="507" cm="1">
        <f t="array" ref="BH66">_xlfn.LET(_xlpm.DepreciationMonths,INDEX(FixedAssets[Depreciation
/ Amortization Months],_xlfn.XMATCH($E$33,FixedAssets[Asset ID])),IF(AND((_xlfn.XMATCH(BH$8,$AH$8:$CC$8))-_xlfn.XMATCH($C66,$C$35:$C$82)+1&lt;=_xlpm.DepreciationMonths,$C66&lt;=BH$8),$E66/_xlpm.DepreciationMonths,0))</f>
        <v>0</v>
      </c>
      <c r="BI66" s="507" cm="1">
        <f t="array" ref="BI66">_xlfn.LET(_xlpm.DepreciationMonths,INDEX(FixedAssets[Depreciation
/ Amortization Months],_xlfn.XMATCH($E$33,FixedAssets[Asset ID])),IF(AND((_xlfn.XMATCH(BI$8,$AH$8:$CC$8))-_xlfn.XMATCH($C66,$C$35:$C$82)+1&lt;=_xlpm.DepreciationMonths,$C66&lt;=BI$8),$E66/_xlpm.DepreciationMonths,0))</f>
        <v>0</v>
      </c>
      <c r="BJ66" s="507" cm="1">
        <f t="array" ref="BJ66">_xlfn.LET(_xlpm.DepreciationMonths,INDEX(FixedAssets[Depreciation
/ Amortization Months],_xlfn.XMATCH($E$33,FixedAssets[Asset ID])),IF(AND((_xlfn.XMATCH(BJ$8,$AH$8:$CC$8))-_xlfn.XMATCH($C66,$C$35:$C$82)+1&lt;=_xlpm.DepreciationMonths,$C66&lt;=BJ$8),$E66/_xlpm.DepreciationMonths,0))</f>
        <v>0</v>
      </c>
      <c r="BK66" s="507" cm="1">
        <f t="array" ref="BK66">_xlfn.LET(_xlpm.DepreciationMonths,INDEX(FixedAssets[Depreciation
/ Amortization Months],_xlfn.XMATCH($E$33,FixedAssets[Asset ID])),IF(AND((_xlfn.XMATCH(BK$8,$AH$8:$CC$8))-_xlfn.XMATCH($C66,$C$35:$C$82)+1&lt;=_xlpm.DepreciationMonths,$C66&lt;=BK$8),$E66/_xlpm.DepreciationMonths,0))</f>
        <v>0</v>
      </c>
      <c r="BL66" s="507" cm="1">
        <f t="array" ref="BL66">_xlfn.LET(_xlpm.DepreciationMonths,INDEX(FixedAssets[Depreciation
/ Amortization Months],_xlfn.XMATCH($E$33,FixedAssets[Asset ID])),IF(AND((_xlfn.XMATCH(BL$8,$AH$8:$CC$8))-_xlfn.XMATCH($C66,$C$35:$C$82)+1&lt;=_xlpm.DepreciationMonths,$C66&lt;=BL$8),$E66/_xlpm.DepreciationMonths,0))</f>
        <v>0</v>
      </c>
      <c r="BM66" s="507" cm="1">
        <f t="array" ref="BM66">_xlfn.LET(_xlpm.DepreciationMonths,INDEX(FixedAssets[Depreciation
/ Amortization Months],_xlfn.XMATCH($E$33,FixedAssets[Asset ID])),IF(AND((_xlfn.XMATCH(BM$8,$AH$8:$CC$8))-_xlfn.XMATCH($C66,$C$35:$C$82)+1&lt;=_xlpm.DepreciationMonths,$C66&lt;=BM$8),$E66/_xlpm.DepreciationMonths,0))</f>
        <v>0</v>
      </c>
      <c r="BN66" s="507" cm="1">
        <f t="array" ref="BN66">_xlfn.LET(_xlpm.DepreciationMonths,INDEX(FixedAssets[Depreciation
/ Amortization Months],_xlfn.XMATCH($E$33,FixedAssets[Asset ID])),IF(AND((_xlfn.XMATCH(BN$8,$AH$8:$CC$8))-_xlfn.XMATCH($C66,$C$35:$C$82)+1&lt;=_xlpm.DepreciationMonths,$C66&lt;=BN$8),$E66/_xlpm.DepreciationMonths,0))</f>
        <v>0</v>
      </c>
      <c r="BO66" s="507" cm="1">
        <f t="array" ref="BO66">_xlfn.LET(_xlpm.DepreciationMonths,INDEX(FixedAssets[Depreciation
/ Amortization Months],_xlfn.XMATCH($E$33,FixedAssets[Asset ID])),IF(AND((_xlfn.XMATCH(BO$8,$AH$8:$CC$8))-_xlfn.XMATCH($C66,$C$35:$C$82)+1&lt;=_xlpm.DepreciationMonths,$C66&lt;=BO$8),$E66/_xlpm.DepreciationMonths,0))</f>
        <v>0</v>
      </c>
      <c r="BP66" s="507" cm="1">
        <f t="array" ref="BP66">_xlfn.LET(_xlpm.DepreciationMonths,INDEX(FixedAssets[Depreciation
/ Amortization Months],_xlfn.XMATCH($E$33,FixedAssets[Asset ID])),IF(AND((_xlfn.XMATCH(BP$8,$AH$8:$CC$8))-_xlfn.XMATCH($C66,$C$35:$C$82)+1&lt;=_xlpm.DepreciationMonths,$C66&lt;=BP$8),$E66/_xlpm.DepreciationMonths,0))</f>
        <v>0</v>
      </c>
      <c r="BQ66" s="507" cm="1">
        <f t="array" ref="BQ66">_xlfn.LET(_xlpm.DepreciationMonths,INDEX(FixedAssets[Depreciation
/ Amortization Months],_xlfn.XMATCH($E$33,FixedAssets[Asset ID])),IF(AND((_xlfn.XMATCH(BQ$8,$AH$8:$CC$8))-_xlfn.XMATCH($C66,$C$35:$C$82)+1&lt;=_xlpm.DepreciationMonths,$C66&lt;=BQ$8),$E66/_xlpm.DepreciationMonths,0))</f>
        <v>0</v>
      </c>
      <c r="BR66" s="507" cm="1">
        <f t="array" ref="BR66">_xlfn.LET(_xlpm.DepreciationMonths,INDEX(FixedAssets[Depreciation
/ Amortization Months],_xlfn.XMATCH($E$33,FixedAssets[Asset ID])),IF(AND((_xlfn.XMATCH(BR$8,$AH$8:$CC$8))-_xlfn.XMATCH($C66,$C$35:$C$82)+1&lt;=_xlpm.DepreciationMonths,$C66&lt;=BR$8),$E66/_xlpm.DepreciationMonths,0))</f>
        <v>0</v>
      </c>
      <c r="BS66" s="507" cm="1">
        <f t="array" ref="BS66">_xlfn.LET(_xlpm.DepreciationMonths,INDEX(FixedAssets[Depreciation
/ Amortization Months],_xlfn.XMATCH($E$33,FixedAssets[Asset ID])),IF(AND((_xlfn.XMATCH(BS$8,$AH$8:$CC$8))-_xlfn.XMATCH($C66,$C$35:$C$82)+1&lt;=_xlpm.DepreciationMonths,$C66&lt;=BS$8),$E66/_xlpm.DepreciationMonths,0))</f>
        <v>0</v>
      </c>
      <c r="BT66" s="507" cm="1">
        <f t="array" ref="BT66">_xlfn.LET(_xlpm.DepreciationMonths,INDEX(FixedAssets[Depreciation
/ Amortization Months],_xlfn.XMATCH($E$33,FixedAssets[Asset ID])),IF(AND((_xlfn.XMATCH(BT$8,$AH$8:$CC$8))-_xlfn.XMATCH($C66,$C$35:$C$82)+1&lt;=_xlpm.DepreciationMonths,$C66&lt;=BT$8),$E66/_xlpm.DepreciationMonths,0))</f>
        <v>0</v>
      </c>
      <c r="BU66" s="507" cm="1">
        <f t="array" ref="BU66">_xlfn.LET(_xlpm.DepreciationMonths,INDEX(FixedAssets[Depreciation
/ Amortization Months],_xlfn.XMATCH($E$33,FixedAssets[Asset ID])),IF(AND((_xlfn.XMATCH(BU$8,$AH$8:$CC$8))-_xlfn.XMATCH($C66,$C$35:$C$82)+1&lt;=_xlpm.DepreciationMonths,$C66&lt;=BU$8),$E66/_xlpm.DepreciationMonths,0))</f>
        <v>0</v>
      </c>
      <c r="BV66" s="507" cm="1">
        <f t="array" ref="BV66">_xlfn.LET(_xlpm.DepreciationMonths,INDEX(FixedAssets[Depreciation
/ Amortization Months],_xlfn.XMATCH($E$33,FixedAssets[Asset ID])),IF(AND((_xlfn.XMATCH(BV$8,$AH$8:$CC$8))-_xlfn.XMATCH($C66,$C$35:$C$82)+1&lt;=_xlpm.DepreciationMonths,$C66&lt;=BV$8),$E66/_xlpm.DepreciationMonths,0))</f>
        <v>0</v>
      </c>
      <c r="BW66" s="507" cm="1">
        <f t="array" ref="BW66">_xlfn.LET(_xlpm.DepreciationMonths,INDEX(FixedAssets[Depreciation
/ Amortization Months],_xlfn.XMATCH($E$33,FixedAssets[Asset ID])),IF(AND((_xlfn.XMATCH(BW$8,$AH$8:$CC$8))-_xlfn.XMATCH($C66,$C$35:$C$82)+1&lt;=_xlpm.DepreciationMonths,$C66&lt;=BW$8),$E66/_xlpm.DepreciationMonths,0))</f>
        <v>0</v>
      </c>
      <c r="BX66" s="507" cm="1">
        <f t="array" ref="BX66">_xlfn.LET(_xlpm.DepreciationMonths,INDEX(FixedAssets[Depreciation
/ Amortization Months],_xlfn.XMATCH($E$33,FixedAssets[Asset ID])),IF(AND((_xlfn.XMATCH(BX$8,$AH$8:$CC$8))-_xlfn.XMATCH($C66,$C$35:$C$82)+1&lt;=_xlpm.DepreciationMonths,$C66&lt;=BX$8),$E66/_xlpm.DepreciationMonths,0))</f>
        <v>0</v>
      </c>
      <c r="BY66" s="507" cm="1">
        <f t="array" ref="BY66">_xlfn.LET(_xlpm.DepreciationMonths,INDEX(FixedAssets[Depreciation
/ Amortization Months],_xlfn.XMATCH($E$33,FixedAssets[Asset ID])),IF(AND((_xlfn.XMATCH(BY$8,$AH$8:$CC$8))-_xlfn.XMATCH($C66,$C$35:$C$82)+1&lt;=_xlpm.DepreciationMonths,$C66&lt;=BY$8),$E66/_xlpm.DepreciationMonths,0))</f>
        <v>0</v>
      </c>
      <c r="BZ66" s="507" cm="1">
        <f t="array" ref="BZ66">_xlfn.LET(_xlpm.DepreciationMonths,INDEX(FixedAssets[Depreciation
/ Amortization Months],_xlfn.XMATCH($E$33,FixedAssets[Asset ID])),IF(AND((_xlfn.XMATCH(BZ$8,$AH$8:$CC$8))-_xlfn.XMATCH($C66,$C$35:$C$82)+1&lt;=_xlpm.DepreciationMonths,$C66&lt;=BZ$8),$E66/_xlpm.DepreciationMonths,0))</f>
        <v>0</v>
      </c>
      <c r="CA66" s="507" cm="1">
        <f t="array" ref="CA66">_xlfn.LET(_xlpm.DepreciationMonths,INDEX(FixedAssets[Depreciation
/ Amortization Months],_xlfn.XMATCH($E$33,FixedAssets[Asset ID])),IF(AND((_xlfn.XMATCH(CA$8,$AH$8:$CC$8))-_xlfn.XMATCH($C66,$C$35:$C$82)+1&lt;=_xlpm.DepreciationMonths,$C66&lt;=CA$8),$E66/_xlpm.DepreciationMonths,0))</f>
        <v>0</v>
      </c>
      <c r="CB66" s="507" cm="1">
        <f t="array" ref="CB66">_xlfn.LET(_xlpm.DepreciationMonths,INDEX(FixedAssets[Depreciation
/ Amortization Months],_xlfn.XMATCH($E$33,FixedAssets[Asset ID])),IF(AND((_xlfn.XMATCH(CB$8,$AH$8:$CC$8))-_xlfn.XMATCH($C66,$C$35:$C$82)+1&lt;=_xlpm.DepreciationMonths,$C66&lt;=CB$8),$E66/_xlpm.DepreciationMonths,0))</f>
        <v>0</v>
      </c>
      <c r="CC66" s="507" cm="1">
        <f t="array" ref="CC66">_xlfn.LET(_xlpm.DepreciationMonths,INDEX(FixedAssets[Depreciation
/ Amortization Months],_xlfn.XMATCH($E$33,FixedAssets[Asset ID])),IF(AND((_xlfn.XMATCH(CC$8,$AH$8:$CC$8))-_xlfn.XMATCH($C66,$C$35:$C$82)+1&lt;=_xlpm.DepreciationMonths,$C66&lt;=CC$8),$E66/_xlpm.DepreciationMonths,0))</f>
        <v>0</v>
      </c>
    </row>
    <row r="67" spans="3:81" hidden="1" outlineLevel="2">
      <c r="C67" s="664">
        <f t="shared" si="91"/>
        <v>45930</v>
      </c>
      <c r="D67" s="508"/>
      <c r="E67" s="508" cm="1">
        <f t="array" ref="E67">SUMPRODUCT(($AH$26:$CC$31)*($AH$5:$CC$5=$C67)*($E$26:$E$31=E$33))-SUMPRODUCT(($AH$26:$CC$31)*($AH$5:$CC$5=EOMONTH($C67,-1))*($E$26:$E$31=E$33))</f>
        <v>0</v>
      </c>
      <c r="F67" s="508"/>
      <c r="G67" s="508"/>
      <c r="H67" s="508"/>
      <c r="I67" s="508"/>
      <c r="J67" s="504">
        <f t="shared" si="88"/>
        <v>0</v>
      </c>
      <c r="K67" s="504">
        <f t="shared" ref="K67:M82" si="96">SUMIFS($AH67:$CC67,$AH$4:$CC$4,"&gt;="&amp;K$4,$AH$5:$CC$5,"&lt;="&amp;K$5)</f>
        <v>0</v>
      </c>
      <c r="L67" s="504">
        <f t="shared" si="96"/>
        <v>0</v>
      </c>
      <c r="M67" s="504">
        <f t="shared" si="96"/>
        <v>0</v>
      </c>
      <c r="N67" s="504"/>
      <c r="O67" s="504"/>
      <c r="P67" s="504">
        <f t="shared" ref="P67:AE82" si="97">SUMIFS($AH67:$CC67,$AH$4:$CC$4,"&gt;="&amp;P$4,$AH$5:$CC$5,"&lt;="&amp;P$5)</f>
        <v>0</v>
      </c>
      <c r="Q67" s="504">
        <f t="shared" si="97"/>
        <v>0</v>
      </c>
      <c r="R67" s="504">
        <f t="shared" si="97"/>
        <v>0</v>
      </c>
      <c r="S67" s="504">
        <f t="shared" si="97"/>
        <v>0</v>
      </c>
      <c r="T67" s="504">
        <f t="shared" si="97"/>
        <v>0</v>
      </c>
      <c r="U67" s="504">
        <f t="shared" si="97"/>
        <v>0</v>
      </c>
      <c r="V67" s="504">
        <f t="shared" si="97"/>
        <v>0</v>
      </c>
      <c r="W67" s="504">
        <f t="shared" si="97"/>
        <v>0</v>
      </c>
      <c r="X67" s="504">
        <f t="shared" si="97"/>
        <v>0</v>
      </c>
      <c r="Y67" s="504">
        <f t="shared" si="97"/>
        <v>0</v>
      </c>
      <c r="Z67" s="504">
        <f t="shared" si="97"/>
        <v>0</v>
      </c>
      <c r="AA67" s="504">
        <f t="shared" si="97"/>
        <v>0</v>
      </c>
      <c r="AB67" s="504">
        <f t="shared" si="97"/>
        <v>0</v>
      </c>
      <c r="AC67" s="504">
        <f t="shared" si="97"/>
        <v>0</v>
      </c>
      <c r="AD67" s="504">
        <f t="shared" si="97"/>
        <v>0</v>
      </c>
      <c r="AE67" s="504">
        <f t="shared" si="97"/>
        <v>0</v>
      </c>
      <c r="AF67" s="508"/>
      <c r="AG67" s="508"/>
      <c r="AH67" s="507" cm="1">
        <f t="array" ref="AH67">_xlfn.LET(_xlpm.DepreciationMonths,INDEX(FixedAssets[Depreciation
/ Amortization Months],_xlfn.XMATCH($E$33,FixedAssets[Asset ID])),IF(AND((_xlfn.XMATCH(AH$8,$AH$8:$CC$8))-_xlfn.XMATCH($C67,$C$35:$C$82)+1&lt;=_xlpm.DepreciationMonths,$C67&lt;=AH$8),$E67/_xlpm.DepreciationMonths,0))</f>
        <v>0</v>
      </c>
      <c r="AI67" s="507" cm="1">
        <f t="array" ref="AI67">_xlfn.LET(_xlpm.DepreciationMonths,INDEX(FixedAssets[Depreciation
/ Amortization Months],_xlfn.XMATCH($E$33,FixedAssets[Asset ID])),IF(AND((_xlfn.XMATCH(AI$8,$AH$8:$CC$8))-_xlfn.XMATCH($C67,$C$35:$C$82)+1&lt;=_xlpm.DepreciationMonths,$C67&lt;=AI$8),$E67/_xlpm.DepreciationMonths,0))</f>
        <v>0</v>
      </c>
      <c r="AJ67" s="507" cm="1">
        <f t="array" ref="AJ67">_xlfn.LET(_xlpm.DepreciationMonths,INDEX(FixedAssets[Depreciation
/ Amortization Months],_xlfn.XMATCH($E$33,FixedAssets[Asset ID])),IF(AND((_xlfn.XMATCH(AJ$8,$AH$8:$CC$8))-_xlfn.XMATCH($C67,$C$35:$C$82)+1&lt;=_xlpm.DepreciationMonths,$C67&lt;=AJ$8),$E67/_xlpm.DepreciationMonths,0))</f>
        <v>0</v>
      </c>
      <c r="AK67" s="507" cm="1">
        <f t="array" ref="AK67">_xlfn.LET(_xlpm.DepreciationMonths,INDEX(FixedAssets[Depreciation
/ Amortization Months],_xlfn.XMATCH($E$33,FixedAssets[Asset ID])),IF(AND((_xlfn.XMATCH(AK$8,$AH$8:$CC$8))-_xlfn.XMATCH($C67,$C$35:$C$82)+1&lt;=_xlpm.DepreciationMonths,$C67&lt;=AK$8),$E67/_xlpm.DepreciationMonths,0))</f>
        <v>0</v>
      </c>
      <c r="AL67" s="507" cm="1">
        <f t="array" ref="AL67">_xlfn.LET(_xlpm.DepreciationMonths,INDEX(FixedAssets[Depreciation
/ Amortization Months],_xlfn.XMATCH($E$33,FixedAssets[Asset ID])),IF(AND((_xlfn.XMATCH(AL$8,$AH$8:$CC$8))-_xlfn.XMATCH($C67,$C$35:$C$82)+1&lt;=_xlpm.DepreciationMonths,$C67&lt;=AL$8),$E67/_xlpm.DepreciationMonths,0))</f>
        <v>0</v>
      </c>
      <c r="AM67" s="507" cm="1">
        <f t="array" ref="AM67">_xlfn.LET(_xlpm.DepreciationMonths,INDEX(FixedAssets[Depreciation
/ Amortization Months],_xlfn.XMATCH($E$33,FixedAssets[Asset ID])),IF(AND((_xlfn.XMATCH(AM$8,$AH$8:$CC$8))-_xlfn.XMATCH($C67,$C$35:$C$82)+1&lt;=_xlpm.DepreciationMonths,$C67&lt;=AM$8),$E67/_xlpm.DepreciationMonths,0))</f>
        <v>0</v>
      </c>
      <c r="AN67" s="507" cm="1">
        <f t="array" ref="AN67">_xlfn.LET(_xlpm.DepreciationMonths,INDEX(FixedAssets[Depreciation
/ Amortization Months],_xlfn.XMATCH($E$33,FixedAssets[Asset ID])),IF(AND((_xlfn.XMATCH(AN$8,$AH$8:$CC$8))-_xlfn.XMATCH($C67,$C$35:$C$82)+1&lt;=_xlpm.DepreciationMonths,$C67&lt;=AN$8),$E67/_xlpm.DepreciationMonths,0))</f>
        <v>0</v>
      </c>
      <c r="AO67" s="507" cm="1">
        <f t="array" ref="AO67">_xlfn.LET(_xlpm.DepreciationMonths,INDEX(FixedAssets[Depreciation
/ Amortization Months],_xlfn.XMATCH($E$33,FixedAssets[Asset ID])),IF(AND((_xlfn.XMATCH(AO$8,$AH$8:$CC$8))-_xlfn.XMATCH($C67,$C$35:$C$82)+1&lt;=_xlpm.DepreciationMonths,$C67&lt;=AO$8),$E67/_xlpm.DepreciationMonths,0))</f>
        <v>0</v>
      </c>
      <c r="AP67" s="507" cm="1">
        <f t="array" ref="AP67">_xlfn.LET(_xlpm.DepreciationMonths,INDEX(FixedAssets[Depreciation
/ Amortization Months],_xlfn.XMATCH($E$33,FixedAssets[Asset ID])),IF(AND((_xlfn.XMATCH(AP$8,$AH$8:$CC$8))-_xlfn.XMATCH($C67,$C$35:$C$82)+1&lt;=_xlpm.DepreciationMonths,$C67&lt;=AP$8),$E67/_xlpm.DepreciationMonths,0))</f>
        <v>0</v>
      </c>
      <c r="AQ67" s="507" cm="1">
        <f t="array" ref="AQ67">_xlfn.LET(_xlpm.DepreciationMonths,INDEX(FixedAssets[Depreciation
/ Amortization Months],_xlfn.XMATCH($E$33,FixedAssets[Asset ID])),IF(AND((_xlfn.XMATCH(AQ$8,$AH$8:$CC$8))-_xlfn.XMATCH($C67,$C$35:$C$82)+1&lt;=_xlpm.DepreciationMonths,$C67&lt;=AQ$8),$E67/_xlpm.DepreciationMonths,0))</f>
        <v>0</v>
      </c>
      <c r="AR67" s="507" cm="1">
        <f t="array" ref="AR67">_xlfn.LET(_xlpm.DepreciationMonths,INDEX(FixedAssets[Depreciation
/ Amortization Months],_xlfn.XMATCH($E$33,FixedAssets[Asset ID])),IF(AND((_xlfn.XMATCH(AR$8,$AH$8:$CC$8))-_xlfn.XMATCH($C67,$C$35:$C$82)+1&lt;=_xlpm.DepreciationMonths,$C67&lt;=AR$8),$E67/_xlpm.DepreciationMonths,0))</f>
        <v>0</v>
      </c>
      <c r="AS67" s="507" cm="1">
        <f t="array" ref="AS67">_xlfn.LET(_xlpm.DepreciationMonths,INDEX(FixedAssets[Depreciation
/ Amortization Months],_xlfn.XMATCH($E$33,FixedAssets[Asset ID])),IF(AND((_xlfn.XMATCH(AS$8,$AH$8:$CC$8))-_xlfn.XMATCH($C67,$C$35:$C$82)+1&lt;=_xlpm.DepreciationMonths,$C67&lt;=AS$8),$E67/_xlpm.DepreciationMonths,0))</f>
        <v>0</v>
      </c>
      <c r="AT67" s="507" cm="1">
        <f t="array" ref="AT67">_xlfn.LET(_xlpm.DepreciationMonths,INDEX(FixedAssets[Depreciation
/ Amortization Months],_xlfn.XMATCH($E$33,FixedAssets[Asset ID])),IF(AND((_xlfn.XMATCH(AT$8,$AH$8:$CC$8))-_xlfn.XMATCH($C67,$C$35:$C$82)+1&lt;=_xlpm.DepreciationMonths,$C67&lt;=AT$8),$E67/_xlpm.DepreciationMonths,0))</f>
        <v>0</v>
      </c>
      <c r="AU67" s="507" cm="1">
        <f t="array" ref="AU67">_xlfn.LET(_xlpm.DepreciationMonths,INDEX(FixedAssets[Depreciation
/ Amortization Months],_xlfn.XMATCH($E$33,FixedAssets[Asset ID])),IF(AND((_xlfn.XMATCH(AU$8,$AH$8:$CC$8))-_xlfn.XMATCH($C67,$C$35:$C$82)+1&lt;=_xlpm.DepreciationMonths,$C67&lt;=AU$8),$E67/_xlpm.DepreciationMonths,0))</f>
        <v>0</v>
      </c>
      <c r="AV67" s="507" cm="1">
        <f t="array" ref="AV67">_xlfn.LET(_xlpm.DepreciationMonths,INDEX(FixedAssets[Depreciation
/ Amortization Months],_xlfn.XMATCH($E$33,FixedAssets[Asset ID])),IF(AND((_xlfn.XMATCH(AV$8,$AH$8:$CC$8))-_xlfn.XMATCH($C67,$C$35:$C$82)+1&lt;=_xlpm.DepreciationMonths,$C67&lt;=AV$8),$E67/_xlpm.DepreciationMonths,0))</f>
        <v>0</v>
      </c>
      <c r="AW67" s="507" cm="1">
        <f t="array" ref="AW67">_xlfn.LET(_xlpm.DepreciationMonths,INDEX(FixedAssets[Depreciation
/ Amortization Months],_xlfn.XMATCH($E$33,FixedAssets[Asset ID])),IF(AND((_xlfn.XMATCH(AW$8,$AH$8:$CC$8))-_xlfn.XMATCH($C67,$C$35:$C$82)+1&lt;=_xlpm.DepreciationMonths,$C67&lt;=AW$8),$E67/_xlpm.DepreciationMonths,0))</f>
        <v>0</v>
      </c>
      <c r="AX67" s="507" cm="1">
        <f t="array" ref="AX67">_xlfn.LET(_xlpm.DepreciationMonths,INDEX(FixedAssets[Depreciation
/ Amortization Months],_xlfn.XMATCH($E$33,FixedAssets[Asset ID])),IF(AND((_xlfn.XMATCH(AX$8,$AH$8:$CC$8))-_xlfn.XMATCH($C67,$C$35:$C$82)+1&lt;=_xlpm.DepreciationMonths,$C67&lt;=AX$8),$E67/_xlpm.DepreciationMonths,0))</f>
        <v>0</v>
      </c>
      <c r="AY67" s="507" cm="1">
        <f t="array" ref="AY67">_xlfn.LET(_xlpm.DepreciationMonths,INDEX(FixedAssets[Depreciation
/ Amortization Months],_xlfn.XMATCH($E$33,FixedAssets[Asset ID])),IF(AND((_xlfn.XMATCH(AY$8,$AH$8:$CC$8))-_xlfn.XMATCH($C67,$C$35:$C$82)+1&lt;=_xlpm.DepreciationMonths,$C67&lt;=AY$8),$E67/_xlpm.DepreciationMonths,0))</f>
        <v>0</v>
      </c>
      <c r="AZ67" s="507" cm="1">
        <f t="array" ref="AZ67">_xlfn.LET(_xlpm.DepreciationMonths,INDEX(FixedAssets[Depreciation
/ Amortization Months],_xlfn.XMATCH($E$33,FixedAssets[Asset ID])),IF(AND((_xlfn.XMATCH(AZ$8,$AH$8:$CC$8))-_xlfn.XMATCH($C67,$C$35:$C$82)+1&lt;=_xlpm.DepreciationMonths,$C67&lt;=AZ$8),$E67/_xlpm.DepreciationMonths,0))</f>
        <v>0</v>
      </c>
      <c r="BA67" s="507" cm="1">
        <f t="array" ref="BA67">_xlfn.LET(_xlpm.DepreciationMonths,INDEX(FixedAssets[Depreciation
/ Amortization Months],_xlfn.XMATCH($E$33,FixedAssets[Asset ID])),IF(AND((_xlfn.XMATCH(BA$8,$AH$8:$CC$8))-_xlfn.XMATCH($C67,$C$35:$C$82)+1&lt;=_xlpm.DepreciationMonths,$C67&lt;=BA$8),$E67/_xlpm.DepreciationMonths,0))</f>
        <v>0</v>
      </c>
      <c r="BB67" s="507" cm="1">
        <f t="array" ref="BB67">_xlfn.LET(_xlpm.DepreciationMonths,INDEX(FixedAssets[Depreciation
/ Amortization Months],_xlfn.XMATCH($E$33,FixedAssets[Asset ID])),IF(AND((_xlfn.XMATCH(BB$8,$AH$8:$CC$8))-_xlfn.XMATCH($C67,$C$35:$C$82)+1&lt;=_xlpm.DepreciationMonths,$C67&lt;=BB$8),$E67/_xlpm.DepreciationMonths,0))</f>
        <v>0</v>
      </c>
      <c r="BC67" s="507" cm="1">
        <f t="array" ref="BC67">_xlfn.LET(_xlpm.DepreciationMonths,INDEX(FixedAssets[Depreciation
/ Amortization Months],_xlfn.XMATCH($E$33,FixedAssets[Asset ID])),IF(AND((_xlfn.XMATCH(BC$8,$AH$8:$CC$8))-_xlfn.XMATCH($C67,$C$35:$C$82)+1&lt;=_xlpm.DepreciationMonths,$C67&lt;=BC$8),$E67/_xlpm.DepreciationMonths,0))</f>
        <v>0</v>
      </c>
      <c r="BD67" s="507" cm="1">
        <f t="array" ref="BD67">_xlfn.LET(_xlpm.DepreciationMonths,INDEX(FixedAssets[Depreciation
/ Amortization Months],_xlfn.XMATCH($E$33,FixedAssets[Asset ID])),IF(AND((_xlfn.XMATCH(BD$8,$AH$8:$CC$8))-_xlfn.XMATCH($C67,$C$35:$C$82)+1&lt;=_xlpm.DepreciationMonths,$C67&lt;=BD$8),$E67/_xlpm.DepreciationMonths,0))</f>
        <v>0</v>
      </c>
      <c r="BE67" s="507" cm="1">
        <f t="array" ref="BE67">_xlfn.LET(_xlpm.DepreciationMonths,INDEX(FixedAssets[Depreciation
/ Amortization Months],_xlfn.XMATCH($E$33,FixedAssets[Asset ID])),IF(AND((_xlfn.XMATCH(BE$8,$AH$8:$CC$8))-_xlfn.XMATCH($C67,$C$35:$C$82)+1&lt;=_xlpm.DepreciationMonths,$C67&lt;=BE$8),$E67/_xlpm.DepreciationMonths,0))</f>
        <v>0</v>
      </c>
      <c r="BF67" s="507" cm="1">
        <f t="array" ref="BF67">_xlfn.LET(_xlpm.DepreciationMonths,INDEX(FixedAssets[Depreciation
/ Amortization Months],_xlfn.XMATCH($E$33,FixedAssets[Asset ID])),IF(AND((_xlfn.XMATCH(BF$8,$AH$8:$CC$8))-_xlfn.XMATCH($C67,$C$35:$C$82)+1&lt;=_xlpm.DepreciationMonths,$C67&lt;=BF$8),$E67/_xlpm.DepreciationMonths,0))</f>
        <v>0</v>
      </c>
      <c r="BG67" s="507" cm="1">
        <f t="array" ref="BG67">_xlfn.LET(_xlpm.DepreciationMonths,INDEX(FixedAssets[Depreciation
/ Amortization Months],_xlfn.XMATCH($E$33,FixedAssets[Asset ID])),IF(AND((_xlfn.XMATCH(BG$8,$AH$8:$CC$8))-_xlfn.XMATCH($C67,$C$35:$C$82)+1&lt;=_xlpm.DepreciationMonths,$C67&lt;=BG$8),$E67/_xlpm.DepreciationMonths,0))</f>
        <v>0</v>
      </c>
      <c r="BH67" s="507" cm="1">
        <f t="array" ref="BH67">_xlfn.LET(_xlpm.DepreciationMonths,INDEX(FixedAssets[Depreciation
/ Amortization Months],_xlfn.XMATCH($E$33,FixedAssets[Asset ID])),IF(AND((_xlfn.XMATCH(BH$8,$AH$8:$CC$8))-_xlfn.XMATCH($C67,$C$35:$C$82)+1&lt;=_xlpm.DepreciationMonths,$C67&lt;=BH$8),$E67/_xlpm.DepreciationMonths,0))</f>
        <v>0</v>
      </c>
      <c r="BI67" s="507" cm="1">
        <f t="array" ref="BI67">_xlfn.LET(_xlpm.DepreciationMonths,INDEX(FixedAssets[Depreciation
/ Amortization Months],_xlfn.XMATCH($E$33,FixedAssets[Asset ID])),IF(AND((_xlfn.XMATCH(BI$8,$AH$8:$CC$8))-_xlfn.XMATCH($C67,$C$35:$C$82)+1&lt;=_xlpm.DepreciationMonths,$C67&lt;=BI$8),$E67/_xlpm.DepreciationMonths,0))</f>
        <v>0</v>
      </c>
      <c r="BJ67" s="507" cm="1">
        <f t="array" ref="BJ67">_xlfn.LET(_xlpm.DepreciationMonths,INDEX(FixedAssets[Depreciation
/ Amortization Months],_xlfn.XMATCH($E$33,FixedAssets[Asset ID])),IF(AND((_xlfn.XMATCH(BJ$8,$AH$8:$CC$8))-_xlfn.XMATCH($C67,$C$35:$C$82)+1&lt;=_xlpm.DepreciationMonths,$C67&lt;=BJ$8),$E67/_xlpm.DepreciationMonths,0))</f>
        <v>0</v>
      </c>
      <c r="BK67" s="507" cm="1">
        <f t="array" ref="BK67">_xlfn.LET(_xlpm.DepreciationMonths,INDEX(FixedAssets[Depreciation
/ Amortization Months],_xlfn.XMATCH($E$33,FixedAssets[Asset ID])),IF(AND((_xlfn.XMATCH(BK$8,$AH$8:$CC$8))-_xlfn.XMATCH($C67,$C$35:$C$82)+1&lt;=_xlpm.DepreciationMonths,$C67&lt;=BK$8),$E67/_xlpm.DepreciationMonths,0))</f>
        <v>0</v>
      </c>
      <c r="BL67" s="507" cm="1">
        <f t="array" ref="BL67">_xlfn.LET(_xlpm.DepreciationMonths,INDEX(FixedAssets[Depreciation
/ Amortization Months],_xlfn.XMATCH($E$33,FixedAssets[Asset ID])),IF(AND((_xlfn.XMATCH(BL$8,$AH$8:$CC$8))-_xlfn.XMATCH($C67,$C$35:$C$82)+1&lt;=_xlpm.DepreciationMonths,$C67&lt;=BL$8),$E67/_xlpm.DepreciationMonths,0))</f>
        <v>0</v>
      </c>
      <c r="BM67" s="507" cm="1">
        <f t="array" ref="BM67">_xlfn.LET(_xlpm.DepreciationMonths,INDEX(FixedAssets[Depreciation
/ Amortization Months],_xlfn.XMATCH($E$33,FixedAssets[Asset ID])),IF(AND((_xlfn.XMATCH(BM$8,$AH$8:$CC$8))-_xlfn.XMATCH($C67,$C$35:$C$82)+1&lt;=_xlpm.DepreciationMonths,$C67&lt;=BM$8),$E67/_xlpm.DepreciationMonths,0))</f>
        <v>0</v>
      </c>
      <c r="BN67" s="507" cm="1">
        <f t="array" ref="BN67">_xlfn.LET(_xlpm.DepreciationMonths,INDEX(FixedAssets[Depreciation
/ Amortization Months],_xlfn.XMATCH($E$33,FixedAssets[Asset ID])),IF(AND((_xlfn.XMATCH(BN$8,$AH$8:$CC$8))-_xlfn.XMATCH($C67,$C$35:$C$82)+1&lt;=_xlpm.DepreciationMonths,$C67&lt;=BN$8),$E67/_xlpm.DepreciationMonths,0))</f>
        <v>0</v>
      </c>
      <c r="BO67" s="507" cm="1">
        <f t="array" ref="BO67">_xlfn.LET(_xlpm.DepreciationMonths,INDEX(FixedAssets[Depreciation
/ Amortization Months],_xlfn.XMATCH($E$33,FixedAssets[Asset ID])),IF(AND((_xlfn.XMATCH(BO$8,$AH$8:$CC$8))-_xlfn.XMATCH($C67,$C$35:$C$82)+1&lt;=_xlpm.DepreciationMonths,$C67&lt;=BO$8),$E67/_xlpm.DepreciationMonths,0))</f>
        <v>0</v>
      </c>
      <c r="BP67" s="507" cm="1">
        <f t="array" ref="BP67">_xlfn.LET(_xlpm.DepreciationMonths,INDEX(FixedAssets[Depreciation
/ Amortization Months],_xlfn.XMATCH($E$33,FixedAssets[Asset ID])),IF(AND((_xlfn.XMATCH(BP$8,$AH$8:$CC$8))-_xlfn.XMATCH($C67,$C$35:$C$82)+1&lt;=_xlpm.DepreciationMonths,$C67&lt;=BP$8),$E67/_xlpm.DepreciationMonths,0))</f>
        <v>0</v>
      </c>
      <c r="BQ67" s="507" cm="1">
        <f t="array" ref="BQ67">_xlfn.LET(_xlpm.DepreciationMonths,INDEX(FixedAssets[Depreciation
/ Amortization Months],_xlfn.XMATCH($E$33,FixedAssets[Asset ID])),IF(AND((_xlfn.XMATCH(BQ$8,$AH$8:$CC$8))-_xlfn.XMATCH($C67,$C$35:$C$82)+1&lt;=_xlpm.DepreciationMonths,$C67&lt;=BQ$8),$E67/_xlpm.DepreciationMonths,0))</f>
        <v>0</v>
      </c>
      <c r="BR67" s="507" cm="1">
        <f t="array" ref="BR67">_xlfn.LET(_xlpm.DepreciationMonths,INDEX(FixedAssets[Depreciation
/ Amortization Months],_xlfn.XMATCH($E$33,FixedAssets[Asset ID])),IF(AND((_xlfn.XMATCH(BR$8,$AH$8:$CC$8))-_xlfn.XMATCH($C67,$C$35:$C$82)+1&lt;=_xlpm.DepreciationMonths,$C67&lt;=BR$8),$E67/_xlpm.DepreciationMonths,0))</f>
        <v>0</v>
      </c>
      <c r="BS67" s="507" cm="1">
        <f t="array" ref="BS67">_xlfn.LET(_xlpm.DepreciationMonths,INDEX(FixedAssets[Depreciation
/ Amortization Months],_xlfn.XMATCH($E$33,FixedAssets[Asset ID])),IF(AND((_xlfn.XMATCH(BS$8,$AH$8:$CC$8))-_xlfn.XMATCH($C67,$C$35:$C$82)+1&lt;=_xlpm.DepreciationMonths,$C67&lt;=BS$8),$E67/_xlpm.DepreciationMonths,0))</f>
        <v>0</v>
      </c>
      <c r="BT67" s="507" cm="1">
        <f t="array" ref="BT67">_xlfn.LET(_xlpm.DepreciationMonths,INDEX(FixedAssets[Depreciation
/ Amortization Months],_xlfn.XMATCH($E$33,FixedAssets[Asset ID])),IF(AND((_xlfn.XMATCH(BT$8,$AH$8:$CC$8))-_xlfn.XMATCH($C67,$C$35:$C$82)+1&lt;=_xlpm.DepreciationMonths,$C67&lt;=BT$8),$E67/_xlpm.DepreciationMonths,0))</f>
        <v>0</v>
      </c>
      <c r="BU67" s="507" cm="1">
        <f t="array" ref="BU67">_xlfn.LET(_xlpm.DepreciationMonths,INDEX(FixedAssets[Depreciation
/ Amortization Months],_xlfn.XMATCH($E$33,FixedAssets[Asset ID])),IF(AND((_xlfn.XMATCH(BU$8,$AH$8:$CC$8))-_xlfn.XMATCH($C67,$C$35:$C$82)+1&lt;=_xlpm.DepreciationMonths,$C67&lt;=BU$8),$E67/_xlpm.DepreciationMonths,0))</f>
        <v>0</v>
      </c>
      <c r="BV67" s="507" cm="1">
        <f t="array" ref="BV67">_xlfn.LET(_xlpm.DepreciationMonths,INDEX(FixedAssets[Depreciation
/ Amortization Months],_xlfn.XMATCH($E$33,FixedAssets[Asset ID])),IF(AND((_xlfn.XMATCH(BV$8,$AH$8:$CC$8))-_xlfn.XMATCH($C67,$C$35:$C$82)+1&lt;=_xlpm.DepreciationMonths,$C67&lt;=BV$8),$E67/_xlpm.DepreciationMonths,0))</f>
        <v>0</v>
      </c>
      <c r="BW67" s="507" cm="1">
        <f t="array" ref="BW67">_xlfn.LET(_xlpm.DepreciationMonths,INDEX(FixedAssets[Depreciation
/ Amortization Months],_xlfn.XMATCH($E$33,FixedAssets[Asset ID])),IF(AND((_xlfn.XMATCH(BW$8,$AH$8:$CC$8))-_xlfn.XMATCH($C67,$C$35:$C$82)+1&lt;=_xlpm.DepreciationMonths,$C67&lt;=BW$8),$E67/_xlpm.DepreciationMonths,0))</f>
        <v>0</v>
      </c>
      <c r="BX67" s="507" cm="1">
        <f t="array" ref="BX67">_xlfn.LET(_xlpm.DepreciationMonths,INDEX(FixedAssets[Depreciation
/ Amortization Months],_xlfn.XMATCH($E$33,FixedAssets[Asset ID])),IF(AND((_xlfn.XMATCH(BX$8,$AH$8:$CC$8))-_xlfn.XMATCH($C67,$C$35:$C$82)+1&lt;=_xlpm.DepreciationMonths,$C67&lt;=BX$8),$E67/_xlpm.DepreciationMonths,0))</f>
        <v>0</v>
      </c>
      <c r="BY67" s="507" cm="1">
        <f t="array" ref="BY67">_xlfn.LET(_xlpm.DepreciationMonths,INDEX(FixedAssets[Depreciation
/ Amortization Months],_xlfn.XMATCH($E$33,FixedAssets[Asset ID])),IF(AND((_xlfn.XMATCH(BY$8,$AH$8:$CC$8))-_xlfn.XMATCH($C67,$C$35:$C$82)+1&lt;=_xlpm.DepreciationMonths,$C67&lt;=BY$8),$E67/_xlpm.DepreciationMonths,0))</f>
        <v>0</v>
      </c>
      <c r="BZ67" s="507" cm="1">
        <f t="array" ref="BZ67">_xlfn.LET(_xlpm.DepreciationMonths,INDEX(FixedAssets[Depreciation
/ Amortization Months],_xlfn.XMATCH($E$33,FixedAssets[Asset ID])),IF(AND((_xlfn.XMATCH(BZ$8,$AH$8:$CC$8))-_xlfn.XMATCH($C67,$C$35:$C$82)+1&lt;=_xlpm.DepreciationMonths,$C67&lt;=BZ$8),$E67/_xlpm.DepreciationMonths,0))</f>
        <v>0</v>
      </c>
      <c r="CA67" s="507" cm="1">
        <f t="array" ref="CA67">_xlfn.LET(_xlpm.DepreciationMonths,INDEX(FixedAssets[Depreciation
/ Amortization Months],_xlfn.XMATCH($E$33,FixedAssets[Asset ID])),IF(AND((_xlfn.XMATCH(CA$8,$AH$8:$CC$8))-_xlfn.XMATCH($C67,$C$35:$C$82)+1&lt;=_xlpm.DepreciationMonths,$C67&lt;=CA$8),$E67/_xlpm.DepreciationMonths,0))</f>
        <v>0</v>
      </c>
      <c r="CB67" s="507" cm="1">
        <f t="array" ref="CB67">_xlfn.LET(_xlpm.DepreciationMonths,INDEX(FixedAssets[Depreciation
/ Amortization Months],_xlfn.XMATCH($E$33,FixedAssets[Asset ID])),IF(AND((_xlfn.XMATCH(CB$8,$AH$8:$CC$8))-_xlfn.XMATCH($C67,$C$35:$C$82)+1&lt;=_xlpm.DepreciationMonths,$C67&lt;=CB$8),$E67/_xlpm.DepreciationMonths,0))</f>
        <v>0</v>
      </c>
      <c r="CC67" s="507" cm="1">
        <f t="array" ref="CC67">_xlfn.LET(_xlpm.DepreciationMonths,INDEX(FixedAssets[Depreciation
/ Amortization Months],_xlfn.XMATCH($E$33,FixedAssets[Asset ID])),IF(AND((_xlfn.XMATCH(CC$8,$AH$8:$CC$8))-_xlfn.XMATCH($C67,$C$35:$C$82)+1&lt;=_xlpm.DepreciationMonths,$C67&lt;=CC$8),$E67/_xlpm.DepreciationMonths,0))</f>
        <v>0</v>
      </c>
    </row>
    <row r="68" spans="3:81" hidden="1" outlineLevel="2">
      <c r="C68" s="664">
        <f t="shared" si="91"/>
        <v>45961</v>
      </c>
      <c r="D68" s="508"/>
      <c r="E68" s="508" cm="1">
        <f t="array" ref="E68">SUMPRODUCT(($AH$26:$CC$31)*($AH$5:$CC$5=$C68)*($E$26:$E$31=E$33))-SUMPRODUCT(($AH$26:$CC$31)*($AH$5:$CC$5=EOMONTH($C68,-1))*($E$26:$E$31=E$33))</f>
        <v>0</v>
      </c>
      <c r="F68" s="508"/>
      <c r="G68" s="508"/>
      <c r="H68" s="508"/>
      <c r="I68" s="508"/>
      <c r="J68" s="504">
        <f t="shared" si="88"/>
        <v>0</v>
      </c>
      <c r="K68" s="504">
        <f t="shared" si="96"/>
        <v>0</v>
      </c>
      <c r="L68" s="504">
        <f t="shared" si="96"/>
        <v>0</v>
      </c>
      <c r="M68" s="504">
        <f t="shared" si="96"/>
        <v>0</v>
      </c>
      <c r="N68" s="504"/>
      <c r="O68" s="504"/>
      <c r="P68" s="504">
        <f t="shared" si="97"/>
        <v>0</v>
      </c>
      <c r="Q68" s="504">
        <f t="shared" si="97"/>
        <v>0</v>
      </c>
      <c r="R68" s="504">
        <f t="shared" si="97"/>
        <v>0</v>
      </c>
      <c r="S68" s="504">
        <f t="shared" si="97"/>
        <v>0</v>
      </c>
      <c r="T68" s="504">
        <f t="shared" si="97"/>
        <v>0</v>
      </c>
      <c r="U68" s="504">
        <f t="shared" si="97"/>
        <v>0</v>
      </c>
      <c r="V68" s="504">
        <f t="shared" si="97"/>
        <v>0</v>
      </c>
      <c r="W68" s="504">
        <f t="shared" si="97"/>
        <v>0</v>
      </c>
      <c r="X68" s="504">
        <f t="shared" si="97"/>
        <v>0</v>
      </c>
      <c r="Y68" s="504">
        <f t="shared" si="97"/>
        <v>0</v>
      </c>
      <c r="Z68" s="504">
        <f t="shared" si="97"/>
        <v>0</v>
      </c>
      <c r="AA68" s="504">
        <f t="shared" si="97"/>
        <v>0</v>
      </c>
      <c r="AB68" s="504">
        <f t="shared" si="97"/>
        <v>0</v>
      </c>
      <c r="AC68" s="504">
        <f t="shared" si="97"/>
        <v>0</v>
      </c>
      <c r="AD68" s="504">
        <f t="shared" si="97"/>
        <v>0</v>
      </c>
      <c r="AE68" s="504">
        <f t="shared" si="97"/>
        <v>0</v>
      </c>
      <c r="AF68" s="508"/>
      <c r="AG68" s="508"/>
      <c r="AH68" s="507" cm="1">
        <f t="array" ref="AH68">_xlfn.LET(_xlpm.DepreciationMonths,INDEX(FixedAssets[Depreciation
/ Amortization Months],_xlfn.XMATCH($E$33,FixedAssets[Asset ID])),IF(AND((_xlfn.XMATCH(AH$8,$AH$8:$CC$8))-_xlfn.XMATCH($C68,$C$35:$C$82)+1&lt;=_xlpm.DepreciationMonths,$C68&lt;=AH$8),$E68/_xlpm.DepreciationMonths,0))</f>
        <v>0</v>
      </c>
      <c r="AI68" s="507" cm="1">
        <f t="array" ref="AI68">_xlfn.LET(_xlpm.DepreciationMonths,INDEX(FixedAssets[Depreciation
/ Amortization Months],_xlfn.XMATCH($E$33,FixedAssets[Asset ID])),IF(AND((_xlfn.XMATCH(AI$8,$AH$8:$CC$8))-_xlfn.XMATCH($C68,$C$35:$C$82)+1&lt;=_xlpm.DepreciationMonths,$C68&lt;=AI$8),$E68/_xlpm.DepreciationMonths,0))</f>
        <v>0</v>
      </c>
      <c r="AJ68" s="507" cm="1">
        <f t="array" ref="AJ68">_xlfn.LET(_xlpm.DepreciationMonths,INDEX(FixedAssets[Depreciation
/ Amortization Months],_xlfn.XMATCH($E$33,FixedAssets[Asset ID])),IF(AND((_xlfn.XMATCH(AJ$8,$AH$8:$CC$8))-_xlfn.XMATCH($C68,$C$35:$C$82)+1&lt;=_xlpm.DepreciationMonths,$C68&lt;=AJ$8),$E68/_xlpm.DepreciationMonths,0))</f>
        <v>0</v>
      </c>
      <c r="AK68" s="507" cm="1">
        <f t="array" ref="AK68">_xlfn.LET(_xlpm.DepreciationMonths,INDEX(FixedAssets[Depreciation
/ Amortization Months],_xlfn.XMATCH($E$33,FixedAssets[Asset ID])),IF(AND((_xlfn.XMATCH(AK$8,$AH$8:$CC$8))-_xlfn.XMATCH($C68,$C$35:$C$82)+1&lt;=_xlpm.DepreciationMonths,$C68&lt;=AK$8),$E68/_xlpm.DepreciationMonths,0))</f>
        <v>0</v>
      </c>
      <c r="AL68" s="507" cm="1">
        <f t="array" ref="AL68">_xlfn.LET(_xlpm.DepreciationMonths,INDEX(FixedAssets[Depreciation
/ Amortization Months],_xlfn.XMATCH($E$33,FixedAssets[Asset ID])),IF(AND((_xlfn.XMATCH(AL$8,$AH$8:$CC$8))-_xlfn.XMATCH($C68,$C$35:$C$82)+1&lt;=_xlpm.DepreciationMonths,$C68&lt;=AL$8),$E68/_xlpm.DepreciationMonths,0))</f>
        <v>0</v>
      </c>
      <c r="AM68" s="507" cm="1">
        <f t="array" ref="AM68">_xlfn.LET(_xlpm.DepreciationMonths,INDEX(FixedAssets[Depreciation
/ Amortization Months],_xlfn.XMATCH($E$33,FixedAssets[Asset ID])),IF(AND((_xlfn.XMATCH(AM$8,$AH$8:$CC$8))-_xlfn.XMATCH($C68,$C$35:$C$82)+1&lt;=_xlpm.DepreciationMonths,$C68&lt;=AM$8),$E68/_xlpm.DepreciationMonths,0))</f>
        <v>0</v>
      </c>
      <c r="AN68" s="507" cm="1">
        <f t="array" ref="AN68">_xlfn.LET(_xlpm.DepreciationMonths,INDEX(FixedAssets[Depreciation
/ Amortization Months],_xlfn.XMATCH($E$33,FixedAssets[Asset ID])),IF(AND((_xlfn.XMATCH(AN$8,$AH$8:$CC$8))-_xlfn.XMATCH($C68,$C$35:$C$82)+1&lt;=_xlpm.DepreciationMonths,$C68&lt;=AN$8),$E68/_xlpm.DepreciationMonths,0))</f>
        <v>0</v>
      </c>
      <c r="AO68" s="507" cm="1">
        <f t="array" ref="AO68">_xlfn.LET(_xlpm.DepreciationMonths,INDEX(FixedAssets[Depreciation
/ Amortization Months],_xlfn.XMATCH($E$33,FixedAssets[Asset ID])),IF(AND((_xlfn.XMATCH(AO$8,$AH$8:$CC$8))-_xlfn.XMATCH($C68,$C$35:$C$82)+1&lt;=_xlpm.DepreciationMonths,$C68&lt;=AO$8),$E68/_xlpm.DepreciationMonths,0))</f>
        <v>0</v>
      </c>
      <c r="AP68" s="507" cm="1">
        <f t="array" ref="AP68">_xlfn.LET(_xlpm.DepreciationMonths,INDEX(FixedAssets[Depreciation
/ Amortization Months],_xlfn.XMATCH($E$33,FixedAssets[Asset ID])),IF(AND((_xlfn.XMATCH(AP$8,$AH$8:$CC$8))-_xlfn.XMATCH($C68,$C$35:$C$82)+1&lt;=_xlpm.DepreciationMonths,$C68&lt;=AP$8),$E68/_xlpm.DepreciationMonths,0))</f>
        <v>0</v>
      </c>
      <c r="AQ68" s="507" cm="1">
        <f t="array" ref="AQ68">_xlfn.LET(_xlpm.DepreciationMonths,INDEX(FixedAssets[Depreciation
/ Amortization Months],_xlfn.XMATCH($E$33,FixedAssets[Asset ID])),IF(AND((_xlfn.XMATCH(AQ$8,$AH$8:$CC$8))-_xlfn.XMATCH($C68,$C$35:$C$82)+1&lt;=_xlpm.DepreciationMonths,$C68&lt;=AQ$8),$E68/_xlpm.DepreciationMonths,0))</f>
        <v>0</v>
      </c>
      <c r="AR68" s="507" cm="1">
        <f t="array" ref="AR68">_xlfn.LET(_xlpm.DepreciationMonths,INDEX(FixedAssets[Depreciation
/ Amortization Months],_xlfn.XMATCH($E$33,FixedAssets[Asset ID])),IF(AND((_xlfn.XMATCH(AR$8,$AH$8:$CC$8))-_xlfn.XMATCH($C68,$C$35:$C$82)+1&lt;=_xlpm.DepreciationMonths,$C68&lt;=AR$8),$E68/_xlpm.DepreciationMonths,0))</f>
        <v>0</v>
      </c>
      <c r="AS68" s="507" cm="1">
        <f t="array" ref="AS68">_xlfn.LET(_xlpm.DepreciationMonths,INDEX(FixedAssets[Depreciation
/ Amortization Months],_xlfn.XMATCH($E$33,FixedAssets[Asset ID])),IF(AND((_xlfn.XMATCH(AS$8,$AH$8:$CC$8))-_xlfn.XMATCH($C68,$C$35:$C$82)+1&lt;=_xlpm.DepreciationMonths,$C68&lt;=AS$8),$E68/_xlpm.DepreciationMonths,0))</f>
        <v>0</v>
      </c>
      <c r="AT68" s="507" cm="1">
        <f t="array" ref="AT68">_xlfn.LET(_xlpm.DepreciationMonths,INDEX(FixedAssets[Depreciation
/ Amortization Months],_xlfn.XMATCH($E$33,FixedAssets[Asset ID])),IF(AND((_xlfn.XMATCH(AT$8,$AH$8:$CC$8))-_xlfn.XMATCH($C68,$C$35:$C$82)+1&lt;=_xlpm.DepreciationMonths,$C68&lt;=AT$8),$E68/_xlpm.DepreciationMonths,0))</f>
        <v>0</v>
      </c>
      <c r="AU68" s="507" cm="1">
        <f t="array" ref="AU68">_xlfn.LET(_xlpm.DepreciationMonths,INDEX(FixedAssets[Depreciation
/ Amortization Months],_xlfn.XMATCH($E$33,FixedAssets[Asset ID])),IF(AND((_xlfn.XMATCH(AU$8,$AH$8:$CC$8))-_xlfn.XMATCH($C68,$C$35:$C$82)+1&lt;=_xlpm.DepreciationMonths,$C68&lt;=AU$8),$E68/_xlpm.DepreciationMonths,0))</f>
        <v>0</v>
      </c>
      <c r="AV68" s="507" cm="1">
        <f t="array" ref="AV68">_xlfn.LET(_xlpm.DepreciationMonths,INDEX(FixedAssets[Depreciation
/ Amortization Months],_xlfn.XMATCH($E$33,FixedAssets[Asset ID])),IF(AND((_xlfn.XMATCH(AV$8,$AH$8:$CC$8))-_xlfn.XMATCH($C68,$C$35:$C$82)+1&lt;=_xlpm.DepreciationMonths,$C68&lt;=AV$8),$E68/_xlpm.DepreciationMonths,0))</f>
        <v>0</v>
      </c>
      <c r="AW68" s="507" cm="1">
        <f t="array" ref="AW68">_xlfn.LET(_xlpm.DepreciationMonths,INDEX(FixedAssets[Depreciation
/ Amortization Months],_xlfn.XMATCH($E$33,FixedAssets[Asset ID])),IF(AND((_xlfn.XMATCH(AW$8,$AH$8:$CC$8))-_xlfn.XMATCH($C68,$C$35:$C$82)+1&lt;=_xlpm.DepreciationMonths,$C68&lt;=AW$8),$E68/_xlpm.DepreciationMonths,0))</f>
        <v>0</v>
      </c>
      <c r="AX68" s="507" cm="1">
        <f t="array" ref="AX68">_xlfn.LET(_xlpm.DepreciationMonths,INDEX(FixedAssets[Depreciation
/ Amortization Months],_xlfn.XMATCH($E$33,FixedAssets[Asset ID])),IF(AND((_xlfn.XMATCH(AX$8,$AH$8:$CC$8))-_xlfn.XMATCH($C68,$C$35:$C$82)+1&lt;=_xlpm.DepreciationMonths,$C68&lt;=AX$8),$E68/_xlpm.DepreciationMonths,0))</f>
        <v>0</v>
      </c>
      <c r="AY68" s="507" cm="1">
        <f t="array" ref="AY68">_xlfn.LET(_xlpm.DepreciationMonths,INDEX(FixedAssets[Depreciation
/ Amortization Months],_xlfn.XMATCH($E$33,FixedAssets[Asset ID])),IF(AND((_xlfn.XMATCH(AY$8,$AH$8:$CC$8))-_xlfn.XMATCH($C68,$C$35:$C$82)+1&lt;=_xlpm.DepreciationMonths,$C68&lt;=AY$8),$E68/_xlpm.DepreciationMonths,0))</f>
        <v>0</v>
      </c>
      <c r="AZ68" s="507" cm="1">
        <f t="array" ref="AZ68">_xlfn.LET(_xlpm.DepreciationMonths,INDEX(FixedAssets[Depreciation
/ Amortization Months],_xlfn.XMATCH($E$33,FixedAssets[Asset ID])),IF(AND((_xlfn.XMATCH(AZ$8,$AH$8:$CC$8))-_xlfn.XMATCH($C68,$C$35:$C$82)+1&lt;=_xlpm.DepreciationMonths,$C68&lt;=AZ$8),$E68/_xlpm.DepreciationMonths,0))</f>
        <v>0</v>
      </c>
      <c r="BA68" s="507" cm="1">
        <f t="array" ref="BA68">_xlfn.LET(_xlpm.DepreciationMonths,INDEX(FixedAssets[Depreciation
/ Amortization Months],_xlfn.XMATCH($E$33,FixedAssets[Asset ID])),IF(AND((_xlfn.XMATCH(BA$8,$AH$8:$CC$8))-_xlfn.XMATCH($C68,$C$35:$C$82)+1&lt;=_xlpm.DepreciationMonths,$C68&lt;=BA$8),$E68/_xlpm.DepreciationMonths,0))</f>
        <v>0</v>
      </c>
      <c r="BB68" s="507" cm="1">
        <f t="array" ref="BB68">_xlfn.LET(_xlpm.DepreciationMonths,INDEX(FixedAssets[Depreciation
/ Amortization Months],_xlfn.XMATCH($E$33,FixedAssets[Asset ID])),IF(AND((_xlfn.XMATCH(BB$8,$AH$8:$CC$8))-_xlfn.XMATCH($C68,$C$35:$C$82)+1&lt;=_xlpm.DepreciationMonths,$C68&lt;=BB$8),$E68/_xlpm.DepreciationMonths,0))</f>
        <v>0</v>
      </c>
      <c r="BC68" s="507" cm="1">
        <f t="array" ref="BC68">_xlfn.LET(_xlpm.DepreciationMonths,INDEX(FixedAssets[Depreciation
/ Amortization Months],_xlfn.XMATCH($E$33,FixedAssets[Asset ID])),IF(AND((_xlfn.XMATCH(BC$8,$AH$8:$CC$8))-_xlfn.XMATCH($C68,$C$35:$C$82)+1&lt;=_xlpm.DepreciationMonths,$C68&lt;=BC$8),$E68/_xlpm.DepreciationMonths,0))</f>
        <v>0</v>
      </c>
      <c r="BD68" s="507" cm="1">
        <f t="array" ref="BD68">_xlfn.LET(_xlpm.DepreciationMonths,INDEX(FixedAssets[Depreciation
/ Amortization Months],_xlfn.XMATCH($E$33,FixedAssets[Asset ID])),IF(AND((_xlfn.XMATCH(BD$8,$AH$8:$CC$8))-_xlfn.XMATCH($C68,$C$35:$C$82)+1&lt;=_xlpm.DepreciationMonths,$C68&lt;=BD$8),$E68/_xlpm.DepreciationMonths,0))</f>
        <v>0</v>
      </c>
      <c r="BE68" s="507" cm="1">
        <f t="array" ref="BE68">_xlfn.LET(_xlpm.DepreciationMonths,INDEX(FixedAssets[Depreciation
/ Amortization Months],_xlfn.XMATCH($E$33,FixedAssets[Asset ID])),IF(AND((_xlfn.XMATCH(BE$8,$AH$8:$CC$8))-_xlfn.XMATCH($C68,$C$35:$C$82)+1&lt;=_xlpm.DepreciationMonths,$C68&lt;=BE$8),$E68/_xlpm.DepreciationMonths,0))</f>
        <v>0</v>
      </c>
      <c r="BF68" s="507" cm="1">
        <f t="array" ref="BF68">_xlfn.LET(_xlpm.DepreciationMonths,INDEX(FixedAssets[Depreciation
/ Amortization Months],_xlfn.XMATCH($E$33,FixedAssets[Asset ID])),IF(AND((_xlfn.XMATCH(BF$8,$AH$8:$CC$8))-_xlfn.XMATCH($C68,$C$35:$C$82)+1&lt;=_xlpm.DepreciationMonths,$C68&lt;=BF$8),$E68/_xlpm.DepreciationMonths,0))</f>
        <v>0</v>
      </c>
      <c r="BG68" s="507" cm="1">
        <f t="array" ref="BG68">_xlfn.LET(_xlpm.DepreciationMonths,INDEX(FixedAssets[Depreciation
/ Amortization Months],_xlfn.XMATCH($E$33,FixedAssets[Asset ID])),IF(AND((_xlfn.XMATCH(BG$8,$AH$8:$CC$8))-_xlfn.XMATCH($C68,$C$35:$C$82)+1&lt;=_xlpm.DepreciationMonths,$C68&lt;=BG$8),$E68/_xlpm.DepreciationMonths,0))</f>
        <v>0</v>
      </c>
      <c r="BH68" s="507" cm="1">
        <f t="array" ref="BH68">_xlfn.LET(_xlpm.DepreciationMonths,INDEX(FixedAssets[Depreciation
/ Amortization Months],_xlfn.XMATCH($E$33,FixedAssets[Asset ID])),IF(AND((_xlfn.XMATCH(BH$8,$AH$8:$CC$8))-_xlfn.XMATCH($C68,$C$35:$C$82)+1&lt;=_xlpm.DepreciationMonths,$C68&lt;=BH$8),$E68/_xlpm.DepreciationMonths,0))</f>
        <v>0</v>
      </c>
      <c r="BI68" s="507" cm="1">
        <f t="array" ref="BI68">_xlfn.LET(_xlpm.DepreciationMonths,INDEX(FixedAssets[Depreciation
/ Amortization Months],_xlfn.XMATCH($E$33,FixedAssets[Asset ID])),IF(AND((_xlfn.XMATCH(BI$8,$AH$8:$CC$8))-_xlfn.XMATCH($C68,$C$35:$C$82)+1&lt;=_xlpm.DepreciationMonths,$C68&lt;=BI$8),$E68/_xlpm.DepreciationMonths,0))</f>
        <v>0</v>
      </c>
      <c r="BJ68" s="507" cm="1">
        <f t="array" ref="BJ68">_xlfn.LET(_xlpm.DepreciationMonths,INDEX(FixedAssets[Depreciation
/ Amortization Months],_xlfn.XMATCH($E$33,FixedAssets[Asset ID])),IF(AND((_xlfn.XMATCH(BJ$8,$AH$8:$CC$8))-_xlfn.XMATCH($C68,$C$35:$C$82)+1&lt;=_xlpm.DepreciationMonths,$C68&lt;=BJ$8),$E68/_xlpm.DepreciationMonths,0))</f>
        <v>0</v>
      </c>
      <c r="BK68" s="507" cm="1">
        <f t="array" ref="BK68">_xlfn.LET(_xlpm.DepreciationMonths,INDEX(FixedAssets[Depreciation
/ Amortization Months],_xlfn.XMATCH($E$33,FixedAssets[Asset ID])),IF(AND((_xlfn.XMATCH(BK$8,$AH$8:$CC$8))-_xlfn.XMATCH($C68,$C$35:$C$82)+1&lt;=_xlpm.DepreciationMonths,$C68&lt;=BK$8),$E68/_xlpm.DepreciationMonths,0))</f>
        <v>0</v>
      </c>
      <c r="BL68" s="507" cm="1">
        <f t="array" ref="BL68">_xlfn.LET(_xlpm.DepreciationMonths,INDEX(FixedAssets[Depreciation
/ Amortization Months],_xlfn.XMATCH($E$33,FixedAssets[Asset ID])),IF(AND((_xlfn.XMATCH(BL$8,$AH$8:$CC$8))-_xlfn.XMATCH($C68,$C$35:$C$82)+1&lt;=_xlpm.DepreciationMonths,$C68&lt;=BL$8),$E68/_xlpm.DepreciationMonths,0))</f>
        <v>0</v>
      </c>
      <c r="BM68" s="507" cm="1">
        <f t="array" ref="BM68">_xlfn.LET(_xlpm.DepreciationMonths,INDEX(FixedAssets[Depreciation
/ Amortization Months],_xlfn.XMATCH($E$33,FixedAssets[Asset ID])),IF(AND((_xlfn.XMATCH(BM$8,$AH$8:$CC$8))-_xlfn.XMATCH($C68,$C$35:$C$82)+1&lt;=_xlpm.DepreciationMonths,$C68&lt;=BM$8),$E68/_xlpm.DepreciationMonths,0))</f>
        <v>0</v>
      </c>
      <c r="BN68" s="507" cm="1">
        <f t="array" ref="BN68">_xlfn.LET(_xlpm.DepreciationMonths,INDEX(FixedAssets[Depreciation
/ Amortization Months],_xlfn.XMATCH($E$33,FixedAssets[Asset ID])),IF(AND((_xlfn.XMATCH(BN$8,$AH$8:$CC$8))-_xlfn.XMATCH($C68,$C$35:$C$82)+1&lt;=_xlpm.DepreciationMonths,$C68&lt;=BN$8),$E68/_xlpm.DepreciationMonths,0))</f>
        <v>0</v>
      </c>
      <c r="BO68" s="507" cm="1">
        <f t="array" ref="BO68">_xlfn.LET(_xlpm.DepreciationMonths,INDEX(FixedAssets[Depreciation
/ Amortization Months],_xlfn.XMATCH($E$33,FixedAssets[Asset ID])),IF(AND((_xlfn.XMATCH(BO$8,$AH$8:$CC$8))-_xlfn.XMATCH($C68,$C$35:$C$82)+1&lt;=_xlpm.DepreciationMonths,$C68&lt;=BO$8),$E68/_xlpm.DepreciationMonths,0))</f>
        <v>0</v>
      </c>
      <c r="BP68" s="507" cm="1">
        <f t="array" ref="BP68">_xlfn.LET(_xlpm.DepreciationMonths,INDEX(FixedAssets[Depreciation
/ Amortization Months],_xlfn.XMATCH($E$33,FixedAssets[Asset ID])),IF(AND((_xlfn.XMATCH(BP$8,$AH$8:$CC$8))-_xlfn.XMATCH($C68,$C$35:$C$82)+1&lt;=_xlpm.DepreciationMonths,$C68&lt;=BP$8),$E68/_xlpm.DepreciationMonths,0))</f>
        <v>0</v>
      </c>
      <c r="BQ68" s="507" cm="1">
        <f t="array" ref="BQ68">_xlfn.LET(_xlpm.DepreciationMonths,INDEX(FixedAssets[Depreciation
/ Amortization Months],_xlfn.XMATCH($E$33,FixedAssets[Asset ID])),IF(AND((_xlfn.XMATCH(BQ$8,$AH$8:$CC$8))-_xlfn.XMATCH($C68,$C$35:$C$82)+1&lt;=_xlpm.DepreciationMonths,$C68&lt;=BQ$8),$E68/_xlpm.DepreciationMonths,0))</f>
        <v>0</v>
      </c>
      <c r="BR68" s="507" cm="1">
        <f t="array" ref="BR68">_xlfn.LET(_xlpm.DepreciationMonths,INDEX(FixedAssets[Depreciation
/ Amortization Months],_xlfn.XMATCH($E$33,FixedAssets[Asset ID])),IF(AND((_xlfn.XMATCH(BR$8,$AH$8:$CC$8))-_xlfn.XMATCH($C68,$C$35:$C$82)+1&lt;=_xlpm.DepreciationMonths,$C68&lt;=BR$8),$E68/_xlpm.DepreciationMonths,0))</f>
        <v>0</v>
      </c>
      <c r="BS68" s="507" cm="1">
        <f t="array" ref="BS68">_xlfn.LET(_xlpm.DepreciationMonths,INDEX(FixedAssets[Depreciation
/ Amortization Months],_xlfn.XMATCH($E$33,FixedAssets[Asset ID])),IF(AND((_xlfn.XMATCH(BS$8,$AH$8:$CC$8))-_xlfn.XMATCH($C68,$C$35:$C$82)+1&lt;=_xlpm.DepreciationMonths,$C68&lt;=BS$8),$E68/_xlpm.DepreciationMonths,0))</f>
        <v>0</v>
      </c>
      <c r="BT68" s="507" cm="1">
        <f t="array" ref="BT68">_xlfn.LET(_xlpm.DepreciationMonths,INDEX(FixedAssets[Depreciation
/ Amortization Months],_xlfn.XMATCH($E$33,FixedAssets[Asset ID])),IF(AND((_xlfn.XMATCH(BT$8,$AH$8:$CC$8))-_xlfn.XMATCH($C68,$C$35:$C$82)+1&lt;=_xlpm.DepreciationMonths,$C68&lt;=BT$8),$E68/_xlpm.DepreciationMonths,0))</f>
        <v>0</v>
      </c>
      <c r="BU68" s="507" cm="1">
        <f t="array" ref="BU68">_xlfn.LET(_xlpm.DepreciationMonths,INDEX(FixedAssets[Depreciation
/ Amortization Months],_xlfn.XMATCH($E$33,FixedAssets[Asset ID])),IF(AND((_xlfn.XMATCH(BU$8,$AH$8:$CC$8))-_xlfn.XMATCH($C68,$C$35:$C$82)+1&lt;=_xlpm.DepreciationMonths,$C68&lt;=BU$8),$E68/_xlpm.DepreciationMonths,0))</f>
        <v>0</v>
      </c>
      <c r="BV68" s="507" cm="1">
        <f t="array" ref="BV68">_xlfn.LET(_xlpm.DepreciationMonths,INDEX(FixedAssets[Depreciation
/ Amortization Months],_xlfn.XMATCH($E$33,FixedAssets[Asset ID])),IF(AND((_xlfn.XMATCH(BV$8,$AH$8:$CC$8))-_xlfn.XMATCH($C68,$C$35:$C$82)+1&lt;=_xlpm.DepreciationMonths,$C68&lt;=BV$8),$E68/_xlpm.DepreciationMonths,0))</f>
        <v>0</v>
      </c>
      <c r="BW68" s="507" cm="1">
        <f t="array" ref="BW68">_xlfn.LET(_xlpm.DepreciationMonths,INDEX(FixedAssets[Depreciation
/ Amortization Months],_xlfn.XMATCH($E$33,FixedAssets[Asset ID])),IF(AND((_xlfn.XMATCH(BW$8,$AH$8:$CC$8))-_xlfn.XMATCH($C68,$C$35:$C$82)+1&lt;=_xlpm.DepreciationMonths,$C68&lt;=BW$8),$E68/_xlpm.DepreciationMonths,0))</f>
        <v>0</v>
      </c>
      <c r="BX68" s="507" cm="1">
        <f t="array" ref="BX68">_xlfn.LET(_xlpm.DepreciationMonths,INDEX(FixedAssets[Depreciation
/ Amortization Months],_xlfn.XMATCH($E$33,FixedAssets[Asset ID])),IF(AND((_xlfn.XMATCH(BX$8,$AH$8:$CC$8))-_xlfn.XMATCH($C68,$C$35:$C$82)+1&lt;=_xlpm.DepreciationMonths,$C68&lt;=BX$8),$E68/_xlpm.DepreciationMonths,0))</f>
        <v>0</v>
      </c>
      <c r="BY68" s="507" cm="1">
        <f t="array" ref="BY68">_xlfn.LET(_xlpm.DepreciationMonths,INDEX(FixedAssets[Depreciation
/ Amortization Months],_xlfn.XMATCH($E$33,FixedAssets[Asset ID])),IF(AND((_xlfn.XMATCH(BY$8,$AH$8:$CC$8))-_xlfn.XMATCH($C68,$C$35:$C$82)+1&lt;=_xlpm.DepreciationMonths,$C68&lt;=BY$8),$E68/_xlpm.DepreciationMonths,0))</f>
        <v>0</v>
      </c>
      <c r="BZ68" s="507" cm="1">
        <f t="array" ref="BZ68">_xlfn.LET(_xlpm.DepreciationMonths,INDEX(FixedAssets[Depreciation
/ Amortization Months],_xlfn.XMATCH($E$33,FixedAssets[Asset ID])),IF(AND((_xlfn.XMATCH(BZ$8,$AH$8:$CC$8))-_xlfn.XMATCH($C68,$C$35:$C$82)+1&lt;=_xlpm.DepreciationMonths,$C68&lt;=BZ$8),$E68/_xlpm.DepreciationMonths,0))</f>
        <v>0</v>
      </c>
      <c r="CA68" s="507" cm="1">
        <f t="array" ref="CA68">_xlfn.LET(_xlpm.DepreciationMonths,INDEX(FixedAssets[Depreciation
/ Amortization Months],_xlfn.XMATCH($E$33,FixedAssets[Asset ID])),IF(AND((_xlfn.XMATCH(CA$8,$AH$8:$CC$8))-_xlfn.XMATCH($C68,$C$35:$C$82)+1&lt;=_xlpm.DepreciationMonths,$C68&lt;=CA$8),$E68/_xlpm.DepreciationMonths,0))</f>
        <v>0</v>
      </c>
      <c r="CB68" s="507" cm="1">
        <f t="array" ref="CB68">_xlfn.LET(_xlpm.DepreciationMonths,INDEX(FixedAssets[Depreciation
/ Amortization Months],_xlfn.XMATCH($E$33,FixedAssets[Asset ID])),IF(AND((_xlfn.XMATCH(CB$8,$AH$8:$CC$8))-_xlfn.XMATCH($C68,$C$35:$C$82)+1&lt;=_xlpm.DepreciationMonths,$C68&lt;=CB$8),$E68/_xlpm.DepreciationMonths,0))</f>
        <v>0</v>
      </c>
      <c r="CC68" s="507" cm="1">
        <f t="array" ref="CC68">_xlfn.LET(_xlpm.DepreciationMonths,INDEX(FixedAssets[Depreciation
/ Amortization Months],_xlfn.XMATCH($E$33,FixedAssets[Asset ID])),IF(AND((_xlfn.XMATCH(CC$8,$AH$8:$CC$8))-_xlfn.XMATCH($C68,$C$35:$C$82)+1&lt;=_xlpm.DepreciationMonths,$C68&lt;=CC$8),$E68/_xlpm.DepreciationMonths,0))</f>
        <v>0</v>
      </c>
    </row>
    <row r="69" spans="3:81" hidden="1" outlineLevel="2">
      <c r="C69" s="664">
        <f t="shared" si="91"/>
        <v>45991</v>
      </c>
      <c r="D69" s="508"/>
      <c r="E69" s="508" cm="1">
        <f t="array" ref="E69">SUMPRODUCT(($AH$26:$CC$31)*($AH$5:$CC$5=$C69)*($E$26:$E$31=E$33))-SUMPRODUCT(($AH$26:$CC$31)*($AH$5:$CC$5=EOMONTH($C69,-1))*($E$26:$E$31=E$33))</f>
        <v>0</v>
      </c>
      <c r="F69" s="508"/>
      <c r="G69" s="508"/>
      <c r="H69" s="508"/>
      <c r="I69" s="508"/>
      <c r="J69" s="504">
        <f t="shared" si="88"/>
        <v>0</v>
      </c>
      <c r="K69" s="504">
        <f t="shared" si="96"/>
        <v>0</v>
      </c>
      <c r="L69" s="504">
        <f t="shared" si="96"/>
        <v>0</v>
      </c>
      <c r="M69" s="504">
        <f t="shared" si="96"/>
        <v>0</v>
      </c>
      <c r="N69" s="504"/>
      <c r="O69" s="504"/>
      <c r="P69" s="504">
        <f t="shared" si="97"/>
        <v>0</v>
      </c>
      <c r="Q69" s="504">
        <f t="shared" si="97"/>
        <v>0</v>
      </c>
      <c r="R69" s="504">
        <f t="shared" si="97"/>
        <v>0</v>
      </c>
      <c r="S69" s="504">
        <f t="shared" si="97"/>
        <v>0</v>
      </c>
      <c r="T69" s="504">
        <f t="shared" si="97"/>
        <v>0</v>
      </c>
      <c r="U69" s="504">
        <f t="shared" si="97"/>
        <v>0</v>
      </c>
      <c r="V69" s="504">
        <f t="shared" si="97"/>
        <v>0</v>
      </c>
      <c r="W69" s="504">
        <f t="shared" si="97"/>
        <v>0</v>
      </c>
      <c r="X69" s="504">
        <f t="shared" si="97"/>
        <v>0</v>
      </c>
      <c r="Y69" s="504">
        <f t="shared" si="97"/>
        <v>0</v>
      </c>
      <c r="Z69" s="504">
        <f t="shared" si="97"/>
        <v>0</v>
      </c>
      <c r="AA69" s="504">
        <f t="shared" si="97"/>
        <v>0</v>
      </c>
      <c r="AB69" s="504">
        <f t="shared" si="97"/>
        <v>0</v>
      </c>
      <c r="AC69" s="504">
        <f t="shared" si="97"/>
        <v>0</v>
      </c>
      <c r="AD69" s="504">
        <f t="shared" si="97"/>
        <v>0</v>
      </c>
      <c r="AE69" s="504">
        <f t="shared" si="97"/>
        <v>0</v>
      </c>
      <c r="AF69" s="508"/>
      <c r="AG69" s="508"/>
      <c r="AH69" s="507" cm="1">
        <f t="array" ref="AH69">_xlfn.LET(_xlpm.DepreciationMonths,INDEX(FixedAssets[Depreciation
/ Amortization Months],_xlfn.XMATCH($E$33,FixedAssets[Asset ID])),IF(AND((_xlfn.XMATCH(AH$8,$AH$8:$CC$8))-_xlfn.XMATCH($C69,$C$35:$C$82)+1&lt;=_xlpm.DepreciationMonths,$C69&lt;=AH$8),$E69/_xlpm.DepreciationMonths,0))</f>
        <v>0</v>
      </c>
      <c r="AI69" s="507" cm="1">
        <f t="array" ref="AI69">_xlfn.LET(_xlpm.DepreciationMonths,INDEX(FixedAssets[Depreciation
/ Amortization Months],_xlfn.XMATCH($E$33,FixedAssets[Asset ID])),IF(AND((_xlfn.XMATCH(AI$8,$AH$8:$CC$8))-_xlfn.XMATCH($C69,$C$35:$C$82)+1&lt;=_xlpm.DepreciationMonths,$C69&lt;=AI$8),$E69/_xlpm.DepreciationMonths,0))</f>
        <v>0</v>
      </c>
      <c r="AJ69" s="507" cm="1">
        <f t="array" ref="AJ69">_xlfn.LET(_xlpm.DepreciationMonths,INDEX(FixedAssets[Depreciation
/ Amortization Months],_xlfn.XMATCH($E$33,FixedAssets[Asset ID])),IF(AND((_xlfn.XMATCH(AJ$8,$AH$8:$CC$8))-_xlfn.XMATCH($C69,$C$35:$C$82)+1&lt;=_xlpm.DepreciationMonths,$C69&lt;=AJ$8),$E69/_xlpm.DepreciationMonths,0))</f>
        <v>0</v>
      </c>
      <c r="AK69" s="507" cm="1">
        <f t="array" ref="AK69">_xlfn.LET(_xlpm.DepreciationMonths,INDEX(FixedAssets[Depreciation
/ Amortization Months],_xlfn.XMATCH($E$33,FixedAssets[Asset ID])),IF(AND((_xlfn.XMATCH(AK$8,$AH$8:$CC$8))-_xlfn.XMATCH($C69,$C$35:$C$82)+1&lt;=_xlpm.DepreciationMonths,$C69&lt;=AK$8),$E69/_xlpm.DepreciationMonths,0))</f>
        <v>0</v>
      </c>
      <c r="AL69" s="507" cm="1">
        <f t="array" ref="AL69">_xlfn.LET(_xlpm.DepreciationMonths,INDEX(FixedAssets[Depreciation
/ Amortization Months],_xlfn.XMATCH($E$33,FixedAssets[Asset ID])),IF(AND((_xlfn.XMATCH(AL$8,$AH$8:$CC$8))-_xlfn.XMATCH($C69,$C$35:$C$82)+1&lt;=_xlpm.DepreciationMonths,$C69&lt;=AL$8),$E69/_xlpm.DepreciationMonths,0))</f>
        <v>0</v>
      </c>
      <c r="AM69" s="507" cm="1">
        <f t="array" ref="AM69">_xlfn.LET(_xlpm.DepreciationMonths,INDEX(FixedAssets[Depreciation
/ Amortization Months],_xlfn.XMATCH($E$33,FixedAssets[Asset ID])),IF(AND((_xlfn.XMATCH(AM$8,$AH$8:$CC$8))-_xlfn.XMATCH($C69,$C$35:$C$82)+1&lt;=_xlpm.DepreciationMonths,$C69&lt;=AM$8),$E69/_xlpm.DepreciationMonths,0))</f>
        <v>0</v>
      </c>
      <c r="AN69" s="507" cm="1">
        <f t="array" ref="AN69">_xlfn.LET(_xlpm.DepreciationMonths,INDEX(FixedAssets[Depreciation
/ Amortization Months],_xlfn.XMATCH($E$33,FixedAssets[Asset ID])),IF(AND((_xlfn.XMATCH(AN$8,$AH$8:$CC$8))-_xlfn.XMATCH($C69,$C$35:$C$82)+1&lt;=_xlpm.DepreciationMonths,$C69&lt;=AN$8),$E69/_xlpm.DepreciationMonths,0))</f>
        <v>0</v>
      </c>
      <c r="AO69" s="507" cm="1">
        <f t="array" ref="AO69">_xlfn.LET(_xlpm.DepreciationMonths,INDEX(FixedAssets[Depreciation
/ Amortization Months],_xlfn.XMATCH($E$33,FixedAssets[Asset ID])),IF(AND((_xlfn.XMATCH(AO$8,$AH$8:$CC$8))-_xlfn.XMATCH($C69,$C$35:$C$82)+1&lt;=_xlpm.DepreciationMonths,$C69&lt;=AO$8),$E69/_xlpm.DepreciationMonths,0))</f>
        <v>0</v>
      </c>
      <c r="AP69" s="507" cm="1">
        <f t="array" ref="AP69">_xlfn.LET(_xlpm.DepreciationMonths,INDEX(FixedAssets[Depreciation
/ Amortization Months],_xlfn.XMATCH($E$33,FixedAssets[Asset ID])),IF(AND((_xlfn.XMATCH(AP$8,$AH$8:$CC$8))-_xlfn.XMATCH($C69,$C$35:$C$82)+1&lt;=_xlpm.DepreciationMonths,$C69&lt;=AP$8),$E69/_xlpm.DepreciationMonths,0))</f>
        <v>0</v>
      </c>
      <c r="AQ69" s="507" cm="1">
        <f t="array" ref="AQ69">_xlfn.LET(_xlpm.DepreciationMonths,INDEX(FixedAssets[Depreciation
/ Amortization Months],_xlfn.XMATCH($E$33,FixedAssets[Asset ID])),IF(AND((_xlfn.XMATCH(AQ$8,$AH$8:$CC$8))-_xlfn.XMATCH($C69,$C$35:$C$82)+1&lt;=_xlpm.DepreciationMonths,$C69&lt;=AQ$8),$E69/_xlpm.DepreciationMonths,0))</f>
        <v>0</v>
      </c>
      <c r="AR69" s="507" cm="1">
        <f t="array" ref="AR69">_xlfn.LET(_xlpm.DepreciationMonths,INDEX(FixedAssets[Depreciation
/ Amortization Months],_xlfn.XMATCH($E$33,FixedAssets[Asset ID])),IF(AND((_xlfn.XMATCH(AR$8,$AH$8:$CC$8))-_xlfn.XMATCH($C69,$C$35:$C$82)+1&lt;=_xlpm.DepreciationMonths,$C69&lt;=AR$8),$E69/_xlpm.DepreciationMonths,0))</f>
        <v>0</v>
      </c>
      <c r="AS69" s="507" cm="1">
        <f t="array" ref="AS69">_xlfn.LET(_xlpm.DepreciationMonths,INDEX(FixedAssets[Depreciation
/ Amortization Months],_xlfn.XMATCH($E$33,FixedAssets[Asset ID])),IF(AND((_xlfn.XMATCH(AS$8,$AH$8:$CC$8))-_xlfn.XMATCH($C69,$C$35:$C$82)+1&lt;=_xlpm.DepreciationMonths,$C69&lt;=AS$8),$E69/_xlpm.DepreciationMonths,0))</f>
        <v>0</v>
      </c>
      <c r="AT69" s="507" cm="1">
        <f t="array" ref="AT69">_xlfn.LET(_xlpm.DepreciationMonths,INDEX(FixedAssets[Depreciation
/ Amortization Months],_xlfn.XMATCH($E$33,FixedAssets[Asset ID])),IF(AND((_xlfn.XMATCH(AT$8,$AH$8:$CC$8))-_xlfn.XMATCH($C69,$C$35:$C$82)+1&lt;=_xlpm.DepreciationMonths,$C69&lt;=AT$8),$E69/_xlpm.DepreciationMonths,0))</f>
        <v>0</v>
      </c>
      <c r="AU69" s="507" cm="1">
        <f t="array" ref="AU69">_xlfn.LET(_xlpm.DepreciationMonths,INDEX(FixedAssets[Depreciation
/ Amortization Months],_xlfn.XMATCH($E$33,FixedAssets[Asset ID])),IF(AND((_xlfn.XMATCH(AU$8,$AH$8:$CC$8))-_xlfn.XMATCH($C69,$C$35:$C$82)+1&lt;=_xlpm.DepreciationMonths,$C69&lt;=AU$8),$E69/_xlpm.DepreciationMonths,0))</f>
        <v>0</v>
      </c>
      <c r="AV69" s="507" cm="1">
        <f t="array" ref="AV69">_xlfn.LET(_xlpm.DepreciationMonths,INDEX(FixedAssets[Depreciation
/ Amortization Months],_xlfn.XMATCH($E$33,FixedAssets[Asset ID])),IF(AND((_xlfn.XMATCH(AV$8,$AH$8:$CC$8))-_xlfn.XMATCH($C69,$C$35:$C$82)+1&lt;=_xlpm.DepreciationMonths,$C69&lt;=AV$8),$E69/_xlpm.DepreciationMonths,0))</f>
        <v>0</v>
      </c>
      <c r="AW69" s="507" cm="1">
        <f t="array" ref="AW69">_xlfn.LET(_xlpm.DepreciationMonths,INDEX(FixedAssets[Depreciation
/ Amortization Months],_xlfn.XMATCH($E$33,FixedAssets[Asset ID])),IF(AND((_xlfn.XMATCH(AW$8,$AH$8:$CC$8))-_xlfn.XMATCH($C69,$C$35:$C$82)+1&lt;=_xlpm.DepreciationMonths,$C69&lt;=AW$8),$E69/_xlpm.DepreciationMonths,0))</f>
        <v>0</v>
      </c>
      <c r="AX69" s="507" cm="1">
        <f t="array" ref="AX69">_xlfn.LET(_xlpm.DepreciationMonths,INDEX(FixedAssets[Depreciation
/ Amortization Months],_xlfn.XMATCH($E$33,FixedAssets[Asset ID])),IF(AND((_xlfn.XMATCH(AX$8,$AH$8:$CC$8))-_xlfn.XMATCH($C69,$C$35:$C$82)+1&lt;=_xlpm.DepreciationMonths,$C69&lt;=AX$8),$E69/_xlpm.DepreciationMonths,0))</f>
        <v>0</v>
      </c>
      <c r="AY69" s="507" cm="1">
        <f t="array" ref="AY69">_xlfn.LET(_xlpm.DepreciationMonths,INDEX(FixedAssets[Depreciation
/ Amortization Months],_xlfn.XMATCH($E$33,FixedAssets[Asset ID])),IF(AND((_xlfn.XMATCH(AY$8,$AH$8:$CC$8))-_xlfn.XMATCH($C69,$C$35:$C$82)+1&lt;=_xlpm.DepreciationMonths,$C69&lt;=AY$8),$E69/_xlpm.DepreciationMonths,0))</f>
        <v>0</v>
      </c>
      <c r="AZ69" s="507" cm="1">
        <f t="array" ref="AZ69">_xlfn.LET(_xlpm.DepreciationMonths,INDEX(FixedAssets[Depreciation
/ Amortization Months],_xlfn.XMATCH($E$33,FixedAssets[Asset ID])),IF(AND((_xlfn.XMATCH(AZ$8,$AH$8:$CC$8))-_xlfn.XMATCH($C69,$C$35:$C$82)+1&lt;=_xlpm.DepreciationMonths,$C69&lt;=AZ$8),$E69/_xlpm.DepreciationMonths,0))</f>
        <v>0</v>
      </c>
      <c r="BA69" s="507" cm="1">
        <f t="array" ref="BA69">_xlfn.LET(_xlpm.DepreciationMonths,INDEX(FixedAssets[Depreciation
/ Amortization Months],_xlfn.XMATCH($E$33,FixedAssets[Asset ID])),IF(AND((_xlfn.XMATCH(BA$8,$AH$8:$CC$8))-_xlfn.XMATCH($C69,$C$35:$C$82)+1&lt;=_xlpm.DepreciationMonths,$C69&lt;=BA$8),$E69/_xlpm.DepreciationMonths,0))</f>
        <v>0</v>
      </c>
      <c r="BB69" s="507" cm="1">
        <f t="array" ref="BB69">_xlfn.LET(_xlpm.DepreciationMonths,INDEX(FixedAssets[Depreciation
/ Amortization Months],_xlfn.XMATCH($E$33,FixedAssets[Asset ID])),IF(AND((_xlfn.XMATCH(BB$8,$AH$8:$CC$8))-_xlfn.XMATCH($C69,$C$35:$C$82)+1&lt;=_xlpm.DepreciationMonths,$C69&lt;=BB$8),$E69/_xlpm.DepreciationMonths,0))</f>
        <v>0</v>
      </c>
      <c r="BC69" s="507" cm="1">
        <f t="array" ref="BC69">_xlfn.LET(_xlpm.DepreciationMonths,INDEX(FixedAssets[Depreciation
/ Amortization Months],_xlfn.XMATCH($E$33,FixedAssets[Asset ID])),IF(AND((_xlfn.XMATCH(BC$8,$AH$8:$CC$8))-_xlfn.XMATCH($C69,$C$35:$C$82)+1&lt;=_xlpm.DepreciationMonths,$C69&lt;=BC$8),$E69/_xlpm.DepreciationMonths,0))</f>
        <v>0</v>
      </c>
      <c r="BD69" s="507" cm="1">
        <f t="array" ref="BD69">_xlfn.LET(_xlpm.DepreciationMonths,INDEX(FixedAssets[Depreciation
/ Amortization Months],_xlfn.XMATCH($E$33,FixedAssets[Asset ID])),IF(AND((_xlfn.XMATCH(BD$8,$AH$8:$CC$8))-_xlfn.XMATCH($C69,$C$35:$C$82)+1&lt;=_xlpm.DepreciationMonths,$C69&lt;=BD$8),$E69/_xlpm.DepreciationMonths,0))</f>
        <v>0</v>
      </c>
      <c r="BE69" s="507" cm="1">
        <f t="array" ref="BE69">_xlfn.LET(_xlpm.DepreciationMonths,INDEX(FixedAssets[Depreciation
/ Amortization Months],_xlfn.XMATCH($E$33,FixedAssets[Asset ID])),IF(AND((_xlfn.XMATCH(BE$8,$AH$8:$CC$8))-_xlfn.XMATCH($C69,$C$35:$C$82)+1&lt;=_xlpm.DepreciationMonths,$C69&lt;=BE$8),$E69/_xlpm.DepreciationMonths,0))</f>
        <v>0</v>
      </c>
      <c r="BF69" s="507" cm="1">
        <f t="array" ref="BF69">_xlfn.LET(_xlpm.DepreciationMonths,INDEX(FixedAssets[Depreciation
/ Amortization Months],_xlfn.XMATCH($E$33,FixedAssets[Asset ID])),IF(AND((_xlfn.XMATCH(BF$8,$AH$8:$CC$8))-_xlfn.XMATCH($C69,$C$35:$C$82)+1&lt;=_xlpm.DepreciationMonths,$C69&lt;=BF$8),$E69/_xlpm.DepreciationMonths,0))</f>
        <v>0</v>
      </c>
      <c r="BG69" s="507" cm="1">
        <f t="array" ref="BG69">_xlfn.LET(_xlpm.DepreciationMonths,INDEX(FixedAssets[Depreciation
/ Amortization Months],_xlfn.XMATCH($E$33,FixedAssets[Asset ID])),IF(AND((_xlfn.XMATCH(BG$8,$AH$8:$CC$8))-_xlfn.XMATCH($C69,$C$35:$C$82)+1&lt;=_xlpm.DepreciationMonths,$C69&lt;=BG$8),$E69/_xlpm.DepreciationMonths,0))</f>
        <v>0</v>
      </c>
      <c r="BH69" s="507" cm="1">
        <f t="array" ref="BH69">_xlfn.LET(_xlpm.DepreciationMonths,INDEX(FixedAssets[Depreciation
/ Amortization Months],_xlfn.XMATCH($E$33,FixedAssets[Asset ID])),IF(AND((_xlfn.XMATCH(BH$8,$AH$8:$CC$8))-_xlfn.XMATCH($C69,$C$35:$C$82)+1&lt;=_xlpm.DepreciationMonths,$C69&lt;=BH$8),$E69/_xlpm.DepreciationMonths,0))</f>
        <v>0</v>
      </c>
      <c r="BI69" s="507" cm="1">
        <f t="array" ref="BI69">_xlfn.LET(_xlpm.DepreciationMonths,INDEX(FixedAssets[Depreciation
/ Amortization Months],_xlfn.XMATCH($E$33,FixedAssets[Asset ID])),IF(AND((_xlfn.XMATCH(BI$8,$AH$8:$CC$8))-_xlfn.XMATCH($C69,$C$35:$C$82)+1&lt;=_xlpm.DepreciationMonths,$C69&lt;=BI$8),$E69/_xlpm.DepreciationMonths,0))</f>
        <v>0</v>
      </c>
      <c r="BJ69" s="507" cm="1">
        <f t="array" ref="BJ69">_xlfn.LET(_xlpm.DepreciationMonths,INDEX(FixedAssets[Depreciation
/ Amortization Months],_xlfn.XMATCH($E$33,FixedAssets[Asset ID])),IF(AND((_xlfn.XMATCH(BJ$8,$AH$8:$CC$8))-_xlfn.XMATCH($C69,$C$35:$C$82)+1&lt;=_xlpm.DepreciationMonths,$C69&lt;=BJ$8),$E69/_xlpm.DepreciationMonths,0))</f>
        <v>0</v>
      </c>
      <c r="BK69" s="507" cm="1">
        <f t="array" ref="BK69">_xlfn.LET(_xlpm.DepreciationMonths,INDEX(FixedAssets[Depreciation
/ Amortization Months],_xlfn.XMATCH($E$33,FixedAssets[Asset ID])),IF(AND((_xlfn.XMATCH(BK$8,$AH$8:$CC$8))-_xlfn.XMATCH($C69,$C$35:$C$82)+1&lt;=_xlpm.DepreciationMonths,$C69&lt;=BK$8),$E69/_xlpm.DepreciationMonths,0))</f>
        <v>0</v>
      </c>
      <c r="BL69" s="507" cm="1">
        <f t="array" ref="BL69">_xlfn.LET(_xlpm.DepreciationMonths,INDEX(FixedAssets[Depreciation
/ Amortization Months],_xlfn.XMATCH($E$33,FixedAssets[Asset ID])),IF(AND((_xlfn.XMATCH(BL$8,$AH$8:$CC$8))-_xlfn.XMATCH($C69,$C$35:$C$82)+1&lt;=_xlpm.DepreciationMonths,$C69&lt;=BL$8),$E69/_xlpm.DepreciationMonths,0))</f>
        <v>0</v>
      </c>
      <c r="BM69" s="507" cm="1">
        <f t="array" ref="BM69">_xlfn.LET(_xlpm.DepreciationMonths,INDEX(FixedAssets[Depreciation
/ Amortization Months],_xlfn.XMATCH($E$33,FixedAssets[Asset ID])),IF(AND((_xlfn.XMATCH(BM$8,$AH$8:$CC$8))-_xlfn.XMATCH($C69,$C$35:$C$82)+1&lt;=_xlpm.DepreciationMonths,$C69&lt;=BM$8),$E69/_xlpm.DepreciationMonths,0))</f>
        <v>0</v>
      </c>
      <c r="BN69" s="507" cm="1">
        <f t="array" ref="BN69">_xlfn.LET(_xlpm.DepreciationMonths,INDEX(FixedAssets[Depreciation
/ Amortization Months],_xlfn.XMATCH($E$33,FixedAssets[Asset ID])),IF(AND((_xlfn.XMATCH(BN$8,$AH$8:$CC$8))-_xlfn.XMATCH($C69,$C$35:$C$82)+1&lt;=_xlpm.DepreciationMonths,$C69&lt;=BN$8),$E69/_xlpm.DepreciationMonths,0))</f>
        <v>0</v>
      </c>
      <c r="BO69" s="507" cm="1">
        <f t="array" ref="BO69">_xlfn.LET(_xlpm.DepreciationMonths,INDEX(FixedAssets[Depreciation
/ Amortization Months],_xlfn.XMATCH($E$33,FixedAssets[Asset ID])),IF(AND((_xlfn.XMATCH(BO$8,$AH$8:$CC$8))-_xlfn.XMATCH($C69,$C$35:$C$82)+1&lt;=_xlpm.DepreciationMonths,$C69&lt;=BO$8),$E69/_xlpm.DepreciationMonths,0))</f>
        <v>0</v>
      </c>
      <c r="BP69" s="507" cm="1">
        <f t="array" ref="BP69">_xlfn.LET(_xlpm.DepreciationMonths,INDEX(FixedAssets[Depreciation
/ Amortization Months],_xlfn.XMATCH($E$33,FixedAssets[Asset ID])),IF(AND((_xlfn.XMATCH(BP$8,$AH$8:$CC$8))-_xlfn.XMATCH($C69,$C$35:$C$82)+1&lt;=_xlpm.DepreciationMonths,$C69&lt;=BP$8),$E69/_xlpm.DepreciationMonths,0))</f>
        <v>0</v>
      </c>
      <c r="BQ69" s="507" cm="1">
        <f t="array" ref="BQ69">_xlfn.LET(_xlpm.DepreciationMonths,INDEX(FixedAssets[Depreciation
/ Amortization Months],_xlfn.XMATCH($E$33,FixedAssets[Asset ID])),IF(AND((_xlfn.XMATCH(BQ$8,$AH$8:$CC$8))-_xlfn.XMATCH($C69,$C$35:$C$82)+1&lt;=_xlpm.DepreciationMonths,$C69&lt;=BQ$8),$E69/_xlpm.DepreciationMonths,0))</f>
        <v>0</v>
      </c>
      <c r="BR69" s="507" cm="1">
        <f t="array" ref="BR69">_xlfn.LET(_xlpm.DepreciationMonths,INDEX(FixedAssets[Depreciation
/ Amortization Months],_xlfn.XMATCH($E$33,FixedAssets[Asset ID])),IF(AND((_xlfn.XMATCH(BR$8,$AH$8:$CC$8))-_xlfn.XMATCH($C69,$C$35:$C$82)+1&lt;=_xlpm.DepreciationMonths,$C69&lt;=BR$8),$E69/_xlpm.DepreciationMonths,0))</f>
        <v>0</v>
      </c>
      <c r="BS69" s="507" cm="1">
        <f t="array" ref="BS69">_xlfn.LET(_xlpm.DepreciationMonths,INDEX(FixedAssets[Depreciation
/ Amortization Months],_xlfn.XMATCH($E$33,FixedAssets[Asset ID])),IF(AND((_xlfn.XMATCH(BS$8,$AH$8:$CC$8))-_xlfn.XMATCH($C69,$C$35:$C$82)+1&lt;=_xlpm.DepreciationMonths,$C69&lt;=BS$8),$E69/_xlpm.DepreciationMonths,0))</f>
        <v>0</v>
      </c>
      <c r="BT69" s="507" cm="1">
        <f t="array" ref="BT69">_xlfn.LET(_xlpm.DepreciationMonths,INDEX(FixedAssets[Depreciation
/ Amortization Months],_xlfn.XMATCH($E$33,FixedAssets[Asset ID])),IF(AND((_xlfn.XMATCH(BT$8,$AH$8:$CC$8))-_xlfn.XMATCH($C69,$C$35:$C$82)+1&lt;=_xlpm.DepreciationMonths,$C69&lt;=BT$8),$E69/_xlpm.DepreciationMonths,0))</f>
        <v>0</v>
      </c>
      <c r="BU69" s="507" cm="1">
        <f t="array" ref="BU69">_xlfn.LET(_xlpm.DepreciationMonths,INDEX(FixedAssets[Depreciation
/ Amortization Months],_xlfn.XMATCH($E$33,FixedAssets[Asset ID])),IF(AND((_xlfn.XMATCH(BU$8,$AH$8:$CC$8))-_xlfn.XMATCH($C69,$C$35:$C$82)+1&lt;=_xlpm.DepreciationMonths,$C69&lt;=BU$8),$E69/_xlpm.DepreciationMonths,0))</f>
        <v>0</v>
      </c>
      <c r="BV69" s="507" cm="1">
        <f t="array" ref="BV69">_xlfn.LET(_xlpm.DepreciationMonths,INDEX(FixedAssets[Depreciation
/ Amortization Months],_xlfn.XMATCH($E$33,FixedAssets[Asset ID])),IF(AND((_xlfn.XMATCH(BV$8,$AH$8:$CC$8))-_xlfn.XMATCH($C69,$C$35:$C$82)+1&lt;=_xlpm.DepreciationMonths,$C69&lt;=BV$8),$E69/_xlpm.DepreciationMonths,0))</f>
        <v>0</v>
      </c>
      <c r="BW69" s="507" cm="1">
        <f t="array" ref="BW69">_xlfn.LET(_xlpm.DepreciationMonths,INDEX(FixedAssets[Depreciation
/ Amortization Months],_xlfn.XMATCH($E$33,FixedAssets[Asset ID])),IF(AND((_xlfn.XMATCH(BW$8,$AH$8:$CC$8))-_xlfn.XMATCH($C69,$C$35:$C$82)+1&lt;=_xlpm.DepreciationMonths,$C69&lt;=BW$8),$E69/_xlpm.DepreciationMonths,0))</f>
        <v>0</v>
      </c>
      <c r="BX69" s="507" cm="1">
        <f t="array" ref="BX69">_xlfn.LET(_xlpm.DepreciationMonths,INDEX(FixedAssets[Depreciation
/ Amortization Months],_xlfn.XMATCH($E$33,FixedAssets[Asset ID])),IF(AND((_xlfn.XMATCH(BX$8,$AH$8:$CC$8))-_xlfn.XMATCH($C69,$C$35:$C$82)+1&lt;=_xlpm.DepreciationMonths,$C69&lt;=BX$8),$E69/_xlpm.DepreciationMonths,0))</f>
        <v>0</v>
      </c>
      <c r="BY69" s="507" cm="1">
        <f t="array" ref="BY69">_xlfn.LET(_xlpm.DepreciationMonths,INDEX(FixedAssets[Depreciation
/ Amortization Months],_xlfn.XMATCH($E$33,FixedAssets[Asset ID])),IF(AND((_xlfn.XMATCH(BY$8,$AH$8:$CC$8))-_xlfn.XMATCH($C69,$C$35:$C$82)+1&lt;=_xlpm.DepreciationMonths,$C69&lt;=BY$8),$E69/_xlpm.DepreciationMonths,0))</f>
        <v>0</v>
      </c>
      <c r="BZ69" s="507" cm="1">
        <f t="array" ref="BZ69">_xlfn.LET(_xlpm.DepreciationMonths,INDEX(FixedAssets[Depreciation
/ Amortization Months],_xlfn.XMATCH($E$33,FixedAssets[Asset ID])),IF(AND((_xlfn.XMATCH(BZ$8,$AH$8:$CC$8))-_xlfn.XMATCH($C69,$C$35:$C$82)+1&lt;=_xlpm.DepreciationMonths,$C69&lt;=BZ$8),$E69/_xlpm.DepreciationMonths,0))</f>
        <v>0</v>
      </c>
      <c r="CA69" s="507" cm="1">
        <f t="array" ref="CA69">_xlfn.LET(_xlpm.DepreciationMonths,INDEX(FixedAssets[Depreciation
/ Amortization Months],_xlfn.XMATCH($E$33,FixedAssets[Asset ID])),IF(AND((_xlfn.XMATCH(CA$8,$AH$8:$CC$8))-_xlfn.XMATCH($C69,$C$35:$C$82)+1&lt;=_xlpm.DepreciationMonths,$C69&lt;=CA$8),$E69/_xlpm.DepreciationMonths,0))</f>
        <v>0</v>
      </c>
      <c r="CB69" s="507" cm="1">
        <f t="array" ref="CB69">_xlfn.LET(_xlpm.DepreciationMonths,INDEX(FixedAssets[Depreciation
/ Amortization Months],_xlfn.XMATCH($E$33,FixedAssets[Asset ID])),IF(AND((_xlfn.XMATCH(CB$8,$AH$8:$CC$8))-_xlfn.XMATCH($C69,$C$35:$C$82)+1&lt;=_xlpm.DepreciationMonths,$C69&lt;=CB$8),$E69/_xlpm.DepreciationMonths,0))</f>
        <v>0</v>
      </c>
      <c r="CC69" s="507" cm="1">
        <f t="array" ref="CC69">_xlfn.LET(_xlpm.DepreciationMonths,INDEX(FixedAssets[Depreciation
/ Amortization Months],_xlfn.XMATCH($E$33,FixedAssets[Asset ID])),IF(AND((_xlfn.XMATCH(CC$8,$AH$8:$CC$8))-_xlfn.XMATCH($C69,$C$35:$C$82)+1&lt;=_xlpm.DepreciationMonths,$C69&lt;=CC$8),$E69/_xlpm.DepreciationMonths,0))</f>
        <v>0</v>
      </c>
    </row>
    <row r="70" spans="3:81" hidden="1" outlineLevel="2">
      <c r="C70" s="664">
        <f t="shared" si="91"/>
        <v>46022</v>
      </c>
      <c r="D70" s="508"/>
      <c r="E70" s="508" cm="1">
        <f t="array" ref="E70">SUMPRODUCT(($AH$26:$CC$31)*($AH$5:$CC$5=$C70)*($E$26:$E$31=E$33))-SUMPRODUCT(($AH$26:$CC$31)*($AH$5:$CC$5=EOMONTH($C70,-1))*($E$26:$E$31=E$33))</f>
        <v>20000</v>
      </c>
      <c r="F70" s="508"/>
      <c r="G70" s="508"/>
      <c r="H70" s="508"/>
      <c r="I70" s="508"/>
      <c r="J70" s="504">
        <f t="shared" si="88"/>
        <v>0</v>
      </c>
      <c r="K70" s="504">
        <f t="shared" si="96"/>
        <v>0</v>
      </c>
      <c r="L70" s="504">
        <f t="shared" si="96"/>
        <v>555.55555555555554</v>
      </c>
      <c r="M70" s="504">
        <f t="shared" si="96"/>
        <v>6666.666666666667</v>
      </c>
      <c r="N70" s="504"/>
      <c r="O70" s="504"/>
      <c r="P70" s="504">
        <f t="shared" si="97"/>
        <v>0</v>
      </c>
      <c r="Q70" s="504">
        <f t="shared" si="97"/>
        <v>0</v>
      </c>
      <c r="R70" s="504">
        <f t="shared" si="97"/>
        <v>0</v>
      </c>
      <c r="S70" s="504">
        <f t="shared" si="97"/>
        <v>0</v>
      </c>
      <c r="T70" s="504">
        <f t="shared" si="97"/>
        <v>0</v>
      </c>
      <c r="U70" s="504">
        <f t="shared" si="97"/>
        <v>0</v>
      </c>
      <c r="V70" s="504">
        <f t="shared" si="97"/>
        <v>0</v>
      </c>
      <c r="W70" s="504">
        <f t="shared" si="97"/>
        <v>0</v>
      </c>
      <c r="X70" s="504">
        <f t="shared" si="97"/>
        <v>0</v>
      </c>
      <c r="Y70" s="504">
        <f t="shared" si="97"/>
        <v>0</v>
      </c>
      <c r="Z70" s="504">
        <f t="shared" si="97"/>
        <v>0</v>
      </c>
      <c r="AA70" s="504">
        <f t="shared" si="97"/>
        <v>555.55555555555554</v>
      </c>
      <c r="AB70" s="504">
        <f t="shared" si="97"/>
        <v>1666.6666666666665</v>
      </c>
      <c r="AC70" s="504">
        <f t="shared" si="97"/>
        <v>1666.6666666666665</v>
      </c>
      <c r="AD70" s="504">
        <f t="shared" si="97"/>
        <v>1666.6666666666665</v>
      </c>
      <c r="AE70" s="504">
        <f t="shared" si="97"/>
        <v>1666.6666666666665</v>
      </c>
      <c r="AF70" s="508"/>
      <c r="AG70" s="508"/>
      <c r="AH70" s="507" cm="1">
        <f t="array" ref="AH70">_xlfn.LET(_xlpm.DepreciationMonths,INDEX(FixedAssets[Depreciation
/ Amortization Months],_xlfn.XMATCH($E$33,FixedAssets[Asset ID])),IF(AND((_xlfn.XMATCH(AH$8,$AH$8:$CC$8))-_xlfn.XMATCH($C70,$C$35:$C$82)+1&lt;=_xlpm.DepreciationMonths,$C70&lt;=AH$8),$E70/_xlpm.DepreciationMonths,0))</f>
        <v>0</v>
      </c>
      <c r="AI70" s="507" cm="1">
        <f t="array" ref="AI70">_xlfn.LET(_xlpm.DepreciationMonths,INDEX(FixedAssets[Depreciation
/ Amortization Months],_xlfn.XMATCH($E$33,FixedAssets[Asset ID])),IF(AND((_xlfn.XMATCH(AI$8,$AH$8:$CC$8))-_xlfn.XMATCH($C70,$C$35:$C$82)+1&lt;=_xlpm.DepreciationMonths,$C70&lt;=AI$8),$E70/_xlpm.DepreciationMonths,0))</f>
        <v>0</v>
      </c>
      <c r="AJ70" s="507" cm="1">
        <f t="array" ref="AJ70">_xlfn.LET(_xlpm.DepreciationMonths,INDEX(FixedAssets[Depreciation
/ Amortization Months],_xlfn.XMATCH($E$33,FixedAssets[Asset ID])),IF(AND((_xlfn.XMATCH(AJ$8,$AH$8:$CC$8))-_xlfn.XMATCH($C70,$C$35:$C$82)+1&lt;=_xlpm.DepreciationMonths,$C70&lt;=AJ$8),$E70/_xlpm.DepreciationMonths,0))</f>
        <v>0</v>
      </c>
      <c r="AK70" s="507" cm="1">
        <f t="array" ref="AK70">_xlfn.LET(_xlpm.DepreciationMonths,INDEX(FixedAssets[Depreciation
/ Amortization Months],_xlfn.XMATCH($E$33,FixedAssets[Asset ID])),IF(AND((_xlfn.XMATCH(AK$8,$AH$8:$CC$8))-_xlfn.XMATCH($C70,$C$35:$C$82)+1&lt;=_xlpm.DepreciationMonths,$C70&lt;=AK$8),$E70/_xlpm.DepreciationMonths,0))</f>
        <v>0</v>
      </c>
      <c r="AL70" s="507" cm="1">
        <f t="array" ref="AL70">_xlfn.LET(_xlpm.DepreciationMonths,INDEX(FixedAssets[Depreciation
/ Amortization Months],_xlfn.XMATCH($E$33,FixedAssets[Asset ID])),IF(AND((_xlfn.XMATCH(AL$8,$AH$8:$CC$8))-_xlfn.XMATCH($C70,$C$35:$C$82)+1&lt;=_xlpm.DepreciationMonths,$C70&lt;=AL$8),$E70/_xlpm.DepreciationMonths,0))</f>
        <v>0</v>
      </c>
      <c r="AM70" s="507" cm="1">
        <f t="array" ref="AM70">_xlfn.LET(_xlpm.DepreciationMonths,INDEX(FixedAssets[Depreciation
/ Amortization Months],_xlfn.XMATCH($E$33,FixedAssets[Asset ID])),IF(AND((_xlfn.XMATCH(AM$8,$AH$8:$CC$8))-_xlfn.XMATCH($C70,$C$35:$C$82)+1&lt;=_xlpm.DepreciationMonths,$C70&lt;=AM$8),$E70/_xlpm.DepreciationMonths,0))</f>
        <v>0</v>
      </c>
      <c r="AN70" s="507" cm="1">
        <f t="array" ref="AN70">_xlfn.LET(_xlpm.DepreciationMonths,INDEX(FixedAssets[Depreciation
/ Amortization Months],_xlfn.XMATCH($E$33,FixedAssets[Asset ID])),IF(AND((_xlfn.XMATCH(AN$8,$AH$8:$CC$8))-_xlfn.XMATCH($C70,$C$35:$C$82)+1&lt;=_xlpm.DepreciationMonths,$C70&lt;=AN$8),$E70/_xlpm.DepreciationMonths,0))</f>
        <v>0</v>
      </c>
      <c r="AO70" s="507" cm="1">
        <f t="array" ref="AO70">_xlfn.LET(_xlpm.DepreciationMonths,INDEX(FixedAssets[Depreciation
/ Amortization Months],_xlfn.XMATCH($E$33,FixedAssets[Asset ID])),IF(AND((_xlfn.XMATCH(AO$8,$AH$8:$CC$8))-_xlfn.XMATCH($C70,$C$35:$C$82)+1&lt;=_xlpm.DepreciationMonths,$C70&lt;=AO$8),$E70/_xlpm.DepreciationMonths,0))</f>
        <v>0</v>
      </c>
      <c r="AP70" s="507" cm="1">
        <f t="array" ref="AP70">_xlfn.LET(_xlpm.DepreciationMonths,INDEX(FixedAssets[Depreciation
/ Amortization Months],_xlfn.XMATCH($E$33,FixedAssets[Asset ID])),IF(AND((_xlfn.XMATCH(AP$8,$AH$8:$CC$8))-_xlfn.XMATCH($C70,$C$35:$C$82)+1&lt;=_xlpm.DepreciationMonths,$C70&lt;=AP$8),$E70/_xlpm.DepreciationMonths,0))</f>
        <v>0</v>
      </c>
      <c r="AQ70" s="507" cm="1">
        <f t="array" ref="AQ70">_xlfn.LET(_xlpm.DepreciationMonths,INDEX(FixedAssets[Depreciation
/ Amortization Months],_xlfn.XMATCH($E$33,FixedAssets[Asset ID])),IF(AND((_xlfn.XMATCH(AQ$8,$AH$8:$CC$8))-_xlfn.XMATCH($C70,$C$35:$C$82)+1&lt;=_xlpm.DepreciationMonths,$C70&lt;=AQ$8),$E70/_xlpm.DepreciationMonths,0))</f>
        <v>0</v>
      </c>
      <c r="AR70" s="507" cm="1">
        <f t="array" ref="AR70">_xlfn.LET(_xlpm.DepreciationMonths,INDEX(FixedAssets[Depreciation
/ Amortization Months],_xlfn.XMATCH($E$33,FixedAssets[Asset ID])),IF(AND((_xlfn.XMATCH(AR$8,$AH$8:$CC$8))-_xlfn.XMATCH($C70,$C$35:$C$82)+1&lt;=_xlpm.DepreciationMonths,$C70&lt;=AR$8),$E70/_xlpm.DepreciationMonths,0))</f>
        <v>0</v>
      </c>
      <c r="AS70" s="507" cm="1">
        <f t="array" ref="AS70">_xlfn.LET(_xlpm.DepreciationMonths,INDEX(FixedAssets[Depreciation
/ Amortization Months],_xlfn.XMATCH($E$33,FixedAssets[Asset ID])),IF(AND((_xlfn.XMATCH(AS$8,$AH$8:$CC$8))-_xlfn.XMATCH($C70,$C$35:$C$82)+1&lt;=_xlpm.DepreciationMonths,$C70&lt;=AS$8),$E70/_xlpm.DepreciationMonths,0))</f>
        <v>0</v>
      </c>
      <c r="AT70" s="507" cm="1">
        <f t="array" ref="AT70">_xlfn.LET(_xlpm.DepreciationMonths,INDEX(FixedAssets[Depreciation
/ Amortization Months],_xlfn.XMATCH($E$33,FixedAssets[Asset ID])),IF(AND((_xlfn.XMATCH(AT$8,$AH$8:$CC$8))-_xlfn.XMATCH($C70,$C$35:$C$82)+1&lt;=_xlpm.DepreciationMonths,$C70&lt;=AT$8),$E70/_xlpm.DepreciationMonths,0))</f>
        <v>0</v>
      </c>
      <c r="AU70" s="507" cm="1">
        <f t="array" ref="AU70">_xlfn.LET(_xlpm.DepreciationMonths,INDEX(FixedAssets[Depreciation
/ Amortization Months],_xlfn.XMATCH($E$33,FixedAssets[Asset ID])),IF(AND((_xlfn.XMATCH(AU$8,$AH$8:$CC$8))-_xlfn.XMATCH($C70,$C$35:$C$82)+1&lt;=_xlpm.DepreciationMonths,$C70&lt;=AU$8),$E70/_xlpm.DepreciationMonths,0))</f>
        <v>0</v>
      </c>
      <c r="AV70" s="507" cm="1">
        <f t="array" ref="AV70">_xlfn.LET(_xlpm.DepreciationMonths,INDEX(FixedAssets[Depreciation
/ Amortization Months],_xlfn.XMATCH($E$33,FixedAssets[Asset ID])),IF(AND((_xlfn.XMATCH(AV$8,$AH$8:$CC$8))-_xlfn.XMATCH($C70,$C$35:$C$82)+1&lt;=_xlpm.DepreciationMonths,$C70&lt;=AV$8),$E70/_xlpm.DepreciationMonths,0))</f>
        <v>0</v>
      </c>
      <c r="AW70" s="507" cm="1">
        <f t="array" ref="AW70">_xlfn.LET(_xlpm.DepreciationMonths,INDEX(FixedAssets[Depreciation
/ Amortization Months],_xlfn.XMATCH($E$33,FixedAssets[Asset ID])),IF(AND((_xlfn.XMATCH(AW$8,$AH$8:$CC$8))-_xlfn.XMATCH($C70,$C$35:$C$82)+1&lt;=_xlpm.DepreciationMonths,$C70&lt;=AW$8),$E70/_xlpm.DepreciationMonths,0))</f>
        <v>0</v>
      </c>
      <c r="AX70" s="507" cm="1">
        <f t="array" ref="AX70">_xlfn.LET(_xlpm.DepreciationMonths,INDEX(FixedAssets[Depreciation
/ Amortization Months],_xlfn.XMATCH($E$33,FixedAssets[Asset ID])),IF(AND((_xlfn.XMATCH(AX$8,$AH$8:$CC$8))-_xlfn.XMATCH($C70,$C$35:$C$82)+1&lt;=_xlpm.DepreciationMonths,$C70&lt;=AX$8),$E70/_xlpm.DepreciationMonths,0))</f>
        <v>0</v>
      </c>
      <c r="AY70" s="507" cm="1">
        <f t="array" ref="AY70">_xlfn.LET(_xlpm.DepreciationMonths,INDEX(FixedAssets[Depreciation
/ Amortization Months],_xlfn.XMATCH($E$33,FixedAssets[Asset ID])),IF(AND((_xlfn.XMATCH(AY$8,$AH$8:$CC$8))-_xlfn.XMATCH($C70,$C$35:$C$82)+1&lt;=_xlpm.DepreciationMonths,$C70&lt;=AY$8),$E70/_xlpm.DepreciationMonths,0))</f>
        <v>0</v>
      </c>
      <c r="AZ70" s="507" cm="1">
        <f t="array" ref="AZ70">_xlfn.LET(_xlpm.DepreciationMonths,INDEX(FixedAssets[Depreciation
/ Amortization Months],_xlfn.XMATCH($E$33,FixedAssets[Asset ID])),IF(AND((_xlfn.XMATCH(AZ$8,$AH$8:$CC$8))-_xlfn.XMATCH($C70,$C$35:$C$82)+1&lt;=_xlpm.DepreciationMonths,$C70&lt;=AZ$8),$E70/_xlpm.DepreciationMonths,0))</f>
        <v>0</v>
      </c>
      <c r="BA70" s="507" cm="1">
        <f t="array" ref="BA70">_xlfn.LET(_xlpm.DepreciationMonths,INDEX(FixedAssets[Depreciation
/ Amortization Months],_xlfn.XMATCH($E$33,FixedAssets[Asset ID])),IF(AND((_xlfn.XMATCH(BA$8,$AH$8:$CC$8))-_xlfn.XMATCH($C70,$C$35:$C$82)+1&lt;=_xlpm.DepreciationMonths,$C70&lt;=BA$8),$E70/_xlpm.DepreciationMonths,0))</f>
        <v>0</v>
      </c>
      <c r="BB70" s="507" cm="1">
        <f t="array" ref="BB70">_xlfn.LET(_xlpm.DepreciationMonths,INDEX(FixedAssets[Depreciation
/ Amortization Months],_xlfn.XMATCH($E$33,FixedAssets[Asset ID])),IF(AND((_xlfn.XMATCH(BB$8,$AH$8:$CC$8))-_xlfn.XMATCH($C70,$C$35:$C$82)+1&lt;=_xlpm.DepreciationMonths,$C70&lt;=BB$8),$E70/_xlpm.DepreciationMonths,0))</f>
        <v>0</v>
      </c>
      <c r="BC70" s="507" cm="1">
        <f t="array" ref="BC70">_xlfn.LET(_xlpm.DepreciationMonths,INDEX(FixedAssets[Depreciation
/ Amortization Months],_xlfn.XMATCH($E$33,FixedAssets[Asset ID])),IF(AND((_xlfn.XMATCH(BC$8,$AH$8:$CC$8))-_xlfn.XMATCH($C70,$C$35:$C$82)+1&lt;=_xlpm.DepreciationMonths,$C70&lt;=BC$8),$E70/_xlpm.DepreciationMonths,0))</f>
        <v>0</v>
      </c>
      <c r="BD70" s="507" cm="1">
        <f t="array" ref="BD70">_xlfn.LET(_xlpm.DepreciationMonths,INDEX(FixedAssets[Depreciation
/ Amortization Months],_xlfn.XMATCH($E$33,FixedAssets[Asset ID])),IF(AND((_xlfn.XMATCH(BD$8,$AH$8:$CC$8))-_xlfn.XMATCH($C70,$C$35:$C$82)+1&lt;=_xlpm.DepreciationMonths,$C70&lt;=BD$8),$E70/_xlpm.DepreciationMonths,0))</f>
        <v>0</v>
      </c>
      <c r="BE70" s="507" cm="1">
        <f t="array" ref="BE70">_xlfn.LET(_xlpm.DepreciationMonths,INDEX(FixedAssets[Depreciation
/ Amortization Months],_xlfn.XMATCH($E$33,FixedAssets[Asset ID])),IF(AND((_xlfn.XMATCH(BE$8,$AH$8:$CC$8))-_xlfn.XMATCH($C70,$C$35:$C$82)+1&lt;=_xlpm.DepreciationMonths,$C70&lt;=BE$8),$E70/_xlpm.DepreciationMonths,0))</f>
        <v>0</v>
      </c>
      <c r="BF70" s="507" cm="1">
        <f t="array" ref="BF70">_xlfn.LET(_xlpm.DepreciationMonths,INDEX(FixedAssets[Depreciation
/ Amortization Months],_xlfn.XMATCH($E$33,FixedAssets[Asset ID])),IF(AND((_xlfn.XMATCH(BF$8,$AH$8:$CC$8))-_xlfn.XMATCH($C70,$C$35:$C$82)+1&lt;=_xlpm.DepreciationMonths,$C70&lt;=BF$8),$E70/_xlpm.DepreciationMonths,0))</f>
        <v>0</v>
      </c>
      <c r="BG70" s="507" cm="1">
        <f t="array" ref="BG70">_xlfn.LET(_xlpm.DepreciationMonths,INDEX(FixedAssets[Depreciation
/ Amortization Months],_xlfn.XMATCH($E$33,FixedAssets[Asset ID])),IF(AND((_xlfn.XMATCH(BG$8,$AH$8:$CC$8))-_xlfn.XMATCH($C70,$C$35:$C$82)+1&lt;=_xlpm.DepreciationMonths,$C70&lt;=BG$8),$E70/_xlpm.DepreciationMonths,0))</f>
        <v>0</v>
      </c>
      <c r="BH70" s="507" cm="1">
        <f t="array" ref="BH70">_xlfn.LET(_xlpm.DepreciationMonths,INDEX(FixedAssets[Depreciation
/ Amortization Months],_xlfn.XMATCH($E$33,FixedAssets[Asset ID])),IF(AND((_xlfn.XMATCH(BH$8,$AH$8:$CC$8))-_xlfn.XMATCH($C70,$C$35:$C$82)+1&lt;=_xlpm.DepreciationMonths,$C70&lt;=BH$8),$E70/_xlpm.DepreciationMonths,0))</f>
        <v>0</v>
      </c>
      <c r="BI70" s="507" cm="1">
        <f t="array" ref="BI70">_xlfn.LET(_xlpm.DepreciationMonths,INDEX(FixedAssets[Depreciation
/ Amortization Months],_xlfn.XMATCH($E$33,FixedAssets[Asset ID])),IF(AND((_xlfn.XMATCH(BI$8,$AH$8:$CC$8))-_xlfn.XMATCH($C70,$C$35:$C$82)+1&lt;=_xlpm.DepreciationMonths,$C70&lt;=BI$8),$E70/_xlpm.DepreciationMonths,0))</f>
        <v>0</v>
      </c>
      <c r="BJ70" s="507" cm="1">
        <f t="array" ref="BJ70">_xlfn.LET(_xlpm.DepreciationMonths,INDEX(FixedAssets[Depreciation
/ Amortization Months],_xlfn.XMATCH($E$33,FixedAssets[Asset ID])),IF(AND((_xlfn.XMATCH(BJ$8,$AH$8:$CC$8))-_xlfn.XMATCH($C70,$C$35:$C$82)+1&lt;=_xlpm.DepreciationMonths,$C70&lt;=BJ$8),$E70/_xlpm.DepreciationMonths,0))</f>
        <v>0</v>
      </c>
      <c r="BK70" s="507" cm="1">
        <f t="array" ref="BK70">_xlfn.LET(_xlpm.DepreciationMonths,INDEX(FixedAssets[Depreciation
/ Amortization Months],_xlfn.XMATCH($E$33,FixedAssets[Asset ID])),IF(AND((_xlfn.XMATCH(BK$8,$AH$8:$CC$8))-_xlfn.XMATCH($C70,$C$35:$C$82)+1&lt;=_xlpm.DepreciationMonths,$C70&lt;=BK$8),$E70/_xlpm.DepreciationMonths,0))</f>
        <v>0</v>
      </c>
      <c r="BL70" s="507" cm="1">
        <f t="array" ref="BL70">_xlfn.LET(_xlpm.DepreciationMonths,INDEX(FixedAssets[Depreciation
/ Amortization Months],_xlfn.XMATCH($E$33,FixedAssets[Asset ID])),IF(AND((_xlfn.XMATCH(BL$8,$AH$8:$CC$8))-_xlfn.XMATCH($C70,$C$35:$C$82)+1&lt;=_xlpm.DepreciationMonths,$C70&lt;=BL$8),$E70/_xlpm.DepreciationMonths,0))</f>
        <v>0</v>
      </c>
      <c r="BM70" s="507" cm="1">
        <f t="array" ref="BM70">_xlfn.LET(_xlpm.DepreciationMonths,INDEX(FixedAssets[Depreciation
/ Amortization Months],_xlfn.XMATCH($E$33,FixedAssets[Asset ID])),IF(AND((_xlfn.XMATCH(BM$8,$AH$8:$CC$8))-_xlfn.XMATCH($C70,$C$35:$C$82)+1&lt;=_xlpm.DepreciationMonths,$C70&lt;=BM$8),$E70/_xlpm.DepreciationMonths,0))</f>
        <v>0</v>
      </c>
      <c r="BN70" s="507" cm="1">
        <f t="array" ref="BN70">_xlfn.LET(_xlpm.DepreciationMonths,INDEX(FixedAssets[Depreciation
/ Amortization Months],_xlfn.XMATCH($E$33,FixedAssets[Asset ID])),IF(AND((_xlfn.XMATCH(BN$8,$AH$8:$CC$8))-_xlfn.XMATCH($C70,$C$35:$C$82)+1&lt;=_xlpm.DepreciationMonths,$C70&lt;=BN$8),$E70/_xlpm.DepreciationMonths,0))</f>
        <v>0</v>
      </c>
      <c r="BO70" s="507" cm="1">
        <f t="array" ref="BO70">_xlfn.LET(_xlpm.DepreciationMonths,INDEX(FixedAssets[Depreciation
/ Amortization Months],_xlfn.XMATCH($E$33,FixedAssets[Asset ID])),IF(AND((_xlfn.XMATCH(BO$8,$AH$8:$CC$8))-_xlfn.XMATCH($C70,$C$35:$C$82)+1&lt;=_xlpm.DepreciationMonths,$C70&lt;=BO$8),$E70/_xlpm.DepreciationMonths,0))</f>
        <v>0</v>
      </c>
      <c r="BP70" s="507" cm="1">
        <f t="array" ref="BP70">_xlfn.LET(_xlpm.DepreciationMonths,INDEX(FixedAssets[Depreciation
/ Amortization Months],_xlfn.XMATCH($E$33,FixedAssets[Asset ID])),IF(AND((_xlfn.XMATCH(BP$8,$AH$8:$CC$8))-_xlfn.XMATCH($C70,$C$35:$C$82)+1&lt;=_xlpm.DepreciationMonths,$C70&lt;=BP$8),$E70/_xlpm.DepreciationMonths,0))</f>
        <v>0</v>
      </c>
      <c r="BQ70" s="507" cm="1">
        <f t="array" ref="BQ70">_xlfn.LET(_xlpm.DepreciationMonths,INDEX(FixedAssets[Depreciation
/ Amortization Months],_xlfn.XMATCH($E$33,FixedAssets[Asset ID])),IF(AND((_xlfn.XMATCH(BQ$8,$AH$8:$CC$8))-_xlfn.XMATCH($C70,$C$35:$C$82)+1&lt;=_xlpm.DepreciationMonths,$C70&lt;=BQ$8),$E70/_xlpm.DepreciationMonths,0))</f>
        <v>555.55555555555554</v>
      </c>
      <c r="BR70" s="507" cm="1">
        <f t="array" ref="BR70">_xlfn.LET(_xlpm.DepreciationMonths,INDEX(FixedAssets[Depreciation
/ Amortization Months],_xlfn.XMATCH($E$33,FixedAssets[Asset ID])),IF(AND((_xlfn.XMATCH(BR$8,$AH$8:$CC$8))-_xlfn.XMATCH($C70,$C$35:$C$82)+1&lt;=_xlpm.DepreciationMonths,$C70&lt;=BR$8),$E70/_xlpm.DepreciationMonths,0))</f>
        <v>555.55555555555554</v>
      </c>
      <c r="BS70" s="507" cm="1">
        <f t="array" ref="BS70">_xlfn.LET(_xlpm.DepreciationMonths,INDEX(FixedAssets[Depreciation
/ Amortization Months],_xlfn.XMATCH($E$33,FixedAssets[Asset ID])),IF(AND((_xlfn.XMATCH(BS$8,$AH$8:$CC$8))-_xlfn.XMATCH($C70,$C$35:$C$82)+1&lt;=_xlpm.DepreciationMonths,$C70&lt;=BS$8),$E70/_xlpm.DepreciationMonths,0))</f>
        <v>555.55555555555554</v>
      </c>
      <c r="BT70" s="507" cm="1">
        <f t="array" ref="BT70">_xlfn.LET(_xlpm.DepreciationMonths,INDEX(FixedAssets[Depreciation
/ Amortization Months],_xlfn.XMATCH($E$33,FixedAssets[Asset ID])),IF(AND((_xlfn.XMATCH(BT$8,$AH$8:$CC$8))-_xlfn.XMATCH($C70,$C$35:$C$82)+1&lt;=_xlpm.DepreciationMonths,$C70&lt;=BT$8),$E70/_xlpm.DepreciationMonths,0))</f>
        <v>555.55555555555554</v>
      </c>
      <c r="BU70" s="507" cm="1">
        <f t="array" ref="BU70">_xlfn.LET(_xlpm.DepreciationMonths,INDEX(FixedAssets[Depreciation
/ Amortization Months],_xlfn.XMATCH($E$33,FixedAssets[Asset ID])),IF(AND((_xlfn.XMATCH(BU$8,$AH$8:$CC$8))-_xlfn.XMATCH($C70,$C$35:$C$82)+1&lt;=_xlpm.DepreciationMonths,$C70&lt;=BU$8),$E70/_xlpm.DepreciationMonths,0))</f>
        <v>555.55555555555554</v>
      </c>
      <c r="BV70" s="507" cm="1">
        <f t="array" ref="BV70">_xlfn.LET(_xlpm.DepreciationMonths,INDEX(FixedAssets[Depreciation
/ Amortization Months],_xlfn.XMATCH($E$33,FixedAssets[Asset ID])),IF(AND((_xlfn.XMATCH(BV$8,$AH$8:$CC$8))-_xlfn.XMATCH($C70,$C$35:$C$82)+1&lt;=_xlpm.DepreciationMonths,$C70&lt;=BV$8),$E70/_xlpm.DepreciationMonths,0))</f>
        <v>555.55555555555554</v>
      </c>
      <c r="BW70" s="507" cm="1">
        <f t="array" ref="BW70">_xlfn.LET(_xlpm.DepreciationMonths,INDEX(FixedAssets[Depreciation
/ Amortization Months],_xlfn.XMATCH($E$33,FixedAssets[Asset ID])),IF(AND((_xlfn.XMATCH(BW$8,$AH$8:$CC$8))-_xlfn.XMATCH($C70,$C$35:$C$82)+1&lt;=_xlpm.DepreciationMonths,$C70&lt;=BW$8),$E70/_xlpm.DepreciationMonths,0))</f>
        <v>555.55555555555554</v>
      </c>
      <c r="BX70" s="507" cm="1">
        <f t="array" ref="BX70">_xlfn.LET(_xlpm.DepreciationMonths,INDEX(FixedAssets[Depreciation
/ Amortization Months],_xlfn.XMATCH($E$33,FixedAssets[Asset ID])),IF(AND((_xlfn.XMATCH(BX$8,$AH$8:$CC$8))-_xlfn.XMATCH($C70,$C$35:$C$82)+1&lt;=_xlpm.DepreciationMonths,$C70&lt;=BX$8),$E70/_xlpm.DepreciationMonths,0))</f>
        <v>555.55555555555554</v>
      </c>
      <c r="BY70" s="507" cm="1">
        <f t="array" ref="BY70">_xlfn.LET(_xlpm.DepreciationMonths,INDEX(FixedAssets[Depreciation
/ Amortization Months],_xlfn.XMATCH($E$33,FixedAssets[Asset ID])),IF(AND((_xlfn.XMATCH(BY$8,$AH$8:$CC$8))-_xlfn.XMATCH($C70,$C$35:$C$82)+1&lt;=_xlpm.DepreciationMonths,$C70&lt;=BY$8),$E70/_xlpm.DepreciationMonths,0))</f>
        <v>555.55555555555554</v>
      </c>
      <c r="BZ70" s="507" cm="1">
        <f t="array" ref="BZ70">_xlfn.LET(_xlpm.DepreciationMonths,INDEX(FixedAssets[Depreciation
/ Amortization Months],_xlfn.XMATCH($E$33,FixedAssets[Asset ID])),IF(AND((_xlfn.XMATCH(BZ$8,$AH$8:$CC$8))-_xlfn.XMATCH($C70,$C$35:$C$82)+1&lt;=_xlpm.DepreciationMonths,$C70&lt;=BZ$8),$E70/_xlpm.DepreciationMonths,0))</f>
        <v>555.55555555555554</v>
      </c>
      <c r="CA70" s="507" cm="1">
        <f t="array" ref="CA70">_xlfn.LET(_xlpm.DepreciationMonths,INDEX(FixedAssets[Depreciation
/ Amortization Months],_xlfn.XMATCH($E$33,FixedAssets[Asset ID])),IF(AND((_xlfn.XMATCH(CA$8,$AH$8:$CC$8))-_xlfn.XMATCH($C70,$C$35:$C$82)+1&lt;=_xlpm.DepreciationMonths,$C70&lt;=CA$8),$E70/_xlpm.DepreciationMonths,0))</f>
        <v>555.55555555555554</v>
      </c>
      <c r="CB70" s="507" cm="1">
        <f t="array" ref="CB70">_xlfn.LET(_xlpm.DepreciationMonths,INDEX(FixedAssets[Depreciation
/ Amortization Months],_xlfn.XMATCH($E$33,FixedAssets[Asset ID])),IF(AND((_xlfn.XMATCH(CB$8,$AH$8:$CC$8))-_xlfn.XMATCH($C70,$C$35:$C$82)+1&lt;=_xlpm.DepreciationMonths,$C70&lt;=CB$8),$E70/_xlpm.DepreciationMonths,0))</f>
        <v>555.55555555555554</v>
      </c>
      <c r="CC70" s="507" cm="1">
        <f t="array" ref="CC70">_xlfn.LET(_xlpm.DepreciationMonths,INDEX(FixedAssets[Depreciation
/ Amortization Months],_xlfn.XMATCH($E$33,FixedAssets[Asset ID])),IF(AND((_xlfn.XMATCH(CC$8,$AH$8:$CC$8))-_xlfn.XMATCH($C70,$C$35:$C$82)+1&lt;=_xlpm.DepreciationMonths,$C70&lt;=CC$8),$E70/_xlpm.DepreciationMonths,0))</f>
        <v>555.55555555555554</v>
      </c>
    </row>
    <row r="71" spans="3:81" hidden="1" outlineLevel="2">
      <c r="C71" s="664">
        <f t="shared" si="91"/>
        <v>46053</v>
      </c>
      <c r="D71" s="508"/>
      <c r="E71" s="508" cm="1">
        <f t="array" ref="E71">SUMPRODUCT(($AH$26:$CC$31)*($AH$5:$CC$5=$C71)*($E$26:$E$31=E$33))-SUMPRODUCT(($AH$26:$CC$31)*($AH$5:$CC$5=EOMONTH($C71,-1))*($E$26:$E$31=E$33))</f>
        <v>0</v>
      </c>
      <c r="F71" s="508"/>
      <c r="G71" s="508"/>
      <c r="H71" s="508"/>
      <c r="I71" s="508"/>
      <c r="J71" s="504">
        <f t="shared" si="88"/>
        <v>0</v>
      </c>
      <c r="K71" s="504">
        <f t="shared" si="96"/>
        <v>0</v>
      </c>
      <c r="L71" s="504">
        <f t="shared" si="96"/>
        <v>0</v>
      </c>
      <c r="M71" s="504">
        <f t="shared" si="96"/>
        <v>0</v>
      </c>
      <c r="N71" s="504"/>
      <c r="O71" s="504"/>
      <c r="P71" s="504">
        <f t="shared" si="97"/>
        <v>0</v>
      </c>
      <c r="Q71" s="504">
        <f t="shared" si="97"/>
        <v>0</v>
      </c>
      <c r="R71" s="504">
        <f t="shared" si="97"/>
        <v>0</v>
      </c>
      <c r="S71" s="504">
        <f t="shared" si="97"/>
        <v>0</v>
      </c>
      <c r="T71" s="504">
        <f t="shared" si="97"/>
        <v>0</v>
      </c>
      <c r="U71" s="504">
        <f t="shared" si="97"/>
        <v>0</v>
      </c>
      <c r="V71" s="504">
        <f t="shared" si="97"/>
        <v>0</v>
      </c>
      <c r="W71" s="504">
        <f t="shared" si="97"/>
        <v>0</v>
      </c>
      <c r="X71" s="504">
        <f t="shared" si="97"/>
        <v>0</v>
      </c>
      <c r="Y71" s="504">
        <f t="shared" si="97"/>
        <v>0</v>
      </c>
      <c r="Z71" s="504">
        <f t="shared" si="97"/>
        <v>0</v>
      </c>
      <c r="AA71" s="504">
        <f t="shared" si="97"/>
        <v>0</v>
      </c>
      <c r="AB71" s="504">
        <f t="shared" si="97"/>
        <v>0</v>
      </c>
      <c r="AC71" s="504">
        <f t="shared" si="97"/>
        <v>0</v>
      </c>
      <c r="AD71" s="504">
        <f t="shared" si="97"/>
        <v>0</v>
      </c>
      <c r="AE71" s="504">
        <f t="shared" si="97"/>
        <v>0</v>
      </c>
      <c r="AF71" s="508"/>
      <c r="AG71" s="508"/>
      <c r="AH71" s="507" cm="1">
        <f t="array" ref="AH71">_xlfn.LET(_xlpm.DepreciationMonths,INDEX(FixedAssets[Depreciation
/ Amortization Months],_xlfn.XMATCH($E$33,FixedAssets[Asset ID])),IF(AND((_xlfn.XMATCH(AH$8,$AH$8:$CC$8))-_xlfn.XMATCH($C71,$C$35:$C$82)+1&lt;=_xlpm.DepreciationMonths,$C71&lt;=AH$8),$E71/_xlpm.DepreciationMonths,0))</f>
        <v>0</v>
      </c>
      <c r="AI71" s="507" cm="1">
        <f t="array" ref="AI71">_xlfn.LET(_xlpm.DepreciationMonths,INDEX(FixedAssets[Depreciation
/ Amortization Months],_xlfn.XMATCH($E$33,FixedAssets[Asset ID])),IF(AND((_xlfn.XMATCH(AI$8,$AH$8:$CC$8))-_xlfn.XMATCH($C71,$C$35:$C$82)+1&lt;=_xlpm.DepreciationMonths,$C71&lt;=AI$8),$E71/_xlpm.DepreciationMonths,0))</f>
        <v>0</v>
      </c>
      <c r="AJ71" s="507" cm="1">
        <f t="array" ref="AJ71">_xlfn.LET(_xlpm.DepreciationMonths,INDEX(FixedAssets[Depreciation
/ Amortization Months],_xlfn.XMATCH($E$33,FixedAssets[Asset ID])),IF(AND((_xlfn.XMATCH(AJ$8,$AH$8:$CC$8))-_xlfn.XMATCH($C71,$C$35:$C$82)+1&lt;=_xlpm.DepreciationMonths,$C71&lt;=AJ$8),$E71/_xlpm.DepreciationMonths,0))</f>
        <v>0</v>
      </c>
      <c r="AK71" s="507" cm="1">
        <f t="array" ref="AK71">_xlfn.LET(_xlpm.DepreciationMonths,INDEX(FixedAssets[Depreciation
/ Amortization Months],_xlfn.XMATCH($E$33,FixedAssets[Asset ID])),IF(AND((_xlfn.XMATCH(AK$8,$AH$8:$CC$8))-_xlfn.XMATCH($C71,$C$35:$C$82)+1&lt;=_xlpm.DepreciationMonths,$C71&lt;=AK$8),$E71/_xlpm.DepreciationMonths,0))</f>
        <v>0</v>
      </c>
      <c r="AL71" s="507" cm="1">
        <f t="array" ref="AL71">_xlfn.LET(_xlpm.DepreciationMonths,INDEX(FixedAssets[Depreciation
/ Amortization Months],_xlfn.XMATCH($E$33,FixedAssets[Asset ID])),IF(AND((_xlfn.XMATCH(AL$8,$AH$8:$CC$8))-_xlfn.XMATCH($C71,$C$35:$C$82)+1&lt;=_xlpm.DepreciationMonths,$C71&lt;=AL$8),$E71/_xlpm.DepreciationMonths,0))</f>
        <v>0</v>
      </c>
      <c r="AM71" s="507" cm="1">
        <f t="array" ref="AM71">_xlfn.LET(_xlpm.DepreciationMonths,INDEX(FixedAssets[Depreciation
/ Amortization Months],_xlfn.XMATCH($E$33,FixedAssets[Asset ID])),IF(AND((_xlfn.XMATCH(AM$8,$AH$8:$CC$8))-_xlfn.XMATCH($C71,$C$35:$C$82)+1&lt;=_xlpm.DepreciationMonths,$C71&lt;=AM$8),$E71/_xlpm.DepreciationMonths,0))</f>
        <v>0</v>
      </c>
      <c r="AN71" s="507" cm="1">
        <f t="array" ref="AN71">_xlfn.LET(_xlpm.DepreciationMonths,INDEX(FixedAssets[Depreciation
/ Amortization Months],_xlfn.XMATCH($E$33,FixedAssets[Asset ID])),IF(AND((_xlfn.XMATCH(AN$8,$AH$8:$CC$8))-_xlfn.XMATCH($C71,$C$35:$C$82)+1&lt;=_xlpm.DepreciationMonths,$C71&lt;=AN$8),$E71/_xlpm.DepreciationMonths,0))</f>
        <v>0</v>
      </c>
      <c r="AO71" s="507" cm="1">
        <f t="array" ref="AO71">_xlfn.LET(_xlpm.DepreciationMonths,INDEX(FixedAssets[Depreciation
/ Amortization Months],_xlfn.XMATCH($E$33,FixedAssets[Asset ID])),IF(AND((_xlfn.XMATCH(AO$8,$AH$8:$CC$8))-_xlfn.XMATCH($C71,$C$35:$C$82)+1&lt;=_xlpm.DepreciationMonths,$C71&lt;=AO$8),$E71/_xlpm.DepreciationMonths,0))</f>
        <v>0</v>
      </c>
      <c r="AP71" s="507" cm="1">
        <f t="array" ref="AP71">_xlfn.LET(_xlpm.DepreciationMonths,INDEX(FixedAssets[Depreciation
/ Amortization Months],_xlfn.XMATCH($E$33,FixedAssets[Asset ID])),IF(AND((_xlfn.XMATCH(AP$8,$AH$8:$CC$8))-_xlfn.XMATCH($C71,$C$35:$C$82)+1&lt;=_xlpm.DepreciationMonths,$C71&lt;=AP$8),$E71/_xlpm.DepreciationMonths,0))</f>
        <v>0</v>
      </c>
      <c r="AQ71" s="507" cm="1">
        <f t="array" ref="AQ71">_xlfn.LET(_xlpm.DepreciationMonths,INDEX(FixedAssets[Depreciation
/ Amortization Months],_xlfn.XMATCH($E$33,FixedAssets[Asset ID])),IF(AND((_xlfn.XMATCH(AQ$8,$AH$8:$CC$8))-_xlfn.XMATCH($C71,$C$35:$C$82)+1&lt;=_xlpm.DepreciationMonths,$C71&lt;=AQ$8),$E71/_xlpm.DepreciationMonths,0))</f>
        <v>0</v>
      </c>
      <c r="AR71" s="507" cm="1">
        <f t="array" ref="AR71">_xlfn.LET(_xlpm.DepreciationMonths,INDEX(FixedAssets[Depreciation
/ Amortization Months],_xlfn.XMATCH($E$33,FixedAssets[Asset ID])),IF(AND((_xlfn.XMATCH(AR$8,$AH$8:$CC$8))-_xlfn.XMATCH($C71,$C$35:$C$82)+1&lt;=_xlpm.DepreciationMonths,$C71&lt;=AR$8),$E71/_xlpm.DepreciationMonths,0))</f>
        <v>0</v>
      </c>
      <c r="AS71" s="507" cm="1">
        <f t="array" ref="AS71">_xlfn.LET(_xlpm.DepreciationMonths,INDEX(FixedAssets[Depreciation
/ Amortization Months],_xlfn.XMATCH($E$33,FixedAssets[Asset ID])),IF(AND((_xlfn.XMATCH(AS$8,$AH$8:$CC$8))-_xlfn.XMATCH($C71,$C$35:$C$82)+1&lt;=_xlpm.DepreciationMonths,$C71&lt;=AS$8),$E71/_xlpm.DepreciationMonths,0))</f>
        <v>0</v>
      </c>
      <c r="AT71" s="507" cm="1">
        <f t="array" ref="AT71">_xlfn.LET(_xlpm.DepreciationMonths,INDEX(FixedAssets[Depreciation
/ Amortization Months],_xlfn.XMATCH($E$33,FixedAssets[Asset ID])),IF(AND((_xlfn.XMATCH(AT$8,$AH$8:$CC$8))-_xlfn.XMATCH($C71,$C$35:$C$82)+1&lt;=_xlpm.DepreciationMonths,$C71&lt;=AT$8),$E71/_xlpm.DepreciationMonths,0))</f>
        <v>0</v>
      </c>
      <c r="AU71" s="507" cm="1">
        <f t="array" ref="AU71">_xlfn.LET(_xlpm.DepreciationMonths,INDEX(FixedAssets[Depreciation
/ Amortization Months],_xlfn.XMATCH($E$33,FixedAssets[Asset ID])),IF(AND((_xlfn.XMATCH(AU$8,$AH$8:$CC$8))-_xlfn.XMATCH($C71,$C$35:$C$82)+1&lt;=_xlpm.DepreciationMonths,$C71&lt;=AU$8),$E71/_xlpm.DepreciationMonths,0))</f>
        <v>0</v>
      </c>
      <c r="AV71" s="507" cm="1">
        <f t="array" ref="AV71">_xlfn.LET(_xlpm.DepreciationMonths,INDEX(FixedAssets[Depreciation
/ Amortization Months],_xlfn.XMATCH($E$33,FixedAssets[Asset ID])),IF(AND((_xlfn.XMATCH(AV$8,$AH$8:$CC$8))-_xlfn.XMATCH($C71,$C$35:$C$82)+1&lt;=_xlpm.DepreciationMonths,$C71&lt;=AV$8),$E71/_xlpm.DepreciationMonths,0))</f>
        <v>0</v>
      </c>
      <c r="AW71" s="507" cm="1">
        <f t="array" ref="AW71">_xlfn.LET(_xlpm.DepreciationMonths,INDEX(FixedAssets[Depreciation
/ Amortization Months],_xlfn.XMATCH($E$33,FixedAssets[Asset ID])),IF(AND((_xlfn.XMATCH(AW$8,$AH$8:$CC$8))-_xlfn.XMATCH($C71,$C$35:$C$82)+1&lt;=_xlpm.DepreciationMonths,$C71&lt;=AW$8),$E71/_xlpm.DepreciationMonths,0))</f>
        <v>0</v>
      </c>
      <c r="AX71" s="507" cm="1">
        <f t="array" ref="AX71">_xlfn.LET(_xlpm.DepreciationMonths,INDEX(FixedAssets[Depreciation
/ Amortization Months],_xlfn.XMATCH($E$33,FixedAssets[Asset ID])),IF(AND((_xlfn.XMATCH(AX$8,$AH$8:$CC$8))-_xlfn.XMATCH($C71,$C$35:$C$82)+1&lt;=_xlpm.DepreciationMonths,$C71&lt;=AX$8),$E71/_xlpm.DepreciationMonths,0))</f>
        <v>0</v>
      </c>
      <c r="AY71" s="507" cm="1">
        <f t="array" ref="AY71">_xlfn.LET(_xlpm.DepreciationMonths,INDEX(FixedAssets[Depreciation
/ Amortization Months],_xlfn.XMATCH($E$33,FixedAssets[Asset ID])),IF(AND((_xlfn.XMATCH(AY$8,$AH$8:$CC$8))-_xlfn.XMATCH($C71,$C$35:$C$82)+1&lt;=_xlpm.DepreciationMonths,$C71&lt;=AY$8),$E71/_xlpm.DepreciationMonths,0))</f>
        <v>0</v>
      </c>
      <c r="AZ71" s="507" cm="1">
        <f t="array" ref="AZ71">_xlfn.LET(_xlpm.DepreciationMonths,INDEX(FixedAssets[Depreciation
/ Amortization Months],_xlfn.XMATCH($E$33,FixedAssets[Asset ID])),IF(AND((_xlfn.XMATCH(AZ$8,$AH$8:$CC$8))-_xlfn.XMATCH($C71,$C$35:$C$82)+1&lt;=_xlpm.DepreciationMonths,$C71&lt;=AZ$8),$E71/_xlpm.DepreciationMonths,0))</f>
        <v>0</v>
      </c>
      <c r="BA71" s="507" cm="1">
        <f t="array" ref="BA71">_xlfn.LET(_xlpm.DepreciationMonths,INDEX(FixedAssets[Depreciation
/ Amortization Months],_xlfn.XMATCH($E$33,FixedAssets[Asset ID])),IF(AND((_xlfn.XMATCH(BA$8,$AH$8:$CC$8))-_xlfn.XMATCH($C71,$C$35:$C$82)+1&lt;=_xlpm.DepreciationMonths,$C71&lt;=BA$8),$E71/_xlpm.DepreciationMonths,0))</f>
        <v>0</v>
      </c>
      <c r="BB71" s="507" cm="1">
        <f t="array" ref="BB71">_xlfn.LET(_xlpm.DepreciationMonths,INDEX(FixedAssets[Depreciation
/ Amortization Months],_xlfn.XMATCH($E$33,FixedAssets[Asset ID])),IF(AND((_xlfn.XMATCH(BB$8,$AH$8:$CC$8))-_xlfn.XMATCH($C71,$C$35:$C$82)+1&lt;=_xlpm.DepreciationMonths,$C71&lt;=BB$8),$E71/_xlpm.DepreciationMonths,0))</f>
        <v>0</v>
      </c>
      <c r="BC71" s="507" cm="1">
        <f t="array" ref="BC71">_xlfn.LET(_xlpm.DepreciationMonths,INDEX(FixedAssets[Depreciation
/ Amortization Months],_xlfn.XMATCH($E$33,FixedAssets[Asset ID])),IF(AND((_xlfn.XMATCH(BC$8,$AH$8:$CC$8))-_xlfn.XMATCH($C71,$C$35:$C$82)+1&lt;=_xlpm.DepreciationMonths,$C71&lt;=BC$8),$E71/_xlpm.DepreciationMonths,0))</f>
        <v>0</v>
      </c>
      <c r="BD71" s="507" cm="1">
        <f t="array" ref="BD71">_xlfn.LET(_xlpm.DepreciationMonths,INDEX(FixedAssets[Depreciation
/ Amortization Months],_xlfn.XMATCH($E$33,FixedAssets[Asset ID])),IF(AND((_xlfn.XMATCH(BD$8,$AH$8:$CC$8))-_xlfn.XMATCH($C71,$C$35:$C$82)+1&lt;=_xlpm.DepreciationMonths,$C71&lt;=BD$8),$E71/_xlpm.DepreciationMonths,0))</f>
        <v>0</v>
      </c>
      <c r="BE71" s="507" cm="1">
        <f t="array" ref="BE71">_xlfn.LET(_xlpm.DepreciationMonths,INDEX(FixedAssets[Depreciation
/ Amortization Months],_xlfn.XMATCH($E$33,FixedAssets[Asset ID])),IF(AND((_xlfn.XMATCH(BE$8,$AH$8:$CC$8))-_xlfn.XMATCH($C71,$C$35:$C$82)+1&lt;=_xlpm.DepreciationMonths,$C71&lt;=BE$8),$E71/_xlpm.DepreciationMonths,0))</f>
        <v>0</v>
      </c>
      <c r="BF71" s="507" cm="1">
        <f t="array" ref="BF71">_xlfn.LET(_xlpm.DepreciationMonths,INDEX(FixedAssets[Depreciation
/ Amortization Months],_xlfn.XMATCH($E$33,FixedAssets[Asset ID])),IF(AND((_xlfn.XMATCH(BF$8,$AH$8:$CC$8))-_xlfn.XMATCH($C71,$C$35:$C$82)+1&lt;=_xlpm.DepreciationMonths,$C71&lt;=BF$8),$E71/_xlpm.DepreciationMonths,0))</f>
        <v>0</v>
      </c>
      <c r="BG71" s="507" cm="1">
        <f t="array" ref="BG71">_xlfn.LET(_xlpm.DepreciationMonths,INDEX(FixedAssets[Depreciation
/ Amortization Months],_xlfn.XMATCH($E$33,FixedAssets[Asset ID])),IF(AND((_xlfn.XMATCH(BG$8,$AH$8:$CC$8))-_xlfn.XMATCH($C71,$C$35:$C$82)+1&lt;=_xlpm.DepreciationMonths,$C71&lt;=BG$8),$E71/_xlpm.DepreciationMonths,0))</f>
        <v>0</v>
      </c>
      <c r="BH71" s="507" cm="1">
        <f t="array" ref="BH71">_xlfn.LET(_xlpm.DepreciationMonths,INDEX(FixedAssets[Depreciation
/ Amortization Months],_xlfn.XMATCH($E$33,FixedAssets[Asset ID])),IF(AND((_xlfn.XMATCH(BH$8,$AH$8:$CC$8))-_xlfn.XMATCH($C71,$C$35:$C$82)+1&lt;=_xlpm.DepreciationMonths,$C71&lt;=BH$8),$E71/_xlpm.DepreciationMonths,0))</f>
        <v>0</v>
      </c>
      <c r="BI71" s="507" cm="1">
        <f t="array" ref="BI71">_xlfn.LET(_xlpm.DepreciationMonths,INDEX(FixedAssets[Depreciation
/ Amortization Months],_xlfn.XMATCH($E$33,FixedAssets[Asset ID])),IF(AND((_xlfn.XMATCH(BI$8,$AH$8:$CC$8))-_xlfn.XMATCH($C71,$C$35:$C$82)+1&lt;=_xlpm.DepreciationMonths,$C71&lt;=BI$8),$E71/_xlpm.DepreciationMonths,0))</f>
        <v>0</v>
      </c>
      <c r="BJ71" s="507" cm="1">
        <f t="array" ref="BJ71">_xlfn.LET(_xlpm.DepreciationMonths,INDEX(FixedAssets[Depreciation
/ Amortization Months],_xlfn.XMATCH($E$33,FixedAssets[Asset ID])),IF(AND((_xlfn.XMATCH(BJ$8,$AH$8:$CC$8))-_xlfn.XMATCH($C71,$C$35:$C$82)+1&lt;=_xlpm.DepreciationMonths,$C71&lt;=BJ$8),$E71/_xlpm.DepreciationMonths,0))</f>
        <v>0</v>
      </c>
      <c r="BK71" s="507" cm="1">
        <f t="array" ref="BK71">_xlfn.LET(_xlpm.DepreciationMonths,INDEX(FixedAssets[Depreciation
/ Amortization Months],_xlfn.XMATCH($E$33,FixedAssets[Asset ID])),IF(AND((_xlfn.XMATCH(BK$8,$AH$8:$CC$8))-_xlfn.XMATCH($C71,$C$35:$C$82)+1&lt;=_xlpm.DepreciationMonths,$C71&lt;=BK$8),$E71/_xlpm.DepreciationMonths,0))</f>
        <v>0</v>
      </c>
      <c r="BL71" s="507" cm="1">
        <f t="array" ref="BL71">_xlfn.LET(_xlpm.DepreciationMonths,INDEX(FixedAssets[Depreciation
/ Amortization Months],_xlfn.XMATCH($E$33,FixedAssets[Asset ID])),IF(AND((_xlfn.XMATCH(BL$8,$AH$8:$CC$8))-_xlfn.XMATCH($C71,$C$35:$C$82)+1&lt;=_xlpm.DepreciationMonths,$C71&lt;=BL$8),$E71/_xlpm.DepreciationMonths,0))</f>
        <v>0</v>
      </c>
      <c r="BM71" s="507" cm="1">
        <f t="array" ref="BM71">_xlfn.LET(_xlpm.DepreciationMonths,INDEX(FixedAssets[Depreciation
/ Amortization Months],_xlfn.XMATCH($E$33,FixedAssets[Asset ID])),IF(AND((_xlfn.XMATCH(BM$8,$AH$8:$CC$8))-_xlfn.XMATCH($C71,$C$35:$C$82)+1&lt;=_xlpm.DepreciationMonths,$C71&lt;=BM$8),$E71/_xlpm.DepreciationMonths,0))</f>
        <v>0</v>
      </c>
      <c r="BN71" s="507" cm="1">
        <f t="array" ref="BN71">_xlfn.LET(_xlpm.DepreciationMonths,INDEX(FixedAssets[Depreciation
/ Amortization Months],_xlfn.XMATCH($E$33,FixedAssets[Asset ID])),IF(AND((_xlfn.XMATCH(BN$8,$AH$8:$CC$8))-_xlfn.XMATCH($C71,$C$35:$C$82)+1&lt;=_xlpm.DepreciationMonths,$C71&lt;=BN$8),$E71/_xlpm.DepreciationMonths,0))</f>
        <v>0</v>
      </c>
      <c r="BO71" s="507" cm="1">
        <f t="array" ref="BO71">_xlfn.LET(_xlpm.DepreciationMonths,INDEX(FixedAssets[Depreciation
/ Amortization Months],_xlfn.XMATCH($E$33,FixedAssets[Asset ID])),IF(AND((_xlfn.XMATCH(BO$8,$AH$8:$CC$8))-_xlfn.XMATCH($C71,$C$35:$C$82)+1&lt;=_xlpm.DepreciationMonths,$C71&lt;=BO$8),$E71/_xlpm.DepreciationMonths,0))</f>
        <v>0</v>
      </c>
      <c r="BP71" s="507" cm="1">
        <f t="array" ref="BP71">_xlfn.LET(_xlpm.DepreciationMonths,INDEX(FixedAssets[Depreciation
/ Amortization Months],_xlfn.XMATCH($E$33,FixedAssets[Asset ID])),IF(AND((_xlfn.XMATCH(BP$8,$AH$8:$CC$8))-_xlfn.XMATCH($C71,$C$35:$C$82)+1&lt;=_xlpm.DepreciationMonths,$C71&lt;=BP$8),$E71/_xlpm.DepreciationMonths,0))</f>
        <v>0</v>
      </c>
      <c r="BQ71" s="507" cm="1">
        <f t="array" ref="BQ71">_xlfn.LET(_xlpm.DepreciationMonths,INDEX(FixedAssets[Depreciation
/ Amortization Months],_xlfn.XMATCH($E$33,FixedAssets[Asset ID])),IF(AND((_xlfn.XMATCH(BQ$8,$AH$8:$CC$8))-_xlfn.XMATCH($C71,$C$35:$C$82)+1&lt;=_xlpm.DepreciationMonths,$C71&lt;=BQ$8),$E71/_xlpm.DepreciationMonths,0))</f>
        <v>0</v>
      </c>
      <c r="BR71" s="507" cm="1">
        <f t="array" ref="BR71">_xlfn.LET(_xlpm.DepreciationMonths,INDEX(FixedAssets[Depreciation
/ Amortization Months],_xlfn.XMATCH($E$33,FixedAssets[Asset ID])),IF(AND((_xlfn.XMATCH(BR$8,$AH$8:$CC$8))-_xlfn.XMATCH($C71,$C$35:$C$82)+1&lt;=_xlpm.DepreciationMonths,$C71&lt;=BR$8),$E71/_xlpm.DepreciationMonths,0))</f>
        <v>0</v>
      </c>
      <c r="BS71" s="507" cm="1">
        <f t="array" ref="BS71">_xlfn.LET(_xlpm.DepreciationMonths,INDEX(FixedAssets[Depreciation
/ Amortization Months],_xlfn.XMATCH($E$33,FixedAssets[Asset ID])),IF(AND((_xlfn.XMATCH(BS$8,$AH$8:$CC$8))-_xlfn.XMATCH($C71,$C$35:$C$82)+1&lt;=_xlpm.DepreciationMonths,$C71&lt;=BS$8),$E71/_xlpm.DepreciationMonths,0))</f>
        <v>0</v>
      </c>
      <c r="BT71" s="507" cm="1">
        <f t="array" ref="BT71">_xlfn.LET(_xlpm.DepreciationMonths,INDEX(FixedAssets[Depreciation
/ Amortization Months],_xlfn.XMATCH($E$33,FixedAssets[Asset ID])),IF(AND((_xlfn.XMATCH(BT$8,$AH$8:$CC$8))-_xlfn.XMATCH($C71,$C$35:$C$82)+1&lt;=_xlpm.DepreciationMonths,$C71&lt;=BT$8),$E71/_xlpm.DepreciationMonths,0))</f>
        <v>0</v>
      </c>
      <c r="BU71" s="507" cm="1">
        <f t="array" ref="BU71">_xlfn.LET(_xlpm.DepreciationMonths,INDEX(FixedAssets[Depreciation
/ Amortization Months],_xlfn.XMATCH($E$33,FixedAssets[Asset ID])),IF(AND((_xlfn.XMATCH(BU$8,$AH$8:$CC$8))-_xlfn.XMATCH($C71,$C$35:$C$82)+1&lt;=_xlpm.DepreciationMonths,$C71&lt;=BU$8),$E71/_xlpm.DepreciationMonths,0))</f>
        <v>0</v>
      </c>
      <c r="BV71" s="507" cm="1">
        <f t="array" ref="BV71">_xlfn.LET(_xlpm.DepreciationMonths,INDEX(FixedAssets[Depreciation
/ Amortization Months],_xlfn.XMATCH($E$33,FixedAssets[Asset ID])),IF(AND((_xlfn.XMATCH(BV$8,$AH$8:$CC$8))-_xlfn.XMATCH($C71,$C$35:$C$82)+1&lt;=_xlpm.DepreciationMonths,$C71&lt;=BV$8),$E71/_xlpm.DepreciationMonths,0))</f>
        <v>0</v>
      </c>
      <c r="BW71" s="507" cm="1">
        <f t="array" ref="BW71">_xlfn.LET(_xlpm.DepreciationMonths,INDEX(FixedAssets[Depreciation
/ Amortization Months],_xlfn.XMATCH($E$33,FixedAssets[Asset ID])),IF(AND((_xlfn.XMATCH(BW$8,$AH$8:$CC$8))-_xlfn.XMATCH($C71,$C$35:$C$82)+1&lt;=_xlpm.DepreciationMonths,$C71&lt;=BW$8),$E71/_xlpm.DepreciationMonths,0))</f>
        <v>0</v>
      </c>
      <c r="BX71" s="507" cm="1">
        <f t="array" ref="BX71">_xlfn.LET(_xlpm.DepreciationMonths,INDEX(FixedAssets[Depreciation
/ Amortization Months],_xlfn.XMATCH($E$33,FixedAssets[Asset ID])),IF(AND((_xlfn.XMATCH(BX$8,$AH$8:$CC$8))-_xlfn.XMATCH($C71,$C$35:$C$82)+1&lt;=_xlpm.DepreciationMonths,$C71&lt;=BX$8),$E71/_xlpm.DepreciationMonths,0))</f>
        <v>0</v>
      </c>
      <c r="BY71" s="507" cm="1">
        <f t="array" ref="BY71">_xlfn.LET(_xlpm.DepreciationMonths,INDEX(FixedAssets[Depreciation
/ Amortization Months],_xlfn.XMATCH($E$33,FixedAssets[Asset ID])),IF(AND((_xlfn.XMATCH(BY$8,$AH$8:$CC$8))-_xlfn.XMATCH($C71,$C$35:$C$82)+1&lt;=_xlpm.DepreciationMonths,$C71&lt;=BY$8),$E71/_xlpm.DepreciationMonths,0))</f>
        <v>0</v>
      </c>
      <c r="BZ71" s="507" cm="1">
        <f t="array" ref="BZ71">_xlfn.LET(_xlpm.DepreciationMonths,INDEX(FixedAssets[Depreciation
/ Amortization Months],_xlfn.XMATCH($E$33,FixedAssets[Asset ID])),IF(AND((_xlfn.XMATCH(BZ$8,$AH$8:$CC$8))-_xlfn.XMATCH($C71,$C$35:$C$82)+1&lt;=_xlpm.DepreciationMonths,$C71&lt;=BZ$8),$E71/_xlpm.DepreciationMonths,0))</f>
        <v>0</v>
      </c>
      <c r="CA71" s="507" cm="1">
        <f t="array" ref="CA71">_xlfn.LET(_xlpm.DepreciationMonths,INDEX(FixedAssets[Depreciation
/ Amortization Months],_xlfn.XMATCH($E$33,FixedAssets[Asset ID])),IF(AND((_xlfn.XMATCH(CA$8,$AH$8:$CC$8))-_xlfn.XMATCH($C71,$C$35:$C$82)+1&lt;=_xlpm.DepreciationMonths,$C71&lt;=CA$8),$E71/_xlpm.DepreciationMonths,0))</f>
        <v>0</v>
      </c>
      <c r="CB71" s="507" cm="1">
        <f t="array" ref="CB71">_xlfn.LET(_xlpm.DepreciationMonths,INDEX(FixedAssets[Depreciation
/ Amortization Months],_xlfn.XMATCH($E$33,FixedAssets[Asset ID])),IF(AND((_xlfn.XMATCH(CB$8,$AH$8:$CC$8))-_xlfn.XMATCH($C71,$C$35:$C$82)+1&lt;=_xlpm.DepreciationMonths,$C71&lt;=CB$8),$E71/_xlpm.DepreciationMonths,0))</f>
        <v>0</v>
      </c>
      <c r="CC71" s="507" cm="1">
        <f t="array" ref="CC71">_xlfn.LET(_xlpm.DepreciationMonths,INDEX(FixedAssets[Depreciation
/ Amortization Months],_xlfn.XMATCH($E$33,FixedAssets[Asset ID])),IF(AND((_xlfn.XMATCH(CC$8,$AH$8:$CC$8))-_xlfn.XMATCH($C71,$C$35:$C$82)+1&lt;=_xlpm.DepreciationMonths,$C71&lt;=CC$8),$E71/_xlpm.DepreciationMonths,0))</f>
        <v>0</v>
      </c>
    </row>
    <row r="72" spans="3:81" hidden="1" outlineLevel="2">
      <c r="C72" s="664">
        <f t="shared" si="91"/>
        <v>46081</v>
      </c>
      <c r="D72" s="508"/>
      <c r="E72" s="508" cm="1">
        <f t="array" ref="E72">SUMPRODUCT(($AH$26:$CC$31)*($AH$5:$CC$5=$C72)*($E$26:$E$31=E$33))-SUMPRODUCT(($AH$26:$CC$31)*($AH$5:$CC$5=EOMONTH($C72,-1))*($E$26:$E$31=E$33))</f>
        <v>0</v>
      </c>
      <c r="F72" s="508"/>
      <c r="G72" s="508"/>
      <c r="H72" s="508"/>
      <c r="I72" s="508"/>
      <c r="J72" s="504">
        <f t="shared" si="88"/>
        <v>0</v>
      </c>
      <c r="K72" s="504">
        <f t="shared" si="96"/>
        <v>0</v>
      </c>
      <c r="L72" s="504">
        <f t="shared" si="96"/>
        <v>0</v>
      </c>
      <c r="M72" s="504">
        <f t="shared" si="96"/>
        <v>0</v>
      </c>
      <c r="N72" s="504"/>
      <c r="O72" s="504"/>
      <c r="P72" s="504">
        <f t="shared" si="97"/>
        <v>0</v>
      </c>
      <c r="Q72" s="504">
        <f t="shared" si="97"/>
        <v>0</v>
      </c>
      <c r="R72" s="504">
        <f t="shared" si="97"/>
        <v>0</v>
      </c>
      <c r="S72" s="504">
        <f t="shared" si="97"/>
        <v>0</v>
      </c>
      <c r="T72" s="504">
        <f t="shared" si="97"/>
        <v>0</v>
      </c>
      <c r="U72" s="504">
        <f t="shared" si="97"/>
        <v>0</v>
      </c>
      <c r="V72" s="504">
        <f t="shared" si="97"/>
        <v>0</v>
      </c>
      <c r="W72" s="504">
        <f t="shared" si="97"/>
        <v>0</v>
      </c>
      <c r="X72" s="504">
        <f t="shared" si="97"/>
        <v>0</v>
      </c>
      <c r="Y72" s="504">
        <f t="shared" si="97"/>
        <v>0</v>
      </c>
      <c r="Z72" s="504">
        <f t="shared" si="97"/>
        <v>0</v>
      </c>
      <c r="AA72" s="504">
        <f t="shared" si="97"/>
        <v>0</v>
      </c>
      <c r="AB72" s="504">
        <f t="shared" si="97"/>
        <v>0</v>
      </c>
      <c r="AC72" s="504">
        <f t="shared" si="97"/>
        <v>0</v>
      </c>
      <c r="AD72" s="504">
        <f t="shared" si="97"/>
        <v>0</v>
      </c>
      <c r="AE72" s="504">
        <f t="shared" si="97"/>
        <v>0</v>
      </c>
      <c r="AF72" s="508"/>
      <c r="AG72" s="508"/>
      <c r="AH72" s="507" cm="1">
        <f t="array" ref="AH72">_xlfn.LET(_xlpm.DepreciationMonths,INDEX(FixedAssets[Depreciation
/ Amortization Months],_xlfn.XMATCH($E$33,FixedAssets[Asset ID])),IF(AND((_xlfn.XMATCH(AH$8,$AH$8:$CC$8))-_xlfn.XMATCH($C72,$C$35:$C$82)+1&lt;=_xlpm.DepreciationMonths,$C72&lt;=AH$8),$E72/_xlpm.DepreciationMonths,0))</f>
        <v>0</v>
      </c>
      <c r="AI72" s="507" cm="1">
        <f t="array" ref="AI72">_xlfn.LET(_xlpm.DepreciationMonths,INDEX(FixedAssets[Depreciation
/ Amortization Months],_xlfn.XMATCH($E$33,FixedAssets[Asset ID])),IF(AND((_xlfn.XMATCH(AI$8,$AH$8:$CC$8))-_xlfn.XMATCH($C72,$C$35:$C$82)+1&lt;=_xlpm.DepreciationMonths,$C72&lt;=AI$8),$E72/_xlpm.DepreciationMonths,0))</f>
        <v>0</v>
      </c>
      <c r="AJ72" s="507" cm="1">
        <f t="array" ref="AJ72">_xlfn.LET(_xlpm.DepreciationMonths,INDEX(FixedAssets[Depreciation
/ Amortization Months],_xlfn.XMATCH($E$33,FixedAssets[Asset ID])),IF(AND((_xlfn.XMATCH(AJ$8,$AH$8:$CC$8))-_xlfn.XMATCH($C72,$C$35:$C$82)+1&lt;=_xlpm.DepreciationMonths,$C72&lt;=AJ$8),$E72/_xlpm.DepreciationMonths,0))</f>
        <v>0</v>
      </c>
      <c r="AK72" s="507" cm="1">
        <f t="array" ref="AK72">_xlfn.LET(_xlpm.DepreciationMonths,INDEX(FixedAssets[Depreciation
/ Amortization Months],_xlfn.XMATCH($E$33,FixedAssets[Asset ID])),IF(AND((_xlfn.XMATCH(AK$8,$AH$8:$CC$8))-_xlfn.XMATCH($C72,$C$35:$C$82)+1&lt;=_xlpm.DepreciationMonths,$C72&lt;=AK$8),$E72/_xlpm.DepreciationMonths,0))</f>
        <v>0</v>
      </c>
      <c r="AL72" s="507" cm="1">
        <f t="array" ref="AL72">_xlfn.LET(_xlpm.DepreciationMonths,INDEX(FixedAssets[Depreciation
/ Amortization Months],_xlfn.XMATCH($E$33,FixedAssets[Asset ID])),IF(AND((_xlfn.XMATCH(AL$8,$AH$8:$CC$8))-_xlfn.XMATCH($C72,$C$35:$C$82)+1&lt;=_xlpm.DepreciationMonths,$C72&lt;=AL$8),$E72/_xlpm.DepreciationMonths,0))</f>
        <v>0</v>
      </c>
      <c r="AM72" s="507" cm="1">
        <f t="array" ref="AM72">_xlfn.LET(_xlpm.DepreciationMonths,INDEX(FixedAssets[Depreciation
/ Amortization Months],_xlfn.XMATCH($E$33,FixedAssets[Asset ID])),IF(AND((_xlfn.XMATCH(AM$8,$AH$8:$CC$8))-_xlfn.XMATCH($C72,$C$35:$C$82)+1&lt;=_xlpm.DepreciationMonths,$C72&lt;=AM$8),$E72/_xlpm.DepreciationMonths,0))</f>
        <v>0</v>
      </c>
      <c r="AN72" s="507" cm="1">
        <f t="array" ref="AN72">_xlfn.LET(_xlpm.DepreciationMonths,INDEX(FixedAssets[Depreciation
/ Amortization Months],_xlfn.XMATCH($E$33,FixedAssets[Asset ID])),IF(AND((_xlfn.XMATCH(AN$8,$AH$8:$CC$8))-_xlfn.XMATCH($C72,$C$35:$C$82)+1&lt;=_xlpm.DepreciationMonths,$C72&lt;=AN$8),$E72/_xlpm.DepreciationMonths,0))</f>
        <v>0</v>
      </c>
      <c r="AO72" s="507" cm="1">
        <f t="array" ref="AO72">_xlfn.LET(_xlpm.DepreciationMonths,INDEX(FixedAssets[Depreciation
/ Amortization Months],_xlfn.XMATCH($E$33,FixedAssets[Asset ID])),IF(AND((_xlfn.XMATCH(AO$8,$AH$8:$CC$8))-_xlfn.XMATCH($C72,$C$35:$C$82)+1&lt;=_xlpm.DepreciationMonths,$C72&lt;=AO$8),$E72/_xlpm.DepreciationMonths,0))</f>
        <v>0</v>
      </c>
      <c r="AP72" s="507" cm="1">
        <f t="array" ref="AP72">_xlfn.LET(_xlpm.DepreciationMonths,INDEX(FixedAssets[Depreciation
/ Amortization Months],_xlfn.XMATCH($E$33,FixedAssets[Asset ID])),IF(AND((_xlfn.XMATCH(AP$8,$AH$8:$CC$8))-_xlfn.XMATCH($C72,$C$35:$C$82)+1&lt;=_xlpm.DepreciationMonths,$C72&lt;=AP$8),$E72/_xlpm.DepreciationMonths,0))</f>
        <v>0</v>
      </c>
      <c r="AQ72" s="507" cm="1">
        <f t="array" ref="AQ72">_xlfn.LET(_xlpm.DepreciationMonths,INDEX(FixedAssets[Depreciation
/ Amortization Months],_xlfn.XMATCH($E$33,FixedAssets[Asset ID])),IF(AND((_xlfn.XMATCH(AQ$8,$AH$8:$CC$8))-_xlfn.XMATCH($C72,$C$35:$C$82)+1&lt;=_xlpm.DepreciationMonths,$C72&lt;=AQ$8),$E72/_xlpm.DepreciationMonths,0))</f>
        <v>0</v>
      </c>
      <c r="AR72" s="507" cm="1">
        <f t="array" ref="AR72">_xlfn.LET(_xlpm.DepreciationMonths,INDEX(FixedAssets[Depreciation
/ Amortization Months],_xlfn.XMATCH($E$33,FixedAssets[Asset ID])),IF(AND((_xlfn.XMATCH(AR$8,$AH$8:$CC$8))-_xlfn.XMATCH($C72,$C$35:$C$82)+1&lt;=_xlpm.DepreciationMonths,$C72&lt;=AR$8),$E72/_xlpm.DepreciationMonths,0))</f>
        <v>0</v>
      </c>
      <c r="AS72" s="507" cm="1">
        <f t="array" ref="AS72">_xlfn.LET(_xlpm.DepreciationMonths,INDEX(FixedAssets[Depreciation
/ Amortization Months],_xlfn.XMATCH($E$33,FixedAssets[Asset ID])),IF(AND((_xlfn.XMATCH(AS$8,$AH$8:$CC$8))-_xlfn.XMATCH($C72,$C$35:$C$82)+1&lt;=_xlpm.DepreciationMonths,$C72&lt;=AS$8),$E72/_xlpm.DepreciationMonths,0))</f>
        <v>0</v>
      </c>
      <c r="AT72" s="507" cm="1">
        <f t="array" ref="AT72">_xlfn.LET(_xlpm.DepreciationMonths,INDEX(FixedAssets[Depreciation
/ Amortization Months],_xlfn.XMATCH($E$33,FixedAssets[Asset ID])),IF(AND((_xlfn.XMATCH(AT$8,$AH$8:$CC$8))-_xlfn.XMATCH($C72,$C$35:$C$82)+1&lt;=_xlpm.DepreciationMonths,$C72&lt;=AT$8),$E72/_xlpm.DepreciationMonths,0))</f>
        <v>0</v>
      </c>
      <c r="AU72" s="507" cm="1">
        <f t="array" ref="AU72">_xlfn.LET(_xlpm.DepreciationMonths,INDEX(FixedAssets[Depreciation
/ Amortization Months],_xlfn.XMATCH($E$33,FixedAssets[Asset ID])),IF(AND((_xlfn.XMATCH(AU$8,$AH$8:$CC$8))-_xlfn.XMATCH($C72,$C$35:$C$82)+1&lt;=_xlpm.DepreciationMonths,$C72&lt;=AU$8),$E72/_xlpm.DepreciationMonths,0))</f>
        <v>0</v>
      </c>
      <c r="AV72" s="507" cm="1">
        <f t="array" ref="AV72">_xlfn.LET(_xlpm.DepreciationMonths,INDEX(FixedAssets[Depreciation
/ Amortization Months],_xlfn.XMATCH($E$33,FixedAssets[Asset ID])),IF(AND((_xlfn.XMATCH(AV$8,$AH$8:$CC$8))-_xlfn.XMATCH($C72,$C$35:$C$82)+1&lt;=_xlpm.DepreciationMonths,$C72&lt;=AV$8),$E72/_xlpm.DepreciationMonths,0))</f>
        <v>0</v>
      </c>
      <c r="AW72" s="507" cm="1">
        <f t="array" ref="AW72">_xlfn.LET(_xlpm.DepreciationMonths,INDEX(FixedAssets[Depreciation
/ Amortization Months],_xlfn.XMATCH($E$33,FixedAssets[Asset ID])),IF(AND((_xlfn.XMATCH(AW$8,$AH$8:$CC$8))-_xlfn.XMATCH($C72,$C$35:$C$82)+1&lt;=_xlpm.DepreciationMonths,$C72&lt;=AW$8),$E72/_xlpm.DepreciationMonths,0))</f>
        <v>0</v>
      </c>
      <c r="AX72" s="507" cm="1">
        <f t="array" ref="AX72">_xlfn.LET(_xlpm.DepreciationMonths,INDEX(FixedAssets[Depreciation
/ Amortization Months],_xlfn.XMATCH($E$33,FixedAssets[Asset ID])),IF(AND((_xlfn.XMATCH(AX$8,$AH$8:$CC$8))-_xlfn.XMATCH($C72,$C$35:$C$82)+1&lt;=_xlpm.DepreciationMonths,$C72&lt;=AX$8),$E72/_xlpm.DepreciationMonths,0))</f>
        <v>0</v>
      </c>
      <c r="AY72" s="507" cm="1">
        <f t="array" ref="AY72">_xlfn.LET(_xlpm.DepreciationMonths,INDEX(FixedAssets[Depreciation
/ Amortization Months],_xlfn.XMATCH($E$33,FixedAssets[Asset ID])),IF(AND((_xlfn.XMATCH(AY$8,$AH$8:$CC$8))-_xlfn.XMATCH($C72,$C$35:$C$82)+1&lt;=_xlpm.DepreciationMonths,$C72&lt;=AY$8),$E72/_xlpm.DepreciationMonths,0))</f>
        <v>0</v>
      </c>
      <c r="AZ72" s="507" cm="1">
        <f t="array" ref="AZ72">_xlfn.LET(_xlpm.DepreciationMonths,INDEX(FixedAssets[Depreciation
/ Amortization Months],_xlfn.XMATCH($E$33,FixedAssets[Asset ID])),IF(AND((_xlfn.XMATCH(AZ$8,$AH$8:$CC$8))-_xlfn.XMATCH($C72,$C$35:$C$82)+1&lt;=_xlpm.DepreciationMonths,$C72&lt;=AZ$8),$E72/_xlpm.DepreciationMonths,0))</f>
        <v>0</v>
      </c>
      <c r="BA72" s="507" cm="1">
        <f t="array" ref="BA72">_xlfn.LET(_xlpm.DepreciationMonths,INDEX(FixedAssets[Depreciation
/ Amortization Months],_xlfn.XMATCH($E$33,FixedAssets[Asset ID])),IF(AND((_xlfn.XMATCH(BA$8,$AH$8:$CC$8))-_xlfn.XMATCH($C72,$C$35:$C$82)+1&lt;=_xlpm.DepreciationMonths,$C72&lt;=BA$8),$E72/_xlpm.DepreciationMonths,0))</f>
        <v>0</v>
      </c>
      <c r="BB72" s="507" cm="1">
        <f t="array" ref="BB72">_xlfn.LET(_xlpm.DepreciationMonths,INDEX(FixedAssets[Depreciation
/ Amortization Months],_xlfn.XMATCH($E$33,FixedAssets[Asset ID])),IF(AND((_xlfn.XMATCH(BB$8,$AH$8:$CC$8))-_xlfn.XMATCH($C72,$C$35:$C$82)+1&lt;=_xlpm.DepreciationMonths,$C72&lt;=BB$8),$E72/_xlpm.DepreciationMonths,0))</f>
        <v>0</v>
      </c>
      <c r="BC72" s="507" cm="1">
        <f t="array" ref="BC72">_xlfn.LET(_xlpm.DepreciationMonths,INDEX(FixedAssets[Depreciation
/ Amortization Months],_xlfn.XMATCH($E$33,FixedAssets[Asset ID])),IF(AND((_xlfn.XMATCH(BC$8,$AH$8:$CC$8))-_xlfn.XMATCH($C72,$C$35:$C$82)+1&lt;=_xlpm.DepreciationMonths,$C72&lt;=BC$8),$E72/_xlpm.DepreciationMonths,0))</f>
        <v>0</v>
      </c>
      <c r="BD72" s="507" cm="1">
        <f t="array" ref="BD72">_xlfn.LET(_xlpm.DepreciationMonths,INDEX(FixedAssets[Depreciation
/ Amortization Months],_xlfn.XMATCH($E$33,FixedAssets[Asset ID])),IF(AND((_xlfn.XMATCH(BD$8,$AH$8:$CC$8))-_xlfn.XMATCH($C72,$C$35:$C$82)+1&lt;=_xlpm.DepreciationMonths,$C72&lt;=BD$8),$E72/_xlpm.DepreciationMonths,0))</f>
        <v>0</v>
      </c>
      <c r="BE72" s="507" cm="1">
        <f t="array" ref="BE72">_xlfn.LET(_xlpm.DepreciationMonths,INDEX(FixedAssets[Depreciation
/ Amortization Months],_xlfn.XMATCH($E$33,FixedAssets[Asset ID])),IF(AND((_xlfn.XMATCH(BE$8,$AH$8:$CC$8))-_xlfn.XMATCH($C72,$C$35:$C$82)+1&lt;=_xlpm.DepreciationMonths,$C72&lt;=BE$8),$E72/_xlpm.DepreciationMonths,0))</f>
        <v>0</v>
      </c>
      <c r="BF72" s="507" cm="1">
        <f t="array" ref="BF72">_xlfn.LET(_xlpm.DepreciationMonths,INDEX(FixedAssets[Depreciation
/ Amortization Months],_xlfn.XMATCH($E$33,FixedAssets[Asset ID])),IF(AND((_xlfn.XMATCH(BF$8,$AH$8:$CC$8))-_xlfn.XMATCH($C72,$C$35:$C$82)+1&lt;=_xlpm.DepreciationMonths,$C72&lt;=BF$8),$E72/_xlpm.DepreciationMonths,0))</f>
        <v>0</v>
      </c>
      <c r="BG72" s="507" cm="1">
        <f t="array" ref="BG72">_xlfn.LET(_xlpm.DepreciationMonths,INDEX(FixedAssets[Depreciation
/ Amortization Months],_xlfn.XMATCH($E$33,FixedAssets[Asset ID])),IF(AND((_xlfn.XMATCH(BG$8,$AH$8:$CC$8))-_xlfn.XMATCH($C72,$C$35:$C$82)+1&lt;=_xlpm.DepreciationMonths,$C72&lt;=BG$8),$E72/_xlpm.DepreciationMonths,0))</f>
        <v>0</v>
      </c>
      <c r="BH72" s="507" cm="1">
        <f t="array" ref="BH72">_xlfn.LET(_xlpm.DepreciationMonths,INDEX(FixedAssets[Depreciation
/ Amortization Months],_xlfn.XMATCH($E$33,FixedAssets[Asset ID])),IF(AND((_xlfn.XMATCH(BH$8,$AH$8:$CC$8))-_xlfn.XMATCH($C72,$C$35:$C$82)+1&lt;=_xlpm.DepreciationMonths,$C72&lt;=BH$8),$E72/_xlpm.DepreciationMonths,0))</f>
        <v>0</v>
      </c>
      <c r="BI72" s="507" cm="1">
        <f t="array" ref="BI72">_xlfn.LET(_xlpm.DepreciationMonths,INDEX(FixedAssets[Depreciation
/ Amortization Months],_xlfn.XMATCH($E$33,FixedAssets[Asset ID])),IF(AND((_xlfn.XMATCH(BI$8,$AH$8:$CC$8))-_xlfn.XMATCH($C72,$C$35:$C$82)+1&lt;=_xlpm.DepreciationMonths,$C72&lt;=BI$8),$E72/_xlpm.DepreciationMonths,0))</f>
        <v>0</v>
      </c>
      <c r="BJ72" s="507" cm="1">
        <f t="array" ref="BJ72">_xlfn.LET(_xlpm.DepreciationMonths,INDEX(FixedAssets[Depreciation
/ Amortization Months],_xlfn.XMATCH($E$33,FixedAssets[Asset ID])),IF(AND((_xlfn.XMATCH(BJ$8,$AH$8:$CC$8))-_xlfn.XMATCH($C72,$C$35:$C$82)+1&lt;=_xlpm.DepreciationMonths,$C72&lt;=BJ$8),$E72/_xlpm.DepreciationMonths,0))</f>
        <v>0</v>
      </c>
      <c r="BK72" s="507" cm="1">
        <f t="array" ref="BK72">_xlfn.LET(_xlpm.DepreciationMonths,INDEX(FixedAssets[Depreciation
/ Amortization Months],_xlfn.XMATCH($E$33,FixedAssets[Asset ID])),IF(AND((_xlfn.XMATCH(BK$8,$AH$8:$CC$8))-_xlfn.XMATCH($C72,$C$35:$C$82)+1&lt;=_xlpm.DepreciationMonths,$C72&lt;=BK$8),$E72/_xlpm.DepreciationMonths,0))</f>
        <v>0</v>
      </c>
      <c r="BL72" s="507" cm="1">
        <f t="array" ref="BL72">_xlfn.LET(_xlpm.DepreciationMonths,INDEX(FixedAssets[Depreciation
/ Amortization Months],_xlfn.XMATCH($E$33,FixedAssets[Asset ID])),IF(AND((_xlfn.XMATCH(BL$8,$AH$8:$CC$8))-_xlfn.XMATCH($C72,$C$35:$C$82)+1&lt;=_xlpm.DepreciationMonths,$C72&lt;=BL$8),$E72/_xlpm.DepreciationMonths,0))</f>
        <v>0</v>
      </c>
      <c r="BM72" s="507" cm="1">
        <f t="array" ref="BM72">_xlfn.LET(_xlpm.DepreciationMonths,INDEX(FixedAssets[Depreciation
/ Amortization Months],_xlfn.XMATCH($E$33,FixedAssets[Asset ID])),IF(AND((_xlfn.XMATCH(BM$8,$AH$8:$CC$8))-_xlfn.XMATCH($C72,$C$35:$C$82)+1&lt;=_xlpm.DepreciationMonths,$C72&lt;=BM$8),$E72/_xlpm.DepreciationMonths,0))</f>
        <v>0</v>
      </c>
      <c r="BN72" s="507" cm="1">
        <f t="array" ref="BN72">_xlfn.LET(_xlpm.DepreciationMonths,INDEX(FixedAssets[Depreciation
/ Amortization Months],_xlfn.XMATCH($E$33,FixedAssets[Asset ID])),IF(AND((_xlfn.XMATCH(BN$8,$AH$8:$CC$8))-_xlfn.XMATCH($C72,$C$35:$C$82)+1&lt;=_xlpm.DepreciationMonths,$C72&lt;=BN$8),$E72/_xlpm.DepreciationMonths,0))</f>
        <v>0</v>
      </c>
      <c r="BO72" s="507" cm="1">
        <f t="array" ref="BO72">_xlfn.LET(_xlpm.DepreciationMonths,INDEX(FixedAssets[Depreciation
/ Amortization Months],_xlfn.XMATCH($E$33,FixedAssets[Asset ID])),IF(AND((_xlfn.XMATCH(BO$8,$AH$8:$CC$8))-_xlfn.XMATCH($C72,$C$35:$C$82)+1&lt;=_xlpm.DepreciationMonths,$C72&lt;=BO$8),$E72/_xlpm.DepreciationMonths,0))</f>
        <v>0</v>
      </c>
      <c r="BP72" s="507" cm="1">
        <f t="array" ref="BP72">_xlfn.LET(_xlpm.DepreciationMonths,INDEX(FixedAssets[Depreciation
/ Amortization Months],_xlfn.XMATCH($E$33,FixedAssets[Asset ID])),IF(AND((_xlfn.XMATCH(BP$8,$AH$8:$CC$8))-_xlfn.XMATCH($C72,$C$35:$C$82)+1&lt;=_xlpm.DepreciationMonths,$C72&lt;=BP$8),$E72/_xlpm.DepreciationMonths,0))</f>
        <v>0</v>
      </c>
      <c r="BQ72" s="507" cm="1">
        <f t="array" ref="BQ72">_xlfn.LET(_xlpm.DepreciationMonths,INDEX(FixedAssets[Depreciation
/ Amortization Months],_xlfn.XMATCH($E$33,FixedAssets[Asset ID])),IF(AND((_xlfn.XMATCH(BQ$8,$AH$8:$CC$8))-_xlfn.XMATCH($C72,$C$35:$C$82)+1&lt;=_xlpm.DepreciationMonths,$C72&lt;=BQ$8),$E72/_xlpm.DepreciationMonths,0))</f>
        <v>0</v>
      </c>
      <c r="BR72" s="507" cm="1">
        <f t="array" ref="BR72">_xlfn.LET(_xlpm.DepreciationMonths,INDEX(FixedAssets[Depreciation
/ Amortization Months],_xlfn.XMATCH($E$33,FixedAssets[Asset ID])),IF(AND((_xlfn.XMATCH(BR$8,$AH$8:$CC$8))-_xlfn.XMATCH($C72,$C$35:$C$82)+1&lt;=_xlpm.DepreciationMonths,$C72&lt;=BR$8),$E72/_xlpm.DepreciationMonths,0))</f>
        <v>0</v>
      </c>
      <c r="BS72" s="507" cm="1">
        <f t="array" ref="BS72">_xlfn.LET(_xlpm.DepreciationMonths,INDEX(FixedAssets[Depreciation
/ Amortization Months],_xlfn.XMATCH($E$33,FixedAssets[Asset ID])),IF(AND((_xlfn.XMATCH(BS$8,$AH$8:$CC$8))-_xlfn.XMATCH($C72,$C$35:$C$82)+1&lt;=_xlpm.DepreciationMonths,$C72&lt;=BS$8),$E72/_xlpm.DepreciationMonths,0))</f>
        <v>0</v>
      </c>
      <c r="BT72" s="507" cm="1">
        <f t="array" ref="BT72">_xlfn.LET(_xlpm.DepreciationMonths,INDEX(FixedAssets[Depreciation
/ Amortization Months],_xlfn.XMATCH($E$33,FixedAssets[Asset ID])),IF(AND((_xlfn.XMATCH(BT$8,$AH$8:$CC$8))-_xlfn.XMATCH($C72,$C$35:$C$82)+1&lt;=_xlpm.DepreciationMonths,$C72&lt;=BT$8),$E72/_xlpm.DepreciationMonths,0))</f>
        <v>0</v>
      </c>
      <c r="BU72" s="507" cm="1">
        <f t="array" ref="BU72">_xlfn.LET(_xlpm.DepreciationMonths,INDEX(FixedAssets[Depreciation
/ Amortization Months],_xlfn.XMATCH($E$33,FixedAssets[Asset ID])),IF(AND((_xlfn.XMATCH(BU$8,$AH$8:$CC$8))-_xlfn.XMATCH($C72,$C$35:$C$82)+1&lt;=_xlpm.DepreciationMonths,$C72&lt;=BU$8),$E72/_xlpm.DepreciationMonths,0))</f>
        <v>0</v>
      </c>
      <c r="BV72" s="507" cm="1">
        <f t="array" ref="BV72">_xlfn.LET(_xlpm.DepreciationMonths,INDEX(FixedAssets[Depreciation
/ Amortization Months],_xlfn.XMATCH($E$33,FixedAssets[Asset ID])),IF(AND((_xlfn.XMATCH(BV$8,$AH$8:$CC$8))-_xlfn.XMATCH($C72,$C$35:$C$82)+1&lt;=_xlpm.DepreciationMonths,$C72&lt;=BV$8),$E72/_xlpm.DepreciationMonths,0))</f>
        <v>0</v>
      </c>
      <c r="BW72" s="507" cm="1">
        <f t="array" ref="BW72">_xlfn.LET(_xlpm.DepreciationMonths,INDEX(FixedAssets[Depreciation
/ Amortization Months],_xlfn.XMATCH($E$33,FixedAssets[Asset ID])),IF(AND((_xlfn.XMATCH(BW$8,$AH$8:$CC$8))-_xlfn.XMATCH($C72,$C$35:$C$82)+1&lt;=_xlpm.DepreciationMonths,$C72&lt;=BW$8),$E72/_xlpm.DepreciationMonths,0))</f>
        <v>0</v>
      </c>
      <c r="BX72" s="507" cm="1">
        <f t="array" ref="BX72">_xlfn.LET(_xlpm.DepreciationMonths,INDEX(FixedAssets[Depreciation
/ Amortization Months],_xlfn.XMATCH($E$33,FixedAssets[Asset ID])),IF(AND((_xlfn.XMATCH(BX$8,$AH$8:$CC$8))-_xlfn.XMATCH($C72,$C$35:$C$82)+1&lt;=_xlpm.DepreciationMonths,$C72&lt;=BX$8),$E72/_xlpm.DepreciationMonths,0))</f>
        <v>0</v>
      </c>
      <c r="BY72" s="507" cm="1">
        <f t="array" ref="BY72">_xlfn.LET(_xlpm.DepreciationMonths,INDEX(FixedAssets[Depreciation
/ Amortization Months],_xlfn.XMATCH($E$33,FixedAssets[Asset ID])),IF(AND((_xlfn.XMATCH(BY$8,$AH$8:$CC$8))-_xlfn.XMATCH($C72,$C$35:$C$82)+1&lt;=_xlpm.DepreciationMonths,$C72&lt;=BY$8),$E72/_xlpm.DepreciationMonths,0))</f>
        <v>0</v>
      </c>
      <c r="BZ72" s="507" cm="1">
        <f t="array" ref="BZ72">_xlfn.LET(_xlpm.DepreciationMonths,INDEX(FixedAssets[Depreciation
/ Amortization Months],_xlfn.XMATCH($E$33,FixedAssets[Asset ID])),IF(AND((_xlfn.XMATCH(BZ$8,$AH$8:$CC$8))-_xlfn.XMATCH($C72,$C$35:$C$82)+1&lt;=_xlpm.DepreciationMonths,$C72&lt;=BZ$8),$E72/_xlpm.DepreciationMonths,0))</f>
        <v>0</v>
      </c>
      <c r="CA72" s="507" cm="1">
        <f t="array" ref="CA72">_xlfn.LET(_xlpm.DepreciationMonths,INDEX(FixedAssets[Depreciation
/ Amortization Months],_xlfn.XMATCH($E$33,FixedAssets[Asset ID])),IF(AND((_xlfn.XMATCH(CA$8,$AH$8:$CC$8))-_xlfn.XMATCH($C72,$C$35:$C$82)+1&lt;=_xlpm.DepreciationMonths,$C72&lt;=CA$8),$E72/_xlpm.DepreciationMonths,0))</f>
        <v>0</v>
      </c>
      <c r="CB72" s="507" cm="1">
        <f t="array" ref="CB72">_xlfn.LET(_xlpm.DepreciationMonths,INDEX(FixedAssets[Depreciation
/ Amortization Months],_xlfn.XMATCH($E$33,FixedAssets[Asset ID])),IF(AND((_xlfn.XMATCH(CB$8,$AH$8:$CC$8))-_xlfn.XMATCH($C72,$C$35:$C$82)+1&lt;=_xlpm.DepreciationMonths,$C72&lt;=CB$8),$E72/_xlpm.DepreciationMonths,0))</f>
        <v>0</v>
      </c>
      <c r="CC72" s="507" cm="1">
        <f t="array" ref="CC72">_xlfn.LET(_xlpm.DepreciationMonths,INDEX(FixedAssets[Depreciation
/ Amortization Months],_xlfn.XMATCH($E$33,FixedAssets[Asset ID])),IF(AND((_xlfn.XMATCH(CC$8,$AH$8:$CC$8))-_xlfn.XMATCH($C72,$C$35:$C$82)+1&lt;=_xlpm.DepreciationMonths,$C72&lt;=CC$8),$E72/_xlpm.DepreciationMonths,0))</f>
        <v>0</v>
      </c>
    </row>
    <row r="73" spans="3:81" hidden="1" outlineLevel="2">
      <c r="C73" s="664">
        <f t="shared" si="91"/>
        <v>46112</v>
      </c>
      <c r="D73" s="508"/>
      <c r="E73" s="508" cm="1">
        <f t="array" ref="E73">SUMPRODUCT(($AH$26:$CC$31)*($AH$5:$CC$5=$C73)*($E$26:$E$31=E$33))-SUMPRODUCT(($AH$26:$CC$31)*($AH$5:$CC$5=EOMONTH($C73,-1))*($E$26:$E$31=E$33))</f>
        <v>0</v>
      </c>
      <c r="F73" s="508"/>
      <c r="G73" s="508"/>
      <c r="H73" s="508"/>
      <c r="I73" s="508"/>
      <c r="J73" s="504">
        <f t="shared" si="88"/>
        <v>0</v>
      </c>
      <c r="K73" s="504">
        <f t="shared" si="96"/>
        <v>0</v>
      </c>
      <c r="L73" s="504">
        <f t="shared" si="96"/>
        <v>0</v>
      </c>
      <c r="M73" s="504">
        <f t="shared" si="96"/>
        <v>0</v>
      </c>
      <c r="N73" s="504"/>
      <c r="O73" s="504"/>
      <c r="P73" s="504">
        <f t="shared" si="97"/>
        <v>0</v>
      </c>
      <c r="Q73" s="504">
        <f t="shared" si="97"/>
        <v>0</v>
      </c>
      <c r="R73" s="504">
        <f t="shared" si="97"/>
        <v>0</v>
      </c>
      <c r="S73" s="504">
        <f t="shared" si="97"/>
        <v>0</v>
      </c>
      <c r="T73" s="504">
        <f t="shared" si="97"/>
        <v>0</v>
      </c>
      <c r="U73" s="504">
        <f t="shared" si="97"/>
        <v>0</v>
      </c>
      <c r="V73" s="504">
        <f t="shared" si="97"/>
        <v>0</v>
      </c>
      <c r="W73" s="504">
        <f t="shared" si="97"/>
        <v>0</v>
      </c>
      <c r="X73" s="504">
        <f t="shared" si="97"/>
        <v>0</v>
      </c>
      <c r="Y73" s="504">
        <f t="shared" si="97"/>
        <v>0</v>
      </c>
      <c r="Z73" s="504">
        <f t="shared" si="97"/>
        <v>0</v>
      </c>
      <c r="AA73" s="504">
        <f t="shared" si="97"/>
        <v>0</v>
      </c>
      <c r="AB73" s="504">
        <f t="shared" si="97"/>
        <v>0</v>
      </c>
      <c r="AC73" s="504">
        <f t="shared" si="97"/>
        <v>0</v>
      </c>
      <c r="AD73" s="504">
        <f t="shared" si="97"/>
        <v>0</v>
      </c>
      <c r="AE73" s="504">
        <f t="shared" si="97"/>
        <v>0</v>
      </c>
      <c r="AF73" s="508"/>
      <c r="AG73" s="508"/>
      <c r="AH73" s="507" cm="1">
        <f t="array" ref="AH73">_xlfn.LET(_xlpm.DepreciationMonths,INDEX(FixedAssets[Depreciation
/ Amortization Months],_xlfn.XMATCH($E$33,FixedAssets[Asset ID])),IF(AND((_xlfn.XMATCH(AH$8,$AH$8:$CC$8))-_xlfn.XMATCH($C73,$C$35:$C$82)+1&lt;=_xlpm.DepreciationMonths,$C73&lt;=AH$8),$E73/_xlpm.DepreciationMonths,0))</f>
        <v>0</v>
      </c>
      <c r="AI73" s="507" cm="1">
        <f t="array" ref="AI73">_xlfn.LET(_xlpm.DepreciationMonths,INDEX(FixedAssets[Depreciation
/ Amortization Months],_xlfn.XMATCH($E$33,FixedAssets[Asset ID])),IF(AND((_xlfn.XMATCH(AI$8,$AH$8:$CC$8))-_xlfn.XMATCH($C73,$C$35:$C$82)+1&lt;=_xlpm.DepreciationMonths,$C73&lt;=AI$8),$E73/_xlpm.DepreciationMonths,0))</f>
        <v>0</v>
      </c>
      <c r="AJ73" s="507" cm="1">
        <f t="array" ref="AJ73">_xlfn.LET(_xlpm.DepreciationMonths,INDEX(FixedAssets[Depreciation
/ Amortization Months],_xlfn.XMATCH($E$33,FixedAssets[Asset ID])),IF(AND((_xlfn.XMATCH(AJ$8,$AH$8:$CC$8))-_xlfn.XMATCH($C73,$C$35:$C$82)+1&lt;=_xlpm.DepreciationMonths,$C73&lt;=AJ$8),$E73/_xlpm.DepreciationMonths,0))</f>
        <v>0</v>
      </c>
      <c r="AK73" s="507" cm="1">
        <f t="array" ref="AK73">_xlfn.LET(_xlpm.DepreciationMonths,INDEX(FixedAssets[Depreciation
/ Amortization Months],_xlfn.XMATCH($E$33,FixedAssets[Asset ID])),IF(AND((_xlfn.XMATCH(AK$8,$AH$8:$CC$8))-_xlfn.XMATCH($C73,$C$35:$C$82)+1&lt;=_xlpm.DepreciationMonths,$C73&lt;=AK$8),$E73/_xlpm.DepreciationMonths,0))</f>
        <v>0</v>
      </c>
      <c r="AL73" s="507" cm="1">
        <f t="array" ref="AL73">_xlfn.LET(_xlpm.DepreciationMonths,INDEX(FixedAssets[Depreciation
/ Amortization Months],_xlfn.XMATCH($E$33,FixedAssets[Asset ID])),IF(AND((_xlfn.XMATCH(AL$8,$AH$8:$CC$8))-_xlfn.XMATCH($C73,$C$35:$C$82)+1&lt;=_xlpm.DepreciationMonths,$C73&lt;=AL$8),$E73/_xlpm.DepreciationMonths,0))</f>
        <v>0</v>
      </c>
      <c r="AM73" s="507" cm="1">
        <f t="array" ref="AM73">_xlfn.LET(_xlpm.DepreciationMonths,INDEX(FixedAssets[Depreciation
/ Amortization Months],_xlfn.XMATCH($E$33,FixedAssets[Asset ID])),IF(AND((_xlfn.XMATCH(AM$8,$AH$8:$CC$8))-_xlfn.XMATCH($C73,$C$35:$C$82)+1&lt;=_xlpm.DepreciationMonths,$C73&lt;=AM$8),$E73/_xlpm.DepreciationMonths,0))</f>
        <v>0</v>
      </c>
      <c r="AN73" s="507" cm="1">
        <f t="array" ref="AN73">_xlfn.LET(_xlpm.DepreciationMonths,INDEX(FixedAssets[Depreciation
/ Amortization Months],_xlfn.XMATCH($E$33,FixedAssets[Asset ID])),IF(AND((_xlfn.XMATCH(AN$8,$AH$8:$CC$8))-_xlfn.XMATCH($C73,$C$35:$C$82)+1&lt;=_xlpm.DepreciationMonths,$C73&lt;=AN$8),$E73/_xlpm.DepreciationMonths,0))</f>
        <v>0</v>
      </c>
      <c r="AO73" s="507" cm="1">
        <f t="array" ref="AO73">_xlfn.LET(_xlpm.DepreciationMonths,INDEX(FixedAssets[Depreciation
/ Amortization Months],_xlfn.XMATCH($E$33,FixedAssets[Asset ID])),IF(AND((_xlfn.XMATCH(AO$8,$AH$8:$CC$8))-_xlfn.XMATCH($C73,$C$35:$C$82)+1&lt;=_xlpm.DepreciationMonths,$C73&lt;=AO$8),$E73/_xlpm.DepreciationMonths,0))</f>
        <v>0</v>
      </c>
      <c r="AP73" s="507" cm="1">
        <f t="array" ref="AP73">_xlfn.LET(_xlpm.DepreciationMonths,INDEX(FixedAssets[Depreciation
/ Amortization Months],_xlfn.XMATCH($E$33,FixedAssets[Asset ID])),IF(AND((_xlfn.XMATCH(AP$8,$AH$8:$CC$8))-_xlfn.XMATCH($C73,$C$35:$C$82)+1&lt;=_xlpm.DepreciationMonths,$C73&lt;=AP$8),$E73/_xlpm.DepreciationMonths,0))</f>
        <v>0</v>
      </c>
      <c r="AQ73" s="507" cm="1">
        <f t="array" ref="AQ73">_xlfn.LET(_xlpm.DepreciationMonths,INDEX(FixedAssets[Depreciation
/ Amortization Months],_xlfn.XMATCH($E$33,FixedAssets[Asset ID])),IF(AND((_xlfn.XMATCH(AQ$8,$AH$8:$CC$8))-_xlfn.XMATCH($C73,$C$35:$C$82)+1&lt;=_xlpm.DepreciationMonths,$C73&lt;=AQ$8),$E73/_xlpm.DepreciationMonths,0))</f>
        <v>0</v>
      </c>
      <c r="AR73" s="507" cm="1">
        <f t="array" ref="AR73">_xlfn.LET(_xlpm.DepreciationMonths,INDEX(FixedAssets[Depreciation
/ Amortization Months],_xlfn.XMATCH($E$33,FixedAssets[Asset ID])),IF(AND((_xlfn.XMATCH(AR$8,$AH$8:$CC$8))-_xlfn.XMATCH($C73,$C$35:$C$82)+1&lt;=_xlpm.DepreciationMonths,$C73&lt;=AR$8),$E73/_xlpm.DepreciationMonths,0))</f>
        <v>0</v>
      </c>
      <c r="AS73" s="507" cm="1">
        <f t="array" ref="AS73">_xlfn.LET(_xlpm.DepreciationMonths,INDEX(FixedAssets[Depreciation
/ Amortization Months],_xlfn.XMATCH($E$33,FixedAssets[Asset ID])),IF(AND((_xlfn.XMATCH(AS$8,$AH$8:$CC$8))-_xlfn.XMATCH($C73,$C$35:$C$82)+1&lt;=_xlpm.DepreciationMonths,$C73&lt;=AS$8),$E73/_xlpm.DepreciationMonths,0))</f>
        <v>0</v>
      </c>
      <c r="AT73" s="507" cm="1">
        <f t="array" ref="AT73">_xlfn.LET(_xlpm.DepreciationMonths,INDEX(FixedAssets[Depreciation
/ Amortization Months],_xlfn.XMATCH($E$33,FixedAssets[Asset ID])),IF(AND((_xlfn.XMATCH(AT$8,$AH$8:$CC$8))-_xlfn.XMATCH($C73,$C$35:$C$82)+1&lt;=_xlpm.DepreciationMonths,$C73&lt;=AT$8),$E73/_xlpm.DepreciationMonths,0))</f>
        <v>0</v>
      </c>
      <c r="AU73" s="507" cm="1">
        <f t="array" ref="AU73">_xlfn.LET(_xlpm.DepreciationMonths,INDEX(FixedAssets[Depreciation
/ Amortization Months],_xlfn.XMATCH($E$33,FixedAssets[Asset ID])),IF(AND((_xlfn.XMATCH(AU$8,$AH$8:$CC$8))-_xlfn.XMATCH($C73,$C$35:$C$82)+1&lt;=_xlpm.DepreciationMonths,$C73&lt;=AU$8),$E73/_xlpm.DepreciationMonths,0))</f>
        <v>0</v>
      </c>
      <c r="AV73" s="507" cm="1">
        <f t="array" ref="AV73">_xlfn.LET(_xlpm.DepreciationMonths,INDEX(FixedAssets[Depreciation
/ Amortization Months],_xlfn.XMATCH($E$33,FixedAssets[Asset ID])),IF(AND((_xlfn.XMATCH(AV$8,$AH$8:$CC$8))-_xlfn.XMATCH($C73,$C$35:$C$82)+1&lt;=_xlpm.DepreciationMonths,$C73&lt;=AV$8),$E73/_xlpm.DepreciationMonths,0))</f>
        <v>0</v>
      </c>
      <c r="AW73" s="507" cm="1">
        <f t="array" ref="AW73">_xlfn.LET(_xlpm.DepreciationMonths,INDEX(FixedAssets[Depreciation
/ Amortization Months],_xlfn.XMATCH($E$33,FixedAssets[Asset ID])),IF(AND((_xlfn.XMATCH(AW$8,$AH$8:$CC$8))-_xlfn.XMATCH($C73,$C$35:$C$82)+1&lt;=_xlpm.DepreciationMonths,$C73&lt;=AW$8),$E73/_xlpm.DepreciationMonths,0))</f>
        <v>0</v>
      </c>
      <c r="AX73" s="507" cm="1">
        <f t="array" ref="AX73">_xlfn.LET(_xlpm.DepreciationMonths,INDEX(FixedAssets[Depreciation
/ Amortization Months],_xlfn.XMATCH($E$33,FixedAssets[Asset ID])),IF(AND((_xlfn.XMATCH(AX$8,$AH$8:$CC$8))-_xlfn.XMATCH($C73,$C$35:$C$82)+1&lt;=_xlpm.DepreciationMonths,$C73&lt;=AX$8),$E73/_xlpm.DepreciationMonths,0))</f>
        <v>0</v>
      </c>
      <c r="AY73" s="507" cm="1">
        <f t="array" ref="AY73">_xlfn.LET(_xlpm.DepreciationMonths,INDEX(FixedAssets[Depreciation
/ Amortization Months],_xlfn.XMATCH($E$33,FixedAssets[Asset ID])),IF(AND((_xlfn.XMATCH(AY$8,$AH$8:$CC$8))-_xlfn.XMATCH($C73,$C$35:$C$82)+1&lt;=_xlpm.DepreciationMonths,$C73&lt;=AY$8),$E73/_xlpm.DepreciationMonths,0))</f>
        <v>0</v>
      </c>
      <c r="AZ73" s="507" cm="1">
        <f t="array" ref="AZ73">_xlfn.LET(_xlpm.DepreciationMonths,INDEX(FixedAssets[Depreciation
/ Amortization Months],_xlfn.XMATCH($E$33,FixedAssets[Asset ID])),IF(AND((_xlfn.XMATCH(AZ$8,$AH$8:$CC$8))-_xlfn.XMATCH($C73,$C$35:$C$82)+1&lt;=_xlpm.DepreciationMonths,$C73&lt;=AZ$8),$E73/_xlpm.DepreciationMonths,0))</f>
        <v>0</v>
      </c>
      <c r="BA73" s="507" cm="1">
        <f t="array" ref="BA73">_xlfn.LET(_xlpm.DepreciationMonths,INDEX(FixedAssets[Depreciation
/ Amortization Months],_xlfn.XMATCH($E$33,FixedAssets[Asset ID])),IF(AND((_xlfn.XMATCH(BA$8,$AH$8:$CC$8))-_xlfn.XMATCH($C73,$C$35:$C$82)+1&lt;=_xlpm.DepreciationMonths,$C73&lt;=BA$8),$E73/_xlpm.DepreciationMonths,0))</f>
        <v>0</v>
      </c>
      <c r="BB73" s="507" cm="1">
        <f t="array" ref="BB73">_xlfn.LET(_xlpm.DepreciationMonths,INDEX(FixedAssets[Depreciation
/ Amortization Months],_xlfn.XMATCH($E$33,FixedAssets[Asset ID])),IF(AND((_xlfn.XMATCH(BB$8,$AH$8:$CC$8))-_xlfn.XMATCH($C73,$C$35:$C$82)+1&lt;=_xlpm.DepreciationMonths,$C73&lt;=BB$8),$E73/_xlpm.DepreciationMonths,0))</f>
        <v>0</v>
      </c>
      <c r="BC73" s="507" cm="1">
        <f t="array" ref="BC73">_xlfn.LET(_xlpm.DepreciationMonths,INDEX(FixedAssets[Depreciation
/ Amortization Months],_xlfn.XMATCH($E$33,FixedAssets[Asset ID])),IF(AND((_xlfn.XMATCH(BC$8,$AH$8:$CC$8))-_xlfn.XMATCH($C73,$C$35:$C$82)+1&lt;=_xlpm.DepreciationMonths,$C73&lt;=BC$8),$E73/_xlpm.DepreciationMonths,0))</f>
        <v>0</v>
      </c>
      <c r="BD73" s="507" cm="1">
        <f t="array" ref="BD73">_xlfn.LET(_xlpm.DepreciationMonths,INDEX(FixedAssets[Depreciation
/ Amortization Months],_xlfn.XMATCH($E$33,FixedAssets[Asset ID])),IF(AND((_xlfn.XMATCH(BD$8,$AH$8:$CC$8))-_xlfn.XMATCH($C73,$C$35:$C$82)+1&lt;=_xlpm.DepreciationMonths,$C73&lt;=BD$8),$E73/_xlpm.DepreciationMonths,0))</f>
        <v>0</v>
      </c>
      <c r="BE73" s="507" cm="1">
        <f t="array" ref="BE73">_xlfn.LET(_xlpm.DepreciationMonths,INDEX(FixedAssets[Depreciation
/ Amortization Months],_xlfn.XMATCH($E$33,FixedAssets[Asset ID])),IF(AND((_xlfn.XMATCH(BE$8,$AH$8:$CC$8))-_xlfn.XMATCH($C73,$C$35:$C$82)+1&lt;=_xlpm.DepreciationMonths,$C73&lt;=BE$8),$E73/_xlpm.DepreciationMonths,0))</f>
        <v>0</v>
      </c>
      <c r="BF73" s="507" cm="1">
        <f t="array" ref="BF73">_xlfn.LET(_xlpm.DepreciationMonths,INDEX(FixedAssets[Depreciation
/ Amortization Months],_xlfn.XMATCH($E$33,FixedAssets[Asset ID])),IF(AND((_xlfn.XMATCH(BF$8,$AH$8:$CC$8))-_xlfn.XMATCH($C73,$C$35:$C$82)+1&lt;=_xlpm.DepreciationMonths,$C73&lt;=BF$8),$E73/_xlpm.DepreciationMonths,0))</f>
        <v>0</v>
      </c>
      <c r="BG73" s="507" cm="1">
        <f t="array" ref="BG73">_xlfn.LET(_xlpm.DepreciationMonths,INDEX(FixedAssets[Depreciation
/ Amortization Months],_xlfn.XMATCH($E$33,FixedAssets[Asset ID])),IF(AND((_xlfn.XMATCH(BG$8,$AH$8:$CC$8))-_xlfn.XMATCH($C73,$C$35:$C$82)+1&lt;=_xlpm.DepreciationMonths,$C73&lt;=BG$8),$E73/_xlpm.DepreciationMonths,0))</f>
        <v>0</v>
      </c>
      <c r="BH73" s="507" cm="1">
        <f t="array" ref="BH73">_xlfn.LET(_xlpm.DepreciationMonths,INDEX(FixedAssets[Depreciation
/ Amortization Months],_xlfn.XMATCH($E$33,FixedAssets[Asset ID])),IF(AND((_xlfn.XMATCH(BH$8,$AH$8:$CC$8))-_xlfn.XMATCH($C73,$C$35:$C$82)+1&lt;=_xlpm.DepreciationMonths,$C73&lt;=BH$8),$E73/_xlpm.DepreciationMonths,0))</f>
        <v>0</v>
      </c>
      <c r="BI73" s="507" cm="1">
        <f t="array" ref="BI73">_xlfn.LET(_xlpm.DepreciationMonths,INDEX(FixedAssets[Depreciation
/ Amortization Months],_xlfn.XMATCH($E$33,FixedAssets[Asset ID])),IF(AND((_xlfn.XMATCH(BI$8,$AH$8:$CC$8))-_xlfn.XMATCH($C73,$C$35:$C$82)+1&lt;=_xlpm.DepreciationMonths,$C73&lt;=BI$8),$E73/_xlpm.DepreciationMonths,0))</f>
        <v>0</v>
      </c>
      <c r="BJ73" s="507" cm="1">
        <f t="array" ref="BJ73">_xlfn.LET(_xlpm.DepreciationMonths,INDEX(FixedAssets[Depreciation
/ Amortization Months],_xlfn.XMATCH($E$33,FixedAssets[Asset ID])),IF(AND((_xlfn.XMATCH(BJ$8,$AH$8:$CC$8))-_xlfn.XMATCH($C73,$C$35:$C$82)+1&lt;=_xlpm.DepreciationMonths,$C73&lt;=BJ$8),$E73/_xlpm.DepreciationMonths,0))</f>
        <v>0</v>
      </c>
      <c r="BK73" s="507" cm="1">
        <f t="array" ref="BK73">_xlfn.LET(_xlpm.DepreciationMonths,INDEX(FixedAssets[Depreciation
/ Amortization Months],_xlfn.XMATCH($E$33,FixedAssets[Asset ID])),IF(AND((_xlfn.XMATCH(BK$8,$AH$8:$CC$8))-_xlfn.XMATCH($C73,$C$35:$C$82)+1&lt;=_xlpm.DepreciationMonths,$C73&lt;=BK$8),$E73/_xlpm.DepreciationMonths,0))</f>
        <v>0</v>
      </c>
      <c r="BL73" s="507" cm="1">
        <f t="array" ref="BL73">_xlfn.LET(_xlpm.DepreciationMonths,INDEX(FixedAssets[Depreciation
/ Amortization Months],_xlfn.XMATCH($E$33,FixedAssets[Asset ID])),IF(AND((_xlfn.XMATCH(BL$8,$AH$8:$CC$8))-_xlfn.XMATCH($C73,$C$35:$C$82)+1&lt;=_xlpm.DepreciationMonths,$C73&lt;=BL$8),$E73/_xlpm.DepreciationMonths,0))</f>
        <v>0</v>
      </c>
      <c r="BM73" s="507" cm="1">
        <f t="array" ref="BM73">_xlfn.LET(_xlpm.DepreciationMonths,INDEX(FixedAssets[Depreciation
/ Amortization Months],_xlfn.XMATCH($E$33,FixedAssets[Asset ID])),IF(AND((_xlfn.XMATCH(BM$8,$AH$8:$CC$8))-_xlfn.XMATCH($C73,$C$35:$C$82)+1&lt;=_xlpm.DepreciationMonths,$C73&lt;=BM$8),$E73/_xlpm.DepreciationMonths,0))</f>
        <v>0</v>
      </c>
      <c r="BN73" s="507" cm="1">
        <f t="array" ref="BN73">_xlfn.LET(_xlpm.DepreciationMonths,INDEX(FixedAssets[Depreciation
/ Amortization Months],_xlfn.XMATCH($E$33,FixedAssets[Asset ID])),IF(AND((_xlfn.XMATCH(BN$8,$AH$8:$CC$8))-_xlfn.XMATCH($C73,$C$35:$C$82)+1&lt;=_xlpm.DepreciationMonths,$C73&lt;=BN$8),$E73/_xlpm.DepreciationMonths,0))</f>
        <v>0</v>
      </c>
      <c r="BO73" s="507" cm="1">
        <f t="array" ref="BO73">_xlfn.LET(_xlpm.DepreciationMonths,INDEX(FixedAssets[Depreciation
/ Amortization Months],_xlfn.XMATCH($E$33,FixedAssets[Asset ID])),IF(AND((_xlfn.XMATCH(BO$8,$AH$8:$CC$8))-_xlfn.XMATCH($C73,$C$35:$C$82)+1&lt;=_xlpm.DepreciationMonths,$C73&lt;=BO$8),$E73/_xlpm.DepreciationMonths,0))</f>
        <v>0</v>
      </c>
      <c r="BP73" s="507" cm="1">
        <f t="array" ref="BP73">_xlfn.LET(_xlpm.DepreciationMonths,INDEX(FixedAssets[Depreciation
/ Amortization Months],_xlfn.XMATCH($E$33,FixedAssets[Asset ID])),IF(AND((_xlfn.XMATCH(BP$8,$AH$8:$CC$8))-_xlfn.XMATCH($C73,$C$35:$C$82)+1&lt;=_xlpm.DepreciationMonths,$C73&lt;=BP$8),$E73/_xlpm.DepreciationMonths,0))</f>
        <v>0</v>
      </c>
      <c r="BQ73" s="507" cm="1">
        <f t="array" ref="BQ73">_xlfn.LET(_xlpm.DepreciationMonths,INDEX(FixedAssets[Depreciation
/ Amortization Months],_xlfn.XMATCH($E$33,FixedAssets[Asset ID])),IF(AND((_xlfn.XMATCH(BQ$8,$AH$8:$CC$8))-_xlfn.XMATCH($C73,$C$35:$C$82)+1&lt;=_xlpm.DepreciationMonths,$C73&lt;=BQ$8),$E73/_xlpm.DepreciationMonths,0))</f>
        <v>0</v>
      </c>
      <c r="BR73" s="507" cm="1">
        <f t="array" ref="BR73">_xlfn.LET(_xlpm.DepreciationMonths,INDEX(FixedAssets[Depreciation
/ Amortization Months],_xlfn.XMATCH($E$33,FixedAssets[Asset ID])),IF(AND((_xlfn.XMATCH(BR$8,$AH$8:$CC$8))-_xlfn.XMATCH($C73,$C$35:$C$82)+1&lt;=_xlpm.DepreciationMonths,$C73&lt;=BR$8),$E73/_xlpm.DepreciationMonths,0))</f>
        <v>0</v>
      </c>
      <c r="BS73" s="507" cm="1">
        <f t="array" ref="BS73">_xlfn.LET(_xlpm.DepreciationMonths,INDEX(FixedAssets[Depreciation
/ Amortization Months],_xlfn.XMATCH($E$33,FixedAssets[Asset ID])),IF(AND((_xlfn.XMATCH(BS$8,$AH$8:$CC$8))-_xlfn.XMATCH($C73,$C$35:$C$82)+1&lt;=_xlpm.DepreciationMonths,$C73&lt;=BS$8),$E73/_xlpm.DepreciationMonths,0))</f>
        <v>0</v>
      </c>
      <c r="BT73" s="507" cm="1">
        <f t="array" ref="BT73">_xlfn.LET(_xlpm.DepreciationMonths,INDEX(FixedAssets[Depreciation
/ Amortization Months],_xlfn.XMATCH($E$33,FixedAssets[Asset ID])),IF(AND((_xlfn.XMATCH(BT$8,$AH$8:$CC$8))-_xlfn.XMATCH($C73,$C$35:$C$82)+1&lt;=_xlpm.DepreciationMonths,$C73&lt;=BT$8),$E73/_xlpm.DepreciationMonths,0))</f>
        <v>0</v>
      </c>
      <c r="BU73" s="507" cm="1">
        <f t="array" ref="BU73">_xlfn.LET(_xlpm.DepreciationMonths,INDEX(FixedAssets[Depreciation
/ Amortization Months],_xlfn.XMATCH($E$33,FixedAssets[Asset ID])),IF(AND((_xlfn.XMATCH(BU$8,$AH$8:$CC$8))-_xlfn.XMATCH($C73,$C$35:$C$82)+1&lt;=_xlpm.DepreciationMonths,$C73&lt;=BU$8),$E73/_xlpm.DepreciationMonths,0))</f>
        <v>0</v>
      </c>
      <c r="BV73" s="507" cm="1">
        <f t="array" ref="BV73">_xlfn.LET(_xlpm.DepreciationMonths,INDEX(FixedAssets[Depreciation
/ Amortization Months],_xlfn.XMATCH($E$33,FixedAssets[Asset ID])),IF(AND((_xlfn.XMATCH(BV$8,$AH$8:$CC$8))-_xlfn.XMATCH($C73,$C$35:$C$82)+1&lt;=_xlpm.DepreciationMonths,$C73&lt;=BV$8),$E73/_xlpm.DepreciationMonths,0))</f>
        <v>0</v>
      </c>
      <c r="BW73" s="507" cm="1">
        <f t="array" ref="BW73">_xlfn.LET(_xlpm.DepreciationMonths,INDEX(FixedAssets[Depreciation
/ Amortization Months],_xlfn.XMATCH($E$33,FixedAssets[Asset ID])),IF(AND((_xlfn.XMATCH(BW$8,$AH$8:$CC$8))-_xlfn.XMATCH($C73,$C$35:$C$82)+1&lt;=_xlpm.DepreciationMonths,$C73&lt;=BW$8),$E73/_xlpm.DepreciationMonths,0))</f>
        <v>0</v>
      </c>
      <c r="BX73" s="507" cm="1">
        <f t="array" ref="BX73">_xlfn.LET(_xlpm.DepreciationMonths,INDEX(FixedAssets[Depreciation
/ Amortization Months],_xlfn.XMATCH($E$33,FixedAssets[Asset ID])),IF(AND((_xlfn.XMATCH(BX$8,$AH$8:$CC$8))-_xlfn.XMATCH($C73,$C$35:$C$82)+1&lt;=_xlpm.DepreciationMonths,$C73&lt;=BX$8),$E73/_xlpm.DepreciationMonths,0))</f>
        <v>0</v>
      </c>
      <c r="BY73" s="507" cm="1">
        <f t="array" ref="BY73">_xlfn.LET(_xlpm.DepreciationMonths,INDEX(FixedAssets[Depreciation
/ Amortization Months],_xlfn.XMATCH($E$33,FixedAssets[Asset ID])),IF(AND((_xlfn.XMATCH(BY$8,$AH$8:$CC$8))-_xlfn.XMATCH($C73,$C$35:$C$82)+1&lt;=_xlpm.DepreciationMonths,$C73&lt;=BY$8),$E73/_xlpm.DepreciationMonths,0))</f>
        <v>0</v>
      </c>
      <c r="BZ73" s="507" cm="1">
        <f t="array" ref="BZ73">_xlfn.LET(_xlpm.DepreciationMonths,INDEX(FixedAssets[Depreciation
/ Amortization Months],_xlfn.XMATCH($E$33,FixedAssets[Asset ID])),IF(AND((_xlfn.XMATCH(BZ$8,$AH$8:$CC$8))-_xlfn.XMATCH($C73,$C$35:$C$82)+1&lt;=_xlpm.DepreciationMonths,$C73&lt;=BZ$8),$E73/_xlpm.DepreciationMonths,0))</f>
        <v>0</v>
      </c>
      <c r="CA73" s="507" cm="1">
        <f t="array" ref="CA73">_xlfn.LET(_xlpm.DepreciationMonths,INDEX(FixedAssets[Depreciation
/ Amortization Months],_xlfn.XMATCH($E$33,FixedAssets[Asset ID])),IF(AND((_xlfn.XMATCH(CA$8,$AH$8:$CC$8))-_xlfn.XMATCH($C73,$C$35:$C$82)+1&lt;=_xlpm.DepreciationMonths,$C73&lt;=CA$8),$E73/_xlpm.DepreciationMonths,0))</f>
        <v>0</v>
      </c>
      <c r="CB73" s="507" cm="1">
        <f t="array" ref="CB73">_xlfn.LET(_xlpm.DepreciationMonths,INDEX(FixedAssets[Depreciation
/ Amortization Months],_xlfn.XMATCH($E$33,FixedAssets[Asset ID])),IF(AND((_xlfn.XMATCH(CB$8,$AH$8:$CC$8))-_xlfn.XMATCH($C73,$C$35:$C$82)+1&lt;=_xlpm.DepreciationMonths,$C73&lt;=CB$8),$E73/_xlpm.DepreciationMonths,0))</f>
        <v>0</v>
      </c>
      <c r="CC73" s="507" cm="1">
        <f t="array" ref="CC73">_xlfn.LET(_xlpm.DepreciationMonths,INDEX(FixedAssets[Depreciation
/ Amortization Months],_xlfn.XMATCH($E$33,FixedAssets[Asset ID])),IF(AND((_xlfn.XMATCH(CC$8,$AH$8:$CC$8))-_xlfn.XMATCH($C73,$C$35:$C$82)+1&lt;=_xlpm.DepreciationMonths,$C73&lt;=CC$8),$E73/_xlpm.DepreciationMonths,0))</f>
        <v>0</v>
      </c>
    </row>
    <row r="74" spans="3:81" hidden="1" outlineLevel="2">
      <c r="C74" s="664">
        <f t="shared" si="91"/>
        <v>46142</v>
      </c>
      <c r="D74" s="508"/>
      <c r="E74" s="508" cm="1">
        <f t="array" ref="E74">SUMPRODUCT(($AH$26:$CC$31)*($AH$5:$CC$5=$C74)*($E$26:$E$31=E$33))-SUMPRODUCT(($AH$26:$CC$31)*($AH$5:$CC$5=EOMONTH($C74,-1))*($E$26:$E$31=E$33))</f>
        <v>0</v>
      </c>
      <c r="F74" s="508"/>
      <c r="G74" s="508"/>
      <c r="H74" s="508"/>
      <c r="I74" s="508"/>
      <c r="J74" s="504">
        <f t="shared" si="88"/>
        <v>0</v>
      </c>
      <c r="K74" s="504">
        <f t="shared" si="96"/>
        <v>0</v>
      </c>
      <c r="L74" s="504">
        <f t="shared" si="96"/>
        <v>0</v>
      </c>
      <c r="M74" s="504">
        <f t="shared" si="96"/>
        <v>0</v>
      </c>
      <c r="N74" s="504"/>
      <c r="O74" s="504"/>
      <c r="P74" s="504">
        <f t="shared" si="97"/>
        <v>0</v>
      </c>
      <c r="Q74" s="504">
        <f t="shared" si="97"/>
        <v>0</v>
      </c>
      <c r="R74" s="504">
        <f t="shared" si="97"/>
        <v>0</v>
      </c>
      <c r="S74" s="504">
        <f t="shared" si="97"/>
        <v>0</v>
      </c>
      <c r="T74" s="504">
        <f t="shared" si="97"/>
        <v>0</v>
      </c>
      <c r="U74" s="504">
        <f t="shared" si="97"/>
        <v>0</v>
      </c>
      <c r="V74" s="504">
        <f t="shared" si="97"/>
        <v>0</v>
      </c>
      <c r="W74" s="504">
        <f t="shared" si="97"/>
        <v>0</v>
      </c>
      <c r="X74" s="504">
        <f t="shared" si="97"/>
        <v>0</v>
      </c>
      <c r="Y74" s="504">
        <f t="shared" si="97"/>
        <v>0</v>
      </c>
      <c r="Z74" s="504">
        <f t="shared" si="97"/>
        <v>0</v>
      </c>
      <c r="AA74" s="504">
        <f t="shared" si="97"/>
        <v>0</v>
      </c>
      <c r="AB74" s="504">
        <f t="shared" si="97"/>
        <v>0</v>
      </c>
      <c r="AC74" s="504">
        <f t="shared" si="97"/>
        <v>0</v>
      </c>
      <c r="AD74" s="504">
        <f t="shared" si="97"/>
        <v>0</v>
      </c>
      <c r="AE74" s="504">
        <f t="shared" si="97"/>
        <v>0</v>
      </c>
      <c r="AF74" s="508"/>
      <c r="AG74" s="508"/>
      <c r="AH74" s="507" cm="1">
        <f t="array" ref="AH74">_xlfn.LET(_xlpm.DepreciationMonths,INDEX(FixedAssets[Depreciation
/ Amortization Months],_xlfn.XMATCH($E$33,FixedAssets[Asset ID])),IF(AND((_xlfn.XMATCH(AH$8,$AH$8:$CC$8))-_xlfn.XMATCH($C74,$C$35:$C$82)+1&lt;=_xlpm.DepreciationMonths,$C74&lt;=AH$8),$E74/_xlpm.DepreciationMonths,0))</f>
        <v>0</v>
      </c>
      <c r="AI74" s="507" cm="1">
        <f t="array" ref="AI74">_xlfn.LET(_xlpm.DepreciationMonths,INDEX(FixedAssets[Depreciation
/ Amortization Months],_xlfn.XMATCH($E$33,FixedAssets[Asset ID])),IF(AND((_xlfn.XMATCH(AI$8,$AH$8:$CC$8))-_xlfn.XMATCH($C74,$C$35:$C$82)+1&lt;=_xlpm.DepreciationMonths,$C74&lt;=AI$8),$E74/_xlpm.DepreciationMonths,0))</f>
        <v>0</v>
      </c>
      <c r="AJ74" s="507" cm="1">
        <f t="array" ref="AJ74">_xlfn.LET(_xlpm.DepreciationMonths,INDEX(FixedAssets[Depreciation
/ Amortization Months],_xlfn.XMATCH($E$33,FixedAssets[Asset ID])),IF(AND((_xlfn.XMATCH(AJ$8,$AH$8:$CC$8))-_xlfn.XMATCH($C74,$C$35:$C$82)+1&lt;=_xlpm.DepreciationMonths,$C74&lt;=AJ$8),$E74/_xlpm.DepreciationMonths,0))</f>
        <v>0</v>
      </c>
      <c r="AK74" s="507" cm="1">
        <f t="array" ref="AK74">_xlfn.LET(_xlpm.DepreciationMonths,INDEX(FixedAssets[Depreciation
/ Amortization Months],_xlfn.XMATCH($E$33,FixedAssets[Asset ID])),IF(AND((_xlfn.XMATCH(AK$8,$AH$8:$CC$8))-_xlfn.XMATCH($C74,$C$35:$C$82)+1&lt;=_xlpm.DepreciationMonths,$C74&lt;=AK$8),$E74/_xlpm.DepreciationMonths,0))</f>
        <v>0</v>
      </c>
      <c r="AL74" s="507" cm="1">
        <f t="array" ref="AL74">_xlfn.LET(_xlpm.DepreciationMonths,INDEX(FixedAssets[Depreciation
/ Amortization Months],_xlfn.XMATCH($E$33,FixedAssets[Asset ID])),IF(AND((_xlfn.XMATCH(AL$8,$AH$8:$CC$8))-_xlfn.XMATCH($C74,$C$35:$C$82)+1&lt;=_xlpm.DepreciationMonths,$C74&lt;=AL$8),$E74/_xlpm.DepreciationMonths,0))</f>
        <v>0</v>
      </c>
      <c r="AM74" s="507" cm="1">
        <f t="array" ref="AM74">_xlfn.LET(_xlpm.DepreciationMonths,INDEX(FixedAssets[Depreciation
/ Amortization Months],_xlfn.XMATCH($E$33,FixedAssets[Asset ID])),IF(AND((_xlfn.XMATCH(AM$8,$AH$8:$CC$8))-_xlfn.XMATCH($C74,$C$35:$C$82)+1&lt;=_xlpm.DepreciationMonths,$C74&lt;=AM$8),$E74/_xlpm.DepreciationMonths,0))</f>
        <v>0</v>
      </c>
      <c r="AN74" s="507" cm="1">
        <f t="array" ref="AN74">_xlfn.LET(_xlpm.DepreciationMonths,INDEX(FixedAssets[Depreciation
/ Amortization Months],_xlfn.XMATCH($E$33,FixedAssets[Asset ID])),IF(AND((_xlfn.XMATCH(AN$8,$AH$8:$CC$8))-_xlfn.XMATCH($C74,$C$35:$C$82)+1&lt;=_xlpm.DepreciationMonths,$C74&lt;=AN$8),$E74/_xlpm.DepreciationMonths,0))</f>
        <v>0</v>
      </c>
      <c r="AO74" s="507" cm="1">
        <f t="array" ref="AO74">_xlfn.LET(_xlpm.DepreciationMonths,INDEX(FixedAssets[Depreciation
/ Amortization Months],_xlfn.XMATCH($E$33,FixedAssets[Asset ID])),IF(AND((_xlfn.XMATCH(AO$8,$AH$8:$CC$8))-_xlfn.XMATCH($C74,$C$35:$C$82)+1&lt;=_xlpm.DepreciationMonths,$C74&lt;=AO$8),$E74/_xlpm.DepreciationMonths,0))</f>
        <v>0</v>
      </c>
      <c r="AP74" s="507" cm="1">
        <f t="array" ref="AP74">_xlfn.LET(_xlpm.DepreciationMonths,INDEX(FixedAssets[Depreciation
/ Amortization Months],_xlfn.XMATCH($E$33,FixedAssets[Asset ID])),IF(AND((_xlfn.XMATCH(AP$8,$AH$8:$CC$8))-_xlfn.XMATCH($C74,$C$35:$C$82)+1&lt;=_xlpm.DepreciationMonths,$C74&lt;=AP$8),$E74/_xlpm.DepreciationMonths,0))</f>
        <v>0</v>
      </c>
      <c r="AQ74" s="507" cm="1">
        <f t="array" ref="AQ74">_xlfn.LET(_xlpm.DepreciationMonths,INDEX(FixedAssets[Depreciation
/ Amortization Months],_xlfn.XMATCH($E$33,FixedAssets[Asset ID])),IF(AND((_xlfn.XMATCH(AQ$8,$AH$8:$CC$8))-_xlfn.XMATCH($C74,$C$35:$C$82)+1&lt;=_xlpm.DepreciationMonths,$C74&lt;=AQ$8),$E74/_xlpm.DepreciationMonths,0))</f>
        <v>0</v>
      </c>
      <c r="AR74" s="507" cm="1">
        <f t="array" ref="AR74">_xlfn.LET(_xlpm.DepreciationMonths,INDEX(FixedAssets[Depreciation
/ Amortization Months],_xlfn.XMATCH($E$33,FixedAssets[Asset ID])),IF(AND((_xlfn.XMATCH(AR$8,$AH$8:$CC$8))-_xlfn.XMATCH($C74,$C$35:$C$82)+1&lt;=_xlpm.DepreciationMonths,$C74&lt;=AR$8),$E74/_xlpm.DepreciationMonths,0))</f>
        <v>0</v>
      </c>
      <c r="AS74" s="507" cm="1">
        <f t="array" ref="AS74">_xlfn.LET(_xlpm.DepreciationMonths,INDEX(FixedAssets[Depreciation
/ Amortization Months],_xlfn.XMATCH($E$33,FixedAssets[Asset ID])),IF(AND((_xlfn.XMATCH(AS$8,$AH$8:$CC$8))-_xlfn.XMATCH($C74,$C$35:$C$82)+1&lt;=_xlpm.DepreciationMonths,$C74&lt;=AS$8),$E74/_xlpm.DepreciationMonths,0))</f>
        <v>0</v>
      </c>
      <c r="AT74" s="507" cm="1">
        <f t="array" ref="AT74">_xlfn.LET(_xlpm.DepreciationMonths,INDEX(FixedAssets[Depreciation
/ Amortization Months],_xlfn.XMATCH($E$33,FixedAssets[Asset ID])),IF(AND((_xlfn.XMATCH(AT$8,$AH$8:$CC$8))-_xlfn.XMATCH($C74,$C$35:$C$82)+1&lt;=_xlpm.DepreciationMonths,$C74&lt;=AT$8),$E74/_xlpm.DepreciationMonths,0))</f>
        <v>0</v>
      </c>
      <c r="AU74" s="507" cm="1">
        <f t="array" ref="AU74">_xlfn.LET(_xlpm.DepreciationMonths,INDEX(FixedAssets[Depreciation
/ Amortization Months],_xlfn.XMATCH($E$33,FixedAssets[Asset ID])),IF(AND((_xlfn.XMATCH(AU$8,$AH$8:$CC$8))-_xlfn.XMATCH($C74,$C$35:$C$82)+1&lt;=_xlpm.DepreciationMonths,$C74&lt;=AU$8),$E74/_xlpm.DepreciationMonths,0))</f>
        <v>0</v>
      </c>
      <c r="AV74" s="507" cm="1">
        <f t="array" ref="AV74">_xlfn.LET(_xlpm.DepreciationMonths,INDEX(FixedAssets[Depreciation
/ Amortization Months],_xlfn.XMATCH($E$33,FixedAssets[Asset ID])),IF(AND((_xlfn.XMATCH(AV$8,$AH$8:$CC$8))-_xlfn.XMATCH($C74,$C$35:$C$82)+1&lt;=_xlpm.DepreciationMonths,$C74&lt;=AV$8),$E74/_xlpm.DepreciationMonths,0))</f>
        <v>0</v>
      </c>
      <c r="AW74" s="507" cm="1">
        <f t="array" ref="AW74">_xlfn.LET(_xlpm.DepreciationMonths,INDEX(FixedAssets[Depreciation
/ Amortization Months],_xlfn.XMATCH($E$33,FixedAssets[Asset ID])),IF(AND((_xlfn.XMATCH(AW$8,$AH$8:$CC$8))-_xlfn.XMATCH($C74,$C$35:$C$82)+1&lt;=_xlpm.DepreciationMonths,$C74&lt;=AW$8),$E74/_xlpm.DepreciationMonths,0))</f>
        <v>0</v>
      </c>
      <c r="AX74" s="507" cm="1">
        <f t="array" ref="AX74">_xlfn.LET(_xlpm.DepreciationMonths,INDEX(FixedAssets[Depreciation
/ Amortization Months],_xlfn.XMATCH($E$33,FixedAssets[Asset ID])),IF(AND((_xlfn.XMATCH(AX$8,$AH$8:$CC$8))-_xlfn.XMATCH($C74,$C$35:$C$82)+1&lt;=_xlpm.DepreciationMonths,$C74&lt;=AX$8),$E74/_xlpm.DepreciationMonths,0))</f>
        <v>0</v>
      </c>
      <c r="AY74" s="507" cm="1">
        <f t="array" ref="AY74">_xlfn.LET(_xlpm.DepreciationMonths,INDEX(FixedAssets[Depreciation
/ Amortization Months],_xlfn.XMATCH($E$33,FixedAssets[Asset ID])),IF(AND((_xlfn.XMATCH(AY$8,$AH$8:$CC$8))-_xlfn.XMATCH($C74,$C$35:$C$82)+1&lt;=_xlpm.DepreciationMonths,$C74&lt;=AY$8),$E74/_xlpm.DepreciationMonths,0))</f>
        <v>0</v>
      </c>
      <c r="AZ74" s="507" cm="1">
        <f t="array" ref="AZ74">_xlfn.LET(_xlpm.DepreciationMonths,INDEX(FixedAssets[Depreciation
/ Amortization Months],_xlfn.XMATCH($E$33,FixedAssets[Asset ID])),IF(AND((_xlfn.XMATCH(AZ$8,$AH$8:$CC$8))-_xlfn.XMATCH($C74,$C$35:$C$82)+1&lt;=_xlpm.DepreciationMonths,$C74&lt;=AZ$8),$E74/_xlpm.DepreciationMonths,0))</f>
        <v>0</v>
      </c>
      <c r="BA74" s="507" cm="1">
        <f t="array" ref="BA74">_xlfn.LET(_xlpm.DepreciationMonths,INDEX(FixedAssets[Depreciation
/ Amortization Months],_xlfn.XMATCH($E$33,FixedAssets[Asset ID])),IF(AND((_xlfn.XMATCH(BA$8,$AH$8:$CC$8))-_xlfn.XMATCH($C74,$C$35:$C$82)+1&lt;=_xlpm.DepreciationMonths,$C74&lt;=BA$8),$E74/_xlpm.DepreciationMonths,0))</f>
        <v>0</v>
      </c>
      <c r="BB74" s="507" cm="1">
        <f t="array" ref="BB74">_xlfn.LET(_xlpm.DepreciationMonths,INDEX(FixedAssets[Depreciation
/ Amortization Months],_xlfn.XMATCH($E$33,FixedAssets[Asset ID])),IF(AND((_xlfn.XMATCH(BB$8,$AH$8:$CC$8))-_xlfn.XMATCH($C74,$C$35:$C$82)+1&lt;=_xlpm.DepreciationMonths,$C74&lt;=BB$8),$E74/_xlpm.DepreciationMonths,0))</f>
        <v>0</v>
      </c>
      <c r="BC74" s="507" cm="1">
        <f t="array" ref="BC74">_xlfn.LET(_xlpm.DepreciationMonths,INDEX(FixedAssets[Depreciation
/ Amortization Months],_xlfn.XMATCH($E$33,FixedAssets[Asset ID])),IF(AND((_xlfn.XMATCH(BC$8,$AH$8:$CC$8))-_xlfn.XMATCH($C74,$C$35:$C$82)+1&lt;=_xlpm.DepreciationMonths,$C74&lt;=BC$8),$E74/_xlpm.DepreciationMonths,0))</f>
        <v>0</v>
      </c>
      <c r="BD74" s="507" cm="1">
        <f t="array" ref="BD74">_xlfn.LET(_xlpm.DepreciationMonths,INDEX(FixedAssets[Depreciation
/ Amortization Months],_xlfn.XMATCH($E$33,FixedAssets[Asset ID])),IF(AND((_xlfn.XMATCH(BD$8,$AH$8:$CC$8))-_xlfn.XMATCH($C74,$C$35:$C$82)+1&lt;=_xlpm.DepreciationMonths,$C74&lt;=BD$8),$E74/_xlpm.DepreciationMonths,0))</f>
        <v>0</v>
      </c>
      <c r="BE74" s="507" cm="1">
        <f t="array" ref="BE74">_xlfn.LET(_xlpm.DepreciationMonths,INDEX(FixedAssets[Depreciation
/ Amortization Months],_xlfn.XMATCH($E$33,FixedAssets[Asset ID])),IF(AND((_xlfn.XMATCH(BE$8,$AH$8:$CC$8))-_xlfn.XMATCH($C74,$C$35:$C$82)+1&lt;=_xlpm.DepreciationMonths,$C74&lt;=BE$8),$E74/_xlpm.DepreciationMonths,0))</f>
        <v>0</v>
      </c>
      <c r="BF74" s="507" cm="1">
        <f t="array" ref="BF74">_xlfn.LET(_xlpm.DepreciationMonths,INDEX(FixedAssets[Depreciation
/ Amortization Months],_xlfn.XMATCH($E$33,FixedAssets[Asset ID])),IF(AND((_xlfn.XMATCH(BF$8,$AH$8:$CC$8))-_xlfn.XMATCH($C74,$C$35:$C$82)+1&lt;=_xlpm.DepreciationMonths,$C74&lt;=BF$8),$E74/_xlpm.DepreciationMonths,0))</f>
        <v>0</v>
      </c>
      <c r="BG74" s="507" cm="1">
        <f t="array" ref="BG74">_xlfn.LET(_xlpm.DepreciationMonths,INDEX(FixedAssets[Depreciation
/ Amortization Months],_xlfn.XMATCH($E$33,FixedAssets[Asset ID])),IF(AND((_xlfn.XMATCH(BG$8,$AH$8:$CC$8))-_xlfn.XMATCH($C74,$C$35:$C$82)+1&lt;=_xlpm.DepreciationMonths,$C74&lt;=BG$8),$E74/_xlpm.DepreciationMonths,0))</f>
        <v>0</v>
      </c>
      <c r="BH74" s="507" cm="1">
        <f t="array" ref="BH74">_xlfn.LET(_xlpm.DepreciationMonths,INDEX(FixedAssets[Depreciation
/ Amortization Months],_xlfn.XMATCH($E$33,FixedAssets[Asset ID])),IF(AND((_xlfn.XMATCH(BH$8,$AH$8:$CC$8))-_xlfn.XMATCH($C74,$C$35:$C$82)+1&lt;=_xlpm.DepreciationMonths,$C74&lt;=BH$8),$E74/_xlpm.DepreciationMonths,0))</f>
        <v>0</v>
      </c>
      <c r="BI74" s="507" cm="1">
        <f t="array" ref="BI74">_xlfn.LET(_xlpm.DepreciationMonths,INDEX(FixedAssets[Depreciation
/ Amortization Months],_xlfn.XMATCH($E$33,FixedAssets[Asset ID])),IF(AND((_xlfn.XMATCH(BI$8,$AH$8:$CC$8))-_xlfn.XMATCH($C74,$C$35:$C$82)+1&lt;=_xlpm.DepreciationMonths,$C74&lt;=BI$8),$E74/_xlpm.DepreciationMonths,0))</f>
        <v>0</v>
      </c>
      <c r="BJ74" s="507" cm="1">
        <f t="array" ref="BJ74">_xlfn.LET(_xlpm.DepreciationMonths,INDEX(FixedAssets[Depreciation
/ Amortization Months],_xlfn.XMATCH($E$33,FixedAssets[Asset ID])),IF(AND((_xlfn.XMATCH(BJ$8,$AH$8:$CC$8))-_xlfn.XMATCH($C74,$C$35:$C$82)+1&lt;=_xlpm.DepreciationMonths,$C74&lt;=BJ$8),$E74/_xlpm.DepreciationMonths,0))</f>
        <v>0</v>
      </c>
      <c r="BK74" s="507" cm="1">
        <f t="array" ref="BK74">_xlfn.LET(_xlpm.DepreciationMonths,INDEX(FixedAssets[Depreciation
/ Amortization Months],_xlfn.XMATCH($E$33,FixedAssets[Asset ID])),IF(AND((_xlfn.XMATCH(BK$8,$AH$8:$CC$8))-_xlfn.XMATCH($C74,$C$35:$C$82)+1&lt;=_xlpm.DepreciationMonths,$C74&lt;=BK$8),$E74/_xlpm.DepreciationMonths,0))</f>
        <v>0</v>
      </c>
      <c r="BL74" s="507" cm="1">
        <f t="array" ref="BL74">_xlfn.LET(_xlpm.DepreciationMonths,INDEX(FixedAssets[Depreciation
/ Amortization Months],_xlfn.XMATCH($E$33,FixedAssets[Asset ID])),IF(AND((_xlfn.XMATCH(BL$8,$AH$8:$CC$8))-_xlfn.XMATCH($C74,$C$35:$C$82)+1&lt;=_xlpm.DepreciationMonths,$C74&lt;=BL$8),$E74/_xlpm.DepreciationMonths,0))</f>
        <v>0</v>
      </c>
      <c r="BM74" s="507" cm="1">
        <f t="array" ref="BM74">_xlfn.LET(_xlpm.DepreciationMonths,INDEX(FixedAssets[Depreciation
/ Amortization Months],_xlfn.XMATCH($E$33,FixedAssets[Asset ID])),IF(AND((_xlfn.XMATCH(BM$8,$AH$8:$CC$8))-_xlfn.XMATCH($C74,$C$35:$C$82)+1&lt;=_xlpm.DepreciationMonths,$C74&lt;=BM$8),$E74/_xlpm.DepreciationMonths,0))</f>
        <v>0</v>
      </c>
      <c r="BN74" s="507" cm="1">
        <f t="array" ref="BN74">_xlfn.LET(_xlpm.DepreciationMonths,INDEX(FixedAssets[Depreciation
/ Amortization Months],_xlfn.XMATCH($E$33,FixedAssets[Asset ID])),IF(AND((_xlfn.XMATCH(BN$8,$AH$8:$CC$8))-_xlfn.XMATCH($C74,$C$35:$C$82)+1&lt;=_xlpm.DepreciationMonths,$C74&lt;=BN$8),$E74/_xlpm.DepreciationMonths,0))</f>
        <v>0</v>
      </c>
      <c r="BO74" s="507" cm="1">
        <f t="array" ref="BO74">_xlfn.LET(_xlpm.DepreciationMonths,INDEX(FixedAssets[Depreciation
/ Amortization Months],_xlfn.XMATCH($E$33,FixedAssets[Asset ID])),IF(AND((_xlfn.XMATCH(BO$8,$AH$8:$CC$8))-_xlfn.XMATCH($C74,$C$35:$C$82)+1&lt;=_xlpm.DepreciationMonths,$C74&lt;=BO$8),$E74/_xlpm.DepreciationMonths,0))</f>
        <v>0</v>
      </c>
      <c r="BP74" s="507" cm="1">
        <f t="array" ref="BP74">_xlfn.LET(_xlpm.DepreciationMonths,INDEX(FixedAssets[Depreciation
/ Amortization Months],_xlfn.XMATCH($E$33,FixedAssets[Asset ID])),IF(AND((_xlfn.XMATCH(BP$8,$AH$8:$CC$8))-_xlfn.XMATCH($C74,$C$35:$C$82)+1&lt;=_xlpm.DepreciationMonths,$C74&lt;=BP$8),$E74/_xlpm.DepreciationMonths,0))</f>
        <v>0</v>
      </c>
      <c r="BQ74" s="507" cm="1">
        <f t="array" ref="BQ74">_xlfn.LET(_xlpm.DepreciationMonths,INDEX(FixedAssets[Depreciation
/ Amortization Months],_xlfn.XMATCH($E$33,FixedAssets[Asset ID])),IF(AND((_xlfn.XMATCH(BQ$8,$AH$8:$CC$8))-_xlfn.XMATCH($C74,$C$35:$C$82)+1&lt;=_xlpm.DepreciationMonths,$C74&lt;=BQ$8),$E74/_xlpm.DepreciationMonths,0))</f>
        <v>0</v>
      </c>
      <c r="BR74" s="507" cm="1">
        <f t="array" ref="BR74">_xlfn.LET(_xlpm.DepreciationMonths,INDEX(FixedAssets[Depreciation
/ Amortization Months],_xlfn.XMATCH($E$33,FixedAssets[Asset ID])),IF(AND((_xlfn.XMATCH(BR$8,$AH$8:$CC$8))-_xlfn.XMATCH($C74,$C$35:$C$82)+1&lt;=_xlpm.DepreciationMonths,$C74&lt;=BR$8),$E74/_xlpm.DepreciationMonths,0))</f>
        <v>0</v>
      </c>
      <c r="BS74" s="507" cm="1">
        <f t="array" ref="BS74">_xlfn.LET(_xlpm.DepreciationMonths,INDEX(FixedAssets[Depreciation
/ Amortization Months],_xlfn.XMATCH($E$33,FixedAssets[Asset ID])),IF(AND((_xlfn.XMATCH(BS$8,$AH$8:$CC$8))-_xlfn.XMATCH($C74,$C$35:$C$82)+1&lt;=_xlpm.DepreciationMonths,$C74&lt;=BS$8),$E74/_xlpm.DepreciationMonths,0))</f>
        <v>0</v>
      </c>
      <c r="BT74" s="507" cm="1">
        <f t="array" ref="BT74">_xlfn.LET(_xlpm.DepreciationMonths,INDEX(FixedAssets[Depreciation
/ Amortization Months],_xlfn.XMATCH($E$33,FixedAssets[Asset ID])),IF(AND((_xlfn.XMATCH(BT$8,$AH$8:$CC$8))-_xlfn.XMATCH($C74,$C$35:$C$82)+1&lt;=_xlpm.DepreciationMonths,$C74&lt;=BT$8),$E74/_xlpm.DepreciationMonths,0))</f>
        <v>0</v>
      </c>
      <c r="BU74" s="507" cm="1">
        <f t="array" ref="BU74">_xlfn.LET(_xlpm.DepreciationMonths,INDEX(FixedAssets[Depreciation
/ Amortization Months],_xlfn.XMATCH($E$33,FixedAssets[Asset ID])),IF(AND((_xlfn.XMATCH(BU$8,$AH$8:$CC$8))-_xlfn.XMATCH($C74,$C$35:$C$82)+1&lt;=_xlpm.DepreciationMonths,$C74&lt;=BU$8),$E74/_xlpm.DepreciationMonths,0))</f>
        <v>0</v>
      </c>
      <c r="BV74" s="507" cm="1">
        <f t="array" ref="BV74">_xlfn.LET(_xlpm.DepreciationMonths,INDEX(FixedAssets[Depreciation
/ Amortization Months],_xlfn.XMATCH($E$33,FixedAssets[Asset ID])),IF(AND((_xlfn.XMATCH(BV$8,$AH$8:$CC$8))-_xlfn.XMATCH($C74,$C$35:$C$82)+1&lt;=_xlpm.DepreciationMonths,$C74&lt;=BV$8),$E74/_xlpm.DepreciationMonths,0))</f>
        <v>0</v>
      </c>
      <c r="BW74" s="507" cm="1">
        <f t="array" ref="BW74">_xlfn.LET(_xlpm.DepreciationMonths,INDEX(FixedAssets[Depreciation
/ Amortization Months],_xlfn.XMATCH($E$33,FixedAssets[Asset ID])),IF(AND((_xlfn.XMATCH(BW$8,$AH$8:$CC$8))-_xlfn.XMATCH($C74,$C$35:$C$82)+1&lt;=_xlpm.DepreciationMonths,$C74&lt;=BW$8),$E74/_xlpm.DepreciationMonths,0))</f>
        <v>0</v>
      </c>
      <c r="BX74" s="507" cm="1">
        <f t="array" ref="BX74">_xlfn.LET(_xlpm.DepreciationMonths,INDEX(FixedAssets[Depreciation
/ Amortization Months],_xlfn.XMATCH($E$33,FixedAssets[Asset ID])),IF(AND((_xlfn.XMATCH(BX$8,$AH$8:$CC$8))-_xlfn.XMATCH($C74,$C$35:$C$82)+1&lt;=_xlpm.DepreciationMonths,$C74&lt;=BX$8),$E74/_xlpm.DepreciationMonths,0))</f>
        <v>0</v>
      </c>
      <c r="BY74" s="507" cm="1">
        <f t="array" ref="BY74">_xlfn.LET(_xlpm.DepreciationMonths,INDEX(FixedAssets[Depreciation
/ Amortization Months],_xlfn.XMATCH($E$33,FixedAssets[Asset ID])),IF(AND((_xlfn.XMATCH(BY$8,$AH$8:$CC$8))-_xlfn.XMATCH($C74,$C$35:$C$82)+1&lt;=_xlpm.DepreciationMonths,$C74&lt;=BY$8),$E74/_xlpm.DepreciationMonths,0))</f>
        <v>0</v>
      </c>
      <c r="BZ74" s="507" cm="1">
        <f t="array" ref="BZ74">_xlfn.LET(_xlpm.DepreciationMonths,INDEX(FixedAssets[Depreciation
/ Amortization Months],_xlfn.XMATCH($E$33,FixedAssets[Asset ID])),IF(AND((_xlfn.XMATCH(BZ$8,$AH$8:$CC$8))-_xlfn.XMATCH($C74,$C$35:$C$82)+1&lt;=_xlpm.DepreciationMonths,$C74&lt;=BZ$8),$E74/_xlpm.DepreciationMonths,0))</f>
        <v>0</v>
      </c>
      <c r="CA74" s="507" cm="1">
        <f t="array" ref="CA74">_xlfn.LET(_xlpm.DepreciationMonths,INDEX(FixedAssets[Depreciation
/ Amortization Months],_xlfn.XMATCH($E$33,FixedAssets[Asset ID])),IF(AND((_xlfn.XMATCH(CA$8,$AH$8:$CC$8))-_xlfn.XMATCH($C74,$C$35:$C$82)+1&lt;=_xlpm.DepreciationMonths,$C74&lt;=CA$8),$E74/_xlpm.DepreciationMonths,0))</f>
        <v>0</v>
      </c>
      <c r="CB74" s="507" cm="1">
        <f t="array" ref="CB74">_xlfn.LET(_xlpm.DepreciationMonths,INDEX(FixedAssets[Depreciation
/ Amortization Months],_xlfn.XMATCH($E$33,FixedAssets[Asset ID])),IF(AND((_xlfn.XMATCH(CB$8,$AH$8:$CC$8))-_xlfn.XMATCH($C74,$C$35:$C$82)+1&lt;=_xlpm.DepreciationMonths,$C74&lt;=CB$8),$E74/_xlpm.DepreciationMonths,0))</f>
        <v>0</v>
      </c>
      <c r="CC74" s="507" cm="1">
        <f t="array" ref="CC74">_xlfn.LET(_xlpm.DepreciationMonths,INDEX(FixedAssets[Depreciation
/ Amortization Months],_xlfn.XMATCH($E$33,FixedAssets[Asset ID])),IF(AND((_xlfn.XMATCH(CC$8,$AH$8:$CC$8))-_xlfn.XMATCH($C74,$C$35:$C$82)+1&lt;=_xlpm.DepreciationMonths,$C74&lt;=CC$8),$E74/_xlpm.DepreciationMonths,0))</f>
        <v>0</v>
      </c>
    </row>
    <row r="75" spans="3:81" hidden="1" outlineLevel="2">
      <c r="C75" s="664">
        <f t="shared" si="91"/>
        <v>46173</v>
      </c>
      <c r="D75" s="508"/>
      <c r="E75" s="508" cm="1">
        <f t="array" ref="E75">SUMPRODUCT(($AH$26:$CC$31)*($AH$5:$CC$5=$C75)*($E$26:$E$31=E$33))-SUMPRODUCT(($AH$26:$CC$31)*($AH$5:$CC$5=EOMONTH($C75,-1))*($E$26:$E$31=E$33))</f>
        <v>0</v>
      </c>
      <c r="F75" s="508"/>
      <c r="G75" s="508"/>
      <c r="H75" s="508"/>
      <c r="I75" s="508"/>
      <c r="J75" s="504">
        <f t="shared" si="88"/>
        <v>0</v>
      </c>
      <c r="K75" s="504">
        <f t="shared" si="96"/>
        <v>0</v>
      </c>
      <c r="L75" s="504">
        <f t="shared" si="96"/>
        <v>0</v>
      </c>
      <c r="M75" s="504">
        <f t="shared" si="96"/>
        <v>0</v>
      </c>
      <c r="N75" s="504"/>
      <c r="O75" s="504"/>
      <c r="P75" s="504">
        <f t="shared" si="97"/>
        <v>0</v>
      </c>
      <c r="Q75" s="504">
        <f t="shared" si="97"/>
        <v>0</v>
      </c>
      <c r="R75" s="504">
        <f t="shared" si="97"/>
        <v>0</v>
      </c>
      <c r="S75" s="504">
        <f t="shared" si="97"/>
        <v>0</v>
      </c>
      <c r="T75" s="504">
        <f t="shared" si="97"/>
        <v>0</v>
      </c>
      <c r="U75" s="504">
        <f t="shared" si="97"/>
        <v>0</v>
      </c>
      <c r="V75" s="504">
        <f t="shared" si="97"/>
        <v>0</v>
      </c>
      <c r="W75" s="504">
        <f t="shared" si="97"/>
        <v>0</v>
      </c>
      <c r="X75" s="504">
        <f t="shared" si="97"/>
        <v>0</v>
      </c>
      <c r="Y75" s="504">
        <f t="shared" si="97"/>
        <v>0</v>
      </c>
      <c r="Z75" s="504">
        <f t="shared" si="97"/>
        <v>0</v>
      </c>
      <c r="AA75" s="504">
        <f t="shared" si="97"/>
        <v>0</v>
      </c>
      <c r="AB75" s="504">
        <f t="shared" si="97"/>
        <v>0</v>
      </c>
      <c r="AC75" s="504">
        <f t="shared" si="97"/>
        <v>0</v>
      </c>
      <c r="AD75" s="504">
        <f t="shared" si="97"/>
        <v>0</v>
      </c>
      <c r="AE75" s="504">
        <f t="shared" si="97"/>
        <v>0</v>
      </c>
      <c r="AF75" s="508"/>
      <c r="AG75" s="508"/>
      <c r="AH75" s="507" cm="1">
        <f t="array" ref="AH75">_xlfn.LET(_xlpm.DepreciationMonths,INDEX(FixedAssets[Depreciation
/ Amortization Months],_xlfn.XMATCH($E$33,FixedAssets[Asset ID])),IF(AND((_xlfn.XMATCH(AH$8,$AH$8:$CC$8))-_xlfn.XMATCH($C75,$C$35:$C$82)+1&lt;=_xlpm.DepreciationMonths,$C75&lt;=AH$8),$E75/_xlpm.DepreciationMonths,0))</f>
        <v>0</v>
      </c>
      <c r="AI75" s="507" cm="1">
        <f t="array" ref="AI75">_xlfn.LET(_xlpm.DepreciationMonths,INDEX(FixedAssets[Depreciation
/ Amortization Months],_xlfn.XMATCH($E$33,FixedAssets[Asset ID])),IF(AND((_xlfn.XMATCH(AI$8,$AH$8:$CC$8))-_xlfn.XMATCH($C75,$C$35:$C$82)+1&lt;=_xlpm.DepreciationMonths,$C75&lt;=AI$8),$E75/_xlpm.DepreciationMonths,0))</f>
        <v>0</v>
      </c>
      <c r="AJ75" s="507" cm="1">
        <f t="array" ref="AJ75">_xlfn.LET(_xlpm.DepreciationMonths,INDEX(FixedAssets[Depreciation
/ Amortization Months],_xlfn.XMATCH($E$33,FixedAssets[Asset ID])),IF(AND((_xlfn.XMATCH(AJ$8,$AH$8:$CC$8))-_xlfn.XMATCH($C75,$C$35:$C$82)+1&lt;=_xlpm.DepreciationMonths,$C75&lt;=AJ$8),$E75/_xlpm.DepreciationMonths,0))</f>
        <v>0</v>
      </c>
      <c r="AK75" s="507" cm="1">
        <f t="array" ref="AK75">_xlfn.LET(_xlpm.DepreciationMonths,INDEX(FixedAssets[Depreciation
/ Amortization Months],_xlfn.XMATCH($E$33,FixedAssets[Asset ID])),IF(AND((_xlfn.XMATCH(AK$8,$AH$8:$CC$8))-_xlfn.XMATCH($C75,$C$35:$C$82)+1&lt;=_xlpm.DepreciationMonths,$C75&lt;=AK$8),$E75/_xlpm.DepreciationMonths,0))</f>
        <v>0</v>
      </c>
      <c r="AL75" s="507" cm="1">
        <f t="array" ref="AL75">_xlfn.LET(_xlpm.DepreciationMonths,INDEX(FixedAssets[Depreciation
/ Amortization Months],_xlfn.XMATCH($E$33,FixedAssets[Asset ID])),IF(AND((_xlfn.XMATCH(AL$8,$AH$8:$CC$8))-_xlfn.XMATCH($C75,$C$35:$C$82)+1&lt;=_xlpm.DepreciationMonths,$C75&lt;=AL$8),$E75/_xlpm.DepreciationMonths,0))</f>
        <v>0</v>
      </c>
      <c r="AM75" s="507" cm="1">
        <f t="array" ref="AM75">_xlfn.LET(_xlpm.DepreciationMonths,INDEX(FixedAssets[Depreciation
/ Amortization Months],_xlfn.XMATCH($E$33,FixedAssets[Asset ID])),IF(AND((_xlfn.XMATCH(AM$8,$AH$8:$CC$8))-_xlfn.XMATCH($C75,$C$35:$C$82)+1&lt;=_xlpm.DepreciationMonths,$C75&lt;=AM$8),$E75/_xlpm.DepreciationMonths,0))</f>
        <v>0</v>
      </c>
      <c r="AN75" s="507" cm="1">
        <f t="array" ref="AN75">_xlfn.LET(_xlpm.DepreciationMonths,INDEX(FixedAssets[Depreciation
/ Amortization Months],_xlfn.XMATCH($E$33,FixedAssets[Asset ID])),IF(AND((_xlfn.XMATCH(AN$8,$AH$8:$CC$8))-_xlfn.XMATCH($C75,$C$35:$C$82)+1&lt;=_xlpm.DepreciationMonths,$C75&lt;=AN$8),$E75/_xlpm.DepreciationMonths,0))</f>
        <v>0</v>
      </c>
      <c r="AO75" s="507" cm="1">
        <f t="array" ref="AO75">_xlfn.LET(_xlpm.DepreciationMonths,INDEX(FixedAssets[Depreciation
/ Amortization Months],_xlfn.XMATCH($E$33,FixedAssets[Asset ID])),IF(AND((_xlfn.XMATCH(AO$8,$AH$8:$CC$8))-_xlfn.XMATCH($C75,$C$35:$C$82)+1&lt;=_xlpm.DepreciationMonths,$C75&lt;=AO$8),$E75/_xlpm.DepreciationMonths,0))</f>
        <v>0</v>
      </c>
      <c r="AP75" s="507" cm="1">
        <f t="array" ref="AP75">_xlfn.LET(_xlpm.DepreciationMonths,INDEX(FixedAssets[Depreciation
/ Amortization Months],_xlfn.XMATCH($E$33,FixedAssets[Asset ID])),IF(AND((_xlfn.XMATCH(AP$8,$AH$8:$CC$8))-_xlfn.XMATCH($C75,$C$35:$C$82)+1&lt;=_xlpm.DepreciationMonths,$C75&lt;=AP$8),$E75/_xlpm.DepreciationMonths,0))</f>
        <v>0</v>
      </c>
      <c r="AQ75" s="507" cm="1">
        <f t="array" ref="AQ75">_xlfn.LET(_xlpm.DepreciationMonths,INDEX(FixedAssets[Depreciation
/ Amortization Months],_xlfn.XMATCH($E$33,FixedAssets[Asset ID])),IF(AND((_xlfn.XMATCH(AQ$8,$AH$8:$CC$8))-_xlfn.XMATCH($C75,$C$35:$C$82)+1&lt;=_xlpm.DepreciationMonths,$C75&lt;=AQ$8),$E75/_xlpm.DepreciationMonths,0))</f>
        <v>0</v>
      </c>
      <c r="AR75" s="507" cm="1">
        <f t="array" ref="AR75">_xlfn.LET(_xlpm.DepreciationMonths,INDEX(FixedAssets[Depreciation
/ Amortization Months],_xlfn.XMATCH($E$33,FixedAssets[Asset ID])),IF(AND((_xlfn.XMATCH(AR$8,$AH$8:$CC$8))-_xlfn.XMATCH($C75,$C$35:$C$82)+1&lt;=_xlpm.DepreciationMonths,$C75&lt;=AR$8),$E75/_xlpm.DepreciationMonths,0))</f>
        <v>0</v>
      </c>
      <c r="AS75" s="507" cm="1">
        <f t="array" ref="AS75">_xlfn.LET(_xlpm.DepreciationMonths,INDEX(FixedAssets[Depreciation
/ Amortization Months],_xlfn.XMATCH($E$33,FixedAssets[Asset ID])),IF(AND((_xlfn.XMATCH(AS$8,$AH$8:$CC$8))-_xlfn.XMATCH($C75,$C$35:$C$82)+1&lt;=_xlpm.DepreciationMonths,$C75&lt;=AS$8),$E75/_xlpm.DepreciationMonths,0))</f>
        <v>0</v>
      </c>
      <c r="AT75" s="507" cm="1">
        <f t="array" ref="AT75">_xlfn.LET(_xlpm.DepreciationMonths,INDEX(FixedAssets[Depreciation
/ Amortization Months],_xlfn.XMATCH($E$33,FixedAssets[Asset ID])),IF(AND((_xlfn.XMATCH(AT$8,$AH$8:$CC$8))-_xlfn.XMATCH($C75,$C$35:$C$82)+1&lt;=_xlpm.DepreciationMonths,$C75&lt;=AT$8),$E75/_xlpm.DepreciationMonths,0))</f>
        <v>0</v>
      </c>
      <c r="AU75" s="507" cm="1">
        <f t="array" ref="AU75">_xlfn.LET(_xlpm.DepreciationMonths,INDEX(FixedAssets[Depreciation
/ Amortization Months],_xlfn.XMATCH($E$33,FixedAssets[Asset ID])),IF(AND((_xlfn.XMATCH(AU$8,$AH$8:$CC$8))-_xlfn.XMATCH($C75,$C$35:$C$82)+1&lt;=_xlpm.DepreciationMonths,$C75&lt;=AU$8),$E75/_xlpm.DepreciationMonths,0))</f>
        <v>0</v>
      </c>
      <c r="AV75" s="507" cm="1">
        <f t="array" ref="AV75">_xlfn.LET(_xlpm.DepreciationMonths,INDEX(FixedAssets[Depreciation
/ Amortization Months],_xlfn.XMATCH($E$33,FixedAssets[Asset ID])),IF(AND((_xlfn.XMATCH(AV$8,$AH$8:$CC$8))-_xlfn.XMATCH($C75,$C$35:$C$82)+1&lt;=_xlpm.DepreciationMonths,$C75&lt;=AV$8),$E75/_xlpm.DepreciationMonths,0))</f>
        <v>0</v>
      </c>
      <c r="AW75" s="507" cm="1">
        <f t="array" ref="AW75">_xlfn.LET(_xlpm.DepreciationMonths,INDEX(FixedAssets[Depreciation
/ Amortization Months],_xlfn.XMATCH($E$33,FixedAssets[Asset ID])),IF(AND((_xlfn.XMATCH(AW$8,$AH$8:$CC$8))-_xlfn.XMATCH($C75,$C$35:$C$82)+1&lt;=_xlpm.DepreciationMonths,$C75&lt;=AW$8),$E75/_xlpm.DepreciationMonths,0))</f>
        <v>0</v>
      </c>
      <c r="AX75" s="507" cm="1">
        <f t="array" ref="AX75">_xlfn.LET(_xlpm.DepreciationMonths,INDEX(FixedAssets[Depreciation
/ Amortization Months],_xlfn.XMATCH($E$33,FixedAssets[Asset ID])),IF(AND((_xlfn.XMATCH(AX$8,$AH$8:$CC$8))-_xlfn.XMATCH($C75,$C$35:$C$82)+1&lt;=_xlpm.DepreciationMonths,$C75&lt;=AX$8),$E75/_xlpm.DepreciationMonths,0))</f>
        <v>0</v>
      </c>
      <c r="AY75" s="507" cm="1">
        <f t="array" ref="AY75">_xlfn.LET(_xlpm.DepreciationMonths,INDEX(FixedAssets[Depreciation
/ Amortization Months],_xlfn.XMATCH($E$33,FixedAssets[Asset ID])),IF(AND((_xlfn.XMATCH(AY$8,$AH$8:$CC$8))-_xlfn.XMATCH($C75,$C$35:$C$82)+1&lt;=_xlpm.DepreciationMonths,$C75&lt;=AY$8),$E75/_xlpm.DepreciationMonths,0))</f>
        <v>0</v>
      </c>
      <c r="AZ75" s="507" cm="1">
        <f t="array" ref="AZ75">_xlfn.LET(_xlpm.DepreciationMonths,INDEX(FixedAssets[Depreciation
/ Amortization Months],_xlfn.XMATCH($E$33,FixedAssets[Asset ID])),IF(AND((_xlfn.XMATCH(AZ$8,$AH$8:$CC$8))-_xlfn.XMATCH($C75,$C$35:$C$82)+1&lt;=_xlpm.DepreciationMonths,$C75&lt;=AZ$8),$E75/_xlpm.DepreciationMonths,0))</f>
        <v>0</v>
      </c>
      <c r="BA75" s="507" cm="1">
        <f t="array" ref="BA75">_xlfn.LET(_xlpm.DepreciationMonths,INDEX(FixedAssets[Depreciation
/ Amortization Months],_xlfn.XMATCH($E$33,FixedAssets[Asset ID])),IF(AND((_xlfn.XMATCH(BA$8,$AH$8:$CC$8))-_xlfn.XMATCH($C75,$C$35:$C$82)+1&lt;=_xlpm.DepreciationMonths,$C75&lt;=BA$8),$E75/_xlpm.DepreciationMonths,0))</f>
        <v>0</v>
      </c>
      <c r="BB75" s="507" cm="1">
        <f t="array" ref="BB75">_xlfn.LET(_xlpm.DepreciationMonths,INDEX(FixedAssets[Depreciation
/ Amortization Months],_xlfn.XMATCH($E$33,FixedAssets[Asset ID])),IF(AND((_xlfn.XMATCH(BB$8,$AH$8:$CC$8))-_xlfn.XMATCH($C75,$C$35:$C$82)+1&lt;=_xlpm.DepreciationMonths,$C75&lt;=BB$8),$E75/_xlpm.DepreciationMonths,0))</f>
        <v>0</v>
      </c>
      <c r="BC75" s="507" cm="1">
        <f t="array" ref="BC75">_xlfn.LET(_xlpm.DepreciationMonths,INDEX(FixedAssets[Depreciation
/ Amortization Months],_xlfn.XMATCH($E$33,FixedAssets[Asset ID])),IF(AND((_xlfn.XMATCH(BC$8,$AH$8:$CC$8))-_xlfn.XMATCH($C75,$C$35:$C$82)+1&lt;=_xlpm.DepreciationMonths,$C75&lt;=BC$8),$E75/_xlpm.DepreciationMonths,0))</f>
        <v>0</v>
      </c>
      <c r="BD75" s="507" cm="1">
        <f t="array" ref="BD75">_xlfn.LET(_xlpm.DepreciationMonths,INDEX(FixedAssets[Depreciation
/ Amortization Months],_xlfn.XMATCH($E$33,FixedAssets[Asset ID])),IF(AND((_xlfn.XMATCH(BD$8,$AH$8:$CC$8))-_xlfn.XMATCH($C75,$C$35:$C$82)+1&lt;=_xlpm.DepreciationMonths,$C75&lt;=BD$8),$E75/_xlpm.DepreciationMonths,0))</f>
        <v>0</v>
      </c>
      <c r="BE75" s="507" cm="1">
        <f t="array" ref="BE75">_xlfn.LET(_xlpm.DepreciationMonths,INDEX(FixedAssets[Depreciation
/ Amortization Months],_xlfn.XMATCH($E$33,FixedAssets[Asset ID])),IF(AND((_xlfn.XMATCH(BE$8,$AH$8:$CC$8))-_xlfn.XMATCH($C75,$C$35:$C$82)+1&lt;=_xlpm.DepreciationMonths,$C75&lt;=BE$8),$E75/_xlpm.DepreciationMonths,0))</f>
        <v>0</v>
      </c>
      <c r="BF75" s="507" cm="1">
        <f t="array" ref="BF75">_xlfn.LET(_xlpm.DepreciationMonths,INDEX(FixedAssets[Depreciation
/ Amortization Months],_xlfn.XMATCH($E$33,FixedAssets[Asset ID])),IF(AND((_xlfn.XMATCH(BF$8,$AH$8:$CC$8))-_xlfn.XMATCH($C75,$C$35:$C$82)+1&lt;=_xlpm.DepreciationMonths,$C75&lt;=BF$8),$E75/_xlpm.DepreciationMonths,0))</f>
        <v>0</v>
      </c>
      <c r="BG75" s="507" cm="1">
        <f t="array" ref="BG75">_xlfn.LET(_xlpm.DepreciationMonths,INDEX(FixedAssets[Depreciation
/ Amortization Months],_xlfn.XMATCH($E$33,FixedAssets[Asset ID])),IF(AND((_xlfn.XMATCH(BG$8,$AH$8:$CC$8))-_xlfn.XMATCH($C75,$C$35:$C$82)+1&lt;=_xlpm.DepreciationMonths,$C75&lt;=BG$8),$E75/_xlpm.DepreciationMonths,0))</f>
        <v>0</v>
      </c>
      <c r="BH75" s="507" cm="1">
        <f t="array" ref="BH75">_xlfn.LET(_xlpm.DepreciationMonths,INDEX(FixedAssets[Depreciation
/ Amortization Months],_xlfn.XMATCH($E$33,FixedAssets[Asset ID])),IF(AND((_xlfn.XMATCH(BH$8,$AH$8:$CC$8))-_xlfn.XMATCH($C75,$C$35:$C$82)+1&lt;=_xlpm.DepreciationMonths,$C75&lt;=BH$8),$E75/_xlpm.DepreciationMonths,0))</f>
        <v>0</v>
      </c>
      <c r="BI75" s="507" cm="1">
        <f t="array" ref="BI75">_xlfn.LET(_xlpm.DepreciationMonths,INDEX(FixedAssets[Depreciation
/ Amortization Months],_xlfn.XMATCH($E$33,FixedAssets[Asset ID])),IF(AND((_xlfn.XMATCH(BI$8,$AH$8:$CC$8))-_xlfn.XMATCH($C75,$C$35:$C$82)+1&lt;=_xlpm.DepreciationMonths,$C75&lt;=BI$8),$E75/_xlpm.DepreciationMonths,0))</f>
        <v>0</v>
      </c>
      <c r="BJ75" s="507" cm="1">
        <f t="array" ref="BJ75">_xlfn.LET(_xlpm.DepreciationMonths,INDEX(FixedAssets[Depreciation
/ Amortization Months],_xlfn.XMATCH($E$33,FixedAssets[Asset ID])),IF(AND((_xlfn.XMATCH(BJ$8,$AH$8:$CC$8))-_xlfn.XMATCH($C75,$C$35:$C$82)+1&lt;=_xlpm.DepreciationMonths,$C75&lt;=BJ$8),$E75/_xlpm.DepreciationMonths,0))</f>
        <v>0</v>
      </c>
      <c r="BK75" s="507" cm="1">
        <f t="array" ref="BK75">_xlfn.LET(_xlpm.DepreciationMonths,INDEX(FixedAssets[Depreciation
/ Amortization Months],_xlfn.XMATCH($E$33,FixedAssets[Asset ID])),IF(AND((_xlfn.XMATCH(BK$8,$AH$8:$CC$8))-_xlfn.XMATCH($C75,$C$35:$C$82)+1&lt;=_xlpm.DepreciationMonths,$C75&lt;=BK$8),$E75/_xlpm.DepreciationMonths,0))</f>
        <v>0</v>
      </c>
      <c r="BL75" s="507" cm="1">
        <f t="array" ref="BL75">_xlfn.LET(_xlpm.DepreciationMonths,INDEX(FixedAssets[Depreciation
/ Amortization Months],_xlfn.XMATCH($E$33,FixedAssets[Asset ID])),IF(AND((_xlfn.XMATCH(BL$8,$AH$8:$CC$8))-_xlfn.XMATCH($C75,$C$35:$C$82)+1&lt;=_xlpm.DepreciationMonths,$C75&lt;=BL$8),$E75/_xlpm.DepreciationMonths,0))</f>
        <v>0</v>
      </c>
      <c r="BM75" s="507" cm="1">
        <f t="array" ref="BM75">_xlfn.LET(_xlpm.DepreciationMonths,INDEX(FixedAssets[Depreciation
/ Amortization Months],_xlfn.XMATCH($E$33,FixedAssets[Asset ID])),IF(AND((_xlfn.XMATCH(BM$8,$AH$8:$CC$8))-_xlfn.XMATCH($C75,$C$35:$C$82)+1&lt;=_xlpm.DepreciationMonths,$C75&lt;=BM$8),$E75/_xlpm.DepreciationMonths,0))</f>
        <v>0</v>
      </c>
      <c r="BN75" s="507" cm="1">
        <f t="array" ref="BN75">_xlfn.LET(_xlpm.DepreciationMonths,INDEX(FixedAssets[Depreciation
/ Amortization Months],_xlfn.XMATCH($E$33,FixedAssets[Asset ID])),IF(AND((_xlfn.XMATCH(BN$8,$AH$8:$CC$8))-_xlfn.XMATCH($C75,$C$35:$C$82)+1&lt;=_xlpm.DepreciationMonths,$C75&lt;=BN$8),$E75/_xlpm.DepreciationMonths,0))</f>
        <v>0</v>
      </c>
      <c r="BO75" s="507" cm="1">
        <f t="array" ref="BO75">_xlfn.LET(_xlpm.DepreciationMonths,INDEX(FixedAssets[Depreciation
/ Amortization Months],_xlfn.XMATCH($E$33,FixedAssets[Asset ID])),IF(AND((_xlfn.XMATCH(BO$8,$AH$8:$CC$8))-_xlfn.XMATCH($C75,$C$35:$C$82)+1&lt;=_xlpm.DepreciationMonths,$C75&lt;=BO$8),$E75/_xlpm.DepreciationMonths,0))</f>
        <v>0</v>
      </c>
      <c r="BP75" s="507" cm="1">
        <f t="array" ref="BP75">_xlfn.LET(_xlpm.DepreciationMonths,INDEX(FixedAssets[Depreciation
/ Amortization Months],_xlfn.XMATCH($E$33,FixedAssets[Asset ID])),IF(AND((_xlfn.XMATCH(BP$8,$AH$8:$CC$8))-_xlfn.XMATCH($C75,$C$35:$C$82)+1&lt;=_xlpm.DepreciationMonths,$C75&lt;=BP$8),$E75/_xlpm.DepreciationMonths,0))</f>
        <v>0</v>
      </c>
      <c r="BQ75" s="507" cm="1">
        <f t="array" ref="BQ75">_xlfn.LET(_xlpm.DepreciationMonths,INDEX(FixedAssets[Depreciation
/ Amortization Months],_xlfn.XMATCH($E$33,FixedAssets[Asset ID])),IF(AND((_xlfn.XMATCH(BQ$8,$AH$8:$CC$8))-_xlfn.XMATCH($C75,$C$35:$C$82)+1&lt;=_xlpm.DepreciationMonths,$C75&lt;=BQ$8),$E75/_xlpm.DepreciationMonths,0))</f>
        <v>0</v>
      </c>
      <c r="BR75" s="507" cm="1">
        <f t="array" ref="BR75">_xlfn.LET(_xlpm.DepreciationMonths,INDEX(FixedAssets[Depreciation
/ Amortization Months],_xlfn.XMATCH($E$33,FixedAssets[Asset ID])),IF(AND((_xlfn.XMATCH(BR$8,$AH$8:$CC$8))-_xlfn.XMATCH($C75,$C$35:$C$82)+1&lt;=_xlpm.DepreciationMonths,$C75&lt;=BR$8),$E75/_xlpm.DepreciationMonths,0))</f>
        <v>0</v>
      </c>
      <c r="BS75" s="507" cm="1">
        <f t="array" ref="BS75">_xlfn.LET(_xlpm.DepreciationMonths,INDEX(FixedAssets[Depreciation
/ Amortization Months],_xlfn.XMATCH($E$33,FixedAssets[Asset ID])),IF(AND((_xlfn.XMATCH(BS$8,$AH$8:$CC$8))-_xlfn.XMATCH($C75,$C$35:$C$82)+1&lt;=_xlpm.DepreciationMonths,$C75&lt;=BS$8),$E75/_xlpm.DepreciationMonths,0))</f>
        <v>0</v>
      </c>
      <c r="BT75" s="507" cm="1">
        <f t="array" ref="BT75">_xlfn.LET(_xlpm.DepreciationMonths,INDEX(FixedAssets[Depreciation
/ Amortization Months],_xlfn.XMATCH($E$33,FixedAssets[Asset ID])),IF(AND((_xlfn.XMATCH(BT$8,$AH$8:$CC$8))-_xlfn.XMATCH($C75,$C$35:$C$82)+1&lt;=_xlpm.DepreciationMonths,$C75&lt;=BT$8),$E75/_xlpm.DepreciationMonths,0))</f>
        <v>0</v>
      </c>
      <c r="BU75" s="507" cm="1">
        <f t="array" ref="BU75">_xlfn.LET(_xlpm.DepreciationMonths,INDEX(FixedAssets[Depreciation
/ Amortization Months],_xlfn.XMATCH($E$33,FixedAssets[Asset ID])),IF(AND((_xlfn.XMATCH(BU$8,$AH$8:$CC$8))-_xlfn.XMATCH($C75,$C$35:$C$82)+1&lt;=_xlpm.DepreciationMonths,$C75&lt;=BU$8),$E75/_xlpm.DepreciationMonths,0))</f>
        <v>0</v>
      </c>
      <c r="BV75" s="507" cm="1">
        <f t="array" ref="BV75">_xlfn.LET(_xlpm.DepreciationMonths,INDEX(FixedAssets[Depreciation
/ Amortization Months],_xlfn.XMATCH($E$33,FixedAssets[Asset ID])),IF(AND((_xlfn.XMATCH(BV$8,$AH$8:$CC$8))-_xlfn.XMATCH($C75,$C$35:$C$82)+1&lt;=_xlpm.DepreciationMonths,$C75&lt;=BV$8),$E75/_xlpm.DepreciationMonths,0))</f>
        <v>0</v>
      </c>
      <c r="BW75" s="507" cm="1">
        <f t="array" ref="BW75">_xlfn.LET(_xlpm.DepreciationMonths,INDEX(FixedAssets[Depreciation
/ Amortization Months],_xlfn.XMATCH($E$33,FixedAssets[Asset ID])),IF(AND((_xlfn.XMATCH(BW$8,$AH$8:$CC$8))-_xlfn.XMATCH($C75,$C$35:$C$82)+1&lt;=_xlpm.DepreciationMonths,$C75&lt;=BW$8),$E75/_xlpm.DepreciationMonths,0))</f>
        <v>0</v>
      </c>
      <c r="BX75" s="507" cm="1">
        <f t="array" ref="BX75">_xlfn.LET(_xlpm.DepreciationMonths,INDEX(FixedAssets[Depreciation
/ Amortization Months],_xlfn.XMATCH($E$33,FixedAssets[Asset ID])),IF(AND((_xlfn.XMATCH(BX$8,$AH$8:$CC$8))-_xlfn.XMATCH($C75,$C$35:$C$82)+1&lt;=_xlpm.DepreciationMonths,$C75&lt;=BX$8),$E75/_xlpm.DepreciationMonths,0))</f>
        <v>0</v>
      </c>
      <c r="BY75" s="507" cm="1">
        <f t="array" ref="BY75">_xlfn.LET(_xlpm.DepreciationMonths,INDEX(FixedAssets[Depreciation
/ Amortization Months],_xlfn.XMATCH($E$33,FixedAssets[Asset ID])),IF(AND((_xlfn.XMATCH(BY$8,$AH$8:$CC$8))-_xlfn.XMATCH($C75,$C$35:$C$82)+1&lt;=_xlpm.DepreciationMonths,$C75&lt;=BY$8),$E75/_xlpm.DepreciationMonths,0))</f>
        <v>0</v>
      </c>
      <c r="BZ75" s="507" cm="1">
        <f t="array" ref="BZ75">_xlfn.LET(_xlpm.DepreciationMonths,INDEX(FixedAssets[Depreciation
/ Amortization Months],_xlfn.XMATCH($E$33,FixedAssets[Asset ID])),IF(AND((_xlfn.XMATCH(BZ$8,$AH$8:$CC$8))-_xlfn.XMATCH($C75,$C$35:$C$82)+1&lt;=_xlpm.DepreciationMonths,$C75&lt;=BZ$8),$E75/_xlpm.DepreciationMonths,0))</f>
        <v>0</v>
      </c>
      <c r="CA75" s="507" cm="1">
        <f t="array" ref="CA75">_xlfn.LET(_xlpm.DepreciationMonths,INDEX(FixedAssets[Depreciation
/ Amortization Months],_xlfn.XMATCH($E$33,FixedAssets[Asset ID])),IF(AND((_xlfn.XMATCH(CA$8,$AH$8:$CC$8))-_xlfn.XMATCH($C75,$C$35:$C$82)+1&lt;=_xlpm.DepreciationMonths,$C75&lt;=CA$8),$E75/_xlpm.DepreciationMonths,0))</f>
        <v>0</v>
      </c>
      <c r="CB75" s="507" cm="1">
        <f t="array" ref="CB75">_xlfn.LET(_xlpm.DepreciationMonths,INDEX(FixedAssets[Depreciation
/ Amortization Months],_xlfn.XMATCH($E$33,FixedAssets[Asset ID])),IF(AND((_xlfn.XMATCH(CB$8,$AH$8:$CC$8))-_xlfn.XMATCH($C75,$C$35:$C$82)+1&lt;=_xlpm.DepreciationMonths,$C75&lt;=CB$8),$E75/_xlpm.DepreciationMonths,0))</f>
        <v>0</v>
      </c>
      <c r="CC75" s="507" cm="1">
        <f t="array" ref="CC75">_xlfn.LET(_xlpm.DepreciationMonths,INDEX(FixedAssets[Depreciation
/ Amortization Months],_xlfn.XMATCH($E$33,FixedAssets[Asset ID])),IF(AND((_xlfn.XMATCH(CC$8,$AH$8:$CC$8))-_xlfn.XMATCH($C75,$C$35:$C$82)+1&lt;=_xlpm.DepreciationMonths,$C75&lt;=CC$8),$E75/_xlpm.DepreciationMonths,0))</f>
        <v>0</v>
      </c>
    </row>
    <row r="76" spans="3:81" hidden="1" outlineLevel="2">
      <c r="C76" s="664">
        <f t="shared" si="91"/>
        <v>46203</v>
      </c>
      <c r="D76" s="508"/>
      <c r="E76" s="508" cm="1">
        <f t="array" ref="E76">SUMPRODUCT(($AH$26:$CC$31)*($AH$5:$CC$5=$C76)*($E$26:$E$31=E$33))-SUMPRODUCT(($AH$26:$CC$31)*($AH$5:$CC$5=EOMONTH($C76,-1))*($E$26:$E$31=E$33))</f>
        <v>0</v>
      </c>
      <c r="F76" s="508"/>
      <c r="G76" s="508"/>
      <c r="H76" s="508"/>
      <c r="I76" s="508"/>
      <c r="J76" s="504">
        <f t="shared" si="88"/>
        <v>0</v>
      </c>
      <c r="K76" s="504">
        <f t="shared" si="96"/>
        <v>0</v>
      </c>
      <c r="L76" s="504">
        <f t="shared" si="96"/>
        <v>0</v>
      </c>
      <c r="M76" s="504">
        <f t="shared" si="96"/>
        <v>0</v>
      </c>
      <c r="N76" s="504"/>
      <c r="O76" s="504"/>
      <c r="P76" s="504">
        <f t="shared" si="97"/>
        <v>0</v>
      </c>
      <c r="Q76" s="504">
        <f t="shared" si="97"/>
        <v>0</v>
      </c>
      <c r="R76" s="504">
        <f t="shared" si="97"/>
        <v>0</v>
      </c>
      <c r="S76" s="504">
        <f t="shared" si="97"/>
        <v>0</v>
      </c>
      <c r="T76" s="504">
        <f t="shared" si="97"/>
        <v>0</v>
      </c>
      <c r="U76" s="504">
        <f t="shared" si="97"/>
        <v>0</v>
      </c>
      <c r="V76" s="504">
        <f t="shared" si="97"/>
        <v>0</v>
      </c>
      <c r="W76" s="504">
        <f t="shared" si="97"/>
        <v>0</v>
      </c>
      <c r="X76" s="504">
        <f t="shared" si="97"/>
        <v>0</v>
      </c>
      <c r="Y76" s="504">
        <f t="shared" si="97"/>
        <v>0</v>
      </c>
      <c r="Z76" s="504">
        <f t="shared" si="97"/>
        <v>0</v>
      </c>
      <c r="AA76" s="504">
        <f t="shared" si="97"/>
        <v>0</v>
      </c>
      <c r="AB76" s="504">
        <f t="shared" si="97"/>
        <v>0</v>
      </c>
      <c r="AC76" s="504">
        <f t="shared" si="97"/>
        <v>0</v>
      </c>
      <c r="AD76" s="504">
        <f t="shared" si="97"/>
        <v>0</v>
      </c>
      <c r="AE76" s="504">
        <f t="shared" si="97"/>
        <v>0</v>
      </c>
      <c r="AF76" s="508"/>
      <c r="AG76" s="508"/>
      <c r="AH76" s="507" cm="1">
        <f t="array" ref="AH76">_xlfn.LET(_xlpm.DepreciationMonths,INDEX(FixedAssets[Depreciation
/ Amortization Months],_xlfn.XMATCH($E$33,FixedAssets[Asset ID])),IF(AND((_xlfn.XMATCH(AH$8,$AH$8:$CC$8))-_xlfn.XMATCH($C76,$C$35:$C$82)+1&lt;=_xlpm.DepreciationMonths,$C76&lt;=AH$8),$E76/_xlpm.DepreciationMonths,0))</f>
        <v>0</v>
      </c>
      <c r="AI76" s="507" cm="1">
        <f t="array" ref="AI76">_xlfn.LET(_xlpm.DepreciationMonths,INDEX(FixedAssets[Depreciation
/ Amortization Months],_xlfn.XMATCH($E$33,FixedAssets[Asset ID])),IF(AND((_xlfn.XMATCH(AI$8,$AH$8:$CC$8))-_xlfn.XMATCH($C76,$C$35:$C$82)+1&lt;=_xlpm.DepreciationMonths,$C76&lt;=AI$8),$E76/_xlpm.DepreciationMonths,0))</f>
        <v>0</v>
      </c>
      <c r="AJ76" s="507" cm="1">
        <f t="array" ref="AJ76">_xlfn.LET(_xlpm.DepreciationMonths,INDEX(FixedAssets[Depreciation
/ Amortization Months],_xlfn.XMATCH($E$33,FixedAssets[Asset ID])),IF(AND((_xlfn.XMATCH(AJ$8,$AH$8:$CC$8))-_xlfn.XMATCH($C76,$C$35:$C$82)+1&lt;=_xlpm.DepreciationMonths,$C76&lt;=AJ$8),$E76/_xlpm.DepreciationMonths,0))</f>
        <v>0</v>
      </c>
      <c r="AK76" s="507" cm="1">
        <f t="array" ref="AK76">_xlfn.LET(_xlpm.DepreciationMonths,INDEX(FixedAssets[Depreciation
/ Amortization Months],_xlfn.XMATCH($E$33,FixedAssets[Asset ID])),IF(AND((_xlfn.XMATCH(AK$8,$AH$8:$CC$8))-_xlfn.XMATCH($C76,$C$35:$C$82)+1&lt;=_xlpm.DepreciationMonths,$C76&lt;=AK$8),$E76/_xlpm.DepreciationMonths,0))</f>
        <v>0</v>
      </c>
      <c r="AL76" s="507" cm="1">
        <f t="array" ref="AL76">_xlfn.LET(_xlpm.DepreciationMonths,INDEX(FixedAssets[Depreciation
/ Amortization Months],_xlfn.XMATCH($E$33,FixedAssets[Asset ID])),IF(AND((_xlfn.XMATCH(AL$8,$AH$8:$CC$8))-_xlfn.XMATCH($C76,$C$35:$C$82)+1&lt;=_xlpm.DepreciationMonths,$C76&lt;=AL$8),$E76/_xlpm.DepreciationMonths,0))</f>
        <v>0</v>
      </c>
      <c r="AM76" s="507" cm="1">
        <f t="array" ref="AM76">_xlfn.LET(_xlpm.DepreciationMonths,INDEX(FixedAssets[Depreciation
/ Amortization Months],_xlfn.XMATCH($E$33,FixedAssets[Asset ID])),IF(AND((_xlfn.XMATCH(AM$8,$AH$8:$CC$8))-_xlfn.XMATCH($C76,$C$35:$C$82)+1&lt;=_xlpm.DepreciationMonths,$C76&lt;=AM$8),$E76/_xlpm.DepreciationMonths,0))</f>
        <v>0</v>
      </c>
      <c r="AN76" s="507" cm="1">
        <f t="array" ref="AN76">_xlfn.LET(_xlpm.DepreciationMonths,INDEX(FixedAssets[Depreciation
/ Amortization Months],_xlfn.XMATCH($E$33,FixedAssets[Asset ID])),IF(AND((_xlfn.XMATCH(AN$8,$AH$8:$CC$8))-_xlfn.XMATCH($C76,$C$35:$C$82)+1&lt;=_xlpm.DepreciationMonths,$C76&lt;=AN$8),$E76/_xlpm.DepreciationMonths,0))</f>
        <v>0</v>
      </c>
      <c r="AO76" s="507" cm="1">
        <f t="array" ref="AO76">_xlfn.LET(_xlpm.DepreciationMonths,INDEX(FixedAssets[Depreciation
/ Amortization Months],_xlfn.XMATCH($E$33,FixedAssets[Asset ID])),IF(AND((_xlfn.XMATCH(AO$8,$AH$8:$CC$8))-_xlfn.XMATCH($C76,$C$35:$C$82)+1&lt;=_xlpm.DepreciationMonths,$C76&lt;=AO$8),$E76/_xlpm.DepreciationMonths,0))</f>
        <v>0</v>
      </c>
      <c r="AP76" s="507" cm="1">
        <f t="array" ref="AP76">_xlfn.LET(_xlpm.DepreciationMonths,INDEX(FixedAssets[Depreciation
/ Amortization Months],_xlfn.XMATCH($E$33,FixedAssets[Asset ID])),IF(AND((_xlfn.XMATCH(AP$8,$AH$8:$CC$8))-_xlfn.XMATCH($C76,$C$35:$C$82)+1&lt;=_xlpm.DepreciationMonths,$C76&lt;=AP$8),$E76/_xlpm.DepreciationMonths,0))</f>
        <v>0</v>
      </c>
      <c r="AQ76" s="507" cm="1">
        <f t="array" ref="AQ76">_xlfn.LET(_xlpm.DepreciationMonths,INDEX(FixedAssets[Depreciation
/ Amortization Months],_xlfn.XMATCH($E$33,FixedAssets[Asset ID])),IF(AND((_xlfn.XMATCH(AQ$8,$AH$8:$CC$8))-_xlfn.XMATCH($C76,$C$35:$C$82)+1&lt;=_xlpm.DepreciationMonths,$C76&lt;=AQ$8),$E76/_xlpm.DepreciationMonths,0))</f>
        <v>0</v>
      </c>
      <c r="AR76" s="507" cm="1">
        <f t="array" ref="AR76">_xlfn.LET(_xlpm.DepreciationMonths,INDEX(FixedAssets[Depreciation
/ Amortization Months],_xlfn.XMATCH($E$33,FixedAssets[Asset ID])),IF(AND((_xlfn.XMATCH(AR$8,$AH$8:$CC$8))-_xlfn.XMATCH($C76,$C$35:$C$82)+1&lt;=_xlpm.DepreciationMonths,$C76&lt;=AR$8),$E76/_xlpm.DepreciationMonths,0))</f>
        <v>0</v>
      </c>
      <c r="AS76" s="507" cm="1">
        <f t="array" ref="AS76">_xlfn.LET(_xlpm.DepreciationMonths,INDEX(FixedAssets[Depreciation
/ Amortization Months],_xlfn.XMATCH($E$33,FixedAssets[Asset ID])),IF(AND((_xlfn.XMATCH(AS$8,$AH$8:$CC$8))-_xlfn.XMATCH($C76,$C$35:$C$82)+1&lt;=_xlpm.DepreciationMonths,$C76&lt;=AS$8),$E76/_xlpm.DepreciationMonths,0))</f>
        <v>0</v>
      </c>
      <c r="AT76" s="507" cm="1">
        <f t="array" ref="AT76">_xlfn.LET(_xlpm.DepreciationMonths,INDEX(FixedAssets[Depreciation
/ Amortization Months],_xlfn.XMATCH($E$33,FixedAssets[Asset ID])),IF(AND((_xlfn.XMATCH(AT$8,$AH$8:$CC$8))-_xlfn.XMATCH($C76,$C$35:$C$82)+1&lt;=_xlpm.DepreciationMonths,$C76&lt;=AT$8),$E76/_xlpm.DepreciationMonths,0))</f>
        <v>0</v>
      </c>
      <c r="AU76" s="507" cm="1">
        <f t="array" ref="AU76">_xlfn.LET(_xlpm.DepreciationMonths,INDEX(FixedAssets[Depreciation
/ Amortization Months],_xlfn.XMATCH($E$33,FixedAssets[Asset ID])),IF(AND((_xlfn.XMATCH(AU$8,$AH$8:$CC$8))-_xlfn.XMATCH($C76,$C$35:$C$82)+1&lt;=_xlpm.DepreciationMonths,$C76&lt;=AU$8),$E76/_xlpm.DepreciationMonths,0))</f>
        <v>0</v>
      </c>
      <c r="AV76" s="507" cm="1">
        <f t="array" ref="AV76">_xlfn.LET(_xlpm.DepreciationMonths,INDEX(FixedAssets[Depreciation
/ Amortization Months],_xlfn.XMATCH($E$33,FixedAssets[Asset ID])),IF(AND((_xlfn.XMATCH(AV$8,$AH$8:$CC$8))-_xlfn.XMATCH($C76,$C$35:$C$82)+1&lt;=_xlpm.DepreciationMonths,$C76&lt;=AV$8),$E76/_xlpm.DepreciationMonths,0))</f>
        <v>0</v>
      </c>
      <c r="AW76" s="507" cm="1">
        <f t="array" ref="AW76">_xlfn.LET(_xlpm.DepreciationMonths,INDEX(FixedAssets[Depreciation
/ Amortization Months],_xlfn.XMATCH($E$33,FixedAssets[Asset ID])),IF(AND((_xlfn.XMATCH(AW$8,$AH$8:$CC$8))-_xlfn.XMATCH($C76,$C$35:$C$82)+1&lt;=_xlpm.DepreciationMonths,$C76&lt;=AW$8),$E76/_xlpm.DepreciationMonths,0))</f>
        <v>0</v>
      </c>
      <c r="AX76" s="507" cm="1">
        <f t="array" ref="AX76">_xlfn.LET(_xlpm.DepreciationMonths,INDEX(FixedAssets[Depreciation
/ Amortization Months],_xlfn.XMATCH($E$33,FixedAssets[Asset ID])),IF(AND((_xlfn.XMATCH(AX$8,$AH$8:$CC$8))-_xlfn.XMATCH($C76,$C$35:$C$82)+1&lt;=_xlpm.DepreciationMonths,$C76&lt;=AX$8),$E76/_xlpm.DepreciationMonths,0))</f>
        <v>0</v>
      </c>
      <c r="AY76" s="507" cm="1">
        <f t="array" ref="AY76">_xlfn.LET(_xlpm.DepreciationMonths,INDEX(FixedAssets[Depreciation
/ Amortization Months],_xlfn.XMATCH($E$33,FixedAssets[Asset ID])),IF(AND((_xlfn.XMATCH(AY$8,$AH$8:$CC$8))-_xlfn.XMATCH($C76,$C$35:$C$82)+1&lt;=_xlpm.DepreciationMonths,$C76&lt;=AY$8),$E76/_xlpm.DepreciationMonths,0))</f>
        <v>0</v>
      </c>
      <c r="AZ76" s="507" cm="1">
        <f t="array" ref="AZ76">_xlfn.LET(_xlpm.DepreciationMonths,INDEX(FixedAssets[Depreciation
/ Amortization Months],_xlfn.XMATCH($E$33,FixedAssets[Asset ID])),IF(AND((_xlfn.XMATCH(AZ$8,$AH$8:$CC$8))-_xlfn.XMATCH($C76,$C$35:$C$82)+1&lt;=_xlpm.DepreciationMonths,$C76&lt;=AZ$8),$E76/_xlpm.DepreciationMonths,0))</f>
        <v>0</v>
      </c>
      <c r="BA76" s="507" cm="1">
        <f t="array" ref="BA76">_xlfn.LET(_xlpm.DepreciationMonths,INDEX(FixedAssets[Depreciation
/ Amortization Months],_xlfn.XMATCH($E$33,FixedAssets[Asset ID])),IF(AND((_xlfn.XMATCH(BA$8,$AH$8:$CC$8))-_xlfn.XMATCH($C76,$C$35:$C$82)+1&lt;=_xlpm.DepreciationMonths,$C76&lt;=BA$8),$E76/_xlpm.DepreciationMonths,0))</f>
        <v>0</v>
      </c>
      <c r="BB76" s="507" cm="1">
        <f t="array" ref="BB76">_xlfn.LET(_xlpm.DepreciationMonths,INDEX(FixedAssets[Depreciation
/ Amortization Months],_xlfn.XMATCH($E$33,FixedAssets[Asset ID])),IF(AND((_xlfn.XMATCH(BB$8,$AH$8:$CC$8))-_xlfn.XMATCH($C76,$C$35:$C$82)+1&lt;=_xlpm.DepreciationMonths,$C76&lt;=BB$8),$E76/_xlpm.DepreciationMonths,0))</f>
        <v>0</v>
      </c>
      <c r="BC76" s="507" cm="1">
        <f t="array" ref="BC76">_xlfn.LET(_xlpm.DepreciationMonths,INDEX(FixedAssets[Depreciation
/ Amortization Months],_xlfn.XMATCH($E$33,FixedAssets[Asset ID])),IF(AND((_xlfn.XMATCH(BC$8,$AH$8:$CC$8))-_xlfn.XMATCH($C76,$C$35:$C$82)+1&lt;=_xlpm.DepreciationMonths,$C76&lt;=BC$8),$E76/_xlpm.DepreciationMonths,0))</f>
        <v>0</v>
      </c>
      <c r="BD76" s="507" cm="1">
        <f t="array" ref="BD76">_xlfn.LET(_xlpm.DepreciationMonths,INDEX(FixedAssets[Depreciation
/ Amortization Months],_xlfn.XMATCH($E$33,FixedAssets[Asset ID])),IF(AND((_xlfn.XMATCH(BD$8,$AH$8:$CC$8))-_xlfn.XMATCH($C76,$C$35:$C$82)+1&lt;=_xlpm.DepreciationMonths,$C76&lt;=BD$8),$E76/_xlpm.DepreciationMonths,0))</f>
        <v>0</v>
      </c>
      <c r="BE76" s="507" cm="1">
        <f t="array" ref="BE76">_xlfn.LET(_xlpm.DepreciationMonths,INDEX(FixedAssets[Depreciation
/ Amortization Months],_xlfn.XMATCH($E$33,FixedAssets[Asset ID])),IF(AND((_xlfn.XMATCH(BE$8,$AH$8:$CC$8))-_xlfn.XMATCH($C76,$C$35:$C$82)+1&lt;=_xlpm.DepreciationMonths,$C76&lt;=BE$8),$E76/_xlpm.DepreciationMonths,0))</f>
        <v>0</v>
      </c>
      <c r="BF76" s="507" cm="1">
        <f t="array" ref="BF76">_xlfn.LET(_xlpm.DepreciationMonths,INDEX(FixedAssets[Depreciation
/ Amortization Months],_xlfn.XMATCH($E$33,FixedAssets[Asset ID])),IF(AND((_xlfn.XMATCH(BF$8,$AH$8:$CC$8))-_xlfn.XMATCH($C76,$C$35:$C$82)+1&lt;=_xlpm.DepreciationMonths,$C76&lt;=BF$8),$E76/_xlpm.DepreciationMonths,0))</f>
        <v>0</v>
      </c>
      <c r="BG76" s="507" cm="1">
        <f t="array" ref="BG76">_xlfn.LET(_xlpm.DepreciationMonths,INDEX(FixedAssets[Depreciation
/ Amortization Months],_xlfn.XMATCH($E$33,FixedAssets[Asset ID])),IF(AND((_xlfn.XMATCH(BG$8,$AH$8:$CC$8))-_xlfn.XMATCH($C76,$C$35:$C$82)+1&lt;=_xlpm.DepreciationMonths,$C76&lt;=BG$8),$E76/_xlpm.DepreciationMonths,0))</f>
        <v>0</v>
      </c>
      <c r="BH76" s="507" cm="1">
        <f t="array" ref="BH76">_xlfn.LET(_xlpm.DepreciationMonths,INDEX(FixedAssets[Depreciation
/ Amortization Months],_xlfn.XMATCH($E$33,FixedAssets[Asset ID])),IF(AND((_xlfn.XMATCH(BH$8,$AH$8:$CC$8))-_xlfn.XMATCH($C76,$C$35:$C$82)+1&lt;=_xlpm.DepreciationMonths,$C76&lt;=BH$8),$E76/_xlpm.DepreciationMonths,0))</f>
        <v>0</v>
      </c>
      <c r="BI76" s="507" cm="1">
        <f t="array" ref="BI76">_xlfn.LET(_xlpm.DepreciationMonths,INDEX(FixedAssets[Depreciation
/ Amortization Months],_xlfn.XMATCH($E$33,FixedAssets[Asset ID])),IF(AND((_xlfn.XMATCH(BI$8,$AH$8:$CC$8))-_xlfn.XMATCH($C76,$C$35:$C$82)+1&lt;=_xlpm.DepreciationMonths,$C76&lt;=BI$8),$E76/_xlpm.DepreciationMonths,0))</f>
        <v>0</v>
      </c>
      <c r="BJ76" s="507" cm="1">
        <f t="array" ref="BJ76">_xlfn.LET(_xlpm.DepreciationMonths,INDEX(FixedAssets[Depreciation
/ Amortization Months],_xlfn.XMATCH($E$33,FixedAssets[Asset ID])),IF(AND((_xlfn.XMATCH(BJ$8,$AH$8:$CC$8))-_xlfn.XMATCH($C76,$C$35:$C$82)+1&lt;=_xlpm.DepreciationMonths,$C76&lt;=BJ$8),$E76/_xlpm.DepreciationMonths,0))</f>
        <v>0</v>
      </c>
      <c r="BK76" s="507" cm="1">
        <f t="array" ref="BK76">_xlfn.LET(_xlpm.DepreciationMonths,INDEX(FixedAssets[Depreciation
/ Amortization Months],_xlfn.XMATCH($E$33,FixedAssets[Asset ID])),IF(AND((_xlfn.XMATCH(BK$8,$AH$8:$CC$8))-_xlfn.XMATCH($C76,$C$35:$C$82)+1&lt;=_xlpm.DepreciationMonths,$C76&lt;=BK$8),$E76/_xlpm.DepreciationMonths,0))</f>
        <v>0</v>
      </c>
      <c r="BL76" s="507" cm="1">
        <f t="array" ref="BL76">_xlfn.LET(_xlpm.DepreciationMonths,INDEX(FixedAssets[Depreciation
/ Amortization Months],_xlfn.XMATCH($E$33,FixedAssets[Asset ID])),IF(AND((_xlfn.XMATCH(BL$8,$AH$8:$CC$8))-_xlfn.XMATCH($C76,$C$35:$C$82)+1&lt;=_xlpm.DepreciationMonths,$C76&lt;=BL$8),$E76/_xlpm.DepreciationMonths,0))</f>
        <v>0</v>
      </c>
      <c r="BM76" s="507" cm="1">
        <f t="array" ref="BM76">_xlfn.LET(_xlpm.DepreciationMonths,INDEX(FixedAssets[Depreciation
/ Amortization Months],_xlfn.XMATCH($E$33,FixedAssets[Asset ID])),IF(AND((_xlfn.XMATCH(BM$8,$AH$8:$CC$8))-_xlfn.XMATCH($C76,$C$35:$C$82)+1&lt;=_xlpm.DepreciationMonths,$C76&lt;=BM$8),$E76/_xlpm.DepreciationMonths,0))</f>
        <v>0</v>
      </c>
      <c r="BN76" s="507" cm="1">
        <f t="array" ref="BN76">_xlfn.LET(_xlpm.DepreciationMonths,INDEX(FixedAssets[Depreciation
/ Amortization Months],_xlfn.XMATCH($E$33,FixedAssets[Asset ID])),IF(AND((_xlfn.XMATCH(BN$8,$AH$8:$CC$8))-_xlfn.XMATCH($C76,$C$35:$C$82)+1&lt;=_xlpm.DepreciationMonths,$C76&lt;=BN$8),$E76/_xlpm.DepreciationMonths,0))</f>
        <v>0</v>
      </c>
      <c r="BO76" s="507" cm="1">
        <f t="array" ref="BO76">_xlfn.LET(_xlpm.DepreciationMonths,INDEX(FixedAssets[Depreciation
/ Amortization Months],_xlfn.XMATCH($E$33,FixedAssets[Asset ID])),IF(AND((_xlfn.XMATCH(BO$8,$AH$8:$CC$8))-_xlfn.XMATCH($C76,$C$35:$C$82)+1&lt;=_xlpm.DepreciationMonths,$C76&lt;=BO$8),$E76/_xlpm.DepreciationMonths,0))</f>
        <v>0</v>
      </c>
      <c r="BP76" s="507" cm="1">
        <f t="array" ref="BP76">_xlfn.LET(_xlpm.DepreciationMonths,INDEX(FixedAssets[Depreciation
/ Amortization Months],_xlfn.XMATCH($E$33,FixedAssets[Asset ID])),IF(AND((_xlfn.XMATCH(BP$8,$AH$8:$CC$8))-_xlfn.XMATCH($C76,$C$35:$C$82)+1&lt;=_xlpm.DepreciationMonths,$C76&lt;=BP$8),$E76/_xlpm.DepreciationMonths,0))</f>
        <v>0</v>
      </c>
      <c r="BQ76" s="507" cm="1">
        <f t="array" ref="BQ76">_xlfn.LET(_xlpm.DepreciationMonths,INDEX(FixedAssets[Depreciation
/ Amortization Months],_xlfn.XMATCH($E$33,FixedAssets[Asset ID])),IF(AND((_xlfn.XMATCH(BQ$8,$AH$8:$CC$8))-_xlfn.XMATCH($C76,$C$35:$C$82)+1&lt;=_xlpm.DepreciationMonths,$C76&lt;=BQ$8),$E76/_xlpm.DepreciationMonths,0))</f>
        <v>0</v>
      </c>
      <c r="BR76" s="507" cm="1">
        <f t="array" ref="BR76">_xlfn.LET(_xlpm.DepreciationMonths,INDEX(FixedAssets[Depreciation
/ Amortization Months],_xlfn.XMATCH($E$33,FixedAssets[Asset ID])),IF(AND((_xlfn.XMATCH(BR$8,$AH$8:$CC$8))-_xlfn.XMATCH($C76,$C$35:$C$82)+1&lt;=_xlpm.DepreciationMonths,$C76&lt;=BR$8),$E76/_xlpm.DepreciationMonths,0))</f>
        <v>0</v>
      </c>
      <c r="BS76" s="507" cm="1">
        <f t="array" ref="BS76">_xlfn.LET(_xlpm.DepreciationMonths,INDEX(FixedAssets[Depreciation
/ Amortization Months],_xlfn.XMATCH($E$33,FixedAssets[Asset ID])),IF(AND((_xlfn.XMATCH(BS$8,$AH$8:$CC$8))-_xlfn.XMATCH($C76,$C$35:$C$82)+1&lt;=_xlpm.DepreciationMonths,$C76&lt;=BS$8),$E76/_xlpm.DepreciationMonths,0))</f>
        <v>0</v>
      </c>
      <c r="BT76" s="507" cm="1">
        <f t="array" ref="BT76">_xlfn.LET(_xlpm.DepreciationMonths,INDEX(FixedAssets[Depreciation
/ Amortization Months],_xlfn.XMATCH($E$33,FixedAssets[Asset ID])),IF(AND((_xlfn.XMATCH(BT$8,$AH$8:$CC$8))-_xlfn.XMATCH($C76,$C$35:$C$82)+1&lt;=_xlpm.DepreciationMonths,$C76&lt;=BT$8),$E76/_xlpm.DepreciationMonths,0))</f>
        <v>0</v>
      </c>
      <c r="BU76" s="507" cm="1">
        <f t="array" ref="BU76">_xlfn.LET(_xlpm.DepreciationMonths,INDEX(FixedAssets[Depreciation
/ Amortization Months],_xlfn.XMATCH($E$33,FixedAssets[Asset ID])),IF(AND((_xlfn.XMATCH(BU$8,$AH$8:$CC$8))-_xlfn.XMATCH($C76,$C$35:$C$82)+1&lt;=_xlpm.DepreciationMonths,$C76&lt;=BU$8),$E76/_xlpm.DepreciationMonths,0))</f>
        <v>0</v>
      </c>
      <c r="BV76" s="507" cm="1">
        <f t="array" ref="BV76">_xlfn.LET(_xlpm.DepreciationMonths,INDEX(FixedAssets[Depreciation
/ Amortization Months],_xlfn.XMATCH($E$33,FixedAssets[Asset ID])),IF(AND((_xlfn.XMATCH(BV$8,$AH$8:$CC$8))-_xlfn.XMATCH($C76,$C$35:$C$82)+1&lt;=_xlpm.DepreciationMonths,$C76&lt;=BV$8),$E76/_xlpm.DepreciationMonths,0))</f>
        <v>0</v>
      </c>
      <c r="BW76" s="507" cm="1">
        <f t="array" ref="BW76">_xlfn.LET(_xlpm.DepreciationMonths,INDEX(FixedAssets[Depreciation
/ Amortization Months],_xlfn.XMATCH($E$33,FixedAssets[Asset ID])),IF(AND((_xlfn.XMATCH(BW$8,$AH$8:$CC$8))-_xlfn.XMATCH($C76,$C$35:$C$82)+1&lt;=_xlpm.DepreciationMonths,$C76&lt;=BW$8),$E76/_xlpm.DepreciationMonths,0))</f>
        <v>0</v>
      </c>
      <c r="BX76" s="507" cm="1">
        <f t="array" ref="BX76">_xlfn.LET(_xlpm.DepreciationMonths,INDEX(FixedAssets[Depreciation
/ Amortization Months],_xlfn.XMATCH($E$33,FixedAssets[Asset ID])),IF(AND((_xlfn.XMATCH(BX$8,$AH$8:$CC$8))-_xlfn.XMATCH($C76,$C$35:$C$82)+1&lt;=_xlpm.DepreciationMonths,$C76&lt;=BX$8),$E76/_xlpm.DepreciationMonths,0))</f>
        <v>0</v>
      </c>
      <c r="BY76" s="507" cm="1">
        <f t="array" ref="BY76">_xlfn.LET(_xlpm.DepreciationMonths,INDEX(FixedAssets[Depreciation
/ Amortization Months],_xlfn.XMATCH($E$33,FixedAssets[Asset ID])),IF(AND((_xlfn.XMATCH(BY$8,$AH$8:$CC$8))-_xlfn.XMATCH($C76,$C$35:$C$82)+1&lt;=_xlpm.DepreciationMonths,$C76&lt;=BY$8),$E76/_xlpm.DepreciationMonths,0))</f>
        <v>0</v>
      </c>
      <c r="BZ76" s="507" cm="1">
        <f t="array" ref="BZ76">_xlfn.LET(_xlpm.DepreciationMonths,INDEX(FixedAssets[Depreciation
/ Amortization Months],_xlfn.XMATCH($E$33,FixedAssets[Asset ID])),IF(AND((_xlfn.XMATCH(BZ$8,$AH$8:$CC$8))-_xlfn.XMATCH($C76,$C$35:$C$82)+1&lt;=_xlpm.DepreciationMonths,$C76&lt;=BZ$8),$E76/_xlpm.DepreciationMonths,0))</f>
        <v>0</v>
      </c>
      <c r="CA76" s="507" cm="1">
        <f t="array" ref="CA76">_xlfn.LET(_xlpm.DepreciationMonths,INDEX(FixedAssets[Depreciation
/ Amortization Months],_xlfn.XMATCH($E$33,FixedAssets[Asset ID])),IF(AND((_xlfn.XMATCH(CA$8,$AH$8:$CC$8))-_xlfn.XMATCH($C76,$C$35:$C$82)+1&lt;=_xlpm.DepreciationMonths,$C76&lt;=CA$8),$E76/_xlpm.DepreciationMonths,0))</f>
        <v>0</v>
      </c>
      <c r="CB76" s="507" cm="1">
        <f t="array" ref="CB76">_xlfn.LET(_xlpm.DepreciationMonths,INDEX(FixedAssets[Depreciation
/ Amortization Months],_xlfn.XMATCH($E$33,FixedAssets[Asset ID])),IF(AND((_xlfn.XMATCH(CB$8,$AH$8:$CC$8))-_xlfn.XMATCH($C76,$C$35:$C$82)+1&lt;=_xlpm.DepreciationMonths,$C76&lt;=CB$8),$E76/_xlpm.DepreciationMonths,0))</f>
        <v>0</v>
      </c>
      <c r="CC76" s="507" cm="1">
        <f t="array" ref="CC76">_xlfn.LET(_xlpm.DepreciationMonths,INDEX(FixedAssets[Depreciation
/ Amortization Months],_xlfn.XMATCH($E$33,FixedAssets[Asset ID])),IF(AND((_xlfn.XMATCH(CC$8,$AH$8:$CC$8))-_xlfn.XMATCH($C76,$C$35:$C$82)+1&lt;=_xlpm.DepreciationMonths,$C76&lt;=CC$8),$E76/_xlpm.DepreciationMonths,0))</f>
        <v>0</v>
      </c>
    </row>
    <row r="77" spans="3:81" hidden="1" outlineLevel="2">
      <c r="C77" s="664">
        <f t="shared" si="91"/>
        <v>46234</v>
      </c>
      <c r="D77" s="508"/>
      <c r="E77" s="508" cm="1">
        <f t="array" ref="E77">SUMPRODUCT(($AH$26:$CC$31)*($AH$5:$CC$5=$C77)*($E$26:$E$31=E$33))-SUMPRODUCT(($AH$26:$CC$31)*($AH$5:$CC$5=EOMONTH($C77,-1))*($E$26:$E$31=E$33))</f>
        <v>0</v>
      </c>
      <c r="F77" s="508"/>
      <c r="G77" s="508"/>
      <c r="H77" s="508"/>
      <c r="I77" s="508"/>
      <c r="J77" s="504">
        <f t="shared" si="88"/>
        <v>0</v>
      </c>
      <c r="K77" s="504">
        <f t="shared" si="96"/>
        <v>0</v>
      </c>
      <c r="L77" s="504">
        <f t="shared" si="96"/>
        <v>0</v>
      </c>
      <c r="M77" s="504">
        <f t="shared" si="96"/>
        <v>0</v>
      </c>
      <c r="N77" s="504"/>
      <c r="O77" s="504"/>
      <c r="P77" s="504">
        <f t="shared" si="97"/>
        <v>0</v>
      </c>
      <c r="Q77" s="504">
        <f t="shared" si="97"/>
        <v>0</v>
      </c>
      <c r="R77" s="504">
        <f t="shared" si="97"/>
        <v>0</v>
      </c>
      <c r="S77" s="504">
        <f t="shared" si="97"/>
        <v>0</v>
      </c>
      <c r="T77" s="504">
        <f t="shared" si="97"/>
        <v>0</v>
      </c>
      <c r="U77" s="504">
        <f t="shared" si="97"/>
        <v>0</v>
      </c>
      <c r="V77" s="504">
        <f t="shared" si="97"/>
        <v>0</v>
      </c>
      <c r="W77" s="504">
        <f t="shared" si="97"/>
        <v>0</v>
      </c>
      <c r="X77" s="504">
        <f t="shared" si="97"/>
        <v>0</v>
      </c>
      <c r="Y77" s="504">
        <f t="shared" si="97"/>
        <v>0</v>
      </c>
      <c r="Z77" s="504">
        <f t="shared" si="97"/>
        <v>0</v>
      </c>
      <c r="AA77" s="504">
        <f t="shared" si="97"/>
        <v>0</v>
      </c>
      <c r="AB77" s="504">
        <f t="shared" si="97"/>
        <v>0</v>
      </c>
      <c r="AC77" s="504">
        <f t="shared" si="97"/>
        <v>0</v>
      </c>
      <c r="AD77" s="504">
        <f t="shared" si="97"/>
        <v>0</v>
      </c>
      <c r="AE77" s="504">
        <f t="shared" si="97"/>
        <v>0</v>
      </c>
      <c r="AF77" s="508"/>
      <c r="AG77" s="508"/>
      <c r="AH77" s="507" cm="1">
        <f t="array" ref="AH77">_xlfn.LET(_xlpm.DepreciationMonths,INDEX(FixedAssets[Depreciation
/ Amortization Months],_xlfn.XMATCH($E$33,FixedAssets[Asset ID])),IF(AND((_xlfn.XMATCH(AH$8,$AH$8:$CC$8))-_xlfn.XMATCH($C77,$C$35:$C$82)+1&lt;=_xlpm.DepreciationMonths,$C77&lt;=AH$8),$E77/_xlpm.DepreciationMonths,0))</f>
        <v>0</v>
      </c>
      <c r="AI77" s="507" cm="1">
        <f t="array" ref="AI77">_xlfn.LET(_xlpm.DepreciationMonths,INDEX(FixedAssets[Depreciation
/ Amortization Months],_xlfn.XMATCH($E$33,FixedAssets[Asset ID])),IF(AND((_xlfn.XMATCH(AI$8,$AH$8:$CC$8))-_xlfn.XMATCH($C77,$C$35:$C$82)+1&lt;=_xlpm.DepreciationMonths,$C77&lt;=AI$8),$E77/_xlpm.DepreciationMonths,0))</f>
        <v>0</v>
      </c>
      <c r="AJ77" s="507" cm="1">
        <f t="array" ref="AJ77">_xlfn.LET(_xlpm.DepreciationMonths,INDEX(FixedAssets[Depreciation
/ Amortization Months],_xlfn.XMATCH($E$33,FixedAssets[Asset ID])),IF(AND((_xlfn.XMATCH(AJ$8,$AH$8:$CC$8))-_xlfn.XMATCH($C77,$C$35:$C$82)+1&lt;=_xlpm.DepreciationMonths,$C77&lt;=AJ$8),$E77/_xlpm.DepreciationMonths,0))</f>
        <v>0</v>
      </c>
      <c r="AK77" s="507" cm="1">
        <f t="array" ref="AK77">_xlfn.LET(_xlpm.DepreciationMonths,INDEX(FixedAssets[Depreciation
/ Amortization Months],_xlfn.XMATCH($E$33,FixedAssets[Asset ID])),IF(AND((_xlfn.XMATCH(AK$8,$AH$8:$CC$8))-_xlfn.XMATCH($C77,$C$35:$C$82)+1&lt;=_xlpm.DepreciationMonths,$C77&lt;=AK$8),$E77/_xlpm.DepreciationMonths,0))</f>
        <v>0</v>
      </c>
      <c r="AL77" s="507" cm="1">
        <f t="array" ref="AL77">_xlfn.LET(_xlpm.DepreciationMonths,INDEX(FixedAssets[Depreciation
/ Amortization Months],_xlfn.XMATCH($E$33,FixedAssets[Asset ID])),IF(AND((_xlfn.XMATCH(AL$8,$AH$8:$CC$8))-_xlfn.XMATCH($C77,$C$35:$C$82)+1&lt;=_xlpm.DepreciationMonths,$C77&lt;=AL$8),$E77/_xlpm.DepreciationMonths,0))</f>
        <v>0</v>
      </c>
      <c r="AM77" s="507" cm="1">
        <f t="array" ref="AM77">_xlfn.LET(_xlpm.DepreciationMonths,INDEX(FixedAssets[Depreciation
/ Amortization Months],_xlfn.XMATCH($E$33,FixedAssets[Asset ID])),IF(AND((_xlfn.XMATCH(AM$8,$AH$8:$CC$8))-_xlfn.XMATCH($C77,$C$35:$C$82)+1&lt;=_xlpm.DepreciationMonths,$C77&lt;=AM$8),$E77/_xlpm.DepreciationMonths,0))</f>
        <v>0</v>
      </c>
      <c r="AN77" s="507" cm="1">
        <f t="array" ref="AN77">_xlfn.LET(_xlpm.DepreciationMonths,INDEX(FixedAssets[Depreciation
/ Amortization Months],_xlfn.XMATCH($E$33,FixedAssets[Asset ID])),IF(AND((_xlfn.XMATCH(AN$8,$AH$8:$CC$8))-_xlfn.XMATCH($C77,$C$35:$C$82)+1&lt;=_xlpm.DepreciationMonths,$C77&lt;=AN$8),$E77/_xlpm.DepreciationMonths,0))</f>
        <v>0</v>
      </c>
      <c r="AO77" s="507" cm="1">
        <f t="array" ref="AO77">_xlfn.LET(_xlpm.DepreciationMonths,INDEX(FixedAssets[Depreciation
/ Amortization Months],_xlfn.XMATCH($E$33,FixedAssets[Asset ID])),IF(AND((_xlfn.XMATCH(AO$8,$AH$8:$CC$8))-_xlfn.XMATCH($C77,$C$35:$C$82)+1&lt;=_xlpm.DepreciationMonths,$C77&lt;=AO$8),$E77/_xlpm.DepreciationMonths,0))</f>
        <v>0</v>
      </c>
      <c r="AP77" s="507" cm="1">
        <f t="array" ref="AP77">_xlfn.LET(_xlpm.DepreciationMonths,INDEX(FixedAssets[Depreciation
/ Amortization Months],_xlfn.XMATCH($E$33,FixedAssets[Asset ID])),IF(AND((_xlfn.XMATCH(AP$8,$AH$8:$CC$8))-_xlfn.XMATCH($C77,$C$35:$C$82)+1&lt;=_xlpm.DepreciationMonths,$C77&lt;=AP$8),$E77/_xlpm.DepreciationMonths,0))</f>
        <v>0</v>
      </c>
      <c r="AQ77" s="507" cm="1">
        <f t="array" ref="AQ77">_xlfn.LET(_xlpm.DepreciationMonths,INDEX(FixedAssets[Depreciation
/ Amortization Months],_xlfn.XMATCH($E$33,FixedAssets[Asset ID])),IF(AND((_xlfn.XMATCH(AQ$8,$AH$8:$CC$8))-_xlfn.XMATCH($C77,$C$35:$C$82)+1&lt;=_xlpm.DepreciationMonths,$C77&lt;=AQ$8),$E77/_xlpm.DepreciationMonths,0))</f>
        <v>0</v>
      </c>
      <c r="AR77" s="507" cm="1">
        <f t="array" ref="AR77">_xlfn.LET(_xlpm.DepreciationMonths,INDEX(FixedAssets[Depreciation
/ Amortization Months],_xlfn.XMATCH($E$33,FixedAssets[Asset ID])),IF(AND((_xlfn.XMATCH(AR$8,$AH$8:$CC$8))-_xlfn.XMATCH($C77,$C$35:$C$82)+1&lt;=_xlpm.DepreciationMonths,$C77&lt;=AR$8),$E77/_xlpm.DepreciationMonths,0))</f>
        <v>0</v>
      </c>
      <c r="AS77" s="507" cm="1">
        <f t="array" ref="AS77">_xlfn.LET(_xlpm.DepreciationMonths,INDEX(FixedAssets[Depreciation
/ Amortization Months],_xlfn.XMATCH($E$33,FixedAssets[Asset ID])),IF(AND((_xlfn.XMATCH(AS$8,$AH$8:$CC$8))-_xlfn.XMATCH($C77,$C$35:$C$82)+1&lt;=_xlpm.DepreciationMonths,$C77&lt;=AS$8),$E77/_xlpm.DepreciationMonths,0))</f>
        <v>0</v>
      </c>
      <c r="AT77" s="507" cm="1">
        <f t="array" ref="AT77">_xlfn.LET(_xlpm.DepreciationMonths,INDEX(FixedAssets[Depreciation
/ Amortization Months],_xlfn.XMATCH($E$33,FixedAssets[Asset ID])),IF(AND((_xlfn.XMATCH(AT$8,$AH$8:$CC$8))-_xlfn.XMATCH($C77,$C$35:$C$82)+1&lt;=_xlpm.DepreciationMonths,$C77&lt;=AT$8),$E77/_xlpm.DepreciationMonths,0))</f>
        <v>0</v>
      </c>
      <c r="AU77" s="507" cm="1">
        <f t="array" ref="AU77">_xlfn.LET(_xlpm.DepreciationMonths,INDEX(FixedAssets[Depreciation
/ Amortization Months],_xlfn.XMATCH($E$33,FixedAssets[Asset ID])),IF(AND((_xlfn.XMATCH(AU$8,$AH$8:$CC$8))-_xlfn.XMATCH($C77,$C$35:$C$82)+1&lt;=_xlpm.DepreciationMonths,$C77&lt;=AU$8),$E77/_xlpm.DepreciationMonths,0))</f>
        <v>0</v>
      </c>
      <c r="AV77" s="507" cm="1">
        <f t="array" ref="AV77">_xlfn.LET(_xlpm.DepreciationMonths,INDEX(FixedAssets[Depreciation
/ Amortization Months],_xlfn.XMATCH($E$33,FixedAssets[Asset ID])),IF(AND((_xlfn.XMATCH(AV$8,$AH$8:$CC$8))-_xlfn.XMATCH($C77,$C$35:$C$82)+1&lt;=_xlpm.DepreciationMonths,$C77&lt;=AV$8),$E77/_xlpm.DepreciationMonths,0))</f>
        <v>0</v>
      </c>
      <c r="AW77" s="507" cm="1">
        <f t="array" ref="AW77">_xlfn.LET(_xlpm.DepreciationMonths,INDEX(FixedAssets[Depreciation
/ Amortization Months],_xlfn.XMATCH($E$33,FixedAssets[Asset ID])),IF(AND((_xlfn.XMATCH(AW$8,$AH$8:$CC$8))-_xlfn.XMATCH($C77,$C$35:$C$82)+1&lt;=_xlpm.DepreciationMonths,$C77&lt;=AW$8),$E77/_xlpm.DepreciationMonths,0))</f>
        <v>0</v>
      </c>
      <c r="AX77" s="507" cm="1">
        <f t="array" ref="AX77">_xlfn.LET(_xlpm.DepreciationMonths,INDEX(FixedAssets[Depreciation
/ Amortization Months],_xlfn.XMATCH($E$33,FixedAssets[Asset ID])),IF(AND((_xlfn.XMATCH(AX$8,$AH$8:$CC$8))-_xlfn.XMATCH($C77,$C$35:$C$82)+1&lt;=_xlpm.DepreciationMonths,$C77&lt;=AX$8),$E77/_xlpm.DepreciationMonths,0))</f>
        <v>0</v>
      </c>
      <c r="AY77" s="507" cm="1">
        <f t="array" ref="AY77">_xlfn.LET(_xlpm.DepreciationMonths,INDEX(FixedAssets[Depreciation
/ Amortization Months],_xlfn.XMATCH($E$33,FixedAssets[Asset ID])),IF(AND((_xlfn.XMATCH(AY$8,$AH$8:$CC$8))-_xlfn.XMATCH($C77,$C$35:$C$82)+1&lt;=_xlpm.DepreciationMonths,$C77&lt;=AY$8),$E77/_xlpm.DepreciationMonths,0))</f>
        <v>0</v>
      </c>
      <c r="AZ77" s="507" cm="1">
        <f t="array" ref="AZ77">_xlfn.LET(_xlpm.DepreciationMonths,INDEX(FixedAssets[Depreciation
/ Amortization Months],_xlfn.XMATCH($E$33,FixedAssets[Asset ID])),IF(AND((_xlfn.XMATCH(AZ$8,$AH$8:$CC$8))-_xlfn.XMATCH($C77,$C$35:$C$82)+1&lt;=_xlpm.DepreciationMonths,$C77&lt;=AZ$8),$E77/_xlpm.DepreciationMonths,0))</f>
        <v>0</v>
      </c>
      <c r="BA77" s="507" cm="1">
        <f t="array" ref="BA77">_xlfn.LET(_xlpm.DepreciationMonths,INDEX(FixedAssets[Depreciation
/ Amortization Months],_xlfn.XMATCH($E$33,FixedAssets[Asset ID])),IF(AND((_xlfn.XMATCH(BA$8,$AH$8:$CC$8))-_xlfn.XMATCH($C77,$C$35:$C$82)+1&lt;=_xlpm.DepreciationMonths,$C77&lt;=BA$8),$E77/_xlpm.DepreciationMonths,0))</f>
        <v>0</v>
      </c>
      <c r="BB77" s="507" cm="1">
        <f t="array" ref="BB77">_xlfn.LET(_xlpm.DepreciationMonths,INDEX(FixedAssets[Depreciation
/ Amortization Months],_xlfn.XMATCH($E$33,FixedAssets[Asset ID])),IF(AND((_xlfn.XMATCH(BB$8,$AH$8:$CC$8))-_xlfn.XMATCH($C77,$C$35:$C$82)+1&lt;=_xlpm.DepreciationMonths,$C77&lt;=BB$8),$E77/_xlpm.DepreciationMonths,0))</f>
        <v>0</v>
      </c>
      <c r="BC77" s="507" cm="1">
        <f t="array" ref="BC77">_xlfn.LET(_xlpm.DepreciationMonths,INDEX(FixedAssets[Depreciation
/ Amortization Months],_xlfn.XMATCH($E$33,FixedAssets[Asset ID])),IF(AND((_xlfn.XMATCH(BC$8,$AH$8:$CC$8))-_xlfn.XMATCH($C77,$C$35:$C$82)+1&lt;=_xlpm.DepreciationMonths,$C77&lt;=BC$8),$E77/_xlpm.DepreciationMonths,0))</f>
        <v>0</v>
      </c>
      <c r="BD77" s="507" cm="1">
        <f t="array" ref="BD77">_xlfn.LET(_xlpm.DepreciationMonths,INDEX(FixedAssets[Depreciation
/ Amortization Months],_xlfn.XMATCH($E$33,FixedAssets[Asset ID])),IF(AND((_xlfn.XMATCH(BD$8,$AH$8:$CC$8))-_xlfn.XMATCH($C77,$C$35:$C$82)+1&lt;=_xlpm.DepreciationMonths,$C77&lt;=BD$8),$E77/_xlpm.DepreciationMonths,0))</f>
        <v>0</v>
      </c>
      <c r="BE77" s="507" cm="1">
        <f t="array" ref="BE77">_xlfn.LET(_xlpm.DepreciationMonths,INDEX(FixedAssets[Depreciation
/ Amortization Months],_xlfn.XMATCH($E$33,FixedAssets[Asset ID])),IF(AND((_xlfn.XMATCH(BE$8,$AH$8:$CC$8))-_xlfn.XMATCH($C77,$C$35:$C$82)+1&lt;=_xlpm.DepreciationMonths,$C77&lt;=BE$8),$E77/_xlpm.DepreciationMonths,0))</f>
        <v>0</v>
      </c>
      <c r="BF77" s="507" cm="1">
        <f t="array" ref="BF77">_xlfn.LET(_xlpm.DepreciationMonths,INDEX(FixedAssets[Depreciation
/ Amortization Months],_xlfn.XMATCH($E$33,FixedAssets[Asset ID])),IF(AND((_xlfn.XMATCH(BF$8,$AH$8:$CC$8))-_xlfn.XMATCH($C77,$C$35:$C$82)+1&lt;=_xlpm.DepreciationMonths,$C77&lt;=BF$8),$E77/_xlpm.DepreciationMonths,0))</f>
        <v>0</v>
      </c>
      <c r="BG77" s="507" cm="1">
        <f t="array" ref="BG77">_xlfn.LET(_xlpm.DepreciationMonths,INDEX(FixedAssets[Depreciation
/ Amortization Months],_xlfn.XMATCH($E$33,FixedAssets[Asset ID])),IF(AND((_xlfn.XMATCH(BG$8,$AH$8:$CC$8))-_xlfn.XMATCH($C77,$C$35:$C$82)+1&lt;=_xlpm.DepreciationMonths,$C77&lt;=BG$8),$E77/_xlpm.DepreciationMonths,0))</f>
        <v>0</v>
      </c>
      <c r="BH77" s="507" cm="1">
        <f t="array" ref="BH77">_xlfn.LET(_xlpm.DepreciationMonths,INDEX(FixedAssets[Depreciation
/ Amortization Months],_xlfn.XMATCH($E$33,FixedAssets[Asset ID])),IF(AND((_xlfn.XMATCH(BH$8,$AH$8:$CC$8))-_xlfn.XMATCH($C77,$C$35:$C$82)+1&lt;=_xlpm.DepreciationMonths,$C77&lt;=BH$8),$E77/_xlpm.DepreciationMonths,0))</f>
        <v>0</v>
      </c>
      <c r="BI77" s="507" cm="1">
        <f t="array" ref="BI77">_xlfn.LET(_xlpm.DepreciationMonths,INDEX(FixedAssets[Depreciation
/ Amortization Months],_xlfn.XMATCH($E$33,FixedAssets[Asset ID])),IF(AND((_xlfn.XMATCH(BI$8,$AH$8:$CC$8))-_xlfn.XMATCH($C77,$C$35:$C$82)+1&lt;=_xlpm.DepreciationMonths,$C77&lt;=BI$8),$E77/_xlpm.DepreciationMonths,0))</f>
        <v>0</v>
      </c>
      <c r="BJ77" s="507" cm="1">
        <f t="array" ref="BJ77">_xlfn.LET(_xlpm.DepreciationMonths,INDEX(FixedAssets[Depreciation
/ Amortization Months],_xlfn.XMATCH($E$33,FixedAssets[Asset ID])),IF(AND((_xlfn.XMATCH(BJ$8,$AH$8:$CC$8))-_xlfn.XMATCH($C77,$C$35:$C$82)+1&lt;=_xlpm.DepreciationMonths,$C77&lt;=BJ$8),$E77/_xlpm.DepreciationMonths,0))</f>
        <v>0</v>
      </c>
      <c r="BK77" s="507" cm="1">
        <f t="array" ref="BK77">_xlfn.LET(_xlpm.DepreciationMonths,INDEX(FixedAssets[Depreciation
/ Amortization Months],_xlfn.XMATCH($E$33,FixedAssets[Asset ID])),IF(AND((_xlfn.XMATCH(BK$8,$AH$8:$CC$8))-_xlfn.XMATCH($C77,$C$35:$C$82)+1&lt;=_xlpm.DepreciationMonths,$C77&lt;=BK$8),$E77/_xlpm.DepreciationMonths,0))</f>
        <v>0</v>
      </c>
      <c r="BL77" s="507" cm="1">
        <f t="array" ref="BL77">_xlfn.LET(_xlpm.DepreciationMonths,INDEX(FixedAssets[Depreciation
/ Amortization Months],_xlfn.XMATCH($E$33,FixedAssets[Asset ID])),IF(AND((_xlfn.XMATCH(BL$8,$AH$8:$CC$8))-_xlfn.XMATCH($C77,$C$35:$C$82)+1&lt;=_xlpm.DepreciationMonths,$C77&lt;=BL$8),$E77/_xlpm.DepreciationMonths,0))</f>
        <v>0</v>
      </c>
      <c r="BM77" s="507" cm="1">
        <f t="array" ref="BM77">_xlfn.LET(_xlpm.DepreciationMonths,INDEX(FixedAssets[Depreciation
/ Amortization Months],_xlfn.XMATCH($E$33,FixedAssets[Asset ID])),IF(AND((_xlfn.XMATCH(BM$8,$AH$8:$CC$8))-_xlfn.XMATCH($C77,$C$35:$C$82)+1&lt;=_xlpm.DepreciationMonths,$C77&lt;=BM$8),$E77/_xlpm.DepreciationMonths,0))</f>
        <v>0</v>
      </c>
      <c r="BN77" s="507" cm="1">
        <f t="array" ref="BN77">_xlfn.LET(_xlpm.DepreciationMonths,INDEX(FixedAssets[Depreciation
/ Amortization Months],_xlfn.XMATCH($E$33,FixedAssets[Asset ID])),IF(AND((_xlfn.XMATCH(BN$8,$AH$8:$CC$8))-_xlfn.XMATCH($C77,$C$35:$C$82)+1&lt;=_xlpm.DepreciationMonths,$C77&lt;=BN$8),$E77/_xlpm.DepreciationMonths,0))</f>
        <v>0</v>
      </c>
      <c r="BO77" s="507" cm="1">
        <f t="array" ref="BO77">_xlfn.LET(_xlpm.DepreciationMonths,INDEX(FixedAssets[Depreciation
/ Amortization Months],_xlfn.XMATCH($E$33,FixedAssets[Asset ID])),IF(AND((_xlfn.XMATCH(BO$8,$AH$8:$CC$8))-_xlfn.XMATCH($C77,$C$35:$C$82)+1&lt;=_xlpm.DepreciationMonths,$C77&lt;=BO$8),$E77/_xlpm.DepreciationMonths,0))</f>
        <v>0</v>
      </c>
      <c r="BP77" s="507" cm="1">
        <f t="array" ref="BP77">_xlfn.LET(_xlpm.DepreciationMonths,INDEX(FixedAssets[Depreciation
/ Amortization Months],_xlfn.XMATCH($E$33,FixedAssets[Asset ID])),IF(AND((_xlfn.XMATCH(BP$8,$AH$8:$CC$8))-_xlfn.XMATCH($C77,$C$35:$C$82)+1&lt;=_xlpm.DepreciationMonths,$C77&lt;=BP$8),$E77/_xlpm.DepreciationMonths,0))</f>
        <v>0</v>
      </c>
      <c r="BQ77" s="507" cm="1">
        <f t="array" ref="BQ77">_xlfn.LET(_xlpm.DepreciationMonths,INDEX(FixedAssets[Depreciation
/ Amortization Months],_xlfn.XMATCH($E$33,FixedAssets[Asset ID])),IF(AND((_xlfn.XMATCH(BQ$8,$AH$8:$CC$8))-_xlfn.XMATCH($C77,$C$35:$C$82)+1&lt;=_xlpm.DepreciationMonths,$C77&lt;=BQ$8),$E77/_xlpm.DepreciationMonths,0))</f>
        <v>0</v>
      </c>
      <c r="BR77" s="507" cm="1">
        <f t="array" ref="BR77">_xlfn.LET(_xlpm.DepreciationMonths,INDEX(FixedAssets[Depreciation
/ Amortization Months],_xlfn.XMATCH($E$33,FixedAssets[Asset ID])),IF(AND((_xlfn.XMATCH(BR$8,$AH$8:$CC$8))-_xlfn.XMATCH($C77,$C$35:$C$82)+1&lt;=_xlpm.DepreciationMonths,$C77&lt;=BR$8),$E77/_xlpm.DepreciationMonths,0))</f>
        <v>0</v>
      </c>
      <c r="BS77" s="507" cm="1">
        <f t="array" ref="BS77">_xlfn.LET(_xlpm.DepreciationMonths,INDEX(FixedAssets[Depreciation
/ Amortization Months],_xlfn.XMATCH($E$33,FixedAssets[Asset ID])),IF(AND((_xlfn.XMATCH(BS$8,$AH$8:$CC$8))-_xlfn.XMATCH($C77,$C$35:$C$82)+1&lt;=_xlpm.DepreciationMonths,$C77&lt;=BS$8),$E77/_xlpm.DepreciationMonths,0))</f>
        <v>0</v>
      </c>
      <c r="BT77" s="507" cm="1">
        <f t="array" ref="BT77">_xlfn.LET(_xlpm.DepreciationMonths,INDEX(FixedAssets[Depreciation
/ Amortization Months],_xlfn.XMATCH($E$33,FixedAssets[Asset ID])),IF(AND((_xlfn.XMATCH(BT$8,$AH$8:$CC$8))-_xlfn.XMATCH($C77,$C$35:$C$82)+1&lt;=_xlpm.DepreciationMonths,$C77&lt;=BT$8),$E77/_xlpm.DepreciationMonths,0))</f>
        <v>0</v>
      </c>
      <c r="BU77" s="507" cm="1">
        <f t="array" ref="BU77">_xlfn.LET(_xlpm.DepreciationMonths,INDEX(FixedAssets[Depreciation
/ Amortization Months],_xlfn.XMATCH($E$33,FixedAssets[Asset ID])),IF(AND((_xlfn.XMATCH(BU$8,$AH$8:$CC$8))-_xlfn.XMATCH($C77,$C$35:$C$82)+1&lt;=_xlpm.DepreciationMonths,$C77&lt;=BU$8),$E77/_xlpm.DepreciationMonths,0))</f>
        <v>0</v>
      </c>
      <c r="BV77" s="507" cm="1">
        <f t="array" ref="BV77">_xlfn.LET(_xlpm.DepreciationMonths,INDEX(FixedAssets[Depreciation
/ Amortization Months],_xlfn.XMATCH($E$33,FixedAssets[Asset ID])),IF(AND((_xlfn.XMATCH(BV$8,$AH$8:$CC$8))-_xlfn.XMATCH($C77,$C$35:$C$82)+1&lt;=_xlpm.DepreciationMonths,$C77&lt;=BV$8),$E77/_xlpm.DepreciationMonths,0))</f>
        <v>0</v>
      </c>
      <c r="BW77" s="507" cm="1">
        <f t="array" ref="BW77">_xlfn.LET(_xlpm.DepreciationMonths,INDEX(FixedAssets[Depreciation
/ Amortization Months],_xlfn.XMATCH($E$33,FixedAssets[Asset ID])),IF(AND((_xlfn.XMATCH(BW$8,$AH$8:$CC$8))-_xlfn.XMATCH($C77,$C$35:$C$82)+1&lt;=_xlpm.DepreciationMonths,$C77&lt;=BW$8),$E77/_xlpm.DepreciationMonths,0))</f>
        <v>0</v>
      </c>
      <c r="BX77" s="507" cm="1">
        <f t="array" ref="BX77">_xlfn.LET(_xlpm.DepreciationMonths,INDEX(FixedAssets[Depreciation
/ Amortization Months],_xlfn.XMATCH($E$33,FixedAssets[Asset ID])),IF(AND((_xlfn.XMATCH(BX$8,$AH$8:$CC$8))-_xlfn.XMATCH($C77,$C$35:$C$82)+1&lt;=_xlpm.DepreciationMonths,$C77&lt;=BX$8),$E77/_xlpm.DepreciationMonths,0))</f>
        <v>0</v>
      </c>
      <c r="BY77" s="507" cm="1">
        <f t="array" ref="BY77">_xlfn.LET(_xlpm.DepreciationMonths,INDEX(FixedAssets[Depreciation
/ Amortization Months],_xlfn.XMATCH($E$33,FixedAssets[Asset ID])),IF(AND((_xlfn.XMATCH(BY$8,$AH$8:$CC$8))-_xlfn.XMATCH($C77,$C$35:$C$82)+1&lt;=_xlpm.DepreciationMonths,$C77&lt;=BY$8),$E77/_xlpm.DepreciationMonths,0))</f>
        <v>0</v>
      </c>
      <c r="BZ77" s="507" cm="1">
        <f t="array" ref="BZ77">_xlfn.LET(_xlpm.DepreciationMonths,INDEX(FixedAssets[Depreciation
/ Amortization Months],_xlfn.XMATCH($E$33,FixedAssets[Asset ID])),IF(AND((_xlfn.XMATCH(BZ$8,$AH$8:$CC$8))-_xlfn.XMATCH($C77,$C$35:$C$82)+1&lt;=_xlpm.DepreciationMonths,$C77&lt;=BZ$8),$E77/_xlpm.DepreciationMonths,0))</f>
        <v>0</v>
      </c>
      <c r="CA77" s="507" cm="1">
        <f t="array" ref="CA77">_xlfn.LET(_xlpm.DepreciationMonths,INDEX(FixedAssets[Depreciation
/ Amortization Months],_xlfn.XMATCH($E$33,FixedAssets[Asset ID])),IF(AND((_xlfn.XMATCH(CA$8,$AH$8:$CC$8))-_xlfn.XMATCH($C77,$C$35:$C$82)+1&lt;=_xlpm.DepreciationMonths,$C77&lt;=CA$8),$E77/_xlpm.DepreciationMonths,0))</f>
        <v>0</v>
      </c>
      <c r="CB77" s="507" cm="1">
        <f t="array" ref="CB77">_xlfn.LET(_xlpm.DepreciationMonths,INDEX(FixedAssets[Depreciation
/ Amortization Months],_xlfn.XMATCH($E$33,FixedAssets[Asset ID])),IF(AND((_xlfn.XMATCH(CB$8,$AH$8:$CC$8))-_xlfn.XMATCH($C77,$C$35:$C$82)+1&lt;=_xlpm.DepreciationMonths,$C77&lt;=CB$8),$E77/_xlpm.DepreciationMonths,0))</f>
        <v>0</v>
      </c>
      <c r="CC77" s="507" cm="1">
        <f t="array" ref="CC77">_xlfn.LET(_xlpm.DepreciationMonths,INDEX(FixedAssets[Depreciation
/ Amortization Months],_xlfn.XMATCH($E$33,FixedAssets[Asset ID])),IF(AND((_xlfn.XMATCH(CC$8,$AH$8:$CC$8))-_xlfn.XMATCH($C77,$C$35:$C$82)+1&lt;=_xlpm.DepreciationMonths,$C77&lt;=CC$8),$E77/_xlpm.DepreciationMonths,0))</f>
        <v>0</v>
      </c>
    </row>
    <row r="78" spans="3:81" hidden="1" outlineLevel="2">
      <c r="C78" s="664">
        <f t="shared" si="91"/>
        <v>46265</v>
      </c>
      <c r="D78" s="508"/>
      <c r="E78" s="508" cm="1">
        <f t="array" ref="E78">SUMPRODUCT(($AH$26:$CC$31)*($AH$5:$CC$5=$C78)*($E$26:$E$31=E$33))-SUMPRODUCT(($AH$26:$CC$31)*($AH$5:$CC$5=EOMONTH($C78,-1))*($E$26:$E$31=E$33))</f>
        <v>0</v>
      </c>
      <c r="F78" s="508"/>
      <c r="G78" s="508"/>
      <c r="H78" s="508"/>
      <c r="I78" s="508"/>
      <c r="J78" s="504">
        <f t="shared" si="88"/>
        <v>0</v>
      </c>
      <c r="K78" s="504">
        <f t="shared" si="96"/>
        <v>0</v>
      </c>
      <c r="L78" s="504">
        <f t="shared" si="96"/>
        <v>0</v>
      </c>
      <c r="M78" s="504">
        <f t="shared" si="96"/>
        <v>0</v>
      </c>
      <c r="N78" s="504"/>
      <c r="O78" s="504"/>
      <c r="P78" s="504">
        <f t="shared" si="97"/>
        <v>0</v>
      </c>
      <c r="Q78" s="504">
        <f t="shared" si="97"/>
        <v>0</v>
      </c>
      <c r="R78" s="504">
        <f t="shared" si="97"/>
        <v>0</v>
      </c>
      <c r="S78" s="504">
        <f t="shared" si="97"/>
        <v>0</v>
      </c>
      <c r="T78" s="504">
        <f t="shared" si="97"/>
        <v>0</v>
      </c>
      <c r="U78" s="504">
        <f t="shared" si="97"/>
        <v>0</v>
      </c>
      <c r="V78" s="504">
        <f t="shared" si="97"/>
        <v>0</v>
      </c>
      <c r="W78" s="504">
        <f t="shared" si="97"/>
        <v>0</v>
      </c>
      <c r="X78" s="504">
        <f t="shared" si="97"/>
        <v>0</v>
      </c>
      <c r="Y78" s="504">
        <f t="shared" si="97"/>
        <v>0</v>
      </c>
      <c r="Z78" s="504">
        <f t="shared" si="97"/>
        <v>0</v>
      </c>
      <c r="AA78" s="504">
        <f t="shared" si="97"/>
        <v>0</v>
      </c>
      <c r="AB78" s="504">
        <f t="shared" si="97"/>
        <v>0</v>
      </c>
      <c r="AC78" s="504">
        <f t="shared" si="97"/>
        <v>0</v>
      </c>
      <c r="AD78" s="504">
        <f t="shared" si="97"/>
        <v>0</v>
      </c>
      <c r="AE78" s="504">
        <f t="shared" si="97"/>
        <v>0</v>
      </c>
      <c r="AF78" s="508"/>
      <c r="AG78" s="508"/>
      <c r="AH78" s="507" cm="1">
        <f t="array" ref="AH78">_xlfn.LET(_xlpm.DepreciationMonths,INDEX(FixedAssets[Depreciation
/ Amortization Months],_xlfn.XMATCH($E$33,FixedAssets[Asset ID])),IF(AND((_xlfn.XMATCH(AH$8,$AH$8:$CC$8))-_xlfn.XMATCH($C78,$C$35:$C$82)+1&lt;=_xlpm.DepreciationMonths,$C78&lt;=AH$8),$E78/_xlpm.DepreciationMonths,0))</f>
        <v>0</v>
      </c>
      <c r="AI78" s="507" cm="1">
        <f t="array" ref="AI78">_xlfn.LET(_xlpm.DepreciationMonths,INDEX(FixedAssets[Depreciation
/ Amortization Months],_xlfn.XMATCH($E$33,FixedAssets[Asset ID])),IF(AND((_xlfn.XMATCH(AI$8,$AH$8:$CC$8))-_xlfn.XMATCH($C78,$C$35:$C$82)+1&lt;=_xlpm.DepreciationMonths,$C78&lt;=AI$8),$E78/_xlpm.DepreciationMonths,0))</f>
        <v>0</v>
      </c>
      <c r="AJ78" s="507" cm="1">
        <f t="array" ref="AJ78">_xlfn.LET(_xlpm.DepreciationMonths,INDEX(FixedAssets[Depreciation
/ Amortization Months],_xlfn.XMATCH($E$33,FixedAssets[Asset ID])),IF(AND((_xlfn.XMATCH(AJ$8,$AH$8:$CC$8))-_xlfn.XMATCH($C78,$C$35:$C$82)+1&lt;=_xlpm.DepreciationMonths,$C78&lt;=AJ$8),$E78/_xlpm.DepreciationMonths,0))</f>
        <v>0</v>
      </c>
      <c r="AK78" s="507" cm="1">
        <f t="array" ref="AK78">_xlfn.LET(_xlpm.DepreciationMonths,INDEX(FixedAssets[Depreciation
/ Amortization Months],_xlfn.XMATCH($E$33,FixedAssets[Asset ID])),IF(AND((_xlfn.XMATCH(AK$8,$AH$8:$CC$8))-_xlfn.XMATCH($C78,$C$35:$C$82)+1&lt;=_xlpm.DepreciationMonths,$C78&lt;=AK$8),$E78/_xlpm.DepreciationMonths,0))</f>
        <v>0</v>
      </c>
      <c r="AL78" s="507" cm="1">
        <f t="array" ref="AL78">_xlfn.LET(_xlpm.DepreciationMonths,INDEX(FixedAssets[Depreciation
/ Amortization Months],_xlfn.XMATCH($E$33,FixedAssets[Asset ID])),IF(AND((_xlfn.XMATCH(AL$8,$AH$8:$CC$8))-_xlfn.XMATCH($C78,$C$35:$C$82)+1&lt;=_xlpm.DepreciationMonths,$C78&lt;=AL$8),$E78/_xlpm.DepreciationMonths,0))</f>
        <v>0</v>
      </c>
      <c r="AM78" s="507" cm="1">
        <f t="array" ref="AM78">_xlfn.LET(_xlpm.DepreciationMonths,INDEX(FixedAssets[Depreciation
/ Amortization Months],_xlfn.XMATCH($E$33,FixedAssets[Asset ID])),IF(AND((_xlfn.XMATCH(AM$8,$AH$8:$CC$8))-_xlfn.XMATCH($C78,$C$35:$C$82)+1&lt;=_xlpm.DepreciationMonths,$C78&lt;=AM$8),$E78/_xlpm.DepreciationMonths,0))</f>
        <v>0</v>
      </c>
      <c r="AN78" s="507" cm="1">
        <f t="array" ref="AN78">_xlfn.LET(_xlpm.DepreciationMonths,INDEX(FixedAssets[Depreciation
/ Amortization Months],_xlfn.XMATCH($E$33,FixedAssets[Asset ID])),IF(AND((_xlfn.XMATCH(AN$8,$AH$8:$CC$8))-_xlfn.XMATCH($C78,$C$35:$C$82)+1&lt;=_xlpm.DepreciationMonths,$C78&lt;=AN$8),$E78/_xlpm.DepreciationMonths,0))</f>
        <v>0</v>
      </c>
      <c r="AO78" s="507" cm="1">
        <f t="array" ref="AO78">_xlfn.LET(_xlpm.DepreciationMonths,INDEX(FixedAssets[Depreciation
/ Amortization Months],_xlfn.XMATCH($E$33,FixedAssets[Asset ID])),IF(AND((_xlfn.XMATCH(AO$8,$AH$8:$CC$8))-_xlfn.XMATCH($C78,$C$35:$C$82)+1&lt;=_xlpm.DepreciationMonths,$C78&lt;=AO$8),$E78/_xlpm.DepreciationMonths,0))</f>
        <v>0</v>
      </c>
      <c r="AP78" s="507" cm="1">
        <f t="array" ref="AP78">_xlfn.LET(_xlpm.DepreciationMonths,INDEX(FixedAssets[Depreciation
/ Amortization Months],_xlfn.XMATCH($E$33,FixedAssets[Asset ID])),IF(AND((_xlfn.XMATCH(AP$8,$AH$8:$CC$8))-_xlfn.XMATCH($C78,$C$35:$C$82)+1&lt;=_xlpm.DepreciationMonths,$C78&lt;=AP$8),$E78/_xlpm.DepreciationMonths,0))</f>
        <v>0</v>
      </c>
      <c r="AQ78" s="507" cm="1">
        <f t="array" ref="AQ78">_xlfn.LET(_xlpm.DepreciationMonths,INDEX(FixedAssets[Depreciation
/ Amortization Months],_xlfn.XMATCH($E$33,FixedAssets[Asset ID])),IF(AND((_xlfn.XMATCH(AQ$8,$AH$8:$CC$8))-_xlfn.XMATCH($C78,$C$35:$C$82)+1&lt;=_xlpm.DepreciationMonths,$C78&lt;=AQ$8),$E78/_xlpm.DepreciationMonths,0))</f>
        <v>0</v>
      </c>
      <c r="AR78" s="507" cm="1">
        <f t="array" ref="AR78">_xlfn.LET(_xlpm.DepreciationMonths,INDEX(FixedAssets[Depreciation
/ Amortization Months],_xlfn.XMATCH($E$33,FixedAssets[Asset ID])),IF(AND((_xlfn.XMATCH(AR$8,$AH$8:$CC$8))-_xlfn.XMATCH($C78,$C$35:$C$82)+1&lt;=_xlpm.DepreciationMonths,$C78&lt;=AR$8),$E78/_xlpm.DepreciationMonths,0))</f>
        <v>0</v>
      </c>
      <c r="AS78" s="507" cm="1">
        <f t="array" ref="AS78">_xlfn.LET(_xlpm.DepreciationMonths,INDEX(FixedAssets[Depreciation
/ Amortization Months],_xlfn.XMATCH($E$33,FixedAssets[Asset ID])),IF(AND((_xlfn.XMATCH(AS$8,$AH$8:$CC$8))-_xlfn.XMATCH($C78,$C$35:$C$82)+1&lt;=_xlpm.DepreciationMonths,$C78&lt;=AS$8),$E78/_xlpm.DepreciationMonths,0))</f>
        <v>0</v>
      </c>
      <c r="AT78" s="507" cm="1">
        <f t="array" ref="AT78">_xlfn.LET(_xlpm.DepreciationMonths,INDEX(FixedAssets[Depreciation
/ Amortization Months],_xlfn.XMATCH($E$33,FixedAssets[Asset ID])),IF(AND((_xlfn.XMATCH(AT$8,$AH$8:$CC$8))-_xlfn.XMATCH($C78,$C$35:$C$82)+1&lt;=_xlpm.DepreciationMonths,$C78&lt;=AT$8),$E78/_xlpm.DepreciationMonths,0))</f>
        <v>0</v>
      </c>
      <c r="AU78" s="507" cm="1">
        <f t="array" ref="AU78">_xlfn.LET(_xlpm.DepreciationMonths,INDEX(FixedAssets[Depreciation
/ Amortization Months],_xlfn.XMATCH($E$33,FixedAssets[Asset ID])),IF(AND((_xlfn.XMATCH(AU$8,$AH$8:$CC$8))-_xlfn.XMATCH($C78,$C$35:$C$82)+1&lt;=_xlpm.DepreciationMonths,$C78&lt;=AU$8),$E78/_xlpm.DepreciationMonths,0))</f>
        <v>0</v>
      </c>
      <c r="AV78" s="507" cm="1">
        <f t="array" ref="AV78">_xlfn.LET(_xlpm.DepreciationMonths,INDEX(FixedAssets[Depreciation
/ Amortization Months],_xlfn.XMATCH($E$33,FixedAssets[Asset ID])),IF(AND((_xlfn.XMATCH(AV$8,$AH$8:$CC$8))-_xlfn.XMATCH($C78,$C$35:$C$82)+1&lt;=_xlpm.DepreciationMonths,$C78&lt;=AV$8),$E78/_xlpm.DepreciationMonths,0))</f>
        <v>0</v>
      </c>
      <c r="AW78" s="507" cm="1">
        <f t="array" ref="AW78">_xlfn.LET(_xlpm.DepreciationMonths,INDEX(FixedAssets[Depreciation
/ Amortization Months],_xlfn.XMATCH($E$33,FixedAssets[Asset ID])),IF(AND((_xlfn.XMATCH(AW$8,$AH$8:$CC$8))-_xlfn.XMATCH($C78,$C$35:$C$82)+1&lt;=_xlpm.DepreciationMonths,$C78&lt;=AW$8),$E78/_xlpm.DepreciationMonths,0))</f>
        <v>0</v>
      </c>
      <c r="AX78" s="507" cm="1">
        <f t="array" ref="AX78">_xlfn.LET(_xlpm.DepreciationMonths,INDEX(FixedAssets[Depreciation
/ Amortization Months],_xlfn.XMATCH($E$33,FixedAssets[Asset ID])),IF(AND((_xlfn.XMATCH(AX$8,$AH$8:$CC$8))-_xlfn.XMATCH($C78,$C$35:$C$82)+1&lt;=_xlpm.DepreciationMonths,$C78&lt;=AX$8),$E78/_xlpm.DepreciationMonths,0))</f>
        <v>0</v>
      </c>
      <c r="AY78" s="507" cm="1">
        <f t="array" ref="AY78">_xlfn.LET(_xlpm.DepreciationMonths,INDEX(FixedAssets[Depreciation
/ Amortization Months],_xlfn.XMATCH($E$33,FixedAssets[Asset ID])),IF(AND((_xlfn.XMATCH(AY$8,$AH$8:$CC$8))-_xlfn.XMATCH($C78,$C$35:$C$82)+1&lt;=_xlpm.DepreciationMonths,$C78&lt;=AY$8),$E78/_xlpm.DepreciationMonths,0))</f>
        <v>0</v>
      </c>
      <c r="AZ78" s="507" cm="1">
        <f t="array" ref="AZ78">_xlfn.LET(_xlpm.DepreciationMonths,INDEX(FixedAssets[Depreciation
/ Amortization Months],_xlfn.XMATCH($E$33,FixedAssets[Asset ID])),IF(AND((_xlfn.XMATCH(AZ$8,$AH$8:$CC$8))-_xlfn.XMATCH($C78,$C$35:$C$82)+1&lt;=_xlpm.DepreciationMonths,$C78&lt;=AZ$8),$E78/_xlpm.DepreciationMonths,0))</f>
        <v>0</v>
      </c>
      <c r="BA78" s="507" cm="1">
        <f t="array" ref="BA78">_xlfn.LET(_xlpm.DepreciationMonths,INDEX(FixedAssets[Depreciation
/ Amortization Months],_xlfn.XMATCH($E$33,FixedAssets[Asset ID])),IF(AND((_xlfn.XMATCH(BA$8,$AH$8:$CC$8))-_xlfn.XMATCH($C78,$C$35:$C$82)+1&lt;=_xlpm.DepreciationMonths,$C78&lt;=BA$8),$E78/_xlpm.DepreciationMonths,0))</f>
        <v>0</v>
      </c>
      <c r="BB78" s="507" cm="1">
        <f t="array" ref="BB78">_xlfn.LET(_xlpm.DepreciationMonths,INDEX(FixedAssets[Depreciation
/ Amortization Months],_xlfn.XMATCH($E$33,FixedAssets[Asset ID])),IF(AND((_xlfn.XMATCH(BB$8,$AH$8:$CC$8))-_xlfn.XMATCH($C78,$C$35:$C$82)+1&lt;=_xlpm.DepreciationMonths,$C78&lt;=BB$8),$E78/_xlpm.DepreciationMonths,0))</f>
        <v>0</v>
      </c>
      <c r="BC78" s="507" cm="1">
        <f t="array" ref="BC78">_xlfn.LET(_xlpm.DepreciationMonths,INDEX(FixedAssets[Depreciation
/ Amortization Months],_xlfn.XMATCH($E$33,FixedAssets[Asset ID])),IF(AND((_xlfn.XMATCH(BC$8,$AH$8:$CC$8))-_xlfn.XMATCH($C78,$C$35:$C$82)+1&lt;=_xlpm.DepreciationMonths,$C78&lt;=BC$8),$E78/_xlpm.DepreciationMonths,0))</f>
        <v>0</v>
      </c>
      <c r="BD78" s="507" cm="1">
        <f t="array" ref="BD78">_xlfn.LET(_xlpm.DepreciationMonths,INDEX(FixedAssets[Depreciation
/ Amortization Months],_xlfn.XMATCH($E$33,FixedAssets[Asset ID])),IF(AND((_xlfn.XMATCH(BD$8,$AH$8:$CC$8))-_xlfn.XMATCH($C78,$C$35:$C$82)+1&lt;=_xlpm.DepreciationMonths,$C78&lt;=BD$8),$E78/_xlpm.DepreciationMonths,0))</f>
        <v>0</v>
      </c>
      <c r="BE78" s="507" cm="1">
        <f t="array" ref="BE78">_xlfn.LET(_xlpm.DepreciationMonths,INDEX(FixedAssets[Depreciation
/ Amortization Months],_xlfn.XMATCH($E$33,FixedAssets[Asset ID])),IF(AND((_xlfn.XMATCH(BE$8,$AH$8:$CC$8))-_xlfn.XMATCH($C78,$C$35:$C$82)+1&lt;=_xlpm.DepreciationMonths,$C78&lt;=BE$8),$E78/_xlpm.DepreciationMonths,0))</f>
        <v>0</v>
      </c>
      <c r="BF78" s="507" cm="1">
        <f t="array" ref="BF78">_xlfn.LET(_xlpm.DepreciationMonths,INDEX(FixedAssets[Depreciation
/ Amortization Months],_xlfn.XMATCH($E$33,FixedAssets[Asset ID])),IF(AND((_xlfn.XMATCH(BF$8,$AH$8:$CC$8))-_xlfn.XMATCH($C78,$C$35:$C$82)+1&lt;=_xlpm.DepreciationMonths,$C78&lt;=BF$8),$E78/_xlpm.DepreciationMonths,0))</f>
        <v>0</v>
      </c>
      <c r="BG78" s="507" cm="1">
        <f t="array" ref="BG78">_xlfn.LET(_xlpm.DepreciationMonths,INDEX(FixedAssets[Depreciation
/ Amortization Months],_xlfn.XMATCH($E$33,FixedAssets[Asset ID])),IF(AND((_xlfn.XMATCH(BG$8,$AH$8:$CC$8))-_xlfn.XMATCH($C78,$C$35:$C$82)+1&lt;=_xlpm.DepreciationMonths,$C78&lt;=BG$8),$E78/_xlpm.DepreciationMonths,0))</f>
        <v>0</v>
      </c>
      <c r="BH78" s="507" cm="1">
        <f t="array" ref="BH78">_xlfn.LET(_xlpm.DepreciationMonths,INDEX(FixedAssets[Depreciation
/ Amortization Months],_xlfn.XMATCH($E$33,FixedAssets[Asset ID])),IF(AND((_xlfn.XMATCH(BH$8,$AH$8:$CC$8))-_xlfn.XMATCH($C78,$C$35:$C$82)+1&lt;=_xlpm.DepreciationMonths,$C78&lt;=BH$8),$E78/_xlpm.DepreciationMonths,0))</f>
        <v>0</v>
      </c>
      <c r="BI78" s="507" cm="1">
        <f t="array" ref="BI78">_xlfn.LET(_xlpm.DepreciationMonths,INDEX(FixedAssets[Depreciation
/ Amortization Months],_xlfn.XMATCH($E$33,FixedAssets[Asset ID])),IF(AND((_xlfn.XMATCH(BI$8,$AH$8:$CC$8))-_xlfn.XMATCH($C78,$C$35:$C$82)+1&lt;=_xlpm.DepreciationMonths,$C78&lt;=BI$8),$E78/_xlpm.DepreciationMonths,0))</f>
        <v>0</v>
      </c>
      <c r="BJ78" s="507" cm="1">
        <f t="array" ref="BJ78">_xlfn.LET(_xlpm.DepreciationMonths,INDEX(FixedAssets[Depreciation
/ Amortization Months],_xlfn.XMATCH($E$33,FixedAssets[Asset ID])),IF(AND((_xlfn.XMATCH(BJ$8,$AH$8:$CC$8))-_xlfn.XMATCH($C78,$C$35:$C$82)+1&lt;=_xlpm.DepreciationMonths,$C78&lt;=BJ$8),$E78/_xlpm.DepreciationMonths,0))</f>
        <v>0</v>
      </c>
      <c r="BK78" s="507" cm="1">
        <f t="array" ref="BK78">_xlfn.LET(_xlpm.DepreciationMonths,INDEX(FixedAssets[Depreciation
/ Amortization Months],_xlfn.XMATCH($E$33,FixedAssets[Asset ID])),IF(AND((_xlfn.XMATCH(BK$8,$AH$8:$CC$8))-_xlfn.XMATCH($C78,$C$35:$C$82)+1&lt;=_xlpm.DepreciationMonths,$C78&lt;=BK$8),$E78/_xlpm.DepreciationMonths,0))</f>
        <v>0</v>
      </c>
      <c r="BL78" s="507" cm="1">
        <f t="array" ref="BL78">_xlfn.LET(_xlpm.DepreciationMonths,INDEX(FixedAssets[Depreciation
/ Amortization Months],_xlfn.XMATCH($E$33,FixedAssets[Asset ID])),IF(AND((_xlfn.XMATCH(BL$8,$AH$8:$CC$8))-_xlfn.XMATCH($C78,$C$35:$C$82)+1&lt;=_xlpm.DepreciationMonths,$C78&lt;=BL$8),$E78/_xlpm.DepreciationMonths,0))</f>
        <v>0</v>
      </c>
      <c r="BM78" s="507" cm="1">
        <f t="array" ref="BM78">_xlfn.LET(_xlpm.DepreciationMonths,INDEX(FixedAssets[Depreciation
/ Amortization Months],_xlfn.XMATCH($E$33,FixedAssets[Asset ID])),IF(AND((_xlfn.XMATCH(BM$8,$AH$8:$CC$8))-_xlfn.XMATCH($C78,$C$35:$C$82)+1&lt;=_xlpm.DepreciationMonths,$C78&lt;=BM$8),$E78/_xlpm.DepreciationMonths,0))</f>
        <v>0</v>
      </c>
      <c r="BN78" s="507" cm="1">
        <f t="array" ref="BN78">_xlfn.LET(_xlpm.DepreciationMonths,INDEX(FixedAssets[Depreciation
/ Amortization Months],_xlfn.XMATCH($E$33,FixedAssets[Asset ID])),IF(AND((_xlfn.XMATCH(BN$8,$AH$8:$CC$8))-_xlfn.XMATCH($C78,$C$35:$C$82)+1&lt;=_xlpm.DepreciationMonths,$C78&lt;=BN$8),$E78/_xlpm.DepreciationMonths,0))</f>
        <v>0</v>
      </c>
      <c r="BO78" s="507" cm="1">
        <f t="array" ref="BO78">_xlfn.LET(_xlpm.DepreciationMonths,INDEX(FixedAssets[Depreciation
/ Amortization Months],_xlfn.XMATCH($E$33,FixedAssets[Asset ID])),IF(AND((_xlfn.XMATCH(BO$8,$AH$8:$CC$8))-_xlfn.XMATCH($C78,$C$35:$C$82)+1&lt;=_xlpm.DepreciationMonths,$C78&lt;=BO$8),$E78/_xlpm.DepreciationMonths,0))</f>
        <v>0</v>
      </c>
      <c r="BP78" s="507" cm="1">
        <f t="array" ref="BP78">_xlfn.LET(_xlpm.DepreciationMonths,INDEX(FixedAssets[Depreciation
/ Amortization Months],_xlfn.XMATCH($E$33,FixedAssets[Asset ID])),IF(AND((_xlfn.XMATCH(BP$8,$AH$8:$CC$8))-_xlfn.XMATCH($C78,$C$35:$C$82)+1&lt;=_xlpm.DepreciationMonths,$C78&lt;=BP$8),$E78/_xlpm.DepreciationMonths,0))</f>
        <v>0</v>
      </c>
      <c r="BQ78" s="507" cm="1">
        <f t="array" ref="BQ78">_xlfn.LET(_xlpm.DepreciationMonths,INDEX(FixedAssets[Depreciation
/ Amortization Months],_xlfn.XMATCH($E$33,FixedAssets[Asset ID])),IF(AND((_xlfn.XMATCH(BQ$8,$AH$8:$CC$8))-_xlfn.XMATCH($C78,$C$35:$C$82)+1&lt;=_xlpm.DepreciationMonths,$C78&lt;=BQ$8),$E78/_xlpm.DepreciationMonths,0))</f>
        <v>0</v>
      </c>
      <c r="BR78" s="507" cm="1">
        <f t="array" ref="BR78">_xlfn.LET(_xlpm.DepreciationMonths,INDEX(FixedAssets[Depreciation
/ Amortization Months],_xlfn.XMATCH($E$33,FixedAssets[Asset ID])),IF(AND((_xlfn.XMATCH(BR$8,$AH$8:$CC$8))-_xlfn.XMATCH($C78,$C$35:$C$82)+1&lt;=_xlpm.DepreciationMonths,$C78&lt;=BR$8),$E78/_xlpm.DepreciationMonths,0))</f>
        <v>0</v>
      </c>
      <c r="BS78" s="507" cm="1">
        <f t="array" ref="BS78">_xlfn.LET(_xlpm.DepreciationMonths,INDEX(FixedAssets[Depreciation
/ Amortization Months],_xlfn.XMATCH($E$33,FixedAssets[Asset ID])),IF(AND((_xlfn.XMATCH(BS$8,$AH$8:$CC$8))-_xlfn.XMATCH($C78,$C$35:$C$82)+1&lt;=_xlpm.DepreciationMonths,$C78&lt;=BS$8),$E78/_xlpm.DepreciationMonths,0))</f>
        <v>0</v>
      </c>
      <c r="BT78" s="507" cm="1">
        <f t="array" ref="BT78">_xlfn.LET(_xlpm.DepreciationMonths,INDEX(FixedAssets[Depreciation
/ Amortization Months],_xlfn.XMATCH($E$33,FixedAssets[Asset ID])),IF(AND((_xlfn.XMATCH(BT$8,$AH$8:$CC$8))-_xlfn.XMATCH($C78,$C$35:$C$82)+1&lt;=_xlpm.DepreciationMonths,$C78&lt;=BT$8),$E78/_xlpm.DepreciationMonths,0))</f>
        <v>0</v>
      </c>
      <c r="BU78" s="507" cm="1">
        <f t="array" ref="BU78">_xlfn.LET(_xlpm.DepreciationMonths,INDEX(FixedAssets[Depreciation
/ Amortization Months],_xlfn.XMATCH($E$33,FixedAssets[Asset ID])),IF(AND((_xlfn.XMATCH(BU$8,$AH$8:$CC$8))-_xlfn.XMATCH($C78,$C$35:$C$82)+1&lt;=_xlpm.DepreciationMonths,$C78&lt;=BU$8),$E78/_xlpm.DepreciationMonths,0))</f>
        <v>0</v>
      </c>
      <c r="BV78" s="507" cm="1">
        <f t="array" ref="BV78">_xlfn.LET(_xlpm.DepreciationMonths,INDEX(FixedAssets[Depreciation
/ Amortization Months],_xlfn.XMATCH($E$33,FixedAssets[Asset ID])),IF(AND((_xlfn.XMATCH(BV$8,$AH$8:$CC$8))-_xlfn.XMATCH($C78,$C$35:$C$82)+1&lt;=_xlpm.DepreciationMonths,$C78&lt;=BV$8),$E78/_xlpm.DepreciationMonths,0))</f>
        <v>0</v>
      </c>
      <c r="BW78" s="507" cm="1">
        <f t="array" ref="BW78">_xlfn.LET(_xlpm.DepreciationMonths,INDEX(FixedAssets[Depreciation
/ Amortization Months],_xlfn.XMATCH($E$33,FixedAssets[Asset ID])),IF(AND((_xlfn.XMATCH(BW$8,$AH$8:$CC$8))-_xlfn.XMATCH($C78,$C$35:$C$82)+1&lt;=_xlpm.DepreciationMonths,$C78&lt;=BW$8),$E78/_xlpm.DepreciationMonths,0))</f>
        <v>0</v>
      </c>
      <c r="BX78" s="507" cm="1">
        <f t="array" ref="BX78">_xlfn.LET(_xlpm.DepreciationMonths,INDEX(FixedAssets[Depreciation
/ Amortization Months],_xlfn.XMATCH($E$33,FixedAssets[Asset ID])),IF(AND((_xlfn.XMATCH(BX$8,$AH$8:$CC$8))-_xlfn.XMATCH($C78,$C$35:$C$82)+1&lt;=_xlpm.DepreciationMonths,$C78&lt;=BX$8),$E78/_xlpm.DepreciationMonths,0))</f>
        <v>0</v>
      </c>
      <c r="BY78" s="507" cm="1">
        <f t="array" ref="BY78">_xlfn.LET(_xlpm.DepreciationMonths,INDEX(FixedAssets[Depreciation
/ Amortization Months],_xlfn.XMATCH($E$33,FixedAssets[Asset ID])),IF(AND((_xlfn.XMATCH(BY$8,$AH$8:$CC$8))-_xlfn.XMATCH($C78,$C$35:$C$82)+1&lt;=_xlpm.DepreciationMonths,$C78&lt;=BY$8),$E78/_xlpm.DepreciationMonths,0))</f>
        <v>0</v>
      </c>
      <c r="BZ78" s="507" cm="1">
        <f t="array" ref="BZ78">_xlfn.LET(_xlpm.DepreciationMonths,INDEX(FixedAssets[Depreciation
/ Amortization Months],_xlfn.XMATCH($E$33,FixedAssets[Asset ID])),IF(AND((_xlfn.XMATCH(BZ$8,$AH$8:$CC$8))-_xlfn.XMATCH($C78,$C$35:$C$82)+1&lt;=_xlpm.DepreciationMonths,$C78&lt;=BZ$8),$E78/_xlpm.DepreciationMonths,0))</f>
        <v>0</v>
      </c>
      <c r="CA78" s="507" cm="1">
        <f t="array" ref="CA78">_xlfn.LET(_xlpm.DepreciationMonths,INDEX(FixedAssets[Depreciation
/ Amortization Months],_xlfn.XMATCH($E$33,FixedAssets[Asset ID])),IF(AND((_xlfn.XMATCH(CA$8,$AH$8:$CC$8))-_xlfn.XMATCH($C78,$C$35:$C$82)+1&lt;=_xlpm.DepreciationMonths,$C78&lt;=CA$8),$E78/_xlpm.DepreciationMonths,0))</f>
        <v>0</v>
      </c>
      <c r="CB78" s="507" cm="1">
        <f t="array" ref="CB78">_xlfn.LET(_xlpm.DepreciationMonths,INDEX(FixedAssets[Depreciation
/ Amortization Months],_xlfn.XMATCH($E$33,FixedAssets[Asset ID])),IF(AND((_xlfn.XMATCH(CB$8,$AH$8:$CC$8))-_xlfn.XMATCH($C78,$C$35:$C$82)+1&lt;=_xlpm.DepreciationMonths,$C78&lt;=CB$8),$E78/_xlpm.DepreciationMonths,0))</f>
        <v>0</v>
      </c>
      <c r="CC78" s="507" cm="1">
        <f t="array" ref="CC78">_xlfn.LET(_xlpm.DepreciationMonths,INDEX(FixedAssets[Depreciation
/ Amortization Months],_xlfn.XMATCH($E$33,FixedAssets[Asset ID])),IF(AND((_xlfn.XMATCH(CC$8,$AH$8:$CC$8))-_xlfn.XMATCH($C78,$C$35:$C$82)+1&lt;=_xlpm.DepreciationMonths,$C78&lt;=CC$8),$E78/_xlpm.DepreciationMonths,0))</f>
        <v>0</v>
      </c>
    </row>
    <row r="79" spans="3:81" hidden="1" outlineLevel="2">
      <c r="C79" s="664">
        <f t="shared" si="91"/>
        <v>46295</v>
      </c>
      <c r="D79" s="508"/>
      <c r="E79" s="508" cm="1">
        <f t="array" ref="E79">SUMPRODUCT(($AH$26:$CC$31)*($AH$5:$CC$5=$C79)*($E$26:$E$31=E$33))-SUMPRODUCT(($AH$26:$CC$31)*($AH$5:$CC$5=EOMONTH($C79,-1))*($E$26:$E$31=E$33))</f>
        <v>0</v>
      </c>
      <c r="F79" s="508"/>
      <c r="G79" s="508"/>
      <c r="H79" s="508"/>
      <c r="I79" s="508"/>
      <c r="J79" s="504">
        <f t="shared" si="88"/>
        <v>0</v>
      </c>
      <c r="K79" s="504">
        <f t="shared" si="96"/>
        <v>0</v>
      </c>
      <c r="L79" s="504">
        <f t="shared" si="96"/>
        <v>0</v>
      </c>
      <c r="M79" s="504">
        <f t="shared" si="96"/>
        <v>0</v>
      </c>
      <c r="N79" s="504"/>
      <c r="O79" s="504"/>
      <c r="P79" s="504">
        <f t="shared" si="97"/>
        <v>0</v>
      </c>
      <c r="Q79" s="504">
        <f t="shared" si="97"/>
        <v>0</v>
      </c>
      <c r="R79" s="504">
        <f t="shared" si="97"/>
        <v>0</v>
      </c>
      <c r="S79" s="504">
        <f t="shared" si="97"/>
        <v>0</v>
      </c>
      <c r="T79" s="504">
        <f t="shared" si="97"/>
        <v>0</v>
      </c>
      <c r="U79" s="504">
        <f t="shared" si="97"/>
        <v>0</v>
      </c>
      <c r="V79" s="504">
        <f t="shared" si="97"/>
        <v>0</v>
      </c>
      <c r="W79" s="504">
        <f t="shared" si="97"/>
        <v>0</v>
      </c>
      <c r="X79" s="504">
        <f t="shared" si="97"/>
        <v>0</v>
      </c>
      <c r="Y79" s="504">
        <f t="shared" si="97"/>
        <v>0</v>
      </c>
      <c r="Z79" s="504">
        <f t="shared" si="97"/>
        <v>0</v>
      </c>
      <c r="AA79" s="504">
        <f t="shared" si="97"/>
        <v>0</v>
      </c>
      <c r="AB79" s="504">
        <f t="shared" si="97"/>
        <v>0</v>
      </c>
      <c r="AC79" s="504">
        <f t="shared" si="97"/>
        <v>0</v>
      </c>
      <c r="AD79" s="504">
        <f t="shared" si="97"/>
        <v>0</v>
      </c>
      <c r="AE79" s="504">
        <f t="shared" si="97"/>
        <v>0</v>
      </c>
      <c r="AF79" s="508"/>
      <c r="AG79" s="508"/>
      <c r="AH79" s="507" cm="1">
        <f t="array" ref="AH79">_xlfn.LET(_xlpm.DepreciationMonths,INDEX(FixedAssets[Depreciation
/ Amortization Months],_xlfn.XMATCH($E$33,FixedAssets[Asset ID])),IF(AND((_xlfn.XMATCH(AH$8,$AH$8:$CC$8))-_xlfn.XMATCH($C79,$C$35:$C$82)+1&lt;=_xlpm.DepreciationMonths,$C79&lt;=AH$8),$E79/_xlpm.DepreciationMonths,0))</f>
        <v>0</v>
      </c>
      <c r="AI79" s="507" cm="1">
        <f t="array" ref="AI79">_xlfn.LET(_xlpm.DepreciationMonths,INDEX(FixedAssets[Depreciation
/ Amortization Months],_xlfn.XMATCH($E$33,FixedAssets[Asset ID])),IF(AND((_xlfn.XMATCH(AI$8,$AH$8:$CC$8))-_xlfn.XMATCH($C79,$C$35:$C$82)+1&lt;=_xlpm.DepreciationMonths,$C79&lt;=AI$8),$E79/_xlpm.DepreciationMonths,0))</f>
        <v>0</v>
      </c>
      <c r="AJ79" s="507" cm="1">
        <f t="array" ref="AJ79">_xlfn.LET(_xlpm.DepreciationMonths,INDEX(FixedAssets[Depreciation
/ Amortization Months],_xlfn.XMATCH($E$33,FixedAssets[Asset ID])),IF(AND((_xlfn.XMATCH(AJ$8,$AH$8:$CC$8))-_xlfn.XMATCH($C79,$C$35:$C$82)+1&lt;=_xlpm.DepreciationMonths,$C79&lt;=AJ$8),$E79/_xlpm.DepreciationMonths,0))</f>
        <v>0</v>
      </c>
      <c r="AK79" s="507" cm="1">
        <f t="array" ref="AK79">_xlfn.LET(_xlpm.DepreciationMonths,INDEX(FixedAssets[Depreciation
/ Amortization Months],_xlfn.XMATCH($E$33,FixedAssets[Asset ID])),IF(AND((_xlfn.XMATCH(AK$8,$AH$8:$CC$8))-_xlfn.XMATCH($C79,$C$35:$C$82)+1&lt;=_xlpm.DepreciationMonths,$C79&lt;=AK$8),$E79/_xlpm.DepreciationMonths,0))</f>
        <v>0</v>
      </c>
      <c r="AL79" s="507" cm="1">
        <f t="array" ref="AL79">_xlfn.LET(_xlpm.DepreciationMonths,INDEX(FixedAssets[Depreciation
/ Amortization Months],_xlfn.XMATCH($E$33,FixedAssets[Asset ID])),IF(AND((_xlfn.XMATCH(AL$8,$AH$8:$CC$8))-_xlfn.XMATCH($C79,$C$35:$C$82)+1&lt;=_xlpm.DepreciationMonths,$C79&lt;=AL$8),$E79/_xlpm.DepreciationMonths,0))</f>
        <v>0</v>
      </c>
      <c r="AM79" s="507" cm="1">
        <f t="array" ref="AM79">_xlfn.LET(_xlpm.DepreciationMonths,INDEX(FixedAssets[Depreciation
/ Amortization Months],_xlfn.XMATCH($E$33,FixedAssets[Asset ID])),IF(AND((_xlfn.XMATCH(AM$8,$AH$8:$CC$8))-_xlfn.XMATCH($C79,$C$35:$C$82)+1&lt;=_xlpm.DepreciationMonths,$C79&lt;=AM$8),$E79/_xlpm.DepreciationMonths,0))</f>
        <v>0</v>
      </c>
      <c r="AN79" s="507" cm="1">
        <f t="array" ref="AN79">_xlfn.LET(_xlpm.DepreciationMonths,INDEX(FixedAssets[Depreciation
/ Amortization Months],_xlfn.XMATCH($E$33,FixedAssets[Asset ID])),IF(AND((_xlfn.XMATCH(AN$8,$AH$8:$CC$8))-_xlfn.XMATCH($C79,$C$35:$C$82)+1&lt;=_xlpm.DepreciationMonths,$C79&lt;=AN$8),$E79/_xlpm.DepreciationMonths,0))</f>
        <v>0</v>
      </c>
      <c r="AO79" s="507" cm="1">
        <f t="array" ref="AO79">_xlfn.LET(_xlpm.DepreciationMonths,INDEX(FixedAssets[Depreciation
/ Amortization Months],_xlfn.XMATCH($E$33,FixedAssets[Asset ID])),IF(AND((_xlfn.XMATCH(AO$8,$AH$8:$CC$8))-_xlfn.XMATCH($C79,$C$35:$C$82)+1&lt;=_xlpm.DepreciationMonths,$C79&lt;=AO$8),$E79/_xlpm.DepreciationMonths,0))</f>
        <v>0</v>
      </c>
      <c r="AP79" s="507" cm="1">
        <f t="array" ref="AP79">_xlfn.LET(_xlpm.DepreciationMonths,INDEX(FixedAssets[Depreciation
/ Amortization Months],_xlfn.XMATCH($E$33,FixedAssets[Asset ID])),IF(AND((_xlfn.XMATCH(AP$8,$AH$8:$CC$8))-_xlfn.XMATCH($C79,$C$35:$C$82)+1&lt;=_xlpm.DepreciationMonths,$C79&lt;=AP$8),$E79/_xlpm.DepreciationMonths,0))</f>
        <v>0</v>
      </c>
      <c r="AQ79" s="507" cm="1">
        <f t="array" ref="AQ79">_xlfn.LET(_xlpm.DepreciationMonths,INDEX(FixedAssets[Depreciation
/ Amortization Months],_xlfn.XMATCH($E$33,FixedAssets[Asset ID])),IF(AND((_xlfn.XMATCH(AQ$8,$AH$8:$CC$8))-_xlfn.XMATCH($C79,$C$35:$C$82)+1&lt;=_xlpm.DepreciationMonths,$C79&lt;=AQ$8),$E79/_xlpm.DepreciationMonths,0))</f>
        <v>0</v>
      </c>
      <c r="AR79" s="507" cm="1">
        <f t="array" ref="AR79">_xlfn.LET(_xlpm.DepreciationMonths,INDEX(FixedAssets[Depreciation
/ Amortization Months],_xlfn.XMATCH($E$33,FixedAssets[Asset ID])),IF(AND((_xlfn.XMATCH(AR$8,$AH$8:$CC$8))-_xlfn.XMATCH($C79,$C$35:$C$82)+1&lt;=_xlpm.DepreciationMonths,$C79&lt;=AR$8),$E79/_xlpm.DepreciationMonths,0))</f>
        <v>0</v>
      </c>
      <c r="AS79" s="507" cm="1">
        <f t="array" ref="AS79">_xlfn.LET(_xlpm.DepreciationMonths,INDEX(FixedAssets[Depreciation
/ Amortization Months],_xlfn.XMATCH($E$33,FixedAssets[Asset ID])),IF(AND((_xlfn.XMATCH(AS$8,$AH$8:$CC$8))-_xlfn.XMATCH($C79,$C$35:$C$82)+1&lt;=_xlpm.DepreciationMonths,$C79&lt;=AS$8),$E79/_xlpm.DepreciationMonths,0))</f>
        <v>0</v>
      </c>
      <c r="AT79" s="507" cm="1">
        <f t="array" ref="AT79">_xlfn.LET(_xlpm.DepreciationMonths,INDEX(FixedAssets[Depreciation
/ Amortization Months],_xlfn.XMATCH($E$33,FixedAssets[Asset ID])),IF(AND((_xlfn.XMATCH(AT$8,$AH$8:$CC$8))-_xlfn.XMATCH($C79,$C$35:$C$82)+1&lt;=_xlpm.DepreciationMonths,$C79&lt;=AT$8),$E79/_xlpm.DepreciationMonths,0))</f>
        <v>0</v>
      </c>
      <c r="AU79" s="507" cm="1">
        <f t="array" ref="AU79">_xlfn.LET(_xlpm.DepreciationMonths,INDEX(FixedAssets[Depreciation
/ Amortization Months],_xlfn.XMATCH($E$33,FixedAssets[Asset ID])),IF(AND((_xlfn.XMATCH(AU$8,$AH$8:$CC$8))-_xlfn.XMATCH($C79,$C$35:$C$82)+1&lt;=_xlpm.DepreciationMonths,$C79&lt;=AU$8),$E79/_xlpm.DepreciationMonths,0))</f>
        <v>0</v>
      </c>
      <c r="AV79" s="507" cm="1">
        <f t="array" ref="AV79">_xlfn.LET(_xlpm.DepreciationMonths,INDEX(FixedAssets[Depreciation
/ Amortization Months],_xlfn.XMATCH($E$33,FixedAssets[Asset ID])),IF(AND((_xlfn.XMATCH(AV$8,$AH$8:$CC$8))-_xlfn.XMATCH($C79,$C$35:$C$82)+1&lt;=_xlpm.DepreciationMonths,$C79&lt;=AV$8),$E79/_xlpm.DepreciationMonths,0))</f>
        <v>0</v>
      </c>
      <c r="AW79" s="507" cm="1">
        <f t="array" ref="AW79">_xlfn.LET(_xlpm.DepreciationMonths,INDEX(FixedAssets[Depreciation
/ Amortization Months],_xlfn.XMATCH($E$33,FixedAssets[Asset ID])),IF(AND((_xlfn.XMATCH(AW$8,$AH$8:$CC$8))-_xlfn.XMATCH($C79,$C$35:$C$82)+1&lt;=_xlpm.DepreciationMonths,$C79&lt;=AW$8),$E79/_xlpm.DepreciationMonths,0))</f>
        <v>0</v>
      </c>
      <c r="AX79" s="507" cm="1">
        <f t="array" ref="AX79">_xlfn.LET(_xlpm.DepreciationMonths,INDEX(FixedAssets[Depreciation
/ Amortization Months],_xlfn.XMATCH($E$33,FixedAssets[Asset ID])),IF(AND((_xlfn.XMATCH(AX$8,$AH$8:$CC$8))-_xlfn.XMATCH($C79,$C$35:$C$82)+1&lt;=_xlpm.DepreciationMonths,$C79&lt;=AX$8),$E79/_xlpm.DepreciationMonths,0))</f>
        <v>0</v>
      </c>
      <c r="AY79" s="507" cm="1">
        <f t="array" ref="AY79">_xlfn.LET(_xlpm.DepreciationMonths,INDEX(FixedAssets[Depreciation
/ Amortization Months],_xlfn.XMATCH($E$33,FixedAssets[Asset ID])),IF(AND((_xlfn.XMATCH(AY$8,$AH$8:$CC$8))-_xlfn.XMATCH($C79,$C$35:$C$82)+1&lt;=_xlpm.DepreciationMonths,$C79&lt;=AY$8),$E79/_xlpm.DepreciationMonths,0))</f>
        <v>0</v>
      </c>
      <c r="AZ79" s="507" cm="1">
        <f t="array" ref="AZ79">_xlfn.LET(_xlpm.DepreciationMonths,INDEX(FixedAssets[Depreciation
/ Amortization Months],_xlfn.XMATCH($E$33,FixedAssets[Asset ID])),IF(AND((_xlfn.XMATCH(AZ$8,$AH$8:$CC$8))-_xlfn.XMATCH($C79,$C$35:$C$82)+1&lt;=_xlpm.DepreciationMonths,$C79&lt;=AZ$8),$E79/_xlpm.DepreciationMonths,0))</f>
        <v>0</v>
      </c>
      <c r="BA79" s="507" cm="1">
        <f t="array" ref="BA79">_xlfn.LET(_xlpm.DepreciationMonths,INDEX(FixedAssets[Depreciation
/ Amortization Months],_xlfn.XMATCH($E$33,FixedAssets[Asset ID])),IF(AND((_xlfn.XMATCH(BA$8,$AH$8:$CC$8))-_xlfn.XMATCH($C79,$C$35:$C$82)+1&lt;=_xlpm.DepreciationMonths,$C79&lt;=BA$8),$E79/_xlpm.DepreciationMonths,0))</f>
        <v>0</v>
      </c>
      <c r="BB79" s="507" cm="1">
        <f t="array" ref="BB79">_xlfn.LET(_xlpm.DepreciationMonths,INDEX(FixedAssets[Depreciation
/ Amortization Months],_xlfn.XMATCH($E$33,FixedAssets[Asset ID])),IF(AND((_xlfn.XMATCH(BB$8,$AH$8:$CC$8))-_xlfn.XMATCH($C79,$C$35:$C$82)+1&lt;=_xlpm.DepreciationMonths,$C79&lt;=BB$8),$E79/_xlpm.DepreciationMonths,0))</f>
        <v>0</v>
      </c>
      <c r="BC79" s="507" cm="1">
        <f t="array" ref="BC79">_xlfn.LET(_xlpm.DepreciationMonths,INDEX(FixedAssets[Depreciation
/ Amortization Months],_xlfn.XMATCH($E$33,FixedAssets[Asset ID])),IF(AND((_xlfn.XMATCH(BC$8,$AH$8:$CC$8))-_xlfn.XMATCH($C79,$C$35:$C$82)+1&lt;=_xlpm.DepreciationMonths,$C79&lt;=BC$8),$E79/_xlpm.DepreciationMonths,0))</f>
        <v>0</v>
      </c>
      <c r="BD79" s="507" cm="1">
        <f t="array" ref="BD79">_xlfn.LET(_xlpm.DepreciationMonths,INDEX(FixedAssets[Depreciation
/ Amortization Months],_xlfn.XMATCH($E$33,FixedAssets[Asset ID])),IF(AND((_xlfn.XMATCH(BD$8,$AH$8:$CC$8))-_xlfn.XMATCH($C79,$C$35:$C$82)+1&lt;=_xlpm.DepreciationMonths,$C79&lt;=BD$8),$E79/_xlpm.DepreciationMonths,0))</f>
        <v>0</v>
      </c>
      <c r="BE79" s="507" cm="1">
        <f t="array" ref="BE79">_xlfn.LET(_xlpm.DepreciationMonths,INDEX(FixedAssets[Depreciation
/ Amortization Months],_xlfn.XMATCH($E$33,FixedAssets[Asset ID])),IF(AND((_xlfn.XMATCH(BE$8,$AH$8:$CC$8))-_xlfn.XMATCH($C79,$C$35:$C$82)+1&lt;=_xlpm.DepreciationMonths,$C79&lt;=BE$8),$E79/_xlpm.DepreciationMonths,0))</f>
        <v>0</v>
      </c>
      <c r="BF79" s="507" cm="1">
        <f t="array" ref="BF79">_xlfn.LET(_xlpm.DepreciationMonths,INDEX(FixedAssets[Depreciation
/ Amortization Months],_xlfn.XMATCH($E$33,FixedAssets[Asset ID])),IF(AND((_xlfn.XMATCH(BF$8,$AH$8:$CC$8))-_xlfn.XMATCH($C79,$C$35:$C$82)+1&lt;=_xlpm.DepreciationMonths,$C79&lt;=BF$8),$E79/_xlpm.DepreciationMonths,0))</f>
        <v>0</v>
      </c>
      <c r="BG79" s="507" cm="1">
        <f t="array" ref="BG79">_xlfn.LET(_xlpm.DepreciationMonths,INDEX(FixedAssets[Depreciation
/ Amortization Months],_xlfn.XMATCH($E$33,FixedAssets[Asset ID])),IF(AND((_xlfn.XMATCH(BG$8,$AH$8:$CC$8))-_xlfn.XMATCH($C79,$C$35:$C$82)+1&lt;=_xlpm.DepreciationMonths,$C79&lt;=BG$8),$E79/_xlpm.DepreciationMonths,0))</f>
        <v>0</v>
      </c>
      <c r="BH79" s="507" cm="1">
        <f t="array" ref="BH79">_xlfn.LET(_xlpm.DepreciationMonths,INDEX(FixedAssets[Depreciation
/ Amortization Months],_xlfn.XMATCH($E$33,FixedAssets[Asset ID])),IF(AND((_xlfn.XMATCH(BH$8,$AH$8:$CC$8))-_xlfn.XMATCH($C79,$C$35:$C$82)+1&lt;=_xlpm.DepreciationMonths,$C79&lt;=BH$8),$E79/_xlpm.DepreciationMonths,0))</f>
        <v>0</v>
      </c>
      <c r="BI79" s="507" cm="1">
        <f t="array" ref="BI79">_xlfn.LET(_xlpm.DepreciationMonths,INDEX(FixedAssets[Depreciation
/ Amortization Months],_xlfn.XMATCH($E$33,FixedAssets[Asset ID])),IF(AND((_xlfn.XMATCH(BI$8,$AH$8:$CC$8))-_xlfn.XMATCH($C79,$C$35:$C$82)+1&lt;=_xlpm.DepreciationMonths,$C79&lt;=BI$8),$E79/_xlpm.DepreciationMonths,0))</f>
        <v>0</v>
      </c>
      <c r="BJ79" s="507" cm="1">
        <f t="array" ref="BJ79">_xlfn.LET(_xlpm.DepreciationMonths,INDEX(FixedAssets[Depreciation
/ Amortization Months],_xlfn.XMATCH($E$33,FixedAssets[Asset ID])),IF(AND((_xlfn.XMATCH(BJ$8,$AH$8:$CC$8))-_xlfn.XMATCH($C79,$C$35:$C$82)+1&lt;=_xlpm.DepreciationMonths,$C79&lt;=BJ$8),$E79/_xlpm.DepreciationMonths,0))</f>
        <v>0</v>
      </c>
      <c r="BK79" s="507" cm="1">
        <f t="array" ref="BK79">_xlfn.LET(_xlpm.DepreciationMonths,INDEX(FixedAssets[Depreciation
/ Amortization Months],_xlfn.XMATCH($E$33,FixedAssets[Asset ID])),IF(AND((_xlfn.XMATCH(BK$8,$AH$8:$CC$8))-_xlfn.XMATCH($C79,$C$35:$C$82)+1&lt;=_xlpm.DepreciationMonths,$C79&lt;=BK$8),$E79/_xlpm.DepreciationMonths,0))</f>
        <v>0</v>
      </c>
      <c r="BL79" s="507" cm="1">
        <f t="array" ref="BL79">_xlfn.LET(_xlpm.DepreciationMonths,INDEX(FixedAssets[Depreciation
/ Amortization Months],_xlfn.XMATCH($E$33,FixedAssets[Asset ID])),IF(AND((_xlfn.XMATCH(BL$8,$AH$8:$CC$8))-_xlfn.XMATCH($C79,$C$35:$C$82)+1&lt;=_xlpm.DepreciationMonths,$C79&lt;=BL$8),$E79/_xlpm.DepreciationMonths,0))</f>
        <v>0</v>
      </c>
      <c r="BM79" s="507" cm="1">
        <f t="array" ref="BM79">_xlfn.LET(_xlpm.DepreciationMonths,INDEX(FixedAssets[Depreciation
/ Amortization Months],_xlfn.XMATCH($E$33,FixedAssets[Asset ID])),IF(AND((_xlfn.XMATCH(BM$8,$AH$8:$CC$8))-_xlfn.XMATCH($C79,$C$35:$C$82)+1&lt;=_xlpm.DepreciationMonths,$C79&lt;=BM$8),$E79/_xlpm.DepreciationMonths,0))</f>
        <v>0</v>
      </c>
      <c r="BN79" s="507" cm="1">
        <f t="array" ref="BN79">_xlfn.LET(_xlpm.DepreciationMonths,INDEX(FixedAssets[Depreciation
/ Amortization Months],_xlfn.XMATCH($E$33,FixedAssets[Asset ID])),IF(AND((_xlfn.XMATCH(BN$8,$AH$8:$CC$8))-_xlfn.XMATCH($C79,$C$35:$C$82)+1&lt;=_xlpm.DepreciationMonths,$C79&lt;=BN$8),$E79/_xlpm.DepreciationMonths,0))</f>
        <v>0</v>
      </c>
      <c r="BO79" s="507" cm="1">
        <f t="array" ref="BO79">_xlfn.LET(_xlpm.DepreciationMonths,INDEX(FixedAssets[Depreciation
/ Amortization Months],_xlfn.XMATCH($E$33,FixedAssets[Asset ID])),IF(AND((_xlfn.XMATCH(BO$8,$AH$8:$CC$8))-_xlfn.XMATCH($C79,$C$35:$C$82)+1&lt;=_xlpm.DepreciationMonths,$C79&lt;=BO$8),$E79/_xlpm.DepreciationMonths,0))</f>
        <v>0</v>
      </c>
      <c r="BP79" s="507" cm="1">
        <f t="array" ref="BP79">_xlfn.LET(_xlpm.DepreciationMonths,INDEX(FixedAssets[Depreciation
/ Amortization Months],_xlfn.XMATCH($E$33,FixedAssets[Asset ID])),IF(AND((_xlfn.XMATCH(BP$8,$AH$8:$CC$8))-_xlfn.XMATCH($C79,$C$35:$C$82)+1&lt;=_xlpm.DepreciationMonths,$C79&lt;=BP$8),$E79/_xlpm.DepreciationMonths,0))</f>
        <v>0</v>
      </c>
      <c r="BQ79" s="507" cm="1">
        <f t="array" ref="BQ79">_xlfn.LET(_xlpm.DepreciationMonths,INDEX(FixedAssets[Depreciation
/ Amortization Months],_xlfn.XMATCH($E$33,FixedAssets[Asset ID])),IF(AND((_xlfn.XMATCH(BQ$8,$AH$8:$CC$8))-_xlfn.XMATCH($C79,$C$35:$C$82)+1&lt;=_xlpm.DepreciationMonths,$C79&lt;=BQ$8),$E79/_xlpm.DepreciationMonths,0))</f>
        <v>0</v>
      </c>
      <c r="BR79" s="507" cm="1">
        <f t="array" ref="BR79">_xlfn.LET(_xlpm.DepreciationMonths,INDEX(FixedAssets[Depreciation
/ Amortization Months],_xlfn.XMATCH($E$33,FixedAssets[Asset ID])),IF(AND((_xlfn.XMATCH(BR$8,$AH$8:$CC$8))-_xlfn.XMATCH($C79,$C$35:$C$82)+1&lt;=_xlpm.DepreciationMonths,$C79&lt;=BR$8),$E79/_xlpm.DepreciationMonths,0))</f>
        <v>0</v>
      </c>
      <c r="BS79" s="507" cm="1">
        <f t="array" ref="BS79">_xlfn.LET(_xlpm.DepreciationMonths,INDEX(FixedAssets[Depreciation
/ Amortization Months],_xlfn.XMATCH($E$33,FixedAssets[Asset ID])),IF(AND((_xlfn.XMATCH(BS$8,$AH$8:$CC$8))-_xlfn.XMATCH($C79,$C$35:$C$82)+1&lt;=_xlpm.DepreciationMonths,$C79&lt;=BS$8),$E79/_xlpm.DepreciationMonths,0))</f>
        <v>0</v>
      </c>
      <c r="BT79" s="507" cm="1">
        <f t="array" ref="BT79">_xlfn.LET(_xlpm.DepreciationMonths,INDEX(FixedAssets[Depreciation
/ Amortization Months],_xlfn.XMATCH($E$33,FixedAssets[Asset ID])),IF(AND((_xlfn.XMATCH(BT$8,$AH$8:$CC$8))-_xlfn.XMATCH($C79,$C$35:$C$82)+1&lt;=_xlpm.DepreciationMonths,$C79&lt;=BT$8),$E79/_xlpm.DepreciationMonths,0))</f>
        <v>0</v>
      </c>
      <c r="BU79" s="507" cm="1">
        <f t="array" ref="BU79">_xlfn.LET(_xlpm.DepreciationMonths,INDEX(FixedAssets[Depreciation
/ Amortization Months],_xlfn.XMATCH($E$33,FixedAssets[Asset ID])),IF(AND((_xlfn.XMATCH(BU$8,$AH$8:$CC$8))-_xlfn.XMATCH($C79,$C$35:$C$82)+1&lt;=_xlpm.DepreciationMonths,$C79&lt;=BU$8),$E79/_xlpm.DepreciationMonths,0))</f>
        <v>0</v>
      </c>
      <c r="BV79" s="507" cm="1">
        <f t="array" ref="BV79">_xlfn.LET(_xlpm.DepreciationMonths,INDEX(FixedAssets[Depreciation
/ Amortization Months],_xlfn.XMATCH($E$33,FixedAssets[Asset ID])),IF(AND((_xlfn.XMATCH(BV$8,$AH$8:$CC$8))-_xlfn.XMATCH($C79,$C$35:$C$82)+1&lt;=_xlpm.DepreciationMonths,$C79&lt;=BV$8),$E79/_xlpm.DepreciationMonths,0))</f>
        <v>0</v>
      </c>
      <c r="BW79" s="507" cm="1">
        <f t="array" ref="BW79">_xlfn.LET(_xlpm.DepreciationMonths,INDEX(FixedAssets[Depreciation
/ Amortization Months],_xlfn.XMATCH($E$33,FixedAssets[Asset ID])),IF(AND((_xlfn.XMATCH(BW$8,$AH$8:$CC$8))-_xlfn.XMATCH($C79,$C$35:$C$82)+1&lt;=_xlpm.DepreciationMonths,$C79&lt;=BW$8),$E79/_xlpm.DepreciationMonths,0))</f>
        <v>0</v>
      </c>
      <c r="BX79" s="507" cm="1">
        <f t="array" ref="BX79">_xlfn.LET(_xlpm.DepreciationMonths,INDEX(FixedAssets[Depreciation
/ Amortization Months],_xlfn.XMATCH($E$33,FixedAssets[Asset ID])),IF(AND((_xlfn.XMATCH(BX$8,$AH$8:$CC$8))-_xlfn.XMATCH($C79,$C$35:$C$82)+1&lt;=_xlpm.DepreciationMonths,$C79&lt;=BX$8),$E79/_xlpm.DepreciationMonths,0))</f>
        <v>0</v>
      </c>
      <c r="BY79" s="507" cm="1">
        <f t="array" ref="BY79">_xlfn.LET(_xlpm.DepreciationMonths,INDEX(FixedAssets[Depreciation
/ Amortization Months],_xlfn.XMATCH($E$33,FixedAssets[Asset ID])),IF(AND((_xlfn.XMATCH(BY$8,$AH$8:$CC$8))-_xlfn.XMATCH($C79,$C$35:$C$82)+1&lt;=_xlpm.DepreciationMonths,$C79&lt;=BY$8),$E79/_xlpm.DepreciationMonths,0))</f>
        <v>0</v>
      </c>
      <c r="BZ79" s="507" cm="1">
        <f t="array" ref="BZ79">_xlfn.LET(_xlpm.DepreciationMonths,INDEX(FixedAssets[Depreciation
/ Amortization Months],_xlfn.XMATCH($E$33,FixedAssets[Asset ID])),IF(AND((_xlfn.XMATCH(BZ$8,$AH$8:$CC$8))-_xlfn.XMATCH($C79,$C$35:$C$82)+1&lt;=_xlpm.DepreciationMonths,$C79&lt;=BZ$8),$E79/_xlpm.DepreciationMonths,0))</f>
        <v>0</v>
      </c>
      <c r="CA79" s="507" cm="1">
        <f t="array" ref="CA79">_xlfn.LET(_xlpm.DepreciationMonths,INDEX(FixedAssets[Depreciation
/ Amortization Months],_xlfn.XMATCH($E$33,FixedAssets[Asset ID])),IF(AND((_xlfn.XMATCH(CA$8,$AH$8:$CC$8))-_xlfn.XMATCH($C79,$C$35:$C$82)+1&lt;=_xlpm.DepreciationMonths,$C79&lt;=CA$8),$E79/_xlpm.DepreciationMonths,0))</f>
        <v>0</v>
      </c>
      <c r="CB79" s="507" cm="1">
        <f t="array" ref="CB79">_xlfn.LET(_xlpm.DepreciationMonths,INDEX(FixedAssets[Depreciation
/ Amortization Months],_xlfn.XMATCH($E$33,FixedAssets[Asset ID])),IF(AND((_xlfn.XMATCH(CB$8,$AH$8:$CC$8))-_xlfn.XMATCH($C79,$C$35:$C$82)+1&lt;=_xlpm.DepreciationMonths,$C79&lt;=CB$8),$E79/_xlpm.DepreciationMonths,0))</f>
        <v>0</v>
      </c>
      <c r="CC79" s="507" cm="1">
        <f t="array" ref="CC79">_xlfn.LET(_xlpm.DepreciationMonths,INDEX(FixedAssets[Depreciation
/ Amortization Months],_xlfn.XMATCH($E$33,FixedAssets[Asset ID])),IF(AND((_xlfn.XMATCH(CC$8,$AH$8:$CC$8))-_xlfn.XMATCH($C79,$C$35:$C$82)+1&lt;=_xlpm.DepreciationMonths,$C79&lt;=CC$8),$E79/_xlpm.DepreciationMonths,0))</f>
        <v>0</v>
      </c>
    </row>
    <row r="80" spans="3:81" hidden="1" outlineLevel="2">
      <c r="C80" s="664">
        <f t="shared" si="91"/>
        <v>46326</v>
      </c>
      <c r="D80" s="508"/>
      <c r="E80" s="508" cm="1">
        <f t="array" ref="E80">SUMPRODUCT(($AH$26:$CC$31)*($AH$5:$CC$5=$C80)*($E$26:$E$31=E$33))-SUMPRODUCT(($AH$26:$CC$31)*($AH$5:$CC$5=EOMONTH($C80,-1))*($E$26:$E$31=E$33))</f>
        <v>0</v>
      </c>
      <c r="F80" s="508"/>
      <c r="G80" s="508"/>
      <c r="H80" s="508"/>
      <c r="I80" s="508"/>
      <c r="J80" s="504">
        <f t="shared" si="88"/>
        <v>0</v>
      </c>
      <c r="K80" s="504">
        <f t="shared" si="96"/>
        <v>0</v>
      </c>
      <c r="L80" s="504">
        <f t="shared" si="96"/>
        <v>0</v>
      </c>
      <c r="M80" s="504">
        <f t="shared" si="96"/>
        <v>0</v>
      </c>
      <c r="N80" s="504"/>
      <c r="O80" s="504"/>
      <c r="P80" s="504">
        <f t="shared" si="97"/>
        <v>0</v>
      </c>
      <c r="Q80" s="504">
        <f t="shared" si="97"/>
        <v>0</v>
      </c>
      <c r="R80" s="504">
        <f t="shared" si="97"/>
        <v>0</v>
      </c>
      <c r="S80" s="504">
        <f t="shared" si="97"/>
        <v>0</v>
      </c>
      <c r="T80" s="504">
        <f t="shared" si="97"/>
        <v>0</v>
      </c>
      <c r="U80" s="504">
        <f t="shared" si="97"/>
        <v>0</v>
      </c>
      <c r="V80" s="504">
        <f t="shared" si="97"/>
        <v>0</v>
      </c>
      <c r="W80" s="504">
        <f t="shared" si="97"/>
        <v>0</v>
      </c>
      <c r="X80" s="504">
        <f t="shared" si="97"/>
        <v>0</v>
      </c>
      <c r="Y80" s="504">
        <f t="shared" si="97"/>
        <v>0</v>
      </c>
      <c r="Z80" s="504">
        <f t="shared" si="97"/>
        <v>0</v>
      </c>
      <c r="AA80" s="504">
        <f t="shared" si="97"/>
        <v>0</v>
      </c>
      <c r="AB80" s="504">
        <f t="shared" si="97"/>
        <v>0</v>
      </c>
      <c r="AC80" s="504">
        <f t="shared" si="97"/>
        <v>0</v>
      </c>
      <c r="AD80" s="504">
        <f t="shared" si="97"/>
        <v>0</v>
      </c>
      <c r="AE80" s="504">
        <f t="shared" si="97"/>
        <v>0</v>
      </c>
      <c r="AF80" s="508"/>
      <c r="AG80" s="508"/>
      <c r="AH80" s="507" cm="1">
        <f t="array" ref="AH80">_xlfn.LET(_xlpm.DepreciationMonths,INDEX(FixedAssets[Depreciation
/ Amortization Months],_xlfn.XMATCH($E$33,FixedAssets[Asset ID])),IF(AND((_xlfn.XMATCH(AH$8,$AH$8:$CC$8))-_xlfn.XMATCH($C80,$C$35:$C$82)+1&lt;=_xlpm.DepreciationMonths,$C80&lt;=AH$8),$E80/_xlpm.DepreciationMonths,0))</f>
        <v>0</v>
      </c>
      <c r="AI80" s="507" cm="1">
        <f t="array" ref="AI80">_xlfn.LET(_xlpm.DepreciationMonths,INDEX(FixedAssets[Depreciation
/ Amortization Months],_xlfn.XMATCH($E$33,FixedAssets[Asset ID])),IF(AND((_xlfn.XMATCH(AI$8,$AH$8:$CC$8))-_xlfn.XMATCH($C80,$C$35:$C$82)+1&lt;=_xlpm.DepreciationMonths,$C80&lt;=AI$8),$E80/_xlpm.DepreciationMonths,0))</f>
        <v>0</v>
      </c>
      <c r="AJ80" s="507" cm="1">
        <f t="array" ref="AJ80">_xlfn.LET(_xlpm.DepreciationMonths,INDEX(FixedAssets[Depreciation
/ Amortization Months],_xlfn.XMATCH($E$33,FixedAssets[Asset ID])),IF(AND((_xlfn.XMATCH(AJ$8,$AH$8:$CC$8))-_xlfn.XMATCH($C80,$C$35:$C$82)+1&lt;=_xlpm.DepreciationMonths,$C80&lt;=AJ$8),$E80/_xlpm.DepreciationMonths,0))</f>
        <v>0</v>
      </c>
      <c r="AK80" s="507" cm="1">
        <f t="array" ref="AK80">_xlfn.LET(_xlpm.DepreciationMonths,INDEX(FixedAssets[Depreciation
/ Amortization Months],_xlfn.XMATCH($E$33,FixedAssets[Asset ID])),IF(AND((_xlfn.XMATCH(AK$8,$AH$8:$CC$8))-_xlfn.XMATCH($C80,$C$35:$C$82)+1&lt;=_xlpm.DepreciationMonths,$C80&lt;=AK$8),$E80/_xlpm.DepreciationMonths,0))</f>
        <v>0</v>
      </c>
      <c r="AL80" s="507" cm="1">
        <f t="array" ref="AL80">_xlfn.LET(_xlpm.DepreciationMonths,INDEX(FixedAssets[Depreciation
/ Amortization Months],_xlfn.XMATCH($E$33,FixedAssets[Asset ID])),IF(AND((_xlfn.XMATCH(AL$8,$AH$8:$CC$8))-_xlfn.XMATCH($C80,$C$35:$C$82)+1&lt;=_xlpm.DepreciationMonths,$C80&lt;=AL$8),$E80/_xlpm.DepreciationMonths,0))</f>
        <v>0</v>
      </c>
      <c r="AM80" s="507" cm="1">
        <f t="array" ref="AM80">_xlfn.LET(_xlpm.DepreciationMonths,INDEX(FixedAssets[Depreciation
/ Amortization Months],_xlfn.XMATCH($E$33,FixedAssets[Asset ID])),IF(AND((_xlfn.XMATCH(AM$8,$AH$8:$CC$8))-_xlfn.XMATCH($C80,$C$35:$C$82)+1&lt;=_xlpm.DepreciationMonths,$C80&lt;=AM$8),$E80/_xlpm.DepreciationMonths,0))</f>
        <v>0</v>
      </c>
      <c r="AN80" s="507" cm="1">
        <f t="array" ref="AN80">_xlfn.LET(_xlpm.DepreciationMonths,INDEX(FixedAssets[Depreciation
/ Amortization Months],_xlfn.XMATCH($E$33,FixedAssets[Asset ID])),IF(AND((_xlfn.XMATCH(AN$8,$AH$8:$CC$8))-_xlfn.XMATCH($C80,$C$35:$C$82)+1&lt;=_xlpm.DepreciationMonths,$C80&lt;=AN$8),$E80/_xlpm.DepreciationMonths,0))</f>
        <v>0</v>
      </c>
      <c r="AO80" s="507" cm="1">
        <f t="array" ref="AO80">_xlfn.LET(_xlpm.DepreciationMonths,INDEX(FixedAssets[Depreciation
/ Amortization Months],_xlfn.XMATCH($E$33,FixedAssets[Asset ID])),IF(AND((_xlfn.XMATCH(AO$8,$AH$8:$CC$8))-_xlfn.XMATCH($C80,$C$35:$C$82)+1&lt;=_xlpm.DepreciationMonths,$C80&lt;=AO$8),$E80/_xlpm.DepreciationMonths,0))</f>
        <v>0</v>
      </c>
      <c r="AP80" s="507" cm="1">
        <f t="array" ref="AP80">_xlfn.LET(_xlpm.DepreciationMonths,INDEX(FixedAssets[Depreciation
/ Amortization Months],_xlfn.XMATCH($E$33,FixedAssets[Asset ID])),IF(AND((_xlfn.XMATCH(AP$8,$AH$8:$CC$8))-_xlfn.XMATCH($C80,$C$35:$C$82)+1&lt;=_xlpm.DepreciationMonths,$C80&lt;=AP$8),$E80/_xlpm.DepreciationMonths,0))</f>
        <v>0</v>
      </c>
      <c r="AQ80" s="507" cm="1">
        <f t="array" ref="AQ80">_xlfn.LET(_xlpm.DepreciationMonths,INDEX(FixedAssets[Depreciation
/ Amortization Months],_xlfn.XMATCH($E$33,FixedAssets[Asset ID])),IF(AND((_xlfn.XMATCH(AQ$8,$AH$8:$CC$8))-_xlfn.XMATCH($C80,$C$35:$C$82)+1&lt;=_xlpm.DepreciationMonths,$C80&lt;=AQ$8),$E80/_xlpm.DepreciationMonths,0))</f>
        <v>0</v>
      </c>
      <c r="AR80" s="507" cm="1">
        <f t="array" ref="AR80">_xlfn.LET(_xlpm.DepreciationMonths,INDEX(FixedAssets[Depreciation
/ Amortization Months],_xlfn.XMATCH($E$33,FixedAssets[Asset ID])),IF(AND((_xlfn.XMATCH(AR$8,$AH$8:$CC$8))-_xlfn.XMATCH($C80,$C$35:$C$82)+1&lt;=_xlpm.DepreciationMonths,$C80&lt;=AR$8),$E80/_xlpm.DepreciationMonths,0))</f>
        <v>0</v>
      </c>
      <c r="AS80" s="507" cm="1">
        <f t="array" ref="AS80">_xlfn.LET(_xlpm.DepreciationMonths,INDEX(FixedAssets[Depreciation
/ Amortization Months],_xlfn.XMATCH($E$33,FixedAssets[Asset ID])),IF(AND((_xlfn.XMATCH(AS$8,$AH$8:$CC$8))-_xlfn.XMATCH($C80,$C$35:$C$82)+1&lt;=_xlpm.DepreciationMonths,$C80&lt;=AS$8),$E80/_xlpm.DepreciationMonths,0))</f>
        <v>0</v>
      </c>
      <c r="AT80" s="507" cm="1">
        <f t="array" ref="AT80">_xlfn.LET(_xlpm.DepreciationMonths,INDEX(FixedAssets[Depreciation
/ Amortization Months],_xlfn.XMATCH($E$33,FixedAssets[Asset ID])),IF(AND((_xlfn.XMATCH(AT$8,$AH$8:$CC$8))-_xlfn.XMATCH($C80,$C$35:$C$82)+1&lt;=_xlpm.DepreciationMonths,$C80&lt;=AT$8),$E80/_xlpm.DepreciationMonths,0))</f>
        <v>0</v>
      </c>
      <c r="AU80" s="507" cm="1">
        <f t="array" ref="AU80">_xlfn.LET(_xlpm.DepreciationMonths,INDEX(FixedAssets[Depreciation
/ Amortization Months],_xlfn.XMATCH($E$33,FixedAssets[Asset ID])),IF(AND((_xlfn.XMATCH(AU$8,$AH$8:$CC$8))-_xlfn.XMATCH($C80,$C$35:$C$82)+1&lt;=_xlpm.DepreciationMonths,$C80&lt;=AU$8),$E80/_xlpm.DepreciationMonths,0))</f>
        <v>0</v>
      </c>
      <c r="AV80" s="507" cm="1">
        <f t="array" ref="AV80">_xlfn.LET(_xlpm.DepreciationMonths,INDEX(FixedAssets[Depreciation
/ Amortization Months],_xlfn.XMATCH($E$33,FixedAssets[Asset ID])),IF(AND((_xlfn.XMATCH(AV$8,$AH$8:$CC$8))-_xlfn.XMATCH($C80,$C$35:$C$82)+1&lt;=_xlpm.DepreciationMonths,$C80&lt;=AV$8),$E80/_xlpm.DepreciationMonths,0))</f>
        <v>0</v>
      </c>
      <c r="AW80" s="507" cm="1">
        <f t="array" ref="AW80">_xlfn.LET(_xlpm.DepreciationMonths,INDEX(FixedAssets[Depreciation
/ Amortization Months],_xlfn.XMATCH($E$33,FixedAssets[Asset ID])),IF(AND((_xlfn.XMATCH(AW$8,$AH$8:$CC$8))-_xlfn.XMATCH($C80,$C$35:$C$82)+1&lt;=_xlpm.DepreciationMonths,$C80&lt;=AW$8),$E80/_xlpm.DepreciationMonths,0))</f>
        <v>0</v>
      </c>
      <c r="AX80" s="507" cm="1">
        <f t="array" ref="AX80">_xlfn.LET(_xlpm.DepreciationMonths,INDEX(FixedAssets[Depreciation
/ Amortization Months],_xlfn.XMATCH($E$33,FixedAssets[Asset ID])),IF(AND((_xlfn.XMATCH(AX$8,$AH$8:$CC$8))-_xlfn.XMATCH($C80,$C$35:$C$82)+1&lt;=_xlpm.DepreciationMonths,$C80&lt;=AX$8),$E80/_xlpm.DepreciationMonths,0))</f>
        <v>0</v>
      </c>
      <c r="AY80" s="507" cm="1">
        <f t="array" ref="AY80">_xlfn.LET(_xlpm.DepreciationMonths,INDEX(FixedAssets[Depreciation
/ Amortization Months],_xlfn.XMATCH($E$33,FixedAssets[Asset ID])),IF(AND((_xlfn.XMATCH(AY$8,$AH$8:$CC$8))-_xlfn.XMATCH($C80,$C$35:$C$82)+1&lt;=_xlpm.DepreciationMonths,$C80&lt;=AY$8),$E80/_xlpm.DepreciationMonths,0))</f>
        <v>0</v>
      </c>
      <c r="AZ80" s="507" cm="1">
        <f t="array" ref="AZ80">_xlfn.LET(_xlpm.DepreciationMonths,INDEX(FixedAssets[Depreciation
/ Amortization Months],_xlfn.XMATCH($E$33,FixedAssets[Asset ID])),IF(AND((_xlfn.XMATCH(AZ$8,$AH$8:$CC$8))-_xlfn.XMATCH($C80,$C$35:$C$82)+1&lt;=_xlpm.DepreciationMonths,$C80&lt;=AZ$8),$E80/_xlpm.DepreciationMonths,0))</f>
        <v>0</v>
      </c>
      <c r="BA80" s="507" cm="1">
        <f t="array" ref="BA80">_xlfn.LET(_xlpm.DepreciationMonths,INDEX(FixedAssets[Depreciation
/ Amortization Months],_xlfn.XMATCH($E$33,FixedAssets[Asset ID])),IF(AND((_xlfn.XMATCH(BA$8,$AH$8:$CC$8))-_xlfn.XMATCH($C80,$C$35:$C$82)+1&lt;=_xlpm.DepreciationMonths,$C80&lt;=BA$8),$E80/_xlpm.DepreciationMonths,0))</f>
        <v>0</v>
      </c>
      <c r="BB80" s="507" cm="1">
        <f t="array" ref="BB80">_xlfn.LET(_xlpm.DepreciationMonths,INDEX(FixedAssets[Depreciation
/ Amortization Months],_xlfn.XMATCH($E$33,FixedAssets[Asset ID])),IF(AND((_xlfn.XMATCH(BB$8,$AH$8:$CC$8))-_xlfn.XMATCH($C80,$C$35:$C$82)+1&lt;=_xlpm.DepreciationMonths,$C80&lt;=BB$8),$E80/_xlpm.DepreciationMonths,0))</f>
        <v>0</v>
      </c>
      <c r="BC80" s="507" cm="1">
        <f t="array" ref="BC80">_xlfn.LET(_xlpm.DepreciationMonths,INDEX(FixedAssets[Depreciation
/ Amortization Months],_xlfn.XMATCH($E$33,FixedAssets[Asset ID])),IF(AND((_xlfn.XMATCH(BC$8,$AH$8:$CC$8))-_xlfn.XMATCH($C80,$C$35:$C$82)+1&lt;=_xlpm.DepreciationMonths,$C80&lt;=BC$8),$E80/_xlpm.DepreciationMonths,0))</f>
        <v>0</v>
      </c>
      <c r="BD80" s="507" cm="1">
        <f t="array" ref="BD80">_xlfn.LET(_xlpm.DepreciationMonths,INDEX(FixedAssets[Depreciation
/ Amortization Months],_xlfn.XMATCH($E$33,FixedAssets[Asset ID])),IF(AND((_xlfn.XMATCH(BD$8,$AH$8:$CC$8))-_xlfn.XMATCH($C80,$C$35:$C$82)+1&lt;=_xlpm.DepreciationMonths,$C80&lt;=BD$8),$E80/_xlpm.DepreciationMonths,0))</f>
        <v>0</v>
      </c>
      <c r="BE80" s="507" cm="1">
        <f t="array" ref="BE80">_xlfn.LET(_xlpm.DepreciationMonths,INDEX(FixedAssets[Depreciation
/ Amortization Months],_xlfn.XMATCH($E$33,FixedAssets[Asset ID])),IF(AND((_xlfn.XMATCH(BE$8,$AH$8:$CC$8))-_xlfn.XMATCH($C80,$C$35:$C$82)+1&lt;=_xlpm.DepreciationMonths,$C80&lt;=BE$8),$E80/_xlpm.DepreciationMonths,0))</f>
        <v>0</v>
      </c>
      <c r="BF80" s="507" cm="1">
        <f t="array" ref="BF80">_xlfn.LET(_xlpm.DepreciationMonths,INDEX(FixedAssets[Depreciation
/ Amortization Months],_xlfn.XMATCH($E$33,FixedAssets[Asset ID])),IF(AND((_xlfn.XMATCH(BF$8,$AH$8:$CC$8))-_xlfn.XMATCH($C80,$C$35:$C$82)+1&lt;=_xlpm.DepreciationMonths,$C80&lt;=BF$8),$E80/_xlpm.DepreciationMonths,0))</f>
        <v>0</v>
      </c>
      <c r="BG80" s="507" cm="1">
        <f t="array" ref="BG80">_xlfn.LET(_xlpm.DepreciationMonths,INDEX(FixedAssets[Depreciation
/ Amortization Months],_xlfn.XMATCH($E$33,FixedAssets[Asset ID])),IF(AND((_xlfn.XMATCH(BG$8,$AH$8:$CC$8))-_xlfn.XMATCH($C80,$C$35:$C$82)+1&lt;=_xlpm.DepreciationMonths,$C80&lt;=BG$8),$E80/_xlpm.DepreciationMonths,0))</f>
        <v>0</v>
      </c>
      <c r="BH80" s="507" cm="1">
        <f t="array" ref="BH80">_xlfn.LET(_xlpm.DepreciationMonths,INDEX(FixedAssets[Depreciation
/ Amortization Months],_xlfn.XMATCH($E$33,FixedAssets[Asset ID])),IF(AND((_xlfn.XMATCH(BH$8,$AH$8:$CC$8))-_xlfn.XMATCH($C80,$C$35:$C$82)+1&lt;=_xlpm.DepreciationMonths,$C80&lt;=BH$8),$E80/_xlpm.DepreciationMonths,0))</f>
        <v>0</v>
      </c>
      <c r="BI80" s="507" cm="1">
        <f t="array" ref="BI80">_xlfn.LET(_xlpm.DepreciationMonths,INDEX(FixedAssets[Depreciation
/ Amortization Months],_xlfn.XMATCH($E$33,FixedAssets[Asset ID])),IF(AND((_xlfn.XMATCH(BI$8,$AH$8:$CC$8))-_xlfn.XMATCH($C80,$C$35:$C$82)+1&lt;=_xlpm.DepreciationMonths,$C80&lt;=BI$8),$E80/_xlpm.DepreciationMonths,0))</f>
        <v>0</v>
      </c>
      <c r="BJ80" s="507" cm="1">
        <f t="array" ref="BJ80">_xlfn.LET(_xlpm.DepreciationMonths,INDEX(FixedAssets[Depreciation
/ Amortization Months],_xlfn.XMATCH($E$33,FixedAssets[Asset ID])),IF(AND((_xlfn.XMATCH(BJ$8,$AH$8:$CC$8))-_xlfn.XMATCH($C80,$C$35:$C$82)+1&lt;=_xlpm.DepreciationMonths,$C80&lt;=BJ$8),$E80/_xlpm.DepreciationMonths,0))</f>
        <v>0</v>
      </c>
      <c r="BK80" s="507" cm="1">
        <f t="array" ref="BK80">_xlfn.LET(_xlpm.DepreciationMonths,INDEX(FixedAssets[Depreciation
/ Amortization Months],_xlfn.XMATCH($E$33,FixedAssets[Asset ID])),IF(AND((_xlfn.XMATCH(BK$8,$AH$8:$CC$8))-_xlfn.XMATCH($C80,$C$35:$C$82)+1&lt;=_xlpm.DepreciationMonths,$C80&lt;=BK$8),$E80/_xlpm.DepreciationMonths,0))</f>
        <v>0</v>
      </c>
      <c r="BL80" s="507" cm="1">
        <f t="array" ref="BL80">_xlfn.LET(_xlpm.DepreciationMonths,INDEX(FixedAssets[Depreciation
/ Amortization Months],_xlfn.XMATCH($E$33,FixedAssets[Asset ID])),IF(AND((_xlfn.XMATCH(BL$8,$AH$8:$CC$8))-_xlfn.XMATCH($C80,$C$35:$C$82)+1&lt;=_xlpm.DepreciationMonths,$C80&lt;=BL$8),$E80/_xlpm.DepreciationMonths,0))</f>
        <v>0</v>
      </c>
      <c r="BM80" s="507" cm="1">
        <f t="array" ref="BM80">_xlfn.LET(_xlpm.DepreciationMonths,INDEX(FixedAssets[Depreciation
/ Amortization Months],_xlfn.XMATCH($E$33,FixedAssets[Asset ID])),IF(AND((_xlfn.XMATCH(BM$8,$AH$8:$CC$8))-_xlfn.XMATCH($C80,$C$35:$C$82)+1&lt;=_xlpm.DepreciationMonths,$C80&lt;=BM$8),$E80/_xlpm.DepreciationMonths,0))</f>
        <v>0</v>
      </c>
      <c r="BN80" s="507" cm="1">
        <f t="array" ref="BN80">_xlfn.LET(_xlpm.DepreciationMonths,INDEX(FixedAssets[Depreciation
/ Amortization Months],_xlfn.XMATCH($E$33,FixedAssets[Asset ID])),IF(AND((_xlfn.XMATCH(BN$8,$AH$8:$CC$8))-_xlfn.XMATCH($C80,$C$35:$C$82)+1&lt;=_xlpm.DepreciationMonths,$C80&lt;=BN$8),$E80/_xlpm.DepreciationMonths,0))</f>
        <v>0</v>
      </c>
      <c r="BO80" s="507" cm="1">
        <f t="array" ref="BO80">_xlfn.LET(_xlpm.DepreciationMonths,INDEX(FixedAssets[Depreciation
/ Amortization Months],_xlfn.XMATCH($E$33,FixedAssets[Asset ID])),IF(AND((_xlfn.XMATCH(BO$8,$AH$8:$CC$8))-_xlfn.XMATCH($C80,$C$35:$C$82)+1&lt;=_xlpm.DepreciationMonths,$C80&lt;=BO$8),$E80/_xlpm.DepreciationMonths,0))</f>
        <v>0</v>
      </c>
      <c r="BP80" s="507" cm="1">
        <f t="array" ref="BP80">_xlfn.LET(_xlpm.DepreciationMonths,INDEX(FixedAssets[Depreciation
/ Amortization Months],_xlfn.XMATCH($E$33,FixedAssets[Asset ID])),IF(AND((_xlfn.XMATCH(BP$8,$AH$8:$CC$8))-_xlfn.XMATCH($C80,$C$35:$C$82)+1&lt;=_xlpm.DepreciationMonths,$C80&lt;=BP$8),$E80/_xlpm.DepreciationMonths,0))</f>
        <v>0</v>
      </c>
      <c r="BQ80" s="507" cm="1">
        <f t="array" ref="BQ80">_xlfn.LET(_xlpm.DepreciationMonths,INDEX(FixedAssets[Depreciation
/ Amortization Months],_xlfn.XMATCH($E$33,FixedAssets[Asset ID])),IF(AND((_xlfn.XMATCH(BQ$8,$AH$8:$CC$8))-_xlfn.XMATCH($C80,$C$35:$C$82)+1&lt;=_xlpm.DepreciationMonths,$C80&lt;=BQ$8),$E80/_xlpm.DepreciationMonths,0))</f>
        <v>0</v>
      </c>
      <c r="BR80" s="507" cm="1">
        <f t="array" ref="BR80">_xlfn.LET(_xlpm.DepreciationMonths,INDEX(FixedAssets[Depreciation
/ Amortization Months],_xlfn.XMATCH($E$33,FixedAssets[Asset ID])),IF(AND((_xlfn.XMATCH(BR$8,$AH$8:$CC$8))-_xlfn.XMATCH($C80,$C$35:$C$82)+1&lt;=_xlpm.DepreciationMonths,$C80&lt;=BR$8),$E80/_xlpm.DepreciationMonths,0))</f>
        <v>0</v>
      </c>
      <c r="BS80" s="507" cm="1">
        <f t="array" ref="BS80">_xlfn.LET(_xlpm.DepreciationMonths,INDEX(FixedAssets[Depreciation
/ Amortization Months],_xlfn.XMATCH($E$33,FixedAssets[Asset ID])),IF(AND((_xlfn.XMATCH(BS$8,$AH$8:$CC$8))-_xlfn.XMATCH($C80,$C$35:$C$82)+1&lt;=_xlpm.DepreciationMonths,$C80&lt;=BS$8),$E80/_xlpm.DepreciationMonths,0))</f>
        <v>0</v>
      </c>
      <c r="BT80" s="507" cm="1">
        <f t="array" ref="BT80">_xlfn.LET(_xlpm.DepreciationMonths,INDEX(FixedAssets[Depreciation
/ Amortization Months],_xlfn.XMATCH($E$33,FixedAssets[Asset ID])),IF(AND((_xlfn.XMATCH(BT$8,$AH$8:$CC$8))-_xlfn.XMATCH($C80,$C$35:$C$82)+1&lt;=_xlpm.DepreciationMonths,$C80&lt;=BT$8),$E80/_xlpm.DepreciationMonths,0))</f>
        <v>0</v>
      </c>
      <c r="BU80" s="507" cm="1">
        <f t="array" ref="BU80">_xlfn.LET(_xlpm.DepreciationMonths,INDEX(FixedAssets[Depreciation
/ Amortization Months],_xlfn.XMATCH($E$33,FixedAssets[Asset ID])),IF(AND((_xlfn.XMATCH(BU$8,$AH$8:$CC$8))-_xlfn.XMATCH($C80,$C$35:$C$82)+1&lt;=_xlpm.DepreciationMonths,$C80&lt;=BU$8),$E80/_xlpm.DepreciationMonths,0))</f>
        <v>0</v>
      </c>
      <c r="BV80" s="507" cm="1">
        <f t="array" ref="BV80">_xlfn.LET(_xlpm.DepreciationMonths,INDEX(FixedAssets[Depreciation
/ Amortization Months],_xlfn.XMATCH($E$33,FixedAssets[Asset ID])),IF(AND((_xlfn.XMATCH(BV$8,$AH$8:$CC$8))-_xlfn.XMATCH($C80,$C$35:$C$82)+1&lt;=_xlpm.DepreciationMonths,$C80&lt;=BV$8),$E80/_xlpm.DepreciationMonths,0))</f>
        <v>0</v>
      </c>
      <c r="BW80" s="507" cm="1">
        <f t="array" ref="BW80">_xlfn.LET(_xlpm.DepreciationMonths,INDEX(FixedAssets[Depreciation
/ Amortization Months],_xlfn.XMATCH($E$33,FixedAssets[Asset ID])),IF(AND((_xlfn.XMATCH(BW$8,$AH$8:$CC$8))-_xlfn.XMATCH($C80,$C$35:$C$82)+1&lt;=_xlpm.DepreciationMonths,$C80&lt;=BW$8),$E80/_xlpm.DepreciationMonths,0))</f>
        <v>0</v>
      </c>
      <c r="BX80" s="507" cm="1">
        <f t="array" ref="BX80">_xlfn.LET(_xlpm.DepreciationMonths,INDEX(FixedAssets[Depreciation
/ Amortization Months],_xlfn.XMATCH($E$33,FixedAssets[Asset ID])),IF(AND((_xlfn.XMATCH(BX$8,$AH$8:$CC$8))-_xlfn.XMATCH($C80,$C$35:$C$82)+1&lt;=_xlpm.DepreciationMonths,$C80&lt;=BX$8),$E80/_xlpm.DepreciationMonths,0))</f>
        <v>0</v>
      </c>
      <c r="BY80" s="507" cm="1">
        <f t="array" ref="BY80">_xlfn.LET(_xlpm.DepreciationMonths,INDEX(FixedAssets[Depreciation
/ Amortization Months],_xlfn.XMATCH($E$33,FixedAssets[Asset ID])),IF(AND((_xlfn.XMATCH(BY$8,$AH$8:$CC$8))-_xlfn.XMATCH($C80,$C$35:$C$82)+1&lt;=_xlpm.DepreciationMonths,$C80&lt;=BY$8),$E80/_xlpm.DepreciationMonths,0))</f>
        <v>0</v>
      </c>
      <c r="BZ80" s="507" cm="1">
        <f t="array" ref="BZ80">_xlfn.LET(_xlpm.DepreciationMonths,INDEX(FixedAssets[Depreciation
/ Amortization Months],_xlfn.XMATCH($E$33,FixedAssets[Asset ID])),IF(AND((_xlfn.XMATCH(BZ$8,$AH$8:$CC$8))-_xlfn.XMATCH($C80,$C$35:$C$82)+1&lt;=_xlpm.DepreciationMonths,$C80&lt;=BZ$8),$E80/_xlpm.DepreciationMonths,0))</f>
        <v>0</v>
      </c>
      <c r="CA80" s="507" cm="1">
        <f t="array" ref="CA80">_xlfn.LET(_xlpm.DepreciationMonths,INDEX(FixedAssets[Depreciation
/ Amortization Months],_xlfn.XMATCH($E$33,FixedAssets[Asset ID])),IF(AND((_xlfn.XMATCH(CA$8,$AH$8:$CC$8))-_xlfn.XMATCH($C80,$C$35:$C$82)+1&lt;=_xlpm.DepreciationMonths,$C80&lt;=CA$8),$E80/_xlpm.DepreciationMonths,0))</f>
        <v>0</v>
      </c>
      <c r="CB80" s="507" cm="1">
        <f t="array" ref="CB80">_xlfn.LET(_xlpm.DepreciationMonths,INDEX(FixedAssets[Depreciation
/ Amortization Months],_xlfn.XMATCH($E$33,FixedAssets[Asset ID])),IF(AND((_xlfn.XMATCH(CB$8,$AH$8:$CC$8))-_xlfn.XMATCH($C80,$C$35:$C$82)+1&lt;=_xlpm.DepreciationMonths,$C80&lt;=CB$8),$E80/_xlpm.DepreciationMonths,0))</f>
        <v>0</v>
      </c>
      <c r="CC80" s="507" cm="1">
        <f t="array" ref="CC80">_xlfn.LET(_xlpm.DepreciationMonths,INDEX(FixedAssets[Depreciation
/ Amortization Months],_xlfn.XMATCH($E$33,FixedAssets[Asset ID])),IF(AND((_xlfn.XMATCH(CC$8,$AH$8:$CC$8))-_xlfn.XMATCH($C80,$C$35:$C$82)+1&lt;=_xlpm.DepreciationMonths,$C80&lt;=CC$8),$E80/_xlpm.DepreciationMonths,0))</f>
        <v>0</v>
      </c>
    </row>
    <row r="81" spans="3:81" hidden="1" outlineLevel="2">
      <c r="C81" s="664">
        <f t="shared" si="91"/>
        <v>46356</v>
      </c>
      <c r="D81" s="508"/>
      <c r="E81" s="508" cm="1">
        <f t="array" ref="E81">SUMPRODUCT(($AH$26:$CC$31)*($AH$5:$CC$5=$C81)*($E$26:$E$31=E$33))-SUMPRODUCT(($AH$26:$CC$31)*($AH$5:$CC$5=EOMONTH($C81,-1))*($E$26:$E$31=E$33))</f>
        <v>0</v>
      </c>
      <c r="F81" s="508"/>
      <c r="G81" s="508"/>
      <c r="H81" s="508"/>
      <c r="I81" s="508"/>
      <c r="J81" s="504">
        <f t="shared" si="88"/>
        <v>0</v>
      </c>
      <c r="K81" s="504">
        <f t="shared" si="96"/>
        <v>0</v>
      </c>
      <c r="L81" s="504">
        <f t="shared" si="96"/>
        <v>0</v>
      </c>
      <c r="M81" s="504">
        <f t="shared" si="96"/>
        <v>0</v>
      </c>
      <c r="N81" s="504"/>
      <c r="O81" s="504"/>
      <c r="P81" s="504">
        <f t="shared" si="97"/>
        <v>0</v>
      </c>
      <c r="Q81" s="504">
        <f t="shared" si="97"/>
        <v>0</v>
      </c>
      <c r="R81" s="504">
        <f t="shared" si="97"/>
        <v>0</v>
      </c>
      <c r="S81" s="504">
        <f t="shared" si="97"/>
        <v>0</v>
      </c>
      <c r="T81" s="504">
        <f t="shared" si="97"/>
        <v>0</v>
      </c>
      <c r="U81" s="504">
        <f t="shared" si="97"/>
        <v>0</v>
      </c>
      <c r="V81" s="504">
        <f t="shared" si="97"/>
        <v>0</v>
      </c>
      <c r="W81" s="504">
        <f t="shared" si="97"/>
        <v>0</v>
      </c>
      <c r="X81" s="504">
        <f t="shared" si="97"/>
        <v>0</v>
      </c>
      <c r="Y81" s="504">
        <f t="shared" si="97"/>
        <v>0</v>
      </c>
      <c r="Z81" s="504">
        <f t="shared" si="97"/>
        <v>0</v>
      </c>
      <c r="AA81" s="504">
        <f t="shared" si="97"/>
        <v>0</v>
      </c>
      <c r="AB81" s="504">
        <f t="shared" si="97"/>
        <v>0</v>
      </c>
      <c r="AC81" s="504">
        <f t="shared" si="97"/>
        <v>0</v>
      </c>
      <c r="AD81" s="504">
        <f t="shared" si="97"/>
        <v>0</v>
      </c>
      <c r="AE81" s="504">
        <f t="shared" si="97"/>
        <v>0</v>
      </c>
      <c r="AF81" s="508"/>
      <c r="AG81" s="508"/>
      <c r="AH81" s="507" cm="1">
        <f t="array" ref="AH81">_xlfn.LET(_xlpm.DepreciationMonths,INDEX(FixedAssets[Depreciation
/ Amortization Months],_xlfn.XMATCH($E$33,FixedAssets[Asset ID])),IF(AND((_xlfn.XMATCH(AH$8,$AH$8:$CC$8))-_xlfn.XMATCH($C81,$C$35:$C$82)+1&lt;=_xlpm.DepreciationMonths,$C81&lt;=AH$8),$E81/_xlpm.DepreciationMonths,0))</f>
        <v>0</v>
      </c>
      <c r="AI81" s="507" cm="1">
        <f t="array" ref="AI81">_xlfn.LET(_xlpm.DepreciationMonths,INDEX(FixedAssets[Depreciation
/ Amortization Months],_xlfn.XMATCH($E$33,FixedAssets[Asset ID])),IF(AND((_xlfn.XMATCH(AI$8,$AH$8:$CC$8))-_xlfn.XMATCH($C81,$C$35:$C$82)+1&lt;=_xlpm.DepreciationMonths,$C81&lt;=AI$8),$E81/_xlpm.DepreciationMonths,0))</f>
        <v>0</v>
      </c>
      <c r="AJ81" s="507" cm="1">
        <f t="array" ref="AJ81">_xlfn.LET(_xlpm.DepreciationMonths,INDEX(FixedAssets[Depreciation
/ Amortization Months],_xlfn.XMATCH($E$33,FixedAssets[Asset ID])),IF(AND((_xlfn.XMATCH(AJ$8,$AH$8:$CC$8))-_xlfn.XMATCH($C81,$C$35:$C$82)+1&lt;=_xlpm.DepreciationMonths,$C81&lt;=AJ$8),$E81/_xlpm.DepreciationMonths,0))</f>
        <v>0</v>
      </c>
      <c r="AK81" s="507" cm="1">
        <f t="array" ref="AK81">_xlfn.LET(_xlpm.DepreciationMonths,INDEX(FixedAssets[Depreciation
/ Amortization Months],_xlfn.XMATCH($E$33,FixedAssets[Asset ID])),IF(AND((_xlfn.XMATCH(AK$8,$AH$8:$CC$8))-_xlfn.XMATCH($C81,$C$35:$C$82)+1&lt;=_xlpm.DepreciationMonths,$C81&lt;=AK$8),$E81/_xlpm.DepreciationMonths,0))</f>
        <v>0</v>
      </c>
      <c r="AL81" s="507" cm="1">
        <f t="array" ref="AL81">_xlfn.LET(_xlpm.DepreciationMonths,INDEX(FixedAssets[Depreciation
/ Amortization Months],_xlfn.XMATCH($E$33,FixedAssets[Asset ID])),IF(AND((_xlfn.XMATCH(AL$8,$AH$8:$CC$8))-_xlfn.XMATCH($C81,$C$35:$C$82)+1&lt;=_xlpm.DepreciationMonths,$C81&lt;=AL$8),$E81/_xlpm.DepreciationMonths,0))</f>
        <v>0</v>
      </c>
      <c r="AM81" s="507" cm="1">
        <f t="array" ref="AM81">_xlfn.LET(_xlpm.DepreciationMonths,INDEX(FixedAssets[Depreciation
/ Amortization Months],_xlfn.XMATCH($E$33,FixedAssets[Asset ID])),IF(AND((_xlfn.XMATCH(AM$8,$AH$8:$CC$8))-_xlfn.XMATCH($C81,$C$35:$C$82)+1&lt;=_xlpm.DepreciationMonths,$C81&lt;=AM$8),$E81/_xlpm.DepreciationMonths,0))</f>
        <v>0</v>
      </c>
      <c r="AN81" s="507" cm="1">
        <f t="array" ref="AN81">_xlfn.LET(_xlpm.DepreciationMonths,INDEX(FixedAssets[Depreciation
/ Amortization Months],_xlfn.XMATCH($E$33,FixedAssets[Asset ID])),IF(AND((_xlfn.XMATCH(AN$8,$AH$8:$CC$8))-_xlfn.XMATCH($C81,$C$35:$C$82)+1&lt;=_xlpm.DepreciationMonths,$C81&lt;=AN$8),$E81/_xlpm.DepreciationMonths,0))</f>
        <v>0</v>
      </c>
      <c r="AO81" s="507" cm="1">
        <f t="array" ref="AO81">_xlfn.LET(_xlpm.DepreciationMonths,INDEX(FixedAssets[Depreciation
/ Amortization Months],_xlfn.XMATCH($E$33,FixedAssets[Asset ID])),IF(AND((_xlfn.XMATCH(AO$8,$AH$8:$CC$8))-_xlfn.XMATCH($C81,$C$35:$C$82)+1&lt;=_xlpm.DepreciationMonths,$C81&lt;=AO$8),$E81/_xlpm.DepreciationMonths,0))</f>
        <v>0</v>
      </c>
      <c r="AP81" s="507" cm="1">
        <f t="array" ref="AP81">_xlfn.LET(_xlpm.DepreciationMonths,INDEX(FixedAssets[Depreciation
/ Amortization Months],_xlfn.XMATCH($E$33,FixedAssets[Asset ID])),IF(AND((_xlfn.XMATCH(AP$8,$AH$8:$CC$8))-_xlfn.XMATCH($C81,$C$35:$C$82)+1&lt;=_xlpm.DepreciationMonths,$C81&lt;=AP$8),$E81/_xlpm.DepreciationMonths,0))</f>
        <v>0</v>
      </c>
      <c r="AQ81" s="507" cm="1">
        <f t="array" ref="AQ81">_xlfn.LET(_xlpm.DepreciationMonths,INDEX(FixedAssets[Depreciation
/ Amortization Months],_xlfn.XMATCH($E$33,FixedAssets[Asset ID])),IF(AND((_xlfn.XMATCH(AQ$8,$AH$8:$CC$8))-_xlfn.XMATCH($C81,$C$35:$C$82)+1&lt;=_xlpm.DepreciationMonths,$C81&lt;=AQ$8),$E81/_xlpm.DepreciationMonths,0))</f>
        <v>0</v>
      </c>
      <c r="AR81" s="507" cm="1">
        <f t="array" ref="AR81">_xlfn.LET(_xlpm.DepreciationMonths,INDEX(FixedAssets[Depreciation
/ Amortization Months],_xlfn.XMATCH($E$33,FixedAssets[Asset ID])),IF(AND((_xlfn.XMATCH(AR$8,$AH$8:$CC$8))-_xlfn.XMATCH($C81,$C$35:$C$82)+1&lt;=_xlpm.DepreciationMonths,$C81&lt;=AR$8),$E81/_xlpm.DepreciationMonths,0))</f>
        <v>0</v>
      </c>
      <c r="AS81" s="507" cm="1">
        <f t="array" ref="AS81">_xlfn.LET(_xlpm.DepreciationMonths,INDEX(FixedAssets[Depreciation
/ Amortization Months],_xlfn.XMATCH($E$33,FixedAssets[Asset ID])),IF(AND((_xlfn.XMATCH(AS$8,$AH$8:$CC$8))-_xlfn.XMATCH($C81,$C$35:$C$82)+1&lt;=_xlpm.DepreciationMonths,$C81&lt;=AS$8),$E81/_xlpm.DepreciationMonths,0))</f>
        <v>0</v>
      </c>
      <c r="AT81" s="507" cm="1">
        <f t="array" ref="AT81">_xlfn.LET(_xlpm.DepreciationMonths,INDEX(FixedAssets[Depreciation
/ Amortization Months],_xlfn.XMATCH($E$33,FixedAssets[Asset ID])),IF(AND((_xlfn.XMATCH(AT$8,$AH$8:$CC$8))-_xlfn.XMATCH($C81,$C$35:$C$82)+1&lt;=_xlpm.DepreciationMonths,$C81&lt;=AT$8),$E81/_xlpm.DepreciationMonths,0))</f>
        <v>0</v>
      </c>
      <c r="AU81" s="507" cm="1">
        <f t="array" ref="AU81">_xlfn.LET(_xlpm.DepreciationMonths,INDEX(FixedAssets[Depreciation
/ Amortization Months],_xlfn.XMATCH($E$33,FixedAssets[Asset ID])),IF(AND((_xlfn.XMATCH(AU$8,$AH$8:$CC$8))-_xlfn.XMATCH($C81,$C$35:$C$82)+1&lt;=_xlpm.DepreciationMonths,$C81&lt;=AU$8),$E81/_xlpm.DepreciationMonths,0))</f>
        <v>0</v>
      </c>
      <c r="AV81" s="507" cm="1">
        <f t="array" ref="AV81">_xlfn.LET(_xlpm.DepreciationMonths,INDEX(FixedAssets[Depreciation
/ Amortization Months],_xlfn.XMATCH($E$33,FixedAssets[Asset ID])),IF(AND((_xlfn.XMATCH(AV$8,$AH$8:$CC$8))-_xlfn.XMATCH($C81,$C$35:$C$82)+1&lt;=_xlpm.DepreciationMonths,$C81&lt;=AV$8),$E81/_xlpm.DepreciationMonths,0))</f>
        <v>0</v>
      </c>
      <c r="AW81" s="507" cm="1">
        <f t="array" ref="AW81">_xlfn.LET(_xlpm.DepreciationMonths,INDEX(FixedAssets[Depreciation
/ Amortization Months],_xlfn.XMATCH($E$33,FixedAssets[Asset ID])),IF(AND((_xlfn.XMATCH(AW$8,$AH$8:$CC$8))-_xlfn.XMATCH($C81,$C$35:$C$82)+1&lt;=_xlpm.DepreciationMonths,$C81&lt;=AW$8),$E81/_xlpm.DepreciationMonths,0))</f>
        <v>0</v>
      </c>
      <c r="AX81" s="507" cm="1">
        <f t="array" ref="AX81">_xlfn.LET(_xlpm.DepreciationMonths,INDEX(FixedAssets[Depreciation
/ Amortization Months],_xlfn.XMATCH($E$33,FixedAssets[Asset ID])),IF(AND((_xlfn.XMATCH(AX$8,$AH$8:$CC$8))-_xlfn.XMATCH($C81,$C$35:$C$82)+1&lt;=_xlpm.DepreciationMonths,$C81&lt;=AX$8),$E81/_xlpm.DepreciationMonths,0))</f>
        <v>0</v>
      </c>
      <c r="AY81" s="507" cm="1">
        <f t="array" ref="AY81">_xlfn.LET(_xlpm.DepreciationMonths,INDEX(FixedAssets[Depreciation
/ Amortization Months],_xlfn.XMATCH($E$33,FixedAssets[Asset ID])),IF(AND((_xlfn.XMATCH(AY$8,$AH$8:$CC$8))-_xlfn.XMATCH($C81,$C$35:$C$82)+1&lt;=_xlpm.DepreciationMonths,$C81&lt;=AY$8),$E81/_xlpm.DepreciationMonths,0))</f>
        <v>0</v>
      </c>
      <c r="AZ81" s="507" cm="1">
        <f t="array" ref="AZ81">_xlfn.LET(_xlpm.DepreciationMonths,INDEX(FixedAssets[Depreciation
/ Amortization Months],_xlfn.XMATCH($E$33,FixedAssets[Asset ID])),IF(AND((_xlfn.XMATCH(AZ$8,$AH$8:$CC$8))-_xlfn.XMATCH($C81,$C$35:$C$82)+1&lt;=_xlpm.DepreciationMonths,$C81&lt;=AZ$8),$E81/_xlpm.DepreciationMonths,0))</f>
        <v>0</v>
      </c>
      <c r="BA81" s="507" cm="1">
        <f t="array" ref="BA81">_xlfn.LET(_xlpm.DepreciationMonths,INDEX(FixedAssets[Depreciation
/ Amortization Months],_xlfn.XMATCH($E$33,FixedAssets[Asset ID])),IF(AND((_xlfn.XMATCH(BA$8,$AH$8:$CC$8))-_xlfn.XMATCH($C81,$C$35:$C$82)+1&lt;=_xlpm.DepreciationMonths,$C81&lt;=BA$8),$E81/_xlpm.DepreciationMonths,0))</f>
        <v>0</v>
      </c>
      <c r="BB81" s="507" cm="1">
        <f t="array" ref="BB81">_xlfn.LET(_xlpm.DepreciationMonths,INDEX(FixedAssets[Depreciation
/ Amortization Months],_xlfn.XMATCH($E$33,FixedAssets[Asset ID])),IF(AND((_xlfn.XMATCH(BB$8,$AH$8:$CC$8))-_xlfn.XMATCH($C81,$C$35:$C$82)+1&lt;=_xlpm.DepreciationMonths,$C81&lt;=BB$8),$E81/_xlpm.DepreciationMonths,0))</f>
        <v>0</v>
      </c>
      <c r="BC81" s="507" cm="1">
        <f t="array" ref="BC81">_xlfn.LET(_xlpm.DepreciationMonths,INDEX(FixedAssets[Depreciation
/ Amortization Months],_xlfn.XMATCH($E$33,FixedAssets[Asset ID])),IF(AND((_xlfn.XMATCH(BC$8,$AH$8:$CC$8))-_xlfn.XMATCH($C81,$C$35:$C$82)+1&lt;=_xlpm.DepreciationMonths,$C81&lt;=BC$8),$E81/_xlpm.DepreciationMonths,0))</f>
        <v>0</v>
      </c>
      <c r="BD81" s="507" cm="1">
        <f t="array" ref="BD81">_xlfn.LET(_xlpm.DepreciationMonths,INDEX(FixedAssets[Depreciation
/ Amortization Months],_xlfn.XMATCH($E$33,FixedAssets[Asset ID])),IF(AND((_xlfn.XMATCH(BD$8,$AH$8:$CC$8))-_xlfn.XMATCH($C81,$C$35:$C$82)+1&lt;=_xlpm.DepreciationMonths,$C81&lt;=BD$8),$E81/_xlpm.DepreciationMonths,0))</f>
        <v>0</v>
      </c>
      <c r="BE81" s="507" cm="1">
        <f t="array" ref="BE81">_xlfn.LET(_xlpm.DepreciationMonths,INDEX(FixedAssets[Depreciation
/ Amortization Months],_xlfn.XMATCH($E$33,FixedAssets[Asset ID])),IF(AND((_xlfn.XMATCH(BE$8,$AH$8:$CC$8))-_xlfn.XMATCH($C81,$C$35:$C$82)+1&lt;=_xlpm.DepreciationMonths,$C81&lt;=BE$8),$E81/_xlpm.DepreciationMonths,0))</f>
        <v>0</v>
      </c>
      <c r="BF81" s="507" cm="1">
        <f t="array" ref="BF81">_xlfn.LET(_xlpm.DepreciationMonths,INDEX(FixedAssets[Depreciation
/ Amortization Months],_xlfn.XMATCH($E$33,FixedAssets[Asset ID])),IF(AND((_xlfn.XMATCH(BF$8,$AH$8:$CC$8))-_xlfn.XMATCH($C81,$C$35:$C$82)+1&lt;=_xlpm.DepreciationMonths,$C81&lt;=BF$8),$E81/_xlpm.DepreciationMonths,0))</f>
        <v>0</v>
      </c>
      <c r="BG81" s="507" cm="1">
        <f t="array" ref="BG81">_xlfn.LET(_xlpm.DepreciationMonths,INDEX(FixedAssets[Depreciation
/ Amortization Months],_xlfn.XMATCH($E$33,FixedAssets[Asset ID])),IF(AND((_xlfn.XMATCH(BG$8,$AH$8:$CC$8))-_xlfn.XMATCH($C81,$C$35:$C$82)+1&lt;=_xlpm.DepreciationMonths,$C81&lt;=BG$8),$E81/_xlpm.DepreciationMonths,0))</f>
        <v>0</v>
      </c>
      <c r="BH81" s="507" cm="1">
        <f t="array" ref="BH81">_xlfn.LET(_xlpm.DepreciationMonths,INDEX(FixedAssets[Depreciation
/ Amortization Months],_xlfn.XMATCH($E$33,FixedAssets[Asset ID])),IF(AND((_xlfn.XMATCH(BH$8,$AH$8:$CC$8))-_xlfn.XMATCH($C81,$C$35:$C$82)+1&lt;=_xlpm.DepreciationMonths,$C81&lt;=BH$8),$E81/_xlpm.DepreciationMonths,0))</f>
        <v>0</v>
      </c>
      <c r="BI81" s="507" cm="1">
        <f t="array" ref="BI81">_xlfn.LET(_xlpm.DepreciationMonths,INDEX(FixedAssets[Depreciation
/ Amortization Months],_xlfn.XMATCH($E$33,FixedAssets[Asset ID])),IF(AND((_xlfn.XMATCH(BI$8,$AH$8:$CC$8))-_xlfn.XMATCH($C81,$C$35:$C$82)+1&lt;=_xlpm.DepreciationMonths,$C81&lt;=BI$8),$E81/_xlpm.DepreciationMonths,0))</f>
        <v>0</v>
      </c>
      <c r="BJ81" s="507" cm="1">
        <f t="array" ref="BJ81">_xlfn.LET(_xlpm.DepreciationMonths,INDEX(FixedAssets[Depreciation
/ Amortization Months],_xlfn.XMATCH($E$33,FixedAssets[Asset ID])),IF(AND((_xlfn.XMATCH(BJ$8,$AH$8:$CC$8))-_xlfn.XMATCH($C81,$C$35:$C$82)+1&lt;=_xlpm.DepreciationMonths,$C81&lt;=BJ$8),$E81/_xlpm.DepreciationMonths,0))</f>
        <v>0</v>
      </c>
      <c r="BK81" s="507" cm="1">
        <f t="array" ref="BK81">_xlfn.LET(_xlpm.DepreciationMonths,INDEX(FixedAssets[Depreciation
/ Amortization Months],_xlfn.XMATCH($E$33,FixedAssets[Asset ID])),IF(AND((_xlfn.XMATCH(BK$8,$AH$8:$CC$8))-_xlfn.XMATCH($C81,$C$35:$C$82)+1&lt;=_xlpm.DepreciationMonths,$C81&lt;=BK$8),$E81/_xlpm.DepreciationMonths,0))</f>
        <v>0</v>
      </c>
      <c r="BL81" s="507" cm="1">
        <f t="array" ref="BL81">_xlfn.LET(_xlpm.DepreciationMonths,INDEX(FixedAssets[Depreciation
/ Amortization Months],_xlfn.XMATCH($E$33,FixedAssets[Asset ID])),IF(AND((_xlfn.XMATCH(BL$8,$AH$8:$CC$8))-_xlfn.XMATCH($C81,$C$35:$C$82)+1&lt;=_xlpm.DepreciationMonths,$C81&lt;=BL$8),$E81/_xlpm.DepreciationMonths,0))</f>
        <v>0</v>
      </c>
      <c r="BM81" s="507" cm="1">
        <f t="array" ref="BM81">_xlfn.LET(_xlpm.DepreciationMonths,INDEX(FixedAssets[Depreciation
/ Amortization Months],_xlfn.XMATCH($E$33,FixedAssets[Asset ID])),IF(AND((_xlfn.XMATCH(BM$8,$AH$8:$CC$8))-_xlfn.XMATCH($C81,$C$35:$C$82)+1&lt;=_xlpm.DepreciationMonths,$C81&lt;=BM$8),$E81/_xlpm.DepreciationMonths,0))</f>
        <v>0</v>
      </c>
      <c r="BN81" s="507" cm="1">
        <f t="array" ref="BN81">_xlfn.LET(_xlpm.DepreciationMonths,INDEX(FixedAssets[Depreciation
/ Amortization Months],_xlfn.XMATCH($E$33,FixedAssets[Asset ID])),IF(AND((_xlfn.XMATCH(BN$8,$AH$8:$CC$8))-_xlfn.XMATCH($C81,$C$35:$C$82)+1&lt;=_xlpm.DepreciationMonths,$C81&lt;=BN$8),$E81/_xlpm.DepreciationMonths,0))</f>
        <v>0</v>
      </c>
      <c r="BO81" s="507" cm="1">
        <f t="array" ref="BO81">_xlfn.LET(_xlpm.DepreciationMonths,INDEX(FixedAssets[Depreciation
/ Amortization Months],_xlfn.XMATCH($E$33,FixedAssets[Asset ID])),IF(AND((_xlfn.XMATCH(BO$8,$AH$8:$CC$8))-_xlfn.XMATCH($C81,$C$35:$C$82)+1&lt;=_xlpm.DepreciationMonths,$C81&lt;=BO$8),$E81/_xlpm.DepreciationMonths,0))</f>
        <v>0</v>
      </c>
      <c r="BP81" s="507" cm="1">
        <f t="array" ref="BP81">_xlfn.LET(_xlpm.DepreciationMonths,INDEX(FixedAssets[Depreciation
/ Amortization Months],_xlfn.XMATCH($E$33,FixedAssets[Asset ID])),IF(AND((_xlfn.XMATCH(BP$8,$AH$8:$CC$8))-_xlfn.XMATCH($C81,$C$35:$C$82)+1&lt;=_xlpm.DepreciationMonths,$C81&lt;=BP$8),$E81/_xlpm.DepreciationMonths,0))</f>
        <v>0</v>
      </c>
      <c r="BQ81" s="507" cm="1">
        <f t="array" ref="BQ81">_xlfn.LET(_xlpm.DepreciationMonths,INDEX(FixedAssets[Depreciation
/ Amortization Months],_xlfn.XMATCH($E$33,FixedAssets[Asset ID])),IF(AND((_xlfn.XMATCH(BQ$8,$AH$8:$CC$8))-_xlfn.XMATCH($C81,$C$35:$C$82)+1&lt;=_xlpm.DepreciationMonths,$C81&lt;=BQ$8),$E81/_xlpm.DepreciationMonths,0))</f>
        <v>0</v>
      </c>
      <c r="BR81" s="507" cm="1">
        <f t="array" ref="BR81">_xlfn.LET(_xlpm.DepreciationMonths,INDEX(FixedAssets[Depreciation
/ Amortization Months],_xlfn.XMATCH($E$33,FixedAssets[Asset ID])),IF(AND((_xlfn.XMATCH(BR$8,$AH$8:$CC$8))-_xlfn.XMATCH($C81,$C$35:$C$82)+1&lt;=_xlpm.DepreciationMonths,$C81&lt;=BR$8),$E81/_xlpm.DepreciationMonths,0))</f>
        <v>0</v>
      </c>
      <c r="BS81" s="507" cm="1">
        <f t="array" ref="BS81">_xlfn.LET(_xlpm.DepreciationMonths,INDEX(FixedAssets[Depreciation
/ Amortization Months],_xlfn.XMATCH($E$33,FixedAssets[Asset ID])),IF(AND((_xlfn.XMATCH(BS$8,$AH$8:$CC$8))-_xlfn.XMATCH($C81,$C$35:$C$82)+1&lt;=_xlpm.DepreciationMonths,$C81&lt;=BS$8),$E81/_xlpm.DepreciationMonths,0))</f>
        <v>0</v>
      </c>
      <c r="BT81" s="507" cm="1">
        <f t="array" ref="BT81">_xlfn.LET(_xlpm.DepreciationMonths,INDEX(FixedAssets[Depreciation
/ Amortization Months],_xlfn.XMATCH($E$33,FixedAssets[Asset ID])),IF(AND((_xlfn.XMATCH(BT$8,$AH$8:$CC$8))-_xlfn.XMATCH($C81,$C$35:$C$82)+1&lt;=_xlpm.DepreciationMonths,$C81&lt;=BT$8),$E81/_xlpm.DepreciationMonths,0))</f>
        <v>0</v>
      </c>
      <c r="BU81" s="507" cm="1">
        <f t="array" ref="BU81">_xlfn.LET(_xlpm.DepreciationMonths,INDEX(FixedAssets[Depreciation
/ Amortization Months],_xlfn.XMATCH($E$33,FixedAssets[Asset ID])),IF(AND((_xlfn.XMATCH(BU$8,$AH$8:$CC$8))-_xlfn.XMATCH($C81,$C$35:$C$82)+1&lt;=_xlpm.DepreciationMonths,$C81&lt;=BU$8),$E81/_xlpm.DepreciationMonths,0))</f>
        <v>0</v>
      </c>
      <c r="BV81" s="507" cm="1">
        <f t="array" ref="BV81">_xlfn.LET(_xlpm.DepreciationMonths,INDEX(FixedAssets[Depreciation
/ Amortization Months],_xlfn.XMATCH($E$33,FixedAssets[Asset ID])),IF(AND((_xlfn.XMATCH(BV$8,$AH$8:$CC$8))-_xlfn.XMATCH($C81,$C$35:$C$82)+1&lt;=_xlpm.DepreciationMonths,$C81&lt;=BV$8),$E81/_xlpm.DepreciationMonths,0))</f>
        <v>0</v>
      </c>
      <c r="BW81" s="507" cm="1">
        <f t="array" ref="BW81">_xlfn.LET(_xlpm.DepreciationMonths,INDEX(FixedAssets[Depreciation
/ Amortization Months],_xlfn.XMATCH($E$33,FixedAssets[Asset ID])),IF(AND((_xlfn.XMATCH(BW$8,$AH$8:$CC$8))-_xlfn.XMATCH($C81,$C$35:$C$82)+1&lt;=_xlpm.DepreciationMonths,$C81&lt;=BW$8),$E81/_xlpm.DepreciationMonths,0))</f>
        <v>0</v>
      </c>
      <c r="BX81" s="507" cm="1">
        <f t="array" ref="BX81">_xlfn.LET(_xlpm.DepreciationMonths,INDEX(FixedAssets[Depreciation
/ Amortization Months],_xlfn.XMATCH($E$33,FixedAssets[Asset ID])),IF(AND((_xlfn.XMATCH(BX$8,$AH$8:$CC$8))-_xlfn.XMATCH($C81,$C$35:$C$82)+1&lt;=_xlpm.DepreciationMonths,$C81&lt;=BX$8),$E81/_xlpm.DepreciationMonths,0))</f>
        <v>0</v>
      </c>
      <c r="BY81" s="507" cm="1">
        <f t="array" ref="BY81">_xlfn.LET(_xlpm.DepreciationMonths,INDEX(FixedAssets[Depreciation
/ Amortization Months],_xlfn.XMATCH($E$33,FixedAssets[Asset ID])),IF(AND((_xlfn.XMATCH(BY$8,$AH$8:$CC$8))-_xlfn.XMATCH($C81,$C$35:$C$82)+1&lt;=_xlpm.DepreciationMonths,$C81&lt;=BY$8),$E81/_xlpm.DepreciationMonths,0))</f>
        <v>0</v>
      </c>
      <c r="BZ81" s="507" cm="1">
        <f t="array" ref="BZ81">_xlfn.LET(_xlpm.DepreciationMonths,INDEX(FixedAssets[Depreciation
/ Amortization Months],_xlfn.XMATCH($E$33,FixedAssets[Asset ID])),IF(AND((_xlfn.XMATCH(BZ$8,$AH$8:$CC$8))-_xlfn.XMATCH($C81,$C$35:$C$82)+1&lt;=_xlpm.DepreciationMonths,$C81&lt;=BZ$8),$E81/_xlpm.DepreciationMonths,0))</f>
        <v>0</v>
      </c>
      <c r="CA81" s="507" cm="1">
        <f t="array" ref="CA81">_xlfn.LET(_xlpm.DepreciationMonths,INDEX(FixedAssets[Depreciation
/ Amortization Months],_xlfn.XMATCH($E$33,FixedAssets[Asset ID])),IF(AND((_xlfn.XMATCH(CA$8,$AH$8:$CC$8))-_xlfn.XMATCH($C81,$C$35:$C$82)+1&lt;=_xlpm.DepreciationMonths,$C81&lt;=CA$8),$E81/_xlpm.DepreciationMonths,0))</f>
        <v>0</v>
      </c>
      <c r="CB81" s="507" cm="1">
        <f t="array" ref="CB81">_xlfn.LET(_xlpm.DepreciationMonths,INDEX(FixedAssets[Depreciation
/ Amortization Months],_xlfn.XMATCH($E$33,FixedAssets[Asset ID])),IF(AND((_xlfn.XMATCH(CB$8,$AH$8:$CC$8))-_xlfn.XMATCH($C81,$C$35:$C$82)+1&lt;=_xlpm.DepreciationMonths,$C81&lt;=CB$8),$E81/_xlpm.DepreciationMonths,0))</f>
        <v>0</v>
      </c>
      <c r="CC81" s="507" cm="1">
        <f t="array" ref="CC81">_xlfn.LET(_xlpm.DepreciationMonths,INDEX(FixedAssets[Depreciation
/ Amortization Months],_xlfn.XMATCH($E$33,FixedAssets[Asset ID])),IF(AND((_xlfn.XMATCH(CC$8,$AH$8:$CC$8))-_xlfn.XMATCH($C81,$C$35:$C$82)+1&lt;=_xlpm.DepreciationMonths,$C81&lt;=CC$8),$E81/_xlpm.DepreciationMonths,0))</f>
        <v>0</v>
      </c>
    </row>
    <row r="82" spans="3:81" hidden="1" outlineLevel="2">
      <c r="C82" s="664">
        <f t="shared" si="91"/>
        <v>46387</v>
      </c>
      <c r="D82" s="508"/>
      <c r="E82" s="508" cm="1">
        <f t="array" ref="E82">SUMPRODUCT(($AH$26:$CC$31)*($AH$5:$CC$5=$C82)*($E$26:$E$31=E$33))-SUMPRODUCT(($AH$26:$CC$31)*($AH$5:$CC$5=EOMONTH($C82,-1))*($E$26:$E$31=E$33))</f>
        <v>0</v>
      </c>
      <c r="F82" s="508"/>
      <c r="G82" s="508"/>
      <c r="H82" s="508"/>
      <c r="I82" s="508"/>
      <c r="J82" s="504">
        <f t="shared" si="88"/>
        <v>0</v>
      </c>
      <c r="K82" s="504">
        <f t="shared" si="96"/>
        <v>0</v>
      </c>
      <c r="L82" s="504">
        <f t="shared" si="96"/>
        <v>0</v>
      </c>
      <c r="M82" s="504">
        <f t="shared" si="96"/>
        <v>0</v>
      </c>
      <c r="N82" s="504"/>
      <c r="O82" s="504"/>
      <c r="P82" s="504">
        <f t="shared" si="97"/>
        <v>0</v>
      </c>
      <c r="Q82" s="504">
        <f t="shared" si="97"/>
        <v>0</v>
      </c>
      <c r="R82" s="504">
        <f t="shared" si="97"/>
        <v>0</v>
      </c>
      <c r="S82" s="504">
        <f t="shared" si="97"/>
        <v>0</v>
      </c>
      <c r="T82" s="504">
        <f t="shared" si="97"/>
        <v>0</v>
      </c>
      <c r="U82" s="504">
        <f t="shared" si="97"/>
        <v>0</v>
      </c>
      <c r="V82" s="504">
        <f t="shared" si="97"/>
        <v>0</v>
      </c>
      <c r="W82" s="504">
        <f t="shared" si="97"/>
        <v>0</v>
      </c>
      <c r="X82" s="504">
        <f t="shared" si="97"/>
        <v>0</v>
      </c>
      <c r="Y82" s="504">
        <f t="shared" si="97"/>
        <v>0</v>
      </c>
      <c r="Z82" s="504">
        <f t="shared" si="97"/>
        <v>0</v>
      </c>
      <c r="AA82" s="504">
        <f t="shared" si="97"/>
        <v>0</v>
      </c>
      <c r="AB82" s="504">
        <f t="shared" si="97"/>
        <v>0</v>
      </c>
      <c r="AC82" s="504">
        <f t="shared" si="97"/>
        <v>0</v>
      </c>
      <c r="AD82" s="504">
        <f t="shared" si="97"/>
        <v>0</v>
      </c>
      <c r="AE82" s="504">
        <f t="shared" ref="AE82" si="98">SUMIFS($AH82:$CC82,$AH$4:$CC$4,"&gt;="&amp;AE$4,$AH$5:$CC$5,"&lt;="&amp;AE$5)</f>
        <v>0</v>
      </c>
      <c r="AF82" s="508"/>
      <c r="AG82" s="508"/>
      <c r="AH82" s="507" cm="1">
        <f t="array" ref="AH82">_xlfn.LET(_xlpm.DepreciationMonths,INDEX(FixedAssets[Depreciation
/ Amortization Months],_xlfn.XMATCH($E$33,FixedAssets[Asset ID])),IF(AND((_xlfn.XMATCH(AH$8,$AH$8:$CC$8))-_xlfn.XMATCH($C82,$C$35:$C$82)+1&lt;=_xlpm.DepreciationMonths,$C82&lt;=AH$8),$E82/_xlpm.DepreciationMonths,0))</f>
        <v>0</v>
      </c>
      <c r="AI82" s="507" cm="1">
        <f t="array" ref="AI82">_xlfn.LET(_xlpm.DepreciationMonths,INDEX(FixedAssets[Depreciation
/ Amortization Months],_xlfn.XMATCH($E$33,FixedAssets[Asset ID])),IF(AND((_xlfn.XMATCH(AI$8,$AH$8:$CC$8))-_xlfn.XMATCH($C82,$C$35:$C$82)+1&lt;=_xlpm.DepreciationMonths,$C82&lt;=AI$8),$E82/_xlpm.DepreciationMonths,0))</f>
        <v>0</v>
      </c>
      <c r="AJ82" s="507" cm="1">
        <f t="array" ref="AJ82">_xlfn.LET(_xlpm.DepreciationMonths,INDEX(FixedAssets[Depreciation
/ Amortization Months],_xlfn.XMATCH($E$33,FixedAssets[Asset ID])),IF(AND((_xlfn.XMATCH(AJ$8,$AH$8:$CC$8))-_xlfn.XMATCH($C82,$C$35:$C$82)+1&lt;=_xlpm.DepreciationMonths,$C82&lt;=AJ$8),$E82/_xlpm.DepreciationMonths,0))</f>
        <v>0</v>
      </c>
      <c r="AK82" s="507" cm="1">
        <f t="array" ref="AK82">_xlfn.LET(_xlpm.DepreciationMonths,INDEX(FixedAssets[Depreciation
/ Amortization Months],_xlfn.XMATCH($E$33,FixedAssets[Asset ID])),IF(AND((_xlfn.XMATCH(AK$8,$AH$8:$CC$8))-_xlfn.XMATCH($C82,$C$35:$C$82)+1&lt;=_xlpm.DepreciationMonths,$C82&lt;=AK$8),$E82/_xlpm.DepreciationMonths,0))</f>
        <v>0</v>
      </c>
      <c r="AL82" s="507" cm="1">
        <f t="array" ref="AL82">_xlfn.LET(_xlpm.DepreciationMonths,INDEX(FixedAssets[Depreciation
/ Amortization Months],_xlfn.XMATCH($E$33,FixedAssets[Asset ID])),IF(AND((_xlfn.XMATCH(AL$8,$AH$8:$CC$8))-_xlfn.XMATCH($C82,$C$35:$C$82)+1&lt;=_xlpm.DepreciationMonths,$C82&lt;=AL$8),$E82/_xlpm.DepreciationMonths,0))</f>
        <v>0</v>
      </c>
      <c r="AM82" s="507" cm="1">
        <f t="array" ref="AM82">_xlfn.LET(_xlpm.DepreciationMonths,INDEX(FixedAssets[Depreciation
/ Amortization Months],_xlfn.XMATCH($E$33,FixedAssets[Asset ID])),IF(AND((_xlfn.XMATCH(AM$8,$AH$8:$CC$8))-_xlfn.XMATCH($C82,$C$35:$C$82)+1&lt;=_xlpm.DepreciationMonths,$C82&lt;=AM$8),$E82/_xlpm.DepreciationMonths,0))</f>
        <v>0</v>
      </c>
      <c r="AN82" s="507" cm="1">
        <f t="array" ref="AN82">_xlfn.LET(_xlpm.DepreciationMonths,INDEX(FixedAssets[Depreciation
/ Amortization Months],_xlfn.XMATCH($E$33,FixedAssets[Asset ID])),IF(AND((_xlfn.XMATCH(AN$8,$AH$8:$CC$8))-_xlfn.XMATCH($C82,$C$35:$C$82)+1&lt;=_xlpm.DepreciationMonths,$C82&lt;=AN$8),$E82/_xlpm.DepreciationMonths,0))</f>
        <v>0</v>
      </c>
      <c r="AO82" s="507" cm="1">
        <f t="array" ref="AO82">_xlfn.LET(_xlpm.DepreciationMonths,INDEX(FixedAssets[Depreciation
/ Amortization Months],_xlfn.XMATCH($E$33,FixedAssets[Asset ID])),IF(AND((_xlfn.XMATCH(AO$8,$AH$8:$CC$8))-_xlfn.XMATCH($C82,$C$35:$C$82)+1&lt;=_xlpm.DepreciationMonths,$C82&lt;=AO$8),$E82/_xlpm.DepreciationMonths,0))</f>
        <v>0</v>
      </c>
      <c r="AP82" s="507" cm="1">
        <f t="array" ref="AP82">_xlfn.LET(_xlpm.DepreciationMonths,INDEX(FixedAssets[Depreciation
/ Amortization Months],_xlfn.XMATCH($E$33,FixedAssets[Asset ID])),IF(AND((_xlfn.XMATCH(AP$8,$AH$8:$CC$8))-_xlfn.XMATCH($C82,$C$35:$C$82)+1&lt;=_xlpm.DepreciationMonths,$C82&lt;=AP$8),$E82/_xlpm.DepreciationMonths,0))</f>
        <v>0</v>
      </c>
      <c r="AQ82" s="507" cm="1">
        <f t="array" ref="AQ82">_xlfn.LET(_xlpm.DepreciationMonths,INDEX(FixedAssets[Depreciation
/ Amortization Months],_xlfn.XMATCH($E$33,FixedAssets[Asset ID])),IF(AND((_xlfn.XMATCH(AQ$8,$AH$8:$CC$8))-_xlfn.XMATCH($C82,$C$35:$C$82)+1&lt;=_xlpm.DepreciationMonths,$C82&lt;=AQ$8),$E82/_xlpm.DepreciationMonths,0))</f>
        <v>0</v>
      </c>
      <c r="AR82" s="507" cm="1">
        <f t="array" ref="AR82">_xlfn.LET(_xlpm.DepreciationMonths,INDEX(FixedAssets[Depreciation
/ Amortization Months],_xlfn.XMATCH($E$33,FixedAssets[Asset ID])),IF(AND((_xlfn.XMATCH(AR$8,$AH$8:$CC$8))-_xlfn.XMATCH($C82,$C$35:$C$82)+1&lt;=_xlpm.DepreciationMonths,$C82&lt;=AR$8),$E82/_xlpm.DepreciationMonths,0))</f>
        <v>0</v>
      </c>
      <c r="AS82" s="507" cm="1">
        <f t="array" ref="AS82">_xlfn.LET(_xlpm.DepreciationMonths,INDEX(FixedAssets[Depreciation
/ Amortization Months],_xlfn.XMATCH($E$33,FixedAssets[Asset ID])),IF(AND((_xlfn.XMATCH(AS$8,$AH$8:$CC$8))-_xlfn.XMATCH($C82,$C$35:$C$82)+1&lt;=_xlpm.DepreciationMonths,$C82&lt;=AS$8),$E82/_xlpm.DepreciationMonths,0))</f>
        <v>0</v>
      </c>
      <c r="AT82" s="507" cm="1">
        <f t="array" ref="AT82">_xlfn.LET(_xlpm.DepreciationMonths,INDEX(FixedAssets[Depreciation
/ Amortization Months],_xlfn.XMATCH($E$33,FixedAssets[Asset ID])),IF(AND((_xlfn.XMATCH(AT$8,$AH$8:$CC$8))-_xlfn.XMATCH($C82,$C$35:$C$82)+1&lt;=_xlpm.DepreciationMonths,$C82&lt;=AT$8),$E82/_xlpm.DepreciationMonths,0))</f>
        <v>0</v>
      </c>
      <c r="AU82" s="507" cm="1">
        <f t="array" ref="AU82">_xlfn.LET(_xlpm.DepreciationMonths,INDEX(FixedAssets[Depreciation
/ Amortization Months],_xlfn.XMATCH($E$33,FixedAssets[Asset ID])),IF(AND((_xlfn.XMATCH(AU$8,$AH$8:$CC$8))-_xlfn.XMATCH($C82,$C$35:$C$82)+1&lt;=_xlpm.DepreciationMonths,$C82&lt;=AU$8),$E82/_xlpm.DepreciationMonths,0))</f>
        <v>0</v>
      </c>
      <c r="AV82" s="507" cm="1">
        <f t="array" ref="AV82">_xlfn.LET(_xlpm.DepreciationMonths,INDEX(FixedAssets[Depreciation
/ Amortization Months],_xlfn.XMATCH($E$33,FixedAssets[Asset ID])),IF(AND((_xlfn.XMATCH(AV$8,$AH$8:$CC$8))-_xlfn.XMATCH($C82,$C$35:$C$82)+1&lt;=_xlpm.DepreciationMonths,$C82&lt;=AV$8),$E82/_xlpm.DepreciationMonths,0))</f>
        <v>0</v>
      </c>
      <c r="AW82" s="507" cm="1">
        <f t="array" ref="AW82">_xlfn.LET(_xlpm.DepreciationMonths,INDEX(FixedAssets[Depreciation
/ Amortization Months],_xlfn.XMATCH($E$33,FixedAssets[Asset ID])),IF(AND((_xlfn.XMATCH(AW$8,$AH$8:$CC$8))-_xlfn.XMATCH($C82,$C$35:$C$82)+1&lt;=_xlpm.DepreciationMonths,$C82&lt;=AW$8),$E82/_xlpm.DepreciationMonths,0))</f>
        <v>0</v>
      </c>
      <c r="AX82" s="507" cm="1">
        <f t="array" ref="AX82">_xlfn.LET(_xlpm.DepreciationMonths,INDEX(FixedAssets[Depreciation
/ Amortization Months],_xlfn.XMATCH($E$33,FixedAssets[Asset ID])),IF(AND((_xlfn.XMATCH(AX$8,$AH$8:$CC$8))-_xlfn.XMATCH($C82,$C$35:$C$82)+1&lt;=_xlpm.DepreciationMonths,$C82&lt;=AX$8),$E82/_xlpm.DepreciationMonths,0))</f>
        <v>0</v>
      </c>
      <c r="AY82" s="507" cm="1">
        <f t="array" ref="AY82">_xlfn.LET(_xlpm.DepreciationMonths,INDEX(FixedAssets[Depreciation
/ Amortization Months],_xlfn.XMATCH($E$33,FixedAssets[Asset ID])),IF(AND((_xlfn.XMATCH(AY$8,$AH$8:$CC$8))-_xlfn.XMATCH($C82,$C$35:$C$82)+1&lt;=_xlpm.DepreciationMonths,$C82&lt;=AY$8),$E82/_xlpm.DepreciationMonths,0))</f>
        <v>0</v>
      </c>
      <c r="AZ82" s="507" cm="1">
        <f t="array" ref="AZ82">_xlfn.LET(_xlpm.DepreciationMonths,INDEX(FixedAssets[Depreciation
/ Amortization Months],_xlfn.XMATCH($E$33,FixedAssets[Asset ID])),IF(AND((_xlfn.XMATCH(AZ$8,$AH$8:$CC$8))-_xlfn.XMATCH($C82,$C$35:$C$82)+1&lt;=_xlpm.DepreciationMonths,$C82&lt;=AZ$8),$E82/_xlpm.DepreciationMonths,0))</f>
        <v>0</v>
      </c>
      <c r="BA82" s="507" cm="1">
        <f t="array" ref="BA82">_xlfn.LET(_xlpm.DepreciationMonths,INDEX(FixedAssets[Depreciation
/ Amortization Months],_xlfn.XMATCH($E$33,FixedAssets[Asset ID])),IF(AND((_xlfn.XMATCH(BA$8,$AH$8:$CC$8))-_xlfn.XMATCH($C82,$C$35:$C$82)+1&lt;=_xlpm.DepreciationMonths,$C82&lt;=BA$8),$E82/_xlpm.DepreciationMonths,0))</f>
        <v>0</v>
      </c>
      <c r="BB82" s="507" cm="1">
        <f t="array" ref="BB82">_xlfn.LET(_xlpm.DepreciationMonths,INDEX(FixedAssets[Depreciation
/ Amortization Months],_xlfn.XMATCH($E$33,FixedAssets[Asset ID])),IF(AND((_xlfn.XMATCH(BB$8,$AH$8:$CC$8))-_xlfn.XMATCH($C82,$C$35:$C$82)+1&lt;=_xlpm.DepreciationMonths,$C82&lt;=BB$8),$E82/_xlpm.DepreciationMonths,0))</f>
        <v>0</v>
      </c>
      <c r="BC82" s="507" cm="1">
        <f t="array" ref="BC82">_xlfn.LET(_xlpm.DepreciationMonths,INDEX(FixedAssets[Depreciation
/ Amortization Months],_xlfn.XMATCH($E$33,FixedAssets[Asset ID])),IF(AND((_xlfn.XMATCH(BC$8,$AH$8:$CC$8))-_xlfn.XMATCH($C82,$C$35:$C$82)+1&lt;=_xlpm.DepreciationMonths,$C82&lt;=BC$8),$E82/_xlpm.DepreciationMonths,0))</f>
        <v>0</v>
      </c>
      <c r="BD82" s="507" cm="1">
        <f t="array" ref="BD82">_xlfn.LET(_xlpm.DepreciationMonths,INDEX(FixedAssets[Depreciation
/ Amortization Months],_xlfn.XMATCH($E$33,FixedAssets[Asset ID])),IF(AND((_xlfn.XMATCH(BD$8,$AH$8:$CC$8))-_xlfn.XMATCH($C82,$C$35:$C$82)+1&lt;=_xlpm.DepreciationMonths,$C82&lt;=BD$8),$E82/_xlpm.DepreciationMonths,0))</f>
        <v>0</v>
      </c>
      <c r="BE82" s="507" cm="1">
        <f t="array" ref="BE82">_xlfn.LET(_xlpm.DepreciationMonths,INDEX(FixedAssets[Depreciation
/ Amortization Months],_xlfn.XMATCH($E$33,FixedAssets[Asset ID])),IF(AND((_xlfn.XMATCH(BE$8,$AH$8:$CC$8))-_xlfn.XMATCH($C82,$C$35:$C$82)+1&lt;=_xlpm.DepreciationMonths,$C82&lt;=BE$8),$E82/_xlpm.DepreciationMonths,0))</f>
        <v>0</v>
      </c>
      <c r="BF82" s="507" cm="1">
        <f t="array" ref="BF82">_xlfn.LET(_xlpm.DepreciationMonths,INDEX(FixedAssets[Depreciation
/ Amortization Months],_xlfn.XMATCH($E$33,FixedAssets[Asset ID])),IF(AND((_xlfn.XMATCH(BF$8,$AH$8:$CC$8))-_xlfn.XMATCH($C82,$C$35:$C$82)+1&lt;=_xlpm.DepreciationMonths,$C82&lt;=BF$8),$E82/_xlpm.DepreciationMonths,0))</f>
        <v>0</v>
      </c>
      <c r="BG82" s="507" cm="1">
        <f t="array" ref="BG82">_xlfn.LET(_xlpm.DepreciationMonths,INDEX(FixedAssets[Depreciation
/ Amortization Months],_xlfn.XMATCH($E$33,FixedAssets[Asset ID])),IF(AND((_xlfn.XMATCH(BG$8,$AH$8:$CC$8))-_xlfn.XMATCH($C82,$C$35:$C$82)+1&lt;=_xlpm.DepreciationMonths,$C82&lt;=BG$8),$E82/_xlpm.DepreciationMonths,0))</f>
        <v>0</v>
      </c>
      <c r="BH82" s="507" cm="1">
        <f t="array" ref="BH82">_xlfn.LET(_xlpm.DepreciationMonths,INDEX(FixedAssets[Depreciation
/ Amortization Months],_xlfn.XMATCH($E$33,FixedAssets[Asset ID])),IF(AND((_xlfn.XMATCH(BH$8,$AH$8:$CC$8))-_xlfn.XMATCH($C82,$C$35:$C$82)+1&lt;=_xlpm.DepreciationMonths,$C82&lt;=BH$8),$E82/_xlpm.DepreciationMonths,0))</f>
        <v>0</v>
      </c>
      <c r="BI82" s="507" cm="1">
        <f t="array" ref="BI82">_xlfn.LET(_xlpm.DepreciationMonths,INDEX(FixedAssets[Depreciation
/ Amortization Months],_xlfn.XMATCH($E$33,FixedAssets[Asset ID])),IF(AND((_xlfn.XMATCH(BI$8,$AH$8:$CC$8))-_xlfn.XMATCH($C82,$C$35:$C$82)+1&lt;=_xlpm.DepreciationMonths,$C82&lt;=BI$8),$E82/_xlpm.DepreciationMonths,0))</f>
        <v>0</v>
      </c>
      <c r="BJ82" s="507" cm="1">
        <f t="array" ref="BJ82">_xlfn.LET(_xlpm.DepreciationMonths,INDEX(FixedAssets[Depreciation
/ Amortization Months],_xlfn.XMATCH($E$33,FixedAssets[Asset ID])),IF(AND((_xlfn.XMATCH(BJ$8,$AH$8:$CC$8))-_xlfn.XMATCH($C82,$C$35:$C$82)+1&lt;=_xlpm.DepreciationMonths,$C82&lt;=BJ$8),$E82/_xlpm.DepreciationMonths,0))</f>
        <v>0</v>
      </c>
      <c r="BK82" s="507" cm="1">
        <f t="array" ref="BK82">_xlfn.LET(_xlpm.DepreciationMonths,INDEX(FixedAssets[Depreciation
/ Amortization Months],_xlfn.XMATCH($E$33,FixedAssets[Asset ID])),IF(AND((_xlfn.XMATCH(BK$8,$AH$8:$CC$8))-_xlfn.XMATCH($C82,$C$35:$C$82)+1&lt;=_xlpm.DepreciationMonths,$C82&lt;=BK$8),$E82/_xlpm.DepreciationMonths,0))</f>
        <v>0</v>
      </c>
      <c r="BL82" s="507" cm="1">
        <f t="array" ref="BL82">_xlfn.LET(_xlpm.DepreciationMonths,INDEX(FixedAssets[Depreciation
/ Amortization Months],_xlfn.XMATCH($E$33,FixedAssets[Asset ID])),IF(AND((_xlfn.XMATCH(BL$8,$AH$8:$CC$8))-_xlfn.XMATCH($C82,$C$35:$C$82)+1&lt;=_xlpm.DepreciationMonths,$C82&lt;=BL$8),$E82/_xlpm.DepreciationMonths,0))</f>
        <v>0</v>
      </c>
      <c r="BM82" s="507" cm="1">
        <f t="array" ref="BM82">_xlfn.LET(_xlpm.DepreciationMonths,INDEX(FixedAssets[Depreciation
/ Amortization Months],_xlfn.XMATCH($E$33,FixedAssets[Asset ID])),IF(AND((_xlfn.XMATCH(BM$8,$AH$8:$CC$8))-_xlfn.XMATCH($C82,$C$35:$C$82)+1&lt;=_xlpm.DepreciationMonths,$C82&lt;=BM$8),$E82/_xlpm.DepreciationMonths,0))</f>
        <v>0</v>
      </c>
      <c r="BN82" s="507" cm="1">
        <f t="array" ref="BN82">_xlfn.LET(_xlpm.DepreciationMonths,INDEX(FixedAssets[Depreciation
/ Amortization Months],_xlfn.XMATCH($E$33,FixedAssets[Asset ID])),IF(AND((_xlfn.XMATCH(BN$8,$AH$8:$CC$8))-_xlfn.XMATCH($C82,$C$35:$C$82)+1&lt;=_xlpm.DepreciationMonths,$C82&lt;=BN$8),$E82/_xlpm.DepreciationMonths,0))</f>
        <v>0</v>
      </c>
      <c r="BO82" s="507" cm="1">
        <f t="array" ref="BO82">_xlfn.LET(_xlpm.DepreciationMonths,INDEX(FixedAssets[Depreciation
/ Amortization Months],_xlfn.XMATCH($E$33,FixedAssets[Asset ID])),IF(AND((_xlfn.XMATCH(BO$8,$AH$8:$CC$8))-_xlfn.XMATCH($C82,$C$35:$C$82)+1&lt;=_xlpm.DepreciationMonths,$C82&lt;=BO$8),$E82/_xlpm.DepreciationMonths,0))</f>
        <v>0</v>
      </c>
      <c r="BP82" s="507" cm="1">
        <f t="array" ref="BP82">_xlfn.LET(_xlpm.DepreciationMonths,INDEX(FixedAssets[Depreciation
/ Amortization Months],_xlfn.XMATCH($E$33,FixedAssets[Asset ID])),IF(AND((_xlfn.XMATCH(BP$8,$AH$8:$CC$8))-_xlfn.XMATCH($C82,$C$35:$C$82)+1&lt;=_xlpm.DepreciationMonths,$C82&lt;=BP$8),$E82/_xlpm.DepreciationMonths,0))</f>
        <v>0</v>
      </c>
      <c r="BQ82" s="507" cm="1">
        <f t="array" ref="BQ82">_xlfn.LET(_xlpm.DepreciationMonths,INDEX(FixedAssets[Depreciation
/ Amortization Months],_xlfn.XMATCH($E$33,FixedAssets[Asset ID])),IF(AND((_xlfn.XMATCH(BQ$8,$AH$8:$CC$8))-_xlfn.XMATCH($C82,$C$35:$C$82)+1&lt;=_xlpm.DepreciationMonths,$C82&lt;=BQ$8),$E82/_xlpm.DepreciationMonths,0))</f>
        <v>0</v>
      </c>
      <c r="BR82" s="507" cm="1">
        <f t="array" ref="BR82">_xlfn.LET(_xlpm.DepreciationMonths,INDEX(FixedAssets[Depreciation
/ Amortization Months],_xlfn.XMATCH($E$33,FixedAssets[Asset ID])),IF(AND((_xlfn.XMATCH(BR$8,$AH$8:$CC$8))-_xlfn.XMATCH($C82,$C$35:$C$82)+1&lt;=_xlpm.DepreciationMonths,$C82&lt;=BR$8),$E82/_xlpm.DepreciationMonths,0))</f>
        <v>0</v>
      </c>
      <c r="BS82" s="507" cm="1">
        <f t="array" ref="BS82">_xlfn.LET(_xlpm.DepreciationMonths,INDEX(FixedAssets[Depreciation
/ Amortization Months],_xlfn.XMATCH($E$33,FixedAssets[Asset ID])),IF(AND((_xlfn.XMATCH(BS$8,$AH$8:$CC$8))-_xlfn.XMATCH($C82,$C$35:$C$82)+1&lt;=_xlpm.DepreciationMonths,$C82&lt;=BS$8),$E82/_xlpm.DepreciationMonths,0))</f>
        <v>0</v>
      </c>
      <c r="BT82" s="507" cm="1">
        <f t="array" ref="BT82">_xlfn.LET(_xlpm.DepreciationMonths,INDEX(FixedAssets[Depreciation
/ Amortization Months],_xlfn.XMATCH($E$33,FixedAssets[Asset ID])),IF(AND((_xlfn.XMATCH(BT$8,$AH$8:$CC$8))-_xlfn.XMATCH($C82,$C$35:$C$82)+1&lt;=_xlpm.DepreciationMonths,$C82&lt;=BT$8),$E82/_xlpm.DepreciationMonths,0))</f>
        <v>0</v>
      </c>
      <c r="BU82" s="507" cm="1">
        <f t="array" ref="BU82">_xlfn.LET(_xlpm.DepreciationMonths,INDEX(FixedAssets[Depreciation
/ Amortization Months],_xlfn.XMATCH($E$33,FixedAssets[Asset ID])),IF(AND((_xlfn.XMATCH(BU$8,$AH$8:$CC$8))-_xlfn.XMATCH($C82,$C$35:$C$82)+1&lt;=_xlpm.DepreciationMonths,$C82&lt;=BU$8),$E82/_xlpm.DepreciationMonths,0))</f>
        <v>0</v>
      </c>
      <c r="BV82" s="507" cm="1">
        <f t="array" ref="BV82">_xlfn.LET(_xlpm.DepreciationMonths,INDEX(FixedAssets[Depreciation
/ Amortization Months],_xlfn.XMATCH($E$33,FixedAssets[Asset ID])),IF(AND((_xlfn.XMATCH(BV$8,$AH$8:$CC$8))-_xlfn.XMATCH($C82,$C$35:$C$82)+1&lt;=_xlpm.DepreciationMonths,$C82&lt;=BV$8),$E82/_xlpm.DepreciationMonths,0))</f>
        <v>0</v>
      </c>
      <c r="BW82" s="507" cm="1">
        <f t="array" ref="BW82">_xlfn.LET(_xlpm.DepreciationMonths,INDEX(FixedAssets[Depreciation
/ Amortization Months],_xlfn.XMATCH($E$33,FixedAssets[Asset ID])),IF(AND((_xlfn.XMATCH(BW$8,$AH$8:$CC$8))-_xlfn.XMATCH($C82,$C$35:$C$82)+1&lt;=_xlpm.DepreciationMonths,$C82&lt;=BW$8),$E82/_xlpm.DepreciationMonths,0))</f>
        <v>0</v>
      </c>
      <c r="BX82" s="507" cm="1">
        <f t="array" ref="BX82">_xlfn.LET(_xlpm.DepreciationMonths,INDEX(FixedAssets[Depreciation
/ Amortization Months],_xlfn.XMATCH($E$33,FixedAssets[Asset ID])),IF(AND((_xlfn.XMATCH(BX$8,$AH$8:$CC$8))-_xlfn.XMATCH($C82,$C$35:$C$82)+1&lt;=_xlpm.DepreciationMonths,$C82&lt;=BX$8),$E82/_xlpm.DepreciationMonths,0))</f>
        <v>0</v>
      </c>
      <c r="BY82" s="507" cm="1">
        <f t="array" ref="BY82">_xlfn.LET(_xlpm.DepreciationMonths,INDEX(FixedAssets[Depreciation
/ Amortization Months],_xlfn.XMATCH($E$33,FixedAssets[Asset ID])),IF(AND((_xlfn.XMATCH(BY$8,$AH$8:$CC$8))-_xlfn.XMATCH($C82,$C$35:$C$82)+1&lt;=_xlpm.DepreciationMonths,$C82&lt;=BY$8),$E82/_xlpm.DepreciationMonths,0))</f>
        <v>0</v>
      </c>
      <c r="BZ82" s="507" cm="1">
        <f t="array" ref="BZ82">_xlfn.LET(_xlpm.DepreciationMonths,INDEX(FixedAssets[Depreciation
/ Amortization Months],_xlfn.XMATCH($E$33,FixedAssets[Asset ID])),IF(AND((_xlfn.XMATCH(BZ$8,$AH$8:$CC$8))-_xlfn.XMATCH($C82,$C$35:$C$82)+1&lt;=_xlpm.DepreciationMonths,$C82&lt;=BZ$8),$E82/_xlpm.DepreciationMonths,0))</f>
        <v>0</v>
      </c>
      <c r="CA82" s="507" cm="1">
        <f t="array" ref="CA82">_xlfn.LET(_xlpm.DepreciationMonths,INDEX(FixedAssets[Depreciation
/ Amortization Months],_xlfn.XMATCH($E$33,FixedAssets[Asset ID])),IF(AND((_xlfn.XMATCH(CA$8,$AH$8:$CC$8))-_xlfn.XMATCH($C82,$C$35:$C$82)+1&lt;=_xlpm.DepreciationMonths,$C82&lt;=CA$8),$E82/_xlpm.DepreciationMonths,0))</f>
        <v>0</v>
      </c>
      <c r="CB82" s="507" cm="1">
        <f t="array" ref="CB82">_xlfn.LET(_xlpm.DepreciationMonths,INDEX(FixedAssets[Depreciation
/ Amortization Months],_xlfn.XMATCH($E$33,FixedAssets[Asset ID])),IF(AND((_xlfn.XMATCH(CB$8,$AH$8:$CC$8))-_xlfn.XMATCH($C82,$C$35:$C$82)+1&lt;=_xlpm.DepreciationMonths,$C82&lt;=CB$8),$E82/_xlpm.DepreciationMonths,0))</f>
        <v>0</v>
      </c>
      <c r="CC82" s="507" cm="1">
        <f t="array" ref="CC82">_xlfn.LET(_xlpm.DepreciationMonths,INDEX(FixedAssets[Depreciation
/ Amortization Months],_xlfn.XMATCH($E$33,FixedAssets[Asset ID])),IF(AND((_xlfn.XMATCH(CC$8,$AH$8:$CC$8))-_xlfn.XMATCH($C82,$C$35:$C$82)+1&lt;=_xlpm.DepreciationMonths,$C82&lt;=CC$8),$E82/_xlpm.DepreciationMonths,0))</f>
        <v>0</v>
      </c>
    </row>
    <row r="83" spans="3:81" hidden="1" outlineLevel="2">
      <c r="AH83" s="507"/>
      <c r="AI83" s="507"/>
      <c r="AJ83" s="507"/>
      <c r="AK83" s="507"/>
      <c r="AL83" s="507"/>
      <c r="AM83" s="507"/>
      <c r="AN83" s="507"/>
      <c r="AO83" s="507"/>
      <c r="AP83" s="507"/>
      <c r="AQ83" s="507"/>
      <c r="AR83" s="507"/>
      <c r="AS83" s="507"/>
      <c r="AT83" s="507"/>
      <c r="AU83" s="507"/>
      <c r="AV83" s="507"/>
      <c r="AW83" s="507"/>
      <c r="AX83" s="507"/>
      <c r="AY83" s="507"/>
      <c r="AZ83" s="507"/>
      <c r="BA83" s="507"/>
      <c r="BB83" s="507"/>
      <c r="BC83" s="507"/>
      <c r="BD83" s="507"/>
      <c r="BE83" s="507"/>
      <c r="BF83" s="507"/>
      <c r="BG83" s="507"/>
      <c r="BH83" s="507"/>
      <c r="BI83" s="507"/>
      <c r="BJ83" s="507"/>
      <c r="BK83" s="507"/>
      <c r="BL83" s="507"/>
      <c r="BM83" s="507"/>
      <c r="BN83" s="507"/>
      <c r="BO83" s="507"/>
      <c r="BP83" s="507"/>
      <c r="BQ83" s="507"/>
      <c r="BR83" s="507"/>
      <c r="BS83" s="507"/>
      <c r="BT83" s="507"/>
      <c r="BU83" s="507"/>
      <c r="BV83" s="507"/>
      <c r="BW83" s="507"/>
      <c r="BX83" s="507"/>
      <c r="BY83" s="507"/>
      <c r="BZ83" s="507"/>
      <c r="CA83" s="507"/>
      <c r="CB83" s="507"/>
      <c r="CC83" s="507"/>
    </row>
    <row r="84" spans="3:81" outlineLevel="1" collapsed="1">
      <c r="C84" s="502" t="str" cm="1">
        <f t="array" ref="C84">INDEX(FixedAssets[Asset],MATCH(C33,FixedAssets[Asset],0)+1,0)</f>
        <v>Furniture</v>
      </c>
      <c r="E84" s="502" cm="1">
        <f t="array" ref="E84">INDEX(FixedAssets[Asset ID],_xlfn.XMATCH($C84,FixedAssets[Asset]))</f>
        <v>153</v>
      </c>
      <c r="F84" s="502" cm="1">
        <f t="array" ref="F84">INDEX(FixedAssets[Depreciation
/ Amortization ID],_xlfn.XMATCH($C84,FixedAssets[Asset]))</f>
        <v>191</v>
      </c>
      <c r="G84" s="502" cm="1">
        <f t="array" ref="G84">INDEX(FixedAssets[Accumulated Depreciation
/ Amortization ID],_xlfn.XMATCH($C84,FixedAssets[Asset]))</f>
        <v>194</v>
      </c>
      <c r="H84" s="508"/>
      <c r="I84" s="508"/>
      <c r="J84" s="507">
        <f>_xlfn.AGGREGATE(9,0,J85:J134)</f>
        <v>8750.0000000000018</v>
      </c>
      <c r="K84" s="507">
        <f t="shared" ref="K84:M84" si="99">_xlfn.AGGREGATE(9,0,K85:K134)</f>
        <v>11944.444444444449</v>
      </c>
      <c r="L84" s="507">
        <f t="shared" si="99"/>
        <v>11666.66666666667</v>
      </c>
      <c r="M84" s="507">
        <f t="shared" si="99"/>
        <v>6250</v>
      </c>
      <c r="N84" s="509"/>
      <c r="O84" s="509"/>
      <c r="P84" s="507">
        <f t="shared" ref="P84" si="100">_xlfn.AGGREGATE(9,0,P85:P134)</f>
        <v>0</v>
      </c>
      <c r="Q84" s="507">
        <f t="shared" ref="Q84" si="101">_xlfn.AGGREGATE(9,0,Q85:Q134)</f>
        <v>2916.6666666666665</v>
      </c>
      <c r="R84" s="507">
        <f t="shared" ref="R84" si="102">_xlfn.AGGREGATE(9,0,R85:R134)</f>
        <v>2916.6666666666665</v>
      </c>
      <c r="S84" s="507">
        <f t="shared" ref="S84" si="103">_xlfn.AGGREGATE(9,0,S85:S134)</f>
        <v>2916.6666666666665</v>
      </c>
      <c r="T84" s="507">
        <f t="shared" ref="T84" si="104">_xlfn.AGGREGATE(9,0,T85:T134)</f>
        <v>3194.4444444444443</v>
      </c>
      <c r="U84" s="507">
        <f t="shared" ref="U84" si="105">_xlfn.AGGREGATE(9,0,U85:U134)</f>
        <v>2916.666666666667</v>
      </c>
      <c r="V84" s="507">
        <f t="shared" ref="V84" si="106">_xlfn.AGGREGATE(9,0,V85:V134)</f>
        <v>2916.666666666667</v>
      </c>
      <c r="W84" s="507">
        <f t="shared" ref="W84" si="107">_xlfn.AGGREGATE(9,0,W85:W134)</f>
        <v>2916.666666666667</v>
      </c>
      <c r="X84" s="507">
        <f t="shared" ref="X84" si="108">_xlfn.AGGREGATE(9,0,X85:X134)</f>
        <v>2916.666666666667</v>
      </c>
      <c r="Y84" s="507">
        <f t="shared" ref="Y84" si="109">_xlfn.AGGREGATE(9,0,Y85:Y134)</f>
        <v>2916.666666666667</v>
      </c>
      <c r="Z84" s="507">
        <f t="shared" ref="Z84" si="110">_xlfn.AGGREGATE(9,0,Z85:Z134)</f>
        <v>2916.666666666667</v>
      </c>
      <c r="AA84" s="507">
        <f t="shared" ref="AA84" si="111">_xlfn.AGGREGATE(9,0,AA85:AA134)</f>
        <v>2916.666666666667</v>
      </c>
      <c r="AB84" s="507">
        <f t="shared" ref="AB84" si="112">_xlfn.AGGREGATE(9,0,AB85:AB134)</f>
        <v>2916.666666666667</v>
      </c>
      <c r="AC84" s="507">
        <f t="shared" ref="AC84" si="113">_xlfn.AGGREGATE(9,0,AC85:AC134)</f>
        <v>833.33333333333337</v>
      </c>
      <c r="AD84" s="507">
        <f t="shared" ref="AD84" si="114">_xlfn.AGGREGATE(9,0,AD85:AD134)</f>
        <v>1250</v>
      </c>
      <c r="AE84" s="507">
        <f t="shared" ref="AE84" si="115">_xlfn.AGGREGATE(9,0,AE85:AE134)</f>
        <v>1250</v>
      </c>
      <c r="AF84" s="508"/>
      <c r="AG84" s="508"/>
      <c r="AH84" s="507">
        <f t="shared" ref="AH84" si="116">_xlfn.AGGREGATE(9,0,AH85:AH134)</f>
        <v>0</v>
      </c>
      <c r="AI84" s="507">
        <f t="shared" ref="AI84" si="117">_xlfn.AGGREGATE(9,0,AI85:AI134)</f>
        <v>0</v>
      </c>
      <c r="AJ84" s="507">
        <f t="shared" ref="AJ84" si="118">_xlfn.AGGREGATE(9,0,AJ85:AJ134)</f>
        <v>0</v>
      </c>
      <c r="AK84" s="507">
        <f t="shared" ref="AK84" si="119">_xlfn.AGGREGATE(9,0,AK85:AK134)</f>
        <v>972.22222222222217</v>
      </c>
      <c r="AL84" s="507">
        <f t="shared" ref="AL84" si="120">_xlfn.AGGREGATE(9,0,AL85:AL134)</f>
        <v>972.22222222222217</v>
      </c>
      <c r="AM84" s="507">
        <f t="shared" ref="AM84" si="121">_xlfn.AGGREGATE(9,0,AM85:AM134)</f>
        <v>972.22222222222217</v>
      </c>
      <c r="AN84" s="507">
        <f t="shared" ref="AN84" si="122">_xlfn.AGGREGATE(9,0,AN85:AN134)</f>
        <v>972.22222222222217</v>
      </c>
      <c r="AO84" s="507">
        <f t="shared" ref="AO84" si="123">_xlfn.AGGREGATE(9,0,AO85:AO134)</f>
        <v>972.22222222222217</v>
      </c>
      <c r="AP84" s="507">
        <f t="shared" ref="AP84" si="124">_xlfn.AGGREGATE(9,0,AP85:AP134)</f>
        <v>972.22222222222217</v>
      </c>
      <c r="AQ84" s="507">
        <f t="shared" ref="AQ84" si="125">_xlfn.AGGREGATE(9,0,AQ85:AQ134)</f>
        <v>972.22222222222217</v>
      </c>
      <c r="AR84" s="507">
        <f t="shared" ref="AR84" si="126">_xlfn.AGGREGATE(9,0,AR85:AR134)</f>
        <v>972.22222222222217</v>
      </c>
      <c r="AS84" s="507">
        <f t="shared" ref="AS84" si="127">_xlfn.AGGREGATE(9,0,AS85:AS134)</f>
        <v>972.22222222222217</v>
      </c>
      <c r="AT84" s="507">
        <f t="shared" ref="AT84" si="128">_xlfn.AGGREGATE(9,0,AT85:AT134)</f>
        <v>1250</v>
      </c>
      <c r="AU84" s="507">
        <f t="shared" ref="AU84" si="129">_xlfn.AGGREGATE(9,0,AU85:AU134)</f>
        <v>972.22222222222217</v>
      </c>
      <c r="AV84" s="507">
        <f t="shared" ref="AV84" si="130">_xlfn.AGGREGATE(9,0,AV85:AV134)</f>
        <v>972.22222222222217</v>
      </c>
      <c r="AW84" s="507">
        <f t="shared" ref="AW84" si="131">_xlfn.AGGREGATE(9,0,AW85:AW134)</f>
        <v>972.22222222222217</v>
      </c>
      <c r="AX84" s="507">
        <f t="shared" ref="AX84" si="132">_xlfn.AGGREGATE(9,0,AX85:AX134)</f>
        <v>972.22222222222217</v>
      </c>
      <c r="AY84" s="507">
        <f t="shared" ref="AY84" si="133">_xlfn.AGGREGATE(9,0,AY85:AY134)</f>
        <v>972.22222222222217</v>
      </c>
      <c r="AZ84" s="507">
        <f t="shared" ref="AZ84" si="134">_xlfn.AGGREGATE(9,0,AZ85:AZ134)</f>
        <v>972.22222222222217</v>
      </c>
      <c r="BA84" s="507">
        <f t="shared" ref="BA84" si="135">_xlfn.AGGREGATE(9,0,BA85:BA134)</f>
        <v>972.22222222222217</v>
      </c>
      <c r="BB84" s="507">
        <f t="shared" ref="BB84" si="136">_xlfn.AGGREGATE(9,0,BB85:BB134)</f>
        <v>972.22222222222217</v>
      </c>
      <c r="BC84" s="507">
        <f t="shared" ref="BC84" si="137">_xlfn.AGGREGATE(9,0,BC85:BC134)</f>
        <v>972.22222222222217</v>
      </c>
      <c r="BD84" s="507">
        <f t="shared" ref="BD84" si="138">_xlfn.AGGREGATE(9,0,BD85:BD134)</f>
        <v>972.22222222222217</v>
      </c>
      <c r="BE84" s="507">
        <f t="shared" ref="BE84" si="139">_xlfn.AGGREGATE(9,0,BE85:BE134)</f>
        <v>972.22222222222217</v>
      </c>
      <c r="BF84" s="507">
        <f t="shared" ref="BF84" si="140">_xlfn.AGGREGATE(9,0,BF85:BF134)</f>
        <v>972.22222222222217</v>
      </c>
      <c r="BG84" s="507">
        <f t="shared" ref="BG84" si="141">_xlfn.AGGREGATE(9,0,BG85:BG134)</f>
        <v>972.22222222222217</v>
      </c>
      <c r="BH84" s="507">
        <f t="shared" ref="BH84" si="142">_xlfn.AGGREGATE(9,0,BH85:BH134)</f>
        <v>972.22222222222217</v>
      </c>
      <c r="BI84" s="507">
        <f t="shared" ref="BI84" si="143">_xlfn.AGGREGATE(9,0,BI85:BI134)</f>
        <v>972.22222222222217</v>
      </c>
      <c r="BJ84" s="507">
        <f t="shared" ref="BJ84" si="144">_xlfn.AGGREGATE(9,0,BJ85:BJ134)</f>
        <v>972.22222222222217</v>
      </c>
      <c r="BK84" s="507">
        <f t="shared" ref="BK84" si="145">_xlfn.AGGREGATE(9,0,BK85:BK134)</f>
        <v>972.22222222222217</v>
      </c>
      <c r="BL84" s="507">
        <f t="shared" ref="BL84" si="146">_xlfn.AGGREGATE(9,0,BL85:BL134)</f>
        <v>972.22222222222217</v>
      </c>
      <c r="BM84" s="507">
        <f t="shared" ref="BM84" si="147">_xlfn.AGGREGATE(9,0,BM85:BM134)</f>
        <v>972.22222222222217</v>
      </c>
      <c r="BN84" s="507">
        <f t="shared" ref="BN84" si="148">_xlfn.AGGREGATE(9,0,BN85:BN134)</f>
        <v>972.22222222222217</v>
      </c>
      <c r="BO84" s="507">
        <f t="shared" ref="BO84" si="149">_xlfn.AGGREGATE(9,0,BO85:BO134)</f>
        <v>972.22222222222217</v>
      </c>
      <c r="BP84" s="507">
        <f t="shared" ref="BP84" si="150">_xlfn.AGGREGATE(9,0,BP85:BP134)</f>
        <v>972.22222222222217</v>
      </c>
      <c r="BQ84" s="507">
        <f t="shared" ref="BQ84" si="151">_xlfn.AGGREGATE(9,0,BQ85:BQ134)</f>
        <v>972.22222222222217</v>
      </c>
      <c r="BR84" s="507">
        <f t="shared" ref="BR84" si="152">_xlfn.AGGREGATE(9,0,BR85:BR134)</f>
        <v>972.22222222222217</v>
      </c>
      <c r="BS84" s="507">
        <f t="shared" ref="BS84" si="153">_xlfn.AGGREGATE(9,0,BS85:BS134)</f>
        <v>972.22222222222217</v>
      </c>
      <c r="BT84" s="507">
        <f t="shared" ref="BT84" si="154">_xlfn.AGGREGATE(9,0,BT85:BT134)</f>
        <v>972.22222222222217</v>
      </c>
      <c r="BU84" s="507">
        <f t="shared" ref="BU84" si="155">_xlfn.AGGREGATE(9,0,BU85:BU134)</f>
        <v>0</v>
      </c>
      <c r="BV84" s="507">
        <f t="shared" ref="BV84" si="156">_xlfn.AGGREGATE(9,0,BV85:BV134)</f>
        <v>416.66666666666669</v>
      </c>
      <c r="BW84" s="507">
        <f t="shared" ref="BW84" si="157">_xlfn.AGGREGATE(9,0,BW85:BW134)</f>
        <v>416.66666666666669</v>
      </c>
      <c r="BX84" s="507">
        <f t="shared" ref="BX84" si="158">_xlfn.AGGREGATE(9,0,BX85:BX134)</f>
        <v>416.66666666666669</v>
      </c>
      <c r="BY84" s="507">
        <f t="shared" ref="BY84" si="159">_xlfn.AGGREGATE(9,0,BY85:BY134)</f>
        <v>416.66666666666669</v>
      </c>
      <c r="BZ84" s="507">
        <f t="shared" ref="BZ84" si="160">_xlfn.AGGREGATE(9,0,BZ85:BZ134)</f>
        <v>416.66666666666669</v>
      </c>
      <c r="CA84" s="507">
        <f t="shared" ref="CA84" si="161">_xlfn.AGGREGATE(9,0,CA85:CA134)</f>
        <v>416.66666666666669</v>
      </c>
      <c r="CB84" s="507">
        <f t="shared" ref="CB84" si="162">_xlfn.AGGREGATE(9,0,CB85:CB134)</f>
        <v>416.66666666666669</v>
      </c>
      <c r="CC84" s="507">
        <f t="shared" ref="CC84" si="163">_xlfn.AGGREGATE(9,0,CC85:CC134)</f>
        <v>416.66666666666669</v>
      </c>
    </row>
    <row r="85" spans="3:81" hidden="1" outlineLevel="2">
      <c r="AH85" s="507"/>
      <c r="AI85" s="507"/>
      <c r="AJ85" s="507"/>
      <c r="AK85" s="507"/>
      <c r="AL85" s="507"/>
      <c r="AM85" s="507"/>
      <c r="AN85" s="507"/>
      <c r="AO85" s="507"/>
      <c r="AP85" s="507"/>
      <c r="AQ85" s="507"/>
      <c r="AR85" s="507"/>
      <c r="AS85" s="507"/>
      <c r="AT85" s="507"/>
      <c r="AU85" s="507"/>
      <c r="AV85" s="507"/>
      <c r="AW85" s="507"/>
      <c r="AX85" s="507"/>
      <c r="AY85" s="507"/>
      <c r="AZ85" s="507"/>
      <c r="BA85" s="507"/>
      <c r="BB85" s="507"/>
      <c r="BC85" s="507"/>
      <c r="BD85" s="507"/>
      <c r="BE85" s="507"/>
      <c r="BF85" s="507"/>
      <c r="BG85" s="507"/>
      <c r="BH85" s="507"/>
      <c r="BI85" s="507"/>
      <c r="BJ85" s="507"/>
      <c r="BK85" s="507"/>
      <c r="BL85" s="507"/>
      <c r="BM85" s="507"/>
      <c r="BN85" s="507"/>
      <c r="BO85" s="507"/>
      <c r="BP85" s="507"/>
      <c r="BQ85" s="507"/>
      <c r="BR85" s="507"/>
      <c r="BS85" s="507"/>
      <c r="BT85" s="507"/>
      <c r="BU85" s="507"/>
      <c r="BV85" s="507"/>
      <c r="BW85" s="507"/>
      <c r="BX85" s="507"/>
      <c r="BY85" s="507"/>
      <c r="BZ85" s="507"/>
      <c r="CA85" s="507"/>
      <c r="CB85" s="507"/>
      <c r="CC85" s="507"/>
    </row>
    <row r="86" spans="3:81" hidden="1" outlineLevel="2">
      <c r="C86" s="664" cm="1">
        <f t="array" ref="C86">EOM_Start_Date</f>
        <v>44957</v>
      </c>
      <c r="D86" s="508"/>
      <c r="E86" s="508" cm="1">
        <f t="array" ref="E86">SUMPRODUCT(($AH$26:$CC$31)*($AH$5:$CC$5=$C86)*($E$26:$E$31=E$84))-SUMPRODUCT(($AH$26:$CC$31)*($AH$5:$CC$5=EOMONTH($C86,-1))*($E$26:$E$31=E$84))</f>
        <v>0</v>
      </c>
      <c r="F86" s="508"/>
      <c r="G86" s="508"/>
      <c r="H86" s="508"/>
      <c r="I86" s="508"/>
      <c r="J86" s="504">
        <f t="shared" ref="J86:J133" si="164">SUMIFS($AH86:$CC86,$AH$4:$CC$4,"&gt;="&amp;J$4,$AH$5:$CC$5,"&lt;="&amp;J$5)</f>
        <v>0</v>
      </c>
      <c r="K86" s="504">
        <f t="shared" ref="K86:M101" si="165">SUMIFS($AH86:$CC86,$AH$4:$CC$4,"&gt;="&amp;K$4,$AH$5:$CC$5,"&lt;="&amp;K$5)</f>
        <v>0</v>
      </c>
      <c r="L86" s="504">
        <f t="shared" si="165"/>
        <v>0</v>
      </c>
      <c r="M86" s="504">
        <f t="shared" si="165"/>
        <v>0</v>
      </c>
      <c r="N86" s="504"/>
      <c r="O86" s="504"/>
      <c r="P86" s="504">
        <f t="shared" ref="P86:AE101" si="166">SUMIFS($AH86:$CC86,$AH$4:$CC$4,"&gt;="&amp;P$4,$AH$5:$CC$5,"&lt;="&amp;P$5)</f>
        <v>0</v>
      </c>
      <c r="Q86" s="504">
        <f t="shared" si="166"/>
        <v>0</v>
      </c>
      <c r="R86" s="504">
        <f t="shared" si="166"/>
        <v>0</v>
      </c>
      <c r="S86" s="504">
        <f t="shared" si="166"/>
        <v>0</v>
      </c>
      <c r="T86" s="504">
        <f t="shared" si="166"/>
        <v>0</v>
      </c>
      <c r="U86" s="504">
        <f t="shared" si="166"/>
        <v>0</v>
      </c>
      <c r="V86" s="504">
        <f t="shared" si="166"/>
        <v>0</v>
      </c>
      <c r="W86" s="504">
        <f t="shared" si="166"/>
        <v>0</v>
      </c>
      <c r="X86" s="504">
        <f t="shared" si="166"/>
        <v>0</v>
      </c>
      <c r="Y86" s="504">
        <f t="shared" si="166"/>
        <v>0</v>
      </c>
      <c r="Z86" s="504">
        <f t="shared" si="166"/>
        <v>0</v>
      </c>
      <c r="AA86" s="504">
        <f t="shared" si="166"/>
        <v>0</v>
      </c>
      <c r="AB86" s="504">
        <f t="shared" si="166"/>
        <v>0</v>
      </c>
      <c r="AC86" s="504">
        <f t="shared" si="166"/>
        <v>0</v>
      </c>
      <c r="AD86" s="504">
        <f t="shared" si="166"/>
        <v>0</v>
      </c>
      <c r="AE86" s="504">
        <f t="shared" si="166"/>
        <v>0</v>
      </c>
      <c r="AF86" s="508"/>
      <c r="AG86" s="508"/>
      <c r="AH86" s="507" cm="1">
        <f t="array" ref="AH86">_xlfn.LET(_xlpm.DepreciationMonths,INDEX(FixedAssets[Depreciation
/ Amortization Months],_xlfn.XMATCH($E$84,FixedAssets[Asset ID])),IF(AND((_xlfn.XMATCH(AH$8,$AH$8:$CC$8))-_xlfn.XMATCH($C86,$C$35:$C$82)+1&lt;=_xlpm.DepreciationMonths,$C86&lt;=AH$8),$E86/_xlpm.DepreciationMonths,0))</f>
        <v>0</v>
      </c>
      <c r="AI86" s="507" cm="1">
        <f t="array" ref="AI86">_xlfn.LET(_xlpm.DepreciationMonths,INDEX(FixedAssets[Depreciation
/ Amortization Months],_xlfn.XMATCH($E$84,FixedAssets[Asset ID])),IF(AND((_xlfn.XMATCH(AI$8,$AH$8:$CC$8))-_xlfn.XMATCH($C86,$C$35:$C$82)+1&lt;=_xlpm.DepreciationMonths,$C86&lt;=AI$8),$E86/_xlpm.DepreciationMonths,0))</f>
        <v>0</v>
      </c>
      <c r="AJ86" s="507" cm="1">
        <f t="array" ref="AJ86">_xlfn.LET(_xlpm.DepreciationMonths,INDEX(FixedAssets[Depreciation
/ Amortization Months],_xlfn.XMATCH($E$84,FixedAssets[Asset ID])),IF(AND((_xlfn.XMATCH(AJ$8,$AH$8:$CC$8))-_xlfn.XMATCH($C86,$C$35:$C$82)+1&lt;=_xlpm.DepreciationMonths,$C86&lt;=AJ$8),$E86/_xlpm.DepreciationMonths,0))</f>
        <v>0</v>
      </c>
      <c r="AK86" s="507" cm="1">
        <f t="array" ref="AK86">_xlfn.LET(_xlpm.DepreciationMonths,INDEX(FixedAssets[Depreciation
/ Amortization Months],_xlfn.XMATCH($E$84,FixedAssets[Asset ID])),IF(AND((_xlfn.XMATCH(AK$8,$AH$8:$CC$8))-_xlfn.XMATCH($C86,$C$35:$C$82)+1&lt;=_xlpm.DepreciationMonths,$C86&lt;=AK$8),$E86/_xlpm.DepreciationMonths,0))</f>
        <v>0</v>
      </c>
      <c r="AL86" s="507" cm="1">
        <f t="array" ref="AL86">_xlfn.LET(_xlpm.DepreciationMonths,INDEX(FixedAssets[Depreciation
/ Amortization Months],_xlfn.XMATCH($E$84,FixedAssets[Asset ID])),IF(AND((_xlfn.XMATCH(AL$8,$AH$8:$CC$8))-_xlfn.XMATCH($C86,$C$35:$C$82)+1&lt;=_xlpm.DepreciationMonths,$C86&lt;=AL$8),$E86/_xlpm.DepreciationMonths,0))</f>
        <v>0</v>
      </c>
      <c r="AM86" s="507" cm="1">
        <f t="array" ref="AM86">_xlfn.LET(_xlpm.DepreciationMonths,INDEX(FixedAssets[Depreciation
/ Amortization Months],_xlfn.XMATCH($E$84,FixedAssets[Asset ID])),IF(AND((_xlfn.XMATCH(AM$8,$AH$8:$CC$8))-_xlfn.XMATCH($C86,$C$35:$C$82)+1&lt;=_xlpm.DepreciationMonths,$C86&lt;=AM$8),$E86/_xlpm.DepreciationMonths,0))</f>
        <v>0</v>
      </c>
      <c r="AN86" s="507" cm="1">
        <f t="array" ref="AN86">_xlfn.LET(_xlpm.DepreciationMonths,INDEX(FixedAssets[Depreciation
/ Amortization Months],_xlfn.XMATCH($E$84,FixedAssets[Asset ID])),IF(AND((_xlfn.XMATCH(AN$8,$AH$8:$CC$8))-_xlfn.XMATCH($C86,$C$35:$C$82)+1&lt;=_xlpm.DepreciationMonths,$C86&lt;=AN$8),$E86/_xlpm.DepreciationMonths,0))</f>
        <v>0</v>
      </c>
      <c r="AO86" s="507" cm="1">
        <f t="array" ref="AO86">_xlfn.LET(_xlpm.DepreciationMonths,INDEX(FixedAssets[Depreciation
/ Amortization Months],_xlfn.XMATCH($E$84,FixedAssets[Asset ID])),IF(AND((_xlfn.XMATCH(AO$8,$AH$8:$CC$8))-_xlfn.XMATCH($C86,$C$35:$C$82)+1&lt;=_xlpm.DepreciationMonths,$C86&lt;=AO$8),$E86/_xlpm.DepreciationMonths,0))</f>
        <v>0</v>
      </c>
      <c r="AP86" s="507" cm="1">
        <f t="array" ref="AP86">_xlfn.LET(_xlpm.DepreciationMonths,INDEX(FixedAssets[Depreciation
/ Amortization Months],_xlfn.XMATCH($E$84,FixedAssets[Asset ID])),IF(AND((_xlfn.XMATCH(AP$8,$AH$8:$CC$8))-_xlfn.XMATCH($C86,$C$35:$C$82)+1&lt;=_xlpm.DepreciationMonths,$C86&lt;=AP$8),$E86/_xlpm.DepreciationMonths,0))</f>
        <v>0</v>
      </c>
      <c r="AQ86" s="507" cm="1">
        <f t="array" ref="AQ86">_xlfn.LET(_xlpm.DepreciationMonths,INDEX(FixedAssets[Depreciation
/ Amortization Months],_xlfn.XMATCH($E$84,FixedAssets[Asset ID])),IF(AND((_xlfn.XMATCH(AQ$8,$AH$8:$CC$8))-_xlfn.XMATCH($C86,$C$35:$C$82)+1&lt;=_xlpm.DepreciationMonths,$C86&lt;=AQ$8),$E86/_xlpm.DepreciationMonths,0))</f>
        <v>0</v>
      </c>
      <c r="AR86" s="507" cm="1">
        <f t="array" ref="AR86">_xlfn.LET(_xlpm.DepreciationMonths,INDEX(FixedAssets[Depreciation
/ Amortization Months],_xlfn.XMATCH($E$84,FixedAssets[Asset ID])),IF(AND((_xlfn.XMATCH(AR$8,$AH$8:$CC$8))-_xlfn.XMATCH($C86,$C$35:$C$82)+1&lt;=_xlpm.DepreciationMonths,$C86&lt;=AR$8),$E86/_xlpm.DepreciationMonths,0))</f>
        <v>0</v>
      </c>
      <c r="AS86" s="507" cm="1">
        <f t="array" ref="AS86">_xlfn.LET(_xlpm.DepreciationMonths,INDEX(FixedAssets[Depreciation
/ Amortization Months],_xlfn.XMATCH($E$84,FixedAssets[Asset ID])),IF(AND((_xlfn.XMATCH(AS$8,$AH$8:$CC$8))-_xlfn.XMATCH($C86,$C$35:$C$82)+1&lt;=_xlpm.DepreciationMonths,$C86&lt;=AS$8),$E86/_xlpm.DepreciationMonths,0))</f>
        <v>0</v>
      </c>
      <c r="AT86" s="507" cm="1">
        <f t="array" ref="AT86">_xlfn.LET(_xlpm.DepreciationMonths,INDEX(FixedAssets[Depreciation
/ Amortization Months],_xlfn.XMATCH($E$84,FixedAssets[Asset ID])),IF(AND((_xlfn.XMATCH(AT$8,$AH$8:$CC$8))-_xlfn.XMATCH($C86,$C$35:$C$82)+1&lt;=_xlpm.DepreciationMonths,$C86&lt;=AT$8),$E86/_xlpm.DepreciationMonths,0))</f>
        <v>0</v>
      </c>
      <c r="AU86" s="507" cm="1">
        <f t="array" ref="AU86">_xlfn.LET(_xlpm.DepreciationMonths,INDEX(FixedAssets[Depreciation
/ Amortization Months],_xlfn.XMATCH($E$84,FixedAssets[Asset ID])),IF(AND((_xlfn.XMATCH(AU$8,$AH$8:$CC$8))-_xlfn.XMATCH($C86,$C$35:$C$82)+1&lt;=_xlpm.DepreciationMonths,$C86&lt;=AU$8),$E86/_xlpm.DepreciationMonths,0))</f>
        <v>0</v>
      </c>
      <c r="AV86" s="507" cm="1">
        <f t="array" ref="AV86">_xlfn.LET(_xlpm.DepreciationMonths,INDEX(FixedAssets[Depreciation
/ Amortization Months],_xlfn.XMATCH($E$84,FixedAssets[Asset ID])),IF(AND((_xlfn.XMATCH(AV$8,$AH$8:$CC$8))-_xlfn.XMATCH($C86,$C$35:$C$82)+1&lt;=_xlpm.DepreciationMonths,$C86&lt;=AV$8),$E86/_xlpm.DepreciationMonths,0))</f>
        <v>0</v>
      </c>
      <c r="AW86" s="507" cm="1">
        <f t="array" ref="AW86">_xlfn.LET(_xlpm.DepreciationMonths,INDEX(FixedAssets[Depreciation
/ Amortization Months],_xlfn.XMATCH($E$84,FixedAssets[Asset ID])),IF(AND((_xlfn.XMATCH(AW$8,$AH$8:$CC$8))-_xlfn.XMATCH($C86,$C$35:$C$82)+1&lt;=_xlpm.DepreciationMonths,$C86&lt;=AW$8),$E86/_xlpm.DepreciationMonths,0))</f>
        <v>0</v>
      </c>
      <c r="AX86" s="507" cm="1">
        <f t="array" ref="AX86">_xlfn.LET(_xlpm.DepreciationMonths,INDEX(FixedAssets[Depreciation
/ Amortization Months],_xlfn.XMATCH($E$84,FixedAssets[Asset ID])),IF(AND((_xlfn.XMATCH(AX$8,$AH$8:$CC$8))-_xlfn.XMATCH($C86,$C$35:$C$82)+1&lt;=_xlpm.DepreciationMonths,$C86&lt;=AX$8),$E86/_xlpm.DepreciationMonths,0))</f>
        <v>0</v>
      </c>
      <c r="AY86" s="507" cm="1">
        <f t="array" ref="AY86">_xlfn.LET(_xlpm.DepreciationMonths,INDEX(FixedAssets[Depreciation
/ Amortization Months],_xlfn.XMATCH($E$84,FixedAssets[Asset ID])),IF(AND((_xlfn.XMATCH(AY$8,$AH$8:$CC$8))-_xlfn.XMATCH($C86,$C$35:$C$82)+1&lt;=_xlpm.DepreciationMonths,$C86&lt;=AY$8),$E86/_xlpm.DepreciationMonths,0))</f>
        <v>0</v>
      </c>
      <c r="AZ86" s="507" cm="1">
        <f t="array" ref="AZ86">_xlfn.LET(_xlpm.DepreciationMonths,INDEX(FixedAssets[Depreciation
/ Amortization Months],_xlfn.XMATCH($E$84,FixedAssets[Asset ID])),IF(AND((_xlfn.XMATCH(AZ$8,$AH$8:$CC$8))-_xlfn.XMATCH($C86,$C$35:$C$82)+1&lt;=_xlpm.DepreciationMonths,$C86&lt;=AZ$8),$E86/_xlpm.DepreciationMonths,0))</f>
        <v>0</v>
      </c>
      <c r="BA86" s="507" cm="1">
        <f t="array" ref="BA86">_xlfn.LET(_xlpm.DepreciationMonths,INDEX(FixedAssets[Depreciation
/ Amortization Months],_xlfn.XMATCH($E$84,FixedAssets[Asset ID])),IF(AND((_xlfn.XMATCH(BA$8,$AH$8:$CC$8))-_xlfn.XMATCH($C86,$C$35:$C$82)+1&lt;=_xlpm.DepreciationMonths,$C86&lt;=BA$8),$E86/_xlpm.DepreciationMonths,0))</f>
        <v>0</v>
      </c>
      <c r="BB86" s="507" cm="1">
        <f t="array" ref="BB86">_xlfn.LET(_xlpm.DepreciationMonths,INDEX(FixedAssets[Depreciation
/ Amortization Months],_xlfn.XMATCH($E$84,FixedAssets[Asset ID])),IF(AND((_xlfn.XMATCH(BB$8,$AH$8:$CC$8))-_xlfn.XMATCH($C86,$C$35:$C$82)+1&lt;=_xlpm.DepreciationMonths,$C86&lt;=BB$8),$E86/_xlpm.DepreciationMonths,0))</f>
        <v>0</v>
      </c>
      <c r="BC86" s="507" cm="1">
        <f t="array" ref="BC86">_xlfn.LET(_xlpm.DepreciationMonths,INDEX(FixedAssets[Depreciation
/ Amortization Months],_xlfn.XMATCH($E$84,FixedAssets[Asset ID])),IF(AND((_xlfn.XMATCH(BC$8,$AH$8:$CC$8))-_xlfn.XMATCH($C86,$C$35:$C$82)+1&lt;=_xlpm.DepreciationMonths,$C86&lt;=BC$8),$E86/_xlpm.DepreciationMonths,0))</f>
        <v>0</v>
      </c>
      <c r="BD86" s="507" cm="1">
        <f t="array" ref="BD86">_xlfn.LET(_xlpm.DepreciationMonths,INDEX(FixedAssets[Depreciation
/ Amortization Months],_xlfn.XMATCH($E$84,FixedAssets[Asset ID])),IF(AND((_xlfn.XMATCH(BD$8,$AH$8:$CC$8))-_xlfn.XMATCH($C86,$C$35:$C$82)+1&lt;=_xlpm.DepreciationMonths,$C86&lt;=BD$8),$E86/_xlpm.DepreciationMonths,0))</f>
        <v>0</v>
      </c>
      <c r="BE86" s="507" cm="1">
        <f t="array" ref="BE86">_xlfn.LET(_xlpm.DepreciationMonths,INDEX(FixedAssets[Depreciation
/ Amortization Months],_xlfn.XMATCH($E$84,FixedAssets[Asset ID])),IF(AND((_xlfn.XMATCH(BE$8,$AH$8:$CC$8))-_xlfn.XMATCH($C86,$C$35:$C$82)+1&lt;=_xlpm.DepreciationMonths,$C86&lt;=BE$8),$E86/_xlpm.DepreciationMonths,0))</f>
        <v>0</v>
      </c>
      <c r="BF86" s="507" cm="1">
        <f t="array" ref="BF86">_xlfn.LET(_xlpm.DepreciationMonths,INDEX(FixedAssets[Depreciation
/ Amortization Months],_xlfn.XMATCH($E$84,FixedAssets[Asset ID])),IF(AND((_xlfn.XMATCH(BF$8,$AH$8:$CC$8))-_xlfn.XMATCH($C86,$C$35:$C$82)+1&lt;=_xlpm.DepreciationMonths,$C86&lt;=BF$8),$E86/_xlpm.DepreciationMonths,0))</f>
        <v>0</v>
      </c>
      <c r="BG86" s="507" cm="1">
        <f t="array" ref="BG86">_xlfn.LET(_xlpm.DepreciationMonths,INDEX(FixedAssets[Depreciation
/ Amortization Months],_xlfn.XMATCH($E$84,FixedAssets[Asset ID])),IF(AND((_xlfn.XMATCH(BG$8,$AH$8:$CC$8))-_xlfn.XMATCH($C86,$C$35:$C$82)+1&lt;=_xlpm.DepreciationMonths,$C86&lt;=BG$8),$E86/_xlpm.DepreciationMonths,0))</f>
        <v>0</v>
      </c>
      <c r="BH86" s="507" cm="1">
        <f t="array" ref="BH86">_xlfn.LET(_xlpm.DepreciationMonths,INDEX(FixedAssets[Depreciation
/ Amortization Months],_xlfn.XMATCH($E$84,FixedAssets[Asset ID])),IF(AND((_xlfn.XMATCH(BH$8,$AH$8:$CC$8))-_xlfn.XMATCH($C86,$C$35:$C$82)+1&lt;=_xlpm.DepreciationMonths,$C86&lt;=BH$8),$E86/_xlpm.DepreciationMonths,0))</f>
        <v>0</v>
      </c>
      <c r="BI86" s="507" cm="1">
        <f t="array" ref="BI86">_xlfn.LET(_xlpm.DepreciationMonths,INDEX(FixedAssets[Depreciation
/ Amortization Months],_xlfn.XMATCH($E$84,FixedAssets[Asset ID])),IF(AND((_xlfn.XMATCH(BI$8,$AH$8:$CC$8))-_xlfn.XMATCH($C86,$C$35:$C$82)+1&lt;=_xlpm.DepreciationMonths,$C86&lt;=BI$8),$E86/_xlpm.DepreciationMonths,0))</f>
        <v>0</v>
      </c>
      <c r="BJ86" s="507" cm="1">
        <f t="array" ref="BJ86">_xlfn.LET(_xlpm.DepreciationMonths,INDEX(FixedAssets[Depreciation
/ Amortization Months],_xlfn.XMATCH($E$84,FixedAssets[Asset ID])),IF(AND((_xlfn.XMATCH(BJ$8,$AH$8:$CC$8))-_xlfn.XMATCH($C86,$C$35:$C$82)+1&lt;=_xlpm.DepreciationMonths,$C86&lt;=BJ$8),$E86/_xlpm.DepreciationMonths,0))</f>
        <v>0</v>
      </c>
      <c r="BK86" s="507" cm="1">
        <f t="array" ref="BK86">_xlfn.LET(_xlpm.DepreciationMonths,INDEX(FixedAssets[Depreciation
/ Amortization Months],_xlfn.XMATCH($E$84,FixedAssets[Asset ID])),IF(AND((_xlfn.XMATCH(BK$8,$AH$8:$CC$8))-_xlfn.XMATCH($C86,$C$35:$C$82)+1&lt;=_xlpm.DepreciationMonths,$C86&lt;=BK$8),$E86/_xlpm.DepreciationMonths,0))</f>
        <v>0</v>
      </c>
      <c r="BL86" s="507" cm="1">
        <f t="array" ref="BL86">_xlfn.LET(_xlpm.DepreciationMonths,INDEX(FixedAssets[Depreciation
/ Amortization Months],_xlfn.XMATCH($E$84,FixedAssets[Asset ID])),IF(AND((_xlfn.XMATCH(BL$8,$AH$8:$CC$8))-_xlfn.XMATCH($C86,$C$35:$C$82)+1&lt;=_xlpm.DepreciationMonths,$C86&lt;=BL$8),$E86/_xlpm.DepreciationMonths,0))</f>
        <v>0</v>
      </c>
      <c r="BM86" s="507" cm="1">
        <f t="array" ref="BM86">_xlfn.LET(_xlpm.DepreciationMonths,INDEX(FixedAssets[Depreciation
/ Amortization Months],_xlfn.XMATCH($E$84,FixedAssets[Asset ID])),IF(AND((_xlfn.XMATCH(BM$8,$AH$8:$CC$8))-_xlfn.XMATCH($C86,$C$35:$C$82)+1&lt;=_xlpm.DepreciationMonths,$C86&lt;=BM$8),$E86/_xlpm.DepreciationMonths,0))</f>
        <v>0</v>
      </c>
      <c r="BN86" s="507" cm="1">
        <f t="array" ref="BN86">_xlfn.LET(_xlpm.DepreciationMonths,INDEX(FixedAssets[Depreciation
/ Amortization Months],_xlfn.XMATCH($E$84,FixedAssets[Asset ID])),IF(AND((_xlfn.XMATCH(BN$8,$AH$8:$CC$8))-_xlfn.XMATCH($C86,$C$35:$C$82)+1&lt;=_xlpm.DepreciationMonths,$C86&lt;=BN$8),$E86/_xlpm.DepreciationMonths,0))</f>
        <v>0</v>
      </c>
      <c r="BO86" s="507" cm="1">
        <f t="array" ref="BO86">_xlfn.LET(_xlpm.DepreciationMonths,INDEX(FixedAssets[Depreciation
/ Amortization Months],_xlfn.XMATCH($E$84,FixedAssets[Asset ID])),IF(AND((_xlfn.XMATCH(BO$8,$AH$8:$CC$8))-_xlfn.XMATCH($C86,$C$35:$C$82)+1&lt;=_xlpm.DepreciationMonths,$C86&lt;=BO$8),$E86/_xlpm.DepreciationMonths,0))</f>
        <v>0</v>
      </c>
      <c r="BP86" s="507" cm="1">
        <f t="array" ref="BP86">_xlfn.LET(_xlpm.DepreciationMonths,INDEX(FixedAssets[Depreciation
/ Amortization Months],_xlfn.XMATCH($E$84,FixedAssets[Asset ID])),IF(AND((_xlfn.XMATCH(BP$8,$AH$8:$CC$8))-_xlfn.XMATCH($C86,$C$35:$C$82)+1&lt;=_xlpm.DepreciationMonths,$C86&lt;=BP$8),$E86/_xlpm.DepreciationMonths,0))</f>
        <v>0</v>
      </c>
      <c r="BQ86" s="507" cm="1">
        <f t="array" ref="BQ86">_xlfn.LET(_xlpm.DepreciationMonths,INDEX(FixedAssets[Depreciation
/ Amortization Months],_xlfn.XMATCH($E$84,FixedAssets[Asset ID])),IF(AND((_xlfn.XMATCH(BQ$8,$AH$8:$CC$8))-_xlfn.XMATCH($C86,$C$35:$C$82)+1&lt;=_xlpm.DepreciationMonths,$C86&lt;=BQ$8),$E86/_xlpm.DepreciationMonths,0))</f>
        <v>0</v>
      </c>
      <c r="BR86" s="507" cm="1">
        <f t="array" ref="BR86">_xlfn.LET(_xlpm.DepreciationMonths,INDEX(FixedAssets[Depreciation
/ Amortization Months],_xlfn.XMATCH($E$84,FixedAssets[Asset ID])),IF(AND((_xlfn.XMATCH(BR$8,$AH$8:$CC$8))-_xlfn.XMATCH($C86,$C$35:$C$82)+1&lt;=_xlpm.DepreciationMonths,$C86&lt;=BR$8),$E86/_xlpm.DepreciationMonths,0))</f>
        <v>0</v>
      </c>
      <c r="BS86" s="507" cm="1">
        <f t="array" ref="BS86">_xlfn.LET(_xlpm.DepreciationMonths,INDEX(FixedAssets[Depreciation
/ Amortization Months],_xlfn.XMATCH($E$84,FixedAssets[Asset ID])),IF(AND((_xlfn.XMATCH(BS$8,$AH$8:$CC$8))-_xlfn.XMATCH($C86,$C$35:$C$82)+1&lt;=_xlpm.DepreciationMonths,$C86&lt;=BS$8),$E86/_xlpm.DepreciationMonths,0))</f>
        <v>0</v>
      </c>
      <c r="BT86" s="507" cm="1">
        <f t="array" ref="BT86">_xlfn.LET(_xlpm.DepreciationMonths,INDEX(FixedAssets[Depreciation
/ Amortization Months],_xlfn.XMATCH($E$84,FixedAssets[Asset ID])),IF(AND((_xlfn.XMATCH(BT$8,$AH$8:$CC$8))-_xlfn.XMATCH($C86,$C$35:$C$82)+1&lt;=_xlpm.DepreciationMonths,$C86&lt;=BT$8),$E86/_xlpm.DepreciationMonths,0))</f>
        <v>0</v>
      </c>
      <c r="BU86" s="507" cm="1">
        <f t="array" ref="BU86">_xlfn.LET(_xlpm.DepreciationMonths,INDEX(FixedAssets[Depreciation
/ Amortization Months],_xlfn.XMATCH($E$84,FixedAssets[Asset ID])),IF(AND((_xlfn.XMATCH(BU$8,$AH$8:$CC$8))-_xlfn.XMATCH($C86,$C$35:$C$82)+1&lt;=_xlpm.DepreciationMonths,$C86&lt;=BU$8),$E86/_xlpm.DepreciationMonths,0))</f>
        <v>0</v>
      </c>
      <c r="BV86" s="507" cm="1">
        <f t="array" ref="BV86">_xlfn.LET(_xlpm.DepreciationMonths,INDEX(FixedAssets[Depreciation
/ Amortization Months],_xlfn.XMATCH($E$84,FixedAssets[Asset ID])),IF(AND((_xlfn.XMATCH(BV$8,$AH$8:$CC$8))-_xlfn.XMATCH($C86,$C$35:$C$82)+1&lt;=_xlpm.DepreciationMonths,$C86&lt;=BV$8),$E86/_xlpm.DepreciationMonths,0))</f>
        <v>0</v>
      </c>
      <c r="BW86" s="507" cm="1">
        <f t="array" ref="BW86">_xlfn.LET(_xlpm.DepreciationMonths,INDEX(FixedAssets[Depreciation
/ Amortization Months],_xlfn.XMATCH($E$84,FixedAssets[Asset ID])),IF(AND((_xlfn.XMATCH(BW$8,$AH$8:$CC$8))-_xlfn.XMATCH($C86,$C$35:$C$82)+1&lt;=_xlpm.DepreciationMonths,$C86&lt;=BW$8),$E86/_xlpm.DepreciationMonths,0))</f>
        <v>0</v>
      </c>
      <c r="BX86" s="507" cm="1">
        <f t="array" ref="BX86">_xlfn.LET(_xlpm.DepreciationMonths,INDEX(FixedAssets[Depreciation
/ Amortization Months],_xlfn.XMATCH($E$84,FixedAssets[Asset ID])),IF(AND((_xlfn.XMATCH(BX$8,$AH$8:$CC$8))-_xlfn.XMATCH($C86,$C$35:$C$82)+1&lt;=_xlpm.DepreciationMonths,$C86&lt;=BX$8),$E86/_xlpm.DepreciationMonths,0))</f>
        <v>0</v>
      </c>
      <c r="BY86" s="507" cm="1">
        <f t="array" ref="BY86">_xlfn.LET(_xlpm.DepreciationMonths,INDEX(FixedAssets[Depreciation
/ Amortization Months],_xlfn.XMATCH($E$84,FixedAssets[Asset ID])),IF(AND((_xlfn.XMATCH(BY$8,$AH$8:$CC$8))-_xlfn.XMATCH($C86,$C$35:$C$82)+1&lt;=_xlpm.DepreciationMonths,$C86&lt;=BY$8),$E86/_xlpm.DepreciationMonths,0))</f>
        <v>0</v>
      </c>
      <c r="BZ86" s="507" cm="1">
        <f t="array" ref="BZ86">_xlfn.LET(_xlpm.DepreciationMonths,INDEX(FixedAssets[Depreciation
/ Amortization Months],_xlfn.XMATCH($E$84,FixedAssets[Asset ID])),IF(AND((_xlfn.XMATCH(BZ$8,$AH$8:$CC$8))-_xlfn.XMATCH($C86,$C$35:$C$82)+1&lt;=_xlpm.DepreciationMonths,$C86&lt;=BZ$8),$E86/_xlpm.DepreciationMonths,0))</f>
        <v>0</v>
      </c>
      <c r="CA86" s="507" cm="1">
        <f t="array" ref="CA86">_xlfn.LET(_xlpm.DepreciationMonths,INDEX(FixedAssets[Depreciation
/ Amortization Months],_xlfn.XMATCH($E$84,FixedAssets[Asset ID])),IF(AND((_xlfn.XMATCH(CA$8,$AH$8:$CC$8))-_xlfn.XMATCH($C86,$C$35:$C$82)+1&lt;=_xlpm.DepreciationMonths,$C86&lt;=CA$8),$E86/_xlpm.DepreciationMonths,0))</f>
        <v>0</v>
      </c>
      <c r="CB86" s="507" cm="1">
        <f t="array" ref="CB86">_xlfn.LET(_xlpm.DepreciationMonths,INDEX(FixedAssets[Depreciation
/ Amortization Months],_xlfn.XMATCH($E$84,FixedAssets[Asset ID])),IF(AND((_xlfn.XMATCH(CB$8,$AH$8:$CC$8))-_xlfn.XMATCH($C86,$C$35:$C$82)+1&lt;=_xlpm.DepreciationMonths,$C86&lt;=CB$8),$E86/_xlpm.DepreciationMonths,0))</f>
        <v>0</v>
      </c>
      <c r="CC86" s="507" cm="1">
        <f t="array" ref="CC86">_xlfn.LET(_xlpm.DepreciationMonths,INDEX(FixedAssets[Depreciation
/ Amortization Months],_xlfn.XMATCH($E$84,FixedAssets[Asset ID])),IF(AND((_xlfn.XMATCH(CC$8,$AH$8:$CC$8))-_xlfn.XMATCH($C86,$C$35:$C$82)+1&lt;=_xlpm.DepreciationMonths,$C86&lt;=CC$8),$E86/_xlpm.DepreciationMonths,0))</f>
        <v>0</v>
      </c>
    </row>
    <row r="87" spans="3:81" hidden="1" outlineLevel="2">
      <c r="C87" s="664">
        <f t="shared" ref="C87:C133" si="167">EOMONTH(C86,1)</f>
        <v>44985</v>
      </c>
      <c r="D87" s="508"/>
      <c r="E87" s="508" cm="1">
        <f t="array" ref="E87">SUMPRODUCT(($AH$26:$CC$31)*($AH$5:$CC$5=$C87)*($E$26:$E$31=E$84))-SUMPRODUCT(($AH$26:$CC$31)*($AH$5:$CC$5=EOMONTH($C87,-1))*($E$26:$E$31=E$84))</f>
        <v>0</v>
      </c>
      <c r="F87" s="508"/>
      <c r="G87" s="508"/>
      <c r="H87" s="508"/>
      <c r="I87" s="508"/>
      <c r="J87" s="504">
        <f t="shared" si="164"/>
        <v>0</v>
      </c>
      <c r="K87" s="504">
        <f t="shared" si="165"/>
        <v>0</v>
      </c>
      <c r="L87" s="504">
        <f t="shared" si="165"/>
        <v>0</v>
      </c>
      <c r="M87" s="504">
        <f t="shared" si="165"/>
        <v>0</v>
      </c>
      <c r="N87" s="504"/>
      <c r="O87" s="504"/>
      <c r="P87" s="504">
        <f t="shared" si="166"/>
        <v>0</v>
      </c>
      <c r="Q87" s="504">
        <f t="shared" si="166"/>
        <v>0</v>
      </c>
      <c r="R87" s="504">
        <f t="shared" si="166"/>
        <v>0</v>
      </c>
      <c r="S87" s="504">
        <f t="shared" si="166"/>
        <v>0</v>
      </c>
      <c r="T87" s="504">
        <f t="shared" si="166"/>
        <v>0</v>
      </c>
      <c r="U87" s="504">
        <f t="shared" si="166"/>
        <v>0</v>
      </c>
      <c r="V87" s="504">
        <f t="shared" si="166"/>
        <v>0</v>
      </c>
      <c r="W87" s="504">
        <f t="shared" si="166"/>
        <v>0</v>
      </c>
      <c r="X87" s="504">
        <f t="shared" si="166"/>
        <v>0</v>
      </c>
      <c r="Y87" s="504">
        <f t="shared" si="166"/>
        <v>0</v>
      </c>
      <c r="Z87" s="504">
        <f t="shared" si="166"/>
        <v>0</v>
      </c>
      <c r="AA87" s="504">
        <f t="shared" si="166"/>
        <v>0</v>
      </c>
      <c r="AB87" s="504">
        <f t="shared" si="166"/>
        <v>0</v>
      </c>
      <c r="AC87" s="504">
        <f t="shared" si="166"/>
        <v>0</v>
      </c>
      <c r="AD87" s="504">
        <f t="shared" si="166"/>
        <v>0</v>
      </c>
      <c r="AE87" s="504">
        <f t="shared" si="166"/>
        <v>0</v>
      </c>
      <c r="AF87" s="508"/>
      <c r="AG87" s="508"/>
      <c r="AH87" s="507" cm="1">
        <f t="array" ref="AH87">_xlfn.LET(_xlpm.DepreciationMonths,INDEX(FixedAssets[Depreciation
/ Amortization Months],_xlfn.XMATCH($E$84,FixedAssets[Asset ID])),IF(AND((_xlfn.XMATCH(AH$8,$AH$8:$CC$8))-_xlfn.XMATCH($C87,$C$35:$C$82)+1&lt;=_xlpm.DepreciationMonths,$C87&lt;=AH$8),$E87/_xlpm.DepreciationMonths,0))</f>
        <v>0</v>
      </c>
      <c r="AI87" s="507" cm="1">
        <f t="array" ref="AI87">_xlfn.LET(_xlpm.DepreciationMonths,INDEX(FixedAssets[Depreciation
/ Amortization Months],_xlfn.XMATCH($E$84,FixedAssets[Asset ID])),IF(AND((_xlfn.XMATCH(AI$8,$AH$8:$CC$8))-_xlfn.XMATCH($C87,$C$35:$C$82)+1&lt;=_xlpm.DepreciationMonths,$C87&lt;=AI$8),$E87/_xlpm.DepreciationMonths,0))</f>
        <v>0</v>
      </c>
      <c r="AJ87" s="507" cm="1">
        <f t="array" ref="AJ87">_xlfn.LET(_xlpm.DepreciationMonths,INDEX(FixedAssets[Depreciation
/ Amortization Months],_xlfn.XMATCH($E$84,FixedAssets[Asset ID])),IF(AND((_xlfn.XMATCH(AJ$8,$AH$8:$CC$8))-_xlfn.XMATCH($C87,$C$35:$C$82)+1&lt;=_xlpm.DepreciationMonths,$C87&lt;=AJ$8),$E87/_xlpm.DepreciationMonths,0))</f>
        <v>0</v>
      </c>
      <c r="AK87" s="507" cm="1">
        <f t="array" ref="AK87">_xlfn.LET(_xlpm.DepreciationMonths,INDEX(FixedAssets[Depreciation
/ Amortization Months],_xlfn.XMATCH($E$84,FixedAssets[Asset ID])),IF(AND((_xlfn.XMATCH(AK$8,$AH$8:$CC$8))-_xlfn.XMATCH($C87,$C$35:$C$82)+1&lt;=_xlpm.DepreciationMonths,$C87&lt;=AK$8),$E87/_xlpm.DepreciationMonths,0))</f>
        <v>0</v>
      </c>
      <c r="AL87" s="507" cm="1">
        <f t="array" ref="AL87">_xlfn.LET(_xlpm.DepreciationMonths,INDEX(FixedAssets[Depreciation
/ Amortization Months],_xlfn.XMATCH($E$84,FixedAssets[Asset ID])),IF(AND((_xlfn.XMATCH(AL$8,$AH$8:$CC$8))-_xlfn.XMATCH($C87,$C$35:$C$82)+1&lt;=_xlpm.DepreciationMonths,$C87&lt;=AL$8),$E87/_xlpm.DepreciationMonths,0))</f>
        <v>0</v>
      </c>
      <c r="AM87" s="507" cm="1">
        <f t="array" ref="AM87">_xlfn.LET(_xlpm.DepreciationMonths,INDEX(FixedAssets[Depreciation
/ Amortization Months],_xlfn.XMATCH($E$84,FixedAssets[Asset ID])),IF(AND((_xlfn.XMATCH(AM$8,$AH$8:$CC$8))-_xlfn.XMATCH($C87,$C$35:$C$82)+1&lt;=_xlpm.DepreciationMonths,$C87&lt;=AM$8),$E87/_xlpm.DepreciationMonths,0))</f>
        <v>0</v>
      </c>
      <c r="AN87" s="507" cm="1">
        <f t="array" ref="AN87">_xlfn.LET(_xlpm.DepreciationMonths,INDEX(FixedAssets[Depreciation
/ Amortization Months],_xlfn.XMATCH($E$84,FixedAssets[Asset ID])),IF(AND((_xlfn.XMATCH(AN$8,$AH$8:$CC$8))-_xlfn.XMATCH($C87,$C$35:$C$82)+1&lt;=_xlpm.DepreciationMonths,$C87&lt;=AN$8),$E87/_xlpm.DepreciationMonths,0))</f>
        <v>0</v>
      </c>
      <c r="AO87" s="507" cm="1">
        <f t="array" ref="AO87">_xlfn.LET(_xlpm.DepreciationMonths,INDEX(FixedAssets[Depreciation
/ Amortization Months],_xlfn.XMATCH($E$84,FixedAssets[Asset ID])),IF(AND((_xlfn.XMATCH(AO$8,$AH$8:$CC$8))-_xlfn.XMATCH($C87,$C$35:$C$82)+1&lt;=_xlpm.DepreciationMonths,$C87&lt;=AO$8),$E87/_xlpm.DepreciationMonths,0))</f>
        <v>0</v>
      </c>
      <c r="AP87" s="507" cm="1">
        <f t="array" ref="AP87">_xlfn.LET(_xlpm.DepreciationMonths,INDEX(FixedAssets[Depreciation
/ Amortization Months],_xlfn.XMATCH($E$84,FixedAssets[Asset ID])),IF(AND((_xlfn.XMATCH(AP$8,$AH$8:$CC$8))-_xlfn.XMATCH($C87,$C$35:$C$82)+1&lt;=_xlpm.DepreciationMonths,$C87&lt;=AP$8),$E87/_xlpm.DepreciationMonths,0))</f>
        <v>0</v>
      </c>
      <c r="AQ87" s="507" cm="1">
        <f t="array" ref="AQ87">_xlfn.LET(_xlpm.DepreciationMonths,INDEX(FixedAssets[Depreciation
/ Amortization Months],_xlfn.XMATCH($E$84,FixedAssets[Asset ID])),IF(AND((_xlfn.XMATCH(AQ$8,$AH$8:$CC$8))-_xlfn.XMATCH($C87,$C$35:$C$82)+1&lt;=_xlpm.DepreciationMonths,$C87&lt;=AQ$8),$E87/_xlpm.DepreciationMonths,0))</f>
        <v>0</v>
      </c>
      <c r="AR87" s="507" cm="1">
        <f t="array" ref="AR87">_xlfn.LET(_xlpm.DepreciationMonths,INDEX(FixedAssets[Depreciation
/ Amortization Months],_xlfn.XMATCH($E$84,FixedAssets[Asset ID])),IF(AND((_xlfn.XMATCH(AR$8,$AH$8:$CC$8))-_xlfn.XMATCH($C87,$C$35:$C$82)+1&lt;=_xlpm.DepreciationMonths,$C87&lt;=AR$8),$E87/_xlpm.DepreciationMonths,0))</f>
        <v>0</v>
      </c>
      <c r="AS87" s="507" cm="1">
        <f t="array" ref="AS87">_xlfn.LET(_xlpm.DepreciationMonths,INDEX(FixedAssets[Depreciation
/ Amortization Months],_xlfn.XMATCH($E$84,FixedAssets[Asset ID])),IF(AND((_xlfn.XMATCH(AS$8,$AH$8:$CC$8))-_xlfn.XMATCH($C87,$C$35:$C$82)+1&lt;=_xlpm.DepreciationMonths,$C87&lt;=AS$8),$E87/_xlpm.DepreciationMonths,0))</f>
        <v>0</v>
      </c>
      <c r="AT87" s="507" cm="1">
        <f t="array" ref="AT87">_xlfn.LET(_xlpm.DepreciationMonths,INDEX(FixedAssets[Depreciation
/ Amortization Months],_xlfn.XMATCH($E$84,FixedAssets[Asset ID])),IF(AND((_xlfn.XMATCH(AT$8,$AH$8:$CC$8))-_xlfn.XMATCH($C87,$C$35:$C$82)+1&lt;=_xlpm.DepreciationMonths,$C87&lt;=AT$8),$E87/_xlpm.DepreciationMonths,0))</f>
        <v>0</v>
      </c>
      <c r="AU87" s="507" cm="1">
        <f t="array" ref="AU87">_xlfn.LET(_xlpm.DepreciationMonths,INDEX(FixedAssets[Depreciation
/ Amortization Months],_xlfn.XMATCH($E$84,FixedAssets[Asset ID])),IF(AND((_xlfn.XMATCH(AU$8,$AH$8:$CC$8))-_xlfn.XMATCH($C87,$C$35:$C$82)+1&lt;=_xlpm.DepreciationMonths,$C87&lt;=AU$8),$E87/_xlpm.DepreciationMonths,0))</f>
        <v>0</v>
      </c>
      <c r="AV87" s="507" cm="1">
        <f t="array" ref="AV87">_xlfn.LET(_xlpm.DepreciationMonths,INDEX(FixedAssets[Depreciation
/ Amortization Months],_xlfn.XMATCH($E$84,FixedAssets[Asset ID])),IF(AND((_xlfn.XMATCH(AV$8,$AH$8:$CC$8))-_xlfn.XMATCH($C87,$C$35:$C$82)+1&lt;=_xlpm.DepreciationMonths,$C87&lt;=AV$8),$E87/_xlpm.DepreciationMonths,0))</f>
        <v>0</v>
      </c>
      <c r="AW87" s="507" cm="1">
        <f t="array" ref="AW87">_xlfn.LET(_xlpm.DepreciationMonths,INDEX(FixedAssets[Depreciation
/ Amortization Months],_xlfn.XMATCH($E$84,FixedAssets[Asset ID])),IF(AND((_xlfn.XMATCH(AW$8,$AH$8:$CC$8))-_xlfn.XMATCH($C87,$C$35:$C$82)+1&lt;=_xlpm.DepreciationMonths,$C87&lt;=AW$8),$E87/_xlpm.DepreciationMonths,0))</f>
        <v>0</v>
      </c>
      <c r="AX87" s="507" cm="1">
        <f t="array" ref="AX87">_xlfn.LET(_xlpm.DepreciationMonths,INDEX(FixedAssets[Depreciation
/ Amortization Months],_xlfn.XMATCH($E$84,FixedAssets[Asset ID])),IF(AND((_xlfn.XMATCH(AX$8,$AH$8:$CC$8))-_xlfn.XMATCH($C87,$C$35:$C$82)+1&lt;=_xlpm.DepreciationMonths,$C87&lt;=AX$8),$E87/_xlpm.DepreciationMonths,0))</f>
        <v>0</v>
      </c>
      <c r="AY87" s="507" cm="1">
        <f t="array" ref="AY87">_xlfn.LET(_xlpm.DepreciationMonths,INDEX(FixedAssets[Depreciation
/ Amortization Months],_xlfn.XMATCH($E$84,FixedAssets[Asset ID])),IF(AND((_xlfn.XMATCH(AY$8,$AH$8:$CC$8))-_xlfn.XMATCH($C87,$C$35:$C$82)+1&lt;=_xlpm.DepreciationMonths,$C87&lt;=AY$8),$E87/_xlpm.DepreciationMonths,0))</f>
        <v>0</v>
      </c>
      <c r="AZ87" s="507" cm="1">
        <f t="array" ref="AZ87">_xlfn.LET(_xlpm.DepreciationMonths,INDEX(FixedAssets[Depreciation
/ Amortization Months],_xlfn.XMATCH($E$84,FixedAssets[Asset ID])),IF(AND((_xlfn.XMATCH(AZ$8,$AH$8:$CC$8))-_xlfn.XMATCH($C87,$C$35:$C$82)+1&lt;=_xlpm.DepreciationMonths,$C87&lt;=AZ$8),$E87/_xlpm.DepreciationMonths,0))</f>
        <v>0</v>
      </c>
      <c r="BA87" s="507" cm="1">
        <f t="array" ref="BA87">_xlfn.LET(_xlpm.DepreciationMonths,INDEX(FixedAssets[Depreciation
/ Amortization Months],_xlfn.XMATCH($E$84,FixedAssets[Asset ID])),IF(AND((_xlfn.XMATCH(BA$8,$AH$8:$CC$8))-_xlfn.XMATCH($C87,$C$35:$C$82)+1&lt;=_xlpm.DepreciationMonths,$C87&lt;=BA$8),$E87/_xlpm.DepreciationMonths,0))</f>
        <v>0</v>
      </c>
      <c r="BB87" s="507" cm="1">
        <f t="array" ref="BB87">_xlfn.LET(_xlpm.DepreciationMonths,INDEX(FixedAssets[Depreciation
/ Amortization Months],_xlfn.XMATCH($E$84,FixedAssets[Asset ID])),IF(AND((_xlfn.XMATCH(BB$8,$AH$8:$CC$8))-_xlfn.XMATCH($C87,$C$35:$C$82)+1&lt;=_xlpm.DepreciationMonths,$C87&lt;=BB$8),$E87/_xlpm.DepreciationMonths,0))</f>
        <v>0</v>
      </c>
      <c r="BC87" s="507" cm="1">
        <f t="array" ref="BC87">_xlfn.LET(_xlpm.DepreciationMonths,INDEX(FixedAssets[Depreciation
/ Amortization Months],_xlfn.XMATCH($E$84,FixedAssets[Asset ID])),IF(AND((_xlfn.XMATCH(BC$8,$AH$8:$CC$8))-_xlfn.XMATCH($C87,$C$35:$C$82)+1&lt;=_xlpm.DepreciationMonths,$C87&lt;=BC$8),$E87/_xlpm.DepreciationMonths,0))</f>
        <v>0</v>
      </c>
      <c r="BD87" s="507" cm="1">
        <f t="array" ref="BD87">_xlfn.LET(_xlpm.DepreciationMonths,INDEX(FixedAssets[Depreciation
/ Amortization Months],_xlfn.XMATCH($E$84,FixedAssets[Asset ID])),IF(AND((_xlfn.XMATCH(BD$8,$AH$8:$CC$8))-_xlfn.XMATCH($C87,$C$35:$C$82)+1&lt;=_xlpm.DepreciationMonths,$C87&lt;=BD$8),$E87/_xlpm.DepreciationMonths,0))</f>
        <v>0</v>
      </c>
      <c r="BE87" s="507" cm="1">
        <f t="array" ref="BE87">_xlfn.LET(_xlpm.DepreciationMonths,INDEX(FixedAssets[Depreciation
/ Amortization Months],_xlfn.XMATCH($E$84,FixedAssets[Asset ID])),IF(AND((_xlfn.XMATCH(BE$8,$AH$8:$CC$8))-_xlfn.XMATCH($C87,$C$35:$C$82)+1&lt;=_xlpm.DepreciationMonths,$C87&lt;=BE$8),$E87/_xlpm.DepreciationMonths,0))</f>
        <v>0</v>
      </c>
      <c r="BF87" s="507" cm="1">
        <f t="array" ref="BF87">_xlfn.LET(_xlpm.DepreciationMonths,INDEX(FixedAssets[Depreciation
/ Amortization Months],_xlfn.XMATCH($E$84,FixedAssets[Asset ID])),IF(AND((_xlfn.XMATCH(BF$8,$AH$8:$CC$8))-_xlfn.XMATCH($C87,$C$35:$C$82)+1&lt;=_xlpm.DepreciationMonths,$C87&lt;=BF$8),$E87/_xlpm.DepreciationMonths,0))</f>
        <v>0</v>
      </c>
      <c r="BG87" s="507" cm="1">
        <f t="array" ref="BG87">_xlfn.LET(_xlpm.DepreciationMonths,INDEX(FixedAssets[Depreciation
/ Amortization Months],_xlfn.XMATCH($E$84,FixedAssets[Asset ID])),IF(AND((_xlfn.XMATCH(BG$8,$AH$8:$CC$8))-_xlfn.XMATCH($C87,$C$35:$C$82)+1&lt;=_xlpm.DepreciationMonths,$C87&lt;=BG$8),$E87/_xlpm.DepreciationMonths,0))</f>
        <v>0</v>
      </c>
      <c r="BH87" s="507" cm="1">
        <f t="array" ref="BH87">_xlfn.LET(_xlpm.DepreciationMonths,INDEX(FixedAssets[Depreciation
/ Amortization Months],_xlfn.XMATCH($E$84,FixedAssets[Asset ID])),IF(AND((_xlfn.XMATCH(BH$8,$AH$8:$CC$8))-_xlfn.XMATCH($C87,$C$35:$C$82)+1&lt;=_xlpm.DepreciationMonths,$C87&lt;=BH$8),$E87/_xlpm.DepreciationMonths,0))</f>
        <v>0</v>
      </c>
      <c r="BI87" s="507" cm="1">
        <f t="array" ref="BI87">_xlfn.LET(_xlpm.DepreciationMonths,INDEX(FixedAssets[Depreciation
/ Amortization Months],_xlfn.XMATCH($E$84,FixedAssets[Asset ID])),IF(AND((_xlfn.XMATCH(BI$8,$AH$8:$CC$8))-_xlfn.XMATCH($C87,$C$35:$C$82)+1&lt;=_xlpm.DepreciationMonths,$C87&lt;=BI$8),$E87/_xlpm.DepreciationMonths,0))</f>
        <v>0</v>
      </c>
      <c r="BJ87" s="507" cm="1">
        <f t="array" ref="BJ87">_xlfn.LET(_xlpm.DepreciationMonths,INDEX(FixedAssets[Depreciation
/ Amortization Months],_xlfn.XMATCH($E$84,FixedAssets[Asset ID])),IF(AND((_xlfn.XMATCH(BJ$8,$AH$8:$CC$8))-_xlfn.XMATCH($C87,$C$35:$C$82)+1&lt;=_xlpm.DepreciationMonths,$C87&lt;=BJ$8),$E87/_xlpm.DepreciationMonths,0))</f>
        <v>0</v>
      </c>
      <c r="BK87" s="507" cm="1">
        <f t="array" ref="BK87">_xlfn.LET(_xlpm.DepreciationMonths,INDEX(FixedAssets[Depreciation
/ Amortization Months],_xlfn.XMATCH($E$84,FixedAssets[Asset ID])),IF(AND((_xlfn.XMATCH(BK$8,$AH$8:$CC$8))-_xlfn.XMATCH($C87,$C$35:$C$82)+1&lt;=_xlpm.DepreciationMonths,$C87&lt;=BK$8),$E87/_xlpm.DepreciationMonths,0))</f>
        <v>0</v>
      </c>
      <c r="BL87" s="507" cm="1">
        <f t="array" ref="BL87">_xlfn.LET(_xlpm.DepreciationMonths,INDEX(FixedAssets[Depreciation
/ Amortization Months],_xlfn.XMATCH($E$84,FixedAssets[Asset ID])),IF(AND((_xlfn.XMATCH(BL$8,$AH$8:$CC$8))-_xlfn.XMATCH($C87,$C$35:$C$82)+1&lt;=_xlpm.DepreciationMonths,$C87&lt;=BL$8),$E87/_xlpm.DepreciationMonths,0))</f>
        <v>0</v>
      </c>
      <c r="BM87" s="507" cm="1">
        <f t="array" ref="BM87">_xlfn.LET(_xlpm.DepreciationMonths,INDEX(FixedAssets[Depreciation
/ Amortization Months],_xlfn.XMATCH($E$84,FixedAssets[Asset ID])),IF(AND((_xlfn.XMATCH(BM$8,$AH$8:$CC$8))-_xlfn.XMATCH($C87,$C$35:$C$82)+1&lt;=_xlpm.DepreciationMonths,$C87&lt;=BM$8),$E87/_xlpm.DepreciationMonths,0))</f>
        <v>0</v>
      </c>
      <c r="BN87" s="507" cm="1">
        <f t="array" ref="BN87">_xlfn.LET(_xlpm.DepreciationMonths,INDEX(FixedAssets[Depreciation
/ Amortization Months],_xlfn.XMATCH($E$84,FixedAssets[Asset ID])),IF(AND((_xlfn.XMATCH(BN$8,$AH$8:$CC$8))-_xlfn.XMATCH($C87,$C$35:$C$82)+1&lt;=_xlpm.DepreciationMonths,$C87&lt;=BN$8),$E87/_xlpm.DepreciationMonths,0))</f>
        <v>0</v>
      </c>
      <c r="BO87" s="507" cm="1">
        <f t="array" ref="BO87">_xlfn.LET(_xlpm.DepreciationMonths,INDEX(FixedAssets[Depreciation
/ Amortization Months],_xlfn.XMATCH($E$84,FixedAssets[Asset ID])),IF(AND((_xlfn.XMATCH(BO$8,$AH$8:$CC$8))-_xlfn.XMATCH($C87,$C$35:$C$82)+1&lt;=_xlpm.DepreciationMonths,$C87&lt;=BO$8),$E87/_xlpm.DepreciationMonths,0))</f>
        <v>0</v>
      </c>
      <c r="BP87" s="507" cm="1">
        <f t="array" ref="BP87">_xlfn.LET(_xlpm.DepreciationMonths,INDEX(FixedAssets[Depreciation
/ Amortization Months],_xlfn.XMATCH($E$84,FixedAssets[Asset ID])),IF(AND((_xlfn.XMATCH(BP$8,$AH$8:$CC$8))-_xlfn.XMATCH($C87,$C$35:$C$82)+1&lt;=_xlpm.DepreciationMonths,$C87&lt;=BP$8),$E87/_xlpm.DepreciationMonths,0))</f>
        <v>0</v>
      </c>
      <c r="BQ87" s="507" cm="1">
        <f t="array" ref="BQ87">_xlfn.LET(_xlpm.DepreciationMonths,INDEX(FixedAssets[Depreciation
/ Amortization Months],_xlfn.XMATCH($E$84,FixedAssets[Asset ID])),IF(AND((_xlfn.XMATCH(BQ$8,$AH$8:$CC$8))-_xlfn.XMATCH($C87,$C$35:$C$82)+1&lt;=_xlpm.DepreciationMonths,$C87&lt;=BQ$8),$E87/_xlpm.DepreciationMonths,0))</f>
        <v>0</v>
      </c>
      <c r="BR87" s="507" cm="1">
        <f t="array" ref="BR87">_xlfn.LET(_xlpm.DepreciationMonths,INDEX(FixedAssets[Depreciation
/ Amortization Months],_xlfn.XMATCH($E$84,FixedAssets[Asset ID])),IF(AND((_xlfn.XMATCH(BR$8,$AH$8:$CC$8))-_xlfn.XMATCH($C87,$C$35:$C$82)+1&lt;=_xlpm.DepreciationMonths,$C87&lt;=BR$8),$E87/_xlpm.DepreciationMonths,0))</f>
        <v>0</v>
      </c>
      <c r="BS87" s="507" cm="1">
        <f t="array" ref="BS87">_xlfn.LET(_xlpm.DepreciationMonths,INDEX(FixedAssets[Depreciation
/ Amortization Months],_xlfn.XMATCH($E$84,FixedAssets[Asset ID])),IF(AND((_xlfn.XMATCH(BS$8,$AH$8:$CC$8))-_xlfn.XMATCH($C87,$C$35:$C$82)+1&lt;=_xlpm.DepreciationMonths,$C87&lt;=BS$8),$E87/_xlpm.DepreciationMonths,0))</f>
        <v>0</v>
      </c>
      <c r="BT87" s="507" cm="1">
        <f t="array" ref="BT87">_xlfn.LET(_xlpm.DepreciationMonths,INDEX(FixedAssets[Depreciation
/ Amortization Months],_xlfn.XMATCH($E$84,FixedAssets[Asset ID])),IF(AND((_xlfn.XMATCH(BT$8,$AH$8:$CC$8))-_xlfn.XMATCH($C87,$C$35:$C$82)+1&lt;=_xlpm.DepreciationMonths,$C87&lt;=BT$8),$E87/_xlpm.DepreciationMonths,0))</f>
        <v>0</v>
      </c>
      <c r="BU87" s="507" cm="1">
        <f t="array" ref="BU87">_xlfn.LET(_xlpm.DepreciationMonths,INDEX(FixedAssets[Depreciation
/ Amortization Months],_xlfn.XMATCH($E$84,FixedAssets[Asset ID])),IF(AND((_xlfn.XMATCH(BU$8,$AH$8:$CC$8))-_xlfn.XMATCH($C87,$C$35:$C$82)+1&lt;=_xlpm.DepreciationMonths,$C87&lt;=BU$8),$E87/_xlpm.DepreciationMonths,0))</f>
        <v>0</v>
      </c>
      <c r="BV87" s="507" cm="1">
        <f t="array" ref="BV87">_xlfn.LET(_xlpm.DepreciationMonths,INDEX(FixedAssets[Depreciation
/ Amortization Months],_xlfn.XMATCH($E$84,FixedAssets[Asset ID])),IF(AND((_xlfn.XMATCH(BV$8,$AH$8:$CC$8))-_xlfn.XMATCH($C87,$C$35:$C$82)+1&lt;=_xlpm.DepreciationMonths,$C87&lt;=BV$8),$E87/_xlpm.DepreciationMonths,0))</f>
        <v>0</v>
      </c>
      <c r="BW87" s="507" cm="1">
        <f t="array" ref="BW87">_xlfn.LET(_xlpm.DepreciationMonths,INDEX(FixedAssets[Depreciation
/ Amortization Months],_xlfn.XMATCH($E$84,FixedAssets[Asset ID])),IF(AND((_xlfn.XMATCH(BW$8,$AH$8:$CC$8))-_xlfn.XMATCH($C87,$C$35:$C$82)+1&lt;=_xlpm.DepreciationMonths,$C87&lt;=BW$8),$E87/_xlpm.DepreciationMonths,0))</f>
        <v>0</v>
      </c>
      <c r="BX87" s="507" cm="1">
        <f t="array" ref="BX87">_xlfn.LET(_xlpm.DepreciationMonths,INDEX(FixedAssets[Depreciation
/ Amortization Months],_xlfn.XMATCH($E$84,FixedAssets[Asset ID])),IF(AND((_xlfn.XMATCH(BX$8,$AH$8:$CC$8))-_xlfn.XMATCH($C87,$C$35:$C$82)+1&lt;=_xlpm.DepreciationMonths,$C87&lt;=BX$8),$E87/_xlpm.DepreciationMonths,0))</f>
        <v>0</v>
      </c>
      <c r="BY87" s="507" cm="1">
        <f t="array" ref="BY87">_xlfn.LET(_xlpm.DepreciationMonths,INDEX(FixedAssets[Depreciation
/ Amortization Months],_xlfn.XMATCH($E$84,FixedAssets[Asset ID])),IF(AND((_xlfn.XMATCH(BY$8,$AH$8:$CC$8))-_xlfn.XMATCH($C87,$C$35:$C$82)+1&lt;=_xlpm.DepreciationMonths,$C87&lt;=BY$8),$E87/_xlpm.DepreciationMonths,0))</f>
        <v>0</v>
      </c>
      <c r="BZ87" s="507" cm="1">
        <f t="array" ref="BZ87">_xlfn.LET(_xlpm.DepreciationMonths,INDEX(FixedAssets[Depreciation
/ Amortization Months],_xlfn.XMATCH($E$84,FixedAssets[Asset ID])),IF(AND((_xlfn.XMATCH(BZ$8,$AH$8:$CC$8))-_xlfn.XMATCH($C87,$C$35:$C$82)+1&lt;=_xlpm.DepreciationMonths,$C87&lt;=BZ$8),$E87/_xlpm.DepreciationMonths,0))</f>
        <v>0</v>
      </c>
      <c r="CA87" s="507" cm="1">
        <f t="array" ref="CA87">_xlfn.LET(_xlpm.DepreciationMonths,INDEX(FixedAssets[Depreciation
/ Amortization Months],_xlfn.XMATCH($E$84,FixedAssets[Asset ID])),IF(AND((_xlfn.XMATCH(CA$8,$AH$8:$CC$8))-_xlfn.XMATCH($C87,$C$35:$C$82)+1&lt;=_xlpm.DepreciationMonths,$C87&lt;=CA$8),$E87/_xlpm.DepreciationMonths,0))</f>
        <v>0</v>
      </c>
      <c r="CB87" s="507" cm="1">
        <f t="array" ref="CB87">_xlfn.LET(_xlpm.DepreciationMonths,INDEX(FixedAssets[Depreciation
/ Amortization Months],_xlfn.XMATCH($E$84,FixedAssets[Asset ID])),IF(AND((_xlfn.XMATCH(CB$8,$AH$8:$CC$8))-_xlfn.XMATCH($C87,$C$35:$C$82)+1&lt;=_xlpm.DepreciationMonths,$C87&lt;=CB$8),$E87/_xlpm.DepreciationMonths,0))</f>
        <v>0</v>
      </c>
      <c r="CC87" s="507" cm="1">
        <f t="array" ref="CC87">_xlfn.LET(_xlpm.DepreciationMonths,INDEX(FixedAssets[Depreciation
/ Amortization Months],_xlfn.XMATCH($E$84,FixedAssets[Asset ID])),IF(AND((_xlfn.XMATCH(CC$8,$AH$8:$CC$8))-_xlfn.XMATCH($C87,$C$35:$C$82)+1&lt;=_xlpm.DepreciationMonths,$C87&lt;=CC$8),$E87/_xlpm.DepreciationMonths,0))</f>
        <v>0</v>
      </c>
    </row>
    <row r="88" spans="3:81" hidden="1" outlineLevel="2">
      <c r="C88" s="664">
        <f t="shared" si="167"/>
        <v>45016</v>
      </c>
      <c r="D88" s="508"/>
      <c r="E88" s="508" cm="1">
        <f t="array" ref="E88">SUMPRODUCT(($AH$26:$CC$31)*($AH$5:$CC$5=$C88)*($E$26:$E$31=E$84))-SUMPRODUCT(($AH$26:$CC$31)*($AH$5:$CC$5=EOMONTH($C88,-1))*($E$26:$E$31=E$84))</f>
        <v>0</v>
      </c>
      <c r="F88" s="508"/>
      <c r="G88" s="508"/>
      <c r="H88" s="508"/>
      <c r="I88" s="508"/>
      <c r="J88" s="504">
        <f t="shared" si="164"/>
        <v>0</v>
      </c>
      <c r="K88" s="504">
        <f t="shared" si="165"/>
        <v>0</v>
      </c>
      <c r="L88" s="504">
        <f t="shared" si="165"/>
        <v>0</v>
      </c>
      <c r="M88" s="504">
        <f t="shared" si="165"/>
        <v>0</v>
      </c>
      <c r="N88" s="504"/>
      <c r="O88" s="504"/>
      <c r="P88" s="504">
        <f t="shared" si="166"/>
        <v>0</v>
      </c>
      <c r="Q88" s="504">
        <f t="shared" si="166"/>
        <v>0</v>
      </c>
      <c r="R88" s="504">
        <f t="shared" si="166"/>
        <v>0</v>
      </c>
      <c r="S88" s="504">
        <f t="shared" si="166"/>
        <v>0</v>
      </c>
      <c r="T88" s="504">
        <f t="shared" si="166"/>
        <v>0</v>
      </c>
      <c r="U88" s="504">
        <f t="shared" si="166"/>
        <v>0</v>
      </c>
      <c r="V88" s="504">
        <f t="shared" si="166"/>
        <v>0</v>
      </c>
      <c r="W88" s="504">
        <f t="shared" si="166"/>
        <v>0</v>
      </c>
      <c r="X88" s="504">
        <f t="shared" si="166"/>
        <v>0</v>
      </c>
      <c r="Y88" s="504">
        <f t="shared" si="166"/>
        <v>0</v>
      </c>
      <c r="Z88" s="504">
        <f t="shared" si="166"/>
        <v>0</v>
      </c>
      <c r="AA88" s="504">
        <f t="shared" si="166"/>
        <v>0</v>
      </c>
      <c r="AB88" s="504">
        <f t="shared" si="166"/>
        <v>0</v>
      </c>
      <c r="AC88" s="504">
        <f t="shared" si="166"/>
        <v>0</v>
      </c>
      <c r="AD88" s="504">
        <f t="shared" si="166"/>
        <v>0</v>
      </c>
      <c r="AE88" s="504">
        <f t="shared" si="166"/>
        <v>0</v>
      </c>
      <c r="AF88" s="508"/>
      <c r="AG88" s="508"/>
      <c r="AH88" s="507" cm="1">
        <f t="array" ref="AH88">_xlfn.LET(_xlpm.DepreciationMonths,INDEX(FixedAssets[Depreciation
/ Amortization Months],_xlfn.XMATCH($E$84,FixedAssets[Asset ID])),IF(AND((_xlfn.XMATCH(AH$8,$AH$8:$CC$8))-_xlfn.XMATCH($C88,$C$35:$C$82)+1&lt;=_xlpm.DepreciationMonths,$C88&lt;=AH$8),$E88/_xlpm.DepreciationMonths,0))</f>
        <v>0</v>
      </c>
      <c r="AI88" s="507" cm="1">
        <f t="array" ref="AI88">_xlfn.LET(_xlpm.DepreciationMonths,INDEX(FixedAssets[Depreciation
/ Amortization Months],_xlfn.XMATCH($E$84,FixedAssets[Asset ID])),IF(AND((_xlfn.XMATCH(AI$8,$AH$8:$CC$8))-_xlfn.XMATCH($C88,$C$35:$C$82)+1&lt;=_xlpm.DepreciationMonths,$C88&lt;=AI$8),$E88/_xlpm.DepreciationMonths,0))</f>
        <v>0</v>
      </c>
      <c r="AJ88" s="507" cm="1">
        <f t="array" ref="AJ88">_xlfn.LET(_xlpm.DepreciationMonths,INDEX(FixedAssets[Depreciation
/ Amortization Months],_xlfn.XMATCH($E$84,FixedAssets[Asset ID])),IF(AND((_xlfn.XMATCH(AJ$8,$AH$8:$CC$8))-_xlfn.XMATCH($C88,$C$35:$C$82)+1&lt;=_xlpm.DepreciationMonths,$C88&lt;=AJ$8),$E88/_xlpm.DepreciationMonths,0))</f>
        <v>0</v>
      </c>
      <c r="AK88" s="507" cm="1">
        <f t="array" ref="AK88">_xlfn.LET(_xlpm.DepreciationMonths,INDEX(FixedAssets[Depreciation
/ Amortization Months],_xlfn.XMATCH($E$84,FixedAssets[Asset ID])),IF(AND((_xlfn.XMATCH(AK$8,$AH$8:$CC$8))-_xlfn.XMATCH($C88,$C$35:$C$82)+1&lt;=_xlpm.DepreciationMonths,$C88&lt;=AK$8),$E88/_xlpm.DepreciationMonths,0))</f>
        <v>0</v>
      </c>
      <c r="AL88" s="507" cm="1">
        <f t="array" ref="AL88">_xlfn.LET(_xlpm.DepreciationMonths,INDEX(FixedAssets[Depreciation
/ Amortization Months],_xlfn.XMATCH($E$84,FixedAssets[Asset ID])),IF(AND((_xlfn.XMATCH(AL$8,$AH$8:$CC$8))-_xlfn.XMATCH($C88,$C$35:$C$82)+1&lt;=_xlpm.DepreciationMonths,$C88&lt;=AL$8),$E88/_xlpm.DepreciationMonths,0))</f>
        <v>0</v>
      </c>
      <c r="AM88" s="507" cm="1">
        <f t="array" ref="AM88">_xlfn.LET(_xlpm.DepreciationMonths,INDEX(FixedAssets[Depreciation
/ Amortization Months],_xlfn.XMATCH($E$84,FixedAssets[Asset ID])),IF(AND((_xlfn.XMATCH(AM$8,$AH$8:$CC$8))-_xlfn.XMATCH($C88,$C$35:$C$82)+1&lt;=_xlpm.DepreciationMonths,$C88&lt;=AM$8),$E88/_xlpm.DepreciationMonths,0))</f>
        <v>0</v>
      </c>
      <c r="AN88" s="507" cm="1">
        <f t="array" ref="AN88">_xlfn.LET(_xlpm.DepreciationMonths,INDEX(FixedAssets[Depreciation
/ Amortization Months],_xlfn.XMATCH($E$84,FixedAssets[Asset ID])),IF(AND((_xlfn.XMATCH(AN$8,$AH$8:$CC$8))-_xlfn.XMATCH($C88,$C$35:$C$82)+1&lt;=_xlpm.DepreciationMonths,$C88&lt;=AN$8),$E88/_xlpm.DepreciationMonths,0))</f>
        <v>0</v>
      </c>
      <c r="AO88" s="507" cm="1">
        <f t="array" ref="AO88">_xlfn.LET(_xlpm.DepreciationMonths,INDEX(FixedAssets[Depreciation
/ Amortization Months],_xlfn.XMATCH($E$84,FixedAssets[Asset ID])),IF(AND((_xlfn.XMATCH(AO$8,$AH$8:$CC$8))-_xlfn.XMATCH($C88,$C$35:$C$82)+1&lt;=_xlpm.DepreciationMonths,$C88&lt;=AO$8),$E88/_xlpm.DepreciationMonths,0))</f>
        <v>0</v>
      </c>
      <c r="AP88" s="507" cm="1">
        <f t="array" ref="AP88">_xlfn.LET(_xlpm.DepreciationMonths,INDEX(FixedAssets[Depreciation
/ Amortization Months],_xlfn.XMATCH($E$84,FixedAssets[Asset ID])),IF(AND((_xlfn.XMATCH(AP$8,$AH$8:$CC$8))-_xlfn.XMATCH($C88,$C$35:$C$82)+1&lt;=_xlpm.DepreciationMonths,$C88&lt;=AP$8),$E88/_xlpm.DepreciationMonths,0))</f>
        <v>0</v>
      </c>
      <c r="AQ88" s="507" cm="1">
        <f t="array" ref="AQ88">_xlfn.LET(_xlpm.DepreciationMonths,INDEX(FixedAssets[Depreciation
/ Amortization Months],_xlfn.XMATCH($E$84,FixedAssets[Asset ID])),IF(AND((_xlfn.XMATCH(AQ$8,$AH$8:$CC$8))-_xlfn.XMATCH($C88,$C$35:$C$82)+1&lt;=_xlpm.DepreciationMonths,$C88&lt;=AQ$8),$E88/_xlpm.DepreciationMonths,0))</f>
        <v>0</v>
      </c>
      <c r="AR88" s="507" cm="1">
        <f t="array" ref="AR88">_xlfn.LET(_xlpm.DepreciationMonths,INDEX(FixedAssets[Depreciation
/ Amortization Months],_xlfn.XMATCH($E$84,FixedAssets[Asset ID])),IF(AND((_xlfn.XMATCH(AR$8,$AH$8:$CC$8))-_xlfn.XMATCH($C88,$C$35:$C$82)+1&lt;=_xlpm.DepreciationMonths,$C88&lt;=AR$8),$E88/_xlpm.DepreciationMonths,0))</f>
        <v>0</v>
      </c>
      <c r="AS88" s="507" cm="1">
        <f t="array" ref="AS88">_xlfn.LET(_xlpm.DepreciationMonths,INDEX(FixedAssets[Depreciation
/ Amortization Months],_xlfn.XMATCH($E$84,FixedAssets[Asset ID])),IF(AND((_xlfn.XMATCH(AS$8,$AH$8:$CC$8))-_xlfn.XMATCH($C88,$C$35:$C$82)+1&lt;=_xlpm.DepreciationMonths,$C88&lt;=AS$8),$E88/_xlpm.DepreciationMonths,0))</f>
        <v>0</v>
      </c>
      <c r="AT88" s="507" cm="1">
        <f t="array" ref="AT88">_xlfn.LET(_xlpm.DepreciationMonths,INDEX(FixedAssets[Depreciation
/ Amortization Months],_xlfn.XMATCH($E$84,FixedAssets[Asset ID])),IF(AND((_xlfn.XMATCH(AT$8,$AH$8:$CC$8))-_xlfn.XMATCH($C88,$C$35:$C$82)+1&lt;=_xlpm.DepreciationMonths,$C88&lt;=AT$8),$E88/_xlpm.DepreciationMonths,0))</f>
        <v>0</v>
      </c>
      <c r="AU88" s="507" cm="1">
        <f t="array" ref="AU88">_xlfn.LET(_xlpm.DepreciationMonths,INDEX(FixedAssets[Depreciation
/ Amortization Months],_xlfn.XMATCH($E$84,FixedAssets[Asset ID])),IF(AND((_xlfn.XMATCH(AU$8,$AH$8:$CC$8))-_xlfn.XMATCH($C88,$C$35:$C$82)+1&lt;=_xlpm.DepreciationMonths,$C88&lt;=AU$8),$E88/_xlpm.DepreciationMonths,0))</f>
        <v>0</v>
      </c>
      <c r="AV88" s="507" cm="1">
        <f t="array" ref="AV88">_xlfn.LET(_xlpm.DepreciationMonths,INDEX(FixedAssets[Depreciation
/ Amortization Months],_xlfn.XMATCH($E$84,FixedAssets[Asset ID])),IF(AND((_xlfn.XMATCH(AV$8,$AH$8:$CC$8))-_xlfn.XMATCH($C88,$C$35:$C$82)+1&lt;=_xlpm.DepreciationMonths,$C88&lt;=AV$8),$E88/_xlpm.DepreciationMonths,0))</f>
        <v>0</v>
      </c>
      <c r="AW88" s="507" cm="1">
        <f t="array" ref="AW88">_xlfn.LET(_xlpm.DepreciationMonths,INDEX(FixedAssets[Depreciation
/ Amortization Months],_xlfn.XMATCH($E$84,FixedAssets[Asset ID])),IF(AND((_xlfn.XMATCH(AW$8,$AH$8:$CC$8))-_xlfn.XMATCH($C88,$C$35:$C$82)+1&lt;=_xlpm.DepreciationMonths,$C88&lt;=AW$8),$E88/_xlpm.DepreciationMonths,0))</f>
        <v>0</v>
      </c>
      <c r="AX88" s="507" cm="1">
        <f t="array" ref="AX88">_xlfn.LET(_xlpm.DepreciationMonths,INDEX(FixedAssets[Depreciation
/ Amortization Months],_xlfn.XMATCH($E$84,FixedAssets[Asset ID])),IF(AND((_xlfn.XMATCH(AX$8,$AH$8:$CC$8))-_xlfn.XMATCH($C88,$C$35:$C$82)+1&lt;=_xlpm.DepreciationMonths,$C88&lt;=AX$8),$E88/_xlpm.DepreciationMonths,0))</f>
        <v>0</v>
      </c>
      <c r="AY88" s="507" cm="1">
        <f t="array" ref="AY88">_xlfn.LET(_xlpm.DepreciationMonths,INDEX(FixedAssets[Depreciation
/ Amortization Months],_xlfn.XMATCH($E$84,FixedAssets[Asset ID])),IF(AND((_xlfn.XMATCH(AY$8,$AH$8:$CC$8))-_xlfn.XMATCH($C88,$C$35:$C$82)+1&lt;=_xlpm.DepreciationMonths,$C88&lt;=AY$8),$E88/_xlpm.DepreciationMonths,0))</f>
        <v>0</v>
      </c>
      <c r="AZ88" s="507" cm="1">
        <f t="array" ref="AZ88">_xlfn.LET(_xlpm.DepreciationMonths,INDEX(FixedAssets[Depreciation
/ Amortization Months],_xlfn.XMATCH($E$84,FixedAssets[Asset ID])),IF(AND((_xlfn.XMATCH(AZ$8,$AH$8:$CC$8))-_xlfn.XMATCH($C88,$C$35:$C$82)+1&lt;=_xlpm.DepreciationMonths,$C88&lt;=AZ$8),$E88/_xlpm.DepreciationMonths,0))</f>
        <v>0</v>
      </c>
      <c r="BA88" s="507" cm="1">
        <f t="array" ref="BA88">_xlfn.LET(_xlpm.DepreciationMonths,INDEX(FixedAssets[Depreciation
/ Amortization Months],_xlfn.XMATCH($E$84,FixedAssets[Asset ID])),IF(AND((_xlfn.XMATCH(BA$8,$AH$8:$CC$8))-_xlfn.XMATCH($C88,$C$35:$C$82)+1&lt;=_xlpm.DepreciationMonths,$C88&lt;=BA$8),$E88/_xlpm.DepreciationMonths,0))</f>
        <v>0</v>
      </c>
      <c r="BB88" s="507" cm="1">
        <f t="array" ref="BB88">_xlfn.LET(_xlpm.DepreciationMonths,INDEX(FixedAssets[Depreciation
/ Amortization Months],_xlfn.XMATCH($E$84,FixedAssets[Asset ID])),IF(AND((_xlfn.XMATCH(BB$8,$AH$8:$CC$8))-_xlfn.XMATCH($C88,$C$35:$C$82)+1&lt;=_xlpm.DepreciationMonths,$C88&lt;=BB$8),$E88/_xlpm.DepreciationMonths,0))</f>
        <v>0</v>
      </c>
      <c r="BC88" s="507" cm="1">
        <f t="array" ref="BC88">_xlfn.LET(_xlpm.DepreciationMonths,INDEX(FixedAssets[Depreciation
/ Amortization Months],_xlfn.XMATCH($E$84,FixedAssets[Asset ID])),IF(AND((_xlfn.XMATCH(BC$8,$AH$8:$CC$8))-_xlfn.XMATCH($C88,$C$35:$C$82)+1&lt;=_xlpm.DepreciationMonths,$C88&lt;=BC$8),$E88/_xlpm.DepreciationMonths,0))</f>
        <v>0</v>
      </c>
      <c r="BD88" s="507" cm="1">
        <f t="array" ref="BD88">_xlfn.LET(_xlpm.DepreciationMonths,INDEX(FixedAssets[Depreciation
/ Amortization Months],_xlfn.XMATCH($E$84,FixedAssets[Asset ID])),IF(AND((_xlfn.XMATCH(BD$8,$AH$8:$CC$8))-_xlfn.XMATCH($C88,$C$35:$C$82)+1&lt;=_xlpm.DepreciationMonths,$C88&lt;=BD$8),$E88/_xlpm.DepreciationMonths,0))</f>
        <v>0</v>
      </c>
      <c r="BE88" s="507" cm="1">
        <f t="array" ref="BE88">_xlfn.LET(_xlpm.DepreciationMonths,INDEX(FixedAssets[Depreciation
/ Amortization Months],_xlfn.XMATCH($E$84,FixedAssets[Asset ID])),IF(AND((_xlfn.XMATCH(BE$8,$AH$8:$CC$8))-_xlfn.XMATCH($C88,$C$35:$C$82)+1&lt;=_xlpm.DepreciationMonths,$C88&lt;=BE$8),$E88/_xlpm.DepreciationMonths,0))</f>
        <v>0</v>
      </c>
      <c r="BF88" s="507" cm="1">
        <f t="array" ref="BF88">_xlfn.LET(_xlpm.DepreciationMonths,INDEX(FixedAssets[Depreciation
/ Amortization Months],_xlfn.XMATCH($E$84,FixedAssets[Asset ID])),IF(AND((_xlfn.XMATCH(BF$8,$AH$8:$CC$8))-_xlfn.XMATCH($C88,$C$35:$C$82)+1&lt;=_xlpm.DepreciationMonths,$C88&lt;=BF$8),$E88/_xlpm.DepreciationMonths,0))</f>
        <v>0</v>
      </c>
      <c r="BG88" s="507" cm="1">
        <f t="array" ref="BG88">_xlfn.LET(_xlpm.DepreciationMonths,INDEX(FixedAssets[Depreciation
/ Amortization Months],_xlfn.XMATCH($E$84,FixedAssets[Asset ID])),IF(AND((_xlfn.XMATCH(BG$8,$AH$8:$CC$8))-_xlfn.XMATCH($C88,$C$35:$C$82)+1&lt;=_xlpm.DepreciationMonths,$C88&lt;=BG$8),$E88/_xlpm.DepreciationMonths,0))</f>
        <v>0</v>
      </c>
      <c r="BH88" s="507" cm="1">
        <f t="array" ref="BH88">_xlfn.LET(_xlpm.DepreciationMonths,INDEX(FixedAssets[Depreciation
/ Amortization Months],_xlfn.XMATCH($E$84,FixedAssets[Asset ID])),IF(AND((_xlfn.XMATCH(BH$8,$AH$8:$CC$8))-_xlfn.XMATCH($C88,$C$35:$C$82)+1&lt;=_xlpm.DepreciationMonths,$C88&lt;=BH$8),$E88/_xlpm.DepreciationMonths,0))</f>
        <v>0</v>
      </c>
      <c r="BI88" s="507" cm="1">
        <f t="array" ref="BI88">_xlfn.LET(_xlpm.DepreciationMonths,INDEX(FixedAssets[Depreciation
/ Amortization Months],_xlfn.XMATCH($E$84,FixedAssets[Asset ID])),IF(AND((_xlfn.XMATCH(BI$8,$AH$8:$CC$8))-_xlfn.XMATCH($C88,$C$35:$C$82)+1&lt;=_xlpm.DepreciationMonths,$C88&lt;=BI$8),$E88/_xlpm.DepreciationMonths,0))</f>
        <v>0</v>
      </c>
      <c r="BJ88" s="507" cm="1">
        <f t="array" ref="BJ88">_xlfn.LET(_xlpm.DepreciationMonths,INDEX(FixedAssets[Depreciation
/ Amortization Months],_xlfn.XMATCH($E$84,FixedAssets[Asset ID])),IF(AND((_xlfn.XMATCH(BJ$8,$AH$8:$CC$8))-_xlfn.XMATCH($C88,$C$35:$C$82)+1&lt;=_xlpm.DepreciationMonths,$C88&lt;=BJ$8),$E88/_xlpm.DepreciationMonths,0))</f>
        <v>0</v>
      </c>
      <c r="BK88" s="507" cm="1">
        <f t="array" ref="BK88">_xlfn.LET(_xlpm.DepreciationMonths,INDEX(FixedAssets[Depreciation
/ Amortization Months],_xlfn.XMATCH($E$84,FixedAssets[Asset ID])),IF(AND((_xlfn.XMATCH(BK$8,$AH$8:$CC$8))-_xlfn.XMATCH($C88,$C$35:$C$82)+1&lt;=_xlpm.DepreciationMonths,$C88&lt;=BK$8),$E88/_xlpm.DepreciationMonths,0))</f>
        <v>0</v>
      </c>
      <c r="BL88" s="507" cm="1">
        <f t="array" ref="BL88">_xlfn.LET(_xlpm.DepreciationMonths,INDEX(FixedAssets[Depreciation
/ Amortization Months],_xlfn.XMATCH($E$84,FixedAssets[Asset ID])),IF(AND((_xlfn.XMATCH(BL$8,$AH$8:$CC$8))-_xlfn.XMATCH($C88,$C$35:$C$82)+1&lt;=_xlpm.DepreciationMonths,$C88&lt;=BL$8),$E88/_xlpm.DepreciationMonths,0))</f>
        <v>0</v>
      </c>
      <c r="BM88" s="507" cm="1">
        <f t="array" ref="BM88">_xlfn.LET(_xlpm.DepreciationMonths,INDEX(FixedAssets[Depreciation
/ Amortization Months],_xlfn.XMATCH($E$84,FixedAssets[Asset ID])),IF(AND((_xlfn.XMATCH(BM$8,$AH$8:$CC$8))-_xlfn.XMATCH($C88,$C$35:$C$82)+1&lt;=_xlpm.DepreciationMonths,$C88&lt;=BM$8),$E88/_xlpm.DepreciationMonths,0))</f>
        <v>0</v>
      </c>
      <c r="BN88" s="507" cm="1">
        <f t="array" ref="BN88">_xlfn.LET(_xlpm.DepreciationMonths,INDEX(FixedAssets[Depreciation
/ Amortization Months],_xlfn.XMATCH($E$84,FixedAssets[Asset ID])),IF(AND((_xlfn.XMATCH(BN$8,$AH$8:$CC$8))-_xlfn.XMATCH($C88,$C$35:$C$82)+1&lt;=_xlpm.DepreciationMonths,$C88&lt;=BN$8),$E88/_xlpm.DepreciationMonths,0))</f>
        <v>0</v>
      </c>
      <c r="BO88" s="507" cm="1">
        <f t="array" ref="BO88">_xlfn.LET(_xlpm.DepreciationMonths,INDEX(FixedAssets[Depreciation
/ Amortization Months],_xlfn.XMATCH($E$84,FixedAssets[Asset ID])),IF(AND((_xlfn.XMATCH(BO$8,$AH$8:$CC$8))-_xlfn.XMATCH($C88,$C$35:$C$82)+1&lt;=_xlpm.DepreciationMonths,$C88&lt;=BO$8),$E88/_xlpm.DepreciationMonths,0))</f>
        <v>0</v>
      </c>
      <c r="BP88" s="507" cm="1">
        <f t="array" ref="BP88">_xlfn.LET(_xlpm.DepreciationMonths,INDEX(FixedAssets[Depreciation
/ Amortization Months],_xlfn.XMATCH($E$84,FixedAssets[Asset ID])),IF(AND((_xlfn.XMATCH(BP$8,$AH$8:$CC$8))-_xlfn.XMATCH($C88,$C$35:$C$82)+1&lt;=_xlpm.DepreciationMonths,$C88&lt;=BP$8),$E88/_xlpm.DepreciationMonths,0))</f>
        <v>0</v>
      </c>
      <c r="BQ88" s="507" cm="1">
        <f t="array" ref="BQ88">_xlfn.LET(_xlpm.DepreciationMonths,INDEX(FixedAssets[Depreciation
/ Amortization Months],_xlfn.XMATCH($E$84,FixedAssets[Asset ID])),IF(AND((_xlfn.XMATCH(BQ$8,$AH$8:$CC$8))-_xlfn.XMATCH($C88,$C$35:$C$82)+1&lt;=_xlpm.DepreciationMonths,$C88&lt;=BQ$8),$E88/_xlpm.DepreciationMonths,0))</f>
        <v>0</v>
      </c>
      <c r="BR88" s="507" cm="1">
        <f t="array" ref="BR88">_xlfn.LET(_xlpm.DepreciationMonths,INDEX(FixedAssets[Depreciation
/ Amortization Months],_xlfn.XMATCH($E$84,FixedAssets[Asset ID])),IF(AND((_xlfn.XMATCH(BR$8,$AH$8:$CC$8))-_xlfn.XMATCH($C88,$C$35:$C$82)+1&lt;=_xlpm.DepreciationMonths,$C88&lt;=BR$8),$E88/_xlpm.DepreciationMonths,0))</f>
        <v>0</v>
      </c>
      <c r="BS88" s="507" cm="1">
        <f t="array" ref="BS88">_xlfn.LET(_xlpm.DepreciationMonths,INDEX(FixedAssets[Depreciation
/ Amortization Months],_xlfn.XMATCH($E$84,FixedAssets[Asset ID])),IF(AND((_xlfn.XMATCH(BS$8,$AH$8:$CC$8))-_xlfn.XMATCH($C88,$C$35:$C$82)+1&lt;=_xlpm.DepreciationMonths,$C88&lt;=BS$8),$E88/_xlpm.DepreciationMonths,0))</f>
        <v>0</v>
      </c>
      <c r="BT88" s="507" cm="1">
        <f t="array" ref="BT88">_xlfn.LET(_xlpm.DepreciationMonths,INDEX(FixedAssets[Depreciation
/ Amortization Months],_xlfn.XMATCH($E$84,FixedAssets[Asset ID])),IF(AND((_xlfn.XMATCH(BT$8,$AH$8:$CC$8))-_xlfn.XMATCH($C88,$C$35:$C$82)+1&lt;=_xlpm.DepreciationMonths,$C88&lt;=BT$8),$E88/_xlpm.DepreciationMonths,0))</f>
        <v>0</v>
      </c>
      <c r="BU88" s="507" cm="1">
        <f t="array" ref="BU88">_xlfn.LET(_xlpm.DepreciationMonths,INDEX(FixedAssets[Depreciation
/ Amortization Months],_xlfn.XMATCH($E$84,FixedAssets[Asset ID])),IF(AND((_xlfn.XMATCH(BU$8,$AH$8:$CC$8))-_xlfn.XMATCH($C88,$C$35:$C$82)+1&lt;=_xlpm.DepreciationMonths,$C88&lt;=BU$8),$E88/_xlpm.DepreciationMonths,0))</f>
        <v>0</v>
      </c>
      <c r="BV88" s="507" cm="1">
        <f t="array" ref="BV88">_xlfn.LET(_xlpm.DepreciationMonths,INDEX(FixedAssets[Depreciation
/ Amortization Months],_xlfn.XMATCH($E$84,FixedAssets[Asset ID])),IF(AND((_xlfn.XMATCH(BV$8,$AH$8:$CC$8))-_xlfn.XMATCH($C88,$C$35:$C$82)+1&lt;=_xlpm.DepreciationMonths,$C88&lt;=BV$8),$E88/_xlpm.DepreciationMonths,0))</f>
        <v>0</v>
      </c>
      <c r="BW88" s="507" cm="1">
        <f t="array" ref="BW88">_xlfn.LET(_xlpm.DepreciationMonths,INDEX(FixedAssets[Depreciation
/ Amortization Months],_xlfn.XMATCH($E$84,FixedAssets[Asset ID])),IF(AND((_xlfn.XMATCH(BW$8,$AH$8:$CC$8))-_xlfn.XMATCH($C88,$C$35:$C$82)+1&lt;=_xlpm.DepreciationMonths,$C88&lt;=BW$8),$E88/_xlpm.DepreciationMonths,0))</f>
        <v>0</v>
      </c>
      <c r="BX88" s="507" cm="1">
        <f t="array" ref="BX88">_xlfn.LET(_xlpm.DepreciationMonths,INDEX(FixedAssets[Depreciation
/ Amortization Months],_xlfn.XMATCH($E$84,FixedAssets[Asset ID])),IF(AND((_xlfn.XMATCH(BX$8,$AH$8:$CC$8))-_xlfn.XMATCH($C88,$C$35:$C$82)+1&lt;=_xlpm.DepreciationMonths,$C88&lt;=BX$8),$E88/_xlpm.DepreciationMonths,0))</f>
        <v>0</v>
      </c>
      <c r="BY88" s="507" cm="1">
        <f t="array" ref="BY88">_xlfn.LET(_xlpm.DepreciationMonths,INDEX(FixedAssets[Depreciation
/ Amortization Months],_xlfn.XMATCH($E$84,FixedAssets[Asset ID])),IF(AND((_xlfn.XMATCH(BY$8,$AH$8:$CC$8))-_xlfn.XMATCH($C88,$C$35:$C$82)+1&lt;=_xlpm.DepreciationMonths,$C88&lt;=BY$8),$E88/_xlpm.DepreciationMonths,0))</f>
        <v>0</v>
      </c>
      <c r="BZ88" s="507" cm="1">
        <f t="array" ref="BZ88">_xlfn.LET(_xlpm.DepreciationMonths,INDEX(FixedAssets[Depreciation
/ Amortization Months],_xlfn.XMATCH($E$84,FixedAssets[Asset ID])),IF(AND((_xlfn.XMATCH(BZ$8,$AH$8:$CC$8))-_xlfn.XMATCH($C88,$C$35:$C$82)+1&lt;=_xlpm.DepreciationMonths,$C88&lt;=BZ$8),$E88/_xlpm.DepreciationMonths,0))</f>
        <v>0</v>
      </c>
      <c r="CA88" s="507" cm="1">
        <f t="array" ref="CA88">_xlfn.LET(_xlpm.DepreciationMonths,INDEX(FixedAssets[Depreciation
/ Amortization Months],_xlfn.XMATCH($E$84,FixedAssets[Asset ID])),IF(AND((_xlfn.XMATCH(CA$8,$AH$8:$CC$8))-_xlfn.XMATCH($C88,$C$35:$C$82)+1&lt;=_xlpm.DepreciationMonths,$C88&lt;=CA$8),$E88/_xlpm.DepreciationMonths,0))</f>
        <v>0</v>
      </c>
      <c r="CB88" s="507" cm="1">
        <f t="array" ref="CB88">_xlfn.LET(_xlpm.DepreciationMonths,INDEX(FixedAssets[Depreciation
/ Amortization Months],_xlfn.XMATCH($E$84,FixedAssets[Asset ID])),IF(AND((_xlfn.XMATCH(CB$8,$AH$8:$CC$8))-_xlfn.XMATCH($C88,$C$35:$C$82)+1&lt;=_xlpm.DepreciationMonths,$C88&lt;=CB$8),$E88/_xlpm.DepreciationMonths,0))</f>
        <v>0</v>
      </c>
      <c r="CC88" s="507" cm="1">
        <f t="array" ref="CC88">_xlfn.LET(_xlpm.DepreciationMonths,INDEX(FixedAssets[Depreciation
/ Amortization Months],_xlfn.XMATCH($E$84,FixedAssets[Asset ID])),IF(AND((_xlfn.XMATCH(CC$8,$AH$8:$CC$8))-_xlfn.XMATCH($C88,$C$35:$C$82)+1&lt;=_xlpm.DepreciationMonths,$C88&lt;=CC$8),$E88/_xlpm.DepreciationMonths,0))</f>
        <v>0</v>
      </c>
    </row>
    <row r="89" spans="3:81" hidden="1" outlineLevel="2">
      <c r="C89" s="664">
        <f t="shared" si="167"/>
        <v>45046</v>
      </c>
      <c r="D89" s="508"/>
      <c r="E89" s="508" cm="1">
        <f t="array" ref="E89">SUMPRODUCT(($AH$26:$CC$31)*($AH$5:$CC$5=$C89)*($E$26:$E$31=E$84))-SUMPRODUCT(($AH$26:$CC$31)*($AH$5:$CC$5=EOMONTH($C89,-1))*($E$26:$E$31=E$84))</f>
        <v>35000</v>
      </c>
      <c r="F89" s="508"/>
      <c r="G89" s="508"/>
      <c r="H89" s="508"/>
      <c r="I89" s="508"/>
      <c r="J89" s="504">
        <f t="shared" si="164"/>
        <v>8750.0000000000018</v>
      </c>
      <c r="K89" s="504">
        <f t="shared" si="165"/>
        <v>11666.66666666667</v>
      </c>
      <c r="L89" s="504">
        <f t="shared" si="165"/>
        <v>11666.66666666667</v>
      </c>
      <c r="M89" s="504">
        <f t="shared" si="165"/>
        <v>2916.6666666666665</v>
      </c>
      <c r="N89" s="504"/>
      <c r="O89" s="504"/>
      <c r="P89" s="504">
        <f t="shared" si="166"/>
        <v>0</v>
      </c>
      <c r="Q89" s="504">
        <f t="shared" si="166"/>
        <v>2916.6666666666665</v>
      </c>
      <c r="R89" s="504">
        <f t="shared" si="166"/>
        <v>2916.6666666666665</v>
      </c>
      <c r="S89" s="504">
        <f t="shared" si="166"/>
        <v>2916.6666666666665</v>
      </c>
      <c r="T89" s="504">
        <f t="shared" si="166"/>
        <v>2916.6666666666665</v>
      </c>
      <c r="U89" s="504">
        <f t="shared" si="166"/>
        <v>2916.6666666666665</v>
      </c>
      <c r="V89" s="504">
        <f t="shared" si="166"/>
        <v>2916.6666666666665</v>
      </c>
      <c r="W89" s="504">
        <f t="shared" si="166"/>
        <v>2916.6666666666665</v>
      </c>
      <c r="X89" s="504">
        <f t="shared" si="166"/>
        <v>2916.6666666666665</v>
      </c>
      <c r="Y89" s="504">
        <f t="shared" si="166"/>
        <v>2916.6666666666665</v>
      </c>
      <c r="Z89" s="504">
        <f t="shared" si="166"/>
        <v>2916.6666666666665</v>
      </c>
      <c r="AA89" s="504">
        <f t="shared" si="166"/>
        <v>2916.6666666666665</v>
      </c>
      <c r="AB89" s="504">
        <f t="shared" si="166"/>
        <v>2916.6666666666665</v>
      </c>
      <c r="AC89" s="504">
        <f t="shared" si="166"/>
        <v>0</v>
      </c>
      <c r="AD89" s="504">
        <f t="shared" si="166"/>
        <v>0</v>
      </c>
      <c r="AE89" s="504">
        <f t="shared" si="166"/>
        <v>0</v>
      </c>
      <c r="AF89" s="508"/>
      <c r="AG89" s="508"/>
      <c r="AH89" s="507" cm="1">
        <f t="array" ref="AH89">_xlfn.LET(_xlpm.DepreciationMonths,INDEX(FixedAssets[Depreciation
/ Amortization Months],_xlfn.XMATCH($E$84,FixedAssets[Asset ID])),IF(AND((_xlfn.XMATCH(AH$8,$AH$8:$CC$8))-_xlfn.XMATCH($C89,$C$35:$C$82)+1&lt;=_xlpm.DepreciationMonths,$C89&lt;=AH$8),$E89/_xlpm.DepreciationMonths,0))</f>
        <v>0</v>
      </c>
      <c r="AI89" s="507" cm="1">
        <f t="array" ref="AI89">_xlfn.LET(_xlpm.DepreciationMonths,INDEX(FixedAssets[Depreciation
/ Amortization Months],_xlfn.XMATCH($E$84,FixedAssets[Asset ID])),IF(AND((_xlfn.XMATCH(AI$8,$AH$8:$CC$8))-_xlfn.XMATCH($C89,$C$35:$C$82)+1&lt;=_xlpm.DepreciationMonths,$C89&lt;=AI$8),$E89/_xlpm.DepreciationMonths,0))</f>
        <v>0</v>
      </c>
      <c r="AJ89" s="507" cm="1">
        <f t="array" ref="AJ89">_xlfn.LET(_xlpm.DepreciationMonths,INDEX(FixedAssets[Depreciation
/ Amortization Months],_xlfn.XMATCH($E$84,FixedAssets[Asset ID])),IF(AND((_xlfn.XMATCH(AJ$8,$AH$8:$CC$8))-_xlfn.XMATCH($C89,$C$35:$C$82)+1&lt;=_xlpm.DepreciationMonths,$C89&lt;=AJ$8),$E89/_xlpm.DepreciationMonths,0))</f>
        <v>0</v>
      </c>
      <c r="AK89" s="507" cm="1">
        <f t="array" ref="AK89">_xlfn.LET(_xlpm.DepreciationMonths,INDEX(FixedAssets[Depreciation
/ Amortization Months],_xlfn.XMATCH($E$84,FixedAssets[Asset ID])),IF(AND((_xlfn.XMATCH(AK$8,$AH$8:$CC$8))-_xlfn.XMATCH($C89,$C$35:$C$82)+1&lt;=_xlpm.DepreciationMonths,$C89&lt;=AK$8),$E89/_xlpm.DepreciationMonths,0))</f>
        <v>972.22222222222217</v>
      </c>
      <c r="AL89" s="507" cm="1">
        <f t="array" ref="AL89">_xlfn.LET(_xlpm.DepreciationMonths,INDEX(FixedAssets[Depreciation
/ Amortization Months],_xlfn.XMATCH($E$84,FixedAssets[Asset ID])),IF(AND((_xlfn.XMATCH(AL$8,$AH$8:$CC$8))-_xlfn.XMATCH($C89,$C$35:$C$82)+1&lt;=_xlpm.DepreciationMonths,$C89&lt;=AL$8),$E89/_xlpm.DepreciationMonths,0))</f>
        <v>972.22222222222217</v>
      </c>
      <c r="AM89" s="507" cm="1">
        <f t="array" ref="AM89">_xlfn.LET(_xlpm.DepreciationMonths,INDEX(FixedAssets[Depreciation
/ Amortization Months],_xlfn.XMATCH($E$84,FixedAssets[Asset ID])),IF(AND((_xlfn.XMATCH(AM$8,$AH$8:$CC$8))-_xlfn.XMATCH($C89,$C$35:$C$82)+1&lt;=_xlpm.DepreciationMonths,$C89&lt;=AM$8),$E89/_xlpm.DepreciationMonths,0))</f>
        <v>972.22222222222217</v>
      </c>
      <c r="AN89" s="507" cm="1">
        <f t="array" ref="AN89">_xlfn.LET(_xlpm.DepreciationMonths,INDEX(FixedAssets[Depreciation
/ Amortization Months],_xlfn.XMATCH($E$84,FixedAssets[Asset ID])),IF(AND((_xlfn.XMATCH(AN$8,$AH$8:$CC$8))-_xlfn.XMATCH($C89,$C$35:$C$82)+1&lt;=_xlpm.DepreciationMonths,$C89&lt;=AN$8),$E89/_xlpm.DepreciationMonths,0))</f>
        <v>972.22222222222217</v>
      </c>
      <c r="AO89" s="507" cm="1">
        <f t="array" ref="AO89">_xlfn.LET(_xlpm.DepreciationMonths,INDEX(FixedAssets[Depreciation
/ Amortization Months],_xlfn.XMATCH($E$84,FixedAssets[Asset ID])),IF(AND((_xlfn.XMATCH(AO$8,$AH$8:$CC$8))-_xlfn.XMATCH($C89,$C$35:$C$82)+1&lt;=_xlpm.DepreciationMonths,$C89&lt;=AO$8),$E89/_xlpm.DepreciationMonths,0))</f>
        <v>972.22222222222217</v>
      </c>
      <c r="AP89" s="507" cm="1">
        <f t="array" ref="AP89">_xlfn.LET(_xlpm.DepreciationMonths,INDEX(FixedAssets[Depreciation
/ Amortization Months],_xlfn.XMATCH($E$84,FixedAssets[Asset ID])),IF(AND((_xlfn.XMATCH(AP$8,$AH$8:$CC$8))-_xlfn.XMATCH($C89,$C$35:$C$82)+1&lt;=_xlpm.DepreciationMonths,$C89&lt;=AP$8),$E89/_xlpm.DepreciationMonths,0))</f>
        <v>972.22222222222217</v>
      </c>
      <c r="AQ89" s="507" cm="1">
        <f t="array" ref="AQ89">_xlfn.LET(_xlpm.DepreciationMonths,INDEX(FixedAssets[Depreciation
/ Amortization Months],_xlfn.XMATCH($E$84,FixedAssets[Asset ID])),IF(AND((_xlfn.XMATCH(AQ$8,$AH$8:$CC$8))-_xlfn.XMATCH($C89,$C$35:$C$82)+1&lt;=_xlpm.DepreciationMonths,$C89&lt;=AQ$8),$E89/_xlpm.DepreciationMonths,0))</f>
        <v>972.22222222222217</v>
      </c>
      <c r="AR89" s="507" cm="1">
        <f t="array" ref="AR89">_xlfn.LET(_xlpm.DepreciationMonths,INDEX(FixedAssets[Depreciation
/ Amortization Months],_xlfn.XMATCH($E$84,FixedAssets[Asset ID])),IF(AND((_xlfn.XMATCH(AR$8,$AH$8:$CC$8))-_xlfn.XMATCH($C89,$C$35:$C$82)+1&lt;=_xlpm.DepreciationMonths,$C89&lt;=AR$8),$E89/_xlpm.DepreciationMonths,0))</f>
        <v>972.22222222222217</v>
      </c>
      <c r="AS89" s="507" cm="1">
        <f t="array" ref="AS89">_xlfn.LET(_xlpm.DepreciationMonths,INDEX(FixedAssets[Depreciation
/ Amortization Months],_xlfn.XMATCH($E$84,FixedAssets[Asset ID])),IF(AND((_xlfn.XMATCH(AS$8,$AH$8:$CC$8))-_xlfn.XMATCH($C89,$C$35:$C$82)+1&lt;=_xlpm.DepreciationMonths,$C89&lt;=AS$8),$E89/_xlpm.DepreciationMonths,0))</f>
        <v>972.22222222222217</v>
      </c>
      <c r="AT89" s="507" cm="1">
        <f t="array" ref="AT89">_xlfn.LET(_xlpm.DepreciationMonths,INDEX(FixedAssets[Depreciation
/ Amortization Months],_xlfn.XMATCH($E$84,FixedAssets[Asset ID])),IF(AND((_xlfn.XMATCH(AT$8,$AH$8:$CC$8))-_xlfn.XMATCH($C89,$C$35:$C$82)+1&lt;=_xlpm.DepreciationMonths,$C89&lt;=AT$8),$E89/_xlpm.DepreciationMonths,0))</f>
        <v>972.22222222222217</v>
      </c>
      <c r="AU89" s="507" cm="1">
        <f t="array" ref="AU89">_xlfn.LET(_xlpm.DepreciationMonths,INDEX(FixedAssets[Depreciation
/ Amortization Months],_xlfn.XMATCH($E$84,FixedAssets[Asset ID])),IF(AND((_xlfn.XMATCH(AU$8,$AH$8:$CC$8))-_xlfn.XMATCH($C89,$C$35:$C$82)+1&lt;=_xlpm.DepreciationMonths,$C89&lt;=AU$8),$E89/_xlpm.DepreciationMonths,0))</f>
        <v>972.22222222222217</v>
      </c>
      <c r="AV89" s="507" cm="1">
        <f t="array" ref="AV89">_xlfn.LET(_xlpm.DepreciationMonths,INDEX(FixedAssets[Depreciation
/ Amortization Months],_xlfn.XMATCH($E$84,FixedAssets[Asset ID])),IF(AND((_xlfn.XMATCH(AV$8,$AH$8:$CC$8))-_xlfn.XMATCH($C89,$C$35:$C$82)+1&lt;=_xlpm.DepreciationMonths,$C89&lt;=AV$8),$E89/_xlpm.DepreciationMonths,0))</f>
        <v>972.22222222222217</v>
      </c>
      <c r="AW89" s="507" cm="1">
        <f t="array" ref="AW89">_xlfn.LET(_xlpm.DepreciationMonths,INDEX(FixedAssets[Depreciation
/ Amortization Months],_xlfn.XMATCH($E$84,FixedAssets[Asset ID])),IF(AND((_xlfn.XMATCH(AW$8,$AH$8:$CC$8))-_xlfn.XMATCH($C89,$C$35:$C$82)+1&lt;=_xlpm.DepreciationMonths,$C89&lt;=AW$8),$E89/_xlpm.DepreciationMonths,0))</f>
        <v>972.22222222222217</v>
      </c>
      <c r="AX89" s="507" cm="1">
        <f t="array" ref="AX89">_xlfn.LET(_xlpm.DepreciationMonths,INDEX(FixedAssets[Depreciation
/ Amortization Months],_xlfn.XMATCH($E$84,FixedAssets[Asset ID])),IF(AND((_xlfn.XMATCH(AX$8,$AH$8:$CC$8))-_xlfn.XMATCH($C89,$C$35:$C$82)+1&lt;=_xlpm.DepreciationMonths,$C89&lt;=AX$8),$E89/_xlpm.DepreciationMonths,0))</f>
        <v>972.22222222222217</v>
      </c>
      <c r="AY89" s="507" cm="1">
        <f t="array" ref="AY89">_xlfn.LET(_xlpm.DepreciationMonths,INDEX(FixedAssets[Depreciation
/ Amortization Months],_xlfn.XMATCH($E$84,FixedAssets[Asset ID])),IF(AND((_xlfn.XMATCH(AY$8,$AH$8:$CC$8))-_xlfn.XMATCH($C89,$C$35:$C$82)+1&lt;=_xlpm.DepreciationMonths,$C89&lt;=AY$8),$E89/_xlpm.DepreciationMonths,0))</f>
        <v>972.22222222222217</v>
      </c>
      <c r="AZ89" s="507" cm="1">
        <f t="array" ref="AZ89">_xlfn.LET(_xlpm.DepreciationMonths,INDEX(FixedAssets[Depreciation
/ Amortization Months],_xlfn.XMATCH($E$84,FixedAssets[Asset ID])),IF(AND((_xlfn.XMATCH(AZ$8,$AH$8:$CC$8))-_xlfn.XMATCH($C89,$C$35:$C$82)+1&lt;=_xlpm.DepreciationMonths,$C89&lt;=AZ$8),$E89/_xlpm.DepreciationMonths,0))</f>
        <v>972.22222222222217</v>
      </c>
      <c r="BA89" s="507" cm="1">
        <f t="array" ref="BA89">_xlfn.LET(_xlpm.DepreciationMonths,INDEX(FixedAssets[Depreciation
/ Amortization Months],_xlfn.XMATCH($E$84,FixedAssets[Asset ID])),IF(AND((_xlfn.XMATCH(BA$8,$AH$8:$CC$8))-_xlfn.XMATCH($C89,$C$35:$C$82)+1&lt;=_xlpm.DepreciationMonths,$C89&lt;=BA$8),$E89/_xlpm.DepreciationMonths,0))</f>
        <v>972.22222222222217</v>
      </c>
      <c r="BB89" s="507" cm="1">
        <f t="array" ref="BB89">_xlfn.LET(_xlpm.DepreciationMonths,INDEX(FixedAssets[Depreciation
/ Amortization Months],_xlfn.XMATCH($E$84,FixedAssets[Asset ID])),IF(AND((_xlfn.XMATCH(BB$8,$AH$8:$CC$8))-_xlfn.XMATCH($C89,$C$35:$C$82)+1&lt;=_xlpm.DepreciationMonths,$C89&lt;=BB$8),$E89/_xlpm.DepreciationMonths,0))</f>
        <v>972.22222222222217</v>
      </c>
      <c r="BC89" s="507" cm="1">
        <f t="array" ref="BC89">_xlfn.LET(_xlpm.DepreciationMonths,INDEX(FixedAssets[Depreciation
/ Amortization Months],_xlfn.XMATCH($E$84,FixedAssets[Asset ID])),IF(AND((_xlfn.XMATCH(BC$8,$AH$8:$CC$8))-_xlfn.XMATCH($C89,$C$35:$C$82)+1&lt;=_xlpm.DepreciationMonths,$C89&lt;=BC$8),$E89/_xlpm.DepreciationMonths,0))</f>
        <v>972.22222222222217</v>
      </c>
      <c r="BD89" s="507" cm="1">
        <f t="array" ref="BD89">_xlfn.LET(_xlpm.DepreciationMonths,INDEX(FixedAssets[Depreciation
/ Amortization Months],_xlfn.XMATCH($E$84,FixedAssets[Asset ID])),IF(AND((_xlfn.XMATCH(BD$8,$AH$8:$CC$8))-_xlfn.XMATCH($C89,$C$35:$C$82)+1&lt;=_xlpm.DepreciationMonths,$C89&lt;=BD$8),$E89/_xlpm.DepreciationMonths,0))</f>
        <v>972.22222222222217</v>
      </c>
      <c r="BE89" s="507" cm="1">
        <f t="array" ref="BE89">_xlfn.LET(_xlpm.DepreciationMonths,INDEX(FixedAssets[Depreciation
/ Amortization Months],_xlfn.XMATCH($E$84,FixedAssets[Asset ID])),IF(AND((_xlfn.XMATCH(BE$8,$AH$8:$CC$8))-_xlfn.XMATCH($C89,$C$35:$C$82)+1&lt;=_xlpm.DepreciationMonths,$C89&lt;=BE$8),$E89/_xlpm.DepreciationMonths,0))</f>
        <v>972.22222222222217</v>
      </c>
      <c r="BF89" s="507" cm="1">
        <f t="array" ref="BF89">_xlfn.LET(_xlpm.DepreciationMonths,INDEX(FixedAssets[Depreciation
/ Amortization Months],_xlfn.XMATCH($E$84,FixedAssets[Asset ID])),IF(AND((_xlfn.XMATCH(BF$8,$AH$8:$CC$8))-_xlfn.XMATCH($C89,$C$35:$C$82)+1&lt;=_xlpm.DepreciationMonths,$C89&lt;=BF$8),$E89/_xlpm.DepreciationMonths,0))</f>
        <v>972.22222222222217</v>
      </c>
      <c r="BG89" s="507" cm="1">
        <f t="array" ref="BG89">_xlfn.LET(_xlpm.DepreciationMonths,INDEX(FixedAssets[Depreciation
/ Amortization Months],_xlfn.XMATCH($E$84,FixedAssets[Asset ID])),IF(AND((_xlfn.XMATCH(BG$8,$AH$8:$CC$8))-_xlfn.XMATCH($C89,$C$35:$C$82)+1&lt;=_xlpm.DepreciationMonths,$C89&lt;=BG$8),$E89/_xlpm.DepreciationMonths,0))</f>
        <v>972.22222222222217</v>
      </c>
      <c r="BH89" s="507" cm="1">
        <f t="array" ref="BH89">_xlfn.LET(_xlpm.DepreciationMonths,INDEX(FixedAssets[Depreciation
/ Amortization Months],_xlfn.XMATCH($E$84,FixedAssets[Asset ID])),IF(AND((_xlfn.XMATCH(BH$8,$AH$8:$CC$8))-_xlfn.XMATCH($C89,$C$35:$C$82)+1&lt;=_xlpm.DepreciationMonths,$C89&lt;=BH$8),$E89/_xlpm.DepreciationMonths,0))</f>
        <v>972.22222222222217</v>
      </c>
      <c r="BI89" s="507" cm="1">
        <f t="array" ref="BI89">_xlfn.LET(_xlpm.DepreciationMonths,INDEX(FixedAssets[Depreciation
/ Amortization Months],_xlfn.XMATCH($E$84,FixedAssets[Asset ID])),IF(AND((_xlfn.XMATCH(BI$8,$AH$8:$CC$8))-_xlfn.XMATCH($C89,$C$35:$C$82)+1&lt;=_xlpm.DepreciationMonths,$C89&lt;=BI$8),$E89/_xlpm.DepreciationMonths,0))</f>
        <v>972.22222222222217</v>
      </c>
      <c r="BJ89" s="507" cm="1">
        <f t="array" ref="BJ89">_xlfn.LET(_xlpm.DepreciationMonths,INDEX(FixedAssets[Depreciation
/ Amortization Months],_xlfn.XMATCH($E$84,FixedAssets[Asset ID])),IF(AND((_xlfn.XMATCH(BJ$8,$AH$8:$CC$8))-_xlfn.XMATCH($C89,$C$35:$C$82)+1&lt;=_xlpm.DepreciationMonths,$C89&lt;=BJ$8),$E89/_xlpm.DepreciationMonths,0))</f>
        <v>972.22222222222217</v>
      </c>
      <c r="BK89" s="507" cm="1">
        <f t="array" ref="BK89">_xlfn.LET(_xlpm.DepreciationMonths,INDEX(FixedAssets[Depreciation
/ Amortization Months],_xlfn.XMATCH($E$84,FixedAssets[Asset ID])),IF(AND((_xlfn.XMATCH(BK$8,$AH$8:$CC$8))-_xlfn.XMATCH($C89,$C$35:$C$82)+1&lt;=_xlpm.DepreciationMonths,$C89&lt;=BK$8),$E89/_xlpm.DepreciationMonths,0))</f>
        <v>972.22222222222217</v>
      </c>
      <c r="BL89" s="507" cm="1">
        <f t="array" ref="BL89">_xlfn.LET(_xlpm.DepreciationMonths,INDEX(FixedAssets[Depreciation
/ Amortization Months],_xlfn.XMATCH($E$84,FixedAssets[Asset ID])),IF(AND((_xlfn.XMATCH(BL$8,$AH$8:$CC$8))-_xlfn.XMATCH($C89,$C$35:$C$82)+1&lt;=_xlpm.DepreciationMonths,$C89&lt;=BL$8),$E89/_xlpm.DepreciationMonths,0))</f>
        <v>972.22222222222217</v>
      </c>
      <c r="BM89" s="507" cm="1">
        <f t="array" ref="BM89">_xlfn.LET(_xlpm.DepreciationMonths,INDEX(FixedAssets[Depreciation
/ Amortization Months],_xlfn.XMATCH($E$84,FixedAssets[Asset ID])),IF(AND((_xlfn.XMATCH(BM$8,$AH$8:$CC$8))-_xlfn.XMATCH($C89,$C$35:$C$82)+1&lt;=_xlpm.DepreciationMonths,$C89&lt;=BM$8),$E89/_xlpm.DepreciationMonths,0))</f>
        <v>972.22222222222217</v>
      </c>
      <c r="BN89" s="507" cm="1">
        <f t="array" ref="BN89">_xlfn.LET(_xlpm.DepreciationMonths,INDEX(FixedAssets[Depreciation
/ Amortization Months],_xlfn.XMATCH($E$84,FixedAssets[Asset ID])),IF(AND((_xlfn.XMATCH(BN$8,$AH$8:$CC$8))-_xlfn.XMATCH($C89,$C$35:$C$82)+1&lt;=_xlpm.DepreciationMonths,$C89&lt;=BN$8),$E89/_xlpm.DepreciationMonths,0))</f>
        <v>972.22222222222217</v>
      </c>
      <c r="BO89" s="507" cm="1">
        <f t="array" ref="BO89">_xlfn.LET(_xlpm.DepreciationMonths,INDEX(FixedAssets[Depreciation
/ Amortization Months],_xlfn.XMATCH($E$84,FixedAssets[Asset ID])),IF(AND((_xlfn.XMATCH(BO$8,$AH$8:$CC$8))-_xlfn.XMATCH($C89,$C$35:$C$82)+1&lt;=_xlpm.DepreciationMonths,$C89&lt;=BO$8),$E89/_xlpm.DepreciationMonths,0))</f>
        <v>972.22222222222217</v>
      </c>
      <c r="BP89" s="507" cm="1">
        <f t="array" ref="BP89">_xlfn.LET(_xlpm.DepreciationMonths,INDEX(FixedAssets[Depreciation
/ Amortization Months],_xlfn.XMATCH($E$84,FixedAssets[Asset ID])),IF(AND((_xlfn.XMATCH(BP$8,$AH$8:$CC$8))-_xlfn.XMATCH($C89,$C$35:$C$82)+1&lt;=_xlpm.DepreciationMonths,$C89&lt;=BP$8),$E89/_xlpm.DepreciationMonths,0))</f>
        <v>972.22222222222217</v>
      </c>
      <c r="BQ89" s="507" cm="1">
        <f t="array" ref="BQ89">_xlfn.LET(_xlpm.DepreciationMonths,INDEX(FixedAssets[Depreciation
/ Amortization Months],_xlfn.XMATCH($E$84,FixedAssets[Asset ID])),IF(AND((_xlfn.XMATCH(BQ$8,$AH$8:$CC$8))-_xlfn.XMATCH($C89,$C$35:$C$82)+1&lt;=_xlpm.DepreciationMonths,$C89&lt;=BQ$8),$E89/_xlpm.DepreciationMonths,0))</f>
        <v>972.22222222222217</v>
      </c>
      <c r="BR89" s="507" cm="1">
        <f t="array" ref="BR89">_xlfn.LET(_xlpm.DepreciationMonths,INDEX(FixedAssets[Depreciation
/ Amortization Months],_xlfn.XMATCH($E$84,FixedAssets[Asset ID])),IF(AND((_xlfn.XMATCH(BR$8,$AH$8:$CC$8))-_xlfn.XMATCH($C89,$C$35:$C$82)+1&lt;=_xlpm.DepreciationMonths,$C89&lt;=BR$8),$E89/_xlpm.DepreciationMonths,0))</f>
        <v>972.22222222222217</v>
      </c>
      <c r="BS89" s="507" cm="1">
        <f t="array" ref="BS89">_xlfn.LET(_xlpm.DepreciationMonths,INDEX(FixedAssets[Depreciation
/ Amortization Months],_xlfn.XMATCH($E$84,FixedAssets[Asset ID])),IF(AND((_xlfn.XMATCH(BS$8,$AH$8:$CC$8))-_xlfn.XMATCH($C89,$C$35:$C$82)+1&lt;=_xlpm.DepreciationMonths,$C89&lt;=BS$8),$E89/_xlpm.DepreciationMonths,0))</f>
        <v>972.22222222222217</v>
      </c>
      <c r="BT89" s="507" cm="1">
        <f t="array" ref="BT89">_xlfn.LET(_xlpm.DepreciationMonths,INDEX(FixedAssets[Depreciation
/ Amortization Months],_xlfn.XMATCH($E$84,FixedAssets[Asset ID])),IF(AND((_xlfn.XMATCH(BT$8,$AH$8:$CC$8))-_xlfn.XMATCH($C89,$C$35:$C$82)+1&lt;=_xlpm.DepreciationMonths,$C89&lt;=BT$8),$E89/_xlpm.DepreciationMonths,0))</f>
        <v>972.22222222222217</v>
      </c>
      <c r="BU89" s="507" cm="1">
        <f t="array" ref="BU89">_xlfn.LET(_xlpm.DepreciationMonths,INDEX(FixedAssets[Depreciation
/ Amortization Months],_xlfn.XMATCH($E$84,FixedAssets[Asset ID])),IF(AND((_xlfn.XMATCH(BU$8,$AH$8:$CC$8))-_xlfn.XMATCH($C89,$C$35:$C$82)+1&lt;=_xlpm.DepreciationMonths,$C89&lt;=BU$8),$E89/_xlpm.DepreciationMonths,0))</f>
        <v>0</v>
      </c>
      <c r="BV89" s="507" cm="1">
        <f t="array" ref="BV89">_xlfn.LET(_xlpm.DepreciationMonths,INDEX(FixedAssets[Depreciation
/ Amortization Months],_xlfn.XMATCH($E$84,FixedAssets[Asset ID])),IF(AND((_xlfn.XMATCH(BV$8,$AH$8:$CC$8))-_xlfn.XMATCH($C89,$C$35:$C$82)+1&lt;=_xlpm.DepreciationMonths,$C89&lt;=BV$8),$E89/_xlpm.DepreciationMonths,0))</f>
        <v>0</v>
      </c>
      <c r="BW89" s="507" cm="1">
        <f t="array" ref="BW89">_xlfn.LET(_xlpm.DepreciationMonths,INDEX(FixedAssets[Depreciation
/ Amortization Months],_xlfn.XMATCH($E$84,FixedAssets[Asset ID])),IF(AND((_xlfn.XMATCH(BW$8,$AH$8:$CC$8))-_xlfn.XMATCH($C89,$C$35:$C$82)+1&lt;=_xlpm.DepreciationMonths,$C89&lt;=BW$8),$E89/_xlpm.DepreciationMonths,0))</f>
        <v>0</v>
      </c>
      <c r="BX89" s="507" cm="1">
        <f t="array" ref="BX89">_xlfn.LET(_xlpm.DepreciationMonths,INDEX(FixedAssets[Depreciation
/ Amortization Months],_xlfn.XMATCH($E$84,FixedAssets[Asset ID])),IF(AND((_xlfn.XMATCH(BX$8,$AH$8:$CC$8))-_xlfn.XMATCH($C89,$C$35:$C$82)+1&lt;=_xlpm.DepreciationMonths,$C89&lt;=BX$8),$E89/_xlpm.DepreciationMonths,0))</f>
        <v>0</v>
      </c>
      <c r="BY89" s="507" cm="1">
        <f t="array" ref="BY89">_xlfn.LET(_xlpm.DepreciationMonths,INDEX(FixedAssets[Depreciation
/ Amortization Months],_xlfn.XMATCH($E$84,FixedAssets[Asset ID])),IF(AND((_xlfn.XMATCH(BY$8,$AH$8:$CC$8))-_xlfn.XMATCH($C89,$C$35:$C$82)+1&lt;=_xlpm.DepreciationMonths,$C89&lt;=BY$8),$E89/_xlpm.DepreciationMonths,0))</f>
        <v>0</v>
      </c>
      <c r="BZ89" s="507" cm="1">
        <f t="array" ref="BZ89">_xlfn.LET(_xlpm.DepreciationMonths,INDEX(FixedAssets[Depreciation
/ Amortization Months],_xlfn.XMATCH($E$84,FixedAssets[Asset ID])),IF(AND((_xlfn.XMATCH(BZ$8,$AH$8:$CC$8))-_xlfn.XMATCH($C89,$C$35:$C$82)+1&lt;=_xlpm.DepreciationMonths,$C89&lt;=BZ$8),$E89/_xlpm.DepreciationMonths,0))</f>
        <v>0</v>
      </c>
      <c r="CA89" s="507" cm="1">
        <f t="array" ref="CA89">_xlfn.LET(_xlpm.DepreciationMonths,INDEX(FixedAssets[Depreciation
/ Amortization Months],_xlfn.XMATCH($E$84,FixedAssets[Asset ID])),IF(AND((_xlfn.XMATCH(CA$8,$AH$8:$CC$8))-_xlfn.XMATCH($C89,$C$35:$C$82)+1&lt;=_xlpm.DepreciationMonths,$C89&lt;=CA$8),$E89/_xlpm.DepreciationMonths,0))</f>
        <v>0</v>
      </c>
      <c r="CB89" s="507" cm="1">
        <f t="array" ref="CB89">_xlfn.LET(_xlpm.DepreciationMonths,INDEX(FixedAssets[Depreciation
/ Amortization Months],_xlfn.XMATCH($E$84,FixedAssets[Asset ID])),IF(AND((_xlfn.XMATCH(CB$8,$AH$8:$CC$8))-_xlfn.XMATCH($C89,$C$35:$C$82)+1&lt;=_xlpm.DepreciationMonths,$C89&lt;=CB$8),$E89/_xlpm.DepreciationMonths,0))</f>
        <v>0</v>
      </c>
      <c r="CC89" s="507" cm="1">
        <f t="array" ref="CC89">_xlfn.LET(_xlpm.DepreciationMonths,INDEX(FixedAssets[Depreciation
/ Amortization Months],_xlfn.XMATCH($E$84,FixedAssets[Asset ID])),IF(AND((_xlfn.XMATCH(CC$8,$AH$8:$CC$8))-_xlfn.XMATCH($C89,$C$35:$C$82)+1&lt;=_xlpm.DepreciationMonths,$C89&lt;=CC$8),$E89/_xlpm.DepreciationMonths,0))</f>
        <v>0</v>
      </c>
    </row>
    <row r="90" spans="3:81" hidden="1" outlineLevel="2">
      <c r="C90" s="664">
        <f t="shared" si="167"/>
        <v>45077</v>
      </c>
      <c r="D90" s="508"/>
      <c r="E90" s="508" cm="1">
        <f t="array" ref="E90">SUMPRODUCT(($AH$26:$CC$31)*($AH$5:$CC$5=$C90)*($E$26:$E$31=E$84))-SUMPRODUCT(($AH$26:$CC$31)*($AH$5:$CC$5=EOMONTH($C90,-1))*($E$26:$E$31=E$84))</f>
        <v>0</v>
      </c>
      <c r="F90" s="508"/>
      <c r="G90" s="508"/>
      <c r="H90" s="508"/>
      <c r="I90" s="508"/>
      <c r="J90" s="504">
        <f t="shared" si="164"/>
        <v>0</v>
      </c>
      <c r="K90" s="504">
        <f t="shared" si="165"/>
        <v>0</v>
      </c>
      <c r="L90" s="504">
        <f t="shared" si="165"/>
        <v>0</v>
      </c>
      <c r="M90" s="504">
        <f t="shared" si="165"/>
        <v>0</v>
      </c>
      <c r="N90" s="504"/>
      <c r="O90" s="504"/>
      <c r="P90" s="504">
        <f t="shared" si="166"/>
        <v>0</v>
      </c>
      <c r="Q90" s="504">
        <f t="shared" si="166"/>
        <v>0</v>
      </c>
      <c r="R90" s="504">
        <f t="shared" si="166"/>
        <v>0</v>
      </c>
      <c r="S90" s="504">
        <f t="shared" si="166"/>
        <v>0</v>
      </c>
      <c r="T90" s="504">
        <f t="shared" si="166"/>
        <v>0</v>
      </c>
      <c r="U90" s="504">
        <f t="shared" si="166"/>
        <v>0</v>
      </c>
      <c r="V90" s="504">
        <f t="shared" si="166"/>
        <v>0</v>
      </c>
      <c r="W90" s="504">
        <f t="shared" si="166"/>
        <v>0</v>
      </c>
      <c r="X90" s="504">
        <f t="shared" si="166"/>
        <v>0</v>
      </c>
      <c r="Y90" s="504">
        <f t="shared" si="166"/>
        <v>0</v>
      </c>
      <c r="Z90" s="504">
        <f t="shared" si="166"/>
        <v>0</v>
      </c>
      <c r="AA90" s="504">
        <f t="shared" si="166"/>
        <v>0</v>
      </c>
      <c r="AB90" s="504">
        <f t="shared" si="166"/>
        <v>0</v>
      </c>
      <c r="AC90" s="504">
        <f t="shared" si="166"/>
        <v>0</v>
      </c>
      <c r="AD90" s="504">
        <f t="shared" si="166"/>
        <v>0</v>
      </c>
      <c r="AE90" s="504">
        <f t="shared" si="166"/>
        <v>0</v>
      </c>
      <c r="AF90" s="508"/>
      <c r="AG90" s="508"/>
      <c r="AH90" s="507" cm="1">
        <f t="array" ref="AH90">_xlfn.LET(_xlpm.DepreciationMonths,INDEX(FixedAssets[Depreciation
/ Amortization Months],_xlfn.XMATCH($E$84,FixedAssets[Asset ID])),IF(AND((_xlfn.XMATCH(AH$8,$AH$8:$CC$8))-_xlfn.XMATCH($C90,$C$35:$C$82)+1&lt;=_xlpm.DepreciationMonths,$C90&lt;=AH$8),$E90/_xlpm.DepreciationMonths,0))</f>
        <v>0</v>
      </c>
      <c r="AI90" s="507" cm="1">
        <f t="array" ref="AI90">_xlfn.LET(_xlpm.DepreciationMonths,INDEX(FixedAssets[Depreciation
/ Amortization Months],_xlfn.XMATCH($E$84,FixedAssets[Asset ID])),IF(AND((_xlfn.XMATCH(AI$8,$AH$8:$CC$8))-_xlfn.XMATCH($C90,$C$35:$C$82)+1&lt;=_xlpm.DepreciationMonths,$C90&lt;=AI$8),$E90/_xlpm.DepreciationMonths,0))</f>
        <v>0</v>
      </c>
      <c r="AJ90" s="507" cm="1">
        <f t="array" ref="AJ90">_xlfn.LET(_xlpm.DepreciationMonths,INDEX(FixedAssets[Depreciation
/ Amortization Months],_xlfn.XMATCH($E$84,FixedAssets[Asset ID])),IF(AND((_xlfn.XMATCH(AJ$8,$AH$8:$CC$8))-_xlfn.XMATCH($C90,$C$35:$C$82)+1&lt;=_xlpm.DepreciationMonths,$C90&lt;=AJ$8),$E90/_xlpm.DepreciationMonths,0))</f>
        <v>0</v>
      </c>
      <c r="AK90" s="507" cm="1">
        <f t="array" ref="AK90">_xlfn.LET(_xlpm.DepreciationMonths,INDEX(FixedAssets[Depreciation
/ Amortization Months],_xlfn.XMATCH($E$84,FixedAssets[Asset ID])),IF(AND((_xlfn.XMATCH(AK$8,$AH$8:$CC$8))-_xlfn.XMATCH($C90,$C$35:$C$82)+1&lt;=_xlpm.DepreciationMonths,$C90&lt;=AK$8),$E90/_xlpm.DepreciationMonths,0))</f>
        <v>0</v>
      </c>
      <c r="AL90" s="507" cm="1">
        <f t="array" ref="AL90">_xlfn.LET(_xlpm.DepreciationMonths,INDEX(FixedAssets[Depreciation
/ Amortization Months],_xlfn.XMATCH($E$84,FixedAssets[Asset ID])),IF(AND((_xlfn.XMATCH(AL$8,$AH$8:$CC$8))-_xlfn.XMATCH($C90,$C$35:$C$82)+1&lt;=_xlpm.DepreciationMonths,$C90&lt;=AL$8),$E90/_xlpm.DepreciationMonths,0))</f>
        <v>0</v>
      </c>
      <c r="AM90" s="507" cm="1">
        <f t="array" ref="AM90">_xlfn.LET(_xlpm.DepreciationMonths,INDEX(FixedAssets[Depreciation
/ Amortization Months],_xlfn.XMATCH($E$84,FixedAssets[Asset ID])),IF(AND((_xlfn.XMATCH(AM$8,$AH$8:$CC$8))-_xlfn.XMATCH($C90,$C$35:$C$82)+1&lt;=_xlpm.DepreciationMonths,$C90&lt;=AM$8),$E90/_xlpm.DepreciationMonths,0))</f>
        <v>0</v>
      </c>
      <c r="AN90" s="507" cm="1">
        <f t="array" ref="AN90">_xlfn.LET(_xlpm.DepreciationMonths,INDEX(FixedAssets[Depreciation
/ Amortization Months],_xlfn.XMATCH($E$84,FixedAssets[Asset ID])),IF(AND((_xlfn.XMATCH(AN$8,$AH$8:$CC$8))-_xlfn.XMATCH($C90,$C$35:$C$82)+1&lt;=_xlpm.DepreciationMonths,$C90&lt;=AN$8),$E90/_xlpm.DepreciationMonths,0))</f>
        <v>0</v>
      </c>
      <c r="AO90" s="507" cm="1">
        <f t="array" ref="AO90">_xlfn.LET(_xlpm.DepreciationMonths,INDEX(FixedAssets[Depreciation
/ Amortization Months],_xlfn.XMATCH($E$84,FixedAssets[Asset ID])),IF(AND((_xlfn.XMATCH(AO$8,$AH$8:$CC$8))-_xlfn.XMATCH($C90,$C$35:$C$82)+1&lt;=_xlpm.DepreciationMonths,$C90&lt;=AO$8),$E90/_xlpm.DepreciationMonths,0))</f>
        <v>0</v>
      </c>
      <c r="AP90" s="507" cm="1">
        <f t="array" ref="AP90">_xlfn.LET(_xlpm.DepreciationMonths,INDEX(FixedAssets[Depreciation
/ Amortization Months],_xlfn.XMATCH($E$84,FixedAssets[Asset ID])),IF(AND((_xlfn.XMATCH(AP$8,$AH$8:$CC$8))-_xlfn.XMATCH($C90,$C$35:$C$82)+1&lt;=_xlpm.DepreciationMonths,$C90&lt;=AP$8),$E90/_xlpm.DepreciationMonths,0))</f>
        <v>0</v>
      </c>
      <c r="AQ90" s="507" cm="1">
        <f t="array" ref="AQ90">_xlfn.LET(_xlpm.DepreciationMonths,INDEX(FixedAssets[Depreciation
/ Amortization Months],_xlfn.XMATCH($E$84,FixedAssets[Asset ID])),IF(AND((_xlfn.XMATCH(AQ$8,$AH$8:$CC$8))-_xlfn.XMATCH($C90,$C$35:$C$82)+1&lt;=_xlpm.DepreciationMonths,$C90&lt;=AQ$8),$E90/_xlpm.DepreciationMonths,0))</f>
        <v>0</v>
      </c>
      <c r="AR90" s="507" cm="1">
        <f t="array" ref="AR90">_xlfn.LET(_xlpm.DepreciationMonths,INDEX(FixedAssets[Depreciation
/ Amortization Months],_xlfn.XMATCH($E$84,FixedAssets[Asset ID])),IF(AND((_xlfn.XMATCH(AR$8,$AH$8:$CC$8))-_xlfn.XMATCH($C90,$C$35:$C$82)+1&lt;=_xlpm.DepreciationMonths,$C90&lt;=AR$8),$E90/_xlpm.DepreciationMonths,0))</f>
        <v>0</v>
      </c>
      <c r="AS90" s="507" cm="1">
        <f t="array" ref="AS90">_xlfn.LET(_xlpm.DepreciationMonths,INDEX(FixedAssets[Depreciation
/ Amortization Months],_xlfn.XMATCH($E$84,FixedAssets[Asset ID])),IF(AND((_xlfn.XMATCH(AS$8,$AH$8:$CC$8))-_xlfn.XMATCH($C90,$C$35:$C$82)+1&lt;=_xlpm.DepreciationMonths,$C90&lt;=AS$8),$E90/_xlpm.DepreciationMonths,0))</f>
        <v>0</v>
      </c>
      <c r="AT90" s="507" cm="1">
        <f t="array" ref="AT90">_xlfn.LET(_xlpm.DepreciationMonths,INDEX(FixedAssets[Depreciation
/ Amortization Months],_xlfn.XMATCH($E$84,FixedAssets[Asset ID])),IF(AND((_xlfn.XMATCH(AT$8,$AH$8:$CC$8))-_xlfn.XMATCH($C90,$C$35:$C$82)+1&lt;=_xlpm.DepreciationMonths,$C90&lt;=AT$8),$E90/_xlpm.DepreciationMonths,0))</f>
        <v>0</v>
      </c>
      <c r="AU90" s="507" cm="1">
        <f t="array" ref="AU90">_xlfn.LET(_xlpm.DepreciationMonths,INDEX(FixedAssets[Depreciation
/ Amortization Months],_xlfn.XMATCH($E$84,FixedAssets[Asset ID])),IF(AND((_xlfn.XMATCH(AU$8,$AH$8:$CC$8))-_xlfn.XMATCH($C90,$C$35:$C$82)+1&lt;=_xlpm.DepreciationMonths,$C90&lt;=AU$8),$E90/_xlpm.DepreciationMonths,0))</f>
        <v>0</v>
      </c>
      <c r="AV90" s="507" cm="1">
        <f t="array" ref="AV90">_xlfn.LET(_xlpm.DepreciationMonths,INDEX(FixedAssets[Depreciation
/ Amortization Months],_xlfn.XMATCH($E$84,FixedAssets[Asset ID])),IF(AND((_xlfn.XMATCH(AV$8,$AH$8:$CC$8))-_xlfn.XMATCH($C90,$C$35:$C$82)+1&lt;=_xlpm.DepreciationMonths,$C90&lt;=AV$8),$E90/_xlpm.DepreciationMonths,0))</f>
        <v>0</v>
      </c>
      <c r="AW90" s="507" cm="1">
        <f t="array" ref="AW90">_xlfn.LET(_xlpm.DepreciationMonths,INDEX(FixedAssets[Depreciation
/ Amortization Months],_xlfn.XMATCH($E$84,FixedAssets[Asset ID])),IF(AND((_xlfn.XMATCH(AW$8,$AH$8:$CC$8))-_xlfn.XMATCH($C90,$C$35:$C$82)+1&lt;=_xlpm.DepreciationMonths,$C90&lt;=AW$8),$E90/_xlpm.DepreciationMonths,0))</f>
        <v>0</v>
      </c>
      <c r="AX90" s="507" cm="1">
        <f t="array" ref="AX90">_xlfn.LET(_xlpm.DepreciationMonths,INDEX(FixedAssets[Depreciation
/ Amortization Months],_xlfn.XMATCH($E$84,FixedAssets[Asset ID])),IF(AND((_xlfn.XMATCH(AX$8,$AH$8:$CC$8))-_xlfn.XMATCH($C90,$C$35:$C$82)+1&lt;=_xlpm.DepreciationMonths,$C90&lt;=AX$8),$E90/_xlpm.DepreciationMonths,0))</f>
        <v>0</v>
      </c>
      <c r="AY90" s="507" cm="1">
        <f t="array" ref="AY90">_xlfn.LET(_xlpm.DepreciationMonths,INDEX(FixedAssets[Depreciation
/ Amortization Months],_xlfn.XMATCH($E$84,FixedAssets[Asset ID])),IF(AND((_xlfn.XMATCH(AY$8,$AH$8:$CC$8))-_xlfn.XMATCH($C90,$C$35:$C$82)+1&lt;=_xlpm.DepreciationMonths,$C90&lt;=AY$8),$E90/_xlpm.DepreciationMonths,0))</f>
        <v>0</v>
      </c>
      <c r="AZ90" s="507" cm="1">
        <f t="array" ref="AZ90">_xlfn.LET(_xlpm.DepreciationMonths,INDEX(FixedAssets[Depreciation
/ Amortization Months],_xlfn.XMATCH($E$84,FixedAssets[Asset ID])),IF(AND((_xlfn.XMATCH(AZ$8,$AH$8:$CC$8))-_xlfn.XMATCH($C90,$C$35:$C$82)+1&lt;=_xlpm.DepreciationMonths,$C90&lt;=AZ$8),$E90/_xlpm.DepreciationMonths,0))</f>
        <v>0</v>
      </c>
      <c r="BA90" s="507" cm="1">
        <f t="array" ref="BA90">_xlfn.LET(_xlpm.DepreciationMonths,INDEX(FixedAssets[Depreciation
/ Amortization Months],_xlfn.XMATCH($E$84,FixedAssets[Asset ID])),IF(AND((_xlfn.XMATCH(BA$8,$AH$8:$CC$8))-_xlfn.XMATCH($C90,$C$35:$C$82)+1&lt;=_xlpm.DepreciationMonths,$C90&lt;=BA$8),$E90/_xlpm.DepreciationMonths,0))</f>
        <v>0</v>
      </c>
      <c r="BB90" s="507" cm="1">
        <f t="array" ref="BB90">_xlfn.LET(_xlpm.DepreciationMonths,INDEX(FixedAssets[Depreciation
/ Amortization Months],_xlfn.XMATCH($E$84,FixedAssets[Asset ID])),IF(AND((_xlfn.XMATCH(BB$8,$AH$8:$CC$8))-_xlfn.XMATCH($C90,$C$35:$C$82)+1&lt;=_xlpm.DepreciationMonths,$C90&lt;=BB$8),$E90/_xlpm.DepreciationMonths,0))</f>
        <v>0</v>
      </c>
      <c r="BC90" s="507" cm="1">
        <f t="array" ref="BC90">_xlfn.LET(_xlpm.DepreciationMonths,INDEX(FixedAssets[Depreciation
/ Amortization Months],_xlfn.XMATCH($E$84,FixedAssets[Asset ID])),IF(AND((_xlfn.XMATCH(BC$8,$AH$8:$CC$8))-_xlfn.XMATCH($C90,$C$35:$C$82)+1&lt;=_xlpm.DepreciationMonths,$C90&lt;=BC$8),$E90/_xlpm.DepreciationMonths,0))</f>
        <v>0</v>
      </c>
      <c r="BD90" s="507" cm="1">
        <f t="array" ref="BD90">_xlfn.LET(_xlpm.DepreciationMonths,INDEX(FixedAssets[Depreciation
/ Amortization Months],_xlfn.XMATCH($E$84,FixedAssets[Asset ID])),IF(AND((_xlfn.XMATCH(BD$8,$AH$8:$CC$8))-_xlfn.XMATCH($C90,$C$35:$C$82)+1&lt;=_xlpm.DepreciationMonths,$C90&lt;=BD$8),$E90/_xlpm.DepreciationMonths,0))</f>
        <v>0</v>
      </c>
      <c r="BE90" s="507" cm="1">
        <f t="array" ref="BE90">_xlfn.LET(_xlpm.DepreciationMonths,INDEX(FixedAssets[Depreciation
/ Amortization Months],_xlfn.XMATCH($E$84,FixedAssets[Asset ID])),IF(AND((_xlfn.XMATCH(BE$8,$AH$8:$CC$8))-_xlfn.XMATCH($C90,$C$35:$C$82)+1&lt;=_xlpm.DepreciationMonths,$C90&lt;=BE$8),$E90/_xlpm.DepreciationMonths,0))</f>
        <v>0</v>
      </c>
      <c r="BF90" s="507" cm="1">
        <f t="array" ref="BF90">_xlfn.LET(_xlpm.DepreciationMonths,INDEX(FixedAssets[Depreciation
/ Amortization Months],_xlfn.XMATCH($E$84,FixedAssets[Asset ID])),IF(AND((_xlfn.XMATCH(BF$8,$AH$8:$CC$8))-_xlfn.XMATCH($C90,$C$35:$C$82)+1&lt;=_xlpm.DepreciationMonths,$C90&lt;=BF$8),$E90/_xlpm.DepreciationMonths,0))</f>
        <v>0</v>
      </c>
      <c r="BG90" s="507" cm="1">
        <f t="array" ref="BG90">_xlfn.LET(_xlpm.DepreciationMonths,INDEX(FixedAssets[Depreciation
/ Amortization Months],_xlfn.XMATCH($E$84,FixedAssets[Asset ID])),IF(AND((_xlfn.XMATCH(BG$8,$AH$8:$CC$8))-_xlfn.XMATCH($C90,$C$35:$C$82)+1&lt;=_xlpm.DepreciationMonths,$C90&lt;=BG$8),$E90/_xlpm.DepreciationMonths,0))</f>
        <v>0</v>
      </c>
      <c r="BH90" s="507" cm="1">
        <f t="array" ref="BH90">_xlfn.LET(_xlpm.DepreciationMonths,INDEX(FixedAssets[Depreciation
/ Amortization Months],_xlfn.XMATCH($E$84,FixedAssets[Asset ID])),IF(AND((_xlfn.XMATCH(BH$8,$AH$8:$CC$8))-_xlfn.XMATCH($C90,$C$35:$C$82)+1&lt;=_xlpm.DepreciationMonths,$C90&lt;=BH$8),$E90/_xlpm.DepreciationMonths,0))</f>
        <v>0</v>
      </c>
      <c r="BI90" s="507" cm="1">
        <f t="array" ref="BI90">_xlfn.LET(_xlpm.DepreciationMonths,INDEX(FixedAssets[Depreciation
/ Amortization Months],_xlfn.XMATCH($E$84,FixedAssets[Asset ID])),IF(AND((_xlfn.XMATCH(BI$8,$AH$8:$CC$8))-_xlfn.XMATCH($C90,$C$35:$C$82)+1&lt;=_xlpm.DepreciationMonths,$C90&lt;=BI$8),$E90/_xlpm.DepreciationMonths,0))</f>
        <v>0</v>
      </c>
      <c r="BJ90" s="507" cm="1">
        <f t="array" ref="BJ90">_xlfn.LET(_xlpm.DepreciationMonths,INDEX(FixedAssets[Depreciation
/ Amortization Months],_xlfn.XMATCH($E$84,FixedAssets[Asset ID])),IF(AND((_xlfn.XMATCH(BJ$8,$AH$8:$CC$8))-_xlfn.XMATCH($C90,$C$35:$C$82)+1&lt;=_xlpm.DepreciationMonths,$C90&lt;=BJ$8),$E90/_xlpm.DepreciationMonths,0))</f>
        <v>0</v>
      </c>
      <c r="BK90" s="507" cm="1">
        <f t="array" ref="BK90">_xlfn.LET(_xlpm.DepreciationMonths,INDEX(FixedAssets[Depreciation
/ Amortization Months],_xlfn.XMATCH($E$84,FixedAssets[Asset ID])),IF(AND((_xlfn.XMATCH(BK$8,$AH$8:$CC$8))-_xlfn.XMATCH($C90,$C$35:$C$82)+1&lt;=_xlpm.DepreciationMonths,$C90&lt;=BK$8),$E90/_xlpm.DepreciationMonths,0))</f>
        <v>0</v>
      </c>
      <c r="BL90" s="507" cm="1">
        <f t="array" ref="BL90">_xlfn.LET(_xlpm.DepreciationMonths,INDEX(FixedAssets[Depreciation
/ Amortization Months],_xlfn.XMATCH($E$84,FixedAssets[Asset ID])),IF(AND((_xlfn.XMATCH(BL$8,$AH$8:$CC$8))-_xlfn.XMATCH($C90,$C$35:$C$82)+1&lt;=_xlpm.DepreciationMonths,$C90&lt;=BL$8),$E90/_xlpm.DepreciationMonths,0))</f>
        <v>0</v>
      </c>
      <c r="BM90" s="507" cm="1">
        <f t="array" ref="BM90">_xlfn.LET(_xlpm.DepreciationMonths,INDEX(FixedAssets[Depreciation
/ Amortization Months],_xlfn.XMATCH($E$84,FixedAssets[Asset ID])),IF(AND((_xlfn.XMATCH(BM$8,$AH$8:$CC$8))-_xlfn.XMATCH($C90,$C$35:$C$82)+1&lt;=_xlpm.DepreciationMonths,$C90&lt;=BM$8),$E90/_xlpm.DepreciationMonths,0))</f>
        <v>0</v>
      </c>
      <c r="BN90" s="507" cm="1">
        <f t="array" ref="BN90">_xlfn.LET(_xlpm.DepreciationMonths,INDEX(FixedAssets[Depreciation
/ Amortization Months],_xlfn.XMATCH($E$84,FixedAssets[Asset ID])),IF(AND((_xlfn.XMATCH(BN$8,$AH$8:$CC$8))-_xlfn.XMATCH($C90,$C$35:$C$82)+1&lt;=_xlpm.DepreciationMonths,$C90&lt;=BN$8),$E90/_xlpm.DepreciationMonths,0))</f>
        <v>0</v>
      </c>
      <c r="BO90" s="507" cm="1">
        <f t="array" ref="BO90">_xlfn.LET(_xlpm.DepreciationMonths,INDEX(FixedAssets[Depreciation
/ Amortization Months],_xlfn.XMATCH($E$84,FixedAssets[Asset ID])),IF(AND((_xlfn.XMATCH(BO$8,$AH$8:$CC$8))-_xlfn.XMATCH($C90,$C$35:$C$82)+1&lt;=_xlpm.DepreciationMonths,$C90&lt;=BO$8),$E90/_xlpm.DepreciationMonths,0))</f>
        <v>0</v>
      </c>
      <c r="BP90" s="507" cm="1">
        <f t="array" ref="BP90">_xlfn.LET(_xlpm.DepreciationMonths,INDEX(FixedAssets[Depreciation
/ Amortization Months],_xlfn.XMATCH($E$84,FixedAssets[Asset ID])),IF(AND((_xlfn.XMATCH(BP$8,$AH$8:$CC$8))-_xlfn.XMATCH($C90,$C$35:$C$82)+1&lt;=_xlpm.DepreciationMonths,$C90&lt;=BP$8),$E90/_xlpm.DepreciationMonths,0))</f>
        <v>0</v>
      </c>
      <c r="BQ90" s="507" cm="1">
        <f t="array" ref="BQ90">_xlfn.LET(_xlpm.DepreciationMonths,INDEX(FixedAssets[Depreciation
/ Amortization Months],_xlfn.XMATCH($E$84,FixedAssets[Asset ID])),IF(AND((_xlfn.XMATCH(BQ$8,$AH$8:$CC$8))-_xlfn.XMATCH($C90,$C$35:$C$82)+1&lt;=_xlpm.DepreciationMonths,$C90&lt;=BQ$8),$E90/_xlpm.DepreciationMonths,0))</f>
        <v>0</v>
      </c>
      <c r="BR90" s="507" cm="1">
        <f t="array" ref="BR90">_xlfn.LET(_xlpm.DepreciationMonths,INDEX(FixedAssets[Depreciation
/ Amortization Months],_xlfn.XMATCH($E$84,FixedAssets[Asset ID])),IF(AND((_xlfn.XMATCH(BR$8,$AH$8:$CC$8))-_xlfn.XMATCH($C90,$C$35:$C$82)+1&lt;=_xlpm.DepreciationMonths,$C90&lt;=BR$8),$E90/_xlpm.DepreciationMonths,0))</f>
        <v>0</v>
      </c>
      <c r="BS90" s="507" cm="1">
        <f t="array" ref="BS90">_xlfn.LET(_xlpm.DepreciationMonths,INDEX(FixedAssets[Depreciation
/ Amortization Months],_xlfn.XMATCH($E$84,FixedAssets[Asset ID])),IF(AND((_xlfn.XMATCH(BS$8,$AH$8:$CC$8))-_xlfn.XMATCH($C90,$C$35:$C$82)+1&lt;=_xlpm.DepreciationMonths,$C90&lt;=BS$8),$E90/_xlpm.DepreciationMonths,0))</f>
        <v>0</v>
      </c>
      <c r="BT90" s="507" cm="1">
        <f t="array" ref="BT90">_xlfn.LET(_xlpm.DepreciationMonths,INDEX(FixedAssets[Depreciation
/ Amortization Months],_xlfn.XMATCH($E$84,FixedAssets[Asset ID])),IF(AND((_xlfn.XMATCH(BT$8,$AH$8:$CC$8))-_xlfn.XMATCH($C90,$C$35:$C$82)+1&lt;=_xlpm.DepreciationMonths,$C90&lt;=BT$8),$E90/_xlpm.DepreciationMonths,0))</f>
        <v>0</v>
      </c>
      <c r="BU90" s="507" cm="1">
        <f t="array" ref="BU90">_xlfn.LET(_xlpm.DepreciationMonths,INDEX(FixedAssets[Depreciation
/ Amortization Months],_xlfn.XMATCH($E$84,FixedAssets[Asset ID])),IF(AND((_xlfn.XMATCH(BU$8,$AH$8:$CC$8))-_xlfn.XMATCH($C90,$C$35:$C$82)+1&lt;=_xlpm.DepreciationMonths,$C90&lt;=BU$8),$E90/_xlpm.DepreciationMonths,0))</f>
        <v>0</v>
      </c>
      <c r="BV90" s="507" cm="1">
        <f t="array" ref="BV90">_xlfn.LET(_xlpm.DepreciationMonths,INDEX(FixedAssets[Depreciation
/ Amortization Months],_xlfn.XMATCH($E$84,FixedAssets[Asset ID])),IF(AND((_xlfn.XMATCH(BV$8,$AH$8:$CC$8))-_xlfn.XMATCH($C90,$C$35:$C$82)+1&lt;=_xlpm.DepreciationMonths,$C90&lt;=BV$8),$E90/_xlpm.DepreciationMonths,0))</f>
        <v>0</v>
      </c>
      <c r="BW90" s="507" cm="1">
        <f t="array" ref="BW90">_xlfn.LET(_xlpm.DepreciationMonths,INDEX(FixedAssets[Depreciation
/ Amortization Months],_xlfn.XMATCH($E$84,FixedAssets[Asset ID])),IF(AND((_xlfn.XMATCH(BW$8,$AH$8:$CC$8))-_xlfn.XMATCH($C90,$C$35:$C$82)+1&lt;=_xlpm.DepreciationMonths,$C90&lt;=BW$8),$E90/_xlpm.DepreciationMonths,0))</f>
        <v>0</v>
      </c>
      <c r="BX90" s="507" cm="1">
        <f t="array" ref="BX90">_xlfn.LET(_xlpm.DepreciationMonths,INDEX(FixedAssets[Depreciation
/ Amortization Months],_xlfn.XMATCH($E$84,FixedAssets[Asset ID])),IF(AND((_xlfn.XMATCH(BX$8,$AH$8:$CC$8))-_xlfn.XMATCH($C90,$C$35:$C$82)+1&lt;=_xlpm.DepreciationMonths,$C90&lt;=BX$8),$E90/_xlpm.DepreciationMonths,0))</f>
        <v>0</v>
      </c>
      <c r="BY90" s="507" cm="1">
        <f t="array" ref="BY90">_xlfn.LET(_xlpm.DepreciationMonths,INDEX(FixedAssets[Depreciation
/ Amortization Months],_xlfn.XMATCH($E$84,FixedAssets[Asset ID])),IF(AND((_xlfn.XMATCH(BY$8,$AH$8:$CC$8))-_xlfn.XMATCH($C90,$C$35:$C$82)+1&lt;=_xlpm.DepreciationMonths,$C90&lt;=BY$8),$E90/_xlpm.DepreciationMonths,0))</f>
        <v>0</v>
      </c>
      <c r="BZ90" s="507" cm="1">
        <f t="array" ref="BZ90">_xlfn.LET(_xlpm.DepreciationMonths,INDEX(FixedAssets[Depreciation
/ Amortization Months],_xlfn.XMATCH($E$84,FixedAssets[Asset ID])),IF(AND((_xlfn.XMATCH(BZ$8,$AH$8:$CC$8))-_xlfn.XMATCH($C90,$C$35:$C$82)+1&lt;=_xlpm.DepreciationMonths,$C90&lt;=BZ$8),$E90/_xlpm.DepreciationMonths,0))</f>
        <v>0</v>
      </c>
      <c r="CA90" s="507" cm="1">
        <f t="array" ref="CA90">_xlfn.LET(_xlpm.DepreciationMonths,INDEX(FixedAssets[Depreciation
/ Amortization Months],_xlfn.XMATCH($E$84,FixedAssets[Asset ID])),IF(AND((_xlfn.XMATCH(CA$8,$AH$8:$CC$8))-_xlfn.XMATCH($C90,$C$35:$C$82)+1&lt;=_xlpm.DepreciationMonths,$C90&lt;=CA$8),$E90/_xlpm.DepreciationMonths,0))</f>
        <v>0</v>
      </c>
      <c r="CB90" s="507" cm="1">
        <f t="array" ref="CB90">_xlfn.LET(_xlpm.DepreciationMonths,INDEX(FixedAssets[Depreciation
/ Amortization Months],_xlfn.XMATCH($E$84,FixedAssets[Asset ID])),IF(AND((_xlfn.XMATCH(CB$8,$AH$8:$CC$8))-_xlfn.XMATCH($C90,$C$35:$C$82)+1&lt;=_xlpm.DepreciationMonths,$C90&lt;=CB$8),$E90/_xlpm.DepreciationMonths,0))</f>
        <v>0</v>
      </c>
      <c r="CC90" s="507" cm="1">
        <f t="array" ref="CC90">_xlfn.LET(_xlpm.DepreciationMonths,INDEX(FixedAssets[Depreciation
/ Amortization Months],_xlfn.XMATCH($E$84,FixedAssets[Asset ID])),IF(AND((_xlfn.XMATCH(CC$8,$AH$8:$CC$8))-_xlfn.XMATCH($C90,$C$35:$C$82)+1&lt;=_xlpm.DepreciationMonths,$C90&lt;=CC$8),$E90/_xlpm.DepreciationMonths,0))</f>
        <v>0</v>
      </c>
    </row>
    <row r="91" spans="3:81" hidden="1" outlineLevel="2">
      <c r="C91" s="664">
        <f t="shared" si="167"/>
        <v>45107</v>
      </c>
      <c r="D91" s="508"/>
      <c r="E91" s="508" cm="1">
        <f t="array" ref="E91">SUMPRODUCT(($AH$26:$CC$31)*($AH$5:$CC$5=$C91)*($E$26:$E$31=E$84))-SUMPRODUCT(($AH$26:$CC$31)*($AH$5:$CC$5=EOMONTH($C91,-1))*($E$26:$E$31=E$84))</f>
        <v>0</v>
      </c>
      <c r="F91" s="508"/>
      <c r="G91" s="508"/>
      <c r="H91" s="508"/>
      <c r="I91" s="508"/>
      <c r="J91" s="504">
        <f t="shared" si="164"/>
        <v>0</v>
      </c>
      <c r="K91" s="504">
        <f t="shared" si="165"/>
        <v>0</v>
      </c>
      <c r="L91" s="504">
        <f t="shared" si="165"/>
        <v>0</v>
      </c>
      <c r="M91" s="504">
        <f t="shared" si="165"/>
        <v>0</v>
      </c>
      <c r="N91" s="504"/>
      <c r="O91" s="504"/>
      <c r="P91" s="504">
        <f t="shared" si="166"/>
        <v>0</v>
      </c>
      <c r="Q91" s="504">
        <f t="shared" si="166"/>
        <v>0</v>
      </c>
      <c r="R91" s="504">
        <f t="shared" si="166"/>
        <v>0</v>
      </c>
      <c r="S91" s="504">
        <f t="shared" si="166"/>
        <v>0</v>
      </c>
      <c r="T91" s="504">
        <f t="shared" si="166"/>
        <v>0</v>
      </c>
      <c r="U91" s="504">
        <f t="shared" si="166"/>
        <v>0</v>
      </c>
      <c r="V91" s="504">
        <f t="shared" si="166"/>
        <v>0</v>
      </c>
      <c r="W91" s="504">
        <f t="shared" si="166"/>
        <v>0</v>
      </c>
      <c r="X91" s="504">
        <f t="shared" si="166"/>
        <v>0</v>
      </c>
      <c r="Y91" s="504">
        <f t="shared" si="166"/>
        <v>0</v>
      </c>
      <c r="Z91" s="504">
        <f t="shared" si="166"/>
        <v>0</v>
      </c>
      <c r="AA91" s="504">
        <f t="shared" si="166"/>
        <v>0</v>
      </c>
      <c r="AB91" s="504">
        <f t="shared" si="166"/>
        <v>0</v>
      </c>
      <c r="AC91" s="504">
        <f t="shared" si="166"/>
        <v>0</v>
      </c>
      <c r="AD91" s="504">
        <f t="shared" si="166"/>
        <v>0</v>
      </c>
      <c r="AE91" s="504">
        <f t="shared" si="166"/>
        <v>0</v>
      </c>
      <c r="AF91" s="508"/>
      <c r="AG91" s="508"/>
      <c r="AH91" s="507" cm="1">
        <f t="array" ref="AH91">_xlfn.LET(_xlpm.DepreciationMonths,INDEX(FixedAssets[Depreciation
/ Amortization Months],_xlfn.XMATCH($E$84,FixedAssets[Asset ID])),IF(AND((_xlfn.XMATCH(AH$8,$AH$8:$CC$8))-_xlfn.XMATCH($C91,$C$35:$C$82)+1&lt;=_xlpm.DepreciationMonths,$C91&lt;=AH$8),$E91/_xlpm.DepreciationMonths,0))</f>
        <v>0</v>
      </c>
      <c r="AI91" s="507" cm="1">
        <f t="array" ref="AI91">_xlfn.LET(_xlpm.DepreciationMonths,INDEX(FixedAssets[Depreciation
/ Amortization Months],_xlfn.XMATCH($E$84,FixedAssets[Asset ID])),IF(AND((_xlfn.XMATCH(AI$8,$AH$8:$CC$8))-_xlfn.XMATCH($C91,$C$35:$C$82)+1&lt;=_xlpm.DepreciationMonths,$C91&lt;=AI$8),$E91/_xlpm.DepreciationMonths,0))</f>
        <v>0</v>
      </c>
      <c r="AJ91" s="507" cm="1">
        <f t="array" ref="AJ91">_xlfn.LET(_xlpm.DepreciationMonths,INDEX(FixedAssets[Depreciation
/ Amortization Months],_xlfn.XMATCH($E$84,FixedAssets[Asset ID])),IF(AND((_xlfn.XMATCH(AJ$8,$AH$8:$CC$8))-_xlfn.XMATCH($C91,$C$35:$C$82)+1&lt;=_xlpm.DepreciationMonths,$C91&lt;=AJ$8),$E91/_xlpm.DepreciationMonths,0))</f>
        <v>0</v>
      </c>
      <c r="AK91" s="507" cm="1">
        <f t="array" ref="AK91">_xlfn.LET(_xlpm.DepreciationMonths,INDEX(FixedAssets[Depreciation
/ Amortization Months],_xlfn.XMATCH($E$84,FixedAssets[Asset ID])),IF(AND((_xlfn.XMATCH(AK$8,$AH$8:$CC$8))-_xlfn.XMATCH($C91,$C$35:$C$82)+1&lt;=_xlpm.DepreciationMonths,$C91&lt;=AK$8),$E91/_xlpm.DepreciationMonths,0))</f>
        <v>0</v>
      </c>
      <c r="AL91" s="507" cm="1">
        <f t="array" ref="AL91">_xlfn.LET(_xlpm.DepreciationMonths,INDEX(FixedAssets[Depreciation
/ Amortization Months],_xlfn.XMATCH($E$84,FixedAssets[Asset ID])),IF(AND((_xlfn.XMATCH(AL$8,$AH$8:$CC$8))-_xlfn.XMATCH($C91,$C$35:$C$82)+1&lt;=_xlpm.DepreciationMonths,$C91&lt;=AL$8),$E91/_xlpm.DepreciationMonths,0))</f>
        <v>0</v>
      </c>
      <c r="AM91" s="507" cm="1">
        <f t="array" ref="AM91">_xlfn.LET(_xlpm.DepreciationMonths,INDEX(FixedAssets[Depreciation
/ Amortization Months],_xlfn.XMATCH($E$84,FixedAssets[Asset ID])),IF(AND((_xlfn.XMATCH(AM$8,$AH$8:$CC$8))-_xlfn.XMATCH($C91,$C$35:$C$82)+1&lt;=_xlpm.DepreciationMonths,$C91&lt;=AM$8),$E91/_xlpm.DepreciationMonths,0))</f>
        <v>0</v>
      </c>
      <c r="AN91" s="507" cm="1">
        <f t="array" ref="AN91">_xlfn.LET(_xlpm.DepreciationMonths,INDEX(FixedAssets[Depreciation
/ Amortization Months],_xlfn.XMATCH($E$84,FixedAssets[Asset ID])),IF(AND((_xlfn.XMATCH(AN$8,$AH$8:$CC$8))-_xlfn.XMATCH($C91,$C$35:$C$82)+1&lt;=_xlpm.DepreciationMonths,$C91&lt;=AN$8),$E91/_xlpm.DepreciationMonths,0))</f>
        <v>0</v>
      </c>
      <c r="AO91" s="507" cm="1">
        <f t="array" ref="AO91">_xlfn.LET(_xlpm.DepreciationMonths,INDEX(FixedAssets[Depreciation
/ Amortization Months],_xlfn.XMATCH($E$84,FixedAssets[Asset ID])),IF(AND((_xlfn.XMATCH(AO$8,$AH$8:$CC$8))-_xlfn.XMATCH($C91,$C$35:$C$82)+1&lt;=_xlpm.DepreciationMonths,$C91&lt;=AO$8),$E91/_xlpm.DepreciationMonths,0))</f>
        <v>0</v>
      </c>
      <c r="AP91" s="507" cm="1">
        <f t="array" ref="AP91">_xlfn.LET(_xlpm.DepreciationMonths,INDEX(FixedAssets[Depreciation
/ Amortization Months],_xlfn.XMATCH($E$84,FixedAssets[Asset ID])),IF(AND((_xlfn.XMATCH(AP$8,$AH$8:$CC$8))-_xlfn.XMATCH($C91,$C$35:$C$82)+1&lt;=_xlpm.DepreciationMonths,$C91&lt;=AP$8),$E91/_xlpm.DepreciationMonths,0))</f>
        <v>0</v>
      </c>
      <c r="AQ91" s="507" cm="1">
        <f t="array" ref="AQ91">_xlfn.LET(_xlpm.DepreciationMonths,INDEX(FixedAssets[Depreciation
/ Amortization Months],_xlfn.XMATCH($E$84,FixedAssets[Asset ID])),IF(AND((_xlfn.XMATCH(AQ$8,$AH$8:$CC$8))-_xlfn.XMATCH($C91,$C$35:$C$82)+1&lt;=_xlpm.DepreciationMonths,$C91&lt;=AQ$8),$E91/_xlpm.DepreciationMonths,0))</f>
        <v>0</v>
      </c>
      <c r="AR91" s="507" cm="1">
        <f t="array" ref="AR91">_xlfn.LET(_xlpm.DepreciationMonths,INDEX(FixedAssets[Depreciation
/ Amortization Months],_xlfn.XMATCH($E$84,FixedAssets[Asset ID])),IF(AND((_xlfn.XMATCH(AR$8,$AH$8:$CC$8))-_xlfn.XMATCH($C91,$C$35:$C$82)+1&lt;=_xlpm.DepreciationMonths,$C91&lt;=AR$8),$E91/_xlpm.DepreciationMonths,0))</f>
        <v>0</v>
      </c>
      <c r="AS91" s="507" cm="1">
        <f t="array" ref="AS91">_xlfn.LET(_xlpm.DepreciationMonths,INDEX(FixedAssets[Depreciation
/ Amortization Months],_xlfn.XMATCH($E$84,FixedAssets[Asset ID])),IF(AND((_xlfn.XMATCH(AS$8,$AH$8:$CC$8))-_xlfn.XMATCH($C91,$C$35:$C$82)+1&lt;=_xlpm.DepreciationMonths,$C91&lt;=AS$8),$E91/_xlpm.DepreciationMonths,0))</f>
        <v>0</v>
      </c>
      <c r="AT91" s="507" cm="1">
        <f t="array" ref="AT91">_xlfn.LET(_xlpm.DepreciationMonths,INDEX(FixedAssets[Depreciation
/ Amortization Months],_xlfn.XMATCH($E$84,FixedAssets[Asset ID])),IF(AND((_xlfn.XMATCH(AT$8,$AH$8:$CC$8))-_xlfn.XMATCH($C91,$C$35:$C$82)+1&lt;=_xlpm.DepreciationMonths,$C91&lt;=AT$8),$E91/_xlpm.DepreciationMonths,0))</f>
        <v>0</v>
      </c>
      <c r="AU91" s="507" cm="1">
        <f t="array" ref="AU91">_xlfn.LET(_xlpm.DepreciationMonths,INDEX(FixedAssets[Depreciation
/ Amortization Months],_xlfn.XMATCH($E$84,FixedAssets[Asset ID])),IF(AND((_xlfn.XMATCH(AU$8,$AH$8:$CC$8))-_xlfn.XMATCH($C91,$C$35:$C$82)+1&lt;=_xlpm.DepreciationMonths,$C91&lt;=AU$8),$E91/_xlpm.DepreciationMonths,0))</f>
        <v>0</v>
      </c>
      <c r="AV91" s="507" cm="1">
        <f t="array" ref="AV91">_xlfn.LET(_xlpm.DepreciationMonths,INDEX(FixedAssets[Depreciation
/ Amortization Months],_xlfn.XMATCH($E$84,FixedAssets[Asset ID])),IF(AND((_xlfn.XMATCH(AV$8,$AH$8:$CC$8))-_xlfn.XMATCH($C91,$C$35:$C$82)+1&lt;=_xlpm.DepreciationMonths,$C91&lt;=AV$8),$E91/_xlpm.DepreciationMonths,0))</f>
        <v>0</v>
      </c>
      <c r="AW91" s="507" cm="1">
        <f t="array" ref="AW91">_xlfn.LET(_xlpm.DepreciationMonths,INDEX(FixedAssets[Depreciation
/ Amortization Months],_xlfn.XMATCH($E$84,FixedAssets[Asset ID])),IF(AND((_xlfn.XMATCH(AW$8,$AH$8:$CC$8))-_xlfn.XMATCH($C91,$C$35:$C$82)+1&lt;=_xlpm.DepreciationMonths,$C91&lt;=AW$8),$E91/_xlpm.DepreciationMonths,0))</f>
        <v>0</v>
      </c>
      <c r="AX91" s="507" cm="1">
        <f t="array" ref="AX91">_xlfn.LET(_xlpm.DepreciationMonths,INDEX(FixedAssets[Depreciation
/ Amortization Months],_xlfn.XMATCH($E$84,FixedAssets[Asset ID])),IF(AND((_xlfn.XMATCH(AX$8,$AH$8:$CC$8))-_xlfn.XMATCH($C91,$C$35:$C$82)+1&lt;=_xlpm.DepreciationMonths,$C91&lt;=AX$8),$E91/_xlpm.DepreciationMonths,0))</f>
        <v>0</v>
      </c>
      <c r="AY91" s="507" cm="1">
        <f t="array" ref="AY91">_xlfn.LET(_xlpm.DepreciationMonths,INDEX(FixedAssets[Depreciation
/ Amortization Months],_xlfn.XMATCH($E$84,FixedAssets[Asset ID])),IF(AND((_xlfn.XMATCH(AY$8,$AH$8:$CC$8))-_xlfn.XMATCH($C91,$C$35:$C$82)+1&lt;=_xlpm.DepreciationMonths,$C91&lt;=AY$8),$E91/_xlpm.DepreciationMonths,0))</f>
        <v>0</v>
      </c>
      <c r="AZ91" s="507" cm="1">
        <f t="array" ref="AZ91">_xlfn.LET(_xlpm.DepreciationMonths,INDEX(FixedAssets[Depreciation
/ Amortization Months],_xlfn.XMATCH($E$84,FixedAssets[Asset ID])),IF(AND((_xlfn.XMATCH(AZ$8,$AH$8:$CC$8))-_xlfn.XMATCH($C91,$C$35:$C$82)+1&lt;=_xlpm.DepreciationMonths,$C91&lt;=AZ$8),$E91/_xlpm.DepreciationMonths,0))</f>
        <v>0</v>
      </c>
      <c r="BA91" s="507" cm="1">
        <f t="array" ref="BA91">_xlfn.LET(_xlpm.DepreciationMonths,INDEX(FixedAssets[Depreciation
/ Amortization Months],_xlfn.XMATCH($E$84,FixedAssets[Asset ID])),IF(AND((_xlfn.XMATCH(BA$8,$AH$8:$CC$8))-_xlfn.XMATCH($C91,$C$35:$C$82)+1&lt;=_xlpm.DepreciationMonths,$C91&lt;=BA$8),$E91/_xlpm.DepreciationMonths,0))</f>
        <v>0</v>
      </c>
      <c r="BB91" s="507" cm="1">
        <f t="array" ref="BB91">_xlfn.LET(_xlpm.DepreciationMonths,INDEX(FixedAssets[Depreciation
/ Amortization Months],_xlfn.XMATCH($E$84,FixedAssets[Asset ID])),IF(AND((_xlfn.XMATCH(BB$8,$AH$8:$CC$8))-_xlfn.XMATCH($C91,$C$35:$C$82)+1&lt;=_xlpm.DepreciationMonths,$C91&lt;=BB$8),$E91/_xlpm.DepreciationMonths,0))</f>
        <v>0</v>
      </c>
      <c r="BC91" s="507" cm="1">
        <f t="array" ref="BC91">_xlfn.LET(_xlpm.DepreciationMonths,INDEX(FixedAssets[Depreciation
/ Amortization Months],_xlfn.XMATCH($E$84,FixedAssets[Asset ID])),IF(AND((_xlfn.XMATCH(BC$8,$AH$8:$CC$8))-_xlfn.XMATCH($C91,$C$35:$C$82)+1&lt;=_xlpm.DepreciationMonths,$C91&lt;=BC$8),$E91/_xlpm.DepreciationMonths,0))</f>
        <v>0</v>
      </c>
      <c r="BD91" s="507" cm="1">
        <f t="array" ref="BD91">_xlfn.LET(_xlpm.DepreciationMonths,INDEX(FixedAssets[Depreciation
/ Amortization Months],_xlfn.XMATCH($E$84,FixedAssets[Asset ID])),IF(AND((_xlfn.XMATCH(BD$8,$AH$8:$CC$8))-_xlfn.XMATCH($C91,$C$35:$C$82)+1&lt;=_xlpm.DepreciationMonths,$C91&lt;=BD$8),$E91/_xlpm.DepreciationMonths,0))</f>
        <v>0</v>
      </c>
      <c r="BE91" s="507" cm="1">
        <f t="array" ref="BE91">_xlfn.LET(_xlpm.DepreciationMonths,INDEX(FixedAssets[Depreciation
/ Amortization Months],_xlfn.XMATCH($E$84,FixedAssets[Asset ID])),IF(AND((_xlfn.XMATCH(BE$8,$AH$8:$CC$8))-_xlfn.XMATCH($C91,$C$35:$C$82)+1&lt;=_xlpm.DepreciationMonths,$C91&lt;=BE$8),$E91/_xlpm.DepreciationMonths,0))</f>
        <v>0</v>
      </c>
      <c r="BF91" s="507" cm="1">
        <f t="array" ref="BF91">_xlfn.LET(_xlpm.DepreciationMonths,INDEX(FixedAssets[Depreciation
/ Amortization Months],_xlfn.XMATCH($E$84,FixedAssets[Asset ID])),IF(AND((_xlfn.XMATCH(BF$8,$AH$8:$CC$8))-_xlfn.XMATCH($C91,$C$35:$C$82)+1&lt;=_xlpm.DepreciationMonths,$C91&lt;=BF$8),$E91/_xlpm.DepreciationMonths,0))</f>
        <v>0</v>
      </c>
      <c r="BG91" s="507" cm="1">
        <f t="array" ref="BG91">_xlfn.LET(_xlpm.DepreciationMonths,INDEX(FixedAssets[Depreciation
/ Amortization Months],_xlfn.XMATCH($E$84,FixedAssets[Asset ID])),IF(AND((_xlfn.XMATCH(BG$8,$AH$8:$CC$8))-_xlfn.XMATCH($C91,$C$35:$C$82)+1&lt;=_xlpm.DepreciationMonths,$C91&lt;=BG$8),$E91/_xlpm.DepreciationMonths,0))</f>
        <v>0</v>
      </c>
      <c r="BH91" s="507" cm="1">
        <f t="array" ref="BH91">_xlfn.LET(_xlpm.DepreciationMonths,INDEX(FixedAssets[Depreciation
/ Amortization Months],_xlfn.XMATCH($E$84,FixedAssets[Asset ID])),IF(AND((_xlfn.XMATCH(BH$8,$AH$8:$CC$8))-_xlfn.XMATCH($C91,$C$35:$C$82)+1&lt;=_xlpm.DepreciationMonths,$C91&lt;=BH$8),$E91/_xlpm.DepreciationMonths,0))</f>
        <v>0</v>
      </c>
      <c r="BI91" s="507" cm="1">
        <f t="array" ref="BI91">_xlfn.LET(_xlpm.DepreciationMonths,INDEX(FixedAssets[Depreciation
/ Amortization Months],_xlfn.XMATCH($E$84,FixedAssets[Asset ID])),IF(AND((_xlfn.XMATCH(BI$8,$AH$8:$CC$8))-_xlfn.XMATCH($C91,$C$35:$C$82)+1&lt;=_xlpm.DepreciationMonths,$C91&lt;=BI$8),$E91/_xlpm.DepreciationMonths,0))</f>
        <v>0</v>
      </c>
      <c r="BJ91" s="507" cm="1">
        <f t="array" ref="BJ91">_xlfn.LET(_xlpm.DepreciationMonths,INDEX(FixedAssets[Depreciation
/ Amortization Months],_xlfn.XMATCH($E$84,FixedAssets[Asset ID])),IF(AND((_xlfn.XMATCH(BJ$8,$AH$8:$CC$8))-_xlfn.XMATCH($C91,$C$35:$C$82)+1&lt;=_xlpm.DepreciationMonths,$C91&lt;=BJ$8),$E91/_xlpm.DepreciationMonths,0))</f>
        <v>0</v>
      </c>
      <c r="BK91" s="507" cm="1">
        <f t="array" ref="BK91">_xlfn.LET(_xlpm.DepreciationMonths,INDEX(FixedAssets[Depreciation
/ Amortization Months],_xlfn.XMATCH($E$84,FixedAssets[Asset ID])),IF(AND((_xlfn.XMATCH(BK$8,$AH$8:$CC$8))-_xlfn.XMATCH($C91,$C$35:$C$82)+1&lt;=_xlpm.DepreciationMonths,$C91&lt;=BK$8),$E91/_xlpm.DepreciationMonths,0))</f>
        <v>0</v>
      </c>
      <c r="BL91" s="507" cm="1">
        <f t="array" ref="BL91">_xlfn.LET(_xlpm.DepreciationMonths,INDEX(FixedAssets[Depreciation
/ Amortization Months],_xlfn.XMATCH($E$84,FixedAssets[Asset ID])),IF(AND((_xlfn.XMATCH(BL$8,$AH$8:$CC$8))-_xlfn.XMATCH($C91,$C$35:$C$82)+1&lt;=_xlpm.DepreciationMonths,$C91&lt;=BL$8),$E91/_xlpm.DepreciationMonths,0))</f>
        <v>0</v>
      </c>
      <c r="BM91" s="507" cm="1">
        <f t="array" ref="BM91">_xlfn.LET(_xlpm.DepreciationMonths,INDEX(FixedAssets[Depreciation
/ Amortization Months],_xlfn.XMATCH($E$84,FixedAssets[Asset ID])),IF(AND((_xlfn.XMATCH(BM$8,$AH$8:$CC$8))-_xlfn.XMATCH($C91,$C$35:$C$82)+1&lt;=_xlpm.DepreciationMonths,$C91&lt;=BM$8),$E91/_xlpm.DepreciationMonths,0))</f>
        <v>0</v>
      </c>
      <c r="BN91" s="507" cm="1">
        <f t="array" ref="BN91">_xlfn.LET(_xlpm.DepreciationMonths,INDEX(FixedAssets[Depreciation
/ Amortization Months],_xlfn.XMATCH($E$84,FixedAssets[Asset ID])),IF(AND((_xlfn.XMATCH(BN$8,$AH$8:$CC$8))-_xlfn.XMATCH($C91,$C$35:$C$82)+1&lt;=_xlpm.DepreciationMonths,$C91&lt;=BN$8),$E91/_xlpm.DepreciationMonths,0))</f>
        <v>0</v>
      </c>
      <c r="BO91" s="507" cm="1">
        <f t="array" ref="BO91">_xlfn.LET(_xlpm.DepreciationMonths,INDEX(FixedAssets[Depreciation
/ Amortization Months],_xlfn.XMATCH($E$84,FixedAssets[Asset ID])),IF(AND((_xlfn.XMATCH(BO$8,$AH$8:$CC$8))-_xlfn.XMATCH($C91,$C$35:$C$82)+1&lt;=_xlpm.DepreciationMonths,$C91&lt;=BO$8),$E91/_xlpm.DepreciationMonths,0))</f>
        <v>0</v>
      </c>
      <c r="BP91" s="507" cm="1">
        <f t="array" ref="BP91">_xlfn.LET(_xlpm.DepreciationMonths,INDEX(FixedAssets[Depreciation
/ Amortization Months],_xlfn.XMATCH($E$84,FixedAssets[Asset ID])),IF(AND((_xlfn.XMATCH(BP$8,$AH$8:$CC$8))-_xlfn.XMATCH($C91,$C$35:$C$82)+1&lt;=_xlpm.DepreciationMonths,$C91&lt;=BP$8),$E91/_xlpm.DepreciationMonths,0))</f>
        <v>0</v>
      </c>
      <c r="BQ91" s="507" cm="1">
        <f t="array" ref="BQ91">_xlfn.LET(_xlpm.DepreciationMonths,INDEX(FixedAssets[Depreciation
/ Amortization Months],_xlfn.XMATCH($E$84,FixedAssets[Asset ID])),IF(AND((_xlfn.XMATCH(BQ$8,$AH$8:$CC$8))-_xlfn.XMATCH($C91,$C$35:$C$82)+1&lt;=_xlpm.DepreciationMonths,$C91&lt;=BQ$8),$E91/_xlpm.DepreciationMonths,0))</f>
        <v>0</v>
      </c>
      <c r="BR91" s="507" cm="1">
        <f t="array" ref="BR91">_xlfn.LET(_xlpm.DepreciationMonths,INDEX(FixedAssets[Depreciation
/ Amortization Months],_xlfn.XMATCH($E$84,FixedAssets[Asset ID])),IF(AND((_xlfn.XMATCH(BR$8,$AH$8:$CC$8))-_xlfn.XMATCH($C91,$C$35:$C$82)+1&lt;=_xlpm.DepreciationMonths,$C91&lt;=BR$8),$E91/_xlpm.DepreciationMonths,0))</f>
        <v>0</v>
      </c>
      <c r="BS91" s="507" cm="1">
        <f t="array" ref="BS91">_xlfn.LET(_xlpm.DepreciationMonths,INDEX(FixedAssets[Depreciation
/ Amortization Months],_xlfn.XMATCH($E$84,FixedAssets[Asset ID])),IF(AND((_xlfn.XMATCH(BS$8,$AH$8:$CC$8))-_xlfn.XMATCH($C91,$C$35:$C$82)+1&lt;=_xlpm.DepreciationMonths,$C91&lt;=BS$8),$E91/_xlpm.DepreciationMonths,0))</f>
        <v>0</v>
      </c>
      <c r="BT91" s="507" cm="1">
        <f t="array" ref="BT91">_xlfn.LET(_xlpm.DepreciationMonths,INDEX(FixedAssets[Depreciation
/ Amortization Months],_xlfn.XMATCH($E$84,FixedAssets[Asset ID])),IF(AND((_xlfn.XMATCH(BT$8,$AH$8:$CC$8))-_xlfn.XMATCH($C91,$C$35:$C$82)+1&lt;=_xlpm.DepreciationMonths,$C91&lt;=BT$8),$E91/_xlpm.DepreciationMonths,0))</f>
        <v>0</v>
      </c>
      <c r="BU91" s="507" cm="1">
        <f t="array" ref="BU91">_xlfn.LET(_xlpm.DepreciationMonths,INDEX(FixedAssets[Depreciation
/ Amortization Months],_xlfn.XMATCH($E$84,FixedAssets[Asset ID])),IF(AND((_xlfn.XMATCH(BU$8,$AH$8:$CC$8))-_xlfn.XMATCH($C91,$C$35:$C$82)+1&lt;=_xlpm.DepreciationMonths,$C91&lt;=BU$8),$E91/_xlpm.DepreciationMonths,0))</f>
        <v>0</v>
      </c>
      <c r="BV91" s="507" cm="1">
        <f t="array" ref="BV91">_xlfn.LET(_xlpm.DepreciationMonths,INDEX(FixedAssets[Depreciation
/ Amortization Months],_xlfn.XMATCH($E$84,FixedAssets[Asset ID])),IF(AND((_xlfn.XMATCH(BV$8,$AH$8:$CC$8))-_xlfn.XMATCH($C91,$C$35:$C$82)+1&lt;=_xlpm.DepreciationMonths,$C91&lt;=BV$8),$E91/_xlpm.DepreciationMonths,0))</f>
        <v>0</v>
      </c>
      <c r="BW91" s="507" cm="1">
        <f t="array" ref="BW91">_xlfn.LET(_xlpm.DepreciationMonths,INDEX(FixedAssets[Depreciation
/ Amortization Months],_xlfn.XMATCH($E$84,FixedAssets[Asset ID])),IF(AND((_xlfn.XMATCH(BW$8,$AH$8:$CC$8))-_xlfn.XMATCH($C91,$C$35:$C$82)+1&lt;=_xlpm.DepreciationMonths,$C91&lt;=BW$8),$E91/_xlpm.DepreciationMonths,0))</f>
        <v>0</v>
      </c>
      <c r="BX91" s="507" cm="1">
        <f t="array" ref="BX91">_xlfn.LET(_xlpm.DepreciationMonths,INDEX(FixedAssets[Depreciation
/ Amortization Months],_xlfn.XMATCH($E$84,FixedAssets[Asset ID])),IF(AND((_xlfn.XMATCH(BX$8,$AH$8:$CC$8))-_xlfn.XMATCH($C91,$C$35:$C$82)+1&lt;=_xlpm.DepreciationMonths,$C91&lt;=BX$8),$E91/_xlpm.DepreciationMonths,0))</f>
        <v>0</v>
      </c>
      <c r="BY91" s="507" cm="1">
        <f t="array" ref="BY91">_xlfn.LET(_xlpm.DepreciationMonths,INDEX(FixedAssets[Depreciation
/ Amortization Months],_xlfn.XMATCH($E$84,FixedAssets[Asset ID])),IF(AND((_xlfn.XMATCH(BY$8,$AH$8:$CC$8))-_xlfn.XMATCH($C91,$C$35:$C$82)+1&lt;=_xlpm.DepreciationMonths,$C91&lt;=BY$8),$E91/_xlpm.DepreciationMonths,0))</f>
        <v>0</v>
      </c>
      <c r="BZ91" s="507" cm="1">
        <f t="array" ref="BZ91">_xlfn.LET(_xlpm.DepreciationMonths,INDEX(FixedAssets[Depreciation
/ Amortization Months],_xlfn.XMATCH($E$84,FixedAssets[Asset ID])),IF(AND((_xlfn.XMATCH(BZ$8,$AH$8:$CC$8))-_xlfn.XMATCH($C91,$C$35:$C$82)+1&lt;=_xlpm.DepreciationMonths,$C91&lt;=BZ$8),$E91/_xlpm.DepreciationMonths,0))</f>
        <v>0</v>
      </c>
      <c r="CA91" s="507" cm="1">
        <f t="array" ref="CA91">_xlfn.LET(_xlpm.DepreciationMonths,INDEX(FixedAssets[Depreciation
/ Amortization Months],_xlfn.XMATCH($E$84,FixedAssets[Asset ID])),IF(AND((_xlfn.XMATCH(CA$8,$AH$8:$CC$8))-_xlfn.XMATCH($C91,$C$35:$C$82)+1&lt;=_xlpm.DepreciationMonths,$C91&lt;=CA$8),$E91/_xlpm.DepreciationMonths,0))</f>
        <v>0</v>
      </c>
      <c r="CB91" s="507" cm="1">
        <f t="array" ref="CB91">_xlfn.LET(_xlpm.DepreciationMonths,INDEX(FixedAssets[Depreciation
/ Amortization Months],_xlfn.XMATCH($E$84,FixedAssets[Asset ID])),IF(AND((_xlfn.XMATCH(CB$8,$AH$8:$CC$8))-_xlfn.XMATCH($C91,$C$35:$C$82)+1&lt;=_xlpm.DepreciationMonths,$C91&lt;=CB$8),$E91/_xlpm.DepreciationMonths,0))</f>
        <v>0</v>
      </c>
      <c r="CC91" s="507" cm="1">
        <f t="array" ref="CC91">_xlfn.LET(_xlpm.DepreciationMonths,INDEX(FixedAssets[Depreciation
/ Amortization Months],_xlfn.XMATCH($E$84,FixedAssets[Asset ID])),IF(AND((_xlfn.XMATCH(CC$8,$AH$8:$CC$8))-_xlfn.XMATCH($C91,$C$35:$C$82)+1&lt;=_xlpm.DepreciationMonths,$C91&lt;=CC$8),$E91/_xlpm.DepreciationMonths,0))</f>
        <v>0</v>
      </c>
    </row>
    <row r="92" spans="3:81" hidden="1" outlineLevel="2">
      <c r="C92" s="664">
        <f t="shared" si="167"/>
        <v>45138</v>
      </c>
      <c r="D92" s="508"/>
      <c r="E92" s="508" cm="1">
        <f t="array" ref="E92">SUMPRODUCT(($AH$26:$CC$31)*($AH$5:$CC$5=$C92)*($E$26:$E$31=E$84))-SUMPRODUCT(($AH$26:$CC$31)*($AH$5:$CC$5=EOMONTH($C92,-1))*($E$26:$E$31=E$84))</f>
        <v>0</v>
      </c>
      <c r="F92" s="508"/>
      <c r="G92" s="508"/>
      <c r="H92" s="508"/>
      <c r="I92" s="508"/>
      <c r="J92" s="504">
        <f t="shared" si="164"/>
        <v>0</v>
      </c>
      <c r="K92" s="504">
        <f t="shared" si="165"/>
        <v>0</v>
      </c>
      <c r="L92" s="504">
        <f t="shared" si="165"/>
        <v>0</v>
      </c>
      <c r="M92" s="504">
        <f t="shared" si="165"/>
        <v>0</v>
      </c>
      <c r="N92" s="504"/>
      <c r="O92" s="504"/>
      <c r="P92" s="504">
        <f t="shared" si="166"/>
        <v>0</v>
      </c>
      <c r="Q92" s="504">
        <f t="shared" si="166"/>
        <v>0</v>
      </c>
      <c r="R92" s="504">
        <f t="shared" si="166"/>
        <v>0</v>
      </c>
      <c r="S92" s="504">
        <f t="shared" si="166"/>
        <v>0</v>
      </c>
      <c r="T92" s="504">
        <f t="shared" si="166"/>
        <v>0</v>
      </c>
      <c r="U92" s="504">
        <f t="shared" si="166"/>
        <v>0</v>
      </c>
      <c r="V92" s="504">
        <f t="shared" si="166"/>
        <v>0</v>
      </c>
      <c r="W92" s="504">
        <f t="shared" si="166"/>
        <v>0</v>
      </c>
      <c r="X92" s="504">
        <f t="shared" si="166"/>
        <v>0</v>
      </c>
      <c r="Y92" s="504">
        <f t="shared" si="166"/>
        <v>0</v>
      </c>
      <c r="Z92" s="504">
        <f t="shared" si="166"/>
        <v>0</v>
      </c>
      <c r="AA92" s="504">
        <f t="shared" si="166"/>
        <v>0</v>
      </c>
      <c r="AB92" s="504">
        <f t="shared" si="166"/>
        <v>0</v>
      </c>
      <c r="AC92" s="504">
        <f t="shared" si="166"/>
        <v>0</v>
      </c>
      <c r="AD92" s="504">
        <f t="shared" si="166"/>
        <v>0</v>
      </c>
      <c r="AE92" s="504">
        <f t="shared" si="166"/>
        <v>0</v>
      </c>
      <c r="AF92" s="508"/>
      <c r="AG92" s="508"/>
      <c r="AH92" s="507" cm="1">
        <f t="array" ref="AH92">_xlfn.LET(_xlpm.DepreciationMonths,INDEX(FixedAssets[Depreciation
/ Amortization Months],_xlfn.XMATCH($E$84,FixedAssets[Asset ID])),IF(AND((_xlfn.XMATCH(AH$8,$AH$8:$CC$8))-_xlfn.XMATCH($C92,$C$35:$C$82)+1&lt;=_xlpm.DepreciationMonths,$C92&lt;=AH$8),$E92/_xlpm.DepreciationMonths,0))</f>
        <v>0</v>
      </c>
      <c r="AI92" s="507" cm="1">
        <f t="array" ref="AI92">_xlfn.LET(_xlpm.DepreciationMonths,INDEX(FixedAssets[Depreciation
/ Amortization Months],_xlfn.XMATCH($E$84,FixedAssets[Asset ID])),IF(AND((_xlfn.XMATCH(AI$8,$AH$8:$CC$8))-_xlfn.XMATCH($C92,$C$35:$C$82)+1&lt;=_xlpm.DepreciationMonths,$C92&lt;=AI$8),$E92/_xlpm.DepreciationMonths,0))</f>
        <v>0</v>
      </c>
      <c r="AJ92" s="507" cm="1">
        <f t="array" ref="AJ92">_xlfn.LET(_xlpm.DepreciationMonths,INDEX(FixedAssets[Depreciation
/ Amortization Months],_xlfn.XMATCH($E$84,FixedAssets[Asset ID])),IF(AND((_xlfn.XMATCH(AJ$8,$AH$8:$CC$8))-_xlfn.XMATCH($C92,$C$35:$C$82)+1&lt;=_xlpm.DepreciationMonths,$C92&lt;=AJ$8),$E92/_xlpm.DepreciationMonths,0))</f>
        <v>0</v>
      </c>
      <c r="AK92" s="507" cm="1">
        <f t="array" ref="AK92">_xlfn.LET(_xlpm.DepreciationMonths,INDEX(FixedAssets[Depreciation
/ Amortization Months],_xlfn.XMATCH($E$84,FixedAssets[Asset ID])),IF(AND((_xlfn.XMATCH(AK$8,$AH$8:$CC$8))-_xlfn.XMATCH($C92,$C$35:$C$82)+1&lt;=_xlpm.DepreciationMonths,$C92&lt;=AK$8),$E92/_xlpm.DepreciationMonths,0))</f>
        <v>0</v>
      </c>
      <c r="AL92" s="507" cm="1">
        <f t="array" ref="AL92">_xlfn.LET(_xlpm.DepreciationMonths,INDEX(FixedAssets[Depreciation
/ Amortization Months],_xlfn.XMATCH($E$84,FixedAssets[Asset ID])),IF(AND((_xlfn.XMATCH(AL$8,$AH$8:$CC$8))-_xlfn.XMATCH($C92,$C$35:$C$82)+1&lt;=_xlpm.DepreciationMonths,$C92&lt;=AL$8),$E92/_xlpm.DepreciationMonths,0))</f>
        <v>0</v>
      </c>
      <c r="AM92" s="507" cm="1">
        <f t="array" ref="AM92">_xlfn.LET(_xlpm.DepreciationMonths,INDEX(FixedAssets[Depreciation
/ Amortization Months],_xlfn.XMATCH($E$84,FixedAssets[Asset ID])),IF(AND((_xlfn.XMATCH(AM$8,$AH$8:$CC$8))-_xlfn.XMATCH($C92,$C$35:$C$82)+1&lt;=_xlpm.DepreciationMonths,$C92&lt;=AM$8),$E92/_xlpm.DepreciationMonths,0))</f>
        <v>0</v>
      </c>
      <c r="AN92" s="507" cm="1">
        <f t="array" ref="AN92">_xlfn.LET(_xlpm.DepreciationMonths,INDEX(FixedAssets[Depreciation
/ Amortization Months],_xlfn.XMATCH($E$84,FixedAssets[Asset ID])),IF(AND((_xlfn.XMATCH(AN$8,$AH$8:$CC$8))-_xlfn.XMATCH($C92,$C$35:$C$82)+1&lt;=_xlpm.DepreciationMonths,$C92&lt;=AN$8),$E92/_xlpm.DepreciationMonths,0))</f>
        <v>0</v>
      </c>
      <c r="AO92" s="507" cm="1">
        <f t="array" ref="AO92">_xlfn.LET(_xlpm.DepreciationMonths,INDEX(FixedAssets[Depreciation
/ Amortization Months],_xlfn.XMATCH($E$84,FixedAssets[Asset ID])),IF(AND((_xlfn.XMATCH(AO$8,$AH$8:$CC$8))-_xlfn.XMATCH($C92,$C$35:$C$82)+1&lt;=_xlpm.DepreciationMonths,$C92&lt;=AO$8),$E92/_xlpm.DepreciationMonths,0))</f>
        <v>0</v>
      </c>
      <c r="AP92" s="507" cm="1">
        <f t="array" ref="AP92">_xlfn.LET(_xlpm.DepreciationMonths,INDEX(FixedAssets[Depreciation
/ Amortization Months],_xlfn.XMATCH($E$84,FixedAssets[Asset ID])),IF(AND((_xlfn.XMATCH(AP$8,$AH$8:$CC$8))-_xlfn.XMATCH($C92,$C$35:$C$82)+1&lt;=_xlpm.DepreciationMonths,$C92&lt;=AP$8),$E92/_xlpm.DepreciationMonths,0))</f>
        <v>0</v>
      </c>
      <c r="AQ92" s="507" cm="1">
        <f t="array" ref="AQ92">_xlfn.LET(_xlpm.DepreciationMonths,INDEX(FixedAssets[Depreciation
/ Amortization Months],_xlfn.XMATCH($E$84,FixedAssets[Asset ID])),IF(AND((_xlfn.XMATCH(AQ$8,$AH$8:$CC$8))-_xlfn.XMATCH($C92,$C$35:$C$82)+1&lt;=_xlpm.DepreciationMonths,$C92&lt;=AQ$8),$E92/_xlpm.DepreciationMonths,0))</f>
        <v>0</v>
      </c>
      <c r="AR92" s="507" cm="1">
        <f t="array" ref="AR92">_xlfn.LET(_xlpm.DepreciationMonths,INDEX(FixedAssets[Depreciation
/ Amortization Months],_xlfn.XMATCH($E$84,FixedAssets[Asset ID])),IF(AND((_xlfn.XMATCH(AR$8,$AH$8:$CC$8))-_xlfn.XMATCH($C92,$C$35:$C$82)+1&lt;=_xlpm.DepreciationMonths,$C92&lt;=AR$8),$E92/_xlpm.DepreciationMonths,0))</f>
        <v>0</v>
      </c>
      <c r="AS92" s="507" cm="1">
        <f t="array" ref="AS92">_xlfn.LET(_xlpm.DepreciationMonths,INDEX(FixedAssets[Depreciation
/ Amortization Months],_xlfn.XMATCH($E$84,FixedAssets[Asset ID])),IF(AND((_xlfn.XMATCH(AS$8,$AH$8:$CC$8))-_xlfn.XMATCH($C92,$C$35:$C$82)+1&lt;=_xlpm.DepreciationMonths,$C92&lt;=AS$8),$E92/_xlpm.DepreciationMonths,0))</f>
        <v>0</v>
      </c>
      <c r="AT92" s="507" cm="1">
        <f t="array" ref="AT92">_xlfn.LET(_xlpm.DepreciationMonths,INDEX(FixedAssets[Depreciation
/ Amortization Months],_xlfn.XMATCH($E$84,FixedAssets[Asset ID])),IF(AND((_xlfn.XMATCH(AT$8,$AH$8:$CC$8))-_xlfn.XMATCH($C92,$C$35:$C$82)+1&lt;=_xlpm.DepreciationMonths,$C92&lt;=AT$8),$E92/_xlpm.DepreciationMonths,0))</f>
        <v>0</v>
      </c>
      <c r="AU92" s="507" cm="1">
        <f t="array" ref="AU92">_xlfn.LET(_xlpm.DepreciationMonths,INDEX(FixedAssets[Depreciation
/ Amortization Months],_xlfn.XMATCH($E$84,FixedAssets[Asset ID])),IF(AND((_xlfn.XMATCH(AU$8,$AH$8:$CC$8))-_xlfn.XMATCH($C92,$C$35:$C$82)+1&lt;=_xlpm.DepreciationMonths,$C92&lt;=AU$8),$E92/_xlpm.DepreciationMonths,0))</f>
        <v>0</v>
      </c>
      <c r="AV92" s="507" cm="1">
        <f t="array" ref="AV92">_xlfn.LET(_xlpm.DepreciationMonths,INDEX(FixedAssets[Depreciation
/ Amortization Months],_xlfn.XMATCH($E$84,FixedAssets[Asset ID])),IF(AND((_xlfn.XMATCH(AV$8,$AH$8:$CC$8))-_xlfn.XMATCH($C92,$C$35:$C$82)+1&lt;=_xlpm.DepreciationMonths,$C92&lt;=AV$8),$E92/_xlpm.DepreciationMonths,0))</f>
        <v>0</v>
      </c>
      <c r="AW92" s="507" cm="1">
        <f t="array" ref="AW92">_xlfn.LET(_xlpm.DepreciationMonths,INDEX(FixedAssets[Depreciation
/ Amortization Months],_xlfn.XMATCH($E$84,FixedAssets[Asset ID])),IF(AND((_xlfn.XMATCH(AW$8,$AH$8:$CC$8))-_xlfn.XMATCH($C92,$C$35:$C$82)+1&lt;=_xlpm.DepreciationMonths,$C92&lt;=AW$8),$E92/_xlpm.DepreciationMonths,0))</f>
        <v>0</v>
      </c>
      <c r="AX92" s="507" cm="1">
        <f t="array" ref="AX92">_xlfn.LET(_xlpm.DepreciationMonths,INDEX(FixedAssets[Depreciation
/ Amortization Months],_xlfn.XMATCH($E$84,FixedAssets[Asset ID])),IF(AND((_xlfn.XMATCH(AX$8,$AH$8:$CC$8))-_xlfn.XMATCH($C92,$C$35:$C$82)+1&lt;=_xlpm.DepreciationMonths,$C92&lt;=AX$8),$E92/_xlpm.DepreciationMonths,0))</f>
        <v>0</v>
      </c>
      <c r="AY92" s="507" cm="1">
        <f t="array" ref="AY92">_xlfn.LET(_xlpm.DepreciationMonths,INDEX(FixedAssets[Depreciation
/ Amortization Months],_xlfn.XMATCH($E$84,FixedAssets[Asset ID])),IF(AND((_xlfn.XMATCH(AY$8,$AH$8:$CC$8))-_xlfn.XMATCH($C92,$C$35:$C$82)+1&lt;=_xlpm.DepreciationMonths,$C92&lt;=AY$8),$E92/_xlpm.DepreciationMonths,0))</f>
        <v>0</v>
      </c>
      <c r="AZ92" s="507" cm="1">
        <f t="array" ref="AZ92">_xlfn.LET(_xlpm.DepreciationMonths,INDEX(FixedAssets[Depreciation
/ Amortization Months],_xlfn.XMATCH($E$84,FixedAssets[Asset ID])),IF(AND((_xlfn.XMATCH(AZ$8,$AH$8:$CC$8))-_xlfn.XMATCH($C92,$C$35:$C$82)+1&lt;=_xlpm.DepreciationMonths,$C92&lt;=AZ$8),$E92/_xlpm.DepreciationMonths,0))</f>
        <v>0</v>
      </c>
      <c r="BA92" s="507" cm="1">
        <f t="array" ref="BA92">_xlfn.LET(_xlpm.DepreciationMonths,INDEX(FixedAssets[Depreciation
/ Amortization Months],_xlfn.XMATCH($E$84,FixedAssets[Asset ID])),IF(AND((_xlfn.XMATCH(BA$8,$AH$8:$CC$8))-_xlfn.XMATCH($C92,$C$35:$C$82)+1&lt;=_xlpm.DepreciationMonths,$C92&lt;=BA$8),$E92/_xlpm.DepreciationMonths,0))</f>
        <v>0</v>
      </c>
      <c r="BB92" s="507" cm="1">
        <f t="array" ref="BB92">_xlfn.LET(_xlpm.DepreciationMonths,INDEX(FixedAssets[Depreciation
/ Amortization Months],_xlfn.XMATCH($E$84,FixedAssets[Asset ID])),IF(AND((_xlfn.XMATCH(BB$8,$AH$8:$CC$8))-_xlfn.XMATCH($C92,$C$35:$C$82)+1&lt;=_xlpm.DepreciationMonths,$C92&lt;=BB$8),$E92/_xlpm.DepreciationMonths,0))</f>
        <v>0</v>
      </c>
      <c r="BC92" s="507" cm="1">
        <f t="array" ref="BC92">_xlfn.LET(_xlpm.DepreciationMonths,INDEX(FixedAssets[Depreciation
/ Amortization Months],_xlfn.XMATCH($E$84,FixedAssets[Asset ID])),IF(AND((_xlfn.XMATCH(BC$8,$AH$8:$CC$8))-_xlfn.XMATCH($C92,$C$35:$C$82)+1&lt;=_xlpm.DepreciationMonths,$C92&lt;=BC$8),$E92/_xlpm.DepreciationMonths,0))</f>
        <v>0</v>
      </c>
      <c r="BD92" s="507" cm="1">
        <f t="array" ref="BD92">_xlfn.LET(_xlpm.DepreciationMonths,INDEX(FixedAssets[Depreciation
/ Amortization Months],_xlfn.XMATCH($E$84,FixedAssets[Asset ID])),IF(AND((_xlfn.XMATCH(BD$8,$AH$8:$CC$8))-_xlfn.XMATCH($C92,$C$35:$C$82)+1&lt;=_xlpm.DepreciationMonths,$C92&lt;=BD$8),$E92/_xlpm.DepreciationMonths,0))</f>
        <v>0</v>
      </c>
      <c r="BE92" s="507" cm="1">
        <f t="array" ref="BE92">_xlfn.LET(_xlpm.DepreciationMonths,INDEX(FixedAssets[Depreciation
/ Amortization Months],_xlfn.XMATCH($E$84,FixedAssets[Asset ID])),IF(AND((_xlfn.XMATCH(BE$8,$AH$8:$CC$8))-_xlfn.XMATCH($C92,$C$35:$C$82)+1&lt;=_xlpm.DepreciationMonths,$C92&lt;=BE$8),$E92/_xlpm.DepreciationMonths,0))</f>
        <v>0</v>
      </c>
      <c r="BF92" s="507" cm="1">
        <f t="array" ref="BF92">_xlfn.LET(_xlpm.DepreciationMonths,INDEX(FixedAssets[Depreciation
/ Amortization Months],_xlfn.XMATCH($E$84,FixedAssets[Asset ID])),IF(AND((_xlfn.XMATCH(BF$8,$AH$8:$CC$8))-_xlfn.XMATCH($C92,$C$35:$C$82)+1&lt;=_xlpm.DepreciationMonths,$C92&lt;=BF$8),$E92/_xlpm.DepreciationMonths,0))</f>
        <v>0</v>
      </c>
      <c r="BG92" s="507" cm="1">
        <f t="array" ref="BG92">_xlfn.LET(_xlpm.DepreciationMonths,INDEX(FixedAssets[Depreciation
/ Amortization Months],_xlfn.XMATCH($E$84,FixedAssets[Asset ID])),IF(AND((_xlfn.XMATCH(BG$8,$AH$8:$CC$8))-_xlfn.XMATCH($C92,$C$35:$C$82)+1&lt;=_xlpm.DepreciationMonths,$C92&lt;=BG$8),$E92/_xlpm.DepreciationMonths,0))</f>
        <v>0</v>
      </c>
      <c r="BH92" s="507" cm="1">
        <f t="array" ref="BH92">_xlfn.LET(_xlpm.DepreciationMonths,INDEX(FixedAssets[Depreciation
/ Amortization Months],_xlfn.XMATCH($E$84,FixedAssets[Asset ID])),IF(AND((_xlfn.XMATCH(BH$8,$AH$8:$CC$8))-_xlfn.XMATCH($C92,$C$35:$C$82)+1&lt;=_xlpm.DepreciationMonths,$C92&lt;=BH$8),$E92/_xlpm.DepreciationMonths,0))</f>
        <v>0</v>
      </c>
      <c r="BI92" s="507" cm="1">
        <f t="array" ref="BI92">_xlfn.LET(_xlpm.DepreciationMonths,INDEX(FixedAssets[Depreciation
/ Amortization Months],_xlfn.XMATCH($E$84,FixedAssets[Asset ID])),IF(AND((_xlfn.XMATCH(BI$8,$AH$8:$CC$8))-_xlfn.XMATCH($C92,$C$35:$C$82)+1&lt;=_xlpm.DepreciationMonths,$C92&lt;=BI$8),$E92/_xlpm.DepreciationMonths,0))</f>
        <v>0</v>
      </c>
      <c r="BJ92" s="507" cm="1">
        <f t="array" ref="BJ92">_xlfn.LET(_xlpm.DepreciationMonths,INDEX(FixedAssets[Depreciation
/ Amortization Months],_xlfn.XMATCH($E$84,FixedAssets[Asset ID])),IF(AND((_xlfn.XMATCH(BJ$8,$AH$8:$CC$8))-_xlfn.XMATCH($C92,$C$35:$C$82)+1&lt;=_xlpm.DepreciationMonths,$C92&lt;=BJ$8),$E92/_xlpm.DepreciationMonths,0))</f>
        <v>0</v>
      </c>
      <c r="BK92" s="507" cm="1">
        <f t="array" ref="BK92">_xlfn.LET(_xlpm.DepreciationMonths,INDEX(FixedAssets[Depreciation
/ Amortization Months],_xlfn.XMATCH($E$84,FixedAssets[Asset ID])),IF(AND((_xlfn.XMATCH(BK$8,$AH$8:$CC$8))-_xlfn.XMATCH($C92,$C$35:$C$82)+1&lt;=_xlpm.DepreciationMonths,$C92&lt;=BK$8),$E92/_xlpm.DepreciationMonths,0))</f>
        <v>0</v>
      </c>
      <c r="BL92" s="507" cm="1">
        <f t="array" ref="BL92">_xlfn.LET(_xlpm.DepreciationMonths,INDEX(FixedAssets[Depreciation
/ Amortization Months],_xlfn.XMATCH($E$84,FixedAssets[Asset ID])),IF(AND((_xlfn.XMATCH(BL$8,$AH$8:$CC$8))-_xlfn.XMATCH($C92,$C$35:$C$82)+1&lt;=_xlpm.DepreciationMonths,$C92&lt;=BL$8),$E92/_xlpm.DepreciationMonths,0))</f>
        <v>0</v>
      </c>
      <c r="BM92" s="507" cm="1">
        <f t="array" ref="BM92">_xlfn.LET(_xlpm.DepreciationMonths,INDEX(FixedAssets[Depreciation
/ Amortization Months],_xlfn.XMATCH($E$84,FixedAssets[Asset ID])),IF(AND((_xlfn.XMATCH(BM$8,$AH$8:$CC$8))-_xlfn.XMATCH($C92,$C$35:$C$82)+1&lt;=_xlpm.DepreciationMonths,$C92&lt;=BM$8),$E92/_xlpm.DepreciationMonths,0))</f>
        <v>0</v>
      </c>
      <c r="BN92" s="507" cm="1">
        <f t="array" ref="BN92">_xlfn.LET(_xlpm.DepreciationMonths,INDEX(FixedAssets[Depreciation
/ Amortization Months],_xlfn.XMATCH($E$84,FixedAssets[Asset ID])),IF(AND((_xlfn.XMATCH(BN$8,$AH$8:$CC$8))-_xlfn.XMATCH($C92,$C$35:$C$82)+1&lt;=_xlpm.DepreciationMonths,$C92&lt;=BN$8),$E92/_xlpm.DepreciationMonths,0))</f>
        <v>0</v>
      </c>
      <c r="BO92" s="507" cm="1">
        <f t="array" ref="BO92">_xlfn.LET(_xlpm.DepreciationMonths,INDEX(FixedAssets[Depreciation
/ Amortization Months],_xlfn.XMATCH($E$84,FixedAssets[Asset ID])),IF(AND((_xlfn.XMATCH(BO$8,$AH$8:$CC$8))-_xlfn.XMATCH($C92,$C$35:$C$82)+1&lt;=_xlpm.DepreciationMonths,$C92&lt;=BO$8),$E92/_xlpm.DepreciationMonths,0))</f>
        <v>0</v>
      </c>
      <c r="BP92" s="507" cm="1">
        <f t="array" ref="BP92">_xlfn.LET(_xlpm.DepreciationMonths,INDEX(FixedAssets[Depreciation
/ Amortization Months],_xlfn.XMATCH($E$84,FixedAssets[Asset ID])),IF(AND((_xlfn.XMATCH(BP$8,$AH$8:$CC$8))-_xlfn.XMATCH($C92,$C$35:$C$82)+1&lt;=_xlpm.DepreciationMonths,$C92&lt;=BP$8),$E92/_xlpm.DepreciationMonths,0))</f>
        <v>0</v>
      </c>
      <c r="BQ92" s="507" cm="1">
        <f t="array" ref="BQ92">_xlfn.LET(_xlpm.DepreciationMonths,INDEX(FixedAssets[Depreciation
/ Amortization Months],_xlfn.XMATCH($E$84,FixedAssets[Asset ID])),IF(AND((_xlfn.XMATCH(BQ$8,$AH$8:$CC$8))-_xlfn.XMATCH($C92,$C$35:$C$82)+1&lt;=_xlpm.DepreciationMonths,$C92&lt;=BQ$8),$E92/_xlpm.DepreciationMonths,0))</f>
        <v>0</v>
      </c>
      <c r="BR92" s="507" cm="1">
        <f t="array" ref="BR92">_xlfn.LET(_xlpm.DepreciationMonths,INDEX(FixedAssets[Depreciation
/ Amortization Months],_xlfn.XMATCH($E$84,FixedAssets[Asset ID])),IF(AND((_xlfn.XMATCH(BR$8,$AH$8:$CC$8))-_xlfn.XMATCH($C92,$C$35:$C$82)+1&lt;=_xlpm.DepreciationMonths,$C92&lt;=BR$8),$E92/_xlpm.DepreciationMonths,0))</f>
        <v>0</v>
      </c>
      <c r="BS92" s="507" cm="1">
        <f t="array" ref="BS92">_xlfn.LET(_xlpm.DepreciationMonths,INDEX(FixedAssets[Depreciation
/ Amortization Months],_xlfn.XMATCH($E$84,FixedAssets[Asset ID])),IF(AND((_xlfn.XMATCH(BS$8,$AH$8:$CC$8))-_xlfn.XMATCH($C92,$C$35:$C$82)+1&lt;=_xlpm.DepreciationMonths,$C92&lt;=BS$8),$E92/_xlpm.DepreciationMonths,0))</f>
        <v>0</v>
      </c>
      <c r="BT92" s="507" cm="1">
        <f t="array" ref="BT92">_xlfn.LET(_xlpm.DepreciationMonths,INDEX(FixedAssets[Depreciation
/ Amortization Months],_xlfn.XMATCH($E$84,FixedAssets[Asset ID])),IF(AND((_xlfn.XMATCH(BT$8,$AH$8:$CC$8))-_xlfn.XMATCH($C92,$C$35:$C$82)+1&lt;=_xlpm.DepreciationMonths,$C92&lt;=BT$8),$E92/_xlpm.DepreciationMonths,0))</f>
        <v>0</v>
      </c>
      <c r="BU92" s="507" cm="1">
        <f t="array" ref="BU92">_xlfn.LET(_xlpm.DepreciationMonths,INDEX(FixedAssets[Depreciation
/ Amortization Months],_xlfn.XMATCH($E$84,FixedAssets[Asset ID])),IF(AND((_xlfn.XMATCH(BU$8,$AH$8:$CC$8))-_xlfn.XMATCH($C92,$C$35:$C$82)+1&lt;=_xlpm.DepreciationMonths,$C92&lt;=BU$8),$E92/_xlpm.DepreciationMonths,0))</f>
        <v>0</v>
      </c>
      <c r="BV92" s="507" cm="1">
        <f t="array" ref="BV92">_xlfn.LET(_xlpm.DepreciationMonths,INDEX(FixedAssets[Depreciation
/ Amortization Months],_xlfn.XMATCH($E$84,FixedAssets[Asset ID])),IF(AND((_xlfn.XMATCH(BV$8,$AH$8:$CC$8))-_xlfn.XMATCH($C92,$C$35:$C$82)+1&lt;=_xlpm.DepreciationMonths,$C92&lt;=BV$8),$E92/_xlpm.DepreciationMonths,0))</f>
        <v>0</v>
      </c>
      <c r="BW92" s="507" cm="1">
        <f t="array" ref="BW92">_xlfn.LET(_xlpm.DepreciationMonths,INDEX(FixedAssets[Depreciation
/ Amortization Months],_xlfn.XMATCH($E$84,FixedAssets[Asset ID])),IF(AND((_xlfn.XMATCH(BW$8,$AH$8:$CC$8))-_xlfn.XMATCH($C92,$C$35:$C$82)+1&lt;=_xlpm.DepreciationMonths,$C92&lt;=BW$8),$E92/_xlpm.DepreciationMonths,0))</f>
        <v>0</v>
      </c>
      <c r="BX92" s="507" cm="1">
        <f t="array" ref="BX92">_xlfn.LET(_xlpm.DepreciationMonths,INDEX(FixedAssets[Depreciation
/ Amortization Months],_xlfn.XMATCH($E$84,FixedAssets[Asset ID])),IF(AND((_xlfn.XMATCH(BX$8,$AH$8:$CC$8))-_xlfn.XMATCH($C92,$C$35:$C$82)+1&lt;=_xlpm.DepreciationMonths,$C92&lt;=BX$8),$E92/_xlpm.DepreciationMonths,0))</f>
        <v>0</v>
      </c>
      <c r="BY92" s="507" cm="1">
        <f t="array" ref="BY92">_xlfn.LET(_xlpm.DepreciationMonths,INDEX(FixedAssets[Depreciation
/ Amortization Months],_xlfn.XMATCH($E$84,FixedAssets[Asset ID])),IF(AND((_xlfn.XMATCH(BY$8,$AH$8:$CC$8))-_xlfn.XMATCH($C92,$C$35:$C$82)+1&lt;=_xlpm.DepreciationMonths,$C92&lt;=BY$8),$E92/_xlpm.DepreciationMonths,0))</f>
        <v>0</v>
      </c>
      <c r="BZ92" s="507" cm="1">
        <f t="array" ref="BZ92">_xlfn.LET(_xlpm.DepreciationMonths,INDEX(FixedAssets[Depreciation
/ Amortization Months],_xlfn.XMATCH($E$84,FixedAssets[Asset ID])),IF(AND((_xlfn.XMATCH(BZ$8,$AH$8:$CC$8))-_xlfn.XMATCH($C92,$C$35:$C$82)+1&lt;=_xlpm.DepreciationMonths,$C92&lt;=BZ$8),$E92/_xlpm.DepreciationMonths,0))</f>
        <v>0</v>
      </c>
      <c r="CA92" s="507" cm="1">
        <f t="array" ref="CA92">_xlfn.LET(_xlpm.DepreciationMonths,INDEX(FixedAssets[Depreciation
/ Amortization Months],_xlfn.XMATCH($E$84,FixedAssets[Asset ID])),IF(AND((_xlfn.XMATCH(CA$8,$AH$8:$CC$8))-_xlfn.XMATCH($C92,$C$35:$C$82)+1&lt;=_xlpm.DepreciationMonths,$C92&lt;=CA$8),$E92/_xlpm.DepreciationMonths,0))</f>
        <v>0</v>
      </c>
      <c r="CB92" s="507" cm="1">
        <f t="array" ref="CB92">_xlfn.LET(_xlpm.DepreciationMonths,INDEX(FixedAssets[Depreciation
/ Amortization Months],_xlfn.XMATCH($E$84,FixedAssets[Asset ID])),IF(AND((_xlfn.XMATCH(CB$8,$AH$8:$CC$8))-_xlfn.XMATCH($C92,$C$35:$C$82)+1&lt;=_xlpm.DepreciationMonths,$C92&lt;=CB$8),$E92/_xlpm.DepreciationMonths,0))</f>
        <v>0</v>
      </c>
      <c r="CC92" s="507" cm="1">
        <f t="array" ref="CC92">_xlfn.LET(_xlpm.DepreciationMonths,INDEX(FixedAssets[Depreciation
/ Amortization Months],_xlfn.XMATCH($E$84,FixedAssets[Asset ID])),IF(AND((_xlfn.XMATCH(CC$8,$AH$8:$CC$8))-_xlfn.XMATCH($C92,$C$35:$C$82)+1&lt;=_xlpm.DepreciationMonths,$C92&lt;=CC$8),$E92/_xlpm.DepreciationMonths,0))</f>
        <v>0</v>
      </c>
    </row>
    <row r="93" spans="3:81" hidden="1" outlineLevel="2">
      <c r="C93" s="664">
        <f t="shared" si="167"/>
        <v>45169</v>
      </c>
      <c r="D93" s="508"/>
      <c r="E93" s="508" cm="1">
        <f t="array" ref="E93">SUMPRODUCT(($AH$26:$CC$31)*($AH$5:$CC$5=$C93)*($E$26:$E$31=E$84))-SUMPRODUCT(($AH$26:$CC$31)*($AH$5:$CC$5=EOMONTH($C93,-1))*($E$26:$E$31=E$84))</f>
        <v>0</v>
      </c>
      <c r="F93" s="508"/>
      <c r="G93" s="508"/>
      <c r="H93" s="508"/>
      <c r="I93" s="508"/>
      <c r="J93" s="504">
        <f t="shared" si="164"/>
        <v>0</v>
      </c>
      <c r="K93" s="504">
        <f t="shared" si="165"/>
        <v>0</v>
      </c>
      <c r="L93" s="504">
        <f t="shared" si="165"/>
        <v>0</v>
      </c>
      <c r="M93" s="504">
        <f t="shared" si="165"/>
        <v>0</v>
      </c>
      <c r="N93" s="504"/>
      <c r="O93" s="504"/>
      <c r="P93" s="504">
        <f t="shared" si="166"/>
        <v>0</v>
      </c>
      <c r="Q93" s="504">
        <f t="shared" si="166"/>
        <v>0</v>
      </c>
      <c r="R93" s="504">
        <f t="shared" si="166"/>
        <v>0</v>
      </c>
      <c r="S93" s="504">
        <f t="shared" si="166"/>
        <v>0</v>
      </c>
      <c r="T93" s="504">
        <f t="shared" si="166"/>
        <v>0</v>
      </c>
      <c r="U93" s="504">
        <f t="shared" si="166"/>
        <v>0</v>
      </c>
      <c r="V93" s="504">
        <f t="shared" si="166"/>
        <v>0</v>
      </c>
      <c r="W93" s="504">
        <f t="shared" si="166"/>
        <v>0</v>
      </c>
      <c r="X93" s="504">
        <f t="shared" si="166"/>
        <v>0</v>
      </c>
      <c r="Y93" s="504">
        <f t="shared" si="166"/>
        <v>0</v>
      </c>
      <c r="Z93" s="504">
        <f t="shared" si="166"/>
        <v>0</v>
      </c>
      <c r="AA93" s="504">
        <f t="shared" si="166"/>
        <v>0</v>
      </c>
      <c r="AB93" s="504">
        <f t="shared" si="166"/>
        <v>0</v>
      </c>
      <c r="AC93" s="504">
        <f t="shared" si="166"/>
        <v>0</v>
      </c>
      <c r="AD93" s="504">
        <f t="shared" si="166"/>
        <v>0</v>
      </c>
      <c r="AE93" s="504">
        <f t="shared" si="166"/>
        <v>0</v>
      </c>
      <c r="AF93" s="508"/>
      <c r="AG93" s="508"/>
      <c r="AH93" s="507" cm="1">
        <f t="array" ref="AH93">_xlfn.LET(_xlpm.DepreciationMonths,INDEX(FixedAssets[Depreciation
/ Amortization Months],_xlfn.XMATCH($E$84,FixedAssets[Asset ID])),IF(AND((_xlfn.XMATCH(AH$8,$AH$8:$CC$8))-_xlfn.XMATCH($C93,$C$35:$C$82)+1&lt;=_xlpm.DepreciationMonths,$C93&lt;=AH$8),$E93/_xlpm.DepreciationMonths,0))</f>
        <v>0</v>
      </c>
      <c r="AI93" s="507" cm="1">
        <f t="array" ref="AI93">_xlfn.LET(_xlpm.DepreciationMonths,INDEX(FixedAssets[Depreciation
/ Amortization Months],_xlfn.XMATCH($E$84,FixedAssets[Asset ID])),IF(AND((_xlfn.XMATCH(AI$8,$AH$8:$CC$8))-_xlfn.XMATCH($C93,$C$35:$C$82)+1&lt;=_xlpm.DepreciationMonths,$C93&lt;=AI$8),$E93/_xlpm.DepreciationMonths,0))</f>
        <v>0</v>
      </c>
      <c r="AJ93" s="507" cm="1">
        <f t="array" ref="AJ93">_xlfn.LET(_xlpm.DepreciationMonths,INDEX(FixedAssets[Depreciation
/ Amortization Months],_xlfn.XMATCH($E$84,FixedAssets[Asset ID])),IF(AND((_xlfn.XMATCH(AJ$8,$AH$8:$CC$8))-_xlfn.XMATCH($C93,$C$35:$C$82)+1&lt;=_xlpm.DepreciationMonths,$C93&lt;=AJ$8),$E93/_xlpm.DepreciationMonths,0))</f>
        <v>0</v>
      </c>
      <c r="AK93" s="507" cm="1">
        <f t="array" ref="AK93">_xlfn.LET(_xlpm.DepreciationMonths,INDEX(FixedAssets[Depreciation
/ Amortization Months],_xlfn.XMATCH($E$84,FixedAssets[Asset ID])),IF(AND((_xlfn.XMATCH(AK$8,$AH$8:$CC$8))-_xlfn.XMATCH($C93,$C$35:$C$82)+1&lt;=_xlpm.DepreciationMonths,$C93&lt;=AK$8),$E93/_xlpm.DepreciationMonths,0))</f>
        <v>0</v>
      </c>
      <c r="AL93" s="507" cm="1">
        <f t="array" ref="AL93">_xlfn.LET(_xlpm.DepreciationMonths,INDEX(FixedAssets[Depreciation
/ Amortization Months],_xlfn.XMATCH($E$84,FixedAssets[Asset ID])),IF(AND((_xlfn.XMATCH(AL$8,$AH$8:$CC$8))-_xlfn.XMATCH($C93,$C$35:$C$82)+1&lt;=_xlpm.DepreciationMonths,$C93&lt;=AL$8),$E93/_xlpm.DepreciationMonths,0))</f>
        <v>0</v>
      </c>
      <c r="AM93" s="507" cm="1">
        <f t="array" ref="AM93">_xlfn.LET(_xlpm.DepreciationMonths,INDEX(FixedAssets[Depreciation
/ Amortization Months],_xlfn.XMATCH($E$84,FixedAssets[Asset ID])),IF(AND((_xlfn.XMATCH(AM$8,$AH$8:$CC$8))-_xlfn.XMATCH($C93,$C$35:$C$82)+1&lt;=_xlpm.DepreciationMonths,$C93&lt;=AM$8),$E93/_xlpm.DepreciationMonths,0))</f>
        <v>0</v>
      </c>
      <c r="AN93" s="507" cm="1">
        <f t="array" ref="AN93">_xlfn.LET(_xlpm.DepreciationMonths,INDEX(FixedAssets[Depreciation
/ Amortization Months],_xlfn.XMATCH($E$84,FixedAssets[Asset ID])),IF(AND((_xlfn.XMATCH(AN$8,$AH$8:$CC$8))-_xlfn.XMATCH($C93,$C$35:$C$82)+1&lt;=_xlpm.DepreciationMonths,$C93&lt;=AN$8),$E93/_xlpm.DepreciationMonths,0))</f>
        <v>0</v>
      </c>
      <c r="AO93" s="507" cm="1">
        <f t="array" ref="AO93">_xlfn.LET(_xlpm.DepreciationMonths,INDEX(FixedAssets[Depreciation
/ Amortization Months],_xlfn.XMATCH($E$84,FixedAssets[Asset ID])),IF(AND((_xlfn.XMATCH(AO$8,$AH$8:$CC$8))-_xlfn.XMATCH($C93,$C$35:$C$82)+1&lt;=_xlpm.DepreciationMonths,$C93&lt;=AO$8),$E93/_xlpm.DepreciationMonths,0))</f>
        <v>0</v>
      </c>
      <c r="AP93" s="507" cm="1">
        <f t="array" ref="AP93">_xlfn.LET(_xlpm.DepreciationMonths,INDEX(FixedAssets[Depreciation
/ Amortization Months],_xlfn.XMATCH($E$84,FixedAssets[Asset ID])),IF(AND((_xlfn.XMATCH(AP$8,$AH$8:$CC$8))-_xlfn.XMATCH($C93,$C$35:$C$82)+1&lt;=_xlpm.DepreciationMonths,$C93&lt;=AP$8),$E93/_xlpm.DepreciationMonths,0))</f>
        <v>0</v>
      </c>
      <c r="AQ93" s="507" cm="1">
        <f t="array" ref="AQ93">_xlfn.LET(_xlpm.DepreciationMonths,INDEX(FixedAssets[Depreciation
/ Amortization Months],_xlfn.XMATCH($E$84,FixedAssets[Asset ID])),IF(AND((_xlfn.XMATCH(AQ$8,$AH$8:$CC$8))-_xlfn.XMATCH($C93,$C$35:$C$82)+1&lt;=_xlpm.DepreciationMonths,$C93&lt;=AQ$8),$E93/_xlpm.DepreciationMonths,0))</f>
        <v>0</v>
      </c>
      <c r="AR93" s="507" cm="1">
        <f t="array" ref="AR93">_xlfn.LET(_xlpm.DepreciationMonths,INDEX(FixedAssets[Depreciation
/ Amortization Months],_xlfn.XMATCH($E$84,FixedAssets[Asset ID])),IF(AND((_xlfn.XMATCH(AR$8,$AH$8:$CC$8))-_xlfn.XMATCH($C93,$C$35:$C$82)+1&lt;=_xlpm.DepreciationMonths,$C93&lt;=AR$8),$E93/_xlpm.DepreciationMonths,0))</f>
        <v>0</v>
      </c>
      <c r="AS93" s="507" cm="1">
        <f t="array" ref="AS93">_xlfn.LET(_xlpm.DepreciationMonths,INDEX(FixedAssets[Depreciation
/ Amortization Months],_xlfn.XMATCH($E$84,FixedAssets[Asset ID])),IF(AND((_xlfn.XMATCH(AS$8,$AH$8:$CC$8))-_xlfn.XMATCH($C93,$C$35:$C$82)+1&lt;=_xlpm.DepreciationMonths,$C93&lt;=AS$8),$E93/_xlpm.DepreciationMonths,0))</f>
        <v>0</v>
      </c>
      <c r="AT93" s="507" cm="1">
        <f t="array" ref="AT93">_xlfn.LET(_xlpm.DepreciationMonths,INDEX(FixedAssets[Depreciation
/ Amortization Months],_xlfn.XMATCH($E$84,FixedAssets[Asset ID])),IF(AND((_xlfn.XMATCH(AT$8,$AH$8:$CC$8))-_xlfn.XMATCH($C93,$C$35:$C$82)+1&lt;=_xlpm.DepreciationMonths,$C93&lt;=AT$8),$E93/_xlpm.DepreciationMonths,0))</f>
        <v>0</v>
      </c>
      <c r="AU93" s="507" cm="1">
        <f t="array" ref="AU93">_xlfn.LET(_xlpm.DepreciationMonths,INDEX(FixedAssets[Depreciation
/ Amortization Months],_xlfn.XMATCH($E$84,FixedAssets[Asset ID])),IF(AND((_xlfn.XMATCH(AU$8,$AH$8:$CC$8))-_xlfn.XMATCH($C93,$C$35:$C$82)+1&lt;=_xlpm.DepreciationMonths,$C93&lt;=AU$8),$E93/_xlpm.DepreciationMonths,0))</f>
        <v>0</v>
      </c>
      <c r="AV93" s="507" cm="1">
        <f t="array" ref="AV93">_xlfn.LET(_xlpm.DepreciationMonths,INDEX(FixedAssets[Depreciation
/ Amortization Months],_xlfn.XMATCH($E$84,FixedAssets[Asset ID])),IF(AND((_xlfn.XMATCH(AV$8,$AH$8:$CC$8))-_xlfn.XMATCH($C93,$C$35:$C$82)+1&lt;=_xlpm.DepreciationMonths,$C93&lt;=AV$8),$E93/_xlpm.DepreciationMonths,0))</f>
        <v>0</v>
      </c>
      <c r="AW93" s="507" cm="1">
        <f t="array" ref="AW93">_xlfn.LET(_xlpm.DepreciationMonths,INDEX(FixedAssets[Depreciation
/ Amortization Months],_xlfn.XMATCH($E$84,FixedAssets[Asset ID])),IF(AND((_xlfn.XMATCH(AW$8,$AH$8:$CC$8))-_xlfn.XMATCH($C93,$C$35:$C$82)+1&lt;=_xlpm.DepreciationMonths,$C93&lt;=AW$8),$E93/_xlpm.DepreciationMonths,0))</f>
        <v>0</v>
      </c>
      <c r="AX93" s="507" cm="1">
        <f t="array" ref="AX93">_xlfn.LET(_xlpm.DepreciationMonths,INDEX(FixedAssets[Depreciation
/ Amortization Months],_xlfn.XMATCH($E$84,FixedAssets[Asset ID])),IF(AND((_xlfn.XMATCH(AX$8,$AH$8:$CC$8))-_xlfn.XMATCH($C93,$C$35:$C$82)+1&lt;=_xlpm.DepreciationMonths,$C93&lt;=AX$8),$E93/_xlpm.DepreciationMonths,0))</f>
        <v>0</v>
      </c>
      <c r="AY93" s="507" cm="1">
        <f t="array" ref="AY93">_xlfn.LET(_xlpm.DepreciationMonths,INDEX(FixedAssets[Depreciation
/ Amortization Months],_xlfn.XMATCH($E$84,FixedAssets[Asset ID])),IF(AND((_xlfn.XMATCH(AY$8,$AH$8:$CC$8))-_xlfn.XMATCH($C93,$C$35:$C$82)+1&lt;=_xlpm.DepreciationMonths,$C93&lt;=AY$8),$E93/_xlpm.DepreciationMonths,0))</f>
        <v>0</v>
      </c>
      <c r="AZ93" s="507" cm="1">
        <f t="array" ref="AZ93">_xlfn.LET(_xlpm.DepreciationMonths,INDEX(FixedAssets[Depreciation
/ Amortization Months],_xlfn.XMATCH($E$84,FixedAssets[Asset ID])),IF(AND((_xlfn.XMATCH(AZ$8,$AH$8:$CC$8))-_xlfn.XMATCH($C93,$C$35:$C$82)+1&lt;=_xlpm.DepreciationMonths,$C93&lt;=AZ$8),$E93/_xlpm.DepreciationMonths,0))</f>
        <v>0</v>
      </c>
      <c r="BA93" s="507" cm="1">
        <f t="array" ref="BA93">_xlfn.LET(_xlpm.DepreciationMonths,INDEX(FixedAssets[Depreciation
/ Amortization Months],_xlfn.XMATCH($E$84,FixedAssets[Asset ID])),IF(AND((_xlfn.XMATCH(BA$8,$AH$8:$CC$8))-_xlfn.XMATCH($C93,$C$35:$C$82)+1&lt;=_xlpm.DepreciationMonths,$C93&lt;=BA$8),$E93/_xlpm.DepreciationMonths,0))</f>
        <v>0</v>
      </c>
      <c r="BB93" s="507" cm="1">
        <f t="array" ref="BB93">_xlfn.LET(_xlpm.DepreciationMonths,INDEX(FixedAssets[Depreciation
/ Amortization Months],_xlfn.XMATCH($E$84,FixedAssets[Asset ID])),IF(AND((_xlfn.XMATCH(BB$8,$AH$8:$CC$8))-_xlfn.XMATCH($C93,$C$35:$C$82)+1&lt;=_xlpm.DepreciationMonths,$C93&lt;=BB$8),$E93/_xlpm.DepreciationMonths,0))</f>
        <v>0</v>
      </c>
      <c r="BC93" s="507" cm="1">
        <f t="array" ref="BC93">_xlfn.LET(_xlpm.DepreciationMonths,INDEX(FixedAssets[Depreciation
/ Amortization Months],_xlfn.XMATCH($E$84,FixedAssets[Asset ID])),IF(AND((_xlfn.XMATCH(BC$8,$AH$8:$CC$8))-_xlfn.XMATCH($C93,$C$35:$C$82)+1&lt;=_xlpm.DepreciationMonths,$C93&lt;=BC$8),$E93/_xlpm.DepreciationMonths,0))</f>
        <v>0</v>
      </c>
      <c r="BD93" s="507" cm="1">
        <f t="array" ref="BD93">_xlfn.LET(_xlpm.DepreciationMonths,INDEX(FixedAssets[Depreciation
/ Amortization Months],_xlfn.XMATCH($E$84,FixedAssets[Asset ID])),IF(AND((_xlfn.XMATCH(BD$8,$AH$8:$CC$8))-_xlfn.XMATCH($C93,$C$35:$C$82)+1&lt;=_xlpm.DepreciationMonths,$C93&lt;=BD$8),$E93/_xlpm.DepreciationMonths,0))</f>
        <v>0</v>
      </c>
      <c r="BE93" s="507" cm="1">
        <f t="array" ref="BE93">_xlfn.LET(_xlpm.DepreciationMonths,INDEX(FixedAssets[Depreciation
/ Amortization Months],_xlfn.XMATCH($E$84,FixedAssets[Asset ID])),IF(AND((_xlfn.XMATCH(BE$8,$AH$8:$CC$8))-_xlfn.XMATCH($C93,$C$35:$C$82)+1&lt;=_xlpm.DepreciationMonths,$C93&lt;=BE$8),$E93/_xlpm.DepreciationMonths,0))</f>
        <v>0</v>
      </c>
      <c r="BF93" s="507" cm="1">
        <f t="array" ref="BF93">_xlfn.LET(_xlpm.DepreciationMonths,INDEX(FixedAssets[Depreciation
/ Amortization Months],_xlfn.XMATCH($E$84,FixedAssets[Asset ID])),IF(AND((_xlfn.XMATCH(BF$8,$AH$8:$CC$8))-_xlfn.XMATCH($C93,$C$35:$C$82)+1&lt;=_xlpm.DepreciationMonths,$C93&lt;=BF$8),$E93/_xlpm.DepreciationMonths,0))</f>
        <v>0</v>
      </c>
      <c r="BG93" s="507" cm="1">
        <f t="array" ref="BG93">_xlfn.LET(_xlpm.DepreciationMonths,INDEX(FixedAssets[Depreciation
/ Amortization Months],_xlfn.XMATCH($E$84,FixedAssets[Asset ID])),IF(AND((_xlfn.XMATCH(BG$8,$AH$8:$CC$8))-_xlfn.XMATCH($C93,$C$35:$C$82)+1&lt;=_xlpm.DepreciationMonths,$C93&lt;=BG$8),$E93/_xlpm.DepreciationMonths,0))</f>
        <v>0</v>
      </c>
      <c r="BH93" s="507" cm="1">
        <f t="array" ref="BH93">_xlfn.LET(_xlpm.DepreciationMonths,INDEX(FixedAssets[Depreciation
/ Amortization Months],_xlfn.XMATCH($E$84,FixedAssets[Asset ID])),IF(AND((_xlfn.XMATCH(BH$8,$AH$8:$CC$8))-_xlfn.XMATCH($C93,$C$35:$C$82)+1&lt;=_xlpm.DepreciationMonths,$C93&lt;=BH$8),$E93/_xlpm.DepreciationMonths,0))</f>
        <v>0</v>
      </c>
      <c r="BI93" s="507" cm="1">
        <f t="array" ref="BI93">_xlfn.LET(_xlpm.DepreciationMonths,INDEX(FixedAssets[Depreciation
/ Amortization Months],_xlfn.XMATCH($E$84,FixedAssets[Asset ID])),IF(AND((_xlfn.XMATCH(BI$8,$AH$8:$CC$8))-_xlfn.XMATCH($C93,$C$35:$C$82)+1&lt;=_xlpm.DepreciationMonths,$C93&lt;=BI$8),$E93/_xlpm.DepreciationMonths,0))</f>
        <v>0</v>
      </c>
      <c r="BJ93" s="507" cm="1">
        <f t="array" ref="BJ93">_xlfn.LET(_xlpm.DepreciationMonths,INDEX(FixedAssets[Depreciation
/ Amortization Months],_xlfn.XMATCH($E$84,FixedAssets[Asset ID])),IF(AND((_xlfn.XMATCH(BJ$8,$AH$8:$CC$8))-_xlfn.XMATCH($C93,$C$35:$C$82)+1&lt;=_xlpm.DepreciationMonths,$C93&lt;=BJ$8),$E93/_xlpm.DepreciationMonths,0))</f>
        <v>0</v>
      </c>
      <c r="BK93" s="507" cm="1">
        <f t="array" ref="BK93">_xlfn.LET(_xlpm.DepreciationMonths,INDEX(FixedAssets[Depreciation
/ Amortization Months],_xlfn.XMATCH($E$84,FixedAssets[Asset ID])),IF(AND((_xlfn.XMATCH(BK$8,$AH$8:$CC$8))-_xlfn.XMATCH($C93,$C$35:$C$82)+1&lt;=_xlpm.DepreciationMonths,$C93&lt;=BK$8),$E93/_xlpm.DepreciationMonths,0))</f>
        <v>0</v>
      </c>
      <c r="BL93" s="507" cm="1">
        <f t="array" ref="BL93">_xlfn.LET(_xlpm.DepreciationMonths,INDEX(FixedAssets[Depreciation
/ Amortization Months],_xlfn.XMATCH($E$84,FixedAssets[Asset ID])),IF(AND((_xlfn.XMATCH(BL$8,$AH$8:$CC$8))-_xlfn.XMATCH($C93,$C$35:$C$82)+1&lt;=_xlpm.DepreciationMonths,$C93&lt;=BL$8),$E93/_xlpm.DepreciationMonths,0))</f>
        <v>0</v>
      </c>
      <c r="BM93" s="507" cm="1">
        <f t="array" ref="BM93">_xlfn.LET(_xlpm.DepreciationMonths,INDEX(FixedAssets[Depreciation
/ Amortization Months],_xlfn.XMATCH($E$84,FixedAssets[Asset ID])),IF(AND((_xlfn.XMATCH(BM$8,$AH$8:$CC$8))-_xlfn.XMATCH($C93,$C$35:$C$82)+1&lt;=_xlpm.DepreciationMonths,$C93&lt;=BM$8),$E93/_xlpm.DepreciationMonths,0))</f>
        <v>0</v>
      </c>
      <c r="BN93" s="507" cm="1">
        <f t="array" ref="BN93">_xlfn.LET(_xlpm.DepreciationMonths,INDEX(FixedAssets[Depreciation
/ Amortization Months],_xlfn.XMATCH($E$84,FixedAssets[Asset ID])),IF(AND((_xlfn.XMATCH(BN$8,$AH$8:$CC$8))-_xlfn.XMATCH($C93,$C$35:$C$82)+1&lt;=_xlpm.DepreciationMonths,$C93&lt;=BN$8),$E93/_xlpm.DepreciationMonths,0))</f>
        <v>0</v>
      </c>
      <c r="BO93" s="507" cm="1">
        <f t="array" ref="BO93">_xlfn.LET(_xlpm.DepreciationMonths,INDEX(FixedAssets[Depreciation
/ Amortization Months],_xlfn.XMATCH($E$84,FixedAssets[Asset ID])),IF(AND((_xlfn.XMATCH(BO$8,$AH$8:$CC$8))-_xlfn.XMATCH($C93,$C$35:$C$82)+1&lt;=_xlpm.DepreciationMonths,$C93&lt;=BO$8),$E93/_xlpm.DepreciationMonths,0))</f>
        <v>0</v>
      </c>
      <c r="BP93" s="507" cm="1">
        <f t="array" ref="BP93">_xlfn.LET(_xlpm.DepreciationMonths,INDEX(FixedAssets[Depreciation
/ Amortization Months],_xlfn.XMATCH($E$84,FixedAssets[Asset ID])),IF(AND((_xlfn.XMATCH(BP$8,$AH$8:$CC$8))-_xlfn.XMATCH($C93,$C$35:$C$82)+1&lt;=_xlpm.DepreciationMonths,$C93&lt;=BP$8),$E93/_xlpm.DepreciationMonths,0))</f>
        <v>0</v>
      </c>
      <c r="BQ93" s="507" cm="1">
        <f t="array" ref="BQ93">_xlfn.LET(_xlpm.DepreciationMonths,INDEX(FixedAssets[Depreciation
/ Amortization Months],_xlfn.XMATCH($E$84,FixedAssets[Asset ID])),IF(AND((_xlfn.XMATCH(BQ$8,$AH$8:$CC$8))-_xlfn.XMATCH($C93,$C$35:$C$82)+1&lt;=_xlpm.DepreciationMonths,$C93&lt;=BQ$8),$E93/_xlpm.DepreciationMonths,0))</f>
        <v>0</v>
      </c>
      <c r="BR93" s="507" cm="1">
        <f t="array" ref="BR93">_xlfn.LET(_xlpm.DepreciationMonths,INDEX(FixedAssets[Depreciation
/ Amortization Months],_xlfn.XMATCH($E$84,FixedAssets[Asset ID])),IF(AND((_xlfn.XMATCH(BR$8,$AH$8:$CC$8))-_xlfn.XMATCH($C93,$C$35:$C$82)+1&lt;=_xlpm.DepreciationMonths,$C93&lt;=BR$8),$E93/_xlpm.DepreciationMonths,0))</f>
        <v>0</v>
      </c>
      <c r="BS93" s="507" cm="1">
        <f t="array" ref="BS93">_xlfn.LET(_xlpm.DepreciationMonths,INDEX(FixedAssets[Depreciation
/ Amortization Months],_xlfn.XMATCH($E$84,FixedAssets[Asset ID])),IF(AND((_xlfn.XMATCH(BS$8,$AH$8:$CC$8))-_xlfn.XMATCH($C93,$C$35:$C$82)+1&lt;=_xlpm.DepreciationMonths,$C93&lt;=BS$8),$E93/_xlpm.DepreciationMonths,0))</f>
        <v>0</v>
      </c>
      <c r="BT93" s="507" cm="1">
        <f t="array" ref="BT93">_xlfn.LET(_xlpm.DepreciationMonths,INDEX(FixedAssets[Depreciation
/ Amortization Months],_xlfn.XMATCH($E$84,FixedAssets[Asset ID])),IF(AND((_xlfn.XMATCH(BT$8,$AH$8:$CC$8))-_xlfn.XMATCH($C93,$C$35:$C$82)+1&lt;=_xlpm.DepreciationMonths,$C93&lt;=BT$8),$E93/_xlpm.DepreciationMonths,0))</f>
        <v>0</v>
      </c>
      <c r="BU93" s="507" cm="1">
        <f t="array" ref="BU93">_xlfn.LET(_xlpm.DepreciationMonths,INDEX(FixedAssets[Depreciation
/ Amortization Months],_xlfn.XMATCH($E$84,FixedAssets[Asset ID])),IF(AND((_xlfn.XMATCH(BU$8,$AH$8:$CC$8))-_xlfn.XMATCH($C93,$C$35:$C$82)+1&lt;=_xlpm.DepreciationMonths,$C93&lt;=BU$8),$E93/_xlpm.DepreciationMonths,0))</f>
        <v>0</v>
      </c>
      <c r="BV93" s="507" cm="1">
        <f t="array" ref="BV93">_xlfn.LET(_xlpm.DepreciationMonths,INDEX(FixedAssets[Depreciation
/ Amortization Months],_xlfn.XMATCH($E$84,FixedAssets[Asset ID])),IF(AND((_xlfn.XMATCH(BV$8,$AH$8:$CC$8))-_xlfn.XMATCH($C93,$C$35:$C$82)+1&lt;=_xlpm.DepreciationMonths,$C93&lt;=BV$8),$E93/_xlpm.DepreciationMonths,0))</f>
        <v>0</v>
      </c>
      <c r="BW93" s="507" cm="1">
        <f t="array" ref="BW93">_xlfn.LET(_xlpm.DepreciationMonths,INDEX(FixedAssets[Depreciation
/ Amortization Months],_xlfn.XMATCH($E$84,FixedAssets[Asset ID])),IF(AND((_xlfn.XMATCH(BW$8,$AH$8:$CC$8))-_xlfn.XMATCH($C93,$C$35:$C$82)+1&lt;=_xlpm.DepreciationMonths,$C93&lt;=BW$8),$E93/_xlpm.DepreciationMonths,0))</f>
        <v>0</v>
      </c>
      <c r="BX93" s="507" cm="1">
        <f t="array" ref="BX93">_xlfn.LET(_xlpm.DepreciationMonths,INDEX(FixedAssets[Depreciation
/ Amortization Months],_xlfn.XMATCH($E$84,FixedAssets[Asset ID])),IF(AND((_xlfn.XMATCH(BX$8,$AH$8:$CC$8))-_xlfn.XMATCH($C93,$C$35:$C$82)+1&lt;=_xlpm.DepreciationMonths,$C93&lt;=BX$8),$E93/_xlpm.DepreciationMonths,0))</f>
        <v>0</v>
      </c>
      <c r="BY93" s="507" cm="1">
        <f t="array" ref="BY93">_xlfn.LET(_xlpm.DepreciationMonths,INDEX(FixedAssets[Depreciation
/ Amortization Months],_xlfn.XMATCH($E$84,FixedAssets[Asset ID])),IF(AND((_xlfn.XMATCH(BY$8,$AH$8:$CC$8))-_xlfn.XMATCH($C93,$C$35:$C$82)+1&lt;=_xlpm.DepreciationMonths,$C93&lt;=BY$8),$E93/_xlpm.DepreciationMonths,0))</f>
        <v>0</v>
      </c>
      <c r="BZ93" s="507" cm="1">
        <f t="array" ref="BZ93">_xlfn.LET(_xlpm.DepreciationMonths,INDEX(FixedAssets[Depreciation
/ Amortization Months],_xlfn.XMATCH($E$84,FixedAssets[Asset ID])),IF(AND((_xlfn.XMATCH(BZ$8,$AH$8:$CC$8))-_xlfn.XMATCH($C93,$C$35:$C$82)+1&lt;=_xlpm.DepreciationMonths,$C93&lt;=BZ$8),$E93/_xlpm.DepreciationMonths,0))</f>
        <v>0</v>
      </c>
      <c r="CA93" s="507" cm="1">
        <f t="array" ref="CA93">_xlfn.LET(_xlpm.DepreciationMonths,INDEX(FixedAssets[Depreciation
/ Amortization Months],_xlfn.XMATCH($E$84,FixedAssets[Asset ID])),IF(AND((_xlfn.XMATCH(CA$8,$AH$8:$CC$8))-_xlfn.XMATCH($C93,$C$35:$C$82)+1&lt;=_xlpm.DepreciationMonths,$C93&lt;=CA$8),$E93/_xlpm.DepreciationMonths,0))</f>
        <v>0</v>
      </c>
      <c r="CB93" s="507" cm="1">
        <f t="array" ref="CB93">_xlfn.LET(_xlpm.DepreciationMonths,INDEX(FixedAssets[Depreciation
/ Amortization Months],_xlfn.XMATCH($E$84,FixedAssets[Asset ID])),IF(AND((_xlfn.XMATCH(CB$8,$AH$8:$CC$8))-_xlfn.XMATCH($C93,$C$35:$C$82)+1&lt;=_xlpm.DepreciationMonths,$C93&lt;=CB$8),$E93/_xlpm.DepreciationMonths,0))</f>
        <v>0</v>
      </c>
      <c r="CC93" s="507" cm="1">
        <f t="array" ref="CC93">_xlfn.LET(_xlpm.DepreciationMonths,INDEX(FixedAssets[Depreciation
/ Amortization Months],_xlfn.XMATCH($E$84,FixedAssets[Asset ID])),IF(AND((_xlfn.XMATCH(CC$8,$AH$8:$CC$8))-_xlfn.XMATCH($C93,$C$35:$C$82)+1&lt;=_xlpm.DepreciationMonths,$C93&lt;=CC$8),$E93/_xlpm.DepreciationMonths,0))</f>
        <v>0</v>
      </c>
    </row>
    <row r="94" spans="3:81" hidden="1" outlineLevel="2">
      <c r="C94" s="664">
        <f t="shared" si="167"/>
        <v>45199</v>
      </c>
      <c r="D94" s="508"/>
      <c r="E94" s="508" cm="1">
        <f t="array" ref="E94">SUMPRODUCT(($AH$26:$CC$31)*($AH$5:$CC$5=$C94)*($E$26:$E$31=E$84))-SUMPRODUCT(($AH$26:$CC$31)*($AH$5:$CC$5=EOMONTH($C94,-1))*($E$26:$E$31=E$84))</f>
        <v>0</v>
      </c>
      <c r="F94" s="508"/>
      <c r="G94" s="508"/>
      <c r="H94" s="508"/>
      <c r="I94" s="508"/>
      <c r="J94" s="504">
        <f t="shared" si="164"/>
        <v>0</v>
      </c>
      <c r="K94" s="504">
        <f t="shared" si="165"/>
        <v>0</v>
      </c>
      <c r="L94" s="504">
        <f t="shared" si="165"/>
        <v>0</v>
      </c>
      <c r="M94" s="504">
        <f t="shared" si="165"/>
        <v>0</v>
      </c>
      <c r="N94" s="504"/>
      <c r="O94" s="504"/>
      <c r="P94" s="504">
        <f t="shared" si="166"/>
        <v>0</v>
      </c>
      <c r="Q94" s="504">
        <f t="shared" si="166"/>
        <v>0</v>
      </c>
      <c r="R94" s="504">
        <f t="shared" si="166"/>
        <v>0</v>
      </c>
      <c r="S94" s="504">
        <f t="shared" si="166"/>
        <v>0</v>
      </c>
      <c r="T94" s="504">
        <f t="shared" si="166"/>
        <v>0</v>
      </c>
      <c r="U94" s="504">
        <f t="shared" si="166"/>
        <v>0</v>
      </c>
      <c r="V94" s="504">
        <f t="shared" si="166"/>
        <v>0</v>
      </c>
      <c r="W94" s="504">
        <f t="shared" si="166"/>
        <v>0</v>
      </c>
      <c r="X94" s="504">
        <f t="shared" si="166"/>
        <v>0</v>
      </c>
      <c r="Y94" s="504">
        <f t="shared" si="166"/>
        <v>0</v>
      </c>
      <c r="Z94" s="504">
        <f t="shared" si="166"/>
        <v>0</v>
      </c>
      <c r="AA94" s="504">
        <f t="shared" si="166"/>
        <v>0</v>
      </c>
      <c r="AB94" s="504">
        <f t="shared" si="166"/>
        <v>0</v>
      </c>
      <c r="AC94" s="504">
        <f t="shared" si="166"/>
        <v>0</v>
      </c>
      <c r="AD94" s="504">
        <f t="shared" si="166"/>
        <v>0</v>
      </c>
      <c r="AE94" s="504">
        <f t="shared" si="166"/>
        <v>0</v>
      </c>
      <c r="AF94" s="508"/>
      <c r="AG94" s="508"/>
      <c r="AH94" s="507" cm="1">
        <f t="array" ref="AH94">_xlfn.LET(_xlpm.DepreciationMonths,INDEX(FixedAssets[Depreciation
/ Amortization Months],_xlfn.XMATCH($E$84,FixedAssets[Asset ID])),IF(AND((_xlfn.XMATCH(AH$8,$AH$8:$CC$8))-_xlfn.XMATCH($C94,$C$35:$C$82)+1&lt;=_xlpm.DepreciationMonths,$C94&lt;=AH$8),$E94/_xlpm.DepreciationMonths,0))</f>
        <v>0</v>
      </c>
      <c r="AI94" s="507" cm="1">
        <f t="array" ref="AI94">_xlfn.LET(_xlpm.DepreciationMonths,INDEX(FixedAssets[Depreciation
/ Amortization Months],_xlfn.XMATCH($E$84,FixedAssets[Asset ID])),IF(AND((_xlfn.XMATCH(AI$8,$AH$8:$CC$8))-_xlfn.XMATCH($C94,$C$35:$C$82)+1&lt;=_xlpm.DepreciationMonths,$C94&lt;=AI$8),$E94/_xlpm.DepreciationMonths,0))</f>
        <v>0</v>
      </c>
      <c r="AJ94" s="507" cm="1">
        <f t="array" ref="AJ94">_xlfn.LET(_xlpm.DepreciationMonths,INDEX(FixedAssets[Depreciation
/ Amortization Months],_xlfn.XMATCH($E$84,FixedAssets[Asset ID])),IF(AND((_xlfn.XMATCH(AJ$8,$AH$8:$CC$8))-_xlfn.XMATCH($C94,$C$35:$C$82)+1&lt;=_xlpm.DepreciationMonths,$C94&lt;=AJ$8),$E94/_xlpm.DepreciationMonths,0))</f>
        <v>0</v>
      </c>
      <c r="AK94" s="507" cm="1">
        <f t="array" ref="AK94">_xlfn.LET(_xlpm.DepreciationMonths,INDEX(FixedAssets[Depreciation
/ Amortization Months],_xlfn.XMATCH($E$84,FixedAssets[Asset ID])),IF(AND((_xlfn.XMATCH(AK$8,$AH$8:$CC$8))-_xlfn.XMATCH($C94,$C$35:$C$82)+1&lt;=_xlpm.DepreciationMonths,$C94&lt;=AK$8),$E94/_xlpm.DepreciationMonths,0))</f>
        <v>0</v>
      </c>
      <c r="AL94" s="507" cm="1">
        <f t="array" ref="AL94">_xlfn.LET(_xlpm.DepreciationMonths,INDEX(FixedAssets[Depreciation
/ Amortization Months],_xlfn.XMATCH($E$84,FixedAssets[Asset ID])),IF(AND((_xlfn.XMATCH(AL$8,$AH$8:$CC$8))-_xlfn.XMATCH($C94,$C$35:$C$82)+1&lt;=_xlpm.DepreciationMonths,$C94&lt;=AL$8),$E94/_xlpm.DepreciationMonths,0))</f>
        <v>0</v>
      </c>
      <c r="AM94" s="507" cm="1">
        <f t="array" ref="AM94">_xlfn.LET(_xlpm.DepreciationMonths,INDEX(FixedAssets[Depreciation
/ Amortization Months],_xlfn.XMATCH($E$84,FixedAssets[Asset ID])),IF(AND((_xlfn.XMATCH(AM$8,$AH$8:$CC$8))-_xlfn.XMATCH($C94,$C$35:$C$82)+1&lt;=_xlpm.DepreciationMonths,$C94&lt;=AM$8),$E94/_xlpm.DepreciationMonths,0))</f>
        <v>0</v>
      </c>
      <c r="AN94" s="507" cm="1">
        <f t="array" ref="AN94">_xlfn.LET(_xlpm.DepreciationMonths,INDEX(FixedAssets[Depreciation
/ Amortization Months],_xlfn.XMATCH($E$84,FixedAssets[Asset ID])),IF(AND((_xlfn.XMATCH(AN$8,$AH$8:$CC$8))-_xlfn.XMATCH($C94,$C$35:$C$82)+1&lt;=_xlpm.DepreciationMonths,$C94&lt;=AN$8),$E94/_xlpm.DepreciationMonths,0))</f>
        <v>0</v>
      </c>
      <c r="AO94" s="507" cm="1">
        <f t="array" ref="AO94">_xlfn.LET(_xlpm.DepreciationMonths,INDEX(FixedAssets[Depreciation
/ Amortization Months],_xlfn.XMATCH($E$84,FixedAssets[Asset ID])),IF(AND((_xlfn.XMATCH(AO$8,$AH$8:$CC$8))-_xlfn.XMATCH($C94,$C$35:$C$82)+1&lt;=_xlpm.DepreciationMonths,$C94&lt;=AO$8),$E94/_xlpm.DepreciationMonths,0))</f>
        <v>0</v>
      </c>
      <c r="AP94" s="507" cm="1">
        <f t="array" ref="AP94">_xlfn.LET(_xlpm.DepreciationMonths,INDEX(FixedAssets[Depreciation
/ Amortization Months],_xlfn.XMATCH($E$84,FixedAssets[Asset ID])),IF(AND((_xlfn.XMATCH(AP$8,$AH$8:$CC$8))-_xlfn.XMATCH($C94,$C$35:$C$82)+1&lt;=_xlpm.DepreciationMonths,$C94&lt;=AP$8),$E94/_xlpm.DepreciationMonths,0))</f>
        <v>0</v>
      </c>
      <c r="AQ94" s="507" cm="1">
        <f t="array" ref="AQ94">_xlfn.LET(_xlpm.DepreciationMonths,INDEX(FixedAssets[Depreciation
/ Amortization Months],_xlfn.XMATCH($E$84,FixedAssets[Asset ID])),IF(AND((_xlfn.XMATCH(AQ$8,$AH$8:$CC$8))-_xlfn.XMATCH($C94,$C$35:$C$82)+1&lt;=_xlpm.DepreciationMonths,$C94&lt;=AQ$8),$E94/_xlpm.DepreciationMonths,0))</f>
        <v>0</v>
      </c>
      <c r="AR94" s="507" cm="1">
        <f t="array" ref="AR94">_xlfn.LET(_xlpm.DepreciationMonths,INDEX(FixedAssets[Depreciation
/ Amortization Months],_xlfn.XMATCH($E$84,FixedAssets[Asset ID])),IF(AND((_xlfn.XMATCH(AR$8,$AH$8:$CC$8))-_xlfn.XMATCH($C94,$C$35:$C$82)+1&lt;=_xlpm.DepreciationMonths,$C94&lt;=AR$8),$E94/_xlpm.DepreciationMonths,0))</f>
        <v>0</v>
      </c>
      <c r="AS94" s="507" cm="1">
        <f t="array" ref="AS94">_xlfn.LET(_xlpm.DepreciationMonths,INDEX(FixedAssets[Depreciation
/ Amortization Months],_xlfn.XMATCH($E$84,FixedAssets[Asset ID])),IF(AND((_xlfn.XMATCH(AS$8,$AH$8:$CC$8))-_xlfn.XMATCH($C94,$C$35:$C$82)+1&lt;=_xlpm.DepreciationMonths,$C94&lt;=AS$8),$E94/_xlpm.DepreciationMonths,0))</f>
        <v>0</v>
      </c>
      <c r="AT94" s="507" cm="1">
        <f t="array" ref="AT94">_xlfn.LET(_xlpm.DepreciationMonths,INDEX(FixedAssets[Depreciation
/ Amortization Months],_xlfn.XMATCH($E$84,FixedAssets[Asset ID])),IF(AND((_xlfn.XMATCH(AT$8,$AH$8:$CC$8))-_xlfn.XMATCH($C94,$C$35:$C$82)+1&lt;=_xlpm.DepreciationMonths,$C94&lt;=AT$8),$E94/_xlpm.DepreciationMonths,0))</f>
        <v>0</v>
      </c>
      <c r="AU94" s="507" cm="1">
        <f t="array" ref="AU94">_xlfn.LET(_xlpm.DepreciationMonths,INDEX(FixedAssets[Depreciation
/ Amortization Months],_xlfn.XMATCH($E$84,FixedAssets[Asset ID])),IF(AND((_xlfn.XMATCH(AU$8,$AH$8:$CC$8))-_xlfn.XMATCH($C94,$C$35:$C$82)+1&lt;=_xlpm.DepreciationMonths,$C94&lt;=AU$8),$E94/_xlpm.DepreciationMonths,0))</f>
        <v>0</v>
      </c>
      <c r="AV94" s="507" cm="1">
        <f t="array" ref="AV94">_xlfn.LET(_xlpm.DepreciationMonths,INDEX(FixedAssets[Depreciation
/ Amortization Months],_xlfn.XMATCH($E$84,FixedAssets[Asset ID])),IF(AND((_xlfn.XMATCH(AV$8,$AH$8:$CC$8))-_xlfn.XMATCH($C94,$C$35:$C$82)+1&lt;=_xlpm.DepreciationMonths,$C94&lt;=AV$8),$E94/_xlpm.DepreciationMonths,0))</f>
        <v>0</v>
      </c>
      <c r="AW94" s="507" cm="1">
        <f t="array" ref="AW94">_xlfn.LET(_xlpm.DepreciationMonths,INDEX(FixedAssets[Depreciation
/ Amortization Months],_xlfn.XMATCH($E$84,FixedAssets[Asset ID])),IF(AND((_xlfn.XMATCH(AW$8,$AH$8:$CC$8))-_xlfn.XMATCH($C94,$C$35:$C$82)+1&lt;=_xlpm.DepreciationMonths,$C94&lt;=AW$8),$E94/_xlpm.DepreciationMonths,0))</f>
        <v>0</v>
      </c>
      <c r="AX94" s="507" cm="1">
        <f t="array" ref="AX94">_xlfn.LET(_xlpm.DepreciationMonths,INDEX(FixedAssets[Depreciation
/ Amortization Months],_xlfn.XMATCH($E$84,FixedAssets[Asset ID])),IF(AND((_xlfn.XMATCH(AX$8,$AH$8:$CC$8))-_xlfn.XMATCH($C94,$C$35:$C$82)+1&lt;=_xlpm.DepreciationMonths,$C94&lt;=AX$8),$E94/_xlpm.DepreciationMonths,0))</f>
        <v>0</v>
      </c>
      <c r="AY94" s="507" cm="1">
        <f t="array" ref="AY94">_xlfn.LET(_xlpm.DepreciationMonths,INDEX(FixedAssets[Depreciation
/ Amortization Months],_xlfn.XMATCH($E$84,FixedAssets[Asset ID])),IF(AND((_xlfn.XMATCH(AY$8,$AH$8:$CC$8))-_xlfn.XMATCH($C94,$C$35:$C$82)+1&lt;=_xlpm.DepreciationMonths,$C94&lt;=AY$8),$E94/_xlpm.DepreciationMonths,0))</f>
        <v>0</v>
      </c>
      <c r="AZ94" s="507" cm="1">
        <f t="array" ref="AZ94">_xlfn.LET(_xlpm.DepreciationMonths,INDEX(FixedAssets[Depreciation
/ Amortization Months],_xlfn.XMATCH($E$84,FixedAssets[Asset ID])),IF(AND((_xlfn.XMATCH(AZ$8,$AH$8:$CC$8))-_xlfn.XMATCH($C94,$C$35:$C$82)+1&lt;=_xlpm.DepreciationMonths,$C94&lt;=AZ$8),$E94/_xlpm.DepreciationMonths,0))</f>
        <v>0</v>
      </c>
      <c r="BA94" s="507" cm="1">
        <f t="array" ref="BA94">_xlfn.LET(_xlpm.DepreciationMonths,INDEX(FixedAssets[Depreciation
/ Amortization Months],_xlfn.XMATCH($E$84,FixedAssets[Asset ID])),IF(AND((_xlfn.XMATCH(BA$8,$AH$8:$CC$8))-_xlfn.XMATCH($C94,$C$35:$C$82)+1&lt;=_xlpm.DepreciationMonths,$C94&lt;=BA$8),$E94/_xlpm.DepreciationMonths,0))</f>
        <v>0</v>
      </c>
      <c r="BB94" s="507" cm="1">
        <f t="array" ref="BB94">_xlfn.LET(_xlpm.DepreciationMonths,INDEX(FixedAssets[Depreciation
/ Amortization Months],_xlfn.XMATCH($E$84,FixedAssets[Asset ID])),IF(AND((_xlfn.XMATCH(BB$8,$AH$8:$CC$8))-_xlfn.XMATCH($C94,$C$35:$C$82)+1&lt;=_xlpm.DepreciationMonths,$C94&lt;=BB$8),$E94/_xlpm.DepreciationMonths,0))</f>
        <v>0</v>
      </c>
      <c r="BC94" s="507" cm="1">
        <f t="array" ref="BC94">_xlfn.LET(_xlpm.DepreciationMonths,INDEX(FixedAssets[Depreciation
/ Amortization Months],_xlfn.XMATCH($E$84,FixedAssets[Asset ID])),IF(AND((_xlfn.XMATCH(BC$8,$AH$8:$CC$8))-_xlfn.XMATCH($C94,$C$35:$C$82)+1&lt;=_xlpm.DepreciationMonths,$C94&lt;=BC$8),$E94/_xlpm.DepreciationMonths,0))</f>
        <v>0</v>
      </c>
      <c r="BD94" s="507" cm="1">
        <f t="array" ref="BD94">_xlfn.LET(_xlpm.DepreciationMonths,INDEX(FixedAssets[Depreciation
/ Amortization Months],_xlfn.XMATCH($E$84,FixedAssets[Asset ID])),IF(AND((_xlfn.XMATCH(BD$8,$AH$8:$CC$8))-_xlfn.XMATCH($C94,$C$35:$C$82)+1&lt;=_xlpm.DepreciationMonths,$C94&lt;=BD$8),$E94/_xlpm.DepreciationMonths,0))</f>
        <v>0</v>
      </c>
      <c r="BE94" s="507" cm="1">
        <f t="array" ref="BE94">_xlfn.LET(_xlpm.DepreciationMonths,INDEX(FixedAssets[Depreciation
/ Amortization Months],_xlfn.XMATCH($E$84,FixedAssets[Asset ID])),IF(AND((_xlfn.XMATCH(BE$8,$AH$8:$CC$8))-_xlfn.XMATCH($C94,$C$35:$C$82)+1&lt;=_xlpm.DepreciationMonths,$C94&lt;=BE$8),$E94/_xlpm.DepreciationMonths,0))</f>
        <v>0</v>
      </c>
      <c r="BF94" s="507" cm="1">
        <f t="array" ref="BF94">_xlfn.LET(_xlpm.DepreciationMonths,INDEX(FixedAssets[Depreciation
/ Amortization Months],_xlfn.XMATCH($E$84,FixedAssets[Asset ID])),IF(AND((_xlfn.XMATCH(BF$8,$AH$8:$CC$8))-_xlfn.XMATCH($C94,$C$35:$C$82)+1&lt;=_xlpm.DepreciationMonths,$C94&lt;=BF$8),$E94/_xlpm.DepreciationMonths,0))</f>
        <v>0</v>
      </c>
      <c r="BG94" s="507" cm="1">
        <f t="array" ref="BG94">_xlfn.LET(_xlpm.DepreciationMonths,INDEX(FixedAssets[Depreciation
/ Amortization Months],_xlfn.XMATCH($E$84,FixedAssets[Asset ID])),IF(AND((_xlfn.XMATCH(BG$8,$AH$8:$CC$8))-_xlfn.XMATCH($C94,$C$35:$C$82)+1&lt;=_xlpm.DepreciationMonths,$C94&lt;=BG$8),$E94/_xlpm.DepreciationMonths,0))</f>
        <v>0</v>
      </c>
      <c r="BH94" s="507" cm="1">
        <f t="array" ref="BH94">_xlfn.LET(_xlpm.DepreciationMonths,INDEX(FixedAssets[Depreciation
/ Amortization Months],_xlfn.XMATCH($E$84,FixedAssets[Asset ID])),IF(AND((_xlfn.XMATCH(BH$8,$AH$8:$CC$8))-_xlfn.XMATCH($C94,$C$35:$C$82)+1&lt;=_xlpm.DepreciationMonths,$C94&lt;=BH$8),$E94/_xlpm.DepreciationMonths,0))</f>
        <v>0</v>
      </c>
      <c r="BI94" s="507" cm="1">
        <f t="array" ref="BI94">_xlfn.LET(_xlpm.DepreciationMonths,INDEX(FixedAssets[Depreciation
/ Amortization Months],_xlfn.XMATCH($E$84,FixedAssets[Asset ID])),IF(AND((_xlfn.XMATCH(BI$8,$AH$8:$CC$8))-_xlfn.XMATCH($C94,$C$35:$C$82)+1&lt;=_xlpm.DepreciationMonths,$C94&lt;=BI$8),$E94/_xlpm.DepreciationMonths,0))</f>
        <v>0</v>
      </c>
      <c r="BJ94" s="507" cm="1">
        <f t="array" ref="BJ94">_xlfn.LET(_xlpm.DepreciationMonths,INDEX(FixedAssets[Depreciation
/ Amortization Months],_xlfn.XMATCH($E$84,FixedAssets[Asset ID])),IF(AND((_xlfn.XMATCH(BJ$8,$AH$8:$CC$8))-_xlfn.XMATCH($C94,$C$35:$C$82)+1&lt;=_xlpm.DepreciationMonths,$C94&lt;=BJ$8),$E94/_xlpm.DepreciationMonths,0))</f>
        <v>0</v>
      </c>
      <c r="BK94" s="507" cm="1">
        <f t="array" ref="BK94">_xlfn.LET(_xlpm.DepreciationMonths,INDEX(FixedAssets[Depreciation
/ Amortization Months],_xlfn.XMATCH($E$84,FixedAssets[Asset ID])),IF(AND((_xlfn.XMATCH(BK$8,$AH$8:$CC$8))-_xlfn.XMATCH($C94,$C$35:$C$82)+1&lt;=_xlpm.DepreciationMonths,$C94&lt;=BK$8),$E94/_xlpm.DepreciationMonths,0))</f>
        <v>0</v>
      </c>
      <c r="BL94" s="507" cm="1">
        <f t="array" ref="BL94">_xlfn.LET(_xlpm.DepreciationMonths,INDEX(FixedAssets[Depreciation
/ Amortization Months],_xlfn.XMATCH($E$84,FixedAssets[Asset ID])),IF(AND((_xlfn.XMATCH(BL$8,$AH$8:$CC$8))-_xlfn.XMATCH($C94,$C$35:$C$82)+1&lt;=_xlpm.DepreciationMonths,$C94&lt;=BL$8),$E94/_xlpm.DepreciationMonths,0))</f>
        <v>0</v>
      </c>
      <c r="BM94" s="507" cm="1">
        <f t="array" ref="BM94">_xlfn.LET(_xlpm.DepreciationMonths,INDEX(FixedAssets[Depreciation
/ Amortization Months],_xlfn.XMATCH($E$84,FixedAssets[Asset ID])),IF(AND((_xlfn.XMATCH(BM$8,$AH$8:$CC$8))-_xlfn.XMATCH($C94,$C$35:$C$82)+1&lt;=_xlpm.DepreciationMonths,$C94&lt;=BM$8),$E94/_xlpm.DepreciationMonths,0))</f>
        <v>0</v>
      </c>
      <c r="BN94" s="507" cm="1">
        <f t="array" ref="BN94">_xlfn.LET(_xlpm.DepreciationMonths,INDEX(FixedAssets[Depreciation
/ Amortization Months],_xlfn.XMATCH($E$84,FixedAssets[Asset ID])),IF(AND((_xlfn.XMATCH(BN$8,$AH$8:$CC$8))-_xlfn.XMATCH($C94,$C$35:$C$82)+1&lt;=_xlpm.DepreciationMonths,$C94&lt;=BN$8),$E94/_xlpm.DepreciationMonths,0))</f>
        <v>0</v>
      </c>
      <c r="BO94" s="507" cm="1">
        <f t="array" ref="BO94">_xlfn.LET(_xlpm.DepreciationMonths,INDEX(FixedAssets[Depreciation
/ Amortization Months],_xlfn.XMATCH($E$84,FixedAssets[Asset ID])),IF(AND((_xlfn.XMATCH(BO$8,$AH$8:$CC$8))-_xlfn.XMATCH($C94,$C$35:$C$82)+1&lt;=_xlpm.DepreciationMonths,$C94&lt;=BO$8),$E94/_xlpm.DepreciationMonths,0))</f>
        <v>0</v>
      </c>
      <c r="BP94" s="507" cm="1">
        <f t="array" ref="BP94">_xlfn.LET(_xlpm.DepreciationMonths,INDEX(FixedAssets[Depreciation
/ Amortization Months],_xlfn.XMATCH($E$84,FixedAssets[Asset ID])),IF(AND((_xlfn.XMATCH(BP$8,$AH$8:$CC$8))-_xlfn.XMATCH($C94,$C$35:$C$82)+1&lt;=_xlpm.DepreciationMonths,$C94&lt;=BP$8),$E94/_xlpm.DepreciationMonths,0))</f>
        <v>0</v>
      </c>
      <c r="BQ94" s="507" cm="1">
        <f t="array" ref="BQ94">_xlfn.LET(_xlpm.DepreciationMonths,INDEX(FixedAssets[Depreciation
/ Amortization Months],_xlfn.XMATCH($E$84,FixedAssets[Asset ID])),IF(AND((_xlfn.XMATCH(BQ$8,$AH$8:$CC$8))-_xlfn.XMATCH($C94,$C$35:$C$82)+1&lt;=_xlpm.DepreciationMonths,$C94&lt;=BQ$8),$E94/_xlpm.DepreciationMonths,0))</f>
        <v>0</v>
      </c>
      <c r="BR94" s="507" cm="1">
        <f t="array" ref="BR94">_xlfn.LET(_xlpm.DepreciationMonths,INDEX(FixedAssets[Depreciation
/ Amortization Months],_xlfn.XMATCH($E$84,FixedAssets[Asset ID])),IF(AND((_xlfn.XMATCH(BR$8,$AH$8:$CC$8))-_xlfn.XMATCH($C94,$C$35:$C$82)+1&lt;=_xlpm.DepreciationMonths,$C94&lt;=BR$8),$E94/_xlpm.DepreciationMonths,0))</f>
        <v>0</v>
      </c>
      <c r="BS94" s="507" cm="1">
        <f t="array" ref="BS94">_xlfn.LET(_xlpm.DepreciationMonths,INDEX(FixedAssets[Depreciation
/ Amortization Months],_xlfn.XMATCH($E$84,FixedAssets[Asset ID])),IF(AND((_xlfn.XMATCH(BS$8,$AH$8:$CC$8))-_xlfn.XMATCH($C94,$C$35:$C$82)+1&lt;=_xlpm.DepreciationMonths,$C94&lt;=BS$8),$E94/_xlpm.DepreciationMonths,0))</f>
        <v>0</v>
      </c>
      <c r="BT94" s="507" cm="1">
        <f t="array" ref="BT94">_xlfn.LET(_xlpm.DepreciationMonths,INDEX(FixedAssets[Depreciation
/ Amortization Months],_xlfn.XMATCH($E$84,FixedAssets[Asset ID])),IF(AND((_xlfn.XMATCH(BT$8,$AH$8:$CC$8))-_xlfn.XMATCH($C94,$C$35:$C$82)+1&lt;=_xlpm.DepreciationMonths,$C94&lt;=BT$8),$E94/_xlpm.DepreciationMonths,0))</f>
        <v>0</v>
      </c>
      <c r="BU94" s="507" cm="1">
        <f t="array" ref="BU94">_xlfn.LET(_xlpm.DepreciationMonths,INDEX(FixedAssets[Depreciation
/ Amortization Months],_xlfn.XMATCH($E$84,FixedAssets[Asset ID])),IF(AND((_xlfn.XMATCH(BU$8,$AH$8:$CC$8))-_xlfn.XMATCH($C94,$C$35:$C$82)+1&lt;=_xlpm.DepreciationMonths,$C94&lt;=BU$8),$E94/_xlpm.DepreciationMonths,0))</f>
        <v>0</v>
      </c>
      <c r="BV94" s="507" cm="1">
        <f t="array" ref="BV94">_xlfn.LET(_xlpm.DepreciationMonths,INDEX(FixedAssets[Depreciation
/ Amortization Months],_xlfn.XMATCH($E$84,FixedAssets[Asset ID])),IF(AND((_xlfn.XMATCH(BV$8,$AH$8:$CC$8))-_xlfn.XMATCH($C94,$C$35:$C$82)+1&lt;=_xlpm.DepreciationMonths,$C94&lt;=BV$8),$E94/_xlpm.DepreciationMonths,0))</f>
        <v>0</v>
      </c>
      <c r="BW94" s="507" cm="1">
        <f t="array" ref="BW94">_xlfn.LET(_xlpm.DepreciationMonths,INDEX(FixedAssets[Depreciation
/ Amortization Months],_xlfn.XMATCH($E$84,FixedAssets[Asset ID])),IF(AND((_xlfn.XMATCH(BW$8,$AH$8:$CC$8))-_xlfn.XMATCH($C94,$C$35:$C$82)+1&lt;=_xlpm.DepreciationMonths,$C94&lt;=BW$8),$E94/_xlpm.DepreciationMonths,0))</f>
        <v>0</v>
      </c>
      <c r="BX94" s="507" cm="1">
        <f t="array" ref="BX94">_xlfn.LET(_xlpm.DepreciationMonths,INDEX(FixedAssets[Depreciation
/ Amortization Months],_xlfn.XMATCH($E$84,FixedAssets[Asset ID])),IF(AND((_xlfn.XMATCH(BX$8,$AH$8:$CC$8))-_xlfn.XMATCH($C94,$C$35:$C$82)+1&lt;=_xlpm.DepreciationMonths,$C94&lt;=BX$8),$E94/_xlpm.DepreciationMonths,0))</f>
        <v>0</v>
      </c>
      <c r="BY94" s="507" cm="1">
        <f t="array" ref="BY94">_xlfn.LET(_xlpm.DepreciationMonths,INDEX(FixedAssets[Depreciation
/ Amortization Months],_xlfn.XMATCH($E$84,FixedAssets[Asset ID])),IF(AND((_xlfn.XMATCH(BY$8,$AH$8:$CC$8))-_xlfn.XMATCH($C94,$C$35:$C$82)+1&lt;=_xlpm.DepreciationMonths,$C94&lt;=BY$8),$E94/_xlpm.DepreciationMonths,0))</f>
        <v>0</v>
      </c>
      <c r="BZ94" s="507" cm="1">
        <f t="array" ref="BZ94">_xlfn.LET(_xlpm.DepreciationMonths,INDEX(FixedAssets[Depreciation
/ Amortization Months],_xlfn.XMATCH($E$84,FixedAssets[Asset ID])),IF(AND((_xlfn.XMATCH(BZ$8,$AH$8:$CC$8))-_xlfn.XMATCH($C94,$C$35:$C$82)+1&lt;=_xlpm.DepreciationMonths,$C94&lt;=BZ$8),$E94/_xlpm.DepreciationMonths,0))</f>
        <v>0</v>
      </c>
      <c r="CA94" s="507" cm="1">
        <f t="array" ref="CA94">_xlfn.LET(_xlpm.DepreciationMonths,INDEX(FixedAssets[Depreciation
/ Amortization Months],_xlfn.XMATCH($E$84,FixedAssets[Asset ID])),IF(AND((_xlfn.XMATCH(CA$8,$AH$8:$CC$8))-_xlfn.XMATCH($C94,$C$35:$C$82)+1&lt;=_xlpm.DepreciationMonths,$C94&lt;=CA$8),$E94/_xlpm.DepreciationMonths,0))</f>
        <v>0</v>
      </c>
      <c r="CB94" s="507" cm="1">
        <f t="array" ref="CB94">_xlfn.LET(_xlpm.DepreciationMonths,INDEX(FixedAssets[Depreciation
/ Amortization Months],_xlfn.XMATCH($E$84,FixedAssets[Asset ID])),IF(AND((_xlfn.XMATCH(CB$8,$AH$8:$CC$8))-_xlfn.XMATCH($C94,$C$35:$C$82)+1&lt;=_xlpm.DepreciationMonths,$C94&lt;=CB$8),$E94/_xlpm.DepreciationMonths,0))</f>
        <v>0</v>
      </c>
      <c r="CC94" s="507" cm="1">
        <f t="array" ref="CC94">_xlfn.LET(_xlpm.DepreciationMonths,INDEX(FixedAssets[Depreciation
/ Amortization Months],_xlfn.XMATCH($E$84,FixedAssets[Asset ID])),IF(AND((_xlfn.XMATCH(CC$8,$AH$8:$CC$8))-_xlfn.XMATCH($C94,$C$35:$C$82)+1&lt;=_xlpm.DepreciationMonths,$C94&lt;=CC$8),$E94/_xlpm.DepreciationMonths,0))</f>
        <v>0</v>
      </c>
    </row>
    <row r="95" spans="3:81" hidden="1" outlineLevel="2">
      <c r="C95" s="664">
        <f t="shared" si="167"/>
        <v>45230</v>
      </c>
      <c r="D95" s="508"/>
      <c r="E95" s="508" cm="1">
        <f t="array" ref="E95">SUMPRODUCT(($AH$26:$CC$31)*($AH$5:$CC$5=$C95)*($E$26:$E$31=E$84))-SUMPRODUCT(($AH$26:$CC$31)*($AH$5:$CC$5=EOMONTH($C95,-1))*($E$26:$E$31=E$84))</f>
        <v>0</v>
      </c>
      <c r="F95" s="508"/>
      <c r="G95" s="508"/>
      <c r="H95" s="508"/>
      <c r="I95" s="508"/>
      <c r="J95" s="504">
        <f t="shared" si="164"/>
        <v>0</v>
      </c>
      <c r="K95" s="504">
        <f t="shared" si="165"/>
        <v>0</v>
      </c>
      <c r="L95" s="504">
        <f t="shared" si="165"/>
        <v>0</v>
      </c>
      <c r="M95" s="504">
        <f t="shared" si="165"/>
        <v>0</v>
      </c>
      <c r="N95" s="504"/>
      <c r="O95" s="504"/>
      <c r="P95" s="504">
        <f t="shared" si="166"/>
        <v>0</v>
      </c>
      <c r="Q95" s="504">
        <f t="shared" si="166"/>
        <v>0</v>
      </c>
      <c r="R95" s="504">
        <f t="shared" si="166"/>
        <v>0</v>
      </c>
      <c r="S95" s="504">
        <f t="shared" si="166"/>
        <v>0</v>
      </c>
      <c r="T95" s="504">
        <f t="shared" si="166"/>
        <v>0</v>
      </c>
      <c r="U95" s="504">
        <f t="shared" si="166"/>
        <v>0</v>
      </c>
      <c r="V95" s="504">
        <f t="shared" si="166"/>
        <v>0</v>
      </c>
      <c r="W95" s="504">
        <f t="shared" si="166"/>
        <v>0</v>
      </c>
      <c r="X95" s="504">
        <f t="shared" si="166"/>
        <v>0</v>
      </c>
      <c r="Y95" s="504">
        <f t="shared" si="166"/>
        <v>0</v>
      </c>
      <c r="Z95" s="504">
        <f t="shared" si="166"/>
        <v>0</v>
      </c>
      <c r="AA95" s="504">
        <f t="shared" si="166"/>
        <v>0</v>
      </c>
      <c r="AB95" s="504">
        <f t="shared" si="166"/>
        <v>0</v>
      </c>
      <c r="AC95" s="504">
        <f t="shared" si="166"/>
        <v>0</v>
      </c>
      <c r="AD95" s="504">
        <f t="shared" si="166"/>
        <v>0</v>
      </c>
      <c r="AE95" s="504">
        <f t="shared" si="166"/>
        <v>0</v>
      </c>
      <c r="AF95" s="508"/>
      <c r="AG95" s="508"/>
      <c r="AH95" s="507" cm="1">
        <f t="array" ref="AH95">_xlfn.LET(_xlpm.DepreciationMonths,INDEX(FixedAssets[Depreciation
/ Amortization Months],_xlfn.XMATCH($E$84,FixedAssets[Asset ID])),IF(AND((_xlfn.XMATCH(AH$8,$AH$8:$CC$8))-_xlfn.XMATCH($C95,$C$35:$C$82)+1&lt;=_xlpm.DepreciationMonths,$C95&lt;=AH$8),$E95/_xlpm.DepreciationMonths,0))</f>
        <v>0</v>
      </c>
      <c r="AI95" s="507" cm="1">
        <f t="array" ref="AI95">_xlfn.LET(_xlpm.DepreciationMonths,INDEX(FixedAssets[Depreciation
/ Amortization Months],_xlfn.XMATCH($E$84,FixedAssets[Asset ID])),IF(AND((_xlfn.XMATCH(AI$8,$AH$8:$CC$8))-_xlfn.XMATCH($C95,$C$35:$C$82)+1&lt;=_xlpm.DepreciationMonths,$C95&lt;=AI$8),$E95/_xlpm.DepreciationMonths,0))</f>
        <v>0</v>
      </c>
      <c r="AJ95" s="507" cm="1">
        <f t="array" ref="AJ95">_xlfn.LET(_xlpm.DepreciationMonths,INDEX(FixedAssets[Depreciation
/ Amortization Months],_xlfn.XMATCH($E$84,FixedAssets[Asset ID])),IF(AND((_xlfn.XMATCH(AJ$8,$AH$8:$CC$8))-_xlfn.XMATCH($C95,$C$35:$C$82)+1&lt;=_xlpm.DepreciationMonths,$C95&lt;=AJ$8),$E95/_xlpm.DepreciationMonths,0))</f>
        <v>0</v>
      </c>
      <c r="AK95" s="507" cm="1">
        <f t="array" ref="AK95">_xlfn.LET(_xlpm.DepreciationMonths,INDEX(FixedAssets[Depreciation
/ Amortization Months],_xlfn.XMATCH($E$84,FixedAssets[Asset ID])),IF(AND((_xlfn.XMATCH(AK$8,$AH$8:$CC$8))-_xlfn.XMATCH($C95,$C$35:$C$82)+1&lt;=_xlpm.DepreciationMonths,$C95&lt;=AK$8),$E95/_xlpm.DepreciationMonths,0))</f>
        <v>0</v>
      </c>
      <c r="AL95" s="507" cm="1">
        <f t="array" ref="AL95">_xlfn.LET(_xlpm.DepreciationMonths,INDEX(FixedAssets[Depreciation
/ Amortization Months],_xlfn.XMATCH($E$84,FixedAssets[Asset ID])),IF(AND((_xlfn.XMATCH(AL$8,$AH$8:$CC$8))-_xlfn.XMATCH($C95,$C$35:$C$82)+1&lt;=_xlpm.DepreciationMonths,$C95&lt;=AL$8),$E95/_xlpm.DepreciationMonths,0))</f>
        <v>0</v>
      </c>
      <c r="AM95" s="507" cm="1">
        <f t="array" ref="AM95">_xlfn.LET(_xlpm.DepreciationMonths,INDEX(FixedAssets[Depreciation
/ Amortization Months],_xlfn.XMATCH($E$84,FixedAssets[Asset ID])),IF(AND((_xlfn.XMATCH(AM$8,$AH$8:$CC$8))-_xlfn.XMATCH($C95,$C$35:$C$82)+1&lt;=_xlpm.DepreciationMonths,$C95&lt;=AM$8),$E95/_xlpm.DepreciationMonths,0))</f>
        <v>0</v>
      </c>
      <c r="AN95" s="507" cm="1">
        <f t="array" ref="AN95">_xlfn.LET(_xlpm.DepreciationMonths,INDEX(FixedAssets[Depreciation
/ Amortization Months],_xlfn.XMATCH($E$84,FixedAssets[Asset ID])),IF(AND((_xlfn.XMATCH(AN$8,$AH$8:$CC$8))-_xlfn.XMATCH($C95,$C$35:$C$82)+1&lt;=_xlpm.DepreciationMonths,$C95&lt;=AN$8),$E95/_xlpm.DepreciationMonths,0))</f>
        <v>0</v>
      </c>
      <c r="AO95" s="507" cm="1">
        <f t="array" ref="AO95">_xlfn.LET(_xlpm.DepreciationMonths,INDEX(FixedAssets[Depreciation
/ Amortization Months],_xlfn.XMATCH($E$84,FixedAssets[Asset ID])),IF(AND((_xlfn.XMATCH(AO$8,$AH$8:$CC$8))-_xlfn.XMATCH($C95,$C$35:$C$82)+1&lt;=_xlpm.DepreciationMonths,$C95&lt;=AO$8),$E95/_xlpm.DepreciationMonths,0))</f>
        <v>0</v>
      </c>
      <c r="AP95" s="507" cm="1">
        <f t="array" ref="AP95">_xlfn.LET(_xlpm.DepreciationMonths,INDEX(FixedAssets[Depreciation
/ Amortization Months],_xlfn.XMATCH($E$84,FixedAssets[Asset ID])),IF(AND((_xlfn.XMATCH(AP$8,$AH$8:$CC$8))-_xlfn.XMATCH($C95,$C$35:$C$82)+1&lt;=_xlpm.DepreciationMonths,$C95&lt;=AP$8),$E95/_xlpm.DepreciationMonths,0))</f>
        <v>0</v>
      </c>
      <c r="AQ95" s="507" cm="1">
        <f t="array" ref="AQ95">_xlfn.LET(_xlpm.DepreciationMonths,INDEX(FixedAssets[Depreciation
/ Amortization Months],_xlfn.XMATCH($E$84,FixedAssets[Asset ID])),IF(AND((_xlfn.XMATCH(AQ$8,$AH$8:$CC$8))-_xlfn.XMATCH($C95,$C$35:$C$82)+1&lt;=_xlpm.DepreciationMonths,$C95&lt;=AQ$8),$E95/_xlpm.DepreciationMonths,0))</f>
        <v>0</v>
      </c>
      <c r="AR95" s="507" cm="1">
        <f t="array" ref="AR95">_xlfn.LET(_xlpm.DepreciationMonths,INDEX(FixedAssets[Depreciation
/ Amortization Months],_xlfn.XMATCH($E$84,FixedAssets[Asset ID])),IF(AND((_xlfn.XMATCH(AR$8,$AH$8:$CC$8))-_xlfn.XMATCH($C95,$C$35:$C$82)+1&lt;=_xlpm.DepreciationMonths,$C95&lt;=AR$8),$E95/_xlpm.DepreciationMonths,0))</f>
        <v>0</v>
      </c>
      <c r="AS95" s="507" cm="1">
        <f t="array" ref="AS95">_xlfn.LET(_xlpm.DepreciationMonths,INDEX(FixedAssets[Depreciation
/ Amortization Months],_xlfn.XMATCH($E$84,FixedAssets[Asset ID])),IF(AND((_xlfn.XMATCH(AS$8,$AH$8:$CC$8))-_xlfn.XMATCH($C95,$C$35:$C$82)+1&lt;=_xlpm.DepreciationMonths,$C95&lt;=AS$8),$E95/_xlpm.DepreciationMonths,0))</f>
        <v>0</v>
      </c>
      <c r="AT95" s="507" cm="1">
        <f t="array" ref="AT95">_xlfn.LET(_xlpm.DepreciationMonths,INDEX(FixedAssets[Depreciation
/ Amortization Months],_xlfn.XMATCH($E$84,FixedAssets[Asset ID])),IF(AND((_xlfn.XMATCH(AT$8,$AH$8:$CC$8))-_xlfn.XMATCH($C95,$C$35:$C$82)+1&lt;=_xlpm.DepreciationMonths,$C95&lt;=AT$8),$E95/_xlpm.DepreciationMonths,0))</f>
        <v>0</v>
      </c>
      <c r="AU95" s="507" cm="1">
        <f t="array" ref="AU95">_xlfn.LET(_xlpm.DepreciationMonths,INDEX(FixedAssets[Depreciation
/ Amortization Months],_xlfn.XMATCH($E$84,FixedAssets[Asset ID])),IF(AND((_xlfn.XMATCH(AU$8,$AH$8:$CC$8))-_xlfn.XMATCH($C95,$C$35:$C$82)+1&lt;=_xlpm.DepreciationMonths,$C95&lt;=AU$8),$E95/_xlpm.DepreciationMonths,0))</f>
        <v>0</v>
      </c>
      <c r="AV95" s="507" cm="1">
        <f t="array" ref="AV95">_xlfn.LET(_xlpm.DepreciationMonths,INDEX(FixedAssets[Depreciation
/ Amortization Months],_xlfn.XMATCH($E$84,FixedAssets[Asset ID])),IF(AND((_xlfn.XMATCH(AV$8,$AH$8:$CC$8))-_xlfn.XMATCH($C95,$C$35:$C$82)+1&lt;=_xlpm.DepreciationMonths,$C95&lt;=AV$8),$E95/_xlpm.DepreciationMonths,0))</f>
        <v>0</v>
      </c>
      <c r="AW95" s="507" cm="1">
        <f t="array" ref="AW95">_xlfn.LET(_xlpm.DepreciationMonths,INDEX(FixedAssets[Depreciation
/ Amortization Months],_xlfn.XMATCH($E$84,FixedAssets[Asset ID])),IF(AND((_xlfn.XMATCH(AW$8,$AH$8:$CC$8))-_xlfn.XMATCH($C95,$C$35:$C$82)+1&lt;=_xlpm.DepreciationMonths,$C95&lt;=AW$8),$E95/_xlpm.DepreciationMonths,0))</f>
        <v>0</v>
      </c>
      <c r="AX95" s="507" cm="1">
        <f t="array" ref="AX95">_xlfn.LET(_xlpm.DepreciationMonths,INDEX(FixedAssets[Depreciation
/ Amortization Months],_xlfn.XMATCH($E$84,FixedAssets[Asset ID])),IF(AND((_xlfn.XMATCH(AX$8,$AH$8:$CC$8))-_xlfn.XMATCH($C95,$C$35:$C$82)+1&lt;=_xlpm.DepreciationMonths,$C95&lt;=AX$8),$E95/_xlpm.DepreciationMonths,0))</f>
        <v>0</v>
      </c>
      <c r="AY95" s="507" cm="1">
        <f t="array" ref="AY95">_xlfn.LET(_xlpm.DepreciationMonths,INDEX(FixedAssets[Depreciation
/ Amortization Months],_xlfn.XMATCH($E$84,FixedAssets[Asset ID])),IF(AND((_xlfn.XMATCH(AY$8,$AH$8:$CC$8))-_xlfn.XMATCH($C95,$C$35:$C$82)+1&lt;=_xlpm.DepreciationMonths,$C95&lt;=AY$8),$E95/_xlpm.DepreciationMonths,0))</f>
        <v>0</v>
      </c>
      <c r="AZ95" s="507" cm="1">
        <f t="array" ref="AZ95">_xlfn.LET(_xlpm.DepreciationMonths,INDEX(FixedAssets[Depreciation
/ Amortization Months],_xlfn.XMATCH($E$84,FixedAssets[Asset ID])),IF(AND((_xlfn.XMATCH(AZ$8,$AH$8:$CC$8))-_xlfn.XMATCH($C95,$C$35:$C$82)+1&lt;=_xlpm.DepreciationMonths,$C95&lt;=AZ$8),$E95/_xlpm.DepreciationMonths,0))</f>
        <v>0</v>
      </c>
      <c r="BA95" s="507" cm="1">
        <f t="array" ref="BA95">_xlfn.LET(_xlpm.DepreciationMonths,INDEX(FixedAssets[Depreciation
/ Amortization Months],_xlfn.XMATCH($E$84,FixedAssets[Asset ID])),IF(AND((_xlfn.XMATCH(BA$8,$AH$8:$CC$8))-_xlfn.XMATCH($C95,$C$35:$C$82)+1&lt;=_xlpm.DepreciationMonths,$C95&lt;=BA$8),$E95/_xlpm.DepreciationMonths,0))</f>
        <v>0</v>
      </c>
      <c r="BB95" s="507" cm="1">
        <f t="array" ref="BB95">_xlfn.LET(_xlpm.DepreciationMonths,INDEX(FixedAssets[Depreciation
/ Amortization Months],_xlfn.XMATCH($E$84,FixedAssets[Asset ID])),IF(AND((_xlfn.XMATCH(BB$8,$AH$8:$CC$8))-_xlfn.XMATCH($C95,$C$35:$C$82)+1&lt;=_xlpm.DepreciationMonths,$C95&lt;=BB$8),$E95/_xlpm.DepreciationMonths,0))</f>
        <v>0</v>
      </c>
      <c r="BC95" s="507" cm="1">
        <f t="array" ref="BC95">_xlfn.LET(_xlpm.DepreciationMonths,INDEX(FixedAssets[Depreciation
/ Amortization Months],_xlfn.XMATCH($E$84,FixedAssets[Asset ID])),IF(AND((_xlfn.XMATCH(BC$8,$AH$8:$CC$8))-_xlfn.XMATCH($C95,$C$35:$C$82)+1&lt;=_xlpm.DepreciationMonths,$C95&lt;=BC$8),$E95/_xlpm.DepreciationMonths,0))</f>
        <v>0</v>
      </c>
      <c r="BD95" s="507" cm="1">
        <f t="array" ref="BD95">_xlfn.LET(_xlpm.DepreciationMonths,INDEX(FixedAssets[Depreciation
/ Amortization Months],_xlfn.XMATCH($E$84,FixedAssets[Asset ID])),IF(AND((_xlfn.XMATCH(BD$8,$AH$8:$CC$8))-_xlfn.XMATCH($C95,$C$35:$C$82)+1&lt;=_xlpm.DepreciationMonths,$C95&lt;=BD$8),$E95/_xlpm.DepreciationMonths,0))</f>
        <v>0</v>
      </c>
      <c r="BE95" s="507" cm="1">
        <f t="array" ref="BE95">_xlfn.LET(_xlpm.DepreciationMonths,INDEX(FixedAssets[Depreciation
/ Amortization Months],_xlfn.XMATCH($E$84,FixedAssets[Asset ID])),IF(AND((_xlfn.XMATCH(BE$8,$AH$8:$CC$8))-_xlfn.XMATCH($C95,$C$35:$C$82)+1&lt;=_xlpm.DepreciationMonths,$C95&lt;=BE$8),$E95/_xlpm.DepreciationMonths,0))</f>
        <v>0</v>
      </c>
      <c r="BF95" s="507" cm="1">
        <f t="array" ref="BF95">_xlfn.LET(_xlpm.DepreciationMonths,INDEX(FixedAssets[Depreciation
/ Amortization Months],_xlfn.XMATCH($E$84,FixedAssets[Asset ID])),IF(AND((_xlfn.XMATCH(BF$8,$AH$8:$CC$8))-_xlfn.XMATCH($C95,$C$35:$C$82)+1&lt;=_xlpm.DepreciationMonths,$C95&lt;=BF$8),$E95/_xlpm.DepreciationMonths,0))</f>
        <v>0</v>
      </c>
      <c r="BG95" s="507" cm="1">
        <f t="array" ref="BG95">_xlfn.LET(_xlpm.DepreciationMonths,INDEX(FixedAssets[Depreciation
/ Amortization Months],_xlfn.XMATCH($E$84,FixedAssets[Asset ID])),IF(AND((_xlfn.XMATCH(BG$8,$AH$8:$CC$8))-_xlfn.XMATCH($C95,$C$35:$C$82)+1&lt;=_xlpm.DepreciationMonths,$C95&lt;=BG$8),$E95/_xlpm.DepreciationMonths,0))</f>
        <v>0</v>
      </c>
      <c r="BH95" s="507" cm="1">
        <f t="array" ref="BH95">_xlfn.LET(_xlpm.DepreciationMonths,INDEX(FixedAssets[Depreciation
/ Amortization Months],_xlfn.XMATCH($E$84,FixedAssets[Asset ID])),IF(AND((_xlfn.XMATCH(BH$8,$AH$8:$CC$8))-_xlfn.XMATCH($C95,$C$35:$C$82)+1&lt;=_xlpm.DepreciationMonths,$C95&lt;=BH$8),$E95/_xlpm.DepreciationMonths,0))</f>
        <v>0</v>
      </c>
      <c r="BI95" s="507" cm="1">
        <f t="array" ref="BI95">_xlfn.LET(_xlpm.DepreciationMonths,INDEX(FixedAssets[Depreciation
/ Amortization Months],_xlfn.XMATCH($E$84,FixedAssets[Asset ID])),IF(AND((_xlfn.XMATCH(BI$8,$AH$8:$CC$8))-_xlfn.XMATCH($C95,$C$35:$C$82)+1&lt;=_xlpm.DepreciationMonths,$C95&lt;=BI$8),$E95/_xlpm.DepreciationMonths,0))</f>
        <v>0</v>
      </c>
      <c r="BJ95" s="507" cm="1">
        <f t="array" ref="BJ95">_xlfn.LET(_xlpm.DepreciationMonths,INDEX(FixedAssets[Depreciation
/ Amortization Months],_xlfn.XMATCH($E$84,FixedAssets[Asset ID])),IF(AND((_xlfn.XMATCH(BJ$8,$AH$8:$CC$8))-_xlfn.XMATCH($C95,$C$35:$C$82)+1&lt;=_xlpm.DepreciationMonths,$C95&lt;=BJ$8),$E95/_xlpm.DepreciationMonths,0))</f>
        <v>0</v>
      </c>
      <c r="BK95" s="507" cm="1">
        <f t="array" ref="BK95">_xlfn.LET(_xlpm.DepreciationMonths,INDEX(FixedAssets[Depreciation
/ Amortization Months],_xlfn.XMATCH($E$84,FixedAssets[Asset ID])),IF(AND((_xlfn.XMATCH(BK$8,$AH$8:$CC$8))-_xlfn.XMATCH($C95,$C$35:$C$82)+1&lt;=_xlpm.DepreciationMonths,$C95&lt;=BK$8),$E95/_xlpm.DepreciationMonths,0))</f>
        <v>0</v>
      </c>
      <c r="BL95" s="507" cm="1">
        <f t="array" ref="BL95">_xlfn.LET(_xlpm.DepreciationMonths,INDEX(FixedAssets[Depreciation
/ Amortization Months],_xlfn.XMATCH($E$84,FixedAssets[Asset ID])),IF(AND((_xlfn.XMATCH(BL$8,$AH$8:$CC$8))-_xlfn.XMATCH($C95,$C$35:$C$82)+1&lt;=_xlpm.DepreciationMonths,$C95&lt;=BL$8),$E95/_xlpm.DepreciationMonths,0))</f>
        <v>0</v>
      </c>
      <c r="BM95" s="507" cm="1">
        <f t="array" ref="BM95">_xlfn.LET(_xlpm.DepreciationMonths,INDEX(FixedAssets[Depreciation
/ Amortization Months],_xlfn.XMATCH($E$84,FixedAssets[Asset ID])),IF(AND((_xlfn.XMATCH(BM$8,$AH$8:$CC$8))-_xlfn.XMATCH($C95,$C$35:$C$82)+1&lt;=_xlpm.DepreciationMonths,$C95&lt;=BM$8),$E95/_xlpm.DepreciationMonths,0))</f>
        <v>0</v>
      </c>
      <c r="BN95" s="507" cm="1">
        <f t="array" ref="BN95">_xlfn.LET(_xlpm.DepreciationMonths,INDEX(FixedAssets[Depreciation
/ Amortization Months],_xlfn.XMATCH($E$84,FixedAssets[Asset ID])),IF(AND((_xlfn.XMATCH(BN$8,$AH$8:$CC$8))-_xlfn.XMATCH($C95,$C$35:$C$82)+1&lt;=_xlpm.DepreciationMonths,$C95&lt;=BN$8),$E95/_xlpm.DepreciationMonths,0))</f>
        <v>0</v>
      </c>
      <c r="BO95" s="507" cm="1">
        <f t="array" ref="BO95">_xlfn.LET(_xlpm.DepreciationMonths,INDEX(FixedAssets[Depreciation
/ Amortization Months],_xlfn.XMATCH($E$84,FixedAssets[Asset ID])),IF(AND((_xlfn.XMATCH(BO$8,$AH$8:$CC$8))-_xlfn.XMATCH($C95,$C$35:$C$82)+1&lt;=_xlpm.DepreciationMonths,$C95&lt;=BO$8),$E95/_xlpm.DepreciationMonths,0))</f>
        <v>0</v>
      </c>
      <c r="BP95" s="507" cm="1">
        <f t="array" ref="BP95">_xlfn.LET(_xlpm.DepreciationMonths,INDEX(FixedAssets[Depreciation
/ Amortization Months],_xlfn.XMATCH($E$84,FixedAssets[Asset ID])),IF(AND((_xlfn.XMATCH(BP$8,$AH$8:$CC$8))-_xlfn.XMATCH($C95,$C$35:$C$82)+1&lt;=_xlpm.DepreciationMonths,$C95&lt;=BP$8),$E95/_xlpm.DepreciationMonths,0))</f>
        <v>0</v>
      </c>
      <c r="BQ95" s="507" cm="1">
        <f t="array" ref="BQ95">_xlfn.LET(_xlpm.DepreciationMonths,INDEX(FixedAssets[Depreciation
/ Amortization Months],_xlfn.XMATCH($E$84,FixedAssets[Asset ID])),IF(AND((_xlfn.XMATCH(BQ$8,$AH$8:$CC$8))-_xlfn.XMATCH($C95,$C$35:$C$82)+1&lt;=_xlpm.DepreciationMonths,$C95&lt;=BQ$8),$E95/_xlpm.DepreciationMonths,0))</f>
        <v>0</v>
      </c>
      <c r="BR95" s="507" cm="1">
        <f t="array" ref="BR95">_xlfn.LET(_xlpm.DepreciationMonths,INDEX(FixedAssets[Depreciation
/ Amortization Months],_xlfn.XMATCH($E$84,FixedAssets[Asset ID])),IF(AND((_xlfn.XMATCH(BR$8,$AH$8:$CC$8))-_xlfn.XMATCH($C95,$C$35:$C$82)+1&lt;=_xlpm.DepreciationMonths,$C95&lt;=BR$8),$E95/_xlpm.DepreciationMonths,0))</f>
        <v>0</v>
      </c>
      <c r="BS95" s="507" cm="1">
        <f t="array" ref="BS95">_xlfn.LET(_xlpm.DepreciationMonths,INDEX(FixedAssets[Depreciation
/ Amortization Months],_xlfn.XMATCH($E$84,FixedAssets[Asset ID])),IF(AND((_xlfn.XMATCH(BS$8,$AH$8:$CC$8))-_xlfn.XMATCH($C95,$C$35:$C$82)+1&lt;=_xlpm.DepreciationMonths,$C95&lt;=BS$8),$E95/_xlpm.DepreciationMonths,0))</f>
        <v>0</v>
      </c>
      <c r="BT95" s="507" cm="1">
        <f t="array" ref="BT95">_xlfn.LET(_xlpm.DepreciationMonths,INDEX(FixedAssets[Depreciation
/ Amortization Months],_xlfn.XMATCH($E$84,FixedAssets[Asset ID])),IF(AND((_xlfn.XMATCH(BT$8,$AH$8:$CC$8))-_xlfn.XMATCH($C95,$C$35:$C$82)+1&lt;=_xlpm.DepreciationMonths,$C95&lt;=BT$8),$E95/_xlpm.DepreciationMonths,0))</f>
        <v>0</v>
      </c>
      <c r="BU95" s="507" cm="1">
        <f t="array" ref="BU95">_xlfn.LET(_xlpm.DepreciationMonths,INDEX(FixedAssets[Depreciation
/ Amortization Months],_xlfn.XMATCH($E$84,FixedAssets[Asset ID])),IF(AND((_xlfn.XMATCH(BU$8,$AH$8:$CC$8))-_xlfn.XMATCH($C95,$C$35:$C$82)+1&lt;=_xlpm.DepreciationMonths,$C95&lt;=BU$8),$E95/_xlpm.DepreciationMonths,0))</f>
        <v>0</v>
      </c>
      <c r="BV95" s="507" cm="1">
        <f t="array" ref="BV95">_xlfn.LET(_xlpm.DepreciationMonths,INDEX(FixedAssets[Depreciation
/ Amortization Months],_xlfn.XMATCH($E$84,FixedAssets[Asset ID])),IF(AND((_xlfn.XMATCH(BV$8,$AH$8:$CC$8))-_xlfn.XMATCH($C95,$C$35:$C$82)+1&lt;=_xlpm.DepreciationMonths,$C95&lt;=BV$8),$E95/_xlpm.DepreciationMonths,0))</f>
        <v>0</v>
      </c>
      <c r="BW95" s="507" cm="1">
        <f t="array" ref="BW95">_xlfn.LET(_xlpm.DepreciationMonths,INDEX(FixedAssets[Depreciation
/ Amortization Months],_xlfn.XMATCH($E$84,FixedAssets[Asset ID])),IF(AND((_xlfn.XMATCH(BW$8,$AH$8:$CC$8))-_xlfn.XMATCH($C95,$C$35:$C$82)+1&lt;=_xlpm.DepreciationMonths,$C95&lt;=BW$8),$E95/_xlpm.DepreciationMonths,0))</f>
        <v>0</v>
      </c>
      <c r="BX95" s="507" cm="1">
        <f t="array" ref="BX95">_xlfn.LET(_xlpm.DepreciationMonths,INDEX(FixedAssets[Depreciation
/ Amortization Months],_xlfn.XMATCH($E$84,FixedAssets[Asset ID])),IF(AND((_xlfn.XMATCH(BX$8,$AH$8:$CC$8))-_xlfn.XMATCH($C95,$C$35:$C$82)+1&lt;=_xlpm.DepreciationMonths,$C95&lt;=BX$8),$E95/_xlpm.DepreciationMonths,0))</f>
        <v>0</v>
      </c>
      <c r="BY95" s="507" cm="1">
        <f t="array" ref="BY95">_xlfn.LET(_xlpm.DepreciationMonths,INDEX(FixedAssets[Depreciation
/ Amortization Months],_xlfn.XMATCH($E$84,FixedAssets[Asset ID])),IF(AND((_xlfn.XMATCH(BY$8,$AH$8:$CC$8))-_xlfn.XMATCH($C95,$C$35:$C$82)+1&lt;=_xlpm.DepreciationMonths,$C95&lt;=BY$8),$E95/_xlpm.DepreciationMonths,0))</f>
        <v>0</v>
      </c>
      <c r="BZ95" s="507" cm="1">
        <f t="array" ref="BZ95">_xlfn.LET(_xlpm.DepreciationMonths,INDEX(FixedAssets[Depreciation
/ Amortization Months],_xlfn.XMATCH($E$84,FixedAssets[Asset ID])),IF(AND((_xlfn.XMATCH(BZ$8,$AH$8:$CC$8))-_xlfn.XMATCH($C95,$C$35:$C$82)+1&lt;=_xlpm.DepreciationMonths,$C95&lt;=BZ$8),$E95/_xlpm.DepreciationMonths,0))</f>
        <v>0</v>
      </c>
      <c r="CA95" s="507" cm="1">
        <f t="array" ref="CA95">_xlfn.LET(_xlpm.DepreciationMonths,INDEX(FixedAssets[Depreciation
/ Amortization Months],_xlfn.XMATCH($E$84,FixedAssets[Asset ID])),IF(AND((_xlfn.XMATCH(CA$8,$AH$8:$CC$8))-_xlfn.XMATCH($C95,$C$35:$C$82)+1&lt;=_xlpm.DepreciationMonths,$C95&lt;=CA$8),$E95/_xlpm.DepreciationMonths,0))</f>
        <v>0</v>
      </c>
      <c r="CB95" s="507" cm="1">
        <f t="array" ref="CB95">_xlfn.LET(_xlpm.DepreciationMonths,INDEX(FixedAssets[Depreciation
/ Amortization Months],_xlfn.XMATCH($E$84,FixedAssets[Asset ID])),IF(AND((_xlfn.XMATCH(CB$8,$AH$8:$CC$8))-_xlfn.XMATCH($C95,$C$35:$C$82)+1&lt;=_xlpm.DepreciationMonths,$C95&lt;=CB$8),$E95/_xlpm.DepreciationMonths,0))</f>
        <v>0</v>
      </c>
      <c r="CC95" s="507" cm="1">
        <f t="array" ref="CC95">_xlfn.LET(_xlpm.DepreciationMonths,INDEX(FixedAssets[Depreciation
/ Amortization Months],_xlfn.XMATCH($E$84,FixedAssets[Asset ID])),IF(AND((_xlfn.XMATCH(CC$8,$AH$8:$CC$8))-_xlfn.XMATCH($C95,$C$35:$C$82)+1&lt;=_xlpm.DepreciationMonths,$C95&lt;=CC$8),$E95/_xlpm.DepreciationMonths,0))</f>
        <v>0</v>
      </c>
    </row>
    <row r="96" spans="3:81" hidden="1" outlineLevel="2">
      <c r="C96" s="664">
        <f t="shared" si="167"/>
        <v>45260</v>
      </c>
      <c r="D96" s="508"/>
      <c r="E96" s="508" cm="1">
        <f t="array" ref="E96">SUMPRODUCT(($AH$26:$CC$31)*($AH$5:$CC$5=$C96)*($E$26:$E$31=E$84))-SUMPRODUCT(($AH$26:$CC$31)*($AH$5:$CC$5=EOMONTH($C96,-1))*($E$26:$E$31=E$84))</f>
        <v>0</v>
      </c>
      <c r="F96" s="508"/>
      <c r="G96" s="508"/>
      <c r="H96" s="508"/>
      <c r="I96" s="508"/>
      <c r="J96" s="504">
        <f t="shared" si="164"/>
        <v>0</v>
      </c>
      <c r="K96" s="504">
        <f t="shared" si="165"/>
        <v>0</v>
      </c>
      <c r="L96" s="504">
        <f t="shared" si="165"/>
        <v>0</v>
      </c>
      <c r="M96" s="504">
        <f t="shared" si="165"/>
        <v>0</v>
      </c>
      <c r="N96" s="504"/>
      <c r="O96" s="504"/>
      <c r="P96" s="504">
        <f t="shared" si="166"/>
        <v>0</v>
      </c>
      <c r="Q96" s="504">
        <f t="shared" si="166"/>
        <v>0</v>
      </c>
      <c r="R96" s="504">
        <f t="shared" si="166"/>
        <v>0</v>
      </c>
      <c r="S96" s="504">
        <f t="shared" si="166"/>
        <v>0</v>
      </c>
      <c r="T96" s="504">
        <f t="shared" si="166"/>
        <v>0</v>
      </c>
      <c r="U96" s="504">
        <f t="shared" si="166"/>
        <v>0</v>
      </c>
      <c r="V96" s="504">
        <f t="shared" si="166"/>
        <v>0</v>
      </c>
      <c r="W96" s="504">
        <f t="shared" si="166"/>
        <v>0</v>
      </c>
      <c r="X96" s="504">
        <f t="shared" si="166"/>
        <v>0</v>
      </c>
      <c r="Y96" s="504">
        <f t="shared" si="166"/>
        <v>0</v>
      </c>
      <c r="Z96" s="504">
        <f t="shared" si="166"/>
        <v>0</v>
      </c>
      <c r="AA96" s="504">
        <f t="shared" si="166"/>
        <v>0</v>
      </c>
      <c r="AB96" s="504">
        <f t="shared" si="166"/>
        <v>0</v>
      </c>
      <c r="AC96" s="504">
        <f t="shared" si="166"/>
        <v>0</v>
      </c>
      <c r="AD96" s="504">
        <f t="shared" si="166"/>
        <v>0</v>
      </c>
      <c r="AE96" s="504">
        <f t="shared" si="166"/>
        <v>0</v>
      </c>
      <c r="AF96" s="508"/>
      <c r="AG96" s="508"/>
      <c r="AH96" s="507" cm="1">
        <f t="array" ref="AH96">_xlfn.LET(_xlpm.DepreciationMonths,INDEX(FixedAssets[Depreciation
/ Amortization Months],_xlfn.XMATCH($E$84,FixedAssets[Asset ID])),IF(AND((_xlfn.XMATCH(AH$8,$AH$8:$CC$8))-_xlfn.XMATCH($C96,$C$35:$C$82)+1&lt;=_xlpm.DepreciationMonths,$C96&lt;=AH$8),$E96/_xlpm.DepreciationMonths,0))</f>
        <v>0</v>
      </c>
      <c r="AI96" s="507" cm="1">
        <f t="array" ref="AI96">_xlfn.LET(_xlpm.DepreciationMonths,INDEX(FixedAssets[Depreciation
/ Amortization Months],_xlfn.XMATCH($E$84,FixedAssets[Asset ID])),IF(AND((_xlfn.XMATCH(AI$8,$AH$8:$CC$8))-_xlfn.XMATCH($C96,$C$35:$C$82)+1&lt;=_xlpm.DepreciationMonths,$C96&lt;=AI$8),$E96/_xlpm.DepreciationMonths,0))</f>
        <v>0</v>
      </c>
      <c r="AJ96" s="507" cm="1">
        <f t="array" ref="AJ96">_xlfn.LET(_xlpm.DepreciationMonths,INDEX(FixedAssets[Depreciation
/ Amortization Months],_xlfn.XMATCH($E$84,FixedAssets[Asset ID])),IF(AND((_xlfn.XMATCH(AJ$8,$AH$8:$CC$8))-_xlfn.XMATCH($C96,$C$35:$C$82)+1&lt;=_xlpm.DepreciationMonths,$C96&lt;=AJ$8),$E96/_xlpm.DepreciationMonths,0))</f>
        <v>0</v>
      </c>
      <c r="AK96" s="507" cm="1">
        <f t="array" ref="AK96">_xlfn.LET(_xlpm.DepreciationMonths,INDEX(FixedAssets[Depreciation
/ Amortization Months],_xlfn.XMATCH($E$84,FixedAssets[Asset ID])),IF(AND((_xlfn.XMATCH(AK$8,$AH$8:$CC$8))-_xlfn.XMATCH($C96,$C$35:$C$82)+1&lt;=_xlpm.DepreciationMonths,$C96&lt;=AK$8),$E96/_xlpm.DepreciationMonths,0))</f>
        <v>0</v>
      </c>
      <c r="AL96" s="507" cm="1">
        <f t="array" ref="AL96">_xlfn.LET(_xlpm.DepreciationMonths,INDEX(FixedAssets[Depreciation
/ Amortization Months],_xlfn.XMATCH($E$84,FixedAssets[Asset ID])),IF(AND((_xlfn.XMATCH(AL$8,$AH$8:$CC$8))-_xlfn.XMATCH($C96,$C$35:$C$82)+1&lt;=_xlpm.DepreciationMonths,$C96&lt;=AL$8),$E96/_xlpm.DepreciationMonths,0))</f>
        <v>0</v>
      </c>
      <c r="AM96" s="507" cm="1">
        <f t="array" ref="AM96">_xlfn.LET(_xlpm.DepreciationMonths,INDEX(FixedAssets[Depreciation
/ Amortization Months],_xlfn.XMATCH($E$84,FixedAssets[Asset ID])),IF(AND((_xlfn.XMATCH(AM$8,$AH$8:$CC$8))-_xlfn.XMATCH($C96,$C$35:$C$82)+1&lt;=_xlpm.DepreciationMonths,$C96&lt;=AM$8),$E96/_xlpm.DepreciationMonths,0))</f>
        <v>0</v>
      </c>
      <c r="AN96" s="507" cm="1">
        <f t="array" ref="AN96">_xlfn.LET(_xlpm.DepreciationMonths,INDEX(FixedAssets[Depreciation
/ Amortization Months],_xlfn.XMATCH($E$84,FixedAssets[Asset ID])),IF(AND((_xlfn.XMATCH(AN$8,$AH$8:$CC$8))-_xlfn.XMATCH($C96,$C$35:$C$82)+1&lt;=_xlpm.DepreciationMonths,$C96&lt;=AN$8),$E96/_xlpm.DepreciationMonths,0))</f>
        <v>0</v>
      </c>
      <c r="AO96" s="507" cm="1">
        <f t="array" ref="AO96">_xlfn.LET(_xlpm.DepreciationMonths,INDEX(FixedAssets[Depreciation
/ Amortization Months],_xlfn.XMATCH($E$84,FixedAssets[Asset ID])),IF(AND((_xlfn.XMATCH(AO$8,$AH$8:$CC$8))-_xlfn.XMATCH($C96,$C$35:$C$82)+1&lt;=_xlpm.DepreciationMonths,$C96&lt;=AO$8),$E96/_xlpm.DepreciationMonths,0))</f>
        <v>0</v>
      </c>
      <c r="AP96" s="507" cm="1">
        <f t="array" ref="AP96">_xlfn.LET(_xlpm.DepreciationMonths,INDEX(FixedAssets[Depreciation
/ Amortization Months],_xlfn.XMATCH($E$84,FixedAssets[Asset ID])),IF(AND((_xlfn.XMATCH(AP$8,$AH$8:$CC$8))-_xlfn.XMATCH($C96,$C$35:$C$82)+1&lt;=_xlpm.DepreciationMonths,$C96&lt;=AP$8),$E96/_xlpm.DepreciationMonths,0))</f>
        <v>0</v>
      </c>
      <c r="AQ96" s="507" cm="1">
        <f t="array" ref="AQ96">_xlfn.LET(_xlpm.DepreciationMonths,INDEX(FixedAssets[Depreciation
/ Amortization Months],_xlfn.XMATCH($E$84,FixedAssets[Asset ID])),IF(AND((_xlfn.XMATCH(AQ$8,$AH$8:$CC$8))-_xlfn.XMATCH($C96,$C$35:$C$82)+1&lt;=_xlpm.DepreciationMonths,$C96&lt;=AQ$8),$E96/_xlpm.DepreciationMonths,0))</f>
        <v>0</v>
      </c>
      <c r="AR96" s="507" cm="1">
        <f t="array" ref="AR96">_xlfn.LET(_xlpm.DepreciationMonths,INDEX(FixedAssets[Depreciation
/ Amortization Months],_xlfn.XMATCH($E$84,FixedAssets[Asset ID])),IF(AND((_xlfn.XMATCH(AR$8,$AH$8:$CC$8))-_xlfn.XMATCH($C96,$C$35:$C$82)+1&lt;=_xlpm.DepreciationMonths,$C96&lt;=AR$8),$E96/_xlpm.DepreciationMonths,0))</f>
        <v>0</v>
      </c>
      <c r="AS96" s="507" cm="1">
        <f t="array" ref="AS96">_xlfn.LET(_xlpm.DepreciationMonths,INDEX(FixedAssets[Depreciation
/ Amortization Months],_xlfn.XMATCH($E$84,FixedAssets[Asset ID])),IF(AND((_xlfn.XMATCH(AS$8,$AH$8:$CC$8))-_xlfn.XMATCH($C96,$C$35:$C$82)+1&lt;=_xlpm.DepreciationMonths,$C96&lt;=AS$8),$E96/_xlpm.DepreciationMonths,0))</f>
        <v>0</v>
      </c>
      <c r="AT96" s="507" cm="1">
        <f t="array" ref="AT96">_xlfn.LET(_xlpm.DepreciationMonths,INDEX(FixedAssets[Depreciation
/ Amortization Months],_xlfn.XMATCH($E$84,FixedAssets[Asset ID])),IF(AND((_xlfn.XMATCH(AT$8,$AH$8:$CC$8))-_xlfn.XMATCH($C96,$C$35:$C$82)+1&lt;=_xlpm.DepreciationMonths,$C96&lt;=AT$8),$E96/_xlpm.DepreciationMonths,0))</f>
        <v>0</v>
      </c>
      <c r="AU96" s="507" cm="1">
        <f t="array" ref="AU96">_xlfn.LET(_xlpm.DepreciationMonths,INDEX(FixedAssets[Depreciation
/ Amortization Months],_xlfn.XMATCH($E$84,FixedAssets[Asset ID])),IF(AND((_xlfn.XMATCH(AU$8,$AH$8:$CC$8))-_xlfn.XMATCH($C96,$C$35:$C$82)+1&lt;=_xlpm.DepreciationMonths,$C96&lt;=AU$8),$E96/_xlpm.DepreciationMonths,0))</f>
        <v>0</v>
      </c>
      <c r="AV96" s="507" cm="1">
        <f t="array" ref="AV96">_xlfn.LET(_xlpm.DepreciationMonths,INDEX(FixedAssets[Depreciation
/ Amortization Months],_xlfn.XMATCH($E$84,FixedAssets[Asset ID])),IF(AND((_xlfn.XMATCH(AV$8,$AH$8:$CC$8))-_xlfn.XMATCH($C96,$C$35:$C$82)+1&lt;=_xlpm.DepreciationMonths,$C96&lt;=AV$8),$E96/_xlpm.DepreciationMonths,0))</f>
        <v>0</v>
      </c>
      <c r="AW96" s="507" cm="1">
        <f t="array" ref="AW96">_xlfn.LET(_xlpm.DepreciationMonths,INDEX(FixedAssets[Depreciation
/ Amortization Months],_xlfn.XMATCH($E$84,FixedAssets[Asset ID])),IF(AND((_xlfn.XMATCH(AW$8,$AH$8:$CC$8))-_xlfn.XMATCH($C96,$C$35:$C$82)+1&lt;=_xlpm.DepreciationMonths,$C96&lt;=AW$8),$E96/_xlpm.DepreciationMonths,0))</f>
        <v>0</v>
      </c>
      <c r="AX96" s="507" cm="1">
        <f t="array" ref="AX96">_xlfn.LET(_xlpm.DepreciationMonths,INDEX(FixedAssets[Depreciation
/ Amortization Months],_xlfn.XMATCH($E$84,FixedAssets[Asset ID])),IF(AND((_xlfn.XMATCH(AX$8,$AH$8:$CC$8))-_xlfn.XMATCH($C96,$C$35:$C$82)+1&lt;=_xlpm.DepreciationMonths,$C96&lt;=AX$8),$E96/_xlpm.DepreciationMonths,0))</f>
        <v>0</v>
      </c>
      <c r="AY96" s="507" cm="1">
        <f t="array" ref="AY96">_xlfn.LET(_xlpm.DepreciationMonths,INDEX(FixedAssets[Depreciation
/ Amortization Months],_xlfn.XMATCH($E$84,FixedAssets[Asset ID])),IF(AND((_xlfn.XMATCH(AY$8,$AH$8:$CC$8))-_xlfn.XMATCH($C96,$C$35:$C$82)+1&lt;=_xlpm.DepreciationMonths,$C96&lt;=AY$8),$E96/_xlpm.DepreciationMonths,0))</f>
        <v>0</v>
      </c>
      <c r="AZ96" s="507" cm="1">
        <f t="array" ref="AZ96">_xlfn.LET(_xlpm.DepreciationMonths,INDEX(FixedAssets[Depreciation
/ Amortization Months],_xlfn.XMATCH($E$84,FixedAssets[Asset ID])),IF(AND((_xlfn.XMATCH(AZ$8,$AH$8:$CC$8))-_xlfn.XMATCH($C96,$C$35:$C$82)+1&lt;=_xlpm.DepreciationMonths,$C96&lt;=AZ$8),$E96/_xlpm.DepreciationMonths,0))</f>
        <v>0</v>
      </c>
      <c r="BA96" s="507" cm="1">
        <f t="array" ref="BA96">_xlfn.LET(_xlpm.DepreciationMonths,INDEX(FixedAssets[Depreciation
/ Amortization Months],_xlfn.XMATCH($E$84,FixedAssets[Asset ID])),IF(AND((_xlfn.XMATCH(BA$8,$AH$8:$CC$8))-_xlfn.XMATCH($C96,$C$35:$C$82)+1&lt;=_xlpm.DepreciationMonths,$C96&lt;=BA$8),$E96/_xlpm.DepreciationMonths,0))</f>
        <v>0</v>
      </c>
      <c r="BB96" s="507" cm="1">
        <f t="array" ref="BB96">_xlfn.LET(_xlpm.DepreciationMonths,INDEX(FixedAssets[Depreciation
/ Amortization Months],_xlfn.XMATCH($E$84,FixedAssets[Asset ID])),IF(AND((_xlfn.XMATCH(BB$8,$AH$8:$CC$8))-_xlfn.XMATCH($C96,$C$35:$C$82)+1&lt;=_xlpm.DepreciationMonths,$C96&lt;=BB$8),$E96/_xlpm.DepreciationMonths,0))</f>
        <v>0</v>
      </c>
      <c r="BC96" s="507" cm="1">
        <f t="array" ref="BC96">_xlfn.LET(_xlpm.DepreciationMonths,INDEX(FixedAssets[Depreciation
/ Amortization Months],_xlfn.XMATCH($E$84,FixedAssets[Asset ID])),IF(AND((_xlfn.XMATCH(BC$8,$AH$8:$CC$8))-_xlfn.XMATCH($C96,$C$35:$C$82)+1&lt;=_xlpm.DepreciationMonths,$C96&lt;=BC$8),$E96/_xlpm.DepreciationMonths,0))</f>
        <v>0</v>
      </c>
      <c r="BD96" s="507" cm="1">
        <f t="array" ref="BD96">_xlfn.LET(_xlpm.DepreciationMonths,INDEX(FixedAssets[Depreciation
/ Amortization Months],_xlfn.XMATCH($E$84,FixedAssets[Asset ID])),IF(AND((_xlfn.XMATCH(BD$8,$AH$8:$CC$8))-_xlfn.XMATCH($C96,$C$35:$C$82)+1&lt;=_xlpm.DepreciationMonths,$C96&lt;=BD$8),$E96/_xlpm.DepreciationMonths,0))</f>
        <v>0</v>
      </c>
      <c r="BE96" s="507" cm="1">
        <f t="array" ref="BE96">_xlfn.LET(_xlpm.DepreciationMonths,INDEX(FixedAssets[Depreciation
/ Amortization Months],_xlfn.XMATCH($E$84,FixedAssets[Asset ID])),IF(AND((_xlfn.XMATCH(BE$8,$AH$8:$CC$8))-_xlfn.XMATCH($C96,$C$35:$C$82)+1&lt;=_xlpm.DepreciationMonths,$C96&lt;=BE$8),$E96/_xlpm.DepreciationMonths,0))</f>
        <v>0</v>
      </c>
      <c r="BF96" s="507" cm="1">
        <f t="array" ref="BF96">_xlfn.LET(_xlpm.DepreciationMonths,INDEX(FixedAssets[Depreciation
/ Amortization Months],_xlfn.XMATCH($E$84,FixedAssets[Asset ID])),IF(AND((_xlfn.XMATCH(BF$8,$AH$8:$CC$8))-_xlfn.XMATCH($C96,$C$35:$C$82)+1&lt;=_xlpm.DepreciationMonths,$C96&lt;=BF$8),$E96/_xlpm.DepreciationMonths,0))</f>
        <v>0</v>
      </c>
      <c r="BG96" s="507" cm="1">
        <f t="array" ref="BG96">_xlfn.LET(_xlpm.DepreciationMonths,INDEX(FixedAssets[Depreciation
/ Amortization Months],_xlfn.XMATCH($E$84,FixedAssets[Asset ID])),IF(AND((_xlfn.XMATCH(BG$8,$AH$8:$CC$8))-_xlfn.XMATCH($C96,$C$35:$C$82)+1&lt;=_xlpm.DepreciationMonths,$C96&lt;=BG$8),$E96/_xlpm.DepreciationMonths,0))</f>
        <v>0</v>
      </c>
      <c r="BH96" s="507" cm="1">
        <f t="array" ref="BH96">_xlfn.LET(_xlpm.DepreciationMonths,INDEX(FixedAssets[Depreciation
/ Amortization Months],_xlfn.XMATCH($E$84,FixedAssets[Asset ID])),IF(AND((_xlfn.XMATCH(BH$8,$AH$8:$CC$8))-_xlfn.XMATCH($C96,$C$35:$C$82)+1&lt;=_xlpm.DepreciationMonths,$C96&lt;=BH$8),$E96/_xlpm.DepreciationMonths,0))</f>
        <v>0</v>
      </c>
      <c r="BI96" s="507" cm="1">
        <f t="array" ref="BI96">_xlfn.LET(_xlpm.DepreciationMonths,INDEX(FixedAssets[Depreciation
/ Amortization Months],_xlfn.XMATCH($E$84,FixedAssets[Asset ID])),IF(AND((_xlfn.XMATCH(BI$8,$AH$8:$CC$8))-_xlfn.XMATCH($C96,$C$35:$C$82)+1&lt;=_xlpm.DepreciationMonths,$C96&lt;=BI$8),$E96/_xlpm.DepreciationMonths,0))</f>
        <v>0</v>
      </c>
      <c r="BJ96" s="507" cm="1">
        <f t="array" ref="BJ96">_xlfn.LET(_xlpm.DepreciationMonths,INDEX(FixedAssets[Depreciation
/ Amortization Months],_xlfn.XMATCH($E$84,FixedAssets[Asset ID])),IF(AND((_xlfn.XMATCH(BJ$8,$AH$8:$CC$8))-_xlfn.XMATCH($C96,$C$35:$C$82)+1&lt;=_xlpm.DepreciationMonths,$C96&lt;=BJ$8),$E96/_xlpm.DepreciationMonths,0))</f>
        <v>0</v>
      </c>
      <c r="BK96" s="507" cm="1">
        <f t="array" ref="BK96">_xlfn.LET(_xlpm.DepreciationMonths,INDEX(FixedAssets[Depreciation
/ Amortization Months],_xlfn.XMATCH($E$84,FixedAssets[Asset ID])),IF(AND((_xlfn.XMATCH(BK$8,$AH$8:$CC$8))-_xlfn.XMATCH($C96,$C$35:$C$82)+1&lt;=_xlpm.DepreciationMonths,$C96&lt;=BK$8),$E96/_xlpm.DepreciationMonths,0))</f>
        <v>0</v>
      </c>
      <c r="BL96" s="507" cm="1">
        <f t="array" ref="BL96">_xlfn.LET(_xlpm.DepreciationMonths,INDEX(FixedAssets[Depreciation
/ Amortization Months],_xlfn.XMATCH($E$84,FixedAssets[Asset ID])),IF(AND((_xlfn.XMATCH(BL$8,$AH$8:$CC$8))-_xlfn.XMATCH($C96,$C$35:$C$82)+1&lt;=_xlpm.DepreciationMonths,$C96&lt;=BL$8),$E96/_xlpm.DepreciationMonths,0))</f>
        <v>0</v>
      </c>
      <c r="BM96" s="507" cm="1">
        <f t="array" ref="BM96">_xlfn.LET(_xlpm.DepreciationMonths,INDEX(FixedAssets[Depreciation
/ Amortization Months],_xlfn.XMATCH($E$84,FixedAssets[Asset ID])),IF(AND((_xlfn.XMATCH(BM$8,$AH$8:$CC$8))-_xlfn.XMATCH($C96,$C$35:$C$82)+1&lt;=_xlpm.DepreciationMonths,$C96&lt;=BM$8),$E96/_xlpm.DepreciationMonths,0))</f>
        <v>0</v>
      </c>
      <c r="BN96" s="507" cm="1">
        <f t="array" ref="BN96">_xlfn.LET(_xlpm.DepreciationMonths,INDEX(FixedAssets[Depreciation
/ Amortization Months],_xlfn.XMATCH($E$84,FixedAssets[Asset ID])),IF(AND((_xlfn.XMATCH(BN$8,$AH$8:$CC$8))-_xlfn.XMATCH($C96,$C$35:$C$82)+1&lt;=_xlpm.DepreciationMonths,$C96&lt;=BN$8),$E96/_xlpm.DepreciationMonths,0))</f>
        <v>0</v>
      </c>
      <c r="BO96" s="507" cm="1">
        <f t="array" ref="BO96">_xlfn.LET(_xlpm.DepreciationMonths,INDEX(FixedAssets[Depreciation
/ Amortization Months],_xlfn.XMATCH($E$84,FixedAssets[Asset ID])),IF(AND((_xlfn.XMATCH(BO$8,$AH$8:$CC$8))-_xlfn.XMATCH($C96,$C$35:$C$82)+1&lt;=_xlpm.DepreciationMonths,$C96&lt;=BO$8),$E96/_xlpm.DepreciationMonths,0))</f>
        <v>0</v>
      </c>
      <c r="BP96" s="507" cm="1">
        <f t="array" ref="BP96">_xlfn.LET(_xlpm.DepreciationMonths,INDEX(FixedAssets[Depreciation
/ Amortization Months],_xlfn.XMATCH($E$84,FixedAssets[Asset ID])),IF(AND((_xlfn.XMATCH(BP$8,$AH$8:$CC$8))-_xlfn.XMATCH($C96,$C$35:$C$82)+1&lt;=_xlpm.DepreciationMonths,$C96&lt;=BP$8),$E96/_xlpm.DepreciationMonths,0))</f>
        <v>0</v>
      </c>
      <c r="BQ96" s="507" cm="1">
        <f t="array" ref="BQ96">_xlfn.LET(_xlpm.DepreciationMonths,INDEX(FixedAssets[Depreciation
/ Amortization Months],_xlfn.XMATCH($E$84,FixedAssets[Asset ID])),IF(AND((_xlfn.XMATCH(BQ$8,$AH$8:$CC$8))-_xlfn.XMATCH($C96,$C$35:$C$82)+1&lt;=_xlpm.DepreciationMonths,$C96&lt;=BQ$8),$E96/_xlpm.DepreciationMonths,0))</f>
        <v>0</v>
      </c>
      <c r="BR96" s="507" cm="1">
        <f t="array" ref="BR96">_xlfn.LET(_xlpm.DepreciationMonths,INDEX(FixedAssets[Depreciation
/ Amortization Months],_xlfn.XMATCH($E$84,FixedAssets[Asset ID])),IF(AND((_xlfn.XMATCH(BR$8,$AH$8:$CC$8))-_xlfn.XMATCH($C96,$C$35:$C$82)+1&lt;=_xlpm.DepreciationMonths,$C96&lt;=BR$8),$E96/_xlpm.DepreciationMonths,0))</f>
        <v>0</v>
      </c>
      <c r="BS96" s="507" cm="1">
        <f t="array" ref="BS96">_xlfn.LET(_xlpm.DepreciationMonths,INDEX(FixedAssets[Depreciation
/ Amortization Months],_xlfn.XMATCH($E$84,FixedAssets[Asset ID])),IF(AND((_xlfn.XMATCH(BS$8,$AH$8:$CC$8))-_xlfn.XMATCH($C96,$C$35:$C$82)+1&lt;=_xlpm.DepreciationMonths,$C96&lt;=BS$8),$E96/_xlpm.DepreciationMonths,0))</f>
        <v>0</v>
      </c>
      <c r="BT96" s="507" cm="1">
        <f t="array" ref="BT96">_xlfn.LET(_xlpm.DepreciationMonths,INDEX(FixedAssets[Depreciation
/ Amortization Months],_xlfn.XMATCH($E$84,FixedAssets[Asset ID])),IF(AND((_xlfn.XMATCH(BT$8,$AH$8:$CC$8))-_xlfn.XMATCH($C96,$C$35:$C$82)+1&lt;=_xlpm.DepreciationMonths,$C96&lt;=BT$8),$E96/_xlpm.DepreciationMonths,0))</f>
        <v>0</v>
      </c>
      <c r="BU96" s="507" cm="1">
        <f t="array" ref="BU96">_xlfn.LET(_xlpm.DepreciationMonths,INDEX(FixedAssets[Depreciation
/ Amortization Months],_xlfn.XMATCH($E$84,FixedAssets[Asset ID])),IF(AND((_xlfn.XMATCH(BU$8,$AH$8:$CC$8))-_xlfn.XMATCH($C96,$C$35:$C$82)+1&lt;=_xlpm.DepreciationMonths,$C96&lt;=BU$8),$E96/_xlpm.DepreciationMonths,0))</f>
        <v>0</v>
      </c>
      <c r="BV96" s="507" cm="1">
        <f t="array" ref="BV96">_xlfn.LET(_xlpm.DepreciationMonths,INDEX(FixedAssets[Depreciation
/ Amortization Months],_xlfn.XMATCH($E$84,FixedAssets[Asset ID])),IF(AND((_xlfn.XMATCH(BV$8,$AH$8:$CC$8))-_xlfn.XMATCH($C96,$C$35:$C$82)+1&lt;=_xlpm.DepreciationMonths,$C96&lt;=BV$8),$E96/_xlpm.DepreciationMonths,0))</f>
        <v>0</v>
      </c>
      <c r="BW96" s="507" cm="1">
        <f t="array" ref="BW96">_xlfn.LET(_xlpm.DepreciationMonths,INDEX(FixedAssets[Depreciation
/ Amortization Months],_xlfn.XMATCH($E$84,FixedAssets[Asset ID])),IF(AND((_xlfn.XMATCH(BW$8,$AH$8:$CC$8))-_xlfn.XMATCH($C96,$C$35:$C$82)+1&lt;=_xlpm.DepreciationMonths,$C96&lt;=BW$8),$E96/_xlpm.DepreciationMonths,0))</f>
        <v>0</v>
      </c>
      <c r="BX96" s="507" cm="1">
        <f t="array" ref="BX96">_xlfn.LET(_xlpm.DepreciationMonths,INDEX(FixedAssets[Depreciation
/ Amortization Months],_xlfn.XMATCH($E$84,FixedAssets[Asset ID])),IF(AND((_xlfn.XMATCH(BX$8,$AH$8:$CC$8))-_xlfn.XMATCH($C96,$C$35:$C$82)+1&lt;=_xlpm.DepreciationMonths,$C96&lt;=BX$8),$E96/_xlpm.DepreciationMonths,0))</f>
        <v>0</v>
      </c>
      <c r="BY96" s="507" cm="1">
        <f t="array" ref="BY96">_xlfn.LET(_xlpm.DepreciationMonths,INDEX(FixedAssets[Depreciation
/ Amortization Months],_xlfn.XMATCH($E$84,FixedAssets[Asset ID])),IF(AND((_xlfn.XMATCH(BY$8,$AH$8:$CC$8))-_xlfn.XMATCH($C96,$C$35:$C$82)+1&lt;=_xlpm.DepreciationMonths,$C96&lt;=BY$8),$E96/_xlpm.DepreciationMonths,0))</f>
        <v>0</v>
      </c>
      <c r="BZ96" s="507" cm="1">
        <f t="array" ref="BZ96">_xlfn.LET(_xlpm.DepreciationMonths,INDEX(FixedAssets[Depreciation
/ Amortization Months],_xlfn.XMATCH($E$84,FixedAssets[Asset ID])),IF(AND((_xlfn.XMATCH(BZ$8,$AH$8:$CC$8))-_xlfn.XMATCH($C96,$C$35:$C$82)+1&lt;=_xlpm.DepreciationMonths,$C96&lt;=BZ$8),$E96/_xlpm.DepreciationMonths,0))</f>
        <v>0</v>
      </c>
      <c r="CA96" s="507" cm="1">
        <f t="array" ref="CA96">_xlfn.LET(_xlpm.DepreciationMonths,INDEX(FixedAssets[Depreciation
/ Amortization Months],_xlfn.XMATCH($E$84,FixedAssets[Asset ID])),IF(AND((_xlfn.XMATCH(CA$8,$AH$8:$CC$8))-_xlfn.XMATCH($C96,$C$35:$C$82)+1&lt;=_xlpm.DepreciationMonths,$C96&lt;=CA$8),$E96/_xlpm.DepreciationMonths,0))</f>
        <v>0</v>
      </c>
      <c r="CB96" s="507" cm="1">
        <f t="array" ref="CB96">_xlfn.LET(_xlpm.DepreciationMonths,INDEX(FixedAssets[Depreciation
/ Amortization Months],_xlfn.XMATCH($E$84,FixedAssets[Asset ID])),IF(AND((_xlfn.XMATCH(CB$8,$AH$8:$CC$8))-_xlfn.XMATCH($C96,$C$35:$C$82)+1&lt;=_xlpm.DepreciationMonths,$C96&lt;=CB$8),$E96/_xlpm.DepreciationMonths,0))</f>
        <v>0</v>
      </c>
      <c r="CC96" s="507" cm="1">
        <f t="array" ref="CC96">_xlfn.LET(_xlpm.DepreciationMonths,INDEX(FixedAssets[Depreciation
/ Amortization Months],_xlfn.XMATCH($E$84,FixedAssets[Asset ID])),IF(AND((_xlfn.XMATCH(CC$8,$AH$8:$CC$8))-_xlfn.XMATCH($C96,$C$35:$C$82)+1&lt;=_xlpm.DepreciationMonths,$C96&lt;=CC$8),$E96/_xlpm.DepreciationMonths,0))</f>
        <v>0</v>
      </c>
    </row>
    <row r="97" spans="3:81" hidden="1" outlineLevel="2">
      <c r="C97" s="664">
        <f t="shared" si="167"/>
        <v>45291</v>
      </c>
      <c r="D97" s="508"/>
      <c r="E97" s="508" cm="1">
        <f t="array" ref="E97">SUMPRODUCT(($AH$26:$CC$31)*($AH$5:$CC$5=$C97)*($E$26:$E$31=E$84))-SUMPRODUCT(($AH$26:$CC$31)*($AH$5:$CC$5=EOMONTH($C97,-1))*($E$26:$E$31=E$84))</f>
        <v>0</v>
      </c>
      <c r="F97" s="508"/>
      <c r="G97" s="508"/>
      <c r="H97" s="508"/>
      <c r="I97" s="508"/>
      <c r="J97" s="504">
        <f t="shared" si="164"/>
        <v>0</v>
      </c>
      <c r="K97" s="504">
        <f t="shared" si="165"/>
        <v>0</v>
      </c>
      <c r="L97" s="504">
        <f t="shared" si="165"/>
        <v>0</v>
      </c>
      <c r="M97" s="504">
        <f t="shared" si="165"/>
        <v>0</v>
      </c>
      <c r="N97" s="504"/>
      <c r="O97" s="504"/>
      <c r="P97" s="504">
        <f t="shared" si="166"/>
        <v>0</v>
      </c>
      <c r="Q97" s="504">
        <f t="shared" si="166"/>
        <v>0</v>
      </c>
      <c r="R97" s="504">
        <f t="shared" si="166"/>
        <v>0</v>
      </c>
      <c r="S97" s="504">
        <f t="shared" si="166"/>
        <v>0</v>
      </c>
      <c r="T97" s="504">
        <f t="shared" si="166"/>
        <v>0</v>
      </c>
      <c r="U97" s="504">
        <f t="shared" si="166"/>
        <v>0</v>
      </c>
      <c r="V97" s="504">
        <f t="shared" si="166"/>
        <v>0</v>
      </c>
      <c r="W97" s="504">
        <f t="shared" si="166"/>
        <v>0</v>
      </c>
      <c r="X97" s="504">
        <f t="shared" si="166"/>
        <v>0</v>
      </c>
      <c r="Y97" s="504">
        <f t="shared" si="166"/>
        <v>0</v>
      </c>
      <c r="Z97" s="504">
        <f t="shared" si="166"/>
        <v>0</v>
      </c>
      <c r="AA97" s="504">
        <f t="shared" si="166"/>
        <v>0</v>
      </c>
      <c r="AB97" s="504">
        <f t="shared" si="166"/>
        <v>0</v>
      </c>
      <c r="AC97" s="504">
        <f t="shared" si="166"/>
        <v>0</v>
      </c>
      <c r="AD97" s="504">
        <f t="shared" si="166"/>
        <v>0</v>
      </c>
      <c r="AE97" s="504">
        <f t="shared" si="166"/>
        <v>0</v>
      </c>
      <c r="AF97" s="508"/>
      <c r="AG97" s="508"/>
      <c r="AH97" s="507" cm="1">
        <f t="array" ref="AH97">_xlfn.LET(_xlpm.DepreciationMonths,INDEX(FixedAssets[Depreciation
/ Amortization Months],_xlfn.XMATCH($E$84,FixedAssets[Asset ID])),IF(AND((_xlfn.XMATCH(AH$8,$AH$8:$CC$8))-_xlfn.XMATCH($C97,$C$35:$C$82)+1&lt;=_xlpm.DepreciationMonths,$C97&lt;=AH$8),$E97/_xlpm.DepreciationMonths,0))</f>
        <v>0</v>
      </c>
      <c r="AI97" s="507" cm="1">
        <f t="array" ref="AI97">_xlfn.LET(_xlpm.DepreciationMonths,INDEX(FixedAssets[Depreciation
/ Amortization Months],_xlfn.XMATCH($E$84,FixedAssets[Asset ID])),IF(AND((_xlfn.XMATCH(AI$8,$AH$8:$CC$8))-_xlfn.XMATCH($C97,$C$35:$C$82)+1&lt;=_xlpm.DepreciationMonths,$C97&lt;=AI$8),$E97/_xlpm.DepreciationMonths,0))</f>
        <v>0</v>
      </c>
      <c r="AJ97" s="507" cm="1">
        <f t="array" ref="AJ97">_xlfn.LET(_xlpm.DepreciationMonths,INDEX(FixedAssets[Depreciation
/ Amortization Months],_xlfn.XMATCH($E$84,FixedAssets[Asset ID])),IF(AND((_xlfn.XMATCH(AJ$8,$AH$8:$CC$8))-_xlfn.XMATCH($C97,$C$35:$C$82)+1&lt;=_xlpm.DepreciationMonths,$C97&lt;=AJ$8),$E97/_xlpm.DepreciationMonths,0))</f>
        <v>0</v>
      </c>
      <c r="AK97" s="507" cm="1">
        <f t="array" ref="AK97">_xlfn.LET(_xlpm.DepreciationMonths,INDEX(FixedAssets[Depreciation
/ Amortization Months],_xlfn.XMATCH($E$84,FixedAssets[Asset ID])),IF(AND((_xlfn.XMATCH(AK$8,$AH$8:$CC$8))-_xlfn.XMATCH($C97,$C$35:$C$82)+1&lt;=_xlpm.DepreciationMonths,$C97&lt;=AK$8),$E97/_xlpm.DepreciationMonths,0))</f>
        <v>0</v>
      </c>
      <c r="AL97" s="507" cm="1">
        <f t="array" ref="AL97">_xlfn.LET(_xlpm.DepreciationMonths,INDEX(FixedAssets[Depreciation
/ Amortization Months],_xlfn.XMATCH($E$84,FixedAssets[Asset ID])),IF(AND((_xlfn.XMATCH(AL$8,$AH$8:$CC$8))-_xlfn.XMATCH($C97,$C$35:$C$82)+1&lt;=_xlpm.DepreciationMonths,$C97&lt;=AL$8),$E97/_xlpm.DepreciationMonths,0))</f>
        <v>0</v>
      </c>
      <c r="AM97" s="507" cm="1">
        <f t="array" ref="AM97">_xlfn.LET(_xlpm.DepreciationMonths,INDEX(FixedAssets[Depreciation
/ Amortization Months],_xlfn.XMATCH($E$84,FixedAssets[Asset ID])),IF(AND((_xlfn.XMATCH(AM$8,$AH$8:$CC$8))-_xlfn.XMATCH($C97,$C$35:$C$82)+1&lt;=_xlpm.DepreciationMonths,$C97&lt;=AM$8),$E97/_xlpm.DepreciationMonths,0))</f>
        <v>0</v>
      </c>
      <c r="AN97" s="507" cm="1">
        <f t="array" ref="AN97">_xlfn.LET(_xlpm.DepreciationMonths,INDEX(FixedAssets[Depreciation
/ Amortization Months],_xlfn.XMATCH($E$84,FixedAssets[Asset ID])),IF(AND((_xlfn.XMATCH(AN$8,$AH$8:$CC$8))-_xlfn.XMATCH($C97,$C$35:$C$82)+1&lt;=_xlpm.DepreciationMonths,$C97&lt;=AN$8),$E97/_xlpm.DepreciationMonths,0))</f>
        <v>0</v>
      </c>
      <c r="AO97" s="507" cm="1">
        <f t="array" ref="AO97">_xlfn.LET(_xlpm.DepreciationMonths,INDEX(FixedAssets[Depreciation
/ Amortization Months],_xlfn.XMATCH($E$84,FixedAssets[Asset ID])),IF(AND((_xlfn.XMATCH(AO$8,$AH$8:$CC$8))-_xlfn.XMATCH($C97,$C$35:$C$82)+1&lt;=_xlpm.DepreciationMonths,$C97&lt;=AO$8),$E97/_xlpm.DepreciationMonths,0))</f>
        <v>0</v>
      </c>
      <c r="AP97" s="507" cm="1">
        <f t="array" ref="AP97">_xlfn.LET(_xlpm.DepreciationMonths,INDEX(FixedAssets[Depreciation
/ Amortization Months],_xlfn.XMATCH($E$84,FixedAssets[Asset ID])),IF(AND((_xlfn.XMATCH(AP$8,$AH$8:$CC$8))-_xlfn.XMATCH($C97,$C$35:$C$82)+1&lt;=_xlpm.DepreciationMonths,$C97&lt;=AP$8),$E97/_xlpm.DepreciationMonths,0))</f>
        <v>0</v>
      </c>
      <c r="AQ97" s="507" cm="1">
        <f t="array" ref="AQ97">_xlfn.LET(_xlpm.DepreciationMonths,INDEX(FixedAssets[Depreciation
/ Amortization Months],_xlfn.XMATCH($E$84,FixedAssets[Asset ID])),IF(AND((_xlfn.XMATCH(AQ$8,$AH$8:$CC$8))-_xlfn.XMATCH($C97,$C$35:$C$82)+1&lt;=_xlpm.DepreciationMonths,$C97&lt;=AQ$8),$E97/_xlpm.DepreciationMonths,0))</f>
        <v>0</v>
      </c>
      <c r="AR97" s="507" cm="1">
        <f t="array" ref="AR97">_xlfn.LET(_xlpm.DepreciationMonths,INDEX(FixedAssets[Depreciation
/ Amortization Months],_xlfn.XMATCH($E$84,FixedAssets[Asset ID])),IF(AND((_xlfn.XMATCH(AR$8,$AH$8:$CC$8))-_xlfn.XMATCH($C97,$C$35:$C$82)+1&lt;=_xlpm.DepreciationMonths,$C97&lt;=AR$8),$E97/_xlpm.DepreciationMonths,0))</f>
        <v>0</v>
      </c>
      <c r="AS97" s="507" cm="1">
        <f t="array" ref="AS97">_xlfn.LET(_xlpm.DepreciationMonths,INDEX(FixedAssets[Depreciation
/ Amortization Months],_xlfn.XMATCH($E$84,FixedAssets[Asset ID])),IF(AND((_xlfn.XMATCH(AS$8,$AH$8:$CC$8))-_xlfn.XMATCH($C97,$C$35:$C$82)+1&lt;=_xlpm.DepreciationMonths,$C97&lt;=AS$8),$E97/_xlpm.DepreciationMonths,0))</f>
        <v>0</v>
      </c>
      <c r="AT97" s="507" cm="1">
        <f t="array" ref="AT97">_xlfn.LET(_xlpm.DepreciationMonths,INDEX(FixedAssets[Depreciation
/ Amortization Months],_xlfn.XMATCH($E$84,FixedAssets[Asset ID])),IF(AND((_xlfn.XMATCH(AT$8,$AH$8:$CC$8))-_xlfn.XMATCH($C97,$C$35:$C$82)+1&lt;=_xlpm.DepreciationMonths,$C97&lt;=AT$8),$E97/_xlpm.DepreciationMonths,0))</f>
        <v>0</v>
      </c>
      <c r="AU97" s="507" cm="1">
        <f t="array" ref="AU97">_xlfn.LET(_xlpm.DepreciationMonths,INDEX(FixedAssets[Depreciation
/ Amortization Months],_xlfn.XMATCH($E$84,FixedAssets[Asset ID])),IF(AND((_xlfn.XMATCH(AU$8,$AH$8:$CC$8))-_xlfn.XMATCH($C97,$C$35:$C$82)+1&lt;=_xlpm.DepreciationMonths,$C97&lt;=AU$8),$E97/_xlpm.DepreciationMonths,0))</f>
        <v>0</v>
      </c>
      <c r="AV97" s="507" cm="1">
        <f t="array" ref="AV97">_xlfn.LET(_xlpm.DepreciationMonths,INDEX(FixedAssets[Depreciation
/ Amortization Months],_xlfn.XMATCH($E$84,FixedAssets[Asset ID])),IF(AND((_xlfn.XMATCH(AV$8,$AH$8:$CC$8))-_xlfn.XMATCH($C97,$C$35:$C$82)+1&lt;=_xlpm.DepreciationMonths,$C97&lt;=AV$8),$E97/_xlpm.DepreciationMonths,0))</f>
        <v>0</v>
      </c>
      <c r="AW97" s="507" cm="1">
        <f t="array" ref="AW97">_xlfn.LET(_xlpm.DepreciationMonths,INDEX(FixedAssets[Depreciation
/ Amortization Months],_xlfn.XMATCH($E$84,FixedAssets[Asset ID])),IF(AND((_xlfn.XMATCH(AW$8,$AH$8:$CC$8))-_xlfn.XMATCH($C97,$C$35:$C$82)+1&lt;=_xlpm.DepreciationMonths,$C97&lt;=AW$8),$E97/_xlpm.DepreciationMonths,0))</f>
        <v>0</v>
      </c>
      <c r="AX97" s="507" cm="1">
        <f t="array" ref="AX97">_xlfn.LET(_xlpm.DepreciationMonths,INDEX(FixedAssets[Depreciation
/ Amortization Months],_xlfn.XMATCH($E$84,FixedAssets[Asset ID])),IF(AND((_xlfn.XMATCH(AX$8,$AH$8:$CC$8))-_xlfn.XMATCH($C97,$C$35:$C$82)+1&lt;=_xlpm.DepreciationMonths,$C97&lt;=AX$8),$E97/_xlpm.DepreciationMonths,0))</f>
        <v>0</v>
      </c>
      <c r="AY97" s="507" cm="1">
        <f t="array" ref="AY97">_xlfn.LET(_xlpm.DepreciationMonths,INDEX(FixedAssets[Depreciation
/ Amortization Months],_xlfn.XMATCH($E$84,FixedAssets[Asset ID])),IF(AND((_xlfn.XMATCH(AY$8,$AH$8:$CC$8))-_xlfn.XMATCH($C97,$C$35:$C$82)+1&lt;=_xlpm.DepreciationMonths,$C97&lt;=AY$8),$E97/_xlpm.DepreciationMonths,0))</f>
        <v>0</v>
      </c>
      <c r="AZ97" s="507" cm="1">
        <f t="array" ref="AZ97">_xlfn.LET(_xlpm.DepreciationMonths,INDEX(FixedAssets[Depreciation
/ Amortization Months],_xlfn.XMATCH($E$84,FixedAssets[Asset ID])),IF(AND((_xlfn.XMATCH(AZ$8,$AH$8:$CC$8))-_xlfn.XMATCH($C97,$C$35:$C$82)+1&lt;=_xlpm.DepreciationMonths,$C97&lt;=AZ$8),$E97/_xlpm.DepreciationMonths,0))</f>
        <v>0</v>
      </c>
      <c r="BA97" s="507" cm="1">
        <f t="array" ref="BA97">_xlfn.LET(_xlpm.DepreciationMonths,INDEX(FixedAssets[Depreciation
/ Amortization Months],_xlfn.XMATCH($E$84,FixedAssets[Asset ID])),IF(AND((_xlfn.XMATCH(BA$8,$AH$8:$CC$8))-_xlfn.XMATCH($C97,$C$35:$C$82)+1&lt;=_xlpm.DepreciationMonths,$C97&lt;=BA$8),$E97/_xlpm.DepreciationMonths,0))</f>
        <v>0</v>
      </c>
      <c r="BB97" s="507" cm="1">
        <f t="array" ref="BB97">_xlfn.LET(_xlpm.DepreciationMonths,INDEX(FixedAssets[Depreciation
/ Amortization Months],_xlfn.XMATCH($E$84,FixedAssets[Asset ID])),IF(AND((_xlfn.XMATCH(BB$8,$AH$8:$CC$8))-_xlfn.XMATCH($C97,$C$35:$C$82)+1&lt;=_xlpm.DepreciationMonths,$C97&lt;=BB$8),$E97/_xlpm.DepreciationMonths,0))</f>
        <v>0</v>
      </c>
      <c r="BC97" s="507" cm="1">
        <f t="array" ref="BC97">_xlfn.LET(_xlpm.DepreciationMonths,INDEX(FixedAssets[Depreciation
/ Amortization Months],_xlfn.XMATCH($E$84,FixedAssets[Asset ID])),IF(AND((_xlfn.XMATCH(BC$8,$AH$8:$CC$8))-_xlfn.XMATCH($C97,$C$35:$C$82)+1&lt;=_xlpm.DepreciationMonths,$C97&lt;=BC$8),$E97/_xlpm.DepreciationMonths,0))</f>
        <v>0</v>
      </c>
      <c r="BD97" s="507" cm="1">
        <f t="array" ref="BD97">_xlfn.LET(_xlpm.DepreciationMonths,INDEX(FixedAssets[Depreciation
/ Amortization Months],_xlfn.XMATCH($E$84,FixedAssets[Asset ID])),IF(AND((_xlfn.XMATCH(BD$8,$AH$8:$CC$8))-_xlfn.XMATCH($C97,$C$35:$C$82)+1&lt;=_xlpm.DepreciationMonths,$C97&lt;=BD$8),$E97/_xlpm.DepreciationMonths,0))</f>
        <v>0</v>
      </c>
      <c r="BE97" s="507" cm="1">
        <f t="array" ref="BE97">_xlfn.LET(_xlpm.DepreciationMonths,INDEX(FixedAssets[Depreciation
/ Amortization Months],_xlfn.XMATCH($E$84,FixedAssets[Asset ID])),IF(AND((_xlfn.XMATCH(BE$8,$AH$8:$CC$8))-_xlfn.XMATCH($C97,$C$35:$C$82)+1&lt;=_xlpm.DepreciationMonths,$C97&lt;=BE$8),$E97/_xlpm.DepreciationMonths,0))</f>
        <v>0</v>
      </c>
      <c r="BF97" s="507" cm="1">
        <f t="array" ref="BF97">_xlfn.LET(_xlpm.DepreciationMonths,INDEX(FixedAssets[Depreciation
/ Amortization Months],_xlfn.XMATCH($E$84,FixedAssets[Asset ID])),IF(AND((_xlfn.XMATCH(BF$8,$AH$8:$CC$8))-_xlfn.XMATCH($C97,$C$35:$C$82)+1&lt;=_xlpm.DepreciationMonths,$C97&lt;=BF$8),$E97/_xlpm.DepreciationMonths,0))</f>
        <v>0</v>
      </c>
      <c r="BG97" s="507" cm="1">
        <f t="array" ref="BG97">_xlfn.LET(_xlpm.DepreciationMonths,INDEX(FixedAssets[Depreciation
/ Amortization Months],_xlfn.XMATCH($E$84,FixedAssets[Asset ID])),IF(AND((_xlfn.XMATCH(BG$8,$AH$8:$CC$8))-_xlfn.XMATCH($C97,$C$35:$C$82)+1&lt;=_xlpm.DepreciationMonths,$C97&lt;=BG$8),$E97/_xlpm.DepreciationMonths,0))</f>
        <v>0</v>
      </c>
      <c r="BH97" s="507" cm="1">
        <f t="array" ref="BH97">_xlfn.LET(_xlpm.DepreciationMonths,INDEX(FixedAssets[Depreciation
/ Amortization Months],_xlfn.XMATCH($E$84,FixedAssets[Asset ID])),IF(AND((_xlfn.XMATCH(BH$8,$AH$8:$CC$8))-_xlfn.XMATCH($C97,$C$35:$C$82)+1&lt;=_xlpm.DepreciationMonths,$C97&lt;=BH$8),$E97/_xlpm.DepreciationMonths,0))</f>
        <v>0</v>
      </c>
      <c r="BI97" s="507" cm="1">
        <f t="array" ref="BI97">_xlfn.LET(_xlpm.DepreciationMonths,INDEX(FixedAssets[Depreciation
/ Amortization Months],_xlfn.XMATCH($E$84,FixedAssets[Asset ID])),IF(AND((_xlfn.XMATCH(BI$8,$AH$8:$CC$8))-_xlfn.XMATCH($C97,$C$35:$C$82)+1&lt;=_xlpm.DepreciationMonths,$C97&lt;=BI$8),$E97/_xlpm.DepreciationMonths,0))</f>
        <v>0</v>
      </c>
      <c r="BJ97" s="507" cm="1">
        <f t="array" ref="BJ97">_xlfn.LET(_xlpm.DepreciationMonths,INDEX(FixedAssets[Depreciation
/ Amortization Months],_xlfn.XMATCH($E$84,FixedAssets[Asset ID])),IF(AND((_xlfn.XMATCH(BJ$8,$AH$8:$CC$8))-_xlfn.XMATCH($C97,$C$35:$C$82)+1&lt;=_xlpm.DepreciationMonths,$C97&lt;=BJ$8),$E97/_xlpm.DepreciationMonths,0))</f>
        <v>0</v>
      </c>
      <c r="BK97" s="507" cm="1">
        <f t="array" ref="BK97">_xlfn.LET(_xlpm.DepreciationMonths,INDEX(FixedAssets[Depreciation
/ Amortization Months],_xlfn.XMATCH($E$84,FixedAssets[Asset ID])),IF(AND((_xlfn.XMATCH(BK$8,$AH$8:$CC$8))-_xlfn.XMATCH($C97,$C$35:$C$82)+1&lt;=_xlpm.DepreciationMonths,$C97&lt;=BK$8),$E97/_xlpm.DepreciationMonths,0))</f>
        <v>0</v>
      </c>
      <c r="BL97" s="507" cm="1">
        <f t="array" ref="BL97">_xlfn.LET(_xlpm.DepreciationMonths,INDEX(FixedAssets[Depreciation
/ Amortization Months],_xlfn.XMATCH($E$84,FixedAssets[Asset ID])),IF(AND((_xlfn.XMATCH(BL$8,$AH$8:$CC$8))-_xlfn.XMATCH($C97,$C$35:$C$82)+1&lt;=_xlpm.DepreciationMonths,$C97&lt;=BL$8),$E97/_xlpm.DepreciationMonths,0))</f>
        <v>0</v>
      </c>
      <c r="BM97" s="507" cm="1">
        <f t="array" ref="BM97">_xlfn.LET(_xlpm.DepreciationMonths,INDEX(FixedAssets[Depreciation
/ Amortization Months],_xlfn.XMATCH($E$84,FixedAssets[Asset ID])),IF(AND((_xlfn.XMATCH(BM$8,$AH$8:$CC$8))-_xlfn.XMATCH($C97,$C$35:$C$82)+1&lt;=_xlpm.DepreciationMonths,$C97&lt;=BM$8),$E97/_xlpm.DepreciationMonths,0))</f>
        <v>0</v>
      </c>
      <c r="BN97" s="507" cm="1">
        <f t="array" ref="BN97">_xlfn.LET(_xlpm.DepreciationMonths,INDEX(FixedAssets[Depreciation
/ Amortization Months],_xlfn.XMATCH($E$84,FixedAssets[Asset ID])),IF(AND((_xlfn.XMATCH(BN$8,$AH$8:$CC$8))-_xlfn.XMATCH($C97,$C$35:$C$82)+1&lt;=_xlpm.DepreciationMonths,$C97&lt;=BN$8),$E97/_xlpm.DepreciationMonths,0))</f>
        <v>0</v>
      </c>
      <c r="BO97" s="507" cm="1">
        <f t="array" ref="BO97">_xlfn.LET(_xlpm.DepreciationMonths,INDEX(FixedAssets[Depreciation
/ Amortization Months],_xlfn.XMATCH($E$84,FixedAssets[Asset ID])),IF(AND((_xlfn.XMATCH(BO$8,$AH$8:$CC$8))-_xlfn.XMATCH($C97,$C$35:$C$82)+1&lt;=_xlpm.DepreciationMonths,$C97&lt;=BO$8),$E97/_xlpm.DepreciationMonths,0))</f>
        <v>0</v>
      </c>
      <c r="BP97" s="507" cm="1">
        <f t="array" ref="BP97">_xlfn.LET(_xlpm.DepreciationMonths,INDEX(FixedAssets[Depreciation
/ Amortization Months],_xlfn.XMATCH($E$84,FixedAssets[Asset ID])),IF(AND((_xlfn.XMATCH(BP$8,$AH$8:$CC$8))-_xlfn.XMATCH($C97,$C$35:$C$82)+1&lt;=_xlpm.DepreciationMonths,$C97&lt;=BP$8),$E97/_xlpm.DepreciationMonths,0))</f>
        <v>0</v>
      </c>
      <c r="BQ97" s="507" cm="1">
        <f t="array" ref="BQ97">_xlfn.LET(_xlpm.DepreciationMonths,INDEX(FixedAssets[Depreciation
/ Amortization Months],_xlfn.XMATCH($E$84,FixedAssets[Asset ID])),IF(AND((_xlfn.XMATCH(BQ$8,$AH$8:$CC$8))-_xlfn.XMATCH($C97,$C$35:$C$82)+1&lt;=_xlpm.DepreciationMonths,$C97&lt;=BQ$8),$E97/_xlpm.DepreciationMonths,0))</f>
        <v>0</v>
      </c>
      <c r="BR97" s="507" cm="1">
        <f t="array" ref="BR97">_xlfn.LET(_xlpm.DepreciationMonths,INDEX(FixedAssets[Depreciation
/ Amortization Months],_xlfn.XMATCH($E$84,FixedAssets[Asset ID])),IF(AND((_xlfn.XMATCH(BR$8,$AH$8:$CC$8))-_xlfn.XMATCH($C97,$C$35:$C$82)+1&lt;=_xlpm.DepreciationMonths,$C97&lt;=BR$8),$E97/_xlpm.DepreciationMonths,0))</f>
        <v>0</v>
      </c>
      <c r="BS97" s="507" cm="1">
        <f t="array" ref="BS97">_xlfn.LET(_xlpm.DepreciationMonths,INDEX(FixedAssets[Depreciation
/ Amortization Months],_xlfn.XMATCH($E$84,FixedAssets[Asset ID])),IF(AND((_xlfn.XMATCH(BS$8,$AH$8:$CC$8))-_xlfn.XMATCH($C97,$C$35:$C$82)+1&lt;=_xlpm.DepreciationMonths,$C97&lt;=BS$8),$E97/_xlpm.DepreciationMonths,0))</f>
        <v>0</v>
      </c>
      <c r="BT97" s="507" cm="1">
        <f t="array" ref="BT97">_xlfn.LET(_xlpm.DepreciationMonths,INDEX(FixedAssets[Depreciation
/ Amortization Months],_xlfn.XMATCH($E$84,FixedAssets[Asset ID])),IF(AND((_xlfn.XMATCH(BT$8,$AH$8:$CC$8))-_xlfn.XMATCH($C97,$C$35:$C$82)+1&lt;=_xlpm.DepreciationMonths,$C97&lt;=BT$8),$E97/_xlpm.DepreciationMonths,0))</f>
        <v>0</v>
      </c>
      <c r="BU97" s="507" cm="1">
        <f t="array" ref="BU97">_xlfn.LET(_xlpm.DepreciationMonths,INDEX(FixedAssets[Depreciation
/ Amortization Months],_xlfn.XMATCH($E$84,FixedAssets[Asset ID])),IF(AND((_xlfn.XMATCH(BU$8,$AH$8:$CC$8))-_xlfn.XMATCH($C97,$C$35:$C$82)+1&lt;=_xlpm.DepreciationMonths,$C97&lt;=BU$8),$E97/_xlpm.DepreciationMonths,0))</f>
        <v>0</v>
      </c>
      <c r="BV97" s="507" cm="1">
        <f t="array" ref="BV97">_xlfn.LET(_xlpm.DepreciationMonths,INDEX(FixedAssets[Depreciation
/ Amortization Months],_xlfn.XMATCH($E$84,FixedAssets[Asset ID])),IF(AND((_xlfn.XMATCH(BV$8,$AH$8:$CC$8))-_xlfn.XMATCH($C97,$C$35:$C$82)+1&lt;=_xlpm.DepreciationMonths,$C97&lt;=BV$8),$E97/_xlpm.DepreciationMonths,0))</f>
        <v>0</v>
      </c>
      <c r="BW97" s="507" cm="1">
        <f t="array" ref="BW97">_xlfn.LET(_xlpm.DepreciationMonths,INDEX(FixedAssets[Depreciation
/ Amortization Months],_xlfn.XMATCH($E$84,FixedAssets[Asset ID])),IF(AND((_xlfn.XMATCH(BW$8,$AH$8:$CC$8))-_xlfn.XMATCH($C97,$C$35:$C$82)+1&lt;=_xlpm.DepreciationMonths,$C97&lt;=BW$8),$E97/_xlpm.DepreciationMonths,0))</f>
        <v>0</v>
      </c>
      <c r="BX97" s="507" cm="1">
        <f t="array" ref="BX97">_xlfn.LET(_xlpm.DepreciationMonths,INDEX(FixedAssets[Depreciation
/ Amortization Months],_xlfn.XMATCH($E$84,FixedAssets[Asset ID])),IF(AND((_xlfn.XMATCH(BX$8,$AH$8:$CC$8))-_xlfn.XMATCH($C97,$C$35:$C$82)+1&lt;=_xlpm.DepreciationMonths,$C97&lt;=BX$8),$E97/_xlpm.DepreciationMonths,0))</f>
        <v>0</v>
      </c>
      <c r="BY97" s="507" cm="1">
        <f t="array" ref="BY97">_xlfn.LET(_xlpm.DepreciationMonths,INDEX(FixedAssets[Depreciation
/ Amortization Months],_xlfn.XMATCH($E$84,FixedAssets[Asset ID])),IF(AND((_xlfn.XMATCH(BY$8,$AH$8:$CC$8))-_xlfn.XMATCH($C97,$C$35:$C$82)+1&lt;=_xlpm.DepreciationMonths,$C97&lt;=BY$8),$E97/_xlpm.DepreciationMonths,0))</f>
        <v>0</v>
      </c>
      <c r="BZ97" s="507" cm="1">
        <f t="array" ref="BZ97">_xlfn.LET(_xlpm.DepreciationMonths,INDEX(FixedAssets[Depreciation
/ Amortization Months],_xlfn.XMATCH($E$84,FixedAssets[Asset ID])),IF(AND((_xlfn.XMATCH(BZ$8,$AH$8:$CC$8))-_xlfn.XMATCH($C97,$C$35:$C$82)+1&lt;=_xlpm.DepreciationMonths,$C97&lt;=BZ$8),$E97/_xlpm.DepreciationMonths,0))</f>
        <v>0</v>
      </c>
      <c r="CA97" s="507" cm="1">
        <f t="array" ref="CA97">_xlfn.LET(_xlpm.DepreciationMonths,INDEX(FixedAssets[Depreciation
/ Amortization Months],_xlfn.XMATCH($E$84,FixedAssets[Asset ID])),IF(AND((_xlfn.XMATCH(CA$8,$AH$8:$CC$8))-_xlfn.XMATCH($C97,$C$35:$C$82)+1&lt;=_xlpm.DepreciationMonths,$C97&lt;=CA$8),$E97/_xlpm.DepreciationMonths,0))</f>
        <v>0</v>
      </c>
      <c r="CB97" s="507" cm="1">
        <f t="array" ref="CB97">_xlfn.LET(_xlpm.DepreciationMonths,INDEX(FixedAssets[Depreciation
/ Amortization Months],_xlfn.XMATCH($E$84,FixedAssets[Asset ID])),IF(AND((_xlfn.XMATCH(CB$8,$AH$8:$CC$8))-_xlfn.XMATCH($C97,$C$35:$C$82)+1&lt;=_xlpm.DepreciationMonths,$C97&lt;=CB$8),$E97/_xlpm.DepreciationMonths,0))</f>
        <v>0</v>
      </c>
      <c r="CC97" s="507" cm="1">
        <f t="array" ref="CC97">_xlfn.LET(_xlpm.DepreciationMonths,INDEX(FixedAssets[Depreciation
/ Amortization Months],_xlfn.XMATCH($E$84,FixedAssets[Asset ID])),IF(AND((_xlfn.XMATCH(CC$8,$AH$8:$CC$8))-_xlfn.XMATCH($C97,$C$35:$C$82)+1&lt;=_xlpm.DepreciationMonths,$C97&lt;=CC$8),$E97/_xlpm.DepreciationMonths,0))</f>
        <v>0</v>
      </c>
    </row>
    <row r="98" spans="3:81" hidden="1" outlineLevel="2">
      <c r="C98" s="664">
        <f t="shared" si="167"/>
        <v>45322</v>
      </c>
      <c r="D98" s="508"/>
      <c r="E98" s="508" cm="1">
        <f t="array" ref="E98">SUMPRODUCT(($AH$26:$CC$31)*($AH$5:$CC$5=$C98)*($E$26:$E$31=E$84))-SUMPRODUCT(($AH$26:$CC$31)*($AH$5:$CC$5=EOMONTH($C98,-1))*($E$26:$E$31=E$84))</f>
        <v>10000</v>
      </c>
      <c r="F98" s="508"/>
      <c r="G98" s="508"/>
      <c r="H98" s="508"/>
      <c r="I98" s="508"/>
      <c r="J98" s="504">
        <f t="shared" si="164"/>
        <v>0</v>
      </c>
      <c r="K98" s="504">
        <f t="shared" si="165"/>
        <v>3333.3333333333335</v>
      </c>
      <c r="L98" s="504">
        <f t="shared" si="165"/>
        <v>3333.3333333333335</v>
      </c>
      <c r="M98" s="504">
        <f t="shared" si="165"/>
        <v>3333.3333333333335</v>
      </c>
      <c r="N98" s="504"/>
      <c r="O98" s="504"/>
      <c r="P98" s="504">
        <f t="shared" si="166"/>
        <v>0</v>
      </c>
      <c r="Q98" s="504">
        <f t="shared" si="166"/>
        <v>0</v>
      </c>
      <c r="R98" s="504">
        <f t="shared" si="166"/>
        <v>0</v>
      </c>
      <c r="S98" s="504">
        <f t="shared" si="166"/>
        <v>0</v>
      </c>
      <c r="T98" s="504">
        <f t="shared" si="166"/>
        <v>833.33333333333326</v>
      </c>
      <c r="U98" s="504">
        <f t="shared" si="166"/>
        <v>833.33333333333326</v>
      </c>
      <c r="V98" s="504">
        <f t="shared" si="166"/>
        <v>833.33333333333326</v>
      </c>
      <c r="W98" s="504">
        <f t="shared" si="166"/>
        <v>833.33333333333326</v>
      </c>
      <c r="X98" s="504">
        <f t="shared" si="166"/>
        <v>833.33333333333326</v>
      </c>
      <c r="Y98" s="504">
        <f t="shared" si="166"/>
        <v>833.33333333333326</v>
      </c>
      <c r="Z98" s="504">
        <f t="shared" si="166"/>
        <v>833.33333333333326</v>
      </c>
      <c r="AA98" s="504">
        <f t="shared" si="166"/>
        <v>833.33333333333326</v>
      </c>
      <c r="AB98" s="504">
        <f t="shared" si="166"/>
        <v>833.33333333333326</v>
      </c>
      <c r="AC98" s="504">
        <f t="shared" si="166"/>
        <v>833.33333333333326</v>
      </c>
      <c r="AD98" s="504">
        <f t="shared" si="166"/>
        <v>833.33333333333326</v>
      </c>
      <c r="AE98" s="504">
        <f t="shared" si="166"/>
        <v>833.33333333333326</v>
      </c>
      <c r="AF98" s="508"/>
      <c r="AG98" s="508"/>
      <c r="AH98" s="507" cm="1">
        <f t="array" ref="AH98">_xlfn.LET(_xlpm.DepreciationMonths,INDEX(FixedAssets[Depreciation
/ Amortization Months],_xlfn.XMATCH($E$84,FixedAssets[Asset ID])),IF(AND((_xlfn.XMATCH(AH$8,$AH$8:$CC$8))-_xlfn.XMATCH($C98,$C$35:$C$82)+1&lt;=_xlpm.DepreciationMonths,$C98&lt;=AH$8),$E98/_xlpm.DepreciationMonths,0))</f>
        <v>0</v>
      </c>
      <c r="AI98" s="507" cm="1">
        <f t="array" ref="AI98">_xlfn.LET(_xlpm.DepreciationMonths,INDEX(FixedAssets[Depreciation
/ Amortization Months],_xlfn.XMATCH($E$84,FixedAssets[Asset ID])),IF(AND((_xlfn.XMATCH(AI$8,$AH$8:$CC$8))-_xlfn.XMATCH($C98,$C$35:$C$82)+1&lt;=_xlpm.DepreciationMonths,$C98&lt;=AI$8),$E98/_xlpm.DepreciationMonths,0))</f>
        <v>0</v>
      </c>
      <c r="AJ98" s="507" cm="1">
        <f t="array" ref="AJ98">_xlfn.LET(_xlpm.DepreciationMonths,INDEX(FixedAssets[Depreciation
/ Amortization Months],_xlfn.XMATCH($E$84,FixedAssets[Asset ID])),IF(AND((_xlfn.XMATCH(AJ$8,$AH$8:$CC$8))-_xlfn.XMATCH($C98,$C$35:$C$82)+1&lt;=_xlpm.DepreciationMonths,$C98&lt;=AJ$8),$E98/_xlpm.DepreciationMonths,0))</f>
        <v>0</v>
      </c>
      <c r="AK98" s="507" cm="1">
        <f t="array" ref="AK98">_xlfn.LET(_xlpm.DepreciationMonths,INDEX(FixedAssets[Depreciation
/ Amortization Months],_xlfn.XMATCH($E$84,FixedAssets[Asset ID])),IF(AND((_xlfn.XMATCH(AK$8,$AH$8:$CC$8))-_xlfn.XMATCH($C98,$C$35:$C$82)+1&lt;=_xlpm.DepreciationMonths,$C98&lt;=AK$8),$E98/_xlpm.DepreciationMonths,0))</f>
        <v>0</v>
      </c>
      <c r="AL98" s="507" cm="1">
        <f t="array" ref="AL98">_xlfn.LET(_xlpm.DepreciationMonths,INDEX(FixedAssets[Depreciation
/ Amortization Months],_xlfn.XMATCH($E$84,FixedAssets[Asset ID])),IF(AND((_xlfn.XMATCH(AL$8,$AH$8:$CC$8))-_xlfn.XMATCH($C98,$C$35:$C$82)+1&lt;=_xlpm.DepreciationMonths,$C98&lt;=AL$8),$E98/_xlpm.DepreciationMonths,0))</f>
        <v>0</v>
      </c>
      <c r="AM98" s="507" cm="1">
        <f t="array" ref="AM98">_xlfn.LET(_xlpm.DepreciationMonths,INDEX(FixedAssets[Depreciation
/ Amortization Months],_xlfn.XMATCH($E$84,FixedAssets[Asset ID])),IF(AND((_xlfn.XMATCH(AM$8,$AH$8:$CC$8))-_xlfn.XMATCH($C98,$C$35:$C$82)+1&lt;=_xlpm.DepreciationMonths,$C98&lt;=AM$8),$E98/_xlpm.DepreciationMonths,0))</f>
        <v>0</v>
      </c>
      <c r="AN98" s="507" cm="1">
        <f t="array" ref="AN98">_xlfn.LET(_xlpm.DepreciationMonths,INDEX(FixedAssets[Depreciation
/ Amortization Months],_xlfn.XMATCH($E$84,FixedAssets[Asset ID])),IF(AND((_xlfn.XMATCH(AN$8,$AH$8:$CC$8))-_xlfn.XMATCH($C98,$C$35:$C$82)+1&lt;=_xlpm.DepreciationMonths,$C98&lt;=AN$8),$E98/_xlpm.DepreciationMonths,0))</f>
        <v>0</v>
      </c>
      <c r="AO98" s="507" cm="1">
        <f t="array" ref="AO98">_xlfn.LET(_xlpm.DepreciationMonths,INDEX(FixedAssets[Depreciation
/ Amortization Months],_xlfn.XMATCH($E$84,FixedAssets[Asset ID])),IF(AND((_xlfn.XMATCH(AO$8,$AH$8:$CC$8))-_xlfn.XMATCH($C98,$C$35:$C$82)+1&lt;=_xlpm.DepreciationMonths,$C98&lt;=AO$8),$E98/_xlpm.DepreciationMonths,0))</f>
        <v>0</v>
      </c>
      <c r="AP98" s="507" cm="1">
        <f t="array" ref="AP98">_xlfn.LET(_xlpm.DepreciationMonths,INDEX(FixedAssets[Depreciation
/ Amortization Months],_xlfn.XMATCH($E$84,FixedAssets[Asset ID])),IF(AND((_xlfn.XMATCH(AP$8,$AH$8:$CC$8))-_xlfn.XMATCH($C98,$C$35:$C$82)+1&lt;=_xlpm.DepreciationMonths,$C98&lt;=AP$8),$E98/_xlpm.DepreciationMonths,0))</f>
        <v>0</v>
      </c>
      <c r="AQ98" s="507" cm="1">
        <f t="array" ref="AQ98">_xlfn.LET(_xlpm.DepreciationMonths,INDEX(FixedAssets[Depreciation
/ Amortization Months],_xlfn.XMATCH($E$84,FixedAssets[Asset ID])),IF(AND((_xlfn.XMATCH(AQ$8,$AH$8:$CC$8))-_xlfn.XMATCH($C98,$C$35:$C$82)+1&lt;=_xlpm.DepreciationMonths,$C98&lt;=AQ$8),$E98/_xlpm.DepreciationMonths,0))</f>
        <v>0</v>
      </c>
      <c r="AR98" s="507" cm="1">
        <f t="array" ref="AR98">_xlfn.LET(_xlpm.DepreciationMonths,INDEX(FixedAssets[Depreciation
/ Amortization Months],_xlfn.XMATCH($E$84,FixedAssets[Asset ID])),IF(AND((_xlfn.XMATCH(AR$8,$AH$8:$CC$8))-_xlfn.XMATCH($C98,$C$35:$C$82)+1&lt;=_xlpm.DepreciationMonths,$C98&lt;=AR$8),$E98/_xlpm.DepreciationMonths,0))</f>
        <v>0</v>
      </c>
      <c r="AS98" s="507" cm="1">
        <f t="array" ref="AS98">_xlfn.LET(_xlpm.DepreciationMonths,INDEX(FixedAssets[Depreciation
/ Amortization Months],_xlfn.XMATCH($E$84,FixedAssets[Asset ID])),IF(AND((_xlfn.XMATCH(AS$8,$AH$8:$CC$8))-_xlfn.XMATCH($C98,$C$35:$C$82)+1&lt;=_xlpm.DepreciationMonths,$C98&lt;=AS$8),$E98/_xlpm.DepreciationMonths,0))</f>
        <v>0</v>
      </c>
      <c r="AT98" s="507" cm="1">
        <f t="array" ref="AT98">_xlfn.LET(_xlpm.DepreciationMonths,INDEX(FixedAssets[Depreciation
/ Amortization Months],_xlfn.XMATCH($E$84,FixedAssets[Asset ID])),IF(AND((_xlfn.XMATCH(AT$8,$AH$8:$CC$8))-_xlfn.XMATCH($C98,$C$35:$C$82)+1&lt;=_xlpm.DepreciationMonths,$C98&lt;=AT$8),$E98/_xlpm.DepreciationMonths,0))</f>
        <v>277.77777777777777</v>
      </c>
      <c r="AU98" s="507" cm="1">
        <f t="array" ref="AU98">_xlfn.LET(_xlpm.DepreciationMonths,INDEX(FixedAssets[Depreciation
/ Amortization Months],_xlfn.XMATCH($E$84,FixedAssets[Asset ID])),IF(AND((_xlfn.XMATCH(AU$8,$AH$8:$CC$8))-_xlfn.XMATCH($C98,$C$35:$C$82)+1&lt;=_xlpm.DepreciationMonths,$C98&lt;=AU$8),$E98/_xlpm.DepreciationMonths,0))</f>
        <v>277.77777777777777</v>
      </c>
      <c r="AV98" s="507" cm="1">
        <f t="array" ref="AV98">_xlfn.LET(_xlpm.DepreciationMonths,INDEX(FixedAssets[Depreciation
/ Amortization Months],_xlfn.XMATCH($E$84,FixedAssets[Asset ID])),IF(AND((_xlfn.XMATCH(AV$8,$AH$8:$CC$8))-_xlfn.XMATCH($C98,$C$35:$C$82)+1&lt;=_xlpm.DepreciationMonths,$C98&lt;=AV$8),$E98/_xlpm.DepreciationMonths,0))</f>
        <v>277.77777777777777</v>
      </c>
      <c r="AW98" s="507" cm="1">
        <f t="array" ref="AW98">_xlfn.LET(_xlpm.DepreciationMonths,INDEX(FixedAssets[Depreciation
/ Amortization Months],_xlfn.XMATCH($E$84,FixedAssets[Asset ID])),IF(AND((_xlfn.XMATCH(AW$8,$AH$8:$CC$8))-_xlfn.XMATCH($C98,$C$35:$C$82)+1&lt;=_xlpm.DepreciationMonths,$C98&lt;=AW$8),$E98/_xlpm.DepreciationMonths,0))</f>
        <v>277.77777777777777</v>
      </c>
      <c r="AX98" s="507" cm="1">
        <f t="array" ref="AX98">_xlfn.LET(_xlpm.DepreciationMonths,INDEX(FixedAssets[Depreciation
/ Amortization Months],_xlfn.XMATCH($E$84,FixedAssets[Asset ID])),IF(AND((_xlfn.XMATCH(AX$8,$AH$8:$CC$8))-_xlfn.XMATCH($C98,$C$35:$C$82)+1&lt;=_xlpm.DepreciationMonths,$C98&lt;=AX$8),$E98/_xlpm.DepreciationMonths,0))</f>
        <v>277.77777777777777</v>
      </c>
      <c r="AY98" s="507" cm="1">
        <f t="array" ref="AY98">_xlfn.LET(_xlpm.DepreciationMonths,INDEX(FixedAssets[Depreciation
/ Amortization Months],_xlfn.XMATCH($E$84,FixedAssets[Asset ID])),IF(AND((_xlfn.XMATCH(AY$8,$AH$8:$CC$8))-_xlfn.XMATCH($C98,$C$35:$C$82)+1&lt;=_xlpm.DepreciationMonths,$C98&lt;=AY$8),$E98/_xlpm.DepreciationMonths,0))</f>
        <v>277.77777777777777</v>
      </c>
      <c r="AZ98" s="507" cm="1">
        <f t="array" ref="AZ98">_xlfn.LET(_xlpm.DepreciationMonths,INDEX(FixedAssets[Depreciation
/ Amortization Months],_xlfn.XMATCH($E$84,FixedAssets[Asset ID])),IF(AND((_xlfn.XMATCH(AZ$8,$AH$8:$CC$8))-_xlfn.XMATCH($C98,$C$35:$C$82)+1&lt;=_xlpm.DepreciationMonths,$C98&lt;=AZ$8),$E98/_xlpm.DepreciationMonths,0))</f>
        <v>277.77777777777777</v>
      </c>
      <c r="BA98" s="507" cm="1">
        <f t="array" ref="BA98">_xlfn.LET(_xlpm.DepreciationMonths,INDEX(FixedAssets[Depreciation
/ Amortization Months],_xlfn.XMATCH($E$84,FixedAssets[Asset ID])),IF(AND((_xlfn.XMATCH(BA$8,$AH$8:$CC$8))-_xlfn.XMATCH($C98,$C$35:$C$82)+1&lt;=_xlpm.DepreciationMonths,$C98&lt;=BA$8),$E98/_xlpm.DepreciationMonths,0))</f>
        <v>277.77777777777777</v>
      </c>
      <c r="BB98" s="507" cm="1">
        <f t="array" ref="BB98">_xlfn.LET(_xlpm.DepreciationMonths,INDEX(FixedAssets[Depreciation
/ Amortization Months],_xlfn.XMATCH($E$84,FixedAssets[Asset ID])),IF(AND((_xlfn.XMATCH(BB$8,$AH$8:$CC$8))-_xlfn.XMATCH($C98,$C$35:$C$82)+1&lt;=_xlpm.DepreciationMonths,$C98&lt;=BB$8),$E98/_xlpm.DepreciationMonths,0))</f>
        <v>277.77777777777777</v>
      </c>
      <c r="BC98" s="507" cm="1">
        <f t="array" ref="BC98">_xlfn.LET(_xlpm.DepreciationMonths,INDEX(FixedAssets[Depreciation
/ Amortization Months],_xlfn.XMATCH($E$84,FixedAssets[Asset ID])),IF(AND((_xlfn.XMATCH(BC$8,$AH$8:$CC$8))-_xlfn.XMATCH($C98,$C$35:$C$82)+1&lt;=_xlpm.DepreciationMonths,$C98&lt;=BC$8),$E98/_xlpm.DepreciationMonths,0))</f>
        <v>277.77777777777777</v>
      </c>
      <c r="BD98" s="507" cm="1">
        <f t="array" ref="BD98">_xlfn.LET(_xlpm.DepreciationMonths,INDEX(FixedAssets[Depreciation
/ Amortization Months],_xlfn.XMATCH($E$84,FixedAssets[Asset ID])),IF(AND((_xlfn.XMATCH(BD$8,$AH$8:$CC$8))-_xlfn.XMATCH($C98,$C$35:$C$82)+1&lt;=_xlpm.DepreciationMonths,$C98&lt;=BD$8),$E98/_xlpm.DepreciationMonths,0))</f>
        <v>277.77777777777777</v>
      </c>
      <c r="BE98" s="507" cm="1">
        <f t="array" ref="BE98">_xlfn.LET(_xlpm.DepreciationMonths,INDEX(FixedAssets[Depreciation
/ Amortization Months],_xlfn.XMATCH($E$84,FixedAssets[Asset ID])),IF(AND((_xlfn.XMATCH(BE$8,$AH$8:$CC$8))-_xlfn.XMATCH($C98,$C$35:$C$82)+1&lt;=_xlpm.DepreciationMonths,$C98&lt;=BE$8),$E98/_xlpm.DepreciationMonths,0))</f>
        <v>277.77777777777777</v>
      </c>
      <c r="BF98" s="507" cm="1">
        <f t="array" ref="BF98">_xlfn.LET(_xlpm.DepreciationMonths,INDEX(FixedAssets[Depreciation
/ Amortization Months],_xlfn.XMATCH($E$84,FixedAssets[Asset ID])),IF(AND((_xlfn.XMATCH(BF$8,$AH$8:$CC$8))-_xlfn.XMATCH($C98,$C$35:$C$82)+1&lt;=_xlpm.DepreciationMonths,$C98&lt;=BF$8),$E98/_xlpm.DepreciationMonths,0))</f>
        <v>277.77777777777777</v>
      </c>
      <c r="BG98" s="507" cm="1">
        <f t="array" ref="BG98">_xlfn.LET(_xlpm.DepreciationMonths,INDEX(FixedAssets[Depreciation
/ Amortization Months],_xlfn.XMATCH($E$84,FixedAssets[Asset ID])),IF(AND((_xlfn.XMATCH(BG$8,$AH$8:$CC$8))-_xlfn.XMATCH($C98,$C$35:$C$82)+1&lt;=_xlpm.DepreciationMonths,$C98&lt;=BG$8),$E98/_xlpm.DepreciationMonths,0))</f>
        <v>277.77777777777777</v>
      </c>
      <c r="BH98" s="507" cm="1">
        <f t="array" ref="BH98">_xlfn.LET(_xlpm.DepreciationMonths,INDEX(FixedAssets[Depreciation
/ Amortization Months],_xlfn.XMATCH($E$84,FixedAssets[Asset ID])),IF(AND((_xlfn.XMATCH(BH$8,$AH$8:$CC$8))-_xlfn.XMATCH($C98,$C$35:$C$82)+1&lt;=_xlpm.DepreciationMonths,$C98&lt;=BH$8),$E98/_xlpm.DepreciationMonths,0))</f>
        <v>277.77777777777777</v>
      </c>
      <c r="BI98" s="507" cm="1">
        <f t="array" ref="BI98">_xlfn.LET(_xlpm.DepreciationMonths,INDEX(FixedAssets[Depreciation
/ Amortization Months],_xlfn.XMATCH($E$84,FixedAssets[Asset ID])),IF(AND((_xlfn.XMATCH(BI$8,$AH$8:$CC$8))-_xlfn.XMATCH($C98,$C$35:$C$82)+1&lt;=_xlpm.DepreciationMonths,$C98&lt;=BI$8),$E98/_xlpm.DepreciationMonths,0))</f>
        <v>277.77777777777777</v>
      </c>
      <c r="BJ98" s="507" cm="1">
        <f t="array" ref="BJ98">_xlfn.LET(_xlpm.DepreciationMonths,INDEX(FixedAssets[Depreciation
/ Amortization Months],_xlfn.XMATCH($E$84,FixedAssets[Asset ID])),IF(AND((_xlfn.XMATCH(BJ$8,$AH$8:$CC$8))-_xlfn.XMATCH($C98,$C$35:$C$82)+1&lt;=_xlpm.DepreciationMonths,$C98&lt;=BJ$8),$E98/_xlpm.DepreciationMonths,0))</f>
        <v>277.77777777777777</v>
      </c>
      <c r="BK98" s="507" cm="1">
        <f t="array" ref="BK98">_xlfn.LET(_xlpm.DepreciationMonths,INDEX(FixedAssets[Depreciation
/ Amortization Months],_xlfn.XMATCH($E$84,FixedAssets[Asset ID])),IF(AND((_xlfn.XMATCH(BK$8,$AH$8:$CC$8))-_xlfn.XMATCH($C98,$C$35:$C$82)+1&lt;=_xlpm.DepreciationMonths,$C98&lt;=BK$8),$E98/_xlpm.DepreciationMonths,0))</f>
        <v>277.77777777777777</v>
      </c>
      <c r="BL98" s="507" cm="1">
        <f t="array" ref="BL98">_xlfn.LET(_xlpm.DepreciationMonths,INDEX(FixedAssets[Depreciation
/ Amortization Months],_xlfn.XMATCH($E$84,FixedAssets[Asset ID])),IF(AND((_xlfn.XMATCH(BL$8,$AH$8:$CC$8))-_xlfn.XMATCH($C98,$C$35:$C$82)+1&lt;=_xlpm.DepreciationMonths,$C98&lt;=BL$8),$E98/_xlpm.DepreciationMonths,0))</f>
        <v>277.77777777777777</v>
      </c>
      <c r="BM98" s="507" cm="1">
        <f t="array" ref="BM98">_xlfn.LET(_xlpm.DepreciationMonths,INDEX(FixedAssets[Depreciation
/ Amortization Months],_xlfn.XMATCH($E$84,FixedAssets[Asset ID])),IF(AND((_xlfn.XMATCH(BM$8,$AH$8:$CC$8))-_xlfn.XMATCH($C98,$C$35:$C$82)+1&lt;=_xlpm.DepreciationMonths,$C98&lt;=BM$8),$E98/_xlpm.DepreciationMonths,0))</f>
        <v>277.77777777777777</v>
      </c>
      <c r="BN98" s="507" cm="1">
        <f t="array" ref="BN98">_xlfn.LET(_xlpm.DepreciationMonths,INDEX(FixedAssets[Depreciation
/ Amortization Months],_xlfn.XMATCH($E$84,FixedAssets[Asset ID])),IF(AND((_xlfn.XMATCH(BN$8,$AH$8:$CC$8))-_xlfn.XMATCH($C98,$C$35:$C$82)+1&lt;=_xlpm.DepreciationMonths,$C98&lt;=BN$8),$E98/_xlpm.DepreciationMonths,0))</f>
        <v>277.77777777777777</v>
      </c>
      <c r="BO98" s="507" cm="1">
        <f t="array" ref="BO98">_xlfn.LET(_xlpm.DepreciationMonths,INDEX(FixedAssets[Depreciation
/ Amortization Months],_xlfn.XMATCH($E$84,FixedAssets[Asset ID])),IF(AND((_xlfn.XMATCH(BO$8,$AH$8:$CC$8))-_xlfn.XMATCH($C98,$C$35:$C$82)+1&lt;=_xlpm.DepreciationMonths,$C98&lt;=BO$8),$E98/_xlpm.DepreciationMonths,0))</f>
        <v>277.77777777777777</v>
      </c>
      <c r="BP98" s="507" cm="1">
        <f t="array" ref="BP98">_xlfn.LET(_xlpm.DepreciationMonths,INDEX(FixedAssets[Depreciation
/ Amortization Months],_xlfn.XMATCH($E$84,FixedAssets[Asset ID])),IF(AND((_xlfn.XMATCH(BP$8,$AH$8:$CC$8))-_xlfn.XMATCH($C98,$C$35:$C$82)+1&lt;=_xlpm.DepreciationMonths,$C98&lt;=BP$8),$E98/_xlpm.DepreciationMonths,0))</f>
        <v>277.77777777777777</v>
      </c>
      <c r="BQ98" s="507" cm="1">
        <f t="array" ref="BQ98">_xlfn.LET(_xlpm.DepreciationMonths,INDEX(FixedAssets[Depreciation
/ Amortization Months],_xlfn.XMATCH($E$84,FixedAssets[Asset ID])),IF(AND((_xlfn.XMATCH(BQ$8,$AH$8:$CC$8))-_xlfn.XMATCH($C98,$C$35:$C$82)+1&lt;=_xlpm.DepreciationMonths,$C98&lt;=BQ$8),$E98/_xlpm.DepreciationMonths,0))</f>
        <v>277.77777777777777</v>
      </c>
      <c r="BR98" s="507" cm="1">
        <f t="array" ref="BR98">_xlfn.LET(_xlpm.DepreciationMonths,INDEX(FixedAssets[Depreciation
/ Amortization Months],_xlfn.XMATCH($E$84,FixedAssets[Asset ID])),IF(AND((_xlfn.XMATCH(BR$8,$AH$8:$CC$8))-_xlfn.XMATCH($C98,$C$35:$C$82)+1&lt;=_xlpm.DepreciationMonths,$C98&lt;=BR$8),$E98/_xlpm.DepreciationMonths,0))</f>
        <v>277.77777777777777</v>
      </c>
      <c r="BS98" s="507" cm="1">
        <f t="array" ref="BS98">_xlfn.LET(_xlpm.DepreciationMonths,INDEX(FixedAssets[Depreciation
/ Amortization Months],_xlfn.XMATCH($E$84,FixedAssets[Asset ID])),IF(AND((_xlfn.XMATCH(BS$8,$AH$8:$CC$8))-_xlfn.XMATCH($C98,$C$35:$C$82)+1&lt;=_xlpm.DepreciationMonths,$C98&lt;=BS$8),$E98/_xlpm.DepreciationMonths,0))</f>
        <v>277.77777777777777</v>
      </c>
      <c r="BT98" s="507" cm="1">
        <f t="array" ref="BT98">_xlfn.LET(_xlpm.DepreciationMonths,INDEX(FixedAssets[Depreciation
/ Amortization Months],_xlfn.XMATCH($E$84,FixedAssets[Asset ID])),IF(AND((_xlfn.XMATCH(BT$8,$AH$8:$CC$8))-_xlfn.XMATCH($C98,$C$35:$C$82)+1&lt;=_xlpm.DepreciationMonths,$C98&lt;=BT$8),$E98/_xlpm.DepreciationMonths,0))</f>
        <v>277.77777777777777</v>
      </c>
      <c r="BU98" s="507" cm="1">
        <f t="array" ref="BU98">_xlfn.LET(_xlpm.DepreciationMonths,INDEX(FixedAssets[Depreciation
/ Amortization Months],_xlfn.XMATCH($E$84,FixedAssets[Asset ID])),IF(AND((_xlfn.XMATCH(BU$8,$AH$8:$CC$8))-_xlfn.XMATCH($C98,$C$35:$C$82)+1&lt;=_xlpm.DepreciationMonths,$C98&lt;=BU$8),$E98/_xlpm.DepreciationMonths,0))</f>
        <v>277.77777777777777</v>
      </c>
      <c r="BV98" s="507" cm="1">
        <f t="array" ref="BV98">_xlfn.LET(_xlpm.DepreciationMonths,INDEX(FixedAssets[Depreciation
/ Amortization Months],_xlfn.XMATCH($E$84,FixedAssets[Asset ID])),IF(AND((_xlfn.XMATCH(BV$8,$AH$8:$CC$8))-_xlfn.XMATCH($C98,$C$35:$C$82)+1&lt;=_xlpm.DepreciationMonths,$C98&lt;=BV$8),$E98/_xlpm.DepreciationMonths,0))</f>
        <v>277.77777777777777</v>
      </c>
      <c r="BW98" s="507" cm="1">
        <f t="array" ref="BW98">_xlfn.LET(_xlpm.DepreciationMonths,INDEX(FixedAssets[Depreciation
/ Amortization Months],_xlfn.XMATCH($E$84,FixedAssets[Asset ID])),IF(AND((_xlfn.XMATCH(BW$8,$AH$8:$CC$8))-_xlfn.XMATCH($C98,$C$35:$C$82)+1&lt;=_xlpm.DepreciationMonths,$C98&lt;=BW$8),$E98/_xlpm.DepreciationMonths,0))</f>
        <v>277.77777777777777</v>
      </c>
      <c r="BX98" s="507" cm="1">
        <f t="array" ref="BX98">_xlfn.LET(_xlpm.DepreciationMonths,INDEX(FixedAssets[Depreciation
/ Amortization Months],_xlfn.XMATCH($E$84,FixedAssets[Asset ID])),IF(AND((_xlfn.XMATCH(BX$8,$AH$8:$CC$8))-_xlfn.XMATCH($C98,$C$35:$C$82)+1&lt;=_xlpm.DepreciationMonths,$C98&lt;=BX$8),$E98/_xlpm.DepreciationMonths,0))</f>
        <v>277.77777777777777</v>
      </c>
      <c r="BY98" s="507" cm="1">
        <f t="array" ref="BY98">_xlfn.LET(_xlpm.DepreciationMonths,INDEX(FixedAssets[Depreciation
/ Amortization Months],_xlfn.XMATCH($E$84,FixedAssets[Asset ID])),IF(AND((_xlfn.XMATCH(BY$8,$AH$8:$CC$8))-_xlfn.XMATCH($C98,$C$35:$C$82)+1&lt;=_xlpm.DepreciationMonths,$C98&lt;=BY$8),$E98/_xlpm.DepreciationMonths,0))</f>
        <v>277.77777777777777</v>
      </c>
      <c r="BZ98" s="507" cm="1">
        <f t="array" ref="BZ98">_xlfn.LET(_xlpm.DepreciationMonths,INDEX(FixedAssets[Depreciation
/ Amortization Months],_xlfn.XMATCH($E$84,FixedAssets[Asset ID])),IF(AND((_xlfn.XMATCH(BZ$8,$AH$8:$CC$8))-_xlfn.XMATCH($C98,$C$35:$C$82)+1&lt;=_xlpm.DepreciationMonths,$C98&lt;=BZ$8),$E98/_xlpm.DepreciationMonths,0))</f>
        <v>277.77777777777777</v>
      </c>
      <c r="CA98" s="507" cm="1">
        <f t="array" ref="CA98">_xlfn.LET(_xlpm.DepreciationMonths,INDEX(FixedAssets[Depreciation
/ Amortization Months],_xlfn.XMATCH($E$84,FixedAssets[Asset ID])),IF(AND((_xlfn.XMATCH(CA$8,$AH$8:$CC$8))-_xlfn.XMATCH($C98,$C$35:$C$82)+1&lt;=_xlpm.DepreciationMonths,$C98&lt;=CA$8),$E98/_xlpm.DepreciationMonths,0))</f>
        <v>277.77777777777777</v>
      </c>
      <c r="CB98" s="507" cm="1">
        <f t="array" ref="CB98">_xlfn.LET(_xlpm.DepreciationMonths,INDEX(FixedAssets[Depreciation
/ Amortization Months],_xlfn.XMATCH($E$84,FixedAssets[Asset ID])),IF(AND((_xlfn.XMATCH(CB$8,$AH$8:$CC$8))-_xlfn.XMATCH($C98,$C$35:$C$82)+1&lt;=_xlpm.DepreciationMonths,$C98&lt;=CB$8),$E98/_xlpm.DepreciationMonths,0))</f>
        <v>277.77777777777777</v>
      </c>
      <c r="CC98" s="507" cm="1">
        <f t="array" ref="CC98">_xlfn.LET(_xlpm.DepreciationMonths,INDEX(FixedAssets[Depreciation
/ Amortization Months],_xlfn.XMATCH($E$84,FixedAssets[Asset ID])),IF(AND((_xlfn.XMATCH(CC$8,$AH$8:$CC$8))-_xlfn.XMATCH($C98,$C$35:$C$82)+1&lt;=_xlpm.DepreciationMonths,$C98&lt;=CC$8),$E98/_xlpm.DepreciationMonths,0))</f>
        <v>277.77777777777777</v>
      </c>
    </row>
    <row r="99" spans="3:81" hidden="1" outlineLevel="2">
      <c r="C99" s="664">
        <f t="shared" si="167"/>
        <v>45351</v>
      </c>
      <c r="D99" s="508"/>
      <c r="E99" s="508" cm="1">
        <f t="array" ref="E99">SUMPRODUCT(($AH$26:$CC$31)*($AH$5:$CC$5=$C99)*($E$26:$E$31=E$84))-SUMPRODUCT(($AH$26:$CC$31)*($AH$5:$CC$5=EOMONTH($C99,-1))*($E$26:$E$31=E$84))</f>
        <v>-10000</v>
      </c>
      <c r="F99" s="508"/>
      <c r="G99" s="508"/>
      <c r="H99" s="508"/>
      <c r="I99" s="508"/>
      <c r="J99" s="504">
        <f t="shared" si="164"/>
        <v>0</v>
      </c>
      <c r="K99" s="504">
        <f t="shared" si="165"/>
        <v>-3055.5555555555557</v>
      </c>
      <c r="L99" s="504">
        <f t="shared" si="165"/>
        <v>-3333.3333333333335</v>
      </c>
      <c r="M99" s="504">
        <f t="shared" si="165"/>
        <v>-3333.3333333333335</v>
      </c>
      <c r="N99" s="504"/>
      <c r="O99" s="504"/>
      <c r="P99" s="504">
        <f t="shared" si="166"/>
        <v>0</v>
      </c>
      <c r="Q99" s="504">
        <f t="shared" si="166"/>
        <v>0</v>
      </c>
      <c r="R99" s="504">
        <f t="shared" si="166"/>
        <v>0</v>
      </c>
      <c r="S99" s="504">
        <f t="shared" si="166"/>
        <v>0</v>
      </c>
      <c r="T99" s="504">
        <f t="shared" si="166"/>
        <v>-555.55555555555554</v>
      </c>
      <c r="U99" s="504">
        <f t="shared" si="166"/>
        <v>-833.33333333333326</v>
      </c>
      <c r="V99" s="504">
        <f t="shared" si="166"/>
        <v>-833.33333333333326</v>
      </c>
      <c r="W99" s="504">
        <f t="shared" si="166"/>
        <v>-833.33333333333326</v>
      </c>
      <c r="X99" s="504">
        <f t="shared" si="166"/>
        <v>-833.33333333333326</v>
      </c>
      <c r="Y99" s="504">
        <f t="shared" si="166"/>
        <v>-833.33333333333326</v>
      </c>
      <c r="Z99" s="504">
        <f t="shared" si="166"/>
        <v>-833.33333333333326</v>
      </c>
      <c r="AA99" s="504">
        <f t="shared" si="166"/>
        <v>-833.33333333333326</v>
      </c>
      <c r="AB99" s="504">
        <f t="shared" si="166"/>
        <v>-833.33333333333326</v>
      </c>
      <c r="AC99" s="504">
        <f t="shared" si="166"/>
        <v>-833.33333333333326</v>
      </c>
      <c r="AD99" s="504">
        <f t="shared" si="166"/>
        <v>-833.33333333333326</v>
      </c>
      <c r="AE99" s="504">
        <f t="shared" si="166"/>
        <v>-833.33333333333326</v>
      </c>
      <c r="AF99" s="508"/>
      <c r="AG99" s="508"/>
      <c r="AH99" s="507" cm="1">
        <f t="array" ref="AH99">_xlfn.LET(_xlpm.DepreciationMonths,INDEX(FixedAssets[Depreciation
/ Amortization Months],_xlfn.XMATCH($E$84,FixedAssets[Asset ID])),IF(AND((_xlfn.XMATCH(AH$8,$AH$8:$CC$8))-_xlfn.XMATCH($C99,$C$35:$C$82)+1&lt;=_xlpm.DepreciationMonths,$C99&lt;=AH$8),$E99/_xlpm.DepreciationMonths,0))</f>
        <v>0</v>
      </c>
      <c r="AI99" s="507" cm="1">
        <f t="array" ref="AI99">_xlfn.LET(_xlpm.DepreciationMonths,INDEX(FixedAssets[Depreciation
/ Amortization Months],_xlfn.XMATCH($E$84,FixedAssets[Asset ID])),IF(AND((_xlfn.XMATCH(AI$8,$AH$8:$CC$8))-_xlfn.XMATCH($C99,$C$35:$C$82)+1&lt;=_xlpm.DepreciationMonths,$C99&lt;=AI$8),$E99/_xlpm.DepreciationMonths,0))</f>
        <v>0</v>
      </c>
      <c r="AJ99" s="507" cm="1">
        <f t="array" ref="AJ99">_xlfn.LET(_xlpm.DepreciationMonths,INDEX(FixedAssets[Depreciation
/ Amortization Months],_xlfn.XMATCH($E$84,FixedAssets[Asset ID])),IF(AND((_xlfn.XMATCH(AJ$8,$AH$8:$CC$8))-_xlfn.XMATCH($C99,$C$35:$C$82)+1&lt;=_xlpm.DepreciationMonths,$C99&lt;=AJ$8),$E99/_xlpm.DepreciationMonths,0))</f>
        <v>0</v>
      </c>
      <c r="AK99" s="507" cm="1">
        <f t="array" ref="AK99">_xlfn.LET(_xlpm.DepreciationMonths,INDEX(FixedAssets[Depreciation
/ Amortization Months],_xlfn.XMATCH($E$84,FixedAssets[Asset ID])),IF(AND((_xlfn.XMATCH(AK$8,$AH$8:$CC$8))-_xlfn.XMATCH($C99,$C$35:$C$82)+1&lt;=_xlpm.DepreciationMonths,$C99&lt;=AK$8),$E99/_xlpm.DepreciationMonths,0))</f>
        <v>0</v>
      </c>
      <c r="AL99" s="507" cm="1">
        <f t="array" ref="AL99">_xlfn.LET(_xlpm.DepreciationMonths,INDEX(FixedAssets[Depreciation
/ Amortization Months],_xlfn.XMATCH($E$84,FixedAssets[Asset ID])),IF(AND((_xlfn.XMATCH(AL$8,$AH$8:$CC$8))-_xlfn.XMATCH($C99,$C$35:$C$82)+1&lt;=_xlpm.DepreciationMonths,$C99&lt;=AL$8),$E99/_xlpm.DepreciationMonths,0))</f>
        <v>0</v>
      </c>
      <c r="AM99" s="507" cm="1">
        <f t="array" ref="AM99">_xlfn.LET(_xlpm.DepreciationMonths,INDEX(FixedAssets[Depreciation
/ Amortization Months],_xlfn.XMATCH($E$84,FixedAssets[Asset ID])),IF(AND((_xlfn.XMATCH(AM$8,$AH$8:$CC$8))-_xlfn.XMATCH($C99,$C$35:$C$82)+1&lt;=_xlpm.DepreciationMonths,$C99&lt;=AM$8),$E99/_xlpm.DepreciationMonths,0))</f>
        <v>0</v>
      </c>
      <c r="AN99" s="507" cm="1">
        <f t="array" ref="AN99">_xlfn.LET(_xlpm.DepreciationMonths,INDEX(FixedAssets[Depreciation
/ Amortization Months],_xlfn.XMATCH($E$84,FixedAssets[Asset ID])),IF(AND((_xlfn.XMATCH(AN$8,$AH$8:$CC$8))-_xlfn.XMATCH($C99,$C$35:$C$82)+1&lt;=_xlpm.DepreciationMonths,$C99&lt;=AN$8),$E99/_xlpm.DepreciationMonths,0))</f>
        <v>0</v>
      </c>
      <c r="AO99" s="507" cm="1">
        <f t="array" ref="AO99">_xlfn.LET(_xlpm.DepreciationMonths,INDEX(FixedAssets[Depreciation
/ Amortization Months],_xlfn.XMATCH($E$84,FixedAssets[Asset ID])),IF(AND((_xlfn.XMATCH(AO$8,$AH$8:$CC$8))-_xlfn.XMATCH($C99,$C$35:$C$82)+1&lt;=_xlpm.DepreciationMonths,$C99&lt;=AO$8),$E99/_xlpm.DepreciationMonths,0))</f>
        <v>0</v>
      </c>
      <c r="AP99" s="507" cm="1">
        <f t="array" ref="AP99">_xlfn.LET(_xlpm.DepreciationMonths,INDEX(FixedAssets[Depreciation
/ Amortization Months],_xlfn.XMATCH($E$84,FixedAssets[Asset ID])),IF(AND((_xlfn.XMATCH(AP$8,$AH$8:$CC$8))-_xlfn.XMATCH($C99,$C$35:$C$82)+1&lt;=_xlpm.DepreciationMonths,$C99&lt;=AP$8),$E99/_xlpm.DepreciationMonths,0))</f>
        <v>0</v>
      </c>
      <c r="AQ99" s="507" cm="1">
        <f t="array" ref="AQ99">_xlfn.LET(_xlpm.DepreciationMonths,INDEX(FixedAssets[Depreciation
/ Amortization Months],_xlfn.XMATCH($E$84,FixedAssets[Asset ID])),IF(AND((_xlfn.XMATCH(AQ$8,$AH$8:$CC$8))-_xlfn.XMATCH($C99,$C$35:$C$82)+1&lt;=_xlpm.DepreciationMonths,$C99&lt;=AQ$8),$E99/_xlpm.DepreciationMonths,0))</f>
        <v>0</v>
      </c>
      <c r="AR99" s="507" cm="1">
        <f t="array" ref="AR99">_xlfn.LET(_xlpm.DepreciationMonths,INDEX(FixedAssets[Depreciation
/ Amortization Months],_xlfn.XMATCH($E$84,FixedAssets[Asset ID])),IF(AND((_xlfn.XMATCH(AR$8,$AH$8:$CC$8))-_xlfn.XMATCH($C99,$C$35:$C$82)+1&lt;=_xlpm.DepreciationMonths,$C99&lt;=AR$8),$E99/_xlpm.DepreciationMonths,0))</f>
        <v>0</v>
      </c>
      <c r="AS99" s="507" cm="1">
        <f t="array" ref="AS99">_xlfn.LET(_xlpm.DepreciationMonths,INDEX(FixedAssets[Depreciation
/ Amortization Months],_xlfn.XMATCH($E$84,FixedAssets[Asset ID])),IF(AND((_xlfn.XMATCH(AS$8,$AH$8:$CC$8))-_xlfn.XMATCH($C99,$C$35:$C$82)+1&lt;=_xlpm.DepreciationMonths,$C99&lt;=AS$8),$E99/_xlpm.DepreciationMonths,0))</f>
        <v>0</v>
      </c>
      <c r="AT99" s="507" cm="1">
        <f t="array" ref="AT99">_xlfn.LET(_xlpm.DepreciationMonths,INDEX(FixedAssets[Depreciation
/ Amortization Months],_xlfn.XMATCH($E$84,FixedAssets[Asset ID])),IF(AND((_xlfn.XMATCH(AT$8,$AH$8:$CC$8))-_xlfn.XMATCH($C99,$C$35:$C$82)+1&lt;=_xlpm.DepreciationMonths,$C99&lt;=AT$8),$E99/_xlpm.DepreciationMonths,0))</f>
        <v>0</v>
      </c>
      <c r="AU99" s="507" cm="1">
        <f t="array" ref="AU99">_xlfn.LET(_xlpm.DepreciationMonths,INDEX(FixedAssets[Depreciation
/ Amortization Months],_xlfn.XMATCH($E$84,FixedAssets[Asset ID])),IF(AND((_xlfn.XMATCH(AU$8,$AH$8:$CC$8))-_xlfn.XMATCH($C99,$C$35:$C$82)+1&lt;=_xlpm.DepreciationMonths,$C99&lt;=AU$8),$E99/_xlpm.DepreciationMonths,0))</f>
        <v>-277.77777777777777</v>
      </c>
      <c r="AV99" s="507" cm="1">
        <f t="array" ref="AV99">_xlfn.LET(_xlpm.DepreciationMonths,INDEX(FixedAssets[Depreciation
/ Amortization Months],_xlfn.XMATCH($E$84,FixedAssets[Asset ID])),IF(AND((_xlfn.XMATCH(AV$8,$AH$8:$CC$8))-_xlfn.XMATCH($C99,$C$35:$C$82)+1&lt;=_xlpm.DepreciationMonths,$C99&lt;=AV$8),$E99/_xlpm.DepreciationMonths,0))</f>
        <v>-277.77777777777777</v>
      </c>
      <c r="AW99" s="507" cm="1">
        <f t="array" ref="AW99">_xlfn.LET(_xlpm.DepreciationMonths,INDEX(FixedAssets[Depreciation
/ Amortization Months],_xlfn.XMATCH($E$84,FixedAssets[Asset ID])),IF(AND((_xlfn.XMATCH(AW$8,$AH$8:$CC$8))-_xlfn.XMATCH($C99,$C$35:$C$82)+1&lt;=_xlpm.DepreciationMonths,$C99&lt;=AW$8),$E99/_xlpm.DepreciationMonths,0))</f>
        <v>-277.77777777777777</v>
      </c>
      <c r="AX99" s="507" cm="1">
        <f t="array" ref="AX99">_xlfn.LET(_xlpm.DepreciationMonths,INDEX(FixedAssets[Depreciation
/ Amortization Months],_xlfn.XMATCH($E$84,FixedAssets[Asset ID])),IF(AND((_xlfn.XMATCH(AX$8,$AH$8:$CC$8))-_xlfn.XMATCH($C99,$C$35:$C$82)+1&lt;=_xlpm.DepreciationMonths,$C99&lt;=AX$8),$E99/_xlpm.DepreciationMonths,0))</f>
        <v>-277.77777777777777</v>
      </c>
      <c r="AY99" s="507" cm="1">
        <f t="array" ref="AY99">_xlfn.LET(_xlpm.DepreciationMonths,INDEX(FixedAssets[Depreciation
/ Amortization Months],_xlfn.XMATCH($E$84,FixedAssets[Asset ID])),IF(AND((_xlfn.XMATCH(AY$8,$AH$8:$CC$8))-_xlfn.XMATCH($C99,$C$35:$C$82)+1&lt;=_xlpm.DepreciationMonths,$C99&lt;=AY$8),$E99/_xlpm.DepreciationMonths,0))</f>
        <v>-277.77777777777777</v>
      </c>
      <c r="AZ99" s="507" cm="1">
        <f t="array" ref="AZ99">_xlfn.LET(_xlpm.DepreciationMonths,INDEX(FixedAssets[Depreciation
/ Amortization Months],_xlfn.XMATCH($E$84,FixedAssets[Asset ID])),IF(AND((_xlfn.XMATCH(AZ$8,$AH$8:$CC$8))-_xlfn.XMATCH($C99,$C$35:$C$82)+1&lt;=_xlpm.DepreciationMonths,$C99&lt;=AZ$8),$E99/_xlpm.DepreciationMonths,0))</f>
        <v>-277.77777777777777</v>
      </c>
      <c r="BA99" s="507" cm="1">
        <f t="array" ref="BA99">_xlfn.LET(_xlpm.DepreciationMonths,INDEX(FixedAssets[Depreciation
/ Amortization Months],_xlfn.XMATCH($E$84,FixedAssets[Asset ID])),IF(AND((_xlfn.XMATCH(BA$8,$AH$8:$CC$8))-_xlfn.XMATCH($C99,$C$35:$C$82)+1&lt;=_xlpm.DepreciationMonths,$C99&lt;=BA$8),$E99/_xlpm.DepreciationMonths,0))</f>
        <v>-277.77777777777777</v>
      </c>
      <c r="BB99" s="507" cm="1">
        <f t="array" ref="BB99">_xlfn.LET(_xlpm.DepreciationMonths,INDEX(FixedAssets[Depreciation
/ Amortization Months],_xlfn.XMATCH($E$84,FixedAssets[Asset ID])),IF(AND((_xlfn.XMATCH(BB$8,$AH$8:$CC$8))-_xlfn.XMATCH($C99,$C$35:$C$82)+1&lt;=_xlpm.DepreciationMonths,$C99&lt;=BB$8),$E99/_xlpm.DepreciationMonths,0))</f>
        <v>-277.77777777777777</v>
      </c>
      <c r="BC99" s="507" cm="1">
        <f t="array" ref="BC99">_xlfn.LET(_xlpm.DepreciationMonths,INDEX(FixedAssets[Depreciation
/ Amortization Months],_xlfn.XMATCH($E$84,FixedAssets[Asset ID])),IF(AND((_xlfn.XMATCH(BC$8,$AH$8:$CC$8))-_xlfn.XMATCH($C99,$C$35:$C$82)+1&lt;=_xlpm.DepreciationMonths,$C99&lt;=BC$8),$E99/_xlpm.DepreciationMonths,0))</f>
        <v>-277.77777777777777</v>
      </c>
      <c r="BD99" s="507" cm="1">
        <f t="array" ref="BD99">_xlfn.LET(_xlpm.DepreciationMonths,INDEX(FixedAssets[Depreciation
/ Amortization Months],_xlfn.XMATCH($E$84,FixedAssets[Asset ID])),IF(AND((_xlfn.XMATCH(BD$8,$AH$8:$CC$8))-_xlfn.XMATCH($C99,$C$35:$C$82)+1&lt;=_xlpm.DepreciationMonths,$C99&lt;=BD$8),$E99/_xlpm.DepreciationMonths,0))</f>
        <v>-277.77777777777777</v>
      </c>
      <c r="BE99" s="507" cm="1">
        <f t="array" ref="BE99">_xlfn.LET(_xlpm.DepreciationMonths,INDEX(FixedAssets[Depreciation
/ Amortization Months],_xlfn.XMATCH($E$84,FixedAssets[Asset ID])),IF(AND((_xlfn.XMATCH(BE$8,$AH$8:$CC$8))-_xlfn.XMATCH($C99,$C$35:$C$82)+1&lt;=_xlpm.DepreciationMonths,$C99&lt;=BE$8),$E99/_xlpm.DepreciationMonths,0))</f>
        <v>-277.77777777777777</v>
      </c>
      <c r="BF99" s="507" cm="1">
        <f t="array" ref="BF99">_xlfn.LET(_xlpm.DepreciationMonths,INDEX(FixedAssets[Depreciation
/ Amortization Months],_xlfn.XMATCH($E$84,FixedAssets[Asset ID])),IF(AND((_xlfn.XMATCH(BF$8,$AH$8:$CC$8))-_xlfn.XMATCH($C99,$C$35:$C$82)+1&lt;=_xlpm.DepreciationMonths,$C99&lt;=BF$8),$E99/_xlpm.DepreciationMonths,0))</f>
        <v>-277.77777777777777</v>
      </c>
      <c r="BG99" s="507" cm="1">
        <f t="array" ref="BG99">_xlfn.LET(_xlpm.DepreciationMonths,INDEX(FixedAssets[Depreciation
/ Amortization Months],_xlfn.XMATCH($E$84,FixedAssets[Asset ID])),IF(AND((_xlfn.XMATCH(BG$8,$AH$8:$CC$8))-_xlfn.XMATCH($C99,$C$35:$C$82)+1&lt;=_xlpm.DepreciationMonths,$C99&lt;=BG$8),$E99/_xlpm.DepreciationMonths,0))</f>
        <v>-277.77777777777777</v>
      </c>
      <c r="BH99" s="507" cm="1">
        <f t="array" ref="BH99">_xlfn.LET(_xlpm.DepreciationMonths,INDEX(FixedAssets[Depreciation
/ Amortization Months],_xlfn.XMATCH($E$84,FixedAssets[Asset ID])),IF(AND((_xlfn.XMATCH(BH$8,$AH$8:$CC$8))-_xlfn.XMATCH($C99,$C$35:$C$82)+1&lt;=_xlpm.DepreciationMonths,$C99&lt;=BH$8),$E99/_xlpm.DepreciationMonths,0))</f>
        <v>-277.77777777777777</v>
      </c>
      <c r="BI99" s="507" cm="1">
        <f t="array" ref="BI99">_xlfn.LET(_xlpm.DepreciationMonths,INDEX(FixedAssets[Depreciation
/ Amortization Months],_xlfn.XMATCH($E$84,FixedAssets[Asset ID])),IF(AND((_xlfn.XMATCH(BI$8,$AH$8:$CC$8))-_xlfn.XMATCH($C99,$C$35:$C$82)+1&lt;=_xlpm.DepreciationMonths,$C99&lt;=BI$8),$E99/_xlpm.DepreciationMonths,0))</f>
        <v>-277.77777777777777</v>
      </c>
      <c r="BJ99" s="507" cm="1">
        <f t="array" ref="BJ99">_xlfn.LET(_xlpm.DepreciationMonths,INDEX(FixedAssets[Depreciation
/ Amortization Months],_xlfn.XMATCH($E$84,FixedAssets[Asset ID])),IF(AND((_xlfn.XMATCH(BJ$8,$AH$8:$CC$8))-_xlfn.XMATCH($C99,$C$35:$C$82)+1&lt;=_xlpm.DepreciationMonths,$C99&lt;=BJ$8),$E99/_xlpm.DepreciationMonths,0))</f>
        <v>-277.77777777777777</v>
      </c>
      <c r="BK99" s="507" cm="1">
        <f t="array" ref="BK99">_xlfn.LET(_xlpm.DepreciationMonths,INDEX(FixedAssets[Depreciation
/ Amortization Months],_xlfn.XMATCH($E$84,FixedAssets[Asset ID])),IF(AND((_xlfn.XMATCH(BK$8,$AH$8:$CC$8))-_xlfn.XMATCH($C99,$C$35:$C$82)+1&lt;=_xlpm.DepreciationMonths,$C99&lt;=BK$8),$E99/_xlpm.DepreciationMonths,0))</f>
        <v>-277.77777777777777</v>
      </c>
      <c r="BL99" s="507" cm="1">
        <f t="array" ref="BL99">_xlfn.LET(_xlpm.DepreciationMonths,INDEX(FixedAssets[Depreciation
/ Amortization Months],_xlfn.XMATCH($E$84,FixedAssets[Asset ID])),IF(AND((_xlfn.XMATCH(BL$8,$AH$8:$CC$8))-_xlfn.XMATCH($C99,$C$35:$C$82)+1&lt;=_xlpm.DepreciationMonths,$C99&lt;=BL$8),$E99/_xlpm.DepreciationMonths,0))</f>
        <v>-277.77777777777777</v>
      </c>
      <c r="BM99" s="507" cm="1">
        <f t="array" ref="BM99">_xlfn.LET(_xlpm.DepreciationMonths,INDEX(FixedAssets[Depreciation
/ Amortization Months],_xlfn.XMATCH($E$84,FixedAssets[Asset ID])),IF(AND((_xlfn.XMATCH(BM$8,$AH$8:$CC$8))-_xlfn.XMATCH($C99,$C$35:$C$82)+1&lt;=_xlpm.DepreciationMonths,$C99&lt;=BM$8),$E99/_xlpm.DepreciationMonths,0))</f>
        <v>-277.77777777777777</v>
      </c>
      <c r="BN99" s="507" cm="1">
        <f t="array" ref="BN99">_xlfn.LET(_xlpm.DepreciationMonths,INDEX(FixedAssets[Depreciation
/ Amortization Months],_xlfn.XMATCH($E$84,FixedAssets[Asset ID])),IF(AND((_xlfn.XMATCH(BN$8,$AH$8:$CC$8))-_xlfn.XMATCH($C99,$C$35:$C$82)+1&lt;=_xlpm.DepreciationMonths,$C99&lt;=BN$8),$E99/_xlpm.DepreciationMonths,0))</f>
        <v>-277.77777777777777</v>
      </c>
      <c r="BO99" s="507" cm="1">
        <f t="array" ref="BO99">_xlfn.LET(_xlpm.DepreciationMonths,INDEX(FixedAssets[Depreciation
/ Amortization Months],_xlfn.XMATCH($E$84,FixedAssets[Asset ID])),IF(AND((_xlfn.XMATCH(BO$8,$AH$8:$CC$8))-_xlfn.XMATCH($C99,$C$35:$C$82)+1&lt;=_xlpm.DepreciationMonths,$C99&lt;=BO$8),$E99/_xlpm.DepreciationMonths,0))</f>
        <v>-277.77777777777777</v>
      </c>
      <c r="BP99" s="507" cm="1">
        <f t="array" ref="BP99">_xlfn.LET(_xlpm.DepreciationMonths,INDEX(FixedAssets[Depreciation
/ Amortization Months],_xlfn.XMATCH($E$84,FixedAssets[Asset ID])),IF(AND((_xlfn.XMATCH(BP$8,$AH$8:$CC$8))-_xlfn.XMATCH($C99,$C$35:$C$82)+1&lt;=_xlpm.DepreciationMonths,$C99&lt;=BP$8),$E99/_xlpm.DepreciationMonths,0))</f>
        <v>-277.77777777777777</v>
      </c>
      <c r="BQ99" s="507" cm="1">
        <f t="array" ref="BQ99">_xlfn.LET(_xlpm.DepreciationMonths,INDEX(FixedAssets[Depreciation
/ Amortization Months],_xlfn.XMATCH($E$84,FixedAssets[Asset ID])),IF(AND((_xlfn.XMATCH(BQ$8,$AH$8:$CC$8))-_xlfn.XMATCH($C99,$C$35:$C$82)+1&lt;=_xlpm.DepreciationMonths,$C99&lt;=BQ$8),$E99/_xlpm.DepreciationMonths,0))</f>
        <v>-277.77777777777777</v>
      </c>
      <c r="BR99" s="507" cm="1">
        <f t="array" ref="BR99">_xlfn.LET(_xlpm.DepreciationMonths,INDEX(FixedAssets[Depreciation
/ Amortization Months],_xlfn.XMATCH($E$84,FixedAssets[Asset ID])),IF(AND((_xlfn.XMATCH(BR$8,$AH$8:$CC$8))-_xlfn.XMATCH($C99,$C$35:$C$82)+1&lt;=_xlpm.DepreciationMonths,$C99&lt;=BR$8),$E99/_xlpm.DepreciationMonths,0))</f>
        <v>-277.77777777777777</v>
      </c>
      <c r="BS99" s="507" cm="1">
        <f t="array" ref="BS99">_xlfn.LET(_xlpm.DepreciationMonths,INDEX(FixedAssets[Depreciation
/ Amortization Months],_xlfn.XMATCH($E$84,FixedAssets[Asset ID])),IF(AND((_xlfn.XMATCH(BS$8,$AH$8:$CC$8))-_xlfn.XMATCH($C99,$C$35:$C$82)+1&lt;=_xlpm.DepreciationMonths,$C99&lt;=BS$8),$E99/_xlpm.DepreciationMonths,0))</f>
        <v>-277.77777777777777</v>
      </c>
      <c r="BT99" s="507" cm="1">
        <f t="array" ref="BT99">_xlfn.LET(_xlpm.DepreciationMonths,INDEX(FixedAssets[Depreciation
/ Amortization Months],_xlfn.XMATCH($E$84,FixedAssets[Asset ID])),IF(AND((_xlfn.XMATCH(BT$8,$AH$8:$CC$8))-_xlfn.XMATCH($C99,$C$35:$C$82)+1&lt;=_xlpm.DepreciationMonths,$C99&lt;=BT$8),$E99/_xlpm.DepreciationMonths,0))</f>
        <v>-277.77777777777777</v>
      </c>
      <c r="BU99" s="507" cm="1">
        <f t="array" ref="BU99">_xlfn.LET(_xlpm.DepreciationMonths,INDEX(FixedAssets[Depreciation
/ Amortization Months],_xlfn.XMATCH($E$84,FixedAssets[Asset ID])),IF(AND((_xlfn.XMATCH(BU$8,$AH$8:$CC$8))-_xlfn.XMATCH($C99,$C$35:$C$82)+1&lt;=_xlpm.DepreciationMonths,$C99&lt;=BU$8),$E99/_xlpm.DepreciationMonths,0))</f>
        <v>-277.77777777777777</v>
      </c>
      <c r="BV99" s="507" cm="1">
        <f t="array" ref="BV99">_xlfn.LET(_xlpm.DepreciationMonths,INDEX(FixedAssets[Depreciation
/ Amortization Months],_xlfn.XMATCH($E$84,FixedAssets[Asset ID])),IF(AND((_xlfn.XMATCH(BV$8,$AH$8:$CC$8))-_xlfn.XMATCH($C99,$C$35:$C$82)+1&lt;=_xlpm.DepreciationMonths,$C99&lt;=BV$8),$E99/_xlpm.DepreciationMonths,0))</f>
        <v>-277.77777777777777</v>
      </c>
      <c r="BW99" s="507" cm="1">
        <f t="array" ref="BW99">_xlfn.LET(_xlpm.DepreciationMonths,INDEX(FixedAssets[Depreciation
/ Amortization Months],_xlfn.XMATCH($E$84,FixedAssets[Asset ID])),IF(AND((_xlfn.XMATCH(BW$8,$AH$8:$CC$8))-_xlfn.XMATCH($C99,$C$35:$C$82)+1&lt;=_xlpm.DepreciationMonths,$C99&lt;=BW$8),$E99/_xlpm.DepreciationMonths,0))</f>
        <v>-277.77777777777777</v>
      </c>
      <c r="BX99" s="507" cm="1">
        <f t="array" ref="BX99">_xlfn.LET(_xlpm.DepreciationMonths,INDEX(FixedAssets[Depreciation
/ Amortization Months],_xlfn.XMATCH($E$84,FixedAssets[Asset ID])),IF(AND((_xlfn.XMATCH(BX$8,$AH$8:$CC$8))-_xlfn.XMATCH($C99,$C$35:$C$82)+1&lt;=_xlpm.DepreciationMonths,$C99&lt;=BX$8),$E99/_xlpm.DepreciationMonths,0))</f>
        <v>-277.77777777777777</v>
      </c>
      <c r="BY99" s="507" cm="1">
        <f t="array" ref="BY99">_xlfn.LET(_xlpm.DepreciationMonths,INDEX(FixedAssets[Depreciation
/ Amortization Months],_xlfn.XMATCH($E$84,FixedAssets[Asset ID])),IF(AND((_xlfn.XMATCH(BY$8,$AH$8:$CC$8))-_xlfn.XMATCH($C99,$C$35:$C$82)+1&lt;=_xlpm.DepreciationMonths,$C99&lt;=BY$8),$E99/_xlpm.DepreciationMonths,0))</f>
        <v>-277.77777777777777</v>
      </c>
      <c r="BZ99" s="507" cm="1">
        <f t="array" ref="BZ99">_xlfn.LET(_xlpm.DepreciationMonths,INDEX(FixedAssets[Depreciation
/ Amortization Months],_xlfn.XMATCH($E$84,FixedAssets[Asset ID])),IF(AND((_xlfn.XMATCH(BZ$8,$AH$8:$CC$8))-_xlfn.XMATCH($C99,$C$35:$C$82)+1&lt;=_xlpm.DepreciationMonths,$C99&lt;=BZ$8),$E99/_xlpm.DepreciationMonths,0))</f>
        <v>-277.77777777777777</v>
      </c>
      <c r="CA99" s="507" cm="1">
        <f t="array" ref="CA99">_xlfn.LET(_xlpm.DepreciationMonths,INDEX(FixedAssets[Depreciation
/ Amortization Months],_xlfn.XMATCH($E$84,FixedAssets[Asset ID])),IF(AND((_xlfn.XMATCH(CA$8,$AH$8:$CC$8))-_xlfn.XMATCH($C99,$C$35:$C$82)+1&lt;=_xlpm.DepreciationMonths,$C99&lt;=CA$8),$E99/_xlpm.DepreciationMonths,0))</f>
        <v>-277.77777777777777</v>
      </c>
      <c r="CB99" s="507" cm="1">
        <f t="array" ref="CB99">_xlfn.LET(_xlpm.DepreciationMonths,INDEX(FixedAssets[Depreciation
/ Amortization Months],_xlfn.XMATCH($E$84,FixedAssets[Asset ID])),IF(AND((_xlfn.XMATCH(CB$8,$AH$8:$CC$8))-_xlfn.XMATCH($C99,$C$35:$C$82)+1&lt;=_xlpm.DepreciationMonths,$C99&lt;=CB$8),$E99/_xlpm.DepreciationMonths,0))</f>
        <v>-277.77777777777777</v>
      </c>
      <c r="CC99" s="507" cm="1">
        <f t="array" ref="CC99">_xlfn.LET(_xlpm.DepreciationMonths,INDEX(FixedAssets[Depreciation
/ Amortization Months],_xlfn.XMATCH($E$84,FixedAssets[Asset ID])),IF(AND((_xlfn.XMATCH(CC$8,$AH$8:$CC$8))-_xlfn.XMATCH($C99,$C$35:$C$82)+1&lt;=_xlpm.DepreciationMonths,$C99&lt;=CC$8),$E99/_xlpm.DepreciationMonths,0))</f>
        <v>-277.77777777777777</v>
      </c>
    </row>
    <row r="100" spans="3:81" hidden="1" outlineLevel="2">
      <c r="C100" s="664">
        <f t="shared" si="167"/>
        <v>45382</v>
      </c>
      <c r="D100" s="508"/>
      <c r="E100" s="508" cm="1">
        <f t="array" ref="E100">SUMPRODUCT(($AH$26:$CC$31)*($AH$5:$CC$5=$C100)*($E$26:$E$31=E$84))-SUMPRODUCT(($AH$26:$CC$31)*($AH$5:$CC$5=EOMONTH($C100,-1))*($E$26:$E$31=E$84))</f>
        <v>0</v>
      </c>
      <c r="F100" s="508"/>
      <c r="G100" s="508"/>
      <c r="H100" s="508"/>
      <c r="I100" s="508"/>
      <c r="J100" s="504">
        <f t="shared" si="164"/>
        <v>0</v>
      </c>
      <c r="K100" s="504">
        <f t="shared" si="165"/>
        <v>0</v>
      </c>
      <c r="L100" s="504">
        <f t="shared" si="165"/>
        <v>0</v>
      </c>
      <c r="M100" s="504">
        <f t="shared" si="165"/>
        <v>0</v>
      </c>
      <c r="N100" s="504"/>
      <c r="O100" s="504"/>
      <c r="P100" s="504">
        <f t="shared" si="166"/>
        <v>0</v>
      </c>
      <c r="Q100" s="504">
        <f t="shared" si="166"/>
        <v>0</v>
      </c>
      <c r="R100" s="504">
        <f t="shared" si="166"/>
        <v>0</v>
      </c>
      <c r="S100" s="504">
        <f t="shared" si="166"/>
        <v>0</v>
      </c>
      <c r="T100" s="504">
        <f t="shared" si="166"/>
        <v>0</v>
      </c>
      <c r="U100" s="504">
        <f t="shared" si="166"/>
        <v>0</v>
      </c>
      <c r="V100" s="504">
        <f t="shared" si="166"/>
        <v>0</v>
      </c>
      <c r="W100" s="504">
        <f t="shared" si="166"/>
        <v>0</v>
      </c>
      <c r="X100" s="504">
        <f t="shared" si="166"/>
        <v>0</v>
      </c>
      <c r="Y100" s="504">
        <f t="shared" si="166"/>
        <v>0</v>
      </c>
      <c r="Z100" s="504">
        <f t="shared" si="166"/>
        <v>0</v>
      </c>
      <c r="AA100" s="504">
        <f t="shared" si="166"/>
        <v>0</v>
      </c>
      <c r="AB100" s="504">
        <f t="shared" si="166"/>
        <v>0</v>
      </c>
      <c r="AC100" s="504">
        <f t="shared" si="166"/>
        <v>0</v>
      </c>
      <c r="AD100" s="504">
        <f t="shared" si="166"/>
        <v>0</v>
      </c>
      <c r="AE100" s="504">
        <f t="shared" si="166"/>
        <v>0</v>
      </c>
      <c r="AF100" s="508"/>
      <c r="AG100" s="508"/>
      <c r="AH100" s="507" cm="1">
        <f t="array" ref="AH100">_xlfn.LET(_xlpm.DepreciationMonths,INDEX(FixedAssets[Depreciation
/ Amortization Months],_xlfn.XMATCH($E$84,FixedAssets[Asset ID])),IF(AND((_xlfn.XMATCH(AH$8,$AH$8:$CC$8))-_xlfn.XMATCH($C100,$C$35:$C$82)+1&lt;=_xlpm.DepreciationMonths,$C100&lt;=AH$8),$E100/_xlpm.DepreciationMonths,0))</f>
        <v>0</v>
      </c>
      <c r="AI100" s="507" cm="1">
        <f t="array" ref="AI100">_xlfn.LET(_xlpm.DepreciationMonths,INDEX(FixedAssets[Depreciation
/ Amortization Months],_xlfn.XMATCH($E$84,FixedAssets[Asset ID])),IF(AND((_xlfn.XMATCH(AI$8,$AH$8:$CC$8))-_xlfn.XMATCH($C100,$C$35:$C$82)+1&lt;=_xlpm.DepreciationMonths,$C100&lt;=AI$8),$E100/_xlpm.DepreciationMonths,0))</f>
        <v>0</v>
      </c>
      <c r="AJ100" s="507" cm="1">
        <f t="array" ref="AJ100">_xlfn.LET(_xlpm.DepreciationMonths,INDEX(FixedAssets[Depreciation
/ Amortization Months],_xlfn.XMATCH($E$84,FixedAssets[Asset ID])),IF(AND((_xlfn.XMATCH(AJ$8,$AH$8:$CC$8))-_xlfn.XMATCH($C100,$C$35:$C$82)+1&lt;=_xlpm.DepreciationMonths,$C100&lt;=AJ$8),$E100/_xlpm.DepreciationMonths,0))</f>
        <v>0</v>
      </c>
      <c r="AK100" s="507" cm="1">
        <f t="array" ref="AK100">_xlfn.LET(_xlpm.DepreciationMonths,INDEX(FixedAssets[Depreciation
/ Amortization Months],_xlfn.XMATCH($E$84,FixedAssets[Asset ID])),IF(AND((_xlfn.XMATCH(AK$8,$AH$8:$CC$8))-_xlfn.XMATCH($C100,$C$35:$C$82)+1&lt;=_xlpm.DepreciationMonths,$C100&lt;=AK$8),$E100/_xlpm.DepreciationMonths,0))</f>
        <v>0</v>
      </c>
      <c r="AL100" s="507" cm="1">
        <f t="array" ref="AL100">_xlfn.LET(_xlpm.DepreciationMonths,INDEX(FixedAssets[Depreciation
/ Amortization Months],_xlfn.XMATCH($E$84,FixedAssets[Asset ID])),IF(AND((_xlfn.XMATCH(AL$8,$AH$8:$CC$8))-_xlfn.XMATCH($C100,$C$35:$C$82)+1&lt;=_xlpm.DepreciationMonths,$C100&lt;=AL$8),$E100/_xlpm.DepreciationMonths,0))</f>
        <v>0</v>
      </c>
      <c r="AM100" s="507" cm="1">
        <f t="array" ref="AM100">_xlfn.LET(_xlpm.DepreciationMonths,INDEX(FixedAssets[Depreciation
/ Amortization Months],_xlfn.XMATCH($E$84,FixedAssets[Asset ID])),IF(AND((_xlfn.XMATCH(AM$8,$AH$8:$CC$8))-_xlfn.XMATCH($C100,$C$35:$C$82)+1&lt;=_xlpm.DepreciationMonths,$C100&lt;=AM$8),$E100/_xlpm.DepreciationMonths,0))</f>
        <v>0</v>
      </c>
      <c r="AN100" s="507" cm="1">
        <f t="array" ref="AN100">_xlfn.LET(_xlpm.DepreciationMonths,INDEX(FixedAssets[Depreciation
/ Amortization Months],_xlfn.XMATCH($E$84,FixedAssets[Asset ID])),IF(AND((_xlfn.XMATCH(AN$8,$AH$8:$CC$8))-_xlfn.XMATCH($C100,$C$35:$C$82)+1&lt;=_xlpm.DepreciationMonths,$C100&lt;=AN$8),$E100/_xlpm.DepreciationMonths,0))</f>
        <v>0</v>
      </c>
      <c r="AO100" s="507" cm="1">
        <f t="array" ref="AO100">_xlfn.LET(_xlpm.DepreciationMonths,INDEX(FixedAssets[Depreciation
/ Amortization Months],_xlfn.XMATCH($E$84,FixedAssets[Asset ID])),IF(AND((_xlfn.XMATCH(AO$8,$AH$8:$CC$8))-_xlfn.XMATCH($C100,$C$35:$C$82)+1&lt;=_xlpm.DepreciationMonths,$C100&lt;=AO$8),$E100/_xlpm.DepreciationMonths,0))</f>
        <v>0</v>
      </c>
      <c r="AP100" s="507" cm="1">
        <f t="array" ref="AP100">_xlfn.LET(_xlpm.DepreciationMonths,INDEX(FixedAssets[Depreciation
/ Amortization Months],_xlfn.XMATCH($E$84,FixedAssets[Asset ID])),IF(AND((_xlfn.XMATCH(AP$8,$AH$8:$CC$8))-_xlfn.XMATCH($C100,$C$35:$C$82)+1&lt;=_xlpm.DepreciationMonths,$C100&lt;=AP$8),$E100/_xlpm.DepreciationMonths,0))</f>
        <v>0</v>
      </c>
      <c r="AQ100" s="507" cm="1">
        <f t="array" ref="AQ100">_xlfn.LET(_xlpm.DepreciationMonths,INDEX(FixedAssets[Depreciation
/ Amortization Months],_xlfn.XMATCH($E$84,FixedAssets[Asset ID])),IF(AND((_xlfn.XMATCH(AQ$8,$AH$8:$CC$8))-_xlfn.XMATCH($C100,$C$35:$C$82)+1&lt;=_xlpm.DepreciationMonths,$C100&lt;=AQ$8),$E100/_xlpm.DepreciationMonths,0))</f>
        <v>0</v>
      </c>
      <c r="AR100" s="507" cm="1">
        <f t="array" ref="AR100">_xlfn.LET(_xlpm.DepreciationMonths,INDEX(FixedAssets[Depreciation
/ Amortization Months],_xlfn.XMATCH($E$84,FixedAssets[Asset ID])),IF(AND((_xlfn.XMATCH(AR$8,$AH$8:$CC$8))-_xlfn.XMATCH($C100,$C$35:$C$82)+1&lt;=_xlpm.DepreciationMonths,$C100&lt;=AR$8),$E100/_xlpm.DepreciationMonths,0))</f>
        <v>0</v>
      </c>
      <c r="AS100" s="507" cm="1">
        <f t="array" ref="AS100">_xlfn.LET(_xlpm.DepreciationMonths,INDEX(FixedAssets[Depreciation
/ Amortization Months],_xlfn.XMATCH($E$84,FixedAssets[Asset ID])),IF(AND((_xlfn.XMATCH(AS$8,$AH$8:$CC$8))-_xlfn.XMATCH($C100,$C$35:$C$82)+1&lt;=_xlpm.DepreciationMonths,$C100&lt;=AS$8),$E100/_xlpm.DepreciationMonths,0))</f>
        <v>0</v>
      </c>
      <c r="AT100" s="507" cm="1">
        <f t="array" ref="AT100">_xlfn.LET(_xlpm.DepreciationMonths,INDEX(FixedAssets[Depreciation
/ Amortization Months],_xlfn.XMATCH($E$84,FixedAssets[Asset ID])),IF(AND((_xlfn.XMATCH(AT$8,$AH$8:$CC$8))-_xlfn.XMATCH($C100,$C$35:$C$82)+1&lt;=_xlpm.DepreciationMonths,$C100&lt;=AT$8),$E100/_xlpm.DepreciationMonths,0))</f>
        <v>0</v>
      </c>
      <c r="AU100" s="507" cm="1">
        <f t="array" ref="AU100">_xlfn.LET(_xlpm.DepreciationMonths,INDEX(FixedAssets[Depreciation
/ Amortization Months],_xlfn.XMATCH($E$84,FixedAssets[Asset ID])),IF(AND((_xlfn.XMATCH(AU$8,$AH$8:$CC$8))-_xlfn.XMATCH($C100,$C$35:$C$82)+1&lt;=_xlpm.DepreciationMonths,$C100&lt;=AU$8),$E100/_xlpm.DepreciationMonths,0))</f>
        <v>0</v>
      </c>
      <c r="AV100" s="507" cm="1">
        <f t="array" ref="AV100">_xlfn.LET(_xlpm.DepreciationMonths,INDEX(FixedAssets[Depreciation
/ Amortization Months],_xlfn.XMATCH($E$84,FixedAssets[Asset ID])),IF(AND((_xlfn.XMATCH(AV$8,$AH$8:$CC$8))-_xlfn.XMATCH($C100,$C$35:$C$82)+1&lt;=_xlpm.DepreciationMonths,$C100&lt;=AV$8),$E100/_xlpm.DepreciationMonths,0))</f>
        <v>0</v>
      </c>
      <c r="AW100" s="507" cm="1">
        <f t="array" ref="AW100">_xlfn.LET(_xlpm.DepreciationMonths,INDEX(FixedAssets[Depreciation
/ Amortization Months],_xlfn.XMATCH($E$84,FixedAssets[Asset ID])),IF(AND((_xlfn.XMATCH(AW$8,$AH$8:$CC$8))-_xlfn.XMATCH($C100,$C$35:$C$82)+1&lt;=_xlpm.DepreciationMonths,$C100&lt;=AW$8),$E100/_xlpm.DepreciationMonths,0))</f>
        <v>0</v>
      </c>
      <c r="AX100" s="507" cm="1">
        <f t="array" ref="AX100">_xlfn.LET(_xlpm.DepreciationMonths,INDEX(FixedAssets[Depreciation
/ Amortization Months],_xlfn.XMATCH($E$84,FixedAssets[Asset ID])),IF(AND((_xlfn.XMATCH(AX$8,$AH$8:$CC$8))-_xlfn.XMATCH($C100,$C$35:$C$82)+1&lt;=_xlpm.DepreciationMonths,$C100&lt;=AX$8),$E100/_xlpm.DepreciationMonths,0))</f>
        <v>0</v>
      </c>
      <c r="AY100" s="507" cm="1">
        <f t="array" ref="AY100">_xlfn.LET(_xlpm.DepreciationMonths,INDEX(FixedAssets[Depreciation
/ Amortization Months],_xlfn.XMATCH($E$84,FixedAssets[Asset ID])),IF(AND((_xlfn.XMATCH(AY$8,$AH$8:$CC$8))-_xlfn.XMATCH($C100,$C$35:$C$82)+1&lt;=_xlpm.DepreciationMonths,$C100&lt;=AY$8),$E100/_xlpm.DepreciationMonths,0))</f>
        <v>0</v>
      </c>
      <c r="AZ100" s="507" cm="1">
        <f t="array" ref="AZ100">_xlfn.LET(_xlpm.DepreciationMonths,INDEX(FixedAssets[Depreciation
/ Amortization Months],_xlfn.XMATCH($E$84,FixedAssets[Asset ID])),IF(AND((_xlfn.XMATCH(AZ$8,$AH$8:$CC$8))-_xlfn.XMATCH($C100,$C$35:$C$82)+1&lt;=_xlpm.DepreciationMonths,$C100&lt;=AZ$8),$E100/_xlpm.DepreciationMonths,0))</f>
        <v>0</v>
      </c>
      <c r="BA100" s="507" cm="1">
        <f t="array" ref="BA100">_xlfn.LET(_xlpm.DepreciationMonths,INDEX(FixedAssets[Depreciation
/ Amortization Months],_xlfn.XMATCH($E$84,FixedAssets[Asset ID])),IF(AND((_xlfn.XMATCH(BA$8,$AH$8:$CC$8))-_xlfn.XMATCH($C100,$C$35:$C$82)+1&lt;=_xlpm.DepreciationMonths,$C100&lt;=BA$8),$E100/_xlpm.DepreciationMonths,0))</f>
        <v>0</v>
      </c>
      <c r="BB100" s="507" cm="1">
        <f t="array" ref="BB100">_xlfn.LET(_xlpm.DepreciationMonths,INDEX(FixedAssets[Depreciation
/ Amortization Months],_xlfn.XMATCH($E$84,FixedAssets[Asset ID])),IF(AND((_xlfn.XMATCH(BB$8,$AH$8:$CC$8))-_xlfn.XMATCH($C100,$C$35:$C$82)+1&lt;=_xlpm.DepreciationMonths,$C100&lt;=BB$8),$E100/_xlpm.DepreciationMonths,0))</f>
        <v>0</v>
      </c>
      <c r="BC100" s="507" cm="1">
        <f t="array" ref="BC100">_xlfn.LET(_xlpm.DepreciationMonths,INDEX(FixedAssets[Depreciation
/ Amortization Months],_xlfn.XMATCH($E$84,FixedAssets[Asset ID])),IF(AND((_xlfn.XMATCH(BC$8,$AH$8:$CC$8))-_xlfn.XMATCH($C100,$C$35:$C$82)+1&lt;=_xlpm.DepreciationMonths,$C100&lt;=BC$8),$E100/_xlpm.DepreciationMonths,0))</f>
        <v>0</v>
      </c>
      <c r="BD100" s="507" cm="1">
        <f t="array" ref="BD100">_xlfn.LET(_xlpm.DepreciationMonths,INDEX(FixedAssets[Depreciation
/ Amortization Months],_xlfn.XMATCH($E$84,FixedAssets[Asset ID])),IF(AND((_xlfn.XMATCH(BD$8,$AH$8:$CC$8))-_xlfn.XMATCH($C100,$C$35:$C$82)+1&lt;=_xlpm.DepreciationMonths,$C100&lt;=BD$8),$E100/_xlpm.DepreciationMonths,0))</f>
        <v>0</v>
      </c>
      <c r="BE100" s="507" cm="1">
        <f t="array" ref="BE100">_xlfn.LET(_xlpm.DepreciationMonths,INDEX(FixedAssets[Depreciation
/ Amortization Months],_xlfn.XMATCH($E$84,FixedAssets[Asset ID])),IF(AND((_xlfn.XMATCH(BE$8,$AH$8:$CC$8))-_xlfn.XMATCH($C100,$C$35:$C$82)+1&lt;=_xlpm.DepreciationMonths,$C100&lt;=BE$8),$E100/_xlpm.DepreciationMonths,0))</f>
        <v>0</v>
      </c>
      <c r="BF100" s="507" cm="1">
        <f t="array" ref="BF100">_xlfn.LET(_xlpm.DepreciationMonths,INDEX(FixedAssets[Depreciation
/ Amortization Months],_xlfn.XMATCH($E$84,FixedAssets[Asset ID])),IF(AND((_xlfn.XMATCH(BF$8,$AH$8:$CC$8))-_xlfn.XMATCH($C100,$C$35:$C$82)+1&lt;=_xlpm.DepreciationMonths,$C100&lt;=BF$8),$E100/_xlpm.DepreciationMonths,0))</f>
        <v>0</v>
      </c>
      <c r="BG100" s="507" cm="1">
        <f t="array" ref="BG100">_xlfn.LET(_xlpm.DepreciationMonths,INDEX(FixedAssets[Depreciation
/ Amortization Months],_xlfn.XMATCH($E$84,FixedAssets[Asset ID])),IF(AND((_xlfn.XMATCH(BG$8,$AH$8:$CC$8))-_xlfn.XMATCH($C100,$C$35:$C$82)+1&lt;=_xlpm.DepreciationMonths,$C100&lt;=BG$8),$E100/_xlpm.DepreciationMonths,0))</f>
        <v>0</v>
      </c>
      <c r="BH100" s="507" cm="1">
        <f t="array" ref="BH100">_xlfn.LET(_xlpm.DepreciationMonths,INDEX(FixedAssets[Depreciation
/ Amortization Months],_xlfn.XMATCH($E$84,FixedAssets[Asset ID])),IF(AND((_xlfn.XMATCH(BH$8,$AH$8:$CC$8))-_xlfn.XMATCH($C100,$C$35:$C$82)+1&lt;=_xlpm.DepreciationMonths,$C100&lt;=BH$8),$E100/_xlpm.DepreciationMonths,0))</f>
        <v>0</v>
      </c>
      <c r="BI100" s="507" cm="1">
        <f t="array" ref="BI100">_xlfn.LET(_xlpm.DepreciationMonths,INDEX(FixedAssets[Depreciation
/ Amortization Months],_xlfn.XMATCH($E$84,FixedAssets[Asset ID])),IF(AND((_xlfn.XMATCH(BI$8,$AH$8:$CC$8))-_xlfn.XMATCH($C100,$C$35:$C$82)+1&lt;=_xlpm.DepreciationMonths,$C100&lt;=BI$8),$E100/_xlpm.DepreciationMonths,0))</f>
        <v>0</v>
      </c>
      <c r="BJ100" s="507" cm="1">
        <f t="array" ref="BJ100">_xlfn.LET(_xlpm.DepreciationMonths,INDEX(FixedAssets[Depreciation
/ Amortization Months],_xlfn.XMATCH($E$84,FixedAssets[Asset ID])),IF(AND((_xlfn.XMATCH(BJ$8,$AH$8:$CC$8))-_xlfn.XMATCH($C100,$C$35:$C$82)+1&lt;=_xlpm.DepreciationMonths,$C100&lt;=BJ$8),$E100/_xlpm.DepreciationMonths,0))</f>
        <v>0</v>
      </c>
      <c r="BK100" s="507" cm="1">
        <f t="array" ref="BK100">_xlfn.LET(_xlpm.DepreciationMonths,INDEX(FixedAssets[Depreciation
/ Amortization Months],_xlfn.XMATCH($E$84,FixedAssets[Asset ID])),IF(AND((_xlfn.XMATCH(BK$8,$AH$8:$CC$8))-_xlfn.XMATCH($C100,$C$35:$C$82)+1&lt;=_xlpm.DepreciationMonths,$C100&lt;=BK$8),$E100/_xlpm.DepreciationMonths,0))</f>
        <v>0</v>
      </c>
      <c r="BL100" s="507" cm="1">
        <f t="array" ref="BL100">_xlfn.LET(_xlpm.DepreciationMonths,INDEX(FixedAssets[Depreciation
/ Amortization Months],_xlfn.XMATCH($E$84,FixedAssets[Asset ID])),IF(AND((_xlfn.XMATCH(BL$8,$AH$8:$CC$8))-_xlfn.XMATCH($C100,$C$35:$C$82)+1&lt;=_xlpm.DepreciationMonths,$C100&lt;=BL$8),$E100/_xlpm.DepreciationMonths,0))</f>
        <v>0</v>
      </c>
      <c r="BM100" s="507" cm="1">
        <f t="array" ref="BM100">_xlfn.LET(_xlpm.DepreciationMonths,INDEX(FixedAssets[Depreciation
/ Amortization Months],_xlfn.XMATCH($E$84,FixedAssets[Asset ID])),IF(AND((_xlfn.XMATCH(BM$8,$AH$8:$CC$8))-_xlfn.XMATCH($C100,$C$35:$C$82)+1&lt;=_xlpm.DepreciationMonths,$C100&lt;=BM$8),$E100/_xlpm.DepreciationMonths,0))</f>
        <v>0</v>
      </c>
      <c r="BN100" s="507" cm="1">
        <f t="array" ref="BN100">_xlfn.LET(_xlpm.DepreciationMonths,INDEX(FixedAssets[Depreciation
/ Amortization Months],_xlfn.XMATCH($E$84,FixedAssets[Asset ID])),IF(AND((_xlfn.XMATCH(BN$8,$AH$8:$CC$8))-_xlfn.XMATCH($C100,$C$35:$C$82)+1&lt;=_xlpm.DepreciationMonths,$C100&lt;=BN$8),$E100/_xlpm.DepreciationMonths,0))</f>
        <v>0</v>
      </c>
      <c r="BO100" s="507" cm="1">
        <f t="array" ref="BO100">_xlfn.LET(_xlpm.DepreciationMonths,INDEX(FixedAssets[Depreciation
/ Amortization Months],_xlfn.XMATCH($E$84,FixedAssets[Asset ID])),IF(AND((_xlfn.XMATCH(BO$8,$AH$8:$CC$8))-_xlfn.XMATCH($C100,$C$35:$C$82)+1&lt;=_xlpm.DepreciationMonths,$C100&lt;=BO$8),$E100/_xlpm.DepreciationMonths,0))</f>
        <v>0</v>
      </c>
      <c r="BP100" s="507" cm="1">
        <f t="array" ref="BP100">_xlfn.LET(_xlpm.DepreciationMonths,INDEX(FixedAssets[Depreciation
/ Amortization Months],_xlfn.XMATCH($E$84,FixedAssets[Asset ID])),IF(AND((_xlfn.XMATCH(BP$8,$AH$8:$CC$8))-_xlfn.XMATCH($C100,$C$35:$C$82)+1&lt;=_xlpm.DepreciationMonths,$C100&lt;=BP$8),$E100/_xlpm.DepreciationMonths,0))</f>
        <v>0</v>
      </c>
      <c r="BQ100" s="507" cm="1">
        <f t="array" ref="BQ100">_xlfn.LET(_xlpm.DepreciationMonths,INDEX(FixedAssets[Depreciation
/ Amortization Months],_xlfn.XMATCH($E$84,FixedAssets[Asset ID])),IF(AND((_xlfn.XMATCH(BQ$8,$AH$8:$CC$8))-_xlfn.XMATCH($C100,$C$35:$C$82)+1&lt;=_xlpm.DepreciationMonths,$C100&lt;=BQ$8),$E100/_xlpm.DepreciationMonths,0))</f>
        <v>0</v>
      </c>
      <c r="BR100" s="507" cm="1">
        <f t="array" ref="BR100">_xlfn.LET(_xlpm.DepreciationMonths,INDEX(FixedAssets[Depreciation
/ Amortization Months],_xlfn.XMATCH($E$84,FixedAssets[Asset ID])),IF(AND((_xlfn.XMATCH(BR$8,$AH$8:$CC$8))-_xlfn.XMATCH($C100,$C$35:$C$82)+1&lt;=_xlpm.DepreciationMonths,$C100&lt;=BR$8),$E100/_xlpm.DepreciationMonths,0))</f>
        <v>0</v>
      </c>
      <c r="BS100" s="507" cm="1">
        <f t="array" ref="BS100">_xlfn.LET(_xlpm.DepreciationMonths,INDEX(FixedAssets[Depreciation
/ Amortization Months],_xlfn.XMATCH($E$84,FixedAssets[Asset ID])),IF(AND((_xlfn.XMATCH(BS$8,$AH$8:$CC$8))-_xlfn.XMATCH($C100,$C$35:$C$82)+1&lt;=_xlpm.DepreciationMonths,$C100&lt;=BS$8),$E100/_xlpm.DepreciationMonths,0))</f>
        <v>0</v>
      </c>
      <c r="BT100" s="507" cm="1">
        <f t="array" ref="BT100">_xlfn.LET(_xlpm.DepreciationMonths,INDEX(FixedAssets[Depreciation
/ Amortization Months],_xlfn.XMATCH($E$84,FixedAssets[Asset ID])),IF(AND((_xlfn.XMATCH(BT$8,$AH$8:$CC$8))-_xlfn.XMATCH($C100,$C$35:$C$82)+1&lt;=_xlpm.DepreciationMonths,$C100&lt;=BT$8),$E100/_xlpm.DepreciationMonths,0))</f>
        <v>0</v>
      </c>
      <c r="BU100" s="507" cm="1">
        <f t="array" ref="BU100">_xlfn.LET(_xlpm.DepreciationMonths,INDEX(FixedAssets[Depreciation
/ Amortization Months],_xlfn.XMATCH($E$84,FixedAssets[Asset ID])),IF(AND((_xlfn.XMATCH(BU$8,$AH$8:$CC$8))-_xlfn.XMATCH($C100,$C$35:$C$82)+1&lt;=_xlpm.DepreciationMonths,$C100&lt;=BU$8),$E100/_xlpm.DepreciationMonths,0))</f>
        <v>0</v>
      </c>
      <c r="BV100" s="507" cm="1">
        <f t="array" ref="BV100">_xlfn.LET(_xlpm.DepreciationMonths,INDEX(FixedAssets[Depreciation
/ Amortization Months],_xlfn.XMATCH($E$84,FixedAssets[Asset ID])),IF(AND((_xlfn.XMATCH(BV$8,$AH$8:$CC$8))-_xlfn.XMATCH($C100,$C$35:$C$82)+1&lt;=_xlpm.DepreciationMonths,$C100&lt;=BV$8),$E100/_xlpm.DepreciationMonths,0))</f>
        <v>0</v>
      </c>
      <c r="BW100" s="507" cm="1">
        <f t="array" ref="BW100">_xlfn.LET(_xlpm.DepreciationMonths,INDEX(FixedAssets[Depreciation
/ Amortization Months],_xlfn.XMATCH($E$84,FixedAssets[Asset ID])),IF(AND((_xlfn.XMATCH(BW$8,$AH$8:$CC$8))-_xlfn.XMATCH($C100,$C$35:$C$82)+1&lt;=_xlpm.DepreciationMonths,$C100&lt;=BW$8),$E100/_xlpm.DepreciationMonths,0))</f>
        <v>0</v>
      </c>
      <c r="BX100" s="507" cm="1">
        <f t="array" ref="BX100">_xlfn.LET(_xlpm.DepreciationMonths,INDEX(FixedAssets[Depreciation
/ Amortization Months],_xlfn.XMATCH($E$84,FixedAssets[Asset ID])),IF(AND((_xlfn.XMATCH(BX$8,$AH$8:$CC$8))-_xlfn.XMATCH($C100,$C$35:$C$82)+1&lt;=_xlpm.DepreciationMonths,$C100&lt;=BX$8),$E100/_xlpm.DepreciationMonths,0))</f>
        <v>0</v>
      </c>
      <c r="BY100" s="507" cm="1">
        <f t="array" ref="BY100">_xlfn.LET(_xlpm.DepreciationMonths,INDEX(FixedAssets[Depreciation
/ Amortization Months],_xlfn.XMATCH($E$84,FixedAssets[Asset ID])),IF(AND((_xlfn.XMATCH(BY$8,$AH$8:$CC$8))-_xlfn.XMATCH($C100,$C$35:$C$82)+1&lt;=_xlpm.DepreciationMonths,$C100&lt;=BY$8),$E100/_xlpm.DepreciationMonths,0))</f>
        <v>0</v>
      </c>
      <c r="BZ100" s="507" cm="1">
        <f t="array" ref="BZ100">_xlfn.LET(_xlpm.DepreciationMonths,INDEX(FixedAssets[Depreciation
/ Amortization Months],_xlfn.XMATCH($E$84,FixedAssets[Asset ID])),IF(AND((_xlfn.XMATCH(BZ$8,$AH$8:$CC$8))-_xlfn.XMATCH($C100,$C$35:$C$82)+1&lt;=_xlpm.DepreciationMonths,$C100&lt;=BZ$8),$E100/_xlpm.DepreciationMonths,0))</f>
        <v>0</v>
      </c>
      <c r="CA100" s="507" cm="1">
        <f t="array" ref="CA100">_xlfn.LET(_xlpm.DepreciationMonths,INDEX(FixedAssets[Depreciation
/ Amortization Months],_xlfn.XMATCH($E$84,FixedAssets[Asset ID])),IF(AND((_xlfn.XMATCH(CA$8,$AH$8:$CC$8))-_xlfn.XMATCH($C100,$C$35:$C$82)+1&lt;=_xlpm.DepreciationMonths,$C100&lt;=CA$8),$E100/_xlpm.DepreciationMonths,0))</f>
        <v>0</v>
      </c>
      <c r="CB100" s="507" cm="1">
        <f t="array" ref="CB100">_xlfn.LET(_xlpm.DepreciationMonths,INDEX(FixedAssets[Depreciation
/ Amortization Months],_xlfn.XMATCH($E$84,FixedAssets[Asset ID])),IF(AND((_xlfn.XMATCH(CB$8,$AH$8:$CC$8))-_xlfn.XMATCH($C100,$C$35:$C$82)+1&lt;=_xlpm.DepreciationMonths,$C100&lt;=CB$8),$E100/_xlpm.DepreciationMonths,0))</f>
        <v>0</v>
      </c>
      <c r="CC100" s="507" cm="1">
        <f t="array" ref="CC100">_xlfn.LET(_xlpm.DepreciationMonths,INDEX(FixedAssets[Depreciation
/ Amortization Months],_xlfn.XMATCH($E$84,FixedAssets[Asset ID])),IF(AND((_xlfn.XMATCH(CC$8,$AH$8:$CC$8))-_xlfn.XMATCH($C100,$C$35:$C$82)+1&lt;=_xlpm.DepreciationMonths,$C100&lt;=CC$8),$E100/_xlpm.DepreciationMonths,0))</f>
        <v>0</v>
      </c>
    </row>
    <row r="101" spans="3:81" hidden="1" outlineLevel="2">
      <c r="C101" s="664">
        <f t="shared" si="167"/>
        <v>45412</v>
      </c>
      <c r="D101" s="508"/>
      <c r="E101" s="508" cm="1">
        <f t="array" ref="E101">SUMPRODUCT(($AH$26:$CC$31)*($AH$5:$CC$5=$C101)*($E$26:$E$31=E$84))-SUMPRODUCT(($AH$26:$CC$31)*($AH$5:$CC$5=EOMONTH($C101,-1))*($E$26:$E$31=E$84))</f>
        <v>0</v>
      </c>
      <c r="F101" s="508"/>
      <c r="G101" s="508"/>
      <c r="H101" s="508"/>
      <c r="I101" s="508"/>
      <c r="J101" s="504">
        <f t="shared" si="164"/>
        <v>0</v>
      </c>
      <c r="K101" s="504">
        <f t="shared" si="165"/>
        <v>0</v>
      </c>
      <c r="L101" s="504">
        <f t="shared" si="165"/>
        <v>0</v>
      </c>
      <c r="M101" s="504">
        <f t="shared" si="165"/>
        <v>0</v>
      </c>
      <c r="N101" s="504"/>
      <c r="O101" s="504"/>
      <c r="P101" s="504">
        <f t="shared" si="166"/>
        <v>0</v>
      </c>
      <c r="Q101" s="504">
        <f t="shared" si="166"/>
        <v>0</v>
      </c>
      <c r="R101" s="504">
        <f t="shared" si="166"/>
        <v>0</v>
      </c>
      <c r="S101" s="504">
        <f t="shared" si="166"/>
        <v>0</v>
      </c>
      <c r="T101" s="504">
        <f t="shared" si="166"/>
        <v>0</v>
      </c>
      <c r="U101" s="504">
        <f t="shared" si="166"/>
        <v>0</v>
      </c>
      <c r="V101" s="504">
        <f t="shared" si="166"/>
        <v>0</v>
      </c>
      <c r="W101" s="504">
        <f t="shared" si="166"/>
        <v>0</v>
      </c>
      <c r="X101" s="504">
        <f t="shared" si="166"/>
        <v>0</v>
      </c>
      <c r="Y101" s="504">
        <f t="shared" si="166"/>
        <v>0</v>
      </c>
      <c r="Z101" s="504">
        <f t="shared" si="166"/>
        <v>0</v>
      </c>
      <c r="AA101" s="504">
        <f t="shared" si="166"/>
        <v>0</v>
      </c>
      <c r="AB101" s="504">
        <f t="shared" si="166"/>
        <v>0</v>
      </c>
      <c r="AC101" s="504">
        <f t="shared" si="166"/>
        <v>0</v>
      </c>
      <c r="AD101" s="504">
        <f t="shared" si="166"/>
        <v>0</v>
      </c>
      <c r="AE101" s="504">
        <f t="shared" ref="AE101" si="168">SUMIFS($AH101:$CC101,$AH$4:$CC$4,"&gt;="&amp;AE$4,$AH$5:$CC$5,"&lt;="&amp;AE$5)</f>
        <v>0</v>
      </c>
      <c r="AF101" s="508"/>
      <c r="AG101" s="508"/>
      <c r="AH101" s="507" cm="1">
        <f t="array" ref="AH101">_xlfn.LET(_xlpm.DepreciationMonths,INDEX(FixedAssets[Depreciation
/ Amortization Months],_xlfn.XMATCH($E$84,FixedAssets[Asset ID])),IF(AND((_xlfn.XMATCH(AH$8,$AH$8:$CC$8))-_xlfn.XMATCH($C101,$C$35:$C$82)+1&lt;=_xlpm.DepreciationMonths,$C101&lt;=AH$8),$E101/_xlpm.DepreciationMonths,0))</f>
        <v>0</v>
      </c>
      <c r="AI101" s="507" cm="1">
        <f t="array" ref="AI101">_xlfn.LET(_xlpm.DepreciationMonths,INDEX(FixedAssets[Depreciation
/ Amortization Months],_xlfn.XMATCH($E$84,FixedAssets[Asset ID])),IF(AND((_xlfn.XMATCH(AI$8,$AH$8:$CC$8))-_xlfn.XMATCH($C101,$C$35:$C$82)+1&lt;=_xlpm.DepreciationMonths,$C101&lt;=AI$8),$E101/_xlpm.DepreciationMonths,0))</f>
        <v>0</v>
      </c>
      <c r="AJ101" s="507" cm="1">
        <f t="array" ref="AJ101">_xlfn.LET(_xlpm.DepreciationMonths,INDEX(FixedAssets[Depreciation
/ Amortization Months],_xlfn.XMATCH($E$84,FixedAssets[Asset ID])),IF(AND((_xlfn.XMATCH(AJ$8,$AH$8:$CC$8))-_xlfn.XMATCH($C101,$C$35:$C$82)+1&lt;=_xlpm.DepreciationMonths,$C101&lt;=AJ$8),$E101/_xlpm.DepreciationMonths,0))</f>
        <v>0</v>
      </c>
      <c r="AK101" s="507" cm="1">
        <f t="array" ref="AK101">_xlfn.LET(_xlpm.DepreciationMonths,INDEX(FixedAssets[Depreciation
/ Amortization Months],_xlfn.XMATCH($E$84,FixedAssets[Asset ID])),IF(AND((_xlfn.XMATCH(AK$8,$AH$8:$CC$8))-_xlfn.XMATCH($C101,$C$35:$C$82)+1&lt;=_xlpm.DepreciationMonths,$C101&lt;=AK$8),$E101/_xlpm.DepreciationMonths,0))</f>
        <v>0</v>
      </c>
      <c r="AL101" s="507" cm="1">
        <f t="array" ref="AL101">_xlfn.LET(_xlpm.DepreciationMonths,INDEX(FixedAssets[Depreciation
/ Amortization Months],_xlfn.XMATCH($E$84,FixedAssets[Asset ID])),IF(AND((_xlfn.XMATCH(AL$8,$AH$8:$CC$8))-_xlfn.XMATCH($C101,$C$35:$C$82)+1&lt;=_xlpm.DepreciationMonths,$C101&lt;=AL$8),$E101/_xlpm.DepreciationMonths,0))</f>
        <v>0</v>
      </c>
      <c r="AM101" s="507" cm="1">
        <f t="array" ref="AM101">_xlfn.LET(_xlpm.DepreciationMonths,INDEX(FixedAssets[Depreciation
/ Amortization Months],_xlfn.XMATCH($E$84,FixedAssets[Asset ID])),IF(AND((_xlfn.XMATCH(AM$8,$AH$8:$CC$8))-_xlfn.XMATCH($C101,$C$35:$C$82)+1&lt;=_xlpm.DepreciationMonths,$C101&lt;=AM$8),$E101/_xlpm.DepreciationMonths,0))</f>
        <v>0</v>
      </c>
      <c r="AN101" s="507" cm="1">
        <f t="array" ref="AN101">_xlfn.LET(_xlpm.DepreciationMonths,INDEX(FixedAssets[Depreciation
/ Amortization Months],_xlfn.XMATCH($E$84,FixedAssets[Asset ID])),IF(AND((_xlfn.XMATCH(AN$8,$AH$8:$CC$8))-_xlfn.XMATCH($C101,$C$35:$C$82)+1&lt;=_xlpm.DepreciationMonths,$C101&lt;=AN$8),$E101/_xlpm.DepreciationMonths,0))</f>
        <v>0</v>
      </c>
      <c r="AO101" s="507" cm="1">
        <f t="array" ref="AO101">_xlfn.LET(_xlpm.DepreciationMonths,INDEX(FixedAssets[Depreciation
/ Amortization Months],_xlfn.XMATCH($E$84,FixedAssets[Asset ID])),IF(AND((_xlfn.XMATCH(AO$8,$AH$8:$CC$8))-_xlfn.XMATCH($C101,$C$35:$C$82)+1&lt;=_xlpm.DepreciationMonths,$C101&lt;=AO$8),$E101/_xlpm.DepreciationMonths,0))</f>
        <v>0</v>
      </c>
      <c r="AP101" s="507" cm="1">
        <f t="array" ref="AP101">_xlfn.LET(_xlpm.DepreciationMonths,INDEX(FixedAssets[Depreciation
/ Amortization Months],_xlfn.XMATCH($E$84,FixedAssets[Asset ID])),IF(AND((_xlfn.XMATCH(AP$8,$AH$8:$CC$8))-_xlfn.XMATCH($C101,$C$35:$C$82)+1&lt;=_xlpm.DepreciationMonths,$C101&lt;=AP$8),$E101/_xlpm.DepreciationMonths,0))</f>
        <v>0</v>
      </c>
      <c r="AQ101" s="507" cm="1">
        <f t="array" ref="AQ101">_xlfn.LET(_xlpm.DepreciationMonths,INDEX(FixedAssets[Depreciation
/ Amortization Months],_xlfn.XMATCH($E$84,FixedAssets[Asset ID])),IF(AND((_xlfn.XMATCH(AQ$8,$AH$8:$CC$8))-_xlfn.XMATCH($C101,$C$35:$C$82)+1&lt;=_xlpm.DepreciationMonths,$C101&lt;=AQ$8),$E101/_xlpm.DepreciationMonths,0))</f>
        <v>0</v>
      </c>
      <c r="AR101" s="507" cm="1">
        <f t="array" ref="AR101">_xlfn.LET(_xlpm.DepreciationMonths,INDEX(FixedAssets[Depreciation
/ Amortization Months],_xlfn.XMATCH($E$84,FixedAssets[Asset ID])),IF(AND((_xlfn.XMATCH(AR$8,$AH$8:$CC$8))-_xlfn.XMATCH($C101,$C$35:$C$82)+1&lt;=_xlpm.DepreciationMonths,$C101&lt;=AR$8),$E101/_xlpm.DepreciationMonths,0))</f>
        <v>0</v>
      </c>
      <c r="AS101" s="507" cm="1">
        <f t="array" ref="AS101">_xlfn.LET(_xlpm.DepreciationMonths,INDEX(FixedAssets[Depreciation
/ Amortization Months],_xlfn.XMATCH($E$84,FixedAssets[Asset ID])),IF(AND((_xlfn.XMATCH(AS$8,$AH$8:$CC$8))-_xlfn.XMATCH($C101,$C$35:$C$82)+1&lt;=_xlpm.DepreciationMonths,$C101&lt;=AS$8),$E101/_xlpm.DepreciationMonths,0))</f>
        <v>0</v>
      </c>
      <c r="AT101" s="507" cm="1">
        <f t="array" ref="AT101">_xlfn.LET(_xlpm.DepreciationMonths,INDEX(FixedAssets[Depreciation
/ Amortization Months],_xlfn.XMATCH($E$84,FixedAssets[Asset ID])),IF(AND((_xlfn.XMATCH(AT$8,$AH$8:$CC$8))-_xlfn.XMATCH($C101,$C$35:$C$82)+1&lt;=_xlpm.DepreciationMonths,$C101&lt;=AT$8),$E101/_xlpm.DepreciationMonths,0))</f>
        <v>0</v>
      </c>
      <c r="AU101" s="507" cm="1">
        <f t="array" ref="AU101">_xlfn.LET(_xlpm.DepreciationMonths,INDEX(FixedAssets[Depreciation
/ Amortization Months],_xlfn.XMATCH($E$84,FixedAssets[Asset ID])),IF(AND((_xlfn.XMATCH(AU$8,$AH$8:$CC$8))-_xlfn.XMATCH($C101,$C$35:$C$82)+1&lt;=_xlpm.DepreciationMonths,$C101&lt;=AU$8),$E101/_xlpm.DepreciationMonths,0))</f>
        <v>0</v>
      </c>
      <c r="AV101" s="507" cm="1">
        <f t="array" ref="AV101">_xlfn.LET(_xlpm.DepreciationMonths,INDEX(FixedAssets[Depreciation
/ Amortization Months],_xlfn.XMATCH($E$84,FixedAssets[Asset ID])),IF(AND((_xlfn.XMATCH(AV$8,$AH$8:$CC$8))-_xlfn.XMATCH($C101,$C$35:$C$82)+1&lt;=_xlpm.DepreciationMonths,$C101&lt;=AV$8),$E101/_xlpm.DepreciationMonths,0))</f>
        <v>0</v>
      </c>
      <c r="AW101" s="507" cm="1">
        <f t="array" ref="AW101">_xlfn.LET(_xlpm.DepreciationMonths,INDEX(FixedAssets[Depreciation
/ Amortization Months],_xlfn.XMATCH($E$84,FixedAssets[Asset ID])),IF(AND((_xlfn.XMATCH(AW$8,$AH$8:$CC$8))-_xlfn.XMATCH($C101,$C$35:$C$82)+1&lt;=_xlpm.DepreciationMonths,$C101&lt;=AW$8),$E101/_xlpm.DepreciationMonths,0))</f>
        <v>0</v>
      </c>
      <c r="AX101" s="507" cm="1">
        <f t="array" ref="AX101">_xlfn.LET(_xlpm.DepreciationMonths,INDEX(FixedAssets[Depreciation
/ Amortization Months],_xlfn.XMATCH($E$84,FixedAssets[Asset ID])),IF(AND((_xlfn.XMATCH(AX$8,$AH$8:$CC$8))-_xlfn.XMATCH($C101,$C$35:$C$82)+1&lt;=_xlpm.DepreciationMonths,$C101&lt;=AX$8),$E101/_xlpm.DepreciationMonths,0))</f>
        <v>0</v>
      </c>
      <c r="AY101" s="507" cm="1">
        <f t="array" ref="AY101">_xlfn.LET(_xlpm.DepreciationMonths,INDEX(FixedAssets[Depreciation
/ Amortization Months],_xlfn.XMATCH($E$84,FixedAssets[Asset ID])),IF(AND((_xlfn.XMATCH(AY$8,$AH$8:$CC$8))-_xlfn.XMATCH($C101,$C$35:$C$82)+1&lt;=_xlpm.DepreciationMonths,$C101&lt;=AY$8),$E101/_xlpm.DepreciationMonths,0))</f>
        <v>0</v>
      </c>
      <c r="AZ101" s="507" cm="1">
        <f t="array" ref="AZ101">_xlfn.LET(_xlpm.DepreciationMonths,INDEX(FixedAssets[Depreciation
/ Amortization Months],_xlfn.XMATCH($E$84,FixedAssets[Asset ID])),IF(AND((_xlfn.XMATCH(AZ$8,$AH$8:$CC$8))-_xlfn.XMATCH($C101,$C$35:$C$82)+1&lt;=_xlpm.DepreciationMonths,$C101&lt;=AZ$8),$E101/_xlpm.DepreciationMonths,0))</f>
        <v>0</v>
      </c>
      <c r="BA101" s="507" cm="1">
        <f t="array" ref="BA101">_xlfn.LET(_xlpm.DepreciationMonths,INDEX(FixedAssets[Depreciation
/ Amortization Months],_xlfn.XMATCH($E$84,FixedAssets[Asset ID])),IF(AND((_xlfn.XMATCH(BA$8,$AH$8:$CC$8))-_xlfn.XMATCH($C101,$C$35:$C$82)+1&lt;=_xlpm.DepreciationMonths,$C101&lt;=BA$8),$E101/_xlpm.DepreciationMonths,0))</f>
        <v>0</v>
      </c>
      <c r="BB101" s="507" cm="1">
        <f t="array" ref="BB101">_xlfn.LET(_xlpm.DepreciationMonths,INDEX(FixedAssets[Depreciation
/ Amortization Months],_xlfn.XMATCH($E$84,FixedAssets[Asset ID])),IF(AND((_xlfn.XMATCH(BB$8,$AH$8:$CC$8))-_xlfn.XMATCH($C101,$C$35:$C$82)+1&lt;=_xlpm.DepreciationMonths,$C101&lt;=BB$8),$E101/_xlpm.DepreciationMonths,0))</f>
        <v>0</v>
      </c>
      <c r="BC101" s="507" cm="1">
        <f t="array" ref="BC101">_xlfn.LET(_xlpm.DepreciationMonths,INDEX(FixedAssets[Depreciation
/ Amortization Months],_xlfn.XMATCH($E$84,FixedAssets[Asset ID])),IF(AND((_xlfn.XMATCH(BC$8,$AH$8:$CC$8))-_xlfn.XMATCH($C101,$C$35:$C$82)+1&lt;=_xlpm.DepreciationMonths,$C101&lt;=BC$8),$E101/_xlpm.DepreciationMonths,0))</f>
        <v>0</v>
      </c>
      <c r="BD101" s="507" cm="1">
        <f t="array" ref="BD101">_xlfn.LET(_xlpm.DepreciationMonths,INDEX(FixedAssets[Depreciation
/ Amortization Months],_xlfn.XMATCH($E$84,FixedAssets[Asset ID])),IF(AND((_xlfn.XMATCH(BD$8,$AH$8:$CC$8))-_xlfn.XMATCH($C101,$C$35:$C$82)+1&lt;=_xlpm.DepreciationMonths,$C101&lt;=BD$8),$E101/_xlpm.DepreciationMonths,0))</f>
        <v>0</v>
      </c>
      <c r="BE101" s="507" cm="1">
        <f t="array" ref="BE101">_xlfn.LET(_xlpm.DepreciationMonths,INDEX(FixedAssets[Depreciation
/ Amortization Months],_xlfn.XMATCH($E$84,FixedAssets[Asset ID])),IF(AND((_xlfn.XMATCH(BE$8,$AH$8:$CC$8))-_xlfn.XMATCH($C101,$C$35:$C$82)+1&lt;=_xlpm.DepreciationMonths,$C101&lt;=BE$8),$E101/_xlpm.DepreciationMonths,0))</f>
        <v>0</v>
      </c>
      <c r="BF101" s="507" cm="1">
        <f t="array" ref="BF101">_xlfn.LET(_xlpm.DepreciationMonths,INDEX(FixedAssets[Depreciation
/ Amortization Months],_xlfn.XMATCH($E$84,FixedAssets[Asset ID])),IF(AND((_xlfn.XMATCH(BF$8,$AH$8:$CC$8))-_xlfn.XMATCH($C101,$C$35:$C$82)+1&lt;=_xlpm.DepreciationMonths,$C101&lt;=BF$8),$E101/_xlpm.DepreciationMonths,0))</f>
        <v>0</v>
      </c>
      <c r="BG101" s="507" cm="1">
        <f t="array" ref="BG101">_xlfn.LET(_xlpm.DepreciationMonths,INDEX(FixedAssets[Depreciation
/ Amortization Months],_xlfn.XMATCH($E$84,FixedAssets[Asset ID])),IF(AND((_xlfn.XMATCH(BG$8,$AH$8:$CC$8))-_xlfn.XMATCH($C101,$C$35:$C$82)+1&lt;=_xlpm.DepreciationMonths,$C101&lt;=BG$8),$E101/_xlpm.DepreciationMonths,0))</f>
        <v>0</v>
      </c>
      <c r="BH101" s="507" cm="1">
        <f t="array" ref="BH101">_xlfn.LET(_xlpm.DepreciationMonths,INDEX(FixedAssets[Depreciation
/ Amortization Months],_xlfn.XMATCH($E$84,FixedAssets[Asset ID])),IF(AND((_xlfn.XMATCH(BH$8,$AH$8:$CC$8))-_xlfn.XMATCH($C101,$C$35:$C$82)+1&lt;=_xlpm.DepreciationMonths,$C101&lt;=BH$8),$E101/_xlpm.DepreciationMonths,0))</f>
        <v>0</v>
      </c>
      <c r="BI101" s="507" cm="1">
        <f t="array" ref="BI101">_xlfn.LET(_xlpm.DepreciationMonths,INDEX(FixedAssets[Depreciation
/ Amortization Months],_xlfn.XMATCH($E$84,FixedAssets[Asset ID])),IF(AND((_xlfn.XMATCH(BI$8,$AH$8:$CC$8))-_xlfn.XMATCH($C101,$C$35:$C$82)+1&lt;=_xlpm.DepreciationMonths,$C101&lt;=BI$8),$E101/_xlpm.DepreciationMonths,0))</f>
        <v>0</v>
      </c>
      <c r="BJ101" s="507" cm="1">
        <f t="array" ref="BJ101">_xlfn.LET(_xlpm.DepreciationMonths,INDEX(FixedAssets[Depreciation
/ Amortization Months],_xlfn.XMATCH($E$84,FixedAssets[Asset ID])),IF(AND((_xlfn.XMATCH(BJ$8,$AH$8:$CC$8))-_xlfn.XMATCH($C101,$C$35:$C$82)+1&lt;=_xlpm.DepreciationMonths,$C101&lt;=BJ$8),$E101/_xlpm.DepreciationMonths,0))</f>
        <v>0</v>
      </c>
      <c r="BK101" s="507" cm="1">
        <f t="array" ref="BK101">_xlfn.LET(_xlpm.DepreciationMonths,INDEX(FixedAssets[Depreciation
/ Amortization Months],_xlfn.XMATCH($E$84,FixedAssets[Asset ID])),IF(AND((_xlfn.XMATCH(BK$8,$AH$8:$CC$8))-_xlfn.XMATCH($C101,$C$35:$C$82)+1&lt;=_xlpm.DepreciationMonths,$C101&lt;=BK$8),$E101/_xlpm.DepreciationMonths,0))</f>
        <v>0</v>
      </c>
      <c r="BL101" s="507" cm="1">
        <f t="array" ref="BL101">_xlfn.LET(_xlpm.DepreciationMonths,INDEX(FixedAssets[Depreciation
/ Amortization Months],_xlfn.XMATCH($E$84,FixedAssets[Asset ID])),IF(AND((_xlfn.XMATCH(BL$8,$AH$8:$CC$8))-_xlfn.XMATCH($C101,$C$35:$C$82)+1&lt;=_xlpm.DepreciationMonths,$C101&lt;=BL$8),$E101/_xlpm.DepreciationMonths,0))</f>
        <v>0</v>
      </c>
      <c r="BM101" s="507" cm="1">
        <f t="array" ref="BM101">_xlfn.LET(_xlpm.DepreciationMonths,INDEX(FixedAssets[Depreciation
/ Amortization Months],_xlfn.XMATCH($E$84,FixedAssets[Asset ID])),IF(AND((_xlfn.XMATCH(BM$8,$AH$8:$CC$8))-_xlfn.XMATCH($C101,$C$35:$C$82)+1&lt;=_xlpm.DepreciationMonths,$C101&lt;=BM$8),$E101/_xlpm.DepreciationMonths,0))</f>
        <v>0</v>
      </c>
      <c r="BN101" s="507" cm="1">
        <f t="array" ref="BN101">_xlfn.LET(_xlpm.DepreciationMonths,INDEX(FixedAssets[Depreciation
/ Amortization Months],_xlfn.XMATCH($E$84,FixedAssets[Asset ID])),IF(AND((_xlfn.XMATCH(BN$8,$AH$8:$CC$8))-_xlfn.XMATCH($C101,$C$35:$C$82)+1&lt;=_xlpm.DepreciationMonths,$C101&lt;=BN$8),$E101/_xlpm.DepreciationMonths,0))</f>
        <v>0</v>
      </c>
      <c r="BO101" s="507" cm="1">
        <f t="array" ref="BO101">_xlfn.LET(_xlpm.DepreciationMonths,INDEX(FixedAssets[Depreciation
/ Amortization Months],_xlfn.XMATCH($E$84,FixedAssets[Asset ID])),IF(AND((_xlfn.XMATCH(BO$8,$AH$8:$CC$8))-_xlfn.XMATCH($C101,$C$35:$C$82)+1&lt;=_xlpm.DepreciationMonths,$C101&lt;=BO$8),$E101/_xlpm.DepreciationMonths,0))</f>
        <v>0</v>
      </c>
      <c r="BP101" s="507" cm="1">
        <f t="array" ref="BP101">_xlfn.LET(_xlpm.DepreciationMonths,INDEX(FixedAssets[Depreciation
/ Amortization Months],_xlfn.XMATCH($E$84,FixedAssets[Asset ID])),IF(AND((_xlfn.XMATCH(BP$8,$AH$8:$CC$8))-_xlfn.XMATCH($C101,$C$35:$C$82)+1&lt;=_xlpm.DepreciationMonths,$C101&lt;=BP$8),$E101/_xlpm.DepreciationMonths,0))</f>
        <v>0</v>
      </c>
      <c r="BQ101" s="507" cm="1">
        <f t="array" ref="BQ101">_xlfn.LET(_xlpm.DepreciationMonths,INDEX(FixedAssets[Depreciation
/ Amortization Months],_xlfn.XMATCH($E$84,FixedAssets[Asset ID])),IF(AND((_xlfn.XMATCH(BQ$8,$AH$8:$CC$8))-_xlfn.XMATCH($C101,$C$35:$C$82)+1&lt;=_xlpm.DepreciationMonths,$C101&lt;=BQ$8),$E101/_xlpm.DepreciationMonths,0))</f>
        <v>0</v>
      </c>
      <c r="BR101" s="507" cm="1">
        <f t="array" ref="BR101">_xlfn.LET(_xlpm.DepreciationMonths,INDEX(FixedAssets[Depreciation
/ Amortization Months],_xlfn.XMATCH($E$84,FixedAssets[Asset ID])),IF(AND((_xlfn.XMATCH(BR$8,$AH$8:$CC$8))-_xlfn.XMATCH($C101,$C$35:$C$82)+1&lt;=_xlpm.DepreciationMonths,$C101&lt;=BR$8),$E101/_xlpm.DepreciationMonths,0))</f>
        <v>0</v>
      </c>
      <c r="BS101" s="507" cm="1">
        <f t="array" ref="BS101">_xlfn.LET(_xlpm.DepreciationMonths,INDEX(FixedAssets[Depreciation
/ Amortization Months],_xlfn.XMATCH($E$84,FixedAssets[Asset ID])),IF(AND((_xlfn.XMATCH(BS$8,$AH$8:$CC$8))-_xlfn.XMATCH($C101,$C$35:$C$82)+1&lt;=_xlpm.DepreciationMonths,$C101&lt;=BS$8),$E101/_xlpm.DepreciationMonths,0))</f>
        <v>0</v>
      </c>
      <c r="BT101" s="507" cm="1">
        <f t="array" ref="BT101">_xlfn.LET(_xlpm.DepreciationMonths,INDEX(FixedAssets[Depreciation
/ Amortization Months],_xlfn.XMATCH($E$84,FixedAssets[Asset ID])),IF(AND((_xlfn.XMATCH(BT$8,$AH$8:$CC$8))-_xlfn.XMATCH($C101,$C$35:$C$82)+1&lt;=_xlpm.DepreciationMonths,$C101&lt;=BT$8),$E101/_xlpm.DepreciationMonths,0))</f>
        <v>0</v>
      </c>
      <c r="BU101" s="507" cm="1">
        <f t="array" ref="BU101">_xlfn.LET(_xlpm.DepreciationMonths,INDEX(FixedAssets[Depreciation
/ Amortization Months],_xlfn.XMATCH($E$84,FixedAssets[Asset ID])),IF(AND((_xlfn.XMATCH(BU$8,$AH$8:$CC$8))-_xlfn.XMATCH($C101,$C$35:$C$82)+1&lt;=_xlpm.DepreciationMonths,$C101&lt;=BU$8),$E101/_xlpm.DepreciationMonths,0))</f>
        <v>0</v>
      </c>
      <c r="BV101" s="507" cm="1">
        <f t="array" ref="BV101">_xlfn.LET(_xlpm.DepreciationMonths,INDEX(FixedAssets[Depreciation
/ Amortization Months],_xlfn.XMATCH($E$84,FixedAssets[Asset ID])),IF(AND((_xlfn.XMATCH(BV$8,$AH$8:$CC$8))-_xlfn.XMATCH($C101,$C$35:$C$82)+1&lt;=_xlpm.DepreciationMonths,$C101&lt;=BV$8),$E101/_xlpm.DepreciationMonths,0))</f>
        <v>0</v>
      </c>
      <c r="BW101" s="507" cm="1">
        <f t="array" ref="BW101">_xlfn.LET(_xlpm.DepreciationMonths,INDEX(FixedAssets[Depreciation
/ Amortization Months],_xlfn.XMATCH($E$84,FixedAssets[Asset ID])),IF(AND((_xlfn.XMATCH(BW$8,$AH$8:$CC$8))-_xlfn.XMATCH($C101,$C$35:$C$82)+1&lt;=_xlpm.DepreciationMonths,$C101&lt;=BW$8),$E101/_xlpm.DepreciationMonths,0))</f>
        <v>0</v>
      </c>
      <c r="BX101" s="507" cm="1">
        <f t="array" ref="BX101">_xlfn.LET(_xlpm.DepreciationMonths,INDEX(FixedAssets[Depreciation
/ Amortization Months],_xlfn.XMATCH($E$84,FixedAssets[Asset ID])),IF(AND((_xlfn.XMATCH(BX$8,$AH$8:$CC$8))-_xlfn.XMATCH($C101,$C$35:$C$82)+1&lt;=_xlpm.DepreciationMonths,$C101&lt;=BX$8),$E101/_xlpm.DepreciationMonths,0))</f>
        <v>0</v>
      </c>
      <c r="BY101" s="507" cm="1">
        <f t="array" ref="BY101">_xlfn.LET(_xlpm.DepreciationMonths,INDEX(FixedAssets[Depreciation
/ Amortization Months],_xlfn.XMATCH($E$84,FixedAssets[Asset ID])),IF(AND((_xlfn.XMATCH(BY$8,$AH$8:$CC$8))-_xlfn.XMATCH($C101,$C$35:$C$82)+1&lt;=_xlpm.DepreciationMonths,$C101&lt;=BY$8),$E101/_xlpm.DepreciationMonths,0))</f>
        <v>0</v>
      </c>
      <c r="BZ101" s="507" cm="1">
        <f t="array" ref="BZ101">_xlfn.LET(_xlpm.DepreciationMonths,INDEX(FixedAssets[Depreciation
/ Amortization Months],_xlfn.XMATCH($E$84,FixedAssets[Asset ID])),IF(AND((_xlfn.XMATCH(BZ$8,$AH$8:$CC$8))-_xlfn.XMATCH($C101,$C$35:$C$82)+1&lt;=_xlpm.DepreciationMonths,$C101&lt;=BZ$8),$E101/_xlpm.DepreciationMonths,0))</f>
        <v>0</v>
      </c>
      <c r="CA101" s="507" cm="1">
        <f t="array" ref="CA101">_xlfn.LET(_xlpm.DepreciationMonths,INDEX(FixedAssets[Depreciation
/ Amortization Months],_xlfn.XMATCH($E$84,FixedAssets[Asset ID])),IF(AND((_xlfn.XMATCH(CA$8,$AH$8:$CC$8))-_xlfn.XMATCH($C101,$C$35:$C$82)+1&lt;=_xlpm.DepreciationMonths,$C101&lt;=CA$8),$E101/_xlpm.DepreciationMonths,0))</f>
        <v>0</v>
      </c>
      <c r="CB101" s="507" cm="1">
        <f t="array" ref="CB101">_xlfn.LET(_xlpm.DepreciationMonths,INDEX(FixedAssets[Depreciation
/ Amortization Months],_xlfn.XMATCH($E$84,FixedAssets[Asset ID])),IF(AND((_xlfn.XMATCH(CB$8,$AH$8:$CC$8))-_xlfn.XMATCH($C101,$C$35:$C$82)+1&lt;=_xlpm.DepreciationMonths,$C101&lt;=CB$8),$E101/_xlpm.DepreciationMonths,0))</f>
        <v>0</v>
      </c>
      <c r="CC101" s="507" cm="1">
        <f t="array" ref="CC101">_xlfn.LET(_xlpm.DepreciationMonths,INDEX(FixedAssets[Depreciation
/ Amortization Months],_xlfn.XMATCH($E$84,FixedAssets[Asset ID])),IF(AND((_xlfn.XMATCH(CC$8,$AH$8:$CC$8))-_xlfn.XMATCH($C101,$C$35:$C$82)+1&lt;=_xlpm.DepreciationMonths,$C101&lt;=CC$8),$E101/_xlpm.DepreciationMonths,0))</f>
        <v>0</v>
      </c>
    </row>
    <row r="102" spans="3:81" hidden="1" outlineLevel="2">
      <c r="C102" s="664">
        <f t="shared" si="167"/>
        <v>45443</v>
      </c>
      <c r="D102" s="508"/>
      <c r="E102" s="508" cm="1">
        <f t="array" ref="E102">SUMPRODUCT(($AH$26:$CC$31)*($AH$5:$CC$5=$C102)*($E$26:$E$31=E$84))-SUMPRODUCT(($AH$26:$CC$31)*($AH$5:$CC$5=EOMONTH($C102,-1))*($E$26:$E$31=E$84))</f>
        <v>0</v>
      </c>
      <c r="F102" s="508"/>
      <c r="G102" s="508"/>
      <c r="H102" s="508"/>
      <c r="I102" s="508"/>
      <c r="J102" s="504">
        <f t="shared" si="164"/>
        <v>0</v>
      </c>
      <c r="K102" s="504">
        <f t="shared" ref="K102:M117" si="169">SUMIFS($AH102:$CC102,$AH$4:$CC$4,"&gt;="&amp;K$4,$AH$5:$CC$5,"&lt;="&amp;K$5)</f>
        <v>0</v>
      </c>
      <c r="L102" s="504">
        <f t="shared" si="169"/>
        <v>0</v>
      </c>
      <c r="M102" s="504">
        <f t="shared" si="169"/>
        <v>0</v>
      </c>
      <c r="N102" s="504"/>
      <c r="O102" s="504"/>
      <c r="P102" s="504">
        <f t="shared" ref="P102:AE117" si="170">SUMIFS($AH102:$CC102,$AH$4:$CC$4,"&gt;="&amp;P$4,$AH$5:$CC$5,"&lt;="&amp;P$5)</f>
        <v>0</v>
      </c>
      <c r="Q102" s="504">
        <f t="shared" si="170"/>
        <v>0</v>
      </c>
      <c r="R102" s="504">
        <f t="shared" si="170"/>
        <v>0</v>
      </c>
      <c r="S102" s="504">
        <f t="shared" si="170"/>
        <v>0</v>
      </c>
      <c r="T102" s="504">
        <f t="shared" si="170"/>
        <v>0</v>
      </c>
      <c r="U102" s="504">
        <f t="shared" si="170"/>
        <v>0</v>
      </c>
      <c r="V102" s="504">
        <f t="shared" si="170"/>
        <v>0</v>
      </c>
      <c r="W102" s="504">
        <f t="shared" si="170"/>
        <v>0</v>
      </c>
      <c r="X102" s="504">
        <f t="shared" si="170"/>
        <v>0</v>
      </c>
      <c r="Y102" s="504">
        <f t="shared" si="170"/>
        <v>0</v>
      </c>
      <c r="Z102" s="504">
        <f t="shared" si="170"/>
        <v>0</v>
      </c>
      <c r="AA102" s="504">
        <f t="shared" si="170"/>
        <v>0</v>
      </c>
      <c r="AB102" s="504">
        <f t="shared" si="170"/>
        <v>0</v>
      </c>
      <c r="AC102" s="504">
        <f t="shared" si="170"/>
        <v>0</v>
      </c>
      <c r="AD102" s="504">
        <f t="shared" si="170"/>
        <v>0</v>
      </c>
      <c r="AE102" s="504">
        <f t="shared" si="170"/>
        <v>0</v>
      </c>
      <c r="AF102" s="508"/>
      <c r="AG102" s="508"/>
      <c r="AH102" s="507" cm="1">
        <f t="array" ref="AH102">_xlfn.LET(_xlpm.DepreciationMonths,INDEX(FixedAssets[Depreciation
/ Amortization Months],_xlfn.XMATCH($E$84,FixedAssets[Asset ID])),IF(AND((_xlfn.XMATCH(AH$8,$AH$8:$CC$8))-_xlfn.XMATCH($C102,$C$35:$C$82)+1&lt;=_xlpm.DepreciationMonths,$C102&lt;=AH$8),$E102/_xlpm.DepreciationMonths,0))</f>
        <v>0</v>
      </c>
      <c r="AI102" s="507" cm="1">
        <f t="array" ref="AI102">_xlfn.LET(_xlpm.DepreciationMonths,INDEX(FixedAssets[Depreciation
/ Amortization Months],_xlfn.XMATCH($E$84,FixedAssets[Asset ID])),IF(AND((_xlfn.XMATCH(AI$8,$AH$8:$CC$8))-_xlfn.XMATCH($C102,$C$35:$C$82)+1&lt;=_xlpm.DepreciationMonths,$C102&lt;=AI$8),$E102/_xlpm.DepreciationMonths,0))</f>
        <v>0</v>
      </c>
      <c r="AJ102" s="507" cm="1">
        <f t="array" ref="AJ102">_xlfn.LET(_xlpm.DepreciationMonths,INDEX(FixedAssets[Depreciation
/ Amortization Months],_xlfn.XMATCH($E$84,FixedAssets[Asset ID])),IF(AND((_xlfn.XMATCH(AJ$8,$AH$8:$CC$8))-_xlfn.XMATCH($C102,$C$35:$C$82)+1&lt;=_xlpm.DepreciationMonths,$C102&lt;=AJ$8),$E102/_xlpm.DepreciationMonths,0))</f>
        <v>0</v>
      </c>
      <c r="AK102" s="507" cm="1">
        <f t="array" ref="AK102">_xlfn.LET(_xlpm.DepreciationMonths,INDEX(FixedAssets[Depreciation
/ Amortization Months],_xlfn.XMATCH($E$84,FixedAssets[Asset ID])),IF(AND((_xlfn.XMATCH(AK$8,$AH$8:$CC$8))-_xlfn.XMATCH($C102,$C$35:$C$82)+1&lt;=_xlpm.DepreciationMonths,$C102&lt;=AK$8),$E102/_xlpm.DepreciationMonths,0))</f>
        <v>0</v>
      </c>
      <c r="AL102" s="507" cm="1">
        <f t="array" ref="AL102">_xlfn.LET(_xlpm.DepreciationMonths,INDEX(FixedAssets[Depreciation
/ Amortization Months],_xlfn.XMATCH($E$84,FixedAssets[Asset ID])),IF(AND((_xlfn.XMATCH(AL$8,$AH$8:$CC$8))-_xlfn.XMATCH($C102,$C$35:$C$82)+1&lt;=_xlpm.DepreciationMonths,$C102&lt;=AL$8),$E102/_xlpm.DepreciationMonths,0))</f>
        <v>0</v>
      </c>
      <c r="AM102" s="507" cm="1">
        <f t="array" ref="AM102">_xlfn.LET(_xlpm.DepreciationMonths,INDEX(FixedAssets[Depreciation
/ Amortization Months],_xlfn.XMATCH($E$84,FixedAssets[Asset ID])),IF(AND((_xlfn.XMATCH(AM$8,$AH$8:$CC$8))-_xlfn.XMATCH($C102,$C$35:$C$82)+1&lt;=_xlpm.DepreciationMonths,$C102&lt;=AM$8),$E102/_xlpm.DepreciationMonths,0))</f>
        <v>0</v>
      </c>
      <c r="AN102" s="507" cm="1">
        <f t="array" ref="AN102">_xlfn.LET(_xlpm.DepreciationMonths,INDEX(FixedAssets[Depreciation
/ Amortization Months],_xlfn.XMATCH($E$84,FixedAssets[Asset ID])),IF(AND((_xlfn.XMATCH(AN$8,$AH$8:$CC$8))-_xlfn.XMATCH($C102,$C$35:$C$82)+1&lt;=_xlpm.DepreciationMonths,$C102&lt;=AN$8),$E102/_xlpm.DepreciationMonths,0))</f>
        <v>0</v>
      </c>
      <c r="AO102" s="507" cm="1">
        <f t="array" ref="AO102">_xlfn.LET(_xlpm.DepreciationMonths,INDEX(FixedAssets[Depreciation
/ Amortization Months],_xlfn.XMATCH($E$84,FixedAssets[Asset ID])),IF(AND((_xlfn.XMATCH(AO$8,$AH$8:$CC$8))-_xlfn.XMATCH($C102,$C$35:$C$82)+1&lt;=_xlpm.DepreciationMonths,$C102&lt;=AO$8),$E102/_xlpm.DepreciationMonths,0))</f>
        <v>0</v>
      </c>
      <c r="AP102" s="507" cm="1">
        <f t="array" ref="AP102">_xlfn.LET(_xlpm.DepreciationMonths,INDEX(FixedAssets[Depreciation
/ Amortization Months],_xlfn.XMATCH($E$84,FixedAssets[Asset ID])),IF(AND((_xlfn.XMATCH(AP$8,$AH$8:$CC$8))-_xlfn.XMATCH($C102,$C$35:$C$82)+1&lt;=_xlpm.DepreciationMonths,$C102&lt;=AP$8),$E102/_xlpm.DepreciationMonths,0))</f>
        <v>0</v>
      </c>
      <c r="AQ102" s="507" cm="1">
        <f t="array" ref="AQ102">_xlfn.LET(_xlpm.DepreciationMonths,INDEX(FixedAssets[Depreciation
/ Amortization Months],_xlfn.XMATCH($E$84,FixedAssets[Asset ID])),IF(AND((_xlfn.XMATCH(AQ$8,$AH$8:$CC$8))-_xlfn.XMATCH($C102,$C$35:$C$82)+1&lt;=_xlpm.DepreciationMonths,$C102&lt;=AQ$8),$E102/_xlpm.DepreciationMonths,0))</f>
        <v>0</v>
      </c>
      <c r="AR102" s="507" cm="1">
        <f t="array" ref="AR102">_xlfn.LET(_xlpm.DepreciationMonths,INDEX(FixedAssets[Depreciation
/ Amortization Months],_xlfn.XMATCH($E$84,FixedAssets[Asset ID])),IF(AND((_xlfn.XMATCH(AR$8,$AH$8:$CC$8))-_xlfn.XMATCH($C102,$C$35:$C$82)+1&lt;=_xlpm.DepreciationMonths,$C102&lt;=AR$8),$E102/_xlpm.DepreciationMonths,0))</f>
        <v>0</v>
      </c>
      <c r="AS102" s="507" cm="1">
        <f t="array" ref="AS102">_xlfn.LET(_xlpm.DepreciationMonths,INDEX(FixedAssets[Depreciation
/ Amortization Months],_xlfn.XMATCH($E$84,FixedAssets[Asset ID])),IF(AND((_xlfn.XMATCH(AS$8,$AH$8:$CC$8))-_xlfn.XMATCH($C102,$C$35:$C$82)+1&lt;=_xlpm.DepreciationMonths,$C102&lt;=AS$8),$E102/_xlpm.DepreciationMonths,0))</f>
        <v>0</v>
      </c>
      <c r="AT102" s="507" cm="1">
        <f t="array" ref="AT102">_xlfn.LET(_xlpm.DepreciationMonths,INDEX(FixedAssets[Depreciation
/ Amortization Months],_xlfn.XMATCH($E$84,FixedAssets[Asset ID])),IF(AND((_xlfn.XMATCH(AT$8,$AH$8:$CC$8))-_xlfn.XMATCH($C102,$C$35:$C$82)+1&lt;=_xlpm.DepreciationMonths,$C102&lt;=AT$8),$E102/_xlpm.DepreciationMonths,0))</f>
        <v>0</v>
      </c>
      <c r="AU102" s="507" cm="1">
        <f t="array" ref="AU102">_xlfn.LET(_xlpm.DepreciationMonths,INDEX(FixedAssets[Depreciation
/ Amortization Months],_xlfn.XMATCH($E$84,FixedAssets[Asset ID])),IF(AND((_xlfn.XMATCH(AU$8,$AH$8:$CC$8))-_xlfn.XMATCH($C102,$C$35:$C$82)+1&lt;=_xlpm.DepreciationMonths,$C102&lt;=AU$8),$E102/_xlpm.DepreciationMonths,0))</f>
        <v>0</v>
      </c>
      <c r="AV102" s="507" cm="1">
        <f t="array" ref="AV102">_xlfn.LET(_xlpm.DepreciationMonths,INDEX(FixedAssets[Depreciation
/ Amortization Months],_xlfn.XMATCH($E$84,FixedAssets[Asset ID])),IF(AND((_xlfn.XMATCH(AV$8,$AH$8:$CC$8))-_xlfn.XMATCH($C102,$C$35:$C$82)+1&lt;=_xlpm.DepreciationMonths,$C102&lt;=AV$8),$E102/_xlpm.DepreciationMonths,0))</f>
        <v>0</v>
      </c>
      <c r="AW102" s="507" cm="1">
        <f t="array" ref="AW102">_xlfn.LET(_xlpm.DepreciationMonths,INDEX(FixedAssets[Depreciation
/ Amortization Months],_xlfn.XMATCH($E$84,FixedAssets[Asset ID])),IF(AND((_xlfn.XMATCH(AW$8,$AH$8:$CC$8))-_xlfn.XMATCH($C102,$C$35:$C$82)+1&lt;=_xlpm.DepreciationMonths,$C102&lt;=AW$8),$E102/_xlpm.DepreciationMonths,0))</f>
        <v>0</v>
      </c>
      <c r="AX102" s="507" cm="1">
        <f t="array" ref="AX102">_xlfn.LET(_xlpm.DepreciationMonths,INDEX(FixedAssets[Depreciation
/ Amortization Months],_xlfn.XMATCH($E$84,FixedAssets[Asset ID])),IF(AND((_xlfn.XMATCH(AX$8,$AH$8:$CC$8))-_xlfn.XMATCH($C102,$C$35:$C$82)+1&lt;=_xlpm.DepreciationMonths,$C102&lt;=AX$8),$E102/_xlpm.DepreciationMonths,0))</f>
        <v>0</v>
      </c>
      <c r="AY102" s="507" cm="1">
        <f t="array" ref="AY102">_xlfn.LET(_xlpm.DepreciationMonths,INDEX(FixedAssets[Depreciation
/ Amortization Months],_xlfn.XMATCH($E$84,FixedAssets[Asset ID])),IF(AND((_xlfn.XMATCH(AY$8,$AH$8:$CC$8))-_xlfn.XMATCH($C102,$C$35:$C$82)+1&lt;=_xlpm.DepreciationMonths,$C102&lt;=AY$8),$E102/_xlpm.DepreciationMonths,0))</f>
        <v>0</v>
      </c>
      <c r="AZ102" s="507" cm="1">
        <f t="array" ref="AZ102">_xlfn.LET(_xlpm.DepreciationMonths,INDEX(FixedAssets[Depreciation
/ Amortization Months],_xlfn.XMATCH($E$84,FixedAssets[Asset ID])),IF(AND((_xlfn.XMATCH(AZ$8,$AH$8:$CC$8))-_xlfn.XMATCH($C102,$C$35:$C$82)+1&lt;=_xlpm.DepreciationMonths,$C102&lt;=AZ$8),$E102/_xlpm.DepreciationMonths,0))</f>
        <v>0</v>
      </c>
      <c r="BA102" s="507" cm="1">
        <f t="array" ref="BA102">_xlfn.LET(_xlpm.DepreciationMonths,INDEX(FixedAssets[Depreciation
/ Amortization Months],_xlfn.XMATCH($E$84,FixedAssets[Asset ID])),IF(AND((_xlfn.XMATCH(BA$8,$AH$8:$CC$8))-_xlfn.XMATCH($C102,$C$35:$C$82)+1&lt;=_xlpm.DepreciationMonths,$C102&lt;=BA$8),$E102/_xlpm.DepreciationMonths,0))</f>
        <v>0</v>
      </c>
      <c r="BB102" s="507" cm="1">
        <f t="array" ref="BB102">_xlfn.LET(_xlpm.DepreciationMonths,INDEX(FixedAssets[Depreciation
/ Amortization Months],_xlfn.XMATCH($E$84,FixedAssets[Asset ID])),IF(AND((_xlfn.XMATCH(BB$8,$AH$8:$CC$8))-_xlfn.XMATCH($C102,$C$35:$C$82)+1&lt;=_xlpm.DepreciationMonths,$C102&lt;=BB$8),$E102/_xlpm.DepreciationMonths,0))</f>
        <v>0</v>
      </c>
      <c r="BC102" s="507" cm="1">
        <f t="array" ref="BC102">_xlfn.LET(_xlpm.DepreciationMonths,INDEX(FixedAssets[Depreciation
/ Amortization Months],_xlfn.XMATCH($E$84,FixedAssets[Asset ID])),IF(AND((_xlfn.XMATCH(BC$8,$AH$8:$CC$8))-_xlfn.XMATCH($C102,$C$35:$C$82)+1&lt;=_xlpm.DepreciationMonths,$C102&lt;=BC$8),$E102/_xlpm.DepreciationMonths,0))</f>
        <v>0</v>
      </c>
      <c r="BD102" s="507" cm="1">
        <f t="array" ref="BD102">_xlfn.LET(_xlpm.DepreciationMonths,INDEX(FixedAssets[Depreciation
/ Amortization Months],_xlfn.XMATCH($E$84,FixedAssets[Asset ID])),IF(AND((_xlfn.XMATCH(BD$8,$AH$8:$CC$8))-_xlfn.XMATCH($C102,$C$35:$C$82)+1&lt;=_xlpm.DepreciationMonths,$C102&lt;=BD$8),$E102/_xlpm.DepreciationMonths,0))</f>
        <v>0</v>
      </c>
      <c r="BE102" s="507" cm="1">
        <f t="array" ref="BE102">_xlfn.LET(_xlpm.DepreciationMonths,INDEX(FixedAssets[Depreciation
/ Amortization Months],_xlfn.XMATCH($E$84,FixedAssets[Asset ID])),IF(AND((_xlfn.XMATCH(BE$8,$AH$8:$CC$8))-_xlfn.XMATCH($C102,$C$35:$C$82)+1&lt;=_xlpm.DepreciationMonths,$C102&lt;=BE$8),$E102/_xlpm.DepreciationMonths,0))</f>
        <v>0</v>
      </c>
      <c r="BF102" s="507" cm="1">
        <f t="array" ref="BF102">_xlfn.LET(_xlpm.DepreciationMonths,INDEX(FixedAssets[Depreciation
/ Amortization Months],_xlfn.XMATCH($E$84,FixedAssets[Asset ID])),IF(AND((_xlfn.XMATCH(BF$8,$AH$8:$CC$8))-_xlfn.XMATCH($C102,$C$35:$C$82)+1&lt;=_xlpm.DepreciationMonths,$C102&lt;=BF$8),$E102/_xlpm.DepreciationMonths,0))</f>
        <v>0</v>
      </c>
      <c r="BG102" s="507" cm="1">
        <f t="array" ref="BG102">_xlfn.LET(_xlpm.DepreciationMonths,INDEX(FixedAssets[Depreciation
/ Amortization Months],_xlfn.XMATCH($E$84,FixedAssets[Asset ID])),IF(AND((_xlfn.XMATCH(BG$8,$AH$8:$CC$8))-_xlfn.XMATCH($C102,$C$35:$C$82)+1&lt;=_xlpm.DepreciationMonths,$C102&lt;=BG$8),$E102/_xlpm.DepreciationMonths,0))</f>
        <v>0</v>
      </c>
      <c r="BH102" s="507" cm="1">
        <f t="array" ref="BH102">_xlfn.LET(_xlpm.DepreciationMonths,INDEX(FixedAssets[Depreciation
/ Amortization Months],_xlfn.XMATCH($E$84,FixedAssets[Asset ID])),IF(AND((_xlfn.XMATCH(BH$8,$AH$8:$CC$8))-_xlfn.XMATCH($C102,$C$35:$C$82)+1&lt;=_xlpm.DepreciationMonths,$C102&lt;=BH$8),$E102/_xlpm.DepreciationMonths,0))</f>
        <v>0</v>
      </c>
      <c r="BI102" s="507" cm="1">
        <f t="array" ref="BI102">_xlfn.LET(_xlpm.DepreciationMonths,INDEX(FixedAssets[Depreciation
/ Amortization Months],_xlfn.XMATCH($E$84,FixedAssets[Asset ID])),IF(AND((_xlfn.XMATCH(BI$8,$AH$8:$CC$8))-_xlfn.XMATCH($C102,$C$35:$C$82)+1&lt;=_xlpm.DepreciationMonths,$C102&lt;=BI$8),$E102/_xlpm.DepreciationMonths,0))</f>
        <v>0</v>
      </c>
      <c r="BJ102" s="507" cm="1">
        <f t="array" ref="BJ102">_xlfn.LET(_xlpm.DepreciationMonths,INDEX(FixedAssets[Depreciation
/ Amortization Months],_xlfn.XMATCH($E$84,FixedAssets[Asset ID])),IF(AND((_xlfn.XMATCH(BJ$8,$AH$8:$CC$8))-_xlfn.XMATCH($C102,$C$35:$C$82)+1&lt;=_xlpm.DepreciationMonths,$C102&lt;=BJ$8),$E102/_xlpm.DepreciationMonths,0))</f>
        <v>0</v>
      </c>
      <c r="BK102" s="507" cm="1">
        <f t="array" ref="BK102">_xlfn.LET(_xlpm.DepreciationMonths,INDEX(FixedAssets[Depreciation
/ Amortization Months],_xlfn.XMATCH($E$84,FixedAssets[Asset ID])),IF(AND((_xlfn.XMATCH(BK$8,$AH$8:$CC$8))-_xlfn.XMATCH($C102,$C$35:$C$82)+1&lt;=_xlpm.DepreciationMonths,$C102&lt;=BK$8),$E102/_xlpm.DepreciationMonths,0))</f>
        <v>0</v>
      </c>
      <c r="BL102" s="507" cm="1">
        <f t="array" ref="BL102">_xlfn.LET(_xlpm.DepreciationMonths,INDEX(FixedAssets[Depreciation
/ Amortization Months],_xlfn.XMATCH($E$84,FixedAssets[Asset ID])),IF(AND((_xlfn.XMATCH(BL$8,$AH$8:$CC$8))-_xlfn.XMATCH($C102,$C$35:$C$82)+1&lt;=_xlpm.DepreciationMonths,$C102&lt;=BL$8),$E102/_xlpm.DepreciationMonths,0))</f>
        <v>0</v>
      </c>
      <c r="BM102" s="507" cm="1">
        <f t="array" ref="BM102">_xlfn.LET(_xlpm.DepreciationMonths,INDEX(FixedAssets[Depreciation
/ Amortization Months],_xlfn.XMATCH($E$84,FixedAssets[Asset ID])),IF(AND((_xlfn.XMATCH(BM$8,$AH$8:$CC$8))-_xlfn.XMATCH($C102,$C$35:$C$82)+1&lt;=_xlpm.DepreciationMonths,$C102&lt;=BM$8),$E102/_xlpm.DepreciationMonths,0))</f>
        <v>0</v>
      </c>
      <c r="BN102" s="507" cm="1">
        <f t="array" ref="BN102">_xlfn.LET(_xlpm.DepreciationMonths,INDEX(FixedAssets[Depreciation
/ Amortization Months],_xlfn.XMATCH($E$84,FixedAssets[Asset ID])),IF(AND((_xlfn.XMATCH(BN$8,$AH$8:$CC$8))-_xlfn.XMATCH($C102,$C$35:$C$82)+1&lt;=_xlpm.DepreciationMonths,$C102&lt;=BN$8),$E102/_xlpm.DepreciationMonths,0))</f>
        <v>0</v>
      </c>
      <c r="BO102" s="507" cm="1">
        <f t="array" ref="BO102">_xlfn.LET(_xlpm.DepreciationMonths,INDEX(FixedAssets[Depreciation
/ Amortization Months],_xlfn.XMATCH($E$84,FixedAssets[Asset ID])),IF(AND((_xlfn.XMATCH(BO$8,$AH$8:$CC$8))-_xlfn.XMATCH($C102,$C$35:$C$82)+1&lt;=_xlpm.DepreciationMonths,$C102&lt;=BO$8),$E102/_xlpm.DepreciationMonths,0))</f>
        <v>0</v>
      </c>
      <c r="BP102" s="507" cm="1">
        <f t="array" ref="BP102">_xlfn.LET(_xlpm.DepreciationMonths,INDEX(FixedAssets[Depreciation
/ Amortization Months],_xlfn.XMATCH($E$84,FixedAssets[Asset ID])),IF(AND((_xlfn.XMATCH(BP$8,$AH$8:$CC$8))-_xlfn.XMATCH($C102,$C$35:$C$82)+1&lt;=_xlpm.DepreciationMonths,$C102&lt;=BP$8),$E102/_xlpm.DepreciationMonths,0))</f>
        <v>0</v>
      </c>
      <c r="BQ102" s="507" cm="1">
        <f t="array" ref="BQ102">_xlfn.LET(_xlpm.DepreciationMonths,INDEX(FixedAssets[Depreciation
/ Amortization Months],_xlfn.XMATCH($E$84,FixedAssets[Asset ID])),IF(AND((_xlfn.XMATCH(BQ$8,$AH$8:$CC$8))-_xlfn.XMATCH($C102,$C$35:$C$82)+1&lt;=_xlpm.DepreciationMonths,$C102&lt;=BQ$8),$E102/_xlpm.DepreciationMonths,0))</f>
        <v>0</v>
      </c>
      <c r="BR102" s="507" cm="1">
        <f t="array" ref="BR102">_xlfn.LET(_xlpm.DepreciationMonths,INDEX(FixedAssets[Depreciation
/ Amortization Months],_xlfn.XMATCH($E$84,FixedAssets[Asset ID])),IF(AND((_xlfn.XMATCH(BR$8,$AH$8:$CC$8))-_xlfn.XMATCH($C102,$C$35:$C$82)+1&lt;=_xlpm.DepreciationMonths,$C102&lt;=BR$8),$E102/_xlpm.DepreciationMonths,0))</f>
        <v>0</v>
      </c>
      <c r="BS102" s="507" cm="1">
        <f t="array" ref="BS102">_xlfn.LET(_xlpm.DepreciationMonths,INDEX(FixedAssets[Depreciation
/ Amortization Months],_xlfn.XMATCH($E$84,FixedAssets[Asset ID])),IF(AND((_xlfn.XMATCH(BS$8,$AH$8:$CC$8))-_xlfn.XMATCH($C102,$C$35:$C$82)+1&lt;=_xlpm.DepreciationMonths,$C102&lt;=BS$8),$E102/_xlpm.DepreciationMonths,0))</f>
        <v>0</v>
      </c>
      <c r="BT102" s="507" cm="1">
        <f t="array" ref="BT102">_xlfn.LET(_xlpm.DepreciationMonths,INDEX(FixedAssets[Depreciation
/ Amortization Months],_xlfn.XMATCH($E$84,FixedAssets[Asset ID])),IF(AND((_xlfn.XMATCH(BT$8,$AH$8:$CC$8))-_xlfn.XMATCH($C102,$C$35:$C$82)+1&lt;=_xlpm.DepreciationMonths,$C102&lt;=BT$8),$E102/_xlpm.DepreciationMonths,0))</f>
        <v>0</v>
      </c>
      <c r="BU102" s="507" cm="1">
        <f t="array" ref="BU102">_xlfn.LET(_xlpm.DepreciationMonths,INDEX(FixedAssets[Depreciation
/ Amortization Months],_xlfn.XMATCH($E$84,FixedAssets[Asset ID])),IF(AND((_xlfn.XMATCH(BU$8,$AH$8:$CC$8))-_xlfn.XMATCH($C102,$C$35:$C$82)+1&lt;=_xlpm.DepreciationMonths,$C102&lt;=BU$8),$E102/_xlpm.DepreciationMonths,0))</f>
        <v>0</v>
      </c>
      <c r="BV102" s="507" cm="1">
        <f t="array" ref="BV102">_xlfn.LET(_xlpm.DepreciationMonths,INDEX(FixedAssets[Depreciation
/ Amortization Months],_xlfn.XMATCH($E$84,FixedAssets[Asset ID])),IF(AND((_xlfn.XMATCH(BV$8,$AH$8:$CC$8))-_xlfn.XMATCH($C102,$C$35:$C$82)+1&lt;=_xlpm.DepreciationMonths,$C102&lt;=BV$8),$E102/_xlpm.DepreciationMonths,0))</f>
        <v>0</v>
      </c>
      <c r="BW102" s="507" cm="1">
        <f t="array" ref="BW102">_xlfn.LET(_xlpm.DepreciationMonths,INDEX(FixedAssets[Depreciation
/ Amortization Months],_xlfn.XMATCH($E$84,FixedAssets[Asset ID])),IF(AND((_xlfn.XMATCH(BW$8,$AH$8:$CC$8))-_xlfn.XMATCH($C102,$C$35:$C$82)+1&lt;=_xlpm.DepreciationMonths,$C102&lt;=BW$8),$E102/_xlpm.DepreciationMonths,0))</f>
        <v>0</v>
      </c>
      <c r="BX102" s="507" cm="1">
        <f t="array" ref="BX102">_xlfn.LET(_xlpm.DepreciationMonths,INDEX(FixedAssets[Depreciation
/ Amortization Months],_xlfn.XMATCH($E$84,FixedAssets[Asset ID])),IF(AND((_xlfn.XMATCH(BX$8,$AH$8:$CC$8))-_xlfn.XMATCH($C102,$C$35:$C$82)+1&lt;=_xlpm.DepreciationMonths,$C102&lt;=BX$8),$E102/_xlpm.DepreciationMonths,0))</f>
        <v>0</v>
      </c>
      <c r="BY102" s="507" cm="1">
        <f t="array" ref="BY102">_xlfn.LET(_xlpm.DepreciationMonths,INDEX(FixedAssets[Depreciation
/ Amortization Months],_xlfn.XMATCH($E$84,FixedAssets[Asset ID])),IF(AND((_xlfn.XMATCH(BY$8,$AH$8:$CC$8))-_xlfn.XMATCH($C102,$C$35:$C$82)+1&lt;=_xlpm.DepreciationMonths,$C102&lt;=BY$8),$E102/_xlpm.DepreciationMonths,0))</f>
        <v>0</v>
      </c>
      <c r="BZ102" s="507" cm="1">
        <f t="array" ref="BZ102">_xlfn.LET(_xlpm.DepreciationMonths,INDEX(FixedAssets[Depreciation
/ Amortization Months],_xlfn.XMATCH($E$84,FixedAssets[Asset ID])),IF(AND((_xlfn.XMATCH(BZ$8,$AH$8:$CC$8))-_xlfn.XMATCH($C102,$C$35:$C$82)+1&lt;=_xlpm.DepreciationMonths,$C102&lt;=BZ$8),$E102/_xlpm.DepreciationMonths,0))</f>
        <v>0</v>
      </c>
      <c r="CA102" s="507" cm="1">
        <f t="array" ref="CA102">_xlfn.LET(_xlpm.DepreciationMonths,INDEX(FixedAssets[Depreciation
/ Amortization Months],_xlfn.XMATCH($E$84,FixedAssets[Asset ID])),IF(AND((_xlfn.XMATCH(CA$8,$AH$8:$CC$8))-_xlfn.XMATCH($C102,$C$35:$C$82)+1&lt;=_xlpm.DepreciationMonths,$C102&lt;=CA$8),$E102/_xlpm.DepreciationMonths,0))</f>
        <v>0</v>
      </c>
      <c r="CB102" s="507" cm="1">
        <f t="array" ref="CB102">_xlfn.LET(_xlpm.DepreciationMonths,INDEX(FixedAssets[Depreciation
/ Amortization Months],_xlfn.XMATCH($E$84,FixedAssets[Asset ID])),IF(AND((_xlfn.XMATCH(CB$8,$AH$8:$CC$8))-_xlfn.XMATCH($C102,$C$35:$C$82)+1&lt;=_xlpm.DepreciationMonths,$C102&lt;=CB$8),$E102/_xlpm.DepreciationMonths,0))</f>
        <v>0</v>
      </c>
      <c r="CC102" s="507" cm="1">
        <f t="array" ref="CC102">_xlfn.LET(_xlpm.DepreciationMonths,INDEX(FixedAssets[Depreciation
/ Amortization Months],_xlfn.XMATCH($E$84,FixedAssets[Asset ID])),IF(AND((_xlfn.XMATCH(CC$8,$AH$8:$CC$8))-_xlfn.XMATCH($C102,$C$35:$C$82)+1&lt;=_xlpm.DepreciationMonths,$C102&lt;=CC$8),$E102/_xlpm.DepreciationMonths,0))</f>
        <v>0</v>
      </c>
    </row>
    <row r="103" spans="3:81" hidden="1" outlineLevel="2">
      <c r="C103" s="664">
        <f t="shared" si="167"/>
        <v>45473</v>
      </c>
      <c r="D103" s="508"/>
      <c r="E103" s="508" cm="1">
        <f t="array" ref="E103">SUMPRODUCT(($AH$26:$CC$31)*($AH$5:$CC$5=$C103)*($E$26:$E$31=E$84))-SUMPRODUCT(($AH$26:$CC$31)*($AH$5:$CC$5=EOMONTH($C103,-1))*($E$26:$E$31=E$84))</f>
        <v>0</v>
      </c>
      <c r="F103" s="508"/>
      <c r="G103" s="508"/>
      <c r="H103" s="508"/>
      <c r="I103" s="508"/>
      <c r="J103" s="504">
        <f t="shared" si="164"/>
        <v>0</v>
      </c>
      <c r="K103" s="504">
        <f t="shared" si="169"/>
        <v>0</v>
      </c>
      <c r="L103" s="504">
        <f t="shared" si="169"/>
        <v>0</v>
      </c>
      <c r="M103" s="504">
        <f t="shared" si="169"/>
        <v>0</v>
      </c>
      <c r="N103" s="504"/>
      <c r="O103" s="504"/>
      <c r="P103" s="504">
        <f t="shared" si="170"/>
        <v>0</v>
      </c>
      <c r="Q103" s="504">
        <f t="shared" si="170"/>
        <v>0</v>
      </c>
      <c r="R103" s="504">
        <f t="shared" si="170"/>
        <v>0</v>
      </c>
      <c r="S103" s="504">
        <f t="shared" si="170"/>
        <v>0</v>
      </c>
      <c r="T103" s="504">
        <f t="shared" si="170"/>
        <v>0</v>
      </c>
      <c r="U103" s="504">
        <f t="shared" si="170"/>
        <v>0</v>
      </c>
      <c r="V103" s="504">
        <f t="shared" si="170"/>
        <v>0</v>
      </c>
      <c r="W103" s="504">
        <f t="shared" si="170"/>
        <v>0</v>
      </c>
      <c r="X103" s="504">
        <f t="shared" si="170"/>
        <v>0</v>
      </c>
      <c r="Y103" s="504">
        <f t="shared" si="170"/>
        <v>0</v>
      </c>
      <c r="Z103" s="504">
        <f t="shared" si="170"/>
        <v>0</v>
      </c>
      <c r="AA103" s="504">
        <f t="shared" si="170"/>
        <v>0</v>
      </c>
      <c r="AB103" s="504">
        <f t="shared" si="170"/>
        <v>0</v>
      </c>
      <c r="AC103" s="504">
        <f t="shared" si="170"/>
        <v>0</v>
      </c>
      <c r="AD103" s="504">
        <f t="shared" si="170"/>
        <v>0</v>
      </c>
      <c r="AE103" s="504">
        <f t="shared" si="170"/>
        <v>0</v>
      </c>
      <c r="AF103" s="508"/>
      <c r="AG103" s="508"/>
      <c r="AH103" s="507" cm="1">
        <f t="array" ref="AH103">_xlfn.LET(_xlpm.DepreciationMonths,INDEX(FixedAssets[Depreciation
/ Amortization Months],_xlfn.XMATCH($E$84,FixedAssets[Asset ID])),IF(AND((_xlfn.XMATCH(AH$8,$AH$8:$CC$8))-_xlfn.XMATCH($C103,$C$35:$C$82)+1&lt;=_xlpm.DepreciationMonths,$C103&lt;=AH$8),$E103/_xlpm.DepreciationMonths,0))</f>
        <v>0</v>
      </c>
      <c r="AI103" s="507" cm="1">
        <f t="array" ref="AI103">_xlfn.LET(_xlpm.DepreciationMonths,INDEX(FixedAssets[Depreciation
/ Amortization Months],_xlfn.XMATCH($E$84,FixedAssets[Asset ID])),IF(AND((_xlfn.XMATCH(AI$8,$AH$8:$CC$8))-_xlfn.XMATCH($C103,$C$35:$C$82)+1&lt;=_xlpm.DepreciationMonths,$C103&lt;=AI$8),$E103/_xlpm.DepreciationMonths,0))</f>
        <v>0</v>
      </c>
      <c r="AJ103" s="507" cm="1">
        <f t="array" ref="AJ103">_xlfn.LET(_xlpm.DepreciationMonths,INDEX(FixedAssets[Depreciation
/ Amortization Months],_xlfn.XMATCH($E$84,FixedAssets[Asset ID])),IF(AND((_xlfn.XMATCH(AJ$8,$AH$8:$CC$8))-_xlfn.XMATCH($C103,$C$35:$C$82)+1&lt;=_xlpm.DepreciationMonths,$C103&lt;=AJ$8),$E103/_xlpm.DepreciationMonths,0))</f>
        <v>0</v>
      </c>
      <c r="AK103" s="507" cm="1">
        <f t="array" ref="AK103">_xlfn.LET(_xlpm.DepreciationMonths,INDEX(FixedAssets[Depreciation
/ Amortization Months],_xlfn.XMATCH($E$84,FixedAssets[Asset ID])),IF(AND((_xlfn.XMATCH(AK$8,$AH$8:$CC$8))-_xlfn.XMATCH($C103,$C$35:$C$82)+1&lt;=_xlpm.DepreciationMonths,$C103&lt;=AK$8),$E103/_xlpm.DepreciationMonths,0))</f>
        <v>0</v>
      </c>
      <c r="AL103" s="507" cm="1">
        <f t="array" ref="AL103">_xlfn.LET(_xlpm.DepreciationMonths,INDEX(FixedAssets[Depreciation
/ Amortization Months],_xlfn.XMATCH($E$84,FixedAssets[Asset ID])),IF(AND((_xlfn.XMATCH(AL$8,$AH$8:$CC$8))-_xlfn.XMATCH($C103,$C$35:$C$82)+1&lt;=_xlpm.DepreciationMonths,$C103&lt;=AL$8),$E103/_xlpm.DepreciationMonths,0))</f>
        <v>0</v>
      </c>
      <c r="AM103" s="507" cm="1">
        <f t="array" ref="AM103">_xlfn.LET(_xlpm.DepreciationMonths,INDEX(FixedAssets[Depreciation
/ Amortization Months],_xlfn.XMATCH($E$84,FixedAssets[Asset ID])),IF(AND((_xlfn.XMATCH(AM$8,$AH$8:$CC$8))-_xlfn.XMATCH($C103,$C$35:$C$82)+1&lt;=_xlpm.DepreciationMonths,$C103&lt;=AM$8),$E103/_xlpm.DepreciationMonths,0))</f>
        <v>0</v>
      </c>
      <c r="AN103" s="507" cm="1">
        <f t="array" ref="AN103">_xlfn.LET(_xlpm.DepreciationMonths,INDEX(FixedAssets[Depreciation
/ Amortization Months],_xlfn.XMATCH($E$84,FixedAssets[Asset ID])),IF(AND((_xlfn.XMATCH(AN$8,$AH$8:$CC$8))-_xlfn.XMATCH($C103,$C$35:$C$82)+1&lt;=_xlpm.DepreciationMonths,$C103&lt;=AN$8),$E103/_xlpm.DepreciationMonths,0))</f>
        <v>0</v>
      </c>
      <c r="AO103" s="507" cm="1">
        <f t="array" ref="AO103">_xlfn.LET(_xlpm.DepreciationMonths,INDEX(FixedAssets[Depreciation
/ Amortization Months],_xlfn.XMATCH($E$84,FixedAssets[Asset ID])),IF(AND((_xlfn.XMATCH(AO$8,$AH$8:$CC$8))-_xlfn.XMATCH($C103,$C$35:$C$82)+1&lt;=_xlpm.DepreciationMonths,$C103&lt;=AO$8),$E103/_xlpm.DepreciationMonths,0))</f>
        <v>0</v>
      </c>
      <c r="AP103" s="507" cm="1">
        <f t="array" ref="AP103">_xlfn.LET(_xlpm.DepreciationMonths,INDEX(FixedAssets[Depreciation
/ Amortization Months],_xlfn.XMATCH($E$84,FixedAssets[Asset ID])),IF(AND((_xlfn.XMATCH(AP$8,$AH$8:$CC$8))-_xlfn.XMATCH($C103,$C$35:$C$82)+1&lt;=_xlpm.DepreciationMonths,$C103&lt;=AP$8),$E103/_xlpm.DepreciationMonths,0))</f>
        <v>0</v>
      </c>
      <c r="AQ103" s="507" cm="1">
        <f t="array" ref="AQ103">_xlfn.LET(_xlpm.DepreciationMonths,INDEX(FixedAssets[Depreciation
/ Amortization Months],_xlfn.XMATCH($E$84,FixedAssets[Asset ID])),IF(AND((_xlfn.XMATCH(AQ$8,$AH$8:$CC$8))-_xlfn.XMATCH($C103,$C$35:$C$82)+1&lt;=_xlpm.DepreciationMonths,$C103&lt;=AQ$8),$E103/_xlpm.DepreciationMonths,0))</f>
        <v>0</v>
      </c>
      <c r="AR103" s="507" cm="1">
        <f t="array" ref="AR103">_xlfn.LET(_xlpm.DepreciationMonths,INDEX(FixedAssets[Depreciation
/ Amortization Months],_xlfn.XMATCH($E$84,FixedAssets[Asset ID])),IF(AND((_xlfn.XMATCH(AR$8,$AH$8:$CC$8))-_xlfn.XMATCH($C103,$C$35:$C$82)+1&lt;=_xlpm.DepreciationMonths,$C103&lt;=AR$8),$E103/_xlpm.DepreciationMonths,0))</f>
        <v>0</v>
      </c>
      <c r="AS103" s="507" cm="1">
        <f t="array" ref="AS103">_xlfn.LET(_xlpm.DepreciationMonths,INDEX(FixedAssets[Depreciation
/ Amortization Months],_xlfn.XMATCH($E$84,FixedAssets[Asset ID])),IF(AND((_xlfn.XMATCH(AS$8,$AH$8:$CC$8))-_xlfn.XMATCH($C103,$C$35:$C$82)+1&lt;=_xlpm.DepreciationMonths,$C103&lt;=AS$8),$E103/_xlpm.DepreciationMonths,0))</f>
        <v>0</v>
      </c>
      <c r="AT103" s="507" cm="1">
        <f t="array" ref="AT103">_xlfn.LET(_xlpm.DepreciationMonths,INDEX(FixedAssets[Depreciation
/ Amortization Months],_xlfn.XMATCH($E$84,FixedAssets[Asset ID])),IF(AND((_xlfn.XMATCH(AT$8,$AH$8:$CC$8))-_xlfn.XMATCH($C103,$C$35:$C$82)+1&lt;=_xlpm.DepreciationMonths,$C103&lt;=AT$8),$E103/_xlpm.DepreciationMonths,0))</f>
        <v>0</v>
      </c>
      <c r="AU103" s="507" cm="1">
        <f t="array" ref="AU103">_xlfn.LET(_xlpm.DepreciationMonths,INDEX(FixedAssets[Depreciation
/ Amortization Months],_xlfn.XMATCH($E$84,FixedAssets[Asset ID])),IF(AND((_xlfn.XMATCH(AU$8,$AH$8:$CC$8))-_xlfn.XMATCH($C103,$C$35:$C$82)+1&lt;=_xlpm.DepreciationMonths,$C103&lt;=AU$8),$E103/_xlpm.DepreciationMonths,0))</f>
        <v>0</v>
      </c>
      <c r="AV103" s="507" cm="1">
        <f t="array" ref="AV103">_xlfn.LET(_xlpm.DepreciationMonths,INDEX(FixedAssets[Depreciation
/ Amortization Months],_xlfn.XMATCH($E$84,FixedAssets[Asset ID])),IF(AND((_xlfn.XMATCH(AV$8,$AH$8:$CC$8))-_xlfn.XMATCH($C103,$C$35:$C$82)+1&lt;=_xlpm.DepreciationMonths,$C103&lt;=AV$8),$E103/_xlpm.DepreciationMonths,0))</f>
        <v>0</v>
      </c>
      <c r="AW103" s="507" cm="1">
        <f t="array" ref="AW103">_xlfn.LET(_xlpm.DepreciationMonths,INDEX(FixedAssets[Depreciation
/ Amortization Months],_xlfn.XMATCH($E$84,FixedAssets[Asset ID])),IF(AND((_xlfn.XMATCH(AW$8,$AH$8:$CC$8))-_xlfn.XMATCH($C103,$C$35:$C$82)+1&lt;=_xlpm.DepreciationMonths,$C103&lt;=AW$8),$E103/_xlpm.DepreciationMonths,0))</f>
        <v>0</v>
      </c>
      <c r="AX103" s="507" cm="1">
        <f t="array" ref="AX103">_xlfn.LET(_xlpm.DepreciationMonths,INDEX(FixedAssets[Depreciation
/ Amortization Months],_xlfn.XMATCH($E$84,FixedAssets[Asset ID])),IF(AND((_xlfn.XMATCH(AX$8,$AH$8:$CC$8))-_xlfn.XMATCH($C103,$C$35:$C$82)+1&lt;=_xlpm.DepreciationMonths,$C103&lt;=AX$8),$E103/_xlpm.DepreciationMonths,0))</f>
        <v>0</v>
      </c>
      <c r="AY103" s="507" cm="1">
        <f t="array" ref="AY103">_xlfn.LET(_xlpm.DepreciationMonths,INDEX(FixedAssets[Depreciation
/ Amortization Months],_xlfn.XMATCH($E$84,FixedAssets[Asset ID])),IF(AND((_xlfn.XMATCH(AY$8,$AH$8:$CC$8))-_xlfn.XMATCH($C103,$C$35:$C$82)+1&lt;=_xlpm.DepreciationMonths,$C103&lt;=AY$8),$E103/_xlpm.DepreciationMonths,0))</f>
        <v>0</v>
      </c>
      <c r="AZ103" s="507" cm="1">
        <f t="array" ref="AZ103">_xlfn.LET(_xlpm.DepreciationMonths,INDEX(FixedAssets[Depreciation
/ Amortization Months],_xlfn.XMATCH($E$84,FixedAssets[Asset ID])),IF(AND((_xlfn.XMATCH(AZ$8,$AH$8:$CC$8))-_xlfn.XMATCH($C103,$C$35:$C$82)+1&lt;=_xlpm.DepreciationMonths,$C103&lt;=AZ$8),$E103/_xlpm.DepreciationMonths,0))</f>
        <v>0</v>
      </c>
      <c r="BA103" s="507" cm="1">
        <f t="array" ref="BA103">_xlfn.LET(_xlpm.DepreciationMonths,INDEX(FixedAssets[Depreciation
/ Amortization Months],_xlfn.XMATCH($E$84,FixedAssets[Asset ID])),IF(AND((_xlfn.XMATCH(BA$8,$AH$8:$CC$8))-_xlfn.XMATCH($C103,$C$35:$C$82)+1&lt;=_xlpm.DepreciationMonths,$C103&lt;=BA$8),$E103/_xlpm.DepreciationMonths,0))</f>
        <v>0</v>
      </c>
      <c r="BB103" s="507" cm="1">
        <f t="array" ref="BB103">_xlfn.LET(_xlpm.DepreciationMonths,INDEX(FixedAssets[Depreciation
/ Amortization Months],_xlfn.XMATCH($E$84,FixedAssets[Asset ID])),IF(AND((_xlfn.XMATCH(BB$8,$AH$8:$CC$8))-_xlfn.XMATCH($C103,$C$35:$C$82)+1&lt;=_xlpm.DepreciationMonths,$C103&lt;=BB$8),$E103/_xlpm.DepreciationMonths,0))</f>
        <v>0</v>
      </c>
      <c r="BC103" s="507" cm="1">
        <f t="array" ref="BC103">_xlfn.LET(_xlpm.DepreciationMonths,INDEX(FixedAssets[Depreciation
/ Amortization Months],_xlfn.XMATCH($E$84,FixedAssets[Asset ID])),IF(AND((_xlfn.XMATCH(BC$8,$AH$8:$CC$8))-_xlfn.XMATCH($C103,$C$35:$C$82)+1&lt;=_xlpm.DepreciationMonths,$C103&lt;=BC$8),$E103/_xlpm.DepreciationMonths,0))</f>
        <v>0</v>
      </c>
      <c r="BD103" s="507" cm="1">
        <f t="array" ref="BD103">_xlfn.LET(_xlpm.DepreciationMonths,INDEX(FixedAssets[Depreciation
/ Amortization Months],_xlfn.XMATCH($E$84,FixedAssets[Asset ID])),IF(AND((_xlfn.XMATCH(BD$8,$AH$8:$CC$8))-_xlfn.XMATCH($C103,$C$35:$C$82)+1&lt;=_xlpm.DepreciationMonths,$C103&lt;=BD$8),$E103/_xlpm.DepreciationMonths,0))</f>
        <v>0</v>
      </c>
      <c r="BE103" s="507" cm="1">
        <f t="array" ref="BE103">_xlfn.LET(_xlpm.DepreciationMonths,INDEX(FixedAssets[Depreciation
/ Amortization Months],_xlfn.XMATCH($E$84,FixedAssets[Asset ID])),IF(AND((_xlfn.XMATCH(BE$8,$AH$8:$CC$8))-_xlfn.XMATCH($C103,$C$35:$C$82)+1&lt;=_xlpm.DepreciationMonths,$C103&lt;=BE$8),$E103/_xlpm.DepreciationMonths,0))</f>
        <v>0</v>
      </c>
      <c r="BF103" s="507" cm="1">
        <f t="array" ref="BF103">_xlfn.LET(_xlpm.DepreciationMonths,INDEX(FixedAssets[Depreciation
/ Amortization Months],_xlfn.XMATCH($E$84,FixedAssets[Asset ID])),IF(AND((_xlfn.XMATCH(BF$8,$AH$8:$CC$8))-_xlfn.XMATCH($C103,$C$35:$C$82)+1&lt;=_xlpm.DepreciationMonths,$C103&lt;=BF$8),$E103/_xlpm.DepreciationMonths,0))</f>
        <v>0</v>
      </c>
      <c r="BG103" s="507" cm="1">
        <f t="array" ref="BG103">_xlfn.LET(_xlpm.DepreciationMonths,INDEX(FixedAssets[Depreciation
/ Amortization Months],_xlfn.XMATCH($E$84,FixedAssets[Asset ID])),IF(AND((_xlfn.XMATCH(BG$8,$AH$8:$CC$8))-_xlfn.XMATCH($C103,$C$35:$C$82)+1&lt;=_xlpm.DepreciationMonths,$C103&lt;=BG$8),$E103/_xlpm.DepreciationMonths,0))</f>
        <v>0</v>
      </c>
      <c r="BH103" s="507" cm="1">
        <f t="array" ref="BH103">_xlfn.LET(_xlpm.DepreciationMonths,INDEX(FixedAssets[Depreciation
/ Amortization Months],_xlfn.XMATCH($E$84,FixedAssets[Asset ID])),IF(AND((_xlfn.XMATCH(BH$8,$AH$8:$CC$8))-_xlfn.XMATCH($C103,$C$35:$C$82)+1&lt;=_xlpm.DepreciationMonths,$C103&lt;=BH$8),$E103/_xlpm.DepreciationMonths,0))</f>
        <v>0</v>
      </c>
      <c r="BI103" s="507" cm="1">
        <f t="array" ref="BI103">_xlfn.LET(_xlpm.DepreciationMonths,INDEX(FixedAssets[Depreciation
/ Amortization Months],_xlfn.XMATCH($E$84,FixedAssets[Asset ID])),IF(AND((_xlfn.XMATCH(BI$8,$AH$8:$CC$8))-_xlfn.XMATCH($C103,$C$35:$C$82)+1&lt;=_xlpm.DepreciationMonths,$C103&lt;=BI$8),$E103/_xlpm.DepreciationMonths,0))</f>
        <v>0</v>
      </c>
      <c r="BJ103" s="507" cm="1">
        <f t="array" ref="BJ103">_xlfn.LET(_xlpm.DepreciationMonths,INDEX(FixedAssets[Depreciation
/ Amortization Months],_xlfn.XMATCH($E$84,FixedAssets[Asset ID])),IF(AND((_xlfn.XMATCH(BJ$8,$AH$8:$CC$8))-_xlfn.XMATCH($C103,$C$35:$C$82)+1&lt;=_xlpm.DepreciationMonths,$C103&lt;=BJ$8),$E103/_xlpm.DepreciationMonths,0))</f>
        <v>0</v>
      </c>
      <c r="BK103" s="507" cm="1">
        <f t="array" ref="BK103">_xlfn.LET(_xlpm.DepreciationMonths,INDEX(FixedAssets[Depreciation
/ Amortization Months],_xlfn.XMATCH($E$84,FixedAssets[Asset ID])),IF(AND((_xlfn.XMATCH(BK$8,$AH$8:$CC$8))-_xlfn.XMATCH($C103,$C$35:$C$82)+1&lt;=_xlpm.DepreciationMonths,$C103&lt;=BK$8),$E103/_xlpm.DepreciationMonths,0))</f>
        <v>0</v>
      </c>
      <c r="BL103" s="507" cm="1">
        <f t="array" ref="BL103">_xlfn.LET(_xlpm.DepreciationMonths,INDEX(FixedAssets[Depreciation
/ Amortization Months],_xlfn.XMATCH($E$84,FixedAssets[Asset ID])),IF(AND((_xlfn.XMATCH(BL$8,$AH$8:$CC$8))-_xlfn.XMATCH($C103,$C$35:$C$82)+1&lt;=_xlpm.DepreciationMonths,$C103&lt;=BL$8),$E103/_xlpm.DepreciationMonths,0))</f>
        <v>0</v>
      </c>
      <c r="BM103" s="507" cm="1">
        <f t="array" ref="BM103">_xlfn.LET(_xlpm.DepreciationMonths,INDEX(FixedAssets[Depreciation
/ Amortization Months],_xlfn.XMATCH($E$84,FixedAssets[Asset ID])),IF(AND((_xlfn.XMATCH(BM$8,$AH$8:$CC$8))-_xlfn.XMATCH($C103,$C$35:$C$82)+1&lt;=_xlpm.DepreciationMonths,$C103&lt;=BM$8),$E103/_xlpm.DepreciationMonths,0))</f>
        <v>0</v>
      </c>
      <c r="BN103" s="507" cm="1">
        <f t="array" ref="BN103">_xlfn.LET(_xlpm.DepreciationMonths,INDEX(FixedAssets[Depreciation
/ Amortization Months],_xlfn.XMATCH($E$84,FixedAssets[Asset ID])),IF(AND((_xlfn.XMATCH(BN$8,$AH$8:$CC$8))-_xlfn.XMATCH($C103,$C$35:$C$82)+1&lt;=_xlpm.DepreciationMonths,$C103&lt;=BN$8),$E103/_xlpm.DepreciationMonths,0))</f>
        <v>0</v>
      </c>
      <c r="BO103" s="507" cm="1">
        <f t="array" ref="BO103">_xlfn.LET(_xlpm.DepreciationMonths,INDEX(FixedAssets[Depreciation
/ Amortization Months],_xlfn.XMATCH($E$84,FixedAssets[Asset ID])),IF(AND((_xlfn.XMATCH(BO$8,$AH$8:$CC$8))-_xlfn.XMATCH($C103,$C$35:$C$82)+1&lt;=_xlpm.DepreciationMonths,$C103&lt;=BO$8),$E103/_xlpm.DepreciationMonths,0))</f>
        <v>0</v>
      </c>
      <c r="BP103" s="507" cm="1">
        <f t="array" ref="BP103">_xlfn.LET(_xlpm.DepreciationMonths,INDEX(FixedAssets[Depreciation
/ Amortization Months],_xlfn.XMATCH($E$84,FixedAssets[Asset ID])),IF(AND((_xlfn.XMATCH(BP$8,$AH$8:$CC$8))-_xlfn.XMATCH($C103,$C$35:$C$82)+1&lt;=_xlpm.DepreciationMonths,$C103&lt;=BP$8),$E103/_xlpm.DepreciationMonths,0))</f>
        <v>0</v>
      </c>
      <c r="BQ103" s="507" cm="1">
        <f t="array" ref="BQ103">_xlfn.LET(_xlpm.DepreciationMonths,INDEX(FixedAssets[Depreciation
/ Amortization Months],_xlfn.XMATCH($E$84,FixedAssets[Asset ID])),IF(AND((_xlfn.XMATCH(BQ$8,$AH$8:$CC$8))-_xlfn.XMATCH($C103,$C$35:$C$82)+1&lt;=_xlpm.DepreciationMonths,$C103&lt;=BQ$8),$E103/_xlpm.DepreciationMonths,0))</f>
        <v>0</v>
      </c>
      <c r="BR103" s="507" cm="1">
        <f t="array" ref="BR103">_xlfn.LET(_xlpm.DepreciationMonths,INDEX(FixedAssets[Depreciation
/ Amortization Months],_xlfn.XMATCH($E$84,FixedAssets[Asset ID])),IF(AND((_xlfn.XMATCH(BR$8,$AH$8:$CC$8))-_xlfn.XMATCH($C103,$C$35:$C$82)+1&lt;=_xlpm.DepreciationMonths,$C103&lt;=BR$8),$E103/_xlpm.DepreciationMonths,0))</f>
        <v>0</v>
      </c>
      <c r="BS103" s="507" cm="1">
        <f t="array" ref="BS103">_xlfn.LET(_xlpm.DepreciationMonths,INDEX(FixedAssets[Depreciation
/ Amortization Months],_xlfn.XMATCH($E$84,FixedAssets[Asset ID])),IF(AND((_xlfn.XMATCH(BS$8,$AH$8:$CC$8))-_xlfn.XMATCH($C103,$C$35:$C$82)+1&lt;=_xlpm.DepreciationMonths,$C103&lt;=BS$8),$E103/_xlpm.DepreciationMonths,0))</f>
        <v>0</v>
      </c>
      <c r="BT103" s="507" cm="1">
        <f t="array" ref="BT103">_xlfn.LET(_xlpm.DepreciationMonths,INDEX(FixedAssets[Depreciation
/ Amortization Months],_xlfn.XMATCH($E$84,FixedAssets[Asset ID])),IF(AND((_xlfn.XMATCH(BT$8,$AH$8:$CC$8))-_xlfn.XMATCH($C103,$C$35:$C$82)+1&lt;=_xlpm.DepreciationMonths,$C103&lt;=BT$8),$E103/_xlpm.DepreciationMonths,0))</f>
        <v>0</v>
      </c>
      <c r="BU103" s="507" cm="1">
        <f t="array" ref="BU103">_xlfn.LET(_xlpm.DepreciationMonths,INDEX(FixedAssets[Depreciation
/ Amortization Months],_xlfn.XMATCH($E$84,FixedAssets[Asset ID])),IF(AND((_xlfn.XMATCH(BU$8,$AH$8:$CC$8))-_xlfn.XMATCH($C103,$C$35:$C$82)+1&lt;=_xlpm.DepreciationMonths,$C103&lt;=BU$8),$E103/_xlpm.DepreciationMonths,0))</f>
        <v>0</v>
      </c>
      <c r="BV103" s="507" cm="1">
        <f t="array" ref="BV103">_xlfn.LET(_xlpm.DepreciationMonths,INDEX(FixedAssets[Depreciation
/ Amortization Months],_xlfn.XMATCH($E$84,FixedAssets[Asset ID])),IF(AND((_xlfn.XMATCH(BV$8,$AH$8:$CC$8))-_xlfn.XMATCH($C103,$C$35:$C$82)+1&lt;=_xlpm.DepreciationMonths,$C103&lt;=BV$8),$E103/_xlpm.DepreciationMonths,0))</f>
        <v>0</v>
      </c>
      <c r="BW103" s="507" cm="1">
        <f t="array" ref="BW103">_xlfn.LET(_xlpm.DepreciationMonths,INDEX(FixedAssets[Depreciation
/ Amortization Months],_xlfn.XMATCH($E$84,FixedAssets[Asset ID])),IF(AND((_xlfn.XMATCH(BW$8,$AH$8:$CC$8))-_xlfn.XMATCH($C103,$C$35:$C$82)+1&lt;=_xlpm.DepreciationMonths,$C103&lt;=BW$8),$E103/_xlpm.DepreciationMonths,0))</f>
        <v>0</v>
      </c>
      <c r="BX103" s="507" cm="1">
        <f t="array" ref="BX103">_xlfn.LET(_xlpm.DepreciationMonths,INDEX(FixedAssets[Depreciation
/ Amortization Months],_xlfn.XMATCH($E$84,FixedAssets[Asset ID])),IF(AND((_xlfn.XMATCH(BX$8,$AH$8:$CC$8))-_xlfn.XMATCH($C103,$C$35:$C$82)+1&lt;=_xlpm.DepreciationMonths,$C103&lt;=BX$8),$E103/_xlpm.DepreciationMonths,0))</f>
        <v>0</v>
      </c>
      <c r="BY103" s="507" cm="1">
        <f t="array" ref="BY103">_xlfn.LET(_xlpm.DepreciationMonths,INDEX(FixedAssets[Depreciation
/ Amortization Months],_xlfn.XMATCH($E$84,FixedAssets[Asset ID])),IF(AND((_xlfn.XMATCH(BY$8,$AH$8:$CC$8))-_xlfn.XMATCH($C103,$C$35:$C$82)+1&lt;=_xlpm.DepreciationMonths,$C103&lt;=BY$8),$E103/_xlpm.DepreciationMonths,0))</f>
        <v>0</v>
      </c>
      <c r="BZ103" s="507" cm="1">
        <f t="array" ref="BZ103">_xlfn.LET(_xlpm.DepreciationMonths,INDEX(FixedAssets[Depreciation
/ Amortization Months],_xlfn.XMATCH($E$84,FixedAssets[Asset ID])),IF(AND((_xlfn.XMATCH(BZ$8,$AH$8:$CC$8))-_xlfn.XMATCH($C103,$C$35:$C$82)+1&lt;=_xlpm.DepreciationMonths,$C103&lt;=BZ$8),$E103/_xlpm.DepreciationMonths,0))</f>
        <v>0</v>
      </c>
      <c r="CA103" s="507" cm="1">
        <f t="array" ref="CA103">_xlfn.LET(_xlpm.DepreciationMonths,INDEX(FixedAssets[Depreciation
/ Amortization Months],_xlfn.XMATCH($E$84,FixedAssets[Asset ID])),IF(AND((_xlfn.XMATCH(CA$8,$AH$8:$CC$8))-_xlfn.XMATCH($C103,$C$35:$C$82)+1&lt;=_xlpm.DepreciationMonths,$C103&lt;=CA$8),$E103/_xlpm.DepreciationMonths,0))</f>
        <v>0</v>
      </c>
      <c r="CB103" s="507" cm="1">
        <f t="array" ref="CB103">_xlfn.LET(_xlpm.DepreciationMonths,INDEX(FixedAssets[Depreciation
/ Amortization Months],_xlfn.XMATCH($E$84,FixedAssets[Asset ID])),IF(AND((_xlfn.XMATCH(CB$8,$AH$8:$CC$8))-_xlfn.XMATCH($C103,$C$35:$C$82)+1&lt;=_xlpm.DepreciationMonths,$C103&lt;=CB$8),$E103/_xlpm.DepreciationMonths,0))</f>
        <v>0</v>
      </c>
      <c r="CC103" s="507" cm="1">
        <f t="array" ref="CC103">_xlfn.LET(_xlpm.DepreciationMonths,INDEX(FixedAssets[Depreciation
/ Amortization Months],_xlfn.XMATCH($E$84,FixedAssets[Asset ID])),IF(AND((_xlfn.XMATCH(CC$8,$AH$8:$CC$8))-_xlfn.XMATCH($C103,$C$35:$C$82)+1&lt;=_xlpm.DepreciationMonths,$C103&lt;=CC$8),$E103/_xlpm.DepreciationMonths,0))</f>
        <v>0</v>
      </c>
    </row>
    <row r="104" spans="3:81" hidden="1" outlineLevel="2">
      <c r="C104" s="664">
        <f t="shared" si="167"/>
        <v>45504</v>
      </c>
      <c r="D104" s="508"/>
      <c r="E104" s="508" cm="1">
        <f t="array" ref="E104">SUMPRODUCT(($AH$26:$CC$31)*($AH$5:$CC$5=$C104)*($E$26:$E$31=E$84))-SUMPRODUCT(($AH$26:$CC$31)*($AH$5:$CC$5=EOMONTH($C104,-1))*($E$26:$E$31=E$84))</f>
        <v>0</v>
      </c>
      <c r="F104" s="508"/>
      <c r="G104" s="508"/>
      <c r="H104" s="508"/>
      <c r="I104" s="508"/>
      <c r="J104" s="504">
        <f t="shared" si="164"/>
        <v>0</v>
      </c>
      <c r="K104" s="504">
        <f t="shared" si="169"/>
        <v>0</v>
      </c>
      <c r="L104" s="504">
        <f t="shared" si="169"/>
        <v>0</v>
      </c>
      <c r="M104" s="504">
        <f t="shared" si="169"/>
        <v>0</v>
      </c>
      <c r="N104" s="504"/>
      <c r="O104" s="504"/>
      <c r="P104" s="504">
        <f t="shared" si="170"/>
        <v>0</v>
      </c>
      <c r="Q104" s="504">
        <f t="shared" si="170"/>
        <v>0</v>
      </c>
      <c r="R104" s="504">
        <f t="shared" si="170"/>
        <v>0</v>
      </c>
      <c r="S104" s="504">
        <f t="shared" si="170"/>
        <v>0</v>
      </c>
      <c r="T104" s="504">
        <f t="shared" si="170"/>
        <v>0</v>
      </c>
      <c r="U104" s="504">
        <f t="shared" si="170"/>
        <v>0</v>
      </c>
      <c r="V104" s="504">
        <f t="shared" si="170"/>
        <v>0</v>
      </c>
      <c r="W104" s="504">
        <f t="shared" si="170"/>
        <v>0</v>
      </c>
      <c r="X104" s="504">
        <f t="shared" si="170"/>
        <v>0</v>
      </c>
      <c r="Y104" s="504">
        <f t="shared" si="170"/>
        <v>0</v>
      </c>
      <c r="Z104" s="504">
        <f t="shared" si="170"/>
        <v>0</v>
      </c>
      <c r="AA104" s="504">
        <f t="shared" si="170"/>
        <v>0</v>
      </c>
      <c r="AB104" s="504">
        <f t="shared" si="170"/>
        <v>0</v>
      </c>
      <c r="AC104" s="504">
        <f t="shared" si="170"/>
        <v>0</v>
      </c>
      <c r="AD104" s="504">
        <f t="shared" si="170"/>
        <v>0</v>
      </c>
      <c r="AE104" s="504">
        <f t="shared" si="170"/>
        <v>0</v>
      </c>
      <c r="AF104" s="508"/>
      <c r="AG104" s="508"/>
      <c r="AH104" s="507" cm="1">
        <f t="array" ref="AH104">_xlfn.LET(_xlpm.DepreciationMonths,INDEX(FixedAssets[Depreciation
/ Amortization Months],_xlfn.XMATCH($E$84,FixedAssets[Asset ID])),IF(AND((_xlfn.XMATCH(AH$8,$AH$8:$CC$8))-_xlfn.XMATCH($C104,$C$35:$C$82)+1&lt;=_xlpm.DepreciationMonths,$C104&lt;=AH$8),$E104/_xlpm.DepreciationMonths,0))</f>
        <v>0</v>
      </c>
      <c r="AI104" s="507" cm="1">
        <f t="array" ref="AI104">_xlfn.LET(_xlpm.DepreciationMonths,INDEX(FixedAssets[Depreciation
/ Amortization Months],_xlfn.XMATCH($E$84,FixedAssets[Asset ID])),IF(AND((_xlfn.XMATCH(AI$8,$AH$8:$CC$8))-_xlfn.XMATCH($C104,$C$35:$C$82)+1&lt;=_xlpm.DepreciationMonths,$C104&lt;=AI$8),$E104/_xlpm.DepreciationMonths,0))</f>
        <v>0</v>
      </c>
      <c r="AJ104" s="507" cm="1">
        <f t="array" ref="AJ104">_xlfn.LET(_xlpm.DepreciationMonths,INDEX(FixedAssets[Depreciation
/ Amortization Months],_xlfn.XMATCH($E$84,FixedAssets[Asset ID])),IF(AND((_xlfn.XMATCH(AJ$8,$AH$8:$CC$8))-_xlfn.XMATCH($C104,$C$35:$C$82)+1&lt;=_xlpm.DepreciationMonths,$C104&lt;=AJ$8),$E104/_xlpm.DepreciationMonths,0))</f>
        <v>0</v>
      </c>
      <c r="AK104" s="507" cm="1">
        <f t="array" ref="AK104">_xlfn.LET(_xlpm.DepreciationMonths,INDEX(FixedAssets[Depreciation
/ Amortization Months],_xlfn.XMATCH($E$84,FixedAssets[Asset ID])),IF(AND((_xlfn.XMATCH(AK$8,$AH$8:$CC$8))-_xlfn.XMATCH($C104,$C$35:$C$82)+1&lt;=_xlpm.DepreciationMonths,$C104&lt;=AK$8),$E104/_xlpm.DepreciationMonths,0))</f>
        <v>0</v>
      </c>
      <c r="AL104" s="507" cm="1">
        <f t="array" ref="AL104">_xlfn.LET(_xlpm.DepreciationMonths,INDEX(FixedAssets[Depreciation
/ Amortization Months],_xlfn.XMATCH($E$84,FixedAssets[Asset ID])),IF(AND((_xlfn.XMATCH(AL$8,$AH$8:$CC$8))-_xlfn.XMATCH($C104,$C$35:$C$82)+1&lt;=_xlpm.DepreciationMonths,$C104&lt;=AL$8),$E104/_xlpm.DepreciationMonths,0))</f>
        <v>0</v>
      </c>
      <c r="AM104" s="507" cm="1">
        <f t="array" ref="AM104">_xlfn.LET(_xlpm.DepreciationMonths,INDEX(FixedAssets[Depreciation
/ Amortization Months],_xlfn.XMATCH($E$84,FixedAssets[Asset ID])),IF(AND((_xlfn.XMATCH(AM$8,$AH$8:$CC$8))-_xlfn.XMATCH($C104,$C$35:$C$82)+1&lt;=_xlpm.DepreciationMonths,$C104&lt;=AM$8),$E104/_xlpm.DepreciationMonths,0))</f>
        <v>0</v>
      </c>
      <c r="AN104" s="507" cm="1">
        <f t="array" ref="AN104">_xlfn.LET(_xlpm.DepreciationMonths,INDEX(FixedAssets[Depreciation
/ Amortization Months],_xlfn.XMATCH($E$84,FixedAssets[Asset ID])),IF(AND((_xlfn.XMATCH(AN$8,$AH$8:$CC$8))-_xlfn.XMATCH($C104,$C$35:$C$82)+1&lt;=_xlpm.DepreciationMonths,$C104&lt;=AN$8),$E104/_xlpm.DepreciationMonths,0))</f>
        <v>0</v>
      </c>
      <c r="AO104" s="507" cm="1">
        <f t="array" ref="AO104">_xlfn.LET(_xlpm.DepreciationMonths,INDEX(FixedAssets[Depreciation
/ Amortization Months],_xlfn.XMATCH($E$84,FixedAssets[Asset ID])),IF(AND((_xlfn.XMATCH(AO$8,$AH$8:$CC$8))-_xlfn.XMATCH($C104,$C$35:$C$82)+1&lt;=_xlpm.DepreciationMonths,$C104&lt;=AO$8),$E104/_xlpm.DepreciationMonths,0))</f>
        <v>0</v>
      </c>
      <c r="AP104" s="507" cm="1">
        <f t="array" ref="AP104">_xlfn.LET(_xlpm.DepreciationMonths,INDEX(FixedAssets[Depreciation
/ Amortization Months],_xlfn.XMATCH($E$84,FixedAssets[Asset ID])),IF(AND((_xlfn.XMATCH(AP$8,$AH$8:$CC$8))-_xlfn.XMATCH($C104,$C$35:$C$82)+1&lt;=_xlpm.DepreciationMonths,$C104&lt;=AP$8),$E104/_xlpm.DepreciationMonths,0))</f>
        <v>0</v>
      </c>
      <c r="AQ104" s="507" cm="1">
        <f t="array" ref="AQ104">_xlfn.LET(_xlpm.DepreciationMonths,INDEX(FixedAssets[Depreciation
/ Amortization Months],_xlfn.XMATCH($E$84,FixedAssets[Asset ID])),IF(AND((_xlfn.XMATCH(AQ$8,$AH$8:$CC$8))-_xlfn.XMATCH($C104,$C$35:$C$82)+1&lt;=_xlpm.DepreciationMonths,$C104&lt;=AQ$8),$E104/_xlpm.DepreciationMonths,0))</f>
        <v>0</v>
      </c>
      <c r="AR104" s="507" cm="1">
        <f t="array" ref="AR104">_xlfn.LET(_xlpm.DepreciationMonths,INDEX(FixedAssets[Depreciation
/ Amortization Months],_xlfn.XMATCH($E$84,FixedAssets[Asset ID])),IF(AND((_xlfn.XMATCH(AR$8,$AH$8:$CC$8))-_xlfn.XMATCH($C104,$C$35:$C$82)+1&lt;=_xlpm.DepreciationMonths,$C104&lt;=AR$8),$E104/_xlpm.DepreciationMonths,0))</f>
        <v>0</v>
      </c>
      <c r="AS104" s="507" cm="1">
        <f t="array" ref="AS104">_xlfn.LET(_xlpm.DepreciationMonths,INDEX(FixedAssets[Depreciation
/ Amortization Months],_xlfn.XMATCH($E$84,FixedAssets[Asset ID])),IF(AND((_xlfn.XMATCH(AS$8,$AH$8:$CC$8))-_xlfn.XMATCH($C104,$C$35:$C$82)+1&lt;=_xlpm.DepreciationMonths,$C104&lt;=AS$8),$E104/_xlpm.DepreciationMonths,0))</f>
        <v>0</v>
      </c>
      <c r="AT104" s="507" cm="1">
        <f t="array" ref="AT104">_xlfn.LET(_xlpm.DepreciationMonths,INDEX(FixedAssets[Depreciation
/ Amortization Months],_xlfn.XMATCH($E$84,FixedAssets[Asset ID])),IF(AND((_xlfn.XMATCH(AT$8,$AH$8:$CC$8))-_xlfn.XMATCH($C104,$C$35:$C$82)+1&lt;=_xlpm.DepreciationMonths,$C104&lt;=AT$8),$E104/_xlpm.DepreciationMonths,0))</f>
        <v>0</v>
      </c>
      <c r="AU104" s="507" cm="1">
        <f t="array" ref="AU104">_xlfn.LET(_xlpm.DepreciationMonths,INDEX(FixedAssets[Depreciation
/ Amortization Months],_xlfn.XMATCH($E$84,FixedAssets[Asset ID])),IF(AND((_xlfn.XMATCH(AU$8,$AH$8:$CC$8))-_xlfn.XMATCH($C104,$C$35:$C$82)+1&lt;=_xlpm.DepreciationMonths,$C104&lt;=AU$8),$E104/_xlpm.DepreciationMonths,0))</f>
        <v>0</v>
      </c>
      <c r="AV104" s="507" cm="1">
        <f t="array" ref="AV104">_xlfn.LET(_xlpm.DepreciationMonths,INDEX(FixedAssets[Depreciation
/ Amortization Months],_xlfn.XMATCH($E$84,FixedAssets[Asset ID])),IF(AND((_xlfn.XMATCH(AV$8,$AH$8:$CC$8))-_xlfn.XMATCH($C104,$C$35:$C$82)+1&lt;=_xlpm.DepreciationMonths,$C104&lt;=AV$8),$E104/_xlpm.DepreciationMonths,0))</f>
        <v>0</v>
      </c>
      <c r="AW104" s="507" cm="1">
        <f t="array" ref="AW104">_xlfn.LET(_xlpm.DepreciationMonths,INDEX(FixedAssets[Depreciation
/ Amortization Months],_xlfn.XMATCH($E$84,FixedAssets[Asset ID])),IF(AND((_xlfn.XMATCH(AW$8,$AH$8:$CC$8))-_xlfn.XMATCH($C104,$C$35:$C$82)+1&lt;=_xlpm.DepreciationMonths,$C104&lt;=AW$8),$E104/_xlpm.DepreciationMonths,0))</f>
        <v>0</v>
      </c>
      <c r="AX104" s="507" cm="1">
        <f t="array" ref="AX104">_xlfn.LET(_xlpm.DepreciationMonths,INDEX(FixedAssets[Depreciation
/ Amortization Months],_xlfn.XMATCH($E$84,FixedAssets[Asset ID])),IF(AND((_xlfn.XMATCH(AX$8,$AH$8:$CC$8))-_xlfn.XMATCH($C104,$C$35:$C$82)+1&lt;=_xlpm.DepreciationMonths,$C104&lt;=AX$8),$E104/_xlpm.DepreciationMonths,0))</f>
        <v>0</v>
      </c>
      <c r="AY104" s="507" cm="1">
        <f t="array" ref="AY104">_xlfn.LET(_xlpm.DepreciationMonths,INDEX(FixedAssets[Depreciation
/ Amortization Months],_xlfn.XMATCH($E$84,FixedAssets[Asset ID])),IF(AND((_xlfn.XMATCH(AY$8,$AH$8:$CC$8))-_xlfn.XMATCH($C104,$C$35:$C$82)+1&lt;=_xlpm.DepreciationMonths,$C104&lt;=AY$8),$E104/_xlpm.DepreciationMonths,0))</f>
        <v>0</v>
      </c>
      <c r="AZ104" s="507" cm="1">
        <f t="array" ref="AZ104">_xlfn.LET(_xlpm.DepreciationMonths,INDEX(FixedAssets[Depreciation
/ Amortization Months],_xlfn.XMATCH($E$84,FixedAssets[Asset ID])),IF(AND((_xlfn.XMATCH(AZ$8,$AH$8:$CC$8))-_xlfn.XMATCH($C104,$C$35:$C$82)+1&lt;=_xlpm.DepreciationMonths,$C104&lt;=AZ$8),$E104/_xlpm.DepreciationMonths,0))</f>
        <v>0</v>
      </c>
      <c r="BA104" s="507" cm="1">
        <f t="array" ref="BA104">_xlfn.LET(_xlpm.DepreciationMonths,INDEX(FixedAssets[Depreciation
/ Amortization Months],_xlfn.XMATCH($E$84,FixedAssets[Asset ID])),IF(AND((_xlfn.XMATCH(BA$8,$AH$8:$CC$8))-_xlfn.XMATCH($C104,$C$35:$C$82)+1&lt;=_xlpm.DepreciationMonths,$C104&lt;=BA$8),$E104/_xlpm.DepreciationMonths,0))</f>
        <v>0</v>
      </c>
      <c r="BB104" s="507" cm="1">
        <f t="array" ref="BB104">_xlfn.LET(_xlpm.DepreciationMonths,INDEX(FixedAssets[Depreciation
/ Amortization Months],_xlfn.XMATCH($E$84,FixedAssets[Asset ID])),IF(AND((_xlfn.XMATCH(BB$8,$AH$8:$CC$8))-_xlfn.XMATCH($C104,$C$35:$C$82)+1&lt;=_xlpm.DepreciationMonths,$C104&lt;=BB$8),$E104/_xlpm.DepreciationMonths,0))</f>
        <v>0</v>
      </c>
      <c r="BC104" s="507" cm="1">
        <f t="array" ref="BC104">_xlfn.LET(_xlpm.DepreciationMonths,INDEX(FixedAssets[Depreciation
/ Amortization Months],_xlfn.XMATCH($E$84,FixedAssets[Asset ID])),IF(AND((_xlfn.XMATCH(BC$8,$AH$8:$CC$8))-_xlfn.XMATCH($C104,$C$35:$C$82)+1&lt;=_xlpm.DepreciationMonths,$C104&lt;=BC$8),$E104/_xlpm.DepreciationMonths,0))</f>
        <v>0</v>
      </c>
      <c r="BD104" s="507" cm="1">
        <f t="array" ref="BD104">_xlfn.LET(_xlpm.DepreciationMonths,INDEX(FixedAssets[Depreciation
/ Amortization Months],_xlfn.XMATCH($E$84,FixedAssets[Asset ID])),IF(AND((_xlfn.XMATCH(BD$8,$AH$8:$CC$8))-_xlfn.XMATCH($C104,$C$35:$C$82)+1&lt;=_xlpm.DepreciationMonths,$C104&lt;=BD$8),$E104/_xlpm.DepreciationMonths,0))</f>
        <v>0</v>
      </c>
      <c r="BE104" s="507" cm="1">
        <f t="array" ref="BE104">_xlfn.LET(_xlpm.DepreciationMonths,INDEX(FixedAssets[Depreciation
/ Amortization Months],_xlfn.XMATCH($E$84,FixedAssets[Asset ID])),IF(AND((_xlfn.XMATCH(BE$8,$AH$8:$CC$8))-_xlfn.XMATCH($C104,$C$35:$C$82)+1&lt;=_xlpm.DepreciationMonths,$C104&lt;=BE$8),$E104/_xlpm.DepreciationMonths,0))</f>
        <v>0</v>
      </c>
      <c r="BF104" s="507" cm="1">
        <f t="array" ref="BF104">_xlfn.LET(_xlpm.DepreciationMonths,INDEX(FixedAssets[Depreciation
/ Amortization Months],_xlfn.XMATCH($E$84,FixedAssets[Asset ID])),IF(AND((_xlfn.XMATCH(BF$8,$AH$8:$CC$8))-_xlfn.XMATCH($C104,$C$35:$C$82)+1&lt;=_xlpm.DepreciationMonths,$C104&lt;=BF$8),$E104/_xlpm.DepreciationMonths,0))</f>
        <v>0</v>
      </c>
      <c r="BG104" s="507" cm="1">
        <f t="array" ref="BG104">_xlfn.LET(_xlpm.DepreciationMonths,INDEX(FixedAssets[Depreciation
/ Amortization Months],_xlfn.XMATCH($E$84,FixedAssets[Asset ID])),IF(AND((_xlfn.XMATCH(BG$8,$AH$8:$CC$8))-_xlfn.XMATCH($C104,$C$35:$C$82)+1&lt;=_xlpm.DepreciationMonths,$C104&lt;=BG$8),$E104/_xlpm.DepreciationMonths,0))</f>
        <v>0</v>
      </c>
      <c r="BH104" s="507" cm="1">
        <f t="array" ref="BH104">_xlfn.LET(_xlpm.DepreciationMonths,INDEX(FixedAssets[Depreciation
/ Amortization Months],_xlfn.XMATCH($E$84,FixedAssets[Asset ID])),IF(AND((_xlfn.XMATCH(BH$8,$AH$8:$CC$8))-_xlfn.XMATCH($C104,$C$35:$C$82)+1&lt;=_xlpm.DepreciationMonths,$C104&lt;=BH$8),$E104/_xlpm.DepreciationMonths,0))</f>
        <v>0</v>
      </c>
      <c r="BI104" s="507" cm="1">
        <f t="array" ref="BI104">_xlfn.LET(_xlpm.DepreciationMonths,INDEX(FixedAssets[Depreciation
/ Amortization Months],_xlfn.XMATCH($E$84,FixedAssets[Asset ID])),IF(AND((_xlfn.XMATCH(BI$8,$AH$8:$CC$8))-_xlfn.XMATCH($C104,$C$35:$C$82)+1&lt;=_xlpm.DepreciationMonths,$C104&lt;=BI$8),$E104/_xlpm.DepreciationMonths,0))</f>
        <v>0</v>
      </c>
      <c r="BJ104" s="507" cm="1">
        <f t="array" ref="BJ104">_xlfn.LET(_xlpm.DepreciationMonths,INDEX(FixedAssets[Depreciation
/ Amortization Months],_xlfn.XMATCH($E$84,FixedAssets[Asset ID])),IF(AND((_xlfn.XMATCH(BJ$8,$AH$8:$CC$8))-_xlfn.XMATCH($C104,$C$35:$C$82)+1&lt;=_xlpm.DepreciationMonths,$C104&lt;=BJ$8),$E104/_xlpm.DepreciationMonths,0))</f>
        <v>0</v>
      </c>
      <c r="BK104" s="507" cm="1">
        <f t="array" ref="BK104">_xlfn.LET(_xlpm.DepreciationMonths,INDEX(FixedAssets[Depreciation
/ Amortization Months],_xlfn.XMATCH($E$84,FixedAssets[Asset ID])),IF(AND((_xlfn.XMATCH(BK$8,$AH$8:$CC$8))-_xlfn.XMATCH($C104,$C$35:$C$82)+1&lt;=_xlpm.DepreciationMonths,$C104&lt;=BK$8),$E104/_xlpm.DepreciationMonths,0))</f>
        <v>0</v>
      </c>
      <c r="BL104" s="507" cm="1">
        <f t="array" ref="BL104">_xlfn.LET(_xlpm.DepreciationMonths,INDEX(FixedAssets[Depreciation
/ Amortization Months],_xlfn.XMATCH($E$84,FixedAssets[Asset ID])),IF(AND((_xlfn.XMATCH(BL$8,$AH$8:$CC$8))-_xlfn.XMATCH($C104,$C$35:$C$82)+1&lt;=_xlpm.DepreciationMonths,$C104&lt;=BL$8),$E104/_xlpm.DepreciationMonths,0))</f>
        <v>0</v>
      </c>
      <c r="BM104" s="507" cm="1">
        <f t="array" ref="BM104">_xlfn.LET(_xlpm.DepreciationMonths,INDEX(FixedAssets[Depreciation
/ Amortization Months],_xlfn.XMATCH($E$84,FixedAssets[Asset ID])),IF(AND((_xlfn.XMATCH(BM$8,$AH$8:$CC$8))-_xlfn.XMATCH($C104,$C$35:$C$82)+1&lt;=_xlpm.DepreciationMonths,$C104&lt;=BM$8),$E104/_xlpm.DepreciationMonths,0))</f>
        <v>0</v>
      </c>
      <c r="BN104" s="507" cm="1">
        <f t="array" ref="BN104">_xlfn.LET(_xlpm.DepreciationMonths,INDEX(FixedAssets[Depreciation
/ Amortization Months],_xlfn.XMATCH($E$84,FixedAssets[Asset ID])),IF(AND((_xlfn.XMATCH(BN$8,$AH$8:$CC$8))-_xlfn.XMATCH($C104,$C$35:$C$82)+1&lt;=_xlpm.DepreciationMonths,$C104&lt;=BN$8),$E104/_xlpm.DepreciationMonths,0))</f>
        <v>0</v>
      </c>
      <c r="BO104" s="507" cm="1">
        <f t="array" ref="BO104">_xlfn.LET(_xlpm.DepreciationMonths,INDEX(FixedAssets[Depreciation
/ Amortization Months],_xlfn.XMATCH($E$84,FixedAssets[Asset ID])),IF(AND((_xlfn.XMATCH(BO$8,$AH$8:$CC$8))-_xlfn.XMATCH($C104,$C$35:$C$82)+1&lt;=_xlpm.DepreciationMonths,$C104&lt;=BO$8),$E104/_xlpm.DepreciationMonths,0))</f>
        <v>0</v>
      </c>
      <c r="BP104" s="507" cm="1">
        <f t="array" ref="BP104">_xlfn.LET(_xlpm.DepreciationMonths,INDEX(FixedAssets[Depreciation
/ Amortization Months],_xlfn.XMATCH($E$84,FixedAssets[Asset ID])),IF(AND((_xlfn.XMATCH(BP$8,$AH$8:$CC$8))-_xlfn.XMATCH($C104,$C$35:$C$82)+1&lt;=_xlpm.DepreciationMonths,$C104&lt;=BP$8),$E104/_xlpm.DepreciationMonths,0))</f>
        <v>0</v>
      </c>
      <c r="BQ104" s="507" cm="1">
        <f t="array" ref="BQ104">_xlfn.LET(_xlpm.DepreciationMonths,INDEX(FixedAssets[Depreciation
/ Amortization Months],_xlfn.XMATCH($E$84,FixedAssets[Asset ID])),IF(AND((_xlfn.XMATCH(BQ$8,$AH$8:$CC$8))-_xlfn.XMATCH($C104,$C$35:$C$82)+1&lt;=_xlpm.DepreciationMonths,$C104&lt;=BQ$8),$E104/_xlpm.DepreciationMonths,0))</f>
        <v>0</v>
      </c>
      <c r="BR104" s="507" cm="1">
        <f t="array" ref="BR104">_xlfn.LET(_xlpm.DepreciationMonths,INDEX(FixedAssets[Depreciation
/ Amortization Months],_xlfn.XMATCH($E$84,FixedAssets[Asset ID])),IF(AND((_xlfn.XMATCH(BR$8,$AH$8:$CC$8))-_xlfn.XMATCH($C104,$C$35:$C$82)+1&lt;=_xlpm.DepreciationMonths,$C104&lt;=BR$8),$E104/_xlpm.DepreciationMonths,0))</f>
        <v>0</v>
      </c>
      <c r="BS104" s="507" cm="1">
        <f t="array" ref="BS104">_xlfn.LET(_xlpm.DepreciationMonths,INDEX(FixedAssets[Depreciation
/ Amortization Months],_xlfn.XMATCH($E$84,FixedAssets[Asset ID])),IF(AND((_xlfn.XMATCH(BS$8,$AH$8:$CC$8))-_xlfn.XMATCH($C104,$C$35:$C$82)+1&lt;=_xlpm.DepreciationMonths,$C104&lt;=BS$8),$E104/_xlpm.DepreciationMonths,0))</f>
        <v>0</v>
      </c>
      <c r="BT104" s="507" cm="1">
        <f t="array" ref="BT104">_xlfn.LET(_xlpm.DepreciationMonths,INDEX(FixedAssets[Depreciation
/ Amortization Months],_xlfn.XMATCH($E$84,FixedAssets[Asset ID])),IF(AND((_xlfn.XMATCH(BT$8,$AH$8:$CC$8))-_xlfn.XMATCH($C104,$C$35:$C$82)+1&lt;=_xlpm.DepreciationMonths,$C104&lt;=BT$8),$E104/_xlpm.DepreciationMonths,0))</f>
        <v>0</v>
      </c>
      <c r="BU104" s="507" cm="1">
        <f t="array" ref="BU104">_xlfn.LET(_xlpm.DepreciationMonths,INDEX(FixedAssets[Depreciation
/ Amortization Months],_xlfn.XMATCH($E$84,FixedAssets[Asset ID])),IF(AND((_xlfn.XMATCH(BU$8,$AH$8:$CC$8))-_xlfn.XMATCH($C104,$C$35:$C$82)+1&lt;=_xlpm.DepreciationMonths,$C104&lt;=BU$8),$E104/_xlpm.DepreciationMonths,0))</f>
        <v>0</v>
      </c>
      <c r="BV104" s="507" cm="1">
        <f t="array" ref="BV104">_xlfn.LET(_xlpm.DepreciationMonths,INDEX(FixedAssets[Depreciation
/ Amortization Months],_xlfn.XMATCH($E$84,FixedAssets[Asset ID])),IF(AND((_xlfn.XMATCH(BV$8,$AH$8:$CC$8))-_xlfn.XMATCH($C104,$C$35:$C$82)+1&lt;=_xlpm.DepreciationMonths,$C104&lt;=BV$8),$E104/_xlpm.DepreciationMonths,0))</f>
        <v>0</v>
      </c>
      <c r="BW104" s="507" cm="1">
        <f t="array" ref="BW104">_xlfn.LET(_xlpm.DepreciationMonths,INDEX(FixedAssets[Depreciation
/ Amortization Months],_xlfn.XMATCH($E$84,FixedAssets[Asset ID])),IF(AND((_xlfn.XMATCH(BW$8,$AH$8:$CC$8))-_xlfn.XMATCH($C104,$C$35:$C$82)+1&lt;=_xlpm.DepreciationMonths,$C104&lt;=BW$8),$E104/_xlpm.DepreciationMonths,0))</f>
        <v>0</v>
      </c>
      <c r="BX104" s="507" cm="1">
        <f t="array" ref="BX104">_xlfn.LET(_xlpm.DepreciationMonths,INDEX(FixedAssets[Depreciation
/ Amortization Months],_xlfn.XMATCH($E$84,FixedAssets[Asset ID])),IF(AND((_xlfn.XMATCH(BX$8,$AH$8:$CC$8))-_xlfn.XMATCH($C104,$C$35:$C$82)+1&lt;=_xlpm.DepreciationMonths,$C104&lt;=BX$8),$E104/_xlpm.DepreciationMonths,0))</f>
        <v>0</v>
      </c>
      <c r="BY104" s="507" cm="1">
        <f t="array" ref="BY104">_xlfn.LET(_xlpm.DepreciationMonths,INDEX(FixedAssets[Depreciation
/ Amortization Months],_xlfn.XMATCH($E$84,FixedAssets[Asset ID])),IF(AND((_xlfn.XMATCH(BY$8,$AH$8:$CC$8))-_xlfn.XMATCH($C104,$C$35:$C$82)+1&lt;=_xlpm.DepreciationMonths,$C104&lt;=BY$8),$E104/_xlpm.DepreciationMonths,0))</f>
        <v>0</v>
      </c>
      <c r="BZ104" s="507" cm="1">
        <f t="array" ref="BZ104">_xlfn.LET(_xlpm.DepreciationMonths,INDEX(FixedAssets[Depreciation
/ Amortization Months],_xlfn.XMATCH($E$84,FixedAssets[Asset ID])),IF(AND((_xlfn.XMATCH(BZ$8,$AH$8:$CC$8))-_xlfn.XMATCH($C104,$C$35:$C$82)+1&lt;=_xlpm.DepreciationMonths,$C104&lt;=BZ$8),$E104/_xlpm.DepreciationMonths,0))</f>
        <v>0</v>
      </c>
      <c r="CA104" s="507" cm="1">
        <f t="array" ref="CA104">_xlfn.LET(_xlpm.DepreciationMonths,INDEX(FixedAssets[Depreciation
/ Amortization Months],_xlfn.XMATCH($E$84,FixedAssets[Asset ID])),IF(AND((_xlfn.XMATCH(CA$8,$AH$8:$CC$8))-_xlfn.XMATCH($C104,$C$35:$C$82)+1&lt;=_xlpm.DepreciationMonths,$C104&lt;=CA$8),$E104/_xlpm.DepreciationMonths,0))</f>
        <v>0</v>
      </c>
      <c r="CB104" s="507" cm="1">
        <f t="array" ref="CB104">_xlfn.LET(_xlpm.DepreciationMonths,INDEX(FixedAssets[Depreciation
/ Amortization Months],_xlfn.XMATCH($E$84,FixedAssets[Asset ID])),IF(AND((_xlfn.XMATCH(CB$8,$AH$8:$CC$8))-_xlfn.XMATCH($C104,$C$35:$C$82)+1&lt;=_xlpm.DepreciationMonths,$C104&lt;=CB$8),$E104/_xlpm.DepreciationMonths,0))</f>
        <v>0</v>
      </c>
      <c r="CC104" s="507" cm="1">
        <f t="array" ref="CC104">_xlfn.LET(_xlpm.DepreciationMonths,INDEX(FixedAssets[Depreciation
/ Amortization Months],_xlfn.XMATCH($E$84,FixedAssets[Asset ID])),IF(AND((_xlfn.XMATCH(CC$8,$AH$8:$CC$8))-_xlfn.XMATCH($C104,$C$35:$C$82)+1&lt;=_xlpm.DepreciationMonths,$C104&lt;=CC$8),$E104/_xlpm.DepreciationMonths,0))</f>
        <v>0</v>
      </c>
    </row>
    <row r="105" spans="3:81" hidden="1" outlineLevel="2">
      <c r="C105" s="664">
        <f t="shared" si="167"/>
        <v>45535</v>
      </c>
      <c r="D105" s="508"/>
      <c r="E105" s="508" cm="1">
        <f t="array" ref="E105">SUMPRODUCT(($AH$26:$CC$31)*($AH$5:$CC$5=$C105)*($E$26:$E$31=E$84))-SUMPRODUCT(($AH$26:$CC$31)*($AH$5:$CC$5=EOMONTH($C105,-1))*($E$26:$E$31=E$84))</f>
        <v>0</v>
      </c>
      <c r="F105" s="508"/>
      <c r="G105" s="508"/>
      <c r="H105" s="508"/>
      <c r="I105" s="508"/>
      <c r="J105" s="504">
        <f t="shared" si="164"/>
        <v>0</v>
      </c>
      <c r="K105" s="504">
        <f t="shared" si="169"/>
        <v>0</v>
      </c>
      <c r="L105" s="504">
        <f t="shared" si="169"/>
        <v>0</v>
      </c>
      <c r="M105" s="504">
        <f t="shared" si="169"/>
        <v>0</v>
      </c>
      <c r="N105" s="504"/>
      <c r="O105" s="504"/>
      <c r="P105" s="504">
        <f t="shared" si="170"/>
        <v>0</v>
      </c>
      <c r="Q105" s="504">
        <f t="shared" si="170"/>
        <v>0</v>
      </c>
      <c r="R105" s="504">
        <f t="shared" si="170"/>
        <v>0</v>
      </c>
      <c r="S105" s="504">
        <f t="shared" si="170"/>
        <v>0</v>
      </c>
      <c r="T105" s="504">
        <f t="shared" si="170"/>
        <v>0</v>
      </c>
      <c r="U105" s="504">
        <f t="shared" si="170"/>
        <v>0</v>
      </c>
      <c r="V105" s="504">
        <f t="shared" si="170"/>
        <v>0</v>
      </c>
      <c r="W105" s="504">
        <f t="shared" si="170"/>
        <v>0</v>
      </c>
      <c r="X105" s="504">
        <f t="shared" si="170"/>
        <v>0</v>
      </c>
      <c r="Y105" s="504">
        <f t="shared" si="170"/>
        <v>0</v>
      </c>
      <c r="Z105" s="504">
        <f t="shared" si="170"/>
        <v>0</v>
      </c>
      <c r="AA105" s="504">
        <f t="shared" si="170"/>
        <v>0</v>
      </c>
      <c r="AB105" s="504">
        <f t="shared" si="170"/>
        <v>0</v>
      </c>
      <c r="AC105" s="504">
        <f t="shared" si="170"/>
        <v>0</v>
      </c>
      <c r="AD105" s="504">
        <f t="shared" si="170"/>
        <v>0</v>
      </c>
      <c r="AE105" s="504">
        <f t="shared" si="170"/>
        <v>0</v>
      </c>
      <c r="AF105" s="508"/>
      <c r="AG105" s="508"/>
      <c r="AH105" s="507" cm="1">
        <f t="array" ref="AH105">_xlfn.LET(_xlpm.DepreciationMonths,INDEX(FixedAssets[Depreciation
/ Amortization Months],_xlfn.XMATCH($E$84,FixedAssets[Asset ID])),IF(AND((_xlfn.XMATCH(AH$8,$AH$8:$CC$8))-_xlfn.XMATCH($C105,$C$35:$C$82)+1&lt;=_xlpm.DepreciationMonths,$C105&lt;=AH$8),$E105/_xlpm.DepreciationMonths,0))</f>
        <v>0</v>
      </c>
      <c r="AI105" s="507" cm="1">
        <f t="array" ref="AI105">_xlfn.LET(_xlpm.DepreciationMonths,INDEX(FixedAssets[Depreciation
/ Amortization Months],_xlfn.XMATCH($E$84,FixedAssets[Asset ID])),IF(AND((_xlfn.XMATCH(AI$8,$AH$8:$CC$8))-_xlfn.XMATCH($C105,$C$35:$C$82)+1&lt;=_xlpm.DepreciationMonths,$C105&lt;=AI$8),$E105/_xlpm.DepreciationMonths,0))</f>
        <v>0</v>
      </c>
      <c r="AJ105" s="507" cm="1">
        <f t="array" ref="AJ105">_xlfn.LET(_xlpm.DepreciationMonths,INDEX(FixedAssets[Depreciation
/ Amortization Months],_xlfn.XMATCH($E$84,FixedAssets[Asset ID])),IF(AND((_xlfn.XMATCH(AJ$8,$AH$8:$CC$8))-_xlfn.XMATCH($C105,$C$35:$C$82)+1&lt;=_xlpm.DepreciationMonths,$C105&lt;=AJ$8),$E105/_xlpm.DepreciationMonths,0))</f>
        <v>0</v>
      </c>
      <c r="AK105" s="507" cm="1">
        <f t="array" ref="AK105">_xlfn.LET(_xlpm.DepreciationMonths,INDEX(FixedAssets[Depreciation
/ Amortization Months],_xlfn.XMATCH($E$84,FixedAssets[Asset ID])),IF(AND((_xlfn.XMATCH(AK$8,$AH$8:$CC$8))-_xlfn.XMATCH($C105,$C$35:$C$82)+1&lt;=_xlpm.DepreciationMonths,$C105&lt;=AK$8),$E105/_xlpm.DepreciationMonths,0))</f>
        <v>0</v>
      </c>
      <c r="AL105" s="507" cm="1">
        <f t="array" ref="AL105">_xlfn.LET(_xlpm.DepreciationMonths,INDEX(FixedAssets[Depreciation
/ Amortization Months],_xlfn.XMATCH($E$84,FixedAssets[Asset ID])),IF(AND((_xlfn.XMATCH(AL$8,$AH$8:$CC$8))-_xlfn.XMATCH($C105,$C$35:$C$82)+1&lt;=_xlpm.DepreciationMonths,$C105&lt;=AL$8),$E105/_xlpm.DepreciationMonths,0))</f>
        <v>0</v>
      </c>
      <c r="AM105" s="507" cm="1">
        <f t="array" ref="AM105">_xlfn.LET(_xlpm.DepreciationMonths,INDEX(FixedAssets[Depreciation
/ Amortization Months],_xlfn.XMATCH($E$84,FixedAssets[Asset ID])),IF(AND((_xlfn.XMATCH(AM$8,$AH$8:$CC$8))-_xlfn.XMATCH($C105,$C$35:$C$82)+1&lt;=_xlpm.DepreciationMonths,$C105&lt;=AM$8),$E105/_xlpm.DepreciationMonths,0))</f>
        <v>0</v>
      </c>
      <c r="AN105" s="507" cm="1">
        <f t="array" ref="AN105">_xlfn.LET(_xlpm.DepreciationMonths,INDEX(FixedAssets[Depreciation
/ Amortization Months],_xlfn.XMATCH($E$84,FixedAssets[Asset ID])),IF(AND((_xlfn.XMATCH(AN$8,$AH$8:$CC$8))-_xlfn.XMATCH($C105,$C$35:$C$82)+1&lt;=_xlpm.DepreciationMonths,$C105&lt;=AN$8),$E105/_xlpm.DepreciationMonths,0))</f>
        <v>0</v>
      </c>
      <c r="AO105" s="507" cm="1">
        <f t="array" ref="AO105">_xlfn.LET(_xlpm.DepreciationMonths,INDEX(FixedAssets[Depreciation
/ Amortization Months],_xlfn.XMATCH($E$84,FixedAssets[Asset ID])),IF(AND((_xlfn.XMATCH(AO$8,$AH$8:$CC$8))-_xlfn.XMATCH($C105,$C$35:$C$82)+1&lt;=_xlpm.DepreciationMonths,$C105&lt;=AO$8),$E105/_xlpm.DepreciationMonths,0))</f>
        <v>0</v>
      </c>
      <c r="AP105" s="507" cm="1">
        <f t="array" ref="AP105">_xlfn.LET(_xlpm.DepreciationMonths,INDEX(FixedAssets[Depreciation
/ Amortization Months],_xlfn.XMATCH($E$84,FixedAssets[Asset ID])),IF(AND((_xlfn.XMATCH(AP$8,$AH$8:$CC$8))-_xlfn.XMATCH($C105,$C$35:$C$82)+1&lt;=_xlpm.DepreciationMonths,$C105&lt;=AP$8),$E105/_xlpm.DepreciationMonths,0))</f>
        <v>0</v>
      </c>
      <c r="AQ105" s="507" cm="1">
        <f t="array" ref="AQ105">_xlfn.LET(_xlpm.DepreciationMonths,INDEX(FixedAssets[Depreciation
/ Amortization Months],_xlfn.XMATCH($E$84,FixedAssets[Asset ID])),IF(AND((_xlfn.XMATCH(AQ$8,$AH$8:$CC$8))-_xlfn.XMATCH($C105,$C$35:$C$82)+1&lt;=_xlpm.DepreciationMonths,$C105&lt;=AQ$8),$E105/_xlpm.DepreciationMonths,0))</f>
        <v>0</v>
      </c>
      <c r="AR105" s="507" cm="1">
        <f t="array" ref="AR105">_xlfn.LET(_xlpm.DepreciationMonths,INDEX(FixedAssets[Depreciation
/ Amortization Months],_xlfn.XMATCH($E$84,FixedAssets[Asset ID])),IF(AND((_xlfn.XMATCH(AR$8,$AH$8:$CC$8))-_xlfn.XMATCH($C105,$C$35:$C$82)+1&lt;=_xlpm.DepreciationMonths,$C105&lt;=AR$8),$E105/_xlpm.DepreciationMonths,0))</f>
        <v>0</v>
      </c>
      <c r="AS105" s="507" cm="1">
        <f t="array" ref="AS105">_xlfn.LET(_xlpm.DepreciationMonths,INDEX(FixedAssets[Depreciation
/ Amortization Months],_xlfn.XMATCH($E$84,FixedAssets[Asset ID])),IF(AND((_xlfn.XMATCH(AS$8,$AH$8:$CC$8))-_xlfn.XMATCH($C105,$C$35:$C$82)+1&lt;=_xlpm.DepreciationMonths,$C105&lt;=AS$8),$E105/_xlpm.DepreciationMonths,0))</f>
        <v>0</v>
      </c>
      <c r="AT105" s="507" cm="1">
        <f t="array" ref="AT105">_xlfn.LET(_xlpm.DepreciationMonths,INDEX(FixedAssets[Depreciation
/ Amortization Months],_xlfn.XMATCH($E$84,FixedAssets[Asset ID])),IF(AND((_xlfn.XMATCH(AT$8,$AH$8:$CC$8))-_xlfn.XMATCH($C105,$C$35:$C$82)+1&lt;=_xlpm.DepreciationMonths,$C105&lt;=AT$8),$E105/_xlpm.DepreciationMonths,0))</f>
        <v>0</v>
      </c>
      <c r="AU105" s="507" cm="1">
        <f t="array" ref="AU105">_xlfn.LET(_xlpm.DepreciationMonths,INDEX(FixedAssets[Depreciation
/ Amortization Months],_xlfn.XMATCH($E$84,FixedAssets[Asset ID])),IF(AND((_xlfn.XMATCH(AU$8,$AH$8:$CC$8))-_xlfn.XMATCH($C105,$C$35:$C$82)+1&lt;=_xlpm.DepreciationMonths,$C105&lt;=AU$8),$E105/_xlpm.DepreciationMonths,0))</f>
        <v>0</v>
      </c>
      <c r="AV105" s="507" cm="1">
        <f t="array" ref="AV105">_xlfn.LET(_xlpm.DepreciationMonths,INDEX(FixedAssets[Depreciation
/ Amortization Months],_xlfn.XMATCH($E$84,FixedAssets[Asset ID])),IF(AND((_xlfn.XMATCH(AV$8,$AH$8:$CC$8))-_xlfn.XMATCH($C105,$C$35:$C$82)+1&lt;=_xlpm.DepreciationMonths,$C105&lt;=AV$8),$E105/_xlpm.DepreciationMonths,0))</f>
        <v>0</v>
      </c>
      <c r="AW105" s="507" cm="1">
        <f t="array" ref="AW105">_xlfn.LET(_xlpm.DepreciationMonths,INDEX(FixedAssets[Depreciation
/ Amortization Months],_xlfn.XMATCH($E$84,FixedAssets[Asset ID])),IF(AND((_xlfn.XMATCH(AW$8,$AH$8:$CC$8))-_xlfn.XMATCH($C105,$C$35:$C$82)+1&lt;=_xlpm.DepreciationMonths,$C105&lt;=AW$8),$E105/_xlpm.DepreciationMonths,0))</f>
        <v>0</v>
      </c>
      <c r="AX105" s="507" cm="1">
        <f t="array" ref="AX105">_xlfn.LET(_xlpm.DepreciationMonths,INDEX(FixedAssets[Depreciation
/ Amortization Months],_xlfn.XMATCH($E$84,FixedAssets[Asset ID])),IF(AND((_xlfn.XMATCH(AX$8,$AH$8:$CC$8))-_xlfn.XMATCH($C105,$C$35:$C$82)+1&lt;=_xlpm.DepreciationMonths,$C105&lt;=AX$8),$E105/_xlpm.DepreciationMonths,0))</f>
        <v>0</v>
      </c>
      <c r="AY105" s="507" cm="1">
        <f t="array" ref="AY105">_xlfn.LET(_xlpm.DepreciationMonths,INDEX(FixedAssets[Depreciation
/ Amortization Months],_xlfn.XMATCH($E$84,FixedAssets[Asset ID])),IF(AND((_xlfn.XMATCH(AY$8,$AH$8:$CC$8))-_xlfn.XMATCH($C105,$C$35:$C$82)+1&lt;=_xlpm.DepreciationMonths,$C105&lt;=AY$8),$E105/_xlpm.DepreciationMonths,0))</f>
        <v>0</v>
      </c>
      <c r="AZ105" s="507" cm="1">
        <f t="array" ref="AZ105">_xlfn.LET(_xlpm.DepreciationMonths,INDEX(FixedAssets[Depreciation
/ Amortization Months],_xlfn.XMATCH($E$84,FixedAssets[Asset ID])),IF(AND((_xlfn.XMATCH(AZ$8,$AH$8:$CC$8))-_xlfn.XMATCH($C105,$C$35:$C$82)+1&lt;=_xlpm.DepreciationMonths,$C105&lt;=AZ$8),$E105/_xlpm.DepreciationMonths,0))</f>
        <v>0</v>
      </c>
      <c r="BA105" s="507" cm="1">
        <f t="array" ref="BA105">_xlfn.LET(_xlpm.DepreciationMonths,INDEX(FixedAssets[Depreciation
/ Amortization Months],_xlfn.XMATCH($E$84,FixedAssets[Asset ID])),IF(AND((_xlfn.XMATCH(BA$8,$AH$8:$CC$8))-_xlfn.XMATCH($C105,$C$35:$C$82)+1&lt;=_xlpm.DepreciationMonths,$C105&lt;=BA$8),$E105/_xlpm.DepreciationMonths,0))</f>
        <v>0</v>
      </c>
      <c r="BB105" s="507" cm="1">
        <f t="array" ref="BB105">_xlfn.LET(_xlpm.DepreciationMonths,INDEX(FixedAssets[Depreciation
/ Amortization Months],_xlfn.XMATCH($E$84,FixedAssets[Asset ID])),IF(AND((_xlfn.XMATCH(BB$8,$AH$8:$CC$8))-_xlfn.XMATCH($C105,$C$35:$C$82)+1&lt;=_xlpm.DepreciationMonths,$C105&lt;=BB$8),$E105/_xlpm.DepreciationMonths,0))</f>
        <v>0</v>
      </c>
      <c r="BC105" s="507" cm="1">
        <f t="array" ref="BC105">_xlfn.LET(_xlpm.DepreciationMonths,INDEX(FixedAssets[Depreciation
/ Amortization Months],_xlfn.XMATCH($E$84,FixedAssets[Asset ID])),IF(AND((_xlfn.XMATCH(BC$8,$AH$8:$CC$8))-_xlfn.XMATCH($C105,$C$35:$C$82)+1&lt;=_xlpm.DepreciationMonths,$C105&lt;=BC$8),$E105/_xlpm.DepreciationMonths,0))</f>
        <v>0</v>
      </c>
      <c r="BD105" s="507" cm="1">
        <f t="array" ref="BD105">_xlfn.LET(_xlpm.DepreciationMonths,INDEX(FixedAssets[Depreciation
/ Amortization Months],_xlfn.XMATCH($E$84,FixedAssets[Asset ID])),IF(AND((_xlfn.XMATCH(BD$8,$AH$8:$CC$8))-_xlfn.XMATCH($C105,$C$35:$C$82)+1&lt;=_xlpm.DepreciationMonths,$C105&lt;=BD$8),$E105/_xlpm.DepreciationMonths,0))</f>
        <v>0</v>
      </c>
      <c r="BE105" s="507" cm="1">
        <f t="array" ref="BE105">_xlfn.LET(_xlpm.DepreciationMonths,INDEX(FixedAssets[Depreciation
/ Amortization Months],_xlfn.XMATCH($E$84,FixedAssets[Asset ID])),IF(AND((_xlfn.XMATCH(BE$8,$AH$8:$CC$8))-_xlfn.XMATCH($C105,$C$35:$C$82)+1&lt;=_xlpm.DepreciationMonths,$C105&lt;=BE$8),$E105/_xlpm.DepreciationMonths,0))</f>
        <v>0</v>
      </c>
      <c r="BF105" s="507" cm="1">
        <f t="array" ref="BF105">_xlfn.LET(_xlpm.DepreciationMonths,INDEX(FixedAssets[Depreciation
/ Amortization Months],_xlfn.XMATCH($E$84,FixedAssets[Asset ID])),IF(AND((_xlfn.XMATCH(BF$8,$AH$8:$CC$8))-_xlfn.XMATCH($C105,$C$35:$C$82)+1&lt;=_xlpm.DepreciationMonths,$C105&lt;=BF$8),$E105/_xlpm.DepreciationMonths,0))</f>
        <v>0</v>
      </c>
      <c r="BG105" s="507" cm="1">
        <f t="array" ref="BG105">_xlfn.LET(_xlpm.DepreciationMonths,INDEX(FixedAssets[Depreciation
/ Amortization Months],_xlfn.XMATCH($E$84,FixedAssets[Asset ID])),IF(AND((_xlfn.XMATCH(BG$8,$AH$8:$CC$8))-_xlfn.XMATCH($C105,$C$35:$C$82)+1&lt;=_xlpm.DepreciationMonths,$C105&lt;=BG$8),$E105/_xlpm.DepreciationMonths,0))</f>
        <v>0</v>
      </c>
      <c r="BH105" s="507" cm="1">
        <f t="array" ref="BH105">_xlfn.LET(_xlpm.DepreciationMonths,INDEX(FixedAssets[Depreciation
/ Amortization Months],_xlfn.XMATCH($E$84,FixedAssets[Asset ID])),IF(AND((_xlfn.XMATCH(BH$8,$AH$8:$CC$8))-_xlfn.XMATCH($C105,$C$35:$C$82)+1&lt;=_xlpm.DepreciationMonths,$C105&lt;=BH$8),$E105/_xlpm.DepreciationMonths,0))</f>
        <v>0</v>
      </c>
      <c r="BI105" s="507" cm="1">
        <f t="array" ref="BI105">_xlfn.LET(_xlpm.DepreciationMonths,INDEX(FixedAssets[Depreciation
/ Amortization Months],_xlfn.XMATCH($E$84,FixedAssets[Asset ID])),IF(AND((_xlfn.XMATCH(BI$8,$AH$8:$CC$8))-_xlfn.XMATCH($C105,$C$35:$C$82)+1&lt;=_xlpm.DepreciationMonths,$C105&lt;=BI$8),$E105/_xlpm.DepreciationMonths,0))</f>
        <v>0</v>
      </c>
      <c r="BJ105" s="507" cm="1">
        <f t="array" ref="BJ105">_xlfn.LET(_xlpm.DepreciationMonths,INDEX(FixedAssets[Depreciation
/ Amortization Months],_xlfn.XMATCH($E$84,FixedAssets[Asset ID])),IF(AND((_xlfn.XMATCH(BJ$8,$AH$8:$CC$8))-_xlfn.XMATCH($C105,$C$35:$C$82)+1&lt;=_xlpm.DepreciationMonths,$C105&lt;=BJ$8),$E105/_xlpm.DepreciationMonths,0))</f>
        <v>0</v>
      </c>
      <c r="BK105" s="507" cm="1">
        <f t="array" ref="BK105">_xlfn.LET(_xlpm.DepreciationMonths,INDEX(FixedAssets[Depreciation
/ Amortization Months],_xlfn.XMATCH($E$84,FixedAssets[Asset ID])),IF(AND((_xlfn.XMATCH(BK$8,$AH$8:$CC$8))-_xlfn.XMATCH($C105,$C$35:$C$82)+1&lt;=_xlpm.DepreciationMonths,$C105&lt;=BK$8),$E105/_xlpm.DepreciationMonths,0))</f>
        <v>0</v>
      </c>
      <c r="BL105" s="507" cm="1">
        <f t="array" ref="BL105">_xlfn.LET(_xlpm.DepreciationMonths,INDEX(FixedAssets[Depreciation
/ Amortization Months],_xlfn.XMATCH($E$84,FixedAssets[Asset ID])),IF(AND((_xlfn.XMATCH(BL$8,$AH$8:$CC$8))-_xlfn.XMATCH($C105,$C$35:$C$82)+1&lt;=_xlpm.DepreciationMonths,$C105&lt;=BL$8),$E105/_xlpm.DepreciationMonths,0))</f>
        <v>0</v>
      </c>
      <c r="BM105" s="507" cm="1">
        <f t="array" ref="BM105">_xlfn.LET(_xlpm.DepreciationMonths,INDEX(FixedAssets[Depreciation
/ Amortization Months],_xlfn.XMATCH($E$84,FixedAssets[Asset ID])),IF(AND((_xlfn.XMATCH(BM$8,$AH$8:$CC$8))-_xlfn.XMATCH($C105,$C$35:$C$82)+1&lt;=_xlpm.DepreciationMonths,$C105&lt;=BM$8),$E105/_xlpm.DepreciationMonths,0))</f>
        <v>0</v>
      </c>
      <c r="BN105" s="507" cm="1">
        <f t="array" ref="BN105">_xlfn.LET(_xlpm.DepreciationMonths,INDEX(FixedAssets[Depreciation
/ Amortization Months],_xlfn.XMATCH($E$84,FixedAssets[Asset ID])),IF(AND((_xlfn.XMATCH(BN$8,$AH$8:$CC$8))-_xlfn.XMATCH($C105,$C$35:$C$82)+1&lt;=_xlpm.DepreciationMonths,$C105&lt;=BN$8),$E105/_xlpm.DepreciationMonths,0))</f>
        <v>0</v>
      </c>
      <c r="BO105" s="507" cm="1">
        <f t="array" ref="BO105">_xlfn.LET(_xlpm.DepreciationMonths,INDEX(FixedAssets[Depreciation
/ Amortization Months],_xlfn.XMATCH($E$84,FixedAssets[Asset ID])),IF(AND((_xlfn.XMATCH(BO$8,$AH$8:$CC$8))-_xlfn.XMATCH($C105,$C$35:$C$82)+1&lt;=_xlpm.DepreciationMonths,$C105&lt;=BO$8),$E105/_xlpm.DepreciationMonths,0))</f>
        <v>0</v>
      </c>
      <c r="BP105" s="507" cm="1">
        <f t="array" ref="BP105">_xlfn.LET(_xlpm.DepreciationMonths,INDEX(FixedAssets[Depreciation
/ Amortization Months],_xlfn.XMATCH($E$84,FixedAssets[Asset ID])),IF(AND((_xlfn.XMATCH(BP$8,$AH$8:$CC$8))-_xlfn.XMATCH($C105,$C$35:$C$82)+1&lt;=_xlpm.DepreciationMonths,$C105&lt;=BP$8),$E105/_xlpm.DepreciationMonths,0))</f>
        <v>0</v>
      </c>
      <c r="BQ105" s="507" cm="1">
        <f t="array" ref="BQ105">_xlfn.LET(_xlpm.DepreciationMonths,INDEX(FixedAssets[Depreciation
/ Amortization Months],_xlfn.XMATCH($E$84,FixedAssets[Asset ID])),IF(AND((_xlfn.XMATCH(BQ$8,$AH$8:$CC$8))-_xlfn.XMATCH($C105,$C$35:$C$82)+1&lt;=_xlpm.DepreciationMonths,$C105&lt;=BQ$8),$E105/_xlpm.DepreciationMonths,0))</f>
        <v>0</v>
      </c>
      <c r="BR105" s="507" cm="1">
        <f t="array" ref="BR105">_xlfn.LET(_xlpm.DepreciationMonths,INDEX(FixedAssets[Depreciation
/ Amortization Months],_xlfn.XMATCH($E$84,FixedAssets[Asset ID])),IF(AND((_xlfn.XMATCH(BR$8,$AH$8:$CC$8))-_xlfn.XMATCH($C105,$C$35:$C$82)+1&lt;=_xlpm.DepreciationMonths,$C105&lt;=BR$8),$E105/_xlpm.DepreciationMonths,0))</f>
        <v>0</v>
      </c>
      <c r="BS105" s="507" cm="1">
        <f t="array" ref="BS105">_xlfn.LET(_xlpm.DepreciationMonths,INDEX(FixedAssets[Depreciation
/ Amortization Months],_xlfn.XMATCH($E$84,FixedAssets[Asset ID])),IF(AND((_xlfn.XMATCH(BS$8,$AH$8:$CC$8))-_xlfn.XMATCH($C105,$C$35:$C$82)+1&lt;=_xlpm.DepreciationMonths,$C105&lt;=BS$8),$E105/_xlpm.DepreciationMonths,0))</f>
        <v>0</v>
      </c>
      <c r="BT105" s="507" cm="1">
        <f t="array" ref="BT105">_xlfn.LET(_xlpm.DepreciationMonths,INDEX(FixedAssets[Depreciation
/ Amortization Months],_xlfn.XMATCH($E$84,FixedAssets[Asset ID])),IF(AND((_xlfn.XMATCH(BT$8,$AH$8:$CC$8))-_xlfn.XMATCH($C105,$C$35:$C$82)+1&lt;=_xlpm.DepreciationMonths,$C105&lt;=BT$8),$E105/_xlpm.DepreciationMonths,0))</f>
        <v>0</v>
      </c>
      <c r="BU105" s="507" cm="1">
        <f t="array" ref="BU105">_xlfn.LET(_xlpm.DepreciationMonths,INDEX(FixedAssets[Depreciation
/ Amortization Months],_xlfn.XMATCH($E$84,FixedAssets[Asset ID])),IF(AND((_xlfn.XMATCH(BU$8,$AH$8:$CC$8))-_xlfn.XMATCH($C105,$C$35:$C$82)+1&lt;=_xlpm.DepreciationMonths,$C105&lt;=BU$8),$E105/_xlpm.DepreciationMonths,0))</f>
        <v>0</v>
      </c>
      <c r="BV105" s="507" cm="1">
        <f t="array" ref="BV105">_xlfn.LET(_xlpm.DepreciationMonths,INDEX(FixedAssets[Depreciation
/ Amortization Months],_xlfn.XMATCH($E$84,FixedAssets[Asset ID])),IF(AND((_xlfn.XMATCH(BV$8,$AH$8:$CC$8))-_xlfn.XMATCH($C105,$C$35:$C$82)+1&lt;=_xlpm.DepreciationMonths,$C105&lt;=BV$8),$E105/_xlpm.DepreciationMonths,0))</f>
        <v>0</v>
      </c>
      <c r="BW105" s="507" cm="1">
        <f t="array" ref="BW105">_xlfn.LET(_xlpm.DepreciationMonths,INDEX(FixedAssets[Depreciation
/ Amortization Months],_xlfn.XMATCH($E$84,FixedAssets[Asset ID])),IF(AND((_xlfn.XMATCH(BW$8,$AH$8:$CC$8))-_xlfn.XMATCH($C105,$C$35:$C$82)+1&lt;=_xlpm.DepreciationMonths,$C105&lt;=BW$8),$E105/_xlpm.DepreciationMonths,0))</f>
        <v>0</v>
      </c>
      <c r="BX105" s="507" cm="1">
        <f t="array" ref="BX105">_xlfn.LET(_xlpm.DepreciationMonths,INDEX(FixedAssets[Depreciation
/ Amortization Months],_xlfn.XMATCH($E$84,FixedAssets[Asset ID])),IF(AND((_xlfn.XMATCH(BX$8,$AH$8:$CC$8))-_xlfn.XMATCH($C105,$C$35:$C$82)+1&lt;=_xlpm.DepreciationMonths,$C105&lt;=BX$8),$E105/_xlpm.DepreciationMonths,0))</f>
        <v>0</v>
      </c>
      <c r="BY105" s="507" cm="1">
        <f t="array" ref="BY105">_xlfn.LET(_xlpm.DepreciationMonths,INDEX(FixedAssets[Depreciation
/ Amortization Months],_xlfn.XMATCH($E$84,FixedAssets[Asset ID])),IF(AND((_xlfn.XMATCH(BY$8,$AH$8:$CC$8))-_xlfn.XMATCH($C105,$C$35:$C$82)+1&lt;=_xlpm.DepreciationMonths,$C105&lt;=BY$8),$E105/_xlpm.DepreciationMonths,0))</f>
        <v>0</v>
      </c>
      <c r="BZ105" s="507" cm="1">
        <f t="array" ref="BZ105">_xlfn.LET(_xlpm.DepreciationMonths,INDEX(FixedAssets[Depreciation
/ Amortization Months],_xlfn.XMATCH($E$84,FixedAssets[Asset ID])),IF(AND((_xlfn.XMATCH(BZ$8,$AH$8:$CC$8))-_xlfn.XMATCH($C105,$C$35:$C$82)+1&lt;=_xlpm.DepreciationMonths,$C105&lt;=BZ$8),$E105/_xlpm.DepreciationMonths,0))</f>
        <v>0</v>
      </c>
      <c r="CA105" s="507" cm="1">
        <f t="array" ref="CA105">_xlfn.LET(_xlpm.DepreciationMonths,INDEX(FixedAssets[Depreciation
/ Amortization Months],_xlfn.XMATCH($E$84,FixedAssets[Asset ID])),IF(AND((_xlfn.XMATCH(CA$8,$AH$8:$CC$8))-_xlfn.XMATCH($C105,$C$35:$C$82)+1&lt;=_xlpm.DepreciationMonths,$C105&lt;=CA$8),$E105/_xlpm.DepreciationMonths,0))</f>
        <v>0</v>
      </c>
      <c r="CB105" s="507" cm="1">
        <f t="array" ref="CB105">_xlfn.LET(_xlpm.DepreciationMonths,INDEX(FixedAssets[Depreciation
/ Amortization Months],_xlfn.XMATCH($E$84,FixedAssets[Asset ID])),IF(AND((_xlfn.XMATCH(CB$8,$AH$8:$CC$8))-_xlfn.XMATCH($C105,$C$35:$C$82)+1&lt;=_xlpm.DepreciationMonths,$C105&lt;=CB$8),$E105/_xlpm.DepreciationMonths,0))</f>
        <v>0</v>
      </c>
      <c r="CC105" s="507" cm="1">
        <f t="array" ref="CC105">_xlfn.LET(_xlpm.DepreciationMonths,INDEX(FixedAssets[Depreciation
/ Amortization Months],_xlfn.XMATCH($E$84,FixedAssets[Asset ID])),IF(AND((_xlfn.XMATCH(CC$8,$AH$8:$CC$8))-_xlfn.XMATCH($C105,$C$35:$C$82)+1&lt;=_xlpm.DepreciationMonths,$C105&lt;=CC$8),$E105/_xlpm.DepreciationMonths,0))</f>
        <v>0</v>
      </c>
    </row>
    <row r="106" spans="3:81" hidden="1" outlineLevel="2">
      <c r="C106" s="664">
        <f t="shared" si="167"/>
        <v>45565</v>
      </c>
      <c r="D106" s="508"/>
      <c r="E106" s="508" cm="1">
        <f t="array" ref="E106">SUMPRODUCT(($AH$26:$CC$31)*($AH$5:$CC$5=$C106)*($E$26:$E$31=E$84))-SUMPRODUCT(($AH$26:$CC$31)*($AH$5:$CC$5=EOMONTH($C106,-1))*($E$26:$E$31=E$84))</f>
        <v>0</v>
      </c>
      <c r="F106" s="508"/>
      <c r="G106" s="508"/>
      <c r="H106" s="508"/>
      <c r="I106" s="508"/>
      <c r="J106" s="504">
        <f t="shared" si="164"/>
        <v>0</v>
      </c>
      <c r="K106" s="504">
        <f t="shared" si="169"/>
        <v>0</v>
      </c>
      <c r="L106" s="504">
        <f t="shared" si="169"/>
        <v>0</v>
      </c>
      <c r="M106" s="504">
        <f t="shared" si="169"/>
        <v>0</v>
      </c>
      <c r="N106" s="504"/>
      <c r="O106" s="504"/>
      <c r="P106" s="504">
        <f t="shared" si="170"/>
        <v>0</v>
      </c>
      <c r="Q106" s="504">
        <f t="shared" si="170"/>
        <v>0</v>
      </c>
      <c r="R106" s="504">
        <f t="shared" si="170"/>
        <v>0</v>
      </c>
      <c r="S106" s="504">
        <f t="shared" si="170"/>
        <v>0</v>
      </c>
      <c r="T106" s="504">
        <f t="shared" si="170"/>
        <v>0</v>
      </c>
      <c r="U106" s="504">
        <f t="shared" si="170"/>
        <v>0</v>
      </c>
      <c r="V106" s="504">
        <f t="shared" si="170"/>
        <v>0</v>
      </c>
      <c r="W106" s="504">
        <f t="shared" si="170"/>
        <v>0</v>
      </c>
      <c r="X106" s="504">
        <f t="shared" si="170"/>
        <v>0</v>
      </c>
      <c r="Y106" s="504">
        <f t="shared" si="170"/>
        <v>0</v>
      </c>
      <c r="Z106" s="504">
        <f t="shared" si="170"/>
        <v>0</v>
      </c>
      <c r="AA106" s="504">
        <f t="shared" si="170"/>
        <v>0</v>
      </c>
      <c r="AB106" s="504">
        <f t="shared" si="170"/>
        <v>0</v>
      </c>
      <c r="AC106" s="504">
        <f t="shared" si="170"/>
        <v>0</v>
      </c>
      <c r="AD106" s="504">
        <f t="shared" si="170"/>
        <v>0</v>
      </c>
      <c r="AE106" s="504">
        <f t="shared" si="170"/>
        <v>0</v>
      </c>
      <c r="AF106" s="508"/>
      <c r="AG106" s="508"/>
      <c r="AH106" s="507" cm="1">
        <f t="array" ref="AH106">_xlfn.LET(_xlpm.DepreciationMonths,INDEX(FixedAssets[Depreciation
/ Amortization Months],_xlfn.XMATCH($E$84,FixedAssets[Asset ID])),IF(AND((_xlfn.XMATCH(AH$8,$AH$8:$CC$8))-_xlfn.XMATCH($C106,$C$35:$C$82)+1&lt;=_xlpm.DepreciationMonths,$C106&lt;=AH$8),$E106/_xlpm.DepreciationMonths,0))</f>
        <v>0</v>
      </c>
      <c r="AI106" s="507" cm="1">
        <f t="array" ref="AI106">_xlfn.LET(_xlpm.DepreciationMonths,INDEX(FixedAssets[Depreciation
/ Amortization Months],_xlfn.XMATCH($E$84,FixedAssets[Asset ID])),IF(AND((_xlfn.XMATCH(AI$8,$AH$8:$CC$8))-_xlfn.XMATCH($C106,$C$35:$C$82)+1&lt;=_xlpm.DepreciationMonths,$C106&lt;=AI$8),$E106/_xlpm.DepreciationMonths,0))</f>
        <v>0</v>
      </c>
      <c r="AJ106" s="507" cm="1">
        <f t="array" ref="AJ106">_xlfn.LET(_xlpm.DepreciationMonths,INDEX(FixedAssets[Depreciation
/ Amortization Months],_xlfn.XMATCH($E$84,FixedAssets[Asset ID])),IF(AND((_xlfn.XMATCH(AJ$8,$AH$8:$CC$8))-_xlfn.XMATCH($C106,$C$35:$C$82)+1&lt;=_xlpm.DepreciationMonths,$C106&lt;=AJ$8),$E106/_xlpm.DepreciationMonths,0))</f>
        <v>0</v>
      </c>
      <c r="AK106" s="507" cm="1">
        <f t="array" ref="AK106">_xlfn.LET(_xlpm.DepreciationMonths,INDEX(FixedAssets[Depreciation
/ Amortization Months],_xlfn.XMATCH($E$84,FixedAssets[Asset ID])),IF(AND((_xlfn.XMATCH(AK$8,$AH$8:$CC$8))-_xlfn.XMATCH($C106,$C$35:$C$82)+1&lt;=_xlpm.DepreciationMonths,$C106&lt;=AK$8),$E106/_xlpm.DepreciationMonths,0))</f>
        <v>0</v>
      </c>
      <c r="AL106" s="507" cm="1">
        <f t="array" ref="AL106">_xlfn.LET(_xlpm.DepreciationMonths,INDEX(FixedAssets[Depreciation
/ Amortization Months],_xlfn.XMATCH($E$84,FixedAssets[Asset ID])),IF(AND((_xlfn.XMATCH(AL$8,$AH$8:$CC$8))-_xlfn.XMATCH($C106,$C$35:$C$82)+1&lt;=_xlpm.DepreciationMonths,$C106&lt;=AL$8),$E106/_xlpm.DepreciationMonths,0))</f>
        <v>0</v>
      </c>
      <c r="AM106" s="507" cm="1">
        <f t="array" ref="AM106">_xlfn.LET(_xlpm.DepreciationMonths,INDEX(FixedAssets[Depreciation
/ Amortization Months],_xlfn.XMATCH($E$84,FixedAssets[Asset ID])),IF(AND((_xlfn.XMATCH(AM$8,$AH$8:$CC$8))-_xlfn.XMATCH($C106,$C$35:$C$82)+1&lt;=_xlpm.DepreciationMonths,$C106&lt;=AM$8),$E106/_xlpm.DepreciationMonths,0))</f>
        <v>0</v>
      </c>
      <c r="AN106" s="507" cm="1">
        <f t="array" ref="AN106">_xlfn.LET(_xlpm.DepreciationMonths,INDEX(FixedAssets[Depreciation
/ Amortization Months],_xlfn.XMATCH($E$84,FixedAssets[Asset ID])),IF(AND((_xlfn.XMATCH(AN$8,$AH$8:$CC$8))-_xlfn.XMATCH($C106,$C$35:$C$82)+1&lt;=_xlpm.DepreciationMonths,$C106&lt;=AN$8),$E106/_xlpm.DepreciationMonths,0))</f>
        <v>0</v>
      </c>
      <c r="AO106" s="507" cm="1">
        <f t="array" ref="AO106">_xlfn.LET(_xlpm.DepreciationMonths,INDEX(FixedAssets[Depreciation
/ Amortization Months],_xlfn.XMATCH($E$84,FixedAssets[Asset ID])),IF(AND((_xlfn.XMATCH(AO$8,$AH$8:$CC$8))-_xlfn.XMATCH($C106,$C$35:$C$82)+1&lt;=_xlpm.DepreciationMonths,$C106&lt;=AO$8),$E106/_xlpm.DepreciationMonths,0))</f>
        <v>0</v>
      </c>
      <c r="AP106" s="507" cm="1">
        <f t="array" ref="AP106">_xlfn.LET(_xlpm.DepreciationMonths,INDEX(FixedAssets[Depreciation
/ Amortization Months],_xlfn.XMATCH($E$84,FixedAssets[Asset ID])),IF(AND((_xlfn.XMATCH(AP$8,$AH$8:$CC$8))-_xlfn.XMATCH($C106,$C$35:$C$82)+1&lt;=_xlpm.DepreciationMonths,$C106&lt;=AP$8),$E106/_xlpm.DepreciationMonths,0))</f>
        <v>0</v>
      </c>
      <c r="AQ106" s="507" cm="1">
        <f t="array" ref="AQ106">_xlfn.LET(_xlpm.DepreciationMonths,INDEX(FixedAssets[Depreciation
/ Amortization Months],_xlfn.XMATCH($E$84,FixedAssets[Asset ID])),IF(AND((_xlfn.XMATCH(AQ$8,$AH$8:$CC$8))-_xlfn.XMATCH($C106,$C$35:$C$82)+1&lt;=_xlpm.DepreciationMonths,$C106&lt;=AQ$8),$E106/_xlpm.DepreciationMonths,0))</f>
        <v>0</v>
      </c>
      <c r="AR106" s="507" cm="1">
        <f t="array" ref="AR106">_xlfn.LET(_xlpm.DepreciationMonths,INDEX(FixedAssets[Depreciation
/ Amortization Months],_xlfn.XMATCH($E$84,FixedAssets[Asset ID])),IF(AND((_xlfn.XMATCH(AR$8,$AH$8:$CC$8))-_xlfn.XMATCH($C106,$C$35:$C$82)+1&lt;=_xlpm.DepreciationMonths,$C106&lt;=AR$8),$E106/_xlpm.DepreciationMonths,0))</f>
        <v>0</v>
      </c>
      <c r="AS106" s="507" cm="1">
        <f t="array" ref="AS106">_xlfn.LET(_xlpm.DepreciationMonths,INDEX(FixedAssets[Depreciation
/ Amortization Months],_xlfn.XMATCH($E$84,FixedAssets[Asset ID])),IF(AND((_xlfn.XMATCH(AS$8,$AH$8:$CC$8))-_xlfn.XMATCH($C106,$C$35:$C$82)+1&lt;=_xlpm.DepreciationMonths,$C106&lt;=AS$8),$E106/_xlpm.DepreciationMonths,0))</f>
        <v>0</v>
      </c>
      <c r="AT106" s="507" cm="1">
        <f t="array" ref="AT106">_xlfn.LET(_xlpm.DepreciationMonths,INDEX(FixedAssets[Depreciation
/ Amortization Months],_xlfn.XMATCH($E$84,FixedAssets[Asset ID])),IF(AND((_xlfn.XMATCH(AT$8,$AH$8:$CC$8))-_xlfn.XMATCH($C106,$C$35:$C$82)+1&lt;=_xlpm.DepreciationMonths,$C106&lt;=AT$8),$E106/_xlpm.DepreciationMonths,0))</f>
        <v>0</v>
      </c>
      <c r="AU106" s="507" cm="1">
        <f t="array" ref="AU106">_xlfn.LET(_xlpm.DepreciationMonths,INDEX(FixedAssets[Depreciation
/ Amortization Months],_xlfn.XMATCH($E$84,FixedAssets[Asset ID])),IF(AND((_xlfn.XMATCH(AU$8,$AH$8:$CC$8))-_xlfn.XMATCH($C106,$C$35:$C$82)+1&lt;=_xlpm.DepreciationMonths,$C106&lt;=AU$8),$E106/_xlpm.DepreciationMonths,0))</f>
        <v>0</v>
      </c>
      <c r="AV106" s="507" cm="1">
        <f t="array" ref="AV106">_xlfn.LET(_xlpm.DepreciationMonths,INDEX(FixedAssets[Depreciation
/ Amortization Months],_xlfn.XMATCH($E$84,FixedAssets[Asset ID])),IF(AND((_xlfn.XMATCH(AV$8,$AH$8:$CC$8))-_xlfn.XMATCH($C106,$C$35:$C$82)+1&lt;=_xlpm.DepreciationMonths,$C106&lt;=AV$8),$E106/_xlpm.DepreciationMonths,0))</f>
        <v>0</v>
      </c>
      <c r="AW106" s="507" cm="1">
        <f t="array" ref="AW106">_xlfn.LET(_xlpm.DepreciationMonths,INDEX(FixedAssets[Depreciation
/ Amortization Months],_xlfn.XMATCH($E$84,FixedAssets[Asset ID])),IF(AND((_xlfn.XMATCH(AW$8,$AH$8:$CC$8))-_xlfn.XMATCH($C106,$C$35:$C$82)+1&lt;=_xlpm.DepreciationMonths,$C106&lt;=AW$8),$E106/_xlpm.DepreciationMonths,0))</f>
        <v>0</v>
      </c>
      <c r="AX106" s="507" cm="1">
        <f t="array" ref="AX106">_xlfn.LET(_xlpm.DepreciationMonths,INDEX(FixedAssets[Depreciation
/ Amortization Months],_xlfn.XMATCH($E$84,FixedAssets[Asset ID])),IF(AND((_xlfn.XMATCH(AX$8,$AH$8:$CC$8))-_xlfn.XMATCH($C106,$C$35:$C$82)+1&lt;=_xlpm.DepreciationMonths,$C106&lt;=AX$8),$E106/_xlpm.DepreciationMonths,0))</f>
        <v>0</v>
      </c>
      <c r="AY106" s="507" cm="1">
        <f t="array" ref="AY106">_xlfn.LET(_xlpm.DepreciationMonths,INDEX(FixedAssets[Depreciation
/ Amortization Months],_xlfn.XMATCH($E$84,FixedAssets[Asset ID])),IF(AND((_xlfn.XMATCH(AY$8,$AH$8:$CC$8))-_xlfn.XMATCH($C106,$C$35:$C$82)+1&lt;=_xlpm.DepreciationMonths,$C106&lt;=AY$8),$E106/_xlpm.DepreciationMonths,0))</f>
        <v>0</v>
      </c>
      <c r="AZ106" s="507" cm="1">
        <f t="array" ref="AZ106">_xlfn.LET(_xlpm.DepreciationMonths,INDEX(FixedAssets[Depreciation
/ Amortization Months],_xlfn.XMATCH($E$84,FixedAssets[Asset ID])),IF(AND((_xlfn.XMATCH(AZ$8,$AH$8:$CC$8))-_xlfn.XMATCH($C106,$C$35:$C$82)+1&lt;=_xlpm.DepreciationMonths,$C106&lt;=AZ$8),$E106/_xlpm.DepreciationMonths,0))</f>
        <v>0</v>
      </c>
      <c r="BA106" s="507" cm="1">
        <f t="array" ref="BA106">_xlfn.LET(_xlpm.DepreciationMonths,INDEX(FixedAssets[Depreciation
/ Amortization Months],_xlfn.XMATCH($E$84,FixedAssets[Asset ID])),IF(AND((_xlfn.XMATCH(BA$8,$AH$8:$CC$8))-_xlfn.XMATCH($C106,$C$35:$C$82)+1&lt;=_xlpm.DepreciationMonths,$C106&lt;=BA$8),$E106/_xlpm.DepreciationMonths,0))</f>
        <v>0</v>
      </c>
      <c r="BB106" s="507" cm="1">
        <f t="array" ref="BB106">_xlfn.LET(_xlpm.DepreciationMonths,INDEX(FixedAssets[Depreciation
/ Amortization Months],_xlfn.XMATCH($E$84,FixedAssets[Asset ID])),IF(AND((_xlfn.XMATCH(BB$8,$AH$8:$CC$8))-_xlfn.XMATCH($C106,$C$35:$C$82)+1&lt;=_xlpm.DepreciationMonths,$C106&lt;=BB$8),$E106/_xlpm.DepreciationMonths,0))</f>
        <v>0</v>
      </c>
      <c r="BC106" s="507" cm="1">
        <f t="array" ref="BC106">_xlfn.LET(_xlpm.DepreciationMonths,INDEX(FixedAssets[Depreciation
/ Amortization Months],_xlfn.XMATCH($E$84,FixedAssets[Asset ID])),IF(AND((_xlfn.XMATCH(BC$8,$AH$8:$CC$8))-_xlfn.XMATCH($C106,$C$35:$C$82)+1&lt;=_xlpm.DepreciationMonths,$C106&lt;=BC$8),$E106/_xlpm.DepreciationMonths,0))</f>
        <v>0</v>
      </c>
      <c r="BD106" s="507" cm="1">
        <f t="array" ref="BD106">_xlfn.LET(_xlpm.DepreciationMonths,INDEX(FixedAssets[Depreciation
/ Amortization Months],_xlfn.XMATCH($E$84,FixedAssets[Asset ID])),IF(AND((_xlfn.XMATCH(BD$8,$AH$8:$CC$8))-_xlfn.XMATCH($C106,$C$35:$C$82)+1&lt;=_xlpm.DepreciationMonths,$C106&lt;=BD$8),$E106/_xlpm.DepreciationMonths,0))</f>
        <v>0</v>
      </c>
      <c r="BE106" s="507" cm="1">
        <f t="array" ref="BE106">_xlfn.LET(_xlpm.DepreciationMonths,INDEX(FixedAssets[Depreciation
/ Amortization Months],_xlfn.XMATCH($E$84,FixedAssets[Asset ID])),IF(AND((_xlfn.XMATCH(BE$8,$AH$8:$CC$8))-_xlfn.XMATCH($C106,$C$35:$C$82)+1&lt;=_xlpm.DepreciationMonths,$C106&lt;=BE$8),$E106/_xlpm.DepreciationMonths,0))</f>
        <v>0</v>
      </c>
      <c r="BF106" s="507" cm="1">
        <f t="array" ref="BF106">_xlfn.LET(_xlpm.DepreciationMonths,INDEX(FixedAssets[Depreciation
/ Amortization Months],_xlfn.XMATCH($E$84,FixedAssets[Asset ID])),IF(AND((_xlfn.XMATCH(BF$8,$AH$8:$CC$8))-_xlfn.XMATCH($C106,$C$35:$C$82)+1&lt;=_xlpm.DepreciationMonths,$C106&lt;=BF$8),$E106/_xlpm.DepreciationMonths,0))</f>
        <v>0</v>
      </c>
      <c r="BG106" s="507" cm="1">
        <f t="array" ref="BG106">_xlfn.LET(_xlpm.DepreciationMonths,INDEX(FixedAssets[Depreciation
/ Amortization Months],_xlfn.XMATCH($E$84,FixedAssets[Asset ID])),IF(AND((_xlfn.XMATCH(BG$8,$AH$8:$CC$8))-_xlfn.XMATCH($C106,$C$35:$C$82)+1&lt;=_xlpm.DepreciationMonths,$C106&lt;=BG$8),$E106/_xlpm.DepreciationMonths,0))</f>
        <v>0</v>
      </c>
      <c r="BH106" s="507" cm="1">
        <f t="array" ref="BH106">_xlfn.LET(_xlpm.DepreciationMonths,INDEX(FixedAssets[Depreciation
/ Amortization Months],_xlfn.XMATCH($E$84,FixedAssets[Asset ID])),IF(AND((_xlfn.XMATCH(BH$8,$AH$8:$CC$8))-_xlfn.XMATCH($C106,$C$35:$C$82)+1&lt;=_xlpm.DepreciationMonths,$C106&lt;=BH$8),$E106/_xlpm.DepreciationMonths,0))</f>
        <v>0</v>
      </c>
      <c r="BI106" s="507" cm="1">
        <f t="array" ref="BI106">_xlfn.LET(_xlpm.DepreciationMonths,INDEX(FixedAssets[Depreciation
/ Amortization Months],_xlfn.XMATCH($E$84,FixedAssets[Asset ID])),IF(AND((_xlfn.XMATCH(BI$8,$AH$8:$CC$8))-_xlfn.XMATCH($C106,$C$35:$C$82)+1&lt;=_xlpm.DepreciationMonths,$C106&lt;=BI$8),$E106/_xlpm.DepreciationMonths,0))</f>
        <v>0</v>
      </c>
      <c r="BJ106" s="507" cm="1">
        <f t="array" ref="BJ106">_xlfn.LET(_xlpm.DepreciationMonths,INDEX(FixedAssets[Depreciation
/ Amortization Months],_xlfn.XMATCH($E$84,FixedAssets[Asset ID])),IF(AND((_xlfn.XMATCH(BJ$8,$AH$8:$CC$8))-_xlfn.XMATCH($C106,$C$35:$C$82)+1&lt;=_xlpm.DepreciationMonths,$C106&lt;=BJ$8),$E106/_xlpm.DepreciationMonths,0))</f>
        <v>0</v>
      </c>
      <c r="BK106" s="507" cm="1">
        <f t="array" ref="BK106">_xlfn.LET(_xlpm.DepreciationMonths,INDEX(FixedAssets[Depreciation
/ Amortization Months],_xlfn.XMATCH($E$84,FixedAssets[Asset ID])),IF(AND((_xlfn.XMATCH(BK$8,$AH$8:$CC$8))-_xlfn.XMATCH($C106,$C$35:$C$82)+1&lt;=_xlpm.DepreciationMonths,$C106&lt;=BK$8),$E106/_xlpm.DepreciationMonths,0))</f>
        <v>0</v>
      </c>
      <c r="BL106" s="507" cm="1">
        <f t="array" ref="BL106">_xlfn.LET(_xlpm.DepreciationMonths,INDEX(FixedAssets[Depreciation
/ Amortization Months],_xlfn.XMATCH($E$84,FixedAssets[Asset ID])),IF(AND((_xlfn.XMATCH(BL$8,$AH$8:$CC$8))-_xlfn.XMATCH($C106,$C$35:$C$82)+1&lt;=_xlpm.DepreciationMonths,$C106&lt;=BL$8),$E106/_xlpm.DepreciationMonths,0))</f>
        <v>0</v>
      </c>
      <c r="BM106" s="507" cm="1">
        <f t="array" ref="BM106">_xlfn.LET(_xlpm.DepreciationMonths,INDEX(FixedAssets[Depreciation
/ Amortization Months],_xlfn.XMATCH($E$84,FixedAssets[Asset ID])),IF(AND((_xlfn.XMATCH(BM$8,$AH$8:$CC$8))-_xlfn.XMATCH($C106,$C$35:$C$82)+1&lt;=_xlpm.DepreciationMonths,$C106&lt;=BM$8),$E106/_xlpm.DepreciationMonths,0))</f>
        <v>0</v>
      </c>
      <c r="BN106" s="507" cm="1">
        <f t="array" ref="BN106">_xlfn.LET(_xlpm.DepreciationMonths,INDEX(FixedAssets[Depreciation
/ Amortization Months],_xlfn.XMATCH($E$84,FixedAssets[Asset ID])),IF(AND((_xlfn.XMATCH(BN$8,$AH$8:$CC$8))-_xlfn.XMATCH($C106,$C$35:$C$82)+1&lt;=_xlpm.DepreciationMonths,$C106&lt;=BN$8),$E106/_xlpm.DepreciationMonths,0))</f>
        <v>0</v>
      </c>
      <c r="BO106" s="507" cm="1">
        <f t="array" ref="BO106">_xlfn.LET(_xlpm.DepreciationMonths,INDEX(FixedAssets[Depreciation
/ Amortization Months],_xlfn.XMATCH($E$84,FixedAssets[Asset ID])),IF(AND((_xlfn.XMATCH(BO$8,$AH$8:$CC$8))-_xlfn.XMATCH($C106,$C$35:$C$82)+1&lt;=_xlpm.DepreciationMonths,$C106&lt;=BO$8),$E106/_xlpm.DepreciationMonths,0))</f>
        <v>0</v>
      </c>
      <c r="BP106" s="507" cm="1">
        <f t="array" ref="BP106">_xlfn.LET(_xlpm.DepreciationMonths,INDEX(FixedAssets[Depreciation
/ Amortization Months],_xlfn.XMATCH($E$84,FixedAssets[Asset ID])),IF(AND((_xlfn.XMATCH(BP$8,$AH$8:$CC$8))-_xlfn.XMATCH($C106,$C$35:$C$82)+1&lt;=_xlpm.DepreciationMonths,$C106&lt;=BP$8),$E106/_xlpm.DepreciationMonths,0))</f>
        <v>0</v>
      </c>
      <c r="BQ106" s="507" cm="1">
        <f t="array" ref="BQ106">_xlfn.LET(_xlpm.DepreciationMonths,INDEX(FixedAssets[Depreciation
/ Amortization Months],_xlfn.XMATCH($E$84,FixedAssets[Asset ID])),IF(AND((_xlfn.XMATCH(BQ$8,$AH$8:$CC$8))-_xlfn.XMATCH($C106,$C$35:$C$82)+1&lt;=_xlpm.DepreciationMonths,$C106&lt;=BQ$8),$E106/_xlpm.DepreciationMonths,0))</f>
        <v>0</v>
      </c>
      <c r="BR106" s="507" cm="1">
        <f t="array" ref="BR106">_xlfn.LET(_xlpm.DepreciationMonths,INDEX(FixedAssets[Depreciation
/ Amortization Months],_xlfn.XMATCH($E$84,FixedAssets[Asset ID])),IF(AND((_xlfn.XMATCH(BR$8,$AH$8:$CC$8))-_xlfn.XMATCH($C106,$C$35:$C$82)+1&lt;=_xlpm.DepreciationMonths,$C106&lt;=BR$8),$E106/_xlpm.DepreciationMonths,0))</f>
        <v>0</v>
      </c>
      <c r="BS106" s="507" cm="1">
        <f t="array" ref="BS106">_xlfn.LET(_xlpm.DepreciationMonths,INDEX(FixedAssets[Depreciation
/ Amortization Months],_xlfn.XMATCH($E$84,FixedAssets[Asset ID])),IF(AND((_xlfn.XMATCH(BS$8,$AH$8:$CC$8))-_xlfn.XMATCH($C106,$C$35:$C$82)+1&lt;=_xlpm.DepreciationMonths,$C106&lt;=BS$8),$E106/_xlpm.DepreciationMonths,0))</f>
        <v>0</v>
      </c>
      <c r="BT106" s="507" cm="1">
        <f t="array" ref="BT106">_xlfn.LET(_xlpm.DepreciationMonths,INDEX(FixedAssets[Depreciation
/ Amortization Months],_xlfn.XMATCH($E$84,FixedAssets[Asset ID])),IF(AND((_xlfn.XMATCH(BT$8,$AH$8:$CC$8))-_xlfn.XMATCH($C106,$C$35:$C$82)+1&lt;=_xlpm.DepreciationMonths,$C106&lt;=BT$8),$E106/_xlpm.DepreciationMonths,0))</f>
        <v>0</v>
      </c>
      <c r="BU106" s="507" cm="1">
        <f t="array" ref="BU106">_xlfn.LET(_xlpm.DepreciationMonths,INDEX(FixedAssets[Depreciation
/ Amortization Months],_xlfn.XMATCH($E$84,FixedAssets[Asset ID])),IF(AND((_xlfn.XMATCH(BU$8,$AH$8:$CC$8))-_xlfn.XMATCH($C106,$C$35:$C$82)+1&lt;=_xlpm.DepreciationMonths,$C106&lt;=BU$8),$E106/_xlpm.DepreciationMonths,0))</f>
        <v>0</v>
      </c>
      <c r="BV106" s="507" cm="1">
        <f t="array" ref="BV106">_xlfn.LET(_xlpm.DepreciationMonths,INDEX(FixedAssets[Depreciation
/ Amortization Months],_xlfn.XMATCH($E$84,FixedAssets[Asset ID])),IF(AND((_xlfn.XMATCH(BV$8,$AH$8:$CC$8))-_xlfn.XMATCH($C106,$C$35:$C$82)+1&lt;=_xlpm.DepreciationMonths,$C106&lt;=BV$8),$E106/_xlpm.DepreciationMonths,0))</f>
        <v>0</v>
      </c>
      <c r="BW106" s="507" cm="1">
        <f t="array" ref="BW106">_xlfn.LET(_xlpm.DepreciationMonths,INDEX(FixedAssets[Depreciation
/ Amortization Months],_xlfn.XMATCH($E$84,FixedAssets[Asset ID])),IF(AND((_xlfn.XMATCH(BW$8,$AH$8:$CC$8))-_xlfn.XMATCH($C106,$C$35:$C$82)+1&lt;=_xlpm.DepreciationMonths,$C106&lt;=BW$8),$E106/_xlpm.DepreciationMonths,0))</f>
        <v>0</v>
      </c>
      <c r="BX106" s="507" cm="1">
        <f t="array" ref="BX106">_xlfn.LET(_xlpm.DepreciationMonths,INDEX(FixedAssets[Depreciation
/ Amortization Months],_xlfn.XMATCH($E$84,FixedAssets[Asset ID])),IF(AND((_xlfn.XMATCH(BX$8,$AH$8:$CC$8))-_xlfn.XMATCH($C106,$C$35:$C$82)+1&lt;=_xlpm.DepreciationMonths,$C106&lt;=BX$8),$E106/_xlpm.DepreciationMonths,0))</f>
        <v>0</v>
      </c>
      <c r="BY106" s="507" cm="1">
        <f t="array" ref="BY106">_xlfn.LET(_xlpm.DepreciationMonths,INDEX(FixedAssets[Depreciation
/ Amortization Months],_xlfn.XMATCH($E$84,FixedAssets[Asset ID])),IF(AND((_xlfn.XMATCH(BY$8,$AH$8:$CC$8))-_xlfn.XMATCH($C106,$C$35:$C$82)+1&lt;=_xlpm.DepreciationMonths,$C106&lt;=BY$8),$E106/_xlpm.DepreciationMonths,0))</f>
        <v>0</v>
      </c>
      <c r="BZ106" s="507" cm="1">
        <f t="array" ref="BZ106">_xlfn.LET(_xlpm.DepreciationMonths,INDEX(FixedAssets[Depreciation
/ Amortization Months],_xlfn.XMATCH($E$84,FixedAssets[Asset ID])),IF(AND((_xlfn.XMATCH(BZ$8,$AH$8:$CC$8))-_xlfn.XMATCH($C106,$C$35:$C$82)+1&lt;=_xlpm.DepreciationMonths,$C106&lt;=BZ$8),$E106/_xlpm.DepreciationMonths,0))</f>
        <v>0</v>
      </c>
      <c r="CA106" s="507" cm="1">
        <f t="array" ref="CA106">_xlfn.LET(_xlpm.DepreciationMonths,INDEX(FixedAssets[Depreciation
/ Amortization Months],_xlfn.XMATCH($E$84,FixedAssets[Asset ID])),IF(AND((_xlfn.XMATCH(CA$8,$AH$8:$CC$8))-_xlfn.XMATCH($C106,$C$35:$C$82)+1&lt;=_xlpm.DepreciationMonths,$C106&lt;=CA$8),$E106/_xlpm.DepreciationMonths,0))</f>
        <v>0</v>
      </c>
      <c r="CB106" s="507" cm="1">
        <f t="array" ref="CB106">_xlfn.LET(_xlpm.DepreciationMonths,INDEX(FixedAssets[Depreciation
/ Amortization Months],_xlfn.XMATCH($E$84,FixedAssets[Asset ID])),IF(AND((_xlfn.XMATCH(CB$8,$AH$8:$CC$8))-_xlfn.XMATCH($C106,$C$35:$C$82)+1&lt;=_xlpm.DepreciationMonths,$C106&lt;=CB$8),$E106/_xlpm.DepreciationMonths,0))</f>
        <v>0</v>
      </c>
      <c r="CC106" s="507" cm="1">
        <f t="array" ref="CC106">_xlfn.LET(_xlpm.DepreciationMonths,INDEX(FixedAssets[Depreciation
/ Amortization Months],_xlfn.XMATCH($E$84,FixedAssets[Asset ID])),IF(AND((_xlfn.XMATCH(CC$8,$AH$8:$CC$8))-_xlfn.XMATCH($C106,$C$35:$C$82)+1&lt;=_xlpm.DepreciationMonths,$C106&lt;=CC$8),$E106/_xlpm.DepreciationMonths,0))</f>
        <v>0</v>
      </c>
    </row>
    <row r="107" spans="3:81" hidden="1" outlineLevel="2">
      <c r="C107" s="664">
        <f t="shared" si="167"/>
        <v>45596</v>
      </c>
      <c r="D107" s="508"/>
      <c r="E107" s="508" cm="1">
        <f t="array" ref="E107">SUMPRODUCT(($AH$26:$CC$31)*($AH$5:$CC$5=$C107)*($E$26:$E$31=E$84))-SUMPRODUCT(($AH$26:$CC$31)*($AH$5:$CC$5=EOMONTH($C107,-1))*($E$26:$E$31=E$84))</f>
        <v>0</v>
      </c>
      <c r="F107" s="508"/>
      <c r="G107" s="508"/>
      <c r="H107" s="508"/>
      <c r="I107" s="508"/>
      <c r="J107" s="504">
        <f t="shared" si="164"/>
        <v>0</v>
      </c>
      <c r="K107" s="504">
        <f t="shared" si="169"/>
        <v>0</v>
      </c>
      <c r="L107" s="504">
        <f t="shared" si="169"/>
        <v>0</v>
      </c>
      <c r="M107" s="504">
        <f t="shared" si="169"/>
        <v>0</v>
      </c>
      <c r="N107" s="504"/>
      <c r="O107" s="504"/>
      <c r="P107" s="504">
        <f t="shared" si="170"/>
        <v>0</v>
      </c>
      <c r="Q107" s="504">
        <f t="shared" si="170"/>
        <v>0</v>
      </c>
      <c r="R107" s="504">
        <f t="shared" si="170"/>
        <v>0</v>
      </c>
      <c r="S107" s="504">
        <f t="shared" si="170"/>
        <v>0</v>
      </c>
      <c r="T107" s="504">
        <f t="shared" si="170"/>
        <v>0</v>
      </c>
      <c r="U107" s="504">
        <f t="shared" si="170"/>
        <v>0</v>
      </c>
      <c r="V107" s="504">
        <f t="shared" si="170"/>
        <v>0</v>
      </c>
      <c r="W107" s="504">
        <f t="shared" si="170"/>
        <v>0</v>
      </c>
      <c r="X107" s="504">
        <f t="shared" si="170"/>
        <v>0</v>
      </c>
      <c r="Y107" s="504">
        <f t="shared" si="170"/>
        <v>0</v>
      </c>
      <c r="Z107" s="504">
        <f t="shared" si="170"/>
        <v>0</v>
      </c>
      <c r="AA107" s="504">
        <f t="shared" si="170"/>
        <v>0</v>
      </c>
      <c r="AB107" s="504">
        <f t="shared" si="170"/>
        <v>0</v>
      </c>
      <c r="AC107" s="504">
        <f t="shared" si="170"/>
        <v>0</v>
      </c>
      <c r="AD107" s="504">
        <f t="shared" si="170"/>
        <v>0</v>
      </c>
      <c r="AE107" s="504">
        <f t="shared" si="170"/>
        <v>0</v>
      </c>
      <c r="AF107" s="508"/>
      <c r="AG107" s="508"/>
      <c r="AH107" s="507" cm="1">
        <f t="array" ref="AH107">_xlfn.LET(_xlpm.DepreciationMonths,INDEX(FixedAssets[Depreciation
/ Amortization Months],_xlfn.XMATCH($E$84,FixedAssets[Asset ID])),IF(AND((_xlfn.XMATCH(AH$8,$AH$8:$CC$8))-_xlfn.XMATCH($C107,$C$35:$C$82)+1&lt;=_xlpm.DepreciationMonths,$C107&lt;=AH$8),$E107/_xlpm.DepreciationMonths,0))</f>
        <v>0</v>
      </c>
      <c r="AI107" s="507" cm="1">
        <f t="array" ref="AI107">_xlfn.LET(_xlpm.DepreciationMonths,INDEX(FixedAssets[Depreciation
/ Amortization Months],_xlfn.XMATCH($E$84,FixedAssets[Asset ID])),IF(AND((_xlfn.XMATCH(AI$8,$AH$8:$CC$8))-_xlfn.XMATCH($C107,$C$35:$C$82)+1&lt;=_xlpm.DepreciationMonths,$C107&lt;=AI$8),$E107/_xlpm.DepreciationMonths,0))</f>
        <v>0</v>
      </c>
      <c r="AJ107" s="507" cm="1">
        <f t="array" ref="AJ107">_xlfn.LET(_xlpm.DepreciationMonths,INDEX(FixedAssets[Depreciation
/ Amortization Months],_xlfn.XMATCH($E$84,FixedAssets[Asset ID])),IF(AND((_xlfn.XMATCH(AJ$8,$AH$8:$CC$8))-_xlfn.XMATCH($C107,$C$35:$C$82)+1&lt;=_xlpm.DepreciationMonths,$C107&lt;=AJ$8),$E107/_xlpm.DepreciationMonths,0))</f>
        <v>0</v>
      </c>
      <c r="AK107" s="507" cm="1">
        <f t="array" ref="AK107">_xlfn.LET(_xlpm.DepreciationMonths,INDEX(FixedAssets[Depreciation
/ Amortization Months],_xlfn.XMATCH($E$84,FixedAssets[Asset ID])),IF(AND((_xlfn.XMATCH(AK$8,$AH$8:$CC$8))-_xlfn.XMATCH($C107,$C$35:$C$82)+1&lt;=_xlpm.DepreciationMonths,$C107&lt;=AK$8),$E107/_xlpm.DepreciationMonths,0))</f>
        <v>0</v>
      </c>
      <c r="AL107" s="507" cm="1">
        <f t="array" ref="AL107">_xlfn.LET(_xlpm.DepreciationMonths,INDEX(FixedAssets[Depreciation
/ Amortization Months],_xlfn.XMATCH($E$84,FixedAssets[Asset ID])),IF(AND((_xlfn.XMATCH(AL$8,$AH$8:$CC$8))-_xlfn.XMATCH($C107,$C$35:$C$82)+1&lt;=_xlpm.DepreciationMonths,$C107&lt;=AL$8),$E107/_xlpm.DepreciationMonths,0))</f>
        <v>0</v>
      </c>
      <c r="AM107" s="507" cm="1">
        <f t="array" ref="AM107">_xlfn.LET(_xlpm.DepreciationMonths,INDEX(FixedAssets[Depreciation
/ Amortization Months],_xlfn.XMATCH($E$84,FixedAssets[Asset ID])),IF(AND((_xlfn.XMATCH(AM$8,$AH$8:$CC$8))-_xlfn.XMATCH($C107,$C$35:$C$82)+1&lt;=_xlpm.DepreciationMonths,$C107&lt;=AM$8),$E107/_xlpm.DepreciationMonths,0))</f>
        <v>0</v>
      </c>
      <c r="AN107" s="507" cm="1">
        <f t="array" ref="AN107">_xlfn.LET(_xlpm.DepreciationMonths,INDEX(FixedAssets[Depreciation
/ Amortization Months],_xlfn.XMATCH($E$84,FixedAssets[Asset ID])),IF(AND((_xlfn.XMATCH(AN$8,$AH$8:$CC$8))-_xlfn.XMATCH($C107,$C$35:$C$82)+1&lt;=_xlpm.DepreciationMonths,$C107&lt;=AN$8),$E107/_xlpm.DepreciationMonths,0))</f>
        <v>0</v>
      </c>
      <c r="AO107" s="507" cm="1">
        <f t="array" ref="AO107">_xlfn.LET(_xlpm.DepreciationMonths,INDEX(FixedAssets[Depreciation
/ Amortization Months],_xlfn.XMATCH($E$84,FixedAssets[Asset ID])),IF(AND((_xlfn.XMATCH(AO$8,$AH$8:$CC$8))-_xlfn.XMATCH($C107,$C$35:$C$82)+1&lt;=_xlpm.DepreciationMonths,$C107&lt;=AO$8),$E107/_xlpm.DepreciationMonths,0))</f>
        <v>0</v>
      </c>
      <c r="AP107" s="507" cm="1">
        <f t="array" ref="AP107">_xlfn.LET(_xlpm.DepreciationMonths,INDEX(FixedAssets[Depreciation
/ Amortization Months],_xlfn.XMATCH($E$84,FixedAssets[Asset ID])),IF(AND((_xlfn.XMATCH(AP$8,$AH$8:$CC$8))-_xlfn.XMATCH($C107,$C$35:$C$82)+1&lt;=_xlpm.DepreciationMonths,$C107&lt;=AP$8),$E107/_xlpm.DepreciationMonths,0))</f>
        <v>0</v>
      </c>
      <c r="AQ107" s="507" cm="1">
        <f t="array" ref="AQ107">_xlfn.LET(_xlpm.DepreciationMonths,INDEX(FixedAssets[Depreciation
/ Amortization Months],_xlfn.XMATCH($E$84,FixedAssets[Asset ID])),IF(AND((_xlfn.XMATCH(AQ$8,$AH$8:$CC$8))-_xlfn.XMATCH($C107,$C$35:$C$82)+1&lt;=_xlpm.DepreciationMonths,$C107&lt;=AQ$8),$E107/_xlpm.DepreciationMonths,0))</f>
        <v>0</v>
      </c>
      <c r="AR107" s="507" cm="1">
        <f t="array" ref="AR107">_xlfn.LET(_xlpm.DepreciationMonths,INDEX(FixedAssets[Depreciation
/ Amortization Months],_xlfn.XMATCH($E$84,FixedAssets[Asset ID])),IF(AND((_xlfn.XMATCH(AR$8,$AH$8:$CC$8))-_xlfn.XMATCH($C107,$C$35:$C$82)+1&lt;=_xlpm.DepreciationMonths,$C107&lt;=AR$8),$E107/_xlpm.DepreciationMonths,0))</f>
        <v>0</v>
      </c>
      <c r="AS107" s="507" cm="1">
        <f t="array" ref="AS107">_xlfn.LET(_xlpm.DepreciationMonths,INDEX(FixedAssets[Depreciation
/ Amortization Months],_xlfn.XMATCH($E$84,FixedAssets[Asset ID])),IF(AND((_xlfn.XMATCH(AS$8,$AH$8:$CC$8))-_xlfn.XMATCH($C107,$C$35:$C$82)+1&lt;=_xlpm.DepreciationMonths,$C107&lt;=AS$8),$E107/_xlpm.DepreciationMonths,0))</f>
        <v>0</v>
      </c>
      <c r="AT107" s="507" cm="1">
        <f t="array" ref="AT107">_xlfn.LET(_xlpm.DepreciationMonths,INDEX(FixedAssets[Depreciation
/ Amortization Months],_xlfn.XMATCH($E$84,FixedAssets[Asset ID])),IF(AND((_xlfn.XMATCH(AT$8,$AH$8:$CC$8))-_xlfn.XMATCH($C107,$C$35:$C$82)+1&lt;=_xlpm.DepreciationMonths,$C107&lt;=AT$8),$E107/_xlpm.DepreciationMonths,0))</f>
        <v>0</v>
      </c>
      <c r="AU107" s="507" cm="1">
        <f t="array" ref="AU107">_xlfn.LET(_xlpm.DepreciationMonths,INDEX(FixedAssets[Depreciation
/ Amortization Months],_xlfn.XMATCH($E$84,FixedAssets[Asset ID])),IF(AND((_xlfn.XMATCH(AU$8,$AH$8:$CC$8))-_xlfn.XMATCH($C107,$C$35:$C$82)+1&lt;=_xlpm.DepreciationMonths,$C107&lt;=AU$8),$E107/_xlpm.DepreciationMonths,0))</f>
        <v>0</v>
      </c>
      <c r="AV107" s="507" cm="1">
        <f t="array" ref="AV107">_xlfn.LET(_xlpm.DepreciationMonths,INDEX(FixedAssets[Depreciation
/ Amortization Months],_xlfn.XMATCH($E$84,FixedAssets[Asset ID])),IF(AND((_xlfn.XMATCH(AV$8,$AH$8:$CC$8))-_xlfn.XMATCH($C107,$C$35:$C$82)+1&lt;=_xlpm.DepreciationMonths,$C107&lt;=AV$8),$E107/_xlpm.DepreciationMonths,0))</f>
        <v>0</v>
      </c>
      <c r="AW107" s="507" cm="1">
        <f t="array" ref="AW107">_xlfn.LET(_xlpm.DepreciationMonths,INDEX(FixedAssets[Depreciation
/ Amortization Months],_xlfn.XMATCH($E$84,FixedAssets[Asset ID])),IF(AND((_xlfn.XMATCH(AW$8,$AH$8:$CC$8))-_xlfn.XMATCH($C107,$C$35:$C$82)+1&lt;=_xlpm.DepreciationMonths,$C107&lt;=AW$8),$E107/_xlpm.DepreciationMonths,0))</f>
        <v>0</v>
      </c>
      <c r="AX107" s="507" cm="1">
        <f t="array" ref="AX107">_xlfn.LET(_xlpm.DepreciationMonths,INDEX(FixedAssets[Depreciation
/ Amortization Months],_xlfn.XMATCH($E$84,FixedAssets[Asset ID])),IF(AND((_xlfn.XMATCH(AX$8,$AH$8:$CC$8))-_xlfn.XMATCH($C107,$C$35:$C$82)+1&lt;=_xlpm.DepreciationMonths,$C107&lt;=AX$8),$E107/_xlpm.DepreciationMonths,0))</f>
        <v>0</v>
      </c>
      <c r="AY107" s="507" cm="1">
        <f t="array" ref="AY107">_xlfn.LET(_xlpm.DepreciationMonths,INDEX(FixedAssets[Depreciation
/ Amortization Months],_xlfn.XMATCH($E$84,FixedAssets[Asset ID])),IF(AND((_xlfn.XMATCH(AY$8,$AH$8:$CC$8))-_xlfn.XMATCH($C107,$C$35:$C$82)+1&lt;=_xlpm.DepreciationMonths,$C107&lt;=AY$8),$E107/_xlpm.DepreciationMonths,0))</f>
        <v>0</v>
      </c>
      <c r="AZ107" s="507" cm="1">
        <f t="array" ref="AZ107">_xlfn.LET(_xlpm.DepreciationMonths,INDEX(FixedAssets[Depreciation
/ Amortization Months],_xlfn.XMATCH($E$84,FixedAssets[Asset ID])),IF(AND((_xlfn.XMATCH(AZ$8,$AH$8:$CC$8))-_xlfn.XMATCH($C107,$C$35:$C$82)+1&lt;=_xlpm.DepreciationMonths,$C107&lt;=AZ$8),$E107/_xlpm.DepreciationMonths,0))</f>
        <v>0</v>
      </c>
      <c r="BA107" s="507" cm="1">
        <f t="array" ref="BA107">_xlfn.LET(_xlpm.DepreciationMonths,INDEX(FixedAssets[Depreciation
/ Amortization Months],_xlfn.XMATCH($E$84,FixedAssets[Asset ID])),IF(AND((_xlfn.XMATCH(BA$8,$AH$8:$CC$8))-_xlfn.XMATCH($C107,$C$35:$C$82)+1&lt;=_xlpm.DepreciationMonths,$C107&lt;=BA$8),$E107/_xlpm.DepreciationMonths,0))</f>
        <v>0</v>
      </c>
      <c r="BB107" s="507" cm="1">
        <f t="array" ref="BB107">_xlfn.LET(_xlpm.DepreciationMonths,INDEX(FixedAssets[Depreciation
/ Amortization Months],_xlfn.XMATCH($E$84,FixedAssets[Asset ID])),IF(AND((_xlfn.XMATCH(BB$8,$AH$8:$CC$8))-_xlfn.XMATCH($C107,$C$35:$C$82)+1&lt;=_xlpm.DepreciationMonths,$C107&lt;=BB$8),$E107/_xlpm.DepreciationMonths,0))</f>
        <v>0</v>
      </c>
      <c r="BC107" s="507" cm="1">
        <f t="array" ref="BC107">_xlfn.LET(_xlpm.DepreciationMonths,INDEX(FixedAssets[Depreciation
/ Amortization Months],_xlfn.XMATCH($E$84,FixedAssets[Asset ID])),IF(AND((_xlfn.XMATCH(BC$8,$AH$8:$CC$8))-_xlfn.XMATCH($C107,$C$35:$C$82)+1&lt;=_xlpm.DepreciationMonths,$C107&lt;=BC$8),$E107/_xlpm.DepreciationMonths,0))</f>
        <v>0</v>
      </c>
      <c r="BD107" s="507" cm="1">
        <f t="array" ref="BD107">_xlfn.LET(_xlpm.DepreciationMonths,INDEX(FixedAssets[Depreciation
/ Amortization Months],_xlfn.XMATCH($E$84,FixedAssets[Asset ID])),IF(AND((_xlfn.XMATCH(BD$8,$AH$8:$CC$8))-_xlfn.XMATCH($C107,$C$35:$C$82)+1&lt;=_xlpm.DepreciationMonths,$C107&lt;=BD$8),$E107/_xlpm.DepreciationMonths,0))</f>
        <v>0</v>
      </c>
      <c r="BE107" s="507" cm="1">
        <f t="array" ref="BE107">_xlfn.LET(_xlpm.DepreciationMonths,INDEX(FixedAssets[Depreciation
/ Amortization Months],_xlfn.XMATCH($E$84,FixedAssets[Asset ID])),IF(AND((_xlfn.XMATCH(BE$8,$AH$8:$CC$8))-_xlfn.XMATCH($C107,$C$35:$C$82)+1&lt;=_xlpm.DepreciationMonths,$C107&lt;=BE$8),$E107/_xlpm.DepreciationMonths,0))</f>
        <v>0</v>
      </c>
      <c r="BF107" s="507" cm="1">
        <f t="array" ref="BF107">_xlfn.LET(_xlpm.DepreciationMonths,INDEX(FixedAssets[Depreciation
/ Amortization Months],_xlfn.XMATCH($E$84,FixedAssets[Asset ID])),IF(AND((_xlfn.XMATCH(BF$8,$AH$8:$CC$8))-_xlfn.XMATCH($C107,$C$35:$C$82)+1&lt;=_xlpm.DepreciationMonths,$C107&lt;=BF$8),$E107/_xlpm.DepreciationMonths,0))</f>
        <v>0</v>
      </c>
      <c r="BG107" s="507" cm="1">
        <f t="array" ref="BG107">_xlfn.LET(_xlpm.DepreciationMonths,INDEX(FixedAssets[Depreciation
/ Amortization Months],_xlfn.XMATCH($E$84,FixedAssets[Asset ID])),IF(AND((_xlfn.XMATCH(BG$8,$AH$8:$CC$8))-_xlfn.XMATCH($C107,$C$35:$C$82)+1&lt;=_xlpm.DepreciationMonths,$C107&lt;=BG$8),$E107/_xlpm.DepreciationMonths,0))</f>
        <v>0</v>
      </c>
      <c r="BH107" s="507" cm="1">
        <f t="array" ref="BH107">_xlfn.LET(_xlpm.DepreciationMonths,INDEX(FixedAssets[Depreciation
/ Amortization Months],_xlfn.XMATCH($E$84,FixedAssets[Asset ID])),IF(AND((_xlfn.XMATCH(BH$8,$AH$8:$CC$8))-_xlfn.XMATCH($C107,$C$35:$C$82)+1&lt;=_xlpm.DepreciationMonths,$C107&lt;=BH$8),$E107/_xlpm.DepreciationMonths,0))</f>
        <v>0</v>
      </c>
      <c r="BI107" s="507" cm="1">
        <f t="array" ref="BI107">_xlfn.LET(_xlpm.DepreciationMonths,INDEX(FixedAssets[Depreciation
/ Amortization Months],_xlfn.XMATCH($E$84,FixedAssets[Asset ID])),IF(AND((_xlfn.XMATCH(BI$8,$AH$8:$CC$8))-_xlfn.XMATCH($C107,$C$35:$C$82)+1&lt;=_xlpm.DepreciationMonths,$C107&lt;=BI$8),$E107/_xlpm.DepreciationMonths,0))</f>
        <v>0</v>
      </c>
      <c r="BJ107" s="507" cm="1">
        <f t="array" ref="BJ107">_xlfn.LET(_xlpm.DepreciationMonths,INDEX(FixedAssets[Depreciation
/ Amortization Months],_xlfn.XMATCH($E$84,FixedAssets[Asset ID])),IF(AND((_xlfn.XMATCH(BJ$8,$AH$8:$CC$8))-_xlfn.XMATCH($C107,$C$35:$C$82)+1&lt;=_xlpm.DepreciationMonths,$C107&lt;=BJ$8),$E107/_xlpm.DepreciationMonths,0))</f>
        <v>0</v>
      </c>
      <c r="BK107" s="507" cm="1">
        <f t="array" ref="BK107">_xlfn.LET(_xlpm.DepreciationMonths,INDEX(FixedAssets[Depreciation
/ Amortization Months],_xlfn.XMATCH($E$84,FixedAssets[Asset ID])),IF(AND((_xlfn.XMATCH(BK$8,$AH$8:$CC$8))-_xlfn.XMATCH($C107,$C$35:$C$82)+1&lt;=_xlpm.DepreciationMonths,$C107&lt;=BK$8),$E107/_xlpm.DepreciationMonths,0))</f>
        <v>0</v>
      </c>
      <c r="BL107" s="507" cm="1">
        <f t="array" ref="BL107">_xlfn.LET(_xlpm.DepreciationMonths,INDEX(FixedAssets[Depreciation
/ Amortization Months],_xlfn.XMATCH($E$84,FixedAssets[Asset ID])),IF(AND((_xlfn.XMATCH(BL$8,$AH$8:$CC$8))-_xlfn.XMATCH($C107,$C$35:$C$82)+1&lt;=_xlpm.DepreciationMonths,$C107&lt;=BL$8),$E107/_xlpm.DepreciationMonths,0))</f>
        <v>0</v>
      </c>
      <c r="BM107" s="507" cm="1">
        <f t="array" ref="BM107">_xlfn.LET(_xlpm.DepreciationMonths,INDEX(FixedAssets[Depreciation
/ Amortization Months],_xlfn.XMATCH($E$84,FixedAssets[Asset ID])),IF(AND((_xlfn.XMATCH(BM$8,$AH$8:$CC$8))-_xlfn.XMATCH($C107,$C$35:$C$82)+1&lt;=_xlpm.DepreciationMonths,$C107&lt;=BM$8),$E107/_xlpm.DepreciationMonths,0))</f>
        <v>0</v>
      </c>
      <c r="BN107" s="507" cm="1">
        <f t="array" ref="BN107">_xlfn.LET(_xlpm.DepreciationMonths,INDEX(FixedAssets[Depreciation
/ Amortization Months],_xlfn.XMATCH($E$84,FixedAssets[Asset ID])),IF(AND((_xlfn.XMATCH(BN$8,$AH$8:$CC$8))-_xlfn.XMATCH($C107,$C$35:$C$82)+1&lt;=_xlpm.DepreciationMonths,$C107&lt;=BN$8),$E107/_xlpm.DepreciationMonths,0))</f>
        <v>0</v>
      </c>
      <c r="BO107" s="507" cm="1">
        <f t="array" ref="BO107">_xlfn.LET(_xlpm.DepreciationMonths,INDEX(FixedAssets[Depreciation
/ Amortization Months],_xlfn.XMATCH($E$84,FixedAssets[Asset ID])),IF(AND((_xlfn.XMATCH(BO$8,$AH$8:$CC$8))-_xlfn.XMATCH($C107,$C$35:$C$82)+1&lt;=_xlpm.DepreciationMonths,$C107&lt;=BO$8),$E107/_xlpm.DepreciationMonths,0))</f>
        <v>0</v>
      </c>
      <c r="BP107" s="507" cm="1">
        <f t="array" ref="BP107">_xlfn.LET(_xlpm.DepreciationMonths,INDEX(FixedAssets[Depreciation
/ Amortization Months],_xlfn.XMATCH($E$84,FixedAssets[Asset ID])),IF(AND((_xlfn.XMATCH(BP$8,$AH$8:$CC$8))-_xlfn.XMATCH($C107,$C$35:$C$82)+1&lt;=_xlpm.DepreciationMonths,$C107&lt;=BP$8),$E107/_xlpm.DepreciationMonths,0))</f>
        <v>0</v>
      </c>
      <c r="BQ107" s="507" cm="1">
        <f t="array" ref="BQ107">_xlfn.LET(_xlpm.DepreciationMonths,INDEX(FixedAssets[Depreciation
/ Amortization Months],_xlfn.XMATCH($E$84,FixedAssets[Asset ID])),IF(AND((_xlfn.XMATCH(BQ$8,$AH$8:$CC$8))-_xlfn.XMATCH($C107,$C$35:$C$82)+1&lt;=_xlpm.DepreciationMonths,$C107&lt;=BQ$8),$E107/_xlpm.DepreciationMonths,0))</f>
        <v>0</v>
      </c>
      <c r="BR107" s="507" cm="1">
        <f t="array" ref="BR107">_xlfn.LET(_xlpm.DepreciationMonths,INDEX(FixedAssets[Depreciation
/ Amortization Months],_xlfn.XMATCH($E$84,FixedAssets[Asset ID])),IF(AND((_xlfn.XMATCH(BR$8,$AH$8:$CC$8))-_xlfn.XMATCH($C107,$C$35:$C$82)+1&lt;=_xlpm.DepreciationMonths,$C107&lt;=BR$8),$E107/_xlpm.DepreciationMonths,0))</f>
        <v>0</v>
      </c>
      <c r="BS107" s="507" cm="1">
        <f t="array" ref="BS107">_xlfn.LET(_xlpm.DepreciationMonths,INDEX(FixedAssets[Depreciation
/ Amortization Months],_xlfn.XMATCH($E$84,FixedAssets[Asset ID])),IF(AND((_xlfn.XMATCH(BS$8,$AH$8:$CC$8))-_xlfn.XMATCH($C107,$C$35:$C$82)+1&lt;=_xlpm.DepreciationMonths,$C107&lt;=BS$8),$E107/_xlpm.DepreciationMonths,0))</f>
        <v>0</v>
      </c>
      <c r="BT107" s="507" cm="1">
        <f t="array" ref="BT107">_xlfn.LET(_xlpm.DepreciationMonths,INDEX(FixedAssets[Depreciation
/ Amortization Months],_xlfn.XMATCH($E$84,FixedAssets[Asset ID])),IF(AND((_xlfn.XMATCH(BT$8,$AH$8:$CC$8))-_xlfn.XMATCH($C107,$C$35:$C$82)+1&lt;=_xlpm.DepreciationMonths,$C107&lt;=BT$8),$E107/_xlpm.DepreciationMonths,0))</f>
        <v>0</v>
      </c>
      <c r="BU107" s="507" cm="1">
        <f t="array" ref="BU107">_xlfn.LET(_xlpm.DepreciationMonths,INDEX(FixedAssets[Depreciation
/ Amortization Months],_xlfn.XMATCH($E$84,FixedAssets[Asset ID])),IF(AND((_xlfn.XMATCH(BU$8,$AH$8:$CC$8))-_xlfn.XMATCH($C107,$C$35:$C$82)+1&lt;=_xlpm.DepreciationMonths,$C107&lt;=BU$8),$E107/_xlpm.DepreciationMonths,0))</f>
        <v>0</v>
      </c>
      <c r="BV107" s="507" cm="1">
        <f t="array" ref="BV107">_xlfn.LET(_xlpm.DepreciationMonths,INDEX(FixedAssets[Depreciation
/ Amortization Months],_xlfn.XMATCH($E$84,FixedAssets[Asset ID])),IF(AND((_xlfn.XMATCH(BV$8,$AH$8:$CC$8))-_xlfn.XMATCH($C107,$C$35:$C$82)+1&lt;=_xlpm.DepreciationMonths,$C107&lt;=BV$8),$E107/_xlpm.DepreciationMonths,0))</f>
        <v>0</v>
      </c>
      <c r="BW107" s="507" cm="1">
        <f t="array" ref="BW107">_xlfn.LET(_xlpm.DepreciationMonths,INDEX(FixedAssets[Depreciation
/ Amortization Months],_xlfn.XMATCH($E$84,FixedAssets[Asset ID])),IF(AND((_xlfn.XMATCH(BW$8,$AH$8:$CC$8))-_xlfn.XMATCH($C107,$C$35:$C$82)+1&lt;=_xlpm.DepreciationMonths,$C107&lt;=BW$8),$E107/_xlpm.DepreciationMonths,0))</f>
        <v>0</v>
      </c>
      <c r="BX107" s="507" cm="1">
        <f t="array" ref="BX107">_xlfn.LET(_xlpm.DepreciationMonths,INDEX(FixedAssets[Depreciation
/ Amortization Months],_xlfn.XMATCH($E$84,FixedAssets[Asset ID])),IF(AND((_xlfn.XMATCH(BX$8,$AH$8:$CC$8))-_xlfn.XMATCH($C107,$C$35:$C$82)+1&lt;=_xlpm.DepreciationMonths,$C107&lt;=BX$8),$E107/_xlpm.DepreciationMonths,0))</f>
        <v>0</v>
      </c>
      <c r="BY107" s="507" cm="1">
        <f t="array" ref="BY107">_xlfn.LET(_xlpm.DepreciationMonths,INDEX(FixedAssets[Depreciation
/ Amortization Months],_xlfn.XMATCH($E$84,FixedAssets[Asset ID])),IF(AND((_xlfn.XMATCH(BY$8,$AH$8:$CC$8))-_xlfn.XMATCH($C107,$C$35:$C$82)+1&lt;=_xlpm.DepreciationMonths,$C107&lt;=BY$8),$E107/_xlpm.DepreciationMonths,0))</f>
        <v>0</v>
      </c>
      <c r="BZ107" s="507" cm="1">
        <f t="array" ref="BZ107">_xlfn.LET(_xlpm.DepreciationMonths,INDEX(FixedAssets[Depreciation
/ Amortization Months],_xlfn.XMATCH($E$84,FixedAssets[Asset ID])),IF(AND((_xlfn.XMATCH(BZ$8,$AH$8:$CC$8))-_xlfn.XMATCH($C107,$C$35:$C$82)+1&lt;=_xlpm.DepreciationMonths,$C107&lt;=BZ$8),$E107/_xlpm.DepreciationMonths,0))</f>
        <v>0</v>
      </c>
      <c r="CA107" s="507" cm="1">
        <f t="array" ref="CA107">_xlfn.LET(_xlpm.DepreciationMonths,INDEX(FixedAssets[Depreciation
/ Amortization Months],_xlfn.XMATCH($E$84,FixedAssets[Asset ID])),IF(AND((_xlfn.XMATCH(CA$8,$AH$8:$CC$8))-_xlfn.XMATCH($C107,$C$35:$C$82)+1&lt;=_xlpm.DepreciationMonths,$C107&lt;=CA$8),$E107/_xlpm.DepreciationMonths,0))</f>
        <v>0</v>
      </c>
      <c r="CB107" s="507" cm="1">
        <f t="array" ref="CB107">_xlfn.LET(_xlpm.DepreciationMonths,INDEX(FixedAssets[Depreciation
/ Amortization Months],_xlfn.XMATCH($E$84,FixedAssets[Asset ID])),IF(AND((_xlfn.XMATCH(CB$8,$AH$8:$CC$8))-_xlfn.XMATCH($C107,$C$35:$C$82)+1&lt;=_xlpm.DepreciationMonths,$C107&lt;=CB$8),$E107/_xlpm.DepreciationMonths,0))</f>
        <v>0</v>
      </c>
      <c r="CC107" s="507" cm="1">
        <f t="array" ref="CC107">_xlfn.LET(_xlpm.DepreciationMonths,INDEX(FixedAssets[Depreciation
/ Amortization Months],_xlfn.XMATCH($E$84,FixedAssets[Asset ID])),IF(AND((_xlfn.XMATCH(CC$8,$AH$8:$CC$8))-_xlfn.XMATCH($C107,$C$35:$C$82)+1&lt;=_xlpm.DepreciationMonths,$C107&lt;=CC$8),$E107/_xlpm.DepreciationMonths,0))</f>
        <v>0</v>
      </c>
    </row>
    <row r="108" spans="3:81" hidden="1" outlineLevel="2">
      <c r="C108" s="664">
        <f t="shared" si="167"/>
        <v>45626</v>
      </c>
      <c r="D108" s="508"/>
      <c r="E108" s="508" cm="1">
        <f t="array" ref="E108">SUMPRODUCT(($AH$26:$CC$31)*($AH$5:$CC$5=$C108)*($E$26:$E$31=E$84))-SUMPRODUCT(($AH$26:$CC$31)*($AH$5:$CC$5=EOMONTH($C108,-1))*($E$26:$E$31=E$84))</f>
        <v>0</v>
      </c>
      <c r="F108" s="508"/>
      <c r="G108" s="508"/>
      <c r="H108" s="508"/>
      <c r="I108" s="508"/>
      <c r="J108" s="504">
        <f t="shared" si="164"/>
        <v>0</v>
      </c>
      <c r="K108" s="504">
        <f t="shared" si="169"/>
        <v>0</v>
      </c>
      <c r="L108" s="504">
        <f t="shared" si="169"/>
        <v>0</v>
      </c>
      <c r="M108" s="504">
        <f t="shared" si="169"/>
        <v>0</v>
      </c>
      <c r="N108" s="504"/>
      <c r="O108" s="504"/>
      <c r="P108" s="504">
        <f t="shared" si="170"/>
        <v>0</v>
      </c>
      <c r="Q108" s="504">
        <f t="shared" si="170"/>
        <v>0</v>
      </c>
      <c r="R108" s="504">
        <f t="shared" si="170"/>
        <v>0</v>
      </c>
      <c r="S108" s="504">
        <f t="shared" si="170"/>
        <v>0</v>
      </c>
      <c r="T108" s="504">
        <f t="shared" si="170"/>
        <v>0</v>
      </c>
      <c r="U108" s="504">
        <f t="shared" si="170"/>
        <v>0</v>
      </c>
      <c r="V108" s="504">
        <f t="shared" si="170"/>
        <v>0</v>
      </c>
      <c r="W108" s="504">
        <f t="shared" si="170"/>
        <v>0</v>
      </c>
      <c r="X108" s="504">
        <f t="shared" si="170"/>
        <v>0</v>
      </c>
      <c r="Y108" s="504">
        <f t="shared" si="170"/>
        <v>0</v>
      </c>
      <c r="Z108" s="504">
        <f t="shared" si="170"/>
        <v>0</v>
      </c>
      <c r="AA108" s="504">
        <f t="shared" si="170"/>
        <v>0</v>
      </c>
      <c r="AB108" s="504">
        <f t="shared" si="170"/>
        <v>0</v>
      </c>
      <c r="AC108" s="504">
        <f t="shared" si="170"/>
        <v>0</v>
      </c>
      <c r="AD108" s="504">
        <f t="shared" si="170"/>
        <v>0</v>
      </c>
      <c r="AE108" s="504">
        <f t="shared" si="170"/>
        <v>0</v>
      </c>
      <c r="AF108" s="508"/>
      <c r="AG108" s="508"/>
      <c r="AH108" s="507" cm="1">
        <f t="array" ref="AH108">_xlfn.LET(_xlpm.DepreciationMonths,INDEX(FixedAssets[Depreciation
/ Amortization Months],_xlfn.XMATCH($E$84,FixedAssets[Asset ID])),IF(AND((_xlfn.XMATCH(AH$8,$AH$8:$CC$8))-_xlfn.XMATCH($C108,$C$35:$C$82)+1&lt;=_xlpm.DepreciationMonths,$C108&lt;=AH$8),$E108/_xlpm.DepreciationMonths,0))</f>
        <v>0</v>
      </c>
      <c r="AI108" s="507" cm="1">
        <f t="array" ref="AI108">_xlfn.LET(_xlpm.DepreciationMonths,INDEX(FixedAssets[Depreciation
/ Amortization Months],_xlfn.XMATCH($E$84,FixedAssets[Asset ID])),IF(AND((_xlfn.XMATCH(AI$8,$AH$8:$CC$8))-_xlfn.XMATCH($C108,$C$35:$C$82)+1&lt;=_xlpm.DepreciationMonths,$C108&lt;=AI$8),$E108/_xlpm.DepreciationMonths,0))</f>
        <v>0</v>
      </c>
      <c r="AJ108" s="507" cm="1">
        <f t="array" ref="AJ108">_xlfn.LET(_xlpm.DepreciationMonths,INDEX(FixedAssets[Depreciation
/ Amortization Months],_xlfn.XMATCH($E$84,FixedAssets[Asset ID])),IF(AND((_xlfn.XMATCH(AJ$8,$AH$8:$CC$8))-_xlfn.XMATCH($C108,$C$35:$C$82)+1&lt;=_xlpm.DepreciationMonths,$C108&lt;=AJ$8),$E108/_xlpm.DepreciationMonths,0))</f>
        <v>0</v>
      </c>
      <c r="AK108" s="507" cm="1">
        <f t="array" ref="AK108">_xlfn.LET(_xlpm.DepreciationMonths,INDEX(FixedAssets[Depreciation
/ Amortization Months],_xlfn.XMATCH($E$84,FixedAssets[Asset ID])),IF(AND((_xlfn.XMATCH(AK$8,$AH$8:$CC$8))-_xlfn.XMATCH($C108,$C$35:$C$82)+1&lt;=_xlpm.DepreciationMonths,$C108&lt;=AK$8),$E108/_xlpm.DepreciationMonths,0))</f>
        <v>0</v>
      </c>
      <c r="AL108" s="507" cm="1">
        <f t="array" ref="AL108">_xlfn.LET(_xlpm.DepreciationMonths,INDEX(FixedAssets[Depreciation
/ Amortization Months],_xlfn.XMATCH($E$84,FixedAssets[Asset ID])),IF(AND((_xlfn.XMATCH(AL$8,$AH$8:$CC$8))-_xlfn.XMATCH($C108,$C$35:$C$82)+1&lt;=_xlpm.DepreciationMonths,$C108&lt;=AL$8),$E108/_xlpm.DepreciationMonths,0))</f>
        <v>0</v>
      </c>
      <c r="AM108" s="507" cm="1">
        <f t="array" ref="AM108">_xlfn.LET(_xlpm.DepreciationMonths,INDEX(FixedAssets[Depreciation
/ Amortization Months],_xlfn.XMATCH($E$84,FixedAssets[Asset ID])),IF(AND((_xlfn.XMATCH(AM$8,$AH$8:$CC$8))-_xlfn.XMATCH($C108,$C$35:$C$82)+1&lt;=_xlpm.DepreciationMonths,$C108&lt;=AM$8),$E108/_xlpm.DepreciationMonths,0))</f>
        <v>0</v>
      </c>
      <c r="AN108" s="507" cm="1">
        <f t="array" ref="AN108">_xlfn.LET(_xlpm.DepreciationMonths,INDEX(FixedAssets[Depreciation
/ Amortization Months],_xlfn.XMATCH($E$84,FixedAssets[Asset ID])),IF(AND((_xlfn.XMATCH(AN$8,$AH$8:$CC$8))-_xlfn.XMATCH($C108,$C$35:$C$82)+1&lt;=_xlpm.DepreciationMonths,$C108&lt;=AN$8),$E108/_xlpm.DepreciationMonths,0))</f>
        <v>0</v>
      </c>
      <c r="AO108" s="507" cm="1">
        <f t="array" ref="AO108">_xlfn.LET(_xlpm.DepreciationMonths,INDEX(FixedAssets[Depreciation
/ Amortization Months],_xlfn.XMATCH($E$84,FixedAssets[Asset ID])),IF(AND((_xlfn.XMATCH(AO$8,$AH$8:$CC$8))-_xlfn.XMATCH($C108,$C$35:$C$82)+1&lt;=_xlpm.DepreciationMonths,$C108&lt;=AO$8),$E108/_xlpm.DepreciationMonths,0))</f>
        <v>0</v>
      </c>
      <c r="AP108" s="507" cm="1">
        <f t="array" ref="AP108">_xlfn.LET(_xlpm.DepreciationMonths,INDEX(FixedAssets[Depreciation
/ Amortization Months],_xlfn.XMATCH($E$84,FixedAssets[Asset ID])),IF(AND((_xlfn.XMATCH(AP$8,$AH$8:$CC$8))-_xlfn.XMATCH($C108,$C$35:$C$82)+1&lt;=_xlpm.DepreciationMonths,$C108&lt;=AP$8),$E108/_xlpm.DepreciationMonths,0))</f>
        <v>0</v>
      </c>
      <c r="AQ108" s="507" cm="1">
        <f t="array" ref="AQ108">_xlfn.LET(_xlpm.DepreciationMonths,INDEX(FixedAssets[Depreciation
/ Amortization Months],_xlfn.XMATCH($E$84,FixedAssets[Asset ID])),IF(AND((_xlfn.XMATCH(AQ$8,$AH$8:$CC$8))-_xlfn.XMATCH($C108,$C$35:$C$82)+1&lt;=_xlpm.DepreciationMonths,$C108&lt;=AQ$8),$E108/_xlpm.DepreciationMonths,0))</f>
        <v>0</v>
      </c>
      <c r="AR108" s="507" cm="1">
        <f t="array" ref="AR108">_xlfn.LET(_xlpm.DepreciationMonths,INDEX(FixedAssets[Depreciation
/ Amortization Months],_xlfn.XMATCH($E$84,FixedAssets[Asset ID])),IF(AND((_xlfn.XMATCH(AR$8,$AH$8:$CC$8))-_xlfn.XMATCH($C108,$C$35:$C$82)+1&lt;=_xlpm.DepreciationMonths,$C108&lt;=AR$8),$E108/_xlpm.DepreciationMonths,0))</f>
        <v>0</v>
      </c>
      <c r="AS108" s="507" cm="1">
        <f t="array" ref="AS108">_xlfn.LET(_xlpm.DepreciationMonths,INDEX(FixedAssets[Depreciation
/ Amortization Months],_xlfn.XMATCH($E$84,FixedAssets[Asset ID])),IF(AND((_xlfn.XMATCH(AS$8,$AH$8:$CC$8))-_xlfn.XMATCH($C108,$C$35:$C$82)+1&lt;=_xlpm.DepreciationMonths,$C108&lt;=AS$8),$E108/_xlpm.DepreciationMonths,0))</f>
        <v>0</v>
      </c>
      <c r="AT108" s="507" cm="1">
        <f t="array" ref="AT108">_xlfn.LET(_xlpm.DepreciationMonths,INDEX(FixedAssets[Depreciation
/ Amortization Months],_xlfn.XMATCH($E$84,FixedAssets[Asset ID])),IF(AND((_xlfn.XMATCH(AT$8,$AH$8:$CC$8))-_xlfn.XMATCH($C108,$C$35:$C$82)+1&lt;=_xlpm.DepreciationMonths,$C108&lt;=AT$8),$E108/_xlpm.DepreciationMonths,0))</f>
        <v>0</v>
      </c>
      <c r="AU108" s="507" cm="1">
        <f t="array" ref="AU108">_xlfn.LET(_xlpm.DepreciationMonths,INDEX(FixedAssets[Depreciation
/ Amortization Months],_xlfn.XMATCH($E$84,FixedAssets[Asset ID])),IF(AND((_xlfn.XMATCH(AU$8,$AH$8:$CC$8))-_xlfn.XMATCH($C108,$C$35:$C$82)+1&lt;=_xlpm.DepreciationMonths,$C108&lt;=AU$8),$E108/_xlpm.DepreciationMonths,0))</f>
        <v>0</v>
      </c>
      <c r="AV108" s="507" cm="1">
        <f t="array" ref="AV108">_xlfn.LET(_xlpm.DepreciationMonths,INDEX(FixedAssets[Depreciation
/ Amortization Months],_xlfn.XMATCH($E$84,FixedAssets[Asset ID])),IF(AND((_xlfn.XMATCH(AV$8,$AH$8:$CC$8))-_xlfn.XMATCH($C108,$C$35:$C$82)+1&lt;=_xlpm.DepreciationMonths,$C108&lt;=AV$8),$E108/_xlpm.DepreciationMonths,0))</f>
        <v>0</v>
      </c>
      <c r="AW108" s="507" cm="1">
        <f t="array" ref="AW108">_xlfn.LET(_xlpm.DepreciationMonths,INDEX(FixedAssets[Depreciation
/ Amortization Months],_xlfn.XMATCH($E$84,FixedAssets[Asset ID])),IF(AND((_xlfn.XMATCH(AW$8,$AH$8:$CC$8))-_xlfn.XMATCH($C108,$C$35:$C$82)+1&lt;=_xlpm.DepreciationMonths,$C108&lt;=AW$8),$E108/_xlpm.DepreciationMonths,0))</f>
        <v>0</v>
      </c>
      <c r="AX108" s="507" cm="1">
        <f t="array" ref="AX108">_xlfn.LET(_xlpm.DepreciationMonths,INDEX(FixedAssets[Depreciation
/ Amortization Months],_xlfn.XMATCH($E$84,FixedAssets[Asset ID])),IF(AND((_xlfn.XMATCH(AX$8,$AH$8:$CC$8))-_xlfn.XMATCH($C108,$C$35:$C$82)+1&lt;=_xlpm.DepreciationMonths,$C108&lt;=AX$8),$E108/_xlpm.DepreciationMonths,0))</f>
        <v>0</v>
      </c>
      <c r="AY108" s="507" cm="1">
        <f t="array" ref="AY108">_xlfn.LET(_xlpm.DepreciationMonths,INDEX(FixedAssets[Depreciation
/ Amortization Months],_xlfn.XMATCH($E$84,FixedAssets[Asset ID])),IF(AND((_xlfn.XMATCH(AY$8,$AH$8:$CC$8))-_xlfn.XMATCH($C108,$C$35:$C$82)+1&lt;=_xlpm.DepreciationMonths,$C108&lt;=AY$8),$E108/_xlpm.DepreciationMonths,0))</f>
        <v>0</v>
      </c>
      <c r="AZ108" s="507" cm="1">
        <f t="array" ref="AZ108">_xlfn.LET(_xlpm.DepreciationMonths,INDEX(FixedAssets[Depreciation
/ Amortization Months],_xlfn.XMATCH($E$84,FixedAssets[Asset ID])),IF(AND((_xlfn.XMATCH(AZ$8,$AH$8:$CC$8))-_xlfn.XMATCH($C108,$C$35:$C$82)+1&lt;=_xlpm.DepreciationMonths,$C108&lt;=AZ$8),$E108/_xlpm.DepreciationMonths,0))</f>
        <v>0</v>
      </c>
      <c r="BA108" s="507" cm="1">
        <f t="array" ref="BA108">_xlfn.LET(_xlpm.DepreciationMonths,INDEX(FixedAssets[Depreciation
/ Amortization Months],_xlfn.XMATCH($E$84,FixedAssets[Asset ID])),IF(AND((_xlfn.XMATCH(BA$8,$AH$8:$CC$8))-_xlfn.XMATCH($C108,$C$35:$C$82)+1&lt;=_xlpm.DepreciationMonths,$C108&lt;=BA$8),$E108/_xlpm.DepreciationMonths,0))</f>
        <v>0</v>
      </c>
      <c r="BB108" s="507" cm="1">
        <f t="array" ref="BB108">_xlfn.LET(_xlpm.DepreciationMonths,INDEX(FixedAssets[Depreciation
/ Amortization Months],_xlfn.XMATCH($E$84,FixedAssets[Asset ID])),IF(AND((_xlfn.XMATCH(BB$8,$AH$8:$CC$8))-_xlfn.XMATCH($C108,$C$35:$C$82)+1&lt;=_xlpm.DepreciationMonths,$C108&lt;=BB$8),$E108/_xlpm.DepreciationMonths,0))</f>
        <v>0</v>
      </c>
      <c r="BC108" s="507" cm="1">
        <f t="array" ref="BC108">_xlfn.LET(_xlpm.DepreciationMonths,INDEX(FixedAssets[Depreciation
/ Amortization Months],_xlfn.XMATCH($E$84,FixedAssets[Asset ID])),IF(AND((_xlfn.XMATCH(BC$8,$AH$8:$CC$8))-_xlfn.XMATCH($C108,$C$35:$C$82)+1&lt;=_xlpm.DepreciationMonths,$C108&lt;=BC$8),$E108/_xlpm.DepreciationMonths,0))</f>
        <v>0</v>
      </c>
      <c r="BD108" s="507" cm="1">
        <f t="array" ref="BD108">_xlfn.LET(_xlpm.DepreciationMonths,INDEX(FixedAssets[Depreciation
/ Amortization Months],_xlfn.XMATCH($E$84,FixedAssets[Asset ID])),IF(AND((_xlfn.XMATCH(BD$8,$AH$8:$CC$8))-_xlfn.XMATCH($C108,$C$35:$C$82)+1&lt;=_xlpm.DepreciationMonths,$C108&lt;=BD$8),$E108/_xlpm.DepreciationMonths,0))</f>
        <v>0</v>
      </c>
      <c r="BE108" s="507" cm="1">
        <f t="array" ref="BE108">_xlfn.LET(_xlpm.DepreciationMonths,INDEX(FixedAssets[Depreciation
/ Amortization Months],_xlfn.XMATCH($E$84,FixedAssets[Asset ID])),IF(AND((_xlfn.XMATCH(BE$8,$AH$8:$CC$8))-_xlfn.XMATCH($C108,$C$35:$C$82)+1&lt;=_xlpm.DepreciationMonths,$C108&lt;=BE$8),$E108/_xlpm.DepreciationMonths,0))</f>
        <v>0</v>
      </c>
      <c r="BF108" s="507" cm="1">
        <f t="array" ref="BF108">_xlfn.LET(_xlpm.DepreciationMonths,INDEX(FixedAssets[Depreciation
/ Amortization Months],_xlfn.XMATCH($E$84,FixedAssets[Asset ID])),IF(AND((_xlfn.XMATCH(BF$8,$AH$8:$CC$8))-_xlfn.XMATCH($C108,$C$35:$C$82)+1&lt;=_xlpm.DepreciationMonths,$C108&lt;=BF$8),$E108/_xlpm.DepreciationMonths,0))</f>
        <v>0</v>
      </c>
      <c r="BG108" s="507" cm="1">
        <f t="array" ref="BG108">_xlfn.LET(_xlpm.DepreciationMonths,INDEX(FixedAssets[Depreciation
/ Amortization Months],_xlfn.XMATCH($E$84,FixedAssets[Asset ID])),IF(AND((_xlfn.XMATCH(BG$8,$AH$8:$CC$8))-_xlfn.XMATCH($C108,$C$35:$C$82)+1&lt;=_xlpm.DepreciationMonths,$C108&lt;=BG$8),$E108/_xlpm.DepreciationMonths,0))</f>
        <v>0</v>
      </c>
      <c r="BH108" s="507" cm="1">
        <f t="array" ref="BH108">_xlfn.LET(_xlpm.DepreciationMonths,INDEX(FixedAssets[Depreciation
/ Amortization Months],_xlfn.XMATCH($E$84,FixedAssets[Asset ID])),IF(AND((_xlfn.XMATCH(BH$8,$AH$8:$CC$8))-_xlfn.XMATCH($C108,$C$35:$C$82)+1&lt;=_xlpm.DepreciationMonths,$C108&lt;=BH$8),$E108/_xlpm.DepreciationMonths,0))</f>
        <v>0</v>
      </c>
      <c r="BI108" s="507" cm="1">
        <f t="array" ref="BI108">_xlfn.LET(_xlpm.DepreciationMonths,INDEX(FixedAssets[Depreciation
/ Amortization Months],_xlfn.XMATCH($E$84,FixedAssets[Asset ID])),IF(AND((_xlfn.XMATCH(BI$8,$AH$8:$CC$8))-_xlfn.XMATCH($C108,$C$35:$C$82)+1&lt;=_xlpm.DepreciationMonths,$C108&lt;=BI$8),$E108/_xlpm.DepreciationMonths,0))</f>
        <v>0</v>
      </c>
      <c r="BJ108" s="507" cm="1">
        <f t="array" ref="BJ108">_xlfn.LET(_xlpm.DepreciationMonths,INDEX(FixedAssets[Depreciation
/ Amortization Months],_xlfn.XMATCH($E$84,FixedAssets[Asset ID])),IF(AND((_xlfn.XMATCH(BJ$8,$AH$8:$CC$8))-_xlfn.XMATCH($C108,$C$35:$C$82)+1&lt;=_xlpm.DepreciationMonths,$C108&lt;=BJ$8),$E108/_xlpm.DepreciationMonths,0))</f>
        <v>0</v>
      </c>
      <c r="BK108" s="507" cm="1">
        <f t="array" ref="BK108">_xlfn.LET(_xlpm.DepreciationMonths,INDEX(FixedAssets[Depreciation
/ Amortization Months],_xlfn.XMATCH($E$84,FixedAssets[Asset ID])),IF(AND((_xlfn.XMATCH(BK$8,$AH$8:$CC$8))-_xlfn.XMATCH($C108,$C$35:$C$82)+1&lt;=_xlpm.DepreciationMonths,$C108&lt;=BK$8),$E108/_xlpm.DepreciationMonths,0))</f>
        <v>0</v>
      </c>
      <c r="BL108" s="507" cm="1">
        <f t="array" ref="BL108">_xlfn.LET(_xlpm.DepreciationMonths,INDEX(FixedAssets[Depreciation
/ Amortization Months],_xlfn.XMATCH($E$84,FixedAssets[Asset ID])),IF(AND((_xlfn.XMATCH(BL$8,$AH$8:$CC$8))-_xlfn.XMATCH($C108,$C$35:$C$82)+1&lt;=_xlpm.DepreciationMonths,$C108&lt;=BL$8),$E108/_xlpm.DepreciationMonths,0))</f>
        <v>0</v>
      </c>
      <c r="BM108" s="507" cm="1">
        <f t="array" ref="BM108">_xlfn.LET(_xlpm.DepreciationMonths,INDEX(FixedAssets[Depreciation
/ Amortization Months],_xlfn.XMATCH($E$84,FixedAssets[Asset ID])),IF(AND((_xlfn.XMATCH(BM$8,$AH$8:$CC$8))-_xlfn.XMATCH($C108,$C$35:$C$82)+1&lt;=_xlpm.DepreciationMonths,$C108&lt;=BM$8),$E108/_xlpm.DepreciationMonths,0))</f>
        <v>0</v>
      </c>
      <c r="BN108" s="507" cm="1">
        <f t="array" ref="BN108">_xlfn.LET(_xlpm.DepreciationMonths,INDEX(FixedAssets[Depreciation
/ Amortization Months],_xlfn.XMATCH($E$84,FixedAssets[Asset ID])),IF(AND((_xlfn.XMATCH(BN$8,$AH$8:$CC$8))-_xlfn.XMATCH($C108,$C$35:$C$82)+1&lt;=_xlpm.DepreciationMonths,$C108&lt;=BN$8),$E108/_xlpm.DepreciationMonths,0))</f>
        <v>0</v>
      </c>
      <c r="BO108" s="507" cm="1">
        <f t="array" ref="BO108">_xlfn.LET(_xlpm.DepreciationMonths,INDEX(FixedAssets[Depreciation
/ Amortization Months],_xlfn.XMATCH($E$84,FixedAssets[Asset ID])),IF(AND((_xlfn.XMATCH(BO$8,$AH$8:$CC$8))-_xlfn.XMATCH($C108,$C$35:$C$82)+1&lt;=_xlpm.DepreciationMonths,$C108&lt;=BO$8),$E108/_xlpm.DepreciationMonths,0))</f>
        <v>0</v>
      </c>
      <c r="BP108" s="507" cm="1">
        <f t="array" ref="BP108">_xlfn.LET(_xlpm.DepreciationMonths,INDEX(FixedAssets[Depreciation
/ Amortization Months],_xlfn.XMATCH($E$84,FixedAssets[Asset ID])),IF(AND((_xlfn.XMATCH(BP$8,$AH$8:$CC$8))-_xlfn.XMATCH($C108,$C$35:$C$82)+1&lt;=_xlpm.DepreciationMonths,$C108&lt;=BP$8),$E108/_xlpm.DepreciationMonths,0))</f>
        <v>0</v>
      </c>
      <c r="BQ108" s="507" cm="1">
        <f t="array" ref="BQ108">_xlfn.LET(_xlpm.DepreciationMonths,INDEX(FixedAssets[Depreciation
/ Amortization Months],_xlfn.XMATCH($E$84,FixedAssets[Asset ID])),IF(AND((_xlfn.XMATCH(BQ$8,$AH$8:$CC$8))-_xlfn.XMATCH($C108,$C$35:$C$82)+1&lt;=_xlpm.DepreciationMonths,$C108&lt;=BQ$8),$E108/_xlpm.DepreciationMonths,0))</f>
        <v>0</v>
      </c>
      <c r="BR108" s="507" cm="1">
        <f t="array" ref="BR108">_xlfn.LET(_xlpm.DepreciationMonths,INDEX(FixedAssets[Depreciation
/ Amortization Months],_xlfn.XMATCH($E$84,FixedAssets[Asset ID])),IF(AND((_xlfn.XMATCH(BR$8,$AH$8:$CC$8))-_xlfn.XMATCH($C108,$C$35:$C$82)+1&lt;=_xlpm.DepreciationMonths,$C108&lt;=BR$8),$E108/_xlpm.DepreciationMonths,0))</f>
        <v>0</v>
      </c>
      <c r="BS108" s="507" cm="1">
        <f t="array" ref="BS108">_xlfn.LET(_xlpm.DepreciationMonths,INDEX(FixedAssets[Depreciation
/ Amortization Months],_xlfn.XMATCH($E$84,FixedAssets[Asset ID])),IF(AND((_xlfn.XMATCH(BS$8,$AH$8:$CC$8))-_xlfn.XMATCH($C108,$C$35:$C$82)+1&lt;=_xlpm.DepreciationMonths,$C108&lt;=BS$8),$E108/_xlpm.DepreciationMonths,0))</f>
        <v>0</v>
      </c>
      <c r="BT108" s="507" cm="1">
        <f t="array" ref="BT108">_xlfn.LET(_xlpm.DepreciationMonths,INDEX(FixedAssets[Depreciation
/ Amortization Months],_xlfn.XMATCH($E$84,FixedAssets[Asset ID])),IF(AND((_xlfn.XMATCH(BT$8,$AH$8:$CC$8))-_xlfn.XMATCH($C108,$C$35:$C$82)+1&lt;=_xlpm.DepreciationMonths,$C108&lt;=BT$8),$E108/_xlpm.DepreciationMonths,0))</f>
        <v>0</v>
      </c>
      <c r="BU108" s="507" cm="1">
        <f t="array" ref="BU108">_xlfn.LET(_xlpm.DepreciationMonths,INDEX(FixedAssets[Depreciation
/ Amortization Months],_xlfn.XMATCH($E$84,FixedAssets[Asset ID])),IF(AND((_xlfn.XMATCH(BU$8,$AH$8:$CC$8))-_xlfn.XMATCH($C108,$C$35:$C$82)+1&lt;=_xlpm.DepreciationMonths,$C108&lt;=BU$8),$E108/_xlpm.DepreciationMonths,0))</f>
        <v>0</v>
      </c>
      <c r="BV108" s="507" cm="1">
        <f t="array" ref="BV108">_xlfn.LET(_xlpm.DepreciationMonths,INDEX(FixedAssets[Depreciation
/ Amortization Months],_xlfn.XMATCH($E$84,FixedAssets[Asset ID])),IF(AND((_xlfn.XMATCH(BV$8,$AH$8:$CC$8))-_xlfn.XMATCH($C108,$C$35:$C$82)+1&lt;=_xlpm.DepreciationMonths,$C108&lt;=BV$8),$E108/_xlpm.DepreciationMonths,0))</f>
        <v>0</v>
      </c>
      <c r="BW108" s="507" cm="1">
        <f t="array" ref="BW108">_xlfn.LET(_xlpm.DepreciationMonths,INDEX(FixedAssets[Depreciation
/ Amortization Months],_xlfn.XMATCH($E$84,FixedAssets[Asset ID])),IF(AND((_xlfn.XMATCH(BW$8,$AH$8:$CC$8))-_xlfn.XMATCH($C108,$C$35:$C$82)+1&lt;=_xlpm.DepreciationMonths,$C108&lt;=BW$8),$E108/_xlpm.DepreciationMonths,0))</f>
        <v>0</v>
      </c>
      <c r="BX108" s="507" cm="1">
        <f t="array" ref="BX108">_xlfn.LET(_xlpm.DepreciationMonths,INDEX(FixedAssets[Depreciation
/ Amortization Months],_xlfn.XMATCH($E$84,FixedAssets[Asset ID])),IF(AND((_xlfn.XMATCH(BX$8,$AH$8:$CC$8))-_xlfn.XMATCH($C108,$C$35:$C$82)+1&lt;=_xlpm.DepreciationMonths,$C108&lt;=BX$8),$E108/_xlpm.DepreciationMonths,0))</f>
        <v>0</v>
      </c>
      <c r="BY108" s="507" cm="1">
        <f t="array" ref="BY108">_xlfn.LET(_xlpm.DepreciationMonths,INDEX(FixedAssets[Depreciation
/ Amortization Months],_xlfn.XMATCH($E$84,FixedAssets[Asset ID])),IF(AND((_xlfn.XMATCH(BY$8,$AH$8:$CC$8))-_xlfn.XMATCH($C108,$C$35:$C$82)+1&lt;=_xlpm.DepreciationMonths,$C108&lt;=BY$8),$E108/_xlpm.DepreciationMonths,0))</f>
        <v>0</v>
      </c>
      <c r="BZ108" s="507" cm="1">
        <f t="array" ref="BZ108">_xlfn.LET(_xlpm.DepreciationMonths,INDEX(FixedAssets[Depreciation
/ Amortization Months],_xlfn.XMATCH($E$84,FixedAssets[Asset ID])),IF(AND((_xlfn.XMATCH(BZ$8,$AH$8:$CC$8))-_xlfn.XMATCH($C108,$C$35:$C$82)+1&lt;=_xlpm.DepreciationMonths,$C108&lt;=BZ$8),$E108/_xlpm.DepreciationMonths,0))</f>
        <v>0</v>
      </c>
      <c r="CA108" s="507" cm="1">
        <f t="array" ref="CA108">_xlfn.LET(_xlpm.DepreciationMonths,INDEX(FixedAssets[Depreciation
/ Amortization Months],_xlfn.XMATCH($E$84,FixedAssets[Asset ID])),IF(AND((_xlfn.XMATCH(CA$8,$AH$8:$CC$8))-_xlfn.XMATCH($C108,$C$35:$C$82)+1&lt;=_xlpm.DepreciationMonths,$C108&lt;=CA$8),$E108/_xlpm.DepreciationMonths,0))</f>
        <v>0</v>
      </c>
      <c r="CB108" s="507" cm="1">
        <f t="array" ref="CB108">_xlfn.LET(_xlpm.DepreciationMonths,INDEX(FixedAssets[Depreciation
/ Amortization Months],_xlfn.XMATCH($E$84,FixedAssets[Asset ID])),IF(AND((_xlfn.XMATCH(CB$8,$AH$8:$CC$8))-_xlfn.XMATCH($C108,$C$35:$C$82)+1&lt;=_xlpm.DepreciationMonths,$C108&lt;=CB$8),$E108/_xlpm.DepreciationMonths,0))</f>
        <v>0</v>
      </c>
      <c r="CC108" s="507" cm="1">
        <f t="array" ref="CC108">_xlfn.LET(_xlpm.DepreciationMonths,INDEX(FixedAssets[Depreciation
/ Amortization Months],_xlfn.XMATCH($E$84,FixedAssets[Asset ID])),IF(AND((_xlfn.XMATCH(CC$8,$AH$8:$CC$8))-_xlfn.XMATCH($C108,$C$35:$C$82)+1&lt;=_xlpm.DepreciationMonths,$C108&lt;=CC$8),$E108/_xlpm.DepreciationMonths,0))</f>
        <v>0</v>
      </c>
    </row>
    <row r="109" spans="3:81" hidden="1" outlineLevel="2">
      <c r="C109" s="664">
        <f t="shared" si="167"/>
        <v>45657</v>
      </c>
      <c r="D109" s="508"/>
      <c r="E109" s="508" cm="1">
        <f t="array" ref="E109">SUMPRODUCT(($AH$26:$CC$31)*($AH$5:$CC$5=$C109)*($E$26:$E$31=E$84))-SUMPRODUCT(($AH$26:$CC$31)*($AH$5:$CC$5=EOMONTH($C109,-1))*($E$26:$E$31=E$84))</f>
        <v>0</v>
      </c>
      <c r="F109" s="508"/>
      <c r="G109" s="508"/>
      <c r="H109" s="508"/>
      <c r="I109" s="508"/>
      <c r="J109" s="504">
        <f t="shared" si="164"/>
        <v>0</v>
      </c>
      <c r="K109" s="504">
        <f t="shared" si="169"/>
        <v>0</v>
      </c>
      <c r="L109" s="504">
        <f t="shared" si="169"/>
        <v>0</v>
      </c>
      <c r="M109" s="504">
        <f t="shared" si="169"/>
        <v>0</v>
      </c>
      <c r="N109" s="504"/>
      <c r="O109" s="504"/>
      <c r="P109" s="504">
        <f t="shared" si="170"/>
        <v>0</v>
      </c>
      <c r="Q109" s="504">
        <f t="shared" si="170"/>
        <v>0</v>
      </c>
      <c r="R109" s="504">
        <f t="shared" si="170"/>
        <v>0</v>
      </c>
      <c r="S109" s="504">
        <f t="shared" si="170"/>
        <v>0</v>
      </c>
      <c r="T109" s="504">
        <f t="shared" si="170"/>
        <v>0</v>
      </c>
      <c r="U109" s="504">
        <f t="shared" si="170"/>
        <v>0</v>
      </c>
      <c r="V109" s="504">
        <f t="shared" si="170"/>
        <v>0</v>
      </c>
      <c r="W109" s="504">
        <f t="shared" si="170"/>
        <v>0</v>
      </c>
      <c r="X109" s="504">
        <f t="shared" si="170"/>
        <v>0</v>
      </c>
      <c r="Y109" s="504">
        <f t="shared" si="170"/>
        <v>0</v>
      </c>
      <c r="Z109" s="504">
        <f t="shared" si="170"/>
        <v>0</v>
      </c>
      <c r="AA109" s="504">
        <f t="shared" si="170"/>
        <v>0</v>
      </c>
      <c r="AB109" s="504">
        <f t="shared" si="170"/>
        <v>0</v>
      </c>
      <c r="AC109" s="504">
        <f t="shared" si="170"/>
        <v>0</v>
      </c>
      <c r="AD109" s="504">
        <f t="shared" si="170"/>
        <v>0</v>
      </c>
      <c r="AE109" s="504">
        <f t="shared" si="170"/>
        <v>0</v>
      </c>
      <c r="AF109" s="508"/>
      <c r="AG109" s="508"/>
      <c r="AH109" s="507" cm="1">
        <f t="array" ref="AH109">_xlfn.LET(_xlpm.DepreciationMonths,INDEX(FixedAssets[Depreciation
/ Amortization Months],_xlfn.XMATCH($E$84,FixedAssets[Asset ID])),IF(AND((_xlfn.XMATCH(AH$8,$AH$8:$CC$8))-_xlfn.XMATCH($C109,$C$35:$C$82)+1&lt;=_xlpm.DepreciationMonths,$C109&lt;=AH$8),$E109/_xlpm.DepreciationMonths,0))</f>
        <v>0</v>
      </c>
      <c r="AI109" s="507" cm="1">
        <f t="array" ref="AI109">_xlfn.LET(_xlpm.DepreciationMonths,INDEX(FixedAssets[Depreciation
/ Amortization Months],_xlfn.XMATCH($E$84,FixedAssets[Asset ID])),IF(AND((_xlfn.XMATCH(AI$8,$AH$8:$CC$8))-_xlfn.XMATCH($C109,$C$35:$C$82)+1&lt;=_xlpm.DepreciationMonths,$C109&lt;=AI$8),$E109/_xlpm.DepreciationMonths,0))</f>
        <v>0</v>
      </c>
      <c r="AJ109" s="507" cm="1">
        <f t="array" ref="AJ109">_xlfn.LET(_xlpm.DepreciationMonths,INDEX(FixedAssets[Depreciation
/ Amortization Months],_xlfn.XMATCH($E$84,FixedAssets[Asset ID])),IF(AND((_xlfn.XMATCH(AJ$8,$AH$8:$CC$8))-_xlfn.XMATCH($C109,$C$35:$C$82)+1&lt;=_xlpm.DepreciationMonths,$C109&lt;=AJ$8),$E109/_xlpm.DepreciationMonths,0))</f>
        <v>0</v>
      </c>
      <c r="AK109" s="507" cm="1">
        <f t="array" ref="AK109">_xlfn.LET(_xlpm.DepreciationMonths,INDEX(FixedAssets[Depreciation
/ Amortization Months],_xlfn.XMATCH($E$84,FixedAssets[Asset ID])),IF(AND((_xlfn.XMATCH(AK$8,$AH$8:$CC$8))-_xlfn.XMATCH($C109,$C$35:$C$82)+1&lt;=_xlpm.DepreciationMonths,$C109&lt;=AK$8),$E109/_xlpm.DepreciationMonths,0))</f>
        <v>0</v>
      </c>
      <c r="AL109" s="507" cm="1">
        <f t="array" ref="AL109">_xlfn.LET(_xlpm.DepreciationMonths,INDEX(FixedAssets[Depreciation
/ Amortization Months],_xlfn.XMATCH($E$84,FixedAssets[Asset ID])),IF(AND((_xlfn.XMATCH(AL$8,$AH$8:$CC$8))-_xlfn.XMATCH($C109,$C$35:$C$82)+1&lt;=_xlpm.DepreciationMonths,$C109&lt;=AL$8),$E109/_xlpm.DepreciationMonths,0))</f>
        <v>0</v>
      </c>
      <c r="AM109" s="507" cm="1">
        <f t="array" ref="AM109">_xlfn.LET(_xlpm.DepreciationMonths,INDEX(FixedAssets[Depreciation
/ Amortization Months],_xlfn.XMATCH($E$84,FixedAssets[Asset ID])),IF(AND((_xlfn.XMATCH(AM$8,$AH$8:$CC$8))-_xlfn.XMATCH($C109,$C$35:$C$82)+1&lt;=_xlpm.DepreciationMonths,$C109&lt;=AM$8),$E109/_xlpm.DepreciationMonths,0))</f>
        <v>0</v>
      </c>
      <c r="AN109" s="507" cm="1">
        <f t="array" ref="AN109">_xlfn.LET(_xlpm.DepreciationMonths,INDEX(FixedAssets[Depreciation
/ Amortization Months],_xlfn.XMATCH($E$84,FixedAssets[Asset ID])),IF(AND((_xlfn.XMATCH(AN$8,$AH$8:$CC$8))-_xlfn.XMATCH($C109,$C$35:$C$82)+1&lt;=_xlpm.DepreciationMonths,$C109&lt;=AN$8),$E109/_xlpm.DepreciationMonths,0))</f>
        <v>0</v>
      </c>
      <c r="AO109" s="507" cm="1">
        <f t="array" ref="AO109">_xlfn.LET(_xlpm.DepreciationMonths,INDEX(FixedAssets[Depreciation
/ Amortization Months],_xlfn.XMATCH($E$84,FixedAssets[Asset ID])),IF(AND((_xlfn.XMATCH(AO$8,$AH$8:$CC$8))-_xlfn.XMATCH($C109,$C$35:$C$82)+1&lt;=_xlpm.DepreciationMonths,$C109&lt;=AO$8),$E109/_xlpm.DepreciationMonths,0))</f>
        <v>0</v>
      </c>
      <c r="AP109" s="507" cm="1">
        <f t="array" ref="AP109">_xlfn.LET(_xlpm.DepreciationMonths,INDEX(FixedAssets[Depreciation
/ Amortization Months],_xlfn.XMATCH($E$84,FixedAssets[Asset ID])),IF(AND((_xlfn.XMATCH(AP$8,$AH$8:$CC$8))-_xlfn.XMATCH($C109,$C$35:$C$82)+1&lt;=_xlpm.DepreciationMonths,$C109&lt;=AP$8),$E109/_xlpm.DepreciationMonths,0))</f>
        <v>0</v>
      </c>
      <c r="AQ109" s="507" cm="1">
        <f t="array" ref="AQ109">_xlfn.LET(_xlpm.DepreciationMonths,INDEX(FixedAssets[Depreciation
/ Amortization Months],_xlfn.XMATCH($E$84,FixedAssets[Asset ID])),IF(AND((_xlfn.XMATCH(AQ$8,$AH$8:$CC$8))-_xlfn.XMATCH($C109,$C$35:$C$82)+1&lt;=_xlpm.DepreciationMonths,$C109&lt;=AQ$8),$E109/_xlpm.DepreciationMonths,0))</f>
        <v>0</v>
      </c>
      <c r="AR109" s="507" cm="1">
        <f t="array" ref="AR109">_xlfn.LET(_xlpm.DepreciationMonths,INDEX(FixedAssets[Depreciation
/ Amortization Months],_xlfn.XMATCH($E$84,FixedAssets[Asset ID])),IF(AND((_xlfn.XMATCH(AR$8,$AH$8:$CC$8))-_xlfn.XMATCH($C109,$C$35:$C$82)+1&lt;=_xlpm.DepreciationMonths,$C109&lt;=AR$8),$E109/_xlpm.DepreciationMonths,0))</f>
        <v>0</v>
      </c>
      <c r="AS109" s="507" cm="1">
        <f t="array" ref="AS109">_xlfn.LET(_xlpm.DepreciationMonths,INDEX(FixedAssets[Depreciation
/ Amortization Months],_xlfn.XMATCH($E$84,FixedAssets[Asset ID])),IF(AND((_xlfn.XMATCH(AS$8,$AH$8:$CC$8))-_xlfn.XMATCH($C109,$C$35:$C$82)+1&lt;=_xlpm.DepreciationMonths,$C109&lt;=AS$8),$E109/_xlpm.DepreciationMonths,0))</f>
        <v>0</v>
      </c>
      <c r="AT109" s="507" cm="1">
        <f t="array" ref="AT109">_xlfn.LET(_xlpm.DepreciationMonths,INDEX(FixedAssets[Depreciation
/ Amortization Months],_xlfn.XMATCH($E$84,FixedAssets[Asset ID])),IF(AND((_xlfn.XMATCH(AT$8,$AH$8:$CC$8))-_xlfn.XMATCH($C109,$C$35:$C$82)+1&lt;=_xlpm.DepreciationMonths,$C109&lt;=AT$8),$E109/_xlpm.DepreciationMonths,0))</f>
        <v>0</v>
      </c>
      <c r="AU109" s="507" cm="1">
        <f t="array" ref="AU109">_xlfn.LET(_xlpm.DepreciationMonths,INDEX(FixedAssets[Depreciation
/ Amortization Months],_xlfn.XMATCH($E$84,FixedAssets[Asset ID])),IF(AND((_xlfn.XMATCH(AU$8,$AH$8:$CC$8))-_xlfn.XMATCH($C109,$C$35:$C$82)+1&lt;=_xlpm.DepreciationMonths,$C109&lt;=AU$8),$E109/_xlpm.DepreciationMonths,0))</f>
        <v>0</v>
      </c>
      <c r="AV109" s="507" cm="1">
        <f t="array" ref="AV109">_xlfn.LET(_xlpm.DepreciationMonths,INDEX(FixedAssets[Depreciation
/ Amortization Months],_xlfn.XMATCH($E$84,FixedAssets[Asset ID])),IF(AND((_xlfn.XMATCH(AV$8,$AH$8:$CC$8))-_xlfn.XMATCH($C109,$C$35:$C$82)+1&lt;=_xlpm.DepreciationMonths,$C109&lt;=AV$8),$E109/_xlpm.DepreciationMonths,0))</f>
        <v>0</v>
      </c>
      <c r="AW109" s="507" cm="1">
        <f t="array" ref="AW109">_xlfn.LET(_xlpm.DepreciationMonths,INDEX(FixedAssets[Depreciation
/ Amortization Months],_xlfn.XMATCH($E$84,FixedAssets[Asset ID])),IF(AND((_xlfn.XMATCH(AW$8,$AH$8:$CC$8))-_xlfn.XMATCH($C109,$C$35:$C$82)+1&lt;=_xlpm.DepreciationMonths,$C109&lt;=AW$8),$E109/_xlpm.DepreciationMonths,0))</f>
        <v>0</v>
      </c>
      <c r="AX109" s="507" cm="1">
        <f t="array" ref="AX109">_xlfn.LET(_xlpm.DepreciationMonths,INDEX(FixedAssets[Depreciation
/ Amortization Months],_xlfn.XMATCH($E$84,FixedAssets[Asset ID])),IF(AND((_xlfn.XMATCH(AX$8,$AH$8:$CC$8))-_xlfn.XMATCH($C109,$C$35:$C$82)+1&lt;=_xlpm.DepreciationMonths,$C109&lt;=AX$8),$E109/_xlpm.DepreciationMonths,0))</f>
        <v>0</v>
      </c>
      <c r="AY109" s="507" cm="1">
        <f t="array" ref="AY109">_xlfn.LET(_xlpm.DepreciationMonths,INDEX(FixedAssets[Depreciation
/ Amortization Months],_xlfn.XMATCH($E$84,FixedAssets[Asset ID])),IF(AND((_xlfn.XMATCH(AY$8,$AH$8:$CC$8))-_xlfn.XMATCH($C109,$C$35:$C$82)+1&lt;=_xlpm.DepreciationMonths,$C109&lt;=AY$8),$E109/_xlpm.DepreciationMonths,0))</f>
        <v>0</v>
      </c>
      <c r="AZ109" s="507" cm="1">
        <f t="array" ref="AZ109">_xlfn.LET(_xlpm.DepreciationMonths,INDEX(FixedAssets[Depreciation
/ Amortization Months],_xlfn.XMATCH($E$84,FixedAssets[Asset ID])),IF(AND((_xlfn.XMATCH(AZ$8,$AH$8:$CC$8))-_xlfn.XMATCH($C109,$C$35:$C$82)+1&lt;=_xlpm.DepreciationMonths,$C109&lt;=AZ$8),$E109/_xlpm.DepreciationMonths,0))</f>
        <v>0</v>
      </c>
      <c r="BA109" s="507" cm="1">
        <f t="array" ref="BA109">_xlfn.LET(_xlpm.DepreciationMonths,INDEX(FixedAssets[Depreciation
/ Amortization Months],_xlfn.XMATCH($E$84,FixedAssets[Asset ID])),IF(AND((_xlfn.XMATCH(BA$8,$AH$8:$CC$8))-_xlfn.XMATCH($C109,$C$35:$C$82)+1&lt;=_xlpm.DepreciationMonths,$C109&lt;=BA$8),$E109/_xlpm.DepreciationMonths,0))</f>
        <v>0</v>
      </c>
      <c r="BB109" s="507" cm="1">
        <f t="array" ref="BB109">_xlfn.LET(_xlpm.DepreciationMonths,INDEX(FixedAssets[Depreciation
/ Amortization Months],_xlfn.XMATCH($E$84,FixedAssets[Asset ID])),IF(AND((_xlfn.XMATCH(BB$8,$AH$8:$CC$8))-_xlfn.XMATCH($C109,$C$35:$C$82)+1&lt;=_xlpm.DepreciationMonths,$C109&lt;=BB$8),$E109/_xlpm.DepreciationMonths,0))</f>
        <v>0</v>
      </c>
      <c r="BC109" s="507" cm="1">
        <f t="array" ref="BC109">_xlfn.LET(_xlpm.DepreciationMonths,INDEX(FixedAssets[Depreciation
/ Amortization Months],_xlfn.XMATCH($E$84,FixedAssets[Asset ID])),IF(AND((_xlfn.XMATCH(BC$8,$AH$8:$CC$8))-_xlfn.XMATCH($C109,$C$35:$C$82)+1&lt;=_xlpm.DepreciationMonths,$C109&lt;=BC$8),$E109/_xlpm.DepreciationMonths,0))</f>
        <v>0</v>
      </c>
      <c r="BD109" s="507" cm="1">
        <f t="array" ref="BD109">_xlfn.LET(_xlpm.DepreciationMonths,INDEX(FixedAssets[Depreciation
/ Amortization Months],_xlfn.XMATCH($E$84,FixedAssets[Asset ID])),IF(AND((_xlfn.XMATCH(BD$8,$AH$8:$CC$8))-_xlfn.XMATCH($C109,$C$35:$C$82)+1&lt;=_xlpm.DepreciationMonths,$C109&lt;=BD$8),$E109/_xlpm.DepreciationMonths,0))</f>
        <v>0</v>
      </c>
      <c r="BE109" s="507" cm="1">
        <f t="array" ref="BE109">_xlfn.LET(_xlpm.DepreciationMonths,INDEX(FixedAssets[Depreciation
/ Amortization Months],_xlfn.XMATCH($E$84,FixedAssets[Asset ID])),IF(AND((_xlfn.XMATCH(BE$8,$AH$8:$CC$8))-_xlfn.XMATCH($C109,$C$35:$C$82)+1&lt;=_xlpm.DepreciationMonths,$C109&lt;=BE$8),$E109/_xlpm.DepreciationMonths,0))</f>
        <v>0</v>
      </c>
      <c r="BF109" s="507" cm="1">
        <f t="array" ref="BF109">_xlfn.LET(_xlpm.DepreciationMonths,INDEX(FixedAssets[Depreciation
/ Amortization Months],_xlfn.XMATCH($E$84,FixedAssets[Asset ID])),IF(AND((_xlfn.XMATCH(BF$8,$AH$8:$CC$8))-_xlfn.XMATCH($C109,$C$35:$C$82)+1&lt;=_xlpm.DepreciationMonths,$C109&lt;=BF$8),$E109/_xlpm.DepreciationMonths,0))</f>
        <v>0</v>
      </c>
      <c r="BG109" s="507" cm="1">
        <f t="array" ref="BG109">_xlfn.LET(_xlpm.DepreciationMonths,INDEX(FixedAssets[Depreciation
/ Amortization Months],_xlfn.XMATCH($E$84,FixedAssets[Asset ID])),IF(AND((_xlfn.XMATCH(BG$8,$AH$8:$CC$8))-_xlfn.XMATCH($C109,$C$35:$C$82)+1&lt;=_xlpm.DepreciationMonths,$C109&lt;=BG$8),$E109/_xlpm.DepreciationMonths,0))</f>
        <v>0</v>
      </c>
      <c r="BH109" s="507" cm="1">
        <f t="array" ref="BH109">_xlfn.LET(_xlpm.DepreciationMonths,INDEX(FixedAssets[Depreciation
/ Amortization Months],_xlfn.XMATCH($E$84,FixedAssets[Asset ID])),IF(AND((_xlfn.XMATCH(BH$8,$AH$8:$CC$8))-_xlfn.XMATCH($C109,$C$35:$C$82)+1&lt;=_xlpm.DepreciationMonths,$C109&lt;=BH$8),$E109/_xlpm.DepreciationMonths,0))</f>
        <v>0</v>
      </c>
      <c r="BI109" s="507" cm="1">
        <f t="array" ref="BI109">_xlfn.LET(_xlpm.DepreciationMonths,INDEX(FixedAssets[Depreciation
/ Amortization Months],_xlfn.XMATCH($E$84,FixedAssets[Asset ID])),IF(AND((_xlfn.XMATCH(BI$8,$AH$8:$CC$8))-_xlfn.XMATCH($C109,$C$35:$C$82)+1&lt;=_xlpm.DepreciationMonths,$C109&lt;=BI$8),$E109/_xlpm.DepreciationMonths,0))</f>
        <v>0</v>
      </c>
      <c r="BJ109" s="507" cm="1">
        <f t="array" ref="BJ109">_xlfn.LET(_xlpm.DepreciationMonths,INDEX(FixedAssets[Depreciation
/ Amortization Months],_xlfn.XMATCH($E$84,FixedAssets[Asset ID])),IF(AND((_xlfn.XMATCH(BJ$8,$AH$8:$CC$8))-_xlfn.XMATCH($C109,$C$35:$C$82)+1&lt;=_xlpm.DepreciationMonths,$C109&lt;=BJ$8),$E109/_xlpm.DepreciationMonths,0))</f>
        <v>0</v>
      </c>
      <c r="BK109" s="507" cm="1">
        <f t="array" ref="BK109">_xlfn.LET(_xlpm.DepreciationMonths,INDEX(FixedAssets[Depreciation
/ Amortization Months],_xlfn.XMATCH($E$84,FixedAssets[Asset ID])),IF(AND((_xlfn.XMATCH(BK$8,$AH$8:$CC$8))-_xlfn.XMATCH($C109,$C$35:$C$82)+1&lt;=_xlpm.DepreciationMonths,$C109&lt;=BK$8),$E109/_xlpm.DepreciationMonths,0))</f>
        <v>0</v>
      </c>
      <c r="BL109" s="507" cm="1">
        <f t="array" ref="BL109">_xlfn.LET(_xlpm.DepreciationMonths,INDEX(FixedAssets[Depreciation
/ Amortization Months],_xlfn.XMATCH($E$84,FixedAssets[Asset ID])),IF(AND((_xlfn.XMATCH(BL$8,$AH$8:$CC$8))-_xlfn.XMATCH($C109,$C$35:$C$82)+1&lt;=_xlpm.DepreciationMonths,$C109&lt;=BL$8),$E109/_xlpm.DepreciationMonths,0))</f>
        <v>0</v>
      </c>
      <c r="BM109" s="507" cm="1">
        <f t="array" ref="BM109">_xlfn.LET(_xlpm.DepreciationMonths,INDEX(FixedAssets[Depreciation
/ Amortization Months],_xlfn.XMATCH($E$84,FixedAssets[Asset ID])),IF(AND((_xlfn.XMATCH(BM$8,$AH$8:$CC$8))-_xlfn.XMATCH($C109,$C$35:$C$82)+1&lt;=_xlpm.DepreciationMonths,$C109&lt;=BM$8),$E109/_xlpm.DepreciationMonths,0))</f>
        <v>0</v>
      </c>
      <c r="BN109" s="507" cm="1">
        <f t="array" ref="BN109">_xlfn.LET(_xlpm.DepreciationMonths,INDEX(FixedAssets[Depreciation
/ Amortization Months],_xlfn.XMATCH($E$84,FixedAssets[Asset ID])),IF(AND((_xlfn.XMATCH(BN$8,$AH$8:$CC$8))-_xlfn.XMATCH($C109,$C$35:$C$82)+1&lt;=_xlpm.DepreciationMonths,$C109&lt;=BN$8),$E109/_xlpm.DepreciationMonths,0))</f>
        <v>0</v>
      </c>
      <c r="BO109" s="507" cm="1">
        <f t="array" ref="BO109">_xlfn.LET(_xlpm.DepreciationMonths,INDEX(FixedAssets[Depreciation
/ Amortization Months],_xlfn.XMATCH($E$84,FixedAssets[Asset ID])),IF(AND((_xlfn.XMATCH(BO$8,$AH$8:$CC$8))-_xlfn.XMATCH($C109,$C$35:$C$82)+1&lt;=_xlpm.DepreciationMonths,$C109&lt;=BO$8),$E109/_xlpm.DepreciationMonths,0))</f>
        <v>0</v>
      </c>
      <c r="BP109" s="507" cm="1">
        <f t="array" ref="BP109">_xlfn.LET(_xlpm.DepreciationMonths,INDEX(FixedAssets[Depreciation
/ Amortization Months],_xlfn.XMATCH($E$84,FixedAssets[Asset ID])),IF(AND((_xlfn.XMATCH(BP$8,$AH$8:$CC$8))-_xlfn.XMATCH($C109,$C$35:$C$82)+1&lt;=_xlpm.DepreciationMonths,$C109&lt;=BP$8),$E109/_xlpm.DepreciationMonths,0))</f>
        <v>0</v>
      </c>
      <c r="BQ109" s="507" cm="1">
        <f t="array" ref="BQ109">_xlfn.LET(_xlpm.DepreciationMonths,INDEX(FixedAssets[Depreciation
/ Amortization Months],_xlfn.XMATCH($E$84,FixedAssets[Asset ID])),IF(AND((_xlfn.XMATCH(BQ$8,$AH$8:$CC$8))-_xlfn.XMATCH($C109,$C$35:$C$82)+1&lt;=_xlpm.DepreciationMonths,$C109&lt;=BQ$8),$E109/_xlpm.DepreciationMonths,0))</f>
        <v>0</v>
      </c>
      <c r="BR109" s="507" cm="1">
        <f t="array" ref="BR109">_xlfn.LET(_xlpm.DepreciationMonths,INDEX(FixedAssets[Depreciation
/ Amortization Months],_xlfn.XMATCH($E$84,FixedAssets[Asset ID])),IF(AND((_xlfn.XMATCH(BR$8,$AH$8:$CC$8))-_xlfn.XMATCH($C109,$C$35:$C$82)+1&lt;=_xlpm.DepreciationMonths,$C109&lt;=BR$8),$E109/_xlpm.DepreciationMonths,0))</f>
        <v>0</v>
      </c>
      <c r="BS109" s="507" cm="1">
        <f t="array" ref="BS109">_xlfn.LET(_xlpm.DepreciationMonths,INDEX(FixedAssets[Depreciation
/ Amortization Months],_xlfn.XMATCH($E$84,FixedAssets[Asset ID])),IF(AND((_xlfn.XMATCH(BS$8,$AH$8:$CC$8))-_xlfn.XMATCH($C109,$C$35:$C$82)+1&lt;=_xlpm.DepreciationMonths,$C109&lt;=BS$8),$E109/_xlpm.DepreciationMonths,0))</f>
        <v>0</v>
      </c>
      <c r="BT109" s="507" cm="1">
        <f t="array" ref="BT109">_xlfn.LET(_xlpm.DepreciationMonths,INDEX(FixedAssets[Depreciation
/ Amortization Months],_xlfn.XMATCH($E$84,FixedAssets[Asset ID])),IF(AND((_xlfn.XMATCH(BT$8,$AH$8:$CC$8))-_xlfn.XMATCH($C109,$C$35:$C$82)+1&lt;=_xlpm.DepreciationMonths,$C109&lt;=BT$8),$E109/_xlpm.DepreciationMonths,0))</f>
        <v>0</v>
      </c>
      <c r="BU109" s="507" cm="1">
        <f t="array" ref="BU109">_xlfn.LET(_xlpm.DepreciationMonths,INDEX(FixedAssets[Depreciation
/ Amortization Months],_xlfn.XMATCH($E$84,FixedAssets[Asset ID])),IF(AND((_xlfn.XMATCH(BU$8,$AH$8:$CC$8))-_xlfn.XMATCH($C109,$C$35:$C$82)+1&lt;=_xlpm.DepreciationMonths,$C109&lt;=BU$8),$E109/_xlpm.DepreciationMonths,0))</f>
        <v>0</v>
      </c>
      <c r="BV109" s="507" cm="1">
        <f t="array" ref="BV109">_xlfn.LET(_xlpm.DepreciationMonths,INDEX(FixedAssets[Depreciation
/ Amortization Months],_xlfn.XMATCH($E$84,FixedAssets[Asset ID])),IF(AND((_xlfn.XMATCH(BV$8,$AH$8:$CC$8))-_xlfn.XMATCH($C109,$C$35:$C$82)+1&lt;=_xlpm.DepreciationMonths,$C109&lt;=BV$8),$E109/_xlpm.DepreciationMonths,0))</f>
        <v>0</v>
      </c>
      <c r="BW109" s="507" cm="1">
        <f t="array" ref="BW109">_xlfn.LET(_xlpm.DepreciationMonths,INDEX(FixedAssets[Depreciation
/ Amortization Months],_xlfn.XMATCH($E$84,FixedAssets[Asset ID])),IF(AND((_xlfn.XMATCH(BW$8,$AH$8:$CC$8))-_xlfn.XMATCH($C109,$C$35:$C$82)+1&lt;=_xlpm.DepreciationMonths,$C109&lt;=BW$8),$E109/_xlpm.DepreciationMonths,0))</f>
        <v>0</v>
      </c>
      <c r="BX109" s="507" cm="1">
        <f t="array" ref="BX109">_xlfn.LET(_xlpm.DepreciationMonths,INDEX(FixedAssets[Depreciation
/ Amortization Months],_xlfn.XMATCH($E$84,FixedAssets[Asset ID])),IF(AND((_xlfn.XMATCH(BX$8,$AH$8:$CC$8))-_xlfn.XMATCH($C109,$C$35:$C$82)+1&lt;=_xlpm.DepreciationMonths,$C109&lt;=BX$8),$E109/_xlpm.DepreciationMonths,0))</f>
        <v>0</v>
      </c>
      <c r="BY109" s="507" cm="1">
        <f t="array" ref="BY109">_xlfn.LET(_xlpm.DepreciationMonths,INDEX(FixedAssets[Depreciation
/ Amortization Months],_xlfn.XMATCH($E$84,FixedAssets[Asset ID])),IF(AND((_xlfn.XMATCH(BY$8,$AH$8:$CC$8))-_xlfn.XMATCH($C109,$C$35:$C$82)+1&lt;=_xlpm.DepreciationMonths,$C109&lt;=BY$8),$E109/_xlpm.DepreciationMonths,0))</f>
        <v>0</v>
      </c>
      <c r="BZ109" s="507" cm="1">
        <f t="array" ref="BZ109">_xlfn.LET(_xlpm.DepreciationMonths,INDEX(FixedAssets[Depreciation
/ Amortization Months],_xlfn.XMATCH($E$84,FixedAssets[Asset ID])),IF(AND((_xlfn.XMATCH(BZ$8,$AH$8:$CC$8))-_xlfn.XMATCH($C109,$C$35:$C$82)+1&lt;=_xlpm.DepreciationMonths,$C109&lt;=BZ$8),$E109/_xlpm.DepreciationMonths,0))</f>
        <v>0</v>
      </c>
      <c r="CA109" s="507" cm="1">
        <f t="array" ref="CA109">_xlfn.LET(_xlpm.DepreciationMonths,INDEX(FixedAssets[Depreciation
/ Amortization Months],_xlfn.XMATCH($E$84,FixedAssets[Asset ID])),IF(AND((_xlfn.XMATCH(CA$8,$AH$8:$CC$8))-_xlfn.XMATCH($C109,$C$35:$C$82)+1&lt;=_xlpm.DepreciationMonths,$C109&lt;=CA$8),$E109/_xlpm.DepreciationMonths,0))</f>
        <v>0</v>
      </c>
      <c r="CB109" s="507" cm="1">
        <f t="array" ref="CB109">_xlfn.LET(_xlpm.DepreciationMonths,INDEX(FixedAssets[Depreciation
/ Amortization Months],_xlfn.XMATCH($E$84,FixedAssets[Asset ID])),IF(AND((_xlfn.XMATCH(CB$8,$AH$8:$CC$8))-_xlfn.XMATCH($C109,$C$35:$C$82)+1&lt;=_xlpm.DepreciationMonths,$C109&lt;=CB$8),$E109/_xlpm.DepreciationMonths,0))</f>
        <v>0</v>
      </c>
      <c r="CC109" s="507" cm="1">
        <f t="array" ref="CC109">_xlfn.LET(_xlpm.DepreciationMonths,INDEX(FixedAssets[Depreciation
/ Amortization Months],_xlfn.XMATCH($E$84,FixedAssets[Asset ID])),IF(AND((_xlfn.XMATCH(CC$8,$AH$8:$CC$8))-_xlfn.XMATCH($C109,$C$35:$C$82)+1&lt;=_xlpm.DepreciationMonths,$C109&lt;=CC$8),$E109/_xlpm.DepreciationMonths,0))</f>
        <v>0</v>
      </c>
    </row>
    <row r="110" spans="3:81" hidden="1" outlineLevel="2">
      <c r="C110" s="664">
        <f t="shared" si="167"/>
        <v>45688</v>
      </c>
      <c r="D110" s="508"/>
      <c r="E110" s="508" cm="1">
        <f t="array" ref="E110">SUMPRODUCT(($AH$26:$CC$31)*($AH$5:$CC$5=$C110)*($E$26:$E$31=E$84))-SUMPRODUCT(($AH$26:$CC$31)*($AH$5:$CC$5=EOMONTH($C110,-1))*($E$26:$E$31=E$84))</f>
        <v>0</v>
      </c>
      <c r="F110" s="508"/>
      <c r="G110" s="508"/>
      <c r="H110" s="508"/>
      <c r="I110" s="508"/>
      <c r="J110" s="504">
        <f t="shared" si="164"/>
        <v>0</v>
      </c>
      <c r="K110" s="504">
        <f t="shared" si="169"/>
        <v>0</v>
      </c>
      <c r="L110" s="504">
        <f t="shared" si="169"/>
        <v>0</v>
      </c>
      <c r="M110" s="504">
        <f t="shared" si="169"/>
        <v>0</v>
      </c>
      <c r="N110" s="504"/>
      <c r="O110" s="504"/>
      <c r="P110" s="504">
        <f t="shared" si="170"/>
        <v>0</v>
      </c>
      <c r="Q110" s="504">
        <f t="shared" si="170"/>
        <v>0</v>
      </c>
      <c r="R110" s="504">
        <f t="shared" si="170"/>
        <v>0</v>
      </c>
      <c r="S110" s="504">
        <f t="shared" si="170"/>
        <v>0</v>
      </c>
      <c r="T110" s="504">
        <f t="shared" si="170"/>
        <v>0</v>
      </c>
      <c r="U110" s="504">
        <f t="shared" si="170"/>
        <v>0</v>
      </c>
      <c r="V110" s="504">
        <f t="shared" si="170"/>
        <v>0</v>
      </c>
      <c r="W110" s="504">
        <f t="shared" si="170"/>
        <v>0</v>
      </c>
      <c r="X110" s="504">
        <f t="shared" si="170"/>
        <v>0</v>
      </c>
      <c r="Y110" s="504">
        <f t="shared" si="170"/>
        <v>0</v>
      </c>
      <c r="Z110" s="504">
        <f t="shared" si="170"/>
        <v>0</v>
      </c>
      <c r="AA110" s="504">
        <f t="shared" si="170"/>
        <v>0</v>
      </c>
      <c r="AB110" s="504">
        <f t="shared" si="170"/>
        <v>0</v>
      </c>
      <c r="AC110" s="504">
        <f t="shared" si="170"/>
        <v>0</v>
      </c>
      <c r="AD110" s="504">
        <f t="shared" si="170"/>
        <v>0</v>
      </c>
      <c r="AE110" s="504">
        <f t="shared" si="170"/>
        <v>0</v>
      </c>
      <c r="AF110" s="508"/>
      <c r="AG110" s="508"/>
      <c r="AH110" s="507" cm="1">
        <f t="array" ref="AH110">_xlfn.LET(_xlpm.DepreciationMonths,INDEX(FixedAssets[Depreciation
/ Amortization Months],_xlfn.XMATCH($E$84,FixedAssets[Asset ID])),IF(AND((_xlfn.XMATCH(AH$8,$AH$8:$CC$8))-_xlfn.XMATCH($C110,$C$35:$C$82)+1&lt;=_xlpm.DepreciationMonths,$C110&lt;=AH$8),$E110/_xlpm.DepreciationMonths,0))</f>
        <v>0</v>
      </c>
      <c r="AI110" s="507" cm="1">
        <f t="array" ref="AI110">_xlfn.LET(_xlpm.DepreciationMonths,INDEX(FixedAssets[Depreciation
/ Amortization Months],_xlfn.XMATCH($E$84,FixedAssets[Asset ID])),IF(AND((_xlfn.XMATCH(AI$8,$AH$8:$CC$8))-_xlfn.XMATCH($C110,$C$35:$C$82)+1&lt;=_xlpm.DepreciationMonths,$C110&lt;=AI$8),$E110/_xlpm.DepreciationMonths,0))</f>
        <v>0</v>
      </c>
      <c r="AJ110" s="507" cm="1">
        <f t="array" ref="AJ110">_xlfn.LET(_xlpm.DepreciationMonths,INDEX(FixedAssets[Depreciation
/ Amortization Months],_xlfn.XMATCH($E$84,FixedAssets[Asset ID])),IF(AND((_xlfn.XMATCH(AJ$8,$AH$8:$CC$8))-_xlfn.XMATCH($C110,$C$35:$C$82)+1&lt;=_xlpm.DepreciationMonths,$C110&lt;=AJ$8),$E110/_xlpm.DepreciationMonths,0))</f>
        <v>0</v>
      </c>
      <c r="AK110" s="507" cm="1">
        <f t="array" ref="AK110">_xlfn.LET(_xlpm.DepreciationMonths,INDEX(FixedAssets[Depreciation
/ Amortization Months],_xlfn.XMATCH($E$84,FixedAssets[Asset ID])),IF(AND((_xlfn.XMATCH(AK$8,$AH$8:$CC$8))-_xlfn.XMATCH($C110,$C$35:$C$82)+1&lt;=_xlpm.DepreciationMonths,$C110&lt;=AK$8),$E110/_xlpm.DepreciationMonths,0))</f>
        <v>0</v>
      </c>
      <c r="AL110" s="507" cm="1">
        <f t="array" ref="AL110">_xlfn.LET(_xlpm.DepreciationMonths,INDEX(FixedAssets[Depreciation
/ Amortization Months],_xlfn.XMATCH($E$84,FixedAssets[Asset ID])),IF(AND((_xlfn.XMATCH(AL$8,$AH$8:$CC$8))-_xlfn.XMATCH($C110,$C$35:$C$82)+1&lt;=_xlpm.DepreciationMonths,$C110&lt;=AL$8),$E110/_xlpm.DepreciationMonths,0))</f>
        <v>0</v>
      </c>
      <c r="AM110" s="507" cm="1">
        <f t="array" ref="AM110">_xlfn.LET(_xlpm.DepreciationMonths,INDEX(FixedAssets[Depreciation
/ Amortization Months],_xlfn.XMATCH($E$84,FixedAssets[Asset ID])),IF(AND((_xlfn.XMATCH(AM$8,$AH$8:$CC$8))-_xlfn.XMATCH($C110,$C$35:$C$82)+1&lt;=_xlpm.DepreciationMonths,$C110&lt;=AM$8),$E110/_xlpm.DepreciationMonths,0))</f>
        <v>0</v>
      </c>
      <c r="AN110" s="507" cm="1">
        <f t="array" ref="AN110">_xlfn.LET(_xlpm.DepreciationMonths,INDEX(FixedAssets[Depreciation
/ Amortization Months],_xlfn.XMATCH($E$84,FixedAssets[Asset ID])),IF(AND((_xlfn.XMATCH(AN$8,$AH$8:$CC$8))-_xlfn.XMATCH($C110,$C$35:$C$82)+1&lt;=_xlpm.DepreciationMonths,$C110&lt;=AN$8),$E110/_xlpm.DepreciationMonths,0))</f>
        <v>0</v>
      </c>
      <c r="AO110" s="507" cm="1">
        <f t="array" ref="AO110">_xlfn.LET(_xlpm.DepreciationMonths,INDEX(FixedAssets[Depreciation
/ Amortization Months],_xlfn.XMATCH($E$84,FixedAssets[Asset ID])),IF(AND((_xlfn.XMATCH(AO$8,$AH$8:$CC$8))-_xlfn.XMATCH($C110,$C$35:$C$82)+1&lt;=_xlpm.DepreciationMonths,$C110&lt;=AO$8),$E110/_xlpm.DepreciationMonths,0))</f>
        <v>0</v>
      </c>
      <c r="AP110" s="507" cm="1">
        <f t="array" ref="AP110">_xlfn.LET(_xlpm.DepreciationMonths,INDEX(FixedAssets[Depreciation
/ Amortization Months],_xlfn.XMATCH($E$84,FixedAssets[Asset ID])),IF(AND((_xlfn.XMATCH(AP$8,$AH$8:$CC$8))-_xlfn.XMATCH($C110,$C$35:$C$82)+1&lt;=_xlpm.DepreciationMonths,$C110&lt;=AP$8),$E110/_xlpm.DepreciationMonths,0))</f>
        <v>0</v>
      </c>
      <c r="AQ110" s="507" cm="1">
        <f t="array" ref="AQ110">_xlfn.LET(_xlpm.DepreciationMonths,INDEX(FixedAssets[Depreciation
/ Amortization Months],_xlfn.XMATCH($E$84,FixedAssets[Asset ID])),IF(AND((_xlfn.XMATCH(AQ$8,$AH$8:$CC$8))-_xlfn.XMATCH($C110,$C$35:$C$82)+1&lt;=_xlpm.DepreciationMonths,$C110&lt;=AQ$8),$E110/_xlpm.DepreciationMonths,0))</f>
        <v>0</v>
      </c>
      <c r="AR110" s="507" cm="1">
        <f t="array" ref="AR110">_xlfn.LET(_xlpm.DepreciationMonths,INDEX(FixedAssets[Depreciation
/ Amortization Months],_xlfn.XMATCH($E$84,FixedAssets[Asset ID])),IF(AND((_xlfn.XMATCH(AR$8,$AH$8:$CC$8))-_xlfn.XMATCH($C110,$C$35:$C$82)+1&lt;=_xlpm.DepreciationMonths,$C110&lt;=AR$8),$E110/_xlpm.DepreciationMonths,0))</f>
        <v>0</v>
      </c>
      <c r="AS110" s="507" cm="1">
        <f t="array" ref="AS110">_xlfn.LET(_xlpm.DepreciationMonths,INDEX(FixedAssets[Depreciation
/ Amortization Months],_xlfn.XMATCH($E$84,FixedAssets[Asset ID])),IF(AND((_xlfn.XMATCH(AS$8,$AH$8:$CC$8))-_xlfn.XMATCH($C110,$C$35:$C$82)+1&lt;=_xlpm.DepreciationMonths,$C110&lt;=AS$8),$E110/_xlpm.DepreciationMonths,0))</f>
        <v>0</v>
      </c>
      <c r="AT110" s="507" cm="1">
        <f t="array" ref="AT110">_xlfn.LET(_xlpm.DepreciationMonths,INDEX(FixedAssets[Depreciation
/ Amortization Months],_xlfn.XMATCH($E$84,FixedAssets[Asset ID])),IF(AND((_xlfn.XMATCH(AT$8,$AH$8:$CC$8))-_xlfn.XMATCH($C110,$C$35:$C$82)+1&lt;=_xlpm.DepreciationMonths,$C110&lt;=AT$8),$E110/_xlpm.DepreciationMonths,0))</f>
        <v>0</v>
      </c>
      <c r="AU110" s="507" cm="1">
        <f t="array" ref="AU110">_xlfn.LET(_xlpm.DepreciationMonths,INDEX(FixedAssets[Depreciation
/ Amortization Months],_xlfn.XMATCH($E$84,FixedAssets[Asset ID])),IF(AND((_xlfn.XMATCH(AU$8,$AH$8:$CC$8))-_xlfn.XMATCH($C110,$C$35:$C$82)+1&lt;=_xlpm.DepreciationMonths,$C110&lt;=AU$8),$E110/_xlpm.DepreciationMonths,0))</f>
        <v>0</v>
      </c>
      <c r="AV110" s="507" cm="1">
        <f t="array" ref="AV110">_xlfn.LET(_xlpm.DepreciationMonths,INDEX(FixedAssets[Depreciation
/ Amortization Months],_xlfn.XMATCH($E$84,FixedAssets[Asset ID])),IF(AND((_xlfn.XMATCH(AV$8,$AH$8:$CC$8))-_xlfn.XMATCH($C110,$C$35:$C$82)+1&lt;=_xlpm.DepreciationMonths,$C110&lt;=AV$8),$E110/_xlpm.DepreciationMonths,0))</f>
        <v>0</v>
      </c>
      <c r="AW110" s="507" cm="1">
        <f t="array" ref="AW110">_xlfn.LET(_xlpm.DepreciationMonths,INDEX(FixedAssets[Depreciation
/ Amortization Months],_xlfn.XMATCH($E$84,FixedAssets[Asset ID])),IF(AND((_xlfn.XMATCH(AW$8,$AH$8:$CC$8))-_xlfn.XMATCH($C110,$C$35:$C$82)+1&lt;=_xlpm.DepreciationMonths,$C110&lt;=AW$8),$E110/_xlpm.DepreciationMonths,0))</f>
        <v>0</v>
      </c>
      <c r="AX110" s="507" cm="1">
        <f t="array" ref="AX110">_xlfn.LET(_xlpm.DepreciationMonths,INDEX(FixedAssets[Depreciation
/ Amortization Months],_xlfn.XMATCH($E$84,FixedAssets[Asset ID])),IF(AND((_xlfn.XMATCH(AX$8,$AH$8:$CC$8))-_xlfn.XMATCH($C110,$C$35:$C$82)+1&lt;=_xlpm.DepreciationMonths,$C110&lt;=AX$8),$E110/_xlpm.DepreciationMonths,0))</f>
        <v>0</v>
      </c>
      <c r="AY110" s="507" cm="1">
        <f t="array" ref="AY110">_xlfn.LET(_xlpm.DepreciationMonths,INDEX(FixedAssets[Depreciation
/ Amortization Months],_xlfn.XMATCH($E$84,FixedAssets[Asset ID])),IF(AND((_xlfn.XMATCH(AY$8,$AH$8:$CC$8))-_xlfn.XMATCH($C110,$C$35:$C$82)+1&lt;=_xlpm.DepreciationMonths,$C110&lt;=AY$8),$E110/_xlpm.DepreciationMonths,0))</f>
        <v>0</v>
      </c>
      <c r="AZ110" s="507" cm="1">
        <f t="array" ref="AZ110">_xlfn.LET(_xlpm.DepreciationMonths,INDEX(FixedAssets[Depreciation
/ Amortization Months],_xlfn.XMATCH($E$84,FixedAssets[Asset ID])),IF(AND((_xlfn.XMATCH(AZ$8,$AH$8:$CC$8))-_xlfn.XMATCH($C110,$C$35:$C$82)+1&lt;=_xlpm.DepreciationMonths,$C110&lt;=AZ$8),$E110/_xlpm.DepreciationMonths,0))</f>
        <v>0</v>
      </c>
      <c r="BA110" s="507" cm="1">
        <f t="array" ref="BA110">_xlfn.LET(_xlpm.DepreciationMonths,INDEX(FixedAssets[Depreciation
/ Amortization Months],_xlfn.XMATCH($E$84,FixedAssets[Asset ID])),IF(AND((_xlfn.XMATCH(BA$8,$AH$8:$CC$8))-_xlfn.XMATCH($C110,$C$35:$C$82)+1&lt;=_xlpm.DepreciationMonths,$C110&lt;=BA$8),$E110/_xlpm.DepreciationMonths,0))</f>
        <v>0</v>
      </c>
      <c r="BB110" s="507" cm="1">
        <f t="array" ref="BB110">_xlfn.LET(_xlpm.DepreciationMonths,INDEX(FixedAssets[Depreciation
/ Amortization Months],_xlfn.XMATCH($E$84,FixedAssets[Asset ID])),IF(AND((_xlfn.XMATCH(BB$8,$AH$8:$CC$8))-_xlfn.XMATCH($C110,$C$35:$C$82)+1&lt;=_xlpm.DepreciationMonths,$C110&lt;=BB$8),$E110/_xlpm.DepreciationMonths,0))</f>
        <v>0</v>
      </c>
      <c r="BC110" s="507" cm="1">
        <f t="array" ref="BC110">_xlfn.LET(_xlpm.DepreciationMonths,INDEX(FixedAssets[Depreciation
/ Amortization Months],_xlfn.XMATCH($E$84,FixedAssets[Asset ID])),IF(AND((_xlfn.XMATCH(BC$8,$AH$8:$CC$8))-_xlfn.XMATCH($C110,$C$35:$C$82)+1&lt;=_xlpm.DepreciationMonths,$C110&lt;=BC$8),$E110/_xlpm.DepreciationMonths,0))</f>
        <v>0</v>
      </c>
      <c r="BD110" s="507" cm="1">
        <f t="array" ref="BD110">_xlfn.LET(_xlpm.DepreciationMonths,INDEX(FixedAssets[Depreciation
/ Amortization Months],_xlfn.XMATCH($E$84,FixedAssets[Asset ID])),IF(AND((_xlfn.XMATCH(BD$8,$AH$8:$CC$8))-_xlfn.XMATCH($C110,$C$35:$C$82)+1&lt;=_xlpm.DepreciationMonths,$C110&lt;=BD$8),$E110/_xlpm.DepreciationMonths,0))</f>
        <v>0</v>
      </c>
      <c r="BE110" s="507" cm="1">
        <f t="array" ref="BE110">_xlfn.LET(_xlpm.DepreciationMonths,INDEX(FixedAssets[Depreciation
/ Amortization Months],_xlfn.XMATCH($E$84,FixedAssets[Asset ID])),IF(AND((_xlfn.XMATCH(BE$8,$AH$8:$CC$8))-_xlfn.XMATCH($C110,$C$35:$C$82)+1&lt;=_xlpm.DepreciationMonths,$C110&lt;=BE$8),$E110/_xlpm.DepreciationMonths,0))</f>
        <v>0</v>
      </c>
      <c r="BF110" s="507" cm="1">
        <f t="array" ref="BF110">_xlfn.LET(_xlpm.DepreciationMonths,INDEX(FixedAssets[Depreciation
/ Amortization Months],_xlfn.XMATCH($E$84,FixedAssets[Asset ID])),IF(AND((_xlfn.XMATCH(BF$8,$AH$8:$CC$8))-_xlfn.XMATCH($C110,$C$35:$C$82)+1&lt;=_xlpm.DepreciationMonths,$C110&lt;=BF$8),$E110/_xlpm.DepreciationMonths,0))</f>
        <v>0</v>
      </c>
      <c r="BG110" s="507" cm="1">
        <f t="array" ref="BG110">_xlfn.LET(_xlpm.DepreciationMonths,INDEX(FixedAssets[Depreciation
/ Amortization Months],_xlfn.XMATCH($E$84,FixedAssets[Asset ID])),IF(AND((_xlfn.XMATCH(BG$8,$AH$8:$CC$8))-_xlfn.XMATCH($C110,$C$35:$C$82)+1&lt;=_xlpm.DepreciationMonths,$C110&lt;=BG$8),$E110/_xlpm.DepreciationMonths,0))</f>
        <v>0</v>
      </c>
      <c r="BH110" s="507" cm="1">
        <f t="array" ref="BH110">_xlfn.LET(_xlpm.DepreciationMonths,INDEX(FixedAssets[Depreciation
/ Amortization Months],_xlfn.XMATCH($E$84,FixedAssets[Asset ID])),IF(AND((_xlfn.XMATCH(BH$8,$AH$8:$CC$8))-_xlfn.XMATCH($C110,$C$35:$C$82)+1&lt;=_xlpm.DepreciationMonths,$C110&lt;=BH$8),$E110/_xlpm.DepreciationMonths,0))</f>
        <v>0</v>
      </c>
      <c r="BI110" s="507" cm="1">
        <f t="array" ref="BI110">_xlfn.LET(_xlpm.DepreciationMonths,INDEX(FixedAssets[Depreciation
/ Amortization Months],_xlfn.XMATCH($E$84,FixedAssets[Asset ID])),IF(AND((_xlfn.XMATCH(BI$8,$AH$8:$CC$8))-_xlfn.XMATCH($C110,$C$35:$C$82)+1&lt;=_xlpm.DepreciationMonths,$C110&lt;=BI$8),$E110/_xlpm.DepreciationMonths,0))</f>
        <v>0</v>
      </c>
      <c r="BJ110" s="507" cm="1">
        <f t="array" ref="BJ110">_xlfn.LET(_xlpm.DepreciationMonths,INDEX(FixedAssets[Depreciation
/ Amortization Months],_xlfn.XMATCH($E$84,FixedAssets[Asset ID])),IF(AND((_xlfn.XMATCH(BJ$8,$AH$8:$CC$8))-_xlfn.XMATCH($C110,$C$35:$C$82)+1&lt;=_xlpm.DepreciationMonths,$C110&lt;=BJ$8),$E110/_xlpm.DepreciationMonths,0))</f>
        <v>0</v>
      </c>
      <c r="BK110" s="507" cm="1">
        <f t="array" ref="BK110">_xlfn.LET(_xlpm.DepreciationMonths,INDEX(FixedAssets[Depreciation
/ Amortization Months],_xlfn.XMATCH($E$84,FixedAssets[Asset ID])),IF(AND((_xlfn.XMATCH(BK$8,$AH$8:$CC$8))-_xlfn.XMATCH($C110,$C$35:$C$82)+1&lt;=_xlpm.DepreciationMonths,$C110&lt;=BK$8),$E110/_xlpm.DepreciationMonths,0))</f>
        <v>0</v>
      </c>
      <c r="BL110" s="507" cm="1">
        <f t="array" ref="BL110">_xlfn.LET(_xlpm.DepreciationMonths,INDEX(FixedAssets[Depreciation
/ Amortization Months],_xlfn.XMATCH($E$84,FixedAssets[Asset ID])),IF(AND((_xlfn.XMATCH(BL$8,$AH$8:$CC$8))-_xlfn.XMATCH($C110,$C$35:$C$82)+1&lt;=_xlpm.DepreciationMonths,$C110&lt;=BL$8),$E110/_xlpm.DepreciationMonths,0))</f>
        <v>0</v>
      </c>
      <c r="BM110" s="507" cm="1">
        <f t="array" ref="BM110">_xlfn.LET(_xlpm.DepreciationMonths,INDEX(FixedAssets[Depreciation
/ Amortization Months],_xlfn.XMATCH($E$84,FixedAssets[Asset ID])),IF(AND((_xlfn.XMATCH(BM$8,$AH$8:$CC$8))-_xlfn.XMATCH($C110,$C$35:$C$82)+1&lt;=_xlpm.DepreciationMonths,$C110&lt;=BM$8),$E110/_xlpm.DepreciationMonths,0))</f>
        <v>0</v>
      </c>
      <c r="BN110" s="507" cm="1">
        <f t="array" ref="BN110">_xlfn.LET(_xlpm.DepreciationMonths,INDEX(FixedAssets[Depreciation
/ Amortization Months],_xlfn.XMATCH($E$84,FixedAssets[Asset ID])),IF(AND((_xlfn.XMATCH(BN$8,$AH$8:$CC$8))-_xlfn.XMATCH($C110,$C$35:$C$82)+1&lt;=_xlpm.DepreciationMonths,$C110&lt;=BN$8),$E110/_xlpm.DepreciationMonths,0))</f>
        <v>0</v>
      </c>
      <c r="BO110" s="507" cm="1">
        <f t="array" ref="BO110">_xlfn.LET(_xlpm.DepreciationMonths,INDEX(FixedAssets[Depreciation
/ Amortization Months],_xlfn.XMATCH($E$84,FixedAssets[Asset ID])),IF(AND((_xlfn.XMATCH(BO$8,$AH$8:$CC$8))-_xlfn.XMATCH($C110,$C$35:$C$82)+1&lt;=_xlpm.DepreciationMonths,$C110&lt;=BO$8),$E110/_xlpm.DepreciationMonths,0))</f>
        <v>0</v>
      </c>
      <c r="BP110" s="507" cm="1">
        <f t="array" ref="BP110">_xlfn.LET(_xlpm.DepreciationMonths,INDEX(FixedAssets[Depreciation
/ Amortization Months],_xlfn.XMATCH($E$84,FixedAssets[Asset ID])),IF(AND((_xlfn.XMATCH(BP$8,$AH$8:$CC$8))-_xlfn.XMATCH($C110,$C$35:$C$82)+1&lt;=_xlpm.DepreciationMonths,$C110&lt;=BP$8),$E110/_xlpm.DepreciationMonths,0))</f>
        <v>0</v>
      </c>
      <c r="BQ110" s="507" cm="1">
        <f t="array" ref="BQ110">_xlfn.LET(_xlpm.DepreciationMonths,INDEX(FixedAssets[Depreciation
/ Amortization Months],_xlfn.XMATCH($E$84,FixedAssets[Asset ID])),IF(AND((_xlfn.XMATCH(BQ$8,$AH$8:$CC$8))-_xlfn.XMATCH($C110,$C$35:$C$82)+1&lt;=_xlpm.DepreciationMonths,$C110&lt;=BQ$8),$E110/_xlpm.DepreciationMonths,0))</f>
        <v>0</v>
      </c>
      <c r="BR110" s="507" cm="1">
        <f t="array" ref="BR110">_xlfn.LET(_xlpm.DepreciationMonths,INDEX(FixedAssets[Depreciation
/ Amortization Months],_xlfn.XMATCH($E$84,FixedAssets[Asset ID])),IF(AND((_xlfn.XMATCH(BR$8,$AH$8:$CC$8))-_xlfn.XMATCH($C110,$C$35:$C$82)+1&lt;=_xlpm.DepreciationMonths,$C110&lt;=BR$8),$E110/_xlpm.DepreciationMonths,0))</f>
        <v>0</v>
      </c>
      <c r="BS110" s="507" cm="1">
        <f t="array" ref="BS110">_xlfn.LET(_xlpm.DepreciationMonths,INDEX(FixedAssets[Depreciation
/ Amortization Months],_xlfn.XMATCH($E$84,FixedAssets[Asset ID])),IF(AND((_xlfn.XMATCH(BS$8,$AH$8:$CC$8))-_xlfn.XMATCH($C110,$C$35:$C$82)+1&lt;=_xlpm.DepreciationMonths,$C110&lt;=BS$8),$E110/_xlpm.DepreciationMonths,0))</f>
        <v>0</v>
      </c>
      <c r="BT110" s="507" cm="1">
        <f t="array" ref="BT110">_xlfn.LET(_xlpm.DepreciationMonths,INDEX(FixedAssets[Depreciation
/ Amortization Months],_xlfn.XMATCH($E$84,FixedAssets[Asset ID])),IF(AND((_xlfn.XMATCH(BT$8,$AH$8:$CC$8))-_xlfn.XMATCH($C110,$C$35:$C$82)+1&lt;=_xlpm.DepreciationMonths,$C110&lt;=BT$8),$E110/_xlpm.DepreciationMonths,0))</f>
        <v>0</v>
      </c>
      <c r="BU110" s="507" cm="1">
        <f t="array" ref="BU110">_xlfn.LET(_xlpm.DepreciationMonths,INDEX(FixedAssets[Depreciation
/ Amortization Months],_xlfn.XMATCH($E$84,FixedAssets[Asset ID])),IF(AND((_xlfn.XMATCH(BU$8,$AH$8:$CC$8))-_xlfn.XMATCH($C110,$C$35:$C$82)+1&lt;=_xlpm.DepreciationMonths,$C110&lt;=BU$8),$E110/_xlpm.DepreciationMonths,0))</f>
        <v>0</v>
      </c>
      <c r="BV110" s="507" cm="1">
        <f t="array" ref="BV110">_xlfn.LET(_xlpm.DepreciationMonths,INDEX(FixedAssets[Depreciation
/ Amortization Months],_xlfn.XMATCH($E$84,FixedAssets[Asset ID])),IF(AND((_xlfn.XMATCH(BV$8,$AH$8:$CC$8))-_xlfn.XMATCH($C110,$C$35:$C$82)+1&lt;=_xlpm.DepreciationMonths,$C110&lt;=BV$8),$E110/_xlpm.DepreciationMonths,0))</f>
        <v>0</v>
      </c>
      <c r="BW110" s="507" cm="1">
        <f t="array" ref="BW110">_xlfn.LET(_xlpm.DepreciationMonths,INDEX(FixedAssets[Depreciation
/ Amortization Months],_xlfn.XMATCH($E$84,FixedAssets[Asset ID])),IF(AND((_xlfn.XMATCH(BW$8,$AH$8:$CC$8))-_xlfn.XMATCH($C110,$C$35:$C$82)+1&lt;=_xlpm.DepreciationMonths,$C110&lt;=BW$8),$E110/_xlpm.DepreciationMonths,0))</f>
        <v>0</v>
      </c>
      <c r="BX110" s="507" cm="1">
        <f t="array" ref="BX110">_xlfn.LET(_xlpm.DepreciationMonths,INDEX(FixedAssets[Depreciation
/ Amortization Months],_xlfn.XMATCH($E$84,FixedAssets[Asset ID])),IF(AND((_xlfn.XMATCH(BX$8,$AH$8:$CC$8))-_xlfn.XMATCH($C110,$C$35:$C$82)+1&lt;=_xlpm.DepreciationMonths,$C110&lt;=BX$8),$E110/_xlpm.DepreciationMonths,0))</f>
        <v>0</v>
      </c>
      <c r="BY110" s="507" cm="1">
        <f t="array" ref="BY110">_xlfn.LET(_xlpm.DepreciationMonths,INDEX(FixedAssets[Depreciation
/ Amortization Months],_xlfn.XMATCH($E$84,FixedAssets[Asset ID])),IF(AND((_xlfn.XMATCH(BY$8,$AH$8:$CC$8))-_xlfn.XMATCH($C110,$C$35:$C$82)+1&lt;=_xlpm.DepreciationMonths,$C110&lt;=BY$8),$E110/_xlpm.DepreciationMonths,0))</f>
        <v>0</v>
      </c>
      <c r="BZ110" s="507" cm="1">
        <f t="array" ref="BZ110">_xlfn.LET(_xlpm.DepreciationMonths,INDEX(FixedAssets[Depreciation
/ Amortization Months],_xlfn.XMATCH($E$84,FixedAssets[Asset ID])),IF(AND((_xlfn.XMATCH(BZ$8,$AH$8:$CC$8))-_xlfn.XMATCH($C110,$C$35:$C$82)+1&lt;=_xlpm.DepreciationMonths,$C110&lt;=BZ$8),$E110/_xlpm.DepreciationMonths,0))</f>
        <v>0</v>
      </c>
      <c r="CA110" s="507" cm="1">
        <f t="array" ref="CA110">_xlfn.LET(_xlpm.DepreciationMonths,INDEX(FixedAssets[Depreciation
/ Amortization Months],_xlfn.XMATCH($E$84,FixedAssets[Asset ID])),IF(AND((_xlfn.XMATCH(CA$8,$AH$8:$CC$8))-_xlfn.XMATCH($C110,$C$35:$C$82)+1&lt;=_xlpm.DepreciationMonths,$C110&lt;=CA$8),$E110/_xlpm.DepreciationMonths,0))</f>
        <v>0</v>
      </c>
      <c r="CB110" s="507" cm="1">
        <f t="array" ref="CB110">_xlfn.LET(_xlpm.DepreciationMonths,INDEX(FixedAssets[Depreciation
/ Amortization Months],_xlfn.XMATCH($E$84,FixedAssets[Asset ID])),IF(AND((_xlfn.XMATCH(CB$8,$AH$8:$CC$8))-_xlfn.XMATCH($C110,$C$35:$C$82)+1&lt;=_xlpm.DepreciationMonths,$C110&lt;=CB$8),$E110/_xlpm.DepreciationMonths,0))</f>
        <v>0</v>
      </c>
      <c r="CC110" s="507" cm="1">
        <f t="array" ref="CC110">_xlfn.LET(_xlpm.DepreciationMonths,INDEX(FixedAssets[Depreciation
/ Amortization Months],_xlfn.XMATCH($E$84,FixedAssets[Asset ID])),IF(AND((_xlfn.XMATCH(CC$8,$AH$8:$CC$8))-_xlfn.XMATCH($C110,$C$35:$C$82)+1&lt;=_xlpm.DepreciationMonths,$C110&lt;=CC$8),$E110/_xlpm.DepreciationMonths,0))</f>
        <v>0</v>
      </c>
    </row>
    <row r="111" spans="3:81" hidden="1" outlineLevel="2">
      <c r="C111" s="664">
        <f t="shared" si="167"/>
        <v>45716</v>
      </c>
      <c r="D111" s="508"/>
      <c r="E111" s="508" cm="1">
        <f t="array" ref="E111">SUMPRODUCT(($AH$26:$CC$31)*($AH$5:$CC$5=$C111)*($E$26:$E$31=E$84))-SUMPRODUCT(($AH$26:$CC$31)*($AH$5:$CC$5=EOMONTH($C111,-1))*($E$26:$E$31=E$84))</f>
        <v>0</v>
      </c>
      <c r="F111" s="508"/>
      <c r="G111" s="508"/>
      <c r="H111" s="508"/>
      <c r="I111" s="508"/>
      <c r="J111" s="504">
        <f t="shared" si="164"/>
        <v>0</v>
      </c>
      <c r="K111" s="504">
        <f t="shared" si="169"/>
        <v>0</v>
      </c>
      <c r="L111" s="504">
        <f t="shared" si="169"/>
        <v>0</v>
      </c>
      <c r="M111" s="504">
        <f t="shared" si="169"/>
        <v>0</v>
      </c>
      <c r="N111" s="504"/>
      <c r="O111" s="504"/>
      <c r="P111" s="504">
        <f t="shared" si="170"/>
        <v>0</v>
      </c>
      <c r="Q111" s="504">
        <f t="shared" si="170"/>
        <v>0</v>
      </c>
      <c r="R111" s="504">
        <f t="shared" si="170"/>
        <v>0</v>
      </c>
      <c r="S111" s="504">
        <f t="shared" si="170"/>
        <v>0</v>
      </c>
      <c r="T111" s="504">
        <f t="shared" si="170"/>
        <v>0</v>
      </c>
      <c r="U111" s="504">
        <f t="shared" si="170"/>
        <v>0</v>
      </c>
      <c r="V111" s="504">
        <f t="shared" si="170"/>
        <v>0</v>
      </c>
      <c r="W111" s="504">
        <f t="shared" si="170"/>
        <v>0</v>
      </c>
      <c r="X111" s="504">
        <f t="shared" si="170"/>
        <v>0</v>
      </c>
      <c r="Y111" s="504">
        <f t="shared" si="170"/>
        <v>0</v>
      </c>
      <c r="Z111" s="504">
        <f t="shared" si="170"/>
        <v>0</v>
      </c>
      <c r="AA111" s="504">
        <f t="shared" si="170"/>
        <v>0</v>
      </c>
      <c r="AB111" s="504">
        <f t="shared" si="170"/>
        <v>0</v>
      </c>
      <c r="AC111" s="504">
        <f t="shared" si="170"/>
        <v>0</v>
      </c>
      <c r="AD111" s="504">
        <f t="shared" si="170"/>
        <v>0</v>
      </c>
      <c r="AE111" s="504">
        <f t="shared" si="170"/>
        <v>0</v>
      </c>
      <c r="AF111" s="508"/>
      <c r="AG111" s="508"/>
      <c r="AH111" s="507" cm="1">
        <f t="array" ref="AH111">_xlfn.LET(_xlpm.DepreciationMonths,INDEX(FixedAssets[Depreciation
/ Amortization Months],_xlfn.XMATCH($E$84,FixedAssets[Asset ID])),IF(AND((_xlfn.XMATCH(AH$8,$AH$8:$CC$8))-_xlfn.XMATCH($C111,$C$35:$C$82)+1&lt;=_xlpm.DepreciationMonths,$C111&lt;=AH$8),$E111/_xlpm.DepreciationMonths,0))</f>
        <v>0</v>
      </c>
      <c r="AI111" s="507" cm="1">
        <f t="array" ref="AI111">_xlfn.LET(_xlpm.DepreciationMonths,INDEX(FixedAssets[Depreciation
/ Amortization Months],_xlfn.XMATCH($E$84,FixedAssets[Asset ID])),IF(AND((_xlfn.XMATCH(AI$8,$AH$8:$CC$8))-_xlfn.XMATCH($C111,$C$35:$C$82)+1&lt;=_xlpm.DepreciationMonths,$C111&lt;=AI$8),$E111/_xlpm.DepreciationMonths,0))</f>
        <v>0</v>
      </c>
      <c r="AJ111" s="507" cm="1">
        <f t="array" ref="AJ111">_xlfn.LET(_xlpm.DepreciationMonths,INDEX(FixedAssets[Depreciation
/ Amortization Months],_xlfn.XMATCH($E$84,FixedAssets[Asset ID])),IF(AND((_xlfn.XMATCH(AJ$8,$AH$8:$CC$8))-_xlfn.XMATCH($C111,$C$35:$C$82)+1&lt;=_xlpm.DepreciationMonths,$C111&lt;=AJ$8),$E111/_xlpm.DepreciationMonths,0))</f>
        <v>0</v>
      </c>
      <c r="AK111" s="507" cm="1">
        <f t="array" ref="AK111">_xlfn.LET(_xlpm.DepreciationMonths,INDEX(FixedAssets[Depreciation
/ Amortization Months],_xlfn.XMATCH($E$84,FixedAssets[Asset ID])),IF(AND((_xlfn.XMATCH(AK$8,$AH$8:$CC$8))-_xlfn.XMATCH($C111,$C$35:$C$82)+1&lt;=_xlpm.DepreciationMonths,$C111&lt;=AK$8),$E111/_xlpm.DepreciationMonths,0))</f>
        <v>0</v>
      </c>
      <c r="AL111" s="507" cm="1">
        <f t="array" ref="AL111">_xlfn.LET(_xlpm.DepreciationMonths,INDEX(FixedAssets[Depreciation
/ Amortization Months],_xlfn.XMATCH($E$84,FixedAssets[Asset ID])),IF(AND((_xlfn.XMATCH(AL$8,$AH$8:$CC$8))-_xlfn.XMATCH($C111,$C$35:$C$82)+1&lt;=_xlpm.DepreciationMonths,$C111&lt;=AL$8),$E111/_xlpm.DepreciationMonths,0))</f>
        <v>0</v>
      </c>
      <c r="AM111" s="507" cm="1">
        <f t="array" ref="AM111">_xlfn.LET(_xlpm.DepreciationMonths,INDEX(FixedAssets[Depreciation
/ Amortization Months],_xlfn.XMATCH($E$84,FixedAssets[Asset ID])),IF(AND((_xlfn.XMATCH(AM$8,$AH$8:$CC$8))-_xlfn.XMATCH($C111,$C$35:$C$82)+1&lt;=_xlpm.DepreciationMonths,$C111&lt;=AM$8),$E111/_xlpm.DepreciationMonths,0))</f>
        <v>0</v>
      </c>
      <c r="AN111" s="507" cm="1">
        <f t="array" ref="AN111">_xlfn.LET(_xlpm.DepreciationMonths,INDEX(FixedAssets[Depreciation
/ Amortization Months],_xlfn.XMATCH($E$84,FixedAssets[Asset ID])),IF(AND((_xlfn.XMATCH(AN$8,$AH$8:$CC$8))-_xlfn.XMATCH($C111,$C$35:$C$82)+1&lt;=_xlpm.DepreciationMonths,$C111&lt;=AN$8),$E111/_xlpm.DepreciationMonths,0))</f>
        <v>0</v>
      </c>
      <c r="AO111" s="507" cm="1">
        <f t="array" ref="AO111">_xlfn.LET(_xlpm.DepreciationMonths,INDEX(FixedAssets[Depreciation
/ Amortization Months],_xlfn.XMATCH($E$84,FixedAssets[Asset ID])),IF(AND((_xlfn.XMATCH(AO$8,$AH$8:$CC$8))-_xlfn.XMATCH($C111,$C$35:$C$82)+1&lt;=_xlpm.DepreciationMonths,$C111&lt;=AO$8),$E111/_xlpm.DepreciationMonths,0))</f>
        <v>0</v>
      </c>
      <c r="AP111" s="507" cm="1">
        <f t="array" ref="AP111">_xlfn.LET(_xlpm.DepreciationMonths,INDEX(FixedAssets[Depreciation
/ Amortization Months],_xlfn.XMATCH($E$84,FixedAssets[Asset ID])),IF(AND((_xlfn.XMATCH(AP$8,$AH$8:$CC$8))-_xlfn.XMATCH($C111,$C$35:$C$82)+1&lt;=_xlpm.DepreciationMonths,$C111&lt;=AP$8),$E111/_xlpm.DepreciationMonths,0))</f>
        <v>0</v>
      </c>
      <c r="AQ111" s="507" cm="1">
        <f t="array" ref="AQ111">_xlfn.LET(_xlpm.DepreciationMonths,INDEX(FixedAssets[Depreciation
/ Amortization Months],_xlfn.XMATCH($E$84,FixedAssets[Asset ID])),IF(AND((_xlfn.XMATCH(AQ$8,$AH$8:$CC$8))-_xlfn.XMATCH($C111,$C$35:$C$82)+1&lt;=_xlpm.DepreciationMonths,$C111&lt;=AQ$8),$E111/_xlpm.DepreciationMonths,0))</f>
        <v>0</v>
      </c>
      <c r="AR111" s="507" cm="1">
        <f t="array" ref="AR111">_xlfn.LET(_xlpm.DepreciationMonths,INDEX(FixedAssets[Depreciation
/ Amortization Months],_xlfn.XMATCH($E$84,FixedAssets[Asset ID])),IF(AND((_xlfn.XMATCH(AR$8,$AH$8:$CC$8))-_xlfn.XMATCH($C111,$C$35:$C$82)+1&lt;=_xlpm.DepreciationMonths,$C111&lt;=AR$8),$E111/_xlpm.DepreciationMonths,0))</f>
        <v>0</v>
      </c>
      <c r="AS111" s="507" cm="1">
        <f t="array" ref="AS111">_xlfn.LET(_xlpm.DepreciationMonths,INDEX(FixedAssets[Depreciation
/ Amortization Months],_xlfn.XMATCH($E$84,FixedAssets[Asset ID])),IF(AND((_xlfn.XMATCH(AS$8,$AH$8:$CC$8))-_xlfn.XMATCH($C111,$C$35:$C$82)+1&lt;=_xlpm.DepreciationMonths,$C111&lt;=AS$8),$E111/_xlpm.DepreciationMonths,0))</f>
        <v>0</v>
      </c>
      <c r="AT111" s="507" cm="1">
        <f t="array" ref="AT111">_xlfn.LET(_xlpm.DepreciationMonths,INDEX(FixedAssets[Depreciation
/ Amortization Months],_xlfn.XMATCH($E$84,FixedAssets[Asset ID])),IF(AND((_xlfn.XMATCH(AT$8,$AH$8:$CC$8))-_xlfn.XMATCH($C111,$C$35:$C$82)+1&lt;=_xlpm.DepreciationMonths,$C111&lt;=AT$8),$E111/_xlpm.DepreciationMonths,0))</f>
        <v>0</v>
      </c>
      <c r="AU111" s="507" cm="1">
        <f t="array" ref="AU111">_xlfn.LET(_xlpm.DepreciationMonths,INDEX(FixedAssets[Depreciation
/ Amortization Months],_xlfn.XMATCH($E$84,FixedAssets[Asset ID])),IF(AND((_xlfn.XMATCH(AU$8,$AH$8:$CC$8))-_xlfn.XMATCH($C111,$C$35:$C$82)+1&lt;=_xlpm.DepreciationMonths,$C111&lt;=AU$8),$E111/_xlpm.DepreciationMonths,0))</f>
        <v>0</v>
      </c>
      <c r="AV111" s="507" cm="1">
        <f t="array" ref="AV111">_xlfn.LET(_xlpm.DepreciationMonths,INDEX(FixedAssets[Depreciation
/ Amortization Months],_xlfn.XMATCH($E$84,FixedAssets[Asset ID])),IF(AND((_xlfn.XMATCH(AV$8,$AH$8:$CC$8))-_xlfn.XMATCH($C111,$C$35:$C$82)+1&lt;=_xlpm.DepreciationMonths,$C111&lt;=AV$8),$E111/_xlpm.DepreciationMonths,0))</f>
        <v>0</v>
      </c>
      <c r="AW111" s="507" cm="1">
        <f t="array" ref="AW111">_xlfn.LET(_xlpm.DepreciationMonths,INDEX(FixedAssets[Depreciation
/ Amortization Months],_xlfn.XMATCH($E$84,FixedAssets[Asset ID])),IF(AND((_xlfn.XMATCH(AW$8,$AH$8:$CC$8))-_xlfn.XMATCH($C111,$C$35:$C$82)+1&lt;=_xlpm.DepreciationMonths,$C111&lt;=AW$8),$E111/_xlpm.DepreciationMonths,0))</f>
        <v>0</v>
      </c>
      <c r="AX111" s="507" cm="1">
        <f t="array" ref="AX111">_xlfn.LET(_xlpm.DepreciationMonths,INDEX(FixedAssets[Depreciation
/ Amortization Months],_xlfn.XMATCH($E$84,FixedAssets[Asset ID])),IF(AND((_xlfn.XMATCH(AX$8,$AH$8:$CC$8))-_xlfn.XMATCH($C111,$C$35:$C$82)+1&lt;=_xlpm.DepreciationMonths,$C111&lt;=AX$8),$E111/_xlpm.DepreciationMonths,0))</f>
        <v>0</v>
      </c>
      <c r="AY111" s="507" cm="1">
        <f t="array" ref="AY111">_xlfn.LET(_xlpm.DepreciationMonths,INDEX(FixedAssets[Depreciation
/ Amortization Months],_xlfn.XMATCH($E$84,FixedAssets[Asset ID])),IF(AND((_xlfn.XMATCH(AY$8,$AH$8:$CC$8))-_xlfn.XMATCH($C111,$C$35:$C$82)+1&lt;=_xlpm.DepreciationMonths,$C111&lt;=AY$8),$E111/_xlpm.DepreciationMonths,0))</f>
        <v>0</v>
      </c>
      <c r="AZ111" s="507" cm="1">
        <f t="array" ref="AZ111">_xlfn.LET(_xlpm.DepreciationMonths,INDEX(FixedAssets[Depreciation
/ Amortization Months],_xlfn.XMATCH($E$84,FixedAssets[Asset ID])),IF(AND((_xlfn.XMATCH(AZ$8,$AH$8:$CC$8))-_xlfn.XMATCH($C111,$C$35:$C$82)+1&lt;=_xlpm.DepreciationMonths,$C111&lt;=AZ$8),$E111/_xlpm.DepreciationMonths,0))</f>
        <v>0</v>
      </c>
      <c r="BA111" s="507" cm="1">
        <f t="array" ref="BA111">_xlfn.LET(_xlpm.DepreciationMonths,INDEX(FixedAssets[Depreciation
/ Amortization Months],_xlfn.XMATCH($E$84,FixedAssets[Asset ID])),IF(AND((_xlfn.XMATCH(BA$8,$AH$8:$CC$8))-_xlfn.XMATCH($C111,$C$35:$C$82)+1&lt;=_xlpm.DepreciationMonths,$C111&lt;=BA$8),$E111/_xlpm.DepreciationMonths,0))</f>
        <v>0</v>
      </c>
      <c r="BB111" s="507" cm="1">
        <f t="array" ref="BB111">_xlfn.LET(_xlpm.DepreciationMonths,INDEX(FixedAssets[Depreciation
/ Amortization Months],_xlfn.XMATCH($E$84,FixedAssets[Asset ID])),IF(AND((_xlfn.XMATCH(BB$8,$AH$8:$CC$8))-_xlfn.XMATCH($C111,$C$35:$C$82)+1&lt;=_xlpm.DepreciationMonths,$C111&lt;=BB$8),$E111/_xlpm.DepreciationMonths,0))</f>
        <v>0</v>
      </c>
      <c r="BC111" s="507" cm="1">
        <f t="array" ref="BC111">_xlfn.LET(_xlpm.DepreciationMonths,INDEX(FixedAssets[Depreciation
/ Amortization Months],_xlfn.XMATCH($E$84,FixedAssets[Asset ID])),IF(AND((_xlfn.XMATCH(BC$8,$AH$8:$CC$8))-_xlfn.XMATCH($C111,$C$35:$C$82)+1&lt;=_xlpm.DepreciationMonths,$C111&lt;=BC$8),$E111/_xlpm.DepreciationMonths,0))</f>
        <v>0</v>
      </c>
      <c r="BD111" s="507" cm="1">
        <f t="array" ref="BD111">_xlfn.LET(_xlpm.DepreciationMonths,INDEX(FixedAssets[Depreciation
/ Amortization Months],_xlfn.XMATCH($E$84,FixedAssets[Asset ID])),IF(AND((_xlfn.XMATCH(BD$8,$AH$8:$CC$8))-_xlfn.XMATCH($C111,$C$35:$C$82)+1&lt;=_xlpm.DepreciationMonths,$C111&lt;=BD$8),$E111/_xlpm.DepreciationMonths,0))</f>
        <v>0</v>
      </c>
      <c r="BE111" s="507" cm="1">
        <f t="array" ref="BE111">_xlfn.LET(_xlpm.DepreciationMonths,INDEX(FixedAssets[Depreciation
/ Amortization Months],_xlfn.XMATCH($E$84,FixedAssets[Asset ID])),IF(AND((_xlfn.XMATCH(BE$8,$AH$8:$CC$8))-_xlfn.XMATCH($C111,$C$35:$C$82)+1&lt;=_xlpm.DepreciationMonths,$C111&lt;=BE$8),$E111/_xlpm.DepreciationMonths,0))</f>
        <v>0</v>
      </c>
      <c r="BF111" s="507" cm="1">
        <f t="array" ref="BF111">_xlfn.LET(_xlpm.DepreciationMonths,INDEX(FixedAssets[Depreciation
/ Amortization Months],_xlfn.XMATCH($E$84,FixedAssets[Asset ID])),IF(AND((_xlfn.XMATCH(BF$8,$AH$8:$CC$8))-_xlfn.XMATCH($C111,$C$35:$C$82)+1&lt;=_xlpm.DepreciationMonths,$C111&lt;=BF$8),$E111/_xlpm.DepreciationMonths,0))</f>
        <v>0</v>
      </c>
      <c r="BG111" s="507" cm="1">
        <f t="array" ref="BG111">_xlfn.LET(_xlpm.DepreciationMonths,INDEX(FixedAssets[Depreciation
/ Amortization Months],_xlfn.XMATCH($E$84,FixedAssets[Asset ID])),IF(AND((_xlfn.XMATCH(BG$8,$AH$8:$CC$8))-_xlfn.XMATCH($C111,$C$35:$C$82)+1&lt;=_xlpm.DepreciationMonths,$C111&lt;=BG$8),$E111/_xlpm.DepreciationMonths,0))</f>
        <v>0</v>
      </c>
      <c r="BH111" s="507" cm="1">
        <f t="array" ref="BH111">_xlfn.LET(_xlpm.DepreciationMonths,INDEX(FixedAssets[Depreciation
/ Amortization Months],_xlfn.XMATCH($E$84,FixedAssets[Asset ID])),IF(AND((_xlfn.XMATCH(BH$8,$AH$8:$CC$8))-_xlfn.XMATCH($C111,$C$35:$C$82)+1&lt;=_xlpm.DepreciationMonths,$C111&lt;=BH$8),$E111/_xlpm.DepreciationMonths,0))</f>
        <v>0</v>
      </c>
      <c r="BI111" s="507" cm="1">
        <f t="array" ref="BI111">_xlfn.LET(_xlpm.DepreciationMonths,INDEX(FixedAssets[Depreciation
/ Amortization Months],_xlfn.XMATCH($E$84,FixedAssets[Asset ID])),IF(AND((_xlfn.XMATCH(BI$8,$AH$8:$CC$8))-_xlfn.XMATCH($C111,$C$35:$C$82)+1&lt;=_xlpm.DepreciationMonths,$C111&lt;=BI$8),$E111/_xlpm.DepreciationMonths,0))</f>
        <v>0</v>
      </c>
      <c r="BJ111" s="507" cm="1">
        <f t="array" ref="BJ111">_xlfn.LET(_xlpm.DepreciationMonths,INDEX(FixedAssets[Depreciation
/ Amortization Months],_xlfn.XMATCH($E$84,FixedAssets[Asset ID])),IF(AND((_xlfn.XMATCH(BJ$8,$AH$8:$CC$8))-_xlfn.XMATCH($C111,$C$35:$C$82)+1&lt;=_xlpm.DepreciationMonths,$C111&lt;=BJ$8),$E111/_xlpm.DepreciationMonths,0))</f>
        <v>0</v>
      </c>
      <c r="BK111" s="507" cm="1">
        <f t="array" ref="BK111">_xlfn.LET(_xlpm.DepreciationMonths,INDEX(FixedAssets[Depreciation
/ Amortization Months],_xlfn.XMATCH($E$84,FixedAssets[Asset ID])),IF(AND((_xlfn.XMATCH(BK$8,$AH$8:$CC$8))-_xlfn.XMATCH($C111,$C$35:$C$82)+1&lt;=_xlpm.DepreciationMonths,$C111&lt;=BK$8),$E111/_xlpm.DepreciationMonths,0))</f>
        <v>0</v>
      </c>
      <c r="BL111" s="507" cm="1">
        <f t="array" ref="BL111">_xlfn.LET(_xlpm.DepreciationMonths,INDEX(FixedAssets[Depreciation
/ Amortization Months],_xlfn.XMATCH($E$84,FixedAssets[Asset ID])),IF(AND((_xlfn.XMATCH(BL$8,$AH$8:$CC$8))-_xlfn.XMATCH($C111,$C$35:$C$82)+1&lt;=_xlpm.DepreciationMonths,$C111&lt;=BL$8),$E111/_xlpm.DepreciationMonths,0))</f>
        <v>0</v>
      </c>
      <c r="BM111" s="507" cm="1">
        <f t="array" ref="BM111">_xlfn.LET(_xlpm.DepreciationMonths,INDEX(FixedAssets[Depreciation
/ Amortization Months],_xlfn.XMATCH($E$84,FixedAssets[Asset ID])),IF(AND((_xlfn.XMATCH(BM$8,$AH$8:$CC$8))-_xlfn.XMATCH($C111,$C$35:$C$82)+1&lt;=_xlpm.DepreciationMonths,$C111&lt;=BM$8),$E111/_xlpm.DepreciationMonths,0))</f>
        <v>0</v>
      </c>
      <c r="BN111" s="507" cm="1">
        <f t="array" ref="BN111">_xlfn.LET(_xlpm.DepreciationMonths,INDEX(FixedAssets[Depreciation
/ Amortization Months],_xlfn.XMATCH($E$84,FixedAssets[Asset ID])),IF(AND((_xlfn.XMATCH(BN$8,$AH$8:$CC$8))-_xlfn.XMATCH($C111,$C$35:$C$82)+1&lt;=_xlpm.DepreciationMonths,$C111&lt;=BN$8),$E111/_xlpm.DepreciationMonths,0))</f>
        <v>0</v>
      </c>
      <c r="BO111" s="507" cm="1">
        <f t="array" ref="BO111">_xlfn.LET(_xlpm.DepreciationMonths,INDEX(FixedAssets[Depreciation
/ Amortization Months],_xlfn.XMATCH($E$84,FixedAssets[Asset ID])),IF(AND((_xlfn.XMATCH(BO$8,$AH$8:$CC$8))-_xlfn.XMATCH($C111,$C$35:$C$82)+1&lt;=_xlpm.DepreciationMonths,$C111&lt;=BO$8),$E111/_xlpm.DepreciationMonths,0))</f>
        <v>0</v>
      </c>
      <c r="BP111" s="507" cm="1">
        <f t="array" ref="BP111">_xlfn.LET(_xlpm.DepreciationMonths,INDEX(FixedAssets[Depreciation
/ Amortization Months],_xlfn.XMATCH($E$84,FixedAssets[Asset ID])),IF(AND((_xlfn.XMATCH(BP$8,$AH$8:$CC$8))-_xlfn.XMATCH($C111,$C$35:$C$82)+1&lt;=_xlpm.DepreciationMonths,$C111&lt;=BP$8),$E111/_xlpm.DepreciationMonths,0))</f>
        <v>0</v>
      </c>
      <c r="BQ111" s="507" cm="1">
        <f t="array" ref="BQ111">_xlfn.LET(_xlpm.DepreciationMonths,INDEX(FixedAssets[Depreciation
/ Amortization Months],_xlfn.XMATCH($E$84,FixedAssets[Asset ID])),IF(AND((_xlfn.XMATCH(BQ$8,$AH$8:$CC$8))-_xlfn.XMATCH($C111,$C$35:$C$82)+1&lt;=_xlpm.DepreciationMonths,$C111&lt;=BQ$8),$E111/_xlpm.DepreciationMonths,0))</f>
        <v>0</v>
      </c>
      <c r="BR111" s="507" cm="1">
        <f t="array" ref="BR111">_xlfn.LET(_xlpm.DepreciationMonths,INDEX(FixedAssets[Depreciation
/ Amortization Months],_xlfn.XMATCH($E$84,FixedAssets[Asset ID])),IF(AND((_xlfn.XMATCH(BR$8,$AH$8:$CC$8))-_xlfn.XMATCH($C111,$C$35:$C$82)+1&lt;=_xlpm.DepreciationMonths,$C111&lt;=BR$8),$E111/_xlpm.DepreciationMonths,0))</f>
        <v>0</v>
      </c>
      <c r="BS111" s="507" cm="1">
        <f t="array" ref="BS111">_xlfn.LET(_xlpm.DepreciationMonths,INDEX(FixedAssets[Depreciation
/ Amortization Months],_xlfn.XMATCH($E$84,FixedAssets[Asset ID])),IF(AND((_xlfn.XMATCH(BS$8,$AH$8:$CC$8))-_xlfn.XMATCH($C111,$C$35:$C$82)+1&lt;=_xlpm.DepreciationMonths,$C111&lt;=BS$8),$E111/_xlpm.DepreciationMonths,0))</f>
        <v>0</v>
      </c>
      <c r="BT111" s="507" cm="1">
        <f t="array" ref="BT111">_xlfn.LET(_xlpm.DepreciationMonths,INDEX(FixedAssets[Depreciation
/ Amortization Months],_xlfn.XMATCH($E$84,FixedAssets[Asset ID])),IF(AND((_xlfn.XMATCH(BT$8,$AH$8:$CC$8))-_xlfn.XMATCH($C111,$C$35:$C$82)+1&lt;=_xlpm.DepreciationMonths,$C111&lt;=BT$8),$E111/_xlpm.DepreciationMonths,0))</f>
        <v>0</v>
      </c>
      <c r="BU111" s="507" cm="1">
        <f t="array" ref="BU111">_xlfn.LET(_xlpm.DepreciationMonths,INDEX(FixedAssets[Depreciation
/ Amortization Months],_xlfn.XMATCH($E$84,FixedAssets[Asset ID])),IF(AND((_xlfn.XMATCH(BU$8,$AH$8:$CC$8))-_xlfn.XMATCH($C111,$C$35:$C$82)+1&lt;=_xlpm.DepreciationMonths,$C111&lt;=BU$8),$E111/_xlpm.DepreciationMonths,0))</f>
        <v>0</v>
      </c>
      <c r="BV111" s="507" cm="1">
        <f t="array" ref="BV111">_xlfn.LET(_xlpm.DepreciationMonths,INDEX(FixedAssets[Depreciation
/ Amortization Months],_xlfn.XMATCH($E$84,FixedAssets[Asset ID])),IF(AND((_xlfn.XMATCH(BV$8,$AH$8:$CC$8))-_xlfn.XMATCH($C111,$C$35:$C$82)+1&lt;=_xlpm.DepreciationMonths,$C111&lt;=BV$8),$E111/_xlpm.DepreciationMonths,0))</f>
        <v>0</v>
      </c>
      <c r="BW111" s="507" cm="1">
        <f t="array" ref="BW111">_xlfn.LET(_xlpm.DepreciationMonths,INDEX(FixedAssets[Depreciation
/ Amortization Months],_xlfn.XMATCH($E$84,FixedAssets[Asset ID])),IF(AND((_xlfn.XMATCH(BW$8,$AH$8:$CC$8))-_xlfn.XMATCH($C111,$C$35:$C$82)+1&lt;=_xlpm.DepreciationMonths,$C111&lt;=BW$8),$E111/_xlpm.DepreciationMonths,0))</f>
        <v>0</v>
      </c>
      <c r="BX111" s="507" cm="1">
        <f t="array" ref="BX111">_xlfn.LET(_xlpm.DepreciationMonths,INDEX(FixedAssets[Depreciation
/ Amortization Months],_xlfn.XMATCH($E$84,FixedAssets[Asset ID])),IF(AND((_xlfn.XMATCH(BX$8,$AH$8:$CC$8))-_xlfn.XMATCH($C111,$C$35:$C$82)+1&lt;=_xlpm.DepreciationMonths,$C111&lt;=BX$8),$E111/_xlpm.DepreciationMonths,0))</f>
        <v>0</v>
      </c>
      <c r="BY111" s="507" cm="1">
        <f t="array" ref="BY111">_xlfn.LET(_xlpm.DepreciationMonths,INDEX(FixedAssets[Depreciation
/ Amortization Months],_xlfn.XMATCH($E$84,FixedAssets[Asset ID])),IF(AND((_xlfn.XMATCH(BY$8,$AH$8:$CC$8))-_xlfn.XMATCH($C111,$C$35:$C$82)+1&lt;=_xlpm.DepreciationMonths,$C111&lt;=BY$8),$E111/_xlpm.DepreciationMonths,0))</f>
        <v>0</v>
      </c>
      <c r="BZ111" s="507" cm="1">
        <f t="array" ref="BZ111">_xlfn.LET(_xlpm.DepreciationMonths,INDEX(FixedAssets[Depreciation
/ Amortization Months],_xlfn.XMATCH($E$84,FixedAssets[Asset ID])),IF(AND((_xlfn.XMATCH(BZ$8,$AH$8:$CC$8))-_xlfn.XMATCH($C111,$C$35:$C$82)+1&lt;=_xlpm.DepreciationMonths,$C111&lt;=BZ$8),$E111/_xlpm.DepreciationMonths,0))</f>
        <v>0</v>
      </c>
      <c r="CA111" s="507" cm="1">
        <f t="array" ref="CA111">_xlfn.LET(_xlpm.DepreciationMonths,INDEX(FixedAssets[Depreciation
/ Amortization Months],_xlfn.XMATCH($E$84,FixedAssets[Asset ID])),IF(AND((_xlfn.XMATCH(CA$8,$AH$8:$CC$8))-_xlfn.XMATCH($C111,$C$35:$C$82)+1&lt;=_xlpm.DepreciationMonths,$C111&lt;=CA$8),$E111/_xlpm.DepreciationMonths,0))</f>
        <v>0</v>
      </c>
      <c r="CB111" s="507" cm="1">
        <f t="array" ref="CB111">_xlfn.LET(_xlpm.DepreciationMonths,INDEX(FixedAssets[Depreciation
/ Amortization Months],_xlfn.XMATCH($E$84,FixedAssets[Asset ID])),IF(AND((_xlfn.XMATCH(CB$8,$AH$8:$CC$8))-_xlfn.XMATCH($C111,$C$35:$C$82)+1&lt;=_xlpm.DepreciationMonths,$C111&lt;=CB$8),$E111/_xlpm.DepreciationMonths,0))</f>
        <v>0</v>
      </c>
      <c r="CC111" s="507" cm="1">
        <f t="array" ref="CC111">_xlfn.LET(_xlpm.DepreciationMonths,INDEX(FixedAssets[Depreciation
/ Amortization Months],_xlfn.XMATCH($E$84,FixedAssets[Asset ID])),IF(AND((_xlfn.XMATCH(CC$8,$AH$8:$CC$8))-_xlfn.XMATCH($C111,$C$35:$C$82)+1&lt;=_xlpm.DepreciationMonths,$C111&lt;=CC$8),$E111/_xlpm.DepreciationMonths,0))</f>
        <v>0</v>
      </c>
    </row>
    <row r="112" spans="3:81" hidden="1" outlineLevel="2">
      <c r="C112" s="664">
        <f t="shared" si="167"/>
        <v>45747</v>
      </c>
      <c r="D112" s="508"/>
      <c r="E112" s="508" cm="1">
        <f t="array" ref="E112">SUMPRODUCT(($AH$26:$CC$31)*($AH$5:$CC$5=$C112)*($E$26:$E$31=E$84))-SUMPRODUCT(($AH$26:$CC$31)*($AH$5:$CC$5=EOMONTH($C112,-1))*($E$26:$E$31=E$84))</f>
        <v>0</v>
      </c>
      <c r="F112" s="508"/>
      <c r="G112" s="508"/>
      <c r="H112" s="508"/>
      <c r="I112" s="508"/>
      <c r="J112" s="504">
        <f t="shared" si="164"/>
        <v>0</v>
      </c>
      <c r="K112" s="504">
        <f t="shared" si="169"/>
        <v>0</v>
      </c>
      <c r="L112" s="504">
        <f t="shared" si="169"/>
        <v>0</v>
      </c>
      <c r="M112" s="504">
        <f t="shared" si="169"/>
        <v>0</v>
      </c>
      <c r="N112" s="504"/>
      <c r="O112" s="504"/>
      <c r="P112" s="504">
        <f t="shared" si="170"/>
        <v>0</v>
      </c>
      <c r="Q112" s="504">
        <f t="shared" si="170"/>
        <v>0</v>
      </c>
      <c r="R112" s="504">
        <f t="shared" si="170"/>
        <v>0</v>
      </c>
      <c r="S112" s="504">
        <f t="shared" si="170"/>
        <v>0</v>
      </c>
      <c r="T112" s="504">
        <f t="shared" si="170"/>
        <v>0</v>
      </c>
      <c r="U112" s="504">
        <f t="shared" si="170"/>
        <v>0</v>
      </c>
      <c r="V112" s="504">
        <f t="shared" si="170"/>
        <v>0</v>
      </c>
      <c r="W112" s="504">
        <f t="shared" si="170"/>
        <v>0</v>
      </c>
      <c r="X112" s="504">
        <f t="shared" si="170"/>
        <v>0</v>
      </c>
      <c r="Y112" s="504">
        <f t="shared" si="170"/>
        <v>0</v>
      </c>
      <c r="Z112" s="504">
        <f t="shared" si="170"/>
        <v>0</v>
      </c>
      <c r="AA112" s="504">
        <f t="shared" si="170"/>
        <v>0</v>
      </c>
      <c r="AB112" s="504">
        <f t="shared" si="170"/>
        <v>0</v>
      </c>
      <c r="AC112" s="504">
        <f t="shared" si="170"/>
        <v>0</v>
      </c>
      <c r="AD112" s="504">
        <f t="shared" si="170"/>
        <v>0</v>
      </c>
      <c r="AE112" s="504">
        <f t="shared" si="170"/>
        <v>0</v>
      </c>
      <c r="AF112" s="508"/>
      <c r="AG112" s="508"/>
      <c r="AH112" s="507" cm="1">
        <f t="array" ref="AH112">_xlfn.LET(_xlpm.DepreciationMonths,INDEX(FixedAssets[Depreciation
/ Amortization Months],_xlfn.XMATCH($E$84,FixedAssets[Asset ID])),IF(AND((_xlfn.XMATCH(AH$8,$AH$8:$CC$8))-_xlfn.XMATCH($C112,$C$35:$C$82)+1&lt;=_xlpm.DepreciationMonths,$C112&lt;=AH$8),$E112/_xlpm.DepreciationMonths,0))</f>
        <v>0</v>
      </c>
      <c r="AI112" s="507" cm="1">
        <f t="array" ref="AI112">_xlfn.LET(_xlpm.DepreciationMonths,INDEX(FixedAssets[Depreciation
/ Amortization Months],_xlfn.XMATCH($E$84,FixedAssets[Asset ID])),IF(AND((_xlfn.XMATCH(AI$8,$AH$8:$CC$8))-_xlfn.XMATCH($C112,$C$35:$C$82)+1&lt;=_xlpm.DepreciationMonths,$C112&lt;=AI$8),$E112/_xlpm.DepreciationMonths,0))</f>
        <v>0</v>
      </c>
      <c r="AJ112" s="507" cm="1">
        <f t="array" ref="AJ112">_xlfn.LET(_xlpm.DepreciationMonths,INDEX(FixedAssets[Depreciation
/ Amortization Months],_xlfn.XMATCH($E$84,FixedAssets[Asset ID])),IF(AND((_xlfn.XMATCH(AJ$8,$AH$8:$CC$8))-_xlfn.XMATCH($C112,$C$35:$C$82)+1&lt;=_xlpm.DepreciationMonths,$C112&lt;=AJ$8),$E112/_xlpm.DepreciationMonths,0))</f>
        <v>0</v>
      </c>
      <c r="AK112" s="507" cm="1">
        <f t="array" ref="AK112">_xlfn.LET(_xlpm.DepreciationMonths,INDEX(FixedAssets[Depreciation
/ Amortization Months],_xlfn.XMATCH($E$84,FixedAssets[Asset ID])),IF(AND((_xlfn.XMATCH(AK$8,$AH$8:$CC$8))-_xlfn.XMATCH($C112,$C$35:$C$82)+1&lt;=_xlpm.DepreciationMonths,$C112&lt;=AK$8),$E112/_xlpm.DepreciationMonths,0))</f>
        <v>0</v>
      </c>
      <c r="AL112" s="507" cm="1">
        <f t="array" ref="AL112">_xlfn.LET(_xlpm.DepreciationMonths,INDEX(FixedAssets[Depreciation
/ Amortization Months],_xlfn.XMATCH($E$84,FixedAssets[Asset ID])),IF(AND((_xlfn.XMATCH(AL$8,$AH$8:$CC$8))-_xlfn.XMATCH($C112,$C$35:$C$82)+1&lt;=_xlpm.DepreciationMonths,$C112&lt;=AL$8),$E112/_xlpm.DepreciationMonths,0))</f>
        <v>0</v>
      </c>
      <c r="AM112" s="507" cm="1">
        <f t="array" ref="AM112">_xlfn.LET(_xlpm.DepreciationMonths,INDEX(FixedAssets[Depreciation
/ Amortization Months],_xlfn.XMATCH($E$84,FixedAssets[Asset ID])),IF(AND((_xlfn.XMATCH(AM$8,$AH$8:$CC$8))-_xlfn.XMATCH($C112,$C$35:$C$82)+1&lt;=_xlpm.DepreciationMonths,$C112&lt;=AM$8),$E112/_xlpm.DepreciationMonths,0))</f>
        <v>0</v>
      </c>
      <c r="AN112" s="507" cm="1">
        <f t="array" ref="AN112">_xlfn.LET(_xlpm.DepreciationMonths,INDEX(FixedAssets[Depreciation
/ Amortization Months],_xlfn.XMATCH($E$84,FixedAssets[Asset ID])),IF(AND((_xlfn.XMATCH(AN$8,$AH$8:$CC$8))-_xlfn.XMATCH($C112,$C$35:$C$82)+1&lt;=_xlpm.DepreciationMonths,$C112&lt;=AN$8),$E112/_xlpm.DepreciationMonths,0))</f>
        <v>0</v>
      </c>
      <c r="AO112" s="507" cm="1">
        <f t="array" ref="AO112">_xlfn.LET(_xlpm.DepreciationMonths,INDEX(FixedAssets[Depreciation
/ Amortization Months],_xlfn.XMATCH($E$84,FixedAssets[Asset ID])),IF(AND((_xlfn.XMATCH(AO$8,$AH$8:$CC$8))-_xlfn.XMATCH($C112,$C$35:$C$82)+1&lt;=_xlpm.DepreciationMonths,$C112&lt;=AO$8),$E112/_xlpm.DepreciationMonths,0))</f>
        <v>0</v>
      </c>
      <c r="AP112" s="507" cm="1">
        <f t="array" ref="AP112">_xlfn.LET(_xlpm.DepreciationMonths,INDEX(FixedAssets[Depreciation
/ Amortization Months],_xlfn.XMATCH($E$84,FixedAssets[Asset ID])),IF(AND((_xlfn.XMATCH(AP$8,$AH$8:$CC$8))-_xlfn.XMATCH($C112,$C$35:$C$82)+1&lt;=_xlpm.DepreciationMonths,$C112&lt;=AP$8),$E112/_xlpm.DepreciationMonths,0))</f>
        <v>0</v>
      </c>
      <c r="AQ112" s="507" cm="1">
        <f t="array" ref="AQ112">_xlfn.LET(_xlpm.DepreciationMonths,INDEX(FixedAssets[Depreciation
/ Amortization Months],_xlfn.XMATCH($E$84,FixedAssets[Asset ID])),IF(AND((_xlfn.XMATCH(AQ$8,$AH$8:$CC$8))-_xlfn.XMATCH($C112,$C$35:$C$82)+1&lt;=_xlpm.DepreciationMonths,$C112&lt;=AQ$8),$E112/_xlpm.DepreciationMonths,0))</f>
        <v>0</v>
      </c>
      <c r="AR112" s="507" cm="1">
        <f t="array" ref="AR112">_xlfn.LET(_xlpm.DepreciationMonths,INDEX(FixedAssets[Depreciation
/ Amortization Months],_xlfn.XMATCH($E$84,FixedAssets[Asset ID])),IF(AND((_xlfn.XMATCH(AR$8,$AH$8:$CC$8))-_xlfn.XMATCH($C112,$C$35:$C$82)+1&lt;=_xlpm.DepreciationMonths,$C112&lt;=AR$8),$E112/_xlpm.DepreciationMonths,0))</f>
        <v>0</v>
      </c>
      <c r="AS112" s="507" cm="1">
        <f t="array" ref="AS112">_xlfn.LET(_xlpm.DepreciationMonths,INDEX(FixedAssets[Depreciation
/ Amortization Months],_xlfn.XMATCH($E$84,FixedAssets[Asset ID])),IF(AND((_xlfn.XMATCH(AS$8,$AH$8:$CC$8))-_xlfn.XMATCH($C112,$C$35:$C$82)+1&lt;=_xlpm.DepreciationMonths,$C112&lt;=AS$8),$E112/_xlpm.DepreciationMonths,0))</f>
        <v>0</v>
      </c>
      <c r="AT112" s="507" cm="1">
        <f t="array" ref="AT112">_xlfn.LET(_xlpm.DepreciationMonths,INDEX(FixedAssets[Depreciation
/ Amortization Months],_xlfn.XMATCH($E$84,FixedAssets[Asset ID])),IF(AND((_xlfn.XMATCH(AT$8,$AH$8:$CC$8))-_xlfn.XMATCH($C112,$C$35:$C$82)+1&lt;=_xlpm.DepreciationMonths,$C112&lt;=AT$8),$E112/_xlpm.DepreciationMonths,0))</f>
        <v>0</v>
      </c>
      <c r="AU112" s="507" cm="1">
        <f t="array" ref="AU112">_xlfn.LET(_xlpm.DepreciationMonths,INDEX(FixedAssets[Depreciation
/ Amortization Months],_xlfn.XMATCH($E$84,FixedAssets[Asset ID])),IF(AND((_xlfn.XMATCH(AU$8,$AH$8:$CC$8))-_xlfn.XMATCH($C112,$C$35:$C$82)+1&lt;=_xlpm.DepreciationMonths,$C112&lt;=AU$8),$E112/_xlpm.DepreciationMonths,0))</f>
        <v>0</v>
      </c>
      <c r="AV112" s="507" cm="1">
        <f t="array" ref="AV112">_xlfn.LET(_xlpm.DepreciationMonths,INDEX(FixedAssets[Depreciation
/ Amortization Months],_xlfn.XMATCH($E$84,FixedAssets[Asset ID])),IF(AND((_xlfn.XMATCH(AV$8,$AH$8:$CC$8))-_xlfn.XMATCH($C112,$C$35:$C$82)+1&lt;=_xlpm.DepreciationMonths,$C112&lt;=AV$8),$E112/_xlpm.DepreciationMonths,0))</f>
        <v>0</v>
      </c>
      <c r="AW112" s="507" cm="1">
        <f t="array" ref="AW112">_xlfn.LET(_xlpm.DepreciationMonths,INDEX(FixedAssets[Depreciation
/ Amortization Months],_xlfn.XMATCH($E$84,FixedAssets[Asset ID])),IF(AND((_xlfn.XMATCH(AW$8,$AH$8:$CC$8))-_xlfn.XMATCH($C112,$C$35:$C$82)+1&lt;=_xlpm.DepreciationMonths,$C112&lt;=AW$8),$E112/_xlpm.DepreciationMonths,0))</f>
        <v>0</v>
      </c>
      <c r="AX112" s="507" cm="1">
        <f t="array" ref="AX112">_xlfn.LET(_xlpm.DepreciationMonths,INDEX(FixedAssets[Depreciation
/ Amortization Months],_xlfn.XMATCH($E$84,FixedAssets[Asset ID])),IF(AND((_xlfn.XMATCH(AX$8,$AH$8:$CC$8))-_xlfn.XMATCH($C112,$C$35:$C$82)+1&lt;=_xlpm.DepreciationMonths,$C112&lt;=AX$8),$E112/_xlpm.DepreciationMonths,0))</f>
        <v>0</v>
      </c>
      <c r="AY112" s="507" cm="1">
        <f t="array" ref="AY112">_xlfn.LET(_xlpm.DepreciationMonths,INDEX(FixedAssets[Depreciation
/ Amortization Months],_xlfn.XMATCH($E$84,FixedAssets[Asset ID])),IF(AND((_xlfn.XMATCH(AY$8,$AH$8:$CC$8))-_xlfn.XMATCH($C112,$C$35:$C$82)+1&lt;=_xlpm.DepreciationMonths,$C112&lt;=AY$8),$E112/_xlpm.DepreciationMonths,0))</f>
        <v>0</v>
      </c>
      <c r="AZ112" s="507" cm="1">
        <f t="array" ref="AZ112">_xlfn.LET(_xlpm.DepreciationMonths,INDEX(FixedAssets[Depreciation
/ Amortization Months],_xlfn.XMATCH($E$84,FixedAssets[Asset ID])),IF(AND((_xlfn.XMATCH(AZ$8,$AH$8:$CC$8))-_xlfn.XMATCH($C112,$C$35:$C$82)+1&lt;=_xlpm.DepreciationMonths,$C112&lt;=AZ$8),$E112/_xlpm.DepreciationMonths,0))</f>
        <v>0</v>
      </c>
      <c r="BA112" s="507" cm="1">
        <f t="array" ref="BA112">_xlfn.LET(_xlpm.DepreciationMonths,INDEX(FixedAssets[Depreciation
/ Amortization Months],_xlfn.XMATCH($E$84,FixedAssets[Asset ID])),IF(AND((_xlfn.XMATCH(BA$8,$AH$8:$CC$8))-_xlfn.XMATCH($C112,$C$35:$C$82)+1&lt;=_xlpm.DepreciationMonths,$C112&lt;=BA$8),$E112/_xlpm.DepreciationMonths,0))</f>
        <v>0</v>
      </c>
      <c r="BB112" s="507" cm="1">
        <f t="array" ref="BB112">_xlfn.LET(_xlpm.DepreciationMonths,INDEX(FixedAssets[Depreciation
/ Amortization Months],_xlfn.XMATCH($E$84,FixedAssets[Asset ID])),IF(AND((_xlfn.XMATCH(BB$8,$AH$8:$CC$8))-_xlfn.XMATCH($C112,$C$35:$C$82)+1&lt;=_xlpm.DepreciationMonths,$C112&lt;=BB$8),$E112/_xlpm.DepreciationMonths,0))</f>
        <v>0</v>
      </c>
      <c r="BC112" s="507" cm="1">
        <f t="array" ref="BC112">_xlfn.LET(_xlpm.DepreciationMonths,INDEX(FixedAssets[Depreciation
/ Amortization Months],_xlfn.XMATCH($E$84,FixedAssets[Asset ID])),IF(AND((_xlfn.XMATCH(BC$8,$AH$8:$CC$8))-_xlfn.XMATCH($C112,$C$35:$C$82)+1&lt;=_xlpm.DepreciationMonths,$C112&lt;=BC$8),$E112/_xlpm.DepreciationMonths,0))</f>
        <v>0</v>
      </c>
      <c r="BD112" s="507" cm="1">
        <f t="array" ref="BD112">_xlfn.LET(_xlpm.DepreciationMonths,INDEX(FixedAssets[Depreciation
/ Amortization Months],_xlfn.XMATCH($E$84,FixedAssets[Asset ID])),IF(AND((_xlfn.XMATCH(BD$8,$AH$8:$CC$8))-_xlfn.XMATCH($C112,$C$35:$C$82)+1&lt;=_xlpm.DepreciationMonths,$C112&lt;=BD$8),$E112/_xlpm.DepreciationMonths,0))</f>
        <v>0</v>
      </c>
      <c r="BE112" s="507" cm="1">
        <f t="array" ref="BE112">_xlfn.LET(_xlpm.DepreciationMonths,INDEX(FixedAssets[Depreciation
/ Amortization Months],_xlfn.XMATCH($E$84,FixedAssets[Asset ID])),IF(AND((_xlfn.XMATCH(BE$8,$AH$8:$CC$8))-_xlfn.XMATCH($C112,$C$35:$C$82)+1&lt;=_xlpm.DepreciationMonths,$C112&lt;=BE$8),$E112/_xlpm.DepreciationMonths,0))</f>
        <v>0</v>
      </c>
      <c r="BF112" s="507" cm="1">
        <f t="array" ref="BF112">_xlfn.LET(_xlpm.DepreciationMonths,INDEX(FixedAssets[Depreciation
/ Amortization Months],_xlfn.XMATCH($E$84,FixedAssets[Asset ID])),IF(AND((_xlfn.XMATCH(BF$8,$AH$8:$CC$8))-_xlfn.XMATCH($C112,$C$35:$C$82)+1&lt;=_xlpm.DepreciationMonths,$C112&lt;=BF$8),$E112/_xlpm.DepreciationMonths,0))</f>
        <v>0</v>
      </c>
      <c r="BG112" s="507" cm="1">
        <f t="array" ref="BG112">_xlfn.LET(_xlpm.DepreciationMonths,INDEX(FixedAssets[Depreciation
/ Amortization Months],_xlfn.XMATCH($E$84,FixedAssets[Asset ID])),IF(AND((_xlfn.XMATCH(BG$8,$AH$8:$CC$8))-_xlfn.XMATCH($C112,$C$35:$C$82)+1&lt;=_xlpm.DepreciationMonths,$C112&lt;=BG$8),$E112/_xlpm.DepreciationMonths,0))</f>
        <v>0</v>
      </c>
      <c r="BH112" s="507" cm="1">
        <f t="array" ref="BH112">_xlfn.LET(_xlpm.DepreciationMonths,INDEX(FixedAssets[Depreciation
/ Amortization Months],_xlfn.XMATCH($E$84,FixedAssets[Asset ID])),IF(AND((_xlfn.XMATCH(BH$8,$AH$8:$CC$8))-_xlfn.XMATCH($C112,$C$35:$C$82)+1&lt;=_xlpm.DepreciationMonths,$C112&lt;=BH$8),$E112/_xlpm.DepreciationMonths,0))</f>
        <v>0</v>
      </c>
      <c r="BI112" s="507" cm="1">
        <f t="array" ref="BI112">_xlfn.LET(_xlpm.DepreciationMonths,INDEX(FixedAssets[Depreciation
/ Amortization Months],_xlfn.XMATCH($E$84,FixedAssets[Asset ID])),IF(AND((_xlfn.XMATCH(BI$8,$AH$8:$CC$8))-_xlfn.XMATCH($C112,$C$35:$C$82)+1&lt;=_xlpm.DepreciationMonths,$C112&lt;=BI$8),$E112/_xlpm.DepreciationMonths,0))</f>
        <v>0</v>
      </c>
      <c r="BJ112" s="507" cm="1">
        <f t="array" ref="BJ112">_xlfn.LET(_xlpm.DepreciationMonths,INDEX(FixedAssets[Depreciation
/ Amortization Months],_xlfn.XMATCH($E$84,FixedAssets[Asset ID])),IF(AND((_xlfn.XMATCH(BJ$8,$AH$8:$CC$8))-_xlfn.XMATCH($C112,$C$35:$C$82)+1&lt;=_xlpm.DepreciationMonths,$C112&lt;=BJ$8),$E112/_xlpm.DepreciationMonths,0))</f>
        <v>0</v>
      </c>
      <c r="BK112" s="507" cm="1">
        <f t="array" ref="BK112">_xlfn.LET(_xlpm.DepreciationMonths,INDEX(FixedAssets[Depreciation
/ Amortization Months],_xlfn.XMATCH($E$84,FixedAssets[Asset ID])),IF(AND((_xlfn.XMATCH(BK$8,$AH$8:$CC$8))-_xlfn.XMATCH($C112,$C$35:$C$82)+1&lt;=_xlpm.DepreciationMonths,$C112&lt;=BK$8),$E112/_xlpm.DepreciationMonths,0))</f>
        <v>0</v>
      </c>
      <c r="BL112" s="507" cm="1">
        <f t="array" ref="BL112">_xlfn.LET(_xlpm.DepreciationMonths,INDEX(FixedAssets[Depreciation
/ Amortization Months],_xlfn.XMATCH($E$84,FixedAssets[Asset ID])),IF(AND((_xlfn.XMATCH(BL$8,$AH$8:$CC$8))-_xlfn.XMATCH($C112,$C$35:$C$82)+1&lt;=_xlpm.DepreciationMonths,$C112&lt;=BL$8),$E112/_xlpm.DepreciationMonths,0))</f>
        <v>0</v>
      </c>
      <c r="BM112" s="507" cm="1">
        <f t="array" ref="BM112">_xlfn.LET(_xlpm.DepreciationMonths,INDEX(FixedAssets[Depreciation
/ Amortization Months],_xlfn.XMATCH($E$84,FixedAssets[Asset ID])),IF(AND((_xlfn.XMATCH(BM$8,$AH$8:$CC$8))-_xlfn.XMATCH($C112,$C$35:$C$82)+1&lt;=_xlpm.DepreciationMonths,$C112&lt;=BM$8),$E112/_xlpm.DepreciationMonths,0))</f>
        <v>0</v>
      </c>
      <c r="BN112" s="507" cm="1">
        <f t="array" ref="BN112">_xlfn.LET(_xlpm.DepreciationMonths,INDEX(FixedAssets[Depreciation
/ Amortization Months],_xlfn.XMATCH($E$84,FixedAssets[Asset ID])),IF(AND((_xlfn.XMATCH(BN$8,$AH$8:$CC$8))-_xlfn.XMATCH($C112,$C$35:$C$82)+1&lt;=_xlpm.DepreciationMonths,$C112&lt;=BN$8),$E112/_xlpm.DepreciationMonths,0))</f>
        <v>0</v>
      </c>
      <c r="BO112" s="507" cm="1">
        <f t="array" ref="BO112">_xlfn.LET(_xlpm.DepreciationMonths,INDEX(FixedAssets[Depreciation
/ Amortization Months],_xlfn.XMATCH($E$84,FixedAssets[Asset ID])),IF(AND((_xlfn.XMATCH(BO$8,$AH$8:$CC$8))-_xlfn.XMATCH($C112,$C$35:$C$82)+1&lt;=_xlpm.DepreciationMonths,$C112&lt;=BO$8),$E112/_xlpm.DepreciationMonths,0))</f>
        <v>0</v>
      </c>
      <c r="BP112" s="507" cm="1">
        <f t="array" ref="BP112">_xlfn.LET(_xlpm.DepreciationMonths,INDEX(FixedAssets[Depreciation
/ Amortization Months],_xlfn.XMATCH($E$84,FixedAssets[Asset ID])),IF(AND((_xlfn.XMATCH(BP$8,$AH$8:$CC$8))-_xlfn.XMATCH($C112,$C$35:$C$82)+1&lt;=_xlpm.DepreciationMonths,$C112&lt;=BP$8),$E112/_xlpm.DepreciationMonths,0))</f>
        <v>0</v>
      </c>
      <c r="BQ112" s="507" cm="1">
        <f t="array" ref="BQ112">_xlfn.LET(_xlpm.DepreciationMonths,INDEX(FixedAssets[Depreciation
/ Amortization Months],_xlfn.XMATCH($E$84,FixedAssets[Asset ID])),IF(AND((_xlfn.XMATCH(BQ$8,$AH$8:$CC$8))-_xlfn.XMATCH($C112,$C$35:$C$82)+1&lt;=_xlpm.DepreciationMonths,$C112&lt;=BQ$8),$E112/_xlpm.DepreciationMonths,0))</f>
        <v>0</v>
      </c>
      <c r="BR112" s="507" cm="1">
        <f t="array" ref="BR112">_xlfn.LET(_xlpm.DepreciationMonths,INDEX(FixedAssets[Depreciation
/ Amortization Months],_xlfn.XMATCH($E$84,FixedAssets[Asset ID])),IF(AND((_xlfn.XMATCH(BR$8,$AH$8:$CC$8))-_xlfn.XMATCH($C112,$C$35:$C$82)+1&lt;=_xlpm.DepreciationMonths,$C112&lt;=BR$8),$E112/_xlpm.DepreciationMonths,0))</f>
        <v>0</v>
      </c>
      <c r="BS112" s="507" cm="1">
        <f t="array" ref="BS112">_xlfn.LET(_xlpm.DepreciationMonths,INDEX(FixedAssets[Depreciation
/ Amortization Months],_xlfn.XMATCH($E$84,FixedAssets[Asset ID])),IF(AND((_xlfn.XMATCH(BS$8,$AH$8:$CC$8))-_xlfn.XMATCH($C112,$C$35:$C$82)+1&lt;=_xlpm.DepreciationMonths,$C112&lt;=BS$8),$E112/_xlpm.DepreciationMonths,0))</f>
        <v>0</v>
      </c>
      <c r="BT112" s="507" cm="1">
        <f t="array" ref="BT112">_xlfn.LET(_xlpm.DepreciationMonths,INDEX(FixedAssets[Depreciation
/ Amortization Months],_xlfn.XMATCH($E$84,FixedAssets[Asset ID])),IF(AND((_xlfn.XMATCH(BT$8,$AH$8:$CC$8))-_xlfn.XMATCH($C112,$C$35:$C$82)+1&lt;=_xlpm.DepreciationMonths,$C112&lt;=BT$8),$E112/_xlpm.DepreciationMonths,0))</f>
        <v>0</v>
      </c>
      <c r="BU112" s="507" cm="1">
        <f t="array" ref="BU112">_xlfn.LET(_xlpm.DepreciationMonths,INDEX(FixedAssets[Depreciation
/ Amortization Months],_xlfn.XMATCH($E$84,FixedAssets[Asset ID])),IF(AND((_xlfn.XMATCH(BU$8,$AH$8:$CC$8))-_xlfn.XMATCH($C112,$C$35:$C$82)+1&lt;=_xlpm.DepreciationMonths,$C112&lt;=BU$8),$E112/_xlpm.DepreciationMonths,0))</f>
        <v>0</v>
      </c>
      <c r="BV112" s="507" cm="1">
        <f t="array" ref="BV112">_xlfn.LET(_xlpm.DepreciationMonths,INDEX(FixedAssets[Depreciation
/ Amortization Months],_xlfn.XMATCH($E$84,FixedAssets[Asset ID])),IF(AND((_xlfn.XMATCH(BV$8,$AH$8:$CC$8))-_xlfn.XMATCH($C112,$C$35:$C$82)+1&lt;=_xlpm.DepreciationMonths,$C112&lt;=BV$8),$E112/_xlpm.DepreciationMonths,0))</f>
        <v>0</v>
      </c>
      <c r="BW112" s="507" cm="1">
        <f t="array" ref="BW112">_xlfn.LET(_xlpm.DepreciationMonths,INDEX(FixedAssets[Depreciation
/ Amortization Months],_xlfn.XMATCH($E$84,FixedAssets[Asset ID])),IF(AND((_xlfn.XMATCH(BW$8,$AH$8:$CC$8))-_xlfn.XMATCH($C112,$C$35:$C$82)+1&lt;=_xlpm.DepreciationMonths,$C112&lt;=BW$8),$E112/_xlpm.DepreciationMonths,0))</f>
        <v>0</v>
      </c>
      <c r="BX112" s="507" cm="1">
        <f t="array" ref="BX112">_xlfn.LET(_xlpm.DepreciationMonths,INDEX(FixedAssets[Depreciation
/ Amortization Months],_xlfn.XMATCH($E$84,FixedAssets[Asset ID])),IF(AND((_xlfn.XMATCH(BX$8,$AH$8:$CC$8))-_xlfn.XMATCH($C112,$C$35:$C$82)+1&lt;=_xlpm.DepreciationMonths,$C112&lt;=BX$8),$E112/_xlpm.DepreciationMonths,0))</f>
        <v>0</v>
      </c>
      <c r="BY112" s="507" cm="1">
        <f t="array" ref="BY112">_xlfn.LET(_xlpm.DepreciationMonths,INDEX(FixedAssets[Depreciation
/ Amortization Months],_xlfn.XMATCH($E$84,FixedAssets[Asset ID])),IF(AND((_xlfn.XMATCH(BY$8,$AH$8:$CC$8))-_xlfn.XMATCH($C112,$C$35:$C$82)+1&lt;=_xlpm.DepreciationMonths,$C112&lt;=BY$8),$E112/_xlpm.DepreciationMonths,0))</f>
        <v>0</v>
      </c>
      <c r="BZ112" s="507" cm="1">
        <f t="array" ref="BZ112">_xlfn.LET(_xlpm.DepreciationMonths,INDEX(FixedAssets[Depreciation
/ Amortization Months],_xlfn.XMATCH($E$84,FixedAssets[Asset ID])),IF(AND((_xlfn.XMATCH(BZ$8,$AH$8:$CC$8))-_xlfn.XMATCH($C112,$C$35:$C$82)+1&lt;=_xlpm.DepreciationMonths,$C112&lt;=BZ$8),$E112/_xlpm.DepreciationMonths,0))</f>
        <v>0</v>
      </c>
      <c r="CA112" s="507" cm="1">
        <f t="array" ref="CA112">_xlfn.LET(_xlpm.DepreciationMonths,INDEX(FixedAssets[Depreciation
/ Amortization Months],_xlfn.XMATCH($E$84,FixedAssets[Asset ID])),IF(AND((_xlfn.XMATCH(CA$8,$AH$8:$CC$8))-_xlfn.XMATCH($C112,$C$35:$C$82)+1&lt;=_xlpm.DepreciationMonths,$C112&lt;=CA$8),$E112/_xlpm.DepreciationMonths,0))</f>
        <v>0</v>
      </c>
      <c r="CB112" s="507" cm="1">
        <f t="array" ref="CB112">_xlfn.LET(_xlpm.DepreciationMonths,INDEX(FixedAssets[Depreciation
/ Amortization Months],_xlfn.XMATCH($E$84,FixedAssets[Asset ID])),IF(AND((_xlfn.XMATCH(CB$8,$AH$8:$CC$8))-_xlfn.XMATCH($C112,$C$35:$C$82)+1&lt;=_xlpm.DepreciationMonths,$C112&lt;=CB$8),$E112/_xlpm.DepreciationMonths,0))</f>
        <v>0</v>
      </c>
      <c r="CC112" s="507" cm="1">
        <f t="array" ref="CC112">_xlfn.LET(_xlpm.DepreciationMonths,INDEX(FixedAssets[Depreciation
/ Amortization Months],_xlfn.XMATCH($E$84,FixedAssets[Asset ID])),IF(AND((_xlfn.XMATCH(CC$8,$AH$8:$CC$8))-_xlfn.XMATCH($C112,$C$35:$C$82)+1&lt;=_xlpm.DepreciationMonths,$C112&lt;=CC$8),$E112/_xlpm.DepreciationMonths,0))</f>
        <v>0</v>
      </c>
    </row>
    <row r="113" spans="3:81" hidden="1" outlineLevel="2">
      <c r="C113" s="664">
        <f t="shared" si="167"/>
        <v>45777</v>
      </c>
      <c r="D113" s="508"/>
      <c r="E113" s="508" cm="1">
        <f t="array" ref="E113">SUMPRODUCT(($AH$26:$CC$31)*($AH$5:$CC$5=$C113)*($E$26:$E$31=E$84))-SUMPRODUCT(($AH$26:$CC$31)*($AH$5:$CC$5=EOMONTH($C113,-1))*($E$26:$E$31=E$84))</f>
        <v>0</v>
      </c>
      <c r="F113" s="508"/>
      <c r="G113" s="508"/>
      <c r="H113" s="508"/>
      <c r="I113" s="508"/>
      <c r="J113" s="504">
        <f t="shared" si="164"/>
        <v>0</v>
      </c>
      <c r="K113" s="504">
        <f t="shared" si="169"/>
        <v>0</v>
      </c>
      <c r="L113" s="504">
        <f t="shared" si="169"/>
        <v>0</v>
      </c>
      <c r="M113" s="504">
        <f t="shared" si="169"/>
        <v>0</v>
      </c>
      <c r="N113" s="504"/>
      <c r="O113" s="504"/>
      <c r="P113" s="504">
        <f t="shared" si="170"/>
        <v>0</v>
      </c>
      <c r="Q113" s="504">
        <f t="shared" si="170"/>
        <v>0</v>
      </c>
      <c r="R113" s="504">
        <f t="shared" si="170"/>
        <v>0</v>
      </c>
      <c r="S113" s="504">
        <f t="shared" si="170"/>
        <v>0</v>
      </c>
      <c r="T113" s="504">
        <f t="shared" si="170"/>
        <v>0</v>
      </c>
      <c r="U113" s="504">
        <f t="shared" si="170"/>
        <v>0</v>
      </c>
      <c r="V113" s="504">
        <f t="shared" si="170"/>
        <v>0</v>
      </c>
      <c r="W113" s="504">
        <f t="shared" si="170"/>
        <v>0</v>
      </c>
      <c r="X113" s="504">
        <f t="shared" si="170"/>
        <v>0</v>
      </c>
      <c r="Y113" s="504">
        <f t="shared" si="170"/>
        <v>0</v>
      </c>
      <c r="Z113" s="504">
        <f t="shared" si="170"/>
        <v>0</v>
      </c>
      <c r="AA113" s="504">
        <f t="shared" si="170"/>
        <v>0</v>
      </c>
      <c r="AB113" s="504">
        <f t="shared" si="170"/>
        <v>0</v>
      </c>
      <c r="AC113" s="504">
        <f t="shared" si="170"/>
        <v>0</v>
      </c>
      <c r="AD113" s="504">
        <f t="shared" si="170"/>
        <v>0</v>
      </c>
      <c r="AE113" s="504">
        <f t="shared" si="170"/>
        <v>0</v>
      </c>
      <c r="AF113" s="508"/>
      <c r="AG113" s="508"/>
      <c r="AH113" s="507" cm="1">
        <f t="array" ref="AH113">_xlfn.LET(_xlpm.DepreciationMonths,INDEX(FixedAssets[Depreciation
/ Amortization Months],_xlfn.XMATCH($E$84,FixedAssets[Asset ID])),IF(AND((_xlfn.XMATCH(AH$8,$AH$8:$CC$8))-_xlfn.XMATCH($C113,$C$35:$C$82)+1&lt;=_xlpm.DepreciationMonths,$C113&lt;=AH$8),$E113/_xlpm.DepreciationMonths,0))</f>
        <v>0</v>
      </c>
      <c r="AI113" s="507" cm="1">
        <f t="array" ref="AI113">_xlfn.LET(_xlpm.DepreciationMonths,INDEX(FixedAssets[Depreciation
/ Amortization Months],_xlfn.XMATCH($E$84,FixedAssets[Asset ID])),IF(AND((_xlfn.XMATCH(AI$8,$AH$8:$CC$8))-_xlfn.XMATCH($C113,$C$35:$C$82)+1&lt;=_xlpm.DepreciationMonths,$C113&lt;=AI$8),$E113/_xlpm.DepreciationMonths,0))</f>
        <v>0</v>
      </c>
      <c r="AJ113" s="507" cm="1">
        <f t="array" ref="AJ113">_xlfn.LET(_xlpm.DepreciationMonths,INDEX(FixedAssets[Depreciation
/ Amortization Months],_xlfn.XMATCH($E$84,FixedAssets[Asset ID])),IF(AND((_xlfn.XMATCH(AJ$8,$AH$8:$CC$8))-_xlfn.XMATCH($C113,$C$35:$C$82)+1&lt;=_xlpm.DepreciationMonths,$C113&lt;=AJ$8),$E113/_xlpm.DepreciationMonths,0))</f>
        <v>0</v>
      </c>
      <c r="AK113" s="507" cm="1">
        <f t="array" ref="AK113">_xlfn.LET(_xlpm.DepreciationMonths,INDEX(FixedAssets[Depreciation
/ Amortization Months],_xlfn.XMATCH($E$84,FixedAssets[Asset ID])),IF(AND((_xlfn.XMATCH(AK$8,$AH$8:$CC$8))-_xlfn.XMATCH($C113,$C$35:$C$82)+1&lt;=_xlpm.DepreciationMonths,$C113&lt;=AK$8),$E113/_xlpm.DepreciationMonths,0))</f>
        <v>0</v>
      </c>
      <c r="AL113" s="507" cm="1">
        <f t="array" ref="AL113">_xlfn.LET(_xlpm.DepreciationMonths,INDEX(FixedAssets[Depreciation
/ Amortization Months],_xlfn.XMATCH($E$84,FixedAssets[Asset ID])),IF(AND((_xlfn.XMATCH(AL$8,$AH$8:$CC$8))-_xlfn.XMATCH($C113,$C$35:$C$82)+1&lt;=_xlpm.DepreciationMonths,$C113&lt;=AL$8),$E113/_xlpm.DepreciationMonths,0))</f>
        <v>0</v>
      </c>
      <c r="AM113" s="507" cm="1">
        <f t="array" ref="AM113">_xlfn.LET(_xlpm.DepreciationMonths,INDEX(FixedAssets[Depreciation
/ Amortization Months],_xlfn.XMATCH($E$84,FixedAssets[Asset ID])),IF(AND((_xlfn.XMATCH(AM$8,$AH$8:$CC$8))-_xlfn.XMATCH($C113,$C$35:$C$82)+1&lt;=_xlpm.DepreciationMonths,$C113&lt;=AM$8),$E113/_xlpm.DepreciationMonths,0))</f>
        <v>0</v>
      </c>
      <c r="AN113" s="507" cm="1">
        <f t="array" ref="AN113">_xlfn.LET(_xlpm.DepreciationMonths,INDEX(FixedAssets[Depreciation
/ Amortization Months],_xlfn.XMATCH($E$84,FixedAssets[Asset ID])),IF(AND((_xlfn.XMATCH(AN$8,$AH$8:$CC$8))-_xlfn.XMATCH($C113,$C$35:$C$82)+1&lt;=_xlpm.DepreciationMonths,$C113&lt;=AN$8),$E113/_xlpm.DepreciationMonths,0))</f>
        <v>0</v>
      </c>
      <c r="AO113" s="507" cm="1">
        <f t="array" ref="AO113">_xlfn.LET(_xlpm.DepreciationMonths,INDEX(FixedAssets[Depreciation
/ Amortization Months],_xlfn.XMATCH($E$84,FixedAssets[Asset ID])),IF(AND((_xlfn.XMATCH(AO$8,$AH$8:$CC$8))-_xlfn.XMATCH($C113,$C$35:$C$82)+1&lt;=_xlpm.DepreciationMonths,$C113&lt;=AO$8),$E113/_xlpm.DepreciationMonths,0))</f>
        <v>0</v>
      </c>
      <c r="AP113" s="507" cm="1">
        <f t="array" ref="AP113">_xlfn.LET(_xlpm.DepreciationMonths,INDEX(FixedAssets[Depreciation
/ Amortization Months],_xlfn.XMATCH($E$84,FixedAssets[Asset ID])),IF(AND((_xlfn.XMATCH(AP$8,$AH$8:$CC$8))-_xlfn.XMATCH($C113,$C$35:$C$82)+1&lt;=_xlpm.DepreciationMonths,$C113&lt;=AP$8),$E113/_xlpm.DepreciationMonths,0))</f>
        <v>0</v>
      </c>
      <c r="AQ113" s="507" cm="1">
        <f t="array" ref="AQ113">_xlfn.LET(_xlpm.DepreciationMonths,INDEX(FixedAssets[Depreciation
/ Amortization Months],_xlfn.XMATCH($E$84,FixedAssets[Asset ID])),IF(AND((_xlfn.XMATCH(AQ$8,$AH$8:$CC$8))-_xlfn.XMATCH($C113,$C$35:$C$82)+1&lt;=_xlpm.DepreciationMonths,$C113&lt;=AQ$8),$E113/_xlpm.DepreciationMonths,0))</f>
        <v>0</v>
      </c>
      <c r="AR113" s="507" cm="1">
        <f t="array" ref="AR113">_xlfn.LET(_xlpm.DepreciationMonths,INDEX(FixedAssets[Depreciation
/ Amortization Months],_xlfn.XMATCH($E$84,FixedAssets[Asset ID])),IF(AND((_xlfn.XMATCH(AR$8,$AH$8:$CC$8))-_xlfn.XMATCH($C113,$C$35:$C$82)+1&lt;=_xlpm.DepreciationMonths,$C113&lt;=AR$8),$E113/_xlpm.DepreciationMonths,0))</f>
        <v>0</v>
      </c>
      <c r="AS113" s="507" cm="1">
        <f t="array" ref="AS113">_xlfn.LET(_xlpm.DepreciationMonths,INDEX(FixedAssets[Depreciation
/ Amortization Months],_xlfn.XMATCH($E$84,FixedAssets[Asset ID])),IF(AND((_xlfn.XMATCH(AS$8,$AH$8:$CC$8))-_xlfn.XMATCH($C113,$C$35:$C$82)+1&lt;=_xlpm.DepreciationMonths,$C113&lt;=AS$8),$E113/_xlpm.DepreciationMonths,0))</f>
        <v>0</v>
      </c>
      <c r="AT113" s="507" cm="1">
        <f t="array" ref="AT113">_xlfn.LET(_xlpm.DepreciationMonths,INDEX(FixedAssets[Depreciation
/ Amortization Months],_xlfn.XMATCH($E$84,FixedAssets[Asset ID])),IF(AND((_xlfn.XMATCH(AT$8,$AH$8:$CC$8))-_xlfn.XMATCH($C113,$C$35:$C$82)+1&lt;=_xlpm.DepreciationMonths,$C113&lt;=AT$8),$E113/_xlpm.DepreciationMonths,0))</f>
        <v>0</v>
      </c>
      <c r="AU113" s="507" cm="1">
        <f t="array" ref="AU113">_xlfn.LET(_xlpm.DepreciationMonths,INDEX(FixedAssets[Depreciation
/ Amortization Months],_xlfn.XMATCH($E$84,FixedAssets[Asset ID])),IF(AND((_xlfn.XMATCH(AU$8,$AH$8:$CC$8))-_xlfn.XMATCH($C113,$C$35:$C$82)+1&lt;=_xlpm.DepreciationMonths,$C113&lt;=AU$8),$E113/_xlpm.DepreciationMonths,0))</f>
        <v>0</v>
      </c>
      <c r="AV113" s="507" cm="1">
        <f t="array" ref="AV113">_xlfn.LET(_xlpm.DepreciationMonths,INDEX(FixedAssets[Depreciation
/ Amortization Months],_xlfn.XMATCH($E$84,FixedAssets[Asset ID])),IF(AND((_xlfn.XMATCH(AV$8,$AH$8:$CC$8))-_xlfn.XMATCH($C113,$C$35:$C$82)+1&lt;=_xlpm.DepreciationMonths,$C113&lt;=AV$8),$E113/_xlpm.DepreciationMonths,0))</f>
        <v>0</v>
      </c>
      <c r="AW113" s="507" cm="1">
        <f t="array" ref="AW113">_xlfn.LET(_xlpm.DepreciationMonths,INDEX(FixedAssets[Depreciation
/ Amortization Months],_xlfn.XMATCH($E$84,FixedAssets[Asset ID])),IF(AND((_xlfn.XMATCH(AW$8,$AH$8:$CC$8))-_xlfn.XMATCH($C113,$C$35:$C$82)+1&lt;=_xlpm.DepreciationMonths,$C113&lt;=AW$8),$E113/_xlpm.DepreciationMonths,0))</f>
        <v>0</v>
      </c>
      <c r="AX113" s="507" cm="1">
        <f t="array" ref="AX113">_xlfn.LET(_xlpm.DepreciationMonths,INDEX(FixedAssets[Depreciation
/ Amortization Months],_xlfn.XMATCH($E$84,FixedAssets[Asset ID])),IF(AND((_xlfn.XMATCH(AX$8,$AH$8:$CC$8))-_xlfn.XMATCH($C113,$C$35:$C$82)+1&lt;=_xlpm.DepreciationMonths,$C113&lt;=AX$8),$E113/_xlpm.DepreciationMonths,0))</f>
        <v>0</v>
      </c>
      <c r="AY113" s="507" cm="1">
        <f t="array" ref="AY113">_xlfn.LET(_xlpm.DepreciationMonths,INDEX(FixedAssets[Depreciation
/ Amortization Months],_xlfn.XMATCH($E$84,FixedAssets[Asset ID])),IF(AND((_xlfn.XMATCH(AY$8,$AH$8:$CC$8))-_xlfn.XMATCH($C113,$C$35:$C$82)+1&lt;=_xlpm.DepreciationMonths,$C113&lt;=AY$8),$E113/_xlpm.DepreciationMonths,0))</f>
        <v>0</v>
      </c>
      <c r="AZ113" s="507" cm="1">
        <f t="array" ref="AZ113">_xlfn.LET(_xlpm.DepreciationMonths,INDEX(FixedAssets[Depreciation
/ Amortization Months],_xlfn.XMATCH($E$84,FixedAssets[Asset ID])),IF(AND((_xlfn.XMATCH(AZ$8,$AH$8:$CC$8))-_xlfn.XMATCH($C113,$C$35:$C$82)+1&lt;=_xlpm.DepreciationMonths,$C113&lt;=AZ$8),$E113/_xlpm.DepreciationMonths,0))</f>
        <v>0</v>
      </c>
      <c r="BA113" s="507" cm="1">
        <f t="array" ref="BA113">_xlfn.LET(_xlpm.DepreciationMonths,INDEX(FixedAssets[Depreciation
/ Amortization Months],_xlfn.XMATCH($E$84,FixedAssets[Asset ID])),IF(AND((_xlfn.XMATCH(BA$8,$AH$8:$CC$8))-_xlfn.XMATCH($C113,$C$35:$C$82)+1&lt;=_xlpm.DepreciationMonths,$C113&lt;=BA$8),$E113/_xlpm.DepreciationMonths,0))</f>
        <v>0</v>
      </c>
      <c r="BB113" s="507" cm="1">
        <f t="array" ref="BB113">_xlfn.LET(_xlpm.DepreciationMonths,INDEX(FixedAssets[Depreciation
/ Amortization Months],_xlfn.XMATCH($E$84,FixedAssets[Asset ID])),IF(AND((_xlfn.XMATCH(BB$8,$AH$8:$CC$8))-_xlfn.XMATCH($C113,$C$35:$C$82)+1&lt;=_xlpm.DepreciationMonths,$C113&lt;=BB$8),$E113/_xlpm.DepreciationMonths,0))</f>
        <v>0</v>
      </c>
      <c r="BC113" s="507" cm="1">
        <f t="array" ref="BC113">_xlfn.LET(_xlpm.DepreciationMonths,INDEX(FixedAssets[Depreciation
/ Amortization Months],_xlfn.XMATCH($E$84,FixedAssets[Asset ID])),IF(AND((_xlfn.XMATCH(BC$8,$AH$8:$CC$8))-_xlfn.XMATCH($C113,$C$35:$C$82)+1&lt;=_xlpm.DepreciationMonths,$C113&lt;=BC$8),$E113/_xlpm.DepreciationMonths,0))</f>
        <v>0</v>
      </c>
      <c r="BD113" s="507" cm="1">
        <f t="array" ref="BD113">_xlfn.LET(_xlpm.DepreciationMonths,INDEX(FixedAssets[Depreciation
/ Amortization Months],_xlfn.XMATCH($E$84,FixedAssets[Asset ID])),IF(AND((_xlfn.XMATCH(BD$8,$AH$8:$CC$8))-_xlfn.XMATCH($C113,$C$35:$C$82)+1&lt;=_xlpm.DepreciationMonths,$C113&lt;=BD$8),$E113/_xlpm.DepreciationMonths,0))</f>
        <v>0</v>
      </c>
      <c r="BE113" s="507" cm="1">
        <f t="array" ref="BE113">_xlfn.LET(_xlpm.DepreciationMonths,INDEX(FixedAssets[Depreciation
/ Amortization Months],_xlfn.XMATCH($E$84,FixedAssets[Asset ID])),IF(AND((_xlfn.XMATCH(BE$8,$AH$8:$CC$8))-_xlfn.XMATCH($C113,$C$35:$C$82)+1&lt;=_xlpm.DepreciationMonths,$C113&lt;=BE$8),$E113/_xlpm.DepreciationMonths,0))</f>
        <v>0</v>
      </c>
      <c r="BF113" s="507" cm="1">
        <f t="array" ref="BF113">_xlfn.LET(_xlpm.DepreciationMonths,INDEX(FixedAssets[Depreciation
/ Amortization Months],_xlfn.XMATCH($E$84,FixedAssets[Asset ID])),IF(AND((_xlfn.XMATCH(BF$8,$AH$8:$CC$8))-_xlfn.XMATCH($C113,$C$35:$C$82)+1&lt;=_xlpm.DepreciationMonths,$C113&lt;=BF$8),$E113/_xlpm.DepreciationMonths,0))</f>
        <v>0</v>
      </c>
      <c r="BG113" s="507" cm="1">
        <f t="array" ref="BG113">_xlfn.LET(_xlpm.DepreciationMonths,INDEX(FixedAssets[Depreciation
/ Amortization Months],_xlfn.XMATCH($E$84,FixedAssets[Asset ID])),IF(AND((_xlfn.XMATCH(BG$8,$AH$8:$CC$8))-_xlfn.XMATCH($C113,$C$35:$C$82)+1&lt;=_xlpm.DepreciationMonths,$C113&lt;=BG$8),$E113/_xlpm.DepreciationMonths,0))</f>
        <v>0</v>
      </c>
      <c r="BH113" s="507" cm="1">
        <f t="array" ref="BH113">_xlfn.LET(_xlpm.DepreciationMonths,INDEX(FixedAssets[Depreciation
/ Amortization Months],_xlfn.XMATCH($E$84,FixedAssets[Asset ID])),IF(AND((_xlfn.XMATCH(BH$8,$AH$8:$CC$8))-_xlfn.XMATCH($C113,$C$35:$C$82)+1&lt;=_xlpm.DepreciationMonths,$C113&lt;=BH$8),$E113/_xlpm.DepreciationMonths,0))</f>
        <v>0</v>
      </c>
      <c r="BI113" s="507" cm="1">
        <f t="array" ref="BI113">_xlfn.LET(_xlpm.DepreciationMonths,INDEX(FixedAssets[Depreciation
/ Amortization Months],_xlfn.XMATCH($E$84,FixedAssets[Asset ID])),IF(AND((_xlfn.XMATCH(BI$8,$AH$8:$CC$8))-_xlfn.XMATCH($C113,$C$35:$C$82)+1&lt;=_xlpm.DepreciationMonths,$C113&lt;=BI$8),$E113/_xlpm.DepreciationMonths,0))</f>
        <v>0</v>
      </c>
      <c r="BJ113" s="507" cm="1">
        <f t="array" ref="BJ113">_xlfn.LET(_xlpm.DepreciationMonths,INDEX(FixedAssets[Depreciation
/ Amortization Months],_xlfn.XMATCH($E$84,FixedAssets[Asset ID])),IF(AND((_xlfn.XMATCH(BJ$8,$AH$8:$CC$8))-_xlfn.XMATCH($C113,$C$35:$C$82)+1&lt;=_xlpm.DepreciationMonths,$C113&lt;=BJ$8),$E113/_xlpm.DepreciationMonths,0))</f>
        <v>0</v>
      </c>
      <c r="BK113" s="507" cm="1">
        <f t="array" ref="BK113">_xlfn.LET(_xlpm.DepreciationMonths,INDEX(FixedAssets[Depreciation
/ Amortization Months],_xlfn.XMATCH($E$84,FixedAssets[Asset ID])),IF(AND((_xlfn.XMATCH(BK$8,$AH$8:$CC$8))-_xlfn.XMATCH($C113,$C$35:$C$82)+1&lt;=_xlpm.DepreciationMonths,$C113&lt;=BK$8),$E113/_xlpm.DepreciationMonths,0))</f>
        <v>0</v>
      </c>
      <c r="BL113" s="507" cm="1">
        <f t="array" ref="BL113">_xlfn.LET(_xlpm.DepreciationMonths,INDEX(FixedAssets[Depreciation
/ Amortization Months],_xlfn.XMATCH($E$84,FixedAssets[Asset ID])),IF(AND((_xlfn.XMATCH(BL$8,$AH$8:$CC$8))-_xlfn.XMATCH($C113,$C$35:$C$82)+1&lt;=_xlpm.DepreciationMonths,$C113&lt;=BL$8),$E113/_xlpm.DepreciationMonths,0))</f>
        <v>0</v>
      </c>
      <c r="BM113" s="507" cm="1">
        <f t="array" ref="BM113">_xlfn.LET(_xlpm.DepreciationMonths,INDEX(FixedAssets[Depreciation
/ Amortization Months],_xlfn.XMATCH($E$84,FixedAssets[Asset ID])),IF(AND((_xlfn.XMATCH(BM$8,$AH$8:$CC$8))-_xlfn.XMATCH($C113,$C$35:$C$82)+1&lt;=_xlpm.DepreciationMonths,$C113&lt;=BM$8),$E113/_xlpm.DepreciationMonths,0))</f>
        <v>0</v>
      </c>
      <c r="BN113" s="507" cm="1">
        <f t="array" ref="BN113">_xlfn.LET(_xlpm.DepreciationMonths,INDEX(FixedAssets[Depreciation
/ Amortization Months],_xlfn.XMATCH($E$84,FixedAssets[Asset ID])),IF(AND((_xlfn.XMATCH(BN$8,$AH$8:$CC$8))-_xlfn.XMATCH($C113,$C$35:$C$82)+1&lt;=_xlpm.DepreciationMonths,$C113&lt;=BN$8),$E113/_xlpm.DepreciationMonths,0))</f>
        <v>0</v>
      </c>
      <c r="BO113" s="507" cm="1">
        <f t="array" ref="BO113">_xlfn.LET(_xlpm.DepreciationMonths,INDEX(FixedAssets[Depreciation
/ Amortization Months],_xlfn.XMATCH($E$84,FixedAssets[Asset ID])),IF(AND((_xlfn.XMATCH(BO$8,$AH$8:$CC$8))-_xlfn.XMATCH($C113,$C$35:$C$82)+1&lt;=_xlpm.DepreciationMonths,$C113&lt;=BO$8),$E113/_xlpm.DepreciationMonths,0))</f>
        <v>0</v>
      </c>
      <c r="BP113" s="507" cm="1">
        <f t="array" ref="BP113">_xlfn.LET(_xlpm.DepreciationMonths,INDEX(FixedAssets[Depreciation
/ Amortization Months],_xlfn.XMATCH($E$84,FixedAssets[Asset ID])),IF(AND((_xlfn.XMATCH(BP$8,$AH$8:$CC$8))-_xlfn.XMATCH($C113,$C$35:$C$82)+1&lt;=_xlpm.DepreciationMonths,$C113&lt;=BP$8),$E113/_xlpm.DepreciationMonths,0))</f>
        <v>0</v>
      </c>
      <c r="BQ113" s="507" cm="1">
        <f t="array" ref="BQ113">_xlfn.LET(_xlpm.DepreciationMonths,INDEX(FixedAssets[Depreciation
/ Amortization Months],_xlfn.XMATCH($E$84,FixedAssets[Asset ID])),IF(AND((_xlfn.XMATCH(BQ$8,$AH$8:$CC$8))-_xlfn.XMATCH($C113,$C$35:$C$82)+1&lt;=_xlpm.DepreciationMonths,$C113&lt;=BQ$8),$E113/_xlpm.DepreciationMonths,0))</f>
        <v>0</v>
      </c>
      <c r="BR113" s="507" cm="1">
        <f t="array" ref="BR113">_xlfn.LET(_xlpm.DepreciationMonths,INDEX(FixedAssets[Depreciation
/ Amortization Months],_xlfn.XMATCH($E$84,FixedAssets[Asset ID])),IF(AND((_xlfn.XMATCH(BR$8,$AH$8:$CC$8))-_xlfn.XMATCH($C113,$C$35:$C$82)+1&lt;=_xlpm.DepreciationMonths,$C113&lt;=BR$8),$E113/_xlpm.DepreciationMonths,0))</f>
        <v>0</v>
      </c>
      <c r="BS113" s="507" cm="1">
        <f t="array" ref="BS113">_xlfn.LET(_xlpm.DepreciationMonths,INDEX(FixedAssets[Depreciation
/ Amortization Months],_xlfn.XMATCH($E$84,FixedAssets[Asset ID])),IF(AND((_xlfn.XMATCH(BS$8,$AH$8:$CC$8))-_xlfn.XMATCH($C113,$C$35:$C$82)+1&lt;=_xlpm.DepreciationMonths,$C113&lt;=BS$8),$E113/_xlpm.DepreciationMonths,0))</f>
        <v>0</v>
      </c>
      <c r="BT113" s="507" cm="1">
        <f t="array" ref="BT113">_xlfn.LET(_xlpm.DepreciationMonths,INDEX(FixedAssets[Depreciation
/ Amortization Months],_xlfn.XMATCH($E$84,FixedAssets[Asset ID])),IF(AND((_xlfn.XMATCH(BT$8,$AH$8:$CC$8))-_xlfn.XMATCH($C113,$C$35:$C$82)+1&lt;=_xlpm.DepreciationMonths,$C113&lt;=BT$8),$E113/_xlpm.DepreciationMonths,0))</f>
        <v>0</v>
      </c>
      <c r="BU113" s="507" cm="1">
        <f t="array" ref="BU113">_xlfn.LET(_xlpm.DepreciationMonths,INDEX(FixedAssets[Depreciation
/ Amortization Months],_xlfn.XMATCH($E$84,FixedAssets[Asset ID])),IF(AND((_xlfn.XMATCH(BU$8,$AH$8:$CC$8))-_xlfn.XMATCH($C113,$C$35:$C$82)+1&lt;=_xlpm.DepreciationMonths,$C113&lt;=BU$8),$E113/_xlpm.DepreciationMonths,0))</f>
        <v>0</v>
      </c>
      <c r="BV113" s="507" cm="1">
        <f t="array" ref="BV113">_xlfn.LET(_xlpm.DepreciationMonths,INDEX(FixedAssets[Depreciation
/ Amortization Months],_xlfn.XMATCH($E$84,FixedAssets[Asset ID])),IF(AND((_xlfn.XMATCH(BV$8,$AH$8:$CC$8))-_xlfn.XMATCH($C113,$C$35:$C$82)+1&lt;=_xlpm.DepreciationMonths,$C113&lt;=BV$8),$E113/_xlpm.DepreciationMonths,0))</f>
        <v>0</v>
      </c>
      <c r="BW113" s="507" cm="1">
        <f t="array" ref="BW113">_xlfn.LET(_xlpm.DepreciationMonths,INDEX(FixedAssets[Depreciation
/ Amortization Months],_xlfn.XMATCH($E$84,FixedAssets[Asset ID])),IF(AND((_xlfn.XMATCH(BW$8,$AH$8:$CC$8))-_xlfn.XMATCH($C113,$C$35:$C$82)+1&lt;=_xlpm.DepreciationMonths,$C113&lt;=BW$8),$E113/_xlpm.DepreciationMonths,0))</f>
        <v>0</v>
      </c>
      <c r="BX113" s="507" cm="1">
        <f t="array" ref="BX113">_xlfn.LET(_xlpm.DepreciationMonths,INDEX(FixedAssets[Depreciation
/ Amortization Months],_xlfn.XMATCH($E$84,FixedAssets[Asset ID])),IF(AND((_xlfn.XMATCH(BX$8,$AH$8:$CC$8))-_xlfn.XMATCH($C113,$C$35:$C$82)+1&lt;=_xlpm.DepreciationMonths,$C113&lt;=BX$8),$E113/_xlpm.DepreciationMonths,0))</f>
        <v>0</v>
      </c>
      <c r="BY113" s="507" cm="1">
        <f t="array" ref="BY113">_xlfn.LET(_xlpm.DepreciationMonths,INDEX(FixedAssets[Depreciation
/ Amortization Months],_xlfn.XMATCH($E$84,FixedAssets[Asset ID])),IF(AND((_xlfn.XMATCH(BY$8,$AH$8:$CC$8))-_xlfn.XMATCH($C113,$C$35:$C$82)+1&lt;=_xlpm.DepreciationMonths,$C113&lt;=BY$8),$E113/_xlpm.DepreciationMonths,0))</f>
        <v>0</v>
      </c>
      <c r="BZ113" s="507" cm="1">
        <f t="array" ref="BZ113">_xlfn.LET(_xlpm.DepreciationMonths,INDEX(FixedAssets[Depreciation
/ Amortization Months],_xlfn.XMATCH($E$84,FixedAssets[Asset ID])),IF(AND((_xlfn.XMATCH(BZ$8,$AH$8:$CC$8))-_xlfn.XMATCH($C113,$C$35:$C$82)+1&lt;=_xlpm.DepreciationMonths,$C113&lt;=BZ$8),$E113/_xlpm.DepreciationMonths,0))</f>
        <v>0</v>
      </c>
      <c r="CA113" s="507" cm="1">
        <f t="array" ref="CA113">_xlfn.LET(_xlpm.DepreciationMonths,INDEX(FixedAssets[Depreciation
/ Amortization Months],_xlfn.XMATCH($E$84,FixedAssets[Asset ID])),IF(AND((_xlfn.XMATCH(CA$8,$AH$8:$CC$8))-_xlfn.XMATCH($C113,$C$35:$C$82)+1&lt;=_xlpm.DepreciationMonths,$C113&lt;=CA$8),$E113/_xlpm.DepreciationMonths,0))</f>
        <v>0</v>
      </c>
      <c r="CB113" s="507" cm="1">
        <f t="array" ref="CB113">_xlfn.LET(_xlpm.DepreciationMonths,INDEX(FixedAssets[Depreciation
/ Amortization Months],_xlfn.XMATCH($E$84,FixedAssets[Asset ID])),IF(AND((_xlfn.XMATCH(CB$8,$AH$8:$CC$8))-_xlfn.XMATCH($C113,$C$35:$C$82)+1&lt;=_xlpm.DepreciationMonths,$C113&lt;=CB$8),$E113/_xlpm.DepreciationMonths,0))</f>
        <v>0</v>
      </c>
      <c r="CC113" s="507" cm="1">
        <f t="array" ref="CC113">_xlfn.LET(_xlpm.DepreciationMonths,INDEX(FixedAssets[Depreciation
/ Amortization Months],_xlfn.XMATCH($E$84,FixedAssets[Asset ID])),IF(AND((_xlfn.XMATCH(CC$8,$AH$8:$CC$8))-_xlfn.XMATCH($C113,$C$35:$C$82)+1&lt;=_xlpm.DepreciationMonths,$C113&lt;=CC$8),$E113/_xlpm.DepreciationMonths,0))</f>
        <v>0</v>
      </c>
    </row>
    <row r="114" spans="3:81" hidden="1" outlineLevel="2">
      <c r="C114" s="664">
        <f t="shared" si="167"/>
        <v>45808</v>
      </c>
      <c r="D114" s="508"/>
      <c r="E114" s="508" cm="1">
        <f t="array" ref="E114">SUMPRODUCT(($AH$26:$CC$31)*($AH$5:$CC$5=$C114)*($E$26:$E$31=E$84))-SUMPRODUCT(($AH$26:$CC$31)*($AH$5:$CC$5=EOMONTH($C114,-1))*($E$26:$E$31=E$84))</f>
        <v>0</v>
      </c>
      <c r="F114" s="508"/>
      <c r="G114" s="508"/>
      <c r="H114" s="508"/>
      <c r="I114" s="508"/>
      <c r="J114" s="504">
        <f t="shared" si="164"/>
        <v>0</v>
      </c>
      <c r="K114" s="504">
        <f t="shared" si="169"/>
        <v>0</v>
      </c>
      <c r="L114" s="504">
        <f t="shared" si="169"/>
        <v>0</v>
      </c>
      <c r="M114" s="504">
        <f t="shared" si="169"/>
        <v>0</v>
      </c>
      <c r="N114" s="504"/>
      <c r="O114" s="504"/>
      <c r="P114" s="504">
        <f t="shared" si="170"/>
        <v>0</v>
      </c>
      <c r="Q114" s="504">
        <f t="shared" si="170"/>
        <v>0</v>
      </c>
      <c r="R114" s="504">
        <f t="shared" si="170"/>
        <v>0</v>
      </c>
      <c r="S114" s="504">
        <f t="shared" si="170"/>
        <v>0</v>
      </c>
      <c r="T114" s="504">
        <f t="shared" si="170"/>
        <v>0</v>
      </c>
      <c r="U114" s="504">
        <f t="shared" si="170"/>
        <v>0</v>
      </c>
      <c r="V114" s="504">
        <f t="shared" si="170"/>
        <v>0</v>
      </c>
      <c r="W114" s="504">
        <f t="shared" si="170"/>
        <v>0</v>
      </c>
      <c r="X114" s="504">
        <f t="shared" si="170"/>
        <v>0</v>
      </c>
      <c r="Y114" s="504">
        <f t="shared" si="170"/>
        <v>0</v>
      </c>
      <c r="Z114" s="504">
        <f t="shared" si="170"/>
        <v>0</v>
      </c>
      <c r="AA114" s="504">
        <f t="shared" si="170"/>
        <v>0</v>
      </c>
      <c r="AB114" s="504">
        <f t="shared" si="170"/>
        <v>0</v>
      </c>
      <c r="AC114" s="504">
        <f t="shared" si="170"/>
        <v>0</v>
      </c>
      <c r="AD114" s="504">
        <f t="shared" si="170"/>
        <v>0</v>
      </c>
      <c r="AE114" s="504">
        <f t="shared" si="170"/>
        <v>0</v>
      </c>
      <c r="AF114" s="508"/>
      <c r="AG114" s="508"/>
      <c r="AH114" s="507" cm="1">
        <f t="array" ref="AH114">_xlfn.LET(_xlpm.DepreciationMonths,INDEX(FixedAssets[Depreciation
/ Amortization Months],_xlfn.XMATCH($E$84,FixedAssets[Asset ID])),IF(AND((_xlfn.XMATCH(AH$8,$AH$8:$CC$8))-_xlfn.XMATCH($C114,$C$35:$C$82)+1&lt;=_xlpm.DepreciationMonths,$C114&lt;=AH$8),$E114/_xlpm.DepreciationMonths,0))</f>
        <v>0</v>
      </c>
      <c r="AI114" s="507" cm="1">
        <f t="array" ref="AI114">_xlfn.LET(_xlpm.DepreciationMonths,INDEX(FixedAssets[Depreciation
/ Amortization Months],_xlfn.XMATCH($E$84,FixedAssets[Asset ID])),IF(AND((_xlfn.XMATCH(AI$8,$AH$8:$CC$8))-_xlfn.XMATCH($C114,$C$35:$C$82)+1&lt;=_xlpm.DepreciationMonths,$C114&lt;=AI$8),$E114/_xlpm.DepreciationMonths,0))</f>
        <v>0</v>
      </c>
      <c r="AJ114" s="507" cm="1">
        <f t="array" ref="AJ114">_xlfn.LET(_xlpm.DepreciationMonths,INDEX(FixedAssets[Depreciation
/ Amortization Months],_xlfn.XMATCH($E$84,FixedAssets[Asset ID])),IF(AND((_xlfn.XMATCH(AJ$8,$AH$8:$CC$8))-_xlfn.XMATCH($C114,$C$35:$C$82)+1&lt;=_xlpm.DepreciationMonths,$C114&lt;=AJ$8),$E114/_xlpm.DepreciationMonths,0))</f>
        <v>0</v>
      </c>
      <c r="AK114" s="507" cm="1">
        <f t="array" ref="AK114">_xlfn.LET(_xlpm.DepreciationMonths,INDEX(FixedAssets[Depreciation
/ Amortization Months],_xlfn.XMATCH($E$84,FixedAssets[Asset ID])),IF(AND((_xlfn.XMATCH(AK$8,$AH$8:$CC$8))-_xlfn.XMATCH($C114,$C$35:$C$82)+1&lt;=_xlpm.DepreciationMonths,$C114&lt;=AK$8),$E114/_xlpm.DepreciationMonths,0))</f>
        <v>0</v>
      </c>
      <c r="AL114" s="507" cm="1">
        <f t="array" ref="AL114">_xlfn.LET(_xlpm.DepreciationMonths,INDEX(FixedAssets[Depreciation
/ Amortization Months],_xlfn.XMATCH($E$84,FixedAssets[Asset ID])),IF(AND((_xlfn.XMATCH(AL$8,$AH$8:$CC$8))-_xlfn.XMATCH($C114,$C$35:$C$82)+1&lt;=_xlpm.DepreciationMonths,$C114&lt;=AL$8),$E114/_xlpm.DepreciationMonths,0))</f>
        <v>0</v>
      </c>
      <c r="AM114" s="507" cm="1">
        <f t="array" ref="AM114">_xlfn.LET(_xlpm.DepreciationMonths,INDEX(FixedAssets[Depreciation
/ Amortization Months],_xlfn.XMATCH($E$84,FixedAssets[Asset ID])),IF(AND((_xlfn.XMATCH(AM$8,$AH$8:$CC$8))-_xlfn.XMATCH($C114,$C$35:$C$82)+1&lt;=_xlpm.DepreciationMonths,$C114&lt;=AM$8),$E114/_xlpm.DepreciationMonths,0))</f>
        <v>0</v>
      </c>
      <c r="AN114" s="507" cm="1">
        <f t="array" ref="AN114">_xlfn.LET(_xlpm.DepreciationMonths,INDEX(FixedAssets[Depreciation
/ Amortization Months],_xlfn.XMATCH($E$84,FixedAssets[Asset ID])),IF(AND((_xlfn.XMATCH(AN$8,$AH$8:$CC$8))-_xlfn.XMATCH($C114,$C$35:$C$82)+1&lt;=_xlpm.DepreciationMonths,$C114&lt;=AN$8),$E114/_xlpm.DepreciationMonths,0))</f>
        <v>0</v>
      </c>
      <c r="AO114" s="507" cm="1">
        <f t="array" ref="AO114">_xlfn.LET(_xlpm.DepreciationMonths,INDEX(FixedAssets[Depreciation
/ Amortization Months],_xlfn.XMATCH($E$84,FixedAssets[Asset ID])),IF(AND((_xlfn.XMATCH(AO$8,$AH$8:$CC$8))-_xlfn.XMATCH($C114,$C$35:$C$82)+1&lt;=_xlpm.DepreciationMonths,$C114&lt;=AO$8),$E114/_xlpm.DepreciationMonths,0))</f>
        <v>0</v>
      </c>
      <c r="AP114" s="507" cm="1">
        <f t="array" ref="AP114">_xlfn.LET(_xlpm.DepreciationMonths,INDEX(FixedAssets[Depreciation
/ Amortization Months],_xlfn.XMATCH($E$84,FixedAssets[Asset ID])),IF(AND((_xlfn.XMATCH(AP$8,$AH$8:$CC$8))-_xlfn.XMATCH($C114,$C$35:$C$82)+1&lt;=_xlpm.DepreciationMonths,$C114&lt;=AP$8),$E114/_xlpm.DepreciationMonths,0))</f>
        <v>0</v>
      </c>
      <c r="AQ114" s="507" cm="1">
        <f t="array" ref="AQ114">_xlfn.LET(_xlpm.DepreciationMonths,INDEX(FixedAssets[Depreciation
/ Amortization Months],_xlfn.XMATCH($E$84,FixedAssets[Asset ID])),IF(AND((_xlfn.XMATCH(AQ$8,$AH$8:$CC$8))-_xlfn.XMATCH($C114,$C$35:$C$82)+1&lt;=_xlpm.DepreciationMonths,$C114&lt;=AQ$8),$E114/_xlpm.DepreciationMonths,0))</f>
        <v>0</v>
      </c>
      <c r="AR114" s="507" cm="1">
        <f t="array" ref="AR114">_xlfn.LET(_xlpm.DepreciationMonths,INDEX(FixedAssets[Depreciation
/ Amortization Months],_xlfn.XMATCH($E$84,FixedAssets[Asset ID])),IF(AND((_xlfn.XMATCH(AR$8,$AH$8:$CC$8))-_xlfn.XMATCH($C114,$C$35:$C$82)+1&lt;=_xlpm.DepreciationMonths,$C114&lt;=AR$8),$E114/_xlpm.DepreciationMonths,0))</f>
        <v>0</v>
      </c>
      <c r="AS114" s="507" cm="1">
        <f t="array" ref="AS114">_xlfn.LET(_xlpm.DepreciationMonths,INDEX(FixedAssets[Depreciation
/ Amortization Months],_xlfn.XMATCH($E$84,FixedAssets[Asset ID])),IF(AND((_xlfn.XMATCH(AS$8,$AH$8:$CC$8))-_xlfn.XMATCH($C114,$C$35:$C$82)+1&lt;=_xlpm.DepreciationMonths,$C114&lt;=AS$8),$E114/_xlpm.DepreciationMonths,0))</f>
        <v>0</v>
      </c>
      <c r="AT114" s="507" cm="1">
        <f t="array" ref="AT114">_xlfn.LET(_xlpm.DepreciationMonths,INDEX(FixedAssets[Depreciation
/ Amortization Months],_xlfn.XMATCH($E$84,FixedAssets[Asset ID])),IF(AND((_xlfn.XMATCH(AT$8,$AH$8:$CC$8))-_xlfn.XMATCH($C114,$C$35:$C$82)+1&lt;=_xlpm.DepreciationMonths,$C114&lt;=AT$8),$E114/_xlpm.DepreciationMonths,0))</f>
        <v>0</v>
      </c>
      <c r="AU114" s="507" cm="1">
        <f t="array" ref="AU114">_xlfn.LET(_xlpm.DepreciationMonths,INDEX(FixedAssets[Depreciation
/ Amortization Months],_xlfn.XMATCH($E$84,FixedAssets[Asset ID])),IF(AND((_xlfn.XMATCH(AU$8,$AH$8:$CC$8))-_xlfn.XMATCH($C114,$C$35:$C$82)+1&lt;=_xlpm.DepreciationMonths,$C114&lt;=AU$8),$E114/_xlpm.DepreciationMonths,0))</f>
        <v>0</v>
      </c>
      <c r="AV114" s="507" cm="1">
        <f t="array" ref="AV114">_xlfn.LET(_xlpm.DepreciationMonths,INDEX(FixedAssets[Depreciation
/ Amortization Months],_xlfn.XMATCH($E$84,FixedAssets[Asset ID])),IF(AND((_xlfn.XMATCH(AV$8,$AH$8:$CC$8))-_xlfn.XMATCH($C114,$C$35:$C$82)+1&lt;=_xlpm.DepreciationMonths,$C114&lt;=AV$8),$E114/_xlpm.DepreciationMonths,0))</f>
        <v>0</v>
      </c>
      <c r="AW114" s="507" cm="1">
        <f t="array" ref="AW114">_xlfn.LET(_xlpm.DepreciationMonths,INDEX(FixedAssets[Depreciation
/ Amortization Months],_xlfn.XMATCH($E$84,FixedAssets[Asset ID])),IF(AND((_xlfn.XMATCH(AW$8,$AH$8:$CC$8))-_xlfn.XMATCH($C114,$C$35:$C$82)+1&lt;=_xlpm.DepreciationMonths,$C114&lt;=AW$8),$E114/_xlpm.DepreciationMonths,0))</f>
        <v>0</v>
      </c>
      <c r="AX114" s="507" cm="1">
        <f t="array" ref="AX114">_xlfn.LET(_xlpm.DepreciationMonths,INDEX(FixedAssets[Depreciation
/ Amortization Months],_xlfn.XMATCH($E$84,FixedAssets[Asset ID])),IF(AND((_xlfn.XMATCH(AX$8,$AH$8:$CC$8))-_xlfn.XMATCH($C114,$C$35:$C$82)+1&lt;=_xlpm.DepreciationMonths,$C114&lt;=AX$8),$E114/_xlpm.DepreciationMonths,0))</f>
        <v>0</v>
      </c>
      <c r="AY114" s="507" cm="1">
        <f t="array" ref="AY114">_xlfn.LET(_xlpm.DepreciationMonths,INDEX(FixedAssets[Depreciation
/ Amortization Months],_xlfn.XMATCH($E$84,FixedAssets[Asset ID])),IF(AND((_xlfn.XMATCH(AY$8,$AH$8:$CC$8))-_xlfn.XMATCH($C114,$C$35:$C$82)+1&lt;=_xlpm.DepreciationMonths,$C114&lt;=AY$8),$E114/_xlpm.DepreciationMonths,0))</f>
        <v>0</v>
      </c>
      <c r="AZ114" s="507" cm="1">
        <f t="array" ref="AZ114">_xlfn.LET(_xlpm.DepreciationMonths,INDEX(FixedAssets[Depreciation
/ Amortization Months],_xlfn.XMATCH($E$84,FixedAssets[Asset ID])),IF(AND((_xlfn.XMATCH(AZ$8,$AH$8:$CC$8))-_xlfn.XMATCH($C114,$C$35:$C$82)+1&lt;=_xlpm.DepreciationMonths,$C114&lt;=AZ$8),$E114/_xlpm.DepreciationMonths,0))</f>
        <v>0</v>
      </c>
      <c r="BA114" s="507" cm="1">
        <f t="array" ref="BA114">_xlfn.LET(_xlpm.DepreciationMonths,INDEX(FixedAssets[Depreciation
/ Amortization Months],_xlfn.XMATCH($E$84,FixedAssets[Asset ID])),IF(AND((_xlfn.XMATCH(BA$8,$AH$8:$CC$8))-_xlfn.XMATCH($C114,$C$35:$C$82)+1&lt;=_xlpm.DepreciationMonths,$C114&lt;=BA$8),$E114/_xlpm.DepreciationMonths,0))</f>
        <v>0</v>
      </c>
      <c r="BB114" s="507" cm="1">
        <f t="array" ref="BB114">_xlfn.LET(_xlpm.DepreciationMonths,INDEX(FixedAssets[Depreciation
/ Amortization Months],_xlfn.XMATCH($E$84,FixedAssets[Asset ID])),IF(AND((_xlfn.XMATCH(BB$8,$AH$8:$CC$8))-_xlfn.XMATCH($C114,$C$35:$C$82)+1&lt;=_xlpm.DepreciationMonths,$C114&lt;=BB$8),$E114/_xlpm.DepreciationMonths,0))</f>
        <v>0</v>
      </c>
      <c r="BC114" s="507" cm="1">
        <f t="array" ref="BC114">_xlfn.LET(_xlpm.DepreciationMonths,INDEX(FixedAssets[Depreciation
/ Amortization Months],_xlfn.XMATCH($E$84,FixedAssets[Asset ID])),IF(AND((_xlfn.XMATCH(BC$8,$AH$8:$CC$8))-_xlfn.XMATCH($C114,$C$35:$C$82)+1&lt;=_xlpm.DepreciationMonths,$C114&lt;=BC$8),$E114/_xlpm.DepreciationMonths,0))</f>
        <v>0</v>
      </c>
      <c r="BD114" s="507" cm="1">
        <f t="array" ref="BD114">_xlfn.LET(_xlpm.DepreciationMonths,INDEX(FixedAssets[Depreciation
/ Amortization Months],_xlfn.XMATCH($E$84,FixedAssets[Asset ID])),IF(AND((_xlfn.XMATCH(BD$8,$AH$8:$CC$8))-_xlfn.XMATCH($C114,$C$35:$C$82)+1&lt;=_xlpm.DepreciationMonths,$C114&lt;=BD$8),$E114/_xlpm.DepreciationMonths,0))</f>
        <v>0</v>
      </c>
      <c r="BE114" s="507" cm="1">
        <f t="array" ref="BE114">_xlfn.LET(_xlpm.DepreciationMonths,INDEX(FixedAssets[Depreciation
/ Amortization Months],_xlfn.XMATCH($E$84,FixedAssets[Asset ID])),IF(AND((_xlfn.XMATCH(BE$8,$AH$8:$CC$8))-_xlfn.XMATCH($C114,$C$35:$C$82)+1&lt;=_xlpm.DepreciationMonths,$C114&lt;=BE$8),$E114/_xlpm.DepreciationMonths,0))</f>
        <v>0</v>
      </c>
      <c r="BF114" s="507" cm="1">
        <f t="array" ref="BF114">_xlfn.LET(_xlpm.DepreciationMonths,INDEX(FixedAssets[Depreciation
/ Amortization Months],_xlfn.XMATCH($E$84,FixedAssets[Asset ID])),IF(AND((_xlfn.XMATCH(BF$8,$AH$8:$CC$8))-_xlfn.XMATCH($C114,$C$35:$C$82)+1&lt;=_xlpm.DepreciationMonths,$C114&lt;=BF$8),$E114/_xlpm.DepreciationMonths,0))</f>
        <v>0</v>
      </c>
      <c r="BG114" s="507" cm="1">
        <f t="array" ref="BG114">_xlfn.LET(_xlpm.DepreciationMonths,INDEX(FixedAssets[Depreciation
/ Amortization Months],_xlfn.XMATCH($E$84,FixedAssets[Asset ID])),IF(AND((_xlfn.XMATCH(BG$8,$AH$8:$CC$8))-_xlfn.XMATCH($C114,$C$35:$C$82)+1&lt;=_xlpm.DepreciationMonths,$C114&lt;=BG$8),$E114/_xlpm.DepreciationMonths,0))</f>
        <v>0</v>
      </c>
      <c r="BH114" s="507" cm="1">
        <f t="array" ref="BH114">_xlfn.LET(_xlpm.DepreciationMonths,INDEX(FixedAssets[Depreciation
/ Amortization Months],_xlfn.XMATCH($E$84,FixedAssets[Asset ID])),IF(AND((_xlfn.XMATCH(BH$8,$AH$8:$CC$8))-_xlfn.XMATCH($C114,$C$35:$C$82)+1&lt;=_xlpm.DepreciationMonths,$C114&lt;=BH$8),$E114/_xlpm.DepreciationMonths,0))</f>
        <v>0</v>
      </c>
      <c r="BI114" s="507" cm="1">
        <f t="array" ref="BI114">_xlfn.LET(_xlpm.DepreciationMonths,INDEX(FixedAssets[Depreciation
/ Amortization Months],_xlfn.XMATCH($E$84,FixedAssets[Asset ID])),IF(AND((_xlfn.XMATCH(BI$8,$AH$8:$CC$8))-_xlfn.XMATCH($C114,$C$35:$C$82)+1&lt;=_xlpm.DepreciationMonths,$C114&lt;=BI$8),$E114/_xlpm.DepreciationMonths,0))</f>
        <v>0</v>
      </c>
      <c r="BJ114" s="507" cm="1">
        <f t="array" ref="BJ114">_xlfn.LET(_xlpm.DepreciationMonths,INDEX(FixedAssets[Depreciation
/ Amortization Months],_xlfn.XMATCH($E$84,FixedAssets[Asset ID])),IF(AND((_xlfn.XMATCH(BJ$8,$AH$8:$CC$8))-_xlfn.XMATCH($C114,$C$35:$C$82)+1&lt;=_xlpm.DepreciationMonths,$C114&lt;=BJ$8),$E114/_xlpm.DepreciationMonths,0))</f>
        <v>0</v>
      </c>
      <c r="BK114" s="507" cm="1">
        <f t="array" ref="BK114">_xlfn.LET(_xlpm.DepreciationMonths,INDEX(FixedAssets[Depreciation
/ Amortization Months],_xlfn.XMATCH($E$84,FixedAssets[Asset ID])),IF(AND((_xlfn.XMATCH(BK$8,$AH$8:$CC$8))-_xlfn.XMATCH($C114,$C$35:$C$82)+1&lt;=_xlpm.DepreciationMonths,$C114&lt;=BK$8),$E114/_xlpm.DepreciationMonths,0))</f>
        <v>0</v>
      </c>
      <c r="BL114" s="507" cm="1">
        <f t="array" ref="BL114">_xlfn.LET(_xlpm.DepreciationMonths,INDEX(FixedAssets[Depreciation
/ Amortization Months],_xlfn.XMATCH($E$84,FixedAssets[Asset ID])),IF(AND((_xlfn.XMATCH(BL$8,$AH$8:$CC$8))-_xlfn.XMATCH($C114,$C$35:$C$82)+1&lt;=_xlpm.DepreciationMonths,$C114&lt;=BL$8),$E114/_xlpm.DepreciationMonths,0))</f>
        <v>0</v>
      </c>
      <c r="BM114" s="507" cm="1">
        <f t="array" ref="BM114">_xlfn.LET(_xlpm.DepreciationMonths,INDEX(FixedAssets[Depreciation
/ Amortization Months],_xlfn.XMATCH($E$84,FixedAssets[Asset ID])),IF(AND((_xlfn.XMATCH(BM$8,$AH$8:$CC$8))-_xlfn.XMATCH($C114,$C$35:$C$82)+1&lt;=_xlpm.DepreciationMonths,$C114&lt;=BM$8),$E114/_xlpm.DepreciationMonths,0))</f>
        <v>0</v>
      </c>
      <c r="BN114" s="507" cm="1">
        <f t="array" ref="BN114">_xlfn.LET(_xlpm.DepreciationMonths,INDEX(FixedAssets[Depreciation
/ Amortization Months],_xlfn.XMATCH($E$84,FixedAssets[Asset ID])),IF(AND((_xlfn.XMATCH(BN$8,$AH$8:$CC$8))-_xlfn.XMATCH($C114,$C$35:$C$82)+1&lt;=_xlpm.DepreciationMonths,$C114&lt;=BN$8),$E114/_xlpm.DepreciationMonths,0))</f>
        <v>0</v>
      </c>
      <c r="BO114" s="507" cm="1">
        <f t="array" ref="BO114">_xlfn.LET(_xlpm.DepreciationMonths,INDEX(FixedAssets[Depreciation
/ Amortization Months],_xlfn.XMATCH($E$84,FixedAssets[Asset ID])),IF(AND((_xlfn.XMATCH(BO$8,$AH$8:$CC$8))-_xlfn.XMATCH($C114,$C$35:$C$82)+1&lt;=_xlpm.DepreciationMonths,$C114&lt;=BO$8),$E114/_xlpm.DepreciationMonths,0))</f>
        <v>0</v>
      </c>
      <c r="BP114" s="507" cm="1">
        <f t="array" ref="BP114">_xlfn.LET(_xlpm.DepreciationMonths,INDEX(FixedAssets[Depreciation
/ Amortization Months],_xlfn.XMATCH($E$84,FixedAssets[Asset ID])),IF(AND((_xlfn.XMATCH(BP$8,$AH$8:$CC$8))-_xlfn.XMATCH($C114,$C$35:$C$82)+1&lt;=_xlpm.DepreciationMonths,$C114&lt;=BP$8),$E114/_xlpm.DepreciationMonths,0))</f>
        <v>0</v>
      </c>
      <c r="BQ114" s="507" cm="1">
        <f t="array" ref="BQ114">_xlfn.LET(_xlpm.DepreciationMonths,INDEX(FixedAssets[Depreciation
/ Amortization Months],_xlfn.XMATCH($E$84,FixedAssets[Asset ID])),IF(AND((_xlfn.XMATCH(BQ$8,$AH$8:$CC$8))-_xlfn.XMATCH($C114,$C$35:$C$82)+1&lt;=_xlpm.DepreciationMonths,$C114&lt;=BQ$8),$E114/_xlpm.DepreciationMonths,0))</f>
        <v>0</v>
      </c>
      <c r="BR114" s="507" cm="1">
        <f t="array" ref="BR114">_xlfn.LET(_xlpm.DepreciationMonths,INDEX(FixedAssets[Depreciation
/ Amortization Months],_xlfn.XMATCH($E$84,FixedAssets[Asset ID])),IF(AND((_xlfn.XMATCH(BR$8,$AH$8:$CC$8))-_xlfn.XMATCH($C114,$C$35:$C$82)+1&lt;=_xlpm.DepreciationMonths,$C114&lt;=BR$8),$E114/_xlpm.DepreciationMonths,0))</f>
        <v>0</v>
      </c>
      <c r="BS114" s="507" cm="1">
        <f t="array" ref="BS114">_xlfn.LET(_xlpm.DepreciationMonths,INDEX(FixedAssets[Depreciation
/ Amortization Months],_xlfn.XMATCH($E$84,FixedAssets[Asset ID])),IF(AND((_xlfn.XMATCH(BS$8,$AH$8:$CC$8))-_xlfn.XMATCH($C114,$C$35:$C$82)+1&lt;=_xlpm.DepreciationMonths,$C114&lt;=BS$8),$E114/_xlpm.DepreciationMonths,0))</f>
        <v>0</v>
      </c>
      <c r="BT114" s="507" cm="1">
        <f t="array" ref="BT114">_xlfn.LET(_xlpm.DepreciationMonths,INDEX(FixedAssets[Depreciation
/ Amortization Months],_xlfn.XMATCH($E$84,FixedAssets[Asset ID])),IF(AND((_xlfn.XMATCH(BT$8,$AH$8:$CC$8))-_xlfn.XMATCH($C114,$C$35:$C$82)+1&lt;=_xlpm.DepreciationMonths,$C114&lt;=BT$8),$E114/_xlpm.DepreciationMonths,0))</f>
        <v>0</v>
      </c>
      <c r="BU114" s="507" cm="1">
        <f t="array" ref="BU114">_xlfn.LET(_xlpm.DepreciationMonths,INDEX(FixedAssets[Depreciation
/ Amortization Months],_xlfn.XMATCH($E$84,FixedAssets[Asset ID])),IF(AND((_xlfn.XMATCH(BU$8,$AH$8:$CC$8))-_xlfn.XMATCH($C114,$C$35:$C$82)+1&lt;=_xlpm.DepreciationMonths,$C114&lt;=BU$8),$E114/_xlpm.DepreciationMonths,0))</f>
        <v>0</v>
      </c>
      <c r="BV114" s="507" cm="1">
        <f t="array" ref="BV114">_xlfn.LET(_xlpm.DepreciationMonths,INDEX(FixedAssets[Depreciation
/ Amortization Months],_xlfn.XMATCH($E$84,FixedAssets[Asset ID])),IF(AND((_xlfn.XMATCH(BV$8,$AH$8:$CC$8))-_xlfn.XMATCH($C114,$C$35:$C$82)+1&lt;=_xlpm.DepreciationMonths,$C114&lt;=BV$8),$E114/_xlpm.DepreciationMonths,0))</f>
        <v>0</v>
      </c>
      <c r="BW114" s="507" cm="1">
        <f t="array" ref="BW114">_xlfn.LET(_xlpm.DepreciationMonths,INDEX(FixedAssets[Depreciation
/ Amortization Months],_xlfn.XMATCH($E$84,FixedAssets[Asset ID])),IF(AND((_xlfn.XMATCH(BW$8,$AH$8:$CC$8))-_xlfn.XMATCH($C114,$C$35:$C$82)+1&lt;=_xlpm.DepreciationMonths,$C114&lt;=BW$8),$E114/_xlpm.DepreciationMonths,0))</f>
        <v>0</v>
      </c>
      <c r="BX114" s="507" cm="1">
        <f t="array" ref="BX114">_xlfn.LET(_xlpm.DepreciationMonths,INDEX(FixedAssets[Depreciation
/ Amortization Months],_xlfn.XMATCH($E$84,FixedAssets[Asset ID])),IF(AND((_xlfn.XMATCH(BX$8,$AH$8:$CC$8))-_xlfn.XMATCH($C114,$C$35:$C$82)+1&lt;=_xlpm.DepreciationMonths,$C114&lt;=BX$8),$E114/_xlpm.DepreciationMonths,0))</f>
        <v>0</v>
      </c>
      <c r="BY114" s="507" cm="1">
        <f t="array" ref="BY114">_xlfn.LET(_xlpm.DepreciationMonths,INDEX(FixedAssets[Depreciation
/ Amortization Months],_xlfn.XMATCH($E$84,FixedAssets[Asset ID])),IF(AND((_xlfn.XMATCH(BY$8,$AH$8:$CC$8))-_xlfn.XMATCH($C114,$C$35:$C$82)+1&lt;=_xlpm.DepreciationMonths,$C114&lt;=BY$8),$E114/_xlpm.DepreciationMonths,0))</f>
        <v>0</v>
      </c>
      <c r="BZ114" s="507" cm="1">
        <f t="array" ref="BZ114">_xlfn.LET(_xlpm.DepreciationMonths,INDEX(FixedAssets[Depreciation
/ Amortization Months],_xlfn.XMATCH($E$84,FixedAssets[Asset ID])),IF(AND((_xlfn.XMATCH(BZ$8,$AH$8:$CC$8))-_xlfn.XMATCH($C114,$C$35:$C$82)+1&lt;=_xlpm.DepreciationMonths,$C114&lt;=BZ$8),$E114/_xlpm.DepreciationMonths,0))</f>
        <v>0</v>
      </c>
      <c r="CA114" s="507" cm="1">
        <f t="array" ref="CA114">_xlfn.LET(_xlpm.DepreciationMonths,INDEX(FixedAssets[Depreciation
/ Amortization Months],_xlfn.XMATCH($E$84,FixedAssets[Asset ID])),IF(AND((_xlfn.XMATCH(CA$8,$AH$8:$CC$8))-_xlfn.XMATCH($C114,$C$35:$C$82)+1&lt;=_xlpm.DepreciationMonths,$C114&lt;=CA$8),$E114/_xlpm.DepreciationMonths,0))</f>
        <v>0</v>
      </c>
      <c r="CB114" s="507" cm="1">
        <f t="array" ref="CB114">_xlfn.LET(_xlpm.DepreciationMonths,INDEX(FixedAssets[Depreciation
/ Amortization Months],_xlfn.XMATCH($E$84,FixedAssets[Asset ID])),IF(AND((_xlfn.XMATCH(CB$8,$AH$8:$CC$8))-_xlfn.XMATCH($C114,$C$35:$C$82)+1&lt;=_xlpm.DepreciationMonths,$C114&lt;=CB$8),$E114/_xlpm.DepreciationMonths,0))</f>
        <v>0</v>
      </c>
      <c r="CC114" s="507" cm="1">
        <f t="array" ref="CC114">_xlfn.LET(_xlpm.DepreciationMonths,INDEX(FixedAssets[Depreciation
/ Amortization Months],_xlfn.XMATCH($E$84,FixedAssets[Asset ID])),IF(AND((_xlfn.XMATCH(CC$8,$AH$8:$CC$8))-_xlfn.XMATCH($C114,$C$35:$C$82)+1&lt;=_xlpm.DepreciationMonths,$C114&lt;=CC$8),$E114/_xlpm.DepreciationMonths,0))</f>
        <v>0</v>
      </c>
    </row>
    <row r="115" spans="3:81" hidden="1" outlineLevel="2">
      <c r="C115" s="664">
        <f t="shared" si="167"/>
        <v>45838</v>
      </c>
      <c r="D115" s="508"/>
      <c r="E115" s="508" cm="1">
        <f t="array" ref="E115">SUMPRODUCT(($AH$26:$CC$31)*($AH$5:$CC$5=$C115)*($E$26:$E$31=E$84))-SUMPRODUCT(($AH$26:$CC$31)*($AH$5:$CC$5=EOMONTH($C115,-1))*($E$26:$E$31=E$84))</f>
        <v>0</v>
      </c>
      <c r="F115" s="508"/>
      <c r="G115" s="508"/>
      <c r="H115" s="508"/>
      <c r="I115" s="508"/>
      <c r="J115" s="504">
        <f t="shared" si="164"/>
        <v>0</v>
      </c>
      <c r="K115" s="504">
        <f t="shared" si="169"/>
        <v>0</v>
      </c>
      <c r="L115" s="504">
        <f t="shared" si="169"/>
        <v>0</v>
      </c>
      <c r="M115" s="504">
        <f t="shared" si="169"/>
        <v>0</v>
      </c>
      <c r="N115" s="504"/>
      <c r="O115" s="504"/>
      <c r="P115" s="504">
        <f t="shared" si="170"/>
        <v>0</v>
      </c>
      <c r="Q115" s="504">
        <f t="shared" si="170"/>
        <v>0</v>
      </c>
      <c r="R115" s="504">
        <f t="shared" si="170"/>
        <v>0</v>
      </c>
      <c r="S115" s="504">
        <f t="shared" si="170"/>
        <v>0</v>
      </c>
      <c r="T115" s="504">
        <f t="shared" si="170"/>
        <v>0</v>
      </c>
      <c r="U115" s="504">
        <f t="shared" si="170"/>
        <v>0</v>
      </c>
      <c r="V115" s="504">
        <f t="shared" si="170"/>
        <v>0</v>
      </c>
      <c r="W115" s="504">
        <f t="shared" si="170"/>
        <v>0</v>
      </c>
      <c r="X115" s="504">
        <f t="shared" si="170"/>
        <v>0</v>
      </c>
      <c r="Y115" s="504">
        <f t="shared" si="170"/>
        <v>0</v>
      </c>
      <c r="Z115" s="504">
        <f t="shared" si="170"/>
        <v>0</v>
      </c>
      <c r="AA115" s="504">
        <f t="shared" si="170"/>
        <v>0</v>
      </c>
      <c r="AB115" s="504">
        <f t="shared" si="170"/>
        <v>0</v>
      </c>
      <c r="AC115" s="504">
        <f t="shared" si="170"/>
        <v>0</v>
      </c>
      <c r="AD115" s="504">
        <f t="shared" si="170"/>
        <v>0</v>
      </c>
      <c r="AE115" s="504">
        <f t="shared" si="170"/>
        <v>0</v>
      </c>
      <c r="AF115" s="508"/>
      <c r="AG115" s="508"/>
      <c r="AH115" s="507" cm="1">
        <f t="array" ref="AH115">_xlfn.LET(_xlpm.DepreciationMonths,INDEX(FixedAssets[Depreciation
/ Amortization Months],_xlfn.XMATCH($E$84,FixedAssets[Asset ID])),IF(AND((_xlfn.XMATCH(AH$8,$AH$8:$CC$8))-_xlfn.XMATCH($C115,$C$35:$C$82)+1&lt;=_xlpm.DepreciationMonths,$C115&lt;=AH$8),$E115/_xlpm.DepreciationMonths,0))</f>
        <v>0</v>
      </c>
      <c r="AI115" s="507" cm="1">
        <f t="array" ref="AI115">_xlfn.LET(_xlpm.DepreciationMonths,INDEX(FixedAssets[Depreciation
/ Amortization Months],_xlfn.XMATCH($E$84,FixedAssets[Asset ID])),IF(AND((_xlfn.XMATCH(AI$8,$AH$8:$CC$8))-_xlfn.XMATCH($C115,$C$35:$C$82)+1&lt;=_xlpm.DepreciationMonths,$C115&lt;=AI$8),$E115/_xlpm.DepreciationMonths,0))</f>
        <v>0</v>
      </c>
      <c r="AJ115" s="507" cm="1">
        <f t="array" ref="AJ115">_xlfn.LET(_xlpm.DepreciationMonths,INDEX(FixedAssets[Depreciation
/ Amortization Months],_xlfn.XMATCH($E$84,FixedAssets[Asset ID])),IF(AND((_xlfn.XMATCH(AJ$8,$AH$8:$CC$8))-_xlfn.XMATCH($C115,$C$35:$C$82)+1&lt;=_xlpm.DepreciationMonths,$C115&lt;=AJ$8),$E115/_xlpm.DepreciationMonths,0))</f>
        <v>0</v>
      </c>
      <c r="AK115" s="507" cm="1">
        <f t="array" ref="AK115">_xlfn.LET(_xlpm.DepreciationMonths,INDEX(FixedAssets[Depreciation
/ Amortization Months],_xlfn.XMATCH($E$84,FixedAssets[Asset ID])),IF(AND((_xlfn.XMATCH(AK$8,$AH$8:$CC$8))-_xlfn.XMATCH($C115,$C$35:$C$82)+1&lt;=_xlpm.DepreciationMonths,$C115&lt;=AK$8),$E115/_xlpm.DepreciationMonths,0))</f>
        <v>0</v>
      </c>
      <c r="AL115" s="507" cm="1">
        <f t="array" ref="AL115">_xlfn.LET(_xlpm.DepreciationMonths,INDEX(FixedAssets[Depreciation
/ Amortization Months],_xlfn.XMATCH($E$84,FixedAssets[Asset ID])),IF(AND((_xlfn.XMATCH(AL$8,$AH$8:$CC$8))-_xlfn.XMATCH($C115,$C$35:$C$82)+1&lt;=_xlpm.DepreciationMonths,$C115&lt;=AL$8),$E115/_xlpm.DepreciationMonths,0))</f>
        <v>0</v>
      </c>
      <c r="AM115" s="507" cm="1">
        <f t="array" ref="AM115">_xlfn.LET(_xlpm.DepreciationMonths,INDEX(FixedAssets[Depreciation
/ Amortization Months],_xlfn.XMATCH($E$84,FixedAssets[Asset ID])),IF(AND((_xlfn.XMATCH(AM$8,$AH$8:$CC$8))-_xlfn.XMATCH($C115,$C$35:$C$82)+1&lt;=_xlpm.DepreciationMonths,$C115&lt;=AM$8),$E115/_xlpm.DepreciationMonths,0))</f>
        <v>0</v>
      </c>
      <c r="AN115" s="507" cm="1">
        <f t="array" ref="AN115">_xlfn.LET(_xlpm.DepreciationMonths,INDEX(FixedAssets[Depreciation
/ Amortization Months],_xlfn.XMATCH($E$84,FixedAssets[Asset ID])),IF(AND((_xlfn.XMATCH(AN$8,$AH$8:$CC$8))-_xlfn.XMATCH($C115,$C$35:$C$82)+1&lt;=_xlpm.DepreciationMonths,$C115&lt;=AN$8),$E115/_xlpm.DepreciationMonths,0))</f>
        <v>0</v>
      </c>
      <c r="AO115" s="507" cm="1">
        <f t="array" ref="AO115">_xlfn.LET(_xlpm.DepreciationMonths,INDEX(FixedAssets[Depreciation
/ Amortization Months],_xlfn.XMATCH($E$84,FixedAssets[Asset ID])),IF(AND((_xlfn.XMATCH(AO$8,$AH$8:$CC$8))-_xlfn.XMATCH($C115,$C$35:$C$82)+1&lt;=_xlpm.DepreciationMonths,$C115&lt;=AO$8),$E115/_xlpm.DepreciationMonths,0))</f>
        <v>0</v>
      </c>
      <c r="AP115" s="507" cm="1">
        <f t="array" ref="AP115">_xlfn.LET(_xlpm.DepreciationMonths,INDEX(FixedAssets[Depreciation
/ Amortization Months],_xlfn.XMATCH($E$84,FixedAssets[Asset ID])),IF(AND((_xlfn.XMATCH(AP$8,$AH$8:$CC$8))-_xlfn.XMATCH($C115,$C$35:$C$82)+1&lt;=_xlpm.DepreciationMonths,$C115&lt;=AP$8),$E115/_xlpm.DepreciationMonths,0))</f>
        <v>0</v>
      </c>
      <c r="AQ115" s="507" cm="1">
        <f t="array" ref="AQ115">_xlfn.LET(_xlpm.DepreciationMonths,INDEX(FixedAssets[Depreciation
/ Amortization Months],_xlfn.XMATCH($E$84,FixedAssets[Asset ID])),IF(AND((_xlfn.XMATCH(AQ$8,$AH$8:$CC$8))-_xlfn.XMATCH($C115,$C$35:$C$82)+1&lt;=_xlpm.DepreciationMonths,$C115&lt;=AQ$8),$E115/_xlpm.DepreciationMonths,0))</f>
        <v>0</v>
      </c>
      <c r="AR115" s="507" cm="1">
        <f t="array" ref="AR115">_xlfn.LET(_xlpm.DepreciationMonths,INDEX(FixedAssets[Depreciation
/ Amortization Months],_xlfn.XMATCH($E$84,FixedAssets[Asset ID])),IF(AND((_xlfn.XMATCH(AR$8,$AH$8:$CC$8))-_xlfn.XMATCH($C115,$C$35:$C$82)+1&lt;=_xlpm.DepreciationMonths,$C115&lt;=AR$8),$E115/_xlpm.DepreciationMonths,0))</f>
        <v>0</v>
      </c>
      <c r="AS115" s="507" cm="1">
        <f t="array" ref="AS115">_xlfn.LET(_xlpm.DepreciationMonths,INDEX(FixedAssets[Depreciation
/ Amortization Months],_xlfn.XMATCH($E$84,FixedAssets[Asset ID])),IF(AND((_xlfn.XMATCH(AS$8,$AH$8:$CC$8))-_xlfn.XMATCH($C115,$C$35:$C$82)+1&lt;=_xlpm.DepreciationMonths,$C115&lt;=AS$8),$E115/_xlpm.DepreciationMonths,0))</f>
        <v>0</v>
      </c>
      <c r="AT115" s="507" cm="1">
        <f t="array" ref="AT115">_xlfn.LET(_xlpm.DepreciationMonths,INDEX(FixedAssets[Depreciation
/ Amortization Months],_xlfn.XMATCH($E$84,FixedAssets[Asset ID])),IF(AND((_xlfn.XMATCH(AT$8,$AH$8:$CC$8))-_xlfn.XMATCH($C115,$C$35:$C$82)+1&lt;=_xlpm.DepreciationMonths,$C115&lt;=AT$8),$E115/_xlpm.DepreciationMonths,0))</f>
        <v>0</v>
      </c>
      <c r="AU115" s="507" cm="1">
        <f t="array" ref="AU115">_xlfn.LET(_xlpm.DepreciationMonths,INDEX(FixedAssets[Depreciation
/ Amortization Months],_xlfn.XMATCH($E$84,FixedAssets[Asset ID])),IF(AND((_xlfn.XMATCH(AU$8,$AH$8:$CC$8))-_xlfn.XMATCH($C115,$C$35:$C$82)+1&lt;=_xlpm.DepreciationMonths,$C115&lt;=AU$8),$E115/_xlpm.DepreciationMonths,0))</f>
        <v>0</v>
      </c>
      <c r="AV115" s="507" cm="1">
        <f t="array" ref="AV115">_xlfn.LET(_xlpm.DepreciationMonths,INDEX(FixedAssets[Depreciation
/ Amortization Months],_xlfn.XMATCH($E$84,FixedAssets[Asset ID])),IF(AND((_xlfn.XMATCH(AV$8,$AH$8:$CC$8))-_xlfn.XMATCH($C115,$C$35:$C$82)+1&lt;=_xlpm.DepreciationMonths,$C115&lt;=AV$8),$E115/_xlpm.DepreciationMonths,0))</f>
        <v>0</v>
      </c>
      <c r="AW115" s="507" cm="1">
        <f t="array" ref="AW115">_xlfn.LET(_xlpm.DepreciationMonths,INDEX(FixedAssets[Depreciation
/ Amortization Months],_xlfn.XMATCH($E$84,FixedAssets[Asset ID])),IF(AND((_xlfn.XMATCH(AW$8,$AH$8:$CC$8))-_xlfn.XMATCH($C115,$C$35:$C$82)+1&lt;=_xlpm.DepreciationMonths,$C115&lt;=AW$8),$E115/_xlpm.DepreciationMonths,0))</f>
        <v>0</v>
      </c>
      <c r="AX115" s="507" cm="1">
        <f t="array" ref="AX115">_xlfn.LET(_xlpm.DepreciationMonths,INDEX(FixedAssets[Depreciation
/ Amortization Months],_xlfn.XMATCH($E$84,FixedAssets[Asset ID])),IF(AND((_xlfn.XMATCH(AX$8,$AH$8:$CC$8))-_xlfn.XMATCH($C115,$C$35:$C$82)+1&lt;=_xlpm.DepreciationMonths,$C115&lt;=AX$8),$E115/_xlpm.DepreciationMonths,0))</f>
        <v>0</v>
      </c>
      <c r="AY115" s="507" cm="1">
        <f t="array" ref="AY115">_xlfn.LET(_xlpm.DepreciationMonths,INDEX(FixedAssets[Depreciation
/ Amortization Months],_xlfn.XMATCH($E$84,FixedAssets[Asset ID])),IF(AND((_xlfn.XMATCH(AY$8,$AH$8:$CC$8))-_xlfn.XMATCH($C115,$C$35:$C$82)+1&lt;=_xlpm.DepreciationMonths,$C115&lt;=AY$8),$E115/_xlpm.DepreciationMonths,0))</f>
        <v>0</v>
      </c>
      <c r="AZ115" s="507" cm="1">
        <f t="array" ref="AZ115">_xlfn.LET(_xlpm.DepreciationMonths,INDEX(FixedAssets[Depreciation
/ Amortization Months],_xlfn.XMATCH($E$84,FixedAssets[Asset ID])),IF(AND((_xlfn.XMATCH(AZ$8,$AH$8:$CC$8))-_xlfn.XMATCH($C115,$C$35:$C$82)+1&lt;=_xlpm.DepreciationMonths,$C115&lt;=AZ$8),$E115/_xlpm.DepreciationMonths,0))</f>
        <v>0</v>
      </c>
      <c r="BA115" s="507" cm="1">
        <f t="array" ref="BA115">_xlfn.LET(_xlpm.DepreciationMonths,INDEX(FixedAssets[Depreciation
/ Amortization Months],_xlfn.XMATCH($E$84,FixedAssets[Asset ID])),IF(AND((_xlfn.XMATCH(BA$8,$AH$8:$CC$8))-_xlfn.XMATCH($C115,$C$35:$C$82)+1&lt;=_xlpm.DepreciationMonths,$C115&lt;=BA$8),$E115/_xlpm.DepreciationMonths,0))</f>
        <v>0</v>
      </c>
      <c r="BB115" s="507" cm="1">
        <f t="array" ref="BB115">_xlfn.LET(_xlpm.DepreciationMonths,INDEX(FixedAssets[Depreciation
/ Amortization Months],_xlfn.XMATCH($E$84,FixedAssets[Asset ID])),IF(AND((_xlfn.XMATCH(BB$8,$AH$8:$CC$8))-_xlfn.XMATCH($C115,$C$35:$C$82)+1&lt;=_xlpm.DepreciationMonths,$C115&lt;=BB$8),$E115/_xlpm.DepreciationMonths,0))</f>
        <v>0</v>
      </c>
      <c r="BC115" s="507" cm="1">
        <f t="array" ref="BC115">_xlfn.LET(_xlpm.DepreciationMonths,INDEX(FixedAssets[Depreciation
/ Amortization Months],_xlfn.XMATCH($E$84,FixedAssets[Asset ID])),IF(AND((_xlfn.XMATCH(BC$8,$AH$8:$CC$8))-_xlfn.XMATCH($C115,$C$35:$C$82)+1&lt;=_xlpm.DepreciationMonths,$C115&lt;=BC$8),$E115/_xlpm.DepreciationMonths,0))</f>
        <v>0</v>
      </c>
      <c r="BD115" s="507" cm="1">
        <f t="array" ref="BD115">_xlfn.LET(_xlpm.DepreciationMonths,INDEX(FixedAssets[Depreciation
/ Amortization Months],_xlfn.XMATCH($E$84,FixedAssets[Asset ID])),IF(AND((_xlfn.XMATCH(BD$8,$AH$8:$CC$8))-_xlfn.XMATCH($C115,$C$35:$C$82)+1&lt;=_xlpm.DepreciationMonths,$C115&lt;=BD$8),$E115/_xlpm.DepreciationMonths,0))</f>
        <v>0</v>
      </c>
      <c r="BE115" s="507" cm="1">
        <f t="array" ref="BE115">_xlfn.LET(_xlpm.DepreciationMonths,INDEX(FixedAssets[Depreciation
/ Amortization Months],_xlfn.XMATCH($E$84,FixedAssets[Asset ID])),IF(AND((_xlfn.XMATCH(BE$8,$AH$8:$CC$8))-_xlfn.XMATCH($C115,$C$35:$C$82)+1&lt;=_xlpm.DepreciationMonths,$C115&lt;=BE$8),$E115/_xlpm.DepreciationMonths,0))</f>
        <v>0</v>
      </c>
      <c r="BF115" s="507" cm="1">
        <f t="array" ref="BF115">_xlfn.LET(_xlpm.DepreciationMonths,INDEX(FixedAssets[Depreciation
/ Amortization Months],_xlfn.XMATCH($E$84,FixedAssets[Asset ID])),IF(AND((_xlfn.XMATCH(BF$8,$AH$8:$CC$8))-_xlfn.XMATCH($C115,$C$35:$C$82)+1&lt;=_xlpm.DepreciationMonths,$C115&lt;=BF$8),$E115/_xlpm.DepreciationMonths,0))</f>
        <v>0</v>
      </c>
      <c r="BG115" s="507" cm="1">
        <f t="array" ref="BG115">_xlfn.LET(_xlpm.DepreciationMonths,INDEX(FixedAssets[Depreciation
/ Amortization Months],_xlfn.XMATCH($E$84,FixedAssets[Asset ID])),IF(AND((_xlfn.XMATCH(BG$8,$AH$8:$CC$8))-_xlfn.XMATCH($C115,$C$35:$C$82)+1&lt;=_xlpm.DepreciationMonths,$C115&lt;=BG$8),$E115/_xlpm.DepreciationMonths,0))</f>
        <v>0</v>
      </c>
      <c r="BH115" s="507" cm="1">
        <f t="array" ref="BH115">_xlfn.LET(_xlpm.DepreciationMonths,INDEX(FixedAssets[Depreciation
/ Amortization Months],_xlfn.XMATCH($E$84,FixedAssets[Asset ID])),IF(AND((_xlfn.XMATCH(BH$8,$AH$8:$CC$8))-_xlfn.XMATCH($C115,$C$35:$C$82)+1&lt;=_xlpm.DepreciationMonths,$C115&lt;=BH$8),$E115/_xlpm.DepreciationMonths,0))</f>
        <v>0</v>
      </c>
      <c r="BI115" s="507" cm="1">
        <f t="array" ref="BI115">_xlfn.LET(_xlpm.DepreciationMonths,INDEX(FixedAssets[Depreciation
/ Amortization Months],_xlfn.XMATCH($E$84,FixedAssets[Asset ID])),IF(AND((_xlfn.XMATCH(BI$8,$AH$8:$CC$8))-_xlfn.XMATCH($C115,$C$35:$C$82)+1&lt;=_xlpm.DepreciationMonths,$C115&lt;=BI$8),$E115/_xlpm.DepreciationMonths,0))</f>
        <v>0</v>
      </c>
      <c r="BJ115" s="507" cm="1">
        <f t="array" ref="BJ115">_xlfn.LET(_xlpm.DepreciationMonths,INDEX(FixedAssets[Depreciation
/ Amortization Months],_xlfn.XMATCH($E$84,FixedAssets[Asset ID])),IF(AND((_xlfn.XMATCH(BJ$8,$AH$8:$CC$8))-_xlfn.XMATCH($C115,$C$35:$C$82)+1&lt;=_xlpm.DepreciationMonths,$C115&lt;=BJ$8),$E115/_xlpm.DepreciationMonths,0))</f>
        <v>0</v>
      </c>
      <c r="BK115" s="507" cm="1">
        <f t="array" ref="BK115">_xlfn.LET(_xlpm.DepreciationMonths,INDEX(FixedAssets[Depreciation
/ Amortization Months],_xlfn.XMATCH($E$84,FixedAssets[Asset ID])),IF(AND((_xlfn.XMATCH(BK$8,$AH$8:$CC$8))-_xlfn.XMATCH($C115,$C$35:$C$82)+1&lt;=_xlpm.DepreciationMonths,$C115&lt;=BK$8),$E115/_xlpm.DepreciationMonths,0))</f>
        <v>0</v>
      </c>
      <c r="BL115" s="507" cm="1">
        <f t="array" ref="BL115">_xlfn.LET(_xlpm.DepreciationMonths,INDEX(FixedAssets[Depreciation
/ Amortization Months],_xlfn.XMATCH($E$84,FixedAssets[Asset ID])),IF(AND((_xlfn.XMATCH(BL$8,$AH$8:$CC$8))-_xlfn.XMATCH($C115,$C$35:$C$82)+1&lt;=_xlpm.DepreciationMonths,$C115&lt;=BL$8),$E115/_xlpm.DepreciationMonths,0))</f>
        <v>0</v>
      </c>
      <c r="BM115" s="507" cm="1">
        <f t="array" ref="BM115">_xlfn.LET(_xlpm.DepreciationMonths,INDEX(FixedAssets[Depreciation
/ Amortization Months],_xlfn.XMATCH($E$84,FixedAssets[Asset ID])),IF(AND((_xlfn.XMATCH(BM$8,$AH$8:$CC$8))-_xlfn.XMATCH($C115,$C$35:$C$82)+1&lt;=_xlpm.DepreciationMonths,$C115&lt;=BM$8),$E115/_xlpm.DepreciationMonths,0))</f>
        <v>0</v>
      </c>
      <c r="BN115" s="507" cm="1">
        <f t="array" ref="BN115">_xlfn.LET(_xlpm.DepreciationMonths,INDEX(FixedAssets[Depreciation
/ Amortization Months],_xlfn.XMATCH($E$84,FixedAssets[Asset ID])),IF(AND((_xlfn.XMATCH(BN$8,$AH$8:$CC$8))-_xlfn.XMATCH($C115,$C$35:$C$82)+1&lt;=_xlpm.DepreciationMonths,$C115&lt;=BN$8),$E115/_xlpm.DepreciationMonths,0))</f>
        <v>0</v>
      </c>
      <c r="BO115" s="507" cm="1">
        <f t="array" ref="BO115">_xlfn.LET(_xlpm.DepreciationMonths,INDEX(FixedAssets[Depreciation
/ Amortization Months],_xlfn.XMATCH($E$84,FixedAssets[Asset ID])),IF(AND((_xlfn.XMATCH(BO$8,$AH$8:$CC$8))-_xlfn.XMATCH($C115,$C$35:$C$82)+1&lt;=_xlpm.DepreciationMonths,$C115&lt;=BO$8),$E115/_xlpm.DepreciationMonths,0))</f>
        <v>0</v>
      </c>
      <c r="BP115" s="507" cm="1">
        <f t="array" ref="BP115">_xlfn.LET(_xlpm.DepreciationMonths,INDEX(FixedAssets[Depreciation
/ Amortization Months],_xlfn.XMATCH($E$84,FixedAssets[Asset ID])),IF(AND((_xlfn.XMATCH(BP$8,$AH$8:$CC$8))-_xlfn.XMATCH($C115,$C$35:$C$82)+1&lt;=_xlpm.DepreciationMonths,$C115&lt;=BP$8),$E115/_xlpm.DepreciationMonths,0))</f>
        <v>0</v>
      </c>
      <c r="BQ115" s="507" cm="1">
        <f t="array" ref="BQ115">_xlfn.LET(_xlpm.DepreciationMonths,INDEX(FixedAssets[Depreciation
/ Amortization Months],_xlfn.XMATCH($E$84,FixedAssets[Asset ID])),IF(AND((_xlfn.XMATCH(BQ$8,$AH$8:$CC$8))-_xlfn.XMATCH($C115,$C$35:$C$82)+1&lt;=_xlpm.DepreciationMonths,$C115&lt;=BQ$8),$E115/_xlpm.DepreciationMonths,0))</f>
        <v>0</v>
      </c>
      <c r="BR115" s="507" cm="1">
        <f t="array" ref="BR115">_xlfn.LET(_xlpm.DepreciationMonths,INDEX(FixedAssets[Depreciation
/ Amortization Months],_xlfn.XMATCH($E$84,FixedAssets[Asset ID])),IF(AND((_xlfn.XMATCH(BR$8,$AH$8:$CC$8))-_xlfn.XMATCH($C115,$C$35:$C$82)+1&lt;=_xlpm.DepreciationMonths,$C115&lt;=BR$8),$E115/_xlpm.DepreciationMonths,0))</f>
        <v>0</v>
      </c>
      <c r="BS115" s="507" cm="1">
        <f t="array" ref="BS115">_xlfn.LET(_xlpm.DepreciationMonths,INDEX(FixedAssets[Depreciation
/ Amortization Months],_xlfn.XMATCH($E$84,FixedAssets[Asset ID])),IF(AND((_xlfn.XMATCH(BS$8,$AH$8:$CC$8))-_xlfn.XMATCH($C115,$C$35:$C$82)+1&lt;=_xlpm.DepreciationMonths,$C115&lt;=BS$8),$E115/_xlpm.DepreciationMonths,0))</f>
        <v>0</v>
      </c>
      <c r="BT115" s="507" cm="1">
        <f t="array" ref="BT115">_xlfn.LET(_xlpm.DepreciationMonths,INDEX(FixedAssets[Depreciation
/ Amortization Months],_xlfn.XMATCH($E$84,FixedAssets[Asset ID])),IF(AND((_xlfn.XMATCH(BT$8,$AH$8:$CC$8))-_xlfn.XMATCH($C115,$C$35:$C$82)+1&lt;=_xlpm.DepreciationMonths,$C115&lt;=BT$8),$E115/_xlpm.DepreciationMonths,0))</f>
        <v>0</v>
      </c>
      <c r="BU115" s="507" cm="1">
        <f t="array" ref="BU115">_xlfn.LET(_xlpm.DepreciationMonths,INDEX(FixedAssets[Depreciation
/ Amortization Months],_xlfn.XMATCH($E$84,FixedAssets[Asset ID])),IF(AND((_xlfn.XMATCH(BU$8,$AH$8:$CC$8))-_xlfn.XMATCH($C115,$C$35:$C$82)+1&lt;=_xlpm.DepreciationMonths,$C115&lt;=BU$8),$E115/_xlpm.DepreciationMonths,0))</f>
        <v>0</v>
      </c>
      <c r="BV115" s="507" cm="1">
        <f t="array" ref="BV115">_xlfn.LET(_xlpm.DepreciationMonths,INDEX(FixedAssets[Depreciation
/ Amortization Months],_xlfn.XMATCH($E$84,FixedAssets[Asset ID])),IF(AND((_xlfn.XMATCH(BV$8,$AH$8:$CC$8))-_xlfn.XMATCH($C115,$C$35:$C$82)+1&lt;=_xlpm.DepreciationMonths,$C115&lt;=BV$8),$E115/_xlpm.DepreciationMonths,0))</f>
        <v>0</v>
      </c>
      <c r="BW115" s="507" cm="1">
        <f t="array" ref="BW115">_xlfn.LET(_xlpm.DepreciationMonths,INDEX(FixedAssets[Depreciation
/ Amortization Months],_xlfn.XMATCH($E$84,FixedAssets[Asset ID])),IF(AND((_xlfn.XMATCH(BW$8,$AH$8:$CC$8))-_xlfn.XMATCH($C115,$C$35:$C$82)+1&lt;=_xlpm.DepreciationMonths,$C115&lt;=BW$8),$E115/_xlpm.DepreciationMonths,0))</f>
        <v>0</v>
      </c>
      <c r="BX115" s="507" cm="1">
        <f t="array" ref="BX115">_xlfn.LET(_xlpm.DepreciationMonths,INDEX(FixedAssets[Depreciation
/ Amortization Months],_xlfn.XMATCH($E$84,FixedAssets[Asset ID])),IF(AND((_xlfn.XMATCH(BX$8,$AH$8:$CC$8))-_xlfn.XMATCH($C115,$C$35:$C$82)+1&lt;=_xlpm.DepreciationMonths,$C115&lt;=BX$8),$E115/_xlpm.DepreciationMonths,0))</f>
        <v>0</v>
      </c>
      <c r="BY115" s="507" cm="1">
        <f t="array" ref="BY115">_xlfn.LET(_xlpm.DepreciationMonths,INDEX(FixedAssets[Depreciation
/ Amortization Months],_xlfn.XMATCH($E$84,FixedAssets[Asset ID])),IF(AND((_xlfn.XMATCH(BY$8,$AH$8:$CC$8))-_xlfn.XMATCH($C115,$C$35:$C$82)+1&lt;=_xlpm.DepreciationMonths,$C115&lt;=BY$8),$E115/_xlpm.DepreciationMonths,0))</f>
        <v>0</v>
      </c>
      <c r="BZ115" s="507" cm="1">
        <f t="array" ref="BZ115">_xlfn.LET(_xlpm.DepreciationMonths,INDEX(FixedAssets[Depreciation
/ Amortization Months],_xlfn.XMATCH($E$84,FixedAssets[Asset ID])),IF(AND((_xlfn.XMATCH(BZ$8,$AH$8:$CC$8))-_xlfn.XMATCH($C115,$C$35:$C$82)+1&lt;=_xlpm.DepreciationMonths,$C115&lt;=BZ$8),$E115/_xlpm.DepreciationMonths,0))</f>
        <v>0</v>
      </c>
      <c r="CA115" s="507" cm="1">
        <f t="array" ref="CA115">_xlfn.LET(_xlpm.DepreciationMonths,INDEX(FixedAssets[Depreciation
/ Amortization Months],_xlfn.XMATCH($E$84,FixedAssets[Asset ID])),IF(AND((_xlfn.XMATCH(CA$8,$AH$8:$CC$8))-_xlfn.XMATCH($C115,$C$35:$C$82)+1&lt;=_xlpm.DepreciationMonths,$C115&lt;=CA$8),$E115/_xlpm.DepreciationMonths,0))</f>
        <v>0</v>
      </c>
      <c r="CB115" s="507" cm="1">
        <f t="array" ref="CB115">_xlfn.LET(_xlpm.DepreciationMonths,INDEX(FixedAssets[Depreciation
/ Amortization Months],_xlfn.XMATCH($E$84,FixedAssets[Asset ID])),IF(AND((_xlfn.XMATCH(CB$8,$AH$8:$CC$8))-_xlfn.XMATCH($C115,$C$35:$C$82)+1&lt;=_xlpm.DepreciationMonths,$C115&lt;=CB$8),$E115/_xlpm.DepreciationMonths,0))</f>
        <v>0</v>
      </c>
      <c r="CC115" s="507" cm="1">
        <f t="array" ref="CC115">_xlfn.LET(_xlpm.DepreciationMonths,INDEX(FixedAssets[Depreciation
/ Amortization Months],_xlfn.XMATCH($E$84,FixedAssets[Asset ID])),IF(AND((_xlfn.XMATCH(CC$8,$AH$8:$CC$8))-_xlfn.XMATCH($C115,$C$35:$C$82)+1&lt;=_xlpm.DepreciationMonths,$C115&lt;=CC$8),$E115/_xlpm.DepreciationMonths,0))</f>
        <v>0</v>
      </c>
    </row>
    <row r="116" spans="3:81" hidden="1" outlineLevel="2">
      <c r="C116" s="664">
        <f t="shared" si="167"/>
        <v>45869</v>
      </c>
      <c r="D116" s="508"/>
      <c r="E116" s="508" cm="1">
        <f t="array" ref="E116">SUMPRODUCT(($AH$26:$CC$31)*($AH$5:$CC$5=$C116)*($E$26:$E$31=E$84))-SUMPRODUCT(($AH$26:$CC$31)*($AH$5:$CC$5=EOMONTH($C116,-1))*($E$26:$E$31=E$84))</f>
        <v>0</v>
      </c>
      <c r="F116" s="508"/>
      <c r="G116" s="508"/>
      <c r="H116" s="508"/>
      <c r="I116" s="508"/>
      <c r="J116" s="504">
        <f t="shared" si="164"/>
        <v>0</v>
      </c>
      <c r="K116" s="504">
        <f t="shared" si="169"/>
        <v>0</v>
      </c>
      <c r="L116" s="504">
        <f t="shared" si="169"/>
        <v>0</v>
      </c>
      <c r="M116" s="504">
        <f t="shared" si="169"/>
        <v>0</v>
      </c>
      <c r="N116" s="504"/>
      <c r="O116" s="504"/>
      <c r="P116" s="504">
        <f t="shared" si="170"/>
        <v>0</v>
      </c>
      <c r="Q116" s="504">
        <f t="shared" si="170"/>
        <v>0</v>
      </c>
      <c r="R116" s="504">
        <f t="shared" si="170"/>
        <v>0</v>
      </c>
      <c r="S116" s="504">
        <f t="shared" si="170"/>
        <v>0</v>
      </c>
      <c r="T116" s="504">
        <f t="shared" si="170"/>
        <v>0</v>
      </c>
      <c r="U116" s="504">
        <f t="shared" si="170"/>
        <v>0</v>
      </c>
      <c r="V116" s="504">
        <f t="shared" si="170"/>
        <v>0</v>
      </c>
      <c r="W116" s="504">
        <f t="shared" si="170"/>
        <v>0</v>
      </c>
      <c r="X116" s="504">
        <f t="shared" si="170"/>
        <v>0</v>
      </c>
      <c r="Y116" s="504">
        <f t="shared" si="170"/>
        <v>0</v>
      </c>
      <c r="Z116" s="504">
        <f t="shared" si="170"/>
        <v>0</v>
      </c>
      <c r="AA116" s="504">
        <f t="shared" si="170"/>
        <v>0</v>
      </c>
      <c r="AB116" s="504">
        <f t="shared" si="170"/>
        <v>0</v>
      </c>
      <c r="AC116" s="504">
        <f t="shared" si="170"/>
        <v>0</v>
      </c>
      <c r="AD116" s="504">
        <f t="shared" si="170"/>
        <v>0</v>
      </c>
      <c r="AE116" s="504">
        <f t="shared" si="170"/>
        <v>0</v>
      </c>
      <c r="AF116" s="508"/>
      <c r="AG116" s="508"/>
      <c r="AH116" s="507" cm="1">
        <f t="array" ref="AH116">_xlfn.LET(_xlpm.DepreciationMonths,INDEX(FixedAssets[Depreciation
/ Amortization Months],_xlfn.XMATCH($E$84,FixedAssets[Asset ID])),IF(AND((_xlfn.XMATCH(AH$8,$AH$8:$CC$8))-_xlfn.XMATCH($C116,$C$35:$C$82)+1&lt;=_xlpm.DepreciationMonths,$C116&lt;=AH$8),$E116/_xlpm.DepreciationMonths,0))</f>
        <v>0</v>
      </c>
      <c r="AI116" s="507" cm="1">
        <f t="array" ref="AI116">_xlfn.LET(_xlpm.DepreciationMonths,INDEX(FixedAssets[Depreciation
/ Amortization Months],_xlfn.XMATCH($E$84,FixedAssets[Asset ID])),IF(AND((_xlfn.XMATCH(AI$8,$AH$8:$CC$8))-_xlfn.XMATCH($C116,$C$35:$C$82)+1&lt;=_xlpm.DepreciationMonths,$C116&lt;=AI$8),$E116/_xlpm.DepreciationMonths,0))</f>
        <v>0</v>
      </c>
      <c r="AJ116" s="507" cm="1">
        <f t="array" ref="AJ116">_xlfn.LET(_xlpm.DepreciationMonths,INDEX(FixedAssets[Depreciation
/ Amortization Months],_xlfn.XMATCH($E$84,FixedAssets[Asset ID])),IF(AND((_xlfn.XMATCH(AJ$8,$AH$8:$CC$8))-_xlfn.XMATCH($C116,$C$35:$C$82)+1&lt;=_xlpm.DepreciationMonths,$C116&lt;=AJ$8),$E116/_xlpm.DepreciationMonths,0))</f>
        <v>0</v>
      </c>
      <c r="AK116" s="507" cm="1">
        <f t="array" ref="AK116">_xlfn.LET(_xlpm.DepreciationMonths,INDEX(FixedAssets[Depreciation
/ Amortization Months],_xlfn.XMATCH($E$84,FixedAssets[Asset ID])),IF(AND((_xlfn.XMATCH(AK$8,$AH$8:$CC$8))-_xlfn.XMATCH($C116,$C$35:$C$82)+1&lt;=_xlpm.DepreciationMonths,$C116&lt;=AK$8),$E116/_xlpm.DepreciationMonths,0))</f>
        <v>0</v>
      </c>
      <c r="AL116" s="507" cm="1">
        <f t="array" ref="AL116">_xlfn.LET(_xlpm.DepreciationMonths,INDEX(FixedAssets[Depreciation
/ Amortization Months],_xlfn.XMATCH($E$84,FixedAssets[Asset ID])),IF(AND((_xlfn.XMATCH(AL$8,$AH$8:$CC$8))-_xlfn.XMATCH($C116,$C$35:$C$82)+1&lt;=_xlpm.DepreciationMonths,$C116&lt;=AL$8),$E116/_xlpm.DepreciationMonths,0))</f>
        <v>0</v>
      </c>
      <c r="AM116" s="507" cm="1">
        <f t="array" ref="AM116">_xlfn.LET(_xlpm.DepreciationMonths,INDEX(FixedAssets[Depreciation
/ Amortization Months],_xlfn.XMATCH($E$84,FixedAssets[Asset ID])),IF(AND((_xlfn.XMATCH(AM$8,$AH$8:$CC$8))-_xlfn.XMATCH($C116,$C$35:$C$82)+1&lt;=_xlpm.DepreciationMonths,$C116&lt;=AM$8),$E116/_xlpm.DepreciationMonths,0))</f>
        <v>0</v>
      </c>
      <c r="AN116" s="507" cm="1">
        <f t="array" ref="AN116">_xlfn.LET(_xlpm.DepreciationMonths,INDEX(FixedAssets[Depreciation
/ Amortization Months],_xlfn.XMATCH($E$84,FixedAssets[Asset ID])),IF(AND((_xlfn.XMATCH(AN$8,$AH$8:$CC$8))-_xlfn.XMATCH($C116,$C$35:$C$82)+1&lt;=_xlpm.DepreciationMonths,$C116&lt;=AN$8),$E116/_xlpm.DepreciationMonths,0))</f>
        <v>0</v>
      </c>
      <c r="AO116" s="507" cm="1">
        <f t="array" ref="AO116">_xlfn.LET(_xlpm.DepreciationMonths,INDEX(FixedAssets[Depreciation
/ Amortization Months],_xlfn.XMATCH($E$84,FixedAssets[Asset ID])),IF(AND((_xlfn.XMATCH(AO$8,$AH$8:$CC$8))-_xlfn.XMATCH($C116,$C$35:$C$82)+1&lt;=_xlpm.DepreciationMonths,$C116&lt;=AO$8),$E116/_xlpm.DepreciationMonths,0))</f>
        <v>0</v>
      </c>
      <c r="AP116" s="507" cm="1">
        <f t="array" ref="AP116">_xlfn.LET(_xlpm.DepreciationMonths,INDEX(FixedAssets[Depreciation
/ Amortization Months],_xlfn.XMATCH($E$84,FixedAssets[Asset ID])),IF(AND((_xlfn.XMATCH(AP$8,$AH$8:$CC$8))-_xlfn.XMATCH($C116,$C$35:$C$82)+1&lt;=_xlpm.DepreciationMonths,$C116&lt;=AP$8),$E116/_xlpm.DepreciationMonths,0))</f>
        <v>0</v>
      </c>
      <c r="AQ116" s="507" cm="1">
        <f t="array" ref="AQ116">_xlfn.LET(_xlpm.DepreciationMonths,INDEX(FixedAssets[Depreciation
/ Amortization Months],_xlfn.XMATCH($E$84,FixedAssets[Asset ID])),IF(AND((_xlfn.XMATCH(AQ$8,$AH$8:$CC$8))-_xlfn.XMATCH($C116,$C$35:$C$82)+1&lt;=_xlpm.DepreciationMonths,$C116&lt;=AQ$8),$E116/_xlpm.DepreciationMonths,0))</f>
        <v>0</v>
      </c>
      <c r="AR116" s="507" cm="1">
        <f t="array" ref="AR116">_xlfn.LET(_xlpm.DepreciationMonths,INDEX(FixedAssets[Depreciation
/ Amortization Months],_xlfn.XMATCH($E$84,FixedAssets[Asset ID])),IF(AND((_xlfn.XMATCH(AR$8,$AH$8:$CC$8))-_xlfn.XMATCH($C116,$C$35:$C$82)+1&lt;=_xlpm.DepreciationMonths,$C116&lt;=AR$8),$E116/_xlpm.DepreciationMonths,0))</f>
        <v>0</v>
      </c>
      <c r="AS116" s="507" cm="1">
        <f t="array" ref="AS116">_xlfn.LET(_xlpm.DepreciationMonths,INDEX(FixedAssets[Depreciation
/ Amortization Months],_xlfn.XMATCH($E$84,FixedAssets[Asset ID])),IF(AND((_xlfn.XMATCH(AS$8,$AH$8:$CC$8))-_xlfn.XMATCH($C116,$C$35:$C$82)+1&lt;=_xlpm.DepreciationMonths,$C116&lt;=AS$8),$E116/_xlpm.DepreciationMonths,0))</f>
        <v>0</v>
      </c>
      <c r="AT116" s="507" cm="1">
        <f t="array" ref="AT116">_xlfn.LET(_xlpm.DepreciationMonths,INDEX(FixedAssets[Depreciation
/ Amortization Months],_xlfn.XMATCH($E$84,FixedAssets[Asset ID])),IF(AND((_xlfn.XMATCH(AT$8,$AH$8:$CC$8))-_xlfn.XMATCH($C116,$C$35:$C$82)+1&lt;=_xlpm.DepreciationMonths,$C116&lt;=AT$8),$E116/_xlpm.DepreciationMonths,0))</f>
        <v>0</v>
      </c>
      <c r="AU116" s="507" cm="1">
        <f t="array" ref="AU116">_xlfn.LET(_xlpm.DepreciationMonths,INDEX(FixedAssets[Depreciation
/ Amortization Months],_xlfn.XMATCH($E$84,FixedAssets[Asset ID])),IF(AND((_xlfn.XMATCH(AU$8,$AH$8:$CC$8))-_xlfn.XMATCH($C116,$C$35:$C$82)+1&lt;=_xlpm.DepreciationMonths,$C116&lt;=AU$8),$E116/_xlpm.DepreciationMonths,0))</f>
        <v>0</v>
      </c>
      <c r="AV116" s="507" cm="1">
        <f t="array" ref="AV116">_xlfn.LET(_xlpm.DepreciationMonths,INDEX(FixedAssets[Depreciation
/ Amortization Months],_xlfn.XMATCH($E$84,FixedAssets[Asset ID])),IF(AND((_xlfn.XMATCH(AV$8,$AH$8:$CC$8))-_xlfn.XMATCH($C116,$C$35:$C$82)+1&lt;=_xlpm.DepreciationMonths,$C116&lt;=AV$8),$E116/_xlpm.DepreciationMonths,0))</f>
        <v>0</v>
      </c>
      <c r="AW116" s="507" cm="1">
        <f t="array" ref="AW116">_xlfn.LET(_xlpm.DepreciationMonths,INDEX(FixedAssets[Depreciation
/ Amortization Months],_xlfn.XMATCH($E$84,FixedAssets[Asset ID])),IF(AND((_xlfn.XMATCH(AW$8,$AH$8:$CC$8))-_xlfn.XMATCH($C116,$C$35:$C$82)+1&lt;=_xlpm.DepreciationMonths,$C116&lt;=AW$8),$E116/_xlpm.DepreciationMonths,0))</f>
        <v>0</v>
      </c>
      <c r="AX116" s="507" cm="1">
        <f t="array" ref="AX116">_xlfn.LET(_xlpm.DepreciationMonths,INDEX(FixedAssets[Depreciation
/ Amortization Months],_xlfn.XMATCH($E$84,FixedAssets[Asset ID])),IF(AND((_xlfn.XMATCH(AX$8,$AH$8:$CC$8))-_xlfn.XMATCH($C116,$C$35:$C$82)+1&lt;=_xlpm.DepreciationMonths,$C116&lt;=AX$8),$E116/_xlpm.DepreciationMonths,0))</f>
        <v>0</v>
      </c>
      <c r="AY116" s="507" cm="1">
        <f t="array" ref="AY116">_xlfn.LET(_xlpm.DepreciationMonths,INDEX(FixedAssets[Depreciation
/ Amortization Months],_xlfn.XMATCH($E$84,FixedAssets[Asset ID])),IF(AND((_xlfn.XMATCH(AY$8,$AH$8:$CC$8))-_xlfn.XMATCH($C116,$C$35:$C$82)+1&lt;=_xlpm.DepreciationMonths,$C116&lt;=AY$8),$E116/_xlpm.DepreciationMonths,0))</f>
        <v>0</v>
      </c>
      <c r="AZ116" s="507" cm="1">
        <f t="array" ref="AZ116">_xlfn.LET(_xlpm.DepreciationMonths,INDEX(FixedAssets[Depreciation
/ Amortization Months],_xlfn.XMATCH($E$84,FixedAssets[Asset ID])),IF(AND((_xlfn.XMATCH(AZ$8,$AH$8:$CC$8))-_xlfn.XMATCH($C116,$C$35:$C$82)+1&lt;=_xlpm.DepreciationMonths,$C116&lt;=AZ$8),$E116/_xlpm.DepreciationMonths,0))</f>
        <v>0</v>
      </c>
      <c r="BA116" s="507" cm="1">
        <f t="array" ref="BA116">_xlfn.LET(_xlpm.DepreciationMonths,INDEX(FixedAssets[Depreciation
/ Amortization Months],_xlfn.XMATCH($E$84,FixedAssets[Asset ID])),IF(AND((_xlfn.XMATCH(BA$8,$AH$8:$CC$8))-_xlfn.XMATCH($C116,$C$35:$C$82)+1&lt;=_xlpm.DepreciationMonths,$C116&lt;=BA$8),$E116/_xlpm.DepreciationMonths,0))</f>
        <v>0</v>
      </c>
      <c r="BB116" s="507" cm="1">
        <f t="array" ref="BB116">_xlfn.LET(_xlpm.DepreciationMonths,INDEX(FixedAssets[Depreciation
/ Amortization Months],_xlfn.XMATCH($E$84,FixedAssets[Asset ID])),IF(AND((_xlfn.XMATCH(BB$8,$AH$8:$CC$8))-_xlfn.XMATCH($C116,$C$35:$C$82)+1&lt;=_xlpm.DepreciationMonths,$C116&lt;=BB$8),$E116/_xlpm.DepreciationMonths,0))</f>
        <v>0</v>
      </c>
      <c r="BC116" s="507" cm="1">
        <f t="array" ref="BC116">_xlfn.LET(_xlpm.DepreciationMonths,INDEX(FixedAssets[Depreciation
/ Amortization Months],_xlfn.XMATCH($E$84,FixedAssets[Asset ID])),IF(AND((_xlfn.XMATCH(BC$8,$AH$8:$CC$8))-_xlfn.XMATCH($C116,$C$35:$C$82)+1&lt;=_xlpm.DepreciationMonths,$C116&lt;=BC$8),$E116/_xlpm.DepreciationMonths,0))</f>
        <v>0</v>
      </c>
      <c r="BD116" s="507" cm="1">
        <f t="array" ref="BD116">_xlfn.LET(_xlpm.DepreciationMonths,INDEX(FixedAssets[Depreciation
/ Amortization Months],_xlfn.XMATCH($E$84,FixedAssets[Asset ID])),IF(AND((_xlfn.XMATCH(BD$8,$AH$8:$CC$8))-_xlfn.XMATCH($C116,$C$35:$C$82)+1&lt;=_xlpm.DepreciationMonths,$C116&lt;=BD$8),$E116/_xlpm.DepreciationMonths,0))</f>
        <v>0</v>
      </c>
      <c r="BE116" s="507" cm="1">
        <f t="array" ref="BE116">_xlfn.LET(_xlpm.DepreciationMonths,INDEX(FixedAssets[Depreciation
/ Amortization Months],_xlfn.XMATCH($E$84,FixedAssets[Asset ID])),IF(AND((_xlfn.XMATCH(BE$8,$AH$8:$CC$8))-_xlfn.XMATCH($C116,$C$35:$C$82)+1&lt;=_xlpm.DepreciationMonths,$C116&lt;=BE$8),$E116/_xlpm.DepreciationMonths,0))</f>
        <v>0</v>
      </c>
      <c r="BF116" s="507" cm="1">
        <f t="array" ref="BF116">_xlfn.LET(_xlpm.DepreciationMonths,INDEX(FixedAssets[Depreciation
/ Amortization Months],_xlfn.XMATCH($E$84,FixedAssets[Asset ID])),IF(AND((_xlfn.XMATCH(BF$8,$AH$8:$CC$8))-_xlfn.XMATCH($C116,$C$35:$C$82)+1&lt;=_xlpm.DepreciationMonths,$C116&lt;=BF$8),$E116/_xlpm.DepreciationMonths,0))</f>
        <v>0</v>
      </c>
      <c r="BG116" s="507" cm="1">
        <f t="array" ref="BG116">_xlfn.LET(_xlpm.DepreciationMonths,INDEX(FixedAssets[Depreciation
/ Amortization Months],_xlfn.XMATCH($E$84,FixedAssets[Asset ID])),IF(AND((_xlfn.XMATCH(BG$8,$AH$8:$CC$8))-_xlfn.XMATCH($C116,$C$35:$C$82)+1&lt;=_xlpm.DepreciationMonths,$C116&lt;=BG$8),$E116/_xlpm.DepreciationMonths,0))</f>
        <v>0</v>
      </c>
      <c r="BH116" s="507" cm="1">
        <f t="array" ref="BH116">_xlfn.LET(_xlpm.DepreciationMonths,INDEX(FixedAssets[Depreciation
/ Amortization Months],_xlfn.XMATCH($E$84,FixedAssets[Asset ID])),IF(AND((_xlfn.XMATCH(BH$8,$AH$8:$CC$8))-_xlfn.XMATCH($C116,$C$35:$C$82)+1&lt;=_xlpm.DepreciationMonths,$C116&lt;=BH$8),$E116/_xlpm.DepreciationMonths,0))</f>
        <v>0</v>
      </c>
      <c r="BI116" s="507" cm="1">
        <f t="array" ref="BI116">_xlfn.LET(_xlpm.DepreciationMonths,INDEX(FixedAssets[Depreciation
/ Amortization Months],_xlfn.XMATCH($E$84,FixedAssets[Asset ID])),IF(AND((_xlfn.XMATCH(BI$8,$AH$8:$CC$8))-_xlfn.XMATCH($C116,$C$35:$C$82)+1&lt;=_xlpm.DepreciationMonths,$C116&lt;=BI$8),$E116/_xlpm.DepreciationMonths,0))</f>
        <v>0</v>
      </c>
      <c r="BJ116" s="507" cm="1">
        <f t="array" ref="BJ116">_xlfn.LET(_xlpm.DepreciationMonths,INDEX(FixedAssets[Depreciation
/ Amortization Months],_xlfn.XMATCH($E$84,FixedAssets[Asset ID])),IF(AND((_xlfn.XMATCH(BJ$8,$AH$8:$CC$8))-_xlfn.XMATCH($C116,$C$35:$C$82)+1&lt;=_xlpm.DepreciationMonths,$C116&lt;=BJ$8),$E116/_xlpm.DepreciationMonths,0))</f>
        <v>0</v>
      </c>
      <c r="BK116" s="507" cm="1">
        <f t="array" ref="BK116">_xlfn.LET(_xlpm.DepreciationMonths,INDEX(FixedAssets[Depreciation
/ Amortization Months],_xlfn.XMATCH($E$84,FixedAssets[Asset ID])),IF(AND((_xlfn.XMATCH(BK$8,$AH$8:$CC$8))-_xlfn.XMATCH($C116,$C$35:$C$82)+1&lt;=_xlpm.DepreciationMonths,$C116&lt;=BK$8),$E116/_xlpm.DepreciationMonths,0))</f>
        <v>0</v>
      </c>
      <c r="BL116" s="507" cm="1">
        <f t="array" ref="BL116">_xlfn.LET(_xlpm.DepreciationMonths,INDEX(FixedAssets[Depreciation
/ Amortization Months],_xlfn.XMATCH($E$84,FixedAssets[Asset ID])),IF(AND((_xlfn.XMATCH(BL$8,$AH$8:$CC$8))-_xlfn.XMATCH($C116,$C$35:$C$82)+1&lt;=_xlpm.DepreciationMonths,$C116&lt;=BL$8),$E116/_xlpm.DepreciationMonths,0))</f>
        <v>0</v>
      </c>
      <c r="BM116" s="507" cm="1">
        <f t="array" ref="BM116">_xlfn.LET(_xlpm.DepreciationMonths,INDEX(FixedAssets[Depreciation
/ Amortization Months],_xlfn.XMATCH($E$84,FixedAssets[Asset ID])),IF(AND((_xlfn.XMATCH(BM$8,$AH$8:$CC$8))-_xlfn.XMATCH($C116,$C$35:$C$82)+1&lt;=_xlpm.DepreciationMonths,$C116&lt;=BM$8),$E116/_xlpm.DepreciationMonths,0))</f>
        <v>0</v>
      </c>
      <c r="BN116" s="507" cm="1">
        <f t="array" ref="BN116">_xlfn.LET(_xlpm.DepreciationMonths,INDEX(FixedAssets[Depreciation
/ Amortization Months],_xlfn.XMATCH($E$84,FixedAssets[Asset ID])),IF(AND((_xlfn.XMATCH(BN$8,$AH$8:$CC$8))-_xlfn.XMATCH($C116,$C$35:$C$82)+1&lt;=_xlpm.DepreciationMonths,$C116&lt;=BN$8),$E116/_xlpm.DepreciationMonths,0))</f>
        <v>0</v>
      </c>
      <c r="BO116" s="507" cm="1">
        <f t="array" ref="BO116">_xlfn.LET(_xlpm.DepreciationMonths,INDEX(FixedAssets[Depreciation
/ Amortization Months],_xlfn.XMATCH($E$84,FixedAssets[Asset ID])),IF(AND((_xlfn.XMATCH(BO$8,$AH$8:$CC$8))-_xlfn.XMATCH($C116,$C$35:$C$82)+1&lt;=_xlpm.DepreciationMonths,$C116&lt;=BO$8),$E116/_xlpm.DepreciationMonths,0))</f>
        <v>0</v>
      </c>
      <c r="BP116" s="507" cm="1">
        <f t="array" ref="BP116">_xlfn.LET(_xlpm.DepreciationMonths,INDEX(FixedAssets[Depreciation
/ Amortization Months],_xlfn.XMATCH($E$84,FixedAssets[Asset ID])),IF(AND((_xlfn.XMATCH(BP$8,$AH$8:$CC$8))-_xlfn.XMATCH($C116,$C$35:$C$82)+1&lt;=_xlpm.DepreciationMonths,$C116&lt;=BP$8),$E116/_xlpm.DepreciationMonths,0))</f>
        <v>0</v>
      </c>
      <c r="BQ116" s="507" cm="1">
        <f t="array" ref="BQ116">_xlfn.LET(_xlpm.DepreciationMonths,INDEX(FixedAssets[Depreciation
/ Amortization Months],_xlfn.XMATCH($E$84,FixedAssets[Asset ID])),IF(AND((_xlfn.XMATCH(BQ$8,$AH$8:$CC$8))-_xlfn.XMATCH($C116,$C$35:$C$82)+1&lt;=_xlpm.DepreciationMonths,$C116&lt;=BQ$8),$E116/_xlpm.DepreciationMonths,0))</f>
        <v>0</v>
      </c>
      <c r="BR116" s="507" cm="1">
        <f t="array" ref="BR116">_xlfn.LET(_xlpm.DepreciationMonths,INDEX(FixedAssets[Depreciation
/ Amortization Months],_xlfn.XMATCH($E$84,FixedAssets[Asset ID])),IF(AND((_xlfn.XMATCH(BR$8,$AH$8:$CC$8))-_xlfn.XMATCH($C116,$C$35:$C$82)+1&lt;=_xlpm.DepreciationMonths,$C116&lt;=BR$8),$E116/_xlpm.DepreciationMonths,0))</f>
        <v>0</v>
      </c>
      <c r="BS116" s="507" cm="1">
        <f t="array" ref="BS116">_xlfn.LET(_xlpm.DepreciationMonths,INDEX(FixedAssets[Depreciation
/ Amortization Months],_xlfn.XMATCH($E$84,FixedAssets[Asset ID])),IF(AND((_xlfn.XMATCH(BS$8,$AH$8:$CC$8))-_xlfn.XMATCH($C116,$C$35:$C$82)+1&lt;=_xlpm.DepreciationMonths,$C116&lt;=BS$8),$E116/_xlpm.DepreciationMonths,0))</f>
        <v>0</v>
      </c>
      <c r="BT116" s="507" cm="1">
        <f t="array" ref="BT116">_xlfn.LET(_xlpm.DepreciationMonths,INDEX(FixedAssets[Depreciation
/ Amortization Months],_xlfn.XMATCH($E$84,FixedAssets[Asset ID])),IF(AND((_xlfn.XMATCH(BT$8,$AH$8:$CC$8))-_xlfn.XMATCH($C116,$C$35:$C$82)+1&lt;=_xlpm.DepreciationMonths,$C116&lt;=BT$8),$E116/_xlpm.DepreciationMonths,0))</f>
        <v>0</v>
      </c>
      <c r="BU116" s="507" cm="1">
        <f t="array" ref="BU116">_xlfn.LET(_xlpm.DepreciationMonths,INDEX(FixedAssets[Depreciation
/ Amortization Months],_xlfn.XMATCH($E$84,FixedAssets[Asset ID])),IF(AND((_xlfn.XMATCH(BU$8,$AH$8:$CC$8))-_xlfn.XMATCH($C116,$C$35:$C$82)+1&lt;=_xlpm.DepreciationMonths,$C116&lt;=BU$8),$E116/_xlpm.DepreciationMonths,0))</f>
        <v>0</v>
      </c>
      <c r="BV116" s="507" cm="1">
        <f t="array" ref="BV116">_xlfn.LET(_xlpm.DepreciationMonths,INDEX(FixedAssets[Depreciation
/ Amortization Months],_xlfn.XMATCH($E$84,FixedAssets[Asset ID])),IF(AND((_xlfn.XMATCH(BV$8,$AH$8:$CC$8))-_xlfn.XMATCH($C116,$C$35:$C$82)+1&lt;=_xlpm.DepreciationMonths,$C116&lt;=BV$8),$E116/_xlpm.DepreciationMonths,0))</f>
        <v>0</v>
      </c>
      <c r="BW116" s="507" cm="1">
        <f t="array" ref="BW116">_xlfn.LET(_xlpm.DepreciationMonths,INDEX(FixedAssets[Depreciation
/ Amortization Months],_xlfn.XMATCH($E$84,FixedAssets[Asset ID])),IF(AND((_xlfn.XMATCH(BW$8,$AH$8:$CC$8))-_xlfn.XMATCH($C116,$C$35:$C$82)+1&lt;=_xlpm.DepreciationMonths,$C116&lt;=BW$8),$E116/_xlpm.DepreciationMonths,0))</f>
        <v>0</v>
      </c>
      <c r="BX116" s="507" cm="1">
        <f t="array" ref="BX116">_xlfn.LET(_xlpm.DepreciationMonths,INDEX(FixedAssets[Depreciation
/ Amortization Months],_xlfn.XMATCH($E$84,FixedAssets[Asset ID])),IF(AND((_xlfn.XMATCH(BX$8,$AH$8:$CC$8))-_xlfn.XMATCH($C116,$C$35:$C$82)+1&lt;=_xlpm.DepreciationMonths,$C116&lt;=BX$8),$E116/_xlpm.DepreciationMonths,0))</f>
        <v>0</v>
      </c>
      <c r="BY116" s="507" cm="1">
        <f t="array" ref="BY116">_xlfn.LET(_xlpm.DepreciationMonths,INDEX(FixedAssets[Depreciation
/ Amortization Months],_xlfn.XMATCH($E$84,FixedAssets[Asset ID])),IF(AND((_xlfn.XMATCH(BY$8,$AH$8:$CC$8))-_xlfn.XMATCH($C116,$C$35:$C$82)+1&lt;=_xlpm.DepreciationMonths,$C116&lt;=BY$8),$E116/_xlpm.DepreciationMonths,0))</f>
        <v>0</v>
      </c>
      <c r="BZ116" s="507" cm="1">
        <f t="array" ref="BZ116">_xlfn.LET(_xlpm.DepreciationMonths,INDEX(FixedAssets[Depreciation
/ Amortization Months],_xlfn.XMATCH($E$84,FixedAssets[Asset ID])),IF(AND((_xlfn.XMATCH(BZ$8,$AH$8:$CC$8))-_xlfn.XMATCH($C116,$C$35:$C$82)+1&lt;=_xlpm.DepreciationMonths,$C116&lt;=BZ$8),$E116/_xlpm.DepreciationMonths,0))</f>
        <v>0</v>
      </c>
      <c r="CA116" s="507" cm="1">
        <f t="array" ref="CA116">_xlfn.LET(_xlpm.DepreciationMonths,INDEX(FixedAssets[Depreciation
/ Amortization Months],_xlfn.XMATCH($E$84,FixedAssets[Asset ID])),IF(AND((_xlfn.XMATCH(CA$8,$AH$8:$CC$8))-_xlfn.XMATCH($C116,$C$35:$C$82)+1&lt;=_xlpm.DepreciationMonths,$C116&lt;=CA$8),$E116/_xlpm.DepreciationMonths,0))</f>
        <v>0</v>
      </c>
      <c r="CB116" s="507" cm="1">
        <f t="array" ref="CB116">_xlfn.LET(_xlpm.DepreciationMonths,INDEX(FixedAssets[Depreciation
/ Amortization Months],_xlfn.XMATCH($E$84,FixedAssets[Asset ID])),IF(AND((_xlfn.XMATCH(CB$8,$AH$8:$CC$8))-_xlfn.XMATCH($C116,$C$35:$C$82)+1&lt;=_xlpm.DepreciationMonths,$C116&lt;=CB$8),$E116/_xlpm.DepreciationMonths,0))</f>
        <v>0</v>
      </c>
      <c r="CC116" s="507" cm="1">
        <f t="array" ref="CC116">_xlfn.LET(_xlpm.DepreciationMonths,INDEX(FixedAssets[Depreciation
/ Amortization Months],_xlfn.XMATCH($E$84,FixedAssets[Asset ID])),IF(AND((_xlfn.XMATCH(CC$8,$AH$8:$CC$8))-_xlfn.XMATCH($C116,$C$35:$C$82)+1&lt;=_xlpm.DepreciationMonths,$C116&lt;=CC$8),$E116/_xlpm.DepreciationMonths,0))</f>
        <v>0</v>
      </c>
    </row>
    <row r="117" spans="3:81" hidden="1" outlineLevel="2">
      <c r="C117" s="664">
        <f t="shared" si="167"/>
        <v>45900</v>
      </c>
      <c r="D117" s="508"/>
      <c r="E117" s="508" cm="1">
        <f t="array" ref="E117">SUMPRODUCT(($AH$26:$CC$31)*($AH$5:$CC$5=$C117)*($E$26:$E$31=E$84))-SUMPRODUCT(($AH$26:$CC$31)*($AH$5:$CC$5=EOMONTH($C117,-1))*($E$26:$E$31=E$84))</f>
        <v>0</v>
      </c>
      <c r="F117" s="508"/>
      <c r="G117" s="508"/>
      <c r="H117" s="508"/>
      <c r="I117" s="508"/>
      <c r="J117" s="504">
        <f t="shared" si="164"/>
        <v>0</v>
      </c>
      <c r="K117" s="504">
        <f t="shared" si="169"/>
        <v>0</v>
      </c>
      <c r="L117" s="504">
        <f t="shared" si="169"/>
        <v>0</v>
      </c>
      <c r="M117" s="504">
        <f t="shared" si="169"/>
        <v>0</v>
      </c>
      <c r="N117" s="504"/>
      <c r="O117" s="504"/>
      <c r="P117" s="504">
        <f t="shared" si="170"/>
        <v>0</v>
      </c>
      <c r="Q117" s="504">
        <f t="shared" si="170"/>
        <v>0</v>
      </c>
      <c r="R117" s="504">
        <f t="shared" si="170"/>
        <v>0</v>
      </c>
      <c r="S117" s="504">
        <f t="shared" si="170"/>
        <v>0</v>
      </c>
      <c r="T117" s="504">
        <f t="shared" si="170"/>
        <v>0</v>
      </c>
      <c r="U117" s="504">
        <f t="shared" si="170"/>
        <v>0</v>
      </c>
      <c r="V117" s="504">
        <f t="shared" si="170"/>
        <v>0</v>
      </c>
      <c r="W117" s="504">
        <f t="shared" si="170"/>
        <v>0</v>
      </c>
      <c r="X117" s="504">
        <f t="shared" si="170"/>
        <v>0</v>
      </c>
      <c r="Y117" s="504">
        <f t="shared" si="170"/>
        <v>0</v>
      </c>
      <c r="Z117" s="504">
        <f t="shared" si="170"/>
        <v>0</v>
      </c>
      <c r="AA117" s="504">
        <f t="shared" si="170"/>
        <v>0</v>
      </c>
      <c r="AB117" s="504">
        <f t="shared" si="170"/>
        <v>0</v>
      </c>
      <c r="AC117" s="504">
        <f t="shared" si="170"/>
        <v>0</v>
      </c>
      <c r="AD117" s="504">
        <f t="shared" si="170"/>
        <v>0</v>
      </c>
      <c r="AE117" s="504">
        <f t="shared" ref="AE117" si="171">SUMIFS($AH117:$CC117,$AH$4:$CC$4,"&gt;="&amp;AE$4,$AH$5:$CC$5,"&lt;="&amp;AE$5)</f>
        <v>0</v>
      </c>
      <c r="AF117" s="508"/>
      <c r="AG117" s="508"/>
      <c r="AH117" s="507" cm="1">
        <f t="array" ref="AH117">_xlfn.LET(_xlpm.DepreciationMonths,INDEX(FixedAssets[Depreciation
/ Amortization Months],_xlfn.XMATCH($E$84,FixedAssets[Asset ID])),IF(AND((_xlfn.XMATCH(AH$8,$AH$8:$CC$8))-_xlfn.XMATCH($C117,$C$35:$C$82)+1&lt;=_xlpm.DepreciationMonths,$C117&lt;=AH$8),$E117/_xlpm.DepreciationMonths,0))</f>
        <v>0</v>
      </c>
      <c r="AI117" s="507" cm="1">
        <f t="array" ref="AI117">_xlfn.LET(_xlpm.DepreciationMonths,INDEX(FixedAssets[Depreciation
/ Amortization Months],_xlfn.XMATCH($E$84,FixedAssets[Asset ID])),IF(AND((_xlfn.XMATCH(AI$8,$AH$8:$CC$8))-_xlfn.XMATCH($C117,$C$35:$C$82)+1&lt;=_xlpm.DepreciationMonths,$C117&lt;=AI$8),$E117/_xlpm.DepreciationMonths,0))</f>
        <v>0</v>
      </c>
      <c r="AJ117" s="507" cm="1">
        <f t="array" ref="AJ117">_xlfn.LET(_xlpm.DepreciationMonths,INDEX(FixedAssets[Depreciation
/ Amortization Months],_xlfn.XMATCH($E$84,FixedAssets[Asset ID])),IF(AND((_xlfn.XMATCH(AJ$8,$AH$8:$CC$8))-_xlfn.XMATCH($C117,$C$35:$C$82)+1&lt;=_xlpm.DepreciationMonths,$C117&lt;=AJ$8),$E117/_xlpm.DepreciationMonths,0))</f>
        <v>0</v>
      </c>
      <c r="AK117" s="507" cm="1">
        <f t="array" ref="AK117">_xlfn.LET(_xlpm.DepreciationMonths,INDEX(FixedAssets[Depreciation
/ Amortization Months],_xlfn.XMATCH($E$84,FixedAssets[Asset ID])),IF(AND((_xlfn.XMATCH(AK$8,$AH$8:$CC$8))-_xlfn.XMATCH($C117,$C$35:$C$82)+1&lt;=_xlpm.DepreciationMonths,$C117&lt;=AK$8),$E117/_xlpm.DepreciationMonths,0))</f>
        <v>0</v>
      </c>
      <c r="AL117" s="507" cm="1">
        <f t="array" ref="AL117">_xlfn.LET(_xlpm.DepreciationMonths,INDEX(FixedAssets[Depreciation
/ Amortization Months],_xlfn.XMATCH($E$84,FixedAssets[Asset ID])),IF(AND((_xlfn.XMATCH(AL$8,$AH$8:$CC$8))-_xlfn.XMATCH($C117,$C$35:$C$82)+1&lt;=_xlpm.DepreciationMonths,$C117&lt;=AL$8),$E117/_xlpm.DepreciationMonths,0))</f>
        <v>0</v>
      </c>
      <c r="AM117" s="507" cm="1">
        <f t="array" ref="AM117">_xlfn.LET(_xlpm.DepreciationMonths,INDEX(FixedAssets[Depreciation
/ Amortization Months],_xlfn.XMATCH($E$84,FixedAssets[Asset ID])),IF(AND((_xlfn.XMATCH(AM$8,$AH$8:$CC$8))-_xlfn.XMATCH($C117,$C$35:$C$82)+1&lt;=_xlpm.DepreciationMonths,$C117&lt;=AM$8),$E117/_xlpm.DepreciationMonths,0))</f>
        <v>0</v>
      </c>
      <c r="AN117" s="507" cm="1">
        <f t="array" ref="AN117">_xlfn.LET(_xlpm.DepreciationMonths,INDEX(FixedAssets[Depreciation
/ Amortization Months],_xlfn.XMATCH($E$84,FixedAssets[Asset ID])),IF(AND((_xlfn.XMATCH(AN$8,$AH$8:$CC$8))-_xlfn.XMATCH($C117,$C$35:$C$82)+1&lt;=_xlpm.DepreciationMonths,$C117&lt;=AN$8),$E117/_xlpm.DepreciationMonths,0))</f>
        <v>0</v>
      </c>
      <c r="AO117" s="507" cm="1">
        <f t="array" ref="AO117">_xlfn.LET(_xlpm.DepreciationMonths,INDEX(FixedAssets[Depreciation
/ Amortization Months],_xlfn.XMATCH($E$84,FixedAssets[Asset ID])),IF(AND((_xlfn.XMATCH(AO$8,$AH$8:$CC$8))-_xlfn.XMATCH($C117,$C$35:$C$82)+1&lt;=_xlpm.DepreciationMonths,$C117&lt;=AO$8),$E117/_xlpm.DepreciationMonths,0))</f>
        <v>0</v>
      </c>
      <c r="AP117" s="507" cm="1">
        <f t="array" ref="AP117">_xlfn.LET(_xlpm.DepreciationMonths,INDEX(FixedAssets[Depreciation
/ Amortization Months],_xlfn.XMATCH($E$84,FixedAssets[Asset ID])),IF(AND((_xlfn.XMATCH(AP$8,$AH$8:$CC$8))-_xlfn.XMATCH($C117,$C$35:$C$82)+1&lt;=_xlpm.DepreciationMonths,$C117&lt;=AP$8),$E117/_xlpm.DepreciationMonths,0))</f>
        <v>0</v>
      </c>
      <c r="AQ117" s="507" cm="1">
        <f t="array" ref="AQ117">_xlfn.LET(_xlpm.DepreciationMonths,INDEX(FixedAssets[Depreciation
/ Amortization Months],_xlfn.XMATCH($E$84,FixedAssets[Asset ID])),IF(AND((_xlfn.XMATCH(AQ$8,$AH$8:$CC$8))-_xlfn.XMATCH($C117,$C$35:$C$82)+1&lt;=_xlpm.DepreciationMonths,$C117&lt;=AQ$8),$E117/_xlpm.DepreciationMonths,0))</f>
        <v>0</v>
      </c>
      <c r="AR117" s="507" cm="1">
        <f t="array" ref="AR117">_xlfn.LET(_xlpm.DepreciationMonths,INDEX(FixedAssets[Depreciation
/ Amortization Months],_xlfn.XMATCH($E$84,FixedAssets[Asset ID])),IF(AND((_xlfn.XMATCH(AR$8,$AH$8:$CC$8))-_xlfn.XMATCH($C117,$C$35:$C$82)+1&lt;=_xlpm.DepreciationMonths,$C117&lt;=AR$8),$E117/_xlpm.DepreciationMonths,0))</f>
        <v>0</v>
      </c>
      <c r="AS117" s="507" cm="1">
        <f t="array" ref="AS117">_xlfn.LET(_xlpm.DepreciationMonths,INDEX(FixedAssets[Depreciation
/ Amortization Months],_xlfn.XMATCH($E$84,FixedAssets[Asset ID])),IF(AND((_xlfn.XMATCH(AS$8,$AH$8:$CC$8))-_xlfn.XMATCH($C117,$C$35:$C$82)+1&lt;=_xlpm.DepreciationMonths,$C117&lt;=AS$8),$E117/_xlpm.DepreciationMonths,0))</f>
        <v>0</v>
      </c>
      <c r="AT117" s="507" cm="1">
        <f t="array" ref="AT117">_xlfn.LET(_xlpm.DepreciationMonths,INDEX(FixedAssets[Depreciation
/ Amortization Months],_xlfn.XMATCH($E$84,FixedAssets[Asset ID])),IF(AND((_xlfn.XMATCH(AT$8,$AH$8:$CC$8))-_xlfn.XMATCH($C117,$C$35:$C$82)+1&lt;=_xlpm.DepreciationMonths,$C117&lt;=AT$8),$E117/_xlpm.DepreciationMonths,0))</f>
        <v>0</v>
      </c>
      <c r="AU117" s="507" cm="1">
        <f t="array" ref="AU117">_xlfn.LET(_xlpm.DepreciationMonths,INDEX(FixedAssets[Depreciation
/ Amortization Months],_xlfn.XMATCH($E$84,FixedAssets[Asset ID])),IF(AND((_xlfn.XMATCH(AU$8,$AH$8:$CC$8))-_xlfn.XMATCH($C117,$C$35:$C$82)+1&lt;=_xlpm.DepreciationMonths,$C117&lt;=AU$8),$E117/_xlpm.DepreciationMonths,0))</f>
        <v>0</v>
      </c>
      <c r="AV117" s="507" cm="1">
        <f t="array" ref="AV117">_xlfn.LET(_xlpm.DepreciationMonths,INDEX(FixedAssets[Depreciation
/ Amortization Months],_xlfn.XMATCH($E$84,FixedAssets[Asset ID])),IF(AND((_xlfn.XMATCH(AV$8,$AH$8:$CC$8))-_xlfn.XMATCH($C117,$C$35:$C$82)+1&lt;=_xlpm.DepreciationMonths,$C117&lt;=AV$8),$E117/_xlpm.DepreciationMonths,0))</f>
        <v>0</v>
      </c>
      <c r="AW117" s="507" cm="1">
        <f t="array" ref="AW117">_xlfn.LET(_xlpm.DepreciationMonths,INDEX(FixedAssets[Depreciation
/ Amortization Months],_xlfn.XMATCH($E$84,FixedAssets[Asset ID])),IF(AND((_xlfn.XMATCH(AW$8,$AH$8:$CC$8))-_xlfn.XMATCH($C117,$C$35:$C$82)+1&lt;=_xlpm.DepreciationMonths,$C117&lt;=AW$8),$E117/_xlpm.DepreciationMonths,0))</f>
        <v>0</v>
      </c>
      <c r="AX117" s="507" cm="1">
        <f t="array" ref="AX117">_xlfn.LET(_xlpm.DepreciationMonths,INDEX(FixedAssets[Depreciation
/ Amortization Months],_xlfn.XMATCH($E$84,FixedAssets[Asset ID])),IF(AND((_xlfn.XMATCH(AX$8,$AH$8:$CC$8))-_xlfn.XMATCH($C117,$C$35:$C$82)+1&lt;=_xlpm.DepreciationMonths,$C117&lt;=AX$8),$E117/_xlpm.DepreciationMonths,0))</f>
        <v>0</v>
      </c>
      <c r="AY117" s="507" cm="1">
        <f t="array" ref="AY117">_xlfn.LET(_xlpm.DepreciationMonths,INDEX(FixedAssets[Depreciation
/ Amortization Months],_xlfn.XMATCH($E$84,FixedAssets[Asset ID])),IF(AND((_xlfn.XMATCH(AY$8,$AH$8:$CC$8))-_xlfn.XMATCH($C117,$C$35:$C$82)+1&lt;=_xlpm.DepreciationMonths,$C117&lt;=AY$8),$E117/_xlpm.DepreciationMonths,0))</f>
        <v>0</v>
      </c>
      <c r="AZ117" s="507" cm="1">
        <f t="array" ref="AZ117">_xlfn.LET(_xlpm.DepreciationMonths,INDEX(FixedAssets[Depreciation
/ Amortization Months],_xlfn.XMATCH($E$84,FixedAssets[Asset ID])),IF(AND((_xlfn.XMATCH(AZ$8,$AH$8:$CC$8))-_xlfn.XMATCH($C117,$C$35:$C$82)+1&lt;=_xlpm.DepreciationMonths,$C117&lt;=AZ$8),$E117/_xlpm.DepreciationMonths,0))</f>
        <v>0</v>
      </c>
      <c r="BA117" s="507" cm="1">
        <f t="array" ref="BA117">_xlfn.LET(_xlpm.DepreciationMonths,INDEX(FixedAssets[Depreciation
/ Amortization Months],_xlfn.XMATCH($E$84,FixedAssets[Asset ID])),IF(AND((_xlfn.XMATCH(BA$8,$AH$8:$CC$8))-_xlfn.XMATCH($C117,$C$35:$C$82)+1&lt;=_xlpm.DepreciationMonths,$C117&lt;=BA$8),$E117/_xlpm.DepreciationMonths,0))</f>
        <v>0</v>
      </c>
      <c r="BB117" s="507" cm="1">
        <f t="array" ref="BB117">_xlfn.LET(_xlpm.DepreciationMonths,INDEX(FixedAssets[Depreciation
/ Amortization Months],_xlfn.XMATCH($E$84,FixedAssets[Asset ID])),IF(AND((_xlfn.XMATCH(BB$8,$AH$8:$CC$8))-_xlfn.XMATCH($C117,$C$35:$C$82)+1&lt;=_xlpm.DepreciationMonths,$C117&lt;=BB$8),$E117/_xlpm.DepreciationMonths,0))</f>
        <v>0</v>
      </c>
      <c r="BC117" s="507" cm="1">
        <f t="array" ref="BC117">_xlfn.LET(_xlpm.DepreciationMonths,INDEX(FixedAssets[Depreciation
/ Amortization Months],_xlfn.XMATCH($E$84,FixedAssets[Asset ID])),IF(AND((_xlfn.XMATCH(BC$8,$AH$8:$CC$8))-_xlfn.XMATCH($C117,$C$35:$C$82)+1&lt;=_xlpm.DepreciationMonths,$C117&lt;=BC$8),$E117/_xlpm.DepreciationMonths,0))</f>
        <v>0</v>
      </c>
      <c r="BD117" s="507" cm="1">
        <f t="array" ref="BD117">_xlfn.LET(_xlpm.DepreciationMonths,INDEX(FixedAssets[Depreciation
/ Amortization Months],_xlfn.XMATCH($E$84,FixedAssets[Asset ID])),IF(AND((_xlfn.XMATCH(BD$8,$AH$8:$CC$8))-_xlfn.XMATCH($C117,$C$35:$C$82)+1&lt;=_xlpm.DepreciationMonths,$C117&lt;=BD$8),$E117/_xlpm.DepreciationMonths,0))</f>
        <v>0</v>
      </c>
      <c r="BE117" s="507" cm="1">
        <f t="array" ref="BE117">_xlfn.LET(_xlpm.DepreciationMonths,INDEX(FixedAssets[Depreciation
/ Amortization Months],_xlfn.XMATCH($E$84,FixedAssets[Asset ID])),IF(AND((_xlfn.XMATCH(BE$8,$AH$8:$CC$8))-_xlfn.XMATCH($C117,$C$35:$C$82)+1&lt;=_xlpm.DepreciationMonths,$C117&lt;=BE$8),$E117/_xlpm.DepreciationMonths,0))</f>
        <v>0</v>
      </c>
      <c r="BF117" s="507" cm="1">
        <f t="array" ref="BF117">_xlfn.LET(_xlpm.DepreciationMonths,INDEX(FixedAssets[Depreciation
/ Amortization Months],_xlfn.XMATCH($E$84,FixedAssets[Asset ID])),IF(AND((_xlfn.XMATCH(BF$8,$AH$8:$CC$8))-_xlfn.XMATCH($C117,$C$35:$C$82)+1&lt;=_xlpm.DepreciationMonths,$C117&lt;=BF$8),$E117/_xlpm.DepreciationMonths,0))</f>
        <v>0</v>
      </c>
      <c r="BG117" s="507" cm="1">
        <f t="array" ref="BG117">_xlfn.LET(_xlpm.DepreciationMonths,INDEX(FixedAssets[Depreciation
/ Amortization Months],_xlfn.XMATCH($E$84,FixedAssets[Asset ID])),IF(AND((_xlfn.XMATCH(BG$8,$AH$8:$CC$8))-_xlfn.XMATCH($C117,$C$35:$C$82)+1&lt;=_xlpm.DepreciationMonths,$C117&lt;=BG$8),$E117/_xlpm.DepreciationMonths,0))</f>
        <v>0</v>
      </c>
      <c r="BH117" s="507" cm="1">
        <f t="array" ref="BH117">_xlfn.LET(_xlpm.DepreciationMonths,INDEX(FixedAssets[Depreciation
/ Amortization Months],_xlfn.XMATCH($E$84,FixedAssets[Asset ID])),IF(AND((_xlfn.XMATCH(BH$8,$AH$8:$CC$8))-_xlfn.XMATCH($C117,$C$35:$C$82)+1&lt;=_xlpm.DepreciationMonths,$C117&lt;=BH$8),$E117/_xlpm.DepreciationMonths,0))</f>
        <v>0</v>
      </c>
      <c r="BI117" s="507" cm="1">
        <f t="array" ref="BI117">_xlfn.LET(_xlpm.DepreciationMonths,INDEX(FixedAssets[Depreciation
/ Amortization Months],_xlfn.XMATCH($E$84,FixedAssets[Asset ID])),IF(AND((_xlfn.XMATCH(BI$8,$AH$8:$CC$8))-_xlfn.XMATCH($C117,$C$35:$C$82)+1&lt;=_xlpm.DepreciationMonths,$C117&lt;=BI$8),$E117/_xlpm.DepreciationMonths,0))</f>
        <v>0</v>
      </c>
      <c r="BJ117" s="507" cm="1">
        <f t="array" ref="BJ117">_xlfn.LET(_xlpm.DepreciationMonths,INDEX(FixedAssets[Depreciation
/ Amortization Months],_xlfn.XMATCH($E$84,FixedAssets[Asset ID])),IF(AND((_xlfn.XMATCH(BJ$8,$AH$8:$CC$8))-_xlfn.XMATCH($C117,$C$35:$C$82)+1&lt;=_xlpm.DepreciationMonths,$C117&lt;=BJ$8),$E117/_xlpm.DepreciationMonths,0))</f>
        <v>0</v>
      </c>
      <c r="BK117" s="507" cm="1">
        <f t="array" ref="BK117">_xlfn.LET(_xlpm.DepreciationMonths,INDEX(FixedAssets[Depreciation
/ Amortization Months],_xlfn.XMATCH($E$84,FixedAssets[Asset ID])),IF(AND((_xlfn.XMATCH(BK$8,$AH$8:$CC$8))-_xlfn.XMATCH($C117,$C$35:$C$82)+1&lt;=_xlpm.DepreciationMonths,$C117&lt;=BK$8),$E117/_xlpm.DepreciationMonths,0))</f>
        <v>0</v>
      </c>
      <c r="BL117" s="507" cm="1">
        <f t="array" ref="BL117">_xlfn.LET(_xlpm.DepreciationMonths,INDEX(FixedAssets[Depreciation
/ Amortization Months],_xlfn.XMATCH($E$84,FixedAssets[Asset ID])),IF(AND((_xlfn.XMATCH(BL$8,$AH$8:$CC$8))-_xlfn.XMATCH($C117,$C$35:$C$82)+1&lt;=_xlpm.DepreciationMonths,$C117&lt;=BL$8),$E117/_xlpm.DepreciationMonths,0))</f>
        <v>0</v>
      </c>
      <c r="BM117" s="507" cm="1">
        <f t="array" ref="BM117">_xlfn.LET(_xlpm.DepreciationMonths,INDEX(FixedAssets[Depreciation
/ Amortization Months],_xlfn.XMATCH($E$84,FixedAssets[Asset ID])),IF(AND((_xlfn.XMATCH(BM$8,$AH$8:$CC$8))-_xlfn.XMATCH($C117,$C$35:$C$82)+1&lt;=_xlpm.DepreciationMonths,$C117&lt;=BM$8),$E117/_xlpm.DepreciationMonths,0))</f>
        <v>0</v>
      </c>
      <c r="BN117" s="507" cm="1">
        <f t="array" ref="BN117">_xlfn.LET(_xlpm.DepreciationMonths,INDEX(FixedAssets[Depreciation
/ Amortization Months],_xlfn.XMATCH($E$84,FixedAssets[Asset ID])),IF(AND((_xlfn.XMATCH(BN$8,$AH$8:$CC$8))-_xlfn.XMATCH($C117,$C$35:$C$82)+1&lt;=_xlpm.DepreciationMonths,$C117&lt;=BN$8),$E117/_xlpm.DepreciationMonths,0))</f>
        <v>0</v>
      </c>
      <c r="BO117" s="507" cm="1">
        <f t="array" ref="BO117">_xlfn.LET(_xlpm.DepreciationMonths,INDEX(FixedAssets[Depreciation
/ Amortization Months],_xlfn.XMATCH($E$84,FixedAssets[Asset ID])),IF(AND((_xlfn.XMATCH(BO$8,$AH$8:$CC$8))-_xlfn.XMATCH($C117,$C$35:$C$82)+1&lt;=_xlpm.DepreciationMonths,$C117&lt;=BO$8),$E117/_xlpm.DepreciationMonths,0))</f>
        <v>0</v>
      </c>
      <c r="BP117" s="507" cm="1">
        <f t="array" ref="BP117">_xlfn.LET(_xlpm.DepreciationMonths,INDEX(FixedAssets[Depreciation
/ Amortization Months],_xlfn.XMATCH($E$84,FixedAssets[Asset ID])),IF(AND((_xlfn.XMATCH(BP$8,$AH$8:$CC$8))-_xlfn.XMATCH($C117,$C$35:$C$82)+1&lt;=_xlpm.DepreciationMonths,$C117&lt;=BP$8),$E117/_xlpm.DepreciationMonths,0))</f>
        <v>0</v>
      </c>
      <c r="BQ117" s="507" cm="1">
        <f t="array" ref="BQ117">_xlfn.LET(_xlpm.DepreciationMonths,INDEX(FixedAssets[Depreciation
/ Amortization Months],_xlfn.XMATCH($E$84,FixedAssets[Asset ID])),IF(AND((_xlfn.XMATCH(BQ$8,$AH$8:$CC$8))-_xlfn.XMATCH($C117,$C$35:$C$82)+1&lt;=_xlpm.DepreciationMonths,$C117&lt;=BQ$8),$E117/_xlpm.DepreciationMonths,0))</f>
        <v>0</v>
      </c>
      <c r="BR117" s="507" cm="1">
        <f t="array" ref="BR117">_xlfn.LET(_xlpm.DepreciationMonths,INDEX(FixedAssets[Depreciation
/ Amortization Months],_xlfn.XMATCH($E$84,FixedAssets[Asset ID])),IF(AND((_xlfn.XMATCH(BR$8,$AH$8:$CC$8))-_xlfn.XMATCH($C117,$C$35:$C$82)+1&lt;=_xlpm.DepreciationMonths,$C117&lt;=BR$8),$E117/_xlpm.DepreciationMonths,0))</f>
        <v>0</v>
      </c>
      <c r="BS117" s="507" cm="1">
        <f t="array" ref="BS117">_xlfn.LET(_xlpm.DepreciationMonths,INDEX(FixedAssets[Depreciation
/ Amortization Months],_xlfn.XMATCH($E$84,FixedAssets[Asset ID])),IF(AND((_xlfn.XMATCH(BS$8,$AH$8:$CC$8))-_xlfn.XMATCH($C117,$C$35:$C$82)+1&lt;=_xlpm.DepreciationMonths,$C117&lt;=BS$8),$E117/_xlpm.DepreciationMonths,0))</f>
        <v>0</v>
      </c>
      <c r="BT117" s="507" cm="1">
        <f t="array" ref="BT117">_xlfn.LET(_xlpm.DepreciationMonths,INDEX(FixedAssets[Depreciation
/ Amortization Months],_xlfn.XMATCH($E$84,FixedAssets[Asset ID])),IF(AND((_xlfn.XMATCH(BT$8,$AH$8:$CC$8))-_xlfn.XMATCH($C117,$C$35:$C$82)+1&lt;=_xlpm.DepreciationMonths,$C117&lt;=BT$8),$E117/_xlpm.DepreciationMonths,0))</f>
        <v>0</v>
      </c>
      <c r="BU117" s="507" cm="1">
        <f t="array" ref="BU117">_xlfn.LET(_xlpm.DepreciationMonths,INDEX(FixedAssets[Depreciation
/ Amortization Months],_xlfn.XMATCH($E$84,FixedAssets[Asset ID])),IF(AND((_xlfn.XMATCH(BU$8,$AH$8:$CC$8))-_xlfn.XMATCH($C117,$C$35:$C$82)+1&lt;=_xlpm.DepreciationMonths,$C117&lt;=BU$8),$E117/_xlpm.DepreciationMonths,0))</f>
        <v>0</v>
      </c>
      <c r="BV117" s="507" cm="1">
        <f t="array" ref="BV117">_xlfn.LET(_xlpm.DepreciationMonths,INDEX(FixedAssets[Depreciation
/ Amortization Months],_xlfn.XMATCH($E$84,FixedAssets[Asset ID])),IF(AND((_xlfn.XMATCH(BV$8,$AH$8:$CC$8))-_xlfn.XMATCH($C117,$C$35:$C$82)+1&lt;=_xlpm.DepreciationMonths,$C117&lt;=BV$8),$E117/_xlpm.DepreciationMonths,0))</f>
        <v>0</v>
      </c>
      <c r="BW117" s="507" cm="1">
        <f t="array" ref="BW117">_xlfn.LET(_xlpm.DepreciationMonths,INDEX(FixedAssets[Depreciation
/ Amortization Months],_xlfn.XMATCH($E$84,FixedAssets[Asset ID])),IF(AND((_xlfn.XMATCH(BW$8,$AH$8:$CC$8))-_xlfn.XMATCH($C117,$C$35:$C$82)+1&lt;=_xlpm.DepreciationMonths,$C117&lt;=BW$8),$E117/_xlpm.DepreciationMonths,0))</f>
        <v>0</v>
      </c>
      <c r="BX117" s="507" cm="1">
        <f t="array" ref="BX117">_xlfn.LET(_xlpm.DepreciationMonths,INDEX(FixedAssets[Depreciation
/ Amortization Months],_xlfn.XMATCH($E$84,FixedAssets[Asset ID])),IF(AND((_xlfn.XMATCH(BX$8,$AH$8:$CC$8))-_xlfn.XMATCH($C117,$C$35:$C$82)+1&lt;=_xlpm.DepreciationMonths,$C117&lt;=BX$8),$E117/_xlpm.DepreciationMonths,0))</f>
        <v>0</v>
      </c>
      <c r="BY117" s="507" cm="1">
        <f t="array" ref="BY117">_xlfn.LET(_xlpm.DepreciationMonths,INDEX(FixedAssets[Depreciation
/ Amortization Months],_xlfn.XMATCH($E$84,FixedAssets[Asset ID])),IF(AND((_xlfn.XMATCH(BY$8,$AH$8:$CC$8))-_xlfn.XMATCH($C117,$C$35:$C$82)+1&lt;=_xlpm.DepreciationMonths,$C117&lt;=BY$8),$E117/_xlpm.DepreciationMonths,0))</f>
        <v>0</v>
      </c>
      <c r="BZ117" s="507" cm="1">
        <f t="array" ref="BZ117">_xlfn.LET(_xlpm.DepreciationMonths,INDEX(FixedAssets[Depreciation
/ Amortization Months],_xlfn.XMATCH($E$84,FixedAssets[Asset ID])),IF(AND((_xlfn.XMATCH(BZ$8,$AH$8:$CC$8))-_xlfn.XMATCH($C117,$C$35:$C$82)+1&lt;=_xlpm.DepreciationMonths,$C117&lt;=BZ$8),$E117/_xlpm.DepreciationMonths,0))</f>
        <v>0</v>
      </c>
      <c r="CA117" s="507" cm="1">
        <f t="array" ref="CA117">_xlfn.LET(_xlpm.DepreciationMonths,INDEX(FixedAssets[Depreciation
/ Amortization Months],_xlfn.XMATCH($E$84,FixedAssets[Asset ID])),IF(AND((_xlfn.XMATCH(CA$8,$AH$8:$CC$8))-_xlfn.XMATCH($C117,$C$35:$C$82)+1&lt;=_xlpm.DepreciationMonths,$C117&lt;=CA$8),$E117/_xlpm.DepreciationMonths,0))</f>
        <v>0</v>
      </c>
      <c r="CB117" s="507" cm="1">
        <f t="array" ref="CB117">_xlfn.LET(_xlpm.DepreciationMonths,INDEX(FixedAssets[Depreciation
/ Amortization Months],_xlfn.XMATCH($E$84,FixedAssets[Asset ID])),IF(AND((_xlfn.XMATCH(CB$8,$AH$8:$CC$8))-_xlfn.XMATCH($C117,$C$35:$C$82)+1&lt;=_xlpm.DepreciationMonths,$C117&lt;=CB$8),$E117/_xlpm.DepreciationMonths,0))</f>
        <v>0</v>
      </c>
      <c r="CC117" s="507" cm="1">
        <f t="array" ref="CC117">_xlfn.LET(_xlpm.DepreciationMonths,INDEX(FixedAssets[Depreciation
/ Amortization Months],_xlfn.XMATCH($E$84,FixedAssets[Asset ID])),IF(AND((_xlfn.XMATCH(CC$8,$AH$8:$CC$8))-_xlfn.XMATCH($C117,$C$35:$C$82)+1&lt;=_xlpm.DepreciationMonths,$C117&lt;=CC$8),$E117/_xlpm.DepreciationMonths,0))</f>
        <v>0</v>
      </c>
    </row>
    <row r="118" spans="3:81" hidden="1" outlineLevel="2">
      <c r="C118" s="664">
        <f t="shared" si="167"/>
        <v>45930</v>
      </c>
      <c r="D118" s="508"/>
      <c r="E118" s="508" cm="1">
        <f t="array" ref="E118">SUMPRODUCT(($AH$26:$CC$31)*($AH$5:$CC$5=$C118)*($E$26:$E$31=E$84))-SUMPRODUCT(($AH$26:$CC$31)*($AH$5:$CC$5=EOMONTH($C118,-1))*($E$26:$E$31=E$84))</f>
        <v>0</v>
      </c>
      <c r="F118" s="508"/>
      <c r="G118" s="508"/>
      <c r="H118" s="508"/>
      <c r="I118" s="508"/>
      <c r="J118" s="504">
        <f t="shared" si="164"/>
        <v>0</v>
      </c>
      <c r="K118" s="504">
        <f t="shared" ref="K118:M133" si="172">SUMIFS($AH118:$CC118,$AH$4:$CC$4,"&gt;="&amp;K$4,$AH$5:$CC$5,"&lt;="&amp;K$5)</f>
        <v>0</v>
      </c>
      <c r="L118" s="504">
        <f t="shared" si="172"/>
        <v>0</v>
      </c>
      <c r="M118" s="504">
        <f t="shared" si="172"/>
        <v>0</v>
      </c>
      <c r="N118" s="504"/>
      <c r="O118" s="504"/>
      <c r="P118" s="504">
        <f t="shared" ref="P118:AE133" si="173">SUMIFS($AH118:$CC118,$AH$4:$CC$4,"&gt;="&amp;P$4,$AH$5:$CC$5,"&lt;="&amp;P$5)</f>
        <v>0</v>
      </c>
      <c r="Q118" s="504">
        <f t="shared" si="173"/>
        <v>0</v>
      </c>
      <c r="R118" s="504">
        <f t="shared" si="173"/>
        <v>0</v>
      </c>
      <c r="S118" s="504">
        <f t="shared" si="173"/>
        <v>0</v>
      </c>
      <c r="T118" s="504">
        <f t="shared" si="173"/>
        <v>0</v>
      </c>
      <c r="U118" s="504">
        <f t="shared" si="173"/>
        <v>0</v>
      </c>
      <c r="V118" s="504">
        <f t="shared" si="173"/>
        <v>0</v>
      </c>
      <c r="W118" s="504">
        <f t="shared" si="173"/>
        <v>0</v>
      </c>
      <c r="X118" s="504">
        <f t="shared" si="173"/>
        <v>0</v>
      </c>
      <c r="Y118" s="504">
        <f t="shared" si="173"/>
        <v>0</v>
      </c>
      <c r="Z118" s="504">
        <f t="shared" si="173"/>
        <v>0</v>
      </c>
      <c r="AA118" s="504">
        <f t="shared" si="173"/>
        <v>0</v>
      </c>
      <c r="AB118" s="504">
        <f t="shared" si="173"/>
        <v>0</v>
      </c>
      <c r="AC118" s="504">
        <f t="shared" si="173"/>
        <v>0</v>
      </c>
      <c r="AD118" s="504">
        <f t="shared" si="173"/>
        <v>0</v>
      </c>
      <c r="AE118" s="504">
        <f t="shared" si="173"/>
        <v>0</v>
      </c>
      <c r="AF118" s="508"/>
      <c r="AG118" s="508"/>
      <c r="AH118" s="507" cm="1">
        <f t="array" ref="AH118">_xlfn.LET(_xlpm.DepreciationMonths,INDEX(FixedAssets[Depreciation
/ Amortization Months],_xlfn.XMATCH($E$84,FixedAssets[Asset ID])),IF(AND((_xlfn.XMATCH(AH$8,$AH$8:$CC$8))-_xlfn.XMATCH($C118,$C$35:$C$82)+1&lt;=_xlpm.DepreciationMonths,$C118&lt;=AH$8),$E118/_xlpm.DepreciationMonths,0))</f>
        <v>0</v>
      </c>
      <c r="AI118" s="507" cm="1">
        <f t="array" ref="AI118">_xlfn.LET(_xlpm.DepreciationMonths,INDEX(FixedAssets[Depreciation
/ Amortization Months],_xlfn.XMATCH($E$84,FixedAssets[Asset ID])),IF(AND((_xlfn.XMATCH(AI$8,$AH$8:$CC$8))-_xlfn.XMATCH($C118,$C$35:$C$82)+1&lt;=_xlpm.DepreciationMonths,$C118&lt;=AI$8),$E118/_xlpm.DepreciationMonths,0))</f>
        <v>0</v>
      </c>
      <c r="AJ118" s="507" cm="1">
        <f t="array" ref="AJ118">_xlfn.LET(_xlpm.DepreciationMonths,INDEX(FixedAssets[Depreciation
/ Amortization Months],_xlfn.XMATCH($E$84,FixedAssets[Asset ID])),IF(AND((_xlfn.XMATCH(AJ$8,$AH$8:$CC$8))-_xlfn.XMATCH($C118,$C$35:$C$82)+1&lt;=_xlpm.DepreciationMonths,$C118&lt;=AJ$8),$E118/_xlpm.DepreciationMonths,0))</f>
        <v>0</v>
      </c>
      <c r="AK118" s="507" cm="1">
        <f t="array" ref="AK118">_xlfn.LET(_xlpm.DepreciationMonths,INDEX(FixedAssets[Depreciation
/ Amortization Months],_xlfn.XMATCH($E$84,FixedAssets[Asset ID])),IF(AND((_xlfn.XMATCH(AK$8,$AH$8:$CC$8))-_xlfn.XMATCH($C118,$C$35:$C$82)+1&lt;=_xlpm.DepreciationMonths,$C118&lt;=AK$8),$E118/_xlpm.DepreciationMonths,0))</f>
        <v>0</v>
      </c>
      <c r="AL118" s="507" cm="1">
        <f t="array" ref="AL118">_xlfn.LET(_xlpm.DepreciationMonths,INDEX(FixedAssets[Depreciation
/ Amortization Months],_xlfn.XMATCH($E$84,FixedAssets[Asset ID])),IF(AND((_xlfn.XMATCH(AL$8,$AH$8:$CC$8))-_xlfn.XMATCH($C118,$C$35:$C$82)+1&lt;=_xlpm.DepreciationMonths,$C118&lt;=AL$8),$E118/_xlpm.DepreciationMonths,0))</f>
        <v>0</v>
      </c>
      <c r="AM118" s="507" cm="1">
        <f t="array" ref="AM118">_xlfn.LET(_xlpm.DepreciationMonths,INDEX(FixedAssets[Depreciation
/ Amortization Months],_xlfn.XMATCH($E$84,FixedAssets[Asset ID])),IF(AND((_xlfn.XMATCH(AM$8,$AH$8:$CC$8))-_xlfn.XMATCH($C118,$C$35:$C$82)+1&lt;=_xlpm.DepreciationMonths,$C118&lt;=AM$8),$E118/_xlpm.DepreciationMonths,0))</f>
        <v>0</v>
      </c>
      <c r="AN118" s="507" cm="1">
        <f t="array" ref="AN118">_xlfn.LET(_xlpm.DepreciationMonths,INDEX(FixedAssets[Depreciation
/ Amortization Months],_xlfn.XMATCH($E$84,FixedAssets[Asset ID])),IF(AND((_xlfn.XMATCH(AN$8,$AH$8:$CC$8))-_xlfn.XMATCH($C118,$C$35:$C$82)+1&lt;=_xlpm.DepreciationMonths,$C118&lt;=AN$8),$E118/_xlpm.DepreciationMonths,0))</f>
        <v>0</v>
      </c>
      <c r="AO118" s="507" cm="1">
        <f t="array" ref="AO118">_xlfn.LET(_xlpm.DepreciationMonths,INDEX(FixedAssets[Depreciation
/ Amortization Months],_xlfn.XMATCH($E$84,FixedAssets[Asset ID])),IF(AND((_xlfn.XMATCH(AO$8,$AH$8:$CC$8))-_xlfn.XMATCH($C118,$C$35:$C$82)+1&lt;=_xlpm.DepreciationMonths,$C118&lt;=AO$8),$E118/_xlpm.DepreciationMonths,0))</f>
        <v>0</v>
      </c>
      <c r="AP118" s="507" cm="1">
        <f t="array" ref="AP118">_xlfn.LET(_xlpm.DepreciationMonths,INDEX(FixedAssets[Depreciation
/ Amortization Months],_xlfn.XMATCH($E$84,FixedAssets[Asset ID])),IF(AND((_xlfn.XMATCH(AP$8,$AH$8:$CC$8))-_xlfn.XMATCH($C118,$C$35:$C$82)+1&lt;=_xlpm.DepreciationMonths,$C118&lt;=AP$8),$E118/_xlpm.DepreciationMonths,0))</f>
        <v>0</v>
      </c>
      <c r="AQ118" s="507" cm="1">
        <f t="array" ref="AQ118">_xlfn.LET(_xlpm.DepreciationMonths,INDEX(FixedAssets[Depreciation
/ Amortization Months],_xlfn.XMATCH($E$84,FixedAssets[Asset ID])),IF(AND((_xlfn.XMATCH(AQ$8,$AH$8:$CC$8))-_xlfn.XMATCH($C118,$C$35:$C$82)+1&lt;=_xlpm.DepreciationMonths,$C118&lt;=AQ$8),$E118/_xlpm.DepreciationMonths,0))</f>
        <v>0</v>
      </c>
      <c r="AR118" s="507" cm="1">
        <f t="array" ref="AR118">_xlfn.LET(_xlpm.DepreciationMonths,INDEX(FixedAssets[Depreciation
/ Amortization Months],_xlfn.XMATCH($E$84,FixedAssets[Asset ID])),IF(AND((_xlfn.XMATCH(AR$8,$AH$8:$CC$8))-_xlfn.XMATCH($C118,$C$35:$C$82)+1&lt;=_xlpm.DepreciationMonths,$C118&lt;=AR$8),$E118/_xlpm.DepreciationMonths,0))</f>
        <v>0</v>
      </c>
      <c r="AS118" s="507" cm="1">
        <f t="array" ref="AS118">_xlfn.LET(_xlpm.DepreciationMonths,INDEX(FixedAssets[Depreciation
/ Amortization Months],_xlfn.XMATCH($E$84,FixedAssets[Asset ID])),IF(AND((_xlfn.XMATCH(AS$8,$AH$8:$CC$8))-_xlfn.XMATCH($C118,$C$35:$C$82)+1&lt;=_xlpm.DepreciationMonths,$C118&lt;=AS$8),$E118/_xlpm.DepreciationMonths,0))</f>
        <v>0</v>
      </c>
      <c r="AT118" s="507" cm="1">
        <f t="array" ref="AT118">_xlfn.LET(_xlpm.DepreciationMonths,INDEX(FixedAssets[Depreciation
/ Amortization Months],_xlfn.XMATCH($E$84,FixedAssets[Asset ID])),IF(AND((_xlfn.XMATCH(AT$8,$AH$8:$CC$8))-_xlfn.XMATCH($C118,$C$35:$C$82)+1&lt;=_xlpm.DepreciationMonths,$C118&lt;=AT$8),$E118/_xlpm.DepreciationMonths,0))</f>
        <v>0</v>
      </c>
      <c r="AU118" s="507" cm="1">
        <f t="array" ref="AU118">_xlfn.LET(_xlpm.DepreciationMonths,INDEX(FixedAssets[Depreciation
/ Amortization Months],_xlfn.XMATCH($E$84,FixedAssets[Asset ID])),IF(AND((_xlfn.XMATCH(AU$8,$AH$8:$CC$8))-_xlfn.XMATCH($C118,$C$35:$C$82)+1&lt;=_xlpm.DepreciationMonths,$C118&lt;=AU$8),$E118/_xlpm.DepreciationMonths,0))</f>
        <v>0</v>
      </c>
      <c r="AV118" s="507" cm="1">
        <f t="array" ref="AV118">_xlfn.LET(_xlpm.DepreciationMonths,INDEX(FixedAssets[Depreciation
/ Amortization Months],_xlfn.XMATCH($E$84,FixedAssets[Asset ID])),IF(AND((_xlfn.XMATCH(AV$8,$AH$8:$CC$8))-_xlfn.XMATCH($C118,$C$35:$C$82)+1&lt;=_xlpm.DepreciationMonths,$C118&lt;=AV$8),$E118/_xlpm.DepreciationMonths,0))</f>
        <v>0</v>
      </c>
      <c r="AW118" s="507" cm="1">
        <f t="array" ref="AW118">_xlfn.LET(_xlpm.DepreciationMonths,INDEX(FixedAssets[Depreciation
/ Amortization Months],_xlfn.XMATCH($E$84,FixedAssets[Asset ID])),IF(AND((_xlfn.XMATCH(AW$8,$AH$8:$CC$8))-_xlfn.XMATCH($C118,$C$35:$C$82)+1&lt;=_xlpm.DepreciationMonths,$C118&lt;=AW$8),$E118/_xlpm.DepreciationMonths,0))</f>
        <v>0</v>
      </c>
      <c r="AX118" s="507" cm="1">
        <f t="array" ref="AX118">_xlfn.LET(_xlpm.DepreciationMonths,INDEX(FixedAssets[Depreciation
/ Amortization Months],_xlfn.XMATCH($E$84,FixedAssets[Asset ID])),IF(AND((_xlfn.XMATCH(AX$8,$AH$8:$CC$8))-_xlfn.XMATCH($C118,$C$35:$C$82)+1&lt;=_xlpm.DepreciationMonths,$C118&lt;=AX$8),$E118/_xlpm.DepreciationMonths,0))</f>
        <v>0</v>
      </c>
      <c r="AY118" s="507" cm="1">
        <f t="array" ref="AY118">_xlfn.LET(_xlpm.DepreciationMonths,INDEX(FixedAssets[Depreciation
/ Amortization Months],_xlfn.XMATCH($E$84,FixedAssets[Asset ID])),IF(AND((_xlfn.XMATCH(AY$8,$AH$8:$CC$8))-_xlfn.XMATCH($C118,$C$35:$C$82)+1&lt;=_xlpm.DepreciationMonths,$C118&lt;=AY$8),$E118/_xlpm.DepreciationMonths,0))</f>
        <v>0</v>
      </c>
      <c r="AZ118" s="507" cm="1">
        <f t="array" ref="AZ118">_xlfn.LET(_xlpm.DepreciationMonths,INDEX(FixedAssets[Depreciation
/ Amortization Months],_xlfn.XMATCH($E$84,FixedAssets[Asset ID])),IF(AND((_xlfn.XMATCH(AZ$8,$AH$8:$CC$8))-_xlfn.XMATCH($C118,$C$35:$C$82)+1&lt;=_xlpm.DepreciationMonths,$C118&lt;=AZ$8),$E118/_xlpm.DepreciationMonths,0))</f>
        <v>0</v>
      </c>
      <c r="BA118" s="507" cm="1">
        <f t="array" ref="BA118">_xlfn.LET(_xlpm.DepreciationMonths,INDEX(FixedAssets[Depreciation
/ Amortization Months],_xlfn.XMATCH($E$84,FixedAssets[Asset ID])),IF(AND((_xlfn.XMATCH(BA$8,$AH$8:$CC$8))-_xlfn.XMATCH($C118,$C$35:$C$82)+1&lt;=_xlpm.DepreciationMonths,$C118&lt;=BA$8),$E118/_xlpm.DepreciationMonths,0))</f>
        <v>0</v>
      </c>
      <c r="BB118" s="507" cm="1">
        <f t="array" ref="BB118">_xlfn.LET(_xlpm.DepreciationMonths,INDEX(FixedAssets[Depreciation
/ Amortization Months],_xlfn.XMATCH($E$84,FixedAssets[Asset ID])),IF(AND((_xlfn.XMATCH(BB$8,$AH$8:$CC$8))-_xlfn.XMATCH($C118,$C$35:$C$82)+1&lt;=_xlpm.DepreciationMonths,$C118&lt;=BB$8),$E118/_xlpm.DepreciationMonths,0))</f>
        <v>0</v>
      </c>
      <c r="BC118" s="507" cm="1">
        <f t="array" ref="BC118">_xlfn.LET(_xlpm.DepreciationMonths,INDEX(FixedAssets[Depreciation
/ Amortization Months],_xlfn.XMATCH($E$84,FixedAssets[Asset ID])),IF(AND((_xlfn.XMATCH(BC$8,$AH$8:$CC$8))-_xlfn.XMATCH($C118,$C$35:$C$82)+1&lt;=_xlpm.DepreciationMonths,$C118&lt;=BC$8),$E118/_xlpm.DepreciationMonths,0))</f>
        <v>0</v>
      </c>
      <c r="BD118" s="507" cm="1">
        <f t="array" ref="BD118">_xlfn.LET(_xlpm.DepreciationMonths,INDEX(FixedAssets[Depreciation
/ Amortization Months],_xlfn.XMATCH($E$84,FixedAssets[Asset ID])),IF(AND((_xlfn.XMATCH(BD$8,$AH$8:$CC$8))-_xlfn.XMATCH($C118,$C$35:$C$82)+1&lt;=_xlpm.DepreciationMonths,$C118&lt;=BD$8),$E118/_xlpm.DepreciationMonths,0))</f>
        <v>0</v>
      </c>
      <c r="BE118" s="507" cm="1">
        <f t="array" ref="BE118">_xlfn.LET(_xlpm.DepreciationMonths,INDEX(FixedAssets[Depreciation
/ Amortization Months],_xlfn.XMATCH($E$84,FixedAssets[Asset ID])),IF(AND((_xlfn.XMATCH(BE$8,$AH$8:$CC$8))-_xlfn.XMATCH($C118,$C$35:$C$82)+1&lt;=_xlpm.DepreciationMonths,$C118&lt;=BE$8),$E118/_xlpm.DepreciationMonths,0))</f>
        <v>0</v>
      </c>
      <c r="BF118" s="507" cm="1">
        <f t="array" ref="BF118">_xlfn.LET(_xlpm.DepreciationMonths,INDEX(FixedAssets[Depreciation
/ Amortization Months],_xlfn.XMATCH($E$84,FixedAssets[Asset ID])),IF(AND((_xlfn.XMATCH(BF$8,$AH$8:$CC$8))-_xlfn.XMATCH($C118,$C$35:$C$82)+1&lt;=_xlpm.DepreciationMonths,$C118&lt;=BF$8),$E118/_xlpm.DepreciationMonths,0))</f>
        <v>0</v>
      </c>
      <c r="BG118" s="507" cm="1">
        <f t="array" ref="BG118">_xlfn.LET(_xlpm.DepreciationMonths,INDEX(FixedAssets[Depreciation
/ Amortization Months],_xlfn.XMATCH($E$84,FixedAssets[Asset ID])),IF(AND((_xlfn.XMATCH(BG$8,$AH$8:$CC$8))-_xlfn.XMATCH($C118,$C$35:$C$82)+1&lt;=_xlpm.DepreciationMonths,$C118&lt;=BG$8),$E118/_xlpm.DepreciationMonths,0))</f>
        <v>0</v>
      </c>
      <c r="BH118" s="507" cm="1">
        <f t="array" ref="BH118">_xlfn.LET(_xlpm.DepreciationMonths,INDEX(FixedAssets[Depreciation
/ Amortization Months],_xlfn.XMATCH($E$84,FixedAssets[Asset ID])),IF(AND((_xlfn.XMATCH(BH$8,$AH$8:$CC$8))-_xlfn.XMATCH($C118,$C$35:$C$82)+1&lt;=_xlpm.DepreciationMonths,$C118&lt;=BH$8),$E118/_xlpm.DepreciationMonths,0))</f>
        <v>0</v>
      </c>
      <c r="BI118" s="507" cm="1">
        <f t="array" ref="BI118">_xlfn.LET(_xlpm.DepreciationMonths,INDEX(FixedAssets[Depreciation
/ Amortization Months],_xlfn.XMATCH($E$84,FixedAssets[Asset ID])),IF(AND((_xlfn.XMATCH(BI$8,$AH$8:$CC$8))-_xlfn.XMATCH($C118,$C$35:$C$82)+1&lt;=_xlpm.DepreciationMonths,$C118&lt;=BI$8),$E118/_xlpm.DepreciationMonths,0))</f>
        <v>0</v>
      </c>
      <c r="BJ118" s="507" cm="1">
        <f t="array" ref="BJ118">_xlfn.LET(_xlpm.DepreciationMonths,INDEX(FixedAssets[Depreciation
/ Amortization Months],_xlfn.XMATCH($E$84,FixedAssets[Asset ID])),IF(AND((_xlfn.XMATCH(BJ$8,$AH$8:$CC$8))-_xlfn.XMATCH($C118,$C$35:$C$82)+1&lt;=_xlpm.DepreciationMonths,$C118&lt;=BJ$8),$E118/_xlpm.DepreciationMonths,0))</f>
        <v>0</v>
      </c>
      <c r="BK118" s="507" cm="1">
        <f t="array" ref="BK118">_xlfn.LET(_xlpm.DepreciationMonths,INDEX(FixedAssets[Depreciation
/ Amortization Months],_xlfn.XMATCH($E$84,FixedAssets[Asset ID])),IF(AND((_xlfn.XMATCH(BK$8,$AH$8:$CC$8))-_xlfn.XMATCH($C118,$C$35:$C$82)+1&lt;=_xlpm.DepreciationMonths,$C118&lt;=BK$8),$E118/_xlpm.DepreciationMonths,0))</f>
        <v>0</v>
      </c>
      <c r="BL118" s="507" cm="1">
        <f t="array" ref="BL118">_xlfn.LET(_xlpm.DepreciationMonths,INDEX(FixedAssets[Depreciation
/ Amortization Months],_xlfn.XMATCH($E$84,FixedAssets[Asset ID])),IF(AND((_xlfn.XMATCH(BL$8,$AH$8:$CC$8))-_xlfn.XMATCH($C118,$C$35:$C$82)+1&lt;=_xlpm.DepreciationMonths,$C118&lt;=BL$8),$E118/_xlpm.DepreciationMonths,0))</f>
        <v>0</v>
      </c>
      <c r="BM118" s="507" cm="1">
        <f t="array" ref="BM118">_xlfn.LET(_xlpm.DepreciationMonths,INDEX(FixedAssets[Depreciation
/ Amortization Months],_xlfn.XMATCH($E$84,FixedAssets[Asset ID])),IF(AND((_xlfn.XMATCH(BM$8,$AH$8:$CC$8))-_xlfn.XMATCH($C118,$C$35:$C$82)+1&lt;=_xlpm.DepreciationMonths,$C118&lt;=BM$8),$E118/_xlpm.DepreciationMonths,0))</f>
        <v>0</v>
      </c>
      <c r="BN118" s="507" cm="1">
        <f t="array" ref="BN118">_xlfn.LET(_xlpm.DepreciationMonths,INDEX(FixedAssets[Depreciation
/ Amortization Months],_xlfn.XMATCH($E$84,FixedAssets[Asset ID])),IF(AND((_xlfn.XMATCH(BN$8,$AH$8:$CC$8))-_xlfn.XMATCH($C118,$C$35:$C$82)+1&lt;=_xlpm.DepreciationMonths,$C118&lt;=BN$8),$E118/_xlpm.DepreciationMonths,0))</f>
        <v>0</v>
      </c>
      <c r="BO118" s="507" cm="1">
        <f t="array" ref="BO118">_xlfn.LET(_xlpm.DepreciationMonths,INDEX(FixedAssets[Depreciation
/ Amortization Months],_xlfn.XMATCH($E$84,FixedAssets[Asset ID])),IF(AND((_xlfn.XMATCH(BO$8,$AH$8:$CC$8))-_xlfn.XMATCH($C118,$C$35:$C$82)+1&lt;=_xlpm.DepreciationMonths,$C118&lt;=BO$8),$E118/_xlpm.DepreciationMonths,0))</f>
        <v>0</v>
      </c>
      <c r="BP118" s="507" cm="1">
        <f t="array" ref="BP118">_xlfn.LET(_xlpm.DepreciationMonths,INDEX(FixedAssets[Depreciation
/ Amortization Months],_xlfn.XMATCH($E$84,FixedAssets[Asset ID])),IF(AND((_xlfn.XMATCH(BP$8,$AH$8:$CC$8))-_xlfn.XMATCH($C118,$C$35:$C$82)+1&lt;=_xlpm.DepreciationMonths,$C118&lt;=BP$8),$E118/_xlpm.DepreciationMonths,0))</f>
        <v>0</v>
      </c>
      <c r="BQ118" s="507" cm="1">
        <f t="array" ref="BQ118">_xlfn.LET(_xlpm.DepreciationMonths,INDEX(FixedAssets[Depreciation
/ Amortization Months],_xlfn.XMATCH($E$84,FixedAssets[Asset ID])),IF(AND((_xlfn.XMATCH(BQ$8,$AH$8:$CC$8))-_xlfn.XMATCH($C118,$C$35:$C$82)+1&lt;=_xlpm.DepreciationMonths,$C118&lt;=BQ$8),$E118/_xlpm.DepreciationMonths,0))</f>
        <v>0</v>
      </c>
      <c r="BR118" s="507" cm="1">
        <f t="array" ref="BR118">_xlfn.LET(_xlpm.DepreciationMonths,INDEX(FixedAssets[Depreciation
/ Amortization Months],_xlfn.XMATCH($E$84,FixedAssets[Asset ID])),IF(AND((_xlfn.XMATCH(BR$8,$AH$8:$CC$8))-_xlfn.XMATCH($C118,$C$35:$C$82)+1&lt;=_xlpm.DepreciationMonths,$C118&lt;=BR$8),$E118/_xlpm.DepreciationMonths,0))</f>
        <v>0</v>
      </c>
      <c r="BS118" s="507" cm="1">
        <f t="array" ref="BS118">_xlfn.LET(_xlpm.DepreciationMonths,INDEX(FixedAssets[Depreciation
/ Amortization Months],_xlfn.XMATCH($E$84,FixedAssets[Asset ID])),IF(AND((_xlfn.XMATCH(BS$8,$AH$8:$CC$8))-_xlfn.XMATCH($C118,$C$35:$C$82)+1&lt;=_xlpm.DepreciationMonths,$C118&lt;=BS$8),$E118/_xlpm.DepreciationMonths,0))</f>
        <v>0</v>
      </c>
      <c r="BT118" s="507" cm="1">
        <f t="array" ref="BT118">_xlfn.LET(_xlpm.DepreciationMonths,INDEX(FixedAssets[Depreciation
/ Amortization Months],_xlfn.XMATCH($E$84,FixedAssets[Asset ID])),IF(AND((_xlfn.XMATCH(BT$8,$AH$8:$CC$8))-_xlfn.XMATCH($C118,$C$35:$C$82)+1&lt;=_xlpm.DepreciationMonths,$C118&lt;=BT$8),$E118/_xlpm.DepreciationMonths,0))</f>
        <v>0</v>
      </c>
      <c r="BU118" s="507" cm="1">
        <f t="array" ref="BU118">_xlfn.LET(_xlpm.DepreciationMonths,INDEX(FixedAssets[Depreciation
/ Amortization Months],_xlfn.XMATCH($E$84,FixedAssets[Asset ID])),IF(AND((_xlfn.XMATCH(BU$8,$AH$8:$CC$8))-_xlfn.XMATCH($C118,$C$35:$C$82)+1&lt;=_xlpm.DepreciationMonths,$C118&lt;=BU$8),$E118/_xlpm.DepreciationMonths,0))</f>
        <v>0</v>
      </c>
      <c r="BV118" s="507" cm="1">
        <f t="array" ref="BV118">_xlfn.LET(_xlpm.DepreciationMonths,INDEX(FixedAssets[Depreciation
/ Amortization Months],_xlfn.XMATCH($E$84,FixedAssets[Asset ID])),IF(AND((_xlfn.XMATCH(BV$8,$AH$8:$CC$8))-_xlfn.XMATCH($C118,$C$35:$C$82)+1&lt;=_xlpm.DepreciationMonths,$C118&lt;=BV$8),$E118/_xlpm.DepreciationMonths,0))</f>
        <v>0</v>
      </c>
      <c r="BW118" s="507" cm="1">
        <f t="array" ref="BW118">_xlfn.LET(_xlpm.DepreciationMonths,INDEX(FixedAssets[Depreciation
/ Amortization Months],_xlfn.XMATCH($E$84,FixedAssets[Asset ID])),IF(AND((_xlfn.XMATCH(BW$8,$AH$8:$CC$8))-_xlfn.XMATCH($C118,$C$35:$C$82)+1&lt;=_xlpm.DepreciationMonths,$C118&lt;=BW$8),$E118/_xlpm.DepreciationMonths,0))</f>
        <v>0</v>
      </c>
      <c r="BX118" s="507" cm="1">
        <f t="array" ref="BX118">_xlfn.LET(_xlpm.DepreciationMonths,INDEX(FixedAssets[Depreciation
/ Amortization Months],_xlfn.XMATCH($E$84,FixedAssets[Asset ID])),IF(AND((_xlfn.XMATCH(BX$8,$AH$8:$CC$8))-_xlfn.XMATCH($C118,$C$35:$C$82)+1&lt;=_xlpm.DepreciationMonths,$C118&lt;=BX$8),$E118/_xlpm.DepreciationMonths,0))</f>
        <v>0</v>
      </c>
      <c r="BY118" s="507" cm="1">
        <f t="array" ref="BY118">_xlfn.LET(_xlpm.DepreciationMonths,INDEX(FixedAssets[Depreciation
/ Amortization Months],_xlfn.XMATCH($E$84,FixedAssets[Asset ID])),IF(AND((_xlfn.XMATCH(BY$8,$AH$8:$CC$8))-_xlfn.XMATCH($C118,$C$35:$C$82)+1&lt;=_xlpm.DepreciationMonths,$C118&lt;=BY$8),$E118/_xlpm.DepreciationMonths,0))</f>
        <v>0</v>
      </c>
      <c r="BZ118" s="507" cm="1">
        <f t="array" ref="BZ118">_xlfn.LET(_xlpm.DepreciationMonths,INDEX(FixedAssets[Depreciation
/ Amortization Months],_xlfn.XMATCH($E$84,FixedAssets[Asset ID])),IF(AND((_xlfn.XMATCH(BZ$8,$AH$8:$CC$8))-_xlfn.XMATCH($C118,$C$35:$C$82)+1&lt;=_xlpm.DepreciationMonths,$C118&lt;=BZ$8),$E118/_xlpm.DepreciationMonths,0))</f>
        <v>0</v>
      </c>
      <c r="CA118" s="507" cm="1">
        <f t="array" ref="CA118">_xlfn.LET(_xlpm.DepreciationMonths,INDEX(FixedAssets[Depreciation
/ Amortization Months],_xlfn.XMATCH($E$84,FixedAssets[Asset ID])),IF(AND((_xlfn.XMATCH(CA$8,$AH$8:$CC$8))-_xlfn.XMATCH($C118,$C$35:$C$82)+1&lt;=_xlpm.DepreciationMonths,$C118&lt;=CA$8),$E118/_xlpm.DepreciationMonths,0))</f>
        <v>0</v>
      </c>
      <c r="CB118" s="507" cm="1">
        <f t="array" ref="CB118">_xlfn.LET(_xlpm.DepreciationMonths,INDEX(FixedAssets[Depreciation
/ Amortization Months],_xlfn.XMATCH($E$84,FixedAssets[Asset ID])),IF(AND((_xlfn.XMATCH(CB$8,$AH$8:$CC$8))-_xlfn.XMATCH($C118,$C$35:$C$82)+1&lt;=_xlpm.DepreciationMonths,$C118&lt;=CB$8),$E118/_xlpm.DepreciationMonths,0))</f>
        <v>0</v>
      </c>
      <c r="CC118" s="507" cm="1">
        <f t="array" ref="CC118">_xlfn.LET(_xlpm.DepreciationMonths,INDEX(FixedAssets[Depreciation
/ Amortization Months],_xlfn.XMATCH($E$84,FixedAssets[Asset ID])),IF(AND((_xlfn.XMATCH(CC$8,$AH$8:$CC$8))-_xlfn.XMATCH($C118,$C$35:$C$82)+1&lt;=_xlpm.DepreciationMonths,$C118&lt;=CC$8),$E118/_xlpm.DepreciationMonths,0))</f>
        <v>0</v>
      </c>
    </row>
    <row r="119" spans="3:81" hidden="1" outlineLevel="2">
      <c r="C119" s="664">
        <f t="shared" si="167"/>
        <v>45961</v>
      </c>
      <c r="D119" s="508"/>
      <c r="E119" s="508" cm="1">
        <f t="array" ref="E119">SUMPRODUCT(($AH$26:$CC$31)*($AH$5:$CC$5=$C119)*($E$26:$E$31=E$84))-SUMPRODUCT(($AH$26:$CC$31)*($AH$5:$CC$5=EOMONTH($C119,-1))*($E$26:$E$31=E$84))</f>
        <v>0</v>
      </c>
      <c r="F119" s="508"/>
      <c r="G119" s="508"/>
      <c r="H119" s="508"/>
      <c r="I119" s="508"/>
      <c r="J119" s="504">
        <f t="shared" si="164"/>
        <v>0</v>
      </c>
      <c r="K119" s="504">
        <f t="shared" si="172"/>
        <v>0</v>
      </c>
      <c r="L119" s="504">
        <f t="shared" si="172"/>
        <v>0</v>
      </c>
      <c r="M119" s="504">
        <f t="shared" si="172"/>
        <v>0</v>
      </c>
      <c r="N119" s="504"/>
      <c r="O119" s="504"/>
      <c r="P119" s="504">
        <f t="shared" si="173"/>
        <v>0</v>
      </c>
      <c r="Q119" s="504">
        <f t="shared" si="173"/>
        <v>0</v>
      </c>
      <c r="R119" s="504">
        <f t="shared" si="173"/>
        <v>0</v>
      </c>
      <c r="S119" s="504">
        <f t="shared" si="173"/>
        <v>0</v>
      </c>
      <c r="T119" s="504">
        <f t="shared" si="173"/>
        <v>0</v>
      </c>
      <c r="U119" s="504">
        <f t="shared" si="173"/>
        <v>0</v>
      </c>
      <c r="V119" s="504">
        <f t="shared" si="173"/>
        <v>0</v>
      </c>
      <c r="W119" s="504">
        <f t="shared" si="173"/>
        <v>0</v>
      </c>
      <c r="X119" s="504">
        <f t="shared" si="173"/>
        <v>0</v>
      </c>
      <c r="Y119" s="504">
        <f t="shared" si="173"/>
        <v>0</v>
      </c>
      <c r="Z119" s="504">
        <f t="shared" si="173"/>
        <v>0</v>
      </c>
      <c r="AA119" s="504">
        <f t="shared" si="173"/>
        <v>0</v>
      </c>
      <c r="AB119" s="504">
        <f t="shared" si="173"/>
        <v>0</v>
      </c>
      <c r="AC119" s="504">
        <f t="shared" si="173"/>
        <v>0</v>
      </c>
      <c r="AD119" s="504">
        <f t="shared" si="173"/>
        <v>0</v>
      </c>
      <c r="AE119" s="504">
        <f t="shared" si="173"/>
        <v>0</v>
      </c>
      <c r="AF119" s="508"/>
      <c r="AG119" s="508"/>
      <c r="AH119" s="507" cm="1">
        <f t="array" ref="AH119">_xlfn.LET(_xlpm.DepreciationMonths,INDEX(FixedAssets[Depreciation
/ Amortization Months],_xlfn.XMATCH($E$84,FixedAssets[Asset ID])),IF(AND((_xlfn.XMATCH(AH$8,$AH$8:$CC$8))-_xlfn.XMATCH($C119,$C$35:$C$82)+1&lt;=_xlpm.DepreciationMonths,$C119&lt;=AH$8),$E119/_xlpm.DepreciationMonths,0))</f>
        <v>0</v>
      </c>
      <c r="AI119" s="507" cm="1">
        <f t="array" ref="AI119">_xlfn.LET(_xlpm.DepreciationMonths,INDEX(FixedAssets[Depreciation
/ Amortization Months],_xlfn.XMATCH($E$84,FixedAssets[Asset ID])),IF(AND((_xlfn.XMATCH(AI$8,$AH$8:$CC$8))-_xlfn.XMATCH($C119,$C$35:$C$82)+1&lt;=_xlpm.DepreciationMonths,$C119&lt;=AI$8),$E119/_xlpm.DepreciationMonths,0))</f>
        <v>0</v>
      </c>
      <c r="AJ119" s="507" cm="1">
        <f t="array" ref="AJ119">_xlfn.LET(_xlpm.DepreciationMonths,INDEX(FixedAssets[Depreciation
/ Amortization Months],_xlfn.XMATCH($E$84,FixedAssets[Asset ID])),IF(AND((_xlfn.XMATCH(AJ$8,$AH$8:$CC$8))-_xlfn.XMATCH($C119,$C$35:$C$82)+1&lt;=_xlpm.DepreciationMonths,$C119&lt;=AJ$8),$E119/_xlpm.DepreciationMonths,0))</f>
        <v>0</v>
      </c>
      <c r="AK119" s="507" cm="1">
        <f t="array" ref="AK119">_xlfn.LET(_xlpm.DepreciationMonths,INDEX(FixedAssets[Depreciation
/ Amortization Months],_xlfn.XMATCH($E$84,FixedAssets[Asset ID])),IF(AND((_xlfn.XMATCH(AK$8,$AH$8:$CC$8))-_xlfn.XMATCH($C119,$C$35:$C$82)+1&lt;=_xlpm.DepreciationMonths,$C119&lt;=AK$8),$E119/_xlpm.DepreciationMonths,0))</f>
        <v>0</v>
      </c>
      <c r="AL119" s="507" cm="1">
        <f t="array" ref="AL119">_xlfn.LET(_xlpm.DepreciationMonths,INDEX(FixedAssets[Depreciation
/ Amortization Months],_xlfn.XMATCH($E$84,FixedAssets[Asset ID])),IF(AND((_xlfn.XMATCH(AL$8,$AH$8:$CC$8))-_xlfn.XMATCH($C119,$C$35:$C$82)+1&lt;=_xlpm.DepreciationMonths,$C119&lt;=AL$8),$E119/_xlpm.DepreciationMonths,0))</f>
        <v>0</v>
      </c>
      <c r="AM119" s="507" cm="1">
        <f t="array" ref="AM119">_xlfn.LET(_xlpm.DepreciationMonths,INDEX(FixedAssets[Depreciation
/ Amortization Months],_xlfn.XMATCH($E$84,FixedAssets[Asset ID])),IF(AND((_xlfn.XMATCH(AM$8,$AH$8:$CC$8))-_xlfn.XMATCH($C119,$C$35:$C$82)+1&lt;=_xlpm.DepreciationMonths,$C119&lt;=AM$8),$E119/_xlpm.DepreciationMonths,0))</f>
        <v>0</v>
      </c>
      <c r="AN119" s="507" cm="1">
        <f t="array" ref="AN119">_xlfn.LET(_xlpm.DepreciationMonths,INDEX(FixedAssets[Depreciation
/ Amortization Months],_xlfn.XMATCH($E$84,FixedAssets[Asset ID])),IF(AND((_xlfn.XMATCH(AN$8,$AH$8:$CC$8))-_xlfn.XMATCH($C119,$C$35:$C$82)+1&lt;=_xlpm.DepreciationMonths,$C119&lt;=AN$8),$E119/_xlpm.DepreciationMonths,0))</f>
        <v>0</v>
      </c>
      <c r="AO119" s="507" cm="1">
        <f t="array" ref="AO119">_xlfn.LET(_xlpm.DepreciationMonths,INDEX(FixedAssets[Depreciation
/ Amortization Months],_xlfn.XMATCH($E$84,FixedAssets[Asset ID])),IF(AND((_xlfn.XMATCH(AO$8,$AH$8:$CC$8))-_xlfn.XMATCH($C119,$C$35:$C$82)+1&lt;=_xlpm.DepreciationMonths,$C119&lt;=AO$8),$E119/_xlpm.DepreciationMonths,0))</f>
        <v>0</v>
      </c>
      <c r="AP119" s="507" cm="1">
        <f t="array" ref="AP119">_xlfn.LET(_xlpm.DepreciationMonths,INDEX(FixedAssets[Depreciation
/ Amortization Months],_xlfn.XMATCH($E$84,FixedAssets[Asset ID])),IF(AND((_xlfn.XMATCH(AP$8,$AH$8:$CC$8))-_xlfn.XMATCH($C119,$C$35:$C$82)+1&lt;=_xlpm.DepreciationMonths,$C119&lt;=AP$8),$E119/_xlpm.DepreciationMonths,0))</f>
        <v>0</v>
      </c>
      <c r="AQ119" s="507" cm="1">
        <f t="array" ref="AQ119">_xlfn.LET(_xlpm.DepreciationMonths,INDEX(FixedAssets[Depreciation
/ Amortization Months],_xlfn.XMATCH($E$84,FixedAssets[Asset ID])),IF(AND((_xlfn.XMATCH(AQ$8,$AH$8:$CC$8))-_xlfn.XMATCH($C119,$C$35:$C$82)+1&lt;=_xlpm.DepreciationMonths,$C119&lt;=AQ$8),$E119/_xlpm.DepreciationMonths,0))</f>
        <v>0</v>
      </c>
      <c r="AR119" s="507" cm="1">
        <f t="array" ref="AR119">_xlfn.LET(_xlpm.DepreciationMonths,INDEX(FixedAssets[Depreciation
/ Amortization Months],_xlfn.XMATCH($E$84,FixedAssets[Asset ID])),IF(AND((_xlfn.XMATCH(AR$8,$AH$8:$CC$8))-_xlfn.XMATCH($C119,$C$35:$C$82)+1&lt;=_xlpm.DepreciationMonths,$C119&lt;=AR$8),$E119/_xlpm.DepreciationMonths,0))</f>
        <v>0</v>
      </c>
      <c r="AS119" s="507" cm="1">
        <f t="array" ref="AS119">_xlfn.LET(_xlpm.DepreciationMonths,INDEX(FixedAssets[Depreciation
/ Amortization Months],_xlfn.XMATCH($E$84,FixedAssets[Asset ID])),IF(AND((_xlfn.XMATCH(AS$8,$AH$8:$CC$8))-_xlfn.XMATCH($C119,$C$35:$C$82)+1&lt;=_xlpm.DepreciationMonths,$C119&lt;=AS$8),$E119/_xlpm.DepreciationMonths,0))</f>
        <v>0</v>
      </c>
      <c r="AT119" s="507" cm="1">
        <f t="array" ref="AT119">_xlfn.LET(_xlpm.DepreciationMonths,INDEX(FixedAssets[Depreciation
/ Amortization Months],_xlfn.XMATCH($E$84,FixedAssets[Asset ID])),IF(AND((_xlfn.XMATCH(AT$8,$AH$8:$CC$8))-_xlfn.XMATCH($C119,$C$35:$C$82)+1&lt;=_xlpm.DepreciationMonths,$C119&lt;=AT$8),$E119/_xlpm.DepreciationMonths,0))</f>
        <v>0</v>
      </c>
      <c r="AU119" s="507" cm="1">
        <f t="array" ref="AU119">_xlfn.LET(_xlpm.DepreciationMonths,INDEX(FixedAssets[Depreciation
/ Amortization Months],_xlfn.XMATCH($E$84,FixedAssets[Asset ID])),IF(AND((_xlfn.XMATCH(AU$8,$AH$8:$CC$8))-_xlfn.XMATCH($C119,$C$35:$C$82)+1&lt;=_xlpm.DepreciationMonths,$C119&lt;=AU$8),$E119/_xlpm.DepreciationMonths,0))</f>
        <v>0</v>
      </c>
      <c r="AV119" s="507" cm="1">
        <f t="array" ref="AV119">_xlfn.LET(_xlpm.DepreciationMonths,INDEX(FixedAssets[Depreciation
/ Amortization Months],_xlfn.XMATCH($E$84,FixedAssets[Asset ID])),IF(AND((_xlfn.XMATCH(AV$8,$AH$8:$CC$8))-_xlfn.XMATCH($C119,$C$35:$C$82)+1&lt;=_xlpm.DepreciationMonths,$C119&lt;=AV$8),$E119/_xlpm.DepreciationMonths,0))</f>
        <v>0</v>
      </c>
      <c r="AW119" s="507" cm="1">
        <f t="array" ref="AW119">_xlfn.LET(_xlpm.DepreciationMonths,INDEX(FixedAssets[Depreciation
/ Amortization Months],_xlfn.XMATCH($E$84,FixedAssets[Asset ID])),IF(AND((_xlfn.XMATCH(AW$8,$AH$8:$CC$8))-_xlfn.XMATCH($C119,$C$35:$C$82)+1&lt;=_xlpm.DepreciationMonths,$C119&lt;=AW$8),$E119/_xlpm.DepreciationMonths,0))</f>
        <v>0</v>
      </c>
      <c r="AX119" s="507" cm="1">
        <f t="array" ref="AX119">_xlfn.LET(_xlpm.DepreciationMonths,INDEX(FixedAssets[Depreciation
/ Amortization Months],_xlfn.XMATCH($E$84,FixedAssets[Asset ID])),IF(AND((_xlfn.XMATCH(AX$8,$AH$8:$CC$8))-_xlfn.XMATCH($C119,$C$35:$C$82)+1&lt;=_xlpm.DepreciationMonths,$C119&lt;=AX$8),$E119/_xlpm.DepreciationMonths,0))</f>
        <v>0</v>
      </c>
      <c r="AY119" s="507" cm="1">
        <f t="array" ref="AY119">_xlfn.LET(_xlpm.DepreciationMonths,INDEX(FixedAssets[Depreciation
/ Amortization Months],_xlfn.XMATCH($E$84,FixedAssets[Asset ID])),IF(AND((_xlfn.XMATCH(AY$8,$AH$8:$CC$8))-_xlfn.XMATCH($C119,$C$35:$C$82)+1&lt;=_xlpm.DepreciationMonths,$C119&lt;=AY$8),$E119/_xlpm.DepreciationMonths,0))</f>
        <v>0</v>
      </c>
      <c r="AZ119" s="507" cm="1">
        <f t="array" ref="AZ119">_xlfn.LET(_xlpm.DepreciationMonths,INDEX(FixedAssets[Depreciation
/ Amortization Months],_xlfn.XMATCH($E$84,FixedAssets[Asset ID])),IF(AND((_xlfn.XMATCH(AZ$8,$AH$8:$CC$8))-_xlfn.XMATCH($C119,$C$35:$C$82)+1&lt;=_xlpm.DepreciationMonths,$C119&lt;=AZ$8),$E119/_xlpm.DepreciationMonths,0))</f>
        <v>0</v>
      </c>
      <c r="BA119" s="507" cm="1">
        <f t="array" ref="BA119">_xlfn.LET(_xlpm.DepreciationMonths,INDEX(FixedAssets[Depreciation
/ Amortization Months],_xlfn.XMATCH($E$84,FixedAssets[Asset ID])),IF(AND((_xlfn.XMATCH(BA$8,$AH$8:$CC$8))-_xlfn.XMATCH($C119,$C$35:$C$82)+1&lt;=_xlpm.DepreciationMonths,$C119&lt;=BA$8),$E119/_xlpm.DepreciationMonths,0))</f>
        <v>0</v>
      </c>
      <c r="BB119" s="507" cm="1">
        <f t="array" ref="BB119">_xlfn.LET(_xlpm.DepreciationMonths,INDEX(FixedAssets[Depreciation
/ Amortization Months],_xlfn.XMATCH($E$84,FixedAssets[Asset ID])),IF(AND((_xlfn.XMATCH(BB$8,$AH$8:$CC$8))-_xlfn.XMATCH($C119,$C$35:$C$82)+1&lt;=_xlpm.DepreciationMonths,$C119&lt;=BB$8),$E119/_xlpm.DepreciationMonths,0))</f>
        <v>0</v>
      </c>
      <c r="BC119" s="507" cm="1">
        <f t="array" ref="BC119">_xlfn.LET(_xlpm.DepreciationMonths,INDEX(FixedAssets[Depreciation
/ Amortization Months],_xlfn.XMATCH($E$84,FixedAssets[Asset ID])),IF(AND((_xlfn.XMATCH(BC$8,$AH$8:$CC$8))-_xlfn.XMATCH($C119,$C$35:$C$82)+1&lt;=_xlpm.DepreciationMonths,$C119&lt;=BC$8),$E119/_xlpm.DepreciationMonths,0))</f>
        <v>0</v>
      </c>
      <c r="BD119" s="507" cm="1">
        <f t="array" ref="BD119">_xlfn.LET(_xlpm.DepreciationMonths,INDEX(FixedAssets[Depreciation
/ Amortization Months],_xlfn.XMATCH($E$84,FixedAssets[Asset ID])),IF(AND((_xlfn.XMATCH(BD$8,$AH$8:$CC$8))-_xlfn.XMATCH($C119,$C$35:$C$82)+1&lt;=_xlpm.DepreciationMonths,$C119&lt;=BD$8),$E119/_xlpm.DepreciationMonths,0))</f>
        <v>0</v>
      </c>
      <c r="BE119" s="507" cm="1">
        <f t="array" ref="BE119">_xlfn.LET(_xlpm.DepreciationMonths,INDEX(FixedAssets[Depreciation
/ Amortization Months],_xlfn.XMATCH($E$84,FixedAssets[Asset ID])),IF(AND((_xlfn.XMATCH(BE$8,$AH$8:$CC$8))-_xlfn.XMATCH($C119,$C$35:$C$82)+1&lt;=_xlpm.DepreciationMonths,$C119&lt;=BE$8),$E119/_xlpm.DepreciationMonths,0))</f>
        <v>0</v>
      </c>
      <c r="BF119" s="507" cm="1">
        <f t="array" ref="BF119">_xlfn.LET(_xlpm.DepreciationMonths,INDEX(FixedAssets[Depreciation
/ Amortization Months],_xlfn.XMATCH($E$84,FixedAssets[Asset ID])),IF(AND((_xlfn.XMATCH(BF$8,$AH$8:$CC$8))-_xlfn.XMATCH($C119,$C$35:$C$82)+1&lt;=_xlpm.DepreciationMonths,$C119&lt;=BF$8),$E119/_xlpm.DepreciationMonths,0))</f>
        <v>0</v>
      </c>
      <c r="BG119" s="507" cm="1">
        <f t="array" ref="BG119">_xlfn.LET(_xlpm.DepreciationMonths,INDEX(FixedAssets[Depreciation
/ Amortization Months],_xlfn.XMATCH($E$84,FixedAssets[Asset ID])),IF(AND((_xlfn.XMATCH(BG$8,$AH$8:$CC$8))-_xlfn.XMATCH($C119,$C$35:$C$82)+1&lt;=_xlpm.DepreciationMonths,$C119&lt;=BG$8),$E119/_xlpm.DepreciationMonths,0))</f>
        <v>0</v>
      </c>
      <c r="BH119" s="507" cm="1">
        <f t="array" ref="BH119">_xlfn.LET(_xlpm.DepreciationMonths,INDEX(FixedAssets[Depreciation
/ Amortization Months],_xlfn.XMATCH($E$84,FixedAssets[Asset ID])),IF(AND((_xlfn.XMATCH(BH$8,$AH$8:$CC$8))-_xlfn.XMATCH($C119,$C$35:$C$82)+1&lt;=_xlpm.DepreciationMonths,$C119&lt;=BH$8),$E119/_xlpm.DepreciationMonths,0))</f>
        <v>0</v>
      </c>
      <c r="BI119" s="507" cm="1">
        <f t="array" ref="BI119">_xlfn.LET(_xlpm.DepreciationMonths,INDEX(FixedAssets[Depreciation
/ Amortization Months],_xlfn.XMATCH($E$84,FixedAssets[Asset ID])),IF(AND((_xlfn.XMATCH(BI$8,$AH$8:$CC$8))-_xlfn.XMATCH($C119,$C$35:$C$82)+1&lt;=_xlpm.DepreciationMonths,$C119&lt;=BI$8),$E119/_xlpm.DepreciationMonths,0))</f>
        <v>0</v>
      </c>
      <c r="BJ119" s="507" cm="1">
        <f t="array" ref="BJ119">_xlfn.LET(_xlpm.DepreciationMonths,INDEX(FixedAssets[Depreciation
/ Amortization Months],_xlfn.XMATCH($E$84,FixedAssets[Asset ID])),IF(AND((_xlfn.XMATCH(BJ$8,$AH$8:$CC$8))-_xlfn.XMATCH($C119,$C$35:$C$82)+1&lt;=_xlpm.DepreciationMonths,$C119&lt;=BJ$8),$E119/_xlpm.DepreciationMonths,0))</f>
        <v>0</v>
      </c>
      <c r="BK119" s="507" cm="1">
        <f t="array" ref="BK119">_xlfn.LET(_xlpm.DepreciationMonths,INDEX(FixedAssets[Depreciation
/ Amortization Months],_xlfn.XMATCH($E$84,FixedAssets[Asset ID])),IF(AND((_xlfn.XMATCH(BK$8,$AH$8:$CC$8))-_xlfn.XMATCH($C119,$C$35:$C$82)+1&lt;=_xlpm.DepreciationMonths,$C119&lt;=BK$8),$E119/_xlpm.DepreciationMonths,0))</f>
        <v>0</v>
      </c>
      <c r="BL119" s="507" cm="1">
        <f t="array" ref="BL119">_xlfn.LET(_xlpm.DepreciationMonths,INDEX(FixedAssets[Depreciation
/ Amortization Months],_xlfn.XMATCH($E$84,FixedAssets[Asset ID])),IF(AND((_xlfn.XMATCH(BL$8,$AH$8:$CC$8))-_xlfn.XMATCH($C119,$C$35:$C$82)+1&lt;=_xlpm.DepreciationMonths,$C119&lt;=BL$8),$E119/_xlpm.DepreciationMonths,0))</f>
        <v>0</v>
      </c>
      <c r="BM119" s="507" cm="1">
        <f t="array" ref="BM119">_xlfn.LET(_xlpm.DepreciationMonths,INDEX(FixedAssets[Depreciation
/ Amortization Months],_xlfn.XMATCH($E$84,FixedAssets[Asset ID])),IF(AND((_xlfn.XMATCH(BM$8,$AH$8:$CC$8))-_xlfn.XMATCH($C119,$C$35:$C$82)+1&lt;=_xlpm.DepreciationMonths,$C119&lt;=BM$8),$E119/_xlpm.DepreciationMonths,0))</f>
        <v>0</v>
      </c>
      <c r="BN119" s="507" cm="1">
        <f t="array" ref="BN119">_xlfn.LET(_xlpm.DepreciationMonths,INDEX(FixedAssets[Depreciation
/ Amortization Months],_xlfn.XMATCH($E$84,FixedAssets[Asset ID])),IF(AND((_xlfn.XMATCH(BN$8,$AH$8:$CC$8))-_xlfn.XMATCH($C119,$C$35:$C$82)+1&lt;=_xlpm.DepreciationMonths,$C119&lt;=BN$8),$E119/_xlpm.DepreciationMonths,0))</f>
        <v>0</v>
      </c>
      <c r="BO119" s="507" cm="1">
        <f t="array" ref="BO119">_xlfn.LET(_xlpm.DepreciationMonths,INDEX(FixedAssets[Depreciation
/ Amortization Months],_xlfn.XMATCH($E$84,FixedAssets[Asset ID])),IF(AND((_xlfn.XMATCH(BO$8,$AH$8:$CC$8))-_xlfn.XMATCH($C119,$C$35:$C$82)+1&lt;=_xlpm.DepreciationMonths,$C119&lt;=BO$8),$E119/_xlpm.DepreciationMonths,0))</f>
        <v>0</v>
      </c>
      <c r="BP119" s="507" cm="1">
        <f t="array" ref="BP119">_xlfn.LET(_xlpm.DepreciationMonths,INDEX(FixedAssets[Depreciation
/ Amortization Months],_xlfn.XMATCH($E$84,FixedAssets[Asset ID])),IF(AND((_xlfn.XMATCH(BP$8,$AH$8:$CC$8))-_xlfn.XMATCH($C119,$C$35:$C$82)+1&lt;=_xlpm.DepreciationMonths,$C119&lt;=BP$8),$E119/_xlpm.DepreciationMonths,0))</f>
        <v>0</v>
      </c>
      <c r="BQ119" s="507" cm="1">
        <f t="array" ref="BQ119">_xlfn.LET(_xlpm.DepreciationMonths,INDEX(FixedAssets[Depreciation
/ Amortization Months],_xlfn.XMATCH($E$84,FixedAssets[Asset ID])),IF(AND((_xlfn.XMATCH(BQ$8,$AH$8:$CC$8))-_xlfn.XMATCH($C119,$C$35:$C$82)+1&lt;=_xlpm.DepreciationMonths,$C119&lt;=BQ$8),$E119/_xlpm.DepreciationMonths,0))</f>
        <v>0</v>
      </c>
      <c r="BR119" s="507" cm="1">
        <f t="array" ref="BR119">_xlfn.LET(_xlpm.DepreciationMonths,INDEX(FixedAssets[Depreciation
/ Amortization Months],_xlfn.XMATCH($E$84,FixedAssets[Asset ID])),IF(AND((_xlfn.XMATCH(BR$8,$AH$8:$CC$8))-_xlfn.XMATCH($C119,$C$35:$C$82)+1&lt;=_xlpm.DepreciationMonths,$C119&lt;=BR$8),$E119/_xlpm.DepreciationMonths,0))</f>
        <v>0</v>
      </c>
      <c r="BS119" s="507" cm="1">
        <f t="array" ref="BS119">_xlfn.LET(_xlpm.DepreciationMonths,INDEX(FixedAssets[Depreciation
/ Amortization Months],_xlfn.XMATCH($E$84,FixedAssets[Asset ID])),IF(AND((_xlfn.XMATCH(BS$8,$AH$8:$CC$8))-_xlfn.XMATCH($C119,$C$35:$C$82)+1&lt;=_xlpm.DepreciationMonths,$C119&lt;=BS$8),$E119/_xlpm.DepreciationMonths,0))</f>
        <v>0</v>
      </c>
      <c r="BT119" s="507" cm="1">
        <f t="array" ref="BT119">_xlfn.LET(_xlpm.DepreciationMonths,INDEX(FixedAssets[Depreciation
/ Amortization Months],_xlfn.XMATCH($E$84,FixedAssets[Asset ID])),IF(AND((_xlfn.XMATCH(BT$8,$AH$8:$CC$8))-_xlfn.XMATCH($C119,$C$35:$C$82)+1&lt;=_xlpm.DepreciationMonths,$C119&lt;=BT$8),$E119/_xlpm.DepreciationMonths,0))</f>
        <v>0</v>
      </c>
      <c r="BU119" s="507" cm="1">
        <f t="array" ref="BU119">_xlfn.LET(_xlpm.DepreciationMonths,INDEX(FixedAssets[Depreciation
/ Amortization Months],_xlfn.XMATCH($E$84,FixedAssets[Asset ID])),IF(AND((_xlfn.XMATCH(BU$8,$AH$8:$CC$8))-_xlfn.XMATCH($C119,$C$35:$C$82)+1&lt;=_xlpm.DepreciationMonths,$C119&lt;=BU$8),$E119/_xlpm.DepreciationMonths,0))</f>
        <v>0</v>
      </c>
      <c r="BV119" s="507" cm="1">
        <f t="array" ref="BV119">_xlfn.LET(_xlpm.DepreciationMonths,INDEX(FixedAssets[Depreciation
/ Amortization Months],_xlfn.XMATCH($E$84,FixedAssets[Asset ID])),IF(AND((_xlfn.XMATCH(BV$8,$AH$8:$CC$8))-_xlfn.XMATCH($C119,$C$35:$C$82)+1&lt;=_xlpm.DepreciationMonths,$C119&lt;=BV$8),$E119/_xlpm.DepreciationMonths,0))</f>
        <v>0</v>
      </c>
      <c r="BW119" s="507" cm="1">
        <f t="array" ref="BW119">_xlfn.LET(_xlpm.DepreciationMonths,INDEX(FixedAssets[Depreciation
/ Amortization Months],_xlfn.XMATCH($E$84,FixedAssets[Asset ID])),IF(AND((_xlfn.XMATCH(BW$8,$AH$8:$CC$8))-_xlfn.XMATCH($C119,$C$35:$C$82)+1&lt;=_xlpm.DepreciationMonths,$C119&lt;=BW$8),$E119/_xlpm.DepreciationMonths,0))</f>
        <v>0</v>
      </c>
      <c r="BX119" s="507" cm="1">
        <f t="array" ref="BX119">_xlfn.LET(_xlpm.DepreciationMonths,INDEX(FixedAssets[Depreciation
/ Amortization Months],_xlfn.XMATCH($E$84,FixedAssets[Asset ID])),IF(AND((_xlfn.XMATCH(BX$8,$AH$8:$CC$8))-_xlfn.XMATCH($C119,$C$35:$C$82)+1&lt;=_xlpm.DepreciationMonths,$C119&lt;=BX$8),$E119/_xlpm.DepreciationMonths,0))</f>
        <v>0</v>
      </c>
      <c r="BY119" s="507" cm="1">
        <f t="array" ref="BY119">_xlfn.LET(_xlpm.DepreciationMonths,INDEX(FixedAssets[Depreciation
/ Amortization Months],_xlfn.XMATCH($E$84,FixedAssets[Asset ID])),IF(AND((_xlfn.XMATCH(BY$8,$AH$8:$CC$8))-_xlfn.XMATCH($C119,$C$35:$C$82)+1&lt;=_xlpm.DepreciationMonths,$C119&lt;=BY$8),$E119/_xlpm.DepreciationMonths,0))</f>
        <v>0</v>
      </c>
      <c r="BZ119" s="507" cm="1">
        <f t="array" ref="BZ119">_xlfn.LET(_xlpm.DepreciationMonths,INDEX(FixedAssets[Depreciation
/ Amortization Months],_xlfn.XMATCH($E$84,FixedAssets[Asset ID])),IF(AND((_xlfn.XMATCH(BZ$8,$AH$8:$CC$8))-_xlfn.XMATCH($C119,$C$35:$C$82)+1&lt;=_xlpm.DepreciationMonths,$C119&lt;=BZ$8),$E119/_xlpm.DepreciationMonths,0))</f>
        <v>0</v>
      </c>
      <c r="CA119" s="507" cm="1">
        <f t="array" ref="CA119">_xlfn.LET(_xlpm.DepreciationMonths,INDEX(FixedAssets[Depreciation
/ Amortization Months],_xlfn.XMATCH($E$84,FixedAssets[Asset ID])),IF(AND((_xlfn.XMATCH(CA$8,$AH$8:$CC$8))-_xlfn.XMATCH($C119,$C$35:$C$82)+1&lt;=_xlpm.DepreciationMonths,$C119&lt;=CA$8),$E119/_xlpm.DepreciationMonths,0))</f>
        <v>0</v>
      </c>
      <c r="CB119" s="507" cm="1">
        <f t="array" ref="CB119">_xlfn.LET(_xlpm.DepreciationMonths,INDEX(FixedAssets[Depreciation
/ Amortization Months],_xlfn.XMATCH($E$84,FixedAssets[Asset ID])),IF(AND((_xlfn.XMATCH(CB$8,$AH$8:$CC$8))-_xlfn.XMATCH($C119,$C$35:$C$82)+1&lt;=_xlpm.DepreciationMonths,$C119&lt;=CB$8),$E119/_xlpm.DepreciationMonths,0))</f>
        <v>0</v>
      </c>
      <c r="CC119" s="507" cm="1">
        <f t="array" ref="CC119">_xlfn.LET(_xlpm.DepreciationMonths,INDEX(FixedAssets[Depreciation
/ Amortization Months],_xlfn.XMATCH($E$84,FixedAssets[Asset ID])),IF(AND((_xlfn.XMATCH(CC$8,$AH$8:$CC$8))-_xlfn.XMATCH($C119,$C$35:$C$82)+1&lt;=_xlpm.DepreciationMonths,$C119&lt;=CC$8),$E119/_xlpm.DepreciationMonths,0))</f>
        <v>0</v>
      </c>
    </row>
    <row r="120" spans="3:81" hidden="1" outlineLevel="2">
      <c r="C120" s="664">
        <f t="shared" si="167"/>
        <v>45991</v>
      </c>
      <c r="D120" s="508"/>
      <c r="E120" s="508" cm="1">
        <f t="array" ref="E120">SUMPRODUCT(($AH$26:$CC$31)*($AH$5:$CC$5=$C120)*($E$26:$E$31=E$84))-SUMPRODUCT(($AH$26:$CC$31)*($AH$5:$CC$5=EOMONTH($C120,-1))*($E$26:$E$31=E$84))</f>
        <v>0</v>
      </c>
      <c r="F120" s="508"/>
      <c r="G120" s="508"/>
      <c r="H120" s="508"/>
      <c r="I120" s="508"/>
      <c r="J120" s="504">
        <f t="shared" si="164"/>
        <v>0</v>
      </c>
      <c r="K120" s="504">
        <f t="shared" si="172"/>
        <v>0</v>
      </c>
      <c r="L120" s="504">
        <f t="shared" si="172"/>
        <v>0</v>
      </c>
      <c r="M120" s="504">
        <f t="shared" si="172"/>
        <v>0</v>
      </c>
      <c r="N120" s="504"/>
      <c r="O120" s="504"/>
      <c r="P120" s="504">
        <f t="shared" si="173"/>
        <v>0</v>
      </c>
      <c r="Q120" s="504">
        <f t="shared" si="173"/>
        <v>0</v>
      </c>
      <c r="R120" s="504">
        <f t="shared" si="173"/>
        <v>0</v>
      </c>
      <c r="S120" s="504">
        <f t="shared" si="173"/>
        <v>0</v>
      </c>
      <c r="T120" s="504">
        <f t="shared" si="173"/>
        <v>0</v>
      </c>
      <c r="U120" s="504">
        <f t="shared" si="173"/>
        <v>0</v>
      </c>
      <c r="V120" s="504">
        <f t="shared" si="173"/>
        <v>0</v>
      </c>
      <c r="W120" s="504">
        <f t="shared" si="173"/>
        <v>0</v>
      </c>
      <c r="X120" s="504">
        <f t="shared" si="173"/>
        <v>0</v>
      </c>
      <c r="Y120" s="504">
        <f t="shared" si="173"/>
        <v>0</v>
      </c>
      <c r="Z120" s="504">
        <f t="shared" si="173"/>
        <v>0</v>
      </c>
      <c r="AA120" s="504">
        <f t="shared" si="173"/>
        <v>0</v>
      </c>
      <c r="AB120" s="504">
        <f t="shared" si="173"/>
        <v>0</v>
      </c>
      <c r="AC120" s="504">
        <f t="shared" si="173"/>
        <v>0</v>
      </c>
      <c r="AD120" s="504">
        <f t="shared" si="173"/>
        <v>0</v>
      </c>
      <c r="AE120" s="504">
        <f t="shared" si="173"/>
        <v>0</v>
      </c>
      <c r="AF120" s="508"/>
      <c r="AG120" s="508"/>
      <c r="AH120" s="507" cm="1">
        <f t="array" ref="AH120">_xlfn.LET(_xlpm.DepreciationMonths,INDEX(FixedAssets[Depreciation
/ Amortization Months],_xlfn.XMATCH($E$84,FixedAssets[Asset ID])),IF(AND((_xlfn.XMATCH(AH$8,$AH$8:$CC$8))-_xlfn.XMATCH($C120,$C$35:$C$82)+1&lt;=_xlpm.DepreciationMonths,$C120&lt;=AH$8),$E120/_xlpm.DepreciationMonths,0))</f>
        <v>0</v>
      </c>
      <c r="AI120" s="507" cm="1">
        <f t="array" ref="AI120">_xlfn.LET(_xlpm.DepreciationMonths,INDEX(FixedAssets[Depreciation
/ Amortization Months],_xlfn.XMATCH($E$84,FixedAssets[Asset ID])),IF(AND((_xlfn.XMATCH(AI$8,$AH$8:$CC$8))-_xlfn.XMATCH($C120,$C$35:$C$82)+1&lt;=_xlpm.DepreciationMonths,$C120&lt;=AI$8),$E120/_xlpm.DepreciationMonths,0))</f>
        <v>0</v>
      </c>
      <c r="AJ120" s="507" cm="1">
        <f t="array" ref="AJ120">_xlfn.LET(_xlpm.DepreciationMonths,INDEX(FixedAssets[Depreciation
/ Amortization Months],_xlfn.XMATCH($E$84,FixedAssets[Asset ID])),IF(AND((_xlfn.XMATCH(AJ$8,$AH$8:$CC$8))-_xlfn.XMATCH($C120,$C$35:$C$82)+1&lt;=_xlpm.DepreciationMonths,$C120&lt;=AJ$8),$E120/_xlpm.DepreciationMonths,0))</f>
        <v>0</v>
      </c>
      <c r="AK120" s="507" cm="1">
        <f t="array" ref="AK120">_xlfn.LET(_xlpm.DepreciationMonths,INDEX(FixedAssets[Depreciation
/ Amortization Months],_xlfn.XMATCH($E$84,FixedAssets[Asset ID])),IF(AND((_xlfn.XMATCH(AK$8,$AH$8:$CC$8))-_xlfn.XMATCH($C120,$C$35:$C$82)+1&lt;=_xlpm.DepreciationMonths,$C120&lt;=AK$8),$E120/_xlpm.DepreciationMonths,0))</f>
        <v>0</v>
      </c>
      <c r="AL120" s="507" cm="1">
        <f t="array" ref="AL120">_xlfn.LET(_xlpm.DepreciationMonths,INDEX(FixedAssets[Depreciation
/ Amortization Months],_xlfn.XMATCH($E$84,FixedAssets[Asset ID])),IF(AND((_xlfn.XMATCH(AL$8,$AH$8:$CC$8))-_xlfn.XMATCH($C120,$C$35:$C$82)+1&lt;=_xlpm.DepreciationMonths,$C120&lt;=AL$8),$E120/_xlpm.DepreciationMonths,0))</f>
        <v>0</v>
      </c>
      <c r="AM120" s="507" cm="1">
        <f t="array" ref="AM120">_xlfn.LET(_xlpm.DepreciationMonths,INDEX(FixedAssets[Depreciation
/ Amortization Months],_xlfn.XMATCH($E$84,FixedAssets[Asset ID])),IF(AND((_xlfn.XMATCH(AM$8,$AH$8:$CC$8))-_xlfn.XMATCH($C120,$C$35:$C$82)+1&lt;=_xlpm.DepreciationMonths,$C120&lt;=AM$8),$E120/_xlpm.DepreciationMonths,0))</f>
        <v>0</v>
      </c>
      <c r="AN120" s="507" cm="1">
        <f t="array" ref="AN120">_xlfn.LET(_xlpm.DepreciationMonths,INDEX(FixedAssets[Depreciation
/ Amortization Months],_xlfn.XMATCH($E$84,FixedAssets[Asset ID])),IF(AND((_xlfn.XMATCH(AN$8,$AH$8:$CC$8))-_xlfn.XMATCH($C120,$C$35:$C$82)+1&lt;=_xlpm.DepreciationMonths,$C120&lt;=AN$8),$E120/_xlpm.DepreciationMonths,0))</f>
        <v>0</v>
      </c>
      <c r="AO120" s="507" cm="1">
        <f t="array" ref="AO120">_xlfn.LET(_xlpm.DepreciationMonths,INDEX(FixedAssets[Depreciation
/ Amortization Months],_xlfn.XMATCH($E$84,FixedAssets[Asset ID])),IF(AND((_xlfn.XMATCH(AO$8,$AH$8:$CC$8))-_xlfn.XMATCH($C120,$C$35:$C$82)+1&lt;=_xlpm.DepreciationMonths,$C120&lt;=AO$8),$E120/_xlpm.DepreciationMonths,0))</f>
        <v>0</v>
      </c>
      <c r="AP120" s="507" cm="1">
        <f t="array" ref="AP120">_xlfn.LET(_xlpm.DepreciationMonths,INDEX(FixedAssets[Depreciation
/ Amortization Months],_xlfn.XMATCH($E$84,FixedAssets[Asset ID])),IF(AND((_xlfn.XMATCH(AP$8,$AH$8:$CC$8))-_xlfn.XMATCH($C120,$C$35:$C$82)+1&lt;=_xlpm.DepreciationMonths,$C120&lt;=AP$8),$E120/_xlpm.DepreciationMonths,0))</f>
        <v>0</v>
      </c>
      <c r="AQ120" s="507" cm="1">
        <f t="array" ref="AQ120">_xlfn.LET(_xlpm.DepreciationMonths,INDEX(FixedAssets[Depreciation
/ Amortization Months],_xlfn.XMATCH($E$84,FixedAssets[Asset ID])),IF(AND((_xlfn.XMATCH(AQ$8,$AH$8:$CC$8))-_xlfn.XMATCH($C120,$C$35:$C$82)+1&lt;=_xlpm.DepreciationMonths,$C120&lt;=AQ$8),$E120/_xlpm.DepreciationMonths,0))</f>
        <v>0</v>
      </c>
      <c r="AR120" s="507" cm="1">
        <f t="array" ref="AR120">_xlfn.LET(_xlpm.DepreciationMonths,INDEX(FixedAssets[Depreciation
/ Amortization Months],_xlfn.XMATCH($E$84,FixedAssets[Asset ID])),IF(AND((_xlfn.XMATCH(AR$8,$AH$8:$CC$8))-_xlfn.XMATCH($C120,$C$35:$C$82)+1&lt;=_xlpm.DepreciationMonths,$C120&lt;=AR$8),$E120/_xlpm.DepreciationMonths,0))</f>
        <v>0</v>
      </c>
      <c r="AS120" s="507" cm="1">
        <f t="array" ref="AS120">_xlfn.LET(_xlpm.DepreciationMonths,INDEX(FixedAssets[Depreciation
/ Amortization Months],_xlfn.XMATCH($E$84,FixedAssets[Asset ID])),IF(AND((_xlfn.XMATCH(AS$8,$AH$8:$CC$8))-_xlfn.XMATCH($C120,$C$35:$C$82)+1&lt;=_xlpm.DepreciationMonths,$C120&lt;=AS$8),$E120/_xlpm.DepreciationMonths,0))</f>
        <v>0</v>
      </c>
      <c r="AT120" s="507" cm="1">
        <f t="array" ref="AT120">_xlfn.LET(_xlpm.DepreciationMonths,INDEX(FixedAssets[Depreciation
/ Amortization Months],_xlfn.XMATCH($E$84,FixedAssets[Asset ID])),IF(AND((_xlfn.XMATCH(AT$8,$AH$8:$CC$8))-_xlfn.XMATCH($C120,$C$35:$C$82)+1&lt;=_xlpm.DepreciationMonths,$C120&lt;=AT$8),$E120/_xlpm.DepreciationMonths,0))</f>
        <v>0</v>
      </c>
      <c r="AU120" s="507" cm="1">
        <f t="array" ref="AU120">_xlfn.LET(_xlpm.DepreciationMonths,INDEX(FixedAssets[Depreciation
/ Amortization Months],_xlfn.XMATCH($E$84,FixedAssets[Asset ID])),IF(AND((_xlfn.XMATCH(AU$8,$AH$8:$CC$8))-_xlfn.XMATCH($C120,$C$35:$C$82)+1&lt;=_xlpm.DepreciationMonths,$C120&lt;=AU$8),$E120/_xlpm.DepreciationMonths,0))</f>
        <v>0</v>
      </c>
      <c r="AV120" s="507" cm="1">
        <f t="array" ref="AV120">_xlfn.LET(_xlpm.DepreciationMonths,INDEX(FixedAssets[Depreciation
/ Amortization Months],_xlfn.XMATCH($E$84,FixedAssets[Asset ID])),IF(AND((_xlfn.XMATCH(AV$8,$AH$8:$CC$8))-_xlfn.XMATCH($C120,$C$35:$C$82)+1&lt;=_xlpm.DepreciationMonths,$C120&lt;=AV$8),$E120/_xlpm.DepreciationMonths,0))</f>
        <v>0</v>
      </c>
      <c r="AW120" s="507" cm="1">
        <f t="array" ref="AW120">_xlfn.LET(_xlpm.DepreciationMonths,INDEX(FixedAssets[Depreciation
/ Amortization Months],_xlfn.XMATCH($E$84,FixedAssets[Asset ID])),IF(AND((_xlfn.XMATCH(AW$8,$AH$8:$CC$8))-_xlfn.XMATCH($C120,$C$35:$C$82)+1&lt;=_xlpm.DepreciationMonths,$C120&lt;=AW$8),$E120/_xlpm.DepreciationMonths,0))</f>
        <v>0</v>
      </c>
      <c r="AX120" s="507" cm="1">
        <f t="array" ref="AX120">_xlfn.LET(_xlpm.DepreciationMonths,INDEX(FixedAssets[Depreciation
/ Amortization Months],_xlfn.XMATCH($E$84,FixedAssets[Asset ID])),IF(AND((_xlfn.XMATCH(AX$8,$AH$8:$CC$8))-_xlfn.XMATCH($C120,$C$35:$C$82)+1&lt;=_xlpm.DepreciationMonths,$C120&lt;=AX$8),$E120/_xlpm.DepreciationMonths,0))</f>
        <v>0</v>
      </c>
      <c r="AY120" s="507" cm="1">
        <f t="array" ref="AY120">_xlfn.LET(_xlpm.DepreciationMonths,INDEX(FixedAssets[Depreciation
/ Amortization Months],_xlfn.XMATCH($E$84,FixedAssets[Asset ID])),IF(AND((_xlfn.XMATCH(AY$8,$AH$8:$CC$8))-_xlfn.XMATCH($C120,$C$35:$C$82)+1&lt;=_xlpm.DepreciationMonths,$C120&lt;=AY$8),$E120/_xlpm.DepreciationMonths,0))</f>
        <v>0</v>
      </c>
      <c r="AZ120" s="507" cm="1">
        <f t="array" ref="AZ120">_xlfn.LET(_xlpm.DepreciationMonths,INDEX(FixedAssets[Depreciation
/ Amortization Months],_xlfn.XMATCH($E$84,FixedAssets[Asset ID])),IF(AND((_xlfn.XMATCH(AZ$8,$AH$8:$CC$8))-_xlfn.XMATCH($C120,$C$35:$C$82)+1&lt;=_xlpm.DepreciationMonths,$C120&lt;=AZ$8),$E120/_xlpm.DepreciationMonths,0))</f>
        <v>0</v>
      </c>
      <c r="BA120" s="507" cm="1">
        <f t="array" ref="BA120">_xlfn.LET(_xlpm.DepreciationMonths,INDEX(FixedAssets[Depreciation
/ Amortization Months],_xlfn.XMATCH($E$84,FixedAssets[Asset ID])),IF(AND((_xlfn.XMATCH(BA$8,$AH$8:$CC$8))-_xlfn.XMATCH($C120,$C$35:$C$82)+1&lt;=_xlpm.DepreciationMonths,$C120&lt;=BA$8),$E120/_xlpm.DepreciationMonths,0))</f>
        <v>0</v>
      </c>
      <c r="BB120" s="507" cm="1">
        <f t="array" ref="BB120">_xlfn.LET(_xlpm.DepreciationMonths,INDEX(FixedAssets[Depreciation
/ Amortization Months],_xlfn.XMATCH($E$84,FixedAssets[Asset ID])),IF(AND((_xlfn.XMATCH(BB$8,$AH$8:$CC$8))-_xlfn.XMATCH($C120,$C$35:$C$82)+1&lt;=_xlpm.DepreciationMonths,$C120&lt;=BB$8),$E120/_xlpm.DepreciationMonths,0))</f>
        <v>0</v>
      </c>
      <c r="BC120" s="507" cm="1">
        <f t="array" ref="BC120">_xlfn.LET(_xlpm.DepreciationMonths,INDEX(FixedAssets[Depreciation
/ Amortization Months],_xlfn.XMATCH($E$84,FixedAssets[Asset ID])),IF(AND((_xlfn.XMATCH(BC$8,$AH$8:$CC$8))-_xlfn.XMATCH($C120,$C$35:$C$82)+1&lt;=_xlpm.DepreciationMonths,$C120&lt;=BC$8),$E120/_xlpm.DepreciationMonths,0))</f>
        <v>0</v>
      </c>
      <c r="BD120" s="507" cm="1">
        <f t="array" ref="BD120">_xlfn.LET(_xlpm.DepreciationMonths,INDEX(FixedAssets[Depreciation
/ Amortization Months],_xlfn.XMATCH($E$84,FixedAssets[Asset ID])),IF(AND((_xlfn.XMATCH(BD$8,$AH$8:$CC$8))-_xlfn.XMATCH($C120,$C$35:$C$82)+1&lt;=_xlpm.DepreciationMonths,$C120&lt;=BD$8),$E120/_xlpm.DepreciationMonths,0))</f>
        <v>0</v>
      </c>
      <c r="BE120" s="507" cm="1">
        <f t="array" ref="BE120">_xlfn.LET(_xlpm.DepreciationMonths,INDEX(FixedAssets[Depreciation
/ Amortization Months],_xlfn.XMATCH($E$84,FixedAssets[Asset ID])),IF(AND((_xlfn.XMATCH(BE$8,$AH$8:$CC$8))-_xlfn.XMATCH($C120,$C$35:$C$82)+1&lt;=_xlpm.DepreciationMonths,$C120&lt;=BE$8),$E120/_xlpm.DepreciationMonths,0))</f>
        <v>0</v>
      </c>
      <c r="BF120" s="507" cm="1">
        <f t="array" ref="BF120">_xlfn.LET(_xlpm.DepreciationMonths,INDEX(FixedAssets[Depreciation
/ Amortization Months],_xlfn.XMATCH($E$84,FixedAssets[Asset ID])),IF(AND((_xlfn.XMATCH(BF$8,$AH$8:$CC$8))-_xlfn.XMATCH($C120,$C$35:$C$82)+1&lt;=_xlpm.DepreciationMonths,$C120&lt;=BF$8),$E120/_xlpm.DepreciationMonths,0))</f>
        <v>0</v>
      </c>
      <c r="BG120" s="507" cm="1">
        <f t="array" ref="BG120">_xlfn.LET(_xlpm.DepreciationMonths,INDEX(FixedAssets[Depreciation
/ Amortization Months],_xlfn.XMATCH($E$84,FixedAssets[Asset ID])),IF(AND((_xlfn.XMATCH(BG$8,$AH$8:$CC$8))-_xlfn.XMATCH($C120,$C$35:$C$82)+1&lt;=_xlpm.DepreciationMonths,$C120&lt;=BG$8),$E120/_xlpm.DepreciationMonths,0))</f>
        <v>0</v>
      </c>
      <c r="BH120" s="507" cm="1">
        <f t="array" ref="BH120">_xlfn.LET(_xlpm.DepreciationMonths,INDEX(FixedAssets[Depreciation
/ Amortization Months],_xlfn.XMATCH($E$84,FixedAssets[Asset ID])),IF(AND((_xlfn.XMATCH(BH$8,$AH$8:$CC$8))-_xlfn.XMATCH($C120,$C$35:$C$82)+1&lt;=_xlpm.DepreciationMonths,$C120&lt;=BH$8),$E120/_xlpm.DepreciationMonths,0))</f>
        <v>0</v>
      </c>
      <c r="BI120" s="507" cm="1">
        <f t="array" ref="BI120">_xlfn.LET(_xlpm.DepreciationMonths,INDEX(FixedAssets[Depreciation
/ Amortization Months],_xlfn.XMATCH($E$84,FixedAssets[Asset ID])),IF(AND((_xlfn.XMATCH(BI$8,$AH$8:$CC$8))-_xlfn.XMATCH($C120,$C$35:$C$82)+1&lt;=_xlpm.DepreciationMonths,$C120&lt;=BI$8),$E120/_xlpm.DepreciationMonths,0))</f>
        <v>0</v>
      </c>
      <c r="BJ120" s="507" cm="1">
        <f t="array" ref="BJ120">_xlfn.LET(_xlpm.DepreciationMonths,INDEX(FixedAssets[Depreciation
/ Amortization Months],_xlfn.XMATCH($E$84,FixedAssets[Asset ID])),IF(AND((_xlfn.XMATCH(BJ$8,$AH$8:$CC$8))-_xlfn.XMATCH($C120,$C$35:$C$82)+1&lt;=_xlpm.DepreciationMonths,$C120&lt;=BJ$8),$E120/_xlpm.DepreciationMonths,0))</f>
        <v>0</v>
      </c>
      <c r="BK120" s="507" cm="1">
        <f t="array" ref="BK120">_xlfn.LET(_xlpm.DepreciationMonths,INDEX(FixedAssets[Depreciation
/ Amortization Months],_xlfn.XMATCH($E$84,FixedAssets[Asset ID])),IF(AND((_xlfn.XMATCH(BK$8,$AH$8:$CC$8))-_xlfn.XMATCH($C120,$C$35:$C$82)+1&lt;=_xlpm.DepreciationMonths,$C120&lt;=BK$8),$E120/_xlpm.DepreciationMonths,0))</f>
        <v>0</v>
      </c>
      <c r="BL120" s="507" cm="1">
        <f t="array" ref="BL120">_xlfn.LET(_xlpm.DepreciationMonths,INDEX(FixedAssets[Depreciation
/ Amortization Months],_xlfn.XMATCH($E$84,FixedAssets[Asset ID])),IF(AND((_xlfn.XMATCH(BL$8,$AH$8:$CC$8))-_xlfn.XMATCH($C120,$C$35:$C$82)+1&lt;=_xlpm.DepreciationMonths,$C120&lt;=BL$8),$E120/_xlpm.DepreciationMonths,0))</f>
        <v>0</v>
      </c>
      <c r="BM120" s="507" cm="1">
        <f t="array" ref="BM120">_xlfn.LET(_xlpm.DepreciationMonths,INDEX(FixedAssets[Depreciation
/ Amortization Months],_xlfn.XMATCH($E$84,FixedAssets[Asset ID])),IF(AND((_xlfn.XMATCH(BM$8,$AH$8:$CC$8))-_xlfn.XMATCH($C120,$C$35:$C$82)+1&lt;=_xlpm.DepreciationMonths,$C120&lt;=BM$8),$E120/_xlpm.DepreciationMonths,0))</f>
        <v>0</v>
      </c>
      <c r="BN120" s="507" cm="1">
        <f t="array" ref="BN120">_xlfn.LET(_xlpm.DepreciationMonths,INDEX(FixedAssets[Depreciation
/ Amortization Months],_xlfn.XMATCH($E$84,FixedAssets[Asset ID])),IF(AND((_xlfn.XMATCH(BN$8,$AH$8:$CC$8))-_xlfn.XMATCH($C120,$C$35:$C$82)+1&lt;=_xlpm.DepreciationMonths,$C120&lt;=BN$8),$E120/_xlpm.DepreciationMonths,0))</f>
        <v>0</v>
      </c>
      <c r="BO120" s="507" cm="1">
        <f t="array" ref="BO120">_xlfn.LET(_xlpm.DepreciationMonths,INDEX(FixedAssets[Depreciation
/ Amortization Months],_xlfn.XMATCH($E$84,FixedAssets[Asset ID])),IF(AND((_xlfn.XMATCH(BO$8,$AH$8:$CC$8))-_xlfn.XMATCH($C120,$C$35:$C$82)+1&lt;=_xlpm.DepreciationMonths,$C120&lt;=BO$8),$E120/_xlpm.DepreciationMonths,0))</f>
        <v>0</v>
      </c>
      <c r="BP120" s="507" cm="1">
        <f t="array" ref="BP120">_xlfn.LET(_xlpm.DepreciationMonths,INDEX(FixedAssets[Depreciation
/ Amortization Months],_xlfn.XMATCH($E$84,FixedAssets[Asset ID])),IF(AND((_xlfn.XMATCH(BP$8,$AH$8:$CC$8))-_xlfn.XMATCH($C120,$C$35:$C$82)+1&lt;=_xlpm.DepreciationMonths,$C120&lt;=BP$8),$E120/_xlpm.DepreciationMonths,0))</f>
        <v>0</v>
      </c>
      <c r="BQ120" s="507" cm="1">
        <f t="array" ref="BQ120">_xlfn.LET(_xlpm.DepreciationMonths,INDEX(FixedAssets[Depreciation
/ Amortization Months],_xlfn.XMATCH($E$84,FixedAssets[Asset ID])),IF(AND((_xlfn.XMATCH(BQ$8,$AH$8:$CC$8))-_xlfn.XMATCH($C120,$C$35:$C$82)+1&lt;=_xlpm.DepreciationMonths,$C120&lt;=BQ$8),$E120/_xlpm.DepreciationMonths,0))</f>
        <v>0</v>
      </c>
      <c r="BR120" s="507" cm="1">
        <f t="array" ref="BR120">_xlfn.LET(_xlpm.DepreciationMonths,INDEX(FixedAssets[Depreciation
/ Amortization Months],_xlfn.XMATCH($E$84,FixedAssets[Asset ID])),IF(AND((_xlfn.XMATCH(BR$8,$AH$8:$CC$8))-_xlfn.XMATCH($C120,$C$35:$C$82)+1&lt;=_xlpm.DepreciationMonths,$C120&lt;=BR$8),$E120/_xlpm.DepreciationMonths,0))</f>
        <v>0</v>
      </c>
      <c r="BS120" s="507" cm="1">
        <f t="array" ref="BS120">_xlfn.LET(_xlpm.DepreciationMonths,INDEX(FixedAssets[Depreciation
/ Amortization Months],_xlfn.XMATCH($E$84,FixedAssets[Asset ID])),IF(AND((_xlfn.XMATCH(BS$8,$AH$8:$CC$8))-_xlfn.XMATCH($C120,$C$35:$C$82)+1&lt;=_xlpm.DepreciationMonths,$C120&lt;=BS$8),$E120/_xlpm.DepreciationMonths,0))</f>
        <v>0</v>
      </c>
      <c r="BT120" s="507" cm="1">
        <f t="array" ref="BT120">_xlfn.LET(_xlpm.DepreciationMonths,INDEX(FixedAssets[Depreciation
/ Amortization Months],_xlfn.XMATCH($E$84,FixedAssets[Asset ID])),IF(AND((_xlfn.XMATCH(BT$8,$AH$8:$CC$8))-_xlfn.XMATCH($C120,$C$35:$C$82)+1&lt;=_xlpm.DepreciationMonths,$C120&lt;=BT$8),$E120/_xlpm.DepreciationMonths,0))</f>
        <v>0</v>
      </c>
      <c r="BU120" s="507" cm="1">
        <f t="array" ref="BU120">_xlfn.LET(_xlpm.DepreciationMonths,INDEX(FixedAssets[Depreciation
/ Amortization Months],_xlfn.XMATCH($E$84,FixedAssets[Asset ID])),IF(AND((_xlfn.XMATCH(BU$8,$AH$8:$CC$8))-_xlfn.XMATCH($C120,$C$35:$C$82)+1&lt;=_xlpm.DepreciationMonths,$C120&lt;=BU$8),$E120/_xlpm.DepreciationMonths,0))</f>
        <v>0</v>
      </c>
      <c r="BV120" s="507" cm="1">
        <f t="array" ref="BV120">_xlfn.LET(_xlpm.DepreciationMonths,INDEX(FixedAssets[Depreciation
/ Amortization Months],_xlfn.XMATCH($E$84,FixedAssets[Asset ID])),IF(AND((_xlfn.XMATCH(BV$8,$AH$8:$CC$8))-_xlfn.XMATCH($C120,$C$35:$C$82)+1&lt;=_xlpm.DepreciationMonths,$C120&lt;=BV$8),$E120/_xlpm.DepreciationMonths,0))</f>
        <v>0</v>
      </c>
      <c r="BW120" s="507" cm="1">
        <f t="array" ref="BW120">_xlfn.LET(_xlpm.DepreciationMonths,INDEX(FixedAssets[Depreciation
/ Amortization Months],_xlfn.XMATCH($E$84,FixedAssets[Asset ID])),IF(AND((_xlfn.XMATCH(BW$8,$AH$8:$CC$8))-_xlfn.XMATCH($C120,$C$35:$C$82)+1&lt;=_xlpm.DepreciationMonths,$C120&lt;=BW$8),$E120/_xlpm.DepreciationMonths,0))</f>
        <v>0</v>
      </c>
      <c r="BX120" s="507" cm="1">
        <f t="array" ref="BX120">_xlfn.LET(_xlpm.DepreciationMonths,INDEX(FixedAssets[Depreciation
/ Amortization Months],_xlfn.XMATCH($E$84,FixedAssets[Asset ID])),IF(AND((_xlfn.XMATCH(BX$8,$AH$8:$CC$8))-_xlfn.XMATCH($C120,$C$35:$C$82)+1&lt;=_xlpm.DepreciationMonths,$C120&lt;=BX$8),$E120/_xlpm.DepreciationMonths,0))</f>
        <v>0</v>
      </c>
      <c r="BY120" s="507" cm="1">
        <f t="array" ref="BY120">_xlfn.LET(_xlpm.DepreciationMonths,INDEX(FixedAssets[Depreciation
/ Amortization Months],_xlfn.XMATCH($E$84,FixedAssets[Asset ID])),IF(AND((_xlfn.XMATCH(BY$8,$AH$8:$CC$8))-_xlfn.XMATCH($C120,$C$35:$C$82)+1&lt;=_xlpm.DepreciationMonths,$C120&lt;=BY$8),$E120/_xlpm.DepreciationMonths,0))</f>
        <v>0</v>
      </c>
      <c r="BZ120" s="507" cm="1">
        <f t="array" ref="BZ120">_xlfn.LET(_xlpm.DepreciationMonths,INDEX(FixedAssets[Depreciation
/ Amortization Months],_xlfn.XMATCH($E$84,FixedAssets[Asset ID])),IF(AND((_xlfn.XMATCH(BZ$8,$AH$8:$CC$8))-_xlfn.XMATCH($C120,$C$35:$C$82)+1&lt;=_xlpm.DepreciationMonths,$C120&lt;=BZ$8),$E120/_xlpm.DepreciationMonths,0))</f>
        <v>0</v>
      </c>
      <c r="CA120" s="507" cm="1">
        <f t="array" ref="CA120">_xlfn.LET(_xlpm.DepreciationMonths,INDEX(FixedAssets[Depreciation
/ Amortization Months],_xlfn.XMATCH($E$84,FixedAssets[Asset ID])),IF(AND((_xlfn.XMATCH(CA$8,$AH$8:$CC$8))-_xlfn.XMATCH($C120,$C$35:$C$82)+1&lt;=_xlpm.DepreciationMonths,$C120&lt;=CA$8),$E120/_xlpm.DepreciationMonths,0))</f>
        <v>0</v>
      </c>
      <c r="CB120" s="507" cm="1">
        <f t="array" ref="CB120">_xlfn.LET(_xlpm.DepreciationMonths,INDEX(FixedAssets[Depreciation
/ Amortization Months],_xlfn.XMATCH($E$84,FixedAssets[Asset ID])),IF(AND((_xlfn.XMATCH(CB$8,$AH$8:$CC$8))-_xlfn.XMATCH($C120,$C$35:$C$82)+1&lt;=_xlpm.DepreciationMonths,$C120&lt;=CB$8),$E120/_xlpm.DepreciationMonths,0))</f>
        <v>0</v>
      </c>
      <c r="CC120" s="507" cm="1">
        <f t="array" ref="CC120">_xlfn.LET(_xlpm.DepreciationMonths,INDEX(FixedAssets[Depreciation
/ Amortization Months],_xlfn.XMATCH($E$84,FixedAssets[Asset ID])),IF(AND((_xlfn.XMATCH(CC$8,$AH$8:$CC$8))-_xlfn.XMATCH($C120,$C$35:$C$82)+1&lt;=_xlpm.DepreciationMonths,$C120&lt;=CC$8),$E120/_xlpm.DepreciationMonths,0))</f>
        <v>0</v>
      </c>
    </row>
    <row r="121" spans="3:81" hidden="1" outlineLevel="2">
      <c r="C121" s="664">
        <f t="shared" si="167"/>
        <v>46022</v>
      </c>
      <c r="D121" s="508"/>
      <c r="E121" s="508" cm="1">
        <f t="array" ref="E121">SUMPRODUCT(($AH$26:$CC$31)*($AH$5:$CC$5=$C121)*($E$26:$E$31=E$84))-SUMPRODUCT(($AH$26:$CC$31)*($AH$5:$CC$5=EOMONTH($C121,-1))*($E$26:$E$31=E$84))</f>
        <v>0</v>
      </c>
      <c r="F121" s="508"/>
      <c r="G121" s="508"/>
      <c r="H121" s="508"/>
      <c r="I121" s="508"/>
      <c r="J121" s="504">
        <f t="shared" si="164"/>
        <v>0</v>
      </c>
      <c r="K121" s="504">
        <f t="shared" si="172"/>
        <v>0</v>
      </c>
      <c r="L121" s="504">
        <f t="shared" si="172"/>
        <v>0</v>
      </c>
      <c r="M121" s="504">
        <f t="shared" si="172"/>
        <v>0</v>
      </c>
      <c r="N121" s="504"/>
      <c r="O121" s="504"/>
      <c r="P121" s="504">
        <f t="shared" si="173"/>
        <v>0</v>
      </c>
      <c r="Q121" s="504">
        <f t="shared" si="173"/>
        <v>0</v>
      </c>
      <c r="R121" s="504">
        <f t="shared" si="173"/>
        <v>0</v>
      </c>
      <c r="S121" s="504">
        <f t="shared" si="173"/>
        <v>0</v>
      </c>
      <c r="T121" s="504">
        <f t="shared" si="173"/>
        <v>0</v>
      </c>
      <c r="U121" s="504">
        <f t="shared" si="173"/>
        <v>0</v>
      </c>
      <c r="V121" s="504">
        <f t="shared" si="173"/>
        <v>0</v>
      </c>
      <c r="W121" s="504">
        <f t="shared" si="173"/>
        <v>0</v>
      </c>
      <c r="X121" s="504">
        <f t="shared" si="173"/>
        <v>0</v>
      </c>
      <c r="Y121" s="504">
        <f t="shared" si="173"/>
        <v>0</v>
      </c>
      <c r="Z121" s="504">
        <f t="shared" si="173"/>
        <v>0</v>
      </c>
      <c r="AA121" s="504">
        <f t="shared" si="173"/>
        <v>0</v>
      </c>
      <c r="AB121" s="504">
        <f t="shared" si="173"/>
        <v>0</v>
      </c>
      <c r="AC121" s="504">
        <f t="shared" si="173"/>
        <v>0</v>
      </c>
      <c r="AD121" s="504">
        <f t="shared" si="173"/>
        <v>0</v>
      </c>
      <c r="AE121" s="504">
        <f t="shared" si="173"/>
        <v>0</v>
      </c>
      <c r="AF121" s="508"/>
      <c r="AG121" s="508"/>
      <c r="AH121" s="507" cm="1">
        <f t="array" ref="AH121">_xlfn.LET(_xlpm.DepreciationMonths,INDEX(FixedAssets[Depreciation
/ Amortization Months],_xlfn.XMATCH($E$84,FixedAssets[Asset ID])),IF(AND((_xlfn.XMATCH(AH$8,$AH$8:$CC$8))-_xlfn.XMATCH($C121,$C$35:$C$82)+1&lt;=_xlpm.DepreciationMonths,$C121&lt;=AH$8),$E121/_xlpm.DepreciationMonths,0))</f>
        <v>0</v>
      </c>
      <c r="AI121" s="507" cm="1">
        <f t="array" ref="AI121">_xlfn.LET(_xlpm.DepreciationMonths,INDEX(FixedAssets[Depreciation
/ Amortization Months],_xlfn.XMATCH($E$84,FixedAssets[Asset ID])),IF(AND((_xlfn.XMATCH(AI$8,$AH$8:$CC$8))-_xlfn.XMATCH($C121,$C$35:$C$82)+1&lt;=_xlpm.DepreciationMonths,$C121&lt;=AI$8),$E121/_xlpm.DepreciationMonths,0))</f>
        <v>0</v>
      </c>
      <c r="AJ121" s="507" cm="1">
        <f t="array" ref="AJ121">_xlfn.LET(_xlpm.DepreciationMonths,INDEX(FixedAssets[Depreciation
/ Amortization Months],_xlfn.XMATCH($E$84,FixedAssets[Asset ID])),IF(AND((_xlfn.XMATCH(AJ$8,$AH$8:$CC$8))-_xlfn.XMATCH($C121,$C$35:$C$82)+1&lt;=_xlpm.DepreciationMonths,$C121&lt;=AJ$8),$E121/_xlpm.DepreciationMonths,0))</f>
        <v>0</v>
      </c>
      <c r="AK121" s="507" cm="1">
        <f t="array" ref="AK121">_xlfn.LET(_xlpm.DepreciationMonths,INDEX(FixedAssets[Depreciation
/ Amortization Months],_xlfn.XMATCH($E$84,FixedAssets[Asset ID])),IF(AND((_xlfn.XMATCH(AK$8,$AH$8:$CC$8))-_xlfn.XMATCH($C121,$C$35:$C$82)+1&lt;=_xlpm.DepreciationMonths,$C121&lt;=AK$8),$E121/_xlpm.DepreciationMonths,0))</f>
        <v>0</v>
      </c>
      <c r="AL121" s="507" cm="1">
        <f t="array" ref="AL121">_xlfn.LET(_xlpm.DepreciationMonths,INDEX(FixedAssets[Depreciation
/ Amortization Months],_xlfn.XMATCH($E$84,FixedAssets[Asset ID])),IF(AND((_xlfn.XMATCH(AL$8,$AH$8:$CC$8))-_xlfn.XMATCH($C121,$C$35:$C$82)+1&lt;=_xlpm.DepreciationMonths,$C121&lt;=AL$8),$E121/_xlpm.DepreciationMonths,0))</f>
        <v>0</v>
      </c>
      <c r="AM121" s="507" cm="1">
        <f t="array" ref="AM121">_xlfn.LET(_xlpm.DepreciationMonths,INDEX(FixedAssets[Depreciation
/ Amortization Months],_xlfn.XMATCH($E$84,FixedAssets[Asset ID])),IF(AND((_xlfn.XMATCH(AM$8,$AH$8:$CC$8))-_xlfn.XMATCH($C121,$C$35:$C$82)+1&lt;=_xlpm.DepreciationMonths,$C121&lt;=AM$8),$E121/_xlpm.DepreciationMonths,0))</f>
        <v>0</v>
      </c>
      <c r="AN121" s="507" cm="1">
        <f t="array" ref="AN121">_xlfn.LET(_xlpm.DepreciationMonths,INDEX(FixedAssets[Depreciation
/ Amortization Months],_xlfn.XMATCH($E$84,FixedAssets[Asset ID])),IF(AND((_xlfn.XMATCH(AN$8,$AH$8:$CC$8))-_xlfn.XMATCH($C121,$C$35:$C$82)+1&lt;=_xlpm.DepreciationMonths,$C121&lt;=AN$8),$E121/_xlpm.DepreciationMonths,0))</f>
        <v>0</v>
      </c>
      <c r="AO121" s="507" cm="1">
        <f t="array" ref="AO121">_xlfn.LET(_xlpm.DepreciationMonths,INDEX(FixedAssets[Depreciation
/ Amortization Months],_xlfn.XMATCH($E$84,FixedAssets[Asset ID])),IF(AND((_xlfn.XMATCH(AO$8,$AH$8:$CC$8))-_xlfn.XMATCH($C121,$C$35:$C$82)+1&lt;=_xlpm.DepreciationMonths,$C121&lt;=AO$8),$E121/_xlpm.DepreciationMonths,0))</f>
        <v>0</v>
      </c>
      <c r="AP121" s="507" cm="1">
        <f t="array" ref="AP121">_xlfn.LET(_xlpm.DepreciationMonths,INDEX(FixedAssets[Depreciation
/ Amortization Months],_xlfn.XMATCH($E$84,FixedAssets[Asset ID])),IF(AND((_xlfn.XMATCH(AP$8,$AH$8:$CC$8))-_xlfn.XMATCH($C121,$C$35:$C$82)+1&lt;=_xlpm.DepreciationMonths,$C121&lt;=AP$8),$E121/_xlpm.DepreciationMonths,0))</f>
        <v>0</v>
      </c>
      <c r="AQ121" s="507" cm="1">
        <f t="array" ref="AQ121">_xlfn.LET(_xlpm.DepreciationMonths,INDEX(FixedAssets[Depreciation
/ Amortization Months],_xlfn.XMATCH($E$84,FixedAssets[Asset ID])),IF(AND((_xlfn.XMATCH(AQ$8,$AH$8:$CC$8))-_xlfn.XMATCH($C121,$C$35:$C$82)+1&lt;=_xlpm.DepreciationMonths,$C121&lt;=AQ$8),$E121/_xlpm.DepreciationMonths,0))</f>
        <v>0</v>
      </c>
      <c r="AR121" s="507" cm="1">
        <f t="array" ref="AR121">_xlfn.LET(_xlpm.DepreciationMonths,INDEX(FixedAssets[Depreciation
/ Amortization Months],_xlfn.XMATCH($E$84,FixedAssets[Asset ID])),IF(AND((_xlfn.XMATCH(AR$8,$AH$8:$CC$8))-_xlfn.XMATCH($C121,$C$35:$C$82)+1&lt;=_xlpm.DepreciationMonths,$C121&lt;=AR$8),$E121/_xlpm.DepreciationMonths,0))</f>
        <v>0</v>
      </c>
      <c r="AS121" s="507" cm="1">
        <f t="array" ref="AS121">_xlfn.LET(_xlpm.DepreciationMonths,INDEX(FixedAssets[Depreciation
/ Amortization Months],_xlfn.XMATCH($E$84,FixedAssets[Asset ID])),IF(AND((_xlfn.XMATCH(AS$8,$AH$8:$CC$8))-_xlfn.XMATCH($C121,$C$35:$C$82)+1&lt;=_xlpm.DepreciationMonths,$C121&lt;=AS$8),$E121/_xlpm.DepreciationMonths,0))</f>
        <v>0</v>
      </c>
      <c r="AT121" s="507" cm="1">
        <f t="array" ref="AT121">_xlfn.LET(_xlpm.DepreciationMonths,INDEX(FixedAssets[Depreciation
/ Amortization Months],_xlfn.XMATCH($E$84,FixedAssets[Asset ID])),IF(AND((_xlfn.XMATCH(AT$8,$AH$8:$CC$8))-_xlfn.XMATCH($C121,$C$35:$C$82)+1&lt;=_xlpm.DepreciationMonths,$C121&lt;=AT$8),$E121/_xlpm.DepreciationMonths,0))</f>
        <v>0</v>
      </c>
      <c r="AU121" s="507" cm="1">
        <f t="array" ref="AU121">_xlfn.LET(_xlpm.DepreciationMonths,INDEX(FixedAssets[Depreciation
/ Amortization Months],_xlfn.XMATCH($E$84,FixedAssets[Asset ID])),IF(AND((_xlfn.XMATCH(AU$8,$AH$8:$CC$8))-_xlfn.XMATCH($C121,$C$35:$C$82)+1&lt;=_xlpm.DepreciationMonths,$C121&lt;=AU$8),$E121/_xlpm.DepreciationMonths,0))</f>
        <v>0</v>
      </c>
      <c r="AV121" s="507" cm="1">
        <f t="array" ref="AV121">_xlfn.LET(_xlpm.DepreciationMonths,INDEX(FixedAssets[Depreciation
/ Amortization Months],_xlfn.XMATCH($E$84,FixedAssets[Asset ID])),IF(AND((_xlfn.XMATCH(AV$8,$AH$8:$CC$8))-_xlfn.XMATCH($C121,$C$35:$C$82)+1&lt;=_xlpm.DepreciationMonths,$C121&lt;=AV$8),$E121/_xlpm.DepreciationMonths,0))</f>
        <v>0</v>
      </c>
      <c r="AW121" s="507" cm="1">
        <f t="array" ref="AW121">_xlfn.LET(_xlpm.DepreciationMonths,INDEX(FixedAssets[Depreciation
/ Amortization Months],_xlfn.XMATCH($E$84,FixedAssets[Asset ID])),IF(AND((_xlfn.XMATCH(AW$8,$AH$8:$CC$8))-_xlfn.XMATCH($C121,$C$35:$C$82)+1&lt;=_xlpm.DepreciationMonths,$C121&lt;=AW$8),$E121/_xlpm.DepreciationMonths,0))</f>
        <v>0</v>
      </c>
      <c r="AX121" s="507" cm="1">
        <f t="array" ref="AX121">_xlfn.LET(_xlpm.DepreciationMonths,INDEX(FixedAssets[Depreciation
/ Amortization Months],_xlfn.XMATCH($E$84,FixedAssets[Asset ID])),IF(AND((_xlfn.XMATCH(AX$8,$AH$8:$CC$8))-_xlfn.XMATCH($C121,$C$35:$C$82)+1&lt;=_xlpm.DepreciationMonths,$C121&lt;=AX$8),$E121/_xlpm.DepreciationMonths,0))</f>
        <v>0</v>
      </c>
      <c r="AY121" s="507" cm="1">
        <f t="array" ref="AY121">_xlfn.LET(_xlpm.DepreciationMonths,INDEX(FixedAssets[Depreciation
/ Amortization Months],_xlfn.XMATCH($E$84,FixedAssets[Asset ID])),IF(AND((_xlfn.XMATCH(AY$8,$AH$8:$CC$8))-_xlfn.XMATCH($C121,$C$35:$C$82)+1&lt;=_xlpm.DepreciationMonths,$C121&lt;=AY$8),$E121/_xlpm.DepreciationMonths,0))</f>
        <v>0</v>
      </c>
      <c r="AZ121" s="507" cm="1">
        <f t="array" ref="AZ121">_xlfn.LET(_xlpm.DepreciationMonths,INDEX(FixedAssets[Depreciation
/ Amortization Months],_xlfn.XMATCH($E$84,FixedAssets[Asset ID])),IF(AND((_xlfn.XMATCH(AZ$8,$AH$8:$CC$8))-_xlfn.XMATCH($C121,$C$35:$C$82)+1&lt;=_xlpm.DepreciationMonths,$C121&lt;=AZ$8),$E121/_xlpm.DepreciationMonths,0))</f>
        <v>0</v>
      </c>
      <c r="BA121" s="507" cm="1">
        <f t="array" ref="BA121">_xlfn.LET(_xlpm.DepreciationMonths,INDEX(FixedAssets[Depreciation
/ Amortization Months],_xlfn.XMATCH($E$84,FixedAssets[Asset ID])),IF(AND((_xlfn.XMATCH(BA$8,$AH$8:$CC$8))-_xlfn.XMATCH($C121,$C$35:$C$82)+1&lt;=_xlpm.DepreciationMonths,$C121&lt;=BA$8),$E121/_xlpm.DepreciationMonths,0))</f>
        <v>0</v>
      </c>
      <c r="BB121" s="507" cm="1">
        <f t="array" ref="BB121">_xlfn.LET(_xlpm.DepreciationMonths,INDEX(FixedAssets[Depreciation
/ Amortization Months],_xlfn.XMATCH($E$84,FixedAssets[Asset ID])),IF(AND((_xlfn.XMATCH(BB$8,$AH$8:$CC$8))-_xlfn.XMATCH($C121,$C$35:$C$82)+1&lt;=_xlpm.DepreciationMonths,$C121&lt;=BB$8),$E121/_xlpm.DepreciationMonths,0))</f>
        <v>0</v>
      </c>
      <c r="BC121" s="507" cm="1">
        <f t="array" ref="BC121">_xlfn.LET(_xlpm.DepreciationMonths,INDEX(FixedAssets[Depreciation
/ Amortization Months],_xlfn.XMATCH($E$84,FixedAssets[Asset ID])),IF(AND((_xlfn.XMATCH(BC$8,$AH$8:$CC$8))-_xlfn.XMATCH($C121,$C$35:$C$82)+1&lt;=_xlpm.DepreciationMonths,$C121&lt;=BC$8),$E121/_xlpm.DepreciationMonths,0))</f>
        <v>0</v>
      </c>
      <c r="BD121" s="507" cm="1">
        <f t="array" ref="BD121">_xlfn.LET(_xlpm.DepreciationMonths,INDEX(FixedAssets[Depreciation
/ Amortization Months],_xlfn.XMATCH($E$84,FixedAssets[Asset ID])),IF(AND((_xlfn.XMATCH(BD$8,$AH$8:$CC$8))-_xlfn.XMATCH($C121,$C$35:$C$82)+1&lt;=_xlpm.DepreciationMonths,$C121&lt;=BD$8),$E121/_xlpm.DepreciationMonths,0))</f>
        <v>0</v>
      </c>
      <c r="BE121" s="507" cm="1">
        <f t="array" ref="BE121">_xlfn.LET(_xlpm.DepreciationMonths,INDEX(FixedAssets[Depreciation
/ Amortization Months],_xlfn.XMATCH($E$84,FixedAssets[Asset ID])),IF(AND((_xlfn.XMATCH(BE$8,$AH$8:$CC$8))-_xlfn.XMATCH($C121,$C$35:$C$82)+1&lt;=_xlpm.DepreciationMonths,$C121&lt;=BE$8),$E121/_xlpm.DepreciationMonths,0))</f>
        <v>0</v>
      </c>
      <c r="BF121" s="507" cm="1">
        <f t="array" ref="BF121">_xlfn.LET(_xlpm.DepreciationMonths,INDEX(FixedAssets[Depreciation
/ Amortization Months],_xlfn.XMATCH($E$84,FixedAssets[Asset ID])),IF(AND((_xlfn.XMATCH(BF$8,$AH$8:$CC$8))-_xlfn.XMATCH($C121,$C$35:$C$82)+1&lt;=_xlpm.DepreciationMonths,$C121&lt;=BF$8),$E121/_xlpm.DepreciationMonths,0))</f>
        <v>0</v>
      </c>
      <c r="BG121" s="507" cm="1">
        <f t="array" ref="BG121">_xlfn.LET(_xlpm.DepreciationMonths,INDEX(FixedAssets[Depreciation
/ Amortization Months],_xlfn.XMATCH($E$84,FixedAssets[Asset ID])),IF(AND((_xlfn.XMATCH(BG$8,$AH$8:$CC$8))-_xlfn.XMATCH($C121,$C$35:$C$82)+1&lt;=_xlpm.DepreciationMonths,$C121&lt;=BG$8),$E121/_xlpm.DepreciationMonths,0))</f>
        <v>0</v>
      </c>
      <c r="BH121" s="507" cm="1">
        <f t="array" ref="BH121">_xlfn.LET(_xlpm.DepreciationMonths,INDEX(FixedAssets[Depreciation
/ Amortization Months],_xlfn.XMATCH($E$84,FixedAssets[Asset ID])),IF(AND((_xlfn.XMATCH(BH$8,$AH$8:$CC$8))-_xlfn.XMATCH($C121,$C$35:$C$82)+1&lt;=_xlpm.DepreciationMonths,$C121&lt;=BH$8),$E121/_xlpm.DepreciationMonths,0))</f>
        <v>0</v>
      </c>
      <c r="BI121" s="507" cm="1">
        <f t="array" ref="BI121">_xlfn.LET(_xlpm.DepreciationMonths,INDEX(FixedAssets[Depreciation
/ Amortization Months],_xlfn.XMATCH($E$84,FixedAssets[Asset ID])),IF(AND((_xlfn.XMATCH(BI$8,$AH$8:$CC$8))-_xlfn.XMATCH($C121,$C$35:$C$82)+1&lt;=_xlpm.DepreciationMonths,$C121&lt;=BI$8),$E121/_xlpm.DepreciationMonths,0))</f>
        <v>0</v>
      </c>
      <c r="BJ121" s="507" cm="1">
        <f t="array" ref="BJ121">_xlfn.LET(_xlpm.DepreciationMonths,INDEX(FixedAssets[Depreciation
/ Amortization Months],_xlfn.XMATCH($E$84,FixedAssets[Asset ID])),IF(AND((_xlfn.XMATCH(BJ$8,$AH$8:$CC$8))-_xlfn.XMATCH($C121,$C$35:$C$82)+1&lt;=_xlpm.DepreciationMonths,$C121&lt;=BJ$8),$E121/_xlpm.DepreciationMonths,0))</f>
        <v>0</v>
      </c>
      <c r="BK121" s="507" cm="1">
        <f t="array" ref="BK121">_xlfn.LET(_xlpm.DepreciationMonths,INDEX(FixedAssets[Depreciation
/ Amortization Months],_xlfn.XMATCH($E$84,FixedAssets[Asset ID])),IF(AND((_xlfn.XMATCH(BK$8,$AH$8:$CC$8))-_xlfn.XMATCH($C121,$C$35:$C$82)+1&lt;=_xlpm.DepreciationMonths,$C121&lt;=BK$8),$E121/_xlpm.DepreciationMonths,0))</f>
        <v>0</v>
      </c>
      <c r="BL121" s="507" cm="1">
        <f t="array" ref="BL121">_xlfn.LET(_xlpm.DepreciationMonths,INDEX(FixedAssets[Depreciation
/ Amortization Months],_xlfn.XMATCH($E$84,FixedAssets[Asset ID])),IF(AND((_xlfn.XMATCH(BL$8,$AH$8:$CC$8))-_xlfn.XMATCH($C121,$C$35:$C$82)+1&lt;=_xlpm.DepreciationMonths,$C121&lt;=BL$8),$E121/_xlpm.DepreciationMonths,0))</f>
        <v>0</v>
      </c>
      <c r="BM121" s="507" cm="1">
        <f t="array" ref="BM121">_xlfn.LET(_xlpm.DepreciationMonths,INDEX(FixedAssets[Depreciation
/ Amortization Months],_xlfn.XMATCH($E$84,FixedAssets[Asset ID])),IF(AND((_xlfn.XMATCH(BM$8,$AH$8:$CC$8))-_xlfn.XMATCH($C121,$C$35:$C$82)+1&lt;=_xlpm.DepreciationMonths,$C121&lt;=BM$8),$E121/_xlpm.DepreciationMonths,0))</f>
        <v>0</v>
      </c>
      <c r="BN121" s="507" cm="1">
        <f t="array" ref="BN121">_xlfn.LET(_xlpm.DepreciationMonths,INDEX(FixedAssets[Depreciation
/ Amortization Months],_xlfn.XMATCH($E$84,FixedAssets[Asset ID])),IF(AND((_xlfn.XMATCH(BN$8,$AH$8:$CC$8))-_xlfn.XMATCH($C121,$C$35:$C$82)+1&lt;=_xlpm.DepreciationMonths,$C121&lt;=BN$8),$E121/_xlpm.DepreciationMonths,0))</f>
        <v>0</v>
      </c>
      <c r="BO121" s="507" cm="1">
        <f t="array" ref="BO121">_xlfn.LET(_xlpm.DepreciationMonths,INDEX(FixedAssets[Depreciation
/ Amortization Months],_xlfn.XMATCH($E$84,FixedAssets[Asset ID])),IF(AND((_xlfn.XMATCH(BO$8,$AH$8:$CC$8))-_xlfn.XMATCH($C121,$C$35:$C$82)+1&lt;=_xlpm.DepreciationMonths,$C121&lt;=BO$8),$E121/_xlpm.DepreciationMonths,0))</f>
        <v>0</v>
      </c>
      <c r="BP121" s="507" cm="1">
        <f t="array" ref="BP121">_xlfn.LET(_xlpm.DepreciationMonths,INDEX(FixedAssets[Depreciation
/ Amortization Months],_xlfn.XMATCH($E$84,FixedAssets[Asset ID])),IF(AND((_xlfn.XMATCH(BP$8,$AH$8:$CC$8))-_xlfn.XMATCH($C121,$C$35:$C$82)+1&lt;=_xlpm.DepreciationMonths,$C121&lt;=BP$8),$E121/_xlpm.DepreciationMonths,0))</f>
        <v>0</v>
      </c>
      <c r="BQ121" s="507" cm="1">
        <f t="array" ref="BQ121">_xlfn.LET(_xlpm.DepreciationMonths,INDEX(FixedAssets[Depreciation
/ Amortization Months],_xlfn.XMATCH($E$84,FixedAssets[Asset ID])),IF(AND((_xlfn.XMATCH(BQ$8,$AH$8:$CC$8))-_xlfn.XMATCH($C121,$C$35:$C$82)+1&lt;=_xlpm.DepreciationMonths,$C121&lt;=BQ$8),$E121/_xlpm.DepreciationMonths,0))</f>
        <v>0</v>
      </c>
      <c r="BR121" s="507" cm="1">
        <f t="array" ref="BR121">_xlfn.LET(_xlpm.DepreciationMonths,INDEX(FixedAssets[Depreciation
/ Amortization Months],_xlfn.XMATCH($E$84,FixedAssets[Asset ID])),IF(AND((_xlfn.XMATCH(BR$8,$AH$8:$CC$8))-_xlfn.XMATCH($C121,$C$35:$C$82)+1&lt;=_xlpm.DepreciationMonths,$C121&lt;=BR$8),$E121/_xlpm.DepreciationMonths,0))</f>
        <v>0</v>
      </c>
      <c r="BS121" s="507" cm="1">
        <f t="array" ref="BS121">_xlfn.LET(_xlpm.DepreciationMonths,INDEX(FixedAssets[Depreciation
/ Amortization Months],_xlfn.XMATCH($E$84,FixedAssets[Asset ID])),IF(AND((_xlfn.XMATCH(BS$8,$AH$8:$CC$8))-_xlfn.XMATCH($C121,$C$35:$C$82)+1&lt;=_xlpm.DepreciationMonths,$C121&lt;=BS$8),$E121/_xlpm.DepreciationMonths,0))</f>
        <v>0</v>
      </c>
      <c r="BT121" s="507" cm="1">
        <f t="array" ref="BT121">_xlfn.LET(_xlpm.DepreciationMonths,INDEX(FixedAssets[Depreciation
/ Amortization Months],_xlfn.XMATCH($E$84,FixedAssets[Asset ID])),IF(AND((_xlfn.XMATCH(BT$8,$AH$8:$CC$8))-_xlfn.XMATCH($C121,$C$35:$C$82)+1&lt;=_xlpm.DepreciationMonths,$C121&lt;=BT$8),$E121/_xlpm.DepreciationMonths,0))</f>
        <v>0</v>
      </c>
      <c r="BU121" s="507" cm="1">
        <f t="array" ref="BU121">_xlfn.LET(_xlpm.DepreciationMonths,INDEX(FixedAssets[Depreciation
/ Amortization Months],_xlfn.XMATCH($E$84,FixedAssets[Asset ID])),IF(AND((_xlfn.XMATCH(BU$8,$AH$8:$CC$8))-_xlfn.XMATCH($C121,$C$35:$C$82)+1&lt;=_xlpm.DepreciationMonths,$C121&lt;=BU$8),$E121/_xlpm.DepreciationMonths,0))</f>
        <v>0</v>
      </c>
      <c r="BV121" s="507" cm="1">
        <f t="array" ref="BV121">_xlfn.LET(_xlpm.DepreciationMonths,INDEX(FixedAssets[Depreciation
/ Amortization Months],_xlfn.XMATCH($E$84,FixedAssets[Asset ID])),IF(AND((_xlfn.XMATCH(BV$8,$AH$8:$CC$8))-_xlfn.XMATCH($C121,$C$35:$C$82)+1&lt;=_xlpm.DepreciationMonths,$C121&lt;=BV$8),$E121/_xlpm.DepreciationMonths,0))</f>
        <v>0</v>
      </c>
      <c r="BW121" s="507" cm="1">
        <f t="array" ref="BW121">_xlfn.LET(_xlpm.DepreciationMonths,INDEX(FixedAssets[Depreciation
/ Amortization Months],_xlfn.XMATCH($E$84,FixedAssets[Asset ID])),IF(AND((_xlfn.XMATCH(BW$8,$AH$8:$CC$8))-_xlfn.XMATCH($C121,$C$35:$C$82)+1&lt;=_xlpm.DepreciationMonths,$C121&lt;=BW$8),$E121/_xlpm.DepreciationMonths,0))</f>
        <v>0</v>
      </c>
      <c r="BX121" s="507" cm="1">
        <f t="array" ref="BX121">_xlfn.LET(_xlpm.DepreciationMonths,INDEX(FixedAssets[Depreciation
/ Amortization Months],_xlfn.XMATCH($E$84,FixedAssets[Asset ID])),IF(AND((_xlfn.XMATCH(BX$8,$AH$8:$CC$8))-_xlfn.XMATCH($C121,$C$35:$C$82)+1&lt;=_xlpm.DepreciationMonths,$C121&lt;=BX$8),$E121/_xlpm.DepreciationMonths,0))</f>
        <v>0</v>
      </c>
      <c r="BY121" s="507" cm="1">
        <f t="array" ref="BY121">_xlfn.LET(_xlpm.DepreciationMonths,INDEX(FixedAssets[Depreciation
/ Amortization Months],_xlfn.XMATCH($E$84,FixedAssets[Asset ID])),IF(AND((_xlfn.XMATCH(BY$8,$AH$8:$CC$8))-_xlfn.XMATCH($C121,$C$35:$C$82)+1&lt;=_xlpm.DepreciationMonths,$C121&lt;=BY$8),$E121/_xlpm.DepreciationMonths,0))</f>
        <v>0</v>
      </c>
      <c r="BZ121" s="507" cm="1">
        <f t="array" ref="BZ121">_xlfn.LET(_xlpm.DepreciationMonths,INDEX(FixedAssets[Depreciation
/ Amortization Months],_xlfn.XMATCH($E$84,FixedAssets[Asset ID])),IF(AND((_xlfn.XMATCH(BZ$8,$AH$8:$CC$8))-_xlfn.XMATCH($C121,$C$35:$C$82)+1&lt;=_xlpm.DepreciationMonths,$C121&lt;=BZ$8),$E121/_xlpm.DepreciationMonths,0))</f>
        <v>0</v>
      </c>
      <c r="CA121" s="507" cm="1">
        <f t="array" ref="CA121">_xlfn.LET(_xlpm.DepreciationMonths,INDEX(FixedAssets[Depreciation
/ Amortization Months],_xlfn.XMATCH($E$84,FixedAssets[Asset ID])),IF(AND((_xlfn.XMATCH(CA$8,$AH$8:$CC$8))-_xlfn.XMATCH($C121,$C$35:$C$82)+1&lt;=_xlpm.DepreciationMonths,$C121&lt;=CA$8),$E121/_xlpm.DepreciationMonths,0))</f>
        <v>0</v>
      </c>
      <c r="CB121" s="507" cm="1">
        <f t="array" ref="CB121">_xlfn.LET(_xlpm.DepreciationMonths,INDEX(FixedAssets[Depreciation
/ Amortization Months],_xlfn.XMATCH($E$84,FixedAssets[Asset ID])),IF(AND((_xlfn.XMATCH(CB$8,$AH$8:$CC$8))-_xlfn.XMATCH($C121,$C$35:$C$82)+1&lt;=_xlpm.DepreciationMonths,$C121&lt;=CB$8),$E121/_xlpm.DepreciationMonths,0))</f>
        <v>0</v>
      </c>
      <c r="CC121" s="507" cm="1">
        <f t="array" ref="CC121">_xlfn.LET(_xlpm.DepreciationMonths,INDEX(FixedAssets[Depreciation
/ Amortization Months],_xlfn.XMATCH($E$84,FixedAssets[Asset ID])),IF(AND((_xlfn.XMATCH(CC$8,$AH$8:$CC$8))-_xlfn.XMATCH($C121,$C$35:$C$82)+1&lt;=_xlpm.DepreciationMonths,$C121&lt;=CC$8),$E121/_xlpm.DepreciationMonths,0))</f>
        <v>0</v>
      </c>
    </row>
    <row r="122" spans="3:81" hidden="1" outlineLevel="2">
      <c r="C122" s="664">
        <f t="shared" si="167"/>
        <v>46053</v>
      </c>
      <c r="D122" s="508"/>
      <c r="E122" s="508" cm="1">
        <f t="array" ref="E122">SUMPRODUCT(($AH$26:$CC$31)*($AH$5:$CC$5=$C122)*($E$26:$E$31=E$84))-SUMPRODUCT(($AH$26:$CC$31)*($AH$5:$CC$5=EOMONTH($C122,-1))*($E$26:$E$31=E$84))</f>
        <v>0</v>
      </c>
      <c r="F122" s="508"/>
      <c r="G122" s="508"/>
      <c r="H122" s="508"/>
      <c r="I122" s="508"/>
      <c r="J122" s="504">
        <f t="shared" si="164"/>
        <v>0</v>
      </c>
      <c r="K122" s="504">
        <f t="shared" si="172"/>
        <v>0</v>
      </c>
      <c r="L122" s="504">
        <f t="shared" si="172"/>
        <v>0</v>
      </c>
      <c r="M122" s="504">
        <f t="shared" si="172"/>
        <v>0</v>
      </c>
      <c r="N122" s="504"/>
      <c r="O122" s="504"/>
      <c r="P122" s="504">
        <f t="shared" si="173"/>
        <v>0</v>
      </c>
      <c r="Q122" s="504">
        <f t="shared" si="173"/>
        <v>0</v>
      </c>
      <c r="R122" s="504">
        <f t="shared" si="173"/>
        <v>0</v>
      </c>
      <c r="S122" s="504">
        <f t="shared" si="173"/>
        <v>0</v>
      </c>
      <c r="T122" s="504">
        <f t="shared" si="173"/>
        <v>0</v>
      </c>
      <c r="U122" s="504">
        <f t="shared" si="173"/>
        <v>0</v>
      </c>
      <c r="V122" s="504">
        <f t="shared" si="173"/>
        <v>0</v>
      </c>
      <c r="W122" s="504">
        <f t="shared" si="173"/>
        <v>0</v>
      </c>
      <c r="X122" s="504">
        <f t="shared" si="173"/>
        <v>0</v>
      </c>
      <c r="Y122" s="504">
        <f t="shared" si="173"/>
        <v>0</v>
      </c>
      <c r="Z122" s="504">
        <f t="shared" si="173"/>
        <v>0</v>
      </c>
      <c r="AA122" s="504">
        <f t="shared" si="173"/>
        <v>0</v>
      </c>
      <c r="AB122" s="504">
        <f t="shared" si="173"/>
        <v>0</v>
      </c>
      <c r="AC122" s="504">
        <f t="shared" si="173"/>
        <v>0</v>
      </c>
      <c r="AD122" s="504">
        <f t="shared" si="173"/>
        <v>0</v>
      </c>
      <c r="AE122" s="504">
        <f t="shared" si="173"/>
        <v>0</v>
      </c>
      <c r="AF122" s="508"/>
      <c r="AG122" s="508"/>
      <c r="AH122" s="507" cm="1">
        <f t="array" ref="AH122">_xlfn.LET(_xlpm.DepreciationMonths,INDEX(FixedAssets[Depreciation
/ Amortization Months],_xlfn.XMATCH($E$84,FixedAssets[Asset ID])),IF(AND((_xlfn.XMATCH(AH$8,$AH$8:$CC$8))-_xlfn.XMATCH($C122,$C$35:$C$82)+1&lt;=_xlpm.DepreciationMonths,$C122&lt;=AH$8),$E122/_xlpm.DepreciationMonths,0))</f>
        <v>0</v>
      </c>
      <c r="AI122" s="507" cm="1">
        <f t="array" ref="AI122">_xlfn.LET(_xlpm.DepreciationMonths,INDEX(FixedAssets[Depreciation
/ Amortization Months],_xlfn.XMATCH($E$84,FixedAssets[Asset ID])),IF(AND((_xlfn.XMATCH(AI$8,$AH$8:$CC$8))-_xlfn.XMATCH($C122,$C$35:$C$82)+1&lt;=_xlpm.DepreciationMonths,$C122&lt;=AI$8),$E122/_xlpm.DepreciationMonths,0))</f>
        <v>0</v>
      </c>
      <c r="AJ122" s="507" cm="1">
        <f t="array" ref="AJ122">_xlfn.LET(_xlpm.DepreciationMonths,INDEX(FixedAssets[Depreciation
/ Amortization Months],_xlfn.XMATCH($E$84,FixedAssets[Asset ID])),IF(AND((_xlfn.XMATCH(AJ$8,$AH$8:$CC$8))-_xlfn.XMATCH($C122,$C$35:$C$82)+1&lt;=_xlpm.DepreciationMonths,$C122&lt;=AJ$8),$E122/_xlpm.DepreciationMonths,0))</f>
        <v>0</v>
      </c>
      <c r="AK122" s="507" cm="1">
        <f t="array" ref="AK122">_xlfn.LET(_xlpm.DepreciationMonths,INDEX(FixedAssets[Depreciation
/ Amortization Months],_xlfn.XMATCH($E$84,FixedAssets[Asset ID])),IF(AND((_xlfn.XMATCH(AK$8,$AH$8:$CC$8))-_xlfn.XMATCH($C122,$C$35:$C$82)+1&lt;=_xlpm.DepreciationMonths,$C122&lt;=AK$8),$E122/_xlpm.DepreciationMonths,0))</f>
        <v>0</v>
      </c>
      <c r="AL122" s="507" cm="1">
        <f t="array" ref="AL122">_xlfn.LET(_xlpm.DepreciationMonths,INDEX(FixedAssets[Depreciation
/ Amortization Months],_xlfn.XMATCH($E$84,FixedAssets[Asset ID])),IF(AND((_xlfn.XMATCH(AL$8,$AH$8:$CC$8))-_xlfn.XMATCH($C122,$C$35:$C$82)+1&lt;=_xlpm.DepreciationMonths,$C122&lt;=AL$8),$E122/_xlpm.DepreciationMonths,0))</f>
        <v>0</v>
      </c>
      <c r="AM122" s="507" cm="1">
        <f t="array" ref="AM122">_xlfn.LET(_xlpm.DepreciationMonths,INDEX(FixedAssets[Depreciation
/ Amortization Months],_xlfn.XMATCH($E$84,FixedAssets[Asset ID])),IF(AND((_xlfn.XMATCH(AM$8,$AH$8:$CC$8))-_xlfn.XMATCH($C122,$C$35:$C$82)+1&lt;=_xlpm.DepreciationMonths,$C122&lt;=AM$8),$E122/_xlpm.DepreciationMonths,0))</f>
        <v>0</v>
      </c>
      <c r="AN122" s="507" cm="1">
        <f t="array" ref="AN122">_xlfn.LET(_xlpm.DepreciationMonths,INDEX(FixedAssets[Depreciation
/ Amortization Months],_xlfn.XMATCH($E$84,FixedAssets[Asset ID])),IF(AND((_xlfn.XMATCH(AN$8,$AH$8:$CC$8))-_xlfn.XMATCH($C122,$C$35:$C$82)+1&lt;=_xlpm.DepreciationMonths,$C122&lt;=AN$8),$E122/_xlpm.DepreciationMonths,0))</f>
        <v>0</v>
      </c>
      <c r="AO122" s="507" cm="1">
        <f t="array" ref="AO122">_xlfn.LET(_xlpm.DepreciationMonths,INDEX(FixedAssets[Depreciation
/ Amortization Months],_xlfn.XMATCH($E$84,FixedAssets[Asset ID])),IF(AND((_xlfn.XMATCH(AO$8,$AH$8:$CC$8))-_xlfn.XMATCH($C122,$C$35:$C$82)+1&lt;=_xlpm.DepreciationMonths,$C122&lt;=AO$8),$E122/_xlpm.DepreciationMonths,0))</f>
        <v>0</v>
      </c>
      <c r="AP122" s="507" cm="1">
        <f t="array" ref="AP122">_xlfn.LET(_xlpm.DepreciationMonths,INDEX(FixedAssets[Depreciation
/ Amortization Months],_xlfn.XMATCH($E$84,FixedAssets[Asset ID])),IF(AND((_xlfn.XMATCH(AP$8,$AH$8:$CC$8))-_xlfn.XMATCH($C122,$C$35:$C$82)+1&lt;=_xlpm.DepreciationMonths,$C122&lt;=AP$8),$E122/_xlpm.DepreciationMonths,0))</f>
        <v>0</v>
      </c>
      <c r="AQ122" s="507" cm="1">
        <f t="array" ref="AQ122">_xlfn.LET(_xlpm.DepreciationMonths,INDEX(FixedAssets[Depreciation
/ Amortization Months],_xlfn.XMATCH($E$84,FixedAssets[Asset ID])),IF(AND((_xlfn.XMATCH(AQ$8,$AH$8:$CC$8))-_xlfn.XMATCH($C122,$C$35:$C$82)+1&lt;=_xlpm.DepreciationMonths,$C122&lt;=AQ$8),$E122/_xlpm.DepreciationMonths,0))</f>
        <v>0</v>
      </c>
      <c r="AR122" s="507" cm="1">
        <f t="array" ref="AR122">_xlfn.LET(_xlpm.DepreciationMonths,INDEX(FixedAssets[Depreciation
/ Amortization Months],_xlfn.XMATCH($E$84,FixedAssets[Asset ID])),IF(AND((_xlfn.XMATCH(AR$8,$AH$8:$CC$8))-_xlfn.XMATCH($C122,$C$35:$C$82)+1&lt;=_xlpm.DepreciationMonths,$C122&lt;=AR$8),$E122/_xlpm.DepreciationMonths,0))</f>
        <v>0</v>
      </c>
      <c r="AS122" s="507" cm="1">
        <f t="array" ref="AS122">_xlfn.LET(_xlpm.DepreciationMonths,INDEX(FixedAssets[Depreciation
/ Amortization Months],_xlfn.XMATCH($E$84,FixedAssets[Asset ID])),IF(AND((_xlfn.XMATCH(AS$8,$AH$8:$CC$8))-_xlfn.XMATCH($C122,$C$35:$C$82)+1&lt;=_xlpm.DepreciationMonths,$C122&lt;=AS$8),$E122/_xlpm.DepreciationMonths,0))</f>
        <v>0</v>
      </c>
      <c r="AT122" s="507" cm="1">
        <f t="array" ref="AT122">_xlfn.LET(_xlpm.DepreciationMonths,INDEX(FixedAssets[Depreciation
/ Amortization Months],_xlfn.XMATCH($E$84,FixedAssets[Asset ID])),IF(AND((_xlfn.XMATCH(AT$8,$AH$8:$CC$8))-_xlfn.XMATCH($C122,$C$35:$C$82)+1&lt;=_xlpm.DepreciationMonths,$C122&lt;=AT$8),$E122/_xlpm.DepreciationMonths,0))</f>
        <v>0</v>
      </c>
      <c r="AU122" s="507" cm="1">
        <f t="array" ref="AU122">_xlfn.LET(_xlpm.DepreciationMonths,INDEX(FixedAssets[Depreciation
/ Amortization Months],_xlfn.XMATCH($E$84,FixedAssets[Asset ID])),IF(AND((_xlfn.XMATCH(AU$8,$AH$8:$CC$8))-_xlfn.XMATCH($C122,$C$35:$C$82)+1&lt;=_xlpm.DepreciationMonths,$C122&lt;=AU$8),$E122/_xlpm.DepreciationMonths,0))</f>
        <v>0</v>
      </c>
      <c r="AV122" s="507" cm="1">
        <f t="array" ref="AV122">_xlfn.LET(_xlpm.DepreciationMonths,INDEX(FixedAssets[Depreciation
/ Amortization Months],_xlfn.XMATCH($E$84,FixedAssets[Asset ID])),IF(AND((_xlfn.XMATCH(AV$8,$AH$8:$CC$8))-_xlfn.XMATCH($C122,$C$35:$C$82)+1&lt;=_xlpm.DepreciationMonths,$C122&lt;=AV$8),$E122/_xlpm.DepreciationMonths,0))</f>
        <v>0</v>
      </c>
      <c r="AW122" s="507" cm="1">
        <f t="array" ref="AW122">_xlfn.LET(_xlpm.DepreciationMonths,INDEX(FixedAssets[Depreciation
/ Amortization Months],_xlfn.XMATCH($E$84,FixedAssets[Asset ID])),IF(AND((_xlfn.XMATCH(AW$8,$AH$8:$CC$8))-_xlfn.XMATCH($C122,$C$35:$C$82)+1&lt;=_xlpm.DepreciationMonths,$C122&lt;=AW$8),$E122/_xlpm.DepreciationMonths,0))</f>
        <v>0</v>
      </c>
      <c r="AX122" s="507" cm="1">
        <f t="array" ref="AX122">_xlfn.LET(_xlpm.DepreciationMonths,INDEX(FixedAssets[Depreciation
/ Amortization Months],_xlfn.XMATCH($E$84,FixedAssets[Asset ID])),IF(AND((_xlfn.XMATCH(AX$8,$AH$8:$CC$8))-_xlfn.XMATCH($C122,$C$35:$C$82)+1&lt;=_xlpm.DepreciationMonths,$C122&lt;=AX$8),$E122/_xlpm.DepreciationMonths,0))</f>
        <v>0</v>
      </c>
      <c r="AY122" s="507" cm="1">
        <f t="array" ref="AY122">_xlfn.LET(_xlpm.DepreciationMonths,INDEX(FixedAssets[Depreciation
/ Amortization Months],_xlfn.XMATCH($E$84,FixedAssets[Asset ID])),IF(AND((_xlfn.XMATCH(AY$8,$AH$8:$CC$8))-_xlfn.XMATCH($C122,$C$35:$C$82)+1&lt;=_xlpm.DepreciationMonths,$C122&lt;=AY$8),$E122/_xlpm.DepreciationMonths,0))</f>
        <v>0</v>
      </c>
      <c r="AZ122" s="507" cm="1">
        <f t="array" ref="AZ122">_xlfn.LET(_xlpm.DepreciationMonths,INDEX(FixedAssets[Depreciation
/ Amortization Months],_xlfn.XMATCH($E$84,FixedAssets[Asset ID])),IF(AND((_xlfn.XMATCH(AZ$8,$AH$8:$CC$8))-_xlfn.XMATCH($C122,$C$35:$C$82)+1&lt;=_xlpm.DepreciationMonths,$C122&lt;=AZ$8),$E122/_xlpm.DepreciationMonths,0))</f>
        <v>0</v>
      </c>
      <c r="BA122" s="507" cm="1">
        <f t="array" ref="BA122">_xlfn.LET(_xlpm.DepreciationMonths,INDEX(FixedAssets[Depreciation
/ Amortization Months],_xlfn.XMATCH($E$84,FixedAssets[Asset ID])),IF(AND((_xlfn.XMATCH(BA$8,$AH$8:$CC$8))-_xlfn.XMATCH($C122,$C$35:$C$82)+1&lt;=_xlpm.DepreciationMonths,$C122&lt;=BA$8),$E122/_xlpm.DepreciationMonths,0))</f>
        <v>0</v>
      </c>
      <c r="BB122" s="507" cm="1">
        <f t="array" ref="BB122">_xlfn.LET(_xlpm.DepreciationMonths,INDEX(FixedAssets[Depreciation
/ Amortization Months],_xlfn.XMATCH($E$84,FixedAssets[Asset ID])),IF(AND((_xlfn.XMATCH(BB$8,$AH$8:$CC$8))-_xlfn.XMATCH($C122,$C$35:$C$82)+1&lt;=_xlpm.DepreciationMonths,$C122&lt;=BB$8),$E122/_xlpm.DepreciationMonths,0))</f>
        <v>0</v>
      </c>
      <c r="BC122" s="507" cm="1">
        <f t="array" ref="BC122">_xlfn.LET(_xlpm.DepreciationMonths,INDEX(FixedAssets[Depreciation
/ Amortization Months],_xlfn.XMATCH($E$84,FixedAssets[Asset ID])),IF(AND((_xlfn.XMATCH(BC$8,$AH$8:$CC$8))-_xlfn.XMATCH($C122,$C$35:$C$82)+1&lt;=_xlpm.DepreciationMonths,$C122&lt;=BC$8),$E122/_xlpm.DepreciationMonths,0))</f>
        <v>0</v>
      </c>
      <c r="BD122" s="507" cm="1">
        <f t="array" ref="BD122">_xlfn.LET(_xlpm.DepreciationMonths,INDEX(FixedAssets[Depreciation
/ Amortization Months],_xlfn.XMATCH($E$84,FixedAssets[Asset ID])),IF(AND((_xlfn.XMATCH(BD$8,$AH$8:$CC$8))-_xlfn.XMATCH($C122,$C$35:$C$82)+1&lt;=_xlpm.DepreciationMonths,$C122&lt;=BD$8),$E122/_xlpm.DepreciationMonths,0))</f>
        <v>0</v>
      </c>
      <c r="BE122" s="507" cm="1">
        <f t="array" ref="BE122">_xlfn.LET(_xlpm.DepreciationMonths,INDEX(FixedAssets[Depreciation
/ Amortization Months],_xlfn.XMATCH($E$84,FixedAssets[Asset ID])),IF(AND((_xlfn.XMATCH(BE$8,$AH$8:$CC$8))-_xlfn.XMATCH($C122,$C$35:$C$82)+1&lt;=_xlpm.DepreciationMonths,$C122&lt;=BE$8),$E122/_xlpm.DepreciationMonths,0))</f>
        <v>0</v>
      </c>
      <c r="BF122" s="507" cm="1">
        <f t="array" ref="BF122">_xlfn.LET(_xlpm.DepreciationMonths,INDEX(FixedAssets[Depreciation
/ Amortization Months],_xlfn.XMATCH($E$84,FixedAssets[Asset ID])),IF(AND((_xlfn.XMATCH(BF$8,$AH$8:$CC$8))-_xlfn.XMATCH($C122,$C$35:$C$82)+1&lt;=_xlpm.DepreciationMonths,$C122&lt;=BF$8),$E122/_xlpm.DepreciationMonths,0))</f>
        <v>0</v>
      </c>
      <c r="BG122" s="507" cm="1">
        <f t="array" ref="BG122">_xlfn.LET(_xlpm.DepreciationMonths,INDEX(FixedAssets[Depreciation
/ Amortization Months],_xlfn.XMATCH($E$84,FixedAssets[Asset ID])),IF(AND((_xlfn.XMATCH(BG$8,$AH$8:$CC$8))-_xlfn.XMATCH($C122,$C$35:$C$82)+1&lt;=_xlpm.DepreciationMonths,$C122&lt;=BG$8),$E122/_xlpm.DepreciationMonths,0))</f>
        <v>0</v>
      </c>
      <c r="BH122" s="507" cm="1">
        <f t="array" ref="BH122">_xlfn.LET(_xlpm.DepreciationMonths,INDEX(FixedAssets[Depreciation
/ Amortization Months],_xlfn.XMATCH($E$84,FixedAssets[Asset ID])),IF(AND((_xlfn.XMATCH(BH$8,$AH$8:$CC$8))-_xlfn.XMATCH($C122,$C$35:$C$82)+1&lt;=_xlpm.DepreciationMonths,$C122&lt;=BH$8),$E122/_xlpm.DepreciationMonths,0))</f>
        <v>0</v>
      </c>
      <c r="BI122" s="507" cm="1">
        <f t="array" ref="BI122">_xlfn.LET(_xlpm.DepreciationMonths,INDEX(FixedAssets[Depreciation
/ Amortization Months],_xlfn.XMATCH($E$84,FixedAssets[Asset ID])),IF(AND((_xlfn.XMATCH(BI$8,$AH$8:$CC$8))-_xlfn.XMATCH($C122,$C$35:$C$82)+1&lt;=_xlpm.DepreciationMonths,$C122&lt;=BI$8),$E122/_xlpm.DepreciationMonths,0))</f>
        <v>0</v>
      </c>
      <c r="BJ122" s="507" cm="1">
        <f t="array" ref="BJ122">_xlfn.LET(_xlpm.DepreciationMonths,INDEX(FixedAssets[Depreciation
/ Amortization Months],_xlfn.XMATCH($E$84,FixedAssets[Asset ID])),IF(AND((_xlfn.XMATCH(BJ$8,$AH$8:$CC$8))-_xlfn.XMATCH($C122,$C$35:$C$82)+1&lt;=_xlpm.DepreciationMonths,$C122&lt;=BJ$8),$E122/_xlpm.DepreciationMonths,0))</f>
        <v>0</v>
      </c>
      <c r="BK122" s="507" cm="1">
        <f t="array" ref="BK122">_xlfn.LET(_xlpm.DepreciationMonths,INDEX(FixedAssets[Depreciation
/ Amortization Months],_xlfn.XMATCH($E$84,FixedAssets[Asset ID])),IF(AND((_xlfn.XMATCH(BK$8,$AH$8:$CC$8))-_xlfn.XMATCH($C122,$C$35:$C$82)+1&lt;=_xlpm.DepreciationMonths,$C122&lt;=BK$8),$E122/_xlpm.DepreciationMonths,0))</f>
        <v>0</v>
      </c>
      <c r="BL122" s="507" cm="1">
        <f t="array" ref="BL122">_xlfn.LET(_xlpm.DepreciationMonths,INDEX(FixedAssets[Depreciation
/ Amortization Months],_xlfn.XMATCH($E$84,FixedAssets[Asset ID])),IF(AND((_xlfn.XMATCH(BL$8,$AH$8:$CC$8))-_xlfn.XMATCH($C122,$C$35:$C$82)+1&lt;=_xlpm.DepreciationMonths,$C122&lt;=BL$8),$E122/_xlpm.DepreciationMonths,0))</f>
        <v>0</v>
      </c>
      <c r="BM122" s="507" cm="1">
        <f t="array" ref="BM122">_xlfn.LET(_xlpm.DepreciationMonths,INDEX(FixedAssets[Depreciation
/ Amortization Months],_xlfn.XMATCH($E$84,FixedAssets[Asset ID])),IF(AND((_xlfn.XMATCH(BM$8,$AH$8:$CC$8))-_xlfn.XMATCH($C122,$C$35:$C$82)+1&lt;=_xlpm.DepreciationMonths,$C122&lt;=BM$8),$E122/_xlpm.DepreciationMonths,0))</f>
        <v>0</v>
      </c>
      <c r="BN122" s="507" cm="1">
        <f t="array" ref="BN122">_xlfn.LET(_xlpm.DepreciationMonths,INDEX(FixedAssets[Depreciation
/ Amortization Months],_xlfn.XMATCH($E$84,FixedAssets[Asset ID])),IF(AND((_xlfn.XMATCH(BN$8,$AH$8:$CC$8))-_xlfn.XMATCH($C122,$C$35:$C$82)+1&lt;=_xlpm.DepreciationMonths,$C122&lt;=BN$8),$E122/_xlpm.DepreciationMonths,0))</f>
        <v>0</v>
      </c>
      <c r="BO122" s="507" cm="1">
        <f t="array" ref="BO122">_xlfn.LET(_xlpm.DepreciationMonths,INDEX(FixedAssets[Depreciation
/ Amortization Months],_xlfn.XMATCH($E$84,FixedAssets[Asset ID])),IF(AND((_xlfn.XMATCH(BO$8,$AH$8:$CC$8))-_xlfn.XMATCH($C122,$C$35:$C$82)+1&lt;=_xlpm.DepreciationMonths,$C122&lt;=BO$8),$E122/_xlpm.DepreciationMonths,0))</f>
        <v>0</v>
      </c>
      <c r="BP122" s="507" cm="1">
        <f t="array" ref="BP122">_xlfn.LET(_xlpm.DepreciationMonths,INDEX(FixedAssets[Depreciation
/ Amortization Months],_xlfn.XMATCH($E$84,FixedAssets[Asset ID])),IF(AND((_xlfn.XMATCH(BP$8,$AH$8:$CC$8))-_xlfn.XMATCH($C122,$C$35:$C$82)+1&lt;=_xlpm.DepreciationMonths,$C122&lt;=BP$8),$E122/_xlpm.DepreciationMonths,0))</f>
        <v>0</v>
      </c>
      <c r="BQ122" s="507" cm="1">
        <f t="array" ref="BQ122">_xlfn.LET(_xlpm.DepreciationMonths,INDEX(FixedAssets[Depreciation
/ Amortization Months],_xlfn.XMATCH($E$84,FixedAssets[Asset ID])),IF(AND((_xlfn.XMATCH(BQ$8,$AH$8:$CC$8))-_xlfn.XMATCH($C122,$C$35:$C$82)+1&lt;=_xlpm.DepreciationMonths,$C122&lt;=BQ$8),$E122/_xlpm.DepreciationMonths,0))</f>
        <v>0</v>
      </c>
      <c r="BR122" s="507" cm="1">
        <f t="array" ref="BR122">_xlfn.LET(_xlpm.DepreciationMonths,INDEX(FixedAssets[Depreciation
/ Amortization Months],_xlfn.XMATCH($E$84,FixedAssets[Asset ID])),IF(AND((_xlfn.XMATCH(BR$8,$AH$8:$CC$8))-_xlfn.XMATCH($C122,$C$35:$C$82)+1&lt;=_xlpm.DepreciationMonths,$C122&lt;=BR$8),$E122/_xlpm.DepreciationMonths,0))</f>
        <v>0</v>
      </c>
      <c r="BS122" s="507" cm="1">
        <f t="array" ref="BS122">_xlfn.LET(_xlpm.DepreciationMonths,INDEX(FixedAssets[Depreciation
/ Amortization Months],_xlfn.XMATCH($E$84,FixedAssets[Asset ID])),IF(AND((_xlfn.XMATCH(BS$8,$AH$8:$CC$8))-_xlfn.XMATCH($C122,$C$35:$C$82)+1&lt;=_xlpm.DepreciationMonths,$C122&lt;=BS$8),$E122/_xlpm.DepreciationMonths,0))</f>
        <v>0</v>
      </c>
      <c r="BT122" s="507" cm="1">
        <f t="array" ref="BT122">_xlfn.LET(_xlpm.DepreciationMonths,INDEX(FixedAssets[Depreciation
/ Amortization Months],_xlfn.XMATCH($E$84,FixedAssets[Asset ID])),IF(AND((_xlfn.XMATCH(BT$8,$AH$8:$CC$8))-_xlfn.XMATCH($C122,$C$35:$C$82)+1&lt;=_xlpm.DepreciationMonths,$C122&lt;=BT$8),$E122/_xlpm.DepreciationMonths,0))</f>
        <v>0</v>
      </c>
      <c r="BU122" s="507" cm="1">
        <f t="array" ref="BU122">_xlfn.LET(_xlpm.DepreciationMonths,INDEX(FixedAssets[Depreciation
/ Amortization Months],_xlfn.XMATCH($E$84,FixedAssets[Asset ID])),IF(AND((_xlfn.XMATCH(BU$8,$AH$8:$CC$8))-_xlfn.XMATCH($C122,$C$35:$C$82)+1&lt;=_xlpm.DepreciationMonths,$C122&lt;=BU$8),$E122/_xlpm.DepreciationMonths,0))</f>
        <v>0</v>
      </c>
      <c r="BV122" s="507" cm="1">
        <f t="array" ref="BV122">_xlfn.LET(_xlpm.DepreciationMonths,INDEX(FixedAssets[Depreciation
/ Amortization Months],_xlfn.XMATCH($E$84,FixedAssets[Asset ID])),IF(AND((_xlfn.XMATCH(BV$8,$AH$8:$CC$8))-_xlfn.XMATCH($C122,$C$35:$C$82)+1&lt;=_xlpm.DepreciationMonths,$C122&lt;=BV$8),$E122/_xlpm.DepreciationMonths,0))</f>
        <v>0</v>
      </c>
      <c r="BW122" s="507" cm="1">
        <f t="array" ref="BW122">_xlfn.LET(_xlpm.DepreciationMonths,INDEX(FixedAssets[Depreciation
/ Amortization Months],_xlfn.XMATCH($E$84,FixedAssets[Asset ID])),IF(AND((_xlfn.XMATCH(BW$8,$AH$8:$CC$8))-_xlfn.XMATCH($C122,$C$35:$C$82)+1&lt;=_xlpm.DepreciationMonths,$C122&lt;=BW$8),$E122/_xlpm.DepreciationMonths,0))</f>
        <v>0</v>
      </c>
      <c r="BX122" s="507" cm="1">
        <f t="array" ref="BX122">_xlfn.LET(_xlpm.DepreciationMonths,INDEX(FixedAssets[Depreciation
/ Amortization Months],_xlfn.XMATCH($E$84,FixedAssets[Asset ID])),IF(AND((_xlfn.XMATCH(BX$8,$AH$8:$CC$8))-_xlfn.XMATCH($C122,$C$35:$C$82)+1&lt;=_xlpm.DepreciationMonths,$C122&lt;=BX$8),$E122/_xlpm.DepreciationMonths,0))</f>
        <v>0</v>
      </c>
      <c r="BY122" s="507" cm="1">
        <f t="array" ref="BY122">_xlfn.LET(_xlpm.DepreciationMonths,INDEX(FixedAssets[Depreciation
/ Amortization Months],_xlfn.XMATCH($E$84,FixedAssets[Asset ID])),IF(AND((_xlfn.XMATCH(BY$8,$AH$8:$CC$8))-_xlfn.XMATCH($C122,$C$35:$C$82)+1&lt;=_xlpm.DepreciationMonths,$C122&lt;=BY$8),$E122/_xlpm.DepreciationMonths,0))</f>
        <v>0</v>
      </c>
      <c r="BZ122" s="507" cm="1">
        <f t="array" ref="BZ122">_xlfn.LET(_xlpm.DepreciationMonths,INDEX(FixedAssets[Depreciation
/ Amortization Months],_xlfn.XMATCH($E$84,FixedAssets[Asset ID])),IF(AND((_xlfn.XMATCH(BZ$8,$AH$8:$CC$8))-_xlfn.XMATCH($C122,$C$35:$C$82)+1&lt;=_xlpm.DepreciationMonths,$C122&lt;=BZ$8),$E122/_xlpm.DepreciationMonths,0))</f>
        <v>0</v>
      </c>
      <c r="CA122" s="507" cm="1">
        <f t="array" ref="CA122">_xlfn.LET(_xlpm.DepreciationMonths,INDEX(FixedAssets[Depreciation
/ Amortization Months],_xlfn.XMATCH($E$84,FixedAssets[Asset ID])),IF(AND((_xlfn.XMATCH(CA$8,$AH$8:$CC$8))-_xlfn.XMATCH($C122,$C$35:$C$82)+1&lt;=_xlpm.DepreciationMonths,$C122&lt;=CA$8),$E122/_xlpm.DepreciationMonths,0))</f>
        <v>0</v>
      </c>
      <c r="CB122" s="507" cm="1">
        <f t="array" ref="CB122">_xlfn.LET(_xlpm.DepreciationMonths,INDEX(FixedAssets[Depreciation
/ Amortization Months],_xlfn.XMATCH($E$84,FixedAssets[Asset ID])),IF(AND((_xlfn.XMATCH(CB$8,$AH$8:$CC$8))-_xlfn.XMATCH($C122,$C$35:$C$82)+1&lt;=_xlpm.DepreciationMonths,$C122&lt;=CB$8),$E122/_xlpm.DepreciationMonths,0))</f>
        <v>0</v>
      </c>
      <c r="CC122" s="507" cm="1">
        <f t="array" ref="CC122">_xlfn.LET(_xlpm.DepreciationMonths,INDEX(FixedAssets[Depreciation
/ Amortization Months],_xlfn.XMATCH($E$84,FixedAssets[Asset ID])),IF(AND((_xlfn.XMATCH(CC$8,$AH$8:$CC$8))-_xlfn.XMATCH($C122,$C$35:$C$82)+1&lt;=_xlpm.DepreciationMonths,$C122&lt;=CC$8),$E122/_xlpm.DepreciationMonths,0))</f>
        <v>0</v>
      </c>
    </row>
    <row r="123" spans="3:81" hidden="1" outlineLevel="2">
      <c r="C123" s="664">
        <f t="shared" si="167"/>
        <v>46081</v>
      </c>
      <c r="D123" s="508"/>
      <c r="E123" s="508" cm="1">
        <f t="array" ref="E123">SUMPRODUCT(($AH$26:$CC$31)*($AH$5:$CC$5=$C123)*($E$26:$E$31=E$84))-SUMPRODUCT(($AH$26:$CC$31)*($AH$5:$CC$5=EOMONTH($C123,-1))*($E$26:$E$31=E$84))</f>
        <v>0</v>
      </c>
      <c r="F123" s="508"/>
      <c r="G123" s="508"/>
      <c r="H123" s="508"/>
      <c r="I123" s="508"/>
      <c r="J123" s="504">
        <f t="shared" si="164"/>
        <v>0</v>
      </c>
      <c r="K123" s="504">
        <f t="shared" si="172"/>
        <v>0</v>
      </c>
      <c r="L123" s="504">
        <f t="shared" si="172"/>
        <v>0</v>
      </c>
      <c r="M123" s="504">
        <f t="shared" si="172"/>
        <v>0</v>
      </c>
      <c r="N123" s="504"/>
      <c r="O123" s="504"/>
      <c r="P123" s="504">
        <f t="shared" si="173"/>
        <v>0</v>
      </c>
      <c r="Q123" s="504">
        <f t="shared" si="173"/>
        <v>0</v>
      </c>
      <c r="R123" s="504">
        <f t="shared" si="173"/>
        <v>0</v>
      </c>
      <c r="S123" s="504">
        <f t="shared" si="173"/>
        <v>0</v>
      </c>
      <c r="T123" s="504">
        <f t="shared" si="173"/>
        <v>0</v>
      </c>
      <c r="U123" s="504">
        <f t="shared" si="173"/>
        <v>0</v>
      </c>
      <c r="V123" s="504">
        <f t="shared" si="173"/>
        <v>0</v>
      </c>
      <c r="W123" s="504">
        <f t="shared" si="173"/>
        <v>0</v>
      </c>
      <c r="X123" s="504">
        <f t="shared" si="173"/>
        <v>0</v>
      </c>
      <c r="Y123" s="504">
        <f t="shared" si="173"/>
        <v>0</v>
      </c>
      <c r="Z123" s="504">
        <f t="shared" si="173"/>
        <v>0</v>
      </c>
      <c r="AA123" s="504">
        <f t="shared" si="173"/>
        <v>0</v>
      </c>
      <c r="AB123" s="504">
        <f t="shared" si="173"/>
        <v>0</v>
      </c>
      <c r="AC123" s="504">
        <f t="shared" si="173"/>
        <v>0</v>
      </c>
      <c r="AD123" s="504">
        <f t="shared" si="173"/>
        <v>0</v>
      </c>
      <c r="AE123" s="504">
        <f t="shared" si="173"/>
        <v>0</v>
      </c>
      <c r="AF123" s="508"/>
      <c r="AG123" s="508"/>
      <c r="AH123" s="507" cm="1">
        <f t="array" ref="AH123">_xlfn.LET(_xlpm.DepreciationMonths,INDEX(FixedAssets[Depreciation
/ Amortization Months],_xlfn.XMATCH($E$84,FixedAssets[Asset ID])),IF(AND((_xlfn.XMATCH(AH$8,$AH$8:$CC$8))-_xlfn.XMATCH($C123,$C$35:$C$82)+1&lt;=_xlpm.DepreciationMonths,$C123&lt;=AH$8),$E123/_xlpm.DepreciationMonths,0))</f>
        <v>0</v>
      </c>
      <c r="AI123" s="507" cm="1">
        <f t="array" ref="AI123">_xlfn.LET(_xlpm.DepreciationMonths,INDEX(FixedAssets[Depreciation
/ Amortization Months],_xlfn.XMATCH($E$84,FixedAssets[Asset ID])),IF(AND((_xlfn.XMATCH(AI$8,$AH$8:$CC$8))-_xlfn.XMATCH($C123,$C$35:$C$82)+1&lt;=_xlpm.DepreciationMonths,$C123&lt;=AI$8),$E123/_xlpm.DepreciationMonths,0))</f>
        <v>0</v>
      </c>
      <c r="AJ123" s="507" cm="1">
        <f t="array" ref="AJ123">_xlfn.LET(_xlpm.DepreciationMonths,INDEX(FixedAssets[Depreciation
/ Amortization Months],_xlfn.XMATCH($E$84,FixedAssets[Asset ID])),IF(AND((_xlfn.XMATCH(AJ$8,$AH$8:$CC$8))-_xlfn.XMATCH($C123,$C$35:$C$82)+1&lt;=_xlpm.DepreciationMonths,$C123&lt;=AJ$8),$E123/_xlpm.DepreciationMonths,0))</f>
        <v>0</v>
      </c>
      <c r="AK123" s="507" cm="1">
        <f t="array" ref="AK123">_xlfn.LET(_xlpm.DepreciationMonths,INDEX(FixedAssets[Depreciation
/ Amortization Months],_xlfn.XMATCH($E$84,FixedAssets[Asset ID])),IF(AND((_xlfn.XMATCH(AK$8,$AH$8:$CC$8))-_xlfn.XMATCH($C123,$C$35:$C$82)+1&lt;=_xlpm.DepreciationMonths,$C123&lt;=AK$8),$E123/_xlpm.DepreciationMonths,0))</f>
        <v>0</v>
      </c>
      <c r="AL123" s="507" cm="1">
        <f t="array" ref="AL123">_xlfn.LET(_xlpm.DepreciationMonths,INDEX(FixedAssets[Depreciation
/ Amortization Months],_xlfn.XMATCH($E$84,FixedAssets[Asset ID])),IF(AND((_xlfn.XMATCH(AL$8,$AH$8:$CC$8))-_xlfn.XMATCH($C123,$C$35:$C$82)+1&lt;=_xlpm.DepreciationMonths,$C123&lt;=AL$8),$E123/_xlpm.DepreciationMonths,0))</f>
        <v>0</v>
      </c>
      <c r="AM123" s="507" cm="1">
        <f t="array" ref="AM123">_xlfn.LET(_xlpm.DepreciationMonths,INDEX(FixedAssets[Depreciation
/ Amortization Months],_xlfn.XMATCH($E$84,FixedAssets[Asset ID])),IF(AND((_xlfn.XMATCH(AM$8,$AH$8:$CC$8))-_xlfn.XMATCH($C123,$C$35:$C$82)+1&lt;=_xlpm.DepreciationMonths,$C123&lt;=AM$8),$E123/_xlpm.DepreciationMonths,0))</f>
        <v>0</v>
      </c>
      <c r="AN123" s="507" cm="1">
        <f t="array" ref="AN123">_xlfn.LET(_xlpm.DepreciationMonths,INDEX(FixedAssets[Depreciation
/ Amortization Months],_xlfn.XMATCH($E$84,FixedAssets[Asset ID])),IF(AND((_xlfn.XMATCH(AN$8,$AH$8:$CC$8))-_xlfn.XMATCH($C123,$C$35:$C$82)+1&lt;=_xlpm.DepreciationMonths,$C123&lt;=AN$8),$E123/_xlpm.DepreciationMonths,0))</f>
        <v>0</v>
      </c>
      <c r="AO123" s="507" cm="1">
        <f t="array" ref="AO123">_xlfn.LET(_xlpm.DepreciationMonths,INDEX(FixedAssets[Depreciation
/ Amortization Months],_xlfn.XMATCH($E$84,FixedAssets[Asset ID])),IF(AND((_xlfn.XMATCH(AO$8,$AH$8:$CC$8))-_xlfn.XMATCH($C123,$C$35:$C$82)+1&lt;=_xlpm.DepreciationMonths,$C123&lt;=AO$8),$E123/_xlpm.DepreciationMonths,0))</f>
        <v>0</v>
      </c>
      <c r="AP123" s="507" cm="1">
        <f t="array" ref="AP123">_xlfn.LET(_xlpm.DepreciationMonths,INDEX(FixedAssets[Depreciation
/ Amortization Months],_xlfn.XMATCH($E$84,FixedAssets[Asset ID])),IF(AND((_xlfn.XMATCH(AP$8,$AH$8:$CC$8))-_xlfn.XMATCH($C123,$C$35:$C$82)+1&lt;=_xlpm.DepreciationMonths,$C123&lt;=AP$8),$E123/_xlpm.DepreciationMonths,0))</f>
        <v>0</v>
      </c>
      <c r="AQ123" s="507" cm="1">
        <f t="array" ref="AQ123">_xlfn.LET(_xlpm.DepreciationMonths,INDEX(FixedAssets[Depreciation
/ Amortization Months],_xlfn.XMATCH($E$84,FixedAssets[Asset ID])),IF(AND((_xlfn.XMATCH(AQ$8,$AH$8:$CC$8))-_xlfn.XMATCH($C123,$C$35:$C$82)+1&lt;=_xlpm.DepreciationMonths,$C123&lt;=AQ$8),$E123/_xlpm.DepreciationMonths,0))</f>
        <v>0</v>
      </c>
      <c r="AR123" s="507" cm="1">
        <f t="array" ref="AR123">_xlfn.LET(_xlpm.DepreciationMonths,INDEX(FixedAssets[Depreciation
/ Amortization Months],_xlfn.XMATCH($E$84,FixedAssets[Asset ID])),IF(AND((_xlfn.XMATCH(AR$8,$AH$8:$CC$8))-_xlfn.XMATCH($C123,$C$35:$C$82)+1&lt;=_xlpm.DepreciationMonths,$C123&lt;=AR$8),$E123/_xlpm.DepreciationMonths,0))</f>
        <v>0</v>
      </c>
      <c r="AS123" s="507" cm="1">
        <f t="array" ref="AS123">_xlfn.LET(_xlpm.DepreciationMonths,INDEX(FixedAssets[Depreciation
/ Amortization Months],_xlfn.XMATCH($E$84,FixedAssets[Asset ID])),IF(AND((_xlfn.XMATCH(AS$8,$AH$8:$CC$8))-_xlfn.XMATCH($C123,$C$35:$C$82)+1&lt;=_xlpm.DepreciationMonths,$C123&lt;=AS$8),$E123/_xlpm.DepreciationMonths,0))</f>
        <v>0</v>
      </c>
      <c r="AT123" s="507" cm="1">
        <f t="array" ref="AT123">_xlfn.LET(_xlpm.DepreciationMonths,INDEX(FixedAssets[Depreciation
/ Amortization Months],_xlfn.XMATCH($E$84,FixedAssets[Asset ID])),IF(AND((_xlfn.XMATCH(AT$8,$AH$8:$CC$8))-_xlfn.XMATCH($C123,$C$35:$C$82)+1&lt;=_xlpm.DepreciationMonths,$C123&lt;=AT$8),$E123/_xlpm.DepreciationMonths,0))</f>
        <v>0</v>
      </c>
      <c r="AU123" s="507" cm="1">
        <f t="array" ref="AU123">_xlfn.LET(_xlpm.DepreciationMonths,INDEX(FixedAssets[Depreciation
/ Amortization Months],_xlfn.XMATCH($E$84,FixedAssets[Asset ID])),IF(AND((_xlfn.XMATCH(AU$8,$AH$8:$CC$8))-_xlfn.XMATCH($C123,$C$35:$C$82)+1&lt;=_xlpm.DepreciationMonths,$C123&lt;=AU$8),$E123/_xlpm.DepreciationMonths,0))</f>
        <v>0</v>
      </c>
      <c r="AV123" s="507" cm="1">
        <f t="array" ref="AV123">_xlfn.LET(_xlpm.DepreciationMonths,INDEX(FixedAssets[Depreciation
/ Amortization Months],_xlfn.XMATCH($E$84,FixedAssets[Asset ID])),IF(AND((_xlfn.XMATCH(AV$8,$AH$8:$CC$8))-_xlfn.XMATCH($C123,$C$35:$C$82)+1&lt;=_xlpm.DepreciationMonths,$C123&lt;=AV$8),$E123/_xlpm.DepreciationMonths,0))</f>
        <v>0</v>
      </c>
      <c r="AW123" s="507" cm="1">
        <f t="array" ref="AW123">_xlfn.LET(_xlpm.DepreciationMonths,INDEX(FixedAssets[Depreciation
/ Amortization Months],_xlfn.XMATCH($E$84,FixedAssets[Asset ID])),IF(AND((_xlfn.XMATCH(AW$8,$AH$8:$CC$8))-_xlfn.XMATCH($C123,$C$35:$C$82)+1&lt;=_xlpm.DepreciationMonths,$C123&lt;=AW$8),$E123/_xlpm.DepreciationMonths,0))</f>
        <v>0</v>
      </c>
      <c r="AX123" s="507" cm="1">
        <f t="array" ref="AX123">_xlfn.LET(_xlpm.DepreciationMonths,INDEX(FixedAssets[Depreciation
/ Amortization Months],_xlfn.XMATCH($E$84,FixedAssets[Asset ID])),IF(AND((_xlfn.XMATCH(AX$8,$AH$8:$CC$8))-_xlfn.XMATCH($C123,$C$35:$C$82)+1&lt;=_xlpm.DepreciationMonths,$C123&lt;=AX$8),$E123/_xlpm.DepreciationMonths,0))</f>
        <v>0</v>
      </c>
      <c r="AY123" s="507" cm="1">
        <f t="array" ref="AY123">_xlfn.LET(_xlpm.DepreciationMonths,INDEX(FixedAssets[Depreciation
/ Amortization Months],_xlfn.XMATCH($E$84,FixedAssets[Asset ID])),IF(AND((_xlfn.XMATCH(AY$8,$AH$8:$CC$8))-_xlfn.XMATCH($C123,$C$35:$C$82)+1&lt;=_xlpm.DepreciationMonths,$C123&lt;=AY$8),$E123/_xlpm.DepreciationMonths,0))</f>
        <v>0</v>
      </c>
      <c r="AZ123" s="507" cm="1">
        <f t="array" ref="AZ123">_xlfn.LET(_xlpm.DepreciationMonths,INDEX(FixedAssets[Depreciation
/ Amortization Months],_xlfn.XMATCH($E$84,FixedAssets[Asset ID])),IF(AND((_xlfn.XMATCH(AZ$8,$AH$8:$CC$8))-_xlfn.XMATCH($C123,$C$35:$C$82)+1&lt;=_xlpm.DepreciationMonths,$C123&lt;=AZ$8),$E123/_xlpm.DepreciationMonths,0))</f>
        <v>0</v>
      </c>
      <c r="BA123" s="507" cm="1">
        <f t="array" ref="BA123">_xlfn.LET(_xlpm.DepreciationMonths,INDEX(FixedAssets[Depreciation
/ Amortization Months],_xlfn.XMATCH($E$84,FixedAssets[Asset ID])),IF(AND((_xlfn.XMATCH(BA$8,$AH$8:$CC$8))-_xlfn.XMATCH($C123,$C$35:$C$82)+1&lt;=_xlpm.DepreciationMonths,$C123&lt;=BA$8),$E123/_xlpm.DepreciationMonths,0))</f>
        <v>0</v>
      </c>
      <c r="BB123" s="507" cm="1">
        <f t="array" ref="BB123">_xlfn.LET(_xlpm.DepreciationMonths,INDEX(FixedAssets[Depreciation
/ Amortization Months],_xlfn.XMATCH($E$84,FixedAssets[Asset ID])),IF(AND((_xlfn.XMATCH(BB$8,$AH$8:$CC$8))-_xlfn.XMATCH($C123,$C$35:$C$82)+1&lt;=_xlpm.DepreciationMonths,$C123&lt;=BB$8),$E123/_xlpm.DepreciationMonths,0))</f>
        <v>0</v>
      </c>
      <c r="BC123" s="507" cm="1">
        <f t="array" ref="BC123">_xlfn.LET(_xlpm.DepreciationMonths,INDEX(FixedAssets[Depreciation
/ Amortization Months],_xlfn.XMATCH($E$84,FixedAssets[Asset ID])),IF(AND((_xlfn.XMATCH(BC$8,$AH$8:$CC$8))-_xlfn.XMATCH($C123,$C$35:$C$82)+1&lt;=_xlpm.DepreciationMonths,$C123&lt;=BC$8),$E123/_xlpm.DepreciationMonths,0))</f>
        <v>0</v>
      </c>
      <c r="BD123" s="507" cm="1">
        <f t="array" ref="BD123">_xlfn.LET(_xlpm.DepreciationMonths,INDEX(FixedAssets[Depreciation
/ Amortization Months],_xlfn.XMATCH($E$84,FixedAssets[Asset ID])),IF(AND((_xlfn.XMATCH(BD$8,$AH$8:$CC$8))-_xlfn.XMATCH($C123,$C$35:$C$82)+1&lt;=_xlpm.DepreciationMonths,$C123&lt;=BD$8),$E123/_xlpm.DepreciationMonths,0))</f>
        <v>0</v>
      </c>
      <c r="BE123" s="507" cm="1">
        <f t="array" ref="BE123">_xlfn.LET(_xlpm.DepreciationMonths,INDEX(FixedAssets[Depreciation
/ Amortization Months],_xlfn.XMATCH($E$84,FixedAssets[Asset ID])),IF(AND((_xlfn.XMATCH(BE$8,$AH$8:$CC$8))-_xlfn.XMATCH($C123,$C$35:$C$82)+1&lt;=_xlpm.DepreciationMonths,$C123&lt;=BE$8),$E123/_xlpm.DepreciationMonths,0))</f>
        <v>0</v>
      </c>
      <c r="BF123" s="507" cm="1">
        <f t="array" ref="BF123">_xlfn.LET(_xlpm.DepreciationMonths,INDEX(FixedAssets[Depreciation
/ Amortization Months],_xlfn.XMATCH($E$84,FixedAssets[Asset ID])),IF(AND((_xlfn.XMATCH(BF$8,$AH$8:$CC$8))-_xlfn.XMATCH($C123,$C$35:$C$82)+1&lt;=_xlpm.DepreciationMonths,$C123&lt;=BF$8),$E123/_xlpm.DepreciationMonths,0))</f>
        <v>0</v>
      </c>
      <c r="BG123" s="507" cm="1">
        <f t="array" ref="BG123">_xlfn.LET(_xlpm.DepreciationMonths,INDEX(FixedAssets[Depreciation
/ Amortization Months],_xlfn.XMATCH($E$84,FixedAssets[Asset ID])),IF(AND((_xlfn.XMATCH(BG$8,$AH$8:$CC$8))-_xlfn.XMATCH($C123,$C$35:$C$82)+1&lt;=_xlpm.DepreciationMonths,$C123&lt;=BG$8),$E123/_xlpm.DepreciationMonths,0))</f>
        <v>0</v>
      </c>
      <c r="BH123" s="507" cm="1">
        <f t="array" ref="BH123">_xlfn.LET(_xlpm.DepreciationMonths,INDEX(FixedAssets[Depreciation
/ Amortization Months],_xlfn.XMATCH($E$84,FixedAssets[Asset ID])),IF(AND((_xlfn.XMATCH(BH$8,$AH$8:$CC$8))-_xlfn.XMATCH($C123,$C$35:$C$82)+1&lt;=_xlpm.DepreciationMonths,$C123&lt;=BH$8),$E123/_xlpm.DepreciationMonths,0))</f>
        <v>0</v>
      </c>
      <c r="BI123" s="507" cm="1">
        <f t="array" ref="BI123">_xlfn.LET(_xlpm.DepreciationMonths,INDEX(FixedAssets[Depreciation
/ Amortization Months],_xlfn.XMATCH($E$84,FixedAssets[Asset ID])),IF(AND((_xlfn.XMATCH(BI$8,$AH$8:$CC$8))-_xlfn.XMATCH($C123,$C$35:$C$82)+1&lt;=_xlpm.DepreciationMonths,$C123&lt;=BI$8),$E123/_xlpm.DepreciationMonths,0))</f>
        <v>0</v>
      </c>
      <c r="BJ123" s="507" cm="1">
        <f t="array" ref="BJ123">_xlfn.LET(_xlpm.DepreciationMonths,INDEX(FixedAssets[Depreciation
/ Amortization Months],_xlfn.XMATCH($E$84,FixedAssets[Asset ID])),IF(AND((_xlfn.XMATCH(BJ$8,$AH$8:$CC$8))-_xlfn.XMATCH($C123,$C$35:$C$82)+1&lt;=_xlpm.DepreciationMonths,$C123&lt;=BJ$8),$E123/_xlpm.DepreciationMonths,0))</f>
        <v>0</v>
      </c>
      <c r="BK123" s="507" cm="1">
        <f t="array" ref="BK123">_xlfn.LET(_xlpm.DepreciationMonths,INDEX(FixedAssets[Depreciation
/ Amortization Months],_xlfn.XMATCH($E$84,FixedAssets[Asset ID])),IF(AND((_xlfn.XMATCH(BK$8,$AH$8:$CC$8))-_xlfn.XMATCH($C123,$C$35:$C$82)+1&lt;=_xlpm.DepreciationMonths,$C123&lt;=BK$8),$E123/_xlpm.DepreciationMonths,0))</f>
        <v>0</v>
      </c>
      <c r="BL123" s="507" cm="1">
        <f t="array" ref="BL123">_xlfn.LET(_xlpm.DepreciationMonths,INDEX(FixedAssets[Depreciation
/ Amortization Months],_xlfn.XMATCH($E$84,FixedAssets[Asset ID])),IF(AND((_xlfn.XMATCH(BL$8,$AH$8:$CC$8))-_xlfn.XMATCH($C123,$C$35:$C$82)+1&lt;=_xlpm.DepreciationMonths,$C123&lt;=BL$8),$E123/_xlpm.DepreciationMonths,0))</f>
        <v>0</v>
      </c>
      <c r="BM123" s="507" cm="1">
        <f t="array" ref="BM123">_xlfn.LET(_xlpm.DepreciationMonths,INDEX(FixedAssets[Depreciation
/ Amortization Months],_xlfn.XMATCH($E$84,FixedAssets[Asset ID])),IF(AND((_xlfn.XMATCH(BM$8,$AH$8:$CC$8))-_xlfn.XMATCH($C123,$C$35:$C$82)+1&lt;=_xlpm.DepreciationMonths,$C123&lt;=BM$8),$E123/_xlpm.DepreciationMonths,0))</f>
        <v>0</v>
      </c>
      <c r="BN123" s="507" cm="1">
        <f t="array" ref="BN123">_xlfn.LET(_xlpm.DepreciationMonths,INDEX(FixedAssets[Depreciation
/ Amortization Months],_xlfn.XMATCH($E$84,FixedAssets[Asset ID])),IF(AND((_xlfn.XMATCH(BN$8,$AH$8:$CC$8))-_xlfn.XMATCH($C123,$C$35:$C$82)+1&lt;=_xlpm.DepreciationMonths,$C123&lt;=BN$8),$E123/_xlpm.DepreciationMonths,0))</f>
        <v>0</v>
      </c>
      <c r="BO123" s="507" cm="1">
        <f t="array" ref="BO123">_xlfn.LET(_xlpm.DepreciationMonths,INDEX(FixedAssets[Depreciation
/ Amortization Months],_xlfn.XMATCH($E$84,FixedAssets[Asset ID])),IF(AND((_xlfn.XMATCH(BO$8,$AH$8:$CC$8))-_xlfn.XMATCH($C123,$C$35:$C$82)+1&lt;=_xlpm.DepreciationMonths,$C123&lt;=BO$8),$E123/_xlpm.DepreciationMonths,0))</f>
        <v>0</v>
      </c>
      <c r="BP123" s="507" cm="1">
        <f t="array" ref="BP123">_xlfn.LET(_xlpm.DepreciationMonths,INDEX(FixedAssets[Depreciation
/ Amortization Months],_xlfn.XMATCH($E$84,FixedAssets[Asset ID])),IF(AND((_xlfn.XMATCH(BP$8,$AH$8:$CC$8))-_xlfn.XMATCH($C123,$C$35:$C$82)+1&lt;=_xlpm.DepreciationMonths,$C123&lt;=BP$8),$E123/_xlpm.DepreciationMonths,0))</f>
        <v>0</v>
      </c>
      <c r="BQ123" s="507" cm="1">
        <f t="array" ref="BQ123">_xlfn.LET(_xlpm.DepreciationMonths,INDEX(FixedAssets[Depreciation
/ Amortization Months],_xlfn.XMATCH($E$84,FixedAssets[Asset ID])),IF(AND((_xlfn.XMATCH(BQ$8,$AH$8:$CC$8))-_xlfn.XMATCH($C123,$C$35:$C$82)+1&lt;=_xlpm.DepreciationMonths,$C123&lt;=BQ$8),$E123/_xlpm.DepreciationMonths,0))</f>
        <v>0</v>
      </c>
      <c r="BR123" s="507" cm="1">
        <f t="array" ref="BR123">_xlfn.LET(_xlpm.DepreciationMonths,INDEX(FixedAssets[Depreciation
/ Amortization Months],_xlfn.XMATCH($E$84,FixedAssets[Asset ID])),IF(AND((_xlfn.XMATCH(BR$8,$AH$8:$CC$8))-_xlfn.XMATCH($C123,$C$35:$C$82)+1&lt;=_xlpm.DepreciationMonths,$C123&lt;=BR$8),$E123/_xlpm.DepreciationMonths,0))</f>
        <v>0</v>
      </c>
      <c r="BS123" s="507" cm="1">
        <f t="array" ref="BS123">_xlfn.LET(_xlpm.DepreciationMonths,INDEX(FixedAssets[Depreciation
/ Amortization Months],_xlfn.XMATCH($E$84,FixedAssets[Asset ID])),IF(AND((_xlfn.XMATCH(BS$8,$AH$8:$CC$8))-_xlfn.XMATCH($C123,$C$35:$C$82)+1&lt;=_xlpm.DepreciationMonths,$C123&lt;=BS$8),$E123/_xlpm.DepreciationMonths,0))</f>
        <v>0</v>
      </c>
      <c r="BT123" s="507" cm="1">
        <f t="array" ref="BT123">_xlfn.LET(_xlpm.DepreciationMonths,INDEX(FixedAssets[Depreciation
/ Amortization Months],_xlfn.XMATCH($E$84,FixedAssets[Asset ID])),IF(AND((_xlfn.XMATCH(BT$8,$AH$8:$CC$8))-_xlfn.XMATCH($C123,$C$35:$C$82)+1&lt;=_xlpm.DepreciationMonths,$C123&lt;=BT$8),$E123/_xlpm.DepreciationMonths,0))</f>
        <v>0</v>
      </c>
      <c r="BU123" s="507" cm="1">
        <f t="array" ref="BU123">_xlfn.LET(_xlpm.DepreciationMonths,INDEX(FixedAssets[Depreciation
/ Amortization Months],_xlfn.XMATCH($E$84,FixedAssets[Asset ID])),IF(AND((_xlfn.XMATCH(BU$8,$AH$8:$CC$8))-_xlfn.XMATCH($C123,$C$35:$C$82)+1&lt;=_xlpm.DepreciationMonths,$C123&lt;=BU$8),$E123/_xlpm.DepreciationMonths,0))</f>
        <v>0</v>
      </c>
      <c r="BV123" s="507" cm="1">
        <f t="array" ref="BV123">_xlfn.LET(_xlpm.DepreciationMonths,INDEX(FixedAssets[Depreciation
/ Amortization Months],_xlfn.XMATCH($E$84,FixedAssets[Asset ID])),IF(AND((_xlfn.XMATCH(BV$8,$AH$8:$CC$8))-_xlfn.XMATCH($C123,$C$35:$C$82)+1&lt;=_xlpm.DepreciationMonths,$C123&lt;=BV$8),$E123/_xlpm.DepreciationMonths,0))</f>
        <v>0</v>
      </c>
      <c r="BW123" s="507" cm="1">
        <f t="array" ref="BW123">_xlfn.LET(_xlpm.DepreciationMonths,INDEX(FixedAssets[Depreciation
/ Amortization Months],_xlfn.XMATCH($E$84,FixedAssets[Asset ID])),IF(AND((_xlfn.XMATCH(BW$8,$AH$8:$CC$8))-_xlfn.XMATCH($C123,$C$35:$C$82)+1&lt;=_xlpm.DepreciationMonths,$C123&lt;=BW$8),$E123/_xlpm.DepreciationMonths,0))</f>
        <v>0</v>
      </c>
      <c r="BX123" s="507" cm="1">
        <f t="array" ref="BX123">_xlfn.LET(_xlpm.DepreciationMonths,INDEX(FixedAssets[Depreciation
/ Amortization Months],_xlfn.XMATCH($E$84,FixedAssets[Asset ID])),IF(AND((_xlfn.XMATCH(BX$8,$AH$8:$CC$8))-_xlfn.XMATCH($C123,$C$35:$C$82)+1&lt;=_xlpm.DepreciationMonths,$C123&lt;=BX$8),$E123/_xlpm.DepreciationMonths,0))</f>
        <v>0</v>
      </c>
      <c r="BY123" s="507" cm="1">
        <f t="array" ref="BY123">_xlfn.LET(_xlpm.DepreciationMonths,INDEX(FixedAssets[Depreciation
/ Amortization Months],_xlfn.XMATCH($E$84,FixedAssets[Asset ID])),IF(AND((_xlfn.XMATCH(BY$8,$AH$8:$CC$8))-_xlfn.XMATCH($C123,$C$35:$C$82)+1&lt;=_xlpm.DepreciationMonths,$C123&lt;=BY$8),$E123/_xlpm.DepreciationMonths,0))</f>
        <v>0</v>
      </c>
      <c r="BZ123" s="507" cm="1">
        <f t="array" ref="BZ123">_xlfn.LET(_xlpm.DepreciationMonths,INDEX(FixedAssets[Depreciation
/ Amortization Months],_xlfn.XMATCH($E$84,FixedAssets[Asset ID])),IF(AND((_xlfn.XMATCH(BZ$8,$AH$8:$CC$8))-_xlfn.XMATCH($C123,$C$35:$C$82)+1&lt;=_xlpm.DepreciationMonths,$C123&lt;=BZ$8),$E123/_xlpm.DepreciationMonths,0))</f>
        <v>0</v>
      </c>
      <c r="CA123" s="507" cm="1">
        <f t="array" ref="CA123">_xlfn.LET(_xlpm.DepreciationMonths,INDEX(FixedAssets[Depreciation
/ Amortization Months],_xlfn.XMATCH($E$84,FixedAssets[Asset ID])),IF(AND((_xlfn.XMATCH(CA$8,$AH$8:$CC$8))-_xlfn.XMATCH($C123,$C$35:$C$82)+1&lt;=_xlpm.DepreciationMonths,$C123&lt;=CA$8),$E123/_xlpm.DepreciationMonths,0))</f>
        <v>0</v>
      </c>
      <c r="CB123" s="507" cm="1">
        <f t="array" ref="CB123">_xlfn.LET(_xlpm.DepreciationMonths,INDEX(FixedAssets[Depreciation
/ Amortization Months],_xlfn.XMATCH($E$84,FixedAssets[Asset ID])),IF(AND((_xlfn.XMATCH(CB$8,$AH$8:$CC$8))-_xlfn.XMATCH($C123,$C$35:$C$82)+1&lt;=_xlpm.DepreciationMonths,$C123&lt;=CB$8),$E123/_xlpm.DepreciationMonths,0))</f>
        <v>0</v>
      </c>
      <c r="CC123" s="507" cm="1">
        <f t="array" ref="CC123">_xlfn.LET(_xlpm.DepreciationMonths,INDEX(FixedAssets[Depreciation
/ Amortization Months],_xlfn.XMATCH($E$84,FixedAssets[Asset ID])),IF(AND((_xlfn.XMATCH(CC$8,$AH$8:$CC$8))-_xlfn.XMATCH($C123,$C$35:$C$82)+1&lt;=_xlpm.DepreciationMonths,$C123&lt;=CC$8),$E123/_xlpm.DepreciationMonths,0))</f>
        <v>0</v>
      </c>
    </row>
    <row r="124" spans="3:81" hidden="1" outlineLevel="2">
      <c r="C124" s="664">
        <f t="shared" si="167"/>
        <v>46112</v>
      </c>
      <c r="D124" s="508"/>
      <c r="E124" s="508" cm="1">
        <f t="array" ref="E124">SUMPRODUCT(($AH$26:$CC$31)*($AH$5:$CC$5=$C124)*($E$26:$E$31=E$84))-SUMPRODUCT(($AH$26:$CC$31)*($AH$5:$CC$5=EOMONTH($C124,-1))*($E$26:$E$31=E$84))</f>
        <v>0</v>
      </c>
      <c r="F124" s="508"/>
      <c r="G124" s="508"/>
      <c r="H124" s="508"/>
      <c r="I124" s="508"/>
      <c r="J124" s="504">
        <f t="shared" si="164"/>
        <v>0</v>
      </c>
      <c r="K124" s="504">
        <f t="shared" si="172"/>
        <v>0</v>
      </c>
      <c r="L124" s="504">
        <f t="shared" si="172"/>
        <v>0</v>
      </c>
      <c r="M124" s="504">
        <f t="shared" si="172"/>
        <v>0</v>
      </c>
      <c r="N124" s="504"/>
      <c r="O124" s="504"/>
      <c r="P124" s="504">
        <f t="shared" si="173"/>
        <v>0</v>
      </c>
      <c r="Q124" s="504">
        <f t="shared" si="173"/>
        <v>0</v>
      </c>
      <c r="R124" s="504">
        <f t="shared" si="173"/>
        <v>0</v>
      </c>
      <c r="S124" s="504">
        <f t="shared" si="173"/>
        <v>0</v>
      </c>
      <c r="T124" s="504">
        <f t="shared" si="173"/>
        <v>0</v>
      </c>
      <c r="U124" s="504">
        <f t="shared" si="173"/>
        <v>0</v>
      </c>
      <c r="V124" s="504">
        <f t="shared" si="173"/>
        <v>0</v>
      </c>
      <c r="W124" s="504">
        <f t="shared" si="173"/>
        <v>0</v>
      </c>
      <c r="X124" s="504">
        <f t="shared" si="173"/>
        <v>0</v>
      </c>
      <c r="Y124" s="504">
        <f t="shared" si="173"/>
        <v>0</v>
      </c>
      <c r="Z124" s="504">
        <f t="shared" si="173"/>
        <v>0</v>
      </c>
      <c r="AA124" s="504">
        <f t="shared" si="173"/>
        <v>0</v>
      </c>
      <c r="AB124" s="504">
        <f t="shared" si="173"/>
        <v>0</v>
      </c>
      <c r="AC124" s="504">
        <f t="shared" si="173"/>
        <v>0</v>
      </c>
      <c r="AD124" s="504">
        <f t="shared" si="173"/>
        <v>0</v>
      </c>
      <c r="AE124" s="504">
        <f t="shared" si="173"/>
        <v>0</v>
      </c>
      <c r="AF124" s="508"/>
      <c r="AG124" s="508"/>
      <c r="AH124" s="507" cm="1">
        <f t="array" ref="AH124">_xlfn.LET(_xlpm.DepreciationMonths,INDEX(FixedAssets[Depreciation
/ Amortization Months],_xlfn.XMATCH($E$84,FixedAssets[Asset ID])),IF(AND((_xlfn.XMATCH(AH$8,$AH$8:$CC$8))-_xlfn.XMATCH($C124,$C$35:$C$82)+1&lt;=_xlpm.DepreciationMonths,$C124&lt;=AH$8),$E124/_xlpm.DepreciationMonths,0))</f>
        <v>0</v>
      </c>
      <c r="AI124" s="507" cm="1">
        <f t="array" ref="AI124">_xlfn.LET(_xlpm.DepreciationMonths,INDEX(FixedAssets[Depreciation
/ Amortization Months],_xlfn.XMATCH($E$84,FixedAssets[Asset ID])),IF(AND((_xlfn.XMATCH(AI$8,$AH$8:$CC$8))-_xlfn.XMATCH($C124,$C$35:$C$82)+1&lt;=_xlpm.DepreciationMonths,$C124&lt;=AI$8),$E124/_xlpm.DepreciationMonths,0))</f>
        <v>0</v>
      </c>
      <c r="AJ124" s="507" cm="1">
        <f t="array" ref="AJ124">_xlfn.LET(_xlpm.DepreciationMonths,INDEX(FixedAssets[Depreciation
/ Amortization Months],_xlfn.XMATCH($E$84,FixedAssets[Asset ID])),IF(AND((_xlfn.XMATCH(AJ$8,$AH$8:$CC$8))-_xlfn.XMATCH($C124,$C$35:$C$82)+1&lt;=_xlpm.DepreciationMonths,$C124&lt;=AJ$8),$E124/_xlpm.DepreciationMonths,0))</f>
        <v>0</v>
      </c>
      <c r="AK124" s="507" cm="1">
        <f t="array" ref="AK124">_xlfn.LET(_xlpm.DepreciationMonths,INDEX(FixedAssets[Depreciation
/ Amortization Months],_xlfn.XMATCH($E$84,FixedAssets[Asset ID])),IF(AND((_xlfn.XMATCH(AK$8,$AH$8:$CC$8))-_xlfn.XMATCH($C124,$C$35:$C$82)+1&lt;=_xlpm.DepreciationMonths,$C124&lt;=AK$8),$E124/_xlpm.DepreciationMonths,0))</f>
        <v>0</v>
      </c>
      <c r="AL124" s="507" cm="1">
        <f t="array" ref="AL124">_xlfn.LET(_xlpm.DepreciationMonths,INDEX(FixedAssets[Depreciation
/ Amortization Months],_xlfn.XMATCH($E$84,FixedAssets[Asset ID])),IF(AND((_xlfn.XMATCH(AL$8,$AH$8:$CC$8))-_xlfn.XMATCH($C124,$C$35:$C$82)+1&lt;=_xlpm.DepreciationMonths,$C124&lt;=AL$8),$E124/_xlpm.DepreciationMonths,0))</f>
        <v>0</v>
      </c>
      <c r="AM124" s="507" cm="1">
        <f t="array" ref="AM124">_xlfn.LET(_xlpm.DepreciationMonths,INDEX(FixedAssets[Depreciation
/ Amortization Months],_xlfn.XMATCH($E$84,FixedAssets[Asset ID])),IF(AND((_xlfn.XMATCH(AM$8,$AH$8:$CC$8))-_xlfn.XMATCH($C124,$C$35:$C$82)+1&lt;=_xlpm.DepreciationMonths,$C124&lt;=AM$8),$E124/_xlpm.DepreciationMonths,0))</f>
        <v>0</v>
      </c>
      <c r="AN124" s="507" cm="1">
        <f t="array" ref="AN124">_xlfn.LET(_xlpm.DepreciationMonths,INDEX(FixedAssets[Depreciation
/ Amortization Months],_xlfn.XMATCH($E$84,FixedAssets[Asset ID])),IF(AND((_xlfn.XMATCH(AN$8,$AH$8:$CC$8))-_xlfn.XMATCH($C124,$C$35:$C$82)+1&lt;=_xlpm.DepreciationMonths,$C124&lt;=AN$8),$E124/_xlpm.DepreciationMonths,0))</f>
        <v>0</v>
      </c>
      <c r="AO124" s="507" cm="1">
        <f t="array" ref="AO124">_xlfn.LET(_xlpm.DepreciationMonths,INDEX(FixedAssets[Depreciation
/ Amortization Months],_xlfn.XMATCH($E$84,FixedAssets[Asset ID])),IF(AND((_xlfn.XMATCH(AO$8,$AH$8:$CC$8))-_xlfn.XMATCH($C124,$C$35:$C$82)+1&lt;=_xlpm.DepreciationMonths,$C124&lt;=AO$8),$E124/_xlpm.DepreciationMonths,0))</f>
        <v>0</v>
      </c>
      <c r="AP124" s="507" cm="1">
        <f t="array" ref="AP124">_xlfn.LET(_xlpm.DepreciationMonths,INDEX(FixedAssets[Depreciation
/ Amortization Months],_xlfn.XMATCH($E$84,FixedAssets[Asset ID])),IF(AND((_xlfn.XMATCH(AP$8,$AH$8:$CC$8))-_xlfn.XMATCH($C124,$C$35:$C$82)+1&lt;=_xlpm.DepreciationMonths,$C124&lt;=AP$8),$E124/_xlpm.DepreciationMonths,0))</f>
        <v>0</v>
      </c>
      <c r="AQ124" s="507" cm="1">
        <f t="array" ref="AQ124">_xlfn.LET(_xlpm.DepreciationMonths,INDEX(FixedAssets[Depreciation
/ Amortization Months],_xlfn.XMATCH($E$84,FixedAssets[Asset ID])),IF(AND((_xlfn.XMATCH(AQ$8,$AH$8:$CC$8))-_xlfn.XMATCH($C124,$C$35:$C$82)+1&lt;=_xlpm.DepreciationMonths,$C124&lt;=AQ$8),$E124/_xlpm.DepreciationMonths,0))</f>
        <v>0</v>
      </c>
      <c r="AR124" s="507" cm="1">
        <f t="array" ref="AR124">_xlfn.LET(_xlpm.DepreciationMonths,INDEX(FixedAssets[Depreciation
/ Amortization Months],_xlfn.XMATCH($E$84,FixedAssets[Asset ID])),IF(AND((_xlfn.XMATCH(AR$8,$AH$8:$CC$8))-_xlfn.XMATCH($C124,$C$35:$C$82)+1&lt;=_xlpm.DepreciationMonths,$C124&lt;=AR$8),$E124/_xlpm.DepreciationMonths,0))</f>
        <v>0</v>
      </c>
      <c r="AS124" s="507" cm="1">
        <f t="array" ref="AS124">_xlfn.LET(_xlpm.DepreciationMonths,INDEX(FixedAssets[Depreciation
/ Amortization Months],_xlfn.XMATCH($E$84,FixedAssets[Asset ID])),IF(AND((_xlfn.XMATCH(AS$8,$AH$8:$CC$8))-_xlfn.XMATCH($C124,$C$35:$C$82)+1&lt;=_xlpm.DepreciationMonths,$C124&lt;=AS$8),$E124/_xlpm.DepreciationMonths,0))</f>
        <v>0</v>
      </c>
      <c r="AT124" s="507" cm="1">
        <f t="array" ref="AT124">_xlfn.LET(_xlpm.DepreciationMonths,INDEX(FixedAssets[Depreciation
/ Amortization Months],_xlfn.XMATCH($E$84,FixedAssets[Asset ID])),IF(AND((_xlfn.XMATCH(AT$8,$AH$8:$CC$8))-_xlfn.XMATCH($C124,$C$35:$C$82)+1&lt;=_xlpm.DepreciationMonths,$C124&lt;=AT$8),$E124/_xlpm.DepreciationMonths,0))</f>
        <v>0</v>
      </c>
      <c r="AU124" s="507" cm="1">
        <f t="array" ref="AU124">_xlfn.LET(_xlpm.DepreciationMonths,INDEX(FixedAssets[Depreciation
/ Amortization Months],_xlfn.XMATCH($E$84,FixedAssets[Asset ID])),IF(AND((_xlfn.XMATCH(AU$8,$AH$8:$CC$8))-_xlfn.XMATCH($C124,$C$35:$C$82)+1&lt;=_xlpm.DepreciationMonths,$C124&lt;=AU$8),$E124/_xlpm.DepreciationMonths,0))</f>
        <v>0</v>
      </c>
      <c r="AV124" s="507" cm="1">
        <f t="array" ref="AV124">_xlfn.LET(_xlpm.DepreciationMonths,INDEX(FixedAssets[Depreciation
/ Amortization Months],_xlfn.XMATCH($E$84,FixedAssets[Asset ID])),IF(AND((_xlfn.XMATCH(AV$8,$AH$8:$CC$8))-_xlfn.XMATCH($C124,$C$35:$C$82)+1&lt;=_xlpm.DepreciationMonths,$C124&lt;=AV$8),$E124/_xlpm.DepreciationMonths,0))</f>
        <v>0</v>
      </c>
      <c r="AW124" s="507" cm="1">
        <f t="array" ref="AW124">_xlfn.LET(_xlpm.DepreciationMonths,INDEX(FixedAssets[Depreciation
/ Amortization Months],_xlfn.XMATCH($E$84,FixedAssets[Asset ID])),IF(AND((_xlfn.XMATCH(AW$8,$AH$8:$CC$8))-_xlfn.XMATCH($C124,$C$35:$C$82)+1&lt;=_xlpm.DepreciationMonths,$C124&lt;=AW$8),$E124/_xlpm.DepreciationMonths,0))</f>
        <v>0</v>
      </c>
      <c r="AX124" s="507" cm="1">
        <f t="array" ref="AX124">_xlfn.LET(_xlpm.DepreciationMonths,INDEX(FixedAssets[Depreciation
/ Amortization Months],_xlfn.XMATCH($E$84,FixedAssets[Asset ID])),IF(AND((_xlfn.XMATCH(AX$8,$AH$8:$CC$8))-_xlfn.XMATCH($C124,$C$35:$C$82)+1&lt;=_xlpm.DepreciationMonths,$C124&lt;=AX$8),$E124/_xlpm.DepreciationMonths,0))</f>
        <v>0</v>
      </c>
      <c r="AY124" s="507" cm="1">
        <f t="array" ref="AY124">_xlfn.LET(_xlpm.DepreciationMonths,INDEX(FixedAssets[Depreciation
/ Amortization Months],_xlfn.XMATCH($E$84,FixedAssets[Asset ID])),IF(AND((_xlfn.XMATCH(AY$8,$AH$8:$CC$8))-_xlfn.XMATCH($C124,$C$35:$C$82)+1&lt;=_xlpm.DepreciationMonths,$C124&lt;=AY$8),$E124/_xlpm.DepreciationMonths,0))</f>
        <v>0</v>
      </c>
      <c r="AZ124" s="507" cm="1">
        <f t="array" ref="AZ124">_xlfn.LET(_xlpm.DepreciationMonths,INDEX(FixedAssets[Depreciation
/ Amortization Months],_xlfn.XMATCH($E$84,FixedAssets[Asset ID])),IF(AND((_xlfn.XMATCH(AZ$8,$AH$8:$CC$8))-_xlfn.XMATCH($C124,$C$35:$C$82)+1&lt;=_xlpm.DepreciationMonths,$C124&lt;=AZ$8),$E124/_xlpm.DepreciationMonths,0))</f>
        <v>0</v>
      </c>
      <c r="BA124" s="507" cm="1">
        <f t="array" ref="BA124">_xlfn.LET(_xlpm.DepreciationMonths,INDEX(FixedAssets[Depreciation
/ Amortization Months],_xlfn.XMATCH($E$84,FixedAssets[Asset ID])),IF(AND((_xlfn.XMATCH(BA$8,$AH$8:$CC$8))-_xlfn.XMATCH($C124,$C$35:$C$82)+1&lt;=_xlpm.DepreciationMonths,$C124&lt;=BA$8),$E124/_xlpm.DepreciationMonths,0))</f>
        <v>0</v>
      </c>
      <c r="BB124" s="507" cm="1">
        <f t="array" ref="BB124">_xlfn.LET(_xlpm.DepreciationMonths,INDEX(FixedAssets[Depreciation
/ Amortization Months],_xlfn.XMATCH($E$84,FixedAssets[Asset ID])),IF(AND((_xlfn.XMATCH(BB$8,$AH$8:$CC$8))-_xlfn.XMATCH($C124,$C$35:$C$82)+1&lt;=_xlpm.DepreciationMonths,$C124&lt;=BB$8),$E124/_xlpm.DepreciationMonths,0))</f>
        <v>0</v>
      </c>
      <c r="BC124" s="507" cm="1">
        <f t="array" ref="BC124">_xlfn.LET(_xlpm.DepreciationMonths,INDEX(FixedAssets[Depreciation
/ Amortization Months],_xlfn.XMATCH($E$84,FixedAssets[Asset ID])),IF(AND((_xlfn.XMATCH(BC$8,$AH$8:$CC$8))-_xlfn.XMATCH($C124,$C$35:$C$82)+1&lt;=_xlpm.DepreciationMonths,$C124&lt;=BC$8),$E124/_xlpm.DepreciationMonths,0))</f>
        <v>0</v>
      </c>
      <c r="BD124" s="507" cm="1">
        <f t="array" ref="BD124">_xlfn.LET(_xlpm.DepreciationMonths,INDEX(FixedAssets[Depreciation
/ Amortization Months],_xlfn.XMATCH($E$84,FixedAssets[Asset ID])),IF(AND((_xlfn.XMATCH(BD$8,$AH$8:$CC$8))-_xlfn.XMATCH($C124,$C$35:$C$82)+1&lt;=_xlpm.DepreciationMonths,$C124&lt;=BD$8),$E124/_xlpm.DepreciationMonths,0))</f>
        <v>0</v>
      </c>
      <c r="BE124" s="507" cm="1">
        <f t="array" ref="BE124">_xlfn.LET(_xlpm.DepreciationMonths,INDEX(FixedAssets[Depreciation
/ Amortization Months],_xlfn.XMATCH($E$84,FixedAssets[Asset ID])),IF(AND((_xlfn.XMATCH(BE$8,$AH$8:$CC$8))-_xlfn.XMATCH($C124,$C$35:$C$82)+1&lt;=_xlpm.DepreciationMonths,$C124&lt;=BE$8),$E124/_xlpm.DepreciationMonths,0))</f>
        <v>0</v>
      </c>
      <c r="BF124" s="507" cm="1">
        <f t="array" ref="BF124">_xlfn.LET(_xlpm.DepreciationMonths,INDEX(FixedAssets[Depreciation
/ Amortization Months],_xlfn.XMATCH($E$84,FixedAssets[Asset ID])),IF(AND((_xlfn.XMATCH(BF$8,$AH$8:$CC$8))-_xlfn.XMATCH($C124,$C$35:$C$82)+1&lt;=_xlpm.DepreciationMonths,$C124&lt;=BF$8),$E124/_xlpm.DepreciationMonths,0))</f>
        <v>0</v>
      </c>
      <c r="BG124" s="507" cm="1">
        <f t="array" ref="BG124">_xlfn.LET(_xlpm.DepreciationMonths,INDEX(FixedAssets[Depreciation
/ Amortization Months],_xlfn.XMATCH($E$84,FixedAssets[Asset ID])),IF(AND((_xlfn.XMATCH(BG$8,$AH$8:$CC$8))-_xlfn.XMATCH($C124,$C$35:$C$82)+1&lt;=_xlpm.DepreciationMonths,$C124&lt;=BG$8),$E124/_xlpm.DepreciationMonths,0))</f>
        <v>0</v>
      </c>
      <c r="BH124" s="507" cm="1">
        <f t="array" ref="BH124">_xlfn.LET(_xlpm.DepreciationMonths,INDEX(FixedAssets[Depreciation
/ Amortization Months],_xlfn.XMATCH($E$84,FixedAssets[Asset ID])),IF(AND((_xlfn.XMATCH(BH$8,$AH$8:$CC$8))-_xlfn.XMATCH($C124,$C$35:$C$82)+1&lt;=_xlpm.DepreciationMonths,$C124&lt;=BH$8),$E124/_xlpm.DepreciationMonths,0))</f>
        <v>0</v>
      </c>
      <c r="BI124" s="507" cm="1">
        <f t="array" ref="BI124">_xlfn.LET(_xlpm.DepreciationMonths,INDEX(FixedAssets[Depreciation
/ Amortization Months],_xlfn.XMATCH($E$84,FixedAssets[Asset ID])),IF(AND((_xlfn.XMATCH(BI$8,$AH$8:$CC$8))-_xlfn.XMATCH($C124,$C$35:$C$82)+1&lt;=_xlpm.DepreciationMonths,$C124&lt;=BI$8),$E124/_xlpm.DepreciationMonths,0))</f>
        <v>0</v>
      </c>
      <c r="BJ124" s="507" cm="1">
        <f t="array" ref="BJ124">_xlfn.LET(_xlpm.DepreciationMonths,INDEX(FixedAssets[Depreciation
/ Amortization Months],_xlfn.XMATCH($E$84,FixedAssets[Asset ID])),IF(AND((_xlfn.XMATCH(BJ$8,$AH$8:$CC$8))-_xlfn.XMATCH($C124,$C$35:$C$82)+1&lt;=_xlpm.DepreciationMonths,$C124&lt;=BJ$8),$E124/_xlpm.DepreciationMonths,0))</f>
        <v>0</v>
      </c>
      <c r="BK124" s="507" cm="1">
        <f t="array" ref="BK124">_xlfn.LET(_xlpm.DepreciationMonths,INDEX(FixedAssets[Depreciation
/ Amortization Months],_xlfn.XMATCH($E$84,FixedAssets[Asset ID])),IF(AND((_xlfn.XMATCH(BK$8,$AH$8:$CC$8))-_xlfn.XMATCH($C124,$C$35:$C$82)+1&lt;=_xlpm.DepreciationMonths,$C124&lt;=BK$8),$E124/_xlpm.DepreciationMonths,0))</f>
        <v>0</v>
      </c>
      <c r="BL124" s="507" cm="1">
        <f t="array" ref="BL124">_xlfn.LET(_xlpm.DepreciationMonths,INDEX(FixedAssets[Depreciation
/ Amortization Months],_xlfn.XMATCH($E$84,FixedAssets[Asset ID])),IF(AND((_xlfn.XMATCH(BL$8,$AH$8:$CC$8))-_xlfn.XMATCH($C124,$C$35:$C$82)+1&lt;=_xlpm.DepreciationMonths,$C124&lt;=BL$8),$E124/_xlpm.DepreciationMonths,0))</f>
        <v>0</v>
      </c>
      <c r="BM124" s="507" cm="1">
        <f t="array" ref="BM124">_xlfn.LET(_xlpm.DepreciationMonths,INDEX(FixedAssets[Depreciation
/ Amortization Months],_xlfn.XMATCH($E$84,FixedAssets[Asset ID])),IF(AND((_xlfn.XMATCH(BM$8,$AH$8:$CC$8))-_xlfn.XMATCH($C124,$C$35:$C$82)+1&lt;=_xlpm.DepreciationMonths,$C124&lt;=BM$8),$E124/_xlpm.DepreciationMonths,0))</f>
        <v>0</v>
      </c>
      <c r="BN124" s="507" cm="1">
        <f t="array" ref="BN124">_xlfn.LET(_xlpm.DepreciationMonths,INDEX(FixedAssets[Depreciation
/ Amortization Months],_xlfn.XMATCH($E$84,FixedAssets[Asset ID])),IF(AND((_xlfn.XMATCH(BN$8,$AH$8:$CC$8))-_xlfn.XMATCH($C124,$C$35:$C$82)+1&lt;=_xlpm.DepreciationMonths,$C124&lt;=BN$8),$E124/_xlpm.DepreciationMonths,0))</f>
        <v>0</v>
      </c>
      <c r="BO124" s="507" cm="1">
        <f t="array" ref="BO124">_xlfn.LET(_xlpm.DepreciationMonths,INDEX(FixedAssets[Depreciation
/ Amortization Months],_xlfn.XMATCH($E$84,FixedAssets[Asset ID])),IF(AND((_xlfn.XMATCH(BO$8,$AH$8:$CC$8))-_xlfn.XMATCH($C124,$C$35:$C$82)+1&lt;=_xlpm.DepreciationMonths,$C124&lt;=BO$8),$E124/_xlpm.DepreciationMonths,0))</f>
        <v>0</v>
      </c>
      <c r="BP124" s="507" cm="1">
        <f t="array" ref="BP124">_xlfn.LET(_xlpm.DepreciationMonths,INDEX(FixedAssets[Depreciation
/ Amortization Months],_xlfn.XMATCH($E$84,FixedAssets[Asset ID])),IF(AND((_xlfn.XMATCH(BP$8,$AH$8:$CC$8))-_xlfn.XMATCH($C124,$C$35:$C$82)+1&lt;=_xlpm.DepreciationMonths,$C124&lt;=BP$8),$E124/_xlpm.DepreciationMonths,0))</f>
        <v>0</v>
      </c>
      <c r="BQ124" s="507" cm="1">
        <f t="array" ref="BQ124">_xlfn.LET(_xlpm.DepreciationMonths,INDEX(FixedAssets[Depreciation
/ Amortization Months],_xlfn.XMATCH($E$84,FixedAssets[Asset ID])),IF(AND((_xlfn.XMATCH(BQ$8,$AH$8:$CC$8))-_xlfn.XMATCH($C124,$C$35:$C$82)+1&lt;=_xlpm.DepreciationMonths,$C124&lt;=BQ$8),$E124/_xlpm.DepreciationMonths,0))</f>
        <v>0</v>
      </c>
      <c r="BR124" s="507" cm="1">
        <f t="array" ref="BR124">_xlfn.LET(_xlpm.DepreciationMonths,INDEX(FixedAssets[Depreciation
/ Amortization Months],_xlfn.XMATCH($E$84,FixedAssets[Asset ID])),IF(AND((_xlfn.XMATCH(BR$8,$AH$8:$CC$8))-_xlfn.XMATCH($C124,$C$35:$C$82)+1&lt;=_xlpm.DepreciationMonths,$C124&lt;=BR$8),$E124/_xlpm.DepreciationMonths,0))</f>
        <v>0</v>
      </c>
      <c r="BS124" s="507" cm="1">
        <f t="array" ref="BS124">_xlfn.LET(_xlpm.DepreciationMonths,INDEX(FixedAssets[Depreciation
/ Amortization Months],_xlfn.XMATCH($E$84,FixedAssets[Asset ID])),IF(AND((_xlfn.XMATCH(BS$8,$AH$8:$CC$8))-_xlfn.XMATCH($C124,$C$35:$C$82)+1&lt;=_xlpm.DepreciationMonths,$C124&lt;=BS$8),$E124/_xlpm.DepreciationMonths,0))</f>
        <v>0</v>
      </c>
      <c r="BT124" s="507" cm="1">
        <f t="array" ref="BT124">_xlfn.LET(_xlpm.DepreciationMonths,INDEX(FixedAssets[Depreciation
/ Amortization Months],_xlfn.XMATCH($E$84,FixedAssets[Asset ID])),IF(AND((_xlfn.XMATCH(BT$8,$AH$8:$CC$8))-_xlfn.XMATCH($C124,$C$35:$C$82)+1&lt;=_xlpm.DepreciationMonths,$C124&lt;=BT$8),$E124/_xlpm.DepreciationMonths,0))</f>
        <v>0</v>
      </c>
      <c r="BU124" s="507" cm="1">
        <f t="array" ref="BU124">_xlfn.LET(_xlpm.DepreciationMonths,INDEX(FixedAssets[Depreciation
/ Amortization Months],_xlfn.XMATCH($E$84,FixedAssets[Asset ID])),IF(AND((_xlfn.XMATCH(BU$8,$AH$8:$CC$8))-_xlfn.XMATCH($C124,$C$35:$C$82)+1&lt;=_xlpm.DepreciationMonths,$C124&lt;=BU$8),$E124/_xlpm.DepreciationMonths,0))</f>
        <v>0</v>
      </c>
      <c r="BV124" s="507" cm="1">
        <f t="array" ref="BV124">_xlfn.LET(_xlpm.DepreciationMonths,INDEX(FixedAssets[Depreciation
/ Amortization Months],_xlfn.XMATCH($E$84,FixedAssets[Asset ID])),IF(AND((_xlfn.XMATCH(BV$8,$AH$8:$CC$8))-_xlfn.XMATCH($C124,$C$35:$C$82)+1&lt;=_xlpm.DepreciationMonths,$C124&lt;=BV$8),$E124/_xlpm.DepreciationMonths,0))</f>
        <v>0</v>
      </c>
      <c r="BW124" s="507" cm="1">
        <f t="array" ref="BW124">_xlfn.LET(_xlpm.DepreciationMonths,INDEX(FixedAssets[Depreciation
/ Amortization Months],_xlfn.XMATCH($E$84,FixedAssets[Asset ID])),IF(AND((_xlfn.XMATCH(BW$8,$AH$8:$CC$8))-_xlfn.XMATCH($C124,$C$35:$C$82)+1&lt;=_xlpm.DepreciationMonths,$C124&lt;=BW$8),$E124/_xlpm.DepreciationMonths,0))</f>
        <v>0</v>
      </c>
      <c r="BX124" s="507" cm="1">
        <f t="array" ref="BX124">_xlfn.LET(_xlpm.DepreciationMonths,INDEX(FixedAssets[Depreciation
/ Amortization Months],_xlfn.XMATCH($E$84,FixedAssets[Asset ID])),IF(AND((_xlfn.XMATCH(BX$8,$AH$8:$CC$8))-_xlfn.XMATCH($C124,$C$35:$C$82)+1&lt;=_xlpm.DepreciationMonths,$C124&lt;=BX$8),$E124/_xlpm.DepreciationMonths,0))</f>
        <v>0</v>
      </c>
      <c r="BY124" s="507" cm="1">
        <f t="array" ref="BY124">_xlfn.LET(_xlpm.DepreciationMonths,INDEX(FixedAssets[Depreciation
/ Amortization Months],_xlfn.XMATCH($E$84,FixedAssets[Asset ID])),IF(AND((_xlfn.XMATCH(BY$8,$AH$8:$CC$8))-_xlfn.XMATCH($C124,$C$35:$C$82)+1&lt;=_xlpm.DepreciationMonths,$C124&lt;=BY$8),$E124/_xlpm.DepreciationMonths,0))</f>
        <v>0</v>
      </c>
      <c r="BZ124" s="507" cm="1">
        <f t="array" ref="BZ124">_xlfn.LET(_xlpm.DepreciationMonths,INDEX(FixedAssets[Depreciation
/ Amortization Months],_xlfn.XMATCH($E$84,FixedAssets[Asset ID])),IF(AND((_xlfn.XMATCH(BZ$8,$AH$8:$CC$8))-_xlfn.XMATCH($C124,$C$35:$C$82)+1&lt;=_xlpm.DepreciationMonths,$C124&lt;=BZ$8),$E124/_xlpm.DepreciationMonths,0))</f>
        <v>0</v>
      </c>
      <c r="CA124" s="507" cm="1">
        <f t="array" ref="CA124">_xlfn.LET(_xlpm.DepreciationMonths,INDEX(FixedAssets[Depreciation
/ Amortization Months],_xlfn.XMATCH($E$84,FixedAssets[Asset ID])),IF(AND((_xlfn.XMATCH(CA$8,$AH$8:$CC$8))-_xlfn.XMATCH($C124,$C$35:$C$82)+1&lt;=_xlpm.DepreciationMonths,$C124&lt;=CA$8),$E124/_xlpm.DepreciationMonths,0))</f>
        <v>0</v>
      </c>
      <c r="CB124" s="507" cm="1">
        <f t="array" ref="CB124">_xlfn.LET(_xlpm.DepreciationMonths,INDEX(FixedAssets[Depreciation
/ Amortization Months],_xlfn.XMATCH($E$84,FixedAssets[Asset ID])),IF(AND((_xlfn.XMATCH(CB$8,$AH$8:$CC$8))-_xlfn.XMATCH($C124,$C$35:$C$82)+1&lt;=_xlpm.DepreciationMonths,$C124&lt;=CB$8),$E124/_xlpm.DepreciationMonths,0))</f>
        <v>0</v>
      </c>
      <c r="CC124" s="507" cm="1">
        <f t="array" ref="CC124">_xlfn.LET(_xlpm.DepreciationMonths,INDEX(FixedAssets[Depreciation
/ Amortization Months],_xlfn.XMATCH($E$84,FixedAssets[Asset ID])),IF(AND((_xlfn.XMATCH(CC$8,$AH$8:$CC$8))-_xlfn.XMATCH($C124,$C$35:$C$82)+1&lt;=_xlpm.DepreciationMonths,$C124&lt;=CC$8),$E124/_xlpm.DepreciationMonths,0))</f>
        <v>0</v>
      </c>
    </row>
    <row r="125" spans="3:81" hidden="1" outlineLevel="2">
      <c r="C125" s="664">
        <f t="shared" si="167"/>
        <v>46142</v>
      </c>
      <c r="D125" s="508"/>
      <c r="E125" s="508" cm="1">
        <f t="array" ref="E125">SUMPRODUCT(($AH$26:$CC$31)*($AH$5:$CC$5=$C125)*($E$26:$E$31=E$84))-SUMPRODUCT(($AH$26:$CC$31)*($AH$5:$CC$5=EOMONTH($C125,-1))*($E$26:$E$31=E$84))</f>
        <v>0</v>
      </c>
      <c r="F125" s="508"/>
      <c r="G125" s="508"/>
      <c r="H125" s="508"/>
      <c r="I125" s="508"/>
      <c r="J125" s="504">
        <f t="shared" si="164"/>
        <v>0</v>
      </c>
      <c r="K125" s="504">
        <f t="shared" si="172"/>
        <v>0</v>
      </c>
      <c r="L125" s="504">
        <f t="shared" si="172"/>
        <v>0</v>
      </c>
      <c r="M125" s="504">
        <f t="shared" si="172"/>
        <v>0</v>
      </c>
      <c r="N125" s="504"/>
      <c r="O125" s="504"/>
      <c r="P125" s="504">
        <f t="shared" si="173"/>
        <v>0</v>
      </c>
      <c r="Q125" s="504">
        <f t="shared" si="173"/>
        <v>0</v>
      </c>
      <c r="R125" s="504">
        <f t="shared" si="173"/>
        <v>0</v>
      </c>
      <c r="S125" s="504">
        <f t="shared" si="173"/>
        <v>0</v>
      </c>
      <c r="T125" s="504">
        <f t="shared" si="173"/>
        <v>0</v>
      </c>
      <c r="U125" s="504">
        <f t="shared" si="173"/>
        <v>0</v>
      </c>
      <c r="V125" s="504">
        <f t="shared" si="173"/>
        <v>0</v>
      </c>
      <c r="W125" s="504">
        <f t="shared" si="173"/>
        <v>0</v>
      </c>
      <c r="X125" s="504">
        <f t="shared" si="173"/>
        <v>0</v>
      </c>
      <c r="Y125" s="504">
        <f t="shared" si="173"/>
        <v>0</v>
      </c>
      <c r="Z125" s="504">
        <f t="shared" si="173"/>
        <v>0</v>
      </c>
      <c r="AA125" s="504">
        <f t="shared" si="173"/>
        <v>0</v>
      </c>
      <c r="AB125" s="504">
        <f t="shared" si="173"/>
        <v>0</v>
      </c>
      <c r="AC125" s="504">
        <f t="shared" si="173"/>
        <v>0</v>
      </c>
      <c r="AD125" s="504">
        <f t="shared" si="173"/>
        <v>0</v>
      </c>
      <c r="AE125" s="504">
        <f t="shared" si="173"/>
        <v>0</v>
      </c>
      <c r="AF125" s="508"/>
      <c r="AG125" s="508"/>
      <c r="AH125" s="507" cm="1">
        <f t="array" ref="AH125">_xlfn.LET(_xlpm.DepreciationMonths,INDEX(FixedAssets[Depreciation
/ Amortization Months],_xlfn.XMATCH($E$84,FixedAssets[Asset ID])),IF(AND((_xlfn.XMATCH(AH$8,$AH$8:$CC$8))-_xlfn.XMATCH($C125,$C$35:$C$82)+1&lt;=_xlpm.DepreciationMonths,$C125&lt;=AH$8),$E125/_xlpm.DepreciationMonths,0))</f>
        <v>0</v>
      </c>
      <c r="AI125" s="507" cm="1">
        <f t="array" ref="AI125">_xlfn.LET(_xlpm.DepreciationMonths,INDEX(FixedAssets[Depreciation
/ Amortization Months],_xlfn.XMATCH($E$84,FixedAssets[Asset ID])),IF(AND((_xlfn.XMATCH(AI$8,$AH$8:$CC$8))-_xlfn.XMATCH($C125,$C$35:$C$82)+1&lt;=_xlpm.DepreciationMonths,$C125&lt;=AI$8),$E125/_xlpm.DepreciationMonths,0))</f>
        <v>0</v>
      </c>
      <c r="AJ125" s="507" cm="1">
        <f t="array" ref="AJ125">_xlfn.LET(_xlpm.DepreciationMonths,INDEX(FixedAssets[Depreciation
/ Amortization Months],_xlfn.XMATCH($E$84,FixedAssets[Asset ID])),IF(AND((_xlfn.XMATCH(AJ$8,$AH$8:$CC$8))-_xlfn.XMATCH($C125,$C$35:$C$82)+1&lt;=_xlpm.DepreciationMonths,$C125&lt;=AJ$8),$E125/_xlpm.DepreciationMonths,0))</f>
        <v>0</v>
      </c>
      <c r="AK125" s="507" cm="1">
        <f t="array" ref="AK125">_xlfn.LET(_xlpm.DepreciationMonths,INDEX(FixedAssets[Depreciation
/ Amortization Months],_xlfn.XMATCH($E$84,FixedAssets[Asset ID])),IF(AND((_xlfn.XMATCH(AK$8,$AH$8:$CC$8))-_xlfn.XMATCH($C125,$C$35:$C$82)+1&lt;=_xlpm.DepreciationMonths,$C125&lt;=AK$8),$E125/_xlpm.DepreciationMonths,0))</f>
        <v>0</v>
      </c>
      <c r="AL125" s="507" cm="1">
        <f t="array" ref="AL125">_xlfn.LET(_xlpm.DepreciationMonths,INDEX(FixedAssets[Depreciation
/ Amortization Months],_xlfn.XMATCH($E$84,FixedAssets[Asset ID])),IF(AND((_xlfn.XMATCH(AL$8,$AH$8:$CC$8))-_xlfn.XMATCH($C125,$C$35:$C$82)+1&lt;=_xlpm.DepreciationMonths,$C125&lt;=AL$8),$E125/_xlpm.DepreciationMonths,0))</f>
        <v>0</v>
      </c>
      <c r="AM125" s="507" cm="1">
        <f t="array" ref="AM125">_xlfn.LET(_xlpm.DepreciationMonths,INDEX(FixedAssets[Depreciation
/ Amortization Months],_xlfn.XMATCH($E$84,FixedAssets[Asset ID])),IF(AND((_xlfn.XMATCH(AM$8,$AH$8:$CC$8))-_xlfn.XMATCH($C125,$C$35:$C$82)+1&lt;=_xlpm.DepreciationMonths,$C125&lt;=AM$8),$E125/_xlpm.DepreciationMonths,0))</f>
        <v>0</v>
      </c>
      <c r="AN125" s="507" cm="1">
        <f t="array" ref="AN125">_xlfn.LET(_xlpm.DepreciationMonths,INDEX(FixedAssets[Depreciation
/ Amortization Months],_xlfn.XMATCH($E$84,FixedAssets[Asset ID])),IF(AND((_xlfn.XMATCH(AN$8,$AH$8:$CC$8))-_xlfn.XMATCH($C125,$C$35:$C$82)+1&lt;=_xlpm.DepreciationMonths,$C125&lt;=AN$8),$E125/_xlpm.DepreciationMonths,0))</f>
        <v>0</v>
      </c>
      <c r="AO125" s="507" cm="1">
        <f t="array" ref="AO125">_xlfn.LET(_xlpm.DepreciationMonths,INDEX(FixedAssets[Depreciation
/ Amortization Months],_xlfn.XMATCH($E$84,FixedAssets[Asset ID])),IF(AND((_xlfn.XMATCH(AO$8,$AH$8:$CC$8))-_xlfn.XMATCH($C125,$C$35:$C$82)+1&lt;=_xlpm.DepreciationMonths,$C125&lt;=AO$8),$E125/_xlpm.DepreciationMonths,0))</f>
        <v>0</v>
      </c>
      <c r="AP125" s="507" cm="1">
        <f t="array" ref="AP125">_xlfn.LET(_xlpm.DepreciationMonths,INDEX(FixedAssets[Depreciation
/ Amortization Months],_xlfn.XMATCH($E$84,FixedAssets[Asset ID])),IF(AND((_xlfn.XMATCH(AP$8,$AH$8:$CC$8))-_xlfn.XMATCH($C125,$C$35:$C$82)+1&lt;=_xlpm.DepreciationMonths,$C125&lt;=AP$8),$E125/_xlpm.DepreciationMonths,0))</f>
        <v>0</v>
      </c>
      <c r="AQ125" s="507" cm="1">
        <f t="array" ref="AQ125">_xlfn.LET(_xlpm.DepreciationMonths,INDEX(FixedAssets[Depreciation
/ Amortization Months],_xlfn.XMATCH($E$84,FixedAssets[Asset ID])),IF(AND((_xlfn.XMATCH(AQ$8,$AH$8:$CC$8))-_xlfn.XMATCH($C125,$C$35:$C$82)+1&lt;=_xlpm.DepreciationMonths,$C125&lt;=AQ$8),$E125/_xlpm.DepreciationMonths,0))</f>
        <v>0</v>
      </c>
      <c r="AR125" s="507" cm="1">
        <f t="array" ref="AR125">_xlfn.LET(_xlpm.DepreciationMonths,INDEX(FixedAssets[Depreciation
/ Amortization Months],_xlfn.XMATCH($E$84,FixedAssets[Asset ID])),IF(AND((_xlfn.XMATCH(AR$8,$AH$8:$CC$8))-_xlfn.XMATCH($C125,$C$35:$C$82)+1&lt;=_xlpm.DepreciationMonths,$C125&lt;=AR$8),$E125/_xlpm.DepreciationMonths,0))</f>
        <v>0</v>
      </c>
      <c r="AS125" s="507" cm="1">
        <f t="array" ref="AS125">_xlfn.LET(_xlpm.DepreciationMonths,INDEX(FixedAssets[Depreciation
/ Amortization Months],_xlfn.XMATCH($E$84,FixedAssets[Asset ID])),IF(AND((_xlfn.XMATCH(AS$8,$AH$8:$CC$8))-_xlfn.XMATCH($C125,$C$35:$C$82)+1&lt;=_xlpm.DepreciationMonths,$C125&lt;=AS$8),$E125/_xlpm.DepreciationMonths,0))</f>
        <v>0</v>
      </c>
      <c r="AT125" s="507" cm="1">
        <f t="array" ref="AT125">_xlfn.LET(_xlpm.DepreciationMonths,INDEX(FixedAssets[Depreciation
/ Amortization Months],_xlfn.XMATCH($E$84,FixedAssets[Asset ID])),IF(AND((_xlfn.XMATCH(AT$8,$AH$8:$CC$8))-_xlfn.XMATCH($C125,$C$35:$C$82)+1&lt;=_xlpm.DepreciationMonths,$C125&lt;=AT$8),$E125/_xlpm.DepreciationMonths,0))</f>
        <v>0</v>
      </c>
      <c r="AU125" s="507" cm="1">
        <f t="array" ref="AU125">_xlfn.LET(_xlpm.DepreciationMonths,INDEX(FixedAssets[Depreciation
/ Amortization Months],_xlfn.XMATCH($E$84,FixedAssets[Asset ID])),IF(AND((_xlfn.XMATCH(AU$8,$AH$8:$CC$8))-_xlfn.XMATCH($C125,$C$35:$C$82)+1&lt;=_xlpm.DepreciationMonths,$C125&lt;=AU$8),$E125/_xlpm.DepreciationMonths,0))</f>
        <v>0</v>
      </c>
      <c r="AV125" s="507" cm="1">
        <f t="array" ref="AV125">_xlfn.LET(_xlpm.DepreciationMonths,INDEX(FixedAssets[Depreciation
/ Amortization Months],_xlfn.XMATCH($E$84,FixedAssets[Asset ID])),IF(AND((_xlfn.XMATCH(AV$8,$AH$8:$CC$8))-_xlfn.XMATCH($C125,$C$35:$C$82)+1&lt;=_xlpm.DepreciationMonths,$C125&lt;=AV$8),$E125/_xlpm.DepreciationMonths,0))</f>
        <v>0</v>
      </c>
      <c r="AW125" s="507" cm="1">
        <f t="array" ref="AW125">_xlfn.LET(_xlpm.DepreciationMonths,INDEX(FixedAssets[Depreciation
/ Amortization Months],_xlfn.XMATCH($E$84,FixedAssets[Asset ID])),IF(AND((_xlfn.XMATCH(AW$8,$AH$8:$CC$8))-_xlfn.XMATCH($C125,$C$35:$C$82)+1&lt;=_xlpm.DepreciationMonths,$C125&lt;=AW$8),$E125/_xlpm.DepreciationMonths,0))</f>
        <v>0</v>
      </c>
      <c r="AX125" s="507" cm="1">
        <f t="array" ref="AX125">_xlfn.LET(_xlpm.DepreciationMonths,INDEX(FixedAssets[Depreciation
/ Amortization Months],_xlfn.XMATCH($E$84,FixedAssets[Asset ID])),IF(AND((_xlfn.XMATCH(AX$8,$AH$8:$CC$8))-_xlfn.XMATCH($C125,$C$35:$C$82)+1&lt;=_xlpm.DepreciationMonths,$C125&lt;=AX$8),$E125/_xlpm.DepreciationMonths,0))</f>
        <v>0</v>
      </c>
      <c r="AY125" s="507" cm="1">
        <f t="array" ref="AY125">_xlfn.LET(_xlpm.DepreciationMonths,INDEX(FixedAssets[Depreciation
/ Amortization Months],_xlfn.XMATCH($E$84,FixedAssets[Asset ID])),IF(AND((_xlfn.XMATCH(AY$8,$AH$8:$CC$8))-_xlfn.XMATCH($C125,$C$35:$C$82)+1&lt;=_xlpm.DepreciationMonths,$C125&lt;=AY$8),$E125/_xlpm.DepreciationMonths,0))</f>
        <v>0</v>
      </c>
      <c r="AZ125" s="507" cm="1">
        <f t="array" ref="AZ125">_xlfn.LET(_xlpm.DepreciationMonths,INDEX(FixedAssets[Depreciation
/ Amortization Months],_xlfn.XMATCH($E$84,FixedAssets[Asset ID])),IF(AND((_xlfn.XMATCH(AZ$8,$AH$8:$CC$8))-_xlfn.XMATCH($C125,$C$35:$C$82)+1&lt;=_xlpm.DepreciationMonths,$C125&lt;=AZ$8),$E125/_xlpm.DepreciationMonths,0))</f>
        <v>0</v>
      </c>
      <c r="BA125" s="507" cm="1">
        <f t="array" ref="BA125">_xlfn.LET(_xlpm.DepreciationMonths,INDEX(FixedAssets[Depreciation
/ Amortization Months],_xlfn.XMATCH($E$84,FixedAssets[Asset ID])),IF(AND((_xlfn.XMATCH(BA$8,$AH$8:$CC$8))-_xlfn.XMATCH($C125,$C$35:$C$82)+1&lt;=_xlpm.DepreciationMonths,$C125&lt;=BA$8),$E125/_xlpm.DepreciationMonths,0))</f>
        <v>0</v>
      </c>
      <c r="BB125" s="507" cm="1">
        <f t="array" ref="BB125">_xlfn.LET(_xlpm.DepreciationMonths,INDEX(FixedAssets[Depreciation
/ Amortization Months],_xlfn.XMATCH($E$84,FixedAssets[Asset ID])),IF(AND((_xlfn.XMATCH(BB$8,$AH$8:$CC$8))-_xlfn.XMATCH($C125,$C$35:$C$82)+1&lt;=_xlpm.DepreciationMonths,$C125&lt;=BB$8),$E125/_xlpm.DepreciationMonths,0))</f>
        <v>0</v>
      </c>
      <c r="BC125" s="507" cm="1">
        <f t="array" ref="BC125">_xlfn.LET(_xlpm.DepreciationMonths,INDEX(FixedAssets[Depreciation
/ Amortization Months],_xlfn.XMATCH($E$84,FixedAssets[Asset ID])),IF(AND((_xlfn.XMATCH(BC$8,$AH$8:$CC$8))-_xlfn.XMATCH($C125,$C$35:$C$82)+1&lt;=_xlpm.DepreciationMonths,$C125&lt;=BC$8),$E125/_xlpm.DepreciationMonths,0))</f>
        <v>0</v>
      </c>
      <c r="BD125" s="507" cm="1">
        <f t="array" ref="BD125">_xlfn.LET(_xlpm.DepreciationMonths,INDEX(FixedAssets[Depreciation
/ Amortization Months],_xlfn.XMATCH($E$84,FixedAssets[Asset ID])),IF(AND((_xlfn.XMATCH(BD$8,$AH$8:$CC$8))-_xlfn.XMATCH($C125,$C$35:$C$82)+1&lt;=_xlpm.DepreciationMonths,$C125&lt;=BD$8),$E125/_xlpm.DepreciationMonths,0))</f>
        <v>0</v>
      </c>
      <c r="BE125" s="507" cm="1">
        <f t="array" ref="BE125">_xlfn.LET(_xlpm.DepreciationMonths,INDEX(FixedAssets[Depreciation
/ Amortization Months],_xlfn.XMATCH($E$84,FixedAssets[Asset ID])),IF(AND((_xlfn.XMATCH(BE$8,$AH$8:$CC$8))-_xlfn.XMATCH($C125,$C$35:$C$82)+1&lt;=_xlpm.DepreciationMonths,$C125&lt;=BE$8),$E125/_xlpm.DepreciationMonths,0))</f>
        <v>0</v>
      </c>
      <c r="BF125" s="507" cm="1">
        <f t="array" ref="BF125">_xlfn.LET(_xlpm.DepreciationMonths,INDEX(FixedAssets[Depreciation
/ Amortization Months],_xlfn.XMATCH($E$84,FixedAssets[Asset ID])),IF(AND((_xlfn.XMATCH(BF$8,$AH$8:$CC$8))-_xlfn.XMATCH($C125,$C$35:$C$82)+1&lt;=_xlpm.DepreciationMonths,$C125&lt;=BF$8),$E125/_xlpm.DepreciationMonths,0))</f>
        <v>0</v>
      </c>
      <c r="BG125" s="507" cm="1">
        <f t="array" ref="BG125">_xlfn.LET(_xlpm.DepreciationMonths,INDEX(FixedAssets[Depreciation
/ Amortization Months],_xlfn.XMATCH($E$84,FixedAssets[Asset ID])),IF(AND((_xlfn.XMATCH(BG$8,$AH$8:$CC$8))-_xlfn.XMATCH($C125,$C$35:$C$82)+1&lt;=_xlpm.DepreciationMonths,$C125&lt;=BG$8),$E125/_xlpm.DepreciationMonths,0))</f>
        <v>0</v>
      </c>
      <c r="BH125" s="507" cm="1">
        <f t="array" ref="BH125">_xlfn.LET(_xlpm.DepreciationMonths,INDEX(FixedAssets[Depreciation
/ Amortization Months],_xlfn.XMATCH($E$84,FixedAssets[Asset ID])),IF(AND((_xlfn.XMATCH(BH$8,$AH$8:$CC$8))-_xlfn.XMATCH($C125,$C$35:$C$82)+1&lt;=_xlpm.DepreciationMonths,$C125&lt;=BH$8),$E125/_xlpm.DepreciationMonths,0))</f>
        <v>0</v>
      </c>
      <c r="BI125" s="507" cm="1">
        <f t="array" ref="BI125">_xlfn.LET(_xlpm.DepreciationMonths,INDEX(FixedAssets[Depreciation
/ Amortization Months],_xlfn.XMATCH($E$84,FixedAssets[Asset ID])),IF(AND((_xlfn.XMATCH(BI$8,$AH$8:$CC$8))-_xlfn.XMATCH($C125,$C$35:$C$82)+1&lt;=_xlpm.DepreciationMonths,$C125&lt;=BI$8),$E125/_xlpm.DepreciationMonths,0))</f>
        <v>0</v>
      </c>
      <c r="BJ125" s="507" cm="1">
        <f t="array" ref="BJ125">_xlfn.LET(_xlpm.DepreciationMonths,INDEX(FixedAssets[Depreciation
/ Amortization Months],_xlfn.XMATCH($E$84,FixedAssets[Asset ID])),IF(AND((_xlfn.XMATCH(BJ$8,$AH$8:$CC$8))-_xlfn.XMATCH($C125,$C$35:$C$82)+1&lt;=_xlpm.DepreciationMonths,$C125&lt;=BJ$8),$E125/_xlpm.DepreciationMonths,0))</f>
        <v>0</v>
      </c>
      <c r="BK125" s="507" cm="1">
        <f t="array" ref="BK125">_xlfn.LET(_xlpm.DepreciationMonths,INDEX(FixedAssets[Depreciation
/ Amortization Months],_xlfn.XMATCH($E$84,FixedAssets[Asset ID])),IF(AND((_xlfn.XMATCH(BK$8,$AH$8:$CC$8))-_xlfn.XMATCH($C125,$C$35:$C$82)+1&lt;=_xlpm.DepreciationMonths,$C125&lt;=BK$8),$E125/_xlpm.DepreciationMonths,0))</f>
        <v>0</v>
      </c>
      <c r="BL125" s="507" cm="1">
        <f t="array" ref="BL125">_xlfn.LET(_xlpm.DepreciationMonths,INDEX(FixedAssets[Depreciation
/ Amortization Months],_xlfn.XMATCH($E$84,FixedAssets[Asset ID])),IF(AND((_xlfn.XMATCH(BL$8,$AH$8:$CC$8))-_xlfn.XMATCH($C125,$C$35:$C$82)+1&lt;=_xlpm.DepreciationMonths,$C125&lt;=BL$8),$E125/_xlpm.DepreciationMonths,0))</f>
        <v>0</v>
      </c>
      <c r="BM125" s="507" cm="1">
        <f t="array" ref="BM125">_xlfn.LET(_xlpm.DepreciationMonths,INDEX(FixedAssets[Depreciation
/ Amortization Months],_xlfn.XMATCH($E$84,FixedAssets[Asset ID])),IF(AND((_xlfn.XMATCH(BM$8,$AH$8:$CC$8))-_xlfn.XMATCH($C125,$C$35:$C$82)+1&lt;=_xlpm.DepreciationMonths,$C125&lt;=BM$8),$E125/_xlpm.DepreciationMonths,0))</f>
        <v>0</v>
      </c>
      <c r="BN125" s="507" cm="1">
        <f t="array" ref="BN125">_xlfn.LET(_xlpm.DepreciationMonths,INDEX(FixedAssets[Depreciation
/ Amortization Months],_xlfn.XMATCH($E$84,FixedAssets[Asset ID])),IF(AND((_xlfn.XMATCH(BN$8,$AH$8:$CC$8))-_xlfn.XMATCH($C125,$C$35:$C$82)+1&lt;=_xlpm.DepreciationMonths,$C125&lt;=BN$8),$E125/_xlpm.DepreciationMonths,0))</f>
        <v>0</v>
      </c>
      <c r="BO125" s="507" cm="1">
        <f t="array" ref="BO125">_xlfn.LET(_xlpm.DepreciationMonths,INDEX(FixedAssets[Depreciation
/ Amortization Months],_xlfn.XMATCH($E$84,FixedAssets[Asset ID])),IF(AND((_xlfn.XMATCH(BO$8,$AH$8:$CC$8))-_xlfn.XMATCH($C125,$C$35:$C$82)+1&lt;=_xlpm.DepreciationMonths,$C125&lt;=BO$8),$E125/_xlpm.DepreciationMonths,0))</f>
        <v>0</v>
      </c>
      <c r="BP125" s="507" cm="1">
        <f t="array" ref="BP125">_xlfn.LET(_xlpm.DepreciationMonths,INDEX(FixedAssets[Depreciation
/ Amortization Months],_xlfn.XMATCH($E$84,FixedAssets[Asset ID])),IF(AND((_xlfn.XMATCH(BP$8,$AH$8:$CC$8))-_xlfn.XMATCH($C125,$C$35:$C$82)+1&lt;=_xlpm.DepreciationMonths,$C125&lt;=BP$8),$E125/_xlpm.DepreciationMonths,0))</f>
        <v>0</v>
      </c>
      <c r="BQ125" s="507" cm="1">
        <f t="array" ref="BQ125">_xlfn.LET(_xlpm.DepreciationMonths,INDEX(FixedAssets[Depreciation
/ Amortization Months],_xlfn.XMATCH($E$84,FixedAssets[Asset ID])),IF(AND((_xlfn.XMATCH(BQ$8,$AH$8:$CC$8))-_xlfn.XMATCH($C125,$C$35:$C$82)+1&lt;=_xlpm.DepreciationMonths,$C125&lt;=BQ$8),$E125/_xlpm.DepreciationMonths,0))</f>
        <v>0</v>
      </c>
      <c r="BR125" s="507" cm="1">
        <f t="array" ref="BR125">_xlfn.LET(_xlpm.DepreciationMonths,INDEX(FixedAssets[Depreciation
/ Amortization Months],_xlfn.XMATCH($E$84,FixedAssets[Asset ID])),IF(AND((_xlfn.XMATCH(BR$8,$AH$8:$CC$8))-_xlfn.XMATCH($C125,$C$35:$C$82)+1&lt;=_xlpm.DepreciationMonths,$C125&lt;=BR$8),$E125/_xlpm.DepreciationMonths,0))</f>
        <v>0</v>
      </c>
      <c r="BS125" s="507" cm="1">
        <f t="array" ref="BS125">_xlfn.LET(_xlpm.DepreciationMonths,INDEX(FixedAssets[Depreciation
/ Amortization Months],_xlfn.XMATCH($E$84,FixedAssets[Asset ID])),IF(AND((_xlfn.XMATCH(BS$8,$AH$8:$CC$8))-_xlfn.XMATCH($C125,$C$35:$C$82)+1&lt;=_xlpm.DepreciationMonths,$C125&lt;=BS$8),$E125/_xlpm.DepreciationMonths,0))</f>
        <v>0</v>
      </c>
      <c r="BT125" s="507" cm="1">
        <f t="array" ref="BT125">_xlfn.LET(_xlpm.DepreciationMonths,INDEX(FixedAssets[Depreciation
/ Amortization Months],_xlfn.XMATCH($E$84,FixedAssets[Asset ID])),IF(AND((_xlfn.XMATCH(BT$8,$AH$8:$CC$8))-_xlfn.XMATCH($C125,$C$35:$C$82)+1&lt;=_xlpm.DepreciationMonths,$C125&lt;=BT$8),$E125/_xlpm.DepreciationMonths,0))</f>
        <v>0</v>
      </c>
      <c r="BU125" s="507" cm="1">
        <f t="array" ref="BU125">_xlfn.LET(_xlpm.DepreciationMonths,INDEX(FixedAssets[Depreciation
/ Amortization Months],_xlfn.XMATCH($E$84,FixedAssets[Asset ID])),IF(AND((_xlfn.XMATCH(BU$8,$AH$8:$CC$8))-_xlfn.XMATCH($C125,$C$35:$C$82)+1&lt;=_xlpm.DepreciationMonths,$C125&lt;=BU$8),$E125/_xlpm.DepreciationMonths,0))</f>
        <v>0</v>
      </c>
      <c r="BV125" s="507" cm="1">
        <f t="array" ref="BV125">_xlfn.LET(_xlpm.DepreciationMonths,INDEX(FixedAssets[Depreciation
/ Amortization Months],_xlfn.XMATCH($E$84,FixedAssets[Asset ID])),IF(AND((_xlfn.XMATCH(BV$8,$AH$8:$CC$8))-_xlfn.XMATCH($C125,$C$35:$C$82)+1&lt;=_xlpm.DepreciationMonths,$C125&lt;=BV$8),$E125/_xlpm.DepreciationMonths,0))</f>
        <v>0</v>
      </c>
      <c r="BW125" s="507" cm="1">
        <f t="array" ref="BW125">_xlfn.LET(_xlpm.DepreciationMonths,INDEX(FixedAssets[Depreciation
/ Amortization Months],_xlfn.XMATCH($E$84,FixedAssets[Asset ID])),IF(AND((_xlfn.XMATCH(BW$8,$AH$8:$CC$8))-_xlfn.XMATCH($C125,$C$35:$C$82)+1&lt;=_xlpm.DepreciationMonths,$C125&lt;=BW$8),$E125/_xlpm.DepreciationMonths,0))</f>
        <v>0</v>
      </c>
      <c r="BX125" s="507" cm="1">
        <f t="array" ref="BX125">_xlfn.LET(_xlpm.DepreciationMonths,INDEX(FixedAssets[Depreciation
/ Amortization Months],_xlfn.XMATCH($E$84,FixedAssets[Asset ID])),IF(AND((_xlfn.XMATCH(BX$8,$AH$8:$CC$8))-_xlfn.XMATCH($C125,$C$35:$C$82)+1&lt;=_xlpm.DepreciationMonths,$C125&lt;=BX$8),$E125/_xlpm.DepreciationMonths,0))</f>
        <v>0</v>
      </c>
      <c r="BY125" s="507" cm="1">
        <f t="array" ref="BY125">_xlfn.LET(_xlpm.DepreciationMonths,INDEX(FixedAssets[Depreciation
/ Amortization Months],_xlfn.XMATCH($E$84,FixedAssets[Asset ID])),IF(AND((_xlfn.XMATCH(BY$8,$AH$8:$CC$8))-_xlfn.XMATCH($C125,$C$35:$C$82)+1&lt;=_xlpm.DepreciationMonths,$C125&lt;=BY$8),$E125/_xlpm.DepreciationMonths,0))</f>
        <v>0</v>
      </c>
      <c r="BZ125" s="507" cm="1">
        <f t="array" ref="BZ125">_xlfn.LET(_xlpm.DepreciationMonths,INDEX(FixedAssets[Depreciation
/ Amortization Months],_xlfn.XMATCH($E$84,FixedAssets[Asset ID])),IF(AND((_xlfn.XMATCH(BZ$8,$AH$8:$CC$8))-_xlfn.XMATCH($C125,$C$35:$C$82)+1&lt;=_xlpm.DepreciationMonths,$C125&lt;=BZ$8),$E125/_xlpm.DepreciationMonths,0))</f>
        <v>0</v>
      </c>
      <c r="CA125" s="507" cm="1">
        <f t="array" ref="CA125">_xlfn.LET(_xlpm.DepreciationMonths,INDEX(FixedAssets[Depreciation
/ Amortization Months],_xlfn.XMATCH($E$84,FixedAssets[Asset ID])),IF(AND((_xlfn.XMATCH(CA$8,$AH$8:$CC$8))-_xlfn.XMATCH($C125,$C$35:$C$82)+1&lt;=_xlpm.DepreciationMonths,$C125&lt;=CA$8),$E125/_xlpm.DepreciationMonths,0))</f>
        <v>0</v>
      </c>
      <c r="CB125" s="507" cm="1">
        <f t="array" ref="CB125">_xlfn.LET(_xlpm.DepreciationMonths,INDEX(FixedAssets[Depreciation
/ Amortization Months],_xlfn.XMATCH($E$84,FixedAssets[Asset ID])),IF(AND((_xlfn.XMATCH(CB$8,$AH$8:$CC$8))-_xlfn.XMATCH($C125,$C$35:$C$82)+1&lt;=_xlpm.DepreciationMonths,$C125&lt;=CB$8),$E125/_xlpm.DepreciationMonths,0))</f>
        <v>0</v>
      </c>
      <c r="CC125" s="507" cm="1">
        <f t="array" ref="CC125">_xlfn.LET(_xlpm.DepreciationMonths,INDEX(FixedAssets[Depreciation
/ Amortization Months],_xlfn.XMATCH($E$84,FixedAssets[Asset ID])),IF(AND((_xlfn.XMATCH(CC$8,$AH$8:$CC$8))-_xlfn.XMATCH($C125,$C$35:$C$82)+1&lt;=_xlpm.DepreciationMonths,$C125&lt;=CC$8),$E125/_xlpm.DepreciationMonths,0))</f>
        <v>0</v>
      </c>
    </row>
    <row r="126" spans="3:81" hidden="1" outlineLevel="2">
      <c r="C126" s="664">
        <f t="shared" si="167"/>
        <v>46173</v>
      </c>
      <c r="D126" s="508"/>
      <c r="E126" s="508" cm="1">
        <f t="array" ref="E126">SUMPRODUCT(($AH$26:$CC$31)*($AH$5:$CC$5=$C126)*($E$26:$E$31=E$84))-SUMPRODUCT(($AH$26:$CC$31)*($AH$5:$CC$5=EOMONTH($C126,-1))*($E$26:$E$31=E$84))</f>
        <v>15000</v>
      </c>
      <c r="F126" s="508"/>
      <c r="G126" s="508"/>
      <c r="H126" s="508"/>
      <c r="I126" s="508"/>
      <c r="J126" s="504">
        <f t="shared" si="164"/>
        <v>0</v>
      </c>
      <c r="K126" s="504">
        <f t="shared" si="172"/>
        <v>0</v>
      </c>
      <c r="L126" s="504">
        <f t="shared" si="172"/>
        <v>0</v>
      </c>
      <c r="M126" s="504">
        <f t="shared" si="172"/>
        <v>3333.333333333333</v>
      </c>
      <c r="N126" s="504"/>
      <c r="O126" s="504"/>
      <c r="P126" s="504">
        <f t="shared" si="173"/>
        <v>0</v>
      </c>
      <c r="Q126" s="504">
        <f t="shared" si="173"/>
        <v>0</v>
      </c>
      <c r="R126" s="504">
        <f t="shared" si="173"/>
        <v>0</v>
      </c>
      <c r="S126" s="504">
        <f t="shared" si="173"/>
        <v>0</v>
      </c>
      <c r="T126" s="504">
        <f t="shared" si="173"/>
        <v>0</v>
      </c>
      <c r="U126" s="504">
        <f t="shared" si="173"/>
        <v>0</v>
      </c>
      <c r="V126" s="504">
        <f t="shared" si="173"/>
        <v>0</v>
      </c>
      <c r="W126" s="504">
        <f t="shared" si="173"/>
        <v>0</v>
      </c>
      <c r="X126" s="504">
        <f t="shared" si="173"/>
        <v>0</v>
      </c>
      <c r="Y126" s="504">
        <f t="shared" si="173"/>
        <v>0</v>
      </c>
      <c r="Z126" s="504">
        <f t="shared" si="173"/>
        <v>0</v>
      </c>
      <c r="AA126" s="504">
        <f t="shared" si="173"/>
        <v>0</v>
      </c>
      <c r="AB126" s="504">
        <f t="shared" si="173"/>
        <v>0</v>
      </c>
      <c r="AC126" s="504">
        <f t="shared" si="173"/>
        <v>833.33333333333337</v>
      </c>
      <c r="AD126" s="504">
        <f t="shared" si="173"/>
        <v>1250</v>
      </c>
      <c r="AE126" s="504">
        <f t="shared" si="173"/>
        <v>1250</v>
      </c>
      <c r="AF126" s="508"/>
      <c r="AG126" s="508"/>
      <c r="AH126" s="507" cm="1">
        <f t="array" ref="AH126">_xlfn.LET(_xlpm.DepreciationMonths,INDEX(FixedAssets[Depreciation
/ Amortization Months],_xlfn.XMATCH($E$84,FixedAssets[Asset ID])),IF(AND((_xlfn.XMATCH(AH$8,$AH$8:$CC$8))-_xlfn.XMATCH($C126,$C$35:$C$82)+1&lt;=_xlpm.DepreciationMonths,$C126&lt;=AH$8),$E126/_xlpm.DepreciationMonths,0))</f>
        <v>0</v>
      </c>
      <c r="AI126" s="507" cm="1">
        <f t="array" ref="AI126">_xlfn.LET(_xlpm.DepreciationMonths,INDEX(FixedAssets[Depreciation
/ Amortization Months],_xlfn.XMATCH($E$84,FixedAssets[Asset ID])),IF(AND((_xlfn.XMATCH(AI$8,$AH$8:$CC$8))-_xlfn.XMATCH($C126,$C$35:$C$82)+1&lt;=_xlpm.DepreciationMonths,$C126&lt;=AI$8),$E126/_xlpm.DepreciationMonths,0))</f>
        <v>0</v>
      </c>
      <c r="AJ126" s="507" cm="1">
        <f t="array" ref="AJ126">_xlfn.LET(_xlpm.DepreciationMonths,INDEX(FixedAssets[Depreciation
/ Amortization Months],_xlfn.XMATCH($E$84,FixedAssets[Asset ID])),IF(AND((_xlfn.XMATCH(AJ$8,$AH$8:$CC$8))-_xlfn.XMATCH($C126,$C$35:$C$82)+1&lt;=_xlpm.DepreciationMonths,$C126&lt;=AJ$8),$E126/_xlpm.DepreciationMonths,0))</f>
        <v>0</v>
      </c>
      <c r="AK126" s="507" cm="1">
        <f t="array" ref="AK126">_xlfn.LET(_xlpm.DepreciationMonths,INDEX(FixedAssets[Depreciation
/ Amortization Months],_xlfn.XMATCH($E$84,FixedAssets[Asset ID])),IF(AND((_xlfn.XMATCH(AK$8,$AH$8:$CC$8))-_xlfn.XMATCH($C126,$C$35:$C$82)+1&lt;=_xlpm.DepreciationMonths,$C126&lt;=AK$8),$E126/_xlpm.DepreciationMonths,0))</f>
        <v>0</v>
      </c>
      <c r="AL126" s="507" cm="1">
        <f t="array" ref="AL126">_xlfn.LET(_xlpm.DepreciationMonths,INDEX(FixedAssets[Depreciation
/ Amortization Months],_xlfn.XMATCH($E$84,FixedAssets[Asset ID])),IF(AND((_xlfn.XMATCH(AL$8,$AH$8:$CC$8))-_xlfn.XMATCH($C126,$C$35:$C$82)+1&lt;=_xlpm.DepreciationMonths,$C126&lt;=AL$8),$E126/_xlpm.DepreciationMonths,0))</f>
        <v>0</v>
      </c>
      <c r="AM126" s="507" cm="1">
        <f t="array" ref="AM126">_xlfn.LET(_xlpm.DepreciationMonths,INDEX(FixedAssets[Depreciation
/ Amortization Months],_xlfn.XMATCH($E$84,FixedAssets[Asset ID])),IF(AND((_xlfn.XMATCH(AM$8,$AH$8:$CC$8))-_xlfn.XMATCH($C126,$C$35:$C$82)+1&lt;=_xlpm.DepreciationMonths,$C126&lt;=AM$8),$E126/_xlpm.DepreciationMonths,0))</f>
        <v>0</v>
      </c>
      <c r="AN126" s="507" cm="1">
        <f t="array" ref="AN126">_xlfn.LET(_xlpm.DepreciationMonths,INDEX(FixedAssets[Depreciation
/ Amortization Months],_xlfn.XMATCH($E$84,FixedAssets[Asset ID])),IF(AND((_xlfn.XMATCH(AN$8,$AH$8:$CC$8))-_xlfn.XMATCH($C126,$C$35:$C$82)+1&lt;=_xlpm.DepreciationMonths,$C126&lt;=AN$8),$E126/_xlpm.DepreciationMonths,0))</f>
        <v>0</v>
      </c>
      <c r="AO126" s="507" cm="1">
        <f t="array" ref="AO126">_xlfn.LET(_xlpm.DepreciationMonths,INDEX(FixedAssets[Depreciation
/ Amortization Months],_xlfn.XMATCH($E$84,FixedAssets[Asset ID])),IF(AND((_xlfn.XMATCH(AO$8,$AH$8:$CC$8))-_xlfn.XMATCH($C126,$C$35:$C$82)+1&lt;=_xlpm.DepreciationMonths,$C126&lt;=AO$8),$E126/_xlpm.DepreciationMonths,0))</f>
        <v>0</v>
      </c>
      <c r="AP126" s="507" cm="1">
        <f t="array" ref="AP126">_xlfn.LET(_xlpm.DepreciationMonths,INDEX(FixedAssets[Depreciation
/ Amortization Months],_xlfn.XMATCH($E$84,FixedAssets[Asset ID])),IF(AND((_xlfn.XMATCH(AP$8,$AH$8:$CC$8))-_xlfn.XMATCH($C126,$C$35:$C$82)+1&lt;=_xlpm.DepreciationMonths,$C126&lt;=AP$8),$E126/_xlpm.DepreciationMonths,0))</f>
        <v>0</v>
      </c>
      <c r="AQ126" s="507" cm="1">
        <f t="array" ref="AQ126">_xlfn.LET(_xlpm.DepreciationMonths,INDEX(FixedAssets[Depreciation
/ Amortization Months],_xlfn.XMATCH($E$84,FixedAssets[Asset ID])),IF(AND((_xlfn.XMATCH(AQ$8,$AH$8:$CC$8))-_xlfn.XMATCH($C126,$C$35:$C$82)+1&lt;=_xlpm.DepreciationMonths,$C126&lt;=AQ$8),$E126/_xlpm.DepreciationMonths,0))</f>
        <v>0</v>
      </c>
      <c r="AR126" s="507" cm="1">
        <f t="array" ref="AR126">_xlfn.LET(_xlpm.DepreciationMonths,INDEX(FixedAssets[Depreciation
/ Amortization Months],_xlfn.XMATCH($E$84,FixedAssets[Asset ID])),IF(AND((_xlfn.XMATCH(AR$8,$AH$8:$CC$8))-_xlfn.XMATCH($C126,$C$35:$C$82)+1&lt;=_xlpm.DepreciationMonths,$C126&lt;=AR$8),$E126/_xlpm.DepreciationMonths,0))</f>
        <v>0</v>
      </c>
      <c r="AS126" s="507" cm="1">
        <f t="array" ref="AS126">_xlfn.LET(_xlpm.DepreciationMonths,INDEX(FixedAssets[Depreciation
/ Amortization Months],_xlfn.XMATCH($E$84,FixedAssets[Asset ID])),IF(AND((_xlfn.XMATCH(AS$8,$AH$8:$CC$8))-_xlfn.XMATCH($C126,$C$35:$C$82)+1&lt;=_xlpm.DepreciationMonths,$C126&lt;=AS$8),$E126/_xlpm.DepreciationMonths,0))</f>
        <v>0</v>
      </c>
      <c r="AT126" s="507" cm="1">
        <f t="array" ref="AT126">_xlfn.LET(_xlpm.DepreciationMonths,INDEX(FixedAssets[Depreciation
/ Amortization Months],_xlfn.XMATCH($E$84,FixedAssets[Asset ID])),IF(AND((_xlfn.XMATCH(AT$8,$AH$8:$CC$8))-_xlfn.XMATCH($C126,$C$35:$C$82)+1&lt;=_xlpm.DepreciationMonths,$C126&lt;=AT$8),$E126/_xlpm.DepreciationMonths,0))</f>
        <v>0</v>
      </c>
      <c r="AU126" s="507" cm="1">
        <f t="array" ref="AU126">_xlfn.LET(_xlpm.DepreciationMonths,INDEX(FixedAssets[Depreciation
/ Amortization Months],_xlfn.XMATCH($E$84,FixedAssets[Asset ID])),IF(AND((_xlfn.XMATCH(AU$8,$AH$8:$CC$8))-_xlfn.XMATCH($C126,$C$35:$C$82)+1&lt;=_xlpm.DepreciationMonths,$C126&lt;=AU$8),$E126/_xlpm.DepreciationMonths,0))</f>
        <v>0</v>
      </c>
      <c r="AV126" s="507" cm="1">
        <f t="array" ref="AV126">_xlfn.LET(_xlpm.DepreciationMonths,INDEX(FixedAssets[Depreciation
/ Amortization Months],_xlfn.XMATCH($E$84,FixedAssets[Asset ID])),IF(AND((_xlfn.XMATCH(AV$8,$AH$8:$CC$8))-_xlfn.XMATCH($C126,$C$35:$C$82)+1&lt;=_xlpm.DepreciationMonths,$C126&lt;=AV$8),$E126/_xlpm.DepreciationMonths,0))</f>
        <v>0</v>
      </c>
      <c r="AW126" s="507" cm="1">
        <f t="array" ref="AW126">_xlfn.LET(_xlpm.DepreciationMonths,INDEX(FixedAssets[Depreciation
/ Amortization Months],_xlfn.XMATCH($E$84,FixedAssets[Asset ID])),IF(AND((_xlfn.XMATCH(AW$8,$AH$8:$CC$8))-_xlfn.XMATCH($C126,$C$35:$C$82)+1&lt;=_xlpm.DepreciationMonths,$C126&lt;=AW$8),$E126/_xlpm.DepreciationMonths,0))</f>
        <v>0</v>
      </c>
      <c r="AX126" s="507" cm="1">
        <f t="array" ref="AX126">_xlfn.LET(_xlpm.DepreciationMonths,INDEX(FixedAssets[Depreciation
/ Amortization Months],_xlfn.XMATCH($E$84,FixedAssets[Asset ID])),IF(AND((_xlfn.XMATCH(AX$8,$AH$8:$CC$8))-_xlfn.XMATCH($C126,$C$35:$C$82)+1&lt;=_xlpm.DepreciationMonths,$C126&lt;=AX$8),$E126/_xlpm.DepreciationMonths,0))</f>
        <v>0</v>
      </c>
      <c r="AY126" s="507" cm="1">
        <f t="array" ref="AY126">_xlfn.LET(_xlpm.DepreciationMonths,INDEX(FixedAssets[Depreciation
/ Amortization Months],_xlfn.XMATCH($E$84,FixedAssets[Asset ID])),IF(AND((_xlfn.XMATCH(AY$8,$AH$8:$CC$8))-_xlfn.XMATCH($C126,$C$35:$C$82)+1&lt;=_xlpm.DepreciationMonths,$C126&lt;=AY$8),$E126/_xlpm.DepreciationMonths,0))</f>
        <v>0</v>
      </c>
      <c r="AZ126" s="507" cm="1">
        <f t="array" ref="AZ126">_xlfn.LET(_xlpm.DepreciationMonths,INDEX(FixedAssets[Depreciation
/ Amortization Months],_xlfn.XMATCH($E$84,FixedAssets[Asset ID])),IF(AND((_xlfn.XMATCH(AZ$8,$AH$8:$CC$8))-_xlfn.XMATCH($C126,$C$35:$C$82)+1&lt;=_xlpm.DepreciationMonths,$C126&lt;=AZ$8),$E126/_xlpm.DepreciationMonths,0))</f>
        <v>0</v>
      </c>
      <c r="BA126" s="507" cm="1">
        <f t="array" ref="BA126">_xlfn.LET(_xlpm.DepreciationMonths,INDEX(FixedAssets[Depreciation
/ Amortization Months],_xlfn.XMATCH($E$84,FixedAssets[Asset ID])),IF(AND((_xlfn.XMATCH(BA$8,$AH$8:$CC$8))-_xlfn.XMATCH($C126,$C$35:$C$82)+1&lt;=_xlpm.DepreciationMonths,$C126&lt;=BA$8),$E126/_xlpm.DepreciationMonths,0))</f>
        <v>0</v>
      </c>
      <c r="BB126" s="507" cm="1">
        <f t="array" ref="BB126">_xlfn.LET(_xlpm.DepreciationMonths,INDEX(FixedAssets[Depreciation
/ Amortization Months],_xlfn.XMATCH($E$84,FixedAssets[Asset ID])),IF(AND((_xlfn.XMATCH(BB$8,$AH$8:$CC$8))-_xlfn.XMATCH($C126,$C$35:$C$82)+1&lt;=_xlpm.DepreciationMonths,$C126&lt;=BB$8),$E126/_xlpm.DepreciationMonths,0))</f>
        <v>0</v>
      </c>
      <c r="BC126" s="507" cm="1">
        <f t="array" ref="BC126">_xlfn.LET(_xlpm.DepreciationMonths,INDEX(FixedAssets[Depreciation
/ Amortization Months],_xlfn.XMATCH($E$84,FixedAssets[Asset ID])),IF(AND((_xlfn.XMATCH(BC$8,$AH$8:$CC$8))-_xlfn.XMATCH($C126,$C$35:$C$82)+1&lt;=_xlpm.DepreciationMonths,$C126&lt;=BC$8),$E126/_xlpm.DepreciationMonths,0))</f>
        <v>0</v>
      </c>
      <c r="BD126" s="507" cm="1">
        <f t="array" ref="BD126">_xlfn.LET(_xlpm.DepreciationMonths,INDEX(FixedAssets[Depreciation
/ Amortization Months],_xlfn.XMATCH($E$84,FixedAssets[Asset ID])),IF(AND((_xlfn.XMATCH(BD$8,$AH$8:$CC$8))-_xlfn.XMATCH($C126,$C$35:$C$82)+1&lt;=_xlpm.DepreciationMonths,$C126&lt;=BD$8),$E126/_xlpm.DepreciationMonths,0))</f>
        <v>0</v>
      </c>
      <c r="BE126" s="507" cm="1">
        <f t="array" ref="BE126">_xlfn.LET(_xlpm.DepreciationMonths,INDEX(FixedAssets[Depreciation
/ Amortization Months],_xlfn.XMATCH($E$84,FixedAssets[Asset ID])),IF(AND((_xlfn.XMATCH(BE$8,$AH$8:$CC$8))-_xlfn.XMATCH($C126,$C$35:$C$82)+1&lt;=_xlpm.DepreciationMonths,$C126&lt;=BE$8),$E126/_xlpm.DepreciationMonths,0))</f>
        <v>0</v>
      </c>
      <c r="BF126" s="507" cm="1">
        <f t="array" ref="BF126">_xlfn.LET(_xlpm.DepreciationMonths,INDEX(FixedAssets[Depreciation
/ Amortization Months],_xlfn.XMATCH($E$84,FixedAssets[Asset ID])),IF(AND((_xlfn.XMATCH(BF$8,$AH$8:$CC$8))-_xlfn.XMATCH($C126,$C$35:$C$82)+1&lt;=_xlpm.DepreciationMonths,$C126&lt;=BF$8),$E126/_xlpm.DepreciationMonths,0))</f>
        <v>0</v>
      </c>
      <c r="BG126" s="507" cm="1">
        <f t="array" ref="BG126">_xlfn.LET(_xlpm.DepreciationMonths,INDEX(FixedAssets[Depreciation
/ Amortization Months],_xlfn.XMATCH($E$84,FixedAssets[Asset ID])),IF(AND((_xlfn.XMATCH(BG$8,$AH$8:$CC$8))-_xlfn.XMATCH($C126,$C$35:$C$82)+1&lt;=_xlpm.DepreciationMonths,$C126&lt;=BG$8),$E126/_xlpm.DepreciationMonths,0))</f>
        <v>0</v>
      </c>
      <c r="BH126" s="507" cm="1">
        <f t="array" ref="BH126">_xlfn.LET(_xlpm.DepreciationMonths,INDEX(FixedAssets[Depreciation
/ Amortization Months],_xlfn.XMATCH($E$84,FixedAssets[Asset ID])),IF(AND((_xlfn.XMATCH(BH$8,$AH$8:$CC$8))-_xlfn.XMATCH($C126,$C$35:$C$82)+1&lt;=_xlpm.DepreciationMonths,$C126&lt;=BH$8),$E126/_xlpm.DepreciationMonths,0))</f>
        <v>0</v>
      </c>
      <c r="BI126" s="507" cm="1">
        <f t="array" ref="BI126">_xlfn.LET(_xlpm.DepreciationMonths,INDEX(FixedAssets[Depreciation
/ Amortization Months],_xlfn.XMATCH($E$84,FixedAssets[Asset ID])),IF(AND((_xlfn.XMATCH(BI$8,$AH$8:$CC$8))-_xlfn.XMATCH($C126,$C$35:$C$82)+1&lt;=_xlpm.DepreciationMonths,$C126&lt;=BI$8),$E126/_xlpm.DepreciationMonths,0))</f>
        <v>0</v>
      </c>
      <c r="BJ126" s="507" cm="1">
        <f t="array" ref="BJ126">_xlfn.LET(_xlpm.DepreciationMonths,INDEX(FixedAssets[Depreciation
/ Amortization Months],_xlfn.XMATCH($E$84,FixedAssets[Asset ID])),IF(AND((_xlfn.XMATCH(BJ$8,$AH$8:$CC$8))-_xlfn.XMATCH($C126,$C$35:$C$82)+1&lt;=_xlpm.DepreciationMonths,$C126&lt;=BJ$8),$E126/_xlpm.DepreciationMonths,0))</f>
        <v>0</v>
      </c>
      <c r="BK126" s="507" cm="1">
        <f t="array" ref="BK126">_xlfn.LET(_xlpm.DepreciationMonths,INDEX(FixedAssets[Depreciation
/ Amortization Months],_xlfn.XMATCH($E$84,FixedAssets[Asset ID])),IF(AND((_xlfn.XMATCH(BK$8,$AH$8:$CC$8))-_xlfn.XMATCH($C126,$C$35:$C$82)+1&lt;=_xlpm.DepreciationMonths,$C126&lt;=BK$8),$E126/_xlpm.DepreciationMonths,0))</f>
        <v>0</v>
      </c>
      <c r="BL126" s="507" cm="1">
        <f t="array" ref="BL126">_xlfn.LET(_xlpm.DepreciationMonths,INDEX(FixedAssets[Depreciation
/ Amortization Months],_xlfn.XMATCH($E$84,FixedAssets[Asset ID])),IF(AND((_xlfn.XMATCH(BL$8,$AH$8:$CC$8))-_xlfn.XMATCH($C126,$C$35:$C$82)+1&lt;=_xlpm.DepreciationMonths,$C126&lt;=BL$8),$E126/_xlpm.DepreciationMonths,0))</f>
        <v>0</v>
      </c>
      <c r="BM126" s="507" cm="1">
        <f t="array" ref="BM126">_xlfn.LET(_xlpm.DepreciationMonths,INDEX(FixedAssets[Depreciation
/ Amortization Months],_xlfn.XMATCH($E$84,FixedAssets[Asset ID])),IF(AND((_xlfn.XMATCH(BM$8,$AH$8:$CC$8))-_xlfn.XMATCH($C126,$C$35:$C$82)+1&lt;=_xlpm.DepreciationMonths,$C126&lt;=BM$8),$E126/_xlpm.DepreciationMonths,0))</f>
        <v>0</v>
      </c>
      <c r="BN126" s="507" cm="1">
        <f t="array" ref="BN126">_xlfn.LET(_xlpm.DepreciationMonths,INDEX(FixedAssets[Depreciation
/ Amortization Months],_xlfn.XMATCH($E$84,FixedAssets[Asset ID])),IF(AND((_xlfn.XMATCH(BN$8,$AH$8:$CC$8))-_xlfn.XMATCH($C126,$C$35:$C$82)+1&lt;=_xlpm.DepreciationMonths,$C126&lt;=BN$8),$E126/_xlpm.DepreciationMonths,0))</f>
        <v>0</v>
      </c>
      <c r="BO126" s="507" cm="1">
        <f t="array" ref="BO126">_xlfn.LET(_xlpm.DepreciationMonths,INDEX(FixedAssets[Depreciation
/ Amortization Months],_xlfn.XMATCH($E$84,FixedAssets[Asset ID])),IF(AND((_xlfn.XMATCH(BO$8,$AH$8:$CC$8))-_xlfn.XMATCH($C126,$C$35:$C$82)+1&lt;=_xlpm.DepreciationMonths,$C126&lt;=BO$8),$E126/_xlpm.DepreciationMonths,0))</f>
        <v>0</v>
      </c>
      <c r="BP126" s="507" cm="1">
        <f t="array" ref="BP126">_xlfn.LET(_xlpm.DepreciationMonths,INDEX(FixedAssets[Depreciation
/ Amortization Months],_xlfn.XMATCH($E$84,FixedAssets[Asset ID])),IF(AND((_xlfn.XMATCH(BP$8,$AH$8:$CC$8))-_xlfn.XMATCH($C126,$C$35:$C$82)+1&lt;=_xlpm.DepreciationMonths,$C126&lt;=BP$8),$E126/_xlpm.DepreciationMonths,0))</f>
        <v>0</v>
      </c>
      <c r="BQ126" s="507" cm="1">
        <f t="array" ref="BQ126">_xlfn.LET(_xlpm.DepreciationMonths,INDEX(FixedAssets[Depreciation
/ Amortization Months],_xlfn.XMATCH($E$84,FixedAssets[Asset ID])),IF(AND((_xlfn.XMATCH(BQ$8,$AH$8:$CC$8))-_xlfn.XMATCH($C126,$C$35:$C$82)+1&lt;=_xlpm.DepreciationMonths,$C126&lt;=BQ$8),$E126/_xlpm.DepreciationMonths,0))</f>
        <v>0</v>
      </c>
      <c r="BR126" s="507" cm="1">
        <f t="array" ref="BR126">_xlfn.LET(_xlpm.DepreciationMonths,INDEX(FixedAssets[Depreciation
/ Amortization Months],_xlfn.XMATCH($E$84,FixedAssets[Asset ID])),IF(AND((_xlfn.XMATCH(BR$8,$AH$8:$CC$8))-_xlfn.XMATCH($C126,$C$35:$C$82)+1&lt;=_xlpm.DepreciationMonths,$C126&lt;=BR$8),$E126/_xlpm.DepreciationMonths,0))</f>
        <v>0</v>
      </c>
      <c r="BS126" s="507" cm="1">
        <f t="array" ref="BS126">_xlfn.LET(_xlpm.DepreciationMonths,INDEX(FixedAssets[Depreciation
/ Amortization Months],_xlfn.XMATCH($E$84,FixedAssets[Asset ID])),IF(AND((_xlfn.XMATCH(BS$8,$AH$8:$CC$8))-_xlfn.XMATCH($C126,$C$35:$C$82)+1&lt;=_xlpm.DepreciationMonths,$C126&lt;=BS$8),$E126/_xlpm.DepreciationMonths,0))</f>
        <v>0</v>
      </c>
      <c r="BT126" s="507" cm="1">
        <f t="array" ref="BT126">_xlfn.LET(_xlpm.DepreciationMonths,INDEX(FixedAssets[Depreciation
/ Amortization Months],_xlfn.XMATCH($E$84,FixedAssets[Asset ID])),IF(AND((_xlfn.XMATCH(BT$8,$AH$8:$CC$8))-_xlfn.XMATCH($C126,$C$35:$C$82)+1&lt;=_xlpm.DepreciationMonths,$C126&lt;=BT$8),$E126/_xlpm.DepreciationMonths,0))</f>
        <v>0</v>
      </c>
      <c r="BU126" s="507" cm="1">
        <f t="array" ref="BU126">_xlfn.LET(_xlpm.DepreciationMonths,INDEX(FixedAssets[Depreciation
/ Amortization Months],_xlfn.XMATCH($E$84,FixedAssets[Asset ID])),IF(AND((_xlfn.XMATCH(BU$8,$AH$8:$CC$8))-_xlfn.XMATCH($C126,$C$35:$C$82)+1&lt;=_xlpm.DepreciationMonths,$C126&lt;=BU$8),$E126/_xlpm.DepreciationMonths,0))</f>
        <v>0</v>
      </c>
      <c r="BV126" s="507" cm="1">
        <f t="array" ref="BV126">_xlfn.LET(_xlpm.DepreciationMonths,INDEX(FixedAssets[Depreciation
/ Amortization Months],_xlfn.XMATCH($E$84,FixedAssets[Asset ID])),IF(AND((_xlfn.XMATCH(BV$8,$AH$8:$CC$8))-_xlfn.XMATCH($C126,$C$35:$C$82)+1&lt;=_xlpm.DepreciationMonths,$C126&lt;=BV$8),$E126/_xlpm.DepreciationMonths,0))</f>
        <v>416.66666666666669</v>
      </c>
      <c r="BW126" s="507" cm="1">
        <f t="array" ref="BW126">_xlfn.LET(_xlpm.DepreciationMonths,INDEX(FixedAssets[Depreciation
/ Amortization Months],_xlfn.XMATCH($E$84,FixedAssets[Asset ID])),IF(AND((_xlfn.XMATCH(BW$8,$AH$8:$CC$8))-_xlfn.XMATCH($C126,$C$35:$C$82)+1&lt;=_xlpm.DepreciationMonths,$C126&lt;=BW$8),$E126/_xlpm.DepreciationMonths,0))</f>
        <v>416.66666666666669</v>
      </c>
      <c r="BX126" s="507" cm="1">
        <f t="array" ref="BX126">_xlfn.LET(_xlpm.DepreciationMonths,INDEX(FixedAssets[Depreciation
/ Amortization Months],_xlfn.XMATCH($E$84,FixedAssets[Asset ID])),IF(AND((_xlfn.XMATCH(BX$8,$AH$8:$CC$8))-_xlfn.XMATCH($C126,$C$35:$C$82)+1&lt;=_xlpm.DepreciationMonths,$C126&lt;=BX$8),$E126/_xlpm.DepreciationMonths,0))</f>
        <v>416.66666666666669</v>
      </c>
      <c r="BY126" s="507" cm="1">
        <f t="array" ref="BY126">_xlfn.LET(_xlpm.DepreciationMonths,INDEX(FixedAssets[Depreciation
/ Amortization Months],_xlfn.XMATCH($E$84,FixedAssets[Asset ID])),IF(AND((_xlfn.XMATCH(BY$8,$AH$8:$CC$8))-_xlfn.XMATCH($C126,$C$35:$C$82)+1&lt;=_xlpm.DepreciationMonths,$C126&lt;=BY$8),$E126/_xlpm.DepreciationMonths,0))</f>
        <v>416.66666666666669</v>
      </c>
      <c r="BZ126" s="507" cm="1">
        <f t="array" ref="BZ126">_xlfn.LET(_xlpm.DepreciationMonths,INDEX(FixedAssets[Depreciation
/ Amortization Months],_xlfn.XMATCH($E$84,FixedAssets[Asset ID])),IF(AND((_xlfn.XMATCH(BZ$8,$AH$8:$CC$8))-_xlfn.XMATCH($C126,$C$35:$C$82)+1&lt;=_xlpm.DepreciationMonths,$C126&lt;=BZ$8),$E126/_xlpm.DepreciationMonths,0))</f>
        <v>416.66666666666669</v>
      </c>
      <c r="CA126" s="507" cm="1">
        <f t="array" ref="CA126">_xlfn.LET(_xlpm.DepreciationMonths,INDEX(FixedAssets[Depreciation
/ Amortization Months],_xlfn.XMATCH($E$84,FixedAssets[Asset ID])),IF(AND((_xlfn.XMATCH(CA$8,$AH$8:$CC$8))-_xlfn.XMATCH($C126,$C$35:$C$82)+1&lt;=_xlpm.DepreciationMonths,$C126&lt;=CA$8),$E126/_xlpm.DepreciationMonths,0))</f>
        <v>416.66666666666669</v>
      </c>
      <c r="CB126" s="507" cm="1">
        <f t="array" ref="CB126">_xlfn.LET(_xlpm.DepreciationMonths,INDEX(FixedAssets[Depreciation
/ Amortization Months],_xlfn.XMATCH($E$84,FixedAssets[Asset ID])),IF(AND((_xlfn.XMATCH(CB$8,$AH$8:$CC$8))-_xlfn.XMATCH($C126,$C$35:$C$82)+1&lt;=_xlpm.DepreciationMonths,$C126&lt;=CB$8),$E126/_xlpm.DepreciationMonths,0))</f>
        <v>416.66666666666669</v>
      </c>
      <c r="CC126" s="507" cm="1">
        <f t="array" ref="CC126">_xlfn.LET(_xlpm.DepreciationMonths,INDEX(FixedAssets[Depreciation
/ Amortization Months],_xlfn.XMATCH($E$84,FixedAssets[Asset ID])),IF(AND((_xlfn.XMATCH(CC$8,$AH$8:$CC$8))-_xlfn.XMATCH($C126,$C$35:$C$82)+1&lt;=_xlpm.DepreciationMonths,$C126&lt;=CC$8),$E126/_xlpm.DepreciationMonths,0))</f>
        <v>416.66666666666669</v>
      </c>
    </row>
    <row r="127" spans="3:81" hidden="1" outlineLevel="2">
      <c r="C127" s="664">
        <f t="shared" si="167"/>
        <v>46203</v>
      </c>
      <c r="D127" s="508"/>
      <c r="E127" s="508" cm="1">
        <f t="array" ref="E127">SUMPRODUCT(($AH$26:$CC$31)*($AH$5:$CC$5=$C127)*($E$26:$E$31=E$84))-SUMPRODUCT(($AH$26:$CC$31)*($AH$5:$CC$5=EOMONTH($C127,-1))*($E$26:$E$31=E$84))</f>
        <v>0</v>
      </c>
      <c r="F127" s="508"/>
      <c r="G127" s="508"/>
      <c r="H127" s="508"/>
      <c r="I127" s="508"/>
      <c r="J127" s="504">
        <f t="shared" si="164"/>
        <v>0</v>
      </c>
      <c r="K127" s="504">
        <f t="shared" si="172"/>
        <v>0</v>
      </c>
      <c r="L127" s="504">
        <f t="shared" si="172"/>
        <v>0</v>
      </c>
      <c r="M127" s="504">
        <f t="shared" si="172"/>
        <v>0</v>
      </c>
      <c r="N127" s="504"/>
      <c r="O127" s="504"/>
      <c r="P127" s="504">
        <f t="shared" si="173"/>
        <v>0</v>
      </c>
      <c r="Q127" s="504">
        <f t="shared" si="173"/>
        <v>0</v>
      </c>
      <c r="R127" s="504">
        <f t="shared" si="173"/>
        <v>0</v>
      </c>
      <c r="S127" s="504">
        <f t="shared" si="173"/>
        <v>0</v>
      </c>
      <c r="T127" s="504">
        <f t="shared" si="173"/>
        <v>0</v>
      </c>
      <c r="U127" s="504">
        <f t="shared" si="173"/>
        <v>0</v>
      </c>
      <c r="V127" s="504">
        <f t="shared" si="173"/>
        <v>0</v>
      </c>
      <c r="W127" s="504">
        <f t="shared" si="173"/>
        <v>0</v>
      </c>
      <c r="X127" s="504">
        <f t="shared" si="173"/>
        <v>0</v>
      </c>
      <c r="Y127" s="504">
        <f t="shared" si="173"/>
        <v>0</v>
      </c>
      <c r="Z127" s="504">
        <f t="shared" si="173"/>
        <v>0</v>
      </c>
      <c r="AA127" s="504">
        <f t="shared" si="173"/>
        <v>0</v>
      </c>
      <c r="AB127" s="504">
        <f t="shared" si="173"/>
        <v>0</v>
      </c>
      <c r="AC127" s="504">
        <f t="shared" si="173"/>
        <v>0</v>
      </c>
      <c r="AD127" s="504">
        <f t="shared" si="173"/>
        <v>0</v>
      </c>
      <c r="AE127" s="504">
        <f t="shared" si="173"/>
        <v>0</v>
      </c>
      <c r="AF127" s="508"/>
      <c r="AG127" s="508"/>
      <c r="AH127" s="507" cm="1">
        <f t="array" ref="AH127">_xlfn.LET(_xlpm.DepreciationMonths,INDEX(FixedAssets[Depreciation
/ Amortization Months],_xlfn.XMATCH($E$84,FixedAssets[Asset ID])),IF(AND((_xlfn.XMATCH(AH$8,$AH$8:$CC$8))-_xlfn.XMATCH($C127,$C$35:$C$82)+1&lt;=_xlpm.DepreciationMonths,$C127&lt;=AH$8),$E127/_xlpm.DepreciationMonths,0))</f>
        <v>0</v>
      </c>
      <c r="AI127" s="507" cm="1">
        <f t="array" ref="AI127">_xlfn.LET(_xlpm.DepreciationMonths,INDEX(FixedAssets[Depreciation
/ Amortization Months],_xlfn.XMATCH($E$84,FixedAssets[Asset ID])),IF(AND((_xlfn.XMATCH(AI$8,$AH$8:$CC$8))-_xlfn.XMATCH($C127,$C$35:$C$82)+1&lt;=_xlpm.DepreciationMonths,$C127&lt;=AI$8),$E127/_xlpm.DepreciationMonths,0))</f>
        <v>0</v>
      </c>
      <c r="AJ127" s="507" cm="1">
        <f t="array" ref="AJ127">_xlfn.LET(_xlpm.DepreciationMonths,INDEX(FixedAssets[Depreciation
/ Amortization Months],_xlfn.XMATCH($E$84,FixedAssets[Asset ID])),IF(AND((_xlfn.XMATCH(AJ$8,$AH$8:$CC$8))-_xlfn.XMATCH($C127,$C$35:$C$82)+1&lt;=_xlpm.DepreciationMonths,$C127&lt;=AJ$8),$E127/_xlpm.DepreciationMonths,0))</f>
        <v>0</v>
      </c>
      <c r="AK127" s="507" cm="1">
        <f t="array" ref="AK127">_xlfn.LET(_xlpm.DepreciationMonths,INDEX(FixedAssets[Depreciation
/ Amortization Months],_xlfn.XMATCH($E$84,FixedAssets[Asset ID])),IF(AND((_xlfn.XMATCH(AK$8,$AH$8:$CC$8))-_xlfn.XMATCH($C127,$C$35:$C$82)+1&lt;=_xlpm.DepreciationMonths,$C127&lt;=AK$8),$E127/_xlpm.DepreciationMonths,0))</f>
        <v>0</v>
      </c>
      <c r="AL127" s="507" cm="1">
        <f t="array" ref="AL127">_xlfn.LET(_xlpm.DepreciationMonths,INDEX(FixedAssets[Depreciation
/ Amortization Months],_xlfn.XMATCH($E$84,FixedAssets[Asset ID])),IF(AND((_xlfn.XMATCH(AL$8,$AH$8:$CC$8))-_xlfn.XMATCH($C127,$C$35:$C$82)+1&lt;=_xlpm.DepreciationMonths,$C127&lt;=AL$8),$E127/_xlpm.DepreciationMonths,0))</f>
        <v>0</v>
      </c>
      <c r="AM127" s="507" cm="1">
        <f t="array" ref="AM127">_xlfn.LET(_xlpm.DepreciationMonths,INDEX(FixedAssets[Depreciation
/ Amortization Months],_xlfn.XMATCH($E$84,FixedAssets[Asset ID])),IF(AND((_xlfn.XMATCH(AM$8,$AH$8:$CC$8))-_xlfn.XMATCH($C127,$C$35:$C$82)+1&lt;=_xlpm.DepreciationMonths,$C127&lt;=AM$8),$E127/_xlpm.DepreciationMonths,0))</f>
        <v>0</v>
      </c>
      <c r="AN127" s="507" cm="1">
        <f t="array" ref="AN127">_xlfn.LET(_xlpm.DepreciationMonths,INDEX(FixedAssets[Depreciation
/ Amortization Months],_xlfn.XMATCH($E$84,FixedAssets[Asset ID])),IF(AND((_xlfn.XMATCH(AN$8,$AH$8:$CC$8))-_xlfn.XMATCH($C127,$C$35:$C$82)+1&lt;=_xlpm.DepreciationMonths,$C127&lt;=AN$8),$E127/_xlpm.DepreciationMonths,0))</f>
        <v>0</v>
      </c>
      <c r="AO127" s="507" cm="1">
        <f t="array" ref="AO127">_xlfn.LET(_xlpm.DepreciationMonths,INDEX(FixedAssets[Depreciation
/ Amortization Months],_xlfn.XMATCH($E$84,FixedAssets[Asset ID])),IF(AND((_xlfn.XMATCH(AO$8,$AH$8:$CC$8))-_xlfn.XMATCH($C127,$C$35:$C$82)+1&lt;=_xlpm.DepreciationMonths,$C127&lt;=AO$8),$E127/_xlpm.DepreciationMonths,0))</f>
        <v>0</v>
      </c>
      <c r="AP127" s="507" cm="1">
        <f t="array" ref="AP127">_xlfn.LET(_xlpm.DepreciationMonths,INDEX(FixedAssets[Depreciation
/ Amortization Months],_xlfn.XMATCH($E$84,FixedAssets[Asset ID])),IF(AND((_xlfn.XMATCH(AP$8,$AH$8:$CC$8))-_xlfn.XMATCH($C127,$C$35:$C$82)+1&lt;=_xlpm.DepreciationMonths,$C127&lt;=AP$8),$E127/_xlpm.DepreciationMonths,0))</f>
        <v>0</v>
      </c>
      <c r="AQ127" s="507" cm="1">
        <f t="array" ref="AQ127">_xlfn.LET(_xlpm.DepreciationMonths,INDEX(FixedAssets[Depreciation
/ Amortization Months],_xlfn.XMATCH($E$84,FixedAssets[Asset ID])),IF(AND((_xlfn.XMATCH(AQ$8,$AH$8:$CC$8))-_xlfn.XMATCH($C127,$C$35:$C$82)+1&lt;=_xlpm.DepreciationMonths,$C127&lt;=AQ$8),$E127/_xlpm.DepreciationMonths,0))</f>
        <v>0</v>
      </c>
      <c r="AR127" s="507" cm="1">
        <f t="array" ref="AR127">_xlfn.LET(_xlpm.DepreciationMonths,INDEX(FixedAssets[Depreciation
/ Amortization Months],_xlfn.XMATCH($E$84,FixedAssets[Asset ID])),IF(AND((_xlfn.XMATCH(AR$8,$AH$8:$CC$8))-_xlfn.XMATCH($C127,$C$35:$C$82)+1&lt;=_xlpm.DepreciationMonths,$C127&lt;=AR$8),$E127/_xlpm.DepreciationMonths,0))</f>
        <v>0</v>
      </c>
      <c r="AS127" s="507" cm="1">
        <f t="array" ref="AS127">_xlfn.LET(_xlpm.DepreciationMonths,INDEX(FixedAssets[Depreciation
/ Amortization Months],_xlfn.XMATCH($E$84,FixedAssets[Asset ID])),IF(AND((_xlfn.XMATCH(AS$8,$AH$8:$CC$8))-_xlfn.XMATCH($C127,$C$35:$C$82)+1&lt;=_xlpm.DepreciationMonths,$C127&lt;=AS$8),$E127/_xlpm.DepreciationMonths,0))</f>
        <v>0</v>
      </c>
      <c r="AT127" s="507" cm="1">
        <f t="array" ref="AT127">_xlfn.LET(_xlpm.DepreciationMonths,INDEX(FixedAssets[Depreciation
/ Amortization Months],_xlfn.XMATCH($E$84,FixedAssets[Asset ID])),IF(AND((_xlfn.XMATCH(AT$8,$AH$8:$CC$8))-_xlfn.XMATCH($C127,$C$35:$C$82)+1&lt;=_xlpm.DepreciationMonths,$C127&lt;=AT$8),$E127/_xlpm.DepreciationMonths,0))</f>
        <v>0</v>
      </c>
      <c r="AU127" s="507" cm="1">
        <f t="array" ref="AU127">_xlfn.LET(_xlpm.DepreciationMonths,INDEX(FixedAssets[Depreciation
/ Amortization Months],_xlfn.XMATCH($E$84,FixedAssets[Asset ID])),IF(AND((_xlfn.XMATCH(AU$8,$AH$8:$CC$8))-_xlfn.XMATCH($C127,$C$35:$C$82)+1&lt;=_xlpm.DepreciationMonths,$C127&lt;=AU$8),$E127/_xlpm.DepreciationMonths,0))</f>
        <v>0</v>
      </c>
      <c r="AV127" s="507" cm="1">
        <f t="array" ref="AV127">_xlfn.LET(_xlpm.DepreciationMonths,INDEX(FixedAssets[Depreciation
/ Amortization Months],_xlfn.XMATCH($E$84,FixedAssets[Asset ID])),IF(AND((_xlfn.XMATCH(AV$8,$AH$8:$CC$8))-_xlfn.XMATCH($C127,$C$35:$C$82)+1&lt;=_xlpm.DepreciationMonths,$C127&lt;=AV$8),$E127/_xlpm.DepreciationMonths,0))</f>
        <v>0</v>
      </c>
      <c r="AW127" s="507" cm="1">
        <f t="array" ref="AW127">_xlfn.LET(_xlpm.DepreciationMonths,INDEX(FixedAssets[Depreciation
/ Amortization Months],_xlfn.XMATCH($E$84,FixedAssets[Asset ID])),IF(AND((_xlfn.XMATCH(AW$8,$AH$8:$CC$8))-_xlfn.XMATCH($C127,$C$35:$C$82)+1&lt;=_xlpm.DepreciationMonths,$C127&lt;=AW$8),$E127/_xlpm.DepreciationMonths,0))</f>
        <v>0</v>
      </c>
      <c r="AX127" s="507" cm="1">
        <f t="array" ref="AX127">_xlfn.LET(_xlpm.DepreciationMonths,INDEX(FixedAssets[Depreciation
/ Amortization Months],_xlfn.XMATCH($E$84,FixedAssets[Asset ID])),IF(AND((_xlfn.XMATCH(AX$8,$AH$8:$CC$8))-_xlfn.XMATCH($C127,$C$35:$C$82)+1&lt;=_xlpm.DepreciationMonths,$C127&lt;=AX$8),$E127/_xlpm.DepreciationMonths,0))</f>
        <v>0</v>
      </c>
      <c r="AY127" s="507" cm="1">
        <f t="array" ref="AY127">_xlfn.LET(_xlpm.DepreciationMonths,INDEX(FixedAssets[Depreciation
/ Amortization Months],_xlfn.XMATCH($E$84,FixedAssets[Asset ID])),IF(AND((_xlfn.XMATCH(AY$8,$AH$8:$CC$8))-_xlfn.XMATCH($C127,$C$35:$C$82)+1&lt;=_xlpm.DepreciationMonths,$C127&lt;=AY$8),$E127/_xlpm.DepreciationMonths,0))</f>
        <v>0</v>
      </c>
      <c r="AZ127" s="507" cm="1">
        <f t="array" ref="AZ127">_xlfn.LET(_xlpm.DepreciationMonths,INDEX(FixedAssets[Depreciation
/ Amortization Months],_xlfn.XMATCH($E$84,FixedAssets[Asset ID])),IF(AND((_xlfn.XMATCH(AZ$8,$AH$8:$CC$8))-_xlfn.XMATCH($C127,$C$35:$C$82)+1&lt;=_xlpm.DepreciationMonths,$C127&lt;=AZ$8),$E127/_xlpm.DepreciationMonths,0))</f>
        <v>0</v>
      </c>
      <c r="BA127" s="507" cm="1">
        <f t="array" ref="BA127">_xlfn.LET(_xlpm.DepreciationMonths,INDEX(FixedAssets[Depreciation
/ Amortization Months],_xlfn.XMATCH($E$84,FixedAssets[Asset ID])),IF(AND((_xlfn.XMATCH(BA$8,$AH$8:$CC$8))-_xlfn.XMATCH($C127,$C$35:$C$82)+1&lt;=_xlpm.DepreciationMonths,$C127&lt;=BA$8),$E127/_xlpm.DepreciationMonths,0))</f>
        <v>0</v>
      </c>
      <c r="BB127" s="507" cm="1">
        <f t="array" ref="BB127">_xlfn.LET(_xlpm.DepreciationMonths,INDEX(FixedAssets[Depreciation
/ Amortization Months],_xlfn.XMATCH($E$84,FixedAssets[Asset ID])),IF(AND((_xlfn.XMATCH(BB$8,$AH$8:$CC$8))-_xlfn.XMATCH($C127,$C$35:$C$82)+1&lt;=_xlpm.DepreciationMonths,$C127&lt;=BB$8),$E127/_xlpm.DepreciationMonths,0))</f>
        <v>0</v>
      </c>
      <c r="BC127" s="507" cm="1">
        <f t="array" ref="BC127">_xlfn.LET(_xlpm.DepreciationMonths,INDEX(FixedAssets[Depreciation
/ Amortization Months],_xlfn.XMATCH($E$84,FixedAssets[Asset ID])),IF(AND((_xlfn.XMATCH(BC$8,$AH$8:$CC$8))-_xlfn.XMATCH($C127,$C$35:$C$82)+1&lt;=_xlpm.DepreciationMonths,$C127&lt;=BC$8),$E127/_xlpm.DepreciationMonths,0))</f>
        <v>0</v>
      </c>
      <c r="BD127" s="507" cm="1">
        <f t="array" ref="BD127">_xlfn.LET(_xlpm.DepreciationMonths,INDEX(FixedAssets[Depreciation
/ Amortization Months],_xlfn.XMATCH($E$84,FixedAssets[Asset ID])),IF(AND((_xlfn.XMATCH(BD$8,$AH$8:$CC$8))-_xlfn.XMATCH($C127,$C$35:$C$82)+1&lt;=_xlpm.DepreciationMonths,$C127&lt;=BD$8),$E127/_xlpm.DepreciationMonths,0))</f>
        <v>0</v>
      </c>
      <c r="BE127" s="507" cm="1">
        <f t="array" ref="BE127">_xlfn.LET(_xlpm.DepreciationMonths,INDEX(FixedAssets[Depreciation
/ Amortization Months],_xlfn.XMATCH($E$84,FixedAssets[Asset ID])),IF(AND((_xlfn.XMATCH(BE$8,$AH$8:$CC$8))-_xlfn.XMATCH($C127,$C$35:$C$82)+1&lt;=_xlpm.DepreciationMonths,$C127&lt;=BE$8),$E127/_xlpm.DepreciationMonths,0))</f>
        <v>0</v>
      </c>
      <c r="BF127" s="507" cm="1">
        <f t="array" ref="BF127">_xlfn.LET(_xlpm.DepreciationMonths,INDEX(FixedAssets[Depreciation
/ Amortization Months],_xlfn.XMATCH($E$84,FixedAssets[Asset ID])),IF(AND((_xlfn.XMATCH(BF$8,$AH$8:$CC$8))-_xlfn.XMATCH($C127,$C$35:$C$82)+1&lt;=_xlpm.DepreciationMonths,$C127&lt;=BF$8),$E127/_xlpm.DepreciationMonths,0))</f>
        <v>0</v>
      </c>
      <c r="BG127" s="507" cm="1">
        <f t="array" ref="BG127">_xlfn.LET(_xlpm.DepreciationMonths,INDEX(FixedAssets[Depreciation
/ Amortization Months],_xlfn.XMATCH($E$84,FixedAssets[Asset ID])),IF(AND((_xlfn.XMATCH(BG$8,$AH$8:$CC$8))-_xlfn.XMATCH($C127,$C$35:$C$82)+1&lt;=_xlpm.DepreciationMonths,$C127&lt;=BG$8),$E127/_xlpm.DepreciationMonths,0))</f>
        <v>0</v>
      </c>
      <c r="BH127" s="507" cm="1">
        <f t="array" ref="BH127">_xlfn.LET(_xlpm.DepreciationMonths,INDEX(FixedAssets[Depreciation
/ Amortization Months],_xlfn.XMATCH($E$84,FixedAssets[Asset ID])),IF(AND((_xlfn.XMATCH(BH$8,$AH$8:$CC$8))-_xlfn.XMATCH($C127,$C$35:$C$82)+1&lt;=_xlpm.DepreciationMonths,$C127&lt;=BH$8),$E127/_xlpm.DepreciationMonths,0))</f>
        <v>0</v>
      </c>
      <c r="BI127" s="507" cm="1">
        <f t="array" ref="BI127">_xlfn.LET(_xlpm.DepreciationMonths,INDEX(FixedAssets[Depreciation
/ Amortization Months],_xlfn.XMATCH($E$84,FixedAssets[Asset ID])),IF(AND((_xlfn.XMATCH(BI$8,$AH$8:$CC$8))-_xlfn.XMATCH($C127,$C$35:$C$82)+1&lt;=_xlpm.DepreciationMonths,$C127&lt;=BI$8),$E127/_xlpm.DepreciationMonths,0))</f>
        <v>0</v>
      </c>
      <c r="BJ127" s="507" cm="1">
        <f t="array" ref="BJ127">_xlfn.LET(_xlpm.DepreciationMonths,INDEX(FixedAssets[Depreciation
/ Amortization Months],_xlfn.XMATCH($E$84,FixedAssets[Asset ID])),IF(AND((_xlfn.XMATCH(BJ$8,$AH$8:$CC$8))-_xlfn.XMATCH($C127,$C$35:$C$82)+1&lt;=_xlpm.DepreciationMonths,$C127&lt;=BJ$8),$E127/_xlpm.DepreciationMonths,0))</f>
        <v>0</v>
      </c>
      <c r="BK127" s="507" cm="1">
        <f t="array" ref="BK127">_xlfn.LET(_xlpm.DepreciationMonths,INDEX(FixedAssets[Depreciation
/ Amortization Months],_xlfn.XMATCH($E$84,FixedAssets[Asset ID])),IF(AND((_xlfn.XMATCH(BK$8,$AH$8:$CC$8))-_xlfn.XMATCH($C127,$C$35:$C$82)+1&lt;=_xlpm.DepreciationMonths,$C127&lt;=BK$8),$E127/_xlpm.DepreciationMonths,0))</f>
        <v>0</v>
      </c>
      <c r="BL127" s="507" cm="1">
        <f t="array" ref="BL127">_xlfn.LET(_xlpm.DepreciationMonths,INDEX(FixedAssets[Depreciation
/ Amortization Months],_xlfn.XMATCH($E$84,FixedAssets[Asset ID])),IF(AND((_xlfn.XMATCH(BL$8,$AH$8:$CC$8))-_xlfn.XMATCH($C127,$C$35:$C$82)+1&lt;=_xlpm.DepreciationMonths,$C127&lt;=BL$8),$E127/_xlpm.DepreciationMonths,0))</f>
        <v>0</v>
      </c>
      <c r="BM127" s="507" cm="1">
        <f t="array" ref="BM127">_xlfn.LET(_xlpm.DepreciationMonths,INDEX(FixedAssets[Depreciation
/ Amortization Months],_xlfn.XMATCH($E$84,FixedAssets[Asset ID])),IF(AND((_xlfn.XMATCH(BM$8,$AH$8:$CC$8))-_xlfn.XMATCH($C127,$C$35:$C$82)+1&lt;=_xlpm.DepreciationMonths,$C127&lt;=BM$8),$E127/_xlpm.DepreciationMonths,0))</f>
        <v>0</v>
      </c>
      <c r="BN127" s="507" cm="1">
        <f t="array" ref="BN127">_xlfn.LET(_xlpm.DepreciationMonths,INDEX(FixedAssets[Depreciation
/ Amortization Months],_xlfn.XMATCH($E$84,FixedAssets[Asset ID])),IF(AND((_xlfn.XMATCH(BN$8,$AH$8:$CC$8))-_xlfn.XMATCH($C127,$C$35:$C$82)+1&lt;=_xlpm.DepreciationMonths,$C127&lt;=BN$8),$E127/_xlpm.DepreciationMonths,0))</f>
        <v>0</v>
      </c>
      <c r="BO127" s="507" cm="1">
        <f t="array" ref="BO127">_xlfn.LET(_xlpm.DepreciationMonths,INDEX(FixedAssets[Depreciation
/ Amortization Months],_xlfn.XMATCH($E$84,FixedAssets[Asset ID])),IF(AND((_xlfn.XMATCH(BO$8,$AH$8:$CC$8))-_xlfn.XMATCH($C127,$C$35:$C$82)+1&lt;=_xlpm.DepreciationMonths,$C127&lt;=BO$8),$E127/_xlpm.DepreciationMonths,0))</f>
        <v>0</v>
      </c>
      <c r="BP127" s="507" cm="1">
        <f t="array" ref="BP127">_xlfn.LET(_xlpm.DepreciationMonths,INDEX(FixedAssets[Depreciation
/ Amortization Months],_xlfn.XMATCH($E$84,FixedAssets[Asset ID])),IF(AND((_xlfn.XMATCH(BP$8,$AH$8:$CC$8))-_xlfn.XMATCH($C127,$C$35:$C$82)+1&lt;=_xlpm.DepreciationMonths,$C127&lt;=BP$8),$E127/_xlpm.DepreciationMonths,0))</f>
        <v>0</v>
      </c>
      <c r="BQ127" s="507" cm="1">
        <f t="array" ref="BQ127">_xlfn.LET(_xlpm.DepreciationMonths,INDEX(FixedAssets[Depreciation
/ Amortization Months],_xlfn.XMATCH($E$84,FixedAssets[Asset ID])),IF(AND((_xlfn.XMATCH(BQ$8,$AH$8:$CC$8))-_xlfn.XMATCH($C127,$C$35:$C$82)+1&lt;=_xlpm.DepreciationMonths,$C127&lt;=BQ$8),$E127/_xlpm.DepreciationMonths,0))</f>
        <v>0</v>
      </c>
      <c r="BR127" s="507" cm="1">
        <f t="array" ref="BR127">_xlfn.LET(_xlpm.DepreciationMonths,INDEX(FixedAssets[Depreciation
/ Amortization Months],_xlfn.XMATCH($E$84,FixedAssets[Asset ID])),IF(AND((_xlfn.XMATCH(BR$8,$AH$8:$CC$8))-_xlfn.XMATCH($C127,$C$35:$C$82)+1&lt;=_xlpm.DepreciationMonths,$C127&lt;=BR$8),$E127/_xlpm.DepreciationMonths,0))</f>
        <v>0</v>
      </c>
      <c r="BS127" s="507" cm="1">
        <f t="array" ref="BS127">_xlfn.LET(_xlpm.DepreciationMonths,INDEX(FixedAssets[Depreciation
/ Amortization Months],_xlfn.XMATCH($E$84,FixedAssets[Asset ID])),IF(AND((_xlfn.XMATCH(BS$8,$AH$8:$CC$8))-_xlfn.XMATCH($C127,$C$35:$C$82)+1&lt;=_xlpm.DepreciationMonths,$C127&lt;=BS$8),$E127/_xlpm.DepreciationMonths,0))</f>
        <v>0</v>
      </c>
      <c r="BT127" s="507" cm="1">
        <f t="array" ref="BT127">_xlfn.LET(_xlpm.DepreciationMonths,INDEX(FixedAssets[Depreciation
/ Amortization Months],_xlfn.XMATCH($E$84,FixedAssets[Asset ID])),IF(AND((_xlfn.XMATCH(BT$8,$AH$8:$CC$8))-_xlfn.XMATCH($C127,$C$35:$C$82)+1&lt;=_xlpm.DepreciationMonths,$C127&lt;=BT$8),$E127/_xlpm.DepreciationMonths,0))</f>
        <v>0</v>
      </c>
      <c r="BU127" s="507" cm="1">
        <f t="array" ref="BU127">_xlfn.LET(_xlpm.DepreciationMonths,INDEX(FixedAssets[Depreciation
/ Amortization Months],_xlfn.XMATCH($E$84,FixedAssets[Asset ID])),IF(AND((_xlfn.XMATCH(BU$8,$AH$8:$CC$8))-_xlfn.XMATCH($C127,$C$35:$C$82)+1&lt;=_xlpm.DepreciationMonths,$C127&lt;=BU$8),$E127/_xlpm.DepreciationMonths,0))</f>
        <v>0</v>
      </c>
      <c r="BV127" s="507" cm="1">
        <f t="array" ref="BV127">_xlfn.LET(_xlpm.DepreciationMonths,INDEX(FixedAssets[Depreciation
/ Amortization Months],_xlfn.XMATCH($E$84,FixedAssets[Asset ID])),IF(AND((_xlfn.XMATCH(BV$8,$AH$8:$CC$8))-_xlfn.XMATCH($C127,$C$35:$C$82)+1&lt;=_xlpm.DepreciationMonths,$C127&lt;=BV$8),$E127/_xlpm.DepreciationMonths,0))</f>
        <v>0</v>
      </c>
      <c r="BW127" s="507" cm="1">
        <f t="array" ref="BW127">_xlfn.LET(_xlpm.DepreciationMonths,INDEX(FixedAssets[Depreciation
/ Amortization Months],_xlfn.XMATCH($E$84,FixedAssets[Asset ID])),IF(AND((_xlfn.XMATCH(BW$8,$AH$8:$CC$8))-_xlfn.XMATCH($C127,$C$35:$C$82)+1&lt;=_xlpm.DepreciationMonths,$C127&lt;=BW$8),$E127/_xlpm.DepreciationMonths,0))</f>
        <v>0</v>
      </c>
      <c r="BX127" s="507" cm="1">
        <f t="array" ref="BX127">_xlfn.LET(_xlpm.DepreciationMonths,INDEX(FixedAssets[Depreciation
/ Amortization Months],_xlfn.XMATCH($E$84,FixedAssets[Asset ID])),IF(AND((_xlfn.XMATCH(BX$8,$AH$8:$CC$8))-_xlfn.XMATCH($C127,$C$35:$C$82)+1&lt;=_xlpm.DepreciationMonths,$C127&lt;=BX$8),$E127/_xlpm.DepreciationMonths,0))</f>
        <v>0</v>
      </c>
      <c r="BY127" s="507" cm="1">
        <f t="array" ref="BY127">_xlfn.LET(_xlpm.DepreciationMonths,INDEX(FixedAssets[Depreciation
/ Amortization Months],_xlfn.XMATCH($E$84,FixedAssets[Asset ID])),IF(AND((_xlfn.XMATCH(BY$8,$AH$8:$CC$8))-_xlfn.XMATCH($C127,$C$35:$C$82)+1&lt;=_xlpm.DepreciationMonths,$C127&lt;=BY$8),$E127/_xlpm.DepreciationMonths,0))</f>
        <v>0</v>
      </c>
      <c r="BZ127" s="507" cm="1">
        <f t="array" ref="BZ127">_xlfn.LET(_xlpm.DepreciationMonths,INDEX(FixedAssets[Depreciation
/ Amortization Months],_xlfn.XMATCH($E$84,FixedAssets[Asset ID])),IF(AND((_xlfn.XMATCH(BZ$8,$AH$8:$CC$8))-_xlfn.XMATCH($C127,$C$35:$C$82)+1&lt;=_xlpm.DepreciationMonths,$C127&lt;=BZ$8),$E127/_xlpm.DepreciationMonths,0))</f>
        <v>0</v>
      </c>
      <c r="CA127" s="507" cm="1">
        <f t="array" ref="CA127">_xlfn.LET(_xlpm.DepreciationMonths,INDEX(FixedAssets[Depreciation
/ Amortization Months],_xlfn.XMATCH($E$84,FixedAssets[Asset ID])),IF(AND((_xlfn.XMATCH(CA$8,$AH$8:$CC$8))-_xlfn.XMATCH($C127,$C$35:$C$82)+1&lt;=_xlpm.DepreciationMonths,$C127&lt;=CA$8),$E127/_xlpm.DepreciationMonths,0))</f>
        <v>0</v>
      </c>
      <c r="CB127" s="507" cm="1">
        <f t="array" ref="CB127">_xlfn.LET(_xlpm.DepreciationMonths,INDEX(FixedAssets[Depreciation
/ Amortization Months],_xlfn.XMATCH($E$84,FixedAssets[Asset ID])),IF(AND((_xlfn.XMATCH(CB$8,$AH$8:$CC$8))-_xlfn.XMATCH($C127,$C$35:$C$82)+1&lt;=_xlpm.DepreciationMonths,$C127&lt;=CB$8),$E127/_xlpm.DepreciationMonths,0))</f>
        <v>0</v>
      </c>
      <c r="CC127" s="507" cm="1">
        <f t="array" ref="CC127">_xlfn.LET(_xlpm.DepreciationMonths,INDEX(FixedAssets[Depreciation
/ Amortization Months],_xlfn.XMATCH($E$84,FixedAssets[Asset ID])),IF(AND((_xlfn.XMATCH(CC$8,$AH$8:$CC$8))-_xlfn.XMATCH($C127,$C$35:$C$82)+1&lt;=_xlpm.DepreciationMonths,$C127&lt;=CC$8),$E127/_xlpm.DepreciationMonths,0))</f>
        <v>0</v>
      </c>
    </row>
    <row r="128" spans="3:81" hidden="1" outlineLevel="2">
      <c r="C128" s="664">
        <f t="shared" si="167"/>
        <v>46234</v>
      </c>
      <c r="D128" s="508"/>
      <c r="E128" s="508" cm="1">
        <f t="array" ref="E128">SUMPRODUCT(($AH$26:$CC$31)*($AH$5:$CC$5=$C128)*($E$26:$E$31=E$84))-SUMPRODUCT(($AH$26:$CC$31)*($AH$5:$CC$5=EOMONTH($C128,-1))*($E$26:$E$31=E$84))</f>
        <v>0</v>
      </c>
      <c r="F128" s="508"/>
      <c r="G128" s="508"/>
      <c r="H128" s="508"/>
      <c r="I128" s="508"/>
      <c r="J128" s="504">
        <f t="shared" si="164"/>
        <v>0</v>
      </c>
      <c r="K128" s="504">
        <f t="shared" si="172"/>
        <v>0</v>
      </c>
      <c r="L128" s="504">
        <f t="shared" si="172"/>
        <v>0</v>
      </c>
      <c r="M128" s="504">
        <f t="shared" si="172"/>
        <v>0</v>
      </c>
      <c r="N128" s="504"/>
      <c r="O128" s="504"/>
      <c r="P128" s="504">
        <f t="shared" si="173"/>
        <v>0</v>
      </c>
      <c r="Q128" s="504">
        <f t="shared" si="173"/>
        <v>0</v>
      </c>
      <c r="R128" s="504">
        <f t="shared" si="173"/>
        <v>0</v>
      </c>
      <c r="S128" s="504">
        <f t="shared" si="173"/>
        <v>0</v>
      </c>
      <c r="T128" s="504">
        <f t="shared" si="173"/>
        <v>0</v>
      </c>
      <c r="U128" s="504">
        <f t="shared" si="173"/>
        <v>0</v>
      </c>
      <c r="V128" s="504">
        <f t="shared" si="173"/>
        <v>0</v>
      </c>
      <c r="W128" s="504">
        <f t="shared" si="173"/>
        <v>0</v>
      </c>
      <c r="X128" s="504">
        <f t="shared" si="173"/>
        <v>0</v>
      </c>
      <c r="Y128" s="504">
        <f t="shared" si="173"/>
        <v>0</v>
      </c>
      <c r="Z128" s="504">
        <f t="shared" si="173"/>
        <v>0</v>
      </c>
      <c r="AA128" s="504">
        <f t="shared" si="173"/>
        <v>0</v>
      </c>
      <c r="AB128" s="504">
        <f t="shared" si="173"/>
        <v>0</v>
      </c>
      <c r="AC128" s="504">
        <f t="shared" si="173"/>
        <v>0</v>
      </c>
      <c r="AD128" s="504">
        <f t="shared" si="173"/>
        <v>0</v>
      </c>
      <c r="AE128" s="504">
        <f t="shared" si="173"/>
        <v>0</v>
      </c>
      <c r="AF128" s="508"/>
      <c r="AG128" s="508"/>
      <c r="AH128" s="507" cm="1">
        <f t="array" ref="AH128">_xlfn.LET(_xlpm.DepreciationMonths,INDEX(FixedAssets[Depreciation
/ Amortization Months],_xlfn.XMATCH($E$84,FixedAssets[Asset ID])),IF(AND((_xlfn.XMATCH(AH$8,$AH$8:$CC$8))-_xlfn.XMATCH($C128,$C$35:$C$82)+1&lt;=_xlpm.DepreciationMonths,$C128&lt;=AH$8),$E128/_xlpm.DepreciationMonths,0))</f>
        <v>0</v>
      </c>
      <c r="AI128" s="507" cm="1">
        <f t="array" ref="AI128">_xlfn.LET(_xlpm.DepreciationMonths,INDEX(FixedAssets[Depreciation
/ Amortization Months],_xlfn.XMATCH($E$84,FixedAssets[Asset ID])),IF(AND((_xlfn.XMATCH(AI$8,$AH$8:$CC$8))-_xlfn.XMATCH($C128,$C$35:$C$82)+1&lt;=_xlpm.DepreciationMonths,$C128&lt;=AI$8),$E128/_xlpm.DepreciationMonths,0))</f>
        <v>0</v>
      </c>
      <c r="AJ128" s="507" cm="1">
        <f t="array" ref="AJ128">_xlfn.LET(_xlpm.DepreciationMonths,INDEX(FixedAssets[Depreciation
/ Amortization Months],_xlfn.XMATCH($E$84,FixedAssets[Asset ID])),IF(AND((_xlfn.XMATCH(AJ$8,$AH$8:$CC$8))-_xlfn.XMATCH($C128,$C$35:$C$82)+1&lt;=_xlpm.DepreciationMonths,$C128&lt;=AJ$8),$E128/_xlpm.DepreciationMonths,0))</f>
        <v>0</v>
      </c>
      <c r="AK128" s="507" cm="1">
        <f t="array" ref="AK128">_xlfn.LET(_xlpm.DepreciationMonths,INDEX(FixedAssets[Depreciation
/ Amortization Months],_xlfn.XMATCH($E$84,FixedAssets[Asset ID])),IF(AND((_xlfn.XMATCH(AK$8,$AH$8:$CC$8))-_xlfn.XMATCH($C128,$C$35:$C$82)+1&lt;=_xlpm.DepreciationMonths,$C128&lt;=AK$8),$E128/_xlpm.DepreciationMonths,0))</f>
        <v>0</v>
      </c>
      <c r="AL128" s="507" cm="1">
        <f t="array" ref="AL128">_xlfn.LET(_xlpm.DepreciationMonths,INDEX(FixedAssets[Depreciation
/ Amortization Months],_xlfn.XMATCH($E$84,FixedAssets[Asset ID])),IF(AND((_xlfn.XMATCH(AL$8,$AH$8:$CC$8))-_xlfn.XMATCH($C128,$C$35:$C$82)+1&lt;=_xlpm.DepreciationMonths,$C128&lt;=AL$8),$E128/_xlpm.DepreciationMonths,0))</f>
        <v>0</v>
      </c>
      <c r="AM128" s="507" cm="1">
        <f t="array" ref="AM128">_xlfn.LET(_xlpm.DepreciationMonths,INDEX(FixedAssets[Depreciation
/ Amortization Months],_xlfn.XMATCH($E$84,FixedAssets[Asset ID])),IF(AND((_xlfn.XMATCH(AM$8,$AH$8:$CC$8))-_xlfn.XMATCH($C128,$C$35:$C$82)+1&lt;=_xlpm.DepreciationMonths,$C128&lt;=AM$8),$E128/_xlpm.DepreciationMonths,0))</f>
        <v>0</v>
      </c>
      <c r="AN128" s="507" cm="1">
        <f t="array" ref="AN128">_xlfn.LET(_xlpm.DepreciationMonths,INDEX(FixedAssets[Depreciation
/ Amortization Months],_xlfn.XMATCH($E$84,FixedAssets[Asset ID])),IF(AND((_xlfn.XMATCH(AN$8,$AH$8:$CC$8))-_xlfn.XMATCH($C128,$C$35:$C$82)+1&lt;=_xlpm.DepreciationMonths,$C128&lt;=AN$8),$E128/_xlpm.DepreciationMonths,0))</f>
        <v>0</v>
      </c>
      <c r="AO128" s="507" cm="1">
        <f t="array" ref="AO128">_xlfn.LET(_xlpm.DepreciationMonths,INDEX(FixedAssets[Depreciation
/ Amortization Months],_xlfn.XMATCH($E$84,FixedAssets[Asset ID])),IF(AND((_xlfn.XMATCH(AO$8,$AH$8:$CC$8))-_xlfn.XMATCH($C128,$C$35:$C$82)+1&lt;=_xlpm.DepreciationMonths,$C128&lt;=AO$8),$E128/_xlpm.DepreciationMonths,0))</f>
        <v>0</v>
      </c>
      <c r="AP128" s="507" cm="1">
        <f t="array" ref="AP128">_xlfn.LET(_xlpm.DepreciationMonths,INDEX(FixedAssets[Depreciation
/ Amortization Months],_xlfn.XMATCH($E$84,FixedAssets[Asset ID])),IF(AND((_xlfn.XMATCH(AP$8,$AH$8:$CC$8))-_xlfn.XMATCH($C128,$C$35:$C$82)+1&lt;=_xlpm.DepreciationMonths,$C128&lt;=AP$8),$E128/_xlpm.DepreciationMonths,0))</f>
        <v>0</v>
      </c>
      <c r="AQ128" s="507" cm="1">
        <f t="array" ref="AQ128">_xlfn.LET(_xlpm.DepreciationMonths,INDEX(FixedAssets[Depreciation
/ Amortization Months],_xlfn.XMATCH($E$84,FixedAssets[Asset ID])),IF(AND((_xlfn.XMATCH(AQ$8,$AH$8:$CC$8))-_xlfn.XMATCH($C128,$C$35:$C$82)+1&lt;=_xlpm.DepreciationMonths,$C128&lt;=AQ$8),$E128/_xlpm.DepreciationMonths,0))</f>
        <v>0</v>
      </c>
      <c r="AR128" s="507" cm="1">
        <f t="array" ref="AR128">_xlfn.LET(_xlpm.DepreciationMonths,INDEX(FixedAssets[Depreciation
/ Amortization Months],_xlfn.XMATCH($E$84,FixedAssets[Asset ID])),IF(AND((_xlfn.XMATCH(AR$8,$AH$8:$CC$8))-_xlfn.XMATCH($C128,$C$35:$C$82)+1&lt;=_xlpm.DepreciationMonths,$C128&lt;=AR$8),$E128/_xlpm.DepreciationMonths,0))</f>
        <v>0</v>
      </c>
      <c r="AS128" s="507" cm="1">
        <f t="array" ref="AS128">_xlfn.LET(_xlpm.DepreciationMonths,INDEX(FixedAssets[Depreciation
/ Amortization Months],_xlfn.XMATCH($E$84,FixedAssets[Asset ID])),IF(AND((_xlfn.XMATCH(AS$8,$AH$8:$CC$8))-_xlfn.XMATCH($C128,$C$35:$C$82)+1&lt;=_xlpm.DepreciationMonths,$C128&lt;=AS$8),$E128/_xlpm.DepreciationMonths,0))</f>
        <v>0</v>
      </c>
      <c r="AT128" s="507" cm="1">
        <f t="array" ref="AT128">_xlfn.LET(_xlpm.DepreciationMonths,INDEX(FixedAssets[Depreciation
/ Amortization Months],_xlfn.XMATCH($E$84,FixedAssets[Asset ID])),IF(AND((_xlfn.XMATCH(AT$8,$AH$8:$CC$8))-_xlfn.XMATCH($C128,$C$35:$C$82)+1&lt;=_xlpm.DepreciationMonths,$C128&lt;=AT$8),$E128/_xlpm.DepreciationMonths,0))</f>
        <v>0</v>
      </c>
      <c r="AU128" s="507" cm="1">
        <f t="array" ref="AU128">_xlfn.LET(_xlpm.DepreciationMonths,INDEX(FixedAssets[Depreciation
/ Amortization Months],_xlfn.XMATCH($E$84,FixedAssets[Asset ID])),IF(AND((_xlfn.XMATCH(AU$8,$AH$8:$CC$8))-_xlfn.XMATCH($C128,$C$35:$C$82)+1&lt;=_xlpm.DepreciationMonths,$C128&lt;=AU$8),$E128/_xlpm.DepreciationMonths,0))</f>
        <v>0</v>
      </c>
      <c r="AV128" s="507" cm="1">
        <f t="array" ref="AV128">_xlfn.LET(_xlpm.DepreciationMonths,INDEX(FixedAssets[Depreciation
/ Amortization Months],_xlfn.XMATCH($E$84,FixedAssets[Asset ID])),IF(AND((_xlfn.XMATCH(AV$8,$AH$8:$CC$8))-_xlfn.XMATCH($C128,$C$35:$C$82)+1&lt;=_xlpm.DepreciationMonths,$C128&lt;=AV$8),$E128/_xlpm.DepreciationMonths,0))</f>
        <v>0</v>
      </c>
      <c r="AW128" s="507" cm="1">
        <f t="array" ref="AW128">_xlfn.LET(_xlpm.DepreciationMonths,INDEX(FixedAssets[Depreciation
/ Amortization Months],_xlfn.XMATCH($E$84,FixedAssets[Asset ID])),IF(AND((_xlfn.XMATCH(AW$8,$AH$8:$CC$8))-_xlfn.XMATCH($C128,$C$35:$C$82)+1&lt;=_xlpm.DepreciationMonths,$C128&lt;=AW$8),$E128/_xlpm.DepreciationMonths,0))</f>
        <v>0</v>
      </c>
      <c r="AX128" s="507" cm="1">
        <f t="array" ref="AX128">_xlfn.LET(_xlpm.DepreciationMonths,INDEX(FixedAssets[Depreciation
/ Amortization Months],_xlfn.XMATCH($E$84,FixedAssets[Asset ID])),IF(AND((_xlfn.XMATCH(AX$8,$AH$8:$CC$8))-_xlfn.XMATCH($C128,$C$35:$C$82)+1&lt;=_xlpm.DepreciationMonths,$C128&lt;=AX$8),$E128/_xlpm.DepreciationMonths,0))</f>
        <v>0</v>
      </c>
      <c r="AY128" s="507" cm="1">
        <f t="array" ref="AY128">_xlfn.LET(_xlpm.DepreciationMonths,INDEX(FixedAssets[Depreciation
/ Amortization Months],_xlfn.XMATCH($E$84,FixedAssets[Asset ID])),IF(AND((_xlfn.XMATCH(AY$8,$AH$8:$CC$8))-_xlfn.XMATCH($C128,$C$35:$C$82)+1&lt;=_xlpm.DepreciationMonths,$C128&lt;=AY$8),$E128/_xlpm.DepreciationMonths,0))</f>
        <v>0</v>
      </c>
      <c r="AZ128" s="507" cm="1">
        <f t="array" ref="AZ128">_xlfn.LET(_xlpm.DepreciationMonths,INDEX(FixedAssets[Depreciation
/ Amortization Months],_xlfn.XMATCH($E$84,FixedAssets[Asset ID])),IF(AND((_xlfn.XMATCH(AZ$8,$AH$8:$CC$8))-_xlfn.XMATCH($C128,$C$35:$C$82)+1&lt;=_xlpm.DepreciationMonths,$C128&lt;=AZ$8),$E128/_xlpm.DepreciationMonths,0))</f>
        <v>0</v>
      </c>
      <c r="BA128" s="507" cm="1">
        <f t="array" ref="BA128">_xlfn.LET(_xlpm.DepreciationMonths,INDEX(FixedAssets[Depreciation
/ Amortization Months],_xlfn.XMATCH($E$84,FixedAssets[Asset ID])),IF(AND((_xlfn.XMATCH(BA$8,$AH$8:$CC$8))-_xlfn.XMATCH($C128,$C$35:$C$82)+1&lt;=_xlpm.DepreciationMonths,$C128&lt;=BA$8),$E128/_xlpm.DepreciationMonths,0))</f>
        <v>0</v>
      </c>
      <c r="BB128" s="507" cm="1">
        <f t="array" ref="BB128">_xlfn.LET(_xlpm.DepreciationMonths,INDEX(FixedAssets[Depreciation
/ Amortization Months],_xlfn.XMATCH($E$84,FixedAssets[Asset ID])),IF(AND((_xlfn.XMATCH(BB$8,$AH$8:$CC$8))-_xlfn.XMATCH($C128,$C$35:$C$82)+1&lt;=_xlpm.DepreciationMonths,$C128&lt;=BB$8),$E128/_xlpm.DepreciationMonths,0))</f>
        <v>0</v>
      </c>
      <c r="BC128" s="507" cm="1">
        <f t="array" ref="BC128">_xlfn.LET(_xlpm.DepreciationMonths,INDEX(FixedAssets[Depreciation
/ Amortization Months],_xlfn.XMATCH($E$84,FixedAssets[Asset ID])),IF(AND((_xlfn.XMATCH(BC$8,$AH$8:$CC$8))-_xlfn.XMATCH($C128,$C$35:$C$82)+1&lt;=_xlpm.DepreciationMonths,$C128&lt;=BC$8),$E128/_xlpm.DepreciationMonths,0))</f>
        <v>0</v>
      </c>
      <c r="BD128" s="507" cm="1">
        <f t="array" ref="BD128">_xlfn.LET(_xlpm.DepreciationMonths,INDEX(FixedAssets[Depreciation
/ Amortization Months],_xlfn.XMATCH($E$84,FixedAssets[Asset ID])),IF(AND((_xlfn.XMATCH(BD$8,$AH$8:$CC$8))-_xlfn.XMATCH($C128,$C$35:$C$82)+1&lt;=_xlpm.DepreciationMonths,$C128&lt;=BD$8),$E128/_xlpm.DepreciationMonths,0))</f>
        <v>0</v>
      </c>
      <c r="BE128" s="507" cm="1">
        <f t="array" ref="BE128">_xlfn.LET(_xlpm.DepreciationMonths,INDEX(FixedAssets[Depreciation
/ Amortization Months],_xlfn.XMATCH($E$84,FixedAssets[Asset ID])),IF(AND((_xlfn.XMATCH(BE$8,$AH$8:$CC$8))-_xlfn.XMATCH($C128,$C$35:$C$82)+1&lt;=_xlpm.DepreciationMonths,$C128&lt;=BE$8),$E128/_xlpm.DepreciationMonths,0))</f>
        <v>0</v>
      </c>
      <c r="BF128" s="507" cm="1">
        <f t="array" ref="BF128">_xlfn.LET(_xlpm.DepreciationMonths,INDEX(FixedAssets[Depreciation
/ Amortization Months],_xlfn.XMATCH($E$84,FixedAssets[Asset ID])),IF(AND((_xlfn.XMATCH(BF$8,$AH$8:$CC$8))-_xlfn.XMATCH($C128,$C$35:$C$82)+1&lt;=_xlpm.DepreciationMonths,$C128&lt;=BF$8),$E128/_xlpm.DepreciationMonths,0))</f>
        <v>0</v>
      </c>
      <c r="BG128" s="507" cm="1">
        <f t="array" ref="BG128">_xlfn.LET(_xlpm.DepreciationMonths,INDEX(FixedAssets[Depreciation
/ Amortization Months],_xlfn.XMATCH($E$84,FixedAssets[Asset ID])),IF(AND((_xlfn.XMATCH(BG$8,$AH$8:$CC$8))-_xlfn.XMATCH($C128,$C$35:$C$82)+1&lt;=_xlpm.DepreciationMonths,$C128&lt;=BG$8),$E128/_xlpm.DepreciationMonths,0))</f>
        <v>0</v>
      </c>
      <c r="BH128" s="507" cm="1">
        <f t="array" ref="BH128">_xlfn.LET(_xlpm.DepreciationMonths,INDEX(FixedAssets[Depreciation
/ Amortization Months],_xlfn.XMATCH($E$84,FixedAssets[Asset ID])),IF(AND((_xlfn.XMATCH(BH$8,$AH$8:$CC$8))-_xlfn.XMATCH($C128,$C$35:$C$82)+1&lt;=_xlpm.DepreciationMonths,$C128&lt;=BH$8),$E128/_xlpm.DepreciationMonths,0))</f>
        <v>0</v>
      </c>
      <c r="BI128" s="507" cm="1">
        <f t="array" ref="BI128">_xlfn.LET(_xlpm.DepreciationMonths,INDEX(FixedAssets[Depreciation
/ Amortization Months],_xlfn.XMATCH($E$84,FixedAssets[Asset ID])),IF(AND((_xlfn.XMATCH(BI$8,$AH$8:$CC$8))-_xlfn.XMATCH($C128,$C$35:$C$82)+1&lt;=_xlpm.DepreciationMonths,$C128&lt;=BI$8),$E128/_xlpm.DepreciationMonths,0))</f>
        <v>0</v>
      </c>
      <c r="BJ128" s="507" cm="1">
        <f t="array" ref="BJ128">_xlfn.LET(_xlpm.DepreciationMonths,INDEX(FixedAssets[Depreciation
/ Amortization Months],_xlfn.XMATCH($E$84,FixedAssets[Asset ID])),IF(AND((_xlfn.XMATCH(BJ$8,$AH$8:$CC$8))-_xlfn.XMATCH($C128,$C$35:$C$82)+1&lt;=_xlpm.DepreciationMonths,$C128&lt;=BJ$8),$E128/_xlpm.DepreciationMonths,0))</f>
        <v>0</v>
      </c>
      <c r="BK128" s="507" cm="1">
        <f t="array" ref="BK128">_xlfn.LET(_xlpm.DepreciationMonths,INDEX(FixedAssets[Depreciation
/ Amortization Months],_xlfn.XMATCH($E$84,FixedAssets[Asset ID])),IF(AND((_xlfn.XMATCH(BK$8,$AH$8:$CC$8))-_xlfn.XMATCH($C128,$C$35:$C$82)+1&lt;=_xlpm.DepreciationMonths,$C128&lt;=BK$8),$E128/_xlpm.DepreciationMonths,0))</f>
        <v>0</v>
      </c>
      <c r="BL128" s="507" cm="1">
        <f t="array" ref="BL128">_xlfn.LET(_xlpm.DepreciationMonths,INDEX(FixedAssets[Depreciation
/ Amortization Months],_xlfn.XMATCH($E$84,FixedAssets[Asset ID])),IF(AND((_xlfn.XMATCH(BL$8,$AH$8:$CC$8))-_xlfn.XMATCH($C128,$C$35:$C$82)+1&lt;=_xlpm.DepreciationMonths,$C128&lt;=BL$8),$E128/_xlpm.DepreciationMonths,0))</f>
        <v>0</v>
      </c>
      <c r="BM128" s="507" cm="1">
        <f t="array" ref="BM128">_xlfn.LET(_xlpm.DepreciationMonths,INDEX(FixedAssets[Depreciation
/ Amortization Months],_xlfn.XMATCH($E$84,FixedAssets[Asset ID])),IF(AND((_xlfn.XMATCH(BM$8,$AH$8:$CC$8))-_xlfn.XMATCH($C128,$C$35:$C$82)+1&lt;=_xlpm.DepreciationMonths,$C128&lt;=BM$8),$E128/_xlpm.DepreciationMonths,0))</f>
        <v>0</v>
      </c>
      <c r="BN128" s="507" cm="1">
        <f t="array" ref="BN128">_xlfn.LET(_xlpm.DepreciationMonths,INDEX(FixedAssets[Depreciation
/ Amortization Months],_xlfn.XMATCH($E$84,FixedAssets[Asset ID])),IF(AND((_xlfn.XMATCH(BN$8,$AH$8:$CC$8))-_xlfn.XMATCH($C128,$C$35:$C$82)+1&lt;=_xlpm.DepreciationMonths,$C128&lt;=BN$8),$E128/_xlpm.DepreciationMonths,0))</f>
        <v>0</v>
      </c>
      <c r="BO128" s="507" cm="1">
        <f t="array" ref="BO128">_xlfn.LET(_xlpm.DepreciationMonths,INDEX(FixedAssets[Depreciation
/ Amortization Months],_xlfn.XMATCH($E$84,FixedAssets[Asset ID])),IF(AND((_xlfn.XMATCH(BO$8,$AH$8:$CC$8))-_xlfn.XMATCH($C128,$C$35:$C$82)+1&lt;=_xlpm.DepreciationMonths,$C128&lt;=BO$8),$E128/_xlpm.DepreciationMonths,0))</f>
        <v>0</v>
      </c>
      <c r="BP128" s="507" cm="1">
        <f t="array" ref="BP128">_xlfn.LET(_xlpm.DepreciationMonths,INDEX(FixedAssets[Depreciation
/ Amortization Months],_xlfn.XMATCH($E$84,FixedAssets[Asset ID])),IF(AND((_xlfn.XMATCH(BP$8,$AH$8:$CC$8))-_xlfn.XMATCH($C128,$C$35:$C$82)+1&lt;=_xlpm.DepreciationMonths,$C128&lt;=BP$8),$E128/_xlpm.DepreciationMonths,0))</f>
        <v>0</v>
      </c>
      <c r="BQ128" s="507" cm="1">
        <f t="array" ref="BQ128">_xlfn.LET(_xlpm.DepreciationMonths,INDEX(FixedAssets[Depreciation
/ Amortization Months],_xlfn.XMATCH($E$84,FixedAssets[Asset ID])),IF(AND((_xlfn.XMATCH(BQ$8,$AH$8:$CC$8))-_xlfn.XMATCH($C128,$C$35:$C$82)+1&lt;=_xlpm.DepreciationMonths,$C128&lt;=BQ$8),$E128/_xlpm.DepreciationMonths,0))</f>
        <v>0</v>
      </c>
      <c r="BR128" s="507" cm="1">
        <f t="array" ref="BR128">_xlfn.LET(_xlpm.DepreciationMonths,INDEX(FixedAssets[Depreciation
/ Amortization Months],_xlfn.XMATCH($E$84,FixedAssets[Asset ID])),IF(AND((_xlfn.XMATCH(BR$8,$AH$8:$CC$8))-_xlfn.XMATCH($C128,$C$35:$C$82)+1&lt;=_xlpm.DepreciationMonths,$C128&lt;=BR$8),$E128/_xlpm.DepreciationMonths,0))</f>
        <v>0</v>
      </c>
      <c r="BS128" s="507" cm="1">
        <f t="array" ref="BS128">_xlfn.LET(_xlpm.DepreciationMonths,INDEX(FixedAssets[Depreciation
/ Amortization Months],_xlfn.XMATCH($E$84,FixedAssets[Asset ID])),IF(AND((_xlfn.XMATCH(BS$8,$AH$8:$CC$8))-_xlfn.XMATCH($C128,$C$35:$C$82)+1&lt;=_xlpm.DepreciationMonths,$C128&lt;=BS$8),$E128/_xlpm.DepreciationMonths,0))</f>
        <v>0</v>
      </c>
      <c r="BT128" s="507" cm="1">
        <f t="array" ref="BT128">_xlfn.LET(_xlpm.DepreciationMonths,INDEX(FixedAssets[Depreciation
/ Amortization Months],_xlfn.XMATCH($E$84,FixedAssets[Asset ID])),IF(AND((_xlfn.XMATCH(BT$8,$AH$8:$CC$8))-_xlfn.XMATCH($C128,$C$35:$C$82)+1&lt;=_xlpm.DepreciationMonths,$C128&lt;=BT$8),$E128/_xlpm.DepreciationMonths,0))</f>
        <v>0</v>
      </c>
      <c r="BU128" s="507" cm="1">
        <f t="array" ref="BU128">_xlfn.LET(_xlpm.DepreciationMonths,INDEX(FixedAssets[Depreciation
/ Amortization Months],_xlfn.XMATCH($E$84,FixedAssets[Asset ID])),IF(AND((_xlfn.XMATCH(BU$8,$AH$8:$CC$8))-_xlfn.XMATCH($C128,$C$35:$C$82)+1&lt;=_xlpm.DepreciationMonths,$C128&lt;=BU$8),$E128/_xlpm.DepreciationMonths,0))</f>
        <v>0</v>
      </c>
      <c r="BV128" s="507" cm="1">
        <f t="array" ref="BV128">_xlfn.LET(_xlpm.DepreciationMonths,INDEX(FixedAssets[Depreciation
/ Amortization Months],_xlfn.XMATCH($E$84,FixedAssets[Asset ID])),IF(AND((_xlfn.XMATCH(BV$8,$AH$8:$CC$8))-_xlfn.XMATCH($C128,$C$35:$C$82)+1&lt;=_xlpm.DepreciationMonths,$C128&lt;=BV$8),$E128/_xlpm.DepreciationMonths,0))</f>
        <v>0</v>
      </c>
      <c r="BW128" s="507" cm="1">
        <f t="array" ref="BW128">_xlfn.LET(_xlpm.DepreciationMonths,INDEX(FixedAssets[Depreciation
/ Amortization Months],_xlfn.XMATCH($E$84,FixedAssets[Asset ID])),IF(AND((_xlfn.XMATCH(BW$8,$AH$8:$CC$8))-_xlfn.XMATCH($C128,$C$35:$C$82)+1&lt;=_xlpm.DepreciationMonths,$C128&lt;=BW$8),$E128/_xlpm.DepreciationMonths,0))</f>
        <v>0</v>
      </c>
      <c r="BX128" s="507" cm="1">
        <f t="array" ref="BX128">_xlfn.LET(_xlpm.DepreciationMonths,INDEX(FixedAssets[Depreciation
/ Amortization Months],_xlfn.XMATCH($E$84,FixedAssets[Asset ID])),IF(AND((_xlfn.XMATCH(BX$8,$AH$8:$CC$8))-_xlfn.XMATCH($C128,$C$35:$C$82)+1&lt;=_xlpm.DepreciationMonths,$C128&lt;=BX$8),$E128/_xlpm.DepreciationMonths,0))</f>
        <v>0</v>
      </c>
      <c r="BY128" s="507" cm="1">
        <f t="array" ref="BY128">_xlfn.LET(_xlpm.DepreciationMonths,INDEX(FixedAssets[Depreciation
/ Amortization Months],_xlfn.XMATCH($E$84,FixedAssets[Asset ID])),IF(AND((_xlfn.XMATCH(BY$8,$AH$8:$CC$8))-_xlfn.XMATCH($C128,$C$35:$C$82)+1&lt;=_xlpm.DepreciationMonths,$C128&lt;=BY$8),$E128/_xlpm.DepreciationMonths,0))</f>
        <v>0</v>
      </c>
      <c r="BZ128" s="507" cm="1">
        <f t="array" ref="BZ128">_xlfn.LET(_xlpm.DepreciationMonths,INDEX(FixedAssets[Depreciation
/ Amortization Months],_xlfn.XMATCH($E$84,FixedAssets[Asset ID])),IF(AND((_xlfn.XMATCH(BZ$8,$AH$8:$CC$8))-_xlfn.XMATCH($C128,$C$35:$C$82)+1&lt;=_xlpm.DepreciationMonths,$C128&lt;=BZ$8),$E128/_xlpm.DepreciationMonths,0))</f>
        <v>0</v>
      </c>
      <c r="CA128" s="507" cm="1">
        <f t="array" ref="CA128">_xlfn.LET(_xlpm.DepreciationMonths,INDEX(FixedAssets[Depreciation
/ Amortization Months],_xlfn.XMATCH($E$84,FixedAssets[Asset ID])),IF(AND((_xlfn.XMATCH(CA$8,$AH$8:$CC$8))-_xlfn.XMATCH($C128,$C$35:$C$82)+1&lt;=_xlpm.DepreciationMonths,$C128&lt;=CA$8),$E128/_xlpm.DepreciationMonths,0))</f>
        <v>0</v>
      </c>
      <c r="CB128" s="507" cm="1">
        <f t="array" ref="CB128">_xlfn.LET(_xlpm.DepreciationMonths,INDEX(FixedAssets[Depreciation
/ Amortization Months],_xlfn.XMATCH($E$84,FixedAssets[Asset ID])),IF(AND((_xlfn.XMATCH(CB$8,$AH$8:$CC$8))-_xlfn.XMATCH($C128,$C$35:$C$82)+1&lt;=_xlpm.DepreciationMonths,$C128&lt;=CB$8),$E128/_xlpm.DepreciationMonths,0))</f>
        <v>0</v>
      </c>
      <c r="CC128" s="507" cm="1">
        <f t="array" ref="CC128">_xlfn.LET(_xlpm.DepreciationMonths,INDEX(FixedAssets[Depreciation
/ Amortization Months],_xlfn.XMATCH($E$84,FixedAssets[Asset ID])),IF(AND((_xlfn.XMATCH(CC$8,$AH$8:$CC$8))-_xlfn.XMATCH($C128,$C$35:$C$82)+1&lt;=_xlpm.DepreciationMonths,$C128&lt;=CC$8),$E128/_xlpm.DepreciationMonths,0))</f>
        <v>0</v>
      </c>
    </row>
    <row r="129" spans="3:81" hidden="1" outlineLevel="2">
      <c r="C129" s="664">
        <f t="shared" si="167"/>
        <v>46265</v>
      </c>
      <c r="D129" s="508"/>
      <c r="E129" s="508" cm="1">
        <f t="array" ref="E129">SUMPRODUCT(($AH$26:$CC$31)*($AH$5:$CC$5=$C129)*($E$26:$E$31=E$84))-SUMPRODUCT(($AH$26:$CC$31)*($AH$5:$CC$5=EOMONTH($C129,-1))*($E$26:$E$31=E$84))</f>
        <v>0</v>
      </c>
      <c r="F129" s="508"/>
      <c r="G129" s="508"/>
      <c r="H129" s="508"/>
      <c r="I129" s="508"/>
      <c r="J129" s="504">
        <f t="shared" si="164"/>
        <v>0</v>
      </c>
      <c r="K129" s="504">
        <f t="shared" si="172"/>
        <v>0</v>
      </c>
      <c r="L129" s="504">
        <f t="shared" si="172"/>
        <v>0</v>
      </c>
      <c r="M129" s="504">
        <f t="shared" si="172"/>
        <v>0</v>
      </c>
      <c r="N129" s="504"/>
      <c r="O129" s="504"/>
      <c r="P129" s="504">
        <f t="shared" si="173"/>
        <v>0</v>
      </c>
      <c r="Q129" s="504">
        <f t="shared" si="173"/>
        <v>0</v>
      </c>
      <c r="R129" s="504">
        <f t="shared" si="173"/>
        <v>0</v>
      </c>
      <c r="S129" s="504">
        <f t="shared" si="173"/>
        <v>0</v>
      </c>
      <c r="T129" s="504">
        <f t="shared" si="173"/>
        <v>0</v>
      </c>
      <c r="U129" s="504">
        <f t="shared" si="173"/>
        <v>0</v>
      </c>
      <c r="V129" s="504">
        <f t="shared" si="173"/>
        <v>0</v>
      </c>
      <c r="W129" s="504">
        <f t="shared" si="173"/>
        <v>0</v>
      </c>
      <c r="X129" s="504">
        <f t="shared" si="173"/>
        <v>0</v>
      </c>
      <c r="Y129" s="504">
        <f t="shared" si="173"/>
        <v>0</v>
      </c>
      <c r="Z129" s="504">
        <f t="shared" si="173"/>
        <v>0</v>
      </c>
      <c r="AA129" s="504">
        <f t="shared" si="173"/>
        <v>0</v>
      </c>
      <c r="AB129" s="504">
        <f t="shared" si="173"/>
        <v>0</v>
      </c>
      <c r="AC129" s="504">
        <f t="shared" si="173"/>
        <v>0</v>
      </c>
      <c r="AD129" s="504">
        <f t="shared" si="173"/>
        <v>0</v>
      </c>
      <c r="AE129" s="504">
        <f t="shared" si="173"/>
        <v>0</v>
      </c>
      <c r="AF129" s="508"/>
      <c r="AG129" s="508"/>
      <c r="AH129" s="507" cm="1">
        <f t="array" ref="AH129">_xlfn.LET(_xlpm.DepreciationMonths,INDEX(FixedAssets[Depreciation
/ Amortization Months],_xlfn.XMATCH($E$84,FixedAssets[Asset ID])),IF(AND((_xlfn.XMATCH(AH$8,$AH$8:$CC$8))-_xlfn.XMATCH($C129,$C$35:$C$82)+1&lt;=_xlpm.DepreciationMonths,$C129&lt;=AH$8),$E129/_xlpm.DepreciationMonths,0))</f>
        <v>0</v>
      </c>
      <c r="AI129" s="507" cm="1">
        <f t="array" ref="AI129">_xlfn.LET(_xlpm.DepreciationMonths,INDEX(FixedAssets[Depreciation
/ Amortization Months],_xlfn.XMATCH($E$84,FixedAssets[Asset ID])),IF(AND((_xlfn.XMATCH(AI$8,$AH$8:$CC$8))-_xlfn.XMATCH($C129,$C$35:$C$82)+1&lt;=_xlpm.DepreciationMonths,$C129&lt;=AI$8),$E129/_xlpm.DepreciationMonths,0))</f>
        <v>0</v>
      </c>
      <c r="AJ129" s="507" cm="1">
        <f t="array" ref="AJ129">_xlfn.LET(_xlpm.DepreciationMonths,INDEX(FixedAssets[Depreciation
/ Amortization Months],_xlfn.XMATCH($E$84,FixedAssets[Asset ID])),IF(AND((_xlfn.XMATCH(AJ$8,$AH$8:$CC$8))-_xlfn.XMATCH($C129,$C$35:$C$82)+1&lt;=_xlpm.DepreciationMonths,$C129&lt;=AJ$8),$E129/_xlpm.DepreciationMonths,0))</f>
        <v>0</v>
      </c>
      <c r="AK129" s="507" cm="1">
        <f t="array" ref="AK129">_xlfn.LET(_xlpm.DepreciationMonths,INDEX(FixedAssets[Depreciation
/ Amortization Months],_xlfn.XMATCH($E$84,FixedAssets[Asset ID])),IF(AND((_xlfn.XMATCH(AK$8,$AH$8:$CC$8))-_xlfn.XMATCH($C129,$C$35:$C$82)+1&lt;=_xlpm.DepreciationMonths,$C129&lt;=AK$8),$E129/_xlpm.DepreciationMonths,0))</f>
        <v>0</v>
      </c>
      <c r="AL129" s="507" cm="1">
        <f t="array" ref="AL129">_xlfn.LET(_xlpm.DepreciationMonths,INDEX(FixedAssets[Depreciation
/ Amortization Months],_xlfn.XMATCH($E$84,FixedAssets[Asset ID])),IF(AND((_xlfn.XMATCH(AL$8,$AH$8:$CC$8))-_xlfn.XMATCH($C129,$C$35:$C$82)+1&lt;=_xlpm.DepreciationMonths,$C129&lt;=AL$8),$E129/_xlpm.DepreciationMonths,0))</f>
        <v>0</v>
      </c>
      <c r="AM129" s="507" cm="1">
        <f t="array" ref="AM129">_xlfn.LET(_xlpm.DepreciationMonths,INDEX(FixedAssets[Depreciation
/ Amortization Months],_xlfn.XMATCH($E$84,FixedAssets[Asset ID])),IF(AND((_xlfn.XMATCH(AM$8,$AH$8:$CC$8))-_xlfn.XMATCH($C129,$C$35:$C$82)+1&lt;=_xlpm.DepreciationMonths,$C129&lt;=AM$8),$E129/_xlpm.DepreciationMonths,0))</f>
        <v>0</v>
      </c>
      <c r="AN129" s="507" cm="1">
        <f t="array" ref="AN129">_xlfn.LET(_xlpm.DepreciationMonths,INDEX(FixedAssets[Depreciation
/ Amortization Months],_xlfn.XMATCH($E$84,FixedAssets[Asset ID])),IF(AND((_xlfn.XMATCH(AN$8,$AH$8:$CC$8))-_xlfn.XMATCH($C129,$C$35:$C$82)+1&lt;=_xlpm.DepreciationMonths,$C129&lt;=AN$8),$E129/_xlpm.DepreciationMonths,0))</f>
        <v>0</v>
      </c>
      <c r="AO129" s="507" cm="1">
        <f t="array" ref="AO129">_xlfn.LET(_xlpm.DepreciationMonths,INDEX(FixedAssets[Depreciation
/ Amortization Months],_xlfn.XMATCH($E$84,FixedAssets[Asset ID])),IF(AND((_xlfn.XMATCH(AO$8,$AH$8:$CC$8))-_xlfn.XMATCH($C129,$C$35:$C$82)+1&lt;=_xlpm.DepreciationMonths,$C129&lt;=AO$8),$E129/_xlpm.DepreciationMonths,0))</f>
        <v>0</v>
      </c>
      <c r="AP129" s="507" cm="1">
        <f t="array" ref="AP129">_xlfn.LET(_xlpm.DepreciationMonths,INDEX(FixedAssets[Depreciation
/ Amortization Months],_xlfn.XMATCH($E$84,FixedAssets[Asset ID])),IF(AND((_xlfn.XMATCH(AP$8,$AH$8:$CC$8))-_xlfn.XMATCH($C129,$C$35:$C$82)+1&lt;=_xlpm.DepreciationMonths,$C129&lt;=AP$8),$E129/_xlpm.DepreciationMonths,0))</f>
        <v>0</v>
      </c>
      <c r="AQ129" s="507" cm="1">
        <f t="array" ref="AQ129">_xlfn.LET(_xlpm.DepreciationMonths,INDEX(FixedAssets[Depreciation
/ Amortization Months],_xlfn.XMATCH($E$84,FixedAssets[Asset ID])),IF(AND((_xlfn.XMATCH(AQ$8,$AH$8:$CC$8))-_xlfn.XMATCH($C129,$C$35:$C$82)+1&lt;=_xlpm.DepreciationMonths,$C129&lt;=AQ$8),$E129/_xlpm.DepreciationMonths,0))</f>
        <v>0</v>
      </c>
      <c r="AR129" s="507" cm="1">
        <f t="array" ref="AR129">_xlfn.LET(_xlpm.DepreciationMonths,INDEX(FixedAssets[Depreciation
/ Amortization Months],_xlfn.XMATCH($E$84,FixedAssets[Asset ID])),IF(AND((_xlfn.XMATCH(AR$8,$AH$8:$CC$8))-_xlfn.XMATCH($C129,$C$35:$C$82)+1&lt;=_xlpm.DepreciationMonths,$C129&lt;=AR$8),$E129/_xlpm.DepreciationMonths,0))</f>
        <v>0</v>
      </c>
      <c r="AS129" s="507" cm="1">
        <f t="array" ref="AS129">_xlfn.LET(_xlpm.DepreciationMonths,INDEX(FixedAssets[Depreciation
/ Amortization Months],_xlfn.XMATCH($E$84,FixedAssets[Asset ID])),IF(AND((_xlfn.XMATCH(AS$8,$AH$8:$CC$8))-_xlfn.XMATCH($C129,$C$35:$C$82)+1&lt;=_xlpm.DepreciationMonths,$C129&lt;=AS$8),$E129/_xlpm.DepreciationMonths,0))</f>
        <v>0</v>
      </c>
      <c r="AT129" s="507" cm="1">
        <f t="array" ref="AT129">_xlfn.LET(_xlpm.DepreciationMonths,INDEX(FixedAssets[Depreciation
/ Amortization Months],_xlfn.XMATCH($E$84,FixedAssets[Asset ID])),IF(AND((_xlfn.XMATCH(AT$8,$AH$8:$CC$8))-_xlfn.XMATCH($C129,$C$35:$C$82)+1&lt;=_xlpm.DepreciationMonths,$C129&lt;=AT$8),$E129/_xlpm.DepreciationMonths,0))</f>
        <v>0</v>
      </c>
      <c r="AU129" s="507" cm="1">
        <f t="array" ref="AU129">_xlfn.LET(_xlpm.DepreciationMonths,INDEX(FixedAssets[Depreciation
/ Amortization Months],_xlfn.XMATCH($E$84,FixedAssets[Asset ID])),IF(AND((_xlfn.XMATCH(AU$8,$AH$8:$CC$8))-_xlfn.XMATCH($C129,$C$35:$C$82)+1&lt;=_xlpm.DepreciationMonths,$C129&lt;=AU$8),$E129/_xlpm.DepreciationMonths,0))</f>
        <v>0</v>
      </c>
      <c r="AV129" s="507" cm="1">
        <f t="array" ref="AV129">_xlfn.LET(_xlpm.DepreciationMonths,INDEX(FixedAssets[Depreciation
/ Amortization Months],_xlfn.XMATCH($E$84,FixedAssets[Asset ID])),IF(AND((_xlfn.XMATCH(AV$8,$AH$8:$CC$8))-_xlfn.XMATCH($C129,$C$35:$C$82)+1&lt;=_xlpm.DepreciationMonths,$C129&lt;=AV$8),$E129/_xlpm.DepreciationMonths,0))</f>
        <v>0</v>
      </c>
      <c r="AW129" s="507" cm="1">
        <f t="array" ref="AW129">_xlfn.LET(_xlpm.DepreciationMonths,INDEX(FixedAssets[Depreciation
/ Amortization Months],_xlfn.XMATCH($E$84,FixedAssets[Asset ID])),IF(AND((_xlfn.XMATCH(AW$8,$AH$8:$CC$8))-_xlfn.XMATCH($C129,$C$35:$C$82)+1&lt;=_xlpm.DepreciationMonths,$C129&lt;=AW$8),$E129/_xlpm.DepreciationMonths,0))</f>
        <v>0</v>
      </c>
      <c r="AX129" s="507" cm="1">
        <f t="array" ref="AX129">_xlfn.LET(_xlpm.DepreciationMonths,INDEX(FixedAssets[Depreciation
/ Amortization Months],_xlfn.XMATCH($E$84,FixedAssets[Asset ID])),IF(AND((_xlfn.XMATCH(AX$8,$AH$8:$CC$8))-_xlfn.XMATCH($C129,$C$35:$C$82)+1&lt;=_xlpm.DepreciationMonths,$C129&lt;=AX$8),$E129/_xlpm.DepreciationMonths,0))</f>
        <v>0</v>
      </c>
      <c r="AY129" s="507" cm="1">
        <f t="array" ref="AY129">_xlfn.LET(_xlpm.DepreciationMonths,INDEX(FixedAssets[Depreciation
/ Amortization Months],_xlfn.XMATCH($E$84,FixedAssets[Asset ID])),IF(AND((_xlfn.XMATCH(AY$8,$AH$8:$CC$8))-_xlfn.XMATCH($C129,$C$35:$C$82)+1&lt;=_xlpm.DepreciationMonths,$C129&lt;=AY$8),$E129/_xlpm.DepreciationMonths,0))</f>
        <v>0</v>
      </c>
      <c r="AZ129" s="507" cm="1">
        <f t="array" ref="AZ129">_xlfn.LET(_xlpm.DepreciationMonths,INDEX(FixedAssets[Depreciation
/ Amortization Months],_xlfn.XMATCH($E$84,FixedAssets[Asset ID])),IF(AND((_xlfn.XMATCH(AZ$8,$AH$8:$CC$8))-_xlfn.XMATCH($C129,$C$35:$C$82)+1&lt;=_xlpm.DepreciationMonths,$C129&lt;=AZ$8),$E129/_xlpm.DepreciationMonths,0))</f>
        <v>0</v>
      </c>
      <c r="BA129" s="507" cm="1">
        <f t="array" ref="BA129">_xlfn.LET(_xlpm.DepreciationMonths,INDEX(FixedAssets[Depreciation
/ Amortization Months],_xlfn.XMATCH($E$84,FixedAssets[Asset ID])),IF(AND((_xlfn.XMATCH(BA$8,$AH$8:$CC$8))-_xlfn.XMATCH($C129,$C$35:$C$82)+1&lt;=_xlpm.DepreciationMonths,$C129&lt;=BA$8),$E129/_xlpm.DepreciationMonths,0))</f>
        <v>0</v>
      </c>
      <c r="BB129" s="507" cm="1">
        <f t="array" ref="BB129">_xlfn.LET(_xlpm.DepreciationMonths,INDEX(FixedAssets[Depreciation
/ Amortization Months],_xlfn.XMATCH($E$84,FixedAssets[Asset ID])),IF(AND((_xlfn.XMATCH(BB$8,$AH$8:$CC$8))-_xlfn.XMATCH($C129,$C$35:$C$82)+1&lt;=_xlpm.DepreciationMonths,$C129&lt;=BB$8),$E129/_xlpm.DepreciationMonths,0))</f>
        <v>0</v>
      </c>
      <c r="BC129" s="507" cm="1">
        <f t="array" ref="BC129">_xlfn.LET(_xlpm.DepreciationMonths,INDEX(FixedAssets[Depreciation
/ Amortization Months],_xlfn.XMATCH($E$84,FixedAssets[Asset ID])),IF(AND((_xlfn.XMATCH(BC$8,$AH$8:$CC$8))-_xlfn.XMATCH($C129,$C$35:$C$82)+1&lt;=_xlpm.DepreciationMonths,$C129&lt;=BC$8),$E129/_xlpm.DepreciationMonths,0))</f>
        <v>0</v>
      </c>
      <c r="BD129" s="507" cm="1">
        <f t="array" ref="BD129">_xlfn.LET(_xlpm.DepreciationMonths,INDEX(FixedAssets[Depreciation
/ Amortization Months],_xlfn.XMATCH($E$84,FixedAssets[Asset ID])),IF(AND((_xlfn.XMATCH(BD$8,$AH$8:$CC$8))-_xlfn.XMATCH($C129,$C$35:$C$82)+1&lt;=_xlpm.DepreciationMonths,$C129&lt;=BD$8),$E129/_xlpm.DepreciationMonths,0))</f>
        <v>0</v>
      </c>
      <c r="BE129" s="507" cm="1">
        <f t="array" ref="BE129">_xlfn.LET(_xlpm.DepreciationMonths,INDEX(FixedAssets[Depreciation
/ Amortization Months],_xlfn.XMATCH($E$84,FixedAssets[Asset ID])),IF(AND((_xlfn.XMATCH(BE$8,$AH$8:$CC$8))-_xlfn.XMATCH($C129,$C$35:$C$82)+1&lt;=_xlpm.DepreciationMonths,$C129&lt;=BE$8),$E129/_xlpm.DepreciationMonths,0))</f>
        <v>0</v>
      </c>
      <c r="BF129" s="507" cm="1">
        <f t="array" ref="BF129">_xlfn.LET(_xlpm.DepreciationMonths,INDEX(FixedAssets[Depreciation
/ Amortization Months],_xlfn.XMATCH($E$84,FixedAssets[Asset ID])),IF(AND((_xlfn.XMATCH(BF$8,$AH$8:$CC$8))-_xlfn.XMATCH($C129,$C$35:$C$82)+1&lt;=_xlpm.DepreciationMonths,$C129&lt;=BF$8),$E129/_xlpm.DepreciationMonths,0))</f>
        <v>0</v>
      </c>
      <c r="BG129" s="507" cm="1">
        <f t="array" ref="BG129">_xlfn.LET(_xlpm.DepreciationMonths,INDEX(FixedAssets[Depreciation
/ Amortization Months],_xlfn.XMATCH($E$84,FixedAssets[Asset ID])),IF(AND((_xlfn.XMATCH(BG$8,$AH$8:$CC$8))-_xlfn.XMATCH($C129,$C$35:$C$82)+1&lt;=_xlpm.DepreciationMonths,$C129&lt;=BG$8),$E129/_xlpm.DepreciationMonths,0))</f>
        <v>0</v>
      </c>
      <c r="BH129" s="507" cm="1">
        <f t="array" ref="BH129">_xlfn.LET(_xlpm.DepreciationMonths,INDEX(FixedAssets[Depreciation
/ Amortization Months],_xlfn.XMATCH($E$84,FixedAssets[Asset ID])),IF(AND((_xlfn.XMATCH(BH$8,$AH$8:$CC$8))-_xlfn.XMATCH($C129,$C$35:$C$82)+1&lt;=_xlpm.DepreciationMonths,$C129&lt;=BH$8),$E129/_xlpm.DepreciationMonths,0))</f>
        <v>0</v>
      </c>
      <c r="BI129" s="507" cm="1">
        <f t="array" ref="BI129">_xlfn.LET(_xlpm.DepreciationMonths,INDEX(FixedAssets[Depreciation
/ Amortization Months],_xlfn.XMATCH($E$84,FixedAssets[Asset ID])),IF(AND((_xlfn.XMATCH(BI$8,$AH$8:$CC$8))-_xlfn.XMATCH($C129,$C$35:$C$82)+1&lt;=_xlpm.DepreciationMonths,$C129&lt;=BI$8),$E129/_xlpm.DepreciationMonths,0))</f>
        <v>0</v>
      </c>
      <c r="BJ129" s="507" cm="1">
        <f t="array" ref="BJ129">_xlfn.LET(_xlpm.DepreciationMonths,INDEX(FixedAssets[Depreciation
/ Amortization Months],_xlfn.XMATCH($E$84,FixedAssets[Asset ID])),IF(AND((_xlfn.XMATCH(BJ$8,$AH$8:$CC$8))-_xlfn.XMATCH($C129,$C$35:$C$82)+1&lt;=_xlpm.DepreciationMonths,$C129&lt;=BJ$8),$E129/_xlpm.DepreciationMonths,0))</f>
        <v>0</v>
      </c>
      <c r="BK129" s="507" cm="1">
        <f t="array" ref="BK129">_xlfn.LET(_xlpm.DepreciationMonths,INDEX(FixedAssets[Depreciation
/ Amortization Months],_xlfn.XMATCH($E$84,FixedAssets[Asset ID])),IF(AND((_xlfn.XMATCH(BK$8,$AH$8:$CC$8))-_xlfn.XMATCH($C129,$C$35:$C$82)+1&lt;=_xlpm.DepreciationMonths,$C129&lt;=BK$8),$E129/_xlpm.DepreciationMonths,0))</f>
        <v>0</v>
      </c>
      <c r="BL129" s="507" cm="1">
        <f t="array" ref="BL129">_xlfn.LET(_xlpm.DepreciationMonths,INDEX(FixedAssets[Depreciation
/ Amortization Months],_xlfn.XMATCH($E$84,FixedAssets[Asset ID])),IF(AND((_xlfn.XMATCH(BL$8,$AH$8:$CC$8))-_xlfn.XMATCH($C129,$C$35:$C$82)+1&lt;=_xlpm.DepreciationMonths,$C129&lt;=BL$8),$E129/_xlpm.DepreciationMonths,0))</f>
        <v>0</v>
      </c>
      <c r="BM129" s="507" cm="1">
        <f t="array" ref="BM129">_xlfn.LET(_xlpm.DepreciationMonths,INDEX(FixedAssets[Depreciation
/ Amortization Months],_xlfn.XMATCH($E$84,FixedAssets[Asset ID])),IF(AND((_xlfn.XMATCH(BM$8,$AH$8:$CC$8))-_xlfn.XMATCH($C129,$C$35:$C$82)+1&lt;=_xlpm.DepreciationMonths,$C129&lt;=BM$8),$E129/_xlpm.DepreciationMonths,0))</f>
        <v>0</v>
      </c>
      <c r="BN129" s="507" cm="1">
        <f t="array" ref="BN129">_xlfn.LET(_xlpm.DepreciationMonths,INDEX(FixedAssets[Depreciation
/ Amortization Months],_xlfn.XMATCH($E$84,FixedAssets[Asset ID])),IF(AND((_xlfn.XMATCH(BN$8,$AH$8:$CC$8))-_xlfn.XMATCH($C129,$C$35:$C$82)+1&lt;=_xlpm.DepreciationMonths,$C129&lt;=BN$8),$E129/_xlpm.DepreciationMonths,0))</f>
        <v>0</v>
      </c>
      <c r="BO129" s="507" cm="1">
        <f t="array" ref="BO129">_xlfn.LET(_xlpm.DepreciationMonths,INDEX(FixedAssets[Depreciation
/ Amortization Months],_xlfn.XMATCH($E$84,FixedAssets[Asset ID])),IF(AND((_xlfn.XMATCH(BO$8,$AH$8:$CC$8))-_xlfn.XMATCH($C129,$C$35:$C$82)+1&lt;=_xlpm.DepreciationMonths,$C129&lt;=BO$8),$E129/_xlpm.DepreciationMonths,0))</f>
        <v>0</v>
      </c>
      <c r="BP129" s="507" cm="1">
        <f t="array" ref="BP129">_xlfn.LET(_xlpm.DepreciationMonths,INDEX(FixedAssets[Depreciation
/ Amortization Months],_xlfn.XMATCH($E$84,FixedAssets[Asset ID])),IF(AND((_xlfn.XMATCH(BP$8,$AH$8:$CC$8))-_xlfn.XMATCH($C129,$C$35:$C$82)+1&lt;=_xlpm.DepreciationMonths,$C129&lt;=BP$8),$E129/_xlpm.DepreciationMonths,0))</f>
        <v>0</v>
      </c>
      <c r="BQ129" s="507" cm="1">
        <f t="array" ref="BQ129">_xlfn.LET(_xlpm.DepreciationMonths,INDEX(FixedAssets[Depreciation
/ Amortization Months],_xlfn.XMATCH($E$84,FixedAssets[Asset ID])),IF(AND((_xlfn.XMATCH(BQ$8,$AH$8:$CC$8))-_xlfn.XMATCH($C129,$C$35:$C$82)+1&lt;=_xlpm.DepreciationMonths,$C129&lt;=BQ$8),$E129/_xlpm.DepreciationMonths,0))</f>
        <v>0</v>
      </c>
      <c r="BR129" s="507" cm="1">
        <f t="array" ref="BR129">_xlfn.LET(_xlpm.DepreciationMonths,INDEX(FixedAssets[Depreciation
/ Amortization Months],_xlfn.XMATCH($E$84,FixedAssets[Asset ID])),IF(AND((_xlfn.XMATCH(BR$8,$AH$8:$CC$8))-_xlfn.XMATCH($C129,$C$35:$C$82)+1&lt;=_xlpm.DepreciationMonths,$C129&lt;=BR$8),$E129/_xlpm.DepreciationMonths,0))</f>
        <v>0</v>
      </c>
      <c r="BS129" s="507" cm="1">
        <f t="array" ref="BS129">_xlfn.LET(_xlpm.DepreciationMonths,INDEX(FixedAssets[Depreciation
/ Amortization Months],_xlfn.XMATCH($E$84,FixedAssets[Asset ID])),IF(AND((_xlfn.XMATCH(BS$8,$AH$8:$CC$8))-_xlfn.XMATCH($C129,$C$35:$C$82)+1&lt;=_xlpm.DepreciationMonths,$C129&lt;=BS$8),$E129/_xlpm.DepreciationMonths,0))</f>
        <v>0</v>
      </c>
      <c r="BT129" s="507" cm="1">
        <f t="array" ref="BT129">_xlfn.LET(_xlpm.DepreciationMonths,INDEX(FixedAssets[Depreciation
/ Amortization Months],_xlfn.XMATCH($E$84,FixedAssets[Asset ID])),IF(AND((_xlfn.XMATCH(BT$8,$AH$8:$CC$8))-_xlfn.XMATCH($C129,$C$35:$C$82)+1&lt;=_xlpm.DepreciationMonths,$C129&lt;=BT$8),$E129/_xlpm.DepreciationMonths,0))</f>
        <v>0</v>
      </c>
      <c r="BU129" s="507" cm="1">
        <f t="array" ref="BU129">_xlfn.LET(_xlpm.DepreciationMonths,INDEX(FixedAssets[Depreciation
/ Amortization Months],_xlfn.XMATCH($E$84,FixedAssets[Asset ID])),IF(AND((_xlfn.XMATCH(BU$8,$AH$8:$CC$8))-_xlfn.XMATCH($C129,$C$35:$C$82)+1&lt;=_xlpm.DepreciationMonths,$C129&lt;=BU$8),$E129/_xlpm.DepreciationMonths,0))</f>
        <v>0</v>
      </c>
      <c r="BV129" s="507" cm="1">
        <f t="array" ref="BV129">_xlfn.LET(_xlpm.DepreciationMonths,INDEX(FixedAssets[Depreciation
/ Amortization Months],_xlfn.XMATCH($E$84,FixedAssets[Asset ID])),IF(AND((_xlfn.XMATCH(BV$8,$AH$8:$CC$8))-_xlfn.XMATCH($C129,$C$35:$C$82)+1&lt;=_xlpm.DepreciationMonths,$C129&lt;=BV$8),$E129/_xlpm.DepreciationMonths,0))</f>
        <v>0</v>
      </c>
      <c r="BW129" s="507" cm="1">
        <f t="array" ref="BW129">_xlfn.LET(_xlpm.DepreciationMonths,INDEX(FixedAssets[Depreciation
/ Amortization Months],_xlfn.XMATCH($E$84,FixedAssets[Asset ID])),IF(AND((_xlfn.XMATCH(BW$8,$AH$8:$CC$8))-_xlfn.XMATCH($C129,$C$35:$C$82)+1&lt;=_xlpm.DepreciationMonths,$C129&lt;=BW$8),$E129/_xlpm.DepreciationMonths,0))</f>
        <v>0</v>
      </c>
      <c r="BX129" s="507" cm="1">
        <f t="array" ref="BX129">_xlfn.LET(_xlpm.DepreciationMonths,INDEX(FixedAssets[Depreciation
/ Amortization Months],_xlfn.XMATCH($E$84,FixedAssets[Asset ID])),IF(AND((_xlfn.XMATCH(BX$8,$AH$8:$CC$8))-_xlfn.XMATCH($C129,$C$35:$C$82)+1&lt;=_xlpm.DepreciationMonths,$C129&lt;=BX$8),$E129/_xlpm.DepreciationMonths,0))</f>
        <v>0</v>
      </c>
      <c r="BY129" s="507" cm="1">
        <f t="array" ref="BY129">_xlfn.LET(_xlpm.DepreciationMonths,INDEX(FixedAssets[Depreciation
/ Amortization Months],_xlfn.XMATCH($E$84,FixedAssets[Asset ID])),IF(AND((_xlfn.XMATCH(BY$8,$AH$8:$CC$8))-_xlfn.XMATCH($C129,$C$35:$C$82)+1&lt;=_xlpm.DepreciationMonths,$C129&lt;=BY$8),$E129/_xlpm.DepreciationMonths,0))</f>
        <v>0</v>
      </c>
      <c r="BZ129" s="507" cm="1">
        <f t="array" ref="BZ129">_xlfn.LET(_xlpm.DepreciationMonths,INDEX(FixedAssets[Depreciation
/ Amortization Months],_xlfn.XMATCH($E$84,FixedAssets[Asset ID])),IF(AND((_xlfn.XMATCH(BZ$8,$AH$8:$CC$8))-_xlfn.XMATCH($C129,$C$35:$C$82)+1&lt;=_xlpm.DepreciationMonths,$C129&lt;=BZ$8),$E129/_xlpm.DepreciationMonths,0))</f>
        <v>0</v>
      </c>
      <c r="CA129" s="507" cm="1">
        <f t="array" ref="CA129">_xlfn.LET(_xlpm.DepreciationMonths,INDEX(FixedAssets[Depreciation
/ Amortization Months],_xlfn.XMATCH($E$84,FixedAssets[Asset ID])),IF(AND((_xlfn.XMATCH(CA$8,$AH$8:$CC$8))-_xlfn.XMATCH($C129,$C$35:$C$82)+1&lt;=_xlpm.DepreciationMonths,$C129&lt;=CA$8),$E129/_xlpm.DepreciationMonths,0))</f>
        <v>0</v>
      </c>
      <c r="CB129" s="507" cm="1">
        <f t="array" ref="CB129">_xlfn.LET(_xlpm.DepreciationMonths,INDEX(FixedAssets[Depreciation
/ Amortization Months],_xlfn.XMATCH($E$84,FixedAssets[Asset ID])),IF(AND((_xlfn.XMATCH(CB$8,$AH$8:$CC$8))-_xlfn.XMATCH($C129,$C$35:$C$82)+1&lt;=_xlpm.DepreciationMonths,$C129&lt;=CB$8),$E129/_xlpm.DepreciationMonths,0))</f>
        <v>0</v>
      </c>
      <c r="CC129" s="507" cm="1">
        <f t="array" ref="CC129">_xlfn.LET(_xlpm.DepreciationMonths,INDEX(FixedAssets[Depreciation
/ Amortization Months],_xlfn.XMATCH($E$84,FixedAssets[Asset ID])),IF(AND((_xlfn.XMATCH(CC$8,$AH$8:$CC$8))-_xlfn.XMATCH($C129,$C$35:$C$82)+1&lt;=_xlpm.DepreciationMonths,$C129&lt;=CC$8),$E129/_xlpm.DepreciationMonths,0))</f>
        <v>0</v>
      </c>
    </row>
    <row r="130" spans="3:81" hidden="1" outlineLevel="2">
      <c r="C130" s="664">
        <f t="shared" si="167"/>
        <v>46295</v>
      </c>
      <c r="D130" s="508"/>
      <c r="E130" s="508" cm="1">
        <f t="array" ref="E130">SUMPRODUCT(($AH$26:$CC$31)*($AH$5:$CC$5=$C130)*($E$26:$E$31=E$84))-SUMPRODUCT(($AH$26:$CC$31)*($AH$5:$CC$5=EOMONTH($C130,-1))*($E$26:$E$31=E$84))</f>
        <v>0</v>
      </c>
      <c r="F130" s="508"/>
      <c r="G130" s="508"/>
      <c r="H130" s="508"/>
      <c r="I130" s="508"/>
      <c r="J130" s="504">
        <f t="shared" si="164"/>
        <v>0</v>
      </c>
      <c r="K130" s="504">
        <f t="shared" si="172"/>
        <v>0</v>
      </c>
      <c r="L130" s="504">
        <f t="shared" si="172"/>
        <v>0</v>
      </c>
      <c r="M130" s="504">
        <f t="shared" si="172"/>
        <v>0</v>
      </c>
      <c r="N130" s="504"/>
      <c r="O130" s="504"/>
      <c r="P130" s="504">
        <f t="shared" si="173"/>
        <v>0</v>
      </c>
      <c r="Q130" s="504">
        <f t="shared" si="173"/>
        <v>0</v>
      </c>
      <c r="R130" s="504">
        <f t="shared" si="173"/>
        <v>0</v>
      </c>
      <c r="S130" s="504">
        <f t="shared" si="173"/>
        <v>0</v>
      </c>
      <c r="T130" s="504">
        <f t="shared" si="173"/>
        <v>0</v>
      </c>
      <c r="U130" s="504">
        <f t="shared" si="173"/>
        <v>0</v>
      </c>
      <c r="V130" s="504">
        <f t="shared" si="173"/>
        <v>0</v>
      </c>
      <c r="W130" s="504">
        <f t="shared" si="173"/>
        <v>0</v>
      </c>
      <c r="X130" s="504">
        <f t="shared" si="173"/>
        <v>0</v>
      </c>
      <c r="Y130" s="504">
        <f t="shared" si="173"/>
        <v>0</v>
      </c>
      <c r="Z130" s="504">
        <f t="shared" si="173"/>
        <v>0</v>
      </c>
      <c r="AA130" s="504">
        <f t="shared" si="173"/>
        <v>0</v>
      </c>
      <c r="AB130" s="504">
        <f t="shared" si="173"/>
        <v>0</v>
      </c>
      <c r="AC130" s="504">
        <f t="shared" si="173"/>
        <v>0</v>
      </c>
      <c r="AD130" s="504">
        <f t="shared" si="173"/>
        <v>0</v>
      </c>
      <c r="AE130" s="504">
        <f t="shared" si="173"/>
        <v>0</v>
      </c>
      <c r="AF130" s="508"/>
      <c r="AG130" s="508"/>
      <c r="AH130" s="507" cm="1">
        <f t="array" ref="AH130">_xlfn.LET(_xlpm.DepreciationMonths,INDEX(FixedAssets[Depreciation
/ Amortization Months],_xlfn.XMATCH($E$84,FixedAssets[Asset ID])),IF(AND((_xlfn.XMATCH(AH$8,$AH$8:$CC$8))-_xlfn.XMATCH($C130,$C$35:$C$82)+1&lt;=_xlpm.DepreciationMonths,$C130&lt;=AH$8),$E130/_xlpm.DepreciationMonths,0))</f>
        <v>0</v>
      </c>
      <c r="AI130" s="507" cm="1">
        <f t="array" ref="AI130">_xlfn.LET(_xlpm.DepreciationMonths,INDEX(FixedAssets[Depreciation
/ Amortization Months],_xlfn.XMATCH($E$84,FixedAssets[Asset ID])),IF(AND((_xlfn.XMATCH(AI$8,$AH$8:$CC$8))-_xlfn.XMATCH($C130,$C$35:$C$82)+1&lt;=_xlpm.DepreciationMonths,$C130&lt;=AI$8),$E130/_xlpm.DepreciationMonths,0))</f>
        <v>0</v>
      </c>
      <c r="AJ130" s="507" cm="1">
        <f t="array" ref="AJ130">_xlfn.LET(_xlpm.DepreciationMonths,INDEX(FixedAssets[Depreciation
/ Amortization Months],_xlfn.XMATCH($E$84,FixedAssets[Asset ID])),IF(AND((_xlfn.XMATCH(AJ$8,$AH$8:$CC$8))-_xlfn.XMATCH($C130,$C$35:$C$82)+1&lt;=_xlpm.DepreciationMonths,$C130&lt;=AJ$8),$E130/_xlpm.DepreciationMonths,0))</f>
        <v>0</v>
      </c>
      <c r="AK130" s="507" cm="1">
        <f t="array" ref="AK130">_xlfn.LET(_xlpm.DepreciationMonths,INDEX(FixedAssets[Depreciation
/ Amortization Months],_xlfn.XMATCH($E$84,FixedAssets[Asset ID])),IF(AND((_xlfn.XMATCH(AK$8,$AH$8:$CC$8))-_xlfn.XMATCH($C130,$C$35:$C$82)+1&lt;=_xlpm.DepreciationMonths,$C130&lt;=AK$8),$E130/_xlpm.DepreciationMonths,0))</f>
        <v>0</v>
      </c>
      <c r="AL130" s="507" cm="1">
        <f t="array" ref="AL130">_xlfn.LET(_xlpm.DepreciationMonths,INDEX(FixedAssets[Depreciation
/ Amortization Months],_xlfn.XMATCH($E$84,FixedAssets[Asset ID])),IF(AND((_xlfn.XMATCH(AL$8,$AH$8:$CC$8))-_xlfn.XMATCH($C130,$C$35:$C$82)+1&lt;=_xlpm.DepreciationMonths,$C130&lt;=AL$8),$E130/_xlpm.DepreciationMonths,0))</f>
        <v>0</v>
      </c>
      <c r="AM130" s="507" cm="1">
        <f t="array" ref="AM130">_xlfn.LET(_xlpm.DepreciationMonths,INDEX(FixedAssets[Depreciation
/ Amortization Months],_xlfn.XMATCH($E$84,FixedAssets[Asset ID])),IF(AND((_xlfn.XMATCH(AM$8,$AH$8:$CC$8))-_xlfn.XMATCH($C130,$C$35:$C$82)+1&lt;=_xlpm.DepreciationMonths,$C130&lt;=AM$8),$E130/_xlpm.DepreciationMonths,0))</f>
        <v>0</v>
      </c>
      <c r="AN130" s="507" cm="1">
        <f t="array" ref="AN130">_xlfn.LET(_xlpm.DepreciationMonths,INDEX(FixedAssets[Depreciation
/ Amortization Months],_xlfn.XMATCH($E$84,FixedAssets[Asset ID])),IF(AND((_xlfn.XMATCH(AN$8,$AH$8:$CC$8))-_xlfn.XMATCH($C130,$C$35:$C$82)+1&lt;=_xlpm.DepreciationMonths,$C130&lt;=AN$8),$E130/_xlpm.DepreciationMonths,0))</f>
        <v>0</v>
      </c>
      <c r="AO130" s="507" cm="1">
        <f t="array" ref="AO130">_xlfn.LET(_xlpm.DepreciationMonths,INDEX(FixedAssets[Depreciation
/ Amortization Months],_xlfn.XMATCH($E$84,FixedAssets[Asset ID])),IF(AND((_xlfn.XMATCH(AO$8,$AH$8:$CC$8))-_xlfn.XMATCH($C130,$C$35:$C$82)+1&lt;=_xlpm.DepreciationMonths,$C130&lt;=AO$8),$E130/_xlpm.DepreciationMonths,0))</f>
        <v>0</v>
      </c>
      <c r="AP130" s="507" cm="1">
        <f t="array" ref="AP130">_xlfn.LET(_xlpm.DepreciationMonths,INDEX(FixedAssets[Depreciation
/ Amortization Months],_xlfn.XMATCH($E$84,FixedAssets[Asset ID])),IF(AND((_xlfn.XMATCH(AP$8,$AH$8:$CC$8))-_xlfn.XMATCH($C130,$C$35:$C$82)+1&lt;=_xlpm.DepreciationMonths,$C130&lt;=AP$8),$E130/_xlpm.DepreciationMonths,0))</f>
        <v>0</v>
      </c>
      <c r="AQ130" s="507" cm="1">
        <f t="array" ref="AQ130">_xlfn.LET(_xlpm.DepreciationMonths,INDEX(FixedAssets[Depreciation
/ Amortization Months],_xlfn.XMATCH($E$84,FixedAssets[Asset ID])),IF(AND((_xlfn.XMATCH(AQ$8,$AH$8:$CC$8))-_xlfn.XMATCH($C130,$C$35:$C$82)+1&lt;=_xlpm.DepreciationMonths,$C130&lt;=AQ$8),$E130/_xlpm.DepreciationMonths,0))</f>
        <v>0</v>
      </c>
      <c r="AR130" s="507" cm="1">
        <f t="array" ref="AR130">_xlfn.LET(_xlpm.DepreciationMonths,INDEX(FixedAssets[Depreciation
/ Amortization Months],_xlfn.XMATCH($E$84,FixedAssets[Asset ID])),IF(AND((_xlfn.XMATCH(AR$8,$AH$8:$CC$8))-_xlfn.XMATCH($C130,$C$35:$C$82)+1&lt;=_xlpm.DepreciationMonths,$C130&lt;=AR$8),$E130/_xlpm.DepreciationMonths,0))</f>
        <v>0</v>
      </c>
      <c r="AS130" s="507" cm="1">
        <f t="array" ref="AS130">_xlfn.LET(_xlpm.DepreciationMonths,INDEX(FixedAssets[Depreciation
/ Amortization Months],_xlfn.XMATCH($E$84,FixedAssets[Asset ID])),IF(AND((_xlfn.XMATCH(AS$8,$AH$8:$CC$8))-_xlfn.XMATCH($C130,$C$35:$C$82)+1&lt;=_xlpm.DepreciationMonths,$C130&lt;=AS$8),$E130/_xlpm.DepreciationMonths,0))</f>
        <v>0</v>
      </c>
      <c r="AT130" s="507" cm="1">
        <f t="array" ref="AT130">_xlfn.LET(_xlpm.DepreciationMonths,INDEX(FixedAssets[Depreciation
/ Amortization Months],_xlfn.XMATCH($E$84,FixedAssets[Asset ID])),IF(AND((_xlfn.XMATCH(AT$8,$AH$8:$CC$8))-_xlfn.XMATCH($C130,$C$35:$C$82)+1&lt;=_xlpm.DepreciationMonths,$C130&lt;=AT$8),$E130/_xlpm.DepreciationMonths,0))</f>
        <v>0</v>
      </c>
      <c r="AU130" s="507" cm="1">
        <f t="array" ref="AU130">_xlfn.LET(_xlpm.DepreciationMonths,INDEX(FixedAssets[Depreciation
/ Amortization Months],_xlfn.XMATCH($E$84,FixedAssets[Asset ID])),IF(AND((_xlfn.XMATCH(AU$8,$AH$8:$CC$8))-_xlfn.XMATCH($C130,$C$35:$C$82)+1&lt;=_xlpm.DepreciationMonths,$C130&lt;=AU$8),$E130/_xlpm.DepreciationMonths,0))</f>
        <v>0</v>
      </c>
      <c r="AV130" s="507" cm="1">
        <f t="array" ref="AV130">_xlfn.LET(_xlpm.DepreciationMonths,INDEX(FixedAssets[Depreciation
/ Amortization Months],_xlfn.XMATCH($E$84,FixedAssets[Asset ID])),IF(AND((_xlfn.XMATCH(AV$8,$AH$8:$CC$8))-_xlfn.XMATCH($C130,$C$35:$C$82)+1&lt;=_xlpm.DepreciationMonths,$C130&lt;=AV$8),$E130/_xlpm.DepreciationMonths,0))</f>
        <v>0</v>
      </c>
      <c r="AW130" s="507" cm="1">
        <f t="array" ref="AW130">_xlfn.LET(_xlpm.DepreciationMonths,INDEX(FixedAssets[Depreciation
/ Amortization Months],_xlfn.XMATCH($E$84,FixedAssets[Asset ID])),IF(AND((_xlfn.XMATCH(AW$8,$AH$8:$CC$8))-_xlfn.XMATCH($C130,$C$35:$C$82)+1&lt;=_xlpm.DepreciationMonths,$C130&lt;=AW$8),$E130/_xlpm.DepreciationMonths,0))</f>
        <v>0</v>
      </c>
      <c r="AX130" s="507" cm="1">
        <f t="array" ref="AX130">_xlfn.LET(_xlpm.DepreciationMonths,INDEX(FixedAssets[Depreciation
/ Amortization Months],_xlfn.XMATCH($E$84,FixedAssets[Asset ID])),IF(AND((_xlfn.XMATCH(AX$8,$AH$8:$CC$8))-_xlfn.XMATCH($C130,$C$35:$C$82)+1&lt;=_xlpm.DepreciationMonths,$C130&lt;=AX$8),$E130/_xlpm.DepreciationMonths,0))</f>
        <v>0</v>
      </c>
      <c r="AY130" s="507" cm="1">
        <f t="array" ref="AY130">_xlfn.LET(_xlpm.DepreciationMonths,INDEX(FixedAssets[Depreciation
/ Amortization Months],_xlfn.XMATCH($E$84,FixedAssets[Asset ID])),IF(AND((_xlfn.XMATCH(AY$8,$AH$8:$CC$8))-_xlfn.XMATCH($C130,$C$35:$C$82)+1&lt;=_xlpm.DepreciationMonths,$C130&lt;=AY$8),$E130/_xlpm.DepreciationMonths,0))</f>
        <v>0</v>
      </c>
      <c r="AZ130" s="507" cm="1">
        <f t="array" ref="AZ130">_xlfn.LET(_xlpm.DepreciationMonths,INDEX(FixedAssets[Depreciation
/ Amortization Months],_xlfn.XMATCH($E$84,FixedAssets[Asset ID])),IF(AND((_xlfn.XMATCH(AZ$8,$AH$8:$CC$8))-_xlfn.XMATCH($C130,$C$35:$C$82)+1&lt;=_xlpm.DepreciationMonths,$C130&lt;=AZ$8),$E130/_xlpm.DepreciationMonths,0))</f>
        <v>0</v>
      </c>
      <c r="BA130" s="507" cm="1">
        <f t="array" ref="BA130">_xlfn.LET(_xlpm.DepreciationMonths,INDEX(FixedAssets[Depreciation
/ Amortization Months],_xlfn.XMATCH($E$84,FixedAssets[Asset ID])),IF(AND((_xlfn.XMATCH(BA$8,$AH$8:$CC$8))-_xlfn.XMATCH($C130,$C$35:$C$82)+1&lt;=_xlpm.DepreciationMonths,$C130&lt;=BA$8),$E130/_xlpm.DepreciationMonths,0))</f>
        <v>0</v>
      </c>
      <c r="BB130" s="507" cm="1">
        <f t="array" ref="BB130">_xlfn.LET(_xlpm.DepreciationMonths,INDEX(FixedAssets[Depreciation
/ Amortization Months],_xlfn.XMATCH($E$84,FixedAssets[Asset ID])),IF(AND((_xlfn.XMATCH(BB$8,$AH$8:$CC$8))-_xlfn.XMATCH($C130,$C$35:$C$82)+1&lt;=_xlpm.DepreciationMonths,$C130&lt;=BB$8),$E130/_xlpm.DepreciationMonths,0))</f>
        <v>0</v>
      </c>
      <c r="BC130" s="507" cm="1">
        <f t="array" ref="BC130">_xlfn.LET(_xlpm.DepreciationMonths,INDEX(FixedAssets[Depreciation
/ Amortization Months],_xlfn.XMATCH($E$84,FixedAssets[Asset ID])),IF(AND((_xlfn.XMATCH(BC$8,$AH$8:$CC$8))-_xlfn.XMATCH($C130,$C$35:$C$82)+1&lt;=_xlpm.DepreciationMonths,$C130&lt;=BC$8),$E130/_xlpm.DepreciationMonths,0))</f>
        <v>0</v>
      </c>
      <c r="BD130" s="507" cm="1">
        <f t="array" ref="BD130">_xlfn.LET(_xlpm.DepreciationMonths,INDEX(FixedAssets[Depreciation
/ Amortization Months],_xlfn.XMATCH($E$84,FixedAssets[Asset ID])),IF(AND((_xlfn.XMATCH(BD$8,$AH$8:$CC$8))-_xlfn.XMATCH($C130,$C$35:$C$82)+1&lt;=_xlpm.DepreciationMonths,$C130&lt;=BD$8),$E130/_xlpm.DepreciationMonths,0))</f>
        <v>0</v>
      </c>
      <c r="BE130" s="507" cm="1">
        <f t="array" ref="BE130">_xlfn.LET(_xlpm.DepreciationMonths,INDEX(FixedAssets[Depreciation
/ Amortization Months],_xlfn.XMATCH($E$84,FixedAssets[Asset ID])),IF(AND((_xlfn.XMATCH(BE$8,$AH$8:$CC$8))-_xlfn.XMATCH($C130,$C$35:$C$82)+1&lt;=_xlpm.DepreciationMonths,$C130&lt;=BE$8),$E130/_xlpm.DepreciationMonths,0))</f>
        <v>0</v>
      </c>
      <c r="BF130" s="507" cm="1">
        <f t="array" ref="BF130">_xlfn.LET(_xlpm.DepreciationMonths,INDEX(FixedAssets[Depreciation
/ Amortization Months],_xlfn.XMATCH($E$84,FixedAssets[Asset ID])),IF(AND((_xlfn.XMATCH(BF$8,$AH$8:$CC$8))-_xlfn.XMATCH($C130,$C$35:$C$82)+1&lt;=_xlpm.DepreciationMonths,$C130&lt;=BF$8),$E130/_xlpm.DepreciationMonths,0))</f>
        <v>0</v>
      </c>
      <c r="BG130" s="507" cm="1">
        <f t="array" ref="BG130">_xlfn.LET(_xlpm.DepreciationMonths,INDEX(FixedAssets[Depreciation
/ Amortization Months],_xlfn.XMATCH($E$84,FixedAssets[Asset ID])),IF(AND((_xlfn.XMATCH(BG$8,$AH$8:$CC$8))-_xlfn.XMATCH($C130,$C$35:$C$82)+1&lt;=_xlpm.DepreciationMonths,$C130&lt;=BG$8),$E130/_xlpm.DepreciationMonths,0))</f>
        <v>0</v>
      </c>
      <c r="BH130" s="507" cm="1">
        <f t="array" ref="BH130">_xlfn.LET(_xlpm.DepreciationMonths,INDEX(FixedAssets[Depreciation
/ Amortization Months],_xlfn.XMATCH($E$84,FixedAssets[Asset ID])),IF(AND((_xlfn.XMATCH(BH$8,$AH$8:$CC$8))-_xlfn.XMATCH($C130,$C$35:$C$82)+1&lt;=_xlpm.DepreciationMonths,$C130&lt;=BH$8),$E130/_xlpm.DepreciationMonths,0))</f>
        <v>0</v>
      </c>
      <c r="BI130" s="507" cm="1">
        <f t="array" ref="BI130">_xlfn.LET(_xlpm.DepreciationMonths,INDEX(FixedAssets[Depreciation
/ Amortization Months],_xlfn.XMATCH($E$84,FixedAssets[Asset ID])),IF(AND((_xlfn.XMATCH(BI$8,$AH$8:$CC$8))-_xlfn.XMATCH($C130,$C$35:$C$82)+1&lt;=_xlpm.DepreciationMonths,$C130&lt;=BI$8),$E130/_xlpm.DepreciationMonths,0))</f>
        <v>0</v>
      </c>
      <c r="BJ130" s="507" cm="1">
        <f t="array" ref="BJ130">_xlfn.LET(_xlpm.DepreciationMonths,INDEX(FixedAssets[Depreciation
/ Amortization Months],_xlfn.XMATCH($E$84,FixedAssets[Asset ID])),IF(AND((_xlfn.XMATCH(BJ$8,$AH$8:$CC$8))-_xlfn.XMATCH($C130,$C$35:$C$82)+1&lt;=_xlpm.DepreciationMonths,$C130&lt;=BJ$8),$E130/_xlpm.DepreciationMonths,0))</f>
        <v>0</v>
      </c>
      <c r="BK130" s="507" cm="1">
        <f t="array" ref="BK130">_xlfn.LET(_xlpm.DepreciationMonths,INDEX(FixedAssets[Depreciation
/ Amortization Months],_xlfn.XMATCH($E$84,FixedAssets[Asset ID])),IF(AND((_xlfn.XMATCH(BK$8,$AH$8:$CC$8))-_xlfn.XMATCH($C130,$C$35:$C$82)+1&lt;=_xlpm.DepreciationMonths,$C130&lt;=BK$8),$E130/_xlpm.DepreciationMonths,0))</f>
        <v>0</v>
      </c>
      <c r="BL130" s="507" cm="1">
        <f t="array" ref="BL130">_xlfn.LET(_xlpm.DepreciationMonths,INDEX(FixedAssets[Depreciation
/ Amortization Months],_xlfn.XMATCH($E$84,FixedAssets[Asset ID])),IF(AND((_xlfn.XMATCH(BL$8,$AH$8:$CC$8))-_xlfn.XMATCH($C130,$C$35:$C$82)+1&lt;=_xlpm.DepreciationMonths,$C130&lt;=BL$8),$E130/_xlpm.DepreciationMonths,0))</f>
        <v>0</v>
      </c>
      <c r="BM130" s="507" cm="1">
        <f t="array" ref="BM130">_xlfn.LET(_xlpm.DepreciationMonths,INDEX(FixedAssets[Depreciation
/ Amortization Months],_xlfn.XMATCH($E$84,FixedAssets[Asset ID])),IF(AND((_xlfn.XMATCH(BM$8,$AH$8:$CC$8))-_xlfn.XMATCH($C130,$C$35:$C$82)+1&lt;=_xlpm.DepreciationMonths,$C130&lt;=BM$8),$E130/_xlpm.DepreciationMonths,0))</f>
        <v>0</v>
      </c>
      <c r="BN130" s="507" cm="1">
        <f t="array" ref="BN130">_xlfn.LET(_xlpm.DepreciationMonths,INDEX(FixedAssets[Depreciation
/ Amortization Months],_xlfn.XMATCH($E$84,FixedAssets[Asset ID])),IF(AND((_xlfn.XMATCH(BN$8,$AH$8:$CC$8))-_xlfn.XMATCH($C130,$C$35:$C$82)+1&lt;=_xlpm.DepreciationMonths,$C130&lt;=BN$8),$E130/_xlpm.DepreciationMonths,0))</f>
        <v>0</v>
      </c>
      <c r="BO130" s="507" cm="1">
        <f t="array" ref="BO130">_xlfn.LET(_xlpm.DepreciationMonths,INDEX(FixedAssets[Depreciation
/ Amortization Months],_xlfn.XMATCH($E$84,FixedAssets[Asset ID])),IF(AND((_xlfn.XMATCH(BO$8,$AH$8:$CC$8))-_xlfn.XMATCH($C130,$C$35:$C$82)+1&lt;=_xlpm.DepreciationMonths,$C130&lt;=BO$8),$E130/_xlpm.DepreciationMonths,0))</f>
        <v>0</v>
      </c>
      <c r="BP130" s="507" cm="1">
        <f t="array" ref="BP130">_xlfn.LET(_xlpm.DepreciationMonths,INDEX(FixedAssets[Depreciation
/ Amortization Months],_xlfn.XMATCH($E$84,FixedAssets[Asset ID])),IF(AND((_xlfn.XMATCH(BP$8,$AH$8:$CC$8))-_xlfn.XMATCH($C130,$C$35:$C$82)+1&lt;=_xlpm.DepreciationMonths,$C130&lt;=BP$8),$E130/_xlpm.DepreciationMonths,0))</f>
        <v>0</v>
      </c>
      <c r="BQ130" s="507" cm="1">
        <f t="array" ref="BQ130">_xlfn.LET(_xlpm.DepreciationMonths,INDEX(FixedAssets[Depreciation
/ Amortization Months],_xlfn.XMATCH($E$84,FixedAssets[Asset ID])),IF(AND((_xlfn.XMATCH(BQ$8,$AH$8:$CC$8))-_xlfn.XMATCH($C130,$C$35:$C$82)+1&lt;=_xlpm.DepreciationMonths,$C130&lt;=BQ$8),$E130/_xlpm.DepreciationMonths,0))</f>
        <v>0</v>
      </c>
      <c r="BR130" s="507" cm="1">
        <f t="array" ref="BR130">_xlfn.LET(_xlpm.DepreciationMonths,INDEX(FixedAssets[Depreciation
/ Amortization Months],_xlfn.XMATCH($E$84,FixedAssets[Asset ID])),IF(AND((_xlfn.XMATCH(BR$8,$AH$8:$CC$8))-_xlfn.XMATCH($C130,$C$35:$C$82)+1&lt;=_xlpm.DepreciationMonths,$C130&lt;=BR$8),$E130/_xlpm.DepreciationMonths,0))</f>
        <v>0</v>
      </c>
      <c r="BS130" s="507" cm="1">
        <f t="array" ref="BS130">_xlfn.LET(_xlpm.DepreciationMonths,INDEX(FixedAssets[Depreciation
/ Amortization Months],_xlfn.XMATCH($E$84,FixedAssets[Asset ID])),IF(AND((_xlfn.XMATCH(BS$8,$AH$8:$CC$8))-_xlfn.XMATCH($C130,$C$35:$C$82)+1&lt;=_xlpm.DepreciationMonths,$C130&lt;=BS$8),$E130/_xlpm.DepreciationMonths,0))</f>
        <v>0</v>
      </c>
      <c r="BT130" s="507" cm="1">
        <f t="array" ref="BT130">_xlfn.LET(_xlpm.DepreciationMonths,INDEX(FixedAssets[Depreciation
/ Amortization Months],_xlfn.XMATCH($E$84,FixedAssets[Asset ID])),IF(AND((_xlfn.XMATCH(BT$8,$AH$8:$CC$8))-_xlfn.XMATCH($C130,$C$35:$C$82)+1&lt;=_xlpm.DepreciationMonths,$C130&lt;=BT$8),$E130/_xlpm.DepreciationMonths,0))</f>
        <v>0</v>
      </c>
      <c r="BU130" s="507" cm="1">
        <f t="array" ref="BU130">_xlfn.LET(_xlpm.DepreciationMonths,INDEX(FixedAssets[Depreciation
/ Amortization Months],_xlfn.XMATCH($E$84,FixedAssets[Asset ID])),IF(AND((_xlfn.XMATCH(BU$8,$AH$8:$CC$8))-_xlfn.XMATCH($C130,$C$35:$C$82)+1&lt;=_xlpm.DepreciationMonths,$C130&lt;=BU$8),$E130/_xlpm.DepreciationMonths,0))</f>
        <v>0</v>
      </c>
      <c r="BV130" s="507" cm="1">
        <f t="array" ref="BV130">_xlfn.LET(_xlpm.DepreciationMonths,INDEX(FixedAssets[Depreciation
/ Amortization Months],_xlfn.XMATCH($E$84,FixedAssets[Asset ID])),IF(AND((_xlfn.XMATCH(BV$8,$AH$8:$CC$8))-_xlfn.XMATCH($C130,$C$35:$C$82)+1&lt;=_xlpm.DepreciationMonths,$C130&lt;=BV$8),$E130/_xlpm.DepreciationMonths,0))</f>
        <v>0</v>
      </c>
      <c r="BW130" s="507" cm="1">
        <f t="array" ref="BW130">_xlfn.LET(_xlpm.DepreciationMonths,INDEX(FixedAssets[Depreciation
/ Amortization Months],_xlfn.XMATCH($E$84,FixedAssets[Asset ID])),IF(AND((_xlfn.XMATCH(BW$8,$AH$8:$CC$8))-_xlfn.XMATCH($C130,$C$35:$C$82)+1&lt;=_xlpm.DepreciationMonths,$C130&lt;=BW$8),$E130/_xlpm.DepreciationMonths,0))</f>
        <v>0</v>
      </c>
      <c r="BX130" s="507" cm="1">
        <f t="array" ref="BX130">_xlfn.LET(_xlpm.DepreciationMonths,INDEX(FixedAssets[Depreciation
/ Amortization Months],_xlfn.XMATCH($E$84,FixedAssets[Asset ID])),IF(AND((_xlfn.XMATCH(BX$8,$AH$8:$CC$8))-_xlfn.XMATCH($C130,$C$35:$C$82)+1&lt;=_xlpm.DepreciationMonths,$C130&lt;=BX$8),$E130/_xlpm.DepreciationMonths,0))</f>
        <v>0</v>
      </c>
      <c r="BY130" s="507" cm="1">
        <f t="array" ref="BY130">_xlfn.LET(_xlpm.DepreciationMonths,INDEX(FixedAssets[Depreciation
/ Amortization Months],_xlfn.XMATCH($E$84,FixedAssets[Asset ID])),IF(AND((_xlfn.XMATCH(BY$8,$AH$8:$CC$8))-_xlfn.XMATCH($C130,$C$35:$C$82)+1&lt;=_xlpm.DepreciationMonths,$C130&lt;=BY$8),$E130/_xlpm.DepreciationMonths,0))</f>
        <v>0</v>
      </c>
      <c r="BZ130" s="507" cm="1">
        <f t="array" ref="BZ130">_xlfn.LET(_xlpm.DepreciationMonths,INDEX(FixedAssets[Depreciation
/ Amortization Months],_xlfn.XMATCH($E$84,FixedAssets[Asset ID])),IF(AND((_xlfn.XMATCH(BZ$8,$AH$8:$CC$8))-_xlfn.XMATCH($C130,$C$35:$C$82)+1&lt;=_xlpm.DepreciationMonths,$C130&lt;=BZ$8),$E130/_xlpm.DepreciationMonths,0))</f>
        <v>0</v>
      </c>
      <c r="CA130" s="507" cm="1">
        <f t="array" ref="CA130">_xlfn.LET(_xlpm.DepreciationMonths,INDEX(FixedAssets[Depreciation
/ Amortization Months],_xlfn.XMATCH($E$84,FixedAssets[Asset ID])),IF(AND((_xlfn.XMATCH(CA$8,$AH$8:$CC$8))-_xlfn.XMATCH($C130,$C$35:$C$82)+1&lt;=_xlpm.DepreciationMonths,$C130&lt;=CA$8),$E130/_xlpm.DepreciationMonths,0))</f>
        <v>0</v>
      </c>
      <c r="CB130" s="507" cm="1">
        <f t="array" ref="CB130">_xlfn.LET(_xlpm.DepreciationMonths,INDEX(FixedAssets[Depreciation
/ Amortization Months],_xlfn.XMATCH($E$84,FixedAssets[Asset ID])),IF(AND((_xlfn.XMATCH(CB$8,$AH$8:$CC$8))-_xlfn.XMATCH($C130,$C$35:$C$82)+1&lt;=_xlpm.DepreciationMonths,$C130&lt;=CB$8),$E130/_xlpm.DepreciationMonths,0))</f>
        <v>0</v>
      </c>
      <c r="CC130" s="507" cm="1">
        <f t="array" ref="CC130">_xlfn.LET(_xlpm.DepreciationMonths,INDEX(FixedAssets[Depreciation
/ Amortization Months],_xlfn.XMATCH($E$84,FixedAssets[Asset ID])),IF(AND((_xlfn.XMATCH(CC$8,$AH$8:$CC$8))-_xlfn.XMATCH($C130,$C$35:$C$82)+1&lt;=_xlpm.DepreciationMonths,$C130&lt;=CC$8),$E130/_xlpm.DepreciationMonths,0))</f>
        <v>0</v>
      </c>
    </row>
    <row r="131" spans="3:81" hidden="1" outlineLevel="2">
      <c r="C131" s="664">
        <f t="shared" si="167"/>
        <v>46326</v>
      </c>
      <c r="D131" s="508"/>
      <c r="E131" s="508" cm="1">
        <f t="array" ref="E131">SUMPRODUCT(($AH$26:$CC$31)*($AH$5:$CC$5=$C131)*($E$26:$E$31=E$84))-SUMPRODUCT(($AH$26:$CC$31)*($AH$5:$CC$5=EOMONTH($C131,-1))*($E$26:$E$31=E$84))</f>
        <v>0</v>
      </c>
      <c r="F131" s="508"/>
      <c r="G131" s="508"/>
      <c r="H131" s="508"/>
      <c r="I131" s="508"/>
      <c r="J131" s="504">
        <f t="shared" si="164"/>
        <v>0</v>
      </c>
      <c r="K131" s="504">
        <f t="shared" si="172"/>
        <v>0</v>
      </c>
      <c r="L131" s="504">
        <f t="shared" si="172"/>
        <v>0</v>
      </c>
      <c r="M131" s="504">
        <f t="shared" si="172"/>
        <v>0</v>
      </c>
      <c r="N131" s="504"/>
      <c r="O131" s="504"/>
      <c r="P131" s="504">
        <f t="shared" si="173"/>
        <v>0</v>
      </c>
      <c r="Q131" s="504">
        <f t="shared" si="173"/>
        <v>0</v>
      </c>
      <c r="R131" s="504">
        <f t="shared" si="173"/>
        <v>0</v>
      </c>
      <c r="S131" s="504">
        <f t="shared" si="173"/>
        <v>0</v>
      </c>
      <c r="T131" s="504">
        <f t="shared" si="173"/>
        <v>0</v>
      </c>
      <c r="U131" s="504">
        <f t="shared" si="173"/>
        <v>0</v>
      </c>
      <c r="V131" s="504">
        <f t="shared" si="173"/>
        <v>0</v>
      </c>
      <c r="W131" s="504">
        <f t="shared" si="173"/>
        <v>0</v>
      </c>
      <c r="X131" s="504">
        <f t="shared" si="173"/>
        <v>0</v>
      </c>
      <c r="Y131" s="504">
        <f t="shared" si="173"/>
        <v>0</v>
      </c>
      <c r="Z131" s="504">
        <f t="shared" si="173"/>
        <v>0</v>
      </c>
      <c r="AA131" s="504">
        <f t="shared" si="173"/>
        <v>0</v>
      </c>
      <c r="AB131" s="504">
        <f t="shared" si="173"/>
        <v>0</v>
      </c>
      <c r="AC131" s="504">
        <f t="shared" si="173"/>
        <v>0</v>
      </c>
      <c r="AD131" s="504">
        <f t="shared" si="173"/>
        <v>0</v>
      </c>
      <c r="AE131" s="504">
        <f t="shared" si="173"/>
        <v>0</v>
      </c>
      <c r="AF131" s="508"/>
      <c r="AG131" s="508"/>
      <c r="AH131" s="507" cm="1">
        <f t="array" ref="AH131">_xlfn.LET(_xlpm.DepreciationMonths,INDEX(FixedAssets[Depreciation
/ Amortization Months],_xlfn.XMATCH($E$84,FixedAssets[Asset ID])),IF(AND((_xlfn.XMATCH(AH$8,$AH$8:$CC$8))-_xlfn.XMATCH($C131,$C$35:$C$82)+1&lt;=_xlpm.DepreciationMonths,$C131&lt;=AH$8),$E131/_xlpm.DepreciationMonths,0))</f>
        <v>0</v>
      </c>
      <c r="AI131" s="507" cm="1">
        <f t="array" ref="AI131">_xlfn.LET(_xlpm.DepreciationMonths,INDEX(FixedAssets[Depreciation
/ Amortization Months],_xlfn.XMATCH($E$84,FixedAssets[Asset ID])),IF(AND((_xlfn.XMATCH(AI$8,$AH$8:$CC$8))-_xlfn.XMATCH($C131,$C$35:$C$82)+1&lt;=_xlpm.DepreciationMonths,$C131&lt;=AI$8),$E131/_xlpm.DepreciationMonths,0))</f>
        <v>0</v>
      </c>
      <c r="AJ131" s="507" cm="1">
        <f t="array" ref="AJ131">_xlfn.LET(_xlpm.DepreciationMonths,INDEX(FixedAssets[Depreciation
/ Amortization Months],_xlfn.XMATCH($E$84,FixedAssets[Asset ID])),IF(AND((_xlfn.XMATCH(AJ$8,$AH$8:$CC$8))-_xlfn.XMATCH($C131,$C$35:$C$82)+1&lt;=_xlpm.DepreciationMonths,$C131&lt;=AJ$8),$E131/_xlpm.DepreciationMonths,0))</f>
        <v>0</v>
      </c>
      <c r="AK131" s="507" cm="1">
        <f t="array" ref="AK131">_xlfn.LET(_xlpm.DepreciationMonths,INDEX(FixedAssets[Depreciation
/ Amortization Months],_xlfn.XMATCH($E$84,FixedAssets[Asset ID])),IF(AND((_xlfn.XMATCH(AK$8,$AH$8:$CC$8))-_xlfn.XMATCH($C131,$C$35:$C$82)+1&lt;=_xlpm.DepreciationMonths,$C131&lt;=AK$8),$E131/_xlpm.DepreciationMonths,0))</f>
        <v>0</v>
      </c>
      <c r="AL131" s="507" cm="1">
        <f t="array" ref="AL131">_xlfn.LET(_xlpm.DepreciationMonths,INDEX(FixedAssets[Depreciation
/ Amortization Months],_xlfn.XMATCH($E$84,FixedAssets[Asset ID])),IF(AND((_xlfn.XMATCH(AL$8,$AH$8:$CC$8))-_xlfn.XMATCH($C131,$C$35:$C$82)+1&lt;=_xlpm.DepreciationMonths,$C131&lt;=AL$8),$E131/_xlpm.DepreciationMonths,0))</f>
        <v>0</v>
      </c>
      <c r="AM131" s="507" cm="1">
        <f t="array" ref="AM131">_xlfn.LET(_xlpm.DepreciationMonths,INDEX(FixedAssets[Depreciation
/ Amortization Months],_xlfn.XMATCH($E$84,FixedAssets[Asset ID])),IF(AND((_xlfn.XMATCH(AM$8,$AH$8:$CC$8))-_xlfn.XMATCH($C131,$C$35:$C$82)+1&lt;=_xlpm.DepreciationMonths,$C131&lt;=AM$8),$E131/_xlpm.DepreciationMonths,0))</f>
        <v>0</v>
      </c>
      <c r="AN131" s="507" cm="1">
        <f t="array" ref="AN131">_xlfn.LET(_xlpm.DepreciationMonths,INDEX(FixedAssets[Depreciation
/ Amortization Months],_xlfn.XMATCH($E$84,FixedAssets[Asset ID])),IF(AND((_xlfn.XMATCH(AN$8,$AH$8:$CC$8))-_xlfn.XMATCH($C131,$C$35:$C$82)+1&lt;=_xlpm.DepreciationMonths,$C131&lt;=AN$8),$E131/_xlpm.DepreciationMonths,0))</f>
        <v>0</v>
      </c>
      <c r="AO131" s="507" cm="1">
        <f t="array" ref="AO131">_xlfn.LET(_xlpm.DepreciationMonths,INDEX(FixedAssets[Depreciation
/ Amortization Months],_xlfn.XMATCH($E$84,FixedAssets[Asset ID])),IF(AND((_xlfn.XMATCH(AO$8,$AH$8:$CC$8))-_xlfn.XMATCH($C131,$C$35:$C$82)+1&lt;=_xlpm.DepreciationMonths,$C131&lt;=AO$8),$E131/_xlpm.DepreciationMonths,0))</f>
        <v>0</v>
      </c>
      <c r="AP131" s="507" cm="1">
        <f t="array" ref="AP131">_xlfn.LET(_xlpm.DepreciationMonths,INDEX(FixedAssets[Depreciation
/ Amortization Months],_xlfn.XMATCH($E$84,FixedAssets[Asset ID])),IF(AND((_xlfn.XMATCH(AP$8,$AH$8:$CC$8))-_xlfn.XMATCH($C131,$C$35:$C$82)+1&lt;=_xlpm.DepreciationMonths,$C131&lt;=AP$8),$E131/_xlpm.DepreciationMonths,0))</f>
        <v>0</v>
      </c>
      <c r="AQ131" s="507" cm="1">
        <f t="array" ref="AQ131">_xlfn.LET(_xlpm.DepreciationMonths,INDEX(FixedAssets[Depreciation
/ Amortization Months],_xlfn.XMATCH($E$84,FixedAssets[Asset ID])),IF(AND((_xlfn.XMATCH(AQ$8,$AH$8:$CC$8))-_xlfn.XMATCH($C131,$C$35:$C$82)+1&lt;=_xlpm.DepreciationMonths,$C131&lt;=AQ$8),$E131/_xlpm.DepreciationMonths,0))</f>
        <v>0</v>
      </c>
      <c r="AR131" s="507" cm="1">
        <f t="array" ref="AR131">_xlfn.LET(_xlpm.DepreciationMonths,INDEX(FixedAssets[Depreciation
/ Amortization Months],_xlfn.XMATCH($E$84,FixedAssets[Asset ID])),IF(AND((_xlfn.XMATCH(AR$8,$AH$8:$CC$8))-_xlfn.XMATCH($C131,$C$35:$C$82)+1&lt;=_xlpm.DepreciationMonths,$C131&lt;=AR$8),$E131/_xlpm.DepreciationMonths,0))</f>
        <v>0</v>
      </c>
      <c r="AS131" s="507" cm="1">
        <f t="array" ref="AS131">_xlfn.LET(_xlpm.DepreciationMonths,INDEX(FixedAssets[Depreciation
/ Amortization Months],_xlfn.XMATCH($E$84,FixedAssets[Asset ID])),IF(AND((_xlfn.XMATCH(AS$8,$AH$8:$CC$8))-_xlfn.XMATCH($C131,$C$35:$C$82)+1&lt;=_xlpm.DepreciationMonths,$C131&lt;=AS$8),$E131/_xlpm.DepreciationMonths,0))</f>
        <v>0</v>
      </c>
      <c r="AT131" s="507" cm="1">
        <f t="array" ref="AT131">_xlfn.LET(_xlpm.DepreciationMonths,INDEX(FixedAssets[Depreciation
/ Amortization Months],_xlfn.XMATCH($E$84,FixedAssets[Asset ID])),IF(AND((_xlfn.XMATCH(AT$8,$AH$8:$CC$8))-_xlfn.XMATCH($C131,$C$35:$C$82)+1&lt;=_xlpm.DepreciationMonths,$C131&lt;=AT$8),$E131/_xlpm.DepreciationMonths,0))</f>
        <v>0</v>
      </c>
      <c r="AU131" s="507" cm="1">
        <f t="array" ref="AU131">_xlfn.LET(_xlpm.DepreciationMonths,INDEX(FixedAssets[Depreciation
/ Amortization Months],_xlfn.XMATCH($E$84,FixedAssets[Asset ID])),IF(AND((_xlfn.XMATCH(AU$8,$AH$8:$CC$8))-_xlfn.XMATCH($C131,$C$35:$C$82)+1&lt;=_xlpm.DepreciationMonths,$C131&lt;=AU$8),$E131/_xlpm.DepreciationMonths,0))</f>
        <v>0</v>
      </c>
      <c r="AV131" s="507" cm="1">
        <f t="array" ref="AV131">_xlfn.LET(_xlpm.DepreciationMonths,INDEX(FixedAssets[Depreciation
/ Amortization Months],_xlfn.XMATCH($E$84,FixedAssets[Asset ID])),IF(AND((_xlfn.XMATCH(AV$8,$AH$8:$CC$8))-_xlfn.XMATCH($C131,$C$35:$C$82)+1&lt;=_xlpm.DepreciationMonths,$C131&lt;=AV$8),$E131/_xlpm.DepreciationMonths,0))</f>
        <v>0</v>
      </c>
      <c r="AW131" s="507" cm="1">
        <f t="array" ref="AW131">_xlfn.LET(_xlpm.DepreciationMonths,INDEX(FixedAssets[Depreciation
/ Amortization Months],_xlfn.XMATCH($E$84,FixedAssets[Asset ID])),IF(AND((_xlfn.XMATCH(AW$8,$AH$8:$CC$8))-_xlfn.XMATCH($C131,$C$35:$C$82)+1&lt;=_xlpm.DepreciationMonths,$C131&lt;=AW$8),$E131/_xlpm.DepreciationMonths,0))</f>
        <v>0</v>
      </c>
      <c r="AX131" s="507" cm="1">
        <f t="array" ref="AX131">_xlfn.LET(_xlpm.DepreciationMonths,INDEX(FixedAssets[Depreciation
/ Amortization Months],_xlfn.XMATCH($E$84,FixedAssets[Asset ID])),IF(AND((_xlfn.XMATCH(AX$8,$AH$8:$CC$8))-_xlfn.XMATCH($C131,$C$35:$C$82)+1&lt;=_xlpm.DepreciationMonths,$C131&lt;=AX$8),$E131/_xlpm.DepreciationMonths,0))</f>
        <v>0</v>
      </c>
      <c r="AY131" s="507" cm="1">
        <f t="array" ref="AY131">_xlfn.LET(_xlpm.DepreciationMonths,INDEX(FixedAssets[Depreciation
/ Amortization Months],_xlfn.XMATCH($E$84,FixedAssets[Asset ID])),IF(AND((_xlfn.XMATCH(AY$8,$AH$8:$CC$8))-_xlfn.XMATCH($C131,$C$35:$C$82)+1&lt;=_xlpm.DepreciationMonths,$C131&lt;=AY$8),$E131/_xlpm.DepreciationMonths,0))</f>
        <v>0</v>
      </c>
      <c r="AZ131" s="507" cm="1">
        <f t="array" ref="AZ131">_xlfn.LET(_xlpm.DepreciationMonths,INDEX(FixedAssets[Depreciation
/ Amortization Months],_xlfn.XMATCH($E$84,FixedAssets[Asset ID])),IF(AND((_xlfn.XMATCH(AZ$8,$AH$8:$CC$8))-_xlfn.XMATCH($C131,$C$35:$C$82)+1&lt;=_xlpm.DepreciationMonths,$C131&lt;=AZ$8),$E131/_xlpm.DepreciationMonths,0))</f>
        <v>0</v>
      </c>
      <c r="BA131" s="507" cm="1">
        <f t="array" ref="BA131">_xlfn.LET(_xlpm.DepreciationMonths,INDEX(FixedAssets[Depreciation
/ Amortization Months],_xlfn.XMATCH($E$84,FixedAssets[Asset ID])),IF(AND((_xlfn.XMATCH(BA$8,$AH$8:$CC$8))-_xlfn.XMATCH($C131,$C$35:$C$82)+1&lt;=_xlpm.DepreciationMonths,$C131&lt;=BA$8),$E131/_xlpm.DepreciationMonths,0))</f>
        <v>0</v>
      </c>
      <c r="BB131" s="507" cm="1">
        <f t="array" ref="BB131">_xlfn.LET(_xlpm.DepreciationMonths,INDEX(FixedAssets[Depreciation
/ Amortization Months],_xlfn.XMATCH($E$84,FixedAssets[Asset ID])),IF(AND((_xlfn.XMATCH(BB$8,$AH$8:$CC$8))-_xlfn.XMATCH($C131,$C$35:$C$82)+1&lt;=_xlpm.DepreciationMonths,$C131&lt;=BB$8),$E131/_xlpm.DepreciationMonths,0))</f>
        <v>0</v>
      </c>
      <c r="BC131" s="507" cm="1">
        <f t="array" ref="BC131">_xlfn.LET(_xlpm.DepreciationMonths,INDEX(FixedAssets[Depreciation
/ Amortization Months],_xlfn.XMATCH($E$84,FixedAssets[Asset ID])),IF(AND((_xlfn.XMATCH(BC$8,$AH$8:$CC$8))-_xlfn.XMATCH($C131,$C$35:$C$82)+1&lt;=_xlpm.DepreciationMonths,$C131&lt;=BC$8),$E131/_xlpm.DepreciationMonths,0))</f>
        <v>0</v>
      </c>
      <c r="BD131" s="507" cm="1">
        <f t="array" ref="BD131">_xlfn.LET(_xlpm.DepreciationMonths,INDEX(FixedAssets[Depreciation
/ Amortization Months],_xlfn.XMATCH($E$84,FixedAssets[Asset ID])),IF(AND((_xlfn.XMATCH(BD$8,$AH$8:$CC$8))-_xlfn.XMATCH($C131,$C$35:$C$82)+1&lt;=_xlpm.DepreciationMonths,$C131&lt;=BD$8),$E131/_xlpm.DepreciationMonths,0))</f>
        <v>0</v>
      </c>
      <c r="BE131" s="507" cm="1">
        <f t="array" ref="BE131">_xlfn.LET(_xlpm.DepreciationMonths,INDEX(FixedAssets[Depreciation
/ Amortization Months],_xlfn.XMATCH($E$84,FixedAssets[Asset ID])),IF(AND((_xlfn.XMATCH(BE$8,$AH$8:$CC$8))-_xlfn.XMATCH($C131,$C$35:$C$82)+1&lt;=_xlpm.DepreciationMonths,$C131&lt;=BE$8),$E131/_xlpm.DepreciationMonths,0))</f>
        <v>0</v>
      </c>
      <c r="BF131" s="507" cm="1">
        <f t="array" ref="BF131">_xlfn.LET(_xlpm.DepreciationMonths,INDEX(FixedAssets[Depreciation
/ Amortization Months],_xlfn.XMATCH($E$84,FixedAssets[Asset ID])),IF(AND((_xlfn.XMATCH(BF$8,$AH$8:$CC$8))-_xlfn.XMATCH($C131,$C$35:$C$82)+1&lt;=_xlpm.DepreciationMonths,$C131&lt;=BF$8),$E131/_xlpm.DepreciationMonths,0))</f>
        <v>0</v>
      </c>
      <c r="BG131" s="507" cm="1">
        <f t="array" ref="BG131">_xlfn.LET(_xlpm.DepreciationMonths,INDEX(FixedAssets[Depreciation
/ Amortization Months],_xlfn.XMATCH($E$84,FixedAssets[Asset ID])),IF(AND((_xlfn.XMATCH(BG$8,$AH$8:$CC$8))-_xlfn.XMATCH($C131,$C$35:$C$82)+1&lt;=_xlpm.DepreciationMonths,$C131&lt;=BG$8),$E131/_xlpm.DepreciationMonths,0))</f>
        <v>0</v>
      </c>
      <c r="BH131" s="507" cm="1">
        <f t="array" ref="BH131">_xlfn.LET(_xlpm.DepreciationMonths,INDEX(FixedAssets[Depreciation
/ Amortization Months],_xlfn.XMATCH($E$84,FixedAssets[Asset ID])),IF(AND((_xlfn.XMATCH(BH$8,$AH$8:$CC$8))-_xlfn.XMATCH($C131,$C$35:$C$82)+1&lt;=_xlpm.DepreciationMonths,$C131&lt;=BH$8),$E131/_xlpm.DepreciationMonths,0))</f>
        <v>0</v>
      </c>
      <c r="BI131" s="507" cm="1">
        <f t="array" ref="BI131">_xlfn.LET(_xlpm.DepreciationMonths,INDEX(FixedAssets[Depreciation
/ Amortization Months],_xlfn.XMATCH($E$84,FixedAssets[Asset ID])),IF(AND((_xlfn.XMATCH(BI$8,$AH$8:$CC$8))-_xlfn.XMATCH($C131,$C$35:$C$82)+1&lt;=_xlpm.DepreciationMonths,$C131&lt;=BI$8),$E131/_xlpm.DepreciationMonths,0))</f>
        <v>0</v>
      </c>
      <c r="BJ131" s="507" cm="1">
        <f t="array" ref="BJ131">_xlfn.LET(_xlpm.DepreciationMonths,INDEX(FixedAssets[Depreciation
/ Amortization Months],_xlfn.XMATCH($E$84,FixedAssets[Asset ID])),IF(AND((_xlfn.XMATCH(BJ$8,$AH$8:$CC$8))-_xlfn.XMATCH($C131,$C$35:$C$82)+1&lt;=_xlpm.DepreciationMonths,$C131&lt;=BJ$8),$E131/_xlpm.DepreciationMonths,0))</f>
        <v>0</v>
      </c>
      <c r="BK131" s="507" cm="1">
        <f t="array" ref="BK131">_xlfn.LET(_xlpm.DepreciationMonths,INDEX(FixedAssets[Depreciation
/ Amortization Months],_xlfn.XMATCH($E$84,FixedAssets[Asset ID])),IF(AND((_xlfn.XMATCH(BK$8,$AH$8:$CC$8))-_xlfn.XMATCH($C131,$C$35:$C$82)+1&lt;=_xlpm.DepreciationMonths,$C131&lt;=BK$8),$E131/_xlpm.DepreciationMonths,0))</f>
        <v>0</v>
      </c>
      <c r="BL131" s="507" cm="1">
        <f t="array" ref="BL131">_xlfn.LET(_xlpm.DepreciationMonths,INDEX(FixedAssets[Depreciation
/ Amortization Months],_xlfn.XMATCH($E$84,FixedAssets[Asset ID])),IF(AND((_xlfn.XMATCH(BL$8,$AH$8:$CC$8))-_xlfn.XMATCH($C131,$C$35:$C$82)+1&lt;=_xlpm.DepreciationMonths,$C131&lt;=BL$8),$E131/_xlpm.DepreciationMonths,0))</f>
        <v>0</v>
      </c>
      <c r="BM131" s="507" cm="1">
        <f t="array" ref="BM131">_xlfn.LET(_xlpm.DepreciationMonths,INDEX(FixedAssets[Depreciation
/ Amortization Months],_xlfn.XMATCH($E$84,FixedAssets[Asset ID])),IF(AND((_xlfn.XMATCH(BM$8,$AH$8:$CC$8))-_xlfn.XMATCH($C131,$C$35:$C$82)+1&lt;=_xlpm.DepreciationMonths,$C131&lt;=BM$8),$E131/_xlpm.DepreciationMonths,0))</f>
        <v>0</v>
      </c>
      <c r="BN131" s="507" cm="1">
        <f t="array" ref="BN131">_xlfn.LET(_xlpm.DepreciationMonths,INDEX(FixedAssets[Depreciation
/ Amortization Months],_xlfn.XMATCH($E$84,FixedAssets[Asset ID])),IF(AND((_xlfn.XMATCH(BN$8,$AH$8:$CC$8))-_xlfn.XMATCH($C131,$C$35:$C$82)+1&lt;=_xlpm.DepreciationMonths,$C131&lt;=BN$8),$E131/_xlpm.DepreciationMonths,0))</f>
        <v>0</v>
      </c>
      <c r="BO131" s="507" cm="1">
        <f t="array" ref="BO131">_xlfn.LET(_xlpm.DepreciationMonths,INDEX(FixedAssets[Depreciation
/ Amortization Months],_xlfn.XMATCH($E$84,FixedAssets[Asset ID])),IF(AND((_xlfn.XMATCH(BO$8,$AH$8:$CC$8))-_xlfn.XMATCH($C131,$C$35:$C$82)+1&lt;=_xlpm.DepreciationMonths,$C131&lt;=BO$8),$E131/_xlpm.DepreciationMonths,0))</f>
        <v>0</v>
      </c>
      <c r="BP131" s="507" cm="1">
        <f t="array" ref="BP131">_xlfn.LET(_xlpm.DepreciationMonths,INDEX(FixedAssets[Depreciation
/ Amortization Months],_xlfn.XMATCH($E$84,FixedAssets[Asset ID])),IF(AND((_xlfn.XMATCH(BP$8,$AH$8:$CC$8))-_xlfn.XMATCH($C131,$C$35:$C$82)+1&lt;=_xlpm.DepreciationMonths,$C131&lt;=BP$8),$E131/_xlpm.DepreciationMonths,0))</f>
        <v>0</v>
      </c>
      <c r="BQ131" s="507" cm="1">
        <f t="array" ref="BQ131">_xlfn.LET(_xlpm.DepreciationMonths,INDEX(FixedAssets[Depreciation
/ Amortization Months],_xlfn.XMATCH($E$84,FixedAssets[Asset ID])),IF(AND((_xlfn.XMATCH(BQ$8,$AH$8:$CC$8))-_xlfn.XMATCH($C131,$C$35:$C$82)+1&lt;=_xlpm.DepreciationMonths,$C131&lt;=BQ$8),$E131/_xlpm.DepreciationMonths,0))</f>
        <v>0</v>
      </c>
      <c r="BR131" s="507" cm="1">
        <f t="array" ref="BR131">_xlfn.LET(_xlpm.DepreciationMonths,INDEX(FixedAssets[Depreciation
/ Amortization Months],_xlfn.XMATCH($E$84,FixedAssets[Asset ID])),IF(AND((_xlfn.XMATCH(BR$8,$AH$8:$CC$8))-_xlfn.XMATCH($C131,$C$35:$C$82)+1&lt;=_xlpm.DepreciationMonths,$C131&lt;=BR$8),$E131/_xlpm.DepreciationMonths,0))</f>
        <v>0</v>
      </c>
      <c r="BS131" s="507" cm="1">
        <f t="array" ref="BS131">_xlfn.LET(_xlpm.DepreciationMonths,INDEX(FixedAssets[Depreciation
/ Amortization Months],_xlfn.XMATCH($E$84,FixedAssets[Asset ID])),IF(AND((_xlfn.XMATCH(BS$8,$AH$8:$CC$8))-_xlfn.XMATCH($C131,$C$35:$C$82)+1&lt;=_xlpm.DepreciationMonths,$C131&lt;=BS$8),$E131/_xlpm.DepreciationMonths,0))</f>
        <v>0</v>
      </c>
      <c r="BT131" s="507" cm="1">
        <f t="array" ref="BT131">_xlfn.LET(_xlpm.DepreciationMonths,INDEX(FixedAssets[Depreciation
/ Amortization Months],_xlfn.XMATCH($E$84,FixedAssets[Asset ID])),IF(AND((_xlfn.XMATCH(BT$8,$AH$8:$CC$8))-_xlfn.XMATCH($C131,$C$35:$C$82)+1&lt;=_xlpm.DepreciationMonths,$C131&lt;=BT$8),$E131/_xlpm.DepreciationMonths,0))</f>
        <v>0</v>
      </c>
      <c r="BU131" s="507" cm="1">
        <f t="array" ref="BU131">_xlfn.LET(_xlpm.DepreciationMonths,INDEX(FixedAssets[Depreciation
/ Amortization Months],_xlfn.XMATCH($E$84,FixedAssets[Asset ID])),IF(AND((_xlfn.XMATCH(BU$8,$AH$8:$CC$8))-_xlfn.XMATCH($C131,$C$35:$C$82)+1&lt;=_xlpm.DepreciationMonths,$C131&lt;=BU$8),$E131/_xlpm.DepreciationMonths,0))</f>
        <v>0</v>
      </c>
      <c r="BV131" s="507" cm="1">
        <f t="array" ref="BV131">_xlfn.LET(_xlpm.DepreciationMonths,INDEX(FixedAssets[Depreciation
/ Amortization Months],_xlfn.XMATCH($E$84,FixedAssets[Asset ID])),IF(AND((_xlfn.XMATCH(BV$8,$AH$8:$CC$8))-_xlfn.XMATCH($C131,$C$35:$C$82)+1&lt;=_xlpm.DepreciationMonths,$C131&lt;=BV$8),$E131/_xlpm.DepreciationMonths,0))</f>
        <v>0</v>
      </c>
      <c r="BW131" s="507" cm="1">
        <f t="array" ref="BW131">_xlfn.LET(_xlpm.DepreciationMonths,INDEX(FixedAssets[Depreciation
/ Amortization Months],_xlfn.XMATCH($E$84,FixedAssets[Asset ID])),IF(AND((_xlfn.XMATCH(BW$8,$AH$8:$CC$8))-_xlfn.XMATCH($C131,$C$35:$C$82)+1&lt;=_xlpm.DepreciationMonths,$C131&lt;=BW$8),$E131/_xlpm.DepreciationMonths,0))</f>
        <v>0</v>
      </c>
      <c r="BX131" s="507" cm="1">
        <f t="array" ref="BX131">_xlfn.LET(_xlpm.DepreciationMonths,INDEX(FixedAssets[Depreciation
/ Amortization Months],_xlfn.XMATCH($E$84,FixedAssets[Asset ID])),IF(AND((_xlfn.XMATCH(BX$8,$AH$8:$CC$8))-_xlfn.XMATCH($C131,$C$35:$C$82)+1&lt;=_xlpm.DepreciationMonths,$C131&lt;=BX$8),$E131/_xlpm.DepreciationMonths,0))</f>
        <v>0</v>
      </c>
      <c r="BY131" s="507" cm="1">
        <f t="array" ref="BY131">_xlfn.LET(_xlpm.DepreciationMonths,INDEX(FixedAssets[Depreciation
/ Amortization Months],_xlfn.XMATCH($E$84,FixedAssets[Asset ID])),IF(AND((_xlfn.XMATCH(BY$8,$AH$8:$CC$8))-_xlfn.XMATCH($C131,$C$35:$C$82)+1&lt;=_xlpm.DepreciationMonths,$C131&lt;=BY$8),$E131/_xlpm.DepreciationMonths,0))</f>
        <v>0</v>
      </c>
      <c r="BZ131" s="507" cm="1">
        <f t="array" ref="BZ131">_xlfn.LET(_xlpm.DepreciationMonths,INDEX(FixedAssets[Depreciation
/ Amortization Months],_xlfn.XMATCH($E$84,FixedAssets[Asset ID])),IF(AND((_xlfn.XMATCH(BZ$8,$AH$8:$CC$8))-_xlfn.XMATCH($C131,$C$35:$C$82)+1&lt;=_xlpm.DepreciationMonths,$C131&lt;=BZ$8),$E131/_xlpm.DepreciationMonths,0))</f>
        <v>0</v>
      </c>
      <c r="CA131" s="507" cm="1">
        <f t="array" ref="CA131">_xlfn.LET(_xlpm.DepreciationMonths,INDEX(FixedAssets[Depreciation
/ Amortization Months],_xlfn.XMATCH($E$84,FixedAssets[Asset ID])),IF(AND((_xlfn.XMATCH(CA$8,$AH$8:$CC$8))-_xlfn.XMATCH($C131,$C$35:$C$82)+1&lt;=_xlpm.DepreciationMonths,$C131&lt;=CA$8),$E131/_xlpm.DepreciationMonths,0))</f>
        <v>0</v>
      </c>
      <c r="CB131" s="507" cm="1">
        <f t="array" ref="CB131">_xlfn.LET(_xlpm.DepreciationMonths,INDEX(FixedAssets[Depreciation
/ Amortization Months],_xlfn.XMATCH($E$84,FixedAssets[Asset ID])),IF(AND((_xlfn.XMATCH(CB$8,$AH$8:$CC$8))-_xlfn.XMATCH($C131,$C$35:$C$82)+1&lt;=_xlpm.DepreciationMonths,$C131&lt;=CB$8),$E131/_xlpm.DepreciationMonths,0))</f>
        <v>0</v>
      </c>
      <c r="CC131" s="507" cm="1">
        <f t="array" ref="CC131">_xlfn.LET(_xlpm.DepreciationMonths,INDEX(FixedAssets[Depreciation
/ Amortization Months],_xlfn.XMATCH($E$84,FixedAssets[Asset ID])),IF(AND((_xlfn.XMATCH(CC$8,$AH$8:$CC$8))-_xlfn.XMATCH($C131,$C$35:$C$82)+1&lt;=_xlpm.DepreciationMonths,$C131&lt;=CC$8),$E131/_xlpm.DepreciationMonths,0))</f>
        <v>0</v>
      </c>
    </row>
    <row r="132" spans="3:81" hidden="1" outlineLevel="2">
      <c r="C132" s="664">
        <f t="shared" si="167"/>
        <v>46356</v>
      </c>
      <c r="D132" s="508"/>
      <c r="E132" s="508" cm="1">
        <f t="array" ref="E132">SUMPRODUCT(($AH$26:$CC$31)*($AH$5:$CC$5=$C132)*($E$26:$E$31=E$84))-SUMPRODUCT(($AH$26:$CC$31)*($AH$5:$CC$5=EOMONTH($C132,-1))*($E$26:$E$31=E$84))</f>
        <v>0</v>
      </c>
      <c r="F132" s="508"/>
      <c r="G132" s="508"/>
      <c r="H132" s="508"/>
      <c r="I132" s="508"/>
      <c r="J132" s="504">
        <f t="shared" si="164"/>
        <v>0</v>
      </c>
      <c r="K132" s="504">
        <f t="shared" si="172"/>
        <v>0</v>
      </c>
      <c r="L132" s="504">
        <f t="shared" si="172"/>
        <v>0</v>
      </c>
      <c r="M132" s="504">
        <f t="shared" si="172"/>
        <v>0</v>
      </c>
      <c r="N132" s="504"/>
      <c r="O132" s="504"/>
      <c r="P132" s="504">
        <f t="shared" si="173"/>
        <v>0</v>
      </c>
      <c r="Q132" s="504">
        <f t="shared" si="173"/>
        <v>0</v>
      </c>
      <c r="R132" s="504">
        <f t="shared" si="173"/>
        <v>0</v>
      </c>
      <c r="S132" s="504">
        <f t="shared" si="173"/>
        <v>0</v>
      </c>
      <c r="T132" s="504">
        <f t="shared" si="173"/>
        <v>0</v>
      </c>
      <c r="U132" s="504">
        <f t="shared" si="173"/>
        <v>0</v>
      </c>
      <c r="V132" s="504">
        <f t="shared" si="173"/>
        <v>0</v>
      </c>
      <c r="W132" s="504">
        <f t="shared" si="173"/>
        <v>0</v>
      </c>
      <c r="X132" s="504">
        <f t="shared" si="173"/>
        <v>0</v>
      </c>
      <c r="Y132" s="504">
        <f t="shared" si="173"/>
        <v>0</v>
      </c>
      <c r="Z132" s="504">
        <f t="shared" si="173"/>
        <v>0</v>
      </c>
      <c r="AA132" s="504">
        <f t="shared" si="173"/>
        <v>0</v>
      </c>
      <c r="AB132" s="504">
        <f t="shared" si="173"/>
        <v>0</v>
      </c>
      <c r="AC132" s="504">
        <f t="shared" si="173"/>
        <v>0</v>
      </c>
      <c r="AD132" s="504">
        <f t="shared" si="173"/>
        <v>0</v>
      </c>
      <c r="AE132" s="504">
        <f t="shared" si="173"/>
        <v>0</v>
      </c>
      <c r="AF132" s="508"/>
      <c r="AG132" s="508"/>
      <c r="AH132" s="507" cm="1">
        <f t="array" ref="AH132">_xlfn.LET(_xlpm.DepreciationMonths,INDEX(FixedAssets[Depreciation
/ Amortization Months],_xlfn.XMATCH($E$84,FixedAssets[Asset ID])),IF(AND((_xlfn.XMATCH(AH$8,$AH$8:$CC$8))-_xlfn.XMATCH($C132,$C$35:$C$82)+1&lt;=_xlpm.DepreciationMonths,$C132&lt;=AH$8),$E132/_xlpm.DepreciationMonths,0))</f>
        <v>0</v>
      </c>
      <c r="AI132" s="507" cm="1">
        <f t="array" ref="AI132">_xlfn.LET(_xlpm.DepreciationMonths,INDEX(FixedAssets[Depreciation
/ Amortization Months],_xlfn.XMATCH($E$84,FixedAssets[Asset ID])),IF(AND((_xlfn.XMATCH(AI$8,$AH$8:$CC$8))-_xlfn.XMATCH($C132,$C$35:$C$82)+1&lt;=_xlpm.DepreciationMonths,$C132&lt;=AI$8),$E132/_xlpm.DepreciationMonths,0))</f>
        <v>0</v>
      </c>
      <c r="AJ132" s="507" cm="1">
        <f t="array" ref="AJ132">_xlfn.LET(_xlpm.DepreciationMonths,INDEX(FixedAssets[Depreciation
/ Amortization Months],_xlfn.XMATCH($E$84,FixedAssets[Asset ID])),IF(AND((_xlfn.XMATCH(AJ$8,$AH$8:$CC$8))-_xlfn.XMATCH($C132,$C$35:$C$82)+1&lt;=_xlpm.DepreciationMonths,$C132&lt;=AJ$8),$E132/_xlpm.DepreciationMonths,0))</f>
        <v>0</v>
      </c>
      <c r="AK132" s="507" cm="1">
        <f t="array" ref="AK132">_xlfn.LET(_xlpm.DepreciationMonths,INDEX(FixedAssets[Depreciation
/ Amortization Months],_xlfn.XMATCH($E$84,FixedAssets[Asset ID])),IF(AND((_xlfn.XMATCH(AK$8,$AH$8:$CC$8))-_xlfn.XMATCH($C132,$C$35:$C$82)+1&lt;=_xlpm.DepreciationMonths,$C132&lt;=AK$8),$E132/_xlpm.DepreciationMonths,0))</f>
        <v>0</v>
      </c>
      <c r="AL132" s="507" cm="1">
        <f t="array" ref="AL132">_xlfn.LET(_xlpm.DepreciationMonths,INDEX(FixedAssets[Depreciation
/ Amortization Months],_xlfn.XMATCH($E$84,FixedAssets[Asset ID])),IF(AND((_xlfn.XMATCH(AL$8,$AH$8:$CC$8))-_xlfn.XMATCH($C132,$C$35:$C$82)+1&lt;=_xlpm.DepreciationMonths,$C132&lt;=AL$8),$E132/_xlpm.DepreciationMonths,0))</f>
        <v>0</v>
      </c>
      <c r="AM132" s="507" cm="1">
        <f t="array" ref="AM132">_xlfn.LET(_xlpm.DepreciationMonths,INDEX(FixedAssets[Depreciation
/ Amortization Months],_xlfn.XMATCH($E$84,FixedAssets[Asset ID])),IF(AND((_xlfn.XMATCH(AM$8,$AH$8:$CC$8))-_xlfn.XMATCH($C132,$C$35:$C$82)+1&lt;=_xlpm.DepreciationMonths,$C132&lt;=AM$8),$E132/_xlpm.DepreciationMonths,0))</f>
        <v>0</v>
      </c>
      <c r="AN132" s="507" cm="1">
        <f t="array" ref="AN132">_xlfn.LET(_xlpm.DepreciationMonths,INDEX(FixedAssets[Depreciation
/ Amortization Months],_xlfn.XMATCH($E$84,FixedAssets[Asset ID])),IF(AND((_xlfn.XMATCH(AN$8,$AH$8:$CC$8))-_xlfn.XMATCH($C132,$C$35:$C$82)+1&lt;=_xlpm.DepreciationMonths,$C132&lt;=AN$8),$E132/_xlpm.DepreciationMonths,0))</f>
        <v>0</v>
      </c>
      <c r="AO132" s="507" cm="1">
        <f t="array" ref="AO132">_xlfn.LET(_xlpm.DepreciationMonths,INDEX(FixedAssets[Depreciation
/ Amortization Months],_xlfn.XMATCH($E$84,FixedAssets[Asset ID])),IF(AND((_xlfn.XMATCH(AO$8,$AH$8:$CC$8))-_xlfn.XMATCH($C132,$C$35:$C$82)+1&lt;=_xlpm.DepreciationMonths,$C132&lt;=AO$8),$E132/_xlpm.DepreciationMonths,0))</f>
        <v>0</v>
      </c>
      <c r="AP132" s="507" cm="1">
        <f t="array" ref="AP132">_xlfn.LET(_xlpm.DepreciationMonths,INDEX(FixedAssets[Depreciation
/ Amortization Months],_xlfn.XMATCH($E$84,FixedAssets[Asset ID])),IF(AND((_xlfn.XMATCH(AP$8,$AH$8:$CC$8))-_xlfn.XMATCH($C132,$C$35:$C$82)+1&lt;=_xlpm.DepreciationMonths,$C132&lt;=AP$8),$E132/_xlpm.DepreciationMonths,0))</f>
        <v>0</v>
      </c>
      <c r="AQ132" s="507" cm="1">
        <f t="array" ref="AQ132">_xlfn.LET(_xlpm.DepreciationMonths,INDEX(FixedAssets[Depreciation
/ Amortization Months],_xlfn.XMATCH($E$84,FixedAssets[Asset ID])),IF(AND((_xlfn.XMATCH(AQ$8,$AH$8:$CC$8))-_xlfn.XMATCH($C132,$C$35:$C$82)+1&lt;=_xlpm.DepreciationMonths,$C132&lt;=AQ$8),$E132/_xlpm.DepreciationMonths,0))</f>
        <v>0</v>
      </c>
      <c r="AR132" s="507" cm="1">
        <f t="array" ref="AR132">_xlfn.LET(_xlpm.DepreciationMonths,INDEX(FixedAssets[Depreciation
/ Amortization Months],_xlfn.XMATCH($E$84,FixedAssets[Asset ID])),IF(AND((_xlfn.XMATCH(AR$8,$AH$8:$CC$8))-_xlfn.XMATCH($C132,$C$35:$C$82)+1&lt;=_xlpm.DepreciationMonths,$C132&lt;=AR$8),$E132/_xlpm.DepreciationMonths,0))</f>
        <v>0</v>
      </c>
      <c r="AS132" s="507" cm="1">
        <f t="array" ref="AS132">_xlfn.LET(_xlpm.DepreciationMonths,INDEX(FixedAssets[Depreciation
/ Amortization Months],_xlfn.XMATCH($E$84,FixedAssets[Asset ID])),IF(AND((_xlfn.XMATCH(AS$8,$AH$8:$CC$8))-_xlfn.XMATCH($C132,$C$35:$C$82)+1&lt;=_xlpm.DepreciationMonths,$C132&lt;=AS$8),$E132/_xlpm.DepreciationMonths,0))</f>
        <v>0</v>
      </c>
      <c r="AT132" s="507" cm="1">
        <f t="array" ref="AT132">_xlfn.LET(_xlpm.DepreciationMonths,INDEX(FixedAssets[Depreciation
/ Amortization Months],_xlfn.XMATCH($E$84,FixedAssets[Asset ID])),IF(AND((_xlfn.XMATCH(AT$8,$AH$8:$CC$8))-_xlfn.XMATCH($C132,$C$35:$C$82)+1&lt;=_xlpm.DepreciationMonths,$C132&lt;=AT$8),$E132/_xlpm.DepreciationMonths,0))</f>
        <v>0</v>
      </c>
      <c r="AU132" s="507" cm="1">
        <f t="array" ref="AU132">_xlfn.LET(_xlpm.DepreciationMonths,INDEX(FixedAssets[Depreciation
/ Amortization Months],_xlfn.XMATCH($E$84,FixedAssets[Asset ID])),IF(AND((_xlfn.XMATCH(AU$8,$AH$8:$CC$8))-_xlfn.XMATCH($C132,$C$35:$C$82)+1&lt;=_xlpm.DepreciationMonths,$C132&lt;=AU$8),$E132/_xlpm.DepreciationMonths,0))</f>
        <v>0</v>
      </c>
      <c r="AV132" s="507" cm="1">
        <f t="array" ref="AV132">_xlfn.LET(_xlpm.DepreciationMonths,INDEX(FixedAssets[Depreciation
/ Amortization Months],_xlfn.XMATCH($E$84,FixedAssets[Asset ID])),IF(AND((_xlfn.XMATCH(AV$8,$AH$8:$CC$8))-_xlfn.XMATCH($C132,$C$35:$C$82)+1&lt;=_xlpm.DepreciationMonths,$C132&lt;=AV$8),$E132/_xlpm.DepreciationMonths,0))</f>
        <v>0</v>
      </c>
      <c r="AW132" s="507" cm="1">
        <f t="array" ref="AW132">_xlfn.LET(_xlpm.DepreciationMonths,INDEX(FixedAssets[Depreciation
/ Amortization Months],_xlfn.XMATCH($E$84,FixedAssets[Asset ID])),IF(AND((_xlfn.XMATCH(AW$8,$AH$8:$CC$8))-_xlfn.XMATCH($C132,$C$35:$C$82)+1&lt;=_xlpm.DepreciationMonths,$C132&lt;=AW$8),$E132/_xlpm.DepreciationMonths,0))</f>
        <v>0</v>
      </c>
      <c r="AX132" s="507" cm="1">
        <f t="array" ref="AX132">_xlfn.LET(_xlpm.DepreciationMonths,INDEX(FixedAssets[Depreciation
/ Amortization Months],_xlfn.XMATCH($E$84,FixedAssets[Asset ID])),IF(AND((_xlfn.XMATCH(AX$8,$AH$8:$CC$8))-_xlfn.XMATCH($C132,$C$35:$C$82)+1&lt;=_xlpm.DepreciationMonths,$C132&lt;=AX$8),$E132/_xlpm.DepreciationMonths,0))</f>
        <v>0</v>
      </c>
      <c r="AY132" s="507" cm="1">
        <f t="array" ref="AY132">_xlfn.LET(_xlpm.DepreciationMonths,INDEX(FixedAssets[Depreciation
/ Amortization Months],_xlfn.XMATCH($E$84,FixedAssets[Asset ID])),IF(AND((_xlfn.XMATCH(AY$8,$AH$8:$CC$8))-_xlfn.XMATCH($C132,$C$35:$C$82)+1&lt;=_xlpm.DepreciationMonths,$C132&lt;=AY$8),$E132/_xlpm.DepreciationMonths,0))</f>
        <v>0</v>
      </c>
      <c r="AZ132" s="507" cm="1">
        <f t="array" ref="AZ132">_xlfn.LET(_xlpm.DepreciationMonths,INDEX(FixedAssets[Depreciation
/ Amortization Months],_xlfn.XMATCH($E$84,FixedAssets[Asset ID])),IF(AND((_xlfn.XMATCH(AZ$8,$AH$8:$CC$8))-_xlfn.XMATCH($C132,$C$35:$C$82)+1&lt;=_xlpm.DepreciationMonths,$C132&lt;=AZ$8),$E132/_xlpm.DepreciationMonths,0))</f>
        <v>0</v>
      </c>
      <c r="BA132" s="507" cm="1">
        <f t="array" ref="BA132">_xlfn.LET(_xlpm.DepreciationMonths,INDEX(FixedAssets[Depreciation
/ Amortization Months],_xlfn.XMATCH($E$84,FixedAssets[Asset ID])),IF(AND((_xlfn.XMATCH(BA$8,$AH$8:$CC$8))-_xlfn.XMATCH($C132,$C$35:$C$82)+1&lt;=_xlpm.DepreciationMonths,$C132&lt;=BA$8),$E132/_xlpm.DepreciationMonths,0))</f>
        <v>0</v>
      </c>
      <c r="BB132" s="507" cm="1">
        <f t="array" ref="BB132">_xlfn.LET(_xlpm.DepreciationMonths,INDEX(FixedAssets[Depreciation
/ Amortization Months],_xlfn.XMATCH($E$84,FixedAssets[Asset ID])),IF(AND((_xlfn.XMATCH(BB$8,$AH$8:$CC$8))-_xlfn.XMATCH($C132,$C$35:$C$82)+1&lt;=_xlpm.DepreciationMonths,$C132&lt;=BB$8),$E132/_xlpm.DepreciationMonths,0))</f>
        <v>0</v>
      </c>
      <c r="BC132" s="507" cm="1">
        <f t="array" ref="BC132">_xlfn.LET(_xlpm.DepreciationMonths,INDEX(FixedAssets[Depreciation
/ Amortization Months],_xlfn.XMATCH($E$84,FixedAssets[Asset ID])),IF(AND((_xlfn.XMATCH(BC$8,$AH$8:$CC$8))-_xlfn.XMATCH($C132,$C$35:$C$82)+1&lt;=_xlpm.DepreciationMonths,$C132&lt;=BC$8),$E132/_xlpm.DepreciationMonths,0))</f>
        <v>0</v>
      </c>
      <c r="BD132" s="507" cm="1">
        <f t="array" ref="BD132">_xlfn.LET(_xlpm.DepreciationMonths,INDEX(FixedAssets[Depreciation
/ Amortization Months],_xlfn.XMATCH($E$84,FixedAssets[Asset ID])),IF(AND((_xlfn.XMATCH(BD$8,$AH$8:$CC$8))-_xlfn.XMATCH($C132,$C$35:$C$82)+1&lt;=_xlpm.DepreciationMonths,$C132&lt;=BD$8),$E132/_xlpm.DepreciationMonths,0))</f>
        <v>0</v>
      </c>
      <c r="BE132" s="507" cm="1">
        <f t="array" ref="BE132">_xlfn.LET(_xlpm.DepreciationMonths,INDEX(FixedAssets[Depreciation
/ Amortization Months],_xlfn.XMATCH($E$84,FixedAssets[Asset ID])),IF(AND((_xlfn.XMATCH(BE$8,$AH$8:$CC$8))-_xlfn.XMATCH($C132,$C$35:$C$82)+1&lt;=_xlpm.DepreciationMonths,$C132&lt;=BE$8),$E132/_xlpm.DepreciationMonths,0))</f>
        <v>0</v>
      </c>
      <c r="BF132" s="507" cm="1">
        <f t="array" ref="BF132">_xlfn.LET(_xlpm.DepreciationMonths,INDEX(FixedAssets[Depreciation
/ Amortization Months],_xlfn.XMATCH($E$84,FixedAssets[Asset ID])),IF(AND((_xlfn.XMATCH(BF$8,$AH$8:$CC$8))-_xlfn.XMATCH($C132,$C$35:$C$82)+1&lt;=_xlpm.DepreciationMonths,$C132&lt;=BF$8),$E132/_xlpm.DepreciationMonths,0))</f>
        <v>0</v>
      </c>
      <c r="BG132" s="507" cm="1">
        <f t="array" ref="BG132">_xlfn.LET(_xlpm.DepreciationMonths,INDEX(FixedAssets[Depreciation
/ Amortization Months],_xlfn.XMATCH($E$84,FixedAssets[Asset ID])),IF(AND((_xlfn.XMATCH(BG$8,$AH$8:$CC$8))-_xlfn.XMATCH($C132,$C$35:$C$82)+1&lt;=_xlpm.DepreciationMonths,$C132&lt;=BG$8),$E132/_xlpm.DepreciationMonths,0))</f>
        <v>0</v>
      </c>
      <c r="BH132" s="507" cm="1">
        <f t="array" ref="BH132">_xlfn.LET(_xlpm.DepreciationMonths,INDEX(FixedAssets[Depreciation
/ Amortization Months],_xlfn.XMATCH($E$84,FixedAssets[Asset ID])),IF(AND((_xlfn.XMATCH(BH$8,$AH$8:$CC$8))-_xlfn.XMATCH($C132,$C$35:$C$82)+1&lt;=_xlpm.DepreciationMonths,$C132&lt;=BH$8),$E132/_xlpm.DepreciationMonths,0))</f>
        <v>0</v>
      </c>
      <c r="BI132" s="507" cm="1">
        <f t="array" ref="BI132">_xlfn.LET(_xlpm.DepreciationMonths,INDEX(FixedAssets[Depreciation
/ Amortization Months],_xlfn.XMATCH($E$84,FixedAssets[Asset ID])),IF(AND((_xlfn.XMATCH(BI$8,$AH$8:$CC$8))-_xlfn.XMATCH($C132,$C$35:$C$82)+1&lt;=_xlpm.DepreciationMonths,$C132&lt;=BI$8),$E132/_xlpm.DepreciationMonths,0))</f>
        <v>0</v>
      </c>
      <c r="BJ132" s="507" cm="1">
        <f t="array" ref="BJ132">_xlfn.LET(_xlpm.DepreciationMonths,INDEX(FixedAssets[Depreciation
/ Amortization Months],_xlfn.XMATCH($E$84,FixedAssets[Asset ID])),IF(AND((_xlfn.XMATCH(BJ$8,$AH$8:$CC$8))-_xlfn.XMATCH($C132,$C$35:$C$82)+1&lt;=_xlpm.DepreciationMonths,$C132&lt;=BJ$8),$E132/_xlpm.DepreciationMonths,0))</f>
        <v>0</v>
      </c>
      <c r="BK132" s="507" cm="1">
        <f t="array" ref="BK132">_xlfn.LET(_xlpm.DepreciationMonths,INDEX(FixedAssets[Depreciation
/ Amortization Months],_xlfn.XMATCH($E$84,FixedAssets[Asset ID])),IF(AND((_xlfn.XMATCH(BK$8,$AH$8:$CC$8))-_xlfn.XMATCH($C132,$C$35:$C$82)+1&lt;=_xlpm.DepreciationMonths,$C132&lt;=BK$8),$E132/_xlpm.DepreciationMonths,0))</f>
        <v>0</v>
      </c>
      <c r="BL132" s="507" cm="1">
        <f t="array" ref="BL132">_xlfn.LET(_xlpm.DepreciationMonths,INDEX(FixedAssets[Depreciation
/ Amortization Months],_xlfn.XMATCH($E$84,FixedAssets[Asset ID])),IF(AND((_xlfn.XMATCH(BL$8,$AH$8:$CC$8))-_xlfn.XMATCH($C132,$C$35:$C$82)+1&lt;=_xlpm.DepreciationMonths,$C132&lt;=BL$8),$E132/_xlpm.DepreciationMonths,0))</f>
        <v>0</v>
      </c>
      <c r="BM132" s="507" cm="1">
        <f t="array" ref="BM132">_xlfn.LET(_xlpm.DepreciationMonths,INDEX(FixedAssets[Depreciation
/ Amortization Months],_xlfn.XMATCH($E$84,FixedAssets[Asset ID])),IF(AND((_xlfn.XMATCH(BM$8,$AH$8:$CC$8))-_xlfn.XMATCH($C132,$C$35:$C$82)+1&lt;=_xlpm.DepreciationMonths,$C132&lt;=BM$8),$E132/_xlpm.DepreciationMonths,0))</f>
        <v>0</v>
      </c>
      <c r="BN132" s="507" cm="1">
        <f t="array" ref="BN132">_xlfn.LET(_xlpm.DepreciationMonths,INDEX(FixedAssets[Depreciation
/ Amortization Months],_xlfn.XMATCH($E$84,FixedAssets[Asset ID])),IF(AND((_xlfn.XMATCH(BN$8,$AH$8:$CC$8))-_xlfn.XMATCH($C132,$C$35:$C$82)+1&lt;=_xlpm.DepreciationMonths,$C132&lt;=BN$8),$E132/_xlpm.DepreciationMonths,0))</f>
        <v>0</v>
      </c>
      <c r="BO132" s="507" cm="1">
        <f t="array" ref="BO132">_xlfn.LET(_xlpm.DepreciationMonths,INDEX(FixedAssets[Depreciation
/ Amortization Months],_xlfn.XMATCH($E$84,FixedAssets[Asset ID])),IF(AND((_xlfn.XMATCH(BO$8,$AH$8:$CC$8))-_xlfn.XMATCH($C132,$C$35:$C$82)+1&lt;=_xlpm.DepreciationMonths,$C132&lt;=BO$8),$E132/_xlpm.DepreciationMonths,0))</f>
        <v>0</v>
      </c>
      <c r="BP132" s="507" cm="1">
        <f t="array" ref="BP132">_xlfn.LET(_xlpm.DepreciationMonths,INDEX(FixedAssets[Depreciation
/ Amortization Months],_xlfn.XMATCH($E$84,FixedAssets[Asset ID])),IF(AND((_xlfn.XMATCH(BP$8,$AH$8:$CC$8))-_xlfn.XMATCH($C132,$C$35:$C$82)+1&lt;=_xlpm.DepreciationMonths,$C132&lt;=BP$8),$E132/_xlpm.DepreciationMonths,0))</f>
        <v>0</v>
      </c>
      <c r="BQ132" s="507" cm="1">
        <f t="array" ref="BQ132">_xlfn.LET(_xlpm.DepreciationMonths,INDEX(FixedAssets[Depreciation
/ Amortization Months],_xlfn.XMATCH($E$84,FixedAssets[Asset ID])),IF(AND((_xlfn.XMATCH(BQ$8,$AH$8:$CC$8))-_xlfn.XMATCH($C132,$C$35:$C$82)+1&lt;=_xlpm.DepreciationMonths,$C132&lt;=BQ$8),$E132/_xlpm.DepreciationMonths,0))</f>
        <v>0</v>
      </c>
      <c r="BR132" s="507" cm="1">
        <f t="array" ref="BR132">_xlfn.LET(_xlpm.DepreciationMonths,INDEX(FixedAssets[Depreciation
/ Amortization Months],_xlfn.XMATCH($E$84,FixedAssets[Asset ID])),IF(AND((_xlfn.XMATCH(BR$8,$AH$8:$CC$8))-_xlfn.XMATCH($C132,$C$35:$C$82)+1&lt;=_xlpm.DepreciationMonths,$C132&lt;=BR$8),$E132/_xlpm.DepreciationMonths,0))</f>
        <v>0</v>
      </c>
      <c r="BS132" s="507" cm="1">
        <f t="array" ref="BS132">_xlfn.LET(_xlpm.DepreciationMonths,INDEX(FixedAssets[Depreciation
/ Amortization Months],_xlfn.XMATCH($E$84,FixedAssets[Asset ID])),IF(AND((_xlfn.XMATCH(BS$8,$AH$8:$CC$8))-_xlfn.XMATCH($C132,$C$35:$C$82)+1&lt;=_xlpm.DepreciationMonths,$C132&lt;=BS$8),$E132/_xlpm.DepreciationMonths,0))</f>
        <v>0</v>
      </c>
      <c r="BT132" s="507" cm="1">
        <f t="array" ref="BT132">_xlfn.LET(_xlpm.DepreciationMonths,INDEX(FixedAssets[Depreciation
/ Amortization Months],_xlfn.XMATCH($E$84,FixedAssets[Asset ID])),IF(AND((_xlfn.XMATCH(BT$8,$AH$8:$CC$8))-_xlfn.XMATCH($C132,$C$35:$C$82)+1&lt;=_xlpm.DepreciationMonths,$C132&lt;=BT$8),$E132/_xlpm.DepreciationMonths,0))</f>
        <v>0</v>
      </c>
      <c r="BU132" s="507" cm="1">
        <f t="array" ref="BU132">_xlfn.LET(_xlpm.DepreciationMonths,INDEX(FixedAssets[Depreciation
/ Amortization Months],_xlfn.XMATCH($E$84,FixedAssets[Asset ID])),IF(AND((_xlfn.XMATCH(BU$8,$AH$8:$CC$8))-_xlfn.XMATCH($C132,$C$35:$C$82)+1&lt;=_xlpm.DepreciationMonths,$C132&lt;=BU$8),$E132/_xlpm.DepreciationMonths,0))</f>
        <v>0</v>
      </c>
      <c r="BV132" s="507" cm="1">
        <f t="array" ref="BV132">_xlfn.LET(_xlpm.DepreciationMonths,INDEX(FixedAssets[Depreciation
/ Amortization Months],_xlfn.XMATCH($E$84,FixedAssets[Asset ID])),IF(AND((_xlfn.XMATCH(BV$8,$AH$8:$CC$8))-_xlfn.XMATCH($C132,$C$35:$C$82)+1&lt;=_xlpm.DepreciationMonths,$C132&lt;=BV$8),$E132/_xlpm.DepreciationMonths,0))</f>
        <v>0</v>
      </c>
      <c r="BW132" s="507" cm="1">
        <f t="array" ref="BW132">_xlfn.LET(_xlpm.DepreciationMonths,INDEX(FixedAssets[Depreciation
/ Amortization Months],_xlfn.XMATCH($E$84,FixedAssets[Asset ID])),IF(AND((_xlfn.XMATCH(BW$8,$AH$8:$CC$8))-_xlfn.XMATCH($C132,$C$35:$C$82)+1&lt;=_xlpm.DepreciationMonths,$C132&lt;=BW$8),$E132/_xlpm.DepreciationMonths,0))</f>
        <v>0</v>
      </c>
      <c r="BX132" s="507" cm="1">
        <f t="array" ref="BX132">_xlfn.LET(_xlpm.DepreciationMonths,INDEX(FixedAssets[Depreciation
/ Amortization Months],_xlfn.XMATCH($E$84,FixedAssets[Asset ID])),IF(AND((_xlfn.XMATCH(BX$8,$AH$8:$CC$8))-_xlfn.XMATCH($C132,$C$35:$C$82)+1&lt;=_xlpm.DepreciationMonths,$C132&lt;=BX$8),$E132/_xlpm.DepreciationMonths,0))</f>
        <v>0</v>
      </c>
      <c r="BY132" s="507" cm="1">
        <f t="array" ref="BY132">_xlfn.LET(_xlpm.DepreciationMonths,INDEX(FixedAssets[Depreciation
/ Amortization Months],_xlfn.XMATCH($E$84,FixedAssets[Asset ID])),IF(AND((_xlfn.XMATCH(BY$8,$AH$8:$CC$8))-_xlfn.XMATCH($C132,$C$35:$C$82)+1&lt;=_xlpm.DepreciationMonths,$C132&lt;=BY$8),$E132/_xlpm.DepreciationMonths,0))</f>
        <v>0</v>
      </c>
      <c r="BZ132" s="507" cm="1">
        <f t="array" ref="BZ132">_xlfn.LET(_xlpm.DepreciationMonths,INDEX(FixedAssets[Depreciation
/ Amortization Months],_xlfn.XMATCH($E$84,FixedAssets[Asset ID])),IF(AND((_xlfn.XMATCH(BZ$8,$AH$8:$CC$8))-_xlfn.XMATCH($C132,$C$35:$C$82)+1&lt;=_xlpm.DepreciationMonths,$C132&lt;=BZ$8),$E132/_xlpm.DepreciationMonths,0))</f>
        <v>0</v>
      </c>
      <c r="CA132" s="507" cm="1">
        <f t="array" ref="CA132">_xlfn.LET(_xlpm.DepreciationMonths,INDEX(FixedAssets[Depreciation
/ Amortization Months],_xlfn.XMATCH($E$84,FixedAssets[Asset ID])),IF(AND((_xlfn.XMATCH(CA$8,$AH$8:$CC$8))-_xlfn.XMATCH($C132,$C$35:$C$82)+1&lt;=_xlpm.DepreciationMonths,$C132&lt;=CA$8),$E132/_xlpm.DepreciationMonths,0))</f>
        <v>0</v>
      </c>
      <c r="CB132" s="507" cm="1">
        <f t="array" ref="CB132">_xlfn.LET(_xlpm.DepreciationMonths,INDEX(FixedAssets[Depreciation
/ Amortization Months],_xlfn.XMATCH($E$84,FixedAssets[Asset ID])),IF(AND((_xlfn.XMATCH(CB$8,$AH$8:$CC$8))-_xlfn.XMATCH($C132,$C$35:$C$82)+1&lt;=_xlpm.DepreciationMonths,$C132&lt;=CB$8),$E132/_xlpm.DepreciationMonths,0))</f>
        <v>0</v>
      </c>
      <c r="CC132" s="507" cm="1">
        <f t="array" ref="CC132">_xlfn.LET(_xlpm.DepreciationMonths,INDEX(FixedAssets[Depreciation
/ Amortization Months],_xlfn.XMATCH($E$84,FixedAssets[Asset ID])),IF(AND((_xlfn.XMATCH(CC$8,$AH$8:$CC$8))-_xlfn.XMATCH($C132,$C$35:$C$82)+1&lt;=_xlpm.DepreciationMonths,$C132&lt;=CC$8),$E132/_xlpm.DepreciationMonths,0))</f>
        <v>0</v>
      </c>
    </row>
    <row r="133" spans="3:81" hidden="1" outlineLevel="2">
      <c r="C133" s="664">
        <f t="shared" si="167"/>
        <v>46387</v>
      </c>
      <c r="D133" s="508"/>
      <c r="E133" s="508" cm="1">
        <f t="array" ref="E133">SUMPRODUCT(($AH$26:$CC$31)*($AH$5:$CC$5=$C133)*($E$26:$E$31=E$84))-SUMPRODUCT(($AH$26:$CC$31)*($AH$5:$CC$5=EOMONTH($C133,-1))*($E$26:$E$31=E$84))</f>
        <v>0</v>
      </c>
      <c r="F133" s="508"/>
      <c r="G133" s="508"/>
      <c r="H133" s="508"/>
      <c r="I133" s="508"/>
      <c r="J133" s="504">
        <f t="shared" si="164"/>
        <v>0</v>
      </c>
      <c r="K133" s="504">
        <f t="shared" si="172"/>
        <v>0</v>
      </c>
      <c r="L133" s="504">
        <f t="shared" si="172"/>
        <v>0</v>
      </c>
      <c r="M133" s="504">
        <f t="shared" si="172"/>
        <v>0</v>
      </c>
      <c r="N133" s="504"/>
      <c r="O133" s="504"/>
      <c r="P133" s="504">
        <f t="shared" si="173"/>
        <v>0</v>
      </c>
      <c r="Q133" s="504">
        <f t="shared" si="173"/>
        <v>0</v>
      </c>
      <c r="R133" s="504">
        <f t="shared" si="173"/>
        <v>0</v>
      </c>
      <c r="S133" s="504">
        <f t="shared" si="173"/>
        <v>0</v>
      </c>
      <c r="T133" s="504">
        <f t="shared" si="173"/>
        <v>0</v>
      </c>
      <c r="U133" s="504">
        <f t="shared" si="173"/>
        <v>0</v>
      </c>
      <c r="V133" s="504">
        <f t="shared" si="173"/>
        <v>0</v>
      </c>
      <c r="W133" s="504">
        <f t="shared" si="173"/>
        <v>0</v>
      </c>
      <c r="X133" s="504">
        <f t="shared" si="173"/>
        <v>0</v>
      </c>
      <c r="Y133" s="504">
        <f t="shared" si="173"/>
        <v>0</v>
      </c>
      <c r="Z133" s="504">
        <f t="shared" si="173"/>
        <v>0</v>
      </c>
      <c r="AA133" s="504">
        <f t="shared" si="173"/>
        <v>0</v>
      </c>
      <c r="AB133" s="504">
        <f t="shared" si="173"/>
        <v>0</v>
      </c>
      <c r="AC133" s="504">
        <f t="shared" si="173"/>
        <v>0</v>
      </c>
      <c r="AD133" s="504">
        <f t="shared" si="173"/>
        <v>0</v>
      </c>
      <c r="AE133" s="504">
        <f t="shared" ref="AE133" si="174">SUMIFS($AH133:$CC133,$AH$4:$CC$4,"&gt;="&amp;AE$4,$AH$5:$CC$5,"&lt;="&amp;AE$5)</f>
        <v>0</v>
      </c>
      <c r="AF133" s="508"/>
      <c r="AG133" s="508"/>
      <c r="AH133" s="507" cm="1">
        <f t="array" ref="AH133">_xlfn.LET(_xlpm.DepreciationMonths,INDEX(FixedAssets[Depreciation
/ Amortization Months],_xlfn.XMATCH($E$84,FixedAssets[Asset ID])),IF(AND((_xlfn.XMATCH(AH$8,$AH$8:$CC$8))-_xlfn.XMATCH($C133,$C$35:$C$82)+1&lt;=_xlpm.DepreciationMonths,$C133&lt;=AH$8),$E133/_xlpm.DepreciationMonths,0))</f>
        <v>0</v>
      </c>
      <c r="AI133" s="507" cm="1">
        <f t="array" ref="AI133">_xlfn.LET(_xlpm.DepreciationMonths,INDEX(FixedAssets[Depreciation
/ Amortization Months],_xlfn.XMATCH($E$84,FixedAssets[Asset ID])),IF(AND((_xlfn.XMATCH(AI$8,$AH$8:$CC$8))-_xlfn.XMATCH($C133,$C$35:$C$82)+1&lt;=_xlpm.DepreciationMonths,$C133&lt;=AI$8),$E133/_xlpm.DepreciationMonths,0))</f>
        <v>0</v>
      </c>
      <c r="AJ133" s="507" cm="1">
        <f t="array" ref="AJ133">_xlfn.LET(_xlpm.DepreciationMonths,INDEX(FixedAssets[Depreciation
/ Amortization Months],_xlfn.XMATCH($E$84,FixedAssets[Asset ID])),IF(AND((_xlfn.XMATCH(AJ$8,$AH$8:$CC$8))-_xlfn.XMATCH($C133,$C$35:$C$82)+1&lt;=_xlpm.DepreciationMonths,$C133&lt;=AJ$8),$E133/_xlpm.DepreciationMonths,0))</f>
        <v>0</v>
      </c>
      <c r="AK133" s="507" cm="1">
        <f t="array" ref="AK133">_xlfn.LET(_xlpm.DepreciationMonths,INDEX(FixedAssets[Depreciation
/ Amortization Months],_xlfn.XMATCH($E$84,FixedAssets[Asset ID])),IF(AND((_xlfn.XMATCH(AK$8,$AH$8:$CC$8))-_xlfn.XMATCH($C133,$C$35:$C$82)+1&lt;=_xlpm.DepreciationMonths,$C133&lt;=AK$8),$E133/_xlpm.DepreciationMonths,0))</f>
        <v>0</v>
      </c>
      <c r="AL133" s="507" cm="1">
        <f t="array" ref="AL133">_xlfn.LET(_xlpm.DepreciationMonths,INDEX(FixedAssets[Depreciation
/ Amortization Months],_xlfn.XMATCH($E$84,FixedAssets[Asset ID])),IF(AND((_xlfn.XMATCH(AL$8,$AH$8:$CC$8))-_xlfn.XMATCH($C133,$C$35:$C$82)+1&lt;=_xlpm.DepreciationMonths,$C133&lt;=AL$8),$E133/_xlpm.DepreciationMonths,0))</f>
        <v>0</v>
      </c>
      <c r="AM133" s="507" cm="1">
        <f t="array" ref="AM133">_xlfn.LET(_xlpm.DepreciationMonths,INDEX(FixedAssets[Depreciation
/ Amortization Months],_xlfn.XMATCH($E$84,FixedAssets[Asset ID])),IF(AND((_xlfn.XMATCH(AM$8,$AH$8:$CC$8))-_xlfn.XMATCH($C133,$C$35:$C$82)+1&lt;=_xlpm.DepreciationMonths,$C133&lt;=AM$8),$E133/_xlpm.DepreciationMonths,0))</f>
        <v>0</v>
      </c>
      <c r="AN133" s="507" cm="1">
        <f t="array" ref="AN133">_xlfn.LET(_xlpm.DepreciationMonths,INDEX(FixedAssets[Depreciation
/ Amortization Months],_xlfn.XMATCH($E$84,FixedAssets[Asset ID])),IF(AND((_xlfn.XMATCH(AN$8,$AH$8:$CC$8))-_xlfn.XMATCH($C133,$C$35:$C$82)+1&lt;=_xlpm.DepreciationMonths,$C133&lt;=AN$8),$E133/_xlpm.DepreciationMonths,0))</f>
        <v>0</v>
      </c>
      <c r="AO133" s="507" cm="1">
        <f t="array" ref="AO133">_xlfn.LET(_xlpm.DepreciationMonths,INDEX(FixedAssets[Depreciation
/ Amortization Months],_xlfn.XMATCH($E$84,FixedAssets[Asset ID])),IF(AND((_xlfn.XMATCH(AO$8,$AH$8:$CC$8))-_xlfn.XMATCH($C133,$C$35:$C$82)+1&lt;=_xlpm.DepreciationMonths,$C133&lt;=AO$8),$E133/_xlpm.DepreciationMonths,0))</f>
        <v>0</v>
      </c>
      <c r="AP133" s="507" cm="1">
        <f t="array" ref="AP133">_xlfn.LET(_xlpm.DepreciationMonths,INDEX(FixedAssets[Depreciation
/ Amortization Months],_xlfn.XMATCH($E$84,FixedAssets[Asset ID])),IF(AND((_xlfn.XMATCH(AP$8,$AH$8:$CC$8))-_xlfn.XMATCH($C133,$C$35:$C$82)+1&lt;=_xlpm.DepreciationMonths,$C133&lt;=AP$8),$E133/_xlpm.DepreciationMonths,0))</f>
        <v>0</v>
      </c>
      <c r="AQ133" s="507" cm="1">
        <f t="array" ref="AQ133">_xlfn.LET(_xlpm.DepreciationMonths,INDEX(FixedAssets[Depreciation
/ Amortization Months],_xlfn.XMATCH($E$84,FixedAssets[Asset ID])),IF(AND((_xlfn.XMATCH(AQ$8,$AH$8:$CC$8))-_xlfn.XMATCH($C133,$C$35:$C$82)+1&lt;=_xlpm.DepreciationMonths,$C133&lt;=AQ$8),$E133/_xlpm.DepreciationMonths,0))</f>
        <v>0</v>
      </c>
      <c r="AR133" s="507" cm="1">
        <f t="array" ref="AR133">_xlfn.LET(_xlpm.DepreciationMonths,INDEX(FixedAssets[Depreciation
/ Amortization Months],_xlfn.XMATCH($E$84,FixedAssets[Asset ID])),IF(AND((_xlfn.XMATCH(AR$8,$AH$8:$CC$8))-_xlfn.XMATCH($C133,$C$35:$C$82)+1&lt;=_xlpm.DepreciationMonths,$C133&lt;=AR$8),$E133/_xlpm.DepreciationMonths,0))</f>
        <v>0</v>
      </c>
      <c r="AS133" s="507" cm="1">
        <f t="array" ref="AS133">_xlfn.LET(_xlpm.DepreciationMonths,INDEX(FixedAssets[Depreciation
/ Amortization Months],_xlfn.XMATCH($E$84,FixedAssets[Asset ID])),IF(AND((_xlfn.XMATCH(AS$8,$AH$8:$CC$8))-_xlfn.XMATCH($C133,$C$35:$C$82)+1&lt;=_xlpm.DepreciationMonths,$C133&lt;=AS$8),$E133/_xlpm.DepreciationMonths,0))</f>
        <v>0</v>
      </c>
      <c r="AT133" s="507" cm="1">
        <f t="array" ref="AT133">_xlfn.LET(_xlpm.DepreciationMonths,INDEX(FixedAssets[Depreciation
/ Amortization Months],_xlfn.XMATCH($E$84,FixedAssets[Asset ID])),IF(AND((_xlfn.XMATCH(AT$8,$AH$8:$CC$8))-_xlfn.XMATCH($C133,$C$35:$C$82)+1&lt;=_xlpm.DepreciationMonths,$C133&lt;=AT$8),$E133/_xlpm.DepreciationMonths,0))</f>
        <v>0</v>
      </c>
      <c r="AU133" s="507" cm="1">
        <f t="array" ref="AU133">_xlfn.LET(_xlpm.DepreciationMonths,INDEX(FixedAssets[Depreciation
/ Amortization Months],_xlfn.XMATCH($E$84,FixedAssets[Asset ID])),IF(AND((_xlfn.XMATCH(AU$8,$AH$8:$CC$8))-_xlfn.XMATCH($C133,$C$35:$C$82)+1&lt;=_xlpm.DepreciationMonths,$C133&lt;=AU$8),$E133/_xlpm.DepreciationMonths,0))</f>
        <v>0</v>
      </c>
      <c r="AV133" s="507" cm="1">
        <f t="array" ref="AV133">_xlfn.LET(_xlpm.DepreciationMonths,INDEX(FixedAssets[Depreciation
/ Amortization Months],_xlfn.XMATCH($E$84,FixedAssets[Asset ID])),IF(AND((_xlfn.XMATCH(AV$8,$AH$8:$CC$8))-_xlfn.XMATCH($C133,$C$35:$C$82)+1&lt;=_xlpm.DepreciationMonths,$C133&lt;=AV$8),$E133/_xlpm.DepreciationMonths,0))</f>
        <v>0</v>
      </c>
      <c r="AW133" s="507" cm="1">
        <f t="array" ref="AW133">_xlfn.LET(_xlpm.DepreciationMonths,INDEX(FixedAssets[Depreciation
/ Amortization Months],_xlfn.XMATCH($E$84,FixedAssets[Asset ID])),IF(AND((_xlfn.XMATCH(AW$8,$AH$8:$CC$8))-_xlfn.XMATCH($C133,$C$35:$C$82)+1&lt;=_xlpm.DepreciationMonths,$C133&lt;=AW$8),$E133/_xlpm.DepreciationMonths,0))</f>
        <v>0</v>
      </c>
      <c r="AX133" s="507" cm="1">
        <f t="array" ref="AX133">_xlfn.LET(_xlpm.DepreciationMonths,INDEX(FixedAssets[Depreciation
/ Amortization Months],_xlfn.XMATCH($E$84,FixedAssets[Asset ID])),IF(AND((_xlfn.XMATCH(AX$8,$AH$8:$CC$8))-_xlfn.XMATCH($C133,$C$35:$C$82)+1&lt;=_xlpm.DepreciationMonths,$C133&lt;=AX$8),$E133/_xlpm.DepreciationMonths,0))</f>
        <v>0</v>
      </c>
      <c r="AY133" s="507" cm="1">
        <f t="array" ref="AY133">_xlfn.LET(_xlpm.DepreciationMonths,INDEX(FixedAssets[Depreciation
/ Amortization Months],_xlfn.XMATCH($E$84,FixedAssets[Asset ID])),IF(AND((_xlfn.XMATCH(AY$8,$AH$8:$CC$8))-_xlfn.XMATCH($C133,$C$35:$C$82)+1&lt;=_xlpm.DepreciationMonths,$C133&lt;=AY$8),$E133/_xlpm.DepreciationMonths,0))</f>
        <v>0</v>
      </c>
      <c r="AZ133" s="507" cm="1">
        <f t="array" ref="AZ133">_xlfn.LET(_xlpm.DepreciationMonths,INDEX(FixedAssets[Depreciation
/ Amortization Months],_xlfn.XMATCH($E$84,FixedAssets[Asset ID])),IF(AND((_xlfn.XMATCH(AZ$8,$AH$8:$CC$8))-_xlfn.XMATCH($C133,$C$35:$C$82)+1&lt;=_xlpm.DepreciationMonths,$C133&lt;=AZ$8),$E133/_xlpm.DepreciationMonths,0))</f>
        <v>0</v>
      </c>
      <c r="BA133" s="507" cm="1">
        <f t="array" ref="BA133">_xlfn.LET(_xlpm.DepreciationMonths,INDEX(FixedAssets[Depreciation
/ Amortization Months],_xlfn.XMATCH($E$84,FixedAssets[Asset ID])),IF(AND((_xlfn.XMATCH(BA$8,$AH$8:$CC$8))-_xlfn.XMATCH($C133,$C$35:$C$82)+1&lt;=_xlpm.DepreciationMonths,$C133&lt;=BA$8),$E133/_xlpm.DepreciationMonths,0))</f>
        <v>0</v>
      </c>
      <c r="BB133" s="507" cm="1">
        <f t="array" ref="BB133">_xlfn.LET(_xlpm.DepreciationMonths,INDEX(FixedAssets[Depreciation
/ Amortization Months],_xlfn.XMATCH($E$84,FixedAssets[Asset ID])),IF(AND((_xlfn.XMATCH(BB$8,$AH$8:$CC$8))-_xlfn.XMATCH($C133,$C$35:$C$82)+1&lt;=_xlpm.DepreciationMonths,$C133&lt;=BB$8),$E133/_xlpm.DepreciationMonths,0))</f>
        <v>0</v>
      </c>
      <c r="BC133" s="507" cm="1">
        <f t="array" ref="BC133">_xlfn.LET(_xlpm.DepreciationMonths,INDEX(FixedAssets[Depreciation
/ Amortization Months],_xlfn.XMATCH($E$84,FixedAssets[Asset ID])),IF(AND((_xlfn.XMATCH(BC$8,$AH$8:$CC$8))-_xlfn.XMATCH($C133,$C$35:$C$82)+1&lt;=_xlpm.DepreciationMonths,$C133&lt;=BC$8),$E133/_xlpm.DepreciationMonths,0))</f>
        <v>0</v>
      </c>
      <c r="BD133" s="507" cm="1">
        <f t="array" ref="BD133">_xlfn.LET(_xlpm.DepreciationMonths,INDEX(FixedAssets[Depreciation
/ Amortization Months],_xlfn.XMATCH($E$84,FixedAssets[Asset ID])),IF(AND((_xlfn.XMATCH(BD$8,$AH$8:$CC$8))-_xlfn.XMATCH($C133,$C$35:$C$82)+1&lt;=_xlpm.DepreciationMonths,$C133&lt;=BD$8),$E133/_xlpm.DepreciationMonths,0))</f>
        <v>0</v>
      </c>
      <c r="BE133" s="507" cm="1">
        <f t="array" ref="BE133">_xlfn.LET(_xlpm.DepreciationMonths,INDEX(FixedAssets[Depreciation
/ Amortization Months],_xlfn.XMATCH($E$84,FixedAssets[Asset ID])),IF(AND((_xlfn.XMATCH(BE$8,$AH$8:$CC$8))-_xlfn.XMATCH($C133,$C$35:$C$82)+1&lt;=_xlpm.DepreciationMonths,$C133&lt;=BE$8),$E133/_xlpm.DepreciationMonths,0))</f>
        <v>0</v>
      </c>
      <c r="BF133" s="507" cm="1">
        <f t="array" ref="BF133">_xlfn.LET(_xlpm.DepreciationMonths,INDEX(FixedAssets[Depreciation
/ Amortization Months],_xlfn.XMATCH($E$84,FixedAssets[Asset ID])),IF(AND((_xlfn.XMATCH(BF$8,$AH$8:$CC$8))-_xlfn.XMATCH($C133,$C$35:$C$82)+1&lt;=_xlpm.DepreciationMonths,$C133&lt;=BF$8),$E133/_xlpm.DepreciationMonths,0))</f>
        <v>0</v>
      </c>
      <c r="BG133" s="507" cm="1">
        <f t="array" ref="BG133">_xlfn.LET(_xlpm.DepreciationMonths,INDEX(FixedAssets[Depreciation
/ Amortization Months],_xlfn.XMATCH($E$84,FixedAssets[Asset ID])),IF(AND((_xlfn.XMATCH(BG$8,$AH$8:$CC$8))-_xlfn.XMATCH($C133,$C$35:$C$82)+1&lt;=_xlpm.DepreciationMonths,$C133&lt;=BG$8),$E133/_xlpm.DepreciationMonths,0))</f>
        <v>0</v>
      </c>
      <c r="BH133" s="507" cm="1">
        <f t="array" ref="BH133">_xlfn.LET(_xlpm.DepreciationMonths,INDEX(FixedAssets[Depreciation
/ Amortization Months],_xlfn.XMATCH($E$84,FixedAssets[Asset ID])),IF(AND((_xlfn.XMATCH(BH$8,$AH$8:$CC$8))-_xlfn.XMATCH($C133,$C$35:$C$82)+1&lt;=_xlpm.DepreciationMonths,$C133&lt;=BH$8),$E133/_xlpm.DepreciationMonths,0))</f>
        <v>0</v>
      </c>
      <c r="BI133" s="507" cm="1">
        <f t="array" ref="BI133">_xlfn.LET(_xlpm.DepreciationMonths,INDEX(FixedAssets[Depreciation
/ Amortization Months],_xlfn.XMATCH($E$84,FixedAssets[Asset ID])),IF(AND((_xlfn.XMATCH(BI$8,$AH$8:$CC$8))-_xlfn.XMATCH($C133,$C$35:$C$82)+1&lt;=_xlpm.DepreciationMonths,$C133&lt;=BI$8),$E133/_xlpm.DepreciationMonths,0))</f>
        <v>0</v>
      </c>
      <c r="BJ133" s="507" cm="1">
        <f t="array" ref="BJ133">_xlfn.LET(_xlpm.DepreciationMonths,INDEX(FixedAssets[Depreciation
/ Amortization Months],_xlfn.XMATCH($E$84,FixedAssets[Asset ID])),IF(AND((_xlfn.XMATCH(BJ$8,$AH$8:$CC$8))-_xlfn.XMATCH($C133,$C$35:$C$82)+1&lt;=_xlpm.DepreciationMonths,$C133&lt;=BJ$8),$E133/_xlpm.DepreciationMonths,0))</f>
        <v>0</v>
      </c>
      <c r="BK133" s="507" cm="1">
        <f t="array" ref="BK133">_xlfn.LET(_xlpm.DepreciationMonths,INDEX(FixedAssets[Depreciation
/ Amortization Months],_xlfn.XMATCH($E$84,FixedAssets[Asset ID])),IF(AND((_xlfn.XMATCH(BK$8,$AH$8:$CC$8))-_xlfn.XMATCH($C133,$C$35:$C$82)+1&lt;=_xlpm.DepreciationMonths,$C133&lt;=BK$8),$E133/_xlpm.DepreciationMonths,0))</f>
        <v>0</v>
      </c>
      <c r="BL133" s="507" cm="1">
        <f t="array" ref="BL133">_xlfn.LET(_xlpm.DepreciationMonths,INDEX(FixedAssets[Depreciation
/ Amortization Months],_xlfn.XMATCH($E$84,FixedAssets[Asset ID])),IF(AND((_xlfn.XMATCH(BL$8,$AH$8:$CC$8))-_xlfn.XMATCH($C133,$C$35:$C$82)+1&lt;=_xlpm.DepreciationMonths,$C133&lt;=BL$8),$E133/_xlpm.DepreciationMonths,0))</f>
        <v>0</v>
      </c>
      <c r="BM133" s="507" cm="1">
        <f t="array" ref="BM133">_xlfn.LET(_xlpm.DepreciationMonths,INDEX(FixedAssets[Depreciation
/ Amortization Months],_xlfn.XMATCH($E$84,FixedAssets[Asset ID])),IF(AND((_xlfn.XMATCH(BM$8,$AH$8:$CC$8))-_xlfn.XMATCH($C133,$C$35:$C$82)+1&lt;=_xlpm.DepreciationMonths,$C133&lt;=BM$8),$E133/_xlpm.DepreciationMonths,0))</f>
        <v>0</v>
      </c>
      <c r="BN133" s="507" cm="1">
        <f t="array" ref="BN133">_xlfn.LET(_xlpm.DepreciationMonths,INDEX(FixedAssets[Depreciation
/ Amortization Months],_xlfn.XMATCH($E$84,FixedAssets[Asset ID])),IF(AND((_xlfn.XMATCH(BN$8,$AH$8:$CC$8))-_xlfn.XMATCH($C133,$C$35:$C$82)+1&lt;=_xlpm.DepreciationMonths,$C133&lt;=BN$8),$E133/_xlpm.DepreciationMonths,0))</f>
        <v>0</v>
      </c>
      <c r="BO133" s="507" cm="1">
        <f t="array" ref="BO133">_xlfn.LET(_xlpm.DepreciationMonths,INDEX(FixedAssets[Depreciation
/ Amortization Months],_xlfn.XMATCH($E$84,FixedAssets[Asset ID])),IF(AND((_xlfn.XMATCH(BO$8,$AH$8:$CC$8))-_xlfn.XMATCH($C133,$C$35:$C$82)+1&lt;=_xlpm.DepreciationMonths,$C133&lt;=BO$8),$E133/_xlpm.DepreciationMonths,0))</f>
        <v>0</v>
      </c>
      <c r="BP133" s="507" cm="1">
        <f t="array" ref="BP133">_xlfn.LET(_xlpm.DepreciationMonths,INDEX(FixedAssets[Depreciation
/ Amortization Months],_xlfn.XMATCH($E$84,FixedAssets[Asset ID])),IF(AND((_xlfn.XMATCH(BP$8,$AH$8:$CC$8))-_xlfn.XMATCH($C133,$C$35:$C$82)+1&lt;=_xlpm.DepreciationMonths,$C133&lt;=BP$8),$E133/_xlpm.DepreciationMonths,0))</f>
        <v>0</v>
      </c>
      <c r="BQ133" s="507" cm="1">
        <f t="array" ref="BQ133">_xlfn.LET(_xlpm.DepreciationMonths,INDEX(FixedAssets[Depreciation
/ Amortization Months],_xlfn.XMATCH($E$84,FixedAssets[Asset ID])),IF(AND((_xlfn.XMATCH(BQ$8,$AH$8:$CC$8))-_xlfn.XMATCH($C133,$C$35:$C$82)+1&lt;=_xlpm.DepreciationMonths,$C133&lt;=BQ$8),$E133/_xlpm.DepreciationMonths,0))</f>
        <v>0</v>
      </c>
      <c r="BR133" s="507" cm="1">
        <f t="array" ref="BR133">_xlfn.LET(_xlpm.DepreciationMonths,INDEX(FixedAssets[Depreciation
/ Amortization Months],_xlfn.XMATCH($E$84,FixedAssets[Asset ID])),IF(AND((_xlfn.XMATCH(BR$8,$AH$8:$CC$8))-_xlfn.XMATCH($C133,$C$35:$C$82)+1&lt;=_xlpm.DepreciationMonths,$C133&lt;=BR$8),$E133/_xlpm.DepreciationMonths,0))</f>
        <v>0</v>
      </c>
      <c r="BS133" s="507" cm="1">
        <f t="array" ref="BS133">_xlfn.LET(_xlpm.DepreciationMonths,INDEX(FixedAssets[Depreciation
/ Amortization Months],_xlfn.XMATCH($E$84,FixedAssets[Asset ID])),IF(AND((_xlfn.XMATCH(BS$8,$AH$8:$CC$8))-_xlfn.XMATCH($C133,$C$35:$C$82)+1&lt;=_xlpm.DepreciationMonths,$C133&lt;=BS$8),$E133/_xlpm.DepreciationMonths,0))</f>
        <v>0</v>
      </c>
      <c r="BT133" s="507" cm="1">
        <f t="array" ref="BT133">_xlfn.LET(_xlpm.DepreciationMonths,INDEX(FixedAssets[Depreciation
/ Amortization Months],_xlfn.XMATCH($E$84,FixedAssets[Asset ID])),IF(AND((_xlfn.XMATCH(BT$8,$AH$8:$CC$8))-_xlfn.XMATCH($C133,$C$35:$C$82)+1&lt;=_xlpm.DepreciationMonths,$C133&lt;=BT$8),$E133/_xlpm.DepreciationMonths,0))</f>
        <v>0</v>
      </c>
      <c r="BU133" s="507" cm="1">
        <f t="array" ref="BU133">_xlfn.LET(_xlpm.DepreciationMonths,INDEX(FixedAssets[Depreciation
/ Amortization Months],_xlfn.XMATCH($E$84,FixedAssets[Asset ID])),IF(AND((_xlfn.XMATCH(BU$8,$AH$8:$CC$8))-_xlfn.XMATCH($C133,$C$35:$C$82)+1&lt;=_xlpm.DepreciationMonths,$C133&lt;=BU$8),$E133/_xlpm.DepreciationMonths,0))</f>
        <v>0</v>
      </c>
      <c r="BV133" s="507" cm="1">
        <f t="array" ref="BV133">_xlfn.LET(_xlpm.DepreciationMonths,INDEX(FixedAssets[Depreciation
/ Amortization Months],_xlfn.XMATCH($E$84,FixedAssets[Asset ID])),IF(AND((_xlfn.XMATCH(BV$8,$AH$8:$CC$8))-_xlfn.XMATCH($C133,$C$35:$C$82)+1&lt;=_xlpm.DepreciationMonths,$C133&lt;=BV$8),$E133/_xlpm.DepreciationMonths,0))</f>
        <v>0</v>
      </c>
      <c r="BW133" s="507" cm="1">
        <f t="array" ref="BW133">_xlfn.LET(_xlpm.DepreciationMonths,INDEX(FixedAssets[Depreciation
/ Amortization Months],_xlfn.XMATCH($E$84,FixedAssets[Asset ID])),IF(AND((_xlfn.XMATCH(BW$8,$AH$8:$CC$8))-_xlfn.XMATCH($C133,$C$35:$C$82)+1&lt;=_xlpm.DepreciationMonths,$C133&lt;=BW$8),$E133/_xlpm.DepreciationMonths,0))</f>
        <v>0</v>
      </c>
      <c r="BX133" s="507" cm="1">
        <f t="array" ref="BX133">_xlfn.LET(_xlpm.DepreciationMonths,INDEX(FixedAssets[Depreciation
/ Amortization Months],_xlfn.XMATCH($E$84,FixedAssets[Asset ID])),IF(AND((_xlfn.XMATCH(BX$8,$AH$8:$CC$8))-_xlfn.XMATCH($C133,$C$35:$C$82)+1&lt;=_xlpm.DepreciationMonths,$C133&lt;=BX$8),$E133/_xlpm.DepreciationMonths,0))</f>
        <v>0</v>
      </c>
      <c r="BY133" s="507" cm="1">
        <f t="array" ref="BY133">_xlfn.LET(_xlpm.DepreciationMonths,INDEX(FixedAssets[Depreciation
/ Amortization Months],_xlfn.XMATCH($E$84,FixedAssets[Asset ID])),IF(AND((_xlfn.XMATCH(BY$8,$AH$8:$CC$8))-_xlfn.XMATCH($C133,$C$35:$C$82)+1&lt;=_xlpm.DepreciationMonths,$C133&lt;=BY$8),$E133/_xlpm.DepreciationMonths,0))</f>
        <v>0</v>
      </c>
      <c r="BZ133" s="507" cm="1">
        <f t="array" ref="BZ133">_xlfn.LET(_xlpm.DepreciationMonths,INDEX(FixedAssets[Depreciation
/ Amortization Months],_xlfn.XMATCH($E$84,FixedAssets[Asset ID])),IF(AND((_xlfn.XMATCH(BZ$8,$AH$8:$CC$8))-_xlfn.XMATCH($C133,$C$35:$C$82)+1&lt;=_xlpm.DepreciationMonths,$C133&lt;=BZ$8),$E133/_xlpm.DepreciationMonths,0))</f>
        <v>0</v>
      </c>
      <c r="CA133" s="507" cm="1">
        <f t="array" ref="CA133">_xlfn.LET(_xlpm.DepreciationMonths,INDEX(FixedAssets[Depreciation
/ Amortization Months],_xlfn.XMATCH($E$84,FixedAssets[Asset ID])),IF(AND((_xlfn.XMATCH(CA$8,$AH$8:$CC$8))-_xlfn.XMATCH($C133,$C$35:$C$82)+1&lt;=_xlpm.DepreciationMonths,$C133&lt;=CA$8),$E133/_xlpm.DepreciationMonths,0))</f>
        <v>0</v>
      </c>
      <c r="CB133" s="507" cm="1">
        <f t="array" ref="CB133">_xlfn.LET(_xlpm.DepreciationMonths,INDEX(FixedAssets[Depreciation
/ Amortization Months],_xlfn.XMATCH($E$84,FixedAssets[Asset ID])),IF(AND((_xlfn.XMATCH(CB$8,$AH$8:$CC$8))-_xlfn.XMATCH($C133,$C$35:$C$82)+1&lt;=_xlpm.DepreciationMonths,$C133&lt;=CB$8),$E133/_xlpm.DepreciationMonths,0))</f>
        <v>0</v>
      </c>
      <c r="CC133" s="507" cm="1">
        <f t="array" ref="CC133">_xlfn.LET(_xlpm.DepreciationMonths,INDEX(FixedAssets[Depreciation
/ Amortization Months],_xlfn.XMATCH($E$84,FixedAssets[Asset ID])),IF(AND((_xlfn.XMATCH(CC$8,$AH$8:$CC$8))-_xlfn.XMATCH($C133,$C$35:$C$82)+1&lt;=_xlpm.DepreciationMonths,$C133&lt;=CC$8),$E133/_xlpm.DepreciationMonths,0))</f>
        <v>0</v>
      </c>
    </row>
    <row r="134" spans="3:81" hidden="1" outlineLevel="2">
      <c r="C134" s="664"/>
      <c r="D134" s="508"/>
      <c r="E134" s="508"/>
      <c r="F134" s="508"/>
      <c r="G134" s="508"/>
      <c r="H134" s="508"/>
      <c r="I134" s="508"/>
      <c r="J134" s="508"/>
      <c r="K134" s="508"/>
      <c r="L134" s="508"/>
      <c r="M134" s="508"/>
      <c r="N134" s="508"/>
      <c r="O134" s="508"/>
      <c r="P134" s="508"/>
      <c r="Q134" s="508"/>
      <c r="R134" s="508"/>
      <c r="S134" s="508"/>
      <c r="T134" s="508"/>
      <c r="U134" s="508"/>
      <c r="V134" s="508"/>
      <c r="W134" s="508"/>
      <c r="X134" s="508"/>
      <c r="Y134" s="508"/>
      <c r="Z134" s="508"/>
      <c r="AA134" s="508"/>
      <c r="AB134" s="508"/>
      <c r="AC134" s="508"/>
      <c r="AD134" s="508"/>
      <c r="AE134" s="508"/>
      <c r="AF134" s="508"/>
      <c r="AG134" s="508"/>
      <c r="AH134" s="507"/>
      <c r="AI134" s="507"/>
      <c r="AJ134" s="507"/>
      <c r="AK134" s="507"/>
      <c r="AL134" s="507"/>
      <c r="AM134" s="507"/>
      <c r="AN134" s="507"/>
      <c r="AO134" s="507"/>
      <c r="AP134" s="507"/>
      <c r="AQ134" s="507"/>
      <c r="AR134" s="507"/>
      <c r="AS134" s="507"/>
      <c r="AT134" s="507"/>
      <c r="AU134" s="507"/>
      <c r="AV134" s="507"/>
      <c r="AW134" s="507"/>
      <c r="AX134" s="507"/>
      <c r="AY134" s="507"/>
      <c r="AZ134" s="507"/>
      <c r="BA134" s="507"/>
      <c r="BB134" s="507"/>
      <c r="BC134" s="507"/>
      <c r="BD134" s="507"/>
      <c r="BE134" s="507"/>
      <c r="BF134" s="507"/>
      <c r="BG134" s="507"/>
      <c r="BH134" s="507"/>
      <c r="BI134" s="507"/>
      <c r="BJ134" s="507"/>
      <c r="BK134" s="507"/>
      <c r="BL134" s="507"/>
      <c r="BM134" s="507"/>
      <c r="BN134" s="507"/>
      <c r="BO134" s="507"/>
      <c r="BP134" s="507"/>
      <c r="BQ134" s="507"/>
      <c r="BR134" s="507"/>
      <c r="BS134" s="507"/>
      <c r="BT134" s="507"/>
      <c r="BU134" s="507"/>
      <c r="BV134" s="507"/>
      <c r="BW134" s="507"/>
      <c r="BX134" s="507"/>
      <c r="BY134" s="507"/>
      <c r="BZ134" s="507"/>
      <c r="CA134" s="507"/>
      <c r="CB134" s="507"/>
      <c r="CC134" s="507"/>
    </row>
    <row r="135" spans="3:81" outlineLevel="1" collapsed="1">
      <c r="C135" s="502" t="str" cm="1">
        <f t="array" ref="C135">INDEX(FixedAssets[Asset],MATCH(C84,FixedAssets[Asset],0)+1,0)</f>
        <v>Equipment</v>
      </c>
      <c r="E135" s="502" cm="1">
        <f t="array" ref="E135">INDEX(FixedAssets[Asset ID],_xlfn.XMATCH($C135,FixedAssets[Asset]))</f>
        <v>154</v>
      </c>
      <c r="F135" s="502" cm="1">
        <f t="array" ref="F135">INDEX(FixedAssets[Depreciation
/ Amortization ID],_xlfn.XMATCH($C135,FixedAssets[Asset]))</f>
        <v>191</v>
      </c>
      <c r="G135" s="502" cm="1">
        <f t="array" ref="G135">INDEX(FixedAssets[Accumulated Depreciation
/ Amortization ID],_xlfn.XMATCH($C135,FixedAssets[Asset]))</f>
        <v>194</v>
      </c>
      <c r="H135" s="508"/>
      <c r="I135" s="508"/>
      <c r="J135" s="507">
        <f>_xlfn.AGGREGATE(9,0,J136:J185)</f>
        <v>1555.5555555555554</v>
      </c>
      <c r="K135" s="507">
        <f t="shared" ref="K135:M135" si="175">_xlfn.AGGREGATE(9,0,K136:K185)</f>
        <v>2722.2222222222217</v>
      </c>
      <c r="L135" s="507">
        <f t="shared" si="175"/>
        <v>2666.6666666666665</v>
      </c>
      <c r="M135" s="507">
        <f t="shared" si="175"/>
        <v>4166.666666666667</v>
      </c>
      <c r="N135" s="509"/>
      <c r="O135" s="509"/>
      <c r="P135" s="507">
        <f t="shared" ref="P135" si="176">_xlfn.AGGREGATE(9,0,P136:P185)</f>
        <v>0</v>
      </c>
      <c r="Q135" s="507">
        <f t="shared" ref="Q135" si="177">_xlfn.AGGREGATE(9,0,Q136:Q185)</f>
        <v>222.22222222222223</v>
      </c>
      <c r="R135" s="507">
        <f t="shared" ref="R135" si="178">_xlfn.AGGREGATE(9,0,R136:R185)</f>
        <v>666.66666666666674</v>
      </c>
      <c r="S135" s="507">
        <f t="shared" ref="S135" si="179">_xlfn.AGGREGATE(9,0,S136:S185)</f>
        <v>666.66666666666674</v>
      </c>
      <c r="T135" s="507">
        <f t="shared" ref="T135" si="180">_xlfn.AGGREGATE(9,0,T136:T185)</f>
        <v>722.2222222222224</v>
      </c>
      <c r="U135" s="507">
        <f t="shared" ref="U135" si="181">_xlfn.AGGREGATE(9,0,U136:U185)</f>
        <v>666.66666666666674</v>
      </c>
      <c r="V135" s="507">
        <f t="shared" ref="V135" si="182">_xlfn.AGGREGATE(9,0,V136:V185)</f>
        <v>666.66666666666674</v>
      </c>
      <c r="W135" s="507">
        <f t="shared" ref="W135" si="183">_xlfn.AGGREGATE(9,0,W136:W185)</f>
        <v>666.66666666666674</v>
      </c>
      <c r="X135" s="507">
        <f t="shared" ref="X135" si="184">_xlfn.AGGREGATE(9,0,X136:X185)</f>
        <v>666.66666666666674</v>
      </c>
      <c r="Y135" s="507">
        <f t="shared" ref="Y135" si="185">_xlfn.AGGREGATE(9,0,Y136:Y185)</f>
        <v>666.66666666666674</v>
      </c>
      <c r="Z135" s="507">
        <f t="shared" ref="Z135" si="186">_xlfn.AGGREGATE(9,0,Z136:Z185)</f>
        <v>666.66666666666674</v>
      </c>
      <c r="AA135" s="507">
        <f t="shared" ref="AA135" si="187">_xlfn.AGGREGATE(9,0,AA136:AA185)</f>
        <v>666.66666666666674</v>
      </c>
      <c r="AB135" s="507">
        <f t="shared" ref="AB135" si="188">_xlfn.AGGREGATE(9,0,AB136:AB185)</f>
        <v>1222.2222222222222</v>
      </c>
      <c r="AC135" s="507">
        <f t="shared" ref="AC135" si="189">_xlfn.AGGREGATE(9,0,AC136:AC185)</f>
        <v>1277.7777777777776</v>
      </c>
      <c r="AD135" s="507">
        <f t="shared" ref="AD135" si="190">_xlfn.AGGREGATE(9,0,AD136:AD185)</f>
        <v>833.33333333333326</v>
      </c>
      <c r="AE135" s="507">
        <f t="shared" ref="AE135" si="191">_xlfn.AGGREGATE(9,0,AE136:AE185)</f>
        <v>833.33333333333326</v>
      </c>
      <c r="AF135" s="508"/>
      <c r="AG135" s="508"/>
      <c r="AH135" s="507">
        <f t="shared" ref="AH135" si="192">_xlfn.AGGREGATE(9,0,AH136:AH185)</f>
        <v>0</v>
      </c>
      <c r="AI135" s="507">
        <f t="shared" ref="AI135" si="193">_xlfn.AGGREGATE(9,0,AI136:AI185)</f>
        <v>0</v>
      </c>
      <c r="AJ135" s="507">
        <f t="shared" ref="AJ135" si="194">_xlfn.AGGREGATE(9,0,AJ136:AJ185)</f>
        <v>0</v>
      </c>
      <c r="AK135" s="507">
        <f t="shared" ref="AK135" si="195">_xlfn.AGGREGATE(9,0,AK136:AK185)</f>
        <v>0</v>
      </c>
      <c r="AL135" s="507">
        <f t="shared" ref="AL135" si="196">_xlfn.AGGREGATE(9,0,AL136:AL185)</f>
        <v>0</v>
      </c>
      <c r="AM135" s="507">
        <f t="shared" ref="AM135" si="197">_xlfn.AGGREGATE(9,0,AM136:AM185)</f>
        <v>222.22222222222223</v>
      </c>
      <c r="AN135" s="507">
        <f t="shared" ref="AN135" si="198">_xlfn.AGGREGATE(9,0,AN136:AN185)</f>
        <v>222.22222222222223</v>
      </c>
      <c r="AO135" s="507">
        <f t="shared" ref="AO135" si="199">_xlfn.AGGREGATE(9,0,AO136:AO185)</f>
        <v>222.22222222222223</v>
      </c>
      <c r="AP135" s="507">
        <f t="shared" ref="AP135" si="200">_xlfn.AGGREGATE(9,0,AP136:AP185)</f>
        <v>222.22222222222223</v>
      </c>
      <c r="AQ135" s="507">
        <f t="shared" ref="AQ135" si="201">_xlfn.AGGREGATE(9,0,AQ136:AQ185)</f>
        <v>222.22222222222223</v>
      </c>
      <c r="AR135" s="507">
        <f t="shared" ref="AR135" si="202">_xlfn.AGGREGATE(9,0,AR136:AR185)</f>
        <v>222.22222222222223</v>
      </c>
      <c r="AS135" s="507">
        <f t="shared" ref="AS135" si="203">_xlfn.AGGREGATE(9,0,AS136:AS185)</f>
        <v>222.22222222222223</v>
      </c>
      <c r="AT135" s="507">
        <f t="shared" ref="AT135" si="204">_xlfn.AGGREGATE(9,0,AT136:AT185)</f>
        <v>277.77777777777777</v>
      </c>
      <c r="AU135" s="507">
        <f t="shared" ref="AU135" si="205">_xlfn.AGGREGATE(9,0,AU136:AU185)</f>
        <v>222.22222222222223</v>
      </c>
      <c r="AV135" s="507">
        <f t="shared" ref="AV135" si="206">_xlfn.AGGREGATE(9,0,AV136:AV185)</f>
        <v>222.22222222222223</v>
      </c>
      <c r="AW135" s="507">
        <f t="shared" ref="AW135" si="207">_xlfn.AGGREGATE(9,0,AW136:AW185)</f>
        <v>222.22222222222223</v>
      </c>
      <c r="AX135" s="507">
        <f t="shared" ref="AX135" si="208">_xlfn.AGGREGATE(9,0,AX136:AX185)</f>
        <v>222.22222222222223</v>
      </c>
      <c r="AY135" s="507">
        <f t="shared" ref="AY135" si="209">_xlfn.AGGREGATE(9,0,AY136:AY185)</f>
        <v>222.22222222222223</v>
      </c>
      <c r="AZ135" s="507">
        <f t="shared" ref="AZ135" si="210">_xlfn.AGGREGATE(9,0,AZ136:AZ185)</f>
        <v>222.22222222222223</v>
      </c>
      <c r="BA135" s="507">
        <f t="shared" ref="BA135" si="211">_xlfn.AGGREGATE(9,0,BA136:BA185)</f>
        <v>222.22222222222223</v>
      </c>
      <c r="BB135" s="507">
        <f t="shared" ref="BB135" si="212">_xlfn.AGGREGATE(9,0,BB136:BB185)</f>
        <v>222.22222222222223</v>
      </c>
      <c r="BC135" s="507">
        <f t="shared" ref="BC135" si="213">_xlfn.AGGREGATE(9,0,BC136:BC185)</f>
        <v>222.22222222222223</v>
      </c>
      <c r="BD135" s="507">
        <f t="shared" ref="BD135" si="214">_xlfn.AGGREGATE(9,0,BD136:BD185)</f>
        <v>222.22222222222223</v>
      </c>
      <c r="BE135" s="507">
        <f t="shared" ref="BE135" si="215">_xlfn.AGGREGATE(9,0,BE136:BE185)</f>
        <v>222.22222222222223</v>
      </c>
      <c r="BF135" s="507">
        <f t="shared" ref="BF135" si="216">_xlfn.AGGREGATE(9,0,BF136:BF185)</f>
        <v>222.22222222222223</v>
      </c>
      <c r="BG135" s="507">
        <f t="shared" ref="BG135" si="217">_xlfn.AGGREGATE(9,0,BG136:BG185)</f>
        <v>222.22222222222223</v>
      </c>
      <c r="BH135" s="507">
        <f t="shared" ref="BH135" si="218">_xlfn.AGGREGATE(9,0,BH136:BH185)</f>
        <v>222.22222222222223</v>
      </c>
      <c r="BI135" s="507">
        <f t="shared" ref="BI135" si="219">_xlfn.AGGREGATE(9,0,BI136:BI185)</f>
        <v>222.22222222222223</v>
      </c>
      <c r="BJ135" s="507">
        <f t="shared" ref="BJ135" si="220">_xlfn.AGGREGATE(9,0,BJ136:BJ185)</f>
        <v>222.22222222222223</v>
      </c>
      <c r="BK135" s="507">
        <f t="shared" ref="BK135" si="221">_xlfn.AGGREGATE(9,0,BK136:BK185)</f>
        <v>222.22222222222223</v>
      </c>
      <c r="BL135" s="507">
        <f t="shared" ref="BL135" si="222">_xlfn.AGGREGATE(9,0,BL136:BL185)</f>
        <v>222.22222222222223</v>
      </c>
      <c r="BM135" s="507">
        <f t="shared" ref="BM135" si="223">_xlfn.AGGREGATE(9,0,BM136:BM185)</f>
        <v>222.22222222222223</v>
      </c>
      <c r="BN135" s="507">
        <f t="shared" ref="BN135" si="224">_xlfn.AGGREGATE(9,0,BN136:BN185)</f>
        <v>222.22222222222223</v>
      </c>
      <c r="BO135" s="507">
        <f t="shared" ref="BO135" si="225">_xlfn.AGGREGATE(9,0,BO136:BO185)</f>
        <v>222.22222222222223</v>
      </c>
      <c r="BP135" s="507">
        <f t="shared" ref="BP135" si="226">_xlfn.AGGREGATE(9,0,BP136:BP185)</f>
        <v>222.22222222222223</v>
      </c>
      <c r="BQ135" s="507">
        <f t="shared" ref="BQ135" si="227">_xlfn.AGGREGATE(9,0,BQ136:BQ185)</f>
        <v>222.22222222222223</v>
      </c>
      <c r="BR135" s="507">
        <f t="shared" ref="BR135" si="228">_xlfn.AGGREGATE(9,0,BR136:BR185)</f>
        <v>222.22222222222223</v>
      </c>
      <c r="BS135" s="507">
        <f t="shared" ref="BS135" si="229">_xlfn.AGGREGATE(9,0,BS136:BS185)</f>
        <v>500</v>
      </c>
      <c r="BT135" s="507">
        <f t="shared" ref="BT135" si="230">_xlfn.AGGREGATE(9,0,BT136:BT185)</f>
        <v>500</v>
      </c>
      <c r="BU135" s="507">
        <f t="shared" ref="BU135" si="231">_xlfn.AGGREGATE(9,0,BU136:BU185)</f>
        <v>500</v>
      </c>
      <c r="BV135" s="507">
        <f t="shared" ref="BV135" si="232">_xlfn.AGGREGATE(9,0,BV136:BV185)</f>
        <v>500</v>
      </c>
      <c r="BW135" s="507">
        <f t="shared" ref="BW135" si="233">_xlfn.AGGREGATE(9,0,BW136:BW185)</f>
        <v>277.77777777777777</v>
      </c>
      <c r="BX135" s="507">
        <f t="shared" ref="BX135" si="234">_xlfn.AGGREGATE(9,0,BX136:BX185)</f>
        <v>277.77777777777777</v>
      </c>
      <c r="BY135" s="507">
        <f t="shared" ref="BY135" si="235">_xlfn.AGGREGATE(9,0,BY136:BY185)</f>
        <v>277.77777777777777</v>
      </c>
      <c r="BZ135" s="507">
        <f t="shared" ref="BZ135" si="236">_xlfn.AGGREGATE(9,0,BZ136:BZ185)</f>
        <v>277.77777777777777</v>
      </c>
      <c r="CA135" s="507">
        <f t="shared" ref="CA135" si="237">_xlfn.AGGREGATE(9,0,CA136:CA185)</f>
        <v>277.77777777777777</v>
      </c>
      <c r="CB135" s="507">
        <f t="shared" ref="CB135" si="238">_xlfn.AGGREGATE(9,0,CB136:CB185)</f>
        <v>277.77777777777777</v>
      </c>
      <c r="CC135" s="507">
        <f t="shared" ref="CC135" si="239">_xlfn.AGGREGATE(9,0,CC136:CC185)</f>
        <v>277.77777777777777</v>
      </c>
    </row>
    <row r="136" spans="3:81" hidden="1" outlineLevel="2">
      <c r="AH136" s="507"/>
      <c r="AI136" s="507"/>
      <c r="AJ136" s="507"/>
      <c r="AK136" s="507"/>
      <c r="AL136" s="507"/>
      <c r="AM136" s="507"/>
      <c r="AN136" s="507"/>
      <c r="AO136" s="507"/>
      <c r="AP136" s="507"/>
      <c r="AQ136" s="507"/>
      <c r="AR136" s="507"/>
      <c r="AS136" s="507"/>
      <c r="AT136" s="507"/>
      <c r="AU136" s="507"/>
      <c r="AV136" s="507"/>
      <c r="AW136" s="507"/>
      <c r="AX136" s="507"/>
      <c r="AY136" s="507"/>
      <c r="AZ136" s="507"/>
      <c r="BA136" s="507"/>
      <c r="BB136" s="507"/>
      <c r="BC136" s="507"/>
      <c r="BD136" s="507"/>
      <c r="BE136" s="507"/>
      <c r="BF136" s="507"/>
      <c r="BG136" s="507"/>
      <c r="BH136" s="507"/>
      <c r="BI136" s="507"/>
      <c r="BJ136" s="507"/>
      <c r="BK136" s="507"/>
      <c r="BL136" s="507"/>
      <c r="BM136" s="507"/>
      <c r="BN136" s="507"/>
      <c r="BO136" s="507"/>
      <c r="BP136" s="507"/>
      <c r="BQ136" s="507"/>
      <c r="BR136" s="507"/>
      <c r="BS136" s="507"/>
      <c r="BT136" s="507"/>
      <c r="BU136" s="507"/>
      <c r="BV136" s="507"/>
      <c r="BW136" s="507"/>
      <c r="BX136" s="507"/>
      <c r="BY136" s="507"/>
      <c r="BZ136" s="507"/>
      <c r="CA136" s="507"/>
      <c r="CB136" s="507"/>
      <c r="CC136" s="507"/>
    </row>
    <row r="137" spans="3:81" hidden="1" outlineLevel="2">
      <c r="C137" s="664" cm="1">
        <f t="array" ref="C137">EOM_Start_Date</f>
        <v>44957</v>
      </c>
      <c r="D137" s="508"/>
      <c r="E137" s="508" cm="1">
        <f t="array" ref="E137">SUMPRODUCT(($AH$26:$CC$31)*($AH$5:$CC$5=$C137)*($E$26:$E$31=E$135))-SUMPRODUCT(($AH$26:$CC$31)*($AH$5:$CC$5=EOMONTH($C137,-1))*($E$26:$E$31=E$135))</f>
        <v>0</v>
      </c>
      <c r="F137" s="508"/>
      <c r="G137" s="508"/>
      <c r="H137" s="508"/>
      <c r="I137" s="508"/>
      <c r="J137" s="504">
        <f t="shared" ref="J137:J184" si="240">SUMIFS($AH137:$CC137,$AH$4:$CC$4,"&gt;="&amp;J$4,$AH$5:$CC$5,"&lt;="&amp;J$5)</f>
        <v>0</v>
      </c>
      <c r="K137" s="504">
        <f t="shared" ref="K137:M152" si="241">SUMIFS($AH137:$CC137,$AH$4:$CC$4,"&gt;="&amp;K$4,$AH$5:$CC$5,"&lt;="&amp;K$5)</f>
        <v>0</v>
      </c>
      <c r="L137" s="504">
        <f t="shared" si="241"/>
        <v>0</v>
      </c>
      <c r="M137" s="504">
        <f t="shared" si="241"/>
        <v>0</v>
      </c>
      <c r="N137" s="504"/>
      <c r="O137" s="504"/>
      <c r="P137" s="504">
        <f t="shared" ref="P137:AE152" si="242">SUMIFS($AH137:$CC137,$AH$4:$CC$4,"&gt;="&amp;P$4,$AH$5:$CC$5,"&lt;="&amp;P$5)</f>
        <v>0</v>
      </c>
      <c r="Q137" s="504">
        <f t="shared" si="242"/>
        <v>0</v>
      </c>
      <c r="R137" s="504">
        <f t="shared" si="242"/>
        <v>0</v>
      </c>
      <c r="S137" s="504">
        <f t="shared" si="242"/>
        <v>0</v>
      </c>
      <c r="T137" s="504">
        <f t="shared" si="242"/>
        <v>0</v>
      </c>
      <c r="U137" s="504">
        <f t="shared" si="242"/>
        <v>0</v>
      </c>
      <c r="V137" s="504">
        <f t="shared" si="242"/>
        <v>0</v>
      </c>
      <c r="W137" s="504">
        <f t="shared" si="242"/>
        <v>0</v>
      </c>
      <c r="X137" s="504">
        <f t="shared" si="242"/>
        <v>0</v>
      </c>
      <c r="Y137" s="504">
        <f t="shared" si="242"/>
        <v>0</v>
      </c>
      <c r="Z137" s="504">
        <f t="shared" si="242"/>
        <v>0</v>
      </c>
      <c r="AA137" s="504">
        <f t="shared" si="242"/>
        <v>0</v>
      </c>
      <c r="AB137" s="504">
        <f t="shared" si="242"/>
        <v>0</v>
      </c>
      <c r="AC137" s="504">
        <f t="shared" si="242"/>
        <v>0</v>
      </c>
      <c r="AD137" s="504">
        <f t="shared" si="242"/>
        <v>0</v>
      </c>
      <c r="AE137" s="504">
        <f t="shared" si="242"/>
        <v>0</v>
      </c>
      <c r="AF137" s="508"/>
      <c r="AG137" s="508"/>
      <c r="AH137" s="507" cm="1">
        <f t="array" ref="AH137">_xlfn.LET(_xlpm.DepreciationMonths,INDEX(FixedAssets[Depreciation
/ Amortization Months],_xlfn.XMATCH($E$135,FixedAssets[Asset ID])),IF(AND((_xlfn.XMATCH(AH$8,$AH$8:$CC$8))-_xlfn.XMATCH($C137,$C$35:$C$82)+1&lt;=_xlpm.DepreciationMonths,$C137&lt;=AH$8),$E137/_xlpm.DepreciationMonths,0))</f>
        <v>0</v>
      </c>
      <c r="AI137" s="507" cm="1">
        <f t="array" ref="AI137">_xlfn.LET(_xlpm.DepreciationMonths,INDEX(FixedAssets[Depreciation
/ Amortization Months],_xlfn.XMATCH($E$135,FixedAssets[Asset ID])),IF(AND((_xlfn.XMATCH(AI$8,$AH$8:$CC$8))-_xlfn.XMATCH($C137,$C$35:$C$82)+1&lt;=_xlpm.DepreciationMonths,$C137&lt;=AI$8),$E137/_xlpm.DepreciationMonths,0))</f>
        <v>0</v>
      </c>
      <c r="AJ137" s="507" cm="1">
        <f t="array" ref="AJ137">_xlfn.LET(_xlpm.DepreciationMonths,INDEX(FixedAssets[Depreciation
/ Amortization Months],_xlfn.XMATCH($E$135,FixedAssets[Asset ID])),IF(AND((_xlfn.XMATCH(AJ$8,$AH$8:$CC$8))-_xlfn.XMATCH($C137,$C$35:$C$82)+1&lt;=_xlpm.DepreciationMonths,$C137&lt;=AJ$8),$E137/_xlpm.DepreciationMonths,0))</f>
        <v>0</v>
      </c>
      <c r="AK137" s="507" cm="1">
        <f t="array" ref="AK137">_xlfn.LET(_xlpm.DepreciationMonths,INDEX(FixedAssets[Depreciation
/ Amortization Months],_xlfn.XMATCH($E$135,FixedAssets[Asset ID])),IF(AND((_xlfn.XMATCH(AK$8,$AH$8:$CC$8))-_xlfn.XMATCH($C137,$C$35:$C$82)+1&lt;=_xlpm.DepreciationMonths,$C137&lt;=AK$8),$E137/_xlpm.DepreciationMonths,0))</f>
        <v>0</v>
      </c>
      <c r="AL137" s="507" cm="1">
        <f t="array" ref="AL137">_xlfn.LET(_xlpm.DepreciationMonths,INDEX(FixedAssets[Depreciation
/ Amortization Months],_xlfn.XMATCH($E$135,FixedAssets[Asset ID])),IF(AND((_xlfn.XMATCH(AL$8,$AH$8:$CC$8))-_xlfn.XMATCH($C137,$C$35:$C$82)+1&lt;=_xlpm.DepreciationMonths,$C137&lt;=AL$8),$E137/_xlpm.DepreciationMonths,0))</f>
        <v>0</v>
      </c>
      <c r="AM137" s="507" cm="1">
        <f t="array" ref="AM137">_xlfn.LET(_xlpm.DepreciationMonths,INDEX(FixedAssets[Depreciation
/ Amortization Months],_xlfn.XMATCH($E$135,FixedAssets[Asset ID])),IF(AND((_xlfn.XMATCH(AM$8,$AH$8:$CC$8))-_xlfn.XMATCH($C137,$C$35:$C$82)+1&lt;=_xlpm.DepreciationMonths,$C137&lt;=AM$8),$E137/_xlpm.DepreciationMonths,0))</f>
        <v>0</v>
      </c>
      <c r="AN137" s="507" cm="1">
        <f t="array" ref="AN137">_xlfn.LET(_xlpm.DepreciationMonths,INDEX(FixedAssets[Depreciation
/ Amortization Months],_xlfn.XMATCH($E$135,FixedAssets[Asset ID])),IF(AND((_xlfn.XMATCH(AN$8,$AH$8:$CC$8))-_xlfn.XMATCH($C137,$C$35:$C$82)+1&lt;=_xlpm.DepreciationMonths,$C137&lt;=AN$8),$E137/_xlpm.DepreciationMonths,0))</f>
        <v>0</v>
      </c>
      <c r="AO137" s="507" cm="1">
        <f t="array" ref="AO137">_xlfn.LET(_xlpm.DepreciationMonths,INDEX(FixedAssets[Depreciation
/ Amortization Months],_xlfn.XMATCH($E$135,FixedAssets[Asset ID])),IF(AND((_xlfn.XMATCH(AO$8,$AH$8:$CC$8))-_xlfn.XMATCH($C137,$C$35:$C$82)+1&lt;=_xlpm.DepreciationMonths,$C137&lt;=AO$8),$E137/_xlpm.DepreciationMonths,0))</f>
        <v>0</v>
      </c>
      <c r="AP137" s="507" cm="1">
        <f t="array" ref="AP137">_xlfn.LET(_xlpm.DepreciationMonths,INDEX(FixedAssets[Depreciation
/ Amortization Months],_xlfn.XMATCH($E$135,FixedAssets[Asset ID])),IF(AND((_xlfn.XMATCH(AP$8,$AH$8:$CC$8))-_xlfn.XMATCH($C137,$C$35:$C$82)+1&lt;=_xlpm.DepreciationMonths,$C137&lt;=AP$8),$E137/_xlpm.DepreciationMonths,0))</f>
        <v>0</v>
      </c>
      <c r="AQ137" s="507" cm="1">
        <f t="array" ref="AQ137">_xlfn.LET(_xlpm.DepreciationMonths,INDEX(FixedAssets[Depreciation
/ Amortization Months],_xlfn.XMATCH($E$135,FixedAssets[Asset ID])),IF(AND((_xlfn.XMATCH(AQ$8,$AH$8:$CC$8))-_xlfn.XMATCH($C137,$C$35:$C$82)+1&lt;=_xlpm.DepreciationMonths,$C137&lt;=AQ$8),$E137/_xlpm.DepreciationMonths,0))</f>
        <v>0</v>
      </c>
      <c r="AR137" s="507" cm="1">
        <f t="array" ref="AR137">_xlfn.LET(_xlpm.DepreciationMonths,INDEX(FixedAssets[Depreciation
/ Amortization Months],_xlfn.XMATCH($E$135,FixedAssets[Asset ID])),IF(AND((_xlfn.XMATCH(AR$8,$AH$8:$CC$8))-_xlfn.XMATCH($C137,$C$35:$C$82)+1&lt;=_xlpm.DepreciationMonths,$C137&lt;=AR$8),$E137/_xlpm.DepreciationMonths,0))</f>
        <v>0</v>
      </c>
      <c r="AS137" s="507" cm="1">
        <f t="array" ref="AS137">_xlfn.LET(_xlpm.DepreciationMonths,INDEX(FixedAssets[Depreciation
/ Amortization Months],_xlfn.XMATCH($E$135,FixedAssets[Asset ID])),IF(AND((_xlfn.XMATCH(AS$8,$AH$8:$CC$8))-_xlfn.XMATCH($C137,$C$35:$C$82)+1&lt;=_xlpm.DepreciationMonths,$C137&lt;=AS$8),$E137/_xlpm.DepreciationMonths,0))</f>
        <v>0</v>
      </c>
      <c r="AT137" s="507" cm="1">
        <f t="array" ref="AT137">_xlfn.LET(_xlpm.DepreciationMonths,INDEX(FixedAssets[Depreciation
/ Amortization Months],_xlfn.XMATCH($E$135,FixedAssets[Asset ID])),IF(AND((_xlfn.XMATCH(AT$8,$AH$8:$CC$8))-_xlfn.XMATCH($C137,$C$35:$C$82)+1&lt;=_xlpm.DepreciationMonths,$C137&lt;=AT$8),$E137/_xlpm.DepreciationMonths,0))</f>
        <v>0</v>
      </c>
      <c r="AU137" s="507" cm="1">
        <f t="array" ref="AU137">_xlfn.LET(_xlpm.DepreciationMonths,INDEX(FixedAssets[Depreciation
/ Amortization Months],_xlfn.XMATCH($E$135,FixedAssets[Asset ID])),IF(AND((_xlfn.XMATCH(AU$8,$AH$8:$CC$8))-_xlfn.XMATCH($C137,$C$35:$C$82)+1&lt;=_xlpm.DepreciationMonths,$C137&lt;=AU$8),$E137/_xlpm.DepreciationMonths,0))</f>
        <v>0</v>
      </c>
      <c r="AV137" s="507" cm="1">
        <f t="array" ref="AV137">_xlfn.LET(_xlpm.DepreciationMonths,INDEX(FixedAssets[Depreciation
/ Amortization Months],_xlfn.XMATCH($E$135,FixedAssets[Asset ID])),IF(AND((_xlfn.XMATCH(AV$8,$AH$8:$CC$8))-_xlfn.XMATCH($C137,$C$35:$C$82)+1&lt;=_xlpm.DepreciationMonths,$C137&lt;=AV$8),$E137/_xlpm.DepreciationMonths,0))</f>
        <v>0</v>
      </c>
      <c r="AW137" s="507" cm="1">
        <f t="array" ref="AW137">_xlfn.LET(_xlpm.DepreciationMonths,INDEX(FixedAssets[Depreciation
/ Amortization Months],_xlfn.XMATCH($E$135,FixedAssets[Asset ID])),IF(AND((_xlfn.XMATCH(AW$8,$AH$8:$CC$8))-_xlfn.XMATCH($C137,$C$35:$C$82)+1&lt;=_xlpm.DepreciationMonths,$C137&lt;=AW$8),$E137/_xlpm.DepreciationMonths,0))</f>
        <v>0</v>
      </c>
      <c r="AX137" s="507" cm="1">
        <f t="array" ref="AX137">_xlfn.LET(_xlpm.DepreciationMonths,INDEX(FixedAssets[Depreciation
/ Amortization Months],_xlfn.XMATCH($E$135,FixedAssets[Asset ID])),IF(AND((_xlfn.XMATCH(AX$8,$AH$8:$CC$8))-_xlfn.XMATCH($C137,$C$35:$C$82)+1&lt;=_xlpm.DepreciationMonths,$C137&lt;=AX$8),$E137/_xlpm.DepreciationMonths,0))</f>
        <v>0</v>
      </c>
      <c r="AY137" s="507" cm="1">
        <f t="array" ref="AY137">_xlfn.LET(_xlpm.DepreciationMonths,INDEX(FixedAssets[Depreciation
/ Amortization Months],_xlfn.XMATCH($E$135,FixedAssets[Asset ID])),IF(AND((_xlfn.XMATCH(AY$8,$AH$8:$CC$8))-_xlfn.XMATCH($C137,$C$35:$C$82)+1&lt;=_xlpm.DepreciationMonths,$C137&lt;=AY$8),$E137/_xlpm.DepreciationMonths,0))</f>
        <v>0</v>
      </c>
      <c r="AZ137" s="507" cm="1">
        <f t="array" ref="AZ137">_xlfn.LET(_xlpm.DepreciationMonths,INDEX(FixedAssets[Depreciation
/ Amortization Months],_xlfn.XMATCH($E$135,FixedAssets[Asset ID])),IF(AND((_xlfn.XMATCH(AZ$8,$AH$8:$CC$8))-_xlfn.XMATCH($C137,$C$35:$C$82)+1&lt;=_xlpm.DepreciationMonths,$C137&lt;=AZ$8),$E137/_xlpm.DepreciationMonths,0))</f>
        <v>0</v>
      </c>
      <c r="BA137" s="507" cm="1">
        <f t="array" ref="BA137">_xlfn.LET(_xlpm.DepreciationMonths,INDEX(FixedAssets[Depreciation
/ Amortization Months],_xlfn.XMATCH($E$135,FixedAssets[Asset ID])),IF(AND((_xlfn.XMATCH(BA$8,$AH$8:$CC$8))-_xlfn.XMATCH($C137,$C$35:$C$82)+1&lt;=_xlpm.DepreciationMonths,$C137&lt;=BA$8),$E137/_xlpm.DepreciationMonths,0))</f>
        <v>0</v>
      </c>
      <c r="BB137" s="507" cm="1">
        <f t="array" ref="BB137">_xlfn.LET(_xlpm.DepreciationMonths,INDEX(FixedAssets[Depreciation
/ Amortization Months],_xlfn.XMATCH($E$135,FixedAssets[Asset ID])),IF(AND((_xlfn.XMATCH(BB$8,$AH$8:$CC$8))-_xlfn.XMATCH($C137,$C$35:$C$82)+1&lt;=_xlpm.DepreciationMonths,$C137&lt;=BB$8),$E137/_xlpm.DepreciationMonths,0))</f>
        <v>0</v>
      </c>
      <c r="BC137" s="507" cm="1">
        <f t="array" ref="BC137">_xlfn.LET(_xlpm.DepreciationMonths,INDEX(FixedAssets[Depreciation
/ Amortization Months],_xlfn.XMATCH($E$135,FixedAssets[Asset ID])),IF(AND((_xlfn.XMATCH(BC$8,$AH$8:$CC$8))-_xlfn.XMATCH($C137,$C$35:$C$82)+1&lt;=_xlpm.DepreciationMonths,$C137&lt;=BC$8),$E137/_xlpm.DepreciationMonths,0))</f>
        <v>0</v>
      </c>
      <c r="BD137" s="507" cm="1">
        <f t="array" ref="BD137">_xlfn.LET(_xlpm.DepreciationMonths,INDEX(FixedAssets[Depreciation
/ Amortization Months],_xlfn.XMATCH($E$135,FixedAssets[Asset ID])),IF(AND((_xlfn.XMATCH(BD$8,$AH$8:$CC$8))-_xlfn.XMATCH($C137,$C$35:$C$82)+1&lt;=_xlpm.DepreciationMonths,$C137&lt;=BD$8),$E137/_xlpm.DepreciationMonths,0))</f>
        <v>0</v>
      </c>
      <c r="BE137" s="507" cm="1">
        <f t="array" ref="BE137">_xlfn.LET(_xlpm.DepreciationMonths,INDEX(FixedAssets[Depreciation
/ Amortization Months],_xlfn.XMATCH($E$135,FixedAssets[Asset ID])),IF(AND((_xlfn.XMATCH(BE$8,$AH$8:$CC$8))-_xlfn.XMATCH($C137,$C$35:$C$82)+1&lt;=_xlpm.DepreciationMonths,$C137&lt;=BE$8),$E137/_xlpm.DepreciationMonths,0))</f>
        <v>0</v>
      </c>
      <c r="BF137" s="507" cm="1">
        <f t="array" ref="BF137">_xlfn.LET(_xlpm.DepreciationMonths,INDEX(FixedAssets[Depreciation
/ Amortization Months],_xlfn.XMATCH($E$135,FixedAssets[Asset ID])),IF(AND((_xlfn.XMATCH(BF$8,$AH$8:$CC$8))-_xlfn.XMATCH($C137,$C$35:$C$82)+1&lt;=_xlpm.DepreciationMonths,$C137&lt;=BF$8),$E137/_xlpm.DepreciationMonths,0))</f>
        <v>0</v>
      </c>
      <c r="BG137" s="507" cm="1">
        <f t="array" ref="BG137">_xlfn.LET(_xlpm.DepreciationMonths,INDEX(FixedAssets[Depreciation
/ Amortization Months],_xlfn.XMATCH($E$135,FixedAssets[Asset ID])),IF(AND((_xlfn.XMATCH(BG$8,$AH$8:$CC$8))-_xlfn.XMATCH($C137,$C$35:$C$82)+1&lt;=_xlpm.DepreciationMonths,$C137&lt;=BG$8),$E137/_xlpm.DepreciationMonths,0))</f>
        <v>0</v>
      </c>
      <c r="BH137" s="507" cm="1">
        <f t="array" ref="BH137">_xlfn.LET(_xlpm.DepreciationMonths,INDEX(FixedAssets[Depreciation
/ Amortization Months],_xlfn.XMATCH($E$135,FixedAssets[Asset ID])),IF(AND((_xlfn.XMATCH(BH$8,$AH$8:$CC$8))-_xlfn.XMATCH($C137,$C$35:$C$82)+1&lt;=_xlpm.DepreciationMonths,$C137&lt;=BH$8),$E137/_xlpm.DepreciationMonths,0))</f>
        <v>0</v>
      </c>
      <c r="BI137" s="507" cm="1">
        <f t="array" ref="BI137">_xlfn.LET(_xlpm.DepreciationMonths,INDEX(FixedAssets[Depreciation
/ Amortization Months],_xlfn.XMATCH($E$135,FixedAssets[Asset ID])),IF(AND((_xlfn.XMATCH(BI$8,$AH$8:$CC$8))-_xlfn.XMATCH($C137,$C$35:$C$82)+1&lt;=_xlpm.DepreciationMonths,$C137&lt;=BI$8),$E137/_xlpm.DepreciationMonths,0))</f>
        <v>0</v>
      </c>
      <c r="BJ137" s="507" cm="1">
        <f t="array" ref="BJ137">_xlfn.LET(_xlpm.DepreciationMonths,INDEX(FixedAssets[Depreciation
/ Amortization Months],_xlfn.XMATCH($E$135,FixedAssets[Asset ID])),IF(AND((_xlfn.XMATCH(BJ$8,$AH$8:$CC$8))-_xlfn.XMATCH($C137,$C$35:$C$82)+1&lt;=_xlpm.DepreciationMonths,$C137&lt;=BJ$8),$E137/_xlpm.DepreciationMonths,0))</f>
        <v>0</v>
      </c>
      <c r="BK137" s="507" cm="1">
        <f t="array" ref="BK137">_xlfn.LET(_xlpm.DepreciationMonths,INDEX(FixedAssets[Depreciation
/ Amortization Months],_xlfn.XMATCH($E$135,FixedAssets[Asset ID])),IF(AND((_xlfn.XMATCH(BK$8,$AH$8:$CC$8))-_xlfn.XMATCH($C137,$C$35:$C$82)+1&lt;=_xlpm.DepreciationMonths,$C137&lt;=BK$8),$E137/_xlpm.DepreciationMonths,0))</f>
        <v>0</v>
      </c>
      <c r="BL137" s="507" cm="1">
        <f t="array" ref="BL137">_xlfn.LET(_xlpm.DepreciationMonths,INDEX(FixedAssets[Depreciation
/ Amortization Months],_xlfn.XMATCH($E$135,FixedAssets[Asset ID])),IF(AND((_xlfn.XMATCH(BL$8,$AH$8:$CC$8))-_xlfn.XMATCH($C137,$C$35:$C$82)+1&lt;=_xlpm.DepreciationMonths,$C137&lt;=BL$8),$E137/_xlpm.DepreciationMonths,0))</f>
        <v>0</v>
      </c>
      <c r="BM137" s="507" cm="1">
        <f t="array" ref="BM137">_xlfn.LET(_xlpm.DepreciationMonths,INDEX(FixedAssets[Depreciation
/ Amortization Months],_xlfn.XMATCH($E$135,FixedAssets[Asset ID])),IF(AND((_xlfn.XMATCH(BM$8,$AH$8:$CC$8))-_xlfn.XMATCH($C137,$C$35:$C$82)+1&lt;=_xlpm.DepreciationMonths,$C137&lt;=BM$8),$E137/_xlpm.DepreciationMonths,0))</f>
        <v>0</v>
      </c>
      <c r="BN137" s="507" cm="1">
        <f t="array" ref="BN137">_xlfn.LET(_xlpm.DepreciationMonths,INDEX(FixedAssets[Depreciation
/ Amortization Months],_xlfn.XMATCH($E$135,FixedAssets[Asset ID])),IF(AND((_xlfn.XMATCH(BN$8,$AH$8:$CC$8))-_xlfn.XMATCH($C137,$C$35:$C$82)+1&lt;=_xlpm.DepreciationMonths,$C137&lt;=BN$8),$E137/_xlpm.DepreciationMonths,0))</f>
        <v>0</v>
      </c>
      <c r="BO137" s="507" cm="1">
        <f t="array" ref="BO137">_xlfn.LET(_xlpm.DepreciationMonths,INDEX(FixedAssets[Depreciation
/ Amortization Months],_xlfn.XMATCH($E$135,FixedAssets[Asset ID])),IF(AND((_xlfn.XMATCH(BO$8,$AH$8:$CC$8))-_xlfn.XMATCH($C137,$C$35:$C$82)+1&lt;=_xlpm.DepreciationMonths,$C137&lt;=BO$8),$E137/_xlpm.DepreciationMonths,0))</f>
        <v>0</v>
      </c>
      <c r="BP137" s="507" cm="1">
        <f t="array" ref="BP137">_xlfn.LET(_xlpm.DepreciationMonths,INDEX(FixedAssets[Depreciation
/ Amortization Months],_xlfn.XMATCH($E$135,FixedAssets[Asset ID])),IF(AND((_xlfn.XMATCH(BP$8,$AH$8:$CC$8))-_xlfn.XMATCH($C137,$C$35:$C$82)+1&lt;=_xlpm.DepreciationMonths,$C137&lt;=BP$8),$E137/_xlpm.DepreciationMonths,0))</f>
        <v>0</v>
      </c>
      <c r="BQ137" s="507" cm="1">
        <f t="array" ref="BQ137">_xlfn.LET(_xlpm.DepreciationMonths,INDEX(FixedAssets[Depreciation
/ Amortization Months],_xlfn.XMATCH($E$135,FixedAssets[Asset ID])),IF(AND((_xlfn.XMATCH(BQ$8,$AH$8:$CC$8))-_xlfn.XMATCH($C137,$C$35:$C$82)+1&lt;=_xlpm.DepreciationMonths,$C137&lt;=BQ$8),$E137/_xlpm.DepreciationMonths,0))</f>
        <v>0</v>
      </c>
      <c r="BR137" s="507" cm="1">
        <f t="array" ref="BR137">_xlfn.LET(_xlpm.DepreciationMonths,INDEX(FixedAssets[Depreciation
/ Amortization Months],_xlfn.XMATCH($E$135,FixedAssets[Asset ID])),IF(AND((_xlfn.XMATCH(BR$8,$AH$8:$CC$8))-_xlfn.XMATCH($C137,$C$35:$C$82)+1&lt;=_xlpm.DepreciationMonths,$C137&lt;=BR$8),$E137/_xlpm.DepreciationMonths,0))</f>
        <v>0</v>
      </c>
      <c r="BS137" s="507" cm="1">
        <f t="array" ref="BS137">_xlfn.LET(_xlpm.DepreciationMonths,INDEX(FixedAssets[Depreciation
/ Amortization Months],_xlfn.XMATCH($E$135,FixedAssets[Asset ID])),IF(AND((_xlfn.XMATCH(BS$8,$AH$8:$CC$8))-_xlfn.XMATCH($C137,$C$35:$C$82)+1&lt;=_xlpm.DepreciationMonths,$C137&lt;=BS$8),$E137/_xlpm.DepreciationMonths,0))</f>
        <v>0</v>
      </c>
      <c r="BT137" s="507" cm="1">
        <f t="array" ref="BT137">_xlfn.LET(_xlpm.DepreciationMonths,INDEX(FixedAssets[Depreciation
/ Amortization Months],_xlfn.XMATCH($E$135,FixedAssets[Asset ID])),IF(AND((_xlfn.XMATCH(BT$8,$AH$8:$CC$8))-_xlfn.XMATCH($C137,$C$35:$C$82)+1&lt;=_xlpm.DepreciationMonths,$C137&lt;=BT$8),$E137/_xlpm.DepreciationMonths,0))</f>
        <v>0</v>
      </c>
      <c r="BU137" s="507" cm="1">
        <f t="array" ref="BU137">_xlfn.LET(_xlpm.DepreciationMonths,INDEX(FixedAssets[Depreciation
/ Amortization Months],_xlfn.XMATCH($E$135,FixedAssets[Asset ID])),IF(AND((_xlfn.XMATCH(BU$8,$AH$8:$CC$8))-_xlfn.XMATCH($C137,$C$35:$C$82)+1&lt;=_xlpm.DepreciationMonths,$C137&lt;=BU$8),$E137/_xlpm.DepreciationMonths,0))</f>
        <v>0</v>
      </c>
      <c r="BV137" s="507" cm="1">
        <f t="array" ref="BV137">_xlfn.LET(_xlpm.DepreciationMonths,INDEX(FixedAssets[Depreciation
/ Amortization Months],_xlfn.XMATCH($E$135,FixedAssets[Asset ID])),IF(AND((_xlfn.XMATCH(BV$8,$AH$8:$CC$8))-_xlfn.XMATCH($C137,$C$35:$C$82)+1&lt;=_xlpm.DepreciationMonths,$C137&lt;=BV$8),$E137/_xlpm.DepreciationMonths,0))</f>
        <v>0</v>
      </c>
      <c r="BW137" s="507" cm="1">
        <f t="array" ref="BW137">_xlfn.LET(_xlpm.DepreciationMonths,INDEX(FixedAssets[Depreciation
/ Amortization Months],_xlfn.XMATCH($E$135,FixedAssets[Asset ID])),IF(AND((_xlfn.XMATCH(BW$8,$AH$8:$CC$8))-_xlfn.XMATCH($C137,$C$35:$C$82)+1&lt;=_xlpm.DepreciationMonths,$C137&lt;=BW$8),$E137/_xlpm.DepreciationMonths,0))</f>
        <v>0</v>
      </c>
      <c r="BX137" s="507" cm="1">
        <f t="array" ref="BX137">_xlfn.LET(_xlpm.DepreciationMonths,INDEX(FixedAssets[Depreciation
/ Amortization Months],_xlfn.XMATCH($E$135,FixedAssets[Asset ID])),IF(AND((_xlfn.XMATCH(BX$8,$AH$8:$CC$8))-_xlfn.XMATCH($C137,$C$35:$C$82)+1&lt;=_xlpm.DepreciationMonths,$C137&lt;=BX$8),$E137/_xlpm.DepreciationMonths,0))</f>
        <v>0</v>
      </c>
      <c r="BY137" s="507" cm="1">
        <f t="array" ref="BY137">_xlfn.LET(_xlpm.DepreciationMonths,INDEX(FixedAssets[Depreciation
/ Amortization Months],_xlfn.XMATCH($E$135,FixedAssets[Asset ID])),IF(AND((_xlfn.XMATCH(BY$8,$AH$8:$CC$8))-_xlfn.XMATCH($C137,$C$35:$C$82)+1&lt;=_xlpm.DepreciationMonths,$C137&lt;=BY$8),$E137/_xlpm.DepreciationMonths,0))</f>
        <v>0</v>
      </c>
      <c r="BZ137" s="507" cm="1">
        <f t="array" ref="BZ137">_xlfn.LET(_xlpm.DepreciationMonths,INDEX(FixedAssets[Depreciation
/ Amortization Months],_xlfn.XMATCH($E$135,FixedAssets[Asset ID])),IF(AND((_xlfn.XMATCH(BZ$8,$AH$8:$CC$8))-_xlfn.XMATCH($C137,$C$35:$C$82)+1&lt;=_xlpm.DepreciationMonths,$C137&lt;=BZ$8),$E137/_xlpm.DepreciationMonths,0))</f>
        <v>0</v>
      </c>
      <c r="CA137" s="507" cm="1">
        <f t="array" ref="CA137">_xlfn.LET(_xlpm.DepreciationMonths,INDEX(FixedAssets[Depreciation
/ Amortization Months],_xlfn.XMATCH($E$135,FixedAssets[Asset ID])),IF(AND((_xlfn.XMATCH(CA$8,$AH$8:$CC$8))-_xlfn.XMATCH($C137,$C$35:$C$82)+1&lt;=_xlpm.DepreciationMonths,$C137&lt;=CA$8),$E137/_xlpm.DepreciationMonths,0))</f>
        <v>0</v>
      </c>
      <c r="CB137" s="507" cm="1">
        <f t="array" ref="CB137">_xlfn.LET(_xlpm.DepreciationMonths,INDEX(FixedAssets[Depreciation
/ Amortization Months],_xlfn.XMATCH($E$135,FixedAssets[Asset ID])),IF(AND((_xlfn.XMATCH(CB$8,$AH$8:$CC$8))-_xlfn.XMATCH($C137,$C$35:$C$82)+1&lt;=_xlpm.DepreciationMonths,$C137&lt;=CB$8),$E137/_xlpm.DepreciationMonths,0))</f>
        <v>0</v>
      </c>
      <c r="CC137" s="507" cm="1">
        <f t="array" ref="CC137">_xlfn.LET(_xlpm.DepreciationMonths,INDEX(FixedAssets[Depreciation
/ Amortization Months],_xlfn.XMATCH($E$135,FixedAssets[Asset ID])),IF(AND((_xlfn.XMATCH(CC$8,$AH$8:$CC$8))-_xlfn.XMATCH($C137,$C$35:$C$82)+1&lt;=_xlpm.DepreciationMonths,$C137&lt;=CC$8),$E137/_xlpm.DepreciationMonths,0))</f>
        <v>0</v>
      </c>
    </row>
    <row r="138" spans="3:81" hidden="1" outlineLevel="2">
      <c r="C138" s="664">
        <f t="shared" ref="C138:C184" si="243">EOMONTH(C137,1)</f>
        <v>44985</v>
      </c>
      <c r="D138" s="508"/>
      <c r="E138" s="508" cm="1">
        <f t="array" ref="E138">SUMPRODUCT(($AH$26:$CC$31)*($AH$5:$CC$5=$C138)*($E$26:$E$31=E$135))-SUMPRODUCT(($AH$26:$CC$31)*($AH$5:$CC$5=EOMONTH($C138,-1))*($E$26:$E$31=E$135))</f>
        <v>0</v>
      </c>
      <c r="F138" s="508"/>
      <c r="G138" s="508"/>
      <c r="H138" s="508"/>
      <c r="I138" s="508"/>
      <c r="J138" s="504">
        <f t="shared" si="240"/>
        <v>0</v>
      </c>
      <c r="K138" s="504">
        <f t="shared" si="241"/>
        <v>0</v>
      </c>
      <c r="L138" s="504">
        <f t="shared" si="241"/>
        <v>0</v>
      </c>
      <c r="M138" s="504">
        <f t="shared" si="241"/>
        <v>0</v>
      </c>
      <c r="N138" s="504"/>
      <c r="O138" s="504"/>
      <c r="P138" s="504">
        <f t="shared" si="242"/>
        <v>0</v>
      </c>
      <c r="Q138" s="504">
        <f t="shared" si="242"/>
        <v>0</v>
      </c>
      <c r="R138" s="504">
        <f t="shared" si="242"/>
        <v>0</v>
      </c>
      <c r="S138" s="504">
        <f t="shared" si="242"/>
        <v>0</v>
      </c>
      <c r="T138" s="504">
        <f t="shared" si="242"/>
        <v>0</v>
      </c>
      <c r="U138" s="504">
        <f t="shared" si="242"/>
        <v>0</v>
      </c>
      <c r="V138" s="504">
        <f t="shared" si="242"/>
        <v>0</v>
      </c>
      <c r="W138" s="504">
        <f t="shared" si="242"/>
        <v>0</v>
      </c>
      <c r="X138" s="504">
        <f t="shared" si="242"/>
        <v>0</v>
      </c>
      <c r="Y138" s="504">
        <f t="shared" si="242"/>
        <v>0</v>
      </c>
      <c r="Z138" s="504">
        <f t="shared" si="242"/>
        <v>0</v>
      </c>
      <c r="AA138" s="504">
        <f t="shared" si="242"/>
        <v>0</v>
      </c>
      <c r="AB138" s="504">
        <f t="shared" si="242"/>
        <v>0</v>
      </c>
      <c r="AC138" s="504">
        <f t="shared" si="242"/>
        <v>0</v>
      </c>
      <c r="AD138" s="504">
        <f t="shared" si="242"/>
        <v>0</v>
      </c>
      <c r="AE138" s="504">
        <f t="shared" si="242"/>
        <v>0</v>
      </c>
      <c r="AF138" s="508"/>
      <c r="AG138" s="508"/>
      <c r="AH138" s="507" cm="1">
        <f t="array" ref="AH138">_xlfn.LET(_xlpm.DepreciationMonths,INDEX(FixedAssets[Depreciation
/ Amortization Months],_xlfn.XMATCH($E$135,FixedAssets[Asset ID])),IF(AND((_xlfn.XMATCH(AH$8,$AH$8:$CC$8))-_xlfn.XMATCH($C138,$C$35:$C$82)+1&lt;=_xlpm.DepreciationMonths,$C138&lt;=AH$8),$E138/_xlpm.DepreciationMonths,0))</f>
        <v>0</v>
      </c>
      <c r="AI138" s="507" cm="1">
        <f t="array" ref="AI138">_xlfn.LET(_xlpm.DepreciationMonths,INDEX(FixedAssets[Depreciation
/ Amortization Months],_xlfn.XMATCH($E$135,FixedAssets[Asset ID])),IF(AND((_xlfn.XMATCH(AI$8,$AH$8:$CC$8))-_xlfn.XMATCH($C138,$C$35:$C$82)+1&lt;=_xlpm.DepreciationMonths,$C138&lt;=AI$8),$E138/_xlpm.DepreciationMonths,0))</f>
        <v>0</v>
      </c>
      <c r="AJ138" s="507" cm="1">
        <f t="array" ref="AJ138">_xlfn.LET(_xlpm.DepreciationMonths,INDEX(FixedAssets[Depreciation
/ Amortization Months],_xlfn.XMATCH($E$135,FixedAssets[Asset ID])),IF(AND((_xlfn.XMATCH(AJ$8,$AH$8:$CC$8))-_xlfn.XMATCH($C138,$C$35:$C$82)+1&lt;=_xlpm.DepreciationMonths,$C138&lt;=AJ$8),$E138/_xlpm.DepreciationMonths,0))</f>
        <v>0</v>
      </c>
      <c r="AK138" s="507" cm="1">
        <f t="array" ref="AK138">_xlfn.LET(_xlpm.DepreciationMonths,INDEX(FixedAssets[Depreciation
/ Amortization Months],_xlfn.XMATCH($E$135,FixedAssets[Asset ID])),IF(AND((_xlfn.XMATCH(AK$8,$AH$8:$CC$8))-_xlfn.XMATCH($C138,$C$35:$C$82)+1&lt;=_xlpm.DepreciationMonths,$C138&lt;=AK$8),$E138/_xlpm.DepreciationMonths,0))</f>
        <v>0</v>
      </c>
      <c r="AL138" s="507" cm="1">
        <f t="array" ref="AL138">_xlfn.LET(_xlpm.DepreciationMonths,INDEX(FixedAssets[Depreciation
/ Amortization Months],_xlfn.XMATCH($E$135,FixedAssets[Asset ID])),IF(AND((_xlfn.XMATCH(AL$8,$AH$8:$CC$8))-_xlfn.XMATCH($C138,$C$35:$C$82)+1&lt;=_xlpm.DepreciationMonths,$C138&lt;=AL$8),$E138/_xlpm.DepreciationMonths,0))</f>
        <v>0</v>
      </c>
      <c r="AM138" s="507" cm="1">
        <f t="array" ref="AM138">_xlfn.LET(_xlpm.DepreciationMonths,INDEX(FixedAssets[Depreciation
/ Amortization Months],_xlfn.XMATCH($E$135,FixedAssets[Asset ID])),IF(AND((_xlfn.XMATCH(AM$8,$AH$8:$CC$8))-_xlfn.XMATCH($C138,$C$35:$C$82)+1&lt;=_xlpm.DepreciationMonths,$C138&lt;=AM$8),$E138/_xlpm.DepreciationMonths,0))</f>
        <v>0</v>
      </c>
      <c r="AN138" s="507" cm="1">
        <f t="array" ref="AN138">_xlfn.LET(_xlpm.DepreciationMonths,INDEX(FixedAssets[Depreciation
/ Amortization Months],_xlfn.XMATCH($E$135,FixedAssets[Asset ID])),IF(AND((_xlfn.XMATCH(AN$8,$AH$8:$CC$8))-_xlfn.XMATCH($C138,$C$35:$C$82)+1&lt;=_xlpm.DepreciationMonths,$C138&lt;=AN$8),$E138/_xlpm.DepreciationMonths,0))</f>
        <v>0</v>
      </c>
      <c r="AO138" s="507" cm="1">
        <f t="array" ref="AO138">_xlfn.LET(_xlpm.DepreciationMonths,INDEX(FixedAssets[Depreciation
/ Amortization Months],_xlfn.XMATCH($E$135,FixedAssets[Asset ID])),IF(AND((_xlfn.XMATCH(AO$8,$AH$8:$CC$8))-_xlfn.XMATCH($C138,$C$35:$C$82)+1&lt;=_xlpm.DepreciationMonths,$C138&lt;=AO$8),$E138/_xlpm.DepreciationMonths,0))</f>
        <v>0</v>
      </c>
      <c r="AP138" s="507" cm="1">
        <f t="array" ref="AP138">_xlfn.LET(_xlpm.DepreciationMonths,INDEX(FixedAssets[Depreciation
/ Amortization Months],_xlfn.XMATCH($E$135,FixedAssets[Asset ID])),IF(AND((_xlfn.XMATCH(AP$8,$AH$8:$CC$8))-_xlfn.XMATCH($C138,$C$35:$C$82)+1&lt;=_xlpm.DepreciationMonths,$C138&lt;=AP$8),$E138/_xlpm.DepreciationMonths,0))</f>
        <v>0</v>
      </c>
      <c r="AQ138" s="507" cm="1">
        <f t="array" ref="AQ138">_xlfn.LET(_xlpm.DepreciationMonths,INDEX(FixedAssets[Depreciation
/ Amortization Months],_xlfn.XMATCH($E$135,FixedAssets[Asset ID])),IF(AND((_xlfn.XMATCH(AQ$8,$AH$8:$CC$8))-_xlfn.XMATCH($C138,$C$35:$C$82)+1&lt;=_xlpm.DepreciationMonths,$C138&lt;=AQ$8),$E138/_xlpm.DepreciationMonths,0))</f>
        <v>0</v>
      </c>
      <c r="AR138" s="507" cm="1">
        <f t="array" ref="AR138">_xlfn.LET(_xlpm.DepreciationMonths,INDEX(FixedAssets[Depreciation
/ Amortization Months],_xlfn.XMATCH($E$135,FixedAssets[Asset ID])),IF(AND((_xlfn.XMATCH(AR$8,$AH$8:$CC$8))-_xlfn.XMATCH($C138,$C$35:$C$82)+1&lt;=_xlpm.DepreciationMonths,$C138&lt;=AR$8),$E138/_xlpm.DepreciationMonths,0))</f>
        <v>0</v>
      </c>
      <c r="AS138" s="507" cm="1">
        <f t="array" ref="AS138">_xlfn.LET(_xlpm.DepreciationMonths,INDEX(FixedAssets[Depreciation
/ Amortization Months],_xlfn.XMATCH($E$135,FixedAssets[Asset ID])),IF(AND((_xlfn.XMATCH(AS$8,$AH$8:$CC$8))-_xlfn.XMATCH($C138,$C$35:$C$82)+1&lt;=_xlpm.DepreciationMonths,$C138&lt;=AS$8),$E138/_xlpm.DepreciationMonths,0))</f>
        <v>0</v>
      </c>
      <c r="AT138" s="507" cm="1">
        <f t="array" ref="AT138">_xlfn.LET(_xlpm.DepreciationMonths,INDEX(FixedAssets[Depreciation
/ Amortization Months],_xlfn.XMATCH($E$135,FixedAssets[Asset ID])),IF(AND((_xlfn.XMATCH(AT$8,$AH$8:$CC$8))-_xlfn.XMATCH($C138,$C$35:$C$82)+1&lt;=_xlpm.DepreciationMonths,$C138&lt;=AT$8),$E138/_xlpm.DepreciationMonths,0))</f>
        <v>0</v>
      </c>
      <c r="AU138" s="507" cm="1">
        <f t="array" ref="AU138">_xlfn.LET(_xlpm.DepreciationMonths,INDEX(FixedAssets[Depreciation
/ Amortization Months],_xlfn.XMATCH($E$135,FixedAssets[Asset ID])),IF(AND((_xlfn.XMATCH(AU$8,$AH$8:$CC$8))-_xlfn.XMATCH($C138,$C$35:$C$82)+1&lt;=_xlpm.DepreciationMonths,$C138&lt;=AU$8),$E138/_xlpm.DepreciationMonths,0))</f>
        <v>0</v>
      </c>
      <c r="AV138" s="507" cm="1">
        <f t="array" ref="AV138">_xlfn.LET(_xlpm.DepreciationMonths,INDEX(FixedAssets[Depreciation
/ Amortization Months],_xlfn.XMATCH($E$135,FixedAssets[Asset ID])),IF(AND((_xlfn.XMATCH(AV$8,$AH$8:$CC$8))-_xlfn.XMATCH($C138,$C$35:$C$82)+1&lt;=_xlpm.DepreciationMonths,$C138&lt;=AV$8),$E138/_xlpm.DepreciationMonths,0))</f>
        <v>0</v>
      </c>
      <c r="AW138" s="507" cm="1">
        <f t="array" ref="AW138">_xlfn.LET(_xlpm.DepreciationMonths,INDEX(FixedAssets[Depreciation
/ Amortization Months],_xlfn.XMATCH($E$135,FixedAssets[Asset ID])),IF(AND((_xlfn.XMATCH(AW$8,$AH$8:$CC$8))-_xlfn.XMATCH($C138,$C$35:$C$82)+1&lt;=_xlpm.DepreciationMonths,$C138&lt;=AW$8),$E138/_xlpm.DepreciationMonths,0))</f>
        <v>0</v>
      </c>
      <c r="AX138" s="507" cm="1">
        <f t="array" ref="AX138">_xlfn.LET(_xlpm.DepreciationMonths,INDEX(FixedAssets[Depreciation
/ Amortization Months],_xlfn.XMATCH($E$135,FixedAssets[Asset ID])),IF(AND((_xlfn.XMATCH(AX$8,$AH$8:$CC$8))-_xlfn.XMATCH($C138,$C$35:$C$82)+1&lt;=_xlpm.DepreciationMonths,$C138&lt;=AX$8),$E138/_xlpm.DepreciationMonths,0))</f>
        <v>0</v>
      </c>
      <c r="AY138" s="507" cm="1">
        <f t="array" ref="AY138">_xlfn.LET(_xlpm.DepreciationMonths,INDEX(FixedAssets[Depreciation
/ Amortization Months],_xlfn.XMATCH($E$135,FixedAssets[Asset ID])),IF(AND((_xlfn.XMATCH(AY$8,$AH$8:$CC$8))-_xlfn.XMATCH($C138,$C$35:$C$82)+1&lt;=_xlpm.DepreciationMonths,$C138&lt;=AY$8),$E138/_xlpm.DepreciationMonths,0))</f>
        <v>0</v>
      </c>
      <c r="AZ138" s="507" cm="1">
        <f t="array" ref="AZ138">_xlfn.LET(_xlpm.DepreciationMonths,INDEX(FixedAssets[Depreciation
/ Amortization Months],_xlfn.XMATCH($E$135,FixedAssets[Asset ID])),IF(AND((_xlfn.XMATCH(AZ$8,$AH$8:$CC$8))-_xlfn.XMATCH($C138,$C$35:$C$82)+1&lt;=_xlpm.DepreciationMonths,$C138&lt;=AZ$8),$E138/_xlpm.DepreciationMonths,0))</f>
        <v>0</v>
      </c>
      <c r="BA138" s="507" cm="1">
        <f t="array" ref="BA138">_xlfn.LET(_xlpm.DepreciationMonths,INDEX(FixedAssets[Depreciation
/ Amortization Months],_xlfn.XMATCH($E$135,FixedAssets[Asset ID])),IF(AND((_xlfn.XMATCH(BA$8,$AH$8:$CC$8))-_xlfn.XMATCH($C138,$C$35:$C$82)+1&lt;=_xlpm.DepreciationMonths,$C138&lt;=BA$8),$E138/_xlpm.DepreciationMonths,0))</f>
        <v>0</v>
      </c>
      <c r="BB138" s="507" cm="1">
        <f t="array" ref="BB138">_xlfn.LET(_xlpm.DepreciationMonths,INDEX(FixedAssets[Depreciation
/ Amortization Months],_xlfn.XMATCH($E$135,FixedAssets[Asset ID])),IF(AND((_xlfn.XMATCH(BB$8,$AH$8:$CC$8))-_xlfn.XMATCH($C138,$C$35:$C$82)+1&lt;=_xlpm.DepreciationMonths,$C138&lt;=BB$8),$E138/_xlpm.DepreciationMonths,0))</f>
        <v>0</v>
      </c>
      <c r="BC138" s="507" cm="1">
        <f t="array" ref="BC138">_xlfn.LET(_xlpm.DepreciationMonths,INDEX(FixedAssets[Depreciation
/ Amortization Months],_xlfn.XMATCH($E$135,FixedAssets[Asset ID])),IF(AND((_xlfn.XMATCH(BC$8,$AH$8:$CC$8))-_xlfn.XMATCH($C138,$C$35:$C$82)+1&lt;=_xlpm.DepreciationMonths,$C138&lt;=BC$8),$E138/_xlpm.DepreciationMonths,0))</f>
        <v>0</v>
      </c>
      <c r="BD138" s="507" cm="1">
        <f t="array" ref="BD138">_xlfn.LET(_xlpm.DepreciationMonths,INDEX(FixedAssets[Depreciation
/ Amortization Months],_xlfn.XMATCH($E$135,FixedAssets[Asset ID])),IF(AND((_xlfn.XMATCH(BD$8,$AH$8:$CC$8))-_xlfn.XMATCH($C138,$C$35:$C$82)+1&lt;=_xlpm.DepreciationMonths,$C138&lt;=BD$8),$E138/_xlpm.DepreciationMonths,0))</f>
        <v>0</v>
      </c>
      <c r="BE138" s="507" cm="1">
        <f t="array" ref="BE138">_xlfn.LET(_xlpm.DepreciationMonths,INDEX(FixedAssets[Depreciation
/ Amortization Months],_xlfn.XMATCH($E$135,FixedAssets[Asset ID])),IF(AND((_xlfn.XMATCH(BE$8,$AH$8:$CC$8))-_xlfn.XMATCH($C138,$C$35:$C$82)+1&lt;=_xlpm.DepreciationMonths,$C138&lt;=BE$8),$E138/_xlpm.DepreciationMonths,0))</f>
        <v>0</v>
      </c>
      <c r="BF138" s="507" cm="1">
        <f t="array" ref="BF138">_xlfn.LET(_xlpm.DepreciationMonths,INDEX(FixedAssets[Depreciation
/ Amortization Months],_xlfn.XMATCH($E$135,FixedAssets[Asset ID])),IF(AND((_xlfn.XMATCH(BF$8,$AH$8:$CC$8))-_xlfn.XMATCH($C138,$C$35:$C$82)+1&lt;=_xlpm.DepreciationMonths,$C138&lt;=BF$8),$E138/_xlpm.DepreciationMonths,0))</f>
        <v>0</v>
      </c>
      <c r="BG138" s="507" cm="1">
        <f t="array" ref="BG138">_xlfn.LET(_xlpm.DepreciationMonths,INDEX(FixedAssets[Depreciation
/ Amortization Months],_xlfn.XMATCH($E$135,FixedAssets[Asset ID])),IF(AND((_xlfn.XMATCH(BG$8,$AH$8:$CC$8))-_xlfn.XMATCH($C138,$C$35:$C$82)+1&lt;=_xlpm.DepreciationMonths,$C138&lt;=BG$8),$E138/_xlpm.DepreciationMonths,0))</f>
        <v>0</v>
      </c>
      <c r="BH138" s="507" cm="1">
        <f t="array" ref="BH138">_xlfn.LET(_xlpm.DepreciationMonths,INDEX(FixedAssets[Depreciation
/ Amortization Months],_xlfn.XMATCH($E$135,FixedAssets[Asset ID])),IF(AND((_xlfn.XMATCH(BH$8,$AH$8:$CC$8))-_xlfn.XMATCH($C138,$C$35:$C$82)+1&lt;=_xlpm.DepreciationMonths,$C138&lt;=BH$8),$E138/_xlpm.DepreciationMonths,0))</f>
        <v>0</v>
      </c>
      <c r="BI138" s="507" cm="1">
        <f t="array" ref="BI138">_xlfn.LET(_xlpm.DepreciationMonths,INDEX(FixedAssets[Depreciation
/ Amortization Months],_xlfn.XMATCH($E$135,FixedAssets[Asset ID])),IF(AND((_xlfn.XMATCH(BI$8,$AH$8:$CC$8))-_xlfn.XMATCH($C138,$C$35:$C$82)+1&lt;=_xlpm.DepreciationMonths,$C138&lt;=BI$8),$E138/_xlpm.DepreciationMonths,0))</f>
        <v>0</v>
      </c>
      <c r="BJ138" s="507" cm="1">
        <f t="array" ref="BJ138">_xlfn.LET(_xlpm.DepreciationMonths,INDEX(FixedAssets[Depreciation
/ Amortization Months],_xlfn.XMATCH($E$135,FixedAssets[Asset ID])),IF(AND((_xlfn.XMATCH(BJ$8,$AH$8:$CC$8))-_xlfn.XMATCH($C138,$C$35:$C$82)+1&lt;=_xlpm.DepreciationMonths,$C138&lt;=BJ$8),$E138/_xlpm.DepreciationMonths,0))</f>
        <v>0</v>
      </c>
      <c r="BK138" s="507" cm="1">
        <f t="array" ref="BK138">_xlfn.LET(_xlpm.DepreciationMonths,INDEX(FixedAssets[Depreciation
/ Amortization Months],_xlfn.XMATCH($E$135,FixedAssets[Asset ID])),IF(AND((_xlfn.XMATCH(BK$8,$AH$8:$CC$8))-_xlfn.XMATCH($C138,$C$35:$C$82)+1&lt;=_xlpm.DepreciationMonths,$C138&lt;=BK$8),$E138/_xlpm.DepreciationMonths,0))</f>
        <v>0</v>
      </c>
      <c r="BL138" s="507" cm="1">
        <f t="array" ref="BL138">_xlfn.LET(_xlpm.DepreciationMonths,INDEX(FixedAssets[Depreciation
/ Amortization Months],_xlfn.XMATCH($E$135,FixedAssets[Asset ID])),IF(AND((_xlfn.XMATCH(BL$8,$AH$8:$CC$8))-_xlfn.XMATCH($C138,$C$35:$C$82)+1&lt;=_xlpm.DepreciationMonths,$C138&lt;=BL$8),$E138/_xlpm.DepreciationMonths,0))</f>
        <v>0</v>
      </c>
      <c r="BM138" s="507" cm="1">
        <f t="array" ref="BM138">_xlfn.LET(_xlpm.DepreciationMonths,INDEX(FixedAssets[Depreciation
/ Amortization Months],_xlfn.XMATCH($E$135,FixedAssets[Asset ID])),IF(AND((_xlfn.XMATCH(BM$8,$AH$8:$CC$8))-_xlfn.XMATCH($C138,$C$35:$C$82)+1&lt;=_xlpm.DepreciationMonths,$C138&lt;=BM$8),$E138/_xlpm.DepreciationMonths,0))</f>
        <v>0</v>
      </c>
      <c r="BN138" s="507" cm="1">
        <f t="array" ref="BN138">_xlfn.LET(_xlpm.DepreciationMonths,INDEX(FixedAssets[Depreciation
/ Amortization Months],_xlfn.XMATCH($E$135,FixedAssets[Asset ID])),IF(AND((_xlfn.XMATCH(BN$8,$AH$8:$CC$8))-_xlfn.XMATCH($C138,$C$35:$C$82)+1&lt;=_xlpm.DepreciationMonths,$C138&lt;=BN$8),$E138/_xlpm.DepreciationMonths,0))</f>
        <v>0</v>
      </c>
      <c r="BO138" s="507" cm="1">
        <f t="array" ref="BO138">_xlfn.LET(_xlpm.DepreciationMonths,INDEX(FixedAssets[Depreciation
/ Amortization Months],_xlfn.XMATCH($E$135,FixedAssets[Asset ID])),IF(AND((_xlfn.XMATCH(BO$8,$AH$8:$CC$8))-_xlfn.XMATCH($C138,$C$35:$C$82)+1&lt;=_xlpm.DepreciationMonths,$C138&lt;=BO$8),$E138/_xlpm.DepreciationMonths,0))</f>
        <v>0</v>
      </c>
      <c r="BP138" s="507" cm="1">
        <f t="array" ref="BP138">_xlfn.LET(_xlpm.DepreciationMonths,INDEX(FixedAssets[Depreciation
/ Amortization Months],_xlfn.XMATCH($E$135,FixedAssets[Asset ID])),IF(AND((_xlfn.XMATCH(BP$8,$AH$8:$CC$8))-_xlfn.XMATCH($C138,$C$35:$C$82)+1&lt;=_xlpm.DepreciationMonths,$C138&lt;=BP$8),$E138/_xlpm.DepreciationMonths,0))</f>
        <v>0</v>
      </c>
      <c r="BQ138" s="507" cm="1">
        <f t="array" ref="BQ138">_xlfn.LET(_xlpm.DepreciationMonths,INDEX(FixedAssets[Depreciation
/ Amortization Months],_xlfn.XMATCH($E$135,FixedAssets[Asset ID])),IF(AND((_xlfn.XMATCH(BQ$8,$AH$8:$CC$8))-_xlfn.XMATCH($C138,$C$35:$C$82)+1&lt;=_xlpm.DepreciationMonths,$C138&lt;=BQ$8),$E138/_xlpm.DepreciationMonths,0))</f>
        <v>0</v>
      </c>
      <c r="BR138" s="507" cm="1">
        <f t="array" ref="BR138">_xlfn.LET(_xlpm.DepreciationMonths,INDEX(FixedAssets[Depreciation
/ Amortization Months],_xlfn.XMATCH($E$135,FixedAssets[Asset ID])),IF(AND((_xlfn.XMATCH(BR$8,$AH$8:$CC$8))-_xlfn.XMATCH($C138,$C$35:$C$82)+1&lt;=_xlpm.DepreciationMonths,$C138&lt;=BR$8),$E138/_xlpm.DepreciationMonths,0))</f>
        <v>0</v>
      </c>
      <c r="BS138" s="507" cm="1">
        <f t="array" ref="BS138">_xlfn.LET(_xlpm.DepreciationMonths,INDEX(FixedAssets[Depreciation
/ Amortization Months],_xlfn.XMATCH($E$135,FixedAssets[Asset ID])),IF(AND((_xlfn.XMATCH(BS$8,$AH$8:$CC$8))-_xlfn.XMATCH($C138,$C$35:$C$82)+1&lt;=_xlpm.DepreciationMonths,$C138&lt;=BS$8),$E138/_xlpm.DepreciationMonths,0))</f>
        <v>0</v>
      </c>
      <c r="BT138" s="507" cm="1">
        <f t="array" ref="BT138">_xlfn.LET(_xlpm.DepreciationMonths,INDEX(FixedAssets[Depreciation
/ Amortization Months],_xlfn.XMATCH($E$135,FixedAssets[Asset ID])),IF(AND((_xlfn.XMATCH(BT$8,$AH$8:$CC$8))-_xlfn.XMATCH($C138,$C$35:$C$82)+1&lt;=_xlpm.DepreciationMonths,$C138&lt;=BT$8),$E138/_xlpm.DepreciationMonths,0))</f>
        <v>0</v>
      </c>
      <c r="BU138" s="507" cm="1">
        <f t="array" ref="BU138">_xlfn.LET(_xlpm.DepreciationMonths,INDEX(FixedAssets[Depreciation
/ Amortization Months],_xlfn.XMATCH($E$135,FixedAssets[Asset ID])),IF(AND((_xlfn.XMATCH(BU$8,$AH$8:$CC$8))-_xlfn.XMATCH($C138,$C$35:$C$82)+1&lt;=_xlpm.DepreciationMonths,$C138&lt;=BU$8),$E138/_xlpm.DepreciationMonths,0))</f>
        <v>0</v>
      </c>
      <c r="BV138" s="507" cm="1">
        <f t="array" ref="BV138">_xlfn.LET(_xlpm.DepreciationMonths,INDEX(FixedAssets[Depreciation
/ Amortization Months],_xlfn.XMATCH($E$135,FixedAssets[Asset ID])),IF(AND((_xlfn.XMATCH(BV$8,$AH$8:$CC$8))-_xlfn.XMATCH($C138,$C$35:$C$82)+1&lt;=_xlpm.DepreciationMonths,$C138&lt;=BV$8),$E138/_xlpm.DepreciationMonths,0))</f>
        <v>0</v>
      </c>
      <c r="BW138" s="507" cm="1">
        <f t="array" ref="BW138">_xlfn.LET(_xlpm.DepreciationMonths,INDEX(FixedAssets[Depreciation
/ Amortization Months],_xlfn.XMATCH($E$135,FixedAssets[Asset ID])),IF(AND((_xlfn.XMATCH(BW$8,$AH$8:$CC$8))-_xlfn.XMATCH($C138,$C$35:$C$82)+1&lt;=_xlpm.DepreciationMonths,$C138&lt;=BW$8),$E138/_xlpm.DepreciationMonths,0))</f>
        <v>0</v>
      </c>
      <c r="BX138" s="507" cm="1">
        <f t="array" ref="BX138">_xlfn.LET(_xlpm.DepreciationMonths,INDEX(FixedAssets[Depreciation
/ Amortization Months],_xlfn.XMATCH($E$135,FixedAssets[Asset ID])),IF(AND((_xlfn.XMATCH(BX$8,$AH$8:$CC$8))-_xlfn.XMATCH($C138,$C$35:$C$82)+1&lt;=_xlpm.DepreciationMonths,$C138&lt;=BX$8),$E138/_xlpm.DepreciationMonths,0))</f>
        <v>0</v>
      </c>
      <c r="BY138" s="507" cm="1">
        <f t="array" ref="BY138">_xlfn.LET(_xlpm.DepreciationMonths,INDEX(FixedAssets[Depreciation
/ Amortization Months],_xlfn.XMATCH($E$135,FixedAssets[Asset ID])),IF(AND((_xlfn.XMATCH(BY$8,$AH$8:$CC$8))-_xlfn.XMATCH($C138,$C$35:$C$82)+1&lt;=_xlpm.DepreciationMonths,$C138&lt;=BY$8),$E138/_xlpm.DepreciationMonths,0))</f>
        <v>0</v>
      </c>
      <c r="BZ138" s="507" cm="1">
        <f t="array" ref="BZ138">_xlfn.LET(_xlpm.DepreciationMonths,INDEX(FixedAssets[Depreciation
/ Amortization Months],_xlfn.XMATCH($E$135,FixedAssets[Asset ID])),IF(AND((_xlfn.XMATCH(BZ$8,$AH$8:$CC$8))-_xlfn.XMATCH($C138,$C$35:$C$82)+1&lt;=_xlpm.DepreciationMonths,$C138&lt;=BZ$8),$E138/_xlpm.DepreciationMonths,0))</f>
        <v>0</v>
      </c>
      <c r="CA138" s="507" cm="1">
        <f t="array" ref="CA138">_xlfn.LET(_xlpm.DepreciationMonths,INDEX(FixedAssets[Depreciation
/ Amortization Months],_xlfn.XMATCH($E$135,FixedAssets[Asset ID])),IF(AND((_xlfn.XMATCH(CA$8,$AH$8:$CC$8))-_xlfn.XMATCH($C138,$C$35:$C$82)+1&lt;=_xlpm.DepreciationMonths,$C138&lt;=CA$8),$E138/_xlpm.DepreciationMonths,0))</f>
        <v>0</v>
      </c>
      <c r="CB138" s="507" cm="1">
        <f t="array" ref="CB138">_xlfn.LET(_xlpm.DepreciationMonths,INDEX(FixedAssets[Depreciation
/ Amortization Months],_xlfn.XMATCH($E$135,FixedAssets[Asset ID])),IF(AND((_xlfn.XMATCH(CB$8,$AH$8:$CC$8))-_xlfn.XMATCH($C138,$C$35:$C$82)+1&lt;=_xlpm.DepreciationMonths,$C138&lt;=CB$8),$E138/_xlpm.DepreciationMonths,0))</f>
        <v>0</v>
      </c>
      <c r="CC138" s="507" cm="1">
        <f t="array" ref="CC138">_xlfn.LET(_xlpm.DepreciationMonths,INDEX(FixedAssets[Depreciation
/ Amortization Months],_xlfn.XMATCH($E$135,FixedAssets[Asset ID])),IF(AND((_xlfn.XMATCH(CC$8,$AH$8:$CC$8))-_xlfn.XMATCH($C138,$C$35:$C$82)+1&lt;=_xlpm.DepreciationMonths,$C138&lt;=CC$8),$E138/_xlpm.DepreciationMonths,0))</f>
        <v>0</v>
      </c>
    </row>
    <row r="139" spans="3:81" hidden="1" outlineLevel="2">
      <c r="C139" s="664">
        <f t="shared" si="243"/>
        <v>45016</v>
      </c>
      <c r="D139" s="508"/>
      <c r="E139" s="508" cm="1">
        <f t="array" ref="E139">SUMPRODUCT(($AH$26:$CC$31)*($AH$5:$CC$5=$C139)*($E$26:$E$31=E$135))-SUMPRODUCT(($AH$26:$CC$31)*($AH$5:$CC$5=EOMONTH($C139,-1))*($E$26:$E$31=E$135))</f>
        <v>0</v>
      </c>
      <c r="F139" s="508"/>
      <c r="G139" s="508"/>
      <c r="H139" s="508"/>
      <c r="I139" s="508"/>
      <c r="J139" s="504">
        <f t="shared" si="240"/>
        <v>0</v>
      </c>
      <c r="K139" s="504">
        <f t="shared" si="241"/>
        <v>0</v>
      </c>
      <c r="L139" s="504">
        <f t="shared" si="241"/>
        <v>0</v>
      </c>
      <c r="M139" s="504">
        <f t="shared" si="241"/>
        <v>0</v>
      </c>
      <c r="N139" s="504"/>
      <c r="O139" s="504"/>
      <c r="P139" s="504">
        <f t="shared" si="242"/>
        <v>0</v>
      </c>
      <c r="Q139" s="504">
        <f t="shared" si="242"/>
        <v>0</v>
      </c>
      <c r="R139" s="504">
        <f t="shared" si="242"/>
        <v>0</v>
      </c>
      <c r="S139" s="504">
        <f t="shared" si="242"/>
        <v>0</v>
      </c>
      <c r="T139" s="504">
        <f t="shared" si="242"/>
        <v>0</v>
      </c>
      <c r="U139" s="504">
        <f t="shared" si="242"/>
        <v>0</v>
      </c>
      <c r="V139" s="504">
        <f t="shared" si="242"/>
        <v>0</v>
      </c>
      <c r="W139" s="504">
        <f t="shared" si="242"/>
        <v>0</v>
      </c>
      <c r="X139" s="504">
        <f t="shared" si="242"/>
        <v>0</v>
      </c>
      <c r="Y139" s="504">
        <f t="shared" si="242"/>
        <v>0</v>
      </c>
      <c r="Z139" s="504">
        <f t="shared" si="242"/>
        <v>0</v>
      </c>
      <c r="AA139" s="504">
        <f t="shared" si="242"/>
        <v>0</v>
      </c>
      <c r="AB139" s="504">
        <f t="shared" si="242"/>
        <v>0</v>
      </c>
      <c r="AC139" s="504">
        <f t="shared" si="242"/>
        <v>0</v>
      </c>
      <c r="AD139" s="504">
        <f t="shared" si="242"/>
        <v>0</v>
      </c>
      <c r="AE139" s="504">
        <f t="shared" si="242"/>
        <v>0</v>
      </c>
      <c r="AF139" s="508"/>
      <c r="AG139" s="508"/>
      <c r="AH139" s="507" cm="1">
        <f t="array" ref="AH139">_xlfn.LET(_xlpm.DepreciationMonths,INDEX(FixedAssets[Depreciation
/ Amortization Months],_xlfn.XMATCH($E$135,FixedAssets[Asset ID])),IF(AND((_xlfn.XMATCH(AH$8,$AH$8:$CC$8))-_xlfn.XMATCH($C139,$C$35:$C$82)+1&lt;=_xlpm.DepreciationMonths,$C139&lt;=AH$8),$E139/_xlpm.DepreciationMonths,0))</f>
        <v>0</v>
      </c>
      <c r="AI139" s="507" cm="1">
        <f t="array" ref="AI139">_xlfn.LET(_xlpm.DepreciationMonths,INDEX(FixedAssets[Depreciation
/ Amortization Months],_xlfn.XMATCH($E$135,FixedAssets[Asset ID])),IF(AND((_xlfn.XMATCH(AI$8,$AH$8:$CC$8))-_xlfn.XMATCH($C139,$C$35:$C$82)+1&lt;=_xlpm.DepreciationMonths,$C139&lt;=AI$8),$E139/_xlpm.DepreciationMonths,0))</f>
        <v>0</v>
      </c>
      <c r="AJ139" s="507" cm="1">
        <f t="array" ref="AJ139">_xlfn.LET(_xlpm.DepreciationMonths,INDEX(FixedAssets[Depreciation
/ Amortization Months],_xlfn.XMATCH($E$135,FixedAssets[Asset ID])),IF(AND((_xlfn.XMATCH(AJ$8,$AH$8:$CC$8))-_xlfn.XMATCH($C139,$C$35:$C$82)+1&lt;=_xlpm.DepreciationMonths,$C139&lt;=AJ$8),$E139/_xlpm.DepreciationMonths,0))</f>
        <v>0</v>
      </c>
      <c r="AK139" s="507" cm="1">
        <f t="array" ref="AK139">_xlfn.LET(_xlpm.DepreciationMonths,INDEX(FixedAssets[Depreciation
/ Amortization Months],_xlfn.XMATCH($E$135,FixedAssets[Asset ID])),IF(AND((_xlfn.XMATCH(AK$8,$AH$8:$CC$8))-_xlfn.XMATCH($C139,$C$35:$C$82)+1&lt;=_xlpm.DepreciationMonths,$C139&lt;=AK$8),$E139/_xlpm.DepreciationMonths,0))</f>
        <v>0</v>
      </c>
      <c r="AL139" s="507" cm="1">
        <f t="array" ref="AL139">_xlfn.LET(_xlpm.DepreciationMonths,INDEX(FixedAssets[Depreciation
/ Amortization Months],_xlfn.XMATCH($E$135,FixedAssets[Asset ID])),IF(AND((_xlfn.XMATCH(AL$8,$AH$8:$CC$8))-_xlfn.XMATCH($C139,$C$35:$C$82)+1&lt;=_xlpm.DepreciationMonths,$C139&lt;=AL$8),$E139/_xlpm.DepreciationMonths,0))</f>
        <v>0</v>
      </c>
      <c r="AM139" s="507" cm="1">
        <f t="array" ref="AM139">_xlfn.LET(_xlpm.DepreciationMonths,INDEX(FixedAssets[Depreciation
/ Amortization Months],_xlfn.XMATCH($E$135,FixedAssets[Asset ID])),IF(AND((_xlfn.XMATCH(AM$8,$AH$8:$CC$8))-_xlfn.XMATCH($C139,$C$35:$C$82)+1&lt;=_xlpm.DepreciationMonths,$C139&lt;=AM$8),$E139/_xlpm.DepreciationMonths,0))</f>
        <v>0</v>
      </c>
      <c r="AN139" s="507" cm="1">
        <f t="array" ref="AN139">_xlfn.LET(_xlpm.DepreciationMonths,INDEX(FixedAssets[Depreciation
/ Amortization Months],_xlfn.XMATCH($E$135,FixedAssets[Asset ID])),IF(AND((_xlfn.XMATCH(AN$8,$AH$8:$CC$8))-_xlfn.XMATCH($C139,$C$35:$C$82)+1&lt;=_xlpm.DepreciationMonths,$C139&lt;=AN$8),$E139/_xlpm.DepreciationMonths,0))</f>
        <v>0</v>
      </c>
      <c r="AO139" s="507" cm="1">
        <f t="array" ref="AO139">_xlfn.LET(_xlpm.DepreciationMonths,INDEX(FixedAssets[Depreciation
/ Amortization Months],_xlfn.XMATCH($E$135,FixedAssets[Asset ID])),IF(AND((_xlfn.XMATCH(AO$8,$AH$8:$CC$8))-_xlfn.XMATCH($C139,$C$35:$C$82)+1&lt;=_xlpm.DepreciationMonths,$C139&lt;=AO$8),$E139/_xlpm.DepreciationMonths,0))</f>
        <v>0</v>
      </c>
      <c r="AP139" s="507" cm="1">
        <f t="array" ref="AP139">_xlfn.LET(_xlpm.DepreciationMonths,INDEX(FixedAssets[Depreciation
/ Amortization Months],_xlfn.XMATCH($E$135,FixedAssets[Asset ID])),IF(AND((_xlfn.XMATCH(AP$8,$AH$8:$CC$8))-_xlfn.XMATCH($C139,$C$35:$C$82)+1&lt;=_xlpm.DepreciationMonths,$C139&lt;=AP$8),$E139/_xlpm.DepreciationMonths,0))</f>
        <v>0</v>
      </c>
      <c r="AQ139" s="507" cm="1">
        <f t="array" ref="AQ139">_xlfn.LET(_xlpm.DepreciationMonths,INDEX(FixedAssets[Depreciation
/ Amortization Months],_xlfn.XMATCH($E$135,FixedAssets[Asset ID])),IF(AND((_xlfn.XMATCH(AQ$8,$AH$8:$CC$8))-_xlfn.XMATCH($C139,$C$35:$C$82)+1&lt;=_xlpm.DepreciationMonths,$C139&lt;=AQ$8),$E139/_xlpm.DepreciationMonths,0))</f>
        <v>0</v>
      </c>
      <c r="AR139" s="507" cm="1">
        <f t="array" ref="AR139">_xlfn.LET(_xlpm.DepreciationMonths,INDEX(FixedAssets[Depreciation
/ Amortization Months],_xlfn.XMATCH($E$135,FixedAssets[Asset ID])),IF(AND((_xlfn.XMATCH(AR$8,$AH$8:$CC$8))-_xlfn.XMATCH($C139,$C$35:$C$82)+1&lt;=_xlpm.DepreciationMonths,$C139&lt;=AR$8),$E139/_xlpm.DepreciationMonths,0))</f>
        <v>0</v>
      </c>
      <c r="AS139" s="507" cm="1">
        <f t="array" ref="AS139">_xlfn.LET(_xlpm.DepreciationMonths,INDEX(FixedAssets[Depreciation
/ Amortization Months],_xlfn.XMATCH($E$135,FixedAssets[Asset ID])),IF(AND((_xlfn.XMATCH(AS$8,$AH$8:$CC$8))-_xlfn.XMATCH($C139,$C$35:$C$82)+1&lt;=_xlpm.DepreciationMonths,$C139&lt;=AS$8),$E139/_xlpm.DepreciationMonths,0))</f>
        <v>0</v>
      </c>
      <c r="AT139" s="507" cm="1">
        <f t="array" ref="AT139">_xlfn.LET(_xlpm.DepreciationMonths,INDEX(FixedAssets[Depreciation
/ Amortization Months],_xlfn.XMATCH($E$135,FixedAssets[Asset ID])),IF(AND((_xlfn.XMATCH(AT$8,$AH$8:$CC$8))-_xlfn.XMATCH($C139,$C$35:$C$82)+1&lt;=_xlpm.DepreciationMonths,$C139&lt;=AT$8),$E139/_xlpm.DepreciationMonths,0))</f>
        <v>0</v>
      </c>
      <c r="AU139" s="507" cm="1">
        <f t="array" ref="AU139">_xlfn.LET(_xlpm.DepreciationMonths,INDEX(FixedAssets[Depreciation
/ Amortization Months],_xlfn.XMATCH($E$135,FixedAssets[Asset ID])),IF(AND((_xlfn.XMATCH(AU$8,$AH$8:$CC$8))-_xlfn.XMATCH($C139,$C$35:$C$82)+1&lt;=_xlpm.DepreciationMonths,$C139&lt;=AU$8),$E139/_xlpm.DepreciationMonths,0))</f>
        <v>0</v>
      </c>
      <c r="AV139" s="507" cm="1">
        <f t="array" ref="AV139">_xlfn.LET(_xlpm.DepreciationMonths,INDEX(FixedAssets[Depreciation
/ Amortization Months],_xlfn.XMATCH($E$135,FixedAssets[Asset ID])),IF(AND((_xlfn.XMATCH(AV$8,$AH$8:$CC$8))-_xlfn.XMATCH($C139,$C$35:$C$82)+1&lt;=_xlpm.DepreciationMonths,$C139&lt;=AV$8),$E139/_xlpm.DepreciationMonths,0))</f>
        <v>0</v>
      </c>
      <c r="AW139" s="507" cm="1">
        <f t="array" ref="AW139">_xlfn.LET(_xlpm.DepreciationMonths,INDEX(FixedAssets[Depreciation
/ Amortization Months],_xlfn.XMATCH($E$135,FixedAssets[Asset ID])),IF(AND((_xlfn.XMATCH(AW$8,$AH$8:$CC$8))-_xlfn.XMATCH($C139,$C$35:$C$82)+1&lt;=_xlpm.DepreciationMonths,$C139&lt;=AW$8),$E139/_xlpm.DepreciationMonths,0))</f>
        <v>0</v>
      </c>
      <c r="AX139" s="507" cm="1">
        <f t="array" ref="AX139">_xlfn.LET(_xlpm.DepreciationMonths,INDEX(FixedAssets[Depreciation
/ Amortization Months],_xlfn.XMATCH($E$135,FixedAssets[Asset ID])),IF(AND((_xlfn.XMATCH(AX$8,$AH$8:$CC$8))-_xlfn.XMATCH($C139,$C$35:$C$82)+1&lt;=_xlpm.DepreciationMonths,$C139&lt;=AX$8),$E139/_xlpm.DepreciationMonths,0))</f>
        <v>0</v>
      </c>
      <c r="AY139" s="507" cm="1">
        <f t="array" ref="AY139">_xlfn.LET(_xlpm.DepreciationMonths,INDEX(FixedAssets[Depreciation
/ Amortization Months],_xlfn.XMATCH($E$135,FixedAssets[Asset ID])),IF(AND((_xlfn.XMATCH(AY$8,$AH$8:$CC$8))-_xlfn.XMATCH($C139,$C$35:$C$82)+1&lt;=_xlpm.DepreciationMonths,$C139&lt;=AY$8),$E139/_xlpm.DepreciationMonths,0))</f>
        <v>0</v>
      </c>
      <c r="AZ139" s="507" cm="1">
        <f t="array" ref="AZ139">_xlfn.LET(_xlpm.DepreciationMonths,INDEX(FixedAssets[Depreciation
/ Amortization Months],_xlfn.XMATCH($E$135,FixedAssets[Asset ID])),IF(AND((_xlfn.XMATCH(AZ$8,$AH$8:$CC$8))-_xlfn.XMATCH($C139,$C$35:$C$82)+1&lt;=_xlpm.DepreciationMonths,$C139&lt;=AZ$8),$E139/_xlpm.DepreciationMonths,0))</f>
        <v>0</v>
      </c>
      <c r="BA139" s="507" cm="1">
        <f t="array" ref="BA139">_xlfn.LET(_xlpm.DepreciationMonths,INDEX(FixedAssets[Depreciation
/ Amortization Months],_xlfn.XMATCH($E$135,FixedAssets[Asset ID])),IF(AND((_xlfn.XMATCH(BA$8,$AH$8:$CC$8))-_xlfn.XMATCH($C139,$C$35:$C$82)+1&lt;=_xlpm.DepreciationMonths,$C139&lt;=BA$8),$E139/_xlpm.DepreciationMonths,0))</f>
        <v>0</v>
      </c>
      <c r="BB139" s="507" cm="1">
        <f t="array" ref="BB139">_xlfn.LET(_xlpm.DepreciationMonths,INDEX(FixedAssets[Depreciation
/ Amortization Months],_xlfn.XMATCH($E$135,FixedAssets[Asset ID])),IF(AND((_xlfn.XMATCH(BB$8,$AH$8:$CC$8))-_xlfn.XMATCH($C139,$C$35:$C$82)+1&lt;=_xlpm.DepreciationMonths,$C139&lt;=BB$8),$E139/_xlpm.DepreciationMonths,0))</f>
        <v>0</v>
      </c>
      <c r="BC139" s="507" cm="1">
        <f t="array" ref="BC139">_xlfn.LET(_xlpm.DepreciationMonths,INDEX(FixedAssets[Depreciation
/ Amortization Months],_xlfn.XMATCH($E$135,FixedAssets[Asset ID])),IF(AND((_xlfn.XMATCH(BC$8,$AH$8:$CC$8))-_xlfn.XMATCH($C139,$C$35:$C$82)+1&lt;=_xlpm.DepreciationMonths,$C139&lt;=BC$8),$E139/_xlpm.DepreciationMonths,0))</f>
        <v>0</v>
      </c>
      <c r="BD139" s="507" cm="1">
        <f t="array" ref="BD139">_xlfn.LET(_xlpm.DepreciationMonths,INDEX(FixedAssets[Depreciation
/ Amortization Months],_xlfn.XMATCH($E$135,FixedAssets[Asset ID])),IF(AND((_xlfn.XMATCH(BD$8,$AH$8:$CC$8))-_xlfn.XMATCH($C139,$C$35:$C$82)+1&lt;=_xlpm.DepreciationMonths,$C139&lt;=BD$8),$E139/_xlpm.DepreciationMonths,0))</f>
        <v>0</v>
      </c>
      <c r="BE139" s="507" cm="1">
        <f t="array" ref="BE139">_xlfn.LET(_xlpm.DepreciationMonths,INDEX(FixedAssets[Depreciation
/ Amortization Months],_xlfn.XMATCH($E$135,FixedAssets[Asset ID])),IF(AND((_xlfn.XMATCH(BE$8,$AH$8:$CC$8))-_xlfn.XMATCH($C139,$C$35:$C$82)+1&lt;=_xlpm.DepreciationMonths,$C139&lt;=BE$8),$E139/_xlpm.DepreciationMonths,0))</f>
        <v>0</v>
      </c>
      <c r="BF139" s="507" cm="1">
        <f t="array" ref="BF139">_xlfn.LET(_xlpm.DepreciationMonths,INDEX(FixedAssets[Depreciation
/ Amortization Months],_xlfn.XMATCH($E$135,FixedAssets[Asset ID])),IF(AND((_xlfn.XMATCH(BF$8,$AH$8:$CC$8))-_xlfn.XMATCH($C139,$C$35:$C$82)+1&lt;=_xlpm.DepreciationMonths,$C139&lt;=BF$8),$E139/_xlpm.DepreciationMonths,0))</f>
        <v>0</v>
      </c>
      <c r="BG139" s="507" cm="1">
        <f t="array" ref="BG139">_xlfn.LET(_xlpm.DepreciationMonths,INDEX(FixedAssets[Depreciation
/ Amortization Months],_xlfn.XMATCH($E$135,FixedAssets[Asset ID])),IF(AND((_xlfn.XMATCH(BG$8,$AH$8:$CC$8))-_xlfn.XMATCH($C139,$C$35:$C$82)+1&lt;=_xlpm.DepreciationMonths,$C139&lt;=BG$8),$E139/_xlpm.DepreciationMonths,0))</f>
        <v>0</v>
      </c>
      <c r="BH139" s="507" cm="1">
        <f t="array" ref="BH139">_xlfn.LET(_xlpm.DepreciationMonths,INDEX(FixedAssets[Depreciation
/ Amortization Months],_xlfn.XMATCH($E$135,FixedAssets[Asset ID])),IF(AND((_xlfn.XMATCH(BH$8,$AH$8:$CC$8))-_xlfn.XMATCH($C139,$C$35:$C$82)+1&lt;=_xlpm.DepreciationMonths,$C139&lt;=BH$8),$E139/_xlpm.DepreciationMonths,0))</f>
        <v>0</v>
      </c>
      <c r="BI139" s="507" cm="1">
        <f t="array" ref="BI139">_xlfn.LET(_xlpm.DepreciationMonths,INDEX(FixedAssets[Depreciation
/ Amortization Months],_xlfn.XMATCH($E$135,FixedAssets[Asset ID])),IF(AND((_xlfn.XMATCH(BI$8,$AH$8:$CC$8))-_xlfn.XMATCH($C139,$C$35:$C$82)+1&lt;=_xlpm.DepreciationMonths,$C139&lt;=BI$8),$E139/_xlpm.DepreciationMonths,0))</f>
        <v>0</v>
      </c>
      <c r="BJ139" s="507" cm="1">
        <f t="array" ref="BJ139">_xlfn.LET(_xlpm.DepreciationMonths,INDEX(FixedAssets[Depreciation
/ Amortization Months],_xlfn.XMATCH($E$135,FixedAssets[Asset ID])),IF(AND((_xlfn.XMATCH(BJ$8,$AH$8:$CC$8))-_xlfn.XMATCH($C139,$C$35:$C$82)+1&lt;=_xlpm.DepreciationMonths,$C139&lt;=BJ$8),$E139/_xlpm.DepreciationMonths,0))</f>
        <v>0</v>
      </c>
      <c r="BK139" s="507" cm="1">
        <f t="array" ref="BK139">_xlfn.LET(_xlpm.DepreciationMonths,INDEX(FixedAssets[Depreciation
/ Amortization Months],_xlfn.XMATCH($E$135,FixedAssets[Asset ID])),IF(AND((_xlfn.XMATCH(BK$8,$AH$8:$CC$8))-_xlfn.XMATCH($C139,$C$35:$C$82)+1&lt;=_xlpm.DepreciationMonths,$C139&lt;=BK$8),$E139/_xlpm.DepreciationMonths,0))</f>
        <v>0</v>
      </c>
      <c r="BL139" s="507" cm="1">
        <f t="array" ref="BL139">_xlfn.LET(_xlpm.DepreciationMonths,INDEX(FixedAssets[Depreciation
/ Amortization Months],_xlfn.XMATCH($E$135,FixedAssets[Asset ID])),IF(AND((_xlfn.XMATCH(BL$8,$AH$8:$CC$8))-_xlfn.XMATCH($C139,$C$35:$C$82)+1&lt;=_xlpm.DepreciationMonths,$C139&lt;=BL$8),$E139/_xlpm.DepreciationMonths,0))</f>
        <v>0</v>
      </c>
      <c r="BM139" s="507" cm="1">
        <f t="array" ref="BM139">_xlfn.LET(_xlpm.DepreciationMonths,INDEX(FixedAssets[Depreciation
/ Amortization Months],_xlfn.XMATCH($E$135,FixedAssets[Asset ID])),IF(AND((_xlfn.XMATCH(BM$8,$AH$8:$CC$8))-_xlfn.XMATCH($C139,$C$35:$C$82)+1&lt;=_xlpm.DepreciationMonths,$C139&lt;=BM$8),$E139/_xlpm.DepreciationMonths,0))</f>
        <v>0</v>
      </c>
      <c r="BN139" s="507" cm="1">
        <f t="array" ref="BN139">_xlfn.LET(_xlpm.DepreciationMonths,INDEX(FixedAssets[Depreciation
/ Amortization Months],_xlfn.XMATCH($E$135,FixedAssets[Asset ID])),IF(AND((_xlfn.XMATCH(BN$8,$AH$8:$CC$8))-_xlfn.XMATCH($C139,$C$35:$C$82)+1&lt;=_xlpm.DepreciationMonths,$C139&lt;=BN$8),$E139/_xlpm.DepreciationMonths,0))</f>
        <v>0</v>
      </c>
      <c r="BO139" s="507" cm="1">
        <f t="array" ref="BO139">_xlfn.LET(_xlpm.DepreciationMonths,INDEX(FixedAssets[Depreciation
/ Amortization Months],_xlfn.XMATCH($E$135,FixedAssets[Asset ID])),IF(AND((_xlfn.XMATCH(BO$8,$AH$8:$CC$8))-_xlfn.XMATCH($C139,$C$35:$C$82)+1&lt;=_xlpm.DepreciationMonths,$C139&lt;=BO$8),$E139/_xlpm.DepreciationMonths,0))</f>
        <v>0</v>
      </c>
      <c r="BP139" s="507" cm="1">
        <f t="array" ref="BP139">_xlfn.LET(_xlpm.DepreciationMonths,INDEX(FixedAssets[Depreciation
/ Amortization Months],_xlfn.XMATCH($E$135,FixedAssets[Asset ID])),IF(AND((_xlfn.XMATCH(BP$8,$AH$8:$CC$8))-_xlfn.XMATCH($C139,$C$35:$C$82)+1&lt;=_xlpm.DepreciationMonths,$C139&lt;=BP$8),$E139/_xlpm.DepreciationMonths,0))</f>
        <v>0</v>
      </c>
      <c r="BQ139" s="507" cm="1">
        <f t="array" ref="BQ139">_xlfn.LET(_xlpm.DepreciationMonths,INDEX(FixedAssets[Depreciation
/ Amortization Months],_xlfn.XMATCH($E$135,FixedAssets[Asset ID])),IF(AND((_xlfn.XMATCH(BQ$8,$AH$8:$CC$8))-_xlfn.XMATCH($C139,$C$35:$C$82)+1&lt;=_xlpm.DepreciationMonths,$C139&lt;=BQ$8),$E139/_xlpm.DepreciationMonths,0))</f>
        <v>0</v>
      </c>
      <c r="BR139" s="507" cm="1">
        <f t="array" ref="BR139">_xlfn.LET(_xlpm.DepreciationMonths,INDEX(FixedAssets[Depreciation
/ Amortization Months],_xlfn.XMATCH($E$135,FixedAssets[Asset ID])),IF(AND((_xlfn.XMATCH(BR$8,$AH$8:$CC$8))-_xlfn.XMATCH($C139,$C$35:$C$82)+1&lt;=_xlpm.DepreciationMonths,$C139&lt;=BR$8),$E139/_xlpm.DepreciationMonths,0))</f>
        <v>0</v>
      </c>
      <c r="BS139" s="507" cm="1">
        <f t="array" ref="BS139">_xlfn.LET(_xlpm.DepreciationMonths,INDEX(FixedAssets[Depreciation
/ Amortization Months],_xlfn.XMATCH($E$135,FixedAssets[Asset ID])),IF(AND((_xlfn.XMATCH(BS$8,$AH$8:$CC$8))-_xlfn.XMATCH($C139,$C$35:$C$82)+1&lt;=_xlpm.DepreciationMonths,$C139&lt;=BS$8),$E139/_xlpm.DepreciationMonths,0))</f>
        <v>0</v>
      </c>
      <c r="BT139" s="507" cm="1">
        <f t="array" ref="BT139">_xlfn.LET(_xlpm.DepreciationMonths,INDEX(FixedAssets[Depreciation
/ Amortization Months],_xlfn.XMATCH($E$135,FixedAssets[Asset ID])),IF(AND((_xlfn.XMATCH(BT$8,$AH$8:$CC$8))-_xlfn.XMATCH($C139,$C$35:$C$82)+1&lt;=_xlpm.DepreciationMonths,$C139&lt;=BT$8),$E139/_xlpm.DepreciationMonths,0))</f>
        <v>0</v>
      </c>
      <c r="BU139" s="507" cm="1">
        <f t="array" ref="BU139">_xlfn.LET(_xlpm.DepreciationMonths,INDEX(FixedAssets[Depreciation
/ Amortization Months],_xlfn.XMATCH($E$135,FixedAssets[Asset ID])),IF(AND((_xlfn.XMATCH(BU$8,$AH$8:$CC$8))-_xlfn.XMATCH($C139,$C$35:$C$82)+1&lt;=_xlpm.DepreciationMonths,$C139&lt;=BU$8),$E139/_xlpm.DepreciationMonths,0))</f>
        <v>0</v>
      </c>
      <c r="BV139" s="507" cm="1">
        <f t="array" ref="BV139">_xlfn.LET(_xlpm.DepreciationMonths,INDEX(FixedAssets[Depreciation
/ Amortization Months],_xlfn.XMATCH($E$135,FixedAssets[Asset ID])),IF(AND((_xlfn.XMATCH(BV$8,$AH$8:$CC$8))-_xlfn.XMATCH($C139,$C$35:$C$82)+1&lt;=_xlpm.DepreciationMonths,$C139&lt;=BV$8),$E139/_xlpm.DepreciationMonths,0))</f>
        <v>0</v>
      </c>
      <c r="BW139" s="507" cm="1">
        <f t="array" ref="BW139">_xlfn.LET(_xlpm.DepreciationMonths,INDEX(FixedAssets[Depreciation
/ Amortization Months],_xlfn.XMATCH($E$135,FixedAssets[Asset ID])),IF(AND((_xlfn.XMATCH(BW$8,$AH$8:$CC$8))-_xlfn.XMATCH($C139,$C$35:$C$82)+1&lt;=_xlpm.DepreciationMonths,$C139&lt;=BW$8),$E139/_xlpm.DepreciationMonths,0))</f>
        <v>0</v>
      </c>
      <c r="BX139" s="507" cm="1">
        <f t="array" ref="BX139">_xlfn.LET(_xlpm.DepreciationMonths,INDEX(FixedAssets[Depreciation
/ Amortization Months],_xlfn.XMATCH($E$135,FixedAssets[Asset ID])),IF(AND((_xlfn.XMATCH(BX$8,$AH$8:$CC$8))-_xlfn.XMATCH($C139,$C$35:$C$82)+1&lt;=_xlpm.DepreciationMonths,$C139&lt;=BX$8),$E139/_xlpm.DepreciationMonths,0))</f>
        <v>0</v>
      </c>
      <c r="BY139" s="507" cm="1">
        <f t="array" ref="BY139">_xlfn.LET(_xlpm.DepreciationMonths,INDEX(FixedAssets[Depreciation
/ Amortization Months],_xlfn.XMATCH($E$135,FixedAssets[Asset ID])),IF(AND((_xlfn.XMATCH(BY$8,$AH$8:$CC$8))-_xlfn.XMATCH($C139,$C$35:$C$82)+1&lt;=_xlpm.DepreciationMonths,$C139&lt;=BY$8),$E139/_xlpm.DepreciationMonths,0))</f>
        <v>0</v>
      </c>
      <c r="BZ139" s="507" cm="1">
        <f t="array" ref="BZ139">_xlfn.LET(_xlpm.DepreciationMonths,INDEX(FixedAssets[Depreciation
/ Amortization Months],_xlfn.XMATCH($E$135,FixedAssets[Asset ID])),IF(AND((_xlfn.XMATCH(BZ$8,$AH$8:$CC$8))-_xlfn.XMATCH($C139,$C$35:$C$82)+1&lt;=_xlpm.DepreciationMonths,$C139&lt;=BZ$8),$E139/_xlpm.DepreciationMonths,0))</f>
        <v>0</v>
      </c>
      <c r="CA139" s="507" cm="1">
        <f t="array" ref="CA139">_xlfn.LET(_xlpm.DepreciationMonths,INDEX(FixedAssets[Depreciation
/ Amortization Months],_xlfn.XMATCH($E$135,FixedAssets[Asset ID])),IF(AND((_xlfn.XMATCH(CA$8,$AH$8:$CC$8))-_xlfn.XMATCH($C139,$C$35:$C$82)+1&lt;=_xlpm.DepreciationMonths,$C139&lt;=CA$8),$E139/_xlpm.DepreciationMonths,0))</f>
        <v>0</v>
      </c>
      <c r="CB139" s="507" cm="1">
        <f t="array" ref="CB139">_xlfn.LET(_xlpm.DepreciationMonths,INDEX(FixedAssets[Depreciation
/ Amortization Months],_xlfn.XMATCH($E$135,FixedAssets[Asset ID])),IF(AND((_xlfn.XMATCH(CB$8,$AH$8:$CC$8))-_xlfn.XMATCH($C139,$C$35:$C$82)+1&lt;=_xlpm.DepreciationMonths,$C139&lt;=CB$8),$E139/_xlpm.DepreciationMonths,0))</f>
        <v>0</v>
      </c>
      <c r="CC139" s="507" cm="1">
        <f t="array" ref="CC139">_xlfn.LET(_xlpm.DepreciationMonths,INDEX(FixedAssets[Depreciation
/ Amortization Months],_xlfn.XMATCH($E$135,FixedAssets[Asset ID])),IF(AND((_xlfn.XMATCH(CC$8,$AH$8:$CC$8))-_xlfn.XMATCH($C139,$C$35:$C$82)+1&lt;=_xlpm.DepreciationMonths,$C139&lt;=CC$8),$E139/_xlpm.DepreciationMonths,0))</f>
        <v>0</v>
      </c>
    </row>
    <row r="140" spans="3:81" hidden="1" outlineLevel="2">
      <c r="C140" s="664">
        <f t="shared" si="243"/>
        <v>45046</v>
      </c>
      <c r="D140" s="508"/>
      <c r="E140" s="508" cm="1">
        <f t="array" ref="E140">SUMPRODUCT(($AH$26:$CC$31)*($AH$5:$CC$5=$C140)*($E$26:$E$31=E$135))-SUMPRODUCT(($AH$26:$CC$31)*($AH$5:$CC$5=EOMONTH($C140,-1))*($E$26:$E$31=E$135))</f>
        <v>0</v>
      </c>
      <c r="F140" s="508"/>
      <c r="G140" s="508"/>
      <c r="H140" s="508"/>
      <c r="I140" s="508"/>
      <c r="J140" s="504">
        <f t="shared" si="240"/>
        <v>0</v>
      </c>
      <c r="K140" s="504">
        <f t="shared" si="241"/>
        <v>0</v>
      </c>
      <c r="L140" s="504">
        <f t="shared" si="241"/>
        <v>0</v>
      </c>
      <c r="M140" s="504">
        <f t="shared" si="241"/>
        <v>0</v>
      </c>
      <c r="N140" s="504"/>
      <c r="O140" s="504"/>
      <c r="P140" s="504">
        <f t="shared" si="242"/>
        <v>0</v>
      </c>
      <c r="Q140" s="504">
        <f t="shared" si="242"/>
        <v>0</v>
      </c>
      <c r="R140" s="504">
        <f t="shared" si="242"/>
        <v>0</v>
      </c>
      <c r="S140" s="504">
        <f t="shared" si="242"/>
        <v>0</v>
      </c>
      <c r="T140" s="504">
        <f t="shared" si="242"/>
        <v>0</v>
      </c>
      <c r="U140" s="504">
        <f t="shared" si="242"/>
        <v>0</v>
      </c>
      <c r="V140" s="504">
        <f t="shared" si="242"/>
        <v>0</v>
      </c>
      <c r="W140" s="504">
        <f t="shared" si="242"/>
        <v>0</v>
      </c>
      <c r="X140" s="504">
        <f t="shared" si="242"/>
        <v>0</v>
      </c>
      <c r="Y140" s="504">
        <f t="shared" si="242"/>
        <v>0</v>
      </c>
      <c r="Z140" s="504">
        <f t="shared" si="242"/>
        <v>0</v>
      </c>
      <c r="AA140" s="504">
        <f t="shared" si="242"/>
        <v>0</v>
      </c>
      <c r="AB140" s="504">
        <f t="shared" si="242"/>
        <v>0</v>
      </c>
      <c r="AC140" s="504">
        <f t="shared" si="242"/>
        <v>0</v>
      </c>
      <c r="AD140" s="504">
        <f t="shared" si="242"/>
        <v>0</v>
      </c>
      <c r="AE140" s="504">
        <f t="shared" si="242"/>
        <v>0</v>
      </c>
      <c r="AF140" s="508"/>
      <c r="AG140" s="508"/>
      <c r="AH140" s="507" cm="1">
        <f t="array" ref="AH140">_xlfn.LET(_xlpm.DepreciationMonths,INDEX(FixedAssets[Depreciation
/ Amortization Months],_xlfn.XMATCH($E$135,FixedAssets[Asset ID])),IF(AND((_xlfn.XMATCH(AH$8,$AH$8:$CC$8))-_xlfn.XMATCH($C140,$C$35:$C$82)+1&lt;=_xlpm.DepreciationMonths,$C140&lt;=AH$8),$E140/_xlpm.DepreciationMonths,0))</f>
        <v>0</v>
      </c>
      <c r="AI140" s="507" cm="1">
        <f t="array" ref="AI140">_xlfn.LET(_xlpm.DepreciationMonths,INDEX(FixedAssets[Depreciation
/ Amortization Months],_xlfn.XMATCH($E$135,FixedAssets[Asset ID])),IF(AND((_xlfn.XMATCH(AI$8,$AH$8:$CC$8))-_xlfn.XMATCH($C140,$C$35:$C$82)+1&lt;=_xlpm.DepreciationMonths,$C140&lt;=AI$8),$E140/_xlpm.DepreciationMonths,0))</f>
        <v>0</v>
      </c>
      <c r="AJ140" s="507" cm="1">
        <f t="array" ref="AJ140">_xlfn.LET(_xlpm.DepreciationMonths,INDEX(FixedAssets[Depreciation
/ Amortization Months],_xlfn.XMATCH($E$135,FixedAssets[Asset ID])),IF(AND((_xlfn.XMATCH(AJ$8,$AH$8:$CC$8))-_xlfn.XMATCH($C140,$C$35:$C$82)+1&lt;=_xlpm.DepreciationMonths,$C140&lt;=AJ$8),$E140/_xlpm.DepreciationMonths,0))</f>
        <v>0</v>
      </c>
      <c r="AK140" s="507" cm="1">
        <f t="array" ref="AK140">_xlfn.LET(_xlpm.DepreciationMonths,INDEX(FixedAssets[Depreciation
/ Amortization Months],_xlfn.XMATCH($E$135,FixedAssets[Asset ID])),IF(AND((_xlfn.XMATCH(AK$8,$AH$8:$CC$8))-_xlfn.XMATCH($C140,$C$35:$C$82)+1&lt;=_xlpm.DepreciationMonths,$C140&lt;=AK$8),$E140/_xlpm.DepreciationMonths,0))</f>
        <v>0</v>
      </c>
      <c r="AL140" s="507" cm="1">
        <f t="array" ref="AL140">_xlfn.LET(_xlpm.DepreciationMonths,INDEX(FixedAssets[Depreciation
/ Amortization Months],_xlfn.XMATCH($E$135,FixedAssets[Asset ID])),IF(AND((_xlfn.XMATCH(AL$8,$AH$8:$CC$8))-_xlfn.XMATCH($C140,$C$35:$C$82)+1&lt;=_xlpm.DepreciationMonths,$C140&lt;=AL$8),$E140/_xlpm.DepreciationMonths,0))</f>
        <v>0</v>
      </c>
      <c r="AM140" s="507" cm="1">
        <f t="array" ref="AM140">_xlfn.LET(_xlpm.DepreciationMonths,INDEX(FixedAssets[Depreciation
/ Amortization Months],_xlfn.XMATCH($E$135,FixedAssets[Asset ID])),IF(AND((_xlfn.XMATCH(AM$8,$AH$8:$CC$8))-_xlfn.XMATCH($C140,$C$35:$C$82)+1&lt;=_xlpm.DepreciationMonths,$C140&lt;=AM$8),$E140/_xlpm.DepreciationMonths,0))</f>
        <v>0</v>
      </c>
      <c r="AN140" s="507" cm="1">
        <f t="array" ref="AN140">_xlfn.LET(_xlpm.DepreciationMonths,INDEX(FixedAssets[Depreciation
/ Amortization Months],_xlfn.XMATCH($E$135,FixedAssets[Asset ID])),IF(AND((_xlfn.XMATCH(AN$8,$AH$8:$CC$8))-_xlfn.XMATCH($C140,$C$35:$C$82)+1&lt;=_xlpm.DepreciationMonths,$C140&lt;=AN$8),$E140/_xlpm.DepreciationMonths,0))</f>
        <v>0</v>
      </c>
      <c r="AO140" s="507" cm="1">
        <f t="array" ref="AO140">_xlfn.LET(_xlpm.DepreciationMonths,INDEX(FixedAssets[Depreciation
/ Amortization Months],_xlfn.XMATCH($E$135,FixedAssets[Asset ID])),IF(AND((_xlfn.XMATCH(AO$8,$AH$8:$CC$8))-_xlfn.XMATCH($C140,$C$35:$C$82)+1&lt;=_xlpm.DepreciationMonths,$C140&lt;=AO$8),$E140/_xlpm.DepreciationMonths,0))</f>
        <v>0</v>
      </c>
      <c r="AP140" s="507" cm="1">
        <f t="array" ref="AP140">_xlfn.LET(_xlpm.DepreciationMonths,INDEX(FixedAssets[Depreciation
/ Amortization Months],_xlfn.XMATCH($E$135,FixedAssets[Asset ID])),IF(AND((_xlfn.XMATCH(AP$8,$AH$8:$CC$8))-_xlfn.XMATCH($C140,$C$35:$C$82)+1&lt;=_xlpm.DepreciationMonths,$C140&lt;=AP$8),$E140/_xlpm.DepreciationMonths,0))</f>
        <v>0</v>
      </c>
      <c r="AQ140" s="507" cm="1">
        <f t="array" ref="AQ140">_xlfn.LET(_xlpm.DepreciationMonths,INDEX(FixedAssets[Depreciation
/ Amortization Months],_xlfn.XMATCH($E$135,FixedAssets[Asset ID])),IF(AND((_xlfn.XMATCH(AQ$8,$AH$8:$CC$8))-_xlfn.XMATCH($C140,$C$35:$C$82)+1&lt;=_xlpm.DepreciationMonths,$C140&lt;=AQ$8),$E140/_xlpm.DepreciationMonths,0))</f>
        <v>0</v>
      </c>
      <c r="AR140" s="507" cm="1">
        <f t="array" ref="AR140">_xlfn.LET(_xlpm.DepreciationMonths,INDEX(FixedAssets[Depreciation
/ Amortization Months],_xlfn.XMATCH($E$135,FixedAssets[Asset ID])),IF(AND((_xlfn.XMATCH(AR$8,$AH$8:$CC$8))-_xlfn.XMATCH($C140,$C$35:$C$82)+1&lt;=_xlpm.DepreciationMonths,$C140&lt;=AR$8),$E140/_xlpm.DepreciationMonths,0))</f>
        <v>0</v>
      </c>
      <c r="AS140" s="507" cm="1">
        <f t="array" ref="AS140">_xlfn.LET(_xlpm.DepreciationMonths,INDEX(FixedAssets[Depreciation
/ Amortization Months],_xlfn.XMATCH($E$135,FixedAssets[Asset ID])),IF(AND((_xlfn.XMATCH(AS$8,$AH$8:$CC$8))-_xlfn.XMATCH($C140,$C$35:$C$82)+1&lt;=_xlpm.DepreciationMonths,$C140&lt;=AS$8),$E140/_xlpm.DepreciationMonths,0))</f>
        <v>0</v>
      </c>
      <c r="AT140" s="507" cm="1">
        <f t="array" ref="AT140">_xlfn.LET(_xlpm.DepreciationMonths,INDEX(FixedAssets[Depreciation
/ Amortization Months],_xlfn.XMATCH($E$135,FixedAssets[Asset ID])),IF(AND((_xlfn.XMATCH(AT$8,$AH$8:$CC$8))-_xlfn.XMATCH($C140,$C$35:$C$82)+1&lt;=_xlpm.DepreciationMonths,$C140&lt;=AT$8),$E140/_xlpm.DepreciationMonths,0))</f>
        <v>0</v>
      </c>
      <c r="AU140" s="507" cm="1">
        <f t="array" ref="AU140">_xlfn.LET(_xlpm.DepreciationMonths,INDEX(FixedAssets[Depreciation
/ Amortization Months],_xlfn.XMATCH($E$135,FixedAssets[Asset ID])),IF(AND((_xlfn.XMATCH(AU$8,$AH$8:$CC$8))-_xlfn.XMATCH($C140,$C$35:$C$82)+1&lt;=_xlpm.DepreciationMonths,$C140&lt;=AU$8),$E140/_xlpm.DepreciationMonths,0))</f>
        <v>0</v>
      </c>
      <c r="AV140" s="507" cm="1">
        <f t="array" ref="AV140">_xlfn.LET(_xlpm.DepreciationMonths,INDEX(FixedAssets[Depreciation
/ Amortization Months],_xlfn.XMATCH($E$135,FixedAssets[Asset ID])),IF(AND((_xlfn.XMATCH(AV$8,$AH$8:$CC$8))-_xlfn.XMATCH($C140,$C$35:$C$82)+1&lt;=_xlpm.DepreciationMonths,$C140&lt;=AV$8),$E140/_xlpm.DepreciationMonths,0))</f>
        <v>0</v>
      </c>
      <c r="AW140" s="507" cm="1">
        <f t="array" ref="AW140">_xlfn.LET(_xlpm.DepreciationMonths,INDEX(FixedAssets[Depreciation
/ Amortization Months],_xlfn.XMATCH($E$135,FixedAssets[Asset ID])),IF(AND((_xlfn.XMATCH(AW$8,$AH$8:$CC$8))-_xlfn.XMATCH($C140,$C$35:$C$82)+1&lt;=_xlpm.DepreciationMonths,$C140&lt;=AW$8),$E140/_xlpm.DepreciationMonths,0))</f>
        <v>0</v>
      </c>
      <c r="AX140" s="507" cm="1">
        <f t="array" ref="AX140">_xlfn.LET(_xlpm.DepreciationMonths,INDEX(FixedAssets[Depreciation
/ Amortization Months],_xlfn.XMATCH($E$135,FixedAssets[Asset ID])),IF(AND((_xlfn.XMATCH(AX$8,$AH$8:$CC$8))-_xlfn.XMATCH($C140,$C$35:$C$82)+1&lt;=_xlpm.DepreciationMonths,$C140&lt;=AX$8),$E140/_xlpm.DepreciationMonths,0))</f>
        <v>0</v>
      </c>
      <c r="AY140" s="507" cm="1">
        <f t="array" ref="AY140">_xlfn.LET(_xlpm.DepreciationMonths,INDEX(FixedAssets[Depreciation
/ Amortization Months],_xlfn.XMATCH($E$135,FixedAssets[Asset ID])),IF(AND((_xlfn.XMATCH(AY$8,$AH$8:$CC$8))-_xlfn.XMATCH($C140,$C$35:$C$82)+1&lt;=_xlpm.DepreciationMonths,$C140&lt;=AY$8),$E140/_xlpm.DepreciationMonths,0))</f>
        <v>0</v>
      </c>
      <c r="AZ140" s="507" cm="1">
        <f t="array" ref="AZ140">_xlfn.LET(_xlpm.DepreciationMonths,INDEX(FixedAssets[Depreciation
/ Amortization Months],_xlfn.XMATCH($E$135,FixedAssets[Asset ID])),IF(AND((_xlfn.XMATCH(AZ$8,$AH$8:$CC$8))-_xlfn.XMATCH($C140,$C$35:$C$82)+1&lt;=_xlpm.DepreciationMonths,$C140&lt;=AZ$8),$E140/_xlpm.DepreciationMonths,0))</f>
        <v>0</v>
      </c>
      <c r="BA140" s="507" cm="1">
        <f t="array" ref="BA140">_xlfn.LET(_xlpm.DepreciationMonths,INDEX(FixedAssets[Depreciation
/ Amortization Months],_xlfn.XMATCH($E$135,FixedAssets[Asset ID])),IF(AND((_xlfn.XMATCH(BA$8,$AH$8:$CC$8))-_xlfn.XMATCH($C140,$C$35:$C$82)+1&lt;=_xlpm.DepreciationMonths,$C140&lt;=BA$8),$E140/_xlpm.DepreciationMonths,0))</f>
        <v>0</v>
      </c>
      <c r="BB140" s="507" cm="1">
        <f t="array" ref="BB140">_xlfn.LET(_xlpm.DepreciationMonths,INDEX(FixedAssets[Depreciation
/ Amortization Months],_xlfn.XMATCH($E$135,FixedAssets[Asset ID])),IF(AND((_xlfn.XMATCH(BB$8,$AH$8:$CC$8))-_xlfn.XMATCH($C140,$C$35:$C$82)+1&lt;=_xlpm.DepreciationMonths,$C140&lt;=BB$8),$E140/_xlpm.DepreciationMonths,0))</f>
        <v>0</v>
      </c>
      <c r="BC140" s="507" cm="1">
        <f t="array" ref="BC140">_xlfn.LET(_xlpm.DepreciationMonths,INDEX(FixedAssets[Depreciation
/ Amortization Months],_xlfn.XMATCH($E$135,FixedAssets[Asset ID])),IF(AND((_xlfn.XMATCH(BC$8,$AH$8:$CC$8))-_xlfn.XMATCH($C140,$C$35:$C$82)+1&lt;=_xlpm.DepreciationMonths,$C140&lt;=BC$8),$E140/_xlpm.DepreciationMonths,0))</f>
        <v>0</v>
      </c>
      <c r="BD140" s="507" cm="1">
        <f t="array" ref="BD140">_xlfn.LET(_xlpm.DepreciationMonths,INDEX(FixedAssets[Depreciation
/ Amortization Months],_xlfn.XMATCH($E$135,FixedAssets[Asset ID])),IF(AND((_xlfn.XMATCH(BD$8,$AH$8:$CC$8))-_xlfn.XMATCH($C140,$C$35:$C$82)+1&lt;=_xlpm.DepreciationMonths,$C140&lt;=BD$8),$E140/_xlpm.DepreciationMonths,0))</f>
        <v>0</v>
      </c>
      <c r="BE140" s="507" cm="1">
        <f t="array" ref="BE140">_xlfn.LET(_xlpm.DepreciationMonths,INDEX(FixedAssets[Depreciation
/ Amortization Months],_xlfn.XMATCH($E$135,FixedAssets[Asset ID])),IF(AND((_xlfn.XMATCH(BE$8,$AH$8:$CC$8))-_xlfn.XMATCH($C140,$C$35:$C$82)+1&lt;=_xlpm.DepreciationMonths,$C140&lt;=BE$8),$E140/_xlpm.DepreciationMonths,0))</f>
        <v>0</v>
      </c>
      <c r="BF140" s="507" cm="1">
        <f t="array" ref="BF140">_xlfn.LET(_xlpm.DepreciationMonths,INDEX(FixedAssets[Depreciation
/ Amortization Months],_xlfn.XMATCH($E$135,FixedAssets[Asset ID])),IF(AND((_xlfn.XMATCH(BF$8,$AH$8:$CC$8))-_xlfn.XMATCH($C140,$C$35:$C$82)+1&lt;=_xlpm.DepreciationMonths,$C140&lt;=BF$8),$E140/_xlpm.DepreciationMonths,0))</f>
        <v>0</v>
      </c>
      <c r="BG140" s="507" cm="1">
        <f t="array" ref="BG140">_xlfn.LET(_xlpm.DepreciationMonths,INDEX(FixedAssets[Depreciation
/ Amortization Months],_xlfn.XMATCH($E$135,FixedAssets[Asset ID])),IF(AND((_xlfn.XMATCH(BG$8,$AH$8:$CC$8))-_xlfn.XMATCH($C140,$C$35:$C$82)+1&lt;=_xlpm.DepreciationMonths,$C140&lt;=BG$8),$E140/_xlpm.DepreciationMonths,0))</f>
        <v>0</v>
      </c>
      <c r="BH140" s="507" cm="1">
        <f t="array" ref="BH140">_xlfn.LET(_xlpm.DepreciationMonths,INDEX(FixedAssets[Depreciation
/ Amortization Months],_xlfn.XMATCH($E$135,FixedAssets[Asset ID])),IF(AND((_xlfn.XMATCH(BH$8,$AH$8:$CC$8))-_xlfn.XMATCH($C140,$C$35:$C$82)+1&lt;=_xlpm.DepreciationMonths,$C140&lt;=BH$8),$E140/_xlpm.DepreciationMonths,0))</f>
        <v>0</v>
      </c>
      <c r="BI140" s="507" cm="1">
        <f t="array" ref="BI140">_xlfn.LET(_xlpm.DepreciationMonths,INDEX(FixedAssets[Depreciation
/ Amortization Months],_xlfn.XMATCH($E$135,FixedAssets[Asset ID])),IF(AND((_xlfn.XMATCH(BI$8,$AH$8:$CC$8))-_xlfn.XMATCH($C140,$C$35:$C$82)+1&lt;=_xlpm.DepreciationMonths,$C140&lt;=BI$8),$E140/_xlpm.DepreciationMonths,0))</f>
        <v>0</v>
      </c>
      <c r="BJ140" s="507" cm="1">
        <f t="array" ref="BJ140">_xlfn.LET(_xlpm.DepreciationMonths,INDEX(FixedAssets[Depreciation
/ Amortization Months],_xlfn.XMATCH($E$135,FixedAssets[Asset ID])),IF(AND((_xlfn.XMATCH(BJ$8,$AH$8:$CC$8))-_xlfn.XMATCH($C140,$C$35:$C$82)+1&lt;=_xlpm.DepreciationMonths,$C140&lt;=BJ$8),$E140/_xlpm.DepreciationMonths,0))</f>
        <v>0</v>
      </c>
      <c r="BK140" s="507" cm="1">
        <f t="array" ref="BK140">_xlfn.LET(_xlpm.DepreciationMonths,INDEX(FixedAssets[Depreciation
/ Amortization Months],_xlfn.XMATCH($E$135,FixedAssets[Asset ID])),IF(AND((_xlfn.XMATCH(BK$8,$AH$8:$CC$8))-_xlfn.XMATCH($C140,$C$35:$C$82)+1&lt;=_xlpm.DepreciationMonths,$C140&lt;=BK$8),$E140/_xlpm.DepreciationMonths,0))</f>
        <v>0</v>
      </c>
      <c r="BL140" s="507" cm="1">
        <f t="array" ref="BL140">_xlfn.LET(_xlpm.DepreciationMonths,INDEX(FixedAssets[Depreciation
/ Amortization Months],_xlfn.XMATCH($E$135,FixedAssets[Asset ID])),IF(AND((_xlfn.XMATCH(BL$8,$AH$8:$CC$8))-_xlfn.XMATCH($C140,$C$35:$C$82)+1&lt;=_xlpm.DepreciationMonths,$C140&lt;=BL$8),$E140/_xlpm.DepreciationMonths,0))</f>
        <v>0</v>
      </c>
      <c r="BM140" s="507" cm="1">
        <f t="array" ref="BM140">_xlfn.LET(_xlpm.DepreciationMonths,INDEX(FixedAssets[Depreciation
/ Amortization Months],_xlfn.XMATCH($E$135,FixedAssets[Asset ID])),IF(AND((_xlfn.XMATCH(BM$8,$AH$8:$CC$8))-_xlfn.XMATCH($C140,$C$35:$C$82)+1&lt;=_xlpm.DepreciationMonths,$C140&lt;=BM$8),$E140/_xlpm.DepreciationMonths,0))</f>
        <v>0</v>
      </c>
      <c r="BN140" s="507" cm="1">
        <f t="array" ref="BN140">_xlfn.LET(_xlpm.DepreciationMonths,INDEX(FixedAssets[Depreciation
/ Amortization Months],_xlfn.XMATCH($E$135,FixedAssets[Asset ID])),IF(AND((_xlfn.XMATCH(BN$8,$AH$8:$CC$8))-_xlfn.XMATCH($C140,$C$35:$C$82)+1&lt;=_xlpm.DepreciationMonths,$C140&lt;=BN$8),$E140/_xlpm.DepreciationMonths,0))</f>
        <v>0</v>
      </c>
      <c r="BO140" s="507" cm="1">
        <f t="array" ref="BO140">_xlfn.LET(_xlpm.DepreciationMonths,INDEX(FixedAssets[Depreciation
/ Amortization Months],_xlfn.XMATCH($E$135,FixedAssets[Asset ID])),IF(AND((_xlfn.XMATCH(BO$8,$AH$8:$CC$8))-_xlfn.XMATCH($C140,$C$35:$C$82)+1&lt;=_xlpm.DepreciationMonths,$C140&lt;=BO$8),$E140/_xlpm.DepreciationMonths,0))</f>
        <v>0</v>
      </c>
      <c r="BP140" s="507" cm="1">
        <f t="array" ref="BP140">_xlfn.LET(_xlpm.DepreciationMonths,INDEX(FixedAssets[Depreciation
/ Amortization Months],_xlfn.XMATCH($E$135,FixedAssets[Asset ID])),IF(AND((_xlfn.XMATCH(BP$8,$AH$8:$CC$8))-_xlfn.XMATCH($C140,$C$35:$C$82)+1&lt;=_xlpm.DepreciationMonths,$C140&lt;=BP$8),$E140/_xlpm.DepreciationMonths,0))</f>
        <v>0</v>
      </c>
      <c r="BQ140" s="507" cm="1">
        <f t="array" ref="BQ140">_xlfn.LET(_xlpm.DepreciationMonths,INDEX(FixedAssets[Depreciation
/ Amortization Months],_xlfn.XMATCH($E$135,FixedAssets[Asset ID])),IF(AND((_xlfn.XMATCH(BQ$8,$AH$8:$CC$8))-_xlfn.XMATCH($C140,$C$35:$C$82)+1&lt;=_xlpm.DepreciationMonths,$C140&lt;=BQ$8),$E140/_xlpm.DepreciationMonths,0))</f>
        <v>0</v>
      </c>
      <c r="BR140" s="507" cm="1">
        <f t="array" ref="BR140">_xlfn.LET(_xlpm.DepreciationMonths,INDEX(FixedAssets[Depreciation
/ Amortization Months],_xlfn.XMATCH($E$135,FixedAssets[Asset ID])),IF(AND((_xlfn.XMATCH(BR$8,$AH$8:$CC$8))-_xlfn.XMATCH($C140,$C$35:$C$82)+1&lt;=_xlpm.DepreciationMonths,$C140&lt;=BR$8),$E140/_xlpm.DepreciationMonths,0))</f>
        <v>0</v>
      </c>
      <c r="BS140" s="507" cm="1">
        <f t="array" ref="BS140">_xlfn.LET(_xlpm.DepreciationMonths,INDEX(FixedAssets[Depreciation
/ Amortization Months],_xlfn.XMATCH($E$135,FixedAssets[Asset ID])),IF(AND((_xlfn.XMATCH(BS$8,$AH$8:$CC$8))-_xlfn.XMATCH($C140,$C$35:$C$82)+1&lt;=_xlpm.DepreciationMonths,$C140&lt;=BS$8),$E140/_xlpm.DepreciationMonths,0))</f>
        <v>0</v>
      </c>
      <c r="BT140" s="507" cm="1">
        <f t="array" ref="BT140">_xlfn.LET(_xlpm.DepreciationMonths,INDEX(FixedAssets[Depreciation
/ Amortization Months],_xlfn.XMATCH($E$135,FixedAssets[Asset ID])),IF(AND((_xlfn.XMATCH(BT$8,$AH$8:$CC$8))-_xlfn.XMATCH($C140,$C$35:$C$82)+1&lt;=_xlpm.DepreciationMonths,$C140&lt;=BT$8),$E140/_xlpm.DepreciationMonths,0))</f>
        <v>0</v>
      </c>
      <c r="BU140" s="507" cm="1">
        <f t="array" ref="BU140">_xlfn.LET(_xlpm.DepreciationMonths,INDEX(FixedAssets[Depreciation
/ Amortization Months],_xlfn.XMATCH($E$135,FixedAssets[Asset ID])),IF(AND((_xlfn.XMATCH(BU$8,$AH$8:$CC$8))-_xlfn.XMATCH($C140,$C$35:$C$82)+1&lt;=_xlpm.DepreciationMonths,$C140&lt;=BU$8),$E140/_xlpm.DepreciationMonths,0))</f>
        <v>0</v>
      </c>
      <c r="BV140" s="507" cm="1">
        <f t="array" ref="BV140">_xlfn.LET(_xlpm.DepreciationMonths,INDEX(FixedAssets[Depreciation
/ Amortization Months],_xlfn.XMATCH($E$135,FixedAssets[Asset ID])),IF(AND((_xlfn.XMATCH(BV$8,$AH$8:$CC$8))-_xlfn.XMATCH($C140,$C$35:$C$82)+1&lt;=_xlpm.DepreciationMonths,$C140&lt;=BV$8),$E140/_xlpm.DepreciationMonths,0))</f>
        <v>0</v>
      </c>
      <c r="BW140" s="507" cm="1">
        <f t="array" ref="BW140">_xlfn.LET(_xlpm.DepreciationMonths,INDEX(FixedAssets[Depreciation
/ Amortization Months],_xlfn.XMATCH($E$135,FixedAssets[Asset ID])),IF(AND((_xlfn.XMATCH(BW$8,$AH$8:$CC$8))-_xlfn.XMATCH($C140,$C$35:$C$82)+1&lt;=_xlpm.DepreciationMonths,$C140&lt;=BW$8),$E140/_xlpm.DepreciationMonths,0))</f>
        <v>0</v>
      </c>
      <c r="BX140" s="507" cm="1">
        <f t="array" ref="BX140">_xlfn.LET(_xlpm.DepreciationMonths,INDEX(FixedAssets[Depreciation
/ Amortization Months],_xlfn.XMATCH($E$135,FixedAssets[Asset ID])),IF(AND((_xlfn.XMATCH(BX$8,$AH$8:$CC$8))-_xlfn.XMATCH($C140,$C$35:$C$82)+1&lt;=_xlpm.DepreciationMonths,$C140&lt;=BX$8),$E140/_xlpm.DepreciationMonths,0))</f>
        <v>0</v>
      </c>
      <c r="BY140" s="507" cm="1">
        <f t="array" ref="BY140">_xlfn.LET(_xlpm.DepreciationMonths,INDEX(FixedAssets[Depreciation
/ Amortization Months],_xlfn.XMATCH($E$135,FixedAssets[Asset ID])),IF(AND((_xlfn.XMATCH(BY$8,$AH$8:$CC$8))-_xlfn.XMATCH($C140,$C$35:$C$82)+1&lt;=_xlpm.DepreciationMonths,$C140&lt;=BY$8),$E140/_xlpm.DepreciationMonths,0))</f>
        <v>0</v>
      </c>
      <c r="BZ140" s="507" cm="1">
        <f t="array" ref="BZ140">_xlfn.LET(_xlpm.DepreciationMonths,INDEX(FixedAssets[Depreciation
/ Amortization Months],_xlfn.XMATCH($E$135,FixedAssets[Asset ID])),IF(AND((_xlfn.XMATCH(BZ$8,$AH$8:$CC$8))-_xlfn.XMATCH($C140,$C$35:$C$82)+1&lt;=_xlpm.DepreciationMonths,$C140&lt;=BZ$8),$E140/_xlpm.DepreciationMonths,0))</f>
        <v>0</v>
      </c>
      <c r="CA140" s="507" cm="1">
        <f t="array" ref="CA140">_xlfn.LET(_xlpm.DepreciationMonths,INDEX(FixedAssets[Depreciation
/ Amortization Months],_xlfn.XMATCH($E$135,FixedAssets[Asset ID])),IF(AND((_xlfn.XMATCH(CA$8,$AH$8:$CC$8))-_xlfn.XMATCH($C140,$C$35:$C$82)+1&lt;=_xlpm.DepreciationMonths,$C140&lt;=CA$8),$E140/_xlpm.DepreciationMonths,0))</f>
        <v>0</v>
      </c>
      <c r="CB140" s="507" cm="1">
        <f t="array" ref="CB140">_xlfn.LET(_xlpm.DepreciationMonths,INDEX(FixedAssets[Depreciation
/ Amortization Months],_xlfn.XMATCH($E$135,FixedAssets[Asset ID])),IF(AND((_xlfn.XMATCH(CB$8,$AH$8:$CC$8))-_xlfn.XMATCH($C140,$C$35:$C$82)+1&lt;=_xlpm.DepreciationMonths,$C140&lt;=CB$8),$E140/_xlpm.DepreciationMonths,0))</f>
        <v>0</v>
      </c>
      <c r="CC140" s="507" cm="1">
        <f t="array" ref="CC140">_xlfn.LET(_xlpm.DepreciationMonths,INDEX(FixedAssets[Depreciation
/ Amortization Months],_xlfn.XMATCH($E$135,FixedAssets[Asset ID])),IF(AND((_xlfn.XMATCH(CC$8,$AH$8:$CC$8))-_xlfn.XMATCH($C140,$C$35:$C$82)+1&lt;=_xlpm.DepreciationMonths,$C140&lt;=CC$8),$E140/_xlpm.DepreciationMonths,0))</f>
        <v>0</v>
      </c>
    </row>
    <row r="141" spans="3:81" hidden="1" outlineLevel="2">
      <c r="C141" s="664">
        <f t="shared" si="243"/>
        <v>45077</v>
      </c>
      <c r="D141" s="508"/>
      <c r="E141" s="508" cm="1">
        <f t="array" ref="E141">SUMPRODUCT(($AH$26:$CC$31)*($AH$5:$CC$5=$C141)*($E$26:$E$31=E$135))-SUMPRODUCT(($AH$26:$CC$31)*($AH$5:$CC$5=EOMONTH($C141,-1))*($E$26:$E$31=E$135))</f>
        <v>0</v>
      </c>
      <c r="F141" s="508"/>
      <c r="G141" s="508"/>
      <c r="H141" s="508"/>
      <c r="I141" s="508"/>
      <c r="J141" s="504">
        <f t="shared" si="240"/>
        <v>0</v>
      </c>
      <c r="K141" s="504">
        <f t="shared" si="241"/>
        <v>0</v>
      </c>
      <c r="L141" s="504">
        <f t="shared" si="241"/>
        <v>0</v>
      </c>
      <c r="M141" s="504">
        <f t="shared" si="241"/>
        <v>0</v>
      </c>
      <c r="N141" s="504"/>
      <c r="O141" s="504"/>
      <c r="P141" s="504">
        <f t="shared" si="242"/>
        <v>0</v>
      </c>
      <c r="Q141" s="504">
        <f t="shared" si="242"/>
        <v>0</v>
      </c>
      <c r="R141" s="504">
        <f t="shared" si="242"/>
        <v>0</v>
      </c>
      <c r="S141" s="504">
        <f t="shared" si="242"/>
        <v>0</v>
      </c>
      <c r="T141" s="504">
        <f t="shared" si="242"/>
        <v>0</v>
      </c>
      <c r="U141" s="504">
        <f t="shared" si="242"/>
        <v>0</v>
      </c>
      <c r="V141" s="504">
        <f t="shared" si="242"/>
        <v>0</v>
      </c>
      <c r="W141" s="504">
        <f t="shared" si="242"/>
        <v>0</v>
      </c>
      <c r="X141" s="504">
        <f t="shared" si="242"/>
        <v>0</v>
      </c>
      <c r="Y141" s="504">
        <f t="shared" si="242"/>
        <v>0</v>
      </c>
      <c r="Z141" s="504">
        <f t="shared" si="242"/>
        <v>0</v>
      </c>
      <c r="AA141" s="504">
        <f t="shared" si="242"/>
        <v>0</v>
      </c>
      <c r="AB141" s="504">
        <f t="shared" si="242"/>
        <v>0</v>
      </c>
      <c r="AC141" s="504">
        <f t="shared" si="242"/>
        <v>0</v>
      </c>
      <c r="AD141" s="504">
        <f t="shared" si="242"/>
        <v>0</v>
      </c>
      <c r="AE141" s="504">
        <f t="shared" si="242"/>
        <v>0</v>
      </c>
      <c r="AF141" s="508"/>
      <c r="AG141" s="508"/>
      <c r="AH141" s="507" cm="1">
        <f t="array" ref="AH141">_xlfn.LET(_xlpm.DepreciationMonths,INDEX(FixedAssets[Depreciation
/ Amortization Months],_xlfn.XMATCH($E$135,FixedAssets[Asset ID])),IF(AND((_xlfn.XMATCH(AH$8,$AH$8:$CC$8))-_xlfn.XMATCH($C141,$C$35:$C$82)+1&lt;=_xlpm.DepreciationMonths,$C141&lt;=AH$8),$E141/_xlpm.DepreciationMonths,0))</f>
        <v>0</v>
      </c>
      <c r="AI141" s="507" cm="1">
        <f t="array" ref="AI141">_xlfn.LET(_xlpm.DepreciationMonths,INDEX(FixedAssets[Depreciation
/ Amortization Months],_xlfn.XMATCH($E$135,FixedAssets[Asset ID])),IF(AND((_xlfn.XMATCH(AI$8,$AH$8:$CC$8))-_xlfn.XMATCH($C141,$C$35:$C$82)+1&lt;=_xlpm.DepreciationMonths,$C141&lt;=AI$8),$E141/_xlpm.DepreciationMonths,0))</f>
        <v>0</v>
      </c>
      <c r="AJ141" s="507" cm="1">
        <f t="array" ref="AJ141">_xlfn.LET(_xlpm.DepreciationMonths,INDEX(FixedAssets[Depreciation
/ Amortization Months],_xlfn.XMATCH($E$135,FixedAssets[Asset ID])),IF(AND((_xlfn.XMATCH(AJ$8,$AH$8:$CC$8))-_xlfn.XMATCH($C141,$C$35:$C$82)+1&lt;=_xlpm.DepreciationMonths,$C141&lt;=AJ$8),$E141/_xlpm.DepreciationMonths,0))</f>
        <v>0</v>
      </c>
      <c r="AK141" s="507" cm="1">
        <f t="array" ref="AK141">_xlfn.LET(_xlpm.DepreciationMonths,INDEX(FixedAssets[Depreciation
/ Amortization Months],_xlfn.XMATCH($E$135,FixedAssets[Asset ID])),IF(AND((_xlfn.XMATCH(AK$8,$AH$8:$CC$8))-_xlfn.XMATCH($C141,$C$35:$C$82)+1&lt;=_xlpm.DepreciationMonths,$C141&lt;=AK$8),$E141/_xlpm.DepreciationMonths,0))</f>
        <v>0</v>
      </c>
      <c r="AL141" s="507" cm="1">
        <f t="array" ref="AL141">_xlfn.LET(_xlpm.DepreciationMonths,INDEX(FixedAssets[Depreciation
/ Amortization Months],_xlfn.XMATCH($E$135,FixedAssets[Asset ID])),IF(AND((_xlfn.XMATCH(AL$8,$AH$8:$CC$8))-_xlfn.XMATCH($C141,$C$35:$C$82)+1&lt;=_xlpm.DepreciationMonths,$C141&lt;=AL$8),$E141/_xlpm.DepreciationMonths,0))</f>
        <v>0</v>
      </c>
      <c r="AM141" s="507" cm="1">
        <f t="array" ref="AM141">_xlfn.LET(_xlpm.DepreciationMonths,INDEX(FixedAssets[Depreciation
/ Amortization Months],_xlfn.XMATCH($E$135,FixedAssets[Asset ID])),IF(AND((_xlfn.XMATCH(AM$8,$AH$8:$CC$8))-_xlfn.XMATCH($C141,$C$35:$C$82)+1&lt;=_xlpm.DepreciationMonths,$C141&lt;=AM$8),$E141/_xlpm.DepreciationMonths,0))</f>
        <v>0</v>
      </c>
      <c r="AN141" s="507" cm="1">
        <f t="array" ref="AN141">_xlfn.LET(_xlpm.DepreciationMonths,INDEX(FixedAssets[Depreciation
/ Amortization Months],_xlfn.XMATCH($E$135,FixedAssets[Asset ID])),IF(AND((_xlfn.XMATCH(AN$8,$AH$8:$CC$8))-_xlfn.XMATCH($C141,$C$35:$C$82)+1&lt;=_xlpm.DepreciationMonths,$C141&lt;=AN$8),$E141/_xlpm.DepreciationMonths,0))</f>
        <v>0</v>
      </c>
      <c r="AO141" s="507" cm="1">
        <f t="array" ref="AO141">_xlfn.LET(_xlpm.DepreciationMonths,INDEX(FixedAssets[Depreciation
/ Amortization Months],_xlfn.XMATCH($E$135,FixedAssets[Asset ID])),IF(AND((_xlfn.XMATCH(AO$8,$AH$8:$CC$8))-_xlfn.XMATCH($C141,$C$35:$C$82)+1&lt;=_xlpm.DepreciationMonths,$C141&lt;=AO$8),$E141/_xlpm.DepreciationMonths,0))</f>
        <v>0</v>
      </c>
      <c r="AP141" s="507" cm="1">
        <f t="array" ref="AP141">_xlfn.LET(_xlpm.DepreciationMonths,INDEX(FixedAssets[Depreciation
/ Amortization Months],_xlfn.XMATCH($E$135,FixedAssets[Asset ID])),IF(AND((_xlfn.XMATCH(AP$8,$AH$8:$CC$8))-_xlfn.XMATCH($C141,$C$35:$C$82)+1&lt;=_xlpm.DepreciationMonths,$C141&lt;=AP$8),$E141/_xlpm.DepreciationMonths,0))</f>
        <v>0</v>
      </c>
      <c r="AQ141" s="507" cm="1">
        <f t="array" ref="AQ141">_xlfn.LET(_xlpm.DepreciationMonths,INDEX(FixedAssets[Depreciation
/ Amortization Months],_xlfn.XMATCH($E$135,FixedAssets[Asset ID])),IF(AND((_xlfn.XMATCH(AQ$8,$AH$8:$CC$8))-_xlfn.XMATCH($C141,$C$35:$C$82)+1&lt;=_xlpm.DepreciationMonths,$C141&lt;=AQ$8),$E141/_xlpm.DepreciationMonths,0))</f>
        <v>0</v>
      </c>
      <c r="AR141" s="507" cm="1">
        <f t="array" ref="AR141">_xlfn.LET(_xlpm.DepreciationMonths,INDEX(FixedAssets[Depreciation
/ Amortization Months],_xlfn.XMATCH($E$135,FixedAssets[Asset ID])),IF(AND((_xlfn.XMATCH(AR$8,$AH$8:$CC$8))-_xlfn.XMATCH($C141,$C$35:$C$82)+1&lt;=_xlpm.DepreciationMonths,$C141&lt;=AR$8),$E141/_xlpm.DepreciationMonths,0))</f>
        <v>0</v>
      </c>
      <c r="AS141" s="507" cm="1">
        <f t="array" ref="AS141">_xlfn.LET(_xlpm.DepreciationMonths,INDEX(FixedAssets[Depreciation
/ Amortization Months],_xlfn.XMATCH($E$135,FixedAssets[Asset ID])),IF(AND((_xlfn.XMATCH(AS$8,$AH$8:$CC$8))-_xlfn.XMATCH($C141,$C$35:$C$82)+1&lt;=_xlpm.DepreciationMonths,$C141&lt;=AS$8),$E141/_xlpm.DepreciationMonths,0))</f>
        <v>0</v>
      </c>
      <c r="AT141" s="507" cm="1">
        <f t="array" ref="AT141">_xlfn.LET(_xlpm.DepreciationMonths,INDEX(FixedAssets[Depreciation
/ Amortization Months],_xlfn.XMATCH($E$135,FixedAssets[Asset ID])),IF(AND((_xlfn.XMATCH(AT$8,$AH$8:$CC$8))-_xlfn.XMATCH($C141,$C$35:$C$82)+1&lt;=_xlpm.DepreciationMonths,$C141&lt;=AT$8),$E141/_xlpm.DepreciationMonths,0))</f>
        <v>0</v>
      </c>
      <c r="AU141" s="507" cm="1">
        <f t="array" ref="AU141">_xlfn.LET(_xlpm.DepreciationMonths,INDEX(FixedAssets[Depreciation
/ Amortization Months],_xlfn.XMATCH($E$135,FixedAssets[Asset ID])),IF(AND((_xlfn.XMATCH(AU$8,$AH$8:$CC$8))-_xlfn.XMATCH($C141,$C$35:$C$82)+1&lt;=_xlpm.DepreciationMonths,$C141&lt;=AU$8),$E141/_xlpm.DepreciationMonths,0))</f>
        <v>0</v>
      </c>
      <c r="AV141" s="507" cm="1">
        <f t="array" ref="AV141">_xlfn.LET(_xlpm.DepreciationMonths,INDEX(FixedAssets[Depreciation
/ Amortization Months],_xlfn.XMATCH($E$135,FixedAssets[Asset ID])),IF(AND((_xlfn.XMATCH(AV$8,$AH$8:$CC$8))-_xlfn.XMATCH($C141,$C$35:$C$82)+1&lt;=_xlpm.DepreciationMonths,$C141&lt;=AV$8),$E141/_xlpm.DepreciationMonths,0))</f>
        <v>0</v>
      </c>
      <c r="AW141" s="507" cm="1">
        <f t="array" ref="AW141">_xlfn.LET(_xlpm.DepreciationMonths,INDEX(FixedAssets[Depreciation
/ Amortization Months],_xlfn.XMATCH($E$135,FixedAssets[Asset ID])),IF(AND((_xlfn.XMATCH(AW$8,$AH$8:$CC$8))-_xlfn.XMATCH($C141,$C$35:$C$82)+1&lt;=_xlpm.DepreciationMonths,$C141&lt;=AW$8),$E141/_xlpm.DepreciationMonths,0))</f>
        <v>0</v>
      </c>
      <c r="AX141" s="507" cm="1">
        <f t="array" ref="AX141">_xlfn.LET(_xlpm.DepreciationMonths,INDEX(FixedAssets[Depreciation
/ Amortization Months],_xlfn.XMATCH($E$135,FixedAssets[Asset ID])),IF(AND((_xlfn.XMATCH(AX$8,$AH$8:$CC$8))-_xlfn.XMATCH($C141,$C$35:$C$82)+1&lt;=_xlpm.DepreciationMonths,$C141&lt;=AX$8),$E141/_xlpm.DepreciationMonths,0))</f>
        <v>0</v>
      </c>
      <c r="AY141" s="507" cm="1">
        <f t="array" ref="AY141">_xlfn.LET(_xlpm.DepreciationMonths,INDEX(FixedAssets[Depreciation
/ Amortization Months],_xlfn.XMATCH($E$135,FixedAssets[Asset ID])),IF(AND((_xlfn.XMATCH(AY$8,$AH$8:$CC$8))-_xlfn.XMATCH($C141,$C$35:$C$82)+1&lt;=_xlpm.DepreciationMonths,$C141&lt;=AY$8),$E141/_xlpm.DepreciationMonths,0))</f>
        <v>0</v>
      </c>
      <c r="AZ141" s="507" cm="1">
        <f t="array" ref="AZ141">_xlfn.LET(_xlpm.DepreciationMonths,INDEX(FixedAssets[Depreciation
/ Amortization Months],_xlfn.XMATCH($E$135,FixedAssets[Asset ID])),IF(AND((_xlfn.XMATCH(AZ$8,$AH$8:$CC$8))-_xlfn.XMATCH($C141,$C$35:$C$82)+1&lt;=_xlpm.DepreciationMonths,$C141&lt;=AZ$8),$E141/_xlpm.DepreciationMonths,0))</f>
        <v>0</v>
      </c>
      <c r="BA141" s="507" cm="1">
        <f t="array" ref="BA141">_xlfn.LET(_xlpm.DepreciationMonths,INDEX(FixedAssets[Depreciation
/ Amortization Months],_xlfn.XMATCH($E$135,FixedAssets[Asset ID])),IF(AND((_xlfn.XMATCH(BA$8,$AH$8:$CC$8))-_xlfn.XMATCH($C141,$C$35:$C$82)+1&lt;=_xlpm.DepreciationMonths,$C141&lt;=BA$8),$E141/_xlpm.DepreciationMonths,0))</f>
        <v>0</v>
      </c>
      <c r="BB141" s="507" cm="1">
        <f t="array" ref="BB141">_xlfn.LET(_xlpm.DepreciationMonths,INDEX(FixedAssets[Depreciation
/ Amortization Months],_xlfn.XMATCH($E$135,FixedAssets[Asset ID])),IF(AND((_xlfn.XMATCH(BB$8,$AH$8:$CC$8))-_xlfn.XMATCH($C141,$C$35:$C$82)+1&lt;=_xlpm.DepreciationMonths,$C141&lt;=BB$8),$E141/_xlpm.DepreciationMonths,0))</f>
        <v>0</v>
      </c>
      <c r="BC141" s="507" cm="1">
        <f t="array" ref="BC141">_xlfn.LET(_xlpm.DepreciationMonths,INDEX(FixedAssets[Depreciation
/ Amortization Months],_xlfn.XMATCH($E$135,FixedAssets[Asset ID])),IF(AND((_xlfn.XMATCH(BC$8,$AH$8:$CC$8))-_xlfn.XMATCH($C141,$C$35:$C$82)+1&lt;=_xlpm.DepreciationMonths,$C141&lt;=BC$8),$E141/_xlpm.DepreciationMonths,0))</f>
        <v>0</v>
      </c>
      <c r="BD141" s="507" cm="1">
        <f t="array" ref="BD141">_xlfn.LET(_xlpm.DepreciationMonths,INDEX(FixedAssets[Depreciation
/ Amortization Months],_xlfn.XMATCH($E$135,FixedAssets[Asset ID])),IF(AND((_xlfn.XMATCH(BD$8,$AH$8:$CC$8))-_xlfn.XMATCH($C141,$C$35:$C$82)+1&lt;=_xlpm.DepreciationMonths,$C141&lt;=BD$8),$E141/_xlpm.DepreciationMonths,0))</f>
        <v>0</v>
      </c>
      <c r="BE141" s="507" cm="1">
        <f t="array" ref="BE141">_xlfn.LET(_xlpm.DepreciationMonths,INDEX(FixedAssets[Depreciation
/ Amortization Months],_xlfn.XMATCH($E$135,FixedAssets[Asset ID])),IF(AND((_xlfn.XMATCH(BE$8,$AH$8:$CC$8))-_xlfn.XMATCH($C141,$C$35:$C$82)+1&lt;=_xlpm.DepreciationMonths,$C141&lt;=BE$8),$E141/_xlpm.DepreciationMonths,0))</f>
        <v>0</v>
      </c>
      <c r="BF141" s="507" cm="1">
        <f t="array" ref="BF141">_xlfn.LET(_xlpm.DepreciationMonths,INDEX(FixedAssets[Depreciation
/ Amortization Months],_xlfn.XMATCH($E$135,FixedAssets[Asset ID])),IF(AND((_xlfn.XMATCH(BF$8,$AH$8:$CC$8))-_xlfn.XMATCH($C141,$C$35:$C$82)+1&lt;=_xlpm.DepreciationMonths,$C141&lt;=BF$8),$E141/_xlpm.DepreciationMonths,0))</f>
        <v>0</v>
      </c>
      <c r="BG141" s="507" cm="1">
        <f t="array" ref="BG141">_xlfn.LET(_xlpm.DepreciationMonths,INDEX(FixedAssets[Depreciation
/ Amortization Months],_xlfn.XMATCH($E$135,FixedAssets[Asset ID])),IF(AND((_xlfn.XMATCH(BG$8,$AH$8:$CC$8))-_xlfn.XMATCH($C141,$C$35:$C$82)+1&lt;=_xlpm.DepreciationMonths,$C141&lt;=BG$8),$E141/_xlpm.DepreciationMonths,0))</f>
        <v>0</v>
      </c>
      <c r="BH141" s="507" cm="1">
        <f t="array" ref="BH141">_xlfn.LET(_xlpm.DepreciationMonths,INDEX(FixedAssets[Depreciation
/ Amortization Months],_xlfn.XMATCH($E$135,FixedAssets[Asset ID])),IF(AND((_xlfn.XMATCH(BH$8,$AH$8:$CC$8))-_xlfn.XMATCH($C141,$C$35:$C$82)+1&lt;=_xlpm.DepreciationMonths,$C141&lt;=BH$8),$E141/_xlpm.DepreciationMonths,0))</f>
        <v>0</v>
      </c>
      <c r="BI141" s="507" cm="1">
        <f t="array" ref="BI141">_xlfn.LET(_xlpm.DepreciationMonths,INDEX(FixedAssets[Depreciation
/ Amortization Months],_xlfn.XMATCH($E$135,FixedAssets[Asset ID])),IF(AND((_xlfn.XMATCH(BI$8,$AH$8:$CC$8))-_xlfn.XMATCH($C141,$C$35:$C$82)+1&lt;=_xlpm.DepreciationMonths,$C141&lt;=BI$8),$E141/_xlpm.DepreciationMonths,0))</f>
        <v>0</v>
      </c>
      <c r="BJ141" s="507" cm="1">
        <f t="array" ref="BJ141">_xlfn.LET(_xlpm.DepreciationMonths,INDEX(FixedAssets[Depreciation
/ Amortization Months],_xlfn.XMATCH($E$135,FixedAssets[Asset ID])),IF(AND((_xlfn.XMATCH(BJ$8,$AH$8:$CC$8))-_xlfn.XMATCH($C141,$C$35:$C$82)+1&lt;=_xlpm.DepreciationMonths,$C141&lt;=BJ$8),$E141/_xlpm.DepreciationMonths,0))</f>
        <v>0</v>
      </c>
      <c r="BK141" s="507" cm="1">
        <f t="array" ref="BK141">_xlfn.LET(_xlpm.DepreciationMonths,INDEX(FixedAssets[Depreciation
/ Amortization Months],_xlfn.XMATCH($E$135,FixedAssets[Asset ID])),IF(AND((_xlfn.XMATCH(BK$8,$AH$8:$CC$8))-_xlfn.XMATCH($C141,$C$35:$C$82)+1&lt;=_xlpm.DepreciationMonths,$C141&lt;=BK$8),$E141/_xlpm.DepreciationMonths,0))</f>
        <v>0</v>
      </c>
      <c r="BL141" s="507" cm="1">
        <f t="array" ref="BL141">_xlfn.LET(_xlpm.DepreciationMonths,INDEX(FixedAssets[Depreciation
/ Amortization Months],_xlfn.XMATCH($E$135,FixedAssets[Asset ID])),IF(AND((_xlfn.XMATCH(BL$8,$AH$8:$CC$8))-_xlfn.XMATCH($C141,$C$35:$C$82)+1&lt;=_xlpm.DepreciationMonths,$C141&lt;=BL$8),$E141/_xlpm.DepreciationMonths,0))</f>
        <v>0</v>
      </c>
      <c r="BM141" s="507" cm="1">
        <f t="array" ref="BM141">_xlfn.LET(_xlpm.DepreciationMonths,INDEX(FixedAssets[Depreciation
/ Amortization Months],_xlfn.XMATCH($E$135,FixedAssets[Asset ID])),IF(AND((_xlfn.XMATCH(BM$8,$AH$8:$CC$8))-_xlfn.XMATCH($C141,$C$35:$C$82)+1&lt;=_xlpm.DepreciationMonths,$C141&lt;=BM$8),$E141/_xlpm.DepreciationMonths,0))</f>
        <v>0</v>
      </c>
      <c r="BN141" s="507" cm="1">
        <f t="array" ref="BN141">_xlfn.LET(_xlpm.DepreciationMonths,INDEX(FixedAssets[Depreciation
/ Amortization Months],_xlfn.XMATCH($E$135,FixedAssets[Asset ID])),IF(AND((_xlfn.XMATCH(BN$8,$AH$8:$CC$8))-_xlfn.XMATCH($C141,$C$35:$C$82)+1&lt;=_xlpm.DepreciationMonths,$C141&lt;=BN$8),$E141/_xlpm.DepreciationMonths,0))</f>
        <v>0</v>
      </c>
      <c r="BO141" s="507" cm="1">
        <f t="array" ref="BO141">_xlfn.LET(_xlpm.DepreciationMonths,INDEX(FixedAssets[Depreciation
/ Amortization Months],_xlfn.XMATCH($E$135,FixedAssets[Asset ID])),IF(AND((_xlfn.XMATCH(BO$8,$AH$8:$CC$8))-_xlfn.XMATCH($C141,$C$35:$C$82)+1&lt;=_xlpm.DepreciationMonths,$C141&lt;=BO$8),$E141/_xlpm.DepreciationMonths,0))</f>
        <v>0</v>
      </c>
      <c r="BP141" s="507" cm="1">
        <f t="array" ref="BP141">_xlfn.LET(_xlpm.DepreciationMonths,INDEX(FixedAssets[Depreciation
/ Amortization Months],_xlfn.XMATCH($E$135,FixedAssets[Asset ID])),IF(AND((_xlfn.XMATCH(BP$8,$AH$8:$CC$8))-_xlfn.XMATCH($C141,$C$35:$C$82)+1&lt;=_xlpm.DepreciationMonths,$C141&lt;=BP$8),$E141/_xlpm.DepreciationMonths,0))</f>
        <v>0</v>
      </c>
      <c r="BQ141" s="507" cm="1">
        <f t="array" ref="BQ141">_xlfn.LET(_xlpm.DepreciationMonths,INDEX(FixedAssets[Depreciation
/ Amortization Months],_xlfn.XMATCH($E$135,FixedAssets[Asset ID])),IF(AND((_xlfn.XMATCH(BQ$8,$AH$8:$CC$8))-_xlfn.XMATCH($C141,$C$35:$C$82)+1&lt;=_xlpm.DepreciationMonths,$C141&lt;=BQ$8),$E141/_xlpm.DepreciationMonths,0))</f>
        <v>0</v>
      </c>
      <c r="BR141" s="507" cm="1">
        <f t="array" ref="BR141">_xlfn.LET(_xlpm.DepreciationMonths,INDEX(FixedAssets[Depreciation
/ Amortization Months],_xlfn.XMATCH($E$135,FixedAssets[Asset ID])),IF(AND((_xlfn.XMATCH(BR$8,$AH$8:$CC$8))-_xlfn.XMATCH($C141,$C$35:$C$82)+1&lt;=_xlpm.DepreciationMonths,$C141&lt;=BR$8),$E141/_xlpm.DepreciationMonths,0))</f>
        <v>0</v>
      </c>
      <c r="BS141" s="507" cm="1">
        <f t="array" ref="BS141">_xlfn.LET(_xlpm.DepreciationMonths,INDEX(FixedAssets[Depreciation
/ Amortization Months],_xlfn.XMATCH($E$135,FixedAssets[Asset ID])),IF(AND((_xlfn.XMATCH(BS$8,$AH$8:$CC$8))-_xlfn.XMATCH($C141,$C$35:$C$82)+1&lt;=_xlpm.DepreciationMonths,$C141&lt;=BS$8),$E141/_xlpm.DepreciationMonths,0))</f>
        <v>0</v>
      </c>
      <c r="BT141" s="507" cm="1">
        <f t="array" ref="BT141">_xlfn.LET(_xlpm.DepreciationMonths,INDEX(FixedAssets[Depreciation
/ Amortization Months],_xlfn.XMATCH($E$135,FixedAssets[Asset ID])),IF(AND((_xlfn.XMATCH(BT$8,$AH$8:$CC$8))-_xlfn.XMATCH($C141,$C$35:$C$82)+1&lt;=_xlpm.DepreciationMonths,$C141&lt;=BT$8),$E141/_xlpm.DepreciationMonths,0))</f>
        <v>0</v>
      </c>
      <c r="BU141" s="507" cm="1">
        <f t="array" ref="BU141">_xlfn.LET(_xlpm.DepreciationMonths,INDEX(FixedAssets[Depreciation
/ Amortization Months],_xlfn.XMATCH($E$135,FixedAssets[Asset ID])),IF(AND((_xlfn.XMATCH(BU$8,$AH$8:$CC$8))-_xlfn.XMATCH($C141,$C$35:$C$82)+1&lt;=_xlpm.DepreciationMonths,$C141&lt;=BU$8),$E141/_xlpm.DepreciationMonths,0))</f>
        <v>0</v>
      </c>
      <c r="BV141" s="507" cm="1">
        <f t="array" ref="BV141">_xlfn.LET(_xlpm.DepreciationMonths,INDEX(FixedAssets[Depreciation
/ Amortization Months],_xlfn.XMATCH($E$135,FixedAssets[Asset ID])),IF(AND((_xlfn.XMATCH(BV$8,$AH$8:$CC$8))-_xlfn.XMATCH($C141,$C$35:$C$82)+1&lt;=_xlpm.DepreciationMonths,$C141&lt;=BV$8),$E141/_xlpm.DepreciationMonths,0))</f>
        <v>0</v>
      </c>
      <c r="BW141" s="507" cm="1">
        <f t="array" ref="BW141">_xlfn.LET(_xlpm.DepreciationMonths,INDEX(FixedAssets[Depreciation
/ Amortization Months],_xlfn.XMATCH($E$135,FixedAssets[Asset ID])),IF(AND((_xlfn.XMATCH(BW$8,$AH$8:$CC$8))-_xlfn.XMATCH($C141,$C$35:$C$82)+1&lt;=_xlpm.DepreciationMonths,$C141&lt;=BW$8),$E141/_xlpm.DepreciationMonths,0))</f>
        <v>0</v>
      </c>
      <c r="BX141" s="507" cm="1">
        <f t="array" ref="BX141">_xlfn.LET(_xlpm.DepreciationMonths,INDEX(FixedAssets[Depreciation
/ Amortization Months],_xlfn.XMATCH($E$135,FixedAssets[Asset ID])),IF(AND((_xlfn.XMATCH(BX$8,$AH$8:$CC$8))-_xlfn.XMATCH($C141,$C$35:$C$82)+1&lt;=_xlpm.DepreciationMonths,$C141&lt;=BX$8),$E141/_xlpm.DepreciationMonths,0))</f>
        <v>0</v>
      </c>
      <c r="BY141" s="507" cm="1">
        <f t="array" ref="BY141">_xlfn.LET(_xlpm.DepreciationMonths,INDEX(FixedAssets[Depreciation
/ Amortization Months],_xlfn.XMATCH($E$135,FixedAssets[Asset ID])),IF(AND((_xlfn.XMATCH(BY$8,$AH$8:$CC$8))-_xlfn.XMATCH($C141,$C$35:$C$82)+1&lt;=_xlpm.DepreciationMonths,$C141&lt;=BY$8),$E141/_xlpm.DepreciationMonths,0))</f>
        <v>0</v>
      </c>
      <c r="BZ141" s="507" cm="1">
        <f t="array" ref="BZ141">_xlfn.LET(_xlpm.DepreciationMonths,INDEX(FixedAssets[Depreciation
/ Amortization Months],_xlfn.XMATCH($E$135,FixedAssets[Asset ID])),IF(AND((_xlfn.XMATCH(BZ$8,$AH$8:$CC$8))-_xlfn.XMATCH($C141,$C$35:$C$82)+1&lt;=_xlpm.DepreciationMonths,$C141&lt;=BZ$8),$E141/_xlpm.DepreciationMonths,0))</f>
        <v>0</v>
      </c>
      <c r="CA141" s="507" cm="1">
        <f t="array" ref="CA141">_xlfn.LET(_xlpm.DepreciationMonths,INDEX(FixedAssets[Depreciation
/ Amortization Months],_xlfn.XMATCH($E$135,FixedAssets[Asset ID])),IF(AND((_xlfn.XMATCH(CA$8,$AH$8:$CC$8))-_xlfn.XMATCH($C141,$C$35:$C$82)+1&lt;=_xlpm.DepreciationMonths,$C141&lt;=CA$8),$E141/_xlpm.DepreciationMonths,0))</f>
        <v>0</v>
      </c>
      <c r="CB141" s="507" cm="1">
        <f t="array" ref="CB141">_xlfn.LET(_xlpm.DepreciationMonths,INDEX(FixedAssets[Depreciation
/ Amortization Months],_xlfn.XMATCH($E$135,FixedAssets[Asset ID])),IF(AND((_xlfn.XMATCH(CB$8,$AH$8:$CC$8))-_xlfn.XMATCH($C141,$C$35:$C$82)+1&lt;=_xlpm.DepreciationMonths,$C141&lt;=CB$8),$E141/_xlpm.DepreciationMonths,0))</f>
        <v>0</v>
      </c>
      <c r="CC141" s="507" cm="1">
        <f t="array" ref="CC141">_xlfn.LET(_xlpm.DepreciationMonths,INDEX(FixedAssets[Depreciation
/ Amortization Months],_xlfn.XMATCH($E$135,FixedAssets[Asset ID])),IF(AND((_xlfn.XMATCH(CC$8,$AH$8:$CC$8))-_xlfn.XMATCH($C141,$C$35:$C$82)+1&lt;=_xlpm.DepreciationMonths,$C141&lt;=CC$8),$E141/_xlpm.DepreciationMonths,0))</f>
        <v>0</v>
      </c>
    </row>
    <row r="142" spans="3:81" hidden="1" outlineLevel="2">
      <c r="C142" s="664">
        <f t="shared" si="243"/>
        <v>45107</v>
      </c>
      <c r="D142" s="508"/>
      <c r="E142" s="508" cm="1">
        <f t="array" ref="E142">SUMPRODUCT(($AH$26:$CC$31)*($AH$5:$CC$5=$C142)*($E$26:$E$31=E$135))-SUMPRODUCT(($AH$26:$CC$31)*($AH$5:$CC$5=EOMONTH($C142,-1))*($E$26:$E$31=E$135))</f>
        <v>8000</v>
      </c>
      <c r="F142" s="508"/>
      <c r="G142" s="508"/>
      <c r="H142" s="508"/>
      <c r="I142" s="508"/>
      <c r="J142" s="504">
        <f t="shared" si="240"/>
        <v>1555.5555555555554</v>
      </c>
      <c r="K142" s="504">
        <f t="shared" si="241"/>
        <v>2666.6666666666665</v>
      </c>
      <c r="L142" s="504">
        <f t="shared" si="241"/>
        <v>2666.6666666666665</v>
      </c>
      <c r="M142" s="504">
        <f t="shared" si="241"/>
        <v>1111.1111111111111</v>
      </c>
      <c r="N142" s="504"/>
      <c r="O142" s="504"/>
      <c r="P142" s="504">
        <f t="shared" si="242"/>
        <v>0</v>
      </c>
      <c r="Q142" s="504">
        <f t="shared" si="242"/>
        <v>222.22222222222223</v>
      </c>
      <c r="R142" s="504">
        <f t="shared" si="242"/>
        <v>666.66666666666674</v>
      </c>
      <c r="S142" s="504">
        <f t="shared" si="242"/>
        <v>666.66666666666674</v>
      </c>
      <c r="T142" s="504">
        <f t="shared" si="242"/>
        <v>666.66666666666674</v>
      </c>
      <c r="U142" s="504">
        <f t="shared" si="242"/>
        <v>666.66666666666674</v>
      </c>
      <c r="V142" s="504">
        <f t="shared" si="242"/>
        <v>666.66666666666674</v>
      </c>
      <c r="W142" s="504">
        <f t="shared" si="242"/>
        <v>666.66666666666674</v>
      </c>
      <c r="X142" s="504">
        <f t="shared" si="242"/>
        <v>666.66666666666674</v>
      </c>
      <c r="Y142" s="504">
        <f t="shared" si="242"/>
        <v>666.66666666666674</v>
      </c>
      <c r="Z142" s="504">
        <f t="shared" si="242"/>
        <v>666.66666666666674</v>
      </c>
      <c r="AA142" s="504">
        <f t="shared" si="242"/>
        <v>666.66666666666674</v>
      </c>
      <c r="AB142" s="504">
        <f t="shared" si="242"/>
        <v>666.66666666666674</v>
      </c>
      <c r="AC142" s="504">
        <f t="shared" si="242"/>
        <v>444.44444444444446</v>
      </c>
      <c r="AD142" s="504">
        <f t="shared" si="242"/>
        <v>0</v>
      </c>
      <c r="AE142" s="504">
        <f t="shared" si="242"/>
        <v>0</v>
      </c>
      <c r="AF142" s="508"/>
      <c r="AG142" s="508"/>
      <c r="AH142" s="507" cm="1">
        <f t="array" ref="AH142">_xlfn.LET(_xlpm.DepreciationMonths,INDEX(FixedAssets[Depreciation
/ Amortization Months],_xlfn.XMATCH($E$135,FixedAssets[Asset ID])),IF(AND((_xlfn.XMATCH(AH$8,$AH$8:$CC$8))-_xlfn.XMATCH($C142,$C$35:$C$82)+1&lt;=_xlpm.DepreciationMonths,$C142&lt;=AH$8),$E142/_xlpm.DepreciationMonths,0))</f>
        <v>0</v>
      </c>
      <c r="AI142" s="507" cm="1">
        <f t="array" ref="AI142">_xlfn.LET(_xlpm.DepreciationMonths,INDEX(FixedAssets[Depreciation
/ Amortization Months],_xlfn.XMATCH($E$135,FixedAssets[Asset ID])),IF(AND((_xlfn.XMATCH(AI$8,$AH$8:$CC$8))-_xlfn.XMATCH($C142,$C$35:$C$82)+1&lt;=_xlpm.DepreciationMonths,$C142&lt;=AI$8),$E142/_xlpm.DepreciationMonths,0))</f>
        <v>0</v>
      </c>
      <c r="AJ142" s="507" cm="1">
        <f t="array" ref="AJ142">_xlfn.LET(_xlpm.DepreciationMonths,INDEX(FixedAssets[Depreciation
/ Amortization Months],_xlfn.XMATCH($E$135,FixedAssets[Asset ID])),IF(AND((_xlfn.XMATCH(AJ$8,$AH$8:$CC$8))-_xlfn.XMATCH($C142,$C$35:$C$82)+1&lt;=_xlpm.DepreciationMonths,$C142&lt;=AJ$8),$E142/_xlpm.DepreciationMonths,0))</f>
        <v>0</v>
      </c>
      <c r="AK142" s="507" cm="1">
        <f t="array" ref="AK142">_xlfn.LET(_xlpm.DepreciationMonths,INDEX(FixedAssets[Depreciation
/ Amortization Months],_xlfn.XMATCH($E$135,FixedAssets[Asset ID])),IF(AND((_xlfn.XMATCH(AK$8,$AH$8:$CC$8))-_xlfn.XMATCH($C142,$C$35:$C$82)+1&lt;=_xlpm.DepreciationMonths,$C142&lt;=AK$8),$E142/_xlpm.DepreciationMonths,0))</f>
        <v>0</v>
      </c>
      <c r="AL142" s="507" cm="1">
        <f t="array" ref="AL142">_xlfn.LET(_xlpm.DepreciationMonths,INDEX(FixedAssets[Depreciation
/ Amortization Months],_xlfn.XMATCH($E$135,FixedAssets[Asset ID])),IF(AND((_xlfn.XMATCH(AL$8,$AH$8:$CC$8))-_xlfn.XMATCH($C142,$C$35:$C$82)+1&lt;=_xlpm.DepreciationMonths,$C142&lt;=AL$8),$E142/_xlpm.DepreciationMonths,0))</f>
        <v>0</v>
      </c>
      <c r="AM142" s="507" cm="1">
        <f t="array" ref="AM142">_xlfn.LET(_xlpm.DepreciationMonths,INDEX(FixedAssets[Depreciation
/ Amortization Months],_xlfn.XMATCH($E$135,FixedAssets[Asset ID])),IF(AND((_xlfn.XMATCH(AM$8,$AH$8:$CC$8))-_xlfn.XMATCH($C142,$C$35:$C$82)+1&lt;=_xlpm.DepreciationMonths,$C142&lt;=AM$8),$E142/_xlpm.DepreciationMonths,0))</f>
        <v>222.22222222222223</v>
      </c>
      <c r="AN142" s="507" cm="1">
        <f t="array" ref="AN142">_xlfn.LET(_xlpm.DepreciationMonths,INDEX(FixedAssets[Depreciation
/ Amortization Months],_xlfn.XMATCH($E$135,FixedAssets[Asset ID])),IF(AND((_xlfn.XMATCH(AN$8,$AH$8:$CC$8))-_xlfn.XMATCH($C142,$C$35:$C$82)+1&lt;=_xlpm.DepreciationMonths,$C142&lt;=AN$8),$E142/_xlpm.DepreciationMonths,0))</f>
        <v>222.22222222222223</v>
      </c>
      <c r="AO142" s="507" cm="1">
        <f t="array" ref="AO142">_xlfn.LET(_xlpm.DepreciationMonths,INDEX(FixedAssets[Depreciation
/ Amortization Months],_xlfn.XMATCH($E$135,FixedAssets[Asset ID])),IF(AND((_xlfn.XMATCH(AO$8,$AH$8:$CC$8))-_xlfn.XMATCH($C142,$C$35:$C$82)+1&lt;=_xlpm.DepreciationMonths,$C142&lt;=AO$8),$E142/_xlpm.DepreciationMonths,0))</f>
        <v>222.22222222222223</v>
      </c>
      <c r="AP142" s="507" cm="1">
        <f t="array" ref="AP142">_xlfn.LET(_xlpm.DepreciationMonths,INDEX(FixedAssets[Depreciation
/ Amortization Months],_xlfn.XMATCH($E$135,FixedAssets[Asset ID])),IF(AND((_xlfn.XMATCH(AP$8,$AH$8:$CC$8))-_xlfn.XMATCH($C142,$C$35:$C$82)+1&lt;=_xlpm.DepreciationMonths,$C142&lt;=AP$8),$E142/_xlpm.DepreciationMonths,0))</f>
        <v>222.22222222222223</v>
      </c>
      <c r="AQ142" s="507" cm="1">
        <f t="array" ref="AQ142">_xlfn.LET(_xlpm.DepreciationMonths,INDEX(FixedAssets[Depreciation
/ Amortization Months],_xlfn.XMATCH($E$135,FixedAssets[Asset ID])),IF(AND((_xlfn.XMATCH(AQ$8,$AH$8:$CC$8))-_xlfn.XMATCH($C142,$C$35:$C$82)+1&lt;=_xlpm.DepreciationMonths,$C142&lt;=AQ$8),$E142/_xlpm.DepreciationMonths,0))</f>
        <v>222.22222222222223</v>
      </c>
      <c r="AR142" s="507" cm="1">
        <f t="array" ref="AR142">_xlfn.LET(_xlpm.DepreciationMonths,INDEX(FixedAssets[Depreciation
/ Amortization Months],_xlfn.XMATCH($E$135,FixedAssets[Asset ID])),IF(AND((_xlfn.XMATCH(AR$8,$AH$8:$CC$8))-_xlfn.XMATCH($C142,$C$35:$C$82)+1&lt;=_xlpm.DepreciationMonths,$C142&lt;=AR$8),$E142/_xlpm.DepreciationMonths,0))</f>
        <v>222.22222222222223</v>
      </c>
      <c r="AS142" s="507" cm="1">
        <f t="array" ref="AS142">_xlfn.LET(_xlpm.DepreciationMonths,INDEX(FixedAssets[Depreciation
/ Amortization Months],_xlfn.XMATCH($E$135,FixedAssets[Asset ID])),IF(AND((_xlfn.XMATCH(AS$8,$AH$8:$CC$8))-_xlfn.XMATCH($C142,$C$35:$C$82)+1&lt;=_xlpm.DepreciationMonths,$C142&lt;=AS$8),$E142/_xlpm.DepreciationMonths,0))</f>
        <v>222.22222222222223</v>
      </c>
      <c r="AT142" s="507" cm="1">
        <f t="array" ref="AT142">_xlfn.LET(_xlpm.DepreciationMonths,INDEX(FixedAssets[Depreciation
/ Amortization Months],_xlfn.XMATCH($E$135,FixedAssets[Asset ID])),IF(AND((_xlfn.XMATCH(AT$8,$AH$8:$CC$8))-_xlfn.XMATCH($C142,$C$35:$C$82)+1&lt;=_xlpm.DepreciationMonths,$C142&lt;=AT$8),$E142/_xlpm.DepreciationMonths,0))</f>
        <v>222.22222222222223</v>
      </c>
      <c r="AU142" s="507" cm="1">
        <f t="array" ref="AU142">_xlfn.LET(_xlpm.DepreciationMonths,INDEX(FixedAssets[Depreciation
/ Amortization Months],_xlfn.XMATCH($E$135,FixedAssets[Asset ID])),IF(AND((_xlfn.XMATCH(AU$8,$AH$8:$CC$8))-_xlfn.XMATCH($C142,$C$35:$C$82)+1&lt;=_xlpm.DepreciationMonths,$C142&lt;=AU$8),$E142/_xlpm.DepreciationMonths,0))</f>
        <v>222.22222222222223</v>
      </c>
      <c r="AV142" s="507" cm="1">
        <f t="array" ref="AV142">_xlfn.LET(_xlpm.DepreciationMonths,INDEX(FixedAssets[Depreciation
/ Amortization Months],_xlfn.XMATCH($E$135,FixedAssets[Asset ID])),IF(AND((_xlfn.XMATCH(AV$8,$AH$8:$CC$8))-_xlfn.XMATCH($C142,$C$35:$C$82)+1&lt;=_xlpm.DepreciationMonths,$C142&lt;=AV$8),$E142/_xlpm.DepreciationMonths,0))</f>
        <v>222.22222222222223</v>
      </c>
      <c r="AW142" s="507" cm="1">
        <f t="array" ref="AW142">_xlfn.LET(_xlpm.DepreciationMonths,INDEX(FixedAssets[Depreciation
/ Amortization Months],_xlfn.XMATCH($E$135,FixedAssets[Asset ID])),IF(AND((_xlfn.XMATCH(AW$8,$AH$8:$CC$8))-_xlfn.XMATCH($C142,$C$35:$C$82)+1&lt;=_xlpm.DepreciationMonths,$C142&lt;=AW$8),$E142/_xlpm.DepreciationMonths,0))</f>
        <v>222.22222222222223</v>
      </c>
      <c r="AX142" s="507" cm="1">
        <f t="array" ref="AX142">_xlfn.LET(_xlpm.DepreciationMonths,INDEX(FixedAssets[Depreciation
/ Amortization Months],_xlfn.XMATCH($E$135,FixedAssets[Asset ID])),IF(AND((_xlfn.XMATCH(AX$8,$AH$8:$CC$8))-_xlfn.XMATCH($C142,$C$35:$C$82)+1&lt;=_xlpm.DepreciationMonths,$C142&lt;=AX$8),$E142/_xlpm.DepreciationMonths,0))</f>
        <v>222.22222222222223</v>
      </c>
      <c r="AY142" s="507" cm="1">
        <f t="array" ref="AY142">_xlfn.LET(_xlpm.DepreciationMonths,INDEX(FixedAssets[Depreciation
/ Amortization Months],_xlfn.XMATCH($E$135,FixedAssets[Asset ID])),IF(AND((_xlfn.XMATCH(AY$8,$AH$8:$CC$8))-_xlfn.XMATCH($C142,$C$35:$C$82)+1&lt;=_xlpm.DepreciationMonths,$C142&lt;=AY$8),$E142/_xlpm.DepreciationMonths,0))</f>
        <v>222.22222222222223</v>
      </c>
      <c r="AZ142" s="507" cm="1">
        <f t="array" ref="AZ142">_xlfn.LET(_xlpm.DepreciationMonths,INDEX(FixedAssets[Depreciation
/ Amortization Months],_xlfn.XMATCH($E$135,FixedAssets[Asset ID])),IF(AND((_xlfn.XMATCH(AZ$8,$AH$8:$CC$8))-_xlfn.XMATCH($C142,$C$35:$C$82)+1&lt;=_xlpm.DepreciationMonths,$C142&lt;=AZ$8),$E142/_xlpm.DepreciationMonths,0))</f>
        <v>222.22222222222223</v>
      </c>
      <c r="BA142" s="507" cm="1">
        <f t="array" ref="BA142">_xlfn.LET(_xlpm.DepreciationMonths,INDEX(FixedAssets[Depreciation
/ Amortization Months],_xlfn.XMATCH($E$135,FixedAssets[Asset ID])),IF(AND((_xlfn.XMATCH(BA$8,$AH$8:$CC$8))-_xlfn.XMATCH($C142,$C$35:$C$82)+1&lt;=_xlpm.DepreciationMonths,$C142&lt;=BA$8),$E142/_xlpm.DepreciationMonths,0))</f>
        <v>222.22222222222223</v>
      </c>
      <c r="BB142" s="507" cm="1">
        <f t="array" ref="BB142">_xlfn.LET(_xlpm.DepreciationMonths,INDEX(FixedAssets[Depreciation
/ Amortization Months],_xlfn.XMATCH($E$135,FixedAssets[Asset ID])),IF(AND((_xlfn.XMATCH(BB$8,$AH$8:$CC$8))-_xlfn.XMATCH($C142,$C$35:$C$82)+1&lt;=_xlpm.DepreciationMonths,$C142&lt;=BB$8),$E142/_xlpm.DepreciationMonths,0))</f>
        <v>222.22222222222223</v>
      </c>
      <c r="BC142" s="507" cm="1">
        <f t="array" ref="BC142">_xlfn.LET(_xlpm.DepreciationMonths,INDEX(FixedAssets[Depreciation
/ Amortization Months],_xlfn.XMATCH($E$135,FixedAssets[Asset ID])),IF(AND((_xlfn.XMATCH(BC$8,$AH$8:$CC$8))-_xlfn.XMATCH($C142,$C$35:$C$82)+1&lt;=_xlpm.DepreciationMonths,$C142&lt;=BC$8),$E142/_xlpm.DepreciationMonths,0))</f>
        <v>222.22222222222223</v>
      </c>
      <c r="BD142" s="507" cm="1">
        <f t="array" ref="BD142">_xlfn.LET(_xlpm.DepreciationMonths,INDEX(FixedAssets[Depreciation
/ Amortization Months],_xlfn.XMATCH($E$135,FixedAssets[Asset ID])),IF(AND((_xlfn.XMATCH(BD$8,$AH$8:$CC$8))-_xlfn.XMATCH($C142,$C$35:$C$82)+1&lt;=_xlpm.DepreciationMonths,$C142&lt;=BD$8),$E142/_xlpm.DepreciationMonths,0))</f>
        <v>222.22222222222223</v>
      </c>
      <c r="BE142" s="507" cm="1">
        <f t="array" ref="BE142">_xlfn.LET(_xlpm.DepreciationMonths,INDEX(FixedAssets[Depreciation
/ Amortization Months],_xlfn.XMATCH($E$135,FixedAssets[Asset ID])),IF(AND((_xlfn.XMATCH(BE$8,$AH$8:$CC$8))-_xlfn.XMATCH($C142,$C$35:$C$82)+1&lt;=_xlpm.DepreciationMonths,$C142&lt;=BE$8),$E142/_xlpm.DepreciationMonths,0))</f>
        <v>222.22222222222223</v>
      </c>
      <c r="BF142" s="507" cm="1">
        <f t="array" ref="BF142">_xlfn.LET(_xlpm.DepreciationMonths,INDEX(FixedAssets[Depreciation
/ Amortization Months],_xlfn.XMATCH($E$135,FixedAssets[Asset ID])),IF(AND((_xlfn.XMATCH(BF$8,$AH$8:$CC$8))-_xlfn.XMATCH($C142,$C$35:$C$82)+1&lt;=_xlpm.DepreciationMonths,$C142&lt;=BF$8),$E142/_xlpm.DepreciationMonths,0))</f>
        <v>222.22222222222223</v>
      </c>
      <c r="BG142" s="507" cm="1">
        <f t="array" ref="BG142">_xlfn.LET(_xlpm.DepreciationMonths,INDEX(FixedAssets[Depreciation
/ Amortization Months],_xlfn.XMATCH($E$135,FixedAssets[Asset ID])),IF(AND((_xlfn.XMATCH(BG$8,$AH$8:$CC$8))-_xlfn.XMATCH($C142,$C$35:$C$82)+1&lt;=_xlpm.DepreciationMonths,$C142&lt;=BG$8),$E142/_xlpm.DepreciationMonths,0))</f>
        <v>222.22222222222223</v>
      </c>
      <c r="BH142" s="507" cm="1">
        <f t="array" ref="BH142">_xlfn.LET(_xlpm.DepreciationMonths,INDEX(FixedAssets[Depreciation
/ Amortization Months],_xlfn.XMATCH($E$135,FixedAssets[Asset ID])),IF(AND((_xlfn.XMATCH(BH$8,$AH$8:$CC$8))-_xlfn.XMATCH($C142,$C$35:$C$82)+1&lt;=_xlpm.DepreciationMonths,$C142&lt;=BH$8),$E142/_xlpm.DepreciationMonths,0))</f>
        <v>222.22222222222223</v>
      </c>
      <c r="BI142" s="507" cm="1">
        <f t="array" ref="BI142">_xlfn.LET(_xlpm.DepreciationMonths,INDEX(FixedAssets[Depreciation
/ Amortization Months],_xlfn.XMATCH($E$135,FixedAssets[Asset ID])),IF(AND((_xlfn.XMATCH(BI$8,$AH$8:$CC$8))-_xlfn.XMATCH($C142,$C$35:$C$82)+1&lt;=_xlpm.DepreciationMonths,$C142&lt;=BI$8),$E142/_xlpm.DepreciationMonths,0))</f>
        <v>222.22222222222223</v>
      </c>
      <c r="BJ142" s="507" cm="1">
        <f t="array" ref="BJ142">_xlfn.LET(_xlpm.DepreciationMonths,INDEX(FixedAssets[Depreciation
/ Amortization Months],_xlfn.XMATCH($E$135,FixedAssets[Asset ID])),IF(AND((_xlfn.XMATCH(BJ$8,$AH$8:$CC$8))-_xlfn.XMATCH($C142,$C$35:$C$82)+1&lt;=_xlpm.DepreciationMonths,$C142&lt;=BJ$8),$E142/_xlpm.DepreciationMonths,0))</f>
        <v>222.22222222222223</v>
      </c>
      <c r="BK142" s="507" cm="1">
        <f t="array" ref="BK142">_xlfn.LET(_xlpm.DepreciationMonths,INDEX(FixedAssets[Depreciation
/ Amortization Months],_xlfn.XMATCH($E$135,FixedAssets[Asset ID])),IF(AND((_xlfn.XMATCH(BK$8,$AH$8:$CC$8))-_xlfn.XMATCH($C142,$C$35:$C$82)+1&lt;=_xlpm.DepreciationMonths,$C142&lt;=BK$8),$E142/_xlpm.DepreciationMonths,0))</f>
        <v>222.22222222222223</v>
      </c>
      <c r="BL142" s="507" cm="1">
        <f t="array" ref="BL142">_xlfn.LET(_xlpm.DepreciationMonths,INDEX(FixedAssets[Depreciation
/ Amortization Months],_xlfn.XMATCH($E$135,FixedAssets[Asset ID])),IF(AND((_xlfn.XMATCH(BL$8,$AH$8:$CC$8))-_xlfn.XMATCH($C142,$C$35:$C$82)+1&lt;=_xlpm.DepreciationMonths,$C142&lt;=BL$8),$E142/_xlpm.DepreciationMonths,0))</f>
        <v>222.22222222222223</v>
      </c>
      <c r="BM142" s="507" cm="1">
        <f t="array" ref="BM142">_xlfn.LET(_xlpm.DepreciationMonths,INDEX(FixedAssets[Depreciation
/ Amortization Months],_xlfn.XMATCH($E$135,FixedAssets[Asset ID])),IF(AND((_xlfn.XMATCH(BM$8,$AH$8:$CC$8))-_xlfn.XMATCH($C142,$C$35:$C$82)+1&lt;=_xlpm.DepreciationMonths,$C142&lt;=BM$8),$E142/_xlpm.DepreciationMonths,0))</f>
        <v>222.22222222222223</v>
      </c>
      <c r="BN142" s="507" cm="1">
        <f t="array" ref="BN142">_xlfn.LET(_xlpm.DepreciationMonths,INDEX(FixedAssets[Depreciation
/ Amortization Months],_xlfn.XMATCH($E$135,FixedAssets[Asset ID])),IF(AND((_xlfn.XMATCH(BN$8,$AH$8:$CC$8))-_xlfn.XMATCH($C142,$C$35:$C$82)+1&lt;=_xlpm.DepreciationMonths,$C142&lt;=BN$8),$E142/_xlpm.DepreciationMonths,0))</f>
        <v>222.22222222222223</v>
      </c>
      <c r="BO142" s="507" cm="1">
        <f t="array" ref="BO142">_xlfn.LET(_xlpm.DepreciationMonths,INDEX(FixedAssets[Depreciation
/ Amortization Months],_xlfn.XMATCH($E$135,FixedAssets[Asset ID])),IF(AND((_xlfn.XMATCH(BO$8,$AH$8:$CC$8))-_xlfn.XMATCH($C142,$C$35:$C$82)+1&lt;=_xlpm.DepreciationMonths,$C142&lt;=BO$8),$E142/_xlpm.DepreciationMonths,0))</f>
        <v>222.22222222222223</v>
      </c>
      <c r="BP142" s="507" cm="1">
        <f t="array" ref="BP142">_xlfn.LET(_xlpm.DepreciationMonths,INDEX(FixedAssets[Depreciation
/ Amortization Months],_xlfn.XMATCH($E$135,FixedAssets[Asset ID])),IF(AND((_xlfn.XMATCH(BP$8,$AH$8:$CC$8))-_xlfn.XMATCH($C142,$C$35:$C$82)+1&lt;=_xlpm.DepreciationMonths,$C142&lt;=BP$8),$E142/_xlpm.DepreciationMonths,0))</f>
        <v>222.22222222222223</v>
      </c>
      <c r="BQ142" s="507" cm="1">
        <f t="array" ref="BQ142">_xlfn.LET(_xlpm.DepreciationMonths,INDEX(FixedAssets[Depreciation
/ Amortization Months],_xlfn.XMATCH($E$135,FixedAssets[Asset ID])),IF(AND((_xlfn.XMATCH(BQ$8,$AH$8:$CC$8))-_xlfn.XMATCH($C142,$C$35:$C$82)+1&lt;=_xlpm.DepreciationMonths,$C142&lt;=BQ$8),$E142/_xlpm.DepreciationMonths,0))</f>
        <v>222.22222222222223</v>
      </c>
      <c r="BR142" s="507" cm="1">
        <f t="array" ref="BR142">_xlfn.LET(_xlpm.DepreciationMonths,INDEX(FixedAssets[Depreciation
/ Amortization Months],_xlfn.XMATCH($E$135,FixedAssets[Asset ID])),IF(AND((_xlfn.XMATCH(BR$8,$AH$8:$CC$8))-_xlfn.XMATCH($C142,$C$35:$C$82)+1&lt;=_xlpm.DepreciationMonths,$C142&lt;=BR$8),$E142/_xlpm.DepreciationMonths,0))</f>
        <v>222.22222222222223</v>
      </c>
      <c r="BS142" s="507" cm="1">
        <f t="array" ref="BS142">_xlfn.LET(_xlpm.DepreciationMonths,INDEX(FixedAssets[Depreciation
/ Amortization Months],_xlfn.XMATCH($E$135,FixedAssets[Asset ID])),IF(AND((_xlfn.XMATCH(BS$8,$AH$8:$CC$8))-_xlfn.XMATCH($C142,$C$35:$C$82)+1&lt;=_xlpm.DepreciationMonths,$C142&lt;=BS$8),$E142/_xlpm.DepreciationMonths,0))</f>
        <v>222.22222222222223</v>
      </c>
      <c r="BT142" s="507" cm="1">
        <f t="array" ref="BT142">_xlfn.LET(_xlpm.DepreciationMonths,INDEX(FixedAssets[Depreciation
/ Amortization Months],_xlfn.XMATCH($E$135,FixedAssets[Asset ID])),IF(AND((_xlfn.XMATCH(BT$8,$AH$8:$CC$8))-_xlfn.XMATCH($C142,$C$35:$C$82)+1&lt;=_xlpm.DepreciationMonths,$C142&lt;=BT$8),$E142/_xlpm.DepreciationMonths,0))</f>
        <v>222.22222222222223</v>
      </c>
      <c r="BU142" s="507" cm="1">
        <f t="array" ref="BU142">_xlfn.LET(_xlpm.DepreciationMonths,INDEX(FixedAssets[Depreciation
/ Amortization Months],_xlfn.XMATCH($E$135,FixedAssets[Asset ID])),IF(AND((_xlfn.XMATCH(BU$8,$AH$8:$CC$8))-_xlfn.XMATCH($C142,$C$35:$C$82)+1&lt;=_xlpm.DepreciationMonths,$C142&lt;=BU$8),$E142/_xlpm.DepreciationMonths,0))</f>
        <v>222.22222222222223</v>
      </c>
      <c r="BV142" s="507" cm="1">
        <f t="array" ref="BV142">_xlfn.LET(_xlpm.DepreciationMonths,INDEX(FixedAssets[Depreciation
/ Amortization Months],_xlfn.XMATCH($E$135,FixedAssets[Asset ID])),IF(AND((_xlfn.XMATCH(BV$8,$AH$8:$CC$8))-_xlfn.XMATCH($C142,$C$35:$C$82)+1&lt;=_xlpm.DepreciationMonths,$C142&lt;=BV$8),$E142/_xlpm.DepreciationMonths,0))</f>
        <v>222.22222222222223</v>
      </c>
      <c r="BW142" s="507" cm="1">
        <f t="array" ref="BW142">_xlfn.LET(_xlpm.DepreciationMonths,INDEX(FixedAssets[Depreciation
/ Amortization Months],_xlfn.XMATCH($E$135,FixedAssets[Asset ID])),IF(AND((_xlfn.XMATCH(BW$8,$AH$8:$CC$8))-_xlfn.XMATCH($C142,$C$35:$C$82)+1&lt;=_xlpm.DepreciationMonths,$C142&lt;=BW$8),$E142/_xlpm.DepreciationMonths,0))</f>
        <v>0</v>
      </c>
      <c r="BX142" s="507" cm="1">
        <f t="array" ref="BX142">_xlfn.LET(_xlpm.DepreciationMonths,INDEX(FixedAssets[Depreciation
/ Amortization Months],_xlfn.XMATCH($E$135,FixedAssets[Asset ID])),IF(AND((_xlfn.XMATCH(BX$8,$AH$8:$CC$8))-_xlfn.XMATCH($C142,$C$35:$C$82)+1&lt;=_xlpm.DepreciationMonths,$C142&lt;=BX$8),$E142/_xlpm.DepreciationMonths,0))</f>
        <v>0</v>
      </c>
      <c r="BY142" s="507" cm="1">
        <f t="array" ref="BY142">_xlfn.LET(_xlpm.DepreciationMonths,INDEX(FixedAssets[Depreciation
/ Amortization Months],_xlfn.XMATCH($E$135,FixedAssets[Asset ID])),IF(AND((_xlfn.XMATCH(BY$8,$AH$8:$CC$8))-_xlfn.XMATCH($C142,$C$35:$C$82)+1&lt;=_xlpm.DepreciationMonths,$C142&lt;=BY$8),$E142/_xlpm.DepreciationMonths,0))</f>
        <v>0</v>
      </c>
      <c r="BZ142" s="507" cm="1">
        <f t="array" ref="BZ142">_xlfn.LET(_xlpm.DepreciationMonths,INDEX(FixedAssets[Depreciation
/ Amortization Months],_xlfn.XMATCH($E$135,FixedAssets[Asset ID])),IF(AND((_xlfn.XMATCH(BZ$8,$AH$8:$CC$8))-_xlfn.XMATCH($C142,$C$35:$C$82)+1&lt;=_xlpm.DepreciationMonths,$C142&lt;=BZ$8),$E142/_xlpm.DepreciationMonths,0))</f>
        <v>0</v>
      </c>
      <c r="CA142" s="507" cm="1">
        <f t="array" ref="CA142">_xlfn.LET(_xlpm.DepreciationMonths,INDEX(FixedAssets[Depreciation
/ Amortization Months],_xlfn.XMATCH($E$135,FixedAssets[Asset ID])),IF(AND((_xlfn.XMATCH(CA$8,$AH$8:$CC$8))-_xlfn.XMATCH($C142,$C$35:$C$82)+1&lt;=_xlpm.DepreciationMonths,$C142&lt;=CA$8),$E142/_xlpm.DepreciationMonths,0))</f>
        <v>0</v>
      </c>
      <c r="CB142" s="507" cm="1">
        <f t="array" ref="CB142">_xlfn.LET(_xlpm.DepreciationMonths,INDEX(FixedAssets[Depreciation
/ Amortization Months],_xlfn.XMATCH($E$135,FixedAssets[Asset ID])),IF(AND((_xlfn.XMATCH(CB$8,$AH$8:$CC$8))-_xlfn.XMATCH($C142,$C$35:$C$82)+1&lt;=_xlpm.DepreciationMonths,$C142&lt;=CB$8),$E142/_xlpm.DepreciationMonths,0))</f>
        <v>0</v>
      </c>
      <c r="CC142" s="507" cm="1">
        <f t="array" ref="CC142">_xlfn.LET(_xlpm.DepreciationMonths,INDEX(FixedAssets[Depreciation
/ Amortization Months],_xlfn.XMATCH($E$135,FixedAssets[Asset ID])),IF(AND((_xlfn.XMATCH(CC$8,$AH$8:$CC$8))-_xlfn.XMATCH($C142,$C$35:$C$82)+1&lt;=_xlpm.DepreciationMonths,$C142&lt;=CC$8),$E142/_xlpm.DepreciationMonths,0))</f>
        <v>0</v>
      </c>
    </row>
    <row r="143" spans="3:81" hidden="1" outlineLevel="2">
      <c r="C143" s="664">
        <f t="shared" si="243"/>
        <v>45138</v>
      </c>
      <c r="D143" s="508"/>
      <c r="E143" s="508" cm="1">
        <f t="array" ref="E143">SUMPRODUCT(($AH$26:$CC$31)*($AH$5:$CC$5=$C143)*($E$26:$E$31=E$135))-SUMPRODUCT(($AH$26:$CC$31)*($AH$5:$CC$5=EOMONTH($C143,-1))*($E$26:$E$31=E$135))</f>
        <v>0</v>
      </c>
      <c r="F143" s="508"/>
      <c r="G143" s="508"/>
      <c r="H143" s="508"/>
      <c r="I143" s="508"/>
      <c r="J143" s="504">
        <f t="shared" si="240"/>
        <v>0</v>
      </c>
      <c r="K143" s="504">
        <f t="shared" si="241"/>
        <v>0</v>
      </c>
      <c r="L143" s="504">
        <f t="shared" si="241"/>
        <v>0</v>
      </c>
      <c r="M143" s="504">
        <f t="shared" si="241"/>
        <v>0</v>
      </c>
      <c r="N143" s="504"/>
      <c r="O143" s="504"/>
      <c r="P143" s="504">
        <f t="shared" si="242"/>
        <v>0</v>
      </c>
      <c r="Q143" s="504">
        <f t="shared" si="242"/>
        <v>0</v>
      </c>
      <c r="R143" s="504">
        <f t="shared" si="242"/>
        <v>0</v>
      </c>
      <c r="S143" s="504">
        <f t="shared" si="242"/>
        <v>0</v>
      </c>
      <c r="T143" s="504">
        <f t="shared" si="242"/>
        <v>0</v>
      </c>
      <c r="U143" s="504">
        <f t="shared" si="242"/>
        <v>0</v>
      </c>
      <c r="V143" s="504">
        <f t="shared" si="242"/>
        <v>0</v>
      </c>
      <c r="W143" s="504">
        <f t="shared" si="242"/>
        <v>0</v>
      </c>
      <c r="X143" s="504">
        <f t="shared" si="242"/>
        <v>0</v>
      </c>
      <c r="Y143" s="504">
        <f t="shared" si="242"/>
        <v>0</v>
      </c>
      <c r="Z143" s="504">
        <f t="shared" si="242"/>
        <v>0</v>
      </c>
      <c r="AA143" s="504">
        <f t="shared" si="242"/>
        <v>0</v>
      </c>
      <c r="AB143" s="504">
        <f t="shared" si="242"/>
        <v>0</v>
      </c>
      <c r="AC143" s="504">
        <f t="shared" si="242"/>
        <v>0</v>
      </c>
      <c r="AD143" s="504">
        <f t="shared" si="242"/>
        <v>0</v>
      </c>
      <c r="AE143" s="504">
        <f t="shared" si="242"/>
        <v>0</v>
      </c>
      <c r="AF143" s="508"/>
      <c r="AG143" s="508"/>
      <c r="AH143" s="507" cm="1">
        <f t="array" ref="AH143">_xlfn.LET(_xlpm.DepreciationMonths,INDEX(FixedAssets[Depreciation
/ Amortization Months],_xlfn.XMATCH($E$135,FixedAssets[Asset ID])),IF(AND((_xlfn.XMATCH(AH$8,$AH$8:$CC$8))-_xlfn.XMATCH($C143,$C$35:$C$82)+1&lt;=_xlpm.DepreciationMonths,$C143&lt;=AH$8),$E143/_xlpm.DepreciationMonths,0))</f>
        <v>0</v>
      </c>
      <c r="AI143" s="507" cm="1">
        <f t="array" ref="AI143">_xlfn.LET(_xlpm.DepreciationMonths,INDEX(FixedAssets[Depreciation
/ Amortization Months],_xlfn.XMATCH($E$135,FixedAssets[Asset ID])),IF(AND((_xlfn.XMATCH(AI$8,$AH$8:$CC$8))-_xlfn.XMATCH($C143,$C$35:$C$82)+1&lt;=_xlpm.DepreciationMonths,$C143&lt;=AI$8),$E143/_xlpm.DepreciationMonths,0))</f>
        <v>0</v>
      </c>
      <c r="AJ143" s="507" cm="1">
        <f t="array" ref="AJ143">_xlfn.LET(_xlpm.DepreciationMonths,INDEX(FixedAssets[Depreciation
/ Amortization Months],_xlfn.XMATCH($E$135,FixedAssets[Asset ID])),IF(AND((_xlfn.XMATCH(AJ$8,$AH$8:$CC$8))-_xlfn.XMATCH($C143,$C$35:$C$82)+1&lt;=_xlpm.DepreciationMonths,$C143&lt;=AJ$8),$E143/_xlpm.DepreciationMonths,0))</f>
        <v>0</v>
      </c>
      <c r="AK143" s="507" cm="1">
        <f t="array" ref="AK143">_xlfn.LET(_xlpm.DepreciationMonths,INDEX(FixedAssets[Depreciation
/ Amortization Months],_xlfn.XMATCH($E$135,FixedAssets[Asset ID])),IF(AND((_xlfn.XMATCH(AK$8,$AH$8:$CC$8))-_xlfn.XMATCH($C143,$C$35:$C$82)+1&lt;=_xlpm.DepreciationMonths,$C143&lt;=AK$8),$E143/_xlpm.DepreciationMonths,0))</f>
        <v>0</v>
      </c>
      <c r="AL143" s="507" cm="1">
        <f t="array" ref="AL143">_xlfn.LET(_xlpm.DepreciationMonths,INDEX(FixedAssets[Depreciation
/ Amortization Months],_xlfn.XMATCH($E$135,FixedAssets[Asset ID])),IF(AND((_xlfn.XMATCH(AL$8,$AH$8:$CC$8))-_xlfn.XMATCH($C143,$C$35:$C$82)+1&lt;=_xlpm.DepreciationMonths,$C143&lt;=AL$8),$E143/_xlpm.DepreciationMonths,0))</f>
        <v>0</v>
      </c>
      <c r="AM143" s="507" cm="1">
        <f t="array" ref="AM143">_xlfn.LET(_xlpm.DepreciationMonths,INDEX(FixedAssets[Depreciation
/ Amortization Months],_xlfn.XMATCH($E$135,FixedAssets[Asset ID])),IF(AND((_xlfn.XMATCH(AM$8,$AH$8:$CC$8))-_xlfn.XMATCH($C143,$C$35:$C$82)+1&lt;=_xlpm.DepreciationMonths,$C143&lt;=AM$8),$E143/_xlpm.DepreciationMonths,0))</f>
        <v>0</v>
      </c>
      <c r="AN143" s="507" cm="1">
        <f t="array" ref="AN143">_xlfn.LET(_xlpm.DepreciationMonths,INDEX(FixedAssets[Depreciation
/ Amortization Months],_xlfn.XMATCH($E$135,FixedAssets[Asset ID])),IF(AND((_xlfn.XMATCH(AN$8,$AH$8:$CC$8))-_xlfn.XMATCH($C143,$C$35:$C$82)+1&lt;=_xlpm.DepreciationMonths,$C143&lt;=AN$8),$E143/_xlpm.DepreciationMonths,0))</f>
        <v>0</v>
      </c>
      <c r="AO143" s="507" cm="1">
        <f t="array" ref="AO143">_xlfn.LET(_xlpm.DepreciationMonths,INDEX(FixedAssets[Depreciation
/ Amortization Months],_xlfn.XMATCH($E$135,FixedAssets[Asset ID])),IF(AND((_xlfn.XMATCH(AO$8,$AH$8:$CC$8))-_xlfn.XMATCH($C143,$C$35:$C$82)+1&lt;=_xlpm.DepreciationMonths,$C143&lt;=AO$8),$E143/_xlpm.DepreciationMonths,0))</f>
        <v>0</v>
      </c>
      <c r="AP143" s="507" cm="1">
        <f t="array" ref="AP143">_xlfn.LET(_xlpm.DepreciationMonths,INDEX(FixedAssets[Depreciation
/ Amortization Months],_xlfn.XMATCH($E$135,FixedAssets[Asset ID])),IF(AND((_xlfn.XMATCH(AP$8,$AH$8:$CC$8))-_xlfn.XMATCH($C143,$C$35:$C$82)+1&lt;=_xlpm.DepreciationMonths,$C143&lt;=AP$8),$E143/_xlpm.DepreciationMonths,0))</f>
        <v>0</v>
      </c>
      <c r="AQ143" s="507" cm="1">
        <f t="array" ref="AQ143">_xlfn.LET(_xlpm.DepreciationMonths,INDEX(FixedAssets[Depreciation
/ Amortization Months],_xlfn.XMATCH($E$135,FixedAssets[Asset ID])),IF(AND((_xlfn.XMATCH(AQ$8,$AH$8:$CC$8))-_xlfn.XMATCH($C143,$C$35:$C$82)+1&lt;=_xlpm.DepreciationMonths,$C143&lt;=AQ$8),$E143/_xlpm.DepreciationMonths,0))</f>
        <v>0</v>
      </c>
      <c r="AR143" s="507" cm="1">
        <f t="array" ref="AR143">_xlfn.LET(_xlpm.DepreciationMonths,INDEX(FixedAssets[Depreciation
/ Amortization Months],_xlfn.XMATCH($E$135,FixedAssets[Asset ID])),IF(AND((_xlfn.XMATCH(AR$8,$AH$8:$CC$8))-_xlfn.XMATCH($C143,$C$35:$C$82)+1&lt;=_xlpm.DepreciationMonths,$C143&lt;=AR$8),$E143/_xlpm.DepreciationMonths,0))</f>
        <v>0</v>
      </c>
      <c r="AS143" s="507" cm="1">
        <f t="array" ref="AS143">_xlfn.LET(_xlpm.DepreciationMonths,INDEX(FixedAssets[Depreciation
/ Amortization Months],_xlfn.XMATCH($E$135,FixedAssets[Asset ID])),IF(AND((_xlfn.XMATCH(AS$8,$AH$8:$CC$8))-_xlfn.XMATCH($C143,$C$35:$C$82)+1&lt;=_xlpm.DepreciationMonths,$C143&lt;=AS$8),$E143/_xlpm.DepreciationMonths,0))</f>
        <v>0</v>
      </c>
      <c r="AT143" s="507" cm="1">
        <f t="array" ref="AT143">_xlfn.LET(_xlpm.DepreciationMonths,INDEX(FixedAssets[Depreciation
/ Amortization Months],_xlfn.XMATCH($E$135,FixedAssets[Asset ID])),IF(AND((_xlfn.XMATCH(AT$8,$AH$8:$CC$8))-_xlfn.XMATCH($C143,$C$35:$C$82)+1&lt;=_xlpm.DepreciationMonths,$C143&lt;=AT$8),$E143/_xlpm.DepreciationMonths,0))</f>
        <v>0</v>
      </c>
      <c r="AU143" s="507" cm="1">
        <f t="array" ref="AU143">_xlfn.LET(_xlpm.DepreciationMonths,INDEX(FixedAssets[Depreciation
/ Amortization Months],_xlfn.XMATCH($E$135,FixedAssets[Asset ID])),IF(AND((_xlfn.XMATCH(AU$8,$AH$8:$CC$8))-_xlfn.XMATCH($C143,$C$35:$C$82)+1&lt;=_xlpm.DepreciationMonths,$C143&lt;=AU$8),$E143/_xlpm.DepreciationMonths,0))</f>
        <v>0</v>
      </c>
      <c r="AV143" s="507" cm="1">
        <f t="array" ref="AV143">_xlfn.LET(_xlpm.DepreciationMonths,INDEX(FixedAssets[Depreciation
/ Amortization Months],_xlfn.XMATCH($E$135,FixedAssets[Asset ID])),IF(AND((_xlfn.XMATCH(AV$8,$AH$8:$CC$8))-_xlfn.XMATCH($C143,$C$35:$C$82)+1&lt;=_xlpm.DepreciationMonths,$C143&lt;=AV$8),$E143/_xlpm.DepreciationMonths,0))</f>
        <v>0</v>
      </c>
      <c r="AW143" s="507" cm="1">
        <f t="array" ref="AW143">_xlfn.LET(_xlpm.DepreciationMonths,INDEX(FixedAssets[Depreciation
/ Amortization Months],_xlfn.XMATCH($E$135,FixedAssets[Asset ID])),IF(AND((_xlfn.XMATCH(AW$8,$AH$8:$CC$8))-_xlfn.XMATCH($C143,$C$35:$C$82)+1&lt;=_xlpm.DepreciationMonths,$C143&lt;=AW$8),$E143/_xlpm.DepreciationMonths,0))</f>
        <v>0</v>
      </c>
      <c r="AX143" s="507" cm="1">
        <f t="array" ref="AX143">_xlfn.LET(_xlpm.DepreciationMonths,INDEX(FixedAssets[Depreciation
/ Amortization Months],_xlfn.XMATCH($E$135,FixedAssets[Asset ID])),IF(AND((_xlfn.XMATCH(AX$8,$AH$8:$CC$8))-_xlfn.XMATCH($C143,$C$35:$C$82)+1&lt;=_xlpm.DepreciationMonths,$C143&lt;=AX$8),$E143/_xlpm.DepreciationMonths,0))</f>
        <v>0</v>
      </c>
      <c r="AY143" s="507" cm="1">
        <f t="array" ref="AY143">_xlfn.LET(_xlpm.DepreciationMonths,INDEX(FixedAssets[Depreciation
/ Amortization Months],_xlfn.XMATCH($E$135,FixedAssets[Asset ID])),IF(AND((_xlfn.XMATCH(AY$8,$AH$8:$CC$8))-_xlfn.XMATCH($C143,$C$35:$C$82)+1&lt;=_xlpm.DepreciationMonths,$C143&lt;=AY$8),$E143/_xlpm.DepreciationMonths,0))</f>
        <v>0</v>
      </c>
      <c r="AZ143" s="507" cm="1">
        <f t="array" ref="AZ143">_xlfn.LET(_xlpm.DepreciationMonths,INDEX(FixedAssets[Depreciation
/ Amortization Months],_xlfn.XMATCH($E$135,FixedAssets[Asset ID])),IF(AND((_xlfn.XMATCH(AZ$8,$AH$8:$CC$8))-_xlfn.XMATCH($C143,$C$35:$C$82)+1&lt;=_xlpm.DepreciationMonths,$C143&lt;=AZ$8),$E143/_xlpm.DepreciationMonths,0))</f>
        <v>0</v>
      </c>
      <c r="BA143" s="507" cm="1">
        <f t="array" ref="BA143">_xlfn.LET(_xlpm.DepreciationMonths,INDEX(FixedAssets[Depreciation
/ Amortization Months],_xlfn.XMATCH($E$135,FixedAssets[Asset ID])),IF(AND((_xlfn.XMATCH(BA$8,$AH$8:$CC$8))-_xlfn.XMATCH($C143,$C$35:$C$82)+1&lt;=_xlpm.DepreciationMonths,$C143&lt;=BA$8),$E143/_xlpm.DepreciationMonths,0))</f>
        <v>0</v>
      </c>
      <c r="BB143" s="507" cm="1">
        <f t="array" ref="BB143">_xlfn.LET(_xlpm.DepreciationMonths,INDEX(FixedAssets[Depreciation
/ Amortization Months],_xlfn.XMATCH($E$135,FixedAssets[Asset ID])),IF(AND((_xlfn.XMATCH(BB$8,$AH$8:$CC$8))-_xlfn.XMATCH($C143,$C$35:$C$82)+1&lt;=_xlpm.DepreciationMonths,$C143&lt;=BB$8),$E143/_xlpm.DepreciationMonths,0))</f>
        <v>0</v>
      </c>
      <c r="BC143" s="507" cm="1">
        <f t="array" ref="BC143">_xlfn.LET(_xlpm.DepreciationMonths,INDEX(FixedAssets[Depreciation
/ Amortization Months],_xlfn.XMATCH($E$135,FixedAssets[Asset ID])),IF(AND((_xlfn.XMATCH(BC$8,$AH$8:$CC$8))-_xlfn.XMATCH($C143,$C$35:$C$82)+1&lt;=_xlpm.DepreciationMonths,$C143&lt;=BC$8),$E143/_xlpm.DepreciationMonths,0))</f>
        <v>0</v>
      </c>
      <c r="BD143" s="507" cm="1">
        <f t="array" ref="BD143">_xlfn.LET(_xlpm.DepreciationMonths,INDEX(FixedAssets[Depreciation
/ Amortization Months],_xlfn.XMATCH($E$135,FixedAssets[Asset ID])),IF(AND((_xlfn.XMATCH(BD$8,$AH$8:$CC$8))-_xlfn.XMATCH($C143,$C$35:$C$82)+1&lt;=_xlpm.DepreciationMonths,$C143&lt;=BD$8),$E143/_xlpm.DepreciationMonths,0))</f>
        <v>0</v>
      </c>
      <c r="BE143" s="507" cm="1">
        <f t="array" ref="BE143">_xlfn.LET(_xlpm.DepreciationMonths,INDEX(FixedAssets[Depreciation
/ Amortization Months],_xlfn.XMATCH($E$135,FixedAssets[Asset ID])),IF(AND((_xlfn.XMATCH(BE$8,$AH$8:$CC$8))-_xlfn.XMATCH($C143,$C$35:$C$82)+1&lt;=_xlpm.DepreciationMonths,$C143&lt;=BE$8),$E143/_xlpm.DepreciationMonths,0))</f>
        <v>0</v>
      </c>
      <c r="BF143" s="507" cm="1">
        <f t="array" ref="BF143">_xlfn.LET(_xlpm.DepreciationMonths,INDEX(FixedAssets[Depreciation
/ Amortization Months],_xlfn.XMATCH($E$135,FixedAssets[Asset ID])),IF(AND((_xlfn.XMATCH(BF$8,$AH$8:$CC$8))-_xlfn.XMATCH($C143,$C$35:$C$82)+1&lt;=_xlpm.DepreciationMonths,$C143&lt;=BF$8),$E143/_xlpm.DepreciationMonths,0))</f>
        <v>0</v>
      </c>
      <c r="BG143" s="507" cm="1">
        <f t="array" ref="BG143">_xlfn.LET(_xlpm.DepreciationMonths,INDEX(FixedAssets[Depreciation
/ Amortization Months],_xlfn.XMATCH($E$135,FixedAssets[Asset ID])),IF(AND((_xlfn.XMATCH(BG$8,$AH$8:$CC$8))-_xlfn.XMATCH($C143,$C$35:$C$82)+1&lt;=_xlpm.DepreciationMonths,$C143&lt;=BG$8),$E143/_xlpm.DepreciationMonths,0))</f>
        <v>0</v>
      </c>
      <c r="BH143" s="507" cm="1">
        <f t="array" ref="BH143">_xlfn.LET(_xlpm.DepreciationMonths,INDEX(FixedAssets[Depreciation
/ Amortization Months],_xlfn.XMATCH($E$135,FixedAssets[Asset ID])),IF(AND((_xlfn.XMATCH(BH$8,$AH$8:$CC$8))-_xlfn.XMATCH($C143,$C$35:$C$82)+1&lt;=_xlpm.DepreciationMonths,$C143&lt;=BH$8),$E143/_xlpm.DepreciationMonths,0))</f>
        <v>0</v>
      </c>
      <c r="BI143" s="507" cm="1">
        <f t="array" ref="BI143">_xlfn.LET(_xlpm.DepreciationMonths,INDEX(FixedAssets[Depreciation
/ Amortization Months],_xlfn.XMATCH($E$135,FixedAssets[Asset ID])),IF(AND((_xlfn.XMATCH(BI$8,$AH$8:$CC$8))-_xlfn.XMATCH($C143,$C$35:$C$82)+1&lt;=_xlpm.DepreciationMonths,$C143&lt;=BI$8),$E143/_xlpm.DepreciationMonths,0))</f>
        <v>0</v>
      </c>
      <c r="BJ143" s="507" cm="1">
        <f t="array" ref="BJ143">_xlfn.LET(_xlpm.DepreciationMonths,INDEX(FixedAssets[Depreciation
/ Amortization Months],_xlfn.XMATCH($E$135,FixedAssets[Asset ID])),IF(AND((_xlfn.XMATCH(BJ$8,$AH$8:$CC$8))-_xlfn.XMATCH($C143,$C$35:$C$82)+1&lt;=_xlpm.DepreciationMonths,$C143&lt;=BJ$8),$E143/_xlpm.DepreciationMonths,0))</f>
        <v>0</v>
      </c>
      <c r="BK143" s="507" cm="1">
        <f t="array" ref="BK143">_xlfn.LET(_xlpm.DepreciationMonths,INDEX(FixedAssets[Depreciation
/ Amortization Months],_xlfn.XMATCH($E$135,FixedAssets[Asset ID])),IF(AND((_xlfn.XMATCH(BK$8,$AH$8:$CC$8))-_xlfn.XMATCH($C143,$C$35:$C$82)+1&lt;=_xlpm.DepreciationMonths,$C143&lt;=BK$8),$E143/_xlpm.DepreciationMonths,0))</f>
        <v>0</v>
      </c>
      <c r="BL143" s="507" cm="1">
        <f t="array" ref="BL143">_xlfn.LET(_xlpm.DepreciationMonths,INDEX(FixedAssets[Depreciation
/ Amortization Months],_xlfn.XMATCH($E$135,FixedAssets[Asset ID])),IF(AND((_xlfn.XMATCH(BL$8,$AH$8:$CC$8))-_xlfn.XMATCH($C143,$C$35:$C$82)+1&lt;=_xlpm.DepreciationMonths,$C143&lt;=BL$8),$E143/_xlpm.DepreciationMonths,0))</f>
        <v>0</v>
      </c>
      <c r="BM143" s="507" cm="1">
        <f t="array" ref="BM143">_xlfn.LET(_xlpm.DepreciationMonths,INDEX(FixedAssets[Depreciation
/ Amortization Months],_xlfn.XMATCH($E$135,FixedAssets[Asset ID])),IF(AND((_xlfn.XMATCH(BM$8,$AH$8:$CC$8))-_xlfn.XMATCH($C143,$C$35:$C$82)+1&lt;=_xlpm.DepreciationMonths,$C143&lt;=BM$8),$E143/_xlpm.DepreciationMonths,0))</f>
        <v>0</v>
      </c>
      <c r="BN143" s="507" cm="1">
        <f t="array" ref="BN143">_xlfn.LET(_xlpm.DepreciationMonths,INDEX(FixedAssets[Depreciation
/ Amortization Months],_xlfn.XMATCH($E$135,FixedAssets[Asset ID])),IF(AND((_xlfn.XMATCH(BN$8,$AH$8:$CC$8))-_xlfn.XMATCH($C143,$C$35:$C$82)+1&lt;=_xlpm.DepreciationMonths,$C143&lt;=BN$8),$E143/_xlpm.DepreciationMonths,0))</f>
        <v>0</v>
      </c>
      <c r="BO143" s="507" cm="1">
        <f t="array" ref="BO143">_xlfn.LET(_xlpm.DepreciationMonths,INDEX(FixedAssets[Depreciation
/ Amortization Months],_xlfn.XMATCH($E$135,FixedAssets[Asset ID])),IF(AND((_xlfn.XMATCH(BO$8,$AH$8:$CC$8))-_xlfn.XMATCH($C143,$C$35:$C$82)+1&lt;=_xlpm.DepreciationMonths,$C143&lt;=BO$8),$E143/_xlpm.DepreciationMonths,0))</f>
        <v>0</v>
      </c>
      <c r="BP143" s="507" cm="1">
        <f t="array" ref="BP143">_xlfn.LET(_xlpm.DepreciationMonths,INDEX(FixedAssets[Depreciation
/ Amortization Months],_xlfn.XMATCH($E$135,FixedAssets[Asset ID])),IF(AND((_xlfn.XMATCH(BP$8,$AH$8:$CC$8))-_xlfn.XMATCH($C143,$C$35:$C$82)+1&lt;=_xlpm.DepreciationMonths,$C143&lt;=BP$8),$E143/_xlpm.DepreciationMonths,0))</f>
        <v>0</v>
      </c>
      <c r="BQ143" s="507" cm="1">
        <f t="array" ref="BQ143">_xlfn.LET(_xlpm.DepreciationMonths,INDEX(FixedAssets[Depreciation
/ Amortization Months],_xlfn.XMATCH($E$135,FixedAssets[Asset ID])),IF(AND((_xlfn.XMATCH(BQ$8,$AH$8:$CC$8))-_xlfn.XMATCH($C143,$C$35:$C$82)+1&lt;=_xlpm.DepreciationMonths,$C143&lt;=BQ$8),$E143/_xlpm.DepreciationMonths,0))</f>
        <v>0</v>
      </c>
      <c r="BR143" s="507" cm="1">
        <f t="array" ref="BR143">_xlfn.LET(_xlpm.DepreciationMonths,INDEX(FixedAssets[Depreciation
/ Amortization Months],_xlfn.XMATCH($E$135,FixedAssets[Asset ID])),IF(AND((_xlfn.XMATCH(BR$8,$AH$8:$CC$8))-_xlfn.XMATCH($C143,$C$35:$C$82)+1&lt;=_xlpm.DepreciationMonths,$C143&lt;=BR$8),$E143/_xlpm.DepreciationMonths,0))</f>
        <v>0</v>
      </c>
      <c r="BS143" s="507" cm="1">
        <f t="array" ref="BS143">_xlfn.LET(_xlpm.DepreciationMonths,INDEX(FixedAssets[Depreciation
/ Amortization Months],_xlfn.XMATCH($E$135,FixedAssets[Asset ID])),IF(AND((_xlfn.XMATCH(BS$8,$AH$8:$CC$8))-_xlfn.XMATCH($C143,$C$35:$C$82)+1&lt;=_xlpm.DepreciationMonths,$C143&lt;=BS$8),$E143/_xlpm.DepreciationMonths,0))</f>
        <v>0</v>
      </c>
      <c r="BT143" s="507" cm="1">
        <f t="array" ref="BT143">_xlfn.LET(_xlpm.DepreciationMonths,INDEX(FixedAssets[Depreciation
/ Amortization Months],_xlfn.XMATCH($E$135,FixedAssets[Asset ID])),IF(AND((_xlfn.XMATCH(BT$8,$AH$8:$CC$8))-_xlfn.XMATCH($C143,$C$35:$C$82)+1&lt;=_xlpm.DepreciationMonths,$C143&lt;=BT$8),$E143/_xlpm.DepreciationMonths,0))</f>
        <v>0</v>
      </c>
      <c r="BU143" s="507" cm="1">
        <f t="array" ref="BU143">_xlfn.LET(_xlpm.DepreciationMonths,INDEX(FixedAssets[Depreciation
/ Amortization Months],_xlfn.XMATCH($E$135,FixedAssets[Asset ID])),IF(AND((_xlfn.XMATCH(BU$8,$AH$8:$CC$8))-_xlfn.XMATCH($C143,$C$35:$C$82)+1&lt;=_xlpm.DepreciationMonths,$C143&lt;=BU$8),$E143/_xlpm.DepreciationMonths,0))</f>
        <v>0</v>
      </c>
      <c r="BV143" s="507" cm="1">
        <f t="array" ref="BV143">_xlfn.LET(_xlpm.DepreciationMonths,INDEX(FixedAssets[Depreciation
/ Amortization Months],_xlfn.XMATCH($E$135,FixedAssets[Asset ID])),IF(AND((_xlfn.XMATCH(BV$8,$AH$8:$CC$8))-_xlfn.XMATCH($C143,$C$35:$C$82)+1&lt;=_xlpm.DepreciationMonths,$C143&lt;=BV$8),$E143/_xlpm.DepreciationMonths,0))</f>
        <v>0</v>
      </c>
      <c r="BW143" s="507" cm="1">
        <f t="array" ref="BW143">_xlfn.LET(_xlpm.DepreciationMonths,INDEX(FixedAssets[Depreciation
/ Amortization Months],_xlfn.XMATCH($E$135,FixedAssets[Asset ID])),IF(AND((_xlfn.XMATCH(BW$8,$AH$8:$CC$8))-_xlfn.XMATCH($C143,$C$35:$C$82)+1&lt;=_xlpm.DepreciationMonths,$C143&lt;=BW$8),$E143/_xlpm.DepreciationMonths,0))</f>
        <v>0</v>
      </c>
      <c r="BX143" s="507" cm="1">
        <f t="array" ref="BX143">_xlfn.LET(_xlpm.DepreciationMonths,INDEX(FixedAssets[Depreciation
/ Amortization Months],_xlfn.XMATCH($E$135,FixedAssets[Asset ID])),IF(AND((_xlfn.XMATCH(BX$8,$AH$8:$CC$8))-_xlfn.XMATCH($C143,$C$35:$C$82)+1&lt;=_xlpm.DepreciationMonths,$C143&lt;=BX$8),$E143/_xlpm.DepreciationMonths,0))</f>
        <v>0</v>
      </c>
      <c r="BY143" s="507" cm="1">
        <f t="array" ref="BY143">_xlfn.LET(_xlpm.DepreciationMonths,INDEX(FixedAssets[Depreciation
/ Amortization Months],_xlfn.XMATCH($E$135,FixedAssets[Asset ID])),IF(AND((_xlfn.XMATCH(BY$8,$AH$8:$CC$8))-_xlfn.XMATCH($C143,$C$35:$C$82)+1&lt;=_xlpm.DepreciationMonths,$C143&lt;=BY$8),$E143/_xlpm.DepreciationMonths,0))</f>
        <v>0</v>
      </c>
      <c r="BZ143" s="507" cm="1">
        <f t="array" ref="BZ143">_xlfn.LET(_xlpm.DepreciationMonths,INDEX(FixedAssets[Depreciation
/ Amortization Months],_xlfn.XMATCH($E$135,FixedAssets[Asset ID])),IF(AND((_xlfn.XMATCH(BZ$8,$AH$8:$CC$8))-_xlfn.XMATCH($C143,$C$35:$C$82)+1&lt;=_xlpm.DepreciationMonths,$C143&lt;=BZ$8),$E143/_xlpm.DepreciationMonths,0))</f>
        <v>0</v>
      </c>
      <c r="CA143" s="507" cm="1">
        <f t="array" ref="CA143">_xlfn.LET(_xlpm.DepreciationMonths,INDEX(FixedAssets[Depreciation
/ Amortization Months],_xlfn.XMATCH($E$135,FixedAssets[Asset ID])),IF(AND((_xlfn.XMATCH(CA$8,$AH$8:$CC$8))-_xlfn.XMATCH($C143,$C$35:$C$82)+1&lt;=_xlpm.DepreciationMonths,$C143&lt;=CA$8),$E143/_xlpm.DepreciationMonths,0))</f>
        <v>0</v>
      </c>
      <c r="CB143" s="507" cm="1">
        <f t="array" ref="CB143">_xlfn.LET(_xlpm.DepreciationMonths,INDEX(FixedAssets[Depreciation
/ Amortization Months],_xlfn.XMATCH($E$135,FixedAssets[Asset ID])),IF(AND((_xlfn.XMATCH(CB$8,$AH$8:$CC$8))-_xlfn.XMATCH($C143,$C$35:$C$82)+1&lt;=_xlpm.DepreciationMonths,$C143&lt;=CB$8),$E143/_xlpm.DepreciationMonths,0))</f>
        <v>0</v>
      </c>
      <c r="CC143" s="507" cm="1">
        <f t="array" ref="CC143">_xlfn.LET(_xlpm.DepreciationMonths,INDEX(FixedAssets[Depreciation
/ Amortization Months],_xlfn.XMATCH($E$135,FixedAssets[Asset ID])),IF(AND((_xlfn.XMATCH(CC$8,$AH$8:$CC$8))-_xlfn.XMATCH($C143,$C$35:$C$82)+1&lt;=_xlpm.DepreciationMonths,$C143&lt;=CC$8),$E143/_xlpm.DepreciationMonths,0))</f>
        <v>0</v>
      </c>
    </row>
    <row r="144" spans="3:81" hidden="1" outlineLevel="2">
      <c r="C144" s="664">
        <f t="shared" si="243"/>
        <v>45169</v>
      </c>
      <c r="D144" s="508"/>
      <c r="E144" s="508" cm="1">
        <f t="array" ref="E144">SUMPRODUCT(($AH$26:$CC$31)*($AH$5:$CC$5=$C144)*($E$26:$E$31=E$135))-SUMPRODUCT(($AH$26:$CC$31)*($AH$5:$CC$5=EOMONTH($C144,-1))*($E$26:$E$31=E$135))</f>
        <v>0</v>
      </c>
      <c r="F144" s="508"/>
      <c r="G144" s="508"/>
      <c r="H144" s="508"/>
      <c r="I144" s="508"/>
      <c r="J144" s="504">
        <f t="shared" si="240"/>
        <v>0</v>
      </c>
      <c r="K144" s="504">
        <f t="shared" si="241"/>
        <v>0</v>
      </c>
      <c r="L144" s="504">
        <f t="shared" si="241"/>
        <v>0</v>
      </c>
      <c r="M144" s="504">
        <f t="shared" si="241"/>
        <v>0</v>
      </c>
      <c r="N144" s="504"/>
      <c r="O144" s="504"/>
      <c r="P144" s="504">
        <f t="shared" si="242"/>
        <v>0</v>
      </c>
      <c r="Q144" s="504">
        <f t="shared" si="242"/>
        <v>0</v>
      </c>
      <c r="R144" s="504">
        <f t="shared" si="242"/>
        <v>0</v>
      </c>
      <c r="S144" s="504">
        <f t="shared" si="242"/>
        <v>0</v>
      </c>
      <c r="T144" s="504">
        <f t="shared" si="242"/>
        <v>0</v>
      </c>
      <c r="U144" s="504">
        <f t="shared" si="242"/>
        <v>0</v>
      </c>
      <c r="V144" s="504">
        <f t="shared" si="242"/>
        <v>0</v>
      </c>
      <c r="W144" s="504">
        <f t="shared" si="242"/>
        <v>0</v>
      </c>
      <c r="X144" s="504">
        <f t="shared" si="242"/>
        <v>0</v>
      </c>
      <c r="Y144" s="504">
        <f t="shared" si="242"/>
        <v>0</v>
      </c>
      <c r="Z144" s="504">
        <f t="shared" si="242"/>
        <v>0</v>
      </c>
      <c r="AA144" s="504">
        <f t="shared" si="242"/>
        <v>0</v>
      </c>
      <c r="AB144" s="504">
        <f t="shared" si="242"/>
        <v>0</v>
      </c>
      <c r="AC144" s="504">
        <f t="shared" si="242"/>
        <v>0</v>
      </c>
      <c r="AD144" s="504">
        <f t="shared" si="242"/>
        <v>0</v>
      </c>
      <c r="AE144" s="504">
        <f t="shared" si="242"/>
        <v>0</v>
      </c>
      <c r="AF144" s="508"/>
      <c r="AG144" s="508"/>
      <c r="AH144" s="507" cm="1">
        <f t="array" ref="AH144">_xlfn.LET(_xlpm.DepreciationMonths,INDEX(FixedAssets[Depreciation
/ Amortization Months],_xlfn.XMATCH($E$135,FixedAssets[Asset ID])),IF(AND((_xlfn.XMATCH(AH$8,$AH$8:$CC$8))-_xlfn.XMATCH($C144,$C$35:$C$82)+1&lt;=_xlpm.DepreciationMonths,$C144&lt;=AH$8),$E144/_xlpm.DepreciationMonths,0))</f>
        <v>0</v>
      </c>
      <c r="AI144" s="507" cm="1">
        <f t="array" ref="AI144">_xlfn.LET(_xlpm.DepreciationMonths,INDEX(FixedAssets[Depreciation
/ Amortization Months],_xlfn.XMATCH($E$135,FixedAssets[Asset ID])),IF(AND((_xlfn.XMATCH(AI$8,$AH$8:$CC$8))-_xlfn.XMATCH($C144,$C$35:$C$82)+1&lt;=_xlpm.DepreciationMonths,$C144&lt;=AI$8),$E144/_xlpm.DepreciationMonths,0))</f>
        <v>0</v>
      </c>
      <c r="AJ144" s="507" cm="1">
        <f t="array" ref="AJ144">_xlfn.LET(_xlpm.DepreciationMonths,INDEX(FixedAssets[Depreciation
/ Amortization Months],_xlfn.XMATCH($E$135,FixedAssets[Asset ID])),IF(AND((_xlfn.XMATCH(AJ$8,$AH$8:$CC$8))-_xlfn.XMATCH($C144,$C$35:$C$82)+1&lt;=_xlpm.DepreciationMonths,$C144&lt;=AJ$8),$E144/_xlpm.DepreciationMonths,0))</f>
        <v>0</v>
      </c>
      <c r="AK144" s="507" cm="1">
        <f t="array" ref="AK144">_xlfn.LET(_xlpm.DepreciationMonths,INDEX(FixedAssets[Depreciation
/ Amortization Months],_xlfn.XMATCH($E$135,FixedAssets[Asset ID])),IF(AND((_xlfn.XMATCH(AK$8,$AH$8:$CC$8))-_xlfn.XMATCH($C144,$C$35:$C$82)+1&lt;=_xlpm.DepreciationMonths,$C144&lt;=AK$8),$E144/_xlpm.DepreciationMonths,0))</f>
        <v>0</v>
      </c>
      <c r="AL144" s="507" cm="1">
        <f t="array" ref="AL144">_xlfn.LET(_xlpm.DepreciationMonths,INDEX(FixedAssets[Depreciation
/ Amortization Months],_xlfn.XMATCH($E$135,FixedAssets[Asset ID])),IF(AND((_xlfn.XMATCH(AL$8,$AH$8:$CC$8))-_xlfn.XMATCH($C144,$C$35:$C$82)+1&lt;=_xlpm.DepreciationMonths,$C144&lt;=AL$8),$E144/_xlpm.DepreciationMonths,0))</f>
        <v>0</v>
      </c>
      <c r="AM144" s="507" cm="1">
        <f t="array" ref="AM144">_xlfn.LET(_xlpm.DepreciationMonths,INDEX(FixedAssets[Depreciation
/ Amortization Months],_xlfn.XMATCH($E$135,FixedAssets[Asset ID])),IF(AND((_xlfn.XMATCH(AM$8,$AH$8:$CC$8))-_xlfn.XMATCH($C144,$C$35:$C$82)+1&lt;=_xlpm.DepreciationMonths,$C144&lt;=AM$8),$E144/_xlpm.DepreciationMonths,0))</f>
        <v>0</v>
      </c>
      <c r="AN144" s="507" cm="1">
        <f t="array" ref="AN144">_xlfn.LET(_xlpm.DepreciationMonths,INDEX(FixedAssets[Depreciation
/ Amortization Months],_xlfn.XMATCH($E$135,FixedAssets[Asset ID])),IF(AND((_xlfn.XMATCH(AN$8,$AH$8:$CC$8))-_xlfn.XMATCH($C144,$C$35:$C$82)+1&lt;=_xlpm.DepreciationMonths,$C144&lt;=AN$8),$E144/_xlpm.DepreciationMonths,0))</f>
        <v>0</v>
      </c>
      <c r="AO144" s="507" cm="1">
        <f t="array" ref="AO144">_xlfn.LET(_xlpm.DepreciationMonths,INDEX(FixedAssets[Depreciation
/ Amortization Months],_xlfn.XMATCH($E$135,FixedAssets[Asset ID])),IF(AND((_xlfn.XMATCH(AO$8,$AH$8:$CC$8))-_xlfn.XMATCH($C144,$C$35:$C$82)+1&lt;=_xlpm.DepreciationMonths,$C144&lt;=AO$8),$E144/_xlpm.DepreciationMonths,0))</f>
        <v>0</v>
      </c>
      <c r="AP144" s="507" cm="1">
        <f t="array" ref="AP144">_xlfn.LET(_xlpm.DepreciationMonths,INDEX(FixedAssets[Depreciation
/ Amortization Months],_xlfn.XMATCH($E$135,FixedAssets[Asset ID])),IF(AND((_xlfn.XMATCH(AP$8,$AH$8:$CC$8))-_xlfn.XMATCH($C144,$C$35:$C$82)+1&lt;=_xlpm.DepreciationMonths,$C144&lt;=AP$8),$E144/_xlpm.DepreciationMonths,0))</f>
        <v>0</v>
      </c>
      <c r="AQ144" s="507" cm="1">
        <f t="array" ref="AQ144">_xlfn.LET(_xlpm.DepreciationMonths,INDEX(FixedAssets[Depreciation
/ Amortization Months],_xlfn.XMATCH($E$135,FixedAssets[Asset ID])),IF(AND((_xlfn.XMATCH(AQ$8,$AH$8:$CC$8))-_xlfn.XMATCH($C144,$C$35:$C$82)+1&lt;=_xlpm.DepreciationMonths,$C144&lt;=AQ$8),$E144/_xlpm.DepreciationMonths,0))</f>
        <v>0</v>
      </c>
      <c r="AR144" s="507" cm="1">
        <f t="array" ref="AR144">_xlfn.LET(_xlpm.DepreciationMonths,INDEX(FixedAssets[Depreciation
/ Amortization Months],_xlfn.XMATCH($E$135,FixedAssets[Asset ID])),IF(AND((_xlfn.XMATCH(AR$8,$AH$8:$CC$8))-_xlfn.XMATCH($C144,$C$35:$C$82)+1&lt;=_xlpm.DepreciationMonths,$C144&lt;=AR$8),$E144/_xlpm.DepreciationMonths,0))</f>
        <v>0</v>
      </c>
      <c r="AS144" s="507" cm="1">
        <f t="array" ref="AS144">_xlfn.LET(_xlpm.DepreciationMonths,INDEX(FixedAssets[Depreciation
/ Amortization Months],_xlfn.XMATCH($E$135,FixedAssets[Asset ID])),IF(AND((_xlfn.XMATCH(AS$8,$AH$8:$CC$8))-_xlfn.XMATCH($C144,$C$35:$C$82)+1&lt;=_xlpm.DepreciationMonths,$C144&lt;=AS$8),$E144/_xlpm.DepreciationMonths,0))</f>
        <v>0</v>
      </c>
      <c r="AT144" s="507" cm="1">
        <f t="array" ref="AT144">_xlfn.LET(_xlpm.DepreciationMonths,INDEX(FixedAssets[Depreciation
/ Amortization Months],_xlfn.XMATCH($E$135,FixedAssets[Asset ID])),IF(AND((_xlfn.XMATCH(AT$8,$AH$8:$CC$8))-_xlfn.XMATCH($C144,$C$35:$C$82)+1&lt;=_xlpm.DepreciationMonths,$C144&lt;=AT$8),$E144/_xlpm.DepreciationMonths,0))</f>
        <v>0</v>
      </c>
      <c r="AU144" s="507" cm="1">
        <f t="array" ref="AU144">_xlfn.LET(_xlpm.DepreciationMonths,INDEX(FixedAssets[Depreciation
/ Amortization Months],_xlfn.XMATCH($E$135,FixedAssets[Asset ID])),IF(AND((_xlfn.XMATCH(AU$8,$AH$8:$CC$8))-_xlfn.XMATCH($C144,$C$35:$C$82)+1&lt;=_xlpm.DepreciationMonths,$C144&lt;=AU$8),$E144/_xlpm.DepreciationMonths,0))</f>
        <v>0</v>
      </c>
      <c r="AV144" s="507" cm="1">
        <f t="array" ref="AV144">_xlfn.LET(_xlpm.DepreciationMonths,INDEX(FixedAssets[Depreciation
/ Amortization Months],_xlfn.XMATCH($E$135,FixedAssets[Asset ID])),IF(AND((_xlfn.XMATCH(AV$8,$AH$8:$CC$8))-_xlfn.XMATCH($C144,$C$35:$C$82)+1&lt;=_xlpm.DepreciationMonths,$C144&lt;=AV$8),$E144/_xlpm.DepreciationMonths,0))</f>
        <v>0</v>
      </c>
      <c r="AW144" s="507" cm="1">
        <f t="array" ref="AW144">_xlfn.LET(_xlpm.DepreciationMonths,INDEX(FixedAssets[Depreciation
/ Amortization Months],_xlfn.XMATCH($E$135,FixedAssets[Asset ID])),IF(AND((_xlfn.XMATCH(AW$8,$AH$8:$CC$8))-_xlfn.XMATCH($C144,$C$35:$C$82)+1&lt;=_xlpm.DepreciationMonths,$C144&lt;=AW$8),$E144/_xlpm.DepreciationMonths,0))</f>
        <v>0</v>
      </c>
      <c r="AX144" s="507" cm="1">
        <f t="array" ref="AX144">_xlfn.LET(_xlpm.DepreciationMonths,INDEX(FixedAssets[Depreciation
/ Amortization Months],_xlfn.XMATCH($E$135,FixedAssets[Asset ID])),IF(AND((_xlfn.XMATCH(AX$8,$AH$8:$CC$8))-_xlfn.XMATCH($C144,$C$35:$C$82)+1&lt;=_xlpm.DepreciationMonths,$C144&lt;=AX$8),$E144/_xlpm.DepreciationMonths,0))</f>
        <v>0</v>
      </c>
      <c r="AY144" s="507" cm="1">
        <f t="array" ref="AY144">_xlfn.LET(_xlpm.DepreciationMonths,INDEX(FixedAssets[Depreciation
/ Amortization Months],_xlfn.XMATCH($E$135,FixedAssets[Asset ID])),IF(AND((_xlfn.XMATCH(AY$8,$AH$8:$CC$8))-_xlfn.XMATCH($C144,$C$35:$C$82)+1&lt;=_xlpm.DepreciationMonths,$C144&lt;=AY$8),$E144/_xlpm.DepreciationMonths,0))</f>
        <v>0</v>
      </c>
      <c r="AZ144" s="507" cm="1">
        <f t="array" ref="AZ144">_xlfn.LET(_xlpm.DepreciationMonths,INDEX(FixedAssets[Depreciation
/ Amortization Months],_xlfn.XMATCH($E$135,FixedAssets[Asset ID])),IF(AND((_xlfn.XMATCH(AZ$8,$AH$8:$CC$8))-_xlfn.XMATCH($C144,$C$35:$C$82)+1&lt;=_xlpm.DepreciationMonths,$C144&lt;=AZ$8),$E144/_xlpm.DepreciationMonths,0))</f>
        <v>0</v>
      </c>
      <c r="BA144" s="507" cm="1">
        <f t="array" ref="BA144">_xlfn.LET(_xlpm.DepreciationMonths,INDEX(FixedAssets[Depreciation
/ Amortization Months],_xlfn.XMATCH($E$135,FixedAssets[Asset ID])),IF(AND((_xlfn.XMATCH(BA$8,$AH$8:$CC$8))-_xlfn.XMATCH($C144,$C$35:$C$82)+1&lt;=_xlpm.DepreciationMonths,$C144&lt;=BA$8),$E144/_xlpm.DepreciationMonths,0))</f>
        <v>0</v>
      </c>
      <c r="BB144" s="507" cm="1">
        <f t="array" ref="BB144">_xlfn.LET(_xlpm.DepreciationMonths,INDEX(FixedAssets[Depreciation
/ Amortization Months],_xlfn.XMATCH($E$135,FixedAssets[Asset ID])),IF(AND((_xlfn.XMATCH(BB$8,$AH$8:$CC$8))-_xlfn.XMATCH($C144,$C$35:$C$82)+1&lt;=_xlpm.DepreciationMonths,$C144&lt;=BB$8),$E144/_xlpm.DepreciationMonths,0))</f>
        <v>0</v>
      </c>
      <c r="BC144" s="507" cm="1">
        <f t="array" ref="BC144">_xlfn.LET(_xlpm.DepreciationMonths,INDEX(FixedAssets[Depreciation
/ Amortization Months],_xlfn.XMATCH($E$135,FixedAssets[Asset ID])),IF(AND((_xlfn.XMATCH(BC$8,$AH$8:$CC$8))-_xlfn.XMATCH($C144,$C$35:$C$82)+1&lt;=_xlpm.DepreciationMonths,$C144&lt;=BC$8),$E144/_xlpm.DepreciationMonths,0))</f>
        <v>0</v>
      </c>
      <c r="BD144" s="507" cm="1">
        <f t="array" ref="BD144">_xlfn.LET(_xlpm.DepreciationMonths,INDEX(FixedAssets[Depreciation
/ Amortization Months],_xlfn.XMATCH($E$135,FixedAssets[Asset ID])),IF(AND((_xlfn.XMATCH(BD$8,$AH$8:$CC$8))-_xlfn.XMATCH($C144,$C$35:$C$82)+1&lt;=_xlpm.DepreciationMonths,$C144&lt;=BD$8),$E144/_xlpm.DepreciationMonths,0))</f>
        <v>0</v>
      </c>
      <c r="BE144" s="507" cm="1">
        <f t="array" ref="BE144">_xlfn.LET(_xlpm.DepreciationMonths,INDEX(FixedAssets[Depreciation
/ Amortization Months],_xlfn.XMATCH($E$135,FixedAssets[Asset ID])),IF(AND((_xlfn.XMATCH(BE$8,$AH$8:$CC$8))-_xlfn.XMATCH($C144,$C$35:$C$82)+1&lt;=_xlpm.DepreciationMonths,$C144&lt;=BE$8),$E144/_xlpm.DepreciationMonths,0))</f>
        <v>0</v>
      </c>
      <c r="BF144" s="507" cm="1">
        <f t="array" ref="BF144">_xlfn.LET(_xlpm.DepreciationMonths,INDEX(FixedAssets[Depreciation
/ Amortization Months],_xlfn.XMATCH($E$135,FixedAssets[Asset ID])),IF(AND((_xlfn.XMATCH(BF$8,$AH$8:$CC$8))-_xlfn.XMATCH($C144,$C$35:$C$82)+1&lt;=_xlpm.DepreciationMonths,$C144&lt;=BF$8),$E144/_xlpm.DepreciationMonths,0))</f>
        <v>0</v>
      </c>
      <c r="BG144" s="507" cm="1">
        <f t="array" ref="BG144">_xlfn.LET(_xlpm.DepreciationMonths,INDEX(FixedAssets[Depreciation
/ Amortization Months],_xlfn.XMATCH($E$135,FixedAssets[Asset ID])),IF(AND((_xlfn.XMATCH(BG$8,$AH$8:$CC$8))-_xlfn.XMATCH($C144,$C$35:$C$82)+1&lt;=_xlpm.DepreciationMonths,$C144&lt;=BG$8),$E144/_xlpm.DepreciationMonths,0))</f>
        <v>0</v>
      </c>
      <c r="BH144" s="507" cm="1">
        <f t="array" ref="BH144">_xlfn.LET(_xlpm.DepreciationMonths,INDEX(FixedAssets[Depreciation
/ Amortization Months],_xlfn.XMATCH($E$135,FixedAssets[Asset ID])),IF(AND((_xlfn.XMATCH(BH$8,$AH$8:$CC$8))-_xlfn.XMATCH($C144,$C$35:$C$82)+1&lt;=_xlpm.DepreciationMonths,$C144&lt;=BH$8),$E144/_xlpm.DepreciationMonths,0))</f>
        <v>0</v>
      </c>
      <c r="BI144" s="507" cm="1">
        <f t="array" ref="BI144">_xlfn.LET(_xlpm.DepreciationMonths,INDEX(FixedAssets[Depreciation
/ Amortization Months],_xlfn.XMATCH($E$135,FixedAssets[Asset ID])),IF(AND((_xlfn.XMATCH(BI$8,$AH$8:$CC$8))-_xlfn.XMATCH($C144,$C$35:$C$82)+1&lt;=_xlpm.DepreciationMonths,$C144&lt;=BI$8),$E144/_xlpm.DepreciationMonths,0))</f>
        <v>0</v>
      </c>
      <c r="BJ144" s="507" cm="1">
        <f t="array" ref="BJ144">_xlfn.LET(_xlpm.DepreciationMonths,INDEX(FixedAssets[Depreciation
/ Amortization Months],_xlfn.XMATCH($E$135,FixedAssets[Asset ID])),IF(AND((_xlfn.XMATCH(BJ$8,$AH$8:$CC$8))-_xlfn.XMATCH($C144,$C$35:$C$82)+1&lt;=_xlpm.DepreciationMonths,$C144&lt;=BJ$8),$E144/_xlpm.DepreciationMonths,0))</f>
        <v>0</v>
      </c>
      <c r="BK144" s="507" cm="1">
        <f t="array" ref="BK144">_xlfn.LET(_xlpm.DepreciationMonths,INDEX(FixedAssets[Depreciation
/ Amortization Months],_xlfn.XMATCH($E$135,FixedAssets[Asset ID])),IF(AND((_xlfn.XMATCH(BK$8,$AH$8:$CC$8))-_xlfn.XMATCH($C144,$C$35:$C$82)+1&lt;=_xlpm.DepreciationMonths,$C144&lt;=BK$8),$E144/_xlpm.DepreciationMonths,0))</f>
        <v>0</v>
      </c>
      <c r="BL144" s="507" cm="1">
        <f t="array" ref="BL144">_xlfn.LET(_xlpm.DepreciationMonths,INDEX(FixedAssets[Depreciation
/ Amortization Months],_xlfn.XMATCH($E$135,FixedAssets[Asset ID])),IF(AND((_xlfn.XMATCH(BL$8,$AH$8:$CC$8))-_xlfn.XMATCH($C144,$C$35:$C$82)+1&lt;=_xlpm.DepreciationMonths,$C144&lt;=BL$8),$E144/_xlpm.DepreciationMonths,0))</f>
        <v>0</v>
      </c>
      <c r="BM144" s="507" cm="1">
        <f t="array" ref="BM144">_xlfn.LET(_xlpm.DepreciationMonths,INDEX(FixedAssets[Depreciation
/ Amortization Months],_xlfn.XMATCH($E$135,FixedAssets[Asset ID])),IF(AND((_xlfn.XMATCH(BM$8,$AH$8:$CC$8))-_xlfn.XMATCH($C144,$C$35:$C$82)+1&lt;=_xlpm.DepreciationMonths,$C144&lt;=BM$8),$E144/_xlpm.DepreciationMonths,0))</f>
        <v>0</v>
      </c>
      <c r="BN144" s="507" cm="1">
        <f t="array" ref="BN144">_xlfn.LET(_xlpm.DepreciationMonths,INDEX(FixedAssets[Depreciation
/ Amortization Months],_xlfn.XMATCH($E$135,FixedAssets[Asset ID])),IF(AND((_xlfn.XMATCH(BN$8,$AH$8:$CC$8))-_xlfn.XMATCH($C144,$C$35:$C$82)+1&lt;=_xlpm.DepreciationMonths,$C144&lt;=BN$8),$E144/_xlpm.DepreciationMonths,0))</f>
        <v>0</v>
      </c>
      <c r="BO144" s="507" cm="1">
        <f t="array" ref="BO144">_xlfn.LET(_xlpm.DepreciationMonths,INDEX(FixedAssets[Depreciation
/ Amortization Months],_xlfn.XMATCH($E$135,FixedAssets[Asset ID])),IF(AND((_xlfn.XMATCH(BO$8,$AH$8:$CC$8))-_xlfn.XMATCH($C144,$C$35:$C$82)+1&lt;=_xlpm.DepreciationMonths,$C144&lt;=BO$8),$E144/_xlpm.DepreciationMonths,0))</f>
        <v>0</v>
      </c>
      <c r="BP144" s="507" cm="1">
        <f t="array" ref="BP144">_xlfn.LET(_xlpm.DepreciationMonths,INDEX(FixedAssets[Depreciation
/ Amortization Months],_xlfn.XMATCH($E$135,FixedAssets[Asset ID])),IF(AND((_xlfn.XMATCH(BP$8,$AH$8:$CC$8))-_xlfn.XMATCH($C144,$C$35:$C$82)+1&lt;=_xlpm.DepreciationMonths,$C144&lt;=BP$8),$E144/_xlpm.DepreciationMonths,0))</f>
        <v>0</v>
      </c>
      <c r="BQ144" s="507" cm="1">
        <f t="array" ref="BQ144">_xlfn.LET(_xlpm.DepreciationMonths,INDEX(FixedAssets[Depreciation
/ Amortization Months],_xlfn.XMATCH($E$135,FixedAssets[Asset ID])),IF(AND((_xlfn.XMATCH(BQ$8,$AH$8:$CC$8))-_xlfn.XMATCH($C144,$C$35:$C$82)+1&lt;=_xlpm.DepreciationMonths,$C144&lt;=BQ$8),$E144/_xlpm.DepreciationMonths,0))</f>
        <v>0</v>
      </c>
      <c r="BR144" s="507" cm="1">
        <f t="array" ref="BR144">_xlfn.LET(_xlpm.DepreciationMonths,INDEX(FixedAssets[Depreciation
/ Amortization Months],_xlfn.XMATCH($E$135,FixedAssets[Asset ID])),IF(AND((_xlfn.XMATCH(BR$8,$AH$8:$CC$8))-_xlfn.XMATCH($C144,$C$35:$C$82)+1&lt;=_xlpm.DepreciationMonths,$C144&lt;=BR$8),$E144/_xlpm.DepreciationMonths,0))</f>
        <v>0</v>
      </c>
      <c r="BS144" s="507" cm="1">
        <f t="array" ref="BS144">_xlfn.LET(_xlpm.DepreciationMonths,INDEX(FixedAssets[Depreciation
/ Amortization Months],_xlfn.XMATCH($E$135,FixedAssets[Asset ID])),IF(AND((_xlfn.XMATCH(BS$8,$AH$8:$CC$8))-_xlfn.XMATCH($C144,$C$35:$C$82)+1&lt;=_xlpm.DepreciationMonths,$C144&lt;=BS$8),$E144/_xlpm.DepreciationMonths,0))</f>
        <v>0</v>
      </c>
      <c r="BT144" s="507" cm="1">
        <f t="array" ref="BT144">_xlfn.LET(_xlpm.DepreciationMonths,INDEX(FixedAssets[Depreciation
/ Amortization Months],_xlfn.XMATCH($E$135,FixedAssets[Asset ID])),IF(AND((_xlfn.XMATCH(BT$8,$AH$8:$CC$8))-_xlfn.XMATCH($C144,$C$35:$C$82)+1&lt;=_xlpm.DepreciationMonths,$C144&lt;=BT$8),$E144/_xlpm.DepreciationMonths,0))</f>
        <v>0</v>
      </c>
      <c r="BU144" s="507" cm="1">
        <f t="array" ref="BU144">_xlfn.LET(_xlpm.DepreciationMonths,INDEX(FixedAssets[Depreciation
/ Amortization Months],_xlfn.XMATCH($E$135,FixedAssets[Asset ID])),IF(AND((_xlfn.XMATCH(BU$8,$AH$8:$CC$8))-_xlfn.XMATCH($C144,$C$35:$C$82)+1&lt;=_xlpm.DepreciationMonths,$C144&lt;=BU$8),$E144/_xlpm.DepreciationMonths,0))</f>
        <v>0</v>
      </c>
      <c r="BV144" s="507" cm="1">
        <f t="array" ref="BV144">_xlfn.LET(_xlpm.DepreciationMonths,INDEX(FixedAssets[Depreciation
/ Amortization Months],_xlfn.XMATCH($E$135,FixedAssets[Asset ID])),IF(AND((_xlfn.XMATCH(BV$8,$AH$8:$CC$8))-_xlfn.XMATCH($C144,$C$35:$C$82)+1&lt;=_xlpm.DepreciationMonths,$C144&lt;=BV$8),$E144/_xlpm.DepreciationMonths,0))</f>
        <v>0</v>
      </c>
      <c r="BW144" s="507" cm="1">
        <f t="array" ref="BW144">_xlfn.LET(_xlpm.DepreciationMonths,INDEX(FixedAssets[Depreciation
/ Amortization Months],_xlfn.XMATCH($E$135,FixedAssets[Asset ID])),IF(AND((_xlfn.XMATCH(BW$8,$AH$8:$CC$8))-_xlfn.XMATCH($C144,$C$35:$C$82)+1&lt;=_xlpm.DepreciationMonths,$C144&lt;=BW$8),$E144/_xlpm.DepreciationMonths,0))</f>
        <v>0</v>
      </c>
      <c r="BX144" s="507" cm="1">
        <f t="array" ref="BX144">_xlfn.LET(_xlpm.DepreciationMonths,INDEX(FixedAssets[Depreciation
/ Amortization Months],_xlfn.XMATCH($E$135,FixedAssets[Asset ID])),IF(AND((_xlfn.XMATCH(BX$8,$AH$8:$CC$8))-_xlfn.XMATCH($C144,$C$35:$C$82)+1&lt;=_xlpm.DepreciationMonths,$C144&lt;=BX$8),$E144/_xlpm.DepreciationMonths,0))</f>
        <v>0</v>
      </c>
      <c r="BY144" s="507" cm="1">
        <f t="array" ref="BY144">_xlfn.LET(_xlpm.DepreciationMonths,INDEX(FixedAssets[Depreciation
/ Amortization Months],_xlfn.XMATCH($E$135,FixedAssets[Asset ID])),IF(AND((_xlfn.XMATCH(BY$8,$AH$8:$CC$8))-_xlfn.XMATCH($C144,$C$35:$C$82)+1&lt;=_xlpm.DepreciationMonths,$C144&lt;=BY$8),$E144/_xlpm.DepreciationMonths,0))</f>
        <v>0</v>
      </c>
      <c r="BZ144" s="507" cm="1">
        <f t="array" ref="BZ144">_xlfn.LET(_xlpm.DepreciationMonths,INDEX(FixedAssets[Depreciation
/ Amortization Months],_xlfn.XMATCH($E$135,FixedAssets[Asset ID])),IF(AND((_xlfn.XMATCH(BZ$8,$AH$8:$CC$8))-_xlfn.XMATCH($C144,$C$35:$C$82)+1&lt;=_xlpm.DepreciationMonths,$C144&lt;=BZ$8),$E144/_xlpm.DepreciationMonths,0))</f>
        <v>0</v>
      </c>
      <c r="CA144" s="507" cm="1">
        <f t="array" ref="CA144">_xlfn.LET(_xlpm.DepreciationMonths,INDEX(FixedAssets[Depreciation
/ Amortization Months],_xlfn.XMATCH($E$135,FixedAssets[Asset ID])),IF(AND((_xlfn.XMATCH(CA$8,$AH$8:$CC$8))-_xlfn.XMATCH($C144,$C$35:$C$82)+1&lt;=_xlpm.DepreciationMonths,$C144&lt;=CA$8),$E144/_xlpm.DepreciationMonths,0))</f>
        <v>0</v>
      </c>
      <c r="CB144" s="507" cm="1">
        <f t="array" ref="CB144">_xlfn.LET(_xlpm.DepreciationMonths,INDEX(FixedAssets[Depreciation
/ Amortization Months],_xlfn.XMATCH($E$135,FixedAssets[Asset ID])),IF(AND((_xlfn.XMATCH(CB$8,$AH$8:$CC$8))-_xlfn.XMATCH($C144,$C$35:$C$82)+1&lt;=_xlpm.DepreciationMonths,$C144&lt;=CB$8),$E144/_xlpm.DepreciationMonths,0))</f>
        <v>0</v>
      </c>
      <c r="CC144" s="507" cm="1">
        <f t="array" ref="CC144">_xlfn.LET(_xlpm.DepreciationMonths,INDEX(FixedAssets[Depreciation
/ Amortization Months],_xlfn.XMATCH($E$135,FixedAssets[Asset ID])),IF(AND((_xlfn.XMATCH(CC$8,$AH$8:$CC$8))-_xlfn.XMATCH($C144,$C$35:$C$82)+1&lt;=_xlpm.DepreciationMonths,$C144&lt;=CC$8),$E144/_xlpm.DepreciationMonths,0))</f>
        <v>0</v>
      </c>
    </row>
    <row r="145" spans="3:81" hidden="1" outlineLevel="2">
      <c r="C145" s="664">
        <f t="shared" si="243"/>
        <v>45199</v>
      </c>
      <c r="D145" s="508"/>
      <c r="E145" s="508" cm="1">
        <f t="array" ref="E145">SUMPRODUCT(($AH$26:$CC$31)*($AH$5:$CC$5=$C145)*($E$26:$E$31=E$135))-SUMPRODUCT(($AH$26:$CC$31)*($AH$5:$CC$5=EOMONTH($C145,-1))*($E$26:$E$31=E$135))</f>
        <v>0</v>
      </c>
      <c r="F145" s="508"/>
      <c r="G145" s="508"/>
      <c r="H145" s="508"/>
      <c r="I145" s="508"/>
      <c r="J145" s="504">
        <f t="shared" si="240"/>
        <v>0</v>
      </c>
      <c r="K145" s="504">
        <f t="shared" si="241"/>
        <v>0</v>
      </c>
      <c r="L145" s="504">
        <f t="shared" si="241"/>
        <v>0</v>
      </c>
      <c r="M145" s="504">
        <f t="shared" si="241"/>
        <v>0</v>
      </c>
      <c r="N145" s="504"/>
      <c r="O145" s="504"/>
      <c r="P145" s="504">
        <f t="shared" si="242"/>
        <v>0</v>
      </c>
      <c r="Q145" s="504">
        <f t="shared" si="242"/>
        <v>0</v>
      </c>
      <c r="R145" s="504">
        <f t="shared" si="242"/>
        <v>0</v>
      </c>
      <c r="S145" s="504">
        <f t="shared" si="242"/>
        <v>0</v>
      </c>
      <c r="T145" s="504">
        <f t="shared" si="242"/>
        <v>0</v>
      </c>
      <c r="U145" s="504">
        <f t="shared" si="242"/>
        <v>0</v>
      </c>
      <c r="V145" s="504">
        <f t="shared" si="242"/>
        <v>0</v>
      </c>
      <c r="W145" s="504">
        <f t="shared" si="242"/>
        <v>0</v>
      </c>
      <c r="X145" s="504">
        <f t="shared" si="242"/>
        <v>0</v>
      </c>
      <c r="Y145" s="504">
        <f t="shared" si="242"/>
        <v>0</v>
      </c>
      <c r="Z145" s="504">
        <f t="shared" si="242"/>
        <v>0</v>
      </c>
      <c r="AA145" s="504">
        <f t="shared" si="242"/>
        <v>0</v>
      </c>
      <c r="AB145" s="504">
        <f t="shared" si="242"/>
        <v>0</v>
      </c>
      <c r="AC145" s="504">
        <f t="shared" si="242"/>
        <v>0</v>
      </c>
      <c r="AD145" s="504">
        <f t="shared" si="242"/>
        <v>0</v>
      </c>
      <c r="AE145" s="504">
        <f t="shared" si="242"/>
        <v>0</v>
      </c>
      <c r="AF145" s="508"/>
      <c r="AG145" s="508"/>
      <c r="AH145" s="507" cm="1">
        <f t="array" ref="AH145">_xlfn.LET(_xlpm.DepreciationMonths,INDEX(FixedAssets[Depreciation
/ Amortization Months],_xlfn.XMATCH($E$135,FixedAssets[Asset ID])),IF(AND((_xlfn.XMATCH(AH$8,$AH$8:$CC$8))-_xlfn.XMATCH($C145,$C$35:$C$82)+1&lt;=_xlpm.DepreciationMonths,$C145&lt;=AH$8),$E145/_xlpm.DepreciationMonths,0))</f>
        <v>0</v>
      </c>
      <c r="AI145" s="507" cm="1">
        <f t="array" ref="AI145">_xlfn.LET(_xlpm.DepreciationMonths,INDEX(FixedAssets[Depreciation
/ Amortization Months],_xlfn.XMATCH($E$135,FixedAssets[Asset ID])),IF(AND((_xlfn.XMATCH(AI$8,$AH$8:$CC$8))-_xlfn.XMATCH($C145,$C$35:$C$82)+1&lt;=_xlpm.DepreciationMonths,$C145&lt;=AI$8),$E145/_xlpm.DepreciationMonths,0))</f>
        <v>0</v>
      </c>
      <c r="AJ145" s="507" cm="1">
        <f t="array" ref="AJ145">_xlfn.LET(_xlpm.DepreciationMonths,INDEX(FixedAssets[Depreciation
/ Amortization Months],_xlfn.XMATCH($E$135,FixedAssets[Asset ID])),IF(AND((_xlfn.XMATCH(AJ$8,$AH$8:$CC$8))-_xlfn.XMATCH($C145,$C$35:$C$82)+1&lt;=_xlpm.DepreciationMonths,$C145&lt;=AJ$8),$E145/_xlpm.DepreciationMonths,0))</f>
        <v>0</v>
      </c>
      <c r="AK145" s="507" cm="1">
        <f t="array" ref="AK145">_xlfn.LET(_xlpm.DepreciationMonths,INDEX(FixedAssets[Depreciation
/ Amortization Months],_xlfn.XMATCH($E$135,FixedAssets[Asset ID])),IF(AND((_xlfn.XMATCH(AK$8,$AH$8:$CC$8))-_xlfn.XMATCH($C145,$C$35:$C$82)+1&lt;=_xlpm.DepreciationMonths,$C145&lt;=AK$8),$E145/_xlpm.DepreciationMonths,0))</f>
        <v>0</v>
      </c>
      <c r="AL145" s="507" cm="1">
        <f t="array" ref="AL145">_xlfn.LET(_xlpm.DepreciationMonths,INDEX(FixedAssets[Depreciation
/ Amortization Months],_xlfn.XMATCH($E$135,FixedAssets[Asset ID])),IF(AND((_xlfn.XMATCH(AL$8,$AH$8:$CC$8))-_xlfn.XMATCH($C145,$C$35:$C$82)+1&lt;=_xlpm.DepreciationMonths,$C145&lt;=AL$8),$E145/_xlpm.DepreciationMonths,0))</f>
        <v>0</v>
      </c>
      <c r="AM145" s="507" cm="1">
        <f t="array" ref="AM145">_xlfn.LET(_xlpm.DepreciationMonths,INDEX(FixedAssets[Depreciation
/ Amortization Months],_xlfn.XMATCH($E$135,FixedAssets[Asset ID])),IF(AND((_xlfn.XMATCH(AM$8,$AH$8:$CC$8))-_xlfn.XMATCH($C145,$C$35:$C$82)+1&lt;=_xlpm.DepreciationMonths,$C145&lt;=AM$8),$E145/_xlpm.DepreciationMonths,0))</f>
        <v>0</v>
      </c>
      <c r="AN145" s="507" cm="1">
        <f t="array" ref="AN145">_xlfn.LET(_xlpm.DepreciationMonths,INDEX(FixedAssets[Depreciation
/ Amortization Months],_xlfn.XMATCH($E$135,FixedAssets[Asset ID])),IF(AND((_xlfn.XMATCH(AN$8,$AH$8:$CC$8))-_xlfn.XMATCH($C145,$C$35:$C$82)+1&lt;=_xlpm.DepreciationMonths,$C145&lt;=AN$8),$E145/_xlpm.DepreciationMonths,0))</f>
        <v>0</v>
      </c>
      <c r="AO145" s="507" cm="1">
        <f t="array" ref="AO145">_xlfn.LET(_xlpm.DepreciationMonths,INDEX(FixedAssets[Depreciation
/ Amortization Months],_xlfn.XMATCH($E$135,FixedAssets[Asset ID])),IF(AND((_xlfn.XMATCH(AO$8,$AH$8:$CC$8))-_xlfn.XMATCH($C145,$C$35:$C$82)+1&lt;=_xlpm.DepreciationMonths,$C145&lt;=AO$8),$E145/_xlpm.DepreciationMonths,0))</f>
        <v>0</v>
      </c>
      <c r="AP145" s="507" cm="1">
        <f t="array" ref="AP145">_xlfn.LET(_xlpm.DepreciationMonths,INDEX(FixedAssets[Depreciation
/ Amortization Months],_xlfn.XMATCH($E$135,FixedAssets[Asset ID])),IF(AND((_xlfn.XMATCH(AP$8,$AH$8:$CC$8))-_xlfn.XMATCH($C145,$C$35:$C$82)+1&lt;=_xlpm.DepreciationMonths,$C145&lt;=AP$8),$E145/_xlpm.DepreciationMonths,0))</f>
        <v>0</v>
      </c>
      <c r="AQ145" s="507" cm="1">
        <f t="array" ref="AQ145">_xlfn.LET(_xlpm.DepreciationMonths,INDEX(FixedAssets[Depreciation
/ Amortization Months],_xlfn.XMATCH($E$135,FixedAssets[Asset ID])),IF(AND((_xlfn.XMATCH(AQ$8,$AH$8:$CC$8))-_xlfn.XMATCH($C145,$C$35:$C$82)+1&lt;=_xlpm.DepreciationMonths,$C145&lt;=AQ$8),$E145/_xlpm.DepreciationMonths,0))</f>
        <v>0</v>
      </c>
      <c r="AR145" s="507" cm="1">
        <f t="array" ref="AR145">_xlfn.LET(_xlpm.DepreciationMonths,INDEX(FixedAssets[Depreciation
/ Amortization Months],_xlfn.XMATCH($E$135,FixedAssets[Asset ID])),IF(AND((_xlfn.XMATCH(AR$8,$AH$8:$CC$8))-_xlfn.XMATCH($C145,$C$35:$C$82)+1&lt;=_xlpm.DepreciationMonths,$C145&lt;=AR$8),$E145/_xlpm.DepreciationMonths,0))</f>
        <v>0</v>
      </c>
      <c r="AS145" s="507" cm="1">
        <f t="array" ref="AS145">_xlfn.LET(_xlpm.DepreciationMonths,INDEX(FixedAssets[Depreciation
/ Amortization Months],_xlfn.XMATCH($E$135,FixedAssets[Asset ID])),IF(AND((_xlfn.XMATCH(AS$8,$AH$8:$CC$8))-_xlfn.XMATCH($C145,$C$35:$C$82)+1&lt;=_xlpm.DepreciationMonths,$C145&lt;=AS$8),$E145/_xlpm.DepreciationMonths,0))</f>
        <v>0</v>
      </c>
      <c r="AT145" s="507" cm="1">
        <f t="array" ref="AT145">_xlfn.LET(_xlpm.DepreciationMonths,INDEX(FixedAssets[Depreciation
/ Amortization Months],_xlfn.XMATCH($E$135,FixedAssets[Asset ID])),IF(AND((_xlfn.XMATCH(AT$8,$AH$8:$CC$8))-_xlfn.XMATCH($C145,$C$35:$C$82)+1&lt;=_xlpm.DepreciationMonths,$C145&lt;=AT$8),$E145/_xlpm.DepreciationMonths,0))</f>
        <v>0</v>
      </c>
      <c r="AU145" s="507" cm="1">
        <f t="array" ref="AU145">_xlfn.LET(_xlpm.DepreciationMonths,INDEX(FixedAssets[Depreciation
/ Amortization Months],_xlfn.XMATCH($E$135,FixedAssets[Asset ID])),IF(AND((_xlfn.XMATCH(AU$8,$AH$8:$CC$8))-_xlfn.XMATCH($C145,$C$35:$C$82)+1&lt;=_xlpm.DepreciationMonths,$C145&lt;=AU$8),$E145/_xlpm.DepreciationMonths,0))</f>
        <v>0</v>
      </c>
      <c r="AV145" s="507" cm="1">
        <f t="array" ref="AV145">_xlfn.LET(_xlpm.DepreciationMonths,INDEX(FixedAssets[Depreciation
/ Amortization Months],_xlfn.XMATCH($E$135,FixedAssets[Asset ID])),IF(AND((_xlfn.XMATCH(AV$8,$AH$8:$CC$8))-_xlfn.XMATCH($C145,$C$35:$C$82)+1&lt;=_xlpm.DepreciationMonths,$C145&lt;=AV$8),$E145/_xlpm.DepreciationMonths,0))</f>
        <v>0</v>
      </c>
      <c r="AW145" s="507" cm="1">
        <f t="array" ref="AW145">_xlfn.LET(_xlpm.DepreciationMonths,INDEX(FixedAssets[Depreciation
/ Amortization Months],_xlfn.XMATCH($E$135,FixedAssets[Asset ID])),IF(AND((_xlfn.XMATCH(AW$8,$AH$8:$CC$8))-_xlfn.XMATCH($C145,$C$35:$C$82)+1&lt;=_xlpm.DepreciationMonths,$C145&lt;=AW$8),$E145/_xlpm.DepreciationMonths,0))</f>
        <v>0</v>
      </c>
      <c r="AX145" s="507" cm="1">
        <f t="array" ref="AX145">_xlfn.LET(_xlpm.DepreciationMonths,INDEX(FixedAssets[Depreciation
/ Amortization Months],_xlfn.XMATCH($E$135,FixedAssets[Asset ID])),IF(AND((_xlfn.XMATCH(AX$8,$AH$8:$CC$8))-_xlfn.XMATCH($C145,$C$35:$C$82)+1&lt;=_xlpm.DepreciationMonths,$C145&lt;=AX$8),$E145/_xlpm.DepreciationMonths,0))</f>
        <v>0</v>
      </c>
      <c r="AY145" s="507" cm="1">
        <f t="array" ref="AY145">_xlfn.LET(_xlpm.DepreciationMonths,INDEX(FixedAssets[Depreciation
/ Amortization Months],_xlfn.XMATCH($E$135,FixedAssets[Asset ID])),IF(AND((_xlfn.XMATCH(AY$8,$AH$8:$CC$8))-_xlfn.XMATCH($C145,$C$35:$C$82)+1&lt;=_xlpm.DepreciationMonths,$C145&lt;=AY$8),$E145/_xlpm.DepreciationMonths,0))</f>
        <v>0</v>
      </c>
      <c r="AZ145" s="507" cm="1">
        <f t="array" ref="AZ145">_xlfn.LET(_xlpm.DepreciationMonths,INDEX(FixedAssets[Depreciation
/ Amortization Months],_xlfn.XMATCH($E$135,FixedAssets[Asset ID])),IF(AND((_xlfn.XMATCH(AZ$8,$AH$8:$CC$8))-_xlfn.XMATCH($C145,$C$35:$C$82)+1&lt;=_xlpm.DepreciationMonths,$C145&lt;=AZ$8),$E145/_xlpm.DepreciationMonths,0))</f>
        <v>0</v>
      </c>
      <c r="BA145" s="507" cm="1">
        <f t="array" ref="BA145">_xlfn.LET(_xlpm.DepreciationMonths,INDEX(FixedAssets[Depreciation
/ Amortization Months],_xlfn.XMATCH($E$135,FixedAssets[Asset ID])),IF(AND((_xlfn.XMATCH(BA$8,$AH$8:$CC$8))-_xlfn.XMATCH($C145,$C$35:$C$82)+1&lt;=_xlpm.DepreciationMonths,$C145&lt;=BA$8),$E145/_xlpm.DepreciationMonths,0))</f>
        <v>0</v>
      </c>
      <c r="BB145" s="507" cm="1">
        <f t="array" ref="BB145">_xlfn.LET(_xlpm.DepreciationMonths,INDEX(FixedAssets[Depreciation
/ Amortization Months],_xlfn.XMATCH($E$135,FixedAssets[Asset ID])),IF(AND((_xlfn.XMATCH(BB$8,$AH$8:$CC$8))-_xlfn.XMATCH($C145,$C$35:$C$82)+1&lt;=_xlpm.DepreciationMonths,$C145&lt;=BB$8),$E145/_xlpm.DepreciationMonths,0))</f>
        <v>0</v>
      </c>
      <c r="BC145" s="507" cm="1">
        <f t="array" ref="BC145">_xlfn.LET(_xlpm.DepreciationMonths,INDEX(FixedAssets[Depreciation
/ Amortization Months],_xlfn.XMATCH($E$135,FixedAssets[Asset ID])),IF(AND((_xlfn.XMATCH(BC$8,$AH$8:$CC$8))-_xlfn.XMATCH($C145,$C$35:$C$82)+1&lt;=_xlpm.DepreciationMonths,$C145&lt;=BC$8),$E145/_xlpm.DepreciationMonths,0))</f>
        <v>0</v>
      </c>
      <c r="BD145" s="507" cm="1">
        <f t="array" ref="BD145">_xlfn.LET(_xlpm.DepreciationMonths,INDEX(FixedAssets[Depreciation
/ Amortization Months],_xlfn.XMATCH($E$135,FixedAssets[Asset ID])),IF(AND((_xlfn.XMATCH(BD$8,$AH$8:$CC$8))-_xlfn.XMATCH($C145,$C$35:$C$82)+1&lt;=_xlpm.DepreciationMonths,$C145&lt;=BD$8),$E145/_xlpm.DepreciationMonths,0))</f>
        <v>0</v>
      </c>
      <c r="BE145" s="507" cm="1">
        <f t="array" ref="BE145">_xlfn.LET(_xlpm.DepreciationMonths,INDEX(FixedAssets[Depreciation
/ Amortization Months],_xlfn.XMATCH($E$135,FixedAssets[Asset ID])),IF(AND((_xlfn.XMATCH(BE$8,$AH$8:$CC$8))-_xlfn.XMATCH($C145,$C$35:$C$82)+1&lt;=_xlpm.DepreciationMonths,$C145&lt;=BE$8),$E145/_xlpm.DepreciationMonths,0))</f>
        <v>0</v>
      </c>
      <c r="BF145" s="507" cm="1">
        <f t="array" ref="BF145">_xlfn.LET(_xlpm.DepreciationMonths,INDEX(FixedAssets[Depreciation
/ Amortization Months],_xlfn.XMATCH($E$135,FixedAssets[Asset ID])),IF(AND((_xlfn.XMATCH(BF$8,$AH$8:$CC$8))-_xlfn.XMATCH($C145,$C$35:$C$82)+1&lt;=_xlpm.DepreciationMonths,$C145&lt;=BF$8),$E145/_xlpm.DepreciationMonths,0))</f>
        <v>0</v>
      </c>
      <c r="BG145" s="507" cm="1">
        <f t="array" ref="BG145">_xlfn.LET(_xlpm.DepreciationMonths,INDEX(FixedAssets[Depreciation
/ Amortization Months],_xlfn.XMATCH($E$135,FixedAssets[Asset ID])),IF(AND((_xlfn.XMATCH(BG$8,$AH$8:$CC$8))-_xlfn.XMATCH($C145,$C$35:$C$82)+1&lt;=_xlpm.DepreciationMonths,$C145&lt;=BG$8),$E145/_xlpm.DepreciationMonths,0))</f>
        <v>0</v>
      </c>
      <c r="BH145" s="507" cm="1">
        <f t="array" ref="BH145">_xlfn.LET(_xlpm.DepreciationMonths,INDEX(FixedAssets[Depreciation
/ Amortization Months],_xlfn.XMATCH($E$135,FixedAssets[Asset ID])),IF(AND((_xlfn.XMATCH(BH$8,$AH$8:$CC$8))-_xlfn.XMATCH($C145,$C$35:$C$82)+1&lt;=_xlpm.DepreciationMonths,$C145&lt;=BH$8),$E145/_xlpm.DepreciationMonths,0))</f>
        <v>0</v>
      </c>
      <c r="BI145" s="507" cm="1">
        <f t="array" ref="BI145">_xlfn.LET(_xlpm.DepreciationMonths,INDEX(FixedAssets[Depreciation
/ Amortization Months],_xlfn.XMATCH($E$135,FixedAssets[Asset ID])),IF(AND((_xlfn.XMATCH(BI$8,$AH$8:$CC$8))-_xlfn.XMATCH($C145,$C$35:$C$82)+1&lt;=_xlpm.DepreciationMonths,$C145&lt;=BI$8),$E145/_xlpm.DepreciationMonths,0))</f>
        <v>0</v>
      </c>
      <c r="BJ145" s="507" cm="1">
        <f t="array" ref="BJ145">_xlfn.LET(_xlpm.DepreciationMonths,INDEX(FixedAssets[Depreciation
/ Amortization Months],_xlfn.XMATCH($E$135,FixedAssets[Asset ID])),IF(AND((_xlfn.XMATCH(BJ$8,$AH$8:$CC$8))-_xlfn.XMATCH($C145,$C$35:$C$82)+1&lt;=_xlpm.DepreciationMonths,$C145&lt;=BJ$8),$E145/_xlpm.DepreciationMonths,0))</f>
        <v>0</v>
      </c>
      <c r="BK145" s="507" cm="1">
        <f t="array" ref="BK145">_xlfn.LET(_xlpm.DepreciationMonths,INDEX(FixedAssets[Depreciation
/ Amortization Months],_xlfn.XMATCH($E$135,FixedAssets[Asset ID])),IF(AND((_xlfn.XMATCH(BK$8,$AH$8:$CC$8))-_xlfn.XMATCH($C145,$C$35:$C$82)+1&lt;=_xlpm.DepreciationMonths,$C145&lt;=BK$8),$E145/_xlpm.DepreciationMonths,0))</f>
        <v>0</v>
      </c>
      <c r="BL145" s="507" cm="1">
        <f t="array" ref="BL145">_xlfn.LET(_xlpm.DepreciationMonths,INDEX(FixedAssets[Depreciation
/ Amortization Months],_xlfn.XMATCH($E$135,FixedAssets[Asset ID])),IF(AND((_xlfn.XMATCH(BL$8,$AH$8:$CC$8))-_xlfn.XMATCH($C145,$C$35:$C$82)+1&lt;=_xlpm.DepreciationMonths,$C145&lt;=BL$8),$E145/_xlpm.DepreciationMonths,0))</f>
        <v>0</v>
      </c>
      <c r="BM145" s="507" cm="1">
        <f t="array" ref="BM145">_xlfn.LET(_xlpm.DepreciationMonths,INDEX(FixedAssets[Depreciation
/ Amortization Months],_xlfn.XMATCH($E$135,FixedAssets[Asset ID])),IF(AND((_xlfn.XMATCH(BM$8,$AH$8:$CC$8))-_xlfn.XMATCH($C145,$C$35:$C$82)+1&lt;=_xlpm.DepreciationMonths,$C145&lt;=BM$8),$E145/_xlpm.DepreciationMonths,0))</f>
        <v>0</v>
      </c>
      <c r="BN145" s="507" cm="1">
        <f t="array" ref="BN145">_xlfn.LET(_xlpm.DepreciationMonths,INDEX(FixedAssets[Depreciation
/ Amortization Months],_xlfn.XMATCH($E$135,FixedAssets[Asset ID])),IF(AND((_xlfn.XMATCH(BN$8,$AH$8:$CC$8))-_xlfn.XMATCH($C145,$C$35:$C$82)+1&lt;=_xlpm.DepreciationMonths,$C145&lt;=BN$8),$E145/_xlpm.DepreciationMonths,0))</f>
        <v>0</v>
      </c>
      <c r="BO145" s="507" cm="1">
        <f t="array" ref="BO145">_xlfn.LET(_xlpm.DepreciationMonths,INDEX(FixedAssets[Depreciation
/ Amortization Months],_xlfn.XMATCH($E$135,FixedAssets[Asset ID])),IF(AND((_xlfn.XMATCH(BO$8,$AH$8:$CC$8))-_xlfn.XMATCH($C145,$C$35:$C$82)+1&lt;=_xlpm.DepreciationMonths,$C145&lt;=BO$8),$E145/_xlpm.DepreciationMonths,0))</f>
        <v>0</v>
      </c>
      <c r="BP145" s="507" cm="1">
        <f t="array" ref="BP145">_xlfn.LET(_xlpm.DepreciationMonths,INDEX(FixedAssets[Depreciation
/ Amortization Months],_xlfn.XMATCH($E$135,FixedAssets[Asset ID])),IF(AND((_xlfn.XMATCH(BP$8,$AH$8:$CC$8))-_xlfn.XMATCH($C145,$C$35:$C$82)+1&lt;=_xlpm.DepreciationMonths,$C145&lt;=BP$8),$E145/_xlpm.DepreciationMonths,0))</f>
        <v>0</v>
      </c>
      <c r="BQ145" s="507" cm="1">
        <f t="array" ref="BQ145">_xlfn.LET(_xlpm.DepreciationMonths,INDEX(FixedAssets[Depreciation
/ Amortization Months],_xlfn.XMATCH($E$135,FixedAssets[Asset ID])),IF(AND((_xlfn.XMATCH(BQ$8,$AH$8:$CC$8))-_xlfn.XMATCH($C145,$C$35:$C$82)+1&lt;=_xlpm.DepreciationMonths,$C145&lt;=BQ$8),$E145/_xlpm.DepreciationMonths,0))</f>
        <v>0</v>
      </c>
      <c r="BR145" s="507" cm="1">
        <f t="array" ref="BR145">_xlfn.LET(_xlpm.DepreciationMonths,INDEX(FixedAssets[Depreciation
/ Amortization Months],_xlfn.XMATCH($E$135,FixedAssets[Asset ID])),IF(AND((_xlfn.XMATCH(BR$8,$AH$8:$CC$8))-_xlfn.XMATCH($C145,$C$35:$C$82)+1&lt;=_xlpm.DepreciationMonths,$C145&lt;=BR$8),$E145/_xlpm.DepreciationMonths,0))</f>
        <v>0</v>
      </c>
      <c r="BS145" s="507" cm="1">
        <f t="array" ref="BS145">_xlfn.LET(_xlpm.DepreciationMonths,INDEX(FixedAssets[Depreciation
/ Amortization Months],_xlfn.XMATCH($E$135,FixedAssets[Asset ID])),IF(AND((_xlfn.XMATCH(BS$8,$AH$8:$CC$8))-_xlfn.XMATCH($C145,$C$35:$C$82)+1&lt;=_xlpm.DepreciationMonths,$C145&lt;=BS$8),$E145/_xlpm.DepreciationMonths,0))</f>
        <v>0</v>
      </c>
      <c r="BT145" s="507" cm="1">
        <f t="array" ref="BT145">_xlfn.LET(_xlpm.DepreciationMonths,INDEX(FixedAssets[Depreciation
/ Amortization Months],_xlfn.XMATCH($E$135,FixedAssets[Asset ID])),IF(AND((_xlfn.XMATCH(BT$8,$AH$8:$CC$8))-_xlfn.XMATCH($C145,$C$35:$C$82)+1&lt;=_xlpm.DepreciationMonths,$C145&lt;=BT$8),$E145/_xlpm.DepreciationMonths,0))</f>
        <v>0</v>
      </c>
      <c r="BU145" s="507" cm="1">
        <f t="array" ref="BU145">_xlfn.LET(_xlpm.DepreciationMonths,INDEX(FixedAssets[Depreciation
/ Amortization Months],_xlfn.XMATCH($E$135,FixedAssets[Asset ID])),IF(AND((_xlfn.XMATCH(BU$8,$AH$8:$CC$8))-_xlfn.XMATCH($C145,$C$35:$C$82)+1&lt;=_xlpm.DepreciationMonths,$C145&lt;=BU$8),$E145/_xlpm.DepreciationMonths,0))</f>
        <v>0</v>
      </c>
      <c r="BV145" s="507" cm="1">
        <f t="array" ref="BV145">_xlfn.LET(_xlpm.DepreciationMonths,INDEX(FixedAssets[Depreciation
/ Amortization Months],_xlfn.XMATCH($E$135,FixedAssets[Asset ID])),IF(AND((_xlfn.XMATCH(BV$8,$AH$8:$CC$8))-_xlfn.XMATCH($C145,$C$35:$C$82)+1&lt;=_xlpm.DepreciationMonths,$C145&lt;=BV$8),$E145/_xlpm.DepreciationMonths,0))</f>
        <v>0</v>
      </c>
      <c r="BW145" s="507" cm="1">
        <f t="array" ref="BW145">_xlfn.LET(_xlpm.DepreciationMonths,INDEX(FixedAssets[Depreciation
/ Amortization Months],_xlfn.XMATCH($E$135,FixedAssets[Asset ID])),IF(AND((_xlfn.XMATCH(BW$8,$AH$8:$CC$8))-_xlfn.XMATCH($C145,$C$35:$C$82)+1&lt;=_xlpm.DepreciationMonths,$C145&lt;=BW$8),$E145/_xlpm.DepreciationMonths,0))</f>
        <v>0</v>
      </c>
      <c r="BX145" s="507" cm="1">
        <f t="array" ref="BX145">_xlfn.LET(_xlpm.DepreciationMonths,INDEX(FixedAssets[Depreciation
/ Amortization Months],_xlfn.XMATCH($E$135,FixedAssets[Asset ID])),IF(AND((_xlfn.XMATCH(BX$8,$AH$8:$CC$8))-_xlfn.XMATCH($C145,$C$35:$C$82)+1&lt;=_xlpm.DepreciationMonths,$C145&lt;=BX$8),$E145/_xlpm.DepreciationMonths,0))</f>
        <v>0</v>
      </c>
      <c r="BY145" s="507" cm="1">
        <f t="array" ref="BY145">_xlfn.LET(_xlpm.DepreciationMonths,INDEX(FixedAssets[Depreciation
/ Amortization Months],_xlfn.XMATCH($E$135,FixedAssets[Asset ID])),IF(AND((_xlfn.XMATCH(BY$8,$AH$8:$CC$8))-_xlfn.XMATCH($C145,$C$35:$C$82)+1&lt;=_xlpm.DepreciationMonths,$C145&lt;=BY$8),$E145/_xlpm.DepreciationMonths,0))</f>
        <v>0</v>
      </c>
      <c r="BZ145" s="507" cm="1">
        <f t="array" ref="BZ145">_xlfn.LET(_xlpm.DepreciationMonths,INDEX(FixedAssets[Depreciation
/ Amortization Months],_xlfn.XMATCH($E$135,FixedAssets[Asset ID])),IF(AND((_xlfn.XMATCH(BZ$8,$AH$8:$CC$8))-_xlfn.XMATCH($C145,$C$35:$C$82)+1&lt;=_xlpm.DepreciationMonths,$C145&lt;=BZ$8),$E145/_xlpm.DepreciationMonths,0))</f>
        <v>0</v>
      </c>
      <c r="CA145" s="507" cm="1">
        <f t="array" ref="CA145">_xlfn.LET(_xlpm.DepreciationMonths,INDEX(FixedAssets[Depreciation
/ Amortization Months],_xlfn.XMATCH($E$135,FixedAssets[Asset ID])),IF(AND((_xlfn.XMATCH(CA$8,$AH$8:$CC$8))-_xlfn.XMATCH($C145,$C$35:$C$82)+1&lt;=_xlpm.DepreciationMonths,$C145&lt;=CA$8),$E145/_xlpm.DepreciationMonths,0))</f>
        <v>0</v>
      </c>
      <c r="CB145" s="507" cm="1">
        <f t="array" ref="CB145">_xlfn.LET(_xlpm.DepreciationMonths,INDEX(FixedAssets[Depreciation
/ Amortization Months],_xlfn.XMATCH($E$135,FixedAssets[Asset ID])),IF(AND((_xlfn.XMATCH(CB$8,$AH$8:$CC$8))-_xlfn.XMATCH($C145,$C$35:$C$82)+1&lt;=_xlpm.DepreciationMonths,$C145&lt;=CB$8),$E145/_xlpm.DepreciationMonths,0))</f>
        <v>0</v>
      </c>
      <c r="CC145" s="507" cm="1">
        <f t="array" ref="CC145">_xlfn.LET(_xlpm.DepreciationMonths,INDEX(FixedAssets[Depreciation
/ Amortization Months],_xlfn.XMATCH($E$135,FixedAssets[Asset ID])),IF(AND((_xlfn.XMATCH(CC$8,$AH$8:$CC$8))-_xlfn.XMATCH($C145,$C$35:$C$82)+1&lt;=_xlpm.DepreciationMonths,$C145&lt;=CC$8),$E145/_xlpm.DepreciationMonths,0))</f>
        <v>0</v>
      </c>
    </row>
    <row r="146" spans="3:81" hidden="1" outlineLevel="2">
      <c r="C146" s="664">
        <f t="shared" si="243"/>
        <v>45230</v>
      </c>
      <c r="D146" s="508"/>
      <c r="E146" s="508" cm="1">
        <f t="array" ref="E146">SUMPRODUCT(($AH$26:$CC$31)*($AH$5:$CC$5=$C146)*($E$26:$E$31=E$135))-SUMPRODUCT(($AH$26:$CC$31)*($AH$5:$CC$5=EOMONTH($C146,-1))*($E$26:$E$31=E$135))</f>
        <v>0</v>
      </c>
      <c r="F146" s="508"/>
      <c r="G146" s="508"/>
      <c r="H146" s="508"/>
      <c r="I146" s="508"/>
      <c r="J146" s="504">
        <f t="shared" si="240"/>
        <v>0</v>
      </c>
      <c r="K146" s="504">
        <f t="shared" si="241"/>
        <v>0</v>
      </c>
      <c r="L146" s="504">
        <f t="shared" si="241"/>
        <v>0</v>
      </c>
      <c r="M146" s="504">
        <f t="shared" si="241"/>
        <v>0</v>
      </c>
      <c r="N146" s="504"/>
      <c r="O146" s="504"/>
      <c r="P146" s="504">
        <f t="shared" si="242"/>
        <v>0</v>
      </c>
      <c r="Q146" s="504">
        <f t="shared" si="242"/>
        <v>0</v>
      </c>
      <c r="R146" s="504">
        <f t="shared" si="242"/>
        <v>0</v>
      </c>
      <c r="S146" s="504">
        <f t="shared" si="242"/>
        <v>0</v>
      </c>
      <c r="T146" s="504">
        <f t="shared" si="242"/>
        <v>0</v>
      </c>
      <c r="U146" s="504">
        <f t="shared" si="242"/>
        <v>0</v>
      </c>
      <c r="V146" s="504">
        <f t="shared" si="242"/>
        <v>0</v>
      </c>
      <c r="W146" s="504">
        <f t="shared" si="242"/>
        <v>0</v>
      </c>
      <c r="X146" s="504">
        <f t="shared" si="242"/>
        <v>0</v>
      </c>
      <c r="Y146" s="504">
        <f t="shared" si="242"/>
        <v>0</v>
      </c>
      <c r="Z146" s="504">
        <f t="shared" si="242"/>
        <v>0</v>
      </c>
      <c r="AA146" s="504">
        <f t="shared" si="242"/>
        <v>0</v>
      </c>
      <c r="AB146" s="504">
        <f t="shared" si="242"/>
        <v>0</v>
      </c>
      <c r="AC146" s="504">
        <f t="shared" si="242"/>
        <v>0</v>
      </c>
      <c r="AD146" s="504">
        <f t="shared" si="242"/>
        <v>0</v>
      </c>
      <c r="AE146" s="504">
        <f t="shared" si="242"/>
        <v>0</v>
      </c>
      <c r="AF146" s="508"/>
      <c r="AG146" s="508"/>
      <c r="AH146" s="507" cm="1">
        <f t="array" ref="AH146">_xlfn.LET(_xlpm.DepreciationMonths,INDEX(FixedAssets[Depreciation
/ Amortization Months],_xlfn.XMATCH($E$135,FixedAssets[Asset ID])),IF(AND((_xlfn.XMATCH(AH$8,$AH$8:$CC$8))-_xlfn.XMATCH($C146,$C$35:$C$82)+1&lt;=_xlpm.DepreciationMonths,$C146&lt;=AH$8),$E146/_xlpm.DepreciationMonths,0))</f>
        <v>0</v>
      </c>
      <c r="AI146" s="507" cm="1">
        <f t="array" ref="AI146">_xlfn.LET(_xlpm.DepreciationMonths,INDEX(FixedAssets[Depreciation
/ Amortization Months],_xlfn.XMATCH($E$135,FixedAssets[Asset ID])),IF(AND((_xlfn.XMATCH(AI$8,$AH$8:$CC$8))-_xlfn.XMATCH($C146,$C$35:$C$82)+1&lt;=_xlpm.DepreciationMonths,$C146&lt;=AI$8),$E146/_xlpm.DepreciationMonths,0))</f>
        <v>0</v>
      </c>
      <c r="AJ146" s="507" cm="1">
        <f t="array" ref="AJ146">_xlfn.LET(_xlpm.DepreciationMonths,INDEX(FixedAssets[Depreciation
/ Amortization Months],_xlfn.XMATCH($E$135,FixedAssets[Asset ID])),IF(AND((_xlfn.XMATCH(AJ$8,$AH$8:$CC$8))-_xlfn.XMATCH($C146,$C$35:$C$82)+1&lt;=_xlpm.DepreciationMonths,$C146&lt;=AJ$8),$E146/_xlpm.DepreciationMonths,0))</f>
        <v>0</v>
      </c>
      <c r="AK146" s="507" cm="1">
        <f t="array" ref="AK146">_xlfn.LET(_xlpm.DepreciationMonths,INDEX(FixedAssets[Depreciation
/ Amortization Months],_xlfn.XMATCH($E$135,FixedAssets[Asset ID])),IF(AND((_xlfn.XMATCH(AK$8,$AH$8:$CC$8))-_xlfn.XMATCH($C146,$C$35:$C$82)+1&lt;=_xlpm.DepreciationMonths,$C146&lt;=AK$8),$E146/_xlpm.DepreciationMonths,0))</f>
        <v>0</v>
      </c>
      <c r="AL146" s="507" cm="1">
        <f t="array" ref="AL146">_xlfn.LET(_xlpm.DepreciationMonths,INDEX(FixedAssets[Depreciation
/ Amortization Months],_xlfn.XMATCH($E$135,FixedAssets[Asset ID])),IF(AND((_xlfn.XMATCH(AL$8,$AH$8:$CC$8))-_xlfn.XMATCH($C146,$C$35:$C$82)+1&lt;=_xlpm.DepreciationMonths,$C146&lt;=AL$8),$E146/_xlpm.DepreciationMonths,0))</f>
        <v>0</v>
      </c>
      <c r="AM146" s="507" cm="1">
        <f t="array" ref="AM146">_xlfn.LET(_xlpm.DepreciationMonths,INDEX(FixedAssets[Depreciation
/ Amortization Months],_xlfn.XMATCH($E$135,FixedAssets[Asset ID])),IF(AND((_xlfn.XMATCH(AM$8,$AH$8:$CC$8))-_xlfn.XMATCH($C146,$C$35:$C$82)+1&lt;=_xlpm.DepreciationMonths,$C146&lt;=AM$8),$E146/_xlpm.DepreciationMonths,0))</f>
        <v>0</v>
      </c>
      <c r="AN146" s="507" cm="1">
        <f t="array" ref="AN146">_xlfn.LET(_xlpm.DepreciationMonths,INDEX(FixedAssets[Depreciation
/ Amortization Months],_xlfn.XMATCH($E$135,FixedAssets[Asset ID])),IF(AND((_xlfn.XMATCH(AN$8,$AH$8:$CC$8))-_xlfn.XMATCH($C146,$C$35:$C$82)+1&lt;=_xlpm.DepreciationMonths,$C146&lt;=AN$8),$E146/_xlpm.DepreciationMonths,0))</f>
        <v>0</v>
      </c>
      <c r="AO146" s="507" cm="1">
        <f t="array" ref="AO146">_xlfn.LET(_xlpm.DepreciationMonths,INDEX(FixedAssets[Depreciation
/ Amortization Months],_xlfn.XMATCH($E$135,FixedAssets[Asset ID])),IF(AND((_xlfn.XMATCH(AO$8,$AH$8:$CC$8))-_xlfn.XMATCH($C146,$C$35:$C$82)+1&lt;=_xlpm.DepreciationMonths,$C146&lt;=AO$8),$E146/_xlpm.DepreciationMonths,0))</f>
        <v>0</v>
      </c>
      <c r="AP146" s="507" cm="1">
        <f t="array" ref="AP146">_xlfn.LET(_xlpm.DepreciationMonths,INDEX(FixedAssets[Depreciation
/ Amortization Months],_xlfn.XMATCH($E$135,FixedAssets[Asset ID])),IF(AND((_xlfn.XMATCH(AP$8,$AH$8:$CC$8))-_xlfn.XMATCH($C146,$C$35:$C$82)+1&lt;=_xlpm.DepreciationMonths,$C146&lt;=AP$8),$E146/_xlpm.DepreciationMonths,0))</f>
        <v>0</v>
      </c>
      <c r="AQ146" s="507" cm="1">
        <f t="array" ref="AQ146">_xlfn.LET(_xlpm.DepreciationMonths,INDEX(FixedAssets[Depreciation
/ Amortization Months],_xlfn.XMATCH($E$135,FixedAssets[Asset ID])),IF(AND((_xlfn.XMATCH(AQ$8,$AH$8:$CC$8))-_xlfn.XMATCH($C146,$C$35:$C$82)+1&lt;=_xlpm.DepreciationMonths,$C146&lt;=AQ$8),$E146/_xlpm.DepreciationMonths,0))</f>
        <v>0</v>
      </c>
      <c r="AR146" s="507" cm="1">
        <f t="array" ref="AR146">_xlfn.LET(_xlpm.DepreciationMonths,INDEX(FixedAssets[Depreciation
/ Amortization Months],_xlfn.XMATCH($E$135,FixedAssets[Asset ID])),IF(AND((_xlfn.XMATCH(AR$8,$AH$8:$CC$8))-_xlfn.XMATCH($C146,$C$35:$C$82)+1&lt;=_xlpm.DepreciationMonths,$C146&lt;=AR$8),$E146/_xlpm.DepreciationMonths,0))</f>
        <v>0</v>
      </c>
      <c r="AS146" s="507" cm="1">
        <f t="array" ref="AS146">_xlfn.LET(_xlpm.DepreciationMonths,INDEX(FixedAssets[Depreciation
/ Amortization Months],_xlfn.XMATCH($E$135,FixedAssets[Asset ID])),IF(AND((_xlfn.XMATCH(AS$8,$AH$8:$CC$8))-_xlfn.XMATCH($C146,$C$35:$C$82)+1&lt;=_xlpm.DepreciationMonths,$C146&lt;=AS$8),$E146/_xlpm.DepreciationMonths,0))</f>
        <v>0</v>
      </c>
      <c r="AT146" s="507" cm="1">
        <f t="array" ref="AT146">_xlfn.LET(_xlpm.DepreciationMonths,INDEX(FixedAssets[Depreciation
/ Amortization Months],_xlfn.XMATCH($E$135,FixedAssets[Asset ID])),IF(AND((_xlfn.XMATCH(AT$8,$AH$8:$CC$8))-_xlfn.XMATCH($C146,$C$35:$C$82)+1&lt;=_xlpm.DepreciationMonths,$C146&lt;=AT$8),$E146/_xlpm.DepreciationMonths,0))</f>
        <v>0</v>
      </c>
      <c r="AU146" s="507" cm="1">
        <f t="array" ref="AU146">_xlfn.LET(_xlpm.DepreciationMonths,INDEX(FixedAssets[Depreciation
/ Amortization Months],_xlfn.XMATCH($E$135,FixedAssets[Asset ID])),IF(AND((_xlfn.XMATCH(AU$8,$AH$8:$CC$8))-_xlfn.XMATCH($C146,$C$35:$C$82)+1&lt;=_xlpm.DepreciationMonths,$C146&lt;=AU$8),$E146/_xlpm.DepreciationMonths,0))</f>
        <v>0</v>
      </c>
      <c r="AV146" s="507" cm="1">
        <f t="array" ref="AV146">_xlfn.LET(_xlpm.DepreciationMonths,INDEX(FixedAssets[Depreciation
/ Amortization Months],_xlfn.XMATCH($E$135,FixedAssets[Asset ID])),IF(AND((_xlfn.XMATCH(AV$8,$AH$8:$CC$8))-_xlfn.XMATCH($C146,$C$35:$C$82)+1&lt;=_xlpm.DepreciationMonths,$C146&lt;=AV$8),$E146/_xlpm.DepreciationMonths,0))</f>
        <v>0</v>
      </c>
      <c r="AW146" s="507" cm="1">
        <f t="array" ref="AW146">_xlfn.LET(_xlpm.DepreciationMonths,INDEX(FixedAssets[Depreciation
/ Amortization Months],_xlfn.XMATCH($E$135,FixedAssets[Asset ID])),IF(AND((_xlfn.XMATCH(AW$8,$AH$8:$CC$8))-_xlfn.XMATCH($C146,$C$35:$C$82)+1&lt;=_xlpm.DepreciationMonths,$C146&lt;=AW$8),$E146/_xlpm.DepreciationMonths,0))</f>
        <v>0</v>
      </c>
      <c r="AX146" s="507" cm="1">
        <f t="array" ref="AX146">_xlfn.LET(_xlpm.DepreciationMonths,INDEX(FixedAssets[Depreciation
/ Amortization Months],_xlfn.XMATCH($E$135,FixedAssets[Asset ID])),IF(AND((_xlfn.XMATCH(AX$8,$AH$8:$CC$8))-_xlfn.XMATCH($C146,$C$35:$C$82)+1&lt;=_xlpm.DepreciationMonths,$C146&lt;=AX$8),$E146/_xlpm.DepreciationMonths,0))</f>
        <v>0</v>
      </c>
      <c r="AY146" s="507" cm="1">
        <f t="array" ref="AY146">_xlfn.LET(_xlpm.DepreciationMonths,INDEX(FixedAssets[Depreciation
/ Amortization Months],_xlfn.XMATCH($E$135,FixedAssets[Asset ID])),IF(AND((_xlfn.XMATCH(AY$8,$AH$8:$CC$8))-_xlfn.XMATCH($C146,$C$35:$C$82)+1&lt;=_xlpm.DepreciationMonths,$C146&lt;=AY$8),$E146/_xlpm.DepreciationMonths,0))</f>
        <v>0</v>
      </c>
      <c r="AZ146" s="507" cm="1">
        <f t="array" ref="AZ146">_xlfn.LET(_xlpm.DepreciationMonths,INDEX(FixedAssets[Depreciation
/ Amortization Months],_xlfn.XMATCH($E$135,FixedAssets[Asset ID])),IF(AND((_xlfn.XMATCH(AZ$8,$AH$8:$CC$8))-_xlfn.XMATCH($C146,$C$35:$C$82)+1&lt;=_xlpm.DepreciationMonths,$C146&lt;=AZ$8),$E146/_xlpm.DepreciationMonths,0))</f>
        <v>0</v>
      </c>
      <c r="BA146" s="507" cm="1">
        <f t="array" ref="BA146">_xlfn.LET(_xlpm.DepreciationMonths,INDEX(FixedAssets[Depreciation
/ Amortization Months],_xlfn.XMATCH($E$135,FixedAssets[Asset ID])),IF(AND((_xlfn.XMATCH(BA$8,$AH$8:$CC$8))-_xlfn.XMATCH($C146,$C$35:$C$82)+1&lt;=_xlpm.DepreciationMonths,$C146&lt;=BA$8),$E146/_xlpm.DepreciationMonths,0))</f>
        <v>0</v>
      </c>
      <c r="BB146" s="507" cm="1">
        <f t="array" ref="BB146">_xlfn.LET(_xlpm.DepreciationMonths,INDEX(FixedAssets[Depreciation
/ Amortization Months],_xlfn.XMATCH($E$135,FixedAssets[Asset ID])),IF(AND((_xlfn.XMATCH(BB$8,$AH$8:$CC$8))-_xlfn.XMATCH($C146,$C$35:$C$82)+1&lt;=_xlpm.DepreciationMonths,$C146&lt;=BB$8),$E146/_xlpm.DepreciationMonths,0))</f>
        <v>0</v>
      </c>
      <c r="BC146" s="507" cm="1">
        <f t="array" ref="BC146">_xlfn.LET(_xlpm.DepreciationMonths,INDEX(FixedAssets[Depreciation
/ Amortization Months],_xlfn.XMATCH($E$135,FixedAssets[Asset ID])),IF(AND((_xlfn.XMATCH(BC$8,$AH$8:$CC$8))-_xlfn.XMATCH($C146,$C$35:$C$82)+1&lt;=_xlpm.DepreciationMonths,$C146&lt;=BC$8),$E146/_xlpm.DepreciationMonths,0))</f>
        <v>0</v>
      </c>
      <c r="BD146" s="507" cm="1">
        <f t="array" ref="BD146">_xlfn.LET(_xlpm.DepreciationMonths,INDEX(FixedAssets[Depreciation
/ Amortization Months],_xlfn.XMATCH($E$135,FixedAssets[Asset ID])),IF(AND((_xlfn.XMATCH(BD$8,$AH$8:$CC$8))-_xlfn.XMATCH($C146,$C$35:$C$82)+1&lt;=_xlpm.DepreciationMonths,$C146&lt;=BD$8),$E146/_xlpm.DepreciationMonths,0))</f>
        <v>0</v>
      </c>
      <c r="BE146" s="507" cm="1">
        <f t="array" ref="BE146">_xlfn.LET(_xlpm.DepreciationMonths,INDEX(FixedAssets[Depreciation
/ Amortization Months],_xlfn.XMATCH($E$135,FixedAssets[Asset ID])),IF(AND((_xlfn.XMATCH(BE$8,$AH$8:$CC$8))-_xlfn.XMATCH($C146,$C$35:$C$82)+1&lt;=_xlpm.DepreciationMonths,$C146&lt;=BE$8),$E146/_xlpm.DepreciationMonths,0))</f>
        <v>0</v>
      </c>
      <c r="BF146" s="507" cm="1">
        <f t="array" ref="BF146">_xlfn.LET(_xlpm.DepreciationMonths,INDEX(FixedAssets[Depreciation
/ Amortization Months],_xlfn.XMATCH($E$135,FixedAssets[Asset ID])),IF(AND((_xlfn.XMATCH(BF$8,$AH$8:$CC$8))-_xlfn.XMATCH($C146,$C$35:$C$82)+1&lt;=_xlpm.DepreciationMonths,$C146&lt;=BF$8),$E146/_xlpm.DepreciationMonths,0))</f>
        <v>0</v>
      </c>
      <c r="BG146" s="507" cm="1">
        <f t="array" ref="BG146">_xlfn.LET(_xlpm.DepreciationMonths,INDEX(FixedAssets[Depreciation
/ Amortization Months],_xlfn.XMATCH($E$135,FixedAssets[Asset ID])),IF(AND((_xlfn.XMATCH(BG$8,$AH$8:$CC$8))-_xlfn.XMATCH($C146,$C$35:$C$82)+1&lt;=_xlpm.DepreciationMonths,$C146&lt;=BG$8),$E146/_xlpm.DepreciationMonths,0))</f>
        <v>0</v>
      </c>
      <c r="BH146" s="507" cm="1">
        <f t="array" ref="BH146">_xlfn.LET(_xlpm.DepreciationMonths,INDEX(FixedAssets[Depreciation
/ Amortization Months],_xlfn.XMATCH($E$135,FixedAssets[Asset ID])),IF(AND((_xlfn.XMATCH(BH$8,$AH$8:$CC$8))-_xlfn.XMATCH($C146,$C$35:$C$82)+1&lt;=_xlpm.DepreciationMonths,$C146&lt;=BH$8),$E146/_xlpm.DepreciationMonths,0))</f>
        <v>0</v>
      </c>
      <c r="BI146" s="507" cm="1">
        <f t="array" ref="BI146">_xlfn.LET(_xlpm.DepreciationMonths,INDEX(FixedAssets[Depreciation
/ Amortization Months],_xlfn.XMATCH($E$135,FixedAssets[Asset ID])),IF(AND((_xlfn.XMATCH(BI$8,$AH$8:$CC$8))-_xlfn.XMATCH($C146,$C$35:$C$82)+1&lt;=_xlpm.DepreciationMonths,$C146&lt;=BI$8),$E146/_xlpm.DepreciationMonths,0))</f>
        <v>0</v>
      </c>
      <c r="BJ146" s="507" cm="1">
        <f t="array" ref="BJ146">_xlfn.LET(_xlpm.DepreciationMonths,INDEX(FixedAssets[Depreciation
/ Amortization Months],_xlfn.XMATCH($E$135,FixedAssets[Asset ID])),IF(AND((_xlfn.XMATCH(BJ$8,$AH$8:$CC$8))-_xlfn.XMATCH($C146,$C$35:$C$82)+1&lt;=_xlpm.DepreciationMonths,$C146&lt;=BJ$8),$E146/_xlpm.DepreciationMonths,0))</f>
        <v>0</v>
      </c>
      <c r="BK146" s="507" cm="1">
        <f t="array" ref="BK146">_xlfn.LET(_xlpm.DepreciationMonths,INDEX(FixedAssets[Depreciation
/ Amortization Months],_xlfn.XMATCH($E$135,FixedAssets[Asset ID])),IF(AND((_xlfn.XMATCH(BK$8,$AH$8:$CC$8))-_xlfn.XMATCH($C146,$C$35:$C$82)+1&lt;=_xlpm.DepreciationMonths,$C146&lt;=BK$8),$E146/_xlpm.DepreciationMonths,0))</f>
        <v>0</v>
      </c>
      <c r="BL146" s="507" cm="1">
        <f t="array" ref="BL146">_xlfn.LET(_xlpm.DepreciationMonths,INDEX(FixedAssets[Depreciation
/ Amortization Months],_xlfn.XMATCH($E$135,FixedAssets[Asset ID])),IF(AND((_xlfn.XMATCH(BL$8,$AH$8:$CC$8))-_xlfn.XMATCH($C146,$C$35:$C$82)+1&lt;=_xlpm.DepreciationMonths,$C146&lt;=BL$8),$E146/_xlpm.DepreciationMonths,0))</f>
        <v>0</v>
      </c>
      <c r="BM146" s="507" cm="1">
        <f t="array" ref="BM146">_xlfn.LET(_xlpm.DepreciationMonths,INDEX(FixedAssets[Depreciation
/ Amortization Months],_xlfn.XMATCH($E$135,FixedAssets[Asset ID])),IF(AND((_xlfn.XMATCH(BM$8,$AH$8:$CC$8))-_xlfn.XMATCH($C146,$C$35:$C$82)+1&lt;=_xlpm.DepreciationMonths,$C146&lt;=BM$8),$E146/_xlpm.DepreciationMonths,0))</f>
        <v>0</v>
      </c>
      <c r="BN146" s="507" cm="1">
        <f t="array" ref="BN146">_xlfn.LET(_xlpm.DepreciationMonths,INDEX(FixedAssets[Depreciation
/ Amortization Months],_xlfn.XMATCH($E$135,FixedAssets[Asset ID])),IF(AND((_xlfn.XMATCH(BN$8,$AH$8:$CC$8))-_xlfn.XMATCH($C146,$C$35:$C$82)+1&lt;=_xlpm.DepreciationMonths,$C146&lt;=BN$8),$E146/_xlpm.DepreciationMonths,0))</f>
        <v>0</v>
      </c>
      <c r="BO146" s="507" cm="1">
        <f t="array" ref="BO146">_xlfn.LET(_xlpm.DepreciationMonths,INDEX(FixedAssets[Depreciation
/ Amortization Months],_xlfn.XMATCH($E$135,FixedAssets[Asset ID])),IF(AND((_xlfn.XMATCH(BO$8,$AH$8:$CC$8))-_xlfn.XMATCH($C146,$C$35:$C$82)+1&lt;=_xlpm.DepreciationMonths,$C146&lt;=BO$8),$E146/_xlpm.DepreciationMonths,0))</f>
        <v>0</v>
      </c>
      <c r="BP146" s="507" cm="1">
        <f t="array" ref="BP146">_xlfn.LET(_xlpm.DepreciationMonths,INDEX(FixedAssets[Depreciation
/ Amortization Months],_xlfn.XMATCH($E$135,FixedAssets[Asset ID])),IF(AND((_xlfn.XMATCH(BP$8,$AH$8:$CC$8))-_xlfn.XMATCH($C146,$C$35:$C$82)+1&lt;=_xlpm.DepreciationMonths,$C146&lt;=BP$8),$E146/_xlpm.DepreciationMonths,0))</f>
        <v>0</v>
      </c>
      <c r="BQ146" s="507" cm="1">
        <f t="array" ref="BQ146">_xlfn.LET(_xlpm.DepreciationMonths,INDEX(FixedAssets[Depreciation
/ Amortization Months],_xlfn.XMATCH($E$135,FixedAssets[Asset ID])),IF(AND((_xlfn.XMATCH(BQ$8,$AH$8:$CC$8))-_xlfn.XMATCH($C146,$C$35:$C$82)+1&lt;=_xlpm.DepreciationMonths,$C146&lt;=BQ$8),$E146/_xlpm.DepreciationMonths,0))</f>
        <v>0</v>
      </c>
      <c r="BR146" s="507" cm="1">
        <f t="array" ref="BR146">_xlfn.LET(_xlpm.DepreciationMonths,INDEX(FixedAssets[Depreciation
/ Amortization Months],_xlfn.XMATCH($E$135,FixedAssets[Asset ID])),IF(AND((_xlfn.XMATCH(BR$8,$AH$8:$CC$8))-_xlfn.XMATCH($C146,$C$35:$C$82)+1&lt;=_xlpm.DepreciationMonths,$C146&lt;=BR$8),$E146/_xlpm.DepreciationMonths,0))</f>
        <v>0</v>
      </c>
      <c r="BS146" s="507" cm="1">
        <f t="array" ref="BS146">_xlfn.LET(_xlpm.DepreciationMonths,INDEX(FixedAssets[Depreciation
/ Amortization Months],_xlfn.XMATCH($E$135,FixedAssets[Asset ID])),IF(AND((_xlfn.XMATCH(BS$8,$AH$8:$CC$8))-_xlfn.XMATCH($C146,$C$35:$C$82)+1&lt;=_xlpm.DepreciationMonths,$C146&lt;=BS$8),$E146/_xlpm.DepreciationMonths,0))</f>
        <v>0</v>
      </c>
      <c r="BT146" s="507" cm="1">
        <f t="array" ref="BT146">_xlfn.LET(_xlpm.DepreciationMonths,INDEX(FixedAssets[Depreciation
/ Amortization Months],_xlfn.XMATCH($E$135,FixedAssets[Asset ID])),IF(AND((_xlfn.XMATCH(BT$8,$AH$8:$CC$8))-_xlfn.XMATCH($C146,$C$35:$C$82)+1&lt;=_xlpm.DepreciationMonths,$C146&lt;=BT$8),$E146/_xlpm.DepreciationMonths,0))</f>
        <v>0</v>
      </c>
      <c r="BU146" s="507" cm="1">
        <f t="array" ref="BU146">_xlfn.LET(_xlpm.DepreciationMonths,INDEX(FixedAssets[Depreciation
/ Amortization Months],_xlfn.XMATCH($E$135,FixedAssets[Asset ID])),IF(AND((_xlfn.XMATCH(BU$8,$AH$8:$CC$8))-_xlfn.XMATCH($C146,$C$35:$C$82)+1&lt;=_xlpm.DepreciationMonths,$C146&lt;=BU$8),$E146/_xlpm.DepreciationMonths,0))</f>
        <v>0</v>
      </c>
      <c r="BV146" s="507" cm="1">
        <f t="array" ref="BV146">_xlfn.LET(_xlpm.DepreciationMonths,INDEX(FixedAssets[Depreciation
/ Amortization Months],_xlfn.XMATCH($E$135,FixedAssets[Asset ID])),IF(AND((_xlfn.XMATCH(BV$8,$AH$8:$CC$8))-_xlfn.XMATCH($C146,$C$35:$C$82)+1&lt;=_xlpm.DepreciationMonths,$C146&lt;=BV$8),$E146/_xlpm.DepreciationMonths,0))</f>
        <v>0</v>
      </c>
      <c r="BW146" s="507" cm="1">
        <f t="array" ref="BW146">_xlfn.LET(_xlpm.DepreciationMonths,INDEX(FixedAssets[Depreciation
/ Amortization Months],_xlfn.XMATCH($E$135,FixedAssets[Asset ID])),IF(AND((_xlfn.XMATCH(BW$8,$AH$8:$CC$8))-_xlfn.XMATCH($C146,$C$35:$C$82)+1&lt;=_xlpm.DepreciationMonths,$C146&lt;=BW$8),$E146/_xlpm.DepreciationMonths,0))</f>
        <v>0</v>
      </c>
      <c r="BX146" s="507" cm="1">
        <f t="array" ref="BX146">_xlfn.LET(_xlpm.DepreciationMonths,INDEX(FixedAssets[Depreciation
/ Amortization Months],_xlfn.XMATCH($E$135,FixedAssets[Asset ID])),IF(AND((_xlfn.XMATCH(BX$8,$AH$8:$CC$8))-_xlfn.XMATCH($C146,$C$35:$C$82)+1&lt;=_xlpm.DepreciationMonths,$C146&lt;=BX$8),$E146/_xlpm.DepreciationMonths,0))</f>
        <v>0</v>
      </c>
      <c r="BY146" s="507" cm="1">
        <f t="array" ref="BY146">_xlfn.LET(_xlpm.DepreciationMonths,INDEX(FixedAssets[Depreciation
/ Amortization Months],_xlfn.XMATCH($E$135,FixedAssets[Asset ID])),IF(AND((_xlfn.XMATCH(BY$8,$AH$8:$CC$8))-_xlfn.XMATCH($C146,$C$35:$C$82)+1&lt;=_xlpm.DepreciationMonths,$C146&lt;=BY$8),$E146/_xlpm.DepreciationMonths,0))</f>
        <v>0</v>
      </c>
      <c r="BZ146" s="507" cm="1">
        <f t="array" ref="BZ146">_xlfn.LET(_xlpm.DepreciationMonths,INDEX(FixedAssets[Depreciation
/ Amortization Months],_xlfn.XMATCH($E$135,FixedAssets[Asset ID])),IF(AND((_xlfn.XMATCH(BZ$8,$AH$8:$CC$8))-_xlfn.XMATCH($C146,$C$35:$C$82)+1&lt;=_xlpm.DepreciationMonths,$C146&lt;=BZ$8),$E146/_xlpm.DepreciationMonths,0))</f>
        <v>0</v>
      </c>
      <c r="CA146" s="507" cm="1">
        <f t="array" ref="CA146">_xlfn.LET(_xlpm.DepreciationMonths,INDEX(FixedAssets[Depreciation
/ Amortization Months],_xlfn.XMATCH($E$135,FixedAssets[Asset ID])),IF(AND((_xlfn.XMATCH(CA$8,$AH$8:$CC$8))-_xlfn.XMATCH($C146,$C$35:$C$82)+1&lt;=_xlpm.DepreciationMonths,$C146&lt;=CA$8),$E146/_xlpm.DepreciationMonths,0))</f>
        <v>0</v>
      </c>
      <c r="CB146" s="507" cm="1">
        <f t="array" ref="CB146">_xlfn.LET(_xlpm.DepreciationMonths,INDEX(FixedAssets[Depreciation
/ Amortization Months],_xlfn.XMATCH($E$135,FixedAssets[Asset ID])),IF(AND((_xlfn.XMATCH(CB$8,$AH$8:$CC$8))-_xlfn.XMATCH($C146,$C$35:$C$82)+1&lt;=_xlpm.DepreciationMonths,$C146&lt;=CB$8),$E146/_xlpm.DepreciationMonths,0))</f>
        <v>0</v>
      </c>
      <c r="CC146" s="507" cm="1">
        <f t="array" ref="CC146">_xlfn.LET(_xlpm.DepreciationMonths,INDEX(FixedAssets[Depreciation
/ Amortization Months],_xlfn.XMATCH($E$135,FixedAssets[Asset ID])),IF(AND((_xlfn.XMATCH(CC$8,$AH$8:$CC$8))-_xlfn.XMATCH($C146,$C$35:$C$82)+1&lt;=_xlpm.DepreciationMonths,$C146&lt;=CC$8),$E146/_xlpm.DepreciationMonths,0))</f>
        <v>0</v>
      </c>
    </row>
    <row r="147" spans="3:81" hidden="1" outlineLevel="2">
      <c r="C147" s="664">
        <f t="shared" si="243"/>
        <v>45260</v>
      </c>
      <c r="D147" s="508"/>
      <c r="E147" s="508" cm="1">
        <f t="array" ref="E147">SUMPRODUCT(($AH$26:$CC$31)*($AH$5:$CC$5=$C147)*($E$26:$E$31=E$135))-SUMPRODUCT(($AH$26:$CC$31)*($AH$5:$CC$5=EOMONTH($C147,-1))*($E$26:$E$31=E$135))</f>
        <v>0</v>
      </c>
      <c r="F147" s="508"/>
      <c r="G147" s="508"/>
      <c r="H147" s="508"/>
      <c r="I147" s="508"/>
      <c r="J147" s="504">
        <f t="shared" si="240"/>
        <v>0</v>
      </c>
      <c r="K147" s="504">
        <f t="shared" si="241"/>
        <v>0</v>
      </c>
      <c r="L147" s="504">
        <f t="shared" si="241"/>
        <v>0</v>
      </c>
      <c r="M147" s="504">
        <f t="shared" si="241"/>
        <v>0</v>
      </c>
      <c r="N147" s="504"/>
      <c r="O147" s="504"/>
      <c r="P147" s="504">
        <f t="shared" si="242"/>
        <v>0</v>
      </c>
      <c r="Q147" s="504">
        <f t="shared" si="242"/>
        <v>0</v>
      </c>
      <c r="R147" s="504">
        <f t="shared" si="242"/>
        <v>0</v>
      </c>
      <c r="S147" s="504">
        <f t="shared" si="242"/>
        <v>0</v>
      </c>
      <c r="T147" s="504">
        <f t="shared" si="242"/>
        <v>0</v>
      </c>
      <c r="U147" s="504">
        <f t="shared" si="242"/>
        <v>0</v>
      </c>
      <c r="V147" s="504">
        <f t="shared" si="242"/>
        <v>0</v>
      </c>
      <c r="W147" s="504">
        <f t="shared" si="242"/>
        <v>0</v>
      </c>
      <c r="X147" s="504">
        <f t="shared" si="242"/>
        <v>0</v>
      </c>
      <c r="Y147" s="504">
        <f t="shared" si="242"/>
        <v>0</v>
      </c>
      <c r="Z147" s="504">
        <f t="shared" si="242"/>
        <v>0</v>
      </c>
      <c r="AA147" s="504">
        <f t="shared" si="242"/>
        <v>0</v>
      </c>
      <c r="AB147" s="504">
        <f t="shared" si="242"/>
        <v>0</v>
      </c>
      <c r="AC147" s="504">
        <f t="shared" si="242"/>
        <v>0</v>
      </c>
      <c r="AD147" s="504">
        <f t="shared" si="242"/>
        <v>0</v>
      </c>
      <c r="AE147" s="504">
        <f t="shared" si="242"/>
        <v>0</v>
      </c>
      <c r="AF147" s="508"/>
      <c r="AG147" s="508"/>
      <c r="AH147" s="507" cm="1">
        <f t="array" ref="AH147">_xlfn.LET(_xlpm.DepreciationMonths,INDEX(FixedAssets[Depreciation
/ Amortization Months],_xlfn.XMATCH($E$135,FixedAssets[Asset ID])),IF(AND((_xlfn.XMATCH(AH$8,$AH$8:$CC$8))-_xlfn.XMATCH($C147,$C$35:$C$82)+1&lt;=_xlpm.DepreciationMonths,$C147&lt;=AH$8),$E147/_xlpm.DepreciationMonths,0))</f>
        <v>0</v>
      </c>
      <c r="AI147" s="507" cm="1">
        <f t="array" ref="AI147">_xlfn.LET(_xlpm.DepreciationMonths,INDEX(FixedAssets[Depreciation
/ Amortization Months],_xlfn.XMATCH($E$135,FixedAssets[Asset ID])),IF(AND((_xlfn.XMATCH(AI$8,$AH$8:$CC$8))-_xlfn.XMATCH($C147,$C$35:$C$82)+1&lt;=_xlpm.DepreciationMonths,$C147&lt;=AI$8),$E147/_xlpm.DepreciationMonths,0))</f>
        <v>0</v>
      </c>
      <c r="AJ147" s="507" cm="1">
        <f t="array" ref="AJ147">_xlfn.LET(_xlpm.DepreciationMonths,INDEX(FixedAssets[Depreciation
/ Amortization Months],_xlfn.XMATCH($E$135,FixedAssets[Asset ID])),IF(AND((_xlfn.XMATCH(AJ$8,$AH$8:$CC$8))-_xlfn.XMATCH($C147,$C$35:$C$82)+1&lt;=_xlpm.DepreciationMonths,$C147&lt;=AJ$8),$E147/_xlpm.DepreciationMonths,0))</f>
        <v>0</v>
      </c>
      <c r="AK147" s="507" cm="1">
        <f t="array" ref="AK147">_xlfn.LET(_xlpm.DepreciationMonths,INDEX(FixedAssets[Depreciation
/ Amortization Months],_xlfn.XMATCH($E$135,FixedAssets[Asset ID])),IF(AND((_xlfn.XMATCH(AK$8,$AH$8:$CC$8))-_xlfn.XMATCH($C147,$C$35:$C$82)+1&lt;=_xlpm.DepreciationMonths,$C147&lt;=AK$8),$E147/_xlpm.DepreciationMonths,0))</f>
        <v>0</v>
      </c>
      <c r="AL147" s="507" cm="1">
        <f t="array" ref="AL147">_xlfn.LET(_xlpm.DepreciationMonths,INDEX(FixedAssets[Depreciation
/ Amortization Months],_xlfn.XMATCH($E$135,FixedAssets[Asset ID])),IF(AND((_xlfn.XMATCH(AL$8,$AH$8:$CC$8))-_xlfn.XMATCH($C147,$C$35:$C$82)+1&lt;=_xlpm.DepreciationMonths,$C147&lt;=AL$8),$E147/_xlpm.DepreciationMonths,0))</f>
        <v>0</v>
      </c>
      <c r="AM147" s="507" cm="1">
        <f t="array" ref="AM147">_xlfn.LET(_xlpm.DepreciationMonths,INDEX(FixedAssets[Depreciation
/ Amortization Months],_xlfn.XMATCH($E$135,FixedAssets[Asset ID])),IF(AND((_xlfn.XMATCH(AM$8,$AH$8:$CC$8))-_xlfn.XMATCH($C147,$C$35:$C$82)+1&lt;=_xlpm.DepreciationMonths,$C147&lt;=AM$8),$E147/_xlpm.DepreciationMonths,0))</f>
        <v>0</v>
      </c>
      <c r="AN147" s="507" cm="1">
        <f t="array" ref="AN147">_xlfn.LET(_xlpm.DepreciationMonths,INDEX(FixedAssets[Depreciation
/ Amortization Months],_xlfn.XMATCH($E$135,FixedAssets[Asset ID])),IF(AND((_xlfn.XMATCH(AN$8,$AH$8:$CC$8))-_xlfn.XMATCH($C147,$C$35:$C$82)+1&lt;=_xlpm.DepreciationMonths,$C147&lt;=AN$8),$E147/_xlpm.DepreciationMonths,0))</f>
        <v>0</v>
      </c>
      <c r="AO147" s="507" cm="1">
        <f t="array" ref="AO147">_xlfn.LET(_xlpm.DepreciationMonths,INDEX(FixedAssets[Depreciation
/ Amortization Months],_xlfn.XMATCH($E$135,FixedAssets[Asset ID])),IF(AND((_xlfn.XMATCH(AO$8,$AH$8:$CC$8))-_xlfn.XMATCH($C147,$C$35:$C$82)+1&lt;=_xlpm.DepreciationMonths,$C147&lt;=AO$8),$E147/_xlpm.DepreciationMonths,0))</f>
        <v>0</v>
      </c>
      <c r="AP147" s="507" cm="1">
        <f t="array" ref="AP147">_xlfn.LET(_xlpm.DepreciationMonths,INDEX(FixedAssets[Depreciation
/ Amortization Months],_xlfn.XMATCH($E$135,FixedAssets[Asset ID])),IF(AND((_xlfn.XMATCH(AP$8,$AH$8:$CC$8))-_xlfn.XMATCH($C147,$C$35:$C$82)+1&lt;=_xlpm.DepreciationMonths,$C147&lt;=AP$8),$E147/_xlpm.DepreciationMonths,0))</f>
        <v>0</v>
      </c>
      <c r="AQ147" s="507" cm="1">
        <f t="array" ref="AQ147">_xlfn.LET(_xlpm.DepreciationMonths,INDEX(FixedAssets[Depreciation
/ Amortization Months],_xlfn.XMATCH($E$135,FixedAssets[Asset ID])),IF(AND((_xlfn.XMATCH(AQ$8,$AH$8:$CC$8))-_xlfn.XMATCH($C147,$C$35:$C$82)+1&lt;=_xlpm.DepreciationMonths,$C147&lt;=AQ$8),$E147/_xlpm.DepreciationMonths,0))</f>
        <v>0</v>
      </c>
      <c r="AR147" s="507" cm="1">
        <f t="array" ref="AR147">_xlfn.LET(_xlpm.DepreciationMonths,INDEX(FixedAssets[Depreciation
/ Amortization Months],_xlfn.XMATCH($E$135,FixedAssets[Asset ID])),IF(AND((_xlfn.XMATCH(AR$8,$AH$8:$CC$8))-_xlfn.XMATCH($C147,$C$35:$C$82)+1&lt;=_xlpm.DepreciationMonths,$C147&lt;=AR$8),$E147/_xlpm.DepreciationMonths,0))</f>
        <v>0</v>
      </c>
      <c r="AS147" s="507" cm="1">
        <f t="array" ref="AS147">_xlfn.LET(_xlpm.DepreciationMonths,INDEX(FixedAssets[Depreciation
/ Amortization Months],_xlfn.XMATCH($E$135,FixedAssets[Asset ID])),IF(AND((_xlfn.XMATCH(AS$8,$AH$8:$CC$8))-_xlfn.XMATCH($C147,$C$35:$C$82)+1&lt;=_xlpm.DepreciationMonths,$C147&lt;=AS$8),$E147/_xlpm.DepreciationMonths,0))</f>
        <v>0</v>
      </c>
      <c r="AT147" s="507" cm="1">
        <f t="array" ref="AT147">_xlfn.LET(_xlpm.DepreciationMonths,INDEX(FixedAssets[Depreciation
/ Amortization Months],_xlfn.XMATCH($E$135,FixedAssets[Asset ID])),IF(AND((_xlfn.XMATCH(AT$8,$AH$8:$CC$8))-_xlfn.XMATCH($C147,$C$35:$C$82)+1&lt;=_xlpm.DepreciationMonths,$C147&lt;=AT$8),$E147/_xlpm.DepreciationMonths,0))</f>
        <v>0</v>
      </c>
      <c r="AU147" s="507" cm="1">
        <f t="array" ref="AU147">_xlfn.LET(_xlpm.DepreciationMonths,INDEX(FixedAssets[Depreciation
/ Amortization Months],_xlfn.XMATCH($E$135,FixedAssets[Asset ID])),IF(AND((_xlfn.XMATCH(AU$8,$AH$8:$CC$8))-_xlfn.XMATCH($C147,$C$35:$C$82)+1&lt;=_xlpm.DepreciationMonths,$C147&lt;=AU$8),$E147/_xlpm.DepreciationMonths,0))</f>
        <v>0</v>
      </c>
      <c r="AV147" s="507" cm="1">
        <f t="array" ref="AV147">_xlfn.LET(_xlpm.DepreciationMonths,INDEX(FixedAssets[Depreciation
/ Amortization Months],_xlfn.XMATCH($E$135,FixedAssets[Asset ID])),IF(AND((_xlfn.XMATCH(AV$8,$AH$8:$CC$8))-_xlfn.XMATCH($C147,$C$35:$C$82)+1&lt;=_xlpm.DepreciationMonths,$C147&lt;=AV$8),$E147/_xlpm.DepreciationMonths,0))</f>
        <v>0</v>
      </c>
      <c r="AW147" s="507" cm="1">
        <f t="array" ref="AW147">_xlfn.LET(_xlpm.DepreciationMonths,INDEX(FixedAssets[Depreciation
/ Amortization Months],_xlfn.XMATCH($E$135,FixedAssets[Asset ID])),IF(AND((_xlfn.XMATCH(AW$8,$AH$8:$CC$8))-_xlfn.XMATCH($C147,$C$35:$C$82)+1&lt;=_xlpm.DepreciationMonths,$C147&lt;=AW$8),$E147/_xlpm.DepreciationMonths,0))</f>
        <v>0</v>
      </c>
      <c r="AX147" s="507" cm="1">
        <f t="array" ref="AX147">_xlfn.LET(_xlpm.DepreciationMonths,INDEX(FixedAssets[Depreciation
/ Amortization Months],_xlfn.XMATCH($E$135,FixedAssets[Asset ID])),IF(AND((_xlfn.XMATCH(AX$8,$AH$8:$CC$8))-_xlfn.XMATCH($C147,$C$35:$C$82)+1&lt;=_xlpm.DepreciationMonths,$C147&lt;=AX$8),$E147/_xlpm.DepreciationMonths,0))</f>
        <v>0</v>
      </c>
      <c r="AY147" s="507" cm="1">
        <f t="array" ref="AY147">_xlfn.LET(_xlpm.DepreciationMonths,INDEX(FixedAssets[Depreciation
/ Amortization Months],_xlfn.XMATCH($E$135,FixedAssets[Asset ID])),IF(AND((_xlfn.XMATCH(AY$8,$AH$8:$CC$8))-_xlfn.XMATCH($C147,$C$35:$C$82)+1&lt;=_xlpm.DepreciationMonths,$C147&lt;=AY$8),$E147/_xlpm.DepreciationMonths,0))</f>
        <v>0</v>
      </c>
      <c r="AZ147" s="507" cm="1">
        <f t="array" ref="AZ147">_xlfn.LET(_xlpm.DepreciationMonths,INDEX(FixedAssets[Depreciation
/ Amortization Months],_xlfn.XMATCH($E$135,FixedAssets[Asset ID])),IF(AND((_xlfn.XMATCH(AZ$8,$AH$8:$CC$8))-_xlfn.XMATCH($C147,$C$35:$C$82)+1&lt;=_xlpm.DepreciationMonths,$C147&lt;=AZ$8),$E147/_xlpm.DepreciationMonths,0))</f>
        <v>0</v>
      </c>
      <c r="BA147" s="507" cm="1">
        <f t="array" ref="BA147">_xlfn.LET(_xlpm.DepreciationMonths,INDEX(FixedAssets[Depreciation
/ Amortization Months],_xlfn.XMATCH($E$135,FixedAssets[Asset ID])),IF(AND((_xlfn.XMATCH(BA$8,$AH$8:$CC$8))-_xlfn.XMATCH($C147,$C$35:$C$82)+1&lt;=_xlpm.DepreciationMonths,$C147&lt;=BA$8),$E147/_xlpm.DepreciationMonths,0))</f>
        <v>0</v>
      </c>
      <c r="BB147" s="507" cm="1">
        <f t="array" ref="BB147">_xlfn.LET(_xlpm.DepreciationMonths,INDEX(FixedAssets[Depreciation
/ Amortization Months],_xlfn.XMATCH($E$135,FixedAssets[Asset ID])),IF(AND((_xlfn.XMATCH(BB$8,$AH$8:$CC$8))-_xlfn.XMATCH($C147,$C$35:$C$82)+1&lt;=_xlpm.DepreciationMonths,$C147&lt;=BB$8),$E147/_xlpm.DepreciationMonths,0))</f>
        <v>0</v>
      </c>
      <c r="BC147" s="507" cm="1">
        <f t="array" ref="BC147">_xlfn.LET(_xlpm.DepreciationMonths,INDEX(FixedAssets[Depreciation
/ Amortization Months],_xlfn.XMATCH($E$135,FixedAssets[Asset ID])),IF(AND((_xlfn.XMATCH(BC$8,$AH$8:$CC$8))-_xlfn.XMATCH($C147,$C$35:$C$82)+1&lt;=_xlpm.DepreciationMonths,$C147&lt;=BC$8),$E147/_xlpm.DepreciationMonths,0))</f>
        <v>0</v>
      </c>
      <c r="BD147" s="507" cm="1">
        <f t="array" ref="BD147">_xlfn.LET(_xlpm.DepreciationMonths,INDEX(FixedAssets[Depreciation
/ Amortization Months],_xlfn.XMATCH($E$135,FixedAssets[Asset ID])),IF(AND((_xlfn.XMATCH(BD$8,$AH$8:$CC$8))-_xlfn.XMATCH($C147,$C$35:$C$82)+1&lt;=_xlpm.DepreciationMonths,$C147&lt;=BD$8),$E147/_xlpm.DepreciationMonths,0))</f>
        <v>0</v>
      </c>
      <c r="BE147" s="507" cm="1">
        <f t="array" ref="BE147">_xlfn.LET(_xlpm.DepreciationMonths,INDEX(FixedAssets[Depreciation
/ Amortization Months],_xlfn.XMATCH($E$135,FixedAssets[Asset ID])),IF(AND((_xlfn.XMATCH(BE$8,$AH$8:$CC$8))-_xlfn.XMATCH($C147,$C$35:$C$82)+1&lt;=_xlpm.DepreciationMonths,$C147&lt;=BE$8),$E147/_xlpm.DepreciationMonths,0))</f>
        <v>0</v>
      </c>
      <c r="BF147" s="507" cm="1">
        <f t="array" ref="BF147">_xlfn.LET(_xlpm.DepreciationMonths,INDEX(FixedAssets[Depreciation
/ Amortization Months],_xlfn.XMATCH($E$135,FixedAssets[Asset ID])),IF(AND((_xlfn.XMATCH(BF$8,$AH$8:$CC$8))-_xlfn.XMATCH($C147,$C$35:$C$82)+1&lt;=_xlpm.DepreciationMonths,$C147&lt;=BF$8),$E147/_xlpm.DepreciationMonths,0))</f>
        <v>0</v>
      </c>
      <c r="BG147" s="507" cm="1">
        <f t="array" ref="BG147">_xlfn.LET(_xlpm.DepreciationMonths,INDEX(FixedAssets[Depreciation
/ Amortization Months],_xlfn.XMATCH($E$135,FixedAssets[Asset ID])),IF(AND((_xlfn.XMATCH(BG$8,$AH$8:$CC$8))-_xlfn.XMATCH($C147,$C$35:$C$82)+1&lt;=_xlpm.DepreciationMonths,$C147&lt;=BG$8),$E147/_xlpm.DepreciationMonths,0))</f>
        <v>0</v>
      </c>
      <c r="BH147" s="507" cm="1">
        <f t="array" ref="BH147">_xlfn.LET(_xlpm.DepreciationMonths,INDEX(FixedAssets[Depreciation
/ Amortization Months],_xlfn.XMATCH($E$135,FixedAssets[Asset ID])),IF(AND((_xlfn.XMATCH(BH$8,$AH$8:$CC$8))-_xlfn.XMATCH($C147,$C$35:$C$82)+1&lt;=_xlpm.DepreciationMonths,$C147&lt;=BH$8),$E147/_xlpm.DepreciationMonths,0))</f>
        <v>0</v>
      </c>
      <c r="BI147" s="507" cm="1">
        <f t="array" ref="BI147">_xlfn.LET(_xlpm.DepreciationMonths,INDEX(FixedAssets[Depreciation
/ Amortization Months],_xlfn.XMATCH($E$135,FixedAssets[Asset ID])),IF(AND((_xlfn.XMATCH(BI$8,$AH$8:$CC$8))-_xlfn.XMATCH($C147,$C$35:$C$82)+1&lt;=_xlpm.DepreciationMonths,$C147&lt;=BI$8),$E147/_xlpm.DepreciationMonths,0))</f>
        <v>0</v>
      </c>
      <c r="BJ147" s="507" cm="1">
        <f t="array" ref="BJ147">_xlfn.LET(_xlpm.DepreciationMonths,INDEX(FixedAssets[Depreciation
/ Amortization Months],_xlfn.XMATCH($E$135,FixedAssets[Asset ID])),IF(AND((_xlfn.XMATCH(BJ$8,$AH$8:$CC$8))-_xlfn.XMATCH($C147,$C$35:$C$82)+1&lt;=_xlpm.DepreciationMonths,$C147&lt;=BJ$8),$E147/_xlpm.DepreciationMonths,0))</f>
        <v>0</v>
      </c>
      <c r="BK147" s="507" cm="1">
        <f t="array" ref="BK147">_xlfn.LET(_xlpm.DepreciationMonths,INDEX(FixedAssets[Depreciation
/ Amortization Months],_xlfn.XMATCH($E$135,FixedAssets[Asset ID])),IF(AND((_xlfn.XMATCH(BK$8,$AH$8:$CC$8))-_xlfn.XMATCH($C147,$C$35:$C$82)+1&lt;=_xlpm.DepreciationMonths,$C147&lt;=BK$8),$E147/_xlpm.DepreciationMonths,0))</f>
        <v>0</v>
      </c>
      <c r="BL147" s="507" cm="1">
        <f t="array" ref="BL147">_xlfn.LET(_xlpm.DepreciationMonths,INDEX(FixedAssets[Depreciation
/ Amortization Months],_xlfn.XMATCH($E$135,FixedAssets[Asset ID])),IF(AND((_xlfn.XMATCH(BL$8,$AH$8:$CC$8))-_xlfn.XMATCH($C147,$C$35:$C$82)+1&lt;=_xlpm.DepreciationMonths,$C147&lt;=BL$8),$E147/_xlpm.DepreciationMonths,0))</f>
        <v>0</v>
      </c>
      <c r="BM147" s="507" cm="1">
        <f t="array" ref="BM147">_xlfn.LET(_xlpm.DepreciationMonths,INDEX(FixedAssets[Depreciation
/ Amortization Months],_xlfn.XMATCH($E$135,FixedAssets[Asset ID])),IF(AND((_xlfn.XMATCH(BM$8,$AH$8:$CC$8))-_xlfn.XMATCH($C147,$C$35:$C$82)+1&lt;=_xlpm.DepreciationMonths,$C147&lt;=BM$8),$E147/_xlpm.DepreciationMonths,0))</f>
        <v>0</v>
      </c>
      <c r="BN147" s="507" cm="1">
        <f t="array" ref="BN147">_xlfn.LET(_xlpm.DepreciationMonths,INDEX(FixedAssets[Depreciation
/ Amortization Months],_xlfn.XMATCH($E$135,FixedAssets[Asset ID])),IF(AND((_xlfn.XMATCH(BN$8,$AH$8:$CC$8))-_xlfn.XMATCH($C147,$C$35:$C$82)+1&lt;=_xlpm.DepreciationMonths,$C147&lt;=BN$8),$E147/_xlpm.DepreciationMonths,0))</f>
        <v>0</v>
      </c>
      <c r="BO147" s="507" cm="1">
        <f t="array" ref="BO147">_xlfn.LET(_xlpm.DepreciationMonths,INDEX(FixedAssets[Depreciation
/ Amortization Months],_xlfn.XMATCH($E$135,FixedAssets[Asset ID])),IF(AND((_xlfn.XMATCH(BO$8,$AH$8:$CC$8))-_xlfn.XMATCH($C147,$C$35:$C$82)+1&lt;=_xlpm.DepreciationMonths,$C147&lt;=BO$8),$E147/_xlpm.DepreciationMonths,0))</f>
        <v>0</v>
      </c>
      <c r="BP147" s="507" cm="1">
        <f t="array" ref="BP147">_xlfn.LET(_xlpm.DepreciationMonths,INDEX(FixedAssets[Depreciation
/ Amortization Months],_xlfn.XMATCH($E$135,FixedAssets[Asset ID])),IF(AND((_xlfn.XMATCH(BP$8,$AH$8:$CC$8))-_xlfn.XMATCH($C147,$C$35:$C$82)+1&lt;=_xlpm.DepreciationMonths,$C147&lt;=BP$8),$E147/_xlpm.DepreciationMonths,0))</f>
        <v>0</v>
      </c>
      <c r="BQ147" s="507" cm="1">
        <f t="array" ref="BQ147">_xlfn.LET(_xlpm.DepreciationMonths,INDEX(FixedAssets[Depreciation
/ Amortization Months],_xlfn.XMATCH($E$135,FixedAssets[Asset ID])),IF(AND((_xlfn.XMATCH(BQ$8,$AH$8:$CC$8))-_xlfn.XMATCH($C147,$C$35:$C$82)+1&lt;=_xlpm.DepreciationMonths,$C147&lt;=BQ$8),$E147/_xlpm.DepreciationMonths,0))</f>
        <v>0</v>
      </c>
      <c r="BR147" s="507" cm="1">
        <f t="array" ref="BR147">_xlfn.LET(_xlpm.DepreciationMonths,INDEX(FixedAssets[Depreciation
/ Amortization Months],_xlfn.XMATCH($E$135,FixedAssets[Asset ID])),IF(AND((_xlfn.XMATCH(BR$8,$AH$8:$CC$8))-_xlfn.XMATCH($C147,$C$35:$C$82)+1&lt;=_xlpm.DepreciationMonths,$C147&lt;=BR$8),$E147/_xlpm.DepreciationMonths,0))</f>
        <v>0</v>
      </c>
      <c r="BS147" s="507" cm="1">
        <f t="array" ref="BS147">_xlfn.LET(_xlpm.DepreciationMonths,INDEX(FixedAssets[Depreciation
/ Amortization Months],_xlfn.XMATCH($E$135,FixedAssets[Asset ID])),IF(AND((_xlfn.XMATCH(BS$8,$AH$8:$CC$8))-_xlfn.XMATCH($C147,$C$35:$C$82)+1&lt;=_xlpm.DepreciationMonths,$C147&lt;=BS$8),$E147/_xlpm.DepreciationMonths,0))</f>
        <v>0</v>
      </c>
      <c r="BT147" s="507" cm="1">
        <f t="array" ref="BT147">_xlfn.LET(_xlpm.DepreciationMonths,INDEX(FixedAssets[Depreciation
/ Amortization Months],_xlfn.XMATCH($E$135,FixedAssets[Asset ID])),IF(AND((_xlfn.XMATCH(BT$8,$AH$8:$CC$8))-_xlfn.XMATCH($C147,$C$35:$C$82)+1&lt;=_xlpm.DepreciationMonths,$C147&lt;=BT$8),$E147/_xlpm.DepreciationMonths,0))</f>
        <v>0</v>
      </c>
      <c r="BU147" s="507" cm="1">
        <f t="array" ref="BU147">_xlfn.LET(_xlpm.DepreciationMonths,INDEX(FixedAssets[Depreciation
/ Amortization Months],_xlfn.XMATCH($E$135,FixedAssets[Asset ID])),IF(AND((_xlfn.XMATCH(BU$8,$AH$8:$CC$8))-_xlfn.XMATCH($C147,$C$35:$C$82)+1&lt;=_xlpm.DepreciationMonths,$C147&lt;=BU$8),$E147/_xlpm.DepreciationMonths,0))</f>
        <v>0</v>
      </c>
      <c r="BV147" s="507" cm="1">
        <f t="array" ref="BV147">_xlfn.LET(_xlpm.DepreciationMonths,INDEX(FixedAssets[Depreciation
/ Amortization Months],_xlfn.XMATCH($E$135,FixedAssets[Asset ID])),IF(AND((_xlfn.XMATCH(BV$8,$AH$8:$CC$8))-_xlfn.XMATCH($C147,$C$35:$C$82)+1&lt;=_xlpm.DepreciationMonths,$C147&lt;=BV$8),$E147/_xlpm.DepreciationMonths,0))</f>
        <v>0</v>
      </c>
      <c r="BW147" s="507" cm="1">
        <f t="array" ref="BW147">_xlfn.LET(_xlpm.DepreciationMonths,INDEX(FixedAssets[Depreciation
/ Amortization Months],_xlfn.XMATCH($E$135,FixedAssets[Asset ID])),IF(AND((_xlfn.XMATCH(BW$8,$AH$8:$CC$8))-_xlfn.XMATCH($C147,$C$35:$C$82)+1&lt;=_xlpm.DepreciationMonths,$C147&lt;=BW$8),$E147/_xlpm.DepreciationMonths,0))</f>
        <v>0</v>
      </c>
      <c r="BX147" s="507" cm="1">
        <f t="array" ref="BX147">_xlfn.LET(_xlpm.DepreciationMonths,INDEX(FixedAssets[Depreciation
/ Amortization Months],_xlfn.XMATCH($E$135,FixedAssets[Asset ID])),IF(AND((_xlfn.XMATCH(BX$8,$AH$8:$CC$8))-_xlfn.XMATCH($C147,$C$35:$C$82)+1&lt;=_xlpm.DepreciationMonths,$C147&lt;=BX$8),$E147/_xlpm.DepreciationMonths,0))</f>
        <v>0</v>
      </c>
      <c r="BY147" s="507" cm="1">
        <f t="array" ref="BY147">_xlfn.LET(_xlpm.DepreciationMonths,INDEX(FixedAssets[Depreciation
/ Amortization Months],_xlfn.XMATCH($E$135,FixedAssets[Asset ID])),IF(AND((_xlfn.XMATCH(BY$8,$AH$8:$CC$8))-_xlfn.XMATCH($C147,$C$35:$C$82)+1&lt;=_xlpm.DepreciationMonths,$C147&lt;=BY$8),$E147/_xlpm.DepreciationMonths,0))</f>
        <v>0</v>
      </c>
      <c r="BZ147" s="507" cm="1">
        <f t="array" ref="BZ147">_xlfn.LET(_xlpm.DepreciationMonths,INDEX(FixedAssets[Depreciation
/ Amortization Months],_xlfn.XMATCH($E$135,FixedAssets[Asset ID])),IF(AND((_xlfn.XMATCH(BZ$8,$AH$8:$CC$8))-_xlfn.XMATCH($C147,$C$35:$C$82)+1&lt;=_xlpm.DepreciationMonths,$C147&lt;=BZ$8),$E147/_xlpm.DepreciationMonths,0))</f>
        <v>0</v>
      </c>
      <c r="CA147" s="507" cm="1">
        <f t="array" ref="CA147">_xlfn.LET(_xlpm.DepreciationMonths,INDEX(FixedAssets[Depreciation
/ Amortization Months],_xlfn.XMATCH($E$135,FixedAssets[Asset ID])),IF(AND((_xlfn.XMATCH(CA$8,$AH$8:$CC$8))-_xlfn.XMATCH($C147,$C$35:$C$82)+1&lt;=_xlpm.DepreciationMonths,$C147&lt;=CA$8),$E147/_xlpm.DepreciationMonths,0))</f>
        <v>0</v>
      </c>
      <c r="CB147" s="507" cm="1">
        <f t="array" ref="CB147">_xlfn.LET(_xlpm.DepreciationMonths,INDEX(FixedAssets[Depreciation
/ Amortization Months],_xlfn.XMATCH($E$135,FixedAssets[Asset ID])),IF(AND((_xlfn.XMATCH(CB$8,$AH$8:$CC$8))-_xlfn.XMATCH($C147,$C$35:$C$82)+1&lt;=_xlpm.DepreciationMonths,$C147&lt;=CB$8),$E147/_xlpm.DepreciationMonths,0))</f>
        <v>0</v>
      </c>
      <c r="CC147" s="507" cm="1">
        <f t="array" ref="CC147">_xlfn.LET(_xlpm.DepreciationMonths,INDEX(FixedAssets[Depreciation
/ Amortization Months],_xlfn.XMATCH($E$135,FixedAssets[Asset ID])),IF(AND((_xlfn.XMATCH(CC$8,$AH$8:$CC$8))-_xlfn.XMATCH($C147,$C$35:$C$82)+1&lt;=_xlpm.DepreciationMonths,$C147&lt;=CC$8),$E147/_xlpm.DepreciationMonths,0))</f>
        <v>0</v>
      </c>
    </row>
    <row r="148" spans="3:81" hidden="1" outlineLevel="2">
      <c r="C148" s="664">
        <f t="shared" si="243"/>
        <v>45291</v>
      </c>
      <c r="D148" s="508"/>
      <c r="E148" s="508" cm="1">
        <f t="array" ref="E148">SUMPRODUCT(($AH$26:$CC$31)*($AH$5:$CC$5=$C148)*($E$26:$E$31=E$135))-SUMPRODUCT(($AH$26:$CC$31)*($AH$5:$CC$5=EOMONTH($C148,-1))*($E$26:$E$31=E$135))</f>
        <v>0</v>
      </c>
      <c r="F148" s="508"/>
      <c r="G148" s="508"/>
      <c r="H148" s="508"/>
      <c r="I148" s="508"/>
      <c r="J148" s="504">
        <f t="shared" si="240"/>
        <v>0</v>
      </c>
      <c r="K148" s="504">
        <f t="shared" si="241"/>
        <v>0</v>
      </c>
      <c r="L148" s="504">
        <f t="shared" si="241"/>
        <v>0</v>
      </c>
      <c r="M148" s="504">
        <f t="shared" si="241"/>
        <v>0</v>
      </c>
      <c r="N148" s="504"/>
      <c r="O148" s="504"/>
      <c r="P148" s="504">
        <f t="shared" si="242"/>
        <v>0</v>
      </c>
      <c r="Q148" s="504">
        <f t="shared" si="242"/>
        <v>0</v>
      </c>
      <c r="R148" s="504">
        <f t="shared" si="242"/>
        <v>0</v>
      </c>
      <c r="S148" s="504">
        <f t="shared" si="242"/>
        <v>0</v>
      </c>
      <c r="T148" s="504">
        <f t="shared" si="242"/>
        <v>0</v>
      </c>
      <c r="U148" s="504">
        <f t="shared" si="242"/>
        <v>0</v>
      </c>
      <c r="V148" s="504">
        <f t="shared" si="242"/>
        <v>0</v>
      </c>
      <c r="W148" s="504">
        <f t="shared" si="242"/>
        <v>0</v>
      </c>
      <c r="X148" s="504">
        <f t="shared" si="242"/>
        <v>0</v>
      </c>
      <c r="Y148" s="504">
        <f t="shared" si="242"/>
        <v>0</v>
      </c>
      <c r="Z148" s="504">
        <f t="shared" si="242"/>
        <v>0</v>
      </c>
      <c r="AA148" s="504">
        <f t="shared" si="242"/>
        <v>0</v>
      </c>
      <c r="AB148" s="504">
        <f t="shared" si="242"/>
        <v>0</v>
      </c>
      <c r="AC148" s="504">
        <f t="shared" si="242"/>
        <v>0</v>
      </c>
      <c r="AD148" s="504">
        <f t="shared" si="242"/>
        <v>0</v>
      </c>
      <c r="AE148" s="504">
        <f t="shared" si="242"/>
        <v>0</v>
      </c>
      <c r="AF148" s="508"/>
      <c r="AG148" s="508"/>
      <c r="AH148" s="507" cm="1">
        <f t="array" ref="AH148">_xlfn.LET(_xlpm.DepreciationMonths,INDEX(FixedAssets[Depreciation
/ Amortization Months],_xlfn.XMATCH($E$135,FixedAssets[Asset ID])),IF(AND((_xlfn.XMATCH(AH$8,$AH$8:$CC$8))-_xlfn.XMATCH($C148,$C$35:$C$82)+1&lt;=_xlpm.DepreciationMonths,$C148&lt;=AH$8),$E148/_xlpm.DepreciationMonths,0))</f>
        <v>0</v>
      </c>
      <c r="AI148" s="507" cm="1">
        <f t="array" ref="AI148">_xlfn.LET(_xlpm.DepreciationMonths,INDEX(FixedAssets[Depreciation
/ Amortization Months],_xlfn.XMATCH($E$135,FixedAssets[Asset ID])),IF(AND((_xlfn.XMATCH(AI$8,$AH$8:$CC$8))-_xlfn.XMATCH($C148,$C$35:$C$82)+1&lt;=_xlpm.DepreciationMonths,$C148&lt;=AI$8),$E148/_xlpm.DepreciationMonths,0))</f>
        <v>0</v>
      </c>
      <c r="AJ148" s="507" cm="1">
        <f t="array" ref="AJ148">_xlfn.LET(_xlpm.DepreciationMonths,INDEX(FixedAssets[Depreciation
/ Amortization Months],_xlfn.XMATCH($E$135,FixedAssets[Asset ID])),IF(AND((_xlfn.XMATCH(AJ$8,$AH$8:$CC$8))-_xlfn.XMATCH($C148,$C$35:$C$82)+1&lt;=_xlpm.DepreciationMonths,$C148&lt;=AJ$8),$E148/_xlpm.DepreciationMonths,0))</f>
        <v>0</v>
      </c>
      <c r="AK148" s="507" cm="1">
        <f t="array" ref="AK148">_xlfn.LET(_xlpm.DepreciationMonths,INDEX(FixedAssets[Depreciation
/ Amortization Months],_xlfn.XMATCH($E$135,FixedAssets[Asset ID])),IF(AND((_xlfn.XMATCH(AK$8,$AH$8:$CC$8))-_xlfn.XMATCH($C148,$C$35:$C$82)+1&lt;=_xlpm.DepreciationMonths,$C148&lt;=AK$8),$E148/_xlpm.DepreciationMonths,0))</f>
        <v>0</v>
      </c>
      <c r="AL148" s="507" cm="1">
        <f t="array" ref="AL148">_xlfn.LET(_xlpm.DepreciationMonths,INDEX(FixedAssets[Depreciation
/ Amortization Months],_xlfn.XMATCH($E$135,FixedAssets[Asset ID])),IF(AND((_xlfn.XMATCH(AL$8,$AH$8:$CC$8))-_xlfn.XMATCH($C148,$C$35:$C$82)+1&lt;=_xlpm.DepreciationMonths,$C148&lt;=AL$8),$E148/_xlpm.DepreciationMonths,0))</f>
        <v>0</v>
      </c>
      <c r="AM148" s="507" cm="1">
        <f t="array" ref="AM148">_xlfn.LET(_xlpm.DepreciationMonths,INDEX(FixedAssets[Depreciation
/ Amortization Months],_xlfn.XMATCH($E$135,FixedAssets[Asset ID])),IF(AND((_xlfn.XMATCH(AM$8,$AH$8:$CC$8))-_xlfn.XMATCH($C148,$C$35:$C$82)+1&lt;=_xlpm.DepreciationMonths,$C148&lt;=AM$8),$E148/_xlpm.DepreciationMonths,0))</f>
        <v>0</v>
      </c>
      <c r="AN148" s="507" cm="1">
        <f t="array" ref="AN148">_xlfn.LET(_xlpm.DepreciationMonths,INDEX(FixedAssets[Depreciation
/ Amortization Months],_xlfn.XMATCH($E$135,FixedAssets[Asset ID])),IF(AND((_xlfn.XMATCH(AN$8,$AH$8:$CC$8))-_xlfn.XMATCH($C148,$C$35:$C$82)+1&lt;=_xlpm.DepreciationMonths,$C148&lt;=AN$8),$E148/_xlpm.DepreciationMonths,0))</f>
        <v>0</v>
      </c>
      <c r="AO148" s="507" cm="1">
        <f t="array" ref="AO148">_xlfn.LET(_xlpm.DepreciationMonths,INDEX(FixedAssets[Depreciation
/ Amortization Months],_xlfn.XMATCH($E$135,FixedAssets[Asset ID])),IF(AND((_xlfn.XMATCH(AO$8,$AH$8:$CC$8))-_xlfn.XMATCH($C148,$C$35:$C$82)+1&lt;=_xlpm.DepreciationMonths,$C148&lt;=AO$8),$E148/_xlpm.DepreciationMonths,0))</f>
        <v>0</v>
      </c>
      <c r="AP148" s="507" cm="1">
        <f t="array" ref="AP148">_xlfn.LET(_xlpm.DepreciationMonths,INDEX(FixedAssets[Depreciation
/ Amortization Months],_xlfn.XMATCH($E$135,FixedAssets[Asset ID])),IF(AND((_xlfn.XMATCH(AP$8,$AH$8:$CC$8))-_xlfn.XMATCH($C148,$C$35:$C$82)+1&lt;=_xlpm.DepreciationMonths,$C148&lt;=AP$8),$E148/_xlpm.DepreciationMonths,0))</f>
        <v>0</v>
      </c>
      <c r="AQ148" s="507" cm="1">
        <f t="array" ref="AQ148">_xlfn.LET(_xlpm.DepreciationMonths,INDEX(FixedAssets[Depreciation
/ Amortization Months],_xlfn.XMATCH($E$135,FixedAssets[Asset ID])),IF(AND((_xlfn.XMATCH(AQ$8,$AH$8:$CC$8))-_xlfn.XMATCH($C148,$C$35:$C$82)+1&lt;=_xlpm.DepreciationMonths,$C148&lt;=AQ$8),$E148/_xlpm.DepreciationMonths,0))</f>
        <v>0</v>
      </c>
      <c r="AR148" s="507" cm="1">
        <f t="array" ref="AR148">_xlfn.LET(_xlpm.DepreciationMonths,INDEX(FixedAssets[Depreciation
/ Amortization Months],_xlfn.XMATCH($E$135,FixedAssets[Asset ID])),IF(AND((_xlfn.XMATCH(AR$8,$AH$8:$CC$8))-_xlfn.XMATCH($C148,$C$35:$C$82)+1&lt;=_xlpm.DepreciationMonths,$C148&lt;=AR$8),$E148/_xlpm.DepreciationMonths,0))</f>
        <v>0</v>
      </c>
      <c r="AS148" s="507" cm="1">
        <f t="array" ref="AS148">_xlfn.LET(_xlpm.DepreciationMonths,INDEX(FixedAssets[Depreciation
/ Amortization Months],_xlfn.XMATCH($E$135,FixedAssets[Asset ID])),IF(AND((_xlfn.XMATCH(AS$8,$AH$8:$CC$8))-_xlfn.XMATCH($C148,$C$35:$C$82)+1&lt;=_xlpm.DepreciationMonths,$C148&lt;=AS$8),$E148/_xlpm.DepreciationMonths,0))</f>
        <v>0</v>
      </c>
      <c r="AT148" s="507" cm="1">
        <f t="array" ref="AT148">_xlfn.LET(_xlpm.DepreciationMonths,INDEX(FixedAssets[Depreciation
/ Amortization Months],_xlfn.XMATCH($E$135,FixedAssets[Asset ID])),IF(AND((_xlfn.XMATCH(AT$8,$AH$8:$CC$8))-_xlfn.XMATCH($C148,$C$35:$C$82)+1&lt;=_xlpm.DepreciationMonths,$C148&lt;=AT$8),$E148/_xlpm.DepreciationMonths,0))</f>
        <v>0</v>
      </c>
      <c r="AU148" s="507" cm="1">
        <f t="array" ref="AU148">_xlfn.LET(_xlpm.DepreciationMonths,INDEX(FixedAssets[Depreciation
/ Amortization Months],_xlfn.XMATCH($E$135,FixedAssets[Asset ID])),IF(AND((_xlfn.XMATCH(AU$8,$AH$8:$CC$8))-_xlfn.XMATCH($C148,$C$35:$C$82)+1&lt;=_xlpm.DepreciationMonths,$C148&lt;=AU$8),$E148/_xlpm.DepreciationMonths,0))</f>
        <v>0</v>
      </c>
      <c r="AV148" s="507" cm="1">
        <f t="array" ref="AV148">_xlfn.LET(_xlpm.DepreciationMonths,INDEX(FixedAssets[Depreciation
/ Amortization Months],_xlfn.XMATCH($E$135,FixedAssets[Asset ID])),IF(AND((_xlfn.XMATCH(AV$8,$AH$8:$CC$8))-_xlfn.XMATCH($C148,$C$35:$C$82)+1&lt;=_xlpm.DepreciationMonths,$C148&lt;=AV$8),$E148/_xlpm.DepreciationMonths,0))</f>
        <v>0</v>
      </c>
      <c r="AW148" s="507" cm="1">
        <f t="array" ref="AW148">_xlfn.LET(_xlpm.DepreciationMonths,INDEX(FixedAssets[Depreciation
/ Amortization Months],_xlfn.XMATCH($E$135,FixedAssets[Asset ID])),IF(AND((_xlfn.XMATCH(AW$8,$AH$8:$CC$8))-_xlfn.XMATCH($C148,$C$35:$C$82)+1&lt;=_xlpm.DepreciationMonths,$C148&lt;=AW$8),$E148/_xlpm.DepreciationMonths,0))</f>
        <v>0</v>
      </c>
      <c r="AX148" s="507" cm="1">
        <f t="array" ref="AX148">_xlfn.LET(_xlpm.DepreciationMonths,INDEX(FixedAssets[Depreciation
/ Amortization Months],_xlfn.XMATCH($E$135,FixedAssets[Asset ID])),IF(AND((_xlfn.XMATCH(AX$8,$AH$8:$CC$8))-_xlfn.XMATCH($C148,$C$35:$C$82)+1&lt;=_xlpm.DepreciationMonths,$C148&lt;=AX$8),$E148/_xlpm.DepreciationMonths,0))</f>
        <v>0</v>
      </c>
      <c r="AY148" s="507" cm="1">
        <f t="array" ref="AY148">_xlfn.LET(_xlpm.DepreciationMonths,INDEX(FixedAssets[Depreciation
/ Amortization Months],_xlfn.XMATCH($E$135,FixedAssets[Asset ID])),IF(AND((_xlfn.XMATCH(AY$8,$AH$8:$CC$8))-_xlfn.XMATCH($C148,$C$35:$C$82)+1&lt;=_xlpm.DepreciationMonths,$C148&lt;=AY$8),$E148/_xlpm.DepreciationMonths,0))</f>
        <v>0</v>
      </c>
      <c r="AZ148" s="507" cm="1">
        <f t="array" ref="AZ148">_xlfn.LET(_xlpm.DepreciationMonths,INDEX(FixedAssets[Depreciation
/ Amortization Months],_xlfn.XMATCH($E$135,FixedAssets[Asset ID])),IF(AND((_xlfn.XMATCH(AZ$8,$AH$8:$CC$8))-_xlfn.XMATCH($C148,$C$35:$C$82)+1&lt;=_xlpm.DepreciationMonths,$C148&lt;=AZ$8),$E148/_xlpm.DepreciationMonths,0))</f>
        <v>0</v>
      </c>
      <c r="BA148" s="507" cm="1">
        <f t="array" ref="BA148">_xlfn.LET(_xlpm.DepreciationMonths,INDEX(FixedAssets[Depreciation
/ Amortization Months],_xlfn.XMATCH($E$135,FixedAssets[Asset ID])),IF(AND((_xlfn.XMATCH(BA$8,$AH$8:$CC$8))-_xlfn.XMATCH($C148,$C$35:$C$82)+1&lt;=_xlpm.DepreciationMonths,$C148&lt;=BA$8),$E148/_xlpm.DepreciationMonths,0))</f>
        <v>0</v>
      </c>
      <c r="BB148" s="507" cm="1">
        <f t="array" ref="BB148">_xlfn.LET(_xlpm.DepreciationMonths,INDEX(FixedAssets[Depreciation
/ Amortization Months],_xlfn.XMATCH($E$135,FixedAssets[Asset ID])),IF(AND((_xlfn.XMATCH(BB$8,$AH$8:$CC$8))-_xlfn.XMATCH($C148,$C$35:$C$82)+1&lt;=_xlpm.DepreciationMonths,$C148&lt;=BB$8),$E148/_xlpm.DepreciationMonths,0))</f>
        <v>0</v>
      </c>
      <c r="BC148" s="507" cm="1">
        <f t="array" ref="BC148">_xlfn.LET(_xlpm.DepreciationMonths,INDEX(FixedAssets[Depreciation
/ Amortization Months],_xlfn.XMATCH($E$135,FixedAssets[Asset ID])),IF(AND((_xlfn.XMATCH(BC$8,$AH$8:$CC$8))-_xlfn.XMATCH($C148,$C$35:$C$82)+1&lt;=_xlpm.DepreciationMonths,$C148&lt;=BC$8),$E148/_xlpm.DepreciationMonths,0))</f>
        <v>0</v>
      </c>
      <c r="BD148" s="507" cm="1">
        <f t="array" ref="BD148">_xlfn.LET(_xlpm.DepreciationMonths,INDEX(FixedAssets[Depreciation
/ Amortization Months],_xlfn.XMATCH($E$135,FixedAssets[Asset ID])),IF(AND((_xlfn.XMATCH(BD$8,$AH$8:$CC$8))-_xlfn.XMATCH($C148,$C$35:$C$82)+1&lt;=_xlpm.DepreciationMonths,$C148&lt;=BD$8),$E148/_xlpm.DepreciationMonths,0))</f>
        <v>0</v>
      </c>
      <c r="BE148" s="507" cm="1">
        <f t="array" ref="BE148">_xlfn.LET(_xlpm.DepreciationMonths,INDEX(FixedAssets[Depreciation
/ Amortization Months],_xlfn.XMATCH($E$135,FixedAssets[Asset ID])),IF(AND((_xlfn.XMATCH(BE$8,$AH$8:$CC$8))-_xlfn.XMATCH($C148,$C$35:$C$82)+1&lt;=_xlpm.DepreciationMonths,$C148&lt;=BE$8),$E148/_xlpm.DepreciationMonths,0))</f>
        <v>0</v>
      </c>
      <c r="BF148" s="507" cm="1">
        <f t="array" ref="BF148">_xlfn.LET(_xlpm.DepreciationMonths,INDEX(FixedAssets[Depreciation
/ Amortization Months],_xlfn.XMATCH($E$135,FixedAssets[Asset ID])),IF(AND((_xlfn.XMATCH(BF$8,$AH$8:$CC$8))-_xlfn.XMATCH($C148,$C$35:$C$82)+1&lt;=_xlpm.DepreciationMonths,$C148&lt;=BF$8),$E148/_xlpm.DepreciationMonths,0))</f>
        <v>0</v>
      </c>
      <c r="BG148" s="507" cm="1">
        <f t="array" ref="BG148">_xlfn.LET(_xlpm.DepreciationMonths,INDEX(FixedAssets[Depreciation
/ Amortization Months],_xlfn.XMATCH($E$135,FixedAssets[Asset ID])),IF(AND((_xlfn.XMATCH(BG$8,$AH$8:$CC$8))-_xlfn.XMATCH($C148,$C$35:$C$82)+1&lt;=_xlpm.DepreciationMonths,$C148&lt;=BG$8),$E148/_xlpm.DepreciationMonths,0))</f>
        <v>0</v>
      </c>
      <c r="BH148" s="507" cm="1">
        <f t="array" ref="BH148">_xlfn.LET(_xlpm.DepreciationMonths,INDEX(FixedAssets[Depreciation
/ Amortization Months],_xlfn.XMATCH($E$135,FixedAssets[Asset ID])),IF(AND((_xlfn.XMATCH(BH$8,$AH$8:$CC$8))-_xlfn.XMATCH($C148,$C$35:$C$82)+1&lt;=_xlpm.DepreciationMonths,$C148&lt;=BH$8),$E148/_xlpm.DepreciationMonths,0))</f>
        <v>0</v>
      </c>
      <c r="BI148" s="507" cm="1">
        <f t="array" ref="BI148">_xlfn.LET(_xlpm.DepreciationMonths,INDEX(FixedAssets[Depreciation
/ Amortization Months],_xlfn.XMATCH($E$135,FixedAssets[Asset ID])),IF(AND((_xlfn.XMATCH(BI$8,$AH$8:$CC$8))-_xlfn.XMATCH($C148,$C$35:$C$82)+1&lt;=_xlpm.DepreciationMonths,$C148&lt;=BI$8),$E148/_xlpm.DepreciationMonths,0))</f>
        <v>0</v>
      </c>
      <c r="BJ148" s="507" cm="1">
        <f t="array" ref="BJ148">_xlfn.LET(_xlpm.DepreciationMonths,INDEX(FixedAssets[Depreciation
/ Amortization Months],_xlfn.XMATCH($E$135,FixedAssets[Asset ID])),IF(AND((_xlfn.XMATCH(BJ$8,$AH$8:$CC$8))-_xlfn.XMATCH($C148,$C$35:$C$82)+1&lt;=_xlpm.DepreciationMonths,$C148&lt;=BJ$8),$E148/_xlpm.DepreciationMonths,0))</f>
        <v>0</v>
      </c>
      <c r="BK148" s="507" cm="1">
        <f t="array" ref="BK148">_xlfn.LET(_xlpm.DepreciationMonths,INDEX(FixedAssets[Depreciation
/ Amortization Months],_xlfn.XMATCH($E$135,FixedAssets[Asset ID])),IF(AND((_xlfn.XMATCH(BK$8,$AH$8:$CC$8))-_xlfn.XMATCH($C148,$C$35:$C$82)+1&lt;=_xlpm.DepreciationMonths,$C148&lt;=BK$8),$E148/_xlpm.DepreciationMonths,0))</f>
        <v>0</v>
      </c>
      <c r="BL148" s="507" cm="1">
        <f t="array" ref="BL148">_xlfn.LET(_xlpm.DepreciationMonths,INDEX(FixedAssets[Depreciation
/ Amortization Months],_xlfn.XMATCH($E$135,FixedAssets[Asset ID])),IF(AND((_xlfn.XMATCH(BL$8,$AH$8:$CC$8))-_xlfn.XMATCH($C148,$C$35:$C$82)+1&lt;=_xlpm.DepreciationMonths,$C148&lt;=BL$8),$E148/_xlpm.DepreciationMonths,0))</f>
        <v>0</v>
      </c>
      <c r="BM148" s="507" cm="1">
        <f t="array" ref="BM148">_xlfn.LET(_xlpm.DepreciationMonths,INDEX(FixedAssets[Depreciation
/ Amortization Months],_xlfn.XMATCH($E$135,FixedAssets[Asset ID])),IF(AND((_xlfn.XMATCH(BM$8,$AH$8:$CC$8))-_xlfn.XMATCH($C148,$C$35:$C$82)+1&lt;=_xlpm.DepreciationMonths,$C148&lt;=BM$8),$E148/_xlpm.DepreciationMonths,0))</f>
        <v>0</v>
      </c>
      <c r="BN148" s="507" cm="1">
        <f t="array" ref="BN148">_xlfn.LET(_xlpm.DepreciationMonths,INDEX(FixedAssets[Depreciation
/ Amortization Months],_xlfn.XMATCH($E$135,FixedAssets[Asset ID])),IF(AND((_xlfn.XMATCH(BN$8,$AH$8:$CC$8))-_xlfn.XMATCH($C148,$C$35:$C$82)+1&lt;=_xlpm.DepreciationMonths,$C148&lt;=BN$8),$E148/_xlpm.DepreciationMonths,0))</f>
        <v>0</v>
      </c>
      <c r="BO148" s="507" cm="1">
        <f t="array" ref="BO148">_xlfn.LET(_xlpm.DepreciationMonths,INDEX(FixedAssets[Depreciation
/ Amortization Months],_xlfn.XMATCH($E$135,FixedAssets[Asset ID])),IF(AND((_xlfn.XMATCH(BO$8,$AH$8:$CC$8))-_xlfn.XMATCH($C148,$C$35:$C$82)+1&lt;=_xlpm.DepreciationMonths,$C148&lt;=BO$8),$E148/_xlpm.DepreciationMonths,0))</f>
        <v>0</v>
      </c>
      <c r="BP148" s="507" cm="1">
        <f t="array" ref="BP148">_xlfn.LET(_xlpm.DepreciationMonths,INDEX(FixedAssets[Depreciation
/ Amortization Months],_xlfn.XMATCH($E$135,FixedAssets[Asset ID])),IF(AND((_xlfn.XMATCH(BP$8,$AH$8:$CC$8))-_xlfn.XMATCH($C148,$C$35:$C$82)+1&lt;=_xlpm.DepreciationMonths,$C148&lt;=BP$8),$E148/_xlpm.DepreciationMonths,0))</f>
        <v>0</v>
      </c>
      <c r="BQ148" s="507" cm="1">
        <f t="array" ref="BQ148">_xlfn.LET(_xlpm.DepreciationMonths,INDEX(FixedAssets[Depreciation
/ Amortization Months],_xlfn.XMATCH($E$135,FixedAssets[Asset ID])),IF(AND((_xlfn.XMATCH(BQ$8,$AH$8:$CC$8))-_xlfn.XMATCH($C148,$C$35:$C$82)+1&lt;=_xlpm.DepreciationMonths,$C148&lt;=BQ$8),$E148/_xlpm.DepreciationMonths,0))</f>
        <v>0</v>
      </c>
      <c r="BR148" s="507" cm="1">
        <f t="array" ref="BR148">_xlfn.LET(_xlpm.DepreciationMonths,INDEX(FixedAssets[Depreciation
/ Amortization Months],_xlfn.XMATCH($E$135,FixedAssets[Asset ID])),IF(AND((_xlfn.XMATCH(BR$8,$AH$8:$CC$8))-_xlfn.XMATCH($C148,$C$35:$C$82)+1&lt;=_xlpm.DepreciationMonths,$C148&lt;=BR$8),$E148/_xlpm.DepreciationMonths,0))</f>
        <v>0</v>
      </c>
      <c r="BS148" s="507" cm="1">
        <f t="array" ref="BS148">_xlfn.LET(_xlpm.DepreciationMonths,INDEX(FixedAssets[Depreciation
/ Amortization Months],_xlfn.XMATCH($E$135,FixedAssets[Asset ID])),IF(AND((_xlfn.XMATCH(BS$8,$AH$8:$CC$8))-_xlfn.XMATCH($C148,$C$35:$C$82)+1&lt;=_xlpm.DepreciationMonths,$C148&lt;=BS$8),$E148/_xlpm.DepreciationMonths,0))</f>
        <v>0</v>
      </c>
      <c r="BT148" s="507" cm="1">
        <f t="array" ref="BT148">_xlfn.LET(_xlpm.DepreciationMonths,INDEX(FixedAssets[Depreciation
/ Amortization Months],_xlfn.XMATCH($E$135,FixedAssets[Asset ID])),IF(AND((_xlfn.XMATCH(BT$8,$AH$8:$CC$8))-_xlfn.XMATCH($C148,$C$35:$C$82)+1&lt;=_xlpm.DepreciationMonths,$C148&lt;=BT$8),$E148/_xlpm.DepreciationMonths,0))</f>
        <v>0</v>
      </c>
      <c r="BU148" s="507" cm="1">
        <f t="array" ref="BU148">_xlfn.LET(_xlpm.DepreciationMonths,INDEX(FixedAssets[Depreciation
/ Amortization Months],_xlfn.XMATCH($E$135,FixedAssets[Asset ID])),IF(AND((_xlfn.XMATCH(BU$8,$AH$8:$CC$8))-_xlfn.XMATCH($C148,$C$35:$C$82)+1&lt;=_xlpm.DepreciationMonths,$C148&lt;=BU$8),$E148/_xlpm.DepreciationMonths,0))</f>
        <v>0</v>
      </c>
      <c r="BV148" s="507" cm="1">
        <f t="array" ref="BV148">_xlfn.LET(_xlpm.DepreciationMonths,INDEX(FixedAssets[Depreciation
/ Amortization Months],_xlfn.XMATCH($E$135,FixedAssets[Asset ID])),IF(AND((_xlfn.XMATCH(BV$8,$AH$8:$CC$8))-_xlfn.XMATCH($C148,$C$35:$C$82)+1&lt;=_xlpm.DepreciationMonths,$C148&lt;=BV$8),$E148/_xlpm.DepreciationMonths,0))</f>
        <v>0</v>
      </c>
      <c r="BW148" s="507" cm="1">
        <f t="array" ref="BW148">_xlfn.LET(_xlpm.DepreciationMonths,INDEX(FixedAssets[Depreciation
/ Amortization Months],_xlfn.XMATCH($E$135,FixedAssets[Asset ID])),IF(AND((_xlfn.XMATCH(BW$8,$AH$8:$CC$8))-_xlfn.XMATCH($C148,$C$35:$C$82)+1&lt;=_xlpm.DepreciationMonths,$C148&lt;=BW$8),$E148/_xlpm.DepreciationMonths,0))</f>
        <v>0</v>
      </c>
      <c r="BX148" s="507" cm="1">
        <f t="array" ref="BX148">_xlfn.LET(_xlpm.DepreciationMonths,INDEX(FixedAssets[Depreciation
/ Amortization Months],_xlfn.XMATCH($E$135,FixedAssets[Asset ID])),IF(AND((_xlfn.XMATCH(BX$8,$AH$8:$CC$8))-_xlfn.XMATCH($C148,$C$35:$C$82)+1&lt;=_xlpm.DepreciationMonths,$C148&lt;=BX$8),$E148/_xlpm.DepreciationMonths,0))</f>
        <v>0</v>
      </c>
      <c r="BY148" s="507" cm="1">
        <f t="array" ref="BY148">_xlfn.LET(_xlpm.DepreciationMonths,INDEX(FixedAssets[Depreciation
/ Amortization Months],_xlfn.XMATCH($E$135,FixedAssets[Asset ID])),IF(AND((_xlfn.XMATCH(BY$8,$AH$8:$CC$8))-_xlfn.XMATCH($C148,$C$35:$C$82)+1&lt;=_xlpm.DepreciationMonths,$C148&lt;=BY$8),$E148/_xlpm.DepreciationMonths,0))</f>
        <v>0</v>
      </c>
      <c r="BZ148" s="507" cm="1">
        <f t="array" ref="BZ148">_xlfn.LET(_xlpm.DepreciationMonths,INDEX(FixedAssets[Depreciation
/ Amortization Months],_xlfn.XMATCH($E$135,FixedAssets[Asset ID])),IF(AND((_xlfn.XMATCH(BZ$8,$AH$8:$CC$8))-_xlfn.XMATCH($C148,$C$35:$C$82)+1&lt;=_xlpm.DepreciationMonths,$C148&lt;=BZ$8),$E148/_xlpm.DepreciationMonths,0))</f>
        <v>0</v>
      </c>
      <c r="CA148" s="507" cm="1">
        <f t="array" ref="CA148">_xlfn.LET(_xlpm.DepreciationMonths,INDEX(FixedAssets[Depreciation
/ Amortization Months],_xlfn.XMATCH($E$135,FixedAssets[Asset ID])),IF(AND((_xlfn.XMATCH(CA$8,$AH$8:$CC$8))-_xlfn.XMATCH($C148,$C$35:$C$82)+1&lt;=_xlpm.DepreciationMonths,$C148&lt;=CA$8),$E148/_xlpm.DepreciationMonths,0))</f>
        <v>0</v>
      </c>
      <c r="CB148" s="507" cm="1">
        <f t="array" ref="CB148">_xlfn.LET(_xlpm.DepreciationMonths,INDEX(FixedAssets[Depreciation
/ Amortization Months],_xlfn.XMATCH($E$135,FixedAssets[Asset ID])),IF(AND((_xlfn.XMATCH(CB$8,$AH$8:$CC$8))-_xlfn.XMATCH($C148,$C$35:$C$82)+1&lt;=_xlpm.DepreciationMonths,$C148&lt;=CB$8),$E148/_xlpm.DepreciationMonths,0))</f>
        <v>0</v>
      </c>
      <c r="CC148" s="507" cm="1">
        <f t="array" ref="CC148">_xlfn.LET(_xlpm.DepreciationMonths,INDEX(FixedAssets[Depreciation
/ Amortization Months],_xlfn.XMATCH($E$135,FixedAssets[Asset ID])),IF(AND((_xlfn.XMATCH(CC$8,$AH$8:$CC$8))-_xlfn.XMATCH($C148,$C$35:$C$82)+1&lt;=_xlpm.DepreciationMonths,$C148&lt;=CC$8),$E148/_xlpm.DepreciationMonths,0))</f>
        <v>0</v>
      </c>
    </row>
    <row r="149" spans="3:81" hidden="1" outlineLevel="2">
      <c r="C149" s="664">
        <f t="shared" si="243"/>
        <v>45322</v>
      </c>
      <c r="D149" s="508"/>
      <c r="E149" s="508" cm="1">
        <f t="array" ref="E149">SUMPRODUCT(($AH$26:$CC$31)*($AH$5:$CC$5=$C149)*($E$26:$E$31=E$135))-SUMPRODUCT(($AH$26:$CC$31)*($AH$5:$CC$5=EOMONTH($C149,-1))*($E$26:$E$31=E$135))</f>
        <v>2000</v>
      </c>
      <c r="F149" s="508"/>
      <c r="G149" s="508"/>
      <c r="H149" s="508"/>
      <c r="I149" s="508"/>
      <c r="J149" s="504">
        <f t="shared" si="240"/>
        <v>0</v>
      </c>
      <c r="K149" s="504">
        <f t="shared" si="241"/>
        <v>666.66666666666663</v>
      </c>
      <c r="L149" s="504">
        <f t="shared" si="241"/>
        <v>666.66666666666663</v>
      </c>
      <c r="M149" s="504">
        <f t="shared" si="241"/>
        <v>666.66666666666663</v>
      </c>
      <c r="N149" s="504"/>
      <c r="O149" s="504"/>
      <c r="P149" s="504">
        <f t="shared" si="242"/>
        <v>0</v>
      </c>
      <c r="Q149" s="504">
        <f t="shared" si="242"/>
        <v>0</v>
      </c>
      <c r="R149" s="504">
        <f t="shared" si="242"/>
        <v>0</v>
      </c>
      <c r="S149" s="504">
        <f t="shared" si="242"/>
        <v>0</v>
      </c>
      <c r="T149" s="504">
        <f t="shared" si="242"/>
        <v>166.66666666666669</v>
      </c>
      <c r="U149" s="504">
        <f t="shared" si="242"/>
        <v>166.66666666666669</v>
      </c>
      <c r="V149" s="504">
        <f t="shared" si="242"/>
        <v>166.66666666666669</v>
      </c>
      <c r="W149" s="504">
        <f t="shared" si="242"/>
        <v>166.66666666666669</v>
      </c>
      <c r="X149" s="504">
        <f t="shared" si="242"/>
        <v>166.66666666666669</v>
      </c>
      <c r="Y149" s="504">
        <f t="shared" si="242"/>
        <v>166.66666666666669</v>
      </c>
      <c r="Z149" s="504">
        <f t="shared" si="242"/>
        <v>166.66666666666669</v>
      </c>
      <c r="AA149" s="504">
        <f t="shared" si="242"/>
        <v>166.66666666666669</v>
      </c>
      <c r="AB149" s="504">
        <f t="shared" si="242"/>
        <v>166.66666666666669</v>
      </c>
      <c r="AC149" s="504">
        <f t="shared" si="242"/>
        <v>166.66666666666669</v>
      </c>
      <c r="AD149" s="504">
        <f t="shared" si="242"/>
        <v>166.66666666666669</v>
      </c>
      <c r="AE149" s="504">
        <f t="shared" si="242"/>
        <v>166.66666666666669</v>
      </c>
      <c r="AF149" s="508"/>
      <c r="AG149" s="508"/>
      <c r="AH149" s="507" cm="1">
        <f t="array" ref="AH149">_xlfn.LET(_xlpm.DepreciationMonths,INDEX(FixedAssets[Depreciation
/ Amortization Months],_xlfn.XMATCH($E$135,FixedAssets[Asset ID])),IF(AND((_xlfn.XMATCH(AH$8,$AH$8:$CC$8))-_xlfn.XMATCH($C149,$C$35:$C$82)+1&lt;=_xlpm.DepreciationMonths,$C149&lt;=AH$8),$E149/_xlpm.DepreciationMonths,0))</f>
        <v>0</v>
      </c>
      <c r="AI149" s="507" cm="1">
        <f t="array" ref="AI149">_xlfn.LET(_xlpm.DepreciationMonths,INDEX(FixedAssets[Depreciation
/ Amortization Months],_xlfn.XMATCH($E$135,FixedAssets[Asset ID])),IF(AND((_xlfn.XMATCH(AI$8,$AH$8:$CC$8))-_xlfn.XMATCH($C149,$C$35:$C$82)+1&lt;=_xlpm.DepreciationMonths,$C149&lt;=AI$8),$E149/_xlpm.DepreciationMonths,0))</f>
        <v>0</v>
      </c>
      <c r="AJ149" s="507" cm="1">
        <f t="array" ref="AJ149">_xlfn.LET(_xlpm.DepreciationMonths,INDEX(FixedAssets[Depreciation
/ Amortization Months],_xlfn.XMATCH($E$135,FixedAssets[Asset ID])),IF(AND((_xlfn.XMATCH(AJ$8,$AH$8:$CC$8))-_xlfn.XMATCH($C149,$C$35:$C$82)+1&lt;=_xlpm.DepreciationMonths,$C149&lt;=AJ$8),$E149/_xlpm.DepreciationMonths,0))</f>
        <v>0</v>
      </c>
      <c r="AK149" s="507" cm="1">
        <f t="array" ref="AK149">_xlfn.LET(_xlpm.DepreciationMonths,INDEX(FixedAssets[Depreciation
/ Amortization Months],_xlfn.XMATCH($E$135,FixedAssets[Asset ID])),IF(AND((_xlfn.XMATCH(AK$8,$AH$8:$CC$8))-_xlfn.XMATCH($C149,$C$35:$C$82)+1&lt;=_xlpm.DepreciationMonths,$C149&lt;=AK$8),$E149/_xlpm.DepreciationMonths,0))</f>
        <v>0</v>
      </c>
      <c r="AL149" s="507" cm="1">
        <f t="array" ref="AL149">_xlfn.LET(_xlpm.DepreciationMonths,INDEX(FixedAssets[Depreciation
/ Amortization Months],_xlfn.XMATCH($E$135,FixedAssets[Asset ID])),IF(AND((_xlfn.XMATCH(AL$8,$AH$8:$CC$8))-_xlfn.XMATCH($C149,$C$35:$C$82)+1&lt;=_xlpm.DepreciationMonths,$C149&lt;=AL$8),$E149/_xlpm.DepreciationMonths,0))</f>
        <v>0</v>
      </c>
      <c r="AM149" s="507" cm="1">
        <f t="array" ref="AM149">_xlfn.LET(_xlpm.DepreciationMonths,INDEX(FixedAssets[Depreciation
/ Amortization Months],_xlfn.XMATCH($E$135,FixedAssets[Asset ID])),IF(AND((_xlfn.XMATCH(AM$8,$AH$8:$CC$8))-_xlfn.XMATCH($C149,$C$35:$C$82)+1&lt;=_xlpm.DepreciationMonths,$C149&lt;=AM$8),$E149/_xlpm.DepreciationMonths,0))</f>
        <v>0</v>
      </c>
      <c r="AN149" s="507" cm="1">
        <f t="array" ref="AN149">_xlfn.LET(_xlpm.DepreciationMonths,INDEX(FixedAssets[Depreciation
/ Amortization Months],_xlfn.XMATCH($E$135,FixedAssets[Asset ID])),IF(AND((_xlfn.XMATCH(AN$8,$AH$8:$CC$8))-_xlfn.XMATCH($C149,$C$35:$C$82)+1&lt;=_xlpm.DepreciationMonths,$C149&lt;=AN$8),$E149/_xlpm.DepreciationMonths,0))</f>
        <v>0</v>
      </c>
      <c r="AO149" s="507" cm="1">
        <f t="array" ref="AO149">_xlfn.LET(_xlpm.DepreciationMonths,INDEX(FixedAssets[Depreciation
/ Amortization Months],_xlfn.XMATCH($E$135,FixedAssets[Asset ID])),IF(AND((_xlfn.XMATCH(AO$8,$AH$8:$CC$8))-_xlfn.XMATCH($C149,$C$35:$C$82)+1&lt;=_xlpm.DepreciationMonths,$C149&lt;=AO$8),$E149/_xlpm.DepreciationMonths,0))</f>
        <v>0</v>
      </c>
      <c r="AP149" s="507" cm="1">
        <f t="array" ref="AP149">_xlfn.LET(_xlpm.DepreciationMonths,INDEX(FixedAssets[Depreciation
/ Amortization Months],_xlfn.XMATCH($E$135,FixedAssets[Asset ID])),IF(AND((_xlfn.XMATCH(AP$8,$AH$8:$CC$8))-_xlfn.XMATCH($C149,$C$35:$C$82)+1&lt;=_xlpm.DepreciationMonths,$C149&lt;=AP$8),$E149/_xlpm.DepreciationMonths,0))</f>
        <v>0</v>
      </c>
      <c r="AQ149" s="507" cm="1">
        <f t="array" ref="AQ149">_xlfn.LET(_xlpm.DepreciationMonths,INDEX(FixedAssets[Depreciation
/ Amortization Months],_xlfn.XMATCH($E$135,FixedAssets[Asset ID])),IF(AND((_xlfn.XMATCH(AQ$8,$AH$8:$CC$8))-_xlfn.XMATCH($C149,$C$35:$C$82)+1&lt;=_xlpm.DepreciationMonths,$C149&lt;=AQ$8),$E149/_xlpm.DepreciationMonths,0))</f>
        <v>0</v>
      </c>
      <c r="AR149" s="507" cm="1">
        <f t="array" ref="AR149">_xlfn.LET(_xlpm.DepreciationMonths,INDEX(FixedAssets[Depreciation
/ Amortization Months],_xlfn.XMATCH($E$135,FixedAssets[Asset ID])),IF(AND((_xlfn.XMATCH(AR$8,$AH$8:$CC$8))-_xlfn.XMATCH($C149,$C$35:$C$82)+1&lt;=_xlpm.DepreciationMonths,$C149&lt;=AR$8),$E149/_xlpm.DepreciationMonths,0))</f>
        <v>0</v>
      </c>
      <c r="AS149" s="507" cm="1">
        <f t="array" ref="AS149">_xlfn.LET(_xlpm.DepreciationMonths,INDEX(FixedAssets[Depreciation
/ Amortization Months],_xlfn.XMATCH($E$135,FixedAssets[Asset ID])),IF(AND((_xlfn.XMATCH(AS$8,$AH$8:$CC$8))-_xlfn.XMATCH($C149,$C$35:$C$82)+1&lt;=_xlpm.DepreciationMonths,$C149&lt;=AS$8),$E149/_xlpm.DepreciationMonths,0))</f>
        <v>0</v>
      </c>
      <c r="AT149" s="507" cm="1">
        <f t="array" ref="AT149">_xlfn.LET(_xlpm.DepreciationMonths,INDEX(FixedAssets[Depreciation
/ Amortization Months],_xlfn.XMATCH($E$135,FixedAssets[Asset ID])),IF(AND((_xlfn.XMATCH(AT$8,$AH$8:$CC$8))-_xlfn.XMATCH($C149,$C$35:$C$82)+1&lt;=_xlpm.DepreciationMonths,$C149&lt;=AT$8),$E149/_xlpm.DepreciationMonths,0))</f>
        <v>55.555555555555557</v>
      </c>
      <c r="AU149" s="507" cm="1">
        <f t="array" ref="AU149">_xlfn.LET(_xlpm.DepreciationMonths,INDEX(FixedAssets[Depreciation
/ Amortization Months],_xlfn.XMATCH($E$135,FixedAssets[Asset ID])),IF(AND((_xlfn.XMATCH(AU$8,$AH$8:$CC$8))-_xlfn.XMATCH($C149,$C$35:$C$82)+1&lt;=_xlpm.DepreciationMonths,$C149&lt;=AU$8),$E149/_xlpm.DepreciationMonths,0))</f>
        <v>55.555555555555557</v>
      </c>
      <c r="AV149" s="507" cm="1">
        <f t="array" ref="AV149">_xlfn.LET(_xlpm.DepreciationMonths,INDEX(FixedAssets[Depreciation
/ Amortization Months],_xlfn.XMATCH($E$135,FixedAssets[Asset ID])),IF(AND((_xlfn.XMATCH(AV$8,$AH$8:$CC$8))-_xlfn.XMATCH($C149,$C$35:$C$82)+1&lt;=_xlpm.DepreciationMonths,$C149&lt;=AV$8),$E149/_xlpm.DepreciationMonths,0))</f>
        <v>55.555555555555557</v>
      </c>
      <c r="AW149" s="507" cm="1">
        <f t="array" ref="AW149">_xlfn.LET(_xlpm.DepreciationMonths,INDEX(FixedAssets[Depreciation
/ Amortization Months],_xlfn.XMATCH($E$135,FixedAssets[Asset ID])),IF(AND((_xlfn.XMATCH(AW$8,$AH$8:$CC$8))-_xlfn.XMATCH($C149,$C$35:$C$82)+1&lt;=_xlpm.DepreciationMonths,$C149&lt;=AW$8),$E149/_xlpm.DepreciationMonths,0))</f>
        <v>55.555555555555557</v>
      </c>
      <c r="AX149" s="507" cm="1">
        <f t="array" ref="AX149">_xlfn.LET(_xlpm.DepreciationMonths,INDEX(FixedAssets[Depreciation
/ Amortization Months],_xlfn.XMATCH($E$135,FixedAssets[Asset ID])),IF(AND((_xlfn.XMATCH(AX$8,$AH$8:$CC$8))-_xlfn.XMATCH($C149,$C$35:$C$82)+1&lt;=_xlpm.DepreciationMonths,$C149&lt;=AX$8),$E149/_xlpm.DepreciationMonths,0))</f>
        <v>55.555555555555557</v>
      </c>
      <c r="AY149" s="507" cm="1">
        <f t="array" ref="AY149">_xlfn.LET(_xlpm.DepreciationMonths,INDEX(FixedAssets[Depreciation
/ Amortization Months],_xlfn.XMATCH($E$135,FixedAssets[Asset ID])),IF(AND((_xlfn.XMATCH(AY$8,$AH$8:$CC$8))-_xlfn.XMATCH($C149,$C$35:$C$82)+1&lt;=_xlpm.DepreciationMonths,$C149&lt;=AY$8),$E149/_xlpm.DepreciationMonths,0))</f>
        <v>55.555555555555557</v>
      </c>
      <c r="AZ149" s="507" cm="1">
        <f t="array" ref="AZ149">_xlfn.LET(_xlpm.DepreciationMonths,INDEX(FixedAssets[Depreciation
/ Amortization Months],_xlfn.XMATCH($E$135,FixedAssets[Asset ID])),IF(AND((_xlfn.XMATCH(AZ$8,$AH$8:$CC$8))-_xlfn.XMATCH($C149,$C$35:$C$82)+1&lt;=_xlpm.DepreciationMonths,$C149&lt;=AZ$8),$E149/_xlpm.DepreciationMonths,0))</f>
        <v>55.555555555555557</v>
      </c>
      <c r="BA149" s="507" cm="1">
        <f t="array" ref="BA149">_xlfn.LET(_xlpm.DepreciationMonths,INDEX(FixedAssets[Depreciation
/ Amortization Months],_xlfn.XMATCH($E$135,FixedAssets[Asset ID])),IF(AND((_xlfn.XMATCH(BA$8,$AH$8:$CC$8))-_xlfn.XMATCH($C149,$C$35:$C$82)+1&lt;=_xlpm.DepreciationMonths,$C149&lt;=BA$8),$E149/_xlpm.DepreciationMonths,0))</f>
        <v>55.555555555555557</v>
      </c>
      <c r="BB149" s="507" cm="1">
        <f t="array" ref="BB149">_xlfn.LET(_xlpm.DepreciationMonths,INDEX(FixedAssets[Depreciation
/ Amortization Months],_xlfn.XMATCH($E$135,FixedAssets[Asset ID])),IF(AND((_xlfn.XMATCH(BB$8,$AH$8:$CC$8))-_xlfn.XMATCH($C149,$C$35:$C$82)+1&lt;=_xlpm.DepreciationMonths,$C149&lt;=BB$8),$E149/_xlpm.DepreciationMonths,0))</f>
        <v>55.555555555555557</v>
      </c>
      <c r="BC149" s="507" cm="1">
        <f t="array" ref="BC149">_xlfn.LET(_xlpm.DepreciationMonths,INDEX(FixedAssets[Depreciation
/ Amortization Months],_xlfn.XMATCH($E$135,FixedAssets[Asset ID])),IF(AND((_xlfn.XMATCH(BC$8,$AH$8:$CC$8))-_xlfn.XMATCH($C149,$C$35:$C$82)+1&lt;=_xlpm.DepreciationMonths,$C149&lt;=BC$8),$E149/_xlpm.DepreciationMonths,0))</f>
        <v>55.555555555555557</v>
      </c>
      <c r="BD149" s="507" cm="1">
        <f t="array" ref="BD149">_xlfn.LET(_xlpm.DepreciationMonths,INDEX(FixedAssets[Depreciation
/ Amortization Months],_xlfn.XMATCH($E$135,FixedAssets[Asset ID])),IF(AND((_xlfn.XMATCH(BD$8,$AH$8:$CC$8))-_xlfn.XMATCH($C149,$C$35:$C$82)+1&lt;=_xlpm.DepreciationMonths,$C149&lt;=BD$8),$E149/_xlpm.DepreciationMonths,0))</f>
        <v>55.555555555555557</v>
      </c>
      <c r="BE149" s="507" cm="1">
        <f t="array" ref="BE149">_xlfn.LET(_xlpm.DepreciationMonths,INDEX(FixedAssets[Depreciation
/ Amortization Months],_xlfn.XMATCH($E$135,FixedAssets[Asset ID])),IF(AND((_xlfn.XMATCH(BE$8,$AH$8:$CC$8))-_xlfn.XMATCH($C149,$C$35:$C$82)+1&lt;=_xlpm.DepreciationMonths,$C149&lt;=BE$8),$E149/_xlpm.DepreciationMonths,0))</f>
        <v>55.555555555555557</v>
      </c>
      <c r="BF149" s="507" cm="1">
        <f t="array" ref="BF149">_xlfn.LET(_xlpm.DepreciationMonths,INDEX(FixedAssets[Depreciation
/ Amortization Months],_xlfn.XMATCH($E$135,FixedAssets[Asset ID])),IF(AND((_xlfn.XMATCH(BF$8,$AH$8:$CC$8))-_xlfn.XMATCH($C149,$C$35:$C$82)+1&lt;=_xlpm.DepreciationMonths,$C149&lt;=BF$8),$E149/_xlpm.DepreciationMonths,0))</f>
        <v>55.555555555555557</v>
      </c>
      <c r="BG149" s="507" cm="1">
        <f t="array" ref="BG149">_xlfn.LET(_xlpm.DepreciationMonths,INDEX(FixedAssets[Depreciation
/ Amortization Months],_xlfn.XMATCH($E$135,FixedAssets[Asset ID])),IF(AND((_xlfn.XMATCH(BG$8,$AH$8:$CC$8))-_xlfn.XMATCH($C149,$C$35:$C$82)+1&lt;=_xlpm.DepreciationMonths,$C149&lt;=BG$8),$E149/_xlpm.DepreciationMonths,0))</f>
        <v>55.555555555555557</v>
      </c>
      <c r="BH149" s="507" cm="1">
        <f t="array" ref="BH149">_xlfn.LET(_xlpm.DepreciationMonths,INDEX(FixedAssets[Depreciation
/ Amortization Months],_xlfn.XMATCH($E$135,FixedAssets[Asset ID])),IF(AND((_xlfn.XMATCH(BH$8,$AH$8:$CC$8))-_xlfn.XMATCH($C149,$C$35:$C$82)+1&lt;=_xlpm.DepreciationMonths,$C149&lt;=BH$8),$E149/_xlpm.DepreciationMonths,0))</f>
        <v>55.555555555555557</v>
      </c>
      <c r="BI149" s="507" cm="1">
        <f t="array" ref="BI149">_xlfn.LET(_xlpm.DepreciationMonths,INDEX(FixedAssets[Depreciation
/ Amortization Months],_xlfn.XMATCH($E$135,FixedAssets[Asset ID])),IF(AND((_xlfn.XMATCH(BI$8,$AH$8:$CC$8))-_xlfn.XMATCH($C149,$C$35:$C$82)+1&lt;=_xlpm.DepreciationMonths,$C149&lt;=BI$8),$E149/_xlpm.DepreciationMonths,0))</f>
        <v>55.555555555555557</v>
      </c>
      <c r="BJ149" s="507" cm="1">
        <f t="array" ref="BJ149">_xlfn.LET(_xlpm.DepreciationMonths,INDEX(FixedAssets[Depreciation
/ Amortization Months],_xlfn.XMATCH($E$135,FixedAssets[Asset ID])),IF(AND((_xlfn.XMATCH(BJ$8,$AH$8:$CC$8))-_xlfn.XMATCH($C149,$C$35:$C$82)+1&lt;=_xlpm.DepreciationMonths,$C149&lt;=BJ$8),$E149/_xlpm.DepreciationMonths,0))</f>
        <v>55.555555555555557</v>
      </c>
      <c r="BK149" s="507" cm="1">
        <f t="array" ref="BK149">_xlfn.LET(_xlpm.DepreciationMonths,INDEX(FixedAssets[Depreciation
/ Amortization Months],_xlfn.XMATCH($E$135,FixedAssets[Asset ID])),IF(AND((_xlfn.XMATCH(BK$8,$AH$8:$CC$8))-_xlfn.XMATCH($C149,$C$35:$C$82)+1&lt;=_xlpm.DepreciationMonths,$C149&lt;=BK$8),$E149/_xlpm.DepreciationMonths,0))</f>
        <v>55.555555555555557</v>
      </c>
      <c r="BL149" s="507" cm="1">
        <f t="array" ref="BL149">_xlfn.LET(_xlpm.DepreciationMonths,INDEX(FixedAssets[Depreciation
/ Amortization Months],_xlfn.XMATCH($E$135,FixedAssets[Asset ID])),IF(AND((_xlfn.XMATCH(BL$8,$AH$8:$CC$8))-_xlfn.XMATCH($C149,$C$35:$C$82)+1&lt;=_xlpm.DepreciationMonths,$C149&lt;=BL$8),$E149/_xlpm.DepreciationMonths,0))</f>
        <v>55.555555555555557</v>
      </c>
      <c r="BM149" s="507" cm="1">
        <f t="array" ref="BM149">_xlfn.LET(_xlpm.DepreciationMonths,INDEX(FixedAssets[Depreciation
/ Amortization Months],_xlfn.XMATCH($E$135,FixedAssets[Asset ID])),IF(AND((_xlfn.XMATCH(BM$8,$AH$8:$CC$8))-_xlfn.XMATCH($C149,$C$35:$C$82)+1&lt;=_xlpm.DepreciationMonths,$C149&lt;=BM$8),$E149/_xlpm.DepreciationMonths,0))</f>
        <v>55.555555555555557</v>
      </c>
      <c r="BN149" s="507" cm="1">
        <f t="array" ref="BN149">_xlfn.LET(_xlpm.DepreciationMonths,INDEX(FixedAssets[Depreciation
/ Amortization Months],_xlfn.XMATCH($E$135,FixedAssets[Asset ID])),IF(AND((_xlfn.XMATCH(BN$8,$AH$8:$CC$8))-_xlfn.XMATCH($C149,$C$35:$C$82)+1&lt;=_xlpm.DepreciationMonths,$C149&lt;=BN$8),$E149/_xlpm.DepreciationMonths,0))</f>
        <v>55.555555555555557</v>
      </c>
      <c r="BO149" s="507" cm="1">
        <f t="array" ref="BO149">_xlfn.LET(_xlpm.DepreciationMonths,INDEX(FixedAssets[Depreciation
/ Amortization Months],_xlfn.XMATCH($E$135,FixedAssets[Asset ID])),IF(AND((_xlfn.XMATCH(BO$8,$AH$8:$CC$8))-_xlfn.XMATCH($C149,$C$35:$C$82)+1&lt;=_xlpm.DepreciationMonths,$C149&lt;=BO$8),$E149/_xlpm.DepreciationMonths,0))</f>
        <v>55.555555555555557</v>
      </c>
      <c r="BP149" s="507" cm="1">
        <f t="array" ref="BP149">_xlfn.LET(_xlpm.DepreciationMonths,INDEX(FixedAssets[Depreciation
/ Amortization Months],_xlfn.XMATCH($E$135,FixedAssets[Asset ID])),IF(AND((_xlfn.XMATCH(BP$8,$AH$8:$CC$8))-_xlfn.XMATCH($C149,$C$35:$C$82)+1&lt;=_xlpm.DepreciationMonths,$C149&lt;=BP$8),$E149/_xlpm.DepreciationMonths,0))</f>
        <v>55.555555555555557</v>
      </c>
      <c r="BQ149" s="507" cm="1">
        <f t="array" ref="BQ149">_xlfn.LET(_xlpm.DepreciationMonths,INDEX(FixedAssets[Depreciation
/ Amortization Months],_xlfn.XMATCH($E$135,FixedAssets[Asset ID])),IF(AND((_xlfn.XMATCH(BQ$8,$AH$8:$CC$8))-_xlfn.XMATCH($C149,$C$35:$C$82)+1&lt;=_xlpm.DepreciationMonths,$C149&lt;=BQ$8),$E149/_xlpm.DepreciationMonths,0))</f>
        <v>55.555555555555557</v>
      </c>
      <c r="BR149" s="507" cm="1">
        <f t="array" ref="BR149">_xlfn.LET(_xlpm.DepreciationMonths,INDEX(FixedAssets[Depreciation
/ Amortization Months],_xlfn.XMATCH($E$135,FixedAssets[Asset ID])),IF(AND((_xlfn.XMATCH(BR$8,$AH$8:$CC$8))-_xlfn.XMATCH($C149,$C$35:$C$82)+1&lt;=_xlpm.DepreciationMonths,$C149&lt;=BR$8),$E149/_xlpm.DepreciationMonths,0))</f>
        <v>55.555555555555557</v>
      </c>
      <c r="BS149" s="507" cm="1">
        <f t="array" ref="BS149">_xlfn.LET(_xlpm.DepreciationMonths,INDEX(FixedAssets[Depreciation
/ Amortization Months],_xlfn.XMATCH($E$135,FixedAssets[Asset ID])),IF(AND((_xlfn.XMATCH(BS$8,$AH$8:$CC$8))-_xlfn.XMATCH($C149,$C$35:$C$82)+1&lt;=_xlpm.DepreciationMonths,$C149&lt;=BS$8),$E149/_xlpm.DepreciationMonths,0))</f>
        <v>55.555555555555557</v>
      </c>
      <c r="BT149" s="507" cm="1">
        <f t="array" ref="BT149">_xlfn.LET(_xlpm.DepreciationMonths,INDEX(FixedAssets[Depreciation
/ Amortization Months],_xlfn.XMATCH($E$135,FixedAssets[Asset ID])),IF(AND((_xlfn.XMATCH(BT$8,$AH$8:$CC$8))-_xlfn.XMATCH($C149,$C$35:$C$82)+1&lt;=_xlpm.DepreciationMonths,$C149&lt;=BT$8),$E149/_xlpm.DepreciationMonths,0))</f>
        <v>55.555555555555557</v>
      </c>
      <c r="BU149" s="507" cm="1">
        <f t="array" ref="BU149">_xlfn.LET(_xlpm.DepreciationMonths,INDEX(FixedAssets[Depreciation
/ Amortization Months],_xlfn.XMATCH($E$135,FixedAssets[Asset ID])),IF(AND((_xlfn.XMATCH(BU$8,$AH$8:$CC$8))-_xlfn.XMATCH($C149,$C$35:$C$82)+1&lt;=_xlpm.DepreciationMonths,$C149&lt;=BU$8),$E149/_xlpm.DepreciationMonths,0))</f>
        <v>55.555555555555557</v>
      </c>
      <c r="BV149" s="507" cm="1">
        <f t="array" ref="BV149">_xlfn.LET(_xlpm.DepreciationMonths,INDEX(FixedAssets[Depreciation
/ Amortization Months],_xlfn.XMATCH($E$135,FixedAssets[Asset ID])),IF(AND((_xlfn.XMATCH(BV$8,$AH$8:$CC$8))-_xlfn.XMATCH($C149,$C$35:$C$82)+1&lt;=_xlpm.DepreciationMonths,$C149&lt;=BV$8),$E149/_xlpm.DepreciationMonths,0))</f>
        <v>55.555555555555557</v>
      </c>
      <c r="BW149" s="507" cm="1">
        <f t="array" ref="BW149">_xlfn.LET(_xlpm.DepreciationMonths,INDEX(FixedAssets[Depreciation
/ Amortization Months],_xlfn.XMATCH($E$135,FixedAssets[Asset ID])),IF(AND((_xlfn.XMATCH(BW$8,$AH$8:$CC$8))-_xlfn.XMATCH($C149,$C$35:$C$82)+1&lt;=_xlpm.DepreciationMonths,$C149&lt;=BW$8),$E149/_xlpm.DepreciationMonths,0))</f>
        <v>55.555555555555557</v>
      </c>
      <c r="BX149" s="507" cm="1">
        <f t="array" ref="BX149">_xlfn.LET(_xlpm.DepreciationMonths,INDEX(FixedAssets[Depreciation
/ Amortization Months],_xlfn.XMATCH($E$135,FixedAssets[Asset ID])),IF(AND((_xlfn.XMATCH(BX$8,$AH$8:$CC$8))-_xlfn.XMATCH($C149,$C$35:$C$82)+1&lt;=_xlpm.DepreciationMonths,$C149&lt;=BX$8),$E149/_xlpm.DepreciationMonths,0))</f>
        <v>55.555555555555557</v>
      </c>
      <c r="BY149" s="507" cm="1">
        <f t="array" ref="BY149">_xlfn.LET(_xlpm.DepreciationMonths,INDEX(FixedAssets[Depreciation
/ Amortization Months],_xlfn.XMATCH($E$135,FixedAssets[Asset ID])),IF(AND((_xlfn.XMATCH(BY$8,$AH$8:$CC$8))-_xlfn.XMATCH($C149,$C$35:$C$82)+1&lt;=_xlpm.DepreciationMonths,$C149&lt;=BY$8),$E149/_xlpm.DepreciationMonths,0))</f>
        <v>55.555555555555557</v>
      </c>
      <c r="BZ149" s="507" cm="1">
        <f t="array" ref="BZ149">_xlfn.LET(_xlpm.DepreciationMonths,INDEX(FixedAssets[Depreciation
/ Amortization Months],_xlfn.XMATCH($E$135,FixedAssets[Asset ID])),IF(AND((_xlfn.XMATCH(BZ$8,$AH$8:$CC$8))-_xlfn.XMATCH($C149,$C$35:$C$82)+1&lt;=_xlpm.DepreciationMonths,$C149&lt;=BZ$8),$E149/_xlpm.DepreciationMonths,0))</f>
        <v>55.555555555555557</v>
      </c>
      <c r="CA149" s="507" cm="1">
        <f t="array" ref="CA149">_xlfn.LET(_xlpm.DepreciationMonths,INDEX(FixedAssets[Depreciation
/ Amortization Months],_xlfn.XMATCH($E$135,FixedAssets[Asset ID])),IF(AND((_xlfn.XMATCH(CA$8,$AH$8:$CC$8))-_xlfn.XMATCH($C149,$C$35:$C$82)+1&lt;=_xlpm.DepreciationMonths,$C149&lt;=CA$8),$E149/_xlpm.DepreciationMonths,0))</f>
        <v>55.555555555555557</v>
      </c>
      <c r="CB149" s="507" cm="1">
        <f t="array" ref="CB149">_xlfn.LET(_xlpm.DepreciationMonths,INDEX(FixedAssets[Depreciation
/ Amortization Months],_xlfn.XMATCH($E$135,FixedAssets[Asset ID])),IF(AND((_xlfn.XMATCH(CB$8,$AH$8:$CC$8))-_xlfn.XMATCH($C149,$C$35:$C$82)+1&lt;=_xlpm.DepreciationMonths,$C149&lt;=CB$8),$E149/_xlpm.DepreciationMonths,0))</f>
        <v>55.555555555555557</v>
      </c>
      <c r="CC149" s="507" cm="1">
        <f t="array" ref="CC149">_xlfn.LET(_xlpm.DepreciationMonths,INDEX(FixedAssets[Depreciation
/ Amortization Months],_xlfn.XMATCH($E$135,FixedAssets[Asset ID])),IF(AND((_xlfn.XMATCH(CC$8,$AH$8:$CC$8))-_xlfn.XMATCH($C149,$C$35:$C$82)+1&lt;=_xlpm.DepreciationMonths,$C149&lt;=CC$8),$E149/_xlpm.DepreciationMonths,0))</f>
        <v>55.555555555555557</v>
      </c>
    </row>
    <row r="150" spans="3:81" hidden="1" outlineLevel="2">
      <c r="C150" s="664">
        <f t="shared" si="243"/>
        <v>45351</v>
      </c>
      <c r="D150" s="508"/>
      <c r="E150" s="508" cm="1">
        <f t="array" ref="E150">SUMPRODUCT(($AH$26:$CC$31)*($AH$5:$CC$5=$C150)*($E$26:$E$31=E$135))-SUMPRODUCT(($AH$26:$CC$31)*($AH$5:$CC$5=EOMONTH($C150,-1))*($E$26:$E$31=E$135))</f>
        <v>-2000</v>
      </c>
      <c r="F150" s="508"/>
      <c r="G150" s="508"/>
      <c r="H150" s="508"/>
      <c r="I150" s="508"/>
      <c r="J150" s="504">
        <f t="shared" si="240"/>
        <v>0</v>
      </c>
      <c r="K150" s="504">
        <f t="shared" si="241"/>
        <v>-611.11111111111109</v>
      </c>
      <c r="L150" s="504">
        <f t="shared" si="241"/>
        <v>-666.66666666666663</v>
      </c>
      <c r="M150" s="504">
        <f t="shared" si="241"/>
        <v>-666.66666666666663</v>
      </c>
      <c r="N150" s="504"/>
      <c r="O150" s="504"/>
      <c r="P150" s="504">
        <f t="shared" si="242"/>
        <v>0</v>
      </c>
      <c r="Q150" s="504">
        <f t="shared" si="242"/>
        <v>0</v>
      </c>
      <c r="R150" s="504">
        <f t="shared" si="242"/>
        <v>0</v>
      </c>
      <c r="S150" s="504">
        <f t="shared" si="242"/>
        <v>0</v>
      </c>
      <c r="T150" s="504">
        <f t="shared" si="242"/>
        <v>-111.11111111111111</v>
      </c>
      <c r="U150" s="504">
        <f t="shared" si="242"/>
        <v>-166.66666666666669</v>
      </c>
      <c r="V150" s="504">
        <f t="shared" si="242"/>
        <v>-166.66666666666669</v>
      </c>
      <c r="W150" s="504">
        <f t="shared" si="242"/>
        <v>-166.66666666666669</v>
      </c>
      <c r="X150" s="504">
        <f t="shared" si="242"/>
        <v>-166.66666666666669</v>
      </c>
      <c r="Y150" s="504">
        <f t="shared" si="242"/>
        <v>-166.66666666666669</v>
      </c>
      <c r="Z150" s="504">
        <f t="shared" si="242"/>
        <v>-166.66666666666669</v>
      </c>
      <c r="AA150" s="504">
        <f t="shared" si="242"/>
        <v>-166.66666666666669</v>
      </c>
      <c r="AB150" s="504">
        <f t="shared" si="242"/>
        <v>-166.66666666666669</v>
      </c>
      <c r="AC150" s="504">
        <f t="shared" si="242"/>
        <v>-166.66666666666669</v>
      </c>
      <c r="AD150" s="504">
        <f t="shared" si="242"/>
        <v>-166.66666666666669</v>
      </c>
      <c r="AE150" s="504">
        <f t="shared" si="242"/>
        <v>-166.66666666666669</v>
      </c>
      <c r="AF150" s="508"/>
      <c r="AG150" s="508"/>
      <c r="AH150" s="507" cm="1">
        <f t="array" ref="AH150">_xlfn.LET(_xlpm.DepreciationMonths,INDEX(FixedAssets[Depreciation
/ Amortization Months],_xlfn.XMATCH($E$135,FixedAssets[Asset ID])),IF(AND((_xlfn.XMATCH(AH$8,$AH$8:$CC$8))-_xlfn.XMATCH($C150,$C$35:$C$82)+1&lt;=_xlpm.DepreciationMonths,$C150&lt;=AH$8),$E150/_xlpm.DepreciationMonths,0))</f>
        <v>0</v>
      </c>
      <c r="AI150" s="507" cm="1">
        <f t="array" ref="AI150">_xlfn.LET(_xlpm.DepreciationMonths,INDEX(FixedAssets[Depreciation
/ Amortization Months],_xlfn.XMATCH($E$135,FixedAssets[Asset ID])),IF(AND((_xlfn.XMATCH(AI$8,$AH$8:$CC$8))-_xlfn.XMATCH($C150,$C$35:$C$82)+1&lt;=_xlpm.DepreciationMonths,$C150&lt;=AI$8),$E150/_xlpm.DepreciationMonths,0))</f>
        <v>0</v>
      </c>
      <c r="AJ150" s="507" cm="1">
        <f t="array" ref="AJ150">_xlfn.LET(_xlpm.DepreciationMonths,INDEX(FixedAssets[Depreciation
/ Amortization Months],_xlfn.XMATCH($E$135,FixedAssets[Asset ID])),IF(AND((_xlfn.XMATCH(AJ$8,$AH$8:$CC$8))-_xlfn.XMATCH($C150,$C$35:$C$82)+1&lt;=_xlpm.DepreciationMonths,$C150&lt;=AJ$8),$E150/_xlpm.DepreciationMonths,0))</f>
        <v>0</v>
      </c>
      <c r="AK150" s="507" cm="1">
        <f t="array" ref="AK150">_xlfn.LET(_xlpm.DepreciationMonths,INDEX(FixedAssets[Depreciation
/ Amortization Months],_xlfn.XMATCH($E$135,FixedAssets[Asset ID])),IF(AND((_xlfn.XMATCH(AK$8,$AH$8:$CC$8))-_xlfn.XMATCH($C150,$C$35:$C$82)+1&lt;=_xlpm.DepreciationMonths,$C150&lt;=AK$8),$E150/_xlpm.DepreciationMonths,0))</f>
        <v>0</v>
      </c>
      <c r="AL150" s="507" cm="1">
        <f t="array" ref="AL150">_xlfn.LET(_xlpm.DepreciationMonths,INDEX(FixedAssets[Depreciation
/ Amortization Months],_xlfn.XMATCH($E$135,FixedAssets[Asset ID])),IF(AND((_xlfn.XMATCH(AL$8,$AH$8:$CC$8))-_xlfn.XMATCH($C150,$C$35:$C$82)+1&lt;=_xlpm.DepreciationMonths,$C150&lt;=AL$8),$E150/_xlpm.DepreciationMonths,0))</f>
        <v>0</v>
      </c>
      <c r="AM150" s="507" cm="1">
        <f t="array" ref="AM150">_xlfn.LET(_xlpm.DepreciationMonths,INDEX(FixedAssets[Depreciation
/ Amortization Months],_xlfn.XMATCH($E$135,FixedAssets[Asset ID])),IF(AND((_xlfn.XMATCH(AM$8,$AH$8:$CC$8))-_xlfn.XMATCH($C150,$C$35:$C$82)+1&lt;=_xlpm.DepreciationMonths,$C150&lt;=AM$8),$E150/_xlpm.DepreciationMonths,0))</f>
        <v>0</v>
      </c>
      <c r="AN150" s="507" cm="1">
        <f t="array" ref="AN150">_xlfn.LET(_xlpm.DepreciationMonths,INDEX(FixedAssets[Depreciation
/ Amortization Months],_xlfn.XMATCH($E$135,FixedAssets[Asset ID])),IF(AND((_xlfn.XMATCH(AN$8,$AH$8:$CC$8))-_xlfn.XMATCH($C150,$C$35:$C$82)+1&lt;=_xlpm.DepreciationMonths,$C150&lt;=AN$8),$E150/_xlpm.DepreciationMonths,0))</f>
        <v>0</v>
      </c>
      <c r="AO150" s="507" cm="1">
        <f t="array" ref="AO150">_xlfn.LET(_xlpm.DepreciationMonths,INDEX(FixedAssets[Depreciation
/ Amortization Months],_xlfn.XMATCH($E$135,FixedAssets[Asset ID])),IF(AND((_xlfn.XMATCH(AO$8,$AH$8:$CC$8))-_xlfn.XMATCH($C150,$C$35:$C$82)+1&lt;=_xlpm.DepreciationMonths,$C150&lt;=AO$8),$E150/_xlpm.DepreciationMonths,0))</f>
        <v>0</v>
      </c>
      <c r="AP150" s="507" cm="1">
        <f t="array" ref="AP150">_xlfn.LET(_xlpm.DepreciationMonths,INDEX(FixedAssets[Depreciation
/ Amortization Months],_xlfn.XMATCH($E$135,FixedAssets[Asset ID])),IF(AND((_xlfn.XMATCH(AP$8,$AH$8:$CC$8))-_xlfn.XMATCH($C150,$C$35:$C$82)+1&lt;=_xlpm.DepreciationMonths,$C150&lt;=AP$8),$E150/_xlpm.DepreciationMonths,0))</f>
        <v>0</v>
      </c>
      <c r="AQ150" s="507" cm="1">
        <f t="array" ref="AQ150">_xlfn.LET(_xlpm.DepreciationMonths,INDEX(FixedAssets[Depreciation
/ Amortization Months],_xlfn.XMATCH($E$135,FixedAssets[Asset ID])),IF(AND((_xlfn.XMATCH(AQ$8,$AH$8:$CC$8))-_xlfn.XMATCH($C150,$C$35:$C$82)+1&lt;=_xlpm.DepreciationMonths,$C150&lt;=AQ$8),$E150/_xlpm.DepreciationMonths,0))</f>
        <v>0</v>
      </c>
      <c r="AR150" s="507" cm="1">
        <f t="array" ref="AR150">_xlfn.LET(_xlpm.DepreciationMonths,INDEX(FixedAssets[Depreciation
/ Amortization Months],_xlfn.XMATCH($E$135,FixedAssets[Asset ID])),IF(AND((_xlfn.XMATCH(AR$8,$AH$8:$CC$8))-_xlfn.XMATCH($C150,$C$35:$C$82)+1&lt;=_xlpm.DepreciationMonths,$C150&lt;=AR$8),$E150/_xlpm.DepreciationMonths,0))</f>
        <v>0</v>
      </c>
      <c r="AS150" s="507" cm="1">
        <f t="array" ref="AS150">_xlfn.LET(_xlpm.DepreciationMonths,INDEX(FixedAssets[Depreciation
/ Amortization Months],_xlfn.XMATCH($E$135,FixedAssets[Asset ID])),IF(AND((_xlfn.XMATCH(AS$8,$AH$8:$CC$8))-_xlfn.XMATCH($C150,$C$35:$C$82)+1&lt;=_xlpm.DepreciationMonths,$C150&lt;=AS$8),$E150/_xlpm.DepreciationMonths,0))</f>
        <v>0</v>
      </c>
      <c r="AT150" s="507" cm="1">
        <f t="array" ref="AT150">_xlfn.LET(_xlpm.DepreciationMonths,INDEX(FixedAssets[Depreciation
/ Amortization Months],_xlfn.XMATCH($E$135,FixedAssets[Asset ID])),IF(AND((_xlfn.XMATCH(AT$8,$AH$8:$CC$8))-_xlfn.XMATCH($C150,$C$35:$C$82)+1&lt;=_xlpm.DepreciationMonths,$C150&lt;=AT$8),$E150/_xlpm.DepreciationMonths,0))</f>
        <v>0</v>
      </c>
      <c r="AU150" s="507" cm="1">
        <f t="array" ref="AU150">_xlfn.LET(_xlpm.DepreciationMonths,INDEX(FixedAssets[Depreciation
/ Amortization Months],_xlfn.XMATCH($E$135,FixedAssets[Asset ID])),IF(AND((_xlfn.XMATCH(AU$8,$AH$8:$CC$8))-_xlfn.XMATCH($C150,$C$35:$C$82)+1&lt;=_xlpm.DepreciationMonths,$C150&lt;=AU$8),$E150/_xlpm.DepreciationMonths,0))</f>
        <v>-55.555555555555557</v>
      </c>
      <c r="AV150" s="507" cm="1">
        <f t="array" ref="AV150">_xlfn.LET(_xlpm.DepreciationMonths,INDEX(FixedAssets[Depreciation
/ Amortization Months],_xlfn.XMATCH($E$135,FixedAssets[Asset ID])),IF(AND((_xlfn.XMATCH(AV$8,$AH$8:$CC$8))-_xlfn.XMATCH($C150,$C$35:$C$82)+1&lt;=_xlpm.DepreciationMonths,$C150&lt;=AV$8),$E150/_xlpm.DepreciationMonths,0))</f>
        <v>-55.555555555555557</v>
      </c>
      <c r="AW150" s="507" cm="1">
        <f t="array" ref="AW150">_xlfn.LET(_xlpm.DepreciationMonths,INDEX(FixedAssets[Depreciation
/ Amortization Months],_xlfn.XMATCH($E$135,FixedAssets[Asset ID])),IF(AND((_xlfn.XMATCH(AW$8,$AH$8:$CC$8))-_xlfn.XMATCH($C150,$C$35:$C$82)+1&lt;=_xlpm.DepreciationMonths,$C150&lt;=AW$8),$E150/_xlpm.DepreciationMonths,0))</f>
        <v>-55.555555555555557</v>
      </c>
      <c r="AX150" s="507" cm="1">
        <f t="array" ref="AX150">_xlfn.LET(_xlpm.DepreciationMonths,INDEX(FixedAssets[Depreciation
/ Amortization Months],_xlfn.XMATCH($E$135,FixedAssets[Asset ID])),IF(AND((_xlfn.XMATCH(AX$8,$AH$8:$CC$8))-_xlfn.XMATCH($C150,$C$35:$C$82)+1&lt;=_xlpm.DepreciationMonths,$C150&lt;=AX$8),$E150/_xlpm.DepreciationMonths,0))</f>
        <v>-55.555555555555557</v>
      </c>
      <c r="AY150" s="507" cm="1">
        <f t="array" ref="AY150">_xlfn.LET(_xlpm.DepreciationMonths,INDEX(FixedAssets[Depreciation
/ Amortization Months],_xlfn.XMATCH($E$135,FixedAssets[Asset ID])),IF(AND((_xlfn.XMATCH(AY$8,$AH$8:$CC$8))-_xlfn.XMATCH($C150,$C$35:$C$82)+1&lt;=_xlpm.DepreciationMonths,$C150&lt;=AY$8),$E150/_xlpm.DepreciationMonths,0))</f>
        <v>-55.555555555555557</v>
      </c>
      <c r="AZ150" s="507" cm="1">
        <f t="array" ref="AZ150">_xlfn.LET(_xlpm.DepreciationMonths,INDEX(FixedAssets[Depreciation
/ Amortization Months],_xlfn.XMATCH($E$135,FixedAssets[Asset ID])),IF(AND((_xlfn.XMATCH(AZ$8,$AH$8:$CC$8))-_xlfn.XMATCH($C150,$C$35:$C$82)+1&lt;=_xlpm.DepreciationMonths,$C150&lt;=AZ$8),$E150/_xlpm.DepreciationMonths,0))</f>
        <v>-55.555555555555557</v>
      </c>
      <c r="BA150" s="507" cm="1">
        <f t="array" ref="BA150">_xlfn.LET(_xlpm.DepreciationMonths,INDEX(FixedAssets[Depreciation
/ Amortization Months],_xlfn.XMATCH($E$135,FixedAssets[Asset ID])),IF(AND((_xlfn.XMATCH(BA$8,$AH$8:$CC$8))-_xlfn.XMATCH($C150,$C$35:$C$82)+1&lt;=_xlpm.DepreciationMonths,$C150&lt;=BA$8),$E150/_xlpm.DepreciationMonths,0))</f>
        <v>-55.555555555555557</v>
      </c>
      <c r="BB150" s="507" cm="1">
        <f t="array" ref="BB150">_xlfn.LET(_xlpm.DepreciationMonths,INDEX(FixedAssets[Depreciation
/ Amortization Months],_xlfn.XMATCH($E$135,FixedAssets[Asset ID])),IF(AND((_xlfn.XMATCH(BB$8,$AH$8:$CC$8))-_xlfn.XMATCH($C150,$C$35:$C$82)+1&lt;=_xlpm.DepreciationMonths,$C150&lt;=BB$8),$E150/_xlpm.DepreciationMonths,0))</f>
        <v>-55.555555555555557</v>
      </c>
      <c r="BC150" s="507" cm="1">
        <f t="array" ref="BC150">_xlfn.LET(_xlpm.DepreciationMonths,INDEX(FixedAssets[Depreciation
/ Amortization Months],_xlfn.XMATCH($E$135,FixedAssets[Asset ID])),IF(AND((_xlfn.XMATCH(BC$8,$AH$8:$CC$8))-_xlfn.XMATCH($C150,$C$35:$C$82)+1&lt;=_xlpm.DepreciationMonths,$C150&lt;=BC$8),$E150/_xlpm.DepreciationMonths,0))</f>
        <v>-55.555555555555557</v>
      </c>
      <c r="BD150" s="507" cm="1">
        <f t="array" ref="BD150">_xlfn.LET(_xlpm.DepreciationMonths,INDEX(FixedAssets[Depreciation
/ Amortization Months],_xlfn.XMATCH($E$135,FixedAssets[Asset ID])),IF(AND((_xlfn.XMATCH(BD$8,$AH$8:$CC$8))-_xlfn.XMATCH($C150,$C$35:$C$82)+1&lt;=_xlpm.DepreciationMonths,$C150&lt;=BD$8),$E150/_xlpm.DepreciationMonths,0))</f>
        <v>-55.555555555555557</v>
      </c>
      <c r="BE150" s="507" cm="1">
        <f t="array" ref="BE150">_xlfn.LET(_xlpm.DepreciationMonths,INDEX(FixedAssets[Depreciation
/ Amortization Months],_xlfn.XMATCH($E$135,FixedAssets[Asset ID])),IF(AND((_xlfn.XMATCH(BE$8,$AH$8:$CC$8))-_xlfn.XMATCH($C150,$C$35:$C$82)+1&lt;=_xlpm.DepreciationMonths,$C150&lt;=BE$8),$E150/_xlpm.DepreciationMonths,0))</f>
        <v>-55.555555555555557</v>
      </c>
      <c r="BF150" s="507" cm="1">
        <f t="array" ref="BF150">_xlfn.LET(_xlpm.DepreciationMonths,INDEX(FixedAssets[Depreciation
/ Amortization Months],_xlfn.XMATCH($E$135,FixedAssets[Asset ID])),IF(AND((_xlfn.XMATCH(BF$8,$AH$8:$CC$8))-_xlfn.XMATCH($C150,$C$35:$C$82)+1&lt;=_xlpm.DepreciationMonths,$C150&lt;=BF$8),$E150/_xlpm.DepreciationMonths,0))</f>
        <v>-55.555555555555557</v>
      </c>
      <c r="BG150" s="507" cm="1">
        <f t="array" ref="BG150">_xlfn.LET(_xlpm.DepreciationMonths,INDEX(FixedAssets[Depreciation
/ Amortization Months],_xlfn.XMATCH($E$135,FixedAssets[Asset ID])),IF(AND((_xlfn.XMATCH(BG$8,$AH$8:$CC$8))-_xlfn.XMATCH($C150,$C$35:$C$82)+1&lt;=_xlpm.DepreciationMonths,$C150&lt;=BG$8),$E150/_xlpm.DepreciationMonths,0))</f>
        <v>-55.555555555555557</v>
      </c>
      <c r="BH150" s="507" cm="1">
        <f t="array" ref="BH150">_xlfn.LET(_xlpm.DepreciationMonths,INDEX(FixedAssets[Depreciation
/ Amortization Months],_xlfn.XMATCH($E$135,FixedAssets[Asset ID])),IF(AND((_xlfn.XMATCH(BH$8,$AH$8:$CC$8))-_xlfn.XMATCH($C150,$C$35:$C$82)+1&lt;=_xlpm.DepreciationMonths,$C150&lt;=BH$8),$E150/_xlpm.DepreciationMonths,0))</f>
        <v>-55.555555555555557</v>
      </c>
      <c r="BI150" s="507" cm="1">
        <f t="array" ref="BI150">_xlfn.LET(_xlpm.DepreciationMonths,INDEX(FixedAssets[Depreciation
/ Amortization Months],_xlfn.XMATCH($E$135,FixedAssets[Asset ID])),IF(AND((_xlfn.XMATCH(BI$8,$AH$8:$CC$8))-_xlfn.XMATCH($C150,$C$35:$C$82)+1&lt;=_xlpm.DepreciationMonths,$C150&lt;=BI$8),$E150/_xlpm.DepreciationMonths,0))</f>
        <v>-55.555555555555557</v>
      </c>
      <c r="BJ150" s="507" cm="1">
        <f t="array" ref="BJ150">_xlfn.LET(_xlpm.DepreciationMonths,INDEX(FixedAssets[Depreciation
/ Amortization Months],_xlfn.XMATCH($E$135,FixedAssets[Asset ID])),IF(AND((_xlfn.XMATCH(BJ$8,$AH$8:$CC$8))-_xlfn.XMATCH($C150,$C$35:$C$82)+1&lt;=_xlpm.DepreciationMonths,$C150&lt;=BJ$8),$E150/_xlpm.DepreciationMonths,0))</f>
        <v>-55.555555555555557</v>
      </c>
      <c r="BK150" s="507" cm="1">
        <f t="array" ref="BK150">_xlfn.LET(_xlpm.DepreciationMonths,INDEX(FixedAssets[Depreciation
/ Amortization Months],_xlfn.XMATCH($E$135,FixedAssets[Asset ID])),IF(AND((_xlfn.XMATCH(BK$8,$AH$8:$CC$8))-_xlfn.XMATCH($C150,$C$35:$C$82)+1&lt;=_xlpm.DepreciationMonths,$C150&lt;=BK$8),$E150/_xlpm.DepreciationMonths,0))</f>
        <v>-55.555555555555557</v>
      </c>
      <c r="BL150" s="507" cm="1">
        <f t="array" ref="BL150">_xlfn.LET(_xlpm.DepreciationMonths,INDEX(FixedAssets[Depreciation
/ Amortization Months],_xlfn.XMATCH($E$135,FixedAssets[Asset ID])),IF(AND((_xlfn.XMATCH(BL$8,$AH$8:$CC$8))-_xlfn.XMATCH($C150,$C$35:$C$82)+1&lt;=_xlpm.DepreciationMonths,$C150&lt;=BL$8),$E150/_xlpm.DepreciationMonths,0))</f>
        <v>-55.555555555555557</v>
      </c>
      <c r="BM150" s="507" cm="1">
        <f t="array" ref="BM150">_xlfn.LET(_xlpm.DepreciationMonths,INDEX(FixedAssets[Depreciation
/ Amortization Months],_xlfn.XMATCH($E$135,FixedAssets[Asset ID])),IF(AND((_xlfn.XMATCH(BM$8,$AH$8:$CC$8))-_xlfn.XMATCH($C150,$C$35:$C$82)+1&lt;=_xlpm.DepreciationMonths,$C150&lt;=BM$8),$E150/_xlpm.DepreciationMonths,0))</f>
        <v>-55.555555555555557</v>
      </c>
      <c r="BN150" s="507" cm="1">
        <f t="array" ref="BN150">_xlfn.LET(_xlpm.DepreciationMonths,INDEX(FixedAssets[Depreciation
/ Amortization Months],_xlfn.XMATCH($E$135,FixedAssets[Asset ID])),IF(AND((_xlfn.XMATCH(BN$8,$AH$8:$CC$8))-_xlfn.XMATCH($C150,$C$35:$C$82)+1&lt;=_xlpm.DepreciationMonths,$C150&lt;=BN$8),$E150/_xlpm.DepreciationMonths,0))</f>
        <v>-55.555555555555557</v>
      </c>
      <c r="BO150" s="507" cm="1">
        <f t="array" ref="BO150">_xlfn.LET(_xlpm.DepreciationMonths,INDEX(FixedAssets[Depreciation
/ Amortization Months],_xlfn.XMATCH($E$135,FixedAssets[Asset ID])),IF(AND((_xlfn.XMATCH(BO$8,$AH$8:$CC$8))-_xlfn.XMATCH($C150,$C$35:$C$82)+1&lt;=_xlpm.DepreciationMonths,$C150&lt;=BO$8),$E150/_xlpm.DepreciationMonths,0))</f>
        <v>-55.555555555555557</v>
      </c>
      <c r="BP150" s="507" cm="1">
        <f t="array" ref="BP150">_xlfn.LET(_xlpm.DepreciationMonths,INDEX(FixedAssets[Depreciation
/ Amortization Months],_xlfn.XMATCH($E$135,FixedAssets[Asset ID])),IF(AND((_xlfn.XMATCH(BP$8,$AH$8:$CC$8))-_xlfn.XMATCH($C150,$C$35:$C$82)+1&lt;=_xlpm.DepreciationMonths,$C150&lt;=BP$8),$E150/_xlpm.DepreciationMonths,0))</f>
        <v>-55.555555555555557</v>
      </c>
      <c r="BQ150" s="507" cm="1">
        <f t="array" ref="BQ150">_xlfn.LET(_xlpm.DepreciationMonths,INDEX(FixedAssets[Depreciation
/ Amortization Months],_xlfn.XMATCH($E$135,FixedAssets[Asset ID])),IF(AND((_xlfn.XMATCH(BQ$8,$AH$8:$CC$8))-_xlfn.XMATCH($C150,$C$35:$C$82)+1&lt;=_xlpm.DepreciationMonths,$C150&lt;=BQ$8),$E150/_xlpm.DepreciationMonths,0))</f>
        <v>-55.555555555555557</v>
      </c>
      <c r="BR150" s="507" cm="1">
        <f t="array" ref="BR150">_xlfn.LET(_xlpm.DepreciationMonths,INDEX(FixedAssets[Depreciation
/ Amortization Months],_xlfn.XMATCH($E$135,FixedAssets[Asset ID])),IF(AND((_xlfn.XMATCH(BR$8,$AH$8:$CC$8))-_xlfn.XMATCH($C150,$C$35:$C$82)+1&lt;=_xlpm.DepreciationMonths,$C150&lt;=BR$8),$E150/_xlpm.DepreciationMonths,0))</f>
        <v>-55.555555555555557</v>
      </c>
      <c r="BS150" s="507" cm="1">
        <f t="array" ref="BS150">_xlfn.LET(_xlpm.DepreciationMonths,INDEX(FixedAssets[Depreciation
/ Amortization Months],_xlfn.XMATCH($E$135,FixedAssets[Asset ID])),IF(AND((_xlfn.XMATCH(BS$8,$AH$8:$CC$8))-_xlfn.XMATCH($C150,$C$35:$C$82)+1&lt;=_xlpm.DepreciationMonths,$C150&lt;=BS$8),$E150/_xlpm.DepreciationMonths,0))</f>
        <v>-55.555555555555557</v>
      </c>
      <c r="BT150" s="507" cm="1">
        <f t="array" ref="BT150">_xlfn.LET(_xlpm.DepreciationMonths,INDEX(FixedAssets[Depreciation
/ Amortization Months],_xlfn.XMATCH($E$135,FixedAssets[Asset ID])),IF(AND((_xlfn.XMATCH(BT$8,$AH$8:$CC$8))-_xlfn.XMATCH($C150,$C$35:$C$82)+1&lt;=_xlpm.DepreciationMonths,$C150&lt;=BT$8),$E150/_xlpm.DepreciationMonths,0))</f>
        <v>-55.555555555555557</v>
      </c>
      <c r="BU150" s="507" cm="1">
        <f t="array" ref="BU150">_xlfn.LET(_xlpm.DepreciationMonths,INDEX(FixedAssets[Depreciation
/ Amortization Months],_xlfn.XMATCH($E$135,FixedAssets[Asset ID])),IF(AND((_xlfn.XMATCH(BU$8,$AH$8:$CC$8))-_xlfn.XMATCH($C150,$C$35:$C$82)+1&lt;=_xlpm.DepreciationMonths,$C150&lt;=BU$8),$E150/_xlpm.DepreciationMonths,0))</f>
        <v>-55.555555555555557</v>
      </c>
      <c r="BV150" s="507" cm="1">
        <f t="array" ref="BV150">_xlfn.LET(_xlpm.DepreciationMonths,INDEX(FixedAssets[Depreciation
/ Amortization Months],_xlfn.XMATCH($E$135,FixedAssets[Asset ID])),IF(AND((_xlfn.XMATCH(BV$8,$AH$8:$CC$8))-_xlfn.XMATCH($C150,$C$35:$C$82)+1&lt;=_xlpm.DepreciationMonths,$C150&lt;=BV$8),$E150/_xlpm.DepreciationMonths,0))</f>
        <v>-55.555555555555557</v>
      </c>
      <c r="BW150" s="507" cm="1">
        <f t="array" ref="BW150">_xlfn.LET(_xlpm.DepreciationMonths,INDEX(FixedAssets[Depreciation
/ Amortization Months],_xlfn.XMATCH($E$135,FixedAssets[Asset ID])),IF(AND((_xlfn.XMATCH(BW$8,$AH$8:$CC$8))-_xlfn.XMATCH($C150,$C$35:$C$82)+1&lt;=_xlpm.DepreciationMonths,$C150&lt;=BW$8),$E150/_xlpm.DepreciationMonths,0))</f>
        <v>-55.555555555555557</v>
      </c>
      <c r="BX150" s="507" cm="1">
        <f t="array" ref="BX150">_xlfn.LET(_xlpm.DepreciationMonths,INDEX(FixedAssets[Depreciation
/ Amortization Months],_xlfn.XMATCH($E$135,FixedAssets[Asset ID])),IF(AND((_xlfn.XMATCH(BX$8,$AH$8:$CC$8))-_xlfn.XMATCH($C150,$C$35:$C$82)+1&lt;=_xlpm.DepreciationMonths,$C150&lt;=BX$8),$E150/_xlpm.DepreciationMonths,0))</f>
        <v>-55.555555555555557</v>
      </c>
      <c r="BY150" s="507" cm="1">
        <f t="array" ref="BY150">_xlfn.LET(_xlpm.DepreciationMonths,INDEX(FixedAssets[Depreciation
/ Amortization Months],_xlfn.XMATCH($E$135,FixedAssets[Asset ID])),IF(AND((_xlfn.XMATCH(BY$8,$AH$8:$CC$8))-_xlfn.XMATCH($C150,$C$35:$C$82)+1&lt;=_xlpm.DepreciationMonths,$C150&lt;=BY$8),$E150/_xlpm.DepreciationMonths,0))</f>
        <v>-55.555555555555557</v>
      </c>
      <c r="BZ150" s="507" cm="1">
        <f t="array" ref="BZ150">_xlfn.LET(_xlpm.DepreciationMonths,INDEX(FixedAssets[Depreciation
/ Amortization Months],_xlfn.XMATCH($E$135,FixedAssets[Asset ID])),IF(AND((_xlfn.XMATCH(BZ$8,$AH$8:$CC$8))-_xlfn.XMATCH($C150,$C$35:$C$82)+1&lt;=_xlpm.DepreciationMonths,$C150&lt;=BZ$8),$E150/_xlpm.DepreciationMonths,0))</f>
        <v>-55.555555555555557</v>
      </c>
      <c r="CA150" s="507" cm="1">
        <f t="array" ref="CA150">_xlfn.LET(_xlpm.DepreciationMonths,INDEX(FixedAssets[Depreciation
/ Amortization Months],_xlfn.XMATCH($E$135,FixedAssets[Asset ID])),IF(AND((_xlfn.XMATCH(CA$8,$AH$8:$CC$8))-_xlfn.XMATCH($C150,$C$35:$C$82)+1&lt;=_xlpm.DepreciationMonths,$C150&lt;=CA$8),$E150/_xlpm.DepreciationMonths,0))</f>
        <v>-55.555555555555557</v>
      </c>
      <c r="CB150" s="507" cm="1">
        <f t="array" ref="CB150">_xlfn.LET(_xlpm.DepreciationMonths,INDEX(FixedAssets[Depreciation
/ Amortization Months],_xlfn.XMATCH($E$135,FixedAssets[Asset ID])),IF(AND((_xlfn.XMATCH(CB$8,$AH$8:$CC$8))-_xlfn.XMATCH($C150,$C$35:$C$82)+1&lt;=_xlpm.DepreciationMonths,$C150&lt;=CB$8),$E150/_xlpm.DepreciationMonths,0))</f>
        <v>-55.555555555555557</v>
      </c>
      <c r="CC150" s="507" cm="1">
        <f t="array" ref="CC150">_xlfn.LET(_xlpm.DepreciationMonths,INDEX(FixedAssets[Depreciation
/ Amortization Months],_xlfn.XMATCH($E$135,FixedAssets[Asset ID])),IF(AND((_xlfn.XMATCH(CC$8,$AH$8:$CC$8))-_xlfn.XMATCH($C150,$C$35:$C$82)+1&lt;=_xlpm.DepreciationMonths,$C150&lt;=CC$8),$E150/_xlpm.DepreciationMonths,0))</f>
        <v>-55.555555555555557</v>
      </c>
    </row>
    <row r="151" spans="3:81" hidden="1" outlineLevel="2">
      <c r="C151" s="664">
        <f t="shared" si="243"/>
        <v>45382</v>
      </c>
      <c r="D151" s="508"/>
      <c r="E151" s="508" cm="1">
        <f t="array" ref="E151">SUMPRODUCT(($AH$26:$CC$31)*($AH$5:$CC$5=$C151)*($E$26:$E$31=E$135))-SUMPRODUCT(($AH$26:$CC$31)*($AH$5:$CC$5=EOMONTH($C151,-1))*($E$26:$E$31=E$135))</f>
        <v>0</v>
      </c>
      <c r="F151" s="508"/>
      <c r="G151" s="508"/>
      <c r="H151" s="508"/>
      <c r="I151" s="508"/>
      <c r="J151" s="504">
        <f t="shared" si="240"/>
        <v>0</v>
      </c>
      <c r="K151" s="504">
        <f t="shared" si="241"/>
        <v>0</v>
      </c>
      <c r="L151" s="504">
        <f t="shared" si="241"/>
        <v>0</v>
      </c>
      <c r="M151" s="504">
        <f t="shared" si="241"/>
        <v>0</v>
      </c>
      <c r="N151" s="504"/>
      <c r="O151" s="504"/>
      <c r="P151" s="504">
        <f t="shared" si="242"/>
        <v>0</v>
      </c>
      <c r="Q151" s="504">
        <f t="shared" si="242"/>
        <v>0</v>
      </c>
      <c r="R151" s="504">
        <f t="shared" si="242"/>
        <v>0</v>
      </c>
      <c r="S151" s="504">
        <f t="shared" si="242"/>
        <v>0</v>
      </c>
      <c r="T151" s="504">
        <f t="shared" si="242"/>
        <v>0</v>
      </c>
      <c r="U151" s="504">
        <f t="shared" si="242"/>
        <v>0</v>
      </c>
      <c r="V151" s="504">
        <f t="shared" si="242"/>
        <v>0</v>
      </c>
      <c r="W151" s="504">
        <f t="shared" si="242"/>
        <v>0</v>
      </c>
      <c r="X151" s="504">
        <f t="shared" si="242"/>
        <v>0</v>
      </c>
      <c r="Y151" s="504">
        <f t="shared" si="242"/>
        <v>0</v>
      </c>
      <c r="Z151" s="504">
        <f t="shared" si="242"/>
        <v>0</v>
      </c>
      <c r="AA151" s="504">
        <f t="shared" si="242"/>
        <v>0</v>
      </c>
      <c r="AB151" s="504">
        <f t="shared" si="242"/>
        <v>0</v>
      </c>
      <c r="AC151" s="504">
        <f t="shared" si="242"/>
        <v>0</v>
      </c>
      <c r="AD151" s="504">
        <f t="shared" si="242"/>
        <v>0</v>
      </c>
      <c r="AE151" s="504">
        <f t="shared" si="242"/>
        <v>0</v>
      </c>
      <c r="AF151" s="508"/>
      <c r="AG151" s="508"/>
      <c r="AH151" s="507" cm="1">
        <f t="array" ref="AH151">_xlfn.LET(_xlpm.DepreciationMonths,INDEX(FixedAssets[Depreciation
/ Amortization Months],_xlfn.XMATCH($E$135,FixedAssets[Asset ID])),IF(AND((_xlfn.XMATCH(AH$8,$AH$8:$CC$8))-_xlfn.XMATCH($C151,$C$35:$C$82)+1&lt;=_xlpm.DepreciationMonths,$C151&lt;=AH$8),$E151/_xlpm.DepreciationMonths,0))</f>
        <v>0</v>
      </c>
      <c r="AI151" s="507" cm="1">
        <f t="array" ref="AI151">_xlfn.LET(_xlpm.DepreciationMonths,INDEX(FixedAssets[Depreciation
/ Amortization Months],_xlfn.XMATCH($E$135,FixedAssets[Asset ID])),IF(AND((_xlfn.XMATCH(AI$8,$AH$8:$CC$8))-_xlfn.XMATCH($C151,$C$35:$C$82)+1&lt;=_xlpm.DepreciationMonths,$C151&lt;=AI$8),$E151/_xlpm.DepreciationMonths,0))</f>
        <v>0</v>
      </c>
      <c r="AJ151" s="507" cm="1">
        <f t="array" ref="AJ151">_xlfn.LET(_xlpm.DepreciationMonths,INDEX(FixedAssets[Depreciation
/ Amortization Months],_xlfn.XMATCH($E$135,FixedAssets[Asset ID])),IF(AND((_xlfn.XMATCH(AJ$8,$AH$8:$CC$8))-_xlfn.XMATCH($C151,$C$35:$C$82)+1&lt;=_xlpm.DepreciationMonths,$C151&lt;=AJ$8),$E151/_xlpm.DepreciationMonths,0))</f>
        <v>0</v>
      </c>
      <c r="AK151" s="507" cm="1">
        <f t="array" ref="AK151">_xlfn.LET(_xlpm.DepreciationMonths,INDEX(FixedAssets[Depreciation
/ Amortization Months],_xlfn.XMATCH($E$135,FixedAssets[Asset ID])),IF(AND((_xlfn.XMATCH(AK$8,$AH$8:$CC$8))-_xlfn.XMATCH($C151,$C$35:$C$82)+1&lt;=_xlpm.DepreciationMonths,$C151&lt;=AK$8),$E151/_xlpm.DepreciationMonths,0))</f>
        <v>0</v>
      </c>
      <c r="AL151" s="507" cm="1">
        <f t="array" ref="AL151">_xlfn.LET(_xlpm.DepreciationMonths,INDEX(FixedAssets[Depreciation
/ Amortization Months],_xlfn.XMATCH($E$135,FixedAssets[Asset ID])),IF(AND((_xlfn.XMATCH(AL$8,$AH$8:$CC$8))-_xlfn.XMATCH($C151,$C$35:$C$82)+1&lt;=_xlpm.DepreciationMonths,$C151&lt;=AL$8),$E151/_xlpm.DepreciationMonths,0))</f>
        <v>0</v>
      </c>
      <c r="AM151" s="507" cm="1">
        <f t="array" ref="AM151">_xlfn.LET(_xlpm.DepreciationMonths,INDEX(FixedAssets[Depreciation
/ Amortization Months],_xlfn.XMATCH($E$135,FixedAssets[Asset ID])),IF(AND((_xlfn.XMATCH(AM$8,$AH$8:$CC$8))-_xlfn.XMATCH($C151,$C$35:$C$82)+1&lt;=_xlpm.DepreciationMonths,$C151&lt;=AM$8),$E151/_xlpm.DepreciationMonths,0))</f>
        <v>0</v>
      </c>
      <c r="AN151" s="507" cm="1">
        <f t="array" ref="AN151">_xlfn.LET(_xlpm.DepreciationMonths,INDEX(FixedAssets[Depreciation
/ Amortization Months],_xlfn.XMATCH($E$135,FixedAssets[Asset ID])),IF(AND((_xlfn.XMATCH(AN$8,$AH$8:$CC$8))-_xlfn.XMATCH($C151,$C$35:$C$82)+1&lt;=_xlpm.DepreciationMonths,$C151&lt;=AN$8),$E151/_xlpm.DepreciationMonths,0))</f>
        <v>0</v>
      </c>
      <c r="AO151" s="507" cm="1">
        <f t="array" ref="AO151">_xlfn.LET(_xlpm.DepreciationMonths,INDEX(FixedAssets[Depreciation
/ Amortization Months],_xlfn.XMATCH($E$135,FixedAssets[Asset ID])),IF(AND((_xlfn.XMATCH(AO$8,$AH$8:$CC$8))-_xlfn.XMATCH($C151,$C$35:$C$82)+1&lt;=_xlpm.DepreciationMonths,$C151&lt;=AO$8),$E151/_xlpm.DepreciationMonths,0))</f>
        <v>0</v>
      </c>
      <c r="AP151" s="507" cm="1">
        <f t="array" ref="AP151">_xlfn.LET(_xlpm.DepreciationMonths,INDEX(FixedAssets[Depreciation
/ Amortization Months],_xlfn.XMATCH($E$135,FixedAssets[Asset ID])),IF(AND((_xlfn.XMATCH(AP$8,$AH$8:$CC$8))-_xlfn.XMATCH($C151,$C$35:$C$82)+1&lt;=_xlpm.DepreciationMonths,$C151&lt;=AP$8),$E151/_xlpm.DepreciationMonths,0))</f>
        <v>0</v>
      </c>
      <c r="AQ151" s="507" cm="1">
        <f t="array" ref="AQ151">_xlfn.LET(_xlpm.DepreciationMonths,INDEX(FixedAssets[Depreciation
/ Amortization Months],_xlfn.XMATCH($E$135,FixedAssets[Asset ID])),IF(AND((_xlfn.XMATCH(AQ$8,$AH$8:$CC$8))-_xlfn.XMATCH($C151,$C$35:$C$82)+1&lt;=_xlpm.DepreciationMonths,$C151&lt;=AQ$8),$E151/_xlpm.DepreciationMonths,0))</f>
        <v>0</v>
      </c>
      <c r="AR151" s="507" cm="1">
        <f t="array" ref="AR151">_xlfn.LET(_xlpm.DepreciationMonths,INDEX(FixedAssets[Depreciation
/ Amortization Months],_xlfn.XMATCH($E$135,FixedAssets[Asset ID])),IF(AND((_xlfn.XMATCH(AR$8,$AH$8:$CC$8))-_xlfn.XMATCH($C151,$C$35:$C$82)+1&lt;=_xlpm.DepreciationMonths,$C151&lt;=AR$8),$E151/_xlpm.DepreciationMonths,0))</f>
        <v>0</v>
      </c>
      <c r="AS151" s="507" cm="1">
        <f t="array" ref="AS151">_xlfn.LET(_xlpm.DepreciationMonths,INDEX(FixedAssets[Depreciation
/ Amortization Months],_xlfn.XMATCH($E$135,FixedAssets[Asset ID])),IF(AND((_xlfn.XMATCH(AS$8,$AH$8:$CC$8))-_xlfn.XMATCH($C151,$C$35:$C$82)+1&lt;=_xlpm.DepreciationMonths,$C151&lt;=AS$8),$E151/_xlpm.DepreciationMonths,0))</f>
        <v>0</v>
      </c>
      <c r="AT151" s="507" cm="1">
        <f t="array" ref="AT151">_xlfn.LET(_xlpm.DepreciationMonths,INDEX(FixedAssets[Depreciation
/ Amortization Months],_xlfn.XMATCH($E$135,FixedAssets[Asset ID])),IF(AND((_xlfn.XMATCH(AT$8,$AH$8:$CC$8))-_xlfn.XMATCH($C151,$C$35:$C$82)+1&lt;=_xlpm.DepreciationMonths,$C151&lt;=AT$8),$E151/_xlpm.DepreciationMonths,0))</f>
        <v>0</v>
      </c>
      <c r="AU151" s="507" cm="1">
        <f t="array" ref="AU151">_xlfn.LET(_xlpm.DepreciationMonths,INDEX(FixedAssets[Depreciation
/ Amortization Months],_xlfn.XMATCH($E$135,FixedAssets[Asset ID])),IF(AND((_xlfn.XMATCH(AU$8,$AH$8:$CC$8))-_xlfn.XMATCH($C151,$C$35:$C$82)+1&lt;=_xlpm.DepreciationMonths,$C151&lt;=AU$8),$E151/_xlpm.DepreciationMonths,0))</f>
        <v>0</v>
      </c>
      <c r="AV151" s="507" cm="1">
        <f t="array" ref="AV151">_xlfn.LET(_xlpm.DepreciationMonths,INDEX(FixedAssets[Depreciation
/ Amortization Months],_xlfn.XMATCH($E$135,FixedAssets[Asset ID])),IF(AND((_xlfn.XMATCH(AV$8,$AH$8:$CC$8))-_xlfn.XMATCH($C151,$C$35:$C$82)+1&lt;=_xlpm.DepreciationMonths,$C151&lt;=AV$8),$E151/_xlpm.DepreciationMonths,0))</f>
        <v>0</v>
      </c>
      <c r="AW151" s="507" cm="1">
        <f t="array" ref="AW151">_xlfn.LET(_xlpm.DepreciationMonths,INDEX(FixedAssets[Depreciation
/ Amortization Months],_xlfn.XMATCH($E$135,FixedAssets[Asset ID])),IF(AND((_xlfn.XMATCH(AW$8,$AH$8:$CC$8))-_xlfn.XMATCH($C151,$C$35:$C$82)+1&lt;=_xlpm.DepreciationMonths,$C151&lt;=AW$8),$E151/_xlpm.DepreciationMonths,0))</f>
        <v>0</v>
      </c>
      <c r="AX151" s="507" cm="1">
        <f t="array" ref="AX151">_xlfn.LET(_xlpm.DepreciationMonths,INDEX(FixedAssets[Depreciation
/ Amortization Months],_xlfn.XMATCH($E$135,FixedAssets[Asset ID])),IF(AND((_xlfn.XMATCH(AX$8,$AH$8:$CC$8))-_xlfn.XMATCH($C151,$C$35:$C$82)+1&lt;=_xlpm.DepreciationMonths,$C151&lt;=AX$8),$E151/_xlpm.DepreciationMonths,0))</f>
        <v>0</v>
      </c>
      <c r="AY151" s="507" cm="1">
        <f t="array" ref="AY151">_xlfn.LET(_xlpm.DepreciationMonths,INDEX(FixedAssets[Depreciation
/ Amortization Months],_xlfn.XMATCH($E$135,FixedAssets[Asset ID])),IF(AND((_xlfn.XMATCH(AY$8,$AH$8:$CC$8))-_xlfn.XMATCH($C151,$C$35:$C$82)+1&lt;=_xlpm.DepreciationMonths,$C151&lt;=AY$8),$E151/_xlpm.DepreciationMonths,0))</f>
        <v>0</v>
      </c>
      <c r="AZ151" s="507" cm="1">
        <f t="array" ref="AZ151">_xlfn.LET(_xlpm.DepreciationMonths,INDEX(FixedAssets[Depreciation
/ Amortization Months],_xlfn.XMATCH($E$135,FixedAssets[Asset ID])),IF(AND((_xlfn.XMATCH(AZ$8,$AH$8:$CC$8))-_xlfn.XMATCH($C151,$C$35:$C$82)+1&lt;=_xlpm.DepreciationMonths,$C151&lt;=AZ$8),$E151/_xlpm.DepreciationMonths,0))</f>
        <v>0</v>
      </c>
      <c r="BA151" s="507" cm="1">
        <f t="array" ref="BA151">_xlfn.LET(_xlpm.DepreciationMonths,INDEX(FixedAssets[Depreciation
/ Amortization Months],_xlfn.XMATCH($E$135,FixedAssets[Asset ID])),IF(AND((_xlfn.XMATCH(BA$8,$AH$8:$CC$8))-_xlfn.XMATCH($C151,$C$35:$C$82)+1&lt;=_xlpm.DepreciationMonths,$C151&lt;=BA$8),$E151/_xlpm.DepreciationMonths,0))</f>
        <v>0</v>
      </c>
      <c r="BB151" s="507" cm="1">
        <f t="array" ref="BB151">_xlfn.LET(_xlpm.DepreciationMonths,INDEX(FixedAssets[Depreciation
/ Amortization Months],_xlfn.XMATCH($E$135,FixedAssets[Asset ID])),IF(AND((_xlfn.XMATCH(BB$8,$AH$8:$CC$8))-_xlfn.XMATCH($C151,$C$35:$C$82)+1&lt;=_xlpm.DepreciationMonths,$C151&lt;=BB$8),$E151/_xlpm.DepreciationMonths,0))</f>
        <v>0</v>
      </c>
      <c r="BC151" s="507" cm="1">
        <f t="array" ref="BC151">_xlfn.LET(_xlpm.DepreciationMonths,INDEX(FixedAssets[Depreciation
/ Amortization Months],_xlfn.XMATCH($E$135,FixedAssets[Asset ID])),IF(AND((_xlfn.XMATCH(BC$8,$AH$8:$CC$8))-_xlfn.XMATCH($C151,$C$35:$C$82)+1&lt;=_xlpm.DepreciationMonths,$C151&lt;=BC$8),$E151/_xlpm.DepreciationMonths,0))</f>
        <v>0</v>
      </c>
      <c r="BD151" s="507" cm="1">
        <f t="array" ref="BD151">_xlfn.LET(_xlpm.DepreciationMonths,INDEX(FixedAssets[Depreciation
/ Amortization Months],_xlfn.XMATCH($E$135,FixedAssets[Asset ID])),IF(AND((_xlfn.XMATCH(BD$8,$AH$8:$CC$8))-_xlfn.XMATCH($C151,$C$35:$C$82)+1&lt;=_xlpm.DepreciationMonths,$C151&lt;=BD$8),$E151/_xlpm.DepreciationMonths,0))</f>
        <v>0</v>
      </c>
      <c r="BE151" s="507" cm="1">
        <f t="array" ref="BE151">_xlfn.LET(_xlpm.DepreciationMonths,INDEX(FixedAssets[Depreciation
/ Amortization Months],_xlfn.XMATCH($E$135,FixedAssets[Asset ID])),IF(AND((_xlfn.XMATCH(BE$8,$AH$8:$CC$8))-_xlfn.XMATCH($C151,$C$35:$C$82)+1&lt;=_xlpm.DepreciationMonths,$C151&lt;=BE$8),$E151/_xlpm.DepreciationMonths,0))</f>
        <v>0</v>
      </c>
      <c r="BF151" s="507" cm="1">
        <f t="array" ref="BF151">_xlfn.LET(_xlpm.DepreciationMonths,INDEX(FixedAssets[Depreciation
/ Amortization Months],_xlfn.XMATCH($E$135,FixedAssets[Asset ID])),IF(AND((_xlfn.XMATCH(BF$8,$AH$8:$CC$8))-_xlfn.XMATCH($C151,$C$35:$C$82)+1&lt;=_xlpm.DepreciationMonths,$C151&lt;=BF$8),$E151/_xlpm.DepreciationMonths,0))</f>
        <v>0</v>
      </c>
      <c r="BG151" s="507" cm="1">
        <f t="array" ref="BG151">_xlfn.LET(_xlpm.DepreciationMonths,INDEX(FixedAssets[Depreciation
/ Amortization Months],_xlfn.XMATCH($E$135,FixedAssets[Asset ID])),IF(AND((_xlfn.XMATCH(BG$8,$AH$8:$CC$8))-_xlfn.XMATCH($C151,$C$35:$C$82)+1&lt;=_xlpm.DepreciationMonths,$C151&lt;=BG$8),$E151/_xlpm.DepreciationMonths,0))</f>
        <v>0</v>
      </c>
      <c r="BH151" s="507" cm="1">
        <f t="array" ref="BH151">_xlfn.LET(_xlpm.DepreciationMonths,INDEX(FixedAssets[Depreciation
/ Amortization Months],_xlfn.XMATCH($E$135,FixedAssets[Asset ID])),IF(AND((_xlfn.XMATCH(BH$8,$AH$8:$CC$8))-_xlfn.XMATCH($C151,$C$35:$C$82)+1&lt;=_xlpm.DepreciationMonths,$C151&lt;=BH$8),$E151/_xlpm.DepreciationMonths,0))</f>
        <v>0</v>
      </c>
      <c r="BI151" s="507" cm="1">
        <f t="array" ref="BI151">_xlfn.LET(_xlpm.DepreciationMonths,INDEX(FixedAssets[Depreciation
/ Amortization Months],_xlfn.XMATCH($E$135,FixedAssets[Asset ID])),IF(AND((_xlfn.XMATCH(BI$8,$AH$8:$CC$8))-_xlfn.XMATCH($C151,$C$35:$C$82)+1&lt;=_xlpm.DepreciationMonths,$C151&lt;=BI$8),$E151/_xlpm.DepreciationMonths,0))</f>
        <v>0</v>
      </c>
      <c r="BJ151" s="507" cm="1">
        <f t="array" ref="BJ151">_xlfn.LET(_xlpm.DepreciationMonths,INDEX(FixedAssets[Depreciation
/ Amortization Months],_xlfn.XMATCH($E$135,FixedAssets[Asset ID])),IF(AND((_xlfn.XMATCH(BJ$8,$AH$8:$CC$8))-_xlfn.XMATCH($C151,$C$35:$C$82)+1&lt;=_xlpm.DepreciationMonths,$C151&lt;=BJ$8),$E151/_xlpm.DepreciationMonths,0))</f>
        <v>0</v>
      </c>
      <c r="BK151" s="507" cm="1">
        <f t="array" ref="BK151">_xlfn.LET(_xlpm.DepreciationMonths,INDEX(FixedAssets[Depreciation
/ Amortization Months],_xlfn.XMATCH($E$135,FixedAssets[Asset ID])),IF(AND((_xlfn.XMATCH(BK$8,$AH$8:$CC$8))-_xlfn.XMATCH($C151,$C$35:$C$82)+1&lt;=_xlpm.DepreciationMonths,$C151&lt;=BK$8),$E151/_xlpm.DepreciationMonths,0))</f>
        <v>0</v>
      </c>
      <c r="BL151" s="507" cm="1">
        <f t="array" ref="BL151">_xlfn.LET(_xlpm.DepreciationMonths,INDEX(FixedAssets[Depreciation
/ Amortization Months],_xlfn.XMATCH($E$135,FixedAssets[Asset ID])),IF(AND((_xlfn.XMATCH(BL$8,$AH$8:$CC$8))-_xlfn.XMATCH($C151,$C$35:$C$82)+1&lt;=_xlpm.DepreciationMonths,$C151&lt;=BL$8),$E151/_xlpm.DepreciationMonths,0))</f>
        <v>0</v>
      </c>
      <c r="BM151" s="507" cm="1">
        <f t="array" ref="BM151">_xlfn.LET(_xlpm.DepreciationMonths,INDEX(FixedAssets[Depreciation
/ Amortization Months],_xlfn.XMATCH($E$135,FixedAssets[Asset ID])),IF(AND((_xlfn.XMATCH(BM$8,$AH$8:$CC$8))-_xlfn.XMATCH($C151,$C$35:$C$82)+1&lt;=_xlpm.DepreciationMonths,$C151&lt;=BM$8),$E151/_xlpm.DepreciationMonths,0))</f>
        <v>0</v>
      </c>
      <c r="BN151" s="507" cm="1">
        <f t="array" ref="BN151">_xlfn.LET(_xlpm.DepreciationMonths,INDEX(FixedAssets[Depreciation
/ Amortization Months],_xlfn.XMATCH($E$135,FixedAssets[Asset ID])),IF(AND((_xlfn.XMATCH(BN$8,$AH$8:$CC$8))-_xlfn.XMATCH($C151,$C$35:$C$82)+1&lt;=_xlpm.DepreciationMonths,$C151&lt;=BN$8),$E151/_xlpm.DepreciationMonths,0))</f>
        <v>0</v>
      </c>
      <c r="BO151" s="507" cm="1">
        <f t="array" ref="BO151">_xlfn.LET(_xlpm.DepreciationMonths,INDEX(FixedAssets[Depreciation
/ Amortization Months],_xlfn.XMATCH($E$135,FixedAssets[Asset ID])),IF(AND((_xlfn.XMATCH(BO$8,$AH$8:$CC$8))-_xlfn.XMATCH($C151,$C$35:$C$82)+1&lt;=_xlpm.DepreciationMonths,$C151&lt;=BO$8),$E151/_xlpm.DepreciationMonths,0))</f>
        <v>0</v>
      </c>
      <c r="BP151" s="507" cm="1">
        <f t="array" ref="BP151">_xlfn.LET(_xlpm.DepreciationMonths,INDEX(FixedAssets[Depreciation
/ Amortization Months],_xlfn.XMATCH($E$135,FixedAssets[Asset ID])),IF(AND((_xlfn.XMATCH(BP$8,$AH$8:$CC$8))-_xlfn.XMATCH($C151,$C$35:$C$82)+1&lt;=_xlpm.DepreciationMonths,$C151&lt;=BP$8),$E151/_xlpm.DepreciationMonths,0))</f>
        <v>0</v>
      </c>
      <c r="BQ151" s="507" cm="1">
        <f t="array" ref="BQ151">_xlfn.LET(_xlpm.DepreciationMonths,INDEX(FixedAssets[Depreciation
/ Amortization Months],_xlfn.XMATCH($E$135,FixedAssets[Asset ID])),IF(AND((_xlfn.XMATCH(BQ$8,$AH$8:$CC$8))-_xlfn.XMATCH($C151,$C$35:$C$82)+1&lt;=_xlpm.DepreciationMonths,$C151&lt;=BQ$8),$E151/_xlpm.DepreciationMonths,0))</f>
        <v>0</v>
      </c>
      <c r="BR151" s="507" cm="1">
        <f t="array" ref="BR151">_xlfn.LET(_xlpm.DepreciationMonths,INDEX(FixedAssets[Depreciation
/ Amortization Months],_xlfn.XMATCH($E$135,FixedAssets[Asset ID])),IF(AND((_xlfn.XMATCH(BR$8,$AH$8:$CC$8))-_xlfn.XMATCH($C151,$C$35:$C$82)+1&lt;=_xlpm.DepreciationMonths,$C151&lt;=BR$8),$E151/_xlpm.DepreciationMonths,0))</f>
        <v>0</v>
      </c>
      <c r="BS151" s="507" cm="1">
        <f t="array" ref="BS151">_xlfn.LET(_xlpm.DepreciationMonths,INDEX(FixedAssets[Depreciation
/ Amortization Months],_xlfn.XMATCH($E$135,FixedAssets[Asset ID])),IF(AND((_xlfn.XMATCH(BS$8,$AH$8:$CC$8))-_xlfn.XMATCH($C151,$C$35:$C$82)+1&lt;=_xlpm.DepreciationMonths,$C151&lt;=BS$8),$E151/_xlpm.DepreciationMonths,0))</f>
        <v>0</v>
      </c>
      <c r="BT151" s="507" cm="1">
        <f t="array" ref="BT151">_xlfn.LET(_xlpm.DepreciationMonths,INDEX(FixedAssets[Depreciation
/ Amortization Months],_xlfn.XMATCH($E$135,FixedAssets[Asset ID])),IF(AND((_xlfn.XMATCH(BT$8,$AH$8:$CC$8))-_xlfn.XMATCH($C151,$C$35:$C$82)+1&lt;=_xlpm.DepreciationMonths,$C151&lt;=BT$8),$E151/_xlpm.DepreciationMonths,0))</f>
        <v>0</v>
      </c>
      <c r="BU151" s="507" cm="1">
        <f t="array" ref="BU151">_xlfn.LET(_xlpm.DepreciationMonths,INDEX(FixedAssets[Depreciation
/ Amortization Months],_xlfn.XMATCH($E$135,FixedAssets[Asset ID])),IF(AND((_xlfn.XMATCH(BU$8,$AH$8:$CC$8))-_xlfn.XMATCH($C151,$C$35:$C$82)+1&lt;=_xlpm.DepreciationMonths,$C151&lt;=BU$8),$E151/_xlpm.DepreciationMonths,0))</f>
        <v>0</v>
      </c>
      <c r="BV151" s="507" cm="1">
        <f t="array" ref="BV151">_xlfn.LET(_xlpm.DepreciationMonths,INDEX(FixedAssets[Depreciation
/ Amortization Months],_xlfn.XMATCH($E$135,FixedAssets[Asset ID])),IF(AND((_xlfn.XMATCH(BV$8,$AH$8:$CC$8))-_xlfn.XMATCH($C151,$C$35:$C$82)+1&lt;=_xlpm.DepreciationMonths,$C151&lt;=BV$8),$E151/_xlpm.DepreciationMonths,0))</f>
        <v>0</v>
      </c>
      <c r="BW151" s="507" cm="1">
        <f t="array" ref="BW151">_xlfn.LET(_xlpm.DepreciationMonths,INDEX(FixedAssets[Depreciation
/ Amortization Months],_xlfn.XMATCH($E$135,FixedAssets[Asset ID])),IF(AND((_xlfn.XMATCH(BW$8,$AH$8:$CC$8))-_xlfn.XMATCH($C151,$C$35:$C$82)+1&lt;=_xlpm.DepreciationMonths,$C151&lt;=BW$8),$E151/_xlpm.DepreciationMonths,0))</f>
        <v>0</v>
      </c>
      <c r="BX151" s="507" cm="1">
        <f t="array" ref="BX151">_xlfn.LET(_xlpm.DepreciationMonths,INDEX(FixedAssets[Depreciation
/ Amortization Months],_xlfn.XMATCH($E$135,FixedAssets[Asset ID])),IF(AND((_xlfn.XMATCH(BX$8,$AH$8:$CC$8))-_xlfn.XMATCH($C151,$C$35:$C$82)+1&lt;=_xlpm.DepreciationMonths,$C151&lt;=BX$8),$E151/_xlpm.DepreciationMonths,0))</f>
        <v>0</v>
      </c>
      <c r="BY151" s="507" cm="1">
        <f t="array" ref="BY151">_xlfn.LET(_xlpm.DepreciationMonths,INDEX(FixedAssets[Depreciation
/ Amortization Months],_xlfn.XMATCH($E$135,FixedAssets[Asset ID])),IF(AND((_xlfn.XMATCH(BY$8,$AH$8:$CC$8))-_xlfn.XMATCH($C151,$C$35:$C$82)+1&lt;=_xlpm.DepreciationMonths,$C151&lt;=BY$8),$E151/_xlpm.DepreciationMonths,0))</f>
        <v>0</v>
      </c>
      <c r="BZ151" s="507" cm="1">
        <f t="array" ref="BZ151">_xlfn.LET(_xlpm.DepreciationMonths,INDEX(FixedAssets[Depreciation
/ Amortization Months],_xlfn.XMATCH($E$135,FixedAssets[Asset ID])),IF(AND((_xlfn.XMATCH(BZ$8,$AH$8:$CC$8))-_xlfn.XMATCH($C151,$C$35:$C$82)+1&lt;=_xlpm.DepreciationMonths,$C151&lt;=BZ$8),$E151/_xlpm.DepreciationMonths,0))</f>
        <v>0</v>
      </c>
      <c r="CA151" s="507" cm="1">
        <f t="array" ref="CA151">_xlfn.LET(_xlpm.DepreciationMonths,INDEX(FixedAssets[Depreciation
/ Amortization Months],_xlfn.XMATCH($E$135,FixedAssets[Asset ID])),IF(AND((_xlfn.XMATCH(CA$8,$AH$8:$CC$8))-_xlfn.XMATCH($C151,$C$35:$C$82)+1&lt;=_xlpm.DepreciationMonths,$C151&lt;=CA$8),$E151/_xlpm.DepreciationMonths,0))</f>
        <v>0</v>
      </c>
      <c r="CB151" s="507" cm="1">
        <f t="array" ref="CB151">_xlfn.LET(_xlpm.DepreciationMonths,INDEX(FixedAssets[Depreciation
/ Amortization Months],_xlfn.XMATCH($E$135,FixedAssets[Asset ID])),IF(AND((_xlfn.XMATCH(CB$8,$AH$8:$CC$8))-_xlfn.XMATCH($C151,$C$35:$C$82)+1&lt;=_xlpm.DepreciationMonths,$C151&lt;=CB$8),$E151/_xlpm.DepreciationMonths,0))</f>
        <v>0</v>
      </c>
      <c r="CC151" s="507" cm="1">
        <f t="array" ref="CC151">_xlfn.LET(_xlpm.DepreciationMonths,INDEX(FixedAssets[Depreciation
/ Amortization Months],_xlfn.XMATCH($E$135,FixedAssets[Asset ID])),IF(AND((_xlfn.XMATCH(CC$8,$AH$8:$CC$8))-_xlfn.XMATCH($C151,$C$35:$C$82)+1&lt;=_xlpm.DepreciationMonths,$C151&lt;=CC$8),$E151/_xlpm.DepreciationMonths,0))</f>
        <v>0</v>
      </c>
    </row>
    <row r="152" spans="3:81" hidden="1" outlineLevel="2">
      <c r="C152" s="664">
        <f t="shared" si="243"/>
        <v>45412</v>
      </c>
      <c r="D152" s="508"/>
      <c r="E152" s="508" cm="1">
        <f t="array" ref="E152">SUMPRODUCT(($AH$26:$CC$31)*($AH$5:$CC$5=$C152)*($E$26:$E$31=E$135))-SUMPRODUCT(($AH$26:$CC$31)*($AH$5:$CC$5=EOMONTH($C152,-1))*($E$26:$E$31=E$135))</f>
        <v>0</v>
      </c>
      <c r="F152" s="508"/>
      <c r="G152" s="508"/>
      <c r="H152" s="508"/>
      <c r="I152" s="508"/>
      <c r="J152" s="504">
        <f t="shared" si="240"/>
        <v>0</v>
      </c>
      <c r="K152" s="504">
        <f t="shared" si="241"/>
        <v>0</v>
      </c>
      <c r="L152" s="504">
        <f t="shared" si="241"/>
        <v>0</v>
      </c>
      <c r="M152" s="504">
        <f t="shared" si="241"/>
        <v>0</v>
      </c>
      <c r="N152" s="504"/>
      <c r="O152" s="504"/>
      <c r="P152" s="504">
        <f t="shared" si="242"/>
        <v>0</v>
      </c>
      <c r="Q152" s="504">
        <f t="shared" si="242"/>
        <v>0</v>
      </c>
      <c r="R152" s="504">
        <f t="shared" si="242"/>
        <v>0</v>
      </c>
      <c r="S152" s="504">
        <f t="shared" si="242"/>
        <v>0</v>
      </c>
      <c r="T152" s="504">
        <f t="shared" si="242"/>
        <v>0</v>
      </c>
      <c r="U152" s="504">
        <f t="shared" si="242"/>
        <v>0</v>
      </c>
      <c r="V152" s="504">
        <f t="shared" si="242"/>
        <v>0</v>
      </c>
      <c r="W152" s="504">
        <f t="shared" si="242"/>
        <v>0</v>
      </c>
      <c r="X152" s="504">
        <f t="shared" si="242"/>
        <v>0</v>
      </c>
      <c r="Y152" s="504">
        <f t="shared" si="242"/>
        <v>0</v>
      </c>
      <c r="Z152" s="504">
        <f t="shared" si="242"/>
        <v>0</v>
      </c>
      <c r="AA152" s="504">
        <f t="shared" si="242"/>
        <v>0</v>
      </c>
      <c r="AB152" s="504">
        <f t="shared" si="242"/>
        <v>0</v>
      </c>
      <c r="AC152" s="504">
        <f t="shared" si="242"/>
        <v>0</v>
      </c>
      <c r="AD152" s="504">
        <f t="shared" si="242"/>
        <v>0</v>
      </c>
      <c r="AE152" s="504">
        <f t="shared" ref="AE152" si="244">SUMIFS($AH152:$CC152,$AH$4:$CC$4,"&gt;="&amp;AE$4,$AH$5:$CC$5,"&lt;="&amp;AE$5)</f>
        <v>0</v>
      </c>
      <c r="AF152" s="508"/>
      <c r="AG152" s="508"/>
      <c r="AH152" s="507" cm="1">
        <f t="array" ref="AH152">_xlfn.LET(_xlpm.DepreciationMonths,INDEX(FixedAssets[Depreciation
/ Amortization Months],_xlfn.XMATCH($E$135,FixedAssets[Asset ID])),IF(AND((_xlfn.XMATCH(AH$8,$AH$8:$CC$8))-_xlfn.XMATCH($C152,$C$35:$C$82)+1&lt;=_xlpm.DepreciationMonths,$C152&lt;=AH$8),$E152/_xlpm.DepreciationMonths,0))</f>
        <v>0</v>
      </c>
      <c r="AI152" s="507" cm="1">
        <f t="array" ref="AI152">_xlfn.LET(_xlpm.DepreciationMonths,INDEX(FixedAssets[Depreciation
/ Amortization Months],_xlfn.XMATCH($E$135,FixedAssets[Asset ID])),IF(AND((_xlfn.XMATCH(AI$8,$AH$8:$CC$8))-_xlfn.XMATCH($C152,$C$35:$C$82)+1&lt;=_xlpm.DepreciationMonths,$C152&lt;=AI$8),$E152/_xlpm.DepreciationMonths,0))</f>
        <v>0</v>
      </c>
      <c r="AJ152" s="507" cm="1">
        <f t="array" ref="AJ152">_xlfn.LET(_xlpm.DepreciationMonths,INDEX(FixedAssets[Depreciation
/ Amortization Months],_xlfn.XMATCH($E$135,FixedAssets[Asset ID])),IF(AND((_xlfn.XMATCH(AJ$8,$AH$8:$CC$8))-_xlfn.XMATCH($C152,$C$35:$C$82)+1&lt;=_xlpm.DepreciationMonths,$C152&lt;=AJ$8),$E152/_xlpm.DepreciationMonths,0))</f>
        <v>0</v>
      </c>
      <c r="AK152" s="507" cm="1">
        <f t="array" ref="AK152">_xlfn.LET(_xlpm.DepreciationMonths,INDEX(FixedAssets[Depreciation
/ Amortization Months],_xlfn.XMATCH($E$135,FixedAssets[Asset ID])),IF(AND((_xlfn.XMATCH(AK$8,$AH$8:$CC$8))-_xlfn.XMATCH($C152,$C$35:$C$82)+1&lt;=_xlpm.DepreciationMonths,$C152&lt;=AK$8),$E152/_xlpm.DepreciationMonths,0))</f>
        <v>0</v>
      </c>
      <c r="AL152" s="507" cm="1">
        <f t="array" ref="AL152">_xlfn.LET(_xlpm.DepreciationMonths,INDEX(FixedAssets[Depreciation
/ Amortization Months],_xlfn.XMATCH($E$135,FixedAssets[Asset ID])),IF(AND((_xlfn.XMATCH(AL$8,$AH$8:$CC$8))-_xlfn.XMATCH($C152,$C$35:$C$82)+1&lt;=_xlpm.DepreciationMonths,$C152&lt;=AL$8),$E152/_xlpm.DepreciationMonths,0))</f>
        <v>0</v>
      </c>
      <c r="AM152" s="507" cm="1">
        <f t="array" ref="AM152">_xlfn.LET(_xlpm.DepreciationMonths,INDEX(FixedAssets[Depreciation
/ Amortization Months],_xlfn.XMATCH($E$135,FixedAssets[Asset ID])),IF(AND((_xlfn.XMATCH(AM$8,$AH$8:$CC$8))-_xlfn.XMATCH($C152,$C$35:$C$82)+1&lt;=_xlpm.DepreciationMonths,$C152&lt;=AM$8),$E152/_xlpm.DepreciationMonths,0))</f>
        <v>0</v>
      </c>
      <c r="AN152" s="507" cm="1">
        <f t="array" ref="AN152">_xlfn.LET(_xlpm.DepreciationMonths,INDEX(FixedAssets[Depreciation
/ Amortization Months],_xlfn.XMATCH($E$135,FixedAssets[Asset ID])),IF(AND((_xlfn.XMATCH(AN$8,$AH$8:$CC$8))-_xlfn.XMATCH($C152,$C$35:$C$82)+1&lt;=_xlpm.DepreciationMonths,$C152&lt;=AN$8),$E152/_xlpm.DepreciationMonths,0))</f>
        <v>0</v>
      </c>
      <c r="AO152" s="507" cm="1">
        <f t="array" ref="AO152">_xlfn.LET(_xlpm.DepreciationMonths,INDEX(FixedAssets[Depreciation
/ Amortization Months],_xlfn.XMATCH($E$135,FixedAssets[Asset ID])),IF(AND((_xlfn.XMATCH(AO$8,$AH$8:$CC$8))-_xlfn.XMATCH($C152,$C$35:$C$82)+1&lt;=_xlpm.DepreciationMonths,$C152&lt;=AO$8),$E152/_xlpm.DepreciationMonths,0))</f>
        <v>0</v>
      </c>
      <c r="AP152" s="507" cm="1">
        <f t="array" ref="AP152">_xlfn.LET(_xlpm.DepreciationMonths,INDEX(FixedAssets[Depreciation
/ Amortization Months],_xlfn.XMATCH($E$135,FixedAssets[Asset ID])),IF(AND((_xlfn.XMATCH(AP$8,$AH$8:$CC$8))-_xlfn.XMATCH($C152,$C$35:$C$82)+1&lt;=_xlpm.DepreciationMonths,$C152&lt;=AP$8),$E152/_xlpm.DepreciationMonths,0))</f>
        <v>0</v>
      </c>
      <c r="AQ152" s="507" cm="1">
        <f t="array" ref="AQ152">_xlfn.LET(_xlpm.DepreciationMonths,INDEX(FixedAssets[Depreciation
/ Amortization Months],_xlfn.XMATCH($E$135,FixedAssets[Asset ID])),IF(AND((_xlfn.XMATCH(AQ$8,$AH$8:$CC$8))-_xlfn.XMATCH($C152,$C$35:$C$82)+1&lt;=_xlpm.DepreciationMonths,$C152&lt;=AQ$8),$E152/_xlpm.DepreciationMonths,0))</f>
        <v>0</v>
      </c>
      <c r="AR152" s="507" cm="1">
        <f t="array" ref="AR152">_xlfn.LET(_xlpm.DepreciationMonths,INDEX(FixedAssets[Depreciation
/ Amortization Months],_xlfn.XMATCH($E$135,FixedAssets[Asset ID])),IF(AND((_xlfn.XMATCH(AR$8,$AH$8:$CC$8))-_xlfn.XMATCH($C152,$C$35:$C$82)+1&lt;=_xlpm.DepreciationMonths,$C152&lt;=AR$8),$E152/_xlpm.DepreciationMonths,0))</f>
        <v>0</v>
      </c>
      <c r="AS152" s="507" cm="1">
        <f t="array" ref="AS152">_xlfn.LET(_xlpm.DepreciationMonths,INDEX(FixedAssets[Depreciation
/ Amortization Months],_xlfn.XMATCH($E$135,FixedAssets[Asset ID])),IF(AND((_xlfn.XMATCH(AS$8,$AH$8:$CC$8))-_xlfn.XMATCH($C152,$C$35:$C$82)+1&lt;=_xlpm.DepreciationMonths,$C152&lt;=AS$8),$E152/_xlpm.DepreciationMonths,0))</f>
        <v>0</v>
      </c>
      <c r="AT152" s="507" cm="1">
        <f t="array" ref="AT152">_xlfn.LET(_xlpm.DepreciationMonths,INDEX(FixedAssets[Depreciation
/ Amortization Months],_xlfn.XMATCH($E$135,FixedAssets[Asset ID])),IF(AND((_xlfn.XMATCH(AT$8,$AH$8:$CC$8))-_xlfn.XMATCH($C152,$C$35:$C$82)+1&lt;=_xlpm.DepreciationMonths,$C152&lt;=AT$8),$E152/_xlpm.DepreciationMonths,0))</f>
        <v>0</v>
      </c>
      <c r="AU152" s="507" cm="1">
        <f t="array" ref="AU152">_xlfn.LET(_xlpm.DepreciationMonths,INDEX(FixedAssets[Depreciation
/ Amortization Months],_xlfn.XMATCH($E$135,FixedAssets[Asset ID])),IF(AND((_xlfn.XMATCH(AU$8,$AH$8:$CC$8))-_xlfn.XMATCH($C152,$C$35:$C$82)+1&lt;=_xlpm.DepreciationMonths,$C152&lt;=AU$8),$E152/_xlpm.DepreciationMonths,0))</f>
        <v>0</v>
      </c>
      <c r="AV152" s="507" cm="1">
        <f t="array" ref="AV152">_xlfn.LET(_xlpm.DepreciationMonths,INDEX(FixedAssets[Depreciation
/ Amortization Months],_xlfn.XMATCH($E$135,FixedAssets[Asset ID])),IF(AND((_xlfn.XMATCH(AV$8,$AH$8:$CC$8))-_xlfn.XMATCH($C152,$C$35:$C$82)+1&lt;=_xlpm.DepreciationMonths,$C152&lt;=AV$8),$E152/_xlpm.DepreciationMonths,0))</f>
        <v>0</v>
      </c>
      <c r="AW152" s="507" cm="1">
        <f t="array" ref="AW152">_xlfn.LET(_xlpm.DepreciationMonths,INDEX(FixedAssets[Depreciation
/ Amortization Months],_xlfn.XMATCH($E$135,FixedAssets[Asset ID])),IF(AND((_xlfn.XMATCH(AW$8,$AH$8:$CC$8))-_xlfn.XMATCH($C152,$C$35:$C$82)+1&lt;=_xlpm.DepreciationMonths,$C152&lt;=AW$8),$E152/_xlpm.DepreciationMonths,0))</f>
        <v>0</v>
      </c>
      <c r="AX152" s="507" cm="1">
        <f t="array" ref="AX152">_xlfn.LET(_xlpm.DepreciationMonths,INDEX(FixedAssets[Depreciation
/ Amortization Months],_xlfn.XMATCH($E$135,FixedAssets[Asset ID])),IF(AND((_xlfn.XMATCH(AX$8,$AH$8:$CC$8))-_xlfn.XMATCH($C152,$C$35:$C$82)+1&lt;=_xlpm.DepreciationMonths,$C152&lt;=AX$8),$E152/_xlpm.DepreciationMonths,0))</f>
        <v>0</v>
      </c>
      <c r="AY152" s="507" cm="1">
        <f t="array" ref="AY152">_xlfn.LET(_xlpm.DepreciationMonths,INDEX(FixedAssets[Depreciation
/ Amortization Months],_xlfn.XMATCH($E$135,FixedAssets[Asset ID])),IF(AND((_xlfn.XMATCH(AY$8,$AH$8:$CC$8))-_xlfn.XMATCH($C152,$C$35:$C$82)+1&lt;=_xlpm.DepreciationMonths,$C152&lt;=AY$8),$E152/_xlpm.DepreciationMonths,0))</f>
        <v>0</v>
      </c>
      <c r="AZ152" s="507" cm="1">
        <f t="array" ref="AZ152">_xlfn.LET(_xlpm.DepreciationMonths,INDEX(FixedAssets[Depreciation
/ Amortization Months],_xlfn.XMATCH($E$135,FixedAssets[Asset ID])),IF(AND((_xlfn.XMATCH(AZ$8,$AH$8:$CC$8))-_xlfn.XMATCH($C152,$C$35:$C$82)+1&lt;=_xlpm.DepreciationMonths,$C152&lt;=AZ$8),$E152/_xlpm.DepreciationMonths,0))</f>
        <v>0</v>
      </c>
      <c r="BA152" s="507" cm="1">
        <f t="array" ref="BA152">_xlfn.LET(_xlpm.DepreciationMonths,INDEX(FixedAssets[Depreciation
/ Amortization Months],_xlfn.XMATCH($E$135,FixedAssets[Asset ID])),IF(AND((_xlfn.XMATCH(BA$8,$AH$8:$CC$8))-_xlfn.XMATCH($C152,$C$35:$C$82)+1&lt;=_xlpm.DepreciationMonths,$C152&lt;=BA$8),$E152/_xlpm.DepreciationMonths,0))</f>
        <v>0</v>
      </c>
      <c r="BB152" s="507" cm="1">
        <f t="array" ref="BB152">_xlfn.LET(_xlpm.DepreciationMonths,INDEX(FixedAssets[Depreciation
/ Amortization Months],_xlfn.XMATCH($E$135,FixedAssets[Asset ID])),IF(AND((_xlfn.XMATCH(BB$8,$AH$8:$CC$8))-_xlfn.XMATCH($C152,$C$35:$C$82)+1&lt;=_xlpm.DepreciationMonths,$C152&lt;=BB$8),$E152/_xlpm.DepreciationMonths,0))</f>
        <v>0</v>
      </c>
      <c r="BC152" s="507" cm="1">
        <f t="array" ref="BC152">_xlfn.LET(_xlpm.DepreciationMonths,INDEX(FixedAssets[Depreciation
/ Amortization Months],_xlfn.XMATCH($E$135,FixedAssets[Asset ID])),IF(AND((_xlfn.XMATCH(BC$8,$AH$8:$CC$8))-_xlfn.XMATCH($C152,$C$35:$C$82)+1&lt;=_xlpm.DepreciationMonths,$C152&lt;=BC$8),$E152/_xlpm.DepreciationMonths,0))</f>
        <v>0</v>
      </c>
      <c r="BD152" s="507" cm="1">
        <f t="array" ref="BD152">_xlfn.LET(_xlpm.DepreciationMonths,INDEX(FixedAssets[Depreciation
/ Amortization Months],_xlfn.XMATCH($E$135,FixedAssets[Asset ID])),IF(AND((_xlfn.XMATCH(BD$8,$AH$8:$CC$8))-_xlfn.XMATCH($C152,$C$35:$C$82)+1&lt;=_xlpm.DepreciationMonths,$C152&lt;=BD$8),$E152/_xlpm.DepreciationMonths,0))</f>
        <v>0</v>
      </c>
      <c r="BE152" s="507" cm="1">
        <f t="array" ref="BE152">_xlfn.LET(_xlpm.DepreciationMonths,INDEX(FixedAssets[Depreciation
/ Amortization Months],_xlfn.XMATCH($E$135,FixedAssets[Asset ID])),IF(AND((_xlfn.XMATCH(BE$8,$AH$8:$CC$8))-_xlfn.XMATCH($C152,$C$35:$C$82)+1&lt;=_xlpm.DepreciationMonths,$C152&lt;=BE$8),$E152/_xlpm.DepreciationMonths,0))</f>
        <v>0</v>
      </c>
      <c r="BF152" s="507" cm="1">
        <f t="array" ref="BF152">_xlfn.LET(_xlpm.DepreciationMonths,INDEX(FixedAssets[Depreciation
/ Amortization Months],_xlfn.XMATCH($E$135,FixedAssets[Asset ID])),IF(AND((_xlfn.XMATCH(BF$8,$AH$8:$CC$8))-_xlfn.XMATCH($C152,$C$35:$C$82)+1&lt;=_xlpm.DepreciationMonths,$C152&lt;=BF$8),$E152/_xlpm.DepreciationMonths,0))</f>
        <v>0</v>
      </c>
      <c r="BG152" s="507" cm="1">
        <f t="array" ref="BG152">_xlfn.LET(_xlpm.DepreciationMonths,INDEX(FixedAssets[Depreciation
/ Amortization Months],_xlfn.XMATCH($E$135,FixedAssets[Asset ID])),IF(AND((_xlfn.XMATCH(BG$8,$AH$8:$CC$8))-_xlfn.XMATCH($C152,$C$35:$C$82)+1&lt;=_xlpm.DepreciationMonths,$C152&lt;=BG$8),$E152/_xlpm.DepreciationMonths,0))</f>
        <v>0</v>
      </c>
      <c r="BH152" s="507" cm="1">
        <f t="array" ref="BH152">_xlfn.LET(_xlpm.DepreciationMonths,INDEX(FixedAssets[Depreciation
/ Amortization Months],_xlfn.XMATCH($E$135,FixedAssets[Asset ID])),IF(AND((_xlfn.XMATCH(BH$8,$AH$8:$CC$8))-_xlfn.XMATCH($C152,$C$35:$C$82)+1&lt;=_xlpm.DepreciationMonths,$C152&lt;=BH$8),$E152/_xlpm.DepreciationMonths,0))</f>
        <v>0</v>
      </c>
      <c r="BI152" s="507" cm="1">
        <f t="array" ref="BI152">_xlfn.LET(_xlpm.DepreciationMonths,INDEX(FixedAssets[Depreciation
/ Amortization Months],_xlfn.XMATCH($E$135,FixedAssets[Asset ID])),IF(AND((_xlfn.XMATCH(BI$8,$AH$8:$CC$8))-_xlfn.XMATCH($C152,$C$35:$C$82)+1&lt;=_xlpm.DepreciationMonths,$C152&lt;=BI$8),$E152/_xlpm.DepreciationMonths,0))</f>
        <v>0</v>
      </c>
      <c r="BJ152" s="507" cm="1">
        <f t="array" ref="BJ152">_xlfn.LET(_xlpm.DepreciationMonths,INDEX(FixedAssets[Depreciation
/ Amortization Months],_xlfn.XMATCH($E$135,FixedAssets[Asset ID])),IF(AND((_xlfn.XMATCH(BJ$8,$AH$8:$CC$8))-_xlfn.XMATCH($C152,$C$35:$C$82)+1&lt;=_xlpm.DepreciationMonths,$C152&lt;=BJ$8),$E152/_xlpm.DepreciationMonths,0))</f>
        <v>0</v>
      </c>
      <c r="BK152" s="507" cm="1">
        <f t="array" ref="BK152">_xlfn.LET(_xlpm.DepreciationMonths,INDEX(FixedAssets[Depreciation
/ Amortization Months],_xlfn.XMATCH($E$135,FixedAssets[Asset ID])),IF(AND((_xlfn.XMATCH(BK$8,$AH$8:$CC$8))-_xlfn.XMATCH($C152,$C$35:$C$82)+1&lt;=_xlpm.DepreciationMonths,$C152&lt;=BK$8),$E152/_xlpm.DepreciationMonths,0))</f>
        <v>0</v>
      </c>
      <c r="BL152" s="507" cm="1">
        <f t="array" ref="BL152">_xlfn.LET(_xlpm.DepreciationMonths,INDEX(FixedAssets[Depreciation
/ Amortization Months],_xlfn.XMATCH($E$135,FixedAssets[Asset ID])),IF(AND((_xlfn.XMATCH(BL$8,$AH$8:$CC$8))-_xlfn.XMATCH($C152,$C$35:$C$82)+1&lt;=_xlpm.DepreciationMonths,$C152&lt;=BL$8),$E152/_xlpm.DepreciationMonths,0))</f>
        <v>0</v>
      </c>
      <c r="BM152" s="507" cm="1">
        <f t="array" ref="BM152">_xlfn.LET(_xlpm.DepreciationMonths,INDEX(FixedAssets[Depreciation
/ Amortization Months],_xlfn.XMATCH($E$135,FixedAssets[Asset ID])),IF(AND((_xlfn.XMATCH(BM$8,$AH$8:$CC$8))-_xlfn.XMATCH($C152,$C$35:$C$82)+1&lt;=_xlpm.DepreciationMonths,$C152&lt;=BM$8),$E152/_xlpm.DepreciationMonths,0))</f>
        <v>0</v>
      </c>
      <c r="BN152" s="507" cm="1">
        <f t="array" ref="BN152">_xlfn.LET(_xlpm.DepreciationMonths,INDEX(FixedAssets[Depreciation
/ Amortization Months],_xlfn.XMATCH($E$135,FixedAssets[Asset ID])),IF(AND((_xlfn.XMATCH(BN$8,$AH$8:$CC$8))-_xlfn.XMATCH($C152,$C$35:$C$82)+1&lt;=_xlpm.DepreciationMonths,$C152&lt;=BN$8),$E152/_xlpm.DepreciationMonths,0))</f>
        <v>0</v>
      </c>
      <c r="BO152" s="507" cm="1">
        <f t="array" ref="BO152">_xlfn.LET(_xlpm.DepreciationMonths,INDEX(FixedAssets[Depreciation
/ Amortization Months],_xlfn.XMATCH($E$135,FixedAssets[Asset ID])),IF(AND((_xlfn.XMATCH(BO$8,$AH$8:$CC$8))-_xlfn.XMATCH($C152,$C$35:$C$82)+1&lt;=_xlpm.DepreciationMonths,$C152&lt;=BO$8),$E152/_xlpm.DepreciationMonths,0))</f>
        <v>0</v>
      </c>
      <c r="BP152" s="507" cm="1">
        <f t="array" ref="BP152">_xlfn.LET(_xlpm.DepreciationMonths,INDEX(FixedAssets[Depreciation
/ Amortization Months],_xlfn.XMATCH($E$135,FixedAssets[Asset ID])),IF(AND((_xlfn.XMATCH(BP$8,$AH$8:$CC$8))-_xlfn.XMATCH($C152,$C$35:$C$82)+1&lt;=_xlpm.DepreciationMonths,$C152&lt;=BP$8),$E152/_xlpm.DepreciationMonths,0))</f>
        <v>0</v>
      </c>
      <c r="BQ152" s="507" cm="1">
        <f t="array" ref="BQ152">_xlfn.LET(_xlpm.DepreciationMonths,INDEX(FixedAssets[Depreciation
/ Amortization Months],_xlfn.XMATCH($E$135,FixedAssets[Asset ID])),IF(AND((_xlfn.XMATCH(BQ$8,$AH$8:$CC$8))-_xlfn.XMATCH($C152,$C$35:$C$82)+1&lt;=_xlpm.DepreciationMonths,$C152&lt;=BQ$8),$E152/_xlpm.DepreciationMonths,0))</f>
        <v>0</v>
      </c>
      <c r="BR152" s="507" cm="1">
        <f t="array" ref="BR152">_xlfn.LET(_xlpm.DepreciationMonths,INDEX(FixedAssets[Depreciation
/ Amortization Months],_xlfn.XMATCH($E$135,FixedAssets[Asset ID])),IF(AND((_xlfn.XMATCH(BR$8,$AH$8:$CC$8))-_xlfn.XMATCH($C152,$C$35:$C$82)+1&lt;=_xlpm.DepreciationMonths,$C152&lt;=BR$8),$E152/_xlpm.DepreciationMonths,0))</f>
        <v>0</v>
      </c>
      <c r="BS152" s="507" cm="1">
        <f t="array" ref="BS152">_xlfn.LET(_xlpm.DepreciationMonths,INDEX(FixedAssets[Depreciation
/ Amortization Months],_xlfn.XMATCH($E$135,FixedAssets[Asset ID])),IF(AND((_xlfn.XMATCH(BS$8,$AH$8:$CC$8))-_xlfn.XMATCH($C152,$C$35:$C$82)+1&lt;=_xlpm.DepreciationMonths,$C152&lt;=BS$8),$E152/_xlpm.DepreciationMonths,0))</f>
        <v>0</v>
      </c>
      <c r="BT152" s="507" cm="1">
        <f t="array" ref="BT152">_xlfn.LET(_xlpm.DepreciationMonths,INDEX(FixedAssets[Depreciation
/ Amortization Months],_xlfn.XMATCH($E$135,FixedAssets[Asset ID])),IF(AND((_xlfn.XMATCH(BT$8,$AH$8:$CC$8))-_xlfn.XMATCH($C152,$C$35:$C$82)+1&lt;=_xlpm.DepreciationMonths,$C152&lt;=BT$8),$E152/_xlpm.DepreciationMonths,0))</f>
        <v>0</v>
      </c>
      <c r="BU152" s="507" cm="1">
        <f t="array" ref="BU152">_xlfn.LET(_xlpm.DepreciationMonths,INDEX(FixedAssets[Depreciation
/ Amortization Months],_xlfn.XMATCH($E$135,FixedAssets[Asset ID])),IF(AND((_xlfn.XMATCH(BU$8,$AH$8:$CC$8))-_xlfn.XMATCH($C152,$C$35:$C$82)+1&lt;=_xlpm.DepreciationMonths,$C152&lt;=BU$8),$E152/_xlpm.DepreciationMonths,0))</f>
        <v>0</v>
      </c>
      <c r="BV152" s="507" cm="1">
        <f t="array" ref="BV152">_xlfn.LET(_xlpm.DepreciationMonths,INDEX(FixedAssets[Depreciation
/ Amortization Months],_xlfn.XMATCH($E$135,FixedAssets[Asset ID])),IF(AND((_xlfn.XMATCH(BV$8,$AH$8:$CC$8))-_xlfn.XMATCH($C152,$C$35:$C$82)+1&lt;=_xlpm.DepreciationMonths,$C152&lt;=BV$8),$E152/_xlpm.DepreciationMonths,0))</f>
        <v>0</v>
      </c>
      <c r="BW152" s="507" cm="1">
        <f t="array" ref="BW152">_xlfn.LET(_xlpm.DepreciationMonths,INDEX(FixedAssets[Depreciation
/ Amortization Months],_xlfn.XMATCH($E$135,FixedAssets[Asset ID])),IF(AND((_xlfn.XMATCH(BW$8,$AH$8:$CC$8))-_xlfn.XMATCH($C152,$C$35:$C$82)+1&lt;=_xlpm.DepreciationMonths,$C152&lt;=BW$8),$E152/_xlpm.DepreciationMonths,0))</f>
        <v>0</v>
      </c>
      <c r="BX152" s="507" cm="1">
        <f t="array" ref="BX152">_xlfn.LET(_xlpm.DepreciationMonths,INDEX(FixedAssets[Depreciation
/ Amortization Months],_xlfn.XMATCH($E$135,FixedAssets[Asset ID])),IF(AND((_xlfn.XMATCH(BX$8,$AH$8:$CC$8))-_xlfn.XMATCH($C152,$C$35:$C$82)+1&lt;=_xlpm.DepreciationMonths,$C152&lt;=BX$8),$E152/_xlpm.DepreciationMonths,0))</f>
        <v>0</v>
      </c>
      <c r="BY152" s="507" cm="1">
        <f t="array" ref="BY152">_xlfn.LET(_xlpm.DepreciationMonths,INDEX(FixedAssets[Depreciation
/ Amortization Months],_xlfn.XMATCH($E$135,FixedAssets[Asset ID])),IF(AND((_xlfn.XMATCH(BY$8,$AH$8:$CC$8))-_xlfn.XMATCH($C152,$C$35:$C$82)+1&lt;=_xlpm.DepreciationMonths,$C152&lt;=BY$8),$E152/_xlpm.DepreciationMonths,0))</f>
        <v>0</v>
      </c>
      <c r="BZ152" s="507" cm="1">
        <f t="array" ref="BZ152">_xlfn.LET(_xlpm.DepreciationMonths,INDEX(FixedAssets[Depreciation
/ Amortization Months],_xlfn.XMATCH($E$135,FixedAssets[Asset ID])),IF(AND((_xlfn.XMATCH(BZ$8,$AH$8:$CC$8))-_xlfn.XMATCH($C152,$C$35:$C$82)+1&lt;=_xlpm.DepreciationMonths,$C152&lt;=BZ$8),$E152/_xlpm.DepreciationMonths,0))</f>
        <v>0</v>
      </c>
      <c r="CA152" s="507" cm="1">
        <f t="array" ref="CA152">_xlfn.LET(_xlpm.DepreciationMonths,INDEX(FixedAssets[Depreciation
/ Amortization Months],_xlfn.XMATCH($E$135,FixedAssets[Asset ID])),IF(AND((_xlfn.XMATCH(CA$8,$AH$8:$CC$8))-_xlfn.XMATCH($C152,$C$35:$C$82)+1&lt;=_xlpm.DepreciationMonths,$C152&lt;=CA$8),$E152/_xlpm.DepreciationMonths,0))</f>
        <v>0</v>
      </c>
      <c r="CB152" s="507" cm="1">
        <f t="array" ref="CB152">_xlfn.LET(_xlpm.DepreciationMonths,INDEX(FixedAssets[Depreciation
/ Amortization Months],_xlfn.XMATCH($E$135,FixedAssets[Asset ID])),IF(AND((_xlfn.XMATCH(CB$8,$AH$8:$CC$8))-_xlfn.XMATCH($C152,$C$35:$C$82)+1&lt;=_xlpm.DepreciationMonths,$C152&lt;=CB$8),$E152/_xlpm.DepreciationMonths,0))</f>
        <v>0</v>
      </c>
      <c r="CC152" s="507" cm="1">
        <f t="array" ref="CC152">_xlfn.LET(_xlpm.DepreciationMonths,INDEX(FixedAssets[Depreciation
/ Amortization Months],_xlfn.XMATCH($E$135,FixedAssets[Asset ID])),IF(AND((_xlfn.XMATCH(CC$8,$AH$8:$CC$8))-_xlfn.XMATCH($C152,$C$35:$C$82)+1&lt;=_xlpm.DepreciationMonths,$C152&lt;=CC$8),$E152/_xlpm.DepreciationMonths,0))</f>
        <v>0</v>
      </c>
    </row>
    <row r="153" spans="3:81" hidden="1" outlineLevel="2">
      <c r="C153" s="664">
        <f t="shared" si="243"/>
        <v>45443</v>
      </c>
      <c r="D153" s="508"/>
      <c r="E153" s="508" cm="1">
        <f t="array" ref="E153">SUMPRODUCT(($AH$26:$CC$31)*($AH$5:$CC$5=$C153)*($E$26:$E$31=E$135))-SUMPRODUCT(($AH$26:$CC$31)*($AH$5:$CC$5=EOMONTH($C153,-1))*($E$26:$E$31=E$135))</f>
        <v>0</v>
      </c>
      <c r="F153" s="508"/>
      <c r="G153" s="508"/>
      <c r="H153" s="508"/>
      <c r="I153" s="508"/>
      <c r="J153" s="504">
        <f t="shared" si="240"/>
        <v>0</v>
      </c>
      <c r="K153" s="504">
        <f t="shared" ref="K153:M168" si="245">SUMIFS($AH153:$CC153,$AH$4:$CC$4,"&gt;="&amp;K$4,$AH$5:$CC$5,"&lt;="&amp;K$5)</f>
        <v>0</v>
      </c>
      <c r="L153" s="504">
        <f t="shared" si="245"/>
        <v>0</v>
      </c>
      <c r="M153" s="504">
        <f t="shared" si="245"/>
        <v>0</v>
      </c>
      <c r="N153" s="504"/>
      <c r="O153" s="504"/>
      <c r="P153" s="504">
        <f t="shared" ref="P153:AE168" si="246">SUMIFS($AH153:$CC153,$AH$4:$CC$4,"&gt;="&amp;P$4,$AH$5:$CC$5,"&lt;="&amp;P$5)</f>
        <v>0</v>
      </c>
      <c r="Q153" s="504">
        <f t="shared" si="246"/>
        <v>0</v>
      </c>
      <c r="R153" s="504">
        <f t="shared" si="246"/>
        <v>0</v>
      </c>
      <c r="S153" s="504">
        <f t="shared" si="246"/>
        <v>0</v>
      </c>
      <c r="T153" s="504">
        <f t="shared" si="246"/>
        <v>0</v>
      </c>
      <c r="U153" s="504">
        <f t="shared" si="246"/>
        <v>0</v>
      </c>
      <c r="V153" s="504">
        <f t="shared" si="246"/>
        <v>0</v>
      </c>
      <c r="W153" s="504">
        <f t="shared" si="246"/>
        <v>0</v>
      </c>
      <c r="X153" s="504">
        <f t="shared" si="246"/>
        <v>0</v>
      </c>
      <c r="Y153" s="504">
        <f t="shared" si="246"/>
        <v>0</v>
      </c>
      <c r="Z153" s="504">
        <f t="shared" si="246"/>
        <v>0</v>
      </c>
      <c r="AA153" s="504">
        <f t="shared" si="246"/>
        <v>0</v>
      </c>
      <c r="AB153" s="504">
        <f t="shared" si="246"/>
        <v>0</v>
      </c>
      <c r="AC153" s="504">
        <f t="shared" si="246"/>
        <v>0</v>
      </c>
      <c r="AD153" s="504">
        <f t="shared" si="246"/>
        <v>0</v>
      </c>
      <c r="AE153" s="504">
        <f t="shared" si="246"/>
        <v>0</v>
      </c>
      <c r="AF153" s="508"/>
      <c r="AG153" s="508"/>
      <c r="AH153" s="507" cm="1">
        <f t="array" ref="AH153">_xlfn.LET(_xlpm.DepreciationMonths,INDEX(FixedAssets[Depreciation
/ Amortization Months],_xlfn.XMATCH($E$135,FixedAssets[Asset ID])),IF(AND((_xlfn.XMATCH(AH$8,$AH$8:$CC$8))-_xlfn.XMATCH($C153,$C$35:$C$82)+1&lt;=_xlpm.DepreciationMonths,$C153&lt;=AH$8),$E153/_xlpm.DepreciationMonths,0))</f>
        <v>0</v>
      </c>
      <c r="AI153" s="507" cm="1">
        <f t="array" ref="AI153">_xlfn.LET(_xlpm.DepreciationMonths,INDEX(FixedAssets[Depreciation
/ Amortization Months],_xlfn.XMATCH($E$135,FixedAssets[Asset ID])),IF(AND((_xlfn.XMATCH(AI$8,$AH$8:$CC$8))-_xlfn.XMATCH($C153,$C$35:$C$82)+1&lt;=_xlpm.DepreciationMonths,$C153&lt;=AI$8),$E153/_xlpm.DepreciationMonths,0))</f>
        <v>0</v>
      </c>
      <c r="AJ153" s="507" cm="1">
        <f t="array" ref="AJ153">_xlfn.LET(_xlpm.DepreciationMonths,INDEX(FixedAssets[Depreciation
/ Amortization Months],_xlfn.XMATCH($E$135,FixedAssets[Asset ID])),IF(AND((_xlfn.XMATCH(AJ$8,$AH$8:$CC$8))-_xlfn.XMATCH($C153,$C$35:$C$82)+1&lt;=_xlpm.DepreciationMonths,$C153&lt;=AJ$8),$E153/_xlpm.DepreciationMonths,0))</f>
        <v>0</v>
      </c>
      <c r="AK153" s="507" cm="1">
        <f t="array" ref="AK153">_xlfn.LET(_xlpm.DepreciationMonths,INDEX(FixedAssets[Depreciation
/ Amortization Months],_xlfn.XMATCH($E$135,FixedAssets[Asset ID])),IF(AND((_xlfn.XMATCH(AK$8,$AH$8:$CC$8))-_xlfn.XMATCH($C153,$C$35:$C$82)+1&lt;=_xlpm.DepreciationMonths,$C153&lt;=AK$8),$E153/_xlpm.DepreciationMonths,0))</f>
        <v>0</v>
      </c>
      <c r="AL153" s="507" cm="1">
        <f t="array" ref="AL153">_xlfn.LET(_xlpm.DepreciationMonths,INDEX(FixedAssets[Depreciation
/ Amortization Months],_xlfn.XMATCH($E$135,FixedAssets[Asset ID])),IF(AND((_xlfn.XMATCH(AL$8,$AH$8:$CC$8))-_xlfn.XMATCH($C153,$C$35:$C$82)+1&lt;=_xlpm.DepreciationMonths,$C153&lt;=AL$8),$E153/_xlpm.DepreciationMonths,0))</f>
        <v>0</v>
      </c>
      <c r="AM153" s="507" cm="1">
        <f t="array" ref="AM153">_xlfn.LET(_xlpm.DepreciationMonths,INDEX(FixedAssets[Depreciation
/ Amortization Months],_xlfn.XMATCH($E$135,FixedAssets[Asset ID])),IF(AND((_xlfn.XMATCH(AM$8,$AH$8:$CC$8))-_xlfn.XMATCH($C153,$C$35:$C$82)+1&lt;=_xlpm.DepreciationMonths,$C153&lt;=AM$8),$E153/_xlpm.DepreciationMonths,0))</f>
        <v>0</v>
      </c>
      <c r="AN153" s="507" cm="1">
        <f t="array" ref="AN153">_xlfn.LET(_xlpm.DepreciationMonths,INDEX(FixedAssets[Depreciation
/ Amortization Months],_xlfn.XMATCH($E$135,FixedAssets[Asset ID])),IF(AND((_xlfn.XMATCH(AN$8,$AH$8:$CC$8))-_xlfn.XMATCH($C153,$C$35:$C$82)+1&lt;=_xlpm.DepreciationMonths,$C153&lt;=AN$8),$E153/_xlpm.DepreciationMonths,0))</f>
        <v>0</v>
      </c>
      <c r="AO153" s="507" cm="1">
        <f t="array" ref="AO153">_xlfn.LET(_xlpm.DepreciationMonths,INDEX(FixedAssets[Depreciation
/ Amortization Months],_xlfn.XMATCH($E$135,FixedAssets[Asset ID])),IF(AND((_xlfn.XMATCH(AO$8,$AH$8:$CC$8))-_xlfn.XMATCH($C153,$C$35:$C$82)+1&lt;=_xlpm.DepreciationMonths,$C153&lt;=AO$8),$E153/_xlpm.DepreciationMonths,0))</f>
        <v>0</v>
      </c>
      <c r="AP153" s="507" cm="1">
        <f t="array" ref="AP153">_xlfn.LET(_xlpm.DepreciationMonths,INDEX(FixedAssets[Depreciation
/ Amortization Months],_xlfn.XMATCH($E$135,FixedAssets[Asset ID])),IF(AND((_xlfn.XMATCH(AP$8,$AH$8:$CC$8))-_xlfn.XMATCH($C153,$C$35:$C$82)+1&lt;=_xlpm.DepreciationMonths,$C153&lt;=AP$8),$E153/_xlpm.DepreciationMonths,0))</f>
        <v>0</v>
      </c>
      <c r="AQ153" s="507" cm="1">
        <f t="array" ref="AQ153">_xlfn.LET(_xlpm.DepreciationMonths,INDEX(FixedAssets[Depreciation
/ Amortization Months],_xlfn.XMATCH($E$135,FixedAssets[Asset ID])),IF(AND((_xlfn.XMATCH(AQ$8,$AH$8:$CC$8))-_xlfn.XMATCH($C153,$C$35:$C$82)+1&lt;=_xlpm.DepreciationMonths,$C153&lt;=AQ$8),$E153/_xlpm.DepreciationMonths,0))</f>
        <v>0</v>
      </c>
      <c r="AR153" s="507" cm="1">
        <f t="array" ref="AR153">_xlfn.LET(_xlpm.DepreciationMonths,INDEX(FixedAssets[Depreciation
/ Amortization Months],_xlfn.XMATCH($E$135,FixedAssets[Asset ID])),IF(AND((_xlfn.XMATCH(AR$8,$AH$8:$CC$8))-_xlfn.XMATCH($C153,$C$35:$C$82)+1&lt;=_xlpm.DepreciationMonths,$C153&lt;=AR$8),$E153/_xlpm.DepreciationMonths,0))</f>
        <v>0</v>
      </c>
      <c r="AS153" s="507" cm="1">
        <f t="array" ref="AS153">_xlfn.LET(_xlpm.DepreciationMonths,INDEX(FixedAssets[Depreciation
/ Amortization Months],_xlfn.XMATCH($E$135,FixedAssets[Asset ID])),IF(AND((_xlfn.XMATCH(AS$8,$AH$8:$CC$8))-_xlfn.XMATCH($C153,$C$35:$C$82)+1&lt;=_xlpm.DepreciationMonths,$C153&lt;=AS$8),$E153/_xlpm.DepreciationMonths,0))</f>
        <v>0</v>
      </c>
      <c r="AT153" s="507" cm="1">
        <f t="array" ref="AT153">_xlfn.LET(_xlpm.DepreciationMonths,INDEX(FixedAssets[Depreciation
/ Amortization Months],_xlfn.XMATCH($E$135,FixedAssets[Asset ID])),IF(AND((_xlfn.XMATCH(AT$8,$AH$8:$CC$8))-_xlfn.XMATCH($C153,$C$35:$C$82)+1&lt;=_xlpm.DepreciationMonths,$C153&lt;=AT$8),$E153/_xlpm.DepreciationMonths,0))</f>
        <v>0</v>
      </c>
      <c r="AU153" s="507" cm="1">
        <f t="array" ref="AU153">_xlfn.LET(_xlpm.DepreciationMonths,INDEX(FixedAssets[Depreciation
/ Amortization Months],_xlfn.XMATCH($E$135,FixedAssets[Asset ID])),IF(AND((_xlfn.XMATCH(AU$8,$AH$8:$CC$8))-_xlfn.XMATCH($C153,$C$35:$C$82)+1&lt;=_xlpm.DepreciationMonths,$C153&lt;=AU$8),$E153/_xlpm.DepreciationMonths,0))</f>
        <v>0</v>
      </c>
      <c r="AV153" s="507" cm="1">
        <f t="array" ref="AV153">_xlfn.LET(_xlpm.DepreciationMonths,INDEX(FixedAssets[Depreciation
/ Amortization Months],_xlfn.XMATCH($E$135,FixedAssets[Asset ID])),IF(AND((_xlfn.XMATCH(AV$8,$AH$8:$CC$8))-_xlfn.XMATCH($C153,$C$35:$C$82)+1&lt;=_xlpm.DepreciationMonths,$C153&lt;=AV$8),$E153/_xlpm.DepreciationMonths,0))</f>
        <v>0</v>
      </c>
      <c r="AW153" s="507" cm="1">
        <f t="array" ref="AW153">_xlfn.LET(_xlpm.DepreciationMonths,INDEX(FixedAssets[Depreciation
/ Amortization Months],_xlfn.XMATCH($E$135,FixedAssets[Asset ID])),IF(AND((_xlfn.XMATCH(AW$8,$AH$8:$CC$8))-_xlfn.XMATCH($C153,$C$35:$C$82)+1&lt;=_xlpm.DepreciationMonths,$C153&lt;=AW$8),$E153/_xlpm.DepreciationMonths,0))</f>
        <v>0</v>
      </c>
      <c r="AX153" s="507" cm="1">
        <f t="array" ref="AX153">_xlfn.LET(_xlpm.DepreciationMonths,INDEX(FixedAssets[Depreciation
/ Amortization Months],_xlfn.XMATCH($E$135,FixedAssets[Asset ID])),IF(AND((_xlfn.XMATCH(AX$8,$AH$8:$CC$8))-_xlfn.XMATCH($C153,$C$35:$C$82)+1&lt;=_xlpm.DepreciationMonths,$C153&lt;=AX$8),$E153/_xlpm.DepreciationMonths,0))</f>
        <v>0</v>
      </c>
      <c r="AY153" s="507" cm="1">
        <f t="array" ref="AY153">_xlfn.LET(_xlpm.DepreciationMonths,INDEX(FixedAssets[Depreciation
/ Amortization Months],_xlfn.XMATCH($E$135,FixedAssets[Asset ID])),IF(AND((_xlfn.XMATCH(AY$8,$AH$8:$CC$8))-_xlfn.XMATCH($C153,$C$35:$C$82)+1&lt;=_xlpm.DepreciationMonths,$C153&lt;=AY$8),$E153/_xlpm.DepreciationMonths,0))</f>
        <v>0</v>
      </c>
      <c r="AZ153" s="507" cm="1">
        <f t="array" ref="AZ153">_xlfn.LET(_xlpm.DepreciationMonths,INDEX(FixedAssets[Depreciation
/ Amortization Months],_xlfn.XMATCH($E$135,FixedAssets[Asset ID])),IF(AND((_xlfn.XMATCH(AZ$8,$AH$8:$CC$8))-_xlfn.XMATCH($C153,$C$35:$C$82)+1&lt;=_xlpm.DepreciationMonths,$C153&lt;=AZ$8),$E153/_xlpm.DepreciationMonths,0))</f>
        <v>0</v>
      </c>
      <c r="BA153" s="507" cm="1">
        <f t="array" ref="BA153">_xlfn.LET(_xlpm.DepreciationMonths,INDEX(FixedAssets[Depreciation
/ Amortization Months],_xlfn.XMATCH($E$135,FixedAssets[Asset ID])),IF(AND((_xlfn.XMATCH(BA$8,$AH$8:$CC$8))-_xlfn.XMATCH($C153,$C$35:$C$82)+1&lt;=_xlpm.DepreciationMonths,$C153&lt;=BA$8),$E153/_xlpm.DepreciationMonths,0))</f>
        <v>0</v>
      </c>
      <c r="BB153" s="507" cm="1">
        <f t="array" ref="BB153">_xlfn.LET(_xlpm.DepreciationMonths,INDEX(FixedAssets[Depreciation
/ Amortization Months],_xlfn.XMATCH($E$135,FixedAssets[Asset ID])),IF(AND((_xlfn.XMATCH(BB$8,$AH$8:$CC$8))-_xlfn.XMATCH($C153,$C$35:$C$82)+1&lt;=_xlpm.DepreciationMonths,$C153&lt;=BB$8),$E153/_xlpm.DepreciationMonths,0))</f>
        <v>0</v>
      </c>
      <c r="BC153" s="507" cm="1">
        <f t="array" ref="BC153">_xlfn.LET(_xlpm.DepreciationMonths,INDEX(FixedAssets[Depreciation
/ Amortization Months],_xlfn.XMATCH($E$135,FixedAssets[Asset ID])),IF(AND((_xlfn.XMATCH(BC$8,$AH$8:$CC$8))-_xlfn.XMATCH($C153,$C$35:$C$82)+1&lt;=_xlpm.DepreciationMonths,$C153&lt;=BC$8),$E153/_xlpm.DepreciationMonths,0))</f>
        <v>0</v>
      </c>
      <c r="BD153" s="507" cm="1">
        <f t="array" ref="BD153">_xlfn.LET(_xlpm.DepreciationMonths,INDEX(FixedAssets[Depreciation
/ Amortization Months],_xlfn.XMATCH($E$135,FixedAssets[Asset ID])),IF(AND((_xlfn.XMATCH(BD$8,$AH$8:$CC$8))-_xlfn.XMATCH($C153,$C$35:$C$82)+1&lt;=_xlpm.DepreciationMonths,$C153&lt;=BD$8),$E153/_xlpm.DepreciationMonths,0))</f>
        <v>0</v>
      </c>
      <c r="BE153" s="507" cm="1">
        <f t="array" ref="BE153">_xlfn.LET(_xlpm.DepreciationMonths,INDEX(FixedAssets[Depreciation
/ Amortization Months],_xlfn.XMATCH($E$135,FixedAssets[Asset ID])),IF(AND((_xlfn.XMATCH(BE$8,$AH$8:$CC$8))-_xlfn.XMATCH($C153,$C$35:$C$82)+1&lt;=_xlpm.DepreciationMonths,$C153&lt;=BE$8),$E153/_xlpm.DepreciationMonths,0))</f>
        <v>0</v>
      </c>
      <c r="BF153" s="507" cm="1">
        <f t="array" ref="BF153">_xlfn.LET(_xlpm.DepreciationMonths,INDEX(FixedAssets[Depreciation
/ Amortization Months],_xlfn.XMATCH($E$135,FixedAssets[Asset ID])),IF(AND((_xlfn.XMATCH(BF$8,$AH$8:$CC$8))-_xlfn.XMATCH($C153,$C$35:$C$82)+1&lt;=_xlpm.DepreciationMonths,$C153&lt;=BF$8),$E153/_xlpm.DepreciationMonths,0))</f>
        <v>0</v>
      </c>
      <c r="BG153" s="507" cm="1">
        <f t="array" ref="BG153">_xlfn.LET(_xlpm.DepreciationMonths,INDEX(FixedAssets[Depreciation
/ Amortization Months],_xlfn.XMATCH($E$135,FixedAssets[Asset ID])),IF(AND((_xlfn.XMATCH(BG$8,$AH$8:$CC$8))-_xlfn.XMATCH($C153,$C$35:$C$82)+1&lt;=_xlpm.DepreciationMonths,$C153&lt;=BG$8),$E153/_xlpm.DepreciationMonths,0))</f>
        <v>0</v>
      </c>
      <c r="BH153" s="507" cm="1">
        <f t="array" ref="BH153">_xlfn.LET(_xlpm.DepreciationMonths,INDEX(FixedAssets[Depreciation
/ Amortization Months],_xlfn.XMATCH($E$135,FixedAssets[Asset ID])),IF(AND((_xlfn.XMATCH(BH$8,$AH$8:$CC$8))-_xlfn.XMATCH($C153,$C$35:$C$82)+1&lt;=_xlpm.DepreciationMonths,$C153&lt;=BH$8),$E153/_xlpm.DepreciationMonths,0))</f>
        <v>0</v>
      </c>
      <c r="BI153" s="507" cm="1">
        <f t="array" ref="BI153">_xlfn.LET(_xlpm.DepreciationMonths,INDEX(FixedAssets[Depreciation
/ Amortization Months],_xlfn.XMATCH($E$135,FixedAssets[Asset ID])),IF(AND((_xlfn.XMATCH(BI$8,$AH$8:$CC$8))-_xlfn.XMATCH($C153,$C$35:$C$82)+1&lt;=_xlpm.DepreciationMonths,$C153&lt;=BI$8),$E153/_xlpm.DepreciationMonths,0))</f>
        <v>0</v>
      </c>
      <c r="BJ153" s="507" cm="1">
        <f t="array" ref="BJ153">_xlfn.LET(_xlpm.DepreciationMonths,INDEX(FixedAssets[Depreciation
/ Amortization Months],_xlfn.XMATCH($E$135,FixedAssets[Asset ID])),IF(AND((_xlfn.XMATCH(BJ$8,$AH$8:$CC$8))-_xlfn.XMATCH($C153,$C$35:$C$82)+1&lt;=_xlpm.DepreciationMonths,$C153&lt;=BJ$8),$E153/_xlpm.DepreciationMonths,0))</f>
        <v>0</v>
      </c>
      <c r="BK153" s="507" cm="1">
        <f t="array" ref="BK153">_xlfn.LET(_xlpm.DepreciationMonths,INDEX(FixedAssets[Depreciation
/ Amortization Months],_xlfn.XMATCH($E$135,FixedAssets[Asset ID])),IF(AND((_xlfn.XMATCH(BK$8,$AH$8:$CC$8))-_xlfn.XMATCH($C153,$C$35:$C$82)+1&lt;=_xlpm.DepreciationMonths,$C153&lt;=BK$8),$E153/_xlpm.DepreciationMonths,0))</f>
        <v>0</v>
      </c>
      <c r="BL153" s="507" cm="1">
        <f t="array" ref="BL153">_xlfn.LET(_xlpm.DepreciationMonths,INDEX(FixedAssets[Depreciation
/ Amortization Months],_xlfn.XMATCH($E$135,FixedAssets[Asset ID])),IF(AND((_xlfn.XMATCH(BL$8,$AH$8:$CC$8))-_xlfn.XMATCH($C153,$C$35:$C$82)+1&lt;=_xlpm.DepreciationMonths,$C153&lt;=BL$8),$E153/_xlpm.DepreciationMonths,0))</f>
        <v>0</v>
      </c>
      <c r="BM153" s="507" cm="1">
        <f t="array" ref="BM153">_xlfn.LET(_xlpm.DepreciationMonths,INDEX(FixedAssets[Depreciation
/ Amortization Months],_xlfn.XMATCH($E$135,FixedAssets[Asset ID])),IF(AND((_xlfn.XMATCH(BM$8,$AH$8:$CC$8))-_xlfn.XMATCH($C153,$C$35:$C$82)+1&lt;=_xlpm.DepreciationMonths,$C153&lt;=BM$8),$E153/_xlpm.DepreciationMonths,0))</f>
        <v>0</v>
      </c>
      <c r="BN153" s="507" cm="1">
        <f t="array" ref="BN153">_xlfn.LET(_xlpm.DepreciationMonths,INDEX(FixedAssets[Depreciation
/ Amortization Months],_xlfn.XMATCH($E$135,FixedAssets[Asset ID])),IF(AND((_xlfn.XMATCH(BN$8,$AH$8:$CC$8))-_xlfn.XMATCH($C153,$C$35:$C$82)+1&lt;=_xlpm.DepreciationMonths,$C153&lt;=BN$8),$E153/_xlpm.DepreciationMonths,0))</f>
        <v>0</v>
      </c>
      <c r="BO153" s="507" cm="1">
        <f t="array" ref="BO153">_xlfn.LET(_xlpm.DepreciationMonths,INDEX(FixedAssets[Depreciation
/ Amortization Months],_xlfn.XMATCH($E$135,FixedAssets[Asset ID])),IF(AND((_xlfn.XMATCH(BO$8,$AH$8:$CC$8))-_xlfn.XMATCH($C153,$C$35:$C$82)+1&lt;=_xlpm.DepreciationMonths,$C153&lt;=BO$8),$E153/_xlpm.DepreciationMonths,0))</f>
        <v>0</v>
      </c>
      <c r="BP153" s="507" cm="1">
        <f t="array" ref="BP153">_xlfn.LET(_xlpm.DepreciationMonths,INDEX(FixedAssets[Depreciation
/ Amortization Months],_xlfn.XMATCH($E$135,FixedAssets[Asset ID])),IF(AND((_xlfn.XMATCH(BP$8,$AH$8:$CC$8))-_xlfn.XMATCH($C153,$C$35:$C$82)+1&lt;=_xlpm.DepreciationMonths,$C153&lt;=BP$8),$E153/_xlpm.DepreciationMonths,0))</f>
        <v>0</v>
      </c>
      <c r="BQ153" s="507" cm="1">
        <f t="array" ref="BQ153">_xlfn.LET(_xlpm.DepreciationMonths,INDEX(FixedAssets[Depreciation
/ Amortization Months],_xlfn.XMATCH($E$135,FixedAssets[Asset ID])),IF(AND((_xlfn.XMATCH(BQ$8,$AH$8:$CC$8))-_xlfn.XMATCH($C153,$C$35:$C$82)+1&lt;=_xlpm.DepreciationMonths,$C153&lt;=BQ$8),$E153/_xlpm.DepreciationMonths,0))</f>
        <v>0</v>
      </c>
      <c r="BR153" s="507" cm="1">
        <f t="array" ref="BR153">_xlfn.LET(_xlpm.DepreciationMonths,INDEX(FixedAssets[Depreciation
/ Amortization Months],_xlfn.XMATCH($E$135,FixedAssets[Asset ID])),IF(AND((_xlfn.XMATCH(BR$8,$AH$8:$CC$8))-_xlfn.XMATCH($C153,$C$35:$C$82)+1&lt;=_xlpm.DepreciationMonths,$C153&lt;=BR$8),$E153/_xlpm.DepreciationMonths,0))</f>
        <v>0</v>
      </c>
      <c r="BS153" s="507" cm="1">
        <f t="array" ref="BS153">_xlfn.LET(_xlpm.DepreciationMonths,INDEX(FixedAssets[Depreciation
/ Amortization Months],_xlfn.XMATCH($E$135,FixedAssets[Asset ID])),IF(AND((_xlfn.XMATCH(BS$8,$AH$8:$CC$8))-_xlfn.XMATCH($C153,$C$35:$C$82)+1&lt;=_xlpm.DepreciationMonths,$C153&lt;=BS$8),$E153/_xlpm.DepreciationMonths,0))</f>
        <v>0</v>
      </c>
      <c r="BT153" s="507" cm="1">
        <f t="array" ref="BT153">_xlfn.LET(_xlpm.DepreciationMonths,INDEX(FixedAssets[Depreciation
/ Amortization Months],_xlfn.XMATCH($E$135,FixedAssets[Asset ID])),IF(AND((_xlfn.XMATCH(BT$8,$AH$8:$CC$8))-_xlfn.XMATCH($C153,$C$35:$C$82)+1&lt;=_xlpm.DepreciationMonths,$C153&lt;=BT$8),$E153/_xlpm.DepreciationMonths,0))</f>
        <v>0</v>
      </c>
      <c r="BU153" s="507" cm="1">
        <f t="array" ref="BU153">_xlfn.LET(_xlpm.DepreciationMonths,INDEX(FixedAssets[Depreciation
/ Amortization Months],_xlfn.XMATCH($E$135,FixedAssets[Asset ID])),IF(AND((_xlfn.XMATCH(BU$8,$AH$8:$CC$8))-_xlfn.XMATCH($C153,$C$35:$C$82)+1&lt;=_xlpm.DepreciationMonths,$C153&lt;=BU$8),$E153/_xlpm.DepreciationMonths,0))</f>
        <v>0</v>
      </c>
      <c r="BV153" s="507" cm="1">
        <f t="array" ref="BV153">_xlfn.LET(_xlpm.DepreciationMonths,INDEX(FixedAssets[Depreciation
/ Amortization Months],_xlfn.XMATCH($E$135,FixedAssets[Asset ID])),IF(AND((_xlfn.XMATCH(BV$8,$AH$8:$CC$8))-_xlfn.XMATCH($C153,$C$35:$C$82)+1&lt;=_xlpm.DepreciationMonths,$C153&lt;=BV$8),$E153/_xlpm.DepreciationMonths,0))</f>
        <v>0</v>
      </c>
      <c r="BW153" s="507" cm="1">
        <f t="array" ref="BW153">_xlfn.LET(_xlpm.DepreciationMonths,INDEX(FixedAssets[Depreciation
/ Amortization Months],_xlfn.XMATCH($E$135,FixedAssets[Asset ID])),IF(AND((_xlfn.XMATCH(BW$8,$AH$8:$CC$8))-_xlfn.XMATCH($C153,$C$35:$C$82)+1&lt;=_xlpm.DepreciationMonths,$C153&lt;=BW$8),$E153/_xlpm.DepreciationMonths,0))</f>
        <v>0</v>
      </c>
      <c r="BX153" s="507" cm="1">
        <f t="array" ref="BX153">_xlfn.LET(_xlpm.DepreciationMonths,INDEX(FixedAssets[Depreciation
/ Amortization Months],_xlfn.XMATCH($E$135,FixedAssets[Asset ID])),IF(AND((_xlfn.XMATCH(BX$8,$AH$8:$CC$8))-_xlfn.XMATCH($C153,$C$35:$C$82)+1&lt;=_xlpm.DepreciationMonths,$C153&lt;=BX$8),$E153/_xlpm.DepreciationMonths,0))</f>
        <v>0</v>
      </c>
      <c r="BY153" s="507" cm="1">
        <f t="array" ref="BY153">_xlfn.LET(_xlpm.DepreciationMonths,INDEX(FixedAssets[Depreciation
/ Amortization Months],_xlfn.XMATCH($E$135,FixedAssets[Asset ID])),IF(AND((_xlfn.XMATCH(BY$8,$AH$8:$CC$8))-_xlfn.XMATCH($C153,$C$35:$C$82)+1&lt;=_xlpm.DepreciationMonths,$C153&lt;=BY$8),$E153/_xlpm.DepreciationMonths,0))</f>
        <v>0</v>
      </c>
      <c r="BZ153" s="507" cm="1">
        <f t="array" ref="BZ153">_xlfn.LET(_xlpm.DepreciationMonths,INDEX(FixedAssets[Depreciation
/ Amortization Months],_xlfn.XMATCH($E$135,FixedAssets[Asset ID])),IF(AND((_xlfn.XMATCH(BZ$8,$AH$8:$CC$8))-_xlfn.XMATCH($C153,$C$35:$C$82)+1&lt;=_xlpm.DepreciationMonths,$C153&lt;=BZ$8),$E153/_xlpm.DepreciationMonths,0))</f>
        <v>0</v>
      </c>
      <c r="CA153" s="507" cm="1">
        <f t="array" ref="CA153">_xlfn.LET(_xlpm.DepreciationMonths,INDEX(FixedAssets[Depreciation
/ Amortization Months],_xlfn.XMATCH($E$135,FixedAssets[Asset ID])),IF(AND((_xlfn.XMATCH(CA$8,$AH$8:$CC$8))-_xlfn.XMATCH($C153,$C$35:$C$82)+1&lt;=_xlpm.DepreciationMonths,$C153&lt;=CA$8),$E153/_xlpm.DepreciationMonths,0))</f>
        <v>0</v>
      </c>
      <c r="CB153" s="507" cm="1">
        <f t="array" ref="CB153">_xlfn.LET(_xlpm.DepreciationMonths,INDEX(FixedAssets[Depreciation
/ Amortization Months],_xlfn.XMATCH($E$135,FixedAssets[Asset ID])),IF(AND((_xlfn.XMATCH(CB$8,$AH$8:$CC$8))-_xlfn.XMATCH($C153,$C$35:$C$82)+1&lt;=_xlpm.DepreciationMonths,$C153&lt;=CB$8),$E153/_xlpm.DepreciationMonths,0))</f>
        <v>0</v>
      </c>
      <c r="CC153" s="507" cm="1">
        <f t="array" ref="CC153">_xlfn.LET(_xlpm.DepreciationMonths,INDEX(FixedAssets[Depreciation
/ Amortization Months],_xlfn.XMATCH($E$135,FixedAssets[Asset ID])),IF(AND((_xlfn.XMATCH(CC$8,$AH$8:$CC$8))-_xlfn.XMATCH($C153,$C$35:$C$82)+1&lt;=_xlpm.DepreciationMonths,$C153&lt;=CC$8),$E153/_xlpm.DepreciationMonths,0))</f>
        <v>0</v>
      </c>
    </row>
    <row r="154" spans="3:81" hidden="1" outlineLevel="2">
      <c r="C154" s="664">
        <f t="shared" si="243"/>
        <v>45473</v>
      </c>
      <c r="D154" s="508"/>
      <c r="E154" s="508" cm="1">
        <f t="array" ref="E154">SUMPRODUCT(($AH$26:$CC$31)*($AH$5:$CC$5=$C154)*($E$26:$E$31=E$135))-SUMPRODUCT(($AH$26:$CC$31)*($AH$5:$CC$5=EOMONTH($C154,-1))*($E$26:$E$31=E$135))</f>
        <v>0</v>
      </c>
      <c r="F154" s="508"/>
      <c r="G154" s="508"/>
      <c r="H154" s="508"/>
      <c r="I154" s="508"/>
      <c r="J154" s="504">
        <f t="shared" si="240"/>
        <v>0</v>
      </c>
      <c r="K154" s="504">
        <f t="shared" si="245"/>
        <v>0</v>
      </c>
      <c r="L154" s="504">
        <f t="shared" si="245"/>
        <v>0</v>
      </c>
      <c r="M154" s="504">
        <f t="shared" si="245"/>
        <v>0</v>
      </c>
      <c r="N154" s="504"/>
      <c r="O154" s="504"/>
      <c r="P154" s="504">
        <f t="shared" si="246"/>
        <v>0</v>
      </c>
      <c r="Q154" s="504">
        <f t="shared" si="246"/>
        <v>0</v>
      </c>
      <c r="R154" s="504">
        <f t="shared" si="246"/>
        <v>0</v>
      </c>
      <c r="S154" s="504">
        <f t="shared" si="246"/>
        <v>0</v>
      </c>
      <c r="T154" s="504">
        <f t="shared" si="246"/>
        <v>0</v>
      </c>
      <c r="U154" s="504">
        <f t="shared" si="246"/>
        <v>0</v>
      </c>
      <c r="V154" s="504">
        <f t="shared" si="246"/>
        <v>0</v>
      </c>
      <c r="W154" s="504">
        <f t="shared" si="246"/>
        <v>0</v>
      </c>
      <c r="X154" s="504">
        <f t="shared" si="246"/>
        <v>0</v>
      </c>
      <c r="Y154" s="504">
        <f t="shared" si="246"/>
        <v>0</v>
      </c>
      <c r="Z154" s="504">
        <f t="shared" si="246"/>
        <v>0</v>
      </c>
      <c r="AA154" s="504">
        <f t="shared" si="246"/>
        <v>0</v>
      </c>
      <c r="AB154" s="504">
        <f t="shared" si="246"/>
        <v>0</v>
      </c>
      <c r="AC154" s="504">
        <f t="shared" si="246"/>
        <v>0</v>
      </c>
      <c r="AD154" s="504">
        <f t="shared" si="246"/>
        <v>0</v>
      </c>
      <c r="AE154" s="504">
        <f t="shared" si="246"/>
        <v>0</v>
      </c>
      <c r="AF154" s="508"/>
      <c r="AG154" s="508"/>
      <c r="AH154" s="507" cm="1">
        <f t="array" ref="AH154">_xlfn.LET(_xlpm.DepreciationMonths,INDEX(FixedAssets[Depreciation
/ Amortization Months],_xlfn.XMATCH($E$135,FixedAssets[Asset ID])),IF(AND((_xlfn.XMATCH(AH$8,$AH$8:$CC$8))-_xlfn.XMATCH($C154,$C$35:$C$82)+1&lt;=_xlpm.DepreciationMonths,$C154&lt;=AH$8),$E154/_xlpm.DepreciationMonths,0))</f>
        <v>0</v>
      </c>
      <c r="AI154" s="507" cm="1">
        <f t="array" ref="AI154">_xlfn.LET(_xlpm.DepreciationMonths,INDEX(FixedAssets[Depreciation
/ Amortization Months],_xlfn.XMATCH($E$135,FixedAssets[Asset ID])),IF(AND((_xlfn.XMATCH(AI$8,$AH$8:$CC$8))-_xlfn.XMATCH($C154,$C$35:$C$82)+1&lt;=_xlpm.DepreciationMonths,$C154&lt;=AI$8),$E154/_xlpm.DepreciationMonths,0))</f>
        <v>0</v>
      </c>
      <c r="AJ154" s="507" cm="1">
        <f t="array" ref="AJ154">_xlfn.LET(_xlpm.DepreciationMonths,INDEX(FixedAssets[Depreciation
/ Amortization Months],_xlfn.XMATCH($E$135,FixedAssets[Asset ID])),IF(AND((_xlfn.XMATCH(AJ$8,$AH$8:$CC$8))-_xlfn.XMATCH($C154,$C$35:$C$82)+1&lt;=_xlpm.DepreciationMonths,$C154&lt;=AJ$8),$E154/_xlpm.DepreciationMonths,0))</f>
        <v>0</v>
      </c>
      <c r="AK154" s="507" cm="1">
        <f t="array" ref="AK154">_xlfn.LET(_xlpm.DepreciationMonths,INDEX(FixedAssets[Depreciation
/ Amortization Months],_xlfn.XMATCH($E$135,FixedAssets[Asset ID])),IF(AND((_xlfn.XMATCH(AK$8,$AH$8:$CC$8))-_xlfn.XMATCH($C154,$C$35:$C$82)+1&lt;=_xlpm.DepreciationMonths,$C154&lt;=AK$8),$E154/_xlpm.DepreciationMonths,0))</f>
        <v>0</v>
      </c>
      <c r="AL154" s="507" cm="1">
        <f t="array" ref="AL154">_xlfn.LET(_xlpm.DepreciationMonths,INDEX(FixedAssets[Depreciation
/ Amortization Months],_xlfn.XMATCH($E$135,FixedAssets[Asset ID])),IF(AND((_xlfn.XMATCH(AL$8,$AH$8:$CC$8))-_xlfn.XMATCH($C154,$C$35:$C$82)+1&lt;=_xlpm.DepreciationMonths,$C154&lt;=AL$8),$E154/_xlpm.DepreciationMonths,0))</f>
        <v>0</v>
      </c>
      <c r="AM154" s="507" cm="1">
        <f t="array" ref="AM154">_xlfn.LET(_xlpm.DepreciationMonths,INDEX(FixedAssets[Depreciation
/ Amortization Months],_xlfn.XMATCH($E$135,FixedAssets[Asset ID])),IF(AND((_xlfn.XMATCH(AM$8,$AH$8:$CC$8))-_xlfn.XMATCH($C154,$C$35:$C$82)+1&lt;=_xlpm.DepreciationMonths,$C154&lt;=AM$8),$E154/_xlpm.DepreciationMonths,0))</f>
        <v>0</v>
      </c>
      <c r="AN154" s="507" cm="1">
        <f t="array" ref="AN154">_xlfn.LET(_xlpm.DepreciationMonths,INDEX(FixedAssets[Depreciation
/ Amortization Months],_xlfn.XMATCH($E$135,FixedAssets[Asset ID])),IF(AND((_xlfn.XMATCH(AN$8,$AH$8:$CC$8))-_xlfn.XMATCH($C154,$C$35:$C$82)+1&lt;=_xlpm.DepreciationMonths,$C154&lt;=AN$8),$E154/_xlpm.DepreciationMonths,0))</f>
        <v>0</v>
      </c>
      <c r="AO154" s="507" cm="1">
        <f t="array" ref="AO154">_xlfn.LET(_xlpm.DepreciationMonths,INDEX(FixedAssets[Depreciation
/ Amortization Months],_xlfn.XMATCH($E$135,FixedAssets[Asset ID])),IF(AND((_xlfn.XMATCH(AO$8,$AH$8:$CC$8))-_xlfn.XMATCH($C154,$C$35:$C$82)+1&lt;=_xlpm.DepreciationMonths,$C154&lt;=AO$8),$E154/_xlpm.DepreciationMonths,0))</f>
        <v>0</v>
      </c>
      <c r="AP154" s="507" cm="1">
        <f t="array" ref="AP154">_xlfn.LET(_xlpm.DepreciationMonths,INDEX(FixedAssets[Depreciation
/ Amortization Months],_xlfn.XMATCH($E$135,FixedAssets[Asset ID])),IF(AND((_xlfn.XMATCH(AP$8,$AH$8:$CC$8))-_xlfn.XMATCH($C154,$C$35:$C$82)+1&lt;=_xlpm.DepreciationMonths,$C154&lt;=AP$8),$E154/_xlpm.DepreciationMonths,0))</f>
        <v>0</v>
      </c>
      <c r="AQ154" s="507" cm="1">
        <f t="array" ref="AQ154">_xlfn.LET(_xlpm.DepreciationMonths,INDEX(FixedAssets[Depreciation
/ Amortization Months],_xlfn.XMATCH($E$135,FixedAssets[Asset ID])),IF(AND((_xlfn.XMATCH(AQ$8,$AH$8:$CC$8))-_xlfn.XMATCH($C154,$C$35:$C$82)+1&lt;=_xlpm.DepreciationMonths,$C154&lt;=AQ$8),$E154/_xlpm.DepreciationMonths,0))</f>
        <v>0</v>
      </c>
      <c r="AR154" s="507" cm="1">
        <f t="array" ref="AR154">_xlfn.LET(_xlpm.DepreciationMonths,INDEX(FixedAssets[Depreciation
/ Amortization Months],_xlfn.XMATCH($E$135,FixedAssets[Asset ID])),IF(AND((_xlfn.XMATCH(AR$8,$AH$8:$CC$8))-_xlfn.XMATCH($C154,$C$35:$C$82)+1&lt;=_xlpm.DepreciationMonths,$C154&lt;=AR$8),$E154/_xlpm.DepreciationMonths,0))</f>
        <v>0</v>
      </c>
      <c r="AS154" s="507" cm="1">
        <f t="array" ref="AS154">_xlfn.LET(_xlpm.DepreciationMonths,INDEX(FixedAssets[Depreciation
/ Amortization Months],_xlfn.XMATCH($E$135,FixedAssets[Asset ID])),IF(AND((_xlfn.XMATCH(AS$8,$AH$8:$CC$8))-_xlfn.XMATCH($C154,$C$35:$C$82)+1&lt;=_xlpm.DepreciationMonths,$C154&lt;=AS$8),$E154/_xlpm.DepreciationMonths,0))</f>
        <v>0</v>
      </c>
      <c r="AT154" s="507" cm="1">
        <f t="array" ref="AT154">_xlfn.LET(_xlpm.DepreciationMonths,INDEX(FixedAssets[Depreciation
/ Amortization Months],_xlfn.XMATCH($E$135,FixedAssets[Asset ID])),IF(AND((_xlfn.XMATCH(AT$8,$AH$8:$CC$8))-_xlfn.XMATCH($C154,$C$35:$C$82)+1&lt;=_xlpm.DepreciationMonths,$C154&lt;=AT$8),$E154/_xlpm.DepreciationMonths,0))</f>
        <v>0</v>
      </c>
      <c r="AU154" s="507" cm="1">
        <f t="array" ref="AU154">_xlfn.LET(_xlpm.DepreciationMonths,INDEX(FixedAssets[Depreciation
/ Amortization Months],_xlfn.XMATCH($E$135,FixedAssets[Asset ID])),IF(AND((_xlfn.XMATCH(AU$8,$AH$8:$CC$8))-_xlfn.XMATCH($C154,$C$35:$C$82)+1&lt;=_xlpm.DepreciationMonths,$C154&lt;=AU$8),$E154/_xlpm.DepreciationMonths,0))</f>
        <v>0</v>
      </c>
      <c r="AV154" s="507" cm="1">
        <f t="array" ref="AV154">_xlfn.LET(_xlpm.DepreciationMonths,INDEX(FixedAssets[Depreciation
/ Amortization Months],_xlfn.XMATCH($E$135,FixedAssets[Asset ID])),IF(AND((_xlfn.XMATCH(AV$8,$AH$8:$CC$8))-_xlfn.XMATCH($C154,$C$35:$C$82)+1&lt;=_xlpm.DepreciationMonths,$C154&lt;=AV$8),$E154/_xlpm.DepreciationMonths,0))</f>
        <v>0</v>
      </c>
      <c r="AW154" s="507" cm="1">
        <f t="array" ref="AW154">_xlfn.LET(_xlpm.DepreciationMonths,INDEX(FixedAssets[Depreciation
/ Amortization Months],_xlfn.XMATCH($E$135,FixedAssets[Asset ID])),IF(AND((_xlfn.XMATCH(AW$8,$AH$8:$CC$8))-_xlfn.XMATCH($C154,$C$35:$C$82)+1&lt;=_xlpm.DepreciationMonths,$C154&lt;=AW$8),$E154/_xlpm.DepreciationMonths,0))</f>
        <v>0</v>
      </c>
      <c r="AX154" s="507" cm="1">
        <f t="array" ref="AX154">_xlfn.LET(_xlpm.DepreciationMonths,INDEX(FixedAssets[Depreciation
/ Amortization Months],_xlfn.XMATCH($E$135,FixedAssets[Asset ID])),IF(AND((_xlfn.XMATCH(AX$8,$AH$8:$CC$8))-_xlfn.XMATCH($C154,$C$35:$C$82)+1&lt;=_xlpm.DepreciationMonths,$C154&lt;=AX$8),$E154/_xlpm.DepreciationMonths,0))</f>
        <v>0</v>
      </c>
      <c r="AY154" s="507" cm="1">
        <f t="array" ref="AY154">_xlfn.LET(_xlpm.DepreciationMonths,INDEX(FixedAssets[Depreciation
/ Amortization Months],_xlfn.XMATCH($E$135,FixedAssets[Asset ID])),IF(AND((_xlfn.XMATCH(AY$8,$AH$8:$CC$8))-_xlfn.XMATCH($C154,$C$35:$C$82)+1&lt;=_xlpm.DepreciationMonths,$C154&lt;=AY$8),$E154/_xlpm.DepreciationMonths,0))</f>
        <v>0</v>
      </c>
      <c r="AZ154" s="507" cm="1">
        <f t="array" ref="AZ154">_xlfn.LET(_xlpm.DepreciationMonths,INDEX(FixedAssets[Depreciation
/ Amortization Months],_xlfn.XMATCH($E$135,FixedAssets[Asset ID])),IF(AND((_xlfn.XMATCH(AZ$8,$AH$8:$CC$8))-_xlfn.XMATCH($C154,$C$35:$C$82)+1&lt;=_xlpm.DepreciationMonths,$C154&lt;=AZ$8),$E154/_xlpm.DepreciationMonths,0))</f>
        <v>0</v>
      </c>
      <c r="BA154" s="507" cm="1">
        <f t="array" ref="BA154">_xlfn.LET(_xlpm.DepreciationMonths,INDEX(FixedAssets[Depreciation
/ Amortization Months],_xlfn.XMATCH($E$135,FixedAssets[Asset ID])),IF(AND((_xlfn.XMATCH(BA$8,$AH$8:$CC$8))-_xlfn.XMATCH($C154,$C$35:$C$82)+1&lt;=_xlpm.DepreciationMonths,$C154&lt;=BA$8),$E154/_xlpm.DepreciationMonths,0))</f>
        <v>0</v>
      </c>
      <c r="BB154" s="507" cm="1">
        <f t="array" ref="BB154">_xlfn.LET(_xlpm.DepreciationMonths,INDEX(FixedAssets[Depreciation
/ Amortization Months],_xlfn.XMATCH($E$135,FixedAssets[Asset ID])),IF(AND((_xlfn.XMATCH(BB$8,$AH$8:$CC$8))-_xlfn.XMATCH($C154,$C$35:$C$82)+1&lt;=_xlpm.DepreciationMonths,$C154&lt;=BB$8),$E154/_xlpm.DepreciationMonths,0))</f>
        <v>0</v>
      </c>
      <c r="BC154" s="507" cm="1">
        <f t="array" ref="BC154">_xlfn.LET(_xlpm.DepreciationMonths,INDEX(FixedAssets[Depreciation
/ Amortization Months],_xlfn.XMATCH($E$135,FixedAssets[Asset ID])),IF(AND((_xlfn.XMATCH(BC$8,$AH$8:$CC$8))-_xlfn.XMATCH($C154,$C$35:$C$82)+1&lt;=_xlpm.DepreciationMonths,$C154&lt;=BC$8),$E154/_xlpm.DepreciationMonths,0))</f>
        <v>0</v>
      </c>
      <c r="BD154" s="507" cm="1">
        <f t="array" ref="BD154">_xlfn.LET(_xlpm.DepreciationMonths,INDEX(FixedAssets[Depreciation
/ Amortization Months],_xlfn.XMATCH($E$135,FixedAssets[Asset ID])),IF(AND((_xlfn.XMATCH(BD$8,$AH$8:$CC$8))-_xlfn.XMATCH($C154,$C$35:$C$82)+1&lt;=_xlpm.DepreciationMonths,$C154&lt;=BD$8),$E154/_xlpm.DepreciationMonths,0))</f>
        <v>0</v>
      </c>
      <c r="BE154" s="507" cm="1">
        <f t="array" ref="BE154">_xlfn.LET(_xlpm.DepreciationMonths,INDEX(FixedAssets[Depreciation
/ Amortization Months],_xlfn.XMATCH($E$135,FixedAssets[Asset ID])),IF(AND((_xlfn.XMATCH(BE$8,$AH$8:$CC$8))-_xlfn.XMATCH($C154,$C$35:$C$82)+1&lt;=_xlpm.DepreciationMonths,$C154&lt;=BE$8),$E154/_xlpm.DepreciationMonths,0))</f>
        <v>0</v>
      </c>
      <c r="BF154" s="507" cm="1">
        <f t="array" ref="BF154">_xlfn.LET(_xlpm.DepreciationMonths,INDEX(FixedAssets[Depreciation
/ Amortization Months],_xlfn.XMATCH($E$135,FixedAssets[Asset ID])),IF(AND((_xlfn.XMATCH(BF$8,$AH$8:$CC$8))-_xlfn.XMATCH($C154,$C$35:$C$82)+1&lt;=_xlpm.DepreciationMonths,$C154&lt;=BF$8),$E154/_xlpm.DepreciationMonths,0))</f>
        <v>0</v>
      </c>
      <c r="BG154" s="507" cm="1">
        <f t="array" ref="BG154">_xlfn.LET(_xlpm.DepreciationMonths,INDEX(FixedAssets[Depreciation
/ Amortization Months],_xlfn.XMATCH($E$135,FixedAssets[Asset ID])),IF(AND((_xlfn.XMATCH(BG$8,$AH$8:$CC$8))-_xlfn.XMATCH($C154,$C$35:$C$82)+1&lt;=_xlpm.DepreciationMonths,$C154&lt;=BG$8),$E154/_xlpm.DepreciationMonths,0))</f>
        <v>0</v>
      </c>
      <c r="BH154" s="507" cm="1">
        <f t="array" ref="BH154">_xlfn.LET(_xlpm.DepreciationMonths,INDEX(FixedAssets[Depreciation
/ Amortization Months],_xlfn.XMATCH($E$135,FixedAssets[Asset ID])),IF(AND((_xlfn.XMATCH(BH$8,$AH$8:$CC$8))-_xlfn.XMATCH($C154,$C$35:$C$82)+1&lt;=_xlpm.DepreciationMonths,$C154&lt;=BH$8),$E154/_xlpm.DepreciationMonths,0))</f>
        <v>0</v>
      </c>
      <c r="BI154" s="507" cm="1">
        <f t="array" ref="BI154">_xlfn.LET(_xlpm.DepreciationMonths,INDEX(FixedAssets[Depreciation
/ Amortization Months],_xlfn.XMATCH($E$135,FixedAssets[Asset ID])),IF(AND((_xlfn.XMATCH(BI$8,$AH$8:$CC$8))-_xlfn.XMATCH($C154,$C$35:$C$82)+1&lt;=_xlpm.DepreciationMonths,$C154&lt;=BI$8),$E154/_xlpm.DepreciationMonths,0))</f>
        <v>0</v>
      </c>
      <c r="BJ154" s="507" cm="1">
        <f t="array" ref="BJ154">_xlfn.LET(_xlpm.DepreciationMonths,INDEX(FixedAssets[Depreciation
/ Amortization Months],_xlfn.XMATCH($E$135,FixedAssets[Asset ID])),IF(AND((_xlfn.XMATCH(BJ$8,$AH$8:$CC$8))-_xlfn.XMATCH($C154,$C$35:$C$82)+1&lt;=_xlpm.DepreciationMonths,$C154&lt;=BJ$8),$E154/_xlpm.DepreciationMonths,0))</f>
        <v>0</v>
      </c>
      <c r="BK154" s="507" cm="1">
        <f t="array" ref="BK154">_xlfn.LET(_xlpm.DepreciationMonths,INDEX(FixedAssets[Depreciation
/ Amortization Months],_xlfn.XMATCH($E$135,FixedAssets[Asset ID])),IF(AND((_xlfn.XMATCH(BK$8,$AH$8:$CC$8))-_xlfn.XMATCH($C154,$C$35:$C$82)+1&lt;=_xlpm.DepreciationMonths,$C154&lt;=BK$8),$E154/_xlpm.DepreciationMonths,0))</f>
        <v>0</v>
      </c>
      <c r="BL154" s="507" cm="1">
        <f t="array" ref="BL154">_xlfn.LET(_xlpm.DepreciationMonths,INDEX(FixedAssets[Depreciation
/ Amortization Months],_xlfn.XMATCH($E$135,FixedAssets[Asset ID])),IF(AND((_xlfn.XMATCH(BL$8,$AH$8:$CC$8))-_xlfn.XMATCH($C154,$C$35:$C$82)+1&lt;=_xlpm.DepreciationMonths,$C154&lt;=BL$8),$E154/_xlpm.DepreciationMonths,0))</f>
        <v>0</v>
      </c>
      <c r="BM154" s="507" cm="1">
        <f t="array" ref="BM154">_xlfn.LET(_xlpm.DepreciationMonths,INDEX(FixedAssets[Depreciation
/ Amortization Months],_xlfn.XMATCH($E$135,FixedAssets[Asset ID])),IF(AND((_xlfn.XMATCH(BM$8,$AH$8:$CC$8))-_xlfn.XMATCH($C154,$C$35:$C$82)+1&lt;=_xlpm.DepreciationMonths,$C154&lt;=BM$8),$E154/_xlpm.DepreciationMonths,0))</f>
        <v>0</v>
      </c>
      <c r="BN154" s="507" cm="1">
        <f t="array" ref="BN154">_xlfn.LET(_xlpm.DepreciationMonths,INDEX(FixedAssets[Depreciation
/ Amortization Months],_xlfn.XMATCH($E$135,FixedAssets[Asset ID])),IF(AND((_xlfn.XMATCH(BN$8,$AH$8:$CC$8))-_xlfn.XMATCH($C154,$C$35:$C$82)+1&lt;=_xlpm.DepreciationMonths,$C154&lt;=BN$8),$E154/_xlpm.DepreciationMonths,0))</f>
        <v>0</v>
      </c>
      <c r="BO154" s="507" cm="1">
        <f t="array" ref="BO154">_xlfn.LET(_xlpm.DepreciationMonths,INDEX(FixedAssets[Depreciation
/ Amortization Months],_xlfn.XMATCH($E$135,FixedAssets[Asset ID])),IF(AND((_xlfn.XMATCH(BO$8,$AH$8:$CC$8))-_xlfn.XMATCH($C154,$C$35:$C$82)+1&lt;=_xlpm.DepreciationMonths,$C154&lt;=BO$8),$E154/_xlpm.DepreciationMonths,0))</f>
        <v>0</v>
      </c>
      <c r="BP154" s="507" cm="1">
        <f t="array" ref="BP154">_xlfn.LET(_xlpm.DepreciationMonths,INDEX(FixedAssets[Depreciation
/ Amortization Months],_xlfn.XMATCH($E$135,FixedAssets[Asset ID])),IF(AND((_xlfn.XMATCH(BP$8,$AH$8:$CC$8))-_xlfn.XMATCH($C154,$C$35:$C$82)+1&lt;=_xlpm.DepreciationMonths,$C154&lt;=BP$8),$E154/_xlpm.DepreciationMonths,0))</f>
        <v>0</v>
      </c>
      <c r="BQ154" s="507" cm="1">
        <f t="array" ref="BQ154">_xlfn.LET(_xlpm.DepreciationMonths,INDEX(FixedAssets[Depreciation
/ Amortization Months],_xlfn.XMATCH($E$135,FixedAssets[Asset ID])),IF(AND((_xlfn.XMATCH(BQ$8,$AH$8:$CC$8))-_xlfn.XMATCH($C154,$C$35:$C$82)+1&lt;=_xlpm.DepreciationMonths,$C154&lt;=BQ$8),$E154/_xlpm.DepreciationMonths,0))</f>
        <v>0</v>
      </c>
      <c r="BR154" s="507" cm="1">
        <f t="array" ref="BR154">_xlfn.LET(_xlpm.DepreciationMonths,INDEX(FixedAssets[Depreciation
/ Amortization Months],_xlfn.XMATCH($E$135,FixedAssets[Asset ID])),IF(AND((_xlfn.XMATCH(BR$8,$AH$8:$CC$8))-_xlfn.XMATCH($C154,$C$35:$C$82)+1&lt;=_xlpm.DepreciationMonths,$C154&lt;=BR$8),$E154/_xlpm.DepreciationMonths,0))</f>
        <v>0</v>
      </c>
      <c r="BS154" s="507" cm="1">
        <f t="array" ref="BS154">_xlfn.LET(_xlpm.DepreciationMonths,INDEX(FixedAssets[Depreciation
/ Amortization Months],_xlfn.XMATCH($E$135,FixedAssets[Asset ID])),IF(AND((_xlfn.XMATCH(BS$8,$AH$8:$CC$8))-_xlfn.XMATCH($C154,$C$35:$C$82)+1&lt;=_xlpm.DepreciationMonths,$C154&lt;=BS$8),$E154/_xlpm.DepreciationMonths,0))</f>
        <v>0</v>
      </c>
      <c r="BT154" s="507" cm="1">
        <f t="array" ref="BT154">_xlfn.LET(_xlpm.DepreciationMonths,INDEX(FixedAssets[Depreciation
/ Amortization Months],_xlfn.XMATCH($E$135,FixedAssets[Asset ID])),IF(AND((_xlfn.XMATCH(BT$8,$AH$8:$CC$8))-_xlfn.XMATCH($C154,$C$35:$C$82)+1&lt;=_xlpm.DepreciationMonths,$C154&lt;=BT$8),$E154/_xlpm.DepreciationMonths,0))</f>
        <v>0</v>
      </c>
      <c r="BU154" s="507" cm="1">
        <f t="array" ref="BU154">_xlfn.LET(_xlpm.DepreciationMonths,INDEX(FixedAssets[Depreciation
/ Amortization Months],_xlfn.XMATCH($E$135,FixedAssets[Asset ID])),IF(AND((_xlfn.XMATCH(BU$8,$AH$8:$CC$8))-_xlfn.XMATCH($C154,$C$35:$C$82)+1&lt;=_xlpm.DepreciationMonths,$C154&lt;=BU$8),$E154/_xlpm.DepreciationMonths,0))</f>
        <v>0</v>
      </c>
      <c r="BV154" s="507" cm="1">
        <f t="array" ref="BV154">_xlfn.LET(_xlpm.DepreciationMonths,INDEX(FixedAssets[Depreciation
/ Amortization Months],_xlfn.XMATCH($E$135,FixedAssets[Asset ID])),IF(AND((_xlfn.XMATCH(BV$8,$AH$8:$CC$8))-_xlfn.XMATCH($C154,$C$35:$C$82)+1&lt;=_xlpm.DepreciationMonths,$C154&lt;=BV$8),$E154/_xlpm.DepreciationMonths,0))</f>
        <v>0</v>
      </c>
      <c r="BW154" s="507" cm="1">
        <f t="array" ref="BW154">_xlfn.LET(_xlpm.DepreciationMonths,INDEX(FixedAssets[Depreciation
/ Amortization Months],_xlfn.XMATCH($E$135,FixedAssets[Asset ID])),IF(AND((_xlfn.XMATCH(BW$8,$AH$8:$CC$8))-_xlfn.XMATCH($C154,$C$35:$C$82)+1&lt;=_xlpm.DepreciationMonths,$C154&lt;=BW$8),$E154/_xlpm.DepreciationMonths,0))</f>
        <v>0</v>
      </c>
      <c r="BX154" s="507" cm="1">
        <f t="array" ref="BX154">_xlfn.LET(_xlpm.DepreciationMonths,INDEX(FixedAssets[Depreciation
/ Amortization Months],_xlfn.XMATCH($E$135,FixedAssets[Asset ID])),IF(AND((_xlfn.XMATCH(BX$8,$AH$8:$CC$8))-_xlfn.XMATCH($C154,$C$35:$C$82)+1&lt;=_xlpm.DepreciationMonths,$C154&lt;=BX$8),$E154/_xlpm.DepreciationMonths,0))</f>
        <v>0</v>
      </c>
      <c r="BY154" s="507" cm="1">
        <f t="array" ref="BY154">_xlfn.LET(_xlpm.DepreciationMonths,INDEX(FixedAssets[Depreciation
/ Amortization Months],_xlfn.XMATCH($E$135,FixedAssets[Asset ID])),IF(AND((_xlfn.XMATCH(BY$8,$AH$8:$CC$8))-_xlfn.XMATCH($C154,$C$35:$C$82)+1&lt;=_xlpm.DepreciationMonths,$C154&lt;=BY$8),$E154/_xlpm.DepreciationMonths,0))</f>
        <v>0</v>
      </c>
      <c r="BZ154" s="507" cm="1">
        <f t="array" ref="BZ154">_xlfn.LET(_xlpm.DepreciationMonths,INDEX(FixedAssets[Depreciation
/ Amortization Months],_xlfn.XMATCH($E$135,FixedAssets[Asset ID])),IF(AND((_xlfn.XMATCH(BZ$8,$AH$8:$CC$8))-_xlfn.XMATCH($C154,$C$35:$C$82)+1&lt;=_xlpm.DepreciationMonths,$C154&lt;=BZ$8),$E154/_xlpm.DepreciationMonths,0))</f>
        <v>0</v>
      </c>
      <c r="CA154" s="507" cm="1">
        <f t="array" ref="CA154">_xlfn.LET(_xlpm.DepreciationMonths,INDEX(FixedAssets[Depreciation
/ Amortization Months],_xlfn.XMATCH($E$135,FixedAssets[Asset ID])),IF(AND((_xlfn.XMATCH(CA$8,$AH$8:$CC$8))-_xlfn.XMATCH($C154,$C$35:$C$82)+1&lt;=_xlpm.DepreciationMonths,$C154&lt;=CA$8),$E154/_xlpm.DepreciationMonths,0))</f>
        <v>0</v>
      </c>
      <c r="CB154" s="507" cm="1">
        <f t="array" ref="CB154">_xlfn.LET(_xlpm.DepreciationMonths,INDEX(FixedAssets[Depreciation
/ Amortization Months],_xlfn.XMATCH($E$135,FixedAssets[Asset ID])),IF(AND((_xlfn.XMATCH(CB$8,$AH$8:$CC$8))-_xlfn.XMATCH($C154,$C$35:$C$82)+1&lt;=_xlpm.DepreciationMonths,$C154&lt;=CB$8),$E154/_xlpm.DepreciationMonths,0))</f>
        <v>0</v>
      </c>
      <c r="CC154" s="507" cm="1">
        <f t="array" ref="CC154">_xlfn.LET(_xlpm.DepreciationMonths,INDEX(FixedAssets[Depreciation
/ Amortization Months],_xlfn.XMATCH($E$135,FixedAssets[Asset ID])),IF(AND((_xlfn.XMATCH(CC$8,$AH$8:$CC$8))-_xlfn.XMATCH($C154,$C$35:$C$82)+1&lt;=_xlpm.DepreciationMonths,$C154&lt;=CC$8),$E154/_xlpm.DepreciationMonths,0))</f>
        <v>0</v>
      </c>
    </row>
    <row r="155" spans="3:81" hidden="1" outlineLevel="2">
      <c r="C155" s="664">
        <f t="shared" si="243"/>
        <v>45504</v>
      </c>
      <c r="D155" s="508"/>
      <c r="E155" s="508" cm="1">
        <f t="array" ref="E155">SUMPRODUCT(($AH$26:$CC$31)*($AH$5:$CC$5=$C155)*($E$26:$E$31=E$135))-SUMPRODUCT(($AH$26:$CC$31)*($AH$5:$CC$5=EOMONTH($C155,-1))*($E$26:$E$31=E$135))</f>
        <v>0</v>
      </c>
      <c r="F155" s="508"/>
      <c r="G155" s="508"/>
      <c r="H155" s="508"/>
      <c r="I155" s="508"/>
      <c r="J155" s="504">
        <f t="shared" si="240"/>
        <v>0</v>
      </c>
      <c r="K155" s="504">
        <f t="shared" si="245"/>
        <v>0</v>
      </c>
      <c r="L155" s="504">
        <f t="shared" si="245"/>
        <v>0</v>
      </c>
      <c r="M155" s="504">
        <f t="shared" si="245"/>
        <v>0</v>
      </c>
      <c r="N155" s="504"/>
      <c r="O155" s="504"/>
      <c r="P155" s="504">
        <f t="shared" si="246"/>
        <v>0</v>
      </c>
      <c r="Q155" s="504">
        <f t="shared" si="246"/>
        <v>0</v>
      </c>
      <c r="R155" s="504">
        <f t="shared" si="246"/>
        <v>0</v>
      </c>
      <c r="S155" s="504">
        <f t="shared" si="246"/>
        <v>0</v>
      </c>
      <c r="T155" s="504">
        <f t="shared" si="246"/>
        <v>0</v>
      </c>
      <c r="U155" s="504">
        <f t="shared" si="246"/>
        <v>0</v>
      </c>
      <c r="V155" s="504">
        <f t="shared" si="246"/>
        <v>0</v>
      </c>
      <c r="W155" s="504">
        <f t="shared" si="246"/>
        <v>0</v>
      </c>
      <c r="X155" s="504">
        <f t="shared" si="246"/>
        <v>0</v>
      </c>
      <c r="Y155" s="504">
        <f t="shared" si="246"/>
        <v>0</v>
      </c>
      <c r="Z155" s="504">
        <f t="shared" si="246"/>
        <v>0</v>
      </c>
      <c r="AA155" s="504">
        <f t="shared" si="246"/>
        <v>0</v>
      </c>
      <c r="AB155" s="504">
        <f t="shared" si="246"/>
        <v>0</v>
      </c>
      <c r="AC155" s="504">
        <f t="shared" si="246"/>
        <v>0</v>
      </c>
      <c r="AD155" s="504">
        <f t="shared" si="246"/>
        <v>0</v>
      </c>
      <c r="AE155" s="504">
        <f t="shared" si="246"/>
        <v>0</v>
      </c>
      <c r="AF155" s="508"/>
      <c r="AG155" s="508"/>
      <c r="AH155" s="507" cm="1">
        <f t="array" ref="AH155">_xlfn.LET(_xlpm.DepreciationMonths,INDEX(FixedAssets[Depreciation
/ Amortization Months],_xlfn.XMATCH($E$135,FixedAssets[Asset ID])),IF(AND((_xlfn.XMATCH(AH$8,$AH$8:$CC$8))-_xlfn.XMATCH($C155,$C$35:$C$82)+1&lt;=_xlpm.DepreciationMonths,$C155&lt;=AH$8),$E155/_xlpm.DepreciationMonths,0))</f>
        <v>0</v>
      </c>
      <c r="AI155" s="507" cm="1">
        <f t="array" ref="AI155">_xlfn.LET(_xlpm.DepreciationMonths,INDEX(FixedAssets[Depreciation
/ Amortization Months],_xlfn.XMATCH($E$135,FixedAssets[Asset ID])),IF(AND((_xlfn.XMATCH(AI$8,$AH$8:$CC$8))-_xlfn.XMATCH($C155,$C$35:$C$82)+1&lt;=_xlpm.DepreciationMonths,$C155&lt;=AI$8),$E155/_xlpm.DepreciationMonths,0))</f>
        <v>0</v>
      </c>
      <c r="AJ155" s="507" cm="1">
        <f t="array" ref="AJ155">_xlfn.LET(_xlpm.DepreciationMonths,INDEX(FixedAssets[Depreciation
/ Amortization Months],_xlfn.XMATCH($E$135,FixedAssets[Asset ID])),IF(AND((_xlfn.XMATCH(AJ$8,$AH$8:$CC$8))-_xlfn.XMATCH($C155,$C$35:$C$82)+1&lt;=_xlpm.DepreciationMonths,$C155&lt;=AJ$8),$E155/_xlpm.DepreciationMonths,0))</f>
        <v>0</v>
      </c>
      <c r="AK155" s="507" cm="1">
        <f t="array" ref="AK155">_xlfn.LET(_xlpm.DepreciationMonths,INDEX(FixedAssets[Depreciation
/ Amortization Months],_xlfn.XMATCH($E$135,FixedAssets[Asset ID])),IF(AND((_xlfn.XMATCH(AK$8,$AH$8:$CC$8))-_xlfn.XMATCH($C155,$C$35:$C$82)+1&lt;=_xlpm.DepreciationMonths,$C155&lt;=AK$8),$E155/_xlpm.DepreciationMonths,0))</f>
        <v>0</v>
      </c>
      <c r="AL155" s="507" cm="1">
        <f t="array" ref="AL155">_xlfn.LET(_xlpm.DepreciationMonths,INDEX(FixedAssets[Depreciation
/ Amortization Months],_xlfn.XMATCH($E$135,FixedAssets[Asset ID])),IF(AND((_xlfn.XMATCH(AL$8,$AH$8:$CC$8))-_xlfn.XMATCH($C155,$C$35:$C$82)+1&lt;=_xlpm.DepreciationMonths,$C155&lt;=AL$8),$E155/_xlpm.DepreciationMonths,0))</f>
        <v>0</v>
      </c>
      <c r="AM155" s="507" cm="1">
        <f t="array" ref="AM155">_xlfn.LET(_xlpm.DepreciationMonths,INDEX(FixedAssets[Depreciation
/ Amortization Months],_xlfn.XMATCH($E$135,FixedAssets[Asset ID])),IF(AND((_xlfn.XMATCH(AM$8,$AH$8:$CC$8))-_xlfn.XMATCH($C155,$C$35:$C$82)+1&lt;=_xlpm.DepreciationMonths,$C155&lt;=AM$8),$E155/_xlpm.DepreciationMonths,0))</f>
        <v>0</v>
      </c>
      <c r="AN155" s="507" cm="1">
        <f t="array" ref="AN155">_xlfn.LET(_xlpm.DepreciationMonths,INDEX(FixedAssets[Depreciation
/ Amortization Months],_xlfn.XMATCH($E$135,FixedAssets[Asset ID])),IF(AND((_xlfn.XMATCH(AN$8,$AH$8:$CC$8))-_xlfn.XMATCH($C155,$C$35:$C$82)+1&lt;=_xlpm.DepreciationMonths,$C155&lt;=AN$8),$E155/_xlpm.DepreciationMonths,0))</f>
        <v>0</v>
      </c>
      <c r="AO155" s="507" cm="1">
        <f t="array" ref="AO155">_xlfn.LET(_xlpm.DepreciationMonths,INDEX(FixedAssets[Depreciation
/ Amortization Months],_xlfn.XMATCH($E$135,FixedAssets[Asset ID])),IF(AND((_xlfn.XMATCH(AO$8,$AH$8:$CC$8))-_xlfn.XMATCH($C155,$C$35:$C$82)+1&lt;=_xlpm.DepreciationMonths,$C155&lt;=AO$8),$E155/_xlpm.DepreciationMonths,0))</f>
        <v>0</v>
      </c>
      <c r="AP155" s="507" cm="1">
        <f t="array" ref="AP155">_xlfn.LET(_xlpm.DepreciationMonths,INDEX(FixedAssets[Depreciation
/ Amortization Months],_xlfn.XMATCH($E$135,FixedAssets[Asset ID])),IF(AND((_xlfn.XMATCH(AP$8,$AH$8:$CC$8))-_xlfn.XMATCH($C155,$C$35:$C$82)+1&lt;=_xlpm.DepreciationMonths,$C155&lt;=AP$8),$E155/_xlpm.DepreciationMonths,0))</f>
        <v>0</v>
      </c>
      <c r="AQ155" s="507" cm="1">
        <f t="array" ref="AQ155">_xlfn.LET(_xlpm.DepreciationMonths,INDEX(FixedAssets[Depreciation
/ Amortization Months],_xlfn.XMATCH($E$135,FixedAssets[Asset ID])),IF(AND((_xlfn.XMATCH(AQ$8,$AH$8:$CC$8))-_xlfn.XMATCH($C155,$C$35:$C$82)+1&lt;=_xlpm.DepreciationMonths,$C155&lt;=AQ$8),$E155/_xlpm.DepreciationMonths,0))</f>
        <v>0</v>
      </c>
      <c r="AR155" s="507" cm="1">
        <f t="array" ref="AR155">_xlfn.LET(_xlpm.DepreciationMonths,INDEX(FixedAssets[Depreciation
/ Amortization Months],_xlfn.XMATCH($E$135,FixedAssets[Asset ID])),IF(AND((_xlfn.XMATCH(AR$8,$AH$8:$CC$8))-_xlfn.XMATCH($C155,$C$35:$C$82)+1&lt;=_xlpm.DepreciationMonths,$C155&lt;=AR$8),$E155/_xlpm.DepreciationMonths,0))</f>
        <v>0</v>
      </c>
      <c r="AS155" s="507" cm="1">
        <f t="array" ref="AS155">_xlfn.LET(_xlpm.DepreciationMonths,INDEX(FixedAssets[Depreciation
/ Amortization Months],_xlfn.XMATCH($E$135,FixedAssets[Asset ID])),IF(AND((_xlfn.XMATCH(AS$8,$AH$8:$CC$8))-_xlfn.XMATCH($C155,$C$35:$C$82)+1&lt;=_xlpm.DepreciationMonths,$C155&lt;=AS$8),$E155/_xlpm.DepreciationMonths,0))</f>
        <v>0</v>
      </c>
      <c r="AT155" s="507" cm="1">
        <f t="array" ref="AT155">_xlfn.LET(_xlpm.DepreciationMonths,INDEX(FixedAssets[Depreciation
/ Amortization Months],_xlfn.XMATCH($E$135,FixedAssets[Asset ID])),IF(AND((_xlfn.XMATCH(AT$8,$AH$8:$CC$8))-_xlfn.XMATCH($C155,$C$35:$C$82)+1&lt;=_xlpm.DepreciationMonths,$C155&lt;=AT$8),$E155/_xlpm.DepreciationMonths,0))</f>
        <v>0</v>
      </c>
      <c r="AU155" s="507" cm="1">
        <f t="array" ref="AU155">_xlfn.LET(_xlpm.DepreciationMonths,INDEX(FixedAssets[Depreciation
/ Amortization Months],_xlfn.XMATCH($E$135,FixedAssets[Asset ID])),IF(AND((_xlfn.XMATCH(AU$8,$AH$8:$CC$8))-_xlfn.XMATCH($C155,$C$35:$C$82)+1&lt;=_xlpm.DepreciationMonths,$C155&lt;=AU$8),$E155/_xlpm.DepreciationMonths,0))</f>
        <v>0</v>
      </c>
      <c r="AV155" s="507" cm="1">
        <f t="array" ref="AV155">_xlfn.LET(_xlpm.DepreciationMonths,INDEX(FixedAssets[Depreciation
/ Amortization Months],_xlfn.XMATCH($E$135,FixedAssets[Asset ID])),IF(AND((_xlfn.XMATCH(AV$8,$AH$8:$CC$8))-_xlfn.XMATCH($C155,$C$35:$C$82)+1&lt;=_xlpm.DepreciationMonths,$C155&lt;=AV$8),$E155/_xlpm.DepreciationMonths,0))</f>
        <v>0</v>
      </c>
      <c r="AW155" s="507" cm="1">
        <f t="array" ref="AW155">_xlfn.LET(_xlpm.DepreciationMonths,INDEX(FixedAssets[Depreciation
/ Amortization Months],_xlfn.XMATCH($E$135,FixedAssets[Asset ID])),IF(AND((_xlfn.XMATCH(AW$8,$AH$8:$CC$8))-_xlfn.XMATCH($C155,$C$35:$C$82)+1&lt;=_xlpm.DepreciationMonths,$C155&lt;=AW$8),$E155/_xlpm.DepreciationMonths,0))</f>
        <v>0</v>
      </c>
      <c r="AX155" s="507" cm="1">
        <f t="array" ref="AX155">_xlfn.LET(_xlpm.DepreciationMonths,INDEX(FixedAssets[Depreciation
/ Amortization Months],_xlfn.XMATCH($E$135,FixedAssets[Asset ID])),IF(AND((_xlfn.XMATCH(AX$8,$AH$8:$CC$8))-_xlfn.XMATCH($C155,$C$35:$C$82)+1&lt;=_xlpm.DepreciationMonths,$C155&lt;=AX$8),$E155/_xlpm.DepreciationMonths,0))</f>
        <v>0</v>
      </c>
      <c r="AY155" s="507" cm="1">
        <f t="array" ref="AY155">_xlfn.LET(_xlpm.DepreciationMonths,INDEX(FixedAssets[Depreciation
/ Amortization Months],_xlfn.XMATCH($E$135,FixedAssets[Asset ID])),IF(AND((_xlfn.XMATCH(AY$8,$AH$8:$CC$8))-_xlfn.XMATCH($C155,$C$35:$C$82)+1&lt;=_xlpm.DepreciationMonths,$C155&lt;=AY$8),$E155/_xlpm.DepreciationMonths,0))</f>
        <v>0</v>
      </c>
      <c r="AZ155" s="507" cm="1">
        <f t="array" ref="AZ155">_xlfn.LET(_xlpm.DepreciationMonths,INDEX(FixedAssets[Depreciation
/ Amortization Months],_xlfn.XMATCH($E$135,FixedAssets[Asset ID])),IF(AND((_xlfn.XMATCH(AZ$8,$AH$8:$CC$8))-_xlfn.XMATCH($C155,$C$35:$C$82)+1&lt;=_xlpm.DepreciationMonths,$C155&lt;=AZ$8),$E155/_xlpm.DepreciationMonths,0))</f>
        <v>0</v>
      </c>
      <c r="BA155" s="507" cm="1">
        <f t="array" ref="BA155">_xlfn.LET(_xlpm.DepreciationMonths,INDEX(FixedAssets[Depreciation
/ Amortization Months],_xlfn.XMATCH($E$135,FixedAssets[Asset ID])),IF(AND((_xlfn.XMATCH(BA$8,$AH$8:$CC$8))-_xlfn.XMATCH($C155,$C$35:$C$82)+1&lt;=_xlpm.DepreciationMonths,$C155&lt;=BA$8),$E155/_xlpm.DepreciationMonths,0))</f>
        <v>0</v>
      </c>
      <c r="BB155" s="507" cm="1">
        <f t="array" ref="BB155">_xlfn.LET(_xlpm.DepreciationMonths,INDEX(FixedAssets[Depreciation
/ Amortization Months],_xlfn.XMATCH($E$135,FixedAssets[Asset ID])),IF(AND((_xlfn.XMATCH(BB$8,$AH$8:$CC$8))-_xlfn.XMATCH($C155,$C$35:$C$82)+1&lt;=_xlpm.DepreciationMonths,$C155&lt;=BB$8),$E155/_xlpm.DepreciationMonths,0))</f>
        <v>0</v>
      </c>
      <c r="BC155" s="507" cm="1">
        <f t="array" ref="BC155">_xlfn.LET(_xlpm.DepreciationMonths,INDEX(FixedAssets[Depreciation
/ Amortization Months],_xlfn.XMATCH($E$135,FixedAssets[Asset ID])),IF(AND((_xlfn.XMATCH(BC$8,$AH$8:$CC$8))-_xlfn.XMATCH($C155,$C$35:$C$82)+1&lt;=_xlpm.DepreciationMonths,$C155&lt;=BC$8),$E155/_xlpm.DepreciationMonths,0))</f>
        <v>0</v>
      </c>
      <c r="BD155" s="507" cm="1">
        <f t="array" ref="BD155">_xlfn.LET(_xlpm.DepreciationMonths,INDEX(FixedAssets[Depreciation
/ Amortization Months],_xlfn.XMATCH($E$135,FixedAssets[Asset ID])),IF(AND((_xlfn.XMATCH(BD$8,$AH$8:$CC$8))-_xlfn.XMATCH($C155,$C$35:$C$82)+1&lt;=_xlpm.DepreciationMonths,$C155&lt;=BD$8),$E155/_xlpm.DepreciationMonths,0))</f>
        <v>0</v>
      </c>
      <c r="BE155" s="507" cm="1">
        <f t="array" ref="BE155">_xlfn.LET(_xlpm.DepreciationMonths,INDEX(FixedAssets[Depreciation
/ Amortization Months],_xlfn.XMATCH($E$135,FixedAssets[Asset ID])),IF(AND((_xlfn.XMATCH(BE$8,$AH$8:$CC$8))-_xlfn.XMATCH($C155,$C$35:$C$82)+1&lt;=_xlpm.DepreciationMonths,$C155&lt;=BE$8),$E155/_xlpm.DepreciationMonths,0))</f>
        <v>0</v>
      </c>
      <c r="BF155" s="507" cm="1">
        <f t="array" ref="BF155">_xlfn.LET(_xlpm.DepreciationMonths,INDEX(FixedAssets[Depreciation
/ Amortization Months],_xlfn.XMATCH($E$135,FixedAssets[Asset ID])),IF(AND((_xlfn.XMATCH(BF$8,$AH$8:$CC$8))-_xlfn.XMATCH($C155,$C$35:$C$82)+1&lt;=_xlpm.DepreciationMonths,$C155&lt;=BF$8),$E155/_xlpm.DepreciationMonths,0))</f>
        <v>0</v>
      </c>
      <c r="BG155" s="507" cm="1">
        <f t="array" ref="BG155">_xlfn.LET(_xlpm.DepreciationMonths,INDEX(FixedAssets[Depreciation
/ Amortization Months],_xlfn.XMATCH($E$135,FixedAssets[Asset ID])),IF(AND((_xlfn.XMATCH(BG$8,$AH$8:$CC$8))-_xlfn.XMATCH($C155,$C$35:$C$82)+1&lt;=_xlpm.DepreciationMonths,$C155&lt;=BG$8),$E155/_xlpm.DepreciationMonths,0))</f>
        <v>0</v>
      </c>
      <c r="BH155" s="507" cm="1">
        <f t="array" ref="BH155">_xlfn.LET(_xlpm.DepreciationMonths,INDEX(FixedAssets[Depreciation
/ Amortization Months],_xlfn.XMATCH($E$135,FixedAssets[Asset ID])),IF(AND((_xlfn.XMATCH(BH$8,$AH$8:$CC$8))-_xlfn.XMATCH($C155,$C$35:$C$82)+1&lt;=_xlpm.DepreciationMonths,$C155&lt;=BH$8),$E155/_xlpm.DepreciationMonths,0))</f>
        <v>0</v>
      </c>
      <c r="BI155" s="507" cm="1">
        <f t="array" ref="BI155">_xlfn.LET(_xlpm.DepreciationMonths,INDEX(FixedAssets[Depreciation
/ Amortization Months],_xlfn.XMATCH($E$135,FixedAssets[Asset ID])),IF(AND((_xlfn.XMATCH(BI$8,$AH$8:$CC$8))-_xlfn.XMATCH($C155,$C$35:$C$82)+1&lt;=_xlpm.DepreciationMonths,$C155&lt;=BI$8),$E155/_xlpm.DepreciationMonths,0))</f>
        <v>0</v>
      </c>
      <c r="BJ155" s="507" cm="1">
        <f t="array" ref="BJ155">_xlfn.LET(_xlpm.DepreciationMonths,INDEX(FixedAssets[Depreciation
/ Amortization Months],_xlfn.XMATCH($E$135,FixedAssets[Asset ID])),IF(AND((_xlfn.XMATCH(BJ$8,$AH$8:$CC$8))-_xlfn.XMATCH($C155,$C$35:$C$82)+1&lt;=_xlpm.DepreciationMonths,$C155&lt;=BJ$8),$E155/_xlpm.DepreciationMonths,0))</f>
        <v>0</v>
      </c>
      <c r="BK155" s="507" cm="1">
        <f t="array" ref="BK155">_xlfn.LET(_xlpm.DepreciationMonths,INDEX(FixedAssets[Depreciation
/ Amortization Months],_xlfn.XMATCH($E$135,FixedAssets[Asset ID])),IF(AND((_xlfn.XMATCH(BK$8,$AH$8:$CC$8))-_xlfn.XMATCH($C155,$C$35:$C$82)+1&lt;=_xlpm.DepreciationMonths,$C155&lt;=BK$8),$E155/_xlpm.DepreciationMonths,0))</f>
        <v>0</v>
      </c>
      <c r="BL155" s="507" cm="1">
        <f t="array" ref="BL155">_xlfn.LET(_xlpm.DepreciationMonths,INDEX(FixedAssets[Depreciation
/ Amortization Months],_xlfn.XMATCH($E$135,FixedAssets[Asset ID])),IF(AND((_xlfn.XMATCH(BL$8,$AH$8:$CC$8))-_xlfn.XMATCH($C155,$C$35:$C$82)+1&lt;=_xlpm.DepreciationMonths,$C155&lt;=BL$8),$E155/_xlpm.DepreciationMonths,0))</f>
        <v>0</v>
      </c>
      <c r="BM155" s="507" cm="1">
        <f t="array" ref="BM155">_xlfn.LET(_xlpm.DepreciationMonths,INDEX(FixedAssets[Depreciation
/ Amortization Months],_xlfn.XMATCH($E$135,FixedAssets[Asset ID])),IF(AND((_xlfn.XMATCH(BM$8,$AH$8:$CC$8))-_xlfn.XMATCH($C155,$C$35:$C$82)+1&lt;=_xlpm.DepreciationMonths,$C155&lt;=BM$8),$E155/_xlpm.DepreciationMonths,0))</f>
        <v>0</v>
      </c>
      <c r="BN155" s="507" cm="1">
        <f t="array" ref="BN155">_xlfn.LET(_xlpm.DepreciationMonths,INDEX(FixedAssets[Depreciation
/ Amortization Months],_xlfn.XMATCH($E$135,FixedAssets[Asset ID])),IF(AND((_xlfn.XMATCH(BN$8,$AH$8:$CC$8))-_xlfn.XMATCH($C155,$C$35:$C$82)+1&lt;=_xlpm.DepreciationMonths,$C155&lt;=BN$8),$E155/_xlpm.DepreciationMonths,0))</f>
        <v>0</v>
      </c>
      <c r="BO155" s="507" cm="1">
        <f t="array" ref="BO155">_xlfn.LET(_xlpm.DepreciationMonths,INDEX(FixedAssets[Depreciation
/ Amortization Months],_xlfn.XMATCH($E$135,FixedAssets[Asset ID])),IF(AND((_xlfn.XMATCH(BO$8,$AH$8:$CC$8))-_xlfn.XMATCH($C155,$C$35:$C$82)+1&lt;=_xlpm.DepreciationMonths,$C155&lt;=BO$8),$E155/_xlpm.DepreciationMonths,0))</f>
        <v>0</v>
      </c>
      <c r="BP155" s="507" cm="1">
        <f t="array" ref="BP155">_xlfn.LET(_xlpm.DepreciationMonths,INDEX(FixedAssets[Depreciation
/ Amortization Months],_xlfn.XMATCH($E$135,FixedAssets[Asset ID])),IF(AND((_xlfn.XMATCH(BP$8,$AH$8:$CC$8))-_xlfn.XMATCH($C155,$C$35:$C$82)+1&lt;=_xlpm.DepreciationMonths,$C155&lt;=BP$8),$E155/_xlpm.DepreciationMonths,0))</f>
        <v>0</v>
      </c>
      <c r="BQ155" s="507" cm="1">
        <f t="array" ref="BQ155">_xlfn.LET(_xlpm.DepreciationMonths,INDEX(FixedAssets[Depreciation
/ Amortization Months],_xlfn.XMATCH($E$135,FixedAssets[Asset ID])),IF(AND((_xlfn.XMATCH(BQ$8,$AH$8:$CC$8))-_xlfn.XMATCH($C155,$C$35:$C$82)+1&lt;=_xlpm.DepreciationMonths,$C155&lt;=BQ$8),$E155/_xlpm.DepreciationMonths,0))</f>
        <v>0</v>
      </c>
      <c r="BR155" s="507" cm="1">
        <f t="array" ref="BR155">_xlfn.LET(_xlpm.DepreciationMonths,INDEX(FixedAssets[Depreciation
/ Amortization Months],_xlfn.XMATCH($E$135,FixedAssets[Asset ID])),IF(AND((_xlfn.XMATCH(BR$8,$AH$8:$CC$8))-_xlfn.XMATCH($C155,$C$35:$C$82)+1&lt;=_xlpm.DepreciationMonths,$C155&lt;=BR$8),$E155/_xlpm.DepreciationMonths,0))</f>
        <v>0</v>
      </c>
      <c r="BS155" s="507" cm="1">
        <f t="array" ref="BS155">_xlfn.LET(_xlpm.DepreciationMonths,INDEX(FixedAssets[Depreciation
/ Amortization Months],_xlfn.XMATCH($E$135,FixedAssets[Asset ID])),IF(AND((_xlfn.XMATCH(BS$8,$AH$8:$CC$8))-_xlfn.XMATCH($C155,$C$35:$C$82)+1&lt;=_xlpm.DepreciationMonths,$C155&lt;=BS$8),$E155/_xlpm.DepreciationMonths,0))</f>
        <v>0</v>
      </c>
      <c r="BT155" s="507" cm="1">
        <f t="array" ref="BT155">_xlfn.LET(_xlpm.DepreciationMonths,INDEX(FixedAssets[Depreciation
/ Amortization Months],_xlfn.XMATCH($E$135,FixedAssets[Asset ID])),IF(AND((_xlfn.XMATCH(BT$8,$AH$8:$CC$8))-_xlfn.XMATCH($C155,$C$35:$C$82)+1&lt;=_xlpm.DepreciationMonths,$C155&lt;=BT$8),$E155/_xlpm.DepreciationMonths,0))</f>
        <v>0</v>
      </c>
      <c r="BU155" s="507" cm="1">
        <f t="array" ref="BU155">_xlfn.LET(_xlpm.DepreciationMonths,INDEX(FixedAssets[Depreciation
/ Amortization Months],_xlfn.XMATCH($E$135,FixedAssets[Asset ID])),IF(AND((_xlfn.XMATCH(BU$8,$AH$8:$CC$8))-_xlfn.XMATCH($C155,$C$35:$C$82)+1&lt;=_xlpm.DepreciationMonths,$C155&lt;=BU$8),$E155/_xlpm.DepreciationMonths,0))</f>
        <v>0</v>
      </c>
      <c r="BV155" s="507" cm="1">
        <f t="array" ref="BV155">_xlfn.LET(_xlpm.DepreciationMonths,INDEX(FixedAssets[Depreciation
/ Amortization Months],_xlfn.XMATCH($E$135,FixedAssets[Asset ID])),IF(AND((_xlfn.XMATCH(BV$8,$AH$8:$CC$8))-_xlfn.XMATCH($C155,$C$35:$C$82)+1&lt;=_xlpm.DepreciationMonths,$C155&lt;=BV$8),$E155/_xlpm.DepreciationMonths,0))</f>
        <v>0</v>
      </c>
      <c r="BW155" s="507" cm="1">
        <f t="array" ref="BW155">_xlfn.LET(_xlpm.DepreciationMonths,INDEX(FixedAssets[Depreciation
/ Amortization Months],_xlfn.XMATCH($E$135,FixedAssets[Asset ID])),IF(AND((_xlfn.XMATCH(BW$8,$AH$8:$CC$8))-_xlfn.XMATCH($C155,$C$35:$C$82)+1&lt;=_xlpm.DepreciationMonths,$C155&lt;=BW$8),$E155/_xlpm.DepreciationMonths,0))</f>
        <v>0</v>
      </c>
      <c r="BX155" s="507" cm="1">
        <f t="array" ref="BX155">_xlfn.LET(_xlpm.DepreciationMonths,INDEX(FixedAssets[Depreciation
/ Amortization Months],_xlfn.XMATCH($E$135,FixedAssets[Asset ID])),IF(AND((_xlfn.XMATCH(BX$8,$AH$8:$CC$8))-_xlfn.XMATCH($C155,$C$35:$C$82)+1&lt;=_xlpm.DepreciationMonths,$C155&lt;=BX$8),$E155/_xlpm.DepreciationMonths,0))</f>
        <v>0</v>
      </c>
      <c r="BY155" s="507" cm="1">
        <f t="array" ref="BY155">_xlfn.LET(_xlpm.DepreciationMonths,INDEX(FixedAssets[Depreciation
/ Amortization Months],_xlfn.XMATCH($E$135,FixedAssets[Asset ID])),IF(AND((_xlfn.XMATCH(BY$8,$AH$8:$CC$8))-_xlfn.XMATCH($C155,$C$35:$C$82)+1&lt;=_xlpm.DepreciationMonths,$C155&lt;=BY$8),$E155/_xlpm.DepreciationMonths,0))</f>
        <v>0</v>
      </c>
      <c r="BZ155" s="507" cm="1">
        <f t="array" ref="BZ155">_xlfn.LET(_xlpm.DepreciationMonths,INDEX(FixedAssets[Depreciation
/ Amortization Months],_xlfn.XMATCH($E$135,FixedAssets[Asset ID])),IF(AND((_xlfn.XMATCH(BZ$8,$AH$8:$CC$8))-_xlfn.XMATCH($C155,$C$35:$C$82)+1&lt;=_xlpm.DepreciationMonths,$C155&lt;=BZ$8),$E155/_xlpm.DepreciationMonths,0))</f>
        <v>0</v>
      </c>
      <c r="CA155" s="507" cm="1">
        <f t="array" ref="CA155">_xlfn.LET(_xlpm.DepreciationMonths,INDEX(FixedAssets[Depreciation
/ Amortization Months],_xlfn.XMATCH($E$135,FixedAssets[Asset ID])),IF(AND((_xlfn.XMATCH(CA$8,$AH$8:$CC$8))-_xlfn.XMATCH($C155,$C$35:$C$82)+1&lt;=_xlpm.DepreciationMonths,$C155&lt;=CA$8),$E155/_xlpm.DepreciationMonths,0))</f>
        <v>0</v>
      </c>
      <c r="CB155" s="507" cm="1">
        <f t="array" ref="CB155">_xlfn.LET(_xlpm.DepreciationMonths,INDEX(FixedAssets[Depreciation
/ Amortization Months],_xlfn.XMATCH($E$135,FixedAssets[Asset ID])),IF(AND((_xlfn.XMATCH(CB$8,$AH$8:$CC$8))-_xlfn.XMATCH($C155,$C$35:$C$82)+1&lt;=_xlpm.DepreciationMonths,$C155&lt;=CB$8),$E155/_xlpm.DepreciationMonths,0))</f>
        <v>0</v>
      </c>
      <c r="CC155" s="507" cm="1">
        <f t="array" ref="CC155">_xlfn.LET(_xlpm.DepreciationMonths,INDEX(FixedAssets[Depreciation
/ Amortization Months],_xlfn.XMATCH($E$135,FixedAssets[Asset ID])),IF(AND((_xlfn.XMATCH(CC$8,$AH$8:$CC$8))-_xlfn.XMATCH($C155,$C$35:$C$82)+1&lt;=_xlpm.DepreciationMonths,$C155&lt;=CC$8),$E155/_xlpm.DepreciationMonths,0))</f>
        <v>0</v>
      </c>
    </row>
    <row r="156" spans="3:81" hidden="1" outlineLevel="2">
      <c r="C156" s="664">
        <f t="shared" si="243"/>
        <v>45535</v>
      </c>
      <c r="D156" s="508"/>
      <c r="E156" s="508" cm="1">
        <f t="array" ref="E156">SUMPRODUCT(($AH$26:$CC$31)*($AH$5:$CC$5=$C156)*($E$26:$E$31=E$135))-SUMPRODUCT(($AH$26:$CC$31)*($AH$5:$CC$5=EOMONTH($C156,-1))*($E$26:$E$31=E$135))</f>
        <v>0</v>
      </c>
      <c r="F156" s="508"/>
      <c r="G156" s="508"/>
      <c r="H156" s="508"/>
      <c r="I156" s="508"/>
      <c r="J156" s="504">
        <f t="shared" si="240"/>
        <v>0</v>
      </c>
      <c r="K156" s="504">
        <f t="shared" si="245"/>
        <v>0</v>
      </c>
      <c r="L156" s="504">
        <f t="shared" si="245"/>
        <v>0</v>
      </c>
      <c r="M156" s="504">
        <f t="shared" si="245"/>
        <v>0</v>
      </c>
      <c r="N156" s="504"/>
      <c r="O156" s="504"/>
      <c r="P156" s="504">
        <f t="shared" si="246"/>
        <v>0</v>
      </c>
      <c r="Q156" s="504">
        <f t="shared" si="246"/>
        <v>0</v>
      </c>
      <c r="R156" s="504">
        <f t="shared" si="246"/>
        <v>0</v>
      </c>
      <c r="S156" s="504">
        <f t="shared" si="246"/>
        <v>0</v>
      </c>
      <c r="T156" s="504">
        <f t="shared" si="246"/>
        <v>0</v>
      </c>
      <c r="U156" s="504">
        <f t="shared" si="246"/>
        <v>0</v>
      </c>
      <c r="V156" s="504">
        <f t="shared" si="246"/>
        <v>0</v>
      </c>
      <c r="W156" s="504">
        <f t="shared" si="246"/>
        <v>0</v>
      </c>
      <c r="X156" s="504">
        <f t="shared" si="246"/>
        <v>0</v>
      </c>
      <c r="Y156" s="504">
        <f t="shared" si="246"/>
        <v>0</v>
      </c>
      <c r="Z156" s="504">
        <f t="shared" si="246"/>
        <v>0</v>
      </c>
      <c r="AA156" s="504">
        <f t="shared" si="246"/>
        <v>0</v>
      </c>
      <c r="AB156" s="504">
        <f t="shared" si="246"/>
        <v>0</v>
      </c>
      <c r="AC156" s="504">
        <f t="shared" si="246"/>
        <v>0</v>
      </c>
      <c r="AD156" s="504">
        <f t="shared" si="246"/>
        <v>0</v>
      </c>
      <c r="AE156" s="504">
        <f t="shared" si="246"/>
        <v>0</v>
      </c>
      <c r="AF156" s="508"/>
      <c r="AG156" s="508"/>
      <c r="AH156" s="507" cm="1">
        <f t="array" ref="AH156">_xlfn.LET(_xlpm.DepreciationMonths,INDEX(FixedAssets[Depreciation
/ Amortization Months],_xlfn.XMATCH($E$135,FixedAssets[Asset ID])),IF(AND((_xlfn.XMATCH(AH$8,$AH$8:$CC$8))-_xlfn.XMATCH($C156,$C$35:$C$82)+1&lt;=_xlpm.DepreciationMonths,$C156&lt;=AH$8),$E156/_xlpm.DepreciationMonths,0))</f>
        <v>0</v>
      </c>
      <c r="AI156" s="507" cm="1">
        <f t="array" ref="AI156">_xlfn.LET(_xlpm.DepreciationMonths,INDEX(FixedAssets[Depreciation
/ Amortization Months],_xlfn.XMATCH($E$135,FixedAssets[Asset ID])),IF(AND((_xlfn.XMATCH(AI$8,$AH$8:$CC$8))-_xlfn.XMATCH($C156,$C$35:$C$82)+1&lt;=_xlpm.DepreciationMonths,$C156&lt;=AI$8),$E156/_xlpm.DepreciationMonths,0))</f>
        <v>0</v>
      </c>
      <c r="AJ156" s="507" cm="1">
        <f t="array" ref="AJ156">_xlfn.LET(_xlpm.DepreciationMonths,INDEX(FixedAssets[Depreciation
/ Amortization Months],_xlfn.XMATCH($E$135,FixedAssets[Asset ID])),IF(AND((_xlfn.XMATCH(AJ$8,$AH$8:$CC$8))-_xlfn.XMATCH($C156,$C$35:$C$82)+1&lt;=_xlpm.DepreciationMonths,$C156&lt;=AJ$8),$E156/_xlpm.DepreciationMonths,0))</f>
        <v>0</v>
      </c>
      <c r="AK156" s="507" cm="1">
        <f t="array" ref="AK156">_xlfn.LET(_xlpm.DepreciationMonths,INDEX(FixedAssets[Depreciation
/ Amortization Months],_xlfn.XMATCH($E$135,FixedAssets[Asset ID])),IF(AND((_xlfn.XMATCH(AK$8,$AH$8:$CC$8))-_xlfn.XMATCH($C156,$C$35:$C$82)+1&lt;=_xlpm.DepreciationMonths,$C156&lt;=AK$8),$E156/_xlpm.DepreciationMonths,0))</f>
        <v>0</v>
      </c>
      <c r="AL156" s="507" cm="1">
        <f t="array" ref="AL156">_xlfn.LET(_xlpm.DepreciationMonths,INDEX(FixedAssets[Depreciation
/ Amortization Months],_xlfn.XMATCH($E$135,FixedAssets[Asset ID])),IF(AND((_xlfn.XMATCH(AL$8,$AH$8:$CC$8))-_xlfn.XMATCH($C156,$C$35:$C$82)+1&lt;=_xlpm.DepreciationMonths,$C156&lt;=AL$8),$E156/_xlpm.DepreciationMonths,0))</f>
        <v>0</v>
      </c>
      <c r="AM156" s="507" cm="1">
        <f t="array" ref="AM156">_xlfn.LET(_xlpm.DepreciationMonths,INDEX(FixedAssets[Depreciation
/ Amortization Months],_xlfn.XMATCH($E$135,FixedAssets[Asset ID])),IF(AND((_xlfn.XMATCH(AM$8,$AH$8:$CC$8))-_xlfn.XMATCH($C156,$C$35:$C$82)+1&lt;=_xlpm.DepreciationMonths,$C156&lt;=AM$8),$E156/_xlpm.DepreciationMonths,0))</f>
        <v>0</v>
      </c>
      <c r="AN156" s="507" cm="1">
        <f t="array" ref="AN156">_xlfn.LET(_xlpm.DepreciationMonths,INDEX(FixedAssets[Depreciation
/ Amortization Months],_xlfn.XMATCH($E$135,FixedAssets[Asset ID])),IF(AND((_xlfn.XMATCH(AN$8,$AH$8:$CC$8))-_xlfn.XMATCH($C156,$C$35:$C$82)+1&lt;=_xlpm.DepreciationMonths,$C156&lt;=AN$8),$E156/_xlpm.DepreciationMonths,0))</f>
        <v>0</v>
      </c>
      <c r="AO156" s="507" cm="1">
        <f t="array" ref="AO156">_xlfn.LET(_xlpm.DepreciationMonths,INDEX(FixedAssets[Depreciation
/ Amortization Months],_xlfn.XMATCH($E$135,FixedAssets[Asset ID])),IF(AND((_xlfn.XMATCH(AO$8,$AH$8:$CC$8))-_xlfn.XMATCH($C156,$C$35:$C$82)+1&lt;=_xlpm.DepreciationMonths,$C156&lt;=AO$8),$E156/_xlpm.DepreciationMonths,0))</f>
        <v>0</v>
      </c>
      <c r="AP156" s="507" cm="1">
        <f t="array" ref="AP156">_xlfn.LET(_xlpm.DepreciationMonths,INDEX(FixedAssets[Depreciation
/ Amortization Months],_xlfn.XMATCH($E$135,FixedAssets[Asset ID])),IF(AND((_xlfn.XMATCH(AP$8,$AH$8:$CC$8))-_xlfn.XMATCH($C156,$C$35:$C$82)+1&lt;=_xlpm.DepreciationMonths,$C156&lt;=AP$8),$E156/_xlpm.DepreciationMonths,0))</f>
        <v>0</v>
      </c>
      <c r="AQ156" s="507" cm="1">
        <f t="array" ref="AQ156">_xlfn.LET(_xlpm.DepreciationMonths,INDEX(FixedAssets[Depreciation
/ Amortization Months],_xlfn.XMATCH($E$135,FixedAssets[Asset ID])),IF(AND((_xlfn.XMATCH(AQ$8,$AH$8:$CC$8))-_xlfn.XMATCH($C156,$C$35:$C$82)+1&lt;=_xlpm.DepreciationMonths,$C156&lt;=AQ$8),$E156/_xlpm.DepreciationMonths,0))</f>
        <v>0</v>
      </c>
      <c r="AR156" s="507" cm="1">
        <f t="array" ref="AR156">_xlfn.LET(_xlpm.DepreciationMonths,INDEX(FixedAssets[Depreciation
/ Amortization Months],_xlfn.XMATCH($E$135,FixedAssets[Asset ID])),IF(AND((_xlfn.XMATCH(AR$8,$AH$8:$CC$8))-_xlfn.XMATCH($C156,$C$35:$C$82)+1&lt;=_xlpm.DepreciationMonths,$C156&lt;=AR$8),$E156/_xlpm.DepreciationMonths,0))</f>
        <v>0</v>
      </c>
      <c r="AS156" s="507" cm="1">
        <f t="array" ref="AS156">_xlfn.LET(_xlpm.DepreciationMonths,INDEX(FixedAssets[Depreciation
/ Amortization Months],_xlfn.XMATCH($E$135,FixedAssets[Asset ID])),IF(AND((_xlfn.XMATCH(AS$8,$AH$8:$CC$8))-_xlfn.XMATCH($C156,$C$35:$C$82)+1&lt;=_xlpm.DepreciationMonths,$C156&lt;=AS$8),$E156/_xlpm.DepreciationMonths,0))</f>
        <v>0</v>
      </c>
      <c r="AT156" s="507" cm="1">
        <f t="array" ref="AT156">_xlfn.LET(_xlpm.DepreciationMonths,INDEX(FixedAssets[Depreciation
/ Amortization Months],_xlfn.XMATCH($E$135,FixedAssets[Asset ID])),IF(AND((_xlfn.XMATCH(AT$8,$AH$8:$CC$8))-_xlfn.XMATCH($C156,$C$35:$C$82)+1&lt;=_xlpm.DepreciationMonths,$C156&lt;=AT$8),$E156/_xlpm.DepreciationMonths,0))</f>
        <v>0</v>
      </c>
      <c r="AU156" s="507" cm="1">
        <f t="array" ref="AU156">_xlfn.LET(_xlpm.DepreciationMonths,INDEX(FixedAssets[Depreciation
/ Amortization Months],_xlfn.XMATCH($E$135,FixedAssets[Asset ID])),IF(AND((_xlfn.XMATCH(AU$8,$AH$8:$CC$8))-_xlfn.XMATCH($C156,$C$35:$C$82)+1&lt;=_xlpm.DepreciationMonths,$C156&lt;=AU$8),$E156/_xlpm.DepreciationMonths,0))</f>
        <v>0</v>
      </c>
      <c r="AV156" s="507" cm="1">
        <f t="array" ref="AV156">_xlfn.LET(_xlpm.DepreciationMonths,INDEX(FixedAssets[Depreciation
/ Amortization Months],_xlfn.XMATCH($E$135,FixedAssets[Asset ID])),IF(AND((_xlfn.XMATCH(AV$8,$AH$8:$CC$8))-_xlfn.XMATCH($C156,$C$35:$C$82)+1&lt;=_xlpm.DepreciationMonths,$C156&lt;=AV$8),$E156/_xlpm.DepreciationMonths,0))</f>
        <v>0</v>
      </c>
      <c r="AW156" s="507" cm="1">
        <f t="array" ref="AW156">_xlfn.LET(_xlpm.DepreciationMonths,INDEX(FixedAssets[Depreciation
/ Amortization Months],_xlfn.XMATCH($E$135,FixedAssets[Asset ID])),IF(AND((_xlfn.XMATCH(AW$8,$AH$8:$CC$8))-_xlfn.XMATCH($C156,$C$35:$C$82)+1&lt;=_xlpm.DepreciationMonths,$C156&lt;=AW$8),$E156/_xlpm.DepreciationMonths,0))</f>
        <v>0</v>
      </c>
      <c r="AX156" s="507" cm="1">
        <f t="array" ref="AX156">_xlfn.LET(_xlpm.DepreciationMonths,INDEX(FixedAssets[Depreciation
/ Amortization Months],_xlfn.XMATCH($E$135,FixedAssets[Asset ID])),IF(AND((_xlfn.XMATCH(AX$8,$AH$8:$CC$8))-_xlfn.XMATCH($C156,$C$35:$C$82)+1&lt;=_xlpm.DepreciationMonths,$C156&lt;=AX$8),$E156/_xlpm.DepreciationMonths,0))</f>
        <v>0</v>
      </c>
      <c r="AY156" s="507" cm="1">
        <f t="array" ref="AY156">_xlfn.LET(_xlpm.DepreciationMonths,INDEX(FixedAssets[Depreciation
/ Amortization Months],_xlfn.XMATCH($E$135,FixedAssets[Asset ID])),IF(AND((_xlfn.XMATCH(AY$8,$AH$8:$CC$8))-_xlfn.XMATCH($C156,$C$35:$C$82)+1&lt;=_xlpm.DepreciationMonths,$C156&lt;=AY$8),$E156/_xlpm.DepreciationMonths,0))</f>
        <v>0</v>
      </c>
      <c r="AZ156" s="507" cm="1">
        <f t="array" ref="AZ156">_xlfn.LET(_xlpm.DepreciationMonths,INDEX(FixedAssets[Depreciation
/ Amortization Months],_xlfn.XMATCH($E$135,FixedAssets[Asset ID])),IF(AND((_xlfn.XMATCH(AZ$8,$AH$8:$CC$8))-_xlfn.XMATCH($C156,$C$35:$C$82)+1&lt;=_xlpm.DepreciationMonths,$C156&lt;=AZ$8),$E156/_xlpm.DepreciationMonths,0))</f>
        <v>0</v>
      </c>
      <c r="BA156" s="507" cm="1">
        <f t="array" ref="BA156">_xlfn.LET(_xlpm.DepreciationMonths,INDEX(FixedAssets[Depreciation
/ Amortization Months],_xlfn.XMATCH($E$135,FixedAssets[Asset ID])),IF(AND((_xlfn.XMATCH(BA$8,$AH$8:$CC$8))-_xlfn.XMATCH($C156,$C$35:$C$82)+1&lt;=_xlpm.DepreciationMonths,$C156&lt;=BA$8),$E156/_xlpm.DepreciationMonths,0))</f>
        <v>0</v>
      </c>
      <c r="BB156" s="507" cm="1">
        <f t="array" ref="BB156">_xlfn.LET(_xlpm.DepreciationMonths,INDEX(FixedAssets[Depreciation
/ Amortization Months],_xlfn.XMATCH($E$135,FixedAssets[Asset ID])),IF(AND((_xlfn.XMATCH(BB$8,$AH$8:$CC$8))-_xlfn.XMATCH($C156,$C$35:$C$82)+1&lt;=_xlpm.DepreciationMonths,$C156&lt;=BB$8),$E156/_xlpm.DepreciationMonths,0))</f>
        <v>0</v>
      </c>
      <c r="BC156" s="507" cm="1">
        <f t="array" ref="BC156">_xlfn.LET(_xlpm.DepreciationMonths,INDEX(FixedAssets[Depreciation
/ Amortization Months],_xlfn.XMATCH($E$135,FixedAssets[Asset ID])),IF(AND((_xlfn.XMATCH(BC$8,$AH$8:$CC$8))-_xlfn.XMATCH($C156,$C$35:$C$82)+1&lt;=_xlpm.DepreciationMonths,$C156&lt;=BC$8),$E156/_xlpm.DepreciationMonths,0))</f>
        <v>0</v>
      </c>
      <c r="BD156" s="507" cm="1">
        <f t="array" ref="BD156">_xlfn.LET(_xlpm.DepreciationMonths,INDEX(FixedAssets[Depreciation
/ Amortization Months],_xlfn.XMATCH($E$135,FixedAssets[Asset ID])),IF(AND((_xlfn.XMATCH(BD$8,$AH$8:$CC$8))-_xlfn.XMATCH($C156,$C$35:$C$82)+1&lt;=_xlpm.DepreciationMonths,$C156&lt;=BD$8),$E156/_xlpm.DepreciationMonths,0))</f>
        <v>0</v>
      </c>
      <c r="BE156" s="507" cm="1">
        <f t="array" ref="BE156">_xlfn.LET(_xlpm.DepreciationMonths,INDEX(FixedAssets[Depreciation
/ Amortization Months],_xlfn.XMATCH($E$135,FixedAssets[Asset ID])),IF(AND((_xlfn.XMATCH(BE$8,$AH$8:$CC$8))-_xlfn.XMATCH($C156,$C$35:$C$82)+1&lt;=_xlpm.DepreciationMonths,$C156&lt;=BE$8),$E156/_xlpm.DepreciationMonths,0))</f>
        <v>0</v>
      </c>
      <c r="BF156" s="507" cm="1">
        <f t="array" ref="BF156">_xlfn.LET(_xlpm.DepreciationMonths,INDEX(FixedAssets[Depreciation
/ Amortization Months],_xlfn.XMATCH($E$135,FixedAssets[Asset ID])),IF(AND((_xlfn.XMATCH(BF$8,$AH$8:$CC$8))-_xlfn.XMATCH($C156,$C$35:$C$82)+1&lt;=_xlpm.DepreciationMonths,$C156&lt;=BF$8),$E156/_xlpm.DepreciationMonths,0))</f>
        <v>0</v>
      </c>
      <c r="BG156" s="507" cm="1">
        <f t="array" ref="BG156">_xlfn.LET(_xlpm.DepreciationMonths,INDEX(FixedAssets[Depreciation
/ Amortization Months],_xlfn.XMATCH($E$135,FixedAssets[Asset ID])),IF(AND((_xlfn.XMATCH(BG$8,$AH$8:$CC$8))-_xlfn.XMATCH($C156,$C$35:$C$82)+1&lt;=_xlpm.DepreciationMonths,$C156&lt;=BG$8),$E156/_xlpm.DepreciationMonths,0))</f>
        <v>0</v>
      </c>
      <c r="BH156" s="507" cm="1">
        <f t="array" ref="BH156">_xlfn.LET(_xlpm.DepreciationMonths,INDEX(FixedAssets[Depreciation
/ Amortization Months],_xlfn.XMATCH($E$135,FixedAssets[Asset ID])),IF(AND((_xlfn.XMATCH(BH$8,$AH$8:$CC$8))-_xlfn.XMATCH($C156,$C$35:$C$82)+1&lt;=_xlpm.DepreciationMonths,$C156&lt;=BH$8),$E156/_xlpm.DepreciationMonths,0))</f>
        <v>0</v>
      </c>
      <c r="BI156" s="507" cm="1">
        <f t="array" ref="BI156">_xlfn.LET(_xlpm.DepreciationMonths,INDEX(FixedAssets[Depreciation
/ Amortization Months],_xlfn.XMATCH($E$135,FixedAssets[Asset ID])),IF(AND((_xlfn.XMATCH(BI$8,$AH$8:$CC$8))-_xlfn.XMATCH($C156,$C$35:$C$82)+1&lt;=_xlpm.DepreciationMonths,$C156&lt;=BI$8),$E156/_xlpm.DepreciationMonths,0))</f>
        <v>0</v>
      </c>
      <c r="BJ156" s="507" cm="1">
        <f t="array" ref="BJ156">_xlfn.LET(_xlpm.DepreciationMonths,INDEX(FixedAssets[Depreciation
/ Amortization Months],_xlfn.XMATCH($E$135,FixedAssets[Asset ID])),IF(AND((_xlfn.XMATCH(BJ$8,$AH$8:$CC$8))-_xlfn.XMATCH($C156,$C$35:$C$82)+1&lt;=_xlpm.DepreciationMonths,$C156&lt;=BJ$8),$E156/_xlpm.DepreciationMonths,0))</f>
        <v>0</v>
      </c>
      <c r="BK156" s="507" cm="1">
        <f t="array" ref="BK156">_xlfn.LET(_xlpm.DepreciationMonths,INDEX(FixedAssets[Depreciation
/ Amortization Months],_xlfn.XMATCH($E$135,FixedAssets[Asset ID])),IF(AND((_xlfn.XMATCH(BK$8,$AH$8:$CC$8))-_xlfn.XMATCH($C156,$C$35:$C$82)+1&lt;=_xlpm.DepreciationMonths,$C156&lt;=BK$8),$E156/_xlpm.DepreciationMonths,0))</f>
        <v>0</v>
      </c>
      <c r="BL156" s="507" cm="1">
        <f t="array" ref="BL156">_xlfn.LET(_xlpm.DepreciationMonths,INDEX(FixedAssets[Depreciation
/ Amortization Months],_xlfn.XMATCH($E$135,FixedAssets[Asset ID])),IF(AND((_xlfn.XMATCH(BL$8,$AH$8:$CC$8))-_xlfn.XMATCH($C156,$C$35:$C$82)+1&lt;=_xlpm.DepreciationMonths,$C156&lt;=BL$8),$E156/_xlpm.DepreciationMonths,0))</f>
        <v>0</v>
      </c>
      <c r="BM156" s="507" cm="1">
        <f t="array" ref="BM156">_xlfn.LET(_xlpm.DepreciationMonths,INDEX(FixedAssets[Depreciation
/ Amortization Months],_xlfn.XMATCH($E$135,FixedAssets[Asset ID])),IF(AND((_xlfn.XMATCH(BM$8,$AH$8:$CC$8))-_xlfn.XMATCH($C156,$C$35:$C$82)+1&lt;=_xlpm.DepreciationMonths,$C156&lt;=BM$8),$E156/_xlpm.DepreciationMonths,0))</f>
        <v>0</v>
      </c>
      <c r="BN156" s="507" cm="1">
        <f t="array" ref="BN156">_xlfn.LET(_xlpm.DepreciationMonths,INDEX(FixedAssets[Depreciation
/ Amortization Months],_xlfn.XMATCH($E$135,FixedAssets[Asset ID])),IF(AND((_xlfn.XMATCH(BN$8,$AH$8:$CC$8))-_xlfn.XMATCH($C156,$C$35:$C$82)+1&lt;=_xlpm.DepreciationMonths,$C156&lt;=BN$8),$E156/_xlpm.DepreciationMonths,0))</f>
        <v>0</v>
      </c>
      <c r="BO156" s="507" cm="1">
        <f t="array" ref="BO156">_xlfn.LET(_xlpm.DepreciationMonths,INDEX(FixedAssets[Depreciation
/ Amortization Months],_xlfn.XMATCH($E$135,FixedAssets[Asset ID])),IF(AND((_xlfn.XMATCH(BO$8,$AH$8:$CC$8))-_xlfn.XMATCH($C156,$C$35:$C$82)+1&lt;=_xlpm.DepreciationMonths,$C156&lt;=BO$8),$E156/_xlpm.DepreciationMonths,0))</f>
        <v>0</v>
      </c>
      <c r="BP156" s="507" cm="1">
        <f t="array" ref="BP156">_xlfn.LET(_xlpm.DepreciationMonths,INDEX(FixedAssets[Depreciation
/ Amortization Months],_xlfn.XMATCH($E$135,FixedAssets[Asset ID])),IF(AND((_xlfn.XMATCH(BP$8,$AH$8:$CC$8))-_xlfn.XMATCH($C156,$C$35:$C$82)+1&lt;=_xlpm.DepreciationMonths,$C156&lt;=BP$8),$E156/_xlpm.DepreciationMonths,0))</f>
        <v>0</v>
      </c>
      <c r="BQ156" s="507" cm="1">
        <f t="array" ref="BQ156">_xlfn.LET(_xlpm.DepreciationMonths,INDEX(FixedAssets[Depreciation
/ Amortization Months],_xlfn.XMATCH($E$135,FixedAssets[Asset ID])),IF(AND((_xlfn.XMATCH(BQ$8,$AH$8:$CC$8))-_xlfn.XMATCH($C156,$C$35:$C$82)+1&lt;=_xlpm.DepreciationMonths,$C156&lt;=BQ$8),$E156/_xlpm.DepreciationMonths,0))</f>
        <v>0</v>
      </c>
      <c r="BR156" s="507" cm="1">
        <f t="array" ref="BR156">_xlfn.LET(_xlpm.DepreciationMonths,INDEX(FixedAssets[Depreciation
/ Amortization Months],_xlfn.XMATCH($E$135,FixedAssets[Asset ID])),IF(AND((_xlfn.XMATCH(BR$8,$AH$8:$CC$8))-_xlfn.XMATCH($C156,$C$35:$C$82)+1&lt;=_xlpm.DepreciationMonths,$C156&lt;=BR$8),$E156/_xlpm.DepreciationMonths,0))</f>
        <v>0</v>
      </c>
      <c r="BS156" s="507" cm="1">
        <f t="array" ref="BS156">_xlfn.LET(_xlpm.DepreciationMonths,INDEX(FixedAssets[Depreciation
/ Amortization Months],_xlfn.XMATCH($E$135,FixedAssets[Asset ID])),IF(AND((_xlfn.XMATCH(BS$8,$AH$8:$CC$8))-_xlfn.XMATCH($C156,$C$35:$C$82)+1&lt;=_xlpm.DepreciationMonths,$C156&lt;=BS$8),$E156/_xlpm.DepreciationMonths,0))</f>
        <v>0</v>
      </c>
      <c r="BT156" s="507" cm="1">
        <f t="array" ref="BT156">_xlfn.LET(_xlpm.DepreciationMonths,INDEX(FixedAssets[Depreciation
/ Amortization Months],_xlfn.XMATCH($E$135,FixedAssets[Asset ID])),IF(AND((_xlfn.XMATCH(BT$8,$AH$8:$CC$8))-_xlfn.XMATCH($C156,$C$35:$C$82)+1&lt;=_xlpm.DepreciationMonths,$C156&lt;=BT$8),$E156/_xlpm.DepreciationMonths,0))</f>
        <v>0</v>
      </c>
      <c r="BU156" s="507" cm="1">
        <f t="array" ref="BU156">_xlfn.LET(_xlpm.DepreciationMonths,INDEX(FixedAssets[Depreciation
/ Amortization Months],_xlfn.XMATCH($E$135,FixedAssets[Asset ID])),IF(AND((_xlfn.XMATCH(BU$8,$AH$8:$CC$8))-_xlfn.XMATCH($C156,$C$35:$C$82)+1&lt;=_xlpm.DepreciationMonths,$C156&lt;=BU$8),$E156/_xlpm.DepreciationMonths,0))</f>
        <v>0</v>
      </c>
      <c r="BV156" s="507" cm="1">
        <f t="array" ref="BV156">_xlfn.LET(_xlpm.DepreciationMonths,INDEX(FixedAssets[Depreciation
/ Amortization Months],_xlfn.XMATCH($E$135,FixedAssets[Asset ID])),IF(AND((_xlfn.XMATCH(BV$8,$AH$8:$CC$8))-_xlfn.XMATCH($C156,$C$35:$C$82)+1&lt;=_xlpm.DepreciationMonths,$C156&lt;=BV$8),$E156/_xlpm.DepreciationMonths,0))</f>
        <v>0</v>
      </c>
      <c r="BW156" s="507" cm="1">
        <f t="array" ref="BW156">_xlfn.LET(_xlpm.DepreciationMonths,INDEX(FixedAssets[Depreciation
/ Amortization Months],_xlfn.XMATCH($E$135,FixedAssets[Asset ID])),IF(AND((_xlfn.XMATCH(BW$8,$AH$8:$CC$8))-_xlfn.XMATCH($C156,$C$35:$C$82)+1&lt;=_xlpm.DepreciationMonths,$C156&lt;=BW$8),$E156/_xlpm.DepreciationMonths,0))</f>
        <v>0</v>
      </c>
      <c r="BX156" s="507" cm="1">
        <f t="array" ref="BX156">_xlfn.LET(_xlpm.DepreciationMonths,INDEX(FixedAssets[Depreciation
/ Amortization Months],_xlfn.XMATCH($E$135,FixedAssets[Asset ID])),IF(AND((_xlfn.XMATCH(BX$8,$AH$8:$CC$8))-_xlfn.XMATCH($C156,$C$35:$C$82)+1&lt;=_xlpm.DepreciationMonths,$C156&lt;=BX$8),$E156/_xlpm.DepreciationMonths,0))</f>
        <v>0</v>
      </c>
      <c r="BY156" s="507" cm="1">
        <f t="array" ref="BY156">_xlfn.LET(_xlpm.DepreciationMonths,INDEX(FixedAssets[Depreciation
/ Amortization Months],_xlfn.XMATCH($E$135,FixedAssets[Asset ID])),IF(AND((_xlfn.XMATCH(BY$8,$AH$8:$CC$8))-_xlfn.XMATCH($C156,$C$35:$C$82)+1&lt;=_xlpm.DepreciationMonths,$C156&lt;=BY$8),$E156/_xlpm.DepreciationMonths,0))</f>
        <v>0</v>
      </c>
      <c r="BZ156" s="507" cm="1">
        <f t="array" ref="BZ156">_xlfn.LET(_xlpm.DepreciationMonths,INDEX(FixedAssets[Depreciation
/ Amortization Months],_xlfn.XMATCH($E$135,FixedAssets[Asset ID])),IF(AND((_xlfn.XMATCH(BZ$8,$AH$8:$CC$8))-_xlfn.XMATCH($C156,$C$35:$C$82)+1&lt;=_xlpm.DepreciationMonths,$C156&lt;=BZ$8),$E156/_xlpm.DepreciationMonths,0))</f>
        <v>0</v>
      </c>
      <c r="CA156" s="507" cm="1">
        <f t="array" ref="CA156">_xlfn.LET(_xlpm.DepreciationMonths,INDEX(FixedAssets[Depreciation
/ Amortization Months],_xlfn.XMATCH($E$135,FixedAssets[Asset ID])),IF(AND((_xlfn.XMATCH(CA$8,$AH$8:$CC$8))-_xlfn.XMATCH($C156,$C$35:$C$82)+1&lt;=_xlpm.DepreciationMonths,$C156&lt;=CA$8),$E156/_xlpm.DepreciationMonths,0))</f>
        <v>0</v>
      </c>
      <c r="CB156" s="507" cm="1">
        <f t="array" ref="CB156">_xlfn.LET(_xlpm.DepreciationMonths,INDEX(FixedAssets[Depreciation
/ Amortization Months],_xlfn.XMATCH($E$135,FixedAssets[Asset ID])),IF(AND((_xlfn.XMATCH(CB$8,$AH$8:$CC$8))-_xlfn.XMATCH($C156,$C$35:$C$82)+1&lt;=_xlpm.DepreciationMonths,$C156&lt;=CB$8),$E156/_xlpm.DepreciationMonths,0))</f>
        <v>0</v>
      </c>
      <c r="CC156" s="507" cm="1">
        <f t="array" ref="CC156">_xlfn.LET(_xlpm.DepreciationMonths,INDEX(FixedAssets[Depreciation
/ Amortization Months],_xlfn.XMATCH($E$135,FixedAssets[Asset ID])),IF(AND((_xlfn.XMATCH(CC$8,$AH$8:$CC$8))-_xlfn.XMATCH($C156,$C$35:$C$82)+1&lt;=_xlpm.DepreciationMonths,$C156&lt;=CC$8),$E156/_xlpm.DepreciationMonths,0))</f>
        <v>0</v>
      </c>
    </row>
    <row r="157" spans="3:81" hidden="1" outlineLevel="2">
      <c r="C157" s="664">
        <f t="shared" si="243"/>
        <v>45565</v>
      </c>
      <c r="D157" s="508"/>
      <c r="E157" s="508" cm="1">
        <f t="array" ref="E157">SUMPRODUCT(($AH$26:$CC$31)*($AH$5:$CC$5=$C157)*($E$26:$E$31=E$135))-SUMPRODUCT(($AH$26:$CC$31)*($AH$5:$CC$5=EOMONTH($C157,-1))*($E$26:$E$31=E$135))</f>
        <v>0</v>
      </c>
      <c r="F157" s="508"/>
      <c r="G157" s="508"/>
      <c r="H157" s="508"/>
      <c r="I157" s="508"/>
      <c r="J157" s="504">
        <f t="shared" si="240"/>
        <v>0</v>
      </c>
      <c r="K157" s="504">
        <f t="shared" si="245"/>
        <v>0</v>
      </c>
      <c r="L157" s="504">
        <f t="shared" si="245"/>
        <v>0</v>
      </c>
      <c r="M157" s="504">
        <f t="shared" si="245"/>
        <v>0</v>
      </c>
      <c r="N157" s="504"/>
      <c r="O157" s="504"/>
      <c r="P157" s="504">
        <f t="shared" si="246"/>
        <v>0</v>
      </c>
      <c r="Q157" s="504">
        <f t="shared" si="246"/>
        <v>0</v>
      </c>
      <c r="R157" s="504">
        <f t="shared" si="246"/>
        <v>0</v>
      </c>
      <c r="S157" s="504">
        <f t="shared" si="246"/>
        <v>0</v>
      </c>
      <c r="T157" s="504">
        <f t="shared" si="246"/>
        <v>0</v>
      </c>
      <c r="U157" s="504">
        <f t="shared" si="246"/>
        <v>0</v>
      </c>
      <c r="V157" s="504">
        <f t="shared" si="246"/>
        <v>0</v>
      </c>
      <c r="W157" s="504">
        <f t="shared" si="246"/>
        <v>0</v>
      </c>
      <c r="X157" s="504">
        <f t="shared" si="246"/>
        <v>0</v>
      </c>
      <c r="Y157" s="504">
        <f t="shared" si="246"/>
        <v>0</v>
      </c>
      <c r="Z157" s="504">
        <f t="shared" si="246"/>
        <v>0</v>
      </c>
      <c r="AA157" s="504">
        <f t="shared" si="246"/>
        <v>0</v>
      </c>
      <c r="AB157" s="504">
        <f t="shared" si="246"/>
        <v>0</v>
      </c>
      <c r="AC157" s="504">
        <f t="shared" si="246"/>
        <v>0</v>
      </c>
      <c r="AD157" s="504">
        <f t="shared" si="246"/>
        <v>0</v>
      </c>
      <c r="AE157" s="504">
        <f t="shared" si="246"/>
        <v>0</v>
      </c>
      <c r="AF157" s="508"/>
      <c r="AG157" s="508"/>
      <c r="AH157" s="507" cm="1">
        <f t="array" ref="AH157">_xlfn.LET(_xlpm.DepreciationMonths,INDEX(FixedAssets[Depreciation
/ Amortization Months],_xlfn.XMATCH($E$135,FixedAssets[Asset ID])),IF(AND((_xlfn.XMATCH(AH$8,$AH$8:$CC$8))-_xlfn.XMATCH($C157,$C$35:$C$82)+1&lt;=_xlpm.DepreciationMonths,$C157&lt;=AH$8),$E157/_xlpm.DepreciationMonths,0))</f>
        <v>0</v>
      </c>
      <c r="AI157" s="507" cm="1">
        <f t="array" ref="AI157">_xlfn.LET(_xlpm.DepreciationMonths,INDEX(FixedAssets[Depreciation
/ Amortization Months],_xlfn.XMATCH($E$135,FixedAssets[Asset ID])),IF(AND((_xlfn.XMATCH(AI$8,$AH$8:$CC$8))-_xlfn.XMATCH($C157,$C$35:$C$82)+1&lt;=_xlpm.DepreciationMonths,$C157&lt;=AI$8),$E157/_xlpm.DepreciationMonths,0))</f>
        <v>0</v>
      </c>
      <c r="AJ157" s="507" cm="1">
        <f t="array" ref="AJ157">_xlfn.LET(_xlpm.DepreciationMonths,INDEX(FixedAssets[Depreciation
/ Amortization Months],_xlfn.XMATCH($E$135,FixedAssets[Asset ID])),IF(AND((_xlfn.XMATCH(AJ$8,$AH$8:$CC$8))-_xlfn.XMATCH($C157,$C$35:$C$82)+1&lt;=_xlpm.DepreciationMonths,$C157&lt;=AJ$8),$E157/_xlpm.DepreciationMonths,0))</f>
        <v>0</v>
      </c>
      <c r="AK157" s="507" cm="1">
        <f t="array" ref="AK157">_xlfn.LET(_xlpm.DepreciationMonths,INDEX(FixedAssets[Depreciation
/ Amortization Months],_xlfn.XMATCH($E$135,FixedAssets[Asset ID])),IF(AND((_xlfn.XMATCH(AK$8,$AH$8:$CC$8))-_xlfn.XMATCH($C157,$C$35:$C$82)+1&lt;=_xlpm.DepreciationMonths,$C157&lt;=AK$8),$E157/_xlpm.DepreciationMonths,0))</f>
        <v>0</v>
      </c>
      <c r="AL157" s="507" cm="1">
        <f t="array" ref="AL157">_xlfn.LET(_xlpm.DepreciationMonths,INDEX(FixedAssets[Depreciation
/ Amortization Months],_xlfn.XMATCH($E$135,FixedAssets[Asset ID])),IF(AND((_xlfn.XMATCH(AL$8,$AH$8:$CC$8))-_xlfn.XMATCH($C157,$C$35:$C$82)+1&lt;=_xlpm.DepreciationMonths,$C157&lt;=AL$8),$E157/_xlpm.DepreciationMonths,0))</f>
        <v>0</v>
      </c>
      <c r="AM157" s="507" cm="1">
        <f t="array" ref="AM157">_xlfn.LET(_xlpm.DepreciationMonths,INDEX(FixedAssets[Depreciation
/ Amortization Months],_xlfn.XMATCH($E$135,FixedAssets[Asset ID])),IF(AND((_xlfn.XMATCH(AM$8,$AH$8:$CC$8))-_xlfn.XMATCH($C157,$C$35:$C$82)+1&lt;=_xlpm.DepreciationMonths,$C157&lt;=AM$8),$E157/_xlpm.DepreciationMonths,0))</f>
        <v>0</v>
      </c>
      <c r="AN157" s="507" cm="1">
        <f t="array" ref="AN157">_xlfn.LET(_xlpm.DepreciationMonths,INDEX(FixedAssets[Depreciation
/ Amortization Months],_xlfn.XMATCH($E$135,FixedAssets[Asset ID])),IF(AND((_xlfn.XMATCH(AN$8,$AH$8:$CC$8))-_xlfn.XMATCH($C157,$C$35:$C$82)+1&lt;=_xlpm.DepreciationMonths,$C157&lt;=AN$8),$E157/_xlpm.DepreciationMonths,0))</f>
        <v>0</v>
      </c>
      <c r="AO157" s="507" cm="1">
        <f t="array" ref="AO157">_xlfn.LET(_xlpm.DepreciationMonths,INDEX(FixedAssets[Depreciation
/ Amortization Months],_xlfn.XMATCH($E$135,FixedAssets[Asset ID])),IF(AND((_xlfn.XMATCH(AO$8,$AH$8:$CC$8))-_xlfn.XMATCH($C157,$C$35:$C$82)+1&lt;=_xlpm.DepreciationMonths,$C157&lt;=AO$8),$E157/_xlpm.DepreciationMonths,0))</f>
        <v>0</v>
      </c>
      <c r="AP157" s="507" cm="1">
        <f t="array" ref="AP157">_xlfn.LET(_xlpm.DepreciationMonths,INDEX(FixedAssets[Depreciation
/ Amortization Months],_xlfn.XMATCH($E$135,FixedAssets[Asset ID])),IF(AND((_xlfn.XMATCH(AP$8,$AH$8:$CC$8))-_xlfn.XMATCH($C157,$C$35:$C$82)+1&lt;=_xlpm.DepreciationMonths,$C157&lt;=AP$8),$E157/_xlpm.DepreciationMonths,0))</f>
        <v>0</v>
      </c>
      <c r="AQ157" s="507" cm="1">
        <f t="array" ref="AQ157">_xlfn.LET(_xlpm.DepreciationMonths,INDEX(FixedAssets[Depreciation
/ Amortization Months],_xlfn.XMATCH($E$135,FixedAssets[Asset ID])),IF(AND((_xlfn.XMATCH(AQ$8,$AH$8:$CC$8))-_xlfn.XMATCH($C157,$C$35:$C$82)+1&lt;=_xlpm.DepreciationMonths,$C157&lt;=AQ$8),$E157/_xlpm.DepreciationMonths,0))</f>
        <v>0</v>
      </c>
      <c r="AR157" s="507" cm="1">
        <f t="array" ref="AR157">_xlfn.LET(_xlpm.DepreciationMonths,INDEX(FixedAssets[Depreciation
/ Amortization Months],_xlfn.XMATCH($E$135,FixedAssets[Asset ID])),IF(AND((_xlfn.XMATCH(AR$8,$AH$8:$CC$8))-_xlfn.XMATCH($C157,$C$35:$C$82)+1&lt;=_xlpm.DepreciationMonths,$C157&lt;=AR$8),$E157/_xlpm.DepreciationMonths,0))</f>
        <v>0</v>
      </c>
      <c r="AS157" s="507" cm="1">
        <f t="array" ref="AS157">_xlfn.LET(_xlpm.DepreciationMonths,INDEX(FixedAssets[Depreciation
/ Amortization Months],_xlfn.XMATCH($E$135,FixedAssets[Asset ID])),IF(AND((_xlfn.XMATCH(AS$8,$AH$8:$CC$8))-_xlfn.XMATCH($C157,$C$35:$C$82)+1&lt;=_xlpm.DepreciationMonths,$C157&lt;=AS$8),$E157/_xlpm.DepreciationMonths,0))</f>
        <v>0</v>
      </c>
      <c r="AT157" s="507" cm="1">
        <f t="array" ref="AT157">_xlfn.LET(_xlpm.DepreciationMonths,INDEX(FixedAssets[Depreciation
/ Amortization Months],_xlfn.XMATCH($E$135,FixedAssets[Asset ID])),IF(AND((_xlfn.XMATCH(AT$8,$AH$8:$CC$8))-_xlfn.XMATCH($C157,$C$35:$C$82)+1&lt;=_xlpm.DepreciationMonths,$C157&lt;=AT$8),$E157/_xlpm.DepreciationMonths,0))</f>
        <v>0</v>
      </c>
      <c r="AU157" s="507" cm="1">
        <f t="array" ref="AU157">_xlfn.LET(_xlpm.DepreciationMonths,INDEX(FixedAssets[Depreciation
/ Amortization Months],_xlfn.XMATCH($E$135,FixedAssets[Asset ID])),IF(AND((_xlfn.XMATCH(AU$8,$AH$8:$CC$8))-_xlfn.XMATCH($C157,$C$35:$C$82)+1&lt;=_xlpm.DepreciationMonths,$C157&lt;=AU$8),$E157/_xlpm.DepreciationMonths,0))</f>
        <v>0</v>
      </c>
      <c r="AV157" s="507" cm="1">
        <f t="array" ref="AV157">_xlfn.LET(_xlpm.DepreciationMonths,INDEX(FixedAssets[Depreciation
/ Amortization Months],_xlfn.XMATCH($E$135,FixedAssets[Asset ID])),IF(AND((_xlfn.XMATCH(AV$8,$AH$8:$CC$8))-_xlfn.XMATCH($C157,$C$35:$C$82)+1&lt;=_xlpm.DepreciationMonths,$C157&lt;=AV$8),$E157/_xlpm.DepreciationMonths,0))</f>
        <v>0</v>
      </c>
      <c r="AW157" s="507" cm="1">
        <f t="array" ref="AW157">_xlfn.LET(_xlpm.DepreciationMonths,INDEX(FixedAssets[Depreciation
/ Amortization Months],_xlfn.XMATCH($E$135,FixedAssets[Asset ID])),IF(AND((_xlfn.XMATCH(AW$8,$AH$8:$CC$8))-_xlfn.XMATCH($C157,$C$35:$C$82)+1&lt;=_xlpm.DepreciationMonths,$C157&lt;=AW$8),$E157/_xlpm.DepreciationMonths,0))</f>
        <v>0</v>
      </c>
      <c r="AX157" s="507" cm="1">
        <f t="array" ref="AX157">_xlfn.LET(_xlpm.DepreciationMonths,INDEX(FixedAssets[Depreciation
/ Amortization Months],_xlfn.XMATCH($E$135,FixedAssets[Asset ID])),IF(AND((_xlfn.XMATCH(AX$8,$AH$8:$CC$8))-_xlfn.XMATCH($C157,$C$35:$C$82)+1&lt;=_xlpm.DepreciationMonths,$C157&lt;=AX$8),$E157/_xlpm.DepreciationMonths,0))</f>
        <v>0</v>
      </c>
      <c r="AY157" s="507" cm="1">
        <f t="array" ref="AY157">_xlfn.LET(_xlpm.DepreciationMonths,INDEX(FixedAssets[Depreciation
/ Amortization Months],_xlfn.XMATCH($E$135,FixedAssets[Asset ID])),IF(AND((_xlfn.XMATCH(AY$8,$AH$8:$CC$8))-_xlfn.XMATCH($C157,$C$35:$C$82)+1&lt;=_xlpm.DepreciationMonths,$C157&lt;=AY$8),$E157/_xlpm.DepreciationMonths,0))</f>
        <v>0</v>
      </c>
      <c r="AZ157" s="507" cm="1">
        <f t="array" ref="AZ157">_xlfn.LET(_xlpm.DepreciationMonths,INDEX(FixedAssets[Depreciation
/ Amortization Months],_xlfn.XMATCH($E$135,FixedAssets[Asset ID])),IF(AND((_xlfn.XMATCH(AZ$8,$AH$8:$CC$8))-_xlfn.XMATCH($C157,$C$35:$C$82)+1&lt;=_xlpm.DepreciationMonths,$C157&lt;=AZ$8),$E157/_xlpm.DepreciationMonths,0))</f>
        <v>0</v>
      </c>
      <c r="BA157" s="507" cm="1">
        <f t="array" ref="BA157">_xlfn.LET(_xlpm.DepreciationMonths,INDEX(FixedAssets[Depreciation
/ Amortization Months],_xlfn.XMATCH($E$135,FixedAssets[Asset ID])),IF(AND((_xlfn.XMATCH(BA$8,$AH$8:$CC$8))-_xlfn.XMATCH($C157,$C$35:$C$82)+1&lt;=_xlpm.DepreciationMonths,$C157&lt;=BA$8),$E157/_xlpm.DepreciationMonths,0))</f>
        <v>0</v>
      </c>
      <c r="BB157" s="507" cm="1">
        <f t="array" ref="BB157">_xlfn.LET(_xlpm.DepreciationMonths,INDEX(FixedAssets[Depreciation
/ Amortization Months],_xlfn.XMATCH($E$135,FixedAssets[Asset ID])),IF(AND((_xlfn.XMATCH(BB$8,$AH$8:$CC$8))-_xlfn.XMATCH($C157,$C$35:$C$82)+1&lt;=_xlpm.DepreciationMonths,$C157&lt;=BB$8),$E157/_xlpm.DepreciationMonths,0))</f>
        <v>0</v>
      </c>
      <c r="BC157" s="507" cm="1">
        <f t="array" ref="BC157">_xlfn.LET(_xlpm.DepreciationMonths,INDEX(FixedAssets[Depreciation
/ Amortization Months],_xlfn.XMATCH($E$135,FixedAssets[Asset ID])),IF(AND((_xlfn.XMATCH(BC$8,$AH$8:$CC$8))-_xlfn.XMATCH($C157,$C$35:$C$82)+1&lt;=_xlpm.DepreciationMonths,$C157&lt;=BC$8),$E157/_xlpm.DepreciationMonths,0))</f>
        <v>0</v>
      </c>
      <c r="BD157" s="507" cm="1">
        <f t="array" ref="BD157">_xlfn.LET(_xlpm.DepreciationMonths,INDEX(FixedAssets[Depreciation
/ Amortization Months],_xlfn.XMATCH($E$135,FixedAssets[Asset ID])),IF(AND((_xlfn.XMATCH(BD$8,$AH$8:$CC$8))-_xlfn.XMATCH($C157,$C$35:$C$82)+1&lt;=_xlpm.DepreciationMonths,$C157&lt;=BD$8),$E157/_xlpm.DepreciationMonths,0))</f>
        <v>0</v>
      </c>
      <c r="BE157" s="507" cm="1">
        <f t="array" ref="BE157">_xlfn.LET(_xlpm.DepreciationMonths,INDEX(FixedAssets[Depreciation
/ Amortization Months],_xlfn.XMATCH($E$135,FixedAssets[Asset ID])),IF(AND((_xlfn.XMATCH(BE$8,$AH$8:$CC$8))-_xlfn.XMATCH($C157,$C$35:$C$82)+1&lt;=_xlpm.DepreciationMonths,$C157&lt;=BE$8),$E157/_xlpm.DepreciationMonths,0))</f>
        <v>0</v>
      </c>
      <c r="BF157" s="507" cm="1">
        <f t="array" ref="BF157">_xlfn.LET(_xlpm.DepreciationMonths,INDEX(FixedAssets[Depreciation
/ Amortization Months],_xlfn.XMATCH($E$135,FixedAssets[Asset ID])),IF(AND((_xlfn.XMATCH(BF$8,$AH$8:$CC$8))-_xlfn.XMATCH($C157,$C$35:$C$82)+1&lt;=_xlpm.DepreciationMonths,$C157&lt;=BF$8),$E157/_xlpm.DepreciationMonths,0))</f>
        <v>0</v>
      </c>
      <c r="BG157" s="507" cm="1">
        <f t="array" ref="BG157">_xlfn.LET(_xlpm.DepreciationMonths,INDEX(FixedAssets[Depreciation
/ Amortization Months],_xlfn.XMATCH($E$135,FixedAssets[Asset ID])),IF(AND((_xlfn.XMATCH(BG$8,$AH$8:$CC$8))-_xlfn.XMATCH($C157,$C$35:$C$82)+1&lt;=_xlpm.DepreciationMonths,$C157&lt;=BG$8),$E157/_xlpm.DepreciationMonths,0))</f>
        <v>0</v>
      </c>
      <c r="BH157" s="507" cm="1">
        <f t="array" ref="BH157">_xlfn.LET(_xlpm.DepreciationMonths,INDEX(FixedAssets[Depreciation
/ Amortization Months],_xlfn.XMATCH($E$135,FixedAssets[Asset ID])),IF(AND((_xlfn.XMATCH(BH$8,$AH$8:$CC$8))-_xlfn.XMATCH($C157,$C$35:$C$82)+1&lt;=_xlpm.DepreciationMonths,$C157&lt;=BH$8),$E157/_xlpm.DepreciationMonths,0))</f>
        <v>0</v>
      </c>
      <c r="BI157" s="507" cm="1">
        <f t="array" ref="BI157">_xlfn.LET(_xlpm.DepreciationMonths,INDEX(FixedAssets[Depreciation
/ Amortization Months],_xlfn.XMATCH($E$135,FixedAssets[Asset ID])),IF(AND((_xlfn.XMATCH(BI$8,$AH$8:$CC$8))-_xlfn.XMATCH($C157,$C$35:$C$82)+1&lt;=_xlpm.DepreciationMonths,$C157&lt;=BI$8),$E157/_xlpm.DepreciationMonths,0))</f>
        <v>0</v>
      </c>
      <c r="BJ157" s="507" cm="1">
        <f t="array" ref="BJ157">_xlfn.LET(_xlpm.DepreciationMonths,INDEX(FixedAssets[Depreciation
/ Amortization Months],_xlfn.XMATCH($E$135,FixedAssets[Asset ID])),IF(AND((_xlfn.XMATCH(BJ$8,$AH$8:$CC$8))-_xlfn.XMATCH($C157,$C$35:$C$82)+1&lt;=_xlpm.DepreciationMonths,$C157&lt;=BJ$8),$E157/_xlpm.DepreciationMonths,0))</f>
        <v>0</v>
      </c>
      <c r="BK157" s="507" cm="1">
        <f t="array" ref="BK157">_xlfn.LET(_xlpm.DepreciationMonths,INDEX(FixedAssets[Depreciation
/ Amortization Months],_xlfn.XMATCH($E$135,FixedAssets[Asset ID])),IF(AND((_xlfn.XMATCH(BK$8,$AH$8:$CC$8))-_xlfn.XMATCH($C157,$C$35:$C$82)+1&lt;=_xlpm.DepreciationMonths,$C157&lt;=BK$8),$E157/_xlpm.DepreciationMonths,0))</f>
        <v>0</v>
      </c>
      <c r="BL157" s="507" cm="1">
        <f t="array" ref="BL157">_xlfn.LET(_xlpm.DepreciationMonths,INDEX(FixedAssets[Depreciation
/ Amortization Months],_xlfn.XMATCH($E$135,FixedAssets[Asset ID])),IF(AND((_xlfn.XMATCH(BL$8,$AH$8:$CC$8))-_xlfn.XMATCH($C157,$C$35:$C$82)+1&lt;=_xlpm.DepreciationMonths,$C157&lt;=BL$8),$E157/_xlpm.DepreciationMonths,0))</f>
        <v>0</v>
      </c>
      <c r="BM157" s="507" cm="1">
        <f t="array" ref="BM157">_xlfn.LET(_xlpm.DepreciationMonths,INDEX(FixedAssets[Depreciation
/ Amortization Months],_xlfn.XMATCH($E$135,FixedAssets[Asset ID])),IF(AND((_xlfn.XMATCH(BM$8,$AH$8:$CC$8))-_xlfn.XMATCH($C157,$C$35:$C$82)+1&lt;=_xlpm.DepreciationMonths,$C157&lt;=BM$8),$E157/_xlpm.DepreciationMonths,0))</f>
        <v>0</v>
      </c>
      <c r="BN157" s="507" cm="1">
        <f t="array" ref="BN157">_xlfn.LET(_xlpm.DepreciationMonths,INDEX(FixedAssets[Depreciation
/ Amortization Months],_xlfn.XMATCH($E$135,FixedAssets[Asset ID])),IF(AND((_xlfn.XMATCH(BN$8,$AH$8:$CC$8))-_xlfn.XMATCH($C157,$C$35:$C$82)+1&lt;=_xlpm.DepreciationMonths,$C157&lt;=BN$8),$E157/_xlpm.DepreciationMonths,0))</f>
        <v>0</v>
      </c>
      <c r="BO157" s="507" cm="1">
        <f t="array" ref="BO157">_xlfn.LET(_xlpm.DepreciationMonths,INDEX(FixedAssets[Depreciation
/ Amortization Months],_xlfn.XMATCH($E$135,FixedAssets[Asset ID])),IF(AND((_xlfn.XMATCH(BO$8,$AH$8:$CC$8))-_xlfn.XMATCH($C157,$C$35:$C$82)+1&lt;=_xlpm.DepreciationMonths,$C157&lt;=BO$8),$E157/_xlpm.DepreciationMonths,0))</f>
        <v>0</v>
      </c>
      <c r="BP157" s="507" cm="1">
        <f t="array" ref="BP157">_xlfn.LET(_xlpm.DepreciationMonths,INDEX(FixedAssets[Depreciation
/ Amortization Months],_xlfn.XMATCH($E$135,FixedAssets[Asset ID])),IF(AND((_xlfn.XMATCH(BP$8,$AH$8:$CC$8))-_xlfn.XMATCH($C157,$C$35:$C$82)+1&lt;=_xlpm.DepreciationMonths,$C157&lt;=BP$8),$E157/_xlpm.DepreciationMonths,0))</f>
        <v>0</v>
      </c>
      <c r="BQ157" s="507" cm="1">
        <f t="array" ref="BQ157">_xlfn.LET(_xlpm.DepreciationMonths,INDEX(FixedAssets[Depreciation
/ Amortization Months],_xlfn.XMATCH($E$135,FixedAssets[Asset ID])),IF(AND((_xlfn.XMATCH(BQ$8,$AH$8:$CC$8))-_xlfn.XMATCH($C157,$C$35:$C$82)+1&lt;=_xlpm.DepreciationMonths,$C157&lt;=BQ$8),$E157/_xlpm.DepreciationMonths,0))</f>
        <v>0</v>
      </c>
      <c r="BR157" s="507" cm="1">
        <f t="array" ref="BR157">_xlfn.LET(_xlpm.DepreciationMonths,INDEX(FixedAssets[Depreciation
/ Amortization Months],_xlfn.XMATCH($E$135,FixedAssets[Asset ID])),IF(AND((_xlfn.XMATCH(BR$8,$AH$8:$CC$8))-_xlfn.XMATCH($C157,$C$35:$C$82)+1&lt;=_xlpm.DepreciationMonths,$C157&lt;=BR$8),$E157/_xlpm.DepreciationMonths,0))</f>
        <v>0</v>
      </c>
      <c r="BS157" s="507" cm="1">
        <f t="array" ref="BS157">_xlfn.LET(_xlpm.DepreciationMonths,INDEX(FixedAssets[Depreciation
/ Amortization Months],_xlfn.XMATCH($E$135,FixedAssets[Asset ID])),IF(AND((_xlfn.XMATCH(BS$8,$AH$8:$CC$8))-_xlfn.XMATCH($C157,$C$35:$C$82)+1&lt;=_xlpm.DepreciationMonths,$C157&lt;=BS$8),$E157/_xlpm.DepreciationMonths,0))</f>
        <v>0</v>
      </c>
      <c r="BT157" s="507" cm="1">
        <f t="array" ref="BT157">_xlfn.LET(_xlpm.DepreciationMonths,INDEX(FixedAssets[Depreciation
/ Amortization Months],_xlfn.XMATCH($E$135,FixedAssets[Asset ID])),IF(AND((_xlfn.XMATCH(BT$8,$AH$8:$CC$8))-_xlfn.XMATCH($C157,$C$35:$C$82)+1&lt;=_xlpm.DepreciationMonths,$C157&lt;=BT$8),$E157/_xlpm.DepreciationMonths,0))</f>
        <v>0</v>
      </c>
      <c r="BU157" s="507" cm="1">
        <f t="array" ref="BU157">_xlfn.LET(_xlpm.DepreciationMonths,INDEX(FixedAssets[Depreciation
/ Amortization Months],_xlfn.XMATCH($E$135,FixedAssets[Asset ID])),IF(AND((_xlfn.XMATCH(BU$8,$AH$8:$CC$8))-_xlfn.XMATCH($C157,$C$35:$C$82)+1&lt;=_xlpm.DepreciationMonths,$C157&lt;=BU$8),$E157/_xlpm.DepreciationMonths,0))</f>
        <v>0</v>
      </c>
      <c r="BV157" s="507" cm="1">
        <f t="array" ref="BV157">_xlfn.LET(_xlpm.DepreciationMonths,INDEX(FixedAssets[Depreciation
/ Amortization Months],_xlfn.XMATCH($E$135,FixedAssets[Asset ID])),IF(AND((_xlfn.XMATCH(BV$8,$AH$8:$CC$8))-_xlfn.XMATCH($C157,$C$35:$C$82)+1&lt;=_xlpm.DepreciationMonths,$C157&lt;=BV$8),$E157/_xlpm.DepreciationMonths,0))</f>
        <v>0</v>
      </c>
      <c r="BW157" s="507" cm="1">
        <f t="array" ref="BW157">_xlfn.LET(_xlpm.DepreciationMonths,INDEX(FixedAssets[Depreciation
/ Amortization Months],_xlfn.XMATCH($E$135,FixedAssets[Asset ID])),IF(AND((_xlfn.XMATCH(BW$8,$AH$8:$CC$8))-_xlfn.XMATCH($C157,$C$35:$C$82)+1&lt;=_xlpm.DepreciationMonths,$C157&lt;=BW$8),$E157/_xlpm.DepreciationMonths,0))</f>
        <v>0</v>
      </c>
      <c r="BX157" s="507" cm="1">
        <f t="array" ref="BX157">_xlfn.LET(_xlpm.DepreciationMonths,INDEX(FixedAssets[Depreciation
/ Amortization Months],_xlfn.XMATCH($E$135,FixedAssets[Asset ID])),IF(AND((_xlfn.XMATCH(BX$8,$AH$8:$CC$8))-_xlfn.XMATCH($C157,$C$35:$C$82)+1&lt;=_xlpm.DepreciationMonths,$C157&lt;=BX$8),$E157/_xlpm.DepreciationMonths,0))</f>
        <v>0</v>
      </c>
      <c r="BY157" s="507" cm="1">
        <f t="array" ref="BY157">_xlfn.LET(_xlpm.DepreciationMonths,INDEX(FixedAssets[Depreciation
/ Amortization Months],_xlfn.XMATCH($E$135,FixedAssets[Asset ID])),IF(AND((_xlfn.XMATCH(BY$8,$AH$8:$CC$8))-_xlfn.XMATCH($C157,$C$35:$C$82)+1&lt;=_xlpm.DepreciationMonths,$C157&lt;=BY$8),$E157/_xlpm.DepreciationMonths,0))</f>
        <v>0</v>
      </c>
      <c r="BZ157" s="507" cm="1">
        <f t="array" ref="BZ157">_xlfn.LET(_xlpm.DepreciationMonths,INDEX(FixedAssets[Depreciation
/ Amortization Months],_xlfn.XMATCH($E$135,FixedAssets[Asset ID])),IF(AND((_xlfn.XMATCH(BZ$8,$AH$8:$CC$8))-_xlfn.XMATCH($C157,$C$35:$C$82)+1&lt;=_xlpm.DepreciationMonths,$C157&lt;=BZ$8),$E157/_xlpm.DepreciationMonths,0))</f>
        <v>0</v>
      </c>
      <c r="CA157" s="507" cm="1">
        <f t="array" ref="CA157">_xlfn.LET(_xlpm.DepreciationMonths,INDEX(FixedAssets[Depreciation
/ Amortization Months],_xlfn.XMATCH($E$135,FixedAssets[Asset ID])),IF(AND((_xlfn.XMATCH(CA$8,$AH$8:$CC$8))-_xlfn.XMATCH($C157,$C$35:$C$82)+1&lt;=_xlpm.DepreciationMonths,$C157&lt;=CA$8),$E157/_xlpm.DepreciationMonths,0))</f>
        <v>0</v>
      </c>
      <c r="CB157" s="507" cm="1">
        <f t="array" ref="CB157">_xlfn.LET(_xlpm.DepreciationMonths,INDEX(FixedAssets[Depreciation
/ Amortization Months],_xlfn.XMATCH($E$135,FixedAssets[Asset ID])),IF(AND((_xlfn.XMATCH(CB$8,$AH$8:$CC$8))-_xlfn.XMATCH($C157,$C$35:$C$82)+1&lt;=_xlpm.DepreciationMonths,$C157&lt;=CB$8),$E157/_xlpm.DepreciationMonths,0))</f>
        <v>0</v>
      </c>
      <c r="CC157" s="507" cm="1">
        <f t="array" ref="CC157">_xlfn.LET(_xlpm.DepreciationMonths,INDEX(FixedAssets[Depreciation
/ Amortization Months],_xlfn.XMATCH($E$135,FixedAssets[Asset ID])),IF(AND((_xlfn.XMATCH(CC$8,$AH$8:$CC$8))-_xlfn.XMATCH($C157,$C$35:$C$82)+1&lt;=_xlpm.DepreciationMonths,$C157&lt;=CC$8),$E157/_xlpm.DepreciationMonths,0))</f>
        <v>0</v>
      </c>
    </row>
    <row r="158" spans="3:81" hidden="1" outlineLevel="2">
      <c r="C158" s="664">
        <f t="shared" si="243"/>
        <v>45596</v>
      </c>
      <c r="D158" s="508"/>
      <c r="E158" s="508" cm="1">
        <f t="array" ref="E158">SUMPRODUCT(($AH$26:$CC$31)*($AH$5:$CC$5=$C158)*($E$26:$E$31=E$135))-SUMPRODUCT(($AH$26:$CC$31)*($AH$5:$CC$5=EOMONTH($C158,-1))*($E$26:$E$31=E$135))</f>
        <v>0</v>
      </c>
      <c r="F158" s="508"/>
      <c r="G158" s="508"/>
      <c r="H158" s="508"/>
      <c r="I158" s="508"/>
      <c r="J158" s="504">
        <f t="shared" si="240"/>
        <v>0</v>
      </c>
      <c r="K158" s="504">
        <f t="shared" si="245"/>
        <v>0</v>
      </c>
      <c r="L158" s="504">
        <f t="shared" si="245"/>
        <v>0</v>
      </c>
      <c r="M158" s="504">
        <f t="shared" si="245"/>
        <v>0</v>
      </c>
      <c r="N158" s="504"/>
      <c r="O158" s="504"/>
      <c r="P158" s="504">
        <f t="shared" si="246"/>
        <v>0</v>
      </c>
      <c r="Q158" s="504">
        <f t="shared" si="246"/>
        <v>0</v>
      </c>
      <c r="R158" s="504">
        <f t="shared" si="246"/>
        <v>0</v>
      </c>
      <c r="S158" s="504">
        <f t="shared" si="246"/>
        <v>0</v>
      </c>
      <c r="T158" s="504">
        <f t="shared" si="246"/>
        <v>0</v>
      </c>
      <c r="U158" s="504">
        <f t="shared" si="246"/>
        <v>0</v>
      </c>
      <c r="V158" s="504">
        <f t="shared" si="246"/>
        <v>0</v>
      </c>
      <c r="W158" s="504">
        <f t="shared" si="246"/>
        <v>0</v>
      </c>
      <c r="X158" s="504">
        <f t="shared" si="246"/>
        <v>0</v>
      </c>
      <c r="Y158" s="504">
        <f t="shared" si="246"/>
        <v>0</v>
      </c>
      <c r="Z158" s="504">
        <f t="shared" si="246"/>
        <v>0</v>
      </c>
      <c r="AA158" s="504">
        <f t="shared" si="246"/>
        <v>0</v>
      </c>
      <c r="AB158" s="504">
        <f t="shared" si="246"/>
        <v>0</v>
      </c>
      <c r="AC158" s="504">
        <f t="shared" si="246"/>
        <v>0</v>
      </c>
      <c r="AD158" s="504">
        <f t="shared" si="246"/>
        <v>0</v>
      </c>
      <c r="AE158" s="504">
        <f t="shared" si="246"/>
        <v>0</v>
      </c>
      <c r="AF158" s="508"/>
      <c r="AG158" s="508"/>
      <c r="AH158" s="507" cm="1">
        <f t="array" ref="AH158">_xlfn.LET(_xlpm.DepreciationMonths,INDEX(FixedAssets[Depreciation
/ Amortization Months],_xlfn.XMATCH($E$135,FixedAssets[Asset ID])),IF(AND((_xlfn.XMATCH(AH$8,$AH$8:$CC$8))-_xlfn.XMATCH($C158,$C$35:$C$82)+1&lt;=_xlpm.DepreciationMonths,$C158&lt;=AH$8),$E158/_xlpm.DepreciationMonths,0))</f>
        <v>0</v>
      </c>
      <c r="AI158" s="507" cm="1">
        <f t="array" ref="AI158">_xlfn.LET(_xlpm.DepreciationMonths,INDEX(FixedAssets[Depreciation
/ Amortization Months],_xlfn.XMATCH($E$135,FixedAssets[Asset ID])),IF(AND((_xlfn.XMATCH(AI$8,$AH$8:$CC$8))-_xlfn.XMATCH($C158,$C$35:$C$82)+1&lt;=_xlpm.DepreciationMonths,$C158&lt;=AI$8),$E158/_xlpm.DepreciationMonths,0))</f>
        <v>0</v>
      </c>
      <c r="AJ158" s="507" cm="1">
        <f t="array" ref="AJ158">_xlfn.LET(_xlpm.DepreciationMonths,INDEX(FixedAssets[Depreciation
/ Amortization Months],_xlfn.XMATCH($E$135,FixedAssets[Asset ID])),IF(AND((_xlfn.XMATCH(AJ$8,$AH$8:$CC$8))-_xlfn.XMATCH($C158,$C$35:$C$82)+1&lt;=_xlpm.DepreciationMonths,$C158&lt;=AJ$8),$E158/_xlpm.DepreciationMonths,0))</f>
        <v>0</v>
      </c>
      <c r="AK158" s="507" cm="1">
        <f t="array" ref="AK158">_xlfn.LET(_xlpm.DepreciationMonths,INDEX(FixedAssets[Depreciation
/ Amortization Months],_xlfn.XMATCH($E$135,FixedAssets[Asset ID])),IF(AND((_xlfn.XMATCH(AK$8,$AH$8:$CC$8))-_xlfn.XMATCH($C158,$C$35:$C$82)+1&lt;=_xlpm.DepreciationMonths,$C158&lt;=AK$8),$E158/_xlpm.DepreciationMonths,0))</f>
        <v>0</v>
      </c>
      <c r="AL158" s="507" cm="1">
        <f t="array" ref="AL158">_xlfn.LET(_xlpm.DepreciationMonths,INDEX(FixedAssets[Depreciation
/ Amortization Months],_xlfn.XMATCH($E$135,FixedAssets[Asset ID])),IF(AND((_xlfn.XMATCH(AL$8,$AH$8:$CC$8))-_xlfn.XMATCH($C158,$C$35:$C$82)+1&lt;=_xlpm.DepreciationMonths,$C158&lt;=AL$8),$E158/_xlpm.DepreciationMonths,0))</f>
        <v>0</v>
      </c>
      <c r="AM158" s="507" cm="1">
        <f t="array" ref="AM158">_xlfn.LET(_xlpm.DepreciationMonths,INDEX(FixedAssets[Depreciation
/ Amortization Months],_xlfn.XMATCH($E$135,FixedAssets[Asset ID])),IF(AND((_xlfn.XMATCH(AM$8,$AH$8:$CC$8))-_xlfn.XMATCH($C158,$C$35:$C$82)+1&lt;=_xlpm.DepreciationMonths,$C158&lt;=AM$8),$E158/_xlpm.DepreciationMonths,0))</f>
        <v>0</v>
      </c>
      <c r="AN158" s="507" cm="1">
        <f t="array" ref="AN158">_xlfn.LET(_xlpm.DepreciationMonths,INDEX(FixedAssets[Depreciation
/ Amortization Months],_xlfn.XMATCH($E$135,FixedAssets[Asset ID])),IF(AND((_xlfn.XMATCH(AN$8,$AH$8:$CC$8))-_xlfn.XMATCH($C158,$C$35:$C$82)+1&lt;=_xlpm.DepreciationMonths,$C158&lt;=AN$8),$E158/_xlpm.DepreciationMonths,0))</f>
        <v>0</v>
      </c>
      <c r="AO158" s="507" cm="1">
        <f t="array" ref="AO158">_xlfn.LET(_xlpm.DepreciationMonths,INDEX(FixedAssets[Depreciation
/ Amortization Months],_xlfn.XMATCH($E$135,FixedAssets[Asset ID])),IF(AND((_xlfn.XMATCH(AO$8,$AH$8:$CC$8))-_xlfn.XMATCH($C158,$C$35:$C$82)+1&lt;=_xlpm.DepreciationMonths,$C158&lt;=AO$8),$E158/_xlpm.DepreciationMonths,0))</f>
        <v>0</v>
      </c>
      <c r="AP158" s="507" cm="1">
        <f t="array" ref="AP158">_xlfn.LET(_xlpm.DepreciationMonths,INDEX(FixedAssets[Depreciation
/ Amortization Months],_xlfn.XMATCH($E$135,FixedAssets[Asset ID])),IF(AND((_xlfn.XMATCH(AP$8,$AH$8:$CC$8))-_xlfn.XMATCH($C158,$C$35:$C$82)+1&lt;=_xlpm.DepreciationMonths,$C158&lt;=AP$8),$E158/_xlpm.DepreciationMonths,0))</f>
        <v>0</v>
      </c>
      <c r="AQ158" s="507" cm="1">
        <f t="array" ref="AQ158">_xlfn.LET(_xlpm.DepreciationMonths,INDEX(FixedAssets[Depreciation
/ Amortization Months],_xlfn.XMATCH($E$135,FixedAssets[Asset ID])),IF(AND((_xlfn.XMATCH(AQ$8,$AH$8:$CC$8))-_xlfn.XMATCH($C158,$C$35:$C$82)+1&lt;=_xlpm.DepreciationMonths,$C158&lt;=AQ$8),$E158/_xlpm.DepreciationMonths,0))</f>
        <v>0</v>
      </c>
      <c r="AR158" s="507" cm="1">
        <f t="array" ref="AR158">_xlfn.LET(_xlpm.DepreciationMonths,INDEX(FixedAssets[Depreciation
/ Amortization Months],_xlfn.XMATCH($E$135,FixedAssets[Asset ID])),IF(AND((_xlfn.XMATCH(AR$8,$AH$8:$CC$8))-_xlfn.XMATCH($C158,$C$35:$C$82)+1&lt;=_xlpm.DepreciationMonths,$C158&lt;=AR$8),$E158/_xlpm.DepreciationMonths,0))</f>
        <v>0</v>
      </c>
      <c r="AS158" s="507" cm="1">
        <f t="array" ref="AS158">_xlfn.LET(_xlpm.DepreciationMonths,INDEX(FixedAssets[Depreciation
/ Amortization Months],_xlfn.XMATCH($E$135,FixedAssets[Asset ID])),IF(AND((_xlfn.XMATCH(AS$8,$AH$8:$CC$8))-_xlfn.XMATCH($C158,$C$35:$C$82)+1&lt;=_xlpm.DepreciationMonths,$C158&lt;=AS$8),$E158/_xlpm.DepreciationMonths,0))</f>
        <v>0</v>
      </c>
      <c r="AT158" s="507" cm="1">
        <f t="array" ref="AT158">_xlfn.LET(_xlpm.DepreciationMonths,INDEX(FixedAssets[Depreciation
/ Amortization Months],_xlfn.XMATCH($E$135,FixedAssets[Asset ID])),IF(AND((_xlfn.XMATCH(AT$8,$AH$8:$CC$8))-_xlfn.XMATCH($C158,$C$35:$C$82)+1&lt;=_xlpm.DepreciationMonths,$C158&lt;=AT$8),$E158/_xlpm.DepreciationMonths,0))</f>
        <v>0</v>
      </c>
      <c r="AU158" s="507" cm="1">
        <f t="array" ref="AU158">_xlfn.LET(_xlpm.DepreciationMonths,INDEX(FixedAssets[Depreciation
/ Amortization Months],_xlfn.XMATCH($E$135,FixedAssets[Asset ID])),IF(AND((_xlfn.XMATCH(AU$8,$AH$8:$CC$8))-_xlfn.XMATCH($C158,$C$35:$C$82)+1&lt;=_xlpm.DepreciationMonths,$C158&lt;=AU$8),$E158/_xlpm.DepreciationMonths,0))</f>
        <v>0</v>
      </c>
      <c r="AV158" s="507" cm="1">
        <f t="array" ref="AV158">_xlfn.LET(_xlpm.DepreciationMonths,INDEX(FixedAssets[Depreciation
/ Amortization Months],_xlfn.XMATCH($E$135,FixedAssets[Asset ID])),IF(AND((_xlfn.XMATCH(AV$8,$AH$8:$CC$8))-_xlfn.XMATCH($C158,$C$35:$C$82)+1&lt;=_xlpm.DepreciationMonths,$C158&lt;=AV$8),$E158/_xlpm.DepreciationMonths,0))</f>
        <v>0</v>
      </c>
      <c r="AW158" s="507" cm="1">
        <f t="array" ref="AW158">_xlfn.LET(_xlpm.DepreciationMonths,INDEX(FixedAssets[Depreciation
/ Amortization Months],_xlfn.XMATCH($E$135,FixedAssets[Asset ID])),IF(AND((_xlfn.XMATCH(AW$8,$AH$8:$CC$8))-_xlfn.XMATCH($C158,$C$35:$C$82)+1&lt;=_xlpm.DepreciationMonths,$C158&lt;=AW$8),$E158/_xlpm.DepreciationMonths,0))</f>
        <v>0</v>
      </c>
      <c r="AX158" s="507" cm="1">
        <f t="array" ref="AX158">_xlfn.LET(_xlpm.DepreciationMonths,INDEX(FixedAssets[Depreciation
/ Amortization Months],_xlfn.XMATCH($E$135,FixedAssets[Asset ID])),IF(AND((_xlfn.XMATCH(AX$8,$AH$8:$CC$8))-_xlfn.XMATCH($C158,$C$35:$C$82)+1&lt;=_xlpm.DepreciationMonths,$C158&lt;=AX$8),$E158/_xlpm.DepreciationMonths,0))</f>
        <v>0</v>
      </c>
      <c r="AY158" s="507" cm="1">
        <f t="array" ref="AY158">_xlfn.LET(_xlpm.DepreciationMonths,INDEX(FixedAssets[Depreciation
/ Amortization Months],_xlfn.XMATCH($E$135,FixedAssets[Asset ID])),IF(AND((_xlfn.XMATCH(AY$8,$AH$8:$CC$8))-_xlfn.XMATCH($C158,$C$35:$C$82)+1&lt;=_xlpm.DepreciationMonths,$C158&lt;=AY$8),$E158/_xlpm.DepreciationMonths,0))</f>
        <v>0</v>
      </c>
      <c r="AZ158" s="507" cm="1">
        <f t="array" ref="AZ158">_xlfn.LET(_xlpm.DepreciationMonths,INDEX(FixedAssets[Depreciation
/ Amortization Months],_xlfn.XMATCH($E$135,FixedAssets[Asset ID])),IF(AND((_xlfn.XMATCH(AZ$8,$AH$8:$CC$8))-_xlfn.XMATCH($C158,$C$35:$C$82)+1&lt;=_xlpm.DepreciationMonths,$C158&lt;=AZ$8),$E158/_xlpm.DepreciationMonths,0))</f>
        <v>0</v>
      </c>
      <c r="BA158" s="507" cm="1">
        <f t="array" ref="BA158">_xlfn.LET(_xlpm.DepreciationMonths,INDEX(FixedAssets[Depreciation
/ Amortization Months],_xlfn.XMATCH($E$135,FixedAssets[Asset ID])),IF(AND((_xlfn.XMATCH(BA$8,$AH$8:$CC$8))-_xlfn.XMATCH($C158,$C$35:$C$82)+1&lt;=_xlpm.DepreciationMonths,$C158&lt;=BA$8),$E158/_xlpm.DepreciationMonths,0))</f>
        <v>0</v>
      </c>
      <c r="BB158" s="507" cm="1">
        <f t="array" ref="BB158">_xlfn.LET(_xlpm.DepreciationMonths,INDEX(FixedAssets[Depreciation
/ Amortization Months],_xlfn.XMATCH($E$135,FixedAssets[Asset ID])),IF(AND((_xlfn.XMATCH(BB$8,$AH$8:$CC$8))-_xlfn.XMATCH($C158,$C$35:$C$82)+1&lt;=_xlpm.DepreciationMonths,$C158&lt;=BB$8),$E158/_xlpm.DepreciationMonths,0))</f>
        <v>0</v>
      </c>
      <c r="BC158" s="507" cm="1">
        <f t="array" ref="BC158">_xlfn.LET(_xlpm.DepreciationMonths,INDEX(FixedAssets[Depreciation
/ Amortization Months],_xlfn.XMATCH($E$135,FixedAssets[Asset ID])),IF(AND((_xlfn.XMATCH(BC$8,$AH$8:$CC$8))-_xlfn.XMATCH($C158,$C$35:$C$82)+1&lt;=_xlpm.DepreciationMonths,$C158&lt;=BC$8),$E158/_xlpm.DepreciationMonths,0))</f>
        <v>0</v>
      </c>
      <c r="BD158" s="507" cm="1">
        <f t="array" ref="BD158">_xlfn.LET(_xlpm.DepreciationMonths,INDEX(FixedAssets[Depreciation
/ Amortization Months],_xlfn.XMATCH($E$135,FixedAssets[Asset ID])),IF(AND((_xlfn.XMATCH(BD$8,$AH$8:$CC$8))-_xlfn.XMATCH($C158,$C$35:$C$82)+1&lt;=_xlpm.DepreciationMonths,$C158&lt;=BD$8),$E158/_xlpm.DepreciationMonths,0))</f>
        <v>0</v>
      </c>
      <c r="BE158" s="507" cm="1">
        <f t="array" ref="BE158">_xlfn.LET(_xlpm.DepreciationMonths,INDEX(FixedAssets[Depreciation
/ Amortization Months],_xlfn.XMATCH($E$135,FixedAssets[Asset ID])),IF(AND((_xlfn.XMATCH(BE$8,$AH$8:$CC$8))-_xlfn.XMATCH($C158,$C$35:$C$82)+1&lt;=_xlpm.DepreciationMonths,$C158&lt;=BE$8),$E158/_xlpm.DepreciationMonths,0))</f>
        <v>0</v>
      </c>
      <c r="BF158" s="507" cm="1">
        <f t="array" ref="BF158">_xlfn.LET(_xlpm.DepreciationMonths,INDEX(FixedAssets[Depreciation
/ Amortization Months],_xlfn.XMATCH($E$135,FixedAssets[Asset ID])),IF(AND((_xlfn.XMATCH(BF$8,$AH$8:$CC$8))-_xlfn.XMATCH($C158,$C$35:$C$82)+1&lt;=_xlpm.DepreciationMonths,$C158&lt;=BF$8),$E158/_xlpm.DepreciationMonths,0))</f>
        <v>0</v>
      </c>
      <c r="BG158" s="507" cm="1">
        <f t="array" ref="BG158">_xlfn.LET(_xlpm.DepreciationMonths,INDEX(FixedAssets[Depreciation
/ Amortization Months],_xlfn.XMATCH($E$135,FixedAssets[Asset ID])),IF(AND((_xlfn.XMATCH(BG$8,$AH$8:$CC$8))-_xlfn.XMATCH($C158,$C$35:$C$82)+1&lt;=_xlpm.DepreciationMonths,$C158&lt;=BG$8),$E158/_xlpm.DepreciationMonths,0))</f>
        <v>0</v>
      </c>
      <c r="BH158" s="507" cm="1">
        <f t="array" ref="BH158">_xlfn.LET(_xlpm.DepreciationMonths,INDEX(FixedAssets[Depreciation
/ Amortization Months],_xlfn.XMATCH($E$135,FixedAssets[Asset ID])),IF(AND((_xlfn.XMATCH(BH$8,$AH$8:$CC$8))-_xlfn.XMATCH($C158,$C$35:$C$82)+1&lt;=_xlpm.DepreciationMonths,$C158&lt;=BH$8),$E158/_xlpm.DepreciationMonths,0))</f>
        <v>0</v>
      </c>
      <c r="BI158" s="507" cm="1">
        <f t="array" ref="BI158">_xlfn.LET(_xlpm.DepreciationMonths,INDEX(FixedAssets[Depreciation
/ Amortization Months],_xlfn.XMATCH($E$135,FixedAssets[Asset ID])),IF(AND((_xlfn.XMATCH(BI$8,$AH$8:$CC$8))-_xlfn.XMATCH($C158,$C$35:$C$82)+1&lt;=_xlpm.DepreciationMonths,$C158&lt;=BI$8),$E158/_xlpm.DepreciationMonths,0))</f>
        <v>0</v>
      </c>
      <c r="BJ158" s="507" cm="1">
        <f t="array" ref="BJ158">_xlfn.LET(_xlpm.DepreciationMonths,INDEX(FixedAssets[Depreciation
/ Amortization Months],_xlfn.XMATCH($E$135,FixedAssets[Asset ID])),IF(AND((_xlfn.XMATCH(BJ$8,$AH$8:$CC$8))-_xlfn.XMATCH($C158,$C$35:$C$82)+1&lt;=_xlpm.DepreciationMonths,$C158&lt;=BJ$8),$E158/_xlpm.DepreciationMonths,0))</f>
        <v>0</v>
      </c>
      <c r="BK158" s="507" cm="1">
        <f t="array" ref="BK158">_xlfn.LET(_xlpm.DepreciationMonths,INDEX(FixedAssets[Depreciation
/ Amortization Months],_xlfn.XMATCH($E$135,FixedAssets[Asset ID])),IF(AND((_xlfn.XMATCH(BK$8,$AH$8:$CC$8))-_xlfn.XMATCH($C158,$C$35:$C$82)+1&lt;=_xlpm.DepreciationMonths,$C158&lt;=BK$8),$E158/_xlpm.DepreciationMonths,0))</f>
        <v>0</v>
      </c>
      <c r="BL158" s="507" cm="1">
        <f t="array" ref="BL158">_xlfn.LET(_xlpm.DepreciationMonths,INDEX(FixedAssets[Depreciation
/ Amortization Months],_xlfn.XMATCH($E$135,FixedAssets[Asset ID])),IF(AND((_xlfn.XMATCH(BL$8,$AH$8:$CC$8))-_xlfn.XMATCH($C158,$C$35:$C$82)+1&lt;=_xlpm.DepreciationMonths,$C158&lt;=BL$8),$E158/_xlpm.DepreciationMonths,0))</f>
        <v>0</v>
      </c>
      <c r="BM158" s="507" cm="1">
        <f t="array" ref="BM158">_xlfn.LET(_xlpm.DepreciationMonths,INDEX(FixedAssets[Depreciation
/ Amortization Months],_xlfn.XMATCH($E$135,FixedAssets[Asset ID])),IF(AND((_xlfn.XMATCH(BM$8,$AH$8:$CC$8))-_xlfn.XMATCH($C158,$C$35:$C$82)+1&lt;=_xlpm.DepreciationMonths,$C158&lt;=BM$8),$E158/_xlpm.DepreciationMonths,0))</f>
        <v>0</v>
      </c>
      <c r="BN158" s="507" cm="1">
        <f t="array" ref="BN158">_xlfn.LET(_xlpm.DepreciationMonths,INDEX(FixedAssets[Depreciation
/ Amortization Months],_xlfn.XMATCH($E$135,FixedAssets[Asset ID])),IF(AND((_xlfn.XMATCH(BN$8,$AH$8:$CC$8))-_xlfn.XMATCH($C158,$C$35:$C$82)+1&lt;=_xlpm.DepreciationMonths,$C158&lt;=BN$8),$E158/_xlpm.DepreciationMonths,0))</f>
        <v>0</v>
      </c>
      <c r="BO158" s="507" cm="1">
        <f t="array" ref="BO158">_xlfn.LET(_xlpm.DepreciationMonths,INDEX(FixedAssets[Depreciation
/ Amortization Months],_xlfn.XMATCH($E$135,FixedAssets[Asset ID])),IF(AND((_xlfn.XMATCH(BO$8,$AH$8:$CC$8))-_xlfn.XMATCH($C158,$C$35:$C$82)+1&lt;=_xlpm.DepreciationMonths,$C158&lt;=BO$8),$E158/_xlpm.DepreciationMonths,0))</f>
        <v>0</v>
      </c>
      <c r="BP158" s="507" cm="1">
        <f t="array" ref="BP158">_xlfn.LET(_xlpm.DepreciationMonths,INDEX(FixedAssets[Depreciation
/ Amortization Months],_xlfn.XMATCH($E$135,FixedAssets[Asset ID])),IF(AND((_xlfn.XMATCH(BP$8,$AH$8:$CC$8))-_xlfn.XMATCH($C158,$C$35:$C$82)+1&lt;=_xlpm.DepreciationMonths,$C158&lt;=BP$8),$E158/_xlpm.DepreciationMonths,0))</f>
        <v>0</v>
      </c>
      <c r="BQ158" s="507" cm="1">
        <f t="array" ref="BQ158">_xlfn.LET(_xlpm.DepreciationMonths,INDEX(FixedAssets[Depreciation
/ Amortization Months],_xlfn.XMATCH($E$135,FixedAssets[Asset ID])),IF(AND((_xlfn.XMATCH(BQ$8,$AH$8:$CC$8))-_xlfn.XMATCH($C158,$C$35:$C$82)+1&lt;=_xlpm.DepreciationMonths,$C158&lt;=BQ$8),$E158/_xlpm.DepreciationMonths,0))</f>
        <v>0</v>
      </c>
      <c r="BR158" s="507" cm="1">
        <f t="array" ref="BR158">_xlfn.LET(_xlpm.DepreciationMonths,INDEX(FixedAssets[Depreciation
/ Amortization Months],_xlfn.XMATCH($E$135,FixedAssets[Asset ID])),IF(AND((_xlfn.XMATCH(BR$8,$AH$8:$CC$8))-_xlfn.XMATCH($C158,$C$35:$C$82)+1&lt;=_xlpm.DepreciationMonths,$C158&lt;=BR$8),$E158/_xlpm.DepreciationMonths,0))</f>
        <v>0</v>
      </c>
      <c r="BS158" s="507" cm="1">
        <f t="array" ref="BS158">_xlfn.LET(_xlpm.DepreciationMonths,INDEX(FixedAssets[Depreciation
/ Amortization Months],_xlfn.XMATCH($E$135,FixedAssets[Asset ID])),IF(AND((_xlfn.XMATCH(BS$8,$AH$8:$CC$8))-_xlfn.XMATCH($C158,$C$35:$C$82)+1&lt;=_xlpm.DepreciationMonths,$C158&lt;=BS$8),$E158/_xlpm.DepreciationMonths,0))</f>
        <v>0</v>
      </c>
      <c r="BT158" s="507" cm="1">
        <f t="array" ref="BT158">_xlfn.LET(_xlpm.DepreciationMonths,INDEX(FixedAssets[Depreciation
/ Amortization Months],_xlfn.XMATCH($E$135,FixedAssets[Asset ID])),IF(AND((_xlfn.XMATCH(BT$8,$AH$8:$CC$8))-_xlfn.XMATCH($C158,$C$35:$C$82)+1&lt;=_xlpm.DepreciationMonths,$C158&lt;=BT$8),$E158/_xlpm.DepreciationMonths,0))</f>
        <v>0</v>
      </c>
      <c r="BU158" s="507" cm="1">
        <f t="array" ref="BU158">_xlfn.LET(_xlpm.DepreciationMonths,INDEX(FixedAssets[Depreciation
/ Amortization Months],_xlfn.XMATCH($E$135,FixedAssets[Asset ID])),IF(AND((_xlfn.XMATCH(BU$8,$AH$8:$CC$8))-_xlfn.XMATCH($C158,$C$35:$C$82)+1&lt;=_xlpm.DepreciationMonths,$C158&lt;=BU$8),$E158/_xlpm.DepreciationMonths,0))</f>
        <v>0</v>
      </c>
      <c r="BV158" s="507" cm="1">
        <f t="array" ref="BV158">_xlfn.LET(_xlpm.DepreciationMonths,INDEX(FixedAssets[Depreciation
/ Amortization Months],_xlfn.XMATCH($E$135,FixedAssets[Asset ID])),IF(AND((_xlfn.XMATCH(BV$8,$AH$8:$CC$8))-_xlfn.XMATCH($C158,$C$35:$C$82)+1&lt;=_xlpm.DepreciationMonths,$C158&lt;=BV$8),$E158/_xlpm.DepreciationMonths,0))</f>
        <v>0</v>
      </c>
      <c r="BW158" s="507" cm="1">
        <f t="array" ref="BW158">_xlfn.LET(_xlpm.DepreciationMonths,INDEX(FixedAssets[Depreciation
/ Amortization Months],_xlfn.XMATCH($E$135,FixedAssets[Asset ID])),IF(AND((_xlfn.XMATCH(BW$8,$AH$8:$CC$8))-_xlfn.XMATCH($C158,$C$35:$C$82)+1&lt;=_xlpm.DepreciationMonths,$C158&lt;=BW$8),$E158/_xlpm.DepreciationMonths,0))</f>
        <v>0</v>
      </c>
      <c r="BX158" s="507" cm="1">
        <f t="array" ref="BX158">_xlfn.LET(_xlpm.DepreciationMonths,INDEX(FixedAssets[Depreciation
/ Amortization Months],_xlfn.XMATCH($E$135,FixedAssets[Asset ID])),IF(AND((_xlfn.XMATCH(BX$8,$AH$8:$CC$8))-_xlfn.XMATCH($C158,$C$35:$C$82)+1&lt;=_xlpm.DepreciationMonths,$C158&lt;=BX$8),$E158/_xlpm.DepreciationMonths,0))</f>
        <v>0</v>
      </c>
      <c r="BY158" s="507" cm="1">
        <f t="array" ref="BY158">_xlfn.LET(_xlpm.DepreciationMonths,INDEX(FixedAssets[Depreciation
/ Amortization Months],_xlfn.XMATCH($E$135,FixedAssets[Asset ID])),IF(AND((_xlfn.XMATCH(BY$8,$AH$8:$CC$8))-_xlfn.XMATCH($C158,$C$35:$C$82)+1&lt;=_xlpm.DepreciationMonths,$C158&lt;=BY$8),$E158/_xlpm.DepreciationMonths,0))</f>
        <v>0</v>
      </c>
      <c r="BZ158" s="507" cm="1">
        <f t="array" ref="BZ158">_xlfn.LET(_xlpm.DepreciationMonths,INDEX(FixedAssets[Depreciation
/ Amortization Months],_xlfn.XMATCH($E$135,FixedAssets[Asset ID])),IF(AND((_xlfn.XMATCH(BZ$8,$AH$8:$CC$8))-_xlfn.XMATCH($C158,$C$35:$C$82)+1&lt;=_xlpm.DepreciationMonths,$C158&lt;=BZ$8),$E158/_xlpm.DepreciationMonths,0))</f>
        <v>0</v>
      </c>
      <c r="CA158" s="507" cm="1">
        <f t="array" ref="CA158">_xlfn.LET(_xlpm.DepreciationMonths,INDEX(FixedAssets[Depreciation
/ Amortization Months],_xlfn.XMATCH($E$135,FixedAssets[Asset ID])),IF(AND((_xlfn.XMATCH(CA$8,$AH$8:$CC$8))-_xlfn.XMATCH($C158,$C$35:$C$82)+1&lt;=_xlpm.DepreciationMonths,$C158&lt;=CA$8),$E158/_xlpm.DepreciationMonths,0))</f>
        <v>0</v>
      </c>
      <c r="CB158" s="507" cm="1">
        <f t="array" ref="CB158">_xlfn.LET(_xlpm.DepreciationMonths,INDEX(FixedAssets[Depreciation
/ Amortization Months],_xlfn.XMATCH($E$135,FixedAssets[Asset ID])),IF(AND((_xlfn.XMATCH(CB$8,$AH$8:$CC$8))-_xlfn.XMATCH($C158,$C$35:$C$82)+1&lt;=_xlpm.DepreciationMonths,$C158&lt;=CB$8),$E158/_xlpm.DepreciationMonths,0))</f>
        <v>0</v>
      </c>
      <c r="CC158" s="507" cm="1">
        <f t="array" ref="CC158">_xlfn.LET(_xlpm.DepreciationMonths,INDEX(FixedAssets[Depreciation
/ Amortization Months],_xlfn.XMATCH($E$135,FixedAssets[Asset ID])),IF(AND((_xlfn.XMATCH(CC$8,$AH$8:$CC$8))-_xlfn.XMATCH($C158,$C$35:$C$82)+1&lt;=_xlpm.DepreciationMonths,$C158&lt;=CC$8),$E158/_xlpm.DepreciationMonths,0))</f>
        <v>0</v>
      </c>
    </row>
    <row r="159" spans="3:81" hidden="1" outlineLevel="2">
      <c r="C159" s="664">
        <f t="shared" si="243"/>
        <v>45626</v>
      </c>
      <c r="D159" s="508"/>
      <c r="E159" s="508" cm="1">
        <f t="array" ref="E159">SUMPRODUCT(($AH$26:$CC$31)*($AH$5:$CC$5=$C159)*($E$26:$E$31=E$135))-SUMPRODUCT(($AH$26:$CC$31)*($AH$5:$CC$5=EOMONTH($C159,-1))*($E$26:$E$31=E$135))</f>
        <v>0</v>
      </c>
      <c r="F159" s="508"/>
      <c r="G159" s="508"/>
      <c r="H159" s="508"/>
      <c r="I159" s="508"/>
      <c r="J159" s="504">
        <f t="shared" si="240"/>
        <v>0</v>
      </c>
      <c r="K159" s="504">
        <f t="shared" si="245"/>
        <v>0</v>
      </c>
      <c r="L159" s="504">
        <f t="shared" si="245"/>
        <v>0</v>
      </c>
      <c r="M159" s="504">
        <f t="shared" si="245"/>
        <v>0</v>
      </c>
      <c r="N159" s="504"/>
      <c r="O159" s="504"/>
      <c r="P159" s="504">
        <f t="shared" si="246"/>
        <v>0</v>
      </c>
      <c r="Q159" s="504">
        <f t="shared" si="246"/>
        <v>0</v>
      </c>
      <c r="R159" s="504">
        <f t="shared" si="246"/>
        <v>0</v>
      </c>
      <c r="S159" s="504">
        <f t="shared" si="246"/>
        <v>0</v>
      </c>
      <c r="T159" s="504">
        <f t="shared" si="246"/>
        <v>0</v>
      </c>
      <c r="U159" s="504">
        <f t="shared" si="246"/>
        <v>0</v>
      </c>
      <c r="V159" s="504">
        <f t="shared" si="246"/>
        <v>0</v>
      </c>
      <c r="W159" s="504">
        <f t="shared" si="246"/>
        <v>0</v>
      </c>
      <c r="X159" s="504">
        <f t="shared" si="246"/>
        <v>0</v>
      </c>
      <c r="Y159" s="504">
        <f t="shared" si="246"/>
        <v>0</v>
      </c>
      <c r="Z159" s="504">
        <f t="shared" si="246"/>
        <v>0</v>
      </c>
      <c r="AA159" s="504">
        <f t="shared" si="246"/>
        <v>0</v>
      </c>
      <c r="AB159" s="504">
        <f t="shared" si="246"/>
        <v>0</v>
      </c>
      <c r="AC159" s="504">
        <f t="shared" si="246"/>
        <v>0</v>
      </c>
      <c r="AD159" s="504">
        <f t="shared" si="246"/>
        <v>0</v>
      </c>
      <c r="AE159" s="504">
        <f t="shared" si="246"/>
        <v>0</v>
      </c>
      <c r="AF159" s="508"/>
      <c r="AG159" s="508"/>
      <c r="AH159" s="507" cm="1">
        <f t="array" ref="AH159">_xlfn.LET(_xlpm.DepreciationMonths,INDEX(FixedAssets[Depreciation
/ Amortization Months],_xlfn.XMATCH($E$135,FixedAssets[Asset ID])),IF(AND((_xlfn.XMATCH(AH$8,$AH$8:$CC$8))-_xlfn.XMATCH($C159,$C$35:$C$82)+1&lt;=_xlpm.DepreciationMonths,$C159&lt;=AH$8),$E159/_xlpm.DepreciationMonths,0))</f>
        <v>0</v>
      </c>
      <c r="AI159" s="507" cm="1">
        <f t="array" ref="AI159">_xlfn.LET(_xlpm.DepreciationMonths,INDEX(FixedAssets[Depreciation
/ Amortization Months],_xlfn.XMATCH($E$135,FixedAssets[Asset ID])),IF(AND((_xlfn.XMATCH(AI$8,$AH$8:$CC$8))-_xlfn.XMATCH($C159,$C$35:$C$82)+1&lt;=_xlpm.DepreciationMonths,$C159&lt;=AI$8),$E159/_xlpm.DepreciationMonths,0))</f>
        <v>0</v>
      </c>
      <c r="AJ159" s="507" cm="1">
        <f t="array" ref="AJ159">_xlfn.LET(_xlpm.DepreciationMonths,INDEX(FixedAssets[Depreciation
/ Amortization Months],_xlfn.XMATCH($E$135,FixedAssets[Asset ID])),IF(AND((_xlfn.XMATCH(AJ$8,$AH$8:$CC$8))-_xlfn.XMATCH($C159,$C$35:$C$82)+1&lt;=_xlpm.DepreciationMonths,$C159&lt;=AJ$8),$E159/_xlpm.DepreciationMonths,0))</f>
        <v>0</v>
      </c>
      <c r="AK159" s="507" cm="1">
        <f t="array" ref="AK159">_xlfn.LET(_xlpm.DepreciationMonths,INDEX(FixedAssets[Depreciation
/ Amortization Months],_xlfn.XMATCH($E$135,FixedAssets[Asset ID])),IF(AND((_xlfn.XMATCH(AK$8,$AH$8:$CC$8))-_xlfn.XMATCH($C159,$C$35:$C$82)+1&lt;=_xlpm.DepreciationMonths,$C159&lt;=AK$8),$E159/_xlpm.DepreciationMonths,0))</f>
        <v>0</v>
      </c>
      <c r="AL159" s="507" cm="1">
        <f t="array" ref="AL159">_xlfn.LET(_xlpm.DepreciationMonths,INDEX(FixedAssets[Depreciation
/ Amortization Months],_xlfn.XMATCH($E$135,FixedAssets[Asset ID])),IF(AND((_xlfn.XMATCH(AL$8,$AH$8:$CC$8))-_xlfn.XMATCH($C159,$C$35:$C$82)+1&lt;=_xlpm.DepreciationMonths,$C159&lt;=AL$8),$E159/_xlpm.DepreciationMonths,0))</f>
        <v>0</v>
      </c>
      <c r="AM159" s="507" cm="1">
        <f t="array" ref="AM159">_xlfn.LET(_xlpm.DepreciationMonths,INDEX(FixedAssets[Depreciation
/ Amortization Months],_xlfn.XMATCH($E$135,FixedAssets[Asset ID])),IF(AND((_xlfn.XMATCH(AM$8,$AH$8:$CC$8))-_xlfn.XMATCH($C159,$C$35:$C$82)+1&lt;=_xlpm.DepreciationMonths,$C159&lt;=AM$8),$E159/_xlpm.DepreciationMonths,0))</f>
        <v>0</v>
      </c>
      <c r="AN159" s="507" cm="1">
        <f t="array" ref="AN159">_xlfn.LET(_xlpm.DepreciationMonths,INDEX(FixedAssets[Depreciation
/ Amortization Months],_xlfn.XMATCH($E$135,FixedAssets[Asset ID])),IF(AND((_xlfn.XMATCH(AN$8,$AH$8:$CC$8))-_xlfn.XMATCH($C159,$C$35:$C$82)+1&lt;=_xlpm.DepreciationMonths,$C159&lt;=AN$8),$E159/_xlpm.DepreciationMonths,0))</f>
        <v>0</v>
      </c>
      <c r="AO159" s="507" cm="1">
        <f t="array" ref="AO159">_xlfn.LET(_xlpm.DepreciationMonths,INDEX(FixedAssets[Depreciation
/ Amortization Months],_xlfn.XMATCH($E$135,FixedAssets[Asset ID])),IF(AND((_xlfn.XMATCH(AO$8,$AH$8:$CC$8))-_xlfn.XMATCH($C159,$C$35:$C$82)+1&lt;=_xlpm.DepreciationMonths,$C159&lt;=AO$8),$E159/_xlpm.DepreciationMonths,0))</f>
        <v>0</v>
      </c>
      <c r="AP159" s="507" cm="1">
        <f t="array" ref="AP159">_xlfn.LET(_xlpm.DepreciationMonths,INDEX(FixedAssets[Depreciation
/ Amortization Months],_xlfn.XMATCH($E$135,FixedAssets[Asset ID])),IF(AND((_xlfn.XMATCH(AP$8,$AH$8:$CC$8))-_xlfn.XMATCH($C159,$C$35:$C$82)+1&lt;=_xlpm.DepreciationMonths,$C159&lt;=AP$8),$E159/_xlpm.DepreciationMonths,0))</f>
        <v>0</v>
      </c>
      <c r="AQ159" s="507" cm="1">
        <f t="array" ref="AQ159">_xlfn.LET(_xlpm.DepreciationMonths,INDEX(FixedAssets[Depreciation
/ Amortization Months],_xlfn.XMATCH($E$135,FixedAssets[Asset ID])),IF(AND((_xlfn.XMATCH(AQ$8,$AH$8:$CC$8))-_xlfn.XMATCH($C159,$C$35:$C$82)+1&lt;=_xlpm.DepreciationMonths,$C159&lt;=AQ$8),$E159/_xlpm.DepreciationMonths,0))</f>
        <v>0</v>
      </c>
      <c r="AR159" s="507" cm="1">
        <f t="array" ref="AR159">_xlfn.LET(_xlpm.DepreciationMonths,INDEX(FixedAssets[Depreciation
/ Amortization Months],_xlfn.XMATCH($E$135,FixedAssets[Asset ID])),IF(AND((_xlfn.XMATCH(AR$8,$AH$8:$CC$8))-_xlfn.XMATCH($C159,$C$35:$C$82)+1&lt;=_xlpm.DepreciationMonths,$C159&lt;=AR$8),$E159/_xlpm.DepreciationMonths,0))</f>
        <v>0</v>
      </c>
      <c r="AS159" s="507" cm="1">
        <f t="array" ref="AS159">_xlfn.LET(_xlpm.DepreciationMonths,INDEX(FixedAssets[Depreciation
/ Amortization Months],_xlfn.XMATCH($E$135,FixedAssets[Asset ID])),IF(AND((_xlfn.XMATCH(AS$8,$AH$8:$CC$8))-_xlfn.XMATCH($C159,$C$35:$C$82)+1&lt;=_xlpm.DepreciationMonths,$C159&lt;=AS$8),$E159/_xlpm.DepreciationMonths,0))</f>
        <v>0</v>
      </c>
      <c r="AT159" s="507" cm="1">
        <f t="array" ref="AT159">_xlfn.LET(_xlpm.DepreciationMonths,INDEX(FixedAssets[Depreciation
/ Amortization Months],_xlfn.XMATCH($E$135,FixedAssets[Asset ID])),IF(AND((_xlfn.XMATCH(AT$8,$AH$8:$CC$8))-_xlfn.XMATCH($C159,$C$35:$C$82)+1&lt;=_xlpm.DepreciationMonths,$C159&lt;=AT$8),$E159/_xlpm.DepreciationMonths,0))</f>
        <v>0</v>
      </c>
      <c r="AU159" s="507" cm="1">
        <f t="array" ref="AU159">_xlfn.LET(_xlpm.DepreciationMonths,INDEX(FixedAssets[Depreciation
/ Amortization Months],_xlfn.XMATCH($E$135,FixedAssets[Asset ID])),IF(AND((_xlfn.XMATCH(AU$8,$AH$8:$CC$8))-_xlfn.XMATCH($C159,$C$35:$C$82)+1&lt;=_xlpm.DepreciationMonths,$C159&lt;=AU$8),$E159/_xlpm.DepreciationMonths,0))</f>
        <v>0</v>
      </c>
      <c r="AV159" s="507" cm="1">
        <f t="array" ref="AV159">_xlfn.LET(_xlpm.DepreciationMonths,INDEX(FixedAssets[Depreciation
/ Amortization Months],_xlfn.XMATCH($E$135,FixedAssets[Asset ID])),IF(AND((_xlfn.XMATCH(AV$8,$AH$8:$CC$8))-_xlfn.XMATCH($C159,$C$35:$C$82)+1&lt;=_xlpm.DepreciationMonths,$C159&lt;=AV$8),$E159/_xlpm.DepreciationMonths,0))</f>
        <v>0</v>
      </c>
      <c r="AW159" s="507" cm="1">
        <f t="array" ref="AW159">_xlfn.LET(_xlpm.DepreciationMonths,INDEX(FixedAssets[Depreciation
/ Amortization Months],_xlfn.XMATCH($E$135,FixedAssets[Asset ID])),IF(AND((_xlfn.XMATCH(AW$8,$AH$8:$CC$8))-_xlfn.XMATCH($C159,$C$35:$C$82)+1&lt;=_xlpm.DepreciationMonths,$C159&lt;=AW$8),$E159/_xlpm.DepreciationMonths,0))</f>
        <v>0</v>
      </c>
      <c r="AX159" s="507" cm="1">
        <f t="array" ref="AX159">_xlfn.LET(_xlpm.DepreciationMonths,INDEX(FixedAssets[Depreciation
/ Amortization Months],_xlfn.XMATCH($E$135,FixedAssets[Asset ID])),IF(AND((_xlfn.XMATCH(AX$8,$AH$8:$CC$8))-_xlfn.XMATCH($C159,$C$35:$C$82)+1&lt;=_xlpm.DepreciationMonths,$C159&lt;=AX$8),$E159/_xlpm.DepreciationMonths,0))</f>
        <v>0</v>
      </c>
      <c r="AY159" s="507" cm="1">
        <f t="array" ref="AY159">_xlfn.LET(_xlpm.DepreciationMonths,INDEX(FixedAssets[Depreciation
/ Amortization Months],_xlfn.XMATCH($E$135,FixedAssets[Asset ID])),IF(AND((_xlfn.XMATCH(AY$8,$AH$8:$CC$8))-_xlfn.XMATCH($C159,$C$35:$C$82)+1&lt;=_xlpm.DepreciationMonths,$C159&lt;=AY$8),$E159/_xlpm.DepreciationMonths,0))</f>
        <v>0</v>
      </c>
      <c r="AZ159" s="507" cm="1">
        <f t="array" ref="AZ159">_xlfn.LET(_xlpm.DepreciationMonths,INDEX(FixedAssets[Depreciation
/ Amortization Months],_xlfn.XMATCH($E$135,FixedAssets[Asset ID])),IF(AND((_xlfn.XMATCH(AZ$8,$AH$8:$CC$8))-_xlfn.XMATCH($C159,$C$35:$C$82)+1&lt;=_xlpm.DepreciationMonths,$C159&lt;=AZ$8),$E159/_xlpm.DepreciationMonths,0))</f>
        <v>0</v>
      </c>
      <c r="BA159" s="507" cm="1">
        <f t="array" ref="BA159">_xlfn.LET(_xlpm.DepreciationMonths,INDEX(FixedAssets[Depreciation
/ Amortization Months],_xlfn.XMATCH($E$135,FixedAssets[Asset ID])),IF(AND((_xlfn.XMATCH(BA$8,$AH$8:$CC$8))-_xlfn.XMATCH($C159,$C$35:$C$82)+1&lt;=_xlpm.DepreciationMonths,$C159&lt;=BA$8),$E159/_xlpm.DepreciationMonths,0))</f>
        <v>0</v>
      </c>
      <c r="BB159" s="507" cm="1">
        <f t="array" ref="BB159">_xlfn.LET(_xlpm.DepreciationMonths,INDEX(FixedAssets[Depreciation
/ Amortization Months],_xlfn.XMATCH($E$135,FixedAssets[Asset ID])),IF(AND((_xlfn.XMATCH(BB$8,$AH$8:$CC$8))-_xlfn.XMATCH($C159,$C$35:$C$82)+1&lt;=_xlpm.DepreciationMonths,$C159&lt;=BB$8),$E159/_xlpm.DepreciationMonths,0))</f>
        <v>0</v>
      </c>
      <c r="BC159" s="507" cm="1">
        <f t="array" ref="BC159">_xlfn.LET(_xlpm.DepreciationMonths,INDEX(FixedAssets[Depreciation
/ Amortization Months],_xlfn.XMATCH($E$135,FixedAssets[Asset ID])),IF(AND((_xlfn.XMATCH(BC$8,$AH$8:$CC$8))-_xlfn.XMATCH($C159,$C$35:$C$82)+1&lt;=_xlpm.DepreciationMonths,$C159&lt;=BC$8),$E159/_xlpm.DepreciationMonths,0))</f>
        <v>0</v>
      </c>
      <c r="BD159" s="507" cm="1">
        <f t="array" ref="BD159">_xlfn.LET(_xlpm.DepreciationMonths,INDEX(FixedAssets[Depreciation
/ Amortization Months],_xlfn.XMATCH($E$135,FixedAssets[Asset ID])),IF(AND((_xlfn.XMATCH(BD$8,$AH$8:$CC$8))-_xlfn.XMATCH($C159,$C$35:$C$82)+1&lt;=_xlpm.DepreciationMonths,$C159&lt;=BD$8),$E159/_xlpm.DepreciationMonths,0))</f>
        <v>0</v>
      </c>
      <c r="BE159" s="507" cm="1">
        <f t="array" ref="BE159">_xlfn.LET(_xlpm.DepreciationMonths,INDEX(FixedAssets[Depreciation
/ Amortization Months],_xlfn.XMATCH($E$135,FixedAssets[Asset ID])),IF(AND((_xlfn.XMATCH(BE$8,$AH$8:$CC$8))-_xlfn.XMATCH($C159,$C$35:$C$82)+1&lt;=_xlpm.DepreciationMonths,$C159&lt;=BE$8),$E159/_xlpm.DepreciationMonths,0))</f>
        <v>0</v>
      </c>
      <c r="BF159" s="507" cm="1">
        <f t="array" ref="BF159">_xlfn.LET(_xlpm.DepreciationMonths,INDEX(FixedAssets[Depreciation
/ Amortization Months],_xlfn.XMATCH($E$135,FixedAssets[Asset ID])),IF(AND((_xlfn.XMATCH(BF$8,$AH$8:$CC$8))-_xlfn.XMATCH($C159,$C$35:$C$82)+1&lt;=_xlpm.DepreciationMonths,$C159&lt;=BF$8),$E159/_xlpm.DepreciationMonths,0))</f>
        <v>0</v>
      </c>
      <c r="BG159" s="507" cm="1">
        <f t="array" ref="BG159">_xlfn.LET(_xlpm.DepreciationMonths,INDEX(FixedAssets[Depreciation
/ Amortization Months],_xlfn.XMATCH($E$135,FixedAssets[Asset ID])),IF(AND((_xlfn.XMATCH(BG$8,$AH$8:$CC$8))-_xlfn.XMATCH($C159,$C$35:$C$82)+1&lt;=_xlpm.DepreciationMonths,$C159&lt;=BG$8),$E159/_xlpm.DepreciationMonths,0))</f>
        <v>0</v>
      </c>
      <c r="BH159" s="507" cm="1">
        <f t="array" ref="BH159">_xlfn.LET(_xlpm.DepreciationMonths,INDEX(FixedAssets[Depreciation
/ Amortization Months],_xlfn.XMATCH($E$135,FixedAssets[Asset ID])),IF(AND((_xlfn.XMATCH(BH$8,$AH$8:$CC$8))-_xlfn.XMATCH($C159,$C$35:$C$82)+1&lt;=_xlpm.DepreciationMonths,$C159&lt;=BH$8),$E159/_xlpm.DepreciationMonths,0))</f>
        <v>0</v>
      </c>
      <c r="BI159" s="507" cm="1">
        <f t="array" ref="BI159">_xlfn.LET(_xlpm.DepreciationMonths,INDEX(FixedAssets[Depreciation
/ Amortization Months],_xlfn.XMATCH($E$135,FixedAssets[Asset ID])),IF(AND((_xlfn.XMATCH(BI$8,$AH$8:$CC$8))-_xlfn.XMATCH($C159,$C$35:$C$82)+1&lt;=_xlpm.DepreciationMonths,$C159&lt;=BI$8),$E159/_xlpm.DepreciationMonths,0))</f>
        <v>0</v>
      </c>
      <c r="BJ159" s="507" cm="1">
        <f t="array" ref="BJ159">_xlfn.LET(_xlpm.DepreciationMonths,INDEX(FixedAssets[Depreciation
/ Amortization Months],_xlfn.XMATCH($E$135,FixedAssets[Asset ID])),IF(AND((_xlfn.XMATCH(BJ$8,$AH$8:$CC$8))-_xlfn.XMATCH($C159,$C$35:$C$82)+1&lt;=_xlpm.DepreciationMonths,$C159&lt;=BJ$8),$E159/_xlpm.DepreciationMonths,0))</f>
        <v>0</v>
      </c>
      <c r="BK159" s="507" cm="1">
        <f t="array" ref="BK159">_xlfn.LET(_xlpm.DepreciationMonths,INDEX(FixedAssets[Depreciation
/ Amortization Months],_xlfn.XMATCH($E$135,FixedAssets[Asset ID])),IF(AND((_xlfn.XMATCH(BK$8,$AH$8:$CC$8))-_xlfn.XMATCH($C159,$C$35:$C$82)+1&lt;=_xlpm.DepreciationMonths,$C159&lt;=BK$8),$E159/_xlpm.DepreciationMonths,0))</f>
        <v>0</v>
      </c>
      <c r="BL159" s="507" cm="1">
        <f t="array" ref="BL159">_xlfn.LET(_xlpm.DepreciationMonths,INDEX(FixedAssets[Depreciation
/ Amortization Months],_xlfn.XMATCH($E$135,FixedAssets[Asset ID])),IF(AND((_xlfn.XMATCH(BL$8,$AH$8:$CC$8))-_xlfn.XMATCH($C159,$C$35:$C$82)+1&lt;=_xlpm.DepreciationMonths,$C159&lt;=BL$8),$E159/_xlpm.DepreciationMonths,0))</f>
        <v>0</v>
      </c>
      <c r="BM159" s="507" cm="1">
        <f t="array" ref="BM159">_xlfn.LET(_xlpm.DepreciationMonths,INDEX(FixedAssets[Depreciation
/ Amortization Months],_xlfn.XMATCH($E$135,FixedAssets[Asset ID])),IF(AND((_xlfn.XMATCH(BM$8,$AH$8:$CC$8))-_xlfn.XMATCH($C159,$C$35:$C$82)+1&lt;=_xlpm.DepreciationMonths,$C159&lt;=BM$8),$E159/_xlpm.DepreciationMonths,0))</f>
        <v>0</v>
      </c>
      <c r="BN159" s="507" cm="1">
        <f t="array" ref="BN159">_xlfn.LET(_xlpm.DepreciationMonths,INDEX(FixedAssets[Depreciation
/ Amortization Months],_xlfn.XMATCH($E$135,FixedAssets[Asset ID])),IF(AND((_xlfn.XMATCH(BN$8,$AH$8:$CC$8))-_xlfn.XMATCH($C159,$C$35:$C$82)+1&lt;=_xlpm.DepreciationMonths,$C159&lt;=BN$8),$E159/_xlpm.DepreciationMonths,0))</f>
        <v>0</v>
      </c>
      <c r="BO159" s="507" cm="1">
        <f t="array" ref="BO159">_xlfn.LET(_xlpm.DepreciationMonths,INDEX(FixedAssets[Depreciation
/ Amortization Months],_xlfn.XMATCH($E$135,FixedAssets[Asset ID])),IF(AND((_xlfn.XMATCH(BO$8,$AH$8:$CC$8))-_xlfn.XMATCH($C159,$C$35:$C$82)+1&lt;=_xlpm.DepreciationMonths,$C159&lt;=BO$8),$E159/_xlpm.DepreciationMonths,0))</f>
        <v>0</v>
      </c>
      <c r="BP159" s="507" cm="1">
        <f t="array" ref="BP159">_xlfn.LET(_xlpm.DepreciationMonths,INDEX(FixedAssets[Depreciation
/ Amortization Months],_xlfn.XMATCH($E$135,FixedAssets[Asset ID])),IF(AND((_xlfn.XMATCH(BP$8,$AH$8:$CC$8))-_xlfn.XMATCH($C159,$C$35:$C$82)+1&lt;=_xlpm.DepreciationMonths,$C159&lt;=BP$8),$E159/_xlpm.DepreciationMonths,0))</f>
        <v>0</v>
      </c>
      <c r="BQ159" s="507" cm="1">
        <f t="array" ref="BQ159">_xlfn.LET(_xlpm.DepreciationMonths,INDEX(FixedAssets[Depreciation
/ Amortization Months],_xlfn.XMATCH($E$135,FixedAssets[Asset ID])),IF(AND((_xlfn.XMATCH(BQ$8,$AH$8:$CC$8))-_xlfn.XMATCH($C159,$C$35:$C$82)+1&lt;=_xlpm.DepreciationMonths,$C159&lt;=BQ$8),$E159/_xlpm.DepreciationMonths,0))</f>
        <v>0</v>
      </c>
      <c r="BR159" s="507" cm="1">
        <f t="array" ref="BR159">_xlfn.LET(_xlpm.DepreciationMonths,INDEX(FixedAssets[Depreciation
/ Amortization Months],_xlfn.XMATCH($E$135,FixedAssets[Asset ID])),IF(AND((_xlfn.XMATCH(BR$8,$AH$8:$CC$8))-_xlfn.XMATCH($C159,$C$35:$C$82)+1&lt;=_xlpm.DepreciationMonths,$C159&lt;=BR$8),$E159/_xlpm.DepreciationMonths,0))</f>
        <v>0</v>
      </c>
      <c r="BS159" s="507" cm="1">
        <f t="array" ref="BS159">_xlfn.LET(_xlpm.DepreciationMonths,INDEX(FixedAssets[Depreciation
/ Amortization Months],_xlfn.XMATCH($E$135,FixedAssets[Asset ID])),IF(AND((_xlfn.XMATCH(BS$8,$AH$8:$CC$8))-_xlfn.XMATCH($C159,$C$35:$C$82)+1&lt;=_xlpm.DepreciationMonths,$C159&lt;=BS$8),$E159/_xlpm.DepreciationMonths,0))</f>
        <v>0</v>
      </c>
      <c r="BT159" s="507" cm="1">
        <f t="array" ref="BT159">_xlfn.LET(_xlpm.DepreciationMonths,INDEX(FixedAssets[Depreciation
/ Amortization Months],_xlfn.XMATCH($E$135,FixedAssets[Asset ID])),IF(AND((_xlfn.XMATCH(BT$8,$AH$8:$CC$8))-_xlfn.XMATCH($C159,$C$35:$C$82)+1&lt;=_xlpm.DepreciationMonths,$C159&lt;=BT$8),$E159/_xlpm.DepreciationMonths,0))</f>
        <v>0</v>
      </c>
      <c r="BU159" s="507" cm="1">
        <f t="array" ref="BU159">_xlfn.LET(_xlpm.DepreciationMonths,INDEX(FixedAssets[Depreciation
/ Amortization Months],_xlfn.XMATCH($E$135,FixedAssets[Asset ID])),IF(AND((_xlfn.XMATCH(BU$8,$AH$8:$CC$8))-_xlfn.XMATCH($C159,$C$35:$C$82)+1&lt;=_xlpm.DepreciationMonths,$C159&lt;=BU$8),$E159/_xlpm.DepreciationMonths,0))</f>
        <v>0</v>
      </c>
      <c r="BV159" s="507" cm="1">
        <f t="array" ref="BV159">_xlfn.LET(_xlpm.DepreciationMonths,INDEX(FixedAssets[Depreciation
/ Amortization Months],_xlfn.XMATCH($E$135,FixedAssets[Asset ID])),IF(AND((_xlfn.XMATCH(BV$8,$AH$8:$CC$8))-_xlfn.XMATCH($C159,$C$35:$C$82)+1&lt;=_xlpm.DepreciationMonths,$C159&lt;=BV$8),$E159/_xlpm.DepreciationMonths,0))</f>
        <v>0</v>
      </c>
      <c r="BW159" s="507" cm="1">
        <f t="array" ref="BW159">_xlfn.LET(_xlpm.DepreciationMonths,INDEX(FixedAssets[Depreciation
/ Amortization Months],_xlfn.XMATCH($E$135,FixedAssets[Asset ID])),IF(AND((_xlfn.XMATCH(BW$8,$AH$8:$CC$8))-_xlfn.XMATCH($C159,$C$35:$C$82)+1&lt;=_xlpm.DepreciationMonths,$C159&lt;=BW$8),$E159/_xlpm.DepreciationMonths,0))</f>
        <v>0</v>
      </c>
      <c r="BX159" s="507" cm="1">
        <f t="array" ref="BX159">_xlfn.LET(_xlpm.DepreciationMonths,INDEX(FixedAssets[Depreciation
/ Amortization Months],_xlfn.XMATCH($E$135,FixedAssets[Asset ID])),IF(AND((_xlfn.XMATCH(BX$8,$AH$8:$CC$8))-_xlfn.XMATCH($C159,$C$35:$C$82)+1&lt;=_xlpm.DepreciationMonths,$C159&lt;=BX$8),$E159/_xlpm.DepreciationMonths,0))</f>
        <v>0</v>
      </c>
      <c r="BY159" s="507" cm="1">
        <f t="array" ref="BY159">_xlfn.LET(_xlpm.DepreciationMonths,INDEX(FixedAssets[Depreciation
/ Amortization Months],_xlfn.XMATCH($E$135,FixedAssets[Asset ID])),IF(AND((_xlfn.XMATCH(BY$8,$AH$8:$CC$8))-_xlfn.XMATCH($C159,$C$35:$C$82)+1&lt;=_xlpm.DepreciationMonths,$C159&lt;=BY$8),$E159/_xlpm.DepreciationMonths,0))</f>
        <v>0</v>
      </c>
      <c r="BZ159" s="507" cm="1">
        <f t="array" ref="BZ159">_xlfn.LET(_xlpm.DepreciationMonths,INDEX(FixedAssets[Depreciation
/ Amortization Months],_xlfn.XMATCH($E$135,FixedAssets[Asset ID])),IF(AND((_xlfn.XMATCH(BZ$8,$AH$8:$CC$8))-_xlfn.XMATCH($C159,$C$35:$C$82)+1&lt;=_xlpm.DepreciationMonths,$C159&lt;=BZ$8),$E159/_xlpm.DepreciationMonths,0))</f>
        <v>0</v>
      </c>
      <c r="CA159" s="507" cm="1">
        <f t="array" ref="CA159">_xlfn.LET(_xlpm.DepreciationMonths,INDEX(FixedAssets[Depreciation
/ Amortization Months],_xlfn.XMATCH($E$135,FixedAssets[Asset ID])),IF(AND((_xlfn.XMATCH(CA$8,$AH$8:$CC$8))-_xlfn.XMATCH($C159,$C$35:$C$82)+1&lt;=_xlpm.DepreciationMonths,$C159&lt;=CA$8),$E159/_xlpm.DepreciationMonths,0))</f>
        <v>0</v>
      </c>
      <c r="CB159" s="507" cm="1">
        <f t="array" ref="CB159">_xlfn.LET(_xlpm.DepreciationMonths,INDEX(FixedAssets[Depreciation
/ Amortization Months],_xlfn.XMATCH($E$135,FixedAssets[Asset ID])),IF(AND((_xlfn.XMATCH(CB$8,$AH$8:$CC$8))-_xlfn.XMATCH($C159,$C$35:$C$82)+1&lt;=_xlpm.DepreciationMonths,$C159&lt;=CB$8),$E159/_xlpm.DepreciationMonths,0))</f>
        <v>0</v>
      </c>
      <c r="CC159" s="507" cm="1">
        <f t="array" ref="CC159">_xlfn.LET(_xlpm.DepreciationMonths,INDEX(FixedAssets[Depreciation
/ Amortization Months],_xlfn.XMATCH($E$135,FixedAssets[Asset ID])),IF(AND((_xlfn.XMATCH(CC$8,$AH$8:$CC$8))-_xlfn.XMATCH($C159,$C$35:$C$82)+1&lt;=_xlpm.DepreciationMonths,$C159&lt;=CC$8),$E159/_xlpm.DepreciationMonths,0))</f>
        <v>0</v>
      </c>
    </row>
    <row r="160" spans="3:81" hidden="1" outlineLevel="2">
      <c r="C160" s="664">
        <f t="shared" si="243"/>
        <v>45657</v>
      </c>
      <c r="D160" s="508"/>
      <c r="E160" s="508" cm="1">
        <f t="array" ref="E160">SUMPRODUCT(($AH$26:$CC$31)*($AH$5:$CC$5=$C160)*($E$26:$E$31=E$135))-SUMPRODUCT(($AH$26:$CC$31)*($AH$5:$CC$5=EOMONTH($C160,-1))*($E$26:$E$31=E$135))</f>
        <v>0</v>
      </c>
      <c r="F160" s="508"/>
      <c r="G160" s="508"/>
      <c r="H160" s="508"/>
      <c r="I160" s="508"/>
      <c r="J160" s="504">
        <f t="shared" si="240"/>
        <v>0</v>
      </c>
      <c r="K160" s="504">
        <f t="shared" si="245"/>
        <v>0</v>
      </c>
      <c r="L160" s="504">
        <f t="shared" si="245"/>
        <v>0</v>
      </c>
      <c r="M160" s="504">
        <f t="shared" si="245"/>
        <v>0</v>
      </c>
      <c r="N160" s="504"/>
      <c r="O160" s="504"/>
      <c r="P160" s="504">
        <f t="shared" si="246"/>
        <v>0</v>
      </c>
      <c r="Q160" s="504">
        <f t="shared" si="246"/>
        <v>0</v>
      </c>
      <c r="R160" s="504">
        <f t="shared" si="246"/>
        <v>0</v>
      </c>
      <c r="S160" s="504">
        <f t="shared" si="246"/>
        <v>0</v>
      </c>
      <c r="T160" s="504">
        <f t="shared" si="246"/>
        <v>0</v>
      </c>
      <c r="U160" s="504">
        <f t="shared" si="246"/>
        <v>0</v>
      </c>
      <c r="V160" s="504">
        <f t="shared" si="246"/>
        <v>0</v>
      </c>
      <c r="W160" s="504">
        <f t="shared" si="246"/>
        <v>0</v>
      </c>
      <c r="X160" s="504">
        <f t="shared" si="246"/>
        <v>0</v>
      </c>
      <c r="Y160" s="504">
        <f t="shared" si="246"/>
        <v>0</v>
      </c>
      <c r="Z160" s="504">
        <f t="shared" si="246"/>
        <v>0</v>
      </c>
      <c r="AA160" s="504">
        <f t="shared" si="246"/>
        <v>0</v>
      </c>
      <c r="AB160" s="504">
        <f t="shared" si="246"/>
        <v>0</v>
      </c>
      <c r="AC160" s="504">
        <f t="shared" si="246"/>
        <v>0</v>
      </c>
      <c r="AD160" s="504">
        <f t="shared" si="246"/>
        <v>0</v>
      </c>
      <c r="AE160" s="504">
        <f t="shared" si="246"/>
        <v>0</v>
      </c>
      <c r="AF160" s="508"/>
      <c r="AG160" s="508"/>
      <c r="AH160" s="507" cm="1">
        <f t="array" ref="AH160">_xlfn.LET(_xlpm.DepreciationMonths,INDEX(FixedAssets[Depreciation
/ Amortization Months],_xlfn.XMATCH($E$135,FixedAssets[Asset ID])),IF(AND((_xlfn.XMATCH(AH$8,$AH$8:$CC$8))-_xlfn.XMATCH($C160,$C$35:$C$82)+1&lt;=_xlpm.DepreciationMonths,$C160&lt;=AH$8),$E160/_xlpm.DepreciationMonths,0))</f>
        <v>0</v>
      </c>
      <c r="AI160" s="507" cm="1">
        <f t="array" ref="AI160">_xlfn.LET(_xlpm.DepreciationMonths,INDEX(FixedAssets[Depreciation
/ Amortization Months],_xlfn.XMATCH($E$135,FixedAssets[Asset ID])),IF(AND((_xlfn.XMATCH(AI$8,$AH$8:$CC$8))-_xlfn.XMATCH($C160,$C$35:$C$82)+1&lt;=_xlpm.DepreciationMonths,$C160&lt;=AI$8),$E160/_xlpm.DepreciationMonths,0))</f>
        <v>0</v>
      </c>
      <c r="AJ160" s="507" cm="1">
        <f t="array" ref="AJ160">_xlfn.LET(_xlpm.DepreciationMonths,INDEX(FixedAssets[Depreciation
/ Amortization Months],_xlfn.XMATCH($E$135,FixedAssets[Asset ID])),IF(AND((_xlfn.XMATCH(AJ$8,$AH$8:$CC$8))-_xlfn.XMATCH($C160,$C$35:$C$82)+1&lt;=_xlpm.DepreciationMonths,$C160&lt;=AJ$8),$E160/_xlpm.DepreciationMonths,0))</f>
        <v>0</v>
      </c>
      <c r="AK160" s="507" cm="1">
        <f t="array" ref="AK160">_xlfn.LET(_xlpm.DepreciationMonths,INDEX(FixedAssets[Depreciation
/ Amortization Months],_xlfn.XMATCH($E$135,FixedAssets[Asset ID])),IF(AND((_xlfn.XMATCH(AK$8,$AH$8:$CC$8))-_xlfn.XMATCH($C160,$C$35:$C$82)+1&lt;=_xlpm.DepreciationMonths,$C160&lt;=AK$8),$E160/_xlpm.DepreciationMonths,0))</f>
        <v>0</v>
      </c>
      <c r="AL160" s="507" cm="1">
        <f t="array" ref="AL160">_xlfn.LET(_xlpm.DepreciationMonths,INDEX(FixedAssets[Depreciation
/ Amortization Months],_xlfn.XMATCH($E$135,FixedAssets[Asset ID])),IF(AND((_xlfn.XMATCH(AL$8,$AH$8:$CC$8))-_xlfn.XMATCH($C160,$C$35:$C$82)+1&lt;=_xlpm.DepreciationMonths,$C160&lt;=AL$8),$E160/_xlpm.DepreciationMonths,0))</f>
        <v>0</v>
      </c>
      <c r="AM160" s="507" cm="1">
        <f t="array" ref="AM160">_xlfn.LET(_xlpm.DepreciationMonths,INDEX(FixedAssets[Depreciation
/ Amortization Months],_xlfn.XMATCH($E$135,FixedAssets[Asset ID])),IF(AND((_xlfn.XMATCH(AM$8,$AH$8:$CC$8))-_xlfn.XMATCH($C160,$C$35:$C$82)+1&lt;=_xlpm.DepreciationMonths,$C160&lt;=AM$8),$E160/_xlpm.DepreciationMonths,0))</f>
        <v>0</v>
      </c>
      <c r="AN160" s="507" cm="1">
        <f t="array" ref="AN160">_xlfn.LET(_xlpm.DepreciationMonths,INDEX(FixedAssets[Depreciation
/ Amortization Months],_xlfn.XMATCH($E$135,FixedAssets[Asset ID])),IF(AND((_xlfn.XMATCH(AN$8,$AH$8:$CC$8))-_xlfn.XMATCH($C160,$C$35:$C$82)+1&lt;=_xlpm.DepreciationMonths,$C160&lt;=AN$8),$E160/_xlpm.DepreciationMonths,0))</f>
        <v>0</v>
      </c>
      <c r="AO160" s="507" cm="1">
        <f t="array" ref="AO160">_xlfn.LET(_xlpm.DepreciationMonths,INDEX(FixedAssets[Depreciation
/ Amortization Months],_xlfn.XMATCH($E$135,FixedAssets[Asset ID])),IF(AND((_xlfn.XMATCH(AO$8,$AH$8:$CC$8))-_xlfn.XMATCH($C160,$C$35:$C$82)+1&lt;=_xlpm.DepreciationMonths,$C160&lt;=AO$8),$E160/_xlpm.DepreciationMonths,0))</f>
        <v>0</v>
      </c>
      <c r="AP160" s="507" cm="1">
        <f t="array" ref="AP160">_xlfn.LET(_xlpm.DepreciationMonths,INDEX(FixedAssets[Depreciation
/ Amortization Months],_xlfn.XMATCH($E$135,FixedAssets[Asset ID])),IF(AND((_xlfn.XMATCH(AP$8,$AH$8:$CC$8))-_xlfn.XMATCH($C160,$C$35:$C$82)+1&lt;=_xlpm.DepreciationMonths,$C160&lt;=AP$8),$E160/_xlpm.DepreciationMonths,0))</f>
        <v>0</v>
      </c>
      <c r="AQ160" s="507" cm="1">
        <f t="array" ref="AQ160">_xlfn.LET(_xlpm.DepreciationMonths,INDEX(FixedAssets[Depreciation
/ Amortization Months],_xlfn.XMATCH($E$135,FixedAssets[Asset ID])),IF(AND((_xlfn.XMATCH(AQ$8,$AH$8:$CC$8))-_xlfn.XMATCH($C160,$C$35:$C$82)+1&lt;=_xlpm.DepreciationMonths,$C160&lt;=AQ$8),$E160/_xlpm.DepreciationMonths,0))</f>
        <v>0</v>
      </c>
      <c r="AR160" s="507" cm="1">
        <f t="array" ref="AR160">_xlfn.LET(_xlpm.DepreciationMonths,INDEX(FixedAssets[Depreciation
/ Amortization Months],_xlfn.XMATCH($E$135,FixedAssets[Asset ID])),IF(AND((_xlfn.XMATCH(AR$8,$AH$8:$CC$8))-_xlfn.XMATCH($C160,$C$35:$C$82)+1&lt;=_xlpm.DepreciationMonths,$C160&lt;=AR$8),$E160/_xlpm.DepreciationMonths,0))</f>
        <v>0</v>
      </c>
      <c r="AS160" s="507" cm="1">
        <f t="array" ref="AS160">_xlfn.LET(_xlpm.DepreciationMonths,INDEX(FixedAssets[Depreciation
/ Amortization Months],_xlfn.XMATCH($E$135,FixedAssets[Asset ID])),IF(AND((_xlfn.XMATCH(AS$8,$AH$8:$CC$8))-_xlfn.XMATCH($C160,$C$35:$C$82)+1&lt;=_xlpm.DepreciationMonths,$C160&lt;=AS$8),$E160/_xlpm.DepreciationMonths,0))</f>
        <v>0</v>
      </c>
      <c r="AT160" s="507" cm="1">
        <f t="array" ref="AT160">_xlfn.LET(_xlpm.DepreciationMonths,INDEX(FixedAssets[Depreciation
/ Amortization Months],_xlfn.XMATCH($E$135,FixedAssets[Asset ID])),IF(AND((_xlfn.XMATCH(AT$8,$AH$8:$CC$8))-_xlfn.XMATCH($C160,$C$35:$C$82)+1&lt;=_xlpm.DepreciationMonths,$C160&lt;=AT$8),$E160/_xlpm.DepreciationMonths,0))</f>
        <v>0</v>
      </c>
      <c r="AU160" s="507" cm="1">
        <f t="array" ref="AU160">_xlfn.LET(_xlpm.DepreciationMonths,INDEX(FixedAssets[Depreciation
/ Amortization Months],_xlfn.XMATCH($E$135,FixedAssets[Asset ID])),IF(AND((_xlfn.XMATCH(AU$8,$AH$8:$CC$8))-_xlfn.XMATCH($C160,$C$35:$C$82)+1&lt;=_xlpm.DepreciationMonths,$C160&lt;=AU$8),$E160/_xlpm.DepreciationMonths,0))</f>
        <v>0</v>
      </c>
      <c r="AV160" s="507" cm="1">
        <f t="array" ref="AV160">_xlfn.LET(_xlpm.DepreciationMonths,INDEX(FixedAssets[Depreciation
/ Amortization Months],_xlfn.XMATCH($E$135,FixedAssets[Asset ID])),IF(AND((_xlfn.XMATCH(AV$8,$AH$8:$CC$8))-_xlfn.XMATCH($C160,$C$35:$C$82)+1&lt;=_xlpm.DepreciationMonths,$C160&lt;=AV$8),$E160/_xlpm.DepreciationMonths,0))</f>
        <v>0</v>
      </c>
      <c r="AW160" s="507" cm="1">
        <f t="array" ref="AW160">_xlfn.LET(_xlpm.DepreciationMonths,INDEX(FixedAssets[Depreciation
/ Amortization Months],_xlfn.XMATCH($E$135,FixedAssets[Asset ID])),IF(AND((_xlfn.XMATCH(AW$8,$AH$8:$CC$8))-_xlfn.XMATCH($C160,$C$35:$C$82)+1&lt;=_xlpm.DepreciationMonths,$C160&lt;=AW$8),$E160/_xlpm.DepreciationMonths,0))</f>
        <v>0</v>
      </c>
      <c r="AX160" s="507" cm="1">
        <f t="array" ref="AX160">_xlfn.LET(_xlpm.DepreciationMonths,INDEX(FixedAssets[Depreciation
/ Amortization Months],_xlfn.XMATCH($E$135,FixedAssets[Asset ID])),IF(AND((_xlfn.XMATCH(AX$8,$AH$8:$CC$8))-_xlfn.XMATCH($C160,$C$35:$C$82)+1&lt;=_xlpm.DepreciationMonths,$C160&lt;=AX$8),$E160/_xlpm.DepreciationMonths,0))</f>
        <v>0</v>
      </c>
      <c r="AY160" s="507" cm="1">
        <f t="array" ref="AY160">_xlfn.LET(_xlpm.DepreciationMonths,INDEX(FixedAssets[Depreciation
/ Amortization Months],_xlfn.XMATCH($E$135,FixedAssets[Asset ID])),IF(AND((_xlfn.XMATCH(AY$8,$AH$8:$CC$8))-_xlfn.XMATCH($C160,$C$35:$C$82)+1&lt;=_xlpm.DepreciationMonths,$C160&lt;=AY$8),$E160/_xlpm.DepreciationMonths,0))</f>
        <v>0</v>
      </c>
      <c r="AZ160" s="507" cm="1">
        <f t="array" ref="AZ160">_xlfn.LET(_xlpm.DepreciationMonths,INDEX(FixedAssets[Depreciation
/ Amortization Months],_xlfn.XMATCH($E$135,FixedAssets[Asset ID])),IF(AND((_xlfn.XMATCH(AZ$8,$AH$8:$CC$8))-_xlfn.XMATCH($C160,$C$35:$C$82)+1&lt;=_xlpm.DepreciationMonths,$C160&lt;=AZ$8),$E160/_xlpm.DepreciationMonths,0))</f>
        <v>0</v>
      </c>
      <c r="BA160" s="507" cm="1">
        <f t="array" ref="BA160">_xlfn.LET(_xlpm.DepreciationMonths,INDEX(FixedAssets[Depreciation
/ Amortization Months],_xlfn.XMATCH($E$135,FixedAssets[Asset ID])),IF(AND((_xlfn.XMATCH(BA$8,$AH$8:$CC$8))-_xlfn.XMATCH($C160,$C$35:$C$82)+1&lt;=_xlpm.DepreciationMonths,$C160&lt;=BA$8),$E160/_xlpm.DepreciationMonths,0))</f>
        <v>0</v>
      </c>
      <c r="BB160" s="507" cm="1">
        <f t="array" ref="BB160">_xlfn.LET(_xlpm.DepreciationMonths,INDEX(FixedAssets[Depreciation
/ Amortization Months],_xlfn.XMATCH($E$135,FixedAssets[Asset ID])),IF(AND((_xlfn.XMATCH(BB$8,$AH$8:$CC$8))-_xlfn.XMATCH($C160,$C$35:$C$82)+1&lt;=_xlpm.DepreciationMonths,$C160&lt;=BB$8),$E160/_xlpm.DepreciationMonths,0))</f>
        <v>0</v>
      </c>
      <c r="BC160" s="507" cm="1">
        <f t="array" ref="BC160">_xlfn.LET(_xlpm.DepreciationMonths,INDEX(FixedAssets[Depreciation
/ Amortization Months],_xlfn.XMATCH($E$135,FixedAssets[Asset ID])),IF(AND((_xlfn.XMATCH(BC$8,$AH$8:$CC$8))-_xlfn.XMATCH($C160,$C$35:$C$82)+1&lt;=_xlpm.DepreciationMonths,$C160&lt;=BC$8),$E160/_xlpm.DepreciationMonths,0))</f>
        <v>0</v>
      </c>
      <c r="BD160" s="507" cm="1">
        <f t="array" ref="BD160">_xlfn.LET(_xlpm.DepreciationMonths,INDEX(FixedAssets[Depreciation
/ Amortization Months],_xlfn.XMATCH($E$135,FixedAssets[Asset ID])),IF(AND((_xlfn.XMATCH(BD$8,$AH$8:$CC$8))-_xlfn.XMATCH($C160,$C$35:$C$82)+1&lt;=_xlpm.DepreciationMonths,$C160&lt;=BD$8),$E160/_xlpm.DepreciationMonths,0))</f>
        <v>0</v>
      </c>
      <c r="BE160" s="507" cm="1">
        <f t="array" ref="BE160">_xlfn.LET(_xlpm.DepreciationMonths,INDEX(FixedAssets[Depreciation
/ Amortization Months],_xlfn.XMATCH($E$135,FixedAssets[Asset ID])),IF(AND((_xlfn.XMATCH(BE$8,$AH$8:$CC$8))-_xlfn.XMATCH($C160,$C$35:$C$82)+1&lt;=_xlpm.DepreciationMonths,$C160&lt;=BE$8),$E160/_xlpm.DepreciationMonths,0))</f>
        <v>0</v>
      </c>
      <c r="BF160" s="507" cm="1">
        <f t="array" ref="BF160">_xlfn.LET(_xlpm.DepreciationMonths,INDEX(FixedAssets[Depreciation
/ Amortization Months],_xlfn.XMATCH($E$135,FixedAssets[Asset ID])),IF(AND((_xlfn.XMATCH(BF$8,$AH$8:$CC$8))-_xlfn.XMATCH($C160,$C$35:$C$82)+1&lt;=_xlpm.DepreciationMonths,$C160&lt;=BF$8),$E160/_xlpm.DepreciationMonths,0))</f>
        <v>0</v>
      </c>
      <c r="BG160" s="507" cm="1">
        <f t="array" ref="BG160">_xlfn.LET(_xlpm.DepreciationMonths,INDEX(FixedAssets[Depreciation
/ Amortization Months],_xlfn.XMATCH($E$135,FixedAssets[Asset ID])),IF(AND((_xlfn.XMATCH(BG$8,$AH$8:$CC$8))-_xlfn.XMATCH($C160,$C$35:$C$82)+1&lt;=_xlpm.DepreciationMonths,$C160&lt;=BG$8),$E160/_xlpm.DepreciationMonths,0))</f>
        <v>0</v>
      </c>
      <c r="BH160" s="507" cm="1">
        <f t="array" ref="BH160">_xlfn.LET(_xlpm.DepreciationMonths,INDEX(FixedAssets[Depreciation
/ Amortization Months],_xlfn.XMATCH($E$135,FixedAssets[Asset ID])),IF(AND((_xlfn.XMATCH(BH$8,$AH$8:$CC$8))-_xlfn.XMATCH($C160,$C$35:$C$82)+1&lt;=_xlpm.DepreciationMonths,$C160&lt;=BH$8),$E160/_xlpm.DepreciationMonths,0))</f>
        <v>0</v>
      </c>
      <c r="BI160" s="507" cm="1">
        <f t="array" ref="BI160">_xlfn.LET(_xlpm.DepreciationMonths,INDEX(FixedAssets[Depreciation
/ Amortization Months],_xlfn.XMATCH($E$135,FixedAssets[Asset ID])),IF(AND((_xlfn.XMATCH(BI$8,$AH$8:$CC$8))-_xlfn.XMATCH($C160,$C$35:$C$82)+1&lt;=_xlpm.DepreciationMonths,$C160&lt;=BI$8),$E160/_xlpm.DepreciationMonths,0))</f>
        <v>0</v>
      </c>
      <c r="BJ160" s="507" cm="1">
        <f t="array" ref="BJ160">_xlfn.LET(_xlpm.DepreciationMonths,INDEX(FixedAssets[Depreciation
/ Amortization Months],_xlfn.XMATCH($E$135,FixedAssets[Asset ID])),IF(AND((_xlfn.XMATCH(BJ$8,$AH$8:$CC$8))-_xlfn.XMATCH($C160,$C$35:$C$82)+1&lt;=_xlpm.DepreciationMonths,$C160&lt;=BJ$8),$E160/_xlpm.DepreciationMonths,0))</f>
        <v>0</v>
      </c>
      <c r="BK160" s="507" cm="1">
        <f t="array" ref="BK160">_xlfn.LET(_xlpm.DepreciationMonths,INDEX(FixedAssets[Depreciation
/ Amortization Months],_xlfn.XMATCH($E$135,FixedAssets[Asset ID])),IF(AND((_xlfn.XMATCH(BK$8,$AH$8:$CC$8))-_xlfn.XMATCH($C160,$C$35:$C$82)+1&lt;=_xlpm.DepreciationMonths,$C160&lt;=BK$8),$E160/_xlpm.DepreciationMonths,0))</f>
        <v>0</v>
      </c>
      <c r="BL160" s="507" cm="1">
        <f t="array" ref="BL160">_xlfn.LET(_xlpm.DepreciationMonths,INDEX(FixedAssets[Depreciation
/ Amortization Months],_xlfn.XMATCH($E$135,FixedAssets[Asset ID])),IF(AND((_xlfn.XMATCH(BL$8,$AH$8:$CC$8))-_xlfn.XMATCH($C160,$C$35:$C$82)+1&lt;=_xlpm.DepreciationMonths,$C160&lt;=BL$8),$E160/_xlpm.DepreciationMonths,0))</f>
        <v>0</v>
      </c>
      <c r="BM160" s="507" cm="1">
        <f t="array" ref="BM160">_xlfn.LET(_xlpm.DepreciationMonths,INDEX(FixedAssets[Depreciation
/ Amortization Months],_xlfn.XMATCH($E$135,FixedAssets[Asset ID])),IF(AND((_xlfn.XMATCH(BM$8,$AH$8:$CC$8))-_xlfn.XMATCH($C160,$C$35:$C$82)+1&lt;=_xlpm.DepreciationMonths,$C160&lt;=BM$8),$E160/_xlpm.DepreciationMonths,0))</f>
        <v>0</v>
      </c>
      <c r="BN160" s="507" cm="1">
        <f t="array" ref="BN160">_xlfn.LET(_xlpm.DepreciationMonths,INDEX(FixedAssets[Depreciation
/ Amortization Months],_xlfn.XMATCH($E$135,FixedAssets[Asset ID])),IF(AND((_xlfn.XMATCH(BN$8,$AH$8:$CC$8))-_xlfn.XMATCH($C160,$C$35:$C$82)+1&lt;=_xlpm.DepreciationMonths,$C160&lt;=BN$8),$E160/_xlpm.DepreciationMonths,0))</f>
        <v>0</v>
      </c>
      <c r="BO160" s="507" cm="1">
        <f t="array" ref="BO160">_xlfn.LET(_xlpm.DepreciationMonths,INDEX(FixedAssets[Depreciation
/ Amortization Months],_xlfn.XMATCH($E$135,FixedAssets[Asset ID])),IF(AND((_xlfn.XMATCH(BO$8,$AH$8:$CC$8))-_xlfn.XMATCH($C160,$C$35:$C$82)+1&lt;=_xlpm.DepreciationMonths,$C160&lt;=BO$8),$E160/_xlpm.DepreciationMonths,0))</f>
        <v>0</v>
      </c>
      <c r="BP160" s="507" cm="1">
        <f t="array" ref="BP160">_xlfn.LET(_xlpm.DepreciationMonths,INDEX(FixedAssets[Depreciation
/ Amortization Months],_xlfn.XMATCH($E$135,FixedAssets[Asset ID])),IF(AND((_xlfn.XMATCH(BP$8,$AH$8:$CC$8))-_xlfn.XMATCH($C160,$C$35:$C$82)+1&lt;=_xlpm.DepreciationMonths,$C160&lt;=BP$8),$E160/_xlpm.DepreciationMonths,0))</f>
        <v>0</v>
      </c>
      <c r="BQ160" s="507" cm="1">
        <f t="array" ref="BQ160">_xlfn.LET(_xlpm.DepreciationMonths,INDEX(FixedAssets[Depreciation
/ Amortization Months],_xlfn.XMATCH($E$135,FixedAssets[Asset ID])),IF(AND((_xlfn.XMATCH(BQ$8,$AH$8:$CC$8))-_xlfn.XMATCH($C160,$C$35:$C$82)+1&lt;=_xlpm.DepreciationMonths,$C160&lt;=BQ$8),$E160/_xlpm.DepreciationMonths,0))</f>
        <v>0</v>
      </c>
      <c r="BR160" s="507" cm="1">
        <f t="array" ref="BR160">_xlfn.LET(_xlpm.DepreciationMonths,INDEX(FixedAssets[Depreciation
/ Amortization Months],_xlfn.XMATCH($E$135,FixedAssets[Asset ID])),IF(AND((_xlfn.XMATCH(BR$8,$AH$8:$CC$8))-_xlfn.XMATCH($C160,$C$35:$C$82)+1&lt;=_xlpm.DepreciationMonths,$C160&lt;=BR$8),$E160/_xlpm.DepreciationMonths,0))</f>
        <v>0</v>
      </c>
      <c r="BS160" s="507" cm="1">
        <f t="array" ref="BS160">_xlfn.LET(_xlpm.DepreciationMonths,INDEX(FixedAssets[Depreciation
/ Amortization Months],_xlfn.XMATCH($E$135,FixedAssets[Asset ID])),IF(AND((_xlfn.XMATCH(BS$8,$AH$8:$CC$8))-_xlfn.XMATCH($C160,$C$35:$C$82)+1&lt;=_xlpm.DepreciationMonths,$C160&lt;=BS$8),$E160/_xlpm.DepreciationMonths,0))</f>
        <v>0</v>
      </c>
      <c r="BT160" s="507" cm="1">
        <f t="array" ref="BT160">_xlfn.LET(_xlpm.DepreciationMonths,INDEX(FixedAssets[Depreciation
/ Amortization Months],_xlfn.XMATCH($E$135,FixedAssets[Asset ID])),IF(AND((_xlfn.XMATCH(BT$8,$AH$8:$CC$8))-_xlfn.XMATCH($C160,$C$35:$C$82)+1&lt;=_xlpm.DepreciationMonths,$C160&lt;=BT$8),$E160/_xlpm.DepreciationMonths,0))</f>
        <v>0</v>
      </c>
      <c r="BU160" s="507" cm="1">
        <f t="array" ref="BU160">_xlfn.LET(_xlpm.DepreciationMonths,INDEX(FixedAssets[Depreciation
/ Amortization Months],_xlfn.XMATCH($E$135,FixedAssets[Asset ID])),IF(AND((_xlfn.XMATCH(BU$8,$AH$8:$CC$8))-_xlfn.XMATCH($C160,$C$35:$C$82)+1&lt;=_xlpm.DepreciationMonths,$C160&lt;=BU$8),$E160/_xlpm.DepreciationMonths,0))</f>
        <v>0</v>
      </c>
      <c r="BV160" s="507" cm="1">
        <f t="array" ref="BV160">_xlfn.LET(_xlpm.DepreciationMonths,INDEX(FixedAssets[Depreciation
/ Amortization Months],_xlfn.XMATCH($E$135,FixedAssets[Asset ID])),IF(AND((_xlfn.XMATCH(BV$8,$AH$8:$CC$8))-_xlfn.XMATCH($C160,$C$35:$C$82)+1&lt;=_xlpm.DepreciationMonths,$C160&lt;=BV$8),$E160/_xlpm.DepreciationMonths,0))</f>
        <v>0</v>
      </c>
      <c r="BW160" s="507" cm="1">
        <f t="array" ref="BW160">_xlfn.LET(_xlpm.DepreciationMonths,INDEX(FixedAssets[Depreciation
/ Amortization Months],_xlfn.XMATCH($E$135,FixedAssets[Asset ID])),IF(AND((_xlfn.XMATCH(BW$8,$AH$8:$CC$8))-_xlfn.XMATCH($C160,$C$35:$C$82)+1&lt;=_xlpm.DepreciationMonths,$C160&lt;=BW$8),$E160/_xlpm.DepreciationMonths,0))</f>
        <v>0</v>
      </c>
      <c r="BX160" s="507" cm="1">
        <f t="array" ref="BX160">_xlfn.LET(_xlpm.DepreciationMonths,INDEX(FixedAssets[Depreciation
/ Amortization Months],_xlfn.XMATCH($E$135,FixedAssets[Asset ID])),IF(AND((_xlfn.XMATCH(BX$8,$AH$8:$CC$8))-_xlfn.XMATCH($C160,$C$35:$C$82)+1&lt;=_xlpm.DepreciationMonths,$C160&lt;=BX$8),$E160/_xlpm.DepreciationMonths,0))</f>
        <v>0</v>
      </c>
      <c r="BY160" s="507" cm="1">
        <f t="array" ref="BY160">_xlfn.LET(_xlpm.DepreciationMonths,INDEX(FixedAssets[Depreciation
/ Amortization Months],_xlfn.XMATCH($E$135,FixedAssets[Asset ID])),IF(AND((_xlfn.XMATCH(BY$8,$AH$8:$CC$8))-_xlfn.XMATCH($C160,$C$35:$C$82)+1&lt;=_xlpm.DepreciationMonths,$C160&lt;=BY$8),$E160/_xlpm.DepreciationMonths,0))</f>
        <v>0</v>
      </c>
      <c r="BZ160" s="507" cm="1">
        <f t="array" ref="BZ160">_xlfn.LET(_xlpm.DepreciationMonths,INDEX(FixedAssets[Depreciation
/ Amortization Months],_xlfn.XMATCH($E$135,FixedAssets[Asset ID])),IF(AND((_xlfn.XMATCH(BZ$8,$AH$8:$CC$8))-_xlfn.XMATCH($C160,$C$35:$C$82)+1&lt;=_xlpm.DepreciationMonths,$C160&lt;=BZ$8),$E160/_xlpm.DepreciationMonths,0))</f>
        <v>0</v>
      </c>
      <c r="CA160" s="507" cm="1">
        <f t="array" ref="CA160">_xlfn.LET(_xlpm.DepreciationMonths,INDEX(FixedAssets[Depreciation
/ Amortization Months],_xlfn.XMATCH($E$135,FixedAssets[Asset ID])),IF(AND((_xlfn.XMATCH(CA$8,$AH$8:$CC$8))-_xlfn.XMATCH($C160,$C$35:$C$82)+1&lt;=_xlpm.DepreciationMonths,$C160&lt;=CA$8),$E160/_xlpm.DepreciationMonths,0))</f>
        <v>0</v>
      </c>
      <c r="CB160" s="507" cm="1">
        <f t="array" ref="CB160">_xlfn.LET(_xlpm.DepreciationMonths,INDEX(FixedAssets[Depreciation
/ Amortization Months],_xlfn.XMATCH($E$135,FixedAssets[Asset ID])),IF(AND((_xlfn.XMATCH(CB$8,$AH$8:$CC$8))-_xlfn.XMATCH($C160,$C$35:$C$82)+1&lt;=_xlpm.DepreciationMonths,$C160&lt;=CB$8),$E160/_xlpm.DepreciationMonths,0))</f>
        <v>0</v>
      </c>
      <c r="CC160" s="507" cm="1">
        <f t="array" ref="CC160">_xlfn.LET(_xlpm.DepreciationMonths,INDEX(FixedAssets[Depreciation
/ Amortization Months],_xlfn.XMATCH($E$135,FixedAssets[Asset ID])),IF(AND((_xlfn.XMATCH(CC$8,$AH$8:$CC$8))-_xlfn.XMATCH($C160,$C$35:$C$82)+1&lt;=_xlpm.DepreciationMonths,$C160&lt;=CC$8),$E160/_xlpm.DepreciationMonths,0))</f>
        <v>0</v>
      </c>
    </row>
    <row r="161" spans="3:81" hidden="1" outlineLevel="2">
      <c r="C161" s="664">
        <f t="shared" si="243"/>
        <v>45688</v>
      </c>
      <c r="D161" s="508"/>
      <c r="E161" s="508" cm="1">
        <f t="array" ref="E161">SUMPRODUCT(($AH$26:$CC$31)*($AH$5:$CC$5=$C161)*($E$26:$E$31=E$135))-SUMPRODUCT(($AH$26:$CC$31)*($AH$5:$CC$5=EOMONTH($C161,-1))*($E$26:$E$31=E$135))</f>
        <v>0</v>
      </c>
      <c r="F161" s="508"/>
      <c r="G161" s="508"/>
      <c r="H161" s="508"/>
      <c r="I161" s="508"/>
      <c r="J161" s="504">
        <f t="shared" si="240"/>
        <v>0</v>
      </c>
      <c r="K161" s="504">
        <f t="shared" si="245"/>
        <v>0</v>
      </c>
      <c r="L161" s="504">
        <f t="shared" si="245"/>
        <v>0</v>
      </c>
      <c r="M161" s="504">
        <f t="shared" si="245"/>
        <v>0</v>
      </c>
      <c r="N161" s="504"/>
      <c r="O161" s="504"/>
      <c r="P161" s="504">
        <f t="shared" si="246"/>
        <v>0</v>
      </c>
      <c r="Q161" s="504">
        <f t="shared" si="246"/>
        <v>0</v>
      </c>
      <c r="R161" s="504">
        <f t="shared" si="246"/>
        <v>0</v>
      </c>
      <c r="S161" s="504">
        <f t="shared" si="246"/>
        <v>0</v>
      </c>
      <c r="T161" s="504">
        <f t="shared" si="246"/>
        <v>0</v>
      </c>
      <c r="U161" s="504">
        <f t="shared" si="246"/>
        <v>0</v>
      </c>
      <c r="V161" s="504">
        <f t="shared" si="246"/>
        <v>0</v>
      </c>
      <c r="W161" s="504">
        <f t="shared" si="246"/>
        <v>0</v>
      </c>
      <c r="X161" s="504">
        <f t="shared" si="246"/>
        <v>0</v>
      </c>
      <c r="Y161" s="504">
        <f t="shared" si="246"/>
        <v>0</v>
      </c>
      <c r="Z161" s="504">
        <f t="shared" si="246"/>
        <v>0</v>
      </c>
      <c r="AA161" s="504">
        <f t="shared" si="246"/>
        <v>0</v>
      </c>
      <c r="AB161" s="504">
        <f t="shared" si="246"/>
        <v>0</v>
      </c>
      <c r="AC161" s="504">
        <f t="shared" si="246"/>
        <v>0</v>
      </c>
      <c r="AD161" s="504">
        <f t="shared" si="246"/>
        <v>0</v>
      </c>
      <c r="AE161" s="504">
        <f t="shared" si="246"/>
        <v>0</v>
      </c>
      <c r="AF161" s="508"/>
      <c r="AG161" s="508"/>
      <c r="AH161" s="507" cm="1">
        <f t="array" ref="AH161">_xlfn.LET(_xlpm.DepreciationMonths,INDEX(FixedAssets[Depreciation
/ Amortization Months],_xlfn.XMATCH($E$135,FixedAssets[Asset ID])),IF(AND((_xlfn.XMATCH(AH$8,$AH$8:$CC$8))-_xlfn.XMATCH($C161,$C$35:$C$82)+1&lt;=_xlpm.DepreciationMonths,$C161&lt;=AH$8),$E161/_xlpm.DepreciationMonths,0))</f>
        <v>0</v>
      </c>
      <c r="AI161" s="507" cm="1">
        <f t="array" ref="AI161">_xlfn.LET(_xlpm.DepreciationMonths,INDEX(FixedAssets[Depreciation
/ Amortization Months],_xlfn.XMATCH($E$135,FixedAssets[Asset ID])),IF(AND((_xlfn.XMATCH(AI$8,$AH$8:$CC$8))-_xlfn.XMATCH($C161,$C$35:$C$82)+1&lt;=_xlpm.DepreciationMonths,$C161&lt;=AI$8),$E161/_xlpm.DepreciationMonths,0))</f>
        <v>0</v>
      </c>
      <c r="AJ161" s="507" cm="1">
        <f t="array" ref="AJ161">_xlfn.LET(_xlpm.DepreciationMonths,INDEX(FixedAssets[Depreciation
/ Amortization Months],_xlfn.XMATCH($E$135,FixedAssets[Asset ID])),IF(AND((_xlfn.XMATCH(AJ$8,$AH$8:$CC$8))-_xlfn.XMATCH($C161,$C$35:$C$82)+1&lt;=_xlpm.DepreciationMonths,$C161&lt;=AJ$8),$E161/_xlpm.DepreciationMonths,0))</f>
        <v>0</v>
      </c>
      <c r="AK161" s="507" cm="1">
        <f t="array" ref="AK161">_xlfn.LET(_xlpm.DepreciationMonths,INDEX(FixedAssets[Depreciation
/ Amortization Months],_xlfn.XMATCH($E$135,FixedAssets[Asset ID])),IF(AND((_xlfn.XMATCH(AK$8,$AH$8:$CC$8))-_xlfn.XMATCH($C161,$C$35:$C$82)+1&lt;=_xlpm.DepreciationMonths,$C161&lt;=AK$8),$E161/_xlpm.DepreciationMonths,0))</f>
        <v>0</v>
      </c>
      <c r="AL161" s="507" cm="1">
        <f t="array" ref="AL161">_xlfn.LET(_xlpm.DepreciationMonths,INDEX(FixedAssets[Depreciation
/ Amortization Months],_xlfn.XMATCH($E$135,FixedAssets[Asset ID])),IF(AND((_xlfn.XMATCH(AL$8,$AH$8:$CC$8))-_xlfn.XMATCH($C161,$C$35:$C$82)+1&lt;=_xlpm.DepreciationMonths,$C161&lt;=AL$8),$E161/_xlpm.DepreciationMonths,0))</f>
        <v>0</v>
      </c>
      <c r="AM161" s="507" cm="1">
        <f t="array" ref="AM161">_xlfn.LET(_xlpm.DepreciationMonths,INDEX(FixedAssets[Depreciation
/ Amortization Months],_xlfn.XMATCH($E$135,FixedAssets[Asset ID])),IF(AND((_xlfn.XMATCH(AM$8,$AH$8:$CC$8))-_xlfn.XMATCH($C161,$C$35:$C$82)+1&lt;=_xlpm.DepreciationMonths,$C161&lt;=AM$8),$E161/_xlpm.DepreciationMonths,0))</f>
        <v>0</v>
      </c>
      <c r="AN161" s="507" cm="1">
        <f t="array" ref="AN161">_xlfn.LET(_xlpm.DepreciationMonths,INDEX(FixedAssets[Depreciation
/ Amortization Months],_xlfn.XMATCH($E$135,FixedAssets[Asset ID])),IF(AND((_xlfn.XMATCH(AN$8,$AH$8:$CC$8))-_xlfn.XMATCH($C161,$C$35:$C$82)+1&lt;=_xlpm.DepreciationMonths,$C161&lt;=AN$8),$E161/_xlpm.DepreciationMonths,0))</f>
        <v>0</v>
      </c>
      <c r="AO161" s="507" cm="1">
        <f t="array" ref="AO161">_xlfn.LET(_xlpm.DepreciationMonths,INDEX(FixedAssets[Depreciation
/ Amortization Months],_xlfn.XMATCH($E$135,FixedAssets[Asset ID])),IF(AND((_xlfn.XMATCH(AO$8,$AH$8:$CC$8))-_xlfn.XMATCH($C161,$C$35:$C$82)+1&lt;=_xlpm.DepreciationMonths,$C161&lt;=AO$8),$E161/_xlpm.DepreciationMonths,0))</f>
        <v>0</v>
      </c>
      <c r="AP161" s="507" cm="1">
        <f t="array" ref="AP161">_xlfn.LET(_xlpm.DepreciationMonths,INDEX(FixedAssets[Depreciation
/ Amortization Months],_xlfn.XMATCH($E$135,FixedAssets[Asset ID])),IF(AND((_xlfn.XMATCH(AP$8,$AH$8:$CC$8))-_xlfn.XMATCH($C161,$C$35:$C$82)+1&lt;=_xlpm.DepreciationMonths,$C161&lt;=AP$8),$E161/_xlpm.DepreciationMonths,0))</f>
        <v>0</v>
      </c>
      <c r="AQ161" s="507" cm="1">
        <f t="array" ref="AQ161">_xlfn.LET(_xlpm.DepreciationMonths,INDEX(FixedAssets[Depreciation
/ Amortization Months],_xlfn.XMATCH($E$135,FixedAssets[Asset ID])),IF(AND((_xlfn.XMATCH(AQ$8,$AH$8:$CC$8))-_xlfn.XMATCH($C161,$C$35:$C$82)+1&lt;=_xlpm.DepreciationMonths,$C161&lt;=AQ$8),$E161/_xlpm.DepreciationMonths,0))</f>
        <v>0</v>
      </c>
      <c r="AR161" s="507" cm="1">
        <f t="array" ref="AR161">_xlfn.LET(_xlpm.DepreciationMonths,INDEX(FixedAssets[Depreciation
/ Amortization Months],_xlfn.XMATCH($E$135,FixedAssets[Asset ID])),IF(AND((_xlfn.XMATCH(AR$8,$AH$8:$CC$8))-_xlfn.XMATCH($C161,$C$35:$C$82)+1&lt;=_xlpm.DepreciationMonths,$C161&lt;=AR$8),$E161/_xlpm.DepreciationMonths,0))</f>
        <v>0</v>
      </c>
      <c r="AS161" s="507" cm="1">
        <f t="array" ref="AS161">_xlfn.LET(_xlpm.DepreciationMonths,INDEX(FixedAssets[Depreciation
/ Amortization Months],_xlfn.XMATCH($E$135,FixedAssets[Asset ID])),IF(AND((_xlfn.XMATCH(AS$8,$AH$8:$CC$8))-_xlfn.XMATCH($C161,$C$35:$C$82)+1&lt;=_xlpm.DepreciationMonths,$C161&lt;=AS$8),$E161/_xlpm.DepreciationMonths,0))</f>
        <v>0</v>
      </c>
      <c r="AT161" s="507" cm="1">
        <f t="array" ref="AT161">_xlfn.LET(_xlpm.DepreciationMonths,INDEX(FixedAssets[Depreciation
/ Amortization Months],_xlfn.XMATCH($E$135,FixedAssets[Asset ID])),IF(AND((_xlfn.XMATCH(AT$8,$AH$8:$CC$8))-_xlfn.XMATCH($C161,$C$35:$C$82)+1&lt;=_xlpm.DepreciationMonths,$C161&lt;=AT$8),$E161/_xlpm.DepreciationMonths,0))</f>
        <v>0</v>
      </c>
      <c r="AU161" s="507" cm="1">
        <f t="array" ref="AU161">_xlfn.LET(_xlpm.DepreciationMonths,INDEX(FixedAssets[Depreciation
/ Amortization Months],_xlfn.XMATCH($E$135,FixedAssets[Asset ID])),IF(AND((_xlfn.XMATCH(AU$8,$AH$8:$CC$8))-_xlfn.XMATCH($C161,$C$35:$C$82)+1&lt;=_xlpm.DepreciationMonths,$C161&lt;=AU$8),$E161/_xlpm.DepreciationMonths,0))</f>
        <v>0</v>
      </c>
      <c r="AV161" s="507" cm="1">
        <f t="array" ref="AV161">_xlfn.LET(_xlpm.DepreciationMonths,INDEX(FixedAssets[Depreciation
/ Amortization Months],_xlfn.XMATCH($E$135,FixedAssets[Asset ID])),IF(AND((_xlfn.XMATCH(AV$8,$AH$8:$CC$8))-_xlfn.XMATCH($C161,$C$35:$C$82)+1&lt;=_xlpm.DepreciationMonths,$C161&lt;=AV$8),$E161/_xlpm.DepreciationMonths,0))</f>
        <v>0</v>
      </c>
      <c r="AW161" s="507" cm="1">
        <f t="array" ref="AW161">_xlfn.LET(_xlpm.DepreciationMonths,INDEX(FixedAssets[Depreciation
/ Amortization Months],_xlfn.XMATCH($E$135,FixedAssets[Asset ID])),IF(AND((_xlfn.XMATCH(AW$8,$AH$8:$CC$8))-_xlfn.XMATCH($C161,$C$35:$C$82)+1&lt;=_xlpm.DepreciationMonths,$C161&lt;=AW$8),$E161/_xlpm.DepreciationMonths,0))</f>
        <v>0</v>
      </c>
      <c r="AX161" s="507" cm="1">
        <f t="array" ref="AX161">_xlfn.LET(_xlpm.DepreciationMonths,INDEX(FixedAssets[Depreciation
/ Amortization Months],_xlfn.XMATCH($E$135,FixedAssets[Asset ID])),IF(AND((_xlfn.XMATCH(AX$8,$AH$8:$CC$8))-_xlfn.XMATCH($C161,$C$35:$C$82)+1&lt;=_xlpm.DepreciationMonths,$C161&lt;=AX$8),$E161/_xlpm.DepreciationMonths,0))</f>
        <v>0</v>
      </c>
      <c r="AY161" s="507" cm="1">
        <f t="array" ref="AY161">_xlfn.LET(_xlpm.DepreciationMonths,INDEX(FixedAssets[Depreciation
/ Amortization Months],_xlfn.XMATCH($E$135,FixedAssets[Asset ID])),IF(AND((_xlfn.XMATCH(AY$8,$AH$8:$CC$8))-_xlfn.XMATCH($C161,$C$35:$C$82)+1&lt;=_xlpm.DepreciationMonths,$C161&lt;=AY$8),$E161/_xlpm.DepreciationMonths,0))</f>
        <v>0</v>
      </c>
      <c r="AZ161" s="507" cm="1">
        <f t="array" ref="AZ161">_xlfn.LET(_xlpm.DepreciationMonths,INDEX(FixedAssets[Depreciation
/ Amortization Months],_xlfn.XMATCH($E$135,FixedAssets[Asset ID])),IF(AND((_xlfn.XMATCH(AZ$8,$AH$8:$CC$8))-_xlfn.XMATCH($C161,$C$35:$C$82)+1&lt;=_xlpm.DepreciationMonths,$C161&lt;=AZ$8),$E161/_xlpm.DepreciationMonths,0))</f>
        <v>0</v>
      </c>
      <c r="BA161" s="507" cm="1">
        <f t="array" ref="BA161">_xlfn.LET(_xlpm.DepreciationMonths,INDEX(FixedAssets[Depreciation
/ Amortization Months],_xlfn.XMATCH($E$135,FixedAssets[Asset ID])),IF(AND((_xlfn.XMATCH(BA$8,$AH$8:$CC$8))-_xlfn.XMATCH($C161,$C$35:$C$82)+1&lt;=_xlpm.DepreciationMonths,$C161&lt;=BA$8),$E161/_xlpm.DepreciationMonths,0))</f>
        <v>0</v>
      </c>
      <c r="BB161" s="507" cm="1">
        <f t="array" ref="BB161">_xlfn.LET(_xlpm.DepreciationMonths,INDEX(FixedAssets[Depreciation
/ Amortization Months],_xlfn.XMATCH($E$135,FixedAssets[Asset ID])),IF(AND((_xlfn.XMATCH(BB$8,$AH$8:$CC$8))-_xlfn.XMATCH($C161,$C$35:$C$82)+1&lt;=_xlpm.DepreciationMonths,$C161&lt;=BB$8),$E161/_xlpm.DepreciationMonths,0))</f>
        <v>0</v>
      </c>
      <c r="BC161" s="507" cm="1">
        <f t="array" ref="BC161">_xlfn.LET(_xlpm.DepreciationMonths,INDEX(FixedAssets[Depreciation
/ Amortization Months],_xlfn.XMATCH($E$135,FixedAssets[Asset ID])),IF(AND((_xlfn.XMATCH(BC$8,$AH$8:$CC$8))-_xlfn.XMATCH($C161,$C$35:$C$82)+1&lt;=_xlpm.DepreciationMonths,$C161&lt;=BC$8),$E161/_xlpm.DepreciationMonths,0))</f>
        <v>0</v>
      </c>
      <c r="BD161" s="507" cm="1">
        <f t="array" ref="BD161">_xlfn.LET(_xlpm.DepreciationMonths,INDEX(FixedAssets[Depreciation
/ Amortization Months],_xlfn.XMATCH($E$135,FixedAssets[Asset ID])),IF(AND((_xlfn.XMATCH(BD$8,$AH$8:$CC$8))-_xlfn.XMATCH($C161,$C$35:$C$82)+1&lt;=_xlpm.DepreciationMonths,$C161&lt;=BD$8),$E161/_xlpm.DepreciationMonths,0))</f>
        <v>0</v>
      </c>
      <c r="BE161" s="507" cm="1">
        <f t="array" ref="BE161">_xlfn.LET(_xlpm.DepreciationMonths,INDEX(FixedAssets[Depreciation
/ Amortization Months],_xlfn.XMATCH($E$135,FixedAssets[Asset ID])),IF(AND((_xlfn.XMATCH(BE$8,$AH$8:$CC$8))-_xlfn.XMATCH($C161,$C$35:$C$82)+1&lt;=_xlpm.DepreciationMonths,$C161&lt;=BE$8),$E161/_xlpm.DepreciationMonths,0))</f>
        <v>0</v>
      </c>
      <c r="BF161" s="507" cm="1">
        <f t="array" ref="BF161">_xlfn.LET(_xlpm.DepreciationMonths,INDEX(FixedAssets[Depreciation
/ Amortization Months],_xlfn.XMATCH($E$135,FixedAssets[Asset ID])),IF(AND((_xlfn.XMATCH(BF$8,$AH$8:$CC$8))-_xlfn.XMATCH($C161,$C$35:$C$82)+1&lt;=_xlpm.DepreciationMonths,$C161&lt;=BF$8),$E161/_xlpm.DepreciationMonths,0))</f>
        <v>0</v>
      </c>
      <c r="BG161" s="507" cm="1">
        <f t="array" ref="BG161">_xlfn.LET(_xlpm.DepreciationMonths,INDEX(FixedAssets[Depreciation
/ Amortization Months],_xlfn.XMATCH($E$135,FixedAssets[Asset ID])),IF(AND((_xlfn.XMATCH(BG$8,$AH$8:$CC$8))-_xlfn.XMATCH($C161,$C$35:$C$82)+1&lt;=_xlpm.DepreciationMonths,$C161&lt;=BG$8),$E161/_xlpm.DepreciationMonths,0))</f>
        <v>0</v>
      </c>
      <c r="BH161" s="507" cm="1">
        <f t="array" ref="BH161">_xlfn.LET(_xlpm.DepreciationMonths,INDEX(FixedAssets[Depreciation
/ Amortization Months],_xlfn.XMATCH($E$135,FixedAssets[Asset ID])),IF(AND((_xlfn.XMATCH(BH$8,$AH$8:$CC$8))-_xlfn.XMATCH($C161,$C$35:$C$82)+1&lt;=_xlpm.DepreciationMonths,$C161&lt;=BH$8),$E161/_xlpm.DepreciationMonths,0))</f>
        <v>0</v>
      </c>
      <c r="BI161" s="507" cm="1">
        <f t="array" ref="BI161">_xlfn.LET(_xlpm.DepreciationMonths,INDEX(FixedAssets[Depreciation
/ Amortization Months],_xlfn.XMATCH($E$135,FixedAssets[Asset ID])),IF(AND((_xlfn.XMATCH(BI$8,$AH$8:$CC$8))-_xlfn.XMATCH($C161,$C$35:$C$82)+1&lt;=_xlpm.DepreciationMonths,$C161&lt;=BI$8),$E161/_xlpm.DepreciationMonths,0))</f>
        <v>0</v>
      </c>
      <c r="BJ161" s="507" cm="1">
        <f t="array" ref="BJ161">_xlfn.LET(_xlpm.DepreciationMonths,INDEX(FixedAssets[Depreciation
/ Amortization Months],_xlfn.XMATCH($E$135,FixedAssets[Asset ID])),IF(AND((_xlfn.XMATCH(BJ$8,$AH$8:$CC$8))-_xlfn.XMATCH($C161,$C$35:$C$82)+1&lt;=_xlpm.DepreciationMonths,$C161&lt;=BJ$8),$E161/_xlpm.DepreciationMonths,0))</f>
        <v>0</v>
      </c>
      <c r="BK161" s="507" cm="1">
        <f t="array" ref="BK161">_xlfn.LET(_xlpm.DepreciationMonths,INDEX(FixedAssets[Depreciation
/ Amortization Months],_xlfn.XMATCH($E$135,FixedAssets[Asset ID])),IF(AND((_xlfn.XMATCH(BK$8,$AH$8:$CC$8))-_xlfn.XMATCH($C161,$C$35:$C$82)+1&lt;=_xlpm.DepreciationMonths,$C161&lt;=BK$8),$E161/_xlpm.DepreciationMonths,0))</f>
        <v>0</v>
      </c>
      <c r="BL161" s="507" cm="1">
        <f t="array" ref="BL161">_xlfn.LET(_xlpm.DepreciationMonths,INDEX(FixedAssets[Depreciation
/ Amortization Months],_xlfn.XMATCH($E$135,FixedAssets[Asset ID])),IF(AND((_xlfn.XMATCH(BL$8,$AH$8:$CC$8))-_xlfn.XMATCH($C161,$C$35:$C$82)+1&lt;=_xlpm.DepreciationMonths,$C161&lt;=BL$8),$E161/_xlpm.DepreciationMonths,0))</f>
        <v>0</v>
      </c>
      <c r="BM161" s="507" cm="1">
        <f t="array" ref="BM161">_xlfn.LET(_xlpm.DepreciationMonths,INDEX(FixedAssets[Depreciation
/ Amortization Months],_xlfn.XMATCH($E$135,FixedAssets[Asset ID])),IF(AND((_xlfn.XMATCH(BM$8,$AH$8:$CC$8))-_xlfn.XMATCH($C161,$C$35:$C$82)+1&lt;=_xlpm.DepreciationMonths,$C161&lt;=BM$8),$E161/_xlpm.DepreciationMonths,0))</f>
        <v>0</v>
      </c>
      <c r="BN161" s="507" cm="1">
        <f t="array" ref="BN161">_xlfn.LET(_xlpm.DepreciationMonths,INDEX(FixedAssets[Depreciation
/ Amortization Months],_xlfn.XMATCH($E$135,FixedAssets[Asset ID])),IF(AND((_xlfn.XMATCH(BN$8,$AH$8:$CC$8))-_xlfn.XMATCH($C161,$C$35:$C$82)+1&lt;=_xlpm.DepreciationMonths,$C161&lt;=BN$8),$E161/_xlpm.DepreciationMonths,0))</f>
        <v>0</v>
      </c>
      <c r="BO161" s="507" cm="1">
        <f t="array" ref="BO161">_xlfn.LET(_xlpm.DepreciationMonths,INDEX(FixedAssets[Depreciation
/ Amortization Months],_xlfn.XMATCH($E$135,FixedAssets[Asset ID])),IF(AND((_xlfn.XMATCH(BO$8,$AH$8:$CC$8))-_xlfn.XMATCH($C161,$C$35:$C$82)+1&lt;=_xlpm.DepreciationMonths,$C161&lt;=BO$8),$E161/_xlpm.DepreciationMonths,0))</f>
        <v>0</v>
      </c>
      <c r="BP161" s="507" cm="1">
        <f t="array" ref="BP161">_xlfn.LET(_xlpm.DepreciationMonths,INDEX(FixedAssets[Depreciation
/ Amortization Months],_xlfn.XMATCH($E$135,FixedAssets[Asset ID])),IF(AND((_xlfn.XMATCH(BP$8,$AH$8:$CC$8))-_xlfn.XMATCH($C161,$C$35:$C$82)+1&lt;=_xlpm.DepreciationMonths,$C161&lt;=BP$8),$E161/_xlpm.DepreciationMonths,0))</f>
        <v>0</v>
      </c>
      <c r="BQ161" s="507" cm="1">
        <f t="array" ref="BQ161">_xlfn.LET(_xlpm.DepreciationMonths,INDEX(FixedAssets[Depreciation
/ Amortization Months],_xlfn.XMATCH($E$135,FixedAssets[Asset ID])),IF(AND((_xlfn.XMATCH(BQ$8,$AH$8:$CC$8))-_xlfn.XMATCH($C161,$C$35:$C$82)+1&lt;=_xlpm.DepreciationMonths,$C161&lt;=BQ$8),$E161/_xlpm.DepreciationMonths,0))</f>
        <v>0</v>
      </c>
      <c r="BR161" s="507" cm="1">
        <f t="array" ref="BR161">_xlfn.LET(_xlpm.DepreciationMonths,INDEX(FixedAssets[Depreciation
/ Amortization Months],_xlfn.XMATCH($E$135,FixedAssets[Asset ID])),IF(AND((_xlfn.XMATCH(BR$8,$AH$8:$CC$8))-_xlfn.XMATCH($C161,$C$35:$C$82)+1&lt;=_xlpm.DepreciationMonths,$C161&lt;=BR$8),$E161/_xlpm.DepreciationMonths,0))</f>
        <v>0</v>
      </c>
      <c r="BS161" s="507" cm="1">
        <f t="array" ref="BS161">_xlfn.LET(_xlpm.DepreciationMonths,INDEX(FixedAssets[Depreciation
/ Amortization Months],_xlfn.XMATCH($E$135,FixedAssets[Asset ID])),IF(AND((_xlfn.XMATCH(BS$8,$AH$8:$CC$8))-_xlfn.XMATCH($C161,$C$35:$C$82)+1&lt;=_xlpm.DepreciationMonths,$C161&lt;=BS$8),$E161/_xlpm.DepreciationMonths,0))</f>
        <v>0</v>
      </c>
      <c r="BT161" s="507" cm="1">
        <f t="array" ref="BT161">_xlfn.LET(_xlpm.DepreciationMonths,INDEX(FixedAssets[Depreciation
/ Amortization Months],_xlfn.XMATCH($E$135,FixedAssets[Asset ID])),IF(AND((_xlfn.XMATCH(BT$8,$AH$8:$CC$8))-_xlfn.XMATCH($C161,$C$35:$C$82)+1&lt;=_xlpm.DepreciationMonths,$C161&lt;=BT$8),$E161/_xlpm.DepreciationMonths,0))</f>
        <v>0</v>
      </c>
      <c r="BU161" s="507" cm="1">
        <f t="array" ref="BU161">_xlfn.LET(_xlpm.DepreciationMonths,INDEX(FixedAssets[Depreciation
/ Amortization Months],_xlfn.XMATCH($E$135,FixedAssets[Asset ID])),IF(AND((_xlfn.XMATCH(BU$8,$AH$8:$CC$8))-_xlfn.XMATCH($C161,$C$35:$C$82)+1&lt;=_xlpm.DepreciationMonths,$C161&lt;=BU$8),$E161/_xlpm.DepreciationMonths,0))</f>
        <v>0</v>
      </c>
      <c r="BV161" s="507" cm="1">
        <f t="array" ref="BV161">_xlfn.LET(_xlpm.DepreciationMonths,INDEX(FixedAssets[Depreciation
/ Amortization Months],_xlfn.XMATCH($E$135,FixedAssets[Asset ID])),IF(AND((_xlfn.XMATCH(BV$8,$AH$8:$CC$8))-_xlfn.XMATCH($C161,$C$35:$C$82)+1&lt;=_xlpm.DepreciationMonths,$C161&lt;=BV$8),$E161/_xlpm.DepreciationMonths,0))</f>
        <v>0</v>
      </c>
      <c r="BW161" s="507" cm="1">
        <f t="array" ref="BW161">_xlfn.LET(_xlpm.DepreciationMonths,INDEX(FixedAssets[Depreciation
/ Amortization Months],_xlfn.XMATCH($E$135,FixedAssets[Asset ID])),IF(AND((_xlfn.XMATCH(BW$8,$AH$8:$CC$8))-_xlfn.XMATCH($C161,$C$35:$C$82)+1&lt;=_xlpm.DepreciationMonths,$C161&lt;=BW$8),$E161/_xlpm.DepreciationMonths,0))</f>
        <v>0</v>
      </c>
      <c r="BX161" s="507" cm="1">
        <f t="array" ref="BX161">_xlfn.LET(_xlpm.DepreciationMonths,INDEX(FixedAssets[Depreciation
/ Amortization Months],_xlfn.XMATCH($E$135,FixedAssets[Asset ID])),IF(AND((_xlfn.XMATCH(BX$8,$AH$8:$CC$8))-_xlfn.XMATCH($C161,$C$35:$C$82)+1&lt;=_xlpm.DepreciationMonths,$C161&lt;=BX$8),$E161/_xlpm.DepreciationMonths,0))</f>
        <v>0</v>
      </c>
      <c r="BY161" s="507" cm="1">
        <f t="array" ref="BY161">_xlfn.LET(_xlpm.DepreciationMonths,INDEX(FixedAssets[Depreciation
/ Amortization Months],_xlfn.XMATCH($E$135,FixedAssets[Asset ID])),IF(AND((_xlfn.XMATCH(BY$8,$AH$8:$CC$8))-_xlfn.XMATCH($C161,$C$35:$C$82)+1&lt;=_xlpm.DepreciationMonths,$C161&lt;=BY$8),$E161/_xlpm.DepreciationMonths,0))</f>
        <v>0</v>
      </c>
      <c r="BZ161" s="507" cm="1">
        <f t="array" ref="BZ161">_xlfn.LET(_xlpm.DepreciationMonths,INDEX(FixedAssets[Depreciation
/ Amortization Months],_xlfn.XMATCH($E$135,FixedAssets[Asset ID])),IF(AND((_xlfn.XMATCH(BZ$8,$AH$8:$CC$8))-_xlfn.XMATCH($C161,$C$35:$C$82)+1&lt;=_xlpm.DepreciationMonths,$C161&lt;=BZ$8),$E161/_xlpm.DepreciationMonths,0))</f>
        <v>0</v>
      </c>
      <c r="CA161" s="507" cm="1">
        <f t="array" ref="CA161">_xlfn.LET(_xlpm.DepreciationMonths,INDEX(FixedAssets[Depreciation
/ Amortization Months],_xlfn.XMATCH($E$135,FixedAssets[Asset ID])),IF(AND((_xlfn.XMATCH(CA$8,$AH$8:$CC$8))-_xlfn.XMATCH($C161,$C$35:$C$82)+1&lt;=_xlpm.DepreciationMonths,$C161&lt;=CA$8),$E161/_xlpm.DepreciationMonths,0))</f>
        <v>0</v>
      </c>
      <c r="CB161" s="507" cm="1">
        <f t="array" ref="CB161">_xlfn.LET(_xlpm.DepreciationMonths,INDEX(FixedAssets[Depreciation
/ Amortization Months],_xlfn.XMATCH($E$135,FixedAssets[Asset ID])),IF(AND((_xlfn.XMATCH(CB$8,$AH$8:$CC$8))-_xlfn.XMATCH($C161,$C$35:$C$82)+1&lt;=_xlpm.DepreciationMonths,$C161&lt;=CB$8),$E161/_xlpm.DepreciationMonths,0))</f>
        <v>0</v>
      </c>
      <c r="CC161" s="507" cm="1">
        <f t="array" ref="CC161">_xlfn.LET(_xlpm.DepreciationMonths,INDEX(FixedAssets[Depreciation
/ Amortization Months],_xlfn.XMATCH($E$135,FixedAssets[Asset ID])),IF(AND((_xlfn.XMATCH(CC$8,$AH$8:$CC$8))-_xlfn.XMATCH($C161,$C$35:$C$82)+1&lt;=_xlpm.DepreciationMonths,$C161&lt;=CC$8),$E161/_xlpm.DepreciationMonths,0))</f>
        <v>0</v>
      </c>
    </row>
    <row r="162" spans="3:81" hidden="1" outlineLevel="2">
      <c r="C162" s="664">
        <f t="shared" si="243"/>
        <v>45716</v>
      </c>
      <c r="D162" s="508"/>
      <c r="E162" s="508" cm="1">
        <f t="array" ref="E162">SUMPRODUCT(($AH$26:$CC$31)*($AH$5:$CC$5=$C162)*($E$26:$E$31=E$135))-SUMPRODUCT(($AH$26:$CC$31)*($AH$5:$CC$5=EOMONTH($C162,-1))*($E$26:$E$31=E$135))</f>
        <v>0</v>
      </c>
      <c r="F162" s="508"/>
      <c r="G162" s="508"/>
      <c r="H162" s="508"/>
      <c r="I162" s="508"/>
      <c r="J162" s="504">
        <f t="shared" si="240"/>
        <v>0</v>
      </c>
      <c r="K162" s="504">
        <f t="shared" si="245"/>
        <v>0</v>
      </c>
      <c r="L162" s="504">
        <f t="shared" si="245"/>
        <v>0</v>
      </c>
      <c r="M162" s="504">
        <f t="shared" si="245"/>
        <v>0</v>
      </c>
      <c r="N162" s="504"/>
      <c r="O162" s="504"/>
      <c r="P162" s="504">
        <f t="shared" si="246"/>
        <v>0</v>
      </c>
      <c r="Q162" s="504">
        <f t="shared" si="246"/>
        <v>0</v>
      </c>
      <c r="R162" s="504">
        <f t="shared" si="246"/>
        <v>0</v>
      </c>
      <c r="S162" s="504">
        <f t="shared" si="246"/>
        <v>0</v>
      </c>
      <c r="T162" s="504">
        <f t="shared" si="246"/>
        <v>0</v>
      </c>
      <c r="U162" s="504">
        <f t="shared" si="246"/>
        <v>0</v>
      </c>
      <c r="V162" s="504">
        <f t="shared" si="246"/>
        <v>0</v>
      </c>
      <c r="W162" s="504">
        <f t="shared" si="246"/>
        <v>0</v>
      </c>
      <c r="X162" s="504">
        <f t="shared" si="246"/>
        <v>0</v>
      </c>
      <c r="Y162" s="504">
        <f t="shared" si="246"/>
        <v>0</v>
      </c>
      <c r="Z162" s="504">
        <f t="shared" si="246"/>
        <v>0</v>
      </c>
      <c r="AA162" s="504">
        <f t="shared" si="246"/>
        <v>0</v>
      </c>
      <c r="AB162" s="504">
        <f t="shared" si="246"/>
        <v>0</v>
      </c>
      <c r="AC162" s="504">
        <f t="shared" si="246"/>
        <v>0</v>
      </c>
      <c r="AD162" s="504">
        <f t="shared" si="246"/>
        <v>0</v>
      </c>
      <c r="AE162" s="504">
        <f t="shared" si="246"/>
        <v>0</v>
      </c>
      <c r="AF162" s="508"/>
      <c r="AG162" s="508"/>
      <c r="AH162" s="507" cm="1">
        <f t="array" ref="AH162">_xlfn.LET(_xlpm.DepreciationMonths,INDEX(FixedAssets[Depreciation
/ Amortization Months],_xlfn.XMATCH($E$135,FixedAssets[Asset ID])),IF(AND((_xlfn.XMATCH(AH$8,$AH$8:$CC$8))-_xlfn.XMATCH($C162,$C$35:$C$82)+1&lt;=_xlpm.DepreciationMonths,$C162&lt;=AH$8),$E162/_xlpm.DepreciationMonths,0))</f>
        <v>0</v>
      </c>
      <c r="AI162" s="507" cm="1">
        <f t="array" ref="AI162">_xlfn.LET(_xlpm.DepreciationMonths,INDEX(FixedAssets[Depreciation
/ Amortization Months],_xlfn.XMATCH($E$135,FixedAssets[Asset ID])),IF(AND((_xlfn.XMATCH(AI$8,$AH$8:$CC$8))-_xlfn.XMATCH($C162,$C$35:$C$82)+1&lt;=_xlpm.DepreciationMonths,$C162&lt;=AI$8),$E162/_xlpm.DepreciationMonths,0))</f>
        <v>0</v>
      </c>
      <c r="AJ162" s="507" cm="1">
        <f t="array" ref="AJ162">_xlfn.LET(_xlpm.DepreciationMonths,INDEX(FixedAssets[Depreciation
/ Amortization Months],_xlfn.XMATCH($E$135,FixedAssets[Asset ID])),IF(AND((_xlfn.XMATCH(AJ$8,$AH$8:$CC$8))-_xlfn.XMATCH($C162,$C$35:$C$82)+1&lt;=_xlpm.DepreciationMonths,$C162&lt;=AJ$8),$E162/_xlpm.DepreciationMonths,0))</f>
        <v>0</v>
      </c>
      <c r="AK162" s="507" cm="1">
        <f t="array" ref="AK162">_xlfn.LET(_xlpm.DepreciationMonths,INDEX(FixedAssets[Depreciation
/ Amortization Months],_xlfn.XMATCH($E$135,FixedAssets[Asset ID])),IF(AND((_xlfn.XMATCH(AK$8,$AH$8:$CC$8))-_xlfn.XMATCH($C162,$C$35:$C$82)+1&lt;=_xlpm.DepreciationMonths,$C162&lt;=AK$8),$E162/_xlpm.DepreciationMonths,0))</f>
        <v>0</v>
      </c>
      <c r="AL162" s="507" cm="1">
        <f t="array" ref="AL162">_xlfn.LET(_xlpm.DepreciationMonths,INDEX(FixedAssets[Depreciation
/ Amortization Months],_xlfn.XMATCH($E$135,FixedAssets[Asset ID])),IF(AND((_xlfn.XMATCH(AL$8,$AH$8:$CC$8))-_xlfn.XMATCH($C162,$C$35:$C$82)+1&lt;=_xlpm.DepreciationMonths,$C162&lt;=AL$8),$E162/_xlpm.DepreciationMonths,0))</f>
        <v>0</v>
      </c>
      <c r="AM162" s="507" cm="1">
        <f t="array" ref="AM162">_xlfn.LET(_xlpm.DepreciationMonths,INDEX(FixedAssets[Depreciation
/ Amortization Months],_xlfn.XMATCH($E$135,FixedAssets[Asset ID])),IF(AND((_xlfn.XMATCH(AM$8,$AH$8:$CC$8))-_xlfn.XMATCH($C162,$C$35:$C$82)+1&lt;=_xlpm.DepreciationMonths,$C162&lt;=AM$8),$E162/_xlpm.DepreciationMonths,0))</f>
        <v>0</v>
      </c>
      <c r="AN162" s="507" cm="1">
        <f t="array" ref="AN162">_xlfn.LET(_xlpm.DepreciationMonths,INDEX(FixedAssets[Depreciation
/ Amortization Months],_xlfn.XMATCH($E$135,FixedAssets[Asset ID])),IF(AND((_xlfn.XMATCH(AN$8,$AH$8:$CC$8))-_xlfn.XMATCH($C162,$C$35:$C$82)+1&lt;=_xlpm.DepreciationMonths,$C162&lt;=AN$8),$E162/_xlpm.DepreciationMonths,0))</f>
        <v>0</v>
      </c>
      <c r="AO162" s="507" cm="1">
        <f t="array" ref="AO162">_xlfn.LET(_xlpm.DepreciationMonths,INDEX(FixedAssets[Depreciation
/ Amortization Months],_xlfn.XMATCH($E$135,FixedAssets[Asset ID])),IF(AND((_xlfn.XMATCH(AO$8,$AH$8:$CC$8))-_xlfn.XMATCH($C162,$C$35:$C$82)+1&lt;=_xlpm.DepreciationMonths,$C162&lt;=AO$8),$E162/_xlpm.DepreciationMonths,0))</f>
        <v>0</v>
      </c>
      <c r="AP162" s="507" cm="1">
        <f t="array" ref="AP162">_xlfn.LET(_xlpm.DepreciationMonths,INDEX(FixedAssets[Depreciation
/ Amortization Months],_xlfn.XMATCH($E$135,FixedAssets[Asset ID])),IF(AND((_xlfn.XMATCH(AP$8,$AH$8:$CC$8))-_xlfn.XMATCH($C162,$C$35:$C$82)+1&lt;=_xlpm.DepreciationMonths,$C162&lt;=AP$8),$E162/_xlpm.DepreciationMonths,0))</f>
        <v>0</v>
      </c>
      <c r="AQ162" s="507" cm="1">
        <f t="array" ref="AQ162">_xlfn.LET(_xlpm.DepreciationMonths,INDEX(FixedAssets[Depreciation
/ Amortization Months],_xlfn.XMATCH($E$135,FixedAssets[Asset ID])),IF(AND((_xlfn.XMATCH(AQ$8,$AH$8:$CC$8))-_xlfn.XMATCH($C162,$C$35:$C$82)+1&lt;=_xlpm.DepreciationMonths,$C162&lt;=AQ$8),$E162/_xlpm.DepreciationMonths,0))</f>
        <v>0</v>
      </c>
      <c r="AR162" s="507" cm="1">
        <f t="array" ref="AR162">_xlfn.LET(_xlpm.DepreciationMonths,INDEX(FixedAssets[Depreciation
/ Amortization Months],_xlfn.XMATCH($E$135,FixedAssets[Asset ID])),IF(AND((_xlfn.XMATCH(AR$8,$AH$8:$CC$8))-_xlfn.XMATCH($C162,$C$35:$C$82)+1&lt;=_xlpm.DepreciationMonths,$C162&lt;=AR$8),$E162/_xlpm.DepreciationMonths,0))</f>
        <v>0</v>
      </c>
      <c r="AS162" s="507" cm="1">
        <f t="array" ref="AS162">_xlfn.LET(_xlpm.DepreciationMonths,INDEX(FixedAssets[Depreciation
/ Amortization Months],_xlfn.XMATCH($E$135,FixedAssets[Asset ID])),IF(AND((_xlfn.XMATCH(AS$8,$AH$8:$CC$8))-_xlfn.XMATCH($C162,$C$35:$C$82)+1&lt;=_xlpm.DepreciationMonths,$C162&lt;=AS$8),$E162/_xlpm.DepreciationMonths,0))</f>
        <v>0</v>
      </c>
      <c r="AT162" s="507" cm="1">
        <f t="array" ref="AT162">_xlfn.LET(_xlpm.DepreciationMonths,INDEX(FixedAssets[Depreciation
/ Amortization Months],_xlfn.XMATCH($E$135,FixedAssets[Asset ID])),IF(AND((_xlfn.XMATCH(AT$8,$AH$8:$CC$8))-_xlfn.XMATCH($C162,$C$35:$C$82)+1&lt;=_xlpm.DepreciationMonths,$C162&lt;=AT$8),$E162/_xlpm.DepreciationMonths,0))</f>
        <v>0</v>
      </c>
      <c r="AU162" s="507" cm="1">
        <f t="array" ref="AU162">_xlfn.LET(_xlpm.DepreciationMonths,INDEX(FixedAssets[Depreciation
/ Amortization Months],_xlfn.XMATCH($E$135,FixedAssets[Asset ID])),IF(AND((_xlfn.XMATCH(AU$8,$AH$8:$CC$8))-_xlfn.XMATCH($C162,$C$35:$C$82)+1&lt;=_xlpm.DepreciationMonths,$C162&lt;=AU$8),$E162/_xlpm.DepreciationMonths,0))</f>
        <v>0</v>
      </c>
      <c r="AV162" s="507" cm="1">
        <f t="array" ref="AV162">_xlfn.LET(_xlpm.DepreciationMonths,INDEX(FixedAssets[Depreciation
/ Amortization Months],_xlfn.XMATCH($E$135,FixedAssets[Asset ID])),IF(AND((_xlfn.XMATCH(AV$8,$AH$8:$CC$8))-_xlfn.XMATCH($C162,$C$35:$C$82)+1&lt;=_xlpm.DepreciationMonths,$C162&lt;=AV$8),$E162/_xlpm.DepreciationMonths,0))</f>
        <v>0</v>
      </c>
      <c r="AW162" s="507" cm="1">
        <f t="array" ref="AW162">_xlfn.LET(_xlpm.DepreciationMonths,INDEX(FixedAssets[Depreciation
/ Amortization Months],_xlfn.XMATCH($E$135,FixedAssets[Asset ID])),IF(AND((_xlfn.XMATCH(AW$8,$AH$8:$CC$8))-_xlfn.XMATCH($C162,$C$35:$C$82)+1&lt;=_xlpm.DepreciationMonths,$C162&lt;=AW$8),$E162/_xlpm.DepreciationMonths,0))</f>
        <v>0</v>
      </c>
      <c r="AX162" s="507" cm="1">
        <f t="array" ref="AX162">_xlfn.LET(_xlpm.DepreciationMonths,INDEX(FixedAssets[Depreciation
/ Amortization Months],_xlfn.XMATCH($E$135,FixedAssets[Asset ID])),IF(AND((_xlfn.XMATCH(AX$8,$AH$8:$CC$8))-_xlfn.XMATCH($C162,$C$35:$C$82)+1&lt;=_xlpm.DepreciationMonths,$C162&lt;=AX$8),$E162/_xlpm.DepreciationMonths,0))</f>
        <v>0</v>
      </c>
      <c r="AY162" s="507" cm="1">
        <f t="array" ref="AY162">_xlfn.LET(_xlpm.DepreciationMonths,INDEX(FixedAssets[Depreciation
/ Amortization Months],_xlfn.XMATCH($E$135,FixedAssets[Asset ID])),IF(AND((_xlfn.XMATCH(AY$8,$AH$8:$CC$8))-_xlfn.XMATCH($C162,$C$35:$C$82)+1&lt;=_xlpm.DepreciationMonths,$C162&lt;=AY$8),$E162/_xlpm.DepreciationMonths,0))</f>
        <v>0</v>
      </c>
      <c r="AZ162" s="507" cm="1">
        <f t="array" ref="AZ162">_xlfn.LET(_xlpm.DepreciationMonths,INDEX(FixedAssets[Depreciation
/ Amortization Months],_xlfn.XMATCH($E$135,FixedAssets[Asset ID])),IF(AND((_xlfn.XMATCH(AZ$8,$AH$8:$CC$8))-_xlfn.XMATCH($C162,$C$35:$C$82)+1&lt;=_xlpm.DepreciationMonths,$C162&lt;=AZ$8),$E162/_xlpm.DepreciationMonths,0))</f>
        <v>0</v>
      </c>
      <c r="BA162" s="507" cm="1">
        <f t="array" ref="BA162">_xlfn.LET(_xlpm.DepreciationMonths,INDEX(FixedAssets[Depreciation
/ Amortization Months],_xlfn.XMATCH($E$135,FixedAssets[Asset ID])),IF(AND((_xlfn.XMATCH(BA$8,$AH$8:$CC$8))-_xlfn.XMATCH($C162,$C$35:$C$82)+1&lt;=_xlpm.DepreciationMonths,$C162&lt;=BA$8),$E162/_xlpm.DepreciationMonths,0))</f>
        <v>0</v>
      </c>
      <c r="BB162" s="507" cm="1">
        <f t="array" ref="BB162">_xlfn.LET(_xlpm.DepreciationMonths,INDEX(FixedAssets[Depreciation
/ Amortization Months],_xlfn.XMATCH($E$135,FixedAssets[Asset ID])),IF(AND((_xlfn.XMATCH(BB$8,$AH$8:$CC$8))-_xlfn.XMATCH($C162,$C$35:$C$82)+1&lt;=_xlpm.DepreciationMonths,$C162&lt;=BB$8),$E162/_xlpm.DepreciationMonths,0))</f>
        <v>0</v>
      </c>
      <c r="BC162" s="507" cm="1">
        <f t="array" ref="BC162">_xlfn.LET(_xlpm.DepreciationMonths,INDEX(FixedAssets[Depreciation
/ Amortization Months],_xlfn.XMATCH($E$135,FixedAssets[Asset ID])),IF(AND((_xlfn.XMATCH(BC$8,$AH$8:$CC$8))-_xlfn.XMATCH($C162,$C$35:$C$82)+1&lt;=_xlpm.DepreciationMonths,$C162&lt;=BC$8),$E162/_xlpm.DepreciationMonths,0))</f>
        <v>0</v>
      </c>
      <c r="BD162" s="507" cm="1">
        <f t="array" ref="BD162">_xlfn.LET(_xlpm.DepreciationMonths,INDEX(FixedAssets[Depreciation
/ Amortization Months],_xlfn.XMATCH($E$135,FixedAssets[Asset ID])),IF(AND((_xlfn.XMATCH(BD$8,$AH$8:$CC$8))-_xlfn.XMATCH($C162,$C$35:$C$82)+1&lt;=_xlpm.DepreciationMonths,$C162&lt;=BD$8),$E162/_xlpm.DepreciationMonths,0))</f>
        <v>0</v>
      </c>
      <c r="BE162" s="507" cm="1">
        <f t="array" ref="BE162">_xlfn.LET(_xlpm.DepreciationMonths,INDEX(FixedAssets[Depreciation
/ Amortization Months],_xlfn.XMATCH($E$135,FixedAssets[Asset ID])),IF(AND((_xlfn.XMATCH(BE$8,$AH$8:$CC$8))-_xlfn.XMATCH($C162,$C$35:$C$82)+1&lt;=_xlpm.DepreciationMonths,$C162&lt;=BE$8),$E162/_xlpm.DepreciationMonths,0))</f>
        <v>0</v>
      </c>
      <c r="BF162" s="507" cm="1">
        <f t="array" ref="BF162">_xlfn.LET(_xlpm.DepreciationMonths,INDEX(FixedAssets[Depreciation
/ Amortization Months],_xlfn.XMATCH($E$135,FixedAssets[Asset ID])),IF(AND((_xlfn.XMATCH(BF$8,$AH$8:$CC$8))-_xlfn.XMATCH($C162,$C$35:$C$82)+1&lt;=_xlpm.DepreciationMonths,$C162&lt;=BF$8),$E162/_xlpm.DepreciationMonths,0))</f>
        <v>0</v>
      </c>
      <c r="BG162" s="507" cm="1">
        <f t="array" ref="BG162">_xlfn.LET(_xlpm.DepreciationMonths,INDEX(FixedAssets[Depreciation
/ Amortization Months],_xlfn.XMATCH($E$135,FixedAssets[Asset ID])),IF(AND((_xlfn.XMATCH(BG$8,$AH$8:$CC$8))-_xlfn.XMATCH($C162,$C$35:$C$82)+1&lt;=_xlpm.DepreciationMonths,$C162&lt;=BG$8),$E162/_xlpm.DepreciationMonths,0))</f>
        <v>0</v>
      </c>
      <c r="BH162" s="507" cm="1">
        <f t="array" ref="BH162">_xlfn.LET(_xlpm.DepreciationMonths,INDEX(FixedAssets[Depreciation
/ Amortization Months],_xlfn.XMATCH($E$135,FixedAssets[Asset ID])),IF(AND((_xlfn.XMATCH(BH$8,$AH$8:$CC$8))-_xlfn.XMATCH($C162,$C$35:$C$82)+1&lt;=_xlpm.DepreciationMonths,$C162&lt;=BH$8),$E162/_xlpm.DepreciationMonths,0))</f>
        <v>0</v>
      </c>
      <c r="BI162" s="507" cm="1">
        <f t="array" ref="BI162">_xlfn.LET(_xlpm.DepreciationMonths,INDEX(FixedAssets[Depreciation
/ Amortization Months],_xlfn.XMATCH($E$135,FixedAssets[Asset ID])),IF(AND((_xlfn.XMATCH(BI$8,$AH$8:$CC$8))-_xlfn.XMATCH($C162,$C$35:$C$82)+1&lt;=_xlpm.DepreciationMonths,$C162&lt;=BI$8),$E162/_xlpm.DepreciationMonths,0))</f>
        <v>0</v>
      </c>
      <c r="BJ162" s="507" cm="1">
        <f t="array" ref="BJ162">_xlfn.LET(_xlpm.DepreciationMonths,INDEX(FixedAssets[Depreciation
/ Amortization Months],_xlfn.XMATCH($E$135,FixedAssets[Asset ID])),IF(AND((_xlfn.XMATCH(BJ$8,$AH$8:$CC$8))-_xlfn.XMATCH($C162,$C$35:$C$82)+1&lt;=_xlpm.DepreciationMonths,$C162&lt;=BJ$8),$E162/_xlpm.DepreciationMonths,0))</f>
        <v>0</v>
      </c>
      <c r="BK162" s="507" cm="1">
        <f t="array" ref="BK162">_xlfn.LET(_xlpm.DepreciationMonths,INDEX(FixedAssets[Depreciation
/ Amortization Months],_xlfn.XMATCH($E$135,FixedAssets[Asset ID])),IF(AND((_xlfn.XMATCH(BK$8,$AH$8:$CC$8))-_xlfn.XMATCH($C162,$C$35:$C$82)+1&lt;=_xlpm.DepreciationMonths,$C162&lt;=BK$8),$E162/_xlpm.DepreciationMonths,0))</f>
        <v>0</v>
      </c>
      <c r="BL162" s="507" cm="1">
        <f t="array" ref="BL162">_xlfn.LET(_xlpm.DepreciationMonths,INDEX(FixedAssets[Depreciation
/ Amortization Months],_xlfn.XMATCH($E$135,FixedAssets[Asset ID])),IF(AND((_xlfn.XMATCH(BL$8,$AH$8:$CC$8))-_xlfn.XMATCH($C162,$C$35:$C$82)+1&lt;=_xlpm.DepreciationMonths,$C162&lt;=BL$8),$E162/_xlpm.DepreciationMonths,0))</f>
        <v>0</v>
      </c>
      <c r="BM162" s="507" cm="1">
        <f t="array" ref="BM162">_xlfn.LET(_xlpm.DepreciationMonths,INDEX(FixedAssets[Depreciation
/ Amortization Months],_xlfn.XMATCH($E$135,FixedAssets[Asset ID])),IF(AND((_xlfn.XMATCH(BM$8,$AH$8:$CC$8))-_xlfn.XMATCH($C162,$C$35:$C$82)+1&lt;=_xlpm.DepreciationMonths,$C162&lt;=BM$8),$E162/_xlpm.DepreciationMonths,0))</f>
        <v>0</v>
      </c>
      <c r="BN162" s="507" cm="1">
        <f t="array" ref="BN162">_xlfn.LET(_xlpm.DepreciationMonths,INDEX(FixedAssets[Depreciation
/ Amortization Months],_xlfn.XMATCH($E$135,FixedAssets[Asset ID])),IF(AND((_xlfn.XMATCH(BN$8,$AH$8:$CC$8))-_xlfn.XMATCH($C162,$C$35:$C$82)+1&lt;=_xlpm.DepreciationMonths,$C162&lt;=BN$8),$E162/_xlpm.DepreciationMonths,0))</f>
        <v>0</v>
      </c>
      <c r="BO162" s="507" cm="1">
        <f t="array" ref="BO162">_xlfn.LET(_xlpm.DepreciationMonths,INDEX(FixedAssets[Depreciation
/ Amortization Months],_xlfn.XMATCH($E$135,FixedAssets[Asset ID])),IF(AND((_xlfn.XMATCH(BO$8,$AH$8:$CC$8))-_xlfn.XMATCH($C162,$C$35:$C$82)+1&lt;=_xlpm.DepreciationMonths,$C162&lt;=BO$8),$E162/_xlpm.DepreciationMonths,0))</f>
        <v>0</v>
      </c>
      <c r="BP162" s="507" cm="1">
        <f t="array" ref="BP162">_xlfn.LET(_xlpm.DepreciationMonths,INDEX(FixedAssets[Depreciation
/ Amortization Months],_xlfn.XMATCH($E$135,FixedAssets[Asset ID])),IF(AND((_xlfn.XMATCH(BP$8,$AH$8:$CC$8))-_xlfn.XMATCH($C162,$C$35:$C$82)+1&lt;=_xlpm.DepreciationMonths,$C162&lt;=BP$8),$E162/_xlpm.DepreciationMonths,0))</f>
        <v>0</v>
      </c>
      <c r="BQ162" s="507" cm="1">
        <f t="array" ref="BQ162">_xlfn.LET(_xlpm.DepreciationMonths,INDEX(FixedAssets[Depreciation
/ Amortization Months],_xlfn.XMATCH($E$135,FixedAssets[Asset ID])),IF(AND((_xlfn.XMATCH(BQ$8,$AH$8:$CC$8))-_xlfn.XMATCH($C162,$C$35:$C$82)+1&lt;=_xlpm.DepreciationMonths,$C162&lt;=BQ$8),$E162/_xlpm.DepreciationMonths,0))</f>
        <v>0</v>
      </c>
      <c r="BR162" s="507" cm="1">
        <f t="array" ref="BR162">_xlfn.LET(_xlpm.DepreciationMonths,INDEX(FixedAssets[Depreciation
/ Amortization Months],_xlfn.XMATCH($E$135,FixedAssets[Asset ID])),IF(AND((_xlfn.XMATCH(BR$8,$AH$8:$CC$8))-_xlfn.XMATCH($C162,$C$35:$C$82)+1&lt;=_xlpm.DepreciationMonths,$C162&lt;=BR$8),$E162/_xlpm.DepreciationMonths,0))</f>
        <v>0</v>
      </c>
      <c r="BS162" s="507" cm="1">
        <f t="array" ref="BS162">_xlfn.LET(_xlpm.DepreciationMonths,INDEX(FixedAssets[Depreciation
/ Amortization Months],_xlfn.XMATCH($E$135,FixedAssets[Asset ID])),IF(AND((_xlfn.XMATCH(BS$8,$AH$8:$CC$8))-_xlfn.XMATCH($C162,$C$35:$C$82)+1&lt;=_xlpm.DepreciationMonths,$C162&lt;=BS$8),$E162/_xlpm.DepreciationMonths,0))</f>
        <v>0</v>
      </c>
      <c r="BT162" s="507" cm="1">
        <f t="array" ref="BT162">_xlfn.LET(_xlpm.DepreciationMonths,INDEX(FixedAssets[Depreciation
/ Amortization Months],_xlfn.XMATCH($E$135,FixedAssets[Asset ID])),IF(AND((_xlfn.XMATCH(BT$8,$AH$8:$CC$8))-_xlfn.XMATCH($C162,$C$35:$C$82)+1&lt;=_xlpm.DepreciationMonths,$C162&lt;=BT$8),$E162/_xlpm.DepreciationMonths,0))</f>
        <v>0</v>
      </c>
      <c r="BU162" s="507" cm="1">
        <f t="array" ref="BU162">_xlfn.LET(_xlpm.DepreciationMonths,INDEX(FixedAssets[Depreciation
/ Amortization Months],_xlfn.XMATCH($E$135,FixedAssets[Asset ID])),IF(AND((_xlfn.XMATCH(BU$8,$AH$8:$CC$8))-_xlfn.XMATCH($C162,$C$35:$C$82)+1&lt;=_xlpm.DepreciationMonths,$C162&lt;=BU$8),$E162/_xlpm.DepreciationMonths,0))</f>
        <v>0</v>
      </c>
      <c r="BV162" s="507" cm="1">
        <f t="array" ref="BV162">_xlfn.LET(_xlpm.DepreciationMonths,INDEX(FixedAssets[Depreciation
/ Amortization Months],_xlfn.XMATCH($E$135,FixedAssets[Asset ID])),IF(AND((_xlfn.XMATCH(BV$8,$AH$8:$CC$8))-_xlfn.XMATCH($C162,$C$35:$C$82)+1&lt;=_xlpm.DepreciationMonths,$C162&lt;=BV$8),$E162/_xlpm.DepreciationMonths,0))</f>
        <v>0</v>
      </c>
      <c r="BW162" s="507" cm="1">
        <f t="array" ref="BW162">_xlfn.LET(_xlpm.DepreciationMonths,INDEX(FixedAssets[Depreciation
/ Amortization Months],_xlfn.XMATCH($E$135,FixedAssets[Asset ID])),IF(AND((_xlfn.XMATCH(BW$8,$AH$8:$CC$8))-_xlfn.XMATCH($C162,$C$35:$C$82)+1&lt;=_xlpm.DepreciationMonths,$C162&lt;=BW$8),$E162/_xlpm.DepreciationMonths,0))</f>
        <v>0</v>
      </c>
      <c r="BX162" s="507" cm="1">
        <f t="array" ref="BX162">_xlfn.LET(_xlpm.DepreciationMonths,INDEX(FixedAssets[Depreciation
/ Amortization Months],_xlfn.XMATCH($E$135,FixedAssets[Asset ID])),IF(AND((_xlfn.XMATCH(BX$8,$AH$8:$CC$8))-_xlfn.XMATCH($C162,$C$35:$C$82)+1&lt;=_xlpm.DepreciationMonths,$C162&lt;=BX$8),$E162/_xlpm.DepreciationMonths,0))</f>
        <v>0</v>
      </c>
      <c r="BY162" s="507" cm="1">
        <f t="array" ref="BY162">_xlfn.LET(_xlpm.DepreciationMonths,INDEX(FixedAssets[Depreciation
/ Amortization Months],_xlfn.XMATCH($E$135,FixedAssets[Asset ID])),IF(AND((_xlfn.XMATCH(BY$8,$AH$8:$CC$8))-_xlfn.XMATCH($C162,$C$35:$C$82)+1&lt;=_xlpm.DepreciationMonths,$C162&lt;=BY$8),$E162/_xlpm.DepreciationMonths,0))</f>
        <v>0</v>
      </c>
      <c r="BZ162" s="507" cm="1">
        <f t="array" ref="BZ162">_xlfn.LET(_xlpm.DepreciationMonths,INDEX(FixedAssets[Depreciation
/ Amortization Months],_xlfn.XMATCH($E$135,FixedAssets[Asset ID])),IF(AND((_xlfn.XMATCH(BZ$8,$AH$8:$CC$8))-_xlfn.XMATCH($C162,$C$35:$C$82)+1&lt;=_xlpm.DepreciationMonths,$C162&lt;=BZ$8),$E162/_xlpm.DepreciationMonths,0))</f>
        <v>0</v>
      </c>
      <c r="CA162" s="507" cm="1">
        <f t="array" ref="CA162">_xlfn.LET(_xlpm.DepreciationMonths,INDEX(FixedAssets[Depreciation
/ Amortization Months],_xlfn.XMATCH($E$135,FixedAssets[Asset ID])),IF(AND((_xlfn.XMATCH(CA$8,$AH$8:$CC$8))-_xlfn.XMATCH($C162,$C$35:$C$82)+1&lt;=_xlpm.DepreciationMonths,$C162&lt;=CA$8),$E162/_xlpm.DepreciationMonths,0))</f>
        <v>0</v>
      </c>
      <c r="CB162" s="507" cm="1">
        <f t="array" ref="CB162">_xlfn.LET(_xlpm.DepreciationMonths,INDEX(FixedAssets[Depreciation
/ Amortization Months],_xlfn.XMATCH($E$135,FixedAssets[Asset ID])),IF(AND((_xlfn.XMATCH(CB$8,$AH$8:$CC$8))-_xlfn.XMATCH($C162,$C$35:$C$82)+1&lt;=_xlpm.DepreciationMonths,$C162&lt;=CB$8),$E162/_xlpm.DepreciationMonths,0))</f>
        <v>0</v>
      </c>
      <c r="CC162" s="507" cm="1">
        <f t="array" ref="CC162">_xlfn.LET(_xlpm.DepreciationMonths,INDEX(FixedAssets[Depreciation
/ Amortization Months],_xlfn.XMATCH($E$135,FixedAssets[Asset ID])),IF(AND((_xlfn.XMATCH(CC$8,$AH$8:$CC$8))-_xlfn.XMATCH($C162,$C$35:$C$82)+1&lt;=_xlpm.DepreciationMonths,$C162&lt;=CC$8),$E162/_xlpm.DepreciationMonths,0))</f>
        <v>0</v>
      </c>
    </row>
    <row r="163" spans="3:81" hidden="1" outlineLevel="2">
      <c r="C163" s="664">
        <f t="shared" si="243"/>
        <v>45747</v>
      </c>
      <c r="D163" s="508"/>
      <c r="E163" s="508" cm="1">
        <f t="array" ref="E163">SUMPRODUCT(($AH$26:$CC$31)*($AH$5:$CC$5=$C163)*($E$26:$E$31=E$135))-SUMPRODUCT(($AH$26:$CC$31)*($AH$5:$CC$5=EOMONTH($C163,-1))*($E$26:$E$31=E$135))</f>
        <v>0</v>
      </c>
      <c r="F163" s="508"/>
      <c r="G163" s="508"/>
      <c r="H163" s="508"/>
      <c r="I163" s="508"/>
      <c r="J163" s="504">
        <f t="shared" si="240"/>
        <v>0</v>
      </c>
      <c r="K163" s="504">
        <f t="shared" si="245"/>
        <v>0</v>
      </c>
      <c r="L163" s="504">
        <f t="shared" si="245"/>
        <v>0</v>
      </c>
      <c r="M163" s="504">
        <f t="shared" si="245"/>
        <v>0</v>
      </c>
      <c r="N163" s="504"/>
      <c r="O163" s="504"/>
      <c r="P163" s="504">
        <f t="shared" si="246"/>
        <v>0</v>
      </c>
      <c r="Q163" s="504">
        <f t="shared" si="246"/>
        <v>0</v>
      </c>
      <c r="R163" s="504">
        <f t="shared" si="246"/>
        <v>0</v>
      </c>
      <c r="S163" s="504">
        <f t="shared" si="246"/>
        <v>0</v>
      </c>
      <c r="T163" s="504">
        <f t="shared" si="246"/>
        <v>0</v>
      </c>
      <c r="U163" s="504">
        <f t="shared" si="246"/>
        <v>0</v>
      </c>
      <c r="V163" s="504">
        <f t="shared" si="246"/>
        <v>0</v>
      </c>
      <c r="W163" s="504">
        <f t="shared" si="246"/>
        <v>0</v>
      </c>
      <c r="X163" s="504">
        <f t="shared" si="246"/>
        <v>0</v>
      </c>
      <c r="Y163" s="504">
        <f t="shared" si="246"/>
        <v>0</v>
      </c>
      <c r="Z163" s="504">
        <f t="shared" si="246"/>
        <v>0</v>
      </c>
      <c r="AA163" s="504">
        <f t="shared" si="246"/>
        <v>0</v>
      </c>
      <c r="AB163" s="504">
        <f t="shared" si="246"/>
        <v>0</v>
      </c>
      <c r="AC163" s="504">
        <f t="shared" si="246"/>
        <v>0</v>
      </c>
      <c r="AD163" s="504">
        <f t="shared" si="246"/>
        <v>0</v>
      </c>
      <c r="AE163" s="504">
        <f t="shared" si="246"/>
        <v>0</v>
      </c>
      <c r="AF163" s="508"/>
      <c r="AG163" s="508"/>
      <c r="AH163" s="507" cm="1">
        <f t="array" ref="AH163">_xlfn.LET(_xlpm.DepreciationMonths,INDEX(FixedAssets[Depreciation
/ Amortization Months],_xlfn.XMATCH($E$135,FixedAssets[Asset ID])),IF(AND((_xlfn.XMATCH(AH$8,$AH$8:$CC$8))-_xlfn.XMATCH($C163,$C$35:$C$82)+1&lt;=_xlpm.DepreciationMonths,$C163&lt;=AH$8),$E163/_xlpm.DepreciationMonths,0))</f>
        <v>0</v>
      </c>
      <c r="AI163" s="507" cm="1">
        <f t="array" ref="AI163">_xlfn.LET(_xlpm.DepreciationMonths,INDEX(FixedAssets[Depreciation
/ Amortization Months],_xlfn.XMATCH($E$135,FixedAssets[Asset ID])),IF(AND((_xlfn.XMATCH(AI$8,$AH$8:$CC$8))-_xlfn.XMATCH($C163,$C$35:$C$82)+1&lt;=_xlpm.DepreciationMonths,$C163&lt;=AI$8),$E163/_xlpm.DepreciationMonths,0))</f>
        <v>0</v>
      </c>
      <c r="AJ163" s="507" cm="1">
        <f t="array" ref="AJ163">_xlfn.LET(_xlpm.DepreciationMonths,INDEX(FixedAssets[Depreciation
/ Amortization Months],_xlfn.XMATCH($E$135,FixedAssets[Asset ID])),IF(AND((_xlfn.XMATCH(AJ$8,$AH$8:$CC$8))-_xlfn.XMATCH($C163,$C$35:$C$82)+1&lt;=_xlpm.DepreciationMonths,$C163&lt;=AJ$8),$E163/_xlpm.DepreciationMonths,0))</f>
        <v>0</v>
      </c>
      <c r="AK163" s="507" cm="1">
        <f t="array" ref="AK163">_xlfn.LET(_xlpm.DepreciationMonths,INDEX(FixedAssets[Depreciation
/ Amortization Months],_xlfn.XMATCH($E$135,FixedAssets[Asset ID])),IF(AND((_xlfn.XMATCH(AK$8,$AH$8:$CC$8))-_xlfn.XMATCH($C163,$C$35:$C$82)+1&lt;=_xlpm.DepreciationMonths,$C163&lt;=AK$8),$E163/_xlpm.DepreciationMonths,0))</f>
        <v>0</v>
      </c>
      <c r="AL163" s="507" cm="1">
        <f t="array" ref="AL163">_xlfn.LET(_xlpm.DepreciationMonths,INDEX(FixedAssets[Depreciation
/ Amortization Months],_xlfn.XMATCH($E$135,FixedAssets[Asset ID])),IF(AND((_xlfn.XMATCH(AL$8,$AH$8:$CC$8))-_xlfn.XMATCH($C163,$C$35:$C$82)+1&lt;=_xlpm.DepreciationMonths,$C163&lt;=AL$8),$E163/_xlpm.DepreciationMonths,0))</f>
        <v>0</v>
      </c>
      <c r="AM163" s="507" cm="1">
        <f t="array" ref="AM163">_xlfn.LET(_xlpm.DepreciationMonths,INDEX(FixedAssets[Depreciation
/ Amortization Months],_xlfn.XMATCH($E$135,FixedAssets[Asset ID])),IF(AND((_xlfn.XMATCH(AM$8,$AH$8:$CC$8))-_xlfn.XMATCH($C163,$C$35:$C$82)+1&lt;=_xlpm.DepreciationMonths,$C163&lt;=AM$8),$E163/_xlpm.DepreciationMonths,0))</f>
        <v>0</v>
      </c>
      <c r="AN163" s="507" cm="1">
        <f t="array" ref="AN163">_xlfn.LET(_xlpm.DepreciationMonths,INDEX(FixedAssets[Depreciation
/ Amortization Months],_xlfn.XMATCH($E$135,FixedAssets[Asset ID])),IF(AND((_xlfn.XMATCH(AN$8,$AH$8:$CC$8))-_xlfn.XMATCH($C163,$C$35:$C$82)+1&lt;=_xlpm.DepreciationMonths,$C163&lt;=AN$8),$E163/_xlpm.DepreciationMonths,0))</f>
        <v>0</v>
      </c>
      <c r="AO163" s="507" cm="1">
        <f t="array" ref="AO163">_xlfn.LET(_xlpm.DepreciationMonths,INDEX(FixedAssets[Depreciation
/ Amortization Months],_xlfn.XMATCH($E$135,FixedAssets[Asset ID])),IF(AND((_xlfn.XMATCH(AO$8,$AH$8:$CC$8))-_xlfn.XMATCH($C163,$C$35:$C$82)+1&lt;=_xlpm.DepreciationMonths,$C163&lt;=AO$8),$E163/_xlpm.DepreciationMonths,0))</f>
        <v>0</v>
      </c>
      <c r="AP163" s="507" cm="1">
        <f t="array" ref="AP163">_xlfn.LET(_xlpm.DepreciationMonths,INDEX(FixedAssets[Depreciation
/ Amortization Months],_xlfn.XMATCH($E$135,FixedAssets[Asset ID])),IF(AND((_xlfn.XMATCH(AP$8,$AH$8:$CC$8))-_xlfn.XMATCH($C163,$C$35:$C$82)+1&lt;=_xlpm.DepreciationMonths,$C163&lt;=AP$8),$E163/_xlpm.DepreciationMonths,0))</f>
        <v>0</v>
      </c>
      <c r="AQ163" s="507" cm="1">
        <f t="array" ref="AQ163">_xlfn.LET(_xlpm.DepreciationMonths,INDEX(FixedAssets[Depreciation
/ Amortization Months],_xlfn.XMATCH($E$135,FixedAssets[Asset ID])),IF(AND((_xlfn.XMATCH(AQ$8,$AH$8:$CC$8))-_xlfn.XMATCH($C163,$C$35:$C$82)+1&lt;=_xlpm.DepreciationMonths,$C163&lt;=AQ$8),$E163/_xlpm.DepreciationMonths,0))</f>
        <v>0</v>
      </c>
      <c r="AR163" s="507" cm="1">
        <f t="array" ref="AR163">_xlfn.LET(_xlpm.DepreciationMonths,INDEX(FixedAssets[Depreciation
/ Amortization Months],_xlfn.XMATCH($E$135,FixedAssets[Asset ID])),IF(AND((_xlfn.XMATCH(AR$8,$AH$8:$CC$8))-_xlfn.XMATCH($C163,$C$35:$C$82)+1&lt;=_xlpm.DepreciationMonths,$C163&lt;=AR$8),$E163/_xlpm.DepreciationMonths,0))</f>
        <v>0</v>
      </c>
      <c r="AS163" s="507" cm="1">
        <f t="array" ref="AS163">_xlfn.LET(_xlpm.DepreciationMonths,INDEX(FixedAssets[Depreciation
/ Amortization Months],_xlfn.XMATCH($E$135,FixedAssets[Asset ID])),IF(AND((_xlfn.XMATCH(AS$8,$AH$8:$CC$8))-_xlfn.XMATCH($C163,$C$35:$C$82)+1&lt;=_xlpm.DepreciationMonths,$C163&lt;=AS$8),$E163/_xlpm.DepreciationMonths,0))</f>
        <v>0</v>
      </c>
      <c r="AT163" s="507" cm="1">
        <f t="array" ref="AT163">_xlfn.LET(_xlpm.DepreciationMonths,INDEX(FixedAssets[Depreciation
/ Amortization Months],_xlfn.XMATCH($E$135,FixedAssets[Asset ID])),IF(AND((_xlfn.XMATCH(AT$8,$AH$8:$CC$8))-_xlfn.XMATCH($C163,$C$35:$C$82)+1&lt;=_xlpm.DepreciationMonths,$C163&lt;=AT$8),$E163/_xlpm.DepreciationMonths,0))</f>
        <v>0</v>
      </c>
      <c r="AU163" s="507" cm="1">
        <f t="array" ref="AU163">_xlfn.LET(_xlpm.DepreciationMonths,INDEX(FixedAssets[Depreciation
/ Amortization Months],_xlfn.XMATCH($E$135,FixedAssets[Asset ID])),IF(AND((_xlfn.XMATCH(AU$8,$AH$8:$CC$8))-_xlfn.XMATCH($C163,$C$35:$C$82)+1&lt;=_xlpm.DepreciationMonths,$C163&lt;=AU$8),$E163/_xlpm.DepreciationMonths,0))</f>
        <v>0</v>
      </c>
      <c r="AV163" s="507" cm="1">
        <f t="array" ref="AV163">_xlfn.LET(_xlpm.DepreciationMonths,INDEX(FixedAssets[Depreciation
/ Amortization Months],_xlfn.XMATCH($E$135,FixedAssets[Asset ID])),IF(AND((_xlfn.XMATCH(AV$8,$AH$8:$CC$8))-_xlfn.XMATCH($C163,$C$35:$C$82)+1&lt;=_xlpm.DepreciationMonths,$C163&lt;=AV$8),$E163/_xlpm.DepreciationMonths,0))</f>
        <v>0</v>
      </c>
      <c r="AW163" s="507" cm="1">
        <f t="array" ref="AW163">_xlfn.LET(_xlpm.DepreciationMonths,INDEX(FixedAssets[Depreciation
/ Amortization Months],_xlfn.XMATCH($E$135,FixedAssets[Asset ID])),IF(AND((_xlfn.XMATCH(AW$8,$AH$8:$CC$8))-_xlfn.XMATCH($C163,$C$35:$C$82)+1&lt;=_xlpm.DepreciationMonths,$C163&lt;=AW$8),$E163/_xlpm.DepreciationMonths,0))</f>
        <v>0</v>
      </c>
      <c r="AX163" s="507" cm="1">
        <f t="array" ref="AX163">_xlfn.LET(_xlpm.DepreciationMonths,INDEX(FixedAssets[Depreciation
/ Amortization Months],_xlfn.XMATCH($E$135,FixedAssets[Asset ID])),IF(AND((_xlfn.XMATCH(AX$8,$AH$8:$CC$8))-_xlfn.XMATCH($C163,$C$35:$C$82)+1&lt;=_xlpm.DepreciationMonths,$C163&lt;=AX$8),$E163/_xlpm.DepreciationMonths,0))</f>
        <v>0</v>
      </c>
      <c r="AY163" s="507" cm="1">
        <f t="array" ref="AY163">_xlfn.LET(_xlpm.DepreciationMonths,INDEX(FixedAssets[Depreciation
/ Amortization Months],_xlfn.XMATCH($E$135,FixedAssets[Asset ID])),IF(AND((_xlfn.XMATCH(AY$8,$AH$8:$CC$8))-_xlfn.XMATCH($C163,$C$35:$C$82)+1&lt;=_xlpm.DepreciationMonths,$C163&lt;=AY$8),$E163/_xlpm.DepreciationMonths,0))</f>
        <v>0</v>
      </c>
      <c r="AZ163" s="507" cm="1">
        <f t="array" ref="AZ163">_xlfn.LET(_xlpm.DepreciationMonths,INDEX(FixedAssets[Depreciation
/ Amortization Months],_xlfn.XMATCH($E$135,FixedAssets[Asset ID])),IF(AND((_xlfn.XMATCH(AZ$8,$AH$8:$CC$8))-_xlfn.XMATCH($C163,$C$35:$C$82)+1&lt;=_xlpm.DepreciationMonths,$C163&lt;=AZ$8),$E163/_xlpm.DepreciationMonths,0))</f>
        <v>0</v>
      </c>
      <c r="BA163" s="507" cm="1">
        <f t="array" ref="BA163">_xlfn.LET(_xlpm.DepreciationMonths,INDEX(FixedAssets[Depreciation
/ Amortization Months],_xlfn.XMATCH($E$135,FixedAssets[Asset ID])),IF(AND((_xlfn.XMATCH(BA$8,$AH$8:$CC$8))-_xlfn.XMATCH($C163,$C$35:$C$82)+1&lt;=_xlpm.DepreciationMonths,$C163&lt;=BA$8),$E163/_xlpm.DepreciationMonths,0))</f>
        <v>0</v>
      </c>
      <c r="BB163" s="507" cm="1">
        <f t="array" ref="BB163">_xlfn.LET(_xlpm.DepreciationMonths,INDEX(FixedAssets[Depreciation
/ Amortization Months],_xlfn.XMATCH($E$135,FixedAssets[Asset ID])),IF(AND((_xlfn.XMATCH(BB$8,$AH$8:$CC$8))-_xlfn.XMATCH($C163,$C$35:$C$82)+1&lt;=_xlpm.DepreciationMonths,$C163&lt;=BB$8),$E163/_xlpm.DepreciationMonths,0))</f>
        <v>0</v>
      </c>
      <c r="BC163" s="507" cm="1">
        <f t="array" ref="BC163">_xlfn.LET(_xlpm.DepreciationMonths,INDEX(FixedAssets[Depreciation
/ Amortization Months],_xlfn.XMATCH($E$135,FixedAssets[Asset ID])),IF(AND((_xlfn.XMATCH(BC$8,$AH$8:$CC$8))-_xlfn.XMATCH($C163,$C$35:$C$82)+1&lt;=_xlpm.DepreciationMonths,$C163&lt;=BC$8),$E163/_xlpm.DepreciationMonths,0))</f>
        <v>0</v>
      </c>
      <c r="BD163" s="507" cm="1">
        <f t="array" ref="BD163">_xlfn.LET(_xlpm.DepreciationMonths,INDEX(FixedAssets[Depreciation
/ Amortization Months],_xlfn.XMATCH($E$135,FixedAssets[Asset ID])),IF(AND((_xlfn.XMATCH(BD$8,$AH$8:$CC$8))-_xlfn.XMATCH($C163,$C$35:$C$82)+1&lt;=_xlpm.DepreciationMonths,$C163&lt;=BD$8),$E163/_xlpm.DepreciationMonths,0))</f>
        <v>0</v>
      </c>
      <c r="BE163" s="507" cm="1">
        <f t="array" ref="BE163">_xlfn.LET(_xlpm.DepreciationMonths,INDEX(FixedAssets[Depreciation
/ Amortization Months],_xlfn.XMATCH($E$135,FixedAssets[Asset ID])),IF(AND((_xlfn.XMATCH(BE$8,$AH$8:$CC$8))-_xlfn.XMATCH($C163,$C$35:$C$82)+1&lt;=_xlpm.DepreciationMonths,$C163&lt;=BE$8),$E163/_xlpm.DepreciationMonths,0))</f>
        <v>0</v>
      </c>
      <c r="BF163" s="507" cm="1">
        <f t="array" ref="BF163">_xlfn.LET(_xlpm.DepreciationMonths,INDEX(FixedAssets[Depreciation
/ Amortization Months],_xlfn.XMATCH($E$135,FixedAssets[Asset ID])),IF(AND((_xlfn.XMATCH(BF$8,$AH$8:$CC$8))-_xlfn.XMATCH($C163,$C$35:$C$82)+1&lt;=_xlpm.DepreciationMonths,$C163&lt;=BF$8),$E163/_xlpm.DepreciationMonths,0))</f>
        <v>0</v>
      </c>
      <c r="BG163" s="507" cm="1">
        <f t="array" ref="BG163">_xlfn.LET(_xlpm.DepreciationMonths,INDEX(FixedAssets[Depreciation
/ Amortization Months],_xlfn.XMATCH($E$135,FixedAssets[Asset ID])),IF(AND((_xlfn.XMATCH(BG$8,$AH$8:$CC$8))-_xlfn.XMATCH($C163,$C$35:$C$82)+1&lt;=_xlpm.DepreciationMonths,$C163&lt;=BG$8),$E163/_xlpm.DepreciationMonths,0))</f>
        <v>0</v>
      </c>
      <c r="BH163" s="507" cm="1">
        <f t="array" ref="BH163">_xlfn.LET(_xlpm.DepreciationMonths,INDEX(FixedAssets[Depreciation
/ Amortization Months],_xlfn.XMATCH($E$135,FixedAssets[Asset ID])),IF(AND((_xlfn.XMATCH(BH$8,$AH$8:$CC$8))-_xlfn.XMATCH($C163,$C$35:$C$82)+1&lt;=_xlpm.DepreciationMonths,$C163&lt;=BH$8),$E163/_xlpm.DepreciationMonths,0))</f>
        <v>0</v>
      </c>
      <c r="BI163" s="507" cm="1">
        <f t="array" ref="BI163">_xlfn.LET(_xlpm.DepreciationMonths,INDEX(FixedAssets[Depreciation
/ Amortization Months],_xlfn.XMATCH($E$135,FixedAssets[Asset ID])),IF(AND((_xlfn.XMATCH(BI$8,$AH$8:$CC$8))-_xlfn.XMATCH($C163,$C$35:$C$82)+1&lt;=_xlpm.DepreciationMonths,$C163&lt;=BI$8),$E163/_xlpm.DepreciationMonths,0))</f>
        <v>0</v>
      </c>
      <c r="BJ163" s="507" cm="1">
        <f t="array" ref="BJ163">_xlfn.LET(_xlpm.DepreciationMonths,INDEX(FixedAssets[Depreciation
/ Amortization Months],_xlfn.XMATCH($E$135,FixedAssets[Asset ID])),IF(AND((_xlfn.XMATCH(BJ$8,$AH$8:$CC$8))-_xlfn.XMATCH($C163,$C$35:$C$82)+1&lt;=_xlpm.DepreciationMonths,$C163&lt;=BJ$8),$E163/_xlpm.DepreciationMonths,0))</f>
        <v>0</v>
      </c>
      <c r="BK163" s="507" cm="1">
        <f t="array" ref="BK163">_xlfn.LET(_xlpm.DepreciationMonths,INDEX(FixedAssets[Depreciation
/ Amortization Months],_xlfn.XMATCH($E$135,FixedAssets[Asset ID])),IF(AND((_xlfn.XMATCH(BK$8,$AH$8:$CC$8))-_xlfn.XMATCH($C163,$C$35:$C$82)+1&lt;=_xlpm.DepreciationMonths,$C163&lt;=BK$8),$E163/_xlpm.DepreciationMonths,0))</f>
        <v>0</v>
      </c>
      <c r="BL163" s="507" cm="1">
        <f t="array" ref="BL163">_xlfn.LET(_xlpm.DepreciationMonths,INDEX(FixedAssets[Depreciation
/ Amortization Months],_xlfn.XMATCH($E$135,FixedAssets[Asset ID])),IF(AND((_xlfn.XMATCH(BL$8,$AH$8:$CC$8))-_xlfn.XMATCH($C163,$C$35:$C$82)+1&lt;=_xlpm.DepreciationMonths,$C163&lt;=BL$8),$E163/_xlpm.DepreciationMonths,0))</f>
        <v>0</v>
      </c>
      <c r="BM163" s="507" cm="1">
        <f t="array" ref="BM163">_xlfn.LET(_xlpm.DepreciationMonths,INDEX(FixedAssets[Depreciation
/ Amortization Months],_xlfn.XMATCH($E$135,FixedAssets[Asset ID])),IF(AND((_xlfn.XMATCH(BM$8,$AH$8:$CC$8))-_xlfn.XMATCH($C163,$C$35:$C$82)+1&lt;=_xlpm.DepreciationMonths,$C163&lt;=BM$8),$E163/_xlpm.DepreciationMonths,0))</f>
        <v>0</v>
      </c>
      <c r="BN163" s="507" cm="1">
        <f t="array" ref="BN163">_xlfn.LET(_xlpm.DepreciationMonths,INDEX(FixedAssets[Depreciation
/ Amortization Months],_xlfn.XMATCH($E$135,FixedAssets[Asset ID])),IF(AND((_xlfn.XMATCH(BN$8,$AH$8:$CC$8))-_xlfn.XMATCH($C163,$C$35:$C$82)+1&lt;=_xlpm.DepreciationMonths,$C163&lt;=BN$8),$E163/_xlpm.DepreciationMonths,0))</f>
        <v>0</v>
      </c>
      <c r="BO163" s="507" cm="1">
        <f t="array" ref="BO163">_xlfn.LET(_xlpm.DepreciationMonths,INDEX(FixedAssets[Depreciation
/ Amortization Months],_xlfn.XMATCH($E$135,FixedAssets[Asset ID])),IF(AND((_xlfn.XMATCH(BO$8,$AH$8:$CC$8))-_xlfn.XMATCH($C163,$C$35:$C$82)+1&lt;=_xlpm.DepreciationMonths,$C163&lt;=BO$8),$E163/_xlpm.DepreciationMonths,0))</f>
        <v>0</v>
      </c>
      <c r="BP163" s="507" cm="1">
        <f t="array" ref="BP163">_xlfn.LET(_xlpm.DepreciationMonths,INDEX(FixedAssets[Depreciation
/ Amortization Months],_xlfn.XMATCH($E$135,FixedAssets[Asset ID])),IF(AND((_xlfn.XMATCH(BP$8,$AH$8:$CC$8))-_xlfn.XMATCH($C163,$C$35:$C$82)+1&lt;=_xlpm.DepreciationMonths,$C163&lt;=BP$8),$E163/_xlpm.DepreciationMonths,0))</f>
        <v>0</v>
      </c>
      <c r="BQ163" s="507" cm="1">
        <f t="array" ref="BQ163">_xlfn.LET(_xlpm.DepreciationMonths,INDEX(FixedAssets[Depreciation
/ Amortization Months],_xlfn.XMATCH($E$135,FixedAssets[Asset ID])),IF(AND((_xlfn.XMATCH(BQ$8,$AH$8:$CC$8))-_xlfn.XMATCH($C163,$C$35:$C$82)+1&lt;=_xlpm.DepreciationMonths,$C163&lt;=BQ$8),$E163/_xlpm.DepreciationMonths,0))</f>
        <v>0</v>
      </c>
      <c r="BR163" s="507" cm="1">
        <f t="array" ref="BR163">_xlfn.LET(_xlpm.DepreciationMonths,INDEX(FixedAssets[Depreciation
/ Amortization Months],_xlfn.XMATCH($E$135,FixedAssets[Asset ID])),IF(AND((_xlfn.XMATCH(BR$8,$AH$8:$CC$8))-_xlfn.XMATCH($C163,$C$35:$C$82)+1&lt;=_xlpm.DepreciationMonths,$C163&lt;=BR$8),$E163/_xlpm.DepreciationMonths,0))</f>
        <v>0</v>
      </c>
      <c r="BS163" s="507" cm="1">
        <f t="array" ref="BS163">_xlfn.LET(_xlpm.DepreciationMonths,INDEX(FixedAssets[Depreciation
/ Amortization Months],_xlfn.XMATCH($E$135,FixedAssets[Asset ID])),IF(AND((_xlfn.XMATCH(BS$8,$AH$8:$CC$8))-_xlfn.XMATCH($C163,$C$35:$C$82)+1&lt;=_xlpm.DepreciationMonths,$C163&lt;=BS$8),$E163/_xlpm.DepreciationMonths,0))</f>
        <v>0</v>
      </c>
      <c r="BT163" s="507" cm="1">
        <f t="array" ref="BT163">_xlfn.LET(_xlpm.DepreciationMonths,INDEX(FixedAssets[Depreciation
/ Amortization Months],_xlfn.XMATCH($E$135,FixedAssets[Asset ID])),IF(AND((_xlfn.XMATCH(BT$8,$AH$8:$CC$8))-_xlfn.XMATCH($C163,$C$35:$C$82)+1&lt;=_xlpm.DepreciationMonths,$C163&lt;=BT$8),$E163/_xlpm.DepreciationMonths,0))</f>
        <v>0</v>
      </c>
      <c r="BU163" s="507" cm="1">
        <f t="array" ref="BU163">_xlfn.LET(_xlpm.DepreciationMonths,INDEX(FixedAssets[Depreciation
/ Amortization Months],_xlfn.XMATCH($E$135,FixedAssets[Asset ID])),IF(AND((_xlfn.XMATCH(BU$8,$AH$8:$CC$8))-_xlfn.XMATCH($C163,$C$35:$C$82)+1&lt;=_xlpm.DepreciationMonths,$C163&lt;=BU$8),$E163/_xlpm.DepreciationMonths,0))</f>
        <v>0</v>
      </c>
      <c r="BV163" s="507" cm="1">
        <f t="array" ref="BV163">_xlfn.LET(_xlpm.DepreciationMonths,INDEX(FixedAssets[Depreciation
/ Amortization Months],_xlfn.XMATCH($E$135,FixedAssets[Asset ID])),IF(AND((_xlfn.XMATCH(BV$8,$AH$8:$CC$8))-_xlfn.XMATCH($C163,$C$35:$C$82)+1&lt;=_xlpm.DepreciationMonths,$C163&lt;=BV$8),$E163/_xlpm.DepreciationMonths,0))</f>
        <v>0</v>
      </c>
      <c r="BW163" s="507" cm="1">
        <f t="array" ref="BW163">_xlfn.LET(_xlpm.DepreciationMonths,INDEX(FixedAssets[Depreciation
/ Amortization Months],_xlfn.XMATCH($E$135,FixedAssets[Asset ID])),IF(AND((_xlfn.XMATCH(BW$8,$AH$8:$CC$8))-_xlfn.XMATCH($C163,$C$35:$C$82)+1&lt;=_xlpm.DepreciationMonths,$C163&lt;=BW$8),$E163/_xlpm.DepreciationMonths,0))</f>
        <v>0</v>
      </c>
      <c r="BX163" s="507" cm="1">
        <f t="array" ref="BX163">_xlfn.LET(_xlpm.DepreciationMonths,INDEX(FixedAssets[Depreciation
/ Amortization Months],_xlfn.XMATCH($E$135,FixedAssets[Asset ID])),IF(AND((_xlfn.XMATCH(BX$8,$AH$8:$CC$8))-_xlfn.XMATCH($C163,$C$35:$C$82)+1&lt;=_xlpm.DepreciationMonths,$C163&lt;=BX$8),$E163/_xlpm.DepreciationMonths,0))</f>
        <v>0</v>
      </c>
      <c r="BY163" s="507" cm="1">
        <f t="array" ref="BY163">_xlfn.LET(_xlpm.DepreciationMonths,INDEX(FixedAssets[Depreciation
/ Amortization Months],_xlfn.XMATCH($E$135,FixedAssets[Asset ID])),IF(AND((_xlfn.XMATCH(BY$8,$AH$8:$CC$8))-_xlfn.XMATCH($C163,$C$35:$C$82)+1&lt;=_xlpm.DepreciationMonths,$C163&lt;=BY$8),$E163/_xlpm.DepreciationMonths,0))</f>
        <v>0</v>
      </c>
      <c r="BZ163" s="507" cm="1">
        <f t="array" ref="BZ163">_xlfn.LET(_xlpm.DepreciationMonths,INDEX(FixedAssets[Depreciation
/ Amortization Months],_xlfn.XMATCH($E$135,FixedAssets[Asset ID])),IF(AND((_xlfn.XMATCH(BZ$8,$AH$8:$CC$8))-_xlfn.XMATCH($C163,$C$35:$C$82)+1&lt;=_xlpm.DepreciationMonths,$C163&lt;=BZ$8),$E163/_xlpm.DepreciationMonths,0))</f>
        <v>0</v>
      </c>
      <c r="CA163" s="507" cm="1">
        <f t="array" ref="CA163">_xlfn.LET(_xlpm.DepreciationMonths,INDEX(FixedAssets[Depreciation
/ Amortization Months],_xlfn.XMATCH($E$135,FixedAssets[Asset ID])),IF(AND((_xlfn.XMATCH(CA$8,$AH$8:$CC$8))-_xlfn.XMATCH($C163,$C$35:$C$82)+1&lt;=_xlpm.DepreciationMonths,$C163&lt;=CA$8),$E163/_xlpm.DepreciationMonths,0))</f>
        <v>0</v>
      </c>
      <c r="CB163" s="507" cm="1">
        <f t="array" ref="CB163">_xlfn.LET(_xlpm.DepreciationMonths,INDEX(FixedAssets[Depreciation
/ Amortization Months],_xlfn.XMATCH($E$135,FixedAssets[Asset ID])),IF(AND((_xlfn.XMATCH(CB$8,$AH$8:$CC$8))-_xlfn.XMATCH($C163,$C$35:$C$82)+1&lt;=_xlpm.DepreciationMonths,$C163&lt;=CB$8),$E163/_xlpm.DepreciationMonths,0))</f>
        <v>0</v>
      </c>
      <c r="CC163" s="507" cm="1">
        <f t="array" ref="CC163">_xlfn.LET(_xlpm.DepreciationMonths,INDEX(FixedAssets[Depreciation
/ Amortization Months],_xlfn.XMATCH($E$135,FixedAssets[Asset ID])),IF(AND((_xlfn.XMATCH(CC$8,$AH$8:$CC$8))-_xlfn.XMATCH($C163,$C$35:$C$82)+1&lt;=_xlpm.DepreciationMonths,$C163&lt;=CC$8),$E163/_xlpm.DepreciationMonths,0))</f>
        <v>0</v>
      </c>
    </row>
    <row r="164" spans="3:81" hidden="1" outlineLevel="2">
      <c r="C164" s="664">
        <f t="shared" si="243"/>
        <v>45777</v>
      </c>
      <c r="D164" s="508"/>
      <c r="E164" s="508" cm="1">
        <f t="array" ref="E164">SUMPRODUCT(($AH$26:$CC$31)*($AH$5:$CC$5=$C164)*($E$26:$E$31=E$135))-SUMPRODUCT(($AH$26:$CC$31)*($AH$5:$CC$5=EOMONTH($C164,-1))*($E$26:$E$31=E$135))</f>
        <v>0</v>
      </c>
      <c r="F164" s="508"/>
      <c r="G164" s="508"/>
      <c r="H164" s="508"/>
      <c r="I164" s="508"/>
      <c r="J164" s="504">
        <f t="shared" si="240"/>
        <v>0</v>
      </c>
      <c r="K164" s="504">
        <f t="shared" si="245"/>
        <v>0</v>
      </c>
      <c r="L164" s="504">
        <f t="shared" si="245"/>
        <v>0</v>
      </c>
      <c r="M164" s="504">
        <f t="shared" si="245"/>
        <v>0</v>
      </c>
      <c r="N164" s="504"/>
      <c r="O164" s="504"/>
      <c r="P164" s="504">
        <f t="shared" si="246"/>
        <v>0</v>
      </c>
      <c r="Q164" s="504">
        <f t="shared" si="246"/>
        <v>0</v>
      </c>
      <c r="R164" s="504">
        <f t="shared" si="246"/>
        <v>0</v>
      </c>
      <c r="S164" s="504">
        <f t="shared" si="246"/>
        <v>0</v>
      </c>
      <c r="T164" s="504">
        <f t="shared" si="246"/>
        <v>0</v>
      </c>
      <c r="U164" s="504">
        <f t="shared" si="246"/>
        <v>0</v>
      </c>
      <c r="V164" s="504">
        <f t="shared" si="246"/>
        <v>0</v>
      </c>
      <c r="W164" s="504">
        <f t="shared" si="246"/>
        <v>0</v>
      </c>
      <c r="X164" s="504">
        <f t="shared" si="246"/>
        <v>0</v>
      </c>
      <c r="Y164" s="504">
        <f t="shared" si="246"/>
        <v>0</v>
      </c>
      <c r="Z164" s="504">
        <f t="shared" si="246"/>
        <v>0</v>
      </c>
      <c r="AA164" s="504">
        <f t="shared" si="246"/>
        <v>0</v>
      </c>
      <c r="AB164" s="504">
        <f t="shared" si="246"/>
        <v>0</v>
      </c>
      <c r="AC164" s="504">
        <f t="shared" si="246"/>
        <v>0</v>
      </c>
      <c r="AD164" s="504">
        <f t="shared" si="246"/>
        <v>0</v>
      </c>
      <c r="AE164" s="504">
        <f t="shared" si="246"/>
        <v>0</v>
      </c>
      <c r="AF164" s="508"/>
      <c r="AG164" s="508"/>
      <c r="AH164" s="507" cm="1">
        <f t="array" ref="AH164">_xlfn.LET(_xlpm.DepreciationMonths,INDEX(FixedAssets[Depreciation
/ Amortization Months],_xlfn.XMATCH($E$135,FixedAssets[Asset ID])),IF(AND((_xlfn.XMATCH(AH$8,$AH$8:$CC$8))-_xlfn.XMATCH($C164,$C$35:$C$82)+1&lt;=_xlpm.DepreciationMonths,$C164&lt;=AH$8),$E164/_xlpm.DepreciationMonths,0))</f>
        <v>0</v>
      </c>
      <c r="AI164" s="507" cm="1">
        <f t="array" ref="AI164">_xlfn.LET(_xlpm.DepreciationMonths,INDEX(FixedAssets[Depreciation
/ Amortization Months],_xlfn.XMATCH($E$135,FixedAssets[Asset ID])),IF(AND((_xlfn.XMATCH(AI$8,$AH$8:$CC$8))-_xlfn.XMATCH($C164,$C$35:$C$82)+1&lt;=_xlpm.DepreciationMonths,$C164&lt;=AI$8),$E164/_xlpm.DepreciationMonths,0))</f>
        <v>0</v>
      </c>
      <c r="AJ164" s="507" cm="1">
        <f t="array" ref="AJ164">_xlfn.LET(_xlpm.DepreciationMonths,INDEX(FixedAssets[Depreciation
/ Amortization Months],_xlfn.XMATCH($E$135,FixedAssets[Asset ID])),IF(AND((_xlfn.XMATCH(AJ$8,$AH$8:$CC$8))-_xlfn.XMATCH($C164,$C$35:$C$82)+1&lt;=_xlpm.DepreciationMonths,$C164&lt;=AJ$8),$E164/_xlpm.DepreciationMonths,0))</f>
        <v>0</v>
      </c>
      <c r="AK164" s="507" cm="1">
        <f t="array" ref="AK164">_xlfn.LET(_xlpm.DepreciationMonths,INDEX(FixedAssets[Depreciation
/ Amortization Months],_xlfn.XMATCH($E$135,FixedAssets[Asset ID])),IF(AND((_xlfn.XMATCH(AK$8,$AH$8:$CC$8))-_xlfn.XMATCH($C164,$C$35:$C$82)+1&lt;=_xlpm.DepreciationMonths,$C164&lt;=AK$8),$E164/_xlpm.DepreciationMonths,0))</f>
        <v>0</v>
      </c>
      <c r="AL164" s="507" cm="1">
        <f t="array" ref="AL164">_xlfn.LET(_xlpm.DepreciationMonths,INDEX(FixedAssets[Depreciation
/ Amortization Months],_xlfn.XMATCH($E$135,FixedAssets[Asset ID])),IF(AND((_xlfn.XMATCH(AL$8,$AH$8:$CC$8))-_xlfn.XMATCH($C164,$C$35:$C$82)+1&lt;=_xlpm.DepreciationMonths,$C164&lt;=AL$8),$E164/_xlpm.DepreciationMonths,0))</f>
        <v>0</v>
      </c>
      <c r="AM164" s="507" cm="1">
        <f t="array" ref="AM164">_xlfn.LET(_xlpm.DepreciationMonths,INDEX(FixedAssets[Depreciation
/ Amortization Months],_xlfn.XMATCH($E$135,FixedAssets[Asset ID])),IF(AND((_xlfn.XMATCH(AM$8,$AH$8:$CC$8))-_xlfn.XMATCH($C164,$C$35:$C$82)+1&lt;=_xlpm.DepreciationMonths,$C164&lt;=AM$8),$E164/_xlpm.DepreciationMonths,0))</f>
        <v>0</v>
      </c>
      <c r="AN164" s="507" cm="1">
        <f t="array" ref="AN164">_xlfn.LET(_xlpm.DepreciationMonths,INDEX(FixedAssets[Depreciation
/ Amortization Months],_xlfn.XMATCH($E$135,FixedAssets[Asset ID])),IF(AND((_xlfn.XMATCH(AN$8,$AH$8:$CC$8))-_xlfn.XMATCH($C164,$C$35:$C$82)+1&lt;=_xlpm.DepreciationMonths,$C164&lt;=AN$8),$E164/_xlpm.DepreciationMonths,0))</f>
        <v>0</v>
      </c>
      <c r="AO164" s="507" cm="1">
        <f t="array" ref="AO164">_xlfn.LET(_xlpm.DepreciationMonths,INDEX(FixedAssets[Depreciation
/ Amortization Months],_xlfn.XMATCH($E$135,FixedAssets[Asset ID])),IF(AND((_xlfn.XMATCH(AO$8,$AH$8:$CC$8))-_xlfn.XMATCH($C164,$C$35:$C$82)+1&lt;=_xlpm.DepreciationMonths,$C164&lt;=AO$8),$E164/_xlpm.DepreciationMonths,0))</f>
        <v>0</v>
      </c>
      <c r="AP164" s="507" cm="1">
        <f t="array" ref="AP164">_xlfn.LET(_xlpm.DepreciationMonths,INDEX(FixedAssets[Depreciation
/ Amortization Months],_xlfn.XMATCH($E$135,FixedAssets[Asset ID])),IF(AND((_xlfn.XMATCH(AP$8,$AH$8:$CC$8))-_xlfn.XMATCH($C164,$C$35:$C$82)+1&lt;=_xlpm.DepreciationMonths,$C164&lt;=AP$8),$E164/_xlpm.DepreciationMonths,0))</f>
        <v>0</v>
      </c>
      <c r="AQ164" s="507" cm="1">
        <f t="array" ref="AQ164">_xlfn.LET(_xlpm.DepreciationMonths,INDEX(FixedAssets[Depreciation
/ Amortization Months],_xlfn.XMATCH($E$135,FixedAssets[Asset ID])),IF(AND((_xlfn.XMATCH(AQ$8,$AH$8:$CC$8))-_xlfn.XMATCH($C164,$C$35:$C$82)+1&lt;=_xlpm.DepreciationMonths,$C164&lt;=AQ$8),$E164/_xlpm.DepreciationMonths,0))</f>
        <v>0</v>
      </c>
      <c r="AR164" s="507" cm="1">
        <f t="array" ref="AR164">_xlfn.LET(_xlpm.DepreciationMonths,INDEX(FixedAssets[Depreciation
/ Amortization Months],_xlfn.XMATCH($E$135,FixedAssets[Asset ID])),IF(AND((_xlfn.XMATCH(AR$8,$AH$8:$CC$8))-_xlfn.XMATCH($C164,$C$35:$C$82)+1&lt;=_xlpm.DepreciationMonths,$C164&lt;=AR$8),$E164/_xlpm.DepreciationMonths,0))</f>
        <v>0</v>
      </c>
      <c r="AS164" s="507" cm="1">
        <f t="array" ref="AS164">_xlfn.LET(_xlpm.DepreciationMonths,INDEX(FixedAssets[Depreciation
/ Amortization Months],_xlfn.XMATCH($E$135,FixedAssets[Asset ID])),IF(AND((_xlfn.XMATCH(AS$8,$AH$8:$CC$8))-_xlfn.XMATCH($C164,$C$35:$C$82)+1&lt;=_xlpm.DepreciationMonths,$C164&lt;=AS$8),$E164/_xlpm.DepreciationMonths,0))</f>
        <v>0</v>
      </c>
      <c r="AT164" s="507" cm="1">
        <f t="array" ref="AT164">_xlfn.LET(_xlpm.DepreciationMonths,INDEX(FixedAssets[Depreciation
/ Amortization Months],_xlfn.XMATCH($E$135,FixedAssets[Asset ID])),IF(AND((_xlfn.XMATCH(AT$8,$AH$8:$CC$8))-_xlfn.XMATCH($C164,$C$35:$C$82)+1&lt;=_xlpm.DepreciationMonths,$C164&lt;=AT$8),$E164/_xlpm.DepreciationMonths,0))</f>
        <v>0</v>
      </c>
      <c r="AU164" s="507" cm="1">
        <f t="array" ref="AU164">_xlfn.LET(_xlpm.DepreciationMonths,INDEX(FixedAssets[Depreciation
/ Amortization Months],_xlfn.XMATCH($E$135,FixedAssets[Asset ID])),IF(AND((_xlfn.XMATCH(AU$8,$AH$8:$CC$8))-_xlfn.XMATCH($C164,$C$35:$C$82)+1&lt;=_xlpm.DepreciationMonths,$C164&lt;=AU$8),$E164/_xlpm.DepreciationMonths,0))</f>
        <v>0</v>
      </c>
      <c r="AV164" s="507" cm="1">
        <f t="array" ref="AV164">_xlfn.LET(_xlpm.DepreciationMonths,INDEX(FixedAssets[Depreciation
/ Amortization Months],_xlfn.XMATCH($E$135,FixedAssets[Asset ID])),IF(AND((_xlfn.XMATCH(AV$8,$AH$8:$CC$8))-_xlfn.XMATCH($C164,$C$35:$C$82)+1&lt;=_xlpm.DepreciationMonths,$C164&lt;=AV$8),$E164/_xlpm.DepreciationMonths,0))</f>
        <v>0</v>
      </c>
      <c r="AW164" s="507" cm="1">
        <f t="array" ref="AW164">_xlfn.LET(_xlpm.DepreciationMonths,INDEX(FixedAssets[Depreciation
/ Amortization Months],_xlfn.XMATCH($E$135,FixedAssets[Asset ID])),IF(AND((_xlfn.XMATCH(AW$8,$AH$8:$CC$8))-_xlfn.XMATCH($C164,$C$35:$C$82)+1&lt;=_xlpm.DepreciationMonths,$C164&lt;=AW$8),$E164/_xlpm.DepreciationMonths,0))</f>
        <v>0</v>
      </c>
      <c r="AX164" s="507" cm="1">
        <f t="array" ref="AX164">_xlfn.LET(_xlpm.DepreciationMonths,INDEX(FixedAssets[Depreciation
/ Amortization Months],_xlfn.XMATCH($E$135,FixedAssets[Asset ID])),IF(AND((_xlfn.XMATCH(AX$8,$AH$8:$CC$8))-_xlfn.XMATCH($C164,$C$35:$C$82)+1&lt;=_xlpm.DepreciationMonths,$C164&lt;=AX$8),$E164/_xlpm.DepreciationMonths,0))</f>
        <v>0</v>
      </c>
      <c r="AY164" s="507" cm="1">
        <f t="array" ref="AY164">_xlfn.LET(_xlpm.DepreciationMonths,INDEX(FixedAssets[Depreciation
/ Amortization Months],_xlfn.XMATCH($E$135,FixedAssets[Asset ID])),IF(AND((_xlfn.XMATCH(AY$8,$AH$8:$CC$8))-_xlfn.XMATCH($C164,$C$35:$C$82)+1&lt;=_xlpm.DepreciationMonths,$C164&lt;=AY$8),$E164/_xlpm.DepreciationMonths,0))</f>
        <v>0</v>
      </c>
      <c r="AZ164" s="507" cm="1">
        <f t="array" ref="AZ164">_xlfn.LET(_xlpm.DepreciationMonths,INDEX(FixedAssets[Depreciation
/ Amortization Months],_xlfn.XMATCH($E$135,FixedAssets[Asset ID])),IF(AND((_xlfn.XMATCH(AZ$8,$AH$8:$CC$8))-_xlfn.XMATCH($C164,$C$35:$C$82)+1&lt;=_xlpm.DepreciationMonths,$C164&lt;=AZ$8),$E164/_xlpm.DepreciationMonths,0))</f>
        <v>0</v>
      </c>
      <c r="BA164" s="507" cm="1">
        <f t="array" ref="BA164">_xlfn.LET(_xlpm.DepreciationMonths,INDEX(FixedAssets[Depreciation
/ Amortization Months],_xlfn.XMATCH($E$135,FixedAssets[Asset ID])),IF(AND((_xlfn.XMATCH(BA$8,$AH$8:$CC$8))-_xlfn.XMATCH($C164,$C$35:$C$82)+1&lt;=_xlpm.DepreciationMonths,$C164&lt;=BA$8),$E164/_xlpm.DepreciationMonths,0))</f>
        <v>0</v>
      </c>
      <c r="BB164" s="507" cm="1">
        <f t="array" ref="BB164">_xlfn.LET(_xlpm.DepreciationMonths,INDEX(FixedAssets[Depreciation
/ Amortization Months],_xlfn.XMATCH($E$135,FixedAssets[Asset ID])),IF(AND((_xlfn.XMATCH(BB$8,$AH$8:$CC$8))-_xlfn.XMATCH($C164,$C$35:$C$82)+1&lt;=_xlpm.DepreciationMonths,$C164&lt;=BB$8),$E164/_xlpm.DepreciationMonths,0))</f>
        <v>0</v>
      </c>
      <c r="BC164" s="507" cm="1">
        <f t="array" ref="BC164">_xlfn.LET(_xlpm.DepreciationMonths,INDEX(FixedAssets[Depreciation
/ Amortization Months],_xlfn.XMATCH($E$135,FixedAssets[Asset ID])),IF(AND((_xlfn.XMATCH(BC$8,$AH$8:$CC$8))-_xlfn.XMATCH($C164,$C$35:$C$82)+1&lt;=_xlpm.DepreciationMonths,$C164&lt;=BC$8),$E164/_xlpm.DepreciationMonths,0))</f>
        <v>0</v>
      </c>
      <c r="BD164" s="507" cm="1">
        <f t="array" ref="BD164">_xlfn.LET(_xlpm.DepreciationMonths,INDEX(FixedAssets[Depreciation
/ Amortization Months],_xlfn.XMATCH($E$135,FixedAssets[Asset ID])),IF(AND((_xlfn.XMATCH(BD$8,$AH$8:$CC$8))-_xlfn.XMATCH($C164,$C$35:$C$82)+1&lt;=_xlpm.DepreciationMonths,$C164&lt;=BD$8),$E164/_xlpm.DepreciationMonths,0))</f>
        <v>0</v>
      </c>
      <c r="BE164" s="507" cm="1">
        <f t="array" ref="BE164">_xlfn.LET(_xlpm.DepreciationMonths,INDEX(FixedAssets[Depreciation
/ Amortization Months],_xlfn.XMATCH($E$135,FixedAssets[Asset ID])),IF(AND((_xlfn.XMATCH(BE$8,$AH$8:$CC$8))-_xlfn.XMATCH($C164,$C$35:$C$82)+1&lt;=_xlpm.DepreciationMonths,$C164&lt;=BE$8),$E164/_xlpm.DepreciationMonths,0))</f>
        <v>0</v>
      </c>
      <c r="BF164" s="507" cm="1">
        <f t="array" ref="BF164">_xlfn.LET(_xlpm.DepreciationMonths,INDEX(FixedAssets[Depreciation
/ Amortization Months],_xlfn.XMATCH($E$135,FixedAssets[Asset ID])),IF(AND((_xlfn.XMATCH(BF$8,$AH$8:$CC$8))-_xlfn.XMATCH($C164,$C$35:$C$82)+1&lt;=_xlpm.DepreciationMonths,$C164&lt;=BF$8),$E164/_xlpm.DepreciationMonths,0))</f>
        <v>0</v>
      </c>
      <c r="BG164" s="507" cm="1">
        <f t="array" ref="BG164">_xlfn.LET(_xlpm.DepreciationMonths,INDEX(FixedAssets[Depreciation
/ Amortization Months],_xlfn.XMATCH($E$135,FixedAssets[Asset ID])),IF(AND((_xlfn.XMATCH(BG$8,$AH$8:$CC$8))-_xlfn.XMATCH($C164,$C$35:$C$82)+1&lt;=_xlpm.DepreciationMonths,$C164&lt;=BG$8),$E164/_xlpm.DepreciationMonths,0))</f>
        <v>0</v>
      </c>
      <c r="BH164" s="507" cm="1">
        <f t="array" ref="BH164">_xlfn.LET(_xlpm.DepreciationMonths,INDEX(FixedAssets[Depreciation
/ Amortization Months],_xlfn.XMATCH($E$135,FixedAssets[Asset ID])),IF(AND((_xlfn.XMATCH(BH$8,$AH$8:$CC$8))-_xlfn.XMATCH($C164,$C$35:$C$82)+1&lt;=_xlpm.DepreciationMonths,$C164&lt;=BH$8),$E164/_xlpm.DepreciationMonths,0))</f>
        <v>0</v>
      </c>
      <c r="BI164" s="507" cm="1">
        <f t="array" ref="BI164">_xlfn.LET(_xlpm.DepreciationMonths,INDEX(FixedAssets[Depreciation
/ Amortization Months],_xlfn.XMATCH($E$135,FixedAssets[Asset ID])),IF(AND((_xlfn.XMATCH(BI$8,$AH$8:$CC$8))-_xlfn.XMATCH($C164,$C$35:$C$82)+1&lt;=_xlpm.DepreciationMonths,$C164&lt;=BI$8),$E164/_xlpm.DepreciationMonths,0))</f>
        <v>0</v>
      </c>
      <c r="BJ164" s="507" cm="1">
        <f t="array" ref="BJ164">_xlfn.LET(_xlpm.DepreciationMonths,INDEX(FixedAssets[Depreciation
/ Amortization Months],_xlfn.XMATCH($E$135,FixedAssets[Asset ID])),IF(AND((_xlfn.XMATCH(BJ$8,$AH$8:$CC$8))-_xlfn.XMATCH($C164,$C$35:$C$82)+1&lt;=_xlpm.DepreciationMonths,$C164&lt;=BJ$8),$E164/_xlpm.DepreciationMonths,0))</f>
        <v>0</v>
      </c>
      <c r="BK164" s="507" cm="1">
        <f t="array" ref="BK164">_xlfn.LET(_xlpm.DepreciationMonths,INDEX(FixedAssets[Depreciation
/ Amortization Months],_xlfn.XMATCH($E$135,FixedAssets[Asset ID])),IF(AND((_xlfn.XMATCH(BK$8,$AH$8:$CC$8))-_xlfn.XMATCH($C164,$C$35:$C$82)+1&lt;=_xlpm.DepreciationMonths,$C164&lt;=BK$8),$E164/_xlpm.DepreciationMonths,0))</f>
        <v>0</v>
      </c>
      <c r="BL164" s="507" cm="1">
        <f t="array" ref="BL164">_xlfn.LET(_xlpm.DepreciationMonths,INDEX(FixedAssets[Depreciation
/ Amortization Months],_xlfn.XMATCH($E$135,FixedAssets[Asset ID])),IF(AND((_xlfn.XMATCH(BL$8,$AH$8:$CC$8))-_xlfn.XMATCH($C164,$C$35:$C$82)+1&lt;=_xlpm.DepreciationMonths,$C164&lt;=BL$8),$E164/_xlpm.DepreciationMonths,0))</f>
        <v>0</v>
      </c>
      <c r="BM164" s="507" cm="1">
        <f t="array" ref="BM164">_xlfn.LET(_xlpm.DepreciationMonths,INDEX(FixedAssets[Depreciation
/ Amortization Months],_xlfn.XMATCH($E$135,FixedAssets[Asset ID])),IF(AND((_xlfn.XMATCH(BM$8,$AH$8:$CC$8))-_xlfn.XMATCH($C164,$C$35:$C$82)+1&lt;=_xlpm.DepreciationMonths,$C164&lt;=BM$8),$E164/_xlpm.DepreciationMonths,0))</f>
        <v>0</v>
      </c>
      <c r="BN164" s="507" cm="1">
        <f t="array" ref="BN164">_xlfn.LET(_xlpm.DepreciationMonths,INDEX(FixedAssets[Depreciation
/ Amortization Months],_xlfn.XMATCH($E$135,FixedAssets[Asset ID])),IF(AND((_xlfn.XMATCH(BN$8,$AH$8:$CC$8))-_xlfn.XMATCH($C164,$C$35:$C$82)+1&lt;=_xlpm.DepreciationMonths,$C164&lt;=BN$8),$E164/_xlpm.DepreciationMonths,0))</f>
        <v>0</v>
      </c>
      <c r="BO164" s="507" cm="1">
        <f t="array" ref="BO164">_xlfn.LET(_xlpm.DepreciationMonths,INDEX(FixedAssets[Depreciation
/ Amortization Months],_xlfn.XMATCH($E$135,FixedAssets[Asset ID])),IF(AND((_xlfn.XMATCH(BO$8,$AH$8:$CC$8))-_xlfn.XMATCH($C164,$C$35:$C$82)+1&lt;=_xlpm.DepreciationMonths,$C164&lt;=BO$8),$E164/_xlpm.DepreciationMonths,0))</f>
        <v>0</v>
      </c>
      <c r="BP164" s="507" cm="1">
        <f t="array" ref="BP164">_xlfn.LET(_xlpm.DepreciationMonths,INDEX(FixedAssets[Depreciation
/ Amortization Months],_xlfn.XMATCH($E$135,FixedAssets[Asset ID])),IF(AND((_xlfn.XMATCH(BP$8,$AH$8:$CC$8))-_xlfn.XMATCH($C164,$C$35:$C$82)+1&lt;=_xlpm.DepreciationMonths,$C164&lt;=BP$8),$E164/_xlpm.DepreciationMonths,0))</f>
        <v>0</v>
      </c>
      <c r="BQ164" s="507" cm="1">
        <f t="array" ref="BQ164">_xlfn.LET(_xlpm.DepreciationMonths,INDEX(FixedAssets[Depreciation
/ Amortization Months],_xlfn.XMATCH($E$135,FixedAssets[Asset ID])),IF(AND((_xlfn.XMATCH(BQ$8,$AH$8:$CC$8))-_xlfn.XMATCH($C164,$C$35:$C$82)+1&lt;=_xlpm.DepreciationMonths,$C164&lt;=BQ$8),$E164/_xlpm.DepreciationMonths,0))</f>
        <v>0</v>
      </c>
      <c r="BR164" s="507" cm="1">
        <f t="array" ref="BR164">_xlfn.LET(_xlpm.DepreciationMonths,INDEX(FixedAssets[Depreciation
/ Amortization Months],_xlfn.XMATCH($E$135,FixedAssets[Asset ID])),IF(AND((_xlfn.XMATCH(BR$8,$AH$8:$CC$8))-_xlfn.XMATCH($C164,$C$35:$C$82)+1&lt;=_xlpm.DepreciationMonths,$C164&lt;=BR$8),$E164/_xlpm.DepreciationMonths,0))</f>
        <v>0</v>
      </c>
      <c r="BS164" s="507" cm="1">
        <f t="array" ref="BS164">_xlfn.LET(_xlpm.DepreciationMonths,INDEX(FixedAssets[Depreciation
/ Amortization Months],_xlfn.XMATCH($E$135,FixedAssets[Asset ID])),IF(AND((_xlfn.XMATCH(BS$8,$AH$8:$CC$8))-_xlfn.XMATCH($C164,$C$35:$C$82)+1&lt;=_xlpm.DepreciationMonths,$C164&lt;=BS$8),$E164/_xlpm.DepreciationMonths,0))</f>
        <v>0</v>
      </c>
      <c r="BT164" s="507" cm="1">
        <f t="array" ref="BT164">_xlfn.LET(_xlpm.DepreciationMonths,INDEX(FixedAssets[Depreciation
/ Amortization Months],_xlfn.XMATCH($E$135,FixedAssets[Asset ID])),IF(AND((_xlfn.XMATCH(BT$8,$AH$8:$CC$8))-_xlfn.XMATCH($C164,$C$35:$C$82)+1&lt;=_xlpm.DepreciationMonths,$C164&lt;=BT$8),$E164/_xlpm.DepreciationMonths,0))</f>
        <v>0</v>
      </c>
      <c r="BU164" s="507" cm="1">
        <f t="array" ref="BU164">_xlfn.LET(_xlpm.DepreciationMonths,INDEX(FixedAssets[Depreciation
/ Amortization Months],_xlfn.XMATCH($E$135,FixedAssets[Asset ID])),IF(AND((_xlfn.XMATCH(BU$8,$AH$8:$CC$8))-_xlfn.XMATCH($C164,$C$35:$C$82)+1&lt;=_xlpm.DepreciationMonths,$C164&lt;=BU$8),$E164/_xlpm.DepreciationMonths,0))</f>
        <v>0</v>
      </c>
      <c r="BV164" s="507" cm="1">
        <f t="array" ref="BV164">_xlfn.LET(_xlpm.DepreciationMonths,INDEX(FixedAssets[Depreciation
/ Amortization Months],_xlfn.XMATCH($E$135,FixedAssets[Asset ID])),IF(AND((_xlfn.XMATCH(BV$8,$AH$8:$CC$8))-_xlfn.XMATCH($C164,$C$35:$C$82)+1&lt;=_xlpm.DepreciationMonths,$C164&lt;=BV$8),$E164/_xlpm.DepreciationMonths,0))</f>
        <v>0</v>
      </c>
      <c r="BW164" s="507" cm="1">
        <f t="array" ref="BW164">_xlfn.LET(_xlpm.DepreciationMonths,INDEX(FixedAssets[Depreciation
/ Amortization Months],_xlfn.XMATCH($E$135,FixedAssets[Asset ID])),IF(AND((_xlfn.XMATCH(BW$8,$AH$8:$CC$8))-_xlfn.XMATCH($C164,$C$35:$C$82)+1&lt;=_xlpm.DepreciationMonths,$C164&lt;=BW$8),$E164/_xlpm.DepreciationMonths,0))</f>
        <v>0</v>
      </c>
      <c r="BX164" s="507" cm="1">
        <f t="array" ref="BX164">_xlfn.LET(_xlpm.DepreciationMonths,INDEX(FixedAssets[Depreciation
/ Amortization Months],_xlfn.XMATCH($E$135,FixedAssets[Asset ID])),IF(AND((_xlfn.XMATCH(BX$8,$AH$8:$CC$8))-_xlfn.XMATCH($C164,$C$35:$C$82)+1&lt;=_xlpm.DepreciationMonths,$C164&lt;=BX$8),$E164/_xlpm.DepreciationMonths,0))</f>
        <v>0</v>
      </c>
      <c r="BY164" s="507" cm="1">
        <f t="array" ref="BY164">_xlfn.LET(_xlpm.DepreciationMonths,INDEX(FixedAssets[Depreciation
/ Amortization Months],_xlfn.XMATCH($E$135,FixedAssets[Asset ID])),IF(AND((_xlfn.XMATCH(BY$8,$AH$8:$CC$8))-_xlfn.XMATCH($C164,$C$35:$C$82)+1&lt;=_xlpm.DepreciationMonths,$C164&lt;=BY$8),$E164/_xlpm.DepreciationMonths,0))</f>
        <v>0</v>
      </c>
      <c r="BZ164" s="507" cm="1">
        <f t="array" ref="BZ164">_xlfn.LET(_xlpm.DepreciationMonths,INDEX(FixedAssets[Depreciation
/ Amortization Months],_xlfn.XMATCH($E$135,FixedAssets[Asset ID])),IF(AND((_xlfn.XMATCH(BZ$8,$AH$8:$CC$8))-_xlfn.XMATCH($C164,$C$35:$C$82)+1&lt;=_xlpm.DepreciationMonths,$C164&lt;=BZ$8),$E164/_xlpm.DepreciationMonths,0))</f>
        <v>0</v>
      </c>
      <c r="CA164" s="507" cm="1">
        <f t="array" ref="CA164">_xlfn.LET(_xlpm.DepreciationMonths,INDEX(FixedAssets[Depreciation
/ Amortization Months],_xlfn.XMATCH($E$135,FixedAssets[Asset ID])),IF(AND((_xlfn.XMATCH(CA$8,$AH$8:$CC$8))-_xlfn.XMATCH($C164,$C$35:$C$82)+1&lt;=_xlpm.DepreciationMonths,$C164&lt;=CA$8),$E164/_xlpm.DepreciationMonths,0))</f>
        <v>0</v>
      </c>
      <c r="CB164" s="507" cm="1">
        <f t="array" ref="CB164">_xlfn.LET(_xlpm.DepreciationMonths,INDEX(FixedAssets[Depreciation
/ Amortization Months],_xlfn.XMATCH($E$135,FixedAssets[Asset ID])),IF(AND((_xlfn.XMATCH(CB$8,$AH$8:$CC$8))-_xlfn.XMATCH($C164,$C$35:$C$82)+1&lt;=_xlpm.DepreciationMonths,$C164&lt;=CB$8),$E164/_xlpm.DepreciationMonths,0))</f>
        <v>0</v>
      </c>
      <c r="CC164" s="507" cm="1">
        <f t="array" ref="CC164">_xlfn.LET(_xlpm.DepreciationMonths,INDEX(FixedAssets[Depreciation
/ Amortization Months],_xlfn.XMATCH($E$135,FixedAssets[Asset ID])),IF(AND((_xlfn.XMATCH(CC$8,$AH$8:$CC$8))-_xlfn.XMATCH($C164,$C$35:$C$82)+1&lt;=_xlpm.DepreciationMonths,$C164&lt;=CC$8),$E164/_xlpm.DepreciationMonths,0))</f>
        <v>0</v>
      </c>
    </row>
    <row r="165" spans="3:81" hidden="1" outlineLevel="2">
      <c r="C165" s="664">
        <f t="shared" si="243"/>
        <v>45808</v>
      </c>
      <c r="D165" s="508"/>
      <c r="E165" s="508" cm="1">
        <f t="array" ref="E165">SUMPRODUCT(($AH$26:$CC$31)*($AH$5:$CC$5=$C165)*($E$26:$E$31=E$135))-SUMPRODUCT(($AH$26:$CC$31)*($AH$5:$CC$5=EOMONTH($C165,-1))*($E$26:$E$31=E$135))</f>
        <v>0</v>
      </c>
      <c r="F165" s="508"/>
      <c r="G165" s="508"/>
      <c r="H165" s="508"/>
      <c r="I165" s="508"/>
      <c r="J165" s="504">
        <f t="shared" si="240"/>
        <v>0</v>
      </c>
      <c r="K165" s="504">
        <f t="shared" si="245"/>
        <v>0</v>
      </c>
      <c r="L165" s="504">
        <f t="shared" si="245"/>
        <v>0</v>
      </c>
      <c r="M165" s="504">
        <f t="shared" si="245"/>
        <v>0</v>
      </c>
      <c r="N165" s="504"/>
      <c r="O165" s="504"/>
      <c r="P165" s="504">
        <f t="shared" si="246"/>
        <v>0</v>
      </c>
      <c r="Q165" s="504">
        <f t="shared" si="246"/>
        <v>0</v>
      </c>
      <c r="R165" s="504">
        <f t="shared" si="246"/>
        <v>0</v>
      </c>
      <c r="S165" s="504">
        <f t="shared" si="246"/>
        <v>0</v>
      </c>
      <c r="T165" s="504">
        <f t="shared" si="246"/>
        <v>0</v>
      </c>
      <c r="U165" s="504">
        <f t="shared" si="246"/>
        <v>0</v>
      </c>
      <c r="V165" s="504">
        <f t="shared" si="246"/>
        <v>0</v>
      </c>
      <c r="W165" s="504">
        <f t="shared" si="246"/>
        <v>0</v>
      </c>
      <c r="X165" s="504">
        <f t="shared" si="246"/>
        <v>0</v>
      </c>
      <c r="Y165" s="504">
        <f t="shared" si="246"/>
        <v>0</v>
      </c>
      <c r="Z165" s="504">
        <f t="shared" si="246"/>
        <v>0</v>
      </c>
      <c r="AA165" s="504">
        <f t="shared" si="246"/>
        <v>0</v>
      </c>
      <c r="AB165" s="504">
        <f t="shared" si="246"/>
        <v>0</v>
      </c>
      <c r="AC165" s="504">
        <f t="shared" si="246"/>
        <v>0</v>
      </c>
      <c r="AD165" s="504">
        <f t="shared" si="246"/>
        <v>0</v>
      </c>
      <c r="AE165" s="504">
        <f t="shared" si="246"/>
        <v>0</v>
      </c>
      <c r="AF165" s="508"/>
      <c r="AG165" s="508"/>
      <c r="AH165" s="507" cm="1">
        <f t="array" ref="AH165">_xlfn.LET(_xlpm.DepreciationMonths,INDEX(FixedAssets[Depreciation
/ Amortization Months],_xlfn.XMATCH($E$135,FixedAssets[Asset ID])),IF(AND((_xlfn.XMATCH(AH$8,$AH$8:$CC$8))-_xlfn.XMATCH($C165,$C$35:$C$82)+1&lt;=_xlpm.DepreciationMonths,$C165&lt;=AH$8),$E165/_xlpm.DepreciationMonths,0))</f>
        <v>0</v>
      </c>
      <c r="AI165" s="507" cm="1">
        <f t="array" ref="AI165">_xlfn.LET(_xlpm.DepreciationMonths,INDEX(FixedAssets[Depreciation
/ Amortization Months],_xlfn.XMATCH($E$135,FixedAssets[Asset ID])),IF(AND((_xlfn.XMATCH(AI$8,$AH$8:$CC$8))-_xlfn.XMATCH($C165,$C$35:$C$82)+1&lt;=_xlpm.DepreciationMonths,$C165&lt;=AI$8),$E165/_xlpm.DepreciationMonths,0))</f>
        <v>0</v>
      </c>
      <c r="AJ165" s="507" cm="1">
        <f t="array" ref="AJ165">_xlfn.LET(_xlpm.DepreciationMonths,INDEX(FixedAssets[Depreciation
/ Amortization Months],_xlfn.XMATCH($E$135,FixedAssets[Asset ID])),IF(AND((_xlfn.XMATCH(AJ$8,$AH$8:$CC$8))-_xlfn.XMATCH($C165,$C$35:$C$82)+1&lt;=_xlpm.DepreciationMonths,$C165&lt;=AJ$8),$E165/_xlpm.DepreciationMonths,0))</f>
        <v>0</v>
      </c>
      <c r="AK165" s="507" cm="1">
        <f t="array" ref="AK165">_xlfn.LET(_xlpm.DepreciationMonths,INDEX(FixedAssets[Depreciation
/ Amortization Months],_xlfn.XMATCH($E$135,FixedAssets[Asset ID])),IF(AND((_xlfn.XMATCH(AK$8,$AH$8:$CC$8))-_xlfn.XMATCH($C165,$C$35:$C$82)+1&lt;=_xlpm.DepreciationMonths,$C165&lt;=AK$8),$E165/_xlpm.DepreciationMonths,0))</f>
        <v>0</v>
      </c>
      <c r="AL165" s="507" cm="1">
        <f t="array" ref="AL165">_xlfn.LET(_xlpm.DepreciationMonths,INDEX(FixedAssets[Depreciation
/ Amortization Months],_xlfn.XMATCH($E$135,FixedAssets[Asset ID])),IF(AND((_xlfn.XMATCH(AL$8,$AH$8:$CC$8))-_xlfn.XMATCH($C165,$C$35:$C$82)+1&lt;=_xlpm.DepreciationMonths,$C165&lt;=AL$8),$E165/_xlpm.DepreciationMonths,0))</f>
        <v>0</v>
      </c>
      <c r="AM165" s="507" cm="1">
        <f t="array" ref="AM165">_xlfn.LET(_xlpm.DepreciationMonths,INDEX(FixedAssets[Depreciation
/ Amortization Months],_xlfn.XMATCH($E$135,FixedAssets[Asset ID])),IF(AND((_xlfn.XMATCH(AM$8,$AH$8:$CC$8))-_xlfn.XMATCH($C165,$C$35:$C$82)+1&lt;=_xlpm.DepreciationMonths,$C165&lt;=AM$8),$E165/_xlpm.DepreciationMonths,0))</f>
        <v>0</v>
      </c>
      <c r="AN165" s="507" cm="1">
        <f t="array" ref="AN165">_xlfn.LET(_xlpm.DepreciationMonths,INDEX(FixedAssets[Depreciation
/ Amortization Months],_xlfn.XMATCH($E$135,FixedAssets[Asset ID])),IF(AND((_xlfn.XMATCH(AN$8,$AH$8:$CC$8))-_xlfn.XMATCH($C165,$C$35:$C$82)+1&lt;=_xlpm.DepreciationMonths,$C165&lt;=AN$8),$E165/_xlpm.DepreciationMonths,0))</f>
        <v>0</v>
      </c>
      <c r="AO165" s="507" cm="1">
        <f t="array" ref="AO165">_xlfn.LET(_xlpm.DepreciationMonths,INDEX(FixedAssets[Depreciation
/ Amortization Months],_xlfn.XMATCH($E$135,FixedAssets[Asset ID])),IF(AND((_xlfn.XMATCH(AO$8,$AH$8:$CC$8))-_xlfn.XMATCH($C165,$C$35:$C$82)+1&lt;=_xlpm.DepreciationMonths,$C165&lt;=AO$8),$E165/_xlpm.DepreciationMonths,0))</f>
        <v>0</v>
      </c>
      <c r="AP165" s="507" cm="1">
        <f t="array" ref="AP165">_xlfn.LET(_xlpm.DepreciationMonths,INDEX(FixedAssets[Depreciation
/ Amortization Months],_xlfn.XMATCH($E$135,FixedAssets[Asset ID])),IF(AND((_xlfn.XMATCH(AP$8,$AH$8:$CC$8))-_xlfn.XMATCH($C165,$C$35:$C$82)+1&lt;=_xlpm.DepreciationMonths,$C165&lt;=AP$8),$E165/_xlpm.DepreciationMonths,0))</f>
        <v>0</v>
      </c>
      <c r="AQ165" s="507" cm="1">
        <f t="array" ref="AQ165">_xlfn.LET(_xlpm.DepreciationMonths,INDEX(FixedAssets[Depreciation
/ Amortization Months],_xlfn.XMATCH($E$135,FixedAssets[Asset ID])),IF(AND((_xlfn.XMATCH(AQ$8,$AH$8:$CC$8))-_xlfn.XMATCH($C165,$C$35:$C$82)+1&lt;=_xlpm.DepreciationMonths,$C165&lt;=AQ$8),$E165/_xlpm.DepreciationMonths,0))</f>
        <v>0</v>
      </c>
      <c r="AR165" s="507" cm="1">
        <f t="array" ref="AR165">_xlfn.LET(_xlpm.DepreciationMonths,INDEX(FixedAssets[Depreciation
/ Amortization Months],_xlfn.XMATCH($E$135,FixedAssets[Asset ID])),IF(AND((_xlfn.XMATCH(AR$8,$AH$8:$CC$8))-_xlfn.XMATCH($C165,$C$35:$C$82)+1&lt;=_xlpm.DepreciationMonths,$C165&lt;=AR$8),$E165/_xlpm.DepreciationMonths,0))</f>
        <v>0</v>
      </c>
      <c r="AS165" s="507" cm="1">
        <f t="array" ref="AS165">_xlfn.LET(_xlpm.DepreciationMonths,INDEX(FixedAssets[Depreciation
/ Amortization Months],_xlfn.XMATCH($E$135,FixedAssets[Asset ID])),IF(AND((_xlfn.XMATCH(AS$8,$AH$8:$CC$8))-_xlfn.XMATCH($C165,$C$35:$C$82)+1&lt;=_xlpm.DepreciationMonths,$C165&lt;=AS$8),$E165/_xlpm.DepreciationMonths,0))</f>
        <v>0</v>
      </c>
      <c r="AT165" s="507" cm="1">
        <f t="array" ref="AT165">_xlfn.LET(_xlpm.DepreciationMonths,INDEX(FixedAssets[Depreciation
/ Amortization Months],_xlfn.XMATCH($E$135,FixedAssets[Asset ID])),IF(AND((_xlfn.XMATCH(AT$8,$AH$8:$CC$8))-_xlfn.XMATCH($C165,$C$35:$C$82)+1&lt;=_xlpm.DepreciationMonths,$C165&lt;=AT$8),$E165/_xlpm.DepreciationMonths,0))</f>
        <v>0</v>
      </c>
      <c r="AU165" s="507" cm="1">
        <f t="array" ref="AU165">_xlfn.LET(_xlpm.DepreciationMonths,INDEX(FixedAssets[Depreciation
/ Amortization Months],_xlfn.XMATCH($E$135,FixedAssets[Asset ID])),IF(AND((_xlfn.XMATCH(AU$8,$AH$8:$CC$8))-_xlfn.XMATCH($C165,$C$35:$C$82)+1&lt;=_xlpm.DepreciationMonths,$C165&lt;=AU$8),$E165/_xlpm.DepreciationMonths,0))</f>
        <v>0</v>
      </c>
      <c r="AV165" s="507" cm="1">
        <f t="array" ref="AV165">_xlfn.LET(_xlpm.DepreciationMonths,INDEX(FixedAssets[Depreciation
/ Amortization Months],_xlfn.XMATCH($E$135,FixedAssets[Asset ID])),IF(AND((_xlfn.XMATCH(AV$8,$AH$8:$CC$8))-_xlfn.XMATCH($C165,$C$35:$C$82)+1&lt;=_xlpm.DepreciationMonths,$C165&lt;=AV$8),$E165/_xlpm.DepreciationMonths,0))</f>
        <v>0</v>
      </c>
      <c r="AW165" s="507" cm="1">
        <f t="array" ref="AW165">_xlfn.LET(_xlpm.DepreciationMonths,INDEX(FixedAssets[Depreciation
/ Amortization Months],_xlfn.XMATCH($E$135,FixedAssets[Asset ID])),IF(AND((_xlfn.XMATCH(AW$8,$AH$8:$CC$8))-_xlfn.XMATCH($C165,$C$35:$C$82)+1&lt;=_xlpm.DepreciationMonths,$C165&lt;=AW$8),$E165/_xlpm.DepreciationMonths,0))</f>
        <v>0</v>
      </c>
      <c r="AX165" s="507" cm="1">
        <f t="array" ref="AX165">_xlfn.LET(_xlpm.DepreciationMonths,INDEX(FixedAssets[Depreciation
/ Amortization Months],_xlfn.XMATCH($E$135,FixedAssets[Asset ID])),IF(AND((_xlfn.XMATCH(AX$8,$AH$8:$CC$8))-_xlfn.XMATCH($C165,$C$35:$C$82)+1&lt;=_xlpm.DepreciationMonths,$C165&lt;=AX$8),$E165/_xlpm.DepreciationMonths,0))</f>
        <v>0</v>
      </c>
      <c r="AY165" s="507" cm="1">
        <f t="array" ref="AY165">_xlfn.LET(_xlpm.DepreciationMonths,INDEX(FixedAssets[Depreciation
/ Amortization Months],_xlfn.XMATCH($E$135,FixedAssets[Asset ID])),IF(AND((_xlfn.XMATCH(AY$8,$AH$8:$CC$8))-_xlfn.XMATCH($C165,$C$35:$C$82)+1&lt;=_xlpm.DepreciationMonths,$C165&lt;=AY$8),$E165/_xlpm.DepreciationMonths,0))</f>
        <v>0</v>
      </c>
      <c r="AZ165" s="507" cm="1">
        <f t="array" ref="AZ165">_xlfn.LET(_xlpm.DepreciationMonths,INDEX(FixedAssets[Depreciation
/ Amortization Months],_xlfn.XMATCH($E$135,FixedAssets[Asset ID])),IF(AND((_xlfn.XMATCH(AZ$8,$AH$8:$CC$8))-_xlfn.XMATCH($C165,$C$35:$C$82)+1&lt;=_xlpm.DepreciationMonths,$C165&lt;=AZ$8),$E165/_xlpm.DepreciationMonths,0))</f>
        <v>0</v>
      </c>
      <c r="BA165" s="507" cm="1">
        <f t="array" ref="BA165">_xlfn.LET(_xlpm.DepreciationMonths,INDEX(FixedAssets[Depreciation
/ Amortization Months],_xlfn.XMATCH($E$135,FixedAssets[Asset ID])),IF(AND((_xlfn.XMATCH(BA$8,$AH$8:$CC$8))-_xlfn.XMATCH($C165,$C$35:$C$82)+1&lt;=_xlpm.DepreciationMonths,$C165&lt;=BA$8),$E165/_xlpm.DepreciationMonths,0))</f>
        <v>0</v>
      </c>
      <c r="BB165" s="507" cm="1">
        <f t="array" ref="BB165">_xlfn.LET(_xlpm.DepreciationMonths,INDEX(FixedAssets[Depreciation
/ Amortization Months],_xlfn.XMATCH($E$135,FixedAssets[Asset ID])),IF(AND((_xlfn.XMATCH(BB$8,$AH$8:$CC$8))-_xlfn.XMATCH($C165,$C$35:$C$82)+1&lt;=_xlpm.DepreciationMonths,$C165&lt;=BB$8),$E165/_xlpm.DepreciationMonths,0))</f>
        <v>0</v>
      </c>
      <c r="BC165" s="507" cm="1">
        <f t="array" ref="BC165">_xlfn.LET(_xlpm.DepreciationMonths,INDEX(FixedAssets[Depreciation
/ Amortization Months],_xlfn.XMATCH($E$135,FixedAssets[Asset ID])),IF(AND((_xlfn.XMATCH(BC$8,$AH$8:$CC$8))-_xlfn.XMATCH($C165,$C$35:$C$82)+1&lt;=_xlpm.DepreciationMonths,$C165&lt;=BC$8),$E165/_xlpm.DepreciationMonths,0))</f>
        <v>0</v>
      </c>
      <c r="BD165" s="507" cm="1">
        <f t="array" ref="BD165">_xlfn.LET(_xlpm.DepreciationMonths,INDEX(FixedAssets[Depreciation
/ Amortization Months],_xlfn.XMATCH($E$135,FixedAssets[Asset ID])),IF(AND((_xlfn.XMATCH(BD$8,$AH$8:$CC$8))-_xlfn.XMATCH($C165,$C$35:$C$82)+1&lt;=_xlpm.DepreciationMonths,$C165&lt;=BD$8),$E165/_xlpm.DepreciationMonths,0))</f>
        <v>0</v>
      </c>
      <c r="BE165" s="507" cm="1">
        <f t="array" ref="BE165">_xlfn.LET(_xlpm.DepreciationMonths,INDEX(FixedAssets[Depreciation
/ Amortization Months],_xlfn.XMATCH($E$135,FixedAssets[Asset ID])),IF(AND((_xlfn.XMATCH(BE$8,$AH$8:$CC$8))-_xlfn.XMATCH($C165,$C$35:$C$82)+1&lt;=_xlpm.DepreciationMonths,$C165&lt;=BE$8),$E165/_xlpm.DepreciationMonths,0))</f>
        <v>0</v>
      </c>
      <c r="BF165" s="507" cm="1">
        <f t="array" ref="BF165">_xlfn.LET(_xlpm.DepreciationMonths,INDEX(FixedAssets[Depreciation
/ Amortization Months],_xlfn.XMATCH($E$135,FixedAssets[Asset ID])),IF(AND((_xlfn.XMATCH(BF$8,$AH$8:$CC$8))-_xlfn.XMATCH($C165,$C$35:$C$82)+1&lt;=_xlpm.DepreciationMonths,$C165&lt;=BF$8),$E165/_xlpm.DepreciationMonths,0))</f>
        <v>0</v>
      </c>
      <c r="BG165" s="507" cm="1">
        <f t="array" ref="BG165">_xlfn.LET(_xlpm.DepreciationMonths,INDEX(FixedAssets[Depreciation
/ Amortization Months],_xlfn.XMATCH($E$135,FixedAssets[Asset ID])),IF(AND((_xlfn.XMATCH(BG$8,$AH$8:$CC$8))-_xlfn.XMATCH($C165,$C$35:$C$82)+1&lt;=_xlpm.DepreciationMonths,$C165&lt;=BG$8),$E165/_xlpm.DepreciationMonths,0))</f>
        <v>0</v>
      </c>
      <c r="BH165" s="507" cm="1">
        <f t="array" ref="BH165">_xlfn.LET(_xlpm.DepreciationMonths,INDEX(FixedAssets[Depreciation
/ Amortization Months],_xlfn.XMATCH($E$135,FixedAssets[Asset ID])),IF(AND((_xlfn.XMATCH(BH$8,$AH$8:$CC$8))-_xlfn.XMATCH($C165,$C$35:$C$82)+1&lt;=_xlpm.DepreciationMonths,$C165&lt;=BH$8),$E165/_xlpm.DepreciationMonths,0))</f>
        <v>0</v>
      </c>
      <c r="BI165" s="507" cm="1">
        <f t="array" ref="BI165">_xlfn.LET(_xlpm.DepreciationMonths,INDEX(FixedAssets[Depreciation
/ Amortization Months],_xlfn.XMATCH($E$135,FixedAssets[Asset ID])),IF(AND((_xlfn.XMATCH(BI$8,$AH$8:$CC$8))-_xlfn.XMATCH($C165,$C$35:$C$82)+1&lt;=_xlpm.DepreciationMonths,$C165&lt;=BI$8),$E165/_xlpm.DepreciationMonths,0))</f>
        <v>0</v>
      </c>
      <c r="BJ165" s="507" cm="1">
        <f t="array" ref="BJ165">_xlfn.LET(_xlpm.DepreciationMonths,INDEX(FixedAssets[Depreciation
/ Amortization Months],_xlfn.XMATCH($E$135,FixedAssets[Asset ID])),IF(AND((_xlfn.XMATCH(BJ$8,$AH$8:$CC$8))-_xlfn.XMATCH($C165,$C$35:$C$82)+1&lt;=_xlpm.DepreciationMonths,$C165&lt;=BJ$8),$E165/_xlpm.DepreciationMonths,0))</f>
        <v>0</v>
      </c>
      <c r="BK165" s="507" cm="1">
        <f t="array" ref="BK165">_xlfn.LET(_xlpm.DepreciationMonths,INDEX(FixedAssets[Depreciation
/ Amortization Months],_xlfn.XMATCH($E$135,FixedAssets[Asset ID])),IF(AND((_xlfn.XMATCH(BK$8,$AH$8:$CC$8))-_xlfn.XMATCH($C165,$C$35:$C$82)+1&lt;=_xlpm.DepreciationMonths,$C165&lt;=BK$8),$E165/_xlpm.DepreciationMonths,0))</f>
        <v>0</v>
      </c>
      <c r="BL165" s="507" cm="1">
        <f t="array" ref="BL165">_xlfn.LET(_xlpm.DepreciationMonths,INDEX(FixedAssets[Depreciation
/ Amortization Months],_xlfn.XMATCH($E$135,FixedAssets[Asset ID])),IF(AND((_xlfn.XMATCH(BL$8,$AH$8:$CC$8))-_xlfn.XMATCH($C165,$C$35:$C$82)+1&lt;=_xlpm.DepreciationMonths,$C165&lt;=BL$8),$E165/_xlpm.DepreciationMonths,0))</f>
        <v>0</v>
      </c>
      <c r="BM165" s="507" cm="1">
        <f t="array" ref="BM165">_xlfn.LET(_xlpm.DepreciationMonths,INDEX(FixedAssets[Depreciation
/ Amortization Months],_xlfn.XMATCH($E$135,FixedAssets[Asset ID])),IF(AND((_xlfn.XMATCH(BM$8,$AH$8:$CC$8))-_xlfn.XMATCH($C165,$C$35:$C$82)+1&lt;=_xlpm.DepreciationMonths,$C165&lt;=BM$8),$E165/_xlpm.DepreciationMonths,0))</f>
        <v>0</v>
      </c>
      <c r="BN165" s="507" cm="1">
        <f t="array" ref="BN165">_xlfn.LET(_xlpm.DepreciationMonths,INDEX(FixedAssets[Depreciation
/ Amortization Months],_xlfn.XMATCH($E$135,FixedAssets[Asset ID])),IF(AND((_xlfn.XMATCH(BN$8,$AH$8:$CC$8))-_xlfn.XMATCH($C165,$C$35:$C$82)+1&lt;=_xlpm.DepreciationMonths,$C165&lt;=BN$8),$E165/_xlpm.DepreciationMonths,0))</f>
        <v>0</v>
      </c>
      <c r="BO165" s="507" cm="1">
        <f t="array" ref="BO165">_xlfn.LET(_xlpm.DepreciationMonths,INDEX(FixedAssets[Depreciation
/ Amortization Months],_xlfn.XMATCH($E$135,FixedAssets[Asset ID])),IF(AND((_xlfn.XMATCH(BO$8,$AH$8:$CC$8))-_xlfn.XMATCH($C165,$C$35:$C$82)+1&lt;=_xlpm.DepreciationMonths,$C165&lt;=BO$8),$E165/_xlpm.DepreciationMonths,0))</f>
        <v>0</v>
      </c>
      <c r="BP165" s="507" cm="1">
        <f t="array" ref="BP165">_xlfn.LET(_xlpm.DepreciationMonths,INDEX(FixedAssets[Depreciation
/ Amortization Months],_xlfn.XMATCH($E$135,FixedAssets[Asset ID])),IF(AND((_xlfn.XMATCH(BP$8,$AH$8:$CC$8))-_xlfn.XMATCH($C165,$C$35:$C$82)+1&lt;=_xlpm.DepreciationMonths,$C165&lt;=BP$8),$E165/_xlpm.DepreciationMonths,0))</f>
        <v>0</v>
      </c>
      <c r="BQ165" s="507" cm="1">
        <f t="array" ref="BQ165">_xlfn.LET(_xlpm.DepreciationMonths,INDEX(FixedAssets[Depreciation
/ Amortization Months],_xlfn.XMATCH($E$135,FixedAssets[Asset ID])),IF(AND((_xlfn.XMATCH(BQ$8,$AH$8:$CC$8))-_xlfn.XMATCH($C165,$C$35:$C$82)+1&lt;=_xlpm.DepreciationMonths,$C165&lt;=BQ$8),$E165/_xlpm.DepreciationMonths,0))</f>
        <v>0</v>
      </c>
      <c r="BR165" s="507" cm="1">
        <f t="array" ref="BR165">_xlfn.LET(_xlpm.DepreciationMonths,INDEX(FixedAssets[Depreciation
/ Amortization Months],_xlfn.XMATCH($E$135,FixedAssets[Asset ID])),IF(AND((_xlfn.XMATCH(BR$8,$AH$8:$CC$8))-_xlfn.XMATCH($C165,$C$35:$C$82)+1&lt;=_xlpm.DepreciationMonths,$C165&lt;=BR$8),$E165/_xlpm.DepreciationMonths,0))</f>
        <v>0</v>
      </c>
      <c r="BS165" s="507" cm="1">
        <f t="array" ref="BS165">_xlfn.LET(_xlpm.DepreciationMonths,INDEX(FixedAssets[Depreciation
/ Amortization Months],_xlfn.XMATCH($E$135,FixedAssets[Asset ID])),IF(AND((_xlfn.XMATCH(BS$8,$AH$8:$CC$8))-_xlfn.XMATCH($C165,$C$35:$C$82)+1&lt;=_xlpm.DepreciationMonths,$C165&lt;=BS$8),$E165/_xlpm.DepreciationMonths,0))</f>
        <v>0</v>
      </c>
      <c r="BT165" s="507" cm="1">
        <f t="array" ref="BT165">_xlfn.LET(_xlpm.DepreciationMonths,INDEX(FixedAssets[Depreciation
/ Amortization Months],_xlfn.XMATCH($E$135,FixedAssets[Asset ID])),IF(AND((_xlfn.XMATCH(BT$8,$AH$8:$CC$8))-_xlfn.XMATCH($C165,$C$35:$C$82)+1&lt;=_xlpm.DepreciationMonths,$C165&lt;=BT$8),$E165/_xlpm.DepreciationMonths,0))</f>
        <v>0</v>
      </c>
      <c r="BU165" s="507" cm="1">
        <f t="array" ref="BU165">_xlfn.LET(_xlpm.DepreciationMonths,INDEX(FixedAssets[Depreciation
/ Amortization Months],_xlfn.XMATCH($E$135,FixedAssets[Asset ID])),IF(AND((_xlfn.XMATCH(BU$8,$AH$8:$CC$8))-_xlfn.XMATCH($C165,$C$35:$C$82)+1&lt;=_xlpm.DepreciationMonths,$C165&lt;=BU$8),$E165/_xlpm.DepreciationMonths,0))</f>
        <v>0</v>
      </c>
      <c r="BV165" s="507" cm="1">
        <f t="array" ref="BV165">_xlfn.LET(_xlpm.DepreciationMonths,INDEX(FixedAssets[Depreciation
/ Amortization Months],_xlfn.XMATCH($E$135,FixedAssets[Asset ID])),IF(AND((_xlfn.XMATCH(BV$8,$AH$8:$CC$8))-_xlfn.XMATCH($C165,$C$35:$C$82)+1&lt;=_xlpm.DepreciationMonths,$C165&lt;=BV$8),$E165/_xlpm.DepreciationMonths,0))</f>
        <v>0</v>
      </c>
      <c r="BW165" s="507" cm="1">
        <f t="array" ref="BW165">_xlfn.LET(_xlpm.DepreciationMonths,INDEX(FixedAssets[Depreciation
/ Amortization Months],_xlfn.XMATCH($E$135,FixedAssets[Asset ID])),IF(AND((_xlfn.XMATCH(BW$8,$AH$8:$CC$8))-_xlfn.XMATCH($C165,$C$35:$C$82)+1&lt;=_xlpm.DepreciationMonths,$C165&lt;=BW$8),$E165/_xlpm.DepreciationMonths,0))</f>
        <v>0</v>
      </c>
      <c r="BX165" s="507" cm="1">
        <f t="array" ref="BX165">_xlfn.LET(_xlpm.DepreciationMonths,INDEX(FixedAssets[Depreciation
/ Amortization Months],_xlfn.XMATCH($E$135,FixedAssets[Asset ID])),IF(AND((_xlfn.XMATCH(BX$8,$AH$8:$CC$8))-_xlfn.XMATCH($C165,$C$35:$C$82)+1&lt;=_xlpm.DepreciationMonths,$C165&lt;=BX$8),$E165/_xlpm.DepreciationMonths,0))</f>
        <v>0</v>
      </c>
      <c r="BY165" s="507" cm="1">
        <f t="array" ref="BY165">_xlfn.LET(_xlpm.DepreciationMonths,INDEX(FixedAssets[Depreciation
/ Amortization Months],_xlfn.XMATCH($E$135,FixedAssets[Asset ID])),IF(AND((_xlfn.XMATCH(BY$8,$AH$8:$CC$8))-_xlfn.XMATCH($C165,$C$35:$C$82)+1&lt;=_xlpm.DepreciationMonths,$C165&lt;=BY$8),$E165/_xlpm.DepreciationMonths,0))</f>
        <v>0</v>
      </c>
      <c r="BZ165" s="507" cm="1">
        <f t="array" ref="BZ165">_xlfn.LET(_xlpm.DepreciationMonths,INDEX(FixedAssets[Depreciation
/ Amortization Months],_xlfn.XMATCH($E$135,FixedAssets[Asset ID])),IF(AND((_xlfn.XMATCH(BZ$8,$AH$8:$CC$8))-_xlfn.XMATCH($C165,$C$35:$C$82)+1&lt;=_xlpm.DepreciationMonths,$C165&lt;=BZ$8),$E165/_xlpm.DepreciationMonths,0))</f>
        <v>0</v>
      </c>
      <c r="CA165" s="507" cm="1">
        <f t="array" ref="CA165">_xlfn.LET(_xlpm.DepreciationMonths,INDEX(FixedAssets[Depreciation
/ Amortization Months],_xlfn.XMATCH($E$135,FixedAssets[Asset ID])),IF(AND((_xlfn.XMATCH(CA$8,$AH$8:$CC$8))-_xlfn.XMATCH($C165,$C$35:$C$82)+1&lt;=_xlpm.DepreciationMonths,$C165&lt;=CA$8),$E165/_xlpm.DepreciationMonths,0))</f>
        <v>0</v>
      </c>
      <c r="CB165" s="507" cm="1">
        <f t="array" ref="CB165">_xlfn.LET(_xlpm.DepreciationMonths,INDEX(FixedAssets[Depreciation
/ Amortization Months],_xlfn.XMATCH($E$135,FixedAssets[Asset ID])),IF(AND((_xlfn.XMATCH(CB$8,$AH$8:$CC$8))-_xlfn.XMATCH($C165,$C$35:$C$82)+1&lt;=_xlpm.DepreciationMonths,$C165&lt;=CB$8),$E165/_xlpm.DepreciationMonths,0))</f>
        <v>0</v>
      </c>
      <c r="CC165" s="507" cm="1">
        <f t="array" ref="CC165">_xlfn.LET(_xlpm.DepreciationMonths,INDEX(FixedAssets[Depreciation
/ Amortization Months],_xlfn.XMATCH($E$135,FixedAssets[Asset ID])),IF(AND((_xlfn.XMATCH(CC$8,$AH$8:$CC$8))-_xlfn.XMATCH($C165,$C$35:$C$82)+1&lt;=_xlpm.DepreciationMonths,$C165&lt;=CC$8),$E165/_xlpm.DepreciationMonths,0))</f>
        <v>0</v>
      </c>
    </row>
    <row r="166" spans="3:81" hidden="1" outlineLevel="2">
      <c r="C166" s="664">
        <f t="shared" si="243"/>
        <v>45838</v>
      </c>
      <c r="D166" s="508"/>
      <c r="E166" s="508" cm="1">
        <f t="array" ref="E166">SUMPRODUCT(($AH$26:$CC$31)*($AH$5:$CC$5=$C166)*($E$26:$E$31=E$135))-SUMPRODUCT(($AH$26:$CC$31)*($AH$5:$CC$5=EOMONTH($C166,-1))*($E$26:$E$31=E$135))</f>
        <v>0</v>
      </c>
      <c r="F166" s="508"/>
      <c r="G166" s="508"/>
      <c r="H166" s="508"/>
      <c r="I166" s="508"/>
      <c r="J166" s="504">
        <f t="shared" si="240"/>
        <v>0</v>
      </c>
      <c r="K166" s="504">
        <f t="shared" si="245"/>
        <v>0</v>
      </c>
      <c r="L166" s="504">
        <f t="shared" si="245"/>
        <v>0</v>
      </c>
      <c r="M166" s="504">
        <f t="shared" si="245"/>
        <v>0</v>
      </c>
      <c r="N166" s="504"/>
      <c r="O166" s="504"/>
      <c r="P166" s="504">
        <f t="shared" si="246"/>
        <v>0</v>
      </c>
      <c r="Q166" s="504">
        <f t="shared" si="246"/>
        <v>0</v>
      </c>
      <c r="R166" s="504">
        <f t="shared" si="246"/>
        <v>0</v>
      </c>
      <c r="S166" s="504">
        <f t="shared" si="246"/>
        <v>0</v>
      </c>
      <c r="T166" s="504">
        <f t="shared" si="246"/>
        <v>0</v>
      </c>
      <c r="U166" s="504">
        <f t="shared" si="246"/>
        <v>0</v>
      </c>
      <c r="V166" s="504">
        <f t="shared" si="246"/>
        <v>0</v>
      </c>
      <c r="W166" s="504">
        <f t="shared" si="246"/>
        <v>0</v>
      </c>
      <c r="X166" s="504">
        <f t="shared" si="246"/>
        <v>0</v>
      </c>
      <c r="Y166" s="504">
        <f t="shared" si="246"/>
        <v>0</v>
      </c>
      <c r="Z166" s="504">
        <f t="shared" si="246"/>
        <v>0</v>
      </c>
      <c r="AA166" s="504">
        <f t="shared" si="246"/>
        <v>0</v>
      </c>
      <c r="AB166" s="504">
        <f t="shared" si="246"/>
        <v>0</v>
      </c>
      <c r="AC166" s="504">
        <f t="shared" si="246"/>
        <v>0</v>
      </c>
      <c r="AD166" s="504">
        <f t="shared" si="246"/>
        <v>0</v>
      </c>
      <c r="AE166" s="504">
        <f t="shared" si="246"/>
        <v>0</v>
      </c>
      <c r="AF166" s="508"/>
      <c r="AG166" s="508"/>
      <c r="AH166" s="507" cm="1">
        <f t="array" ref="AH166">_xlfn.LET(_xlpm.DepreciationMonths,INDEX(FixedAssets[Depreciation
/ Amortization Months],_xlfn.XMATCH($E$135,FixedAssets[Asset ID])),IF(AND((_xlfn.XMATCH(AH$8,$AH$8:$CC$8))-_xlfn.XMATCH($C166,$C$35:$C$82)+1&lt;=_xlpm.DepreciationMonths,$C166&lt;=AH$8),$E166/_xlpm.DepreciationMonths,0))</f>
        <v>0</v>
      </c>
      <c r="AI166" s="507" cm="1">
        <f t="array" ref="AI166">_xlfn.LET(_xlpm.DepreciationMonths,INDEX(FixedAssets[Depreciation
/ Amortization Months],_xlfn.XMATCH($E$135,FixedAssets[Asset ID])),IF(AND((_xlfn.XMATCH(AI$8,$AH$8:$CC$8))-_xlfn.XMATCH($C166,$C$35:$C$82)+1&lt;=_xlpm.DepreciationMonths,$C166&lt;=AI$8),$E166/_xlpm.DepreciationMonths,0))</f>
        <v>0</v>
      </c>
      <c r="AJ166" s="507" cm="1">
        <f t="array" ref="AJ166">_xlfn.LET(_xlpm.DepreciationMonths,INDEX(FixedAssets[Depreciation
/ Amortization Months],_xlfn.XMATCH($E$135,FixedAssets[Asset ID])),IF(AND((_xlfn.XMATCH(AJ$8,$AH$8:$CC$8))-_xlfn.XMATCH($C166,$C$35:$C$82)+1&lt;=_xlpm.DepreciationMonths,$C166&lt;=AJ$8),$E166/_xlpm.DepreciationMonths,0))</f>
        <v>0</v>
      </c>
      <c r="AK166" s="507" cm="1">
        <f t="array" ref="AK166">_xlfn.LET(_xlpm.DepreciationMonths,INDEX(FixedAssets[Depreciation
/ Amortization Months],_xlfn.XMATCH($E$135,FixedAssets[Asset ID])),IF(AND((_xlfn.XMATCH(AK$8,$AH$8:$CC$8))-_xlfn.XMATCH($C166,$C$35:$C$82)+1&lt;=_xlpm.DepreciationMonths,$C166&lt;=AK$8),$E166/_xlpm.DepreciationMonths,0))</f>
        <v>0</v>
      </c>
      <c r="AL166" s="507" cm="1">
        <f t="array" ref="AL166">_xlfn.LET(_xlpm.DepreciationMonths,INDEX(FixedAssets[Depreciation
/ Amortization Months],_xlfn.XMATCH($E$135,FixedAssets[Asset ID])),IF(AND((_xlfn.XMATCH(AL$8,$AH$8:$CC$8))-_xlfn.XMATCH($C166,$C$35:$C$82)+1&lt;=_xlpm.DepreciationMonths,$C166&lt;=AL$8),$E166/_xlpm.DepreciationMonths,0))</f>
        <v>0</v>
      </c>
      <c r="AM166" s="507" cm="1">
        <f t="array" ref="AM166">_xlfn.LET(_xlpm.DepreciationMonths,INDEX(FixedAssets[Depreciation
/ Amortization Months],_xlfn.XMATCH($E$135,FixedAssets[Asset ID])),IF(AND((_xlfn.XMATCH(AM$8,$AH$8:$CC$8))-_xlfn.XMATCH($C166,$C$35:$C$82)+1&lt;=_xlpm.DepreciationMonths,$C166&lt;=AM$8),$E166/_xlpm.DepreciationMonths,0))</f>
        <v>0</v>
      </c>
      <c r="AN166" s="507" cm="1">
        <f t="array" ref="AN166">_xlfn.LET(_xlpm.DepreciationMonths,INDEX(FixedAssets[Depreciation
/ Amortization Months],_xlfn.XMATCH($E$135,FixedAssets[Asset ID])),IF(AND((_xlfn.XMATCH(AN$8,$AH$8:$CC$8))-_xlfn.XMATCH($C166,$C$35:$C$82)+1&lt;=_xlpm.DepreciationMonths,$C166&lt;=AN$8),$E166/_xlpm.DepreciationMonths,0))</f>
        <v>0</v>
      </c>
      <c r="AO166" s="507" cm="1">
        <f t="array" ref="AO166">_xlfn.LET(_xlpm.DepreciationMonths,INDEX(FixedAssets[Depreciation
/ Amortization Months],_xlfn.XMATCH($E$135,FixedAssets[Asset ID])),IF(AND((_xlfn.XMATCH(AO$8,$AH$8:$CC$8))-_xlfn.XMATCH($C166,$C$35:$C$82)+1&lt;=_xlpm.DepreciationMonths,$C166&lt;=AO$8),$E166/_xlpm.DepreciationMonths,0))</f>
        <v>0</v>
      </c>
      <c r="AP166" s="507" cm="1">
        <f t="array" ref="AP166">_xlfn.LET(_xlpm.DepreciationMonths,INDEX(FixedAssets[Depreciation
/ Amortization Months],_xlfn.XMATCH($E$135,FixedAssets[Asset ID])),IF(AND((_xlfn.XMATCH(AP$8,$AH$8:$CC$8))-_xlfn.XMATCH($C166,$C$35:$C$82)+1&lt;=_xlpm.DepreciationMonths,$C166&lt;=AP$8),$E166/_xlpm.DepreciationMonths,0))</f>
        <v>0</v>
      </c>
      <c r="AQ166" s="507" cm="1">
        <f t="array" ref="AQ166">_xlfn.LET(_xlpm.DepreciationMonths,INDEX(FixedAssets[Depreciation
/ Amortization Months],_xlfn.XMATCH($E$135,FixedAssets[Asset ID])),IF(AND((_xlfn.XMATCH(AQ$8,$AH$8:$CC$8))-_xlfn.XMATCH($C166,$C$35:$C$82)+1&lt;=_xlpm.DepreciationMonths,$C166&lt;=AQ$8),$E166/_xlpm.DepreciationMonths,0))</f>
        <v>0</v>
      </c>
      <c r="AR166" s="507" cm="1">
        <f t="array" ref="AR166">_xlfn.LET(_xlpm.DepreciationMonths,INDEX(FixedAssets[Depreciation
/ Amortization Months],_xlfn.XMATCH($E$135,FixedAssets[Asset ID])),IF(AND((_xlfn.XMATCH(AR$8,$AH$8:$CC$8))-_xlfn.XMATCH($C166,$C$35:$C$82)+1&lt;=_xlpm.DepreciationMonths,$C166&lt;=AR$8),$E166/_xlpm.DepreciationMonths,0))</f>
        <v>0</v>
      </c>
      <c r="AS166" s="507" cm="1">
        <f t="array" ref="AS166">_xlfn.LET(_xlpm.DepreciationMonths,INDEX(FixedAssets[Depreciation
/ Amortization Months],_xlfn.XMATCH($E$135,FixedAssets[Asset ID])),IF(AND((_xlfn.XMATCH(AS$8,$AH$8:$CC$8))-_xlfn.XMATCH($C166,$C$35:$C$82)+1&lt;=_xlpm.DepreciationMonths,$C166&lt;=AS$8),$E166/_xlpm.DepreciationMonths,0))</f>
        <v>0</v>
      </c>
      <c r="AT166" s="507" cm="1">
        <f t="array" ref="AT166">_xlfn.LET(_xlpm.DepreciationMonths,INDEX(FixedAssets[Depreciation
/ Amortization Months],_xlfn.XMATCH($E$135,FixedAssets[Asset ID])),IF(AND((_xlfn.XMATCH(AT$8,$AH$8:$CC$8))-_xlfn.XMATCH($C166,$C$35:$C$82)+1&lt;=_xlpm.DepreciationMonths,$C166&lt;=AT$8),$E166/_xlpm.DepreciationMonths,0))</f>
        <v>0</v>
      </c>
      <c r="AU166" s="507" cm="1">
        <f t="array" ref="AU166">_xlfn.LET(_xlpm.DepreciationMonths,INDEX(FixedAssets[Depreciation
/ Amortization Months],_xlfn.XMATCH($E$135,FixedAssets[Asset ID])),IF(AND((_xlfn.XMATCH(AU$8,$AH$8:$CC$8))-_xlfn.XMATCH($C166,$C$35:$C$82)+1&lt;=_xlpm.DepreciationMonths,$C166&lt;=AU$8),$E166/_xlpm.DepreciationMonths,0))</f>
        <v>0</v>
      </c>
      <c r="AV166" s="507" cm="1">
        <f t="array" ref="AV166">_xlfn.LET(_xlpm.DepreciationMonths,INDEX(FixedAssets[Depreciation
/ Amortization Months],_xlfn.XMATCH($E$135,FixedAssets[Asset ID])),IF(AND((_xlfn.XMATCH(AV$8,$AH$8:$CC$8))-_xlfn.XMATCH($C166,$C$35:$C$82)+1&lt;=_xlpm.DepreciationMonths,$C166&lt;=AV$8),$E166/_xlpm.DepreciationMonths,0))</f>
        <v>0</v>
      </c>
      <c r="AW166" s="507" cm="1">
        <f t="array" ref="AW166">_xlfn.LET(_xlpm.DepreciationMonths,INDEX(FixedAssets[Depreciation
/ Amortization Months],_xlfn.XMATCH($E$135,FixedAssets[Asset ID])),IF(AND((_xlfn.XMATCH(AW$8,$AH$8:$CC$8))-_xlfn.XMATCH($C166,$C$35:$C$82)+1&lt;=_xlpm.DepreciationMonths,$C166&lt;=AW$8),$E166/_xlpm.DepreciationMonths,0))</f>
        <v>0</v>
      </c>
      <c r="AX166" s="507" cm="1">
        <f t="array" ref="AX166">_xlfn.LET(_xlpm.DepreciationMonths,INDEX(FixedAssets[Depreciation
/ Amortization Months],_xlfn.XMATCH($E$135,FixedAssets[Asset ID])),IF(AND((_xlfn.XMATCH(AX$8,$AH$8:$CC$8))-_xlfn.XMATCH($C166,$C$35:$C$82)+1&lt;=_xlpm.DepreciationMonths,$C166&lt;=AX$8),$E166/_xlpm.DepreciationMonths,0))</f>
        <v>0</v>
      </c>
      <c r="AY166" s="507" cm="1">
        <f t="array" ref="AY166">_xlfn.LET(_xlpm.DepreciationMonths,INDEX(FixedAssets[Depreciation
/ Amortization Months],_xlfn.XMATCH($E$135,FixedAssets[Asset ID])),IF(AND((_xlfn.XMATCH(AY$8,$AH$8:$CC$8))-_xlfn.XMATCH($C166,$C$35:$C$82)+1&lt;=_xlpm.DepreciationMonths,$C166&lt;=AY$8),$E166/_xlpm.DepreciationMonths,0))</f>
        <v>0</v>
      </c>
      <c r="AZ166" s="507" cm="1">
        <f t="array" ref="AZ166">_xlfn.LET(_xlpm.DepreciationMonths,INDEX(FixedAssets[Depreciation
/ Amortization Months],_xlfn.XMATCH($E$135,FixedAssets[Asset ID])),IF(AND((_xlfn.XMATCH(AZ$8,$AH$8:$CC$8))-_xlfn.XMATCH($C166,$C$35:$C$82)+1&lt;=_xlpm.DepreciationMonths,$C166&lt;=AZ$8),$E166/_xlpm.DepreciationMonths,0))</f>
        <v>0</v>
      </c>
      <c r="BA166" s="507" cm="1">
        <f t="array" ref="BA166">_xlfn.LET(_xlpm.DepreciationMonths,INDEX(FixedAssets[Depreciation
/ Amortization Months],_xlfn.XMATCH($E$135,FixedAssets[Asset ID])),IF(AND((_xlfn.XMATCH(BA$8,$AH$8:$CC$8))-_xlfn.XMATCH($C166,$C$35:$C$82)+1&lt;=_xlpm.DepreciationMonths,$C166&lt;=BA$8),$E166/_xlpm.DepreciationMonths,0))</f>
        <v>0</v>
      </c>
      <c r="BB166" s="507" cm="1">
        <f t="array" ref="BB166">_xlfn.LET(_xlpm.DepreciationMonths,INDEX(FixedAssets[Depreciation
/ Amortization Months],_xlfn.XMATCH($E$135,FixedAssets[Asset ID])),IF(AND((_xlfn.XMATCH(BB$8,$AH$8:$CC$8))-_xlfn.XMATCH($C166,$C$35:$C$82)+1&lt;=_xlpm.DepreciationMonths,$C166&lt;=BB$8),$E166/_xlpm.DepreciationMonths,0))</f>
        <v>0</v>
      </c>
      <c r="BC166" s="507" cm="1">
        <f t="array" ref="BC166">_xlfn.LET(_xlpm.DepreciationMonths,INDEX(FixedAssets[Depreciation
/ Amortization Months],_xlfn.XMATCH($E$135,FixedAssets[Asset ID])),IF(AND((_xlfn.XMATCH(BC$8,$AH$8:$CC$8))-_xlfn.XMATCH($C166,$C$35:$C$82)+1&lt;=_xlpm.DepreciationMonths,$C166&lt;=BC$8),$E166/_xlpm.DepreciationMonths,0))</f>
        <v>0</v>
      </c>
      <c r="BD166" s="507" cm="1">
        <f t="array" ref="BD166">_xlfn.LET(_xlpm.DepreciationMonths,INDEX(FixedAssets[Depreciation
/ Amortization Months],_xlfn.XMATCH($E$135,FixedAssets[Asset ID])),IF(AND((_xlfn.XMATCH(BD$8,$AH$8:$CC$8))-_xlfn.XMATCH($C166,$C$35:$C$82)+1&lt;=_xlpm.DepreciationMonths,$C166&lt;=BD$8),$E166/_xlpm.DepreciationMonths,0))</f>
        <v>0</v>
      </c>
      <c r="BE166" s="507" cm="1">
        <f t="array" ref="BE166">_xlfn.LET(_xlpm.DepreciationMonths,INDEX(FixedAssets[Depreciation
/ Amortization Months],_xlfn.XMATCH($E$135,FixedAssets[Asset ID])),IF(AND((_xlfn.XMATCH(BE$8,$AH$8:$CC$8))-_xlfn.XMATCH($C166,$C$35:$C$82)+1&lt;=_xlpm.DepreciationMonths,$C166&lt;=BE$8),$E166/_xlpm.DepreciationMonths,0))</f>
        <v>0</v>
      </c>
      <c r="BF166" s="507" cm="1">
        <f t="array" ref="BF166">_xlfn.LET(_xlpm.DepreciationMonths,INDEX(FixedAssets[Depreciation
/ Amortization Months],_xlfn.XMATCH($E$135,FixedAssets[Asset ID])),IF(AND((_xlfn.XMATCH(BF$8,$AH$8:$CC$8))-_xlfn.XMATCH($C166,$C$35:$C$82)+1&lt;=_xlpm.DepreciationMonths,$C166&lt;=BF$8),$E166/_xlpm.DepreciationMonths,0))</f>
        <v>0</v>
      </c>
      <c r="BG166" s="507" cm="1">
        <f t="array" ref="BG166">_xlfn.LET(_xlpm.DepreciationMonths,INDEX(FixedAssets[Depreciation
/ Amortization Months],_xlfn.XMATCH($E$135,FixedAssets[Asset ID])),IF(AND((_xlfn.XMATCH(BG$8,$AH$8:$CC$8))-_xlfn.XMATCH($C166,$C$35:$C$82)+1&lt;=_xlpm.DepreciationMonths,$C166&lt;=BG$8),$E166/_xlpm.DepreciationMonths,0))</f>
        <v>0</v>
      </c>
      <c r="BH166" s="507" cm="1">
        <f t="array" ref="BH166">_xlfn.LET(_xlpm.DepreciationMonths,INDEX(FixedAssets[Depreciation
/ Amortization Months],_xlfn.XMATCH($E$135,FixedAssets[Asset ID])),IF(AND((_xlfn.XMATCH(BH$8,$AH$8:$CC$8))-_xlfn.XMATCH($C166,$C$35:$C$82)+1&lt;=_xlpm.DepreciationMonths,$C166&lt;=BH$8),$E166/_xlpm.DepreciationMonths,0))</f>
        <v>0</v>
      </c>
      <c r="BI166" s="507" cm="1">
        <f t="array" ref="BI166">_xlfn.LET(_xlpm.DepreciationMonths,INDEX(FixedAssets[Depreciation
/ Amortization Months],_xlfn.XMATCH($E$135,FixedAssets[Asset ID])),IF(AND((_xlfn.XMATCH(BI$8,$AH$8:$CC$8))-_xlfn.XMATCH($C166,$C$35:$C$82)+1&lt;=_xlpm.DepreciationMonths,$C166&lt;=BI$8),$E166/_xlpm.DepreciationMonths,0))</f>
        <v>0</v>
      </c>
      <c r="BJ166" s="507" cm="1">
        <f t="array" ref="BJ166">_xlfn.LET(_xlpm.DepreciationMonths,INDEX(FixedAssets[Depreciation
/ Amortization Months],_xlfn.XMATCH($E$135,FixedAssets[Asset ID])),IF(AND((_xlfn.XMATCH(BJ$8,$AH$8:$CC$8))-_xlfn.XMATCH($C166,$C$35:$C$82)+1&lt;=_xlpm.DepreciationMonths,$C166&lt;=BJ$8),$E166/_xlpm.DepreciationMonths,0))</f>
        <v>0</v>
      </c>
      <c r="BK166" s="507" cm="1">
        <f t="array" ref="BK166">_xlfn.LET(_xlpm.DepreciationMonths,INDEX(FixedAssets[Depreciation
/ Amortization Months],_xlfn.XMATCH($E$135,FixedAssets[Asset ID])),IF(AND((_xlfn.XMATCH(BK$8,$AH$8:$CC$8))-_xlfn.XMATCH($C166,$C$35:$C$82)+1&lt;=_xlpm.DepreciationMonths,$C166&lt;=BK$8),$E166/_xlpm.DepreciationMonths,0))</f>
        <v>0</v>
      </c>
      <c r="BL166" s="507" cm="1">
        <f t="array" ref="BL166">_xlfn.LET(_xlpm.DepreciationMonths,INDEX(FixedAssets[Depreciation
/ Amortization Months],_xlfn.XMATCH($E$135,FixedAssets[Asset ID])),IF(AND((_xlfn.XMATCH(BL$8,$AH$8:$CC$8))-_xlfn.XMATCH($C166,$C$35:$C$82)+1&lt;=_xlpm.DepreciationMonths,$C166&lt;=BL$8),$E166/_xlpm.DepreciationMonths,0))</f>
        <v>0</v>
      </c>
      <c r="BM166" s="507" cm="1">
        <f t="array" ref="BM166">_xlfn.LET(_xlpm.DepreciationMonths,INDEX(FixedAssets[Depreciation
/ Amortization Months],_xlfn.XMATCH($E$135,FixedAssets[Asset ID])),IF(AND((_xlfn.XMATCH(BM$8,$AH$8:$CC$8))-_xlfn.XMATCH($C166,$C$35:$C$82)+1&lt;=_xlpm.DepreciationMonths,$C166&lt;=BM$8),$E166/_xlpm.DepreciationMonths,0))</f>
        <v>0</v>
      </c>
      <c r="BN166" s="507" cm="1">
        <f t="array" ref="BN166">_xlfn.LET(_xlpm.DepreciationMonths,INDEX(FixedAssets[Depreciation
/ Amortization Months],_xlfn.XMATCH($E$135,FixedAssets[Asset ID])),IF(AND((_xlfn.XMATCH(BN$8,$AH$8:$CC$8))-_xlfn.XMATCH($C166,$C$35:$C$82)+1&lt;=_xlpm.DepreciationMonths,$C166&lt;=BN$8),$E166/_xlpm.DepreciationMonths,0))</f>
        <v>0</v>
      </c>
      <c r="BO166" s="507" cm="1">
        <f t="array" ref="BO166">_xlfn.LET(_xlpm.DepreciationMonths,INDEX(FixedAssets[Depreciation
/ Amortization Months],_xlfn.XMATCH($E$135,FixedAssets[Asset ID])),IF(AND((_xlfn.XMATCH(BO$8,$AH$8:$CC$8))-_xlfn.XMATCH($C166,$C$35:$C$82)+1&lt;=_xlpm.DepreciationMonths,$C166&lt;=BO$8),$E166/_xlpm.DepreciationMonths,0))</f>
        <v>0</v>
      </c>
      <c r="BP166" s="507" cm="1">
        <f t="array" ref="BP166">_xlfn.LET(_xlpm.DepreciationMonths,INDEX(FixedAssets[Depreciation
/ Amortization Months],_xlfn.XMATCH($E$135,FixedAssets[Asset ID])),IF(AND((_xlfn.XMATCH(BP$8,$AH$8:$CC$8))-_xlfn.XMATCH($C166,$C$35:$C$82)+1&lt;=_xlpm.DepreciationMonths,$C166&lt;=BP$8),$E166/_xlpm.DepreciationMonths,0))</f>
        <v>0</v>
      </c>
      <c r="BQ166" s="507" cm="1">
        <f t="array" ref="BQ166">_xlfn.LET(_xlpm.DepreciationMonths,INDEX(FixedAssets[Depreciation
/ Amortization Months],_xlfn.XMATCH($E$135,FixedAssets[Asset ID])),IF(AND((_xlfn.XMATCH(BQ$8,$AH$8:$CC$8))-_xlfn.XMATCH($C166,$C$35:$C$82)+1&lt;=_xlpm.DepreciationMonths,$C166&lt;=BQ$8),$E166/_xlpm.DepreciationMonths,0))</f>
        <v>0</v>
      </c>
      <c r="BR166" s="507" cm="1">
        <f t="array" ref="BR166">_xlfn.LET(_xlpm.DepreciationMonths,INDEX(FixedAssets[Depreciation
/ Amortization Months],_xlfn.XMATCH($E$135,FixedAssets[Asset ID])),IF(AND((_xlfn.XMATCH(BR$8,$AH$8:$CC$8))-_xlfn.XMATCH($C166,$C$35:$C$82)+1&lt;=_xlpm.DepreciationMonths,$C166&lt;=BR$8),$E166/_xlpm.DepreciationMonths,0))</f>
        <v>0</v>
      </c>
      <c r="BS166" s="507" cm="1">
        <f t="array" ref="BS166">_xlfn.LET(_xlpm.DepreciationMonths,INDEX(FixedAssets[Depreciation
/ Amortization Months],_xlfn.XMATCH($E$135,FixedAssets[Asset ID])),IF(AND((_xlfn.XMATCH(BS$8,$AH$8:$CC$8))-_xlfn.XMATCH($C166,$C$35:$C$82)+1&lt;=_xlpm.DepreciationMonths,$C166&lt;=BS$8),$E166/_xlpm.DepreciationMonths,0))</f>
        <v>0</v>
      </c>
      <c r="BT166" s="507" cm="1">
        <f t="array" ref="BT166">_xlfn.LET(_xlpm.DepreciationMonths,INDEX(FixedAssets[Depreciation
/ Amortization Months],_xlfn.XMATCH($E$135,FixedAssets[Asset ID])),IF(AND((_xlfn.XMATCH(BT$8,$AH$8:$CC$8))-_xlfn.XMATCH($C166,$C$35:$C$82)+1&lt;=_xlpm.DepreciationMonths,$C166&lt;=BT$8),$E166/_xlpm.DepreciationMonths,0))</f>
        <v>0</v>
      </c>
      <c r="BU166" s="507" cm="1">
        <f t="array" ref="BU166">_xlfn.LET(_xlpm.DepreciationMonths,INDEX(FixedAssets[Depreciation
/ Amortization Months],_xlfn.XMATCH($E$135,FixedAssets[Asset ID])),IF(AND((_xlfn.XMATCH(BU$8,$AH$8:$CC$8))-_xlfn.XMATCH($C166,$C$35:$C$82)+1&lt;=_xlpm.DepreciationMonths,$C166&lt;=BU$8),$E166/_xlpm.DepreciationMonths,0))</f>
        <v>0</v>
      </c>
      <c r="BV166" s="507" cm="1">
        <f t="array" ref="BV166">_xlfn.LET(_xlpm.DepreciationMonths,INDEX(FixedAssets[Depreciation
/ Amortization Months],_xlfn.XMATCH($E$135,FixedAssets[Asset ID])),IF(AND((_xlfn.XMATCH(BV$8,$AH$8:$CC$8))-_xlfn.XMATCH($C166,$C$35:$C$82)+1&lt;=_xlpm.DepreciationMonths,$C166&lt;=BV$8),$E166/_xlpm.DepreciationMonths,0))</f>
        <v>0</v>
      </c>
      <c r="BW166" s="507" cm="1">
        <f t="array" ref="BW166">_xlfn.LET(_xlpm.DepreciationMonths,INDEX(FixedAssets[Depreciation
/ Amortization Months],_xlfn.XMATCH($E$135,FixedAssets[Asset ID])),IF(AND((_xlfn.XMATCH(BW$8,$AH$8:$CC$8))-_xlfn.XMATCH($C166,$C$35:$C$82)+1&lt;=_xlpm.DepreciationMonths,$C166&lt;=BW$8),$E166/_xlpm.DepreciationMonths,0))</f>
        <v>0</v>
      </c>
      <c r="BX166" s="507" cm="1">
        <f t="array" ref="BX166">_xlfn.LET(_xlpm.DepreciationMonths,INDEX(FixedAssets[Depreciation
/ Amortization Months],_xlfn.XMATCH($E$135,FixedAssets[Asset ID])),IF(AND((_xlfn.XMATCH(BX$8,$AH$8:$CC$8))-_xlfn.XMATCH($C166,$C$35:$C$82)+1&lt;=_xlpm.DepreciationMonths,$C166&lt;=BX$8),$E166/_xlpm.DepreciationMonths,0))</f>
        <v>0</v>
      </c>
      <c r="BY166" s="507" cm="1">
        <f t="array" ref="BY166">_xlfn.LET(_xlpm.DepreciationMonths,INDEX(FixedAssets[Depreciation
/ Amortization Months],_xlfn.XMATCH($E$135,FixedAssets[Asset ID])),IF(AND((_xlfn.XMATCH(BY$8,$AH$8:$CC$8))-_xlfn.XMATCH($C166,$C$35:$C$82)+1&lt;=_xlpm.DepreciationMonths,$C166&lt;=BY$8),$E166/_xlpm.DepreciationMonths,0))</f>
        <v>0</v>
      </c>
      <c r="BZ166" s="507" cm="1">
        <f t="array" ref="BZ166">_xlfn.LET(_xlpm.DepreciationMonths,INDEX(FixedAssets[Depreciation
/ Amortization Months],_xlfn.XMATCH($E$135,FixedAssets[Asset ID])),IF(AND((_xlfn.XMATCH(BZ$8,$AH$8:$CC$8))-_xlfn.XMATCH($C166,$C$35:$C$82)+1&lt;=_xlpm.DepreciationMonths,$C166&lt;=BZ$8),$E166/_xlpm.DepreciationMonths,0))</f>
        <v>0</v>
      </c>
      <c r="CA166" s="507" cm="1">
        <f t="array" ref="CA166">_xlfn.LET(_xlpm.DepreciationMonths,INDEX(FixedAssets[Depreciation
/ Amortization Months],_xlfn.XMATCH($E$135,FixedAssets[Asset ID])),IF(AND((_xlfn.XMATCH(CA$8,$AH$8:$CC$8))-_xlfn.XMATCH($C166,$C$35:$C$82)+1&lt;=_xlpm.DepreciationMonths,$C166&lt;=CA$8),$E166/_xlpm.DepreciationMonths,0))</f>
        <v>0</v>
      </c>
      <c r="CB166" s="507" cm="1">
        <f t="array" ref="CB166">_xlfn.LET(_xlpm.DepreciationMonths,INDEX(FixedAssets[Depreciation
/ Amortization Months],_xlfn.XMATCH($E$135,FixedAssets[Asset ID])),IF(AND((_xlfn.XMATCH(CB$8,$AH$8:$CC$8))-_xlfn.XMATCH($C166,$C$35:$C$82)+1&lt;=_xlpm.DepreciationMonths,$C166&lt;=CB$8),$E166/_xlpm.DepreciationMonths,0))</f>
        <v>0</v>
      </c>
      <c r="CC166" s="507" cm="1">
        <f t="array" ref="CC166">_xlfn.LET(_xlpm.DepreciationMonths,INDEX(FixedAssets[Depreciation
/ Amortization Months],_xlfn.XMATCH($E$135,FixedAssets[Asset ID])),IF(AND((_xlfn.XMATCH(CC$8,$AH$8:$CC$8))-_xlfn.XMATCH($C166,$C$35:$C$82)+1&lt;=_xlpm.DepreciationMonths,$C166&lt;=CC$8),$E166/_xlpm.DepreciationMonths,0))</f>
        <v>0</v>
      </c>
    </row>
    <row r="167" spans="3:81" hidden="1" outlineLevel="2">
      <c r="C167" s="664">
        <f t="shared" si="243"/>
        <v>45869</v>
      </c>
      <c r="D167" s="508"/>
      <c r="E167" s="508" cm="1">
        <f t="array" ref="E167">SUMPRODUCT(($AH$26:$CC$31)*($AH$5:$CC$5=$C167)*($E$26:$E$31=E$135))-SUMPRODUCT(($AH$26:$CC$31)*($AH$5:$CC$5=EOMONTH($C167,-1))*($E$26:$E$31=E$135))</f>
        <v>0</v>
      </c>
      <c r="F167" s="508"/>
      <c r="G167" s="508"/>
      <c r="H167" s="508"/>
      <c r="I167" s="508"/>
      <c r="J167" s="504">
        <f t="shared" si="240"/>
        <v>0</v>
      </c>
      <c r="K167" s="504">
        <f t="shared" si="245"/>
        <v>0</v>
      </c>
      <c r="L167" s="504">
        <f t="shared" si="245"/>
        <v>0</v>
      </c>
      <c r="M167" s="504">
        <f t="shared" si="245"/>
        <v>0</v>
      </c>
      <c r="N167" s="504"/>
      <c r="O167" s="504"/>
      <c r="P167" s="504">
        <f t="shared" si="246"/>
        <v>0</v>
      </c>
      <c r="Q167" s="504">
        <f t="shared" si="246"/>
        <v>0</v>
      </c>
      <c r="R167" s="504">
        <f t="shared" si="246"/>
        <v>0</v>
      </c>
      <c r="S167" s="504">
        <f t="shared" si="246"/>
        <v>0</v>
      </c>
      <c r="T167" s="504">
        <f t="shared" si="246"/>
        <v>0</v>
      </c>
      <c r="U167" s="504">
        <f t="shared" si="246"/>
        <v>0</v>
      </c>
      <c r="V167" s="504">
        <f t="shared" si="246"/>
        <v>0</v>
      </c>
      <c r="W167" s="504">
        <f t="shared" si="246"/>
        <v>0</v>
      </c>
      <c r="X167" s="504">
        <f t="shared" si="246"/>
        <v>0</v>
      </c>
      <c r="Y167" s="504">
        <f t="shared" si="246"/>
        <v>0</v>
      </c>
      <c r="Z167" s="504">
        <f t="shared" si="246"/>
        <v>0</v>
      </c>
      <c r="AA167" s="504">
        <f t="shared" si="246"/>
        <v>0</v>
      </c>
      <c r="AB167" s="504">
        <f t="shared" si="246"/>
        <v>0</v>
      </c>
      <c r="AC167" s="504">
        <f t="shared" si="246"/>
        <v>0</v>
      </c>
      <c r="AD167" s="504">
        <f t="shared" si="246"/>
        <v>0</v>
      </c>
      <c r="AE167" s="504">
        <f t="shared" si="246"/>
        <v>0</v>
      </c>
      <c r="AF167" s="508"/>
      <c r="AG167" s="508"/>
      <c r="AH167" s="507" cm="1">
        <f t="array" ref="AH167">_xlfn.LET(_xlpm.DepreciationMonths,INDEX(FixedAssets[Depreciation
/ Amortization Months],_xlfn.XMATCH($E$135,FixedAssets[Asset ID])),IF(AND((_xlfn.XMATCH(AH$8,$AH$8:$CC$8))-_xlfn.XMATCH($C167,$C$35:$C$82)+1&lt;=_xlpm.DepreciationMonths,$C167&lt;=AH$8),$E167/_xlpm.DepreciationMonths,0))</f>
        <v>0</v>
      </c>
      <c r="AI167" s="507" cm="1">
        <f t="array" ref="AI167">_xlfn.LET(_xlpm.DepreciationMonths,INDEX(FixedAssets[Depreciation
/ Amortization Months],_xlfn.XMATCH($E$135,FixedAssets[Asset ID])),IF(AND((_xlfn.XMATCH(AI$8,$AH$8:$CC$8))-_xlfn.XMATCH($C167,$C$35:$C$82)+1&lt;=_xlpm.DepreciationMonths,$C167&lt;=AI$8),$E167/_xlpm.DepreciationMonths,0))</f>
        <v>0</v>
      </c>
      <c r="AJ167" s="507" cm="1">
        <f t="array" ref="AJ167">_xlfn.LET(_xlpm.DepreciationMonths,INDEX(FixedAssets[Depreciation
/ Amortization Months],_xlfn.XMATCH($E$135,FixedAssets[Asset ID])),IF(AND((_xlfn.XMATCH(AJ$8,$AH$8:$CC$8))-_xlfn.XMATCH($C167,$C$35:$C$82)+1&lt;=_xlpm.DepreciationMonths,$C167&lt;=AJ$8),$E167/_xlpm.DepreciationMonths,0))</f>
        <v>0</v>
      </c>
      <c r="AK167" s="507" cm="1">
        <f t="array" ref="AK167">_xlfn.LET(_xlpm.DepreciationMonths,INDEX(FixedAssets[Depreciation
/ Amortization Months],_xlfn.XMATCH($E$135,FixedAssets[Asset ID])),IF(AND((_xlfn.XMATCH(AK$8,$AH$8:$CC$8))-_xlfn.XMATCH($C167,$C$35:$C$82)+1&lt;=_xlpm.DepreciationMonths,$C167&lt;=AK$8),$E167/_xlpm.DepreciationMonths,0))</f>
        <v>0</v>
      </c>
      <c r="AL167" s="507" cm="1">
        <f t="array" ref="AL167">_xlfn.LET(_xlpm.DepreciationMonths,INDEX(FixedAssets[Depreciation
/ Amortization Months],_xlfn.XMATCH($E$135,FixedAssets[Asset ID])),IF(AND((_xlfn.XMATCH(AL$8,$AH$8:$CC$8))-_xlfn.XMATCH($C167,$C$35:$C$82)+1&lt;=_xlpm.DepreciationMonths,$C167&lt;=AL$8),$E167/_xlpm.DepreciationMonths,0))</f>
        <v>0</v>
      </c>
      <c r="AM167" s="507" cm="1">
        <f t="array" ref="AM167">_xlfn.LET(_xlpm.DepreciationMonths,INDEX(FixedAssets[Depreciation
/ Amortization Months],_xlfn.XMATCH($E$135,FixedAssets[Asset ID])),IF(AND((_xlfn.XMATCH(AM$8,$AH$8:$CC$8))-_xlfn.XMATCH($C167,$C$35:$C$82)+1&lt;=_xlpm.DepreciationMonths,$C167&lt;=AM$8),$E167/_xlpm.DepreciationMonths,0))</f>
        <v>0</v>
      </c>
      <c r="AN167" s="507" cm="1">
        <f t="array" ref="AN167">_xlfn.LET(_xlpm.DepreciationMonths,INDEX(FixedAssets[Depreciation
/ Amortization Months],_xlfn.XMATCH($E$135,FixedAssets[Asset ID])),IF(AND((_xlfn.XMATCH(AN$8,$AH$8:$CC$8))-_xlfn.XMATCH($C167,$C$35:$C$82)+1&lt;=_xlpm.DepreciationMonths,$C167&lt;=AN$8),$E167/_xlpm.DepreciationMonths,0))</f>
        <v>0</v>
      </c>
      <c r="AO167" s="507" cm="1">
        <f t="array" ref="AO167">_xlfn.LET(_xlpm.DepreciationMonths,INDEX(FixedAssets[Depreciation
/ Amortization Months],_xlfn.XMATCH($E$135,FixedAssets[Asset ID])),IF(AND((_xlfn.XMATCH(AO$8,$AH$8:$CC$8))-_xlfn.XMATCH($C167,$C$35:$C$82)+1&lt;=_xlpm.DepreciationMonths,$C167&lt;=AO$8),$E167/_xlpm.DepreciationMonths,0))</f>
        <v>0</v>
      </c>
      <c r="AP167" s="507" cm="1">
        <f t="array" ref="AP167">_xlfn.LET(_xlpm.DepreciationMonths,INDEX(FixedAssets[Depreciation
/ Amortization Months],_xlfn.XMATCH($E$135,FixedAssets[Asset ID])),IF(AND((_xlfn.XMATCH(AP$8,$AH$8:$CC$8))-_xlfn.XMATCH($C167,$C$35:$C$82)+1&lt;=_xlpm.DepreciationMonths,$C167&lt;=AP$8),$E167/_xlpm.DepreciationMonths,0))</f>
        <v>0</v>
      </c>
      <c r="AQ167" s="507" cm="1">
        <f t="array" ref="AQ167">_xlfn.LET(_xlpm.DepreciationMonths,INDEX(FixedAssets[Depreciation
/ Amortization Months],_xlfn.XMATCH($E$135,FixedAssets[Asset ID])),IF(AND((_xlfn.XMATCH(AQ$8,$AH$8:$CC$8))-_xlfn.XMATCH($C167,$C$35:$C$82)+1&lt;=_xlpm.DepreciationMonths,$C167&lt;=AQ$8),$E167/_xlpm.DepreciationMonths,0))</f>
        <v>0</v>
      </c>
      <c r="AR167" s="507" cm="1">
        <f t="array" ref="AR167">_xlfn.LET(_xlpm.DepreciationMonths,INDEX(FixedAssets[Depreciation
/ Amortization Months],_xlfn.XMATCH($E$135,FixedAssets[Asset ID])),IF(AND((_xlfn.XMATCH(AR$8,$AH$8:$CC$8))-_xlfn.XMATCH($C167,$C$35:$C$82)+1&lt;=_xlpm.DepreciationMonths,$C167&lt;=AR$8),$E167/_xlpm.DepreciationMonths,0))</f>
        <v>0</v>
      </c>
      <c r="AS167" s="507" cm="1">
        <f t="array" ref="AS167">_xlfn.LET(_xlpm.DepreciationMonths,INDEX(FixedAssets[Depreciation
/ Amortization Months],_xlfn.XMATCH($E$135,FixedAssets[Asset ID])),IF(AND((_xlfn.XMATCH(AS$8,$AH$8:$CC$8))-_xlfn.XMATCH($C167,$C$35:$C$82)+1&lt;=_xlpm.DepreciationMonths,$C167&lt;=AS$8),$E167/_xlpm.DepreciationMonths,0))</f>
        <v>0</v>
      </c>
      <c r="AT167" s="507" cm="1">
        <f t="array" ref="AT167">_xlfn.LET(_xlpm.DepreciationMonths,INDEX(FixedAssets[Depreciation
/ Amortization Months],_xlfn.XMATCH($E$135,FixedAssets[Asset ID])),IF(AND((_xlfn.XMATCH(AT$8,$AH$8:$CC$8))-_xlfn.XMATCH($C167,$C$35:$C$82)+1&lt;=_xlpm.DepreciationMonths,$C167&lt;=AT$8),$E167/_xlpm.DepreciationMonths,0))</f>
        <v>0</v>
      </c>
      <c r="AU167" s="507" cm="1">
        <f t="array" ref="AU167">_xlfn.LET(_xlpm.DepreciationMonths,INDEX(FixedAssets[Depreciation
/ Amortization Months],_xlfn.XMATCH($E$135,FixedAssets[Asset ID])),IF(AND((_xlfn.XMATCH(AU$8,$AH$8:$CC$8))-_xlfn.XMATCH($C167,$C$35:$C$82)+1&lt;=_xlpm.DepreciationMonths,$C167&lt;=AU$8),$E167/_xlpm.DepreciationMonths,0))</f>
        <v>0</v>
      </c>
      <c r="AV167" s="507" cm="1">
        <f t="array" ref="AV167">_xlfn.LET(_xlpm.DepreciationMonths,INDEX(FixedAssets[Depreciation
/ Amortization Months],_xlfn.XMATCH($E$135,FixedAssets[Asset ID])),IF(AND((_xlfn.XMATCH(AV$8,$AH$8:$CC$8))-_xlfn.XMATCH($C167,$C$35:$C$82)+1&lt;=_xlpm.DepreciationMonths,$C167&lt;=AV$8),$E167/_xlpm.DepreciationMonths,0))</f>
        <v>0</v>
      </c>
      <c r="AW167" s="507" cm="1">
        <f t="array" ref="AW167">_xlfn.LET(_xlpm.DepreciationMonths,INDEX(FixedAssets[Depreciation
/ Amortization Months],_xlfn.XMATCH($E$135,FixedAssets[Asset ID])),IF(AND((_xlfn.XMATCH(AW$8,$AH$8:$CC$8))-_xlfn.XMATCH($C167,$C$35:$C$82)+1&lt;=_xlpm.DepreciationMonths,$C167&lt;=AW$8),$E167/_xlpm.DepreciationMonths,0))</f>
        <v>0</v>
      </c>
      <c r="AX167" s="507" cm="1">
        <f t="array" ref="AX167">_xlfn.LET(_xlpm.DepreciationMonths,INDEX(FixedAssets[Depreciation
/ Amortization Months],_xlfn.XMATCH($E$135,FixedAssets[Asset ID])),IF(AND((_xlfn.XMATCH(AX$8,$AH$8:$CC$8))-_xlfn.XMATCH($C167,$C$35:$C$82)+1&lt;=_xlpm.DepreciationMonths,$C167&lt;=AX$8),$E167/_xlpm.DepreciationMonths,0))</f>
        <v>0</v>
      </c>
      <c r="AY167" s="507" cm="1">
        <f t="array" ref="AY167">_xlfn.LET(_xlpm.DepreciationMonths,INDEX(FixedAssets[Depreciation
/ Amortization Months],_xlfn.XMATCH($E$135,FixedAssets[Asset ID])),IF(AND((_xlfn.XMATCH(AY$8,$AH$8:$CC$8))-_xlfn.XMATCH($C167,$C$35:$C$82)+1&lt;=_xlpm.DepreciationMonths,$C167&lt;=AY$8),$E167/_xlpm.DepreciationMonths,0))</f>
        <v>0</v>
      </c>
      <c r="AZ167" s="507" cm="1">
        <f t="array" ref="AZ167">_xlfn.LET(_xlpm.DepreciationMonths,INDEX(FixedAssets[Depreciation
/ Amortization Months],_xlfn.XMATCH($E$135,FixedAssets[Asset ID])),IF(AND((_xlfn.XMATCH(AZ$8,$AH$8:$CC$8))-_xlfn.XMATCH($C167,$C$35:$C$82)+1&lt;=_xlpm.DepreciationMonths,$C167&lt;=AZ$8),$E167/_xlpm.DepreciationMonths,0))</f>
        <v>0</v>
      </c>
      <c r="BA167" s="507" cm="1">
        <f t="array" ref="BA167">_xlfn.LET(_xlpm.DepreciationMonths,INDEX(FixedAssets[Depreciation
/ Amortization Months],_xlfn.XMATCH($E$135,FixedAssets[Asset ID])),IF(AND((_xlfn.XMATCH(BA$8,$AH$8:$CC$8))-_xlfn.XMATCH($C167,$C$35:$C$82)+1&lt;=_xlpm.DepreciationMonths,$C167&lt;=BA$8),$E167/_xlpm.DepreciationMonths,0))</f>
        <v>0</v>
      </c>
      <c r="BB167" s="507" cm="1">
        <f t="array" ref="BB167">_xlfn.LET(_xlpm.DepreciationMonths,INDEX(FixedAssets[Depreciation
/ Amortization Months],_xlfn.XMATCH($E$135,FixedAssets[Asset ID])),IF(AND((_xlfn.XMATCH(BB$8,$AH$8:$CC$8))-_xlfn.XMATCH($C167,$C$35:$C$82)+1&lt;=_xlpm.DepreciationMonths,$C167&lt;=BB$8),$E167/_xlpm.DepreciationMonths,0))</f>
        <v>0</v>
      </c>
      <c r="BC167" s="507" cm="1">
        <f t="array" ref="BC167">_xlfn.LET(_xlpm.DepreciationMonths,INDEX(FixedAssets[Depreciation
/ Amortization Months],_xlfn.XMATCH($E$135,FixedAssets[Asset ID])),IF(AND((_xlfn.XMATCH(BC$8,$AH$8:$CC$8))-_xlfn.XMATCH($C167,$C$35:$C$82)+1&lt;=_xlpm.DepreciationMonths,$C167&lt;=BC$8),$E167/_xlpm.DepreciationMonths,0))</f>
        <v>0</v>
      </c>
      <c r="BD167" s="507" cm="1">
        <f t="array" ref="BD167">_xlfn.LET(_xlpm.DepreciationMonths,INDEX(FixedAssets[Depreciation
/ Amortization Months],_xlfn.XMATCH($E$135,FixedAssets[Asset ID])),IF(AND((_xlfn.XMATCH(BD$8,$AH$8:$CC$8))-_xlfn.XMATCH($C167,$C$35:$C$82)+1&lt;=_xlpm.DepreciationMonths,$C167&lt;=BD$8),$E167/_xlpm.DepreciationMonths,0))</f>
        <v>0</v>
      </c>
      <c r="BE167" s="507" cm="1">
        <f t="array" ref="BE167">_xlfn.LET(_xlpm.DepreciationMonths,INDEX(FixedAssets[Depreciation
/ Amortization Months],_xlfn.XMATCH($E$135,FixedAssets[Asset ID])),IF(AND((_xlfn.XMATCH(BE$8,$AH$8:$CC$8))-_xlfn.XMATCH($C167,$C$35:$C$82)+1&lt;=_xlpm.DepreciationMonths,$C167&lt;=BE$8),$E167/_xlpm.DepreciationMonths,0))</f>
        <v>0</v>
      </c>
      <c r="BF167" s="507" cm="1">
        <f t="array" ref="BF167">_xlfn.LET(_xlpm.DepreciationMonths,INDEX(FixedAssets[Depreciation
/ Amortization Months],_xlfn.XMATCH($E$135,FixedAssets[Asset ID])),IF(AND((_xlfn.XMATCH(BF$8,$AH$8:$CC$8))-_xlfn.XMATCH($C167,$C$35:$C$82)+1&lt;=_xlpm.DepreciationMonths,$C167&lt;=BF$8),$E167/_xlpm.DepreciationMonths,0))</f>
        <v>0</v>
      </c>
      <c r="BG167" s="507" cm="1">
        <f t="array" ref="BG167">_xlfn.LET(_xlpm.DepreciationMonths,INDEX(FixedAssets[Depreciation
/ Amortization Months],_xlfn.XMATCH($E$135,FixedAssets[Asset ID])),IF(AND((_xlfn.XMATCH(BG$8,$AH$8:$CC$8))-_xlfn.XMATCH($C167,$C$35:$C$82)+1&lt;=_xlpm.DepreciationMonths,$C167&lt;=BG$8),$E167/_xlpm.DepreciationMonths,0))</f>
        <v>0</v>
      </c>
      <c r="BH167" s="507" cm="1">
        <f t="array" ref="BH167">_xlfn.LET(_xlpm.DepreciationMonths,INDEX(FixedAssets[Depreciation
/ Amortization Months],_xlfn.XMATCH($E$135,FixedAssets[Asset ID])),IF(AND((_xlfn.XMATCH(BH$8,$AH$8:$CC$8))-_xlfn.XMATCH($C167,$C$35:$C$82)+1&lt;=_xlpm.DepreciationMonths,$C167&lt;=BH$8),$E167/_xlpm.DepreciationMonths,0))</f>
        <v>0</v>
      </c>
      <c r="BI167" s="507" cm="1">
        <f t="array" ref="BI167">_xlfn.LET(_xlpm.DepreciationMonths,INDEX(FixedAssets[Depreciation
/ Amortization Months],_xlfn.XMATCH($E$135,FixedAssets[Asset ID])),IF(AND((_xlfn.XMATCH(BI$8,$AH$8:$CC$8))-_xlfn.XMATCH($C167,$C$35:$C$82)+1&lt;=_xlpm.DepreciationMonths,$C167&lt;=BI$8),$E167/_xlpm.DepreciationMonths,0))</f>
        <v>0</v>
      </c>
      <c r="BJ167" s="507" cm="1">
        <f t="array" ref="BJ167">_xlfn.LET(_xlpm.DepreciationMonths,INDEX(FixedAssets[Depreciation
/ Amortization Months],_xlfn.XMATCH($E$135,FixedAssets[Asset ID])),IF(AND((_xlfn.XMATCH(BJ$8,$AH$8:$CC$8))-_xlfn.XMATCH($C167,$C$35:$C$82)+1&lt;=_xlpm.DepreciationMonths,$C167&lt;=BJ$8),$E167/_xlpm.DepreciationMonths,0))</f>
        <v>0</v>
      </c>
      <c r="BK167" s="507" cm="1">
        <f t="array" ref="BK167">_xlfn.LET(_xlpm.DepreciationMonths,INDEX(FixedAssets[Depreciation
/ Amortization Months],_xlfn.XMATCH($E$135,FixedAssets[Asset ID])),IF(AND((_xlfn.XMATCH(BK$8,$AH$8:$CC$8))-_xlfn.XMATCH($C167,$C$35:$C$82)+1&lt;=_xlpm.DepreciationMonths,$C167&lt;=BK$8),$E167/_xlpm.DepreciationMonths,0))</f>
        <v>0</v>
      </c>
      <c r="BL167" s="507" cm="1">
        <f t="array" ref="BL167">_xlfn.LET(_xlpm.DepreciationMonths,INDEX(FixedAssets[Depreciation
/ Amortization Months],_xlfn.XMATCH($E$135,FixedAssets[Asset ID])),IF(AND((_xlfn.XMATCH(BL$8,$AH$8:$CC$8))-_xlfn.XMATCH($C167,$C$35:$C$82)+1&lt;=_xlpm.DepreciationMonths,$C167&lt;=BL$8),$E167/_xlpm.DepreciationMonths,0))</f>
        <v>0</v>
      </c>
      <c r="BM167" s="507" cm="1">
        <f t="array" ref="BM167">_xlfn.LET(_xlpm.DepreciationMonths,INDEX(FixedAssets[Depreciation
/ Amortization Months],_xlfn.XMATCH($E$135,FixedAssets[Asset ID])),IF(AND((_xlfn.XMATCH(BM$8,$AH$8:$CC$8))-_xlfn.XMATCH($C167,$C$35:$C$82)+1&lt;=_xlpm.DepreciationMonths,$C167&lt;=BM$8),$E167/_xlpm.DepreciationMonths,0))</f>
        <v>0</v>
      </c>
      <c r="BN167" s="507" cm="1">
        <f t="array" ref="BN167">_xlfn.LET(_xlpm.DepreciationMonths,INDEX(FixedAssets[Depreciation
/ Amortization Months],_xlfn.XMATCH($E$135,FixedAssets[Asset ID])),IF(AND((_xlfn.XMATCH(BN$8,$AH$8:$CC$8))-_xlfn.XMATCH($C167,$C$35:$C$82)+1&lt;=_xlpm.DepreciationMonths,$C167&lt;=BN$8),$E167/_xlpm.DepreciationMonths,0))</f>
        <v>0</v>
      </c>
      <c r="BO167" s="507" cm="1">
        <f t="array" ref="BO167">_xlfn.LET(_xlpm.DepreciationMonths,INDEX(FixedAssets[Depreciation
/ Amortization Months],_xlfn.XMATCH($E$135,FixedAssets[Asset ID])),IF(AND((_xlfn.XMATCH(BO$8,$AH$8:$CC$8))-_xlfn.XMATCH($C167,$C$35:$C$82)+1&lt;=_xlpm.DepreciationMonths,$C167&lt;=BO$8),$E167/_xlpm.DepreciationMonths,0))</f>
        <v>0</v>
      </c>
      <c r="BP167" s="507" cm="1">
        <f t="array" ref="BP167">_xlfn.LET(_xlpm.DepreciationMonths,INDEX(FixedAssets[Depreciation
/ Amortization Months],_xlfn.XMATCH($E$135,FixedAssets[Asset ID])),IF(AND((_xlfn.XMATCH(BP$8,$AH$8:$CC$8))-_xlfn.XMATCH($C167,$C$35:$C$82)+1&lt;=_xlpm.DepreciationMonths,$C167&lt;=BP$8),$E167/_xlpm.DepreciationMonths,0))</f>
        <v>0</v>
      </c>
      <c r="BQ167" s="507" cm="1">
        <f t="array" ref="BQ167">_xlfn.LET(_xlpm.DepreciationMonths,INDEX(FixedAssets[Depreciation
/ Amortization Months],_xlfn.XMATCH($E$135,FixedAssets[Asset ID])),IF(AND((_xlfn.XMATCH(BQ$8,$AH$8:$CC$8))-_xlfn.XMATCH($C167,$C$35:$C$82)+1&lt;=_xlpm.DepreciationMonths,$C167&lt;=BQ$8),$E167/_xlpm.DepreciationMonths,0))</f>
        <v>0</v>
      </c>
      <c r="BR167" s="507" cm="1">
        <f t="array" ref="BR167">_xlfn.LET(_xlpm.DepreciationMonths,INDEX(FixedAssets[Depreciation
/ Amortization Months],_xlfn.XMATCH($E$135,FixedAssets[Asset ID])),IF(AND((_xlfn.XMATCH(BR$8,$AH$8:$CC$8))-_xlfn.XMATCH($C167,$C$35:$C$82)+1&lt;=_xlpm.DepreciationMonths,$C167&lt;=BR$8),$E167/_xlpm.DepreciationMonths,0))</f>
        <v>0</v>
      </c>
      <c r="BS167" s="507" cm="1">
        <f t="array" ref="BS167">_xlfn.LET(_xlpm.DepreciationMonths,INDEX(FixedAssets[Depreciation
/ Amortization Months],_xlfn.XMATCH($E$135,FixedAssets[Asset ID])),IF(AND((_xlfn.XMATCH(BS$8,$AH$8:$CC$8))-_xlfn.XMATCH($C167,$C$35:$C$82)+1&lt;=_xlpm.DepreciationMonths,$C167&lt;=BS$8),$E167/_xlpm.DepreciationMonths,0))</f>
        <v>0</v>
      </c>
      <c r="BT167" s="507" cm="1">
        <f t="array" ref="BT167">_xlfn.LET(_xlpm.DepreciationMonths,INDEX(FixedAssets[Depreciation
/ Amortization Months],_xlfn.XMATCH($E$135,FixedAssets[Asset ID])),IF(AND((_xlfn.XMATCH(BT$8,$AH$8:$CC$8))-_xlfn.XMATCH($C167,$C$35:$C$82)+1&lt;=_xlpm.DepreciationMonths,$C167&lt;=BT$8),$E167/_xlpm.DepreciationMonths,0))</f>
        <v>0</v>
      </c>
      <c r="BU167" s="507" cm="1">
        <f t="array" ref="BU167">_xlfn.LET(_xlpm.DepreciationMonths,INDEX(FixedAssets[Depreciation
/ Amortization Months],_xlfn.XMATCH($E$135,FixedAssets[Asset ID])),IF(AND((_xlfn.XMATCH(BU$8,$AH$8:$CC$8))-_xlfn.XMATCH($C167,$C$35:$C$82)+1&lt;=_xlpm.DepreciationMonths,$C167&lt;=BU$8),$E167/_xlpm.DepreciationMonths,0))</f>
        <v>0</v>
      </c>
      <c r="BV167" s="507" cm="1">
        <f t="array" ref="BV167">_xlfn.LET(_xlpm.DepreciationMonths,INDEX(FixedAssets[Depreciation
/ Amortization Months],_xlfn.XMATCH($E$135,FixedAssets[Asset ID])),IF(AND((_xlfn.XMATCH(BV$8,$AH$8:$CC$8))-_xlfn.XMATCH($C167,$C$35:$C$82)+1&lt;=_xlpm.DepreciationMonths,$C167&lt;=BV$8),$E167/_xlpm.DepreciationMonths,0))</f>
        <v>0</v>
      </c>
      <c r="BW167" s="507" cm="1">
        <f t="array" ref="BW167">_xlfn.LET(_xlpm.DepreciationMonths,INDEX(FixedAssets[Depreciation
/ Amortization Months],_xlfn.XMATCH($E$135,FixedAssets[Asset ID])),IF(AND((_xlfn.XMATCH(BW$8,$AH$8:$CC$8))-_xlfn.XMATCH($C167,$C$35:$C$82)+1&lt;=_xlpm.DepreciationMonths,$C167&lt;=BW$8),$E167/_xlpm.DepreciationMonths,0))</f>
        <v>0</v>
      </c>
      <c r="BX167" s="507" cm="1">
        <f t="array" ref="BX167">_xlfn.LET(_xlpm.DepreciationMonths,INDEX(FixedAssets[Depreciation
/ Amortization Months],_xlfn.XMATCH($E$135,FixedAssets[Asset ID])),IF(AND((_xlfn.XMATCH(BX$8,$AH$8:$CC$8))-_xlfn.XMATCH($C167,$C$35:$C$82)+1&lt;=_xlpm.DepreciationMonths,$C167&lt;=BX$8),$E167/_xlpm.DepreciationMonths,0))</f>
        <v>0</v>
      </c>
      <c r="BY167" s="507" cm="1">
        <f t="array" ref="BY167">_xlfn.LET(_xlpm.DepreciationMonths,INDEX(FixedAssets[Depreciation
/ Amortization Months],_xlfn.XMATCH($E$135,FixedAssets[Asset ID])),IF(AND((_xlfn.XMATCH(BY$8,$AH$8:$CC$8))-_xlfn.XMATCH($C167,$C$35:$C$82)+1&lt;=_xlpm.DepreciationMonths,$C167&lt;=BY$8),$E167/_xlpm.DepreciationMonths,0))</f>
        <v>0</v>
      </c>
      <c r="BZ167" s="507" cm="1">
        <f t="array" ref="BZ167">_xlfn.LET(_xlpm.DepreciationMonths,INDEX(FixedAssets[Depreciation
/ Amortization Months],_xlfn.XMATCH($E$135,FixedAssets[Asset ID])),IF(AND((_xlfn.XMATCH(BZ$8,$AH$8:$CC$8))-_xlfn.XMATCH($C167,$C$35:$C$82)+1&lt;=_xlpm.DepreciationMonths,$C167&lt;=BZ$8),$E167/_xlpm.DepreciationMonths,0))</f>
        <v>0</v>
      </c>
      <c r="CA167" s="507" cm="1">
        <f t="array" ref="CA167">_xlfn.LET(_xlpm.DepreciationMonths,INDEX(FixedAssets[Depreciation
/ Amortization Months],_xlfn.XMATCH($E$135,FixedAssets[Asset ID])),IF(AND((_xlfn.XMATCH(CA$8,$AH$8:$CC$8))-_xlfn.XMATCH($C167,$C$35:$C$82)+1&lt;=_xlpm.DepreciationMonths,$C167&lt;=CA$8),$E167/_xlpm.DepreciationMonths,0))</f>
        <v>0</v>
      </c>
      <c r="CB167" s="507" cm="1">
        <f t="array" ref="CB167">_xlfn.LET(_xlpm.DepreciationMonths,INDEX(FixedAssets[Depreciation
/ Amortization Months],_xlfn.XMATCH($E$135,FixedAssets[Asset ID])),IF(AND((_xlfn.XMATCH(CB$8,$AH$8:$CC$8))-_xlfn.XMATCH($C167,$C$35:$C$82)+1&lt;=_xlpm.DepreciationMonths,$C167&lt;=CB$8),$E167/_xlpm.DepreciationMonths,0))</f>
        <v>0</v>
      </c>
      <c r="CC167" s="507" cm="1">
        <f t="array" ref="CC167">_xlfn.LET(_xlpm.DepreciationMonths,INDEX(FixedAssets[Depreciation
/ Amortization Months],_xlfn.XMATCH($E$135,FixedAssets[Asset ID])),IF(AND((_xlfn.XMATCH(CC$8,$AH$8:$CC$8))-_xlfn.XMATCH($C167,$C$35:$C$82)+1&lt;=_xlpm.DepreciationMonths,$C167&lt;=CC$8),$E167/_xlpm.DepreciationMonths,0))</f>
        <v>0</v>
      </c>
    </row>
    <row r="168" spans="3:81" hidden="1" outlineLevel="2">
      <c r="C168" s="664">
        <f t="shared" si="243"/>
        <v>45900</v>
      </c>
      <c r="D168" s="508"/>
      <c r="E168" s="508" cm="1">
        <f t="array" ref="E168">SUMPRODUCT(($AH$26:$CC$31)*($AH$5:$CC$5=$C168)*($E$26:$E$31=E$135))-SUMPRODUCT(($AH$26:$CC$31)*($AH$5:$CC$5=EOMONTH($C168,-1))*($E$26:$E$31=E$135))</f>
        <v>0</v>
      </c>
      <c r="F168" s="508"/>
      <c r="G168" s="508"/>
      <c r="H168" s="508"/>
      <c r="I168" s="508"/>
      <c r="J168" s="504">
        <f t="shared" si="240"/>
        <v>0</v>
      </c>
      <c r="K168" s="504">
        <f t="shared" si="245"/>
        <v>0</v>
      </c>
      <c r="L168" s="504">
        <f t="shared" si="245"/>
        <v>0</v>
      </c>
      <c r="M168" s="504">
        <f t="shared" si="245"/>
        <v>0</v>
      </c>
      <c r="N168" s="504"/>
      <c r="O168" s="504"/>
      <c r="P168" s="504">
        <f t="shared" si="246"/>
        <v>0</v>
      </c>
      <c r="Q168" s="504">
        <f t="shared" si="246"/>
        <v>0</v>
      </c>
      <c r="R168" s="504">
        <f t="shared" si="246"/>
        <v>0</v>
      </c>
      <c r="S168" s="504">
        <f t="shared" si="246"/>
        <v>0</v>
      </c>
      <c r="T168" s="504">
        <f t="shared" si="246"/>
        <v>0</v>
      </c>
      <c r="U168" s="504">
        <f t="shared" si="246"/>
        <v>0</v>
      </c>
      <c r="V168" s="504">
        <f t="shared" si="246"/>
        <v>0</v>
      </c>
      <c r="W168" s="504">
        <f t="shared" si="246"/>
        <v>0</v>
      </c>
      <c r="X168" s="504">
        <f t="shared" si="246"/>
        <v>0</v>
      </c>
      <c r="Y168" s="504">
        <f t="shared" si="246"/>
        <v>0</v>
      </c>
      <c r="Z168" s="504">
        <f t="shared" si="246"/>
        <v>0</v>
      </c>
      <c r="AA168" s="504">
        <f t="shared" si="246"/>
        <v>0</v>
      </c>
      <c r="AB168" s="504">
        <f t="shared" si="246"/>
        <v>0</v>
      </c>
      <c r="AC168" s="504">
        <f t="shared" si="246"/>
        <v>0</v>
      </c>
      <c r="AD168" s="504">
        <f t="shared" si="246"/>
        <v>0</v>
      </c>
      <c r="AE168" s="504">
        <f t="shared" ref="AE168" si="247">SUMIFS($AH168:$CC168,$AH$4:$CC$4,"&gt;="&amp;AE$4,$AH$5:$CC$5,"&lt;="&amp;AE$5)</f>
        <v>0</v>
      </c>
      <c r="AF168" s="508"/>
      <c r="AG168" s="508"/>
      <c r="AH168" s="507" cm="1">
        <f t="array" ref="AH168">_xlfn.LET(_xlpm.DepreciationMonths,INDEX(FixedAssets[Depreciation
/ Amortization Months],_xlfn.XMATCH($E$135,FixedAssets[Asset ID])),IF(AND((_xlfn.XMATCH(AH$8,$AH$8:$CC$8))-_xlfn.XMATCH($C168,$C$35:$C$82)+1&lt;=_xlpm.DepreciationMonths,$C168&lt;=AH$8),$E168/_xlpm.DepreciationMonths,0))</f>
        <v>0</v>
      </c>
      <c r="AI168" s="507" cm="1">
        <f t="array" ref="AI168">_xlfn.LET(_xlpm.DepreciationMonths,INDEX(FixedAssets[Depreciation
/ Amortization Months],_xlfn.XMATCH($E$135,FixedAssets[Asset ID])),IF(AND((_xlfn.XMATCH(AI$8,$AH$8:$CC$8))-_xlfn.XMATCH($C168,$C$35:$C$82)+1&lt;=_xlpm.DepreciationMonths,$C168&lt;=AI$8),$E168/_xlpm.DepreciationMonths,0))</f>
        <v>0</v>
      </c>
      <c r="AJ168" s="507" cm="1">
        <f t="array" ref="AJ168">_xlfn.LET(_xlpm.DepreciationMonths,INDEX(FixedAssets[Depreciation
/ Amortization Months],_xlfn.XMATCH($E$135,FixedAssets[Asset ID])),IF(AND((_xlfn.XMATCH(AJ$8,$AH$8:$CC$8))-_xlfn.XMATCH($C168,$C$35:$C$82)+1&lt;=_xlpm.DepreciationMonths,$C168&lt;=AJ$8),$E168/_xlpm.DepreciationMonths,0))</f>
        <v>0</v>
      </c>
      <c r="AK168" s="507" cm="1">
        <f t="array" ref="AK168">_xlfn.LET(_xlpm.DepreciationMonths,INDEX(FixedAssets[Depreciation
/ Amortization Months],_xlfn.XMATCH($E$135,FixedAssets[Asset ID])),IF(AND((_xlfn.XMATCH(AK$8,$AH$8:$CC$8))-_xlfn.XMATCH($C168,$C$35:$C$82)+1&lt;=_xlpm.DepreciationMonths,$C168&lt;=AK$8),$E168/_xlpm.DepreciationMonths,0))</f>
        <v>0</v>
      </c>
      <c r="AL168" s="507" cm="1">
        <f t="array" ref="AL168">_xlfn.LET(_xlpm.DepreciationMonths,INDEX(FixedAssets[Depreciation
/ Amortization Months],_xlfn.XMATCH($E$135,FixedAssets[Asset ID])),IF(AND((_xlfn.XMATCH(AL$8,$AH$8:$CC$8))-_xlfn.XMATCH($C168,$C$35:$C$82)+1&lt;=_xlpm.DepreciationMonths,$C168&lt;=AL$8),$E168/_xlpm.DepreciationMonths,0))</f>
        <v>0</v>
      </c>
      <c r="AM168" s="507" cm="1">
        <f t="array" ref="AM168">_xlfn.LET(_xlpm.DepreciationMonths,INDEX(FixedAssets[Depreciation
/ Amortization Months],_xlfn.XMATCH($E$135,FixedAssets[Asset ID])),IF(AND((_xlfn.XMATCH(AM$8,$AH$8:$CC$8))-_xlfn.XMATCH($C168,$C$35:$C$82)+1&lt;=_xlpm.DepreciationMonths,$C168&lt;=AM$8),$E168/_xlpm.DepreciationMonths,0))</f>
        <v>0</v>
      </c>
      <c r="AN168" s="507" cm="1">
        <f t="array" ref="AN168">_xlfn.LET(_xlpm.DepreciationMonths,INDEX(FixedAssets[Depreciation
/ Amortization Months],_xlfn.XMATCH($E$135,FixedAssets[Asset ID])),IF(AND((_xlfn.XMATCH(AN$8,$AH$8:$CC$8))-_xlfn.XMATCH($C168,$C$35:$C$82)+1&lt;=_xlpm.DepreciationMonths,$C168&lt;=AN$8),$E168/_xlpm.DepreciationMonths,0))</f>
        <v>0</v>
      </c>
      <c r="AO168" s="507" cm="1">
        <f t="array" ref="AO168">_xlfn.LET(_xlpm.DepreciationMonths,INDEX(FixedAssets[Depreciation
/ Amortization Months],_xlfn.XMATCH($E$135,FixedAssets[Asset ID])),IF(AND((_xlfn.XMATCH(AO$8,$AH$8:$CC$8))-_xlfn.XMATCH($C168,$C$35:$C$82)+1&lt;=_xlpm.DepreciationMonths,$C168&lt;=AO$8),$E168/_xlpm.DepreciationMonths,0))</f>
        <v>0</v>
      </c>
      <c r="AP168" s="507" cm="1">
        <f t="array" ref="AP168">_xlfn.LET(_xlpm.DepreciationMonths,INDEX(FixedAssets[Depreciation
/ Amortization Months],_xlfn.XMATCH($E$135,FixedAssets[Asset ID])),IF(AND((_xlfn.XMATCH(AP$8,$AH$8:$CC$8))-_xlfn.XMATCH($C168,$C$35:$C$82)+1&lt;=_xlpm.DepreciationMonths,$C168&lt;=AP$8),$E168/_xlpm.DepreciationMonths,0))</f>
        <v>0</v>
      </c>
      <c r="AQ168" s="507" cm="1">
        <f t="array" ref="AQ168">_xlfn.LET(_xlpm.DepreciationMonths,INDEX(FixedAssets[Depreciation
/ Amortization Months],_xlfn.XMATCH($E$135,FixedAssets[Asset ID])),IF(AND((_xlfn.XMATCH(AQ$8,$AH$8:$CC$8))-_xlfn.XMATCH($C168,$C$35:$C$82)+1&lt;=_xlpm.DepreciationMonths,$C168&lt;=AQ$8),$E168/_xlpm.DepreciationMonths,0))</f>
        <v>0</v>
      </c>
      <c r="AR168" s="507" cm="1">
        <f t="array" ref="AR168">_xlfn.LET(_xlpm.DepreciationMonths,INDEX(FixedAssets[Depreciation
/ Amortization Months],_xlfn.XMATCH($E$135,FixedAssets[Asset ID])),IF(AND((_xlfn.XMATCH(AR$8,$AH$8:$CC$8))-_xlfn.XMATCH($C168,$C$35:$C$82)+1&lt;=_xlpm.DepreciationMonths,$C168&lt;=AR$8),$E168/_xlpm.DepreciationMonths,0))</f>
        <v>0</v>
      </c>
      <c r="AS168" s="507" cm="1">
        <f t="array" ref="AS168">_xlfn.LET(_xlpm.DepreciationMonths,INDEX(FixedAssets[Depreciation
/ Amortization Months],_xlfn.XMATCH($E$135,FixedAssets[Asset ID])),IF(AND((_xlfn.XMATCH(AS$8,$AH$8:$CC$8))-_xlfn.XMATCH($C168,$C$35:$C$82)+1&lt;=_xlpm.DepreciationMonths,$C168&lt;=AS$8),$E168/_xlpm.DepreciationMonths,0))</f>
        <v>0</v>
      </c>
      <c r="AT168" s="507" cm="1">
        <f t="array" ref="AT168">_xlfn.LET(_xlpm.DepreciationMonths,INDEX(FixedAssets[Depreciation
/ Amortization Months],_xlfn.XMATCH($E$135,FixedAssets[Asset ID])),IF(AND((_xlfn.XMATCH(AT$8,$AH$8:$CC$8))-_xlfn.XMATCH($C168,$C$35:$C$82)+1&lt;=_xlpm.DepreciationMonths,$C168&lt;=AT$8),$E168/_xlpm.DepreciationMonths,0))</f>
        <v>0</v>
      </c>
      <c r="AU168" s="507" cm="1">
        <f t="array" ref="AU168">_xlfn.LET(_xlpm.DepreciationMonths,INDEX(FixedAssets[Depreciation
/ Amortization Months],_xlfn.XMATCH($E$135,FixedAssets[Asset ID])),IF(AND((_xlfn.XMATCH(AU$8,$AH$8:$CC$8))-_xlfn.XMATCH($C168,$C$35:$C$82)+1&lt;=_xlpm.DepreciationMonths,$C168&lt;=AU$8),$E168/_xlpm.DepreciationMonths,0))</f>
        <v>0</v>
      </c>
      <c r="AV168" s="507" cm="1">
        <f t="array" ref="AV168">_xlfn.LET(_xlpm.DepreciationMonths,INDEX(FixedAssets[Depreciation
/ Amortization Months],_xlfn.XMATCH($E$135,FixedAssets[Asset ID])),IF(AND((_xlfn.XMATCH(AV$8,$AH$8:$CC$8))-_xlfn.XMATCH($C168,$C$35:$C$82)+1&lt;=_xlpm.DepreciationMonths,$C168&lt;=AV$8),$E168/_xlpm.DepreciationMonths,0))</f>
        <v>0</v>
      </c>
      <c r="AW168" s="507" cm="1">
        <f t="array" ref="AW168">_xlfn.LET(_xlpm.DepreciationMonths,INDEX(FixedAssets[Depreciation
/ Amortization Months],_xlfn.XMATCH($E$135,FixedAssets[Asset ID])),IF(AND((_xlfn.XMATCH(AW$8,$AH$8:$CC$8))-_xlfn.XMATCH($C168,$C$35:$C$82)+1&lt;=_xlpm.DepreciationMonths,$C168&lt;=AW$8),$E168/_xlpm.DepreciationMonths,0))</f>
        <v>0</v>
      </c>
      <c r="AX168" s="507" cm="1">
        <f t="array" ref="AX168">_xlfn.LET(_xlpm.DepreciationMonths,INDEX(FixedAssets[Depreciation
/ Amortization Months],_xlfn.XMATCH($E$135,FixedAssets[Asset ID])),IF(AND((_xlfn.XMATCH(AX$8,$AH$8:$CC$8))-_xlfn.XMATCH($C168,$C$35:$C$82)+1&lt;=_xlpm.DepreciationMonths,$C168&lt;=AX$8),$E168/_xlpm.DepreciationMonths,0))</f>
        <v>0</v>
      </c>
      <c r="AY168" s="507" cm="1">
        <f t="array" ref="AY168">_xlfn.LET(_xlpm.DepreciationMonths,INDEX(FixedAssets[Depreciation
/ Amortization Months],_xlfn.XMATCH($E$135,FixedAssets[Asset ID])),IF(AND((_xlfn.XMATCH(AY$8,$AH$8:$CC$8))-_xlfn.XMATCH($C168,$C$35:$C$82)+1&lt;=_xlpm.DepreciationMonths,$C168&lt;=AY$8),$E168/_xlpm.DepreciationMonths,0))</f>
        <v>0</v>
      </c>
      <c r="AZ168" s="507" cm="1">
        <f t="array" ref="AZ168">_xlfn.LET(_xlpm.DepreciationMonths,INDEX(FixedAssets[Depreciation
/ Amortization Months],_xlfn.XMATCH($E$135,FixedAssets[Asset ID])),IF(AND((_xlfn.XMATCH(AZ$8,$AH$8:$CC$8))-_xlfn.XMATCH($C168,$C$35:$C$82)+1&lt;=_xlpm.DepreciationMonths,$C168&lt;=AZ$8),$E168/_xlpm.DepreciationMonths,0))</f>
        <v>0</v>
      </c>
      <c r="BA168" s="507" cm="1">
        <f t="array" ref="BA168">_xlfn.LET(_xlpm.DepreciationMonths,INDEX(FixedAssets[Depreciation
/ Amortization Months],_xlfn.XMATCH($E$135,FixedAssets[Asset ID])),IF(AND((_xlfn.XMATCH(BA$8,$AH$8:$CC$8))-_xlfn.XMATCH($C168,$C$35:$C$82)+1&lt;=_xlpm.DepreciationMonths,$C168&lt;=BA$8),$E168/_xlpm.DepreciationMonths,0))</f>
        <v>0</v>
      </c>
      <c r="BB168" s="507" cm="1">
        <f t="array" ref="BB168">_xlfn.LET(_xlpm.DepreciationMonths,INDEX(FixedAssets[Depreciation
/ Amortization Months],_xlfn.XMATCH($E$135,FixedAssets[Asset ID])),IF(AND((_xlfn.XMATCH(BB$8,$AH$8:$CC$8))-_xlfn.XMATCH($C168,$C$35:$C$82)+1&lt;=_xlpm.DepreciationMonths,$C168&lt;=BB$8),$E168/_xlpm.DepreciationMonths,0))</f>
        <v>0</v>
      </c>
      <c r="BC168" s="507" cm="1">
        <f t="array" ref="BC168">_xlfn.LET(_xlpm.DepreciationMonths,INDEX(FixedAssets[Depreciation
/ Amortization Months],_xlfn.XMATCH($E$135,FixedAssets[Asset ID])),IF(AND((_xlfn.XMATCH(BC$8,$AH$8:$CC$8))-_xlfn.XMATCH($C168,$C$35:$C$82)+1&lt;=_xlpm.DepreciationMonths,$C168&lt;=BC$8),$E168/_xlpm.DepreciationMonths,0))</f>
        <v>0</v>
      </c>
      <c r="BD168" s="507" cm="1">
        <f t="array" ref="BD168">_xlfn.LET(_xlpm.DepreciationMonths,INDEX(FixedAssets[Depreciation
/ Amortization Months],_xlfn.XMATCH($E$135,FixedAssets[Asset ID])),IF(AND((_xlfn.XMATCH(BD$8,$AH$8:$CC$8))-_xlfn.XMATCH($C168,$C$35:$C$82)+1&lt;=_xlpm.DepreciationMonths,$C168&lt;=BD$8),$E168/_xlpm.DepreciationMonths,0))</f>
        <v>0</v>
      </c>
      <c r="BE168" s="507" cm="1">
        <f t="array" ref="BE168">_xlfn.LET(_xlpm.DepreciationMonths,INDEX(FixedAssets[Depreciation
/ Amortization Months],_xlfn.XMATCH($E$135,FixedAssets[Asset ID])),IF(AND((_xlfn.XMATCH(BE$8,$AH$8:$CC$8))-_xlfn.XMATCH($C168,$C$35:$C$82)+1&lt;=_xlpm.DepreciationMonths,$C168&lt;=BE$8),$E168/_xlpm.DepreciationMonths,0))</f>
        <v>0</v>
      </c>
      <c r="BF168" s="507" cm="1">
        <f t="array" ref="BF168">_xlfn.LET(_xlpm.DepreciationMonths,INDEX(FixedAssets[Depreciation
/ Amortization Months],_xlfn.XMATCH($E$135,FixedAssets[Asset ID])),IF(AND((_xlfn.XMATCH(BF$8,$AH$8:$CC$8))-_xlfn.XMATCH($C168,$C$35:$C$82)+1&lt;=_xlpm.DepreciationMonths,$C168&lt;=BF$8),$E168/_xlpm.DepreciationMonths,0))</f>
        <v>0</v>
      </c>
      <c r="BG168" s="507" cm="1">
        <f t="array" ref="BG168">_xlfn.LET(_xlpm.DepreciationMonths,INDEX(FixedAssets[Depreciation
/ Amortization Months],_xlfn.XMATCH($E$135,FixedAssets[Asset ID])),IF(AND((_xlfn.XMATCH(BG$8,$AH$8:$CC$8))-_xlfn.XMATCH($C168,$C$35:$C$82)+1&lt;=_xlpm.DepreciationMonths,$C168&lt;=BG$8),$E168/_xlpm.DepreciationMonths,0))</f>
        <v>0</v>
      </c>
      <c r="BH168" s="507" cm="1">
        <f t="array" ref="BH168">_xlfn.LET(_xlpm.DepreciationMonths,INDEX(FixedAssets[Depreciation
/ Amortization Months],_xlfn.XMATCH($E$135,FixedAssets[Asset ID])),IF(AND((_xlfn.XMATCH(BH$8,$AH$8:$CC$8))-_xlfn.XMATCH($C168,$C$35:$C$82)+1&lt;=_xlpm.DepreciationMonths,$C168&lt;=BH$8),$E168/_xlpm.DepreciationMonths,0))</f>
        <v>0</v>
      </c>
      <c r="BI168" s="507" cm="1">
        <f t="array" ref="BI168">_xlfn.LET(_xlpm.DepreciationMonths,INDEX(FixedAssets[Depreciation
/ Amortization Months],_xlfn.XMATCH($E$135,FixedAssets[Asset ID])),IF(AND((_xlfn.XMATCH(BI$8,$AH$8:$CC$8))-_xlfn.XMATCH($C168,$C$35:$C$82)+1&lt;=_xlpm.DepreciationMonths,$C168&lt;=BI$8),$E168/_xlpm.DepreciationMonths,0))</f>
        <v>0</v>
      </c>
      <c r="BJ168" s="507" cm="1">
        <f t="array" ref="BJ168">_xlfn.LET(_xlpm.DepreciationMonths,INDEX(FixedAssets[Depreciation
/ Amortization Months],_xlfn.XMATCH($E$135,FixedAssets[Asset ID])),IF(AND((_xlfn.XMATCH(BJ$8,$AH$8:$CC$8))-_xlfn.XMATCH($C168,$C$35:$C$82)+1&lt;=_xlpm.DepreciationMonths,$C168&lt;=BJ$8),$E168/_xlpm.DepreciationMonths,0))</f>
        <v>0</v>
      </c>
      <c r="BK168" s="507" cm="1">
        <f t="array" ref="BK168">_xlfn.LET(_xlpm.DepreciationMonths,INDEX(FixedAssets[Depreciation
/ Amortization Months],_xlfn.XMATCH($E$135,FixedAssets[Asset ID])),IF(AND((_xlfn.XMATCH(BK$8,$AH$8:$CC$8))-_xlfn.XMATCH($C168,$C$35:$C$82)+1&lt;=_xlpm.DepreciationMonths,$C168&lt;=BK$8),$E168/_xlpm.DepreciationMonths,0))</f>
        <v>0</v>
      </c>
      <c r="BL168" s="507" cm="1">
        <f t="array" ref="BL168">_xlfn.LET(_xlpm.DepreciationMonths,INDEX(FixedAssets[Depreciation
/ Amortization Months],_xlfn.XMATCH($E$135,FixedAssets[Asset ID])),IF(AND((_xlfn.XMATCH(BL$8,$AH$8:$CC$8))-_xlfn.XMATCH($C168,$C$35:$C$82)+1&lt;=_xlpm.DepreciationMonths,$C168&lt;=BL$8),$E168/_xlpm.DepreciationMonths,0))</f>
        <v>0</v>
      </c>
      <c r="BM168" s="507" cm="1">
        <f t="array" ref="BM168">_xlfn.LET(_xlpm.DepreciationMonths,INDEX(FixedAssets[Depreciation
/ Amortization Months],_xlfn.XMATCH($E$135,FixedAssets[Asset ID])),IF(AND((_xlfn.XMATCH(BM$8,$AH$8:$CC$8))-_xlfn.XMATCH($C168,$C$35:$C$82)+1&lt;=_xlpm.DepreciationMonths,$C168&lt;=BM$8),$E168/_xlpm.DepreciationMonths,0))</f>
        <v>0</v>
      </c>
      <c r="BN168" s="507" cm="1">
        <f t="array" ref="BN168">_xlfn.LET(_xlpm.DepreciationMonths,INDEX(FixedAssets[Depreciation
/ Amortization Months],_xlfn.XMATCH($E$135,FixedAssets[Asset ID])),IF(AND((_xlfn.XMATCH(BN$8,$AH$8:$CC$8))-_xlfn.XMATCH($C168,$C$35:$C$82)+1&lt;=_xlpm.DepreciationMonths,$C168&lt;=BN$8),$E168/_xlpm.DepreciationMonths,0))</f>
        <v>0</v>
      </c>
      <c r="BO168" s="507" cm="1">
        <f t="array" ref="BO168">_xlfn.LET(_xlpm.DepreciationMonths,INDEX(FixedAssets[Depreciation
/ Amortization Months],_xlfn.XMATCH($E$135,FixedAssets[Asset ID])),IF(AND((_xlfn.XMATCH(BO$8,$AH$8:$CC$8))-_xlfn.XMATCH($C168,$C$35:$C$82)+1&lt;=_xlpm.DepreciationMonths,$C168&lt;=BO$8),$E168/_xlpm.DepreciationMonths,0))</f>
        <v>0</v>
      </c>
      <c r="BP168" s="507" cm="1">
        <f t="array" ref="BP168">_xlfn.LET(_xlpm.DepreciationMonths,INDEX(FixedAssets[Depreciation
/ Amortization Months],_xlfn.XMATCH($E$135,FixedAssets[Asset ID])),IF(AND((_xlfn.XMATCH(BP$8,$AH$8:$CC$8))-_xlfn.XMATCH($C168,$C$35:$C$82)+1&lt;=_xlpm.DepreciationMonths,$C168&lt;=BP$8),$E168/_xlpm.DepreciationMonths,0))</f>
        <v>0</v>
      </c>
      <c r="BQ168" s="507" cm="1">
        <f t="array" ref="BQ168">_xlfn.LET(_xlpm.DepreciationMonths,INDEX(FixedAssets[Depreciation
/ Amortization Months],_xlfn.XMATCH($E$135,FixedAssets[Asset ID])),IF(AND((_xlfn.XMATCH(BQ$8,$AH$8:$CC$8))-_xlfn.XMATCH($C168,$C$35:$C$82)+1&lt;=_xlpm.DepreciationMonths,$C168&lt;=BQ$8),$E168/_xlpm.DepreciationMonths,0))</f>
        <v>0</v>
      </c>
      <c r="BR168" s="507" cm="1">
        <f t="array" ref="BR168">_xlfn.LET(_xlpm.DepreciationMonths,INDEX(FixedAssets[Depreciation
/ Amortization Months],_xlfn.XMATCH($E$135,FixedAssets[Asset ID])),IF(AND((_xlfn.XMATCH(BR$8,$AH$8:$CC$8))-_xlfn.XMATCH($C168,$C$35:$C$82)+1&lt;=_xlpm.DepreciationMonths,$C168&lt;=BR$8),$E168/_xlpm.DepreciationMonths,0))</f>
        <v>0</v>
      </c>
      <c r="BS168" s="507" cm="1">
        <f t="array" ref="BS168">_xlfn.LET(_xlpm.DepreciationMonths,INDEX(FixedAssets[Depreciation
/ Amortization Months],_xlfn.XMATCH($E$135,FixedAssets[Asset ID])),IF(AND((_xlfn.XMATCH(BS$8,$AH$8:$CC$8))-_xlfn.XMATCH($C168,$C$35:$C$82)+1&lt;=_xlpm.DepreciationMonths,$C168&lt;=BS$8),$E168/_xlpm.DepreciationMonths,0))</f>
        <v>0</v>
      </c>
      <c r="BT168" s="507" cm="1">
        <f t="array" ref="BT168">_xlfn.LET(_xlpm.DepreciationMonths,INDEX(FixedAssets[Depreciation
/ Amortization Months],_xlfn.XMATCH($E$135,FixedAssets[Asset ID])),IF(AND((_xlfn.XMATCH(BT$8,$AH$8:$CC$8))-_xlfn.XMATCH($C168,$C$35:$C$82)+1&lt;=_xlpm.DepreciationMonths,$C168&lt;=BT$8),$E168/_xlpm.DepreciationMonths,0))</f>
        <v>0</v>
      </c>
      <c r="BU168" s="507" cm="1">
        <f t="array" ref="BU168">_xlfn.LET(_xlpm.DepreciationMonths,INDEX(FixedAssets[Depreciation
/ Amortization Months],_xlfn.XMATCH($E$135,FixedAssets[Asset ID])),IF(AND((_xlfn.XMATCH(BU$8,$AH$8:$CC$8))-_xlfn.XMATCH($C168,$C$35:$C$82)+1&lt;=_xlpm.DepreciationMonths,$C168&lt;=BU$8),$E168/_xlpm.DepreciationMonths,0))</f>
        <v>0</v>
      </c>
      <c r="BV168" s="507" cm="1">
        <f t="array" ref="BV168">_xlfn.LET(_xlpm.DepreciationMonths,INDEX(FixedAssets[Depreciation
/ Amortization Months],_xlfn.XMATCH($E$135,FixedAssets[Asset ID])),IF(AND((_xlfn.XMATCH(BV$8,$AH$8:$CC$8))-_xlfn.XMATCH($C168,$C$35:$C$82)+1&lt;=_xlpm.DepreciationMonths,$C168&lt;=BV$8),$E168/_xlpm.DepreciationMonths,0))</f>
        <v>0</v>
      </c>
      <c r="BW168" s="507" cm="1">
        <f t="array" ref="BW168">_xlfn.LET(_xlpm.DepreciationMonths,INDEX(FixedAssets[Depreciation
/ Amortization Months],_xlfn.XMATCH($E$135,FixedAssets[Asset ID])),IF(AND((_xlfn.XMATCH(BW$8,$AH$8:$CC$8))-_xlfn.XMATCH($C168,$C$35:$C$82)+1&lt;=_xlpm.DepreciationMonths,$C168&lt;=BW$8),$E168/_xlpm.DepreciationMonths,0))</f>
        <v>0</v>
      </c>
      <c r="BX168" s="507" cm="1">
        <f t="array" ref="BX168">_xlfn.LET(_xlpm.DepreciationMonths,INDEX(FixedAssets[Depreciation
/ Amortization Months],_xlfn.XMATCH($E$135,FixedAssets[Asset ID])),IF(AND((_xlfn.XMATCH(BX$8,$AH$8:$CC$8))-_xlfn.XMATCH($C168,$C$35:$C$82)+1&lt;=_xlpm.DepreciationMonths,$C168&lt;=BX$8),$E168/_xlpm.DepreciationMonths,0))</f>
        <v>0</v>
      </c>
      <c r="BY168" s="507" cm="1">
        <f t="array" ref="BY168">_xlfn.LET(_xlpm.DepreciationMonths,INDEX(FixedAssets[Depreciation
/ Amortization Months],_xlfn.XMATCH($E$135,FixedAssets[Asset ID])),IF(AND((_xlfn.XMATCH(BY$8,$AH$8:$CC$8))-_xlfn.XMATCH($C168,$C$35:$C$82)+1&lt;=_xlpm.DepreciationMonths,$C168&lt;=BY$8),$E168/_xlpm.DepreciationMonths,0))</f>
        <v>0</v>
      </c>
      <c r="BZ168" s="507" cm="1">
        <f t="array" ref="BZ168">_xlfn.LET(_xlpm.DepreciationMonths,INDEX(FixedAssets[Depreciation
/ Amortization Months],_xlfn.XMATCH($E$135,FixedAssets[Asset ID])),IF(AND((_xlfn.XMATCH(BZ$8,$AH$8:$CC$8))-_xlfn.XMATCH($C168,$C$35:$C$82)+1&lt;=_xlpm.DepreciationMonths,$C168&lt;=BZ$8),$E168/_xlpm.DepreciationMonths,0))</f>
        <v>0</v>
      </c>
      <c r="CA168" s="507" cm="1">
        <f t="array" ref="CA168">_xlfn.LET(_xlpm.DepreciationMonths,INDEX(FixedAssets[Depreciation
/ Amortization Months],_xlfn.XMATCH($E$135,FixedAssets[Asset ID])),IF(AND((_xlfn.XMATCH(CA$8,$AH$8:$CC$8))-_xlfn.XMATCH($C168,$C$35:$C$82)+1&lt;=_xlpm.DepreciationMonths,$C168&lt;=CA$8),$E168/_xlpm.DepreciationMonths,0))</f>
        <v>0</v>
      </c>
      <c r="CB168" s="507" cm="1">
        <f t="array" ref="CB168">_xlfn.LET(_xlpm.DepreciationMonths,INDEX(FixedAssets[Depreciation
/ Amortization Months],_xlfn.XMATCH($E$135,FixedAssets[Asset ID])),IF(AND((_xlfn.XMATCH(CB$8,$AH$8:$CC$8))-_xlfn.XMATCH($C168,$C$35:$C$82)+1&lt;=_xlpm.DepreciationMonths,$C168&lt;=CB$8),$E168/_xlpm.DepreciationMonths,0))</f>
        <v>0</v>
      </c>
      <c r="CC168" s="507" cm="1">
        <f t="array" ref="CC168">_xlfn.LET(_xlpm.DepreciationMonths,INDEX(FixedAssets[Depreciation
/ Amortization Months],_xlfn.XMATCH($E$135,FixedAssets[Asset ID])),IF(AND((_xlfn.XMATCH(CC$8,$AH$8:$CC$8))-_xlfn.XMATCH($C168,$C$35:$C$82)+1&lt;=_xlpm.DepreciationMonths,$C168&lt;=CC$8),$E168/_xlpm.DepreciationMonths,0))</f>
        <v>0</v>
      </c>
    </row>
    <row r="169" spans="3:81" hidden="1" outlineLevel="2">
      <c r="C169" s="664">
        <f t="shared" si="243"/>
        <v>45930</v>
      </c>
      <c r="D169" s="508"/>
      <c r="E169" s="508" cm="1">
        <f t="array" ref="E169">SUMPRODUCT(($AH$26:$CC$31)*($AH$5:$CC$5=$C169)*($E$26:$E$31=E$135))-SUMPRODUCT(($AH$26:$CC$31)*($AH$5:$CC$5=EOMONTH($C169,-1))*($E$26:$E$31=E$135))</f>
        <v>0</v>
      </c>
      <c r="F169" s="508"/>
      <c r="G169" s="508"/>
      <c r="H169" s="508"/>
      <c r="I169" s="508"/>
      <c r="J169" s="504">
        <f t="shared" si="240"/>
        <v>0</v>
      </c>
      <c r="K169" s="504">
        <f t="shared" ref="K169:M184" si="248">SUMIFS($AH169:$CC169,$AH$4:$CC$4,"&gt;="&amp;K$4,$AH$5:$CC$5,"&lt;="&amp;K$5)</f>
        <v>0</v>
      </c>
      <c r="L169" s="504">
        <f t="shared" si="248"/>
        <v>0</v>
      </c>
      <c r="M169" s="504">
        <f t="shared" si="248"/>
        <v>0</v>
      </c>
      <c r="N169" s="504"/>
      <c r="O169" s="504"/>
      <c r="P169" s="504">
        <f t="shared" ref="P169:AE184" si="249">SUMIFS($AH169:$CC169,$AH$4:$CC$4,"&gt;="&amp;P$4,$AH$5:$CC$5,"&lt;="&amp;P$5)</f>
        <v>0</v>
      </c>
      <c r="Q169" s="504">
        <f t="shared" si="249"/>
        <v>0</v>
      </c>
      <c r="R169" s="504">
        <f t="shared" si="249"/>
        <v>0</v>
      </c>
      <c r="S169" s="504">
        <f t="shared" si="249"/>
        <v>0</v>
      </c>
      <c r="T169" s="504">
        <f t="shared" si="249"/>
        <v>0</v>
      </c>
      <c r="U169" s="504">
        <f t="shared" si="249"/>
        <v>0</v>
      </c>
      <c r="V169" s="504">
        <f t="shared" si="249"/>
        <v>0</v>
      </c>
      <c r="W169" s="504">
        <f t="shared" si="249"/>
        <v>0</v>
      </c>
      <c r="X169" s="504">
        <f t="shared" si="249"/>
        <v>0</v>
      </c>
      <c r="Y169" s="504">
        <f t="shared" si="249"/>
        <v>0</v>
      </c>
      <c r="Z169" s="504">
        <f t="shared" si="249"/>
        <v>0</v>
      </c>
      <c r="AA169" s="504">
        <f t="shared" si="249"/>
        <v>0</v>
      </c>
      <c r="AB169" s="504">
        <f t="shared" si="249"/>
        <v>0</v>
      </c>
      <c r="AC169" s="504">
        <f t="shared" si="249"/>
        <v>0</v>
      </c>
      <c r="AD169" s="504">
        <f t="shared" si="249"/>
        <v>0</v>
      </c>
      <c r="AE169" s="504">
        <f t="shared" si="249"/>
        <v>0</v>
      </c>
      <c r="AF169" s="508"/>
      <c r="AG169" s="508"/>
      <c r="AH169" s="507" cm="1">
        <f t="array" ref="AH169">_xlfn.LET(_xlpm.DepreciationMonths,INDEX(FixedAssets[Depreciation
/ Amortization Months],_xlfn.XMATCH($E$135,FixedAssets[Asset ID])),IF(AND((_xlfn.XMATCH(AH$8,$AH$8:$CC$8))-_xlfn.XMATCH($C169,$C$35:$C$82)+1&lt;=_xlpm.DepreciationMonths,$C169&lt;=AH$8),$E169/_xlpm.DepreciationMonths,0))</f>
        <v>0</v>
      </c>
      <c r="AI169" s="507" cm="1">
        <f t="array" ref="AI169">_xlfn.LET(_xlpm.DepreciationMonths,INDEX(FixedAssets[Depreciation
/ Amortization Months],_xlfn.XMATCH($E$135,FixedAssets[Asset ID])),IF(AND((_xlfn.XMATCH(AI$8,$AH$8:$CC$8))-_xlfn.XMATCH($C169,$C$35:$C$82)+1&lt;=_xlpm.DepreciationMonths,$C169&lt;=AI$8),$E169/_xlpm.DepreciationMonths,0))</f>
        <v>0</v>
      </c>
      <c r="AJ169" s="507" cm="1">
        <f t="array" ref="AJ169">_xlfn.LET(_xlpm.DepreciationMonths,INDEX(FixedAssets[Depreciation
/ Amortization Months],_xlfn.XMATCH($E$135,FixedAssets[Asset ID])),IF(AND((_xlfn.XMATCH(AJ$8,$AH$8:$CC$8))-_xlfn.XMATCH($C169,$C$35:$C$82)+1&lt;=_xlpm.DepreciationMonths,$C169&lt;=AJ$8),$E169/_xlpm.DepreciationMonths,0))</f>
        <v>0</v>
      </c>
      <c r="AK169" s="507" cm="1">
        <f t="array" ref="AK169">_xlfn.LET(_xlpm.DepreciationMonths,INDEX(FixedAssets[Depreciation
/ Amortization Months],_xlfn.XMATCH($E$135,FixedAssets[Asset ID])),IF(AND((_xlfn.XMATCH(AK$8,$AH$8:$CC$8))-_xlfn.XMATCH($C169,$C$35:$C$82)+1&lt;=_xlpm.DepreciationMonths,$C169&lt;=AK$8),$E169/_xlpm.DepreciationMonths,0))</f>
        <v>0</v>
      </c>
      <c r="AL169" s="507" cm="1">
        <f t="array" ref="AL169">_xlfn.LET(_xlpm.DepreciationMonths,INDEX(FixedAssets[Depreciation
/ Amortization Months],_xlfn.XMATCH($E$135,FixedAssets[Asset ID])),IF(AND((_xlfn.XMATCH(AL$8,$AH$8:$CC$8))-_xlfn.XMATCH($C169,$C$35:$C$82)+1&lt;=_xlpm.DepreciationMonths,$C169&lt;=AL$8),$E169/_xlpm.DepreciationMonths,0))</f>
        <v>0</v>
      </c>
      <c r="AM169" s="507" cm="1">
        <f t="array" ref="AM169">_xlfn.LET(_xlpm.DepreciationMonths,INDEX(FixedAssets[Depreciation
/ Amortization Months],_xlfn.XMATCH($E$135,FixedAssets[Asset ID])),IF(AND((_xlfn.XMATCH(AM$8,$AH$8:$CC$8))-_xlfn.XMATCH($C169,$C$35:$C$82)+1&lt;=_xlpm.DepreciationMonths,$C169&lt;=AM$8),$E169/_xlpm.DepreciationMonths,0))</f>
        <v>0</v>
      </c>
      <c r="AN169" s="507" cm="1">
        <f t="array" ref="AN169">_xlfn.LET(_xlpm.DepreciationMonths,INDEX(FixedAssets[Depreciation
/ Amortization Months],_xlfn.XMATCH($E$135,FixedAssets[Asset ID])),IF(AND((_xlfn.XMATCH(AN$8,$AH$8:$CC$8))-_xlfn.XMATCH($C169,$C$35:$C$82)+1&lt;=_xlpm.DepreciationMonths,$C169&lt;=AN$8),$E169/_xlpm.DepreciationMonths,0))</f>
        <v>0</v>
      </c>
      <c r="AO169" s="507" cm="1">
        <f t="array" ref="AO169">_xlfn.LET(_xlpm.DepreciationMonths,INDEX(FixedAssets[Depreciation
/ Amortization Months],_xlfn.XMATCH($E$135,FixedAssets[Asset ID])),IF(AND((_xlfn.XMATCH(AO$8,$AH$8:$CC$8))-_xlfn.XMATCH($C169,$C$35:$C$82)+1&lt;=_xlpm.DepreciationMonths,$C169&lt;=AO$8),$E169/_xlpm.DepreciationMonths,0))</f>
        <v>0</v>
      </c>
      <c r="AP169" s="507" cm="1">
        <f t="array" ref="AP169">_xlfn.LET(_xlpm.DepreciationMonths,INDEX(FixedAssets[Depreciation
/ Amortization Months],_xlfn.XMATCH($E$135,FixedAssets[Asset ID])),IF(AND((_xlfn.XMATCH(AP$8,$AH$8:$CC$8))-_xlfn.XMATCH($C169,$C$35:$C$82)+1&lt;=_xlpm.DepreciationMonths,$C169&lt;=AP$8),$E169/_xlpm.DepreciationMonths,0))</f>
        <v>0</v>
      </c>
      <c r="AQ169" s="507" cm="1">
        <f t="array" ref="AQ169">_xlfn.LET(_xlpm.DepreciationMonths,INDEX(FixedAssets[Depreciation
/ Amortization Months],_xlfn.XMATCH($E$135,FixedAssets[Asset ID])),IF(AND((_xlfn.XMATCH(AQ$8,$AH$8:$CC$8))-_xlfn.XMATCH($C169,$C$35:$C$82)+1&lt;=_xlpm.DepreciationMonths,$C169&lt;=AQ$8),$E169/_xlpm.DepreciationMonths,0))</f>
        <v>0</v>
      </c>
      <c r="AR169" s="507" cm="1">
        <f t="array" ref="AR169">_xlfn.LET(_xlpm.DepreciationMonths,INDEX(FixedAssets[Depreciation
/ Amortization Months],_xlfn.XMATCH($E$135,FixedAssets[Asset ID])),IF(AND((_xlfn.XMATCH(AR$8,$AH$8:$CC$8))-_xlfn.XMATCH($C169,$C$35:$C$82)+1&lt;=_xlpm.DepreciationMonths,$C169&lt;=AR$8),$E169/_xlpm.DepreciationMonths,0))</f>
        <v>0</v>
      </c>
      <c r="AS169" s="507" cm="1">
        <f t="array" ref="AS169">_xlfn.LET(_xlpm.DepreciationMonths,INDEX(FixedAssets[Depreciation
/ Amortization Months],_xlfn.XMATCH($E$135,FixedAssets[Asset ID])),IF(AND((_xlfn.XMATCH(AS$8,$AH$8:$CC$8))-_xlfn.XMATCH($C169,$C$35:$C$82)+1&lt;=_xlpm.DepreciationMonths,$C169&lt;=AS$8),$E169/_xlpm.DepreciationMonths,0))</f>
        <v>0</v>
      </c>
      <c r="AT169" s="507" cm="1">
        <f t="array" ref="AT169">_xlfn.LET(_xlpm.DepreciationMonths,INDEX(FixedAssets[Depreciation
/ Amortization Months],_xlfn.XMATCH($E$135,FixedAssets[Asset ID])),IF(AND((_xlfn.XMATCH(AT$8,$AH$8:$CC$8))-_xlfn.XMATCH($C169,$C$35:$C$82)+1&lt;=_xlpm.DepreciationMonths,$C169&lt;=AT$8),$E169/_xlpm.DepreciationMonths,0))</f>
        <v>0</v>
      </c>
      <c r="AU169" s="507" cm="1">
        <f t="array" ref="AU169">_xlfn.LET(_xlpm.DepreciationMonths,INDEX(FixedAssets[Depreciation
/ Amortization Months],_xlfn.XMATCH($E$135,FixedAssets[Asset ID])),IF(AND((_xlfn.XMATCH(AU$8,$AH$8:$CC$8))-_xlfn.XMATCH($C169,$C$35:$C$82)+1&lt;=_xlpm.DepreciationMonths,$C169&lt;=AU$8),$E169/_xlpm.DepreciationMonths,0))</f>
        <v>0</v>
      </c>
      <c r="AV169" s="507" cm="1">
        <f t="array" ref="AV169">_xlfn.LET(_xlpm.DepreciationMonths,INDEX(FixedAssets[Depreciation
/ Amortization Months],_xlfn.XMATCH($E$135,FixedAssets[Asset ID])),IF(AND((_xlfn.XMATCH(AV$8,$AH$8:$CC$8))-_xlfn.XMATCH($C169,$C$35:$C$82)+1&lt;=_xlpm.DepreciationMonths,$C169&lt;=AV$8),$E169/_xlpm.DepreciationMonths,0))</f>
        <v>0</v>
      </c>
      <c r="AW169" s="507" cm="1">
        <f t="array" ref="AW169">_xlfn.LET(_xlpm.DepreciationMonths,INDEX(FixedAssets[Depreciation
/ Amortization Months],_xlfn.XMATCH($E$135,FixedAssets[Asset ID])),IF(AND((_xlfn.XMATCH(AW$8,$AH$8:$CC$8))-_xlfn.XMATCH($C169,$C$35:$C$82)+1&lt;=_xlpm.DepreciationMonths,$C169&lt;=AW$8),$E169/_xlpm.DepreciationMonths,0))</f>
        <v>0</v>
      </c>
      <c r="AX169" s="507" cm="1">
        <f t="array" ref="AX169">_xlfn.LET(_xlpm.DepreciationMonths,INDEX(FixedAssets[Depreciation
/ Amortization Months],_xlfn.XMATCH($E$135,FixedAssets[Asset ID])),IF(AND((_xlfn.XMATCH(AX$8,$AH$8:$CC$8))-_xlfn.XMATCH($C169,$C$35:$C$82)+1&lt;=_xlpm.DepreciationMonths,$C169&lt;=AX$8),$E169/_xlpm.DepreciationMonths,0))</f>
        <v>0</v>
      </c>
      <c r="AY169" s="507" cm="1">
        <f t="array" ref="AY169">_xlfn.LET(_xlpm.DepreciationMonths,INDEX(FixedAssets[Depreciation
/ Amortization Months],_xlfn.XMATCH($E$135,FixedAssets[Asset ID])),IF(AND((_xlfn.XMATCH(AY$8,$AH$8:$CC$8))-_xlfn.XMATCH($C169,$C$35:$C$82)+1&lt;=_xlpm.DepreciationMonths,$C169&lt;=AY$8),$E169/_xlpm.DepreciationMonths,0))</f>
        <v>0</v>
      </c>
      <c r="AZ169" s="507" cm="1">
        <f t="array" ref="AZ169">_xlfn.LET(_xlpm.DepreciationMonths,INDEX(FixedAssets[Depreciation
/ Amortization Months],_xlfn.XMATCH($E$135,FixedAssets[Asset ID])),IF(AND((_xlfn.XMATCH(AZ$8,$AH$8:$CC$8))-_xlfn.XMATCH($C169,$C$35:$C$82)+1&lt;=_xlpm.DepreciationMonths,$C169&lt;=AZ$8),$E169/_xlpm.DepreciationMonths,0))</f>
        <v>0</v>
      </c>
      <c r="BA169" s="507" cm="1">
        <f t="array" ref="BA169">_xlfn.LET(_xlpm.DepreciationMonths,INDEX(FixedAssets[Depreciation
/ Amortization Months],_xlfn.XMATCH($E$135,FixedAssets[Asset ID])),IF(AND((_xlfn.XMATCH(BA$8,$AH$8:$CC$8))-_xlfn.XMATCH($C169,$C$35:$C$82)+1&lt;=_xlpm.DepreciationMonths,$C169&lt;=BA$8),$E169/_xlpm.DepreciationMonths,0))</f>
        <v>0</v>
      </c>
      <c r="BB169" s="507" cm="1">
        <f t="array" ref="BB169">_xlfn.LET(_xlpm.DepreciationMonths,INDEX(FixedAssets[Depreciation
/ Amortization Months],_xlfn.XMATCH($E$135,FixedAssets[Asset ID])),IF(AND((_xlfn.XMATCH(BB$8,$AH$8:$CC$8))-_xlfn.XMATCH($C169,$C$35:$C$82)+1&lt;=_xlpm.DepreciationMonths,$C169&lt;=BB$8),$E169/_xlpm.DepreciationMonths,0))</f>
        <v>0</v>
      </c>
      <c r="BC169" s="507" cm="1">
        <f t="array" ref="BC169">_xlfn.LET(_xlpm.DepreciationMonths,INDEX(FixedAssets[Depreciation
/ Amortization Months],_xlfn.XMATCH($E$135,FixedAssets[Asset ID])),IF(AND((_xlfn.XMATCH(BC$8,$AH$8:$CC$8))-_xlfn.XMATCH($C169,$C$35:$C$82)+1&lt;=_xlpm.DepreciationMonths,$C169&lt;=BC$8),$E169/_xlpm.DepreciationMonths,0))</f>
        <v>0</v>
      </c>
      <c r="BD169" s="507" cm="1">
        <f t="array" ref="BD169">_xlfn.LET(_xlpm.DepreciationMonths,INDEX(FixedAssets[Depreciation
/ Amortization Months],_xlfn.XMATCH($E$135,FixedAssets[Asset ID])),IF(AND((_xlfn.XMATCH(BD$8,$AH$8:$CC$8))-_xlfn.XMATCH($C169,$C$35:$C$82)+1&lt;=_xlpm.DepreciationMonths,$C169&lt;=BD$8),$E169/_xlpm.DepreciationMonths,0))</f>
        <v>0</v>
      </c>
      <c r="BE169" s="507" cm="1">
        <f t="array" ref="BE169">_xlfn.LET(_xlpm.DepreciationMonths,INDEX(FixedAssets[Depreciation
/ Amortization Months],_xlfn.XMATCH($E$135,FixedAssets[Asset ID])),IF(AND((_xlfn.XMATCH(BE$8,$AH$8:$CC$8))-_xlfn.XMATCH($C169,$C$35:$C$82)+1&lt;=_xlpm.DepreciationMonths,$C169&lt;=BE$8),$E169/_xlpm.DepreciationMonths,0))</f>
        <v>0</v>
      </c>
      <c r="BF169" s="507" cm="1">
        <f t="array" ref="BF169">_xlfn.LET(_xlpm.DepreciationMonths,INDEX(FixedAssets[Depreciation
/ Amortization Months],_xlfn.XMATCH($E$135,FixedAssets[Asset ID])),IF(AND((_xlfn.XMATCH(BF$8,$AH$8:$CC$8))-_xlfn.XMATCH($C169,$C$35:$C$82)+1&lt;=_xlpm.DepreciationMonths,$C169&lt;=BF$8),$E169/_xlpm.DepreciationMonths,0))</f>
        <v>0</v>
      </c>
      <c r="BG169" s="507" cm="1">
        <f t="array" ref="BG169">_xlfn.LET(_xlpm.DepreciationMonths,INDEX(FixedAssets[Depreciation
/ Amortization Months],_xlfn.XMATCH($E$135,FixedAssets[Asset ID])),IF(AND((_xlfn.XMATCH(BG$8,$AH$8:$CC$8))-_xlfn.XMATCH($C169,$C$35:$C$82)+1&lt;=_xlpm.DepreciationMonths,$C169&lt;=BG$8),$E169/_xlpm.DepreciationMonths,0))</f>
        <v>0</v>
      </c>
      <c r="BH169" s="507" cm="1">
        <f t="array" ref="BH169">_xlfn.LET(_xlpm.DepreciationMonths,INDEX(FixedAssets[Depreciation
/ Amortization Months],_xlfn.XMATCH($E$135,FixedAssets[Asset ID])),IF(AND((_xlfn.XMATCH(BH$8,$AH$8:$CC$8))-_xlfn.XMATCH($C169,$C$35:$C$82)+1&lt;=_xlpm.DepreciationMonths,$C169&lt;=BH$8),$E169/_xlpm.DepreciationMonths,0))</f>
        <v>0</v>
      </c>
      <c r="BI169" s="507" cm="1">
        <f t="array" ref="BI169">_xlfn.LET(_xlpm.DepreciationMonths,INDEX(FixedAssets[Depreciation
/ Amortization Months],_xlfn.XMATCH($E$135,FixedAssets[Asset ID])),IF(AND((_xlfn.XMATCH(BI$8,$AH$8:$CC$8))-_xlfn.XMATCH($C169,$C$35:$C$82)+1&lt;=_xlpm.DepreciationMonths,$C169&lt;=BI$8),$E169/_xlpm.DepreciationMonths,0))</f>
        <v>0</v>
      </c>
      <c r="BJ169" s="507" cm="1">
        <f t="array" ref="BJ169">_xlfn.LET(_xlpm.DepreciationMonths,INDEX(FixedAssets[Depreciation
/ Amortization Months],_xlfn.XMATCH($E$135,FixedAssets[Asset ID])),IF(AND((_xlfn.XMATCH(BJ$8,$AH$8:$CC$8))-_xlfn.XMATCH($C169,$C$35:$C$82)+1&lt;=_xlpm.DepreciationMonths,$C169&lt;=BJ$8),$E169/_xlpm.DepreciationMonths,0))</f>
        <v>0</v>
      </c>
      <c r="BK169" s="507" cm="1">
        <f t="array" ref="BK169">_xlfn.LET(_xlpm.DepreciationMonths,INDEX(FixedAssets[Depreciation
/ Amortization Months],_xlfn.XMATCH($E$135,FixedAssets[Asset ID])),IF(AND((_xlfn.XMATCH(BK$8,$AH$8:$CC$8))-_xlfn.XMATCH($C169,$C$35:$C$82)+1&lt;=_xlpm.DepreciationMonths,$C169&lt;=BK$8),$E169/_xlpm.DepreciationMonths,0))</f>
        <v>0</v>
      </c>
      <c r="BL169" s="507" cm="1">
        <f t="array" ref="BL169">_xlfn.LET(_xlpm.DepreciationMonths,INDEX(FixedAssets[Depreciation
/ Amortization Months],_xlfn.XMATCH($E$135,FixedAssets[Asset ID])),IF(AND((_xlfn.XMATCH(BL$8,$AH$8:$CC$8))-_xlfn.XMATCH($C169,$C$35:$C$82)+1&lt;=_xlpm.DepreciationMonths,$C169&lt;=BL$8),$E169/_xlpm.DepreciationMonths,0))</f>
        <v>0</v>
      </c>
      <c r="BM169" s="507" cm="1">
        <f t="array" ref="BM169">_xlfn.LET(_xlpm.DepreciationMonths,INDEX(FixedAssets[Depreciation
/ Amortization Months],_xlfn.XMATCH($E$135,FixedAssets[Asset ID])),IF(AND((_xlfn.XMATCH(BM$8,$AH$8:$CC$8))-_xlfn.XMATCH($C169,$C$35:$C$82)+1&lt;=_xlpm.DepreciationMonths,$C169&lt;=BM$8),$E169/_xlpm.DepreciationMonths,0))</f>
        <v>0</v>
      </c>
      <c r="BN169" s="507" cm="1">
        <f t="array" ref="BN169">_xlfn.LET(_xlpm.DepreciationMonths,INDEX(FixedAssets[Depreciation
/ Amortization Months],_xlfn.XMATCH($E$135,FixedAssets[Asset ID])),IF(AND((_xlfn.XMATCH(BN$8,$AH$8:$CC$8))-_xlfn.XMATCH($C169,$C$35:$C$82)+1&lt;=_xlpm.DepreciationMonths,$C169&lt;=BN$8),$E169/_xlpm.DepreciationMonths,0))</f>
        <v>0</v>
      </c>
      <c r="BO169" s="507" cm="1">
        <f t="array" ref="BO169">_xlfn.LET(_xlpm.DepreciationMonths,INDEX(FixedAssets[Depreciation
/ Amortization Months],_xlfn.XMATCH($E$135,FixedAssets[Asset ID])),IF(AND((_xlfn.XMATCH(BO$8,$AH$8:$CC$8))-_xlfn.XMATCH($C169,$C$35:$C$82)+1&lt;=_xlpm.DepreciationMonths,$C169&lt;=BO$8),$E169/_xlpm.DepreciationMonths,0))</f>
        <v>0</v>
      </c>
      <c r="BP169" s="507" cm="1">
        <f t="array" ref="BP169">_xlfn.LET(_xlpm.DepreciationMonths,INDEX(FixedAssets[Depreciation
/ Amortization Months],_xlfn.XMATCH($E$135,FixedAssets[Asset ID])),IF(AND((_xlfn.XMATCH(BP$8,$AH$8:$CC$8))-_xlfn.XMATCH($C169,$C$35:$C$82)+1&lt;=_xlpm.DepreciationMonths,$C169&lt;=BP$8),$E169/_xlpm.DepreciationMonths,0))</f>
        <v>0</v>
      </c>
      <c r="BQ169" s="507" cm="1">
        <f t="array" ref="BQ169">_xlfn.LET(_xlpm.DepreciationMonths,INDEX(FixedAssets[Depreciation
/ Amortization Months],_xlfn.XMATCH($E$135,FixedAssets[Asset ID])),IF(AND((_xlfn.XMATCH(BQ$8,$AH$8:$CC$8))-_xlfn.XMATCH($C169,$C$35:$C$82)+1&lt;=_xlpm.DepreciationMonths,$C169&lt;=BQ$8),$E169/_xlpm.DepreciationMonths,0))</f>
        <v>0</v>
      </c>
      <c r="BR169" s="507" cm="1">
        <f t="array" ref="BR169">_xlfn.LET(_xlpm.DepreciationMonths,INDEX(FixedAssets[Depreciation
/ Amortization Months],_xlfn.XMATCH($E$135,FixedAssets[Asset ID])),IF(AND((_xlfn.XMATCH(BR$8,$AH$8:$CC$8))-_xlfn.XMATCH($C169,$C$35:$C$82)+1&lt;=_xlpm.DepreciationMonths,$C169&lt;=BR$8),$E169/_xlpm.DepreciationMonths,0))</f>
        <v>0</v>
      </c>
      <c r="BS169" s="507" cm="1">
        <f t="array" ref="BS169">_xlfn.LET(_xlpm.DepreciationMonths,INDEX(FixedAssets[Depreciation
/ Amortization Months],_xlfn.XMATCH($E$135,FixedAssets[Asset ID])),IF(AND((_xlfn.XMATCH(BS$8,$AH$8:$CC$8))-_xlfn.XMATCH($C169,$C$35:$C$82)+1&lt;=_xlpm.DepreciationMonths,$C169&lt;=BS$8),$E169/_xlpm.DepreciationMonths,0))</f>
        <v>0</v>
      </c>
      <c r="BT169" s="507" cm="1">
        <f t="array" ref="BT169">_xlfn.LET(_xlpm.DepreciationMonths,INDEX(FixedAssets[Depreciation
/ Amortization Months],_xlfn.XMATCH($E$135,FixedAssets[Asset ID])),IF(AND((_xlfn.XMATCH(BT$8,$AH$8:$CC$8))-_xlfn.XMATCH($C169,$C$35:$C$82)+1&lt;=_xlpm.DepreciationMonths,$C169&lt;=BT$8),$E169/_xlpm.DepreciationMonths,0))</f>
        <v>0</v>
      </c>
      <c r="BU169" s="507" cm="1">
        <f t="array" ref="BU169">_xlfn.LET(_xlpm.DepreciationMonths,INDEX(FixedAssets[Depreciation
/ Amortization Months],_xlfn.XMATCH($E$135,FixedAssets[Asset ID])),IF(AND((_xlfn.XMATCH(BU$8,$AH$8:$CC$8))-_xlfn.XMATCH($C169,$C$35:$C$82)+1&lt;=_xlpm.DepreciationMonths,$C169&lt;=BU$8),$E169/_xlpm.DepreciationMonths,0))</f>
        <v>0</v>
      </c>
      <c r="BV169" s="507" cm="1">
        <f t="array" ref="BV169">_xlfn.LET(_xlpm.DepreciationMonths,INDEX(FixedAssets[Depreciation
/ Amortization Months],_xlfn.XMATCH($E$135,FixedAssets[Asset ID])),IF(AND((_xlfn.XMATCH(BV$8,$AH$8:$CC$8))-_xlfn.XMATCH($C169,$C$35:$C$82)+1&lt;=_xlpm.DepreciationMonths,$C169&lt;=BV$8),$E169/_xlpm.DepreciationMonths,0))</f>
        <v>0</v>
      </c>
      <c r="BW169" s="507" cm="1">
        <f t="array" ref="BW169">_xlfn.LET(_xlpm.DepreciationMonths,INDEX(FixedAssets[Depreciation
/ Amortization Months],_xlfn.XMATCH($E$135,FixedAssets[Asset ID])),IF(AND((_xlfn.XMATCH(BW$8,$AH$8:$CC$8))-_xlfn.XMATCH($C169,$C$35:$C$82)+1&lt;=_xlpm.DepreciationMonths,$C169&lt;=BW$8),$E169/_xlpm.DepreciationMonths,0))</f>
        <v>0</v>
      </c>
      <c r="BX169" s="507" cm="1">
        <f t="array" ref="BX169">_xlfn.LET(_xlpm.DepreciationMonths,INDEX(FixedAssets[Depreciation
/ Amortization Months],_xlfn.XMATCH($E$135,FixedAssets[Asset ID])),IF(AND((_xlfn.XMATCH(BX$8,$AH$8:$CC$8))-_xlfn.XMATCH($C169,$C$35:$C$82)+1&lt;=_xlpm.DepreciationMonths,$C169&lt;=BX$8),$E169/_xlpm.DepreciationMonths,0))</f>
        <v>0</v>
      </c>
      <c r="BY169" s="507" cm="1">
        <f t="array" ref="BY169">_xlfn.LET(_xlpm.DepreciationMonths,INDEX(FixedAssets[Depreciation
/ Amortization Months],_xlfn.XMATCH($E$135,FixedAssets[Asset ID])),IF(AND((_xlfn.XMATCH(BY$8,$AH$8:$CC$8))-_xlfn.XMATCH($C169,$C$35:$C$82)+1&lt;=_xlpm.DepreciationMonths,$C169&lt;=BY$8),$E169/_xlpm.DepreciationMonths,0))</f>
        <v>0</v>
      </c>
      <c r="BZ169" s="507" cm="1">
        <f t="array" ref="BZ169">_xlfn.LET(_xlpm.DepreciationMonths,INDEX(FixedAssets[Depreciation
/ Amortization Months],_xlfn.XMATCH($E$135,FixedAssets[Asset ID])),IF(AND((_xlfn.XMATCH(BZ$8,$AH$8:$CC$8))-_xlfn.XMATCH($C169,$C$35:$C$82)+1&lt;=_xlpm.DepreciationMonths,$C169&lt;=BZ$8),$E169/_xlpm.DepreciationMonths,0))</f>
        <v>0</v>
      </c>
      <c r="CA169" s="507" cm="1">
        <f t="array" ref="CA169">_xlfn.LET(_xlpm.DepreciationMonths,INDEX(FixedAssets[Depreciation
/ Amortization Months],_xlfn.XMATCH($E$135,FixedAssets[Asset ID])),IF(AND((_xlfn.XMATCH(CA$8,$AH$8:$CC$8))-_xlfn.XMATCH($C169,$C$35:$C$82)+1&lt;=_xlpm.DepreciationMonths,$C169&lt;=CA$8),$E169/_xlpm.DepreciationMonths,0))</f>
        <v>0</v>
      </c>
      <c r="CB169" s="507" cm="1">
        <f t="array" ref="CB169">_xlfn.LET(_xlpm.DepreciationMonths,INDEX(FixedAssets[Depreciation
/ Amortization Months],_xlfn.XMATCH($E$135,FixedAssets[Asset ID])),IF(AND((_xlfn.XMATCH(CB$8,$AH$8:$CC$8))-_xlfn.XMATCH($C169,$C$35:$C$82)+1&lt;=_xlpm.DepreciationMonths,$C169&lt;=CB$8),$E169/_xlpm.DepreciationMonths,0))</f>
        <v>0</v>
      </c>
      <c r="CC169" s="507" cm="1">
        <f t="array" ref="CC169">_xlfn.LET(_xlpm.DepreciationMonths,INDEX(FixedAssets[Depreciation
/ Amortization Months],_xlfn.XMATCH($E$135,FixedAssets[Asset ID])),IF(AND((_xlfn.XMATCH(CC$8,$AH$8:$CC$8))-_xlfn.XMATCH($C169,$C$35:$C$82)+1&lt;=_xlpm.DepreciationMonths,$C169&lt;=CC$8),$E169/_xlpm.DepreciationMonths,0))</f>
        <v>0</v>
      </c>
    </row>
    <row r="170" spans="3:81" hidden="1" outlineLevel="2">
      <c r="C170" s="664">
        <f t="shared" si="243"/>
        <v>45961</v>
      </c>
      <c r="D170" s="508"/>
      <c r="E170" s="508" cm="1">
        <f t="array" ref="E170">SUMPRODUCT(($AH$26:$CC$31)*($AH$5:$CC$5=$C170)*($E$26:$E$31=E$135))-SUMPRODUCT(($AH$26:$CC$31)*($AH$5:$CC$5=EOMONTH($C170,-1))*($E$26:$E$31=E$135))</f>
        <v>0</v>
      </c>
      <c r="F170" s="508"/>
      <c r="G170" s="508"/>
      <c r="H170" s="508"/>
      <c r="I170" s="508"/>
      <c r="J170" s="504">
        <f t="shared" si="240"/>
        <v>0</v>
      </c>
      <c r="K170" s="504">
        <f t="shared" si="248"/>
        <v>0</v>
      </c>
      <c r="L170" s="504">
        <f t="shared" si="248"/>
        <v>0</v>
      </c>
      <c r="M170" s="504">
        <f t="shared" si="248"/>
        <v>0</v>
      </c>
      <c r="N170" s="504"/>
      <c r="O170" s="504"/>
      <c r="P170" s="504">
        <f t="shared" si="249"/>
        <v>0</v>
      </c>
      <c r="Q170" s="504">
        <f t="shared" si="249"/>
        <v>0</v>
      </c>
      <c r="R170" s="504">
        <f t="shared" si="249"/>
        <v>0</v>
      </c>
      <c r="S170" s="504">
        <f t="shared" si="249"/>
        <v>0</v>
      </c>
      <c r="T170" s="504">
        <f t="shared" si="249"/>
        <v>0</v>
      </c>
      <c r="U170" s="504">
        <f t="shared" si="249"/>
        <v>0</v>
      </c>
      <c r="V170" s="504">
        <f t="shared" si="249"/>
        <v>0</v>
      </c>
      <c r="W170" s="504">
        <f t="shared" si="249"/>
        <v>0</v>
      </c>
      <c r="X170" s="504">
        <f t="shared" si="249"/>
        <v>0</v>
      </c>
      <c r="Y170" s="504">
        <f t="shared" si="249"/>
        <v>0</v>
      </c>
      <c r="Z170" s="504">
        <f t="shared" si="249"/>
        <v>0</v>
      </c>
      <c r="AA170" s="504">
        <f t="shared" si="249"/>
        <v>0</v>
      </c>
      <c r="AB170" s="504">
        <f t="shared" si="249"/>
        <v>0</v>
      </c>
      <c r="AC170" s="504">
        <f t="shared" si="249"/>
        <v>0</v>
      </c>
      <c r="AD170" s="504">
        <f t="shared" si="249"/>
        <v>0</v>
      </c>
      <c r="AE170" s="504">
        <f t="shared" si="249"/>
        <v>0</v>
      </c>
      <c r="AF170" s="508"/>
      <c r="AG170" s="508"/>
      <c r="AH170" s="507" cm="1">
        <f t="array" ref="AH170">_xlfn.LET(_xlpm.DepreciationMonths,INDEX(FixedAssets[Depreciation
/ Amortization Months],_xlfn.XMATCH($E$135,FixedAssets[Asset ID])),IF(AND((_xlfn.XMATCH(AH$8,$AH$8:$CC$8))-_xlfn.XMATCH($C170,$C$35:$C$82)+1&lt;=_xlpm.DepreciationMonths,$C170&lt;=AH$8),$E170/_xlpm.DepreciationMonths,0))</f>
        <v>0</v>
      </c>
      <c r="AI170" s="507" cm="1">
        <f t="array" ref="AI170">_xlfn.LET(_xlpm.DepreciationMonths,INDEX(FixedAssets[Depreciation
/ Amortization Months],_xlfn.XMATCH($E$135,FixedAssets[Asset ID])),IF(AND((_xlfn.XMATCH(AI$8,$AH$8:$CC$8))-_xlfn.XMATCH($C170,$C$35:$C$82)+1&lt;=_xlpm.DepreciationMonths,$C170&lt;=AI$8),$E170/_xlpm.DepreciationMonths,0))</f>
        <v>0</v>
      </c>
      <c r="AJ170" s="507" cm="1">
        <f t="array" ref="AJ170">_xlfn.LET(_xlpm.DepreciationMonths,INDEX(FixedAssets[Depreciation
/ Amortization Months],_xlfn.XMATCH($E$135,FixedAssets[Asset ID])),IF(AND((_xlfn.XMATCH(AJ$8,$AH$8:$CC$8))-_xlfn.XMATCH($C170,$C$35:$C$82)+1&lt;=_xlpm.DepreciationMonths,$C170&lt;=AJ$8),$E170/_xlpm.DepreciationMonths,0))</f>
        <v>0</v>
      </c>
      <c r="AK170" s="507" cm="1">
        <f t="array" ref="AK170">_xlfn.LET(_xlpm.DepreciationMonths,INDEX(FixedAssets[Depreciation
/ Amortization Months],_xlfn.XMATCH($E$135,FixedAssets[Asset ID])),IF(AND((_xlfn.XMATCH(AK$8,$AH$8:$CC$8))-_xlfn.XMATCH($C170,$C$35:$C$82)+1&lt;=_xlpm.DepreciationMonths,$C170&lt;=AK$8),$E170/_xlpm.DepreciationMonths,0))</f>
        <v>0</v>
      </c>
      <c r="AL170" s="507" cm="1">
        <f t="array" ref="AL170">_xlfn.LET(_xlpm.DepreciationMonths,INDEX(FixedAssets[Depreciation
/ Amortization Months],_xlfn.XMATCH($E$135,FixedAssets[Asset ID])),IF(AND((_xlfn.XMATCH(AL$8,$AH$8:$CC$8))-_xlfn.XMATCH($C170,$C$35:$C$82)+1&lt;=_xlpm.DepreciationMonths,$C170&lt;=AL$8),$E170/_xlpm.DepreciationMonths,0))</f>
        <v>0</v>
      </c>
      <c r="AM170" s="507" cm="1">
        <f t="array" ref="AM170">_xlfn.LET(_xlpm.DepreciationMonths,INDEX(FixedAssets[Depreciation
/ Amortization Months],_xlfn.XMATCH($E$135,FixedAssets[Asset ID])),IF(AND((_xlfn.XMATCH(AM$8,$AH$8:$CC$8))-_xlfn.XMATCH($C170,$C$35:$C$82)+1&lt;=_xlpm.DepreciationMonths,$C170&lt;=AM$8),$E170/_xlpm.DepreciationMonths,0))</f>
        <v>0</v>
      </c>
      <c r="AN170" s="507" cm="1">
        <f t="array" ref="AN170">_xlfn.LET(_xlpm.DepreciationMonths,INDEX(FixedAssets[Depreciation
/ Amortization Months],_xlfn.XMATCH($E$135,FixedAssets[Asset ID])),IF(AND((_xlfn.XMATCH(AN$8,$AH$8:$CC$8))-_xlfn.XMATCH($C170,$C$35:$C$82)+1&lt;=_xlpm.DepreciationMonths,$C170&lt;=AN$8),$E170/_xlpm.DepreciationMonths,0))</f>
        <v>0</v>
      </c>
      <c r="AO170" s="507" cm="1">
        <f t="array" ref="AO170">_xlfn.LET(_xlpm.DepreciationMonths,INDEX(FixedAssets[Depreciation
/ Amortization Months],_xlfn.XMATCH($E$135,FixedAssets[Asset ID])),IF(AND((_xlfn.XMATCH(AO$8,$AH$8:$CC$8))-_xlfn.XMATCH($C170,$C$35:$C$82)+1&lt;=_xlpm.DepreciationMonths,$C170&lt;=AO$8),$E170/_xlpm.DepreciationMonths,0))</f>
        <v>0</v>
      </c>
      <c r="AP170" s="507" cm="1">
        <f t="array" ref="AP170">_xlfn.LET(_xlpm.DepreciationMonths,INDEX(FixedAssets[Depreciation
/ Amortization Months],_xlfn.XMATCH($E$135,FixedAssets[Asset ID])),IF(AND((_xlfn.XMATCH(AP$8,$AH$8:$CC$8))-_xlfn.XMATCH($C170,$C$35:$C$82)+1&lt;=_xlpm.DepreciationMonths,$C170&lt;=AP$8),$E170/_xlpm.DepreciationMonths,0))</f>
        <v>0</v>
      </c>
      <c r="AQ170" s="507" cm="1">
        <f t="array" ref="AQ170">_xlfn.LET(_xlpm.DepreciationMonths,INDEX(FixedAssets[Depreciation
/ Amortization Months],_xlfn.XMATCH($E$135,FixedAssets[Asset ID])),IF(AND((_xlfn.XMATCH(AQ$8,$AH$8:$CC$8))-_xlfn.XMATCH($C170,$C$35:$C$82)+1&lt;=_xlpm.DepreciationMonths,$C170&lt;=AQ$8),$E170/_xlpm.DepreciationMonths,0))</f>
        <v>0</v>
      </c>
      <c r="AR170" s="507" cm="1">
        <f t="array" ref="AR170">_xlfn.LET(_xlpm.DepreciationMonths,INDEX(FixedAssets[Depreciation
/ Amortization Months],_xlfn.XMATCH($E$135,FixedAssets[Asset ID])),IF(AND((_xlfn.XMATCH(AR$8,$AH$8:$CC$8))-_xlfn.XMATCH($C170,$C$35:$C$82)+1&lt;=_xlpm.DepreciationMonths,$C170&lt;=AR$8),$E170/_xlpm.DepreciationMonths,0))</f>
        <v>0</v>
      </c>
      <c r="AS170" s="507" cm="1">
        <f t="array" ref="AS170">_xlfn.LET(_xlpm.DepreciationMonths,INDEX(FixedAssets[Depreciation
/ Amortization Months],_xlfn.XMATCH($E$135,FixedAssets[Asset ID])),IF(AND((_xlfn.XMATCH(AS$8,$AH$8:$CC$8))-_xlfn.XMATCH($C170,$C$35:$C$82)+1&lt;=_xlpm.DepreciationMonths,$C170&lt;=AS$8),$E170/_xlpm.DepreciationMonths,0))</f>
        <v>0</v>
      </c>
      <c r="AT170" s="507" cm="1">
        <f t="array" ref="AT170">_xlfn.LET(_xlpm.DepreciationMonths,INDEX(FixedAssets[Depreciation
/ Amortization Months],_xlfn.XMATCH($E$135,FixedAssets[Asset ID])),IF(AND((_xlfn.XMATCH(AT$8,$AH$8:$CC$8))-_xlfn.XMATCH($C170,$C$35:$C$82)+1&lt;=_xlpm.DepreciationMonths,$C170&lt;=AT$8),$E170/_xlpm.DepreciationMonths,0))</f>
        <v>0</v>
      </c>
      <c r="AU170" s="507" cm="1">
        <f t="array" ref="AU170">_xlfn.LET(_xlpm.DepreciationMonths,INDEX(FixedAssets[Depreciation
/ Amortization Months],_xlfn.XMATCH($E$135,FixedAssets[Asset ID])),IF(AND((_xlfn.XMATCH(AU$8,$AH$8:$CC$8))-_xlfn.XMATCH($C170,$C$35:$C$82)+1&lt;=_xlpm.DepreciationMonths,$C170&lt;=AU$8),$E170/_xlpm.DepreciationMonths,0))</f>
        <v>0</v>
      </c>
      <c r="AV170" s="507" cm="1">
        <f t="array" ref="AV170">_xlfn.LET(_xlpm.DepreciationMonths,INDEX(FixedAssets[Depreciation
/ Amortization Months],_xlfn.XMATCH($E$135,FixedAssets[Asset ID])),IF(AND((_xlfn.XMATCH(AV$8,$AH$8:$CC$8))-_xlfn.XMATCH($C170,$C$35:$C$82)+1&lt;=_xlpm.DepreciationMonths,$C170&lt;=AV$8),$E170/_xlpm.DepreciationMonths,0))</f>
        <v>0</v>
      </c>
      <c r="AW170" s="507" cm="1">
        <f t="array" ref="AW170">_xlfn.LET(_xlpm.DepreciationMonths,INDEX(FixedAssets[Depreciation
/ Amortization Months],_xlfn.XMATCH($E$135,FixedAssets[Asset ID])),IF(AND((_xlfn.XMATCH(AW$8,$AH$8:$CC$8))-_xlfn.XMATCH($C170,$C$35:$C$82)+1&lt;=_xlpm.DepreciationMonths,$C170&lt;=AW$8),$E170/_xlpm.DepreciationMonths,0))</f>
        <v>0</v>
      </c>
      <c r="AX170" s="507" cm="1">
        <f t="array" ref="AX170">_xlfn.LET(_xlpm.DepreciationMonths,INDEX(FixedAssets[Depreciation
/ Amortization Months],_xlfn.XMATCH($E$135,FixedAssets[Asset ID])),IF(AND((_xlfn.XMATCH(AX$8,$AH$8:$CC$8))-_xlfn.XMATCH($C170,$C$35:$C$82)+1&lt;=_xlpm.DepreciationMonths,$C170&lt;=AX$8),$E170/_xlpm.DepreciationMonths,0))</f>
        <v>0</v>
      </c>
      <c r="AY170" s="507" cm="1">
        <f t="array" ref="AY170">_xlfn.LET(_xlpm.DepreciationMonths,INDEX(FixedAssets[Depreciation
/ Amortization Months],_xlfn.XMATCH($E$135,FixedAssets[Asset ID])),IF(AND((_xlfn.XMATCH(AY$8,$AH$8:$CC$8))-_xlfn.XMATCH($C170,$C$35:$C$82)+1&lt;=_xlpm.DepreciationMonths,$C170&lt;=AY$8),$E170/_xlpm.DepreciationMonths,0))</f>
        <v>0</v>
      </c>
      <c r="AZ170" s="507" cm="1">
        <f t="array" ref="AZ170">_xlfn.LET(_xlpm.DepreciationMonths,INDEX(FixedAssets[Depreciation
/ Amortization Months],_xlfn.XMATCH($E$135,FixedAssets[Asset ID])),IF(AND((_xlfn.XMATCH(AZ$8,$AH$8:$CC$8))-_xlfn.XMATCH($C170,$C$35:$C$82)+1&lt;=_xlpm.DepreciationMonths,$C170&lt;=AZ$8),$E170/_xlpm.DepreciationMonths,0))</f>
        <v>0</v>
      </c>
      <c r="BA170" s="507" cm="1">
        <f t="array" ref="BA170">_xlfn.LET(_xlpm.DepreciationMonths,INDEX(FixedAssets[Depreciation
/ Amortization Months],_xlfn.XMATCH($E$135,FixedAssets[Asset ID])),IF(AND((_xlfn.XMATCH(BA$8,$AH$8:$CC$8))-_xlfn.XMATCH($C170,$C$35:$C$82)+1&lt;=_xlpm.DepreciationMonths,$C170&lt;=BA$8),$E170/_xlpm.DepreciationMonths,0))</f>
        <v>0</v>
      </c>
      <c r="BB170" s="507" cm="1">
        <f t="array" ref="BB170">_xlfn.LET(_xlpm.DepreciationMonths,INDEX(FixedAssets[Depreciation
/ Amortization Months],_xlfn.XMATCH($E$135,FixedAssets[Asset ID])),IF(AND((_xlfn.XMATCH(BB$8,$AH$8:$CC$8))-_xlfn.XMATCH($C170,$C$35:$C$82)+1&lt;=_xlpm.DepreciationMonths,$C170&lt;=BB$8),$E170/_xlpm.DepreciationMonths,0))</f>
        <v>0</v>
      </c>
      <c r="BC170" s="507" cm="1">
        <f t="array" ref="BC170">_xlfn.LET(_xlpm.DepreciationMonths,INDEX(FixedAssets[Depreciation
/ Amortization Months],_xlfn.XMATCH($E$135,FixedAssets[Asset ID])),IF(AND((_xlfn.XMATCH(BC$8,$AH$8:$CC$8))-_xlfn.XMATCH($C170,$C$35:$C$82)+1&lt;=_xlpm.DepreciationMonths,$C170&lt;=BC$8),$E170/_xlpm.DepreciationMonths,0))</f>
        <v>0</v>
      </c>
      <c r="BD170" s="507" cm="1">
        <f t="array" ref="BD170">_xlfn.LET(_xlpm.DepreciationMonths,INDEX(FixedAssets[Depreciation
/ Amortization Months],_xlfn.XMATCH($E$135,FixedAssets[Asset ID])),IF(AND((_xlfn.XMATCH(BD$8,$AH$8:$CC$8))-_xlfn.XMATCH($C170,$C$35:$C$82)+1&lt;=_xlpm.DepreciationMonths,$C170&lt;=BD$8),$E170/_xlpm.DepreciationMonths,0))</f>
        <v>0</v>
      </c>
      <c r="BE170" s="507" cm="1">
        <f t="array" ref="BE170">_xlfn.LET(_xlpm.DepreciationMonths,INDEX(FixedAssets[Depreciation
/ Amortization Months],_xlfn.XMATCH($E$135,FixedAssets[Asset ID])),IF(AND((_xlfn.XMATCH(BE$8,$AH$8:$CC$8))-_xlfn.XMATCH($C170,$C$35:$C$82)+1&lt;=_xlpm.DepreciationMonths,$C170&lt;=BE$8),$E170/_xlpm.DepreciationMonths,0))</f>
        <v>0</v>
      </c>
      <c r="BF170" s="507" cm="1">
        <f t="array" ref="BF170">_xlfn.LET(_xlpm.DepreciationMonths,INDEX(FixedAssets[Depreciation
/ Amortization Months],_xlfn.XMATCH($E$135,FixedAssets[Asset ID])),IF(AND((_xlfn.XMATCH(BF$8,$AH$8:$CC$8))-_xlfn.XMATCH($C170,$C$35:$C$82)+1&lt;=_xlpm.DepreciationMonths,$C170&lt;=BF$8),$E170/_xlpm.DepreciationMonths,0))</f>
        <v>0</v>
      </c>
      <c r="BG170" s="507" cm="1">
        <f t="array" ref="BG170">_xlfn.LET(_xlpm.DepreciationMonths,INDEX(FixedAssets[Depreciation
/ Amortization Months],_xlfn.XMATCH($E$135,FixedAssets[Asset ID])),IF(AND((_xlfn.XMATCH(BG$8,$AH$8:$CC$8))-_xlfn.XMATCH($C170,$C$35:$C$82)+1&lt;=_xlpm.DepreciationMonths,$C170&lt;=BG$8),$E170/_xlpm.DepreciationMonths,0))</f>
        <v>0</v>
      </c>
      <c r="BH170" s="507" cm="1">
        <f t="array" ref="BH170">_xlfn.LET(_xlpm.DepreciationMonths,INDEX(FixedAssets[Depreciation
/ Amortization Months],_xlfn.XMATCH($E$135,FixedAssets[Asset ID])),IF(AND((_xlfn.XMATCH(BH$8,$AH$8:$CC$8))-_xlfn.XMATCH($C170,$C$35:$C$82)+1&lt;=_xlpm.DepreciationMonths,$C170&lt;=BH$8),$E170/_xlpm.DepreciationMonths,0))</f>
        <v>0</v>
      </c>
      <c r="BI170" s="507" cm="1">
        <f t="array" ref="BI170">_xlfn.LET(_xlpm.DepreciationMonths,INDEX(FixedAssets[Depreciation
/ Amortization Months],_xlfn.XMATCH($E$135,FixedAssets[Asset ID])),IF(AND((_xlfn.XMATCH(BI$8,$AH$8:$CC$8))-_xlfn.XMATCH($C170,$C$35:$C$82)+1&lt;=_xlpm.DepreciationMonths,$C170&lt;=BI$8),$E170/_xlpm.DepreciationMonths,0))</f>
        <v>0</v>
      </c>
      <c r="BJ170" s="507" cm="1">
        <f t="array" ref="BJ170">_xlfn.LET(_xlpm.DepreciationMonths,INDEX(FixedAssets[Depreciation
/ Amortization Months],_xlfn.XMATCH($E$135,FixedAssets[Asset ID])),IF(AND((_xlfn.XMATCH(BJ$8,$AH$8:$CC$8))-_xlfn.XMATCH($C170,$C$35:$C$82)+1&lt;=_xlpm.DepreciationMonths,$C170&lt;=BJ$8),$E170/_xlpm.DepreciationMonths,0))</f>
        <v>0</v>
      </c>
      <c r="BK170" s="507" cm="1">
        <f t="array" ref="BK170">_xlfn.LET(_xlpm.DepreciationMonths,INDEX(FixedAssets[Depreciation
/ Amortization Months],_xlfn.XMATCH($E$135,FixedAssets[Asset ID])),IF(AND((_xlfn.XMATCH(BK$8,$AH$8:$CC$8))-_xlfn.XMATCH($C170,$C$35:$C$82)+1&lt;=_xlpm.DepreciationMonths,$C170&lt;=BK$8),$E170/_xlpm.DepreciationMonths,0))</f>
        <v>0</v>
      </c>
      <c r="BL170" s="507" cm="1">
        <f t="array" ref="BL170">_xlfn.LET(_xlpm.DepreciationMonths,INDEX(FixedAssets[Depreciation
/ Amortization Months],_xlfn.XMATCH($E$135,FixedAssets[Asset ID])),IF(AND((_xlfn.XMATCH(BL$8,$AH$8:$CC$8))-_xlfn.XMATCH($C170,$C$35:$C$82)+1&lt;=_xlpm.DepreciationMonths,$C170&lt;=BL$8),$E170/_xlpm.DepreciationMonths,0))</f>
        <v>0</v>
      </c>
      <c r="BM170" s="507" cm="1">
        <f t="array" ref="BM170">_xlfn.LET(_xlpm.DepreciationMonths,INDEX(FixedAssets[Depreciation
/ Amortization Months],_xlfn.XMATCH($E$135,FixedAssets[Asset ID])),IF(AND((_xlfn.XMATCH(BM$8,$AH$8:$CC$8))-_xlfn.XMATCH($C170,$C$35:$C$82)+1&lt;=_xlpm.DepreciationMonths,$C170&lt;=BM$8),$E170/_xlpm.DepreciationMonths,0))</f>
        <v>0</v>
      </c>
      <c r="BN170" s="507" cm="1">
        <f t="array" ref="BN170">_xlfn.LET(_xlpm.DepreciationMonths,INDEX(FixedAssets[Depreciation
/ Amortization Months],_xlfn.XMATCH($E$135,FixedAssets[Asset ID])),IF(AND((_xlfn.XMATCH(BN$8,$AH$8:$CC$8))-_xlfn.XMATCH($C170,$C$35:$C$82)+1&lt;=_xlpm.DepreciationMonths,$C170&lt;=BN$8),$E170/_xlpm.DepreciationMonths,0))</f>
        <v>0</v>
      </c>
      <c r="BO170" s="507" cm="1">
        <f t="array" ref="BO170">_xlfn.LET(_xlpm.DepreciationMonths,INDEX(FixedAssets[Depreciation
/ Amortization Months],_xlfn.XMATCH($E$135,FixedAssets[Asset ID])),IF(AND((_xlfn.XMATCH(BO$8,$AH$8:$CC$8))-_xlfn.XMATCH($C170,$C$35:$C$82)+1&lt;=_xlpm.DepreciationMonths,$C170&lt;=BO$8),$E170/_xlpm.DepreciationMonths,0))</f>
        <v>0</v>
      </c>
      <c r="BP170" s="507" cm="1">
        <f t="array" ref="BP170">_xlfn.LET(_xlpm.DepreciationMonths,INDEX(FixedAssets[Depreciation
/ Amortization Months],_xlfn.XMATCH($E$135,FixedAssets[Asset ID])),IF(AND((_xlfn.XMATCH(BP$8,$AH$8:$CC$8))-_xlfn.XMATCH($C170,$C$35:$C$82)+1&lt;=_xlpm.DepreciationMonths,$C170&lt;=BP$8),$E170/_xlpm.DepreciationMonths,0))</f>
        <v>0</v>
      </c>
      <c r="BQ170" s="507" cm="1">
        <f t="array" ref="BQ170">_xlfn.LET(_xlpm.DepreciationMonths,INDEX(FixedAssets[Depreciation
/ Amortization Months],_xlfn.XMATCH($E$135,FixedAssets[Asset ID])),IF(AND((_xlfn.XMATCH(BQ$8,$AH$8:$CC$8))-_xlfn.XMATCH($C170,$C$35:$C$82)+1&lt;=_xlpm.DepreciationMonths,$C170&lt;=BQ$8),$E170/_xlpm.DepreciationMonths,0))</f>
        <v>0</v>
      </c>
      <c r="BR170" s="507" cm="1">
        <f t="array" ref="BR170">_xlfn.LET(_xlpm.DepreciationMonths,INDEX(FixedAssets[Depreciation
/ Amortization Months],_xlfn.XMATCH($E$135,FixedAssets[Asset ID])),IF(AND((_xlfn.XMATCH(BR$8,$AH$8:$CC$8))-_xlfn.XMATCH($C170,$C$35:$C$82)+1&lt;=_xlpm.DepreciationMonths,$C170&lt;=BR$8),$E170/_xlpm.DepreciationMonths,0))</f>
        <v>0</v>
      </c>
      <c r="BS170" s="507" cm="1">
        <f t="array" ref="BS170">_xlfn.LET(_xlpm.DepreciationMonths,INDEX(FixedAssets[Depreciation
/ Amortization Months],_xlfn.XMATCH($E$135,FixedAssets[Asset ID])),IF(AND((_xlfn.XMATCH(BS$8,$AH$8:$CC$8))-_xlfn.XMATCH($C170,$C$35:$C$82)+1&lt;=_xlpm.DepreciationMonths,$C170&lt;=BS$8),$E170/_xlpm.DepreciationMonths,0))</f>
        <v>0</v>
      </c>
      <c r="BT170" s="507" cm="1">
        <f t="array" ref="BT170">_xlfn.LET(_xlpm.DepreciationMonths,INDEX(FixedAssets[Depreciation
/ Amortization Months],_xlfn.XMATCH($E$135,FixedAssets[Asset ID])),IF(AND((_xlfn.XMATCH(BT$8,$AH$8:$CC$8))-_xlfn.XMATCH($C170,$C$35:$C$82)+1&lt;=_xlpm.DepreciationMonths,$C170&lt;=BT$8),$E170/_xlpm.DepreciationMonths,0))</f>
        <v>0</v>
      </c>
      <c r="BU170" s="507" cm="1">
        <f t="array" ref="BU170">_xlfn.LET(_xlpm.DepreciationMonths,INDEX(FixedAssets[Depreciation
/ Amortization Months],_xlfn.XMATCH($E$135,FixedAssets[Asset ID])),IF(AND((_xlfn.XMATCH(BU$8,$AH$8:$CC$8))-_xlfn.XMATCH($C170,$C$35:$C$82)+1&lt;=_xlpm.DepreciationMonths,$C170&lt;=BU$8),$E170/_xlpm.DepreciationMonths,0))</f>
        <v>0</v>
      </c>
      <c r="BV170" s="507" cm="1">
        <f t="array" ref="BV170">_xlfn.LET(_xlpm.DepreciationMonths,INDEX(FixedAssets[Depreciation
/ Amortization Months],_xlfn.XMATCH($E$135,FixedAssets[Asset ID])),IF(AND((_xlfn.XMATCH(BV$8,$AH$8:$CC$8))-_xlfn.XMATCH($C170,$C$35:$C$82)+1&lt;=_xlpm.DepreciationMonths,$C170&lt;=BV$8),$E170/_xlpm.DepreciationMonths,0))</f>
        <v>0</v>
      </c>
      <c r="BW170" s="507" cm="1">
        <f t="array" ref="BW170">_xlfn.LET(_xlpm.DepreciationMonths,INDEX(FixedAssets[Depreciation
/ Amortization Months],_xlfn.XMATCH($E$135,FixedAssets[Asset ID])),IF(AND((_xlfn.XMATCH(BW$8,$AH$8:$CC$8))-_xlfn.XMATCH($C170,$C$35:$C$82)+1&lt;=_xlpm.DepreciationMonths,$C170&lt;=BW$8),$E170/_xlpm.DepreciationMonths,0))</f>
        <v>0</v>
      </c>
      <c r="BX170" s="507" cm="1">
        <f t="array" ref="BX170">_xlfn.LET(_xlpm.DepreciationMonths,INDEX(FixedAssets[Depreciation
/ Amortization Months],_xlfn.XMATCH($E$135,FixedAssets[Asset ID])),IF(AND((_xlfn.XMATCH(BX$8,$AH$8:$CC$8))-_xlfn.XMATCH($C170,$C$35:$C$82)+1&lt;=_xlpm.DepreciationMonths,$C170&lt;=BX$8),$E170/_xlpm.DepreciationMonths,0))</f>
        <v>0</v>
      </c>
      <c r="BY170" s="507" cm="1">
        <f t="array" ref="BY170">_xlfn.LET(_xlpm.DepreciationMonths,INDEX(FixedAssets[Depreciation
/ Amortization Months],_xlfn.XMATCH($E$135,FixedAssets[Asset ID])),IF(AND((_xlfn.XMATCH(BY$8,$AH$8:$CC$8))-_xlfn.XMATCH($C170,$C$35:$C$82)+1&lt;=_xlpm.DepreciationMonths,$C170&lt;=BY$8),$E170/_xlpm.DepreciationMonths,0))</f>
        <v>0</v>
      </c>
      <c r="BZ170" s="507" cm="1">
        <f t="array" ref="BZ170">_xlfn.LET(_xlpm.DepreciationMonths,INDEX(FixedAssets[Depreciation
/ Amortization Months],_xlfn.XMATCH($E$135,FixedAssets[Asset ID])),IF(AND((_xlfn.XMATCH(BZ$8,$AH$8:$CC$8))-_xlfn.XMATCH($C170,$C$35:$C$82)+1&lt;=_xlpm.DepreciationMonths,$C170&lt;=BZ$8),$E170/_xlpm.DepreciationMonths,0))</f>
        <v>0</v>
      </c>
      <c r="CA170" s="507" cm="1">
        <f t="array" ref="CA170">_xlfn.LET(_xlpm.DepreciationMonths,INDEX(FixedAssets[Depreciation
/ Amortization Months],_xlfn.XMATCH($E$135,FixedAssets[Asset ID])),IF(AND((_xlfn.XMATCH(CA$8,$AH$8:$CC$8))-_xlfn.XMATCH($C170,$C$35:$C$82)+1&lt;=_xlpm.DepreciationMonths,$C170&lt;=CA$8),$E170/_xlpm.DepreciationMonths,0))</f>
        <v>0</v>
      </c>
      <c r="CB170" s="507" cm="1">
        <f t="array" ref="CB170">_xlfn.LET(_xlpm.DepreciationMonths,INDEX(FixedAssets[Depreciation
/ Amortization Months],_xlfn.XMATCH($E$135,FixedAssets[Asset ID])),IF(AND((_xlfn.XMATCH(CB$8,$AH$8:$CC$8))-_xlfn.XMATCH($C170,$C$35:$C$82)+1&lt;=_xlpm.DepreciationMonths,$C170&lt;=CB$8),$E170/_xlpm.DepreciationMonths,0))</f>
        <v>0</v>
      </c>
      <c r="CC170" s="507" cm="1">
        <f t="array" ref="CC170">_xlfn.LET(_xlpm.DepreciationMonths,INDEX(FixedAssets[Depreciation
/ Amortization Months],_xlfn.XMATCH($E$135,FixedAssets[Asset ID])),IF(AND((_xlfn.XMATCH(CC$8,$AH$8:$CC$8))-_xlfn.XMATCH($C170,$C$35:$C$82)+1&lt;=_xlpm.DepreciationMonths,$C170&lt;=CC$8),$E170/_xlpm.DepreciationMonths,0))</f>
        <v>0</v>
      </c>
    </row>
    <row r="171" spans="3:81" hidden="1" outlineLevel="2">
      <c r="C171" s="664">
        <f t="shared" si="243"/>
        <v>45991</v>
      </c>
      <c r="D171" s="508"/>
      <c r="E171" s="508" cm="1">
        <f t="array" ref="E171">SUMPRODUCT(($AH$26:$CC$31)*($AH$5:$CC$5=$C171)*($E$26:$E$31=E$135))-SUMPRODUCT(($AH$26:$CC$31)*($AH$5:$CC$5=EOMONTH($C171,-1))*($E$26:$E$31=E$135))</f>
        <v>0</v>
      </c>
      <c r="F171" s="508"/>
      <c r="G171" s="508"/>
      <c r="H171" s="508"/>
      <c r="I171" s="508"/>
      <c r="J171" s="504">
        <f t="shared" si="240"/>
        <v>0</v>
      </c>
      <c r="K171" s="504">
        <f t="shared" si="248"/>
        <v>0</v>
      </c>
      <c r="L171" s="504">
        <f t="shared" si="248"/>
        <v>0</v>
      </c>
      <c r="M171" s="504">
        <f t="shared" si="248"/>
        <v>0</v>
      </c>
      <c r="N171" s="504"/>
      <c r="O171" s="504"/>
      <c r="P171" s="504">
        <f t="shared" si="249"/>
        <v>0</v>
      </c>
      <c r="Q171" s="504">
        <f t="shared" si="249"/>
        <v>0</v>
      </c>
      <c r="R171" s="504">
        <f t="shared" si="249"/>
        <v>0</v>
      </c>
      <c r="S171" s="504">
        <f t="shared" si="249"/>
        <v>0</v>
      </c>
      <c r="T171" s="504">
        <f t="shared" si="249"/>
        <v>0</v>
      </c>
      <c r="U171" s="504">
        <f t="shared" si="249"/>
        <v>0</v>
      </c>
      <c r="V171" s="504">
        <f t="shared" si="249"/>
        <v>0</v>
      </c>
      <c r="W171" s="504">
        <f t="shared" si="249"/>
        <v>0</v>
      </c>
      <c r="X171" s="504">
        <f t="shared" si="249"/>
        <v>0</v>
      </c>
      <c r="Y171" s="504">
        <f t="shared" si="249"/>
        <v>0</v>
      </c>
      <c r="Z171" s="504">
        <f t="shared" si="249"/>
        <v>0</v>
      </c>
      <c r="AA171" s="504">
        <f t="shared" si="249"/>
        <v>0</v>
      </c>
      <c r="AB171" s="504">
        <f t="shared" si="249"/>
        <v>0</v>
      </c>
      <c r="AC171" s="504">
        <f t="shared" si="249"/>
        <v>0</v>
      </c>
      <c r="AD171" s="504">
        <f t="shared" si="249"/>
        <v>0</v>
      </c>
      <c r="AE171" s="504">
        <f t="shared" si="249"/>
        <v>0</v>
      </c>
      <c r="AF171" s="508"/>
      <c r="AG171" s="508"/>
      <c r="AH171" s="507" cm="1">
        <f t="array" ref="AH171">_xlfn.LET(_xlpm.DepreciationMonths,INDEX(FixedAssets[Depreciation
/ Amortization Months],_xlfn.XMATCH($E$135,FixedAssets[Asset ID])),IF(AND((_xlfn.XMATCH(AH$8,$AH$8:$CC$8))-_xlfn.XMATCH($C171,$C$35:$C$82)+1&lt;=_xlpm.DepreciationMonths,$C171&lt;=AH$8),$E171/_xlpm.DepreciationMonths,0))</f>
        <v>0</v>
      </c>
      <c r="AI171" s="507" cm="1">
        <f t="array" ref="AI171">_xlfn.LET(_xlpm.DepreciationMonths,INDEX(FixedAssets[Depreciation
/ Amortization Months],_xlfn.XMATCH($E$135,FixedAssets[Asset ID])),IF(AND((_xlfn.XMATCH(AI$8,$AH$8:$CC$8))-_xlfn.XMATCH($C171,$C$35:$C$82)+1&lt;=_xlpm.DepreciationMonths,$C171&lt;=AI$8),$E171/_xlpm.DepreciationMonths,0))</f>
        <v>0</v>
      </c>
      <c r="AJ171" s="507" cm="1">
        <f t="array" ref="AJ171">_xlfn.LET(_xlpm.DepreciationMonths,INDEX(FixedAssets[Depreciation
/ Amortization Months],_xlfn.XMATCH($E$135,FixedAssets[Asset ID])),IF(AND((_xlfn.XMATCH(AJ$8,$AH$8:$CC$8))-_xlfn.XMATCH($C171,$C$35:$C$82)+1&lt;=_xlpm.DepreciationMonths,$C171&lt;=AJ$8),$E171/_xlpm.DepreciationMonths,0))</f>
        <v>0</v>
      </c>
      <c r="AK171" s="507" cm="1">
        <f t="array" ref="AK171">_xlfn.LET(_xlpm.DepreciationMonths,INDEX(FixedAssets[Depreciation
/ Amortization Months],_xlfn.XMATCH($E$135,FixedAssets[Asset ID])),IF(AND((_xlfn.XMATCH(AK$8,$AH$8:$CC$8))-_xlfn.XMATCH($C171,$C$35:$C$82)+1&lt;=_xlpm.DepreciationMonths,$C171&lt;=AK$8),$E171/_xlpm.DepreciationMonths,0))</f>
        <v>0</v>
      </c>
      <c r="AL171" s="507" cm="1">
        <f t="array" ref="AL171">_xlfn.LET(_xlpm.DepreciationMonths,INDEX(FixedAssets[Depreciation
/ Amortization Months],_xlfn.XMATCH($E$135,FixedAssets[Asset ID])),IF(AND((_xlfn.XMATCH(AL$8,$AH$8:$CC$8))-_xlfn.XMATCH($C171,$C$35:$C$82)+1&lt;=_xlpm.DepreciationMonths,$C171&lt;=AL$8),$E171/_xlpm.DepreciationMonths,0))</f>
        <v>0</v>
      </c>
      <c r="AM171" s="507" cm="1">
        <f t="array" ref="AM171">_xlfn.LET(_xlpm.DepreciationMonths,INDEX(FixedAssets[Depreciation
/ Amortization Months],_xlfn.XMATCH($E$135,FixedAssets[Asset ID])),IF(AND((_xlfn.XMATCH(AM$8,$AH$8:$CC$8))-_xlfn.XMATCH($C171,$C$35:$C$82)+1&lt;=_xlpm.DepreciationMonths,$C171&lt;=AM$8),$E171/_xlpm.DepreciationMonths,0))</f>
        <v>0</v>
      </c>
      <c r="AN171" s="507" cm="1">
        <f t="array" ref="AN171">_xlfn.LET(_xlpm.DepreciationMonths,INDEX(FixedAssets[Depreciation
/ Amortization Months],_xlfn.XMATCH($E$135,FixedAssets[Asset ID])),IF(AND((_xlfn.XMATCH(AN$8,$AH$8:$CC$8))-_xlfn.XMATCH($C171,$C$35:$C$82)+1&lt;=_xlpm.DepreciationMonths,$C171&lt;=AN$8),$E171/_xlpm.DepreciationMonths,0))</f>
        <v>0</v>
      </c>
      <c r="AO171" s="507" cm="1">
        <f t="array" ref="AO171">_xlfn.LET(_xlpm.DepreciationMonths,INDEX(FixedAssets[Depreciation
/ Amortization Months],_xlfn.XMATCH($E$135,FixedAssets[Asset ID])),IF(AND((_xlfn.XMATCH(AO$8,$AH$8:$CC$8))-_xlfn.XMATCH($C171,$C$35:$C$82)+1&lt;=_xlpm.DepreciationMonths,$C171&lt;=AO$8),$E171/_xlpm.DepreciationMonths,0))</f>
        <v>0</v>
      </c>
      <c r="AP171" s="507" cm="1">
        <f t="array" ref="AP171">_xlfn.LET(_xlpm.DepreciationMonths,INDEX(FixedAssets[Depreciation
/ Amortization Months],_xlfn.XMATCH($E$135,FixedAssets[Asset ID])),IF(AND((_xlfn.XMATCH(AP$8,$AH$8:$CC$8))-_xlfn.XMATCH($C171,$C$35:$C$82)+1&lt;=_xlpm.DepreciationMonths,$C171&lt;=AP$8),$E171/_xlpm.DepreciationMonths,0))</f>
        <v>0</v>
      </c>
      <c r="AQ171" s="507" cm="1">
        <f t="array" ref="AQ171">_xlfn.LET(_xlpm.DepreciationMonths,INDEX(FixedAssets[Depreciation
/ Amortization Months],_xlfn.XMATCH($E$135,FixedAssets[Asset ID])),IF(AND((_xlfn.XMATCH(AQ$8,$AH$8:$CC$8))-_xlfn.XMATCH($C171,$C$35:$C$82)+1&lt;=_xlpm.DepreciationMonths,$C171&lt;=AQ$8),$E171/_xlpm.DepreciationMonths,0))</f>
        <v>0</v>
      </c>
      <c r="AR171" s="507" cm="1">
        <f t="array" ref="AR171">_xlfn.LET(_xlpm.DepreciationMonths,INDEX(FixedAssets[Depreciation
/ Amortization Months],_xlfn.XMATCH($E$135,FixedAssets[Asset ID])),IF(AND((_xlfn.XMATCH(AR$8,$AH$8:$CC$8))-_xlfn.XMATCH($C171,$C$35:$C$82)+1&lt;=_xlpm.DepreciationMonths,$C171&lt;=AR$8),$E171/_xlpm.DepreciationMonths,0))</f>
        <v>0</v>
      </c>
      <c r="AS171" s="507" cm="1">
        <f t="array" ref="AS171">_xlfn.LET(_xlpm.DepreciationMonths,INDEX(FixedAssets[Depreciation
/ Amortization Months],_xlfn.XMATCH($E$135,FixedAssets[Asset ID])),IF(AND((_xlfn.XMATCH(AS$8,$AH$8:$CC$8))-_xlfn.XMATCH($C171,$C$35:$C$82)+1&lt;=_xlpm.DepreciationMonths,$C171&lt;=AS$8),$E171/_xlpm.DepreciationMonths,0))</f>
        <v>0</v>
      </c>
      <c r="AT171" s="507" cm="1">
        <f t="array" ref="AT171">_xlfn.LET(_xlpm.DepreciationMonths,INDEX(FixedAssets[Depreciation
/ Amortization Months],_xlfn.XMATCH($E$135,FixedAssets[Asset ID])),IF(AND((_xlfn.XMATCH(AT$8,$AH$8:$CC$8))-_xlfn.XMATCH($C171,$C$35:$C$82)+1&lt;=_xlpm.DepreciationMonths,$C171&lt;=AT$8),$E171/_xlpm.DepreciationMonths,0))</f>
        <v>0</v>
      </c>
      <c r="AU171" s="507" cm="1">
        <f t="array" ref="AU171">_xlfn.LET(_xlpm.DepreciationMonths,INDEX(FixedAssets[Depreciation
/ Amortization Months],_xlfn.XMATCH($E$135,FixedAssets[Asset ID])),IF(AND((_xlfn.XMATCH(AU$8,$AH$8:$CC$8))-_xlfn.XMATCH($C171,$C$35:$C$82)+1&lt;=_xlpm.DepreciationMonths,$C171&lt;=AU$8),$E171/_xlpm.DepreciationMonths,0))</f>
        <v>0</v>
      </c>
      <c r="AV171" s="507" cm="1">
        <f t="array" ref="AV171">_xlfn.LET(_xlpm.DepreciationMonths,INDEX(FixedAssets[Depreciation
/ Amortization Months],_xlfn.XMATCH($E$135,FixedAssets[Asset ID])),IF(AND((_xlfn.XMATCH(AV$8,$AH$8:$CC$8))-_xlfn.XMATCH($C171,$C$35:$C$82)+1&lt;=_xlpm.DepreciationMonths,$C171&lt;=AV$8),$E171/_xlpm.DepreciationMonths,0))</f>
        <v>0</v>
      </c>
      <c r="AW171" s="507" cm="1">
        <f t="array" ref="AW171">_xlfn.LET(_xlpm.DepreciationMonths,INDEX(FixedAssets[Depreciation
/ Amortization Months],_xlfn.XMATCH($E$135,FixedAssets[Asset ID])),IF(AND((_xlfn.XMATCH(AW$8,$AH$8:$CC$8))-_xlfn.XMATCH($C171,$C$35:$C$82)+1&lt;=_xlpm.DepreciationMonths,$C171&lt;=AW$8),$E171/_xlpm.DepreciationMonths,0))</f>
        <v>0</v>
      </c>
      <c r="AX171" s="507" cm="1">
        <f t="array" ref="AX171">_xlfn.LET(_xlpm.DepreciationMonths,INDEX(FixedAssets[Depreciation
/ Amortization Months],_xlfn.XMATCH($E$135,FixedAssets[Asset ID])),IF(AND((_xlfn.XMATCH(AX$8,$AH$8:$CC$8))-_xlfn.XMATCH($C171,$C$35:$C$82)+1&lt;=_xlpm.DepreciationMonths,$C171&lt;=AX$8),$E171/_xlpm.DepreciationMonths,0))</f>
        <v>0</v>
      </c>
      <c r="AY171" s="507" cm="1">
        <f t="array" ref="AY171">_xlfn.LET(_xlpm.DepreciationMonths,INDEX(FixedAssets[Depreciation
/ Amortization Months],_xlfn.XMATCH($E$135,FixedAssets[Asset ID])),IF(AND((_xlfn.XMATCH(AY$8,$AH$8:$CC$8))-_xlfn.XMATCH($C171,$C$35:$C$82)+1&lt;=_xlpm.DepreciationMonths,$C171&lt;=AY$8),$E171/_xlpm.DepreciationMonths,0))</f>
        <v>0</v>
      </c>
      <c r="AZ171" s="507" cm="1">
        <f t="array" ref="AZ171">_xlfn.LET(_xlpm.DepreciationMonths,INDEX(FixedAssets[Depreciation
/ Amortization Months],_xlfn.XMATCH($E$135,FixedAssets[Asset ID])),IF(AND((_xlfn.XMATCH(AZ$8,$AH$8:$CC$8))-_xlfn.XMATCH($C171,$C$35:$C$82)+1&lt;=_xlpm.DepreciationMonths,$C171&lt;=AZ$8),$E171/_xlpm.DepreciationMonths,0))</f>
        <v>0</v>
      </c>
      <c r="BA171" s="507" cm="1">
        <f t="array" ref="BA171">_xlfn.LET(_xlpm.DepreciationMonths,INDEX(FixedAssets[Depreciation
/ Amortization Months],_xlfn.XMATCH($E$135,FixedAssets[Asset ID])),IF(AND((_xlfn.XMATCH(BA$8,$AH$8:$CC$8))-_xlfn.XMATCH($C171,$C$35:$C$82)+1&lt;=_xlpm.DepreciationMonths,$C171&lt;=BA$8),$E171/_xlpm.DepreciationMonths,0))</f>
        <v>0</v>
      </c>
      <c r="BB171" s="507" cm="1">
        <f t="array" ref="BB171">_xlfn.LET(_xlpm.DepreciationMonths,INDEX(FixedAssets[Depreciation
/ Amortization Months],_xlfn.XMATCH($E$135,FixedAssets[Asset ID])),IF(AND((_xlfn.XMATCH(BB$8,$AH$8:$CC$8))-_xlfn.XMATCH($C171,$C$35:$C$82)+1&lt;=_xlpm.DepreciationMonths,$C171&lt;=BB$8),$E171/_xlpm.DepreciationMonths,0))</f>
        <v>0</v>
      </c>
      <c r="BC171" s="507" cm="1">
        <f t="array" ref="BC171">_xlfn.LET(_xlpm.DepreciationMonths,INDEX(FixedAssets[Depreciation
/ Amortization Months],_xlfn.XMATCH($E$135,FixedAssets[Asset ID])),IF(AND((_xlfn.XMATCH(BC$8,$AH$8:$CC$8))-_xlfn.XMATCH($C171,$C$35:$C$82)+1&lt;=_xlpm.DepreciationMonths,$C171&lt;=BC$8),$E171/_xlpm.DepreciationMonths,0))</f>
        <v>0</v>
      </c>
      <c r="BD171" s="507" cm="1">
        <f t="array" ref="BD171">_xlfn.LET(_xlpm.DepreciationMonths,INDEX(FixedAssets[Depreciation
/ Amortization Months],_xlfn.XMATCH($E$135,FixedAssets[Asset ID])),IF(AND((_xlfn.XMATCH(BD$8,$AH$8:$CC$8))-_xlfn.XMATCH($C171,$C$35:$C$82)+1&lt;=_xlpm.DepreciationMonths,$C171&lt;=BD$8),$E171/_xlpm.DepreciationMonths,0))</f>
        <v>0</v>
      </c>
      <c r="BE171" s="507" cm="1">
        <f t="array" ref="BE171">_xlfn.LET(_xlpm.DepreciationMonths,INDEX(FixedAssets[Depreciation
/ Amortization Months],_xlfn.XMATCH($E$135,FixedAssets[Asset ID])),IF(AND((_xlfn.XMATCH(BE$8,$AH$8:$CC$8))-_xlfn.XMATCH($C171,$C$35:$C$82)+1&lt;=_xlpm.DepreciationMonths,$C171&lt;=BE$8),$E171/_xlpm.DepreciationMonths,0))</f>
        <v>0</v>
      </c>
      <c r="BF171" s="507" cm="1">
        <f t="array" ref="BF171">_xlfn.LET(_xlpm.DepreciationMonths,INDEX(FixedAssets[Depreciation
/ Amortization Months],_xlfn.XMATCH($E$135,FixedAssets[Asset ID])),IF(AND((_xlfn.XMATCH(BF$8,$AH$8:$CC$8))-_xlfn.XMATCH($C171,$C$35:$C$82)+1&lt;=_xlpm.DepreciationMonths,$C171&lt;=BF$8),$E171/_xlpm.DepreciationMonths,0))</f>
        <v>0</v>
      </c>
      <c r="BG171" s="507" cm="1">
        <f t="array" ref="BG171">_xlfn.LET(_xlpm.DepreciationMonths,INDEX(FixedAssets[Depreciation
/ Amortization Months],_xlfn.XMATCH($E$135,FixedAssets[Asset ID])),IF(AND((_xlfn.XMATCH(BG$8,$AH$8:$CC$8))-_xlfn.XMATCH($C171,$C$35:$C$82)+1&lt;=_xlpm.DepreciationMonths,$C171&lt;=BG$8),$E171/_xlpm.DepreciationMonths,0))</f>
        <v>0</v>
      </c>
      <c r="BH171" s="507" cm="1">
        <f t="array" ref="BH171">_xlfn.LET(_xlpm.DepreciationMonths,INDEX(FixedAssets[Depreciation
/ Amortization Months],_xlfn.XMATCH($E$135,FixedAssets[Asset ID])),IF(AND((_xlfn.XMATCH(BH$8,$AH$8:$CC$8))-_xlfn.XMATCH($C171,$C$35:$C$82)+1&lt;=_xlpm.DepreciationMonths,$C171&lt;=BH$8),$E171/_xlpm.DepreciationMonths,0))</f>
        <v>0</v>
      </c>
      <c r="BI171" s="507" cm="1">
        <f t="array" ref="BI171">_xlfn.LET(_xlpm.DepreciationMonths,INDEX(FixedAssets[Depreciation
/ Amortization Months],_xlfn.XMATCH($E$135,FixedAssets[Asset ID])),IF(AND((_xlfn.XMATCH(BI$8,$AH$8:$CC$8))-_xlfn.XMATCH($C171,$C$35:$C$82)+1&lt;=_xlpm.DepreciationMonths,$C171&lt;=BI$8),$E171/_xlpm.DepreciationMonths,0))</f>
        <v>0</v>
      </c>
      <c r="BJ171" s="507" cm="1">
        <f t="array" ref="BJ171">_xlfn.LET(_xlpm.DepreciationMonths,INDEX(FixedAssets[Depreciation
/ Amortization Months],_xlfn.XMATCH($E$135,FixedAssets[Asset ID])),IF(AND((_xlfn.XMATCH(BJ$8,$AH$8:$CC$8))-_xlfn.XMATCH($C171,$C$35:$C$82)+1&lt;=_xlpm.DepreciationMonths,$C171&lt;=BJ$8),$E171/_xlpm.DepreciationMonths,0))</f>
        <v>0</v>
      </c>
      <c r="BK171" s="507" cm="1">
        <f t="array" ref="BK171">_xlfn.LET(_xlpm.DepreciationMonths,INDEX(FixedAssets[Depreciation
/ Amortization Months],_xlfn.XMATCH($E$135,FixedAssets[Asset ID])),IF(AND((_xlfn.XMATCH(BK$8,$AH$8:$CC$8))-_xlfn.XMATCH($C171,$C$35:$C$82)+1&lt;=_xlpm.DepreciationMonths,$C171&lt;=BK$8),$E171/_xlpm.DepreciationMonths,0))</f>
        <v>0</v>
      </c>
      <c r="BL171" s="507" cm="1">
        <f t="array" ref="BL171">_xlfn.LET(_xlpm.DepreciationMonths,INDEX(FixedAssets[Depreciation
/ Amortization Months],_xlfn.XMATCH($E$135,FixedAssets[Asset ID])),IF(AND((_xlfn.XMATCH(BL$8,$AH$8:$CC$8))-_xlfn.XMATCH($C171,$C$35:$C$82)+1&lt;=_xlpm.DepreciationMonths,$C171&lt;=BL$8),$E171/_xlpm.DepreciationMonths,0))</f>
        <v>0</v>
      </c>
      <c r="BM171" s="507" cm="1">
        <f t="array" ref="BM171">_xlfn.LET(_xlpm.DepreciationMonths,INDEX(FixedAssets[Depreciation
/ Amortization Months],_xlfn.XMATCH($E$135,FixedAssets[Asset ID])),IF(AND((_xlfn.XMATCH(BM$8,$AH$8:$CC$8))-_xlfn.XMATCH($C171,$C$35:$C$82)+1&lt;=_xlpm.DepreciationMonths,$C171&lt;=BM$8),$E171/_xlpm.DepreciationMonths,0))</f>
        <v>0</v>
      </c>
      <c r="BN171" s="507" cm="1">
        <f t="array" ref="BN171">_xlfn.LET(_xlpm.DepreciationMonths,INDEX(FixedAssets[Depreciation
/ Amortization Months],_xlfn.XMATCH($E$135,FixedAssets[Asset ID])),IF(AND((_xlfn.XMATCH(BN$8,$AH$8:$CC$8))-_xlfn.XMATCH($C171,$C$35:$C$82)+1&lt;=_xlpm.DepreciationMonths,$C171&lt;=BN$8),$E171/_xlpm.DepreciationMonths,0))</f>
        <v>0</v>
      </c>
      <c r="BO171" s="507" cm="1">
        <f t="array" ref="BO171">_xlfn.LET(_xlpm.DepreciationMonths,INDEX(FixedAssets[Depreciation
/ Amortization Months],_xlfn.XMATCH($E$135,FixedAssets[Asset ID])),IF(AND((_xlfn.XMATCH(BO$8,$AH$8:$CC$8))-_xlfn.XMATCH($C171,$C$35:$C$82)+1&lt;=_xlpm.DepreciationMonths,$C171&lt;=BO$8),$E171/_xlpm.DepreciationMonths,0))</f>
        <v>0</v>
      </c>
      <c r="BP171" s="507" cm="1">
        <f t="array" ref="BP171">_xlfn.LET(_xlpm.DepreciationMonths,INDEX(FixedAssets[Depreciation
/ Amortization Months],_xlfn.XMATCH($E$135,FixedAssets[Asset ID])),IF(AND((_xlfn.XMATCH(BP$8,$AH$8:$CC$8))-_xlfn.XMATCH($C171,$C$35:$C$82)+1&lt;=_xlpm.DepreciationMonths,$C171&lt;=BP$8),$E171/_xlpm.DepreciationMonths,0))</f>
        <v>0</v>
      </c>
      <c r="BQ171" s="507" cm="1">
        <f t="array" ref="BQ171">_xlfn.LET(_xlpm.DepreciationMonths,INDEX(FixedAssets[Depreciation
/ Amortization Months],_xlfn.XMATCH($E$135,FixedAssets[Asset ID])),IF(AND((_xlfn.XMATCH(BQ$8,$AH$8:$CC$8))-_xlfn.XMATCH($C171,$C$35:$C$82)+1&lt;=_xlpm.DepreciationMonths,$C171&lt;=BQ$8),$E171/_xlpm.DepreciationMonths,0))</f>
        <v>0</v>
      </c>
      <c r="BR171" s="507" cm="1">
        <f t="array" ref="BR171">_xlfn.LET(_xlpm.DepreciationMonths,INDEX(FixedAssets[Depreciation
/ Amortization Months],_xlfn.XMATCH($E$135,FixedAssets[Asset ID])),IF(AND((_xlfn.XMATCH(BR$8,$AH$8:$CC$8))-_xlfn.XMATCH($C171,$C$35:$C$82)+1&lt;=_xlpm.DepreciationMonths,$C171&lt;=BR$8),$E171/_xlpm.DepreciationMonths,0))</f>
        <v>0</v>
      </c>
      <c r="BS171" s="507" cm="1">
        <f t="array" ref="BS171">_xlfn.LET(_xlpm.DepreciationMonths,INDEX(FixedAssets[Depreciation
/ Amortization Months],_xlfn.XMATCH($E$135,FixedAssets[Asset ID])),IF(AND((_xlfn.XMATCH(BS$8,$AH$8:$CC$8))-_xlfn.XMATCH($C171,$C$35:$C$82)+1&lt;=_xlpm.DepreciationMonths,$C171&lt;=BS$8),$E171/_xlpm.DepreciationMonths,0))</f>
        <v>0</v>
      </c>
      <c r="BT171" s="507" cm="1">
        <f t="array" ref="BT171">_xlfn.LET(_xlpm.DepreciationMonths,INDEX(FixedAssets[Depreciation
/ Amortization Months],_xlfn.XMATCH($E$135,FixedAssets[Asset ID])),IF(AND((_xlfn.XMATCH(BT$8,$AH$8:$CC$8))-_xlfn.XMATCH($C171,$C$35:$C$82)+1&lt;=_xlpm.DepreciationMonths,$C171&lt;=BT$8),$E171/_xlpm.DepreciationMonths,0))</f>
        <v>0</v>
      </c>
      <c r="BU171" s="507" cm="1">
        <f t="array" ref="BU171">_xlfn.LET(_xlpm.DepreciationMonths,INDEX(FixedAssets[Depreciation
/ Amortization Months],_xlfn.XMATCH($E$135,FixedAssets[Asset ID])),IF(AND((_xlfn.XMATCH(BU$8,$AH$8:$CC$8))-_xlfn.XMATCH($C171,$C$35:$C$82)+1&lt;=_xlpm.DepreciationMonths,$C171&lt;=BU$8),$E171/_xlpm.DepreciationMonths,0))</f>
        <v>0</v>
      </c>
      <c r="BV171" s="507" cm="1">
        <f t="array" ref="BV171">_xlfn.LET(_xlpm.DepreciationMonths,INDEX(FixedAssets[Depreciation
/ Amortization Months],_xlfn.XMATCH($E$135,FixedAssets[Asset ID])),IF(AND((_xlfn.XMATCH(BV$8,$AH$8:$CC$8))-_xlfn.XMATCH($C171,$C$35:$C$82)+1&lt;=_xlpm.DepreciationMonths,$C171&lt;=BV$8),$E171/_xlpm.DepreciationMonths,0))</f>
        <v>0</v>
      </c>
      <c r="BW171" s="507" cm="1">
        <f t="array" ref="BW171">_xlfn.LET(_xlpm.DepreciationMonths,INDEX(FixedAssets[Depreciation
/ Amortization Months],_xlfn.XMATCH($E$135,FixedAssets[Asset ID])),IF(AND((_xlfn.XMATCH(BW$8,$AH$8:$CC$8))-_xlfn.XMATCH($C171,$C$35:$C$82)+1&lt;=_xlpm.DepreciationMonths,$C171&lt;=BW$8),$E171/_xlpm.DepreciationMonths,0))</f>
        <v>0</v>
      </c>
      <c r="BX171" s="507" cm="1">
        <f t="array" ref="BX171">_xlfn.LET(_xlpm.DepreciationMonths,INDEX(FixedAssets[Depreciation
/ Amortization Months],_xlfn.XMATCH($E$135,FixedAssets[Asset ID])),IF(AND((_xlfn.XMATCH(BX$8,$AH$8:$CC$8))-_xlfn.XMATCH($C171,$C$35:$C$82)+1&lt;=_xlpm.DepreciationMonths,$C171&lt;=BX$8),$E171/_xlpm.DepreciationMonths,0))</f>
        <v>0</v>
      </c>
      <c r="BY171" s="507" cm="1">
        <f t="array" ref="BY171">_xlfn.LET(_xlpm.DepreciationMonths,INDEX(FixedAssets[Depreciation
/ Amortization Months],_xlfn.XMATCH($E$135,FixedAssets[Asset ID])),IF(AND((_xlfn.XMATCH(BY$8,$AH$8:$CC$8))-_xlfn.XMATCH($C171,$C$35:$C$82)+1&lt;=_xlpm.DepreciationMonths,$C171&lt;=BY$8),$E171/_xlpm.DepreciationMonths,0))</f>
        <v>0</v>
      </c>
      <c r="BZ171" s="507" cm="1">
        <f t="array" ref="BZ171">_xlfn.LET(_xlpm.DepreciationMonths,INDEX(FixedAssets[Depreciation
/ Amortization Months],_xlfn.XMATCH($E$135,FixedAssets[Asset ID])),IF(AND((_xlfn.XMATCH(BZ$8,$AH$8:$CC$8))-_xlfn.XMATCH($C171,$C$35:$C$82)+1&lt;=_xlpm.DepreciationMonths,$C171&lt;=BZ$8),$E171/_xlpm.DepreciationMonths,0))</f>
        <v>0</v>
      </c>
      <c r="CA171" s="507" cm="1">
        <f t="array" ref="CA171">_xlfn.LET(_xlpm.DepreciationMonths,INDEX(FixedAssets[Depreciation
/ Amortization Months],_xlfn.XMATCH($E$135,FixedAssets[Asset ID])),IF(AND((_xlfn.XMATCH(CA$8,$AH$8:$CC$8))-_xlfn.XMATCH($C171,$C$35:$C$82)+1&lt;=_xlpm.DepreciationMonths,$C171&lt;=CA$8),$E171/_xlpm.DepreciationMonths,0))</f>
        <v>0</v>
      </c>
      <c r="CB171" s="507" cm="1">
        <f t="array" ref="CB171">_xlfn.LET(_xlpm.DepreciationMonths,INDEX(FixedAssets[Depreciation
/ Amortization Months],_xlfn.XMATCH($E$135,FixedAssets[Asset ID])),IF(AND((_xlfn.XMATCH(CB$8,$AH$8:$CC$8))-_xlfn.XMATCH($C171,$C$35:$C$82)+1&lt;=_xlpm.DepreciationMonths,$C171&lt;=CB$8),$E171/_xlpm.DepreciationMonths,0))</f>
        <v>0</v>
      </c>
      <c r="CC171" s="507" cm="1">
        <f t="array" ref="CC171">_xlfn.LET(_xlpm.DepreciationMonths,INDEX(FixedAssets[Depreciation
/ Amortization Months],_xlfn.XMATCH($E$135,FixedAssets[Asset ID])),IF(AND((_xlfn.XMATCH(CC$8,$AH$8:$CC$8))-_xlfn.XMATCH($C171,$C$35:$C$82)+1&lt;=_xlpm.DepreciationMonths,$C171&lt;=CC$8),$E171/_xlpm.DepreciationMonths,0))</f>
        <v>0</v>
      </c>
    </row>
    <row r="172" spans="3:81" hidden="1" outlineLevel="2">
      <c r="C172" s="664">
        <f t="shared" si="243"/>
        <v>46022</v>
      </c>
      <c r="D172" s="508"/>
      <c r="E172" s="508" cm="1">
        <f t="array" ref="E172">SUMPRODUCT(($AH$26:$CC$31)*($AH$5:$CC$5=$C172)*($E$26:$E$31=E$135))-SUMPRODUCT(($AH$26:$CC$31)*($AH$5:$CC$5=EOMONTH($C172,-1))*($E$26:$E$31=E$135))</f>
        <v>0</v>
      </c>
      <c r="F172" s="508"/>
      <c r="G172" s="508"/>
      <c r="H172" s="508"/>
      <c r="I172" s="508"/>
      <c r="J172" s="504">
        <f t="shared" si="240"/>
        <v>0</v>
      </c>
      <c r="K172" s="504">
        <f t="shared" si="248"/>
        <v>0</v>
      </c>
      <c r="L172" s="504">
        <f t="shared" si="248"/>
        <v>0</v>
      </c>
      <c r="M172" s="504">
        <f t="shared" si="248"/>
        <v>0</v>
      </c>
      <c r="N172" s="504"/>
      <c r="O172" s="504"/>
      <c r="P172" s="504">
        <f t="shared" si="249"/>
        <v>0</v>
      </c>
      <c r="Q172" s="504">
        <f t="shared" si="249"/>
        <v>0</v>
      </c>
      <c r="R172" s="504">
        <f t="shared" si="249"/>
        <v>0</v>
      </c>
      <c r="S172" s="504">
        <f t="shared" si="249"/>
        <v>0</v>
      </c>
      <c r="T172" s="504">
        <f t="shared" si="249"/>
        <v>0</v>
      </c>
      <c r="U172" s="504">
        <f t="shared" si="249"/>
        <v>0</v>
      </c>
      <c r="V172" s="504">
        <f t="shared" si="249"/>
        <v>0</v>
      </c>
      <c r="W172" s="504">
        <f t="shared" si="249"/>
        <v>0</v>
      </c>
      <c r="X172" s="504">
        <f t="shared" si="249"/>
        <v>0</v>
      </c>
      <c r="Y172" s="504">
        <f t="shared" si="249"/>
        <v>0</v>
      </c>
      <c r="Z172" s="504">
        <f t="shared" si="249"/>
        <v>0</v>
      </c>
      <c r="AA172" s="504">
        <f t="shared" si="249"/>
        <v>0</v>
      </c>
      <c r="AB172" s="504">
        <f t="shared" si="249"/>
        <v>0</v>
      </c>
      <c r="AC172" s="504">
        <f t="shared" si="249"/>
        <v>0</v>
      </c>
      <c r="AD172" s="504">
        <f t="shared" si="249"/>
        <v>0</v>
      </c>
      <c r="AE172" s="504">
        <f t="shared" si="249"/>
        <v>0</v>
      </c>
      <c r="AF172" s="508"/>
      <c r="AG172" s="508"/>
      <c r="AH172" s="507" cm="1">
        <f t="array" ref="AH172">_xlfn.LET(_xlpm.DepreciationMonths,INDEX(FixedAssets[Depreciation
/ Amortization Months],_xlfn.XMATCH($E$135,FixedAssets[Asset ID])),IF(AND((_xlfn.XMATCH(AH$8,$AH$8:$CC$8))-_xlfn.XMATCH($C172,$C$35:$C$82)+1&lt;=_xlpm.DepreciationMonths,$C172&lt;=AH$8),$E172/_xlpm.DepreciationMonths,0))</f>
        <v>0</v>
      </c>
      <c r="AI172" s="507" cm="1">
        <f t="array" ref="AI172">_xlfn.LET(_xlpm.DepreciationMonths,INDEX(FixedAssets[Depreciation
/ Amortization Months],_xlfn.XMATCH($E$135,FixedAssets[Asset ID])),IF(AND((_xlfn.XMATCH(AI$8,$AH$8:$CC$8))-_xlfn.XMATCH($C172,$C$35:$C$82)+1&lt;=_xlpm.DepreciationMonths,$C172&lt;=AI$8),$E172/_xlpm.DepreciationMonths,0))</f>
        <v>0</v>
      </c>
      <c r="AJ172" s="507" cm="1">
        <f t="array" ref="AJ172">_xlfn.LET(_xlpm.DepreciationMonths,INDEX(FixedAssets[Depreciation
/ Amortization Months],_xlfn.XMATCH($E$135,FixedAssets[Asset ID])),IF(AND((_xlfn.XMATCH(AJ$8,$AH$8:$CC$8))-_xlfn.XMATCH($C172,$C$35:$C$82)+1&lt;=_xlpm.DepreciationMonths,$C172&lt;=AJ$8),$E172/_xlpm.DepreciationMonths,0))</f>
        <v>0</v>
      </c>
      <c r="AK172" s="507" cm="1">
        <f t="array" ref="AK172">_xlfn.LET(_xlpm.DepreciationMonths,INDEX(FixedAssets[Depreciation
/ Amortization Months],_xlfn.XMATCH($E$135,FixedAssets[Asset ID])),IF(AND((_xlfn.XMATCH(AK$8,$AH$8:$CC$8))-_xlfn.XMATCH($C172,$C$35:$C$82)+1&lt;=_xlpm.DepreciationMonths,$C172&lt;=AK$8),$E172/_xlpm.DepreciationMonths,0))</f>
        <v>0</v>
      </c>
      <c r="AL172" s="507" cm="1">
        <f t="array" ref="AL172">_xlfn.LET(_xlpm.DepreciationMonths,INDEX(FixedAssets[Depreciation
/ Amortization Months],_xlfn.XMATCH($E$135,FixedAssets[Asset ID])),IF(AND((_xlfn.XMATCH(AL$8,$AH$8:$CC$8))-_xlfn.XMATCH($C172,$C$35:$C$82)+1&lt;=_xlpm.DepreciationMonths,$C172&lt;=AL$8),$E172/_xlpm.DepreciationMonths,0))</f>
        <v>0</v>
      </c>
      <c r="AM172" s="507" cm="1">
        <f t="array" ref="AM172">_xlfn.LET(_xlpm.DepreciationMonths,INDEX(FixedAssets[Depreciation
/ Amortization Months],_xlfn.XMATCH($E$135,FixedAssets[Asset ID])),IF(AND((_xlfn.XMATCH(AM$8,$AH$8:$CC$8))-_xlfn.XMATCH($C172,$C$35:$C$82)+1&lt;=_xlpm.DepreciationMonths,$C172&lt;=AM$8),$E172/_xlpm.DepreciationMonths,0))</f>
        <v>0</v>
      </c>
      <c r="AN172" s="507" cm="1">
        <f t="array" ref="AN172">_xlfn.LET(_xlpm.DepreciationMonths,INDEX(FixedAssets[Depreciation
/ Amortization Months],_xlfn.XMATCH($E$135,FixedAssets[Asset ID])),IF(AND((_xlfn.XMATCH(AN$8,$AH$8:$CC$8))-_xlfn.XMATCH($C172,$C$35:$C$82)+1&lt;=_xlpm.DepreciationMonths,$C172&lt;=AN$8),$E172/_xlpm.DepreciationMonths,0))</f>
        <v>0</v>
      </c>
      <c r="AO172" s="507" cm="1">
        <f t="array" ref="AO172">_xlfn.LET(_xlpm.DepreciationMonths,INDEX(FixedAssets[Depreciation
/ Amortization Months],_xlfn.XMATCH($E$135,FixedAssets[Asset ID])),IF(AND((_xlfn.XMATCH(AO$8,$AH$8:$CC$8))-_xlfn.XMATCH($C172,$C$35:$C$82)+1&lt;=_xlpm.DepreciationMonths,$C172&lt;=AO$8),$E172/_xlpm.DepreciationMonths,0))</f>
        <v>0</v>
      </c>
      <c r="AP172" s="507" cm="1">
        <f t="array" ref="AP172">_xlfn.LET(_xlpm.DepreciationMonths,INDEX(FixedAssets[Depreciation
/ Amortization Months],_xlfn.XMATCH($E$135,FixedAssets[Asset ID])),IF(AND((_xlfn.XMATCH(AP$8,$AH$8:$CC$8))-_xlfn.XMATCH($C172,$C$35:$C$82)+1&lt;=_xlpm.DepreciationMonths,$C172&lt;=AP$8),$E172/_xlpm.DepreciationMonths,0))</f>
        <v>0</v>
      </c>
      <c r="AQ172" s="507" cm="1">
        <f t="array" ref="AQ172">_xlfn.LET(_xlpm.DepreciationMonths,INDEX(FixedAssets[Depreciation
/ Amortization Months],_xlfn.XMATCH($E$135,FixedAssets[Asset ID])),IF(AND((_xlfn.XMATCH(AQ$8,$AH$8:$CC$8))-_xlfn.XMATCH($C172,$C$35:$C$82)+1&lt;=_xlpm.DepreciationMonths,$C172&lt;=AQ$8),$E172/_xlpm.DepreciationMonths,0))</f>
        <v>0</v>
      </c>
      <c r="AR172" s="507" cm="1">
        <f t="array" ref="AR172">_xlfn.LET(_xlpm.DepreciationMonths,INDEX(FixedAssets[Depreciation
/ Amortization Months],_xlfn.XMATCH($E$135,FixedAssets[Asset ID])),IF(AND((_xlfn.XMATCH(AR$8,$AH$8:$CC$8))-_xlfn.XMATCH($C172,$C$35:$C$82)+1&lt;=_xlpm.DepreciationMonths,$C172&lt;=AR$8),$E172/_xlpm.DepreciationMonths,0))</f>
        <v>0</v>
      </c>
      <c r="AS172" s="507" cm="1">
        <f t="array" ref="AS172">_xlfn.LET(_xlpm.DepreciationMonths,INDEX(FixedAssets[Depreciation
/ Amortization Months],_xlfn.XMATCH($E$135,FixedAssets[Asset ID])),IF(AND((_xlfn.XMATCH(AS$8,$AH$8:$CC$8))-_xlfn.XMATCH($C172,$C$35:$C$82)+1&lt;=_xlpm.DepreciationMonths,$C172&lt;=AS$8),$E172/_xlpm.DepreciationMonths,0))</f>
        <v>0</v>
      </c>
      <c r="AT172" s="507" cm="1">
        <f t="array" ref="AT172">_xlfn.LET(_xlpm.DepreciationMonths,INDEX(FixedAssets[Depreciation
/ Amortization Months],_xlfn.XMATCH($E$135,FixedAssets[Asset ID])),IF(AND((_xlfn.XMATCH(AT$8,$AH$8:$CC$8))-_xlfn.XMATCH($C172,$C$35:$C$82)+1&lt;=_xlpm.DepreciationMonths,$C172&lt;=AT$8),$E172/_xlpm.DepreciationMonths,0))</f>
        <v>0</v>
      </c>
      <c r="AU172" s="507" cm="1">
        <f t="array" ref="AU172">_xlfn.LET(_xlpm.DepreciationMonths,INDEX(FixedAssets[Depreciation
/ Amortization Months],_xlfn.XMATCH($E$135,FixedAssets[Asset ID])),IF(AND((_xlfn.XMATCH(AU$8,$AH$8:$CC$8))-_xlfn.XMATCH($C172,$C$35:$C$82)+1&lt;=_xlpm.DepreciationMonths,$C172&lt;=AU$8),$E172/_xlpm.DepreciationMonths,0))</f>
        <v>0</v>
      </c>
      <c r="AV172" s="507" cm="1">
        <f t="array" ref="AV172">_xlfn.LET(_xlpm.DepreciationMonths,INDEX(FixedAssets[Depreciation
/ Amortization Months],_xlfn.XMATCH($E$135,FixedAssets[Asset ID])),IF(AND((_xlfn.XMATCH(AV$8,$AH$8:$CC$8))-_xlfn.XMATCH($C172,$C$35:$C$82)+1&lt;=_xlpm.DepreciationMonths,$C172&lt;=AV$8),$E172/_xlpm.DepreciationMonths,0))</f>
        <v>0</v>
      </c>
      <c r="AW172" s="507" cm="1">
        <f t="array" ref="AW172">_xlfn.LET(_xlpm.DepreciationMonths,INDEX(FixedAssets[Depreciation
/ Amortization Months],_xlfn.XMATCH($E$135,FixedAssets[Asset ID])),IF(AND((_xlfn.XMATCH(AW$8,$AH$8:$CC$8))-_xlfn.XMATCH($C172,$C$35:$C$82)+1&lt;=_xlpm.DepreciationMonths,$C172&lt;=AW$8),$E172/_xlpm.DepreciationMonths,0))</f>
        <v>0</v>
      </c>
      <c r="AX172" s="507" cm="1">
        <f t="array" ref="AX172">_xlfn.LET(_xlpm.DepreciationMonths,INDEX(FixedAssets[Depreciation
/ Amortization Months],_xlfn.XMATCH($E$135,FixedAssets[Asset ID])),IF(AND((_xlfn.XMATCH(AX$8,$AH$8:$CC$8))-_xlfn.XMATCH($C172,$C$35:$C$82)+1&lt;=_xlpm.DepreciationMonths,$C172&lt;=AX$8),$E172/_xlpm.DepreciationMonths,0))</f>
        <v>0</v>
      </c>
      <c r="AY172" s="507" cm="1">
        <f t="array" ref="AY172">_xlfn.LET(_xlpm.DepreciationMonths,INDEX(FixedAssets[Depreciation
/ Amortization Months],_xlfn.XMATCH($E$135,FixedAssets[Asset ID])),IF(AND((_xlfn.XMATCH(AY$8,$AH$8:$CC$8))-_xlfn.XMATCH($C172,$C$35:$C$82)+1&lt;=_xlpm.DepreciationMonths,$C172&lt;=AY$8),$E172/_xlpm.DepreciationMonths,0))</f>
        <v>0</v>
      </c>
      <c r="AZ172" s="507" cm="1">
        <f t="array" ref="AZ172">_xlfn.LET(_xlpm.DepreciationMonths,INDEX(FixedAssets[Depreciation
/ Amortization Months],_xlfn.XMATCH($E$135,FixedAssets[Asset ID])),IF(AND((_xlfn.XMATCH(AZ$8,$AH$8:$CC$8))-_xlfn.XMATCH($C172,$C$35:$C$82)+1&lt;=_xlpm.DepreciationMonths,$C172&lt;=AZ$8),$E172/_xlpm.DepreciationMonths,0))</f>
        <v>0</v>
      </c>
      <c r="BA172" s="507" cm="1">
        <f t="array" ref="BA172">_xlfn.LET(_xlpm.DepreciationMonths,INDEX(FixedAssets[Depreciation
/ Amortization Months],_xlfn.XMATCH($E$135,FixedAssets[Asset ID])),IF(AND((_xlfn.XMATCH(BA$8,$AH$8:$CC$8))-_xlfn.XMATCH($C172,$C$35:$C$82)+1&lt;=_xlpm.DepreciationMonths,$C172&lt;=BA$8),$E172/_xlpm.DepreciationMonths,0))</f>
        <v>0</v>
      </c>
      <c r="BB172" s="507" cm="1">
        <f t="array" ref="BB172">_xlfn.LET(_xlpm.DepreciationMonths,INDEX(FixedAssets[Depreciation
/ Amortization Months],_xlfn.XMATCH($E$135,FixedAssets[Asset ID])),IF(AND((_xlfn.XMATCH(BB$8,$AH$8:$CC$8))-_xlfn.XMATCH($C172,$C$35:$C$82)+1&lt;=_xlpm.DepreciationMonths,$C172&lt;=BB$8),$E172/_xlpm.DepreciationMonths,0))</f>
        <v>0</v>
      </c>
      <c r="BC172" s="507" cm="1">
        <f t="array" ref="BC172">_xlfn.LET(_xlpm.DepreciationMonths,INDEX(FixedAssets[Depreciation
/ Amortization Months],_xlfn.XMATCH($E$135,FixedAssets[Asset ID])),IF(AND((_xlfn.XMATCH(BC$8,$AH$8:$CC$8))-_xlfn.XMATCH($C172,$C$35:$C$82)+1&lt;=_xlpm.DepreciationMonths,$C172&lt;=BC$8),$E172/_xlpm.DepreciationMonths,0))</f>
        <v>0</v>
      </c>
      <c r="BD172" s="507" cm="1">
        <f t="array" ref="BD172">_xlfn.LET(_xlpm.DepreciationMonths,INDEX(FixedAssets[Depreciation
/ Amortization Months],_xlfn.XMATCH($E$135,FixedAssets[Asset ID])),IF(AND((_xlfn.XMATCH(BD$8,$AH$8:$CC$8))-_xlfn.XMATCH($C172,$C$35:$C$82)+1&lt;=_xlpm.DepreciationMonths,$C172&lt;=BD$8),$E172/_xlpm.DepreciationMonths,0))</f>
        <v>0</v>
      </c>
      <c r="BE172" s="507" cm="1">
        <f t="array" ref="BE172">_xlfn.LET(_xlpm.DepreciationMonths,INDEX(FixedAssets[Depreciation
/ Amortization Months],_xlfn.XMATCH($E$135,FixedAssets[Asset ID])),IF(AND((_xlfn.XMATCH(BE$8,$AH$8:$CC$8))-_xlfn.XMATCH($C172,$C$35:$C$82)+1&lt;=_xlpm.DepreciationMonths,$C172&lt;=BE$8),$E172/_xlpm.DepreciationMonths,0))</f>
        <v>0</v>
      </c>
      <c r="BF172" s="507" cm="1">
        <f t="array" ref="BF172">_xlfn.LET(_xlpm.DepreciationMonths,INDEX(FixedAssets[Depreciation
/ Amortization Months],_xlfn.XMATCH($E$135,FixedAssets[Asset ID])),IF(AND((_xlfn.XMATCH(BF$8,$AH$8:$CC$8))-_xlfn.XMATCH($C172,$C$35:$C$82)+1&lt;=_xlpm.DepreciationMonths,$C172&lt;=BF$8),$E172/_xlpm.DepreciationMonths,0))</f>
        <v>0</v>
      </c>
      <c r="BG172" s="507" cm="1">
        <f t="array" ref="BG172">_xlfn.LET(_xlpm.DepreciationMonths,INDEX(FixedAssets[Depreciation
/ Amortization Months],_xlfn.XMATCH($E$135,FixedAssets[Asset ID])),IF(AND((_xlfn.XMATCH(BG$8,$AH$8:$CC$8))-_xlfn.XMATCH($C172,$C$35:$C$82)+1&lt;=_xlpm.DepreciationMonths,$C172&lt;=BG$8),$E172/_xlpm.DepreciationMonths,0))</f>
        <v>0</v>
      </c>
      <c r="BH172" s="507" cm="1">
        <f t="array" ref="BH172">_xlfn.LET(_xlpm.DepreciationMonths,INDEX(FixedAssets[Depreciation
/ Amortization Months],_xlfn.XMATCH($E$135,FixedAssets[Asset ID])),IF(AND((_xlfn.XMATCH(BH$8,$AH$8:$CC$8))-_xlfn.XMATCH($C172,$C$35:$C$82)+1&lt;=_xlpm.DepreciationMonths,$C172&lt;=BH$8),$E172/_xlpm.DepreciationMonths,0))</f>
        <v>0</v>
      </c>
      <c r="BI172" s="507" cm="1">
        <f t="array" ref="BI172">_xlfn.LET(_xlpm.DepreciationMonths,INDEX(FixedAssets[Depreciation
/ Amortization Months],_xlfn.XMATCH($E$135,FixedAssets[Asset ID])),IF(AND((_xlfn.XMATCH(BI$8,$AH$8:$CC$8))-_xlfn.XMATCH($C172,$C$35:$C$82)+1&lt;=_xlpm.DepreciationMonths,$C172&lt;=BI$8),$E172/_xlpm.DepreciationMonths,0))</f>
        <v>0</v>
      </c>
      <c r="BJ172" s="507" cm="1">
        <f t="array" ref="BJ172">_xlfn.LET(_xlpm.DepreciationMonths,INDEX(FixedAssets[Depreciation
/ Amortization Months],_xlfn.XMATCH($E$135,FixedAssets[Asset ID])),IF(AND((_xlfn.XMATCH(BJ$8,$AH$8:$CC$8))-_xlfn.XMATCH($C172,$C$35:$C$82)+1&lt;=_xlpm.DepreciationMonths,$C172&lt;=BJ$8),$E172/_xlpm.DepreciationMonths,0))</f>
        <v>0</v>
      </c>
      <c r="BK172" s="507" cm="1">
        <f t="array" ref="BK172">_xlfn.LET(_xlpm.DepreciationMonths,INDEX(FixedAssets[Depreciation
/ Amortization Months],_xlfn.XMATCH($E$135,FixedAssets[Asset ID])),IF(AND((_xlfn.XMATCH(BK$8,$AH$8:$CC$8))-_xlfn.XMATCH($C172,$C$35:$C$82)+1&lt;=_xlpm.DepreciationMonths,$C172&lt;=BK$8),$E172/_xlpm.DepreciationMonths,0))</f>
        <v>0</v>
      </c>
      <c r="BL172" s="507" cm="1">
        <f t="array" ref="BL172">_xlfn.LET(_xlpm.DepreciationMonths,INDEX(FixedAssets[Depreciation
/ Amortization Months],_xlfn.XMATCH($E$135,FixedAssets[Asset ID])),IF(AND((_xlfn.XMATCH(BL$8,$AH$8:$CC$8))-_xlfn.XMATCH($C172,$C$35:$C$82)+1&lt;=_xlpm.DepreciationMonths,$C172&lt;=BL$8),$E172/_xlpm.DepreciationMonths,0))</f>
        <v>0</v>
      </c>
      <c r="BM172" s="507" cm="1">
        <f t="array" ref="BM172">_xlfn.LET(_xlpm.DepreciationMonths,INDEX(FixedAssets[Depreciation
/ Amortization Months],_xlfn.XMATCH($E$135,FixedAssets[Asset ID])),IF(AND((_xlfn.XMATCH(BM$8,$AH$8:$CC$8))-_xlfn.XMATCH($C172,$C$35:$C$82)+1&lt;=_xlpm.DepreciationMonths,$C172&lt;=BM$8),$E172/_xlpm.DepreciationMonths,0))</f>
        <v>0</v>
      </c>
      <c r="BN172" s="507" cm="1">
        <f t="array" ref="BN172">_xlfn.LET(_xlpm.DepreciationMonths,INDEX(FixedAssets[Depreciation
/ Amortization Months],_xlfn.XMATCH($E$135,FixedAssets[Asset ID])),IF(AND((_xlfn.XMATCH(BN$8,$AH$8:$CC$8))-_xlfn.XMATCH($C172,$C$35:$C$82)+1&lt;=_xlpm.DepreciationMonths,$C172&lt;=BN$8),$E172/_xlpm.DepreciationMonths,0))</f>
        <v>0</v>
      </c>
      <c r="BO172" s="507" cm="1">
        <f t="array" ref="BO172">_xlfn.LET(_xlpm.DepreciationMonths,INDEX(FixedAssets[Depreciation
/ Amortization Months],_xlfn.XMATCH($E$135,FixedAssets[Asset ID])),IF(AND((_xlfn.XMATCH(BO$8,$AH$8:$CC$8))-_xlfn.XMATCH($C172,$C$35:$C$82)+1&lt;=_xlpm.DepreciationMonths,$C172&lt;=BO$8),$E172/_xlpm.DepreciationMonths,0))</f>
        <v>0</v>
      </c>
      <c r="BP172" s="507" cm="1">
        <f t="array" ref="BP172">_xlfn.LET(_xlpm.DepreciationMonths,INDEX(FixedAssets[Depreciation
/ Amortization Months],_xlfn.XMATCH($E$135,FixedAssets[Asset ID])),IF(AND((_xlfn.XMATCH(BP$8,$AH$8:$CC$8))-_xlfn.XMATCH($C172,$C$35:$C$82)+1&lt;=_xlpm.DepreciationMonths,$C172&lt;=BP$8),$E172/_xlpm.DepreciationMonths,0))</f>
        <v>0</v>
      </c>
      <c r="BQ172" s="507" cm="1">
        <f t="array" ref="BQ172">_xlfn.LET(_xlpm.DepreciationMonths,INDEX(FixedAssets[Depreciation
/ Amortization Months],_xlfn.XMATCH($E$135,FixedAssets[Asset ID])),IF(AND((_xlfn.XMATCH(BQ$8,$AH$8:$CC$8))-_xlfn.XMATCH($C172,$C$35:$C$82)+1&lt;=_xlpm.DepreciationMonths,$C172&lt;=BQ$8),$E172/_xlpm.DepreciationMonths,0))</f>
        <v>0</v>
      </c>
      <c r="BR172" s="507" cm="1">
        <f t="array" ref="BR172">_xlfn.LET(_xlpm.DepreciationMonths,INDEX(FixedAssets[Depreciation
/ Amortization Months],_xlfn.XMATCH($E$135,FixedAssets[Asset ID])),IF(AND((_xlfn.XMATCH(BR$8,$AH$8:$CC$8))-_xlfn.XMATCH($C172,$C$35:$C$82)+1&lt;=_xlpm.DepreciationMonths,$C172&lt;=BR$8),$E172/_xlpm.DepreciationMonths,0))</f>
        <v>0</v>
      </c>
      <c r="BS172" s="507" cm="1">
        <f t="array" ref="BS172">_xlfn.LET(_xlpm.DepreciationMonths,INDEX(FixedAssets[Depreciation
/ Amortization Months],_xlfn.XMATCH($E$135,FixedAssets[Asset ID])),IF(AND((_xlfn.XMATCH(BS$8,$AH$8:$CC$8))-_xlfn.XMATCH($C172,$C$35:$C$82)+1&lt;=_xlpm.DepreciationMonths,$C172&lt;=BS$8),$E172/_xlpm.DepreciationMonths,0))</f>
        <v>0</v>
      </c>
      <c r="BT172" s="507" cm="1">
        <f t="array" ref="BT172">_xlfn.LET(_xlpm.DepreciationMonths,INDEX(FixedAssets[Depreciation
/ Amortization Months],_xlfn.XMATCH($E$135,FixedAssets[Asset ID])),IF(AND((_xlfn.XMATCH(BT$8,$AH$8:$CC$8))-_xlfn.XMATCH($C172,$C$35:$C$82)+1&lt;=_xlpm.DepreciationMonths,$C172&lt;=BT$8),$E172/_xlpm.DepreciationMonths,0))</f>
        <v>0</v>
      </c>
      <c r="BU172" s="507" cm="1">
        <f t="array" ref="BU172">_xlfn.LET(_xlpm.DepreciationMonths,INDEX(FixedAssets[Depreciation
/ Amortization Months],_xlfn.XMATCH($E$135,FixedAssets[Asset ID])),IF(AND((_xlfn.XMATCH(BU$8,$AH$8:$CC$8))-_xlfn.XMATCH($C172,$C$35:$C$82)+1&lt;=_xlpm.DepreciationMonths,$C172&lt;=BU$8),$E172/_xlpm.DepreciationMonths,0))</f>
        <v>0</v>
      </c>
      <c r="BV172" s="507" cm="1">
        <f t="array" ref="BV172">_xlfn.LET(_xlpm.DepreciationMonths,INDEX(FixedAssets[Depreciation
/ Amortization Months],_xlfn.XMATCH($E$135,FixedAssets[Asset ID])),IF(AND((_xlfn.XMATCH(BV$8,$AH$8:$CC$8))-_xlfn.XMATCH($C172,$C$35:$C$82)+1&lt;=_xlpm.DepreciationMonths,$C172&lt;=BV$8),$E172/_xlpm.DepreciationMonths,0))</f>
        <v>0</v>
      </c>
      <c r="BW172" s="507" cm="1">
        <f t="array" ref="BW172">_xlfn.LET(_xlpm.DepreciationMonths,INDEX(FixedAssets[Depreciation
/ Amortization Months],_xlfn.XMATCH($E$135,FixedAssets[Asset ID])),IF(AND((_xlfn.XMATCH(BW$8,$AH$8:$CC$8))-_xlfn.XMATCH($C172,$C$35:$C$82)+1&lt;=_xlpm.DepreciationMonths,$C172&lt;=BW$8),$E172/_xlpm.DepreciationMonths,0))</f>
        <v>0</v>
      </c>
      <c r="BX172" s="507" cm="1">
        <f t="array" ref="BX172">_xlfn.LET(_xlpm.DepreciationMonths,INDEX(FixedAssets[Depreciation
/ Amortization Months],_xlfn.XMATCH($E$135,FixedAssets[Asset ID])),IF(AND((_xlfn.XMATCH(BX$8,$AH$8:$CC$8))-_xlfn.XMATCH($C172,$C$35:$C$82)+1&lt;=_xlpm.DepreciationMonths,$C172&lt;=BX$8),$E172/_xlpm.DepreciationMonths,0))</f>
        <v>0</v>
      </c>
      <c r="BY172" s="507" cm="1">
        <f t="array" ref="BY172">_xlfn.LET(_xlpm.DepreciationMonths,INDEX(FixedAssets[Depreciation
/ Amortization Months],_xlfn.XMATCH($E$135,FixedAssets[Asset ID])),IF(AND((_xlfn.XMATCH(BY$8,$AH$8:$CC$8))-_xlfn.XMATCH($C172,$C$35:$C$82)+1&lt;=_xlpm.DepreciationMonths,$C172&lt;=BY$8),$E172/_xlpm.DepreciationMonths,0))</f>
        <v>0</v>
      </c>
      <c r="BZ172" s="507" cm="1">
        <f t="array" ref="BZ172">_xlfn.LET(_xlpm.DepreciationMonths,INDEX(FixedAssets[Depreciation
/ Amortization Months],_xlfn.XMATCH($E$135,FixedAssets[Asset ID])),IF(AND((_xlfn.XMATCH(BZ$8,$AH$8:$CC$8))-_xlfn.XMATCH($C172,$C$35:$C$82)+1&lt;=_xlpm.DepreciationMonths,$C172&lt;=BZ$8),$E172/_xlpm.DepreciationMonths,0))</f>
        <v>0</v>
      </c>
      <c r="CA172" s="507" cm="1">
        <f t="array" ref="CA172">_xlfn.LET(_xlpm.DepreciationMonths,INDEX(FixedAssets[Depreciation
/ Amortization Months],_xlfn.XMATCH($E$135,FixedAssets[Asset ID])),IF(AND((_xlfn.XMATCH(CA$8,$AH$8:$CC$8))-_xlfn.XMATCH($C172,$C$35:$C$82)+1&lt;=_xlpm.DepreciationMonths,$C172&lt;=CA$8),$E172/_xlpm.DepreciationMonths,0))</f>
        <v>0</v>
      </c>
      <c r="CB172" s="507" cm="1">
        <f t="array" ref="CB172">_xlfn.LET(_xlpm.DepreciationMonths,INDEX(FixedAssets[Depreciation
/ Amortization Months],_xlfn.XMATCH($E$135,FixedAssets[Asset ID])),IF(AND((_xlfn.XMATCH(CB$8,$AH$8:$CC$8))-_xlfn.XMATCH($C172,$C$35:$C$82)+1&lt;=_xlpm.DepreciationMonths,$C172&lt;=CB$8),$E172/_xlpm.DepreciationMonths,0))</f>
        <v>0</v>
      </c>
      <c r="CC172" s="507" cm="1">
        <f t="array" ref="CC172">_xlfn.LET(_xlpm.DepreciationMonths,INDEX(FixedAssets[Depreciation
/ Amortization Months],_xlfn.XMATCH($E$135,FixedAssets[Asset ID])),IF(AND((_xlfn.XMATCH(CC$8,$AH$8:$CC$8))-_xlfn.XMATCH($C172,$C$35:$C$82)+1&lt;=_xlpm.DepreciationMonths,$C172&lt;=CC$8),$E172/_xlpm.DepreciationMonths,0))</f>
        <v>0</v>
      </c>
    </row>
    <row r="173" spans="3:81" hidden="1" outlineLevel="2">
      <c r="C173" s="664">
        <f t="shared" si="243"/>
        <v>46053</v>
      </c>
      <c r="D173" s="508"/>
      <c r="E173" s="508" cm="1">
        <f t="array" ref="E173">SUMPRODUCT(($AH$26:$CC$31)*($AH$5:$CC$5=$C173)*($E$26:$E$31=E$135))-SUMPRODUCT(($AH$26:$CC$31)*($AH$5:$CC$5=EOMONTH($C173,-1))*($E$26:$E$31=E$135))</f>
        <v>0</v>
      </c>
      <c r="F173" s="508"/>
      <c r="G173" s="508"/>
      <c r="H173" s="508"/>
      <c r="I173" s="508"/>
      <c r="J173" s="504">
        <f t="shared" si="240"/>
        <v>0</v>
      </c>
      <c r="K173" s="504">
        <f t="shared" si="248"/>
        <v>0</v>
      </c>
      <c r="L173" s="504">
        <f t="shared" si="248"/>
        <v>0</v>
      </c>
      <c r="M173" s="504">
        <f t="shared" si="248"/>
        <v>0</v>
      </c>
      <c r="N173" s="504"/>
      <c r="O173" s="504"/>
      <c r="P173" s="504">
        <f t="shared" si="249"/>
        <v>0</v>
      </c>
      <c r="Q173" s="504">
        <f t="shared" si="249"/>
        <v>0</v>
      </c>
      <c r="R173" s="504">
        <f t="shared" si="249"/>
        <v>0</v>
      </c>
      <c r="S173" s="504">
        <f t="shared" si="249"/>
        <v>0</v>
      </c>
      <c r="T173" s="504">
        <f t="shared" si="249"/>
        <v>0</v>
      </c>
      <c r="U173" s="504">
        <f t="shared" si="249"/>
        <v>0</v>
      </c>
      <c r="V173" s="504">
        <f t="shared" si="249"/>
        <v>0</v>
      </c>
      <c r="W173" s="504">
        <f t="shared" si="249"/>
        <v>0</v>
      </c>
      <c r="X173" s="504">
        <f t="shared" si="249"/>
        <v>0</v>
      </c>
      <c r="Y173" s="504">
        <f t="shared" si="249"/>
        <v>0</v>
      </c>
      <c r="Z173" s="504">
        <f t="shared" si="249"/>
        <v>0</v>
      </c>
      <c r="AA173" s="504">
        <f t="shared" si="249"/>
        <v>0</v>
      </c>
      <c r="AB173" s="504">
        <f t="shared" si="249"/>
        <v>0</v>
      </c>
      <c r="AC173" s="504">
        <f t="shared" si="249"/>
        <v>0</v>
      </c>
      <c r="AD173" s="504">
        <f t="shared" si="249"/>
        <v>0</v>
      </c>
      <c r="AE173" s="504">
        <f t="shared" si="249"/>
        <v>0</v>
      </c>
      <c r="AF173" s="508"/>
      <c r="AG173" s="508"/>
      <c r="AH173" s="507" cm="1">
        <f t="array" ref="AH173">_xlfn.LET(_xlpm.DepreciationMonths,INDEX(FixedAssets[Depreciation
/ Amortization Months],_xlfn.XMATCH($E$135,FixedAssets[Asset ID])),IF(AND((_xlfn.XMATCH(AH$8,$AH$8:$CC$8))-_xlfn.XMATCH($C173,$C$35:$C$82)+1&lt;=_xlpm.DepreciationMonths,$C173&lt;=AH$8),$E173/_xlpm.DepreciationMonths,0))</f>
        <v>0</v>
      </c>
      <c r="AI173" s="507" cm="1">
        <f t="array" ref="AI173">_xlfn.LET(_xlpm.DepreciationMonths,INDEX(FixedAssets[Depreciation
/ Amortization Months],_xlfn.XMATCH($E$135,FixedAssets[Asset ID])),IF(AND((_xlfn.XMATCH(AI$8,$AH$8:$CC$8))-_xlfn.XMATCH($C173,$C$35:$C$82)+1&lt;=_xlpm.DepreciationMonths,$C173&lt;=AI$8),$E173/_xlpm.DepreciationMonths,0))</f>
        <v>0</v>
      </c>
      <c r="AJ173" s="507" cm="1">
        <f t="array" ref="AJ173">_xlfn.LET(_xlpm.DepreciationMonths,INDEX(FixedAssets[Depreciation
/ Amortization Months],_xlfn.XMATCH($E$135,FixedAssets[Asset ID])),IF(AND((_xlfn.XMATCH(AJ$8,$AH$8:$CC$8))-_xlfn.XMATCH($C173,$C$35:$C$82)+1&lt;=_xlpm.DepreciationMonths,$C173&lt;=AJ$8),$E173/_xlpm.DepreciationMonths,0))</f>
        <v>0</v>
      </c>
      <c r="AK173" s="507" cm="1">
        <f t="array" ref="AK173">_xlfn.LET(_xlpm.DepreciationMonths,INDEX(FixedAssets[Depreciation
/ Amortization Months],_xlfn.XMATCH($E$135,FixedAssets[Asset ID])),IF(AND((_xlfn.XMATCH(AK$8,$AH$8:$CC$8))-_xlfn.XMATCH($C173,$C$35:$C$82)+1&lt;=_xlpm.DepreciationMonths,$C173&lt;=AK$8),$E173/_xlpm.DepreciationMonths,0))</f>
        <v>0</v>
      </c>
      <c r="AL173" s="507" cm="1">
        <f t="array" ref="AL173">_xlfn.LET(_xlpm.DepreciationMonths,INDEX(FixedAssets[Depreciation
/ Amortization Months],_xlfn.XMATCH($E$135,FixedAssets[Asset ID])),IF(AND((_xlfn.XMATCH(AL$8,$AH$8:$CC$8))-_xlfn.XMATCH($C173,$C$35:$C$82)+1&lt;=_xlpm.DepreciationMonths,$C173&lt;=AL$8),$E173/_xlpm.DepreciationMonths,0))</f>
        <v>0</v>
      </c>
      <c r="AM173" s="507" cm="1">
        <f t="array" ref="AM173">_xlfn.LET(_xlpm.DepreciationMonths,INDEX(FixedAssets[Depreciation
/ Amortization Months],_xlfn.XMATCH($E$135,FixedAssets[Asset ID])),IF(AND((_xlfn.XMATCH(AM$8,$AH$8:$CC$8))-_xlfn.XMATCH($C173,$C$35:$C$82)+1&lt;=_xlpm.DepreciationMonths,$C173&lt;=AM$8),$E173/_xlpm.DepreciationMonths,0))</f>
        <v>0</v>
      </c>
      <c r="AN173" s="507" cm="1">
        <f t="array" ref="AN173">_xlfn.LET(_xlpm.DepreciationMonths,INDEX(FixedAssets[Depreciation
/ Amortization Months],_xlfn.XMATCH($E$135,FixedAssets[Asset ID])),IF(AND((_xlfn.XMATCH(AN$8,$AH$8:$CC$8))-_xlfn.XMATCH($C173,$C$35:$C$82)+1&lt;=_xlpm.DepreciationMonths,$C173&lt;=AN$8),$E173/_xlpm.DepreciationMonths,0))</f>
        <v>0</v>
      </c>
      <c r="AO173" s="507" cm="1">
        <f t="array" ref="AO173">_xlfn.LET(_xlpm.DepreciationMonths,INDEX(FixedAssets[Depreciation
/ Amortization Months],_xlfn.XMATCH($E$135,FixedAssets[Asset ID])),IF(AND((_xlfn.XMATCH(AO$8,$AH$8:$CC$8))-_xlfn.XMATCH($C173,$C$35:$C$82)+1&lt;=_xlpm.DepreciationMonths,$C173&lt;=AO$8),$E173/_xlpm.DepreciationMonths,0))</f>
        <v>0</v>
      </c>
      <c r="AP173" s="507" cm="1">
        <f t="array" ref="AP173">_xlfn.LET(_xlpm.DepreciationMonths,INDEX(FixedAssets[Depreciation
/ Amortization Months],_xlfn.XMATCH($E$135,FixedAssets[Asset ID])),IF(AND((_xlfn.XMATCH(AP$8,$AH$8:$CC$8))-_xlfn.XMATCH($C173,$C$35:$C$82)+1&lt;=_xlpm.DepreciationMonths,$C173&lt;=AP$8),$E173/_xlpm.DepreciationMonths,0))</f>
        <v>0</v>
      </c>
      <c r="AQ173" s="507" cm="1">
        <f t="array" ref="AQ173">_xlfn.LET(_xlpm.DepreciationMonths,INDEX(FixedAssets[Depreciation
/ Amortization Months],_xlfn.XMATCH($E$135,FixedAssets[Asset ID])),IF(AND((_xlfn.XMATCH(AQ$8,$AH$8:$CC$8))-_xlfn.XMATCH($C173,$C$35:$C$82)+1&lt;=_xlpm.DepreciationMonths,$C173&lt;=AQ$8),$E173/_xlpm.DepreciationMonths,0))</f>
        <v>0</v>
      </c>
      <c r="AR173" s="507" cm="1">
        <f t="array" ref="AR173">_xlfn.LET(_xlpm.DepreciationMonths,INDEX(FixedAssets[Depreciation
/ Amortization Months],_xlfn.XMATCH($E$135,FixedAssets[Asset ID])),IF(AND((_xlfn.XMATCH(AR$8,$AH$8:$CC$8))-_xlfn.XMATCH($C173,$C$35:$C$82)+1&lt;=_xlpm.DepreciationMonths,$C173&lt;=AR$8),$E173/_xlpm.DepreciationMonths,0))</f>
        <v>0</v>
      </c>
      <c r="AS173" s="507" cm="1">
        <f t="array" ref="AS173">_xlfn.LET(_xlpm.DepreciationMonths,INDEX(FixedAssets[Depreciation
/ Amortization Months],_xlfn.XMATCH($E$135,FixedAssets[Asset ID])),IF(AND((_xlfn.XMATCH(AS$8,$AH$8:$CC$8))-_xlfn.XMATCH($C173,$C$35:$C$82)+1&lt;=_xlpm.DepreciationMonths,$C173&lt;=AS$8),$E173/_xlpm.DepreciationMonths,0))</f>
        <v>0</v>
      </c>
      <c r="AT173" s="507" cm="1">
        <f t="array" ref="AT173">_xlfn.LET(_xlpm.DepreciationMonths,INDEX(FixedAssets[Depreciation
/ Amortization Months],_xlfn.XMATCH($E$135,FixedAssets[Asset ID])),IF(AND((_xlfn.XMATCH(AT$8,$AH$8:$CC$8))-_xlfn.XMATCH($C173,$C$35:$C$82)+1&lt;=_xlpm.DepreciationMonths,$C173&lt;=AT$8),$E173/_xlpm.DepreciationMonths,0))</f>
        <v>0</v>
      </c>
      <c r="AU173" s="507" cm="1">
        <f t="array" ref="AU173">_xlfn.LET(_xlpm.DepreciationMonths,INDEX(FixedAssets[Depreciation
/ Amortization Months],_xlfn.XMATCH($E$135,FixedAssets[Asset ID])),IF(AND((_xlfn.XMATCH(AU$8,$AH$8:$CC$8))-_xlfn.XMATCH($C173,$C$35:$C$82)+1&lt;=_xlpm.DepreciationMonths,$C173&lt;=AU$8),$E173/_xlpm.DepreciationMonths,0))</f>
        <v>0</v>
      </c>
      <c r="AV173" s="507" cm="1">
        <f t="array" ref="AV173">_xlfn.LET(_xlpm.DepreciationMonths,INDEX(FixedAssets[Depreciation
/ Amortization Months],_xlfn.XMATCH($E$135,FixedAssets[Asset ID])),IF(AND((_xlfn.XMATCH(AV$8,$AH$8:$CC$8))-_xlfn.XMATCH($C173,$C$35:$C$82)+1&lt;=_xlpm.DepreciationMonths,$C173&lt;=AV$8),$E173/_xlpm.DepreciationMonths,0))</f>
        <v>0</v>
      </c>
      <c r="AW173" s="507" cm="1">
        <f t="array" ref="AW173">_xlfn.LET(_xlpm.DepreciationMonths,INDEX(FixedAssets[Depreciation
/ Amortization Months],_xlfn.XMATCH($E$135,FixedAssets[Asset ID])),IF(AND((_xlfn.XMATCH(AW$8,$AH$8:$CC$8))-_xlfn.XMATCH($C173,$C$35:$C$82)+1&lt;=_xlpm.DepreciationMonths,$C173&lt;=AW$8),$E173/_xlpm.DepreciationMonths,0))</f>
        <v>0</v>
      </c>
      <c r="AX173" s="507" cm="1">
        <f t="array" ref="AX173">_xlfn.LET(_xlpm.DepreciationMonths,INDEX(FixedAssets[Depreciation
/ Amortization Months],_xlfn.XMATCH($E$135,FixedAssets[Asset ID])),IF(AND((_xlfn.XMATCH(AX$8,$AH$8:$CC$8))-_xlfn.XMATCH($C173,$C$35:$C$82)+1&lt;=_xlpm.DepreciationMonths,$C173&lt;=AX$8),$E173/_xlpm.DepreciationMonths,0))</f>
        <v>0</v>
      </c>
      <c r="AY173" s="507" cm="1">
        <f t="array" ref="AY173">_xlfn.LET(_xlpm.DepreciationMonths,INDEX(FixedAssets[Depreciation
/ Amortization Months],_xlfn.XMATCH($E$135,FixedAssets[Asset ID])),IF(AND((_xlfn.XMATCH(AY$8,$AH$8:$CC$8))-_xlfn.XMATCH($C173,$C$35:$C$82)+1&lt;=_xlpm.DepreciationMonths,$C173&lt;=AY$8),$E173/_xlpm.DepreciationMonths,0))</f>
        <v>0</v>
      </c>
      <c r="AZ173" s="507" cm="1">
        <f t="array" ref="AZ173">_xlfn.LET(_xlpm.DepreciationMonths,INDEX(FixedAssets[Depreciation
/ Amortization Months],_xlfn.XMATCH($E$135,FixedAssets[Asset ID])),IF(AND((_xlfn.XMATCH(AZ$8,$AH$8:$CC$8))-_xlfn.XMATCH($C173,$C$35:$C$82)+1&lt;=_xlpm.DepreciationMonths,$C173&lt;=AZ$8),$E173/_xlpm.DepreciationMonths,0))</f>
        <v>0</v>
      </c>
      <c r="BA173" s="507" cm="1">
        <f t="array" ref="BA173">_xlfn.LET(_xlpm.DepreciationMonths,INDEX(FixedAssets[Depreciation
/ Amortization Months],_xlfn.XMATCH($E$135,FixedAssets[Asset ID])),IF(AND((_xlfn.XMATCH(BA$8,$AH$8:$CC$8))-_xlfn.XMATCH($C173,$C$35:$C$82)+1&lt;=_xlpm.DepreciationMonths,$C173&lt;=BA$8),$E173/_xlpm.DepreciationMonths,0))</f>
        <v>0</v>
      </c>
      <c r="BB173" s="507" cm="1">
        <f t="array" ref="BB173">_xlfn.LET(_xlpm.DepreciationMonths,INDEX(FixedAssets[Depreciation
/ Amortization Months],_xlfn.XMATCH($E$135,FixedAssets[Asset ID])),IF(AND((_xlfn.XMATCH(BB$8,$AH$8:$CC$8))-_xlfn.XMATCH($C173,$C$35:$C$82)+1&lt;=_xlpm.DepreciationMonths,$C173&lt;=BB$8),$E173/_xlpm.DepreciationMonths,0))</f>
        <v>0</v>
      </c>
      <c r="BC173" s="507" cm="1">
        <f t="array" ref="BC173">_xlfn.LET(_xlpm.DepreciationMonths,INDEX(FixedAssets[Depreciation
/ Amortization Months],_xlfn.XMATCH($E$135,FixedAssets[Asset ID])),IF(AND((_xlfn.XMATCH(BC$8,$AH$8:$CC$8))-_xlfn.XMATCH($C173,$C$35:$C$82)+1&lt;=_xlpm.DepreciationMonths,$C173&lt;=BC$8),$E173/_xlpm.DepreciationMonths,0))</f>
        <v>0</v>
      </c>
      <c r="BD173" s="507" cm="1">
        <f t="array" ref="BD173">_xlfn.LET(_xlpm.DepreciationMonths,INDEX(FixedAssets[Depreciation
/ Amortization Months],_xlfn.XMATCH($E$135,FixedAssets[Asset ID])),IF(AND((_xlfn.XMATCH(BD$8,$AH$8:$CC$8))-_xlfn.XMATCH($C173,$C$35:$C$82)+1&lt;=_xlpm.DepreciationMonths,$C173&lt;=BD$8),$E173/_xlpm.DepreciationMonths,0))</f>
        <v>0</v>
      </c>
      <c r="BE173" s="507" cm="1">
        <f t="array" ref="BE173">_xlfn.LET(_xlpm.DepreciationMonths,INDEX(FixedAssets[Depreciation
/ Amortization Months],_xlfn.XMATCH($E$135,FixedAssets[Asset ID])),IF(AND((_xlfn.XMATCH(BE$8,$AH$8:$CC$8))-_xlfn.XMATCH($C173,$C$35:$C$82)+1&lt;=_xlpm.DepreciationMonths,$C173&lt;=BE$8),$E173/_xlpm.DepreciationMonths,0))</f>
        <v>0</v>
      </c>
      <c r="BF173" s="507" cm="1">
        <f t="array" ref="BF173">_xlfn.LET(_xlpm.DepreciationMonths,INDEX(FixedAssets[Depreciation
/ Amortization Months],_xlfn.XMATCH($E$135,FixedAssets[Asset ID])),IF(AND((_xlfn.XMATCH(BF$8,$AH$8:$CC$8))-_xlfn.XMATCH($C173,$C$35:$C$82)+1&lt;=_xlpm.DepreciationMonths,$C173&lt;=BF$8),$E173/_xlpm.DepreciationMonths,0))</f>
        <v>0</v>
      </c>
      <c r="BG173" s="507" cm="1">
        <f t="array" ref="BG173">_xlfn.LET(_xlpm.DepreciationMonths,INDEX(FixedAssets[Depreciation
/ Amortization Months],_xlfn.XMATCH($E$135,FixedAssets[Asset ID])),IF(AND((_xlfn.XMATCH(BG$8,$AH$8:$CC$8))-_xlfn.XMATCH($C173,$C$35:$C$82)+1&lt;=_xlpm.DepreciationMonths,$C173&lt;=BG$8),$E173/_xlpm.DepreciationMonths,0))</f>
        <v>0</v>
      </c>
      <c r="BH173" s="507" cm="1">
        <f t="array" ref="BH173">_xlfn.LET(_xlpm.DepreciationMonths,INDEX(FixedAssets[Depreciation
/ Amortization Months],_xlfn.XMATCH($E$135,FixedAssets[Asset ID])),IF(AND((_xlfn.XMATCH(BH$8,$AH$8:$CC$8))-_xlfn.XMATCH($C173,$C$35:$C$82)+1&lt;=_xlpm.DepreciationMonths,$C173&lt;=BH$8),$E173/_xlpm.DepreciationMonths,0))</f>
        <v>0</v>
      </c>
      <c r="BI173" s="507" cm="1">
        <f t="array" ref="BI173">_xlfn.LET(_xlpm.DepreciationMonths,INDEX(FixedAssets[Depreciation
/ Amortization Months],_xlfn.XMATCH($E$135,FixedAssets[Asset ID])),IF(AND((_xlfn.XMATCH(BI$8,$AH$8:$CC$8))-_xlfn.XMATCH($C173,$C$35:$C$82)+1&lt;=_xlpm.DepreciationMonths,$C173&lt;=BI$8),$E173/_xlpm.DepreciationMonths,0))</f>
        <v>0</v>
      </c>
      <c r="BJ173" s="507" cm="1">
        <f t="array" ref="BJ173">_xlfn.LET(_xlpm.DepreciationMonths,INDEX(FixedAssets[Depreciation
/ Amortization Months],_xlfn.XMATCH($E$135,FixedAssets[Asset ID])),IF(AND((_xlfn.XMATCH(BJ$8,$AH$8:$CC$8))-_xlfn.XMATCH($C173,$C$35:$C$82)+1&lt;=_xlpm.DepreciationMonths,$C173&lt;=BJ$8),$E173/_xlpm.DepreciationMonths,0))</f>
        <v>0</v>
      </c>
      <c r="BK173" s="507" cm="1">
        <f t="array" ref="BK173">_xlfn.LET(_xlpm.DepreciationMonths,INDEX(FixedAssets[Depreciation
/ Amortization Months],_xlfn.XMATCH($E$135,FixedAssets[Asset ID])),IF(AND((_xlfn.XMATCH(BK$8,$AH$8:$CC$8))-_xlfn.XMATCH($C173,$C$35:$C$82)+1&lt;=_xlpm.DepreciationMonths,$C173&lt;=BK$8),$E173/_xlpm.DepreciationMonths,0))</f>
        <v>0</v>
      </c>
      <c r="BL173" s="507" cm="1">
        <f t="array" ref="BL173">_xlfn.LET(_xlpm.DepreciationMonths,INDEX(FixedAssets[Depreciation
/ Amortization Months],_xlfn.XMATCH($E$135,FixedAssets[Asset ID])),IF(AND((_xlfn.XMATCH(BL$8,$AH$8:$CC$8))-_xlfn.XMATCH($C173,$C$35:$C$82)+1&lt;=_xlpm.DepreciationMonths,$C173&lt;=BL$8),$E173/_xlpm.DepreciationMonths,0))</f>
        <v>0</v>
      </c>
      <c r="BM173" s="507" cm="1">
        <f t="array" ref="BM173">_xlfn.LET(_xlpm.DepreciationMonths,INDEX(FixedAssets[Depreciation
/ Amortization Months],_xlfn.XMATCH($E$135,FixedAssets[Asset ID])),IF(AND((_xlfn.XMATCH(BM$8,$AH$8:$CC$8))-_xlfn.XMATCH($C173,$C$35:$C$82)+1&lt;=_xlpm.DepreciationMonths,$C173&lt;=BM$8),$E173/_xlpm.DepreciationMonths,0))</f>
        <v>0</v>
      </c>
      <c r="BN173" s="507" cm="1">
        <f t="array" ref="BN173">_xlfn.LET(_xlpm.DepreciationMonths,INDEX(FixedAssets[Depreciation
/ Amortization Months],_xlfn.XMATCH($E$135,FixedAssets[Asset ID])),IF(AND((_xlfn.XMATCH(BN$8,$AH$8:$CC$8))-_xlfn.XMATCH($C173,$C$35:$C$82)+1&lt;=_xlpm.DepreciationMonths,$C173&lt;=BN$8),$E173/_xlpm.DepreciationMonths,0))</f>
        <v>0</v>
      </c>
      <c r="BO173" s="507" cm="1">
        <f t="array" ref="BO173">_xlfn.LET(_xlpm.DepreciationMonths,INDEX(FixedAssets[Depreciation
/ Amortization Months],_xlfn.XMATCH($E$135,FixedAssets[Asset ID])),IF(AND((_xlfn.XMATCH(BO$8,$AH$8:$CC$8))-_xlfn.XMATCH($C173,$C$35:$C$82)+1&lt;=_xlpm.DepreciationMonths,$C173&lt;=BO$8),$E173/_xlpm.DepreciationMonths,0))</f>
        <v>0</v>
      </c>
      <c r="BP173" s="507" cm="1">
        <f t="array" ref="BP173">_xlfn.LET(_xlpm.DepreciationMonths,INDEX(FixedAssets[Depreciation
/ Amortization Months],_xlfn.XMATCH($E$135,FixedAssets[Asset ID])),IF(AND((_xlfn.XMATCH(BP$8,$AH$8:$CC$8))-_xlfn.XMATCH($C173,$C$35:$C$82)+1&lt;=_xlpm.DepreciationMonths,$C173&lt;=BP$8),$E173/_xlpm.DepreciationMonths,0))</f>
        <v>0</v>
      </c>
      <c r="BQ173" s="507" cm="1">
        <f t="array" ref="BQ173">_xlfn.LET(_xlpm.DepreciationMonths,INDEX(FixedAssets[Depreciation
/ Amortization Months],_xlfn.XMATCH($E$135,FixedAssets[Asset ID])),IF(AND((_xlfn.XMATCH(BQ$8,$AH$8:$CC$8))-_xlfn.XMATCH($C173,$C$35:$C$82)+1&lt;=_xlpm.DepreciationMonths,$C173&lt;=BQ$8),$E173/_xlpm.DepreciationMonths,0))</f>
        <v>0</v>
      </c>
      <c r="BR173" s="507" cm="1">
        <f t="array" ref="BR173">_xlfn.LET(_xlpm.DepreciationMonths,INDEX(FixedAssets[Depreciation
/ Amortization Months],_xlfn.XMATCH($E$135,FixedAssets[Asset ID])),IF(AND((_xlfn.XMATCH(BR$8,$AH$8:$CC$8))-_xlfn.XMATCH($C173,$C$35:$C$82)+1&lt;=_xlpm.DepreciationMonths,$C173&lt;=BR$8),$E173/_xlpm.DepreciationMonths,0))</f>
        <v>0</v>
      </c>
      <c r="BS173" s="507" cm="1">
        <f t="array" ref="BS173">_xlfn.LET(_xlpm.DepreciationMonths,INDEX(FixedAssets[Depreciation
/ Amortization Months],_xlfn.XMATCH($E$135,FixedAssets[Asset ID])),IF(AND((_xlfn.XMATCH(BS$8,$AH$8:$CC$8))-_xlfn.XMATCH($C173,$C$35:$C$82)+1&lt;=_xlpm.DepreciationMonths,$C173&lt;=BS$8),$E173/_xlpm.DepreciationMonths,0))</f>
        <v>0</v>
      </c>
      <c r="BT173" s="507" cm="1">
        <f t="array" ref="BT173">_xlfn.LET(_xlpm.DepreciationMonths,INDEX(FixedAssets[Depreciation
/ Amortization Months],_xlfn.XMATCH($E$135,FixedAssets[Asset ID])),IF(AND((_xlfn.XMATCH(BT$8,$AH$8:$CC$8))-_xlfn.XMATCH($C173,$C$35:$C$82)+1&lt;=_xlpm.DepreciationMonths,$C173&lt;=BT$8),$E173/_xlpm.DepreciationMonths,0))</f>
        <v>0</v>
      </c>
      <c r="BU173" s="507" cm="1">
        <f t="array" ref="BU173">_xlfn.LET(_xlpm.DepreciationMonths,INDEX(FixedAssets[Depreciation
/ Amortization Months],_xlfn.XMATCH($E$135,FixedAssets[Asset ID])),IF(AND((_xlfn.XMATCH(BU$8,$AH$8:$CC$8))-_xlfn.XMATCH($C173,$C$35:$C$82)+1&lt;=_xlpm.DepreciationMonths,$C173&lt;=BU$8),$E173/_xlpm.DepreciationMonths,0))</f>
        <v>0</v>
      </c>
      <c r="BV173" s="507" cm="1">
        <f t="array" ref="BV173">_xlfn.LET(_xlpm.DepreciationMonths,INDEX(FixedAssets[Depreciation
/ Amortization Months],_xlfn.XMATCH($E$135,FixedAssets[Asset ID])),IF(AND((_xlfn.XMATCH(BV$8,$AH$8:$CC$8))-_xlfn.XMATCH($C173,$C$35:$C$82)+1&lt;=_xlpm.DepreciationMonths,$C173&lt;=BV$8),$E173/_xlpm.DepreciationMonths,0))</f>
        <v>0</v>
      </c>
      <c r="BW173" s="507" cm="1">
        <f t="array" ref="BW173">_xlfn.LET(_xlpm.DepreciationMonths,INDEX(FixedAssets[Depreciation
/ Amortization Months],_xlfn.XMATCH($E$135,FixedAssets[Asset ID])),IF(AND((_xlfn.XMATCH(BW$8,$AH$8:$CC$8))-_xlfn.XMATCH($C173,$C$35:$C$82)+1&lt;=_xlpm.DepreciationMonths,$C173&lt;=BW$8),$E173/_xlpm.DepreciationMonths,0))</f>
        <v>0</v>
      </c>
      <c r="BX173" s="507" cm="1">
        <f t="array" ref="BX173">_xlfn.LET(_xlpm.DepreciationMonths,INDEX(FixedAssets[Depreciation
/ Amortization Months],_xlfn.XMATCH($E$135,FixedAssets[Asset ID])),IF(AND((_xlfn.XMATCH(BX$8,$AH$8:$CC$8))-_xlfn.XMATCH($C173,$C$35:$C$82)+1&lt;=_xlpm.DepreciationMonths,$C173&lt;=BX$8),$E173/_xlpm.DepreciationMonths,0))</f>
        <v>0</v>
      </c>
      <c r="BY173" s="507" cm="1">
        <f t="array" ref="BY173">_xlfn.LET(_xlpm.DepreciationMonths,INDEX(FixedAssets[Depreciation
/ Amortization Months],_xlfn.XMATCH($E$135,FixedAssets[Asset ID])),IF(AND((_xlfn.XMATCH(BY$8,$AH$8:$CC$8))-_xlfn.XMATCH($C173,$C$35:$C$82)+1&lt;=_xlpm.DepreciationMonths,$C173&lt;=BY$8),$E173/_xlpm.DepreciationMonths,0))</f>
        <v>0</v>
      </c>
      <c r="BZ173" s="507" cm="1">
        <f t="array" ref="BZ173">_xlfn.LET(_xlpm.DepreciationMonths,INDEX(FixedAssets[Depreciation
/ Amortization Months],_xlfn.XMATCH($E$135,FixedAssets[Asset ID])),IF(AND((_xlfn.XMATCH(BZ$8,$AH$8:$CC$8))-_xlfn.XMATCH($C173,$C$35:$C$82)+1&lt;=_xlpm.DepreciationMonths,$C173&lt;=BZ$8),$E173/_xlpm.DepreciationMonths,0))</f>
        <v>0</v>
      </c>
      <c r="CA173" s="507" cm="1">
        <f t="array" ref="CA173">_xlfn.LET(_xlpm.DepreciationMonths,INDEX(FixedAssets[Depreciation
/ Amortization Months],_xlfn.XMATCH($E$135,FixedAssets[Asset ID])),IF(AND((_xlfn.XMATCH(CA$8,$AH$8:$CC$8))-_xlfn.XMATCH($C173,$C$35:$C$82)+1&lt;=_xlpm.DepreciationMonths,$C173&lt;=CA$8),$E173/_xlpm.DepreciationMonths,0))</f>
        <v>0</v>
      </c>
      <c r="CB173" s="507" cm="1">
        <f t="array" ref="CB173">_xlfn.LET(_xlpm.DepreciationMonths,INDEX(FixedAssets[Depreciation
/ Amortization Months],_xlfn.XMATCH($E$135,FixedAssets[Asset ID])),IF(AND((_xlfn.XMATCH(CB$8,$AH$8:$CC$8))-_xlfn.XMATCH($C173,$C$35:$C$82)+1&lt;=_xlpm.DepreciationMonths,$C173&lt;=CB$8),$E173/_xlpm.DepreciationMonths,0))</f>
        <v>0</v>
      </c>
      <c r="CC173" s="507" cm="1">
        <f t="array" ref="CC173">_xlfn.LET(_xlpm.DepreciationMonths,INDEX(FixedAssets[Depreciation
/ Amortization Months],_xlfn.XMATCH($E$135,FixedAssets[Asset ID])),IF(AND((_xlfn.XMATCH(CC$8,$AH$8:$CC$8))-_xlfn.XMATCH($C173,$C$35:$C$82)+1&lt;=_xlpm.DepreciationMonths,$C173&lt;=CC$8),$E173/_xlpm.DepreciationMonths,0))</f>
        <v>0</v>
      </c>
    </row>
    <row r="174" spans="3:81" hidden="1" outlineLevel="2">
      <c r="C174" s="664">
        <f t="shared" si="243"/>
        <v>46081</v>
      </c>
      <c r="D174" s="508"/>
      <c r="E174" s="508" cm="1">
        <f t="array" ref="E174">SUMPRODUCT(($AH$26:$CC$31)*($AH$5:$CC$5=$C174)*($E$26:$E$31=E$135))-SUMPRODUCT(($AH$26:$CC$31)*($AH$5:$CC$5=EOMONTH($C174,-1))*($E$26:$E$31=E$135))</f>
        <v>10000</v>
      </c>
      <c r="F174" s="508"/>
      <c r="G174" s="508"/>
      <c r="H174" s="508"/>
      <c r="I174" s="508"/>
      <c r="J174" s="504">
        <f t="shared" si="240"/>
        <v>0</v>
      </c>
      <c r="K174" s="504">
        <f t="shared" si="248"/>
        <v>0</v>
      </c>
      <c r="L174" s="504">
        <f t="shared" si="248"/>
        <v>0</v>
      </c>
      <c r="M174" s="504">
        <f t="shared" si="248"/>
        <v>3055.5555555555557</v>
      </c>
      <c r="N174" s="504"/>
      <c r="O174" s="504"/>
      <c r="P174" s="504">
        <f t="shared" si="249"/>
        <v>0</v>
      </c>
      <c r="Q174" s="504">
        <f t="shared" si="249"/>
        <v>0</v>
      </c>
      <c r="R174" s="504">
        <f t="shared" si="249"/>
        <v>0</v>
      </c>
      <c r="S174" s="504">
        <f t="shared" si="249"/>
        <v>0</v>
      </c>
      <c r="T174" s="504">
        <f t="shared" si="249"/>
        <v>0</v>
      </c>
      <c r="U174" s="504">
        <f t="shared" si="249"/>
        <v>0</v>
      </c>
      <c r="V174" s="504">
        <f t="shared" si="249"/>
        <v>0</v>
      </c>
      <c r="W174" s="504">
        <f t="shared" si="249"/>
        <v>0</v>
      </c>
      <c r="X174" s="504">
        <f t="shared" si="249"/>
        <v>0</v>
      </c>
      <c r="Y174" s="504">
        <f t="shared" si="249"/>
        <v>0</v>
      </c>
      <c r="Z174" s="504">
        <f t="shared" si="249"/>
        <v>0</v>
      </c>
      <c r="AA174" s="504">
        <f t="shared" si="249"/>
        <v>0</v>
      </c>
      <c r="AB174" s="504">
        <f t="shared" si="249"/>
        <v>555.55555555555554</v>
      </c>
      <c r="AC174" s="504">
        <f t="shared" si="249"/>
        <v>833.33333333333326</v>
      </c>
      <c r="AD174" s="504">
        <f t="shared" si="249"/>
        <v>833.33333333333326</v>
      </c>
      <c r="AE174" s="504">
        <f t="shared" si="249"/>
        <v>833.33333333333326</v>
      </c>
      <c r="AF174" s="508"/>
      <c r="AG174" s="508"/>
      <c r="AH174" s="507" cm="1">
        <f t="array" ref="AH174">_xlfn.LET(_xlpm.DepreciationMonths,INDEX(FixedAssets[Depreciation
/ Amortization Months],_xlfn.XMATCH($E$135,FixedAssets[Asset ID])),IF(AND((_xlfn.XMATCH(AH$8,$AH$8:$CC$8))-_xlfn.XMATCH($C174,$C$35:$C$82)+1&lt;=_xlpm.DepreciationMonths,$C174&lt;=AH$8),$E174/_xlpm.DepreciationMonths,0))</f>
        <v>0</v>
      </c>
      <c r="AI174" s="507" cm="1">
        <f t="array" ref="AI174">_xlfn.LET(_xlpm.DepreciationMonths,INDEX(FixedAssets[Depreciation
/ Amortization Months],_xlfn.XMATCH($E$135,FixedAssets[Asset ID])),IF(AND((_xlfn.XMATCH(AI$8,$AH$8:$CC$8))-_xlfn.XMATCH($C174,$C$35:$C$82)+1&lt;=_xlpm.DepreciationMonths,$C174&lt;=AI$8),$E174/_xlpm.DepreciationMonths,0))</f>
        <v>0</v>
      </c>
      <c r="AJ174" s="507" cm="1">
        <f t="array" ref="AJ174">_xlfn.LET(_xlpm.DepreciationMonths,INDEX(FixedAssets[Depreciation
/ Amortization Months],_xlfn.XMATCH($E$135,FixedAssets[Asset ID])),IF(AND((_xlfn.XMATCH(AJ$8,$AH$8:$CC$8))-_xlfn.XMATCH($C174,$C$35:$C$82)+1&lt;=_xlpm.DepreciationMonths,$C174&lt;=AJ$8),$E174/_xlpm.DepreciationMonths,0))</f>
        <v>0</v>
      </c>
      <c r="AK174" s="507" cm="1">
        <f t="array" ref="AK174">_xlfn.LET(_xlpm.DepreciationMonths,INDEX(FixedAssets[Depreciation
/ Amortization Months],_xlfn.XMATCH($E$135,FixedAssets[Asset ID])),IF(AND((_xlfn.XMATCH(AK$8,$AH$8:$CC$8))-_xlfn.XMATCH($C174,$C$35:$C$82)+1&lt;=_xlpm.DepreciationMonths,$C174&lt;=AK$8),$E174/_xlpm.DepreciationMonths,0))</f>
        <v>0</v>
      </c>
      <c r="AL174" s="507" cm="1">
        <f t="array" ref="AL174">_xlfn.LET(_xlpm.DepreciationMonths,INDEX(FixedAssets[Depreciation
/ Amortization Months],_xlfn.XMATCH($E$135,FixedAssets[Asset ID])),IF(AND((_xlfn.XMATCH(AL$8,$AH$8:$CC$8))-_xlfn.XMATCH($C174,$C$35:$C$82)+1&lt;=_xlpm.DepreciationMonths,$C174&lt;=AL$8),$E174/_xlpm.DepreciationMonths,0))</f>
        <v>0</v>
      </c>
      <c r="AM174" s="507" cm="1">
        <f t="array" ref="AM174">_xlfn.LET(_xlpm.DepreciationMonths,INDEX(FixedAssets[Depreciation
/ Amortization Months],_xlfn.XMATCH($E$135,FixedAssets[Asset ID])),IF(AND((_xlfn.XMATCH(AM$8,$AH$8:$CC$8))-_xlfn.XMATCH($C174,$C$35:$C$82)+1&lt;=_xlpm.DepreciationMonths,$C174&lt;=AM$8),$E174/_xlpm.DepreciationMonths,0))</f>
        <v>0</v>
      </c>
      <c r="AN174" s="507" cm="1">
        <f t="array" ref="AN174">_xlfn.LET(_xlpm.DepreciationMonths,INDEX(FixedAssets[Depreciation
/ Amortization Months],_xlfn.XMATCH($E$135,FixedAssets[Asset ID])),IF(AND((_xlfn.XMATCH(AN$8,$AH$8:$CC$8))-_xlfn.XMATCH($C174,$C$35:$C$82)+1&lt;=_xlpm.DepreciationMonths,$C174&lt;=AN$8),$E174/_xlpm.DepreciationMonths,0))</f>
        <v>0</v>
      </c>
      <c r="AO174" s="507" cm="1">
        <f t="array" ref="AO174">_xlfn.LET(_xlpm.DepreciationMonths,INDEX(FixedAssets[Depreciation
/ Amortization Months],_xlfn.XMATCH($E$135,FixedAssets[Asset ID])),IF(AND((_xlfn.XMATCH(AO$8,$AH$8:$CC$8))-_xlfn.XMATCH($C174,$C$35:$C$82)+1&lt;=_xlpm.DepreciationMonths,$C174&lt;=AO$8),$E174/_xlpm.DepreciationMonths,0))</f>
        <v>0</v>
      </c>
      <c r="AP174" s="507" cm="1">
        <f t="array" ref="AP174">_xlfn.LET(_xlpm.DepreciationMonths,INDEX(FixedAssets[Depreciation
/ Amortization Months],_xlfn.XMATCH($E$135,FixedAssets[Asset ID])),IF(AND((_xlfn.XMATCH(AP$8,$AH$8:$CC$8))-_xlfn.XMATCH($C174,$C$35:$C$82)+1&lt;=_xlpm.DepreciationMonths,$C174&lt;=AP$8),$E174/_xlpm.DepreciationMonths,0))</f>
        <v>0</v>
      </c>
      <c r="AQ174" s="507" cm="1">
        <f t="array" ref="AQ174">_xlfn.LET(_xlpm.DepreciationMonths,INDEX(FixedAssets[Depreciation
/ Amortization Months],_xlfn.XMATCH($E$135,FixedAssets[Asset ID])),IF(AND((_xlfn.XMATCH(AQ$8,$AH$8:$CC$8))-_xlfn.XMATCH($C174,$C$35:$C$82)+1&lt;=_xlpm.DepreciationMonths,$C174&lt;=AQ$8),$E174/_xlpm.DepreciationMonths,0))</f>
        <v>0</v>
      </c>
      <c r="AR174" s="507" cm="1">
        <f t="array" ref="AR174">_xlfn.LET(_xlpm.DepreciationMonths,INDEX(FixedAssets[Depreciation
/ Amortization Months],_xlfn.XMATCH($E$135,FixedAssets[Asset ID])),IF(AND((_xlfn.XMATCH(AR$8,$AH$8:$CC$8))-_xlfn.XMATCH($C174,$C$35:$C$82)+1&lt;=_xlpm.DepreciationMonths,$C174&lt;=AR$8),$E174/_xlpm.DepreciationMonths,0))</f>
        <v>0</v>
      </c>
      <c r="AS174" s="507" cm="1">
        <f t="array" ref="AS174">_xlfn.LET(_xlpm.DepreciationMonths,INDEX(FixedAssets[Depreciation
/ Amortization Months],_xlfn.XMATCH($E$135,FixedAssets[Asset ID])),IF(AND((_xlfn.XMATCH(AS$8,$AH$8:$CC$8))-_xlfn.XMATCH($C174,$C$35:$C$82)+1&lt;=_xlpm.DepreciationMonths,$C174&lt;=AS$8),$E174/_xlpm.DepreciationMonths,0))</f>
        <v>0</v>
      </c>
      <c r="AT174" s="507" cm="1">
        <f t="array" ref="AT174">_xlfn.LET(_xlpm.DepreciationMonths,INDEX(FixedAssets[Depreciation
/ Amortization Months],_xlfn.XMATCH($E$135,FixedAssets[Asset ID])),IF(AND((_xlfn.XMATCH(AT$8,$AH$8:$CC$8))-_xlfn.XMATCH($C174,$C$35:$C$82)+1&lt;=_xlpm.DepreciationMonths,$C174&lt;=AT$8),$E174/_xlpm.DepreciationMonths,0))</f>
        <v>0</v>
      </c>
      <c r="AU174" s="507" cm="1">
        <f t="array" ref="AU174">_xlfn.LET(_xlpm.DepreciationMonths,INDEX(FixedAssets[Depreciation
/ Amortization Months],_xlfn.XMATCH($E$135,FixedAssets[Asset ID])),IF(AND((_xlfn.XMATCH(AU$8,$AH$8:$CC$8))-_xlfn.XMATCH($C174,$C$35:$C$82)+1&lt;=_xlpm.DepreciationMonths,$C174&lt;=AU$8),$E174/_xlpm.DepreciationMonths,0))</f>
        <v>0</v>
      </c>
      <c r="AV174" s="507" cm="1">
        <f t="array" ref="AV174">_xlfn.LET(_xlpm.DepreciationMonths,INDEX(FixedAssets[Depreciation
/ Amortization Months],_xlfn.XMATCH($E$135,FixedAssets[Asset ID])),IF(AND((_xlfn.XMATCH(AV$8,$AH$8:$CC$8))-_xlfn.XMATCH($C174,$C$35:$C$82)+1&lt;=_xlpm.DepreciationMonths,$C174&lt;=AV$8),$E174/_xlpm.DepreciationMonths,0))</f>
        <v>0</v>
      </c>
      <c r="AW174" s="507" cm="1">
        <f t="array" ref="AW174">_xlfn.LET(_xlpm.DepreciationMonths,INDEX(FixedAssets[Depreciation
/ Amortization Months],_xlfn.XMATCH($E$135,FixedAssets[Asset ID])),IF(AND((_xlfn.XMATCH(AW$8,$AH$8:$CC$8))-_xlfn.XMATCH($C174,$C$35:$C$82)+1&lt;=_xlpm.DepreciationMonths,$C174&lt;=AW$8),$E174/_xlpm.DepreciationMonths,0))</f>
        <v>0</v>
      </c>
      <c r="AX174" s="507" cm="1">
        <f t="array" ref="AX174">_xlfn.LET(_xlpm.DepreciationMonths,INDEX(FixedAssets[Depreciation
/ Amortization Months],_xlfn.XMATCH($E$135,FixedAssets[Asset ID])),IF(AND((_xlfn.XMATCH(AX$8,$AH$8:$CC$8))-_xlfn.XMATCH($C174,$C$35:$C$82)+1&lt;=_xlpm.DepreciationMonths,$C174&lt;=AX$8),$E174/_xlpm.DepreciationMonths,0))</f>
        <v>0</v>
      </c>
      <c r="AY174" s="507" cm="1">
        <f t="array" ref="AY174">_xlfn.LET(_xlpm.DepreciationMonths,INDEX(FixedAssets[Depreciation
/ Amortization Months],_xlfn.XMATCH($E$135,FixedAssets[Asset ID])),IF(AND((_xlfn.XMATCH(AY$8,$AH$8:$CC$8))-_xlfn.XMATCH($C174,$C$35:$C$82)+1&lt;=_xlpm.DepreciationMonths,$C174&lt;=AY$8),$E174/_xlpm.DepreciationMonths,0))</f>
        <v>0</v>
      </c>
      <c r="AZ174" s="507" cm="1">
        <f t="array" ref="AZ174">_xlfn.LET(_xlpm.DepreciationMonths,INDEX(FixedAssets[Depreciation
/ Amortization Months],_xlfn.XMATCH($E$135,FixedAssets[Asset ID])),IF(AND((_xlfn.XMATCH(AZ$8,$AH$8:$CC$8))-_xlfn.XMATCH($C174,$C$35:$C$82)+1&lt;=_xlpm.DepreciationMonths,$C174&lt;=AZ$8),$E174/_xlpm.DepreciationMonths,0))</f>
        <v>0</v>
      </c>
      <c r="BA174" s="507" cm="1">
        <f t="array" ref="BA174">_xlfn.LET(_xlpm.DepreciationMonths,INDEX(FixedAssets[Depreciation
/ Amortization Months],_xlfn.XMATCH($E$135,FixedAssets[Asset ID])),IF(AND((_xlfn.XMATCH(BA$8,$AH$8:$CC$8))-_xlfn.XMATCH($C174,$C$35:$C$82)+1&lt;=_xlpm.DepreciationMonths,$C174&lt;=BA$8),$E174/_xlpm.DepreciationMonths,0))</f>
        <v>0</v>
      </c>
      <c r="BB174" s="507" cm="1">
        <f t="array" ref="BB174">_xlfn.LET(_xlpm.DepreciationMonths,INDEX(FixedAssets[Depreciation
/ Amortization Months],_xlfn.XMATCH($E$135,FixedAssets[Asset ID])),IF(AND((_xlfn.XMATCH(BB$8,$AH$8:$CC$8))-_xlfn.XMATCH($C174,$C$35:$C$82)+1&lt;=_xlpm.DepreciationMonths,$C174&lt;=BB$8),$E174/_xlpm.DepreciationMonths,0))</f>
        <v>0</v>
      </c>
      <c r="BC174" s="507" cm="1">
        <f t="array" ref="BC174">_xlfn.LET(_xlpm.DepreciationMonths,INDEX(FixedAssets[Depreciation
/ Amortization Months],_xlfn.XMATCH($E$135,FixedAssets[Asset ID])),IF(AND((_xlfn.XMATCH(BC$8,$AH$8:$CC$8))-_xlfn.XMATCH($C174,$C$35:$C$82)+1&lt;=_xlpm.DepreciationMonths,$C174&lt;=BC$8),$E174/_xlpm.DepreciationMonths,0))</f>
        <v>0</v>
      </c>
      <c r="BD174" s="507" cm="1">
        <f t="array" ref="BD174">_xlfn.LET(_xlpm.DepreciationMonths,INDEX(FixedAssets[Depreciation
/ Amortization Months],_xlfn.XMATCH($E$135,FixedAssets[Asset ID])),IF(AND((_xlfn.XMATCH(BD$8,$AH$8:$CC$8))-_xlfn.XMATCH($C174,$C$35:$C$82)+1&lt;=_xlpm.DepreciationMonths,$C174&lt;=BD$8),$E174/_xlpm.DepreciationMonths,0))</f>
        <v>0</v>
      </c>
      <c r="BE174" s="507" cm="1">
        <f t="array" ref="BE174">_xlfn.LET(_xlpm.DepreciationMonths,INDEX(FixedAssets[Depreciation
/ Amortization Months],_xlfn.XMATCH($E$135,FixedAssets[Asset ID])),IF(AND((_xlfn.XMATCH(BE$8,$AH$8:$CC$8))-_xlfn.XMATCH($C174,$C$35:$C$82)+1&lt;=_xlpm.DepreciationMonths,$C174&lt;=BE$8),$E174/_xlpm.DepreciationMonths,0))</f>
        <v>0</v>
      </c>
      <c r="BF174" s="507" cm="1">
        <f t="array" ref="BF174">_xlfn.LET(_xlpm.DepreciationMonths,INDEX(FixedAssets[Depreciation
/ Amortization Months],_xlfn.XMATCH($E$135,FixedAssets[Asset ID])),IF(AND((_xlfn.XMATCH(BF$8,$AH$8:$CC$8))-_xlfn.XMATCH($C174,$C$35:$C$82)+1&lt;=_xlpm.DepreciationMonths,$C174&lt;=BF$8),$E174/_xlpm.DepreciationMonths,0))</f>
        <v>0</v>
      </c>
      <c r="BG174" s="507" cm="1">
        <f t="array" ref="BG174">_xlfn.LET(_xlpm.DepreciationMonths,INDEX(FixedAssets[Depreciation
/ Amortization Months],_xlfn.XMATCH($E$135,FixedAssets[Asset ID])),IF(AND((_xlfn.XMATCH(BG$8,$AH$8:$CC$8))-_xlfn.XMATCH($C174,$C$35:$C$82)+1&lt;=_xlpm.DepreciationMonths,$C174&lt;=BG$8),$E174/_xlpm.DepreciationMonths,0))</f>
        <v>0</v>
      </c>
      <c r="BH174" s="507" cm="1">
        <f t="array" ref="BH174">_xlfn.LET(_xlpm.DepreciationMonths,INDEX(FixedAssets[Depreciation
/ Amortization Months],_xlfn.XMATCH($E$135,FixedAssets[Asset ID])),IF(AND((_xlfn.XMATCH(BH$8,$AH$8:$CC$8))-_xlfn.XMATCH($C174,$C$35:$C$82)+1&lt;=_xlpm.DepreciationMonths,$C174&lt;=BH$8),$E174/_xlpm.DepreciationMonths,0))</f>
        <v>0</v>
      </c>
      <c r="BI174" s="507" cm="1">
        <f t="array" ref="BI174">_xlfn.LET(_xlpm.DepreciationMonths,INDEX(FixedAssets[Depreciation
/ Amortization Months],_xlfn.XMATCH($E$135,FixedAssets[Asset ID])),IF(AND((_xlfn.XMATCH(BI$8,$AH$8:$CC$8))-_xlfn.XMATCH($C174,$C$35:$C$82)+1&lt;=_xlpm.DepreciationMonths,$C174&lt;=BI$8),$E174/_xlpm.DepreciationMonths,0))</f>
        <v>0</v>
      </c>
      <c r="BJ174" s="507" cm="1">
        <f t="array" ref="BJ174">_xlfn.LET(_xlpm.DepreciationMonths,INDEX(FixedAssets[Depreciation
/ Amortization Months],_xlfn.XMATCH($E$135,FixedAssets[Asset ID])),IF(AND((_xlfn.XMATCH(BJ$8,$AH$8:$CC$8))-_xlfn.XMATCH($C174,$C$35:$C$82)+1&lt;=_xlpm.DepreciationMonths,$C174&lt;=BJ$8),$E174/_xlpm.DepreciationMonths,0))</f>
        <v>0</v>
      </c>
      <c r="BK174" s="507" cm="1">
        <f t="array" ref="BK174">_xlfn.LET(_xlpm.DepreciationMonths,INDEX(FixedAssets[Depreciation
/ Amortization Months],_xlfn.XMATCH($E$135,FixedAssets[Asset ID])),IF(AND((_xlfn.XMATCH(BK$8,$AH$8:$CC$8))-_xlfn.XMATCH($C174,$C$35:$C$82)+1&lt;=_xlpm.DepreciationMonths,$C174&lt;=BK$8),$E174/_xlpm.DepreciationMonths,0))</f>
        <v>0</v>
      </c>
      <c r="BL174" s="507" cm="1">
        <f t="array" ref="BL174">_xlfn.LET(_xlpm.DepreciationMonths,INDEX(FixedAssets[Depreciation
/ Amortization Months],_xlfn.XMATCH($E$135,FixedAssets[Asset ID])),IF(AND((_xlfn.XMATCH(BL$8,$AH$8:$CC$8))-_xlfn.XMATCH($C174,$C$35:$C$82)+1&lt;=_xlpm.DepreciationMonths,$C174&lt;=BL$8),$E174/_xlpm.DepreciationMonths,0))</f>
        <v>0</v>
      </c>
      <c r="BM174" s="507" cm="1">
        <f t="array" ref="BM174">_xlfn.LET(_xlpm.DepreciationMonths,INDEX(FixedAssets[Depreciation
/ Amortization Months],_xlfn.XMATCH($E$135,FixedAssets[Asset ID])),IF(AND((_xlfn.XMATCH(BM$8,$AH$8:$CC$8))-_xlfn.XMATCH($C174,$C$35:$C$82)+1&lt;=_xlpm.DepreciationMonths,$C174&lt;=BM$8),$E174/_xlpm.DepreciationMonths,0))</f>
        <v>0</v>
      </c>
      <c r="BN174" s="507" cm="1">
        <f t="array" ref="BN174">_xlfn.LET(_xlpm.DepreciationMonths,INDEX(FixedAssets[Depreciation
/ Amortization Months],_xlfn.XMATCH($E$135,FixedAssets[Asset ID])),IF(AND((_xlfn.XMATCH(BN$8,$AH$8:$CC$8))-_xlfn.XMATCH($C174,$C$35:$C$82)+1&lt;=_xlpm.DepreciationMonths,$C174&lt;=BN$8),$E174/_xlpm.DepreciationMonths,0))</f>
        <v>0</v>
      </c>
      <c r="BO174" s="507" cm="1">
        <f t="array" ref="BO174">_xlfn.LET(_xlpm.DepreciationMonths,INDEX(FixedAssets[Depreciation
/ Amortization Months],_xlfn.XMATCH($E$135,FixedAssets[Asset ID])),IF(AND((_xlfn.XMATCH(BO$8,$AH$8:$CC$8))-_xlfn.XMATCH($C174,$C$35:$C$82)+1&lt;=_xlpm.DepreciationMonths,$C174&lt;=BO$8),$E174/_xlpm.DepreciationMonths,0))</f>
        <v>0</v>
      </c>
      <c r="BP174" s="507" cm="1">
        <f t="array" ref="BP174">_xlfn.LET(_xlpm.DepreciationMonths,INDEX(FixedAssets[Depreciation
/ Amortization Months],_xlfn.XMATCH($E$135,FixedAssets[Asset ID])),IF(AND((_xlfn.XMATCH(BP$8,$AH$8:$CC$8))-_xlfn.XMATCH($C174,$C$35:$C$82)+1&lt;=_xlpm.DepreciationMonths,$C174&lt;=BP$8),$E174/_xlpm.DepreciationMonths,0))</f>
        <v>0</v>
      </c>
      <c r="BQ174" s="507" cm="1">
        <f t="array" ref="BQ174">_xlfn.LET(_xlpm.DepreciationMonths,INDEX(FixedAssets[Depreciation
/ Amortization Months],_xlfn.XMATCH($E$135,FixedAssets[Asset ID])),IF(AND((_xlfn.XMATCH(BQ$8,$AH$8:$CC$8))-_xlfn.XMATCH($C174,$C$35:$C$82)+1&lt;=_xlpm.DepreciationMonths,$C174&lt;=BQ$8),$E174/_xlpm.DepreciationMonths,0))</f>
        <v>0</v>
      </c>
      <c r="BR174" s="507" cm="1">
        <f t="array" ref="BR174">_xlfn.LET(_xlpm.DepreciationMonths,INDEX(FixedAssets[Depreciation
/ Amortization Months],_xlfn.XMATCH($E$135,FixedAssets[Asset ID])),IF(AND((_xlfn.XMATCH(BR$8,$AH$8:$CC$8))-_xlfn.XMATCH($C174,$C$35:$C$82)+1&lt;=_xlpm.DepreciationMonths,$C174&lt;=BR$8),$E174/_xlpm.DepreciationMonths,0))</f>
        <v>0</v>
      </c>
      <c r="BS174" s="507" cm="1">
        <f t="array" ref="BS174">_xlfn.LET(_xlpm.DepreciationMonths,INDEX(FixedAssets[Depreciation
/ Amortization Months],_xlfn.XMATCH($E$135,FixedAssets[Asset ID])),IF(AND((_xlfn.XMATCH(BS$8,$AH$8:$CC$8))-_xlfn.XMATCH($C174,$C$35:$C$82)+1&lt;=_xlpm.DepreciationMonths,$C174&lt;=BS$8),$E174/_xlpm.DepreciationMonths,0))</f>
        <v>277.77777777777777</v>
      </c>
      <c r="BT174" s="507" cm="1">
        <f t="array" ref="BT174">_xlfn.LET(_xlpm.DepreciationMonths,INDEX(FixedAssets[Depreciation
/ Amortization Months],_xlfn.XMATCH($E$135,FixedAssets[Asset ID])),IF(AND((_xlfn.XMATCH(BT$8,$AH$8:$CC$8))-_xlfn.XMATCH($C174,$C$35:$C$82)+1&lt;=_xlpm.DepreciationMonths,$C174&lt;=BT$8),$E174/_xlpm.DepreciationMonths,0))</f>
        <v>277.77777777777777</v>
      </c>
      <c r="BU174" s="507" cm="1">
        <f t="array" ref="BU174">_xlfn.LET(_xlpm.DepreciationMonths,INDEX(FixedAssets[Depreciation
/ Amortization Months],_xlfn.XMATCH($E$135,FixedAssets[Asset ID])),IF(AND((_xlfn.XMATCH(BU$8,$AH$8:$CC$8))-_xlfn.XMATCH($C174,$C$35:$C$82)+1&lt;=_xlpm.DepreciationMonths,$C174&lt;=BU$8),$E174/_xlpm.DepreciationMonths,0))</f>
        <v>277.77777777777777</v>
      </c>
      <c r="BV174" s="507" cm="1">
        <f t="array" ref="BV174">_xlfn.LET(_xlpm.DepreciationMonths,INDEX(FixedAssets[Depreciation
/ Amortization Months],_xlfn.XMATCH($E$135,FixedAssets[Asset ID])),IF(AND((_xlfn.XMATCH(BV$8,$AH$8:$CC$8))-_xlfn.XMATCH($C174,$C$35:$C$82)+1&lt;=_xlpm.DepreciationMonths,$C174&lt;=BV$8),$E174/_xlpm.DepreciationMonths,0))</f>
        <v>277.77777777777777</v>
      </c>
      <c r="BW174" s="507" cm="1">
        <f t="array" ref="BW174">_xlfn.LET(_xlpm.DepreciationMonths,INDEX(FixedAssets[Depreciation
/ Amortization Months],_xlfn.XMATCH($E$135,FixedAssets[Asset ID])),IF(AND((_xlfn.XMATCH(BW$8,$AH$8:$CC$8))-_xlfn.XMATCH($C174,$C$35:$C$82)+1&lt;=_xlpm.DepreciationMonths,$C174&lt;=BW$8),$E174/_xlpm.DepreciationMonths,0))</f>
        <v>277.77777777777777</v>
      </c>
      <c r="BX174" s="507" cm="1">
        <f t="array" ref="BX174">_xlfn.LET(_xlpm.DepreciationMonths,INDEX(FixedAssets[Depreciation
/ Amortization Months],_xlfn.XMATCH($E$135,FixedAssets[Asset ID])),IF(AND((_xlfn.XMATCH(BX$8,$AH$8:$CC$8))-_xlfn.XMATCH($C174,$C$35:$C$82)+1&lt;=_xlpm.DepreciationMonths,$C174&lt;=BX$8),$E174/_xlpm.DepreciationMonths,0))</f>
        <v>277.77777777777777</v>
      </c>
      <c r="BY174" s="507" cm="1">
        <f t="array" ref="BY174">_xlfn.LET(_xlpm.DepreciationMonths,INDEX(FixedAssets[Depreciation
/ Amortization Months],_xlfn.XMATCH($E$135,FixedAssets[Asset ID])),IF(AND((_xlfn.XMATCH(BY$8,$AH$8:$CC$8))-_xlfn.XMATCH($C174,$C$35:$C$82)+1&lt;=_xlpm.DepreciationMonths,$C174&lt;=BY$8),$E174/_xlpm.DepreciationMonths,0))</f>
        <v>277.77777777777777</v>
      </c>
      <c r="BZ174" s="507" cm="1">
        <f t="array" ref="BZ174">_xlfn.LET(_xlpm.DepreciationMonths,INDEX(FixedAssets[Depreciation
/ Amortization Months],_xlfn.XMATCH($E$135,FixedAssets[Asset ID])),IF(AND((_xlfn.XMATCH(BZ$8,$AH$8:$CC$8))-_xlfn.XMATCH($C174,$C$35:$C$82)+1&lt;=_xlpm.DepreciationMonths,$C174&lt;=BZ$8),$E174/_xlpm.DepreciationMonths,0))</f>
        <v>277.77777777777777</v>
      </c>
      <c r="CA174" s="507" cm="1">
        <f t="array" ref="CA174">_xlfn.LET(_xlpm.DepreciationMonths,INDEX(FixedAssets[Depreciation
/ Amortization Months],_xlfn.XMATCH($E$135,FixedAssets[Asset ID])),IF(AND((_xlfn.XMATCH(CA$8,$AH$8:$CC$8))-_xlfn.XMATCH($C174,$C$35:$C$82)+1&lt;=_xlpm.DepreciationMonths,$C174&lt;=CA$8),$E174/_xlpm.DepreciationMonths,0))</f>
        <v>277.77777777777777</v>
      </c>
      <c r="CB174" s="507" cm="1">
        <f t="array" ref="CB174">_xlfn.LET(_xlpm.DepreciationMonths,INDEX(FixedAssets[Depreciation
/ Amortization Months],_xlfn.XMATCH($E$135,FixedAssets[Asset ID])),IF(AND((_xlfn.XMATCH(CB$8,$AH$8:$CC$8))-_xlfn.XMATCH($C174,$C$35:$C$82)+1&lt;=_xlpm.DepreciationMonths,$C174&lt;=CB$8),$E174/_xlpm.DepreciationMonths,0))</f>
        <v>277.77777777777777</v>
      </c>
      <c r="CC174" s="507" cm="1">
        <f t="array" ref="CC174">_xlfn.LET(_xlpm.DepreciationMonths,INDEX(FixedAssets[Depreciation
/ Amortization Months],_xlfn.XMATCH($E$135,FixedAssets[Asset ID])),IF(AND((_xlfn.XMATCH(CC$8,$AH$8:$CC$8))-_xlfn.XMATCH($C174,$C$35:$C$82)+1&lt;=_xlpm.DepreciationMonths,$C174&lt;=CC$8),$E174/_xlpm.DepreciationMonths,0))</f>
        <v>277.77777777777777</v>
      </c>
    </row>
    <row r="175" spans="3:81" hidden="1" outlineLevel="2">
      <c r="C175" s="664">
        <f t="shared" si="243"/>
        <v>46112</v>
      </c>
      <c r="D175" s="508"/>
      <c r="E175" s="508" cm="1">
        <f t="array" ref="E175">SUMPRODUCT(($AH$26:$CC$31)*($AH$5:$CC$5=$C175)*($E$26:$E$31=E$135))-SUMPRODUCT(($AH$26:$CC$31)*($AH$5:$CC$5=EOMONTH($C175,-1))*($E$26:$E$31=E$135))</f>
        <v>0</v>
      </c>
      <c r="F175" s="508"/>
      <c r="G175" s="508"/>
      <c r="H175" s="508"/>
      <c r="I175" s="508"/>
      <c r="J175" s="504">
        <f t="shared" si="240"/>
        <v>0</v>
      </c>
      <c r="K175" s="504">
        <f t="shared" si="248"/>
        <v>0</v>
      </c>
      <c r="L175" s="504">
        <f t="shared" si="248"/>
        <v>0</v>
      </c>
      <c r="M175" s="504">
        <f t="shared" si="248"/>
        <v>0</v>
      </c>
      <c r="N175" s="504"/>
      <c r="O175" s="504"/>
      <c r="P175" s="504">
        <f t="shared" si="249"/>
        <v>0</v>
      </c>
      <c r="Q175" s="504">
        <f t="shared" si="249"/>
        <v>0</v>
      </c>
      <c r="R175" s="504">
        <f t="shared" si="249"/>
        <v>0</v>
      </c>
      <c r="S175" s="504">
        <f t="shared" si="249"/>
        <v>0</v>
      </c>
      <c r="T175" s="504">
        <f t="shared" si="249"/>
        <v>0</v>
      </c>
      <c r="U175" s="504">
        <f t="shared" si="249"/>
        <v>0</v>
      </c>
      <c r="V175" s="504">
        <f t="shared" si="249"/>
        <v>0</v>
      </c>
      <c r="W175" s="504">
        <f t="shared" si="249"/>
        <v>0</v>
      </c>
      <c r="X175" s="504">
        <f t="shared" si="249"/>
        <v>0</v>
      </c>
      <c r="Y175" s="504">
        <f t="shared" si="249"/>
        <v>0</v>
      </c>
      <c r="Z175" s="504">
        <f t="shared" si="249"/>
        <v>0</v>
      </c>
      <c r="AA175" s="504">
        <f t="shared" si="249"/>
        <v>0</v>
      </c>
      <c r="AB175" s="504">
        <f t="shared" si="249"/>
        <v>0</v>
      </c>
      <c r="AC175" s="504">
        <f t="shared" si="249"/>
        <v>0</v>
      </c>
      <c r="AD175" s="504">
        <f t="shared" si="249"/>
        <v>0</v>
      </c>
      <c r="AE175" s="504">
        <f t="shared" si="249"/>
        <v>0</v>
      </c>
      <c r="AF175" s="508"/>
      <c r="AG175" s="508"/>
      <c r="AH175" s="507" cm="1">
        <f t="array" ref="AH175">_xlfn.LET(_xlpm.DepreciationMonths,INDEX(FixedAssets[Depreciation
/ Amortization Months],_xlfn.XMATCH($E$135,FixedAssets[Asset ID])),IF(AND((_xlfn.XMATCH(AH$8,$AH$8:$CC$8))-_xlfn.XMATCH($C175,$C$35:$C$82)+1&lt;=_xlpm.DepreciationMonths,$C175&lt;=AH$8),$E175/_xlpm.DepreciationMonths,0))</f>
        <v>0</v>
      </c>
      <c r="AI175" s="507" cm="1">
        <f t="array" ref="AI175">_xlfn.LET(_xlpm.DepreciationMonths,INDEX(FixedAssets[Depreciation
/ Amortization Months],_xlfn.XMATCH($E$135,FixedAssets[Asset ID])),IF(AND((_xlfn.XMATCH(AI$8,$AH$8:$CC$8))-_xlfn.XMATCH($C175,$C$35:$C$82)+1&lt;=_xlpm.DepreciationMonths,$C175&lt;=AI$8),$E175/_xlpm.DepreciationMonths,0))</f>
        <v>0</v>
      </c>
      <c r="AJ175" s="507" cm="1">
        <f t="array" ref="AJ175">_xlfn.LET(_xlpm.DepreciationMonths,INDEX(FixedAssets[Depreciation
/ Amortization Months],_xlfn.XMATCH($E$135,FixedAssets[Asset ID])),IF(AND((_xlfn.XMATCH(AJ$8,$AH$8:$CC$8))-_xlfn.XMATCH($C175,$C$35:$C$82)+1&lt;=_xlpm.DepreciationMonths,$C175&lt;=AJ$8),$E175/_xlpm.DepreciationMonths,0))</f>
        <v>0</v>
      </c>
      <c r="AK175" s="507" cm="1">
        <f t="array" ref="AK175">_xlfn.LET(_xlpm.DepreciationMonths,INDEX(FixedAssets[Depreciation
/ Amortization Months],_xlfn.XMATCH($E$135,FixedAssets[Asset ID])),IF(AND((_xlfn.XMATCH(AK$8,$AH$8:$CC$8))-_xlfn.XMATCH($C175,$C$35:$C$82)+1&lt;=_xlpm.DepreciationMonths,$C175&lt;=AK$8),$E175/_xlpm.DepreciationMonths,0))</f>
        <v>0</v>
      </c>
      <c r="AL175" s="507" cm="1">
        <f t="array" ref="AL175">_xlfn.LET(_xlpm.DepreciationMonths,INDEX(FixedAssets[Depreciation
/ Amortization Months],_xlfn.XMATCH($E$135,FixedAssets[Asset ID])),IF(AND((_xlfn.XMATCH(AL$8,$AH$8:$CC$8))-_xlfn.XMATCH($C175,$C$35:$C$82)+1&lt;=_xlpm.DepreciationMonths,$C175&lt;=AL$8),$E175/_xlpm.DepreciationMonths,0))</f>
        <v>0</v>
      </c>
      <c r="AM175" s="507" cm="1">
        <f t="array" ref="AM175">_xlfn.LET(_xlpm.DepreciationMonths,INDEX(FixedAssets[Depreciation
/ Amortization Months],_xlfn.XMATCH($E$135,FixedAssets[Asset ID])),IF(AND((_xlfn.XMATCH(AM$8,$AH$8:$CC$8))-_xlfn.XMATCH($C175,$C$35:$C$82)+1&lt;=_xlpm.DepreciationMonths,$C175&lt;=AM$8),$E175/_xlpm.DepreciationMonths,0))</f>
        <v>0</v>
      </c>
      <c r="AN175" s="507" cm="1">
        <f t="array" ref="AN175">_xlfn.LET(_xlpm.DepreciationMonths,INDEX(FixedAssets[Depreciation
/ Amortization Months],_xlfn.XMATCH($E$135,FixedAssets[Asset ID])),IF(AND((_xlfn.XMATCH(AN$8,$AH$8:$CC$8))-_xlfn.XMATCH($C175,$C$35:$C$82)+1&lt;=_xlpm.DepreciationMonths,$C175&lt;=AN$8),$E175/_xlpm.DepreciationMonths,0))</f>
        <v>0</v>
      </c>
      <c r="AO175" s="507" cm="1">
        <f t="array" ref="AO175">_xlfn.LET(_xlpm.DepreciationMonths,INDEX(FixedAssets[Depreciation
/ Amortization Months],_xlfn.XMATCH($E$135,FixedAssets[Asset ID])),IF(AND((_xlfn.XMATCH(AO$8,$AH$8:$CC$8))-_xlfn.XMATCH($C175,$C$35:$C$82)+1&lt;=_xlpm.DepreciationMonths,$C175&lt;=AO$8),$E175/_xlpm.DepreciationMonths,0))</f>
        <v>0</v>
      </c>
      <c r="AP175" s="507" cm="1">
        <f t="array" ref="AP175">_xlfn.LET(_xlpm.DepreciationMonths,INDEX(FixedAssets[Depreciation
/ Amortization Months],_xlfn.XMATCH($E$135,FixedAssets[Asset ID])),IF(AND((_xlfn.XMATCH(AP$8,$AH$8:$CC$8))-_xlfn.XMATCH($C175,$C$35:$C$82)+1&lt;=_xlpm.DepreciationMonths,$C175&lt;=AP$8),$E175/_xlpm.DepreciationMonths,0))</f>
        <v>0</v>
      </c>
      <c r="AQ175" s="507" cm="1">
        <f t="array" ref="AQ175">_xlfn.LET(_xlpm.DepreciationMonths,INDEX(FixedAssets[Depreciation
/ Amortization Months],_xlfn.XMATCH($E$135,FixedAssets[Asset ID])),IF(AND((_xlfn.XMATCH(AQ$8,$AH$8:$CC$8))-_xlfn.XMATCH($C175,$C$35:$C$82)+1&lt;=_xlpm.DepreciationMonths,$C175&lt;=AQ$8),$E175/_xlpm.DepreciationMonths,0))</f>
        <v>0</v>
      </c>
      <c r="AR175" s="507" cm="1">
        <f t="array" ref="AR175">_xlfn.LET(_xlpm.DepreciationMonths,INDEX(FixedAssets[Depreciation
/ Amortization Months],_xlfn.XMATCH($E$135,FixedAssets[Asset ID])),IF(AND((_xlfn.XMATCH(AR$8,$AH$8:$CC$8))-_xlfn.XMATCH($C175,$C$35:$C$82)+1&lt;=_xlpm.DepreciationMonths,$C175&lt;=AR$8),$E175/_xlpm.DepreciationMonths,0))</f>
        <v>0</v>
      </c>
      <c r="AS175" s="507" cm="1">
        <f t="array" ref="AS175">_xlfn.LET(_xlpm.DepreciationMonths,INDEX(FixedAssets[Depreciation
/ Amortization Months],_xlfn.XMATCH($E$135,FixedAssets[Asset ID])),IF(AND((_xlfn.XMATCH(AS$8,$AH$8:$CC$8))-_xlfn.XMATCH($C175,$C$35:$C$82)+1&lt;=_xlpm.DepreciationMonths,$C175&lt;=AS$8),$E175/_xlpm.DepreciationMonths,0))</f>
        <v>0</v>
      </c>
      <c r="AT175" s="507" cm="1">
        <f t="array" ref="AT175">_xlfn.LET(_xlpm.DepreciationMonths,INDEX(FixedAssets[Depreciation
/ Amortization Months],_xlfn.XMATCH($E$135,FixedAssets[Asset ID])),IF(AND((_xlfn.XMATCH(AT$8,$AH$8:$CC$8))-_xlfn.XMATCH($C175,$C$35:$C$82)+1&lt;=_xlpm.DepreciationMonths,$C175&lt;=AT$8),$E175/_xlpm.DepreciationMonths,0))</f>
        <v>0</v>
      </c>
      <c r="AU175" s="507" cm="1">
        <f t="array" ref="AU175">_xlfn.LET(_xlpm.DepreciationMonths,INDEX(FixedAssets[Depreciation
/ Amortization Months],_xlfn.XMATCH($E$135,FixedAssets[Asset ID])),IF(AND((_xlfn.XMATCH(AU$8,$AH$8:$CC$8))-_xlfn.XMATCH($C175,$C$35:$C$82)+1&lt;=_xlpm.DepreciationMonths,$C175&lt;=AU$8),$E175/_xlpm.DepreciationMonths,0))</f>
        <v>0</v>
      </c>
      <c r="AV175" s="507" cm="1">
        <f t="array" ref="AV175">_xlfn.LET(_xlpm.DepreciationMonths,INDEX(FixedAssets[Depreciation
/ Amortization Months],_xlfn.XMATCH($E$135,FixedAssets[Asset ID])),IF(AND((_xlfn.XMATCH(AV$8,$AH$8:$CC$8))-_xlfn.XMATCH($C175,$C$35:$C$82)+1&lt;=_xlpm.DepreciationMonths,$C175&lt;=AV$8),$E175/_xlpm.DepreciationMonths,0))</f>
        <v>0</v>
      </c>
      <c r="AW175" s="507" cm="1">
        <f t="array" ref="AW175">_xlfn.LET(_xlpm.DepreciationMonths,INDEX(FixedAssets[Depreciation
/ Amortization Months],_xlfn.XMATCH($E$135,FixedAssets[Asset ID])),IF(AND((_xlfn.XMATCH(AW$8,$AH$8:$CC$8))-_xlfn.XMATCH($C175,$C$35:$C$82)+1&lt;=_xlpm.DepreciationMonths,$C175&lt;=AW$8),$E175/_xlpm.DepreciationMonths,0))</f>
        <v>0</v>
      </c>
      <c r="AX175" s="507" cm="1">
        <f t="array" ref="AX175">_xlfn.LET(_xlpm.DepreciationMonths,INDEX(FixedAssets[Depreciation
/ Amortization Months],_xlfn.XMATCH($E$135,FixedAssets[Asset ID])),IF(AND((_xlfn.XMATCH(AX$8,$AH$8:$CC$8))-_xlfn.XMATCH($C175,$C$35:$C$82)+1&lt;=_xlpm.DepreciationMonths,$C175&lt;=AX$8),$E175/_xlpm.DepreciationMonths,0))</f>
        <v>0</v>
      </c>
      <c r="AY175" s="507" cm="1">
        <f t="array" ref="AY175">_xlfn.LET(_xlpm.DepreciationMonths,INDEX(FixedAssets[Depreciation
/ Amortization Months],_xlfn.XMATCH($E$135,FixedAssets[Asset ID])),IF(AND((_xlfn.XMATCH(AY$8,$AH$8:$CC$8))-_xlfn.XMATCH($C175,$C$35:$C$82)+1&lt;=_xlpm.DepreciationMonths,$C175&lt;=AY$8),$E175/_xlpm.DepreciationMonths,0))</f>
        <v>0</v>
      </c>
      <c r="AZ175" s="507" cm="1">
        <f t="array" ref="AZ175">_xlfn.LET(_xlpm.DepreciationMonths,INDEX(FixedAssets[Depreciation
/ Amortization Months],_xlfn.XMATCH($E$135,FixedAssets[Asset ID])),IF(AND((_xlfn.XMATCH(AZ$8,$AH$8:$CC$8))-_xlfn.XMATCH($C175,$C$35:$C$82)+1&lt;=_xlpm.DepreciationMonths,$C175&lt;=AZ$8),$E175/_xlpm.DepreciationMonths,0))</f>
        <v>0</v>
      </c>
      <c r="BA175" s="507" cm="1">
        <f t="array" ref="BA175">_xlfn.LET(_xlpm.DepreciationMonths,INDEX(FixedAssets[Depreciation
/ Amortization Months],_xlfn.XMATCH($E$135,FixedAssets[Asset ID])),IF(AND((_xlfn.XMATCH(BA$8,$AH$8:$CC$8))-_xlfn.XMATCH($C175,$C$35:$C$82)+1&lt;=_xlpm.DepreciationMonths,$C175&lt;=BA$8),$E175/_xlpm.DepreciationMonths,0))</f>
        <v>0</v>
      </c>
      <c r="BB175" s="507" cm="1">
        <f t="array" ref="BB175">_xlfn.LET(_xlpm.DepreciationMonths,INDEX(FixedAssets[Depreciation
/ Amortization Months],_xlfn.XMATCH($E$135,FixedAssets[Asset ID])),IF(AND((_xlfn.XMATCH(BB$8,$AH$8:$CC$8))-_xlfn.XMATCH($C175,$C$35:$C$82)+1&lt;=_xlpm.DepreciationMonths,$C175&lt;=BB$8),$E175/_xlpm.DepreciationMonths,0))</f>
        <v>0</v>
      </c>
      <c r="BC175" s="507" cm="1">
        <f t="array" ref="BC175">_xlfn.LET(_xlpm.DepreciationMonths,INDEX(FixedAssets[Depreciation
/ Amortization Months],_xlfn.XMATCH($E$135,FixedAssets[Asset ID])),IF(AND((_xlfn.XMATCH(BC$8,$AH$8:$CC$8))-_xlfn.XMATCH($C175,$C$35:$C$82)+1&lt;=_xlpm.DepreciationMonths,$C175&lt;=BC$8),$E175/_xlpm.DepreciationMonths,0))</f>
        <v>0</v>
      </c>
      <c r="BD175" s="507" cm="1">
        <f t="array" ref="BD175">_xlfn.LET(_xlpm.DepreciationMonths,INDEX(FixedAssets[Depreciation
/ Amortization Months],_xlfn.XMATCH($E$135,FixedAssets[Asset ID])),IF(AND((_xlfn.XMATCH(BD$8,$AH$8:$CC$8))-_xlfn.XMATCH($C175,$C$35:$C$82)+1&lt;=_xlpm.DepreciationMonths,$C175&lt;=BD$8),$E175/_xlpm.DepreciationMonths,0))</f>
        <v>0</v>
      </c>
      <c r="BE175" s="507" cm="1">
        <f t="array" ref="BE175">_xlfn.LET(_xlpm.DepreciationMonths,INDEX(FixedAssets[Depreciation
/ Amortization Months],_xlfn.XMATCH($E$135,FixedAssets[Asset ID])),IF(AND((_xlfn.XMATCH(BE$8,$AH$8:$CC$8))-_xlfn.XMATCH($C175,$C$35:$C$82)+1&lt;=_xlpm.DepreciationMonths,$C175&lt;=BE$8),$E175/_xlpm.DepreciationMonths,0))</f>
        <v>0</v>
      </c>
      <c r="BF175" s="507" cm="1">
        <f t="array" ref="BF175">_xlfn.LET(_xlpm.DepreciationMonths,INDEX(FixedAssets[Depreciation
/ Amortization Months],_xlfn.XMATCH($E$135,FixedAssets[Asset ID])),IF(AND((_xlfn.XMATCH(BF$8,$AH$8:$CC$8))-_xlfn.XMATCH($C175,$C$35:$C$82)+1&lt;=_xlpm.DepreciationMonths,$C175&lt;=BF$8),$E175/_xlpm.DepreciationMonths,0))</f>
        <v>0</v>
      </c>
      <c r="BG175" s="507" cm="1">
        <f t="array" ref="BG175">_xlfn.LET(_xlpm.DepreciationMonths,INDEX(FixedAssets[Depreciation
/ Amortization Months],_xlfn.XMATCH($E$135,FixedAssets[Asset ID])),IF(AND((_xlfn.XMATCH(BG$8,$AH$8:$CC$8))-_xlfn.XMATCH($C175,$C$35:$C$82)+1&lt;=_xlpm.DepreciationMonths,$C175&lt;=BG$8),$E175/_xlpm.DepreciationMonths,0))</f>
        <v>0</v>
      </c>
      <c r="BH175" s="507" cm="1">
        <f t="array" ref="BH175">_xlfn.LET(_xlpm.DepreciationMonths,INDEX(FixedAssets[Depreciation
/ Amortization Months],_xlfn.XMATCH($E$135,FixedAssets[Asset ID])),IF(AND((_xlfn.XMATCH(BH$8,$AH$8:$CC$8))-_xlfn.XMATCH($C175,$C$35:$C$82)+1&lt;=_xlpm.DepreciationMonths,$C175&lt;=BH$8),$E175/_xlpm.DepreciationMonths,0))</f>
        <v>0</v>
      </c>
      <c r="BI175" s="507" cm="1">
        <f t="array" ref="BI175">_xlfn.LET(_xlpm.DepreciationMonths,INDEX(FixedAssets[Depreciation
/ Amortization Months],_xlfn.XMATCH($E$135,FixedAssets[Asset ID])),IF(AND((_xlfn.XMATCH(BI$8,$AH$8:$CC$8))-_xlfn.XMATCH($C175,$C$35:$C$82)+1&lt;=_xlpm.DepreciationMonths,$C175&lt;=BI$8),$E175/_xlpm.DepreciationMonths,0))</f>
        <v>0</v>
      </c>
      <c r="BJ175" s="507" cm="1">
        <f t="array" ref="BJ175">_xlfn.LET(_xlpm.DepreciationMonths,INDEX(FixedAssets[Depreciation
/ Amortization Months],_xlfn.XMATCH($E$135,FixedAssets[Asset ID])),IF(AND((_xlfn.XMATCH(BJ$8,$AH$8:$CC$8))-_xlfn.XMATCH($C175,$C$35:$C$82)+1&lt;=_xlpm.DepreciationMonths,$C175&lt;=BJ$8),$E175/_xlpm.DepreciationMonths,0))</f>
        <v>0</v>
      </c>
      <c r="BK175" s="507" cm="1">
        <f t="array" ref="BK175">_xlfn.LET(_xlpm.DepreciationMonths,INDEX(FixedAssets[Depreciation
/ Amortization Months],_xlfn.XMATCH($E$135,FixedAssets[Asset ID])),IF(AND((_xlfn.XMATCH(BK$8,$AH$8:$CC$8))-_xlfn.XMATCH($C175,$C$35:$C$82)+1&lt;=_xlpm.DepreciationMonths,$C175&lt;=BK$8),$E175/_xlpm.DepreciationMonths,0))</f>
        <v>0</v>
      </c>
      <c r="BL175" s="507" cm="1">
        <f t="array" ref="BL175">_xlfn.LET(_xlpm.DepreciationMonths,INDEX(FixedAssets[Depreciation
/ Amortization Months],_xlfn.XMATCH($E$135,FixedAssets[Asset ID])),IF(AND((_xlfn.XMATCH(BL$8,$AH$8:$CC$8))-_xlfn.XMATCH($C175,$C$35:$C$82)+1&lt;=_xlpm.DepreciationMonths,$C175&lt;=BL$8),$E175/_xlpm.DepreciationMonths,0))</f>
        <v>0</v>
      </c>
      <c r="BM175" s="507" cm="1">
        <f t="array" ref="BM175">_xlfn.LET(_xlpm.DepreciationMonths,INDEX(FixedAssets[Depreciation
/ Amortization Months],_xlfn.XMATCH($E$135,FixedAssets[Asset ID])),IF(AND((_xlfn.XMATCH(BM$8,$AH$8:$CC$8))-_xlfn.XMATCH($C175,$C$35:$C$82)+1&lt;=_xlpm.DepreciationMonths,$C175&lt;=BM$8),$E175/_xlpm.DepreciationMonths,0))</f>
        <v>0</v>
      </c>
      <c r="BN175" s="507" cm="1">
        <f t="array" ref="BN175">_xlfn.LET(_xlpm.DepreciationMonths,INDEX(FixedAssets[Depreciation
/ Amortization Months],_xlfn.XMATCH($E$135,FixedAssets[Asset ID])),IF(AND((_xlfn.XMATCH(BN$8,$AH$8:$CC$8))-_xlfn.XMATCH($C175,$C$35:$C$82)+1&lt;=_xlpm.DepreciationMonths,$C175&lt;=BN$8),$E175/_xlpm.DepreciationMonths,0))</f>
        <v>0</v>
      </c>
      <c r="BO175" s="507" cm="1">
        <f t="array" ref="BO175">_xlfn.LET(_xlpm.DepreciationMonths,INDEX(FixedAssets[Depreciation
/ Amortization Months],_xlfn.XMATCH($E$135,FixedAssets[Asset ID])),IF(AND((_xlfn.XMATCH(BO$8,$AH$8:$CC$8))-_xlfn.XMATCH($C175,$C$35:$C$82)+1&lt;=_xlpm.DepreciationMonths,$C175&lt;=BO$8),$E175/_xlpm.DepreciationMonths,0))</f>
        <v>0</v>
      </c>
      <c r="BP175" s="507" cm="1">
        <f t="array" ref="BP175">_xlfn.LET(_xlpm.DepreciationMonths,INDEX(FixedAssets[Depreciation
/ Amortization Months],_xlfn.XMATCH($E$135,FixedAssets[Asset ID])),IF(AND((_xlfn.XMATCH(BP$8,$AH$8:$CC$8))-_xlfn.XMATCH($C175,$C$35:$C$82)+1&lt;=_xlpm.DepreciationMonths,$C175&lt;=BP$8),$E175/_xlpm.DepreciationMonths,0))</f>
        <v>0</v>
      </c>
      <c r="BQ175" s="507" cm="1">
        <f t="array" ref="BQ175">_xlfn.LET(_xlpm.DepreciationMonths,INDEX(FixedAssets[Depreciation
/ Amortization Months],_xlfn.XMATCH($E$135,FixedAssets[Asset ID])),IF(AND((_xlfn.XMATCH(BQ$8,$AH$8:$CC$8))-_xlfn.XMATCH($C175,$C$35:$C$82)+1&lt;=_xlpm.DepreciationMonths,$C175&lt;=BQ$8),$E175/_xlpm.DepreciationMonths,0))</f>
        <v>0</v>
      </c>
      <c r="BR175" s="507" cm="1">
        <f t="array" ref="BR175">_xlfn.LET(_xlpm.DepreciationMonths,INDEX(FixedAssets[Depreciation
/ Amortization Months],_xlfn.XMATCH($E$135,FixedAssets[Asset ID])),IF(AND((_xlfn.XMATCH(BR$8,$AH$8:$CC$8))-_xlfn.XMATCH($C175,$C$35:$C$82)+1&lt;=_xlpm.DepreciationMonths,$C175&lt;=BR$8),$E175/_xlpm.DepreciationMonths,0))</f>
        <v>0</v>
      </c>
      <c r="BS175" s="507" cm="1">
        <f t="array" ref="BS175">_xlfn.LET(_xlpm.DepreciationMonths,INDEX(FixedAssets[Depreciation
/ Amortization Months],_xlfn.XMATCH($E$135,FixedAssets[Asset ID])),IF(AND((_xlfn.XMATCH(BS$8,$AH$8:$CC$8))-_xlfn.XMATCH($C175,$C$35:$C$82)+1&lt;=_xlpm.DepreciationMonths,$C175&lt;=BS$8),$E175/_xlpm.DepreciationMonths,0))</f>
        <v>0</v>
      </c>
      <c r="BT175" s="507" cm="1">
        <f t="array" ref="BT175">_xlfn.LET(_xlpm.DepreciationMonths,INDEX(FixedAssets[Depreciation
/ Amortization Months],_xlfn.XMATCH($E$135,FixedAssets[Asset ID])),IF(AND((_xlfn.XMATCH(BT$8,$AH$8:$CC$8))-_xlfn.XMATCH($C175,$C$35:$C$82)+1&lt;=_xlpm.DepreciationMonths,$C175&lt;=BT$8),$E175/_xlpm.DepreciationMonths,0))</f>
        <v>0</v>
      </c>
      <c r="BU175" s="507" cm="1">
        <f t="array" ref="BU175">_xlfn.LET(_xlpm.DepreciationMonths,INDEX(FixedAssets[Depreciation
/ Amortization Months],_xlfn.XMATCH($E$135,FixedAssets[Asset ID])),IF(AND((_xlfn.XMATCH(BU$8,$AH$8:$CC$8))-_xlfn.XMATCH($C175,$C$35:$C$82)+1&lt;=_xlpm.DepreciationMonths,$C175&lt;=BU$8),$E175/_xlpm.DepreciationMonths,0))</f>
        <v>0</v>
      </c>
      <c r="BV175" s="507" cm="1">
        <f t="array" ref="BV175">_xlfn.LET(_xlpm.DepreciationMonths,INDEX(FixedAssets[Depreciation
/ Amortization Months],_xlfn.XMATCH($E$135,FixedAssets[Asset ID])),IF(AND((_xlfn.XMATCH(BV$8,$AH$8:$CC$8))-_xlfn.XMATCH($C175,$C$35:$C$82)+1&lt;=_xlpm.DepreciationMonths,$C175&lt;=BV$8),$E175/_xlpm.DepreciationMonths,0))</f>
        <v>0</v>
      </c>
      <c r="BW175" s="507" cm="1">
        <f t="array" ref="BW175">_xlfn.LET(_xlpm.DepreciationMonths,INDEX(FixedAssets[Depreciation
/ Amortization Months],_xlfn.XMATCH($E$135,FixedAssets[Asset ID])),IF(AND((_xlfn.XMATCH(BW$8,$AH$8:$CC$8))-_xlfn.XMATCH($C175,$C$35:$C$82)+1&lt;=_xlpm.DepreciationMonths,$C175&lt;=BW$8),$E175/_xlpm.DepreciationMonths,0))</f>
        <v>0</v>
      </c>
      <c r="BX175" s="507" cm="1">
        <f t="array" ref="BX175">_xlfn.LET(_xlpm.DepreciationMonths,INDEX(FixedAssets[Depreciation
/ Amortization Months],_xlfn.XMATCH($E$135,FixedAssets[Asset ID])),IF(AND((_xlfn.XMATCH(BX$8,$AH$8:$CC$8))-_xlfn.XMATCH($C175,$C$35:$C$82)+1&lt;=_xlpm.DepreciationMonths,$C175&lt;=BX$8),$E175/_xlpm.DepreciationMonths,0))</f>
        <v>0</v>
      </c>
      <c r="BY175" s="507" cm="1">
        <f t="array" ref="BY175">_xlfn.LET(_xlpm.DepreciationMonths,INDEX(FixedAssets[Depreciation
/ Amortization Months],_xlfn.XMATCH($E$135,FixedAssets[Asset ID])),IF(AND((_xlfn.XMATCH(BY$8,$AH$8:$CC$8))-_xlfn.XMATCH($C175,$C$35:$C$82)+1&lt;=_xlpm.DepreciationMonths,$C175&lt;=BY$8),$E175/_xlpm.DepreciationMonths,0))</f>
        <v>0</v>
      </c>
      <c r="BZ175" s="507" cm="1">
        <f t="array" ref="BZ175">_xlfn.LET(_xlpm.DepreciationMonths,INDEX(FixedAssets[Depreciation
/ Amortization Months],_xlfn.XMATCH($E$135,FixedAssets[Asset ID])),IF(AND((_xlfn.XMATCH(BZ$8,$AH$8:$CC$8))-_xlfn.XMATCH($C175,$C$35:$C$82)+1&lt;=_xlpm.DepreciationMonths,$C175&lt;=BZ$8),$E175/_xlpm.DepreciationMonths,0))</f>
        <v>0</v>
      </c>
      <c r="CA175" s="507" cm="1">
        <f t="array" ref="CA175">_xlfn.LET(_xlpm.DepreciationMonths,INDEX(FixedAssets[Depreciation
/ Amortization Months],_xlfn.XMATCH($E$135,FixedAssets[Asset ID])),IF(AND((_xlfn.XMATCH(CA$8,$AH$8:$CC$8))-_xlfn.XMATCH($C175,$C$35:$C$82)+1&lt;=_xlpm.DepreciationMonths,$C175&lt;=CA$8),$E175/_xlpm.DepreciationMonths,0))</f>
        <v>0</v>
      </c>
      <c r="CB175" s="507" cm="1">
        <f t="array" ref="CB175">_xlfn.LET(_xlpm.DepreciationMonths,INDEX(FixedAssets[Depreciation
/ Amortization Months],_xlfn.XMATCH($E$135,FixedAssets[Asset ID])),IF(AND((_xlfn.XMATCH(CB$8,$AH$8:$CC$8))-_xlfn.XMATCH($C175,$C$35:$C$82)+1&lt;=_xlpm.DepreciationMonths,$C175&lt;=CB$8),$E175/_xlpm.DepreciationMonths,0))</f>
        <v>0</v>
      </c>
      <c r="CC175" s="507" cm="1">
        <f t="array" ref="CC175">_xlfn.LET(_xlpm.DepreciationMonths,INDEX(FixedAssets[Depreciation
/ Amortization Months],_xlfn.XMATCH($E$135,FixedAssets[Asset ID])),IF(AND((_xlfn.XMATCH(CC$8,$AH$8:$CC$8))-_xlfn.XMATCH($C175,$C$35:$C$82)+1&lt;=_xlpm.DepreciationMonths,$C175&lt;=CC$8),$E175/_xlpm.DepreciationMonths,0))</f>
        <v>0</v>
      </c>
    </row>
    <row r="176" spans="3:81" hidden="1" outlineLevel="2">
      <c r="C176" s="664">
        <f t="shared" si="243"/>
        <v>46142</v>
      </c>
      <c r="D176" s="508"/>
      <c r="E176" s="508" cm="1">
        <f t="array" ref="E176">SUMPRODUCT(($AH$26:$CC$31)*($AH$5:$CC$5=$C176)*($E$26:$E$31=E$135))-SUMPRODUCT(($AH$26:$CC$31)*($AH$5:$CC$5=EOMONTH($C176,-1))*($E$26:$E$31=E$135))</f>
        <v>0</v>
      </c>
      <c r="F176" s="508"/>
      <c r="G176" s="508"/>
      <c r="H176" s="508"/>
      <c r="I176" s="508"/>
      <c r="J176" s="504">
        <f t="shared" si="240"/>
        <v>0</v>
      </c>
      <c r="K176" s="504">
        <f t="shared" si="248"/>
        <v>0</v>
      </c>
      <c r="L176" s="504">
        <f t="shared" si="248"/>
        <v>0</v>
      </c>
      <c r="M176" s="504">
        <f t="shared" si="248"/>
        <v>0</v>
      </c>
      <c r="N176" s="504"/>
      <c r="O176" s="504"/>
      <c r="P176" s="504">
        <f t="shared" si="249"/>
        <v>0</v>
      </c>
      <c r="Q176" s="504">
        <f t="shared" si="249"/>
        <v>0</v>
      </c>
      <c r="R176" s="504">
        <f t="shared" si="249"/>
        <v>0</v>
      </c>
      <c r="S176" s="504">
        <f t="shared" si="249"/>
        <v>0</v>
      </c>
      <c r="T176" s="504">
        <f t="shared" si="249"/>
        <v>0</v>
      </c>
      <c r="U176" s="504">
        <f t="shared" si="249"/>
        <v>0</v>
      </c>
      <c r="V176" s="504">
        <f t="shared" si="249"/>
        <v>0</v>
      </c>
      <c r="W176" s="504">
        <f t="shared" si="249"/>
        <v>0</v>
      </c>
      <c r="X176" s="504">
        <f t="shared" si="249"/>
        <v>0</v>
      </c>
      <c r="Y176" s="504">
        <f t="shared" si="249"/>
        <v>0</v>
      </c>
      <c r="Z176" s="504">
        <f t="shared" si="249"/>
        <v>0</v>
      </c>
      <c r="AA176" s="504">
        <f t="shared" si="249"/>
        <v>0</v>
      </c>
      <c r="AB176" s="504">
        <f t="shared" si="249"/>
        <v>0</v>
      </c>
      <c r="AC176" s="504">
        <f t="shared" si="249"/>
        <v>0</v>
      </c>
      <c r="AD176" s="504">
        <f t="shared" si="249"/>
        <v>0</v>
      </c>
      <c r="AE176" s="504">
        <f t="shared" si="249"/>
        <v>0</v>
      </c>
      <c r="AF176" s="508"/>
      <c r="AG176" s="508"/>
      <c r="AH176" s="507" cm="1">
        <f t="array" ref="AH176">_xlfn.LET(_xlpm.DepreciationMonths,INDEX(FixedAssets[Depreciation
/ Amortization Months],_xlfn.XMATCH($E$135,FixedAssets[Asset ID])),IF(AND((_xlfn.XMATCH(AH$8,$AH$8:$CC$8))-_xlfn.XMATCH($C176,$C$35:$C$82)+1&lt;=_xlpm.DepreciationMonths,$C176&lt;=AH$8),$E176/_xlpm.DepreciationMonths,0))</f>
        <v>0</v>
      </c>
      <c r="AI176" s="507" cm="1">
        <f t="array" ref="AI176">_xlfn.LET(_xlpm.DepreciationMonths,INDEX(FixedAssets[Depreciation
/ Amortization Months],_xlfn.XMATCH($E$135,FixedAssets[Asset ID])),IF(AND((_xlfn.XMATCH(AI$8,$AH$8:$CC$8))-_xlfn.XMATCH($C176,$C$35:$C$82)+1&lt;=_xlpm.DepreciationMonths,$C176&lt;=AI$8),$E176/_xlpm.DepreciationMonths,0))</f>
        <v>0</v>
      </c>
      <c r="AJ176" s="507" cm="1">
        <f t="array" ref="AJ176">_xlfn.LET(_xlpm.DepreciationMonths,INDEX(FixedAssets[Depreciation
/ Amortization Months],_xlfn.XMATCH($E$135,FixedAssets[Asset ID])),IF(AND((_xlfn.XMATCH(AJ$8,$AH$8:$CC$8))-_xlfn.XMATCH($C176,$C$35:$C$82)+1&lt;=_xlpm.DepreciationMonths,$C176&lt;=AJ$8),$E176/_xlpm.DepreciationMonths,0))</f>
        <v>0</v>
      </c>
      <c r="AK176" s="507" cm="1">
        <f t="array" ref="AK176">_xlfn.LET(_xlpm.DepreciationMonths,INDEX(FixedAssets[Depreciation
/ Amortization Months],_xlfn.XMATCH($E$135,FixedAssets[Asset ID])),IF(AND((_xlfn.XMATCH(AK$8,$AH$8:$CC$8))-_xlfn.XMATCH($C176,$C$35:$C$82)+1&lt;=_xlpm.DepreciationMonths,$C176&lt;=AK$8),$E176/_xlpm.DepreciationMonths,0))</f>
        <v>0</v>
      </c>
      <c r="AL176" s="507" cm="1">
        <f t="array" ref="AL176">_xlfn.LET(_xlpm.DepreciationMonths,INDEX(FixedAssets[Depreciation
/ Amortization Months],_xlfn.XMATCH($E$135,FixedAssets[Asset ID])),IF(AND((_xlfn.XMATCH(AL$8,$AH$8:$CC$8))-_xlfn.XMATCH($C176,$C$35:$C$82)+1&lt;=_xlpm.DepreciationMonths,$C176&lt;=AL$8),$E176/_xlpm.DepreciationMonths,0))</f>
        <v>0</v>
      </c>
      <c r="AM176" s="507" cm="1">
        <f t="array" ref="AM176">_xlfn.LET(_xlpm.DepreciationMonths,INDEX(FixedAssets[Depreciation
/ Amortization Months],_xlfn.XMATCH($E$135,FixedAssets[Asset ID])),IF(AND((_xlfn.XMATCH(AM$8,$AH$8:$CC$8))-_xlfn.XMATCH($C176,$C$35:$C$82)+1&lt;=_xlpm.DepreciationMonths,$C176&lt;=AM$8),$E176/_xlpm.DepreciationMonths,0))</f>
        <v>0</v>
      </c>
      <c r="AN176" s="507" cm="1">
        <f t="array" ref="AN176">_xlfn.LET(_xlpm.DepreciationMonths,INDEX(FixedAssets[Depreciation
/ Amortization Months],_xlfn.XMATCH($E$135,FixedAssets[Asset ID])),IF(AND((_xlfn.XMATCH(AN$8,$AH$8:$CC$8))-_xlfn.XMATCH($C176,$C$35:$C$82)+1&lt;=_xlpm.DepreciationMonths,$C176&lt;=AN$8),$E176/_xlpm.DepreciationMonths,0))</f>
        <v>0</v>
      </c>
      <c r="AO176" s="507" cm="1">
        <f t="array" ref="AO176">_xlfn.LET(_xlpm.DepreciationMonths,INDEX(FixedAssets[Depreciation
/ Amortization Months],_xlfn.XMATCH($E$135,FixedAssets[Asset ID])),IF(AND((_xlfn.XMATCH(AO$8,$AH$8:$CC$8))-_xlfn.XMATCH($C176,$C$35:$C$82)+1&lt;=_xlpm.DepreciationMonths,$C176&lt;=AO$8),$E176/_xlpm.DepreciationMonths,0))</f>
        <v>0</v>
      </c>
      <c r="AP176" s="507" cm="1">
        <f t="array" ref="AP176">_xlfn.LET(_xlpm.DepreciationMonths,INDEX(FixedAssets[Depreciation
/ Amortization Months],_xlfn.XMATCH($E$135,FixedAssets[Asset ID])),IF(AND((_xlfn.XMATCH(AP$8,$AH$8:$CC$8))-_xlfn.XMATCH($C176,$C$35:$C$82)+1&lt;=_xlpm.DepreciationMonths,$C176&lt;=AP$8),$E176/_xlpm.DepreciationMonths,0))</f>
        <v>0</v>
      </c>
      <c r="AQ176" s="507" cm="1">
        <f t="array" ref="AQ176">_xlfn.LET(_xlpm.DepreciationMonths,INDEX(FixedAssets[Depreciation
/ Amortization Months],_xlfn.XMATCH($E$135,FixedAssets[Asset ID])),IF(AND((_xlfn.XMATCH(AQ$8,$AH$8:$CC$8))-_xlfn.XMATCH($C176,$C$35:$C$82)+1&lt;=_xlpm.DepreciationMonths,$C176&lt;=AQ$8),$E176/_xlpm.DepreciationMonths,0))</f>
        <v>0</v>
      </c>
      <c r="AR176" s="507" cm="1">
        <f t="array" ref="AR176">_xlfn.LET(_xlpm.DepreciationMonths,INDEX(FixedAssets[Depreciation
/ Amortization Months],_xlfn.XMATCH($E$135,FixedAssets[Asset ID])),IF(AND((_xlfn.XMATCH(AR$8,$AH$8:$CC$8))-_xlfn.XMATCH($C176,$C$35:$C$82)+1&lt;=_xlpm.DepreciationMonths,$C176&lt;=AR$8),$E176/_xlpm.DepreciationMonths,0))</f>
        <v>0</v>
      </c>
      <c r="AS176" s="507" cm="1">
        <f t="array" ref="AS176">_xlfn.LET(_xlpm.DepreciationMonths,INDEX(FixedAssets[Depreciation
/ Amortization Months],_xlfn.XMATCH($E$135,FixedAssets[Asset ID])),IF(AND((_xlfn.XMATCH(AS$8,$AH$8:$CC$8))-_xlfn.XMATCH($C176,$C$35:$C$82)+1&lt;=_xlpm.DepreciationMonths,$C176&lt;=AS$8),$E176/_xlpm.DepreciationMonths,0))</f>
        <v>0</v>
      </c>
      <c r="AT176" s="507" cm="1">
        <f t="array" ref="AT176">_xlfn.LET(_xlpm.DepreciationMonths,INDEX(FixedAssets[Depreciation
/ Amortization Months],_xlfn.XMATCH($E$135,FixedAssets[Asset ID])),IF(AND((_xlfn.XMATCH(AT$8,$AH$8:$CC$8))-_xlfn.XMATCH($C176,$C$35:$C$82)+1&lt;=_xlpm.DepreciationMonths,$C176&lt;=AT$8),$E176/_xlpm.DepreciationMonths,0))</f>
        <v>0</v>
      </c>
      <c r="AU176" s="507" cm="1">
        <f t="array" ref="AU176">_xlfn.LET(_xlpm.DepreciationMonths,INDEX(FixedAssets[Depreciation
/ Amortization Months],_xlfn.XMATCH($E$135,FixedAssets[Asset ID])),IF(AND((_xlfn.XMATCH(AU$8,$AH$8:$CC$8))-_xlfn.XMATCH($C176,$C$35:$C$82)+1&lt;=_xlpm.DepreciationMonths,$C176&lt;=AU$8),$E176/_xlpm.DepreciationMonths,0))</f>
        <v>0</v>
      </c>
      <c r="AV176" s="507" cm="1">
        <f t="array" ref="AV176">_xlfn.LET(_xlpm.DepreciationMonths,INDEX(FixedAssets[Depreciation
/ Amortization Months],_xlfn.XMATCH($E$135,FixedAssets[Asset ID])),IF(AND((_xlfn.XMATCH(AV$8,$AH$8:$CC$8))-_xlfn.XMATCH($C176,$C$35:$C$82)+1&lt;=_xlpm.DepreciationMonths,$C176&lt;=AV$8),$E176/_xlpm.DepreciationMonths,0))</f>
        <v>0</v>
      </c>
      <c r="AW176" s="507" cm="1">
        <f t="array" ref="AW176">_xlfn.LET(_xlpm.DepreciationMonths,INDEX(FixedAssets[Depreciation
/ Amortization Months],_xlfn.XMATCH($E$135,FixedAssets[Asset ID])),IF(AND((_xlfn.XMATCH(AW$8,$AH$8:$CC$8))-_xlfn.XMATCH($C176,$C$35:$C$82)+1&lt;=_xlpm.DepreciationMonths,$C176&lt;=AW$8),$E176/_xlpm.DepreciationMonths,0))</f>
        <v>0</v>
      </c>
      <c r="AX176" s="507" cm="1">
        <f t="array" ref="AX176">_xlfn.LET(_xlpm.DepreciationMonths,INDEX(FixedAssets[Depreciation
/ Amortization Months],_xlfn.XMATCH($E$135,FixedAssets[Asset ID])),IF(AND((_xlfn.XMATCH(AX$8,$AH$8:$CC$8))-_xlfn.XMATCH($C176,$C$35:$C$82)+1&lt;=_xlpm.DepreciationMonths,$C176&lt;=AX$8),$E176/_xlpm.DepreciationMonths,0))</f>
        <v>0</v>
      </c>
      <c r="AY176" s="507" cm="1">
        <f t="array" ref="AY176">_xlfn.LET(_xlpm.DepreciationMonths,INDEX(FixedAssets[Depreciation
/ Amortization Months],_xlfn.XMATCH($E$135,FixedAssets[Asset ID])),IF(AND((_xlfn.XMATCH(AY$8,$AH$8:$CC$8))-_xlfn.XMATCH($C176,$C$35:$C$82)+1&lt;=_xlpm.DepreciationMonths,$C176&lt;=AY$8),$E176/_xlpm.DepreciationMonths,0))</f>
        <v>0</v>
      </c>
      <c r="AZ176" s="507" cm="1">
        <f t="array" ref="AZ176">_xlfn.LET(_xlpm.DepreciationMonths,INDEX(FixedAssets[Depreciation
/ Amortization Months],_xlfn.XMATCH($E$135,FixedAssets[Asset ID])),IF(AND((_xlfn.XMATCH(AZ$8,$AH$8:$CC$8))-_xlfn.XMATCH($C176,$C$35:$C$82)+1&lt;=_xlpm.DepreciationMonths,$C176&lt;=AZ$8),$E176/_xlpm.DepreciationMonths,0))</f>
        <v>0</v>
      </c>
      <c r="BA176" s="507" cm="1">
        <f t="array" ref="BA176">_xlfn.LET(_xlpm.DepreciationMonths,INDEX(FixedAssets[Depreciation
/ Amortization Months],_xlfn.XMATCH($E$135,FixedAssets[Asset ID])),IF(AND((_xlfn.XMATCH(BA$8,$AH$8:$CC$8))-_xlfn.XMATCH($C176,$C$35:$C$82)+1&lt;=_xlpm.DepreciationMonths,$C176&lt;=BA$8),$E176/_xlpm.DepreciationMonths,0))</f>
        <v>0</v>
      </c>
      <c r="BB176" s="507" cm="1">
        <f t="array" ref="BB176">_xlfn.LET(_xlpm.DepreciationMonths,INDEX(FixedAssets[Depreciation
/ Amortization Months],_xlfn.XMATCH($E$135,FixedAssets[Asset ID])),IF(AND((_xlfn.XMATCH(BB$8,$AH$8:$CC$8))-_xlfn.XMATCH($C176,$C$35:$C$82)+1&lt;=_xlpm.DepreciationMonths,$C176&lt;=BB$8),$E176/_xlpm.DepreciationMonths,0))</f>
        <v>0</v>
      </c>
      <c r="BC176" s="507" cm="1">
        <f t="array" ref="BC176">_xlfn.LET(_xlpm.DepreciationMonths,INDEX(FixedAssets[Depreciation
/ Amortization Months],_xlfn.XMATCH($E$135,FixedAssets[Asset ID])),IF(AND((_xlfn.XMATCH(BC$8,$AH$8:$CC$8))-_xlfn.XMATCH($C176,$C$35:$C$82)+1&lt;=_xlpm.DepreciationMonths,$C176&lt;=BC$8),$E176/_xlpm.DepreciationMonths,0))</f>
        <v>0</v>
      </c>
      <c r="BD176" s="507" cm="1">
        <f t="array" ref="BD176">_xlfn.LET(_xlpm.DepreciationMonths,INDEX(FixedAssets[Depreciation
/ Amortization Months],_xlfn.XMATCH($E$135,FixedAssets[Asset ID])),IF(AND((_xlfn.XMATCH(BD$8,$AH$8:$CC$8))-_xlfn.XMATCH($C176,$C$35:$C$82)+1&lt;=_xlpm.DepreciationMonths,$C176&lt;=BD$8),$E176/_xlpm.DepreciationMonths,0))</f>
        <v>0</v>
      </c>
      <c r="BE176" s="507" cm="1">
        <f t="array" ref="BE176">_xlfn.LET(_xlpm.DepreciationMonths,INDEX(FixedAssets[Depreciation
/ Amortization Months],_xlfn.XMATCH($E$135,FixedAssets[Asset ID])),IF(AND((_xlfn.XMATCH(BE$8,$AH$8:$CC$8))-_xlfn.XMATCH($C176,$C$35:$C$82)+1&lt;=_xlpm.DepreciationMonths,$C176&lt;=BE$8),$E176/_xlpm.DepreciationMonths,0))</f>
        <v>0</v>
      </c>
      <c r="BF176" s="507" cm="1">
        <f t="array" ref="BF176">_xlfn.LET(_xlpm.DepreciationMonths,INDEX(FixedAssets[Depreciation
/ Amortization Months],_xlfn.XMATCH($E$135,FixedAssets[Asset ID])),IF(AND((_xlfn.XMATCH(BF$8,$AH$8:$CC$8))-_xlfn.XMATCH($C176,$C$35:$C$82)+1&lt;=_xlpm.DepreciationMonths,$C176&lt;=BF$8),$E176/_xlpm.DepreciationMonths,0))</f>
        <v>0</v>
      </c>
      <c r="BG176" s="507" cm="1">
        <f t="array" ref="BG176">_xlfn.LET(_xlpm.DepreciationMonths,INDEX(FixedAssets[Depreciation
/ Amortization Months],_xlfn.XMATCH($E$135,FixedAssets[Asset ID])),IF(AND((_xlfn.XMATCH(BG$8,$AH$8:$CC$8))-_xlfn.XMATCH($C176,$C$35:$C$82)+1&lt;=_xlpm.DepreciationMonths,$C176&lt;=BG$8),$E176/_xlpm.DepreciationMonths,0))</f>
        <v>0</v>
      </c>
      <c r="BH176" s="507" cm="1">
        <f t="array" ref="BH176">_xlfn.LET(_xlpm.DepreciationMonths,INDEX(FixedAssets[Depreciation
/ Amortization Months],_xlfn.XMATCH($E$135,FixedAssets[Asset ID])),IF(AND((_xlfn.XMATCH(BH$8,$AH$8:$CC$8))-_xlfn.XMATCH($C176,$C$35:$C$82)+1&lt;=_xlpm.DepreciationMonths,$C176&lt;=BH$8),$E176/_xlpm.DepreciationMonths,0))</f>
        <v>0</v>
      </c>
      <c r="BI176" s="507" cm="1">
        <f t="array" ref="BI176">_xlfn.LET(_xlpm.DepreciationMonths,INDEX(FixedAssets[Depreciation
/ Amortization Months],_xlfn.XMATCH($E$135,FixedAssets[Asset ID])),IF(AND((_xlfn.XMATCH(BI$8,$AH$8:$CC$8))-_xlfn.XMATCH($C176,$C$35:$C$82)+1&lt;=_xlpm.DepreciationMonths,$C176&lt;=BI$8),$E176/_xlpm.DepreciationMonths,0))</f>
        <v>0</v>
      </c>
      <c r="BJ176" s="507" cm="1">
        <f t="array" ref="BJ176">_xlfn.LET(_xlpm.DepreciationMonths,INDEX(FixedAssets[Depreciation
/ Amortization Months],_xlfn.XMATCH($E$135,FixedAssets[Asset ID])),IF(AND((_xlfn.XMATCH(BJ$8,$AH$8:$CC$8))-_xlfn.XMATCH($C176,$C$35:$C$82)+1&lt;=_xlpm.DepreciationMonths,$C176&lt;=BJ$8),$E176/_xlpm.DepreciationMonths,0))</f>
        <v>0</v>
      </c>
      <c r="BK176" s="507" cm="1">
        <f t="array" ref="BK176">_xlfn.LET(_xlpm.DepreciationMonths,INDEX(FixedAssets[Depreciation
/ Amortization Months],_xlfn.XMATCH($E$135,FixedAssets[Asset ID])),IF(AND((_xlfn.XMATCH(BK$8,$AH$8:$CC$8))-_xlfn.XMATCH($C176,$C$35:$C$82)+1&lt;=_xlpm.DepreciationMonths,$C176&lt;=BK$8),$E176/_xlpm.DepreciationMonths,0))</f>
        <v>0</v>
      </c>
      <c r="BL176" s="507" cm="1">
        <f t="array" ref="BL176">_xlfn.LET(_xlpm.DepreciationMonths,INDEX(FixedAssets[Depreciation
/ Amortization Months],_xlfn.XMATCH($E$135,FixedAssets[Asset ID])),IF(AND((_xlfn.XMATCH(BL$8,$AH$8:$CC$8))-_xlfn.XMATCH($C176,$C$35:$C$82)+1&lt;=_xlpm.DepreciationMonths,$C176&lt;=BL$8),$E176/_xlpm.DepreciationMonths,0))</f>
        <v>0</v>
      </c>
      <c r="BM176" s="507" cm="1">
        <f t="array" ref="BM176">_xlfn.LET(_xlpm.DepreciationMonths,INDEX(FixedAssets[Depreciation
/ Amortization Months],_xlfn.XMATCH($E$135,FixedAssets[Asset ID])),IF(AND((_xlfn.XMATCH(BM$8,$AH$8:$CC$8))-_xlfn.XMATCH($C176,$C$35:$C$82)+1&lt;=_xlpm.DepreciationMonths,$C176&lt;=BM$8),$E176/_xlpm.DepreciationMonths,0))</f>
        <v>0</v>
      </c>
      <c r="BN176" s="507" cm="1">
        <f t="array" ref="BN176">_xlfn.LET(_xlpm.DepreciationMonths,INDEX(FixedAssets[Depreciation
/ Amortization Months],_xlfn.XMATCH($E$135,FixedAssets[Asset ID])),IF(AND((_xlfn.XMATCH(BN$8,$AH$8:$CC$8))-_xlfn.XMATCH($C176,$C$35:$C$82)+1&lt;=_xlpm.DepreciationMonths,$C176&lt;=BN$8),$E176/_xlpm.DepreciationMonths,0))</f>
        <v>0</v>
      </c>
      <c r="BO176" s="507" cm="1">
        <f t="array" ref="BO176">_xlfn.LET(_xlpm.DepreciationMonths,INDEX(FixedAssets[Depreciation
/ Amortization Months],_xlfn.XMATCH($E$135,FixedAssets[Asset ID])),IF(AND((_xlfn.XMATCH(BO$8,$AH$8:$CC$8))-_xlfn.XMATCH($C176,$C$35:$C$82)+1&lt;=_xlpm.DepreciationMonths,$C176&lt;=BO$8),$E176/_xlpm.DepreciationMonths,0))</f>
        <v>0</v>
      </c>
      <c r="BP176" s="507" cm="1">
        <f t="array" ref="BP176">_xlfn.LET(_xlpm.DepreciationMonths,INDEX(FixedAssets[Depreciation
/ Amortization Months],_xlfn.XMATCH($E$135,FixedAssets[Asset ID])),IF(AND((_xlfn.XMATCH(BP$8,$AH$8:$CC$8))-_xlfn.XMATCH($C176,$C$35:$C$82)+1&lt;=_xlpm.DepreciationMonths,$C176&lt;=BP$8),$E176/_xlpm.DepreciationMonths,0))</f>
        <v>0</v>
      </c>
      <c r="BQ176" s="507" cm="1">
        <f t="array" ref="BQ176">_xlfn.LET(_xlpm.DepreciationMonths,INDEX(FixedAssets[Depreciation
/ Amortization Months],_xlfn.XMATCH($E$135,FixedAssets[Asset ID])),IF(AND((_xlfn.XMATCH(BQ$8,$AH$8:$CC$8))-_xlfn.XMATCH($C176,$C$35:$C$82)+1&lt;=_xlpm.DepreciationMonths,$C176&lt;=BQ$8),$E176/_xlpm.DepreciationMonths,0))</f>
        <v>0</v>
      </c>
      <c r="BR176" s="507" cm="1">
        <f t="array" ref="BR176">_xlfn.LET(_xlpm.DepreciationMonths,INDEX(FixedAssets[Depreciation
/ Amortization Months],_xlfn.XMATCH($E$135,FixedAssets[Asset ID])),IF(AND((_xlfn.XMATCH(BR$8,$AH$8:$CC$8))-_xlfn.XMATCH($C176,$C$35:$C$82)+1&lt;=_xlpm.DepreciationMonths,$C176&lt;=BR$8),$E176/_xlpm.DepreciationMonths,0))</f>
        <v>0</v>
      </c>
      <c r="BS176" s="507" cm="1">
        <f t="array" ref="BS176">_xlfn.LET(_xlpm.DepreciationMonths,INDEX(FixedAssets[Depreciation
/ Amortization Months],_xlfn.XMATCH($E$135,FixedAssets[Asset ID])),IF(AND((_xlfn.XMATCH(BS$8,$AH$8:$CC$8))-_xlfn.XMATCH($C176,$C$35:$C$82)+1&lt;=_xlpm.DepreciationMonths,$C176&lt;=BS$8),$E176/_xlpm.DepreciationMonths,0))</f>
        <v>0</v>
      </c>
      <c r="BT176" s="507" cm="1">
        <f t="array" ref="BT176">_xlfn.LET(_xlpm.DepreciationMonths,INDEX(FixedAssets[Depreciation
/ Amortization Months],_xlfn.XMATCH($E$135,FixedAssets[Asset ID])),IF(AND((_xlfn.XMATCH(BT$8,$AH$8:$CC$8))-_xlfn.XMATCH($C176,$C$35:$C$82)+1&lt;=_xlpm.DepreciationMonths,$C176&lt;=BT$8),$E176/_xlpm.DepreciationMonths,0))</f>
        <v>0</v>
      </c>
      <c r="BU176" s="507" cm="1">
        <f t="array" ref="BU176">_xlfn.LET(_xlpm.DepreciationMonths,INDEX(FixedAssets[Depreciation
/ Amortization Months],_xlfn.XMATCH($E$135,FixedAssets[Asset ID])),IF(AND((_xlfn.XMATCH(BU$8,$AH$8:$CC$8))-_xlfn.XMATCH($C176,$C$35:$C$82)+1&lt;=_xlpm.DepreciationMonths,$C176&lt;=BU$8),$E176/_xlpm.DepreciationMonths,0))</f>
        <v>0</v>
      </c>
      <c r="BV176" s="507" cm="1">
        <f t="array" ref="BV176">_xlfn.LET(_xlpm.DepreciationMonths,INDEX(FixedAssets[Depreciation
/ Amortization Months],_xlfn.XMATCH($E$135,FixedAssets[Asset ID])),IF(AND((_xlfn.XMATCH(BV$8,$AH$8:$CC$8))-_xlfn.XMATCH($C176,$C$35:$C$82)+1&lt;=_xlpm.DepreciationMonths,$C176&lt;=BV$8),$E176/_xlpm.DepreciationMonths,0))</f>
        <v>0</v>
      </c>
      <c r="BW176" s="507" cm="1">
        <f t="array" ref="BW176">_xlfn.LET(_xlpm.DepreciationMonths,INDEX(FixedAssets[Depreciation
/ Amortization Months],_xlfn.XMATCH($E$135,FixedAssets[Asset ID])),IF(AND((_xlfn.XMATCH(BW$8,$AH$8:$CC$8))-_xlfn.XMATCH($C176,$C$35:$C$82)+1&lt;=_xlpm.DepreciationMonths,$C176&lt;=BW$8),$E176/_xlpm.DepreciationMonths,0))</f>
        <v>0</v>
      </c>
      <c r="BX176" s="507" cm="1">
        <f t="array" ref="BX176">_xlfn.LET(_xlpm.DepreciationMonths,INDEX(FixedAssets[Depreciation
/ Amortization Months],_xlfn.XMATCH($E$135,FixedAssets[Asset ID])),IF(AND((_xlfn.XMATCH(BX$8,$AH$8:$CC$8))-_xlfn.XMATCH($C176,$C$35:$C$82)+1&lt;=_xlpm.DepreciationMonths,$C176&lt;=BX$8),$E176/_xlpm.DepreciationMonths,0))</f>
        <v>0</v>
      </c>
      <c r="BY176" s="507" cm="1">
        <f t="array" ref="BY176">_xlfn.LET(_xlpm.DepreciationMonths,INDEX(FixedAssets[Depreciation
/ Amortization Months],_xlfn.XMATCH($E$135,FixedAssets[Asset ID])),IF(AND((_xlfn.XMATCH(BY$8,$AH$8:$CC$8))-_xlfn.XMATCH($C176,$C$35:$C$82)+1&lt;=_xlpm.DepreciationMonths,$C176&lt;=BY$8),$E176/_xlpm.DepreciationMonths,0))</f>
        <v>0</v>
      </c>
      <c r="BZ176" s="507" cm="1">
        <f t="array" ref="BZ176">_xlfn.LET(_xlpm.DepreciationMonths,INDEX(FixedAssets[Depreciation
/ Amortization Months],_xlfn.XMATCH($E$135,FixedAssets[Asset ID])),IF(AND((_xlfn.XMATCH(BZ$8,$AH$8:$CC$8))-_xlfn.XMATCH($C176,$C$35:$C$82)+1&lt;=_xlpm.DepreciationMonths,$C176&lt;=BZ$8),$E176/_xlpm.DepreciationMonths,0))</f>
        <v>0</v>
      </c>
      <c r="CA176" s="507" cm="1">
        <f t="array" ref="CA176">_xlfn.LET(_xlpm.DepreciationMonths,INDEX(FixedAssets[Depreciation
/ Amortization Months],_xlfn.XMATCH($E$135,FixedAssets[Asset ID])),IF(AND((_xlfn.XMATCH(CA$8,$AH$8:$CC$8))-_xlfn.XMATCH($C176,$C$35:$C$82)+1&lt;=_xlpm.DepreciationMonths,$C176&lt;=CA$8),$E176/_xlpm.DepreciationMonths,0))</f>
        <v>0</v>
      </c>
      <c r="CB176" s="507" cm="1">
        <f t="array" ref="CB176">_xlfn.LET(_xlpm.DepreciationMonths,INDEX(FixedAssets[Depreciation
/ Amortization Months],_xlfn.XMATCH($E$135,FixedAssets[Asset ID])),IF(AND((_xlfn.XMATCH(CB$8,$AH$8:$CC$8))-_xlfn.XMATCH($C176,$C$35:$C$82)+1&lt;=_xlpm.DepreciationMonths,$C176&lt;=CB$8),$E176/_xlpm.DepreciationMonths,0))</f>
        <v>0</v>
      </c>
      <c r="CC176" s="507" cm="1">
        <f t="array" ref="CC176">_xlfn.LET(_xlpm.DepreciationMonths,INDEX(FixedAssets[Depreciation
/ Amortization Months],_xlfn.XMATCH($E$135,FixedAssets[Asset ID])),IF(AND((_xlfn.XMATCH(CC$8,$AH$8:$CC$8))-_xlfn.XMATCH($C176,$C$35:$C$82)+1&lt;=_xlpm.DepreciationMonths,$C176&lt;=CC$8),$E176/_xlpm.DepreciationMonths,0))</f>
        <v>0</v>
      </c>
    </row>
    <row r="177" spans="3:81" hidden="1" outlineLevel="2">
      <c r="C177" s="664">
        <f t="shared" si="243"/>
        <v>46173</v>
      </c>
      <c r="D177" s="508"/>
      <c r="E177" s="508" cm="1">
        <f t="array" ref="E177">SUMPRODUCT(($AH$26:$CC$31)*($AH$5:$CC$5=$C177)*($E$26:$E$31=E$135))-SUMPRODUCT(($AH$26:$CC$31)*($AH$5:$CC$5=EOMONTH($C177,-1))*($E$26:$E$31=E$135))</f>
        <v>0</v>
      </c>
      <c r="F177" s="508"/>
      <c r="G177" s="508"/>
      <c r="H177" s="508"/>
      <c r="I177" s="508"/>
      <c r="J177" s="504">
        <f t="shared" si="240"/>
        <v>0</v>
      </c>
      <c r="K177" s="504">
        <f t="shared" si="248"/>
        <v>0</v>
      </c>
      <c r="L177" s="504">
        <f t="shared" si="248"/>
        <v>0</v>
      </c>
      <c r="M177" s="504">
        <f t="shared" si="248"/>
        <v>0</v>
      </c>
      <c r="N177" s="504"/>
      <c r="O177" s="504"/>
      <c r="P177" s="504">
        <f t="shared" si="249"/>
        <v>0</v>
      </c>
      <c r="Q177" s="504">
        <f t="shared" si="249"/>
        <v>0</v>
      </c>
      <c r="R177" s="504">
        <f t="shared" si="249"/>
        <v>0</v>
      </c>
      <c r="S177" s="504">
        <f t="shared" si="249"/>
        <v>0</v>
      </c>
      <c r="T177" s="504">
        <f t="shared" si="249"/>
        <v>0</v>
      </c>
      <c r="U177" s="504">
        <f t="shared" si="249"/>
        <v>0</v>
      </c>
      <c r="V177" s="504">
        <f t="shared" si="249"/>
        <v>0</v>
      </c>
      <c r="W177" s="504">
        <f t="shared" si="249"/>
        <v>0</v>
      </c>
      <c r="X177" s="504">
        <f t="shared" si="249"/>
        <v>0</v>
      </c>
      <c r="Y177" s="504">
        <f t="shared" si="249"/>
        <v>0</v>
      </c>
      <c r="Z177" s="504">
        <f t="shared" si="249"/>
        <v>0</v>
      </c>
      <c r="AA177" s="504">
        <f t="shared" si="249"/>
        <v>0</v>
      </c>
      <c r="AB177" s="504">
        <f t="shared" si="249"/>
        <v>0</v>
      </c>
      <c r="AC177" s="504">
        <f t="shared" si="249"/>
        <v>0</v>
      </c>
      <c r="AD177" s="504">
        <f t="shared" si="249"/>
        <v>0</v>
      </c>
      <c r="AE177" s="504">
        <f t="shared" si="249"/>
        <v>0</v>
      </c>
      <c r="AF177" s="508"/>
      <c r="AG177" s="508"/>
      <c r="AH177" s="507" cm="1">
        <f t="array" ref="AH177">_xlfn.LET(_xlpm.DepreciationMonths,INDEX(FixedAssets[Depreciation
/ Amortization Months],_xlfn.XMATCH($E$135,FixedAssets[Asset ID])),IF(AND((_xlfn.XMATCH(AH$8,$AH$8:$CC$8))-_xlfn.XMATCH($C177,$C$35:$C$82)+1&lt;=_xlpm.DepreciationMonths,$C177&lt;=AH$8),$E177/_xlpm.DepreciationMonths,0))</f>
        <v>0</v>
      </c>
      <c r="AI177" s="507" cm="1">
        <f t="array" ref="AI177">_xlfn.LET(_xlpm.DepreciationMonths,INDEX(FixedAssets[Depreciation
/ Amortization Months],_xlfn.XMATCH($E$135,FixedAssets[Asset ID])),IF(AND((_xlfn.XMATCH(AI$8,$AH$8:$CC$8))-_xlfn.XMATCH($C177,$C$35:$C$82)+1&lt;=_xlpm.DepreciationMonths,$C177&lt;=AI$8),$E177/_xlpm.DepreciationMonths,0))</f>
        <v>0</v>
      </c>
      <c r="AJ177" s="507" cm="1">
        <f t="array" ref="AJ177">_xlfn.LET(_xlpm.DepreciationMonths,INDEX(FixedAssets[Depreciation
/ Amortization Months],_xlfn.XMATCH($E$135,FixedAssets[Asset ID])),IF(AND((_xlfn.XMATCH(AJ$8,$AH$8:$CC$8))-_xlfn.XMATCH($C177,$C$35:$C$82)+1&lt;=_xlpm.DepreciationMonths,$C177&lt;=AJ$8),$E177/_xlpm.DepreciationMonths,0))</f>
        <v>0</v>
      </c>
      <c r="AK177" s="507" cm="1">
        <f t="array" ref="AK177">_xlfn.LET(_xlpm.DepreciationMonths,INDEX(FixedAssets[Depreciation
/ Amortization Months],_xlfn.XMATCH($E$135,FixedAssets[Asset ID])),IF(AND((_xlfn.XMATCH(AK$8,$AH$8:$CC$8))-_xlfn.XMATCH($C177,$C$35:$C$82)+1&lt;=_xlpm.DepreciationMonths,$C177&lt;=AK$8),$E177/_xlpm.DepreciationMonths,0))</f>
        <v>0</v>
      </c>
      <c r="AL177" s="507" cm="1">
        <f t="array" ref="AL177">_xlfn.LET(_xlpm.DepreciationMonths,INDEX(FixedAssets[Depreciation
/ Amortization Months],_xlfn.XMATCH($E$135,FixedAssets[Asset ID])),IF(AND((_xlfn.XMATCH(AL$8,$AH$8:$CC$8))-_xlfn.XMATCH($C177,$C$35:$C$82)+1&lt;=_xlpm.DepreciationMonths,$C177&lt;=AL$8),$E177/_xlpm.DepreciationMonths,0))</f>
        <v>0</v>
      </c>
      <c r="AM177" s="507" cm="1">
        <f t="array" ref="AM177">_xlfn.LET(_xlpm.DepreciationMonths,INDEX(FixedAssets[Depreciation
/ Amortization Months],_xlfn.XMATCH($E$135,FixedAssets[Asset ID])),IF(AND((_xlfn.XMATCH(AM$8,$AH$8:$CC$8))-_xlfn.XMATCH($C177,$C$35:$C$82)+1&lt;=_xlpm.DepreciationMonths,$C177&lt;=AM$8),$E177/_xlpm.DepreciationMonths,0))</f>
        <v>0</v>
      </c>
      <c r="AN177" s="507" cm="1">
        <f t="array" ref="AN177">_xlfn.LET(_xlpm.DepreciationMonths,INDEX(FixedAssets[Depreciation
/ Amortization Months],_xlfn.XMATCH($E$135,FixedAssets[Asset ID])),IF(AND((_xlfn.XMATCH(AN$8,$AH$8:$CC$8))-_xlfn.XMATCH($C177,$C$35:$C$82)+1&lt;=_xlpm.DepreciationMonths,$C177&lt;=AN$8),$E177/_xlpm.DepreciationMonths,0))</f>
        <v>0</v>
      </c>
      <c r="AO177" s="507" cm="1">
        <f t="array" ref="AO177">_xlfn.LET(_xlpm.DepreciationMonths,INDEX(FixedAssets[Depreciation
/ Amortization Months],_xlfn.XMATCH($E$135,FixedAssets[Asset ID])),IF(AND((_xlfn.XMATCH(AO$8,$AH$8:$CC$8))-_xlfn.XMATCH($C177,$C$35:$C$82)+1&lt;=_xlpm.DepreciationMonths,$C177&lt;=AO$8),$E177/_xlpm.DepreciationMonths,0))</f>
        <v>0</v>
      </c>
      <c r="AP177" s="507" cm="1">
        <f t="array" ref="AP177">_xlfn.LET(_xlpm.DepreciationMonths,INDEX(FixedAssets[Depreciation
/ Amortization Months],_xlfn.XMATCH($E$135,FixedAssets[Asset ID])),IF(AND((_xlfn.XMATCH(AP$8,$AH$8:$CC$8))-_xlfn.XMATCH($C177,$C$35:$C$82)+1&lt;=_xlpm.DepreciationMonths,$C177&lt;=AP$8),$E177/_xlpm.DepreciationMonths,0))</f>
        <v>0</v>
      </c>
      <c r="AQ177" s="507" cm="1">
        <f t="array" ref="AQ177">_xlfn.LET(_xlpm.DepreciationMonths,INDEX(FixedAssets[Depreciation
/ Amortization Months],_xlfn.XMATCH($E$135,FixedAssets[Asset ID])),IF(AND((_xlfn.XMATCH(AQ$8,$AH$8:$CC$8))-_xlfn.XMATCH($C177,$C$35:$C$82)+1&lt;=_xlpm.DepreciationMonths,$C177&lt;=AQ$8),$E177/_xlpm.DepreciationMonths,0))</f>
        <v>0</v>
      </c>
      <c r="AR177" s="507" cm="1">
        <f t="array" ref="AR177">_xlfn.LET(_xlpm.DepreciationMonths,INDEX(FixedAssets[Depreciation
/ Amortization Months],_xlfn.XMATCH($E$135,FixedAssets[Asset ID])),IF(AND((_xlfn.XMATCH(AR$8,$AH$8:$CC$8))-_xlfn.XMATCH($C177,$C$35:$C$82)+1&lt;=_xlpm.DepreciationMonths,$C177&lt;=AR$8),$E177/_xlpm.DepreciationMonths,0))</f>
        <v>0</v>
      </c>
      <c r="AS177" s="507" cm="1">
        <f t="array" ref="AS177">_xlfn.LET(_xlpm.DepreciationMonths,INDEX(FixedAssets[Depreciation
/ Amortization Months],_xlfn.XMATCH($E$135,FixedAssets[Asset ID])),IF(AND((_xlfn.XMATCH(AS$8,$AH$8:$CC$8))-_xlfn.XMATCH($C177,$C$35:$C$82)+1&lt;=_xlpm.DepreciationMonths,$C177&lt;=AS$8),$E177/_xlpm.DepreciationMonths,0))</f>
        <v>0</v>
      </c>
      <c r="AT177" s="507" cm="1">
        <f t="array" ref="AT177">_xlfn.LET(_xlpm.DepreciationMonths,INDEX(FixedAssets[Depreciation
/ Amortization Months],_xlfn.XMATCH($E$135,FixedAssets[Asset ID])),IF(AND((_xlfn.XMATCH(AT$8,$AH$8:$CC$8))-_xlfn.XMATCH($C177,$C$35:$C$82)+1&lt;=_xlpm.DepreciationMonths,$C177&lt;=AT$8),$E177/_xlpm.DepreciationMonths,0))</f>
        <v>0</v>
      </c>
      <c r="AU177" s="507" cm="1">
        <f t="array" ref="AU177">_xlfn.LET(_xlpm.DepreciationMonths,INDEX(FixedAssets[Depreciation
/ Amortization Months],_xlfn.XMATCH($E$135,FixedAssets[Asset ID])),IF(AND((_xlfn.XMATCH(AU$8,$AH$8:$CC$8))-_xlfn.XMATCH($C177,$C$35:$C$82)+1&lt;=_xlpm.DepreciationMonths,$C177&lt;=AU$8),$E177/_xlpm.DepreciationMonths,0))</f>
        <v>0</v>
      </c>
      <c r="AV177" s="507" cm="1">
        <f t="array" ref="AV177">_xlfn.LET(_xlpm.DepreciationMonths,INDEX(FixedAssets[Depreciation
/ Amortization Months],_xlfn.XMATCH($E$135,FixedAssets[Asset ID])),IF(AND((_xlfn.XMATCH(AV$8,$AH$8:$CC$8))-_xlfn.XMATCH($C177,$C$35:$C$82)+1&lt;=_xlpm.DepreciationMonths,$C177&lt;=AV$8),$E177/_xlpm.DepreciationMonths,0))</f>
        <v>0</v>
      </c>
      <c r="AW177" s="507" cm="1">
        <f t="array" ref="AW177">_xlfn.LET(_xlpm.DepreciationMonths,INDEX(FixedAssets[Depreciation
/ Amortization Months],_xlfn.XMATCH($E$135,FixedAssets[Asset ID])),IF(AND((_xlfn.XMATCH(AW$8,$AH$8:$CC$8))-_xlfn.XMATCH($C177,$C$35:$C$82)+1&lt;=_xlpm.DepreciationMonths,$C177&lt;=AW$8),$E177/_xlpm.DepreciationMonths,0))</f>
        <v>0</v>
      </c>
      <c r="AX177" s="507" cm="1">
        <f t="array" ref="AX177">_xlfn.LET(_xlpm.DepreciationMonths,INDEX(FixedAssets[Depreciation
/ Amortization Months],_xlfn.XMATCH($E$135,FixedAssets[Asset ID])),IF(AND((_xlfn.XMATCH(AX$8,$AH$8:$CC$8))-_xlfn.XMATCH($C177,$C$35:$C$82)+1&lt;=_xlpm.DepreciationMonths,$C177&lt;=AX$8),$E177/_xlpm.DepreciationMonths,0))</f>
        <v>0</v>
      </c>
      <c r="AY177" s="507" cm="1">
        <f t="array" ref="AY177">_xlfn.LET(_xlpm.DepreciationMonths,INDEX(FixedAssets[Depreciation
/ Amortization Months],_xlfn.XMATCH($E$135,FixedAssets[Asset ID])),IF(AND((_xlfn.XMATCH(AY$8,$AH$8:$CC$8))-_xlfn.XMATCH($C177,$C$35:$C$82)+1&lt;=_xlpm.DepreciationMonths,$C177&lt;=AY$8),$E177/_xlpm.DepreciationMonths,0))</f>
        <v>0</v>
      </c>
      <c r="AZ177" s="507" cm="1">
        <f t="array" ref="AZ177">_xlfn.LET(_xlpm.DepreciationMonths,INDEX(FixedAssets[Depreciation
/ Amortization Months],_xlfn.XMATCH($E$135,FixedAssets[Asset ID])),IF(AND((_xlfn.XMATCH(AZ$8,$AH$8:$CC$8))-_xlfn.XMATCH($C177,$C$35:$C$82)+1&lt;=_xlpm.DepreciationMonths,$C177&lt;=AZ$8),$E177/_xlpm.DepreciationMonths,0))</f>
        <v>0</v>
      </c>
      <c r="BA177" s="507" cm="1">
        <f t="array" ref="BA177">_xlfn.LET(_xlpm.DepreciationMonths,INDEX(FixedAssets[Depreciation
/ Amortization Months],_xlfn.XMATCH($E$135,FixedAssets[Asset ID])),IF(AND((_xlfn.XMATCH(BA$8,$AH$8:$CC$8))-_xlfn.XMATCH($C177,$C$35:$C$82)+1&lt;=_xlpm.DepreciationMonths,$C177&lt;=BA$8),$E177/_xlpm.DepreciationMonths,0))</f>
        <v>0</v>
      </c>
      <c r="BB177" s="507" cm="1">
        <f t="array" ref="BB177">_xlfn.LET(_xlpm.DepreciationMonths,INDEX(FixedAssets[Depreciation
/ Amortization Months],_xlfn.XMATCH($E$135,FixedAssets[Asset ID])),IF(AND((_xlfn.XMATCH(BB$8,$AH$8:$CC$8))-_xlfn.XMATCH($C177,$C$35:$C$82)+1&lt;=_xlpm.DepreciationMonths,$C177&lt;=BB$8),$E177/_xlpm.DepreciationMonths,0))</f>
        <v>0</v>
      </c>
      <c r="BC177" s="507" cm="1">
        <f t="array" ref="BC177">_xlfn.LET(_xlpm.DepreciationMonths,INDEX(FixedAssets[Depreciation
/ Amortization Months],_xlfn.XMATCH($E$135,FixedAssets[Asset ID])),IF(AND((_xlfn.XMATCH(BC$8,$AH$8:$CC$8))-_xlfn.XMATCH($C177,$C$35:$C$82)+1&lt;=_xlpm.DepreciationMonths,$C177&lt;=BC$8),$E177/_xlpm.DepreciationMonths,0))</f>
        <v>0</v>
      </c>
      <c r="BD177" s="507" cm="1">
        <f t="array" ref="BD177">_xlfn.LET(_xlpm.DepreciationMonths,INDEX(FixedAssets[Depreciation
/ Amortization Months],_xlfn.XMATCH($E$135,FixedAssets[Asset ID])),IF(AND((_xlfn.XMATCH(BD$8,$AH$8:$CC$8))-_xlfn.XMATCH($C177,$C$35:$C$82)+1&lt;=_xlpm.DepreciationMonths,$C177&lt;=BD$8),$E177/_xlpm.DepreciationMonths,0))</f>
        <v>0</v>
      </c>
      <c r="BE177" s="507" cm="1">
        <f t="array" ref="BE177">_xlfn.LET(_xlpm.DepreciationMonths,INDEX(FixedAssets[Depreciation
/ Amortization Months],_xlfn.XMATCH($E$135,FixedAssets[Asset ID])),IF(AND((_xlfn.XMATCH(BE$8,$AH$8:$CC$8))-_xlfn.XMATCH($C177,$C$35:$C$82)+1&lt;=_xlpm.DepreciationMonths,$C177&lt;=BE$8),$E177/_xlpm.DepreciationMonths,0))</f>
        <v>0</v>
      </c>
      <c r="BF177" s="507" cm="1">
        <f t="array" ref="BF177">_xlfn.LET(_xlpm.DepreciationMonths,INDEX(FixedAssets[Depreciation
/ Amortization Months],_xlfn.XMATCH($E$135,FixedAssets[Asset ID])),IF(AND((_xlfn.XMATCH(BF$8,$AH$8:$CC$8))-_xlfn.XMATCH($C177,$C$35:$C$82)+1&lt;=_xlpm.DepreciationMonths,$C177&lt;=BF$8),$E177/_xlpm.DepreciationMonths,0))</f>
        <v>0</v>
      </c>
      <c r="BG177" s="507" cm="1">
        <f t="array" ref="BG177">_xlfn.LET(_xlpm.DepreciationMonths,INDEX(FixedAssets[Depreciation
/ Amortization Months],_xlfn.XMATCH($E$135,FixedAssets[Asset ID])),IF(AND((_xlfn.XMATCH(BG$8,$AH$8:$CC$8))-_xlfn.XMATCH($C177,$C$35:$C$82)+1&lt;=_xlpm.DepreciationMonths,$C177&lt;=BG$8),$E177/_xlpm.DepreciationMonths,0))</f>
        <v>0</v>
      </c>
      <c r="BH177" s="507" cm="1">
        <f t="array" ref="BH177">_xlfn.LET(_xlpm.DepreciationMonths,INDEX(FixedAssets[Depreciation
/ Amortization Months],_xlfn.XMATCH($E$135,FixedAssets[Asset ID])),IF(AND((_xlfn.XMATCH(BH$8,$AH$8:$CC$8))-_xlfn.XMATCH($C177,$C$35:$C$82)+1&lt;=_xlpm.DepreciationMonths,$C177&lt;=BH$8),$E177/_xlpm.DepreciationMonths,0))</f>
        <v>0</v>
      </c>
      <c r="BI177" s="507" cm="1">
        <f t="array" ref="BI177">_xlfn.LET(_xlpm.DepreciationMonths,INDEX(FixedAssets[Depreciation
/ Amortization Months],_xlfn.XMATCH($E$135,FixedAssets[Asset ID])),IF(AND((_xlfn.XMATCH(BI$8,$AH$8:$CC$8))-_xlfn.XMATCH($C177,$C$35:$C$82)+1&lt;=_xlpm.DepreciationMonths,$C177&lt;=BI$8),$E177/_xlpm.DepreciationMonths,0))</f>
        <v>0</v>
      </c>
      <c r="BJ177" s="507" cm="1">
        <f t="array" ref="BJ177">_xlfn.LET(_xlpm.DepreciationMonths,INDEX(FixedAssets[Depreciation
/ Amortization Months],_xlfn.XMATCH($E$135,FixedAssets[Asset ID])),IF(AND((_xlfn.XMATCH(BJ$8,$AH$8:$CC$8))-_xlfn.XMATCH($C177,$C$35:$C$82)+1&lt;=_xlpm.DepreciationMonths,$C177&lt;=BJ$8),$E177/_xlpm.DepreciationMonths,0))</f>
        <v>0</v>
      </c>
      <c r="BK177" s="507" cm="1">
        <f t="array" ref="BK177">_xlfn.LET(_xlpm.DepreciationMonths,INDEX(FixedAssets[Depreciation
/ Amortization Months],_xlfn.XMATCH($E$135,FixedAssets[Asset ID])),IF(AND((_xlfn.XMATCH(BK$8,$AH$8:$CC$8))-_xlfn.XMATCH($C177,$C$35:$C$82)+1&lt;=_xlpm.DepreciationMonths,$C177&lt;=BK$8),$E177/_xlpm.DepreciationMonths,0))</f>
        <v>0</v>
      </c>
      <c r="BL177" s="507" cm="1">
        <f t="array" ref="BL177">_xlfn.LET(_xlpm.DepreciationMonths,INDEX(FixedAssets[Depreciation
/ Amortization Months],_xlfn.XMATCH($E$135,FixedAssets[Asset ID])),IF(AND((_xlfn.XMATCH(BL$8,$AH$8:$CC$8))-_xlfn.XMATCH($C177,$C$35:$C$82)+1&lt;=_xlpm.DepreciationMonths,$C177&lt;=BL$8),$E177/_xlpm.DepreciationMonths,0))</f>
        <v>0</v>
      </c>
      <c r="BM177" s="507" cm="1">
        <f t="array" ref="BM177">_xlfn.LET(_xlpm.DepreciationMonths,INDEX(FixedAssets[Depreciation
/ Amortization Months],_xlfn.XMATCH($E$135,FixedAssets[Asset ID])),IF(AND((_xlfn.XMATCH(BM$8,$AH$8:$CC$8))-_xlfn.XMATCH($C177,$C$35:$C$82)+1&lt;=_xlpm.DepreciationMonths,$C177&lt;=BM$8),$E177/_xlpm.DepreciationMonths,0))</f>
        <v>0</v>
      </c>
      <c r="BN177" s="507" cm="1">
        <f t="array" ref="BN177">_xlfn.LET(_xlpm.DepreciationMonths,INDEX(FixedAssets[Depreciation
/ Amortization Months],_xlfn.XMATCH($E$135,FixedAssets[Asset ID])),IF(AND((_xlfn.XMATCH(BN$8,$AH$8:$CC$8))-_xlfn.XMATCH($C177,$C$35:$C$82)+1&lt;=_xlpm.DepreciationMonths,$C177&lt;=BN$8),$E177/_xlpm.DepreciationMonths,0))</f>
        <v>0</v>
      </c>
      <c r="BO177" s="507" cm="1">
        <f t="array" ref="BO177">_xlfn.LET(_xlpm.DepreciationMonths,INDEX(FixedAssets[Depreciation
/ Amortization Months],_xlfn.XMATCH($E$135,FixedAssets[Asset ID])),IF(AND((_xlfn.XMATCH(BO$8,$AH$8:$CC$8))-_xlfn.XMATCH($C177,$C$35:$C$82)+1&lt;=_xlpm.DepreciationMonths,$C177&lt;=BO$8),$E177/_xlpm.DepreciationMonths,0))</f>
        <v>0</v>
      </c>
      <c r="BP177" s="507" cm="1">
        <f t="array" ref="BP177">_xlfn.LET(_xlpm.DepreciationMonths,INDEX(FixedAssets[Depreciation
/ Amortization Months],_xlfn.XMATCH($E$135,FixedAssets[Asset ID])),IF(AND((_xlfn.XMATCH(BP$8,$AH$8:$CC$8))-_xlfn.XMATCH($C177,$C$35:$C$82)+1&lt;=_xlpm.DepreciationMonths,$C177&lt;=BP$8),$E177/_xlpm.DepreciationMonths,0))</f>
        <v>0</v>
      </c>
      <c r="BQ177" s="507" cm="1">
        <f t="array" ref="BQ177">_xlfn.LET(_xlpm.DepreciationMonths,INDEX(FixedAssets[Depreciation
/ Amortization Months],_xlfn.XMATCH($E$135,FixedAssets[Asset ID])),IF(AND((_xlfn.XMATCH(BQ$8,$AH$8:$CC$8))-_xlfn.XMATCH($C177,$C$35:$C$82)+1&lt;=_xlpm.DepreciationMonths,$C177&lt;=BQ$8),$E177/_xlpm.DepreciationMonths,0))</f>
        <v>0</v>
      </c>
      <c r="BR177" s="507" cm="1">
        <f t="array" ref="BR177">_xlfn.LET(_xlpm.DepreciationMonths,INDEX(FixedAssets[Depreciation
/ Amortization Months],_xlfn.XMATCH($E$135,FixedAssets[Asset ID])),IF(AND((_xlfn.XMATCH(BR$8,$AH$8:$CC$8))-_xlfn.XMATCH($C177,$C$35:$C$82)+1&lt;=_xlpm.DepreciationMonths,$C177&lt;=BR$8),$E177/_xlpm.DepreciationMonths,0))</f>
        <v>0</v>
      </c>
      <c r="BS177" s="507" cm="1">
        <f t="array" ref="BS177">_xlfn.LET(_xlpm.DepreciationMonths,INDEX(FixedAssets[Depreciation
/ Amortization Months],_xlfn.XMATCH($E$135,FixedAssets[Asset ID])),IF(AND((_xlfn.XMATCH(BS$8,$AH$8:$CC$8))-_xlfn.XMATCH($C177,$C$35:$C$82)+1&lt;=_xlpm.DepreciationMonths,$C177&lt;=BS$8),$E177/_xlpm.DepreciationMonths,0))</f>
        <v>0</v>
      </c>
      <c r="BT177" s="507" cm="1">
        <f t="array" ref="BT177">_xlfn.LET(_xlpm.DepreciationMonths,INDEX(FixedAssets[Depreciation
/ Amortization Months],_xlfn.XMATCH($E$135,FixedAssets[Asset ID])),IF(AND((_xlfn.XMATCH(BT$8,$AH$8:$CC$8))-_xlfn.XMATCH($C177,$C$35:$C$82)+1&lt;=_xlpm.DepreciationMonths,$C177&lt;=BT$8),$E177/_xlpm.DepreciationMonths,0))</f>
        <v>0</v>
      </c>
      <c r="BU177" s="507" cm="1">
        <f t="array" ref="BU177">_xlfn.LET(_xlpm.DepreciationMonths,INDEX(FixedAssets[Depreciation
/ Amortization Months],_xlfn.XMATCH($E$135,FixedAssets[Asset ID])),IF(AND((_xlfn.XMATCH(BU$8,$AH$8:$CC$8))-_xlfn.XMATCH($C177,$C$35:$C$82)+1&lt;=_xlpm.DepreciationMonths,$C177&lt;=BU$8),$E177/_xlpm.DepreciationMonths,0))</f>
        <v>0</v>
      </c>
      <c r="BV177" s="507" cm="1">
        <f t="array" ref="BV177">_xlfn.LET(_xlpm.DepreciationMonths,INDEX(FixedAssets[Depreciation
/ Amortization Months],_xlfn.XMATCH($E$135,FixedAssets[Asset ID])),IF(AND((_xlfn.XMATCH(BV$8,$AH$8:$CC$8))-_xlfn.XMATCH($C177,$C$35:$C$82)+1&lt;=_xlpm.DepreciationMonths,$C177&lt;=BV$8),$E177/_xlpm.DepreciationMonths,0))</f>
        <v>0</v>
      </c>
      <c r="BW177" s="507" cm="1">
        <f t="array" ref="BW177">_xlfn.LET(_xlpm.DepreciationMonths,INDEX(FixedAssets[Depreciation
/ Amortization Months],_xlfn.XMATCH($E$135,FixedAssets[Asset ID])),IF(AND((_xlfn.XMATCH(BW$8,$AH$8:$CC$8))-_xlfn.XMATCH($C177,$C$35:$C$82)+1&lt;=_xlpm.DepreciationMonths,$C177&lt;=BW$8),$E177/_xlpm.DepreciationMonths,0))</f>
        <v>0</v>
      </c>
      <c r="BX177" s="507" cm="1">
        <f t="array" ref="BX177">_xlfn.LET(_xlpm.DepreciationMonths,INDEX(FixedAssets[Depreciation
/ Amortization Months],_xlfn.XMATCH($E$135,FixedAssets[Asset ID])),IF(AND((_xlfn.XMATCH(BX$8,$AH$8:$CC$8))-_xlfn.XMATCH($C177,$C$35:$C$82)+1&lt;=_xlpm.DepreciationMonths,$C177&lt;=BX$8),$E177/_xlpm.DepreciationMonths,0))</f>
        <v>0</v>
      </c>
      <c r="BY177" s="507" cm="1">
        <f t="array" ref="BY177">_xlfn.LET(_xlpm.DepreciationMonths,INDEX(FixedAssets[Depreciation
/ Amortization Months],_xlfn.XMATCH($E$135,FixedAssets[Asset ID])),IF(AND((_xlfn.XMATCH(BY$8,$AH$8:$CC$8))-_xlfn.XMATCH($C177,$C$35:$C$82)+1&lt;=_xlpm.DepreciationMonths,$C177&lt;=BY$8),$E177/_xlpm.DepreciationMonths,0))</f>
        <v>0</v>
      </c>
      <c r="BZ177" s="507" cm="1">
        <f t="array" ref="BZ177">_xlfn.LET(_xlpm.DepreciationMonths,INDEX(FixedAssets[Depreciation
/ Amortization Months],_xlfn.XMATCH($E$135,FixedAssets[Asset ID])),IF(AND((_xlfn.XMATCH(BZ$8,$AH$8:$CC$8))-_xlfn.XMATCH($C177,$C$35:$C$82)+1&lt;=_xlpm.DepreciationMonths,$C177&lt;=BZ$8),$E177/_xlpm.DepreciationMonths,0))</f>
        <v>0</v>
      </c>
      <c r="CA177" s="507" cm="1">
        <f t="array" ref="CA177">_xlfn.LET(_xlpm.DepreciationMonths,INDEX(FixedAssets[Depreciation
/ Amortization Months],_xlfn.XMATCH($E$135,FixedAssets[Asset ID])),IF(AND((_xlfn.XMATCH(CA$8,$AH$8:$CC$8))-_xlfn.XMATCH($C177,$C$35:$C$82)+1&lt;=_xlpm.DepreciationMonths,$C177&lt;=CA$8),$E177/_xlpm.DepreciationMonths,0))</f>
        <v>0</v>
      </c>
      <c r="CB177" s="507" cm="1">
        <f t="array" ref="CB177">_xlfn.LET(_xlpm.DepreciationMonths,INDEX(FixedAssets[Depreciation
/ Amortization Months],_xlfn.XMATCH($E$135,FixedAssets[Asset ID])),IF(AND((_xlfn.XMATCH(CB$8,$AH$8:$CC$8))-_xlfn.XMATCH($C177,$C$35:$C$82)+1&lt;=_xlpm.DepreciationMonths,$C177&lt;=CB$8),$E177/_xlpm.DepreciationMonths,0))</f>
        <v>0</v>
      </c>
      <c r="CC177" s="507" cm="1">
        <f t="array" ref="CC177">_xlfn.LET(_xlpm.DepreciationMonths,INDEX(FixedAssets[Depreciation
/ Amortization Months],_xlfn.XMATCH($E$135,FixedAssets[Asset ID])),IF(AND((_xlfn.XMATCH(CC$8,$AH$8:$CC$8))-_xlfn.XMATCH($C177,$C$35:$C$82)+1&lt;=_xlpm.DepreciationMonths,$C177&lt;=CC$8),$E177/_xlpm.DepreciationMonths,0))</f>
        <v>0</v>
      </c>
    </row>
    <row r="178" spans="3:81" hidden="1" outlineLevel="2">
      <c r="C178" s="664">
        <f t="shared" si="243"/>
        <v>46203</v>
      </c>
      <c r="D178" s="508"/>
      <c r="E178" s="508" cm="1">
        <f t="array" ref="E178">SUMPRODUCT(($AH$26:$CC$31)*($AH$5:$CC$5=$C178)*($E$26:$E$31=E$135))-SUMPRODUCT(($AH$26:$CC$31)*($AH$5:$CC$5=EOMONTH($C178,-1))*($E$26:$E$31=E$135))</f>
        <v>0</v>
      </c>
      <c r="F178" s="508"/>
      <c r="G178" s="508"/>
      <c r="H178" s="508"/>
      <c r="I178" s="508"/>
      <c r="J178" s="504">
        <f t="shared" si="240"/>
        <v>0</v>
      </c>
      <c r="K178" s="504">
        <f t="shared" si="248"/>
        <v>0</v>
      </c>
      <c r="L178" s="504">
        <f t="shared" si="248"/>
        <v>0</v>
      </c>
      <c r="M178" s="504">
        <f t="shared" si="248"/>
        <v>0</v>
      </c>
      <c r="N178" s="504"/>
      <c r="O178" s="504"/>
      <c r="P178" s="504">
        <f t="shared" si="249"/>
        <v>0</v>
      </c>
      <c r="Q178" s="504">
        <f t="shared" si="249"/>
        <v>0</v>
      </c>
      <c r="R178" s="504">
        <f t="shared" si="249"/>
        <v>0</v>
      </c>
      <c r="S178" s="504">
        <f t="shared" si="249"/>
        <v>0</v>
      </c>
      <c r="T178" s="504">
        <f t="shared" si="249"/>
        <v>0</v>
      </c>
      <c r="U178" s="504">
        <f t="shared" si="249"/>
        <v>0</v>
      </c>
      <c r="V178" s="504">
        <f t="shared" si="249"/>
        <v>0</v>
      </c>
      <c r="W178" s="504">
        <f t="shared" si="249"/>
        <v>0</v>
      </c>
      <c r="X178" s="504">
        <f t="shared" si="249"/>
        <v>0</v>
      </c>
      <c r="Y178" s="504">
        <f t="shared" si="249"/>
        <v>0</v>
      </c>
      <c r="Z178" s="504">
        <f t="shared" si="249"/>
        <v>0</v>
      </c>
      <c r="AA178" s="504">
        <f t="shared" si="249"/>
        <v>0</v>
      </c>
      <c r="AB178" s="504">
        <f t="shared" si="249"/>
        <v>0</v>
      </c>
      <c r="AC178" s="504">
        <f t="shared" si="249"/>
        <v>0</v>
      </c>
      <c r="AD178" s="504">
        <f t="shared" si="249"/>
        <v>0</v>
      </c>
      <c r="AE178" s="504">
        <f t="shared" si="249"/>
        <v>0</v>
      </c>
      <c r="AF178" s="508"/>
      <c r="AG178" s="508"/>
      <c r="AH178" s="507" cm="1">
        <f t="array" ref="AH178">_xlfn.LET(_xlpm.DepreciationMonths,INDEX(FixedAssets[Depreciation
/ Amortization Months],_xlfn.XMATCH($E$135,FixedAssets[Asset ID])),IF(AND((_xlfn.XMATCH(AH$8,$AH$8:$CC$8))-_xlfn.XMATCH($C178,$C$35:$C$82)+1&lt;=_xlpm.DepreciationMonths,$C178&lt;=AH$8),$E178/_xlpm.DepreciationMonths,0))</f>
        <v>0</v>
      </c>
      <c r="AI178" s="507" cm="1">
        <f t="array" ref="AI178">_xlfn.LET(_xlpm.DepreciationMonths,INDEX(FixedAssets[Depreciation
/ Amortization Months],_xlfn.XMATCH($E$135,FixedAssets[Asset ID])),IF(AND((_xlfn.XMATCH(AI$8,$AH$8:$CC$8))-_xlfn.XMATCH($C178,$C$35:$C$82)+1&lt;=_xlpm.DepreciationMonths,$C178&lt;=AI$8),$E178/_xlpm.DepreciationMonths,0))</f>
        <v>0</v>
      </c>
      <c r="AJ178" s="507" cm="1">
        <f t="array" ref="AJ178">_xlfn.LET(_xlpm.DepreciationMonths,INDEX(FixedAssets[Depreciation
/ Amortization Months],_xlfn.XMATCH($E$135,FixedAssets[Asset ID])),IF(AND((_xlfn.XMATCH(AJ$8,$AH$8:$CC$8))-_xlfn.XMATCH($C178,$C$35:$C$82)+1&lt;=_xlpm.DepreciationMonths,$C178&lt;=AJ$8),$E178/_xlpm.DepreciationMonths,0))</f>
        <v>0</v>
      </c>
      <c r="AK178" s="507" cm="1">
        <f t="array" ref="AK178">_xlfn.LET(_xlpm.DepreciationMonths,INDEX(FixedAssets[Depreciation
/ Amortization Months],_xlfn.XMATCH($E$135,FixedAssets[Asset ID])),IF(AND((_xlfn.XMATCH(AK$8,$AH$8:$CC$8))-_xlfn.XMATCH($C178,$C$35:$C$82)+1&lt;=_xlpm.DepreciationMonths,$C178&lt;=AK$8),$E178/_xlpm.DepreciationMonths,0))</f>
        <v>0</v>
      </c>
      <c r="AL178" s="507" cm="1">
        <f t="array" ref="AL178">_xlfn.LET(_xlpm.DepreciationMonths,INDEX(FixedAssets[Depreciation
/ Amortization Months],_xlfn.XMATCH($E$135,FixedAssets[Asset ID])),IF(AND((_xlfn.XMATCH(AL$8,$AH$8:$CC$8))-_xlfn.XMATCH($C178,$C$35:$C$82)+1&lt;=_xlpm.DepreciationMonths,$C178&lt;=AL$8),$E178/_xlpm.DepreciationMonths,0))</f>
        <v>0</v>
      </c>
      <c r="AM178" s="507" cm="1">
        <f t="array" ref="AM178">_xlfn.LET(_xlpm.DepreciationMonths,INDEX(FixedAssets[Depreciation
/ Amortization Months],_xlfn.XMATCH($E$135,FixedAssets[Asset ID])),IF(AND((_xlfn.XMATCH(AM$8,$AH$8:$CC$8))-_xlfn.XMATCH($C178,$C$35:$C$82)+1&lt;=_xlpm.DepreciationMonths,$C178&lt;=AM$8),$E178/_xlpm.DepreciationMonths,0))</f>
        <v>0</v>
      </c>
      <c r="AN178" s="507" cm="1">
        <f t="array" ref="AN178">_xlfn.LET(_xlpm.DepreciationMonths,INDEX(FixedAssets[Depreciation
/ Amortization Months],_xlfn.XMATCH($E$135,FixedAssets[Asset ID])),IF(AND((_xlfn.XMATCH(AN$8,$AH$8:$CC$8))-_xlfn.XMATCH($C178,$C$35:$C$82)+1&lt;=_xlpm.DepreciationMonths,$C178&lt;=AN$8),$E178/_xlpm.DepreciationMonths,0))</f>
        <v>0</v>
      </c>
      <c r="AO178" s="507" cm="1">
        <f t="array" ref="AO178">_xlfn.LET(_xlpm.DepreciationMonths,INDEX(FixedAssets[Depreciation
/ Amortization Months],_xlfn.XMATCH($E$135,FixedAssets[Asset ID])),IF(AND((_xlfn.XMATCH(AO$8,$AH$8:$CC$8))-_xlfn.XMATCH($C178,$C$35:$C$82)+1&lt;=_xlpm.DepreciationMonths,$C178&lt;=AO$8),$E178/_xlpm.DepreciationMonths,0))</f>
        <v>0</v>
      </c>
      <c r="AP178" s="507" cm="1">
        <f t="array" ref="AP178">_xlfn.LET(_xlpm.DepreciationMonths,INDEX(FixedAssets[Depreciation
/ Amortization Months],_xlfn.XMATCH($E$135,FixedAssets[Asset ID])),IF(AND((_xlfn.XMATCH(AP$8,$AH$8:$CC$8))-_xlfn.XMATCH($C178,$C$35:$C$82)+1&lt;=_xlpm.DepreciationMonths,$C178&lt;=AP$8),$E178/_xlpm.DepreciationMonths,0))</f>
        <v>0</v>
      </c>
      <c r="AQ178" s="507" cm="1">
        <f t="array" ref="AQ178">_xlfn.LET(_xlpm.DepreciationMonths,INDEX(FixedAssets[Depreciation
/ Amortization Months],_xlfn.XMATCH($E$135,FixedAssets[Asset ID])),IF(AND((_xlfn.XMATCH(AQ$8,$AH$8:$CC$8))-_xlfn.XMATCH($C178,$C$35:$C$82)+1&lt;=_xlpm.DepreciationMonths,$C178&lt;=AQ$8),$E178/_xlpm.DepreciationMonths,0))</f>
        <v>0</v>
      </c>
      <c r="AR178" s="507" cm="1">
        <f t="array" ref="AR178">_xlfn.LET(_xlpm.DepreciationMonths,INDEX(FixedAssets[Depreciation
/ Amortization Months],_xlfn.XMATCH($E$135,FixedAssets[Asset ID])),IF(AND((_xlfn.XMATCH(AR$8,$AH$8:$CC$8))-_xlfn.XMATCH($C178,$C$35:$C$82)+1&lt;=_xlpm.DepreciationMonths,$C178&lt;=AR$8),$E178/_xlpm.DepreciationMonths,0))</f>
        <v>0</v>
      </c>
      <c r="AS178" s="507" cm="1">
        <f t="array" ref="AS178">_xlfn.LET(_xlpm.DepreciationMonths,INDEX(FixedAssets[Depreciation
/ Amortization Months],_xlfn.XMATCH($E$135,FixedAssets[Asset ID])),IF(AND((_xlfn.XMATCH(AS$8,$AH$8:$CC$8))-_xlfn.XMATCH($C178,$C$35:$C$82)+1&lt;=_xlpm.DepreciationMonths,$C178&lt;=AS$8),$E178/_xlpm.DepreciationMonths,0))</f>
        <v>0</v>
      </c>
      <c r="AT178" s="507" cm="1">
        <f t="array" ref="AT178">_xlfn.LET(_xlpm.DepreciationMonths,INDEX(FixedAssets[Depreciation
/ Amortization Months],_xlfn.XMATCH($E$135,FixedAssets[Asset ID])),IF(AND((_xlfn.XMATCH(AT$8,$AH$8:$CC$8))-_xlfn.XMATCH($C178,$C$35:$C$82)+1&lt;=_xlpm.DepreciationMonths,$C178&lt;=AT$8),$E178/_xlpm.DepreciationMonths,0))</f>
        <v>0</v>
      </c>
      <c r="AU178" s="507" cm="1">
        <f t="array" ref="AU178">_xlfn.LET(_xlpm.DepreciationMonths,INDEX(FixedAssets[Depreciation
/ Amortization Months],_xlfn.XMATCH($E$135,FixedAssets[Asset ID])),IF(AND((_xlfn.XMATCH(AU$8,$AH$8:$CC$8))-_xlfn.XMATCH($C178,$C$35:$C$82)+1&lt;=_xlpm.DepreciationMonths,$C178&lt;=AU$8),$E178/_xlpm.DepreciationMonths,0))</f>
        <v>0</v>
      </c>
      <c r="AV178" s="507" cm="1">
        <f t="array" ref="AV178">_xlfn.LET(_xlpm.DepreciationMonths,INDEX(FixedAssets[Depreciation
/ Amortization Months],_xlfn.XMATCH($E$135,FixedAssets[Asset ID])),IF(AND((_xlfn.XMATCH(AV$8,$AH$8:$CC$8))-_xlfn.XMATCH($C178,$C$35:$C$82)+1&lt;=_xlpm.DepreciationMonths,$C178&lt;=AV$8),$E178/_xlpm.DepreciationMonths,0))</f>
        <v>0</v>
      </c>
      <c r="AW178" s="507" cm="1">
        <f t="array" ref="AW178">_xlfn.LET(_xlpm.DepreciationMonths,INDEX(FixedAssets[Depreciation
/ Amortization Months],_xlfn.XMATCH($E$135,FixedAssets[Asset ID])),IF(AND((_xlfn.XMATCH(AW$8,$AH$8:$CC$8))-_xlfn.XMATCH($C178,$C$35:$C$82)+1&lt;=_xlpm.DepreciationMonths,$C178&lt;=AW$8),$E178/_xlpm.DepreciationMonths,0))</f>
        <v>0</v>
      </c>
      <c r="AX178" s="507" cm="1">
        <f t="array" ref="AX178">_xlfn.LET(_xlpm.DepreciationMonths,INDEX(FixedAssets[Depreciation
/ Amortization Months],_xlfn.XMATCH($E$135,FixedAssets[Asset ID])),IF(AND((_xlfn.XMATCH(AX$8,$AH$8:$CC$8))-_xlfn.XMATCH($C178,$C$35:$C$82)+1&lt;=_xlpm.DepreciationMonths,$C178&lt;=AX$8),$E178/_xlpm.DepreciationMonths,0))</f>
        <v>0</v>
      </c>
      <c r="AY178" s="507" cm="1">
        <f t="array" ref="AY178">_xlfn.LET(_xlpm.DepreciationMonths,INDEX(FixedAssets[Depreciation
/ Amortization Months],_xlfn.XMATCH($E$135,FixedAssets[Asset ID])),IF(AND((_xlfn.XMATCH(AY$8,$AH$8:$CC$8))-_xlfn.XMATCH($C178,$C$35:$C$82)+1&lt;=_xlpm.DepreciationMonths,$C178&lt;=AY$8),$E178/_xlpm.DepreciationMonths,0))</f>
        <v>0</v>
      </c>
      <c r="AZ178" s="507" cm="1">
        <f t="array" ref="AZ178">_xlfn.LET(_xlpm.DepreciationMonths,INDEX(FixedAssets[Depreciation
/ Amortization Months],_xlfn.XMATCH($E$135,FixedAssets[Asset ID])),IF(AND((_xlfn.XMATCH(AZ$8,$AH$8:$CC$8))-_xlfn.XMATCH($C178,$C$35:$C$82)+1&lt;=_xlpm.DepreciationMonths,$C178&lt;=AZ$8),$E178/_xlpm.DepreciationMonths,0))</f>
        <v>0</v>
      </c>
      <c r="BA178" s="507" cm="1">
        <f t="array" ref="BA178">_xlfn.LET(_xlpm.DepreciationMonths,INDEX(FixedAssets[Depreciation
/ Amortization Months],_xlfn.XMATCH($E$135,FixedAssets[Asset ID])),IF(AND((_xlfn.XMATCH(BA$8,$AH$8:$CC$8))-_xlfn.XMATCH($C178,$C$35:$C$82)+1&lt;=_xlpm.DepreciationMonths,$C178&lt;=BA$8),$E178/_xlpm.DepreciationMonths,0))</f>
        <v>0</v>
      </c>
      <c r="BB178" s="507" cm="1">
        <f t="array" ref="BB178">_xlfn.LET(_xlpm.DepreciationMonths,INDEX(FixedAssets[Depreciation
/ Amortization Months],_xlfn.XMATCH($E$135,FixedAssets[Asset ID])),IF(AND((_xlfn.XMATCH(BB$8,$AH$8:$CC$8))-_xlfn.XMATCH($C178,$C$35:$C$82)+1&lt;=_xlpm.DepreciationMonths,$C178&lt;=BB$8),$E178/_xlpm.DepreciationMonths,0))</f>
        <v>0</v>
      </c>
      <c r="BC178" s="507" cm="1">
        <f t="array" ref="BC178">_xlfn.LET(_xlpm.DepreciationMonths,INDEX(FixedAssets[Depreciation
/ Amortization Months],_xlfn.XMATCH($E$135,FixedAssets[Asset ID])),IF(AND((_xlfn.XMATCH(BC$8,$AH$8:$CC$8))-_xlfn.XMATCH($C178,$C$35:$C$82)+1&lt;=_xlpm.DepreciationMonths,$C178&lt;=BC$8),$E178/_xlpm.DepreciationMonths,0))</f>
        <v>0</v>
      </c>
      <c r="BD178" s="507" cm="1">
        <f t="array" ref="BD178">_xlfn.LET(_xlpm.DepreciationMonths,INDEX(FixedAssets[Depreciation
/ Amortization Months],_xlfn.XMATCH($E$135,FixedAssets[Asset ID])),IF(AND((_xlfn.XMATCH(BD$8,$AH$8:$CC$8))-_xlfn.XMATCH($C178,$C$35:$C$82)+1&lt;=_xlpm.DepreciationMonths,$C178&lt;=BD$8),$E178/_xlpm.DepreciationMonths,0))</f>
        <v>0</v>
      </c>
      <c r="BE178" s="507" cm="1">
        <f t="array" ref="BE178">_xlfn.LET(_xlpm.DepreciationMonths,INDEX(FixedAssets[Depreciation
/ Amortization Months],_xlfn.XMATCH($E$135,FixedAssets[Asset ID])),IF(AND((_xlfn.XMATCH(BE$8,$AH$8:$CC$8))-_xlfn.XMATCH($C178,$C$35:$C$82)+1&lt;=_xlpm.DepreciationMonths,$C178&lt;=BE$8),$E178/_xlpm.DepreciationMonths,0))</f>
        <v>0</v>
      </c>
      <c r="BF178" s="507" cm="1">
        <f t="array" ref="BF178">_xlfn.LET(_xlpm.DepreciationMonths,INDEX(FixedAssets[Depreciation
/ Amortization Months],_xlfn.XMATCH($E$135,FixedAssets[Asset ID])),IF(AND((_xlfn.XMATCH(BF$8,$AH$8:$CC$8))-_xlfn.XMATCH($C178,$C$35:$C$82)+1&lt;=_xlpm.DepreciationMonths,$C178&lt;=BF$8),$E178/_xlpm.DepreciationMonths,0))</f>
        <v>0</v>
      </c>
      <c r="BG178" s="507" cm="1">
        <f t="array" ref="BG178">_xlfn.LET(_xlpm.DepreciationMonths,INDEX(FixedAssets[Depreciation
/ Amortization Months],_xlfn.XMATCH($E$135,FixedAssets[Asset ID])),IF(AND((_xlfn.XMATCH(BG$8,$AH$8:$CC$8))-_xlfn.XMATCH($C178,$C$35:$C$82)+1&lt;=_xlpm.DepreciationMonths,$C178&lt;=BG$8),$E178/_xlpm.DepreciationMonths,0))</f>
        <v>0</v>
      </c>
      <c r="BH178" s="507" cm="1">
        <f t="array" ref="BH178">_xlfn.LET(_xlpm.DepreciationMonths,INDEX(FixedAssets[Depreciation
/ Amortization Months],_xlfn.XMATCH($E$135,FixedAssets[Asset ID])),IF(AND((_xlfn.XMATCH(BH$8,$AH$8:$CC$8))-_xlfn.XMATCH($C178,$C$35:$C$82)+1&lt;=_xlpm.DepreciationMonths,$C178&lt;=BH$8),$E178/_xlpm.DepreciationMonths,0))</f>
        <v>0</v>
      </c>
      <c r="BI178" s="507" cm="1">
        <f t="array" ref="BI178">_xlfn.LET(_xlpm.DepreciationMonths,INDEX(FixedAssets[Depreciation
/ Amortization Months],_xlfn.XMATCH($E$135,FixedAssets[Asset ID])),IF(AND((_xlfn.XMATCH(BI$8,$AH$8:$CC$8))-_xlfn.XMATCH($C178,$C$35:$C$82)+1&lt;=_xlpm.DepreciationMonths,$C178&lt;=BI$8),$E178/_xlpm.DepreciationMonths,0))</f>
        <v>0</v>
      </c>
      <c r="BJ178" s="507" cm="1">
        <f t="array" ref="BJ178">_xlfn.LET(_xlpm.DepreciationMonths,INDEX(FixedAssets[Depreciation
/ Amortization Months],_xlfn.XMATCH($E$135,FixedAssets[Asset ID])),IF(AND((_xlfn.XMATCH(BJ$8,$AH$8:$CC$8))-_xlfn.XMATCH($C178,$C$35:$C$82)+1&lt;=_xlpm.DepreciationMonths,$C178&lt;=BJ$8),$E178/_xlpm.DepreciationMonths,0))</f>
        <v>0</v>
      </c>
      <c r="BK178" s="507" cm="1">
        <f t="array" ref="BK178">_xlfn.LET(_xlpm.DepreciationMonths,INDEX(FixedAssets[Depreciation
/ Amortization Months],_xlfn.XMATCH($E$135,FixedAssets[Asset ID])),IF(AND((_xlfn.XMATCH(BK$8,$AH$8:$CC$8))-_xlfn.XMATCH($C178,$C$35:$C$82)+1&lt;=_xlpm.DepreciationMonths,$C178&lt;=BK$8),$E178/_xlpm.DepreciationMonths,0))</f>
        <v>0</v>
      </c>
      <c r="BL178" s="507" cm="1">
        <f t="array" ref="BL178">_xlfn.LET(_xlpm.DepreciationMonths,INDEX(FixedAssets[Depreciation
/ Amortization Months],_xlfn.XMATCH($E$135,FixedAssets[Asset ID])),IF(AND((_xlfn.XMATCH(BL$8,$AH$8:$CC$8))-_xlfn.XMATCH($C178,$C$35:$C$82)+1&lt;=_xlpm.DepreciationMonths,$C178&lt;=BL$8),$E178/_xlpm.DepreciationMonths,0))</f>
        <v>0</v>
      </c>
      <c r="BM178" s="507" cm="1">
        <f t="array" ref="BM178">_xlfn.LET(_xlpm.DepreciationMonths,INDEX(FixedAssets[Depreciation
/ Amortization Months],_xlfn.XMATCH($E$135,FixedAssets[Asset ID])),IF(AND((_xlfn.XMATCH(BM$8,$AH$8:$CC$8))-_xlfn.XMATCH($C178,$C$35:$C$82)+1&lt;=_xlpm.DepreciationMonths,$C178&lt;=BM$8),$E178/_xlpm.DepreciationMonths,0))</f>
        <v>0</v>
      </c>
      <c r="BN178" s="507" cm="1">
        <f t="array" ref="BN178">_xlfn.LET(_xlpm.DepreciationMonths,INDEX(FixedAssets[Depreciation
/ Amortization Months],_xlfn.XMATCH($E$135,FixedAssets[Asset ID])),IF(AND((_xlfn.XMATCH(BN$8,$AH$8:$CC$8))-_xlfn.XMATCH($C178,$C$35:$C$82)+1&lt;=_xlpm.DepreciationMonths,$C178&lt;=BN$8),$E178/_xlpm.DepreciationMonths,0))</f>
        <v>0</v>
      </c>
      <c r="BO178" s="507" cm="1">
        <f t="array" ref="BO178">_xlfn.LET(_xlpm.DepreciationMonths,INDEX(FixedAssets[Depreciation
/ Amortization Months],_xlfn.XMATCH($E$135,FixedAssets[Asset ID])),IF(AND((_xlfn.XMATCH(BO$8,$AH$8:$CC$8))-_xlfn.XMATCH($C178,$C$35:$C$82)+1&lt;=_xlpm.DepreciationMonths,$C178&lt;=BO$8),$E178/_xlpm.DepreciationMonths,0))</f>
        <v>0</v>
      </c>
      <c r="BP178" s="507" cm="1">
        <f t="array" ref="BP178">_xlfn.LET(_xlpm.DepreciationMonths,INDEX(FixedAssets[Depreciation
/ Amortization Months],_xlfn.XMATCH($E$135,FixedAssets[Asset ID])),IF(AND((_xlfn.XMATCH(BP$8,$AH$8:$CC$8))-_xlfn.XMATCH($C178,$C$35:$C$82)+1&lt;=_xlpm.DepreciationMonths,$C178&lt;=BP$8),$E178/_xlpm.DepreciationMonths,0))</f>
        <v>0</v>
      </c>
      <c r="BQ178" s="507" cm="1">
        <f t="array" ref="BQ178">_xlfn.LET(_xlpm.DepreciationMonths,INDEX(FixedAssets[Depreciation
/ Amortization Months],_xlfn.XMATCH($E$135,FixedAssets[Asset ID])),IF(AND((_xlfn.XMATCH(BQ$8,$AH$8:$CC$8))-_xlfn.XMATCH($C178,$C$35:$C$82)+1&lt;=_xlpm.DepreciationMonths,$C178&lt;=BQ$8),$E178/_xlpm.DepreciationMonths,0))</f>
        <v>0</v>
      </c>
      <c r="BR178" s="507" cm="1">
        <f t="array" ref="BR178">_xlfn.LET(_xlpm.DepreciationMonths,INDEX(FixedAssets[Depreciation
/ Amortization Months],_xlfn.XMATCH($E$135,FixedAssets[Asset ID])),IF(AND((_xlfn.XMATCH(BR$8,$AH$8:$CC$8))-_xlfn.XMATCH($C178,$C$35:$C$82)+1&lt;=_xlpm.DepreciationMonths,$C178&lt;=BR$8),$E178/_xlpm.DepreciationMonths,0))</f>
        <v>0</v>
      </c>
      <c r="BS178" s="507" cm="1">
        <f t="array" ref="BS178">_xlfn.LET(_xlpm.DepreciationMonths,INDEX(FixedAssets[Depreciation
/ Amortization Months],_xlfn.XMATCH($E$135,FixedAssets[Asset ID])),IF(AND((_xlfn.XMATCH(BS$8,$AH$8:$CC$8))-_xlfn.XMATCH($C178,$C$35:$C$82)+1&lt;=_xlpm.DepreciationMonths,$C178&lt;=BS$8),$E178/_xlpm.DepreciationMonths,0))</f>
        <v>0</v>
      </c>
      <c r="BT178" s="507" cm="1">
        <f t="array" ref="BT178">_xlfn.LET(_xlpm.DepreciationMonths,INDEX(FixedAssets[Depreciation
/ Amortization Months],_xlfn.XMATCH($E$135,FixedAssets[Asset ID])),IF(AND((_xlfn.XMATCH(BT$8,$AH$8:$CC$8))-_xlfn.XMATCH($C178,$C$35:$C$82)+1&lt;=_xlpm.DepreciationMonths,$C178&lt;=BT$8),$E178/_xlpm.DepreciationMonths,0))</f>
        <v>0</v>
      </c>
      <c r="BU178" s="507" cm="1">
        <f t="array" ref="BU178">_xlfn.LET(_xlpm.DepreciationMonths,INDEX(FixedAssets[Depreciation
/ Amortization Months],_xlfn.XMATCH($E$135,FixedAssets[Asset ID])),IF(AND((_xlfn.XMATCH(BU$8,$AH$8:$CC$8))-_xlfn.XMATCH($C178,$C$35:$C$82)+1&lt;=_xlpm.DepreciationMonths,$C178&lt;=BU$8),$E178/_xlpm.DepreciationMonths,0))</f>
        <v>0</v>
      </c>
      <c r="BV178" s="507" cm="1">
        <f t="array" ref="BV178">_xlfn.LET(_xlpm.DepreciationMonths,INDEX(FixedAssets[Depreciation
/ Amortization Months],_xlfn.XMATCH($E$135,FixedAssets[Asset ID])),IF(AND((_xlfn.XMATCH(BV$8,$AH$8:$CC$8))-_xlfn.XMATCH($C178,$C$35:$C$82)+1&lt;=_xlpm.DepreciationMonths,$C178&lt;=BV$8),$E178/_xlpm.DepreciationMonths,0))</f>
        <v>0</v>
      </c>
      <c r="BW178" s="507" cm="1">
        <f t="array" ref="BW178">_xlfn.LET(_xlpm.DepreciationMonths,INDEX(FixedAssets[Depreciation
/ Amortization Months],_xlfn.XMATCH($E$135,FixedAssets[Asset ID])),IF(AND((_xlfn.XMATCH(BW$8,$AH$8:$CC$8))-_xlfn.XMATCH($C178,$C$35:$C$82)+1&lt;=_xlpm.DepreciationMonths,$C178&lt;=BW$8),$E178/_xlpm.DepreciationMonths,0))</f>
        <v>0</v>
      </c>
      <c r="BX178" s="507" cm="1">
        <f t="array" ref="BX178">_xlfn.LET(_xlpm.DepreciationMonths,INDEX(FixedAssets[Depreciation
/ Amortization Months],_xlfn.XMATCH($E$135,FixedAssets[Asset ID])),IF(AND((_xlfn.XMATCH(BX$8,$AH$8:$CC$8))-_xlfn.XMATCH($C178,$C$35:$C$82)+1&lt;=_xlpm.DepreciationMonths,$C178&lt;=BX$8),$E178/_xlpm.DepreciationMonths,0))</f>
        <v>0</v>
      </c>
      <c r="BY178" s="507" cm="1">
        <f t="array" ref="BY178">_xlfn.LET(_xlpm.DepreciationMonths,INDEX(FixedAssets[Depreciation
/ Amortization Months],_xlfn.XMATCH($E$135,FixedAssets[Asset ID])),IF(AND((_xlfn.XMATCH(BY$8,$AH$8:$CC$8))-_xlfn.XMATCH($C178,$C$35:$C$82)+1&lt;=_xlpm.DepreciationMonths,$C178&lt;=BY$8),$E178/_xlpm.DepreciationMonths,0))</f>
        <v>0</v>
      </c>
      <c r="BZ178" s="507" cm="1">
        <f t="array" ref="BZ178">_xlfn.LET(_xlpm.DepreciationMonths,INDEX(FixedAssets[Depreciation
/ Amortization Months],_xlfn.XMATCH($E$135,FixedAssets[Asset ID])),IF(AND((_xlfn.XMATCH(BZ$8,$AH$8:$CC$8))-_xlfn.XMATCH($C178,$C$35:$C$82)+1&lt;=_xlpm.DepreciationMonths,$C178&lt;=BZ$8),$E178/_xlpm.DepreciationMonths,0))</f>
        <v>0</v>
      </c>
      <c r="CA178" s="507" cm="1">
        <f t="array" ref="CA178">_xlfn.LET(_xlpm.DepreciationMonths,INDEX(FixedAssets[Depreciation
/ Amortization Months],_xlfn.XMATCH($E$135,FixedAssets[Asset ID])),IF(AND((_xlfn.XMATCH(CA$8,$AH$8:$CC$8))-_xlfn.XMATCH($C178,$C$35:$C$82)+1&lt;=_xlpm.DepreciationMonths,$C178&lt;=CA$8),$E178/_xlpm.DepreciationMonths,0))</f>
        <v>0</v>
      </c>
      <c r="CB178" s="507" cm="1">
        <f t="array" ref="CB178">_xlfn.LET(_xlpm.DepreciationMonths,INDEX(FixedAssets[Depreciation
/ Amortization Months],_xlfn.XMATCH($E$135,FixedAssets[Asset ID])),IF(AND((_xlfn.XMATCH(CB$8,$AH$8:$CC$8))-_xlfn.XMATCH($C178,$C$35:$C$82)+1&lt;=_xlpm.DepreciationMonths,$C178&lt;=CB$8),$E178/_xlpm.DepreciationMonths,0))</f>
        <v>0</v>
      </c>
      <c r="CC178" s="507" cm="1">
        <f t="array" ref="CC178">_xlfn.LET(_xlpm.DepreciationMonths,INDEX(FixedAssets[Depreciation
/ Amortization Months],_xlfn.XMATCH($E$135,FixedAssets[Asset ID])),IF(AND((_xlfn.XMATCH(CC$8,$AH$8:$CC$8))-_xlfn.XMATCH($C178,$C$35:$C$82)+1&lt;=_xlpm.DepreciationMonths,$C178&lt;=CC$8),$E178/_xlpm.DepreciationMonths,0))</f>
        <v>0</v>
      </c>
    </row>
    <row r="179" spans="3:81" hidden="1" outlineLevel="2">
      <c r="C179" s="664">
        <f t="shared" si="243"/>
        <v>46234</v>
      </c>
      <c r="D179" s="508"/>
      <c r="E179" s="508" cm="1">
        <f t="array" ref="E179">SUMPRODUCT(($AH$26:$CC$31)*($AH$5:$CC$5=$C179)*($E$26:$E$31=E$135))-SUMPRODUCT(($AH$26:$CC$31)*($AH$5:$CC$5=EOMONTH($C179,-1))*($E$26:$E$31=E$135))</f>
        <v>0</v>
      </c>
      <c r="F179" s="508"/>
      <c r="G179" s="508"/>
      <c r="H179" s="508"/>
      <c r="I179" s="508"/>
      <c r="J179" s="504">
        <f t="shared" si="240"/>
        <v>0</v>
      </c>
      <c r="K179" s="504">
        <f t="shared" si="248"/>
        <v>0</v>
      </c>
      <c r="L179" s="504">
        <f t="shared" si="248"/>
        <v>0</v>
      </c>
      <c r="M179" s="504">
        <f t="shared" si="248"/>
        <v>0</v>
      </c>
      <c r="N179" s="504"/>
      <c r="O179" s="504"/>
      <c r="P179" s="504">
        <f t="shared" si="249"/>
        <v>0</v>
      </c>
      <c r="Q179" s="504">
        <f t="shared" si="249"/>
        <v>0</v>
      </c>
      <c r="R179" s="504">
        <f t="shared" si="249"/>
        <v>0</v>
      </c>
      <c r="S179" s="504">
        <f t="shared" si="249"/>
        <v>0</v>
      </c>
      <c r="T179" s="504">
        <f t="shared" si="249"/>
        <v>0</v>
      </c>
      <c r="U179" s="504">
        <f t="shared" si="249"/>
        <v>0</v>
      </c>
      <c r="V179" s="504">
        <f t="shared" si="249"/>
        <v>0</v>
      </c>
      <c r="W179" s="504">
        <f t="shared" si="249"/>
        <v>0</v>
      </c>
      <c r="X179" s="504">
        <f t="shared" si="249"/>
        <v>0</v>
      </c>
      <c r="Y179" s="504">
        <f t="shared" si="249"/>
        <v>0</v>
      </c>
      <c r="Z179" s="504">
        <f t="shared" si="249"/>
        <v>0</v>
      </c>
      <c r="AA179" s="504">
        <f t="shared" si="249"/>
        <v>0</v>
      </c>
      <c r="AB179" s="504">
        <f t="shared" si="249"/>
        <v>0</v>
      </c>
      <c r="AC179" s="504">
        <f t="shared" si="249"/>
        <v>0</v>
      </c>
      <c r="AD179" s="504">
        <f t="shared" si="249"/>
        <v>0</v>
      </c>
      <c r="AE179" s="504">
        <f t="shared" si="249"/>
        <v>0</v>
      </c>
      <c r="AF179" s="508"/>
      <c r="AG179" s="508"/>
      <c r="AH179" s="507" cm="1">
        <f t="array" ref="AH179">_xlfn.LET(_xlpm.DepreciationMonths,INDEX(FixedAssets[Depreciation
/ Amortization Months],_xlfn.XMATCH($E$135,FixedAssets[Asset ID])),IF(AND((_xlfn.XMATCH(AH$8,$AH$8:$CC$8))-_xlfn.XMATCH($C179,$C$35:$C$82)+1&lt;=_xlpm.DepreciationMonths,$C179&lt;=AH$8),$E179/_xlpm.DepreciationMonths,0))</f>
        <v>0</v>
      </c>
      <c r="AI179" s="507" cm="1">
        <f t="array" ref="AI179">_xlfn.LET(_xlpm.DepreciationMonths,INDEX(FixedAssets[Depreciation
/ Amortization Months],_xlfn.XMATCH($E$135,FixedAssets[Asset ID])),IF(AND((_xlfn.XMATCH(AI$8,$AH$8:$CC$8))-_xlfn.XMATCH($C179,$C$35:$C$82)+1&lt;=_xlpm.DepreciationMonths,$C179&lt;=AI$8),$E179/_xlpm.DepreciationMonths,0))</f>
        <v>0</v>
      </c>
      <c r="AJ179" s="507" cm="1">
        <f t="array" ref="AJ179">_xlfn.LET(_xlpm.DepreciationMonths,INDEX(FixedAssets[Depreciation
/ Amortization Months],_xlfn.XMATCH($E$135,FixedAssets[Asset ID])),IF(AND((_xlfn.XMATCH(AJ$8,$AH$8:$CC$8))-_xlfn.XMATCH($C179,$C$35:$C$82)+1&lt;=_xlpm.DepreciationMonths,$C179&lt;=AJ$8),$E179/_xlpm.DepreciationMonths,0))</f>
        <v>0</v>
      </c>
      <c r="AK179" s="507" cm="1">
        <f t="array" ref="AK179">_xlfn.LET(_xlpm.DepreciationMonths,INDEX(FixedAssets[Depreciation
/ Amortization Months],_xlfn.XMATCH($E$135,FixedAssets[Asset ID])),IF(AND((_xlfn.XMATCH(AK$8,$AH$8:$CC$8))-_xlfn.XMATCH($C179,$C$35:$C$82)+1&lt;=_xlpm.DepreciationMonths,$C179&lt;=AK$8),$E179/_xlpm.DepreciationMonths,0))</f>
        <v>0</v>
      </c>
      <c r="AL179" s="507" cm="1">
        <f t="array" ref="AL179">_xlfn.LET(_xlpm.DepreciationMonths,INDEX(FixedAssets[Depreciation
/ Amortization Months],_xlfn.XMATCH($E$135,FixedAssets[Asset ID])),IF(AND((_xlfn.XMATCH(AL$8,$AH$8:$CC$8))-_xlfn.XMATCH($C179,$C$35:$C$82)+1&lt;=_xlpm.DepreciationMonths,$C179&lt;=AL$8),$E179/_xlpm.DepreciationMonths,0))</f>
        <v>0</v>
      </c>
      <c r="AM179" s="507" cm="1">
        <f t="array" ref="AM179">_xlfn.LET(_xlpm.DepreciationMonths,INDEX(FixedAssets[Depreciation
/ Amortization Months],_xlfn.XMATCH($E$135,FixedAssets[Asset ID])),IF(AND((_xlfn.XMATCH(AM$8,$AH$8:$CC$8))-_xlfn.XMATCH($C179,$C$35:$C$82)+1&lt;=_xlpm.DepreciationMonths,$C179&lt;=AM$8),$E179/_xlpm.DepreciationMonths,0))</f>
        <v>0</v>
      </c>
      <c r="AN179" s="507" cm="1">
        <f t="array" ref="AN179">_xlfn.LET(_xlpm.DepreciationMonths,INDEX(FixedAssets[Depreciation
/ Amortization Months],_xlfn.XMATCH($E$135,FixedAssets[Asset ID])),IF(AND((_xlfn.XMATCH(AN$8,$AH$8:$CC$8))-_xlfn.XMATCH($C179,$C$35:$C$82)+1&lt;=_xlpm.DepreciationMonths,$C179&lt;=AN$8),$E179/_xlpm.DepreciationMonths,0))</f>
        <v>0</v>
      </c>
      <c r="AO179" s="507" cm="1">
        <f t="array" ref="AO179">_xlfn.LET(_xlpm.DepreciationMonths,INDEX(FixedAssets[Depreciation
/ Amortization Months],_xlfn.XMATCH($E$135,FixedAssets[Asset ID])),IF(AND((_xlfn.XMATCH(AO$8,$AH$8:$CC$8))-_xlfn.XMATCH($C179,$C$35:$C$82)+1&lt;=_xlpm.DepreciationMonths,$C179&lt;=AO$8),$E179/_xlpm.DepreciationMonths,0))</f>
        <v>0</v>
      </c>
      <c r="AP179" s="507" cm="1">
        <f t="array" ref="AP179">_xlfn.LET(_xlpm.DepreciationMonths,INDEX(FixedAssets[Depreciation
/ Amortization Months],_xlfn.XMATCH($E$135,FixedAssets[Asset ID])),IF(AND((_xlfn.XMATCH(AP$8,$AH$8:$CC$8))-_xlfn.XMATCH($C179,$C$35:$C$82)+1&lt;=_xlpm.DepreciationMonths,$C179&lt;=AP$8),$E179/_xlpm.DepreciationMonths,0))</f>
        <v>0</v>
      </c>
      <c r="AQ179" s="507" cm="1">
        <f t="array" ref="AQ179">_xlfn.LET(_xlpm.DepreciationMonths,INDEX(FixedAssets[Depreciation
/ Amortization Months],_xlfn.XMATCH($E$135,FixedAssets[Asset ID])),IF(AND((_xlfn.XMATCH(AQ$8,$AH$8:$CC$8))-_xlfn.XMATCH($C179,$C$35:$C$82)+1&lt;=_xlpm.DepreciationMonths,$C179&lt;=AQ$8),$E179/_xlpm.DepreciationMonths,0))</f>
        <v>0</v>
      </c>
      <c r="AR179" s="507" cm="1">
        <f t="array" ref="AR179">_xlfn.LET(_xlpm.DepreciationMonths,INDEX(FixedAssets[Depreciation
/ Amortization Months],_xlfn.XMATCH($E$135,FixedAssets[Asset ID])),IF(AND((_xlfn.XMATCH(AR$8,$AH$8:$CC$8))-_xlfn.XMATCH($C179,$C$35:$C$82)+1&lt;=_xlpm.DepreciationMonths,$C179&lt;=AR$8),$E179/_xlpm.DepreciationMonths,0))</f>
        <v>0</v>
      </c>
      <c r="AS179" s="507" cm="1">
        <f t="array" ref="AS179">_xlfn.LET(_xlpm.DepreciationMonths,INDEX(FixedAssets[Depreciation
/ Amortization Months],_xlfn.XMATCH($E$135,FixedAssets[Asset ID])),IF(AND((_xlfn.XMATCH(AS$8,$AH$8:$CC$8))-_xlfn.XMATCH($C179,$C$35:$C$82)+1&lt;=_xlpm.DepreciationMonths,$C179&lt;=AS$8),$E179/_xlpm.DepreciationMonths,0))</f>
        <v>0</v>
      </c>
      <c r="AT179" s="507" cm="1">
        <f t="array" ref="AT179">_xlfn.LET(_xlpm.DepreciationMonths,INDEX(FixedAssets[Depreciation
/ Amortization Months],_xlfn.XMATCH($E$135,FixedAssets[Asset ID])),IF(AND((_xlfn.XMATCH(AT$8,$AH$8:$CC$8))-_xlfn.XMATCH($C179,$C$35:$C$82)+1&lt;=_xlpm.DepreciationMonths,$C179&lt;=AT$8),$E179/_xlpm.DepreciationMonths,0))</f>
        <v>0</v>
      </c>
      <c r="AU179" s="507" cm="1">
        <f t="array" ref="AU179">_xlfn.LET(_xlpm.DepreciationMonths,INDEX(FixedAssets[Depreciation
/ Amortization Months],_xlfn.XMATCH($E$135,FixedAssets[Asset ID])),IF(AND((_xlfn.XMATCH(AU$8,$AH$8:$CC$8))-_xlfn.XMATCH($C179,$C$35:$C$82)+1&lt;=_xlpm.DepreciationMonths,$C179&lt;=AU$8),$E179/_xlpm.DepreciationMonths,0))</f>
        <v>0</v>
      </c>
      <c r="AV179" s="507" cm="1">
        <f t="array" ref="AV179">_xlfn.LET(_xlpm.DepreciationMonths,INDEX(FixedAssets[Depreciation
/ Amortization Months],_xlfn.XMATCH($E$135,FixedAssets[Asset ID])),IF(AND((_xlfn.XMATCH(AV$8,$AH$8:$CC$8))-_xlfn.XMATCH($C179,$C$35:$C$82)+1&lt;=_xlpm.DepreciationMonths,$C179&lt;=AV$8),$E179/_xlpm.DepreciationMonths,0))</f>
        <v>0</v>
      </c>
      <c r="AW179" s="507" cm="1">
        <f t="array" ref="AW179">_xlfn.LET(_xlpm.DepreciationMonths,INDEX(FixedAssets[Depreciation
/ Amortization Months],_xlfn.XMATCH($E$135,FixedAssets[Asset ID])),IF(AND((_xlfn.XMATCH(AW$8,$AH$8:$CC$8))-_xlfn.XMATCH($C179,$C$35:$C$82)+1&lt;=_xlpm.DepreciationMonths,$C179&lt;=AW$8),$E179/_xlpm.DepreciationMonths,0))</f>
        <v>0</v>
      </c>
      <c r="AX179" s="507" cm="1">
        <f t="array" ref="AX179">_xlfn.LET(_xlpm.DepreciationMonths,INDEX(FixedAssets[Depreciation
/ Amortization Months],_xlfn.XMATCH($E$135,FixedAssets[Asset ID])),IF(AND((_xlfn.XMATCH(AX$8,$AH$8:$CC$8))-_xlfn.XMATCH($C179,$C$35:$C$82)+1&lt;=_xlpm.DepreciationMonths,$C179&lt;=AX$8),$E179/_xlpm.DepreciationMonths,0))</f>
        <v>0</v>
      </c>
      <c r="AY179" s="507" cm="1">
        <f t="array" ref="AY179">_xlfn.LET(_xlpm.DepreciationMonths,INDEX(FixedAssets[Depreciation
/ Amortization Months],_xlfn.XMATCH($E$135,FixedAssets[Asset ID])),IF(AND((_xlfn.XMATCH(AY$8,$AH$8:$CC$8))-_xlfn.XMATCH($C179,$C$35:$C$82)+1&lt;=_xlpm.DepreciationMonths,$C179&lt;=AY$8),$E179/_xlpm.DepreciationMonths,0))</f>
        <v>0</v>
      </c>
      <c r="AZ179" s="507" cm="1">
        <f t="array" ref="AZ179">_xlfn.LET(_xlpm.DepreciationMonths,INDEX(FixedAssets[Depreciation
/ Amortization Months],_xlfn.XMATCH($E$135,FixedAssets[Asset ID])),IF(AND((_xlfn.XMATCH(AZ$8,$AH$8:$CC$8))-_xlfn.XMATCH($C179,$C$35:$C$82)+1&lt;=_xlpm.DepreciationMonths,$C179&lt;=AZ$8),$E179/_xlpm.DepreciationMonths,0))</f>
        <v>0</v>
      </c>
      <c r="BA179" s="507" cm="1">
        <f t="array" ref="BA179">_xlfn.LET(_xlpm.DepreciationMonths,INDEX(FixedAssets[Depreciation
/ Amortization Months],_xlfn.XMATCH($E$135,FixedAssets[Asset ID])),IF(AND((_xlfn.XMATCH(BA$8,$AH$8:$CC$8))-_xlfn.XMATCH($C179,$C$35:$C$82)+1&lt;=_xlpm.DepreciationMonths,$C179&lt;=BA$8),$E179/_xlpm.DepreciationMonths,0))</f>
        <v>0</v>
      </c>
      <c r="BB179" s="507" cm="1">
        <f t="array" ref="BB179">_xlfn.LET(_xlpm.DepreciationMonths,INDEX(FixedAssets[Depreciation
/ Amortization Months],_xlfn.XMATCH($E$135,FixedAssets[Asset ID])),IF(AND((_xlfn.XMATCH(BB$8,$AH$8:$CC$8))-_xlfn.XMATCH($C179,$C$35:$C$82)+1&lt;=_xlpm.DepreciationMonths,$C179&lt;=BB$8),$E179/_xlpm.DepreciationMonths,0))</f>
        <v>0</v>
      </c>
      <c r="BC179" s="507" cm="1">
        <f t="array" ref="BC179">_xlfn.LET(_xlpm.DepreciationMonths,INDEX(FixedAssets[Depreciation
/ Amortization Months],_xlfn.XMATCH($E$135,FixedAssets[Asset ID])),IF(AND((_xlfn.XMATCH(BC$8,$AH$8:$CC$8))-_xlfn.XMATCH($C179,$C$35:$C$82)+1&lt;=_xlpm.DepreciationMonths,$C179&lt;=BC$8),$E179/_xlpm.DepreciationMonths,0))</f>
        <v>0</v>
      </c>
      <c r="BD179" s="507" cm="1">
        <f t="array" ref="BD179">_xlfn.LET(_xlpm.DepreciationMonths,INDEX(FixedAssets[Depreciation
/ Amortization Months],_xlfn.XMATCH($E$135,FixedAssets[Asset ID])),IF(AND((_xlfn.XMATCH(BD$8,$AH$8:$CC$8))-_xlfn.XMATCH($C179,$C$35:$C$82)+1&lt;=_xlpm.DepreciationMonths,$C179&lt;=BD$8),$E179/_xlpm.DepreciationMonths,0))</f>
        <v>0</v>
      </c>
      <c r="BE179" s="507" cm="1">
        <f t="array" ref="BE179">_xlfn.LET(_xlpm.DepreciationMonths,INDEX(FixedAssets[Depreciation
/ Amortization Months],_xlfn.XMATCH($E$135,FixedAssets[Asset ID])),IF(AND((_xlfn.XMATCH(BE$8,$AH$8:$CC$8))-_xlfn.XMATCH($C179,$C$35:$C$82)+1&lt;=_xlpm.DepreciationMonths,$C179&lt;=BE$8),$E179/_xlpm.DepreciationMonths,0))</f>
        <v>0</v>
      </c>
      <c r="BF179" s="507" cm="1">
        <f t="array" ref="BF179">_xlfn.LET(_xlpm.DepreciationMonths,INDEX(FixedAssets[Depreciation
/ Amortization Months],_xlfn.XMATCH($E$135,FixedAssets[Asset ID])),IF(AND((_xlfn.XMATCH(BF$8,$AH$8:$CC$8))-_xlfn.XMATCH($C179,$C$35:$C$82)+1&lt;=_xlpm.DepreciationMonths,$C179&lt;=BF$8),$E179/_xlpm.DepreciationMonths,0))</f>
        <v>0</v>
      </c>
      <c r="BG179" s="507" cm="1">
        <f t="array" ref="BG179">_xlfn.LET(_xlpm.DepreciationMonths,INDEX(FixedAssets[Depreciation
/ Amortization Months],_xlfn.XMATCH($E$135,FixedAssets[Asset ID])),IF(AND((_xlfn.XMATCH(BG$8,$AH$8:$CC$8))-_xlfn.XMATCH($C179,$C$35:$C$82)+1&lt;=_xlpm.DepreciationMonths,$C179&lt;=BG$8),$E179/_xlpm.DepreciationMonths,0))</f>
        <v>0</v>
      </c>
      <c r="BH179" s="507" cm="1">
        <f t="array" ref="BH179">_xlfn.LET(_xlpm.DepreciationMonths,INDEX(FixedAssets[Depreciation
/ Amortization Months],_xlfn.XMATCH($E$135,FixedAssets[Asset ID])),IF(AND((_xlfn.XMATCH(BH$8,$AH$8:$CC$8))-_xlfn.XMATCH($C179,$C$35:$C$82)+1&lt;=_xlpm.DepreciationMonths,$C179&lt;=BH$8),$E179/_xlpm.DepreciationMonths,0))</f>
        <v>0</v>
      </c>
      <c r="BI179" s="507" cm="1">
        <f t="array" ref="BI179">_xlfn.LET(_xlpm.DepreciationMonths,INDEX(FixedAssets[Depreciation
/ Amortization Months],_xlfn.XMATCH($E$135,FixedAssets[Asset ID])),IF(AND((_xlfn.XMATCH(BI$8,$AH$8:$CC$8))-_xlfn.XMATCH($C179,$C$35:$C$82)+1&lt;=_xlpm.DepreciationMonths,$C179&lt;=BI$8),$E179/_xlpm.DepreciationMonths,0))</f>
        <v>0</v>
      </c>
      <c r="BJ179" s="507" cm="1">
        <f t="array" ref="BJ179">_xlfn.LET(_xlpm.DepreciationMonths,INDEX(FixedAssets[Depreciation
/ Amortization Months],_xlfn.XMATCH($E$135,FixedAssets[Asset ID])),IF(AND((_xlfn.XMATCH(BJ$8,$AH$8:$CC$8))-_xlfn.XMATCH($C179,$C$35:$C$82)+1&lt;=_xlpm.DepreciationMonths,$C179&lt;=BJ$8),$E179/_xlpm.DepreciationMonths,0))</f>
        <v>0</v>
      </c>
      <c r="BK179" s="507" cm="1">
        <f t="array" ref="BK179">_xlfn.LET(_xlpm.DepreciationMonths,INDEX(FixedAssets[Depreciation
/ Amortization Months],_xlfn.XMATCH($E$135,FixedAssets[Asset ID])),IF(AND((_xlfn.XMATCH(BK$8,$AH$8:$CC$8))-_xlfn.XMATCH($C179,$C$35:$C$82)+1&lt;=_xlpm.DepreciationMonths,$C179&lt;=BK$8),$E179/_xlpm.DepreciationMonths,0))</f>
        <v>0</v>
      </c>
      <c r="BL179" s="507" cm="1">
        <f t="array" ref="BL179">_xlfn.LET(_xlpm.DepreciationMonths,INDEX(FixedAssets[Depreciation
/ Amortization Months],_xlfn.XMATCH($E$135,FixedAssets[Asset ID])),IF(AND((_xlfn.XMATCH(BL$8,$AH$8:$CC$8))-_xlfn.XMATCH($C179,$C$35:$C$82)+1&lt;=_xlpm.DepreciationMonths,$C179&lt;=BL$8),$E179/_xlpm.DepreciationMonths,0))</f>
        <v>0</v>
      </c>
      <c r="BM179" s="507" cm="1">
        <f t="array" ref="BM179">_xlfn.LET(_xlpm.DepreciationMonths,INDEX(FixedAssets[Depreciation
/ Amortization Months],_xlfn.XMATCH($E$135,FixedAssets[Asset ID])),IF(AND((_xlfn.XMATCH(BM$8,$AH$8:$CC$8))-_xlfn.XMATCH($C179,$C$35:$C$82)+1&lt;=_xlpm.DepreciationMonths,$C179&lt;=BM$8),$E179/_xlpm.DepreciationMonths,0))</f>
        <v>0</v>
      </c>
      <c r="BN179" s="507" cm="1">
        <f t="array" ref="BN179">_xlfn.LET(_xlpm.DepreciationMonths,INDEX(FixedAssets[Depreciation
/ Amortization Months],_xlfn.XMATCH($E$135,FixedAssets[Asset ID])),IF(AND((_xlfn.XMATCH(BN$8,$AH$8:$CC$8))-_xlfn.XMATCH($C179,$C$35:$C$82)+1&lt;=_xlpm.DepreciationMonths,$C179&lt;=BN$8),$E179/_xlpm.DepreciationMonths,0))</f>
        <v>0</v>
      </c>
      <c r="BO179" s="507" cm="1">
        <f t="array" ref="BO179">_xlfn.LET(_xlpm.DepreciationMonths,INDEX(FixedAssets[Depreciation
/ Amortization Months],_xlfn.XMATCH($E$135,FixedAssets[Asset ID])),IF(AND((_xlfn.XMATCH(BO$8,$AH$8:$CC$8))-_xlfn.XMATCH($C179,$C$35:$C$82)+1&lt;=_xlpm.DepreciationMonths,$C179&lt;=BO$8),$E179/_xlpm.DepreciationMonths,0))</f>
        <v>0</v>
      </c>
      <c r="BP179" s="507" cm="1">
        <f t="array" ref="BP179">_xlfn.LET(_xlpm.DepreciationMonths,INDEX(FixedAssets[Depreciation
/ Amortization Months],_xlfn.XMATCH($E$135,FixedAssets[Asset ID])),IF(AND((_xlfn.XMATCH(BP$8,$AH$8:$CC$8))-_xlfn.XMATCH($C179,$C$35:$C$82)+1&lt;=_xlpm.DepreciationMonths,$C179&lt;=BP$8),$E179/_xlpm.DepreciationMonths,0))</f>
        <v>0</v>
      </c>
      <c r="BQ179" s="507" cm="1">
        <f t="array" ref="BQ179">_xlfn.LET(_xlpm.DepreciationMonths,INDEX(FixedAssets[Depreciation
/ Amortization Months],_xlfn.XMATCH($E$135,FixedAssets[Asset ID])),IF(AND((_xlfn.XMATCH(BQ$8,$AH$8:$CC$8))-_xlfn.XMATCH($C179,$C$35:$C$82)+1&lt;=_xlpm.DepreciationMonths,$C179&lt;=BQ$8),$E179/_xlpm.DepreciationMonths,0))</f>
        <v>0</v>
      </c>
      <c r="BR179" s="507" cm="1">
        <f t="array" ref="BR179">_xlfn.LET(_xlpm.DepreciationMonths,INDEX(FixedAssets[Depreciation
/ Amortization Months],_xlfn.XMATCH($E$135,FixedAssets[Asset ID])),IF(AND((_xlfn.XMATCH(BR$8,$AH$8:$CC$8))-_xlfn.XMATCH($C179,$C$35:$C$82)+1&lt;=_xlpm.DepreciationMonths,$C179&lt;=BR$8),$E179/_xlpm.DepreciationMonths,0))</f>
        <v>0</v>
      </c>
      <c r="BS179" s="507" cm="1">
        <f t="array" ref="BS179">_xlfn.LET(_xlpm.DepreciationMonths,INDEX(FixedAssets[Depreciation
/ Amortization Months],_xlfn.XMATCH($E$135,FixedAssets[Asset ID])),IF(AND((_xlfn.XMATCH(BS$8,$AH$8:$CC$8))-_xlfn.XMATCH($C179,$C$35:$C$82)+1&lt;=_xlpm.DepreciationMonths,$C179&lt;=BS$8),$E179/_xlpm.DepreciationMonths,0))</f>
        <v>0</v>
      </c>
      <c r="BT179" s="507" cm="1">
        <f t="array" ref="BT179">_xlfn.LET(_xlpm.DepreciationMonths,INDEX(FixedAssets[Depreciation
/ Amortization Months],_xlfn.XMATCH($E$135,FixedAssets[Asset ID])),IF(AND((_xlfn.XMATCH(BT$8,$AH$8:$CC$8))-_xlfn.XMATCH($C179,$C$35:$C$82)+1&lt;=_xlpm.DepreciationMonths,$C179&lt;=BT$8),$E179/_xlpm.DepreciationMonths,0))</f>
        <v>0</v>
      </c>
      <c r="BU179" s="507" cm="1">
        <f t="array" ref="BU179">_xlfn.LET(_xlpm.DepreciationMonths,INDEX(FixedAssets[Depreciation
/ Amortization Months],_xlfn.XMATCH($E$135,FixedAssets[Asset ID])),IF(AND((_xlfn.XMATCH(BU$8,$AH$8:$CC$8))-_xlfn.XMATCH($C179,$C$35:$C$82)+1&lt;=_xlpm.DepreciationMonths,$C179&lt;=BU$8),$E179/_xlpm.DepreciationMonths,0))</f>
        <v>0</v>
      </c>
      <c r="BV179" s="507" cm="1">
        <f t="array" ref="BV179">_xlfn.LET(_xlpm.DepreciationMonths,INDEX(FixedAssets[Depreciation
/ Amortization Months],_xlfn.XMATCH($E$135,FixedAssets[Asset ID])),IF(AND((_xlfn.XMATCH(BV$8,$AH$8:$CC$8))-_xlfn.XMATCH($C179,$C$35:$C$82)+1&lt;=_xlpm.DepreciationMonths,$C179&lt;=BV$8),$E179/_xlpm.DepreciationMonths,0))</f>
        <v>0</v>
      </c>
      <c r="BW179" s="507" cm="1">
        <f t="array" ref="BW179">_xlfn.LET(_xlpm.DepreciationMonths,INDEX(FixedAssets[Depreciation
/ Amortization Months],_xlfn.XMATCH($E$135,FixedAssets[Asset ID])),IF(AND((_xlfn.XMATCH(BW$8,$AH$8:$CC$8))-_xlfn.XMATCH($C179,$C$35:$C$82)+1&lt;=_xlpm.DepreciationMonths,$C179&lt;=BW$8),$E179/_xlpm.DepreciationMonths,0))</f>
        <v>0</v>
      </c>
      <c r="BX179" s="507" cm="1">
        <f t="array" ref="BX179">_xlfn.LET(_xlpm.DepreciationMonths,INDEX(FixedAssets[Depreciation
/ Amortization Months],_xlfn.XMATCH($E$135,FixedAssets[Asset ID])),IF(AND((_xlfn.XMATCH(BX$8,$AH$8:$CC$8))-_xlfn.XMATCH($C179,$C$35:$C$82)+1&lt;=_xlpm.DepreciationMonths,$C179&lt;=BX$8),$E179/_xlpm.DepreciationMonths,0))</f>
        <v>0</v>
      </c>
      <c r="BY179" s="507" cm="1">
        <f t="array" ref="BY179">_xlfn.LET(_xlpm.DepreciationMonths,INDEX(FixedAssets[Depreciation
/ Amortization Months],_xlfn.XMATCH($E$135,FixedAssets[Asset ID])),IF(AND((_xlfn.XMATCH(BY$8,$AH$8:$CC$8))-_xlfn.XMATCH($C179,$C$35:$C$82)+1&lt;=_xlpm.DepreciationMonths,$C179&lt;=BY$8),$E179/_xlpm.DepreciationMonths,0))</f>
        <v>0</v>
      </c>
      <c r="BZ179" s="507" cm="1">
        <f t="array" ref="BZ179">_xlfn.LET(_xlpm.DepreciationMonths,INDEX(FixedAssets[Depreciation
/ Amortization Months],_xlfn.XMATCH($E$135,FixedAssets[Asset ID])),IF(AND((_xlfn.XMATCH(BZ$8,$AH$8:$CC$8))-_xlfn.XMATCH($C179,$C$35:$C$82)+1&lt;=_xlpm.DepreciationMonths,$C179&lt;=BZ$8),$E179/_xlpm.DepreciationMonths,0))</f>
        <v>0</v>
      </c>
      <c r="CA179" s="507" cm="1">
        <f t="array" ref="CA179">_xlfn.LET(_xlpm.DepreciationMonths,INDEX(FixedAssets[Depreciation
/ Amortization Months],_xlfn.XMATCH($E$135,FixedAssets[Asset ID])),IF(AND((_xlfn.XMATCH(CA$8,$AH$8:$CC$8))-_xlfn.XMATCH($C179,$C$35:$C$82)+1&lt;=_xlpm.DepreciationMonths,$C179&lt;=CA$8),$E179/_xlpm.DepreciationMonths,0))</f>
        <v>0</v>
      </c>
      <c r="CB179" s="507" cm="1">
        <f t="array" ref="CB179">_xlfn.LET(_xlpm.DepreciationMonths,INDEX(FixedAssets[Depreciation
/ Amortization Months],_xlfn.XMATCH($E$135,FixedAssets[Asset ID])),IF(AND((_xlfn.XMATCH(CB$8,$AH$8:$CC$8))-_xlfn.XMATCH($C179,$C$35:$C$82)+1&lt;=_xlpm.DepreciationMonths,$C179&lt;=CB$8),$E179/_xlpm.DepreciationMonths,0))</f>
        <v>0</v>
      </c>
      <c r="CC179" s="507" cm="1">
        <f t="array" ref="CC179">_xlfn.LET(_xlpm.DepreciationMonths,INDEX(FixedAssets[Depreciation
/ Amortization Months],_xlfn.XMATCH($E$135,FixedAssets[Asset ID])),IF(AND((_xlfn.XMATCH(CC$8,$AH$8:$CC$8))-_xlfn.XMATCH($C179,$C$35:$C$82)+1&lt;=_xlpm.DepreciationMonths,$C179&lt;=CC$8),$E179/_xlpm.DepreciationMonths,0))</f>
        <v>0</v>
      </c>
    </row>
    <row r="180" spans="3:81" hidden="1" outlineLevel="2">
      <c r="C180" s="664">
        <f t="shared" si="243"/>
        <v>46265</v>
      </c>
      <c r="D180" s="508"/>
      <c r="E180" s="508" cm="1">
        <f t="array" ref="E180">SUMPRODUCT(($AH$26:$CC$31)*($AH$5:$CC$5=$C180)*($E$26:$E$31=E$135))-SUMPRODUCT(($AH$26:$CC$31)*($AH$5:$CC$5=EOMONTH($C180,-1))*($E$26:$E$31=E$135))</f>
        <v>0</v>
      </c>
      <c r="F180" s="508"/>
      <c r="G180" s="508"/>
      <c r="H180" s="508"/>
      <c r="I180" s="508"/>
      <c r="J180" s="504">
        <f t="shared" si="240"/>
        <v>0</v>
      </c>
      <c r="K180" s="504">
        <f t="shared" si="248"/>
        <v>0</v>
      </c>
      <c r="L180" s="504">
        <f t="shared" si="248"/>
        <v>0</v>
      </c>
      <c r="M180" s="504">
        <f t="shared" si="248"/>
        <v>0</v>
      </c>
      <c r="N180" s="504"/>
      <c r="O180" s="504"/>
      <c r="P180" s="504">
        <f t="shared" si="249"/>
        <v>0</v>
      </c>
      <c r="Q180" s="504">
        <f t="shared" si="249"/>
        <v>0</v>
      </c>
      <c r="R180" s="504">
        <f t="shared" si="249"/>
        <v>0</v>
      </c>
      <c r="S180" s="504">
        <f t="shared" si="249"/>
        <v>0</v>
      </c>
      <c r="T180" s="504">
        <f t="shared" si="249"/>
        <v>0</v>
      </c>
      <c r="U180" s="504">
        <f t="shared" si="249"/>
        <v>0</v>
      </c>
      <c r="V180" s="504">
        <f t="shared" si="249"/>
        <v>0</v>
      </c>
      <c r="W180" s="504">
        <f t="shared" si="249"/>
        <v>0</v>
      </c>
      <c r="X180" s="504">
        <f t="shared" si="249"/>
        <v>0</v>
      </c>
      <c r="Y180" s="504">
        <f t="shared" si="249"/>
        <v>0</v>
      </c>
      <c r="Z180" s="504">
        <f t="shared" si="249"/>
        <v>0</v>
      </c>
      <c r="AA180" s="504">
        <f t="shared" si="249"/>
        <v>0</v>
      </c>
      <c r="AB180" s="504">
        <f t="shared" si="249"/>
        <v>0</v>
      </c>
      <c r="AC180" s="504">
        <f t="shared" si="249"/>
        <v>0</v>
      </c>
      <c r="AD180" s="504">
        <f t="shared" si="249"/>
        <v>0</v>
      </c>
      <c r="AE180" s="504">
        <f t="shared" si="249"/>
        <v>0</v>
      </c>
      <c r="AF180" s="508"/>
      <c r="AG180" s="508"/>
      <c r="AH180" s="507" cm="1">
        <f t="array" ref="AH180">_xlfn.LET(_xlpm.DepreciationMonths,INDEX(FixedAssets[Depreciation
/ Amortization Months],_xlfn.XMATCH($E$135,FixedAssets[Asset ID])),IF(AND((_xlfn.XMATCH(AH$8,$AH$8:$CC$8))-_xlfn.XMATCH($C180,$C$35:$C$82)+1&lt;=_xlpm.DepreciationMonths,$C180&lt;=AH$8),$E180/_xlpm.DepreciationMonths,0))</f>
        <v>0</v>
      </c>
      <c r="AI180" s="507" cm="1">
        <f t="array" ref="AI180">_xlfn.LET(_xlpm.DepreciationMonths,INDEX(FixedAssets[Depreciation
/ Amortization Months],_xlfn.XMATCH($E$135,FixedAssets[Asset ID])),IF(AND((_xlfn.XMATCH(AI$8,$AH$8:$CC$8))-_xlfn.XMATCH($C180,$C$35:$C$82)+1&lt;=_xlpm.DepreciationMonths,$C180&lt;=AI$8),$E180/_xlpm.DepreciationMonths,0))</f>
        <v>0</v>
      </c>
      <c r="AJ180" s="507" cm="1">
        <f t="array" ref="AJ180">_xlfn.LET(_xlpm.DepreciationMonths,INDEX(FixedAssets[Depreciation
/ Amortization Months],_xlfn.XMATCH($E$135,FixedAssets[Asset ID])),IF(AND((_xlfn.XMATCH(AJ$8,$AH$8:$CC$8))-_xlfn.XMATCH($C180,$C$35:$C$82)+1&lt;=_xlpm.DepreciationMonths,$C180&lt;=AJ$8),$E180/_xlpm.DepreciationMonths,0))</f>
        <v>0</v>
      </c>
      <c r="AK180" s="507" cm="1">
        <f t="array" ref="AK180">_xlfn.LET(_xlpm.DepreciationMonths,INDEX(FixedAssets[Depreciation
/ Amortization Months],_xlfn.XMATCH($E$135,FixedAssets[Asset ID])),IF(AND((_xlfn.XMATCH(AK$8,$AH$8:$CC$8))-_xlfn.XMATCH($C180,$C$35:$C$82)+1&lt;=_xlpm.DepreciationMonths,$C180&lt;=AK$8),$E180/_xlpm.DepreciationMonths,0))</f>
        <v>0</v>
      </c>
      <c r="AL180" s="507" cm="1">
        <f t="array" ref="AL180">_xlfn.LET(_xlpm.DepreciationMonths,INDEX(FixedAssets[Depreciation
/ Amortization Months],_xlfn.XMATCH($E$135,FixedAssets[Asset ID])),IF(AND((_xlfn.XMATCH(AL$8,$AH$8:$CC$8))-_xlfn.XMATCH($C180,$C$35:$C$82)+1&lt;=_xlpm.DepreciationMonths,$C180&lt;=AL$8),$E180/_xlpm.DepreciationMonths,0))</f>
        <v>0</v>
      </c>
      <c r="AM180" s="507" cm="1">
        <f t="array" ref="AM180">_xlfn.LET(_xlpm.DepreciationMonths,INDEX(FixedAssets[Depreciation
/ Amortization Months],_xlfn.XMATCH($E$135,FixedAssets[Asset ID])),IF(AND((_xlfn.XMATCH(AM$8,$AH$8:$CC$8))-_xlfn.XMATCH($C180,$C$35:$C$82)+1&lt;=_xlpm.DepreciationMonths,$C180&lt;=AM$8),$E180/_xlpm.DepreciationMonths,0))</f>
        <v>0</v>
      </c>
      <c r="AN180" s="507" cm="1">
        <f t="array" ref="AN180">_xlfn.LET(_xlpm.DepreciationMonths,INDEX(FixedAssets[Depreciation
/ Amortization Months],_xlfn.XMATCH($E$135,FixedAssets[Asset ID])),IF(AND((_xlfn.XMATCH(AN$8,$AH$8:$CC$8))-_xlfn.XMATCH($C180,$C$35:$C$82)+1&lt;=_xlpm.DepreciationMonths,$C180&lt;=AN$8),$E180/_xlpm.DepreciationMonths,0))</f>
        <v>0</v>
      </c>
      <c r="AO180" s="507" cm="1">
        <f t="array" ref="AO180">_xlfn.LET(_xlpm.DepreciationMonths,INDEX(FixedAssets[Depreciation
/ Amortization Months],_xlfn.XMATCH($E$135,FixedAssets[Asset ID])),IF(AND((_xlfn.XMATCH(AO$8,$AH$8:$CC$8))-_xlfn.XMATCH($C180,$C$35:$C$82)+1&lt;=_xlpm.DepreciationMonths,$C180&lt;=AO$8),$E180/_xlpm.DepreciationMonths,0))</f>
        <v>0</v>
      </c>
      <c r="AP180" s="507" cm="1">
        <f t="array" ref="AP180">_xlfn.LET(_xlpm.DepreciationMonths,INDEX(FixedAssets[Depreciation
/ Amortization Months],_xlfn.XMATCH($E$135,FixedAssets[Asset ID])),IF(AND((_xlfn.XMATCH(AP$8,$AH$8:$CC$8))-_xlfn.XMATCH($C180,$C$35:$C$82)+1&lt;=_xlpm.DepreciationMonths,$C180&lt;=AP$8),$E180/_xlpm.DepreciationMonths,0))</f>
        <v>0</v>
      </c>
      <c r="AQ180" s="507" cm="1">
        <f t="array" ref="AQ180">_xlfn.LET(_xlpm.DepreciationMonths,INDEX(FixedAssets[Depreciation
/ Amortization Months],_xlfn.XMATCH($E$135,FixedAssets[Asset ID])),IF(AND((_xlfn.XMATCH(AQ$8,$AH$8:$CC$8))-_xlfn.XMATCH($C180,$C$35:$C$82)+1&lt;=_xlpm.DepreciationMonths,$C180&lt;=AQ$8),$E180/_xlpm.DepreciationMonths,0))</f>
        <v>0</v>
      </c>
      <c r="AR180" s="507" cm="1">
        <f t="array" ref="AR180">_xlfn.LET(_xlpm.DepreciationMonths,INDEX(FixedAssets[Depreciation
/ Amortization Months],_xlfn.XMATCH($E$135,FixedAssets[Asset ID])),IF(AND((_xlfn.XMATCH(AR$8,$AH$8:$CC$8))-_xlfn.XMATCH($C180,$C$35:$C$82)+1&lt;=_xlpm.DepreciationMonths,$C180&lt;=AR$8),$E180/_xlpm.DepreciationMonths,0))</f>
        <v>0</v>
      </c>
      <c r="AS180" s="507" cm="1">
        <f t="array" ref="AS180">_xlfn.LET(_xlpm.DepreciationMonths,INDEX(FixedAssets[Depreciation
/ Amortization Months],_xlfn.XMATCH($E$135,FixedAssets[Asset ID])),IF(AND((_xlfn.XMATCH(AS$8,$AH$8:$CC$8))-_xlfn.XMATCH($C180,$C$35:$C$82)+1&lt;=_xlpm.DepreciationMonths,$C180&lt;=AS$8),$E180/_xlpm.DepreciationMonths,0))</f>
        <v>0</v>
      </c>
      <c r="AT180" s="507" cm="1">
        <f t="array" ref="AT180">_xlfn.LET(_xlpm.DepreciationMonths,INDEX(FixedAssets[Depreciation
/ Amortization Months],_xlfn.XMATCH($E$135,FixedAssets[Asset ID])),IF(AND((_xlfn.XMATCH(AT$8,$AH$8:$CC$8))-_xlfn.XMATCH($C180,$C$35:$C$82)+1&lt;=_xlpm.DepreciationMonths,$C180&lt;=AT$8),$E180/_xlpm.DepreciationMonths,0))</f>
        <v>0</v>
      </c>
      <c r="AU180" s="507" cm="1">
        <f t="array" ref="AU180">_xlfn.LET(_xlpm.DepreciationMonths,INDEX(FixedAssets[Depreciation
/ Amortization Months],_xlfn.XMATCH($E$135,FixedAssets[Asset ID])),IF(AND((_xlfn.XMATCH(AU$8,$AH$8:$CC$8))-_xlfn.XMATCH($C180,$C$35:$C$82)+1&lt;=_xlpm.DepreciationMonths,$C180&lt;=AU$8),$E180/_xlpm.DepreciationMonths,0))</f>
        <v>0</v>
      </c>
      <c r="AV180" s="507" cm="1">
        <f t="array" ref="AV180">_xlfn.LET(_xlpm.DepreciationMonths,INDEX(FixedAssets[Depreciation
/ Amortization Months],_xlfn.XMATCH($E$135,FixedAssets[Asset ID])),IF(AND((_xlfn.XMATCH(AV$8,$AH$8:$CC$8))-_xlfn.XMATCH($C180,$C$35:$C$82)+1&lt;=_xlpm.DepreciationMonths,$C180&lt;=AV$8),$E180/_xlpm.DepreciationMonths,0))</f>
        <v>0</v>
      </c>
      <c r="AW180" s="507" cm="1">
        <f t="array" ref="AW180">_xlfn.LET(_xlpm.DepreciationMonths,INDEX(FixedAssets[Depreciation
/ Amortization Months],_xlfn.XMATCH($E$135,FixedAssets[Asset ID])),IF(AND((_xlfn.XMATCH(AW$8,$AH$8:$CC$8))-_xlfn.XMATCH($C180,$C$35:$C$82)+1&lt;=_xlpm.DepreciationMonths,$C180&lt;=AW$8),$E180/_xlpm.DepreciationMonths,0))</f>
        <v>0</v>
      </c>
      <c r="AX180" s="507" cm="1">
        <f t="array" ref="AX180">_xlfn.LET(_xlpm.DepreciationMonths,INDEX(FixedAssets[Depreciation
/ Amortization Months],_xlfn.XMATCH($E$135,FixedAssets[Asset ID])),IF(AND((_xlfn.XMATCH(AX$8,$AH$8:$CC$8))-_xlfn.XMATCH($C180,$C$35:$C$82)+1&lt;=_xlpm.DepreciationMonths,$C180&lt;=AX$8),$E180/_xlpm.DepreciationMonths,0))</f>
        <v>0</v>
      </c>
      <c r="AY180" s="507" cm="1">
        <f t="array" ref="AY180">_xlfn.LET(_xlpm.DepreciationMonths,INDEX(FixedAssets[Depreciation
/ Amortization Months],_xlfn.XMATCH($E$135,FixedAssets[Asset ID])),IF(AND((_xlfn.XMATCH(AY$8,$AH$8:$CC$8))-_xlfn.XMATCH($C180,$C$35:$C$82)+1&lt;=_xlpm.DepreciationMonths,$C180&lt;=AY$8),$E180/_xlpm.DepreciationMonths,0))</f>
        <v>0</v>
      </c>
      <c r="AZ180" s="507" cm="1">
        <f t="array" ref="AZ180">_xlfn.LET(_xlpm.DepreciationMonths,INDEX(FixedAssets[Depreciation
/ Amortization Months],_xlfn.XMATCH($E$135,FixedAssets[Asset ID])),IF(AND((_xlfn.XMATCH(AZ$8,$AH$8:$CC$8))-_xlfn.XMATCH($C180,$C$35:$C$82)+1&lt;=_xlpm.DepreciationMonths,$C180&lt;=AZ$8),$E180/_xlpm.DepreciationMonths,0))</f>
        <v>0</v>
      </c>
      <c r="BA180" s="507" cm="1">
        <f t="array" ref="BA180">_xlfn.LET(_xlpm.DepreciationMonths,INDEX(FixedAssets[Depreciation
/ Amortization Months],_xlfn.XMATCH($E$135,FixedAssets[Asset ID])),IF(AND((_xlfn.XMATCH(BA$8,$AH$8:$CC$8))-_xlfn.XMATCH($C180,$C$35:$C$82)+1&lt;=_xlpm.DepreciationMonths,$C180&lt;=BA$8),$E180/_xlpm.DepreciationMonths,0))</f>
        <v>0</v>
      </c>
      <c r="BB180" s="507" cm="1">
        <f t="array" ref="BB180">_xlfn.LET(_xlpm.DepreciationMonths,INDEX(FixedAssets[Depreciation
/ Amortization Months],_xlfn.XMATCH($E$135,FixedAssets[Asset ID])),IF(AND((_xlfn.XMATCH(BB$8,$AH$8:$CC$8))-_xlfn.XMATCH($C180,$C$35:$C$82)+1&lt;=_xlpm.DepreciationMonths,$C180&lt;=BB$8),$E180/_xlpm.DepreciationMonths,0))</f>
        <v>0</v>
      </c>
      <c r="BC180" s="507" cm="1">
        <f t="array" ref="BC180">_xlfn.LET(_xlpm.DepreciationMonths,INDEX(FixedAssets[Depreciation
/ Amortization Months],_xlfn.XMATCH($E$135,FixedAssets[Asset ID])),IF(AND((_xlfn.XMATCH(BC$8,$AH$8:$CC$8))-_xlfn.XMATCH($C180,$C$35:$C$82)+1&lt;=_xlpm.DepreciationMonths,$C180&lt;=BC$8),$E180/_xlpm.DepreciationMonths,0))</f>
        <v>0</v>
      </c>
      <c r="BD180" s="507" cm="1">
        <f t="array" ref="BD180">_xlfn.LET(_xlpm.DepreciationMonths,INDEX(FixedAssets[Depreciation
/ Amortization Months],_xlfn.XMATCH($E$135,FixedAssets[Asset ID])),IF(AND((_xlfn.XMATCH(BD$8,$AH$8:$CC$8))-_xlfn.XMATCH($C180,$C$35:$C$82)+1&lt;=_xlpm.DepreciationMonths,$C180&lt;=BD$8),$E180/_xlpm.DepreciationMonths,0))</f>
        <v>0</v>
      </c>
      <c r="BE180" s="507" cm="1">
        <f t="array" ref="BE180">_xlfn.LET(_xlpm.DepreciationMonths,INDEX(FixedAssets[Depreciation
/ Amortization Months],_xlfn.XMATCH($E$135,FixedAssets[Asset ID])),IF(AND((_xlfn.XMATCH(BE$8,$AH$8:$CC$8))-_xlfn.XMATCH($C180,$C$35:$C$82)+1&lt;=_xlpm.DepreciationMonths,$C180&lt;=BE$8),$E180/_xlpm.DepreciationMonths,0))</f>
        <v>0</v>
      </c>
      <c r="BF180" s="507" cm="1">
        <f t="array" ref="BF180">_xlfn.LET(_xlpm.DepreciationMonths,INDEX(FixedAssets[Depreciation
/ Amortization Months],_xlfn.XMATCH($E$135,FixedAssets[Asset ID])),IF(AND((_xlfn.XMATCH(BF$8,$AH$8:$CC$8))-_xlfn.XMATCH($C180,$C$35:$C$82)+1&lt;=_xlpm.DepreciationMonths,$C180&lt;=BF$8),$E180/_xlpm.DepreciationMonths,0))</f>
        <v>0</v>
      </c>
      <c r="BG180" s="507" cm="1">
        <f t="array" ref="BG180">_xlfn.LET(_xlpm.DepreciationMonths,INDEX(FixedAssets[Depreciation
/ Amortization Months],_xlfn.XMATCH($E$135,FixedAssets[Asset ID])),IF(AND((_xlfn.XMATCH(BG$8,$AH$8:$CC$8))-_xlfn.XMATCH($C180,$C$35:$C$82)+1&lt;=_xlpm.DepreciationMonths,$C180&lt;=BG$8),$E180/_xlpm.DepreciationMonths,0))</f>
        <v>0</v>
      </c>
      <c r="BH180" s="507" cm="1">
        <f t="array" ref="BH180">_xlfn.LET(_xlpm.DepreciationMonths,INDEX(FixedAssets[Depreciation
/ Amortization Months],_xlfn.XMATCH($E$135,FixedAssets[Asset ID])),IF(AND((_xlfn.XMATCH(BH$8,$AH$8:$CC$8))-_xlfn.XMATCH($C180,$C$35:$C$82)+1&lt;=_xlpm.DepreciationMonths,$C180&lt;=BH$8),$E180/_xlpm.DepreciationMonths,0))</f>
        <v>0</v>
      </c>
      <c r="BI180" s="507" cm="1">
        <f t="array" ref="BI180">_xlfn.LET(_xlpm.DepreciationMonths,INDEX(FixedAssets[Depreciation
/ Amortization Months],_xlfn.XMATCH($E$135,FixedAssets[Asset ID])),IF(AND((_xlfn.XMATCH(BI$8,$AH$8:$CC$8))-_xlfn.XMATCH($C180,$C$35:$C$82)+1&lt;=_xlpm.DepreciationMonths,$C180&lt;=BI$8),$E180/_xlpm.DepreciationMonths,0))</f>
        <v>0</v>
      </c>
      <c r="BJ180" s="507" cm="1">
        <f t="array" ref="BJ180">_xlfn.LET(_xlpm.DepreciationMonths,INDEX(FixedAssets[Depreciation
/ Amortization Months],_xlfn.XMATCH($E$135,FixedAssets[Asset ID])),IF(AND((_xlfn.XMATCH(BJ$8,$AH$8:$CC$8))-_xlfn.XMATCH($C180,$C$35:$C$82)+1&lt;=_xlpm.DepreciationMonths,$C180&lt;=BJ$8),$E180/_xlpm.DepreciationMonths,0))</f>
        <v>0</v>
      </c>
      <c r="BK180" s="507" cm="1">
        <f t="array" ref="BK180">_xlfn.LET(_xlpm.DepreciationMonths,INDEX(FixedAssets[Depreciation
/ Amortization Months],_xlfn.XMATCH($E$135,FixedAssets[Asset ID])),IF(AND((_xlfn.XMATCH(BK$8,$AH$8:$CC$8))-_xlfn.XMATCH($C180,$C$35:$C$82)+1&lt;=_xlpm.DepreciationMonths,$C180&lt;=BK$8),$E180/_xlpm.DepreciationMonths,0))</f>
        <v>0</v>
      </c>
      <c r="BL180" s="507" cm="1">
        <f t="array" ref="BL180">_xlfn.LET(_xlpm.DepreciationMonths,INDEX(FixedAssets[Depreciation
/ Amortization Months],_xlfn.XMATCH($E$135,FixedAssets[Asset ID])),IF(AND((_xlfn.XMATCH(BL$8,$AH$8:$CC$8))-_xlfn.XMATCH($C180,$C$35:$C$82)+1&lt;=_xlpm.DepreciationMonths,$C180&lt;=BL$8),$E180/_xlpm.DepreciationMonths,0))</f>
        <v>0</v>
      </c>
      <c r="BM180" s="507" cm="1">
        <f t="array" ref="BM180">_xlfn.LET(_xlpm.DepreciationMonths,INDEX(FixedAssets[Depreciation
/ Amortization Months],_xlfn.XMATCH($E$135,FixedAssets[Asset ID])),IF(AND((_xlfn.XMATCH(BM$8,$AH$8:$CC$8))-_xlfn.XMATCH($C180,$C$35:$C$82)+1&lt;=_xlpm.DepreciationMonths,$C180&lt;=BM$8),$E180/_xlpm.DepreciationMonths,0))</f>
        <v>0</v>
      </c>
      <c r="BN180" s="507" cm="1">
        <f t="array" ref="BN180">_xlfn.LET(_xlpm.DepreciationMonths,INDEX(FixedAssets[Depreciation
/ Amortization Months],_xlfn.XMATCH($E$135,FixedAssets[Asset ID])),IF(AND((_xlfn.XMATCH(BN$8,$AH$8:$CC$8))-_xlfn.XMATCH($C180,$C$35:$C$82)+1&lt;=_xlpm.DepreciationMonths,$C180&lt;=BN$8),$E180/_xlpm.DepreciationMonths,0))</f>
        <v>0</v>
      </c>
      <c r="BO180" s="507" cm="1">
        <f t="array" ref="BO180">_xlfn.LET(_xlpm.DepreciationMonths,INDEX(FixedAssets[Depreciation
/ Amortization Months],_xlfn.XMATCH($E$135,FixedAssets[Asset ID])),IF(AND((_xlfn.XMATCH(BO$8,$AH$8:$CC$8))-_xlfn.XMATCH($C180,$C$35:$C$82)+1&lt;=_xlpm.DepreciationMonths,$C180&lt;=BO$8),$E180/_xlpm.DepreciationMonths,0))</f>
        <v>0</v>
      </c>
      <c r="BP180" s="507" cm="1">
        <f t="array" ref="BP180">_xlfn.LET(_xlpm.DepreciationMonths,INDEX(FixedAssets[Depreciation
/ Amortization Months],_xlfn.XMATCH($E$135,FixedAssets[Asset ID])),IF(AND((_xlfn.XMATCH(BP$8,$AH$8:$CC$8))-_xlfn.XMATCH($C180,$C$35:$C$82)+1&lt;=_xlpm.DepreciationMonths,$C180&lt;=BP$8),$E180/_xlpm.DepreciationMonths,0))</f>
        <v>0</v>
      </c>
      <c r="BQ180" s="507" cm="1">
        <f t="array" ref="BQ180">_xlfn.LET(_xlpm.DepreciationMonths,INDEX(FixedAssets[Depreciation
/ Amortization Months],_xlfn.XMATCH($E$135,FixedAssets[Asset ID])),IF(AND((_xlfn.XMATCH(BQ$8,$AH$8:$CC$8))-_xlfn.XMATCH($C180,$C$35:$C$82)+1&lt;=_xlpm.DepreciationMonths,$C180&lt;=BQ$8),$E180/_xlpm.DepreciationMonths,0))</f>
        <v>0</v>
      </c>
      <c r="BR180" s="507" cm="1">
        <f t="array" ref="BR180">_xlfn.LET(_xlpm.DepreciationMonths,INDEX(FixedAssets[Depreciation
/ Amortization Months],_xlfn.XMATCH($E$135,FixedAssets[Asset ID])),IF(AND((_xlfn.XMATCH(BR$8,$AH$8:$CC$8))-_xlfn.XMATCH($C180,$C$35:$C$82)+1&lt;=_xlpm.DepreciationMonths,$C180&lt;=BR$8),$E180/_xlpm.DepreciationMonths,0))</f>
        <v>0</v>
      </c>
      <c r="BS180" s="507" cm="1">
        <f t="array" ref="BS180">_xlfn.LET(_xlpm.DepreciationMonths,INDEX(FixedAssets[Depreciation
/ Amortization Months],_xlfn.XMATCH($E$135,FixedAssets[Asset ID])),IF(AND((_xlfn.XMATCH(BS$8,$AH$8:$CC$8))-_xlfn.XMATCH($C180,$C$35:$C$82)+1&lt;=_xlpm.DepreciationMonths,$C180&lt;=BS$8),$E180/_xlpm.DepreciationMonths,0))</f>
        <v>0</v>
      </c>
      <c r="BT180" s="507" cm="1">
        <f t="array" ref="BT180">_xlfn.LET(_xlpm.DepreciationMonths,INDEX(FixedAssets[Depreciation
/ Amortization Months],_xlfn.XMATCH($E$135,FixedAssets[Asset ID])),IF(AND((_xlfn.XMATCH(BT$8,$AH$8:$CC$8))-_xlfn.XMATCH($C180,$C$35:$C$82)+1&lt;=_xlpm.DepreciationMonths,$C180&lt;=BT$8),$E180/_xlpm.DepreciationMonths,0))</f>
        <v>0</v>
      </c>
      <c r="BU180" s="507" cm="1">
        <f t="array" ref="BU180">_xlfn.LET(_xlpm.DepreciationMonths,INDEX(FixedAssets[Depreciation
/ Amortization Months],_xlfn.XMATCH($E$135,FixedAssets[Asset ID])),IF(AND((_xlfn.XMATCH(BU$8,$AH$8:$CC$8))-_xlfn.XMATCH($C180,$C$35:$C$82)+1&lt;=_xlpm.DepreciationMonths,$C180&lt;=BU$8),$E180/_xlpm.DepreciationMonths,0))</f>
        <v>0</v>
      </c>
      <c r="BV180" s="507" cm="1">
        <f t="array" ref="BV180">_xlfn.LET(_xlpm.DepreciationMonths,INDEX(FixedAssets[Depreciation
/ Amortization Months],_xlfn.XMATCH($E$135,FixedAssets[Asset ID])),IF(AND((_xlfn.XMATCH(BV$8,$AH$8:$CC$8))-_xlfn.XMATCH($C180,$C$35:$C$82)+1&lt;=_xlpm.DepreciationMonths,$C180&lt;=BV$8),$E180/_xlpm.DepreciationMonths,0))</f>
        <v>0</v>
      </c>
      <c r="BW180" s="507" cm="1">
        <f t="array" ref="BW180">_xlfn.LET(_xlpm.DepreciationMonths,INDEX(FixedAssets[Depreciation
/ Amortization Months],_xlfn.XMATCH($E$135,FixedAssets[Asset ID])),IF(AND((_xlfn.XMATCH(BW$8,$AH$8:$CC$8))-_xlfn.XMATCH($C180,$C$35:$C$82)+1&lt;=_xlpm.DepreciationMonths,$C180&lt;=BW$8),$E180/_xlpm.DepreciationMonths,0))</f>
        <v>0</v>
      </c>
      <c r="BX180" s="507" cm="1">
        <f t="array" ref="BX180">_xlfn.LET(_xlpm.DepreciationMonths,INDEX(FixedAssets[Depreciation
/ Amortization Months],_xlfn.XMATCH($E$135,FixedAssets[Asset ID])),IF(AND((_xlfn.XMATCH(BX$8,$AH$8:$CC$8))-_xlfn.XMATCH($C180,$C$35:$C$82)+1&lt;=_xlpm.DepreciationMonths,$C180&lt;=BX$8),$E180/_xlpm.DepreciationMonths,0))</f>
        <v>0</v>
      </c>
      <c r="BY180" s="507" cm="1">
        <f t="array" ref="BY180">_xlfn.LET(_xlpm.DepreciationMonths,INDEX(FixedAssets[Depreciation
/ Amortization Months],_xlfn.XMATCH($E$135,FixedAssets[Asset ID])),IF(AND((_xlfn.XMATCH(BY$8,$AH$8:$CC$8))-_xlfn.XMATCH($C180,$C$35:$C$82)+1&lt;=_xlpm.DepreciationMonths,$C180&lt;=BY$8),$E180/_xlpm.DepreciationMonths,0))</f>
        <v>0</v>
      </c>
      <c r="BZ180" s="507" cm="1">
        <f t="array" ref="BZ180">_xlfn.LET(_xlpm.DepreciationMonths,INDEX(FixedAssets[Depreciation
/ Amortization Months],_xlfn.XMATCH($E$135,FixedAssets[Asset ID])),IF(AND((_xlfn.XMATCH(BZ$8,$AH$8:$CC$8))-_xlfn.XMATCH($C180,$C$35:$C$82)+1&lt;=_xlpm.DepreciationMonths,$C180&lt;=BZ$8),$E180/_xlpm.DepreciationMonths,0))</f>
        <v>0</v>
      </c>
      <c r="CA180" s="507" cm="1">
        <f t="array" ref="CA180">_xlfn.LET(_xlpm.DepreciationMonths,INDEX(FixedAssets[Depreciation
/ Amortization Months],_xlfn.XMATCH($E$135,FixedAssets[Asset ID])),IF(AND((_xlfn.XMATCH(CA$8,$AH$8:$CC$8))-_xlfn.XMATCH($C180,$C$35:$C$82)+1&lt;=_xlpm.DepreciationMonths,$C180&lt;=CA$8),$E180/_xlpm.DepreciationMonths,0))</f>
        <v>0</v>
      </c>
      <c r="CB180" s="507" cm="1">
        <f t="array" ref="CB180">_xlfn.LET(_xlpm.DepreciationMonths,INDEX(FixedAssets[Depreciation
/ Amortization Months],_xlfn.XMATCH($E$135,FixedAssets[Asset ID])),IF(AND((_xlfn.XMATCH(CB$8,$AH$8:$CC$8))-_xlfn.XMATCH($C180,$C$35:$C$82)+1&lt;=_xlpm.DepreciationMonths,$C180&lt;=CB$8),$E180/_xlpm.DepreciationMonths,0))</f>
        <v>0</v>
      </c>
      <c r="CC180" s="507" cm="1">
        <f t="array" ref="CC180">_xlfn.LET(_xlpm.DepreciationMonths,INDEX(FixedAssets[Depreciation
/ Amortization Months],_xlfn.XMATCH($E$135,FixedAssets[Asset ID])),IF(AND((_xlfn.XMATCH(CC$8,$AH$8:$CC$8))-_xlfn.XMATCH($C180,$C$35:$C$82)+1&lt;=_xlpm.DepreciationMonths,$C180&lt;=CC$8),$E180/_xlpm.DepreciationMonths,0))</f>
        <v>0</v>
      </c>
    </row>
    <row r="181" spans="3:81" hidden="1" outlineLevel="2">
      <c r="C181" s="664">
        <f t="shared" si="243"/>
        <v>46295</v>
      </c>
      <c r="D181" s="508"/>
      <c r="E181" s="508" cm="1">
        <f t="array" ref="E181">SUMPRODUCT(($AH$26:$CC$31)*($AH$5:$CC$5=$C181)*($E$26:$E$31=E$135))-SUMPRODUCT(($AH$26:$CC$31)*($AH$5:$CC$5=EOMONTH($C181,-1))*($E$26:$E$31=E$135))</f>
        <v>0</v>
      </c>
      <c r="F181" s="508"/>
      <c r="G181" s="508"/>
      <c r="H181" s="508"/>
      <c r="I181" s="508"/>
      <c r="J181" s="504">
        <f t="shared" si="240"/>
        <v>0</v>
      </c>
      <c r="K181" s="504">
        <f t="shared" si="248"/>
        <v>0</v>
      </c>
      <c r="L181" s="504">
        <f t="shared" si="248"/>
        <v>0</v>
      </c>
      <c r="M181" s="504">
        <f t="shared" si="248"/>
        <v>0</v>
      </c>
      <c r="N181" s="504"/>
      <c r="O181" s="504"/>
      <c r="P181" s="504">
        <f t="shared" si="249"/>
        <v>0</v>
      </c>
      <c r="Q181" s="504">
        <f t="shared" si="249"/>
        <v>0</v>
      </c>
      <c r="R181" s="504">
        <f t="shared" si="249"/>
        <v>0</v>
      </c>
      <c r="S181" s="504">
        <f t="shared" si="249"/>
        <v>0</v>
      </c>
      <c r="T181" s="504">
        <f t="shared" si="249"/>
        <v>0</v>
      </c>
      <c r="U181" s="504">
        <f t="shared" si="249"/>
        <v>0</v>
      </c>
      <c r="V181" s="504">
        <f t="shared" si="249"/>
        <v>0</v>
      </c>
      <c r="W181" s="504">
        <f t="shared" si="249"/>
        <v>0</v>
      </c>
      <c r="X181" s="504">
        <f t="shared" si="249"/>
        <v>0</v>
      </c>
      <c r="Y181" s="504">
        <f t="shared" si="249"/>
        <v>0</v>
      </c>
      <c r="Z181" s="504">
        <f t="shared" si="249"/>
        <v>0</v>
      </c>
      <c r="AA181" s="504">
        <f t="shared" si="249"/>
        <v>0</v>
      </c>
      <c r="AB181" s="504">
        <f t="shared" si="249"/>
        <v>0</v>
      </c>
      <c r="AC181" s="504">
        <f t="shared" si="249"/>
        <v>0</v>
      </c>
      <c r="AD181" s="504">
        <f t="shared" si="249"/>
        <v>0</v>
      </c>
      <c r="AE181" s="504">
        <f t="shared" si="249"/>
        <v>0</v>
      </c>
      <c r="AF181" s="508"/>
      <c r="AG181" s="508"/>
      <c r="AH181" s="507" cm="1">
        <f t="array" ref="AH181">_xlfn.LET(_xlpm.DepreciationMonths,INDEX(FixedAssets[Depreciation
/ Amortization Months],_xlfn.XMATCH($E$135,FixedAssets[Asset ID])),IF(AND((_xlfn.XMATCH(AH$8,$AH$8:$CC$8))-_xlfn.XMATCH($C181,$C$35:$C$82)+1&lt;=_xlpm.DepreciationMonths,$C181&lt;=AH$8),$E181/_xlpm.DepreciationMonths,0))</f>
        <v>0</v>
      </c>
      <c r="AI181" s="507" cm="1">
        <f t="array" ref="AI181">_xlfn.LET(_xlpm.DepreciationMonths,INDEX(FixedAssets[Depreciation
/ Amortization Months],_xlfn.XMATCH($E$135,FixedAssets[Asset ID])),IF(AND((_xlfn.XMATCH(AI$8,$AH$8:$CC$8))-_xlfn.XMATCH($C181,$C$35:$C$82)+1&lt;=_xlpm.DepreciationMonths,$C181&lt;=AI$8),$E181/_xlpm.DepreciationMonths,0))</f>
        <v>0</v>
      </c>
      <c r="AJ181" s="507" cm="1">
        <f t="array" ref="AJ181">_xlfn.LET(_xlpm.DepreciationMonths,INDEX(FixedAssets[Depreciation
/ Amortization Months],_xlfn.XMATCH($E$135,FixedAssets[Asset ID])),IF(AND((_xlfn.XMATCH(AJ$8,$AH$8:$CC$8))-_xlfn.XMATCH($C181,$C$35:$C$82)+1&lt;=_xlpm.DepreciationMonths,$C181&lt;=AJ$8),$E181/_xlpm.DepreciationMonths,0))</f>
        <v>0</v>
      </c>
      <c r="AK181" s="507" cm="1">
        <f t="array" ref="AK181">_xlfn.LET(_xlpm.DepreciationMonths,INDEX(FixedAssets[Depreciation
/ Amortization Months],_xlfn.XMATCH($E$135,FixedAssets[Asset ID])),IF(AND((_xlfn.XMATCH(AK$8,$AH$8:$CC$8))-_xlfn.XMATCH($C181,$C$35:$C$82)+1&lt;=_xlpm.DepreciationMonths,$C181&lt;=AK$8),$E181/_xlpm.DepreciationMonths,0))</f>
        <v>0</v>
      </c>
      <c r="AL181" s="507" cm="1">
        <f t="array" ref="AL181">_xlfn.LET(_xlpm.DepreciationMonths,INDEX(FixedAssets[Depreciation
/ Amortization Months],_xlfn.XMATCH($E$135,FixedAssets[Asset ID])),IF(AND((_xlfn.XMATCH(AL$8,$AH$8:$CC$8))-_xlfn.XMATCH($C181,$C$35:$C$82)+1&lt;=_xlpm.DepreciationMonths,$C181&lt;=AL$8),$E181/_xlpm.DepreciationMonths,0))</f>
        <v>0</v>
      </c>
      <c r="AM181" s="507" cm="1">
        <f t="array" ref="AM181">_xlfn.LET(_xlpm.DepreciationMonths,INDEX(FixedAssets[Depreciation
/ Amortization Months],_xlfn.XMATCH($E$135,FixedAssets[Asset ID])),IF(AND((_xlfn.XMATCH(AM$8,$AH$8:$CC$8))-_xlfn.XMATCH($C181,$C$35:$C$82)+1&lt;=_xlpm.DepreciationMonths,$C181&lt;=AM$8),$E181/_xlpm.DepreciationMonths,0))</f>
        <v>0</v>
      </c>
      <c r="AN181" s="507" cm="1">
        <f t="array" ref="AN181">_xlfn.LET(_xlpm.DepreciationMonths,INDEX(FixedAssets[Depreciation
/ Amortization Months],_xlfn.XMATCH($E$135,FixedAssets[Asset ID])),IF(AND((_xlfn.XMATCH(AN$8,$AH$8:$CC$8))-_xlfn.XMATCH($C181,$C$35:$C$82)+1&lt;=_xlpm.DepreciationMonths,$C181&lt;=AN$8),$E181/_xlpm.DepreciationMonths,0))</f>
        <v>0</v>
      </c>
      <c r="AO181" s="507" cm="1">
        <f t="array" ref="AO181">_xlfn.LET(_xlpm.DepreciationMonths,INDEX(FixedAssets[Depreciation
/ Amortization Months],_xlfn.XMATCH($E$135,FixedAssets[Asset ID])),IF(AND((_xlfn.XMATCH(AO$8,$AH$8:$CC$8))-_xlfn.XMATCH($C181,$C$35:$C$82)+1&lt;=_xlpm.DepreciationMonths,$C181&lt;=AO$8),$E181/_xlpm.DepreciationMonths,0))</f>
        <v>0</v>
      </c>
      <c r="AP181" s="507" cm="1">
        <f t="array" ref="AP181">_xlfn.LET(_xlpm.DepreciationMonths,INDEX(FixedAssets[Depreciation
/ Amortization Months],_xlfn.XMATCH($E$135,FixedAssets[Asset ID])),IF(AND((_xlfn.XMATCH(AP$8,$AH$8:$CC$8))-_xlfn.XMATCH($C181,$C$35:$C$82)+1&lt;=_xlpm.DepreciationMonths,$C181&lt;=AP$8),$E181/_xlpm.DepreciationMonths,0))</f>
        <v>0</v>
      </c>
      <c r="AQ181" s="507" cm="1">
        <f t="array" ref="AQ181">_xlfn.LET(_xlpm.DepreciationMonths,INDEX(FixedAssets[Depreciation
/ Amortization Months],_xlfn.XMATCH($E$135,FixedAssets[Asset ID])),IF(AND((_xlfn.XMATCH(AQ$8,$AH$8:$CC$8))-_xlfn.XMATCH($C181,$C$35:$C$82)+1&lt;=_xlpm.DepreciationMonths,$C181&lt;=AQ$8),$E181/_xlpm.DepreciationMonths,0))</f>
        <v>0</v>
      </c>
      <c r="AR181" s="507" cm="1">
        <f t="array" ref="AR181">_xlfn.LET(_xlpm.DepreciationMonths,INDEX(FixedAssets[Depreciation
/ Amortization Months],_xlfn.XMATCH($E$135,FixedAssets[Asset ID])),IF(AND((_xlfn.XMATCH(AR$8,$AH$8:$CC$8))-_xlfn.XMATCH($C181,$C$35:$C$82)+1&lt;=_xlpm.DepreciationMonths,$C181&lt;=AR$8),$E181/_xlpm.DepreciationMonths,0))</f>
        <v>0</v>
      </c>
      <c r="AS181" s="507" cm="1">
        <f t="array" ref="AS181">_xlfn.LET(_xlpm.DepreciationMonths,INDEX(FixedAssets[Depreciation
/ Amortization Months],_xlfn.XMATCH($E$135,FixedAssets[Asset ID])),IF(AND((_xlfn.XMATCH(AS$8,$AH$8:$CC$8))-_xlfn.XMATCH($C181,$C$35:$C$82)+1&lt;=_xlpm.DepreciationMonths,$C181&lt;=AS$8),$E181/_xlpm.DepreciationMonths,0))</f>
        <v>0</v>
      </c>
      <c r="AT181" s="507" cm="1">
        <f t="array" ref="AT181">_xlfn.LET(_xlpm.DepreciationMonths,INDEX(FixedAssets[Depreciation
/ Amortization Months],_xlfn.XMATCH($E$135,FixedAssets[Asset ID])),IF(AND((_xlfn.XMATCH(AT$8,$AH$8:$CC$8))-_xlfn.XMATCH($C181,$C$35:$C$82)+1&lt;=_xlpm.DepreciationMonths,$C181&lt;=AT$8),$E181/_xlpm.DepreciationMonths,0))</f>
        <v>0</v>
      </c>
      <c r="AU181" s="507" cm="1">
        <f t="array" ref="AU181">_xlfn.LET(_xlpm.DepreciationMonths,INDEX(FixedAssets[Depreciation
/ Amortization Months],_xlfn.XMATCH($E$135,FixedAssets[Asset ID])),IF(AND((_xlfn.XMATCH(AU$8,$AH$8:$CC$8))-_xlfn.XMATCH($C181,$C$35:$C$82)+1&lt;=_xlpm.DepreciationMonths,$C181&lt;=AU$8),$E181/_xlpm.DepreciationMonths,0))</f>
        <v>0</v>
      </c>
      <c r="AV181" s="507" cm="1">
        <f t="array" ref="AV181">_xlfn.LET(_xlpm.DepreciationMonths,INDEX(FixedAssets[Depreciation
/ Amortization Months],_xlfn.XMATCH($E$135,FixedAssets[Asset ID])),IF(AND((_xlfn.XMATCH(AV$8,$AH$8:$CC$8))-_xlfn.XMATCH($C181,$C$35:$C$82)+1&lt;=_xlpm.DepreciationMonths,$C181&lt;=AV$8),$E181/_xlpm.DepreciationMonths,0))</f>
        <v>0</v>
      </c>
      <c r="AW181" s="507" cm="1">
        <f t="array" ref="AW181">_xlfn.LET(_xlpm.DepreciationMonths,INDEX(FixedAssets[Depreciation
/ Amortization Months],_xlfn.XMATCH($E$135,FixedAssets[Asset ID])),IF(AND((_xlfn.XMATCH(AW$8,$AH$8:$CC$8))-_xlfn.XMATCH($C181,$C$35:$C$82)+1&lt;=_xlpm.DepreciationMonths,$C181&lt;=AW$8),$E181/_xlpm.DepreciationMonths,0))</f>
        <v>0</v>
      </c>
      <c r="AX181" s="507" cm="1">
        <f t="array" ref="AX181">_xlfn.LET(_xlpm.DepreciationMonths,INDEX(FixedAssets[Depreciation
/ Amortization Months],_xlfn.XMATCH($E$135,FixedAssets[Asset ID])),IF(AND((_xlfn.XMATCH(AX$8,$AH$8:$CC$8))-_xlfn.XMATCH($C181,$C$35:$C$82)+1&lt;=_xlpm.DepreciationMonths,$C181&lt;=AX$8),$E181/_xlpm.DepreciationMonths,0))</f>
        <v>0</v>
      </c>
      <c r="AY181" s="507" cm="1">
        <f t="array" ref="AY181">_xlfn.LET(_xlpm.DepreciationMonths,INDEX(FixedAssets[Depreciation
/ Amortization Months],_xlfn.XMATCH($E$135,FixedAssets[Asset ID])),IF(AND((_xlfn.XMATCH(AY$8,$AH$8:$CC$8))-_xlfn.XMATCH($C181,$C$35:$C$82)+1&lt;=_xlpm.DepreciationMonths,$C181&lt;=AY$8),$E181/_xlpm.DepreciationMonths,0))</f>
        <v>0</v>
      </c>
      <c r="AZ181" s="507" cm="1">
        <f t="array" ref="AZ181">_xlfn.LET(_xlpm.DepreciationMonths,INDEX(FixedAssets[Depreciation
/ Amortization Months],_xlfn.XMATCH($E$135,FixedAssets[Asset ID])),IF(AND((_xlfn.XMATCH(AZ$8,$AH$8:$CC$8))-_xlfn.XMATCH($C181,$C$35:$C$82)+1&lt;=_xlpm.DepreciationMonths,$C181&lt;=AZ$8),$E181/_xlpm.DepreciationMonths,0))</f>
        <v>0</v>
      </c>
      <c r="BA181" s="507" cm="1">
        <f t="array" ref="BA181">_xlfn.LET(_xlpm.DepreciationMonths,INDEX(FixedAssets[Depreciation
/ Amortization Months],_xlfn.XMATCH($E$135,FixedAssets[Asset ID])),IF(AND((_xlfn.XMATCH(BA$8,$AH$8:$CC$8))-_xlfn.XMATCH($C181,$C$35:$C$82)+1&lt;=_xlpm.DepreciationMonths,$C181&lt;=BA$8),$E181/_xlpm.DepreciationMonths,0))</f>
        <v>0</v>
      </c>
      <c r="BB181" s="507" cm="1">
        <f t="array" ref="BB181">_xlfn.LET(_xlpm.DepreciationMonths,INDEX(FixedAssets[Depreciation
/ Amortization Months],_xlfn.XMATCH($E$135,FixedAssets[Asset ID])),IF(AND((_xlfn.XMATCH(BB$8,$AH$8:$CC$8))-_xlfn.XMATCH($C181,$C$35:$C$82)+1&lt;=_xlpm.DepreciationMonths,$C181&lt;=BB$8),$E181/_xlpm.DepreciationMonths,0))</f>
        <v>0</v>
      </c>
      <c r="BC181" s="507" cm="1">
        <f t="array" ref="BC181">_xlfn.LET(_xlpm.DepreciationMonths,INDEX(FixedAssets[Depreciation
/ Amortization Months],_xlfn.XMATCH($E$135,FixedAssets[Asset ID])),IF(AND((_xlfn.XMATCH(BC$8,$AH$8:$CC$8))-_xlfn.XMATCH($C181,$C$35:$C$82)+1&lt;=_xlpm.DepreciationMonths,$C181&lt;=BC$8),$E181/_xlpm.DepreciationMonths,0))</f>
        <v>0</v>
      </c>
      <c r="BD181" s="507" cm="1">
        <f t="array" ref="BD181">_xlfn.LET(_xlpm.DepreciationMonths,INDEX(FixedAssets[Depreciation
/ Amortization Months],_xlfn.XMATCH($E$135,FixedAssets[Asset ID])),IF(AND((_xlfn.XMATCH(BD$8,$AH$8:$CC$8))-_xlfn.XMATCH($C181,$C$35:$C$82)+1&lt;=_xlpm.DepreciationMonths,$C181&lt;=BD$8),$E181/_xlpm.DepreciationMonths,0))</f>
        <v>0</v>
      </c>
      <c r="BE181" s="507" cm="1">
        <f t="array" ref="BE181">_xlfn.LET(_xlpm.DepreciationMonths,INDEX(FixedAssets[Depreciation
/ Amortization Months],_xlfn.XMATCH($E$135,FixedAssets[Asset ID])),IF(AND((_xlfn.XMATCH(BE$8,$AH$8:$CC$8))-_xlfn.XMATCH($C181,$C$35:$C$82)+1&lt;=_xlpm.DepreciationMonths,$C181&lt;=BE$8),$E181/_xlpm.DepreciationMonths,0))</f>
        <v>0</v>
      </c>
      <c r="BF181" s="507" cm="1">
        <f t="array" ref="BF181">_xlfn.LET(_xlpm.DepreciationMonths,INDEX(FixedAssets[Depreciation
/ Amortization Months],_xlfn.XMATCH($E$135,FixedAssets[Asset ID])),IF(AND((_xlfn.XMATCH(BF$8,$AH$8:$CC$8))-_xlfn.XMATCH($C181,$C$35:$C$82)+1&lt;=_xlpm.DepreciationMonths,$C181&lt;=BF$8),$E181/_xlpm.DepreciationMonths,0))</f>
        <v>0</v>
      </c>
      <c r="BG181" s="507" cm="1">
        <f t="array" ref="BG181">_xlfn.LET(_xlpm.DepreciationMonths,INDEX(FixedAssets[Depreciation
/ Amortization Months],_xlfn.XMATCH($E$135,FixedAssets[Asset ID])),IF(AND((_xlfn.XMATCH(BG$8,$AH$8:$CC$8))-_xlfn.XMATCH($C181,$C$35:$C$82)+1&lt;=_xlpm.DepreciationMonths,$C181&lt;=BG$8),$E181/_xlpm.DepreciationMonths,0))</f>
        <v>0</v>
      </c>
      <c r="BH181" s="507" cm="1">
        <f t="array" ref="BH181">_xlfn.LET(_xlpm.DepreciationMonths,INDEX(FixedAssets[Depreciation
/ Amortization Months],_xlfn.XMATCH($E$135,FixedAssets[Asset ID])),IF(AND((_xlfn.XMATCH(BH$8,$AH$8:$CC$8))-_xlfn.XMATCH($C181,$C$35:$C$82)+1&lt;=_xlpm.DepreciationMonths,$C181&lt;=BH$8),$E181/_xlpm.DepreciationMonths,0))</f>
        <v>0</v>
      </c>
      <c r="BI181" s="507" cm="1">
        <f t="array" ref="BI181">_xlfn.LET(_xlpm.DepreciationMonths,INDEX(FixedAssets[Depreciation
/ Amortization Months],_xlfn.XMATCH($E$135,FixedAssets[Asset ID])),IF(AND((_xlfn.XMATCH(BI$8,$AH$8:$CC$8))-_xlfn.XMATCH($C181,$C$35:$C$82)+1&lt;=_xlpm.DepreciationMonths,$C181&lt;=BI$8),$E181/_xlpm.DepreciationMonths,0))</f>
        <v>0</v>
      </c>
      <c r="BJ181" s="507" cm="1">
        <f t="array" ref="BJ181">_xlfn.LET(_xlpm.DepreciationMonths,INDEX(FixedAssets[Depreciation
/ Amortization Months],_xlfn.XMATCH($E$135,FixedAssets[Asset ID])),IF(AND((_xlfn.XMATCH(BJ$8,$AH$8:$CC$8))-_xlfn.XMATCH($C181,$C$35:$C$82)+1&lt;=_xlpm.DepreciationMonths,$C181&lt;=BJ$8),$E181/_xlpm.DepreciationMonths,0))</f>
        <v>0</v>
      </c>
      <c r="BK181" s="507" cm="1">
        <f t="array" ref="BK181">_xlfn.LET(_xlpm.DepreciationMonths,INDEX(FixedAssets[Depreciation
/ Amortization Months],_xlfn.XMATCH($E$135,FixedAssets[Asset ID])),IF(AND((_xlfn.XMATCH(BK$8,$AH$8:$CC$8))-_xlfn.XMATCH($C181,$C$35:$C$82)+1&lt;=_xlpm.DepreciationMonths,$C181&lt;=BK$8),$E181/_xlpm.DepreciationMonths,0))</f>
        <v>0</v>
      </c>
      <c r="BL181" s="507" cm="1">
        <f t="array" ref="BL181">_xlfn.LET(_xlpm.DepreciationMonths,INDEX(FixedAssets[Depreciation
/ Amortization Months],_xlfn.XMATCH($E$135,FixedAssets[Asset ID])),IF(AND((_xlfn.XMATCH(BL$8,$AH$8:$CC$8))-_xlfn.XMATCH($C181,$C$35:$C$82)+1&lt;=_xlpm.DepreciationMonths,$C181&lt;=BL$8),$E181/_xlpm.DepreciationMonths,0))</f>
        <v>0</v>
      </c>
      <c r="BM181" s="507" cm="1">
        <f t="array" ref="BM181">_xlfn.LET(_xlpm.DepreciationMonths,INDEX(FixedAssets[Depreciation
/ Amortization Months],_xlfn.XMATCH($E$135,FixedAssets[Asset ID])),IF(AND((_xlfn.XMATCH(BM$8,$AH$8:$CC$8))-_xlfn.XMATCH($C181,$C$35:$C$82)+1&lt;=_xlpm.DepreciationMonths,$C181&lt;=BM$8),$E181/_xlpm.DepreciationMonths,0))</f>
        <v>0</v>
      </c>
      <c r="BN181" s="507" cm="1">
        <f t="array" ref="BN181">_xlfn.LET(_xlpm.DepreciationMonths,INDEX(FixedAssets[Depreciation
/ Amortization Months],_xlfn.XMATCH($E$135,FixedAssets[Asset ID])),IF(AND((_xlfn.XMATCH(BN$8,$AH$8:$CC$8))-_xlfn.XMATCH($C181,$C$35:$C$82)+1&lt;=_xlpm.DepreciationMonths,$C181&lt;=BN$8),$E181/_xlpm.DepreciationMonths,0))</f>
        <v>0</v>
      </c>
      <c r="BO181" s="507" cm="1">
        <f t="array" ref="BO181">_xlfn.LET(_xlpm.DepreciationMonths,INDEX(FixedAssets[Depreciation
/ Amortization Months],_xlfn.XMATCH($E$135,FixedAssets[Asset ID])),IF(AND((_xlfn.XMATCH(BO$8,$AH$8:$CC$8))-_xlfn.XMATCH($C181,$C$35:$C$82)+1&lt;=_xlpm.DepreciationMonths,$C181&lt;=BO$8),$E181/_xlpm.DepreciationMonths,0))</f>
        <v>0</v>
      </c>
      <c r="BP181" s="507" cm="1">
        <f t="array" ref="BP181">_xlfn.LET(_xlpm.DepreciationMonths,INDEX(FixedAssets[Depreciation
/ Amortization Months],_xlfn.XMATCH($E$135,FixedAssets[Asset ID])),IF(AND((_xlfn.XMATCH(BP$8,$AH$8:$CC$8))-_xlfn.XMATCH($C181,$C$35:$C$82)+1&lt;=_xlpm.DepreciationMonths,$C181&lt;=BP$8),$E181/_xlpm.DepreciationMonths,0))</f>
        <v>0</v>
      </c>
      <c r="BQ181" s="507" cm="1">
        <f t="array" ref="BQ181">_xlfn.LET(_xlpm.DepreciationMonths,INDEX(FixedAssets[Depreciation
/ Amortization Months],_xlfn.XMATCH($E$135,FixedAssets[Asset ID])),IF(AND((_xlfn.XMATCH(BQ$8,$AH$8:$CC$8))-_xlfn.XMATCH($C181,$C$35:$C$82)+1&lt;=_xlpm.DepreciationMonths,$C181&lt;=BQ$8),$E181/_xlpm.DepreciationMonths,0))</f>
        <v>0</v>
      </c>
      <c r="BR181" s="507" cm="1">
        <f t="array" ref="BR181">_xlfn.LET(_xlpm.DepreciationMonths,INDEX(FixedAssets[Depreciation
/ Amortization Months],_xlfn.XMATCH($E$135,FixedAssets[Asset ID])),IF(AND((_xlfn.XMATCH(BR$8,$AH$8:$CC$8))-_xlfn.XMATCH($C181,$C$35:$C$82)+1&lt;=_xlpm.DepreciationMonths,$C181&lt;=BR$8),$E181/_xlpm.DepreciationMonths,0))</f>
        <v>0</v>
      </c>
      <c r="BS181" s="507" cm="1">
        <f t="array" ref="BS181">_xlfn.LET(_xlpm.DepreciationMonths,INDEX(FixedAssets[Depreciation
/ Amortization Months],_xlfn.XMATCH($E$135,FixedAssets[Asset ID])),IF(AND((_xlfn.XMATCH(BS$8,$AH$8:$CC$8))-_xlfn.XMATCH($C181,$C$35:$C$82)+1&lt;=_xlpm.DepreciationMonths,$C181&lt;=BS$8),$E181/_xlpm.DepreciationMonths,0))</f>
        <v>0</v>
      </c>
      <c r="BT181" s="507" cm="1">
        <f t="array" ref="BT181">_xlfn.LET(_xlpm.DepreciationMonths,INDEX(FixedAssets[Depreciation
/ Amortization Months],_xlfn.XMATCH($E$135,FixedAssets[Asset ID])),IF(AND((_xlfn.XMATCH(BT$8,$AH$8:$CC$8))-_xlfn.XMATCH($C181,$C$35:$C$82)+1&lt;=_xlpm.DepreciationMonths,$C181&lt;=BT$8),$E181/_xlpm.DepreciationMonths,0))</f>
        <v>0</v>
      </c>
      <c r="BU181" s="507" cm="1">
        <f t="array" ref="BU181">_xlfn.LET(_xlpm.DepreciationMonths,INDEX(FixedAssets[Depreciation
/ Amortization Months],_xlfn.XMATCH($E$135,FixedAssets[Asset ID])),IF(AND((_xlfn.XMATCH(BU$8,$AH$8:$CC$8))-_xlfn.XMATCH($C181,$C$35:$C$82)+1&lt;=_xlpm.DepreciationMonths,$C181&lt;=BU$8),$E181/_xlpm.DepreciationMonths,0))</f>
        <v>0</v>
      </c>
      <c r="BV181" s="507" cm="1">
        <f t="array" ref="BV181">_xlfn.LET(_xlpm.DepreciationMonths,INDEX(FixedAssets[Depreciation
/ Amortization Months],_xlfn.XMATCH($E$135,FixedAssets[Asset ID])),IF(AND((_xlfn.XMATCH(BV$8,$AH$8:$CC$8))-_xlfn.XMATCH($C181,$C$35:$C$82)+1&lt;=_xlpm.DepreciationMonths,$C181&lt;=BV$8),$E181/_xlpm.DepreciationMonths,0))</f>
        <v>0</v>
      </c>
      <c r="BW181" s="507" cm="1">
        <f t="array" ref="BW181">_xlfn.LET(_xlpm.DepreciationMonths,INDEX(FixedAssets[Depreciation
/ Amortization Months],_xlfn.XMATCH($E$135,FixedAssets[Asset ID])),IF(AND((_xlfn.XMATCH(BW$8,$AH$8:$CC$8))-_xlfn.XMATCH($C181,$C$35:$C$82)+1&lt;=_xlpm.DepreciationMonths,$C181&lt;=BW$8),$E181/_xlpm.DepreciationMonths,0))</f>
        <v>0</v>
      </c>
      <c r="BX181" s="507" cm="1">
        <f t="array" ref="BX181">_xlfn.LET(_xlpm.DepreciationMonths,INDEX(FixedAssets[Depreciation
/ Amortization Months],_xlfn.XMATCH($E$135,FixedAssets[Asset ID])),IF(AND((_xlfn.XMATCH(BX$8,$AH$8:$CC$8))-_xlfn.XMATCH($C181,$C$35:$C$82)+1&lt;=_xlpm.DepreciationMonths,$C181&lt;=BX$8),$E181/_xlpm.DepreciationMonths,0))</f>
        <v>0</v>
      </c>
      <c r="BY181" s="507" cm="1">
        <f t="array" ref="BY181">_xlfn.LET(_xlpm.DepreciationMonths,INDEX(FixedAssets[Depreciation
/ Amortization Months],_xlfn.XMATCH($E$135,FixedAssets[Asset ID])),IF(AND((_xlfn.XMATCH(BY$8,$AH$8:$CC$8))-_xlfn.XMATCH($C181,$C$35:$C$82)+1&lt;=_xlpm.DepreciationMonths,$C181&lt;=BY$8),$E181/_xlpm.DepreciationMonths,0))</f>
        <v>0</v>
      </c>
      <c r="BZ181" s="507" cm="1">
        <f t="array" ref="BZ181">_xlfn.LET(_xlpm.DepreciationMonths,INDEX(FixedAssets[Depreciation
/ Amortization Months],_xlfn.XMATCH($E$135,FixedAssets[Asset ID])),IF(AND((_xlfn.XMATCH(BZ$8,$AH$8:$CC$8))-_xlfn.XMATCH($C181,$C$35:$C$82)+1&lt;=_xlpm.DepreciationMonths,$C181&lt;=BZ$8),$E181/_xlpm.DepreciationMonths,0))</f>
        <v>0</v>
      </c>
      <c r="CA181" s="507" cm="1">
        <f t="array" ref="CA181">_xlfn.LET(_xlpm.DepreciationMonths,INDEX(FixedAssets[Depreciation
/ Amortization Months],_xlfn.XMATCH($E$135,FixedAssets[Asset ID])),IF(AND((_xlfn.XMATCH(CA$8,$AH$8:$CC$8))-_xlfn.XMATCH($C181,$C$35:$C$82)+1&lt;=_xlpm.DepreciationMonths,$C181&lt;=CA$8),$E181/_xlpm.DepreciationMonths,0))</f>
        <v>0</v>
      </c>
      <c r="CB181" s="507" cm="1">
        <f t="array" ref="CB181">_xlfn.LET(_xlpm.DepreciationMonths,INDEX(FixedAssets[Depreciation
/ Amortization Months],_xlfn.XMATCH($E$135,FixedAssets[Asset ID])),IF(AND((_xlfn.XMATCH(CB$8,$AH$8:$CC$8))-_xlfn.XMATCH($C181,$C$35:$C$82)+1&lt;=_xlpm.DepreciationMonths,$C181&lt;=CB$8),$E181/_xlpm.DepreciationMonths,0))</f>
        <v>0</v>
      </c>
      <c r="CC181" s="507" cm="1">
        <f t="array" ref="CC181">_xlfn.LET(_xlpm.DepreciationMonths,INDEX(FixedAssets[Depreciation
/ Amortization Months],_xlfn.XMATCH($E$135,FixedAssets[Asset ID])),IF(AND((_xlfn.XMATCH(CC$8,$AH$8:$CC$8))-_xlfn.XMATCH($C181,$C$35:$C$82)+1&lt;=_xlpm.DepreciationMonths,$C181&lt;=CC$8),$E181/_xlpm.DepreciationMonths,0))</f>
        <v>0</v>
      </c>
    </row>
    <row r="182" spans="3:81" hidden="1" outlineLevel="2">
      <c r="C182" s="664">
        <f t="shared" si="243"/>
        <v>46326</v>
      </c>
      <c r="D182" s="508"/>
      <c r="E182" s="508" cm="1">
        <f t="array" ref="E182">SUMPRODUCT(($AH$26:$CC$31)*($AH$5:$CC$5=$C182)*($E$26:$E$31=E$135))-SUMPRODUCT(($AH$26:$CC$31)*($AH$5:$CC$5=EOMONTH($C182,-1))*($E$26:$E$31=E$135))</f>
        <v>0</v>
      </c>
      <c r="F182" s="508"/>
      <c r="G182" s="508"/>
      <c r="H182" s="508"/>
      <c r="I182" s="508"/>
      <c r="J182" s="504">
        <f t="shared" si="240"/>
        <v>0</v>
      </c>
      <c r="K182" s="504">
        <f t="shared" si="248"/>
        <v>0</v>
      </c>
      <c r="L182" s="504">
        <f t="shared" si="248"/>
        <v>0</v>
      </c>
      <c r="M182" s="504">
        <f t="shared" si="248"/>
        <v>0</v>
      </c>
      <c r="N182" s="504"/>
      <c r="O182" s="504"/>
      <c r="P182" s="504">
        <f t="shared" si="249"/>
        <v>0</v>
      </c>
      <c r="Q182" s="504">
        <f t="shared" si="249"/>
        <v>0</v>
      </c>
      <c r="R182" s="504">
        <f t="shared" si="249"/>
        <v>0</v>
      </c>
      <c r="S182" s="504">
        <f t="shared" si="249"/>
        <v>0</v>
      </c>
      <c r="T182" s="504">
        <f t="shared" si="249"/>
        <v>0</v>
      </c>
      <c r="U182" s="504">
        <f t="shared" si="249"/>
        <v>0</v>
      </c>
      <c r="V182" s="504">
        <f t="shared" si="249"/>
        <v>0</v>
      </c>
      <c r="W182" s="504">
        <f t="shared" si="249"/>
        <v>0</v>
      </c>
      <c r="X182" s="504">
        <f t="shared" si="249"/>
        <v>0</v>
      </c>
      <c r="Y182" s="504">
        <f t="shared" si="249"/>
        <v>0</v>
      </c>
      <c r="Z182" s="504">
        <f t="shared" si="249"/>
        <v>0</v>
      </c>
      <c r="AA182" s="504">
        <f t="shared" si="249"/>
        <v>0</v>
      </c>
      <c r="AB182" s="504">
        <f t="shared" si="249"/>
        <v>0</v>
      </c>
      <c r="AC182" s="504">
        <f t="shared" si="249"/>
        <v>0</v>
      </c>
      <c r="AD182" s="504">
        <f t="shared" si="249"/>
        <v>0</v>
      </c>
      <c r="AE182" s="504">
        <f t="shared" si="249"/>
        <v>0</v>
      </c>
      <c r="AF182" s="508"/>
      <c r="AG182" s="508"/>
      <c r="AH182" s="507" cm="1">
        <f t="array" ref="AH182">_xlfn.LET(_xlpm.DepreciationMonths,INDEX(FixedAssets[Depreciation
/ Amortization Months],_xlfn.XMATCH($E$135,FixedAssets[Asset ID])),IF(AND((_xlfn.XMATCH(AH$8,$AH$8:$CC$8))-_xlfn.XMATCH($C182,$C$35:$C$82)+1&lt;=_xlpm.DepreciationMonths,$C182&lt;=AH$8),$E182/_xlpm.DepreciationMonths,0))</f>
        <v>0</v>
      </c>
      <c r="AI182" s="507" cm="1">
        <f t="array" ref="AI182">_xlfn.LET(_xlpm.DepreciationMonths,INDEX(FixedAssets[Depreciation
/ Amortization Months],_xlfn.XMATCH($E$135,FixedAssets[Asset ID])),IF(AND((_xlfn.XMATCH(AI$8,$AH$8:$CC$8))-_xlfn.XMATCH($C182,$C$35:$C$82)+1&lt;=_xlpm.DepreciationMonths,$C182&lt;=AI$8),$E182/_xlpm.DepreciationMonths,0))</f>
        <v>0</v>
      </c>
      <c r="AJ182" s="507" cm="1">
        <f t="array" ref="AJ182">_xlfn.LET(_xlpm.DepreciationMonths,INDEX(FixedAssets[Depreciation
/ Amortization Months],_xlfn.XMATCH($E$135,FixedAssets[Asset ID])),IF(AND((_xlfn.XMATCH(AJ$8,$AH$8:$CC$8))-_xlfn.XMATCH($C182,$C$35:$C$82)+1&lt;=_xlpm.DepreciationMonths,$C182&lt;=AJ$8),$E182/_xlpm.DepreciationMonths,0))</f>
        <v>0</v>
      </c>
      <c r="AK182" s="507" cm="1">
        <f t="array" ref="AK182">_xlfn.LET(_xlpm.DepreciationMonths,INDEX(FixedAssets[Depreciation
/ Amortization Months],_xlfn.XMATCH($E$135,FixedAssets[Asset ID])),IF(AND((_xlfn.XMATCH(AK$8,$AH$8:$CC$8))-_xlfn.XMATCH($C182,$C$35:$C$82)+1&lt;=_xlpm.DepreciationMonths,$C182&lt;=AK$8),$E182/_xlpm.DepreciationMonths,0))</f>
        <v>0</v>
      </c>
      <c r="AL182" s="507" cm="1">
        <f t="array" ref="AL182">_xlfn.LET(_xlpm.DepreciationMonths,INDEX(FixedAssets[Depreciation
/ Amortization Months],_xlfn.XMATCH($E$135,FixedAssets[Asset ID])),IF(AND((_xlfn.XMATCH(AL$8,$AH$8:$CC$8))-_xlfn.XMATCH($C182,$C$35:$C$82)+1&lt;=_xlpm.DepreciationMonths,$C182&lt;=AL$8),$E182/_xlpm.DepreciationMonths,0))</f>
        <v>0</v>
      </c>
      <c r="AM182" s="507" cm="1">
        <f t="array" ref="AM182">_xlfn.LET(_xlpm.DepreciationMonths,INDEX(FixedAssets[Depreciation
/ Amortization Months],_xlfn.XMATCH($E$135,FixedAssets[Asset ID])),IF(AND((_xlfn.XMATCH(AM$8,$AH$8:$CC$8))-_xlfn.XMATCH($C182,$C$35:$C$82)+1&lt;=_xlpm.DepreciationMonths,$C182&lt;=AM$8),$E182/_xlpm.DepreciationMonths,0))</f>
        <v>0</v>
      </c>
      <c r="AN182" s="507" cm="1">
        <f t="array" ref="AN182">_xlfn.LET(_xlpm.DepreciationMonths,INDEX(FixedAssets[Depreciation
/ Amortization Months],_xlfn.XMATCH($E$135,FixedAssets[Asset ID])),IF(AND((_xlfn.XMATCH(AN$8,$AH$8:$CC$8))-_xlfn.XMATCH($C182,$C$35:$C$82)+1&lt;=_xlpm.DepreciationMonths,$C182&lt;=AN$8),$E182/_xlpm.DepreciationMonths,0))</f>
        <v>0</v>
      </c>
      <c r="AO182" s="507" cm="1">
        <f t="array" ref="AO182">_xlfn.LET(_xlpm.DepreciationMonths,INDEX(FixedAssets[Depreciation
/ Amortization Months],_xlfn.XMATCH($E$135,FixedAssets[Asset ID])),IF(AND((_xlfn.XMATCH(AO$8,$AH$8:$CC$8))-_xlfn.XMATCH($C182,$C$35:$C$82)+1&lt;=_xlpm.DepreciationMonths,$C182&lt;=AO$8),$E182/_xlpm.DepreciationMonths,0))</f>
        <v>0</v>
      </c>
      <c r="AP182" s="507" cm="1">
        <f t="array" ref="AP182">_xlfn.LET(_xlpm.DepreciationMonths,INDEX(FixedAssets[Depreciation
/ Amortization Months],_xlfn.XMATCH($E$135,FixedAssets[Asset ID])),IF(AND((_xlfn.XMATCH(AP$8,$AH$8:$CC$8))-_xlfn.XMATCH($C182,$C$35:$C$82)+1&lt;=_xlpm.DepreciationMonths,$C182&lt;=AP$8),$E182/_xlpm.DepreciationMonths,0))</f>
        <v>0</v>
      </c>
      <c r="AQ182" s="507" cm="1">
        <f t="array" ref="AQ182">_xlfn.LET(_xlpm.DepreciationMonths,INDEX(FixedAssets[Depreciation
/ Amortization Months],_xlfn.XMATCH($E$135,FixedAssets[Asset ID])),IF(AND((_xlfn.XMATCH(AQ$8,$AH$8:$CC$8))-_xlfn.XMATCH($C182,$C$35:$C$82)+1&lt;=_xlpm.DepreciationMonths,$C182&lt;=AQ$8),$E182/_xlpm.DepreciationMonths,0))</f>
        <v>0</v>
      </c>
      <c r="AR182" s="507" cm="1">
        <f t="array" ref="AR182">_xlfn.LET(_xlpm.DepreciationMonths,INDEX(FixedAssets[Depreciation
/ Amortization Months],_xlfn.XMATCH($E$135,FixedAssets[Asset ID])),IF(AND((_xlfn.XMATCH(AR$8,$AH$8:$CC$8))-_xlfn.XMATCH($C182,$C$35:$C$82)+1&lt;=_xlpm.DepreciationMonths,$C182&lt;=AR$8),$E182/_xlpm.DepreciationMonths,0))</f>
        <v>0</v>
      </c>
      <c r="AS182" s="507" cm="1">
        <f t="array" ref="AS182">_xlfn.LET(_xlpm.DepreciationMonths,INDEX(FixedAssets[Depreciation
/ Amortization Months],_xlfn.XMATCH($E$135,FixedAssets[Asset ID])),IF(AND((_xlfn.XMATCH(AS$8,$AH$8:$CC$8))-_xlfn.XMATCH($C182,$C$35:$C$82)+1&lt;=_xlpm.DepreciationMonths,$C182&lt;=AS$8),$E182/_xlpm.DepreciationMonths,0))</f>
        <v>0</v>
      </c>
      <c r="AT182" s="507" cm="1">
        <f t="array" ref="AT182">_xlfn.LET(_xlpm.DepreciationMonths,INDEX(FixedAssets[Depreciation
/ Amortization Months],_xlfn.XMATCH($E$135,FixedAssets[Asset ID])),IF(AND((_xlfn.XMATCH(AT$8,$AH$8:$CC$8))-_xlfn.XMATCH($C182,$C$35:$C$82)+1&lt;=_xlpm.DepreciationMonths,$C182&lt;=AT$8),$E182/_xlpm.DepreciationMonths,0))</f>
        <v>0</v>
      </c>
      <c r="AU182" s="507" cm="1">
        <f t="array" ref="AU182">_xlfn.LET(_xlpm.DepreciationMonths,INDEX(FixedAssets[Depreciation
/ Amortization Months],_xlfn.XMATCH($E$135,FixedAssets[Asset ID])),IF(AND((_xlfn.XMATCH(AU$8,$AH$8:$CC$8))-_xlfn.XMATCH($C182,$C$35:$C$82)+1&lt;=_xlpm.DepreciationMonths,$C182&lt;=AU$8),$E182/_xlpm.DepreciationMonths,0))</f>
        <v>0</v>
      </c>
      <c r="AV182" s="507" cm="1">
        <f t="array" ref="AV182">_xlfn.LET(_xlpm.DepreciationMonths,INDEX(FixedAssets[Depreciation
/ Amortization Months],_xlfn.XMATCH($E$135,FixedAssets[Asset ID])),IF(AND((_xlfn.XMATCH(AV$8,$AH$8:$CC$8))-_xlfn.XMATCH($C182,$C$35:$C$82)+1&lt;=_xlpm.DepreciationMonths,$C182&lt;=AV$8),$E182/_xlpm.DepreciationMonths,0))</f>
        <v>0</v>
      </c>
      <c r="AW182" s="507" cm="1">
        <f t="array" ref="AW182">_xlfn.LET(_xlpm.DepreciationMonths,INDEX(FixedAssets[Depreciation
/ Amortization Months],_xlfn.XMATCH($E$135,FixedAssets[Asset ID])),IF(AND((_xlfn.XMATCH(AW$8,$AH$8:$CC$8))-_xlfn.XMATCH($C182,$C$35:$C$82)+1&lt;=_xlpm.DepreciationMonths,$C182&lt;=AW$8),$E182/_xlpm.DepreciationMonths,0))</f>
        <v>0</v>
      </c>
      <c r="AX182" s="507" cm="1">
        <f t="array" ref="AX182">_xlfn.LET(_xlpm.DepreciationMonths,INDEX(FixedAssets[Depreciation
/ Amortization Months],_xlfn.XMATCH($E$135,FixedAssets[Asset ID])),IF(AND((_xlfn.XMATCH(AX$8,$AH$8:$CC$8))-_xlfn.XMATCH($C182,$C$35:$C$82)+1&lt;=_xlpm.DepreciationMonths,$C182&lt;=AX$8),$E182/_xlpm.DepreciationMonths,0))</f>
        <v>0</v>
      </c>
      <c r="AY182" s="507" cm="1">
        <f t="array" ref="AY182">_xlfn.LET(_xlpm.DepreciationMonths,INDEX(FixedAssets[Depreciation
/ Amortization Months],_xlfn.XMATCH($E$135,FixedAssets[Asset ID])),IF(AND((_xlfn.XMATCH(AY$8,$AH$8:$CC$8))-_xlfn.XMATCH($C182,$C$35:$C$82)+1&lt;=_xlpm.DepreciationMonths,$C182&lt;=AY$8),$E182/_xlpm.DepreciationMonths,0))</f>
        <v>0</v>
      </c>
      <c r="AZ182" s="507" cm="1">
        <f t="array" ref="AZ182">_xlfn.LET(_xlpm.DepreciationMonths,INDEX(FixedAssets[Depreciation
/ Amortization Months],_xlfn.XMATCH($E$135,FixedAssets[Asset ID])),IF(AND((_xlfn.XMATCH(AZ$8,$AH$8:$CC$8))-_xlfn.XMATCH($C182,$C$35:$C$82)+1&lt;=_xlpm.DepreciationMonths,$C182&lt;=AZ$8),$E182/_xlpm.DepreciationMonths,0))</f>
        <v>0</v>
      </c>
      <c r="BA182" s="507" cm="1">
        <f t="array" ref="BA182">_xlfn.LET(_xlpm.DepreciationMonths,INDEX(FixedAssets[Depreciation
/ Amortization Months],_xlfn.XMATCH($E$135,FixedAssets[Asset ID])),IF(AND((_xlfn.XMATCH(BA$8,$AH$8:$CC$8))-_xlfn.XMATCH($C182,$C$35:$C$82)+1&lt;=_xlpm.DepreciationMonths,$C182&lt;=BA$8),$E182/_xlpm.DepreciationMonths,0))</f>
        <v>0</v>
      </c>
      <c r="BB182" s="507" cm="1">
        <f t="array" ref="BB182">_xlfn.LET(_xlpm.DepreciationMonths,INDEX(FixedAssets[Depreciation
/ Amortization Months],_xlfn.XMATCH($E$135,FixedAssets[Asset ID])),IF(AND((_xlfn.XMATCH(BB$8,$AH$8:$CC$8))-_xlfn.XMATCH($C182,$C$35:$C$82)+1&lt;=_xlpm.DepreciationMonths,$C182&lt;=BB$8),$E182/_xlpm.DepreciationMonths,0))</f>
        <v>0</v>
      </c>
      <c r="BC182" s="507" cm="1">
        <f t="array" ref="BC182">_xlfn.LET(_xlpm.DepreciationMonths,INDEX(FixedAssets[Depreciation
/ Amortization Months],_xlfn.XMATCH($E$135,FixedAssets[Asset ID])),IF(AND((_xlfn.XMATCH(BC$8,$AH$8:$CC$8))-_xlfn.XMATCH($C182,$C$35:$C$82)+1&lt;=_xlpm.DepreciationMonths,$C182&lt;=BC$8),$E182/_xlpm.DepreciationMonths,0))</f>
        <v>0</v>
      </c>
      <c r="BD182" s="507" cm="1">
        <f t="array" ref="BD182">_xlfn.LET(_xlpm.DepreciationMonths,INDEX(FixedAssets[Depreciation
/ Amortization Months],_xlfn.XMATCH($E$135,FixedAssets[Asset ID])),IF(AND((_xlfn.XMATCH(BD$8,$AH$8:$CC$8))-_xlfn.XMATCH($C182,$C$35:$C$82)+1&lt;=_xlpm.DepreciationMonths,$C182&lt;=BD$8),$E182/_xlpm.DepreciationMonths,0))</f>
        <v>0</v>
      </c>
      <c r="BE182" s="507" cm="1">
        <f t="array" ref="BE182">_xlfn.LET(_xlpm.DepreciationMonths,INDEX(FixedAssets[Depreciation
/ Amortization Months],_xlfn.XMATCH($E$135,FixedAssets[Asset ID])),IF(AND((_xlfn.XMATCH(BE$8,$AH$8:$CC$8))-_xlfn.XMATCH($C182,$C$35:$C$82)+1&lt;=_xlpm.DepreciationMonths,$C182&lt;=BE$8),$E182/_xlpm.DepreciationMonths,0))</f>
        <v>0</v>
      </c>
      <c r="BF182" s="507" cm="1">
        <f t="array" ref="BF182">_xlfn.LET(_xlpm.DepreciationMonths,INDEX(FixedAssets[Depreciation
/ Amortization Months],_xlfn.XMATCH($E$135,FixedAssets[Asset ID])),IF(AND((_xlfn.XMATCH(BF$8,$AH$8:$CC$8))-_xlfn.XMATCH($C182,$C$35:$C$82)+1&lt;=_xlpm.DepreciationMonths,$C182&lt;=BF$8),$E182/_xlpm.DepreciationMonths,0))</f>
        <v>0</v>
      </c>
      <c r="BG182" s="507" cm="1">
        <f t="array" ref="BG182">_xlfn.LET(_xlpm.DepreciationMonths,INDEX(FixedAssets[Depreciation
/ Amortization Months],_xlfn.XMATCH($E$135,FixedAssets[Asset ID])),IF(AND((_xlfn.XMATCH(BG$8,$AH$8:$CC$8))-_xlfn.XMATCH($C182,$C$35:$C$82)+1&lt;=_xlpm.DepreciationMonths,$C182&lt;=BG$8),$E182/_xlpm.DepreciationMonths,0))</f>
        <v>0</v>
      </c>
      <c r="BH182" s="507" cm="1">
        <f t="array" ref="BH182">_xlfn.LET(_xlpm.DepreciationMonths,INDEX(FixedAssets[Depreciation
/ Amortization Months],_xlfn.XMATCH($E$135,FixedAssets[Asset ID])),IF(AND((_xlfn.XMATCH(BH$8,$AH$8:$CC$8))-_xlfn.XMATCH($C182,$C$35:$C$82)+1&lt;=_xlpm.DepreciationMonths,$C182&lt;=BH$8),$E182/_xlpm.DepreciationMonths,0))</f>
        <v>0</v>
      </c>
      <c r="BI182" s="507" cm="1">
        <f t="array" ref="BI182">_xlfn.LET(_xlpm.DepreciationMonths,INDEX(FixedAssets[Depreciation
/ Amortization Months],_xlfn.XMATCH($E$135,FixedAssets[Asset ID])),IF(AND((_xlfn.XMATCH(BI$8,$AH$8:$CC$8))-_xlfn.XMATCH($C182,$C$35:$C$82)+1&lt;=_xlpm.DepreciationMonths,$C182&lt;=BI$8),$E182/_xlpm.DepreciationMonths,0))</f>
        <v>0</v>
      </c>
      <c r="BJ182" s="507" cm="1">
        <f t="array" ref="BJ182">_xlfn.LET(_xlpm.DepreciationMonths,INDEX(FixedAssets[Depreciation
/ Amortization Months],_xlfn.XMATCH($E$135,FixedAssets[Asset ID])),IF(AND((_xlfn.XMATCH(BJ$8,$AH$8:$CC$8))-_xlfn.XMATCH($C182,$C$35:$C$82)+1&lt;=_xlpm.DepreciationMonths,$C182&lt;=BJ$8),$E182/_xlpm.DepreciationMonths,0))</f>
        <v>0</v>
      </c>
      <c r="BK182" s="507" cm="1">
        <f t="array" ref="BK182">_xlfn.LET(_xlpm.DepreciationMonths,INDEX(FixedAssets[Depreciation
/ Amortization Months],_xlfn.XMATCH($E$135,FixedAssets[Asset ID])),IF(AND((_xlfn.XMATCH(BK$8,$AH$8:$CC$8))-_xlfn.XMATCH($C182,$C$35:$C$82)+1&lt;=_xlpm.DepreciationMonths,$C182&lt;=BK$8),$E182/_xlpm.DepreciationMonths,0))</f>
        <v>0</v>
      </c>
      <c r="BL182" s="507" cm="1">
        <f t="array" ref="BL182">_xlfn.LET(_xlpm.DepreciationMonths,INDEX(FixedAssets[Depreciation
/ Amortization Months],_xlfn.XMATCH($E$135,FixedAssets[Asset ID])),IF(AND((_xlfn.XMATCH(BL$8,$AH$8:$CC$8))-_xlfn.XMATCH($C182,$C$35:$C$82)+1&lt;=_xlpm.DepreciationMonths,$C182&lt;=BL$8),$E182/_xlpm.DepreciationMonths,0))</f>
        <v>0</v>
      </c>
      <c r="BM182" s="507" cm="1">
        <f t="array" ref="BM182">_xlfn.LET(_xlpm.DepreciationMonths,INDEX(FixedAssets[Depreciation
/ Amortization Months],_xlfn.XMATCH($E$135,FixedAssets[Asset ID])),IF(AND((_xlfn.XMATCH(BM$8,$AH$8:$CC$8))-_xlfn.XMATCH($C182,$C$35:$C$82)+1&lt;=_xlpm.DepreciationMonths,$C182&lt;=BM$8),$E182/_xlpm.DepreciationMonths,0))</f>
        <v>0</v>
      </c>
      <c r="BN182" s="507" cm="1">
        <f t="array" ref="BN182">_xlfn.LET(_xlpm.DepreciationMonths,INDEX(FixedAssets[Depreciation
/ Amortization Months],_xlfn.XMATCH($E$135,FixedAssets[Asset ID])),IF(AND((_xlfn.XMATCH(BN$8,$AH$8:$CC$8))-_xlfn.XMATCH($C182,$C$35:$C$82)+1&lt;=_xlpm.DepreciationMonths,$C182&lt;=BN$8),$E182/_xlpm.DepreciationMonths,0))</f>
        <v>0</v>
      </c>
      <c r="BO182" s="507" cm="1">
        <f t="array" ref="BO182">_xlfn.LET(_xlpm.DepreciationMonths,INDEX(FixedAssets[Depreciation
/ Amortization Months],_xlfn.XMATCH($E$135,FixedAssets[Asset ID])),IF(AND((_xlfn.XMATCH(BO$8,$AH$8:$CC$8))-_xlfn.XMATCH($C182,$C$35:$C$82)+1&lt;=_xlpm.DepreciationMonths,$C182&lt;=BO$8),$E182/_xlpm.DepreciationMonths,0))</f>
        <v>0</v>
      </c>
      <c r="BP182" s="507" cm="1">
        <f t="array" ref="BP182">_xlfn.LET(_xlpm.DepreciationMonths,INDEX(FixedAssets[Depreciation
/ Amortization Months],_xlfn.XMATCH($E$135,FixedAssets[Asset ID])),IF(AND((_xlfn.XMATCH(BP$8,$AH$8:$CC$8))-_xlfn.XMATCH($C182,$C$35:$C$82)+1&lt;=_xlpm.DepreciationMonths,$C182&lt;=BP$8),$E182/_xlpm.DepreciationMonths,0))</f>
        <v>0</v>
      </c>
      <c r="BQ182" s="507" cm="1">
        <f t="array" ref="BQ182">_xlfn.LET(_xlpm.DepreciationMonths,INDEX(FixedAssets[Depreciation
/ Amortization Months],_xlfn.XMATCH($E$135,FixedAssets[Asset ID])),IF(AND((_xlfn.XMATCH(BQ$8,$AH$8:$CC$8))-_xlfn.XMATCH($C182,$C$35:$C$82)+1&lt;=_xlpm.DepreciationMonths,$C182&lt;=BQ$8),$E182/_xlpm.DepreciationMonths,0))</f>
        <v>0</v>
      </c>
      <c r="BR182" s="507" cm="1">
        <f t="array" ref="BR182">_xlfn.LET(_xlpm.DepreciationMonths,INDEX(FixedAssets[Depreciation
/ Amortization Months],_xlfn.XMATCH($E$135,FixedAssets[Asset ID])),IF(AND((_xlfn.XMATCH(BR$8,$AH$8:$CC$8))-_xlfn.XMATCH($C182,$C$35:$C$82)+1&lt;=_xlpm.DepreciationMonths,$C182&lt;=BR$8),$E182/_xlpm.DepreciationMonths,0))</f>
        <v>0</v>
      </c>
      <c r="BS182" s="507" cm="1">
        <f t="array" ref="BS182">_xlfn.LET(_xlpm.DepreciationMonths,INDEX(FixedAssets[Depreciation
/ Amortization Months],_xlfn.XMATCH($E$135,FixedAssets[Asset ID])),IF(AND((_xlfn.XMATCH(BS$8,$AH$8:$CC$8))-_xlfn.XMATCH($C182,$C$35:$C$82)+1&lt;=_xlpm.DepreciationMonths,$C182&lt;=BS$8),$E182/_xlpm.DepreciationMonths,0))</f>
        <v>0</v>
      </c>
      <c r="BT182" s="507" cm="1">
        <f t="array" ref="BT182">_xlfn.LET(_xlpm.DepreciationMonths,INDEX(FixedAssets[Depreciation
/ Amortization Months],_xlfn.XMATCH($E$135,FixedAssets[Asset ID])),IF(AND((_xlfn.XMATCH(BT$8,$AH$8:$CC$8))-_xlfn.XMATCH($C182,$C$35:$C$82)+1&lt;=_xlpm.DepreciationMonths,$C182&lt;=BT$8),$E182/_xlpm.DepreciationMonths,0))</f>
        <v>0</v>
      </c>
      <c r="BU182" s="507" cm="1">
        <f t="array" ref="BU182">_xlfn.LET(_xlpm.DepreciationMonths,INDEX(FixedAssets[Depreciation
/ Amortization Months],_xlfn.XMATCH($E$135,FixedAssets[Asset ID])),IF(AND((_xlfn.XMATCH(BU$8,$AH$8:$CC$8))-_xlfn.XMATCH($C182,$C$35:$C$82)+1&lt;=_xlpm.DepreciationMonths,$C182&lt;=BU$8),$E182/_xlpm.DepreciationMonths,0))</f>
        <v>0</v>
      </c>
      <c r="BV182" s="507" cm="1">
        <f t="array" ref="BV182">_xlfn.LET(_xlpm.DepreciationMonths,INDEX(FixedAssets[Depreciation
/ Amortization Months],_xlfn.XMATCH($E$135,FixedAssets[Asset ID])),IF(AND((_xlfn.XMATCH(BV$8,$AH$8:$CC$8))-_xlfn.XMATCH($C182,$C$35:$C$82)+1&lt;=_xlpm.DepreciationMonths,$C182&lt;=BV$8),$E182/_xlpm.DepreciationMonths,0))</f>
        <v>0</v>
      </c>
      <c r="BW182" s="507" cm="1">
        <f t="array" ref="BW182">_xlfn.LET(_xlpm.DepreciationMonths,INDEX(FixedAssets[Depreciation
/ Amortization Months],_xlfn.XMATCH($E$135,FixedAssets[Asset ID])),IF(AND((_xlfn.XMATCH(BW$8,$AH$8:$CC$8))-_xlfn.XMATCH($C182,$C$35:$C$82)+1&lt;=_xlpm.DepreciationMonths,$C182&lt;=BW$8),$E182/_xlpm.DepreciationMonths,0))</f>
        <v>0</v>
      </c>
      <c r="BX182" s="507" cm="1">
        <f t="array" ref="BX182">_xlfn.LET(_xlpm.DepreciationMonths,INDEX(FixedAssets[Depreciation
/ Amortization Months],_xlfn.XMATCH($E$135,FixedAssets[Asset ID])),IF(AND((_xlfn.XMATCH(BX$8,$AH$8:$CC$8))-_xlfn.XMATCH($C182,$C$35:$C$82)+1&lt;=_xlpm.DepreciationMonths,$C182&lt;=BX$8),$E182/_xlpm.DepreciationMonths,0))</f>
        <v>0</v>
      </c>
      <c r="BY182" s="507" cm="1">
        <f t="array" ref="BY182">_xlfn.LET(_xlpm.DepreciationMonths,INDEX(FixedAssets[Depreciation
/ Amortization Months],_xlfn.XMATCH($E$135,FixedAssets[Asset ID])),IF(AND((_xlfn.XMATCH(BY$8,$AH$8:$CC$8))-_xlfn.XMATCH($C182,$C$35:$C$82)+1&lt;=_xlpm.DepreciationMonths,$C182&lt;=BY$8),$E182/_xlpm.DepreciationMonths,0))</f>
        <v>0</v>
      </c>
      <c r="BZ182" s="507" cm="1">
        <f t="array" ref="BZ182">_xlfn.LET(_xlpm.DepreciationMonths,INDEX(FixedAssets[Depreciation
/ Amortization Months],_xlfn.XMATCH($E$135,FixedAssets[Asset ID])),IF(AND((_xlfn.XMATCH(BZ$8,$AH$8:$CC$8))-_xlfn.XMATCH($C182,$C$35:$C$82)+1&lt;=_xlpm.DepreciationMonths,$C182&lt;=BZ$8),$E182/_xlpm.DepreciationMonths,0))</f>
        <v>0</v>
      </c>
      <c r="CA182" s="507" cm="1">
        <f t="array" ref="CA182">_xlfn.LET(_xlpm.DepreciationMonths,INDEX(FixedAssets[Depreciation
/ Amortization Months],_xlfn.XMATCH($E$135,FixedAssets[Asset ID])),IF(AND((_xlfn.XMATCH(CA$8,$AH$8:$CC$8))-_xlfn.XMATCH($C182,$C$35:$C$82)+1&lt;=_xlpm.DepreciationMonths,$C182&lt;=CA$8),$E182/_xlpm.DepreciationMonths,0))</f>
        <v>0</v>
      </c>
      <c r="CB182" s="507" cm="1">
        <f t="array" ref="CB182">_xlfn.LET(_xlpm.DepreciationMonths,INDEX(FixedAssets[Depreciation
/ Amortization Months],_xlfn.XMATCH($E$135,FixedAssets[Asset ID])),IF(AND((_xlfn.XMATCH(CB$8,$AH$8:$CC$8))-_xlfn.XMATCH($C182,$C$35:$C$82)+1&lt;=_xlpm.DepreciationMonths,$C182&lt;=CB$8),$E182/_xlpm.DepreciationMonths,0))</f>
        <v>0</v>
      </c>
      <c r="CC182" s="507" cm="1">
        <f t="array" ref="CC182">_xlfn.LET(_xlpm.DepreciationMonths,INDEX(FixedAssets[Depreciation
/ Amortization Months],_xlfn.XMATCH($E$135,FixedAssets[Asset ID])),IF(AND((_xlfn.XMATCH(CC$8,$AH$8:$CC$8))-_xlfn.XMATCH($C182,$C$35:$C$82)+1&lt;=_xlpm.DepreciationMonths,$C182&lt;=CC$8),$E182/_xlpm.DepreciationMonths,0))</f>
        <v>0</v>
      </c>
    </row>
    <row r="183" spans="3:81" hidden="1" outlineLevel="2">
      <c r="C183" s="664">
        <f t="shared" si="243"/>
        <v>46356</v>
      </c>
      <c r="D183" s="508"/>
      <c r="E183" s="508" cm="1">
        <f t="array" ref="E183">SUMPRODUCT(($AH$26:$CC$31)*($AH$5:$CC$5=$C183)*($E$26:$E$31=E$135))-SUMPRODUCT(($AH$26:$CC$31)*($AH$5:$CC$5=EOMONTH($C183,-1))*($E$26:$E$31=E$135))</f>
        <v>0</v>
      </c>
      <c r="F183" s="508"/>
      <c r="G183" s="508"/>
      <c r="H183" s="508"/>
      <c r="I183" s="508"/>
      <c r="J183" s="504">
        <f t="shared" si="240"/>
        <v>0</v>
      </c>
      <c r="K183" s="504">
        <f t="shared" si="248"/>
        <v>0</v>
      </c>
      <c r="L183" s="504">
        <f t="shared" si="248"/>
        <v>0</v>
      </c>
      <c r="M183" s="504">
        <f t="shared" si="248"/>
        <v>0</v>
      </c>
      <c r="N183" s="504"/>
      <c r="O183" s="504"/>
      <c r="P183" s="504">
        <f t="shared" si="249"/>
        <v>0</v>
      </c>
      <c r="Q183" s="504">
        <f t="shared" si="249"/>
        <v>0</v>
      </c>
      <c r="R183" s="504">
        <f t="shared" si="249"/>
        <v>0</v>
      </c>
      <c r="S183" s="504">
        <f t="shared" si="249"/>
        <v>0</v>
      </c>
      <c r="T183" s="504">
        <f t="shared" si="249"/>
        <v>0</v>
      </c>
      <c r="U183" s="504">
        <f t="shared" si="249"/>
        <v>0</v>
      </c>
      <c r="V183" s="504">
        <f t="shared" si="249"/>
        <v>0</v>
      </c>
      <c r="W183" s="504">
        <f t="shared" si="249"/>
        <v>0</v>
      </c>
      <c r="X183" s="504">
        <f t="shared" si="249"/>
        <v>0</v>
      </c>
      <c r="Y183" s="504">
        <f t="shared" si="249"/>
        <v>0</v>
      </c>
      <c r="Z183" s="504">
        <f t="shared" si="249"/>
        <v>0</v>
      </c>
      <c r="AA183" s="504">
        <f t="shared" si="249"/>
        <v>0</v>
      </c>
      <c r="AB183" s="504">
        <f t="shared" si="249"/>
        <v>0</v>
      </c>
      <c r="AC183" s="504">
        <f t="shared" si="249"/>
        <v>0</v>
      </c>
      <c r="AD183" s="504">
        <f t="shared" si="249"/>
        <v>0</v>
      </c>
      <c r="AE183" s="504">
        <f t="shared" si="249"/>
        <v>0</v>
      </c>
      <c r="AF183" s="508"/>
      <c r="AG183" s="508"/>
      <c r="AH183" s="507" cm="1">
        <f t="array" ref="AH183">_xlfn.LET(_xlpm.DepreciationMonths,INDEX(FixedAssets[Depreciation
/ Amortization Months],_xlfn.XMATCH($E$135,FixedAssets[Asset ID])),IF(AND((_xlfn.XMATCH(AH$8,$AH$8:$CC$8))-_xlfn.XMATCH($C183,$C$35:$C$82)+1&lt;=_xlpm.DepreciationMonths,$C183&lt;=AH$8),$E183/_xlpm.DepreciationMonths,0))</f>
        <v>0</v>
      </c>
      <c r="AI183" s="507" cm="1">
        <f t="array" ref="AI183">_xlfn.LET(_xlpm.DepreciationMonths,INDEX(FixedAssets[Depreciation
/ Amortization Months],_xlfn.XMATCH($E$135,FixedAssets[Asset ID])),IF(AND((_xlfn.XMATCH(AI$8,$AH$8:$CC$8))-_xlfn.XMATCH($C183,$C$35:$C$82)+1&lt;=_xlpm.DepreciationMonths,$C183&lt;=AI$8),$E183/_xlpm.DepreciationMonths,0))</f>
        <v>0</v>
      </c>
      <c r="AJ183" s="507" cm="1">
        <f t="array" ref="AJ183">_xlfn.LET(_xlpm.DepreciationMonths,INDEX(FixedAssets[Depreciation
/ Amortization Months],_xlfn.XMATCH($E$135,FixedAssets[Asset ID])),IF(AND((_xlfn.XMATCH(AJ$8,$AH$8:$CC$8))-_xlfn.XMATCH($C183,$C$35:$C$82)+1&lt;=_xlpm.DepreciationMonths,$C183&lt;=AJ$8),$E183/_xlpm.DepreciationMonths,0))</f>
        <v>0</v>
      </c>
      <c r="AK183" s="507" cm="1">
        <f t="array" ref="AK183">_xlfn.LET(_xlpm.DepreciationMonths,INDEX(FixedAssets[Depreciation
/ Amortization Months],_xlfn.XMATCH($E$135,FixedAssets[Asset ID])),IF(AND((_xlfn.XMATCH(AK$8,$AH$8:$CC$8))-_xlfn.XMATCH($C183,$C$35:$C$82)+1&lt;=_xlpm.DepreciationMonths,$C183&lt;=AK$8),$E183/_xlpm.DepreciationMonths,0))</f>
        <v>0</v>
      </c>
      <c r="AL183" s="507" cm="1">
        <f t="array" ref="AL183">_xlfn.LET(_xlpm.DepreciationMonths,INDEX(FixedAssets[Depreciation
/ Amortization Months],_xlfn.XMATCH($E$135,FixedAssets[Asset ID])),IF(AND((_xlfn.XMATCH(AL$8,$AH$8:$CC$8))-_xlfn.XMATCH($C183,$C$35:$C$82)+1&lt;=_xlpm.DepreciationMonths,$C183&lt;=AL$8),$E183/_xlpm.DepreciationMonths,0))</f>
        <v>0</v>
      </c>
      <c r="AM183" s="507" cm="1">
        <f t="array" ref="AM183">_xlfn.LET(_xlpm.DepreciationMonths,INDEX(FixedAssets[Depreciation
/ Amortization Months],_xlfn.XMATCH($E$135,FixedAssets[Asset ID])),IF(AND((_xlfn.XMATCH(AM$8,$AH$8:$CC$8))-_xlfn.XMATCH($C183,$C$35:$C$82)+1&lt;=_xlpm.DepreciationMonths,$C183&lt;=AM$8),$E183/_xlpm.DepreciationMonths,0))</f>
        <v>0</v>
      </c>
      <c r="AN183" s="507" cm="1">
        <f t="array" ref="AN183">_xlfn.LET(_xlpm.DepreciationMonths,INDEX(FixedAssets[Depreciation
/ Amortization Months],_xlfn.XMATCH($E$135,FixedAssets[Asset ID])),IF(AND((_xlfn.XMATCH(AN$8,$AH$8:$CC$8))-_xlfn.XMATCH($C183,$C$35:$C$82)+1&lt;=_xlpm.DepreciationMonths,$C183&lt;=AN$8),$E183/_xlpm.DepreciationMonths,0))</f>
        <v>0</v>
      </c>
      <c r="AO183" s="507" cm="1">
        <f t="array" ref="AO183">_xlfn.LET(_xlpm.DepreciationMonths,INDEX(FixedAssets[Depreciation
/ Amortization Months],_xlfn.XMATCH($E$135,FixedAssets[Asset ID])),IF(AND((_xlfn.XMATCH(AO$8,$AH$8:$CC$8))-_xlfn.XMATCH($C183,$C$35:$C$82)+1&lt;=_xlpm.DepreciationMonths,$C183&lt;=AO$8),$E183/_xlpm.DepreciationMonths,0))</f>
        <v>0</v>
      </c>
      <c r="AP183" s="507" cm="1">
        <f t="array" ref="AP183">_xlfn.LET(_xlpm.DepreciationMonths,INDEX(FixedAssets[Depreciation
/ Amortization Months],_xlfn.XMATCH($E$135,FixedAssets[Asset ID])),IF(AND((_xlfn.XMATCH(AP$8,$AH$8:$CC$8))-_xlfn.XMATCH($C183,$C$35:$C$82)+1&lt;=_xlpm.DepreciationMonths,$C183&lt;=AP$8),$E183/_xlpm.DepreciationMonths,0))</f>
        <v>0</v>
      </c>
      <c r="AQ183" s="507" cm="1">
        <f t="array" ref="AQ183">_xlfn.LET(_xlpm.DepreciationMonths,INDEX(FixedAssets[Depreciation
/ Amortization Months],_xlfn.XMATCH($E$135,FixedAssets[Asset ID])),IF(AND((_xlfn.XMATCH(AQ$8,$AH$8:$CC$8))-_xlfn.XMATCH($C183,$C$35:$C$82)+1&lt;=_xlpm.DepreciationMonths,$C183&lt;=AQ$8),$E183/_xlpm.DepreciationMonths,0))</f>
        <v>0</v>
      </c>
      <c r="AR183" s="507" cm="1">
        <f t="array" ref="AR183">_xlfn.LET(_xlpm.DepreciationMonths,INDEX(FixedAssets[Depreciation
/ Amortization Months],_xlfn.XMATCH($E$135,FixedAssets[Asset ID])),IF(AND((_xlfn.XMATCH(AR$8,$AH$8:$CC$8))-_xlfn.XMATCH($C183,$C$35:$C$82)+1&lt;=_xlpm.DepreciationMonths,$C183&lt;=AR$8),$E183/_xlpm.DepreciationMonths,0))</f>
        <v>0</v>
      </c>
      <c r="AS183" s="507" cm="1">
        <f t="array" ref="AS183">_xlfn.LET(_xlpm.DepreciationMonths,INDEX(FixedAssets[Depreciation
/ Amortization Months],_xlfn.XMATCH($E$135,FixedAssets[Asset ID])),IF(AND((_xlfn.XMATCH(AS$8,$AH$8:$CC$8))-_xlfn.XMATCH($C183,$C$35:$C$82)+1&lt;=_xlpm.DepreciationMonths,$C183&lt;=AS$8),$E183/_xlpm.DepreciationMonths,0))</f>
        <v>0</v>
      </c>
      <c r="AT183" s="507" cm="1">
        <f t="array" ref="AT183">_xlfn.LET(_xlpm.DepreciationMonths,INDEX(FixedAssets[Depreciation
/ Amortization Months],_xlfn.XMATCH($E$135,FixedAssets[Asset ID])),IF(AND((_xlfn.XMATCH(AT$8,$AH$8:$CC$8))-_xlfn.XMATCH($C183,$C$35:$C$82)+1&lt;=_xlpm.DepreciationMonths,$C183&lt;=AT$8),$E183/_xlpm.DepreciationMonths,0))</f>
        <v>0</v>
      </c>
      <c r="AU183" s="507" cm="1">
        <f t="array" ref="AU183">_xlfn.LET(_xlpm.DepreciationMonths,INDEX(FixedAssets[Depreciation
/ Amortization Months],_xlfn.XMATCH($E$135,FixedAssets[Asset ID])),IF(AND((_xlfn.XMATCH(AU$8,$AH$8:$CC$8))-_xlfn.XMATCH($C183,$C$35:$C$82)+1&lt;=_xlpm.DepreciationMonths,$C183&lt;=AU$8),$E183/_xlpm.DepreciationMonths,0))</f>
        <v>0</v>
      </c>
      <c r="AV183" s="507" cm="1">
        <f t="array" ref="AV183">_xlfn.LET(_xlpm.DepreciationMonths,INDEX(FixedAssets[Depreciation
/ Amortization Months],_xlfn.XMATCH($E$135,FixedAssets[Asset ID])),IF(AND((_xlfn.XMATCH(AV$8,$AH$8:$CC$8))-_xlfn.XMATCH($C183,$C$35:$C$82)+1&lt;=_xlpm.DepreciationMonths,$C183&lt;=AV$8),$E183/_xlpm.DepreciationMonths,0))</f>
        <v>0</v>
      </c>
      <c r="AW183" s="507" cm="1">
        <f t="array" ref="AW183">_xlfn.LET(_xlpm.DepreciationMonths,INDEX(FixedAssets[Depreciation
/ Amortization Months],_xlfn.XMATCH($E$135,FixedAssets[Asset ID])),IF(AND((_xlfn.XMATCH(AW$8,$AH$8:$CC$8))-_xlfn.XMATCH($C183,$C$35:$C$82)+1&lt;=_xlpm.DepreciationMonths,$C183&lt;=AW$8),$E183/_xlpm.DepreciationMonths,0))</f>
        <v>0</v>
      </c>
      <c r="AX183" s="507" cm="1">
        <f t="array" ref="AX183">_xlfn.LET(_xlpm.DepreciationMonths,INDEX(FixedAssets[Depreciation
/ Amortization Months],_xlfn.XMATCH($E$135,FixedAssets[Asset ID])),IF(AND((_xlfn.XMATCH(AX$8,$AH$8:$CC$8))-_xlfn.XMATCH($C183,$C$35:$C$82)+1&lt;=_xlpm.DepreciationMonths,$C183&lt;=AX$8),$E183/_xlpm.DepreciationMonths,0))</f>
        <v>0</v>
      </c>
      <c r="AY183" s="507" cm="1">
        <f t="array" ref="AY183">_xlfn.LET(_xlpm.DepreciationMonths,INDEX(FixedAssets[Depreciation
/ Amortization Months],_xlfn.XMATCH($E$135,FixedAssets[Asset ID])),IF(AND((_xlfn.XMATCH(AY$8,$AH$8:$CC$8))-_xlfn.XMATCH($C183,$C$35:$C$82)+1&lt;=_xlpm.DepreciationMonths,$C183&lt;=AY$8),$E183/_xlpm.DepreciationMonths,0))</f>
        <v>0</v>
      </c>
      <c r="AZ183" s="507" cm="1">
        <f t="array" ref="AZ183">_xlfn.LET(_xlpm.DepreciationMonths,INDEX(FixedAssets[Depreciation
/ Amortization Months],_xlfn.XMATCH($E$135,FixedAssets[Asset ID])),IF(AND((_xlfn.XMATCH(AZ$8,$AH$8:$CC$8))-_xlfn.XMATCH($C183,$C$35:$C$82)+1&lt;=_xlpm.DepreciationMonths,$C183&lt;=AZ$8),$E183/_xlpm.DepreciationMonths,0))</f>
        <v>0</v>
      </c>
      <c r="BA183" s="507" cm="1">
        <f t="array" ref="BA183">_xlfn.LET(_xlpm.DepreciationMonths,INDEX(FixedAssets[Depreciation
/ Amortization Months],_xlfn.XMATCH($E$135,FixedAssets[Asset ID])),IF(AND((_xlfn.XMATCH(BA$8,$AH$8:$CC$8))-_xlfn.XMATCH($C183,$C$35:$C$82)+1&lt;=_xlpm.DepreciationMonths,$C183&lt;=BA$8),$E183/_xlpm.DepreciationMonths,0))</f>
        <v>0</v>
      </c>
      <c r="BB183" s="507" cm="1">
        <f t="array" ref="BB183">_xlfn.LET(_xlpm.DepreciationMonths,INDEX(FixedAssets[Depreciation
/ Amortization Months],_xlfn.XMATCH($E$135,FixedAssets[Asset ID])),IF(AND((_xlfn.XMATCH(BB$8,$AH$8:$CC$8))-_xlfn.XMATCH($C183,$C$35:$C$82)+1&lt;=_xlpm.DepreciationMonths,$C183&lt;=BB$8),$E183/_xlpm.DepreciationMonths,0))</f>
        <v>0</v>
      </c>
      <c r="BC183" s="507" cm="1">
        <f t="array" ref="BC183">_xlfn.LET(_xlpm.DepreciationMonths,INDEX(FixedAssets[Depreciation
/ Amortization Months],_xlfn.XMATCH($E$135,FixedAssets[Asset ID])),IF(AND((_xlfn.XMATCH(BC$8,$AH$8:$CC$8))-_xlfn.XMATCH($C183,$C$35:$C$82)+1&lt;=_xlpm.DepreciationMonths,$C183&lt;=BC$8),$E183/_xlpm.DepreciationMonths,0))</f>
        <v>0</v>
      </c>
      <c r="BD183" s="507" cm="1">
        <f t="array" ref="BD183">_xlfn.LET(_xlpm.DepreciationMonths,INDEX(FixedAssets[Depreciation
/ Amortization Months],_xlfn.XMATCH($E$135,FixedAssets[Asset ID])),IF(AND((_xlfn.XMATCH(BD$8,$AH$8:$CC$8))-_xlfn.XMATCH($C183,$C$35:$C$82)+1&lt;=_xlpm.DepreciationMonths,$C183&lt;=BD$8),$E183/_xlpm.DepreciationMonths,0))</f>
        <v>0</v>
      </c>
      <c r="BE183" s="507" cm="1">
        <f t="array" ref="BE183">_xlfn.LET(_xlpm.DepreciationMonths,INDEX(FixedAssets[Depreciation
/ Amortization Months],_xlfn.XMATCH($E$135,FixedAssets[Asset ID])),IF(AND((_xlfn.XMATCH(BE$8,$AH$8:$CC$8))-_xlfn.XMATCH($C183,$C$35:$C$82)+1&lt;=_xlpm.DepreciationMonths,$C183&lt;=BE$8),$E183/_xlpm.DepreciationMonths,0))</f>
        <v>0</v>
      </c>
      <c r="BF183" s="507" cm="1">
        <f t="array" ref="BF183">_xlfn.LET(_xlpm.DepreciationMonths,INDEX(FixedAssets[Depreciation
/ Amortization Months],_xlfn.XMATCH($E$135,FixedAssets[Asset ID])),IF(AND((_xlfn.XMATCH(BF$8,$AH$8:$CC$8))-_xlfn.XMATCH($C183,$C$35:$C$82)+1&lt;=_xlpm.DepreciationMonths,$C183&lt;=BF$8),$E183/_xlpm.DepreciationMonths,0))</f>
        <v>0</v>
      </c>
      <c r="BG183" s="507" cm="1">
        <f t="array" ref="BG183">_xlfn.LET(_xlpm.DepreciationMonths,INDEX(FixedAssets[Depreciation
/ Amortization Months],_xlfn.XMATCH($E$135,FixedAssets[Asset ID])),IF(AND((_xlfn.XMATCH(BG$8,$AH$8:$CC$8))-_xlfn.XMATCH($C183,$C$35:$C$82)+1&lt;=_xlpm.DepreciationMonths,$C183&lt;=BG$8),$E183/_xlpm.DepreciationMonths,0))</f>
        <v>0</v>
      </c>
      <c r="BH183" s="507" cm="1">
        <f t="array" ref="BH183">_xlfn.LET(_xlpm.DepreciationMonths,INDEX(FixedAssets[Depreciation
/ Amortization Months],_xlfn.XMATCH($E$135,FixedAssets[Asset ID])),IF(AND((_xlfn.XMATCH(BH$8,$AH$8:$CC$8))-_xlfn.XMATCH($C183,$C$35:$C$82)+1&lt;=_xlpm.DepreciationMonths,$C183&lt;=BH$8),$E183/_xlpm.DepreciationMonths,0))</f>
        <v>0</v>
      </c>
      <c r="BI183" s="507" cm="1">
        <f t="array" ref="BI183">_xlfn.LET(_xlpm.DepreciationMonths,INDEX(FixedAssets[Depreciation
/ Amortization Months],_xlfn.XMATCH($E$135,FixedAssets[Asset ID])),IF(AND((_xlfn.XMATCH(BI$8,$AH$8:$CC$8))-_xlfn.XMATCH($C183,$C$35:$C$82)+1&lt;=_xlpm.DepreciationMonths,$C183&lt;=BI$8),$E183/_xlpm.DepreciationMonths,0))</f>
        <v>0</v>
      </c>
      <c r="BJ183" s="507" cm="1">
        <f t="array" ref="BJ183">_xlfn.LET(_xlpm.DepreciationMonths,INDEX(FixedAssets[Depreciation
/ Amortization Months],_xlfn.XMATCH($E$135,FixedAssets[Asset ID])),IF(AND((_xlfn.XMATCH(BJ$8,$AH$8:$CC$8))-_xlfn.XMATCH($C183,$C$35:$C$82)+1&lt;=_xlpm.DepreciationMonths,$C183&lt;=BJ$8),$E183/_xlpm.DepreciationMonths,0))</f>
        <v>0</v>
      </c>
      <c r="BK183" s="507" cm="1">
        <f t="array" ref="BK183">_xlfn.LET(_xlpm.DepreciationMonths,INDEX(FixedAssets[Depreciation
/ Amortization Months],_xlfn.XMATCH($E$135,FixedAssets[Asset ID])),IF(AND((_xlfn.XMATCH(BK$8,$AH$8:$CC$8))-_xlfn.XMATCH($C183,$C$35:$C$82)+1&lt;=_xlpm.DepreciationMonths,$C183&lt;=BK$8),$E183/_xlpm.DepreciationMonths,0))</f>
        <v>0</v>
      </c>
      <c r="BL183" s="507" cm="1">
        <f t="array" ref="BL183">_xlfn.LET(_xlpm.DepreciationMonths,INDEX(FixedAssets[Depreciation
/ Amortization Months],_xlfn.XMATCH($E$135,FixedAssets[Asset ID])),IF(AND((_xlfn.XMATCH(BL$8,$AH$8:$CC$8))-_xlfn.XMATCH($C183,$C$35:$C$82)+1&lt;=_xlpm.DepreciationMonths,$C183&lt;=BL$8),$E183/_xlpm.DepreciationMonths,0))</f>
        <v>0</v>
      </c>
      <c r="BM183" s="507" cm="1">
        <f t="array" ref="BM183">_xlfn.LET(_xlpm.DepreciationMonths,INDEX(FixedAssets[Depreciation
/ Amortization Months],_xlfn.XMATCH($E$135,FixedAssets[Asset ID])),IF(AND((_xlfn.XMATCH(BM$8,$AH$8:$CC$8))-_xlfn.XMATCH($C183,$C$35:$C$82)+1&lt;=_xlpm.DepreciationMonths,$C183&lt;=BM$8),$E183/_xlpm.DepreciationMonths,0))</f>
        <v>0</v>
      </c>
      <c r="BN183" s="507" cm="1">
        <f t="array" ref="BN183">_xlfn.LET(_xlpm.DepreciationMonths,INDEX(FixedAssets[Depreciation
/ Amortization Months],_xlfn.XMATCH($E$135,FixedAssets[Asset ID])),IF(AND((_xlfn.XMATCH(BN$8,$AH$8:$CC$8))-_xlfn.XMATCH($C183,$C$35:$C$82)+1&lt;=_xlpm.DepreciationMonths,$C183&lt;=BN$8),$E183/_xlpm.DepreciationMonths,0))</f>
        <v>0</v>
      </c>
      <c r="BO183" s="507" cm="1">
        <f t="array" ref="BO183">_xlfn.LET(_xlpm.DepreciationMonths,INDEX(FixedAssets[Depreciation
/ Amortization Months],_xlfn.XMATCH($E$135,FixedAssets[Asset ID])),IF(AND((_xlfn.XMATCH(BO$8,$AH$8:$CC$8))-_xlfn.XMATCH($C183,$C$35:$C$82)+1&lt;=_xlpm.DepreciationMonths,$C183&lt;=BO$8),$E183/_xlpm.DepreciationMonths,0))</f>
        <v>0</v>
      </c>
      <c r="BP183" s="507" cm="1">
        <f t="array" ref="BP183">_xlfn.LET(_xlpm.DepreciationMonths,INDEX(FixedAssets[Depreciation
/ Amortization Months],_xlfn.XMATCH($E$135,FixedAssets[Asset ID])),IF(AND((_xlfn.XMATCH(BP$8,$AH$8:$CC$8))-_xlfn.XMATCH($C183,$C$35:$C$82)+1&lt;=_xlpm.DepreciationMonths,$C183&lt;=BP$8),$E183/_xlpm.DepreciationMonths,0))</f>
        <v>0</v>
      </c>
      <c r="BQ183" s="507" cm="1">
        <f t="array" ref="BQ183">_xlfn.LET(_xlpm.DepreciationMonths,INDEX(FixedAssets[Depreciation
/ Amortization Months],_xlfn.XMATCH($E$135,FixedAssets[Asset ID])),IF(AND((_xlfn.XMATCH(BQ$8,$AH$8:$CC$8))-_xlfn.XMATCH($C183,$C$35:$C$82)+1&lt;=_xlpm.DepreciationMonths,$C183&lt;=BQ$8),$E183/_xlpm.DepreciationMonths,0))</f>
        <v>0</v>
      </c>
      <c r="BR183" s="507" cm="1">
        <f t="array" ref="BR183">_xlfn.LET(_xlpm.DepreciationMonths,INDEX(FixedAssets[Depreciation
/ Amortization Months],_xlfn.XMATCH($E$135,FixedAssets[Asset ID])),IF(AND((_xlfn.XMATCH(BR$8,$AH$8:$CC$8))-_xlfn.XMATCH($C183,$C$35:$C$82)+1&lt;=_xlpm.DepreciationMonths,$C183&lt;=BR$8),$E183/_xlpm.DepreciationMonths,0))</f>
        <v>0</v>
      </c>
      <c r="BS183" s="507" cm="1">
        <f t="array" ref="BS183">_xlfn.LET(_xlpm.DepreciationMonths,INDEX(FixedAssets[Depreciation
/ Amortization Months],_xlfn.XMATCH($E$135,FixedAssets[Asset ID])),IF(AND((_xlfn.XMATCH(BS$8,$AH$8:$CC$8))-_xlfn.XMATCH($C183,$C$35:$C$82)+1&lt;=_xlpm.DepreciationMonths,$C183&lt;=BS$8),$E183/_xlpm.DepreciationMonths,0))</f>
        <v>0</v>
      </c>
      <c r="BT183" s="507" cm="1">
        <f t="array" ref="BT183">_xlfn.LET(_xlpm.DepreciationMonths,INDEX(FixedAssets[Depreciation
/ Amortization Months],_xlfn.XMATCH($E$135,FixedAssets[Asset ID])),IF(AND((_xlfn.XMATCH(BT$8,$AH$8:$CC$8))-_xlfn.XMATCH($C183,$C$35:$C$82)+1&lt;=_xlpm.DepreciationMonths,$C183&lt;=BT$8),$E183/_xlpm.DepreciationMonths,0))</f>
        <v>0</v>
      </c>
      <c r="BU183" s="507" cm="1">
        <f t="array" ref="BU183">_xlfn.LET(_xlpm.DepreciationMonths,INDEX(FixedAssets[Depreciation
/ Amortization Months],_xlfn.XMATCH($E$135,FixedAssets[Asset ID])),IF(AND((_xlfn.XMATCH(BU$8,$AH$8:$CC$8))-_xlfn.XMATCH($C183,$C$35:$C$82)+1&lt;=_xlpm.DepreciationMonths,$C183&lt;=BU$8),$E183/_xlpm.DepreciationMonths,0))</f>
        <v>0</v>
      </c>
      <c r="BV183" s="507" cm="1">
        <f t="array" ref="BV183">_xlfn.LET(_xlpm.DepreciationMonths,INDEX(FixedAssets[Depreciation
/ Amortization Months],_xlfn.XMATCH($E$135,FixedAssets[Asset ID])),IF(AND((_xlfn.XMATCH(BV$8,$AH$8:$CC$8))-_xlfn.XMATCH($C183,$C$35:$C$82)+1&lt;=_xlpm.DepreciationMonths,$C183&lt;=BV$8),$E183/_xlpm.DepreciationMonths,0))</f>
        <v>0</v>
      </c>
      <c r="BW183" s="507" cm="1">
        <f t="array" ref="BW183">_xlfn.LET(_xlpm.DepreciationMonths,INDEX(FixedAssets[Depreciation
/ Amortization Months],_xlfn.XMATCH($E$135,FixedAssets[Asset ID])),IF(AND((_xlfn.XMATCH(BW$8,$AH$8:$CC$8))-_xlfn.XMATCH($C183,$C$35:$C$82)+1&lt;=_xlpm.DepreciationMonths,$C183&lt;=BW$8),$E183/_xlpm.DepreciationMonths,0))</f>
        <v>0</v>
      </c>
      <c r="BX183" s="507" cm="1">
        <f t="array" ref="BX183">_xlfn.LET(_xlpm.DepreciationMonths,INDEX(FixedAssets[Depreciation
/ Amortization Months],_xlfn.XMATCH($E$135,FixedAssets[Asset ID])),IF(AND((_xlfn.XMATCH(BX$8,$AH$8:$CC$8))-_xlfn.XMATCH($C183,$C$35:$C$82)+1&lt;=_xlpm.DepreciationMonths,$C183&lt;=BX$8),$E183/_xlpm.DepreciationMonths,0))</f>
        <v>0</v>
      </c>
      <c r="BY183" s="507" cm="1">
        <f t="array" ref="BY183">_xlfn.LET(_xlpm.DepreciationMonths,INDEX(FixedAssets[Depreciation
/ Amortization Months],_xlfn.XMATCH($E$135,FixedAssets[Asset ID])),IF(AND((_xlfn.XMATCH(BY$8,$AH$8:$CC$8))-_xlfn.XMATCH($C183,$C$35:$C$82)+1&lt;=_xlpm.DepreciationMonths,$C183&lt;=BY$8),$E183/_xlpm.DepreciationMonths,0))</f>
        <v>0</v>
      </c>
      <c r="BZ183" s="507" cm="1">
        <f t="array" ref="BZ183">_xlfn.LET(_xlpm.DepreciationMonths,INDEX(FixedAssets[Depreciation
/ Amortization Months],_xlfn.XMATCH($E$135,FixedAssets[Asset ID])),IF(AND((_xlfn.XMATCH(BZ$8,$AH$8:$CC$8))-_xlfn.XMATCH($C183,$C$35:$C$82)+1&lt;=_xlpm.DepreciationMonths,$C183&lt;=BZ$8),$E183/_xlpm.DepreciationMonths,0))</f>
        <v>0</v>
      </c>
      <c r="CA183" s="507" cm="1">
        <f t="array" ref="CA183">_xlfn.LET(_xlpm.DepreciationMonths,INDEX(FixedAssets[Depreciation
/ Amortization Months],_xlfn.XMATCH($E$135,FixedAssets[Asset ID])),IF(AND((_xlfn.XMATCH(CA$8,$AH$8:$CC$8))-_xlfn.XMATCH($C183,$C$35:$C$82)+1&lt;=_xlpm.DepreciationMonths,$C183&lt;=CA$8),$E183/_xlpm.DepreciationMonths,0))</f>
        <v>0</v>
      </c>
      <c r="CB183" s="507" cm="1">
        <f t="array" ref="CB183">_xlfn.LET(_xlpm.DepreciationMonths,INDEX(FixedAssets[Depreciation
/ Amortization Months],_xlfn.XMATCH($E$135,FixedAssets[Asset ID])),IF(AND((_xlfn.XMATCH(CB$8,$AH$8:$CC$8))-_xlfn.XMATCH($C183,$C$35:$C$82)+1&lt;=_xlpm.DepreciationMonths,$C183&lt;=CB$8),$E183/_xlpm.DepreciationMonths,0))</f>
        <v>0</v>
      </c>
      <c r="CC183" s="507" cm="1">
        <f t="array" ref="CC183">_xlfn.LET(_xlpm.DepreciationMonths,INDEX(FixedAssets[Depreciation
/ Amortization Months],_xlfn.XMATCH($E$135,FixedAssets[Asset ID])),IF(AND((_xlfn.XMATCH(CC$8,$AH$8:$CC$8))-_xlfn.XMATCH($C183,$C$35:$C$82)+1&lt;=_xlpm.DepreciationMonths,$C183&lt;=CC$8),$E183/_xlpm.DepreciationMonths,0))</f>
        <v>0</v>
      </c>
    </row>
    <row r="184" spans="3:81" hidden="1" outlineLevel="2">
      <c r="C184" s="664">
        <f t="shared" si="243"/>
        <v>46387</v>
      </c>
      <c r="D184" s="508"/>
      <c r="E184" s="508" cm="1">
        <f t="array" ref="E184">SUMPRODUCT(($AH$26:$CC$31)*($AH$5:$CC$5=$C184)*($E$26:$E$31=E$135))-SUMPRODUCT(($AH$26:$CC$31)*($AH$5:$CC$5=EOMONTH($C184,-1))*($E$26:$E$31=E$135))</f>
        <v>0</v>
      </c>
      <c r="F184" s="508"/>
      <c r="G184" s="508"/>
      <c r="H184" s="508"/>
      <c r="I184" s="508"/>
      <c r="J184" s="504">
        <f t="shared" si="240"/>
        <v>0</v>
      </c>
      <c r="K184" s="504">
        <f t="shared" si="248"/>
        <v>0</v>
      </c>
      <c r="L184" s="504">
        <f t="shared" si="248"/>
        <v>0</v>
      </c>
      <c r="M184" s="504">
        <f t="shared" si="248"/>
        <v>0</v>
      </c>
      <c r="N184" s="504"/>
      <c r="O184" s="504"/>
      <c r="P184" s="504">
        <f t="shared" si="249"/>
        <v>0</v>
      </c>
      <c r="Q184" s="504">
        <f t="shared" si="249"/>
        <v>0</v>
      </c>
      <c r="R184" s="504">
        <f t="shared" si="249"/>
        <v>0</v>
      </c>
      <c r="S184" s="504">
        <f t="shared" si="249"/>
        <v>0</v>
      </c>
      <c r="T184" s="504">
        <f t="shared" si="249"/>
        <v>0</v>
      </c>
      <c r="U184" s="504">
        <f t="shared" si="249"/>
        <v>0</v>
      </c>
      <c r="V184" s="504">
        <f t="shared" si="249"/>
        <v>0</v>
      </c>
      <c r="W184" s="504">
        <f t="shared" si="249"/>
        <v>0</v>
      </c>
      <c r="X184" s="504">
        <f t="shared" si="249"/>
        <v>0</v>
      </c>
      <c r="Y184" s="504">
        <f t="shared" si="249"/>
        <v>0</v>
      </c>
      <c r="Z184" s="504">
        <f t="shared" si="249"/>
        <v>0</v>
      </c>
      <c r="AA184" s="504">
        <f t="shared" si="249"/>
        <v>0</v>
      </c>
      <c r="AB184" s="504">
        <f t="shared" si="249"/>
        <v>0</v>
      </c>
      <c r="AC184" s="504">
        <f t="shared" si="249"/>
        <v>0</v>
      </c>
      <c r="AD184" s="504">
        <f t="shared" si="249"/>
        <v>0</v>
      </c>
      <c r="AE184" s="504">
        <f t="shared" ref="AE184" si="250">SUMIFS($AH184:$CC184,$AH$4:$CC$4,"&gt;="&amp;AE$4,$AH$5:$CC$5,"&lt;="&amp;AE$5)</f>
        <v>0</v>
      </c>
      <c r="AF184" s="508"/>
      <c r="AG184" s="508"/>
      <c r="AH184" s="507" cm="1">
        <f t="array" ref="AH184">_xlfn.LET(_xlpm.DepreciationMonths,INDEX(FixedAssets[Depreciation
/ Amortization Months],_xlfn.XMATCH($E$135,FixedAssets[Asset ID])),IF(AND((_xlfn.XMATCH(AH$8,$AH$8:$CC$8))-_xlfn.XMATCH($C184,$C$35:$C$82)+1&lt;=_xlpm.DepreciationMonths,$C184&lt;=AH$8),$E184/_xlpm.DepreciationMonths,0))</f>
        <v>0</v>
      </c>
      <c r="AI184" s="507" cm="1">
        <f t="array" ref="AI184">_xlfn.LET(_xlpm.DepreciationMonths,INDEX(FixedAssets[Depreciation
/ Amortization Months],_xlfn.XMATCH($E$135,FixedAssets[Asset ID])),IF(AND((_xlfn.XMATCH(AI$8,$AH$8:$CC$8))-_xlfn.XMATCH($C184,$C$35:$C$82)+1&lt;=_xlpm.DepreciationMonths,$C184&lt;=AI$8),$E184/_xlpm.DepreciationMonths,0))</f>
        <v>0</v>
      </c>
      <c r="AJ184" s="507" cm="1">
        <f t="array" ref="AJ184">_xlfn.LET(_xlpm.DepreciationMonths,INDEX(FixedAssets[Depreciation
/ Amortization Months],_xlfn.XMATCH($E$135,FixedAssets[Asset ID])),IF(AND((_xlfn.XMATCH(AJ$8,$AH$8:$CC$8))-_xlfn.XMATCH($C184,$C$35:$C$82)+1&lt;=_xlpm.DepreciationMonths,$C184&lt;=AJ$8),$E184/_xlpm.DepreciationMonths,0))</f>
        <v>0</v>
      </c>
      <c r="AK184" s="507" cm="1">
        <f t="array" ref="AK184">_xlfn.LET(_xlpm.DepreciationMonths,INDEX(FixedAssets[Depreciation
/ Amortization Months],_xlfn.XMATCH($E$135,FixedAssets[Asset ID])),IF(AND((_xlfn.XMATCH(AK$8,$AH$8:$CC$8))-_xlfn.XMATCH($C184,$C$35:$C$82)+1&lt;=_xlpm.DepreciationMonths,$C184&lt;=AK$8),$E184/_xlpm.DepreciationMonths,0))</f>
        <v>0</v>
      </c>
      <c r="AL184" s="507" cm="1">
        <f t="array" ref="AL184">_xlfn.LET(_xlpm.DepreciationMonths,INDEX(FixedAssets[Depreciation
/ Amortization Months],_xlfn.XMATCH($E$135,FixedAssets[Asset ID])),IF(AND((_xlfn.XMATCH(AL$8,$AH$8:$CC$8))-_xlfn.XMATCH($C184,$C$35:$C$82)+1&lt;=_xlpm.DepreciationMonths,$C184&lt;=AL$8),$E184/_xlpm.DepreciationMonths,0))</f>
        <v>0</v>
      </c>
      <c r="AM184" s="507" cm="1">
        <f t="array" ref="AM184">_xlfn.LET(_xlpm.DepreciationMonths,INDEX(FixedAssets[Depreciation
/ Amortization Months],_xlfn.XMATCH($E$135,FixedAssets[Asset ID])),IF(AND((_xlfn.XMATCH(AM$8,$AH$8:$CC$8))-_xlfn.XMATCH($C184,$C$35:$C$82)+1&lt;=_xlpm.DepreciationMonths,$C184&lt;=AM$8),$E184/_xlpm.DepreciationMonths,0))</f>
        <v>0</v>
      </c>
      <c r="AN184" s="507" cm="1">
        <f t="array" ref="AN184">_xlfn.LET(_xlpm.DepreciationMonths,INDEX(FixedAssets[Depreciation
/ Amortization Months],_xlfn.XMATCH($E$135,FixedAssets[Asset ID])),IF(AND((_xlfn.XMATCH(AN$8,$AH$8:$CC$8))-_xlfn.XMATCH($C184,$C$35:$C$82)+1&lt;=_xlpm.DepreciationMonths,$C184&lt;=AN$8),$E184/_xlpm.DepreciationMonths,0))</f>
        <v>0</v>
      </c>
      <c r="AO184" s="507" cm="1">
        <f t="array" ref="AO184">_xlfn.LET(_xlpm.DepreciationMonths,INDEX(FixedAssets[Depreciation
/ Amortization Months],_xlfn.XMATCH($E$135,FixedAssets[Asset ID])),IF(AND((_xlfn.XMATCH(AO$8,$AH$8:$CC$8))-_xlfn.XMATCH($C184,$C$35:$C$82)+1&lt;=_xlpm.DepreciationMonths,$C184&lt;=AO$8),$E184/_xlpm.DepreciationMonths,0))</f>
        <v>0</v>
      </c>
      <c r="AP184" s="507" cm="1">
        <f t="array" ref="AP184">_xlfn.LET(_xlpm.DepreciationMonths,INDEX(FixedAssets[Depreciation
/ Amortization Months],_xlfn.XMATCH($E$135,FixedAssets[Asset ID])),IF(AND((_xlfn.XMATCH(AP$8,$AH$8:$CC$8))-_xlfn.XMATCH($C184,$C$35:$C$82)+1&lt;=_xlpm.DepreciationMonths,$C184&lt;=AP$8),$E184/_xlpm.DepreciationMonths,0))</f>
        <v>0</v>
      </c>
      <c r="AQ184" s="507" cm="1">
        <f t="array" ref="AQ184">_xlfn.LET(_xlpm.DepreciationMonths,INDEX(FixedAssets[Depreciation
/ Amortization Months],_xlfn.XMATCH($E$135,FixedAssets[Asset ID])),IF(AND((_xlfn.XMATCH(AQ$8,$AH$8:$CC$8))-_xlfn.XMATCH($C184,$C$35:$C$82)+1&lt;=_xlpm.DepreciationMonths,$C184&lt;=AQ$8),$E184/_xlpm.DepreciationMonths,0))</f>
        <v>0</v>
      </c>
      <c r="AR184" s="507" cm="1">
        <f t="array" ref="AR184">_xlfn.LET(_xlpm.DepreciationMonths,INDEX(FixedAssets[Depreciation
/ Amortization Months],_xlfn.XMATCH($E$135,FixedAssets[Asset ID])),IF(AND((_xlfn.XMATCH(AR$8,$AH$8:$CC$8))-_xlfn.XMATCH($C184,$C$35:$C$82)+1&lt;=_xlpm.DepreciationMonths,$C184&lt;=AR$8),$E184/_xlpm.DepreciationMonths,0))</f>
        <v>0</v>
      </c>
      <c r="AS184" s="507" cm="1">
        <f t="array" ref="AS184">_xlfn.LET(_xlpm.DepreciationMonths,INDEX(FixedAssets[Depreciation
/ Amortization Months],_xlfn.XMATCH($E$135,FixedAssets[Asset ID])),IF(AND((_xlfn.XMATCH(AS$8,$AH$8:$CC$8))-_xlfn.XMATCH($C184,$C$35:$C$82)+1&lt;=_xlpm.DepreciationMonths,$C184&lt;=AS$8),$E184/_xlpm.DepreciationMonths,0))</f>
        <v>0</v>
      </c>
      <c r="AT184" s="507" cm="1">
        <f t="array" ref="AT184">_xlfn.LET(_xlpm.DepreciationMonths,INDEX(FixedAssets[Depreciation
/ Amortization Months],_xlfn.XMATCH($E$135,FixedAssets[Asset ID])),IF(AND((_xlfn.XMATCH(AT$8,$AH$8:$CC$8))-_xlfn.XMATCH($C184,$C$35:$C$82)+1&lt;=_xlpm.DepreciationMonths,$C184&lt;=AT$8),$E184/_xlpm.DepreciationMonths,0))</f>
        <v>0</v>
      </c>
      <c r="AU184" s="507" cm="1">
        <f t="array" ref="AU184">_xlfn.LET(_xlpm.DepreciationMonths,INDEX(FixedAssets[Depreciation
/ Amortization Months],_xlfn.XMATCH($E$135,FixedAssets[Asset ID])),IF(AND((_xlfn.XMATCH(AU$8,$AH$8:$CC$8))-_xlfn.XMATCH($C184,$C$35:$C$82)+1&lt;=_xlpm.DepreciationMonths,$C184&lt;=AU$8),$E184/_xlpm.DepreciationMonths,0))</f>
        <v>0</v>
      </c>
      <c r="AV184" s="507" cm="1">
        <f t="array" ref="AV184">_xlfn.LET(_xlpm.DepreciationMonths,INDEX(FixedAssets[Depreciation
/ Amortization Months],_xlfn.XMATCH($E$135,FixedAssets[Asset ID])),IF(AND((_xlfn.XMATCH(AV$8,$AH$8:$CC$8))-_xlfn.XMATCH($C184,$C$35:$C$82)+1&lt;=_xlpm.DepreciationMonths,$C184&lt;=AV$8),$E184/_xlpm.DepreciationMonths,0))</f>
        <v>0</v>
      </c>
      <c r="AW184" s="507" cm="1">
        <f t="array" ref="AW184">_xlfn.LET(_xlpm.DepreciationMonths,INDEX(FixedAssets[Depreciation
/ Amortization Months],_xlfn.XMATCH($E$135,FixedAssets[Asset ID])),IF(AND((_xlfn.XMATCH(AW$8,$AH$8:$CC$8))-_xlfn.XMATCH($C184,$C$35:$C$82)+1&lt;=_xlpm.DepreciationMonths,$C184&lt;=AW$8),$E184/_xlpm.DepreciationMonths,0))</f>
        <v>0</v>
      </c>
      <c r="AX184" s="507" cm="1">
        <f t="array" ref="AX184">_xlfn.LET(_xlpm.DepreciationMonths,INDEX(FixedAssets[Depreciation
/ Amortization Months],_xlfn.XMATCH($E$135,FixedAssets[Asset ID])),IF(AND((_xlfn.XMATCH(AX$8,$AH$8:$CC$8))-_xlfn.XMATCH($C184,$C$35:$C$82)+1&lt;=_xlpm.DepreciationMonths,$C184&lt;=AX$8),$E184/_xlpm.DepreciationMonths,0))</f>
        <v>0</v>
      </c>
      <c r="AY184" s="507" cm="1">
        <f t="array" ref="AY184">_xlfn.LET(_xlpm.DepreciationMonths,INDEX(FixedAssets[Depreciation
/ Amortization Months],_xlfn.XMATCH($E$135,FixedAssets[Asset ID])),IF(AND((_xlfn.XMATCH(AY$8,$AH$8:$CC$8))-_xlfn.XMATCH($C184,$C$35:$C$82)+1&lt;=_xlpm.DepreciationMonths,$C184&lt;=AY$8),$E184/_xlpm.DepreciationMonths,0))</f>
        <v>0</v>
      </c>
      <c r="AZ184" s="507" cm="1">
        <f t="array" ref="AZ184">_xlfn.LET(_xlpm.DepreciationMonths,INDEX(FixedAssets[Depreciation
/ Amortization Months],_xlfn.XMATCH($E$135,FixedAssets[Asset ID])),IF(AND((_xlfn.XMATCH(AZ$8,$AH$8:$CC$8))-_xlfn.XMATCH($C184,$C$35:$C$82)+1&lt;=_xlpm.DepreciationMonths,$C184&lt;=AZ$8),$E184/_xlpm.DepreciationMonths,0))</f>
        <v>0</v>
      </c>
      <c r="BA184" s="507" cm="1">
        <f t="array" ref="BA184">_xlfn.LET(_xlpm.DepreciationMonths,INDEX(FixedAssets[Depreciation
/ Amortization Months],_xlfn.XMATCH($E$135,FixedAssets[Asset ID])),IF(AND((_xlfn.XMATCH(BA$8,$AH$8:$CC$8))-_xlfn.XMATCH($C184,$C$35:$C$82)+1&lt;=_xlpm.DepreciationMonths,$C184&lt;=BA$8),$E184/_xlpm.DepreciationMonths,0))</f>
        <v>0</v>
      </c>
      <c r="BB184" s="507" cm="1">
        <f t="array" ref="BB184">_xlfn.LET(_xlpm.DepreciationMonths,INDEX(FixedAssets[Depreciation
/ Amortization Months],_xlfn.XMATCH($E$135,FixedAssets[Asset ID])),IF(AND((_xlfn.XMATCH(BB$8,$AH$8:$CC$8))-_xlfn.XMATCH($C184,$C$35:$C$82)+1&lt;=_xlpm.DepreciationMonths,$C184&lt;=BB$8),$E184/_xlpm.DepreciationMonths,0))</f>
        <v>0</v>
      </c>
      <c r="BC184" s="507" cm="1">
        <f t="array" ref="BC184">_xlfn.LET(_xlpm.DepreciationMonths,INDEX(FixedAssets[Depreciation
/ Amortization Months],_xlfn.XMATCH($E$135,FixedAssets[Asset ID])),IF(AND((_xlfn.XMATCH(BC$8,$AH$8:$CC$8))-_xlfn.XMATCH($C184,$C$35:$C$82)+1&lt;=_xlpm.DepreciationMonths,$C184&lt;=BC$8),$E184/_xlpm.DepreciationMonths,0))</f>
        <v>0</v>
      </c>
      <c r="BD184" s="507" cm="1">
        <f t="array" ref="BD184">_xlfn.LET(_xlpm.DepreciationMonths,INDEX(FixedAssets[Depreciation
/ Amortization Months],_xlfn.XMATCH($E$135,FixedAssets[Asset ID])),IF(AND((_xlfn.XMATCH(BD$8,$AH$8:$CC$8))-_xlfn.XMATCH($C184,$C$35:$C$82)+1&lt;=_xlpm.DepreciationMonths,$C184&lt;=BD$8),$E184/_xlpm.DepreciationMonths,0))</f>
        <v>0</v>
      </c>
      <c r="BE184" s="507" cm="1">
        <f t="array" ref="BE184">_xlfn.LET(_xlpm.DepreciationMonths,INDEX(FixedAssets[Depreciation
/ Amortization Months],_xlfn.XMATCH($E$135,FixedAssets[Asset ID])),IF(AND((_xlfn.XMATCH(BE$8,$AH$8:$CC$8))-_xlfn.XMATCH($C184,$C$35:$C$82)+1&lt;=_xlpm.DepreciationMonths,$C184&lt;=BE$8),$E184/_xlpm.DepreciationMonths,0))</f>
        <v>0</v>
      </c>
      <c r="BF184" s="507" cm="1">
        <f t="array" ref="BF184">_xlfn.LET(_xlpm.DepreciationMonths,INDEX(FixedAssets[Depreciation
/ Amortization Months],_xlfn.XMATCH($E$135,FixedAssets[Asset ID])),IF(AND((_xlfn.XMATCH(BF$8,$AH$8:$CC$8))-_xlfn.XMATCH($C184,$C$35:$C$82)+1&lt;=_xlpm.DepreciationMonths,$C184&lt;=BF$8),$E184/_xlpm.DepreciationMonths,0))</f>
        <v>0</v>
      </c>
      <c r="BG184" s="507" cm="1">
        <f t="array" ref="BG184">_xlfn.LET(_xlpm.DepreciationMonths,INDEX(FixedAssets[Depreciation
/ Amortization Months],_xlfn.XMATCH($E$135,FixedAssets[Asset ID])),IF(AND((_xlfn.XMATCH(BG$8,$AH$8:$CC$8))-_xlfn.XMATCH($C184,$C$35:$C$82)+1&lt;=_xlpm.DepreciationMonths,$C184&lt;=BG$8),$E184/_xlpm.DepreciationMonths,0))</f>
        <v>0</v>
      </c>
      <c r="BH184" s="507" cm="1">
        <f t="array" ref="BH184">_xlfn.LET(_xlpm.DepreciationMonths,INDEX(FixedAssets[Depreciation
/ Amortization Months],_xlfn.XMATCH($E$135,FixedAssets[Asset ID])),IF(AND((_xlfn.XMATCH(BH$8,$AH$8:$CC$8))-_xlfn.XMATCH($C184,$C$35:$C$82)+1&lt;=_xlpm.DepreciationMonths,$C184&lt;=BH$8),$E184/_xlpm.DepreciationMonths,0))</f>
        <v>0</v>
      </c>
      <c r="BI184" s="507" cm="1">
        <f t="array" ref="BI184">_xlfn.LET(_xlpm.DepreciationMonths,INDEX(FixedAssets[Depreciation
/ Amortization Months],_xlfn.XMATCH($E$135,FixedAssets[Asset ID])),IF(AND((_xlfn.XMATCH(BI$8,$AH$8:$CC$8))-_xlfn.XMATCH($C184,$C$35:$C$82)+1&lt;=_xlpm.DepreciationMonths,$C184&lt;=BI$8),$E184/_xlpm.DepreciationMonths,0))</f>
        <v>0</v>
      </c>
      <c r="BJ184" s="507" cm="1">
        <f t="array" ref="BJ184">_xlfn.LET(_xlpm.DepreciationMonths,INDEX(FixedAssets[Depreciation
/ Amortization Months],_xlfn.XMATCH($E$135,FixedAssets[Asset ID])),IF(AND((_xlfn.XMATCH(BJ$8,$AH$8:$CC$8))-_xlfn.XMATCH($C184,$C$35:$C$82)+1&lt;=_xlpm.DepreciationMonths,$C184&lt;=BJ$8),$E184/_xlpm.DepreciationMonths,0))</f>
        <v>0</v>
      </c>
      <c r="BK184" s="507" cm="1">
        <f t="array" ref="BK184">_xlfn.LET(_xlpm.DepreciationMonths,INDEX(FixedAssets[Depreciation
/ Amortization Months],_xlfn.XMATCH($E$135,FixedAssets[Asset ID])),IF(AND((_xlfn.XMATCH(BK$8,$AH$8:$CC$8))-_xlfn.XMATCH($C184,$C$35:$C$82)+1&lt;=_xlpm.DepreciationMonths,$C184&lt;=BK$8),$E184/_xlpm.DepreciationMonths,0))</f>
        <v>0</v>
      </c>
      <c r="BL184" s="507" cm="1">
        <f t="array" ref="BL184">_xlfn.LET(_xlpm.DepreciationMonths,INDEX(FixedAssets[Depreciation
/ Amortization Months],_xlfn.XMATCH($E$135,FixedAssets[Asset ID])),IF(AND((_xlfn.XMATCH(BL$8,$AH$8:$CC$8))-_xlfn.XMATCH($C184,$C$35:$C$82)+1&lt;=_xlpm.DepreciationMonths,$C184&lt;=BL$8),$E184/_xlpm.DepreciationMonths,0))</f>
        <v>0</v>
      </c>
      <c r="BM184" s="507" cm="1">
        <f t="array" ref="BM184">_xlfn.LET(_xlpm.DepreciationMonths,INDEX(FixedAssets[Depreciation
/ Amortization Months],_xlfn.XMATCH($E$135,FixedAssets[Asset ID])),IF(AND((_xlfn.XMATCH(BM$8,$AH$8:$CC$8))-_xlfn.XMATCH($C184,$C$35:$C$82)+1&lt;=_xlpm.DepreciationMonths,$C184&lt;=BM$8),$E184/_xlpm.DepreciationMonths,0))</f>
        <v>0</v>
      </c>
      <c r="BN184" s="507" cm="1">
        <f t="array" ref="BN184">_xlfn.LET(_xlpm.DepreciationMonths,INDEX(FixedAssets[Depreciation
/ Amortization Months],_xlfn.XMATCH($E$135,FixedAssets[Asset ID])),IF(AND((_xlfn.XMATCH(BN$8,$AH$8:$CC$8))-_xlfn.XMATCH($C184,$C$35:$C$82)+1&lt;=_xlpm.DepreciationMonths,$C184&lt;=BN$8),$E184/_xlpm.DepreciationMonths,0))</f>
        <v>0</v>
      </c>
      <c r="BO184" s="507" cm="1">
        <f t="array" ref="BO184">_xlfn.LET(_xlpm.DepreciationMonths,INDEX(FixedAssets[Depreciation
/ Amortization Months],_xlfn.XMATCH($E$135,FixedAssets[Asset ID])),IF(AND((_xlfn.XMATCH(BO$8,$AH$8:$CC$8))-_xlfn.XMATCH($C184,$C$35:$C$82)+1&lt;=_xlpm.DepreciationMonths,$C184&lt;=BO$8),$E184/_xlpm.DepreciationMonths,0))</f>
        <v>0</v>
      </c>
      <c r="BP184" s="507" cm="1">
        <f t="array" ref="BP184">_xlfn.LET(_xlpm.DepreciationMonths,INDEX(FixedAssets[Depreciation
/ Amortization Months],_xlfn.XMATCH($E$135,FixedAssets[Asset ID])),IF(AND((_xlfn.XMATCH(BP$8,$AH$8:$CC$8))-_xlfn.XMATCH($C184,$C$35:$C$82)+1&lt;=_xlpm.DepreciationMonths,$C184&lt;=BP$8),$E184/_xlpm.DepreciationMonths,0))</f>
        <v>0</v>
      </c>
      <c r="BQ184" s="507" cm="1">
        <f t="array" ref="BQ184">_xlfn.LET(_xlpm.DepreciationMonths,INDEX(FixedAssets[Depreciation
/ Amortization Months],_xlfn.XMATCH($E$135,FixedAssets[Asset ID])),IF(AND((_xlfn.XMATCH(BQ$8,$AH$8:$CC$8))-_xlfn.XMATCH($C184,$C$35:$C$82)+1&lt;=_xlpm.DepreciationMonths,$C184&lt;=BQ$8),$E184/_xlpm.DepreciationMonths,0))</f>
        <v>0</v>
      </c>
      <c r="BR184" s="507" cm="1">
        <f t="array" ref="BR184">_xlfn.LET(_xlpm.DepreciationMonths,INDEX(FixedAssets[Depreciation
/ Amortization Months],_xlfn.XMATCH($E$135,FixedAssets[Asset ID])),IF(AND((_xlfn.XMATCH(BR$8,$AH$8:$CC$8))-_xlfn.XMATCH($C184,$C$35:$C$82)+1&lt;=_xlpm.DepreciationMonths,$C184&lt;=BR$8),$E184/_xlpm.DepreciationMonths,0))</f>
        <v>0</v>
      </c>
      <c r="BS184" s="507" cm="1">
        <f t="array" ref="BS184">_xlfn.LET(_xlpm.DepreciationMonths,INDEX(FixedAssets[Depreciation
/ Amortization Months],_xlfn.XMATCH($E$135,FixedAssets[Asset ID])),IF(AND((_xlfn.XMATCH(BS$8,$AH$8:$CC$8))-_xlfn.XMATCH($C184,$C$35:$C$82)+1&lt;=_xlpm.DepreciationMonths,$C184&lt;=BS$8),$E184/_xlpm.DepreciationMonths,0))</f>
        <v>0</v>
      </c>
      <c r="BT184" s="507" cm="1">
        <f t="array" ref="BT184">_xlfn.LET(_xlpm.DepreciationMonths,INDEX(FixedAssets[Depreciation
/ Amortization Months],_xlfn.XMATCH($E$135,FixedAssets[Asset ID])),IF(AND((_xlfn.XMATCH(BT$8,$AH$8:$CC$8))-_xlfn.XMATCH($C184,$C$35:$C$82)+1&lt;=_xlpm.DepreciationMonths,$C184&lt;=BT$8),$E184/_xlpm.DepreciationMonths,0))</f>
        <v>0</v>
      </c>
      <c r="BU184" s="507" cm="1">
        <f t="array" ref="BU184">_xlfn.LET(_xlpm.DepreciationMonths,INDEX(FixedAssets[Depreciation
/ Amortization Months],_xlfn.XMATCH($E$135,FixedAssets[Asset ID])),IF(AND((_xlfn.XMATCH(BU$8,$AH$8:$CC$8))-_xlfn.XMATCH($C184,$C$35:$C$82)+1&lt;=_xlpm.DepreciationMonths,$C184&lt;=BU$8),$E184/_xlpm.DepreciationMonths,0))</f>
        <v>0</v>
      </c>
      <c r="BV184" s="507" cm="1">
        <f t="array" ref="BV184">_xlfn.LET(_xlpm.DepreciationMonths,INDEX(FixedAssets[Depreciation
/ Amortization Months],_xlfn.XMATCH($E$135,FixedAssets[Asset ID])),IF(AND((_xlfn.XMATCH(BV$8,$AH$8:$CC$8))-_xlfn.XMATCH($C184,$C$35:$C$82)+1&lt;=_xlpm.DepreciationMonths,$C184&lt;=BV$8),$E184/_xlpm.DepreciationMonths,0))</f>
        <v>0</v>
      </c>
      <c r="BW184" s="507" cm="1">
        <f t="array" ref="BW184">_xlfn.LET(_xlpm.DepreciationMonths,INDEX(FixedAssets[Depreciation
/ Amortization Months],_xlfn.XMATCH($E$135,FixedAssets[Asset ID])),IF(AND((_xlfn.XMATCH(BW$8,$AH$8:$CC$8))-_xlfn.XMATCH($C184,$C$35:$C$82)+1&lt;=_xlpm.DepreciationMonths,$C184&lt;=BW$8),$E184/_xlpm.DepreciationMonths,0))</f>
        <v>0</v>
      </c>
      <c r="BX184" s="507" cm="1">
        <f t="array" ref="BX184">_xlfn.LET(_xlpm.DepreciationMonths,INDEX(FixedAssets[Depreciation
/ Amortization Months],_xlfn.XMATCH($E$135,FixedAssets[Asset ID])),IF(AND((_xlfn.XMATCH(BX$8,$AH$8:$CC$8))-_xlfn.XMATCH($C184,$C$35:$C$82)+1&lt;=_xlpm.DepreciationMonths,$C184&lt;=BX$8),$E184/_xlpm.DepreciationMonths,0))</f>
        <v>0</v>
      </c>
      <c r="BY184" s="507" cm="1">
        <f t="array" ref="BY184">_xlfn.LET(_xlpm.DepreciationMonths,INDEX(FixedAssets[Depreciation
/ Amortization Months],_xlfn.XMATCH($E$135,FixedAssets[Asset ID])),IF(AND((_xlfn.XMATCH(BY$8,$AH$8:$CC$8))-_xlfn.XMATCH($C184,$C$35:$C$82)+1&lt;=_xlpm.DepreciationMonths,$C184&lt;=BY$8),$E184/_xlpm.DepreciationMonths,0))</f>
        <v>0</v>
      </c>
      <c r="BZ184" s="507" cm="1">
        <f t="array" ref="BZ184">_xlfn.LET(_xlpm.DepreciationMonths,INDEX(FixedAssets[Depreciation
/ Amortization Months],_xlfn.XMATCH($E$135,FixedAssets[Asset ID])),IF(AND((_xlfn.XMATCH(BZ$8,$AH$8:$CC$8))-_xlfn.XMATCH($C184,$C$35:$C$82)+1&lt;=_xlpm.DepreciationMonths,$C184&lt;=BZ$8),$E184/_xlpm.DepreciationMonths,0))</f>
        <v>0</v>
      </c>
      <c r="CA184" s="507" cm="1">
        <f t="array" ref="CA184">_xlfn.LET(_xlpm.DepreciationMonths,INDEX(FixedAssets[Depreciation
/ Amortization Months],_xlfn.XMATCH($E$135,FixedAssets[Asset ID])),IF(AND((_xlfn.XMATCH(CA$8,$AH$8:$CC$8))-_xlfn.XMATCH($C184,$C$35:$C$82)+1&lt;=_xlpm.DepreciationMonths,$C184&lt;=CA$8),$E184/_xlpm.DepreciationMonths,0))</f>
        <v>0</v>
      </c>
      <c r="CB184" s="507" cm="1">
        <f t="array" ref="CB184">_xlfn.LET(_xlpm.DepreciationMonths,INDEX(FixedAssets[Depreciation
/ Amortization Months],_xlfn.XMATCH($E$135,FixedAssets[Asset ID])),IF(AND((_xlfn.XMATCH(CB$8,$AH$8:$CC$8))-_xlfn.XMATCH($C184,$C$35:$C$82)+1&lt;=_xlpm.DepreciationMonths,$C184&lt;=CB$8),$E184/_xlpm.DepreciationMonths,0))</f>
        <v>0</v>
      </c>
      <c r="CC184" s="507" cm="1">
        <f t="array" ref="CC184">_xlfn.LET(_xlpm.DepreciationMonths,INDEX(FixedAssets[Depreciation
/ Amortization Months],_xlfn.XMATCH($E$135,FixedAssets[Asset ID])),IF(AND((_xlfn.XMATCH(CC$8,$AH$8:$CC$8))-_xlfn.XMATCH($C184,$C$35:$C$82)+1&lt;=_xlpm.DepreciationMonths,$C184&lt;=CC$8),$E184/_xlpm.DepreciationMonths,0))</f>
        <v>0</v>
      </c>
    </row>
    <row r="185" spans="3:81" hidden="1" outlineLevel="2">
      <c r="AH185" s="507"/>
      <c r="AI185" s="507"/>
      <c r="AJ185" s="507"/>
      <c r="AK185" s="507"/>
      <c r="AL185" s="507"/>
      <c r="AM185" s="507"/>
      <c r="AN185" s="507"/>
      <c r="AO185" s="507"/>
      <c r="AP185" s="507"/>
      <c r="AQ185" s="507"/>
      <c r="AR185" s="507"/>
      <c r="AS185" s="507"/>
      <c r="AT185" s="507"/>
      <c r="AU185" s="507"/>
      <c r="AV185" s="507"/>
      <c r="AW185" s="507"/>
      <c r="AX185" s="507"/>
      <c r="AY185" s="507"/>
      <c r="AZ185" s="507"/>
      <c r="BA185" s="507"/>
      <c r="BB185" s="507"/>
      <c r="BC185" s="507"/>
      <c r="BD185" s="507"/>
      <c r="BE185" s="507"/>
      <c r="BF185" s="507"/>
      <c r="BG185" s="507"/>
      <c r="BH185" s="507"/>
      <c r="BI185" s="507"/>
      <c r="BJ185" s="507"/>
      <c r="BK185" s="507"/>
      <c r="BL185" s="507"/>
      <c r="BM185" s="507"/>
      <c r="BN185" s="507"/>
      <c r="BO185" s="507"/>
      <c r="BP185" s="507"/>
      <c r="BQ185" s="507"/>
      <c r="BR185" s="507"/>
      <c r="BS185" s="507"/>
      <c r="BT185" s="507"/>
      <c r="BU185" s="507"/>
      <c r="BV185" s="507"/>
      <c r="BW185" s="507"/>
      <c r="BX185" s="507"/>
      <c r="BY185" s="507"/>
      <c r="BZ185" s="507"/>
      <c r="CA185" s="507"/>
      <c r="CB185" s="507"/>
      <c r="CC185" s="507"/>
    </row>
    <row r="186" spans="3:81" outlineLevel="1" collapsed="1">
      <c r="C186" s="502" t="str" cm="1">
        <f t="array" ref="C186">INDEX(FixedAssets[Asset],MATCH(C135,FixedAssets[Asset],0)+1,0)</f>
        <v>Copyrights</v>
      </c>
      <c r="E186" s="502" cm="1">
        <f t="array" ref="E186">INDEX(FixedAssets[Asset ID],_xlfn.XMATCH($C186,FixedAssets[Asset]))</f>
        <v>60</v>
      </c>
      <c r="F186" s="502" cm="1">
        <f t="array" ref="F186">INDEX(FixedAssets[Depreciation
/ Amortization ID],_xlfn.XMATCH($C186,FixedAssets[Asset]))</f>
        <v>191</v>
      </c>
      <c r="G186" s="502" cm="1">
        <f t="array" ref="G186">INDEX(FixedAssets[Accumulated Depreciation
/ Amortization ID],_xlfn.XMATCH($C186,FixedAssets[Asset]))</f>
        <v>194</v>
      </c>
      <c r="H186" s="508"/>
      <c r="I186" s="508"/>
      <c r="J186" s="507">
        <f>_xlfn.AGGREGATE(9,0,J187:J236)</f>
        <v>10543.6</v>
      </c>
      <c r="K186" s="507">
        <f t="shared" ref="K186:M186" si="251">_xlfn.AGGREGATE(9,0,K187:K236)</f>
        <v>10543.6</v>
      </c>
      <c r="L186" s="507">
        <f t="shared" si="251"/>
        <v>10543.6</v>
      </c>
      <c r="M186" s="507">
        <f t="shared" si="251"/>
        <v>10543.6</v>
      </c>
      <c r="N186" s="509"/>
      <c r="O186" s="509"/>
      <c r="P186" s="507">
        <f t="shared" ref="P186:AE186" si="252">_xlfn.AGGREGATE(9,0,P187:P236)</f>
        <v>2635.9</v>
      </c>
      <c r="Q186" s="507">
        <f t="shared" si="252"/>
        <v>2635.9</v>
      </c>
      <c r="R186" s="507">
        <f t="shared" si="252"/>
        <v>2635.9</v>
      </c>
      <c r="S186" s="507">
        <f t="shared" si="252"/>
        <v>2635.9</v>
      </c>
      <c r="T186" s="507">
        <f t="shared" si="252"/>
        <v>2635.9</v>
      </c>
      <c r="U186" s="507">
        <f t="shared" si="252"/>
        <v>2635.9</v>
      </c>
      <c r="V186" s="507">
        <f t="shared" si="252"/>
        <v>2635.9</v>
      </c>
      <c r="W186" s="507">
        <f t="shared" si="252"/>
        <v>2635.9</v>
      </c>
      <c r="X186" s="507">
        <f t="shared" si="252"/>
        <v>2635.9</v>
      </c>
      <c r="Y186" s="507">
        <f t="shared" si="252"/>
        <v>2635.9</v>
      </c>
      <c r="Z186" s="507">
        <f t="shared" si="252"/>
        <v>2635.9</v>
      </c>
      <c r="AA186" s="507">
        <f t="shared" si="252"/>
        <v>2635.9</v>
      </c>
      <c r="AB186" s="507">
        <f t="shared" si="252"/>
        <v>2635.9</v>
      </c>
      <c r="AC186" s="507">
        <f t="shared" si="252"/>
        <v>2635.9</v>
      </c>
      <c r="AD186" s="507">
        <f t="shared" si="252"/>
        <v>2635.9</v>
      </c>
      <c r="AE186" s="507">
        <f t="shared" si="252"/>
        <v>2635.9</v>
      </c>
      <c r="AF186" s="508"/>
      <c r="AG186" s="508"/>
      <c r="AH186" s="507">
        <f t="shared" ref="AH186:CC186" si="253">_xlfn.AGGREGATE(9,0,AH187:AH236)</f>
        <v>878.63333333333333</v>
      </c>
      <c r="AI186" s="507">
        <f t="shared" si="253"/>
        <v>878.63333333333333</v>
      </c>
      <c r="AJ186" s="507">
        <f t="shared" si="253"/>
        <v>878.63333333333333</v>
      </c>
      <c r="AK186" s="507">
        <f t="shared" si="253"/>
        <v>878.63333333333333</v>
      </c>
      <c r="AL186" s="507">
        <f t="shared" si="253"/>
        <v>878.63333333333333</v>
      </c>
      <c r="AM186" s="507">
        <f t="shared" si="253"/>
        <v>878.63333333333333</v>
      </c>
      <c r="AN186" s="507">
        <f t="shared" si="253"/>
        <v>878.63333333333333</v>
      </c>
      <c r="AO186" s="507">
        <f t="shared" si="253"/>
        <v>878.63333333333333</v>
      </c>
      <c r="AP186" s="507">
        <f t="shared" si="253"/>
        <v>878.63333333333333</v>
      </c>
      <c r="AQ186" s="507">
        <f t="shared" si="253"/>
        <v>878.63333333333333</v>
      </c>
      <c r="AR186" s="507">
        <f t="shared" si="253"/>
        <v>878.63333333333333</v>
      </c>
      <c r="AS186" s="507">
        <f t="shared" si="253"/>
        <v>878.63333333333333</v>
      </c>
      <c r="AT186" s="507">
        <f t="shared" si="253"/>
        <v>878.63333333333333</v>
      </c>
      <c r="AU186" s="507">
        <f t="shared" si="253"/>
        <v>878.63333333333333</v>
      </c>
      <c r="AV186" s="507">
        <f t="shared" si="253"/>
        <v>878.63333333333333</v>
      </c>
      <c r="AW186" s="507">
        <f t="shared" si="253"/>
        <v>878.63333333333333</v>
      </c>
      <c r="AX186" s="507">
        <f t="shared" si="253"/>
        <v>878.63333333333333</v>
      </c>
      <c r="AY186" s="507">
        <f t="shared" si="253"/>
        <v>878.63333333333333</v>
      </c>
      <c r="AZ186" s="507">
        <f t="shared" si="253"/>
        <v>878.63333333333333</v>
      </c>
      <c r="BA186" s="507">
        <f t="shared" si="253"/>
        <v>878.63333333333333</v>
      </c>
      <c r="BB186" s="507">
        <f t="shared" si="253"/>
        <v>878.63333333333333</v>
      </c>
      <c r="BC186" s="507">
        <f t="shared" si="253"/>
        <v>878.63333333333333</v>
      </c>
      <c r="BD186" s="507">
        <f t="shared" si="253"/>
        <v>878.63333333333333</v>
      </c>
      <c r="BE186" s="507">
        <f t="shared" si="253"/>
        <v>878.63333333333333</v>
      </c>
      <c r="BF186" s="507">
        <f t="shared" si="253"/>
        <v>878.63333333333333</v>
      </c>
      <c r="BG186" s="507">
        <f t="shared" si="253"/>
        <v>878.63333333333333</v>
      </c>
      <c r="BH186" s="507">
        <f t="shared" si="253"/>
        <v>878.63333333333333</v>
      </c>
      <c r="BI186" s="507">
        <f t="shared" si="253"/>
        <v>878.63333333333333</v>
      </c>
      <c r="BJ186" s="507">
        <f t="shared" si="253"/>
        <v>878.63333333333333</v>
      </c>
      <c r="BK186" s="507">
        <f t="shared" si="253"/>
        <v>878.63333333333333</v>
      </c>
      <c r="BL186" s="507">
        <f t="shared" si="253"/>
        <v>878.63333333333333</v>
      </c>
      <c r="BM186" s="507">
        <f t="shared" si="253"/>
        <v>878.63333333333333</v>
      </c>
      <c r="BN186" s="507">
        <f t="shared" si="253"/>
        <v>878.63333333333333</v>
      </c>
      <c r="BO186" s="507">
        <f t="shared" si="253"/>
        <v>878.63333333333333</v>
      </c>
      <c r="BP186" s="507">
        <f t="shared" si="253"/>
        <v>878.63333333333333</v>
      </c>
      <c r="BQ186" s="507">
        <f t="shared" si="253"/>
        <v>878.63333333333333</v>
      </c>
      <c r="BR186" s="507">
        <f t="shared" si="253"/>
        <v>878.63333333333333</v>
      </c>
      <c r="BS186" s="507">
        <f t="shared" si="253"/>
        <v>878.63333333333333</v>
      </c>
      <c r="BT186" s="507">
        <f t="shared" si="253"/>
        <v>878.63333333333333</v>
      </c>
      <c r="BU186" s="507">
        <f t="shared" si="253"/>
        <v>878.63333333333333</v>
      </c>
      <c r="BV186" s="507">
        <f t="shared" si="253"/>
        <v>878.63333333333333</v>
      </c>
      <c r="BW186" s="507">
        <f t="shared" si="253"/>
        <v>878.63333333333333</v>
      </c>
      <c r="BX186" s="507">
        <f t="shared" si="253"/>
        <v>878.63333333333333</v>
      </c>
      <c r="BY186" s="507">
        <f t="shared" si="253"/>
        <v>878.63333333333333</v>
      </c>
      <c r="BZ186" s="507">
        <f t="shared" si="253"/>
        <v>878.63333333333333</v>
      </c>
      <c r="CA186" s="507">
        <f t="shared" si="253"/>
        <v>878.63333333333333</v>
      </c>
      <c r="CB186" s="507">
        <f t="shared" si="253"/>
        <v>878.63333333333333</v>
      </c>
      <c r="CC186" s="507">
        <f t="shared" si="253"/>
        <v>878.63333333333333</v>
      </c>
    </row>
    <row r="187" spans="3:81" hidden="1" outlineLevel="2">
      <c r="AH187" s="507"/>
      <c r="AI187" s="507"/>
      <c r="AJ187" s="507"/>
      <c r="AK187" s="507"/>
      <c r="AL187" s="507"/>
      <c r="AM187" s="507"/>
      <c r="AN187" s="507"/>
      <c r="AO187" s="507"/>
      <c r="AP187" s="507"/>
      <c r="AQ187" s="507"/>
      <c r="AR187" s="507"/>
      <c r="AS187" s="507"/>
      <c r="AT187" s="507"/>
      <c r="AU187" s="507"/>
      <c r="AV187" s="507"/>
      <c r="AW187" s="507"/>
      <c r="AX187" s="507"/>
      <c r="AY187" s="507"/>
      <c r="AZ187" s="507"/>
      <c r="BA187" s="507"/>
      <c r="BB187" s="507"/>
      <c r="BC187" s="507"/>
      <c r="BD187" s="507"/>
      <c r="BE187" s="507"/>
      <c r="BF187" s="507"/>
      <c r="BG187" s="507"/>
      <c r="BH187" s="507"/>
      <c r="BI187" s="507"/>
      <c r="BJ187" s="507"/>
      <c r="BK187" s="507"/>
      <c r="BL187" s="507"/>
      <c r="BM187" s="507"/>
      <c r="BN187" s="507"/>
      <c r="BO187" s="507"/>
      <c r="BP187" s="507"/>
      <c r="BQ187" s="507"/>
      <c r="BR187" s="507"/>
      <c r="BS187" s="507"/>
      <c r="BT187" s="507"/>
      <c r="BU187" s="507"/>
      <c r="BV187" s="507"/>
      <c r="BW187" s="507"/>
      <c r="BX187" s="507"/>
      <c r="BY187" s="507"/>
      <c r="BZ187" s="507"/>
      <c r="CA187" s="507"/>
      <c r="CB187" s="507"/>
      <c r="CC187" s="507"/>
    </row>
    <row r="188" spans="3:81" hidden="1" outlineLevel="2">
      <c r="C188" s="664" cm="1">
        <f t="array" ref="C188">EOM_Start_Date</f>
        <v>44957</v>
      </c>
      <c r="D188" s="508"/>
      <c r="E188" s="508" cm="1">
        <f t="array" ref="E188">SUMPRODUCT(($AH$26:$CC$31)*($AH$5:$CC$5=$C188)*($E$26:$E$31=E$186))-SUMPRODUCT(($AH$26:$CC$31)*($AH$5:$CC$5=EOMONTH($C188,-1))*($E$26:$E$31=E$186))</f>
        <v>52718</v>
      </c>
      <c r="F188" s="508"/>
      <c r="G188" s="508"/>
      <c r="H188" s="508"/>
      <c r="I188" s="508"/>
      <c r="J188" s="504">
        <f t="shared" ref="J188:M235" si="254">SUMIFS($AH188:$CC188,$AH$4:$CC$4,"&gt;="&amp;J$4,$AH$5:$CC$5,"&lt;="&amp;J$5)</f>
        <v>10543.6</v>
      </c>
      <c r="K188" s="504">
        <f t="shared" si="254"/>
        <v>10543.6</v>
      </c>
      <c r="L188" s="504">
        <f t="shared" si="254"/>
        <v>10543.6</v>
      </c>
      <c r="M188" s="504">
        <f t="shared" si="254"/>
        <v>10543.6</v>
      </c>
      <c r="N188" s="504"/>
      <c r="O188" s="504"/>
      <c r="P188" s="504">
        <f t="shared" ref="P188:AE203" si="255">SUMIFS($AH188:$CC188,$AH$4:$CC$4,"&gt;="&amp;P$4,$AH$5:$CC$5,"&lt;="&amp;P$5)</f>
        <v>2635.9</v>
      </c>
      <c r="Q188" s="504">
        <f t="shared" si="255"/>
        <v>2635.9</v>
      </c>
      <c r="R188" s="504">
        <f t="shared" si="255"/>
        <v>2635.9</v>
      </c>
      <c r="S188" s="504">
        <f t="shared" si="255"/>
        <v>2635.9</v>
      </c>
      <c r="T188" s="504">
        <f t="shared" si="255"/>
        <v>2635.9</v>
      </c>
      <c r="U188" s="504">
        <f t="shared" si="255"/>
        <v>2635.9</v>
      </c>
      <c r="V188" s="504">
        <f t="shared" si="255"/>
        <v>2635.9</v>
      </c>
      <c r="W188" s="504">
        <f t="shared" si="255"/>
        <v>2635.9</v>
      </c>
      <c r="X188" s="504">
        <f t="shared" si="255"/>
        <v>2635.9</v>
      </c>
      <c r="Y188" s="504">
        <f t="shared" si="255"/>
        <v>2635.9</v>
      </c>
      <c r="Z188" s="504">
        <f t="shared" si="255"/>
        <v>2635.9</v>
      </c>
      <c r="AA188" s="504">
        <f t="shared" si="255"/>
        <v>2635.9</v>
      </c>
      <c r="AB188" s="504">
        <f t="shared" si="255"/>
        <v>2635.9</v>
      </c>
      <c r="AC188" s="504">
        <f t="shared" si="255"/>
        <v>2635.9</v>
      </c>
      <c r="AD188" s="504">
        <f t="shared" si="255"/>
        <v>2635.9</v>
      </c>
      <c r="AE188" s="504">
        <f t="shared" si="255"/>
        <v>2635.9</v>
      </c>
      <c r="AF188" s="508"/>
      <c r="AG188" s="508"/>
      <c r="AH188" s="507" cm="1">
        <f t="array" ref="AH188">_xlfn.LET(_xlpm.DepreciationMonths,INDEX(FixedAssets[Depreciation
/ Amortization Months],_xlfn.XMATCH($E$186,FixedAssets[Asset ID])),IF(AND((_xlfn.XMATCH(AH$8,$AH$8:$CC$8))-_xlfn.XMATCH($C188,$C$35:$C$82)+1&lt;=_xlpm.DepreciationMonths,$C188&lt;=AH$8),$E188/_xlpm.DepreciationMonths,0))</f>
        <v>878.63333333333333</v>
      </c>
      <c r="AI188" s="507" cm="1">
        <f t="array" ref="AI188">_xlfn.LET(_xlpm.DepreciationMonths,INDEX(FixedAssets[Depreciation
/ Amortization Months],_xlfn.XMATCH($E$186,FixedAssets[Asset ID])),IF(AND((_xlfn.XMATCH(AI$8,$AH$8:$CC$8))-_xlfn.XMATCH($C188,$C$35:$C$82)+1&lt;=_xlpm.DepreciationMonths,$C188&lt;=AI$8),$E188/_xlpm.DepreciationMonths,0))</f>
        <v>878.63333333333333</v>
      </c>
      <c r="AJ188" s="507" cm="1">
        <f t="array" ref="AJ188">_xlfn.LET(_xlpm.DepreciationMonths,INDEX(FixedAssets[Depreciation
/ Amortization Months],_xlfn.XMATCH($E$186,FixedAssets[Asset ID])),IF(AND((_xlfn.XMATCH(AJ$8,$AH$8:$CC$8))-_xlfn.XMATCH($C188,$C$35:$C$82)+1&lt;=_xlpm.DepreciationMonths,$C188&lt;=AJ$8),$E188/_xlpm.DepreciationMonths,0))</f>
        <v>878.63333333333333</v>
      </c>
      <c r="AK188" s="507" cm="1">
        <f t="array" ref="AK188">_xlfn.LET(_xlpm.DepreciationMonths,INDEX(FixedAssets[Depreciation
/ Amortization Months],_xlfn.XMATCH($E$186,FixedAssets[Asset ID])),IF(AND((_xlfn.XMATCH(AK$8,$AH$8:$CC$8))-_xlfn.XMATCH($C188,$C$35:$C$82)+1&lt;=_xlpm.DepreciationMonths,$C188&lt;=AK$8),$E188/_xlpm.DepreciationMonths,0))</f>
        <v>878.63333333333333</v>
      </c>
      <c r="AL188" s="507" cm="1">
        <f t="array" ref="AL188">_xlfn.LET(_xlpm.DepreciationMonths,INDEX(FixedAssets[Depreciation
/ Amortization Months],_xlfn.XMATCH($E$186,FixedAssets[Asset ID])),IF(AND((_xlfn.XMATCH(AL$8,$AH$8:$CC$8))-_xlfn.XMATCH($C188,$C$35:$C$82)+1&lt;=_xlpm.DepreciationMonths,$C188&lt;=AL$8),$E188/_xlpm.DepreciationMonths,0))</f>
        <v>878.63333333333333</v>
      </c>
      <c r="AM188" s="507" cm="1">
        <f t="array" ref="AM188">_xlfn.LET(_xlpm.DepreciationMonths,INDEX(FixedAssets[Depreciation
/ Amortization Months],_xlfn.XMATCH($E$186,FixedAssets[Asset ID])),IF(AND((_xlfn.XMATCH(AM$8,$AH$8:$CC$8))-_xlfn.XMATCH($C188,$C$35:$C$82)+1&lt;=_xlpm.DepreciationMonths,$C188&lt;=AM$8),$E188/_xlpm.DepreciationMonths,0))</f>
        <v>878.63333333333333</v>
      </c>
      <c r="AN188" s="507" cm="1">
        <f t="array" ref="AN188">_xlfn.LET(_xlpm.DepreciationMonths,INDEX(FixedAssets[Depreciation
/ Amortization Months],_xlfn.XMATCH($E$186,FixedAssets[Asset ID])),IF(AND((_xlfn.XMATCH(AN$8,$AH$8:$CC$8))-_xlfn.XMATCH($C188,$C$35:$C$82)+1&lt;=_xlpm.DepreciationMonths,$C188&lt;=AN$8),$E188/_xlpm.DepreciationMonths,0))</f>
        <v>878.63333333333333</v>
      </c>
      <c r="AO188" s="507" cm="1">
        <f t="array" ref="AO188">_xlfn.LET(_xlpm.DepreciationMonths,INDEX(FixedAssets[Depreciation
/ Amortization Months],_xlfn.XMATCH($E$186,FixedAssets[Asset ID])),IF(AND((_xlfn.XMATCH(AO$8,$AH$8:$CC$8))-_xlfn.XMATCH($C188,$C$35:$C$82)+1&lt;=_xlpm.DepreciationMonths,$C188&lt;=AO$8),$E188/_xlpm.DepreciationMonths,0))</f>
        <v>878.63333333333333</v>
      </c>
      <c r="AP188" s="507" cm="1">
        <f t="array" ref="AP188">_xlfn.LET(_xlpm.DepreciationMonths,INDEX(FixedAssets[Depreciation
/ Amortization Months],_xlfn.XMATCH($E$186,FixedAssets[Asset ID])),IF(AND((_xlfn.XMATCH(AP$8,$AH$8:$CC$8))-_xlfn.XMATCH($C188,$C$35:$C$82)+1&lt;=_xlpm.DepreciationMonths,$C188&lt;=AP$8),$E188/_xlpm.DepreciationMonths,0))</f>
        <v>878.63333333333333</v>
      </c>
      <c r="AQ188" s="507" cm="1">
        <f t="array" ref="AQ188">_xlfn.LET(_xlpm.DepreciationMonths,INDEX(FixedAssets[Depreciation
/ Amortization Months],_xlfn.XMATCH($E$186,FixedAssets[Asset ID])),IF(AND((_xlfn.XMATCH(AQ$8,$AH$8:$CC$8))-_xlfn.XMATCH($C188,$C$35:$C$82)+1&lt;=_xlpm.DepreciationMonths,$C188&lt;=AQ$8),$E188/_xlpm.DepreciationMonths,0))</f>
        <v>878.63333333333333</v>
      </c>
      <c r="AR188" s="507" cm="1">
        <f t="array" ref="AR188">_xlfn.LET(_xlpm.DepreciationMonths,INDEX(FixedAssets[Depreciation
/ Amortization Months],_xlfn.XMATCH($E$186,FixedAssets[Asset ID])),IF(AND((_xlfn.XMATCH(AR$8,$AH$8:$CC$8))-_xlfn.XMATCH($C188,$C$35:$C$82)+1&lt;=_xlpm.DepreciationMonths,$C188&lt;=AR$8),$E188/_xlpm.DepreciationMonths,0))</f>
        <v>878.63333333333333</v>
      </c>
      <c r="AS188" s="507" cm="1">
        <f t="array" ref="AS188">_xlfn.LET(_xlpm.DepreciationMonths,INDEX(FixedAssets[Depreciation
/ Amortization Months],_xlfn.XMATCH($E$186,FixedAssets[Asset ID])),IF(AND((_xlfn.XMATCH(AS$8,$AH$8:$CC$8))-_xlfn.XMATCH($C188,$C$35:$C$82)+1&lt;=_xlpm.DepreciationMonths,$C188&lt;=AS$8),$E188/_xlpm.DepreciationMonths,0))</f>
        <v>878.63333333333333</v>
      </c>
      <c r="AT188" s="507" cm="1">
        <f t="array" ref="AT188">_xlfn.LET(_xlpm.DepreciationMonths,INDEX(FixedAssets[Depreciation
/ Amortization Months],_xlfn.XMATCH($E$186,FixedAssets[Asset ID])),IF(AND((_xlfn.XMATCH(AT$8,$AH$8:$CC$8))-_xlfn.XMATCH($C188,$C$35:$C$82)+1&lt;=_xlpm.DepreciationMonths,$C188&lt;=AT$8),$E188/_xlpm.DepreciationMonths,0))</f>
        <v>878.63333333333333</v>
      </c>
      <c r="AU188" s="507" cm="1">
        <f t="array" ref="AU188">_xlfn.LET(_xlpm.DepreciationMonths,INDEX(FixedAssets[Depreciation
/ Amortization Months],_xlfn.XMATCH($E$186,FixedAssets[Asset ID])),IF(AND((_xlfn.XMATCH(AU$8,$AH$8:$CC$8))-_xlfn.XMATCH($C188,$C$35:$C$82)+1&lt;=_xlpm.DepreciationMonths,$C188&lt;=AU$8),$E188/_xlpm.DepreciationMonths,0))</f>
        <v>878.63333333333333</v>
      </c>
      <c r="AV188" s="507" cm="1">
        <f t="array" ref="AV188">_xlfn.LET(_xlpm.DepreciationMonths,INDEX(FixedAssets[Depreciation
/ Amortization Months],_xlfn.XMATCH($E$186,FixedAssets[Asset ID])),IF(AND((_xlfn.XMATCH(AV$8,$AH$8:$CC$8))-_xlfn.XMATCH($C188,$C$35:$C$82)+1&lt;=_xlpm.DepreciationMonths,$C188&lt;=AV$8),$E188/_xlpm.DepreciationMonths,0))</f>
        <v>878.63333333333333</v>
      </c>
      <c r="AW188" s="507" cm="1">
        <f t="array" ref="AW188">_xlfn.LET(_xlpm.DepreciationMonths,INDEX(FixedAssets[Depreciation
/ Amortization Months],_xlfn.XMATCH($E$186,FixedAssets[Asset ID])),IF(AND((_xlfn.XMATCH(AW$8,$AH$8:$CC$8))-_xlfn.XMATCH($C188,$C$35:$C$82)+1&lt;=_xlpm.DepreciationMonths,$C188&lt;=AW$8),$E188/_xlpm.DepreciationMonths,0))</f>
        <v>878.63333333333333</v>
      </c>
      <c r="AX188" s="507" cm="1">
        <f t="array" ref="AX188">_xlfn.LET(_xlpm.DepreciationMonths,INDEX(FixedAssets[Depreciation
/ Amortization Months],_xlfn.XMATCH($E$186,FixedAssets[Asset ID])),IF(AND((_xlfn.XMATCH(AX$8,$AH$8:$CC$8))-_xlfn.XMATCH($C188,$C$35:$C$82)+1&lt;=_xlpm.DepreciationMonths,$C188&lt;=AX$8),$E188/_xlpm.DepreciationMonths,0))</f>
        <v>878.63333333333333</v>
      </c>
      <c r="AY188" s="507" cm="1">
        <f t="array" ref="AY188">_xlfn.LET(_xlpm.DepreciationMonths,INDEX(FixedAssets[Depreciation
/ Amortization Months],_xlfn.XMATCH($E$186,FixedAssets[Asset ID])),IF(AND((_xlfn.XMATCH(AY$8,$AH$8:$CC$8))-_xlfn.XMATCH($C188,$C$35:$C$82)+1&lt;=_xlpm.DepreciationMonths,$C188&lt;=AY$8),$E188/_xlpm.DepreciationMonths,0))</f>
        <v>878.63333333333333</v>
      </c>
      <c r="AZ188" s="507" cm="1">
        <f t="array" ref="AZ188">_xlfn.LET(_xlpm.DepreciationMonths,INDEX(FixedAssets[Depreciation
/ Amortization Months],_xlfn.XMATCH($E$186,FixedAssets[Asset ID])),IF(AND((_xlfn.XMATCH(AZ$8,$AH$8:$CC$8))-_xlfn.XMATCH($C188,$C$35:$C$82)+1&lt;=_xlpm.DepreciationMonths,$C188&lt;=AZ$8),$E188/_xlpm.DepreciationMonths,0))</f>
        <v>878.63333333333333</v>
      </c>
      <c r="BA188" s="507" cm="1">
        <f t="array" ref="BA188">_xlfn.LET(_xlpm.DepreciationMonths,INDEX(FixedAssets[Depreciation
/ Amortization Months],_xlfn.XMATCH($E$186,FixedAssets[Asset ID])),IF(AND((_xlfn.XMATCH(BA$8,$AH$8:$CC$8))-_xlfn.XMATCH($C188,$C$35:$C$82)+1&lt;=_xlpm.DepreciationMonths,$C188&lt;=BA$8),$E188/_xlpm.DepreciationMonths,0))</f>
        <v>878.63333333333333</v>
      </c>
      <c r="BB188" s="507" cm="1">
        <f t="array" ref="BB188">_xlfn.LET(_xlpm.DepreciationMonths,INDEX(FixedAssets[Depreciation
/ Amortization Months],_xlfn.XMATCH($E$186,FixedAssets[Asset ID])),IF(AND((_xlfn.XMATCH(BB$8,$AH$8:$CC$8))-_xlfn.XMATCH($C188,$C$35:$C$82)+1&lt;=_xlpm.DepreciationMonths,$C188&lt;=BB$8),$E188/_xlpm.DepreciationMonths,0))</f>
        <v>878.63333333333333</v>
      </c>
      <c r="BC188" s="507" cm="1">
        <f t="array" ref="BC188">_xlfn.LET(_xlpm.DepreciationMonths,INDEX(FixedAssets[Depreciation
/ Amortization Months],_xlfn.XMATCH($E$186,FixedAssets[Asset ID])),IF(AND((_xlfn.XMATCH(BC$8,$AH$8:$CC$8))-_xlfn.XMATCH($C188,$C$35:$C$82)+1&lt;=_xlpm.DepreciationMonths,$C188&lt;=BC$8),$E188/_xlpm.DepreciationMonths,0))</f>
        <v>878.63333333333333</v>
      </c>
      <c r="BD188" s="507" cm="1">
        <f t="array" ref="BD188">_xlfn.LET(_xlpm.DepreciationMonths,INDEX(FixedAssets[Depreciation
/ Amortization Months],_xlfn.XMATCH($E$186,FixedAssets[Asset ID])),IF(AND((_xlfn.XMATCH(BD$8,$AH$8:$CC$8))-_xlfn.XMATCH($C188,$C$35:$C$82)+1&lt;=_xlpm.DepreciationMonths,$C188&lt;=BD$8),$E188/_xlpm.DepreciationMonths,0))</f>
        <v>878.63333333333333</v>
      </c>
      <c r="BE188" s="507" cm="1">
        <f t="array" ref="BE188">_xlfn.LET(_xlpm.DepreciationMonths,INDEX(FixedAssets[Depreciation
/ Amortization Months],_xlfn.XMATCH($E$186,FixedAssets[Asset ID])),IF(AND((_xlfn.XMATCH(BE$8,$AH$8:$CC$8))-_xlfn.XMATCH($C188,$C$35:$C$82)+1&lt;=_xlpm.DepreciationMonths,$C188&lt;=BE$8),$E188/_xlpm.DepreciationMonths,0))</f>
        <v>878.63333333333333</v>
      </c>
      <c r="BF188" s="507" cm="1">
        <f t="array" ref="BF188">_xlfn.LET(_xlpm.DepreciationMonths,INDEX(FixedAssets[Depreciation
/ Amortization Months],_xlfn.XMATCH($E$186,FixedAssets[Asset ID])),IF(AND((_xlfn.XMATCH(BF$8,$AH$8:$CC$8))-_xlfn.XMATCH($C188,$C$35:$C$82)+1&lt;=_xlpm.DepreciationMonths,$C188&lt;=BF$8),$E188/_xlpm.DepreciationMonths,0))</f>
        <v>878.63333333333333</v>
      </c>
      <c r="BG188" s="507" cm="1">
        <f t="array" ref="BG188">_xlfn.LET(_xlpm.DepreciationMonths,INDEX(FixedAssets[Depreciation
/ Amortization Months],_xlfn.XMATCH($E$186,FixedAssets[Asset ID])),IF(AND((_xlfn.XMATCH(BG$8,$AH$8:$CC$8))-_xlfn.XMATCH($C188,$C$35:$C$82)+1&lt;=_xlpm.DepreciationMonths,$C188&lt;=BG$8),$E188/_xlpm.DepreciationMonths,0))</f>
        <v>878.63333333333333</v>
      </c>
      <c r="BH188" s="507" cm="1">
        <f t="array" ref="BH188">_xlfn.LET(_xlpm.DepreciationMonths,INDEX(FixedAssets[Depreciation
/ Amortization Months],_xlfn.XMATCH($E$186,FixedAssets[Asset ID])),IF(AND((_xlfn.XMATCH(BH$8,$AH$8:$CC$8))-_xlfn.XMATCH($C188,$C$35:$C$82)+1&lt;=_xlpm.DepreciationMonths,$C188&lt;=BH$8),$E188/_xlpm.DepreciationMonths,0))</f>
        <v>878.63333333333333</v>
      </c>
      <c r="BI188" s="507" cm="1">
        <f t="array" ref="BI188">_xlfn.LET(_xlpm.DepreciationMonths,INDEX(FixedAssets[Depreciation
/ Amortization Months],_xlfn.XMATCH($E$186,FixedAssets[Asset ID])),IF(AND((_xlfn.XMATCH(BI$8,$AH$8:$CC$8))-_xlfn.XMATCH($C188,$C$35:$C$82)+1&lt;=_xlpm.DepreciationMonths,$C188&lt;=BI$8),$E188/_xlpm.DepreciationMonths,0))</f>
        <v>878.63333333333333</v>
      </c>
      <c r="BJ188" s="507" cm="1">
        <f t="array" ref="BJ188">_xlfn.LET(_xlpm.DepreciationMonths,INDEX(FixedAssets[Depreciation
/ Amortization Months],_xlfn.XMATCH($E$186,FixedAssets[Asset ID])),IF(AND((_xlfn.XMATCH(BJ$8,$AH$8:$CC$8))-_xlfn.XMATCH($C188,$C$35:$C$82)+1&lt;=_xlpm.DepreciationMonths,$C188&lt;=BJ$8),$E188/_xlpm.DepreciationMonths,0))</f>
        <v>878.63333333333333</v>
      </c>
      <c r="BK188" s="507" cm="1">
        <f t="array" ref="BK188">_xlfn.LET(_xlpm.DepreciationMonths,INDEX(FixedAssets[Depreciation
/ Amortization Months],_xlfn.XMATCH($E$186,FixedAssets[Asset ID])),IF(AND((_xlfn.XMATCH(BK$8,$AH$8:$CC$8))-_xlfn.XMATCH($C188,$C$35:$C$82)+1&lt;=_xlpm.DepreciationMonths,$C188&lt;=BK$8),$E188/_xlpm.DepreciationMonths,0))</f>
        <v>878.63333333333333</v>
      </c>
      <c r="BL188" s="507" cm="1">
        <f t="array" ref="BL188">_xlfn.LET(_xlpm.DepreciationMonths,INDEX(FixedAssets[Depreciation
/ Amortization Months],_xlfn.XMATCH($E$186,FixedAssets[Asset ID])),IF(AND((_xlfn.XMATCH(BL$8,$AH$8:$CC$8))-_xlfn.XMATCH($C188,$C$35:$C$82)+1&lt;=_xlpm.DepreciationMonths,$C188&lt;=BL$8),$E188/_xlpm.DepreciationMonths,0))</f>
        <v>878.63333333333333</v>
      </c>
      <c r="BM188" s="507" cm="1">
        <f t="array" ref="BM188">_xlfn.LET(_xlpm.DepreciationMonths,INDEX(FixedAssets[Depreciation
/ Amortization Months],_xlfn.XMATCH($E$186,FixedAssets[Asset ID])),IF(AND((_xlfn.XMATCH(BM$8,$AH$8:$CC$8))-_xlfn.XMATCH($C188,$C$35:$C$82)+1&lt;=_xlpm.DepreciationMonths,$C188&lt;=BM$8),$E188/_xlpm.DepreciationMonths,0))</f>
        <v>878.63333333333333</v>
      </c>
      <c r="BN188" s="507" cm="1">
        <f t="array" ref="BN188">_xlfn.LET(_xlpm.DepreciationMonths,INDEX(FixedAssets[Depreciation
/ Amortization Months],_xlfn.XMATCH($E$186,FixedAssets[Asset ID])),IF(AND((_xlfn.XMATCH(BN$8,$AH$8:$CC$8))-_xlfn.XMATCH($C188,$C$35:$C$82)+1&lt;=_xlpm.DepreciationMonths,$C188&lt;=BN$8),$E188/_xlpm.DepreciationMonths,0))</f>
        <v>878.63333333333333</v>
      </c>
      <c r="BO188" s="507" cm="1">
        <f t="array" ref="BO188">_xlfn.LET(_xlpm.DepreciationMonths,INDEX(FixedAssets[Depreciation
/ Amortization Months],_xlfn.XMATCH($E$186,FixedAssets[Asset ID])),IF(AND((_xlfn.XMATCH(BO$8,$AH$8:$CC$8))-_xlfn.XMATCH($C188,$C$35:$C$82)+1&lt;=_xlpm.DepreciationMonths,$C188&lt;=BO$8),$E188/_xlpm.DepreciationMonths,0))</f>
        <v>878.63333333333333</v>
      </c>
      <c r="BP188" s="507" cm="1">
        <f t="array" ref="BP188">_xlfn.LET(_xlpm.DepreciationMonths,INDEX(FixedAssets[Depreciation
/ Amortization Months],_xlfn.XMATCH($E$186,FixedAssets[Asset ID])),IF(AND((_xlfn.XMATCH(BP$8,$AH$8:$CC$8))-_xlfn.XMATCH($C188,$C$35:$C$82)+1&lt;=_xlpm.DepreciationMonths,$C188&lt;=BP$8),$E188/_xlpm.DepreciationMonths,0))</f>
        <v>878.63333333333333</v>
      </c>
      <c r="BQ188" s="507" cm="1">
        <f t="array" ref="BQ188">_xlfn.LET(_xlpm.DepreciationMonths,INDEX(FixedAssets[Depreciation
/ Amortization Months],_xlfn.XMATCH($E$186,FixedAssets[Asset ID])),IF(AND((_xlfn.XMATCH(BQ$8,$AH$8:$CC$8))-_xlfn.XMATCH($C188,$C$35:$C$82)+1&lt;=_xlpm.DepreciationMonths,$C188&lt;=BQ$8),$E188/_xlpm.DepreciationMonths,0))</f>
        <v>878.63333333333333</v>
      </c>
      <c r="BR188" s="507" cm="1">
        <f t="array" ref="BR188">_xlfn.LET(_xlpm.DepreciationMonths,INDEX(FixedAssets[Depreciation
/ Amortization Months],_xlfn.XMATCH($E$186,FixedAssets[Asset ID])),IF(AND((_xlfn.XMATCH(BR$8,$AH$8:$CC$8))-_xlfn.XMATCH($C188,$C$35:$C$82)+1&lt;=_xlpm.DepreciationMonths,$C188&lt;=BR$8),$E188/_xlpm.DepreciationMonths,0))</f>
        <v>878.63333333333333</v>
      </c>
      <c r="BS188" s="507" cm="1">
        <f t="array" ref="BS188">_xlfn.LET(_xlpm.DepreciationMonths,INDEX(FixedAssets[Depreciation
/ Amortization Months],_xlfn.XMATCH($E$186,FixedAssets[Asset ID])),IF(AND((_xlfn.XMATCH(BS$8,$AH$8:$CC$8))-_xlfn.XMATCH($C188,$C$35:$C$82)+1&lt;=_xlpm.DepreciationMonths,$C188&lt;=BS$8),$E188/_xlpm.DepreciationMonths,0))</f>
        <v>878.63333333333333</v>
      </c>
      <c r="BT188" s="507" cm="1">
        <f t="array" ref="BT188">_xlfn.LET(_xlpm.DepreciationMonths,INDEX(FixedAssets[Depreciation
/ Amortization Months],_xlfn.XMATCH($E$186,FixedAssets[Asset ID])),IF(AND((_xlfn.XMATCH(BT$8,$AH$8:$CC$8))-_xlfn.XMATCH($C188,$C$35:$C$82)+1&lt;=_xlpm.DepreciationMonths,$C188&lt;=BT$8),$E188/_xlpm.DepreciationMonths,0))</f>
        <v>878.63333333333333</v>
      </c>
      <c r="BU188" s="507" cm="1">
        <f t="array" ref="BU188">_xlfn.LET(_xlpm.DepreciationMonths,INDEX(FixedAssets[Depreciation
/ Amortization Months],_xlfn.XMATCH($E$186,FixedAssets[Asset ID])),IF(AND((_xlfn.XMATCH(BU$8,$AH$8:$CC$8))-_xlfn.XMATCH($C188,$C$35:$C$82)+1&lt;=_xlpm.DepreciationMonths,$C188&lt;=BU$8),$E188/_xlpm.DepreciationMonths,0))</f>
        <v>878.63333333333333</v>
      </c>
      <c r="BV188" s="507" cm="1">
        <f t="array" ref="BV188">_xlfn.LET(_xlpm.DepreciationMonths,INDEX(FixedAssets[Depreciation
/ Amortization Months],_xlfn.XMATCH($E$186,FixedAssets[Asset ID])),IF(AND((_xlfn.XMATCH(BV$8,$AH$8:$CC$8))-_xlfn.XMATCH($C188,$C$35:$C$82)+1&lt;=_xlpm.DepreciationMonths,$C188&lt;=BV$8),$E188/_xlpm.DepreciationMonths,0))</f>
        <v>878.63333333333333</v>
      </c>
      <c r="BW188" s="507" cm="1">
        <f t="array" ref="BW188">_xlfn.LET(_xlpm.DepreciationMonths,INDEX(FixedAssets[Depreciation
/ Amortization Months],_xlfn.XMATCH($E$186,FixedAssets[Asset ID])),IF(AND((_xlfn.XMATCH(BW$8,$AH$8:$CC$8))-_xlfn.XMATCH($C188,$C$35:$C$82)+1&lt;=_xlpm.DepreciationMonths,$C188&lt;=BW$8),$E188/_xlpm.DepreciationMonths,0))</f>
        <v>878.63333333333333</v>
      </c>
      <c r="BX188" s="507" cm="1">
        <f t="array" ref="BX188">_xlfn.LET(_xlpm.DepreciationMonths,INDEX(FixedAssets[Depreciation
/ Amortization Months],_xlfn.XMATCH($E$186,FixedAssets[Asset ID])),IF(AND((_xlfn.XMATCH(BX$8,$AH$8:$CC$8))-_xlfn.XMATCH($C188,$C$35:$C$82)+1&lt;=_xlpm.DepreciationMonths,$C188&lt;=BX$8),$E188/_xlpm.DepreciationMonths,0))</f>
        <v>878.63333333333333</v>
      </c>
      <c r="BY188" s="507" cm="1">
        <f t="array" ref="BY188">_xlfn.LET(_xlpm.DepreciationMonths,INDEX(FixedAssets[Depreciation
/ Amortization Months],_xlfn.XMATCH($E$186,FixedAssets[Asset ID])),IF(AND((_xlfn.XMATCH(BY$8,$AH$8:$CC$8))-_xlfn.XMATCH($C188,$C$35:$C$82)+1&lt;=_xlpm.DepreciationMonths,$C188&lt;=BY$8),$E188/_xlpm.DepreciationMonths,0))</f>
        <v>878.63333333333333</v>
      </c>
      <c r="BZ188" s="507" cm="1">
        <f t="array" ref="BZ188">_xlfn.LET(_xlpm.DepreciationMonths,INDEX(FixedAssets[Depreciation
/ Amortization Months],_xlfn.XMATCH($E$186,FixedAssets[Asset ID])),IF(AND((_xlfn.XMATCH(BZ$8,$AH$8:$CC$8))-_xlfn.XMATCH($C188,$C$35:$C$82)+1&lt;=_xlpm.DepreciationMonths,$C188&lt;=BZ$8),$E188/_xlpm.DepreciationMonths,0))</f>
        <v>878.63333333333333</v>
      </c>
      <c r="CA188" s="507" cm="1">
        <f t="array" ref="CA188">_xlfn.LET(_xlpm.DepreciationMonths,INDEX(FixedAssets[Depreciation
/ Amortization Months],_xlfn.XMATCH($E$186,FixedAssets[Asset ID])),IF(AND((_xlfn.XMATCH(CA$8,$AH$8:$CC$8))-_xlfn.XMATCH($C188,$C$35:$C$82)+1&lt;=_xlpm.DepreciationMonths,$C188&lt;=CA$8),$E188/_xlpm.DepreciationMonths,0))</f>
        <v>878.63333333333333</v>
      </c>
      <c r="CB188" s="507" cm="1">
        <f t="array" ref="CB188">_xlfn.LET(_xlpm.DepreciationMonths,INDEX(FixedAssets[Depreciation
/ Amortization Months],_xlfn.XMATCH($E$186,FixedAssets[Asset ID])),IF(AND((_xlfn.XMATCH(CB$8,$AH$8:$CC$8))-_xlfn.XMATCH($C188,$C$35:$C$82)+1&lt;=_xlpm.DepreciationMonths,$C188&lt;=CB$8),$E188/_xlpm.DepreciationMonths,0))</f>
        <v>878.63333333333333</v>
      </c>
      <c r="CC188" s="507" cm="1">
        <f t="array" ref="CC188">_xlfn.LET(_xlpm.DepreciationMonths,INDEX(FixedAssets[Depreciation
/ Amortization Months],_xlfn.XMATCH($E$186,FixedAssets[Asset ID])),IF(AND((_xlfn.XMATCH(CC$8,$AH$8:$CC$8))-_xlfn.XMATCH($C188,$C$35:$C$82)+1&lt;=_xlpm.DepreciationMonths,$C188&lt;=CC$8),$E188/_xlpm.DepreciationMonths,0))</f>
        <v>878.63333333333333</v>
      </c>
    </row>
    <row r="189" spans="3:81" hidden="1" outlineLevel="2">
      <c r="C189" s="664">
        <f t="shared" ref="C189:C235" si="256">EOMONTH(C188,1)</f>
        <v>44985</v>
      </c>
      <c r="D189" s="508"/>
      <c r="E189" s="508" cm="1">
        <f t="array" ref="E189">SUMPRODUCT(($AH$26:$CC$31)*($AH$5:$CC$5=$C189)*($E$26:$E$31=E$186))-SUMPRODUCT(($AH$26:$CC$31)*($AH$5:$CC$5=EOMONTH($C189,-1))*($E$26:$E$31=E$186))</f>
        <v>0</v>
      </c>
      <c r="F189" s="508"/>
      <c r="G189" s="508"/>
      <c r="H189" s="508"/>
      <c r="I189" s="508"/>
      <c r="J189" s="504">
        <f t="shared" si="254"/>
        <v>0</v>
      </c>
      <c r="K189" s="504">
        <f t="shared" si="254"/>
        <v>0</v>
      </c>
      <c r="L189" s="504">
        <f t="shared" si="254"/>
        <v>0</v>
      </c>
      <c r="M189" s="504">
        <f t="shared" si="254"/>
        <v>0</v>
      </c>
      <c r="N189" s="504"/>
      <c r="O189" s="504"/>
      <c r="P189" s="504">
        <f t="shared" si="255"/>
        <v>0</v>
      </c>
      <c r="Q189" s="504">
        <f t="shared" si="255"/>
        <v>0</v>
      </c>
      <c r="R189" s="504">
        <f t="shared" si="255"/>
        <v>0</v>
      </c>
      <c r="S189" s="504">
        <f t="shared" si="255"/>
        <v>0</v>
      </c>
      <c r="T189" s="504">
        <f t="shared" si="255"/>
        <v>0</v>
      </c>
      <c r="U189" s="504">
        <f t="shared" si="255"/>
        <v>0</v>
      </c>
      <c r="V189" s="504">
        <f t="shared" si="255"/>
        <v>0</v>
      </c>
      <c r="W189" s="504">
        <f t="shared" si="255"/>
        <v>0</v>
      </c>
      <c r="X189" s="504">
        <f t="shared" si="255"/>
        <v>0</v>
      </c>
      <c r="Y189" s="504">
        <f t="shared" si="255"/>
        <v>0</v>
      </c>
      <c r="Z189" s="504">
        <f t="shared" si="255"/>
        <v>0</v>
      </c>
      <c r="AA189" s="504">
        <f t="shared" si="255"/>
        <v>0</v>
      </c>
      <c r="AB189" s="504">
        <f t="shared" si="255"/>
        <v>0</v>
      </c>
      <c r="AC189" s="504">
        <f t="shared" si="255"/>
        <v>0</v>
      </c>
      <c r="AD189" s="504">
        <f t="shared" si="255"/>
        <v>0</v>
      </c>
      <c r="AE189" s="504">
        <f t="shared" si="255"/>
        <v>0</v>
      </c>
      <c r="AF189" s="508"/>
      <c r="AG189" s="508"/>
      <c r="AH189" s="507" cm="1">
        <f t="array" ref="AH189">_xlfn.LET(_xlpm.DepreciationMonths,INDEX(FixedAssets[Depreciation
/ Amortization Months],_xlfn.XMATCH($E$186,FixedAssets[Asset ID])),IF(AND((_xlfn.XMATCH(AH$8,$AH$8:$CC$8))-_xlfn.XMATCH($C189,$C$35:$C$82)+1&lt;=_xlpm.DepreciationMonths,$C189&lt;=AH$8),$E189/_xlpm.DepreciationMonths,0))</f>
        <v>0</v>
      </c>
      <c r="AI189" s="507" cm="1">
        <f t="array" ref="AI189">_xlfn.LET(_xlpm.DepreciationMonths,INDEX(FixedAssets[Depreciation
/ Amortization Months],_xlfn.XMATCH($E$186,FixedAssets[Asset ID])),IF(AND((_xlfn.XMATCH(AI$8,$AH$8:$CC$8))-_xlfn.XMATCH($C189,$C$35:$C$82)+1&lt;=_xlpm.DepreciationMonths,$C189&lt;=AI$8),$E189/_xlpm.DepreciationMonths,0))</f>
        <v>0</v>
      </c>
      <c r="AJ189" s="507" cm="1">
        <f t="array" ref="AJ189">_xlfn.LET(_xlpm.DepreciationMonths,INDEX(FixedAssets[Depreciation
/ Amortization Months],_xlfn.XMATCH($E$186,FixedAssets[Asset ID])),IF(AND((_xlfn.XMATCH(AJ$8,$AH$8:$CC$8))-_xlfn.XMATCH($C189,$C$35:$C$82)+1&lt;=_xlpm.DepreciationMonths,$C189&lt;=AJ$8),$E189/_xlpm.DepreciationMonths,0))</f>
        <v>0</v>
      </c>
      <c r="AK189" s="507" cm="1">
        <f t="array" ref="AK189">_xlfn.LET(_xlpm.DepreciationMonths,INDEX(FixedAssets[Depreciation
/ Amortization Months],_xlfn.XMATCH($E$186,FixedAssets[Asset ID])),IF(AND((_xlfn.XMATCH(AK$8,$AH$8:$CC$8))-_xlfn.XMATCH($C189,$C$35:$C$82)+1&lt;=_xlpm.DepreciationMonths,$C189&lt;=AK$8),$E189/_xlpm.DepreciationMonths,0))</f>
        <v>0</v>
      </c>
      <c r="AL189" s="507" cm="1">
        <f t="array" ref="AL189">_xlfn.LET(_xlpm.DepreciationMonths,INDEX(FixedAssets[Depreciation
/ Amortization Months],_xlfn.XMATCH($E$186,FixedAssets[Asset ID])),IF(AND((_xlfn.XMATCH(AL$8,$AH$8:$CC$8))-_xlfn.XMATCH($C189,$C$35:$C$82)+1&lt;=_xlpm.DepreciationMonths,$C189&lt;=AL$8),$E189/_xlpm.DepreciationMonths,0))</f>
        <v>0</v>
      </c>
      <c r="AM189" s="507" cm="1">
        <f t="array" ref="AM189">_xlfn.LET(_xlpm.DepreciationMonths,INDEX(FixedAssets[Depreciation
/ Amortization Months],_xlfn.XMATCH($E$186,FixedAssets[Asset ID])),IF(AND((_xlfn.XMATCH(AM$8,$AH$8:$CC$8))-_xlfn.XMATCH($C189,$C$35:$C$82)+1&lt;=_xlpm.DepreciationMonths,$C189&lt;=AM$8),$E189/_xlpm.DepreciationMonths,0))</f>
        <v>0</v>
      </c>
      <c r="AN189" s="507" cm="1">
        <f t="array" ref="AN189">_xlfn.LET(_xlpm.DepreciationMonths,INDEX(FixedAssets[Depreciation
/ Amortization Months],_xlfn.XMATCH($E$186,FixedAssets[Asset ID])),IF(AND((_xlfn.XMATCH(AN$8,$AH$8:$CC$8))-_xlfn.XMATCH($C189,$C$35:$C$82)+1&lt;=_xlpm.DepreciationMonths,$C189&lt;=AN$8),$E189/_xlpm.DepreciationMonths,0))</f>
        <v>0</v>
      </c>
      <c r="AO189" s="507" cm="1">
        <f t="array" ref="AO189">_xlfn.LET(_xlpm.DepreciationMonths,INDEX(FixedAssets[Depreciation
/ Amortization Months],_xlfn.XMATCH($E$186,FixedAssets[Asset ID])),IF(AND((_xlfn.XMATCH(AO$8,$AH$8:$CC$8))-_xlfn.XMATCH($C189,$C$35:$C$82)+1&lt;=_xlpm.DepreciationMonths,$C189&lt;=AO$8),$E189/_xlpm.DepreciationMonths,0))</f>
        <v>0</v>
      </c>
      <c r="AP189" s="507" cm="1">
        <f t="array" ref="AP189">_xlfn.LET(_xlpm.DepreciationMonths,INDEX(FixedAssets[Depreciation
/ Amortization Months],_xlfn.XMATCH($E$186,FixedAssets[Asset ID])),IF(AND((_xlfn.XMATCH(AP$8,$AH$8:$CC$8))-_xlfn.XMATCH($C189,$C$35:$C$82)+1&lt;=_xlpm.DepreciationMonths,$C189&lt;=AP$8),$E189/_xlpm.DepreciationMonths,0))</f>
        <v>0</v>
      </c>
      <c r="AQ189" s="507" cm="1">
        <f t="array" ref="AQ189">_xlfn.LET(_xlpm.DepreciationMonths,INDEX(FixedAssets[Depreciation
/ Amortization Months],_xlfn.XMATCH($E$186,FixedAssets[Asset ID])),IF(AND((_xlfn.XMATCH(AQ$8,$AH$8:$CC$8))-_xlfn.XMATCH($C189,$C$35:$C$82)+1&lt;=_xlpm.DepreciationMonths,$C189&lt;=AQ$8),$E189/_xlpm.DepreciationMonths,0))</f>
        <v>0</v>
      </c>
      <c r="AR189" s="507" cm="1">
        <f t="array" ref="AR189">_xlfn.LET(_xlpm.DepreciationMonths,INDEX(FixedAssets[Depreciation
/ Amortization Months],_xlfn.XMATCH($E$186,FixedAssets[Asset ID])),IF(AND((_xlfn.XMATCH(AR$8,$AH$8:$CC$8))-_xlfn.XMATCH($C189,$C$35:$C$82)+1&lt;=_xlpm.DepreciationMonths,$C189&lt;=AR$8),$E189/_xlpm.DepreciationMonths,0))</f>
        <v>0</v>
      </c>
      <c r="AS189" s="507" cm="1">
        <f t="array" ref="AS189">_xlfn.LET(_xlpm.DepreciationMonths,INDEX(FixedAssets[Depreciation
/ Amortization Months],_xlfn.XMATCH($E$186,FixedAssets[Asset ID])),IF(AND((_xlfn.XMATCH(AS$8,$AH$8:$CC$8))-_xlfn.XMATCH($C189,$C$35:$C$82)+1&lt;=_xlpm.DepreciationMonths,$C189&lt;=AS$8),$E189/_xlpm.DepreciationMonths,0))</f>
        <v>0</v>
      </c>
      <c r="AT189" s="507" cm="1">
        <f t="array" ref="AT189">_xlfn.LET(_xlpm.DepreciationMonths,INDEX(FixedAssets[Depreciation
/ Amortization Months],_xlfn.XMATCH($E$186,FixedAssets[Asset ID])),IF(AND((_xlfn.XMATCH(AT$8,$AH$8:$CC$8))-_xlfn.XMATCH($C189,$C$35:$C$82)+1&lt;=_xlpm.DepreciationMonths,$C189&lt;=AT$8),$E189/_xlpm.DepreciationMonths,0))</f>
        <v>0</v>
      </c>
      <c r="AU189" s="507" cm="1">
        <f t="array" ref="AU189">_xlfn.LET(_xlpm.DepreciationMonths,INDEX(FixedAssets[Depreciation
/ Amortization Months],_xlfn.XMATCH($E$186,FixedAssets[Asset ID])),IF(AND((_xlfn.XMATCH(AU$8,$AH$8:$CC$8))-_xlfn.XMATCH($C189,$C$35:$C$82)+1&lt;=_xlpm.DepreciationMonths,$C189&lt;=AU$8),$E189/_xlpm.DepreciationMonths,0))</f>
        <v>0</v>
      </c>
      <c r="AV189" s="507" cm="1">
        <f t="array" ref="AV189">_xlfn.LET(_xlpm.DepreciationMonths,INDEX(FixedAssets[Depreciation
/ Amortization Months],_xlfn.XMATCH($E$186,FixedAssets[Asset ID])),IF(AND((_xlfn.XMATCH(AV$8,$AH$8:$CC$8))-_xlfn.XMATCH($C189,$C$35:$C$82)+1&lt;=_xlpm.DepreciationMonths,$C189&lt;=AV$8),$E189/_xlpm.DepreciationMonths,0))</f>
        <v>0</v>
      </c>
      <c r="AW189" s="507" cm="1">
        <f t="array" ref="AW189">_xlfn.LET(_xlpm.DepreciationMonths,INDEX(FixedAssets[Depreciation
/ Amortization Months],_xlfn.XMATCH($E$186,FixedAssets[Asset ID])),IF(AND((_xlfn.XMATCH(AW$8,$AH$8:$CC$8))-_xlfn.XMATCH($C189,$C$35:$C$82)+1&lt;=_xlpm.DepreciationMonths,$C189&lt;=AW$8),$E189/_xlpm.DepreciationMonths,0))</f>
        <v>0</v>
      </c>
      <c r="AX189" s="507" cm="1">
        <f t="array" ref="AX189">_xlfn.LET(_xlpm.DepreciationMonths,INDEX(FixedAssets[Depreciation
/ Amortization Months],_xlfn.XMATCH($E$186,FixedAssets[Asset ID])),IF(AND((_xlfn.XMATCH(AX$8,$AH$8:$CC$8))-_xlfn.XMATCH($C189,$C$35:$C$82)+1&lt;=_xlpm.DepreciationMonths,$C189&lt;=AX$8),$E189/_xlpm.DepreciationMonths,0))</f>
        <v>0</v>
      </c>
      <c r="AY189" s="507" cm="1">
        <f t="array" ref="AY189">_xlfn.LET(_xlpm.DepreciationMonths,INDEX(FixedAssets[Depreciation
/ Amortization Months],_xlfn.XMATCH($E$186,FixedAssets[Asset ID])),IF(AND((_xlfn.XMATCH(AY$8,$AH$8:$CC$8))-_xlfn.XMATCH($C189,$C$35:$C$82)+1&lt;=_xlpm.DepreciationMonths,$C189&lt;=AY$8),$E189/_xlpm.DepreciationMonths,0))</f>
        <v>0</v>
      </c>
      <c r="AZ189" s="507" cm="1">
        <f t="array" ref="AZ189">_xlfn.LET(_xlpm.DepreciationMonths,INDEX(FixedAssets[Depreciation
/ Amortization Months],_xlfn.XMATCH($E$186,FixedAssets[Asset ID])),IF(AND((_xlfn.XMATCH(AZ$8,$AH$8:$CC$8))-_xlfn.XMATCH($C189,$C$35:$C$82)+1&lt;=_xlpm.DepreciationMonths,$C189&lt;=AZ$8),$E189/_xlpm.DepreciationMonths,0))</f>
        <v>0</v>
      </c>
      <c r="BA189" s="507" cm="1">
        <f t="array" ref="BA189">_xlfn.LET(_xlpm.DepreciationMonths,INDEX(FixedAssets[Depreciation
/ Amortization Months],_xlfn.XMATCH($E$186,FixedAssets[Asset ID])),IF(AND((_xlfn.XMATCH(BA$8,$AH$8:$CC$8))-_xlfn.XMATCH($C189,$C$35:$C$82)+1&lt;=_xlpm.DepreciationMonths,$C189&lt;=BA$8),$E189/_xlpm.DepreciationMonths,0))</f>
        <v>0</v>
      </c>
      <c r="BB189" s="507" cm="1">
        <f t="array" ref="BB189">_xlfn.LET(_xlpm.DepreciationMonths,INDEX(FixedAssets[Depreciation
/ Amortization Months],_xlfn.XMATCH($E$186,FixedAssets[Asset ID])),IF(AND((_xlfn.XMATCH(BB$8,$AH$8:$CC$8))-_xlfn.XMATCH($C189,$C$35:$C$82)+1&lt;=_xlpm.DepreciationMonths,$C189&lt;=BB$8),$E189/_xlpm.DepreciationMonths,0))</f>
        <v>0</v>
      </c>
      <c r="BC189" s="507" cm="1">
        <f t="array" ref="BC189">_xlfn.LET(_xlpm.DepreciationMonths,INDEX(FixedAssets[Depreciation
/ Amortization Months],_xlfn.XMATCH($E$186,FixedAssets[Asset ID])),IF(AND((_xlfn.XMATCH(BC$8,$AH$8:$CC$8))-_xlfn.XMATCH($C189,$C$35:$C$82)+1&lt;=_xlpm.DepreciationMonths,$C189&lt;=BC$8),$E189/_xlpm.DepreciationMonths,0))</f>
        <v>0</v>
      </c>
      <c r="BD189" s="507" cm="1">
        <f t="array" ref="BD189">_xlfn.LET(_xlpm.DepreciationMonths,INDEX(FixedAssets[Depreciation
/ Amortization Months],_xlfn.XMATCH($E$186,FixedAssets[Asset ID])),IF(AND((_xlfn.XMATCH(BD$8,$AH$8:$CC$8))-_xlfn.XMATCH($C189,$C$35:$C$82)+1&lt;=_xlpm.DepreciationMonths,$C189&lt;=BD$8),$E189/_xlpm.DepreciationMonths,0))</f>
        <v>0</v>
      </c>
      <c r="BE189" s="507" cm="1">
        <f t="array" ref="BE189">_xlfn.LET(_xlpm.DepreciationMonths,INDEX(FixedAssets[Depreciation
/ Amortization Months],_xlfn.XMATCH($E$186,FixedAssets[Asset ID])),IF(AND((_xlfn.XMATCH(BE$8,$AH$8:$CC$8))-_xlfn.XMATCH($C189,$C$35:$C$82)+1&lt;=_xlpm.DepreciationMonths,$C189&lt;=BE$8),$E189/_xlpm.DepreciationMonths,0))</f>
        <v>0</v>
      </c>
      <c r="BF189" s="507" cm="1">
        <f t="array" ref="BF189">_xlfn.LET(_xlpm.DepreciationMonths,INDEX(FixedAssets[Depreciation
/ Amortization Months],_xlfn.XMATCH($E$186,FixedAssets[Asset ID])),IF(AND((_xlfn.XMATCH(BF$8,$AH$8:$CC$8))-_xlfn.XMATCH($C189,$C$35:$C$82)+1&lt;=_xlpm.DepreciationMonths,$C189&lt;=BF$8),$E189/_xlpm.DepreciationMonths,0))</f>
        <v>0</v>
      </c>
      <c r="BG189" s="507" cm="1">
        <f t="array" ref="BG189">_xlfn.LET(_xlpm.DepreciationMonths,INDEX(FixedAssets[Depreciation
/ Amortization Months],_xlfn.XMATCH($E$186,FixedAssets[Asset ID])),IF(AND((_xlfn.XMATCH(BG$8,$AH$8:$CC$8))-_xlfn.XMATCH($C189,$C$35:$C$82)+1&lt;=_xlpm.DepreciationMonths,$C189&lt;=BG$8),$E189/_xlpm.DepreciationMonths,0))</f>
        <v>0</v>
      </c>
      <c r="BH189" s="507" cm="1">
        <f t="array" ref="BH189">_xlfn.LET(_xlpm.DepreciationMonths,INDEX(FixedAssets[Depreciation
/ Amortization Months],_xlfn.XMATCH($E$186,FixedAssets[Asset ID])),IF(AND((_xlfn.XMATCH(BH$8,$AH$8:$CC$8))-_xlfn.XMATCH($C189,$C$35:$C$82)+1&lt;=_xlpm.DepreciationMonths,$C189&lt;=BH$8),$E189/_xlpm.DepreciationMonths,0))</f>
        <v>0</v>
      </c>
      <c r="BI189" s="507" cm="1">
        <f t="array" ref="BI189">_xlfn.LET(_xlpm.DepreciationMonths,INDEX(FixedAssets[Depreciation
/ Amortization Months],_xlfn.XMATCH($E$186,FixedAssets[Asset ID])),IF(AND((_xlfn.XMATCH(BI$8,$AH$8:$CC$8))-_xlfn.XMATCH($C189,$C$35:$C$82)+1&lt;=_xlpm.DepreciationMonths,$C189&lt;=BI$8),$E189/_xlpm.DepreciationMonths,0))</f>
        <v>0</v>
      </c>
      <c r="BJ189" s="507" cm="1">
        <f t="array" ref="BJ189">_xlfn.LET(_xlpm.DepreciationMonths,INDEX(FixedAssets[Depreciation
/ Amortization Months],_xlfn.XMATCH($E$186,FixedAssets[Asset ID])),IF(AND((_xlfn.XMATCH(BJ$8,$AH$8:$CC$8))-_xlfn.XMATCH($C189,$C$35:$C$82)+1&lt;=_xlpm.DepreciationMonths,$C189&lt;=BJ$8),$E189/_xlpm.DepreciationMonths,0))</f>
        <v>0</v>
      </c>
      <c r="BK189" s="507" cm="1">
        <f t="array" ref="BK189">_xlfn.LET(_xlpm.DepreciationMonths,INDEX(FixedAssets[Depreciation
/ Amortization Months],_xlfn.XMATCH($E$186,FixedAssets[Asset ID])),IF(AND((_xlfn.XMATCH(BK$8,$AH$8:$CC$8))-_xlfn.XMATCH($C189,$C$35:$C$82)+1&lt;=_xlpm.DepreciationMonths,$C189&lt;=BK$8),$E189/_xlpm.DepreciationMonths,0))</f>
        <v>0</v>
      </c>
      <c r="BL189" s="507" cm="1">
        <f t="array" ref="BL189">_xlfn.LET(_xlpm.DepreciationMonths,INDEX(FixedAssets[Depreciation
/ Amortization Months],_xlfn.XMATCH($E$186,FixedAssets[Asset ID])),IF(AND((_xlfn.XMATCH(BL$8,$AH$8:$CC$8))-_xlfn.XMATCH($C189,$C$35:$C$82)+1&lt;=_xlpm.DepreciationMonths,$C189&lt;=BL$8),$E189/_xlpm.DepreciationMonths,0))</f>
        <v>0</v>
      </c>
      <c r="BM189" s="507" cm="1">
        <f t="array" ref="BM189">_xlfn.LET(_xlpm.DepreciationMonths,INDEX(FixedAssets[Depreciation
/ Amortization Months],_xlfn.XMATCH($E$186,FixedAssets[Asset ID])),IF(AND((_xlfn.XMATCH(BM$8,$AH$8:$CC$8))-_xlfn.XMATCH($C189,$C$35:$C$82)+1&lt;=_xlpm.DepreciationMonths,$C189&lt;=BM$8),$E189/_xlpm.DepreciationMonths,0))</f>
        <v>0</v>
      </c>
      <c r="BN189" s="507" cm="1">
        <f t="array" ref="BN189">_xlfn.LET(_xlpm.DepreciationMonths,INDEX(FixedAssets[Depreciation
/ Amortization Months],_xlfn.XMATCH($E$186,FixedAssets[Asset ID])),IF(AND((_xlfn.XMATCH(BN$8,$AH$8:$CC$8))-_xlfn.XMATCH($C189,$C$35:$C$82)+1&lt;=_xlpm.DepreciationMonths,$C189&lt;=BN$8),$E189/_xlpm.DepreciationMonths,0))</f>
        <v>0</v>
      </c>
      <c r="BO189" s="507" cm="1">
        <f t="array" ref="BO189">_xlfn.LET(_xlpm.DepreciationMonths,INDEX(FixedAssets[Depreciation
/ Amortization Months],_xlfn.XMATCH($E$186,FixedAssets[Asset ID])),IF(AND((_xlfn.XMATCH(BO$8,$AH$8:$CC$8))-_xlfn.XMATCH($C189,$C$35:$C$82)+1&lt;=_xlpm.DepreciationMonths,$C189&lt;=BO$8),$E189/_xlpm.DepreciationMonths,0))</f>
        <v>0</v>
      </c>
      <c r="BP189" s="507" cm="1">
        <f t="array" ref="BP189">_xlfn.LET(_xlpm.DepreciationMonths,INDEX(FixedAssets[Depreciation
/ Amortization Months],_xlfn.XMATCH($E$186,FixedAssets[Asset ID])),IF(AND((_xlfn.XMATCH(BP$8,$AH$8:$CC$8))-_xlfn.XMATCH($C189,$C$35:$C$82)+1&lt;=_xlpm.DepreciationMonths,$C189&lt;=BP$8),$E189/_xlpm.DepreciationMonths,0))</f>
        <v>0</v>
      </c>
      <c r="BQ189" s="507" cm="1">
        <f t="array" ref="BQ189">_xlfn.LET(_xlpm.DepreciationMonths,INDEX(FixedAssets[Depreciation
/ Amortization Months],_xlfn.XMATCH($E$186,FixedAssets[Asset ID])),IF(AND((_xlfn.XMATCH(BQ$8,$AH$8:$CC$8))-_xlfn.XMATCH($C189,$C$35:$C$82)+1&lt;=_xlpm.DepreciationMonths,$C189&lt;=BQ$8),$E189/_xlpm.DepreciationMonths,0))</f>
        <v>0</v>
      </c>
      <c r="BR189" s="507" cm="1">
        <f t="array" ref="BR189">_xlfn.LET(_xlpm.DepreciationMonths,INDEX(FixedAssets[Depreciation
/ Amortization Months],_xlfn.XMATCH($E$186,FixedAssets[Asset ID])),IF(AND((_xlfn.XMATCH(BR$8,$AH$8:$CC$8))-_xlfn.XMATCH($C189,$C$35:$C$82)+1&lt;=_xlpm.DepreciationMonths,$C189&lt;=BR$8),$E189/_xlpm.DepreciationMonths,0))</f>
        <v>0</v>
      </c>
      <c r="BS189" s="507" cm="1">
        <f t="array" ref="BS189">_xlfn.LET(_xlpm.DepreciationMonths,INDEX(FixedAssets[Depreciation
/ Amortization Months],_xlfn.XMATCH($E$186,FixedAssets[Asset ID])),IF(AND((_xlfn.XMATCH(BS$8,$AH$8:$CC$8))-_xlfn.XMATCH($C189,$C$35:$C$82)+1&lt;=_xlpm.DepreciationMonths,$C189&lt;=BS$8),$E189/_xlpm.DepreciationMonths,0))</f>
        <v>0</v>
      </c>
      <c r="BT189" s="507" cm="1">
        <f t="array" ref="BT189">_xlfn.LET(_xlpm.DepreciationMonths,INDEX(FixedAssets[Depreciation
/ Amortization Months],_xlfn.XMATCH($E$186,FixedAssets[Asset ID])),IF(AND((_xlfn.XMATCH(BT$8,$AH$8:$CC$8))-_xlfn.XMATCH($C189,$C$35:$C$82)+1&lt;=_xlpm.DepreciationMonths,$C189&lt;=BT$8),$E189/_xlpm.DepreciationMonths,0))</f>
        <v>0</v>
      </c>
      <c r="BU189" s="507" cm="1">
        <f t="array" ref="BU189">_xlfn.LET(_xlpm.DepreciationMonths,INDEX(FixedAssets[Depreciation
/ Amortization Months],_xlfn.XMATCH($E$186,FixedAssets[Asset ID])),IF(AND((_xlfn.XMATCH(BU$8,$AH$8:$CC$8))-_xlfn.XMATCH($C189,$C$35:$C$82)+1&lt;=_xlpm.DepreciationMonths,$C189&lt;=BU$8),$E189/_xlpm.DepreciationMonths,0))</f>
        <v>0</v>
      </c>
      <c r="BV189" s="507" cm="1">
        <f t="array" ref="BV189">_xlfn.LET(_xlpm.DepreciationMonths,INDEX(FixedAssets[Depreciation
/ Amortization Months],_xlfn.XMATCH($E$186,FixedAssets[Asset ID])),IF(AND((_xlfn.XMATCH(BV$8,$AH$8:$CC$8))-_xlfn.XMATCH($C189,$C$35:$C$82)+1&lt;=_xlpm.DepreciationMonths,$C189&lt;=BV$8),$E189/_xlpm.DepreciationMonths,0))</f>
        <v>0</v>
      </c>
      <c r="BW189" s="507" cm="1">
        <f t="array" ref="BW189">_xlfn.LET(_xlpm.DepreciationMonths,INDEX(FixedAssets[Depreciation
/ Amortization Months],_xlfn.XMATCH($E$186,FixedAssets[Asset ID])),IF(AND((_xlfn.XMATCH(BW$8,$AH$8:$CC$8))-_xlfn.XMATCH($C189,$C$35:$C$82)+1&lt;=_xlpm.DepreciationMonths,$C189&lt;=BW$8),$E189/_xlpm.DepreciationMonths,0))</f>
        <v>0</v>
      </c>
      <c r="BX189" s="507" cm="1">
        <f t="array" ref="BX189">_xlfn.LET(_xlpm.DepreciationMonths,INDEX(FixedAssets[Depreciation
/ Amortization Months],_xlfn.XMATCH($E$186,FixedAssets[Asset ID])),IF(AND((_xlfn.XMATCH(BX$8,$AH$8:$CC$8))-_xlfn.XMATCH($C189,$C$35:$C$82)+1&lt;=_xlpm.DepreciationMonths,$C189&lt;=BX$8),$E189/_xlpm.DepreciationMonths,0))</f>
        <v>0</v>
      </c>
      <c r="BY189" s="507" cm="1">
        <f t="array" ref="BY189">_xlfn.LET(_xlpm.DepreciationMonths,INDEX(FixedAssets[Depreciation
/ Amortization Months],_xlfn.XMATCH($E$186,FixedAssets[Asset ID])),IF(AND((_xlfn.XMATCH(BY$8,$AH$8:$CC$8))-_xlfn.XMATCH($C189,$C$35:$C$82)+1&lt;=_xlpm.DepreciationMonths,$C189&lt;=BY$8),$E189/_xlpm.DepreciationMonths,0))</f>
        <v>0</v>
      </c>
      <c r="BZ189" s="507" cm="1">
        <f t="array" ref="BZ189">_xlfn.LET(_xlpm.DepreciationMonths,INDEX(FixedAssets[Depreciation
/ Amortization Months],_xlfn.XMATCH($E$186,FixedAssets[Asset ID])),IF(AND((_xlfn.XMATCH(BZ$8,$AH$8:$CC$8))-_xlfn.XMATCH($C189,$C$35:$C$82)+1&lt;=_xlpm.DepreciationMonths,$C189&lt;=BZ$8),$E189/_xlpm.DepreciationMonths,0))</f>
        <v>0</v>
      </c>
      <c r="CA189" s="507" cm="1">
        <f t="array" ref="CA189">_xlfn.LET(_xlpm.DepreciationMonths,INDEX(FixedAssets[Depreciation
/ Amortization Months],_xlfn.XMATCH($E$186,FixedAssets[Asset ID])),IF(AND((_xlfn.XMATCH(CA$8,$AH$8:$CC$8))-_xlfn.XMATCH($C189,$C$35:$C$82)+1&lt;=_xlpm.DepreciationMonths,$C189&lt;=CA$8),$E189/_xlpm.DepreciationMonths,0))</f>
        <v>0</v>
      </c>
      <c r="CB189" s="507" cm="1">
        <f t="array" ref="CB189">_xlfn.LET(_xlpm.DepreciationMonths,INDEX(FixedAssets[Depreciation
/ Amortization Months],_xlfn.XMATCH($E$186,FixedAssets[Asset ID])),IF(AND((_xlfn.XMATCH(CB$8,$AH$8:$CC$8))-_xlfn.XMATCH($C189,$C$35:$C$82)+1&lt;=_xlpm.DepreciationMonths,$C189&lt;=CB$8),$E189/_xlpm.DepreciationMonths,0))</f>
        <v>0</v>
      </c>
      <c r="CC189" s="507" cm="1">
        <f t="array" ref="CC189">_xlfn.LET(_xlpm.DepreciationMonths,INDEX(FixedAssets[Depreciation
/ Amortization Months],_xlfn.XMATCH($E$186,FixedAssets[Asset ID])),IF(AND((_xlfn.XMATCH(CC$8,$AH$8:$CC$8))-_xlfn.XMATCH($C189,$C$35:$C$82)+1&lt;=_xlpm.DepreciationMonths,$C189&lt;=CC$8),$E189/_xlpm.DepreciationMonths,0))</f>
        <v>0</v>
      </c>
    </row>
    <row r="190" spans="3:81" hidden="1" outlineLevel="2">
      <c r="C190" s="664">
        <f t="shared" si="256"/>
        <v>45016</v>
      </c>
      <c r="D190" s="508"/>
      <c r="E190" s="508" cm="1">
        <f t="array" ref="E190">SUMPRODUCT(($AH$26:$CC$31)*($AH$5:$CC$5=$C190)*($E$26:$E$31=E$186))-SUMPRODUCT(($AH$26:$CC$31)*($AH$5:$CC$5=EOMONTH($C190,-1))*($E$26:$E$31=E$186))</f>
        <v>0</v>
      </c>
      <c r="F190" s="508"/>
      <c r="G190" s="508"/>
      <c r="H190" s="508"/>
      <c r="I190" s="508"/>
      <c r="J190" s="504">
        <f t="shared" si="254"/>
        <v>0</v>
      </c>
      <c r="K190" s="504">
        <f t="shared" si="254"/>
        <v>0</v>
      </c>
      <c r="L190" s="504">
        <f t="shared" si="254"/>
        <v>0</v>
      </c>
      <c r="M190" s="504">
        <f t="shared" si="254"/>
        <v>0</v>
      </c>
      <c r="N190" s="504"/>
      <c r="O190" s="504"/>
      <c r="P190" s="504">
        <f t="shared" si="255"/>
        <v>0</v>
      </c>
      <c r="Q190" s="504">
        <f t="shared" si="255"/>
        <v>0</v>
      </c>
      <c r="R190" s="504">
        <f t="shared" si="255"/>
        <v>0</v>
      </c>
      <c r="S190" s="504">
        <f t="shared" si="255"/>
        <v>0</v>
      </c>
      <c r="T190" s="504">
        <f t="shared" si="255"/>
        <v>0</v>
      </c>
      <c r="U190" s="504">
        <f t="shared" si="255"/>
        <v>0</v>
      </c>
      <c r="V190" s="504">
        <f t="shared" si="255"/>
        <v>0</v>
      </c>
      <c r="W190" s="504">
        <f t="shared" si="255"/>
        <v>0</v>
      </c>
      <c r="X190" s="504">
        <f t="shared" si="255"/>
        <v>0</v>
      </c>
      <c r="Y190" s="504">
        <f t="shared" si="255"/>
        <v>0</v>
      </c>
      <c r="Z190" s="504">
        <f t="shared" si="255"/>
        <v>0</v>
      </c>
      <c r="AA190" s="504">
        <f t="shared" si="255"/>
        <v>0</v>
      </c>
      <c r="AB190" s="504">
        <f t="shared" si="255"/>
        <v>0</v>
      </c>
      <c r="AC190" s="504">
        <f t="shared" si="255"/>
        <v>0</v>
      </c>
      <c r="AD190" s="504">
        <f t="shared" si="255"/>
        <v>0</v>
      </c>
      <c r="AE190" s="504">
        <f t="shared" si="255"/>
        <v>0</v>
      </c>
      <c r="AF190" s="508"/>
      <c r="AG190" s="508"/>
      <c r="AH190" s="507" cm="1">
        <f t="array" ref="AH190">_xlfn.LET(_xlpm.DepreciationMonths,INDEX(FixedAssets[Depreciation
/ Amortization Months],_xlfn.XMATCH($E$186,FixedAssets[Asset ID])),IF(AND((_xlfn.XMATCH(AH$8,$AH$8:$CC$8))-_xlfn.XMATCH($C190,$C$35:$C$82)+1&lt;=_xlpm.DepreciationMonths,$C190&lt;=AH$8),$E190/_xlpm.DepreciationMonths,0))</f>
        <v>0</v>
      </c>
      <c r="AI190" s="507" cm="1">
        <f t="array" ref="AI190">_xlfn.LET(_xlpm.DepreciationMonths,INDEX(FixedAssets[Depreciation
/ Amortization Months],_xlfn.XMATCH($E$186,FixedAssets[Asset ID])),IF(AND((_xlfn.XMATCH(AI$8,$AH$8:$CC$8))-_xlfn.XMATCH($C190,$C$35:$C$82)+1&lt;=_xlpm.DepreciationMonths,$C190&lt;=AI$8),$E190/_xlpm.DepreciationMonths,0))</f>
        <v>0</v>
      </c>
      <c r="AJ190" s="507" cm="1">
        <f t="array" ref="AJ190">_xlfn.LET(_xlpm.DepreciationMonths,INDEX(FixedAssets[Depreciation
/ Amortization Months],_xlfn.XMATCH($E$186,FixedAssets[Asset ID])),IF(AND((_xlfn.XMATCH(AJ$8,$AH$8:$CC$8))-_xlfn.XMATCH($C190,$C$35:$C$82)+1&lt;=_xlpm.DepreciationMonths,$C190&lt;=AJ$8),$E190/_xlpm.DepreciationMonths,0))</f>
        <v>0</v>
      </c>
      <c r="AK190" s="507" cm="1">
        <f t="array" ref="AK190">_xlfn.LET(_xlpm.DepreciationMonths,INDEX(FixedAssets[Depreciation
/ Amortization Months],_xlfn.XMATCH($E$186,FixedAssets[Asset ID])),IF(AND((_xlfn.XMATCH(AK$8,$AH$8:$CC$8))-_xlfn.XMATCH($C190,$C$35:$C$82)+1&lt;=_xlpm.DepreciationMonths,$C190&lt;=AK$8),$E190/_xlpm.DepreciationMonths,0))</f>
        <v>0</v>
      </c>
      <c r="AL190" s="507" cm="1">
        <f t="array" ref="AL190">_xlfn.LET(_xlpm.DepreciationMonths,INDEX(FixedAssets[Depreciation
/ Amortization Months],_xlfn.XMATCH($E$186,FixedAssets[Asset ID])),IF(AND((_xlfn.XMATCH(AL$8,$AH$8:$CC$8))-_xlfn.XMATCH($C190,$C$35:$C$82)+1&lt;=_xlpm.DepreciationMonths,$C190&lt;=AL$8),$E190/_xlpm.DepreciationMonths,0))</f>
        <v>0</v>
      </c>
      <c r="AM190" s="507" cm="1">
        <f t="array" ref="AM190">_xlfn.LET(_xlpm.DepreciationMonths,INDEX(FixedAssets[Depreciation
/ Amortization Months],_xlfn.XMATCH($E$186,FixedAssets[Asset ID])),IF(AND((_xlfn.XMATCH(AM$8,$AH$8:$CC$8))-_xlfn.XMATCH($C190,$C$35:$C$82)+1&lt;=_xlpm.DepreciationMonths,$C190&lt;=AM$8),$E190/_xlpm.DepreciationMonths,0))</f>
        <v>0</v>
      </c>
      <c r="AN190" s="507" cm="1">
        <f t="array" ref="AN190">_xlfn.LET(_xlpm.DepreciationMonths,INDEX(FixedAssets[Depreciation
/ Amortization Months],_xlfn.XMATCH($E$186,FixedAssets[Asset ID])),IF(AND((_xlfn.XMATCH(AN$8,$AH$8:$CC$8))-_xlfn.XMATCH($C190,$C$35:$C$82)+1&lt;=_xlpm.DepreciationMonths,$C190&lt;=AN$8),$E190/_xlpm.DepreciationMonths,0))</f>
        <v>0</v>
      </c>
      <c r="AO190" s="507" cm="1">
        <f t="array" ref="AO190">_xlfn.LET(_xlpm.DepreciationMonths,INDEX(FixedAssets[Depreciation
/ Amortization Months],_xlfn.XMATCH($E$186,FixedAssets[Asset ID])),IF(AND((_xlfn.XMATCH(AO$8,$AH$8:$CC$8))-_xlfn.XMATCH($C190,$C$35:$C$82)+1&lt;=_xlpm.DepreciationMonths,$C190&lt;=AO$8),$E190/_xlpm.DepreciationMonths,0))</f>
        <v>0</v>
      </c>
      <c r="AP190" s="507" cm="1">
        <f t="array" ref="AP190">_xlfn.LET(_xlpm.DepreciationMonths,INDEX(FixedAssets[Depreciation
/ Amortization Months],_xlfn.XMATCH($E$186,FixedAssets[Asset ID])),IF(AND((_xlfn.XMATCH(AP$8,$AH$8:$CC$8))-_xlfn.XMATCH($C190,$C$35:$C$82)+1&lt;=_xlpm.DepreciationMonths,$C190&lt;=AP$8),$E190/_xlpm.DepreciationMonths,0))</f>
        <v>0</v>
      </c>
      <c r="AQ190" s="507" cm="1">
        <f t="array" ref="AQ190">_xlfn.LET(_xlpm.DepreciationMonths,INDEX(FixedAssets[Depreciation
/ Amortization Months],_xlfn.XMATCH($E$186,FixedAssets[Asset ID])),IF(AND((_xlfn.XMATCH(AQ$8,$AH$8:$CC$8))-_xlfn.XMATCH($C190,$C$35:$C$82)+1&lt;=_xlpm.DepreciationMonths,$C190&lt;=AQ$8),$E190/_xlpm.DepreciationMonths,0))</f>
        <v>0</v>
      </c>
      <c r="AR190" s="507" cm="1">
        <f t="array" ref="AR190">_xlfn.LET(_xlpm.DepreciationMonths,INDEX(FixedAssets[Depreciation
/ Amortization Months],_xlfn.XMATCH($E$186,FixedAssets[Asset ID])),IF(AND((_xlfn.XMATCH(AR$8,$AH$8:$CC$8))-_xlfn.XMATCH($C190,$C$35:$C$82)+1&lt;=_xlpm.DepreciationMonths,$C190&lt;=AR$8),$E190/_xlpm.DepreciationMonths,0))</f>
        <v>0</v>
      </c>
      <c r="AS190" s="507" cm="1">
        <f t="array" ref="AS190">_xlfn.LET(_xlpm.DepreciationMonths,INDEX(FixedAssets[Depreciation
/ Amortization Months],_xlfn.XMATCH($E$186,FixedAssets[Asset ID])),IF(AND((_xlfn.XMATCH(AS$8,$AH$8:$CC$8))-_xlfn.XMATCH($C190,$C$35:$C$82)+1&lt;=_xlpm.DepreciationMonths,$C190&lt;=AS$8),$E190/_xlpm.DepreciationMonths,0))</f>
        <v>0</v>
      </c>
      <c r="AT190" s="507" cm="1">
        <f t="array" ref="AT190">_xlfn.LET(_xlpm.DepreciationMonths,INDEX(FixedAssets[Depreciation
/ Amortization Months],_xlfn.XMATCH($E$186,FixedAssets[Asset ID])),IF(AND((_xlfn.XMATCH(AT$8,$AH$8:$CC$8))-_xlfn.XMATCH($C190,$C$35:$C$82)+1&lt;=_xlpm.DepreciationMonths,$C190&lt;=AT$8),$E190/_xlpm.DepreciationMonths,0))</f>
        <v>0</v>
      </c>
      <c r="AU190" s="507" cm="1">
        <f t="array" ref="AU190">_xlfn.LET(_xlpm.DepreciationMonths,INDEX(FixedAssets[Depreciation
/ Amortization Months],_xlfn.XMATCH($E$186,FixedAssets[Asset ID])),IF(AND((_xlfn.XMATCH(AU$8,$AH$8:$CC$8))-_xlfn.XMATCH($C190,$C$35:$C$82)+1&lt;=_xlpm.DepreciationMonths,$C190&lt;=AU$8),$E190/_xlpm.DepreciationMonths,0))</f>
        <v>0</v>
      </c>
      <c r="AV190" s="507" cm="1">
        <f t="array" ref="AV190">_xlfn.LET(_xlpm.DepreciationMonths,INDEX(FixedAssets[Depreciation
/ Amortization Months],_xlfn.XMATCH($E$186,FixedAssets[Asset ID])),IF(AND((_xlfn.XMATCH(AV$8,$AH$8:$CC$8))-_xlfn.XMATCH($C190,$C$35:$C$82)+1&lt;=_xlpm.DepreciationMonths,$C190&lt;=AV$8),$E190/_xlpm.DepreciationMonths,0))</f>
        <v>0</v>
      </c>
      <c r="AW190" s="507" cm="1">
        <f t="array" ref="AW190">_xlfn.LET(_xlpm.DepreciationMonths,INDEX(FixedAssets[Depreciation
/ Amortization Months],_xlfn.XMATCH($E$186,FixedAssets[Asset ID])),IF(AND((_xlfn.XMATCH(AW$8,$AH$8:$CC$8))-_xlfn.XMATCH($C190,$C$35:$C$82)+1&lt;=_xlpm.DepreciationMonths,$C190&lt;=AW$8),$E190/_xlpm.DepreciationMonths,0))</f>
        <v>0</v>
      </c>
      <c r="AX190" s="507" cm="1">
        <f t="array" ref="AX190">_xlfn.LET(_xlpm.DepreciationMonths,INDEX(FixedAssets[Depreciation
/ Amortization Months],_xlfn.XMATCH($E$186,FixedAssets[Asset ID])),IF(AND((_xlfn.XMATCH(AX$8,$AH$8:$CC$8))-_xlfn.XMATCH($C190,$C$35:$C$82)+1&lt;=_xlpm.DepreciationMonths,$C190&lt;=AX$8),$E190/_xlpm.DepreciationMonths,0))</f>
        <v>0</v>
      </c>
      <c r="AY190" s="507" cm="1">
        <f t="array" ref="AY190">_xlfn.LET(_xlpm.DepreciationMonths,INDEX(FixedAssets[Depreciation
/ Amortization Months],_xlfn.XMATCH($E$186,FixedAssets[Asset ID])),IF(AND((_xlfn.XMATCH(AY$8,$AH$8:$CC$8))-_xlfn.XMATCH($C190,$C$35:$C$82)+1&lt;=_xlpm.DepreciationMonths,$C190&lt;=AY$8),$E190/_xlpm.DepreciationMonths,0))</f>
        <v>0</v>
      </c>
      <c r="AZ190" s="507" cm="1">
        <f t="array" ref="AZ190">_xlfn.LET(_xlpm.DepreciationMonths,INDEX(FixedAssets[Depreciation
/ Amortization Months],_xlfn.XMATCH($E$186,FixedAssets[Asset ID])),IF(AND((_xlfn.XMATCH(AZ$8,$AH$8:$CC$8))-_xlfn.XMATCH($C190,$C$35:$C$82)+1&lt;=_xlpm.DepreciationMonths,$C190&lt;=AZ$8),$E190/_xlpm.DepreciationMonths,0))</f>
        <v>0</v>
      </c>
      <c r="BA190" s="507" cm="1">
        <f t="array" ref="BA190">_xlfn.LET(_xlpm.DepreciationMonths,INDEX(FixedAssets[Depreciation
/ Amortization Months],_xlfn.XMATCH($E$186,FixedAssets[Asset ID])),IF(AND((_xlfn.XMATCH(BA$8,$AH$8:$CC$8))-_xlfn.XMATCH($C190,$C$35:$C$82)+1&lt;=_xlpm.DepreciationMonths,$C190&lt;=BA$8),$E190/_xlpm.DepreciationMonths,0))</f>
        <v>0</v>
      </c>
      <c r="BB190" s="507" cm="1">
        <f t="array" ref="BB190">_xlfn.LET(_xlpm.DepreciationMonths,INDEX(FixedAssets[Depreciation
/ Amortization Months],_xlfn.XMATCH($E$186,FixedAssets[Asset ID])),IF(AND((_xlfn.XMATCH(BB$8,$AH$8:$CC$8))-_xlfn.XMATCH($C190,$C$35:$C$82)+1&lt;=_xlpm.DepreciationMonths,$C190&lt;=BB$8),$E190/_xlpm.DepreciationMonths,0))</f>
        <v>0</v>
      </c>
      <c r="BC190" s="507" cm="1">
        <f t="array" ref="BC190">_xlfn.LET(_xlpm.DepreciationMonths,INDEX(FixedAssets[Depreciation
/ Amortization Months],_xlfn.XMATCH($E$186,FixedAssets[Asset ID])),IF(AND((_xlfn.XMATCH(BC$8,$AH$8:$CC$8))-_xlfn.XMATCH($C190,$C$35:$C$82)+1&lt;=_xlpm.DepreciationMonths,$C190&lt;=BC$8),$E190/_xlpm.DepreciationMonths,0))</f>
        <v>0</v>
      </c>
      <c r="BD190" s="507" cm="1">
        <f t="array" ref="BD190">_xlfn.LET(_xlpm.DepreciationMonths,INDEX(FixedAssets[Depreciation
/ Amortization Months],_xlfn.XMATCH($E$186,FixedAssets[Asset ID])),IF(AND((_xlfn.XMATCH(BD$8,$AH$8:$CC$8))-_xlfn.XMATCH($C190,$C$35:$C$82)+1&lt;=_xlpm.DepreciationMonths,$C190&lt;=BD$8),$E190/_xlpm.DepreciationMonths,0))</f>
        <v>0</v>
      </c>
      <c r="BE190" s="507" cm="1">
        <f t="array" ref="BE190">_xlfn.LET(_xlpm.DepreciationMonths,INDEX(FixedAssets[Depreciation
/ Amortization Months],_xlfn.XMATCH($E$186,FixedAssets[Asset ID])),IF(AND((_xlfn.XMATCH(BE$8,$AH$8:$CC$8))-_xlfn.XMATCH($C190,$C$35:$C$82)+1&lt;=_xlpm.DepreciationMonths,$C190&lt;=BE$8),$E190/_xlpm.DepreciationMonths,0))</f>
        <v>0</v>
      </c>
      <c r="BF190" s="507" cm="1">
        <f t="array" ref="BF190">_xlfn.LET(_xlpm.DepreciationMonths,INDEX(FixedAssets[Depreciation
/ Amortization Months],_xlfn.XMATCH($E$186,FixedAssets[Asset ID])),IF(AND((_xlfn.XMATCH(BF$8,$AH$8:$CC$8))-_xlfn.XMATCH($C190,$C$35:$C$82)+1&lt;=_xlpm.DepreciationMonths,$C190&lt;=BF$8),$E190/_xlpm.DepreciationMonths,0))</f>
        <v>0</v>
      </c>
      <c r="BG190" s="507" cm="1">
        <f t="array" ref="BG190">_xlfn.LET(_xlpm.DepreciationMonths,INDEX(FixedAssets[Depreciation
/ Amortization Months],_xlfn.XMATCH($E$186,FixedAssets[Asset ID])),IF(AND((_xlfn.XMATCH(BG$8,$AH$8:$CC$8))-_xlfn.XMATCH($C190,$C$35:$C$82)+1&lt;=_xlpm.DepreciationMonths,$C190&lt;=BG$8),$E190/_xlpm.DepreciationMonths,0))</f>
        <v>0</v>
      </c>
      <c r="BH190" s="507" cm="1">
        <f t="array" ref="BH190">_xlfn.LET(_xlpm.DepreciationMonths,INDEX(FixedAssets[Depreciation
/ Amortization Months],_xlfn.XMATCH($E$186,FixedAssets[Asset ID])),IF(AND((_xlfn.XMATCH(BH$8,$AH$8:$CC$8))-_xlfn.XMATCH($C190,$C$35:$C$82)+1&lt;=_xlpm.DepreciationMonths,$C190&lt;=BH$8),$E190/_xlpm.DepreciationMonths,0))</f>
        <v>0</v>
      </c>
      <c r="BI190" s="507" cm="1">
        <f t="array" ref="BI190">_xlfn.LET(_xlpm.DepreciationMonths,INDEX(FixedAssets[Depreciation
/ Amortization Months],_xlfn.XMATCH($E$186,FixedAssets[Asset ID])),IF(AND((_xlfn.XMATCH(BI$8,$AH$8:$CC$8))-_xlfn.XMATCH($C190,$C$35:$C$82)+1&lt;=_xlpm.DepreciationMonths,$C190&lt;=BI$8),$E190/_xlpm.DepreciationMonths,0))</f>
        <v>0</v>
      </c>
      <c r="BJ190" s="507" cm="1">
        <f t="array" ref="BJ190">_xlfn.LET(_xlpm.DepreciationMonths,INDEX(FixedAssets[Depreciation
/ Amortization Months],_xlfn.XMATCH($E$186,FixedAssets[Asset ID])),IF(AND((_xlfn.XMATCH(BJ$8,$AH$8:$CC$8))-_xlfn.XMATCH($C190,$C$35:$C$82)+1&lt;=_xlpm.DepreciationMonths,$C190&lt;=BJ$8),$E190/_xlpm.DepreciationMonths,0))</f>
        <v>0</v>
      </c>
      <c r="BK190" s="507" cm="1">
        <f t="array" ref="BK190">_xlfn.LET(_xlpm.DepreciationMonths,INDEX(FixedAssets[Depreciation
/ Amortization Months],_xlfn.XMATCH($E$186,FixedAssets[Asset ID])),IF(AND((_xlfn.XMATCH(BK$8,$AH$8:$CC$8))-_xlfn.XMATCH($C190,$C$35:$C$82)+1&lt;=_xlpm.DepreciationMonths,$C190&lt;=BK$8),$E190/_xlpm.DepreciationMonths,0))</f>
        <v>0</v>
      </c>
      <c r="BL190" s="507" cm="1">
        <f t="array" ref="BL190">_xlfn.LET(_xlpm.DepreciationMonths,INDEX(FixedAssets[Depreciation
/ Amortization Months],_xlfn.XMATCH($E$186,FixedAssets[Asset ID])),IF(AND((_xlfn.XMATCH(BL$8,$AH$8:$CC$8))-_xlfn.XMATCH($C190,$C$35:$C$82)+1&lt;=_xlpm.DepreciationMonths,$C190&lt;=BL$8),$E190/_xlpm.DepreciationMonths,0))</f>
        <v>0</v>
      </c>
      <c r="BM190" s="507" cm="1">
        <f t="array" ref="BM190">_xlfn.LET(_xlpm.DepreciationMonths,INDEX(FixedAssets[Depreciation
/ Amortization Months],_xlfn.XMATCH($E$186,FixedAssets[Asset ID])),IF(AND((_xlfn.XMATCH(BM$8,$AH$8:$CC$8))-_xlfn.XMATCH($C190,$C$35:$C$82)+1&lt;=_xlpm.DepreciationMonths,$C190&lt;=BM$8),$E190/_xlpm.DepreciationMonths,0))</f>
        <v>0</v>
      </c>
      <c r="BN190" s="507" cm="1">
        <f t="array" ref="BN190">_xlfn.LET(_xlpm.DepreciationMonths,INDEX(FixedAssets[Depreciation
/ Amortization Months],_xlfn.XMATCH($E$186,FixedAssets[Asset ID])),IF(AND((_xlfn.XMATCH(BN$8,$AH$8:$CC$8))-_xlfn.XMATCH($C190,$C$35:$C$82)+1&lt;=_xlpm.DepreciationMonths,$C190&lt;=BN$8),$E190/_xlpm.DepreciationMonths,0))</f>
        <v>0</v>
      </c>
      <c r="BO190" s="507" cm="1">
        <f t="array" ref="BO190">_xlfn.LET(_xlpm.DepreciationMonths,INDEX(FixedAssets[Depreciation
/ Amortization Months],_xlfn.XMATCH($E$186,FixedAssets[Asset ID])),IF(AND((_xlfn.XMATCH(BO$8,$AH$8:$CC$8))-_xlfn.XMATCH($C190,$C$35:$C$82)+1&lt;=_xlpm.DepreciationMonths,$C190&lt;=BO$8),$E190/_xlpm.DepreciationMonths,0))</f>
        <v>0</v>
      </c>
      <c r="BP190" s="507" cm="1">
        <f t="array" ref="BP190">_xlfn.LET(_xlpm.DepreciationMonths,INDEX(FixedAssets[Depreciation
/ Amortization Months],_xlfn.XMATCH($E$186,FixedAssets[Asset ID])),IF(AND((_xlfn.XMATCH(BP$8,$AH$8:$CC$8))-_xlfn.XMATCH($C190,$C$35:$C$82)+1&lt;=_xlpm.DepreciationMonths,$C190&lt;=BP$8),$E190/_xlpm.DepreciationMonths,0))</f>
        <v>0</v>
      </c>
      <c r="BQ190" s="507" cm="1">
        <f t="array" ref="BQ190">_xlfn.LET(_xlpm.DepreciationMonths,INDEX(FixedAssets[Depreciation
/ Amortization Months],_xlfn.XMATCH($E$186,FixedAssets[Asset ID])),IF(AND((_xlfn.XMATCH(BQ$8,$AH$8:$CC$8))-_xlfn.XMATCH($C190,$C$35:$C$82)+1&lt;=_xlpm.DepreciationMonths,$C190&lt;=BQ$8),$E190/_xlpm.DepreciationMonths,0))</f>
        <v>0</v>
      </c>
      <c r="BR190" s="507" cm="1">
        <f t="array" ref="BR190">_xlfn.LET(_xlpm.DepreciationMonths,INDEX(FixedAssets[Depreciation
/ Amortization Months],_xlfn.XMATCH($E$186,FixedAssets[Asset ID])),IF(AND((_xlfn.XMATCH(BR$8,$AH$8:$CC$8))-_xlfn.XMATCH($C190,$C$35:$C$82)+1&lt;=_xlpm.DepreciationMonths,$C190&lt;=BR$8),$E190/_xlpm.DepreciationMonths,0))</f>
        <v>0</v>
      </c>
      <c r="BS190" s="507" cm="1">
        <f t="array" ref="BS190">_xlfn.LET(_xlpm.DepreciationMonths,INDEX(FixedAssets[Depreciation
/ Amortization Months],_xlfn.XMATCH($E$186,FixedAssets[Asset ID])),IF(AND((_xlfn.XMATCH(BS$8,$AH$8:$CC$8))-_xlfn.XMATCH($C190,$C$35:$C$82)+1&lt;=_xlpm.DepreciationMonths,$C190&lt;=BS$8),$E190/_xlpm.DepreciationMonths,0))</f>
        <v>0</v>
      </c>
      <c r="BT190" s="507" cm="1">
        <f t="array" ref="BT190">_xlfn.LET(_xlpm.DepreciationMonths,INDEX(FixedAssets[Depreciation
/ Amortization Months],_xlfn.XMATCH($E$186,FixedAssets[Asset ID])),IF(AND((_xlfn.XMATCH(BT$8,$AH$8:$CC$8))-_xlfn.XMATCH($C190,$C$35:$C$82)+1&lt;=_xlpm.DepreciationMonths,$C190&lt;=BT$8),$E190/_xlpm.DepreciationMonths,0))</f>
        <v>0</v>
      </c>
      <c r="BU190" s="507" cm="1">
        <f t="array" ref="BU190">_xlfn.LET(_xlpm.DepreciationMonths,INDEX(FixedAssets[Depreciation
/ Amortization Months],_xlfn.XMATCH($E$186,FixedAssets[Asset ID])),IF(AND((_xlfn.XMATCH(BU$8,$AH$8:$CC$8))-_xlfn.XMATCH($C190,$C$35:$C$82)+1&lt;=_xlpm.DepreciationMonths,$C190&lt;=BU$8),$E190/_xlpm.DepreciationMonths,0))</f>
        <v>0</v>
      </c>
      <c r="BV190" s="507" cm="1">
        <f t="array" ref="BV190">_xlfn.LET(_xlpm.DepreciationMonths,INDEX(FixedAssets[Depreciation
/ Amortization Months],_xlfn.XMATCH($E$186,FixedAssets[Asset ID])),IF(AND((_xlfn.XMATCH(BV$8,$AH$8:$CC$8))-_xlfn.XMATCH($C190,$C$35:$C$82)+1&lt;=_xlpm.DepreciationMonths,$C190&lt;=BV$8),$E190/_xlpm.DepreciationMonths,0))</f>
        <v>0</v>
      </c>
      <c r="BW190" s="507" cm="1">
        <f t="array" ref="BW190">_xlfn.LET(_xlpm.DepreciationMonths,INDEX(FixedAssets[Depreciation
/ Amortization Months],_xlfn.XMATCH($E$186,FixedAssets[Asset ID])),IF(AND((_xlfn.XMATCH(BW$8,$AH$8:$CC$8))-_xlfn.XMATCH($C190,$C$35:$C$82)+1&lt;=_xlpm.DepreciationMonths,$C190&lt;=BW$8),$E190/_xlpm.DepreciationMonths,0))</f>
        <v>0</v>
      </c>
      <c r="BX190" s="507" cm="1">
        <f t="array" ref="BX190">_xlfn.LET(_xlpm.DepreciationMonths,INDEX(FixedAssets[Depreciation
/ Amortization Months],_xlfn.XMATCH($E$186,FixedAssets[Asset ID])),IF(AND((_xlfn.XMATCH(BX$8,$AH$8:$CC$8))-_xlfn.XMATCH($C190,$C$35:$C$82)+1&lt;=_xlpm.DepreciationMonths,$C190&lt;=BX$8),$E190/_xlpm.DepreciationMonths,0))</f>
        <v>0</v>
      </c>
      <c r="BY190" s="507" cm="1">
        <f t="array" ref="BY190">_xlfn.LET(_xlpm.DepreciationMonths,INDEX(FixedAssets[Depreciation
/ Amortization Months],_xlfn.XMATCH($E$186,FixedAssets[Asset ID])),IF(AND((_xlfn.XMATCH(BY$8,$AH$8:$CC$8))-_xlfn.XMATCH($C190,$C$35:$C$82)+1&lt;=_xlpm.DepreciationMonths,$C190&lt;=BY$8),$E190/_xlpm.DepreciationMonths,0))</f>
        <v>0</v>
      </c>
      <c r="BZ190" s="507" cm="1">
        <f t="array" ref="BZ190">_xlfn.LET(_xlpm.DepreciationMonths,INDEX(FixedAssets[Depreciation
/ Amortization Months],_xlfn.XMATCH($E$186,FixedAssets[Asset ID])),IF(AND((_xlfn.XMATCH(BZ$8,$AH$8:$CC$8))-_xlfn.XMATCH($C190,$C$35:$C$82)+1&lt;=_xlpm.DepreciationMonths,$C190&lt;=BZ$8),$E190/_xlpm.DepreciationMonths,0))</f>
        <v>0</v>
      </c>
      <c r="CA190" s="507" cm="1">
        <f t="array" ref="CA190">_xlfn.LET(_xlpm.DepreciationMonths,INDEX(FixedAssets[Depreciation
/ Amortization Months],_xlfn.XMATCH($E$186,FixedAssets[Asset ID])),IF(AND((_xlfn.XMATCH(CA$8,$AH$8:$CC$8))-_xlfn.XMATCH($C190,$C$35:$C$82)+1&lt;=_xlpm.DepreciationMonths,$C190&lt;=CA$8),$E190/_xlpm.DepreciationMonths,0))</f>
        <v>0</v>
      </c>
      <c r="CB190" s="507" cm="1">
        <f t="array" ref="CB190">_xlfn.LET(_xlpm.DepreciationMonths,INDEX(FixedAssets[Depreciation
/ Amortization Months],_xlfn.XMATCH($E$186,FixedAssets[Asset ID])),IF(AND((_xlfn.XMATCH(CB$8,$AH$8:$CC$8))-_xlfn.XMATCH($C190,$C$35:$C$82)+1&lt;=_xlpm.DepreciationMonths,$C190&lt;=CB$8),$E190/_xlpm.DepreciationMonths,0))</f>
        <v>0</v>
      </c>
      <c r="CC190" s="507" cm="1">
        <f t="array" ref="CC190">_xlfn.LET(_xlpm.DepreciationMonths,INDEX(FixedAssets[Depreciation
/ Amortization Months],_xlfn.XMATCH($E$186,FixedAssets[Asset ID])),IF(AND((_xlfn.XMATCH(CC$8,$AH$8:$CC$8))-_xlfn.XMATCH($C190,$C$35:$C$82)+1&lt;=_xlpm.DepreciationMonths,$C190&lt;=CC$8),$E190/_xlpm.DepreciationMonths,0))</f>
        <v>0</v>
      </c>
    </row>
    <row r="191" spans="3:81" hidden="1" outlineLevel="2">
      <c r="C191" s="664">
        <f t="shared" si="256"/>
        <v>45046</v>
      </c>
      <c r="D191" s="508"/>
      <c r="E191" s="508" cm="1">
        <f t="array" ref="E191">SUMPRODUCT(($AH$26:$CC$31)*($AH$5:$CC$5=$C191)*($E$26:$E$31=E$186))-SUMPRODUCT(($AH$26:$CC$31)*($AH$5:$CC$5=EOMONTH($C191,-1))*($E$26:$E$31=E$186))</f>
        <v>0</v>
      </c>
      <c r="F191" s="508"/>
      <c r="G191" s="508"/>
      <c r="H191" s="508"/>
      <c r="I191" s="508"/>
      <c r="J191" s="504">
        <f t="shared" si="254"/>
        <v>0</v>
      </c>
      <c r="K191" s="504">
        <f t="shared" si="254"/>
        <v>0</v>
      </c>
      <c r="L191" s="504">
        <f t="shared" si="254"/>
        <v>0</v>
      </c>
      <c r="M191" s="504">
        <f t="shared" si="254"/>
        <v>0</v>
      </c>
      <c r="N191" s="504"/>
      <c r="O191" s="504"/>
      <c r="P191" s="504">
        <f t="shared" si="255"/>
        <v>0</v>
      </c>
      <c r="Q191" s="504">
        <f t="shared" si="255"/>
        <v>0</v>
      </c>
      <c r="R191" s="504">
        <f t="shared" si="255"/>
        <v>0</v>
      </c>
      <c r="S191" s="504">
        <f t="shared" si="255"/>
        <v>0</v>
      </c>
      <c r="T191" s="504">
        <f t="shared" si="255"/>
        <v>0</v>
      </c>
      <c r="U191" s="504">
        <f t="shared" si="255"/>
        <v>0</v>
      </c>
      <c r="V191" s="504">
        <f t="shared" si="255"/>
        <v>0</v>
      </c>
      <c r="W191" s="504">
        <f t="shared" si="255"/>
        <v>0</v>
      </c>
      <c r="X191" s="504">
        <f t="shared" si="255"/>
        <v>0</v>
      </c>
      <c r="Y191" s="504">
        <f t="shared" si="255"/>
        <v>0</v>
      </c>
      <c r="Z191" s="504">
        <f t="shared" si="255"/>
        <v>0</v>
      </c>
      <c r="AA191" s="504">
        <f t="shared" si="255"/>
        <v>0</v>
      </c>
      <c r="AB191" s="504">
        <f t="shared" si="255"/>
        <v>0</v>
      </c>
      <c r="AC191" s="504">
        <f t="shared" si="255"/>
        <v>0</v>
      </c>
      <c r="AD191" s="504">
        <f t="shared" si="255"/>
        <v>0</v>
      </c>
      <c r="AE191" s="504">
        <f t="shared" si="255"/>
        <v>0</v>
      </c>
      <c r="AF191" s="508"/>
      <c r="AG191" s="508"/>
      <c r="AH191" s="507" cm="1">
        <f t="array" ref="AH191">_xlfn.LET(_xlpm.DepreciationMonths,INDEX(FixedAssets[Depreciation
/ Amortization Months],_xlfn.XMATCH($E$186,FixedAssets[Asset ID])),IF(AND((_xlfn.XMATCH(AH$8,$AH$8:$CC$8))-_xlfn.XMATCH($C191,$C$35:$C$82)+1&lt;=_xlpm.DepreciationMonths,$C191&lt;=AH$8),$E191/_xlpm.DepreciationMonths,0))</f>
        <v>0</v>
      </c>
      <c r="AI191" s="507" cm="1">
        <f t="array" ref="AI191">_xlfn.LET(_xlpm.DepreciationMonths,INDEX(FixedAssets[Depreciation
/ Amortization Months],_xlfn.XMATCH($E$186,FixedAssets[Asset ID])),IF(AND((_xlfn.XMATCH(AI$8,$AH$8:$CC$8))-_xlfn.XMATCH($C191,$C$35:$C$82)+1&lt;=_xlpm.DepreciationMonths,$C191&lt;=AI$8),$E191/_xlpm.DepreciationMonths,0))</f>
        <v>0</v>
      </c>
      <c r="AJ191" s="507" cm="1">
        <f t="array" ref="AJ191">_xlfn.LET(_xlpm.DepreciationMonths,INDEX(FixedAssets[Depreciation
/ Amortization Months],_xlfn.XMATCH($E$186,FixedAssets[Asset ID])),IF(AND((_xlfn.XMATCH(AJ$8,$AH$8:$CC$8))-_xlfn.XMATCH($C191,$C$35:$C$82)+1&lt;=_xlpm.DepreciationMonths,$C191&lt;=AJ$8),$E191/_xlpm.DepreciationMonths,0))</f>
        <v>0</v>
      </c>
      <c r="AK191" s="507" cm="1">
        <f t="array" ref="AK191">_xlfn.LET(_xlpm.DepreciationMonths,INDEX(FixedAssets[Depreciation
/ Amortization Months],_xlfn.XMATCH($E$186,FixedAssets[Asset ID])),IF(AND((_xlfn.XMATCH(AK$8,$AH$8:$CC$8))-_xlfn.XMATCH($C191,$C$35:$C$82)+1&lt;=_xlpm.DepreciationMonths,$C191&lt;=AK$8),$E191/_xlpm.DepreciationMonths,0))</f>
        <v>0</v>
      </c>
      <c r="AL191" s="507" cm="1">
        <f t="array" ref="AL191">_xlfn.LET(_xlpm.DepreciationMonths,INDEX(FixedAssets[Depreciation
/ Amortization Months],_xlfn.XMATCH($E$186,FixedAssets[Asset ID])),IF(AND((_xlfn.XMATCH(AL$8,$AH$8:$CC$8))-_xlfn.XMATCH($C191,$C$35:$C$82)+1&lt;=_xlpm.DepreciationMonths,$C191&lt;=AL$8),$E191/_xlpm.DepreciationMonths,0))</f>
        <v>0</v>
      </c>
      <c r="AM191" s="507" cm="1">
        <f t="array" ref="AM191">_xlfn.LET(_xlpm.DepreciationMonths,INDEX(FixedAssets[Depreciation
/ Amortization Months],_xlfn.XMATCH($E$186,FixedAssets[Asset ID])),IF(AND((_xlfn.XMATCH(AM$8,$AH$8:$CC$8))-_xlfn.XMATCH($C191,$C$35:$C$82)+1&lt;=_xlpm.DepreciationMonths,$C191&lt;=AM$8),$E191/_xlpm.DepreciationMonths,0))</f>
        <v>0</v>
      </c>
      <c r="AN191" s="507" cm="1">
        <f t="array" ref="AN191">_xlfn.LET(_xlpm.DepreciationMonths,INDEX(FixedAssets[Depreciation
/ Amortization Months],_xlfn.XMATCH($E$186,FixedAssets[Asset ID])),IF(AND((_xlfn.XMATCH(AN$8,$AH$8:$CC$8))-_xlfn.XMATCH($C191,$C$35:$C$82)+1&lt;=_xlpm.DepreciationMonths,$C191&lt;=AN$8),$E191/_xlpm.DepreciationMonths,0))</f>
        <v>0</v>
      </c>
      <c r="AO191" s="507" cm="1">
        <f t="array" ref="AO191">_xlfn.LET(_xlpm.DepreciationMonths,INDEX(FixedAssets[Depreciation
/ Amortization Months],_xlfn.XMATCH($E$186,FixedAssets[Asset ID])),IF(AND((_xlfn.XMATCH(AO$8,$AH$8:$CC$8))-_xlfn.XMATCH($C191,$C$35:$C$82)+1&lt;=_xlpm.DepreciationMonths,$C191&lt;=AO$8),$E191/_xlpm.DepreciationMonths,0))</f>
        <v>0</v>
      </c>
      <c r="AP191" s="507" cm="1">
        <f t="array" ref="AP191">_xlfn.LET(_xlpm.DepreciationMonths,INDEX(FixedAssets[Depreciation
/ Amortization Months],_xlfn.XMATCH($E$186,FixedAssets[Asset ID])),IF(AND((_xlfn.XMATCH(AP$8,$AH$8:$CC$8))-_xlfn.XMATCH($C191,$C$35:$C$82)+1&lt;=_xlpm.DepreciationMonths,$C191&lt;=AP$8),$E191/_xlpm.DepreciationMonths,0))</f>
        <v>0</v>
      </c>
      <c r="AQ191" s="507" cm="1">
        <f t="array" ref="AQ191">_xlfn.LET(_xlpm.DepreciationMonths,INDEX(FixedAssets[Depreciation
/ Amortization Months],_xlfn.XMATCH($E$186,FixedAssets[Asset ID])),IF(AND((_xlfn.XMATCH(AQ$8,$AH$8:$CC$8))-_xlfn.XMATCH($C191,$C$35:$C$82)+1&lt;=_xlpm.DepreciationMonths,$C191&lt;=AQ$8),$E191/_xlpm.DepreciationMonths,0))</f>
        <v>0</v>
      </c>
      <c r="AR191" s="507" cm="1">
        <f t="array" ref="AR191">_xlfn.LET(_xlpm.DepreciationMonths,INDEX(FixedAssets[Depreciation
/ Amortization Months],_xlfn.XMATCH($E$186,FixedAssets[Asset ID])),IF(AND((_xlfn.XMATCH(AR$8,$AH$8:$CC$8))-_xlfn.XMATCH($C191,$C$35:$C$82)+1&lt;=_xlpm.DepreciationMonths,$C191&lt;=AR$8),$E191/_xlpm.DepreciationMonths,0))</f>
        <v>0</v>
      </c>
      <c r="AS191" s="507" cm="1">
        <f t="array" ref="AS191">_xlfn.LET(_xlpm.DepreciationMonths,INDEX(FixedAssets[Depreciation
/ Amortization Months],_xlfn.XMATCH($E$186,FixedAssets[Asset ID])),IF(AND((_xlfn.XMATCH(AS$8,$AH$8:$CC$8))-_xlfn.XMATCH($C191,$C$35:$C$82)+1&lt;=_xlpm.DepreciationMonths,$C191&lt;=AS$8),$E191/_xlpm.DepreciationMonths,0))</f>
        <v>0</v>
      </c>
      <c r="AT191" s="507" cm="1">
        <f t="array" ref="AT191">_xlfn.LET(_xlpm.DepreciationMonths,INDEX(FixedAssets[Depreciation
/ Amortization Months],_xlfn.XMATCH($E$186,FixedAssets[Asset ID])),IF(AND((_xlfn.XMATCH(AT$8,$AH$8:$CC$8))-_xlfn.XMATCH($C191,$C$35:$C$82)+1&lt;=_xlpm.DepreciationMonths,$C191&lt;=AT$8),$E191/_xlpm.DepreciationMonths,0))</f>
        <v>0</v>
      </c>
      <c r="AU191" s="507" cm="1">
        <f t="array" ref="AU191">_xlfn.LET(_xlpm.DepreciationMonths,INDEX(FixedAssets[Depreciation
/ Amortization Months],_xlfn.XMATCH($E$186,FixedAssets[Asset ID])),IF(AND((_xlfn.XMATCH(AU$8,$AH$8:$CC$8))-_xlfn.XMATCH($C191,$C$35:$C$82)+1&lt;=_xlpm.DepreciationMonths,$C191&lt;=AU$8),$E191/_xlpm.DepreciationMonths,0))</f>
        <v>0</v>
      </c>
      <c r="AV191" s="507" cm="1">
        <f t="array" ref="AV191">_xlfn.LET(_xlpm.DepreciationMonths,INDEX(FixedAssets[Depreciation
/ Amortization Months],_xlfn.XMATCH($E$186,FixedAssets[Asset ID])),IF(AND((_xlfn.XMATCH(AV$8,$AH$8:$CC$8))-_xlfn.XMATCH($C191,$C$35:$C$82)+1&lt;=_xlpm.DepreciationMonths,$C191&lt;=AV$8),$E191/_xlpm.DepreciationMonths,0))</f>
        <v>0</v>
      </c>
      <c r="AW191" s="507" cm="1">
        <f t="array" ref="AW191">_xlfn.LET(_xlpm.DepreciationMonths,INDEX(FixedAssets[Depreciation
/ Amortization Months],_xlfn.XMATCH($E$186,FixedAssets[Asset ID])),IF(AND((_xlfn.XMATCH(AW$8,$AH$8:$CC$8))-_xlfn.XMATCH($C191,$C$35:$C$82)+1&lt;=_xlpm.DepreciationMonths,$C191&lt;=AW$8),$E191/_xlpm.DepreciationMonths,0))</f>
        <v>0</v>
      </c>
      <c r="AX191" s="507" cm="1">
        <f t="array" ref="AX191">_xlfn.LET(_xlpm.DepreciationMonths,INDEX(FixedAssets[Depreciation
/ Amortization Months],_xlfn.XMATCH($E$186,FixedAssets[Asset ID])),IF(AND((_xlfn.XMATCH(AX$8,$AH$8:$CC$8))-_xlfn.XMATCH($C191,$C$35:$C$82)+1&lt;=_xlpm.DepreciationMonths,$C191&lt;=AX$8),$E191/_xlpm.DepreciationMonths,0))</f>
        <v>0</v>
      </c>
      <c r="AY191" s="507" cm="1">
        <f t="array" ref="AY191">_xlfn.LET(_xlpm.DepreciationMonths,INDEX(FixedAssets[Depreciation
/ Amortization Months],_xlfn.XMATCH($E$186,FixedAssets[Asset ID])),IF(AND((_xlfn.XMATCH(AY$8,$AH$8:$CC$8))-_xlfn.XMATCH($C191,$C$35:$C$82)+1&lt;=_xlpm.DepreciationMonths,$C191&lt;=AY$8),$E191/_xlpm.DepreciationMonths,0))</f>
        <v>0</v>
      </c>
      <c r="AZ191" s="507" cm="1">
        <f t="array" ref="AZ191">_xlfn.LET(_xlpm.DepreciationMonths,INDEX(FixedAssets[Depreciation
/ Amortization Months],_xlfn.XMATCH($E$186,FixedAssets[Asset ID])),IF(AND((_xlfn.XMATCH(AZ$8,$AH$8:$CC$8))-_xlfn.XMATCH($C191,$C$35:$C$82)+1&lt;=_xlpm.DepreciationMonths,$C191&lt;=AZ$8),$E191/_xlpm.DepreciationMonths,0))</f>
        <v>0</v>
      </c>
      <c r="BA191" s="507" cm="1">
        <f t="array" ref="BA191">_xlfn.LET(_xlpm.DepreciationMonths,INDEX(FixedAssets[Depreciation
/ Amortization Months],_xlfn.XMATCH($E$186,FixedAssets[Asset ID])),IF(AND((_xlfn.XMATCH(BA$8,$AH$8:$CC$8))-_xlfn.XMATCH($C191,$C$35:$C$82)+1&lt;=_xlpm.DepreciationMonths,$C191&lt;=BA$8),$E191/_xlpm.DepreciationMonths,0))</f>
        <v>0</v>
      </c>
      <c r="BB191" s="507" cm="1">
        <f t="array" ref="BB191">_xlfn.LET(_xlpm.DepreciationMonths,INDEX(FixedAssets[Depreciation
/ Amortization Months],_xlfn.XMATCH($E$186,FixedAssets[Asset ID])),IF(AND((_xlfn.XMATCH(BB$8,$AH$8:$CC$8))-_xlfn.XMATCH($C191,$C$35:$C$82)+1&lt;=_xlpm.DepreciationMonths,$C191&lt;=BB$8),$E191/_xlpm.DepreciationMonths,0))</f>
        <v>0</v>
      </c>
      <c r="BC191" s="507" cm="1">
        <f t="array" ref="BC191">_xlfn.LET(_xlpm.DepreciationMonths,INDEX(FixedAssets[Depreciation
/ Amortization Months],_xlfn.XMATCH($E$186,FixedAssets[Asset ID])),IF(AND((_xlfn.XMATCH(BC$8,$AH$8:$CC$8))-_xlfn.XMATCH($C191,$C$35:$C$82)+1&lt;=_xlpm.DepreciationMonths,$C191&lt;=BC$8),$E191/_xlpm.DepreciationMonths,0))</f>
        <v>0</v>
      </c>
      <c r="BD191" s="507" cm="1">
        <f t="array" ref="BD191">_xlfn.LET(_xlpm.DepreciationMonths,INDEX(FixedAssets[Depreciation
/ Amortization Months],_xlfn.XMATCH($E$186,FixedAssets[Asset ID])),IF(AND((_xlfn.XMATCH(BD$8,$AH$8:$CC$8))-_xlfn.XMATCH($C191,$C$35:$C$82)+1&lt;=_xlpm.DepreciationMonths,$C191&lt;=BD$8),$E191/_xlpm.DepreciationMonths,0))</f>
        <v>0</v>
      </c>
      <c r="BE191" s="507" cm="1">
        <f t="array" ref="BE191">_xlfn.LET(_xlpm.DepreciationMonths,INDEX(FixedAssets[Depreciation
/ Amortization Months],_xlfn.XMATCH($E$186,FixedAssets[Asset ID])),IF(AND((_xlfn.XMATCH(BE$8,$AH$8:$CC$8))-_xlfn.XMATCH($C191,$C$35:$C$82)+1&lt;=_xlpm.DepreciationMonths,$C191&lt;=BE$8),$E191/_xlpm.DepreciationMonths,0))</f>
        <v>0</v>
      </c>
      <c r="BF191" s="507" cm="1">
        <f t="array" ref="BF191">_xlfn.LET(_xlpm.DepreciationMonths,INDEX(FixedAssets[Depreciation
/ Amortization Months],_xlfn.XMATCH($E$186,FixedAssets[Asset ID])),IF(AND((_xlfn.XMATCH(BF$8,$AH$8:$CC$8))-_xlfn.XMATCH($C191,$C$35:$C$82)+1&lt;=_xlpm.DepreciationMonths,$C191&lt;=BF$8),$E191/_xlpm.DepreciationMonths,0))</f>
        <v>0</v>
      </c>
      <c r="BG191" s="507" cm="1">
        <f t="array" ref="BG191">_xlfn.LET(_xlpm.DepreciationMonths,INDEX(FixedAssets[Depreciation
/ Amortization Months],_xlfn.XMATCH($E$186,FixedAssets[Asset ID])),IF(AND((_xlfn.XMATCH(BG$8,$AH$8:$CC$8))-_xlfn.XMATCH($C191,$C$35:$C$82)+1&lt;=_xlpm.DepreciationMonths,$C191&lt;=BG$8),$E191/_xlpm.DepreciationMonths,0))</f>
        <v>0</v>
      </c>
      <c r="BH191" s="507" cm="1">
        <f t="array" ref="BH191">_xlfn.LET(_xlpm.DepreciationMonths,INDEX(FixedAssets[Depreciation
/ Amortization Months],_xlfn.XMATCH($E$186,FixedAssets[Asset ID])),IF(AND((_xlfn.XMATCH(BH$8,$AH$8:$CC$8))-_xlfn.XMATCH($C191,$C$35:$C$82)+1&lt;=_xlpm.DepreciationMonths,$C191&lt;=BH$8),$E191/_xlpm.DepreciationMonths,0))</f>
        <v>0</v>
      </c>
      <c r="BI191" s="507" cm="1">
        <f t="array" ref="BI191">_xlfn.LET(_xlpm.DepreciationMonths,INDEX(FixedAssets[Depreciation
/ Amortization Months],_xlfn.XMATCH($E$186,FixedAssets[Asset ID])),IF(AND((_xlfn.XMATCH(BI$8,$AH$8:$CC$8))-_xlfn.XMATCH($C191,$C$35:$C$82)+1&lt;=_xlpm.DepreciationMonths,$C191&lt;=BI$8),$E191/_xlpm.DepreciationMonths,0))</f>
        <v>0</v>
      </c>
      <c r="BJ191" s="507" cm="1">
        <f t="array" ref="BJ191">_xlfn.LET(_xlpm.DepreciationMonths,INDEX(FixedAssets[Depreciation
/ Amortization Months],_xlfn.XMATCH($E$186,FixedAssets[Asset ID])),IF(AND((_xlfn.XMATCH(BJ$8,$AH$8:$CC$8))-_xlfn.XMATCH($C191,$C$35:$C$82)+1&lt;=_xlpm.DepreciationMonths,$C191&lt;=BJ$8),$E191/_xlpm.DepreciationMonths,0))</f>
        <v>0</v>
      </c>
      <c r="BK191" s="507" cm="1">
        <f t="array" ref="BK191">_xlfn.LET(_xlpm.DepreciationMonths,INDEX(FixedAssets[Depreciation
/ Amortization Months],_xlfn.XMATCH($E$186,FixedAssets[Asset ID])),IF(AND((_xlfn.XMATCH(BK$8,$AH$8:$CC$8))-_xlfn.XMATCH($C191,$C$35:$C$82)+1&lt;=_xlpm.DepreciationMonths,$C191&lt;=BK$8),$E191/_xlpm.DepreciationMonths,0))</f>
        <v>0</v>
      </c>
      <c r="BL191" s="507" cm="1">
        <f t="array" ref="BL191">_xlfn.LET(_xlpm.DepreciationMonths,INDEX(FixedAssets[Depreciation
/ Amortization Months],_xlfn.XMATCH($E$186,FixedAssets[Asset ID])),IF(AND((_xlfn.XMATCH(BL$8,$AH$8:$CC$8))-_xlfn.XMATCH($C191,$C$35:$C$82)+1&lt;=_xlpm.DepreciationMonths,$C191&lt;=BL$8),$E191/_xlpm.DepreciationMonths,0))</f>
        <v>0</v>
      </c>
      <c r="BM191" s="507" cm="1">
        <f t="array" ref="BM191">_xlfn.LET(_xlpm.DepreciationMonths,INDEX(FixedAssets[Depreciation
/ Amortization Months],_xlfn.XMATCH($E$186,FixedAssets[Asset ID])),IF(AND((_xlfn.XMATCH(BM$8,$AH$8:$CC$8))-_xlfn.XMATCH($C191,$C$35:$C$82)+1&lt;=_xlpm.DepreciationMonths,$C191&lt;=BM$8),$E191/_xlpm.DepreciationMonths,0))</f>
        <v>0</v>
      </c>
      <c r="BN191" s="507" cm="1">
        <f t="array" ref="BN191">_xlfn.LET(_xlpm.DepreciationMonths,INDEX(FixedAssets[Depreciation
/ Amortization Months],_xlfn.XMATCH($E$186,FixedAssets[Asset ID])),IF(AND((_xlfn.XMATCH(BN$8,$AH$8:$CC$8))-_xlfn.XMATCH($C191,$C$35:$C$82)+1&lt;=_xlpm.DepreciationMonths,$C191&lt;=BN$8),$E191/_xlpm.DepreciationMonths,0))</f>
        <v>0</v>
      </c>
      <c r="BO191" s="507" cm="1">
        <f t="array" ref="BO191">_xlfn.LET(_xlpm.DepreciationMonths,INDEX(FixedAssets[Depreciation
/ Amortization Months],_xlfn.XMATCH($E$186,FixedAssets[Asset ID])),IF(AND((_xlfn.XMATCH(BO$8,$AH$8:$CC$8))-_xlfn.XMATCH($C191,$C$35:$C$82)+1&lt;=_xlpm.DepreciationMonths,$C191&lt;=BO$8),$E191/_xlpm.DepreciationMonths,0))</f>
        <v>0</v>
      </c>
      <c r="BP191" s="507" cm="1">
        <f t="array" ref="BP191">_xlfn.LET(_xlpm.DepreciationMonths,INDEX(FixedAssets[Depreciation
/ Amortization Months],_xlfn.XMATCH($E$186,FixedAssets[Asset ID])),IF(AND((_xlfn.XMATCH(BP$8,$AH$8:$CC$8))-_xlfn.XMATCH($C191,$C$35:$C$82)+1&lt;=_xlpm.DepreciationMonths,$C191&lt;=BP$8),$E191/_xlpm.DepreciationMonths,0))</f>
        <v>0</v>
      </c>
      <c r="BQ191" s="507" cm="1">
        <f t="array" ref="BQ191">_xlfn.LET(_xlpm.DepreciationMonths,INDEX(FixedAssets[Depreciation
/ Amortization Months],_xlfn.XMATCH($E$186,FixedAssets[Asset ID])),IF(AND((_xlfn.XMATCH(BQ$8,$AH$8:$CC$8))-_xlfn.XMATCH($C191,$C$35:$C$82)+1&lt;=_xlpm.DepreciationMonths,$C191&lt;=BQ$8),$E191/_xlpm.DepreciationMonths,0))</f>
        <v>0</v>
      </c>
      <c r="BR191" s="507" cm="1">
        <f t="array" ref="BR191">_xlfn.LET(_xlpm.DepreciationMonths,INDEX(FixedAssets[Depreciation
/ Amortization Months],_xlfn.XMATCH($E$186,FixedAssets[Asset ID])),IF(AND((_xlfn.XMATCH(BR$8,$AH$8:$CC$8))-_xlfn.XMATCH($C191,$C$35:$C$82)+1&lt;=_xlpm.DepreciationMonths,$C191&lt;=BR$8),$E191/_xlpm.DepreciationMonths,0))</f>
        <v>0</v>
      </c>
      <c r="BS191" s="507" cm="1">
        <f t="array" ref="BS191">_xlfn.LET(_xlpm.DepreciationMonths,INDEX(FixedAssets[Depreciation
/ Amortization Months],_xlfn.XMATCH($E$186,FixedAssets[Asset ID])),IF(AND((_xlfn.XMATCH(BS$8,$AH$8:$CC$8))-_xlfn.XMATCH($C191,$C$35:$C$82)+1&lt;=_xlpm.DepreciationMonths,$C191&lt;=BS$8),$E191/_xlpm.DepreciationMonths,0))</f>
        <v>0</v>
      </c>
      <c r="BT191" s="507" cm="1">
        <f t="array" ref="BT191">_xlfn.LET(_xlpm.DepreciationMonths,INDEX(FixedAssets[Depreciation
/ Amortization Months],_xlfn.XMATCH($E$186,FixedAssets[Asset ID])),IF(AND((_xlfn.XMATCH(BT$8,$AH$8:$CC$8))-_xlfn.XMATCH($C191,$C$35:$C$82)+1&lt;=_xlpm.DepreciationMonths,$C191&lt;=BT$8),$E191/_xlpm.DepreciationMonths,0))</f>
        <v>0</v>
      </c>
      <c r="BU191" s="507" cm="1">
        <f t="array" ref="BU191">_xlfn.LET(_xlpm.DepreciationMonths,INDEX(FixedAssets[Depreciation
/ Amortization Months],_xlfn.XMATCH($E$186,FixedAssets[Asset ID])),IF(AND((_xlfn.XMATCH(BU$8,$AH$8:$CC$8))-_xlfn.XMATCH($C191,$C$35:$C$82)+1&lt;=_xlpm.DepreciationMonths,$C191&lt;=BU$8),$E191/_xlpm.DepreciationMonths,0))</f>
        <v>0</v>
      </c>
      <c r="BV191" s="507" cm="1">
        <f t="array" ref="BV191">_xlfn.LET(_xlpm.DepreciationMonths,INDEX(FixedAssets[Depreciation
/ Amortization Months],_xlfn.XMATCH($E$186,FixedAssets[Asset ID])),IF(AND((_xlfn.XMATCH(BV$8,$AH$8:$CC$8))-_xlfn.XMATCH($C191,$C$35:$C$82)+1&lt;=_xlpm.DepreciationMonths,$C191&lt;=BV$8),$E191/_xlpm.DepreciationMonths,0))</f>
        <v>0</v>
      </c>
      <c r="BW191" s="507" cm="1">
        <f t="array" ref="BW191">_xlfn.LET(_xlpm.DepreciationMonths,INDEX(FixedAssets[Depreciation
/ Amortization Months],_xlfn.XMATCH($E$186,FixedAssets[Asset ID])),IF(AND((_xlfn.XMATCH(BW$8,$AH$8:$CC$8))-_xlfn.XMATCH($C191,$C$35:$C$82)+1&lt;=_xlpm.DepreciationMonths,$C191&lt;=BW$8),$E191/_xlpm.DepreciationMonths,0))</f>
        <v>0</v>
      </c>
      <c r="BX191" s="507" cm="1">
        <f t="array" ref="BX191">_xlfn.LET(_xlpm.DepreciationMonths,INDEX(FixedAssets[Depreciation
/ Amortization Months],_xlfn.XMATCH($E$186,FixedAssets[Asset ID])),IF(AND((_xlfn.XMATCH(BX$8,$AH$8:$CC$8))-_xlfn.XMATCH($C191,$C$35:$C$82)+1&lt;=_xlpm.DepreciationMonths,$C191&lt;=BX$8),$E191/_xlpm.DepreciationMonths,0))</f>
        <v>0</v>
      </c>
      <c r="BY191" s="507" cm="1">
        <f t="array" ref="BY191">_xlfn.LET(_xlpm.DepreciationMonths,INDEX(FixedAssets[Depreciation
/ Amortization Months],_xlfn.XMATCH($E$186,FixedAssets[Asset ID])),IF(AND((_xlfn.XMATCH(BY$8,$AH$8:$CC$8))-_xlfn.XMATCH($C191,$C$35:$C$82)+1&lt;=_xlpm.DepreciationMonths,$C191&lt;=BY$8),$E191/_xlpm.DepreciationMonths,0))</f>
        <v>0</v>
      </c>
      <c r="BZ191" s="507" cm="1">
        <f t="array" ref="BZ191">_xlfn.LET(_xlpm.DepreciationMonths,INDEX(FixedAssets[Depreciation
/ Amortization Months],_xlfn.XMATCH($E$186,FixedAssets[Asset ID])),IF(AND((_xlfn.XMATCH(BZ$8,$AH$8:$CC$8))-_xlfn.XMATCH($C191,$C$35:$C$82)+1&lt;=_xlpm.DepreciationMonths,$C191&lt;=BZ$8),$E191/_xlpm.DepreciationMonths,0))</f>
        <v>0</v>
      </c>
      <c r="CA191" s="507" cm="1">
        <f t="array" ref="CA191">_xlfn.LET(_xlpm.DepreciationMonths,INDEX(FixedAssets[Depreciation
/ Amortization Months],_xlfn.XMATCH($E$186,FixedAssets[Asset ID])),IF(AND((_xlfn.XMATCH(CA$8,$AH$8:$CC$8))-_xlfn.XMATCH($C191,$C$35:$C$82)+1&lt;=_xlpm.DepreciationMonths,$C191&lt;=CA$8),$E191/_xlpm.DepreciationMonths,0))</f>
        <v>0</v>
      </c>
      <c r="CB191" s="507" cm="1">
        <f t="array" ref="CB191">_xlfn.LET(_xlpm.DepreciationMonths,INDEX(FixedAssets[Depreciation
/ Amortization Months],_xlfn.XMATCH($E$186,FixedAssets[Asset ID])),IF(AND((_xlfn.XMATCH(CB$8,$AH$8:$CC$8))-_xlfn.XMATCH($C191,$C$35:$C$82)+1&lt;=_xlpm.DepreciationMonths,$C191&lt;=CB$8),$E191/_xlpm.DepreciationMonths,0))</f>
        <v>0</v>
      </c>
      <c r="CC191" s="507" cm="1">
        <f t="array" ref="CC191">_xlfn.LET(_xlpm.DepreciationMonths,INDEX(FixedAssets[Depreciation
/ Amortization Months],_xlfn.XMATCH($E$186,FixedAssets[Asset ID])),IF(AND((_xlfn.XMATCH(CC$8,$AH$8:$CC$8))-_xlfn.XMATCH($C191,$C$35:$C$82)+1&lt;=_xlpm.DepreciationMonths,$C191&lt;=CC$8),$E191/_xlpm.DepreciationMonths,0))</f>
        <v>0</v>
      </c>
    </row>
    <row r="192" spans="3:81" hidden="1" outlineLevel="2">
      <c r="C192" s="664">
        <f t="shared" si="256"/>
        <v>45077</v>
      </c>
      <c r="D192" s="508"/>
      <c r="E192" s="508" cm="1">
        <f t="array" ref="E192">SUMPRODUCT(($AH$26:$CC$31)*($AH$5:$CC$5=$C192)*($E$26:$E$31=E$186))-SUMPRODUCT(($AH$26:$CC$31)*($AH$5:$CC$5=EOMONTH($C192,-1))*($E$26:$E$31=E$186))</f>
        <v>0</v>
      </c>
      <c r="F192" s="508"/>
      <c r="G192" s="508"/>
      <c r="H192" s="508"/>
      <c r="I192" s="508"/>
      <c r="J192" s="504">
        <f t="shared" si="254"/>
        <v>0</v>
      </c>
      <c r="K192" s="504">
        <f t="shared" si="254"/>
        <v>0</v>
      </c>
      <c r="L192" s="504">
        <f t="shared" si="254"/>
        <v>0</v>
      </c>
      <c r="M192" s="504">
        <f t="shared" si="254"/>
        <v>0</v>
      </c>
      <c r="N192" s="504"/>
      <c r="O192" s="504"/>
      <c r="P192" s="504">
        <f t="shared" si="255"/>
        <v>0</v>
      </c>
      <c r="Q192" s="504">
        <f t="shared" si="255"/>
        <v>0</v>
      </c>
      <c r="R192" s="504">
        <f t="shared" si="255"/>
        <v>0</v>
      </c>
      <c r="S192" s="504">
        <f t="shared" si="255"/>
        <v>0</v>
      </c>
      <c r="T192" s="504">
        <f t="shared" si="255"/>
        <v>0</v>
      </c>
      <c r="U192" s="504">
        <f t="shared" si="255"/>
        <v>0</v>
      </c>
      <c r="V192" s="504">
        <f t="shared" si="255"/>
        <v>0</v>
      </c>
      <c r="W192" s="504">
        <f t="shared" si="255"/>
        <v>0</v>
      </c>
      <c r="X192" s="504">
        <f t="shared" si="255"/>
        <v>0</v>
      </c>
      <c r="Y192" s="504">
        <f t="shared" si="255"/>
        <v>0</v>
      </c>
      <c r="Z192" s="504">
        <f t="shared" si="255"/>
        <v>0</v>
      </c>
      <c r="AA192" s="504">
        <f t="shared" si="255"/>
        <v>0</v>
      </c>
      <c r="AB192" s="504">
        <f t="shared" si="255"/>
        <v>0</v>
      </c>
      <c r="AC192" s="504">
        <f t="shared" si="255"/>
        <v>0</v>
      </c>
      <c r="AD192" s="504">
        <f t="shared" si="255"/>
        <v>0</v>
      </c>
      <c r="AE192" s="504">
        <f t="shared" si="255"/>
        <v>0</v>
      </c>
      <c r="AF192" s="508"/>
      <c r="AG192" s="508"/>
      <c r="AH192" s="507" cm="1">
        <f t="array" ref="AH192">_xlfn.LET(_xlpm.DepreciationMonths,INDEX(FixedAssets[Depreciation
/ Amortization Months],_xlfn.XMATCH($E$186,FixedAssets[Asset ID])),IF(AND((_xlfn.XMATCH(AH$8,$AH$8:$CC$8))-_xlfn.XMATCH($C192,$C$35:$C$82)+1&lt;=_xlpm.DepreciationMonths,$C192&lt;=AH$8),$E192/_xlpm.DepreciationMonths,0))</f>
        <v>0</v>
      </c>
      <c r="AI192" s="507" cm="1">
        <f t="array" ref="AI192">_xlfn.LET(_xlpm.DepreciationMonths,INDEX(FixedAssets[Depreciation
/ Amortization Months],_xlfn.XMATCH($E$186,FixedAssets[Asset ID])),IF(AND((_xlfn.XMATCH(AI$8,$AH$8:$CC$8))-_xlfn.XMATCH($C192,$C$35:$C$82)+1&lt;=_xlpm.DepreciationMonths,$C192&lt;=AI$8),$E192/_xlpm.DepreciationMonths,0))</f>
        <v>0</v>
      </c>
      <c r="AJ192" s="507" cm="1">
        <f t="array" ref="AJ192">_xlfn.LET(_xlpm.DepreciationMonths,INDEX(FixedAssets[Depreciation
/ Amortization Months],_xlfn.XMATCH($E$186,FixedAssets[Asset ID])),IF(AND((_xlfn.XMATCH(AJ$8,$AH$8:$CC$8))-_xlfn.XMATCH($C192,$C$35:$C$82)+1&lt;=_xlpm.DepreciationMonths,$C192&lt;=AJ$8),$E192/_xlpm.DepreciationMonths,0))</f>
        <v>0</v>
      </c>
      <c r="AK192" s="507" cm="1">
        <f t="array" ref="AK192">_xlfn.LET(_xlpm.DepreciationMonths,INDEX(FixedAssets[Depreciation
/ Amortization Months],_xlfn.XMATCH($E$186,FixedAssets[Asset ID])),IF(AND((_xlfn.XMATCH(AK$8,$AH$8:$CC$8))-_xlfn.XMATCH($C192,$C$35:$C$82)+1&lt;=_xlpm.DepreciationMonths,$C192&lt;=AK$8),$E192/_xlpm.DepreciationMonths,0))</f>
        <v>0</v>
      </c>
      <c r="AL192" s="507" cm="1">
        <f t="array" ref="AL192">_xlfn.LET(_xlpm.DepreciationMonths,INDEX(FixedAssets[Depreciation
/ Amortization Months],_xlfn.XMATCH($E$186,FixedAssets[Asset ID])),IF(AND((_xlfn.XMATCH(AL$8,$AH$8:$CC$8))-_xlfn.XMATCH($C192,$C$35:$C$82)+1&lt;=_xlpm.DepreciationMonths,$C192&lt;=AL$8),$E192/_xlpm.DepreciationMonths,0))</f>
        <v>0</v>
      </c>
      <c r="AM192" s="507" cm="1">
        <f t="array" ref="AM192">_xlfn.LET(_xlpm.DepreciationMonths,INDEX(FixedAssets[Depreciation
/ Amortization Months],_xlfn.XMATCH($E$186,FixedAssets[Asset ID])),IF(AND((_xlfn.XMATCH(AM$8,$AH$8:$CC$8))-_xlfn.XMATCH($C192,$C$35:$C$82)+1&lt;=_xlpm.DepreciationMonths,$C192&lt;=AM$8),$E192/_xlpm.DepreciationMonths,0))</f>
        <v>0</v>
      </c>
      <c r="AN192" s="507" cm="1">
        <f t="array" ref="AN192">_xlfn.LET(_xlpm.DepreciationMonths,INDEX(FixedAssets[Depreciation
/ Amortization Months],_xlfn.XMATCH($E$186,FixedAssets[Asset ID])),IF(AND((_xlfn.XMATCH(AN$8,$AH$8:$CC$8))-_xlfn.XMATCH($C192,$C$35:$C$82)+1&lt;=_xlpm.DepreciationMonths,$C192&lt;=AN$8),$E192/_xlpm.DepreciationMonths,0))</f>
        <v>0</v>
      </c>
      <c r="AO192" s="507" cm="1">
        <f t="array" ref="AO192">_xlfn.LET(_xlpm.DepreciationMonths,INDEX(FixedAssets[Depreciation
/ Amortization Months],_xlfn.XMATCH($E$186,FixedAssets[Asset ID])),IF(AND((_xlfn.XMATCH(AO$8,$AH$8:$CC$8))-_xlfn.XMATCH($C192,$C$35:$C$82)+1&lt;=_xlpm.DepreciationMonths,$C192&lt;=AO$8),$E192/_xlpm.DepreciationMonths,0))</f>
        <v>0</v>
      </c>
      <c r="AP192" s="507" cm="1">
        <f t="array" ref="AP192">_xlfn.LET(_xlpm.DepreciationMonths,INDEX(FixedAssets[Depreciation
/ Amortization Months],_xlfn.XMATCH($E$186,FixedAssets[Asset ID])),IF(AND((_xlfn.XMATCH(AP$8,$AH$8:$CC$8))-_xlfn.XMATCH($C192,$C$35:$C$82)+1&lt;=_xlpm.DepreciationMonths,$C192&lt;=AP$8),$E192/_xlpm.DepreciationMonths,0))</f>
        <v>0</v>
      </c>
      <c r="AQ192" s="507" cm="1">
        <f t="array" ref="AQ192">_xlfn.LET(_xlpm.DepreciationMonths,INDEX(FixedAssets[Depreciation
/ Amortization Months],_xlfn.XMATCH($E$186,FixedAssets[Asset ID])),IF(AND((_xlfn.XMATCH(AQ$8,$AH$8:$CC$8))-_xlfn.XMATCH($C192,$C$35:$C$82)+1&lt;=_xlpm.DepreciationMonths,$C192&lt;=AQ$8),$E192/_xlpm.DepreciationMonths,0))</f>
        <v>0</v>
      </c>
      <c r="AR192" s="507" cm="1">
        <f t="array" ref="AR192">_xlfn.LET(_xlpm.DepreciationMonths,INDEX(FixedAssets[Depreciation
/ Amortization Months],_xlfn.XMATCH($E$186,FixedAssets[Asset ID])),IF(AND((_xlfn.XMATCH(AR$8,$AH$8:$CC$8))-_xlfn.XMATCH($C192,$C$35:$C$82)+1&lt;=_xlpm.DepreciationMonths,$C192&lt;=AR$8),$E192/_xlpm.DepreciationMonths,0))</f>
        <v>0</v>
      </c>
      <c r="AS192" s="507" cm="1">
        <f t="array" ref="AS192">_xlfn.LET(_xlpm.DepreciationMonths,INDEX(FixedAssets[Depreciation
/ Amortization Months],_xlfn.XMATCH($E$186,FixedAssets[Asset ID])),IF(AND((_xlfn.XMATCH(AS$8,$AH$8:$CC$8))-_xlfn.XMATCH($C192,$C$35:$C$82)+1&lt;=_xlpm.DepreciationMonths,$C192&lt;=AS$8),$E192/_xlpm.DepreciationMonths,0))</f>
        <v>0</v>
      </c>
      <c r="AT192" s="507" cm="1">
        <f t="array" ref="AT192">_xlfn.LET(_xlpm.DepreciationMonths,INDEX(FixedAssets[Depreciation
/ Amortization Months],_xlfn.XMATCH($E$186,FixedAssets[Asset ID])),IF(AND((_xlfn.XMATCH(AT$8,$AH$8:$CC$8))-_xlfn.XMATCH($C192,$C$35:$C$82)+1&lt;=_xlpm.DepreciationMonths,$C192&lt;=AT$8),$E192/_xlpm.DepreciationMonths,0))</f>
        <v>0</v>
      </c>
      <c r="AU192" s="507" cm="1">
        <f t="array" ref="AU192">_xlfn.LET(_xlpm.DepreciationMonths,INDEX(FixedAssets[Depreciation
/ Amortization Months],_xlfn.XMATCH($E$186,FixedAssets[Asset ID])),IF(AND((_xlfn.XMATCH(AU$8,$AH$8:$CC$8))-_xlfn.XMATCH($C192,$C$35:$C$82)+1&lt;=_xlpm.DepreciationMonths,$C192&lt;=AU$8),$E192/_xlpm.DepreciationMonths,0))</f>
        <v>0</v>
      </c>
      <c r="AV192" s="507" cm="1">
        <f t="array" ref="AV192">_xlfn.LET(_xlpm.DepreciationMonths,INDEX(FixedAssets[Depreciation
/ Amortization Months],_xlfn.XMATCH($E$186,FixedAssets[Asset ID])),IF(AND((_xlfn.XMATCH(AV$8,$AH$8:$CC$8))-_xlfn.XMATCH($C192,$C$35:$C$82)+1&lt;=_xlpm.DepreciationMonths,$C192&lt;=AV$8),$E192/_xlpm.DepreciationMonths,0))</f>
        <v>0</v>
      </c>
      <c r="AW192" s="507" cm="1">
        <f t="array" ref="AW192">_xlfn.LET(_xlpm.DepreciationMonths,INDEX(FixedAssets[Depreciation
/ Amortization Months],_xlfn.XMATCH($E$186,FixedAssets[Asset ID])),IF(AND((_xlfn.XMATCH(AW$8,$AH$8:$CC$8))-_xlfn.XMATCH($C192,$C$35:$C$82)+1&lt;=_xlpm.DepreciationMonths,$C192&lt;=AW$8),$E192/_xlpm.DepreciationMonths,0))</f>
        <v>0</v>
      </c>
      <c r="AX192" s="507" cm="1">
        <f t="array" ref="AX192">_xlfn.LET(_xlpm.DepreciationMonths,INDEX(FixedAssets[Depreciation
/ Amortization Months],_xlfn.XMATCH($E$186,FixedAssets[Asset ID])),IF(AND((_xlfn.XMATCH(AX$8,$AH$8:$CC$8))-_xlfn.XMATCH($C192,$C$35:$C$82)+1&lt;=_xlpm.DepreciationMonths,$C192&lt;=AX$8),$E192/_xlpm.DepreciationMonths,0))</f>
        <v>0</v>
      </c>
      <c r="AY192" s="507" cm="1">
        <f t="array" ref="AY192">_xlfn.LET(_xlpm.DepreciationMonths,INDEX(FixedAssets[Depreciation
/ Amortization Months],_xlfn.XMATCH($E$186,FixedAssets[Asset ID])),IF(AND((_xlfn.XMATCH(AY$8,$AH$8:$CC$8))-_xlfn.XMATCH($C192,$C$35:$C$82)+1&lt;=_xlpm.DepreciationMonths,$C192&lt;=AY$8),$E192/_xlpm.DepreciationMonths,0))</f>
        <v>0</v>
      </c>
      <c r="AZ192" s="507" cm="1">
        <f t="array" ref="AZ192">_xlfn.LET(_xlpm.DepreciationMonths,INDEX(FixedAssets[Depreciation
/ Amortization Months],_xlfn.XMATCH($E$186,FixedAssets[Asset ID])),IF(AND((_xlfn.XMATCH(AZ$8,$AH$8:$CC$8))-_xlfn.XMATCH($C192,$C$35:$C$82)+1&lt;=_xlpm.DepreciationMonths,$C192&lt;=AZ$8),$E192/_xlpm.DepreciationMonths,0))</f>
        <v>0</v>
      </c>
      <c r="BA192" s="507" cm="1">
        <f t="array" ref="BA192">_xlfn.LET(_xlpm.DepreciationMonths,INDEX(FixedAssets[Depreciation
/ Amortization Months],_xlfn.XMATCH($E$186,FixedAssets[Asset ID])),IF(AND((_xlfn.XMATCH(BA$8,$AH$8:$CC$8))-_xlfn.XMATCH($C192,$C$35:$C$82)+1&lt;=_xlpm.DepreciationMonths,$C192&lt;=BA$8),$E192/_xlpm.DepreciationMonths,0))</f>
        <v>0</v>
      </c>
      <c r="BB192" s="507" cm="1">
        <f t="array" ref="BB192">_xlfn.LET(_xlpm.DepreciationMonths,INDEX(FixedAssets[Depreciation
/ Amortization Months],_xlfn.XMATCH($E$186,FixedAssets[Asset ID])),IF(AND((_xlfn.XMATCH(BB$8,$AH$8:$CC$8))-_xlfn.XMATCH($C192,$C$35:$C$82)+1&lt;=_xlpm.DepreciationMonths,$C192&lt;=BB$8),$E192/_xlpm.DepreciationMonths,0))</f>
        <v>0</v>
      </c>
      <c r="BC192" s="507" cm="1">
        <f t="array" ref="BC192">_xlfn.LET(_xlpm.DepreciationMonths,INDEX(FixedAssets[Depreciation
/ Amortization Months],_xlfn.XMATCH($E$186,FixedAssets[Asset ID])),IF(AND((_xlfn.XMATCH(BC$8,$AH$8:$CC$8))-_xlfn.XMATCH($C192,$C$35:$C$82)+1&lt;=_xlpm.DepreciationMonths,$C192&lt;=BC$8),$E192/_xlpm.DepreciationMonths,0))</f>
        <v>0</v>
      </c>
      <c r="BD192" s="507" cm="1">
        <f t="array" ref="BD192">_xlfn.LET(_xlpm.DepreciationMonths,INDEX(FixedAssets[Depreciation
/ Amortization Months],_xlfn.XMATCH($E$186,FixedAssets[Asset ID])),IF(AND((_xlfn.XMATCH(BD$8,$AH$8:$CC$8))-_xlfn.XMATCH($C192,$C$35:$C$82)+1&lt;=_xlpm.DepreciationMonths,$C192&lt;=BD$8),$E192/_xlpm.DepreciationMonths,0))</f>
        <v>0</v>
      </c>
      <c r="BE192" s="507" cm="1">
        <f t="array" ref="BE192">_xlfn.LET(_xlpm.DepreciationMonths,INDEX(FixedAssets[Depreciation
/ Amortization Months],_xlfn.XMATCH($E$186,FixedAssets[Asset ID])),IF(AND((_xlfn.XMATCH(BE$8,$AH$8:$CC$8))-_xlfn.XMATCH($C192,$C$35:$C$82)+1&lt;=_xlpm.DepreciationMonths,$C192&lt;=BE$8),$E192/_xlpm.DepreciationMonths,0))</f>
        <v>0</v>
      </c>
      <c r="BF192" s="507" cm="1">
        <f t="array" ref="BF192">_xlfn.LET(_xlpm.DepreciationMonths,INDEX(FixedAssets[Depreciation
/ Amortization Months],_xlfn.XMATCH($E$186,FixedAssets[Asset ID])),IF(AND((_xlfn.XMATCH(BF$8,$AH$8:$CC$8))-_xlfn.XMATCH($C192,$C$35:$C$82)+1&lt;=_xlpm.DepreciationMonths,$C192&lt;=BF$8),$E192/_xlpm.DepreciationMonths,0))</f>
        <v>0</v>
      </c>
      <c r="BG192" s="507" cm="1">
        <f t="array" ref="BG192">_xlfn.LET(_xlpm.DepreciationMonths,INDEX(FixedAssets[Depreciation
/ Amortization Months],_xlfn.XMATCH($E$186,FixedAssets[Asset ID])),IF(AND((_xlfn.XMATCH(BG$8,$AH$8:$CC$8))-_xlfn.XMATCH($C192,$C$35:$C$82)+1&lt;=_xlpm.DepreciationMonths,$C192&lt;=BG$8),$E192/_xlpm.DepreciationMonths,0))</f>
        <v>0</v>
      </c>
      <c r="BH192" s="507" cm="1">
        <f t="array" ref="BH192">_xlfn.LET(_xlpm.DepreciationMonths,INDEX(FixedAssets[Depreciation
/ Amortization Months],_xlfn.XMATCH($E$186,FixedAssets[Asset ID])),IF(AND((_xlfn.XMATCH(BH$8,$AH$8:$CC$8))-_xlfn.XMATCH($C192,$C$35:$C$82)+1&lt;=_xlpm.DepreciationMonths,$C192&lt;=BH$8),$E192/_xlpm.DepreciationMonths,0))</f>
        <v>0</v>
      </c>
      <c r="BI192" s="507" cm="1">
        <f t="array" ref="BI192">_xlfn.LET(_xlpm.DepreciationMonths,INDEX(FixedAssets[Depreciation
/ Amortization Months],_xlfn.XMATCH($E$186,FixedAssets[Asset ID])),IF(AND((_xlfn.XMATCH(BI$8,$AH$8:$CC$8))-_xlfn.XMATCH($C192,$C$35:$C$82)+1&lt;=_xlpm.DepreciationMonths,$C192&lt;=BI$8),$E192/_xlpm.DepreciationMonths,0))</f>
        <v>0</v>
      </c>
      <c r="BJ192" s="507" cm="1">
        <f t="array" ref="BJ192">_xlfn.LET(_xlpm.DepreciationMonths,INDEX(FixedAssets[Depreciation
/ Amortization Months],_xlfn.XMATCH($E$186,FixedAssets[Asset ID])),IF(AND((_xlfn.XMATCH(BJ$8,$AH$8:$CC$8))-_xlfn.XMATCH($C192,$C$35:$C$82)+1&lt;=_xlpm.DepreciationMonths,$C192&lt;=BJ$8),$E192/_xlpm.DepreciationMonths,0))</f>
        <v>0</v>
      </c>
      <c r="BK192" s="507" cm="1">
        <f t="array" ref="BK192">_xlfn.LET(_xlpm.DepreciationMonths,INDEX(FixedAssets[Depreciation
/ Amortization Months],_xlfn.XMATCH($E$186,FixedAssets[Asset ID])),IF(AND((_xlfn.XMATCH(BK$8,$AH$8:$CC$8))-_xlfn.XMATCH($C192,$C$35:$C$82)+1&lt;=_xlpm.DepreciationMonths,$C192&lt;=BK$8),$E192/_xlpm.DepreciationMonths,0))</f>
        <v>0</v>
      </c>
      <c r="BL192" s="507" cm="1">
        <f t="array" ref="BL192">_xlfn.LET(_xlpm.DepreciationMonths,INDEX(FixedAssets[Depreciation
/ Amortization Months],_xlfn.XMATCH($E$186,FixedAssets[Asset ID])),IF(AND((_xlfn.XMATCH(BL$8,$AH$8:$CC$8))-_xlfn.XMATCH($C192,$C$35:$C$82)+1&lt;=_xlpm.DepreciationMonths,$C192&lt;=BL$8),$E192/_xlpm.DepreciationMonths,0))</f>
        <v>0</v>
      </c>
      <c r="BM192" s="507" cm="1">
        <f t="array" ref="BM192">_xlfn.LET(_xlpm.DepreciationMonths,INDEX(FixedAssets[Depreciation
/ Amortization Months],_xlfn.XMATCH($E$186,FixedAssets[Asset ID])),IF(AND((_xlfn.XMATCH(BM$8,$AH$8:$CC$8))-_xlfn.XMATCH($C192,$C$35:$C$82)+1&lt;=_xlpm.DepreciationMonths,$C192&lt;=BM$8),$E192/_xlpm.DepreciationMonths,0))</f>
        <v>0</v>
      </c>
      <c r="BN192" s="507" cm="1">
        <f t="array" ref="BN192">_xlfn.LET(_xlpm.DepreciationMonths,INDEX(FixedAssets[Depreciation
/ Amortization Months],_xlfn.XMATCH($E$186,FixedAssets[Asset ID])),IF(AND((_xlfn.XMATCH(BN$8,$AH$8:$CC$8))-_xlfn.XMATCH($C192,$C$35:$C$82)+1&lt;=_xlpm.DepreciationMonths,$C192&lt;=BN$8),$E192/_xlpm.DepreciationMonths,0))</f>
        <v>0</v>
      </c>
      <c r="BO192" s="507" cm="1">
        <f t="array" ref="BO192">_xlfn.LET(_xlpm.DepreciationMonths,INDEX(FixedAssets[Depreciation
/ Amortization Months],_xlfn.XMATCH($E$186,FixedAssets[Asset ID])),IF(AND((_xlfn.XMATCH(BO$8,$AH$8:$CC$8))-_xlfn.XMATCH($C192,$C$35:$C$82)+1&lt;=_xlpm.DepreciationMonths,$C192&lt;=BO$8),$E192/_xlpm.DepreciationMonths,0))</f>
        <v>0</v>
      </c>
      <c r="BP192" s="507" cm="1">
        <f t="array" ref="BP192">_xlfn.LET(_xlpm.DepreciationMonths,INDEX(FixedAssets[Depreciation
/ Amortization Months],_xlfn.XMATCH($E$186,FixedAssets[Asset ID])),IF(AND((_xlfn.XMATCH(BP$8,$AH$8:$CC$8))-_xlfn.XMATCH($C192,$C$35:$C$82)+1&lt;=_xlpm.DepreciationMonths,$C192&lt;=BP$8),$E192/_xlpm.DepreciationMonths,0))</f>
        <v>0</v>
      </c>
      <c r="BQ192" s="507" cm="1">
        <f t="array" ref="BQ192">_xlfn.LET(_xlpm.DepreciationMonths,INDEX(FixedAssets[Depreciation
/ Amortization Months],_xlfn.XMATCH($E$186,FixedAssets[Asset ID])),IF(AND((_xlfn.XMATCH(BQ$8,$AH$8:$CC$8))-_xlfn.XMATCH($C192,$C$35:$C$82)+1&lt;=_xlpm.DepreciationMonths,$C192&lt;=BQ$8),$E192/_xlpm.DepreciationMonths,0))</f>
        <v>0</v>
      </c>
      <c r="BR192" s="507" cm="1">
        <f t="array" ref="BR192">_xlfn.LET(_xlpm.DepreciationMonths,INDEX(FixedAssets[Depreciation
/ Amortization Months],_xlfn.XMATCH($E$186,FixedAssets[Asset ID])),IF(AND((_xlfn.XMATCH(BR$8,$AH$8:$CC$8))-_xlfn.XMATCH($C192,$C$35:$C$82)+1&lt;=_xlpm.DepreciationMonths,$C192&lt;=BR$8),$E192/_xlpm.DepreciationMonths,0))</f>
        <v>0</v>
      </c>
      <c r="BS192" s="507" cm="1">
        <f t="array" ref="BS192">_xlfn.LET(_xlpm.DepreciationMonths,INDEX(FixedAssets[Depreciation
/ Amortization Months],_xlfn.XMATCH($E$186,FixedAssets[Asset ID])),IF(AND((_xlfn.XMATCH(BS$8,$AH$8:$CC$8))-_xlfn.XMATCH($C192,$C$35:$C$82)+1&lt;=_xlpm.DepreciationMonths,$C192&lt;=BS$8),$E192/_xlpm.DepreciationMonths,0))</f>
        <v>0</v>
      </c>
      <c r="BT192" s="507" cm="1">
        <f t="array" ref="BT192">_xlfn.LET(_xlpm.DepreciationMonths,INDEX(FixedAssets[Depreciation
/ Amortization Months],_xlfn.XMATCH($E$186,FixedAssets[Asset ID])),IF(AND((_xlfn.XMATCH(BT$8,$AH$8:$CC$8))-_xlfn.XMATCH($C192,$C$35:$C$82)+1&lt;=_xlpm.DepreciationMonths,$C192&lt;=BT$8),$E192/_xlpm.DepreciationMonths,0))</f>
        <v>0</v>
      </c>
      <c r="BU192" s="507" cm="1">
        <f t="array" ref="BU192">_xlfn.LET(_xlpm.DepreciationMonths,INDEX(FixedAssets[Depreciation
/ Amortization Months],_xlfn.XMATCH($E$186,FixedAssets[Asset ID])),IF(AND((_xlfn.XMATCH(BU$8,$AH$8:$CC$8))-_xlfn.XMATCH($C192,$C$35:$C$82)+1&lt;=_xlpm.DepreciationMonths,$C192&lt;=BU$8),$E192/_xlpm.DepreciationMonths,0))</f>
        <v>0</v>
      </c>
      <c r="BV192" s="507" cm="1">
        <f t="array" ref="BV192">_xlfn.LET(_xlpm.DepreciationMonths,INDEX(FixedAssets[Depreciation
/ Amortization Months],_xlfn.XMATCH($E$186,FixedAssets[Asset ID])),IF(AND((_xlfn.XMATCH(BV$8,$AH$8:$CC$8))-_xlfn.XMATCH($C192,$C$35:$C$82)+1&lt;=_xlpm.DepreciationMonths,$C192&lt;=BV$8),$E192/_xlpm.DepreciationMonths,0))</f>
        <v>0</v>
      </c>
      <c r="BW192" s="507" cm="1">
        <f t="array" ref="BW192">_xlfn.LET(_xlpm.DepreciationMonths,INDEX(FixedAssets[Depreciation
/ Amortization Months],_xlfn.XMATCH($E$186,FixedAssets[Asset ID])),IF(AND((_xlfn.XMATCH(BW$8,$AH$8:$CC$8))-_xlfn.XMATCH($C192,$C$35:$C$82)+1&lt;=_xlpm.DepreciationMonths,$C192&lt;=BW$8),$E192/_xlpm.DepreciationMonths,0))</f>
        <v>0</v>
      </c>
      <c r="BX192" s="507" cm="1">
        <f t="array" ref="BX192">_xlfn.LET(_xlpm.DepreciationMonths,INDEX(FixedAssets[Depreciation
/ Amortization Months],_xlfn.XMATCH($E$186,FixedAssets[Asset ID])),IF(AND((_xlfn.XMATCH(BX$8,$AH$8:$CC$8))-_xlfn.XMATCH($C192,$C$35:$C$82)+1&lt;=_xlpm.DepreciationMonths,$C192&lt;=BX$8),$E192/_xlpm.DepreciationMonths,0))</f>
        <v>0</v>
      </c>
      <c r="BY192" s="507" cm="1">
        <f t="array" ref="BY192">_xlfn.LET(_xlpm.DepreciationMonths,INDEX(FixedAssets[Depreciation
/ Amortization Months],_xlfn.XMATCH($E$186,FixedAssets[Asset ID])),IF(AND((_xlfn.XMATCH(BY$8,$AH$8:$CC$8))-_xlfn.XMATCH($C192,$C$35:$C$82)+1&lt;=_xlpm.DepreciationMonths,$C192&lt;=BY$8),$E192/_xlpm.DepreciationMonths,0))</f>
        <v>0</v>
      </c>
      <c r="BZ192" s="507" cm="1">
        <f t="array" ref="BZ192">_xlfn.LET(_xlpm.DepreciationMonths,INDEX(FixedAssets[Depreciation
/ Amortization Months],_xlfn.XMATCH($E$186,FixedAssets[Asset ID])),IF(AND((_xlfn.XMATCH(BZ$8,$AH$8:$CC$8))-_xlfn.XMATCH($C192,$C$35:$C$82)+1&lt;=_xlpm.DepreciationMonths,$C192&lt;=BZ$8),$E192/_xlpm.DepreciationMonths,0))</f>
        <v>0</v>
      </c>
      <c r="CA192" s="507" cm="1">
        <f t="array" ref="CA192">_xlfn.LET(_xlpm.DepreciationMonths,INDEX(FixedAssets[Depreciation
/ Amortization Months],_xlfn.XMATCH($E$186,FixedAssets[Asset ID])),IF(AND((_xlfn.XMATCH(CA$8,$AH$8:$CC$8))-_xlfn.XMATCH($C192,$C$35:$C$82)+1&lt;=_xlpm.DepreciationMonths,$C192&lt;=CA$8),$E192/_xlpm.DepreciationMonths,0))</f>
        <v>0</v>
      </c>
      <c r="CB192" s="507" cm="1">
        <f t="array" ref="CB192">_xlfn.LET(_xlpm.DepreciationMonths,INDEX(FixedAssets[Depreciation
/ Amortization Months],_xlfn.XMATCH($E$186,FixedAssets[Asset ID])),IF(AND((_xlfn.XMATCH(CB$8,$AH$8:$CC$8))-_xlfn.XMATCH($C192,$C$35:$C$82)+1&lt;=_xlpm.DepreciationMonths,$C192&lt;=CB$8),$E192/_xlpm.DepreciationMonths,0))</f>
        <v>0</v>
      </c>
      <c r="CC192" s="507" cm="1">
        <f t="array" ref="CC192">_xlfn.LET(_xlpm.DepreciationMonths,INDEX(FixedAssets[Depreciation
/ Amortization Months],_xlfn.XMATCH($E$186,FixedAssets[Asset ID])),IF(AND((_xlfn.XMATCH(CC$8,$AH$8:$CC$8))-_xlfn.XMATCH($C192,$C$35:$C$82)+1&lt;=_xlpm.DepreciationMonths,$C192&lt;=CC$8),$E192/_xlpm.DepreciationMonths,0))</f>
        <v>0</v>
      </c>
    </row>
    <row r="193" spans="3:81" hidden="1" outlineLevel="2">
      <c r="C193" s="664">
        <f t="shared" si="256"/>
        <v>45107</v>
      </c>
      <c r="D193" s="508"/>
      <c r="E193" s="508" cm="1">
        <f t="array" ref="E193">SUMPRODUCT(($AH$26:$CC$31)*($AH$5:$CC$5=$C193)*($E$26:$E$31=E$186))-SUMPRODUCT(($AH$26:$CC$31)*($AH$5:$CC$5=EOMONTH($C193,-1))*($E$26:$E$31=E$186))</f>
        <v>0</v>
      </c>
      <c r="F193" s="508"/>
      <c r="G193" s="508"/>
      <c r="H193" s="508"/>
      <c r="I193" s="508"/>
      <c r="J193" s="504">
        <f t="shared" si="254"/>
        <v>0</v>
      </c>
      <c r="K193" s="504">
        <f t="shared" si="254"/>
        <v>0</v>
      </c>
      <c r="L193" s="504">
        <f t="shared" si="254"/>
        <v>0</v>
      </c>
      <c r="M193" s="504">
        <f t="shared" si="254"/>
        <v>0</v>
      </c>
      <c r="N193" s="504"/>
      <c r="O193" s="504"/>
      <c r="P193" s="504">
        <f t="shared" si="255"/>
        <v>0</v>
      </c>
      <c r="Q193" s="504">
        <f t="shared" si="255"/>
        <v>0</v>
      </c>
      <c r="R193" s="504">
        <f t="shared" si="255"/>
        <v>0</v>
      </c>
      <c r="S193" s="504">
        <f t="shared" si="255"/>
        <v>0</v>
      </c>
      <c r="T193" s="504">
        <f t="shared" si="255"/>
        <v>0</v>
      </c>
      <c r="U193" s="504">
        <f t="shared" si="255"/>
        <v>0</v>
      </c>
      <c r="V193" s="504">
        <f t="shared" si="255"/>
        <v>0</v>
      </c>
      <c r="W193" s="504">
        <f t="shared" si="255"/>
        <v>0</v>
      </c>
      <c r="X193" s="504">
        <f t="shared" si="255"/>
        <v>0</v>
      </c>
      <c r="Y193" s="504">
        <f t="shared" si="255"/>
        <v>0</v>
      </c>
      <c r="Z193" s="504">
        <f t="shared" si="255"/>
        <v>0</v>
      </c>
      <c r="AA193" s="504">
        <f t="shared" si="255"/>
        <v>0</v>
      </c>
      <c r="AB193" s="504">
        <f t="shared" si="255"/>
        <v>0</v>
      </c>
      <c r="AC193" s="504">
        <f t="shared" si="255"/>
        <v>0</v>
      </c>
      <c r="AD193" s="504">
        <f t="shared" si="255"/>
        <v>0</v>
      </c>
      <c r="AE193" s="504">
        <f t="shared" si="255"/>
        <v>0</v>
      </c>
      <c r="AF193" s="508"/>
      <c r="AG193" s="508"/>
      <c r="AH193" s="507" cm="1">
        <f t="array" ref="AH193">_xlfn.LET(_xlpm.DepreciationMonths,INDEX(FixedAssets[Depreciation
/ Amortization Months],_xlfn.XMATCH($E$186,FixedAssets[Asset ID])),IF(AND((_xlfn.XMATCH(AH$8,$AH$8:$CC$8))-_xlfn.XMATCH($C193,$C$35:$C$82)+1&lt;=_xlpm.DepreciationMonths,$C193&lt;=AH$8),$E193/_xlpm.DepreciationMonths,0))</f>
        <v>0</v>
      </c>
      <c r="AI193" s="507" cm="1">
        <f t="array" ref="AI193">_xlfn.LET(_xlpm.DepreciationMonths,INDEX(FixedAssets[Depreciation
/ Amortization Months],_xlfn.XMATCH($E$186,FixedAssets[Asset ID])),IF(AND((_xlfn.XMATCH(AI$8,$AH$8:$CC$8))-_xlfn.XMATCH($C193,$C$35:$C$82)+1&lt;=_xlpm.DepreciationMonths,$C193&lt;=AI$8),$E193/_xlpm.DepreciationMonths,0))</f>
        <v>0</v>
      </c>
      <c r="AJ193" s="507" cm="1">
        <f t="array" ref="AJ193">_xlfn.LET(_xlpm.DepreciationMonths,INDEX(FixedAssets[Depreciation
/ Amortization Months],_xlfn.XMATCH($E$186,FixedAssets[Asset ID])),IF(AND((_xlfn.XMATCH(AJ$8,$AH$8:$CC$8))-_xlfn.XMATCH($C193,$C$35:$C$82)+1&lt;=_xlpm.DepreciationMonths,$C193&lt;=AJ$8),$E193/_xlpm.DepreciationMonths,0))</f>
        <v>0</v>
      </c>
      <c r="AK193" s="507" cm="1">
        <f t="array" ref="AK193">_xlfn.LET(_xlpm.DepreciationMonths,INDEX(FixedAssets[Depreciation
/ Amortization Months],_xlfn.XMATCH($E$186,FixedAssets[Asset ID])),IF(AND((_xlfn.XMATCH(AK$8,$AH$8:$CC$8))-_xlfn.XMATCH($C193,$C$35:$C$82)+1&lt;=_xlpm.DepreciationMonths,$C193&lt;=AK$8),$E193/_xlpm.DepreciationMonths,0))</f>
        <v>0</v>
      </c>
      <c r="AL193" s="507" cm="1">
        <f t="array" ref="AL193">_xlfn.LET(_xlpm.DepreciationMonths,INDEX(FixedAssets[Depreciation
/ Amortization Months],_xlfn.XMATCH($E$186,FixedAssets[Asset ID])),IF(AND((_xlfn.XMATCH(AL$8,$AH$8:$CC$8))-_xlfn.XMATCH($C193,$C$35:$C$82)+1&lt;=_xlpm.DepreciationMonths,$C193&lt;=AL$8),$E193/_xlpm.DepreciationMonths,0))</f>
        <v>0</v>
      </c>
      <c r="AM193" s="507" cm="1">
        <f t="array" ref="AM193">_xlfn.LET(_xlpm.DepreciationMonths,INDEX(FixedAssets[Depreciation
/ Amortization Months],_xlfn.XMATCH($E$186,FixedAssets[Asset ID])),IF(AND((_xlfn.XMATCH(AM$8,$AH$8:$CC$8))-_xlfn.XMATCH($C193,$C$35:$C$82)+1&lt;=_xlpm.DepreciationMonths,$C193&lt;=AM$8),$E193/_xlpm.DepreciationMonths,0))</f>
        <v>0</v>
      </c>
      <c r="AN193" s="507" cm="1">
        <f t="array" ref="AN193">_xlfn.LET(_xlpm.DepreciationMonths,INDEX(FixedAssets[Depreciation
/ Amortization Months],_xlfn.XMATCH($E$186,FixedAssets[Asset ID])),IF(AND((_xlfn.XMATCH(AN$8,$AH$8:$CC$8))-_xlfn.XMATCH($C193,$C$35:$C$82)+1&lt;=_xlpm.DepreciationMonths,$C193&lt;=AN$8),$E193/_xlpm.DepreciationMonths,0))</f>
        <v>0</v>
      </c>
      <c r="AO193" s="507" cm="1">
        <f t="array" ref="AO193">_xlfn.LET(_xlpm.DepreciationMonths,INDEX(FixedAssets[Depreciation
/ Amortization Months],_xlfn.XMATCH($E$186,FixedAssets[Asset ID])),IF(AND((_xlfn.XMATCH(AO$8,$AH$8:$CC$8))-_xlfn.XMATCH($C193,$C$35:$C$82)+1&lt;=_xlpm.DepreciationMonths,$C193&lt;=AO$8),$E193/_xlpm.DepreciationMonths,0))</f>
        <v>0</v>
      </c>
      <c r="AP193" s="507" cm="1">
        <f t="array" ref="AP193">_xlfn.LET(_xlpm.DepreciationMonths,INDEX(FixedAssets[Depreciation
/ Amortization Months],_xlfn.XMATCH($E$186,FixedAssets[Asset ID])),IF(AND((_xlfn.XMATCH(AP$8,$AH$8:$CC$8))-_xlfn.XMATCH($C193,$C$35:$C$82)+1&lt;=_xlpm.DepreciationMonths,$C193&lt;=AP$8),$E193/_xlpm.DepreciationMonths,0))</f>
        <v>0</v>
      </c>
      <c r="AQ193" s="507" cm="1">
        <f t="array" ref="AQ193">_xlfn.LET(_xlpm.DepreciationMonths,INDEX(FixedAssets[Depreciation
/ Amortization Months],_xlfn.XMATCH($E$186,FixedAssets[Asset ID])),IF(AND((_xlfn.XMATCH(AQ$8,$AH$8:$CC$8))-_xlfn.XMATCH($C193,$C$35:$C$82)+1&lt;=_xlpm.DepreciationMonths,$C193&lt;=AQ$8),$E193/_xlpm.DepreciationMonths,0))</f>
        <v>0</v>
      </c>
      <c r="AR193" s="507" cm="1">
        <f t="array" ref="AR193">_xlfn.LET(_xlpm.DepreciationMonths,INDEX(FixedAssets[Depreciation
/ Amortization Months],_xlfn.XMATCH($E$186,FixedAssets[Asset ID])),IF(AND((_xlfn.XMATCH(AR$8,$AH$8:$CC$8))-_xlfn.XMATCH($C193,$C$35:$C$82)+1&lt;=_xlpm.DepreciationMonths,$C193&lt;=AR$8),$E193/_xlpm.DepreciationMonths,0))</f>
        <v>0</v>
      </c>
      <c r="AS193" s="507" cm="1">
        <f t="array" ref="AS193">_xlfn.LET(_xlpm.DepreciationMonths,INDEX(FixedAssets[Depreciation
/ Amortization Months],_xlfn.XMATCH($E$186,FixedAssets[Asset ID])),IF(AND((_xlfn.XMATCH(AS$8,$AH$8:$CC$8))-_xlfn.XMATCH($C193,$C$35:$C$82)+1&lt;=_xlpm.DepreciationMonths,$C193&lt;=AS$8),$E193/_xlpm.DepreciationMonths,0))</f>
        <v>0</v>
      </c>
      <c r="AT193" s="507" cm="1">
        <f t="array" ref="AT193">_xlfn.LET(_xlpm.DepreciationMonths,INDEX(FixedAssets[Depreciation
/ Amortization Months],_xlfn.XMATCH($E$186,FixedAssets[Asset ID])),IF(AND((_xlfn.XMATCH(AT$8,$AH$8:$CC$8))-_xlfn.XMATCH($C193,$C$35:$C$82)+1&lt;=_xlpm.DepreciationMonths,$C193&lt;=AT$8),$E193/_xlpm.DepreciationMonths,0))</f>
        <v>0</v>
      </c>
      <c r="AU193" s="507" cm="1">
        <f t="array" ref="AU193">_xlfn.LET(_xlpm.DepreciationMonths,INDEX(FixedAssets[Depreciation
/ Amortization Months],_xlfn.XMATCH($E$186,FixedAssets[Asset ID])),IF(AND((_xlfn.XMATCH(AU$8,$AH$8:$CC$8))-_xlfn.XMATCH($C193,$C$35:$C$82)+1&lt;=_xlpm.DepreciationMonths,$C193&lt;=AU$8),$E193/_xlpm.DepreciationMonths,0))</f>
        <v>0</v>
      </c>
      <c r="AV193" s="507" cm="1">
        <f t="array" ref="AV193">_xlfn.LET(_xlpm.DepreciationMonths,INDEX(FixedAssets[Depreciation
/ Amortization Months],_xlfn.XMATCH($E$186,FixedAssets[Asset ID])),IF(AND((_xlfn.XMATCH(AV$8,$AH$8:$CC$8))-_xlfn.XMATCH($C193,$C$35:$C$82)+1&lt;=_xlpm.DepreciationMonths,$C193&lt;=AV$8),$E193/_xlpm.DepreciationMonths,0))</f>
        <v>0</v>
      </c>
      <c r="AW193" s="507" cm="1">
        <f t="array" ref="AW193">_xlfn.LET(_xlpm.DepreciationMonths,INDEX(FixedAssets[Depreciation
/ Amortization Months],_xlfn.XMATCH($E$186,FixedAssets[Asset ID])),IF(AND((_xlfn.XMATCH(AW$8,$AH$8:$CC$8))-_xlfn.XMATCH($C193,$C$35:$C$82)+1&lt;=_xlpm.DepreciationMonths,$C193&lt;=AW$8),$E193/_xlpm.DepreciationMonths,0))</f>
        <v>0</v>
      </c>
      <c r="AX193" s="507" cm="1">
        <f t="array" ref="AX193">_xlfn.LET(_xlpm.DepreciationMonths,INDEX(FixedAssets[Depreciation
/ Amortization Months],_xlfn.XMATCH($E$186,FixedAssets[Asset ID])),IF(AND((_xlfn.XMATCH(AX$8,$AH$8:$CC$8))-_xlfn.XMATCH($C193,$C$35:$C$82)+1&lt;=_xlpm.DepreciationMonths,$C193&lt;=AX$8),$E193/_xlpm.DepreciationMonths,0))</f>
        <v>0</v>
      </c>
      <c r="AY193" s="507" cm="1">
        <f t="array" ref="AY193">_xlfn.LET(_xlpm.DepreciationMonths,INDEX(FixedAssets[Depreciation
/ Amortization Months],_xlfn.XMATCH($E$186,FixedAssets[Asset ID])),IF(AND((_xlfn.XMATCH(AY$8,$AH$8:$CC$8))-_xlfn.XMATCH($C193,$C$35:$C$82)+1&lt;=_xlpm.DepreciationMonths,$C193&lt;=AY$8),$E193/_xlpm.DepreciationMonths,0))</f>
        <v>0</v>
      </c>
      <c r="AZ193" s="507" cm="1">
        <f t="array" ref="AZ193">_xlfn.LET(_xlpm.DepreciationMonths,INDEX(FixedAssets[Depreciation
/ Amortization Months],_xlfn.XMATCH($E$186,FixedAssets[Asset ID])),IF(AND((_xlfn.XMATCH(AZ$8,$AH$8:$CC$8))-_xlfn.XMATCH($C193,$C$35:$C$82)+1&lt;=_xlpm.DepreciationMonths,$C193&lt;=AZ$8),$E193/_xlpm.DepreciationMonths,0))</f>
        <v>0</v>
      </c>
      <c r="BA193" s="507" cm="1">
        <f t="array" ref="BA193">_xlfn.LET(_xlpm.DepreciationMonths,INDEX(FixedAssets[Depreciation
/ Amortization Months],_xlfn.XMATCH($E$186,FixedAssets[Asset ID])),IF(AND((_xlfn.XMATCH(BA$8,$AH$8:$CC$8))-_xlfn.XMATCH($C193,$C$35:$C$82)+1&lt;=_xlpm.DepreciationMonths,$C193&lt;=BA$8),$E193/_xlpm.DepreciationMonths,0))</f>
        <v>0</v>
      </c>
      <c r="BB193" s="507" cm="1">
        <f t="array" ref="BB193">_xlfn.LET(_xlpm.DepreciationMonths,INDEX(FixedAssets[Depreciation
/ Amortization Months],_xlfn.XMATCH($E$186,FixedAssets[Asset ID])),IF(AND((_xlfn.XMATCH(BB$8,$AH$8:$CC$8))-_xlfn.XMATCH($C193,$C$35:$C$82)+1&lt;=_xlpm.DepreciationMonths,$C193&lt;=BB$8),$E193/_xlpm.DepreciationMonths,0))</f>
        <v>0</v>
      </c>
      <c r="BC193" s="507" cm="1">
        <f t="array" ref="BC193">_xlfn.LET(_xlpm.DepreciationMonths,INDEX(FixedAssets[Depreciation
/ Amortization Months],_xlfn.XMATCH($E$186,FixedAssets[Asset ID])),IF(AND((_xlfn.XMATCH(BC$8,$AH$8:$CC$8))-_xlfn.XMATCH($C193,$C$35:$C$82)+1&lt;=_xlpm.DepreciationMonths,$C193&lt;=BC$8),$E193/_xlpm.DepreciationMonths,0))</f>
        <v>0</v>
      </c>
      <c r="BD193" s="507" cm="1">
        <f t="array" ref="BD193">_xlfn.LET(_xlpm.DepreciationMonths,INDEX(FixedAssets[Depreciation
/ Amortization Months],_xlfn.XMATCH($E$186,FixedAssets[Asset ID])),IF(AND((_xlfn.XMATCH(BD$8,$AH$8:$CC$8))-_xlfn.XMATCH($C193,$C$35:$C$82)+1&lt;=_xlpm.DepreciationMonths,$C193&lt;=BD$8),$E193/_xlpm.DepreciationMonths,0))</f>
        <v>0</v>
      </c>
      <c r="BE193" s="507" cm="1">
        <f t="array" ref="BE193">_xlfn.LET(_xlpm.DepreciationMonths,INDEX(FixedAssets[Depreciation
/ Amortization Months],_xlfn.XMATCH($E$186,FixedAssets[Asset ID])),IF(AND((_xlfn.XMATCH(BE$8,$AH$8:$CC$8))-_xlfn.XMATCH($C193,$C$35:$C$82)+1&lt;=_xlpm.DepreciationMonths,$C193&lt;=BE$8),$E193/_xlpm.DepreciationMonths,0))</f>
        <v>0</v>
      </c>
      <c r="BF193" s="507" cm="1">
        <f t="array" ref="BF193">_xlfn.LET(_xlpm.DepreciationMonths,INDEX(FixedAssets[Depreciation
/ Amortization Months],_xlfn.XMATCH($E$186,FixedAssets[Asset ID])),IF(AND((_xlfn.XMATCH(BF$8,$AH$8:$CC$8))-_xlfn.XMATCH($C193,$C$35:$C$82)+1&lt;=_xlpm.DepreciationMonths,$C193&lt;=BF$8),$E193/_xlpm.DepreciationMonths,0))</f>
        <v>0</v>
      </c>
      <c r="BG193" s="507" cm="1">
        <f t="array" ref="BG193">_xlfn.LET(_xlpm.DepreciationMonths,INDEX(FixedAssets[Depreciation
/ Amortization Months],_xlfn.XMATCH($E$186,FixedAssets[Asset ID])),IF(AND((_xlfn.XMATCH(BG$8,$AH$8:$CC$8))-_xlfn.XMATCH($C193,$C$35:$C$82)+1&lt;=_xlpm.DepreciationMonths,$C193&lt;=BG$8),$E193/_xlpm.DepreciationMonths,0))</f>
        <v>0</v>
      </c>
      <c r="BH193" s="507" cm="1">
        <f t="array" ref="BH193">_xlfn.LET(_xlpm.DepreciationMonths,INDEX(FixedAssets[Depreciation
/ Amortization Months],_xlfn.XMATCH($E$186,FixedAssets[Asset ID])),IF(AND((_xlfn.XMATCH(BH$8,$AH$8:$CC$8))-_xlfn.XMATCH($C193,$C$35:$C$82)+1&lt;=_xlpm.DepreciationMonths,$C193&lt;=BH$8),$E193/_xlpm.DepreciationMonths,0))</f>
        <v>0</v>
      </c>
      <c r="BI193" s="507" cm="1">
        <f t="array" ref="BI193">_xlfn.LET(_xlpm.DepreciationMonths,INDEX(FixedAssets[Depreciation
/ Amortization Months],_xlfn.XMATCH($E$186,FixedAssets[Asset ID])),IF(AND((_xlfn.XMATCH(BI$8,$AH$8:$CC$8))-_xlfn.XMATCH($C193,$C$35:$C$82)+1&lt;=_xlpm.DepreciationMonths,$C193&lt;=BI$8),$E193/_xlpm.DepreciationMonths,0))</f>
        <v>0</v>
      </c>
      <c r="BJ193" s="507" cm="1">
        <f t="array" ref="BJ193">_xlfn.LET(_xlpm.DepreciationMonths,INDEX(FixedAssets[Depreciation
/ Amortization Months],_xlfn.XMATCH($E$186,FixedAssets[Asset ID])),IF(AND((_xlfn.XMATCH(BJ$8,$AH$8:$CC$8))-_xlfn.XMATCH($C193,$C$35:$C$82)+1&lt;=_xlpm.DepreciationMonths,$C193&lt;=BJ$8),$E193/_xlpm.DepreciationMonths,0))</f>
        <v>0</v>
      </c>
      <c r="BK193" s="507" cm="1">
        <f t="array" ref="BK193">_xlfn.LET(_xlpm.DepreciationMonths,INDEX(FixedAssets[Depreciation
/ Amortization Months],_xlfn.XMATCH($E$186,FixedAssets[Asset ID])),IF(AND((_xlfn.XMATCH(BK$8,$AH$8:$CC$8))-_xlfn.XMATCH($C193,$C$35:$C$82)+1&lt;=_xlpm.DepreciationMonths,$C193&lt;=BK$8),$E193/_xlpm.DepreciationMonths,0))</f>
        <v>0</v>
      </c>
      <c r="BL193" s="507" cm="1">
        <f t="array" ref="BL193">_xlfn.LET(_xlpm.DepreciationMonths,INDEX(FixedAssets[Depreciation
/ Amortization Months],_xlfn.XMATCH($E$186,FixedAssets[Asset ID])),IF(AND((_xlfn.XMATCH(BL$8,$AH$8:$CC$8))-_xlfn.XMATCH($C193,$C$35:$C$82)+1&lt;=_xlpm.DepreciationMonths,$C193&lt;=BL$8),$E193/_xlpm.DepreciationMonths,0))</f>
        <v>0</v>
      </c>
      <c r="BM193" s="507" cm="1">
        <f t="array" ref="BM193">_xlfn.LET(_xlpm.DepreciationMonths,INDEX(FixedAssets[Depreciation
/ Amortization Months],_xlfn.XMATCH($E$186,FixedAssets[Asset ID])),IF(AND((_xlfn.XMATCH(BM$8,$AH$8:$CC$8))-_xlfn.XMATCH($C193,$C$35:$C$82)+1&lt;=_xlpm.DepreciationMonths,$C193&lt;=BM$8),$E193/_xlpm.DepreciationMonths,0))</f>
        <v>0</v>
      </c>
      <c r="BN193" s="507" cm="1">
        <f t="array" ref="BN193">_xlfn.LET(_xlpm.DepreciationMonths,INDEX(FixedAssets[Depreciation
/ Amortization Months],_xlfn.XMATCH($E$186,FixedAssets[Asset ID])),IF(AND((_xlfn.XMATCH(BN$8,$AH$8:$CC$8))-_xlfn.XMATCH($C193,$C$35:$C$82)+1&lt;=_xlpm.DepreciationMonths,$C193&lt;=BN$8),$E193/_xlpm.DepreciationMonths,0))</f>
        <v>0</v>
      </c>
      <c r="BO193" s="507" cm="1">
        <f t="array" ref="BO193">_xlfn.LET(_xlpm.DepreciationMonths,INDEX(FixedAssets[Depreciation
/ Amortization Months],_xlfn.XMATCH($E$186,FixedAssets[Asset ID])),IF(AND((_xlfn.XMATCH(BO$8,$AH$8:$CC$8))-_xlfn.XMATCH($C193,$C$35:$C$82)+1&lt;=_xlpm.DepreciationMonths,$C193&lt;=BO$8),$E193/_xlpm.DepreciationMonths,0))</f>
        <v>0</v>
      </c>
      <c r="BP193" s="507" cm="1">
        <f t="array" ref="BP193">_xlfn.LET(_xlpm.DepreciationMonths,INDEX(FixedAssets[Depreciation
/ Amortization Months],_xlfn.XMATCH($E$186,FixedAssets[Asset ID])),IF(AND((_xlfn.XMATCH(BP$8,$AH$8:$CC$8))-_xlfn.XMATCH($C193,$C$35:$C$82)+1&lt;=_xlpm.DepreciationMonths,$C193&lt;=BP$8),$E193/_xlpm.DepreciationMonths,0))</f>
        <v>0</v>
      </c>
      <c r="BQ193" s="507" cm="1">
        <f t="array" ref="BQ193">_xlfn.LET(_xlpm.DepreciationMonths,INDEX(FixedAssets[Depreciation
/ Amortization Months],_xlfn.XMATCH($E$186,FixedAssets[Asset ID])),IF(AND((_xlfn.XMATCH(BQ$8,$AH$8:$CC$8))-_xlfn.XMATCH($C193,$C$35:$C$82)+1&lt;=_xlpm.DepreciationMonths,$C193&lt;=BQ$8),$E193/_xlpm.DepreciationMonths,0))</f>
        <v>0</v>
      </c>
      <c r="BR193" s="507" cm="1">
        <f t="array" ref="BR193">_xlfn.LET(_xlpm.DepreciationMonths,INDEX(FixedAssets[Depreciation
/ Amortization Months],_xlfn.XMATCH($E$186,FixedAssets[Asset ID])),IF(AND((_xlfn.XMATCH(BR$8,$AH$8:$CC$8))-_xlfn.XMATCH($C193,$C$35:$C$82)+1&lt;=_xlpm.DepreciationMonths,$C193&lt;=BR$8),$E193/_xlpm.DepreciationMonths,0))</f>
        <v>0</v>
      </c>
      <c r="BS193" s="507" cm="1">
        <f t="array" ref="BS193">_xlfn.LET(_xlpm.DepreciationMonths,INDEX(FixedAssets[Depreciation
/ Amortization Months],_xlfn.XMATCH($E$186,FixedAssets[Asset ID])),IF(AND((_xlfn.XMATCH(BS$8,$AH$8:$CC$8))-_xlfn.XMATCH($C193,$C$35:$C$82)+1&lt;=_xlpm.DepreciationMonths,$C193&lt;=BS$8),$E193/_xlpm.DepreciationMonths,0))</f>
        <v>0</v>
      </c>
      <c r="BT193" s="507" cm="1">
        <f t="array" ref="BT193">_xlfn.LET(_xlpm.DepreciationMonths,INDEX(FixedAssets[Depreciation
/ Amortization Months],_xlfn.XMATCH($E$186,FixedAssets[Asset ID])),IF(AND((_xlfn.XMATCH(BT$8,$AH$8:$CC$8))-_xlfn.XMATCH($C193,$C$35:$C$82)+1&lt;=_xlpm.DepreciationMonths,$C193&lt;=BT$8),$E193/_xlpm.DepreciationMonths,0))</f>
        <v>0</v>
      </c>
      <c r="BU193" s="507" cm="1">
        <f t="array" ref="BU193">_xlfn.LET(_xlpm.DepreciationMonths,INDEX(FixedAssets[Depreciation
/ Amortization Months],_xlfn.XMATCH($E$186,FixedAssets[Asset ID])),IF(AND((_xlfn.XMATCH(BU$8,$AH$8:$CC$8))-_xlfn.XMATCH($C193,$C$35:$C$82)+1&lt;=_xlpm.DepreciationMonths,$C193&lt;=BU$8),$E193/_xlpm.DepreciationMonths,0))</f>
        <v>0</v>
      </c>
      <c r="BV193" s="507" cm="1">
        <f t="array" ref="BV193">_xlfn.LET(_xlpm.DepreciationMonths,INDEX(FixedAssets[Depreciation
/ Amortization Months],_xlfn.XMATCH($E$186,FixedAssets[Asset ID])),IF(AND((_xlfn.XMATCH(BV$8,$AH$8:$CC$8))-_xlfn.XMATCH($C193,$C$35:$C$82)+1&lt;=_xlpm.DepreciationMonths,$C193&lt;=BV$8),$E193/_xlpm.DepreciationMonths,0))</f>
        <v>0</v>
      </c>
      <c r="BW193" s="507" cm="1">
        <f t="array" ref="BW193">_xlfn.LET(_xlpm.DepreciationMonths,INDEX(FixedAssets[Depreciation
/ Amortization Months],_xlfn.XMATCH($E$186,FixedAssets[Asset ID])),IF(AND((_xlfn.XMATCH(BW$8,$AH$8:$CC$8))-_xlfn.XMATCH($C193,$C$35:$C$82)+1&lt;=_xlpm.DepreciationMonths,$C193&lt;=BW$8),$E193/_xlpm.DepreciationMonths,0))</f>
        <v>0</v>
      </c>
      <c r="BX193" s="507" cm="1">
        <f t="array" ref="BX193">_xlfn.LET(_xlpm.DepreciationMonths,INDEX(FixedAssets[Depreciation
/ Amortization Months],_xlfn.XMATCH($E$186,FixedAssets[Asset ID])),IF(AND((_xlfn.XMATCH(BX$8,$AH$8:$CC$8))-_xlfn.XMATCH($C193,$C$35:$C$82)+1&lt;=_xlpm.DepreciationMonths,$C193&lt;=BX$8),$E193/_xlpm.DepreciationMonths,0))</f>
        <v>0</v>
      </c>
      <c r="BY193" s="507" cm="1">
        <f t="array" ref="BY193">_xlfn.LET(_xlpm.DepreciationMonths,INDEX(FixedAssets[Depreciation
/ Amortization Months],_xlfn.XMATCH($E$186,FixedAssets[Asset ID])),IF(AND((_xlfn.XMATCH(BY$8,$AH$8:$CC$8))-_xlfn.XMATCH($C193,$C$35:$C$82)+1&lt;=_xlpm.DepreciationMonths,$C193&lt;=BY$8),$E193/_xlpm.DepreciationMonths,0))</f>
        <v>0</v>
      </c>
      <c r="BZ193" s="507" cm="1">
        <f t="array" ref="BZ193">_xlfn.LET(_xlpm.DepreciationMonths,INDEX(FixedAssets[Depreciation
/ Amortization Months],_xlfn.XMATCH($E$186,FixedAssets[Asset ID])),IF(AND((_xlfn.XMATCH(BZ$8,$AH$8:$CC$8))-_xlfn.XMATCH($C193,$C$35:$C$82)+1&lt;=_xlpm.DepreciationMonths,$C193&lt;=BZ$8),$E193/_xlpm.DepreciationMonths,0))</f>
        <v>0</v>
      </c>
      <c r="CA193" s="507" cm="1">
        <f t="array" ref="CA193">_xlfn.LET(_xlpm.DepreciationMonths,INDEX(FixedAssets[Depreciation
/ Amortization Months],_xlfn.XMATCH($E$186,FixedAssets[Asset ID])),IF(AND((_xlfn.XMATCH(CA$8,$AH$8:$CC$8))-_xlfn.XMATCH($C193,$C$35:$C$82)+1&lt;=_xlpm.DepreciationMonths,$C193&lt;=CA$8),$E193/_xlpm.DepreciationMonths,0))</f>
        <v>0</v>
      </c>
      <c r="CB193" s="507" cm="1">
        <f t="array" ref="CB193">_xlfn.LET(_xlpm.DepreciationMonths,INDEX(FixedAssets[Depreciation
/ Amortization Months],_xlfn.XMATCH($E$186,FixedAssets[Asset ID])),IF(AND((_xlfn.XMATCH(CB$8,$AH$8:$CC$8))-_xlfn.XMATCH($C193,$C$35:$C$82)+1&lt;=_xlpm.DepreciationMonths,$C193&lt;=CB$8),$E193/_xlpm.DepreciationMonths,0))</f>
        <v>0</v>
      </c>
      <c r="CC193" s="507" cm="1">
        <f t="array" ref="CC193">_xlfn.LET(_xlpm.DepreciationMonths,INDEX(FixedAssets[Depreciation
/ Amortization Months],_xlfn.XMATCH($E$186,FixedAssets[Asset ID])),IF(AND((_xlfn.XMATCH(CC$8,$AH$8:$CC$8))-_xlfn.XMATCH($C193,$C$35:$C$82)+1&lt;=_xlpm.DepreciationMonths,$C193&lt;=CC$8),$E193/_xlpm.DepreciationMonths,0))</f>
        <v>0</v>
      </c>
    </row>
    <row r="194" spans="3:81" hidden="1" outlineLevel="2">
      <c r="C194" s="664">
        <f t="shared" si="256"/>
        <v>45138</v>
      </c>
      <c r="D194" s="508"/>
      <c r="E194" s="508" cm="1">
        <f t="array" ref="E194">SUMPRODUCT(($AH$26:$CC$31)*($AH$5:$CC$5=$C194)*($E$26:$E$31=E$186))-SUMPRODUCT(($AH$26:$CC$31)*($AH$5:$CC$5=EOMONTH($C194,-1))*($E$26:$E$31=E$186))</f>
        <v>0</v>
      </c>
      <c r="F194" s="508"/>
      <c r="G194" s="508"/>
      <c r="H194" s="508"/>
      <c r="I194" s="508"/>
      <c r="J194" s="504">
        <f t="shared" si="254"/>
        <v>0</v>
      </c>
      <c r="K194" s="504">
        <f t="shared" si="254"/>
        <v>0</v>
      </c>
      <c r="L194" s="504">
        <f t="shared" si="254"/>
        <v>0</v>
      </c>
      <c r="M194" s="504">
        <f t="shared" si="254"/>
        <v>0</v>
      </c>
      <c r="N194" s="504"/>
      <c r="O194" s="504"/>
      <c r="P194" s="504">
        <f t="shared" si="255"/>
        <v>0</v>
      </c>
      <c r="Q194" s="504">
        <f t="shared" si="255"/>
        <v>0</v>
      </c>
      <c r="R194" s="504">
        <f t="shared" si="255"/>
        <v>0</v>
      </c>
      <c r="S194" s="504">
        <f t="shared" si="255"/>
        <v>0</v>
      </c>
      <c r="T194" s="504">
        <f t="shared" si="255"/>
        <v>0</v>
      </c>
      <c r="U194" s="504">
        <f t="shared" si="255"/>
        <v>0</v>
      </c>
      <c r="V194" s="504">
        <f t="shared" si="255"/>
        <v>0</v>
      </c>
      <c r="W194" s="504">
        <f t="shared" si="255"/>
        <v>0</v>
      </c>
      <c r="X194" s="504">
        <f t="shared" si="255"/>
        <v>0</v>
      </c>
      <c r="Y194" s="504">
        <f t="shared" si="255"/>
        <v>0</v>
      </c>
      <c r="Z194" s="504">
        <f t="shared" si="255"/>
        <v>0</v>
      </c>
      <c r="AA194" s="504">
        <f t="shared" si="255"/>
        <v>0</v>
      </c>
      <c r="AB194" s="504">
        <f t="shared" si="255"/>
        <v>0</v>
      </c>
      <c r="AC194" s="504">
        <f t="shared" si="255"/>
        <v>0</v>
      </c>
      <c r="AD194" s="504">
        <f t="shared" si="255"/>
        <v>0</v>
      </c>
      <c r="AE194" s="504">
        <f t="shared" si="255"/>
        <v>0</v>
      </c>
      <c r="AF194" s="508"/>
      <c r="AG194" s="508"/>
      <c r="AH194" s="507" cm="1">
        <f t="array" ref="AH194">_xlfn.LET(_xlpm.DepreciationMonths,INDEX(FixedAssets[Depreciation
/ Amortization Months],_xlfn.XMATCH($E$186,FixedAssets[Asset ID])),IF(AND((_xlfn.XMATCH(AH$8,$AH$8:$CC$8))-_xlfn.XMATCH($C194,$C$35:$C$82)+1&lt;=_xlpm.DepreciationMonths,$C194&lt;=AH$8),$E194/_xlpm.DepreciationMonths,0))</f>
        <v>0</v>
      </c>
      <c r="AI194" s="507" cm="1">
        <f t="array" ref="AI194">_xlfn.LET(_xlpm.DepreciationMonths,INDEX(FixedAssets[Depreciation
/ Amortization Months],_xlfn.XMATCH($E$186,FixedAssets[Asset ID])),IF(AND((_xlfn.XMATCH(AI$8,$AH$8:$CC$8))-_xlfn.XMATCH($C194,$C$35:$C$82)+1&lt;=_xlpm.DepreciationMonths,$C194&lt;=AI$8),$E194/_xlpm.DepreciationMonths,0))</f>
        <v>0</v>
      </c>
      <c r="AJ194" s="507" cm="1">
        <f t="array" ref="AJ194">_xlfn.LET(_xlpm.DepreciationMonths,INDEX(FixedAssets[Depreciation
/ Amortization Months],_xlfn.XMATCH($E$186,FixedAssets[Asset ID])),IF(AND((_xlfn.XMATCH(AJ$8,$AH$8:$CC$8))-_xlfn.XMATCH($C194,$C$35:$C$82)+1&lt;=_xlpm.DepreciationMonths,$C194&lt;=AJ$8),$E194/_xlpm.DepreciationMonths,0))</f>
        <v>0</v>
      </c>
      <c r="AK194" s="507" cm="1">
        <f t="array" ref="AK194">_xlfn.LET(_xlpm.DepreciationMonths,INDEX(FixedAssets[Depreciation
/ Amortization Months],_xlfn.XMATCH($E$186,FixedAssets[Asset ID])),IF(AND((_xlfn.XMATCH(AK$8,$AH$8:$CC$8))-_xlfn.XMATCH($C194,$C$35:$C$82)+1&lt;=_xlpm.DepreciationMonths,$C194&lt;=AK$8),$E194/_xlpm.DepreciationMonths,0))</f>
        <v>0</v>
      </c>
      <c r="AL194" s="507" cm="1">
        <f t="array" ref="AL194">_xlfn.LET(_xlpm.DepreciationMonths,INDEX(FixedAssets[Depreciation
/ Amortization Months],_xlfn.XMATCH($E$186,FixedAssets[Asset ID])),IF(AND((_xlfn.XMATCH(AL$8,$AH$8:$CC$8))-_xlfn.XMATCH($C194,$C$35:$C$82)+1&lt;=_xlpm.DepreciationMonths,$C194&lt;=AL$8),$E194/_xlpm.DepreciationMonths,0))</f>
        <v>0</v>
      </c>
      <c r="AM194" s="507" cm="1">
        <f t="array" ref="AM194">_xlfn.LET(_xlpm.DepreciationMonths,INDEX(FixedAssets[Depreciation
/ Amortization Months],_xlfn.XMATCH($E$186,FixedAssets[Asset ID])),IF(AND((_xlfn.XMATCH(AM$8,$AH$8:$CC$8))-_xlfn.XMATCH($C194,$C$35:$C$82)+1&lt;=_xlpm.DepreciationMonths,$C194&lt;=AM$8),$E194/_xlpm.DepreciationMonths,0))</f>
        <v>0</v>
      </c>
      <c r="AN194" s="507" cm="1">
        <f t="array" ref="AN194">_xlfn.LET(_xlpm.DepreciationMonths,INDEX(FixedAssets[Depreciation
/ Amortization Months],_xlfn.XMATCH($E$186,FixedAssets[Asset ID])),IF(AND((_xlfn.XMATCH(AN$8,$AH$8:$CC$8))-_xlfn.XMATCH($C194,$C$35:$C$82)+1&lt;=_xlpm.DepreciationMonths,$C194&lt;=AN$8),$E194/_xlpm.DepreciationMonths,0))</f>
        <v>0</v>
      </c>
      <c r="AO194" s="507" cm="1">
        <f t="array" ref="AO194">_xlfn.LET(_xlpm.DepreciationMonths,INDEX(FixedAssets[Depreciation
/ Amortization Months],_xlfn.XMATCH($E$186,FixedAssets[Asset ID])),IF(AND((_xlfn.XMATCH(AO$8,$AH$8:$CC$8))-_xlfn.XMATCH($C194,$C$35:$C$82)+1&lt;=_xlpm.DepreciationMonths,$C194&lt;=AO$8),$E194/_xlpm.DepreciationMonths,0))</f>
        <v>0</v>
      </c>
      <c r="AP194" s="507" cm="1">
        <f t="array" ref="AP194">_xlfn.LET(_xlpm.DepreciationMonths,INDEX(FixedAssets[Depreciation
/ Amortization Months],_xlfn.XMATCH($E$186,FixedAssets[Asset ID])),IF(AND((_xlfn.XMATCH(AP$8,$AH$8:$CC$8))-_xlfn.XMATCH($C194,$C$35:$C$82)+1&lt;=_xlpm.DepreciationMonths,$C194&lt;=AP$8),$E194/_xlpm.DepreciationMonths,0))</f>
        <v>0</v>
      </c>
      <c r="AQ194" s="507" cm="1">
        <f t="array" ref="AQ194">_xlfn.LET(_xlpm.DepreciationMonths,INDEX(FixedAssets[Depreciation
/ Amortization Months],_xlfn.XMATCH($E$186,FixedAssets[Asset ID])),IF(AND((_xlfn.XMATCH(AQ$8,$AH$8:$CC$8))-_xlfn.XMATCH($C194,$C$35:$C$82)+1&lt;=_xlpm.DepreciationMonths,$C194&lt;=AQ$8),$E194/_xlpm.DepreciationMonths,0))</f>
        <v>0</v>
      </c>
      <c r="AR194" s="507" cm="1">
        <f t="array" ref="AR194">_xlfn.LET(_xlpm.DepreciationMonths,INDEX(FixedAssets[Depreciation
/ Amortization Months],_xlfn.XMATCH($E$186,FixedAssets[Asset ID])),IF(AND((_xlfn.XMATCH(AR$8,$AH$8:$CC$8))-_xlfn.XMATCH($C194,$C$35:$C$82)+1&lt;=_xlpm.DepreciationMonths,$C194&lt;=AR$8),$E194/_xlpm.DepreciationMonths,0))</f>
        <v>0</v>
      </c>
      <c r="AS194" s="507" cm="1">
        <f t="array" ref="AS194">_xlfn.LET(_xlpm.DepreciationMonths,INDEX(FixedAssets[Depreciation
/ Amortization Months],_xlfn.XMATCH($E$186,FixedAssets[Asset ID])),IF(AND((_xlfn.XMATCH(AS$8,$AH$8:$CC$8))-_xlfn.XMATCH($C194,$C$35:$C$82)+1&lt;=_xlpm.DepreciationMonths,$C194&lt;=AS$8),$E194/_xlpm.DepreciationMonths,0))</f>
        <v>0</v>
      </c>
      <c r="AT194" s="507" cm="1">
        <f t="array" ref="AT194">_xlfn.LET(_xlpm.DepreciationMonths,INDEX(FixedAssets[Depreciation
/ Amortization Months],_xlfn.XMATCH($E$186,FixedAssets[Asset ID])),IF(AND((_xlfn.XMATCH(AT$8,$AH$8:$CC$8))-_xlfn.XMATCH($C194,$C$35:$C$82)+1&lt;=_xlpm.DepreciationMonths,$C194&lt;=AT$8),$E194/_xlpm.DepreciationMonths,0))</f>
        <v>0</v>
      </c>
      <c r="AU194" s="507" cm="1">
        <f t="array" ref="AU194">_xlfn.LET(_xlpm.DepreciationMonths,INDEX(FixedAssets[Depreciation
/ Amortization Months],_xlfn.XMATCH($E$186,FixedAssets[Asset ID])),IF(AND((_xlfn.XMATCH(AU$8,$AH$8:$CC$8))-_xlfn.XMATCH($C194,$C$35:$C$82)+1&lt;=_xlpm.DepreciationMonths,$C194&lt;=AU$8),$E194/_xlpm.DepreciationMonths,0))</f>
        <v>0</v>
      </c>
      <c r="AV194" s="507" cm="1">
        <f t="array" ref="AV194">_xlfn.LET(_xlpm.DepreciationMonths,INDEX(FixedAssets[Depreciation
/ Amortization Months],_xlfn.XMATCH($E$186,FixedAssets[Asset ID])),IF(AND((_xlfn.XMATCH(AV$8,$AH$8:$CC$8))-_xlfn.XMATCH($C194,$C$35:$C$82)+1&lt;=_xlpm.DepreciationMonths,$C194&lt;=AV$8),$E194/_xlpm.DepreciationMonths,0))</f>
        <v>0</v>
      </c>
      <c r="AW194" s="507" cm="1">
        <f t="array" ref="AW194">_xlfn.LET(_xlpm.DepreciationMonths,INDEX(FixedAssets[Depreciation
/ Amortization Months],_xlfn.XMATCH($E$186,FixedAssets[Asset ID])),IF(AND((_xlfn.XMATCH(AW$8,$AH$8:$CC$8))-_xlfn.XMATCH($C194,$C$35:$C$82)+1&lt;=_xlpm.DepreciationMonths,$C194&lt;=AW$8),$E194/_xlpm.DepreciationMonths,0))</f>
        <v>0</v>
      </c>
      <c r="AX194" s="507" cm="1">
        <f t="array" ref="AX194">_xlfn.LET(_xlpm.DepreciationMonths,INDEX(FixedAssets[Depreciation
/ Amortization Months],_xlfn.XMATCH($E$186,FixedAssets[Asset ID])),IF(AND((_xlfn.XMATCH(AX$8,$AH$8:$CC$8))-_xlfn.XMATCH($C194,$C$35:$C$82)+1&lt;=_xlpm.DepreciationMonths,$C194&lt;=AX$8),$E194/_xlpm.DepreciationMonths,0))</f>
        <v>0</v>
      </c>
      <c r="AY194" s="507" cm="1">
        <f t="array" ref="AY194">_xlfn.LET(_xlpm.DepreciationMonths,INDEX(FixedAssets[Depreciation
/ Amortization Months],_xlfn.XMATCH($E$186,FixedAssets[Asset ID])),IF(AND((_xlfn.XMATCH(AY$8,$AH$8:$CC$8))-_xlfn.XMATCH($C194,$C$35:$C$82)+1&lt;=_xlpm.DepreciationMonths,$C194&lt;=AY$8),$E194/_xlpm.DepreciationMonths,0))</f>
        <v>0</v>
      </c>
      <c r="AZ194" s="507" cm="1">
        <f t="array" ref="AZ194">_xlfn.LET(_xlpm.DepreciationMonths,INDEX(FixedAssets[Depreciation
/ Amortization Months],_xlfn.XMATCH($E$186,FixedAssets[Asset ID])),IF(AND((_xlfn.XMATCH(AZ$8,$AH$8:$CC$8))-_xlfn.XMATCH($C194,$C$35:$C$82)+1&lt;=_xlpm.DepreciationMonths,$C194&lt;=AZ$8),$E194/_xlpm.DepreciationMonths,0))</f>
        <v>0</v>
      </c>
      <c r="BA194" s="507" cm="1">
        <f t="array" ref="BA194">_xlfn.LET(_xlpm.DepreciationMonths,INDEX(FixedAssets[Depreciation
/ Amortization Months],_xlfn.XMATCH($E$186,FixedAssets[Asset ID])),IF(AND((_xlfn.XMATCH(BA$8,$AH$8:$CC$8))-_xlfn.XMATCH($C194,$C$35:$C$82)+1&lt;=_xlpm.DepreciationMonths,$C194&lt;=BA$8),$E194/_xlpm.DepreciationMonths,0))</f>
        <v>0</v>
      </c>
      <c r="BB194" s="507" cm="1">
        <f t="array" ref="BB194">_xlfn.LET(_xlpm.DepreciationMonths,INDEX(FixedAssets[Depreciation
/ Amortization Months],_xlfn.XMATCH($E$186,FixedAssets[Asset ID])),IF(AND((_xlfn.XMATCH(BB$8,$AH$8:$CC$8))-_xlfn.XMATCH($C194,$C$35:$C$82)+1&lt;=_xlpm.DepreciationMonths,$C194&lt;=BB$8),$E194/_xlpm.DepreciationMonths,0))</f>
        <v>0</v>
      </c>
      <c r="BC194" s="507" cm="1">
        <f t="array" ref="BC194">_xlfn.LET(_xlpm.DepreciationMonths,INDEX(FixedAssets[Depreciation
/ Amortization Months],_xlfn.XMATCH($E$186,FixedAssets[Asset ID])),IF(AND((_xlfn.XMATCH(BC$8,$AH$8:$CC$8))-_xlfn.XMATCH($C194,$C$35:$C$82)+1&lt;=_xlpm.DepreciationMonths,$C194&lt;=BC$8),$E194/_xlpm.DepreciationMonths,0))</f>
        <v>0</v>
      </c>
      <c r="BD194" s="507" cm="1">
        <f t="array" ref="BD194">_xlfn.LET(_xlpm.DepreciationMonths,INDEX(FixedAssets[Depreciation
/ Amortization Months],_xlfn.XMATCH($E$186,FixedAssets[Asset ID])),IF(AND((_xlfn.XMATCH(BD$8,$AH$8:$CC$8))-_xlfn.XMATCH($C194,$C$35:$C$82)+1&lt;=_xlpm.DepreciationMonths,$C194&lt;=BD$8),$E194/_xlpm.DepreciationMonths,0))</f>
        <v>0</v>
      </c>
      <c r="BE194" s="507" cm="1">
        <f t="array" ref="BE194">_xlfn.LET(_xlpm.DepreciationMonths,INDEX(FixedAssets[Depreciation
/ Amortization Months],_xlfn.XMATCH($E$186,FixedAssets[Asset ID])),IF(AND((_xlfn.XMATCH(BE$8,$AH$8:$CC$8))-_xlfn.XMATCH($C194,$C$35:$C$82)+1&lt;=_xlpm.DepreciationMonths,$C194&lt;=BE$8),$E194/_xlpm.DepreciationMonths,0))</f>
        <v>0</v>
      </c>
      <c r="BF194" s="507" cm="1">
        <f t="array" ref="BF194">_xlfn.LET(_xlpm.DepreciationMonths,INDEX(FixedAssets[Depreciation
/ Amortization Months],_xlfn.XMATCH($E$186,FixedAssets[Asset ID])),IF(AND((_xlfn.XMATCH(BF$8,$AH$8:$CC$8))-_xlfn.XMATCH($C194,$C$35:$C$82)+1&lt;=_xlpm.DepreciationMonths,$C194&lt;=BF$8),$E194/_xlpm.DepreciationMonths,0))</f>
        <v>0</v>
      </c>
      <c r="BG194" s="507" cm="1">
        <f t="array" ref="BG194">_xlfn.LET(_xlpm.DepreciationMonths,INDEX(FixedAssets[Depreciation
/ Amortization Months],_xlfn.XMATCH($E$186,FixedAssets[Asset ID])),IF(AND((_xlfn.XMATCH(BG$8,$AH$8:$CC$8))-_xlfn.XMATCH($C194,$C$35:$C$82)+1&lt;=_xlpm.DepreciationMonths,$C194&lt;=BG$8),$E194/_xlpm.DepreciationMonths,0))</f>
        <v>0</v>
      </c>
      <c r="BH194" s="507" cm="1">
        <f t="array" ref="BH194">_xlfn.LET(_xlpm.DepreciationMonths,INDEX(FixedAssets[Depreciation
/ Amortization Months],_xlfn.XMATCH($E$186,FixedAssets[Asset ID])),IF(AND((_xlfn.XMATCH(BH$8,$AH$8:$CC$8))-_xlfn.XMATCH($C194,$C$35:$C$82)+1&lt;=_xlpm.DepreciationMonths,$C194&lt;=BH$8),$E194/_xlpm.DepreciationMonths,0))</f>
        <v>0</v>
      </c>
      <c r="BI194" s="507" cm="1">
        <f t="array" ref="BI194">_xlfn.LET(_xlpm.DepreciationMonths,INDEX(FixedAssets[Depreciation
/ Amortization Months],_xlfn.XMATCH($E$186,FixedAssets[Asset ID])),IF(AND((_xlfn.XMATCH(BI$8,$AH$8:$CC$8))-_xlfn.XMATCH($C194,$C$35:$C$82)+1&lt;=_xlpm.DepreciationMonths,$C194&lt;=BI$8),$E194/_xlpm.DepreciationMonths,0))</f>
        <v>0</v>
      </c>
      <c r="BJ194" s="507" cm="1">
        <f t="array" ref="BJ194">_xlfn.LET(_xlpm.DepreciationMonths,INDEX(FixedAssets[Depreciation
/ Amortization Months],_xlfn.XMATCH($E$186,FixedAssets[Asset ID])),IF(AND((_xlfn.XMATCH(BJ$8,$AH$8:$CC$8))-_xlfn.XMATCH($C194,$C$35:$C$82)+1&lt;=_xlpm.DepreciationMonths,$C194&lt;=BJ$8),$E194/_xlpm.DepreciationMonths,0))</f>
        <v>0</v>
      </c>
      <c r="BK194" s="507" cm="1">
        <f t="array" ref="BK194">_xlfn.LET(_xlpm.DepreciationMonths,INDEX(FixedAssets[Depreciation
/ Amortization Months],_xlfn.XMATCH($E$186,FixedAssets[Asset ID])),IF(AND((_xlfn.XMATCH(BK$8,$AH$8:$CC$8))-_xlfn.XMATCH($C194,$C$35:$C$82)+1&lt;=_xlpm.DepreciationMonths,$C194&lt;=BK$8),$E194/_xlpm.DepreciationMonths,0))</f>
        <v>0</v>
      </c>
      <c r="BL194" s="507" cm="1">
        <f t="array" ref="BL194">_xlfn.LET(_xlpm.DepreciationMonths,INDEX(FixedAssets[Depreciation
/ Amortization Months],_xlfn.XMATCH($E$186,FixedAssets[Asset ID])),IF(AND((_xlfn.XMATCH(BL$8,$AH$8:$CC$8))-_xlfn.XMATCH($C194,$C$35:$C$82)+1&lt;=_xlpm.DepreciationMonths,$C194&lt;=BL$8),$E194/_xlpm.DepreciationMonths,0))</f>
        <v>0</v>
      </c>
      <c r="BM194" s="507" cm="1">
        <f t="array" ref="BM194">_xlfn.LET(_xlpm.DepreciationMonths,INDEX(FixedAssets[Depreciation
/ Amortization Months],_xlfn.XMATCH($E$186,FixedAssets[Asset ID])),IF(AND((_xlfn.XMATCH(BM$8,$AH$8:$CC$8))-_xlfn.XMATCH($C194,$C$35:$C$82)+1&lt;=_xlpm.DepreciationMonths,$C194&lt;=BM$8),$E194/_xlpm.DepreciationMonths,0))</f>
        <v>0</v>
      </c>
      <c r="BN194" s="507" cm="1">
        <f t="array" ref="BN194">_xlfn.LET(_xlpm.DepreciationMonths,INDEX(FixedAssets[Depreciation
/ Amortization Months],_xlfn.XMATCH($E$186,FixedAssets[Asset ID])),IF(AND((_xlfn.XMATCH(BN$8,$AH$8:$CC$8))-_xlfn.XMATCH($C194,$C$35:$C$82)+1&lt;=_xlpm.DepreciationMonths,$C194&lt;=BN$8),$E194/_xlpm.DepreciationMonths,0))</f>
        <v>0</v>
      </c>
      <c r="BO194" s="507" cm="1">
        <f t="array" ref="BO194">_xlfn.LET(_xlpm.DepreciationMonths,INDEX(FixedAssets[Depreciation
/ Amortization Months],_xlfn.XMATCH($E$186,FixedAssets[Asset ID])),IF(AND((_xlfn.XMATCH(BO$8,$AH$8:$CC$8))-_xlfn.XMATCH($C194,$C$35:$C$82)+1&lt;=_xlpm.DepreciationMonths,$C194&lt;=BO$8),$E194/_xlpm.DepreciationMonths,0))</f>
        <v>0</v>
      </c>
      <c r="BP194" s="507" cm="1">
        <f t="array" ref="BP194">_xlfn.LET(_xlpm.DepreciationMonths,INDEX(FixedAssets[Depreciation
/ Amortization Months],_xlfn.XMATCH($E$186,FixedAssets[Asset ID])),IF(AND((_xlfn.XMATCH(BP$8,$AH$8:$CC$8))-_xlfn.XMATCH($C194,$C$35:$C$82)+1&lt;=_xlpm.DepreciationMonths,$C194&lt;=BP$8),$E194/_xlpm.DepreciationMonths,0))</f>
        <v>0</v>
      </c>
      <c r="BQ194" s="507" cm="1">
        <f t="array" ref="BQ194">_xlfn.LET(_xlpm.DepreciationMonths,INDEX(FixedAssets[Depreciation
/ Amortization Months],_xlfn.XMATCH($E$186,FixedAssets[Asset ID])),IF(AND((_xlfn.XMATCH(BQ$8,$AH$8:$CC$8))-_xlfn.XMATCH($C194,$C$35:$C$82)+1&lt;=_xlpm.DepreciationMonths,$C194&lt;=BQ$8),$E194/_xlpm.DepreciationMonths,0))</f>
        <v>0</v>
      </c>
      <c r="BR194" s="507" cm="1">
        <f t="array" ref="BR194">_xlfn.LET(_xlpm.DepreciationMonths,INDEX(FixedAssets[Depreciation
/ Amortization Months],_xlfn.XMATCH($E$186,FixedAssets[Asset ID])),IF(AND((_xlfn.XMATCH(BR$8,$AH$8:$CC$8))-_xlfn.XMATCH($C194,$C$35:$C$82)+1&lt;=_xlpm.DepreciationMonths,$C194&lt;=BR$8),$E194/_xlpm.DepreciationMonths,0))</f>
        <v>0</v>
      </c>
      <c r="BS194" s="507" cm="1">
        <f t="array" ref="BS194">_xlfn.LET(_xlpm.DepreciationMonths,INDEX(FixedAssets[Depreciation
/ Amortization Months],_xlfn.XMATCH($E$186,FixedAssets[Asset ID])),IF(AND((_xlfn.XMATCH(BS$8,$AH$8:$CC$8))-_xlfn.XMATCH($C194,$C$35:$C$82)+1&lt;=_xlpm.DepreciationMonths,$C194&lt;=BS$8),$E194/_xlpm.DepreciationMonths,0))</f>
        <v>0</v>
      </c>
      <c r="BT194" s="507" cm="1">
        <f t="array" ref="BT194">_xlfn.LET(_xlpm.DepreciationMonths,INDEX(FixedAssets[Depreciation
/ Amortization Months],_xlfn.XMATCH($E$186,FixedAssets[Asset ID])),IF(AND((_xlfn.XMATCH(BT$8,$AH$8:$CC$8))-_xlfn.XMATCH($C194,$C$35:$C$82)+1&lt;=_xlpm.DepreciationMonths,$C194&lt;=BT$8),$E194/_xlpm.DepreciationMonths,0))</f>
        <v>0</v>
      </c>
      <c r="BU194" s="507" cm="1">
        <f t="array" ref="BU194">_xlfn.LET(_xlpm.DepreciationMonths,INDEX(FixedAssets[Depreciation
/ Amortization Months],_xlfn.XMATCH($E$186,FixedAssets[Asset ID])),IF(AND((_xlfn.XMATCH(BU$8,$AH$8:$CC$8))-_xlfn.XMATCH($C194,$C$35:$C$82)+1&lt;=_xlpm.DepreciationMonths,$C194&lt;=BU$8),$E194/_xlpm.DepreciationMonths,0))</f>
        <v>0</v>
      </c>
      <c r="BV194" s="507" cm="1">
        <f t="array" ref="BV194">_xlfn.LET(_xlpm.DepreciationMonths,INDEX(FixedAssets[Depreciation
/ Amortization Months],_xlfn.XMATCH($E$186,FixedAssets[Asset ID])),IF(AND((_xlfn.XMATCH(BV$8,$AH$8:$CC$8))-_xlfn.XMATCH($C194,$C$35:$C$82)+1&lt;=_xlpm.DepreciationMonths,$C194&lt;=BV$8),$E194/_xlpm.DepreciationMonths,0))</f>
        <v>0</v>
      </c>
      <c r="BW194" s="507" cm="1">
        <f t="array" ref="BW194">_xlfn.LET(_xlpm.DepreciationMonths,INDEX(FixedAssets[Depreciation
/ Amortization Months],_xlfn.XMATCH($E$186,FixedAssets[Asset ID])),IF(AND((_xlfn.XMATCH(BW$8,$AH$8:$CC$8))-_xlfn.XMATCH($C194,$C$35:$C$82)+1&lt;=_xlpm.DepreciationMonths,$C194&lt;=BW$8),$E194/_xlpm.DepreciationMonths,0))</f>
        <v>0</v>
      </c>
      <c r="BX194" s="507" cm="1">
        <f t="array" ref="BX194">_xlfn.LET(_xlpm.DepreciationMonths,INDEX(FixedAssets[Depreciation
/ Amortization Months],_xlfn.XMATCH($E$186,FixedAssets[Asset ID])),IF(AND((_xlfn.XMATCH(BX$8,$AH$8:$CC$8))-_xlfn.XMATCH($C194,$C$35:$C$82)+1&lt;=_xlpm.DepreciationMonths,$C194&lt;=BX$8),$E194/_xlpm.DepreciationMonths,0))</f>
        <v>0</v>
      </c>
      <c r="BY194" s="507" cm="1">
        <f t="array" ref="BY194">_xlfn.LET(_xlpm.DepreciationMonths,INDEX(FixedAssets[Depreciation
/ Amortization Months],_xlfn.XMATCH($E$186,FixedAssets[Asset ID])),IF(AND((_xlfn.XMATCH(BY$8,$AH$8:$CC$8))-_xlfn.XMATCH($C194,$C$35:$C$82)+1&lt;=_xlpm.DepreciationMonths,$C194&lt;=BY$8),$E194/_xlpm.DepreciationMonths,0))</f>
        <v>0</v>
      </c>
      <c r="BZ194" s="507" cm="1">
        <f t="array" ref="BZ194">_xlfn.LET(_xlpm.DepreciationMonths,INDEX(FixedAssets[Depreciation
/ Amortization Months],_xlfn.XMATCH($E$186,FixedAssets[Asset ID])),IF(AND((_xlfn.XMATCH(BZ$8,$AH$8:$CC$8))-_xlfn.XMATCH($C194,$C$35:$C$82)+1&lt;=_xlpm.DepreciationMonths,$C194&lt;=BZ$8),$E194/_xlpm.DepreciationMonths,0))</f>
        <v>0</v>
      </c>
      <c r="CA194" s="507" cm="1">
        <f t="array" ref="CA194">_xlfn.LET(_xlpm.DepreciationMonths,INDEX(FixedAssets[Depreciation
/ Amortization Months],_xlfn.XMATCH($E$186,FixedAssets[Asset ID])),IF(AND((_xlfn.XMATCH(CA$8,$AH$8:$CC$8))-_xlfn.XMATCH($C194,$C$35:$C$82)+1&lt;=_xlpm.DepreciationMonths,$C194&lt;=CA$8),$E194/_xlpm.DepreciationMonths,0))</f>
        <v>0</v>
      </c>
      <c r="CB194" s="507" cm="1">
        <f t="array" ref="CB194">_xlfn.LET(_xlpm.DepreciationMonths,INDEX(FixedAssets[Depreciation
/ Amortization Months],_xlfn.XMATCH($E$186,FixedAssets[Asset ID])),IF(AND((_xlfn.XMATCH(CB$8,$AH$8:$CC$8))-_xlfn.XMATCH($C194,$C$35:$C$82)+1&lt;=_xlpm.DepreciationMonths,$C194&lt;=CB$8),$E194/_xlpm.DepreciationMonths,0))</f>
        <v>0</v>
      </c>
      <c r="CC194" s="507" cm="1">
        <f t="array" ref="CC194">_xlfn.LET(_xlpm.DepreciationMonths,INDEX(FixedAssets[Depreciation
/ Amortization Months],_xlfn.XMATCH($E$186,FixedAssets[Asset ID])),IF(AND((_xlfn.XMATCH(CC$8,$AH$8:$CC$8))-_xlfn.XMATCH($C194,$C$35:$C$82)+1&lt;=_xlpm.DepreciationMonths,$C194&lt;=CC$8),$E194/_xlpm.DepreciationMonths,0))</f>
        <v>0</v>
      </c>
    </row>
    <row r="195" spans="3:81" hidden="1" outlineLevel="2">
      <c r="C195" s="664">
        <f t="shared" si="256"/>
        <v>45169</v>
      </c>
      <c r="D195" s="508"/>
      <c r="E195" s="508" cm="1">
        <f t="array" ref="E195">SUMPRODUCT(($AH$26:$CC$31)*($AH$5:$CC$5=$C195)*($E$26:$E$31=E$186))-SUMPRODUCT(($AH$26:$CC$31)*($AH$5:$CC$5=EOMONTH($C195,-1))*($E$26:$E$31=E$186))</f>
        <v>0</v>
      </c>
      <c r="F195" s="508"/>
      <c r="G195" s="508"/>
      <c r="H195" s="508"/>
      <c r="I195" s="508"/>
      <c r="J195" s="504">
        <f t="shared" si="254"/>
        <v>0</v>
      </c>
      <c r="K195" s="504">
        <f t="shared" si="254"/>
        <v>0</v>
      </c>
      <c r="L195" s="504">
        <f t="shared" si="254"/>
        <v>0</v>
      </c>
      <c r="M195" s="504">
        <f t="shared" si="254"/>
        <v>0</v>
      </c>
      <c r="N195" s="504"/>
      <c r="O195" s="504"/>
      <c r="P195" s="504">
        <f t="shared" si="255"/>
        <v>0</v>
      </c>
      <c r="Q195" s="504">
        <f t="shared" si="255"/>
        <v>0</v>
      </c>
      <c r="R195" s="504">
        <f t="shared" si="255"/>
        <v>0</v>
      </c>
      <c r="S195" s="504">
        <f t="shared" si="255"/>
        <v>0</v>
      </c>
      <c r="T195" s="504">
        <f t="shared" si="255"/>
        <v>0</v>
      </c>
      <c r="U195" s="504">
        <f t="shared" si="255"/>
        <v>0</v>
      </c>
      <c r="V195" s="504">
        <f t="shared" si="255"/>
        <v>0</v>
      </c>
      <c r="W195" s="504">
        <f t="shared" si="255"/>
        <v>0</v>
      </c>
      <c r="X195" s="504">
        <f t="shared" si="255"/>
        <v>0</v>
      </c>
      <c r="Y195" s="504">
        <f t="shared" si="255"/>
        <v>0</v>
      </c>
      <c r="Z195" s="504">
        <f t="shared" si="255"/>
        <v>0</v>
      </c>
      <c r="AA195" s="504">
        <f t="shared" si="255"/>
        <v>0</v>
      </c>
      <c r="AB195" s="504">
        <f t="shared" si="255"/>
        <v>0</v>
      </c>
      <c r="AC195" s="504">
        <f t="shared" si="255"/>
        <v>0</v>
      </c>
      <c r="AD195" s="504">
        <f t="shared" si="255"/>
        <v>0</v>
      </c>
      <c r="AE195" s="504">
        <f t="shared" si="255"/>
        <v>0</v>
      </c>
      <c r="AF195" s="508"/>
      <c r="AG195" s="508"/>
      <c r="AH195" s="507" cm="1">
        <f t="array" ref="AH195">_xlfn.LET(_xlpm.DepreciationMonths,INDEX(FixedAssets[Depreciation
/ Amortization Months],_xlfn.XMATCH($E$186,FixedAssets[Asset ID])),IF(AND((_xlfn.XMATCH(AH$8,$AH$8:$CC$8))-_xlfn.XMATCH($C195,$C$35:$C$82)+1&lt;=_xlpm.DepreciationMonths,$C195&lt;=AH$8),$E195/_xlpm.DepreciationMonths,0))</f>
        <v>0</v>
      </c>
      <c r="AI195" s="507" cm="1">
        <f t="array" ref="AI195">_xlfn.LET(_xlpm.DepreciationMonths,INDEX(FixedAssets[Depreciation
/ Amortization Months],_xlfn.XMATCH($E$186,FixedAssets[Asset ID])),IF(AND((_xlfn.XMATCH(AI$8,$AH$8:$CC$8))-_xlfn.XMATCH($C195,$C$35:$C$82)+1&lt;=_xlpm.DepreciationMonths,$C195&lt;=AI$8),$E195/_xlpm.DepreciationMonths,0))</f>
        <v>0</v>
      </c>
      <c r="AJ195" s="507" cm="1">
        <f t="array" ref="AJ195">_xlfn.LET(_xlpm.DepreciationMonths,INDEX(FixedAssets[Depreciation
/ Amortization Months],_xlfn.XMATCH($E$186,FixedAssets[Asset ID])),IF(AND((_xlfn.XMATCH(AJ$8,$AH$8:$CC$8))-_xlfn.XMATCH($C195,$C$35:$C$82)+1&lt;=_xlpm.DepreciationMonths,$C195&lt;=AJ$8),$E195/_xlpm.DepreciationMonths,0))</f>
        <v>0</v>
      </c>
      <c r="AK195" s="507" cm="1">
        <f t="array" ref="AK195">_xlfn.LET(_xlpm.DepreciationMonths,INDEX(FixedAssets[Depreciation
/ Amortization Months],_xlfn.XMATCH($E$186,FixedAssets[Asset ID])),IF(AND((_xlfn.XMATCH(AK$8,$AH$8:$CC$8))-_xlfn.XMATCH($C195,$C$35:$C$82)+1&lt;=_xlpm.DepreciationMonths,$C195&lt;=AK$8),$E195/_xlpm.DepreciationMonths,0))</f>
        <v>0</v>
      </c>
      <c r="AL195" s="507" cm="1">
        <f t="array" ref="AL195">_xlfn.LET(_xlpm.DepreciationMonths,INDEX(FixedAssets[Depreciation
/ Amortization Months],_xlfn.XMATCH($E$186,FixedAssets[Asset ID])),IF(AND((_xlfn.XMATCH(AL$8,$AH$8:$CC$8))-_xlfn.XMATCH($C195,$C$35:$C$82)+1&lt;=_xlpm.DepreciationMonths,$C195&lt;=AL$8),$E195/_xlpm.DepreciationMonths,0))</f>
        <v>0</v>
      </c>
      <c r="AM195" s="507" cm="1">
        <f t="array" ref="AM195">_xlfn.LET(_xlpm.DepreciationMonths,INDEX(FixedAssets[Depreciation
/ Amortization Months],_xlfn.XMATCH($E$186,FixedAssets[Asset ID])),IF(AND((_xlfn.XMATCH(AM$8,$AH$8:$CC$8))-_xlfn.XMATCH($C195,$C$35:$C$82)+1&lt;=_xlpm.DepreciationMonths,$C195&lt;=AM$8),$E195/_xlpm.DepreciationMonths,0))</f>
        <v>0</v>
      </c>
      <c r="AN195" s="507" cm="1">
        <f t="array" ref="AN195">_xlfn.LET(_xlpm.DepreciationMonths,INDEX(FixedAssets[Depreciation
/ Amortization Months],_xlfn.XMATCH($E$186,FixedAssets[Asset ID])),IF(AND((_xlfn.XMATCH(AN$8,$AH$8:$CC$8))-_xlfn.XMATCH($C195,$C$35:$C$82)+1&lt;=_xlpm.DepreciationMonths,$C195&lt;=AN$8),$E195/_xlpm.DepreciationMonths,0))</f>
        <v>0</v>
      </c>
      <c r="AO195" s="507" cm="1">
        <f t="array" ref="AO195">_xlfn.LET(_xlpm.DepreciationMonths,INDEX(FixedAssets[Depreciation
/ Amortization Months],_xlfn.XMATCH($E$186,FixedAssets[Asset ID])),IF(AND((_xlfn.XMATCH(AO$8,$AH$8:$CC$8))-_xlfn.XMATCH($C195,$C$35:$C$82)+1&lt;=_xlpm.DepreciationMonths,$C195&lt;=AO$8),$E195/_xlpm.DepreciationMonths,0))</f>
        <v>0</v>
      </c>
      <c r="AP195" s="507" cm="1">
        <f t="array" ref="AP195">_xlfn.LET(_xlpm.DepreciationMonths,INDEX(FixedAssets[Depreciation
/ Amortization Months],_xlfn.XMATCH($E$186,FixedAssets[Asset ID])),IF(AND((_xlfn.XMATCH(AP$8,$AH$8:$CC$8))-_xlfn.XMATCH($C195,$C$35:$C$82)+1&lt;=_xlpm.DepreciationMonths,$C195&lt;=AP$8),$E195/_xlpm.DepreciationMonths,0))</f>
        <v>0</v>
      </c>
      <c r="AQ195" s="507" cm="1">
        <f t="array" ref="AQ195">_xlfn.LET(_xlpm.DepreciationMonths,INDEX(FixedAssets[Depreciation
/ Amortization Months],_xlfn.XMATCH($E$186,FixedAssets[Asset ID])),IF(AND((_xlfn.XMATCH(AQ$8,$AH$8:$CC$8))-_xlfn.XMATCH($C195,$C$35:$C$82)+1&lt;=_xlpm.DepreciationMonths,$C195&lt;=AQ$8),$E195/_xlpm.DepreciationMonths,0))</f>
        <v>0</v>
      </c>
      <c r="AR195" s="507" cm="1">
        <f t="array" ref="AR195">_xlfn.LET(_xlpm.DepreciationMonths,INDEX(FixedAssets[Depreciation
/ Amortization Months],_xlfn.XMATCH($E$186,FixedAssets[Asset ID])),IF(AND((_xlfn.XMATCH(AR$8,$AH$8:$CC$8))-_xlfn.XMATCH($C195,$C$35:$C$82)+1&lt;=_xlpm.DepreciationMonths,$C195&lt;=AR$8),$E195/_xlpm.DepreciationMonths,0))</f>
        <v>0</v>
      </c>
      <c r="AS195" s="507" cm="1">
        <f t="array" ref="AS195">_xlfn.LET(_xlpm.DepreciationMonths,INDEX(FixedAssets[Depreciation
/ Amortization Months],_xlfn.XMATCH($E$186,FixedAssets[Asset ID])),IF(AND((_xlfn.XMATCH(AS$8,$AH$8:$CC$8))-_xlfn.XMATCH($C195,$C$35:$C$82)+1&lt;=_xlpm.DepreciationMonths,$C195&lt;=AS$8),$E195/_xlpm.DepreciationMonths,0))</f>
        <v>0</v>
      </c>
      <c r="AT195" s="507" cm="1">
        <f t="array" ref="AT195">_xlfn.LET(_xlpm.DepreciationMonths,INDEX(FixedAssets[Depreciation
/ Amortization Months],_xlfn.XMATCH($E$186,FixedAssets[Asset ID])),IF(AND((_xlfn.XMATCH(AT$8,$AH$8:$CC$8))-_xlfn.XMATCH($C195,$C$35:$C$82)+1&lt;=_xlpm.DepreciationMonths,$C195&lt;=AT$8),$E195/_xlpm.DepreciationMonths,0))</f>
        <v>0</v>
      </c>
      <c r="AU195" s="507" cm="1">
        <f t="array" ref="AU195">_xlfn.LET(_xlpm.DepreciationMonths,INDEX(FixedAssets[Depreciation
/ Amortization Months],_xlfn.XMATCH($E$186,FixedAssets[Asset ID])),IF(AND((_xlfn.XMATCH(AU$8,$AH$8:$CC$8))-_xlfn.XMATCH($C195,$C$35:$C$82)+1&lt;=_xlpm.DepreciationMonths,$C195&lt;=AU$8),$E195/_xlpm.DepreciationMonths,0))</f>
        <v>0</v>
      </c>
      <c r="AV195" s="507" cm="1">
        <f t="array" ref="AV195">_xlfn.LET(_xlpm.DepreciationMonths,INDEX(FixedAssets[Depreciation
/ Amortization Months],_xlfn.XMATCH($E$186,FixedAssets[Asset ID])),IF(AND((_xlfn.XMATCH(AV$8,$AH$8:$CC$8))-_xlfn.XMATCH($C195,$C$35:$C$82)+1&lt;=_xlpm.DepreciationMonths,$C195&lt;=AV$8),$E195/_xlpm.DepreciationMonths,0))</f>
        <v>0</v>
      </c>
      <c r="AW195" s="507" cm="1">
        <f t="array" ref="AW195">_xlfn.LET(_xlpm.DepreciationMonths,INDEX(FixedAssets[Depreciation
/ Amortization Months],_xlfn.XMATCH($E$186,FixedAssets[Asset ID])),IF(AND((_xlfn.XMATCH(AW$8,$AH$8:$CC$8))-_xlfn.XMATCH($C195,$C$35:$C$82)+1&lt;=_xlpm.DepreciationMonths,$C195&lt;=AW$8),$E195/_xlpm.DepreciationMonths,0))</f>
        <v>0</v>
      </c>
      <c r="AX195" s="507" cm="1">
        <f t="array" ref="AX195">_xlfn.LET(_xlpm.DepreciationMonths,INDEX(FixedAssets[Depreciation
/ Amortization Months],_xlfn.XMATCH($E$186,FixedAssets[Asset ID])),IF(AND((_xlfn.XMATCH(AX$8,$AH$8:$CC$8))-_xlfn.XMATCH($C195,$C$35:$C$82)+1&lt;=_xlpm.DepreciationMonths,$C195&lt;=AX$8),$E195/_xlpm.DepreciationMonths,0))</f>
        <v>0</v>
      </c>
      <c r="AY195" s="507" cm="1">
        <f t="array" ref="AY195">_xlfn.LET(_xlpm.DepreciationMonths,INDEX(FixedAssets[Depreciation
/ Amortization Months],_xlfn.XMATCH($E$186,FixedAssets[Asset ID])),IF(AND((_xlfn.XMATCH(AY$8,$AH$8:$CC$8))-_xlfn.XMATCH($C195,$C$35:$C$82)+1&lt;=_xlpm.DepreciationMonths,$C195&lt;=AY$8),$E195/_xlpm.DepreciationMonths,0))</f>
        <v>0</v>
      </c>
      <c r="AZ195" s="507" cm="1">
        <f t="array" ref="AZ195">_xlfn.LET(_xlpm.DepreciationMonths,INDEX(FixedAssets[Depreciation
/ Amortization Months],_xlfn.XMATCH($E$186,FixedAssets[Asset ID])),IF(AND((_xlfn.XMATCH(AZ$8,$AH$8:$CC$8))-_xlfn.XMATCH($C195,$C$35:$C$82)+1&lt;=_xlpm.DepreciationMonths,$C195&lt;=AZ$8),$E195/_xlpm.DepreciationMonths,0))</f>
        <v>0</v>
      </c>
      <c r="BA195" s="507" cm="1">
        <f t="array" ref="BA195">_xlfn.LET(_xlpm.DepreciationMonths,INDEX(FixedAssets[Depreciation
/ Amortization Months],_xlfn.XMATCH($E$186,FixedAssets[Asset ID])),IF(AND((_xlfn.XMATCH(BA$8,$AH$8:$CC$8))-_xlfn.XMATCH($C195,$C$35:$C$82)+1&lt;=_xlpm.DepreciationMonths,$C195&lt;=BA$8),$E195/_xlpm.DepreciationMonths,0))</f>
        <v>0</v>
      </c>
      <c r="BB195" s="507" cm="1">
        <f t="array" ref="BB195">_xlfn.LET(_xlpm.DepreciationMonths,INDEX(FixedAssets[Depreciation
/ Amortization Months],_xlfn.XMATCH($E$186,FixedAssets[Asset ID])),IF(AND((_xlfn.XMATCH(BB$8,$AH$8:$CC$8))-_xlfn.XMATCH($C195,$C$35:$C$82)+1&lt;=_xlpm.DepreciationMonths,$C195&lt;=BB$8),$E195/_xlpm.DepreciationMonths,0))</f>
        <v>0</v>
      </c>
      <c r="BC195" s="507" cm="1">
        <f t="array" ref="BC195">_xlfn.LET(_xlpm.DepreciationMonths,INDEX(FixedAssets[Depreciation
/ Amortization Months],_xlfn.XMATCH($E$186,FixedAssets[Asset ID])),IF(AND((_xlfn.XMATCH(BC$8,$AH$8:$CC$8))-_xlfn.XMATCH($C195,$C$35:$C$82)+1&lt;=_xlpm.DepreciationMonths,$C195&lt;=BC$8),$E195/_xlpm.DepreciationMonths,0))</f>
        <v>0</v>
      </c>
      <c r="BD195" s="507" cm="1">
        <f t="array" ref="BD195">_xlfn.LET(_xlpm.DepreciationMonths,INDEX(FixedAssets[Depreciation
/ Amortization Months],_xlfn.XMATCH($E$186,FixedAssets[Asset ID])),IF(AND((_xlfn.XMATCH(BD$8,$AH$8:$CC$8))-_xlfn.XMATCH($C195,$C$35:$C$82)+1&lt;=_xlpm.DepreciationMonths,$C195&lt;=BD$8),$E195/_xlpm.DepreciationMonths,0))</f>
        <v>0</v>
      </c>
      <c r="BE195" s="507" cm="1">
        <f t="array" ref="BE195">_xlfn.LET(_xlpm.DepreciationMonths,INDEX(FixedAssets[Depreciation
/ Amortization Months],_xlfn.XMATCH($E$186,FixedAssets[Asset ID])),IF(AND((_xlfn.XMATCH(BE$8,$AH$8:$CC$8))-_xlfn.XMATCH($C195,$C$35:$C$82)+1&lt;=_xlpm.DepreciationMonths,$C195&lt;=BE$8),$E195/_xlpm.DepreciationMonths,0))</f>
        <v>0</v>
      </c>
      <c r="BF195" s="507" cm="1">
        <f t="array" ref="BF195">_xlfn.LET(_xlpm.DepreciationMonths,INDEX(FixedAssets[Depreciation
/ Amortization Months],_xlfn.XMATCH($E$186,FixedAssets[Asset ID])),IF(AND((_xlfn.XMATCH(BF$8,$AH$8:$CC$8))-_xlfn.XMATCH($C195,$C$35:$C$82)+1&lt;=_xlpm.DepreciationMonths,$C195&lt;=BF$8),$E195/_xlpm.DepreciationMonths,0))</f>
        <v>0</v>
      </c>
      <c r="BG195" s="507" cm="1">
        <f t="array" ref="BG195">_xlfn.LET(_xlpm.DepreciationMonths,INDEX(FixedAssets[Depreciation
/ Amortization Months],_xlfn.XMATCH($E$186,FixedAssets[Asset ID])),IF(AND((_xlfn.XMATCH(BG$8,$AH$8:$CC$8))-_xlfn.XMATCH($C195,$C$35:$C$82)+1&lt;=_xlpm.DepreciationMonths,$C195&lt;=BG$8),$E195/_xlpm.DepreciationMonths,0))</f>
        <v>0</v>
      </c>
      <c r="BH195" s="507" cm="1">
        <f t="array" ref="BH195">_xlfn.LET(_xlpm.DepreciationMonths,INDEX(FixedAssets[Depreciation
/ Amortization Months],_xlfn.XMATCH($E$186,FixedAssets[Asset ID])),IF(AND((_xlfn.XMATCH(BH$8,$AH$8:$CC$8))-_xlfn.XMATCH($C195,$C$35:$C$82)+1&lt;=_xlpm.DepreciationMonths,$C195&lt;=BH$8),$E195/_xlpm.DepreciationMonths,0))</f>
        <v>0</v>
      </c>
      <c r="BI195" s="507" cm="1">
        <f t="array" ref="BI195">_xlfn.LET(_xlpm.DepreciationMonths,INDEX(FixedAssets[Depreciation
/ Amortization Months],_xlfn.XMATCH($E$186,FixedAssets[Asset ID])),IF(AND((_xlfn.XMATCH(BI$8,$AH$8:$CC$8))-_xlfn.XMATCH($C195,$C$35:$C$82)+1&lt;=_xlpm.DepreciationMonths,$C195&lt;=BI$8),$E195/_xlpm.DepreciationMonths,0))</f>
        <v>0</v>
      </c>
      <c r="BJ195" s="507" cm="1">
        <f t="array" ref="BJ195">_xlfn.LET(_xlpm.DepreciationMonths,INDEX(FixedAssets[Depreciation
/ Amortization Months],_xlfn.XMATCH($E$186,FixedAssets[Asset ID])),IF(AND((_xlfn.XMATCH(BJ$8,$AH$8:$CC$8))-_xlfn.XMATCH($C195,$C$35:$C$82)+1&lt;=_xlpm.DepreciationMonths,$C195&lt;=BJ$8),$E195/_xlpm.DepreciationMonths,0))</f>
        <v>0</v>
      </c>
      <c r="BK195" s="507" cm="1">
        <f t="array" ref="BK195">_xlfn.LET(_xlpm.DepreciationMonths,INDEX(FixedAssets[Depreciation
/ Amortization Months],_xlfn.XMATCH($E$186,FixedAssets[Asset ID])),IF(AND((_xlfn.XMATCH(BK$8,$AH$8:$CC$8))-_xlfn.XMATCH($C195,$C$35:$C$82)+1&lt;=_xlpm.DepreciationMonths,$C195&lt;=BK$8),$E195/_xlpm.DepreciationMonths,0))</f>
        <v>0</v>
      </c>
      <c r="BL195" s="507" cm="1">
        <f t="array" ref="BL195">_xlfn.LET(_xlpm.DepreciationMonths,INDEX(FixedAssets[Depreciation
/ Amortization Months],_xlfn.XMATCH($E$186,FixedAssets[Asset ID])),IF(AND((_xlfn.XMATCH(BL$8,$AH$8:$CC$8))-_xlfn.XMATCH($C195,$C$35:$C$82)+1&lt;=_xlpm.DepreciationMonths,$C195&lt;=BL$8),$E195/_xlpm.DepreciationMonths,0))</f>
        <v>0</v>
      </c>
      <c r="BM195" s="507" cm="1">
        <f t="array" ref="BM195">_xlfn.LET(_xlpm.DepreciationMonths,INDEX(FixedAssets[Depreciation
/ Amortization Months],_xlfn.XMATCH($E$186,FixedAssets[Asset ID])),IF(AND((_xlfn.XMATCH(BM$8,$AH$8:$CC$8))-_xlfn.XMATCH($C195,$C$35:$C$82)+1&lt;=_xlpm.DepreciationMonths,$C195&lt;=BM$8),$E195/_xlpm.DepreciationMonths,0))</f>
        <v>0</v>
      </c>
      <c r="BN195" s="507" cm="1">
        <f t="array" ref="BN195">_xlfn.LET(_xlpm.DepreciationMonths,INDEX(FixedAssets[Depreciation
/ Amortization Months],_xlfn.XMATCH($E$186,FixedAssets[Asset ID])),IF(AND((_xlfn.XMATCH(BN$8,$AH$8:$CC$8))-_xlfn.XMATCH($C195,$C$35:$C$82)+1&lt;=_xlpm.DepreciationMonths,$C195&lt;=BN$8),$E195/_xlpm.DepreciationMonths,0))</f>
        <v>0</v>
      </c>
      <c r="BO195" s="507" cm="1">
        <f t="array" ref="BO195">_xlfn.LET(_xlpm.DepreciationMonths,INDEX(FixedAssets[Depreciation
/ Amortization Months],_xlfn.XMATCH($E$186,FixedAssets[Asset ID])),IF(AND((_xlfn.XMATCH(BO$8,$AH$8:$CC$8))-_xlfn.XMATCH($C195,$C$35:$C$82)+1&lt;=_xlpm.DepreciationMonths,$C195&lt;=BO$8),$E195/_xlpm.DepreciationMonths,0))</f>
        <v>0</v>
      </c>
      <c r="BP195" s="507" cm="1">
        <f t="array" ref="BP195">_xlfn.LET(_xlpm.DepreciationMonths,INDEX(FixedAssets[Depreciation
/ Amortization Months],_xlfn.XMATCH($E$186,FixedAssets[Asset ID])),IF(AND((_xlfn.XMATCH(BP$8,$AH$8:$CC$8))-_xlfn.XMATCH($C195,$C$35:$C$82)+1&lt;=_xlpm.DepreciationMonths,$C195&lt;=BP$8),$E195/_xlpm.DepreciationMonths,0))</f>
        <v>0</v>
      </c>
      <c r="BQ195" s="507" cm="1">
        <f t="array" ref="BQ195">_xlfn.LET(_xlpm.DepreciationMonths,INDEX(FixedAssets[Depreciation
/ Amortization Months],_xlfn.XMATCH($E$186,FixedAssets[Asset ID])),IF(AND((_xlfn.XMATCH(BQ$8,$AH$8:$CC$8))-_xlfn.XMATCH($C195,$C$35:$C$82)+1&lt;=_xlpm.DepreciationMonths,$C195&lt;=BQ$8),$E195/_xlpm.DepreciationMonths,0))</f>
        <v>0</v>
      </c>
      <c r="BR195" s="507" cm="1">
        <f t="array" ref="BR195">_xlfn.LET(_xlpm.DepreciationMonths,INDEX(FixedAssets[Depreciation
/ Amortization Months],_xlfn.XMATCH($E$186,FixedAssets[Asset ID])),IF(AND((_xlfn.XMATCH(BR$8,$AH$8:$CC$8))-_xlfn.XMATCH($C195,$C$35:$C$82)+1&lt;=_xlpm.DepreciationMonths,$C195&lt;=BR$8),$E195/_xlpm.DepreciationMonths,0))</f>
        <v>0</v>
      </c>
      <c r="BS195" s="507" cm="1">
        <f t="array" ref="BS195">_xlfn.LET(_xlpm.DepreciationMonths,INDEX(FixedAssets[Depreciation
/ Amortization Months],_xlfn.XMATCH($E$186,FixedAssets[Asset ID])),IF(AND((_xlfn.XMATCH(BS$8,$AH$8:$CC$8))-_xlfn.XMATCH($C195,$C$35:$C$82)+1&lt;=_xlpm.DepreciationMonths,$C195&lt;=BS$8),$E195/_xlpm.DepreciationMonths,0))</f>
        <v>0</v>
      </c>
      <c r="BT195" s="507" cm="1">
        <f t="array" ref="BT195">_xlfn.LET(_xlpm.DepreciationMonths,INDEX(FixedAssets[Depreciation
/ Amortization Months],_xlfn.XMATCH($E$186,FixedAssets[Asset ID])),IF(AND((_xlfn.XMATCH(BT$8,$AH$8:$CC$8))-_xlfn.XMATCH($C195,$C$35:$C$82)+1&lt;=_xlpm.DepreciationMonths,$C195&lt;=BT$8),$E195/_xlpm.DepreciationMonths,0))</f>
        <v>0</v>
      </c>
      <c r="BU195" s="507" cm="1">
        <f t="array" ref="BU195">_xlfn.LET(_xlpm.DepreciationMonths,INDEX(FixedAssets[Depreciation
/ Amortization Months],_xlfn.XMATCH($E$186,FixedAssets[Asset ID])),IF(AND((_xlfn.XMATCH(BU$8,$AH$8:$CC$8))-_xlfn.XMATCH($C195,$C$35:$C$82)+1&lt;=_xlpm.DepreciationMonths,$C195&lt;=BU$8),$E195/_xlpm.DepreciationMonths,0))</f>
        <v>0</v>
      </c>
      <c r="BV195" s="507" cm="1">
        <f t="array" ref="BV195">_xlfn.LET(_xlpm.DepreciationMonths,INDEX(FixedAssets[Depreciation
/ Amortization Months],_xlfn.XMATCH($E$186,FixedAssets[Asset ID])),IF(AND((_xlfn.XMATCH(BV$8,$AH$8:$CC$8))-_xlfn.XMATCH($C195,$C$35:$C$82)+1&lt;=_xlpm.DepreciationMonths,$C195&lt;=BV$8),$E195/_xlpm.DepreciationMonths,0))</f>
        <v>0</v>
      </c>
      <c r="BW195" s="507" cm="1">
        <f t="array" ref="BW195">_xlfn.LET(_xlpm.DepreciationMonths,INDEX(FixedAssets[Depreciation
/ Amortization Months],_xlfn.XMATCH($E$186,FixedAssets[Asset ID])),IF(AND((_xlfn.XMATCH(BW$8,$AH$8:$CC$8))-_xlfn.XMATCH($C195,$C$35:$C$82)+1&lt;=_xlpm.DepreciationMonths,$C195&lt;=BW$8),$E195/_xlpm.DepreciationMonths,0))</f>
        <v>0</v>
      </c>
      <c r="BX195" s="507" cm="1">
        <f t="array" ref="BX195">_xlfn.LET(_xlpm.DepreciationMonths,INDEX(FixedAssets[Depreciation
/ Amortization Months],_xlfn.XMATCH($E$186,FixedAssets[Asset ID])),IF(AND((_xlfn.XMATCH(BX$8,$AH$8:$CC$8))-_xlfn.XMATCH($C195,$C$35:$C$82)+1&lt;=_xlpm.DepreciationMonths,$C195&lt;=BX$8),$E195/_xlpm.DepreciationMonths,0))</f>
        <v>0</v>
      </c>
      <c r="BY195" s="507" cm="1">
        <f t="array" ref="BY195">_xlfn.LET(_xlpm.DepreciationMonths,INDEX(FixedAssets[Depreciation
/ Amortization Months],_xlfn.XMATCH($E$186,FixedAssets[Asset ID])),IF(AND((_xlfn.XMATCH(BY$8,$AH$8:$CC$8))-_xlfn.XMATCH($C195,$C$35:$C$82)+1&lt;=_xlpm.DepreciationMonths,$C195&lt;=BY$8),$E195/_xlpm.DepreciationMonths,0))</f>
        <v>0</v>
      </c>
      <c r="BZ195" s="507" cm="1">
        <f t="array" ref="BZ195">_xlfn.LET(_xlpm.DepreciationMonths,INDEX(FixedAssets[Depreciation
/ Amortization Months],_xlfn.XMATCH($E$186,FixedAssets[Asset ID])),IF(AND((_xlfn.XMATCH(BZ$8,$AH$8:$CC$8))-_xlfn.XMATCH($C195,$C$35:$C$82)+1&lt;=_xlpm.DepreciationMonths,$C195&lt;=BZ$8),$E195/_xlpm.DepreciationMonths,0))</f>
        <v>0</v>
      </c>
      <c r="CA195" s="507" cm="1">
        <f t="array" ref="CA195">_xlfn.LET(_xlpm.DepreciationMonths,INDEX(FixedAssets[Depreciation
/ Amortization Months],_xlfn.XMATCH($E$186,FixedAssets[Asset ID])),IF(AND((_xlfn.XMATCH(CA$8,$AH$8:$CC$8))-_xlfn.XMATCH($C195,$C$35:$C$82)+1&lt;=_xlpm.DepreciationMonths,$C195&lt;=CA$8),$E195/_xlpm.DepreciationMonths,0))</f>
        <v>0</v>
      </c>
      <c r="CB195" s="507" cm="1">
        <f t="array" ref="CB195">_xlfn.LET(_xlpm.DepreciationMonths,INDEX(FixedAssets[Depreciation
/ Amortization Months],_xlfn.XMATCH($E$186,FixedAssets[Asset ID])),IF(AND((_xlfn.XMATCH(CB$8,$AH$8:$CC$8))-_xlfn.XMATCH($C195,$C$35:$C$82)+1&lt;=_xlpm.DepreciationMonths,$C195&lt;=CB$8),$E195/_xlpm.DepreciationMonths,0))</f>
        <v>0</v>
      </c>
      <c r="CC195" s="507" cm="1">
        <f t="array" ref="CC195">_xlfn.LET(_xlpm.DepreciationMonths,INDEX(FixedAssets[Depreciation
/ Amortization Months],_xlfn.XMATCH($E$186,FixedAssets[Asset ID])),IF(AND((_xlfn.XMATCH(CC$8,$AH$8:$CC$8))-_xlfn.XMATCH($C195,$C$35:$C$82)+1&lt;=_xlpm.DepreciationMonths,$C195&lt;=CC$8),$E195/_xlpm.DepreciationMonths,0))</f>
        <v>0</v>
      </c>
    </row>
    <row r="196" spans="3:81" hidden="1" outlineLevel="2">
      <c r="C196" s="664">
        <f t="shared" si="256"/>
        <v>45199</v>
      </c>
      <c r="D196" s="508"/>
      <c r="E196" s="508" cm="1">
        <f t="array" ref="E196">SUMPRODUCT(($AH$26:$CC$31)*($AH$5:$CC$5=$C196)*($E$26:$E$31=E$186))-SUMPRODUCT(($AH$26:$CC$31)*($AH$5:$CC$5=EOMONTH($C196,-1))*($E$26:$E$31=E$186))</f>
        <v>0</v>
      </c>
      <c r="F196" s="508"/>
      <c r="G196" s="508"/>
      <c r="H196" s="508"/>
      <c r="I196" s="508"/>
      <c r="J196" s="504">
        <f t="shared" si="254"/>
        <v>0</v>
      </c>
      <c r="K196" s="504">
        <f t="shared" si="254"/>
        <v>0</v>
      </c>
      <c r="L196" s="504">
        <f t="shared" si="254"/>
        <v>0</v>
      </c>
      <c r="M196" s="504">
        <f t="shared" si="254"/>
        <v>0</v>
      </c>
      <c r="N196" s="504"/>
      <c r="O196" s="504"/>
      <c r="P196" s="504">
        <f t="shared" si="255"/>
        <v>0</v>
      </c>
      <c r="Q196" s="504">
        <f t="shared" si="255"/>
        <v>0</v>
      </c>
      <c r="R196" s="504">
        <f t="shared" si="255"/>
        <v>0</v>
      </c>
      <c r="S196" s="504">
        <f t="shared" si="255"/>
        <v>0</v>
      </c>
      <c r="T196" s="504">
        <f t="shared" si="255"/>
        <v>0</v>
      </c>
      <c r="U196" s="504">
        <f t="shared" si="255"/>
        <v>0</v>
      </c>
      <c r="V196" s="504">
        <f t="shared" si="255"/>
        <v>0</v>
      </c>
      <c r="W196" s="504">
        <f t="shared" si="255"/>
        <v>0</v>
      </c>
      <c r="X196" s="504">
        <f t="shared" si="255"/>
        <v>0</v>
      </c>
      <c r="Y196" s="504">
        <f t="shared" si="255"/>
        <v>0</v>
      </c>
      <c r="Z196" s="504">
        <f t="shared" si="255"/>
        <v>0</v>
      </c>
      <c r="AA196" s="504">
        <f t="shared" si="255"/>
        <v>0</v>
      </c>
      <c r="AB196" s="504">
        <f t="shared" si="255"/>
        <v>0</v>
      </c>
      <c r="AC196" s="504">
        <f t="shared" si="255"/>
        <v>0</v>
      </c>
      <c r="AD196" s="504">
        <f t="shared" si="255"/>
        <v>0</v>
      </c>
      <c r="AE196" s="504">
        <f t="shared" si="255"/>
        <v>0</v>
      </c>
      <c r="AF196" s="508"/>
      <c r="AG196" s="508"/>
      <c r="AH196" s="507" cm="1">
        <f t="array" ref="AH196">_xlfn.LET(_xlpm.DepreciationMonths,INDEX(FixedAssets[Depreciation
/ Amortization Months],_xlfn.XMATCH($E$186,FixedAssets[Asset ID])),IF(AND((_xlfn.XMATCH(AH$8,$AH$8:$CC$8))-_xlfn.XMATCH($C196,$C$35:$C$82)+1&lt;=_xlpm.DepreciationMonths,$C196&lt;=AH$8),$E196/_xlpm.DepreciationMonths,0))</f>
        <v>0</v>
      </c>
      <c r="AI196" s="507" cm="1">
        <f t="array" ref="AI196">_xlfn.LET(_xlpm.DepreciationMonths,INDEX(FixedAssets[Depreciation
/ Amortization Months],_xlfn.XMATCH($E$186,FixedAssets[Asset ID])),IF(AND((_xlfn.XMATCH(AI$8,$AH$8:$CC$8))-_xlfn.XMATCH($C196,$C$35:$C$82)+1&lt;=_xlpm.DepreciationMonths,$C196&lt;=AI$8),$E196/_xlpm.DepreciationMonths,0))</f>
        <v>0</v>
      </c>
      <c r="AJ196" s="507" cm="1">
        <f t="array" ref="AJ196">_xlfn.LET(_xlpm.DepreciationMonths,INDEX(FixedAssets[Depreciation
/ Amortization Months],_xlfn.XMATCH($E$186,FixedAssets[Asset ID])),IF(AND((_xlfn.XMATCH(AJ$8,$AH$8:$CC$8))-_xlfn.XMATCH($C196,$C$35:$C$82)+1&lt;=_xlpm.DepreciationMonths,$C196&lt;=AJ$8),$E196/_xlpm.DepreciationMonths,0))</f>
        <v>0</v>
      </c>
      <c r="AK196" s="507" cm="1">
        <f t="array" ref="AK196">_xlfn.LET(_xlpm.DepreciationMonths,INDEX(FixedAssets[Depreciation
/ Amortization Months],_xlfn.XMATCH($E$186,FixedAssets[Asset ID])),IF(AND((_xlfn.XMATCH(AK$8,$AH$8:$CC$8))-_xlfn.XMATCH($C196,$C$35:$C$82)+1&lt;=_xlpm.DepreciationMonths,$C196&lt;=AK$8),$E196/_xlpm.DepreciationMonths,0))</f>
        <v>0</v>
      </c>
      <c r="AL196" s="507" cm="1">
        <f t="array" ref="AL196">_xlfn.LET(_xlpm.DepreciationMonths,INDEX(FixedAssets[Depreciation
/ Amortization Months],_xlfn.XMATCH($E$186,FixedAssets[Asset ID])),IF(AND((_xlfn.XMATCH(AL$8,$AH$8:$CC$8))-_xlfn.XMATCH($C196,$C$35:$C$82)+1&lt;=_xlpm.DepreciationMonths,$C196&lt;=AL$8),$E196/_xlpm.DepreciationMonths,0))</f>
        <v>0</v>
      </c>
      <c r="AM196" s="507" cm="1">
        <f t="array" ref="AM196">_xlfn.LET(_xlpm.DepreciationMonths,INDEX(FixedAssets[Depreciation
/ Amortization Months],_xlfn.XMATCH($E$186,FixedAssets[Asset ID])),IF(AND((_xlfn.XMATCH(AM$8,$AH$8:$CC$8))-_xlfn.XMATCH($C196,$C$35:$C$82)+1&lt;=_xlpm.DepreciationMonths,$C196&lt;=AM$8),$E196/_xlpm.DepreciationMonths,0))</f>
        <v>0</v>
      </c>
      <c r="AN196" s="507" cm="1">
        <f t="array" ref="AN196">_xlfn.LET(_xlpm.DepreciationMonths,INDEX(FixedAssets[Depreciation
/ Amortization Months],_xlfn.XMATCH($E$186,FixedAssets[Asset ID])),IF(AND((_xlfn.XMATCH(AN$8,$AH$8:$CC$8))-_xlfn.XMATCH($C196,$C$35:$C$82)+1&lt;=_xlpm.DepreciationMonths,$C196&lt;=AN$8),$E196/_xlpm.DepreciationMonths,0))</f>
        <v>0</v>
      </c>
      <c r="AO196" s="507" cm="1">
        <f t="array" ref="AO196">_xlfn.LET(_xlpm.DepreciationMonths,INDEX(FixedAssets[Depreciation
/ Amortization Months],_xlfn.XMATCH($E$186,FixedAssets[Asset ID])),IF(AND((_xlfn.XMATCH(AO$8,$AH$8:$CC$8))-_xlfn.XMATCH($C196,$C$35:$C$82)+1&lt;=_xlpm.DepreciationMonths,$C196&lt;=AO$8),$E196/_xlpm.DepreciationMonths,0))</f>
        <v>0</v>
      </c>
      <c r="AP196" s="507" cm="1">
        <f t="array" ref="AP196">_xlfn.LET(_xlpm.DepreciationMonths,INDEX(FixedAssets[Depreciation
/ Amortization Months],_xlfn.XMATCH($E$186,FixedAssets[Asset ID])),IF(AND((_xlfn.XMATCH(AP$8,$AH$8:$CC$8))-_xlfn.XMATCH($C196,$C$35:$C$82)+1&lt;=_xlpm.DepreciationMonths,$C196&lt;=AP$8),$E196/_xlpm.DepreciationMonths,0))</f>
        <v>0</v>
      </c>
      <c r="AQ196" s="507" cm="1">
        <f t="array" ref="AQ196">_xlfn.LET(_xlpm.DepreciationMonths,INDEX(FixedAssets[Depreciation
/ Amortization Months],_xlfn.XMATCH($E$186,FixedAssets[Asset ID])),IF(AND((_xlfn.XMATCH(AQ$8,$AH$8:$CC$8))-_xlfn.XMATCH($C196,$C$35:$C$82)+1&lt;=_xlpm.DepreciationMonths,$C196&lt;=AQ$8),$E196/_xlpm.DepreciationMonths,0))</f>
        <v>0</v>
      </c>
      <c r="AR196" s="507" cm="1">
        <f t="array" ref="AR196">_xlfn.LET(_xlpm.DepreciationMonths,INDEX(FixedAssets[Depreciation
/ Amortization Months],_xlfn.XMATCH($E$186,FixedAssets[Asset ID])),IF(AND((_xlfn.XMATCH(AR$8,$AH$8:$CC$8))-_xlfn.XMATCH($C196,$C$35:$C$82)+1&lt;=_xlpm.DepreciationMonths,$C196&lt;=AR$8),$E196/_xlpm.DepreciationMonths,0))</f>
        <v>0</v>
      </c>
      <c r="AS196" s="507" cm="1">
        <f t="array" ref="AS196">_xlfn.LET(_xlpm.DepreciationMonths,INDEX(FixedAssets[Depreciation
/ Amortization Months],_xlfn.XMATCH($E$186,FixedAssets[Asset ID])),IF(AND((_xlfn.XMATCH(AS$8,$AH$8:$CC$8))-_xlfn.XMATCH($C196,$C$35:$C$82)+1&lt;=_xlpm.DepreciationMonths,$C196&lt;=AS$8),$E196/_xlpm.DepreciationMonths,0))</f>
        <v>0</v>
      </c>
      <c r="AT196" s="507" cm="1">
        <f t="array" ref="AT196">_xlfn.LET(_xlpm.DepreciationMonths,INDEX(FixedAssets[Depreciation
/ Amortization Months],_xlfn.XMATCH($E$186,FixedAssets[Asset ID])),IF(AND((_xlfn.XMATCH(AT$8,$AH$8:$CC$8))-_xlfn.XMATCH($C196,$C$35:$C$82)+1&lt;=_xlpm.DepreciationMonths,$C196&lt;=AT$8),$E196/_xlpm.DepreciationMonths,0))</f>
        <v>0</v>
      </c>
      <c r="AU196" s="507" cm="1">
        <f t="array" ref="AU196">_xlfn.LET(_xlpm.DepreciationMonths,INDEX(FixedAssets[Depreciation
/ Amortization Months],_xlfn.XMATCH($E$186,FixedAssets[Asset ID])),IF(AND((_xlfn.XMATCH(AU$8,$AH$8:$CC$8))-_xlfn.XMATCH($C196,$C$35:$C$82)+1&lt;=_xlpm.DepreciationMonths,$C196&lt;=AU$8),$E196/_xlpm.DepreciationMonths,0))</f>
        <v>0</v>
      </c>
      <c r="AV196" s="507" cm="1">
        <f t="array" ref="AV196">_xlfn.LET(_xlpm.DepreciationMonths,INDEX(FixedAssets[Depreciation
/ Amortization Months],_xlfn.XMATCH($E$186,FixedAssets[Asset ID])),IF(AND((_xlfn.XMATCH(AV$8,$AH$8:$CC$8))-_xlfn.XMATCH($C196,$C$35:$C$82)+1&lt;=_xlpm.DepreciationMonths,$C196&lt;=AV$8),$E196/_xlpm.DepreciationMonths,0))</f>
        <v>0</v>
      </c>
      <c r="AW196" s="507" cm="1">
        <f t="array" ref="AW196">_xlfn.LET(_xlpm.DepreciationMonths,INDEX(FixedAssets[Depreciation
/ Amortization Months],_xlfn.XMATCH($E$186,FixedAssets[Asset ID])),IF(AND((_xlfn.XMATCH(AW$8,$AH$8:$CC$8))-_xlfn.XMATCH($C196,$C$35:$C$82)+1&lt;=_xlpm.DepreciationMonths,$C196&lt;=AW$8),$E196/_xlpm.DepreciationMonths,0))</f>
        <v>0</v>
      </c>
      <c r="AX196" s="507" cm="1">
        <f t="array" ref="AX196">_xlfn.LET(_xlpm.DepreciationMonths,INDEX(FixedAssets[Depreciation
/ Amortization Months],_xlfn.XMATCH($E$186,FixedAssets[Asset ID])),IF(AND((_xlfn.XMATCH(AX$8,$AH$8:$CC$8))-_xlfn.XMATCH($C196,$C$35:$C$82)+1&lt;=_xlpm.DepreciationMonths,$C196&lt;=AX$8),$E196/_xlpm.DepreciationMonths,0))</f>
        <v>0</v>
      </c>
      <c r="AY196" s="507" cm="1">
        <f t="array" ref="AY196">_xlfn.LET(_xlpm.DepreciationMonths,INDEX(FixedAssets[Depreciation
/ Amortization Months],_xlfn.XMATCH($E$186,FixedAssets[Asset ID])),IF(AND((_xlfn.XMATCH(AY$8,$AH$8:$CC$8))-_xlfn.XMATCH($C196,$C$35:$C$82)+1&lt;=_xlpm.DepreciationMonths,$C196&lt;=AY$8),$E196/_xlpm.DepreciationMonths,0))</f>
        <v>0</v>
      </c>
      <c r="AZ196" s="507" cm="1">
        <f t="array" ref="AZ196">_xlfn.LET(_xlpm.DepreciationMonths,INDEX(FixedAssets[Depreciation
/ Amortization Months],_xlfn.XMATCH($E$186,FixedAssets[Asset ID])),IF(AND((_xlfn.XMATCH(AZ$8,$AH$8:$CC$8))-_xlfn.XMATCH($C196,$C$35:$C$82)+1&lt;=_xlpm.DepreciationMonths,$C196&lt;=AZ$8),$E196/_xlpm.DepreciationMonths,0))</f>
        <v>0</v>
      </c>
      <c r="BA196" s="507" cm="1">
        <f t="array" ref="BA196">_xlfn.LET(_xlpm.DepreciationMonths,INDEX(FixedAssets[Depreciation
/ Amortization Months],_xlfn.XMATCH($E$186,FixedAssets[Asset ID])),IF(AND((_xlfn.XMATCH(BA$8,$AH$8:$CC$8))-_xlfn.XMATCH($C196,$C$35:$C$82)+1&lt;=_xlpm.DepreciationMonths,$C196&lt;=BA$8),$E196/_xlpm.DepreciationMonths,0))</f>
        <v>0</v>
      </c>
      <c r="BB196" s="507" cm="1">
        <f t="array" ref="BB196">_xlfn.LET(_xlpm.DepreciationMonths,INDEX(FixedAssets[Depreciation
/ Amortization Months],_xlfn.XMATCH($E$186,FixedAssets[Asset ID])),IF(AND((_xlfn.XMATCH(BB$8,$AH$8:$CC$8))-_xlfn.XMATCH($C196,$C$35:$C$82)+1&lt;=_xlpm.DepreciationMonths,$C196&lt;=BB$8),$E196/_xlpm.DepreciationMonths,0))</f>
        <v>0</v>
      </c>
      <c r="BC196" s="507" cm="1">
        <f t="array" ref="BC196">_xlfn.LET(_xlpm.DepreciationMonths,INDEX(FixedAssets[Depreciation
/ Amortization Months],_xlfn.XMATCH($E$186,FixedAssets[Asset ID])),IF(AND((_xlfn.XMATCH(BC$8,$AH$8:$CC$8))-_xlfn.XMATCH($C196,$C$35:$C$82)+1&lt;=_xlpm.DepreciationMonths,$C196&lt;=BC$8),$E196/_xlpm.DepreciationMonths,0))</f>
        <v>0</v>
      </c>
      <c r="BD196" s="507" cm="1">
        <f t="array" ref="BD196">_xlfn.LET(_xlpm.DepreciationMonths,INDEX(FixedAssets[Depreciation
/ Amortization Months],_xlfn.XMATCH($E$186,FixedAssets[Asset ID])),IF(AND((_xlfn.XMATCH(BD$8,$AH$8:$CC$8))-_xlfn.XMATCH($C196,$C$35:$C$82)+1&lt;=_xlpm.DepreciationMonths,$C196&lt;=BD$8),$E196/_xlpm.DepreciationMonths,0))</f>
        <v>0</v>
      </c>
      <c r="BE196" s="507" cm="1">
        <f t="array" ref="BE196">_xlfn.LET(_xlpm.DepreciationMonths,INDEX(FixedAssets[Depreciation
/ Amortization Months],_xlfn.XMATCH($E$186,FixedAssets[Asset ID])),IF(AND((_xlfn.XMATCH(BE$8,$AH$8:$CC$8))-_xlfn.XMATCH($C196,$C$35:$C$82)+1&lt;=_xlpm.DepreciationMonths,$C196&lt;=BE$8),$E196/_xlpm.DepreciationMonths,0))</f>
        <v>0</v>
      </c>
      <c r="BF196" s="507" cm="1">
        <f t="array" ref="BF196">_xlfn.LET(_xlpm.DepreciationMonths,INDEX(FixedAssets[Depreciation
/ Amortization Months],_xlfn.XMATCH($E$186,FixedAssets[Asset ID])),IF(AND((_xlfn.XMATCH(BF$8,$AH$8:$CC$8))-_xlfn.XMATCH($C196,$C$35:$C$82)+1&lt;=_xlpm.DepreciationMonths,$C196&lt;=BF$8),$E196/_xlpm.DepreciationMonths,0))</f>
        <v>0</v>
      </c>
      <c r="BG196" s="507" cm="1">
        <f t="array" ref="BG196">_xlfn.LET(_xlpm.DepreciationMonths,INDEX(FixedAssets[Depreciation
/ Amortization Months],_xlfn.XMATCH($E$186,FixedAssets[Asset ID])),IF(AND((_xlfn.XMATCH(BG$8,$AH$8:$CC$8))-_xlfn.XMATCH($C196,$C$35:$C$82)+1&lt;=_xlpm.DepreciationMonths,$C196&lt;=BG$8),$E196/_xlpm.DepreciationMonths,0))</f>
        <v>0</v>
      </c>
      <c r="BH196" s="507" cm="1">
        <f t="array" ref="BH196">_xlfn.LET(_xlpm.DepreciationMonths,INDEX(FixedAssets[Depreciation
/ Amortization Months],_xlfn.XMATCH($E$186,FixedAssets[Asset ID])),IF(AND((_xlfn.XMATCH(BH$8,$AH$8:$CC$8))-_xlfn.XMATCH($C196,$C$35:$C$82)+1&lt;=_xlpm.DepreciationMonths,$C196&lt;=BH$8),$E196/_xlpm.DepreciationMonths,0))</f>
        <v>0</v>
      </c>
      <c r="BI196" s="507" cm="1">
        <f t="array" ref="BI196">_xlfn.LET(_xlpm.DepreciationMonths,INDEX(FixedAssets[Depreciation
/ Amortization Months],_xlfn.XMATCH($E$186,FixedAssets[Asset ID])),IF(AND((_xlfn.XMATCH(BI$8,$AH$8:$CC$8))-_xlfn.XMATCH($C196,$C$35:$C$82)+1&lt;=_xlpm.DepreciationMonths,$C196&lt;=BI$8),$E196/_xlpm.DepreciationMonths,0))</f>
        <v>0</v>
      </c>
      <c r="BJ196" s="507" cm="1">
        <f t="array" ref="BJ196">_xlfn.LET(_xlpm.DepreciationMonths,INDEX(FixedAssets[Depreciation
/ Amortization Months],_xlfn.XMATCH($E$186,FixedAssets[Asset ID])),IF(AND((_xlfn.XMATCH(BJ$8,$AH$8:$CC$8))-_xlfn.XMATCH($C196,$C$35:$C$82)+1&lt;=_xlpm.DepreciationMonths,$C196&lt;=BJ$8),$E196/_xlpm.DepreciationMonths,0))</f>
        <v>0</v>
      </c>
      <c r="BK196" s="507" cm="1">
        <f t="array" ref="BK196">_xlfn.LET(_xlpm.DepreciationMonths,INDEX(FixedAssets[Depreciation
/ Amortization Months],_xlfn.XMATCH($E$186,FixedAssets[Asset ID])),IF(AND((_xlfn.XMATCH(BK$8,$AH$8:$CC$8))-_xlfn.XMATCH($C196,$C$35:$C$82)+1&lt;=_xlpm.DepreciationMonths,$C196&lt;=BK$8),$E196/_xlpm.DepreciationMonths,0))</f>
        <v>0</v>
      </c>
      <c r="BL196" s="507" cm="1">
        <f t="array" ref="BL196">_xlfn.LET(_xlpm.DepreciationMonths,INDEX(FixedAssets[Depreciation
/ Amortization Months],_xlfn.XMATCH($E$186,FixedAssets[Asset ID])),IF(AND((_xlfn.XMATCH(BL$8,$AH$8:$CC$8))-_xlfn.XMATCH($C196,$C$35:$C$82)+1&lt;=_xlpm.DepreciationMonths,$C196&lt;=BL$8),$E196/_xlpm.DepreciationMonths,0))</f>
        <v>0</v>
      </c>
      <c r="BM196" s="507" cm="1">
        <f t="array" ref="BM196">_xlfn.LET(_xlpm.DepreciationMonths,INDEX(FixedAssets[Depreciation
/ Amortization Months],_xlfn.XMATCH($E$186,FixedAssets[Asset ID])),IF(AND((_xlfn.XMATCH(BM$8,$AH$8:$CC$8))-_xlfn.XMATCH($C196,$C$35:$C$82)+1&lt;=_xlpm.DepreciationMonths,$C196&lt;=BM$8),$E196/_xlpm.DepreciationMonths,0))</f>
        <v>0</v>
      </c>
      <c r="BN196" s="507" cm="1">
        <f t="array" ref="BN196">_xlfn.LET(_xlpm.DepreciationMonths,INDEX(FixedAssets[Depreciation
/ Amortization Months],_xlfn.XMATCH($E$186,FixedAssets[Asset ID])),IF(AND((_xlfn.XMATCH(BN$8,$AH$8:$CC$8))-_xlfn.XMATCH($C196,$C$35:$C$82)+1&lt;=_xlpm.DepreciationMonths,$C196&lt;=BN$8),$E196/_xlpm.DepreciationMonths,0))</f>
        <v>0</v>
      </c>
      <c r="BO196" s="507" cm="1">
        <f t="array" ref="BO196">_xlfn.LET(_xlpm.DepreciationMonths,INDEX(FixedAssets[Depreciation
/ Amortization Months],_xlfn.XMATCH($E$186,FixedAssets[Asset ID])),IF(AND((_xlfn.XMATCH(BO$8,$AH$8:$CC$8))-_xlfn.XMATCH($C196,$C$35:$C$82)+1&lt;=_xlpm.DepreciationMonths,$C196&lt;=BO$8),$E196/_xlpm.DepreciationMonths,0))</f>
        <v>0</v>
      </c>
      <c r="BP196" s="507" cm="1">
        <f t="array" ref="BP196">_xlfn.LET(_xlpm.DepreciationMonths,INDEX(FixedAssets[Depreciation
/ Amortization Months],_xlfn.XMATCH($E$186,FixedAssets[Asset ID])),IF(AND((_xlfn.XMATCH(BP$8,$AH$8:$CC$8))-_xlfn.XMATCH($C196,$C$35:$C$82)+1&lt;=_xlpm.DepreciationMonths,$C196&lt;=BP$8),$E196/_xlpm.DepreciationMonths,0))</f>
        <v>0</v>
      </c>
      <c r="BQ196" s="507" cm="1">
        <f t="array" ref="BQ196">_xlfn.LET(_xlpm.DepreciationMonths,INDEX(FixedAssets[Depreciation
/ Amortization Months],_xlfn.XMATCH($E$186,FixedAssets[Asset ID])),IF(AND((_xlfn.XMATCH(BQ$8,$AH$8:$CC$8))-_xlfn.XMATCH($C196,$C$35:$C$82)+1&lt;=_xlpm.DepreciationMonths,$C196&lt;=BQ$8),$E196/_xlpm.DepreciationMonths,0))</f>
        <v>0</v>
      </c>
      <c r="BR196" s="507" cm="1">
        <f t="array" ref="BR196">_xlfn.LET(_xlpm.DepreciationMonths,INDEX(FixedAssets[Depreciation
/ Amortization Months],_xlfn.XMATCH($E$186,FixedAssets[Asset ID])),IF(AND((_xlfn.XMATCH(BR$8,$AH$8:$CC$8))-_xlfn.XMATCH($C196,$C$35:$C$82)+1&lt;=_xlpm.DepreciationMonths,$C196&lt;=BR$8),$E196/_xlpm.DepreciationMonths,0))</f>
        <v>0</v>
      </c>
      <c r="BS196" s="507" cm="1">
        <f t="array" ref="BS196">_xlfn.LET(_xlpm.DepreciationMonths,INDEX(FixedAssets[Depreciation
/ Amortization Months],_xlfn.XMATCH($E$186,FixedAssets[Asset ID])),IF(AND((_xlfn.XMATCH(BS$8,$AH$8:$CC$8))-_xlfn.XMATCH($C196,$C$35:$C$82)+1&lt;=_xlpm.DepreciationMonths,$C196&lt;=BS$8),$E196/_xlpm.DepreciationMonths,0))</f>
        <v>0</v>
      </c>
      <c r="BT196" s="507" cm="1">
        <f t="array" ref="BT196">_xlfn.LET(_xlpm.DepreciationMonths,INDEX(FixedAssets[Depreciation
/ Amortization Months],_xlfn.XMATCH($E$186,FixedAssets[Asset ID])),IF(AND((_xlfn.XMATCH(BT$8,$AH$8:$CC$8))-_xlfn.XMATCH($C196,$C$35:$C$82)+1&lt;=_xlpm.DepreciationMonths,$C196&lt;=BT$8),$E196/_xlpm.DepreciationMonths,0))</f>
        <v>0</v>
      </c>
      <c r="BU196" s="507" cm="1">
        <f t="array" ref="BU196">_xlfn.LET(_xlpm.DepreciationMonths,INDEX(FixedAssets[Depreciation
/ Amortization Months],_xlfn.XMATCH($E$186,FixedAssets[Asset ID])),IF(AND((_xlfn.XMATCH(BU$8,$AH$8:$CC$8))-_xlfn.XMATCH($C196,$C$35:$C$82)+1&lt;=_xlpm.DepreciationMonths,$C196&lt;=BU$8),$E196/_xlpm.DepreciationMonths,0))</f>
        <v>0</v>
      </c>
      <c r="BV196" s="507" cm="1">
        <f t="array" ref="BV196">_xlfn.LET(_xlpm.DepreciationMonths,INDEX(FixedAssets[Depreciation
/ Amortization Months],_xlfn.XMATCH($E$186,FixedAssets[Asset ID])),IF(AND((_xlfn.XMATCH(BV$8,$AH$8:$CC$8))-_xlfn.XMATCH($C196,$C$35:$C$82)+1&lt;=_xlpm.DepreciationMonths,$C196&lt;=BV$8),$E196/_xlpm.DepreciationMonths,0))</f>
        <v>0</v>
      </c>
      <c r="BW196" s="507" cm="1">
        <f t="array" ref="BW196">_xlfn.LET(_xlpm.DepreciationMonths,INDEX(FixedAssets[Depreciation
/ Amortization Months],_xlfn.XMATCH($E$186,FixedAssets[Asset ID])),IF(AND((_xlfn.XMATCH(BW$8,$AH$8:$CC$8))-_xlfn.XMATCH($C196,$C$35:$C$82)+1&lt;=_xlpm.DepreciationMonths,$C196&lt;=BW$8),$E196/_xlpm.DepreciationMonths,0))</f>
        <v>0</v>
      </c>
      <c r="BX196" s="507" cm="1">
        <f t="array" ref="BX196">_xlfn.LET(_xlpm.DepreciationMonths,INDEX(FixedAssets[Depreciation
/ Amortization Months],_xlfn.XMATCH($E$186,FixedAssets[Asset ID])),IF(AND((_xlfn.XMATCH(BX$8,$AH$8:$CC$8))-_xlfn.XMATCH($C196,$C$35:$C$82)+1&lt;=_xlpm.DepreciationMonths,$C196&lt;=BX$8),$E196/_xlpm.DepreciationMonths,0))</f>
        <v>0</v>
      </c>
      <c r="BY196" s="507" cm="1">
        <f t="array" ref="BY196">_xlfn.LET(_xlpm.DepreciationMonths,INDEX(FixedAssets[Depreciation
/ Amortization Months],_xlfn.XMATCH($E$186,FixedAssets[Asset ID])),IF(AND((_xlfn.XMATCH(BY$8,$AH$8:$CC$8))-_xlfn.XMATCH($C196,$C$35:$C$82)+1&lt;=_xlpm.DepreciationMonths,$C196&lt;=BY$8),$E196/_xlpm.DepreciationMonths,0))</f>
        <v>0</v>
      </c>
      <c r="BZ196" s="507" cm="1">
        <f t="array" ref="BZ196">_xlfn.LET(_xlpm.DepreciationMonths,INDEX(FixedAssets[Depreciation
/ Amortization Months],_xlfn.XMATCH($E$186,FixedAssets[Asset ID])),IF(AND((_xlfn.XMATCH(BZ$8,$AH$8:$CC$8))-_xlfn.XMATCH($C196,$C$35:$C$82)+1&lt;=_xlpm.DepreciationMonths,$C196&lt;=BZ$8),$E196/_xlpm.DepreciationMonths,0))</f>
        <v>0</v>
      </c>
      <c r="CA196" s="507" cm="1">
        <f t="array" ref="CA196">_xlfn.LET(_xlpm.DepreciationMonths,INDEX(FixedAssets[Depreciation
/ Amortization Months],_xlfn.XMATCH($E$186,FixedAssets[Asset ID])),IF(AND((_xlfn.XMATCH(CA$8,$AH$8:$CC$8))-_xlfn.XMATCH($C196,$C$35:$C$82)+1&lt;=_xlpm.DepreciationMonths,$C196&lt;=CA$8),$E196/_xlpm.DepreciationMonths,0))</f>
        <v>0</v>
      </c>
      <c r="CB196" s="507" cm="1">
        <f t="array" ref="CB196">_xlfn.LET(_xlpm.DepreciationMonths,INDEX(FixedAssets[Depreciation
/ Amortization Months],_xlfn.XMATCH($E$186,FixedAssets[Asset ID])),IF(AND((_xlfn.XMATCH(CB$8,$AH$8:$CC$8))-_xlfn.XMATCH($C196,$C$35:$C$82)+1&lt;=_xlpm.DepreciationMonths,$C196&lt;=CB$8),$E196/_xlpm.DepreciationMonths,0))</f>
        <v>0</v>
      </c>
      <c r="CC196" s="507" cm="1">
        <f t="array" ref="CC196">_xlfn.LET(_xlpm.DepreciationMonths,INDEX(FixedAssets[Depreciation
/ Amortization Months],_xlfn.XMATCH($E$186,FixedAssets[Asset ID])),IF(AND((_xlfn.XMATCH(CC$8,$AH$8:$CC$8))-_xlfn.XMATCH($C196,$C$35:$C$82)+1&lt;=_xlpm.DepreciationMonths,$C196&lt;=CC$8),$E196/_xlpm.DepreciationMonths,0))</f>
        <v>0</v>
      </c>
    </row>
    <row r="197" spans="3:81" hidden="1" outlineLevel="2">
      <c r="C197" s="664">
        <f t="shared" si="256"/>
        <v>45230</v>
      </c>
      <c r="D197" s="508"/>
      <c r="E197" s="508" cm="1">
        <f t="array" ref="E197">SUMPRODUCT(($AH$26:$CC$31)*($AH$5:$CC$5=$C197)*($E$26:$E$31=E$186))-SUMPRODUCT(($AH$26:$CC$31)*($AH$5:$CC$5=EOMONTH($C197,-1))*($E$26:$E$31=E$186))</f>
        <v>0</v>
      </c>
      <c r="F197" s="508"/>
      <c r="G197" s="508"/>
      <c r="H197" s="508"/>
      <c r="I197" s="508"/>
      <c r="J197" s="504">
        <f t="shared" si="254"/>
        <v>0</v>
      </c>
      <c r="K197" s="504">
        <f t="shared" si="254"/>
        <v>0</v>
      </c>
      <c r="L197" s="504">
        <f t="shared" si="254"/>
        <v>0</v>
      </c>
      <c r="M197" s="504">
        <f t="shared" si="254"/>
        <v>0</v>
      </c>
      <c r="N197" s="504"/>
      <c r="O197" s="504"/>
      <c r="P197" s="504">
        <f t="shared" si="255"/>
        <v>0</v>
      </c>
      <c r="Q197" s="504">
        <f t="shared" si="255"/>
        <v>0</v>
      </c>
      <c r="R197" s="504">
        <f t="shared" si="255"/>
        <v>0</v>
      </c>
      <c r="S197" s="504">
        <f t="shared" si="255"/>
        <v>0</v>
      </c>
      <c r="T197" s="504">
        <f t="shared" si="255"/>
        <v>0</v>
      </c>
      <c r="U197" s="504">
        <f t="shared" si="255"/>
        <v>0</v>
      </c>
      <c r="V197" s="504">
        <f t="shared" si="255"/>
        <v>0</v>
      </c>
      <c r="W197" s="504">
        <f t="shared" si="255"/>
        <v>0</v>
      </c>
      <c r="X197" s="504">
        <f t="shared" si="255"/>
        <v>0</v>
      </c>
      <c r="Y197" s="504">
        <f t="shared" si="255"/>
        <v>0</v>
      </c>
      <c r="Z197" s="504">
        <f t="shared" si="255"/>
        <v>0</v>
      </c>
      <c r="AA197" s="504">
        <f t="shared" si="255"/>
        <v>0</v>
      </c>
      <c r="AB197" s="504">
        <f t="shared" si="255"/>
        <v>0</v>
      </c>
      <c r="AC197" s="504">
        <f t="shared" si="255"/>
        <v>0</v>
      </c>
      <c r="AD197" s="504">
        <f t="shared" si="255"/>
        <v>0</v>
      </c>
      <c r="AE197" s="504">
        <f t="shared" si="255"/>
        <v>0</v>
      </c>
      <c r="AF197" s="508"/>
      <c r="AG197" s="508"/>
      <c r="AH197" s="507" cm="1">
        <f t="array" ref="AH197">_xlfn.LET(_xlpm.DepreciationMonths,INDEX(FixedAssets[Depreciation
/ Amortization Months],_xlfn.XMATCH($E$186,FixedAssets[Asset ID])),IF(AND((_xlfn.XMATCH(AH$8,$AH$8:$CC$8))-_xlfn.XMATCH($C197,$C$35:$C$82)+1&lt;=_xlpm.DepreciationMonths,$C197&lt;=AH$8),$E197/_xlpm.DepreciationMonths,0))</f>
        <v>0</v>
      </c>
      <c r="AI197" s="507" cm="1">
        <f t="array" ref="AI197">_xlfn.LET(_xlpm.DepreciationMonths,INDEX(FixedAssets[Depreciation
/ Amortization Months],_xlfn.XMATCH($E$186,FixedAssets[Asset ID])),IF(AND((_xlfn.XMATCH(AI$8,$AH$8:$CC$8))-_xlfn.XMATCH($C197,$C$35:$C$82)+1&lt;=_xlpm.DepreciationMonths,$C197&lt;=AI$8),$E197/_xlpm.DepreciationMonths,0))</f>
        <v>0</v>
      </c>
      <c r="AJ197" s="507" cm="1">
        <f t="array" ref="AJ197">_xlfn.LET(_xlpm.DepreciationMonths,INDEX(FixedAssets[Depreciation
/ Amortization Months],_xlfn.XMATCH($E$186,FixedAssets[Asset ID])),IF(AND((_xlfn.XMATCH(AJ$8,$AH$8:$CC$8))-_xlfn.XMATCH($C197,$C$35:$C$82)+1&lt;=_xlpm.DepreciationMonths,$C197&lt;=AJ$8),$E197/_xlpm.DepreciationMonths,0))</f>
        <v>0</v>
      </c>
      <c r="AK197" s="507" cm="1">
        <f t="array" ref="AK197">_xlfn.LET(_xlpm.DepreciationMonths,INDEX(FixedAssets[Depreciation
/ Amortization Months],_xlfn.XMATCH($E$186,FixedAssets[Asset ID])),IF(AND((_xlfn.XMATCH(AK$8,$AH$8:$CC$8))-_xlfn.XMATCH($C197,$C$35:$C$82)+1&lt;=_xlpm.DepreciationMonths,$C197&lt;=AK$8),$E197/_xlpm.DepreciationMonths,0))</f>
        <v>0</v>
      </c>
      <c r="AL197" s="507" cm="1">
        <f t="array" ref="AL197">_xlfn.LET(_xlpm.DepreciationMonths,INDEX(FixedAssets[Depreciation
/ Amortization Months],_xlfn.XMATCH($E$186,FixedAssets[Asset ID])),IF(AND((_xlfn.XMATCH(AL$8,$AH$8:$CC$8))-_xlfn.XMATCH($C197,$C$35:$C$82)+1&lt;=_xlpm.DepreciationMonths,$C197&lt;=AL$8),$E197/_xlpm.DepreciationMonths,0))</f>
        <v>0</v>
      </c>
      <c r="AM197" s="507" cm="1">
        <f t="array" ref="AM197">_xlfn.LET(_xlpm.DepreciationMonths,INDEX(FixedAssets[Depreciation
/ Amortization Months],_xlfn.XMATCH($E$186,FixedAssets[Asset ID])),IF(AND((_xlfn.XMATCH(AM$8,$AH$8:$CC$8))-_xlfn.XMATCH($C197,$C$35:$C$82)+1&lt;=_xlpm.DepreciationMonths,$C197&lt;=AM$8),$E197/_xlpm.DepreciationMonths,0))</f>
        <v>0</v>
      </c>
      <c r="AN197" s="507" cm="1">
        <f t="array" ref="AN197">_xlfn.LET(_xlpm.DepreciationMonths,INDEX(FixedAssets[Depreciation
/ Amortization Months],_xlfn.XMATCH($E$186,FixedAssets[Asset ID])),IF(AND((_xlfn.XMATCH(AN$8,$AH$8:$CC$8))-_xlfn.XMATCH($C197,$C$35:$C$82)+1&lt;=_xlpm.DepreciationMonths,$C197&lt;=AN$8),$E197/_xlpm.DepreciationMonths,0))</f>
        <v>0</v>
      </c>
      <c r="AO197" s="507" cm="1">
        <f t="array" ref="AO197">_xlfn.LET(_xlpm.DepreciationMonths,INDEX(FixedAssets[Depreciation
/ Amortization Months],_xlfn.XMATCH($E$186,FixedAssets[Asset ID])),IF(AND((_xlfn.XMATCH(AO$8,$AH$8:$CC$8))-_xlfn.XMATCH($C197,$C$35:$C$82)+1&lt;=_xlpm.DepreciationMonths,$C197&lt;=AO$8),$E197/_xlpm.DepreciationMonths,0))</f>
        <v>0</v>
      </c>
      <c r="AP197" s="507" cm="1">
        <f t="array" ref="AP197">_xlfn.LET(_xlpm.DepreciationMonths,INDEX(FixedAssets[Depreciation
/ Amortization Months],_xlfn.XMATCH($E$186,FixedAssets[Asset ID])),IF(AND((_xlfn.XMATCH(AP$8,$AH$8:$CC$8))-_xlfn.XMATCH($C197,$C$35:$C$82)+1&lt;=_xlpm.DepreciationMonths,$C197&lt;=AP$8),$E197/_xlpm.DepreciationMonths,0))</f>
        <v>0</v>
      </c>
      <c r="AQ197" s="507" cm="1">
        <f t="array" ref="AQ197">_xlfn.LET(_xlpm.DepreciationMonths,INDEX(FixedAssets[Depreciation
/ Amortization Months],_xlfn.XMATCH($E$186,FixedAssets[Asset ID])),IF(AND((_xlfn.XMATCH(AQ$8,$AH$8:$CC$8))-_xlfn.XMATCH($C197,$C$35:$C$82)+1&lt;=_xlpm.DepreciationMonths,$C197&lt;=AQ$8),$E197/_xlpm.DepreciationMonths,0))</f>
        <v>0</v>
      </c>
      <c r="AR197" s="507" cm="1">
        <f t="array" ref="AR197">_xlfn.LET(_xlpm.DepreciationMonths,INDEX(FixedAssets[Depreciation
/ Amortization Months],_xlfn.XMATCH($E$186,FixedAssets[Asset ID])),IF(AND((_xlfn.XMATCH(AR$8,$AH$8:$CC$8))-_xlfn.XMATCH($C197,$C$35:$C$82)+1&lt;=_xlpm.DepreciationMonths,$C197&lt;=AR$8),$E197/_xlpm.DepreciationMonths,0))</f>
        <v>0</v>
      </c>
      <c r="AS197" s="507" cm="1">
        <f t="array" ref="AS197">_xlfn.LET(_xlpm.DepreciationMonths,INDEX(FixedAssets[Depreciation
/ Amortization Months],_xlfn.XMATCH($E$186,FixedAssets[Asset ID])),IF(AND((_xlfn.XMATCH(AS$8,$AH$8:$CC$8))-_xlfn.XMATCH($C197,$C$35:$C$82)+1&lt;=_xlpm.DepreciationMonths,$C197&lt;=AS$8),$E197/_xlpm.DepreciationMonths,0))</f>
        <v>0</v>
      </c>
      <c r="AT197" s="507" cm="1">
        <f t="array" ref="AT197">_xlfn.LET(_xlpm.DepreciationMonths,INDEX(FixedAssets[Depreciation
/ Amortization Months],_xlfn.XMATCH($E$186,FixedAssets[Asset ID])),IF(AND((_xlfn.XMATCH(AT$8,$AH$8:$CC$8))-_xlfn.XMATCH($C197,$C$35:$C$82)+1&lt;=_xlpm.DepreciationMonths,$C197&lt;=AT$8),$E197/_xlpm.DepreciationMonths,0))</f>
        <v>0</v>
      </c>
      <c r="AU197" s="507" cm="1">
        <f t="array" ref="AU197">_xlfn.LET(_xlpm.DepreciationMonths,INDEX(FixedAssets[Depreciation
/ Amortization Months],_xlfn.XMATCH($E$186,FixedAssets[Asset ID])),IF(AND((_xlfn.XMATCH(AU$8,$AH$8:$CC$8))-_xlfn.XMATCH($C197,$C$35:$C$82)+1&lt;=_xlpm.DepreciationMonths,$C197&lt;=AU$8),$E197/_xlpm.DepreciationMonths,0))</f>
        <v>0</v>
      </c>
      <c r="AV197" s="507" cm="1">
        <f t="array" ref="AV197">_xlfn.LET(_xlpm.DepreciationMonths,INDEX(FixedAssets[Depreciation
/ Amortization Months],_xlfn.XMATCH($E$186,FixedAssets[Asset ID])),IF(AND((_xlfn.XMATCH(AV$8,$AH$8:$CC$8))-_xlfn.XMATCH($C197,$C$35:$C$82)+1&lt;=_xlpm.DepreciationMonths,$C197&lt;=AV$8),$E197/_xlpm.DepreciationMonths,0))</f>
        <v>0</v>
      </c>
      <c r="AW197" s="507" cm="1">
        <f t="array" ref="AW197">_xlfn.LET(_xlpm.DepreciationMonths,INDEX(FixedAssets[Depreciation
/ Amortization Months],_xlfn.XMATCH($E$186,FixedAssets[Asset ID])),IF(AND((_xlfn.XMATCH(AW$8,$AH$8:$CC$8))-_xlfn.XMATCH($C197,$C$35:$C$82)+1&lt;=_xlpm.DepreciationMonths,$C197&lt;=AW$8),$E197/_xlpm.DepreciationMonths,0))</f>
        <v>0</v>
      </c>
      <c r="AX197" s="507" cm="1">
        <f t="array" ref="AX197">_xlfn.LET(_xlpm.DepreciationMonths,INDEX(FixedAssets[Depreciation
/ Amortization Months],_xlfn.XMATCH($E$186,FixedAssets[Asset ID])),IF(AND((_xlfn.XMATCH(AX$8,$AH$8:$CC$8))-_xlfn.XMATCH($C197,$C$35:$C$82)+1&lt;=_xlpm.DepreciationMonths,$C197&lt;=AX$8),$E197/_xlpm.DepreciationMonths,0))</f>
        <v>0</v>
      </c>
      <c r="AY197" s="507" cm="1">
        <f t="array" ref="AY197">_xlfn.LET(_xlpm.DepreciationMonths,INDEX(FixedAssets[Depreciation
/ Amortization Months],_xlfn.XMATCH($E$186,FixedAssets[Asset ID])),IF(AND((_xlfn.XMATCH(AY$8,$AH$8:$CC$8))-_xlfn.XMATCH($C197,$C$35:$C$82)+1&lt;=_xlpm.DepreciationMonths,$C197&lt;=AY$8),$E197/_xlpm.DepreciationMonths,0))</f>
        <v>0</v>
      </c>
      <c r="AZ197" s="507" cm="1">
        <f t="array" ref="AZ197">_xlfn.LET(_xlpm.DepreciationMonths,INDEX(FixedAssets[Depreciation
/ Amortization Months],_xlfn.XMATCH($E$186,FixedAssets[Asset ID])),IF(AND((_xlfn.XMATCH(AZ$8,$AH$8:$CC$8))-_xlfn.XMATCH($C197,$C$35:$C$82)+1&lt;=_xlpm.DepreciationMonths,$C197&lt;=AZ$8),$E197/_xlpm.DepreciationMonths,0))</f>
        <v>0</v>
      </c>
      <c r="BA197" s="507" cm="1">
        <f t="array" ref="BA197">_xlfn.LET(_xlpm.DepreciationMonths,INDEX(FixedAssets[Depreciation
/ Amortization Months],_xlfn.XMATCH($E$186,FixedAssets[Asset ID])),IF(AND((_xlfn.XMATCH(BA$8,$AH$8:$CC$8))-_xlfn.XMATCH($C197,$C$35:$C$82)+1&lt;=_xlpm.DepreciationMonths,$C197&lt;=BA$8),$E197/_xlpm.DepreciationMonths,0))</f>
        <v>0</v>
      </c>
      <c r="BB197" s="507" cm="1">
        <f t="array" ref="BB197">_xlfn.LET(_xlpm.DepreciationMonths,INDEX(FixedAssets[Depreciation
/ Amortization Months],_xlfn.XMATCH($E$186,FixedAssets[Asset ID])),IF(AND((_xlfn.XMATCH(BB$8,$AH$8:$CC$8))-_xlfn.XMATCH($C197,$C$35:$C$82)+1&lt;=_xlpm.DepreciationMonths,$C197&lt;=BB$8),$E197/_xlpm.DepreciationMonths,0))</f>
        <v>0</v>
      </c>
      <c r="BC197" s="507" cm="1">
        <f t="array" ref="BC197">_xlfn.LET(_xlpm.DepreciationMonths,INDEX(FixedAssets[Depreciation
/ Amortization Months],_xlfn.XMATCH($E$186,FixedAssets[Asset ID])),IF(AND((_xlfn.XMATCH(BC$8,$AH$8:$CC$8))-_xlfn.XMATCH($C197,$C$35:$C$82)+1&lt;=_xlpm.DepreciationMonths,$C197&lt;=BC$8),$E197/_xlpm.DepreciationMonths,0))</f>
        <v>0</v>
      </c>
      <c r="BD197" s="507" cm="1">
        <f t="array" ref="BD197">_xlfn.LET(_xlpm.DepreciationMonths,INDEX(FixedAssets[Depreciation
/ Amortization Months],_xlfn.XMATCH($E$186,FixedAssets[Asset ID])),IF(AND((_xlfn.XMATCH(BD$8,$AH$8:$CC$8))-_xlfn.XMATCH($C197,$C$35:$C$82)+1&lt;=_xlpm.DepreciationMonths,$C197&lt;=BD$8),$E197/_xlpm.DepreciationMonths,0))</f>
        <v>0</v>
      </c>
      <c r="BE197" s="507" cm="1">
        <f t="array" ref="BE197">_xlfn.LET(_xlpm.DepreciationMonths,INDEX(FixedAssets[Depreciation
/ Amortization Months],_xlfn.XMATCH($E$186,FixedAssets[Asset ID])),IF(AND((_xlfn.XMATCH(BE$8,$AH$8:$CC$8))-_xlfn.XMATCH($C197,$C$35:$C$82)+1&lt;=_xlpm.DepreciationMonths,$C197&lt;=BE$8),$E197/_xlpm.DepreciationMonths,0))</f>
        <v>0</v>
      </c>
      <c r="BF197" s="507" cm="1">
        <f t="array" ref="BF197">_xlfn.LET(_xlpm.DepreciationMonths,INDEX(FixedAssets[Depreciation
/ Amortization Months],_xlfn.XMATCH($E$186,FixedAssets[Asset ID])),IF(AND((_xlfn.XMATCH(BF$8,$AH$8:$CC$8))-_xlfn.XMATCH($C197,$C$35:$C$82)+1&lt;=_xlpm.DepreciationMonths,$C197&lt;=BF$8),$E197/_xlpm.DepreciationMonths,0))</f>
        <v>0</v>
      </c>
      <c r="BG197" s="507" cm="1">
        <f t="array" ref="BG197">_xlfn.LET(_xlpm.DepreciationMonths,INDEX(FixedAssets[Depreciation
/ Amortization Months],_xlfn.XMATCH($E$186,FixedAssets[Asset ID])),IF(AND((_xlfn.XMATCH(BG$8,$AH$8:$CC$8))-_xlfn.XMATCH($C197,$C$35:$C$82)+1&lt;=_xlpm.DepreciationMonths,$C197&lt;=BG$8),$E197/_xlpm.DepreciationMonths,0))</f>
        <v>0</v>
      </c>
      <c r="BH197" s="507" cm="1">
        <f t="array" ref="BH197">_xlfn.LET(_xlpm.DepreciationMonths,INDEX(FixedAssets[Depreciation
/ Amortization Months],_xlfn.XMATCH($E$186,FixedAssets[Asset ID])),IF(AND((_xlfn.XMATCH(BH$8,$AH$8:$CC$8))-_xlfn.XMATCH($C197,$C$35:$C$82)+1&lt;=_xlpm.DepreciationMonths,$C197&lt;=BH$8),$E197/_xlpm.DepreciationMonths,0))</f>
        <v>0</v>
      </c>
      <c r="BI197" s="507" cm="1">
        <f t="array" ref="BI197">_xlfn.LET(_xlpm.DepreciationMonths,INDEX(FixedAssets[Depreciation
/ Amortization Months],_xlfn.XMATCH($E$186,FixedAssets[Asset ID])),IF(AND((_xlfn.XMATCH(BI$8,$AH$8:$CC$8))-_xlfn.XMATCH($C197,$C$35:$C$82)+1&lt;=_xlpm.DepreciationMonths,$C197&lt;=BI$8),$E197/_xlpm.DepreciationMonths,0))</f>
        <v>0</v>
      </c>
      <c r="BJ197" s="507" cm="1">
        <f t="array" ref="BJ197">_xlfn.LET(_xlpm.DepreciationMonths,INDEX(FixedAssets[Depreciation
/ Amortization Months],_xlfn.XMATCH($E$186,FixedAssets[Asset ID])),IF(AND((_xlfn.XMATCH(BJ$8,$AH$8:$CC$8))-_xlfn.XMATCH($C197,$C$35:$C$82)+1&lt;=_xlpm.DepreciationMonths,$C197&lt;=BJ$8),$E197/_xlpm.DepreciationMonths,0))</f>
        <v>0</v>
      </c>
      <c r="BK197" s="507" cm="1">
        <f t="array" ref="BK197">_xlfn.LET(_xlpm.DepreciationMonths,INDEX(FixedAssets[Depreciation
/ Amortization Months],_xlfn.XMATCH($E$186,FixedAssets[Asset ID])),IF(AND((_xlfn.XMATCH(BK$8,$AH$8:$CC$8))-_xlfn.XMATCH($C197,$C$35:$C$82)+1&lt;=_xlpm.DepreciationMonths,$C197&lt;=BK$8),$E197/_xlpm.DepreciationMonths,0))</f>
        <v>0</v>
      </c>
      <c r="BL197" s="507" cm="1">
        <f t="array" ref="BL197">_xlfn.LET(_xlpm.DepreciationMonths,INDEX(FixedAssets[Depreciation
/ Amortization Months],_xlfn.XMATCH($E$186,FixedAssets[Asset ID])),IF(AND((_xlfn.XMATCH(BL$8,$AH$8:$CC$8))-_xlfn.XMATCH($C197,$C$35:$C$82)+1&lt;=_xlpm.DepreciationMonths,$C197&lt;=BL$8),$E197/_xlpm.DepreciationMonths,0))</f>
        <v>0</v>
      </c>
      <c r="BM197" s="507" cm="1">
        <f t="array" ref="BM197">_xlfn.LET(_xlpm.DepreciationMonths,INDEX(FixedAssets[Depreciation
/ Amortization Months],_xlfn.XMATCH($E$186,FixedAssets[Asset ID])),IF(AND((_xlfn.XMATCH(BM$8,$AH$8:$CC$8))-_xlfn.XMATCH($C197,$C$35:$C$82)+1&lt;=_xlpm.DepreciationMonths,$C197&lt;=BM$8),$E197/_xlpm.DepreciationMonths,0))</f>
        <v>0</v>
      </c>
      <c r="BN197" s="507" cm="1">
        <f t="array" ref="BN197">_xlfn.LET(_xlpm.DepreciationMonths,INDEX(FixedAssets[Depreciation
/ Amortization Months],_xlfn.XMATCH($E$186,FixedAssets[Asset ID])),IF(AND((_xlfn.XMATCH(BN$8,$AH$8:$CC$8))-_xlfn.XMATCH($C197,$C$35:$C$82)+1&lt;=_xlpm.DepreciationMonths,$C197&lt;=BN$8),$E197/_xlpm.DepreciationMonths,0))</f>
        <v>0</v>
      </c>
      <c r="BO197" s="507" cm="1">
        <f t="array" ref="BO197">_xlfn.LET(_xlpm.DepreciationMonths,INDEX(FixedAssets[Depreciation
/ Amortization Months],_xlfn.XMATCH($E$186,FixedAssets[Asset ID])),IF(AND((_xlfn.XMATCH(BO$8,$AH$8:$CC$8))-_xlfn.XMATCH($C197,$C$35:$C$82)+1&lt;=_xlpm.DepreciationMonths,$C197&lt;=BO$8),$E197/_xlpm.DepreciationMonths,0))</f>
        <v>0</v>
      </c>
      <c r="BP197" s="507" cm="1">
        <f t="array" ref="BP197">_xlfn.LET(_xlpm.DepreciationMonths,INDEX(FixedAssets[Depreciation
/ Amortization Months],_xlfn.XMATCH($E$186,FixedAssets[Asset ID])),IF(AND((_xlfn.XMATCH(BP$8,$AH$8:$CC$8))-_xlfn.XMATCH($C197,$C$35:$C$82)+1&lt;=_xlpm.DepreciationMonths,$C197&lt;=BP$8),$E197/_xlpm.DepreciationMonths,0))</f>
        <v>0</v>
      </c>
      <c r="BQ197" s="507" cm="1">
        <f t="array" ref="BQ197">_xlfn.LET(_xlpm.DepreciationMonths,INDEX(FixedAssets[Depreciation
/ Amortization Months],_xlfn.XMATCH($E$186,FixedAssets[Asset ID])),IF(AND((_xlfn.XMATCH(BQ$8,$AH$8:$CC$8))-_xlfn.XMATCH($C197,$C$35:$C$82)+1&lt;=_xlpm.DepreciationMonths,$C197&lt;=BQ$8),$E197/_xlpm.DepreciationMonths,0))</f>
        <v>0</v>
      </c>
      <c r="BR197" s="507" cm="1">
        <f t="array" ref="BR197">_xlfn.LET(_xlpm.DepreciationMonths,INDEX(FixedAssets[Depreciation
/ Amortization Months],_xlfn.XMATCH($E$186,FixedAssets[Asset ID])),IF(AND((_xlfn.XMATCH(BR$8,$AH$8:$CC$8))-_xlfn.XMATCH($C197,$C$35:$C$82)+1&lt;=_xlpm.DepreciationMonths,$C197&lt;=BR$8),$E197/_xlpm.DepreciationMonths,0))</f>
        <v>0</v>
      </c>
      <c r="BS197" s="507" cm="1">
        <f t="array" ref="BS197">_xlfn.LET(_xlpm.DepreciationMonths,INDEX(FixedAssets[Depreciation
/ Amortization Months],_xlfn.XMATCH($E$186,FixedAssets[Asset ID])),IF(AND((_xlfn.XMATCH(BS$8,$AH$8:$CC$8))-_xlfn.XMATCH($C197,$C$35:$C$82)+1&lt;=_xlpm.DepreciationMonths,$C197&lt;=BS$8),$E197/_xlpm.DepreciationMonths,0))</f>
        <v>0</v>
      </c>
      <c r="BT197" s="507" cm="1">
        <f t="array" ref="BT197">_xlfn.LET(_xlpm.DepreciationMonths,INDEX(FixedAssets[Depreciation
/ Amortization Months],_xlfn.XMATCH($E$186,FixedAssets[Asset ID])),IF(AND((_xlfn.XMATCH(BT$8,$AH$8:$CC$8))-_xlfn.XMATCH($C197,$C$35:$C$82)+1&lt;=_xlpm.DepreciationMonths,$C197&lt;=BT$8),$E197/_xlpm.DepreciationMonths,0))</f>
        <v>0</v>
      </c>
      <c r="BU197" s="507" cm="1">
        <f t="array" ref="BU197">_xlfn.LET(_xlpm.DepreciationMonths,INDEX(FixedAssets[Depreciation
/ Amortization Months],_xlfn.XMATCH($E$186,FixedAssets[Asset ID])),IF(AND((_xlfn.XMATCH(BU$8,$AH$8:$CC$8))-_xlfn.XMATCH($C197,$C$35:$C$82)+1&lt;=_xlpm.DepreciationMonths,$C197&lt;=BU$8),$E197/_xlpm.DepreciationMonths,0))</f>
        <v>0</v>
      </c>
      <c r="BV197" s="507" cm="1">
        <f t="array" ref="BV197">_xlfn.LET(_xlpm.DepreciationMonths,INDEX(FixedAssets[Depreciation
/ Amortization Months],_xlfn.XMATCH($E$186,FixedAssets[Asset ID])),IF(AND((_xlfn.XMATCH(BV$8,$AH$8:$CC$8))-_xlfn.XMATCH($C197,$C$35:$C$82)+1&lt;=_xlpm.DepreciationMonths,$C197&lt;=BV$8),$E197/_xlpm.DepreciationMonths,0))</f>
        <v>0</v>
      </c>
      <c r="BW197" s="507" cm="1">
        <f t="array" ref="BW197">_xlfn.LET(_xlpm.DepreciationMonths,INDEX(FixedAssets[Depreciation
/ Amortization Months],_xlfn.XMATCH($E$186,FixedAssets[Asset ID])),IF(AND((_xlfn.XMATCH(BW$8,$AH$8:$CC$8))-_xlfn.XMATCH($C197,$C$35:$C$82)+1&lt;=_xlpm.DepreciationMonths,$C197&lt;=BW$8),$E197/_xlpm.DepreciationMonths,0))</f>
        <v>0</v>
      </c>
      <c r="BX197" s="507" cm="1">
        <f t="array" ref="BX197">_xlfn.LET(_xlpm.DepreciationMonths,INDEX(FixedAssets[Depreciation
/ Amortization Months],_xlfn.XMATCH($E$186,FixedAssets[Asset ID])),IF(AND((_xlfn.XMATCH(BX$8,$AH$8:$CC$8))-_xlfn.XMATCH($C197,$C$35:$C$82)+1&lt;=_xlpm.DepreciationMonths,$C197&lt;=BX$8),$E197/_xlpm.DepreciationMonths,0))</f>
        <v>0</v>
      </c>
      <c r="BY197" s="507" cm="1">
        <f t="array" ref="BY197">_xlfn.LET(_xlpm.DepreciationMonths,INDEX(FixedAssets[Depreciation
/ Amortization Months],_xlfn.XMATCH($E$186,FixedAssets[Asset ID])),IF(AND((_xlfn.XMATCH(BY$8,$AH$8:$CC$8))-_xlfn.XMATCH($C197,$C$35:$C$82)+1&lt;=_xlpm.DepreciationMonths,$C197&lt;=BY$8),$E197/_xlpm.DepreciationMonths,0))</f>
        <v>0</v>
      </c>
      <c r="BZ197" s="507" cm="1">
        <f t="array" ref="BZ197">_xlfn.LET(_xlpm.DepreciationMonths,INDEX(FixedAssets[Depreciation
/ Amortization Months],_xlfn.XMATCH($E$186,FixedAssets[Asset ID])),IF(AND((_xlfn.XMATCH(BZ$8,$AH$8:$CC$8))-_xlfn.XMATCH($C197,$C$35:$C$82)+1&lt;=_xlpm.DepreciationMonths,$C197&lt;=BZ$8),$E197/_xlpm.DepreciationMonths,0))</f>
        <v>0</v>
      </c>
      <c r="CA197" s="507" cm="1">
        <f t="array" ref="CA197">_xlfn.LET(_xlpm.DepreciationMonths,INDEX(FixedAssets[Depreciation
/ Amortization Months],_xlfn.XMATCH($E$186,FixedAssets[Asset ID])),IF(AND((_xlfn.XMATCH(CA$8,$AH$8:$CC$8))-_xlfn.XMATCH($C197,$C$35:$C$82)+1&lt;=_xlpm.DepreciationMonths,$C197&lt;=CA$8),$E197/_xlpm.DepreciationMonths,0))</f>
        <v>0</v>
      </c>
      <c r="CB197" s="507" cm="1">
        <f t="array" ref="CB197">_xlfn.LET(_xlpm.DepreciationMonths,INDEX(FixedAssets[Depreciation
/ Amortization Months],_xlfn.XMATCH($E$186,FixedAssets[Asset ID])),IF(AND((_xlfn.XMATCH(CB$8,$AH$8:$CC$8))-_xlfn.XMATCH($C197,$C$35:$C$82)+1&lt;=_xlpm.DepreciationMonths,$C197&lt;=CB$8),$E197/_xlpm.DepreciationMonths,0))</f>
        <v>0</v>
      </c>
      <c r="CC197" s="507" cm="1">
        <f t="array" ref="CC197">_xlfn.LET(_xlpm.DepreciationMonths,INDEX(FixedAssets[Depreciation
/ Amortization Months],_xlfn.XMATCH($E$186,FixedAssets[Asset ID])),IF(AND((_xlfn.XMATCH(CC$8,$AH$8:$CC$8))-_xlfn.XMATCH($C197,$C$35:$C$82)+1&lt;=_xlpm.DepreciationMonths,$C197&lt;=CC$8),$E197/_xlpm.DepreciationMonths,0))</f>
        <v>0</v>
      </c>
    </row>
    <row r="198" spans="3:81" hidden="1" outlineLevel="2">
      <c r="C198" s="664">
        <f t="shared" si="256"/>
        <v>45260</v>
      </c>
      <c r="D198" s="508"/>
      <c r="E198" s="508" cm="1">
        <f t="array" ref="E198">SUMPRODUCT(($AH$26:$CC$31)*($AH$5:$CC$5=$C198)*($E$26:$E$31=E$186))-SUMPRODUCT(($AH$26:$CC$31)*($AH$5:$CC$5=EOMONTH($C198,-1))*($E$26:$E$31=E$186))</f>
        <v>0</v>
      </c>
      <c r="F198" s="508"/>
      <c r="G198" s="508"/>
      <c r="H198" s="508"/>
      <c r="I198" s="508"/>
      <c r="J198" s="504">
        <f t="shared" si="254"/>
        <v>0</v>
      </c>
      <c r="K198" s="504">
        <f t="shared" si="254"/>
        <v>0</v>
      </c>
      <c r="L198" s="504">
        <f t="shared" si="254"/>
        <v>0</v>
      </c>
      <c r="M198" s="504">
        <f t="shared" si="254"/>
        <v>0</v>
      </c>
      <c r="N198" s="504"/>
      <c r="O198" s="504"/>
      <c r="P198" s="504">
        <f t="shared" si="255"/>
        <v>0</v>
      </c>
      <c r="Q198" s="504">
        <f t="shared" si="255"/>
        <v>0</v>
      </c>
      <c r="R198" s="504">
        <f t="shared" si="255"/>
        <v>0</v>
      </c>
      <c r="S198" s="504">
        <f t="shared" si="255"/>
        <v>0</v>
      </c>
      <c r="T198" s="504">
        <f t="shared" si="255"/>
        <v>0</v>
      </c>
      <c r="U198" s="504">
        <f t="shared" si="255"/>
        <v>0</v>
      </c>
      <c r="V198" s="504">
        <f t="shared" si="255"/>
        <v>0</v>
      </c>
      <c r="W198" s="504">
        <f t="shared" si="255"/>
        <v>0</v>
      </c>
      <c r="X198" s="504">
        <f t="shared" si="255"/>
        <v>0</v>
      </c>
      <c r="Y198" s="504">
        <f t="shared" si="255"/>
        <v>0</v>
      </c>
      <c r="Z198" s="504">
        <f t="shared" si="255"/>
        <v>0</v>
      </c>
      <c r="AA198" s="504">
        <f t="shared" si="255"/>
        <v>0</v>
      </c>
      <c r="AB198" s="504">
        <f t="shared" si="255"/>
        <v>0</v>
      </c>
      <c r="AC198" s="504">
        <f t="shared" si="255"/>
        <v>0</v>
      </c>
      <c r="AD198" s="504">
        <f t="shared" si="255"/>
        <v>0</v>
      </c>
      <c r="AE198" s="504">
        <f t="shared" si="255"/>
        <v>0</v>
      </c>
      <c r="AF198" s="508"/>
      <c r="AG198" s="508"/>
      <c r="AH198" s="507" cm="1">
        <f t="array" ref="AH198">_xlfn.LET(_xlpm.DepreciationMonths,INDEX(FixedAssets[Depreciation
/ Amortization Months],_xlfn.XMATCH($E$186,FixedAssets[Asset ID])),IF(AND((_xlfn.XMATCH(AH$8,$AH$8:$CC$8))-_xlfn.XMATCH($C198,$C$35:$C$82)+1&lt;=_xlpm.DepreciationMonths,$C198&lt;=AH$8),$E198/_xlpm.DepreciationMonths,0))</f>
        <v>0</v>
      </c>
      <c r="AI198" s="507" cm="1">
        <f t="array" ref="AI198">_xlfn.LET(_xlpm.DepreciationMonths,INDEX(FixedAssets[Depreciation
/ Amortization Months],_xlfn.XMATCH($E$186,FixedAssets[Asset ID])),IF(AND((_xlfn.XMATCH(AI$8,$AH$8:$CC$8))-_xlfn.XMATCH($C198,$C$35:$C$82)+1&lt;=_xlpm.DepreciationMonths,$C198&lt;=AI$8),$E198/_xlpm.DepreciationMonths,0))</f>
        <v>0</v>
      </c>
      <c r="AJ198" s="507" cm="1">
        <f t="array" ref="AJ198">_xlfn.LET(_xlpm.DepreciationMonths,INDEX(FixedAssets[Depreciation
/ Amortization Months],_xlfn.XMATCH($E$186,FixedAssets[Asset ID])),IF(AND((_xlfn.XMATCH(AJ$8,$AH$8:$CC$8))-_xlfn.XMATCH($C198,$C$35:$C$82)+1&lt;=_xlpm.DepreciationMonths,$C198&lt;=AJ$8),$E198/_xlpm.DepreciationMonths,0))</f>
        <v>0</v>
      </c>
      <c r="AK198" s="507" cm="1">
        <f t="array" ref="AK198">_xlfn.LET(_xlpm.DepreciationMonths,INDEX(FixedAssets[Depreciation
/ Amortization Months],_xlfn.XMATCH($E$186,FixedAssets[Asset ID])),IF(AND((_xlfn.XMATCH(AK$8,$AH$8:$CC$8))-_xlfn.XMATCH($C198,$C$35:$C$82)+1&lt;=_xlpm.DepreciationMonths,$C198&lt;=AK$8),$E198/_xlpm.DepreciationMonths,0))</f>
        <v>0</v>
      </c>
      <c r="AL198" s="507" cm="1">
        <f t="array" ref="AL198">_xlfn.LET(_xlpm.DepreciationMonths,INDEX(FixedAssets[Depreciation
/ Amortization Months],_xlfn.XMATCH($E$186,FixedAssets[Asset ID])),IF(AND((_xlfn.XMATCH(AL$8,$AH$8:$CC$8))-_xlfn.XMATCH($C198,$C$35:$C$82)+1&lt;=_xlpm.DepreciationMonths,$C198&lt;=AL$8),$E198/_xlpm.DepreciationMonths,0))</f>
        <v>0</v>
      </c>
      <c r="AM198" s="507" cm="1">
        <f t="array" ref="AM198">_xlfn.LET(_xlpm.DepreciationMonths,INDEX(FixedAssets[Depreciation
/ Amortization Months],_xlfn.XMATCH($E$186,FixedAssets[Asset ID])),IF(AND((_xlfn.XMATCH(AM$8,$AH$8:$CC$8))-_xlfn.XMATCH($C198,$C$35:$C$82)+1&lt;=_xlpm.DepreciationMonths,$C198&lt;=AM$8),$E198/_xlpm.DepreciationMonths,0))</f>
        <v>0</v>
      </c>
      <c r="AN198" s="507" cm="1">
        <f t="array" ref="AN198">_xlfn.LET(_xlpm.DepreciationMonths,INDEX(FixedAssets[Depreciation
/ Amortization Months],_xlfn.XMATCH($E$186,FixedAssets[Asset ID])),IF(AND((_xlfn.XMATCH(AN$8,$AH$8:$CC$8))-_xlfn.XMATCH($C198,$C$35:$C$82)+1&lt;=_xlpm.DepreciationMonths,$C198&lt;=AN$8),$E198/_xlpm.DepreciationMonths,0))</f>
        <v>0</v>
      </c>
      <c r="AO198" s="507" cm="1">
        <f t="array" ref="AO198">_xlfn.LET(_xlpm.DepreciationMonths,INDEX(FixedAssets[Depreciation
/ Amortization Months],_xlfn.XMATCH($E$186,FixedAssets[Asset ID])),IF(AND((_xlfn.XMATCH(AO$8,$AH$8:$CC$8))-_xlfn.XMATCH($C198,$C$35:$C$82)+1&lt;=_xlpm.DepreciationMonths,$C198&lt;=AO$8),$E198/_xlpm.DepreciationMonths,0))</f>
        <v>0</v>
      </c>
      <c r="AP198" s="507" cm="1">
        <f t="array" ref="AP198">_xlfn.LET(_xlpm.DepreciationMonths,INDEX(FixedAssets[Depreciation
/ Amortization Months],_xlfn.XMATCH($E$186,FixedAssets[Asset ID])),IF(AND((_xlfn.XMATCH(AP$8,$AH$8:$CC$8))-_xlfn.XMATCH($C198,$C$35:$C$82)+1&lt;=_xlpm.DepreciationMonths,$C198&lt;=AP$8),$E198/_xlpm.DepreciationMonths,0))</f>
        <v>0</v>
      </c>
      <c r="AQ198" s="507" cm="1">
        <f t="array" ref="AQ198">_xlfn.LET(_xlpm.DepreciationMonths,INDEX(FixedAssets[Depreciation
/ Amortization Months],_xlfn.XMATCH($E$186,FixedAssets[Asset ID])),IF(AND((_xlfn.XMATCH(AQ$8,$AH$8:$CC$8))-_xlfn.XMATCH($C198,$C$35:$C$82)+1&lt;=_xlpm.DepreciationMonths,$C198&lt;=AQ$8),$E198/_xlpm.DepreciationMonths,0))</f>
        <v>0</v>
      </c>
      <c r="AR198" s="507" cm="1">
        <f t="array" ref="AR198">_xlfn.LET(_xlpm.DepreciationMonths,INDEX(FixedAssets[Depreciation
/ Amortization Months],_xlfn.XMATCH($E$186,FixedAssets[Asset ID])),IF(AND((_xlfn.XMATCH(AR$8,$AH$8:$CC$8))-_xlfn.XMATCH($C198,$C$35:$C$82)+1&lt;=_xlpm.DepreciationMonths,$C198&lt;=AR$8),$E198/_xlpm.DepreciationMonths,0))</f>
        <v>0</v>
      </c>
      <c r="AS198" s="507" cm="1">
        <f t="array" ref="AS198">_xlfn.LET(_xlpm.DepreciationMonths,INDEX(FixedAssets[Depreciation
/ Amortization Months],_xlfn.XMATCH($E$186,FixedAssets[Asset ID])),IF(AND((_xlfn.XMATCH(AS$8,$AH$8:$CC$8))-_xlfn.XMATCH($C198,$C$35:$C$82)+1&lt;=_xlpm.DepreciationMonths,$C198&lt;=AS$8),$E198/_xlpm.DepreciationMonths,0))</f>
        <v>0</v>
      </c>
      <c r="AT198" s="507" cm="1">
        <f t="array" ref="AT198">_xlfn.LET(_xlpm.DepreciationMonths,INDEX(FixedAssets[Depreciation
/ Amortization Months],_xlfn.XMATCH($E$186,FixedAssets[Asset ID])),IF(AND((_xlfn.XMATCH(AT$8,$AH$8:$CC$8))-_xlfn.XMATCH($C198,$C$35:$C$82)+1&lt;=_xlpm.DepreciationMonths,$C198&lt;=AT$8),$E198/_xlpm.DepreciationMonths,0))</f>
        <v>0</v>
      </c>
      <c r="AU198" s="507" cm="1">
        <f t="array" ref="AU198">_xlfn.LET(_xlpm.DepreciationMonths,INDEX(FixedAssets[Depreciation
/ Amortization Months],_xlfn.XMATCH($E$186,FixedAssets[Asset ID])),IF(AND((_xlfn.XMATCH(AU$8,$AH$8:$CC$8))-_xlfn.XMATCH($C198,$C$35:$C$82)+1&lt;=_xlpm.DepreciationMonths,$C198&lt;=AU$8),$E198/_xlpm.DepreciationMonths,0))</f>
        <v>0</v>
      </c>
      <c r="AV198" s="507" cm="1">
        <f t="array" ref="AV198">_xlfn.LET(_xlpm.DepreciationMonths,INDEX(FixedAssets[Depreciation
/ Amortization Months],_xlfn.XMATCH($E$186,FixedAssets[Asset ID])),IF(AND((_xlfn.XMATCH(AV$8,$AH$8:$CC$8))-_xlfn.XMATCH($C198,$C$35:$C$82)+1&lt;=_xlpm.DepreciationMonths,$C198&lt;=AV$8),$E198/_xlpm.DepreciationMonths,0))</f>
        <v>0</v>
      </c>
      <c r="AW198" s="507" cm="1">
        <f t="array" ref="AW198">_xlfn.LET(_xlpm.DepreciationMonths,INDEX(FixedAssets[Depreciation
/ Amortization Months],_xlfn.XMATCH($E$186,FixedAssets[Asset ID])),IF(AND((_xlfn.XMATCH(AW$8,$AH$8:$CC$8))-_xlfn.XMATCH($C198,$C$35:$C$82)+1&lt;=_xlpm.DepreciationMonths,$C198&lt;=AW$8),$E198/_xlpm.DepreciationMonths,0))</f>
        <v>0</v>
      </c>
      <c r="AX198" s="507" cm="1">
        <f t="array" ref="AX198">_xlfn.LET(_xlpm.DepreciationMonths,INDEX(FixedAssets[Depreciation
/ Amortization Months],_xlfn.XMATCH($E$186,FixedAssets[Asset ID])),IF(AND((_xlfn.XMATCH(AX$8,$AH$8:$CC$8))-_xlfn.XMATCH($C198,$C$35:$C$82)+1&lt;=_xlpm.DepreciationMonths,$C198&lt;=AX$8),$E198/_xlpm.DepreciationMonths,0))</f>
        <v>0</v>
      </c>
      <c r="AY198" s="507" cm="1">
        <f t="array" ref="AY198">_xlfn.LET(_xlpm.DepreciationMonths,INDEX(FixedAssets[Depreciation
/ Amortization Months],_xlfn.XMATCH($E$186,FixedAssets[Asset ID])),IF(AND((_xlfn.XMATCH(AY$8,$AH$8:$CC$8))-_xlfn.XMATCH($C198,$C$35:$C$82)+1&lt;=_xlpm.DepreciationMonths,$C198&lt;=AY$8),$E198/_xlpm.DepreciationMonths,0))</f>
        <v>0</v>
      </c>
      <c r="AZ198" s="507" cm="1">
        <f t="array" ref="AZ198">_xlfn.LET(_xlpm.DepreciationMonths,INDEX(FixedAssets[Depreciation
/ Amortization Months],_xlfn.XMATCH($E$186,FixedAssets[Asset ID])),IF(AND((_xlfn.XMATCH(AZ$8,$AH$8:$CC$8))-_xlfn.XMATCH($C198,$C$35:$C$82)+1&lt;=_xlpm.DepreciationMonths,$C198&lt;=AZ$8),$E198/_xlpm.DepreciationMonths,0))</f>
        <v>0</v>
      </c>
      <c r="BA198" s="507" cm="1">
        <f t="array" ref="BA198">_xlfn.LET(_xlpm.DepreciationMonths,INDEX(FixedAssets[Depreciation
/ Amortization Months],_xlfn.XMATCH($E$186,FixedAssets[Asset ID])),IF(AND((_xlfn.XMATCH(BA$8,$AH$8:$CC$8))-_xlfn.XMATCH($C198,$C$35:$C$82)+1&lt;=_xlpm.DepreciationMonths,$C198&lt;=BA$8),$E198/_xlpm.DepreciationMonths,0))</f>
        <v>0</v>
      </c>
      <c r="BB198" s="507" cm="1">
        <f t="array" ref="BB198">_xlfn.LET(_xlpm.DepreciationMonths,INDEX(FixedAssets[Depreciation
/ Amortization Months],_xlfn.XMATCH($E$186,FixedAssets[Asset ID])),IF(AND((_xlfn.XMATCH(BB$8,$AH$8:$CC$8))-_xlfn.XMATCH($C198,$C$35:$C$82)+1&lt;=_xlpm.DepreciationMonths,$C198&lt;=BB$8),$E198/_xlpm.DepreciationMonths,0))</f>
        <v>0</v>
      </c>
      <c r="BC198" s="507" cm="1">
        <f t="array" ref="BC198">_xlfn.LET(_xlpm.DepreciationMonths,INDEX(FixedAssets[Depreciation
/ Amortization Months],_xlfn.XMATCH($E$186,FixedAssets[Asset ID])),IF(AND((_xlfn.XMATCH(BC$8,$AH$8:$CC$8))-_xlfn.XMATCH($C198,$C$35:$C$82)+1&lt;=_xlpm.DepreciationMonths,$C198&lt;=BC$8),$E198/_xlpm.DepreciationMonths,0))</f>
        <v>0</v>
      </c>
      <c r="BD198" s="507" cm="1">
        <f t="array" ref="BD198">_xlfn.LET(_xlpm.DepreciationMonths,INDEX(FixedAssets[Depreciation
/ Amortization Months],_xlfn.XMATCH($E$186,FixedAssets[Asset ID])),IF(AND((_xlfn.XMATCH(BD$8,$AH$8:$CC$8))-_xlfn.XMATCH($C198,$C$35:$C$82)+1&lt;=_xlpm.DepreciationMonths,$C198&lt;=BD$8),$E198/_xlpm.DepreciationMonths,0))</f>
        <v>0</v>
      </c>
      <c r="BE198" s="507" cm="1">
        <f t="array" ref="BE198">_xlfn.LET(_xlpm.DepreciationMonths,INDEX(FixedAssets[Depreciation
/ Amortization Months],_xlfn.XMATCH($E$186,FixedAssets[Asset ID])),IF(AND((_xlfn.XMATCH(BE$8,$AH$8:$CC$8))-_xlfn.XMATCH($C198,$C$35:$C$82)+1&lt;=_xlpm.DepreciationMonths,$C198&lt;=BE$8),$E198/_xlpm.DepreciationMonths,0))</f>
        <v>0</v>
      </c>
      <c r="BF198" s="507" cm="1">
        <f t="array" ref="BF198">_xlfn.LET(_xlpm.DepreciationMonths,INDEX(FixedAssets[Depreciation
/ Amortization Months],_xlfn.XMATCH($E$186,FixedAssets[Asset ID])),IF(AND((_xlfn.XMATCH(BF$8,$AH$8:$CC$8))-_xlfn.XMATCH($C198,$C$35:$C$82)+1&lt;=_xlpm.DepreciationMonths,$C198&lt;=BF$8),$E198/_xlpm.DepreciationMonths,0))</f>
        <v>0</v>
      </c>
      <c r="BG198" s="507" cm="1">
        <f t="array" ref="BG198">_xlfn.LET(_xlpm.DepreciationMonths,INDEX(FixedAssets[Depreciation
/ Amortization Months],_xlfn.XMATCH($E$186,FixedAssets[Asset ID])),IF(AND((_xlfn.XMATCH(BG$8,$AH$8:$CC$8))-_xlfn.XMATCH($C198,$C$35:$C$82)+1&lt;=_xlpm.DepreciationMonths,$C198&lt;=BG$8),$E198/_xlpm.DepreciationMonths,0))</f>
        <v>0</v>
      </c>
      <c r="BH198" s="507" cm="1">
        <f t="array" ref="BH198">_xlfn.LET(_xlpm.DepreciationMonths,INDEX(FixedAssets[Depreciation
/ Amortization Months],_xlfn.XMATCH($E$186,FixedAssets[Asset ID])),IF(AND((_xlfn.XMATCH(BH$8,$AH$8:$CC$8))-_xlfn.XMATCH($C198,$C$35:$C$82)+1&lt;=_xlpm.DepreciationMonths,$C198&lt;=BH$8),$E198/_xlpm.DepreciationMonths,0))</f>
        <v>0</v>
      </c>
      <c r="BI198" s="507" cm="1">
        <f t="array" ref="BI198">_xlfn.LET(_xlpm.DepreciationMonths,INDEX(FixedAssets[Depreciation
/ Amortization Months],_xlfn.XMATCH($E$186,FixedAssets[Asset ID])),IF(AND((_xlfn.XMATCH(BI$8,$AH$8:$CC$8))-_xlfn.XMATCH($C198,$C$35:$C$82)+1&lt;=_xlpm.DepreciationMonths,$C198&lt;=BI$8),$E198/_xlpm.DepreciationMonths,0))</f>
        <v>0</v>
      </c>
      <c r="BJ198" s="507" cm="1">
        <f t="array" ref="BJ198">_xlfn.LET(_xlpm.DepreciationMonths,INDEX(FixedAssets[Depreciation
/ Amortization Months],_xlfn.XMATCH($E$186,FixedAssets[Asset ID])),IF(AND((_xlfn.XMATCH(BJ$8,$AH$8:$CC$8))-_xlfn.XMATCH($C198,$C$35:$C$82)+1&lt;=_xlpm.DepreciationMonths,$C198&lt;=BJ$8),$E198/_xlpm.DepreciationMonths,0))</f>
        <v>0</v>
      </c>
      <c r="BK198" s="507" cm="1">
        <f t="array" ref="BK198">_xlfn.LET(_xlpm.DepreciationMonths,INDEX(FixedAssets[Depreciation
/ Amortization Months],_xlfn.XMATCH($E$186,FixedAssets[Asset ID])),IF(AND((_xlfn.XMATCH(BK$8,$AH$8:$CC$8))-_xlfn.XMATCH($C198,$C$35:$C$82)+1&lt;=_xlpm.DepreciationMonths,$C198&lt;=BK$8),$E198/_xlpm.DepreciationMonths,0))</f>
        <v>0</v>
      </c>
      <c r="BL198" s="507" cm="1">
        <f t="array" ref="BL198">_xlfn.LET(_xlpm.DepreciationMonths,INDEX(FixedAssets[Depreciation
/ Amortization Months],_xlfn.XMATCH($E$186,FixedAssets[Asset ID])),IF(AND((_xlfn.XMATCH(BL$8,$AH$8:$CC$8))-_xlfn.XMATCH($C198,$C$35:$C$82)+1&lt;=_xlpm.DepreciationMonths,$C198&lt;=BL$8),$E198/_xlpm.DepreciationMonths,0))</f>
        <v>0</v>
      </c>
      <c r="BM198" s="507" cm="1">
        <f t="array" ref="BM198">_xlfn.LET(_xlpm.DepreciationMonths,INDEX(FixedAssets[Depreciation
/ Amortization Months],_xlfn.XMATCH($E$186,FixedAssets[Asset ID])),IF(AND((_xlfn.XMATCH(BM$8,$AH$8:$CC$8))-_xlfn.XMATCH($C198,$C$35:$C$82)+1&lt;=_xlpm.DepreciationMonths,$C198&lt;=BM$8),$E198/_xlpm.DepreciationMonths,0))</f>
        <v>0</v>
      </c>
      <c r="BN198" s="507" cm="1">
        <f t="array" ref="BN198">_xlfn.LET(_xlpm.DepreciationMonths,INDEX(FixedAssets[Depreciation
/ Amortization Months],_xlfn.XMATCH($E$186,FixedAssets[Asset ID])),IF(AND((_xlfn.XMATCH(BN$8,$AH$8:$CC$8))-_xlfn.XMATCH($C198,$C$35:$C$82)+1&lt;=_xlpm.DepreciationMonths,$C198&lt;=BN$8),$E198/_xlpm.DepreciationMonths,0))</f>
        <v>0</v>
      </c>
      <c r="BO198" s="507" cm="1">
        <f t="array" ref="BO198">_xlfn.LET(_xlpm.DepreciationMonths,INDEX(FixedAssets[Depreciation
/ Amortization Months],_xlfn.XMATCH($E$186,FixedAssets[Asset ID])),IF(AND((_xlfn.XMATCH(BO$8,$AH$8:$CC$8))-_xlfn.XMATCH($C198,$C$35:$C$82)+1&lt;=_xlpm.DepreciationMonths,$C198&lt;=BO$8),$E198/_xlpm.DepreciationMonths,0))</f>
        <v>0</v>
      </c>
      <c r="BP198" s="507" cm="1">
        <f t="array" ref="BP198">_xlfn.LET(_xlpm.DepreciationMonths,INDEX(FixedAssets[Depreciation
/ Amortization Months],_xlfn.XMATCH($E$186,FixedAssets[Asset ID])),IF(AND((_xlfn.XMATCH(BP$8,$AH$8:$CC$8))-_xlfn.XMATCH($C198,$C$35:$C$82)+1&lt;=_xlpm.DepreciationMonths,$C198&lt;=BP$8),$E198/_xlpm.DepreciationMonths,0))</f>
        <v>0</v>
      </c>
      <c r="BQ198" s="507" cm="1">
        <f t="array" ref="BQ198">_xlfn.LET(_xlpm.DepreciationMonths,INDEX(FixedAssets[Depreciation
/ Amortization Months],_xlfn.XMATCH($E$186,FixedAssets[Asset ID])),IF(AND((_xlfn.XMATCH(BQ$8,$AH$8:$CC$8))-_xlfn.XMATCH($C198,$C$35:$C$82)+1&lt;=_xlpm.DepreciationMonths,$C198&lt;=BQ$8),$E198/_xlpm.DepreciationMonths,0))</f>
        <v>0</v>
      </c>
      <c r="BR198" s="507" cm="1">
        <f t="array" ref="BR198">_xlfn.LET(_xlpm.DepreciationMonths,INDEX(FixedAssets[Depreciation
/ Amortization Months],_xlfn.XMATCH($E$186,FixedAssets[Asset ID])),IF(AND((_xlfn.XMATCH(BR$8,$AH$8:$CC$8))-_xlfn.XMATCH($C198,$C$35:$C$82)+1&lt;=_xlpm.DepreciationMonths,$C198&lt;=BR$8),$E198/_xlpm.DepreciationMonths,0))</f>
        <v>0</v>
      </c>
      <c r="BS198" s="507" cm="1">
        <f t="array" ref="BS198">_xlfn.LET(_xlpm.DepreciationMonths,INDEX(FixedAssets[Depreciation
/ Amortization Months],_xlfn.XMATCH($E$186,FixedAssets[Asset ID])),IF(AND((_xlfn.XMATCH(BS$8,$AH$8:$CC$8))-_xlfn.XMATCH($C198,$C$35:$C$82)+1&lt;=_xlpm.DepreciationMonths,$C198&lt;=BS$8),$E198/_xlpm.DepreciationMonths,0))</f>
        <v>0</v>
      </c>
      <c r="BT198" s="507" cm="1">
        <f t="array" ref="BT198">_xlfn.LET(_xlpm.DepreciationMonths,INDEX(FixedAssets[Depreciation
/ Amortization Months],_xlfn.XMATCH($E$186,FixedAssets[Asset ID])),IF(AND((_xlfn.XMATCH(BT$8,$AH$8:$CC$8))-_xlfn.XMATCH($C198,$C$35:$C$82)+1&lt;=_xlpm.DepreciationMonths,$C198&lt;=BT$8),$E198/_xlpm.DepreciationMonths,0))</f>
        <v>0</v>
      </c>
      <c r="BU198" s="507" cm="1">
        <f t="array" ref="BU198">_xlfn.LET(_xlpm.DepreciationMonths,INDEX(FixedAssets[Depreciation
/ Amortization Months],_xlfn.XMATCH($E$186,FixedAssets[Asset ID])),IF(AND((_xlfn.XMATCH(BU$8,$AH$8:$CC$8))-_xlfn.XMATCH($C198,$C$35:$C$82)+1&lt;=_xlpm.DepreciationMonths,$C198&lt;=BU$8),$E198/_xlpm.DepreciationMonths,0))</f>
        <v>0</v>
      </c>
      <c r="BV198" s="507" cm="1">
        <f t="array" ref="BV198">_xlfn.LET(_xlpm.DepreciationMonths,INDEX(FixedAssets[Depreciation
/ Amortization Months],_xlfn.XMATCH($E$186,FixedAssets[Asset ID])),IF(AND((_xlfn.XMATCH(BV$8,$AH$8:$CC$8))-_xlfn.XMATCH($C198,$C$35:$C$82)+1&lt;=_xlpm.DepreciationMonths,$C198&lt;=BV$8),$E198/_xlpm.DepreciationMonths,0))</f>
        <v>0</v>
      </c>
      <c r="BW198" s="507" cm="1">
        <f t="array" ref="BW198">_xlfn.LET(_xlpm.DepreciationMonths,INDEX(FixedAssets[Depreciation
/ Amortization Months],_xlfn.XMATCH($E$186,FixedAssets[Asset ID])),IF(AND((_xlfn.XMATCH(BW$8,$AH$8:$CC$8))-_xlfn.XMATCH($C198,$C$35:$C$82)+1&lt;=_xlpm.DepreciationMonths,$C198&lt;=BW$8),$E198/_xlpm.DepreciationMonths,0))</f>
        <v>0</v>
      </c>
      <c r="BX198" s="507" cm="1">
        <f t="array" ref="BX198">_xlfn.LET(_xlpm.DepreciationMonths,INDEX(FixedAssets[Depreciation
/ Amortization Months],_xlfn.XMATCH($E$186,FixedAssets[Asset ID])),IF(AND((_xlfn.XMATCH(BX$8,$AH$8:$CC$8))-_xlfn.XMATCH($C198,$C$35:$C$82)+1&lt;=_xlpm.DepreciationMonths,$C198&lt;=BX$8),$E198/_xlpm.DepreciationMonths,0))</f>
        <v>0</v>
      </c>
      <c r="BY198" s="507" cm="1">
        <f t="array" ref="BY198">_xlfn.LET(_xlpm.DepreciationMonths,INDEX(FixedAssets[Depreciation
/ Amortization Months],_xlfn.XMATCH($E$186,FixedAssets[Asset ID])),IF(AND((_xlfn.XMATCH(BY$8,$AH$8:$CC$8))-_xlfn.XMATCH($C198,$C$35:$C$82)+1&lt;=_xlpm.DepreciationMonths,$C198&lt;=BY$8),$E198/_xlpm.DepreciationMonths,0))</f>
        <v>0</v>
      </c>
      <c r="BZ198" s="507" cm="1">
        <f t="array" ref="BZ198">_xlfn.LET(_xlpm.DepreciationMonths,INDEX(FixedAssets[Depreciation
/ Amortization Months],_xlfn.XMATCH($E$186,FixedAssets[Asset ID])),IF(AND((_xlfn.XMATCH(BZ$8,$AH$8:$CC$8))-_xlfn.XMATCH($C198,$C$35:$C$82)+1&lt;=_xlpm.DepreciationMonths,$C198&lt;=BZ$8),$E198/_xlpm.DepreciationMonths,0))</f>
        <v>0</v>
      </c>
      <c r="CA198" s="507" cm="1">
        <f t="array" ref="CA198">_xlfn.LET(_xlpm.DepreciationMonths,INDEX(FixedAssets[Depreciation
/ Amortization Months],_xlfn.XMATCH($E$186,FixedAssets[Asset ID])),IF(AND((_xlfn.XMATCH(CA$8,$AH$8:$CC$8))-_xlfn.XMATCH($C198,$C$35:$C$82)+1&lt;=_xlpm.DepreciationMonths,$C198&lt;=CA$8),$E198/_xlpm.DepreciationMonths,0))</f>
        <v>0</v>
      </c>
      <c r="CB198" s="507" cm="1">
        <f t="array" ref="CB198">_xlfn.LET(_xlpm.DepreciationMonths,INDEX(FixedAssets[Depreciation
/ Amortization Months],_xlfn.XMATCH($E$186,FixedAssets[Asset ID])),IF(AND((_xlfn.XMATCH(CB$8,$AH$8:$CC$8))-_xlfn.XMATCH($C198,$C$35:$C$82)+1&lt;=_xlpm.DepreciationMonths,$C198&lt;=CB$8),$E198/_xlpm.DepreciationMonths,0))</f>
        <v>0</v>
      </c>
      <c r="CC198" s="507" cm="1">
        <f t="array" ref="CC198">_xlfn.LET(_xlpm.DepreciationMonths,INDEX(FixedAssets[Depreciation
/ Amortization Months],_xlfn.XMATCH($E$186,FixedAssets[Asset ID])),IF(AND((_xlfn.XMATCH(CC$8,$AH$8:$CC$8))-_xlfn.XMATCH($C198,$C$35:$C$82)+1&lt;=_xlpm.DepreciationMonths,$C198&lt;=CC$8),$E198/_xlpm.DepreciationMonths,0))</f>
        <v>0</v>
      </c>
    </row>
    <row r="199" spans="3:81" hidden="1" outlineLevel="2">
      <c r="C199" s="664">
        <f t="shared" si="256"/>
        <v>45291</v>
      </c>
      <c r="D199" s="508"/>
      <c r="E199" s="508" cm="1">
        <f t="array" ref="E199">SUMPRODUCT(($AH$26:$CC$31)*($AH$5:$CC$5=$C199)*($E$26:$E$31=E$186))-SUMPRODUCT(($AH$26:$CC$31)*($AH$5:$CC$5=EOMONTH($C199,-1))*($E$26:$E$31=E$186))</f>
        <v>0</v>
      </c>
      <c r="F199" s="508"/>
      <c r="G199" s="508"/>
      <c r="H199" s="508"/>
      <c r="I199" s="508"/>
      <c r="J199" s="504">
        <f t="shared" si="254"/>
        <v>0</v>
      </c>
      <c r="K199" s="504">
        <f t="shared" si="254"/>
        <v>0</v>
      </c>
      <c r="L199" s="504">
        <f t="shared" si="254"/>
        <v>0</v>
      </c>
      <c r="M199" s="504">
        <f t="shared" si="254"/>
        <v>0</v>
      </c>
      <c r="N199" s="504"/>
      <c r="O199" s="504"/>
      <c r="P199" s="504">
        <f t="shared" si="255"/>
        <v>0</v>
      </c>
      <c r="Q199" s="504">
        <f t="shared" si="255"/>
        <v>0</v>
      </c>
      <c r="R199" s="504">
        <f t="shared" si="255"/>
        <v>0</v>
      </c>
      <c r="S199" s="504">
        <f t="shared" si="255"/>
        <v>0</v>
      </c>
      <c r="T199" s="504">
        <f t="shared" si="255"/>
        <v>0</v>
      </c>
      <c r="U199" s="504">
        <f t="shared" si="255"/>
        <v>0</v>
      </c>
      <c r="V199" s="504">
        <f t="shared" si="255"/>
        <v>0</v>
      </c>
      <c r="W199" s="504">
        <f t="shared" si="255"/>
        <v>0</v>
      </c>
      <c r="X199" s="504">
        <f t="shared" si="255"/>
        <v>0</v>
      </c>
      <c r="Y199" s="504">
        <f t="shared" si="255"/>
        <v>0</v>
      </c>
      <c r="Z199" s="504">
        <f t="shared" si="255"/>
        <v>0</v>
      </c>
      <c r="AA199" s="504">
        <f t="shared" si="255"/>
        <v>0</v>
      </c>
      <c r="AB199" s="504">
        <f t="shared" si="255"/>
        <v>0</v>
      </c>
      <c r="AC199" s="504">
        <f t="shared" si="255"/>
        <v>0</v>
      </c>
      <c r="AD199" s="504">
        <f t="shared" si="255"/>
        <v>0</v>
      </c>
      <c r="AE199" s="504">
        <f t="shared" si="255"/>
        <v>0</v>
      </c>
      <c r="AF199" s="508"/>
      <c r="AG199" s="508"/>
      <c r="AH199" s="507" cm="1">
        <f t="array" ref="AH199">_xlfn.LET(_xlpm.DepreciationMonths,INDEX(FixedAssets[Depreciation
/ Amortization Months],_xlfn.XMATCH($E$186,FixedAssets[Asset ID])),IF(AND((_xlfn.XMATCH(AH$8,$AH$8:$CC$8))-_xlfn.XMATCH($C199,$C$35:$C$82)+1&lt;=_xlpm.DepreciationMonths,$C199&lt;=AH$8),$E199/_xlpm.DepreciationMonths,0))</f>
        <v>0</v>
      </c>
      <c r="AI199" s="507" cm="1">
        <f t="array" ref="AI199">_xlfn.LET(_xlpm.DepreciationMonths,INDEX(FixedAssets[Depreciation
/ Amortization Months],_xlfn.XMATCH($E$186,FixedAssets[Asset ID])),IF(AND((_xlfn.XMATCH(AI$8,$AH$8:$CC$8))-_xlfn.XMATCH($C199,$C$35:$C$82)+1&lt;=_xlpm.DepreciationMonths,$C199&lt;=AI$8),$E199/_xlpm.DepreciationMonths,0))</f>
        <v>0</v>
      </c>
      <c r="AJ199" s="507" cm="1">
        <f t="array" ref="AJ199">_xlfn.LET(_xlpm.DepreciationMonths,INDEX(FixedAssets[Depreciation
/ Amortization Months],_xlfn.XMATCH($E$186,FixedAssets[Asset ID])),IF(AND((_xlfn.XMATCH(AJ$8,$AH$8:$CC$8))-_xlfn.XMATCH($C199,$C$35:$C$82)+1&lt;=_xlpm.DepreciationMonths,$C199&lt;=AJ$8),$E199/_xlpm.DepreciationMonths,0))</f>
        <v>0</v>
      </c>
      <c r="AK199" s="507" cm="1">
        <f t="array" ref="AK199">_xlfn.LET(_xlpm.DepreciationMonths,INDEX(FixedAssets[Depreciation
/ Amortization Months],_xlfn.XMATCH($E$186,FixedAssets[Asset ID])),IF(AND((_xlfn.XMATCH(AK$8,$AH$8:$CC$8))-_xlfn.XMATCH($C199,$C$35:$C$82)+1&lt;=_xlpm.DepreciationMonths,$C199&lt;=AK$8),$E199/_xlpm.DepreciationMonths,0))</f>
        <v>0</v>
      </c>
      <c r="AL199" s="507" cm="1">
        <f t="array" ref="AL199">_xlfn.LET(_xlpm.DepreciationMonths,INDEX(FixedAssets[Depreciation
/ Amortization Months],_xlfn.XMATCH($E$186,FixedAssets[Asset ID])),IF(AND((_xlfn.XMATCH(AL$8,$AH$8:$CC$8))-_xlfn.XMATCH($C199,$C$35:$C$82)+1&lt;=_xlpm.DepreciationMonths,$C199&lt;=AL$8),$E199/_xlpm.DepreciationMonths,0))</f>
        <v>0</v>
      </c>
      <c r="AM199" s="507" cm="1">
        <f t="array" ref="AM199">_xlfn.LET(_xlpm.DepreciationMonths,INDEX(FixedAssets[Depreciation
/ Amortization Months],_xlfn.XMATCH($E$186,FixedAssets[Asset ID])),IF(AND((_xlfn.XMATCH(AM$8,$AH$8:$CC$8))-_xlfn.XMATCH($C199,$C$35:$C$82)+1&lt;=_xlpm.DepreciationMonths,$C199&lt;=AM$8),$E199/_xlpm.DepreciationMonths,0))</f>
        <v>0</v>
      </c>
      <c r="AN199" s="507" cm="1">
        <f t="array" ref="AN199">_xlfn.LET(_xlpm.DepreciationMonths,INDEX(FixedAssets[Depreciation
/ Amortization Months],_xlfn.XMATCH($E$186,FixedAssets[Asset ID])),IF(AND((_xlfn.XMATCH(AN$8,$AH$8:$CC$8))-_xlfn.XMATCH($C199,$C$35:$C$82)+1&lt;=_xlpm.DepreciationMonths,$C199&lt;=AN$8),$E199/_xlpm.DepreciationMonths,0))</f>
        <v>0</v>
      </c>
      <c r="AO199" s="507" cm="1">
        <f t="array" ref="AO199">_xlfn.LET(_xlpm.DepreciationMonths,INDEX(FixedAssets[Depreciation
/ Amortization Months],_xlfn.XMATCH($E$186,FixedAssets[Asset ID])),IF(AND((_xlfn.XMATCH(AO$8,$AH$8:$CC$8))-_xlfn.XMATCH($C199,$C$35:$C$82)+1&lt;=_xlpm.DepreciationMonths,$C199&lt;=AO$8),$E199/_xlpm.DepreciationMonths,0))</f>
        <v>0</v>
      </c>
      <c r="AP199" s="507" cm="1">
        <f t="array" ref="AP199">_xlfn.LET(_xlpm.DepreciationMonths,INDEX(FixedAssets[Depreciation
/ Amortization Months],_xlfn.XMATCH($E$186,FixedAssets[Asset ID])),IF(AND((_xlfn.XMATCH(AP$8,$AH$8:$CC$8))-_xlfn.XMATCH($C199,$C$35:$C$82)+1&lt;=_xlpm.DepreciationMonths,$C199&lt;=AP$8),$E199/_xlpm.DepreciationMonths,0))</f>
        <v>0</v>
      </c>
      <c r="AQ199" s="507" cm="1">
        <f t="array" ref="AQ199">_xlfn.LET(_xlpm.DepreciationMonths,INDEX(FixedAssets[Depreciation
/ Amortization Months],_xlfn.XMATCH($E$186,FixedAssets[Asset ID])),IF(AND((_xlfn.XMATCH(AQ$8,$AH$8:$CC$8))-_xlfn.XMATCH($C199,$C$35:$C$82)+1&lt;=_xlpm.DepreciationMonths,$C199&lt;=AQ$8),$E199/_xlpm.DepreciationMonths,0))</f>
        <v>0</v>
      </c>
      <c r="AR199" s="507" cm="1">
        <f t="array" ref="AR199">_xlfn.LET(_xlpm.DepreciationMonths,INDEX(FixedAssets[Depreciation
/ Amortization Months],_xlfn.XMATCH($E$186,FixedAssets[Asset ID])),IF(AND((_xlfn.XMATCH(AR$8,$AH$8:$CC$8))-_xlfn.XMATCH($C199,$C$35:$C$82)+1&lt;=_xlpm.DepreciationMonths,$C199&lt;=AR$8),$E199/_xlpm.DepreciationMonths,0))</f>
        <v>0</v>
      </c>
      <c r="AS199" s="507" cm="1">
        <f t="array" ref="AS199">_xlfn.LET(_xlpm.DepreciationMonths,INDEX(FixedAssets[Depreciation
/ Amortization Months],_xlfn.XMATCH($E$186,FixedAssets[Asset ID])),IF(AND((_xlfn.XMATCH(AS$8,$AH$8:$CC$8))-_xlfn.XMATCH($C199,$C$35:$C$82)+1&lt;=_xlpm.DepreciationMonths,$C199&lt;=AS$8),$E199/_xlpm.DepreciationMonths,0))</f>
        <v>0</v>
      </c>
      <c r="AT199" s="507" cm="1">
        <f t="array" ref="AT199">_xlfn.LET(_xlpm.DepreciationMonths,INDEX(FixedAssets[Depreciation
/ Amortization Months],_xlfn.XMATCH($E$186,FixedAssets[Asset ID])),IF(AND((_xlfn.XMATCH(AT$8,$AH$8:$CC$8))-_xlfn.XMATCH($C199,$C$35:$C$82)+1&lt;=_xlpm.DepreciationMonths,$C199&lt;=AT$8),$E199/_xlpm.DepreciationMonths,0))</f>
        <v>0</v>
      </c>
      <c r="AU199" s="507" cm="1">
        <f t="array" ref="AU199">_xlfn.LET(_xlpm.DepreciationMonths,INDEX(FixedAssets[Depreciation
/ Amortization Months],_xlfn.XMATCH($E$186,FixedAssets[Asset ID])),IF(AND((_xlfn.XMATCH(AU$8,$AH$8:$CC$8))-_xlfn.XMATCH($C199,$C$35:$C$82)+1&lt;=_xlpm.DepreciationMonths,$C199&lt;=AU$8),$E199/_xlpm.DepreciationMonths,0))</f>
        <v>0</v>
      </c>
      <c r="AV199" s="507" cm="1">
        <f t="array" ref="AV199">_xlfn.LET(_xlpm.DepreciationMonths,INDEX(FixedAssets[Depreciation
/ Amortization Months],_xlfn.XMATCH($E$186,FixedAssets[Asset ID])),IF(AND((_xlfn.XMATCH(AV$8,$AH$8:$CC$8))-_xlfn.XMATCH($C199,$C$35:$C$82)+1&lt;=_xlpm.DepreciationMonths,$C199&lt;=AV$8),$E199/_xlpm.DepreciationMonths,0))</f>
        <v>0</v>
      </c>
      <c r="AW199" s="507" cm="1">
        <f t="array" ref="AW199">_xlfn.LET(_xlpm.DepreciationMonths,INDEX(FixedAssets[Depreciation
/ Amortization Months],_xlfn.XMATCH($E$186,FixedAssets[Asset ID])),IF(AND((_xlfn.XMATCH(AW$8,$AH$8:$CC$8))-_xlfn.XMATCH($C199,$C$35:$C$82)+1&lt;=_xlpm.DepreciationMonths,$C199&lt;=AW$8),$E199/_xlpm.DepreciationMonths,0))</f>
        <v>0</v>
      </c>
      <c r="AX199" s="507" cm="1">
        <f t="array" ref="AX199">_xlfn.LET(_xlpm.DepreciationMonths,INDEX(FixedAssets[Depreciation
/ Amortization Months],_xlfn.XMATCH($E$186,FixedAssets[Asset ID])),IF(AND((_xlfn.XMATCH(AX$8,$AH$8:$CC$8))-_xlfn.XMATCH($C199,$C$35:$C$82)+1&lt;=_xlpm.DepreciationMonths,$C199&lt;=AX$8),$E199/_xlpm.DepreciationMonths,0))</f>
        <v>0</v>
      </c>
      <c r="AY199" s="507" cm="1">
        <f t="array" ref="AY199">_xlfn.LET(_xlpm.DepreciationMonths,INDEX(FixedAssets[Depreciation
/ Amortization Months],_xlfn.XMATCH($E$186,FixedAssets[Asset ID])),IF(AND((_xlfn.XMATCH(AY$8,$AH$8:$CC$8))-_xlfn.XMATCH($C199,$C$35:$C$82)+1&lt;=_xlpm.DepreciationMonths,$C199&lt;=AY$8),$E199/_xlpm.DepreciationMonths,0))</f>
        <v>0</v>
      </c>
      <c r="AZ199" s="507" cm="1">
        <f t="array" ref="AZ199">_xlfn.LET(_xlpm.DepreciationMonths,INDEX(FixedAssets[Depreciation
/ Amortization Months],_xlfn.XMATCH($E$186,FixedAssets[Asset ID])),IF(AND((_xlfn.XMATCH(AZ$8,$AH$8:$CC$8))-_xlfn.XMATCH($C199,$C$35:$C$82)+1&lt;=_xlpm.DepreciationMonths,$C199&lt;=AZ$8),$E199/_xlpm.DepreciationMonths,0))</f>
        <v>0</v>
      </c>
      <c r="BA199" s="507" cm="1">
        <f t="array" ref="BA199">_xlfn.LET(_xlpm.DepreciationMonths,INDEX(FixedAssets[Depreciation
/ Amortization Months],_xlfn.XMATCH($E$186,FixedAssets[Asset ID])),IF(AND((_xlfn.XMATCH(BA$8,$AH$8:$CC$8))-_xlfn.XMATCH($C199,$C$35:$C$82)+1&lt;=_xlpm.DepreciationMonths,$C199&lt;=BA$8),$E199/_xlpm.DepreciationMonths,0))</f>
        <v>0</v>
      </c>
      <c r="BB199" s="507" cm="1">
        <f t="array" ref="BB199">_xlfn.LET(_xlpm.DepreciationMonths,INDEX(FixedAssets[Depreciation
/ Amortization Months],_xlfn.XMATCH($E$186,FixedAssets[Asset ID])),IF(AND((_xlfn.XMATCH(BB$8,$AH$8:$CC$8))-_xlfn.XMATCH($C199,$C$35:$C$82)+1&lt;=_xlpm.DepreciationMonths,$C199&lt;=BB$8),$E199/_xlpm.DepreciationMonths,0))</f>
        <v>0</v>
      </c>
      <c r="BC199" s="507" cm="1">
        <f t="array" ref="BC199">_xlfn.LET(_xlpm.DepreciationMonths,INDEX(FixedAssets[Depreciation
/ Amortization Months],_xlfn.XMATCH($E$186,FixedAssets[Asset ID])),IF(AND((_xlfn.XMATCH(BC$8,$AH$8:$CC$8))-_xlfn.XMATCH($C199,$C$35:$C$82)+1&lt;=_xlpm.DepreciationMonths,$C199&lt;=BC$8),$E199/_xlpm.DepreciationMonths,0))</f>
        <v>0</v>
      </c>
      <c r="BD199" s="507" cm="1">
        <f t="array" ref="BD199">_xlfn.LET(_xlpm.DepreciationMonths,INDEX(FixedAssets[Depreciation
/ Amortization Months],_xlfn.XMATCH($E$186,FixedAssets[Asset ID])),IF(AND((_xlfn.XMATCH(BD$8,$AH$8:$CC$8))-_xlfn.XMATCH($C199,$C$35:$C$82)+1&lt;=_xlpm.DepreciationMonths,$C199&lt;=BD$8),$E199/_xlpm.DepreciationMonths,0))</f>
        <v>0</v>
      </c>
      <c r="BE199" s="507" cm="1">
        <f t="array" ref="BE199">_xlfn.LET(_xlpm.DepreciationMonths,INDEX(FixedAssets[Depreciation
/ Amortization Months],_xlfn.XMATCH($E$186,FixedAssets[Asset ID])),IF(AND((_xlfn.XMATCH(BE$8,$AH$8:$CC$8))-_xlfn.XMATCH($C199,$C$35:$C$82)+1&lt;=_xlpm.DepreciationMonths,$C199&lt;=BE$8),$E199/_xlpm.DepreciationMonths,0))</f>
        <v>0</v>
      </c>
      <c r="BF199" s="507" cm="1">
        <f t="array" ref="BF199">_xlfn.LET(_xlpm.DepreciationMonths,INDEX(FixedAssets[Depreciation
/ Amortization Months],_xlfn.XMATCH($E$186,FixedAssets[Asset ID])),IF(AND((_xlfn.XMATCH(BF$8,$AH$8:$CC$8))-_xlfn.XMATCH($C199,$C$35:$C$82)+1&lt;=_xlpm.DepreciationMonths,$C199&lt;=BF$8),$E199/_xlpm.DepreciationMonths,0))</f>
        <v>0</v>
      </c>
      <c r="BG199" s="507" cm="1">
        <f t="array" ref="BG199">_xlfn.LET(_xlpm.DepreciationMonths,INDEX(FixedAssets[Depreciation
/ Amortization Months],_xlfn.XMATCH($E$186,FixedAssets[Asset ID])),IF(AND((_xlfn.XMATCH(BG$8,$AH$8:$CC$8))-_xlfn.XMATCH($C199,$C$35:$C$82)+1&lt;=_xlpm.DepreciationMonths,$C199&lt;=BG$8),$E199/_xlpm.DepreciationMonths,0))</f>
        <v>0</v>
      </c>
      <c r="BH199" s="507" cm="1">
        <f t="array" ref="BH199">_xlfn.LET(_xlpm.DepreciationMonths,INDEX(FixedAssets[Depreciation
/ Amortization Months],_xlfn.XMATCH($E$186,FixedAssets[Asset ID])),IF(AND((_xlfn.XMATCH(BH$8,$AH$8:$CC$8))-_xlfn.XMATCH($C199,$C$35:$C$82)+1&lt;=_xlpm.DepreciationMonths,$C199&lt;=BH$8),$E199/_xlpm.DepreciationMonths,0))</f>
        <v>0</v>
      </c>
      <c r="BI199" s="507" cm="1">
        <f t="array" ref="BI199">_xlfn.LET(_xlpm.DepreciationMonths,INDEX(FixedAssets[Depreciation
/ Amortization Months],_xlfn.XMATCH($E$186,FixedAssets[Asset ID])),IF(AND((_xlfn.XMATCH(BI$8,$AH$8:$CC$8))-_xlfn.XMATCH($C199,$C$35:$C$82)+1&lt;=_xlpm.DepreciationMonths,$C199&lt;=BI$8),$E199/_xlpm.DepreciationMonths,0))</f>
        <v>0</v>
      </c>
      <c r="BJ199" s="507" cm="1">
        <f t="array" ref="BJ199">_xlfn.LET(_xlpm.DepreciationMonths,INDEX(FixedAssets[Depreciation
/ Amortization Months],_xlfn.XMATCH($E$186,FixedAssets[Asset ID])),IF(AND((_xlfn.XMATCH(BJ$8,$AH$8:$CC$8))-_xlfn.XMATCH($C199,$C$35:$C$82)+1&lt;=_xlpm.DepreciationMonths,$C199&lt;=BJ$8),$E199/_xlpm.DepreciationMonths,0))</f>
        <v>0</v>
      </c>
      <c r="BK199" s="507" cm="1">
        <f t="array" ref="BK199">_xlfn.LET(_xlpm.DepreciationMonths,INDEX(FixedAssets[Depreciation
/ Amortization Months],_xlfn.XMATCH($E$186,FixedAssets[Asset ID])),IF(AND((_xlfn.XMATCH(BK$8,$AH$8:$CC$8))-_xlfn.XMATCH($C199,$C$35:$C$82)+1&lt;=_xlpm.DepreciationMonths,$C199&lt;=BK$8),$E199/_xlpm.DepreciationMonths,0))</f>
        <v>0</v>
      </c>
      <c r="BL199" s="507" cm="1">
        <f t="array" ref="BL199">_xlfn.LET(_xlpm.DepreciationMonths,INDEX(FixedAssets[Depreciation
/ Amortization Months],_xlfn.XMATCH($E$186,FixedAssets[Asset ID])),IF(AND((_xlfn.XMATCH(BL$8,$AH$8:$CC$8))-_xlfn.XMATCH($C199,$C$35:$C$82)+1&lt;=_xlpm.DepreciationMonths,$C199&lt;=BL$8),$E199/_xlpm.DepreciationMonths,0))</f>
        <v>0</v>
      </c>
      <c r="BM199" s="507" cm="1">
        <f t="array" ref="BM199">_xlfn.LET(_xlpm.DepreciationMonths,INDEX(FixedAssets[Depreciation
/ Amortization Months],_xlfn.XMATCH($E$186,FixedAssets[Asset ID])),IF(AND((_xlfn.XMATCH(BM$8,$AH$8:$CC$8))-_xlfn.XMATCH($C199,$C$35:$C$82)+1&lt;=_xlpm.DepreciationMonths,$C199&lt;=BM$8),$E199/_xlpm.DepreciationMonths,0))</f>
        <v>0</v>
      </c>
      <c r="BN199" s="507" cm="1">
        <f t="array" ref="BN199">_xlfn.LET(_xlpm.DepreciationMonths,INDEX(FixedAssets[Depreciation
/ Amortization Months],_xlfn.XMATCH($E$186,FixedAssets[Asset ID])),IF(AND((_xlfn.XMATCH(BN$8,$AH$8:$CC$8))-_xlfn.XMATCH($C199,$C$35:$C$82)+1&lt;=_xlpm.DepreciationMonths,$C199&lt;=BN$8),$E199/_xlpm.DepreciationMonths,0))</f>
        <v>0</v>
      </c>
      <c r="BO199" s="507" cm="1">
        <f t="array" ref="BO199">_xlfn.LET(_xlpm.DepreciationMonths,INDEX(FixedAssets[Depreciation
/ Amortization Months],_xlfn.XMATCH($E$186,FixedAssets[Asset ID])),IF(AND((_xlfn.XMATCH(BO$8,$AH$8:$CC$8))-_xlfn.XMATCH($C199,$C$35:$C$82)+1&lt;=_xlpm.DepreciationMonths,$C199&lt;=BO$8),$E199/_xlpm.DepreciationMonths,0))</f>
        <v>0</v>
      </c>
      <c r="BP199" s="507" cm="1">
        <f t="array" ref="BP199">_xlfn.LET(_xlpm.DepreciationMonths,INDEX(FixedAssets[Depreciation
/ Amortization Months],_xlfn.XMATCH($E$186,FixedAssets[Asset ID])),IF(AND((_xlfn.XMATCH(BP$8,$AH$8:$CC$8))-_xlfn.XMATCH($C199,$C$35:$C$82)+1&lt;=_xlpm.DepreciationMonths,$C199&lt;=BP$8),$E199/_xlpm.DepreciationMonths,0))</f>
        <v>0</v>
      </c>
      <c r="BQ199" s="507" cm="1">
        <f t="array" ref="BQ199">_xlfn.LET(_xlpm.DepreciationMonths,INDEX(FixedAssets[Depreciation
/ Amortization Months],_xlfn.XMATCH($E$186,FixedAssets[Asset ID])),IF(AND((_xlfn.XMATCH(BQ$8,$AH$8:$CC$8))-_xlfn.XMATCH($C199,$C$35:$C$82)+1&lt;=_xlpm.DepreciationMonths,$C199&lt;=BQ$8),$E199/_xlpm.DepreciationMonths,0))</f>
        <v>0</v>
      </c>
      <c r="BR199" s="507" cm="1">
        <f t="array" ref="BR199">_xlfn.LET(_xlpm.DepreciationMonths,INDEX(FixedAssets[Depreciation
/ Amortization Months],_xlfn.XMATCH($E$186,FixedAssets[Asset ID])),IF(AND((_xlfn.XMATCH(BR$8,$AH$8:$CC$8))-_xlfn.XMATCH($C199,$C$35:$C$82)+1&lt;=_xlpm.DepreciationMonths,$C199&lt;=BR$8),$E199/_xlpm.DepreciationMonths,0))</f>
        <v>0</v>
      </c>
      <c r="BS199" s="507" cm="1">
        <f t="array" ref="BS199">_xlfn.LET(_xlpm.DepreciationMonths,INDEX(FixedAssets[Depreciation
/ Amortization Months],_xlfn.XMATCH($E$186,FixedAssets[Asset ID])),IF(AND((_xlfn.XMATCH(BS$8,$AH$8:$CC$8))-_xlfn.XMATCH($C199,$C$35:$C$82)+1&lt;=_xlpm.DepreciationMonths,$C199&lt;=BS$8),$E199/_xlpm.DepreciationMonths,0))</f>
        <v>0</v>
      </c>
      <c r="BT199" s="507" cm="1">
        <f t="array" ref="BT199">_xlfn.LET(_xlpm.DepreciationMonths,INDEX(FixedAssets[Depreciation
/ Amortization Months],_xlfn.XMATCH($E$186,FixedAssets[Asset ID])),IF(AND((_xlfn.XMATCH(BT$8,$AH$8:$CC$8))-_xlfn.XMATCH($C199,$C$35:$C$82)+1&lt;=_xlpm.DepreciationMonths,$C199&lt;=BT$8),$E199/_xlpm.DepreciationMonths,0))</f>
        <v>0</v>
      </c>
      <c r="BU199" s="507" cm="1">
        <f t="array" ref="BU199">_xlfn.LET(_xlpm.DepreciationMonths,INDEX(FixedAssets[Depreciation
/ Amortization Months],_xlfn.XMATCH($E$186,FixedAssets[Asset ID])),IF(AND((_xlfn.XMATCH(BU$8,$AH$8:$CC$8))-_xlfn.XMATCH($C199,$C$35:$C$82)+1&lt;=_xlpm.DepreciationMonths,$C199&lt;=BU$8),$E199/_xlpm.DepreciationMonths,0))</f>
        <v>0</v>
      </c>
      <c r="BV199" s="507" cm="1">
        <f t="array" ref="BV199">_xlfn.LET(_xlpm.DepreciationMonths,INDEX(FixedAssets[Depreciation
/ Amortization Months],_xlfn.XMATCH($E$186,FixedAssets[Asset ID])),IF(AND((_xlfn.XMATCH(BV$8,$AH$8:$CC$8))-_xlfn.XMATCH($C199,$C$35:$C$82)+1&lt;=_xlpm.DepreciationMonths,$C199&lt;=BV$8),$E199/_xlpm.DepreciationMonths,0))</f>
        <v>0</v>
      </c>
      <c r="BW199" s="507" cm="1">
        <f t="array" ref="BW199">_xlfn.LET(_xlpm.DepreciationMonths,INDEX(FixedAssets[Depreciation
/ Amortization Months],_xlfn.XMATCH($E$186,FixedAssets[Asset ID])),IF(AND((_xlfn.XMATCH(BW$8,$AH$8:$CC$8))-_xlfn.XMATCH($C199,$C$35:$C$82)+1&lt;=_xlpm.DepreciationMonths,$C199&lt;=BW$8),$E199/_xlpm.DepreciationMonths,0))</f>
        <v>0</v>
      </c>
      <c r="BX199" s="507" cm="1">
        <f t="array" ref="BX199">_xlfn.LET(_xlpm.DepreciationMonths,INDEX(FixedAssets[Depreciation
/ Amortization Months],_xlfn.XMATCH($E$186,FixedAssets[Asset ID])),IF(AND((_xlfn.XMATCH(BX$8,$AH$8:$CC$8))-_xlfn.XMATCH($C199,$C$35:$C$82)+1&lt;=_xlpm.DepreciationMonths,$C199&lt;=BX$8),$E199/_xlpm.DepreciationMonths,0))</f>
        <v>0</v>
      </c>
      <c r="BY199" s="507" cm="1">
        <f t="array" ref="BY199">_xlfn.LET(_xlpm.DepreciationMonths,INDEX(FixedAssets[Depreciation
/ Amortization Months],_xlfn.XMATCH($E$186,FixedAssets[Asset ID])),IF(AND((_xlfn.XMATCH(BY$8,$AH$8:$CC$8))-_xlfn.XMATCH($C199,$C$35:$C$82)+1&lt;=_xlpm.DepreciationMonths,$C199&lt;=BY$8),$E199/_xlpm.DepreciationMonths,0))</f>
        <v>0</v>
      </c>
      <c r="BZ199" s="507" cm="1">
        <f t="array" ref="BZ199">_xlfn.LET(_xlpm.DepreciationMonths,INDEX(FixedAssets[Depreciation
/ Amortization Months],_xlfn.XMATCH($E$186,FixedAssets[Asset ID])),IF(AND((_xlfn.XMATCH(BZ$8,$AH$8:$CC$8))-_xlfn.XMATCH($C199,$C$35:$C$82)+1&lt;=_xlpm.DepreciationMonths,$C199&lt;=BZ$8),$E199/_xlpm.DepreciationMonths,0))</f>
        <v>0</v>
      </c>
      <c r="CA199" s="507" cm="1">
        <f t="array" ref="CA199">_xlfn.LET(_xlpm.DepreciationMonths,INDEX(FixedAssets[Depreciation
/ Amortization Months],_xlfn.XMATCH($E$186,FixedAssets[Asset ID])),IF(AND((_xlfn.XMATCH(CA$8,$AH$8:$CC$8))-_xlfn.XMATCH($C199,$C$35:$C$82)+1&lt;=_xlpm.DepreciationMonths,$C199&lt;=CA$8),$E199/_xlpm.DepreciationMonths,0))</f>
        <v>0</v>
      </c>
      <c r="CB199" s="507" cm="1">
        <f t="array" ref="CB199">_xlfn.LET(_xlpm.DepreciationMonths,INDEX(FixedAssets[Depreciation
/ Amortization Months],_xlfn.XMATCH($E$186,FixedAssets[Asset ID])),IF(AND((_xlfn.XMATCH(CB$8,$AH$8:$CC$8))-_xlfn.XMATCH($C199,$C$35:$C$82)+1&lt;=_xlpm.DepreciationMonths,$C199&lt;=CB$8),$E199/_xlpm.DepreciationMonths,0))</f>
        <v>0</v>
      </c>
      <c r="CC199" s="507" cm="1">
        <f t="array" ref="CC199">_xlfn.LET(_xlpm.DepreciationMonths,INDEX(FixedAssets[Depreciation
/ Amortization Months],_xlfn.XMATCH($E$186,FixedAssets[Asset ID])),IF(AND((_xlfn.XMATCH(CC$8,$AH$8:$CC$8))-_xlfn.XMATCH($C199,$C$35:$C$82)+1&lt;=_xlpm.DepreciationMonths,$C199&lt;=CC$8),$E199/_xlpm.DepreciationMonths,0))</f>
        <v>0</v>
      </c>
    </row>
    <row r="200" spans="3:81" hidden="1" outlineLevel="2">
      <c r="C200" s="664">
        <f t="shared" si="256"/>
        <v>45322</v>
      </c>
      <c r="D200" s="508"/>
      <c r="E200" s="508" cm="1">
        <f t="array" ref="E200">SUMPRODUCT(($AH$26:$CC$31)*($AH$5:$CC$5=$C200)*($E$26:$E$31=E$186))-SUMPRODUCT(($AH$26:$CC$31)*($AH$5:$CC$5=EOMONTH($C200,-1))*($E$26:$E$31=E$186))</f>
        <v>0</v>
      </c>
      <c r="F200" s="508"/>
      <c r="G200" s="508"/>
      <c r="H200" s="508"/>
      <c r="I200" s="508"/>
      <c r="J200" s="504">
        <f t="shared" si="254"/>
        <v>0</v>
      </c>
      <c r="K200" s="504">
        <f t="shared" si="254"/>
        <v>0</v>
      </c>
      <c r="L200" s="504">
        <f t="shared" si="254"/>
        <v>0</v>
      </c>
      <c r="M200" s="504">
        <f t="shared" si="254"/>
        <v>0</v>
      </c>
      <c r="N200" s="504"/>
      <c r="O200" s="504"/>
      <c r="P200" s="504">
        <f t="shared" si="255"/>
        <v>0</v>
      </c>
      <c r="Q200" s="504">
        <f t="shared" si="255"/>
        <v>0</v>
      </c>
      <c r="R200" s="504">
        <f t="shared" si="255"/>
        <v>0</v>
      </c>
      <c r="S200" s="504">
        <f t="shared" si="255"/>
        <v>0</v>
      </c>
      <c r="T200" s="504">
        <f t="shared" si="255"/>
        <v>0</v>
      </c>
      <c r="U200" s="504">
        <f t="shared" si="255"/>
        <v>0</v>
      </c>
      <c r="V200" s="504">
        <f t="shared" si="255"/>
        <v>0</v>
      </c>
      <c r="W200" s="504">
        <f t="shared" si="255"/>
        <v>0</v>
      </c>
      <c r="X200" s="504">
        <f t="shared" si="255"/>
        <v>0</v>
      </c>
      <c r="Y200" s="504">
        <f t="shared" si="255"/>
        <v>0</v>
      </c>
      <c r="Z200" s="504">
        <f t="shared" si="255"/>
        <v>0</v>
      </c>
      <c r="AA200" s="504">
        <f t="shared" si="255"/>
        <v>0</v>
      </c>
      <c r="AB200" s="504">
        <f t="shared" si="255"/>
        <v>0</v>
      </c>
      <c r="AC200" s="504">
        <f t="shared" si="255"/>
        <v>0</v>
      </c>
      <c r="AD200" s="504">
        <f t="shared" si="255"/>
        <v>0</v>
      </c>
      <c r="AE200" s="504">
        <f t="shared" si="255"/>
        <v>0</v>
      </c>
      <c r="AF200" s="508"/>
      <c r="AG200" s="508"/>
      <c r="AH200" s="507" cm="1">
        <f t="array" ref="AH200">_xlfn.LET(_xlpm.DepreciationMonths,INDEX(FixedAssets[Depreciation
/ Amortization Months],_xlfn.XMATCH($E$186,FixedAssets[Asset ID])),IF(AND((_xlfn.XMATCH(AH$8,$AH$8:$CC$8))-_xlfn.XMATCH($C200,$C$35:$C$82)+1&lt;=_xlpm.DepreciationMonths,$C200&lt;=AH$8),$E200/_xlpm.DepreciationMonths,0))</f>
        <v>0</v>
      </c>
      <c r="AI200" s="507" cm="1">
        <f t="array" ref="AI200">_xlfn.LET(_xlpm.DepreciationMonths,INDEX(FixedAssets[Depreciation
/ Amortization Months],_xlfn.XMATCH($E$186,FixedAssets[Asset ID])),IF(AND((_xlfn.XMATCH(AI$8,$AH$8:$CC$8))-_xlfn.XMATCH($C200,$C$35:$C$82)+1&lt;=_xlpm.DepreciationMonths,$C200&lt;=AI$8),$E200/_xlpm.DepreciationMonths,0))</f>
        <v>0</v>
      </c>
      <c r="AJ200" s="507" cm="1">
        <f t="array" ref="AJ200">_xlfn.LET(_xlpm.DepreciationMonths,INDEX(FixedAssets[Depreciation
/ Amortization Months],_xlfn.XMATCH($E$186,FixedAssets[Asset ID])),IF(AND((_xlfn.XMATCH(AJ$8,$AH$8:$CC$8))-_xlfn.XMATCH($C200,$C$35:$C$82)+1&lt;=_xlpm.DepreciationMonths,$C200&lt;=AJ$8),$E200/_xlpm.DepreciationMonths,0))</f>
        <v>0</v>
      </c>
      <c r="AK200" s="507" cm="1">
        <f t="array" ref="AK200">_xlfn.LET(_xlpm.DepreciationMonths,INDEX(FixedAssets[Depreciation
/ Amortization Months],_xlfn.XMATCH($E$186,FixedAssets[Asset ID])),IF(AND((_xlfn.XMATCH(AK$8,$AH$8:$CC$8))-_xlfn.XMATCH($C200,$C$35:$C$82)+1&lt;=_xlpm.DepreciationMonths,$C200&lt;=AK$8),$E200/_xlpm.DepreciationMonths,0))</f>
        <v>0</v>
      </c>
      <c r="AL200" s="507" cm="1">
        <f t="array" ref="AL200">_xlfn.LET(_xlpm.DepreciationMonths,INDEX(FixedAssets[Depreciation
/ Amortization Months],_xlfn.XMATCH($E$186,FixedAssets[Asset ID])),IF(AND((_xlfn.XMATCH(AL$8,$AH$8:$CC$8))-_xlfn.XMATCH($C200,$C$35:$C$82)+1&lt;=_xlpm.DepreciationMonths,$C200&lt;=AL$8),$E200/_xlpm.DepreciationMonths,0))</f>
        <v>0</v>
      </c>
      <c r="AM200" s="507" cm="1">
        <f t="array" ref="AM200">_xlfn.LET(_xlpm.DepreciationMonths,INDEX(FixedAssets[Depreciation
/ Amortization Months],_xlfn.XMATCH($E$186,FixedAssets[Asset ID])),IF(AND((_xlfn.XMATCH(AM$8,$AH$8:$CC$8))-_xlfn.XMATCH($C200,$C$35:$C$82)+1&lt;=_xlpm.DepreciationMonths,$C200&lt;=AM$8),$E200/_xlpm.DepreciationMonths,0))</f>
        <v>0</v>
      </c>
      <c r="AN200" s="507" cm="1">
        <f t="array" ref="AN200">_xlfn.LET(_xlpm.DepreciationMonths,INDEX(FixedAssets[Depreciation
/ Amortization Months],_xlfn.XMATCH($E$186,FixedAssets[Asset ID])),IF(AND((_xlfn.XMATCH(AN$8,$AH$8:$CC$8))-_xlfn.XMATCH($C200,$C$35:$C$82)+1&lt;=_xlpm.DepreciationMonths,$C200&lt;=AN$8),$E200/_xlpm.DepreciationMonths,0))</f>
        <v>0</v>
      </c>
      <c r="AO200" s="507" cm="1">
        <f t="array" ref="AO200">_xlfn.LET(_xlpm.DepreciationMonths,INDEX(FixedAssets[Depreciation
/ Amortization Months],_xlfn.XMATCH($E$186,FixedAssets[Asset ID])),IF(AND((_xlfn.XMATCH(AO$8,$AH$8:$CC$8))-_xlfn.XMATCH($C200,$C$35:$C$82)+1&lt;=_xlpm.DepreciationMonths,$C200&lt;=AO$8),$E200/_xlpm.DepreciationMonths,0))</f>
        <v>0</v>
      </c>
      <c r="AP200" s="507" cm="1">
        <f t="array" ref="AP200">_xlfn.LET(_xlpm.DepreciationMonths,INDEX(FixedAssets[Depreciation
/ Amortization Months],_xlfn.XMATCH($E$186,FixedAssets[Asset ID])),IF(AND((_xlfn.XMATCH(AP$8,$AH$8:$CC$8))-_xlfn.XMATCH($C200,$C$35:$C$82)+1&lt;=_xlpm.DepreciationMonths,$C200&lt;=AP$8),$E200/_xlpm.DepreciationMonths,0))</f>
        <v>0</v>
      </c>
      <c r="AQ200" s="507" cm="1">
        <f t="array" ref="AQ200">_xlfn.LET(_xlpm.DepreciationMonths,INDEX(FixedAssets[Depreciation
/ Amortization Months],_xlfn.XMATCH($E$186,FixedAssets[Asset ID])),IF(AND((_xlfn.XMATCH(AQ$8,$AH$8:$CC$8))-_xlfn.XMATCH($C200,$C$35:$C$82)+1&lt;=_xlpm.DepreciationMonths,$C200&lt;=AQ$8),$E200/_xlpm.DepreciationMonths,0))</f>
        <v>0</v>
      </c>
      <c r="AR200" s="507" cm="1">
        <f t="array" ref="AR200">_xlfn.LET(_xlpm.DepreciationMonths,INDEX(FixedAssets[Depreciation
/ Amortization Months],_xlfn.XMATCH($E$186,FixedAssets[Asset ID])),IF(AND((_xlfn.XMATCH(AR$8,$AH$8:$CC$8))-_xlfn.XMATCH($C200,$C$35:$C$82)+1&lt;=_xlpm.DepreciationMonths,$C200&lt;=AR$8),$E200/_xlpm.DepreciationMonths,0))</f>
        <v>0</v>
      </c>
      <c r="AS200" s="507" cm="1">
        <f t="array" ref="AS200">_xlfn.LET(_xlpm.DepreciationMonths,INDEX(FixedAssets[Depreciation
/ Amortization Months],_xlfn.XMATCH($E$186,FixedAssets[Asset ID])),IF(AND((_xlfn.XMATCH(AS$8,$AH$8:$CC$8))-_xlfn.XMATCH($C200,$C$35:$C$82)+1&lt;=_xlpm.DepreciationMonths,$C200&lt;=AS$8),$E200/_xlpm.DepreciationMonths,0))</f>
        <v>0</v>
      </c>
      <c r="AT200" s="507" cm="1">
        <f t="array" ref="AT200">_xlfn.LET(_xlpm.DepreciationMonths,INDEX(FixedAssets[Depreciation
/ Amortization Months],_xlfn.XMATCH($E$186,FixedAssets[Asset ID])),IF(AND((_xlfn.XMATCH(AT$8,$AH$8:$CC$8))-_xlfn.XMATCH($C200,$C$35:$C$82)+1&lt;=_xlpm.DepreciationMonths,$C200&lt;=AT$8),$E200/_xlpm.DepreciationMonths,0))</f>
        <v>0</v>
      </c>
      <c r="AU200" s="507" cm="1">
        <f t="array" ref="AU200">_xlfn.LET(_xlpm.DepreciationMonths,INDEX(FixedAssets[Depreciation
/ Amortization Months],_xlfn.XMATCH($E$186,FixedAssets[Asset ID])),IF(AND((_xlfn.XMATCH(AU$8,$AH$8:$CC$8))-_xlfn.XMATCH($C200,$C$35:$C$82)+1&lt;=_xlpm.DepreciationMonths,$C200&lt;=AU$8),$E200/_xlpm.DepreciationMonths,0))</f>
        <v>0</v>
      </c>
      <c r="AV200" s="507" cm="1">
        <f t="array" ref="AV200">_xlfn.LET(_xlpm.DepreciationMonths,INDEX(FixedAssets[Depreciation
/ Amortization Months],_xlfn.XMATCH($E$186,FixedAssets[Asset ID])),IF(AND((_xlfn.XMATCH(AV$8,$AH$8:$CC$8))-_xlfn.XMATCH($C200,$C$35:$C$82)+1&lt;=_xlpm.DepreciationMonths,$C200&lt;=AV$8),$E200/_xlpm.DepreciationMonths,0))</f>
        <v>0</v>
      </c>
      <c r="AW200" s="507" cm="1">
        <f t="array" ref="AW200">_xlfn.LET(_xlpm.DepreciationMonths,INDEX(FixedAssets[Depreciation
/ Amortization Months],_xlfn.XMATCH($E$186,FixedAssets[Asset ID])),IF(AND((_xlfn.XMATCH(AW$8,$AH$8:$CC$8))-_xlfn.XMATCH($C200,$C$35:$C$82)+1&lt;=_xlpm.DepreciationMonths,$C200&lt;=AW$8),$E200/_xlpm.DepreciationMonths,0))</f>
        <v>0</v>
      </c>
      <c r="AX200" s="507" cm="1">
        <f t="array" ref="AX200">_xlfn.LET(_xlpm.DepreciationMonths,INDEX(FixedAssets[Depreciation
/ Amortization Months],_xlfn.XMATCH($E$186,FixedAssets[Asset ID])),IF(AND((_xlfn.XMATCH(AX$8,$AH$8:$CC$8))-_xlfn.XMATCH($C200,$C$35:$C$82)+1&lt;=_xlpm.DepreciationMonths,$C200&lt;=AX$8),$E200/_xlpm.DepreciationMonths,0))</f>
        <v>0</v>
      </c>
      <c r="AY200" s="507" cm="1">
        <f t="array" ref="AY200">_xlfn.LET(_xlpm.DepreciationMonths,INDEX(FixedAssets[Depreciation
/ Amortization Months],_xlfn.XMATCH($E$186,FixedAssets[Asset ID])),IF(AND((_xlfn.XMATCH(AY$8,$AH$8:$CC$8))-_xlfn.XMATCH($C200,$C$35:$C$82)+1&lt;=_xlpm.DepreciationMonths,$C200&lt;=AY$8),$E200/_xlpm.DepreciationMonths,0))</f>
        <v>0</v>
      </c>
      <c r="AZ200" s="507" cm="1">
        <f t="array" ref="AZ200">_xlfn.LET(_xlpm.DepreciationMonths,INDEX(FixedAssets[Depreciation
/ Amortization Months],_xlfn.XMATCH($E$186,FixedAssets[Asset ID])),IF(AND((_xlfn.XMATCH(AZ$8,$AH$8:$CC$8))-_xlfn.XMATCH($C200,$C$35:$C$82)+1&lt;=_xlpm.DepreciationMonths,$C200&lt;=AZ$8),$E200/_xlpm.DepreciationMonths,0))</f>
        <v>0</v>
      </c>
      <c r="BA200" s="507" cm="1">
        <f t="array" ref="BA200">_xlfn.LET(_xlpm.DepreciationMonths,INDEX(FixedAssets[Depreciation
/ Amortization Months],_xlfn.XMATCH($E$186,FixedAssets[Asset ID])),IF(AND((_xlfn.XMATCH(BA$8,$AH$8:$CC$8))-_xlfn.XMATCH($C200,$C$35:$C$82)+1&lt;=_xlpm.DepreciationMonths,$C200&lt;=BA$8),$E200/_xlpm.DepreciationMonths,0))</f>
        <v>0</v>
      </c>
      <c r="BB200" s="507" cm="1">
        <f t="array" ref="BB200">_xlfn.LET(_xlpm.DepreciationMonths,INDEX(FixedAssets[Depreciation
/ Amortization Months],_xlfn.XMATCH($E$186,FixedAssets[Asset ID])),IF(AND((_xlfn.XMATCH(BB$8,$AH$8:$CC$8))-_xlfn.XMATCH($C200,$C$35:$C$82)+1&lt;=_xlpm.DepreciationMonths,$C200&lt;=BB$8),$E200/_xlpm.DepreciationMonths,0))</f>
        <v>0</v>
      </c>
      <c r="BC200" s="507" cm="1">
        <f t="array" ref="BC200">_xlfn.LET(_xlpm.DepreciationMonths,INDEX(FixedAssets[Depreciation
/ Amortization Months],_xlfn.XMATCH($E$186,FixedAssets[Asset ID])),IF(AND((_xlfn.XMATCH(BC$8,$AH$8:$CC$8))-_xlfn.XMATCH($C200,$C$35:$C$82)+1&lt;=_xlpm.DepreciationMonths,$C200&lt;=BC$8),$E200/_xlpm.DepreciationMonths,0))</f>
        <v>0</v>
      </c>
      <c r="BD200" s="507" cm="1">
        <f t="array" ref="BD200">_xlfn.LET(_xlpm.DepreciationMonths,INDEX(FixedAssets[Depreciation
/ Amortization Months],_xlfn.XMATCH($E$186,FixedAssets[Asset ID])),IF(AND((_xlfn.XMATCH(BD$8,$AH$8:$CC$8))-_xlfn.XMATCH($C200,$C$35:$C$82)+1&lt;=_xlpm.DepreciationMonths,$C200&lt;=BD$8),$E200/_xlpm.DepreciationMonths,0))</f>
        <v>0</v>
      </c>
      <c r="BE200" s="507" cm="1">
        <f t="array" ref="BE200">_xlfn.LET(_xlpm.DepreciationMonths,INDEX(FixedAssets[Depreciation
/ Amortization Months],_xlfn.XMATCH($E$186,FixedAssets[Asset ID])),IF(AND((_xlfn.XMATCH(BE$8,$AH$8:$CC$8))-_xlfn.XMATCH($C200,$C$35:$C$82)+1&lt;=_xlpm.DepreciationMonths,$C200&lt;=BE$8),$E200/_xlpm.DepreciationMonths,0))</f>
        <v>0</v>
      </c>
      <c r="BF200" s="507" cm="1">
        <f t="array" ref="BF200">_xlfn.LET(_xlpm.DepreciationMonths,INDEX(FixedAssets[Depreciation
/ Amortization Months],_xlfn.XMATCH($E$186,FixedAssets[Asset ID])),IF(AND((_xlfn.XMATCH(BF$8,$AH$8:$CC$8))-_xlfn.XMATCH($C200,$C$35:$C$82)+1&lt;=_xlpm.DepreciationMonths,$C200&lt;=BF$8),$E200/_xlpm.DepreciationMonths,0))</f>
        <v>0</v>
      </c>
      <c r="BG200" s="507" cm="1">
        <f t="array" ref="BG200">_xlfn.LET(_xlpm.DepreciationMonths,INDEX(FixedAssets[Depreciation
/ Amortization Months],_xlfn.XMATCH($E$186,FixedAssets[Asset ID])),IF(AND((_xlfn.XMATCH(BG$8,$AH$8:$CC$8))-_xlfn.XMATCH($C200,$C$35:$C$82)+1&lt;=_xlpm.DepreciationMonths,$C200&lt;=BG$8),$E200/_xlpm.DepreciationMonths,0))</f>
        <v>0</v>
      </c>
      <c r="BH200" s="507" cm="1">
        <f t="array" ref="BH200">_xlfn.LET(_xlpm.DepreciationMonths,INDEX(FixedAssets[Depreciation
/ Amortization Months],_xlfn.XMATCH($E$186,FixedAssets[Asset ID])),IF(AND((_xlfn.XMATCH(BH$8,$AH$8:$CC$8))-_xlfn.XMATCH($C200,$C$35:$C$82)+1&lt;=_xlpm.DepreciationMonths,$C200&lt;=BH$8),$E200/_xlpm.DepreciationMonths,0))</f>
        <v>0</v>
      </c>
      <c r="BI200" s="507" cm="1">
        <f t="array" ref="BI200">_xlfn.LET(_xlpm.DepreciationMonths,INDEX(FixedAssets[Depreciation
/ Amortization Months],_xlfn.XMATCH($E$186,FixedAssets[Asset ID])),IF(AND((_xlfn.XMATCH(BI$8,$AH$8:$CC$8))-_xlfn.XMATCH($C200,$C$35:$C$82)+1&lt;=_xlpm.DepreciationMonths,$C200&lt;=BI$8),$E200/_xlpm.DepreciationMonths,0))</f>
        <v>0</v>
      </c>
      <c r="BJ200" s="507" cm="1">
        <f t="array" ref="BJ200">_xlfn.LET(_xlpm.DepreciationMonths,INDEX(FixedAssets[Depreciation
/ Amortization Months],_xlfn.XMATCH($E$186,FixedAssets[Asset ID])),IF(AND((_xlfn.XMATCH(BJ$8,$AH$8:$CC$8))-_xlfn.XMATCH($C200,$C$35:$C$82)+1&lt;=_xlpm.DepreciationMonths,$C200&lt;=BJ$8),$E200/_xlpm.DepreciationMonths,0))</f>
        <v>0</v>
      </c>
      <c r="BK200" s="507" cm="1">
        <f t="array" ref="BK200">_xlfn.LET(_xlpm.DepreciationMonths,INDEX(FixedAssets[Depreciation
/ Amortization Months],_xlfn.XMATCH($E$186,FixedAssets[Asset ID])),IF(AND((_xlfn.XMATCH(BK$8,$AH$8:$CC$8))-_xlfn.XMATCH($C200,$C$35:$C$82)+1&lt;=_xlpm.DepreciationMonths,$C200&lt;=BK$8),$E200/_xlpm.DepreciationMonths,0))</f>
        <v>0</v>
      </c>
      <c r="BL200" s="507" cm="1">
        <f t="array" ref="BL200">_xlfn.LET(_xlpm.DepreciationMonths,INDEX(FixedAssets[Depreciation
/ Amortization Months],_xlfn.XMATCH($E$186,FixedAssets[Asset ID])),IF(AND((_xlfn.XMATCH(BL$8,$AH$8:$CC$8))-_xlfn.XMATCH($C200,$C$35:$C$82)+1&lt;=_xlpm.DepreciationMonths,$C200&lt;=BL$8),$E200/_xlpm.DepreciationMonths,0))</f>
        <v>0</v>
      </c>
      <c r="BM200" s="507" cm="1">
        <f t="array" ref="BM200">_xlfn.LET(_xlpm.DepreciationMonths,INDEX(FixedAssets[Depreciation
/ Amortization Months],_xlfn.XMATCH($E$186,FixedAssets[Asset ID])),IF(AND((_xlfn.XMATCH(BM$8,$AH$8:$CC$8))-_xlfn.XMATCH($C200,$C$35:$C$82)+1&lt;=_xlpm.DepreciationMonths,$C200&lt;=BM$8),$E200/_xlpm.DepreciationMonths,0))</f>
        <v>0</v>
      </c>
      <c r="BN200" s="507" cm="1">
        <f t="array" ref="BN200">_xlfn.LET(_xlpm.DepreciationMonths,INDEX(FixedAssets[Depreciation
/ Amortization Months],_xlfn.XMATCH($E$186,FixedAssets[Asset ID])),IF(AND((_xlfn.XMATCH(BN$8,$AH$8:$CC$8))-_xlfn.XMATCH($C200,$C$35:$C$82)+1&lt;=_xlpm.DepreciationMonths,$C200&lt;=BN$8),$E200/_xlpm.DepreciationMonths,0))</f>
        <v>0</v>
      </c>
      <c r="BO200" s="507" cm="1">
        <f t="array" ref="BO200">_xlfn.LET(_xlpm.DepreciationMonths,INDEX(FixedAssets[Depreciation
/ Amortization Months],_xlfn.XMATCH($E$186,FixedAssets[Asset ID])),IF(AND((_xlfn.XMATCH(BO$8,$AH$8:$CC$8))-_xlfn.XMATCH($C200,$C$35:$C$82)+1&lt;=_xlpm.DepreciationMonths,$C200&lt;=BO$8),$E200/_xlpm.DepreciationMonths,0))</f>
        <v>0</v>
      </c>
      <c r="BP200" s="507" cm="1">
        <f t="array" ref="BP200">_xlfn.LET(_xlpm.DepreciationMonths,INDEX(FixedAssets[Depreciation
/ Amortization Months],_xlfn.XMATCH($E$186,FixedAssets[Asset ID])),IF(AND((_xlfn.XMATCH(BP$8,$AH$8:$CC$8))-_xlfn.XMATCH($C200,$C$35:$C$82)+1&lt;=_xlpm.DepreciationMonths,$C200&lt;=BP$8),$E200/_xlpm.DepreciationMonths,0))</f>
        <v>0</v>
      </c>
      <c r="BQ200" s="507" cm="1">
        <f t="array" ref="BQ200">_xlfn.LET(_xlpm.DepreciationMonths,INDEX(FixedAssets[Depreciation
/ Amortization Months],_xlfn.XMATCH($E$186,FixedAssets[Asset ID])),IF(AND((_xlfn.XMATCH(BQ$8,$AH$8:$CC$8))-_xlfn.XMATCH($C200,$C$35:$C$82)+1&lt;=_xlpm.DepreciationMonths,$C200&lt;=BQ$8),$E200/_xlpm.DepreciationMonths,0))</f>
        <v>0</v>
      </c>
      <c r="BR200" s="507" cm="1">
        <f t="array" ref="BR200">_xlfn.LET(_xlpm.DepreciationMonths,INDEX(FixedAssets[Depreciation
/ Amortization Months],_xlfn.XMATCH($E$186,FixedAssets[Asset ID])),IF(AND((_xlfn.XMATCH(BR$8,$AH$8:$CC$8))-_xlfn.XMATCH($C200,$C$35:$C$82)+1&lt;=_xlpm.DepreciationMonths,$C200&lt;=BR$8),$E200/_xlpm.DepreciationMonths,0))</f>
        <v>0</v>
      </c>
      <c r="BS200" s="507" cm="1">
        <f t="array" ref="BS200">_xlfn.LET(_xlpm.DepreciationMonths,INDEX(FixedAssets[Depreciation
/ Amortization Months],_xlfn.XMATCH($E$186,FixedAssets[Asset ID])),IF(AND((_xlfn.XMATCH(BS$8,$AH$8:$CC$8))-_xlfn.XMATCH($C200,$C$35:$C$82)+1&lt;=_xlpm.DepreciationMonths,$C200&lt;=BS$8),$E200/_xlpm.DepreciationMonths,0))</f>
        <v>0</v>
      </c>
      <c r="BT200" s="507" cm="1">
        <f t="array" ref="BT200">_xlfn.LET(_xlpm.DepreciationMonths,INDEX(FixedAssets[Depreciation
/ Amortization Months],_xlfn.XMATCH($E$186,FixedAssets[Asset ID])),IF(AND((_xlfn.XMATCH(BT$8,$AH$8:$CC$8))-_xlfn.XMATCH($C200,$C$35:$C$82)+1&lt;=_xlpm.DepreciationMonths,$C200&lt;=BT$8),$E200/_xlpm.DepreciationMonths,0))</f>
        <v>0</v>
      </c>
      <c r="BU200" s="507" cm="1">
        <f t="array" ref="BU200">_xlfn.LET(_xlpm.DepreciationMonths,INDEX(FixedAssets[Depreciation
/ Amortization Months],_xlfn.XMATCH($E$186,FixedAssets[Asset ID])),IF(AND((_xlfn.XMATCH(BU$8,$AH$8:$CC$8))-_xlfn.XMATCH($C200,$C$35:$C$82)+1&lt;=_xlpm.DepreciationMonths,$C200&lt;=BU$8),$E200/_xlpm.DepreciationMonths,0))</f>
        <v>0</v>
      </c>
      <c r="BV200" s="507" cm="1">
        <f t="array" ref="BV200">_xlfn.LET(_xlpm.DepreciationMonths,INDEX(FixedAssets[Depreciation
/ Amortization Months],_xlfn.XMATCH($E$186,FixedAssets[Asset ID])),IF(AND((_xlfn.XMATCH(BV$8,$AH$8:$CC$8))-_xlfn.XMATCH($C200,$C$35:$C$82)+1&lt;=_xlpm.DepreciationMonths,$C200&lt;=BV$8),$E200/_xlpm.DepreciationMonths,0))</f>
        <v>0</v>
      </c>
      <c r="BW200" s="507" cm="1">
        <f t="array" ref="BW200">_xlfn.LET(_xlpm.DepreciationMonths,INDEX(FixedAssets[Depreciation
/ Amortization Months],_xlfn.XMATCH($E$186,FixedAssets[Asset ID])),IF(AND((_xlfn.XMATCH(BW$8,$AH$8:$CC$8))-_xlfn.XMATCH($C200,$C$35:$C$82)+1&lt;=_xlpm.DepreciationMonths,$C200&lt;=BW$8),$E200/_xlpm.DepreciationMonths,0))</f>
        <v>0</v>
      </c>
      <c r="BX200" s="507" cm="1">
        <f t="array" ref="BX200">_xlfn.LET(_xlpm.DepreciationMonths,INDEX(FixedAssets[Depreciation
/ Amortization Months],_xlfn.XMATCH($E$186,FixedAssets[Asset ID])),IF(AND((_xlfn.XMATCH(BX$8,$AH$8:$CC$8))-_xlfn.XMATCH($C200,$C$35:$C$82)+1&lt;=_xlpm.DepreciationMonths,$C200&lt;=BX$8),$E200/_xlpm.DepreciationMonths,0))</f>
        <v>0</v>
      </c>
      <c r="BY200" s="507" cm="1">
        <f t="array" ref="BY200">_xlfn.LET(_xlpm.DepreciationMonths,INDEX(FixedAssets[Depreciation
/ Amortization Months],_xlfn.XMATCH($E$186,FixedAssets[Asset ID])),IF(AND((_xlfn.XMATCH(BY$8,$AH$8:$CC$8))-_xlfn.XMATCH($C200,$C$35:$C$82)+1&lt;=_xlpm.DepreciationMonths,$C200&lt;=BY$8),$E200/_xlpm.DepreciationMonths,0))</f>
        <v>0</v>
      </c>
      <c r="BZ200" s="507" cm="1">
        <f t="array" ref="BZ200">_xlfn.LET(_xlpm.DepreciationMonths,INDEX(FixedAssets[Depreciation
/ Amortization Months],_xlfn.XMATCH($E$186,FixedAssets[Asset ID])),IF(AND((_xlfn.XMATCH(BZ$8,$AH$8:$CC$8))-_xlfn.XMATCH($C200,$C$35:$C$82)+1&lt;=_xlpm.DepreciationMonths,$C200&lt;=BZ$8),$E200/_xlpm.DepreciationMonths,0))</f>
        <v>0</v>
      </c>
      <c r="CA200" s="507" cm="1">
        <f t="array" ref="CA200">_xlfn.LET(_xlpm.DepreciationMonths,INDEX(FixedAssets[Depreciation
/ Amortization Months],_xlfn.XMATCH($E$186,FixedAssets[Asset ID])),IF(AND((_xlfn.XMATCH(CA$8,$AH$8:$CC$8))-_xlfn.XMATCH($C200,$C$35:$C$82)+1&lt;=_xlpm.DepreciationMonths,$C200&lt;=CA$8),$E200/_xlpm.DepreciationMonths,0))</f>
        <v>0</v>
      </c>
      <c r="CB200" s="507" cm="1">
        <f t="array" ref="CB200">_xlfn.LET(_xlpm.DepreciationMonths,INDEX(FixedAssets[Depreciation
/ Amortization Months],_xlfn.XMATCH($E$186,FixedAssets[Asset ID])),IF(AND((_xlfn.XMATCH(CB$8,$AH$8:$CC$8))-_xlfn.XMATCH($C200,$C$35:$C$82)+1&lt;=_xlpm.DepreciationMonths,$C200&lt;=CB$8),$E200/_xlpm.DepreciationMonths,0))</f>
        <v>0</v>
      </c>
      <c r="CC200" s="507" cm="1">
        <f t="array" ref="CC200">_xlfn.LET(_xlpm.DepreciationMonths,INDEX(FixedAssets[Depreciation
/ Amortization Months],_xlfn.XMATCH($E$186,FixedAssets[Asset ID])),IF(AND((_xlfn.XMATCH(CC$8,$AH$8:$CC$8))-_xlfn.XMATCH($C200,$C$35:$C$82)+1&lt;=_xlpm.DepreciationMonths,$C200&lt;=CC$8),$E200/_xlpm.DepreciationMonths,0))</f>
        <v>0</v>
      </c>
    </row>
    <row r="201" spans="3:81" hidden="1" outlineLevel="2">
      <c r="C201" s="664">
        <f t="shared" si="256"/>
        <v>45351</v>
      </c>
      <c r="D201" s="508"/>
      <c r="E201" s="508" cm="1">
        <f t="array" ref="E201">SUMPRODUCT(($AH$26:$CC$31)*($AH$5:$CC$5=$C201)*($E$26:$E$31=E$186))-SUMPRODUCT(($AH$26:$CC$31)*($AH$5:$CC$5=EOMONTH($C201,-1))*($E$26:$E$31=E$186))</f>
        <v>0</v>
      </c>
      <c r="F201" s="508"/>
      <c r="G201" s="508"/>
      <c r="H201" s="508"/>
      <c r="I201" s="508"/>
      <c r="J201" s="504">
        <f t="shared" si="254"/>
        <v>0</v>
      </c>
      <c r="K201" s="504">
        <f t="shared" si="254"/>
        <v>0</v>
      </c>
      <c r="L201" s="504">
        <f t="shared" si="254"/>
        <v>0</v>
      </c>
      <c r="M201" s="504">
        <f t="shared" si="254"/>
        <v>0</v>
      </c>
      <c r="N201" s="504"/>
      <c r="O201" s="504"/>
      <c r="P201" s="504">
        <f t="shared" si="255"/>
        <v>0</v>
      </c>
      <c r="Q201" s="504">
        <f t="shared" si="255"/>
        <v>0</v>
      </c>
      <c r="R201" s="504">
        <f t="shared" si="255"/>
        <v>0</v>
      </c>
      <c r="S201" s="504">
        <f t="shared" si="255"/>
        <v>0</v>
      </c>
      <c r="T201" s="504">
        <f t="shared" si="255"/>
        <v>0</v>
      </c>
      <c r="U201" s="504">
        <f t="shared" si="255"/>
        <v>0</v>
      </c>
      <c r="V201" s="504">
        <f t="shared" si="255"/>
        <v>0</v>
      </c>
      <c r="W201" s="504">
        <f t="shared" si="255"/>
        <v>0</v>
      </c>
      <c r="X201" s="504">
        <f t="shared" si="255"/>
        <v>0</v>
      </c>
      <c r="Y201" s="504">
        <f t="shared" si="255"/>
        <v>0</v>
      </c>
      <c r="Z201" s="504">
        <f t="shared" si="255"/>
        <v>0</v>
      </c>
      <c r="AA201" s="504">
        <f t="shared" si="255"/>
        <v>0</v>
      </c>
      <c r="AB201" s="504">
        <f t="shared" si="255"/>
        <v>0</v>
      </c>
      <c r="AC201" s="504">
        <f t="shared" si="255"/>
        <v>0</v>
      </c>
      <c r="AD201" s="504">
        <f t="shared" si="255"/>
        <v>0</v>
      </c>
      <c r="AE201" s="504">
        <f t="shared" si="255"/>
        <v>0</v>
      </c>
      <c r="AF201" s="508"/>
      <c r="AG201" s="508"/>
      <c r="AH201" s="507" cm="1">
        <f t="array" ref="AH201">_xlfn.LET(_xlpm.DepreciationMonths,INDEX(FixedAssets[Depreciation
/ Amortization Months],_xlfn.XMATCH($E$186,FixedAssets[Asset ID])),IF(AND((_xlfn.XMATCH(AH$8,$AH$8:$CC$8))-_xlfn.XMATCH($C201,$C$35:$C$82)+1&lt;=_xlpm.DepreciationMonths,$C201&lt;=AH$8),$E201/_xlpm.DepreciationMonths,0))</f>
        <v>0</v>
      </c>
      <c r="AI201" s="507" cm="1">
        <f t="array" ref="AI201">_xlfn.LET(_xlpm.DepreciationMonths,INDEX(FixedAssets[Depreciation
/ Amortization Months],_xlfn.XMATCH($E$186,FixedAssets[Asset ID])),IF(AND((_xlfn.XMATCH(AI$8,$AH$8:$CC$8))-_xlfn.XMATCH($C201,$C$35:$C$82)+1&lt;=_xlpm.DepreciationMonths,$C201&lt;=AI$8),$E201/_xlpm.DepreciationMonths,0))</f>
        <v>0</v>
      </c>
      <c r="AJ201" s="507" cm="1">
        <f t="array" ref="AJ201">_xlfn.LET(_xlpm.DepreciationMonths,INDEX(FixedAssets[Depreciation
/ Amortization Months],_xlfn.XMATCH($E$186,FixedAssets[Asset ID])),IF(AND((_xlfn.XMATCH(AJ$8,$AH$8:$CC$8))-_xlfn.XMATCH($C201,$C$35:$C$82)+1&lt;=_xlpm.DepreciationMonths,$C201&lt;=AJ$8),$E201/_xlpm.DepreciationMonths,0))</f>
        <v>0</v>
      </c>
      <c r="AK201" s="507" cm="1">
        <f t="array" ref="AK201">_xlfn.LET(_xlpm.DepreciationMonths,INDEX(FixedAssets[Depreciation
/ Amortization Months],_xlfn.XMATCH($E$186,FixedAssets[Asset ID])),IF(AND((_xlfn.XMATCH(AK$8,$AH$8:$CC$8))-_xlfn.XMATCH($C201,$C$35:$C$82)+1&lt;=_xlpm.DepreciationMonths,$C201&lt;=AK$8),$E201/_xlpm.DepreciationMonths,0))</f>
        <v>0</v>
      </c>
      <c r="AL201" s="507" cm="1">
        <f t="array" ref="AL201">_xlfn.LET(_xlpm.DepreciationMonths,INDEX(FixedAssets[Depreciation
/ Amortization Months],_xlfn.XMATCH($E$186,FixedAssets[Asset ID])),IF(AND((_xlfn.XMATCH(AL$8,$AH$8:$CC$8))-_xlfn.XMATCH($C201,$C$35:$C$82)+1&lt;=_xlpm.DepreciationMonths,$C201&lt;=AL$8),$E201/_xlpm.DepreciationMonths,0))</f>
        <v>0</v>
      </c>
      <c r="AM201" s="507" cm="1">
        <f t="array" ref="AM201">_xlfn.LET(_xlpm.DepreciationMonths,INDEX(FixedAssets[Depreciation
/ Amortization Months],_xlfn.XMATCH($E$186,FixedAssets[Asset ID])),IF(AND((_xlfn.XMATCH(AM$8,$AH$8:$CC$8))-_xlfn.XMATCH($C201,$C$35:$C$82)+1&lt;=_xlpm.DepreciationMonths,$C201&lt;=AM$8),$E201/_xlpm.DepreciationMonths,0))</f>
        <v>0</v>
      </c>
      <c r="AN201" s="507" cm="1">
        <f t="array" ref="AN201">_xlfn.LET(_xlpm.DepreciationMonths,INDEX(FixedAssets[Depreciation
/ Amortization Months],_xlfn.XMATCH($E$186,FixedAssets[Asset ID])),IF(AND((_xlfn.XMATCH(AN$8,$AH$8:$CC$8))-_xlfn.XMATCH($C201,$C$35:$C$82)+1&lt;=_xlpm.DepreciationMonths,$C201&lt;=AN$8),$E201/_xlpm.DepreciationMonths,0))</f>
        <v>0</v>
      </c>
      <c r="AO201" s="507" cm="1">
        <f t="array" ref="AO201">_xlfn.LET(_xlpm.DepreciationMonths,INDEX(FixedAssets[Depreciation
/ Amortization Months],_xlfn.XMATCH($E$186,FixedAssets[Asset ID])),IF(AND((_xlfn.XMATCH(AO$8,$AH$8:$CC$8))-_xlfn.XMATCH($C201,$C$35:$C$82)+1&lt;=_xlpm.DepreciationMonths,$C201&lt;=AO$8),$E201/_xlpm.DepreciationMonths,0))</f>
        <v>0</v>
      </c>
      <c r="AP201" s="507" cm="1">
        <f t="array" ref="AP201">_xlfn.LET(_xlpm.DepreciationMonths,INDEX(FixedAssets[Depreciation
/ Amortization Months],_xlfn.XMATCH($E$186,FixedAssets[Asset ID])),IF(AND((_xlfn.XMATCH(AP$8,$AH$8:$CC$8))-_xlfn.XMATCH($C201,$C$35:$C$82)+1&lt;=_xlpm.DepreciationMonths,$C201&lt;=AP$8),$E201/_xlpm.DepreciationMonths,0))</f>
        <v>0</v>
      </c>
      <c r="AQ201" s="507" cm="1">
        <f t="array" ref="AQ201">_xlfn.LET(_xlpm.DepreciationMonths,INDEX(FixedAssets[Depreciation
/ Amortization Months],_xlfn.XMATCH($E$186,FixedAssets[Asset ID])),IF(AND((_xlfn.XMATCH(AQ$8,$AH$8:$CC$8))-_xlfn.XMATCH($C201,$C$35:$C$82)+1&lt;=_xlpm.DepreciationMonths,$C201&lt;=AQ$8),$E201/_xlpm.DepreciationMonths,0))</f>
        <v>0</v>
      </c>
      <c r="AR201" s="507" cm="1">
        <f t="array" ref="AR201">_xlfn.LET(_xlpm.DepreciationMonths,INDEX(FixedAssets[Depreciation
/ Amortization Months],_xlfn.XMATCH($E$186,FixedAssets[Asset ID])),IF(AND((_xlfn.XMATCH(AR$8,$AH$8:$CC$8))-_xlfn.XMATCH($C201,$C$35:$C$82)+1&lt;=_xlpm.DepreciationMonths,$C201&lt;=AR$8),$E201/_xlpm.DepreciationMonths,0))</f>
        <v>0</v>
      </c>
      <c r="AS201" s="507" cm="1">
        <f t="array" ref="AS201">_xlfn.LET(_xlpm.DepreciationMonths,INDEX(FixedAssets[Depreciation
/ Amortization Months],_xlfn.XMATCH($E$186,FixedAssets[Asset ID])),IF(AND((_xlfn.XMATCH(AS$8,$AH$8:$CC$8))-_xlfn.XMATCH($C201,$C$35:$C$82)+1&lt;=_xlpm.DepreciationMonths,$C201&lt;=AS$8),$E201/_xlpm.DepreciationMonths,0))</f>
        <v>0</v>
      </c>
      <c r="AT201" s="507" cm="1">
        <f t="array" ref="AT201">_xlfn.LET(_xlpm.DepreciationMonths,INDEX(FixedAssets[Depreciation
/ Amortization Months],_xlfn.XMATCH($E$186,FixedAssets[Asset ID])),IF(AND((_xlfn.XMATCH(AT$8,$AH$8:$CC$8))-_xlfn.XMATCH($C201,$C$35:$C$82)+1&lt;=_xlpm.DepreciationMonths,$C201&lt;=AT$8),$E201/_xlpm.DepreciationMonths,0))</f>
        <v>0</v>
      </c>
      <c r="AU201" s="507" cm="1">
        <f t="array" ref="AU201">_xlfn.LET(_xlpm.DepreciationMonths,INDEX(FixedAssets[Depreciation
/ Amortization Months],_xlfn.XMATCH($E$186,FixedAssets[Asset ID])),IF(AND((_xlfn.XMATCH(AU$8,$AH$8:$CC$8))-_xlfn.XMATCH($C201,$C$35:$C$82)+1&lt;=_xlpm.DepreciationMonths,$C201&lt;=AU$8),$E201/_xlpm.DepreciationMonths,0))</f>
        <v>0</v>
      </c>
      <c r="AV201" s="507" cm="1">
        <f t="array" ref="AV201">_xlfn.LET(_xlpm.DepreciationMonths,INDEX(FixedAssets[Depreciation
/ Amortization Months],_xlfn.XMATCH($E$186,FixedAssets[Asset ID])),IF(AND((_xlfn.XMATCH(AV$8,$AH$8:$CC$8))-_xlfn.XMATCH($C201,$C$35:$C$82)+1&lt;=_xlpm.DepreciationMonths,$C201&lt;=AV$8),$E201/_xlpm.DepreciationMonths,0))</f>
        <v>0</v>
      </c>
      <c r="AW201" s="507" cm="1">
        <f t="array" ref="AW201">_xlfn.LET(_xlpm.DepreciationMonths,INDEX(FixedAssets[Depreciation
/ Amortization Months],_xlfn.XMATCH($E$186,FixedAssets[Asset ID])),IF(AND((_xlfn.XMATCH(AW$8,$AH$8:$CC$8))-_xlfn.XMATCH($C201,$C$35:$C$82)+1&lt;=_xlpm.DepreciationMonths,$C201&lt;=AW$8),$E201/_xlpm.DepreciationMonths,0))</f>
        <v>0</v>
      </c>
      <c r="AX201" s="507" cm="1">
        <f t="array" ref="AX201">_xlfn.LET(_xlpm.DepreciationMonths,INDEX(FixedAssets[Depreciation
/ Amortization Months],_xlfn.XMATCH($E$186,FixedAssets[Asset ID])),IF(AND((_xlfn.XMATCH(AX$8,$AH$8:$CC$8))-_xlfn.XMATCH($C201,$C$35:$C$82)+1&lt;=_xlpm.DepreciationMonths,$C201&lt;=AX$8),$E201/_xlpm.DepreciationMonths,0))</f>
        <v>0</v>
      </c>
      <c r="AY201" s="507" cm="1">
        <f t="array" ref="AY201">_xlfn.LET(_xlpm.DepreciationMonths,INDEX(FixedAssets[Depreciation
/ Amortization Months],_xlfn.XMATCH($E$186,FixedAssets[Asset ID])),IF(AND((_xlfn.XMATCH(AY$8,$AH$8:$CC$8))-_xlfn.XMATCH($C201,$C$35:$C$82)+1&lt;=_xlpm.DepreciationMonths,$C201&lt;=AY$8),$E201/_xlpm.DepreciationMonths,0))</f>
        <v>0</v>
      </c>
      <c r="AZ201" s="507" cm="1">
        <f t="array" ref="AZ201">_xlfn.LET(_xlpm.DepreciationMonths,INDEX(FixedAssets[Depreciation
/ Amortization Months],_xlfn.XMATCH($E$186,FixedAssets[Asset ID])),IF(AND((_xlfn.XMATCH(AZ$8,$AH$8:$CC$8))-_xlfn.XMATCH($C201,$C$35:$C$82)+1&lt;=_xlpm.DepreciationMonths,$C201&lt;=AZ$8),$E201/_xlpm.DepreciationMonths,0))</f>
        <v>0</v>
      </c>
      <c r="BA201" s="507" cm="1">
        <f t="array" ref="BA201">_xlfn.LET(_xlpm.DepreciationMonths,INDEX(FixedAssets[Depreciation
/ Amortization Months],_xlfn.XMATCH($E$186,FixedAssets[Asset ID])),IF(AND((_xlfn.XMATCH(BA$8,$AH$8:$CC$8))-_xlfn.XMATCH($C201,$C$35:$C$82)+1&lt;=_xlpm.DepreciationMonths,$C201&lt;=BA$8),$E201/_xlpm.DepreciationMonths,0))</f>
        <v>0</v>
      </c>
      <c r="BB201" s="507" cm="1">
        <f t="array" ref="BB201">_xlfn.LET(_xlpm.DepreciationMonths,INDEX(FixedAssets[Depreciation
/ Amortization Months],_xlfn.XMATCH($E$186,FixedAssets[Asset ID])),IF(AND((_xlfn.XMATCH(BB$8,$AH$8:$CC$8))-_xlfn.XMATCH($C201,$C$35:$C$82)+1&lt;=_xlpm.DepreciationMonths,$C201&lt;=BB$8),$E201/_xlpm.DepreciationMonths,0))</f>
        <v>0</v>
      </c>
      <c r="BC201" s="507" cm="1">
        <f t="array" ref="BC201">_xlfn.LET(_xlpm.DepreciationMonths,INDEX(FixedAssets[Depreciation
/ Amortization Months],_xlfn.XMATCH($E$186,FixedAssets[Asset ID])),IF(AND((_xlfn.XMATCH(BC$8,$AH$8:$CC$8))-_xlfn.XMATCH($C201,$C$35:$C$82)+1&lt;=_xlpm.DepreciationMonths,$C201&lt;=BC$8),$E201/_xlpm.DepreciationMonths,0))</f>
        <v>0</v>
      </c>
      <c r="BD201" s="507" cm="1">
        <f t="array" ref="BD201">_xlfn.LET(_xlpm.DepreciationMonths,INDEX(FixedAssets[Depreciation
/ Amortization Months],_xlfn.XMATCH($E$186,FixedAssets[Asset ID])),IF(AND((_xlfn.XMATCH(BD$8,$AH$8:$CC$8))-_xlfn.XMATCH($C201,$C$35:$C$82)+1&lt;=_xlpm.DepreciationMonths,$C201&lt;=BD$8),$E201/_xlpm.DepreciationMonths,0))</f>
        <v>0</v>
      </c>
      <c r="BE201" s="507" cm="1">
        <f t="array" ref="BE201">_xlfn.LET(_xlpm.DepreciationMonths,INDEX(FixedAssets[Depreciation
/ Amortization Months],_xlfn.XMATCH($E$186,FixedAssets[Asset ID])),IF(AND((_xlfn.XMATCH(BE$8,$AH$8:$CC$8))-_xlfn.XMATCH($C201,$C$35:$C$82)+1&lt;=_xlpm.DepreciationMonths,$C201&lt;=BE$8),$E201/_xlpm.DepreciationMonths,0))</f>
        <v>0</v>
      </c>
      <c r="BF201" s="507" cm="1">
        <f t="array" ref="BF201">_xlfn.LET(_xlpm.DepreciationMonths,INDEX(FixedAssets[Depreciation
/ Amortization Months],_xlfn.XMATCH($E$186,FixedAssets[Asset ID])),IF(AND((_xlfn.XMATCH(BF$8,$AH$8:$CC$8))-_xlfn.XMATCH($C201,$C$35:$C$82)+1&lt;=_xlpm.DepreciationMonths,$C201&lt;=BF$8),$E201/_xlpm.DepreciationMonths,0))</f>
        <v>0</v>
      </c>
      <c r="BG201" s="507" cm="1">
        <f t="array" ref="BG201">_xlfn.LET(_xlpm.DepreciationMonths,INDEX(FixedAssets[Depreciation
/ Amortization Months],_xlfn.XMATCH($E$186,FixedAssets[Asset ID])),IF(AND((_xlfn.XMATCH(BG$8,$AH$8:$CC$8))-_xlfn.XMATCH($C201,$C$35:$C$82)+1&lt;=_xlpm.DepreciationMonths,$C201&lt;=BG$8),$E201/_xlpm.DepreciationMonths,0))</f>
        <v>0</v>
      </c>
      <c r="BH201" s="507" cm="1">
        <f t="array" ref="BH201">_xlfn.LET(_xlpm.DepreciationMonths,INDEX(FixedAssets[Depreciation
/ Amortization Months],_xlfn.XMATCH($E$186,FixedAssets[Asset ID])),IF(AND((_xlfn.XMATCH(BH$8,$AH$8:$CC$8))-_xlfn.XMATCH($C201,$C$35:$C$82)+1&lt;=_xlpm.DepreciationMonths,$C201&lt;=BH$8),$E201/_xlpm.DepreciationMonths,0))</f>
        <v>0</v>
      </c>
      <c r="BI201" s="507" cm="1">
        <f t="array" ref="BI201">_xlfn.LET(_xlpm.DepreciationMonths,INDEX(FixedAssets[Depreciation
/ Amortization Months],_xlfn.XMATCH($E$186,FixedAssets[Asset ID])),IF(AND((_xlfn.XMATCH(BI$8,$AH$8:$CC$8))-_xlfn.XMATCH($C201,$C$35:$C$82)+1&lt;=_xlpm.DepreciationMonths,$C201&lt;=BI$8),$E201/_xlpm.DepreciationMonths,0))</f>
        <v>0</v>
      </c>
      <c r="BJ201" s="507" cm="1">
        <f t="array" ref="BJ201">_xlfn.LET(_xlpm.DepreciationMonths,INDEX(FixedAssets[Depreciation
/ Amortization Months],_xlfn.XMATCH($E$186,FixedAssets[Asset ID])),IF(AND((_xlfn.XMATCH(BJ$8,$AH$8:$CC$8))-_xlfn.XMATCH($C201,$C$35:$C$82)+1&lt;=_xlpm.DepreciationMonths,$C201&lt;=BJ$8),$E201/_xlpm.DepreciationMonths,0))</f>
        <v>0</v>
      </c>
      <c r="BK201" s="507" cm="1">
        <f t="array" ref="BK201">_xlfn.LET(_xlpm.DepreciationMonths,INDEX(FixedAssets[Depreciation
/ Amortization Months],_xlfn.XMATCH($E$186,FixedAssets[Asset ID])),IF(AND((_xlfn.XMATCH(BK$8,$AH$8:$CC$8))-_xlfn.XMATCH($C201,$C$35:$C$82)+1&lt;=_xlpm.DepreciationMonths,$C201&lt;=BK$8),$E201/_xlpm.DepreciationMonths,0))</f>
        <v>0</v>
      </c>
      <c r="BL201" s="507" cm="1">
        <f t="array" ref="BL201">_xlfn.LET(_xlpm.DepreciationMonths,INDEX(FixedAssets[Depreciation
/ Amortization Months],_xlfn.XMATCH($E$186,FixedAssets[Asset ID])),IF(AND((_xlfn.XMATCH(BL$8,$AH$8:$CC$8))-_xlfn.XMATCH($C201,$C$35:$C$82)+1&lt;=_xlpm.DepreciationMonths,$C201&lt;=BL$8),$E201/_xlpm.DepreciationMonths,0))</f>
        <v>0</v>
      </c>
      <c r="BM201" s="507" cm="1">
        <f t="array" ref="BM201">_xlfn.LET(_xlpm.DepreciationMonths,INDEX(FixedAssets[Depreciation
/ Amortization Months],_xlfn.XMATCH($E$186,FixedAssets[Asset ID])),IF(AND((_xlfn.XMATCH(BM$8,$AH$8:$CC$8))-_xlfn.XMATCH($C201,$C$35:$C$82)+1&lt;=_xlpm.DepreciationMonths,$C201&lt;=BM$8),$E201/_xlpm.DepreciationMonths,0))</f>
        <v>0</v>
      </c>
      <c r="BN201" s="507" cm="1">
        <f t="array" ref="BN201">_xlfn.LET(_xlpm.DepreciationMonths,INDEX(FixedAssets[Depreciation
/ Amortization Months],_xlfn.XMATCH($E$186,FixedAssets[Asset ID])),IF(AND((_xlfn.XMATCH(BN$8,$AH$8:$CC$8))-_xlfn.XMATCH($C201,$C$35:$C$82)+1&lt;=_xlpm.DepreciationMonths,$C201&lt;=BN$8),$E201/_xlpm.DepreciationMonths,0))</f>
        <v>0</v>
      </c>
      <c r="BO201" s="507" cm="1">
        <f t="array" ref="BO201">_xlfn.LET(_xlpm.DepreciationMonths,INDEX(FixedAssets[Depreciation
/ Amortization Months],_xlfn.XMATCH($E$186,FixedAssets[Asset ID])),IF(AND((_xlfn.XMATCH(BO$8,$AH$8:$CC$8))-_xlfn.XMATCH($C201,$C$35:$C$82)+1&lt;=_xlpm.DepreciationMonths,$C201&lt;=BO$8),$E201/_xlpm.DepreciationMonths,0))</f>
        <v>0</v>
      </c>
      <c r="BP201" s="507" cm="1">
        <f t="array" ref="BP201">_xlfn.LET(_xlpm.DepreciationMonths,INDEX(FixedAssets[Depreciation
/ Amortization Months],_xlfn.XMATCH($E$186,FixedAssets[Asset ID])),IF(AND((_xlfn.XMATCH(BP$8,$AH$8:$CC$8))-_xlfn.XMATCH($C201,$C$35:$C$82)+1&lt;=_xlpm.DepreciationMonths,$C201&lt;=BP$8),$E201/_xlpm.DepreciationMonths,0))</f>
        <v>0</v>
      </c>
      <c r="BQ201" s="507" cm="1">
        <f t="array" ref="BQ201">_xlfn.LET(_xlpm.DepreciationMonths,INDEX(FixedAssets[Depreciation
/ Amortization Months],_xlfn.XMATCH($E$186,FixedAssets[Asset ID])),IF(AND((_xlfn.XMATCH(BQ$8,$AH$8:$CC$8))-_xlfn.XMATCH($C201,$C$35:$C$82)+1&lt;=_xlpm.DepreciationMonths,$C201&lt;=BQ$8),$E201/_xlpm.DepreciationMonths,0))</f>
        <v>0</v>
      </c>
      <c r="BR201" s="507" cm="1">
        <f t="array" ref="BR201">_xlfn.LET(_xlpm.DepreciationMonths,INDEX(FixedAssets[Depreciation
/ Amortization Months],_xlfn.XMATCH($E$186,FixedAssets[Asset ID])),IF(AND((_xlfn.XMATCH(BR$8,$AH$8:$CC$8))-_xlfn.XMATCH($C201,$C$35:$C$82)+1&lt;=_xlpm.DepreciationMonths,$C201&lt;=BR$8),$E201/_xlpm.DepreciationMonths,0))</f>
        <v>0</v>
      </c>
      <c r="BS201" s="507" cm="1">
        <f t="array" ref="BS201">_xlfn.LET(_xlpm.DepreciationMonths,INDEX(FixedAssets[Depreciation
/ Amortization Months],_xlfn.XMATCH($E$186,FixedAssets[Asset ID])),IF(AND((_xlfn.XMATCH(BS$8,$AH$8:$CC$8))-_xlfn.XMATCH($C201,$C$35:$C$82)+1&lt;=_xlpm.DepreciationMonths,$C201&lt;=BS$8),$E201/_xlpm.DepreciationMonths,0))</f>
        <v>0</v>
      </c>
      <c r="BT201" s="507" cm="1">
        <f t="array" ref="BT201">_xlfn.LET(_xlpm.DepreciationMonths,INDEX(FixedAssets[Depreciation
/ Amortization Months],_xlfn.XMATCH($E$186,FixedAssets[Asset ID])),IF(AND((_xlfn.XMATCH(BT$8,$AH$8:$CC$8))-_xlfn.XMATCH($C201,$C$35:$C$82)+1&lt;=_xlpm.DepreciationMonths,$C201&lt;=BT$8),$E201/_xlpm.DepreciationMonths,0))</f>
        <v>0</v>
      </c>
      <c r="BU201" s="507" cm="1">
        <f t="array" ref="BU201">_xlfn.LET(_xlpm.DepreciationMonths,INDEX(FixedAssets[Depreciation
/ Amortization Months],_xlfn.XMATCH($E$186,FixedAssets[Asset ID])),IF(AND((_xlfn.XMATCH(BU$8,$AH$8:$CC$8))-_xlfn.XMATCH($C201,$C$35:$C$82)+1&lt;=_xlpm.DepreciationMonths,$C201&lt;=BU$8),$E201/_xlpm.DepreciationMonths,0))</f>
        <v>0</v>
      </c>
      <c r="BV201" s="507" cm="1">
        <f t="array" ref="BV201">_xlfn.LET(_xlpm.DepreciationMonths,INDEX(FixedAssets[Depreciation
/ Amortization Months],_xlfn.XMATCH($E$186,FixedAssets[Asset ID])),IF(AND((_xlfn.XMATCH(BV$8,$AH$8:$CC$8))-_xlfn.XMATCH($C201,$C$35:$C$82)+1&lt;=_xlpm.DepreciationMonths,$C201&lt;=BV$8),$E201/_xlpm.DepreciationMonths,0))</f>
        <v>0</v>
      </c>
      <c r="BW201" s="507" cm="1">
        <f t="array" ref="BW201">_xlfn.LET(_xlpm.DepreciationMonths,INDEX(FixedAssets[Depreciation
/ Amortization Months],_xlfn.XMATCH($E$186,FixedAssets[Asset ID])),IF(AND((_xlfn.XMATCH(BW$8,$AH$8:$CC$8))-_xlfn.XMATCH($C201,$C$35:$C$82)+1&lt;=_xlpm.DepreciationMonths,$C201&lt;=BW$8),$E201/_xlpm.DepreciationMonths,0))</f>
        <v>0</v>
      </c>
      <c r="BX201" s="507" cm="1">
        <f t="array" ref="BX201">_xlfn.LET(_xlpm.DepreciationMonths,INDEX(FixedAssets[Depreciation
/ Amortization Months],_xlfn.XMATCH($E$186,FixedAssets[Asset ID])),IF(AND((_xlfn.XMATCH(BX$8,$AH$8:$CC$8))-_xlfn.XMATCH($C201,$C$35:$C$82)+1&lt;=_xlpm.DepreciationMonths,$C201&lt;=BX$8),$E201/_xlpm.DepreciationMonths,0))</f>
        <v>0</v>
      </c>
      <c r="BY201" s="507" cm="1">
        <f t="array" ref="BY201">_xlfn.LET(_xlpm.DepreciationMonths,INDEX(FixedAssets[Depreciation
/ Amortization Months],_xlfn.XMATCH($E$186,FixedAssets[Asset ID])),IF(AND((_xlfn.XMATCH(BY$8,$AH$8:$CC$8))-_xlfn.XMATCH($C201,$C$35:$C$82)+1&lt;=_xlpm.DepreciationMonths,$C201&lt;=BY$8),$E201/_xlpm.DepreciationMonths,0))</f>
        <v>0</v>
      </c>
      <c r="BZ201" s="507" cm="1">
        <f t="array" ref="BZ201">_xlfn.LET(_xlpm.DepreciationMonths,INDEX(FixedAssets[Depreciation
/ Amortization Months],_xlfn.XMATCH($E$186,FixedAssets[Asset ID])),IF(AND((_xlfn.XMATCH(BZ$8,$AH$8:$CC$8))-_xlfn.XMATCH($C201,$C$35:$C$82)+1&lt;=_xlpm.DepreciationMonths,$C201&lt;=BZ$8),$E201/_xlpm.DepreciationMonths,0))</f>
        <v>0</v>
      </c>
      <c r="CA201" s="507" cm="1">
        <f t="array" ref="CA201">_xlfn.LET(_xlpm.DepreciationMonths,INDEX(FixedAssets[Depreciation
/ Amortization Months],_xlfn.XMATCH($E$186,FixedAssets[Asset ID])),IF(AND((_xlfn.XMATCH(CA$8,$AH$8:$CC$8))-_xlfn.XMATCH($C201,$C$35:$C$82)+1&lt;=_xlpm.DepreciationMonths,$C201&lt;=CA$8),$E201/_xlpm.DepreciationMonths,0))</f>
        <v>0</v>
      </c>
      <c r="CB201" s="507" cm="1">
        <f t="array" ref="CB201">_xlfn.LET(_xlpm.DepreciationMonths,INDEX(FixedAssets[Depreciation
/ Amortization Months],_xlfn.XMATCH($E$186,FixedAssets[Asset ID])),IF(AND((_xlfn.XMATCH(CB$8,$AH$8:$CC$8))-_xlfn.XMATCH($C201,$C$35:$C$82)+1&lt;=_xlpm.DepreciationMonths,$C201&lt;=CB$8),$E201/_xlpm.DepreciationMonths,0))</f>
        <v>0</v>
      </c>
      <c r="CC201" s="507" cm="1">
        <f t="array" ref="CC201">_xlfn.LET(_xlpm.DepreciationMonths,INDEX(FixedAssets[Depreciation
/ Amortization Months],_xlfn.XMATCH($E$186,FixedAssets[Asset ID])),IF(AND((_xlfn.XMATCH(CC$8,$AH$8:$CC$8))-_xlfn.XMATCH($C201,$C$35:$C$82)+1&lt;=_xlpm.DepreciationMonths,$C201&lt;=CC$8),$E201/_xlpm.DepreciationMonths,0))</f>
        <v>0</v>
      </c>
    </row>
    <row r="202" spans="3:81" hidden="1" outlineLevel="2">
      <c r="C202" s="664">
        <f t="shared" si="256"/>
        <v>45382</v>
      </c>
      <c r="D202" s="508"/>
      <c r="E202" s="508" cm="1">
        <f t="array" ref="E202">SUMPRODUCT(($AH$26:$CC$31)*($AH$5:$CC$5=$C202)*($E$26:$E$31=E$186))-SUMPRODUCT(($AH$26:$CC$31)*($AH$5:$CC$5=EOMONTH($C202,-1))*($E$26:$E$31=E$186))</f>
        <v>0</v>
      </c>
      <c r="F202" s="508"/>
      <c r="G202" s="508"/>
      <c r="H202" s="508"/>
      <c r="I202" s="508"/>
      <c r="J202" s="504">
        <f t="shared" si="254"/>
        <v>0</v>
      </c>
      <c r="K202" s="504">
        <f t="shared" si="254"/>
        <v>0</v>
      </c>
      <c r="L202" s="504">
        <f t="shared" si="254"/>
        <v>0</v>
      </c>
      <c r="M202" s="504">
        <f t="shared" si="254"/>
        <v>0</v>
      </c>
      <c r="N202" s="504"/>
      <c r="O202" s="504"/>
      <c r="P202" s="504">
        <f t="shared" si="255"/>
        <v>0</v>
      </c>
      <c r="Q202" s="504">
        <f t="shared" si="255"/>
        <v>0</v>
      </c>
      <c r="R202" s="504">
        <f t="shared" si="255"/>
        <v>0</v>
      </c>
      <c r="S202" s="504">
        <f t="shared" si="255"/>
        <v>0</v>
      </c>
      <c r="T202" s="504">
        <f t="shared" si="255"/>
        <v>0</v>
      </c>
      <c r="U202" s="504">
        <f t="shared" si="255"/>
        <v>0</v>
      </c>
      <c r="V202" s="504">
        <f t="shared" si="255"/>
        <v>0</v>
      </c>
      <c r="W202" s="504">
        <f t="shared" si="255"/>
        <v>0</v>
      </c>
      <c r="X202" s="504">
        <f t="shared" si="255"/>
        <v>0</v>
      </c>
      <c r="Y202" s="504">
        <f t="shared" si="255"/>
        <v>0</v>
      </c>
      <c r="Z202" s="504">
        <f t="shared" si="255"/>
        <v>0</v>
      </c>
      <c r="AA202" s="504">
        <f t="shared" si="255"/>
        <v>0</v>
      </c>
      <c r="AB202" s="504">
        <f t="shared" si="255"/>
        <v>0</v>
      </c>
      <c r="AC202" s="504">
        <f t="shared" si="255"/>
        <v>0</v>
      </c>
      <c r="AD202" s="504">
        <f t="shared" si="255"/>
        <v>0</v>
      </c>
      <c r="AE202" s="504">
        <f t="shared" si="255"/>
        <v>0</v>
      </c>
      <c r="AF202" s="508"/>
      <c r="AG202" s="508"/>
      <c r="AH202" s="507" cm="1">
        <f t="array" ref="AH202">_xlfn.LET(_xlpm.DepreciationMonths,INDEX(FixedAssets[Depreciation
/ Amortization Months],_xlfn.XMATCH($E$186,FixedAssets[Asset ID])),IF(AND((_xlfn.XMATCH(AH$8,$AH$8:$CC$8))-_xlfn.XMATCH($C202,$C$35:$C$82)+1&lt;=_xlpm.DepreciationMonths,$C202&lt;=AH$8),$E202/_xlpm.DepreciationMonths,0))</f>
        <v>0</v>
      </c>
      <c r="AI202" s="507" cm="1">
        <f t="array" ref="AI202">_xlfn.LET(_xlpm.DepreciationMonths,INDEX(FixedAssets[Depreciation
/ Amortization Months],_xlfn.XMATCH($E$186,FixedAssets[Asset ID])),IF(AND((_xlfn.XMATCH(AI$8,$AH$8:$CC$8))-_xlfn.XMATCH($C202,$C$35:$C$82)+1&lt;=_xlpm.DepreciationMonths,$C202&lt;=AI$8),$E202/_xlpm.DepreciationMonths,0))</f>
        <v>0</v>
      </c>
      <c r="AJ202" s="507" cm="1">
        <f t="array" ref="AJ202">_xlfn.LET(_xlpm.DepreciationMonths,INDEX(FixedAssets[Depreciation
/ Amortization Months],_xlfn.XMATCH($E$186,FixedAssets[Asset ID])),IF(AND((_xlfn.XMATCH(AJ$8,$AH$8:$CC$8))-_xlfn.XMATCH($C202,$C$35:$C$82)+1&lt;=_xlpm.DepreciationMonths,$C202&lt;=AJ$8),$E202/_xlpm.DepreciationMonths,0))</f>
        <v>0</v>
      </c>
      <c r="AK202" s="507" cm="1">
        <f t="array" ref="AK202">_xlfn.LET(_xlpm.DepreciationMonths,INDEX(FixedAssets[Depreciation
/ Amortization Months],_xlfn.XMATCH($E$186,FixedAssets[Asset ID])),IF(AND((_xlfn.XMATCH(AK$8,$AH$8:$CC$8))-_xlfn.XMATCH($C202,$C$35:$C$82)+1&lt;=_xlpm.DepreciationMonths,$C202&lt;=AK$8),$E202/_xlpm.DepreciationMonths,0))</f>
        <v>0</v>
      </c>
      <c r="AL202" s="507" cm="1">
        <f t="array" ref="AL202">_xlfn.LET(_xlpm.DepreciationMonths,INDEX(FixedAssets[Depreciation
/ Amortization Months],_xlfn.XMATCH($E$186,FixedAssets[Asset ID])),IF(AND((_xlfn.XMATCH(AL$8,$AH$8:$CC$8))-_xlfn.XMATCH($C202,$C$35:$C$82)+1&lt;=_xlpm.DepreciationMonths,$C202&lt;=AL$8),$E202/_xlpm.DepreciationMonths,0))</f>
        <v>0</v>
      </c>
      <c r="AM202" s="507" cm="1">
        <f t="array" ref="AM202">_xlfn.LET(_xlpm.DepreciationMonths,INDEX(FixedAssets[Depreciation
/ Amortization Months],_xlfn.XMATCH($E$186,FixedAssets[Asset ID])),IF(AND((_xlfn.XMATCH(AM$8,$AH$8:$CC$8))-_xlfn.XMATCH($C202,$C$35:$C$82)+1&lt;=_xlpm.DepreciationMonths,$C202&lt;=AM$8),$E202/_xlpm.DepreciationMonths,0))</f>
        <v>0</v>
      </c>
      <c r="AN202" s="507" cm="1">
        <f t="array" ref="AN202">_xlfn.LET(_xlpm.DepreciationMonths,INDEX(FixedAssets[Depreciation
/ Amortization Months],_xlfn.XMATCH($E$186,FixedAssets[Asset ID])),IF(AND((_xlfn.XMATCH(AN$8,$AH$8:$CC$8))-_xlfn.XMATCH($C202,$C$35:$C$82)+1&lt;=_xlpm.DepreciationMonths,$C202&lt;=AN$8),$E202/_xlpm.DepreciationMonths,0))</f>
        <v>0</v>
      </c>
      <c r="AO202" s="507" cm="1">
        <f t="array" ref="AO202">_xlfn.LET(_xlpm.DepreciationMonths,INDEX(FixedAssets[Depreciation
/ Amortization Months],_xlfn.XMATCH($E$186,FixedAssets[Asset ID])),IF(AND((_xlfn.XMATCH(AO$8,$AH$8:$CC$8))-_xlfn.XMATCH($C202,$C$35:$C$82)+1&lt;=_xlpm.DepreciationMonths,$C202&lt;=AO$8),$E202/_xlpm.DepreciationMonths,0))</f>
        <v>0</v>
      </c>
      <c r="AP202" s="507" cm="1">
        <f t="array" ref="AP202">_xlfn.LET(_xlpm.DepreciationMonths,INDEX(FixedAssets[Depreciation
/ Amortization Months],_xlfn.XMATCH($E$186,FixedAssets[Asset ID])),IF(AND((_xlfn.XMATCH(AP$8,$AH$8:$CC$8))-_xlfn.XMATCH($C202,$C$35:$C$82)+1&lt;=_xlpm.DepreciationMonths,$C202&lt;=AP$8),$E202/_xlpm.DepreciationMonths,0))</f>
        <v>0</v>
      </c>
      <c r="AQ202" s="507" cm="1">
        <f t="array" ref="AQ202">_xlfn.LET(_xlpm.DepreciationMonths,INDEX(FixedAssets[Depreciation
/ Amortization Months],_xlfn.XMATCH($E$186,FixedAssets[Asset ID])),IF(AND((_xlfn.XMATCH(AQ$8,$AH$8:$CC$8))-_xlfn.XMATCH($C202,$C$35:$C$82)+1&lt;=_xlpm.DepreciationMonths,$C202&lt;=AQ$8),$E202/_xlpm.DepreciationMonths,0))</f>
        <v>0</v>
      </c>
      <c r="AR202" s="507" cm="1">
        <f t="array" ref="AR202">_xlfn.LET(_xlpm.DepreciationMonths,INDEX(FixedAssets[Depreciation
/ Amortization Months],_xlfn.XMATCH($E$186,FixedAssets[Asset ID])),IF(AND((_xlfn.XMATCH(AR$8,$AH$8:$CC$8))-_xlfn.XMATCH($C202,$C$35:$C$82)+1&lt;=_xlpm.DepreciationMonths,$C202&lt;=AR$8),$E202/_xlpm.DepreciationMonths,0))</f>
        <v>0</v>
      </c>
      <c r="AS202" s="507" cm="1">
        <f t="array" ref="AS202">_xlfn.LET(_xlpm.DepreciationMonths,INDEX(FixedAssets[Depreciation
/ Amortization Months],_xlfn.XMATCH($E$186,FixedAssets[Asset ID])),IF(AND((_xlfn.XMATCH(AS$8,$AH$8:$CC$8))-_xlfn.XMATCH($C202,$C$35:$C$82)+1&lt;=_xlpm.DepreciationMonths,$C202&lt;=AS$8),$E202/_xlpm.DepreciationMonths,0))</f>
        <v>0</v>
      </c>
      <c r="AT202" s="507" cm="1">
        <f t="array" ref="AT202">_xlfn.LET(_xlpm.DepreciationMonths,INDEX(FixedAssets[Depreciation
/ Amortization Months],_xlfn.XMATCH($E$186,FixedAssets[Asset ID])),IF(AND((_xlfn.XMATCH(AT$8,$AH$8:$CC$8))-_xlfn.XMATCH($C202,$C$35:$C$82)+1&lt;=_xlpm.DepreciationMonths,$C202&lt;=AT$8),$E202/_xlpm.DepreciationMonths,0))</f>
        <v>0</v>
      </c>
      <c r="AU202" s="507" cm="1">
        <f t="array" ref="AU202">_xlfn.LET(_xlpm.DepreciationMonths,INDEX(FixedAssets[Depreciation
/ Amortization Months],_xlfn.XMATCH($E$186,FixedAssets[Asset ID])),IF(AND((_xlfn.XMATCH(AU$8,$AH$8:$CC$8))-_xlfn.XMATCH($C202,$C$35:$C$82)+1&lt;=_xlpm.DepreciationMonths,$C202&lt;=AU$8),$E202/_xlpm.DepreciationMonths,0))</f>
        <v>0</v>
      </c>
      <c r="AV202" s="507" cm="1">
        <f t="array" ref="AV202">_xlfn.LET(_xlpm.DepreciationMonths,INDEX(FixedAssets[Depreciation
/ Amortization Months],_xlfn.XMATCH($E$186,FixedAssets[Asset ID])),IF(AND((_xlfn.XMATCH(AV$8,$AH$8:$CC$8))-_xlfn.XMATCH($C202,$C$35:$C$82)+1&lt;=_xlpm.DepreciationMonths,$C202&lt;=AV$8),$E202/_xlpm.DepreciationMonths,0))</f>
        <v>0</v>
      </c>
      <c r="AW202" s="507" cm="1">
        <f t="array" ref="AW202">_xlfn.LET(_xlpm.DepreciationMonths,INDEX(FixedAssets[Depreciation
/ Amortization Months],_xlfn.XMATCH($E$186,FixedAssets[Asset ID])),IF(AND((_xlfn.XMATCH(AW$8,$AH$8:$CC$8))-_xlfn.XMATCH($C202,$C$35:$C$82)+1&lt;=_xlpm.DepreciationMonths,$C202&lt;=AW$8),$E202/_xlpm.DepreciationMonths,0))</f>
        <v>0</v>
      </c>
      <c r="AX202" s="507" cm="1">
        <f t="array" ref="AX202">_xlfn.LET(_xlpm.DepreciationMonths,INDEX(FixedAssets[Depreciation
/ Amortization Months],_xlfn.XMATCH($E$186,FixedAssets[Asset ID])),IF(AND((_xlfn.XMATCH(AX$8,$AH$8:$CC$8))-_xlfn.XMATCH($C202,$C$35:$C$82)+1&lt;=_xlpm.DepreciationMonths,$C202&lt;=AX$8),$E202/_xlpm.DepreciationMonths,0))</f>
        <v>0</v>
      </c>
      <c r="AY202" s="507" cm="1">
        <f t="array" ref="AY202">_xlfn.LET(_xlpm.DepreciationMonths,INDEX(FixedAssets[Depreciation
/ Amortization Months],_xlfn.XMATCH($E$186,FixedAssets[Asset ID])),IF(AND((_xlfn.XMATCH(AY$8,$AH$8:$CC$8))-_xlfn.XMATCH($C202,$C$35:$C$82)+1&lt;=_xlpm.DepreciationMonths,$C202&lt;=AY$8),$E202/_xlpm.DepreciationMonths,0))</f>
        <v>0</v>
      </c>
      <c r="AZ202" s="507" cm="1">
        <f t="array" ref="AZ202">_xlfn.LET(_xlpm.DepreciationMonths,INDEX(FixedAssets[Depreciation
/ Amortization Months],_xlfn.XMATCH($E$186,FixedAssets[Asset ID])),IF(AND((_xlfn.XMATCH(AZ$8,$AH$8:$CC$8))-_xlfn.XMATCH($C202,$C$35:$C$82)+1&lt;=_xlpm.DepreciationMonths,$C202&lt;=AZ$8),$E202/_xlpm.DepreciationMonths,0))</f>
        <v>0</v>
      </c>
      <c r="BA202" s="507" cm="1">
        <f t="array" ref="BA202">_xlfn.LET(_xlpm.DepreciationMonths,INDEX(FixedAssets[Depreciation
/ Amortization Months],_xlfn.XMATCH($E$186,FixedAssets[Asset ID])),IF(AND((_xlfn.XMATCH(BA$8,$AH$8:$CC$8))-_xlfn.XMATCH($C202,$C$35:$C$82)+1&lt;=_xlpm.DepreciationMonths,$C202&lt;=BA$8),$E202/_xlpm.DepreciationMonths,0))</f>
        <v>0</v>
      </c>
      <c r="BB202" s="507" cm="1">
        <f t="array" ref="BB202">_xlfn.LET(_xlpm.DepreciationMonths,INDEX(FixedAssets[Depreciation
/ Amortization Months],_xlfn.XMATCH($E$186,FixedAssets[Asset ID])),IF(AND((_xlfn.XMATCH(BB$8,$AH$8:$CC$8))-_xlfn.XMATCH($C202,$C$35:$C$82)+1&lt;=_xlpm.DepreciationMonths,$C202&lt;=BB$8),$E202/_xlpm.DepreciationMonths,0))</f>
        <v>0</v>
      </c>
      <c r="BC202" s="507" cm="1">
        <f t="array" ref="BC202">_xlfn.LET(_xlpm.DepreciationMonths,INDEX(FixedAssets[Depreciation
/ Amortization Months],_xlfn.XMATCH($E$186,FixedAssets[Asset ID])),IF(AND((_xlfn.XMATCH(BC$8,$AH$8:$CC$8))-_xlfn.XMATCH($C202,$C$35:$C$82)+1&lt;=_xlpm.DepreciationMonths,$C202&lt;=BC$8),$E202/_xlpm.DepreciationMonths,0))</f>
        <v>0</v>
      </c>
      <c r="BD202" s="507" cm="1">
        <f t="array" ref="BD202">_xlfn.LET(_xlpm.DepreciationMonths,INDEX(FixedAssets[Depreciation
/ Amortization Months],_xlfn.XMATCH($E$186,FixedAssets[Asset ID])),IF(AND((_xlfn.XMATCH(BD$8,$AH$8:$CC$8))-_xlfn.XMATCH($C202,$C$35:$C$82)+1&lt;=_xlpm.DepreciationMonths,$C202&lt;=BD$8),$E202/_xlpm.DepreciationMonths,0))</f>
        <v>0</v>
      </c>
      <c r="BE202" s="507" cm="1">
        <f t="array" ref="BE202">_xlfn.LET(_xlpm.DepreciationMonths,INDEX(FixedAssets[Depreciation
/ Amortization Months],_xlfn.XMATCH($E$186,FixedAssets[Asset ID])),IF(AND((_xlfn.XMATCH(BE$8,$AH$8:$CC$8))-_xlfn.XMATCH($C202,$C$35:$C$82)+1&lt;=_xlpm.DepreciationMonths,$C202&lt;=BE$8),$E202/_xlpm.DepreciationMonths,0))</f>
        <v>0</v>
      </c>
      <c r="BF202" s="507" cm="1">
        <f t="array" ref="BF202">_xlfn.LET(_xlpm.DepreciationMonths,INDEX(FixedAssets[Depreciation
/ Amortization Months],_xlfn.XMATCH($E$186,FixedAssets[Asset ID])),IF(AND((_xlfn.XMATCH(BF$8,$AH$8:$CC$8))-_xlfn.XMATCH($C202,$C$35:$C$82)+1&lt;=_xlpm.DepreciationMonths,$C202&lt;=BF$8),$E202/_xlpm.DepreciationMonths,0))</f>
        <v>0</v>
      </c>
      <c r="BG202" s="507" cm="1">
        <f t="array" ref="BG202">_xlfn.LET(_xlpm.DepreciationMonths,INDEX(FixedAssets[Depreciation
/ Amortization Months],_xlfn.XMATCH($E$186,FixedAssets[Asset ID])),IF(AND((_xlfn.XMATCH(BG$8,$AH$8:$CC$8))-_xlfn.XMATCH($C202,$C$35:$C$82)+1&lt;=_xlpm.DepreciationMonths,$C202&lt;=BG$8),$E202/_xlpm.DepreciationMonths,0))</f>
        <v>0</v>
      </c>
      <c r="BH202" s="507" cm="1">
        <f t="array" ref="BH202">_xlfn.LET(_xlpm.DepreciationMonths,INDEX(FixedAssets[Depreciation
/ Amortization Months],_xlfn.XMATCH($E$186,FixedAssets[Asset ID])),IF(AND((_xlfn.XMATCH(BH$8,$AH$8:$CC$8))-_xlfn.XMATCH($C202,$C$35:$C$82)+1&lt;=_xlpm.DepreciationMonths,$C202&lt;=BH$8),$E202/_xlpm.DepreciationMonths,0))</f>
        <v>0</v>
      </c>
      <c r="BI202" s="507" cm="1">
        <f t="array" ref="BI202">_xlfn.LET(_xlpm.DepreciationMonths,INDEX(FixedAssets[Depreciation
/ Amortization Months],_xlfn.XMATCH($E$186,FixedAssets[Asset ID])),IF(AND((_xlfn.XMATCH(BI$8,$AH$8:$CC$8))-_xlfn.XMATCH($C202,$C$35:$C$82)+1&lt;=_xlpm.DepreciationMonths,$C202&lt;=BI$8),$E202/_xlpm.DepreciationMonths,0))</f>
        <v>0</v>
      </c>
      <c r="BJ202" s="507" cm="1">
        <f t="array" ref="BJ202">_xlfn.LET(_xlpm.DepreciationMonths,INDEX(FixedAssets[Depreciation
/ Amortization Months],_xlfn.XMATCH($E$186,FixedAssets[Asset ID])),IF(AND((_xlfn.XMATCH(BJ$8,$AH$8:$CC$8))-_xlfn.XMATCH($C202,$C$35:$C$82)+1&lt;=_xlpm.DepreciationMonths,$C202&lt;=BJ$8),$E202/_xlpm.DepreciationMonths,0))</f>
        <v>0</v>
      </c>
      <c r="BK202" s="507" cm="1">
        <f t="array" ref="BK202">_xlfn.LET(_xlpm.DepreciationMonths,INDEX(FixedAssets[Depreciation
/ Amortization Months],_xlfn.XMATCH($E$186,FixedAssets[Asset ID])),IF(AND((_xlfn.XMATCH(BK$8,$AH$8:$CC$8))-_xlfn.XMATCH($C202,$C$35:$C$82)+1&lt;=_xlpm.DepreciationMonths,$C202&lt;=BK$8),$E202/_xlpm.DepreciationMonths,0))</f>
        <v>0</v>
      </c>
      <c r="BL202" s="507" cm="1">
        <f t="array" ref="BL202">_xlfn.LET(_xlpm.DepreciationMonths,INDEX(FixedAssets[Depreciation
/ Amortization Months],_xlfn.XMATCH($E$186,FixedAssets[Asset ID])),IF(AND((_xlfn.XMATCH(BL$8,$AH$8:$CC$8))-_xlfn.XMATCH($C202,$C$35:$C$82)+1&lt;=_xlpm.DepreciationMonths,$C202&lt;=BL$8),$E202/_xlpm.DepreciationMonths,0))</f>
        <v>0</v>
      </c>
      <c r="BM202" s="507" cm="1">
        <f t="array" ref="BM202">_xlfn.LET(_xlpm.DepreciationMonths,INDEX(FixedAssets[Depreciation
/ Amortization Months],_xlfn.XMATCH($E$186,FixedAssets[Asset ID])),IF(AND((_xlfn.XMATCH(BM$8,$AH$8:$CC$8))-_xlfn.XMATCH($C202,$C$35:$C$82)+1&lt;=_xlpm.DepreciationMonths,$C202&lt;=BM$8),$E202/_xlpm.DepreciationMonths,0))</f>
        <v>0</v>
      </c>
      <c r="BN202" s="507" cm="1">
        <f t="array" ref="BN202">_xlfn.LET(_xlpm.DepreciationMonths,INDEX(FixedAssets[Depreciation
/ Amortization Months],_xlfn.XMATCH($E$186,FixedAssets[Asset ID])),IF(AND((_xlfn.XMATCH(BN$8,$AH$8:$CC$8))-_xlfn.XMATCH($C202,$C$35:$C$82)+1&lt;=_xlpm.DepreciationMonths,$C202&lt;=BN$8),$E202/_xlpm.DepreciationMonths,0))</f>
        <v>0</v>
      </c>
      <c r="BO202" s="507" cm="1">
        <f t="array" ref="BO202">_xlfn.LET(_xlpm.DepreciationMonths,INDEX(FixedAssets[Depreciation
/ Amortization Months],_xlfn.XMATCH($E$186,FixedAssets[Asset ID])),IF(AND((_xlfn.XMATCH(BO$8,$AH$8:$CC$8))-_xlfn.XMATCH($C202,$C$35:$C$82)+1&lt;=_xlpm.DepreciationMonths,$C202&lt;=BO$8),$E202/_xlpm.DepreciationMonths,0))</f>
        <v>0</v>
      </c>
      <c r="BP202" s="507" cm="1">
        <f t="array" ref="BP202">_xlfn.LET(_xlpm.DepreciationMonths,INDEX(FixedAssets[Depreciation
/ Amortization Months],_xlfn.XMATCH($E$186,FixedAssets[Asset ID])),IF(AND((_xlfn.XMATCH(BP$8,$AH$8:$CC$8))-_xlfn.XMATCH($C202,$C$35:$C$82)+1&lt;=_xlpm.DepreciationMonths,$C202&lt;=BP$8),$E202/_xlpm.DepreciationMonths,0))</f>
        <v>0</v>
      </c>
      <c r="BQ202" s="507" cm="1">
        <f t="array" ref="BQ202">_xlfn.LET(_xlpm.DepreciationMonths,INDEX(FixedAssets[Depreciation
/ Amortization Months],_xlfn.XMATCH($E$186,FixedAssets[Asset ID])),IF(AND((_xlfn.XMATCH(BQ$8,$AH$8:$CC$8))-_xlfn.XMATCH($C202,$C$35:$C$82)+1&lt;=_xlpm.DepreciationMonths,$C202&lt;=BQ$8),$E202/_xlpm.DepreciationMonths,0))</f>
        <v>0</v>
      </c>
      <c r="BR202" s="507" cm="1">
        <f t="array" ref="BR202">_xlfn.LET(_xlpm.DepreciationMonths,INDEX(FixedAssets[Depreciation
/ Amortization Months],_xlfn.XMATCH($E$186,FixedAssets[Asset ID])),IF(AND((_xlfn.XMATCH(BR$8,$AH$8:$CC$8))-_xlfn.XMATCH($C202,$C$35:$C$82)+1&lt;=_xlpm.DepreciationMonths,$C202&lt;=BR$8),$E202/_xlpm.DepreciationMonths,0))</f>
        <v>0</v>
      </c>
      <c r="BS202" s="507" cm="1">
        <f t="array" ref="BS202">_xlfn.LET(_xlpm.DepreciationMonths,INDEX(FixedAssets[Depreciation
/ Amortization Months],_xlfn.XMATCH($E$186,FixedAssets[Asset ID])),IF(AND((_xlfn.XMATCH(BS$8,$AH$8:$CC$8))-_xlfn.XMATCH($C202,$C$35:$C$82)+1&lt;=_xlpm.DepreciationMonths,$C202&lt;=BS$8),$E202/_xlpm.DepreciationMonths,0))</f>
        <v>0</v>
      </c>
      <c r="BT202" s="507" cm="1">
        <f t="array" ref="BT202">_xlfn.LET(_xlpm.DepreciationMonths,INDEX(FixedAssets[Depreciation
/ Amortization Months],_xlfn.XMATCH($E$186,FixedAssets[Asset ID])),IF(AND((_xlfn.XMATCH(BT$8,$AH$8:$CC$8))-_xlfn.XMATCH($C202,$C$35:$C$82)+1&lt;=_xlpm.DepreciationMonths,$C202&lt;=BT$8),$E202/_xlpm.DepreciationMonths,0))</f>
        <v>0</v>
      </c>
      <c r="BU202" s="507" cm="1">
        <f t="array" ref="BU202">_xlfn.LET(_xlpm.DepreciationMonths,INDEX(FixedAssets[Depreciation
/ Amortization Months],_xlfn.XMATCH($E$186,FixedAssets[Asset ID])),IF(AND((_xlfn.XMATCH(BU$8,$AH$8:$CC$8))-_xlfn.XMATCH($C202,$C$35:$C$82)+1&lt;=_xlpm.DepreciationMonths,$C202&lt;=BU$8),$E202/_xlpm.DepreciationMonths,0))</f>
        <v>0</v>
      </c>
      <c r="BV202" s="507" cm="1">
        <f t="array" ref="BV202">_xlfn.LET(_xlpm.DepreciationMonths,INDEX(FixedAssets[Depreciation
/ Amortization Months],_xlfn.XMATCH($E$186,FixedAssets[Asset ID])),IF(AND((_xlfn.XMATCH(BV$8,$AH$8:$CC$8))-_xlfn.XMATCH($C202,$C$35:$C$82)+1&lt;=_xlpm.DepreciationMonths,$C202&lt;=BV$8),$E202/_xlpm.DepreciationMonths,0))</f>
        <v>0</v>
      </c>
      <c r="BW202" s="507" cm="1">
        <f t="array" ref="BW202">_xlfn.LET(_xlpm.DepreciationMonths,INDEX(FixedAssets[Depreciation
/ Amortization Months],_xlfn.XMATCH($E$186,FixedAssets[Asset ID])),IF(AND((_xlfn.XMATCH(BW$8,$AH$8:$CC$8))-_xlfn.XMATCH($C202,$C$35:$C$82)+1&lt;=_xlpm.DepreciationMonths,$C202&lt;=BW$8),$E202/_xlpm.DepreciationMonths,0))</f>
        <v>0</v>
      </c>
      <c r="BX202" s="507" cm="1">
        <f t="array" ref="BX202">_xlfn.LET(_xlpm.DepreciationMonths,INDEX(FixedAssets[Depreciation
/ Amortization Months],_xlfn.XMATCH($E$186,FixedAssets[Asset ID])),IF(AND((_xlfn.XMATCH(BX$8,$AH$8:$CC$8))-_xlfn.XMATCH($C202,$C$35:$C$82)+1&lt;=_xlpm.DepreciationMonths,$C202&lt;=BX$8),$E202/_xlpm.DepreciationMonths,0))</f>
        <v>0</v>
      </c>
      <c r="BY202" s="507" cm="1">
        <f t="array" ref="BY202">_xlfn.LET(_xlpm.DepreciationMonths,INDEX(FixedAssets[Depreciation
/ Amortization Months],_xlfn.XMATCH($E$186,FixedAssets[Asset ID])),IF(AND((_xlfn.XMATCH(BY$8,$AH$8:$CC$8))-_xlfn.XMATCH($C202,$C$35:$C$82)+1&lt;=_xlpm.DepreciationMonths,$C202&lt;=BY$8),$E202/_xlpm.DepreciationMonths,0))</f>
        <v>0</v>
      </c>
      <c r="BZ202" s="507" cm="1">
        <f t="array" ref="BZ202">_xlfn.LET(_xlpm.DepreciationMonths,INDEX(FixedAssets[Depreciation
/ Amortization Months],_xlfn.XMATCH($E$186,FixedAssets[Asset ID])),IF(AND((_xlfn.XMATCH(BZ$8,$AH$8:$CC$8))-_xlfn.XMATCH($C202,$C$35:$C$82)+1&lt;=_xlpm.DepreciationMonths,$C202&lt;=BZ$8),$E202/_xlpm.DepreciationMonths,0))</f>
        <v>0</v>
      </c>
      <c r="CA202" s="507" cm="1">
        <f t="array" ref="CA202">_xlfn.LET(_xlpm.DepreciationMonths,INDEX(FixedAssets[Depreciation
/ Amortization Months],_xlfn.XMATCH($E$186,FixedAssets[Asset ID])),IF(AND((_xlfn.XMATCH(CA$8,$AH$8:$CC$8))-_xlfn.XMATCH($C202,$C$35:$C$82)+1&lt;=_xlpm.DepreciationMonths,$C202&lt;=CA$8),$E202/_xlpm.DepreciationMonths,0))</f>
        <v>0</v>
      </c>
      <c r="CB202" s="507" cm="1">
        <f t="array" ref="CB202">_xlfn.LET(_xlpm.DepreciationMonths,INDEX(FixedAssets[Depreciation
/ Amortization Months],_xlfn.XMATCH($E$186,FixedAssets[Asset ID])),IF(AND((_xlfn.XMATCH(CB$8,$AH$8:$CC$8))-_xlfn.XMATCH($C202,$C$35:$C$82)+1&lt;=_xlpm.DepreciationMonths,$C202&lt;=CB$8),$E202/_xlpm.DepreciationMonths,0))</f>
        <v>0</v>
      </c>
      <c r="CC202" s="507" cm="1">
        <f t="array" ref="CC202">_xlfn.LET(_xlpm.DepreciationMonths,INDEX(FixedAssets[Depreciation
/ Amortization Months],_xlfn.XMATCH($E$186,FixedAssets[Asset ID])),IF(AND((_xlfn.XMATCH(CC$8,$AH$8:$CC$8))-_xlfn.XMATCH($C202,$C$35:$C$82)+1&lt;=_xlpm.DepreciationMonths,$C202&lt;=CC$8),$E202/_xlpm.DepreciationMonths,0))</f>
        <v>0</v>
      </c>
    </row>
    <row r="203" spans="3:81" hidden="1" outlineLevel="2">
      <c r="C203" s="664">
        <f t="shared" si="256"/>
        <v>45412</v>
      </c>
      <c r="D203" s="508"/>
      <c r="E203" s="508" cm="1">
        <f t="array" ref="E203">SUMPRODUCT(($AH$26:$CC$31)*($AH$5:$CC$5=$C203)*($E$26:$E$31=E$186))-SUMPRODUCT(($AH$26:$CC$31)*($AH$5:$CC$5=EOMONTH($C203,-1))*($E$26:$E$31=E$186))</f>
        <v>0</v>
      </c>
      <c r="F203" s="508"/>
      <c r="G203" s="508"/>
      <c r="H203" s="508"/>
      <c r="I203" s="508"/>
      <c r="J203" s="504">
        <f t="shared" si="254"/>
        <v>0</v>
      </c>
      <c r="K203" s="504">
        <f t="shared" si="254"/>
        <v>0</v>
      </c>
      <c r="L203" s="504">
        <f t="shared" si="254"/>
        <v>0</v>
      </c>
      <c r="M203" s="504">
        <f t="shared" si="254"/>
        <v>0</v>
      </c>
      <c r="N203" s="504"/>
      <c r="O203" s="504"/>
      <c r="P203" s="504">
        <f t="shared" si="255"/>
        <v>0</v>
      </c>
      <c r="Q203" s="504">
        <f t="shared" si="255"/>
        <v>0</v>
      </c>
      <c r="R203" s="504">
        <f t="shared" si="255"/>
        <v>0</v>
      </c>
      <c r="S203" s="504">
        <f t="shared" si="255"/>
        <v>0</v>
      </c>
      <c r="T203" s="504">
        <f t="shared" si="255"/>
        <v>0</v>
      </c>
      <c r="U203" s="504">
        <f t="shared" si="255"/>
        <v>0</v>
      </c>
      <c r="V203" s="504">
        <f t="shared" si="255"/>
        <v>0</v>
      </c>
      <c r="W203" s="504">
        <f t="shared" si="255"/>
        <v>0</v>
      </c>
      <c r="X203" s="504">
        <f t="shared" si="255"/>
        <v>0</v>
      </c>
      <c r="Y203" s="504">
        <f t="shared" si="255"/>
        <v>0</v>
      </c>
      <c r="Z203" s="504">
        <f t="shared" si="255"/>
        <v>0</v>
      </c>
      <c r="AA203" s="504">
        <f t="shared" si="255"/>
        <v>0</v>
      </c>
      <c r="AB203" s="504">
        <f t="shared" si="255"/>
        <v>0</v>
      </c>
      <c r="AC203" s="504">
        <f t="shared" si="255"/>
        <v>0</v>
      </c>
      <c r="AD203" s="504">
        <f t="shared" si="255"/>
        <v>0</v>
      </c>
      <c r="AE203" s="504">
        <f t="shared" ref="AE203" si="257">SUMIFS($AH203:$CC203,$AH$4:$CC$4,"&gt;="&amp;AE$4,$AH$5:$CC$5,"&lt;="&amp;AE$5)</f>
        <v>0</v>
      </c>
      <c r="AF203" s="508"/>
      <c r="AG203" s="508"/>
      <c r="AH203" s="507" cm="1">
        <f t="array" ref="AH203">_xlfn.LET(_xlpm.DepreciationMonths,INDEX(FixedAssets[Depreciation
/ Amortization Months],_xlfn.XMATCH($E$186,FixedAssets[Asset ID])),IF(AND((_xlfn.XMATCH(AH$8,$AH$8:$CC$8))-_xlfn.XMATCH($C203,$C$35:$C$82)+1&lt;=_xlpm.DepreciationMonths,$C203&lt;=AH$8),$E203/_xlpm.DepreciationMonths,0))</f>
        <v>0</v>
      </c>
      <c r="AI203" s="507" cm="1">
        <f t="array" ref="AI203">_xlfn.LET(_xlpm.DepreciationMonths,INDEX(FixedAssets[Depreciation
/ Amortization Months],_xlfn.XMATCH($E$186,FixedAssets[Asset ID])),IF(AND((_xlfn.XMATCH(AI$8,$AH$8:$CC$8))-_xlfn.XMATCH($C203,$C$35:$C$82)+1&lt;=_xlpm.DepreciationMonths,$C203&lt;=AI$8),$E203/_xlpm.DepreciationMonths,0))</f>
        <v>0</v>
      </c>
      <c r="AJ203" s="507" cm="1">
        <f t="array" ref="AJ203">_xlfn.LET(_xlpm.DepreciationMonths,INDEX(FixedAssets[Depreciation
/ Amortization Months],_xlfn.XMATCH($E$186,FixedAssets[Asset ID])),IF(AND((_xlfn.XMATCH(AJ$8,$AH$8:$CC$8))-_xlfn.XMATCH($C203,$C$35:$C$82)+1&lt;=_xlpm.DepreciationMonths,$C203&lt;=AJ$8),$E203/_xlpm.DepreciationMonths,0))</f>
        <v>0</v>
      </c>
      <c r="AK203" s="507" cm="1">
        <f t="array" ref="AK203">_xlfn.LET(_xlpm.DepreciationMonths,INDEX(FixedAssets[Depreciation
/ Amortization Months],_xlfn.XMATCH($E$186,FixedAssets[Asset ID])),IF(AND((_xlfn.XMATCH(AK$8,$AH$8:$CC$8))-_xlfn.XMATCH($C203,$C$35:$C$82)+1&lt;=_xlpm.DepreciationMonths,$C203&lt;=AK$8),$E203/_xlpm.DepreciationMonths,0))</f>
        <v>0</v>
      </c>
      <c r="AL203" s="507" cm="1">
        <f t="array" ref="AL203">_xlfn.LET(_xlpm.DepreciationMonths,INDEX(FixedAssets[Depreciation
/ Amortization Months],_xlfn.XMATCH($E$186,FixedAssets[Asset ID])),IF(AND((_xlfn.XMATCH(AL$8,$AH$8:$CC$8))-_xlfn.XMATCH($C203,$C$35:$C$82)+1&lt;=_xlpm.DepreciationMonths,$C203&lt;=AL$8),$E203/_xlpm.DepreciationMonths,0))</f>
        <v>0</v>
      </c>
      <c r="AM203" s="507" cm="1">
        <f t="array" ref="AM203">_xlfn.LET(_xlpm.DepreciationMonths,INDEX(FixedAssets[Depreciation
/ Amortization Months],_xlfn.XMATCH($E$186,FixedAssets[Asset ID])),IF(AND((_xlfn.XMATCH(AM$8,$AH$8:$CC$8))-_xlfn.XMATCH($C203,$C$35:$C$82)+1&lt;=_xlpm.DepreciationMonths,$C203&lt;=AM$8),$E203/_xlpm.DepreciationMonths,0))</f>
        <v>0</v>
      </c>
      <c r="AN203" s="507" cm="1">
        <f t="array" ref="AN203">_xlfn.LET(_xlpm.DepreciationMonths,INDEX(FixedAssets[Depreciation
/ Amortization Months],_xlfn.XMATCH($E$186,FixedAssets[Asset ID])),IF(AND((_xlfn.XMATCH(AN$8,$AH$8:$CC$8))-_xlfn.XMATCH($C203,$C$35:$C$82)+1&lt;=_xlpm.DepreciationMonths,$C203&lt;=AN$8),$E203/_xlpm.DepreciationMonths,0))</f>
        <v>0</v>
      </c>
      <c r="AO203" s="507" cm="1">
        <f t="array" ref="AO203">_xlfn.LET(_xlpm.DepreciationMonths,INDEX(FixedAssets[Depreciation
/ Amortization Months],_xlfn.XMATCH($E$186,FixedAssets[Asset ID])),IF(AND((_xlfn.XMATCH(AO$8,$AH$8:$CC$8))-_xlfn.XMATCH($C203,$C$35:$C$82)+1&lt;=_xlpm.DepreciationMonths,$C203&lt;=AO$8),$E203/_xlpm.DepreciationMonths,0))</f>
        <v>0</v>
      </c>
      <c r="AP203" s="507" cm="1">
        <f t="array" ref="AP203">_xlfn.LET(_xlpm.DepreciationMonths,INDEX(FixedAssets[Depreciation
/ Amortization Months],_xlfn.XMATCH($E$186,FixedAssets[Asset ID])),IF(AND((_xlfn.XMATCH(AP$8,$AH$8:$CC$8))-_xlfn.XMATCH($C203,$C$35:$C$82)+1&lt;=_xlpm.DepreciationMonths,$C203&lt;=AP$8),$E203/_xlpm.DepreciationMonths,0))</f>
        <v>0</v>
      </c>
      <c r="AQ203" s="507" cm="1">
        <f t="array" ref="AQ203">_xlfn.LET(_xlpm.DepreciationMonths,INDEX(FixedAssets[Depreciation
/ Amortization Months],_xlfn.XMATCH($E$186,FixedAssets[Asset ID])),IF(AND((_xlfn.XMATCH(AQ$8,$AH$8:$CC$8))-_xlfn.XMATCH($C203,$C$35:$C$82)+1&lt;=_xlpm.DepreciationMonths,$C203&lt;=AQ$8),$E203/_xlpm.DepreciationMonths,0))</f>
        <v>0</v>
      </c>
      <c r="AR203" s="507" cm="1">
        <f t="array" ref="AR203">_xlfn.LET(_xlpm.DepreciationMonths,INDEX(FixedAssets[Depreciation
/ Amortization Months],_xlfn.XMATCH($E$186,FixedAssets[Asset ID])),IF(AND((_xlfn.XMATCH(AR$8,$AH$8:$CC$8))-_xlfn.XMATCH($C203,$C$35:$C$82)+1&lt;=_xlpm.DepreciationMonths,$C203&lt;=AR$8),$E203/_xlpm.DepreciationMonths,0))</f>
        <v>0</v>
      </c>
      <c r="AS203" s="507" cm="1">
        <f t="array" ref="AS203">_xlfn.LET(_xlpm.DepreciationMonths,INDEX(FixedAssets[Depreciation
/ Amortization Months],_xlfn.XMATCH($E$186,FixedAssets[Asset ID])),IF(AND((_xlfn.XMATCH(AS$8,$AH$8:$CC$8))-_xlfn.XMATCH($C203,$C$35:$C$82)+1&lt;=_xlpm.DepreciationMonths,$C203&lt;=AS$8),$E203/_xlpm.DepreciationMonths,0))</f>
        <v>0</v>
      </c>
      <c r="AT203" s="507" cm="1">
        <f t="array" ref="AT203">_xlfn.LET(_xlpm.DepreciationMonths,INDEX(FixedAssets[Depreciation
/ Amortization Months],_xlfn.XMATCH($E$186,FixedAssets[Asset ID])),IF(AND((_xlfn.XMATCH(AT$8,$AH$8:$CC$8))-_xlfn.XMATCH($C203,$C$35:$C$82)+1&lt;=_xlpm.DepreciationMonths,$C203&lt;=AT$8),$E203/_xlpm.DepreciationMonths,0))</f>
        <v>0</v>
      </c>
      <c r="AU203" s="507" cm="1">
        <f t="array" ref="AU203">_xlfn.LET(_xlpm.DepreciationMonths,INDEX(FixedAssets[Depreciation
/ Amortization Months],_xlfn.XMATCH($E$186,FixedAssets[Asset ID])),IF(AND((_xlfn.XMATCH(AU$8,$AH$8:$CC$8))-_xlfn.XMATCH($C203,$C$35:$C$82)+1&lt;=_xlpm.DepreciationMonths,$C203&lt;=AU$8),$E203/_xlpm.DepreciationMonths,0))</f>
        <v>0</v>
      </c>
      <c r="AV203" s="507" cm="1">
        <f t="array" ref="AV203">_xlfn.LET(_xlpm.DepreciationMonths,INDEX(FixedAssets[Depreciation
/ Amortization Months],_xlfn.XMATCH($E$186,FixedAssets[Asset ID])),IF(AND((_xlfn.XMATCH(AV$8,$AH$8:$CC$8))-_xlfn.XMATCH($C203,$C$35:$C$82)+1&lt;=_xlpm.DepreciationMonths,$C203&lt;=AV$8),$E203/_xlpm.DepreciationMonths,0))</f>
        <v>0</v>
      </c>
      <c r="AW203" s="507" cm="1">
        <f t="array" ref="AW203">_xlfn.LET(_xlpm.DepreciationMonths,INDEX(FixedAssets[Depreciation
/ Amortization Months],_xlfn.XMATCH($E$186,FixedAssets[Asset ID])),IF(AND((_xlfn.XMATCH(AW$8,$AH$8:$CC$8))-_xlfn.XMATCH($C203,$C$35:$C$82)+1&lt;=_xlpm.DepreciationMonths,$C203&lt;=AW$8),$E203/_xlpm.DepreciationMonths,0))</f>
        <v>0</v>
      </c>
      <c r="AX203" s="507" cm="1">
        <f t="array" ref="AX203">_xlfn.LET(_xlpm.DepreciationMonths,INDEX(FixedAssets[Depreciation
/ Amortization Months],_xlfn.XMATCH($E$186,FixedAssets[Asset ID])),IF(AND((_xlfn.XMATCH(AX$8,$AH$8:$CC$8))-_xlfn.XMATCH($C203,$C$35:$C$82)+1&lt;=_xlpm.DepreciationMonths,$C203&lt;=AX$8),$E203/_xlpm.DepreciationMonths,0))</f>
        <v>0</v>
      </c>
      <c r="AY203" s="507" cm="1">
        <f t="array" ref="AY203">_xlfn.LET(_xlpm.DepreciationMonths,INDEX(FixedAssets[Depreciation
/ Amortization Months],_xlfn.XMATCH($E$186,FixedAssets[Asset ID])),IF(AND((_xlfn.XMATCH(AY$8,$AH$8:$CC$8))-_xlfn.XMATCH($C203,$C$35:$C$82)+1&lt;=_xlpm.DepreciationMonths,$C203&lt;=AY$8),$E203/_xlpm.DepreciationMonths,0))</f>
        <v>0</v>
      </c>
      <c r="AZ203" s="507" cm="1">
        <f t="array" ref="AZ203">_xlfn.LET(_xlpm.DepreciationMonths,INDEX(FixedAssets[Depreciation
/ Amortization Months],_xlfn.XMATCH($E$186,FixedAssets[Asset ID])),IF(AND((_xlfn.XMATCH(AZ$8,$AH$8:$CC$8))-_xlfn.XMATCH($C203,$C$35:$C$82)+1&lt;=_xlpm.DepreciationMonths,$C203&lt;=AZ$8),$E203/_xlpm.DepreciationMonths,0))</f>
        <v>0</v>
      </c>
      <c r="BA203" s="507" cm="1">
        <f t="array" ref="BA203">_xlfn.LET(_xlpm.DepreciationMonths,INDEX(FixedAssets[Depreciation
/ Amortization Months],_xlfn.XMATCH($E$186,FixedAssets[Asset ID])),IF(AND((_xlfn.XMATCH(BA$8,$AH$8:$CC$8))-_xlfn.XMATCH($C203,$C$35:$C$82)+1&lt;=_xlpm.DepreciationMonths,$C203&lt;=BA$8),$E203/_xlpm.DepreciationMonths,0))</f>
        <v>0</v>
      </c>
      <c r="BB203" s="507" cm="1">
        <f t="array" ref="BB203">_xlfn.LET(_xlpm.DepreciationMonths,INDEX(FixedAssets[Depreciation
/ Amortization Months],_xlfn.XMATCH($E$186,FixedAssets[Asset ID])),IF(AND((_xlfn.XMATCH(BB$8,$AH$8:$CC$8))-_xlfn.XMATCH($C203,$C$35:$C$82)+1&lt;=_xlpm.DepreciationMonths,$C203&lt;=BB$8),$E203/_xlpm.DepreciationMonths,0))</f>
        <v>0</v>
      </c>
      <c r="BC203" s="507" cm="1">
        <f t="array" ref="BC203">_xlfn.LET(_xlpm.DepreciationMonths,INDEX(FixedAssets[Depreciation
/ Amortization Months],_xlfn.XMATCH($E$186,FixedAssets[Asset ID])),IF(AND((_xlfn.XMATCH(BC$8,$AH$8:$CC$8))-_xlfn.XMATCH($C203,$C$35:$C$82)+1&lt;=_xlpm.DepreciationMonths,$C203&lt;=BC$8),$E203/_xlpm.DepreciationMonths,0))</f>
        <v>0</v>
      </c>
      <c r="BD203" s="507" cm="1">
        <f t="array" ref="BD203">_xlfn.LET(_xlpm.DepreciationMonths,INDEX(FixedAssets[Depreciation
/ Amortization Months],_xlfn.XMATCH($E$186,FixedAssets[Asset ID])),IF(AND((_xlfn.XMATCH(BD$8,$AH$8:$CC$8))-_xlfn.XMATCH($C203,$C$35:$C$82)+1&lt;=_xlpm.DepreciationMonths,$C203&lt;=BD$8),$E203/_xlpm.DepreciationMonths,0))</f>
        <v>0</v>
      </c>
      <c r="BE203" s="507" cm="1">
        <f t="array" ref="BE203">_xlfn.LET(_xlpm.DepreciationMonths,INDEX(FixedAssets[Depreciation
/ Amortization Months],_xlfn.XMATCH($E$186,FixedAssets[Asset ID])),IF(AND((_xlfn.XMATCH(BE$8,$AH$8:$CC$8))-_xlfn.XMATCH($C203,$C$35:$C$82)+1&lt;=_xlpm.DepreciationMonths,$C203&lt;=BE$8),$E203/_xlpm.DepreciationMonths,0))</f>
        <v>0</v>
      </c>
      <c r="BF203" s="507" cm="1">
        <f t="array" ref="BF203">_xlfn.LET(_xlpm.DepreciationMonths,INDEX(FixedAssets[Depreciation
/ Amortization Months],_xlfn.XMATCH($E$186,FixedAssets[Asset ID])),IF(AND((_xlfn.XMATCH(BF$8,$AH$8:$CC$8))-_xlfn.XMATCH($C203,$C$35:$C$82)+1&lt;=_xlpm.DepreciationMonths,$C203&lt;=BF$8),$E203/_xlpm.DepreciationMonths,0))</f>
        <v>0</v>
      </c>
      <c r="BG203" s="507" cm="1">
        <f t="array" ref="BG203">_xlfn.LET(_xlpm.DepreciationMonths,INDEX(FixedAssets[Depreciation
/ Amortization Months],_xlfn.XMATCH($E$186,FixedAssets[Asset ID])),IF(AND((_xlfn.XMATCH(BG$8,$AH$8:$CC$8))-_xlfn.XMATCH($C203,$C$35:$C$82)+1&lt;=_xlpm.DepreciationMonths,$C203&lt;=BG$8),$E203/_xlpm.DepreciationMonths,0))</f>
        <v>0</v>
      </c>
      <c r="BH203" s="507" cm="1">
        <f t="array" ref="BH203">_xlfn.LET(_xlpm.DepreciationMonths,INDEX(FixedAssets[Depreciation
/ Amortization Months],_xlfn.XMATCH($E$186,FixedAssets[Asset ID])),IF(AND((_xlfn.XMATCH(BH$8,$AH$8:$CC$8))-_xlfn.XMATCH($C203,$C$35:$C$82)+1&lt;=_xlpm.DepreciationMonths,$C203&lt;=BH$8),$E203/_xlpm.DepreciationMonths,0))</f>
        <v>0</v>
      </c>
      <c r="BI203" s="507" cm="1">
        <f t="array" ref="BI203">_xlfn.LET(_xlpm.DepreciationMonths,INDEX(FixedAssets[Depreciation
/ Amortization Months],_xlfn.XMATCH($E$186,FixedAssets[Asset ID])),IF(AND((_xlfn.XMATCH(BI$8,$AH$8:$CC$8))-_xlfn.XMATCH($C203,$C$35:$C$82)+1&lt;=_xlpm.DepreciationMonths,$C203&lt;=BI$8),$E203/_xlpm.DepreciationMonths,0))</f>
        <v>0</v>
      </c>
      <c r="BJ203" s="507" cm="1">
        <f t="array" ref="BJ203">_xlfn.LET(_xlpm.DepreciationMonths,INDEX(FixedAssets[Depreciation
/ Amortization Months],_xlfn.XMATCH($E$186,FixedAssets[Asset ID])),IF(AND((_xlfn.XMATCH(BJ$8,$AH$8:$CC$8))-_xlfn.XMATCH($C203,$C$35:$C$82)+1&lt;=_xlpm.DepreciationMonths,$C203&lt;=BJ$8),$E203/_xlpm.DepreciationMonths,0))</f>
        <v>0</v>
      </c>
      <c r="BK203" s="507" cm="1">
        <f t="array" ref="BK203">_xlfn.LET(_xlpm.DepreciationMonths,INDEX(FixedAssets[Depreciation
/ Amortization Months],_xlfn.XMATCH($E$186,FixedAssets[Asset ID])),IF(AND((_xlfn.XMATCH(BK$8,$AH$8:$CC$8))-_xlfn.XMATCH($C203,$C$35:$C$82)+1&lt;=_xlpm.DepreciationMonths,$C203&lt;=BK$8),$E203/_xlpm.DepreciationMonths,0))</f>
        <v>0</v>
      </c>
      <c r="BL203" s="507" cm="1">
        <f t="array" ref="BL203">_xlfn.LET(_xlpm.DepreciationMonths,INDEX(FixedAssets[Depreciation
/ Amortization Months],_xlfn.XMATCH($E$186,FixedAssets[Asset ID])),IF(AND((_xlfn.XMATCH(BL$8,$AH$8:$CC$8))-_xlfn.XMATCH($C203,$C$35:$C$82)+1&lt;=_xlpm.DepreciationMonths,$C203&lt;=BL$8),$E203/_xlpm.DepreciationMonths,0))</f>
        <v>0</v>
      </c>
      <c r="BM203" s="507" cm="1">
        <f t="array" ref="BM203">_xlfn.LET(_xlpm.DepreciationMonths,INDEX(FixedAssets[Depreciation
/ Amortization Months],_xlfn.XMATCH($E$186,FixedAssets[Asset ID])),IF(AND((_xlfn.XMATCH(BM$8,$AH$8:$CC$8))-_xlfn.XMATCH($C203,$C$35:$C$82)+1&lt;=_xlpm.DepreciationMonths,$C203&lt;=BM$8),$E203/_xlpm.DepreciationMonths,0))</f>
        <v>0</v>
      </c>
      <c r="BN203" s="507" cm="1">
        <f t="array" ref="BN203">_xlfn.LET(_xlpm.DepreciationMonths,INDEX(FixedAssets[Depreciation
/ Amortization Months],_xlfn.XMATCH($E$186,FixedAssets[Asset ID])),IF(AND((_xlfn.XMATCH(BN$8,$AH$8:$CC$8))-_xlfn.XMATCH($C203,$C$35:$C$82)+1&lt;=_xlpm.DepreciationMonths,$C203&lt;=BN$8),$E203/_xlpm.DepreciationMonths,0))</f>
        <v>0</v>
      </c>
      <c r="BO203" s="507" cm="1">
        <f t="array" ref="BO203">_xlfn.LET(_xlpm.DepreciationMonths,INDEX(FixedAssets[Depreciation
/ Amortization Months],_xlfn.XMATCH($E$186,FixedAssets[Asset ID])),IF(AND((_xlfn.XMATCH(BO$8,$AH$8:$CC$8))-_xlfn.XMATCH($C203,$C$35:$C$82)+1&lt;=_xlpm.DepreciationMonths,$C203&lt;=BO$8),$E203/_xlpm.DepreciationMonths,0))</f>
        <v>0</v>
      </c>
      <c r="BP203" s="507" cm="1">
        <f t="array" ref="BP203">_xlfn.LET(_xlpm.DepreciationMonths,INDEX(FixedAssets[Depreciation
/ Amortization Months],_xlfn.XMATCH($E$186,FixedAssets[Asset ID])),IF(AND((_xlfn.XMATCH(BP$8,$AH$8:$CC$8))-_xlfn.XMATCH($C203,$C$35:$C$82)+1&lt;=_xlpm.DepreciationMonths,$C203&lt;=BP$8),$E203/_xlpm.DepreciationMonths,0))</f>
        <v>0</v>
      </c>
      <c r="BQ203" s="507" cm="1">
        <f t="array" ref="BQ203">_xlfn.LET(_xlpm.DepreciationMonths,INDEX(FixedAssets[Depreciation
/ Amortization Months],_xlfn.XMATCH($E$186,FixedAssets[Asset ID])),IF(AND((_xlfn.XMATCH(BQ$8,$AH$8:$CC$8))-_xlfn.XMATCH($C203,$C$35:$C$82)+1&lt;=_xlpm.DepreciationMonths,$C203&lt;=BQ$8),$E203/_xlpm.DepreciationMonths,0))</f>
        <v>0</v>
      </c>
      <c r="BR203" s="507" cm="1">
        <f t="array" ref="BR203">_xlfn.LET(_xlpm.DepreciationMonths,INDEX(FixedAssets[Depreciation
/ Amortization Months],_xlfn.XMATCH($E$186,FixedAssets[Asset ID])),IF(AND((_xlfn.XMATCH(BR$8,$AH$8:$CC$8))-_xlfn.XMATCH($C203,$C$35:$C$82)+1&lt;=_xlpm.DepreciationMonths,$C203&lt;=BR$8),$E203/_xlpm.DepreciationMonths,0))</f>
        <v>0</v>
      </c>
      <c r="BS203" s="507" cm="1">
        <f t="array" ref="BS203">_xlfn.LET(_xlpm.DepreciationMonths,INDEX(FixedAssets[Depreciation
/ Amortization Months],_xlfn.XMATCH($E$186,FixedAssets[Asset ID])),IF(AND((_xlfn.XMATCH(BS$8,$AH$8:$CC$8))-_xlfn.XMATCH($C203,$C$35:$C$82)+1&lt;=_xlpm.DepreciationMonths,$C203&lt;=BS$8),$E203/_xlpm.DepreciationMonths,0))</f>
        <v>0</v>
      </c>
      <c r="BT203" s="507" cm="1">
        <f t="array" ref="BT203">_xlfn.LET(_xlpm.DepreciationMonths,INDEX(FixedAssets[Depreciation
/ Amortization Months],_xlfn.XMATCH($E$186,FixedAssets[Asset ID])),IF(AND((_xlfn.XMATCH(BT$8,$AH$8:$CC$8))-_xlfn.XMATCH($C203,$C$35:$C$82)+1&lt;=_xlpm.DepreciationMonths,$C203&lt;=BT$8),$E203/_xlpm.DepreciationMonths,0))</f>
        <v>0</v>
      </c>
      <c r="BU203" s="507" cm="1">
        <f t="array" ref="BU203">_xlfn.LET(_xlpm.DepreciationMonths,INDEX(FixedAssets[Depreciation
/ Amortization Months],_xlfn.XMATCH($E$186,FixedAssets[Asset ID])),IF(AND((_xlfn.XMATCH(BU$8,$AH$8:$CC$8))-_xlfn.XMATCH($C203,$C$35:$C$82)+1&lt;=_xlpm.DepreciationMonths,$C203&lt;=BU$8),$E203/_xlpm.DepreciationMonths,0))</f>
        <v>0</v>
      </c>
      <c r="BV203" s="507" cm="1">
        <f t="array" ref="BV203">_xlfn.LET(_xlpm.DepreciationMonths,INDEX(FixedAssets[Depreciation
/ Amortization Months],_xlfn.XMATCH($E$186,FixedAssets[Asset ID])),IF(AND((_xlfn.XMATCH(BV$8,$AH$8:$CC$8))-_xlfn.XMATCH($C203,$C$35:$C$82)+1&lt;=_xlpm.DepreciationMonths,$C203&lt;=BV$8),$E203/_xlpm.DepreciationMonths,0))</f>
        <v>0</v>
      </c>
      <c r="BW203" s="507" cm="1">
        <f t="array" ref="BW203">_xlfn.LET(_xlpm.DepreciationMonths,INDEX(FixedAssets[Depreciation
/ Amortization Months],_xlfn.XMATCH($E$186,FixedAssets[Asset ID])),IF(AND((_xlfn.XMATCH(BW$8,$AH$8:$CC$8))-_xlfn.XMATCH($C203,$C$35:$C$82)+1&lt;=_xlpm.DepreciationMonths,$C203&lt;=BW$8),$E203/_xlpm.DepreciationMonths,0))</f>
        <v>0</v>
      </c>
      <c r="BX203" s="507" cm="1">
        <f t="array" ref="BX203">_xlfn.LET(_xlpm.DepreciationMonths,INDEX(FixedAssets[Depreciation
/ Amortization Months],_xlfn.XMATCH($E$186,FixedAssets[Asset ID])),IF(AND((_xlfn.XMATCH(BX$8,$AH$8:$CC$8))-_xlfn.XMATCH($C203,$C$35:$C$82)+1&lt;=_xlpm.DepreciationMonths,$C203&lt;=BX$8),$E203/_xlpm.DepreciationMonths,0))</f>
        <v>0</v>
      </c>
      <c r="BY203" s="507" cm="1">
        <f t="array" ref="BY203">_xlfn.LET(_xlpm.DepreciationMonths,INDEX(FixedAssets[Depreciation
/ Amortization Months],_xlfn.XMATCH($E$186,FixedAssets[Asset ID])),IF(AND((_xlfn.XMATCH(BY$8,$AH$8:$CC$8))-_xlfn.XMATCH($C203,$C$35:$C$82)+1&lt;=_xlpm.DepreciationMonths,$C203&lt;=BY$8),$E203/_xlpm.DepreciationMonths,0))</f>
        <v>0</v>
      </c>
      <c r="BZ203" s="507" cm="1">
        <f t="array" ref="BZ203">_xlfn.LET(_xlpm.DepreciationMonths,INDEX(FixedAssets[Depreciation
/ Amortization Months],_xlfn.XMATCH($E$186,FixedAssets[Asset ID])),IF(AND((_xlfn.XMATCH(BZ$8,$AH$8:$CC$8))-_xlfn.XMATCH($C203,$C$35:$C$82)+1&lt;=_xlpm.DepreciationMonths,$C203&lt;=BZ$8),$E203/_xlpm.DepreciationMonths,0))</f>
        <v>0</v>
      </c>
      <c r="CA203" s="507" cm="1">
        <f t="array" ref="CA203">_xlfn.LET(_xlpm.DepreciationMonths,INDEX(FixedAssets[Depreciation
/ Amortization Months],_xlfn.XMATCH($E$186,FixedAssets[Asset ID])),IF(AND((_xlfn.XMATCH(CA$8,$AH$8:$CC$8))-_xlfn.XMATCH($C203,$C$35:$C$82)+1&lt;=_xlpm.DepreciationMonths,$C203&lt;=CA$8),$E203/_xlpm.DepreciationMonths,0))</f>
        <v>0</v>
      </c>
      <c r="CB203" s="507" cm="1">
        <f t="array" ref="CB203">_xlfn.LET(_xlpm.DepreciationMonths,INDEX(FixedAssets[Depreciation
/ Amortization Months],_xlfn.XMATCH($E$186,FixedAssets[Asset ID])),IF(AND((_xlfn.XMATCH(CB$8,$AH$8:$CC$8))-_xlfn.XMATCH($C203,$C$35:$C$82)+1&lt;=_xlpm.DepreciationMonths,$C203&lt;=CB$8),$E203/_xlpm.DepreciationMonths,0))</f>
        <v>0</v>
      </c>
      <c r="CC203" s="507" cm="1">
        <f t="array" ref="CC203">_xlfn.LET(_xlpm.DepreciationMonths,INDEX(FixedAssets[Depreciation
/ Amortization Months],_xlfn.XMATCH($E$186,FixedAssets[Asset ID])),IF(AND((_xlfn.XMATCH(CC$8,$AH$8:$CC$8))-_xlfn.XMATCH($C203,$C$35:$C$82)+1&lt;=_xlpm.DepreciationMonths,$C203&lt;=CC$8),$E203/_xlpm.DepreciationMonths,0))</f>
        <v>0</v>
      </c>
    </row>
    <row r="204" spans="3:81" hidden="1" outlineLevel="2">
      <c r="C204" s="664">
        <f t="shared" si="256"/>
        <v>45443</v>
      </c>
      <c r="D204" s="508"/>
      <c r="E204" s="508" cm="1">
        <f t="array" ref="E204">SUMPRODUCT(($AH$26:$CC$31)*($AH$5:$CC$5=$C204)*($E$26:$E$31=E$186))-SUMPRODUCT(($AH$26:$CC$31)*($AH$5:$CC$5=EOMONTH($C204,-1))*($E$26:$E$31=E$186))</f>
        <v>0</v>
      </c>
      <c r="F204" s="508"/>
      <c r="G204" s="508"/>
      <c r="H204" s="508"/>
      <c r="I204" s="508"/>
      <c r="J204" s="504">
        <f t="shared" si="254"/>
        <v>0</v>
      </c>
      <c r="K204" s="504">
        <f t="shared" si="254"/>
        <v>0</v>
      </c>
      <c r="L204" s="504">
        <f t="shared" si="254"/>
        <v>0</v>
      </c>
      <c r="M204" s="504">
        <f t="shared" si="254"/>
        <v>0</v>
      </c>
      <c r="N204" s="504"/>
      <c r="O204" s="504"/>
      <c r="P204" s="504">
        <f t="shared" ref="P204:AE219" si="258">SUMIFS($AH204:$CC204,$AH$4:$CC$4,"&gt;="&amp;P$4,$AH$5:$CC$5,"&lt;="&amp;P$5)</f>
        <v>0</v>
      </c>
      <c r="Q204" s="504">
        <f t="shared" si="258"/>
        <v>0</v>
      </c>
      <c r="R204" s="504">
        <f t="shared" si="258"/>
        <v>0</v>
      </c>
      <c r="S204" s="504">
        <f t="shared" si="258"/>
        <v>0</v>
      </c>
      <c r="T204" s="504">
        <f t="shared" si="258"/>
        <v>0</v>
      </c>
      <c r="U204" s="504">
        <f t="shared" si="258"/>
        <v>0</v>
      </c>
      <c r="V204" s="504">
        <f t="shared" si="258"/>
        <v>0</v>
      </c>
      <c r="W204" s="504">
        <f t="shared" si="258"/>
        <v>0</v>
      </c>
      <c r="X204" s="504">
        <f t="shared" si="258"/>
        <v>0</v>
      </c>
      <c r="Y204" s="504">
        <f t="shared" si="258"/>
        <v>0</v>
      </c>
      <c r="Z204" s="504">
        <f t="shared" si="258"/>
        <v>0</v>
      </c>
      <c r="AA204" s="504">
        <f t="shared" si="258"/>
        <v>0</v>
      </c>
      <c r="AB204" s="504">
        <f t="shared" si="258"/>
        <v>0</v>
      </c>
      <c r="AC204" s="504">
        <f t="shared" si="258"/>
        <v>0</v>
      </c>
      <c r="AD204" s="504">
        <f t="shared" si="258"/>
        <v>0</v>
      </c>
      <c r="AE204" s="504">
        <f t="shared" si="258"/>
        <v>0</v>
      </c>
      <c r="AF204" s="508"/>
      <c r="AG204" s="508"/>
      <c r="AH204" s="507" cm="1">
        <f t="array" ref="AH204">_xlfn.LET(_xlpm.DepreciationMonths,INDEX(FixedAssets[Depreciation
/ Amortization Months],_xlfn.XMATCH($E$186,FixedAssets[Asset ID])),IF(AND((_xlfn.XMATCH(AH$8,$AH$8:$CC$8))-_xlfn.XMATCH($C204,$C$35:$C$82)+1&lt;=_xlpm.DepreciationMonths,$C204&lt;=AH$8),$E204/_xlpm.DepreciationMonths,0))</f>
        <v>0</v>
      </c>
      <c r="AI204" s="507" cm="1">
        <f t="array" ref="AI204">_xlfn.LET(_xlpm.DepreciationMonths,INDEX(FixedAssets[Depreciation
/ Amortization Months],_xlfn.XMATCH($E$186,FixedAssets[Asset ID])),IF(AND((_xlfn.XMATCH(AI$8,$AH$8:$CC$8))-_xlfn.XMATCH($C204,$C$35:$C$82)+1&lt;=_xlpm.DepreciationMonths,$C204&lt;=AI$8),$E204/_xlpm.DepreciationMonths,0))</f>
        <v>0</v>
      </c>
      <c r="AJ204" s="507" cm="1">
        <f t="array" ref="AJ204">_xlfn.LET(_xlpm.DepreciationMonths,INDEX(FixedAssets[Depreciation
/ Amortization Months],_xlfn.XMATCH($E$186,FixedAssets[Asset ID])),IF(AND((_xlfn.XMATCH(AJ$8,$AH$8:$CC$8))-_xlfn.XMATCH($C204,$C$35:$C$82)+1&lt;=_xlpm.DepreciationMonths,$C204&lt;=AJ$8),$E204/_xlpm.DepreciationMonths,0))</f>
        <v>0</v>
      </c>
      <c r="AK204" s="507" cm="1">
        <f t="array" ref="AK204">_xlfn.LET(_xlpm.DepreciationMonths,INDEX(FixedAssets[Depreciation
/ Amortization Months],_xlfn.XMATCH($E$186,FixedAssets[Asset ID])),IF(AND((_xlfn.XMATCH(AK$8,$AH$8:$CC$8))-_xlfn.XMATCH($C204,$C$35:$C$82)+1&lt;=_xlpm.DepreciationMonths,$C204&lt;=AK$8),$E204/_xlpm.DepreciationMonths,0))</f>
        <v>0</v>
      </c>
      <c r="AL204" s="507" cm="1">
        <f t="array" ref="AL204">_xlfn.LET(_xlpm.DepreciationMonths,INDEX(FixedAssets[Depreciation
/ Amortization Months],_xlfn.XMATCH($E$186,FixedAssets[Asset ID])),IF(AND((_xlfn.XMATCH(AL$8,$AH$8:$CC$8))-_xlfn.XMATCH($C204,$C$35:$C$82)+1&lt;=_xlpm.DepreciationMonths,$C204&lt;=AL$8),$E204/_xlpm.DepreciationMonths,0))</f>
        <v>0</v>
      </c>
      <c r="AM204" s="507" cm="1">
        <f t="array" ref="AM204">_xlfn.LET(_xlpm.DepreciationMonths,INDEX(FixedAssets[Depreciation
/ Amortization Months],_xlfn.XMATCH($E$186,FixedAssets[Asset ID])),IF(AND((_xlfn.XMATCH(AM$8,$AH$8:$CC$8))-_xlfn.XMATCH($C204,$C$35:$C$82)+1&lt;=_xlpm.DepreciationMonths,$C204&lt;=AM$8),$E204/_xlpm.DepreciationMonths,0))</f>
        <v>0</v>
      </c>
      <c r="AN204" s="507" cm="1">
        <f t="array" ref="AN204">_xlfn.LET(_xlpm.DepreciationMonths,INDEX(FixedAssets[Depreciation
/ Amortization Months],_xlfn.XMATCH($E$186,FixedAssets[Asset ID])),IF(AND((_xlfn.XMATCH(AN$8,$AH$8:$CC$8))-_xlfn.XMATCH($C204,$C$35:$C$82)+1&lt;=_xlpm.DepreciationMonths,$C204&lt;=AN$8),$E204/_xlpm.DepreciationMonths,0))</f>
        <v>0</v>
      </c>
      <c r="AO204" s="507" cm="1">
        <f t="array" ref="AO204">_xlfn.LET(_xlpm.DepreciationMonths,INDEX(FixedAssets[Depreciation
/ Amortization Months],_xlfn.XMATCH($E$186,FixedAssets[Asset ID])),IF(AND((_xlfn.XMATCH(AO$8,$AH$8:$CC$8))-_xlfn.XMATCH($C204,$C$35:$C$82)+1&lt;=_xlpm.DepreciationMonths,$C204&lt;=AO$8),$E204/_xlpm.DepreciationMonths,0))</f>
        <v>0</v>
      </c>
      <c r="AP204" s="507" cm="1">
        <f t="array" ref="AP204">_xlfn.LET(_xlpm.DepreciationMonths,INDEX(FixedAssets[Depreciation
/ Amortization Months],_xlfn.XMATCH($E$186,FixedAssets[Asset ID])),IF(AND((_xlfn.XMATCH(AP$8,$AH$8:$CC$8))-_xlfn.XMATCH($C204,$C$35:$C$82)+1&lt;=_xlpm.DepreciationMonths,$C204&lt;=AP$8),$E204/_xlpm.DepreciationMonths,0))</f>
        <v>0</v>
      </c>
      <c r="AQ204" s="507" cm="1">
        <f t="array" ref="AQ204">_xlfn.LET(_xlpm.DepreciationMonths,INDEX(FixedAssets[Depreciation
/ Amortization Months],_xlfn.XMATCH($E$186,FixedAssets[Asset ID])),IF(AND((_xlfn.XMATCH(AQ$8,$AH$8:$CC$8))-_xlfn.XMATCH($C204,$C$35:$C$82)+1&lt;=_xlpm.DepreciationMonths,$C204&lt;=AQ$8),$E204/_xlpm.DepreciationMonths,0))</f>
        <v>0</v>
      </c>
      <c r="AR204" s="507" cm="1">
        <f t="array" ref="AR204">_xlfn.LET(_xlpm.DepreciationMonths,INDEX(FixedAssets[Depreciation
/ Amortization Months],_xlfn.XMATCH($E$186,FixedAssets[Asset ID])),IF(AND((_xlfn.XMATCH(AR$8,$AH$8:$CC$8))-_xlfn.XMATCH($C204,$C$35:$C$82)+1&lt;=_xlpm.DepreciationMonths,$C204&lt;=AR$8),$E204/_xlpm.DepreciationMonths,0))</f>
        <v>0</v>
      </c>
      <c r="AS204" s="507" cm="1">
        <f t="array" ref="AS204">_xlfn.LET(_xlpm.DepreciationMonths,INDEX(FixedAssets[Depreciation
/ Amortization Months],_xlfn.XMATCH($E$186,FixedAssets[Asset ID])),IF(AND((_xlfn.XMATCH(AS$8,$AH$8:$CC$8))-_xlfn.XMATCH($C204,$C$35:$C$82)+1&lt;=_xlpm.DepreciationMonths,$C204&lt;=AS$8),$E204/_xlpm.DepreciationMonths,0))</f>
        <v>0</v>
      </c>
      <c r="AT204" s="507" cm="1">
        <f t="array" ref="AT204">_xlfn.LET(_xlpm.DepreciationMonths,INDEX(FixedAssets[Depreciation
/ Amortization Months],_xlfn.XMATCH($E$186,FixedAssets[Asset ID])),IF(AND((_xlfn.XMATCH(AT$8,$AH$8:$CC$8))-_xlfn.XMATCH($C204,$C$35:$C$82)+1&lt;=_xlpm.DepreciationMonths,$C204&lt;=AT$8),$E204/_xlpm.DepreciationMonths,0))</f>
        <v>0</v>
      </c>
      <c r="AU204" s="507" cm="1">
        <f t="array" ref="AU204">_xlfn.LET(_xlpm.DepreciationMonths,INDEX(FixedAssets[Depreciation
/ Amortization Months],_xlfn.XMATCH($E$186,FixedAssets[Asset ID])),IF(AND((_xlfn.XMATCH(AU$8,$AH$8:$CC$8))-_xlfn.XMATCH($C204,$C$35:$C$82)+1&lt;=_xlpm.DepreciationMonths,$C204&lt;=AU$8),$E204/_xlpm.DepreciationMonths,0))</f>
        <v>0</v>
      </c>
      <c r="AV204" s="507" cm="1">
        <f t="array" ref="AV204">_xlfn.LET(_xlpm.DepreciationMonths,INDEX(FixedAssets[Depreciation
/ Amortization Months],_xlfn.XMATCH($E$186,FixedAssets[Asset ID])),IF(AND((_xlfn.XMATCH(AV$8,$AH$8:$CC$8))-_xlfn.XMATCH($C204,$C$35:$C$82)+1&lt;=_xlpm.DepreciationMonths,$C204&lt;=AV$8),$E204/_xlpm.DepreciationMonths,0))</f>
        <v>0</v>
      </c>
      <c r="AW204" s="507" cm="1">
        <f t="array" ref="AW204">_xlfn.LET(_xlpm.DepreciationMonths,INDEX(FixedAssets[Depreciation
/ Amortization Months],_xlfn.XMATCH($E$186,FixedAssets[Asset ID])),IF(AND((_xlfn.XMATCH(AW$8,$AH$8:$CC$8))-_xlfn.XMATCH($C204,$C$35:$C$82)+1&lt;=_xlpm.DepreciationMonths,$C204&lt;=AW$8),$E204/_xlpm.DepreciationMonths,0))</f>
        <v>0</v>
      </c>
      <c r="AX204" s="507" cm="1">
        <f t="array" ref="AX204">_xlfn.LET(_xlpm.DepreciationMonths,INDEX(FixedAssets[Depreciation
/ Amortization Months],_xlfn.XMATCH($E$186,FixedAssets[Asset ID])),IF(AND((_xlfn.XMATCH(AX$8,$AH$8:$CC$8))-_xlfn.XMATCH($C204,$C$35:$C$82)+1&lt;=_xlpm.DepreciationMonths,$C204&lt;=AX$8),$E204/_xlpm.DepreciationMonths,0))</f>
        <v>0</v>
      </c>
      <c r="AY204" s="507" cm="1">
        <f t="array" ref="AY204">_xlfn.LET(_xlpm.DepreciationMonths,INDEX(FixedAssets[Depreciation
/ Amortization Months],_xlfn.XMATCH($E$186,FixedAssets[Asset ID])),IF(AND((_xlfn.XMATCH(AY$8,$AH$8:$CC$8))-_xlfn.XMATCH($C204,$C$35:$C$82)+1&lt;=_xlpm.DepreciationMonths,$C204&lt;=AY$8),$E204/_xlpm.DepreciationMonths,0))</f>
        <v>0</v>
      </c>
      <c r="AZ204" s="507" cm="1">
        <f t="array" ref="AZ204">_xlfn.LET(_xlpm.DepreciationMonths,INDEX(FixedAssets[Depreciation
/ Amortization Months],_xlfn.XMATCH($E$186,FixedAssets[Asset ID])),IF(AND((_xlfn.XMATCH(AZ$8,$AH$8:$CC$8))-_xlfn.XMATCH($C204,$C$35:$C$82)+1&lt;=_xlpm.DepreciationMonths,$C204&lt;=AZ$8),$E204/_xlpm.DepreciationMonths,0))</f>
        <v>0</v>
      </c>
      <c r="BA204" s="507" cm="1">
        <f t="array" ref="BA204">_xlfn.LET(_xlpm.DepreciationMonths,INDEX(FixedAssets[Depreciation
/ Amortization Months],_xlfn.XMATCH($E$186,FixedAssets[Asset ID])),IF(AND((_xlfn.XMATCH(BA$8,$AH$8:$CC$8))-_xlfn.XMATCH($C204,$C$35:$C$82)+1&lt;=_xlpm.DepreciationMonths,$C204&lt;=BA$8),$E204/_xlpm.DepreciationMonths,0))</f>
        <v>0</v>
      </c>
      <c r="BB204" s="507" cm="1">
        <f t="array" ref="BB204">_xlfn.LET(_xlpm.DepreciationMonths,INDEX(FixedAssets[Depreciation
/ Amortization Months],_xlfn.XMATCH($E$186,FixedAssets[Asset ID])),IF(AND((_xlfn.XMATCH(BB$8,$AH$8:$CC$8))-_xlfn.XMATCH($C204,$C$35:$C$82)+1&lt;=_xlpm.DepreciationMonths,$C204&lt;=BB$8),$E204/_xlpm.DepreciationMonths,0))</f>
        <v>0</v>
      </c>
      <c r="BC204" s="507" cm="1">
        <f t="array" ref="BC204">_xlfn.LET(_xlpm.DepreciationMonths,INDEX(FixedAssets[Depreciation
/ Amortization Months],_xlfn.XMATCH($E$186,FixedAssets[Asset ID])),IF(AND((_xlfn.XMATCH(BC$8,$AH$8:$CC$8))-_xlfn.XMATCH($C204,$C$35:$C$82)+1&lt;=_xlpm.DepreciationMonths,$C204&lt;=BC$8),$E204/_xlpm.DepreciationMonths,0))</f>
        <v>0</v>
      </c>
      <c r="BD204" s="507" cm="1">
        <f t="array" ref="BD204">_xlfn.LET(_xlpm.DepreciationMonths,INDEX(FixedAssets[Depreciation
/ Amortization Months],_xlfn.XMATCH($E$186,FixedAssets[Asset ID])),IF(AND((_xlfn.XMATCH(BD$8,$AH$8:$CC$8))-_xlfn.XMATCH($C204,$C$35:$C$82)+1&lt;=_xlpm.DepreciationMonths,$C204&lt;=BD$8),$E204/_xlpm.DepreciationMonths,0))</f>
        <v>0</v>
      </c>
      <c r="BE204" s="507" cm="1">
        <f t="array" ref="BE204">_xlfn.LET(_xlpm.DepreciationMonths,INDEX(FixedAssets[Depreciation
/ Amortization Months],_xlfn.XMATCH($E$186,FixedAssets[Asset ID])),IF(AND((_xlfn.XMATCH(BE$8,$AH$8:$CC$8))-_xlfn.XMATCH($C204,$C$35:$C$82)+1&lt;=_xlpm.DepreciationMonths,$C204&lt;=BE$8),$E204/_xlpm.DepreciationMonths,0))</f>
        <v>0</v>
      </c>
      <c r="BF204" s="507" cm="1">
        <f t="array" ref="BF204">_xlfn.LET(_xlpm.DepreciationMonths,INDEX(FixedAssets[Depreciation
/ Amortization Months],_xlfn.XMATCH($E$186,FixedAssets[Asset ID])),IF(AND((_xlfn.XMATCH(BF$8,$AH$8:$CC$8))-_xlfn.XMATCH($C204,$C$35:$C$82)+1&lt;=_xlpm.DepreciationMonths,$C204&lt;=BF$8),$E204/_xlpm.DepreciationMonths,0))</f>
        <v>0</v>
      </c>
      <c r="BG204" s="507" cm="1">
        <f t="array" ref="BG204">_xlfn.LET(_xlpm.DepreciationMonths,INDEX(FixedAssets[Depreciation
/ Amortization Months],_xlfn.XMATCH($E$186,FixedAssets[Asset ID])),IF(AND((_xlfn.XMATCH(BG$8,$AH$8:$CC$8))-_xlfn.XMATCH($C204,$C$35:$C$82)+1&lt;=_xlpm.DepreciationMonths,$C204&lt;=BG$8),$E204/_xlpm.DepreciationMonths,0))</f>
        <v>0</v>
      </c>
      <c r="BH204" s="507" cm="1">
        <f t="array" ref="BH204">_xlfn.LET(_xlpm.DepreciationMonths,INDEX(FixedAssets[Depreciation
/ Amortization Months],_xlfn.XMATCH($E$186,FixedAssets[Asset ID])),IF(AND((_xlfn.XMATCH(BH$8,$AH$8:$CC$8))-_xlfn.XMATCH($C204,$C$35:$C$82)+1&lt;=_xlpm.DepreciationMonths,$C204&lt;=BH$8),$E204/_xlpm.DepreciationMonths,0))</f>
        <v>0</v>
      </c>
      <c r="BI204" s="507" cm="1">
        <f t="array" ref="BI204">_xlfn.LET(_xlpm.DepreciationMonths,INDEX(FixedAssets[Depreciation
/ Amortization Months],_xlfn.XMATCH($E$186,FixedAssets[Asset ID])),IF(AND((_xlfn.XMATCH(BI$8,$AH$8:$CC$8))-_xlfn.XMATCH($C204,$C$35:$C$82)+1&lt;=_xlpm.DepreciationMonths,$C204&lt;=BI$8),$E204/_xlpm.DepreciationMonths,0))</f>
        <v>0</v>
      </c>
      <c r="BJ204" s="507" cm="1">
        <f t="array" ref="BJ204">_xlfn.LET(_xlpm.DepreciationMonths,INDEX(FixedAssets[Depreciation
/ Amortization Months],_xlfn.XMATCH($E$186,FixedAssets[Asset ID])),IF(AND((_xlfn.XMATCH(BJ$8,$AH$8:$CC$8))-_xlfn.XMATCH($C204,$C$35:$C$82)+1&lt;=_xlpm.DepreciationMonths,$C204&lt;=BJ$8),$E204/_xlpm.DepreciationMonths,0))</f>
        <v>0</v>
      </c>
      <c r="BK204" s="507" cm="1">
        <f t="array" ref="BK204">_xlfn.LET(_xlpm.DepreciationMonths,INDEX(FixedAssets[Depreciation
/ Amortization Months],_xlfn.XMATCH($E$186,FixedAssets[Asset ID])),IF(AND((_xlfn.XMATCH(BK$8,$AH$8:$CC$8))-_xlfn.XMATCH($C204,$C$35:$C$82)+1&lt;=_xlpm.DepreciationMonths,$C204&lt;=BK$8),$E204/_xlpm.DepreciationMonths,0))</f>
        <v>0</v>
      </c>
      <c r="BL204" s="507" cm="1">
        <f t="array" ref="BL204">_xlfn.LET(_xlpm.DepreciationMonths,INDEX(FixedAssets[Depreciation
/ Amortization Months],_xlfn.XMATCH($E$186,FixedAssets[Asset ID])),IF(AND((_xlfn.XMATCH(BL$8,$AH$8:$CC$8))-_xlfn.XMATCH($C204,$C$35:$C$82)+1&lt;=_xlpm.DepreciationMonths,$C204&lt;=BL$8),$E204/_xlpm.DepreciationMonths,0))</f>
        <v>0</v>
      </c>
      <c r="BM204" s="507" cm="1">
        <f t="array" ref="BM204">_xlfn.LET(_xlpm.DepreciationMonths,INDEX(FixedAssets[Depreciation
/ Amortization Months],_xlfn.XMATCH($E$186,FixedAssets[Asset ID])),IF(AND((_xlfn.XMATCH(BM$8,$AH$8:$CC$8))-_xlfn.XMATCH($C204,$C$35:$C$82)+1&lt;=_xlpm.DepreciationMonths,$C204&lt;=BM$8),$E204/_xlpm.DepreciationMonths,0))</f>
        <v>0</v>
      </c>
      <c r="BN204" s="507" cm="1">
        <f t="array" ref="BN204">_xlfn.LET(_xlpm.DepreciationMonths,INDEX(FixedAssets[Depreciation
/ Amortization Months],_xlfn.XMATCH($E$186,FixedAssets[Asset ID])),IF(AND((_xlfn.XMATCH(BN$8,$AH$8:$CC$8))-_xlfn.XMATCH($C204,$C$35:$C$82)+1&lt;=_xlpm.DepreciationMonths,$C204&lt;=BN$8),$E204/_xlpm.DepreciationMonths,0))</f>
        <v>0</v>
      </c>
      <c r="BO204" s="507" cm="1">
        <f t="array" ref="BO204">_xlfn.LET(_xlpm.DepreciationMonths,INDEX(FixedAssets[Depreciation
/ Amortization Months],_xlfn.XMATCH($E$186,FixedAssets[Asset ID])),IF(AND((_xlfn.XMATCH(BO$8,$AH$8:$CC$8))-_xlfn.XMATCH($C204,$C$35:$C$82)+1&lt;=_xlpm.DepreciationMonths,$C204&lt;=BO$8),$E204/_xlpm.DepreciationMonths,0))</f>
        <v>0</v>
      </c>
      <c r="BP204" s="507" cm="1">
        <f t="array" ref="BP204">_xlfn.LET(_xlpm.DepreciationMonths,INDEX(FixedAssets[Depreciation
/ Amortization Months],_xlfn.XMATCH($E$186,FixedAssets[Asset ID])),IF(AND((_xlfn.XMATCH(BP$8,$AH$8:$CC$8))-_xlfn.XMATCH($C204,$C$35:$C$82)+1&lt;=_xlpm.DepreciationMonths,$C204&lt;=BP$8),$E204/_xlpm.DepreciationMonths,0))</f>
        <v>0</v>
      </c>
      <c r="BQ204" s="507" cm="1">
        <f t="array" ref="BQ204">_xlfn.LET(_xlpm.DepreciationMonths,INDEX(FixedAssets[Depreciation
/ Amortization Months],_xlfn.XMATCH($E$186,FixedAssets[Asset ID])),IF(AND((_xlfn.XMATCH(BQ$8,$AH$8:$CC$8))-_xlfn.XMATCH($C204,$C$35:$C$82)+1&lt;=_xlpm.DepreciationMonths,$C204&lt;=BQ$8),$E204/_xlpm.DepreciationMonths,0))</f>
        <v>0</v>
      </c>
      <c r="BR204" s="507" cm="1">
        <f t="array" ref="BR204">_xlfn.LET(_xlpm.DepreciationMonths,INDEX(FixedAssets[Depreciation
/ Amortization Months],_xlfn.XMATCH($E$186,FixedAssets[Asset ID])),IF(AND((_xlfn.XMATCH(BR$8,$AH$8:$CC$8))-_xlfn.XMATCH($C204,$C$35:$C$82)+1&lt;=_xlpm.DepreciationMonths,$C204&lt;=BR$8),$E204/_xlpm.DepreciationMonths,0))</f>
        <v>0</v>
      </c>
      <c r="BS204" s="507" cm="1">
        <f t="array" ref="BS204">_xlfn.LET(_xlpm.DepreciationMonths,INDEX(FixedAssets[Depreciation
/ Amortization Months],_xlfn.XMATCH($E$186,FixedAssets[Asset ID])),IF(AND((_xlfn.XMATCH(BS$8,$AH$8:$CC$8))-_xlfn.XMATCH($C204,$C$35:$C$82)+1&lt;=_xlpm.DepreciationMonths,$C204&lt;=BS$8),$E204/_xlpm.DepreciationMonths,0))</f>
        <v>0</v>
      </c>
      <c r="BT204" s="507" cm="1">
        <f t="array" ref="BT204">_xlfn.LET(_xlpm.DepreciationMonths,INDEX(FixedAssets[Depreciation
/ Amortization Months],_xlfn.XMATCH($E$186,FixedAssets[Asset ID])),IF(AND((_xlfn.XMATCH(BT$8,$AH$8:$CC$8))-_xlfn.XMATCH($C204,$C$35:$C$82)+1&lt;=_xlpm.DepreciationMonths,$C204&lt;=BT$8),$E204/_xlpm.DepreciationMonths,0))</f>
        <v>0</v>
      </c>
      <c r="BU204" s="507" cm="1">
        <f t="array" ref="BU204">_xlfn.LET(_xlpm.DepreciationMonths,INDEX(FixedAssets[Depreciation
/ Amortization Months],_xlfn.XMATCH($E$186,FixedAssets[Asset ID])),IF(AND((_xlfn.XMATCH(BU$8,$AH$8:$CC$8))-_xlfn.XMATCH($C204,$C$35:$C$82)+1&lt;=_xlpm.DepreciationMonths,$C204&lt;=BU$8),$E204/_xlpm.DepreciationMonths,0))</f>
        <v>0</v>
      </c>
      <c r="BV204" s="507" cm="1">
        <f t="array" ref="BV204">_xlfn.LET(_xlpm.DepreciationMonths,INDEX(FixedAssets[Depreciation
/ Amortization Months],_xlfn.XMATCH($E$186,FixedAssets[Asset ID])),IF(AND((_xlfn.XMATCH(BV$8,$AH$8:$CC$8))-_xlfn.XMATCH($C204,$C$35:$C$82)+1&lt;=_xlpm.DepreciationMonths,$C204&lt;=BV$8),$E204/_xlpm.DepreciationMonths,0))</f>
        <v>0</v>
      </c>
      <c r="BW204" s="507" cm="1">
        <f t="array" ref="BW204">_xlfn.LET(_xlpm.DepreciationMonths,INDEX(FixedAssets[Depreciation
/ Amortization Months],_xlfn.XMATCH($E$186,FixedAssets[Asset ID])),IF(AND((_xlfn.XMATCH(BW$8,$AH$8:$CC$8))-_xlfn.XMATCH($C204,$C$35:$C$82)+1&lt;=_xlpm.DepreciationMonths,$C204&lt;=BW$8),$E204/_xlpm.DepreciationMonths,0))</f>
        <v>0</v>
      </c>
      <c r="BX204" s="507" cm="1">
        <f t="array" ref="BX204">_xlfn.LET(_xlpm.DepreciationMonths,INDEX(FixedAssets[Depreciation
/ Amortization Months],_xlfn.XMATCH($E$186,FixedAssets[Asset ID])),IF(AND((_xlfn.XMATCH(BX$8,$AH$8:$CC$8))-_xlfn.XMATCH($C204,$C$35:$C$82)+1&lt;=_xlpm.DepreciationMonths,$C204&lt;=BX$8),$E204/_xlpm.DepreciationMonths,0))</f>
        <v>0</v>
      </c>
      <c r="BY204" s="507" cm="1">
        <f t="array" ref="BY204">_xlfn.LET(_xlpm.DepreciationMonths,INDEX(FixedAssets[Depreciation
/ Amortization Months],_xlfn.XMATCH($E$186,FixedAssets[Asset ID])),IF(AND((_xlfn.XMATCH(BY$8,$AH$8:$CC$8))-_xlfn.XMATCH($C204,$C$35:$C$82)+1&lt;=_xlpm.DepreciationMonths,$C204&lt;=BY$8),$E204/_xlpm.DepreciationMonths,0))</f>
        <v>0</v>
      </c>
      <c r="BZ204" s="507" cm="1">
        <f t="array" ref="BZ204">_xlfn.LET(_xlpm.DepreciationMonths,INDEX(FixedAssets[Depreciation
/ Amortization Months],_xlfn.XMATCH($E$186,FixedAssets[Asset ID])),IF(AND((_xlfn.XMATCH(BZ$8,$AH$8:$CC$8))-_xlfn.XMATCH($C204,$C$35:$C$82)+1&lt;=_xlpm.DepreciationMonths,$C204&lt;=BZ$8),$E204/_xlpm.DepreciationMonths,0))</f>
        <v>0</v>
      </c>
      <c r="CA204" s="507" cm="1">
        <f t="array" ref="CA204">_xlfn.LET(_xlpm.DepreciationMonths,INDEX(FixedAssets[Depreciation
/ Amortization Months],_xlfn.XMATCH($E$186,FixedAssets[Asset ID])),IF(AND((_xlfn.XMATCH(CA$8,$AH$8:$CC$8))-_xlfn.XMATCH($C204,$C$35:$C$82)+1&lt;=_xlpm.DepreciationMonths,$C204&lt;=CA$8),$E204/_xlpm.DepreciationMonths,0))</f>
        <v>0</v>
      </c>
      <c r="CB204" s="507" cm="1">
        <f t="array" ref="CB204">_xlfn.LET(_xlpm.DepreciationMonths,INDEX(FixedAssets[Depreciation
/ Amortization Months],_xlfn.XMATCH($E$186,FixedAssets[Asset ID])),IF(AND((_xlfn.XMATCH(CB$8,$AH$8:$CC$8))-_xlfn.XMATCH($C204,$C$35:$C$82)+1&lt;=_xlpm.DepreciationMonths,$C204&lt;=CB$8),$E204/_xlpm.DepreciationMonths,0))</f>
        <v>0</v>
      </c>
      <c r="CC204" s="507" cm="1">
        <f t="array" ref="CC204">_xlfn.LET(_xlpm.DepreciationMonths,INDEX(FixedAssets[Depreciation
/ Amortization Months],_xlfn.XMATCH($E$186,FixedAssets[Asset ID])),IF(AND((_xlfn.XMATCH(CC$8,$AH$8:$CC$8))-_xlfn.XMATCH($C204,$C$35:$C$82)+1&lt;=_xlpm.DepreciationMonths,$C204&lt;=CC$8),$E204/_xlpm.DepreciationMonths,0))</f>
        <v>0</v>
      </c>
    </row>
    <row r="205" spans="3:81" hidden="1" outlineLevel="2">
      <c r="C205" s="664">
        <f t="shared" si="256"/>
        <v>45473</v>
      </c>
      <c r="D205" s="508"/>
      <c r="E205" s="508" cm="1">
        <f t="array" ref="E205">SUMPRODUCT(($AH$26:$CC$31)*($AH$5:$CC$5=$C205)*($E$26:$E$31=E$186))-SUMPRODUCT(($AH$26:$CC$31)*($AH$5:$CC$5=EOMONTH($C205,-1))*($E$26:$E$31=E$186))</f>
        <v>0</v>
      </c>
      <c r="F205" s="508"/>
      <c r="G205" s="508"/>
      <c r="H205" s="508"/>
      <c r="I205" s="508"/>
      <c r="J205" s="504">
        <f t="shared" si="254"/>
        <v>0</v>
      </c>
      <c r="K205" s="504">
        <f t="shared" si="254"/>
        <v>0</v>
      </c>
      <c r="L205" s="504">
        <f t="shared" si="254"/>
        <v>0</v>
      </c>
      <c r="M205" s="504">
        <f t="shared" si="254"/>
        <v>0</v>
      </c>
      <c r="N205" s="504"/>
      <c r="O205" s="504"/>
      <c r="P205" s="504">
        <f t="shared" si="258"/>
        <v>0</v>
      </c>
      <c r="Q205" s="504">
        <f t="shared" si="258"/>
        <v>0</v>
      </c>
      <c r="R205" s="504">
        <f t="shared" si="258"/>
        <v>0</v>
      </c>
      <c r="S205" s="504">
        <f t="shared" si="258"/>
        <v>0</v>
      </c>
      <c r="T205" s="504">
        <f t="shared" si="258"/>
        <v>0</v>
      </c>
      <c r="U205" s="504">
        <f t="shared" si="258"/>
        <v>0</v>
      </c>
      <c r="V205" s="504">
        <f t="shared" si="258"/>
        <v>0</v>
      </c>
      <c r="W205" s="504">
        <f t="shared" si="258"/>
        <v>0</v>
      </c>
      <c r="X205" s="504">
        <f t="shared" si="258"/>
        <v>0</v>
      </c>
      <c r="Y205" s="504">
        <f t="shared" si="258"/>
        <v>0</v>
      </c>
      <c r="Z205" s="504">
        <f t="shared" si="258"/>
        <v>0</v>
      </c>
      <c r="AA205" s="504">
        <f t="shared" si="258"/>
        <v>0</v>
      </c>
      <c r="AB205" s="504">
        <f t="shared" si="258"/>
        <v>0</v>
      </c>
      <c r="AC205" s="504">
        <f t="shared" si="258"/>
        <v>0</v>
      </c>
      <c r="AD205" s="504">
        <f t="shared" si="258"/>
        <v>0</v>
      </c>
      <c r="AE205" s="504">
        <f t="shared" si="258"/>
        <v>0</v>
      </c>
      <c r="AF205" s="508"/>
      <c r="AG205" s="508"/>
      <c r="AH205" s="507" cm="1">
        <f t="array" ref="AH205">_xlfn.LET(_xlpm.DepreciationMonths,INDEX(FixedAssets[Depreciation
/ Amortization Months],_xlfn.XMATCH($E$186,FixedAssets[Asset ID])),IF(AND((_xlfn.XMATCH(AH$8,$AH$8:$CC$8))-_xlfn.XMATCH($C205,$C$35:$C$82)+1&lt;=_xlpm.DepreciationMonths,$C205&lt;=AH$8),$E205/_xlpm.DepreciationMonths,0))</f>
        <v>0</v>
      </c>
      <c r="AI205" s="507" cm="1">
        <f t="array" ref="AI205">_xlfn.LET(_xlpm.DepreciationMonths,INDEX(FixedAssets[Depreciation
/ Amortization Months],_xlfn.XMATCH($E$186,FixedAssets[Asset ID])),IF(AND((_xlfn.XMATCH(AI$8,$AH$8:$CC$8))-_xlfn.XMATCH($C205,$C$35:$C$82)+1&lt;=_xlpm.DepreciationMonths,$C205&lt;=AI$8),$E205/_xlpm.DepreciationMonths,0))</f>
        <v>0</v>
      </c>
      <c r="AJ205" s="507" cm="1">
        <f t="array" ref="AJ205">_xlfn.LET(_xlpm.DepreciationMonths,INDEX(FixedAssets[Depreciation
/ Amortization Months],_xlfn.XMATCH($E$186,FixedAssets[Asset ID])),IF(AND((_xlfn.XMATCH(AJ$8,$AH$8:$CC$8))-_xlfn.XMATCH($C205,$C$35:$C$82)+1&lt;=_xlpm.DepreciationMonths,$C205&lt;=AJ$8),$E205/_xlpm.DepreciationMonths,0))</f>
        <v>0</v>
      </c>
      <c r="AK205" s="507" cm="1">
        <f t="array" ref="AK205">_xlfn.LET(_xlpm.DepreciationMonths,INDEX(FixedAssets[Depreciation
/ Amortization Months],_xlfn.XMATCH($E$186,FixedAssets[Asset ID])),IF(AND((_xlfn.XMATCH(AK$8,$AH$8:$CC$8))-_xlfn.XMATCH($C205,$C$35:$C$82)+1&lt;=_xlpm.DepreciationMonths,$C205&lt;=AK$8),$E205/_xlpm.DepreciationMonths,0))</f>
        <v>0</v>
      </c>
      <c r="AL205" s="507" cm="1">
        <f t="array" ref="AL205">_xlfn.LET(_xlpm.DepreciationMonths,INDEX(FixedAssets[Depreciation
/ Amortization Months],_xlfn.XMATCH($E$186,FixedAssets[Asset ID])),IF(AND((_xlfn.XMATCH(AL$8,$AH$8:$CC$8))-_xlfn.XMATCH($C205,$C$35:$C$82)+1&lt;=_xlpm.DepreciationMonths,$C205&lt;=AL$8),$E205/_xlpm.DepreciationMonths,0))</f>
        <v>0</v>
      </c>
      <c r="AM205" s="507" cm="1">
        <f t="array" ref="AM205">_xlfn.LET(_xlpm.DepreciationMonths,INDEX(FixedAssets[Depreciation
/ Amortization Months],_xlfn.XMATCH($E$186,FixedAssets[Asset ID])),IF(AND((_xlfn.XMATCH(AM$8,$AH$8:$CC$8))-_xlfn.XMATCH($C205,$C$35:$C$82)+1&lt;=_xlpm.DepreciationMonths,$C205&lt;=AM$8),$E205/_xlpm.DepreciationMonths,0))</f>
        <v>0</v>
      </c>
      <c r="AN205" s="507" cm="1">
        <f t="array" ref="AN205">_xlfn.LET(_xlpm.DepreciationMonths,INDEX(FixedAssets[Depreciation
/ Amortization Months],_xlfn.XMATCH($E$186,FixedAssets[Asset ID])),IF(AND((_xlfn.XMATCH(AN$8,$AH$8:$CC$8))-_xlfn.XMATCH($C205,$C$35:$C$82)+1&lt;=_xlpm.DepreciationMonths,$C205&lt;=AN$8),$E205/_xlpm.DepreciationMonths,0))</f>
        <v>0</v>
      </c>
      <c r="AO205" s="507" cm="1">
        <f t="array" ref="AO205">_xlfn.LET(_xlpm.DepreciationMonths,INDEX(FixedAssets[Depreciation
/ Amortization Months],_xlfn.XMATCH($E$186,FixedAssets[Asset ID])),IF(AND((_xlfn.XMATCH(AO$8,$AH$8:$CC$8))-_xlfn.XMATCH($C205,$C$35:$C$82)+1&lt;=_xlpm.DepreciationMonths,$C205&lt;=AO$8),$E205/_xlpm.DepreciationMonths,0))</f>
        <v>0</v>
      </c>
      <c r="AP205" s="507" cm="1">
        <f t="array" ref="AP205">_xlfn.LET(_xlpm.DepreciationMonths,INDEX(FixedAssets[Depreciation
/ Amortization Months],_xlfn.XMATCH($E$186,FixedAssets[Asset ID])),IF(AND((_xlfn.XMATCH(AP$8,$AH$8:$CC$8))-_xlfn.XMATCH($C205,$C$35:$C$82)+1&lt;=_xlpm.DepreciationMonths,$C205&lt;=AP$8),$E205/_xlpm.DepreciationMonths,0))</f>
        <v>0</v>
      </c>
      <c r="AQ205" s="507" cm="1">
        <f t="array" ref="AQ205">_xlfn.LET(_xlpm.DepreciationMonths,INDEX(FixedAssets[Depreciation
/ Amortization Months],_xlfn.XMATCH($E$186,FixedAssets[Asset ID])),IF(AND((_xlfn.XMATCH(AQ$8,$AH$8:$CC$8))-_xlfn.XMATCH($C205,$C$35:$C$82)+1&lt;=_xlpm.DepreciationMonths,$C205&lt;=AQ$8),$E205/_xlpm.DepreciationMonths,0))</f>
        <v>0</v>
      </c>
      <c r="AR205" s="507" cm="1">
        <f t="array" ref="AR205">_xlfn.LET(_xlpm.DepreciationMonths,INDEX(FixedAssets[Depreciation
/ Amortization Months],_xlfn.XMATCH($E$186,FixedAssets[Asset ID])),IF(AND((_xlfn.XMATCH(AR$8,$AH$8:$CC$8))-_xlfn.XMATCH($C205,$C$35:$C$82)+1&lt;=_xlpm.DepreciationMonths,$C205&lt;=AR$8),$E205/_xlpm.DepreciationMonths,0))</f>
        <v>0</v>
      </c>
      <c r="AS205" s="507" cm="1">
        <f t="array" ref="AS205">_xlfn.LET(_xlpm.DepreciationMonths,INDEX(FixedAssets[Depreciation
/ Amortization Months],_xlfn.XMATCH($E$186,FixedAssets[Asset ID])),IF(AND((_xlfn.XMATCH(AS$8,$AH$8:$CC$8))-_xlfn.XMATCH($C205,$C$35:$C$82)+1&lt;=_xlpm.DepreciationMonths,$C205&lt;=AS$8),$E205/_xlpm.DepreciationMonths,0))</f>
        <v>0</v>
      </c>
      <c r="AT205" s="507" cm="1">
        <f t="array" ref="AT205">_xlfn.LET(_xlpm.DepreciationMonths,INDEX(FixedAssets[Depreciation
/ Amortization Months],_xlfn.XMATCH($E$186,FixedAssets[Asset ID])),IF(AND((_xlfn.XMATCH(AT$8,$AH$8:$CC$8))-_xlfn.XMATCH($C205,$C$35:$C$82)+1&lt;=_xlpm.DepreciationMonths,$C205&lt;=AT$8),$E205/_xlpm.DepreciationMonths,0))</f>
        <v>0</v>
      </c>
      <c r="AU205" s="507" cm="1">
        <f t="array" ref="AU205">_xlfn.LET(_xlpm.DepreciationMonths,INDEX(FixedAssets[Depreciation
/ Amortization Months],_xlfn.XMATCH($E$186,FixedAssets[Asset ID])),IF(AND((_xlfn.XMATCH(AU$8,$AH$8:$CC$8))-_xlfn.XMATCH($C205,$C$35:$C$82)+1&lt;=_xlpm.DepreciationMonths,$C205&lt;=AU$8),$E205/_xlpm.DepreciationMonths,0))</f>
        <v>0</v>
      </c>
      <c r="AV205" s="507" cm="1">
        <f t="array" ref="AV205">_xlfn.LET(_xlpm.DepreciationMonths,INDEX(FixedAssets[Depreciation
/ Amortization Months],_xlfn.XMATCH($E$186,FixedAssets[Asset ID])),IF(AND((_xlfn.XMATCH(AV$8,$AH$8:$CC$8))-_xlfn.XMATCH($C205,$C$35:$C$82)+1&lt;=_xlpm.DepreciationMonths,$C205&lt;=AV$8),$E205/_xlpm.DepreciationMonths,0))</f>
        <v>0</v>
      </c>
      <c r="AW205" s="507" cm="1">
        <f t="array" ref="AW205">_xlfn.LET(_xlpm.DepreciationMonths,INDEX(FixedAssets[Depreciation
/ Amortization Months],_xlfn.XMATCH($E$186,FixedAssets[Asset ID])),IF(AND((_xlfn.XMATCH(AW$8,$AH$8:$CC$8))-_xlfn.XMATCH($C205,$C$35:$C$82)+1&lt;=_xlpm.DepreciationMonths,$C205&lt;=AW$8),$E205/_xlpm.DepreciationMonths,0))</f>
        <v>0</v>
      </c>
      <c r="AX205" s="507" cm="1">
        <f t="array" ref="AX205">_xlfn.LET(_xlpm.DepreciationMonths,INDEX(FixedAssets[Depreciation
/ Amortization Months],_xlfn.XMATCH($E$186,FixedAssets[Asset ID])),IF(AND((_xlfn.XMATCH(AX$8,$AH$8:$CC$8))-_xlfn.XMATCH($C205,$C$35:$C$82)+1&lt;=_xlpm.DepreciationMonths,$C205&lt;=AX$8),$E205/_xlpm.DepreciationMonths,0))</f>
        <v>0</v>
      </c>
      <c r="AY205" s="507" cm="1">
        <f t="array" ref="AY205">_xlfn.LET(_xlpm.DepreciationMonths,INDEX(FixedAssets[Depreciation
/ Amortization Months],_xlfn.XMATCH($E$186,FixedAssets[Asset ID])),IF(AND((_xlfn.XMATCH(AY$8,$AH$8:$CC$8))-_xlfn.XMATCH($C205,$C$35:$C$82)+1&lt;=_xlpm.DepreciationMonths,$C205&lt;=AY$8),$E205/_xlpm.DepreciationMonths,0))</f>
        <v>0</v>
      </c>
      <c r="AZ205" s="507" cm="1">
        <f t="array" ref="AZ205">_xlfn.LET(_xlpm.DepreciationMonths,INDEX(FixedAssets[Depreciation
/ Amortization Months],_xlfn.XMATCH($E$186,FixedAssets[Asset ID])),IF(AND((_xlfn.XMATCH(AZ$8,$AH$8:$CC$8))-_xlfn.XMATCH($C205,$C$35:$C$82)+1&lt;=_xlpm.DepreciationMonths,$C205&lt;=AZ$8),$E205/_xlpm.DepreciationMonths,0))</f>
        <v>0</v>
      </c>
      <c r="BA205" s="507" cm="1">
        <f t="array" ref="BA205">_xlfn.LET(_xlpm.DepreciationMonths,INDEX(FixedAssets[Depreciation
/ Amortization Months],_xlfn.XMATCH($E$186,FixedAssets[Asset ID])),IF(AND((_xlfn.XMATCH(BA$8,$AH$8:$CC$8))-_xlfn.XMATCH($C205,$C$35:$C$82)+1&lt;=_xlpm.DepreciationMonths,$C205&lt;=BA$8),$E205/_xlpm.DepreciationMonths,0))</f>
        <v>0</v>
      </c>
      <c r="BB205" s="507" cm="1">
        <f t="array" ref="BB205">_xlfn.LET(_xlpm.DepreciationMonths,INDEX(FixedAssets[Depreciation
/ Amortization Months],_xlfn.XMATCH($E$186,FixedAssets[Asset ID])),IF(AND((_xlfn.XMATCH(BB$8,$AH$8:$CC$8))-_xlfn.XMATCH($C205,$C$35:$C$82)+1&lt;=_xlpm.DepreciationMonths,$C205&lt;=BB$8),$E205/_xlpm.DepreciationMonths,0))</f>
        <v>0</v>
      </c>
      <c r="BC205" s="507" cm="1">
        <f t="array" ref="BC205">_xlfn.LET(_xlpm.DepreciationMonths,INDEX(FixedAssets[Depreciation
/ Amortization Months],_xlfn.XMATCH($E$186,FixedAssets[Asset ID])),IF(AND((_xlfn.XMATCH(BC$8,$AH$8:$CC$8))-_xlfn.XMATCH($C205,$C$35:$C$82)+1&lt;=_xlpm.DepreciationMonths,$C205&lt;=BC$8),$E205/_xlpm.DepreciationMonths,0))</f>
        <v>0</v>
      </c>
      <c r="BD205" s="507" cm="1">
        <f t="array" ref="BD205">_xlfn.LET(_xlpm.DepreciationMonths,INDEX(FixedAssets[Depreciation
/ Amortization Months],_xlfn.XMATCH($E$186,FixedAssets[Asset ID])),IF(AND((_xlfn.XMATCH(BD$8,$AH$8:$CC$8))-_xlfn.XMATCH($C205,$C$35:$C$82)+1&lt;=_xlpm.DepreciationMonths,$C205&lt;=BD$8),$E205/_xlpm.DepreciationMonths,0))</f>
        <v>0</v>
      </c>
      <c r="BE205" s="507" cm="1">
        <f t="array" ref="BE205">_xlfn.LET(_xlpm.DepreciationMonths,INDEX(FixedAssets[Depreciation
/ Amortization Months],_xlfn.XMATCH($E$186,FixedAssets[Asset ID])),IF(AND((_xlfn.XMATCH(BE$8,$AH$8:$CC$8))-_xlfn.XMATCH($C205,$C$35:$C$82)+1&lt;=_xlpm.DepreciationMonths,$C205&lt;=BE$8),$E205/_xlpm.DepreciationMonths,0))</f>
        <v>0</v>
      </c>
      <c r="BF205" s="507" cm="1">
        <f t="array" ref="BF205">_xlfn.LET(_xlpm.DepreciationMonths,INDEX(FixedAssets[Depreciation
/ Amortization Months],_xlfn.XMATCH($E$186,FixedAssets[Asset ID])),IF(AND((_xlfn.XMATCH(BF$8,$AH$8:$CC$8))-_xlfn.XMATCH($C205,$C$35:$C$82)+1&lt;=_xlpm.DepreciationMonths,$C205&lt;=BF$8),$E205/_xlpm.DepreciationMonths,0))</f>
        <v>0</v>
      </c>
      <c r="BG205" s="507" cm="1">
        <f t="array" ref="BG205">_xlfn.LET(_xlpm.DepreciationMonths,INDEX(FixedAssets[Depreciation
/ Amortization Months],_xlfn.XMATCH($E$186,FixedAssets[Asset ID])),IF(AND((_xlfn.XMATCH(BG$8,$AH$8:$CC$8))-_xlfn.XMATCH($C205,$C$35:$C$82)+1&lt;=_xlpm.DepreciationMonths,$C205&lt;=BG$8),$E205/_xlpm.DepreciationMonths,0))</f>
        <v>0</v>
      </c>
      <c r="BH205" s="507" cm="1">
        <f t="array" ref="BH205">_xlfn.LET(_xlpm.DepreciationMonths,INDEX(FixedAssets[Depreciation
/ Amortization Months],_xlfn.XMATCH($E$186,FixedAssets[Asset ID])),IF(AND((_xlfn.XMATCH(BH$8,$AH$8:$CC$8))-_xlfn.XMATCH($C205,$C$35:$C$82)+1&lt;=_xlpm.DepreciationMonths,$C205&lt;=BH$8),$E205/_xlpm.DepreciationMonths,0))</f>
        <v>0</v>
      </c>
      <c r="BI205" s="507" cm="1">
        <f t="array" ref="BI205">_xlfn.LET(_xlpm.DepreciationMonths,INDEX(FixedAssets[Depreciation
/ Amortization Months],_xlfn.XMATCH($E$186,FixedAssets[Asset ID])),IF(AND((_xlfn.XMATCH(BI$8,$AH$8:$CC$8))-_xlfn.XMATCH($C205,$C$35:$C$82)+1&lt;=_xlpm.DepreciationMonths,$C205&lt;=BI$8),$E205/_xlpm.DepreciationMonths,0))</f>
        <v>0</v>
      </c>
      <c r="BJ205" s="507" cm="1">
        <f t="array" ref="BJ205">_xlfn.LET(_xlpm.DepreciationMonths,INDEX(FixedAssets[Depreciation
/ Amortization Months],_xlfn.XMATCH($E$186,FixedAssets[Asset ID])),IF(AND((_xlfn.XMATCH(BJ$8,$AH$8:$CC$8))-_xlfn.XMATCH($C205,$C$35:$C$82)+1&lt;=_xlpm.DepreciationMonths,$C205&lt;=BJ$8),$E205/_xlpm.DepreciationMonths,0))</f>
        <v>0</v>
      </c>
      <c r="BK205" s="507" cm="1">
        <f t="array" ref="BK205">_xlfn.LET(_xlpm.DepreciationMonths,INDEX(FixedAssets[Depreciation
/ Amortization Months],_xlfn.XMATCH($E$186,FixedAssets[Asset ID])),IF(AND((_xlfn.XMATCH(BK$8,$AH$8:$CC$8))-_xlfn.XMATCH($C205,$C$35:$C$82)+1&lt;=_xlpm.DepreciationMonths,$C205&lt;=BK$8),$E205/_xlpm.DepreciationMonths,0))</f>
        <v>0</v>
      </c>
      <c r="BL205" s="507" cm="1">
        <f t="array" ref="BL205">_xlfn.LET(_xlpm.DepreciationMonths,INDEX(FixedAssets[Depreciation
/ Amortization Months],_xlfn.XMATCH($E$186,FixedAssets[Asset ID])),IF(AND((_xlfn.XMATCH(BL$8,$AH$8:$CC$8))-_xlfn.XMATCH($C205,$C$35:$C$82)+1&lt;=_xlpm.DepreciationMonths,$C205&lt;=BL$8),$E205/_xlpm.DepreciationMonths,0))</f>
        <v>0</v>
      </c>
      <c r="BM205" s="507" cm="1">
        <f t="array" ref="BM205">_xlfn.LET(_xlpm.DepreciationMonths,INDEX(FixedAssets[Depreciation
/ Amortization Months],_xlfn.XMATCH($E$186,FixedAssets[Asset ID])),IF(AND((_xlfn.XMATCH(BM$8,$AH$8:$CC$8))-_xlfn.XMATCH($C205,$C$35:$C$82)+1&lt;=_xlpm.DepreciationMonths,$C205&lt;=BM$8),$E205/_xlpm.DepreciationMonths,0))</f>
        <v>0</v>
      </c>
      <c r="BN205" s="507" cm="1">
        <f t="array" ref="BN205">_xlfn.LET(_xlpm.DepreciationMonths,INDEX(FixedAssets[Depreciation
/ Amortization Months],_xlfn.XMATCH($E$186,FixedAssets[Asset ID])),IF(AND((_xlfn.XMATCH(BN$8,$AH$8:$CC$8))-_xlfn.XMATCH($C205,$C$35:$C$82)+1&lt;=_xlpm.DepreciationMonths,$C205&lt;=BN$8),$E205/_xlpm.DepreciationMonths,0))</f>
        <v>0</v>
      </c>
      <c r="BO205" s="507" cm="1">
        <f t="array" ref="BO205">_xlfn.LET(_xlpm.DepreciationMonths,INDEX(FixedAssets[Depreciation
/ Amortization Months],_xlfn.XMATCH($E$186,FixedAssets[Asset ID])),IF(AND((_xlfn.XMATCH(BO$8,$AH$8:$CC$8))-_xlfn.XMATCH($C205,$C$35:$C$82)+1&lt;=_xlpm.DepreciationMonths,$C205&lt;=BO$8),$E205/_xlpm.DepreciationMonths,0))</f>
        <v>0</v>
      </c>
      <c r="BP205" s="507" cm="1">
        <f t="array" ref="BP205">_xlfn.LET(_xlpm.DepreciationMonths,INDEX(FixedAssets[Depreciation
/ Amortization Months],_xlfn.XMATCH($E$186,FixedAssets[Asset ID])),IF(AND((_xlfn.XMATCH(BP$8,$AH$8:$CC$8))-_xlfn.XMATCH($C205,$C$35:$C$82)+1&lt;=_xlpm.DepreciationMonths,$C205&lt;=BP$8),$E205/_xlpm.DepreciationMonths,0))</f>
        <v>0</v>
      </c>
      <c r="BQ205" s="507" cm="1">
        <f t="array" ref="BQ205">_xlfn.LET(_xlpm.DepreciationMonths,INDEX(FixedAssets[Depreciation
/ Amortization Months],_xlfn.XMATCH($E$186,FixedAssets[Asset ID])),IF(AND((_xlfn.XMATCH(BQ$8,$AH$8:$CC$8))-_xlfn.XMATCH($C205,$C$35:$C$82)+1&lt;=_xlpm.DepreciationMonths,$C205&lt;=BQ$8),$E205/_xlpm.DepreciationMonths,0))</f>
        <v>0</v>
      </c>
      <c r="BR205" s="507" cm="1">
        <f t="array" ref="BR205">_xlfn.LET(_xlpm.DepreciationMonths,INDEX(FixedAssets[Depreciation
/ Amortization Months],_xlfn.XMATCH($E$186,FixedAssets[Asset ID])),IF(AND((_xlfn.XMATCH(BR$8,$AH$8:$CC$8))-_xlfn.XMATCH($C205,$C$35:$C$82)+1&lt;=_xlpm.DepreciationMonths,$C205&lt;=BR$8),$E205/_xlpm.DepreciationMonths,0))</f>
        <v>0</v>
      </c>
      <c r="BS205" s="507" cm="1">
        <f t="array" ref="BS205">_xlfn.LET(_xlpm.DepreciationMonths,INDEX(FixedAssets[Depreciation
/ Amortization Months],_xlfn.XMATCH($E$186,FixedAssets[Asset ID])),IF(AND((_xlfn.XMATCH(BS$8,$AH$8:$CC$8))-_xlfn.XMATCH($C205,$C$35:$C$82)+1&lt;=_xlpm.DepreciationMonths,$C205&lt;=BS$8),$E205/_xlpm.DepreciationMonths,0))</f>
        <v>0</v>
      </c>
      <c r="BT205" s="507" cm="1">
        <f t="array" ref="BT205">_xlfn.LET(_xlpm.DepreciationMonths,INDEX(FixedAssets[Depreciation
/ Amortization Months],_xlfn.XMATCH($E$186,FixedAssets[Asset ID])),IF(AND((_xlfn.XMATCH(BT$8,$AH$8:$CC$8))-_xlfn.XMATCH($C205,$C$35:$C$82)+1&lt;=_xlpm.DepreciationMonths,$C205&lt;=BT$8),$E205/_xlpm.DepreciationMonths,0))</f>
        <v>0</v>
      </c>
      <c r="BU205" s="507" cm="1">
        <f t="array" ref="BU205">_xlfn.LET(_xlpm.DepreciationMonths,INDEX(FixedAssets[Depreciation
/ Amortization Months],_xlfn.XMATCH($E$186,FixedAssets[Asset ID])),IF(AND((_xlfn.XMATCH(BU$8,$AH$8:$CC$8))-_xlfn.XMATCH($C205,$C$35:$C$82)+1&lt;=_xlpm.DepreciationMonths,$C205&lt;=BU$8),$E205/_xlpm.DepreciationMonths,0))</f>
        <v>0</v>
      </c>
      <c r="BV205" s="507" cm="1">
        <f t="array" ref="BV205">_xlfn.LET(_xlpm.DepreciationMonths,INDEX(FixedAssets[Depreciation
/ Amortization Months],_xlfn.XMATCH($E$186,FixedAssets[Asset ID])),IF(AND((_xlfn.XMATCH(BV$8,$AH$8:$CC$8))-_xlfn.XMATCH($C205,$C$35:$C$82)+1&lt;=_xlpm.DepreciationMonths,$C205&lt;=BV$8),$E205/_xlpm.DepreciationMonths,0))</f>
        <v>0</v>
      </c>
      <c r="BW205" s="507" cm="1">
        <f t="array" ref="BW205">_xlfn.LET(_xlpm.DepreciationMonths,INDEX(FixedAssets[Depreciation
/ Amortization Months],_xlfn.XMATCH($E$186,FixedAssets[Asset ID])),IF(AND((_xlfn.XMATCH(BW$8,$AH$8:$CC$8))-_xlfn.XMATCH($C205,$C$35:$C$82)+1&lt;=_xlpm.DepreciationMonths,$C205&lt;=BW$8),$E205/_xlpm.DepreciationMonths,0))</f>
        <v>0</v>
      </c>
      <c r="BX205" s="507" cm="1">
        <f t="array" ref="BX205">_xlfn.LET(_xlpm.DepreciationMonths,INDEX(FixedAssets[Depreciation
/ Amortization Months],_xlfn.XMATCH($E$186,FixedAssets[Asset ID])),IF(AND((_xlfn.XMATCH(BX$8,$AH$8:$CC$8))-_xlfn.XMATCH($C205,$C$35:$C$82)+1&lt;=_xlpm.DepreciationMonths,$C205&lt;=BX$8),$E205/_xlpm.DepreciationMonths,0))</f>
        <v>0</v>
      </c>
      <c r="BY205" s="507" cm="1">
        <f t="array" ref="BY205">_xlfn.LET(_xlpm.DepreciationMonths,INDEX(FixedAssets[Depreciation
/ Amortization Months],_xlfn.XMATCH($E$186,FixedAssets[Asset ID])),IF(AND((_xlfn.XMATCH(BY$8,$AH$8:$CC$8))-_xlfn.XMATCH($C205,$C$35:$C$82)+1&lt;=_xlpm.DepreciationMonths,$C205&lt;=BY$8),$E205/_xlpm.DepreciationMonths,0))</f>
        <v>0</v>
      </c>
      <c r="BZ205" s="507" cm="1">
        <f t="array" ref="BZ205">_xlfn.LET(_xlpm.DepreciationMonths,INDEX(FixedAssets[Depreciation
/ Amortization Months],_xlfn.XMATCH($E$186,FixedAssets[Asset ID])),IF(AND((_xlfn.XMATCH(BZ$8,$AH$8:$CC$8))-_xlfn.XMATCH($C205,$C$35:$C$82)+1&lt;=_xlpm.DepreciationMonths,$C205&lt;=BZ$8),$E205/_xlpm.DepreciationMonths,0))</f>
        <v>0</v>
      </c>
      <c r="CA205" s="507" cm="1">
        <f t="array" ref="CA205">_xlfn.LET(_xlpm.DepreciationMonths,INDEX(FixedAssets[Depreciation
/ Amortization Months],_xlfn.XMATCH($E$186,FixedAssets[Asset ID])),IF(AND((_xlfn.XMATCH(CA$8,$AH$8:$CC$8))-_xlfn.XMATCH($C205,$C$35:$C$82)+1&lt;=_xlpm.DepreciationMonths,$C205&lt;=CA$8),$E205/_xlpm.DepreciationMonths,0))</f>
        <v>0</v>
      </c>
      <c r="CB205" s="507" cm="1">
        <f t="array" ref="CB205">_xlfn.LET(_xlpm.DepreciationMonths,INDEX(FixedAssets[Depreciation
/ Amortization Months],_xlfn.XMATCH($E$186,FixedAssets[Asset ID])),IF(AND((_xlfn.XMATCH(CB$8,$AH$8:$CC$8))-_xlfn.XMATCH($C205,$C$35:$C$82)+1&lt;=_xlpm.DepreciationMonths,$C205&lt;=CB$8),$E205/_xlpm.DepreciationMonths,0))</f>
        <v>0</v>
      </c>
      <c r="CC205" s="507" cm="1">
        <f t="array" ref="CC205">_xlfn.LET(_xlpm.DepreciationMonths,INDEX(FixedAssets[Depreciation
/ Amortization Months],_xlfn.XMATCH($E$186,FixedAssets[Asset ID])),IF(AND((_xlfn.XMATCH(CC$8,$AH$8:$CC$8))-_xlfn.XMATCH($C205,$C$35:$C$82)+1&lt;=_xlpm.DepreciationMonths,$C205&lt;=CC$8),$E205/_xlpm.DepreciationMonths,0))</f>
        <v>0</v>
      </c>
    </row>
    <row r="206" spans="3:81" hidden="1" outlineLevel="2">
      <c r="C206" s="664">
        <f t="shared" si="256"/>
        <v>45504</v>
      </c>
      <c r="D206" s="508"/>
      <c r="E206" s="508" cm="1">
        <f t="array" ref="E206">SUMPRODUCT(($AH$26:$CC$31)*($AH$5:$CC$5=$C206)*($E$26:$E$31=E$186))-SUMPRODUCT(($AH$26:$CC$31)*($AH$5:$CC$5=EOMONTH($C206,-1))*($E$26:$E$31=E$186))</f>
        <v>0</v>
      </c>
      <c r="F206" s="508"/>
      <c r="G206" s="508"/>
      <c r="H206" s="508"/>
      <c r="I206" s="508"/>
      <c r="J206" s="504">
        <f t="shared" si="254"/>
        <v>0</v>
      </c>
      <c r="K206" s="504">
        <f t="shared" si="254"/>
        <v>0</v>
      </c>
      <c r="L206" s="504">
        <f t="shared" si="254"/>
        <v>0</v>
      </c>
      <c r="M206" s="504">
        <f t="shared" si="254"/>
        <v>0</v>
      </c>
      <c r="N206" s="504"/>
      <c r="O206" s="504"/>
      <c r="P206" s="504">
        <f t="shared" si="258"/>
        <v>0</v>
      </c>
      <c r="Q206" s="504">
        <f t="shared" si="258"/>
        <v>0</v>
      </c>
      <c r="R206" s="504">
        <f t="shared" si="258"/>
        <v>0</v>
      </c>
      <c r="S206" s="504">
        <f t="shared" si="258"/>
        <v>0</v>
      </c>
      <c r="T206" s="504">
        <f t="shared" si="258"/>
        <v>0</v>
      </c>
      <c r="U206" s="504">
        <f t="shared" si="258"/>
        <v>0</v>
      </c>
      <c r="V206" s="504">
        <f t="shared" si="258"/>
        <v>0</v>
      </c>
      <c r="W206" s="504">
        <f t="shared" si="258"/>
        <v>0</v>
      </c>
      <c r="X206" s="504">
        <f t="shared" si="258"/>
        <v>0</v>
      </c>
      <c r="Y206" s="504">
        <f t="shared" si="258"/>
        <v>0</v>
      </c>
      <c r="Z206" s="504">
        <f t="shared" si="258"/>
        <v>0</v>
      </c>
      <c r="AA206" s="504">
        <f t="shared" si="258"/>
        <v>0</v>
      </c>
      <c r="AB206" s="504">
        <f t="shared" si="258"/>
        <v>0</v>
      </c>
      <c r="AC206" s="504">
        <f t="shared" si="258"/>
        <v>0</v>
      </c>
      <c r="AD206" s="504">
        <f t="shared" si="258"/>
        <v>0</v>
      </c>
      <c r="AE206" s="504">
        <f t="shared" si="258"/>
        <v>0</v>
      </c>
      <c r="AF206" s="508"/>
      <c r="AG206" s="508"/>
      <c r="AH206" s="507" cm="1">
        <f t="array" ref="AH206">_xlfn.LET(_xlpm.DepreciationMonths,INDEX(FixedAssets[Depreciation
/ Amortization Months],_xlfn.XMATCH($E$186,FixedAssets[Asset ID])),IF(AND((_xlfn.XMATCH(AH$8,$AH$8:$CC$8))-_xlfn.XMATCH($C206,$C$35:$C$82)+1&lt;=_xlpm.DepreciationMonths,$C206&lt;=AH$8),$E206/_xlpm.DepreciationMonths,0))</f>
        <v>0</v>
      </c>
      <c r="AI206" s="507" cm="1">
        <f t="array" ref="AI206">_xlfn.LET(_xlpm.DepreciationMonths,INDEX(FixedAssets[Depreciation
/ Amortization Months],_xlfn.XMATCH($E$186,FixedAssets[Asset ID])),IF(AND((_xlfn.XMATCH(AI$8,$AH$8:$CC$8))-_xlfn.XMATCH($C206,$C$35:$C$82)+1&lt;=_xlpm.DepreciationMonths,$C206&lt;=AI$8),$E206/_xlpm.DepreciationMonths,0))</f>
        <v>0</v>
      </c>
      <c r="AJ206" s="507" cm="1">
        <f t="array" ref="AJ206">_xlfn.LET(_xlpm.DepreciationMonths,INDEX(FixedAssets[Depreciation
/ Amortization Months],_xlfn.XMATCH($E$186,FixedAssets[Asset ID])),IF(AND((_xlfn.XMATCH(AJ$8,$AH$8:$CC$8))-_xlfn.XMATCH($C206,$C$35:$C$82)+1&lt;=_xlpm.DepreciationMonths,$C206&lt;=AJ$8),$E206/_xlpm.DepreciationMonths,0))</f>
        <v>0</v>
      </c>
      <c r="AK206" s="507" cm="1">
        <f t="array" ref="AK206">_xlfn.LET(_xlpm.DepreciationMonths,INDEX(FixedAssets[Depreciation
/ Amortization Months],_xlfn.XMATCH($E$186,FixedAssets[Asset ID])),IF(AND((_xlfn.XMATCH(AK$8,$AH$8:$CC$8))-_xlfn.XMATCH($C206,$C$35:$C$82)+1&lt;=_xlpm.DepreciationMonths,$C206&lt;=AK$8),$E206/_xlpm.DepreciationMonths,0))</f>
        <v>0</v>
      </c>
      <c r="AL206" s="507" cm="1">
        <f t="array" ref="AL206">_xlfn.LET(_xlpm.DepreciationMonths,INDEX(FixedAssets[Depreciation
/ Amortization Months],_xlfn.XMATCH($E$186,FixedAssets[Asset ID])),IF(AND((_xlfn.XMATCH(AL$8,$AH$8:$CC$8))-_xlfn.XMATCH($C206,$C$35:$C$82)+1&lt;=_xlpm.DepreciationMonths,$C206&lt;=AL$8),$E206/_xlpm.DepreciationMonths,0))</f>
        <v>0</v>
      </c>
      <c r="AM206" s="507" cm="1">
        <f t="array" ref="AM206">_xlfn.LET(_xlpm.DepreciationMonths,INDEX(FixedAssets[Depreciation
/ Amortization Months],_xlfn.XMATCH($E$186,FixedAssets[Asset ID])),IF(AND((_xlfn.XMATCH(AM$8,$AH$8:$CC$8))-_xlfn.XMATCH($C206,$C$35:$C$82)+1&lt;=_xlpm.DepreciationMonths,$C206&lt;=AM$8),$E206/_xlpm.DepreciationMonths,0))</f>
        <v>0</v>
      </c>
      <c r="AN206" s="507" cm="1">
        <f t="array" ref="AN206">_xlfn.LET(_xlpm.DepreciationMonths,INDEX(FixedAssets[Depreciation
/ Amortization Months],_xlfn.XMATCH($E$186,FixedAssets[Asset ID])),IF(AND((_xlfn.XMATCH(AN$8,$AH$8:$CC$8))-_xlfn.XMATCH($C206,$C$35:$C$82)+1&lt;=_xlpm.DepreciationMonths,$C206&lt;=AN$8),$E206/_xlpm.DepreciationMonths,0))</f>
        <v>0</v>
      </c>
      <c r="AO206" s="507" cm="1">
        <f t="array" ref="AO206">_xlfn.LET(_xlpm.DepreciationMonths,INDEX(FixedAssets[Depreciation
/ Amortization Months],_xlfn.XMATCH($E$186,FixedAssets[Asset ID])),IF(AND((_xlfn.XMATCH(AO$8,$AH$8:$CC$8))-_xlfn.XMATCH($C206,$C$35:$C$82)+1&lt;=_xlpm.DepreciationMonths,$C206&lt;=AO$8),$E206/_xlpm.DepreciationMonths,0))</f>
        <v>0</v>
      </c>
      <c r="AP206" s="507" cm="1">
        <f t="array" ref="AP206">_xlfn.LET(_xlpm.DepreciationMonths,INDEX(FixedAssets[Depreciation
/ Amortization Months],_xlfn.XMATCH($E$186,FixedAssets[Asset ID])),IF(AND((_xlfn.XMATCH(AP$8,$AH$8:$CC$8))-_xlfn.XMATCH($C206,$C$35:$C$82)+1&lt;=_xlpm.DepreciationMonths,$C206&lt;=AP$8),$E206/_xlpm.DepreciationMonths,0))</f>
        <v>0</v>
      </c>
      <c r="AQ206" s="507" cm="1">
        <f t="array" ref="AQ206">_xlfn.LET(_xlpm.DepreciationMonths,INDEX(FixedAssets[Depreciation
/ Amortization Months],_xlfn.XMATCH($E$186,FixedAssets[Asset ID])),IF(AND((_xlfn.XMATCH(AQ$8,$AH$8:$CC$8))-_xlfn.XMATCH($C206,$C$35:$C$82)+1&lt;=_xlpm.DepreciationMonths,$C206&lt;=AQ$8),$E206/_xlpm.DepreciationMonths,0))</f>
        <v>0</v>
      </c>
      <c r="AR206" s="507" cm="1">
        <f t="array" ref="AR206">_xlfn.LET(_xlpm.DepreciationMonths,INDEX(FixedAssets[Depreciation
/ Amortization Months],_xlfn.XMATCH($E$186,FixedAssets[Asset ID])),IF(AND((_xlfn.XMATCH(AR$8,$AH$8:$CC$8))-_xlfn.XMATCH($C206,$C$35:$C$82)+1&lt;=_xlpm.DepreciationMonths,$C206&lt;=AR$8),$E206/_xlpm.DepreciationMonths,0))</f>
        <v>0</v>
      </c>
      <c r="AS206" s="507" cm="1">
        <f t="array" ref="AS206">_xlfn.LET(_xlpm.DepreciationMonths,INDEX(FixedAssets[Depreciation
/ Amortization Months],_xlfn.XMATCH($E$186,FixedAssets[Asset ID])),IF(AND((_xlfn.XMATCH(AS$8,$AH$8:$CC$8))-_xlfn.XMATCH($C206,$C$35:$C$82)+1&lt;=_xlpm.DepreciationMonths,$C206&lt;=AS$8),$E206/_xlpm.DepreciationMonths,0))</f>
        <v>0</v>
      </c>
      <c r="AT206" s="507" cm="1">
        <f t="array" ref="AT206">_xlfn.LET(_xlpm.DepreciationMonths,INDEX(FixedAssets[Depreciation
/ Amortization Months],_xlfn.XMATCH($E$186,FixedAssets[Asset ID])),IF(AND((_xlfn.XMATCH(AT$8,$AH$8:$CC$8))-_xlfn.XMATCH($C206,$C$35:$C$82)+1&lt;=_xlpm.DepreciationMonths,$C206&lt;=AT$8),$E206/_xlpm.DepreciationMonths,0))</f>
        <v>0</v>
      </c>
      <c r="AU206" s="507" cm="1">
        <f t="array" ref="AU206">_xlfn.LET(_xlpm.DepreciationMonths,INDEX(FixedAssets[Depreciation
/ Amortization Months],_xlfn.XMATCH($E$186,FixedAssets[Asset ID])),IF(AND((_xlfn.XMATCH(AU$8,$AH$8:$CC$8))-_xlfn.XMATCH($C206,$C$35:$C$82)+1&lt;=_xlpm.DepreciationMonths,$C206&lt;=AU$8),$E206/_xlpm.DepreciationMonths,0))</f>
        <v>0</v>
      </c>
      <c r="AV206" s="507" cm="1">
        <f t="array" ref="AV206">_xlfn.LET(_xlpm.DepreciationMonths,INDEX(FixedAssets[Depreciation
/ Amortization Months],_xlfn.XMATCH($E$186,FixedAssets[Asset ID])),IF(AND((_xlfn.XMATCH(AV$8,$AH$8:$CC$8))-_xlfn.XMATCH($C206,$C$35:$C$82)+1&lt;=_xlpm.DepreciationMonths,$C206&lt;=AV$8),$E206/_xlpm.DepreciationMonths,0))</f>
        <v>0</v>
      </c>
      <c r="AW206" s="507" cm="1">
        <f t="array" ref="AW206">_xlfn.LET(_xlpm.DepreciationMonths,INDEX(FixedAssets[Depreciation
/ Amortization Months],_xlfn.XMATCH($E$186,FixedAssets[Asset ID])),IF(AND((_xlfn.XMATCH(AW$8,$AH$8:$CC$8))-_xlfn.XMATCH($C206,$C$35:$C$82)+1&lt;=_xlpm.DepreciationMonths,$C206&lt;=AW$8),$E206/_xlpm.DepreciationMonths,0))</f>
        <v>0</v>
      </c>
      <c r="AX206" s="507" cm="1">
        <f t="array" ref="AX206">_xlfn.LET(_xlpm.DepreciationMonths,INDEX(FixedAssets[Depreciation
/ Amortization Months],_xlfn.XMATCH($E$186,FixedAssets[Asset ID])),IF(AND((_xlfn.XMATCH(AX$8,$AH$8:$CC$8))-_xlfn.XMATCH($C206,$C$35:$C$82)+1&lt;=_xlpm.DepreciationMonths,$C206&lt;=AX$8),$E206/_xlpm.DepreciationMonths,0))</f>
        <v>0</v>
      </c>
      <c r="AY206" s="507" cm="1">
        <f t="array" ref="AY206">_xlfn.LET(_xlpm.DepreciationMonths,INDEX(FixedAssets[Depreciation
/ Amortization Months],_xlfn.XMATCH($E$186,FixedAssets[Asset ID])),IF(AND((_xlfn.XMATCH(AY$8,$AH$8:$CC$8))-_xlfn.XMATCH($C206,$C$35:$C$82)+1&lt;=_xlpm.DepreciationMonths,$C206&lt;=AY$8),$E206/_xlpm.DepreciationMonths,0))</f>
        <v>0</v>
      </c>
      <c r="AZ206" s="507" cm="1">
        <f t="array" ref="AZ206">_xlfn.LET(_xlpm.DepreciationMonths,INDEX(FixedAssets[Depreciation
/ Amortization Months],_xlfn.XMATCH($E$186,FixedAssets[Asset ID])),IF(AND((_xlfn.XMATCH(AZ$8,$AH$8:$CC$8))-_xlfn.XMATCH($C206,$C$35:$C$82)+1&lt;=_xlpm.DepreciationMonths,$C206&lt;=AZ$8),$E206/_xlpm.DepreciationMonths,0))</f>
        <v>0</v>
      </c>
      <c r="BA206" s="507" cm="1">
        <f t="array" ref="BA206">_xlfn.LET(_xlpm.DepreciationMonths,INDEX(FixedAssets[Depreciation
/ Amortization Months],_xlfn.XMATCH($E$186,FixedAssets[Asset ID])),IF(AND((_xlfn.XMATCH(BA$8,$AH$8:$CC$8))-_xlfn.XMATCH($C206,$C$35:$C$82)+1&lt;=_xlpm.DepreciationMonths,$C206&lt;=BA$8),$E206/_xlpm.DepreciationMonths,0))</f>
        <v>0</v>
      </c>
      <c r="BB206" s="507" cm="1">
        <f t="array" ref="BB206">_xlfn.LET(_xlpm.DepreciationMonths,INDEX(FixedAssets[Depreciation
/ Amortization Months],_xlfn.XMATCH($E$186,FixedAssets[Asset ID])),IF(AND((_xlfn.XMATCH(BB$8,$AH$8:$CC$8))-_xlfn.XMATCH($C206,$C$35:$C$82)+1&lt;=_xlpm.DepreciationMonths,$C206&lt;=BB$8),$E206/_xlpm.DepreciationMonths,0))</f>
        <v>0</v>
      </c>
      <c r="BC206" s="507" cm="1">
        <f t="array" ref="BC206">_xlfn.LET(_xlpm.DepreciationMonths,INDEX(FixedAssets[Depreciation
/ Amortization Months],_xlfn.XMATCH($E$186,FixedAssets[Asset ID])),IF(AND((_xlfn.XMATCH(BC$8,$AH$8:$CC$8))-_xlfn.XMATCH($C206,$C$35:$C$82)+1&lt;=_xlpm.DepreciationMonths,$C206&lt;=BC$8),$E206/_xlpm.DepreciationMonths,0))</f>
        <v>0</v>
      </c>
      <c r="BD206" s="507" cm="1">
        <f t="array" ref="BD206">_xlfn.LET(_xlpm.DepreciationMonths,INDEX(FixedAssets[Depreciation
/ Amortization Months],_xlfn.XMATCH($E$186,FixedAssets[Asset ID])),IF(AND((_xlfn.XMATCH(BD$8,$AH$8:$CC$8))-_xlfn.XMATCH($C206,$C$35:$C$82)+1&lt;=_xlpm.DepreciationMonths,$C206&lt;=BD$8),$E206/_xlpm.DepreciationMonths,0))</f>
        <v>0</v>
      </c>
      <c r="BE206" s="507" cm="1">
        <f t="array" ref="BE206">_xlfn.LET(_xlpm.DepreciationMonths,INDEX(FixedAssets[Depreciation
/ Amortization Months],_xlfn.XMATCH($E$186,FixedAssets[Asset ID])),IF(AND((_xlfn.XMATCH(BE$8,$AH$8:$CC$8))-_xlfn.XMATCH($C206,$C$35:$C$82)+1&lt;=_xlpm.DepreciationMonths,$C206&lt;=BE$8),$E206/_xlpm.DepreciationMonths,0))</f>
        <v>0</v>
      </c>
      <c r="BF206" s="507" cm="1">
        <f t="array" ref="BF206">_xlfn.LET(_xlpm.DepreciationMonths,INDEX(FixedAssets[Depreciation
/ Amortization Months],_xlfn.XMATCH($E$186,FixedAssets[Asset ID])),IF(AND((_xlfn.XMATCH(BF$8,$AH$8:$CC$8))-_xlfn.XMATCH($C206,$C$35:$C$82)+1&lt;=_xlpm.DepreciationMonths,$C206&lt;=BF$8),$E206/_xlpm.DepreciationMonths,0))</f>
        <v>0</v>
      </c>
      <c r="BG206" s="507" cm="1">
        <f t="array" ref="BG206">_xlfn.LET(_xlpm.DepreciationMonths,INDEX(FixedAssets[Depreciation
/ Amortization Months],_xlfn.XMATCH($E$186,FixedAssets[Asset ID])),IF(AND((_xlfn.XMATCH(BG$8,$AH$8:$CC$8))-_xlfn.XMATCH($C206,$C$35:$C$82)+1&lt;=_xlpm.DepreciationMonths,$C206&lt;=BG$8),$E206/_xlpm.DepreciationMonths,0))</f>
        <v>0</v>
      </c>
      <c r="BH206" s="507" cm="1">
        <f t="array" ref="BH206">_xlfn.LET(_xlpm.DepreciationMonths,INDEX(FixedAssets[Depreciation
/ Amortization Months],_xlfn.XMATCH($E$186,FixedAssets[Asset ID])),IF(AND((_xlfn.XMATCH(BH$8,$AH$8:$CC$8))-_xlfn.XMATCH($C206,$C$35:$C$82)+1&lt;=_xlpm.DepreciationMonths,$C206&lt;=BH$8),$E206/_xlpm.DepreciationMonths,0))</f>
        <v>0</v>
      </c>
      <c r="BI206" s="507" cm="1">
        <f t="array" ref="BI206">_xlfn.LET(_xlpm.DepreciationMonths,INDEX(FixedAssets[Depreciation
/ Amortization Months],_xlfn.XMATCH($E$186,FixedAssets[Asset ID])),IF(AND((_xlfn.XMATCH(BI$8,$AH$8:$CC$8))-_xlfn.XMATCH($C206,$C$35:$C$82)+1&lt;=_xlpm.DepreciationMonths,$C206&lt;=BI$8),$E206/_xlpm.DepreciationMonths,0))</f>
        <v>0</v>
      </c>
      <c r="BJ206" s="507" cm="1">
        <f t="array" ref="BJ206">_xlfn.LET(_xlpm.DepreciationMonths,INDEX(FixedAssets[Depreciation
/ Amortization Months],_xlfn.XMATCH($E$186,FixedAssets[Asset ID])),IF(AND((_xlfn.XMATCH(BJ$8,$AH$8:$CC$8))-_xlfn.XMATCH($C206,$C$35:$C$82)+1&lt;=_xlpm.DepreciationMonths,$C206&lt;=BJ$8),$E206/_xlpm.DepreciationMonths,0))</f>
        <v>0</v>
      </c>
      <c r="BK206" s="507" cm="1">
        <f t="array" ref="BK206">_xlfn.LET(_xlpm.DepreciationMonths,INDEX(FixedAssets[Depreciation
/ Amortization Months],_xlfn.XMATCH($E$186,FixedAssets[Asset ID])),IF(AND((_xlfn.XMATCH(BK$8,$AH$8:$CC$8))-_xlfn.XMATCH($C206,$C$35:$C$82)+1&lt;=_xlpm.DepreciationMonths,$C206&lt;=BK$8),$E206/_xlpm.DepreciationMonths,0))</f>
        <v>0</v>
      </c>
      <c r="BL206" s="507" cm="1">
        <f t="array" ref="BL206">_xlfn.LET(_xlpm.DepreciationMonths,INDEX(FixedAssets[Depreciation
/ Amortization Months],_xlfn.XMATCH($E$186,FixedAssets[Asset ID])),IF(AND((_xlfn.XMATCH(BL$8,$AH$8:$CC$8))-_xlfn.XMATCH($C206,$C$35:$C$82)+1&lt;=_xlpm.DepreciationMonths,$C206&lt;=BL$8),$E206/_xlpm.DepreciationMonths,0))</f>
        <v>0</v>
      </c>
      <c r="BM206" s="507" cm="1">
        <f t="array" ref="BM206">_xlfn.LET(_xlpm.DepreciationMonths,INDEX(FixedAssets[Depreciation
/ Amortization Months],_xlfn.XMATCH($E$186,FixedAssets[Asset ID])),IF(AND((_xlfn.XMATCH(BM$8,$AH$8:$CC$8))-_xlfn.XMATCH($C206,$C$35:$C$82)+1&lt;=_xlpm.DepreciationMonths,$C206&lt;=BM$8),$E206/_xlpm.DepreciationMonths,0))</f>
        <v>0</v>
      </c>
      <c r="BN206" s="507" cm="1">
        <f t="array" ref="BN206">_xlfn.LET(_xlpm.DepreciationMonths,INDEX(FixedAssets[Depreciation
/ Amortization Months],_xlfn.XMATCH($E$186,FixedAssets[Asset ID])),IF(AND((_xlfn.XMATCH(BN$8,$AH$8:$CC$8))-_xlfn.XMATCH($C206,$C$35:$C$82)+1&lt;=_xlpm.DepreciationMonths,$C206&lt;=BN$8),$E206/_xlpm.DepreciationMonths,0))</f>
        <v>0</v>
      </c>
      <c r="BO206" s="507" cm="1">
        <f t="array" ref="BO206">_xlfn.LET(_xlpm.DepreciationMonths,INDEX(FixedAssets[Depreciation
/ Amortization Months],_xlfn.XMATCH($E$186,FixedAssets[Asset ID])),IF(AND((_xlfn.XMATCH(BO$8,$AH$8:$CC$8))-_xlfn.XMATCH($C206,$C$35:$C$82)+1&lt;=_xlpm.DepreciationMonths,$C206&lt;=BO$8),$E206/_xlpm.DepreciationMonths,0))</f>
        <v>0</v>
      </c>
      <c r="BP206" s="507" cm="1">
        <f t="array" ref="BP206">_xlfn.LET(_xlpm.DepreciationMonths,INDEX(FixedAssets[Depreciation
/ Amortization Months],_xlfn.XMATCH($E$186,FixedAssets[Asset ID])),IF(AND((_xlfn.XMATCH(BP$8,$AH$8:$CC$8))-_xlfn.XMATCH($C206,$C$35:$C$82)+1&lt;=_xlpm.DepreciationMonths,$C206&lt;=BP$8),$E206/_xlpm.DepreciationMonths,0))</f>
        <v>0</v>
      </c>
      <c r="BQ206" s="507" cm="1">
        <f t="array" ref="BQ206">_xlfn.LET(_xlpm.DepreciationMonths,INDEX(FixedAssets[Depreciation
/ Amortization Months],_xlfn.XMATCH($E$186,FixedAssets[Asset ID])),IF(AND((_xlfn.XMATCH(BQ$8,$AH$8:$CC$8))-_xlfn.XMATCH($C206,$C$35:$C$82)+1&lt;=_xlpm.DepreciationMonths,$C206&lt;=BQ$8),$E206/_xlpm.DepreciationMonths,0))</f>
        <v>0</v>
      </c>
      <c r="BR206" s="507" cm="1">
        <f t="array" ref="BR206">_xlfn.LET(_xlpm.DepreciationMonths,INDEX(FixedAssets[Depreciation
/ Amortization Months],_xlfn.XMATCH($E$186,FixedAssets[Asset ID])),IF(AND((_xlfn.XMATCH(BR$8,$AH$8:$CC$8))-_xlfn.XMATCH($C206,$C$35:$C$82)+1&lt;=_xlpm.DepreciationMonths,$C206&lt;=BR$8),$E206/_xlpm.DepreciationMonths,0))</f>
        <v>0</v>
      </c>
      <c r="BS206" s="507" cm="1">
        <f t="array" ref="BS206">_xlfn.LET(_xlpm.DepreciationMonths,INDEX(FixedAssets[Depreciation
/ Amortization Months],_xlfn.XMATCH($E$186,FixedAssets[Asset ID])),IF(AND((_xlfn.XMATCH(BS$8,$AH$8:$CC$8))-_xlfn.XMATCH($C206,$C$35:$C$82)+1&lt;=_xlpm.DepreciationMonths,$C206&lt;=BS$8),$E206/_xlpm.DepreciationMonths,0))</f>
        <v>0</v>
      </c>
      <c r="BT206" s="507" cm="1">
        <f t="array" ref="BT206">_xlfn.LET(_xlpm.DepreciationMonths,INDEX(FixedAssets[Depreciation
/ Amortization Months],_xlfn.XMATCH($E$186,FixedAssets[Asset ID])),IF(AND((_xlfn.XMATCH(BT$8,$AH$8:$CC$8))-_xlfn.XMATCH($C206,$C$35:$C$82)+1&lt;=_xlpm.DepreciationMonths,$C206&lt;=BT$8),$E206/_xlpm.DepreciationMonths,0))</f>
        <v>0</v>
      </c>
      <c r="BU206" s="507" cm="1">
        <f t="array" ref="BU206">_xlfn.LET(_xlpm.DepreciationMonths,INDEX(FixedAssets[Depreciation
/ Amortization Months],_xlfn.XMATCH($E$186,FixedAssets[Asset ID])),IF(AND((_xlfn.XMATCH(BU$8,$AH$8:$CC$8))-_xlfn.XMATCH($C206,$C$35:$C$82)+1&lt;=_xlpm.DepreciationMonths,$C206&lt;=BU$8),$E206/_xlpm.DepreciationMonths,0))</f>
        <v>0</v>
      </c>
      <c r="BV206" s="507" cm="1">
        <f t="array" ref="BV206">_xlfn.LET(_xlpm.DepreciationMonths,INDEX(FixedAssets[Depreciation
/ Amortization Months],_xlfn.XMATCH($E$186,FixedAssets[Asset ID])),IF(AND((_xlfn.XMATCH(BV$8,$AH$8:$CC$8))-_xlfn.XMATCH($C206,$C$35:$C$82)+1&lt;=_xlpm.DepreciationMonths,$C206&lt;=BV$8),$E206/_xlpm.DepreciationMonths,0))</f>
        <v>0</v>
      </c>
      <c r="BW206" s="507" cm="1">
        <f t="array" ref="BW206">_xlfn.LET(_xlpm.DepreciationMonths,INDEX(FixedAssets[Depreciation
/ Amortization Months],_xlfn.XMATCH($E$186,FixedAssets[Asset ID])),IF(AND((_xlfn.XMATCH(BW$8,$AH$8:$CC$8))-_xlfn.XMATCH($C206,$C$35:$C$82)+1&lt;=_xlpm.DepreciationMonths,$C206&lt;=BW$8),$E206/_xlpm.DepreciationMonths,0))</f>
        <v>0</v>
      </c>
      <c r="BX206" s="507" cm="1">
        <f t="array" ref="BX206">_xlfn.LET(_xlpm.DepreciationMonths,INDEX(FixedAssets[Depreciation
/ Amortization Months],_xlfn.XMATCH($E$186,FixedAssets[Asset ID])),IF(AND((_xlfn.XMATCH(BX$8,$AH$8:$CC$8))-_xlfn.XMATCH($C206,$C$35:$C$82)+1&lt;=_xlpm.DepreciationMonths,$C206&lt;=BX$8),$E206/_xlpm.DepreciationMonths,0))</f>
        <v>0</v>
      </c>
      <c r="BY206" s="507" cm="1">
        <f t="array" ref="BY206">_xlfn.LET(_xlpm.DepreciationMonths,INDEX(FixedAssets[Depreciation
/ Amortization Months],_xlfn.XMATCH($E$186,FixedAssets[Asset ID])),IF(AND((_xlfn.XMATCH(BY$8,$AH$8:$CC$8))-_xlfn.XMATCH($C206,$C$35:$C$82)+1&lt;=_xlpm.DepreciationMonths,$C206&lt;=BY$8),$E206/_xlpm.DepreciationMonths,0))</f>
        <v>0</v>
      </c>
      <c r="BZ206" s="507" cm="1">
        <f t="array" ref="BZ206">_xlfn.LET(_xlpm.DepreciationMonths,INDEX(FixedAssets[Depreciation
/ Amortization Months],_xlfn.XMATCH($E$186,FixedAssets[Asset ID])),IF(AND((_xlfn.XMATCH(BZ$8,$AH$8:$CC$8))-_xlfn.XMATCH($C206,$C$35:$C$82)+1&lt;=_xlpm.DepreciationMonths,$C206&lt;=BZ$8),$E206/_xlpm.DepreciationMonths,0))</f>
        <v>0</v>
      </c>
      <c r="CA206" s="507" cm="1">
        <f t="array" ref="CA206">_xlfn.LET(_xlpm.DepreciationMonths,INDEX(FixedAssets[Depreciation
/ Amortization Months],_xlfn.XMATCH($E$186,FixedAssets[Asset ID])),IF(AND((_xlfn.XMATCH(CA$8,$AH$8:$CC$8))-_xlfn.XMATCH($C206,$C$35:$C$82)+1&lt;=_xlpm.DepreciationMonths,$C206&lt;=CA$8),$E206/_xlpm.DepreciationMonths,0))</f>
        <v>0</v>
      </c>
      <c r="CB206" s="507" cm="1">
        <f t="array" ref="CB206">_xlfn.LET(_xlpm.DepreciationMonths,INDEX(FixedAssets[Depreciation
/ Amortization Months],_xlfn.XMATCH($E$186,FixedAssets[Asset ID])),IF(AND((_xlfn.XMATCH(CB$8,$AH$8:$CC$8))-_xlfn.XMATCH($C206,$C$35:$C$82)+1&lt;=_xlpm.DepreciationMonths,$C206&lt;=CB$8),$E206/_xlpm.DepreciationMonths,0))</f>
        <v>0</v>
      </c>
      <c r="CC206" s="507" cm="1">
        <f t="array" ref="CC206">_xlfn.LET(_xlpm.DepreciationMonths,INDEX(FixedAssets[Depreciation
/ Amortization Months],_xlfn.XMATCH($E$186,FixedAssets[Asset ID])),IF(AND((_xlfn.XMATCH(CC$8,$AH$8:$CC$8))-_xlfn.XMATCH($C206,$C$35:$C$82)+1&lt;=_xlpm.DepreciationMonths,$C206&lt;=CC$8),$E206/_xlpm.DepreciationMonths,0))</f>
        <v>0</v>
      </c>
    </row>
    <row r="207" spans="3:81" hidden="1" outlineLevel="2">
      <c r="C207" s="664">
        <f t="shared" si="256"/>
        <v>45535</v>
      </c>
      <c r="D207" s="508"/>
      <c r="E207" s="508" cm="1">
        <f t="array" ref="E207">SUMPRODUCT(($AH$26:$CC$31)*($AH$5:$CC$5=$C207)*($E$26:$E$31=E$186))-SUMPRODUCT(($AH$26:$CC$31)*($AH$5:$CC$5=EOMONTH($C207,-1))*($E$26:$E$31=E$186))</f>
        <v>0</v>
      </c>
      <c r="F207" s="508"/>
      <c r="G207" s="508"/>
      <c r="H207" s="508"/>
      <c r="I207" s="508"/>
      <c r="J207" s="504">
        <f t="shared" si="254"/>
        <v>0</v>
      </c>
      <c r="K207" s="504">
        <f t="shared" si="254"/>
        <v>0</v>
      </c>
      <c r="L207" s="504">
        <f t="shared" si="254"/>
        <v>0</v>
      </c>
      <c r="M207" s="504">
        <f t="shared" si="254"/>
        <v>0</v>
      </c>
      <c r="N207" s="504"/>
      <c r="O207" s="504"/>
      <c r="P207" s="504">
        <f t="shared" si="258"/>
        <v>0</v>
      </c>
      <c r="Q207" s="504">
        <f t="shared" si="258"/>
        <v>0</v>
      </c>
      <c r="R207" s="504">
        <f t="shared" si="258"/>
        <v>0</v>
      </c>
      <c r="S207" s="504">
        <f t="shared" si="258"/>
        <v>0</v>
      </c>
      <c r="T207" s="504">
        <f t="shared" si="258"/>
        <v>0</v>
      </c>
      <c r="U207" s="504">
        <f t="shared" si="258"/>
        <v>0</v>
      </c>
      <c r="V207" s="504">
        <f t="shared" si="258"/>
        <v>0</v>
      </c>
      <c r="W207" s="504">
        <f t="shared" si="258"/>
        <v>0</v>
      </c>
      <c r="X207" s="504">
        <f t="shared" si="258"/>
        <v>0</v>
      </c>
      <c r="Y207" s="504">
        <f t="shared" si="258"/>
        <v>0</v>
      </c>
      <c r="Z207" s="504">
        <f t="shared" si="258"/>
        <v>0</v>
      </c>
      <c r="AA207" s="504">
        <f t="shared" si="258"/>
        <v>0</v>
      </c>
      <c r="AB207" s="504">
        <f t="shared" si="258"/>
        <v>0</v>
      </c>
      <c r="AC207" s="504">
        <f t="shared" si="258"/>
        <v>0</v>
      </c>
      <c r="AD207" s="504">
        <f t="shared" si="258"/>
        <v>0</v>
      </c>
      <c r="AE207" s="504">
        <f t="shared" si="258"/>
        <v>0</v>
      </c>
      <c r="AF207" s="508"/>
      <c r="AG207" s="508"/>
      <c r="AH207" s="507" cm="1">
        <f t="array" ref="AH207">_xlfn.LET(_xlpm.DepreciationMonths,INDEX(FixedAssets[Depreciation
/ Amortization Months],_xlfn.XMATCH($E$186,FixedAssets[Asset ID])),IF(AND((_xlfn.XMATCH(AH$8,$AH$8:$CC$8))-_xlfn.XMATCH($C207,$C$35:$C$82)+1&lt;=_xlpm.DepreciationMonths,$C207&lt;=AH$8),$E207/_xlpm.DepreciationMonths,0))</f>
        <v>0</v>
      </c>
      <c r="AI207" s="507" cm="1">
        <f t="array" ref="AI207">_xlfn.LET(_xlpm.DepreciationMonths,INDEX(FixedAssets[Depreciation
/ Amortization Months],_xlfn.XMATCH($E$186,FixedAssets[Asset ID])),IF(AND((_xlfn.XMATCH(AI$8,$AH$8:$CC$8))-_xlfn.XMATCH($C207,$C$35:$C$82)+1&lt;=_xlpm.DepreciationMonths,$C207&lt;=AI$8),$E207/_xlpm.DepreciationMonths,0))</f>
        <v>0</v>
      </c>
      <c r="AJ207" s="507" cm="1">
        <f t="array" ref="AJ207">_xlfn.LET(_xlpm.DepreciationMonths,INDEX(FixedAssets[Depreciation
/ Amortization Months],_xlfn.XMATCH($E$186,FixedAssets[Asset ID])),IF(AND((_xlfn.XMATCH(AJ$8,$AH$8:$CC$8))-_xlfn.XMATCH($C207,$C$35:$C$82)+1&lt;=_xlpm.DepreciationMonths,$C207&lt;=AJ$8),$E207/_xlpm.DepreciationMonths,0))</f>
        <v>0</v>
      </c>
      <c r="AK207" s="507" cm="1">
        <f t="array" ref="AK207">_xlfn.LET(_xlpm.DepreciationMonths,INDEX(FixedAssets[Depreciation
/ Amortization Months],_xlfn.XMATCH($E$186,FixedAssets[Asset ID])),IF(AND((_xlfn.XMATCH(AK$8,$AH$8:$CC$8))-_xlfn.XMATCH($C207,$C$35:$C$82)+1&lt;=_xlpm.DepreciationMonths,$C207&lt;=AK$8),$E207/_xlpm.DepreciationMonths,0))</f>
        <v>0</v>
      </c>
      <c r="AL207" s="507" cm="1">
        <f t="array" ref="AL207">_xlfn.LET(_xlpm.DepreciationMonths,INDEX(FixedAssets[Depreciation
/ Amortization Months],_xlfn.XMATCH($E$186,FixedAssets[Asset ID])),IF(AND((_xlfn.XMATCH(AL$8,$AH$8:$CC$8))-_xlfn.XMATCH($C207,$C$35:$C$82)+1&lt;=_xlpm.DepreciationMonths,$C207&lt;=AL$8),$E207/_xlpm.DepreciationMonths,0))</f>
        <v>0</v>
      </c>
      <c r="AM207" s="507" cm="1">
        <f t="array" ref="AM207">_xlfn.LET(_xlpm.DepreciationMonths,INDEX(FixedAssets[Depreciation
/ Amortization Months],_xlfn.XMATCH($E$186,FixedAssets[Asset ID])),IF(AND((_xlfn.XMATCH(AM$8,$AH$8:$CC$8))-_xlfn.XMATCH($C207,$C$35:$C$82)+1&lt;=_xlpm.DepreciationMonths,$C207&lt;=AM$8),$E207/_xlpm.DepreciationMonths,0))</f>
        <v>0</v>
      </c>
      <c r="AN207" s="507" cm="1">
        <f t="array" ref="AN207">_xlfn.LET(_xlpm.DepreciationMonths,INDEX(FixedAssets[Depreciation
/ Amortization Months],_xlfn.XMATCH($E$186,FixedAssets[Asset ID])),IF(AND((_xlfn.XMATCH(AN$8,$AH$8:$CC$8))-_xlfn.XMATCH($C207,$C$35:$C$82)+1&lt;=_xlpm.DepreciationMonths,$C207&lt;=AN$8),$E207/_xlpm.DepreciationMonths,0))</f>
        <v>0</v>
      </c>
      <c r="AO207" s="507" cm="1">
        <f t="array" ref="AO207">_xlfn.LET(_xlpm.DepreciationMonths,INDEX(FixedAssets[Depreciation
/ Amortization Months],_xlfn.XMATCH($E$186,FixedAssets[Asset ID])),IF(AND((_xlfn.XMATCH(AO$8,$AH$8:$CC$8))-_xlfn.XMATCH($C207,$C$35:$C$82)+1&lt;=_xlpm.DepreciationMonths,$C207&lt;=AO$8),$E207/_xlpm.DepreciationMonths,0))</f>
        <v>0</v>
      </c>
      <c r="AP207" s="507" cm="1">
        <f t="array" ref="AP207">_xlfn.LET(_xlpm.DepreciationMonths,INDEX(FixedAssets[Depreciation
/ Amortization Months],_xlfn.XMATCH($E$186,FixedAssets[Asset ID])),IF(AND((_xlfn.XMATCH(AP$8,$AH$8:$CC$8))-_xlfn.XMATCH($C207,$C$35:$C$82)+1&lt;=_xlpm.DepreciationMonths,$C207&lt;=AP$8),$E207/_xlpm.DepreciationMonths,0))</f>
        <v>0</v>
      </c>
      <c r="AQ207" s="507" cm="1">
        <f t="array" ref="AQ207">_xlfn.LET(_xlpm.DepreciationMonths,INDEX(FixedAssets[Depreciation
/ Amortization Months],_xlfn.XMATCH($E$186,FixedAssets[Asset ID])),IF(AND((_xlfn.XMATCH(AQ$8,$AH$8:$CC$8))-_xlfn.XMATCH($C207,$C$35:$C$82)+1&lt;=_xlpm.DepreciationMonths,$C207&lt;=AQ$8),$E207/_xlpm.DepreciationMonths,0))</f>
        <v>0</v>
      </c>
      <c r="AR207" s="507" cm="1">
        <f t="array" ref="AR207">_xlfn.LET(_xlpm.DepreciationMonths,INDEX(FixedAssets[Depreciation
/ Amortization Months],_xlfn.XMATCH($E$186,FixedAssets[Asset ID])),IF(AND((_xlfn.XMATCH(AR$8,$AH$8:$CC$8))-_xlfn.XMATCH($C207,$C$35:$C$82)+1&lt;=_xlpm.DepreciationMonths,$C207&lt;=AR$8),$E207/_xlpm.DepreciationMonths,0))</f>
        <v>0</v>
      </c>
      <c r="AS207" s="507" cm="1">
        <f t="array" ref="AS207">_xlfn.LET(_xlpm.DepreciationMonths,INDEX(FixedAssets[Depreciation
/ Amortization Months],_xlfn.XMATCH($E$186,FixedAssets[Asset ID])),IF(AND((_xlfn.XMATCH(AS$8,$AH$8:$CC$8))-_xlfn.XMATCH($C207,$C$35:$C$82)+1&lt;=_xlpm.DepreciationMonths,$C207&lt;=AS$8),$E207/_xlpm.DepreciationMonths,0))</f>
        <v>0</v>
      </c>
      <c r="AT207" s="507" cm="1">
        <f t="array" ref="AT207">_xlfn.LET(_xlpm.DepreciationMonths,INDEX(FixedAssets[Depreciation
/ Amortization Months],_xlfn.XMATCH($E$186,FixedAssets[Asset ID])),IF(AND((_xlfn.XMATCH(AT$8,$AH$8:$CC$8))-_xlfn.XMATCH($C207,$C$35:$C$82)+1&lt;=_xlpm.DepreciationMonths,$C207&lt;=AT$8),$E207/_xlpm.DepreciationMonths,0))</f>
        <v>0</v>
      </c>
      <c r="AU207" s="507" cm="1">
        <f t="array" ref="AU207">_xlfn.LET(_xlpm.DepreciationMonths,INDEX(FixedAssets[Depreciation
/ Amortization Months],_xlfn.XMATCH($E$186,FixedAssets[Asset ID])),IF(AND((_xlfn.XMATCH(AU$8,$AH$8:$CC$8))-_xlfn.XMATCH($C207,$C$35:$C$82)+1&lt;=_xlpm.DepreciationMonths,$C207&lt;=AU$8),$E207/_xlpm.DepreciationMonths,0))</f>
        <v>0</v>
      </c>
      <c r="AV207" s="507" cm="1">
        <f t="array" ref="AV207">_xlfn.LET(_xlpm.DepreciationMonths,INDEX(FixedAssets[Depreciation
/ Amortization Months],_xlfn.XMATCH($E$186,FixedAssets[Asset ID])),IF(AND((_xlfn.XMATCH(AV$8,$AH$8:$CC$8))-_xlfn.XMATCH($C207,$C$35:$C$82)+1&lt;=_xlpm.DepreciationMonths,$C207&lt;=AV$8),$E207/_xlpm.DepreciationMonths,0))</f>
        <v>0</v>
      </c>
      <c r="AW207" s="507" cm="1">
        <f t="array" ref="AW207">_xlfn.LET(_xlpm.DepreciationMonths,INDEX(FixedAssets[Depreciation
/ Amortization Months],_xlfn.XMATCH($E$186,FixedAssets[Asset ID])),IF(AND((_xlfn.XMATCH(AW$8,$AH$8:$CC$8))-_xlfn.XMATCH($C207,$C$35:$C$82)+1&lt;=_xlpm.DepreciationMonths,$C207&lt;=AW$8),$E207/_xlpm.DepreciationMonths,0))</f>
        <v>0</v>
      </c>
      <c r="AX207" s="507" cm="1">
        <f t="array" ref="AX207">_xlfn.LET(_xlpm.DepreciationMonths,INDEX(FixedAssets[Depreciation
/ Amortization Months],_xlfn.XMATCH($E$186,FixedAssets[Asset ID])),IF(AND((_xlfn.XMATCH(AX$8,$AH$8:$CC$8))-_xlfn.XMATCH($C207,$C$35:$C$82)+1&lt;=_xlpm.DepreciationMonths,$C207&lt;=AX$8),$E207/_xlpm.DepreciationMonths,0))</f>
        <v>0</v>
      </c>
      <c r="AY207" s="507" cm="1">
        <f t="array" ref="AY207">_xlfn.LET(_xlpm.DepreciationMonths,INDEX(FixedAssets[Depreciation
/ Amortization Months],_xlfn.XMATCH($E$186,FixedAssets[Asset ID])),IF(AND((_xlfn.XMATCH(AY$8,$AH$8:$CC$8))-_xlfn.XMATCH($C207,$C$35:$C$82)+1&lt;=_xlpm.DepreciationMonths,$C207&lt;=AY$8),$E207/_xlpm.DepreciationMonths,0))</f>
        <v>0</v>
      </c>
      <c r="AZ207" s="507" cm="1">
        <f t="array" ref="AZ207">_xlfn.LET(_xlpm.DepreciationMonths,INDEX(FixedAssets[Depreciation
/ Amortization Months],_xlfn.XMATCH($E$186,FixedAssets[Asset ID])),IF(AND((_xlfn.XMATCH(AZ$8,$AH$8:$CC$8))-_xlfn.XMATCH($C207,$C$35:$C$82)+1&lt;=_xlpm.DepreciationMonths,$C207&lt;=AZ$8),$E207/_xlpm.DepreciationMonths,0))</f>
        <v>0</v>
      </c>
      <c r="BA207" s="507" cm="1">
        <f t="array" ref="BA207">_xlfn.LET(_xlpm.DepreciationMonths,INDEX(FixedAssets[Depreciation
/ Amortization Months],_xlfn.XMATCH($E$186,FixedAssets[Asset ID])),IF(AND((_xlfn.XMATCH(BA$8,$AH$8:$CC$8))-_xlfn.XMATCH($C207,$C$35:$C$82)+1&lt;=_xlpm.DepreciationMonths,$C207&lt;=BA$8),$E207/_xlpm.DepreciationMonths,0))</f>
        <v>0</v>
      </c>
      <c r="BB207" s="507" cm="1">
        <f t="array" ref="BB207">_xlfn.LET(_xlpm.DepreciationMonths,INDEX(FixedAssets[Depreciation
/ Amortization Months],_xlfn.XMATCH($E$186,FixedAssets[Asset ID])),IF(AND((_xlfn.XMATCH(BB$8,$AH$8:$CC$8))-_xlfn.XMATCH($C207,$C$35:$C$82)+1&lt;=_xlpm.DepreciationMonths,$C207&lt;=BB$8),$E207/_xlpm.DepreciationMonths,0))</f>
        <v>0</v>
      </c>
      <c r="BC207" s="507" cm="1">
        <f t="array" ref="BC207">_xlfn.LET(_xlpm.DepreciationMonths,INDEX(FixedAssets[Depreciation
/ Amortization Months],_xlfn.XMATCH($E$186,FixedAssets[Asset ID])),IF(AND((_xlfn.XMATCH(BC$8,$AH$8:$CC$8))-_xlfn.XMATCH($C207,$C$35:$C$82)+1&lt;=_xlpm.DepreciationMonths,$C207&lt;=BC$8),$E207/_xlpm.DepreciationMonths,0))</f>
        <v>0</v>
      </c>
      <c r="BD207" s="507" cm="1">
        <f t="array" ref="BD207">_xlfn.LET(_xlpm.DepreciationMonths,INDEX(FixedAssets[Depreciation
/ Amortization Months],_xlfn.XMATCH($E$186,FixedAssets[Asset ID])),IF(AND((_xlfn.XMATCH(BD$8,$AH$8:$CC$8))-_xlfn.XMATCH($C207,$C$35:$C$82)+1&lt;=_xlpm.DepreciationMonths,$C207&lt;=BD$8),$E207/_xlpm.DepreciationMonths,0))</f>
        <v>0</v>
      </c>
      <c r="BE207" s="507" cm="1">
        <f t="array" ref="BE207">_xlfn.LET(_xlpm.DepreciationMonths,INDEX(FixedAssets[Depreciation
/ Amortization Months],_xlfn.XMATCH($E$186,FixedAssets[Asset ID])),IF(AND((_xlfn.XMATCH(BE$8,$AH$8:$CC$8))-_xlfn.XMATCH($C207,$C$35:$C$82)+1&lt;=_xlpm.DepreciationMonths,$C207&lt;=BE$8),$E207/_xlpm.DepreciationMonths,0))</f>
        <v>0</v>
      </c>
      <c r="BF207" s="507" cm="1">
        <f t="array" ref="BF207">_xlfn.LET(_xlpm.DepreciationMonths,INDEX(FixedAssets[Depreciation
/ Amortization Months],_xlfn.XMATCH($E$186,FixedAssets[Asset ID])),IF(AND((_xlfn.XMATCH(BF$8,$AH$8:$CC$8))-_xlfn.XMATCH($C207,$C$35:$C$82)+1&lt;=_xlpm.DepreciationMonths,$C207&lt;=BF$8),$E207/_xlpm.DepreciationMonths,0))</f>
        <v>0</v>
      </c>
      <c r="BG207" s="507" cm="1">
        <f t="array" ref="BG207">_xlfn.LET(_xlpm.DepreciationMonths,INDEX(FixedAssets[Depreciation
/ Amortization Months],_xlfn.XMATCH($E$186,FixedAssets[Asset ID])),IF(AND((_xlfn.XMATCH(BG$8,$AH$8:$CC$8))-_xlfn.XMATCH($C207,$C$35:$C$82)+1&lt;=_xlpm.DepreciationMonths,$C207&lt;=BG$8),$E207/_xlpm.DepreciationMonths,0))</f>
        <v>0</v>
      </c>
      <c r="BH207" s="507" cm="1">
        <f t="array" ref="BH207">_xlfn.LET(_xlpm.DepreciationMonths,INDEX(FixedAssets[Depreciation
/ Amortization Months],_xlfn.XMATCH($E$186,FixedAssets[Asset ID])),IF(AND((_xlfn.XMATCH(BH$8,$AH$8:$CC$8))-_xlfn.XMATCH($C207,$C$35:$C$82)+1&lt;=_xlpm.DepreciationMonths,$C207&lt;=BH$8),$E207/_xlpm.DepreciationMonths,0))</f>
        <v>0</v>
      </c>
      <c r="BI207" s="507" cm="1">
        <f t="array" ref="BI207">_xlfn.LET(_xlpm.DepreciationMonths,INDEX(FixedAssets[Depreciation
/ Amortization Months],_xlfn.XMATCH($E$186,FixedAssets[Asset ID])),IF(AND((_xlfn.XMATCH(BI$8,$AH$8:$CC$8))-_xlfn.XMATCH($C207,$C$35:$C$82)+1&lt;=_xlpm.DepreciationMonths,$C207&lt;=BI$8),$E207/_xlpm.DepreciationMonths,0))</f>
        <v>0</v>
      </c>
      <c r="BJ207" s="507" cm="1">
        <f t="array" ref="BJ207">_xlfn.LET(_xlpm.DepreciationMonths,INDEX(FixedAssets[Depreciation
/ Amortization Months],_xlfn.XMATCH($E$186,FixedAssets[Asset ID])),IF(AND((_xlfn.XMATCH(BJ$8,$AH$8:$CC$8))-_xlfn.XMATCH($C207,$C$35:$C$82)+1&lt;=_xlpm.DepreciationMonths,$C207&lt;=BJ$8),$E207/_xlpm.DepreciationMonths,0))</f>
        <v>0</v>
      </c>
      <c r="BK207" s="507" cm="1">
        <f t="array" ref="BK207">_xlfn.LET(_xlpm.DepreciationMonths,INDEX(FixedAssets[Depreciation
/ Amortization Months],_xlfn.XMATCH($E$186,FixedAssets[Asset ID])),IF(AND((_xlfn.XMATCH(BK$8,$AH$8:$CC$8))-_xlfn.XMATCH($C207,$C$35:$C$82)+1&lt;=_xlpm.DepreciationMonths,$C207&lt;=BK$8),$E207/_xlpm.DepreciationMonths,0))</f>
        <v>0</v>
      </c>
      <c r="BL207" s="507" cm="1">
        <f t="array" ref="BL207">_xlfn.LET(_xlpm.DepreciationMonths,INDEX(FixedAssets[Depreciation
/ Amortization Months],_xlfn.XMATCH($E$186,FixedAssets[Asset ID])),IF(AND((_xlfn.XMATCH(BL$8,$AH$8:$CC$8))-_xlfn.XMATCH($C207,$C$35:$C$82)+1&lt;=_xlpm.DepreciationMonths,$C207&lt;=BL$8),$E207/_xlpm.DepreciationMonths,0))</f>
        <v>0</v>
      </c>
      <c r="BM207" s="507" cm="1">
        <f t="array" ref="BM207">_xlfn.LET(_xlpm.DepreciationMonths,INDEX(FixedAssets[Depreciation
/ Amortization Months],_xlfn.XMATCH($E$186,FixedAssets[Asset ID])),IF(AND((_xlfn.XMATCH(BM$8,$AH$8:$CC$8))-_xlfn.XMATCH($C207,$C$35:$C$82)+1&lt;=_xlpm.DepreciationMonths,$C207&lt;=BM$8),$E207/_xlpm.DepreciationMonths,0))</f>
        <v>0</v>
      </c>
      <c r="BN207" s="507" cm="1">
        <f t="array" ref="BN207">_xlfn.LET(_xlpm.DepreciationMonths,INDEX(FixedAssets[Depreciation
/ Amortization Months],_xlfn.XMATCH($E$186,FixedAssets[Asset ID])),IF(AND((_xlfn.XMATCH(BN$8,$AH$8:$CC$8))-_xlfn.XMATCH($C207,$C$35:$C$82)+1&lt;=_xlpm.DepreciationMonths,$C207&lt;=BN$8),$E207/_xlpm.DepreciationMonths,0))</f>
        <v>0</v>
      </c>
      <c r="BO207" s="507" cm="1">
        <f t="array" ref="BO207">_xlfn.LET(_xlpm.DepreciationMonths,INDEX(FixedAssets[Depreciation
/ Amortization Months],_xlfn.XMATCH($E$186,FixedAssets[Asset ID])),IF(AND((_xlfn.XMATCH(BO$8,$AH$8:$CC$8))-_xlfn.XMATCH($C207,$C$35:$C$82)+1&lt;=_xlpm.DepreciationMonths,$C207&lt;=BO$8),$E207/_xlpm.DepreciationMonths,0))</f>
        <v>0</v>
      </c>
      <c r="BP207" s="507" cm="1">
        <f t="array" ref="BP207">_xlfn.LET(_xlpm.DepreciationMonths,INDEX(FixedAssets[Depreciation
/ Amortization Months],_xlfn.XMATCH($E$186,FixedAssets[Asset ID])),IF(AND((_xlfn.XMATCH(BP$8,$AH$8:$CC$8))-_xlfn.XMATCH($C207,$C$35:$C$82)+1&lt;=_xlpm.DepreciationMonths,$C207&lt;=BP$8),$E207/_xlpm.DepreciationMonths,0))</f>
        <v>0</v>
      </c>
      <c r="BQ207" s="507" cm="1">
        <f t="array" ref="BQ207">_xlfn.LET(_xlpm.DepreciationMonths,INDEX(FixedAssets[Depreciation
/ Amortization Months],_xlfn.XMATCH($E$186,FixedAssets[Asset ID])),IF(AND((_xlfn.XMATCH(BQ$8,$AH$8:$CC$8))-_xlfn.XMATCH($C207,$C$35:$C$82)+1&lt;=_xlpm.DepreciationMonths,$C207&lt;=BQ$8),$E207/_xlpm.DepreciationMonths,0))</f>
        <v>0</v>
      </c>
      <c r="BR207" s="507" cm="1">
        <f t="array" ref="BR207">_xlfn.LET(_xlpm.DepreciationMonths,INDEX(FixedAssets[Depreciation
/ Amortization Months],_xlfn.XMATCH($E$186,FixedAssets[Asset ID])),IF(AND((_xlfn.XMATCH(BR$8,$AH$8:$CC$8))-_xlfn.XMATCH($C207,$C$35:$C$82)+1&lt;=_xlpm.DepreciationMonths,$C207&lt;=BR$8),$E207/_xlpm.DepreciationMonths,0))</f>
        <v>0</v>
      </c>
      <c r="BS207" s="507" cm="1">
        <f t="array" ref="BS207">_xlfn.LET(_xlpm.DepreciationMonths,INDEX(FixedAssets[Depreciation
/ Amortization Months],_xlfn.XMATCH($E$186,FixedAssets[Asset ID])),IF(AND((_xlfn.XMATCH(BS$8,$AH$8:$CC$8))-_xlfn.XMATCH($C207,$C$35:$C$82)+1&lt;=_xlpm.DepreciationMonths,$C207&lt;=BS$8),$E207/_xlpm.DepreciationMonths,0))</f>
        <v>0</v>
      </c>
      <c r="BT207" s="507" cm="1">
        <f t="array" ref="BT207">_xlfn.LET(_xlpm.DepreciationMonths,INDEX(FixedAssets[Depreciation
/ Amortization Months],_xlfn.XMATCH($E$186,FixedAssets[Asset ID])),IF(AND((_xlfn.XMATCH(BT$8,$AH$8:$CC$8))-_xlfn.XMATCH($C207,$C$35:$C$82)+1&lt;=_xlpm.DepreciationMonths,$C207&lt;=BT$8),$E207/_xlpm.DepreciationMonths,0))</f>
        <v>0</v>
      </c>
      <c r="BU207" s="507" cm="1">
        <f t="array" ref="BU207">_xlfn.LET(_xlpm.DepreciationMonths,INDEX(FixedAssets[Depreciation
/ Amortization Months],_xlfn.XMATCH($E$186,FixedAssets[Asset ID])),IF(AND((_xlfn.XMATCH(BU$8,$AH$8:$CC$8))-_xlfn.XMATCH($C207,$C$35:$C$82)+1&lt;=_xlpm.DepreciationMonths,$C207&lt;=BU$8),$E207/_xlpm.DepreciationMonths,0))</f>
        <v>0</v>
      </c>
      <c r="BV207" s="507" cm="1">
        <f t="array" ref="BV207">_xlfn.LET(_xlpm.DepreciationMonths,INDEX(FixedAssets[Depreciation
/ Amortization Months],_xlfn.XMATCH($E$186,FixedAssets[Asset ID])),IF(AND((_xlfn.XMATCH(BV$8,$AH$8:$CC$8))-_xlfn.XMATCH($C207,$C$35:$C$82)+1&lt;=_xlpm.DepreciationMonths,$C207&lt;=BV$8),$E207/_xlpm.DepreciationMonths,0))</f>
        <v>0</v>
      </c>
      <c r="BW207" s="507" cm="1">
        <f t="array" ref="BW207">_xlfn.LET(_xlpm.DepreciationMonths,INDEX(FixedAssets[Depreciation
/ Amortization Months],_xlfn.XMATCH($E$186,FixedAssets[Asset ID])),IF(AND((_xlfn.XMATCH(BW$8,$AH$8:$CC$8))-_xlfn.XMATCH($C207,$C$35:$C$82)+1&lt;=_xlpm.DepreciationMonths,$C207&lt;=BW$8),$E207/_xlpm.DepreciationMonths,0))</f>
        <v>0</v>
      </c>
      <c r="BX207" s="507" cm="1">
        <f t="array" ref="BX207">_xlfn.LET(_xlpm.DepreciationMonths,INDEX(FixedAssets[Depreciation
/ Amortization Months],_xlfn.XMATCH($E$186,FixedAssets[Asset ID])),IF(AND((_xlfn.XMATCH(BX$8,$AH$8:$CC$8))-_xlfn.XMATCH($C207,$C$35:$C$82)+1&lt;=_xlpm.DepreciationMonths,$C207&lt;=BX$8),$E207/_xlpm.DepreciationMonths,0))</f>
        <v>0</v>
      </c>
      <c r="BY207" s="507" cm="1">
        <f t="array" ref="BY207">_xlfn.LET(_xlpm.DepreciationMonths,INDEX(FixedAssets[Depreciation
/ Amortization Months],_xlfn.XMATCH($E$186,FixedAssets[Asset ID])),IF(AND((_xlfn.XMATCH(BY$8,$AH$8:$CC$8))-_xlfn.XMATCH($C207,$C$35:$C$82)+1&lt;=_xlpm.DepreciationMonths,$C207&lt;=BY$8),$E207/_xlpm.DepreciationMonths,0))</f>
        <v>0</v>
      </c>
      <c r="BZ207" s="507" cm="1">
        <f t="array" ref="BZ207">_xlfn.LET(_xlpm.DepreciationMonths,INDEX(FixedAssets[Depreciation
/ Amortization Months],_xlfn.XMATCH($E$186,FixedAssets[Asset ID])),IF(AND((_xlfn.XMATCH(BZ$8,$AH$8:$CC$8))-_xlfn.XMATCH($C207,$C$35:$C$82)+1&lt;=_xlpm.DepreciationMonths,$C207&lt;=BZ$8),$E207/_xlpm.DepreciationMonths,0))</f>
        <v>0</v>
      </c>
      <c r="CA207" s="507" cm="1">
        <f t="array" ref="CA207">_xlfn.LET(_xlpm.DepreciationMonths,INDEX(FixedAssets[Depreciation
/ Amortization Months],_xlfn.XMATCH($E$186,FixedAssets[Asset ID])),IF(AND((_xlfn.XMATCH(CA$8,$AH$8:$CC$8))-_xlfn.XMATCH($C207,$C$35:$C$82)+1&lt;=_xlpm.DepreciationMonths,$C207&lt;=CA$8),$E207/_xlpm.DepreciationMonths,0))</f>
        <v>0</v>
      </c>
      <c r="CB207" s="507" cm="1">
        <f t="array" ref="CB207">_xlfn.LET(_xlpm.DepreciationMonths,INDEX(FixedAssets[Depreciation
/ Amortization Months],_xlfn.XMATCH($E$186,FixedAssets[Asset ID])),IF(AND((_xlfn.XMATCH(CB$8,$AH$8:$CC$8))-_xlfn.XMATCH($C207,$C$35:$C$82)+1&lt;=_xlpm.DepreciationMonths,$C207&lt;=CB$8),$E207/_xlpm.DepreciationMonths,0))</f>
        <v>0</v>
      </c>
      <c r="CC207" s="507" cm="1">
        <f t="array" ref="CC207">_xlfn.LET(_xlpm.DepreciationMonths,INDEX(FixedAssets[Depreciation
/ Amortization Months],_xlfn.XMATCH($E$186,FixedAssets[Asset ID])),IF(AND((_xlfn.XMATCH(CC$8,$AH$8:$CC$8))-_xlfn.XMATCH($C207,$C$35:$C$82)+1&lt;=_xlpm.DepreciationMonths,$C207&lt;=CC$8),$E207/_xlpm.DepreciationMonths,0))</f>
        <v>0</v>
      </c>
    </row>
    <row r="208" spans="3:81" hidden="1" outlineLevel="2">
      <c r="C208" s="664">
        <f t="shared" si="256"/>
        <v>45565</v>
      </c>
      <c r="D208" s="508"/>
      <c r="E208" s="508" cm="1">
        <f t="array" ref="E208">SUMPRODUCT(($AH$26:$CC$31)*($AH$5:$CC$5=$C208)*($E$26:$E$31=E$186))-SUMPRODUCT(($AH$26:$CC$31)*($AH$5:$CC$5=EOMONTH($C208,-1))*($E$26:$E$31=E$186))</f>
        <v>0</v>
      </c>
      <c r="F208" s="508"/>
      <c r="G208" s="508"/>
      <c r="H208" s="508"/>
      <c r="I208" s="508"/>
      <c r="J208" s="504">
        <f t="shared" si="254"/>
        <v>0</v>
      </c>
      <c r="K208" s="504">
        <f t="shared" si="254"/>
        <v>0</v>
      </c>
      <c r="L208" s="504">
        <f t="shared" si="254"/>
        <v>0</v>
      </c>
      <c r="M208" s="504">
        <f t="shared" si="254"/>
        <v>0</v>
      </c>
      <c r="N208" s="504"/>
      <c r="O208" s="504"/>
      <c r="P208" s="504">
        <f t="shared" si="258"/>
        <v>0</v>
      </c>
      <c r="Q208" s="504">
        <f t="shared" si="258"/>
        <v>0</v>
      </c>
      <c r="R208" s="504">
        <f t="shared" si="258"/>
        <v>0</v>
      </c>
      <c r="S208" s="504">
        <f t="shared" si="258"/>
        <v>0</v>
      </c>
      <c r="T208" s="504">
        <f t="shared" si="258"/>
        <v>0</v>
      </c>
      <c r="U208" s="504">
        <f t="shared" si="258"/>
        <v>0</v>
      </c>
      <c r="V208" s="504">
        <f t="shared" si="258"/>
        <v>0</v>
      </c>
      <c r="W208" s="504">
        <f t="shared" si="258"/>
        <v>0</v>
      </c>
      <c r="X208" s="504">
        <f t="shared" si="258"/>
        <v>0</v>
      </c>
      <c r="Y208" s="504">
        <f t="shared" si="258"/>
        <v>0</v>
      </c>
      <c r="Z208" s="504">
        <f t="shared" si="258"/>
        <v>0</v>
      </c>
      <c r="AA208" s="504">
        <f t="shared" si="258"/>
        <v>0</v>
      </c>
      <c r="AB208" s="504">
        <f t="shared" si="258"/>
        <v>0</v>
      </c>
      <c r="AC208" s="504">
        <f t="shared" si="258"/>
        <v>0</v>
      </c>
      <c r="AD208" s="504">
        <f t="shared" si="258"/>
        <v>0</v>
      </c>
      <c r="AE208" s="504">
        <f t="shared" si="258"/>
        <v>0</v>
      </c>
      <c r="AF208" s="508"/>
      <c r="AG208" s="508"/>
      <c r="AH208" s="507" cm="1">
        <f t="array" ref="AH208">_xlfn.LET(_xlpm.DepreciationMonths,INDEX(FixedAssets[Depreciation
/ Amortization Months],_xlfn.XMATCH($E$186,FixedAssets[Asset ID])),IF(AND((_xlfn.XMATCH(AH$8,$AH$8:$CC$8))-_xlfn.XMATCH($C208,$C$35:$C$82)+1&lt;=_xlpm.DepreciationMonths,$C208&lt;=AH$8),$E208/_xlpm.DepreciationMonths,0))</f>
        <v>0</v>
      </c>
      <c r="AI208" s="507" cm="1">
        <f t="array" ref="AI208">_xlfn.LET(_xlpm.DepreciationMonths,INDEX(FixedAssets[Depreciation
/ Amortization Months],_xlfn.XMATCH($E$186,FixedAssets[Asset ID])),IF(AND((_xlfn.XMATCH(AI$8,$AH$8:$CC$8))-_xlfn.XMATCH($C208,$C$35:$C$82)+1&lt;=_xlpm.DepreciationMonths,$C208&lt;=AI$8),$E208/_xlpm.DepreciationMonths,0))</f>
        <v>0</v>
      </c>
      <c r="AJ208" s="507" cm="1">
        <f t="array" ref="AJ208">_xlfn.LET(_xlpm.DepreciationMonths,INDEX(FixedAssets[Depreciation
/ Amortization Months],_xlfn.XMATCH($E$186,FixedAssets[Asset ID])),IF(AND((_xlfn.XMATCH(AJ$8,$AH$8:$CC$8))-_xlfn.XMATCH($C208,$C$35:$C$82)+1&lt;=_xlpm.DepreciationMonths,$C208&lt;=AJ$8),$E208/_xlpm.DepreciationMonths,0))</f>
        <v>0</v>
      </c>
      <c r="AK208" s="507" cm="1">
        <f t="array" ref="AK208">_xlfn.LET(_xlpm.DepreciationMonths,INDEX(FixedAssets[Depreciation
/ Amortization Months],_xlfn.XMATCH($E$186,FixedAssets[Asset ID])),IF(AND((_xlfn.XMATCH(AK$8,$AH$8:$CC$8))-_xlfn.XMATCH($C208,$C$35:$C$82)+1&lt;=_xlpm.DepreciationMonths,$C208&lt;=AK$8),$E208/_xlpm.DepreciationMonths,0))</f>
        <v>0</v>
      </c>
      <c r="AL208" s="507" cm="1">
        <f t="array" ref="AL208">_xlfn.LET(_xlpm.DepreciationMonths,INDEX(FixedAssets[Depreciation
/ Amortization Months],_xlfn.XMATCH($E$186,FixedAssets[Asset ID])),IF(AND((_xlfn.XMATCH(AL$8,$AH$8:$CC$8))-_xlfn.XMATCH($C208,$C$35:$C$82)+1&lt;=_xlpm.DepreciationMonths,$C208&lt;=AL$8),$E208/_xlpm.DepreciationMonths,0))</f>
        <v>0</v>
      </c>
      <c r="AM208" s="507" cm="1">
        <f t="array" ref="AM208">_xlfn.LET(_xlpm.DepreciationMonths,INDEX(FixedAssets[Depreciation
/ Amortization Months],_xlfn.XMATCH($E$186,FixedAssets[Asset ID])),IF(AND((_xlfn.XMATCH(AM$8,$AH$8:$CC$8))-_xlfn.XMATCH($C208,$C$35:$C$82)+1&lt;=_xlpm.DepreciationMonths,$C208&lt;=AM$8),$E208/_xlpm.DepreciationMonths,0))</f>
        <v>0</v>
      </c>
      <c r="AN208" s="507" cm="1">
        <f t="array" ref="AN208">_xlfn.LET(_xlpm.DepreciationMonths,INDEX(FixedAssets[Depreciation
/ Amortization Months],_xlfn.XMATCH($E$186,FixedAssets[Asset ID])),IF(AND((_xlfn.XMATCH(AN$8,$AH$8:$CC$8))-_xlfn.XMATCH($C208,$C$35:$C$82)+1&lt;=_xlpm.DepreciationMonths,$C208&lt;=AN$8),$E208/_xlpm.DepreciationMonths,0))</f>
        <v>0</v>
      </c>
      <c r="AO208" s="507" cm="1">
        <f t="array" ref="AO208">_xlfn.LET(_xlpm.DepreciationMonths,INDEX(FixedAssets[Depreciation
/ Amortization Months],_xlfn.XMATCH($E$186,FixedAssets[Asset ID])),IF(AND((_xlfn.XMATCH(AO$8,$AH$8:$CC$8))-_xlfn.XMATCH($C208,$C$35:$C$82)+1&lt;=_xlpm.DepreciationMonths,$C208&lt;=AO$8),$E208/_xlpm.DepreciationMonths,0))</f>
        <v>0</v>
      </c>
      <c r="AP208" s="507" cm="1">
        <f t="array" ref="AP208">_xlfn.LET(_xlpm.DepreciationMonths,INDEX(FixedAssets[Depreciation
/ Amortization Months],_xlfn.XMATCH($E$186,FixedAssets[Asset ID])),IF(AND((_xlfn.XMATCH(AP$8,$AH$8:$CC$8))-_xlfn.XMATCH($C208,$C$35:$C$82)+1&lt;=_xlpm.DepreciationMonths,$C208&lt;=AP$8),$E208/_xlpm.DepreciationMonths,0))</f>
        <v>0</v>
      </c>
      <c r="AQ208" s="507" cm="1">
        <f t="array" ref="AQ208">_xlfn.LET(_xlpm.DepreciationMonths,INDEX(FixedAssets[Depreciation
/ Amortization Months],_xlfn.XMATCH($E$186,FixedAssets[Asset ID])),IF(AND((_xlfn.XMATCH(AQ$8,$AH$8:$CC$8))-_xlfn.XMATCH($C208,$C$35:$C$82)+1&lt;=_xlpm.DepreciationMonths,$C208&lt;=AQ$8),$E208/_xlpm.DepreciationMonths,0))</f>
        <v>0</v>
      </c>
      <c r="AR208" s="507" cm="1">
        <f t="array" ref="AR208">_xlfn.LET(_xlpm.DepreciationMonths,INDEX(FixedAssets[Depreciation
/ Amortization Months],_xlfn.XMATCH($E$186,FixedAssets[Asset ID])),IF(AND((_xlfn.XMATCH(AR$8,$AH$8:$CC$8))-_xlfn.XMATCH($C208,$C$35:$C$82)+1&lt;=_xlpm.DepreciationMonths,$C208&lt;=AR$8),$E208/_xlpm.DepreciationMonths,0))</f>
        <v>0</v>
      </c>
      <c r="AS208" s="507" cm="1">
        <f t="array" ref="AS208">_xlfn.LET(_xlpm.DepreciationMonths,INDEX(FixedAssets[Depreciation
/ Amortization Months],_xlfn.XMATCH($E$186,FixedAssets[Asset ID])),IF(AND((_xlfn.XMATCH(AS$8,$AH$8:$CC$8))-_xlfn.XMATCH($C208,$C$35:$C$82)+1&lt;=_xlpm.DepreciationMonths,$C208&lt;=AS$8),$E208/_xlpm.DepreciationMonths,0))</f>
        <v>0</v>
      </c>
      <c r="AT208" s="507" cm="1">
        <f t="array" ref="AT208">_xlfn.LET(_xlpm.DepreciationMonths,INDEX(FixedAssets[Depreciation
/ Amortization Months],_xlfn.XMATCH($E$186,FixedAssets[Asset ID])),IF(AND((_xlfn.XMATCH(AT$8,$AH$8:$CC$8))-_xlfn.XMATCH($C208,$C$35:$C$82)+1&lt;=_xlpm.DepreciationMonths,$C208&lt;=AT$8),$E208/_xlpm.DepreciationMonths,0))</f>
        <v>0</v>
      </c>
      <c r="AU208" s="507" cm="1">
        <f t="array" ref="AU208">_xlfn.LET(_xlpm.DepreciationMonths,INDEX(FixedAssets[Depreciation
/ Amortization Months],_xlfn.XMATCH($E$186,FixedAssets[Asset ID])),IF(AND((_xlfn.XMATCH(AU$8,$AH$8:$CC$8))-_xlfn.XMATCH($C208,$C$35:$C$82)+1&lt;=_xlpm.DepreciationMonths,$C208&lt;=AU$8),$E208/_xlpm.DepreciationMonths,0))</f>
        <v>0</v>
      </c>
      <c r="AV208" s="507" cm="1">
        <f t="array" ref="AV208">_xlfn.LET(_xlpm.DepreciationMonths,INDEX(FixedAssets[Depreciation
/ Amortization Months],_xlfn.XMATCH($E$186,FixedAssets[Asset ID])),IF(AND((_xlfn.XMATCH(AV$8,$AH$8:$CC$8))-_xlfn.XMATCH($C208,$C$35:$C$82)+1&lt;=_xlpm.DepreciationMonths,$C208&lt;=AV$8),$E208/_xlpm.DepreciationMonths,0))</f>
        <v>0</v>
      </c>
      <c r="AW208" s="507" cm="1">
        <f t="array" ref="AW208">_xlfn.LET(_xlpm.DepreciationMonths,INDEX(FixedAssets[Depreciation
/ Amortization Months],_xlfn.XMATCH($E$186,FixedAssets[Asset ID])),IF(AND((_xlfn.XMATCH(AW$8,$AH$8:$CC$8))-_xlfn.XMATCH($C208,$C$35:$C$82)+1&lt;=_xlpm.DepreciationMonths,$C208&lt;=AW$8),$E208/_xlpm.DepreciationMonths,0))</f>
        <v>0</v>
      </c>
      <c r="AX208" s="507" cm="1">
        <f t="array" ref="AX208">_xlfn.LET(_xlpm.DepreciationMonths,INDEX(FixedAssets[Depreciation
/ Amortization Months],_xlfn.XMATCH($E$186,FixedAssets[Asset ID])),IF(AND((_xlfn.XMATCH(AX$8,$AH$8:$CC$8))-_xlfn.XMATCH($C208,$C$35:$C$82)+1&lt;=_xlpm.DepreciationMonths,$C208&lt;=AX$8),$E208/_xlpm.DepreciationMonths,0))</f>
        <v>0</v>
      </c>
      <c r="AY208" s="507" cm="1">
        <f t="array" ref="AY208">_xlfn.LET(_xlpm.DepreciationMonths,INDEX(FixedAssets[Depreciation
/ Amortization Months],_xlfn.XMATCH($E$186,FixedAssets[Asset ID])),IF(AND((_xlfn.XMATCH(AY$8,$AH$8:$CC$8))-_xlfn.XMATCH($C208,$C$35:$C$82)+1&lt;=_xlpm.DepreciationMonths,$C208&lt;=AY$8),$E208/_xlpm.DepreciationMonths,0))</f>
        <v>0</v>
      </c>
      <c r="AZ208" s="507" cm="1">
        <f t="array" ref="AZ208">_xlfn.LET(_xlpm.DepreciationMonths,INDEX(FixedAssets[Depreciation
/ Amortization Months],_xlfn.XMATCH($E$186,FixedAssets[Asset ID])),IF(AND((_xlfn.XMATCH(AZ$8,$AH$8:$CC$8))-_xlfn.XMATCH($C208,$C$35:$C$82)+1&lt;=_xlpm.DepreciationMonths,$C208&lt;=AZ$8),$E208/_xlpm.DepreciationMonths,0))</f>
        <v>0</v>
      </c>
      <c r="BA208" s="507" cm="1">
        <f t="array" ref="BA208">_xlfn.LET(_xlpm.DepreciationMonths,INDEX(FixedAssets[Depreciation
/ Amortization Months],_xlfn.XMATCH($E$186,FixedAssets[Asset ID])),IF(AND((_xlfn.XMATCH(BA$8,$AH$8:$CC$8))-_xlfn.XMATCH($C208,$C$35:$C$82)+1&lt;=_xlpm.DepreciationMonths,$C208&lt;=BA$8),$E208/_xlpm.DepreciationMonths,0))</f>
        <v>0</v>
      </c>
      <c r="BB208" s="507" cm="1">
        <f t="array" ref="BB208">_xlfn.LET(_xlpm.DepreciationMonths,INDEX(FixedAssets[Depreciation
/ Amortization Months],_xlfn.XMATCH($E$186,FixedAssets[Asset ID])),IF(AND((_xlfn.XMATCH(BB$8,$AH$8:$CC$8))-_xlfn.XMATCH($C208,$C$35:$C$82)+1&lt;=_xlpm.DepreciationMonths,$C208&lt;=BB$8),$E208/_xlpm.DepreciationMonths,0))</f>
        <v>0</v>
      </c>
      <c r="BC208" s="507" cm="1">
        <f t="array" ref="BC208">_xlfn.LET(_xlpm.DepreciationMonths,INDEX(FixedAssets[Depreciation
/ Amortization Months],_xlfn.XMATCH($E$186,FixedAssets[Asset ID])),IF(AND((_xlfn.XMATCH(BC$8,$AH$8:$CC$8))-_xlfn.XMATCH($C208,$C$35:$C$82)+1&lt;=_xlpm.DepreciationMonths,$C208&lt;=BC$8),$E208/_xlpm.DepreciationMonths,0))</f>
        <v>0</v>
      </c>
      <c r="BD208" s="507" cm="1">
        <f t="array" ref="BD208">_xlfn.LET(_xlpm.DepreciationMonths,INDEX(FixedAssets[Depreciation
/ Amortization Months],_xlfn.XMATCH($E$186,FixedAssets[Asset ID])),IF(AND((_xlfn.XMATCH(BD$8,$AH$8:$CC$8))-_xlfn.XMATCH($C208,$C$35:$C$82)+1&lt;=_xlpm.DepreciationMonths,$C208&lt;=BD$8),$E208/_xlpm.DepreciationMonths,0))</f>
        <v>0</v>
      </c>
      <c r="BE208" s="507" cm="1">
        <f t="array" ref="BE208">_xlfn.LET(_xlpm.DepreciationMonths,INDEX(FixedAssets[Depreciation
/ Amortization Months],_xlfn.XMATCH($E$186,FixedAssets[Asset ID])),IF(AND((_xlfn.XMATCH(BE$8,$AH$8:$CC$8))-_xlfn.XMATCH($C208,$C$35:$C$82)+1&lt;=_xlpm.DepreciationMonths,$C208&lt;=BE$8),$E208/_xlpm.DepreciationMonths,0))</f>
        <v>0</v>
      </c>
      <c r="BF208" s="507" cm="1">
        <f t="array" ref="BF208">_xlfn.LET(_xlpm.DepreciationMonths,INDEX(FixedAssets[Depreciation
/ Amortization Months],_xlfn.XMATCH($E$186,FixedAssets[Asset ID])),IF(AND((_xlfn.XMATCH(BF$8,$AH$8:$CC$8))-_xlfn.XMATCH($C208,$C$35:$C$82)+1&lt;=_xlpm.DepreciationMonths,$C208&lt;=BF$8),$E208/_xlpm.DepreciationMonths,0))</f>
        <v>0</v>
      </c>
      <c r="BG208" s="507" cm="1">
        <f t="array" ref="BG208">_xlfn.LET(_xlpm.DepreciationMonths,INDEX(FixedAssets[Depreciation
/ Amortization Months],_xlfn.XMATCH($E$186,FixedAssets[Asset ID])),IF(AND((_xlfn.XMATCH(BG$8,$AH$8:$CC$8))-_xlfn.XMATCH($C208,$C$35:$C$82)+1&lt;=_xlpm.DepreciationMonths,$C208&lt;=BG$8),$E208/_xlpm.DepreciationMonths,0))</f>
        <v>0</v>
      </c>
      <c r="BH208" s="507" cm="1">
        <f t="array" ref="BH208">_xlfn.LET(_xlpm.DepreciationMonths,INDEX(FixedAssets[Depreciation
/ Amortization Months],_xlfn.XMATCH($E$186,FixedAssets[Asset ID])),IF(AND((_xlfn.XMATCH(BH$8,$AH$8:$CC$8))-_xlfn.XMATCH($C208,$C$35:$C$82)+1&lt;=_xlpm.DepreciationMonths,$C208&lt;=BH$8),$E208/_xlpm.DepreciationMonths,0))</f>
        <v>0</v>
      </c>
      <c r="BI208" s="507" cm="1">
        <f t="array" ref="BI208">_xlfn.LET(_xlpm.DepreciationMonths,INDEX(FixedAssets[Depreciation
/ Amortization Months],_xlfn.XMATCH($E$186,FixedAssets[Asset ID])),IF(AND((_xlfn.XMATCH(BI$8,$AH$8:$CC$8))-_xlfn.XMATCH($C208,$C$35:$C$82)+1&lt;=_xlpm.DepreciationMonths,$C208&lt;=BI$8),$E208/_xlpm.DepreciationMonths,0))</f>
        <v>0</v>
      </c>
      <c r="BJ208" s="507" cm="1">
        <f t="array" ref="BJ208">_xlfn.LET(_xlpm.DepreciationMonths,INDEX(FixedAssets[Depreciation
/ Amortization Months],_xlfn.XMATCH($E$186,FixedAssets[Asset ID])),IF(AND((_xlfn.XMATCH(BJ$8,$AH$8:$CC$8))-_xlfn.XMATCH($C208,$C$35:$C$82)+1&lt;=_xlpm.DepreciationMonths,$C208&lt;=BJ$8),$E208/_xlpm.DepreciationMonths,0))</f>
        <v>0</v>
      </c>
      <c r="BK208" s="507" cm="1">
        <f t="array" ref="BK208">_xlfn.LET(_xlpm.DepreciationMonths,INDEX(FixedAssets[Depreciation
/ Amortization Months],_xlfn.XMATCH($E$186,FixedAssets[Asset ID])),IF(AND((_xlfn.XMATCH(BK$8,$AH$8:$CC$8))-_xlfn.XMATCH($C208,$C$35:$C$82)+1&lt;=_xlpm.DepreciationMonths,$C208&lt;=BK$8),$E208/_xlpm.DepreciationMonths,0))</f>
        <v>0</v>
      </c>
      <c r="BL208" s="507" cm="1">
        <f t="array" ref="BL208">_xlfn.LET(_xlpm.DepreciationMonths,INDEX(FixedAssets[Depreciation
/ Amortization Months],_xlfn.XMATCH($E$186,FixedAssets[Asset ID])),IF(AND((_xlfn.XMATCH(BL$8,$AH$8:$CC$8))-_xlfn.XMATCH($C208,$C$35:$C$82)+1&lt;=_xlpm.DepreciationMonths,$C208&lt;=BL$8),$E208/_xlpm.DepreciationMonths,0))</f>
        <v>0</v>
      </c>
      <c r="BM208" s="507" cm="1">
        <f t="array" ref="BM208">_xlfn.LET(_xlpm.DepreciationMonths,INDEX(FixedAssets[Depreciation
/ Amortization Months],_xlfn.XMATCH($E$186,FixedAssets[Asset ID])),IF(AND((_xlfn.XMATCH(BM$8,$AH$8:$CC$8))-_xlfn.XMATCH($C208,$C$35:$C$82)+1&lt;=_xlpm.DepreciationMonths,$C208&lt;=BM$8),$E208/_xlpm.DepreciationMonths,0))</f>
        <v>0</v>
      </c>
      <c r="BN208" s="507" cm="1">
        <f t="array" ref="BN208">_xlfn.LET(_xlpm.DepreciationMonths,INDEX(FixedAssets[Depreciation
/ Amortization Months],_xlfn.XMATCH($E$186,FixedAssets[Asset ID])),IF(AND((_xlfn.XMATCH(BN$8,$AH$8:$CC$8))-_xlfn.XMATCH($C208,$C$35:$C$82)+1&lt;=_xlpm.DepreciationMonths,$C208&lt;=BN$8),$E208/_xlpm.DepreciationMonths,0))</f>
        <v>0</v>
      </c>
      <c r="BO208" s="507" cm="1">
        <f t="array" ref="BO208">_xlfn.LET(_xlpm.DepreciationMonths,INDEX(FixedAssets[Depreciation
/ Amortization Months],_xlfn.XMATCH($E$186,FixedAssets[Asset ID])),IF(AND((_xlfn.XMATCH(BO$8,$AH$8:$CC$8))-_xlfn.XMATCH($C208,$C$35:$C$82)+1&lt;=_xlpm.DepreciationMonths,$C208&lt;=BO$8),$E208/_xlpm.DepreciationMonths,0))</f>
        <v>0</v>
      </c>
      <c r="BP208" s="507" cm="1">
        <f t="array" ref="BP208">_xlfn.LET(_xlpm.DepreciationMonths,INDEX(FixedAssets[Depreciation
/ Amortization Months],_xlfn.XMATCH($E$186,FixedAssets[Asset ID])),IF(AND((_xlfn.XMATCH(BP$8,$AH$8:$CC$8))-_xlfn.XMATCH($C208,$C$35:$C$82)+1&lt;=_xlpm.DepreciationMonths,$C208&lt;=BP$8),$E208/_xlpm.DepreciationMonths,0))</f>
        <v>0</v>
      </c>
      <c r="BQ208" s="507" cm="1">
        <f t="array" ref="BQ208">_xlfn.LET(_xlpm.DepreciationMonths,INDEX(FixedAssets[Depreciation
/ Amortization Months],_xlfn.XMATCH($E$186,FixedAssets[Asset ID])),IF(AND((_xlfn.XMATCH(BQ$8,$AH$8:$CC$8))-_xlfn.XMATCH($C208,$C$35:$C$82)+1&lt;=_xlpm.DepreciationMonths,$C208&lt;=BQ$8),$E208/_xlpm.DepreciationMonths,0))</f>
        <v>0</v>
      </c>
      <c r="BR208" s="507" cm="1">
        <f t="array" ref="BR208">_xlfn.LET(_xlpm.DepreciationMonths,INDEX(FixedAssets[Depreciation
/ Amortization Months],_xlfn.XMATCH($E$186,FixedAssets[Asset ID])),IF(AND((_xlfn.XMATCH(BR$8,$AH$8:$CC$8))-_xlfn.XMATCH($C208,$C$35:$C$82)+1&lt;=_xlpm.DepreciationMonths,$C208&lt;=BR$8),$E208/_xlpm.DepreciationMonths,0))</f>
        <v>0</v>
      </c>
      <c r="BS208" s="507" cm="1">
        <f t="array" ref="BS208">_xlfn.LET(_xlpm.DepreciationMonths,INDEX(FixedAssets[Depreciation
/ Amortization Months],_xlfn.XMATCH($E$186,FixedAssets[Asset ID])),IF(AND((_xlfn.XMATCH(BS$8,$AH$8:$CC$8))-_xlfn.XMATCH($C208,$C$35:$C$82)+1&lt;=_xlpm.DepreciationMonths,$C208&lt;=BS$8),$E208/_xlpm.DepreciationMonths,0))</f>
        <v>0</v>
      </c>
      <c r="BT208" s="507" cm="1">
        <f t="array" ref="BT208">_xlfn.LET(_xlpm.DepreciationMonths,INDEX(FixedAssets[Depreciation
/ Amortization Months],_xlfn.XMATCH($E$186,FixedAssets[Asset ID])),IF(AND((_xlfn.XMATCH(BT$8,$AH$8:$CC$8))-_xlfn.XMATCH($C208,$C$35:$C$82)+1&lt;=_xlpm.DepreciationMonths,$C208&lt;=BT$8),$E208/_xlpm.DepreciationMonths,0))</f>
        <v>0</v>
      </c>
      <c r="BU208" s="507" cm="1">
        <f t="array" ref="BU208">_xlfn.LET(_xlpm.DepreciationMonths,INDEX(FixedAssets[Depreciation
/ Amortization Months],_xlfn.XMATCH($E$186,FixedAssets[Asset ID])),IF(AND((_xlfn.XMATCH(BU$8,$AH$8:$CC$8))-_xlfn.XMATCH($C208,$C$35:$C$82)+1&lt;=_xlpm.DepreciationMonths,$C208&lt;=BU$8),$E208/_xlpm.DepreciationMonths,0))</f>
        <v>0</v>
      </c>
      <c r="BV208" s="507" cm="1">
        <f t="array" ref="BV208">_xlfn.LET(_xlpm.DepreciationMonths,INDEX(FixedAssets[Depreciation
/ Amortization Months],_xlfn.XMATCH($E$186,FixedAssets[Asset ID])),IF(AND((_xlfn.XMATCH(BV$8,$AH$8:$CC$8))-_xlfn.XMATCH($C208,$C$35:$C$82)+1&lt;=_xlpm.DepreciationMonths,$C208&lt;=BV$8),$E208/_xlpm.DepreciationMonths,0))</f>
        <v>0</v>
      </c>
      <c r="BW208" s="507" cm="1">
        <f t="array" ref="BW208">_xlfn.LET(_xlpm.DepreciationMonths,INDEX(FixedAssets[Depreciation
/ Amortization Months],_xlfn.XMATCH($E$186,FixedAssets[Asset ID])),IF(AND((_xlfn.XMATCH(BW$8,$AH$8:$CC$8))-_xlfn.XMATCH($C208,$C$35:$C$82)+1&lt;=_xlpm.DepreciationMonths,$C208&lt;=BW$8),$E208/_xlpm.DepreciationMonths,0))</f>
        <v>0</v>
      </c>
      <c r="BX208" s="507" cm="1">
        <f t="array" ref="BX208">_xlfn.LET(_xlpm.DepreciationMonths,INDEX(FixedAssets[Depreciation
/ Amortization Months],_xlfn.XMATCH($E$186,FixedAssets[Asset ID])),IF(AND((_xlfn.XMATCH(BX$8,$AH$8:$CC$8))-_xlfn.XMATCH($C208,$C$35:$C$82)+1&lt;=_xlpm.DepreciationMonths,$C208&lt;=BX$8),$E208/_xlpm.DepreciationMonths,0))</f>
        <v>0</v>
      </c>
      <c r="BY208" s="507" cm="1">
        <f t="array" ref="BY208">_xlfn.LET(_xlpm.DepreciationMonths,INDEX(FixedAssets[Depreciation
/ Amortization Months],_xlfn.XMATCH($E$186,FixedAssets[Asset ID])),IF(AND((_xlfn.XMATCH(BY$8,$AH$8:$CC$8))-_xlfn.XMATCH($C208,$C$35:$C$82)+1&lt;=_xlpm.DepreciationMonths,$C208&lt;=BY$8),$E208/_xlpm.DepreciationMonths,0))</f>
        <v>0</v>
      </c>
      <c r="BZ208" s="507" cm="1">
        <f t="array" ref="BZ208">_xlfn.LET(_xlpm.DepreciationMonths,INDEX(FixedAssets[Depreciation
/ Amortization Months],_xlfn.XMATCH($E$186,FixedAssets[Asset ID])),IF(AND((_xlfn.XMATCH(BZ$8,$AH$8:$CC$8))-_xlfn.XMATCH($C208,$C$35:$C$82)+1&lt;=_xlpm.DepreciationMonths,$C208&lt;=BZ$8),$E208/_xlpm.DepreciationMonths,0))</f>
        <v>0</v>
      </c>
      <c r="CA208" s="507" cm="1">
        <f t="array" ref="CA208">_xlfn.LET(_xlpm.DepreciationMonths,INDEX(FixedAssets[Depreciation
/ Amortization Months],_xlfn.XMATCH($E$186,FixedAssets[Asset ID])),IF(AND((_xlfn.XMATCH(CA$8,$AH$8:$CC$8))-_xlfn.XMATCH($C208,$C$35:$C$82)+1&lt;=_xlpm.DepreciationMonths,$C208&lt;=CA$8),$E208/_xlpm.DepreciationMonths,0))</f>
        <v>0</v>
      </c>
      <c r="CB208" s="507" cm="1">
        <f t="array" ref="CB208">_xlfn.LET(_xlpm.DepreciationMonths,INDEX(FixedAssets[Depreciation
/ Amortization Months],_xlfn.XMATCH($E$186,FixedAssets[Asset ID])),IF(AND((_xlfn.XMATCH(CB$8,$AH$8:$CC$8))-_xlfn.XMATCH($C208,$C$35:$C$82)+1&lt;=_xlpm.DepreciationMonths,$C208&lt;=CB$8),$E208/_xlpm.DepreciationMonths,0))</f>
        <v>0</v>
      </c>
      <c r="CC208" s="507" cm="1">
        <f t="array" ref="CC208">_xlfn.LET(_xlpm.DepreciationMonths,INDEX(FixedAssets[Depreciation
/ Amortization Months],_xlfn.XMATCH($E$186,FixedAssets[Asset ID])),IF(AND((_xlfn.XMATCH(CC$8,$AH$8:$CC$8))-_xlfn.XMATCH($C208,$C$35:$C$82)+1&lt;=_xlpm.DepreciationMonths,$C208&lt;=CC$8),$E208/_xlpm.DepreciationMonths,0))</f>
        <v>0</v>
      </c>
    </row>
    <row r="209" spans="3:81" hidden="1" outlineLevel="2">
      <c r="C209" s="664">
        <f t="shared" si="256"/>
        <v>45596</v>
      </c>
      <c r="D209" s="508"/>
      <c r="E209" s="508" cm="1">
        <f t="array" ref="E209">SUMPRODUCT(($AH$26:$CC$31)*($AH$5:$CC$5=$C209)*($E$26:$E$31=E$186))-SUMPRODUCT(($AH$26:$CC$31)*($AH$5:$CC$5=EOMONTH($C209,-1))*($E$26:$E$31=E$186))</f>
        <v>0</v>
      </c>
      <c r="F209" s="508"/>
      <c r="G209" s="508"/>
      <c r="H209" s="508"/>
      <c r="I209" s="508"/>
      <c r="J209" s="504">
        <f t="shared" si="254"/>
        <v>0</v>
      </c>
      <c r="K209" s="504">
        <f t="shared" si="254"/>
        <v>0</v>
      </c>
      <c r="L209" s="504">
        <f t="shared" si="254"/>
        <v>0</v>
      </c>
      <c r="M209" s="504">
        <f t="shared" si="254"/>
        <v>0</v>
      </c>
      <c r="N209" s="504"/>
      <c r="O209" s="504"/>
      <c r="P209" s="504">
        <f t="shared" si="258"/>
        <v>0</v>
      </c>
      <c r="Q209" s="504">
        <f t="shared" si="258"/>
        <v>0</v>
      </c>
      <c r="R209" s="504">
        <f t="shared" si="258"/>
        <v>0</v>
      </c>
      <c r="S209" s="504">
        <f t="shared" si="258"/>
        <v>0</v>
      </c>
      <c r="T209" s="504">
        <f t="shared" si="258"/>
        <v>0</v>
      </c>
      <c r="U209" s="504">
        <f t="shared" si="258"/>
        <v>0</v>
      </c>
      <c r="V209" s="504">
        <f t="shared" si="258"/>
        <v>0</v>
      </c>
      <c r="W209" s="504">
        <f t="shared" si="258"/>
        <v>0</v>
      </c>
      <c r="X209" s="504">
        <f t="shared" si="258"/>
        <v>0</v>
      </c>
      <c r="Y209" s="504">
        <f t="shared" si="258"/>
        <v>0</v>
      </c>
      <c r="Z209" s="504">
        <f t="shared" si="258"/>
        <v>0</v>
      </c>
      <c r="AA209" s="504">
        <f t="shared" si="258"/>
        <v>0</v>
      </c>
      <c r="AB209" s="504">
        <f t="shared" si="258"/>
        <v>0</v>
      </c>
      <c r="AC209" s="504">
        <f t="shared" si="258"/>
        <v>0</v>
      </c>
      <c r="AD209" s="504">
        <f t="shared" si="258"/>
        <v>0</v>
      </c>
      <c r="AE209" s="504">
        <f t="shared" si="258"/>
        <v>0</v>
      </c>
      <c r="AF209" s="508"/>
      <c r="AG209" s="508"/>
      <c r="AH209" s="507" cm="1">
        <f t="array" ref="AH209">_xlfn.LET(_xlpm.DepreciationMonths,INDEX(FixedAssets[Depreciation
/ Amortization Months],_xlfn.XMATCH($E$186,FixedAssets[Asset ID])),IF(AND((_xlfn.XMATCH(AH$8,$AH$8:$CC$8))-_xlfn.XMATCH($C209,$C$35:$C$82)+1&lt;=_xlpm.DepreciationMonths,$C209&lt;=AH$8),$E209/_xlpm.DepreciationMonths,0))</f>
        <v>0</v>
      </c>
      <c r="AI209" s="507" cm="1">
        <f t="array" ref="AI209">_xlfn.LET(_xlpm.DepreciationMonths,INDEX(FixedAssets[Depreciation
/ Amortization Months],_xlfn.XMATCH($E$186,FixedAssets[Asset ID])),IF(AND((_xlfn.XMATCH(AI$8,$AH$8:$CC$8))-_xlfn.XMATCH($C209,$C$35:$C$82)+1&lt;=_xlpm.DepreciationMonths,$C209&lt;=AI$8),$E209/_xlpm.DepreciationMonths,0))</f>
        <v>0</v>
      </c>
      <c r="AJ209" s="507" cm="1">
        <f t="array" ref="AJ209">_xlfn.LET(_xlpm.DepreciationMonths,INDEX(FixedAssets[Depreciation
/ Amortization Months],_xlfn.XMATCH($E$186,FixedAssets[Asset ID])),IF(AND((_xlfn.XMATCH(AJ$8,$AH$8:$CC$8))-_xlfn.XMATCH($C209,$C$35:$C$82)+1&lt;=_xlpm.DepreciationMonths,$C209&lt;=AJ$8),$E209/_xlpm.DepreciationMonths,0))</f>
        <v>0</v>
      </c>
      <c r="AK209" s="507" cm="1">
        <f t="array" ref="AK209">_xlfn.LET(_xlpm.DepreciationMonths,INDEX(FixedAssets[Depreciation
/ Amortization Months],_xlfn.XMATCH($E$186,FixedAssets[Asset ID])),IF(AND((_xlfn.XMATCH(AK$8,$AH$8:$CC$8))-_xlfn.XMATCH($C209,$C$35:$C$82)+1&lt;=_xlpm.DepreciationMonths,$C209&lt;=AK$8),$E209/_xlpm.DepreciationMonths,0))</f>
        <v>0</v>
      </c>
      <c r="AL209" s="507" cm="1">
        <f t="array" ref="AL209">_xlfn.LET(_xlpm.DepreciationMonths,INDEX(FixedAssets[Depreciation
/ Amortization Months],_xlfn.XMATCH($E$186,FixedAssets[Asset ID])),IF(AND((_xlfn.XMATCH(AL$8,$AH$8:$CC$8))-_xlfn.XMATCH($C209,$C$35:$C$82)+1&lt;=_xlpm.DepreciationMonths,$C209&lt;=AL$8),$E209/_xlpm.DepreciationMonths,0))</f>
        <v>0</v>
      </c>
      <c r="AM209" s="507" cm="1">
        <f t="array" ref="AM209">_xlfn.LET(_xlpm.DepreciationMonths,INDEX(FixedAssets[Depreciation
/ Amortization Months],_xlfn.XMATCH($E$186,FixedAssets[Asset ID])),IF(AND((_xlfn.XMATCH(AM$8,$AH$8:$CC$8))-_xlfn.XMATCH($C209,$C$35:$C$82)+1&lt;=_xlpm.DepreciationMonths,$C209&lt;=AM$8),$E209/_xlpm.DepreciationMonths,0))</f>
        <v>0</v>
      </c>
      <c r="AN209" s="507" cm="1">
        <f t="array" ref="AN209">_xlfn.LET(_xlpm.DepreciationMonths,INDEX(FixedAssets[Depreciation
/ Amortization Months],_xlfn.XMATCH($E$186,FixedAssets[Asset ID])),IF(AND((_xlfn.XMATCH(AN$8,$AH$8:$CC$8))-_xlfn.XMATCH($C209,$C$35:$C$82)+1&lt;=_xlpm.DepreciationMonths,$C209&lt;=AN$8),$E209/_xlpm.DepreciationMonths,0))</f>
        <v>0</v>
      </c>
      <c r="AO209" s="507" cm="1">
        <f t="array" ref="AO209">_xlfn.LET(_xlpm.DepreciationMonths,INDEX(FixedAssets[Depreciation
/ Amortization Months],_xlfn.XMATCH($E$186,FixedAssets[Asset ID])),IF(AND((_xlfn.XMATCH(AO$8,$AH$8:$CC$8))-_xlfn.XMATCH($C209,$C$35:$C$82)+1&lt;=_xlpm.DepreciationMonths,$C209&lt;=AO$8),$E209/_xlpm.DepreciationMonths,0))</f>
        <v>0</v>
      </c>
      <c r="AP209" s="507" cm="1">
        <f t="array" ref="AP209">_xlfn.LET(_xlpm.DepreciationMonths,INDEX(FixedAssets[Depreciation
/ Amortization Months],_xlfn.XMATCH($E$186,FixedAssets[Asset ID])),IF(AND((_xlfn.XMATCH(AP$8,$AH$8:$CC$8))-_xlfn.XMATCH($C209,$C$35:$C$82)+1&lt;=_xlpm.DepreciationMonths,$C209&lt;=AP$8),$E209/_xlpm.DepreciationMonths,0))</f>
        <v>0</v>
      </c>
      <c r="AQ209" s="507" cm="1">
        <f t="array" ref="AQ209">_xlfn.LET(_xlpm.DepreciationMonths,INDEX(FixedAssets[Depreciation
/ Amortization Months],_xlfn.XMATCH($E$186,FixedAssets[Asset ID])),IF(AND((_xlfn.XMATCH(AQ$8,$AH$8:$CC$8))-_xlfn.XMATCH($C209,$C$35:$C$82)+1&lt;=_xlpm.DepreciationMonths,$C209&lt;=AQ$8),$E209/_xlpm.DepreciationMonths,0))</f>
        <v>0</v>
      </c>
      <c r="AR209" s="507" cm="1">
        <f t="array" ref="AR209">_xlfn.LET(_xlpm.DepreciationMonths,INDEX(FixedAssets[Depreciation
/ Amortization Months],_xlfn.XMATCH($E$186,FixedAssets[Asset ID])),IF(AND((_xlfn.XMATCH(AR$8,$AH$8:$CC$8))-_xlfn.XMATCH($C209,$C$35:$C$82)+1&lt;=_xlpm.DepreciationMonths,$C209&lt;=AR$8),$E209/_xlpm.DepreciationMonths,0))</f>
        <v>0</v>
      </c>
      <c r="AS209" s="507" cm="1">
        <f t="array" ref="AS209">_xlfn.LET(_xlpm.DepreciationMonths,INDEX(FixedAssets[Depreciation
/ Amortization Months],_xlfn.XMATCH($E$186,FixedAssets[Asset ID])),IF(AND((_xlfn.XMATCH(AS$8,$AH$8:$CC$8))-_xlfn.XMATCH($C209,$C$35:$C$82)+1&lt;=_xlpm.DepreciationMonths,$C209&lt;=AS$8),$E209/_xlpm.DepreciationMonths,0))</f>
        <v>0</v>
      </c>
      <c r="AT209" s="507" cm="1">
        <f t="array" ref="AT209">_xlfn.LET(_xlpm.DepreciationMonths,INDEX(FixedAssets[Depreciation
/ Amortization Months],_xlfn.XMATCH($E$186,FixedAssets[Asset ID])),IF(AND((_xlfn.XMATCH(AT$8,$AH$8:$CC$8))-_xlfn.XMATCH($C209,$C$35:$C$82)+1&lt;=_xlpm.DepreciationMonths,$C209&lt;=AT$8),$E209/_xlpm.DepreciationMonths,0))</f>
        <v>0</v>
      </c>
      <c r="AU209" s="507" cm="1">
        <f t="array" ref="AU209">_xlfn.LET(_xlpm.DepreciationMonths,INDEX(FixedAssets[Depreciation
/ Amortization Months],_xlfn.XMATCH($E$186,FixedAssets[Asset ID])),IF(AND((_xlfn.XMATCH(AU$8,$AH$8:$CC$8))-_xlfn.XMATCH($C209,$C$35:$C$82)+1&lt;=_xlpm.DepreciationMonths,$C209&lt;=AU$8),$E209/_xlpm.DepreciationMonths,0))</f>
        <v>0</v>
      </c>
      <c r="AV209" s="507" cm="1">
        <f t="array" ref="AV209">_xlfn.LET(_xlpm.DepreciationMonths,INDEX(FixedAssets[Depreciation
/ Amortization Months],_xlfn.XMATCH($E$186,FixedAssets[Asset ID])),IF(AND((_xlfn.XMATCH(AV$8,$AH$8:$CC$8))-_xlfn.XMATCH($C209,$C$35:$C$82)+1&lt;=_xlpm.DepreciationMonths,$C209&lt;=AV$8),$E209/_xlpm.DepreciationMonths,0))</f>
        <v>0</v>
      </c>
      <c r="AW209" s="507" cm="1">
        <f t="array" ref="AW209">_xlfn.LET(_xlpm.DepreciationMonths,INDEX(FixedAssets[Depreciation
/ Amortization Months],_xlfn.XMATCH($E$186,FixedAssets[Asset ID])),IF(AND((_xlfn.XMATCH(AW$8,$AH$8:$CC$8))-_xlfn.XMATCH($C209,$C$35:$C$82)+1&lt;=_xlpm.DepreciationMonths,$C209&lt;=AW$8),$E209/_xlpm.DepreciationMonths,0))</f>
        <v>0</v>
      </c>
      <c r="AX209" s="507" cm="1">
        <f t="array" ref="AX209">_xlfn.LET(_xlpm.DepreciationMonths,INDEX(FixedAssets[Depreciation
/ Amortization Months],_xlfn.XMATCH($E$186,FixedAssets[Asset ID])),IF(AND((_xlfn.XMATCH(AX$8,$AH$8:$CC$8))-_xlfn.XMATCH($C209,$C$35:$C$82)+1&lt;=_xlpm.DepreciationMonths,$C209&lt;=AX$8),$E209/_xlpm.DepreciationMonths,0))</f>
        <v>0</v>
      </c>
      <c r="AY209" s="507" cm="1">
        <f t="array" ref="AY209">_xlfn.LET(_xlpm.DepreciationMonths,INDEX(FixedAssets[Depreciation
/ Amortization Months],_xlfn.XMATCH($E$186,FixedAssets[Asset ID])),IF(AND((_xlfn.XMATCH(AY$8,$AH$8:$CC$8))-_xlfn.XMATCH($C209,$C$35:$C$82)+1&lt;=_xlpm.DepreciationMonths,$C209&lt;=AY$8),$E209/_xlpm.DepreciationMonths,0))</f>
        <v>0</v>
      </c>
      <c r="AZ209" s="507" cm="1">
        <f t="array" ref="AZ209">_xlfn.LET(_xlpm.DepreciationMonths,INDEX(FixedAssets[Depreciation
/ Amortization Months],_xlfn.XMATCH($E$186,FixedAssets[Asset ID])),IF(AND((_xlfn.XMATCH(AZ$8,$AH$8:$CC$8))-_xlfn.XMATCH($C209,$C$35:$C$82)+1&lt;=_xlpm.DepreciationMonths,$C209&lt;=AZ$8),$E209/_xlpm.DepreciationMonths,0))</f>
        <v>0</v>
      </c>
      <c r="BA209" s="507" cm="1">
        <f t="array" ref="BA209">_xlfn.LET(_xlpm.DepreciationMonths,INDEX(FixedAssets[Depreciation
/ Amortization Months],_xlfn.XMATCH($E$186,FixedAssets[Asset ID])),IF(AND((_xlfn.XMATCH(BA$8,$AH$8:$CC$8))-_xlfn.XMATCH($C209,$C$35:$C$82)+1&lt;=_xlpm.DepreciationMonths,$C209&lt;=BA$8),$E209/_xlpm.DepreciationMonths,0))</f>
        <v>0</v>
      </c>
      <c r="BB209" s="507" cm="1">
        <f t="array" ref="BB209">_xlfn.LET(_xlpm.DepreciationMonths,INDEX(FixedAssets[Depreciation
/ Amortization Months],_xlfn.XMATCH($E$186,FixedAssets[Asset ID])),IF(AND((_xlfn.XMATCH(BB$8,$AH$8:$CC$8))-_xlfn.XMATCH($C209,$C$35:$C$82)+1&lt;=_xlpm.DepreciationMonths,$C209&lt;=BB$8),$E209/_xlpm.DepreciationMonths,0))</f>
        <v>0</v>
      </c>
      <c r="BC209" s="507" cm="1">
        <f t="array" ref="BC209">_xlfn.LET(_xlpm.DepreciationMonths,INDEX(FixedAssets[Depreciation
/ Amortization Months],_xlfn.XMATCH($E$186,FixedAssets[Asset ID])),IF(AND((_xlfn.XMATCH(BC$8,$AH$8:$CC$8))-_xlfn.XMATCH($C209,$C$35:$C$82)+1&lt;=_xlpm.DepreciationMonths,$C209&lt;=BC$8),$E209/_xlpm.DepreciationMonths,0))</f>
        <v>0</v>
      </c>
      <c r="BD209" s="507" cm="1">
        <f t="array" ref="BD209">_xlfn.LET(_xlpm.DepreciationMonths,INDEX(FixedAssets[Depreciation
/ Amortization Months],_xlfn.XMATCH($E$186,FixedAssets[Asset ID])),IF(AND((_xlfn.XMATCH(BD$8,$AH$8:$CC$8))-_xlfn.XMATCH($C209,$C$35:$C$82)+1&lt;=_xlpm.DepreciationMonths,$C209&lt;=BD$8),$E209/_xlpm.DepreciationMonths,0))</f>
        <v>0</v>
      </c>
      <c r="BE209" s="507" cm="1">
        <f t="array" ref="BE209">_xlfn.LET(_xlpm.DepreciationMonths,INDEX(FixedAssets[Depreciation
/ Amortization Months],_xlfn.XMATCH($E$186,FixedAssets[Asset ID])),IF(AND((_xlfn.XMATCH(BE$8,$AH$8:$CC$8))-_xlfn.XMATCH($C209,$C$35:$C$82)+1&lt;=_xlpm.DepreciationMonths,$C209&lt;=BE$8),$E209/_xlpm.DepreciationMonths,0))</f>
        <v>0</v>
      </c>
      <c r="BF209" s="507" cm="1">
        <f t="array" ref="BF209">_xlfn.LET(_xlpm.DepreciationMonths,INDEX(FixedAssets[Depreciation
/ Amortization Months],_xlfn.XMATCH($E$186,FixedAssets[Asset ID])),IF(AND((_xlfn.XMATCH(BF$8,$AH$8:$CC$8))-_xlfn.XMATCH($C209,$C$35:$C$82)+1&lt;=_xlpm.DepreciationMonths,$C209&lt;=BF$8),$E209/_xlpm.DepreciationMonths,0))</f>
        <v>0</v>
      </c>
      <c r="BG209" s="507" cm="1">
        <f t="array" ref="BG209">_xlfn.LET(_xlpm.DepreciationMonths,INDEX(FixedAssets[Depreciation
/ Amortization Months],_xlfn.XMATCH($E$186,FixedAssets[Asset ID])),IF(AND((_xlfn.XMATCH(BG$8,$AH$8:$CC$8))-_xlfn.XMATCH($C209,$C$35:$C$82)+1&lt;=_xlpm.DepreciationMonths,$C209&lt;=BG$8),$E209/_xlpm.DepreciationMonths,0))</f>
        <v>0</v>
      </c>
      <c r="BH209" s="507" cm="1">
        <f t="array" ref="BH209">_xlfn.LET(_xlpm.DepreciationMonths,INDEX(FixedAssets[Depreciation
/ Amortization Months],_xlfn.XMATCH($E$186,FixedAssets[Asset ID])),IF(AND((_xlfn.XMATCH(BH$8,$AH$8:$CC$8))-_xlfn.XMATCH($C209,$C$35:$C$82)+1&lt;=_xlpm.DepreciationMonths,$C209&lt;=BH$8),$E209/_xlpm.DepreciationMonths,0))</f>
        <v>0</v>
      </c>
      <c r="BI209" s="507" cm="1">
        <f t="array" ref="BI209">_xlfn.LET(_xlpm.DepreciationMonths,INDEX(FixedAssets[Depreciation
/ Amortization Months],_xlfn.XMATCH($E$186,FixedAssets[Asset ID])),IF(AND((_xlfn.XMATCH(BI$8,$AH$8:$CC$8))-_xlfn.XMATCH($C209,$C$35:$C$82)+1&lt;=_xlpm.DepreciationMonths,$C209&lt;=BI$8),$E209/_xlpm.DepreciationMonths,0))</f>
        <v>0</v>
      </c>
      <c r="BJ209" s="507" cm="1">
        <f t="array" ref="BJ209">_xlfn.LET(_xlpm.DepreciationMonths,INDEX(FixedAssets[Depreciation
/ Amortization Months],_xlfn.XMATCH($E$186,FixedAssets[Asset ID])),IF(AND((_xlfn.XMATCH(BJ$8,$AH$8:$CC$8))-_xlfn.XMATCH($C209,$C$35:$C$82)+1&lt;=_xlpm.DepreciationMonths,$C209&lt;=BJ$8),$E209/_xlpm.DepreciationMonths,0))</f>
        <v>0</v>
      </c>
      <c r="BK209" s="507" cm="1">
        <f t="array" ref="BK209">_xlfn.LET(_xlpm.DepreciationMonths,INDEX(FixedAssets[Depreciation
/ Amortization Months],_xlfn.XMATCH($E$186,FixedAssets[Asset ID])),IF(AND((_xlfn.XMATCH(BK$8,$AH$8:$CC$8))-_xlfn.XMATCH($C209,$C$35:$C$82)+1&lt;=_xlpm.DepreciationMonths,$C209&lt;=BK$8),$E209/_xlpm.DepreciationMonths,0))</f>
        <v>0</v>
      </c>
      <c r="BL209" s="507" cm="1">
        <f t="array" ref="BL209">_xlfn.LET(_xlpm.DepreciationMonths,INDEX(FixedAssets[Depreciation
/ Amortization Months],_xlfn.XMATCH($E$186,FixedAssets[Asset ID])),IF(AND((_xlfn.XMATCH(BL$8,$AH$8:$CC$8))-_xlfn.XMATCH($C209,$C$35:$C$82)+1&lt;=_xlpm.DepreciationMonths,$C209&lt;=BL$8),$E209/_xlpm.DepreciationMonths,0))</f>
        <v>0</v>
      </c>
      <c r="BM209" s="507" cm="1">
        <f t="array" ref="BM209">_xlfn.LET(_xlpm.DepreciationMonths,INDEX(FixedAssets[Depreciation
/ Amortization Months],_xlfn.XMATCH($E$186,FixedAssets[Asset ID])),IF(AND((_xlfn.XMATCH(BM$8,$AH$8:$CC$8))-_xlfn.XMATCH($C209,$C$35:$C$82)+1&lt;=_xlpm.DepreciationMonths,$C209&lt;=BM$8),$E209/_xlpm.DepreciationMonths,0))</f>
        <v>0</v>
      </c>
      <c r="BN209" s="507" cm="1">
        <f t="array" ref="BN209">_xlfn.LET(_xlpm.DepreciationMonths,INDEX(FixedAssets[Depreciation
/ Amortization Months],_xlfn.XMATCH($E$186,FixedAssets[Asset ID])),IF(AND((_xlfn.XMATCH(BN$8,$AH$8:$CC$8))-_xlfn.XMATCH($C209,$C$35:$C$82)+1&lt;=_xlpm.DepreciationMonths,$C209&lt;=BN$8),$E209/_xlpm.DepreciationMonths,0))</f>
        <v>0</v>
      </c>
      <c r="BO209" s="507" cm="1">
        <f t="array" ref="BO209">_xlfn.LET(_xlpm.DepreciationMonths,INDEX(FixedAssets[Depreciation
/ Amortization Months],_xlfn.XMATCH($E$186,FixedAssets[Asset ID])),IF(AND((_xlfn.XMATCH(BO$8,$AH$8:$CC$8))-_xlfn.XMATCH($C209,$C$35:$C$82)+1&lt;=_xlpm.DepreciationMonths,$C209&lt;=BO$8),$E209/_xlpm.DepreciationMonths,0))</f>
        <v>0</v>
      </c>
      <c r="BP209" s="507" cm="1">
        <f t="array" ref="BP209">_xlfn.LET(_xlpm.DepreciationMonths,INDEX(FixedAssets[Depreciation
/ Amortization Months],_xlfn.XMATCH($E$186,FixedAssets[Asset ID])),IF(AND((_xlfn.XMATCH(BP$8,$AH$8:$CC$8))-_xlfn.XMATCH($C209,$C$35:$C$82)+1&lt;=_xlpm.DepreciationMonths,$C209&lt;=BP$8),$E209/_xlpm.DepreciationMonths,0))</f>
        <v>0</v>
      </c>
      <c r="BQ209" s="507" cm="1">
        <f t="array" ref="BQ209">_xlfn.LET(_xlpm.DepreciationMonths,INDEX(FixedAssets[Depreciation
/ Amortization Months],_xlfn.XMATCH($E$186,FixedAssets[Asset ID])),IF(AND((_xlfn.XMATCH(BQ$8,$AH$8:$CC$8))-_xlfn.XMATCH($C209,$C$35:$C$82)+1&lt;=_xlpm.DepreciationMonths,$C209&lt;=BQ$8),$E209/_xlpm.DepreciationMonths,0))</f>
        <v>0</v>
      </c>
      <c r="BR209" s="507" cm="1">
        <f t="array" ref="BR209">_xlfn.LET(_xlpm.DepreciationMonths,INDEX(FixedAssets[Depreciation
/ Amortization Months],_xlfn.XMATCH($E$186,FixedAssets[Asset ID])),IF(AND((_xlfn.XMATCH(BR$8,$AH$8:$CC$8))-_xlfn.XMATCH($C209,$C$35:$C$82)+1&lt;=_xlpm.DepreciationMonths,$C209&lt;=BR$8),$E209/_xlpm.DepreciationMonths,0))</f>
        <v>0</v>
      </c>
      <c r="BS209" s="507" cm="1">
        <f t="array" ref="BS209">_xlfn.LET(_xlpm.DepreciationMonths,INDEX(FixedAssets[Depreciation
/ Amortization Months],_xlfn.XMATCH($E$186,FixedAssets[Asset ID])),IF(AND((_xlfn.XMATCH(BS$8,$AH$8:$CC$8))-_xlfn.XMATCH($C209,$C$35:$C$82)+1&lt;=_xlpm.DepreciationMonths,$C209&lt;=BS$8),$E209/_xlpm.DepreciationMonths,0))</f>
        <v>0</v>
      </c>
      <c r="BT209" s="507" cm="1">
        <f t="array" ref="BT209">_xlfn.LET(_xlpm.DepreciationMonths,INDEX(FixedAssets[Depreciation
/ Amortization Months],_xlfn.XMATCH($E$186,FixedAssets[Asset ID])),IF(AND((_xlfn.XMATCH(BT$8,$AH$8:$CC$8))-_xlfn.XMATCH($C209,$C$35:$C$82)+1&lt;=_xlpm.DepreciationMonths,$C209&lt;=BT$8),$E209/_xlpm.DepreciationMonths,0))</f>
        <v>0</v>
      </c>
      <c r="BU209" s="507" cm="1">
        <f t="array" ref="BU209">_xlfn.LET(_xlpm.DepreciationMonths,INDEX(FixedAssets[Depreciation
/ Amortization Months],_xlfn.XMATCH($E$186,FixedAssets[Asset ID])),IF(AND((_xlfn.XMATCH(BU$8,$AH$8:$CC$8))-_xlfn.XMATCH($C209,$C$35:$C$82)+1&lt;=_xlpm.DepreciationMonths,$C209&lt;=BU$8),$E209/_xlpm.DepreciationMonths,0))</f>
        <v>0</v>
      </c>
      <c r="BV209" s="507" cm="1">
        <f t="array" ref="BV209">_xlfn.LET(_xlpm.DepreciationMonths,INDEX(FixedAssets[Depreciation
/ Amortization Months],_xlfn.XMATCH($E$186,FixedAssets[Asset ID])),IF(AND((_xlfn.XMATCH(BV$8,$AH$8:$CC$8))-_xlfn.XMATCH($C209,$C$35:$C$82)+1&lt;=_xlpm.DepreciationMonths,$C209&lt;=BV$8),$E209/_xlpm.DepreciationMonths,0))</f>
        <v>0</v>
      </c>
      <c r="BW209" s="507" cm="1">
        <f t="array" ref="BW209">_xlfn.LET(_xlpm.DepreciationMonths,INDEX(FixedAssets[Depreciation
/ Amortization Months],_xlfn.XMATCH($E$186,FixedAssets[Asset ID])),IF(AND((_xlfn.XMATCH(BW$8,$AH$8:$CC$8))-_xlfn.XMATCH($C209,$C$35:$C$82)+1&lt;=_xlpm.DepreciationMonths,$C209&lt;=BW$8),$E209/_xlpm.DepreciationMonths,0))</f>
        <v>0</v>
      </c>
      <c r="BX209" s="507" cm="1">
        <f t="array" ref="BX209">_xlfn.LET(_xlpm.DepreciationMonths,INDEX(FixedAssets[Depreciation
/ Amortization Months],_xlfn.XMATCH($E$186,FixedAssets[Asset ID])),IF(AND((_xlfn.XMATCH(BX$8,$AH$8:$CC$8))-_xlfn.XMATCH($C209,$C$35:$C$82)+1&lt;=_xlpm.DepreciationMonths,$C209&lt;=BX$8),$E209/_xlpm.DepreciationMonths,0))</f>
        <v>0</v>
      </c>
      <c r="BY209" s="507" cm="1">
        <f t="array" ref="BY209">_xlfn.LET(_xlpm.DepreciationMonths,INDEX(FixedAssets[Depreciation
/ Amortization Months],_xlfn.XMATCH($E$186,FixedAssets[Asset ID])),IF(AND((_xlfn.XMATCH(BY$8,$AH$8:$CC$8))-_xlfn.XMATCH($C209,$C$35:$C$82)+1&lt;=_xlpm.DepreciationMonths,$C209&lt;=BY$8),$E209/_xlpm.DepreciationMonths,0))</f>
        <v>0</v>
      </c>
      <c r="BZ209" s="507" cm="1">
        <f t="array" ref="BZ209">_xlfn.LET(_xlpm.DepreciationMonths,INDEX(FixedAssets[Depreciation
/ Amortization Months],_xlfn.XMATCH($E$186,FixedAssets[Asset ID])),IF(AND((_xlfn.XMATCH(BZ$8,$AH$8:$CC$8))-_xlfn.XMATCH($C209,$C$35:$C$82)+1&lt;=_xlpm.DepreciationMonths,$C209&lt;=BZ$8),$E209/_xlpm.DepreciationMonths,0))</f>
        <v>0</v>
      </c>
      <c r="CA209" s="507" cm="1">
        <f t="array" ref="CA209">_xlfn.LET(_xlpm.DepreciationMonths,INDEX(FixedAssets[Depreciation
/ Amortization Months],_xlfn.XMATCH($E$186,FixedAssets[Asset ID])),IF(AND((_xlfn.XMATCH(CA$8,$AH$8:$CC$8))-_xlfn.XMATCH($C209,$C$35:$C$82)+1&lt;=_xlpm.DepreciationMonths,$C209&lt;=CA$8),$E209/_xlpm.DepreciationMonths,0))</f>
        <v>0</v>
      </c>
      <c r="CB209" s="507" cm="1">
        <f t="array" ref="CB209">_xlfn.LET(_xlpm.DepreciationMonths,INDEX(FixedAssets[Depreciation
/ Amortization Months],_xlfn.XMATCH($E$186,FixedAssets[Asset ID])),IF(AND((_xlfn.XMATCH(CB$8,$AH$8:$CC$8))-_xlfn.XMATCH($C209,$C$35:$C$82)+1&lt;=_xlpm.DepreciationMonths,$C209&lt;=CB$8),$E209/_xlpm.DepreciationMonths,0))</f>
        <v>0</v>
      </c>
      <c r="CC209" s="507" cm="1">
        <f t="array" ref="CC209">_xlfn.LET(_xlpm.DepreciationMonths,INDEX(FixedAssets[Depreciation
/ Amortization Months],_xlfn.XMATCH($E$186,FixedAssets[Asset ID])),IF(AND((_xlfn.XMATCH(CC$8,$AH$8:$CC$8))-_xlfn.XMATCH($C209,$C$35:$C$82)+1&lt;=_xlpm.DepreciationMonths,$C209&lt;=CC$8),$E209/_xlpm.DepreciationMonths,0))</f>
        <v>0</v>
      </c>
    </row>
    <row r="210" spans="3:81" hidden="1" outlineLevel="2">
      <c r="C210" s="664">
        <f t="shared" si="256"/>
        <v>45626</v>
      </c>
      <c r="D210" s="508"/>
      <c r="E210" s="508" cm="1">
        <f t="array" ref="E210">SUMPRODUCT(($AH$26:$CC$31)*($AH$5:$CC$5=$C210)*($E$26:$E$31=E$186))-SUMPRODUCT(($AH$26:$CC$31)*($AH$5:$CC$5=EOMONTH($C210,-1))*($E$26:$E$31=E$186))</f>
        <v>0</v>
      </c>
      <c r="F210" s="508"/>
      <c r="G210" s="508"/>
      <c r="H210" s="508"/>
      <c r="I210" s="508"/>
      <c r="J210" s="504">
        <f t="shared" si="254"/>
        <v>0</v>
      </c>
      <c r="K210" s="504">
        <f t="shared" si="254"/>
        <v>0</v>
      </c>
      <c r="L210" s="504">
        <f t="shared" si="254"/>
        <v>0</v>
      </c>
      <c r="M210" s="504">
        <f t="shared" si="254"/>
        <v>0</v>
      </c>
      <c r="N210" s="504"/>
      <c r="O210" s="504"/>
      <c r="P210" s="504">
        <f t="shared" si="258"/>
        <v>0</v>
      </c>
      <c r="Q210" s="504">
        <f t="shared" si="258"/>
        <v>0</v>
      </c>
      <c r="R210" s="504">
        <f t="shared" si="258"/>
        <v>0</v>
      </c>
      <c r="S210" s="504">
        <f t="shared" si="258"/>
        <v>0</v>
      </c>
      <c r="T210" s="504">
        <f t="shared" si="258"/>
        <v>0</v>
      </c>
      <c r="U210" s="504">
        <f t="shared" si="258"/>
        <v>0</v>
      </c>
      <c r="V210" s="504">
        <f t="shared" si="258"/>
        <v>0</v>
      </c>
      <c r="W210" s="504">
        <f t="shared" si="258"/>
        <v>0</v>
      </c>
      <c r="X210" s="504">
        <f t="shared" si="258"/>
        <v>0</v>
      </c>
      <c r="Y210" s="504">
        <f t="shared" si="258"/>
        <v>0</v>
      </c>
      <c r="Z210" s="504">
        <f t="shared" si="258"/>
        <v>0</v>
      </c>
      <c r="AA210" s="504">
        <f t="shared" si="258"/>
        <v>0</v>
      </c>
      <c r="AB210" s="504">
        <f t="shared" si="258"/>
        <v>0</v>
      </c>
      <c r="AC210" s="504">
        <f t="shared" si="258"/>
        <v>0</v>
      </c>
      <c r="AD210" s="504">
        <f t="shared" si="258"/>
        <v>0</v>
      </c>
      <c r="AE210" s="504">
        <f t="shared" si="258"/>
        <v>0</v>
      </c>
      <c r="AF210" s="508"/>
      <c r="AG210" s="508"/>
      <c r="AH210" s="507" cm="1">
        <f t="array" ref="AH210">_xlfn.LET(_xlpm.DepreciationMonths,INDEX(FixedAssets[Depreciation
/ Amortization Months],_xlfn.XMATCH($E$186,FixedAssets[Asset ID])),IF(AND((_xlfn.XMATCH(AH$8,$AH$8:$CC$8))-_xlfn.XMATCH($C210,$C$35:$C$82)+1&lt;=_xlpm.DepreciationMonths,$C210&lt;=AH$8),$E210/_xlpm.DepreciationMonths,0))</f>
        <v>0</v>
      </c>
      <c r="AI210" s="507" cm="1">
        <f t="array" ref="AI210">_xlfn.LET(_xlpm.DepreciationMonths,INDEX(FixedAssets[Depreciation
/ Amortization Months],_xlfn.XMATCH($E$186,FixedAssets[Asset ID])),IF(AND((_xlfn.XMATCH(AI$8,$AH$8:$CC$8))-_xlfn.XMATCH($C210,$C$35:$C$82)+1&lt;=_xlpm.DepreciationMonths,$C210&lt;=AI$8),$E210/_xlpm.DepreciationMonths,0))</f>
        <v>0</v>
      </c>
      <c r="AJ210" s="507" cm="1">
        <f t="array" ref="AJ210">_xlfn.LET(_xlpm.DepreciationMonths,INDEX(FixedAssets[Depreciation
/ Amortization Months],_xlfn.XMATCH($E$186,FixedAssets[Asset ID])),IF(AND((_xlfn.XMATCH(AJ$8,$AH$8:$CC$8))-_xlfn.XMATCH($C210,$C$35:$C$82)+1&lt;=_xlpm.DepreciationMonths,$C210&lt;=AJ$8),$E210/_xlpm.DepreciationMonths,0))</f>
        <v>0</v>
      </c>
      <c r="AK210" s="507" cm="1">
        <f t="array" ref="AK210">_xlfn.LET(_xlpm.DepreciationMonths,INDEX(FixedAssets[Depreciation
/ Amortization Months],_xlfn.XMATCH($E$186,FixedAssets[Asset ID])),IF(AND((_xlfn.XMATCH(AK$8,$AH$8:$CC$8))-_xlfn.XMATCH($C210,$C$35:$C$82)+1&lt;=_xlpm.DepreciationMonths,$C210&lt;=AK$8),$E210/_xlpm.DepreciationMonths,0))</f>
        <v>0</v>
      </c>
      <c r="AL210" s="507" cm="1">
        <f t="array" ref="AL210">_xlfn.LET(_xlpm.DepreciationMonths,INDEX(FixedAssets[Depreciation
/ Amortization Months],_xlfn.XMATCH($E$186,FixedAssets[Asset ID])),IF(AND((_xlfn.XMATCH(AL$8,$AH$8:$CC$8))-_xlfn.XMATCH($C210,$C$35:$C$82)+1&lt;=_xlpm.DepreciationMonths,$C210&lt;=AL$8),$E210/_xlpm.DepreciationMonths,0))</f>
        <v>0</v>
      </c>
      <c r="AM210" s="507" cm="1">
        <f t="array" ref="AM210">_xlfn.LET(_xlpm.DepreciationMonths,INDEX(FixedAssets[Depreciation
/ Amortization Months],_xlfn.XMATCH($E$186,FixedAssets[Asset ID])),IF(AND((_xlfn.XMATCH(AM$8,$AH$8:$CC$8))-_xlfn.XMATCH($C210,$C$35:$C$82)+1&lt;=_xlpm.DepreciationMonths,$C210&lt;=AM$8),$E210/_xlpm.DepreciationMonths,0))</f>
        <v>0</v>
      </c>
      <c r="AN210" s="507" cm="1">
        <f t="array" ref="AN210">_xlfn.LET(_xlpm.DepreciationMonths,INDEX(FixedAssets[Depreciation
/ Amortization Months],_xlfn.XMATCH($E$186,FixedAssets[Asset ID])),IF(AND((_xlfn.XMATCH(AN$8,$AH$8:$CC$8))-_xlfn.XMATCH($C210,$C$35:$C$82)+1&lt;=_xlpm.DepreciationMonths,$C210&lt;=AN$8),$E210/_xlpm.DepreciationMonths,0))</f>
        <v>0</v>
      </c>
      <c r="AO210" s="507" cm="1">
        <f t="array" ref="AO210">_xlfn.LET(_xlpm.DepreciationMonths,INDEX(FixedAssets[Depreciation
/ Amortization Months],_xlfn.XMATCH($E$186,FixedAssets[Asset ID])),IF(AND((_xlfn.XMATCH(AO$8,$AH$8:$CC$8))-_xlfn.XMATCH($C210,$C$35:$C$82)+1&lt;=_xlpm.DepreciationMonths,$C210&lt;=AO$8),$E210/_xlpm.DepreciationMonths,0))</f>
        <v>0</v>
      </c>
      <c r="AP210" s="507" cm="1">
        <f t="array" ref="AP210">_xlfn.LET(_xlpm.DepreciationMonths,INDEX(FixedAssets[Depreciation
/ Amortization Months],_xlfn.XMATCH($E$186,FixedAssets[Asset ID])),IF(AND((_xlfn.XMATCH(AP$8,$AH$8:$CC$8))-_xlfn.XMATCH($C210,$C$35:$C$82)+1&lt;=_xlpm.DepreciationMonths,$C210&lt;=AP$8),$E210/_xlpm.DepreciationMonths,0))</f>
        <v>0</v>
      </c>
      <c r="AQ210" s="507" cm="1">
        <f t="array" ref="AQ210">_xlfn.LET(_xlpm.DepreciationMonths,INDEX(FixedAssets[Depreciation
/ Amortization Months],_xlfn.XMATCH($E$186,FixedAssets[Asset ID])),IF(AND((_xlfn.XMATCH(AQ$8,$AH$8:$CC$8))-_xlfn.XMATCH($C210,$C$35:$C$82)+1&lt;=_xlpm.DepreciationMonths,$C210&lt;=AQ$8),$E210/_xlpm.DepreciationMonths,0))</f>
        <v>0</v>
      </c>
      <c r="AR210" s="507" cm="1">
        <f t="array" ref="AR210">_xlfn.LET(_xlpm.DepreciationMonths,INDEX(FixedAssets[Depreciation
/ Amortization Months],_xlfn.XMATCH($E$186,FixedAssets[Asset ID])),IF(AND((_xlfn.XMATCH(AR$8,$AH$8:$CC$8))-_xlfn.XMATCH($C210,$C$35:$C$82)+1&lt;=_xlpm.DepreciationMonths,$C210&lt;=AR$8),$E210/_xlpm.DepreciationMonths,0))</f>
        <v>0</v>
      </c>
      <c r="AS210" s="507" cm="1">
        <f t="array" ref="AS210">_xlfn.LET(_xlpm.DepreciationMonths,INDEX(FixedAssets[Depreciation
/ Amortization Months],_xlfn.XMATCH($E$186,FixedAssets[Asset ID])),IF(AND((_xlfn.XMATCH(AS$8,$AH$8:$CC$8))-_xlfn.XMATCH($C210,$C$35:$C$82)+1&lt;=_xlpm.DepreciationMonths,$C210&lt;=AS$8),$E210/_xlpm.DepreciationMonths,0))</f>
        <v>0</v>
      </c>
      <c r="AT210" s="507" cm="1">
        <f t="array" ref="AT210">_xlfn.LET(_xlpm.DepreciationMonths,INDEX(FixedAssets[Depreciation
/ Amortization Months],_xlfn.XMATCH($E$186,FixedAssets[Asset ID])),IF(AND((_xlfn.XMATCH(AT$8,$AH$8:$CC$8))-_xlfn.XMATCH($C210,$C$35:$C$82)+1&lt;=_xlpm.DepreciationMonths,$C210&lt;=AT$8),$E210/_xlpm.DepreciationMonths,0))</f>
        <v>0</v>
      </c>
      <c r="AU210" s="507" cm="1">
        <f t="array" ref="AU210">_xlfn.LET(_xlpm.DepreciationMonths,INDEX(FixedAssets[Depreciation
/ Amortization Months],_xlfn.XMATCH($E$186,FixedAssets[Asset ID])),IF(AND((_xlfn.XMATCH(AU$8,$AH$8:$CC$8))-_xlfn.XMATCH($C210,$C$35:$C$82)+1&lt;=_xlpm.DepreciationMonths,$C210&lt;=AU$8),$E210/_xlpm.DepreciationMonths,0))</f>
        <v>0</v>
      </c>
      <c r="AV210" s="507" cm="1">
        <f t="array" ref="AV210">_xlfn.LET(_xlpm.DepreciationMonths,INDEX(FixedAssets[Depreciation
/ Amortization Months],_xlfn.XMATCH($E$186,FixedAssets[Asset ID])),IF(AND((_xlfn.XMATCH(AV$8,$AH$8:$CC$8))-_xlfn.XMATCH($C210,$C$35:$C$82)+1&lt;=_xlpm.DepreciationMonths,$C210&lt;=AV$8),$E210/_xlpm.DepreciationMonths,0))</f>
        <v>0</v>
      </c>
      <c r="AW210" s="507" cm="1">
        <f t="array" ref="AW210">_xlfn.LET(_xlpm.DepreciationMonths,INDEX(FixedAssets[Depreciation
/ Amortization Months],_xlfn.XMATCH($E$186,FixedAssets[Asset ID])),IF(AND((_xlfn.XMATCH(AW$8,$AH$8:$CC$8))-_xlfn.XMATCH($C210,$C$35:$C$82)+1&lt;=_xlpm.DepreciationMonths,$C210&lt;=AW$8),$E210/_xlpm.DepreciationMonths,0))</f>
        <v>0</v>
      </c>
      <c r="AX210" s="507" cm="1">
        <f t="array" ref="AX210">_xlfn.LET(_xlpm.DepreciationMonths,INDEX(FixedAssets[Depreciation
/ Amortization Months],_xlfn.XMATCH($E$186,FixedAssets[Asset ID])),IF(AND((_xlfn.XMATCH(AX$8,$AH$8:$CC$8))-_xlfn.XMATCH($C210,$C$35:$C$82)+1&lt;=_xlpm.DepreciationMonths,$C210&lt;=AX$8),$E210/_xlpm.DepreciationMonths,0))</f>
        <v>0</v>
      </c>
      <c r="AY210" s="507" cm="1">
        <f t="array" ref="AY210">_xlfn.LET(_xlpm.DepreciationMonths,INDEX(FixedAssets[Depreciation
/ Amortization Months],_xlfn.XMATCH($E$186,FixedAssets[Asset ID])),IF(AND((_xlfn.XMATCH(AY$8,$AH$8:$CC$8))-_xlfn.XMATCH($C210,$C$35:$C$82)+1&lt;=_xlpm.DepreciationMonths,$C210&lt;=AY$8),$E210/_xlpm.DepreciationMonths,0))</f>
        <v>0</v>
      </c>
      <c r="AZ210" s="507" cm="1">
        <f t="array" ref="AZ210">_xlfn.LET(_xlpm.DepreciationMonths,INDEX(FixedAssets[Depreciation
/ Amortization Months],_xlfn.XMATCH($E$186,FixedAssets[Asset ID])),IF(AND((_xlfn.XMATCH(AZ$8,$AH$8:$CC$8))-_xlfn.XMATCH($C210,$C$35:$C$82)+1&lt;=_xlpm.DepreciationMonths,$C210&lt;=AZ$8),$E210/_xlpm.DepreciationMonths,0))</f>
        <v>0</v>
      </c>
      <c r="BA210" s="507" cm="1">
        <f t="array" ref="BA210">_xlfn.LET(_xlpm.DepreciationMonths,INDEX(FixedAssets[Depreciation
/ Amortization Months],_xlfn.XMATCH($E$186,FixedAssets[Asset ID])),IF(AND((_xlfn.XMATCH(BA$8,$AH$8:$CC$8))-_xlfn.XMATCH($C210,$C$35:$C$82)+1&lt;=_xlpm.DepreciationMonths,$C210&lt;=BA$8),$E210/_xlpm.DepreciationMonths,0))</f>
        <v>0</v>
      </c>
      <c r="BB210" s="507" cm="1">
        <f t="array" ref="BB210">_xlfn.LET(_xlpm.DepreciationMonths,INDEX(FixedAssets[Depreciation
/ Amortization Months],_xlfn.XMATCH($E$186,FixedAssets[Asset ID])),IF(AND((_xlfn.XMATCH(BB$8,$AH$8:$CC$8))-_xlfn.XMATCH($C210,$C$35:$C$82)+1&lt;=_xlpm.DepreciationMonths,$C210&lt;=BB$8),$E210/_xlpm.DepreciationMonths,0))</f>
        <v>0</v>
      </c>
      <c r="BC210" s="507" cm="1">
        <f t="array" ref="BC210">_xlfn.LET(_xlpm.DepreciationMonths,INDEX(FixedAssets[Depreciation
/ Amortization Months],_xlfn.XMATCH($E$186,FixedAssets[Asset ID])),IF(AND((_xlfn.XMATCH(BC$8,$AH$8:$CC$8))-_xlfn.XMATCH($C210,$C$35:$C$82)+1&lt;=_xlpm.DepreciationMonths,$C210&lt;=BC$8),$E210/_xlpm.DepreciationMonths,0))</f>
        <v>0</v>
      </c>
      <c r="BD210" s="507" cm="1">
        <f t="array" ref="BD210">_xlfn.LET(_xlpm.DepreciationMonths,INDEX(FixedAssets[Depreciation
/ Amortization Months],_xlfn.XMATCH($E$186,FixedAssets[Asset ID])),IF(AND((_xlfn.XMATCH(BD$8,$AH$8:$CC$8))-_xlfn.XMATCH($C210,$C$35:$C$82)+1&lt;=_xlpm.DepreciationMonths,$C210&lt;=BD$8),$E210/_xlpm.DepreciationMonths,0))</f>
        <v>0</v>
      </c>
      <c r="BE210" s="507" cm="1">
        <f t="array" ref="BE210">_xlfn.LET(_xlpm.DepreciationMonths,INDEX(FixedAssets[Depreciation
/ Amortization Months],_xlfn.XMATCH($E$186,FixedAssets[Asset ID])),IF(AND((_xlfn.XMATCH(BE$8,$AH$8:$CC$8))-_xlfn.XMATCH($C210,$C$35:$C$82)+1&lt;=_xlpm.DepreciationMonths,$C210&lt;=BE$8),$E210/_xlpm.DepreciationMonths,0))</f>
        <v>0</v>
      </c>
      <c r="BF210" s="507" cm="1">
        <f t="array" ref="BF210">_xlfn.LET(_xlpm.DepreciationMonths,INDEX(FixedAssets[Depreciation
/ Amortization Months],_xlfn.XMATCH($E$186,FixedAssets[Asset ID])),IF(AND((_xlfn.XMATCH(BF$8,$AH$8:$CC$8))-_xlfn.XMATCH($C210,$C$35:$C$82)+1&lt;=_xlpm.DepreciationMonths,$C210&lt;=BF$8),$E210/_xlpm.DepreciationMonths,0))</f>
        <v>0</v>
      </c>
      <c r="BG210" s="507" cm="1">
        <f t="array" ref="BG210">_xlfn.LET(_xlpm.DepreciationMonths,INDEX(FixedAssets[Depreciation
/ Amortization Months],_xlfn.XMATCH($E$186,FixedAssets[Asset ID])),IF(AND((_xlfn.XMATCH(BG$8,$AH$8:$CC$8))-_xlfn.XMATCH($C210,$C$35:$C$82)+1&lt;=_xlpm.DepreciationMonths,$C210&lt;=BG$8),$E210/_xlpm.DepreciationMonths,0))</f>
        <v>0</v>
      </c>
      <c r="BH210" s="507" cm="1">
        <f t="array" ref="BH210">_xlfn.LET(_xlpm.DepreciationMonths,INDEX(FixedAssets[Depreciation
/ Amortization Months],_xlfn.XMATCH($E$186,FixedAssets[Asset ID])),IF(AND((_xlfn.XMATCH(BH$8,$AH$8:$CC$8))-_xlfn.XMATCH($C210,$C$35:$C$82)+1&lt;=_xlpm.DepreciationMonths,$C210&lt;=BH$8),$E210/_xlpm.DepreciationMonths,0))</f>
        <v>0</v>
      </c>
      <c r="BI210" s="507" cm="1">
        <f t="array" ref="BI210">_xlfn.LET(_xlpm.DepreciationMonths,INDEX(FixedAssets[Depreciation
/ Amortization Months],_xlfn.XMATCH($E$186,FixedAssets[Asset ID])),IF(AND((_xlfn.XMATCH(BI$8,$AH$8:$CC$8))-_xlfn.XMATCH($C210,$C$35:$C$82)+1&lt;=_xlpm.DepreciationMonths,$C210&lt;=BI$8),$E210/_xlpm.DepreciationMonths,0))</f>
        <v>0</v>
      </c>
      <c r="BJ210" s="507" cm="1">
        <f t="array" ref="BJ210">_xlfn.LET(_xlpm.DepreciationMonths,INDEX(FixedAssets[Depreciation
/ Amortization Months],_xlfn.XMATCH($E$186,FixedAssets[Asset ID])),IF(AND((_xlfn.XMATCH(BJ$8,$AH$8:$CC$8))-_xlfn.XMATCH($C210,$C$35:$C$82)+1&lt;=_xlpm.DepreciationMonths,$C210&lt;=BJ$8),$E210/_xlpm.DepreciationMonths,0))</f>
        <v>0</v>
      </c>
      <c r="BK210" s="507" cm="1">
        <f t="array" ref="BK210">_xlfn.LET(_xlpm.DepreciationMonths,INDEX(FixedAssets[Depreciation
/ Amortization Months],_xlfn.XMATCH($E$186,FixedAssets[Asset ID])),IF(AND((_xlfn.XMATCH(BK$8,$AH$8:$CC$8))-_xlfn.XMATCH($C210,$C$35:$C$82)+1&lt;=_xlpm.DepreciationMonths,$C210&lt;=BK$8),$E210/_xlpm.DepreciationMonths,0))</f>
        <v>0</v>
      </c>
      <c r="BL210" s="507" cm="1">
        <f t="array" ref="BL210">_xlfn.LET(_xlpm.DepreciationMonths,INDEX(FixedAssets[Depreciation
/ Amortization Months],_xlfn.XMATCH($E$186,FixedAssets[Asset ID])),IF(AND((_xlfn.XMATCH(BL$8,$AH$8:$CC$8))-_xlfn.XMATCH($C210,$C$35:$C$82)+1&lt;=_xlpm.DepreciationMonths,$C210&lt;=BL$8),$E210/_xlpm.DepreciationMonths,0))</f>
        <v>0</v>
      </c>
      <c r="BM210" s="507" cm="1">
        <f t="array" ref="BM210">_xlfn.LET(_xlpm.DepreciationMonths,INDEX(FixedAssets[Depreciation
/ Amortization Months],_xlfn.XMATCH($E$186,FixedAssets[Asset ID])),IF(AND((_xlfn.XMATCH(BM$8,$AH$8:$CC$8))-_xlfn.XMATCH($C210,$C$35:$C$82)+1&lt;=_xlpm.DepreciationMonths,$C210&lt;=BM$8),$E210/_xlpm.DepreciationMonths,0))</f>
        <v>0</v>
      </c>
      <c r="BN210" s="507" cm="1">
        <f t="array" ref="BN210">_xlfn.LET(_xlpm.DepreciationMonths,INDEX(FixedAssets[Depreciation
/ Amortization Months],_xlfn.XMATCH($E$186,FixedAssets[Asset ID])),IF(AND((_xlfn.XMATCH(BN$8,$AH$8:$CC$8))-_xlfn.XMATCH($C210,$C$35:$C$82)+1&lt;=_xlpm.DepreciationMonths,$C210&lt;=BN$8),$E210/_xlpm.DepreciationMonths,0))</f>
        <v>0</v>
      </c>
      <c r="BO210" s="507" cm="1">
        <f t="array" ref="BO210">_xlfn.LET(_xlpm.DepreciationMonths,INDEX(FixedAssets[Depreciation
/ Amortization Months],_xlfn.XMATCH($E$186,FixedAssets[Asset ID])),IF(AND((_xlfn.XMATCH(BO$8,$AH$8:$CC$8))-_xlfn.XMATCH($C210,$C$35:$C$82)+1&lt;=_xlpm.DepreciationMonths,$C210&lt;=BO$8),$E210/_xlpm.DepreciationMonths,0))</f>
        <v>0</v>
      </c>
      <c r="BP210" s="507" cm="1">
        <f t="array" ref="BP210">_xlfn.LET(_xlpm.DepreciationMonths,INDEX(FixedAssets[Depreciation
/ Amortization Months],_xlfn.XMATCH($E$186,FixedAssets[Asset ID])),IF(AND((_xlfn.XMATCH(BP$8,$AH$8:$CC$8))-_xlfn.XMATCH($C210,$C$35:$C$82)+1&lt;=_xlpm.DepreciationMonths,$C210&lt;=BP$8),$E210/_xlpm.DepreciationMonths,0))</f>
        <v>0</v>
      </c>
      <c r="BQ210" s="507" cm="1">
        <f t="array" ref="BQ210">_xlfn.LET(_xlpm.DepreciationMonths,INDEX(FixedAssets[Depreciation
/ Amortization Months],_xlfn.XMATCH($E$186,FixedAssets[Asset ID])),IF(AND((_xlfn.XMATCH(BQ$8,$AH$8:$CC$8))-_xlfn.XMATCH($C210,$C$35:$C$82)+1&lt;=_xlpm.DepreciationMonths,$C210&lt;=BQ$8),$E210/_xlpm.DepreciationMonths,0))</f>
        <v>0</v>
      </c>
      <c r="BR210" s="507" cm="1">
        <f t="array" ref="BR210">_xlfn.LET(_xlpm.DepreciationMonths,INDEX(FixedAssets[Depreciation
/ Amortization Months],_xlfn.XMATCH($E$186,FixedAssets[Asset ID])),IF(AND((_xlfn.XMATCH(BR$8,$AH$8:$CC$8))-_xlfn.XMATCH($C210,$C$35:$C$82)+1&lt;=_xlpm.DepreciationMonths,$C210&lt;=BR$8),$E210/_xlpm.DepreciationMonths,0))</f>
        <v>0</v>
      </c>
      <c r="BS210" s="507" cm="1">
        <f t="array" ref="BS210">_xlfn.LET(_xlpm.DepreciationMonths,INDEX(FixedAssets[Depreciation
/ Amortization Months],_xlfn.XMATCH($E$186,FixedAssets[Asset ID])),IF(AND((_xlfn.XMATCH(BS$8,$AH$8:$CC$8))-_xlfn.XMATCH($C210,$C$35:$C$82)+1&lt;=_xlpm.DepreciationMonths,$C210&lt;=BS$8),$E210/_xlpm.DepreciationMonths,0))</f>
        <v>0</v>
      </c>
      <c r="BT210" s="507" cm="1">
        <f t="array" ref="BT210">_xlfn.LET(_xlpm.DepreciationMonths,INDEX(FixedAssets[Depreciation
/ Amortization Months],_xlfn.XMATCH($E$186,FixedAssets[Asset ID])),IF(AND((_xlfn.XMATCH(BT$8,$AH$8:$CC$8))-_xlfn.XMATCH($C210,$C$35:$C$82)+1&lt;=_xlpm.DepreciationMonths,$C210&lt;=BT$8),$E210/_xlpm.DepreciationMonths,0))</f>
        <v>0</v>
      </c>
      <c r="BU210" s="507" cm="1">
        <f t="array" ref="BU210">_xlfn.LET(_xlpm.DepreciationMonths,INDEX(FixedAssets[Depreciation
/ Amortization Months],_xlfn.XMATCH($E$186,FixedAssets[Asset ID])),IF(AND((_xlfn.XMATCH(BU$8,$AH$8:$CC$8))-_xlfn.XMATCH($C210,$C$35:$C$82)+1&lt;=_xlpm.DepreciationMonths,$C210&lt;=BU$8),$E210/_xlpm.DepreciationMonths,0))</f>
        <v>0</v>
      </c>
      <c r="BV210" s="507" cm="1">
        <f t="array" ref="BV210">_xlfn.LET(_xlpm.DepreciationMonths,INDEX(FixedAssets[Depreciation
/ Amortization Months],_xlfn.XMATCH($E$186,FixedAssets[Asset ID])),IF(AND((_xlfn.XMATCH(BV$8,$AH$8:$CC$8))-_xlfn.XMATCH($C210,$C$35:$C$82)+1&lt;=_xlpm.DepreciationMonths,$C210&lt;=BV$8),$E210/_xlpm.DepreciationMonths,0))</f>
        <v>0</v>
      </c>
      <c r="BW210" s="507" cm="1">
        <f t="array" ref="BW210">_xlfn.LET(_xlpm.DepreciationMonths,INDEX(FixedAssets[Depreciation
/ Amortization Months],_xlfn.XMATCH($E$186,FixedAssets[Asset ID])),IF(AND((_xlfn.XMATCH(BW$8,$AH$8:$CC$8))-_xlfn.XMATCH($C210,$C$35:$C$82)+1&lt;=_xlpm.DepreciationMonths,$C210&lt;=BW$8),$E210/_xlpm.DepreciationMonths,0))</f>
        <v>0</v>
      </c>
      <c r="BX210" s="507" cm="1">
        <f t="array" ref="BX210">_xlfn.LET(_xlpm.DepreciationMonths,INDEX(FixedAssets[Depreciation
/ Amortization Months],_xlfn.XMATCH($E$186,FixedAssets[Asset ID])),IF(AND((_xlfn.XMATCH(BX$8,$AH$8:$CC$8))-_xlfn.XMATCH($C210,$C$35:$C$82)+1&lt;=_xlpm.DepreciationMonths,$C210&lt;=BX$8),$E210/_xlpm.DepreciationMonths,0))</f>
        <v>0</v>
      </c>
      <c r="BY210" s="507" cm="1">
        <f t="array" ref="BY210">_xlfn.LET(_xlpm.DepreciationMonths,INDEX(FixedAssets[Depreciation
/ Amortization Months],_xlfn.XMATCH($E$186,FixedAssets[Asset ID])),IF(AND((_xlfn.XMATCH(BY$8,$AH$8:$CC$8))-_xlfn.XMATCH($C210,$C$35:$C$82)+1&lt;=_xlpm.DepreciationMonths,$C210&lt;=BY$8),$E210/_xlpm.DepreciationMonths,0))</f>
        <v>0</v>
      </c>
      <c r="BZ210" s="507" cm="1">
        <f t="array" ref="BZ210">_xlfn.LET(_xlpm.DepreciationMonths,INDEX(FixedAssets[Depreciation
/ Amortization Months],_xlfn.XMATCH($E$186,FixedAssets[Asset ID])),IF(AND((_xlfn.XMATCH(BZ$8,$AH$8:$CC$8))-_xlfn.XMATCH($C210,$C$35:$C$82)+1&lt;=_xlpm.DepreciationMonths,$C210&lt;=BZ$8),$E210/_xlpm.DepreciationMonths,0))</f>
        <v>0</v>
      </c>
      <c r="CA210" s="507" cm="1">
        <f t="array" ref="CA210">_xlfn.LET(_xlpm.DepreciationMonths,INDEX(FixedAssets[Depreciation
/ Amortization Months],_xlfn.XMATCH($E$186,FixedAssets[Asset ID])),IF(AND((_xlfn.XMATCH(CA$8,$AH$8:$CC$8))-_xlfn.XMATCH($C210,$C$35:$C$82)+1&lt;=_xlpm.DepreciationMonths,$C210&lt;=CA$8),$E210/_xlpm.DepreciationMonths,0))</f>
        <v>0</v>
      </c>
      <c r="CB210" s="507" cm="1">
        <f t="array" ref="CB210">_xlfn.LET(_xlpm.DepreciationMonths,INDEX(FixedAssets[Depreciation
/ Amortization Months],_xlfn.XMATCH($E$186,FixedAssets[Asset ID])),IF(AND((_xlfn.XMATCH(CB$8,$AH$8:$CC$8))-_xlfn.XMATCH($C210,$C$35:$C$82)+1&lt;=_xlpm.DepreciationMonths,$C210&lt;=CB$8),$E210/_xlpm.DepreciationMonths,0))</f>
        <v>0</v>
      </c>
      <c r="CC210" s="507" cm="1">
        <f t="array" ref="CC210">_xlfn.LET(_xlpm.DepreciationMonths,INDEX(FixedAssets[Depreciation
/ Amortization Months],_xlfn.XMATCH($E$186,FixedAssets[Asset ID])),IF(AND((_xlfn.XMATCH(CC$8,$AH$8:$CC$8))-_xlfn.XMATCH($C210,$C$35:$C$82)+1&lt;=_xlpm.DepreciationMonths,$C210&lt;=CC$8),$E210/_xlpm.DepreciationMonths,0))</f>
        <v>0</v>
      </c>
    </row>
    <row r="211" spans="3:81" hidden="1" outlineLevel="2">
      <c r="C211" s="664">
        <f t="shared" si="256"/>
        <v>45657</v>
      </c>
      <c r="D211" s="508"/>
      <c r="E211" s="508" cm="1">
        <f t="array" ref="E211">SUMPRODUCT(($AH$26:$CC$31)*($AH$5:$CC$5=$C211)*($E$26:$E$31=E$186))-SUMPRODUCT(($AH$26:$CC$31)*($AH$5:$CC$5=EOMONTH($C211,-1))*($E$26:$E$31=E$186))</f>
        <v>0</v>
      </c>
      <c r="F211" s="508"/>
      <c r="G211" s="508"/>
      <c r="H211" s="508"/>
      <c r="I211" s="508"/>
      <c r="J211" s="504">
        <f t="shared" si="254"/>
        <v>0</v>
      </c>
      <c r="K211" s="504">
        <f t="shared" si="254"/>
        <v>0</v>
      </c>
      <c r="L211" s="504">
        <f t="shared" si="254"/>
        <v>0</v>
      </c>
      <c r="M211" s="504">
        <f t="shared" si="254"/>
        <v>0</v>
      </c>
      <c r="N211" s="504"/>
      <c r="O211" s="504"/>
      <c r="P211" s="504">
        <f t="shared" si="258"/>
        <v>0</v>
      </c>
      <c r="Q211" s="504">
        <f t="shared" si="258"/>
        <v>0</v>
      </c>
      <c r="R211" s="504">
        <f t="shared" si="258"/>
        <v>0</v>
      </c>
      <c r="S211" s="504">
        <f t="shared" si="258"/>
        <v>0</v>
      </c>
      <c r="T211" s="504">
        <f t="shared" si="258"/>
        <v>0</v>
      </c>
      <c r="U211" s="504">
        <f t="shared" si="258"/>
        <v>0</v>
      </c>
      <c r="V211" s="504">
        <f t="shared" si="258"/>
        <v>0</v>
      </c>
      <c r="W211" s="504">
        <f t="shared" si="258"/>
        <v>0</v>
      </c>
      <c r="X211" s="504">
        <f t="shared" si="258"/>
        <v>0</v>
      </c>
      <c r="Y211" s="504">
        <f t="shared" si="258"/>
        <v>0</v>
      </c>
      <c r="Z211" s="504">
        <f t="shared" si="258"/>
        <v>0</v>
      </c>
      <c r="AA211" s="504">
        <f t="shared" si="258"/>
        <v>0</v>
      </c>
      <c r="AB211" s="504">
        <f t="shared" si="258"/>
        <v>0</v>
      </c>
      <c r="AC211" s="504">
        <f t="shared" si="258"/>
        <v>0</v>
      </c>
      <c r="AD211" s="504">
        <f t="shared" si="258"/>
        <v>0</v>
      </c>
      <c r="AE211" s="504">
        <f t="shared" si="258"/>
        <v>0</v>
      </c>
      <c r="AF211" s="508"/>
      <c r="AG211" s="508"/>
      <c r="AH211" s="507" cm="1">
        <f t="array" ref="AH211">_xlfn.LET(_xlpm.DepreciationMonths,INDEX(FixedAssets[Depreciation
/ Amortization Months],_xlfn.XMATCH($E$186,FixedAssets[Asset ID])),IF(AND((_xlfn.XMATCH(AH$8,$AH$8:$CC$8))-_xlfn.XMATCH($C211,$C$35:$C$82)+1&lt;=_xlpm.DepreciationMonths,$C211&lt;=AH$8),$E211/_xlpm.DepreciationMonths,0))</f>
        <v>0</v>
      </c>
      <c r="AI211" s="507" cm="1">
        <f t="array" ref="AI211">_xlfn.LET(_xlpm.DepreciationMonths,INDEX(FixedAssets[Depreciation
/ Amortization Months],_xlfn.XMATCH($E$186,FixedAssets[Asset ID])),IF(AND((_xlfn.XMATCH(AI$8,$AH$8:$CC$8))-_xlfn.XMATCH($C211,$C$35:$C$82)+1&lt;=_xlpm.DepreciationMonths,$C211&lt;=AI$8),$E211/_xlpm.DepreciationMonths,0))</f>
        <v>0</v>
      </c>
      <c r="AJ211" s="507" cm="1">
        <f t="array" ref="AJ211">_xlfn.LET(_xlpm.DepreciationMonths,INDEX(FixedAssets[Depreciation
/ Amortization Months],_xlfn.XMATCH($E$186,FixedAssets[Asset ID])),IF(AND((_xlfn.XMATCH(AJ$8,$AH$8:$CC$8))-_xlfn.XMATCH($C211,$C$35:$C$82)+1&lt;=_xlpm.DepreciationMonths,$C211&lt;=AJ$8),$E211/_xlpm.DepreciationMonths,0))</f>
        <v>0</v>
      </c>
      <c r="AK211" s="507" cm="1">
        <f t="array" ref="AK211">_xlfn.LET(_xlpm.DepreciationMonths,INDEX(FixedAssets[Depreciation
/ Amortization Months],_xlfn.XMATCH($E$186,FixedAssets[Asset ID])),IF(AND((_xlfn.XMATCH(AK$8,$AH$8:$CC$8))-_xlfn.XMATCH($C211,$C$35:$C$82)+1&lt;=_xlpm.DepreciationMonths,$C211&lt;=AK$8),$E211/_xlpm.DepreciationMonths,0))</f>
        <v>0</v>
      </c>
      <c r="AL211" s="507" cm="1">
        <f t="array" ref="AL211">_xlfn.LET(_xlpm.DepreciationMonths,INDEX(FixedAssets[Depreciation
/ Amortization Months],_xlfn.XMATCH($E$186,FixedAssets[Asset ID])),IF(AND((_xlfn.XMATCH(AL$8,$AH$8:$CC$8))-_xlfn.XMATCH($C211,$C$35:$C$82)+1&lt;=_xlpm.DepreciationMonths,$C211&lt;=AL$8),$E211/_xlpm.DepreciationMonths,0))</f>
        <v>0</v>
      </c>
      <c r="AM211" s="507" cm="1">
        <f t="array" ref="AM211">_xlfn.LET(_xlpm.DepreciationMonths,INDEX(FixedAssets[Depreciation
/ Amortization Months],_xlfn.XMATCH($E$186,FixedAssets[Asset ID])),IF(AND((_xlfn.XMATCH(AM$8,$AH$8:$CC$8))-_xlfn.XMATCH($C211,$C$35:$C$82)+1&lt;=_xlpm.DepreciationMonths,$C211&lt;=AM$8),$E211/_xlpm.DepreciationMonths,0))</f>
        <v>0</v>
      </c>
      <c r="AN211" s="507" cm="1">
        <f t="array" ref="AN211">_xlfn.LET(_xlpm.DepreciationMonths,INDEX(FixedAssets[Depreciation
/ Amortization Months],_xlfn.XMATCH($E$186,FixedAssets[Asset ID])),IF(AND((_xlfn.XMATCH(AN$8,$AH$8:$CC$8))-_xlfn.XMATCH($C211,$C$35:$C$82)+1&lt;=_xlpm.DepreciationMonths,$C211&lt;=AN$8),$E211/_xlpm.DepreciationMonths,0))</f>
        <v>0</v>
      </c>
      <c r="AO211" s="507" cm="1">
        <f t="array" ref="AO211">_xlfn.LET(_xlpm.DepreciationMonths,INDEX(FixedAssets[Depreciation
/ Amortization Months],_xlfn.XMATCH($E$186,FixedAssets[Asset ID])),IF(AND((_xlfn.XMATCH(AO$8,$AH$8:$CC$8))-_xlfn.XMATCH($C211,$C$35:$C$82)+1&lt;=_xlpm.DepreciationMonths,$C211&lt;=AO$8),$E211/_xlpm.DepreciationMonths,0))</f>
        <v>0</v>
      </c>
      <c r="AP211" s="507" cm="1">
        <f t="array" ref="AP211">_xlfn.LET(_xlpm.DepreciationMonths,INDEX(FixedAssets[Depreciation
/ Amortization Months],_xlfn.XMATCH($E$186,FixedAssets[Asset ID])),IF(AND((_xlfn.XMATCH(AP$8,$AH$8:$CC$8))-_xlfn.XMATCH($C211,$C$35:$C$82)+1&lt;=_xlpm.DepreciationMonths,$C211&lt;=AP$8),$E211/_xlpm.DepreciationMonths,0))</f>
        <v>0</v>
      </c>
      <c r="AQ211" s="507" cm="1">
        <f t="array" ref="AQ211">_xlfn.LET(_xlpm.DepreciationMonths,INDEX(FixedAssets[Depreciation
/ Amortization Months],_xlfn.XMATCH($E$186,FixedAssets[Asset ID])),IF(AND((_xlfn.XMATCH(AQ$8,$AH$8:$CC$8))-_xlfn.XMATCH($C211,$C$35:$C$82)+1&lt;=_xlpm.DepreciationMonths,$C211&lt;=AQ$8),$E211/_xlpm.DepreciationMonths,0))</f>
        <v>0</v>
      </c>
      <c r="AR211" s="507" cm="1">
        <f t="array" ref="AR211">_xlfn.LET(_xlpm.DepreciationMonths,INDEX(FixedAssets[Depreciation
/ Amortization Months],_xlfn.XMATCH($E$186,FixedAssets[Asset ID])),IF(AND((_xlfn.XMATCH(AR$8,$AH$8:$CC$8))-_xlfn.XMATCH($C211,$C$35:$C$82)+1&lt;=_xlpm.DepreciationMonths,$C211&lt;=AR$8),$E211/_xlpm.DepreciationMonths,0))</f>
        <v>0</v>
      </c>
      <c r="AS211" s="507" cm="1">
        <f t="array" ref="AS211">_xlfn.LET(_xlpm.DepreciationMonths,INDEX(FixedAssets[Depreciation
/ Amortization Months],_xlfn.XMATCH($E$186,FixedAssets[Asset ID])),IF(AND((_xlfn.XMATCH(AS$8,$AH$8:$CC$8))-_xlfn.XMATCH($C211,$C$35:$C$82)+1&lt;=_xlpm.DepreciationMonths,$C211&lt;=AS$8),$E211/_xlpm.DepreciationMonths,0))</f>
        <v>0</v>
      </c>
      <c r="AT211" s="507" cm="1">
        <f t="array" ref="AT211">_xlfn.LET(_xlpm.DepreciationMonths,INDEX(FixedAssets[Depreciation
/ Amortization Months],_xlfn.XMATCH($E$186,FixedAssets[Asset ID])),IF(AND((_xlfn.XMATCH(AT$8,$AH$8:$CC$8))-_xlfn.XMATCH($C211,$C$35:$C$82)+1&lt;=_xlpm.DepreciationMonths,$C211&lt;=AT$8),$E211/_xlpm.DepreciationMonths,0))</f>
        <v>0</v>
      </c>
      <c r="AU211" s="507" cm="1">
        <f t="array" ref="AU211">_xlfn.LET(_xlpm.DepreciationMonths,INDEX(FixedAssets[Depreciation
/ Amortization Months],_xlfn.XMATCH($E$186,FixedAssets[Asset ID])),IF(AND((_xlfn.XMATCH(AU$8,$AH$8:$CC$8))-_xlfn.XMATCH($C211,$C$35:$C$82)+1&lt;=_xlpm.DepreciationMonths,$C211&lt;=AU$8),$E211/_xlpm.DepreciationMonths,0))</f>
        <v>0</v>
      </c>
      <c r="AV211" s="507" cm="1">
        <f t="array" ref="AV211">_xlfn.LET(_xlpm.DepreciationMonths,INDEX(FixedAssets[Depreciation
/ Amortization Months],_xlfn.XMATCH($E$186,FixedAssets[Asset ID])),IF(AND((_xlfn.XMATCH(AV$8,$AH$8:$CC$8))-_xlfn.XMATCH($C211,$C$35:$C$82)+1&lt;=_xlpm.DepreciationMonths,$C211&lt;=AV$8),$E211/_xlpm.DepreciationMonths,0))</f>
        <v>0</v>
      </c>
      <c r="AW211" s="507" cm="1">
        <f t="array" ref="AW211">_xlfn.LET(_xlpm.DepreciationMonths,INDEX(FixedAssets[Depreciation
/ Amortization Months],_xlfn.XMATCH($E$186,FixedAssets[Asset ID])),IF(AND((_xlfn.XMATCH(AW$8,$AH$8:$CC$8))-_xlfn.XMATCH($C211,$C$35:$C$82)+1&lt;=_xlpm.DepreciationMonths,$C211&lt;=AW$8),$E211/_xlpm.DepreciationMonths,0))</f>
        <v>0</v>
      </c>
      <c r="AX211" s="507" cm="1">
        <f t="array" ref="AX211">_xlfn.LET(_xlpm.DepreciationMonths,INDEX(FixedAssets[Depreciation
/ Amortization Months],_xlfn.XMATCH($E$186,FixedAssets[Asset ID])),IF(AND((_xlfn.XMATCH(AX$8,$AH$8:$CC$8))-_xlfn.XMATCH($C211,$C$35:$C$82)+1&lt;=_xlpm.DepreciationMonths,$C211&lt;=AX$8),$E211/_xlpm.DepreciationMonths,0))</f>
        <v>0</v>
      </c>
      <c r="AY211" s="507" cm="1">
        <f t="array" ref="AY211">_xlfn.LET(_xlpm.DepreciationMonths,INDEX(FixedAssets[Depreciation
/ Amortization Months],_xlfn.XMATCH($E$186,FixedAssets[Asset ID])),IF(AND((_xlfn.XMATCH(AY$8,$AH$8:$CC$8))-_xlfn.XMATCH($C211,$C$35:$C$82)+1&lt;=_xlpm.DepreciationMonths,$C211&lt;=AY$8),$E211/_xlpm.DepreciationMonths,0))</f>
        <v>0</v>
      </c>
      <c r="AZ211" s="507" cm="1">
        <f t="array" ref="AZ211">_xlfn.LET(_xlpm.DepreciationMonths,INDEX(FixedAssets[Depreciation
/ Amortization Months],_xlfn.XMATCH($E$186,FixedAssets[Asset ID])),IF(AND((_xlfn.XMATCH(AZ$8,$AH$8:$CC$8))-_xlfn.XMATCH($C211,$C$35:$C$82)+1&lt;=_xlpm.DepreciationMonths,$C211&lt;=AZ$8),$E211/_xlpm.DepreciationMonths,0))</f>
        <v>0</v>
      </c>
      <c r="BA211" s="507" cm="1">
        <f t="array" ref="BA211">_xlfn.LET(_xlpm.DepreciationMonths,INDEX(FixedAssets[Depreciation
/ Amortization Months],_xlfn.XMATCH($E$186,FixedAssets[Asset ID])),IF(AND((_xlfn.XMATCH(BA$8,$AH$8:$CC$8))-_xlfn.XMATCH($C211,$C$35:$C$82)+1&lt;=_xlpm.DepreciationMonths,$C211&lt;=BA$8),$E211/_xlpm.DepreciationMonths,0))</f>
        <v>0</v>
      </c>
      <c r="BB211" s="507" cm="1">
        <f t="array" ref="BB211">_xlfn.LET(_xlpm.DepreciationMonths,INDEX(FixedAssets[Depreciation
/ Amortization Months],_xlfn.XMATCH($E$186,FixedAssets[Asset ID])),IF(AND((_xlfn.XMATCH(BB$8,$AH$8:$CC$8))-_xlfn.XMATCH($C211,$C$35:$C$82)+1&lt;=_xlpm.DepreciationMonths,$C211&lt;=BB$8),$E211/_xlpm.DepreciationMonths,0))</f>
        <v>0</v>
      </c>
      <c r="BC211" s="507" cm="1">
        <f t="array" ref="BC211">_xlfn.LET(_xlpm.DepreciationMonths,INDEX(FixedAssets[Depreciation
/ Amortization Months],_xlfn.XMATCH($E$186,FixedAssets[Asset ID])),IF(AND((_xlfn.XMATCH(BC$8,$AH$8:$CC$8))-_xlfn.XMATCH($C211,$C$35:$C$82)+1&lt;=_xlpm.DepreciationMonths,$C211&lt;=BC$8),$E211/_xlpm.DepreciationMonths,0))</f>
        <v>0</v>
      </c>
      <c r="BD211" s="507" cm="1">
        <f t="array" ref="BD211">_xlfn.LET(_xlpm.DepreciationMonths,INDEX(FixedAssets[Depreciation
/ Amortization Months],_xlfn.XMATCH($E$186,FixedAssets[Asset ID])),IF(AND((_xlfn.XMATCH(BD$8,$AH$8:$CC$8))-_xlfn.XMATCH($C211,$C$35:$C$82)+1&lt;=_xlpm.DepreciationMonths,$C211&lt;=BD$8),$E211/_xlpm.DepreciationMonths,0))</f>
        <v>0</v>
      </c>
      <c r="BE211" s="507" cm="1">
        <f t="array" ref="BE211">_xlfn.LET(_xlpm.DepreciationMonths,INDEX(FixedAssets[Depreciation
/ Amortization Months],_xlfn.XMATCH($E$186,FixedAssets[Asset ID])),IF(AND((_xlfn.XMATCH(BE$8,$AH$8:$CC$8))-_xlfn.XMATCH($C211,$C$35:$C$82)+1&lt;=_xlpm.DepreciationMonths,$C211&lt;=BE$8),$E211/_xlpm.DepreciationMonths,0))</f>
        <v>0</v>
      </c>
      <c r="BF211" s="507" cm="1">
        <f t="array" ref="BF211">_xlfn.LET(_xlpm.DepreciationMonths,INDEX(FixedAssets[Depreciation
/ Amortization Months],_xlfn.XMATCH($E$186,FixedAssets[Asset ID])),IF(AND((_xlfn.XMATCH(BF$8,$AH$8:$CC$8))-_xlfn.XMATCH($C211,$C$35:$C$82)+1&lt;=_xlpm.DepreciationMonths,$C211&lt;=BF$8),$E211/_xlpm.DepreciationMonths,0))</f>
        <v>0</v>
      </c>
      <c r="BG211" s="507" cm="1">
        <f t="array" ref="BG211">_xlfn.LET(_xlpm.DepreciationMonths,INDEX(FixedAssets[Depreciation
/ Amortization Months],_xlfn.XMATCH($E$186,FixedAssets[Asset ID])),IF(AND((_xlfn.XMATCH(BG$8,$AH$8:$CC$8))-_xlfn.XMATCH($C211,$C$35:$C$82)+1&lt;=_xlpm.DepreciationMonths,$C211&lt;=BG$8),$E211/_xlpm.DepreciationMonths,0))</f>
        <v>0</v>
      </c>
      <c r="BH211" s="507" cm="1">
        <f t="array" ref="BH211">_xlfn.LET(_xlpm.DepreciationMonths,INDEX(FixedAssets[Depreciation
/ Amortization Months],_xlfn.XMATCH($E$186,FixedAssets[Asset ID])),IF(AND((_xlfn.XMATCH(BH$8,$AH$8:$CC$8))-_xlfn.XMATCH($C211,$C$35:$C$82)+1&lt;=_xlpm.DepreciationMonths,$C211&lt;=BH$8),$E211/_xlpm.DepreciationMonths,0))</f>
        <v>0</v>
      </c>
      <c r="BI211" s="507" cm="1">
        <f t="array" ref="BI211">_xlfn.LET(_xlpm.DepreciationMonths,INDEX(FixedAssets[Depreciation
/ Amortization Months],_xlfn.XMATCH($E$186,FixedAssets[Asset ID])),IF(AND((_xlfn.XMATCH(BI$8,$AH$8:$CC$8))-_xlfn.XMATCH($C211,$C$35:$C$82)+1&lt;=_xlpm.DepreciationMonths,$C211&lt;=BI$8),$E211/_xlpm.DepreciationMonths,0))</f>
        <v>0</v>
      </c>
      <c r="BJ211" s="507" cm="1">
        <f t="array" ref="BJ211">_xlfn.LET(_xlpm.DepreciationMonths,INDEX(FixedAssets[Depreciation
/ Amortization Months],_xlfn.XMATCH($E$186,FixedAssets[Asset ID])),IF(AND((_xlfn.XMATCH(BJ$8,$AH$8:$CC$8))-_xlfn.XMATCH($C211,$C$35:$C$82)+1&lt;=_xlpm.DepreciationMonths,$C211&lt;=BJ$8),$E211/_xlpm.DepreciationMonths,0))</f>
        <v>0</v>
      </c>
      <c r="BK211" s="507" cm="1">
        <f t="array" ref="BK211">_xlfn.LET(_xlpm.DepreciationMonths,INDEX(FixedAssets[Depreciation
/ Amortization Months],_xlfn.XMATCH($E$186,FixedAssets[Asset ID])),IF(AND((_xlfn.XMATCH(BK$8,$AH$8:$CC$8))-_xlfn.XMATCH($C211,$C$35:$C$82)+1&lt;=_xlpm.DepreciationMonths,$C211&lt;=BK$8),$E211/_xlpm.DepreciationMonths,0))</f>
        <v>0</v>
      </c>
      <c r="BL211" s="507" cm="1">
        <f t="array" ref="BL211">_xlfn.LET(_xlpm.DepreciationMonths,INDEX(FixedAssets[Depreciation
/ Amortization Months],_xlfn.XMATCH($E$186,FixedAssets[Asset ID])),IF(AND((_xlfn.XMATCH(BL$8,$AH$8:$CC$8))-_xlfn.XMATCH($C211,$C$35:$C$82)+1&lt;=_xlpm.DepreciationMonths,$C211&lt;=BL$8),$E211/_xlpm.DepreciationMonths,0))</f>
        <v>0</v>
      </c>
      <c r="BM211" s="507" cm="1">
        <f t="array" ref="BM211">_xlfn.LET(_xlpm.DepreciationMonths,INDEX(FixedAssets[Depreciation
/ Amortization Months],_xlfn.XMATCH($E$186,FixedAssets[Asset ID])),IF(AND((_xlfn.XMATCH(BM$8,$AH$8:$CC$8))-_xlfn.XMATCH($C211,$C$35:$C$82)+1&lt;=_xlpm.DepreciationMonths,$C211&lt;=BM$8),$E211/_xlpm.DepreciationMonths,0))</f>
        <v>0</v>
      </c>
      <c r="BN211" s="507" cm="1">
        <f t="array" ref="BN211">_xlfn.LET(_xlpm.DepreciationMonths,INDEX(FixedAssets[Depreciation
/ Amortization Months],_xlfn.XMATCH($E$186,FixedAssets[Asset ID])),IF(AND((_xlfn.XMATCH(BN$8,$AH$8:$CC$8))-_xlfn.XMATCH($C211,$C$35:$C$82)+1&lt;=_xlpm.DepreciationMonths,$C211&lt;=BN$8),$E211/_xlpm.DepreciationMonths,0))</f>
        <v>0</v>
      </c>
      <c r="BO211" s="507" cm="1">
        <f t="array" ref="BO211">_xlfn.LET(_xlpm.DepreciationMonths,INDEX(FixedAssets[Depreciation
/ Amortization Months],_xlfn.XMATCH($E$186,FixedAssets[Asset ID])),IF(AND((_xlfn.XMATCH(BO$8,$AH$8:$CC$8))-_xlfn.XMATCH($C211,$C$35:$C$82)+1&lt;=_xlpm.DepreciationMonths,$C211&lt;=BO$8),$E211/_xlpm.DepreciationMonths,0))</f>
        <v>0</v>
      </c>
      <c r="BP211" s="507" cm="1">
        <f t="array" ref="BP211">_xlfn.LET(_xlpm.DepreciationMonths,INDEX(FixedAssets[Depreciation
/ Amortization Months],_xlfn.XMATCH($E$186,FixedAssets[Asset ID])),IF(AND((_xlfn.XMATCH(BP$8,$AH$8:$CC$8))-_xlfn.XMATCH($C211,$C$35:$C$82)+1&lt;=_xlpm.DepreciationMonths,$C211&lt;=BP$8),$E211/_xlpm.DepreciationMonths,0))</f>
        <v>0</v>
      </c>
      <c r="BQ211" s="507" cm="1">
        <f t="array" ref="BQ211">_xlfn.LET(_xlpm.DepreciationMonths,INDEX(FixedAssets[Depreciation
/ Amortization Months],_xlfn.XMATCH($E$186,FixedAssets[Asset ID])),IF(AND((_xlfn.XMATCH(BQ$8,$AH$8:$CC$8))-_xlfn.XMATCH($C211,$C$35:$C$82)+1&lt;=_xlpm.DepreciationMonths,$C211&lt;=BQ$8),$E211/_xlpm.DepreciationMonths,0))</f>
        <v>0</v>
      </c>
      <c r="BR211" s="507" cm="1">
        <f t="array" ref="BR211">_xlfn.LET(_xlpm.DepreciationMonths,INDEX(FixedAssets[Depreciation
/ Amortization Months],_xlfn.XMATCH($E$186,FixedAssets[Asset ID])),IF(AND((_xlfn.XMATCH(BR$8,$AH$8:$CC$8))-_xlfn.XMATCH($C211,$C$35:$C$82)+1&lt;=_xlpm.DepreciationMonths,$C211&lt;=BR$8),$E211/_xlpm.DepreciationMonths,0))</f>
        <v>0</v>
      </c>
      <c r="BS211" s="507" cm="1">
        <f t="array" ref="BS211">_xlfn.LET(_xlpm.DepreciationMonths,INDEX(FixedAssets[Depreciation
/ Amortization Months],_xlfn.XMATCH($E$186,FixedAssets[Asset ID])),IF(AND((_xlfn.XMATCH(BS$8,$AH$8:$CC$8))-_xlfn.XMATCH($C211,$C$35:$C$82)+1&lt;=_xlpm.DepreciationMonths,$C211&lt;=BS$8),$E211/_xlpm.DepreciationMonths,0))</f>
        <v>0</v>
      </c>
      <c r="BT211" s="507" cm="1">
        <f t="array" ref="BT211">_xlfn.LET(_xlpm.DepreciationMonths,INDEX(FixedAssets[Depreciation
/ Amortization Months],_xlfn.XMATCH($E$186,FixedAssets[Asset ID])),IF(AND((_xlfn.XMATCH(BT$8,$AH$8:$CC$8))-_xlfn.XMATCH($C211,$C$35:$C$82)+1&lt;=_xlpm.DepreciationMonths,$C211&lt;=BT$8),$E211/_xlpm.DepreciationMonths,0))</f>
        <v>0</v>
      </c>
      <c r="BU211" s="507" cm="1">
        <f t="array" ref="BU211">_xlfn.LET(_xlpm.DepreciationMonths,INDEX(FixedAssets[Depreciation
/ Amortization Months],_xlfn.XMATCH($E$186,FixedAssets[Asset ID])),IF(AND((_xlfn.XMATCH(BU$8,$AH$8:$CC$8))-_xlfn.XMATCH($C211,$C$35:$C$82)+1&lt;=_xlpm.DepreciationMonths,$C211&lt;=BU$8),$E211/_xlpm.DepreciationMonths,0))</f>
        <v>0</v>
      </c>
      <c r="BV211" s="507" cm="1">
        <f t="array" ref="BV211">_xlfn.LET(_xlpm.DepreciationMonths,INDEX(FixedAssets[Depreciation
/ Amortization Months],_xlfn.XMATCH($E$186,FixedAssets[Asset ID])),IF(AND((_xlfn.XMATCH(BV$8,$AH$8:$CC$8))-_xlfn.XMATCH($C211,$C$35:$C$82)+1&lt;=_xlpm.DepreciationMonths,$C211&lt;=BV$8),$E211/_xlpm.DepreciationMonths,0))</f>
        <v>0</v>
      </c>
      <c r="BW211" s="507" cm="1">
        <f t="array" ref="BW211">_xlfn.LET(_xlpm.DepreciationMonths,INDEX(FixedAssets[Depreciation
/ Amortization Months],_xlfn.XMATCH($E$186,FixedAssets[Asset ID])),IF(AND((_xlfn.XMATCH(BW$8,$AH$8:$CC$8))-_xlfn.XMATCH($C211,$C$35:$C$82)+1&lt;=_xlpm.DepreciationMonths,$C211&lt;=BW$8),$E211/_xlpm.DepreciationMonths,0))</f>
        <v>0</v>
      </c>
      <c r="BX211" s="507" cm="1">
        <f t="array" ref="BX211">_xlfn.LET(_xlpm.DepreciationMonths,INDEX(FixedAssets[Depreciation
/ Amortization Months],_xlfn.XMATCH($E$186,FixedAssets[Asset ID])),IF(AND((_xlfn.XMATCH(BX$8,$AH$8:$CC$8))-_xlfn.XMATCH($C211,$C$35:$C$82)+1&lt;=_xlpm.DepreciationMonths,$C211&lt;=BX$8),$E211/_xlpm.DepreciationMonths,0))</f>
        <v>0</v>
      </c>
      <c r="BY211" s="507" cm="1">
        <f t="array" ref="BY211">_xlfn.LET(_xlpm.DepreciationMonths,INDEX(FixedAssets[Depreciation
/ Amortization Months],_xlfn.XMATCH($E$186,FixedAssets[Asset ID])),IF(AND((_xlfn.XMATCH(BY$8,$AH$8:$CC$8))-_xlfn.XMATCH($C211,$C$35:$C$82)+1&lt;=_xlpm.DepreciationMonths,$C211&lt;=BY$8),$E211/_xlpm.DepreciationMonths,0))</f>
        <v>0</v>
      </c>
      <c r="BZ211" s="507" cm="1">
        <f t="array" ref="BZ211">_xlfn.LET(_xlpm.DepreciationMonths,INDEX(FixedAssets[Depreciation
/ Amortization Months],_xlfn.XMATCH($E$186,FixedAssets[Asset ID])),IF(AND((_xlfn.XMATCH(BZ$8,$AH$8:$CC$8))-_xlfn.XMATCH($C211,$C$35:$C$82)+1&lt;=_xlpm.DepreciationMonths,$C211&lt;=BZ$8),$E211/_xlpm.DepreciationMonths,0))</f>
        <v>0</v>
      </c>
      <c r="CA211" s="507" cm="1">
        <f t="array" ref="CA211">_xlfn.LET(_xlpm.DepreciationMonths,INDEX(FixedAssets[Depreciation
/ Amortization Months],_xlfn.XMATCH($E$186,FixedAssets[Asset ID])),IF(AND((_xlfn.XMATCH(CA$8,$AH$8:$CC$8))-_xlfn.XMATCH($C211,$C$35:$C$82)+1&lt;=_xlpm.DepreciationMonths,$C211&lt;=CA$8),$E211/_xlpm.DepreciationMonths,0))</f>
        <v>0</v>
      </c>
      <c r="CB211" s="507" cm="1">
        <f t="array" ref="CB211">_xlfn.LET(_xlpm.DepreciationMonths,INDEX(FixedAssets[Depreciation
/ Amortization Months],_xlfn.XMATCH($E$186,FixedAssets[Asset ID])),IF(AND((_xlfn.XMATCH(CB$8,$AH$8:$CC$8))-_xlfn.XMATCH($C211,$C$35:$C$82)+1&lt;=_xlpm.DepreciationMonths,$C211&lt;=CB$8),$E211/_xlpm.DepreciationMonths,0))</f>
        <v>0</v>
      </c>
      <c r="CC211" s="507" cm="1">
        <f t="array" ref="CC211">_xlfn.LET(_xlpm.DepreciationMonths,INDEX(FixedAssets[Depreciation
/ Amortization Months],_xlfn.XMATCH($E$186,FixedAssets[Asset ID])),IF(AND((_xlfn.XMATCH(CC$8,$AH$8:$CC$8))-_xlfn.XMATCH($C211,$C$35:$C$82)+1&lt;=_xlpm.DepreciationMonths,$C211&lt;=CC$8),$E211/_xlpm.DepreciationMonths,0))</f>
        <v>0</v>
      </c>
    </row>
    <row r="212" spans="3:81" hidden="1" outlineLevel="2">
      <c r="C212" s="664">
        <f t="shared" si="256"/>
        <v>45688</v>
      </c>
      <c r="D212" s="508"/>
      <c r="E212" s="508" cm="1">
        <f t="array" ref="E212">SUMPRODUCT(($AH$26:$CC$31)*($AH$5:$CC$5=$C212)*($E$26:$E$31=E$186))-SUMPRODUCT(($AH$26:$CC$31)*($AH$5:$CC$5=EOMONTH($C212,-1))*($E$26:$E$31=E$186))</f>
        <v>0</v>
      </c>
      <c r="F212" s="508"/>
      <c r="G212" s="508"/>
      <c r="H212" s="508"/>
      <c r="I212" s="508"/>
      <c r="J212" s="504">
        <f t="shared" si="254"/>
        <v>0</v>
      </c>
      <c r="K212" s="504">
        <f t="shared" si="254"/>
        <v>0</v>
      </c>
      <c r="L212" s="504">
        <f t="shared" si="254"/>
        <v>0</v>
      </c>
      <c r="M212" s="504">
        <f t="shared" si="254"/>
        <v>0</v>
      </c>
      <c r="N212" s="504"/>
      <c r="O212" s="504"/>
      <c r="P212" s="504">
        <f t="shared" si="258"/>
        <v>0</v>
      </c>
      <c r="Q212" s="504">
        <f t="shared" si="258"/>
        <v>0</v>
      </c>
      <c r="R212" s="504">
        <f t="shared" si="258"/>
        <v>0</v>
      </c>
      <c r="S212" s="504">
        <f t="shared" si="258"/>
        <v>0</v>
      </c>
      <c r="T212" s="504">
        <f t="shared" si="258"/>
        <v>0</v>
      </c>
      <c r="U212" s="504">
        <f t="shared" si="258"/>
        <v>0</v>
      </c>
      <c r="V212" s="504">
        <f t="shared" si="258"/>
        <v>0</v>
      </c>
      <c r="W212" s="504">
        <f t="shared" si="258"/>
        <v>0</v>
      </c>
      <c r="X212" s="504">
        <f t="shared" si="258"/>
        <v>0</v>
      </c>
      <c r="Y212" s="504">
        <f t="shared" si="258"/>
        <v>0</v>
      </c>
      <c r="Z212" s="504">
        <f t="shared" si="258"/>
        <v>0</v>
      </c>
      <c r="AA212" s="504">
        <f t="shared" si="258"/>
        <v>0</v>
      </c>
      <c r="AB212" s="504">
        <f t="shared" si="258"/>
        <v>0</v>
      </c>
      <c r="AC212" s="504">
        <f t="shared" si="258"/>
        <v>0</v>
      </c>
      <c r="AD212" s="504">
        <f t="shared" si="258"/>
        <v>0</v>
      </c>
      <c r="AE212" s="504">
        <f t="shared" si="258"/>
        <v>0</v>
      </c>
      <c r="AF212" s="508"/>
      <c r="AG212" s="508"/>
      <c r="AH212" s="507" cm="1">
        <f t="array" ref="AH212">_xlfn.LET(_xlpm.DepreciationMonths,INDEX(FixedAssets[Depreciation
/ Amortization Months],_xlfn.XMATCH($E$186,FixedAssets[Asset ID])),IF(AND((_xlfn.XMATCH(AH$8,$AH$8:$CC$8))-_xlfn.XMATCH($C212,$C$35:$C$82)+1&lt;=_xlpm.DepreciationMonths,$C212&lt;=AH$8),$E212/_xlpm.DepreciationMonths,0))</f>
        <v>0</v>
      </c>
      <c r="AI212" s="507" cm="1">
        <f t="array" ref="AI212">_xlfn.LET(_xlpm.DepreciationMonths,INDEX(FixedAssets[Depreciation
/ Amortization Months],_xlfn.XMATCH($E$186,FixedAssets[Asset ID])),IF(AND((_xlfn.XMATCH(AI$8,$AH$8:$CC$8))-_xlfn.XMATCH($C212,$C$35:$C$82)+1&lt;=_xlpm.DepreciationMonths,$C212&lt;=AI$8),$E212/_xlpm.DepreciationMonths,0))</f>
        <v>0</v>
      </c>
      <c r="AJ212" s="507" cm="1">
        <f t="array" ref="AJ212">_xlfn.LET(_xlpm.DepreciationMonths,INDEX(FixedAssets[Depreciation
/ Amortization Months],_xlfn.XMATCH($E$186,FixedAssets[Asset ID])),IF(AND((_xlfn.XMATCH(AJ$8,$AH$8:$CC$8))-_xlfn.XMATCH($C212,$C$35:$C$82)+1&lt;=_xlpm.DepreciationMonths,$C212&lt;=AJ$8),$E212/_xlpm.DepreciationMonths,0))</f>
        <v>0</v>
      </c>
      <c r="AK212" s="507" cm="1">
        <f t="array" ref="AK212">_xlfn.LET(_xlpm.DepreciationMonths,INDEX(FixedAssets[Depreciation
/ Amortization Months],_xlfn.XMATCH($E$186,FixedAssets[Asset ID])),IF(AND((_xlfn.XMATCH(AK$8,$AH$8:$CC$8))-_xlfn.XMATCH($C212,$C$35:$C$82)+1&lt;=_xlpm.DepreciationMonths,$C212&lt;=AK$8),$E212/_xlpm.DepreciationMonths,0))</f>
        <v>0</v>
      </c>
      <c r="AL212" s="507" cm="1">
        <f t="array" ref="AL212">_xlfn.LET(_xlpm.DepreciationMonths,INDEX(FixedAssets[Depreciation
/ Amortization Months],_xlfn.XMATCH($E$186,FixedAssets[Asset ID])),IF(AND((_xlfn.XMATCH(AL$8,$AH$8:$CC$8))-_xlfn.XMATCH($C212,$C$35:$C$82)+1&lt;=_xlpm.DepreciationMonths,$C212&lt;=AL$8),$E212/_xlpm.DepreciationMonths,0))</f>
        <v>0</v>
      </c>
      <c r="AM212" s="507" cm="1">
        <f t="array" ref="AM212">_xlfn.LET(_xlpm.DepreciationMonths,INDEX(FixedAssets[Depreciation
/ Amortization Months],_xlfn.XMATCH($E$186,FixedAssets[Asset ID])),IF(AND((_xlfn.XMATCH(AM$8,$AH$8:$CC$8))-_xlfn.XMATCH($C212,$C$35:$C$82)+1&lt;=_xlpm.DepreciationMonths,$C212&lt;=AM$8),$E212/_xlpm.DepreciationMonths,0))</f>
        <v>0</v>
      </c>
      <c r="AN212" s="507" cm="1">
        <f t="array" ref="AN212">_xlfn.LET(_xlpm.DepreciationMonths,INDEX(FixedAssets[Depreciation
/ Amortization Months],_xlfn.XMATCH($E$186,FixedAssets[Asset ID])),IF(AND((_xlfn.XMATCH(AN$8,$AH$8:$CC$8))-_xlfn.XMATCH($C212,$C$35:$C$82)+1&lt;=_xlpm.DepreciationMonths,$C212&lt;=AN$8),$E212/_xlpm.DepreciationMonths,0))</f>
        <v>0</v>
      </c>
      <c r="AO212" s="507" cm="1">
        <f t="array" ref="AO212">_xlfn.LET(_xlpm.DepreciationMonths,INDEX(FixedAssets[Depreciation
/ Amortization Months],_xlfn.XMATCH($E$186,FixedAssets[Asset ID])),IF(AND((_xlfn.XMATCH(AO$8,$AH$8:$CC$8))-_xlfn.XMATCH($C212,$C$35:$C$82)+1&lt;=_xlpm.DepreciationMonths,$C212&lt;=AO$8),$E212/_xlpm.DepreciationMonths,0))</f>
        <v>0</v>
      </c>
      <c r="AP212" s="507" cm="1">
        <f t="array" ref="AP212">_xlfn.LET(_xlpm.DepreciationMonths,INDEX(FixedAssets[Depreciation
/ Amortization Months],_xlfn.XMATCH($E$186,FixedAssets[Asset ID])),IF(AND((_xlfn.XMATCH(AP$8,$AH$8:$CC$8))-_xlfn.XMATCH($C212,$C$35:$C$82)+1&lt;=_xlpm.DepreciationMonths,$C212&lt;=AP$8),$E212/_xlpm.DepreciationMonths,0))</f>
        <v>0</v>
      </c>
      <c r="AQ212" s="507" cm="1">
        <f t="array" ref="AQ212">_xlfn.LET(_xlpm.DepreciationMonths,INDEX(FixedAssets[Depreciation
/ Amortization Months],_xlfn.XMATCH($E$186,FixedAssets[Asset ID])),IF(AND((_xlfn.XMATCH(AQ$8,$AH$8:$CC$8))-_xlfn.XMATCH($C212,$C$35:$C$82)+1&lt;=_xlpm.DepreciationMonths,$C212&lt;=AQ$8),$E212/_xlpm.DepreciationMonths,0))</f>
        <v>0</v>
      </c>
      <c r="AR212" s="507" cm="1">
        <f t="array" ref="AR212">_xlfn.LET(_xlpm.DepreciationMonths,INDEX(FixedAssets[Depreciation
/ Amortization Months],_xlfn.XMATCH($E$186,FixedAssets[Asset ID])),IF(AND((_xlfn.XMATCH(AR$8,$AH$8:$CC$8))-_xlfn.XMATCH($C212,$C$35:$C$82)+1&lt;=_xlpm.DepreciationMonths,$C212&lt;=AR$8),$E212/_xlpm.DepreciationMonths,0))</f>
        <v>0</v>
      </c>
      <c r="AS212" s="507" cm="1">
        <f t="array" ref="AS212">_xlfn.LET(_xlpm.DepreciationMonths,INDEX(FixedAssets[Depreciation
/ Amortization Months],_xlfn.XMATCH($E$186,FixedAssets[Asset ID])),IF(AND((_xlfn.XMATCH(AS$8,$AH$8:$CC$8))-_xlfn.XMATCH($C212,$C$35:$C$82)+1&lt;=_xlpm.DepreciationMonths,$C212&lt;=AS$8),$E212/_xlpm.DepreciationMonths,0))</f>
        <v>0</v>
      </c>
      <c r="AT212" s="507" cm="1">
        <f t="array" ref="AT212">_xlfn.LET(_xlpm.DepreciationMonths,INDEX(FixedAssets[Depreciation
/ Amortization Months],_xlfn.XMATCH($E$186,FixedAssets[Asset ID])),IF(AND((_xlfn.XMATCH(AT$8,$AH$8:$CC$8))-_xlfn.XMATCH($C212,$C$35:$C$82)+1&lt;=_xlpm.DepreciationMonths,$C212&lt;=AT$8),$E212/_xlpm.DepreciationMonths,0))</f>
        <v>0</v>
      </c>
      <c r="AU212" s="507" cm="1">
        <f t="array" ref="AU212">_xlfn.LET(_xlpm.DepreciationMonths,INDEX(FixedAssets[Depreciation
/ Amortization Months],_xlfn.XMATCH($E$186,FixedAssets[Asset ID])),IF(AND((_xlfn.XMATCH(AU$8,$AH$8:$CC$8))-_xlfn.XMATCH($C212,$C$35:$C$82)+1&lt;=_xlpm.DepreciationMonths,$C212&lt;=AU$8),$E212/_xlpm.DepreciationMonths,0))</f>
        <v>0</v>
      </c>
      <c r="AV212" s="507" cm="1">
        <f t="array" ref="AV212">_xlfn.LET(_xlpm.DepreciationMonths,INDEX(FixedAssets[Depreciation
/ Amortization Months],_xlfn.XMATCH($E$186,FixedAssets[Asset ID])),IF(AND((_xlfn.XMATCH(AV$8,$AH$8:$CC$8))-_xlfn.XMATCH($C212,$C$35:$C$82)+1&lt;=_xlpm.DepreciationMonths,$C212&lt;=AV$8),$E212/_xlpm.DepreciationMonths,0))</f>
        <v>0</v>
      </c>
      <c r="AW212" s="507" cm="1">
        <f t="array" ref="AW212">_xlfn.LET(_xlpm.DepreciationMonths,INDEX(FixedAssets[Depreciation
/ Amortization Months],_xlfn.XMATCH($E$186,FixedAssets[Asset ID])),IF(AND((_xlfn.XMATCH(AW$8,$AH$8:$CC$8))-_xlfn.XMATCH($C212,$C$35:$C$82)+1&lt;=_xlpm.DepreciationMonths,$C212&lt;=AW$8),$E212/_xlpm.DepreciationMonths,0))</f>
        <v>0</v>
      </c>
      <c r="AX212" s="507" cm="1">
        <f t="array" ref="AX212">_xlfn.LET(_xlpm.DepreciationMonths,INDEX(FixedAssets[Depreciation
/ Amortization Months],_xlfn.XMATCH($E$186,FixedAssets[Asset ID])),IF(AND((_xlfn.XMATCH(AX$8,$AH$8:$CC$8))-_xlfn.XMATCH($C212,$C$35:$C$82)+1&lt;=_xlpm.DepreciationMonths,$C212&lt;=AX$8),$E212/_xlpm.DepreciationMonths,0))</f>
        <v>0</v>
      </c>
      <c r="AY212" s="507" cm="1">
        <f t="array" ref="AY212">_xlfn.LET(_xlpm.DepreciationMonths,INDEX(FixedAssets[Depreciation
/ Amortization Months],_xlfn.XMATCH($E$186,FixedAssets[Asset ID])),IF(AND((_xlfn.XMATCH(AY$8,$AH$8:$CC$8))-_xlfn.XMATCH($C212,$C$35:$C$82)+1&lt;=_xlpm.DepreciationMonths,$C212&lt;=AY$8),$E212/_xlpm.DepreciationMonths,0))</f>
        <v>0</v>
      </c>
      <c r="AZ212" s="507" cm="1">
        <f t="array" ref="AZ212">_xlfn.LET(_xlpm.DepreciationMonths,INDEX(FixedAssets[Depreciation
/ Amortization Months],_xlfn.XMATCH($E$186,FixedAssets[Asset ID])),IF(AND((_xlfn.XMATCH(AZ$8,$AH$8:$CC$8))-_xlfn.XMATCH($C212,$C$35:$C$82)+1&lt;=_xlpm.DepreciationMonths,$C212&lt;=AZ$8),$E212/_xlpm.DepreciationMonths,0))</f>
        <v>0</v>
      </c>
      <c r="BA212" s="507" cm="1">
        <f t="array" ref="BA212">_xlfn.LET(_xlpm.DepreciationMonths,INDEX(FixedAssets[Depreciation
/ Amortization Months],_xlfn.XMATCH($E$186,FixedAssets[Asset ID])),IF(AND((_xlfn.XMATCH(BA$8,$AH$8:$CC$8))-_xlfn.XMATCH($C212,$C$35:$C$82)+1&lt;=_xlpm.DepreciationMonths,$C212&lt;=BA$8),$E212/_xlpm.DepreciationMonths,0))</f>
        <v>0</v>
      </c>
      <c r="BB212" s="507" cm="1">
        <f t="array" ref="BB212">_xlfn.LET(_xlpm.DepreciationMonths,INDEX(FixedAssets[Depreciation
/ Amortization Months],_xlfn.XMATCH($E$186,FixedAssets[Asset ID])),IF(AND((_xlfn.XMATCH(BB$8,$AH$8:$CC$8))-_xlfn.XMATCH($C212,$C$35:$C$82)+1&lt;=_xlpm.DepreciationMonths,$C212&lt;=BB$8),$E212/_xlpm.DepreciationMonths,0))</f>
        <v>0</v>
      </c>
      <c r="BC212" s="507" cm="1">
        <f t="array" ref="BC212">_xlfn.LET(_xlpm.DepreciationMonths,INDEX(FixedAssets[Depreciation
/ Amortization Months],_xlfn.XMATCH($E$186,FixedAssets[Asset ID])),IF(AND((_xlfn.XMATCH(BC$8,$AH$8:$CC$8))-_xlfn.XMATCH($C212,$C$35:$C$82)+1&lt;=_xlpm.DepreciationMonths,$C212&lt;=BC$8),$E212/_xlpm.DepreciationMonths,0))</f>
        <v>0</v>
      </c>
      <c r="BD212" s="507" cm="1">
        <f t="array" ref="BD212">_xlfn.LET(_xlpm.DepreciationMonths,INDEX(FixedAssets[Depreciation
/ Amortization Months],_xlfn.XMATCH($E$186,FixedAssets[Asset ID])),IF(AND((_xlfn.XMATCH(BD$8,$AH$8:$CC$8))-_xlfn.XMATCH($C212,$C$35:$C$82)+1&lt;=_xlpm.DepreciationMonths,$C212&lt;=BD$8),$E212/_xlpm.DepreciationMonths,0))</f>
        <v>0</v>
      </c>
      <c r="BE212" s="507" cm="1">
        <f t="array" ref="BE212">_xlfn.LET(_xlpm.DepreciationMonths,INDEX(FixedAssets[Depreciation
/ Amortization Months],_xlfn.XMATCH($E$186,FixedAssets[Asset ID])),IF(AND((_xlfn.XMATCH(BE$8,$AH$8:$CC$8))-_xlfn.XMATCH($C212,$C$35:$C$82)+1&lt;=_xlpm.DepreciationMonths,$C212&lt;=BE$8),$E212/_xlpm.DepreciationMonths,0))</f>
        <v>0</v>
      </c>
      <c r="BF212" s="507" cm="1">
        <f t="array" ref="BF212">_xlfn.LET(_xlpm.DepreciationMonths,INDEX(FixedAssets[Depreciation
/ Amortization Months],_xlfn.XMATCH($E$186,FixedAssets[Asset ID])),IF(AND((_xlfn.XMATCH(BF$8,$AH$8:$CC$8))-_xlfn.XMATCH($C212,$C$35:$C$82)+1&lt;=_xlpm.DepreciationMonths,$C212&lt;=BF$8),$E212/_xlpm.DepreciationMonths,0))</f>
        <v>0</v>
      </c>
      <c r="BG212" s="507" cm="1">
        <f t="array" ref="BG212">_xlfn.LET(_xlpm.DepreciationMonths,INDEX(FixedAssets[Depreciation
/ Amortization Months],_xlfn.XMATCH($E$186,FixedAssets[Asset ID])),IF(AND((_xlfn.XMATCH(BG$8,$AH$8:$CC$8))-_xlfn.XMATCH($C212,$C$35:$C$82)+1&lt;=_xlpm.DepreciationMonths,$C212&lt;=BG$8),$E212/_xlpm.DepreciationMonths,0))</f>
        <v>0</v>
      </c>
      <c r="BH212" s="507" cm="1">
        <f t="array" ref="BH212">_xlfn.LET(_xlpm.DepreciationMonths,INDEX(FixedAssets[Depreciation
/ Amortization Months],_xlfn.XMATCH($E$186,FixedAssets[Asset ID])),IF(AND((_xlfn.XMATCH(BH$8,$AH$8:$CC$8))-_xlfn.XMATCH($C212,$C$35:$C$82)+1&lt;=_xlpm.DepreciationMonths,$C212&lt;=BH$8),$E212/_xlpm.DepreciationMonths,0))</f>
        <v>0</v>
      </c>
      <c r="BI212" s="507" cm="1">
        <f t="array" ref="BI212">_xlfn.LET(_xlpm.DepreciationMonths,INDEX(FixedAssets[Depreciation
/ Amortization Months],_xlfn.XMATCH($E$186,FixedAssets[Asset ID])),IF(AND((_xlfn.XMATCH(BI$8,$AH$8:$CC$8))-_xlfn.XMATCH($C212,$C$35:$C$82)+1&lt;=_xlpm.DepreciationMonths,$C212&lt;=BI$8),$E212/_xlpm.DepreciationMonths,0))</f>
        <v>0</v>
      </c>
      <c r="BJ212" s="507" cm="1">
        <f t="array" ref="BJ212">_xlfn.LET(_xlpm.DepreciationMonths,INDEX(FixedAssets[Depreciation
/ Amortization Months],_xlfn.XMATCH($E$186,FixedAssets[Asset ID])),IF(AND((_xlfn.XMATCH(BJ$8,$AH$8:$CC$8))-_xlfn.XMATCH($C212,$C$35:$C$82)+1&lt;=_xlpm.DepreciationMonths,$C212&lt;=BJ$8),$E212/_xlpm.DepreciationMonths,0))</f>
        <v>0</v>
      </c>
      <c r="BK212" s="507" cm="1">
        <f t="array" ref="BK212">_xlfn.LET(_xlpm.DepreciationMonths,INDEX(FixedAssets[Depreciation
/ Amortization Months],_xlfn.XMATCH($E$186,FixedAssets[Asset ID])),IF(AND((_xlfn.XMATCH(BK$8,$AH$8:$CC$8))-_xlfn.XMATCH($C212,$C$35:$C$82)+1&lt;=_xlpm.DepreciationMonths,$C212&lt;=BK$8),$E212/_xlpm.DepreciationMonths,0))</f>
        <v>0</v>
      </c>
      <c r="BL212" s="507" cm="1">
        <f t="array" ref="BL212">_xlfn.LET(_xlpm.DepreciationMonths,INDEX(FixedAssets[Depreciation
/ Amortization Months],_xlfn.XMATCH($E$186,FixedAssets[Asset ID])),IF(AND((_xlfn.XMATCH(BL$8,$AH$8:$CC$8))-_xlfn.XMATCH($C212,$C$35:$C$82)+1&lt;=_xlpm.DepreciationMonths,$C212&lt;=BL$8),$E212/_xlpm.DepreciationMonths,0))</f>
        <v>0</v>
      </c>
      <c r="BM212" s="507" cm="1">
        <f t="array" ref="BM212">_xlfn.LET(_xlpm.DepreciationMonths,INDEX(FixedAssets[Depreciation
/ Amortization Months],_xlfn.XMATCH($E$186,FixedAssets[Asset ID])),IF(AND((_xlfn.XMATCH(BM$8,$AH$8:$CC$8))-_xlfn.XMATCH($C212,$C$35:$C$82)+1&lt;=_xlpm.DepreciationMonths,$C212&lt;=BM$8),$E212/_xlpm.DepreciationMonths,0))</f>
        <v>0</v>
      </c>
      <c r="BN212" s="507" cm="1">
        <f t="array" ref="BN212">_xlfn.LET(_xlpm.DepreciationMonths,INDEX(FixedAssets[Depreciation
/ Amortization Months],_xlfn.XMATCH($E$186,FixedAssets[Asset ID])),IF(AND((_xlfn.XMATCH(BN$8,$AH$8:$CC$8))-_xlfn.XMATCH($C212,$C$35:$C$82)+1&lt;=_xlpm.DepreciationMonths,$C212&lt;=BN$8),$E212/_xlpm.DepreciationMonths,0))</f>
        <v>0</v>
      </c>
      <c r="BO212" s="507" cm="1">
        <f t="array" ref="BO212">_xlfn.LET(_xlpm.DepreciationMonths,INDEX(FixedAssets[Depreciation
/ Amortization Months],_xlfn.XMATCH($E$186,FixedAssets[Asset ID])),IF(AND((_xlfn.XMATCH(BO$8,$AH$8:$CC$8))-_xlfn.XMATCH($C212,$C$35:$C$82)+1&lt;=_xlpm.DepreciationMonths,$C212&lt;=BO$8),$E212/_xlpm.DepreciationMonths,0))</f>
        <v>0</v>
      </c>
      <c r="BP212" s="507" cm="1">
        <f t="array" ref="BP212">_xlfn.LET(_xlpm.DepreciationMonths,INDEX(FixedAssets[Depreciation
/ Amortization Months],_xlfn.XMATCH($E$186,FixedAssets[Asset ID])),IF(AND((_xlfn.XMATCH(BP$8,$AH$8:$CC$8))-_xlfn.XMATCH($C212,$C$35:$C$82)+1&lt;=_xlpm.DepreciationMonths,$C212&lt;=BP$8),$E212/_xlpm.DepreciationMonths,0))</f>
        <v>0</v>
      </c>
      <c r="BQ212" s="507" cm="1">
        <f t="array" ref="BQ212">_xlfn.LET(_xlpm.DepreciationMonths,INDEX(FixedAssets[Depreciation
/ Amortization Months],_xlfn.XMATCH($E$186,FixedAssets[Asset ID])),IF(AND((_xlfn.XMATCH(BQ$8,$AH$8:$CC$8))-_xlfn.XMATCH($C212,$C$35:$C$82)+1&lt;=_xlpm.DepreciationMonths,$C212&lt;=BQ$8),$E212/_xlpm.DepreciationMonths,0))</f>
        <v>0</v>
      </c>
      <c r="BR212" s="507" cm="1">
        <f t="array" ref="BR212">_xlfn.LET(_xlpm.DepreciationMonths,INDEX(FixedAssets[Depreciation
/ Amortization Months],_xlfn.XMATCH($E$186,FixedAssets[Asset ID])),IF(AND((_xlfn.XMATCH(BR$8,$AH$8:$CC$8))-_xlfn.XMATCH($C212,$C$35:$C$82)+1&lt;=_xlpm.DepreciationMonths,$C212&lt;=BR$8),$E212/_xlpm.DepreciationMonths,0))</f>
        <v>0</v>
      </c>
      <c r="BS212" s="507" cm="1">
        <f t="array" ref="BS212">_xlfn.LET(_xlpm.DepreciationMonths,INDEX(FixedAssets[Depreciation
/ Amortization Months],_xlfn.XMATCH($E$186,FixedAssets[Asset ID])),IF(AND((_xlfn.XMATCH(BS$8,$AH$8:$CC$8))-_xlfn.XMATCH($C212,$C$35:$C$82)+1&lt;=_xlpm.DepreciationMonths,$C212&lt;=BS$8),$E212/_xlpm.DepreciationMonths,0))</f>
        <v>0</v>
      </c>
      <c r="BT212" s="507" cm="1">
        <f t="array" ref="BT212">_xlfn.LET(_xlpm.DepreciationMonths,INDEX(FixedAssets[Depreciation
/ Amortization Months],_xlfn.XMATCH($E$186,FixedAssets[Asset ID])),IF(AND((_xlfn.XMATCH(BT$8,$AH$8:$CC$8))-_xlfn.XMATCH($C212,$C$35:$C$82)+1&lt;=_xlpm.DepreciationMonths,$C212&lt;=BT$8),$E212/_xlpm.DepreciationMonths,0))</f>
        <v>0</v>
      </c>
      <c r="BU212" s="507" cm="1">
        <f t="array" ref="BU212">_xlfn.LET(_xlpm.DepreciationMonths,INDEX(FixedAssets[Depreciation
/ Amortization Months],_xlfn.XMATCH($E$186,FixedAssets[Asset ID])),IF(AND((_xlfn.XMATCH(BU$8,$AH$8:$CC$8))-_xlfn.XMATCH($C212,$C$35:$C$82)+1&lt;=_xlpm.DepreciationMonths,$C212&lt;=BU$8),$E212/_xlpm.DepreciationMonths,0))</f>
        <v>0</v>
      </c>
      <c r="BV212" s="507" cm="1">
        <f t="array" ref="BV212">_xlfn.LET(_xlpm.DepreciationMonths,INDEX(FixedAssets[Depreciation
/ Amortization Months],_xlfn.XMATCH($E$186,FixedAssets[Asset ID])),IF(AND((_xlfn.XMATCH(BV$8,$AH$8:$CC$8))-_xlfn.XMATCH($C212,$C$35:$C$82)+1&lt;=_xlpm.DepreciationMonths,$C212&lt;=BV$8),$E212/_xlpm.DepreciationMonths,0))</f>
        <v>0</v>
      </c>
      <c r="BW212" s="507" cm="1">
        <f t="array" ref="BW212">_xlfn.LET(_xlpm.DepreciationMonths,INDEX(FixedAssets[Depreciation
/ Amortization Months],_xlfn.XMATCH($E$186,FixedAssets[Asset ID])),IF(AND((_xlfn.XMATCH(BW$8,$AH$8:$CC$8))-_xlfn.XMATCH($C212,$C$35:$C$82)+1&lt;=_xlpm.DepreciationMonths,$C212&lt;=BW$8),$E212/_xlpm.DepreciationMonths,0))</f>
        <v>0</v>
      </c>
      <c r="BX212" s="507" cm="1">
        <f t="array" ref="BX212">_xlfn.LET(_xlpm.DepreciationMonths,INDEX(FixedAssets[Depreciation
/ Amortization Months],_xlfn.XMATCH($E$186,FixedAssets[Asset ID])),IF(AND((_xlfn.XMATCH(BX$8,$AH$8:$CC$8))-_xlfn.XMATCH($C212,$C$35:$C$82)+1&lt;=_xlpm.DepreciationMonths,$C212&lt;=BX$8),$E212/_xlpm.DepreciationMonths,0))</f>
        <v>0</v>
      </c>
      <c r="BY212" s="507" cm="1">
        <f t="array" ref="BY212">_xlfn.LET(_xlpm.DepreciationMonths,INDEX(FixedAssets[Depreciation
/ Amortization Months],_xlfn.XMATCH($E$186,FixedAssets[Asset ID])),IF(AND((_xlfn.XMATCH(BY$8,$AH$8:$CC$8))-_xlfn.XMATCH($C212,$C$35:$C$82)+1&lt;=_xlpm.DepreciationMonths,$C212&lt;=BY$8),$E212/_xlpm.DepreciationMonths,0))</f>
        <v>0</v>
      </c>
      <c r="BZ212" s="507" cm="1">
        <f t="array" ref="BZ212">_xlfn.LET(_xlpm.DepreciationMonths,INDEX(FixedAssets[Depreciation
/ Amortization Months],_xlfn.XMATCH($E$186,FixedAssets[Asset ID])),IF(AND((_xlfn.XMATCH(BZ$8,$AH$8:$CC$8))-_xlfn.XMATCH($C212,$C$35:$C$82)+1&lt;=_xlpm.DepreciationMonths,$C212&lt;=BZ$8),$E212/_xlpm.DepreciationMonths,0))</f>
        <v>0</v>
      </c>
      <c r="CA212" s="507" cm="1">
        <f t="array" ref="CA212">_xlfn.LET(_xlpm.DepreciationMonths,INDEX(FixedAssets[Depreciation
/ Amortization Months],_xlfn.XMATCH($E$186,FixedAssets[Asset ID])),IF(AND((_xlfn.XMATCH(CA$8,$AH$8:$CC$8))-_xlfn.XMATCH($C212,$C$35:$C$82)+1&lt;=_xlpm.DepreciationMonths,$C212&lt;=CA$8),$E212/_xlpm.DepreciationMonths,0))</f>
        <v>0</v>
      </c>
      <c r="CB212" s="507" cm="1">
        <f t="array" ref="CB212">_xlfn.LET(_xlpm.DepreciationMonths,INDEX(FixedAssets[Depreciation
/ Amortization Months],_xlfn.XMATCH($E$186,FixedAssets[Asset ID])),IF(AND((_xlfn.XMATCH(CB$8,$AH$8:$CC$8))-_xlfn.XMATCH($C212,$C$35:$C$82)+1&lt;=_xlpm.DepreciationMonths,$C212&lt;=CB$8),$E212/_xlpm.DepreciationMonths,0))</f>
        <v>0</v>
      </c>
      <c r="CC212" s="507" cm="1">
        <f t="array" ref="CC212">_xlfn.LET(_xlpm.DepreciationMonths,INDEX(FixedAssets[Depreciation
/ Amortization Months],_xlfn.XMATCH($E$186,FixedAssets[Asset ID])),IF(AND((_xlfn.XMATCH(CC$8,$AH$8:$CC$8))-_xlfn.XMATCH($C212,$C$35:$C$82)+1&lt;=_xlpm.DepreciationMonths,$C212&lt;=CC$8),$E212/_xlpm.DepreciationMonths,0))</f>
        <v>0</v>
      </c>
    </row>
    <row r="213" spans="3:81" hidden="1" outlineLevel="2">
      <c r="C213" s="664">
        <f t="shared" si="256"/>
        <v>45716</v>
      </c>
      <c r="D213" s="508"/>
      <c r="E213" s="508" cm="1">
        <f t="array" ref="E213">SUMPRODUCT(($AH$26:$CC$31)*($AH$5:$CC$5=$C213)*($E$26:$E$31=E$186))-SUMPRODUCT(($AH$26:$CC$31)*($AH$5:$CC$5=EOMONTH($C213,-1))*($E$26:$E$31=E$186))</f>
        <v>0</v>
      </c>
      <c r="F213" s="508"/>
      <c r="G213" s="508"/>
      <c r="H213" s="508"/>
      <c r="I213" s="508"/>
      <c r="J213" s="504">
        <f t="shared" si="254"/>
        <v>0</v>
      </c>
      <c r="K213" s="504">
        <f t="shared" si="254"/>
        <v>0</v>
      </c>
      <c r="L213" s="504">
        <f t="shared" si="254"/>
        <v>0</v>
      </c>
      <c r="M213" s="504">
        <f t="shared" si="254"/>
        <v>0</v>
      </c>
      <c r="N213" s="504"/>
      <c r="O213" s="504"/>
      <c r="P213" s="504">
        <f t="shared" si="258"/>
        <v>0</v>
      </c>
      <c r="Q213" s="504">
        <f t="shared" si="258"/>
        <v>0</v>
      </c>
      <c r="R213" s="504">
        <f t="shared" si="258"/>
        <v>0</v>
      </c>
      <c r="S213" s="504">
        <f t="shared" si="258"/>
        <v>0</v>
      </c>
      <c r="T213" s="504">
        <f t="shared" si="258"/>
        <v>0</v>
      </c>
      <c r="U213" s="504">
        <f t="shared" si="258"/>
        <v>0</v>
      </c>
      <c r="V213" s="504">
        <f t="shared" si="258"/>
        <v>0</v>
      </c>
      <c r="W213" s="504">
        <f t="shared" si="258"/>
        <v>0</v>
      </c>
      <c r="X213" s="504">
        <f t="shared" si="258"/>
        <v>0</v>
      </c>
      <c r="Y213" s="504">
        <f t="shared" si="258"/>
        <v>0</v>
      </c>
      <c r="Z213" s="504">
        <f t="shared" si="258"/>
        <v>0</v>
      </c>
      <c r="AA213" s="504">
        <f t="shared" si="258"/>
        <v>0</v>
      </c>
      <c r="AB213" s="504">
        <f t="shared" si="258"/>
        <v>0</v>
      </c>
      <c r="AC213" s="504">
        <f t="shared" si="258"/>
        <v>0</v>
      </c>
      <c r="AD213" s="504">
        <f t="shared" si="258"/>
        <v>0</v>
      </c>
      <c r="AE213" s="504">
        <f t="shared" si="258"/>
        <v>0</v>
      </c>
      <c r="AF213" s="508"/>
      <c r="AG213" s="508"/>
      <c r="AH213" s="507" cm="1">
        <f t="array" ref="AH213">_xlfn.LET(_xlpm.DepreciationMonths,INDEX(FixedAssets[Depreciation
/ Amortization Months],_xlfn.XMATCH($E$186,FixedAssets[Asset ID])),IF(AND((_xlfn.XMATCH(AH$8,$AH$8:$CC$8))-_xlfn.XMATCH($C213,$C$35:$C$82)+1&lt;=_xlpm.DepreciationMonths,$C213&lt;=AH$8),$E213/_xlpm.DepreciationMonths,0))</f>
        <v>0</v>
      </c>
      <c r="AI213" s="507" cm="1">
        <f t="array" ref="AI213">_xlfn.LET(_xlpm.DepreciationMonths,INDEX(FixedAssets[Depreciation
/ Amortization Months],_xlfn.XMATCH($E$186,FixedAssets[Asset ID])),IF(AND((_xlfn.XMATCH(AI$8,$AH$8:$CC$8))-_xlfn.XMATCH($C213,$C$35:$C$82)+1&lt;=_xlpm.DepreciationMonths,$C213&lt;=AI$8),$E213/_xlpm.DepreciationMonths,0))</f>
        <v>0</v>
      </c>
      <c r="AJ213" s="507" cm="1">
        <f t="array" ref="AJ213">_xlfn.LET(_xlpm.DepreciationMonths,INDEX(FixedAssets[Depreciation
/ Amortization Months],_xlfn.XMATCH($E$186,FixedAssets[Asset ID])),IF(AND((_xlfn.XMATCH(AJ$8,$AH$8:$CC$8))-_xlfn.XMATCH($C213,$C$35:$C$82)+1&lt;=_xlpm.DepreciationMonths,$C213&lt;=AJ$8),$E213/_xlpm.DepreciationMonths,0))</f>
        <v>0</v>
      </c>
      <c r="AK213" s="507" cm="1">
        <f t="array" ref="AK213">_xlfn.LET(_xlpm.DepreciationMonths,INDEX(FixedAssets[Depreciation
/ Amortization Months],_xlfn.XMATCH($E$186,FixedAssets[Asset ID])),IF(AND((_xlfn.XMATCH(AK$8,$AH$8:$CC$8))-_xlfn.XMATCH($C213,$C$35:$C$82)+1&lt;=_xlpm.DepreciationMonths,$C213&lt;=AK$8),$E213/_xlpm.DepreciationMonths,0))</f>
        <v>0</v>
      </c>
      <c r="AL213" s="507" cm="1">
        <f t="array" ref="AL213">_xlfn.LET(_xlpm.DepreciationMonths,INDEX(FixedAssets[Depreciation
/ Amortization Months],_xlfn.XMATCH($E$186,FixedAssets[Asset ID])),IF(AND((_xlfn.XMATCH(AL$8,$AH$8:$CC$8))-_xlfn.XMATCH($C213,$C$35:$C$82)+1&lt;=_xlpm.DepreciationMonths,$C213&lt;=AL$8),$E213/_xlpm.DepreciationMonths,0))</f>
        <v>0</v>
      </c>
      <c r="AM213" s="507" cm="1">
        <f t="array" ref="AM213">_xlfn.LET(_xlpm.DepreciationMonths,INDEX(FixedAssets[Depreciation
/ Amortization Months],_xlfn.XMATCH($E$186,FixedAssets[Asset ID])),IF(AND((_xlfn.XMATCH(AM$8,$AH$8:$CC$8))-_xlfn.XMATCH($C213,$C$35:$C$82)+1&lt;=_xlpm.DepreciationMonths,$C213&lt;=AM$8),$E213/_xlpm.DepreciationMonths,0))</f>
        <v>0</v>
      </c>
      <c r="AN213" s="507" cm="1">
        <f t="array" ref="AN213">_xlfn.LET(_xlpm.DepreciationMonths,INDEX(FixedAssets[Depreciation
/ Amortization Months],_xlfn.XMATCH($E$186,FixedAssets[Asset ID])),IF(AND((_xlfn.XMATCH(AN$8,$AH$8:$CC$8))-_xlfn.XMATCH($C213,$C$35:$C$82)+1&lt;=_xlpm.DepreciationMonths,$C213&lt;=AN$8),$E213/_xlpm.DepreciationMonths,0))</f>
        <v>0</v>
      </c>
      <c r="AO213" s="507" cm="1">
        <f t="array" ref="AO213">_xlfn.LET(_xlpm.DepreciationMonths,INDEX(FixedAssets[Depreciation
/ Amortization Months],_xlfn.XMATCH($E$186,FixedAssets[Asset ID])),IF(AND((_xlfn.XMATCH(AO$8,$AH$8:$CC$8))-_xlfn.XMATCH($C213,$C$35:$C$82)+1&lt;=_xlpm.DepreciationMonths,$C213&lt;=AO$8),$E213/_xlpm.DepreciationMonths,0))</f>
        <v>0</v>
      </c>
      <c r="AP213" s="507" cm="1">
        <f t="array" ref="AP213">_xlfn.LET(_xlpm.DepreciationMonths,INDEX(FixedAssets[Depreciation
/ Amortization Months],_xlfn.XMATCH($E$186,FixedAssets[Asset ID])),IF(AND((_xlfn.XMATCH(AP$8,$AH$8:$CC$8))-_xlfn.XMATCH($C213,$C$35:$C$82)+1&lt;=_xlpm.DepreciationMonths,$C213&lt;=AP$8),$E213/_xlpm.DepreciationMonths,0))</f>
        <v>0</v>
      </c>
      <c r="AQ213" s="507" cm="1">
        <f t="array" ref="AQ213">_xlfn.LET(_xlpm.DepreciationMonths,INDEX(FixedAssets[Depreciation
/ Amortization Months],_xlfn.XMATCH($E$186,FixedAssets[Asset ID])),IF(AND((_xlfn.XMATCH(AQ$8,$AH$8:$CC$8))-_xlfn.XMATCH($C213,$C$35:$C$82)+1&lt;=_xlpm.DepreciationMonths,$C213&lt;=AQ$8),$E213/_xlpm.DepreciationMonths,0))</f>
        <v>0</v>
      </c>
      <c r="AR213" s="507" cm="1">
        <f t="array" ref="AR213">_xlfn.LET(_xlpm.DepreciationMonths,INDEX(FixedAssets[Depreciation
/ Amortization Months],_xlfn.XMATCH($E$186,FixedAssets[Asset ID])),IF(AND((_xlfn.XMATCH(AR$8,$AH$8:$CC$8))-_xlfn.XMATCH($C213,$C$35:$C$82)+1&lt;=_xlpm.DepreciationMonths,$C213&lt;=AR$8),$E213/_xlpm.DepreciationMonths,0))</f>
        <v>0</v>
      </c>
      <c r="AS213" s="507" cm="1">
        <f t="array" ref="AS213">_xlfn.LET(_xlpm.DepreciationMonths,INDEX(FixedAssets[Depreciation
/ Amortization Months],_xlfn.XMATCH($E$186,FixedAssets[Asset ID])),IF(AND((_xlfn.XMATCH(AS$8,$AH$8:$CC$8))-_xlfn.XMATCH($C213,$C$35:$C$82)+1&lt;=_xlpm.DepreciationMonths,$C213&lt;=AS$8),$E213/_xlpm.DepreciationMonths,0))</f>
        <v>0</v>
      </c>
      <c r="AT213" s="507" cm="1">
        <f t="array" ref="AT213">_xlfn.LET(_xlpm.DepreciationMonths,INDEX(FixedAssets[Depreciation
/ Amortization Months],_xlfn.XMATCH($E$186,FixedAssets[Asset ID])),IF(AND((_xlfn.XMATCH(AT$8,$AH$8:$CC$8))-_xlfn.XMATCH($C213,$C$35:$C$82)+1&lt;=_xlpm.DepreciationMonths,$C213&lt;=AT$8),$E213/_xlpm.DepreciationMonths,0))</f>
        <v>0</v>
      </c>
      <c r="AU213" s="507" cm="1">
        <f t="array" ref="AU213">_xlfn.LET(_xlpm.DepreciationMonths,INDEX(FixedAssets[Depreciation
/ Amortization Months],_xlfn.XMATCH($E$186,FixedAssets[Asset ID])),IF(AND((_xlfn.XMATCH(AU$8,$AH$8:$CC$8))-_xlfn.XMATCH($C213,$C$35:$C$82)+1&lt;=_xlpm.DepreciationMonths,$C213&lt;=AU$8),$E213/_xlpm.DepreciationMonths,0))</f>
        <v>0</v>
      </c>
      <c r="AV213" s="507" cm="1">
        <f t="array" ref="AV213">_xlfn.LET(_xlpm.DepreciationMonths,INDEX(FixedAssets[Depreciation
/ Amortization Months],_xlfn.XMATCH($E$186,FixedAssets[Asset ID])),IF(AND((_xlfn.XMATCH(AV$8,$AH$8:$CC$8))-_xlfn.XMATCH($C213,$C$35:$C$82)+1&lt;=_xlpm.DepreciationMonths,$C213&lt;=AV$8),$E213/_xlpm.DepreciationMonths,0))</f>
        <v>0</v>
      </c>
      <c r="AW213" s="507" cm="1">
        <f t="array" ref="AW213">_xlfn.LET(_xlpm.DepreciationMonths,INDEX(FixedAssets[Depreciation
/ Amortization Months],_xlfn.XMATCH($E$186,FixedAssets[Asset ID])),IF(AND((_xlfn.XMATCH(AW$8,$AH$8:$CC$8))-_xlfn.XMATCH($C213,$C$35:$C$82)+1&lt;=_xlpm.DepreciationMonths,$C213&lt;=AW$8),$E213/_xlpm.DepreciationMonths,0))</f>
        <v>0</v>
      </c>
      <c r="AX213" s="507" cm="1">
        <f t="array" ref="AX213">_xlfn.LET(_xlpm.DepreciationMonths,INDEX(FixedAssets[Depreciation
/ Amortization Months],_xlfn.XMATCH($E$186,FixedAssets[Asset ID])),IF(AND((_xlfn.XMATCH(AX$8,$AH$8:$CC$8))-_xlfn.XMATCH($C213,$C$35:$C$82)+1&lt;=_xlpm.DepreciationMonths,$C213&lt;=AX$8),$E213/_xlpm.DepreciationMonths,0))</f>
        <v>0</v>
      </c>
      <c r="AY213" s="507" cm="1">
        <f t="array" ref="AY213">_xlfn.LET(_xlpm.DepreciationMonths,INDEX(FixedAssets[Depreciation
/ Amortization Months],_xlfn.XMATCH($E$186,FixedAssets[Asset ID])),IF(AND((_xlfn.XMATCH(AY$8,$AH$8:$CC$8))-_xlfn.XMATCH($C213,$C$35:$C$82)+1&lt;=_xlpm.DepreciationMonths,$C213&lt;=AY$8),$E213/_xlpm.DepreciationMonths,0))</f>
        <v>0</v>
      </c>
      <c r="AZ213" s="507" cm="1">
        <f t="array" ref="AZ213">_xlfn.LET(_xlpm.DepreciationMonths,INDEX(FixedAssets[Depreciation
/ Amortization Months],_xlfn.XMATCH($E$186,FixedAssets[Asset ID])),IF(AND((_xlfn.XMATCH(AZ$8,$AH$8:$CC$8))-_xlfn.XMATCH($C213,$C$35:$C$82)+1&lt;=_xlpm.DepreciationMonths,$C213&lt;=AZ$8),$E213/_xlpm.DepreciationMonths,0))</f>
        <v>0</v>
      </c>
      <c r="BA213" s="507" cm="1">
        <f t="array" ref="BA213">_xlfn.LET(_xlpm.DepreciationMonths,INDEX(FixedAssets[Depreciation
/ Amortization Months],_xlfn.XMATCH($E$186,FixedAssets[Asset ID])),IF(AND((_xlfn.XMATCH(BA$8,$AH$8:$CC$8))-_xlfn.XMATCH($C213,$C$35:$C$82)+1&lt;=_xlpm.DepreciationMonths,$C213&lt;=BA$8),$E213/_xlpm.DepreciationMonths,0))</f>
        <v>0</v>
      </c>
      <c r="BB213" s="507" cm="1">
        <f t="array" ref="BB213">_xlfn.LET(_xlpm.DepreciationMonths,INDEX(FixedAssets[Depreciation
/ Amortization Months],_xlfn.XMATCH($E$186,FixedAssets[Asset ID])),IF(AND((_xlfn.XMATCH(BB$8,$AH$8:$CC$8))-_xlfn.XMATCH($C213,$C$35:$C$82)+1&lt;=_xlpm.DepreciationMonths,$C213&lt;=BB$8),$E213/_xlpm.DepreciationMonths,0))</f>
        <v>0</v>
      </c>
      <c r="BC213" s="507" cm="1">
        <f t="array" ref="BC213">_xlfn.LET(_xlpm.DepreciationMonths,INDEX(FixedAssets[Depreciation
/ Amortization Months],_xlfn.XMATCH($E$186,FixedAssets[Asset ID])),IF(AND((_xlfn.XMATCH(BC$8,$AH$8:$CC$8))-_xlfn.XMATCH($C213,$C$35:$C$82)+1&lt;=_xlpm.DepreciationMonths,$C213&lt;=BC$8),$E213/_xlpm.DepreciationMonths,0))</f>
        <v>0</v>
      </c>
      <c r="BD213" s="507" cm="1">
        <f t="array" ref="BD213">_xlfn.LET(_xlpm.DepreciationMonths,INDEX(FixedAssets[Depreciation
/ Amortization Months],_xlfn.XMATCH($E$186,FixedAssets[Asset ID])),IF(AND((_xlfn.XMATCH(BD$8,$AH$8:$CC$8))-_xlfn.XMATCH($C213,$C$35:$C$82)+1&lt;=_xlpm.DepreciationMonths,$C213&lt;=BD$8),$E213/_xlpm.DepreciationMonths,0))</f>
        <v>0</v>
      </c>
      <c r="BE213" s="507" cm="1">
        <f t="array" ref="BE213">_xlfn.LET(_xlpm.DepreciationMonths,INDEX(FixedAssets[Depreciation
/ Amortization Months],_xlfn.XMATCH($E$186,FixedAssets[Asset ID])),IF(AND((_xlfn.XMATCH(BE$8,$AH$8:$CC$8))-_xlfn.XMATCH($C213,$C$35:$C$82)+1&lt;=_xlpm.DepreciationMonths,$C213&lt;=BE$8),$E213/_xlpm.DepreciationMonths,0))</f>
        <v>0</v>
      </c>
      <c r="BF213" s="507" cm="1">
        <f t="array" ref="BF213">_xlfn.LET(_xlpm.DepreciationMonths,INDEX(FixedAssets[Depreciation
/ Amortization Months],_xlfn.XMATCH($E$186,FixedAssets[Asset ID])),IF(AND((_xlfn.XMATCH(BF$8,$AH$8:$CC$8))-_xlfn.XMATCH($C213,$C$35:$C$82)+1&lt;=_xlpm.DepreciationMonths,$C213&lt;=BF$8),$E213/_xlpm.DepreciationMonths,0))</f>
        <v>0</v>
      </c>
      <c r="BG213" s="507" cm="1">
        <f t="array" ref="BG213">_xlfn.LET(_xlpm.DepreciationMonths,INDEX(FixedAssets[Depreciation
/ Amortization Months],_xlfn.XMATCH($E$186,FixedAssets[Asset ID])),IF(AND((_xlfn.XMATCH(BG$8,$AH$8:$CC$8))-_xlfn.XMATCH($C213,$C$35:$C$82)+1&lt;=_xlpm.DepreciationMonths,$C213&lt;=BG$8),$E213/_xlpm.DepreciationMonths,0))</f>
        <v>0</v>
      </c>
      <c r="BH213" s="507" cm="1">
        <f t="array" ref="BH213">_xlfn.LET(_xlpm.DepreciationMonths,INDEX(FixedAssets[Depreciation
/ Amortization Months],_xlfn.XMATCH($E$186,FixedAssets[Asset ID])),IF(AND((_xlfn.XMATCH(BH$8,$AH$8:$CC$8))-_xlfn.XMATCH($C213,$C$35:$C$82)+1&lt;=_xlpm.DepreciationMonths,$C213&lt;=BH$8),$E213/_xlpm.DepreciationMonths,0))</f>
        <v>0</v>
      </c>
      <c r="BI213" s="507" cm="1">
        <f t="array" ref="BI213">_xlfn.LET(_xlpm.DepreciationMonths,INDEX(FixedAssets[Depreciation
/ Amortization Months],_xlfn.XMATCH($E$186,FixedAssets[Asset ID])),IF(AND((_xlfn.XMATCH(BI$8,$AH$8:$CC$8))-_xlfn.XMATCH($C213,$C$35:$C$82)+1&lt;=_xlpm.DepreciationMonths,$C213&lt;=BI$8),$E213/_xlpm.DepreciationMonths,0))</f>
        <v>0</v>
      </c>
      <c r="BJ213" s="507" cm="1">
        <f t="array" ref="BJ213">_xlfn.LET(_xlpm.DepreciationMonths,INDEX(FixedAssets[Depreciation
/ Amortization Months],_xlfn.XMATCH($E$186,FixedAssets[Asset ID])),IF(AND((_xlfn.XMATCH(BJ$8,$AH$8:$CC$8))-_xlfn.XMATCH($C213,$C$35:$C$82)+1&lt;=_xlpm.DepreciationMonths,$C213&lt;=BJ$8),$E213/_xlpm.DepreciationMonths,0))</f>
        <v>0</v>
      </c>
      <c r="BK213" s="507" cm="1">
        <f t="array" ref="BK213">_xlfn.LET(_xlpm.DepreciationMonths,INDEX(FixedAssets[Depreciation
/ Amortization Months],_xlfn.XMATCH($E$186,FixedAssets[Asset ID])),IF(AND((_xlfn.XMATCH(BK$8,$AH$8:$CC$8))-_xlfn.XMATCH($C213,$C$35:$C$82)+1&lt;=_xlpm.DepreciationMonths,$C213&lt;=BK$8),$E213/_xlpm.DepreciationMonths,0))</f>
        <v>0</v>
      </c>
      <c r="BL213" s="507" cm="1">
        <f t="array" ref="BL213">_xlfn.LET(_xlpm.DepreciationMonths,INDEX(FixedAssets[Depreciation
/ Amortization Months],_xlfn.XMATCH($E$186,FixedAssets[Asset ID])),IF(AND((_xlfn.XMATCH(BL$8,$AH$8:$CC$8))-_xlfn.XMATCH($C213,$C$35:$C$82)+1&lt;=_xlpm.DepreciationMonths,$C213&lt;=BL$8),$E213/_xlpm.DepreciationMonths,0))</f>
        <v>0</v>
      </c>
      <c r="BM213" s="507" cm="1">
        <f t="array" ref="BM213">_xlfn.LET(_xlpm.DepreciationMonths,INDEX(FixedAssets[Depreciation
/ Amortization Months],_xlfn.XMATCH($E$186,FixedAssets[Asset ID])),IF(AND((_xlfn.XMATCH(BM$8,$AH$8:$CC$8))-_xlfn.XMATCH($C213,$C$35:$C$82)+1&lt;=_xlpm.DepreciationMonths,$C213&lt;=BM$8),$E213/_xlpm.DepreciationMonths,0))</f>
        <v>0</v>
      </c>
      <c r="BN213" s="507" cm="1">
        <f t="array" ref="BN213">_xlfn.LET(_xlpm.DepreciationMonths,INDEX(FixedAssets[Depreciation
/ Amortization Months],_xlfn.XMATCH($E$186,FixedAssets[Asset ID])),IF(AND((_xlfn.XMATCH(BN$8,$AH$8:$CC$8))-_xlfn.XMATCH($C213,$C$35:$C$82)+1&lt;=_xlpm.DepreciationMonths,$C213&lt;=BN$8),$E213/_xlpm.DepreciationMonths,0))</f>
        <v>0</v>
      </c>
      <c r="BO213" s="507" cm="1">
        <f t="array" ref="BO213">_xlfn.LET(_xlpm.DepreciationMonths,INDEX(FixedAssets[Depreciation
/ Amortization Months],_xlfn.XMATCH($E$186,FixedAssets[Asset ID])),IF(AND((_xlfn.XMATCH(BO$8,$AH$8:$CC$8))-_xlfn.XMATCH($C213,$C$35:$C$82)+1&lt;=_xlpm.DepreciationMonths,$C213&lt;=BO$8),$E213/_xlpm.DepreciationMonths,0))</f>
        <v>0</v>
      </c>
      <c r="BP213" s="507" cm="1">
        <f t="array" ref="BP213">_xlfn.LET(_xlpm.DepreciationMonths,INDEX(FixedAssets[Depreciation
/ Amortization Months],_xlfn.XMATCH($E$186,FixedAssets[Asset ID])),IF(AND((_xlfn.XMATCH(BP$8,$AH$8:$CC$8))-_xlfn.XMATCH($C213,$C$35:$C$82)+1&lt;=_xlpm.DepreciationMonths,$C213&lt;=BP$8),$E213/_xlpm.DepreciationMonths,0))</f>
        <v>0</v>
      </c>
      <c r="BQ213" s="507" cm="1">
        <f t="array" ref="BQ213">_xlfn.LET(_xlpm.DepreciationMonths,INDEX(FixedAssets[Depreciation
/ Amortization Months],_xlfn.XMATCH($E$186,FixedAssets[Asset ID])),IF(AND((_xlfn.XMATCH(BQ$8,$AH$8:$CC$8))-_xlfn.XMATCH($C213,$C$35:$C$82)+1&lt;=_xlpm.DepreciationMonths,$C213&lt;=BQ$8),$E213/_xlpm.DepreciationMonths,0))</f>
        <v>0</v>
      </c>
      <c r="BR213" s="507" cm="1">
        <f t="array" ref="BR213">_xlfn.LET(_xlpm.DepreciationMonths,INDEX(FixedAssets[Depreciation
/ Amortization Months],_xlfn.XMATCH($E$186,FixedAssets[Asset ID])),IF(AND((_xlfn.XMATCH(BR$8,$AH$8:$CC$8))-_xlfn.XMATCH($C213,$C$35:$C$82)+1&lt;=_xlpm.DepreciationMonths,$C213&lt;=BR$8),$E213/_xlpm.DepreciationMonths,0))</f>
        <v>0</v>
      </c>
      <c r="BS213" s="507" cm="1">
        <f t="array" ref="BS213">_xlfn.LET(_xlpm.DepreciationMonths,INDEX(FixedAssets[Depreciation
/ Amortization Months],_xlfn.XMATCH($E$186,FixedAssets[Asset ID])),IF(AND((_xlfn.XMATCH(BS$8,$AH$8:$CC$8))-_xlfn.XMATCH($C213,$C$35:$C$82)+1&lt;=_xlpm.DepreciationMonths,$C213&lt;=BS$8),$E213/_xlpm.DepreciationMonths,0))</f>
        <v>0</v>
      </c>
      <c r="BT213" s="507" cm="1">
        <f t="array" ref="BT213">_xlfn.LET(_xlpm.DepreciationMonths,INDEX(FixedAssets[Depreciation
/ Amortization Months],_xlfn.XMATCH($E$186,FixedAssets[Asset ID])),IF(AND((_xlfn.XMATCH(BT$8,$AH$8:$CC$8))-_xlfn.XMATCH($C213,$C$35:$C$82)+1&lt;=_xlpm.DepreciationMonths,$C213&lt;=BT$8),$E213/_xlpm.DepreciationMonths,0))</f>
        <v>0</v>
      </c>
      <c r="BU213" s="507" cm="1">
        <f t="array" ref="BU213">_xlfn.LET(_xlpm.DepreciationMonths,INDEX(FixedAssets[Depreciation
/ Amortization Months],_xlfn.XMATCH($E$186,FixedAssets[Asset ID])),IF(AND((_xlfn.XMATCH(BU$8,$AH$8:$CC$8))-_xlfn.XMATCH($C213,$C$35:$C$82)+1&lt;=_xlpm.DepreciationMonths,$C213&lt;=BU$8),$E213/_xlpm.DepreciationMonths,0))</f>
        <v>0</v>
      </c>
      <c r="BV213" s="507" cm="1">
        <f t="array" ref="BV213">_xlfn.LET(_xlpm.DepreciationMonths,INDEX(FixedAssets[Depreciation
/ Amortization Months],_xlfn.XMATCH($E$186,FixedAssets[Asset ID])),IF(AND((_xlfn.XMATCH(BV$8,$AH$8:$CC$8))-_xlfn.XMATCH($C213,$C$35:$C$82)+1&lt;=_xlpm.DepreciationMonths,$C213&lt;=BV$8),$E213/_xlpm.DepreciationMonths,0))</f>
        <v>0</v>
      </c>
      <c r="BW213" s="507" cm="1">
        <f t="array" ref="BW213">_xlfn.LET(_xlpm.DepreciationMonths,INDEX(FixedAssets[Depreciation
/ Amortization Months],_xlfn.XMATCH($E$186,FixedAssets[Asset ID])),IF(AND((_xlfn.XMATCH(BW$8,$AH$8:$CC$8))-_xlfn.XMATCH($C213,$C$35:$C$82)+1&lt;=_xlpm.DepreciationMonths,$C213&lt;=BW$8),$E213/_xlpm.DepreciationMonths,0))</f>
        <v>0</v>
      </c>
      <c r="BX213" s="507" cm="1">
        <f t="array" ref="BX213">_xlfn.LET(_xlpm.DepreciationMonths,INDEX(FixedAssets[Depreciation
/ Amortization Months],_xlfn.XMATCH($E$186,FixedAssets[Asset ID])),IF(AND((_xlfn.XMATCH(BX$8,$AH$8:$CC$8))-_xlfn.XMATCH($C213,$C$35:$C$82)+1&lt;=_xlpm.DepreciationMonths,$C213&lt;=BX$8),$E213/_xlpm.DepreciationMonths,0))</f>
        <v>0</v>
      </c>
      <c r="BY213" s="507" cm="1">
        <f t="array" ref="BY213">_xlfn.LET(_xlpm.DepreciationMonths,INDEX(FixedAssets[Depreciation
/ Amortization Months],_xlfn.XMATCH($E$186,FixedAssets[Asset ID])),IF(AND((_xlfn.XMATCH(BY$8,$AH$8:$CC$8))-_xlfn.XMATCH($C213,$C$35:$C$82)+1&lt;=_xlpm.DepreciationMonths,$C213&lt;=BY$8),$E213/_xlpm.DepreciationMonths,0))</f>
        <v>0</v>
      </c>
      <c r="BZ213" s="507" cm="1">
        <f t="array" ref="BZ213">_xlfn.LET(_xlpm.DepreciationMonths,INDEX(FixedAssets[Depreciation
/ Amortization Months],_xlfn.XMATCH($E$186,FixedAssets[Asset ID])),IF(AND((_xlfn.XMATCH(BZ$8,$AH$8:$CC$8))-_xlfn.XMATCH($C213,$C$35:$C$82)+1&lt;=_xlpm.DepreciationMonths,$C213&lt;=BZ$8),$E213/_xlpm.DepreciationMonths,0))</f>
        <v>0</v>
      </c>
      <c r="CA213" s="507" cm="1">
        <f t="array" ref="CA213">_xlfn.LET(_xlpm.DepreciationMonths,INDEX(FixedAssets[Depreciation
/ Amortization Months],_xlfn.XMATCH($E$186,FixedAssets[Asset ID])),IF(AND((_xlfn.XMATCH(CA$8,$AH$8:$CC$8))-_xlfn.XMATCH($C213,$C$35:$C$82)+1&lt;=_xlpm.DepreciationMonths,$C213&lt;=CA$8),$E213/_xlpm.DepreciationMonths,0))</f>
        <v>0</v>
      </c>
      <c r="CB213" s="507" cm="1">
        <f t="array" ref="CB213">_xlfn.LET(_xlpm.DepreciationMonths,INDEX(FixedAssets[Depreciation
/ Amortization Months],_xlfn.XMATCH($E$186,FixedAssets[Asset ID])),IF(AND((_xlfn.XMATCH(CB$8,$AH$8:$CC$8))-_xlfn.XMATCH($C213,$C$35:$C$82)+1&lt;=_xlpm.DepreciationMonths,$C213&lt;=CB$8),$E213/_xlpm.DepreciationMonths,0))</f>
        <v>0</v>
      </c>
      <c r="CC213" s="507" cm="1">
        <f t="array" ref="CC213">_xlfn.LET(_xlpm.DepreciationMonths,INDEX(FixedAssets[Depreciation
/ Amortization Months],_xlfn.XMATCH($E$186,FixedAssets[Asset ID])),IF(AND((_xlfn.XMATCH(CC$8,$AH$8:$CC$8))-_xlfn.XMATCH($C213,$C$35:$C$82)+1&lt;=_xlpm.DepreciationMonths,$C213&lt;=CC$8),$E213/_xlpm.DepreciationMonths,0))</f>
        <v>0</v>
      </c>
    </row>
    <row r="214" spans="3:81" hidden="1" outlineLevel="2">
      <c r="C214" s="664">
        <f t="shared" si="256"/>
        <v>45747</v>
      </c>
      <c r="D214" s="508"/>
      <c r="E214" s="508" cm="1">
        <f t="array" ref="E214">SUMPRODUCT(($AH$26:$CC$31)*($AH$5:$CC$5=$C214)*($E$26:$E$31=E$186))-SUMPRODUCT(($AH$26:$CC$31)*($AH$5:$CC$5=EOMONTH($C214,-1))*($E$26:$E$31=E$186))</f>
        <v>0</v>
      </c>
      <c r="F214" s="508"/>
      <c r="G214" s="508"/>
      <c r="H214" s="508"/>
      <c r="I214" s="508"/>
      <c r="J214" s="504">
        <f t="shared" si="254"/>
        <v>0</v>
      </c>
      <c r="K214" s="504">
        <f t="shared" si="254"/>
        <v>0</v>
      </c>
      <c r="L214" s="504">
        <f t="shared" si="254"/>
        <v>0</v>
      </c>
      <c r="M214" s="504">
        <f t="shared" si="254"/>
        <v>0</v>
      </c>
      <c r="N214" s="504"/>
      <c r="O214" s="504"/>
      <c r="P214" s="504">
        <f t="shared" si="258"/>
        <v>0</v>
      </c>
      <c r="Q214" s="504">
        <f t="shared" si="258"/>
        <v>0</v>
      </c>
      <c r="R214" s="504">
        <f t="shared" si="258"/>
        <v>0</v>
      </c>
      <c r="S214" s="504">
        <f t="shared" si="258"/>
        <v>0</v>
      </c>
      <c r="T214" s="504">
        <f t="shared" si="258"/>
        <v>0</v>
      </c>
      <c r="U214" s="504">
        <f t="shared" si="258"/>
        <v>0</v>
      </c>
      <c r="V214" s="504">
        <f t="shared" si="258"/>
        <v>0</v>
      </c>
      <c r="W214" s="504">
        <f t="shared" si="258"/>
        <v>0</v>
      </c>
      <c r="X214" s="504">
        <f t="shared" si="258"/>
        <v>0</v>
      </c>
      <c r="Y214" s="504">
        <f t="shared" si="258"/>
        <v>0</v>
      </c>
      <c r="Z214" s="504">
        <f t="shared" si="258"/>
        <v>0</v>
      </c>
      <c r="AA214" s="504">
        <f t="shared" si="258"/>
        <v>0</v>
      </c>
      <c r="AB214" s="504">
        <f t="shared" si="258"/>
        <v>0</v>
      </c>
      <c r="AC214" s="504">
        <f t="shared" si="258"/>
        <v>0</v>
      </c>
      <c r="AD214" s="504">
        <f t="shared" si="258"/>
        <v>0</v>
      </c>
      <c r="AE214" s="504">
        <f t="shared" si="258"/>
        <v>0</v>
      </c>
      <c r="AF214" s="508"/>
      <c r="AG214" s="508"/>
      <c r="AH214" s="507" cm="1">
        <f t="array" ref="AH214">_xlfn.LET(_xlpm.DepreciationMonths,INDEX(FixedAssets[Depreciation
/ Amortization Months],_xlfn.XMATCH($E$186,FixedAssets[Asset ID])),IF(AND((_xlfn.XMATCH(AH$8,$AH$8:$CC$8))-_xlfn.XMATCH($C214,$C$35:$C$82)+1&lt;=_xlpm.DepreciationMonths,$C214&lt;=AH$8),$E214/_xlpm.DepreciationMonths,0))</f>
        <v>0</v>
      </c>
      <c r="AI214" s="507" cm="1">
        <f t="array" ref="AI214">_xlfn.LET(_xlpm.DepreciationMonths,INDEX(FixedAssets[Depreciation
/ Amortization Months],_xlfn.XMATCH($E$186,FixedAssets[Asset ID])),IF(AND((_xlfn.XMATCH(AI$8,$AH$8:$CC$8))-_xlfn.XMATCH($C214,$C$35:$C$82)+1&lt;=_xlpm.DepreciationMonths,$C214&lt;=AI$8),$E214/_xlpm.DepreciationMonths,0))</f>
        <v>0</v>
      </c>
      <c r="AJ214" s="507" cm="1">
        <f t="array" ref="AJ214">_xlfn.LET(_xlpm.DepreciationMonths,INDEX(FixedAssets[Depreciation
/ Amortization Months],_xlfn.XMATCH($E$186,FixedAssets[Asset ID])),IF(AND((_xlfn.XMATCH(AJ$8,$AH$8:$CC$8))-_xlfn.XMATCH($C214,$C$35:$C$82)+1&lt;=_xlpm.DepreciationMonths,$C214&lt;=AJ$8),$E214/_xlpm.DepreciationMonths,0))</f>
        <v>0</v>
      </c>
      <c r="AK214" s="507" cm="1">
        <f t="array" ref="AK214">_xlfn.LET(_xlpm.DepreciationMonths,INDEX(FixedAssets[Depreciation
/ Amortization Months],_xlfn.XMATCH($E$186,FixedAssets[Asset ID])),IF(AND((_xlfn.XMATCH(AK$8,$AH$8:$CC$8))-_xlfn.XMATCH($C214,$C$35:$C$82)+1&lt;=_xlpm.DepreciationMonths,$C214&lt;=AK$8),$E214/_xlpm.DepreciationMonths,0))</f>
        <v>0</v>
      </c>
      <c r="AL214" s="507" cm="1">
        <f t="array" ref="AL214">_xlfn.LET(_xlpm.DepreciationMonths,INDEX(FixedAssets[Depreciation
/ Amortization Months],_xlfn.XMATCH($E$186,FixedAssets[Asset ID])),IF(AND((_xlfn.XMATCH(AL$8,$AH$8:$CC$8))-_xlfn.XMATCH($C214,$C$35:$C$82)+1&lt;=_xlpm.DepreciationMonths,$C214&lt;=AL$8),$E214/_xlpm.DepreciationMonths,0))</f>
        <v>0</v>
      </c>
      <c r="AM214" s="507" cm="1">
        <f t="array" ref="AM214">_xlfn.LET(_xlpm.DepreciationMonths,INDEX(FixedAssets[Depreciation
/ Amortization Months],_xlfn.XMATCH($E$186,FixedAssets[Asset ID])),IF(AND((_xlfn.XMATCH(AM$8,$AH$8:$CC$8))-_xlfn.XMATCH($C214,$C$35:$C$82)+1&lt;=_xlpm.DepreciationMonths,$C214&lt;=AM$8),$E214/_xlpm.DepreciationMonths,0))</f>
        <v>0</v>
      </c>
      <c r="AN214" s="507" cm="1">
        <f t="array" ref="AN214">_xlfn.LET(_xlpm.DepreciationMonths,INDEX(FixedAssets[Depreciation
/ Amortization Months],_xlfn.XMATCH($E$186,FixedAssets[Asset ID])),IF(AND((_xlfn.XMATCH(AN$8,$AH$8:$CC$8))-_xlfn.XMATCH($C214,$C$35:$C$82)+1&lt;=_xlpm.DepreciationMonths,$C214&lt;=AN$8),$E214/_xlpm.DepreciationMonths,0))</f>
        <v>0</v>
      </c>
      <c r="AO214" s="507" cm="1">
        <f t="array" ref="AO214">_xlfn.LET(_xlpm.DepreciationMonths,INDEX(FixedAssets[Depreciation
/ Amortization Months],_xlfn.XMATCH($E$186,FixedAssets[Asset ID])),IF(AND((_xlfn.XMATCH(AO$8,$AH$8:$CC$8))-_xlfn.XMATCH($C214,$C$35:$C$82)+1&lt;=_xlpm.DepreciationMonths,$C214&lt;=AO$8),$E214/_xlpm.DepreciationMonths,0))</f>
        <v>0</v>
      </c>
      <c r="AP214" s="507" cm="1">
        <f t="array" ref="AP214">_xlfn.LET(_xlpm.DepreciationMonths,INDEX(FixedAssets[Depreciation
/ Amortization Months],_xlfn.XMATCH($E$186,FixedAssets[Asset ID])),IF(AND((_xlfn.XMATCH(AP$8,$AH$8:$CC$8))-_xlfn.XMATCH($C214,$C$35:$C$82)+1&lt;=_xlpm.DepreciationMonths,$C214&lt;=AP$8),$E214/_xlpm.DepreciationMonths,0))</f>
        <v>0</v>
      </c>
      <c r="AQ214" s="507" cm="1">
        <f t="array" ref="AQ214">_xlfn.LET(_xlpm.DepreciationMonths,INDEX(FixedAssets[Depreciation
/ Amortization Months],_xlfn.XMATCH($E$186,FixedAssets[Asset ID])),IF(AND((_xlfn.XMATCH(AQ$8,$AH$8:$CC$8))-_xlfn.XMATCH($C214,$C$35:$C$82)+1&lt;=_xlpm.DepreciationMonths,$C214&lt;=AQ$8),$E214/_xlpm.DepreciationMonths,0))</f>
        <v>0</v>
      </c>
      <c r="AR214" s="507" cm="1">
        <f t="array" ref="AR214">_xlfn.LET(_xlpm.DepreciationMonths,INDEX(FixedAssets[Depreciation
/ Amortization Months],_xlfn.XMATCH($E$186,FixedAssets[Asset ID])),IF(AND((_xlfn.XMATCH(AR$8,$AH$8:$CC$8))-_xlfn.XMATCH($C214,$C$35:$C$82)+1&lt;=_xlpm.DepreciationMonths,$C214&lt;=AR$8),$E214/_xlpm.DepreciationMonths,0))</f>
        <v>0</v>
      </c>
      <c r="AS214" s="507" cm="1">
        <f t="array" ref="AS214">_xlfn.LET(_xlpm.DepreciationMonths,INDEX(FixedAssets[Depreciation
/ Amortization Months],_xlfn.XMATCH($E$186,FixedAssets[Asset ID])),IF(AND((_xlfn.XMATCH(AS$8,$AH$8:$CC$8))-_xlfn.XMATCH($C214,$C$35:$C$82)+1&lt;=_xlpm.DepreciationMonths,$C214&lt;=AS$8),$E214/_xlpm.DepreciationMonths,0))</f>
        <v>0</v>
      </c>
      <c r="AT214" s="507" cm="1">
        <f t="array" ref="AT214">_xlfn.LET(_xlpm.DepreciationMonths,INDEX(FixedAssets[Depreciation
/ Amortization Months],_xlfn.XMATCH($E$186,FixedAssets[Asset ID])),IF(AND((_xlfn.XMATCH(AT$8,$AH$8:$CC$8))-_xlfn.XMATCH($C214,$C$35:$C$82)+1&lt;=_xlpm.DepreciationMonths,$C214&lt;=AT$8),$E214/_xlpm.DepreciationMonths,0))</f>
        <v>0</v>
      </c>
      <c r="AU214" s="507" cm="1">
        <f t="array" ref="AU214">_xlfn.LET(_xlpm.DepreciationMonths,INDEX(FixedAssets[Depreciation
/ Amortization Months],_xlfn.XMATCH($E$186,FixedAssets[Asset ID])),IF(AND((_xlfn.XMATCH(AU$8,$AH$8:$CC$8))-_xlfn.XMATCH($C214,$C$35:$C$82)+1&lt;=_xlpm.DepreciationMonths,$C214&lt;=AU$8),$E214/_xlpm.DepreciationMonths,0))</f>
        <v>0</v>
      </c>
      <c r="AV214" s="507" cm="1">
        <f t="array" ref="AV214">_xlfn.LET(_xlpm.DepreciationMonths,INDEX(FixedAssets[Depreciation
/ Amortization Months],_xlfn.XMATCH($E$186,FixedAssets[Asset ID])),IF(AND((_xlfn.XMATCH(AV$8,$AH$8:$CC$8))-_xlfn.XMATCH($C214,$C$35:$C$82)+1&lt;=_xlpm.DepreciationMonths,$C214&lt;=AV$8),$E214/_xlpm.DepreciationMonths,0))</f>
        <v>0</v>
      </c>
      <c r="AW214" s="507" cm="1">
        <f t="array" ref="AW214">_xlfn.LET(_xlpm.DepreciationMonths,INDEX(FixedAssets[Depreciation
/ Amortization Months],_xlfn.XMATCH($E$186,FixedAssets[Asset ID])),IF(AND((_xlfn.XMATCH(AW$8,$AH$8:$CC$8))-_xlfn.XMATCH($C214,$C$35:$C$82)+1&lt;=_xlpm.DepreciationMonths,$C214&lt;=AW$8),$E214/_xlpm.DepreciationMonths,0))</f>
        <v>0</v>
      </c>
      <c r="AX214" s="507" cm="1">
        <f t="array" ref="AX214">_xlfn.LET(_xlpm.DepreciationMonths,INDEX(FixedAssets[Depreciation
/ Amortization Months],_xlfn.XMATCH($E$186,FixedAssets[Asset ID])),IF(AND((_xlfn.XMATCH(AX$8,$AH$8:$CC$8))-_xlfn.XMATCH($C214,$C$35:$C$82)+1&lt;=_xlpm.DepreciationMonths,$C214&lt;=AX$8),$E214/_xlpm.DepreciationMonths,0))</f>
        <v>0</v>
      </c>
      <c r="AY214" s="507" cm="1">
        <f t="array" ref="AY214">_xlfn.LET(_xlpm.DepreciationMonths,INDEX(FixedAssets[Depreciation
/ Amortization Months],_xlfn.XMATCH($E$186,FixedAssets[Asset ID])),IF(AND((_xlfn.XMATCH(AY$8,$AH$8:$CC$8))-_xlfn.XMATCH($C214,$C$35:$C$82)+1&lt;=_xlpm.DepreciationMonths,$C214&lt;=AY$8),$E214/_xlpm.DepreciationMonths,0))</f>
        <v>0</v>
      </c>
      <c r="AZ214" s="507" cm="1">
        <f t="array" ref="AZ214">_xlfn.LET(_xlpm.DepreciationMonths,INDEX(FixedAssets[Depreciation
/ Amortization Months],_xlfn.XMATCH($E$186,FixedAssets[Asset ID])),IF(AND((_xlfn.XMATCH(AZ$8,$AH$8:$CC$8))-_xlfn.XMATCH($C214,$C$35:$C$82)+1&lt;=_xlpm.DepreciationMonths,$C214&lt;=AZ$8),$E214/_xlpm.DepreciationMonths,0))</f>
        <v>0</v>
      </c>
      <c r="BA214" s="507" cm="1">
        <f t="array" ref="BA214">_xlfn.LET(_xlpm.DepreciationMonths,INDEX(FixedAssets[Depreciation
/ Amortization Months],_xlfn.XMATCH($E$186,FixedAssets[Asset ID])),IF(AND((_xlfn.XMATCH(BA$8,$AH$8:$CC$8))-_xlfn.XMATCH($C214,$C$35:$C$82)+1&lt;=_xlpm.DepreciationMonths,$C214&lt;=BA$8),$E214/_xlpm.DepreciationMonths,0))</f>
        <v>0</v>
      </c>
      <c r="BB214" s="507" cm="1">
        <f t="array" ref="BB214">_xlfn.LET(_xlpm.DepreciationMonths,INDEX(FixedAssets[Depreciation
/ Amortization Months],_xlfn.XMATCH($E$186,FixedAssets[Asset ID])),IF(AND((_xlfn.XMATCH(BB$8,$AH$8:$CC$8))-_xlfn.XMATCH($C214,$C$35:$C$82)+1&lt;=_xlpm.DepreciationMonths,$C214&lt;=BB$8),$E214/_xlpm.DepreciationMonths,0))</f>
        <v>0</v>
      </c>
      <c r="BC214" s="507" cm="1">
        <f t="array" ref="BC214">_xlfn.LET(_xlpm.DepreciationMonths,INDEX(FixedAssets[Depreciation
/ Amortization Months],_xlfn.XMATCH($E$186,FixedAssets[Asset ID])),IF(AND((_xlfn.XMATCH(BC$8,$AH$8:$CC$8))-_xlfn.XMATCH($C214,$C$35:$C$82)+1&lt;=_xlpm.DepreciationMonths,$C214&lt;=BC$8),$E214/_xlpm.DepreciationMonths,0))</f>
        <v>0</v>
      </c>
      <c r="BD214" s="507" cm="1">
        <f t="array" ref="BD214">_xlfn.LET(_xlpm.DepreciationMonths,INDEX(FixedAssets[Depreciation
/ Amortization Months],_xlfn.XMATCH($E$186,FixedAssets[Asset ID])),IF(AND((_xlfn.XMATCH(BD$8,$AH$8:$CC$8))-_xlfn.XMATCH($C214,$C$35:$C$82)+1&lt;=_xlpm.DepreciationMonths,$C214&lt;=BD$8),$E214/_xlpm.DepreciationMonths,0))</f>
        <v>0</v>
      </c>
      <c r="BE214" s="507" cm="1">
        <f t="array" ref="BE214">_xlfn.LET(_xlpm.DepreciationMonths,INDEX(FixedAssets[Depreciation
/ Amortization Months],_xlfn.XMATCH($E$186,FixedAssets[Asset ID])),IF(AND((_xlfn.XMATCH(BE$8,$AH$8:$CC$8))-_xlfn.XMATCH($C214,$C$35:$C$82)+1&lt;=_xlpm.DepreciationMonths,$C214&lt;=BE$8),$E214/_xlpm.DepreciationMonths,0))</f>
        <v>0</v>
      </c>
      <c r="BF214" s="507" cm="1">
        <f t="array" ref="BF214">_xlfn.LET(_xlpm.DepreciationMonths,INDEX(FixedAssets[Depreciation
/ Amortization Months],_xlfn.XMATCH($E$186,FixedAssets[Asset ID])),IF(AND((_xlfn.XMATCH(BF$8,$AH$8:$CC$8))-_xlfn.XMATCH($C214,$C$35:$C$82)+1&lt;=_xlpm.DepreciationMonths,$C214&lt;=BF$8),$E214/_xlpm.DepreciationMonths,0))</f>
        <v>0</v>
      </c>
      <c r="BG214" s="507" cm="1">
        <f t="array" ref="BG214">_xlfn.LET(_xlpm.DepreciationMonths,INDEX(FixedAssets[Depreciation
/ Amortization Months],_xlfn.XMATCH($E$186,FixedAssets[Asset ID])),IF(AND((_xlfn.XMATCH(BG$8,$AH$8:$CC$8))-_xlfn.XMATCH($C214,$C$35:$C$82)+1&lt;=_xlpm.DepreciationMonths,$C214&lt;=BG$8),$E214/_xlpm.DepreciationMonths,0))</f>
        <v>0</v>
      </c>
      <c r="BH214" s="507" cm="1">
        <f t="array" ref="BH214">_xlfn.LET(_xlpm.DepreciationMonths,INDEX(FixedAssets[Depreciation
/ Amortization Months],_xlfn.XMATCH($E$186,FixedAssets[Asset ID])),IF(AND((_xlfn.XMATCH(BH$8,$AH$8:$CC$8))-_xlfn.XMATCH($C214,$C$35:$C$82)+1&lt;=_xlpm.DepreciationMonths,$C214&lt;=BH$8),$E214/_xlpm.DepreciationMonths,0))</f>
        <v>0</v>
      </c>
      <c r="BI214" s="507" cm="1">
        <f t="array" ref="BI214">_xlfn.LET(_xlpm.DepreciationMonths,INDEX(FixedAssets[Depreciation
/ Amortization Months],_xlfn.XMATCH($E$186,FixedAssets[Asset ID])),IF(AND((_xlfn.XMATCH(BI$8,$AH$8:$CC$8))-_xlfn.XMATCH($C214,$C$35:$C$82)+1&lt;=_xlpm.DepreciationMonths,$C214&lt;=BI$8),$E214/_xlpm.DepreciationMonths,0))</f>
        <v>0</v>
      </c>
      <c r="BJ214" s="507" cm="1">
        <f t="array" ref="BJ214">_xlfn.LET(_xlpm.DepreciationMonths,INDEX(FixedAssets[Depreciation
/ Amortization Months],_xlfn.XMATCH($E$186,FixedAssets[Asset ID])),IF(AND((_xlfn.XMATCH(BJ$8,$AH$8:$CC$8))-_xlfn.XMATCH($C214,$C$35:$C$82)+1&lt;=_xlpm.DepreciationMonths,$C214&lt;=BJ$8),$E214/_xlpm.DepreciationMonths,0))</f>
        <v>0</v>
      </c>
      <c r="BK214" s="507" cm="1">
        <f t="array" ref="BK214">_xlfn.LET(_xlpm.DepreciationMonths,INDEX(FixedAssets[Depreciation
/ Amortization Months],_xlfn.XMATCH($E$186,FixedAssets[Asset ID])),IF(AND((_xlfn.XMATCH(BK$8,$AH$8:$CC$8))-_xlfn.XMATCH($C214,$C$35:$C$82)+1&lt;=_xlpm.DepreciationMonths,$C214&lt;=BK$8),$E214/_xlpm.DepreciationMonths,0))</f>
        <v>0</v>
      </c>
      <c r="BL214" s="507" cm="1">
        <f t="array" ref="BL214">_xlfn.LET(_xlpm.DepreciationMonths,INDEX(FixedAssets[Depreciation
/ Amortization Months],_xlfn.XMATCH($E$186,FixedAssets[Asset ID])),IF(AND((_xlfn.XMATCH(BL$8,$AH$8:$CC$8))-_xlfn.XMATCH($C214,$C$35:$C$82)+1&lt;=_xlpm.DepreciationMonths,$C214&lt;=BL$8),$E214/_xlpm.DepreciationMonths,0))</f>
        <v>0</v>
      </c>
      <c r="BM214" s="507" cm="1">
        <f t="array" ref="BM214">_xlfn.LET(_xlpm.DepreciationMonths,INDEX(FixedAssets[Depreciation
/ Amortization Months],_xlfn.XMATCH($E$186,FixedAssets[Asset ID])),IF(AND((_xlfn.XMATCH(BM$8,$AH$8:$CC$8))-_xlfn.XMATCH($C214,$C$35:$C$82)+1&lt;=_xlpm.DepreciationMonths,$C214&lt;=BM$8),$E214/_xlpm.DepreciationMonths,0))</f>
        <v>0</v>
      </c>
      <c r="BN214" s="507" cm="1">
        <f t="array" ref="BN214">_xlfn.LET(_xlpm.DepreciationMonths,INDEX(FixedAssets[Depreciation
/ Amortization Months],_xlfn.XMATCH($E$186,FixedAssets[Asset ID])),IF(AND((_xlfn.XMATCH(BN$8,$AH$8:$CC$8))-_xlfn.XMATCH($C214,$C$35:$C$82)+1&lt;=_xlpm.DepreciationMonths,$C214&lt;=BN$8),$E214/_xlpm.DepreciationMonths,0))</f>
        <v>0</v>
      </c>
      <c r="BO214" s="507" cm="1">
        <f t="array" ref="BO214">_xlfn.LET(_xlpm.DepreciationMonths,INDEX(FixedAssets[Depreciation
/ Amortization Months],_xlfn.XMATCH($E$186,FixedAssets[Asset ID])),IF(AND((_xlfn.XMATCH(BO$8,$AH$8:$CC$8))-_xlfn.XMATCH($C214,$C$35:$C$82)+1&lt;=_xlpm.DepreciationMonths,$C214&lt;=BO$8),$E214/_xlpm.DepreciationMonths,0))</f>
        <v>0</v>
      </c>
      <c r="BP214" s="507" cm="1">
        <f t="array" ref="BP214">_xlfn.LET(_xlpm.DepreciationMonths,INDEX(FixedAssets[Depreciation
/ Amortization Months],_xlfn.XMATCH($E$186,FixedAssets[Asset ID])),IF(AND((_xlfn.XMATCH(BP$8,$AH$8:$CC$8))-_xlfn.XMATCH($C214,$C$35:$C$82)+1&lt;=_xlpm.DepreciationMonths,$C214&lt;=BP$8),$E214/_xlpm.DepreciationMonths,0))</f>
        <v>0</v>
      </c>
      <c r="BQ214" s="507" cm="1">
        <f t="array" ref="BQ214">_xlfn.LET(_xlpm.DepreciationMonths,INDEX(FixedAssets[Depreciation
/ Amortization Months],_xlfn.XMATCH($E$186,FixedAssets[Asset ID])),IF(AND((_xlfn.XMATCH(BQ$8,$AH$8:$CC$8))-_xlfn.XMATCH($C214,$C$35:$C$82)+1&lt;=_xlpm.DepreciationMonths,$C214&lt;=BQ$8),$E214/_xlpm.DepreciationMonths,0))</f>
        <v>0</v>
      </c>
      <c r="BR214" s="507" cm="1">
        <f t="array" ref="BR214">_xlfn.LET(_xlpm.DepreciationMonths,INDEX(FixedAssets[Depreciation
/ Amortization Months],_xlfn.XMATCH($E$186,FixedAssets[Asset ID])),IF(AND((_xlfn.XMATCH(BR$8,$AH$8:$CC$8))-_xlfn.XMATCH($C214,$C$35:$C$82)+1&lt;=_xlpm.DepreciationMonths,$C214&lt;=BR$8),$E214/_xlpm.DepreciationMonths,0))</f>
        <v>0</v>
      </c>
      <c r="BS214" s="507" cm="1">
        <f t="array" ref="BS214">_xlfn.LET(_xlpm.DepreciationMonths,INDEX(FixedAssets[Depreciation
/ Amortization Months],_xlfn.XMATCH($E$186,FixedAssets[Asset ID])),IF(AND((_xlfn.XMATCH(BS$8,$AH$8:$CC$8))-_xlfn.XMATCH($C214,$C$35:$C$82)+1&lt;=_xlpm.DepreciationMonths,$C214&lt;=BS$8),$E214/_xlpm.DepreciationMonths,0))</f>
        <v>0</v>
      </c>
      <c r="BT214" s="507" cm="1">
        <f t="array" ref="BT214">_xlfn.LET(_xlpm.DepreciationMonths,INDEX(FixedAssets[Depreciation
/ Amortization Months],_xlfn.XMATCH($E$186,FixedAssets[Asset ID])),IF(AND((_xlfn.XMATCH(BT$8,$AH$8:$CC$8))-_xlfn.XMATCH($C214,$C$35:$C$82)+1&lt;=_xlpm.DepreciationMonths,$C214&lt;=BT$8),$E214/_xlpm.DepreciationMonths,0))</f>
        <v>0</v>
      </c>
      <c r="BU214" s="507" cm="1">
        <f t="array" ref="BU214">_xlfn.LET(_xlpm.DepreciationMonths,INDEX(FixedAssets[Depreciation
/ Amortization Months],_xlfn.XMATCH($E$186,FixedAssets[Asset ID])),IF(AND((_xlfn.XMATCH(BU$8,$AH$8:$CC$8))-_xlfn.XMATCH($C214,$C$35:$C$82)+1&lt;=_xlpm.DepreciationMonths,$C214&lt;=BU$8),$E214/_xlpm.DepreciationMonths,0))</f>
        <v>0</v>
      </c>
      <c r="BV214" s="507" cm="1">
        <f t="array" ref="BV214">_xlfn.LET(_xlpm.DepreciationMonths,INDEX(FixedAssets[Depreciation
/ Amortization Months],_xlfn.XMATCH($E$186,FixedAssets[Asset ID])),IF(AND((_xlfn.XMATCH(BV$8,$AH$8:$CC$8))-_xlfn.XMATCH($C214,$C$35:$C$82)+1&lt;=_xlpm.DepreciationMonths,$C214&lt;=BV$8),$E214/_xlpm.DepreciationMonths,0))</f>
        <v>0</v>
      </c>
      <c r="BW214" s="507" cm="1">
        <f t="array" ref="BW214">_xlfn.LET(_xlpm.DepreciationMonths,INDEX(FixedAssets[Depreciation
/ Amortization Months],_xlfn.XMATCH($E$186,FixedAssets[Asset ID])),IF(AND((_xlfn.XMATCH(BW$8,$AH$8:$CC$8))-_xlfn.XMATCH($C214,$C$35:$C$82)+1&lt;=_xlpm.DepreciationMonths,$C214&lt;=BW$8),$E214/_xlpm.DepreciationMonths,0))</f>
        <v>0</v>
      </c>
      <c r="BX214" s="507" cm="1">
        <f t="array" ref="BX214">_xlfn.LET(_xlpm.DepreciationMonths,INDEX(FixedAssets[Depreciation
/ Amortization Months],_xlfn.XMATCH($E$186,FixedAssets[Asset ID])),IF(AND((_xlfn.XMATCH(BX$8,$AH$8:$CC$8))-_xlfn.XMATCH($C214,$C$35:$C$82)+1&lt;=_xlpm.DepreciationMonths,$C214&lt;=BX$8),$E214/_xlpm.DepreciationMonths,0))</f>
        <v>0</v>
      </c>
      <c r="BY214" s="507" cm="1">
        <f t="array" ref="BY214">_xlfn.LET(_xlpm.DepreciationMonths,INDEX(FixedAssets[Depreciation
/ Amortization Months],_xlfn.XMATCH($E$186,FixedAssets[Asset ID])),IF(AND((_xlfn.XMATCH(BY$8,$AH$8:$CC$8))-_xlfn.XMATCH($C214,$C$35:$C$82)+1&lt;=_xlpm.DepreciationMonths,$C214&lt;=BY$8),$E214/_xlpm.DepreciationMonths,0))</f>
        <v>0</v>
      </c>
      <c r="BZ214" s="507" cm="1">
        <f t="array" ref="BZ214">_xlfn.LET(_xlpm.DepreciationMonths,INDEX(FixedAssets[Depreciation
/ Amortization Months],_xlfn.XMATCH($E$186,FixedAssets[Asset ID])),IF(AND((_xlfn.XMATCH(BZ$8,$AH$8:$CC$8))-_xlfn.XMATCH($C214,$C$35:$C$82)+1&lt;=_xlpm.DepreciationMonths,$C214&lt;=BZ$8),$E214/_xlpm.DepreciationMonths,0))</f>
        <v>0</v>
      </c>
      <c r="CA214" s="507" cm="1">
        <f t="array" ref="CA214">_xlfn.LET(_xlpm.DepreciationMonths,INDEX(FixedAssets[Depreciation
/ Amortization Months],_xlfn.XMATCH($E$186,FixedAssets[Asset ID])),IF(AND((_xlfn.XMATCH(CA$8,$AH$8:$CC$8))-_xlfn.XMATCH($C214,$C$35:$C$82)+1&lt;=_xlpm.DepreciationMonths,$C214&lt;=CA$8),$E214/_xlpm.DepreciationMonths,0))</f>
        <v>0</v>
      </c>
      <c r="CB214" s="507" cm="1">
        <f t="array" ref="CB214">_xlfn.LET(_xlpm.DepreciationMonths,INDEX(FixedAssets[Depreciation
/ Amortization Months],_xlfn.XMATCH($E$186,FixedAssets[Asset ID])),IF(AND((_xlfn.XMATCH(CB$8,$AH$8:$CC$8))-_xlfn.XMATCH($C214,$C$35:$C$82)+1&lt;=_xlpm.DepreciationMonths,$C214&lt;=CB$8),$E214/_xlpm.DepreciationMonths,0))</f>
        <v>0</v>
      </c>
      <c r="CC214" s="507" cm="1">
        <f t="array" ref="CC214">_xlfn.LET(_xlpm.DepreciationMonths,INDEX(FixedAssets[Depreciation
/ Amortization Months],_xlfn.XMATCH($E$186,FixedAssets[Asset ID])),IF(AND((_xlfn.XMATCH(CC$8,$AH$8:$CC$8))-_xlfn.XMATCH($C214,$C$35:$C$82)+1&lt;=_xlpm.DepreciationMonths,$C214&lt;=CC$8),$E214/_xlpm.DepreciationMonths,0))</f>
        <v>0</v>
      </c>
    </row>
    <row r="215" spans="3:81" hidden="1" outlineLevel="2">
      <c r="C215" s="664">
        <f t="shared" si="256"/>
        <v>45777</v>
      </c>
      <c r="D215" s="508"/>
      <c r="E215" s="508" cm="1">
        <f t="array" ref="E215">SUMPRODUCT(($AH$26:$CC$31)*($AH$5:$CC$5=$C215)*($E$26:$E$31=E$186))-SUMPRODUCT(($AH$26:$CC$31)*($AH$5:$CC$5=EOMONTH($C215,-1))*($E$26:$E$31=E$186))</f>
        <v>0</v>
      </c>
      <c r="F215" s="508"/>
      <c r="G215" s="508"/>
      <c r="H215" s="508"/>
      <c r="I215" s="508"/>
      <c r="J215" s="504">
        <f t="shared" si="254"/>
        <v>0</v>
      </c>
      <c r="K215" s="504">
        <f t="shared" si="254"/>
        <v>0</v>
      </c>
      <c r="L215" s="504">
        <f t="shared" si="254"/>
        <v>0</v>
      </c>
      <c r="M215" s="504">
        <f t="shared" si="254"/>
        <v>0</v>
      </c>
      <c r="N215" s="504"/>
      <c r="O215" s="504"/>
      <c r="P215" s="504">
        <f t="shared" si="258"/>
        <v>0</v>
      </c>
      <c r="Q215" s="504">
        <f t="shared" si="258"/>
        <v>0</v>
      </c>
      <c r="R215" s="504">
        <f t="shared" si="258"/>
        <v>0</v>
      </c>
      <c r="S215" s="504">
        <f t="shared" si="258"/>
        <v>0</v>
      </c>
      <c r="T215" s="504">
        <f t="shared" si="258"/>
        <v>0</v>
      </c>
      <c r="U215" s="504">
        <f t="shared" si="258"/>
        <v>0</v>
      </c>
      <c r="V215" s="504">
        <f t="shared" si="258"/>
        <v>0</v>
      </c>
      <c r="W215" s="504">
        <f t="shared" si="258"/>
        <v>0</v>
      </c>
      <c r="X215" s="504">
        <f t="shared" si="258"/>
        <v>0</v>
      </c>
      <c r="Y215" s="504">
        <f t="shared" si="258"/>
        <v>0</v>
      </c>
      <c r="Z215" s="504">
        <f t="shared" si="258"/>
        <v>0</v>
      </c>
      <c r="AA215" s="504">
        <f t="shared" si="258"/>
        <v>0</v>
      </c>
      <c r="AB215" s="504">
        <f t="shared" si="258"/>
        <v>0</v>
      </c>
      <c r="AC215" s="504">
        <f t="shared" si="258"/>
        <v>0</v>
      </c>
      <c r="AD215" s="504">
        <f t="shared" si="258"/>
        <v>0</v>
      </c>
      <c r="AE215" s="504">
        <f t="shared" si="258"/>
        <v>0</v>
      </c>
      <c r="AF215" s="508"/>
      <c r="AG215" s="508"/>
      <c r="AH215" s="507" cm="1">
        <f t="array" ref="AH215">_xlfn.LET(_xlpm.DepreciationMonths,INDEX(FixedAssets[Depreciation
/ Amortization Months],_xlfn.XMATCH($E$186,FixedAssets[Asset ID])),IF(AND((_xlfn.XMATCH(AH$8,$AH$8:$CC$8))-_xlfn.XMATCH($C215,$C$35:$C$82)+1&lt;=_xlpm.DepreciationMonths,$C215&lt;=AH$8),$E215/_xlpm.DepreciationMonths,0))</f>
        <v>0</v>
      </c>
      <c r="AI215" s="507" cm="1">
        <f t="array" ref="AI215">_xlfn.LET(_xlpm.DepreciationMonths,INDEX(FixedAssets[Depreciation
/ Amortization Months],_xlfn.XMATCH($E$186,FixedAssets[Asset ID])),IF(AND((_xlfn.XMATCH(AI$8,$AH$8:$CC$8))-_xlfn.XMATCH($C215,$C$35:$C$82)+1&lt;=_xlpm.DepreciationMonths,$C215&lt;=AI$8),$E215/_xlpm.DepreciationMonths,0))</f>
        <v>0</v>
      </c>
      <c r="AJ215" s="507" cm="1">
        <f t="array" ref="AJ215">_xlfn.LET(_xlpm.DepreciationMonths,INDEX(FixedAssets[Depreciation
/ Amortization Months],_xlfn.XMATCH($E$186,FixedAssets[Asset ID])),IF(AND((_xlfn.XMATCH(AJ$8,$AH$8:$CC$8))-_xlfn.XMATCH($C215,$C$35:$C$82)+1&lt;=_xlpm.DepreciationMonths,$C215&lt;=AJ$8),$E215/_xlpm.DepreciationMonths,0))</f>
        <v>0</v>
      </c>
      <c r="AK215" s="507" cm="1">
        <f t="array" ref="AK215">_xlfn.LET(_xlpm.DepreciationMonths,INDEX(FixedAssets[Depreciation
/ Amortization Months],_xlfn.XMATCH($E$186,FixedAssets[Asset ID])),IF(AND((_xlfn.XMATCH(AK$8,$AH$8:$CC$8))-_xlfn.XMATCH($C215,$C$35:$C$82)+1&lt;=_xlpm.DepreciationMonths,$C215&lt;=AK$8),$E215/_xlpm.DepreciationMonths,0))</f>
        <v>0</v>
      </c>
      <c r="AL215" s="507" cm="1">
        <f t="array" ref="AL215">_xlfn.LET(_xlpm.DepreciationMonths,INDEX(FixedAssets[Depreciation
/ Amortization Months],_xlfn.XMATCH($E$186,FixedAssets[Asset ID])),IF(AND((_xlfn.XMATCH(AL$8,$AH$8:$CC$8))-_xlfn.XMATCH($C215,$C$35:$C$82)+1&lt;=_xlpm.DepreciationMonths,$C215&lt;=AL$8),$E215/_xlpm.DepreciationMonths,0))</f>
        <v>0</v>
      </c>
      <c r="AM215" s="507" cm="1">
        <f t="array" ref="AM215">_xlfn.LET(_xlpm.DepreciationMonths,INDEX(FixedAssets[Depreciation
/ Amortization Months],_xlfn.XMATCH($E$186,FixedAssets[Asset ID])),IF(AND((_xlfn.XMATCH(AM$8,$AH$8:$CC$8))-_xlfn.XMATCH($C215,$C$35:$C$82)+1&lt;=_xlpm.DepreciationMonths,$C215&lt;=AM$8),$E215/_xlpm.DepreciationMonths,0))</f>
        <v>0</v>
      </c>
      <c r="AN215" s="507" cm="1">
        <f t="array" ref="AN215">_xlfn.LET(_xlpm.DepreciationMonths,INDEX(FixedAssets[Depreciation
/ Amortization Months],_xlfn.XMATCH($E$186,FixedAssets[Asset ID])),IF(AND((_xlfn.XMATCH(AN$8,$AH$8:$CC$8))-_xlfn.XMATCH($C215,$C$35:$C$82)+1&lt;=_xlpm.DepreciationMonths,$C215&lt;=AN$8),$E215/_xlpm.DepreciationMonths,0))</f>
        <v>0</v>
      </c>
      <c r="AO215" s="507" cm="1">
        <f t="array" ref="AO215">_xlfn.LET(_xlpm.DepreciationMonths,INDEX(FixedAssets[Depreciation
/ Amortization Months],_xlfn.XMATCH($E$186,FixedAssets[Asset ID])),IF(AND((_xlfn.XMATCH(AO$8,$AH$8:$CC$8))-_xlfn.XMATCH($C215,$C$35:$C$82)+1&lt;=_xlpm.DepreciationMonths,$C215&lt;=AO$8),$E215/_xlpm.DepreciationMonths,0))</f>
        <v>0</v>
      </c>
      <c r="AP215" s="507" cm="1">
        <f t="array" ref="AP215">_xlfn.LET(_xlpm.DepreciationMonths,INDEX(FixedAssets[Depreciation
/ Amortization Months],_xlfn.XMATCH($E$186,FixedAssets[Asset ID])),IF(AND((_xlfn.XMATCH(AP$8,$AH$8:$CC$8))-_xlfn.XMATCH($C215,$C$35:$C$82)+1&lt;=_xlpm.DepreciationMonths,$C215&lt;=AP$8),$E215/_xlpm.DepreciationMonths,0))</f>
        <v>0</v>
      </c>
      <c r="AQ215" s="507" cm="1">
        <f t="array" ref="AQ215">_xlfn.LET(_xlpm.DepreciationMonths,INDEX(FixedAssets[Depreciation
/ Amortization Months],_xlfn.XMATCH($E$186,FixedAssets[Asset ID])),IF(AND((_xlfn.XMATCH(AQ$8,$AH$8:$CC$8))-_xlfn.XMATCH($C215,$C$35:$C$82)+1&lt;=_xlpm.DepreciationMonths,$C215&lt;=AQ$8),$E215/_xlpm.DepreciationMonths,0))</f>
        <v>0</v>
      </c>
      <c r="AR215" s="507" cm="1">
        <f t="array" ref="AR215">_xlfn.LET(_xlpm.DepreciationMonths,INDEX(FixedAssets[Depreciation
/ Amortization Months],_xlfn.XMATCH($E$186,FixedAssets[Asset ID])),IF(AND((_xlfn.XMATCH(AR$8,$AH$8:$CC$8))-_xlfn.XMATCH($C215,$C$35:$C$82)+1&lt;=_xlpm.DepreciationMonths,$C215&lt;=AR$8),$E215/_xlpm.DepreciationMonths,0))</f>
        <v>0</v>
      </c>
      <c r="AS215" s="507" cm="1">
        <f t="array" ref="AS215">_xlfn.LET(_xlpm.DepreciationMonths,INDEX(FixedAssets[Depreciation
/ Amortization Months],_xlfn.XMATCH($E$186,FixedAssets[Asset ID])),IF(AND((_xlfn.XMATCH(AS$8,$AH$8:$CC$8))-_xlfn.XMATCH($C215,$C$35:$C$82)+1&lt;=_xlpm.DepreciationMonths,$C215&lt;=AS$8),$E215/_xlpm.DepreciationMonths,0))</f>
        <v>0</v>
      </c>
      <c r="AT215" s="507" cm="1">
        <f t="array" ref="AT215">_xlfn.LET(_xlpm.DepreciationMonths,INDEX(FixedAssets[Depreciation
/ Amortization Months],_xlfn.XMATCH($E$186,FixedAssets[Asset ID])),IF(AND((_xlfn.XMATCH(AT$8,$AH$8:$CC$8))-_xlfn.XMATCH($C215,$C$35:$C$82)+1&lt;=_xlpm.DepreciationMonths,$C215&lt;=AT$8),$E215/_xlpm.DepreciationMonths,0))</f>
        <v>0</v>
      </c>
      <c r="AU215" s="507" cm="1">
        <f t="array" ref="AU215">_xlfn.LET(_xlpm.DepreciationMonths,INDEX(FixedAssets[Depreciation
/ Amortization Months],_xlfn.XMATCH($E$186,FixedAssets[Asset ID])),IF(AND((_xlfn.XMATCH(AU$8,$AH$8:$CC$8))-_xlfn.XMATCH($C215,$C$35:$C$82)+1&lt;=_xlpm.DepreciationMonths,$C215&lt;=AU$8),$E215/_xlpm.DepreciationMonths,0))</f>
        <v>0</v>
      </c>
      <c r="AV215" s="507" cm="1">
        <f t="array" ref="AV215">_xlfn.LET(_xlpm.DepreciationMonths,INDEX(FixedAssets[Depreciation
/ Amortization Months],_xlfn.XMATCH($E$186,FixedAssets[Asset ID])),IF(AND((_xlfn.XMATCH(AV$8,$AH$8:$CC$8))-_xlfn.XMATCH($C215,$C$35:$C$82)+1&lt;=_xlpm.DepreciationMonths,$C215&lt;=AV$8),$E215/_xlpm.DepreciationMonths,0))</f>
        <v>0</v>
      </c>
      <c r="AW215" s="507" cm="1">
        <f t="array" ref="AW215">_xlfn.LET(_xlpm.DepreciationMonths,INDEX(FixedAssets[Depreciation
/ Amortization Months],_xlfn.XMATCH($E$186,FixedAssets[Asset ID])),IF(AND((_xlfn.XMATCH(AW$8,$AH$8:$CC$8))-_xlfn.XMATCH($C215,$C$35:$C$82)+1&lt;=_xlpm.DepreciationMonths,$C215&lt;=AW$8),$E215/_xlpm.DepreciationMonths,0))</f>
        <v>0</v>
      </c>
      <c r="AX215" s="507" cm="1">
        <f t="array" ref="AX215">_xlfn.LET(_xlpm.DepreciationMonths,INDEX(FixedAssets[Depreciation
/ Amortization Months],_xlfn.XMATCH($E$186,FixedAssets[Asset ID])),IF(AND((_xlfn.XMATCH(AX$8,$AH$8:$CC$8))-_xlfn.XMATCH($C215,$C$35:$C$82)+1&lt;=_xlpm.DepreciationMonths,$C215&lt;=AX$8),$E215/_xlpm.DepreciationMonths,0))</f>
        <v>0</v>
      </c>
      <c r="AY215" s="507" cm="1">
        <f t="array" ref="AY215">_xlfn.LET(_xlpm.DepreciationMonths,INDEX(FixedAssets[Depreciation
/ Amortization Months],_xlfn.XMATCH($E$186,FixedAssets[Asset ID])),IF(AND((_xlfn.XMATCH(AY$8,$AH$8:$CC$8))-_xlfn.XMATCH($C215,$C$35:$C$82)+1&lt;=_xlpm.DepreciationMonths,$C215&lt;=AY$8),$E215/_xlpm.DepreciationMonths,0))</f>
        <v>0</v>
      </c>
      <c r="AZ215" s="507" cm="1">
        <f t="array" ref="AZ215">_xlfn.LET(_xlpm.DepreciationMonths,INDEX(FixedAssets[Depreciation
/ Amortization Months],_xlfn.XMATCH($E$186,FixedAssets[Asset ID])),IF(AND((_xlfn.XMATCH(AZ$8,$AH$8:$CC$8))-_xlfn.XMATCH($C215,$C$35:$C$82)+1&lt;=_xlpm.DepreciationMonths,$C215&lt;=AZ$8),$E215/_xlpm.DepreciationMonths,0))</f>
        <v>0</v>
      </c>
      <c r="BA215" s="507" cm="1">
        <f t="array" ref="BA215">_xlfn.LET(_xlpm.DepreciationMonths,INDEX(FixedAssets[Depreciation
/ Amortization Months],_xlfn.XMATCH($E$186,FixedAssets[Asset ID])),IF(AND((_xlfn.XMATCH(BA$8,$AH$8:$CC$8))-_xlfn.XMATCH($C215,$C$35:$C$82)+1&lt;=_xlpm.DepreciationMonths,$C215&lt;=BA$8),$E215/_xlpm.DepreciationMonths,0))</f>
        <v>0</v>
      </c>
      <c r="BB215" s="507" cm="1">
        <f t="array" ref="BB215">_xlfn.LET(_xlpm.DepreciationMonths,INDEX(FixedAssets[Depreciation
/ Amortization Months],_xlfn.XMATCH($E$186,FixedAssets[Asset ID])),IF(AND((_xlfn.XMATCH(BB$8,$AH$8:$CC$8))-_xlfn.XMATCH($C215,$C$35:$C$82)+1&lt;=_xlpm.DepreciationMonths,$C215&lt;=BB$8),$E215/_xlpm.DepreciationMonths,0))</f>
        <v>0</v>
      </c>
      <c r="BC215" s="507" cm="1">
        <f t="array" ref="BC215">_xlfn.LET(_xlpm.DepreciationMonths,INDEX(FixedAssets[Depreciation
/ Amortization Months],_xlfn.XMATCH($E$186,FixedAssets[Asset ID])),IF(AND((_xlfn.XMATCH(BC$8,$AH$8:$CC$8))-_xlfn.XMATCH($C215,$C$35:$C$82)+1&lt;=_xlpm.DepreciationMonths,$C215&lt;=BC$8),$E215/_xlpm.DepreciationMonths,0))</f>
        <v>0</v>
      </c>
      <c r="BD215" s="507" cm="1">
        <f t="array" ref="BD215">_xlfn.LET(_xlpm.DepreciationMonths,INDEX(FixedAssets[Depreciation
/ Amortization Months],_xlfn.XMATCH($E$186,FixedAssets[Asset ID])),IF(AND((_xlfn.XMATCH(BD$8,$AH$8:$CC$8))-_xlfn.XMATCH($C215,$C$35:$C$82)+1&lt;=_xlpm.DepreciationMonths,$C215&lt;=BD$8),$E215/_xlpm.DepreciationMonths,0))</f>
        <v>0</v>
      </c>
      <c r="BE215" s="507" cm="1">
        <f t="array" ref="BE215">_xlfn.LET(_xlpm.DepreciationMonths,INDEX(FixedAssets[Depreciation
/ Amortization Months],_xlfn.XMATCH($E$186,FixedAssets[Asset ID])),IF(AND((_xlfn.XMATCH(BE$8,$AH$8:$CC$8))-_xlfn.XMATCH($C215,$C$35:$C$82)+1&lt;=_xlpm.DepreciationMonths,$C215&lt;=BE$8),$E215/_xlpm.DepreciationMonths,0))</f>
        <v>0</v>
      </c>
      <c r="BF215" s="507" cm="1">
        <f t="array" ref="BF215">_xlfn.LET(_xlpm.DepreciationMonths,INDEX(FixedAssets[Depreciation
/ Amortization Months],_xlfn.XMATCH($E$186,FixedAssets[Asset ID])),IF(AND((_xlfn.XMATCH(BF$8,$AH$8:$CC$8))-_xlfn.XMATCH($C215,$C$35:$C$82)+1&lt;=_xlpm.DepreciationMonths,$C215&lt;=BF$8),$E215/_xlpm.DepreciationMonths,0))</f>
        <v>0</v>
      </c>
      <c r="BG215" s="507" cm="1">
        <f t="array" ref="BG215">_xlfn.LET(_xlpm.DepreciationMonths,INDEX(FixedAssets[Depreciation
/ Amortization Months],_xlfn.XMATCH($E$186,FixedAssets[Asset ID])),IF(AND((_xlfn.XMATCH(BG$8,$AH$8:$CC$8))-_xlfn.XMATCH($C215,$C$35:$C$82)+1&lt;=_xlpm.DepreciationMonths,$C215&lt;=BG$8),$E215/_xlpm.DepreciationMonths,0))</f>
        <v>0</v>
      </c>
      <c r="BH215" s="507" cm="1">
        <f t="array" ref="BH215">_xlfn.LET(_xlpm.DepreciationMonths,INDEX(FixedAssets[Depreciation
/ Amortization Months],_xlfn.XMATCH($E$186,FixedAssets[Asset ID])),IF(AND((_xlfn.XMATCH(BH$8,$AH$8:$CC$8))-_xlfn.XMATCH($C215,$C$35:$C$82)+1&lt;=_xlpm.DepreciationMonths,$C215&lt;=BH$8),$E215/_xlpm.DepreciationMonths,0))</f>
        <v>0</v>
      </c>
      <c r="BI215" s="507" cm="1">
        <f t="array" ref="BI215">_xlfn.LET(_xlpm.DepreciationMonths,INDEX(FixedAssets[Depreciation
/ Amortization Months],_xlfn.XMATCH($E$186,FixedAssets[Asset ID])),IF(AND((_xlfn.XMATCH(BI$8,$AH$8:$CC$8))-_xlfn.XMATCH($C215,$C$35:$C$82)+1&lt;=_xlpm.DepreciationMonths,$C215&lt;=BI$8),$E215/_xlpm.DepreciationMonths,0))</f>
        <v>0</v>
      </c>
      <c r="BJ215" s="507" cm="1">
        <f t="array" ref="BJ215">_xlfn.LET(_xlpm.DepreciationMonths,INDEX(FixedAssets[Depreciation
/ Amortization Months],_xlfn.XMATCH($E$186,FixedAssets[Asset ID])),IF(AND((_xlfn.XMATCH(BJ$8,$AH$8:$CC$8))-_xlfn.XMATCH($C215,$C$35:$C$82)+1&lt;=_xlpm.DepreciationMonths,$C215&lt;=BJ$8),$E215/_xlpm.DepreciationMonths,0))</f>
        <v>0</v>
      </c>
      <c r="BK215" s="507" cm="1">
        <f t="array" ref="BK215">_xlfn.LET(_xlpm.DepreciationMonths,INDEX(FixedAssets[Depreciation
/ Amortization Months],_xlfn.XMATCH($E$186,FixedAssets[Asset ID])),IF(AND((_xlfn.XMATCH(BK$8,$AH$8:$CC$8))-_xlfn.XMATCH($C215,$C$35:$C$82)+1&lt;=_xlpm.DepreciationMonths,$C215&lt;=BK$8),$E215/_xlpm.DepreciationMonths,0))</f>
        <v>0</v>
      </c>
      <c r="BL215" s="507" cm="1">
        <f t="array" ref="BL215">_xlfn.LET(_xlpm.DepreciationMonths,INDEX(FixedAssets[Depreciation
/ Amortization Months],_xlfn.XMATCH($E$186,FixedAssets[Asset ID])),IF(AND((_xlfn.XMATCH(BL$8,$AH$8:$CC$8))-_xlfn.XMATCH($C215,$C$35:$C$82)+1&lt;=_xlpm.DepreciationMonths,$C215&lt;=BL$8),$E215/_xlpm.DepreciationMonths,0))</f>
        <v>0</v>
      </c>
      <c r="BM215" s="507" cm="1">
        <f t="array" ref="BM215">_xlfn.LET(_xlpm.DepreciationMonths,INDEX(FixedAssets[Depreciation
/ Amortization Months],_xlfn.XMATCH($E$186,FixedAssets[Asset ID])),IF(AND((_xlfn.XMATCH(BM$8,$AH$8:$CC$8))-_xlfn.XMATCH($C215,$C$35:$C$82)+1&lt;=_xlpm.DepreciationMonths,$C215&lt;=BM$8),$E215/_xlpm.DepreciationMonths,0))</f>
        <v>0</v>
      </c>
      <c r="BN215" s="507" cm="1">
        <f t="array" ref="BN215">_xlfn.LET(_xlpm.DepreciationMonths,INDEX(FixedAssets[Depreciation
/ Amortization Months],_xlfn.XMATCH($E$186,FixedAssets[Asset ID])),IF(AND((_xlfn.XMATCH(BN$8,$AH$8:$CC$8))-_xlfn.XMATCH($C215,$C$35:$C$82)+1&lt;=_xlpm.DepreciationMonths,$C215&lt;=BN$8),$E215/_xlpm.DepreciationMonths,0))</f>
        <v>0</v>
      </c>
      <c r="BO215" s="507" cm="1">
        <f t="array" ref="BO215">_xlfn.LET(_xlpm.DepreciationMonths,INDEX(FixedAssets[Depreciation
/ Amortization Months],_xlfn.XMATCH($E$186,FixedAssets[Asset ID])),IF(AND((_xlfn.XMATCH(BO$8,$AH$8:$CC$8))-_xlfn.XMATCH($C215,$C$35:$C$82)+1&lt;=_xlpm.DepreciationMonths,$C215&lt;=BO$8),$E215/_xlpm.DepreciationMonths,0))</f>
        <v>0</v>
      </c>
      <c r="BP215" s="507" cm="1">
        <f t="array" ref="BP215">_xlfn.LET(_xlpm.DepreciationMonths,INDEX(FixedAssets[Depreciation
/ Amortization Months],_xlfn.XMATCH($E$186,FixedAssets[Asset ID])),IF(AND((_xlfn.XMATCH(BP$8,$AH$8:$CC$8))-_xlfn.XMATCH($C215,$C$35:$C$82)+1&lt;=_xlpm.DepreciationMonths,$C215&lt;=BP$8),$E215/_xlpm.DepreciationMonths,0))</f>
        <v>0</v>
      </c>
      <c r="BQ215" s="507" cm="1">
        <f t="array" ref="BQ215">_xlfn.LET(_xlpm.DepreciationMonths,INDEX(FixedAssets[Depreciation
/ Amortization Months],_xlfn.XMATCH($E$186,FixedAssets[Asset ID])),IF(AND((_xlfn.XMATCH(BQ$8,$AH$8:$CC$8))-_xlfn.XMATCH($C215,$C$35:$C$82)+1&lt;=_xlpm.DepreciationMonths,$C215&lt;=BQ$8),$E215/_xlpm.DepreciationMonths,0))</f>
        <v>0</v>
      </c>
      <c r="BR215" s="507" cm="1">
        <f t="array" ref="BR215">_xlfn.LET(_xlpm.DepreciationMonths,INDEX(FixedAssets[Depreciation
/ Amortization Months],_xlfn.XMATCH($E$186,FixedAssets[Asset ID])),IF(AND((_xlfn.XMATCH(BR$8,$AH$8:$CC$8))-_xlfn.XMATCH($C215,$C$35:$C$82)+1&lt;=_xlpm.DepreciationMonths,$C215&lt;=BR$8),$E215/_xlpm.DepreciationMonths,0))</f>
        <v>0</v>
      </c>
      <c r="BS215" s="507" cm="1">
        <f t="array" ref="BS215">_xlfn.LET(_xlpm.DepreciationMonths,INDEX(FixedAssets[Depreciation
/ Amortization Months],_xlfn.XMATCH($E$186,FixedAssets[Asset ID])),IF(AND((_xlfn.XMATCH(BS$8,$AH$8:$CC$8))-_xlfn.XMATCH($C215,$C$35:$C$82)+1&lt;=_xlpm.DepreciationMonths,$C215&lt;=BS$8),$E215/_xlpm.DepreciationMonths,0))</f>
        <v>0</v>
      </c>
      <c r="BT215" s="507" cm="1">
        <f t="array" ref="BT215">_xlfn.LET(_xlpm.DepreciationMonths,INDEX(FixedAssets[Depreciation
/ Amortization Months],_xlfn.XMATCH($E$186,FixedAssets[Asset ID])),IF(AND((_xlfn.XMATCH(BT$8,$AH$8:$CC$8))-_xlfn.XMATCH($C215,$C$35:$C$82)+1&lt;=_xlpm.DepreciationMonths,$C215&lt;=BT$8),$E215/_xlpm.DepreciationMonths,0))</f>
        <v>0</v>
      </c>
      <c r="BU215" s="507" cm="1">
        <f t="array" ref="BU215">_xlfn.LET(_xlpm.DepreciationMonths,INDEX(FixedAssets[Depreciation
/ Amortization Months],_xlfn.XMATCH($E$186,FixedAssets[Asset ID])),IF(AND((_xlfn.XMATCH(BU$8,$AH$8:$CC$8))-_xlfn.XMATCH($C215,$C$35:$C$82)+1&lt;=_xlpm.DepreciationMonths,$C215&lt;=BU$8),$E215/_xlpm.DepreciationMonths,0))</f>
        <v>0</v>
      </c>
      <c r="BV215" s="507" cm="1">
        <f t="array" ref="BV215">_xlfn.LET(_xlpm.DepreciationMonths,INDEX(FixedAssets[Depreciation
/ Amortization Months],_xlfn.XMATCH($E$186,FixedAssets[Asset ID])),IF(AND((_xlfn.XMATCH(BV$8,$AH$8:$CC$8))-_xlfn.XMATCH($C215,$C$35:$C$82)+1&lt;=_xlpm.DepreciationMonths,$C215&lt;=BV$8),$E215/_xlpm.DepreciationMonths,0))</f>
        <v>0</v>
      </c>
      <c r="BW215" s="507" cm="1">
        <f t="array" ref="BW215">_xlfn.LET(_xlpm.DepreciationMonths,INDEX(FixedAssets[Depreciation
/ Amortization Months],_xlfn.XMATCH($E$186,FixedAssets[Asset ID])),IF(AND((_xlfn.XMATCH(BW$8,$AH$8:$CC$8))-_xlfn.XMATCH($C215,$C$35:$C$82)+1&lt;=_xlpm.DepreciationMonths,$C215&lt;=BW$8),$E215/_xlpm.DepreciationMonths,0))</f>
        <v>0</v>
      </c>
      <c r="BX215" s="507" cm="1">
        <f t="array" ref="BX215">_xlfn.LET(_xlpm.DepreciationMonths,INDEX(FixedAssets[Depreciation
/ Amortization Months],_xlfn.XMATCH($E$186,FixedAssets[Asset ID])),IF(AND((_xlfn.XMATCH(BX$8,$AH$8:$CC$8))-_xlfn.XMATCH($C215,$C$35:$C$82)+1&lt;=_xlpm.DepreciationMonths,$C215&lt;=BX$8),$E215/_xlpm.DepreciationMonths,0))</f>
        <v>0</v>
      </c>
      <c r="BY215" s="507" cm="1">
        <f t="array" ref="BY215">_xlfn.LET(_xlpm.DepreciationMonths,INDEX(FixedAssets[Depreciation
/ Amortization Months],_xlfn.XMATCH($E$186,FixedAssets[Asset ID])),IF(AND((_xlfn.XMATCH(BY$8,$AH$8:$CC$8))-_xlfn.XMATCH($C215,$C$35:$C$82)+1&lt;=_xlpm.DepreciationMonths,$C215&lt;=BY$8),$E215/_xlpm.DepreciationMonths,0))</f>
        <v>0</v>
      </c>
      <c r="BZ215" s="507" cm="1">
        <f t="array" ref="BZ215">_xlfn.LET(_xlpm.DepreciationMonths,INDEX(FixedAssets[Depreciation
/ Amortization Months],_xlfn.XMATCH($E$186,FixedAssets[Asset ID])),IF(AND((_xlfn.XMATCH(BZ$8,$AH$8:$CC$8))-_xlfn.XMATCH($C215,$C$35:$C$82)+1&lt;=_xlpm.DepreciationMonths,$C215&lt;=BZ$8),$E215/_xlpm.DepreciationMonths,0))</f>
        <v>0</v>
      </c>
      <c r="CA215" s="507" cm="1">
        <f t="array" ref="CA215">_xlfn.LET(_xlpm.DepreciationMonths,INDEX(FixedAssets[Depreciation
/ Amortization Months],_xlfn.XMATCH($E$186,FixedAssets[Asset ID])),IF(AND((_xlfn.XMATCH(CA$8,$AH$8:$CC$8))-_xlfn.XMATCH($C215,$C$35:$C$82)+1&lt;=_xlpm.DepreciationMonths,$C215&lt;=CA$8),$E215/_xlpm.DepreciationMonths,0))</f>
        <v>0</v>
      </c>
      <c r="CB215" s="507" cm="1">
        <f t="array" ref="CB215">_xlfn.LET(_xlpm.DepreciationMonths,INDEX(FixedAssets[Depreciation
/ Amortization Months],_xlfn.XMATCH($E$186,FixedAssets[Asset ID])),IF(AND((_xlfn.XMATCH(CB$8,$AH$8:$CC$8))-_xlfn.XMATCH($C215,$C$35:$C$82)+1&lt;=_xlpm.DepreciationMonths,$C215&lt;=CB$8),$E215/_xlpm.DepreciationMonths,0))</f>
        <v>0</v>
      </c>
      <c r="CC215" s="507" cm="1">
        <f t="array" ref="CC215">_xlfn.LET(_xlpm.DepreciationMonths,INDEX(FixedAssets[Depreciation
/ Amortization Months],_xlfn.XMATCH($E$186,FixedAssets[Asset ID])),IF(AND((_xlfn.XMATCH(CC$8,$AH$8:$CC$8))-_xlfn.XMATCH($C215,$C$35:$C$82)+1&lt;=_xlpm.DepreciationMonths,$C215&lt;=CC$8),$E215/_xlpm.DepreciationMonths,0))</f>
        <v>0</v>
      </c>
    </row>
    <row r="216" spans="3:81" hidden="1" outlineLevel="2">
      <c r="C216" s="664">
        <f t="shared" si="256"/>
        <v>45808</v>
      </c>
      <c r="D216" s="508"/>
      <c r="E216" s="508" cm="1">
        <f t="array" ref="E216">SUMPRODUCT(($AH$26:$CC$31)*($AH$5:$CC$5=$C216)*($E$26:$E$31=E$186))-SUMPRODUCT(($AH$26:$CC$31)*($AH$5:$CC$5=EOMONTH($C216,-1))*($E$26:$E$31=E$186))</f>
        <v>0</v>
      </c>
      <c r="F216" s="508"/>
      <c r="G216" s="508"/>
      <c r="H216" s="508"/>
      <c r="I216" s="508"/>
      <c r="J216" s="504">
        <f t="shared" si="254"/>
        <v>0</v>
      </c>
      <c r="K216" s="504">
        <f t="shared" si="254"/>
        <v>0</v>
      </c>
      <c r="L216" s="504">
        <f t="shared" si="254"/>
        <v>0</v>
      </c>
      <c r="M216" s="504">
        <f t="shared" si="254"/>
        <v>0</v>
      </c>
      <c r="N216" s="504"/>
      <c r="O216" s="504"/>
      <c r="P216" s="504">
        <f t="shared" si="258"/>
        <v>0</v>
      </c>
      <c r="Q216" s="504">
        <f t="shared" si="258"/>
        <v>0</v>
      </c>
      <c r="R216" s="504">
        <f t="shared" si="258"/>
        <v>0</v>
      </c>
      <c r="S216" s="504">
        <f t="shared" si="258"/>
        <v>0</v>
      </c>
      <c r="T216" s="504">
        <f t="shared" si="258"/>
        <v>0</v>
      </c>
      <c r="U216" s="504">
        <f t="shared" si="258"/>
        <v>0</v>
      </c>
      <c r="V216" s="504">
        <f t="shared" si="258"/>
        <v>0</v>
      </c>
      <c r="W216" s="504">
        <f t="shared" si="258"/>
        <v>0</v>
      </c>
      <c r="X216" s="504">
        <f t="shared" si="258"/>
        <v>0</v>
      </c>
      <c r="Y216" s="504">
        <f t="shared" si="258"/>
        <v>0</v>
      </c>
      <c r="Z216" s="504">
        <f t="shared" si="258"/>
        <v>0</v>
      </c>
      <c r="AA216" s="504">
        <f t="shared" si="258"/>
        <v>0</v>
      </c>
      <c r="AB216" s="504">
        <f t="shared" si="258"/>
        <v>0</v>
      </c>
      <c r="AC216" s="504">
        <f t="shared" si="258"/>
        <v>0</v>
      </c>
      <c r="AD216" s="504">
        <f t="shared" si="258"/>
        <v>0</v>
      </c>
      <c r="AE216" s="504">
        <f t="shared" si="258"/>
        <v>0</v>
      </c>
      <c r="AF216" s="508"/>
      <c r="AG216" s="508"/>
      <c r="AH216" s="507" cm="1">
        <f t="array" ref="AH216">_xlfn.LET(_xlpm.DepreciationMonths,INDEX(FixedAssets[Depreciation
/ Amortization Months],_xlfn.XMATCH($E$186,FixedAssets[Asset ID])),IF(AND((_xlfn.XMATCH(AH$8,$AH$8:$CC$8))-_xlfn.XMATCH($C216,$C$35:$C$82)+1&lt;=_xlpm.DepreciationMonths,$C216&lt;=AH$8),$E216/_xlpm.DepreciationMonths,0))</f>
        <v>0</v>
      </c>
      <c r="AI216" s="507" cm="1">
        <f t="array" ref="AI216">_xlfn.LET(_xlpm.DepreciationMonths,INDEX(FixedAssets[Depreciation
/ Amortization Months],_xlfn.XMATCH($E$186,FixedAssets[Asset ID])),IF(AND((_xlfn.XMATCH(AI$8,$AH$8:$CC$8))-_xlfn.XMATCH($C216,$C$35:$C$82)+1&lt;=_xlpm.DepreciationMonths,$C216&lt;=AI$8),$E216/_xlpm.DepreciationMonths,0))</f>
        <v>0</v>
      </c>
      <c r="AJ216" s="507" cm="1">
        <f t="array" ref="AJ216">_xlfn.LET(_xlpm.DepreciationMonths,INDEX(FixedAssets[Depreciation
/ Amortization Months],_xlfn.XMATCH($E$186,FixedAssets[Asset ID])),IF(AND((_xlfn.XMATCH(AJ$8,$AH$8:$CC$8))-_xlfn.XMATCH($C216,$C$35:$C$82)+1&lt;=_xlpm.DepreciationMonths,$C216&lt;=AJ$8),$E216/_xlpm.DepreciationMonths,0))</f>
        <v>0</v>
      </c>
      <c r="AK216" s="507" cm="1">
        <f t="array" ref="AK216">_xlfn.LET(_xlpm.DepreciationMonths,INDEX(FixedAssets[Depreciation
/ Amortization Months],_xlfn.XMATCH($E$186,FixedAssets[Asset ID])),IF(AND((_xlfn.XMATCH(AK$8,$AH$8:$CC$8))-_xlfn.XMATCH($C216,$C$35:$C$82)+1&lt;=_xlpm.DepreciationMonths,$C216&lt;=AK$8),$E216/_xlpm.DepreciationMonths,0))</f>
        <v>0</v>
      </c>
      <c r="AL216" s="507" cm="1">
        <f t="array" ref="AL216">_xlfn.LET(_xlpm.DepreciationMonths,INDEX(FixedAssets[Depreciation
/ Amortization Months],_xlfn.XMATCH($E$186,FixedAssets[Asset ID])),IF(AND((_xlfn.XMATCH(AL$8,$AH$8:$CC$8))-_xlfn.XMATCH($C216,$C$35:$C$82)+1&lt;=_xlpm.DepreciationMonths,$C216&lt;=AL$8),$E216/_xlpm.DepreciationMonths,0))</f>
        <v>0</v>
      </c>
      <c r="AM216" s="507" cm="1">
        <f t="array" ref="AM216">_xlfn.LET(_xlpm.DepreciationMonths,INDEX(FixedAssets[Depreciation
/ Amortization Months],_xlfn.XMATCH($E$186,FixedAssets[Asset ID])),IF(AND((_xlfn.XMATCH(AM$8,$AH$8:$CC$8))-_xlfn.XMATCH($C216,$C$35:$C$82)+1&lt;=_xlpm.DepreciationMonths,$C216&lt;=AM$8),$E216/_xlpm.DepreciationMonths,0))</f>
        <v>0</v>
      </c>
      <c r="AN216" s="507" cm="1">
        <f t="array" ref="AN216">_xlfn.LET(_xlpm.DepreciationMonths,INDEX(FixedAssets[Depreciation
/ Amortization Months],_xlfn.XMATCH($E$186,FixedAssets[Asset ID])),IF(AND((_xlfn.XMATCH(AN$8,$AH$8:$CC$8))-_xlfn.XMATCH($C216,$C$35:$C$82)+1&lt;=_xlpm.DepreciationMonths,$C216&lt;=AN$8),$E216/_xlpm.DepreciationMonths,0))</f>
        <v>0</v>
      </c>
      <c r="AO216" s="507" cm="1">
        <f t="array" ref="AO216">_xlfn.LET(_xlpm.DepreciationMonths,INDEX(FixedAssets[Depreciation
/ Amortization Months],_xlfn.XMATCH($E$186,FixedAssets[Asset ID])),IF(AND((_xlfn.XMATCH(AO$8,$AH$8:$CC$8))-_xlfn.XMATCH($C216,$C$35:$C$82)+1&lt;=_xlpm.DepreciationMonths,$C216&lt;=AO$8),$E216/_xlpm.DepreciationMonths,0))</f>
        <v>0</v>
      </c>
      <c r="AP216" s="507" cm="1">
        <f t="array" ref="AP216">_xlfn.LET(_xlpm.DepreciationMonths,INDEX(FixedAssets[Depreciation
/ Amortization Months],_xlfn.XMATCH($E$186,FixedAssets[Asset ID])),IF(AND((_xlfn.XMATCH(AP$8,$AH$8:$CC$8))-_xlfn.XMATCH($C216,$C$35:$C$82)+1&lt;=_xlpm.DepreciationMonths,$C216&lt;=AP$8),$E216/_xlpm.DepreciationMonths,0))</f>
        <v>0</v>
      </c>
      <c r="AQ216" s="507" cm="1">
        <f t="array" ref="AQ216">_xlfn.LET(_xlpm.DepreciationMonths,INDEX(FixedAssets[Depreciation
/ Amortization Months],_xlfn.XMATCH($E$186,FixedAssets[Asset ID])),IF(AND((_xlfn.XMATCH(AQ$8,$AH$8:$CC$8))-_xlfn.XMATCH($C216,$C$35:$C$82)+1&lt;=_xlpm.DepreciationMonths,$C216&lt;=AQ$8),$E216/_xlpm.DepreciationMonths,0))</f>
        <v>0</v>
      </c>
      <c r="AR216" s="507" cm="1">
        <f t="array" ref="AR216">_xlfn.LET(_xlpm.DepreciationMonths,INDEX(FixedAssets[Depreciation
/ Amortization Months],_xlfn.XMATCH($E$186,FixedAssets[Asset ID])),IF(AND((_xlfn.XMATCH(AR$8,$AH$8:$CC$8))-_xlfn.XMATCH($C216,$C$35:$C$82)+1&lt;=_xlpm.DepreciationMonths,$C216&lt;=AR$8),$E216/_xlpm.DepreciationMonths,0))</f>
        <v>0</v>
      </c>
      <c r="AS216" s="507" cm="1">
        <f t="array" ref="AS216">_xlfn.LET(_xlpm.DepreciationMonths,INDEX(FixedAssets[Depreciation
/ Amortization Months],_xlfn.XMATCH($E$186,FixedAssets[Asset ID])),IF(AND((_xlfn.XMATCH(AS$8,$AH$8:$CC$8))-_xlfn.XMATCH($C216,$C$35:$C$82)+1&lt;=_xlpm.DepreciationMonths,$C216&lt;=AS$8),$E216/_xlpm.DepreciationMonths,0))</f>
        <v>0</v>
      </c>
      <c r="AT216" s="507" cm="1">
        <f t="array" ref="AT216">_xlfn.LET(_xlpm.DepreciationMonths,INDEX(FixedAssets[Depreciation
/ Amortization Months],_xlfn.XMATCH($E$186,FixedAssets[Asset ID])),IF(AND((_xlfn.XMATCH(AT$8,$AH$8:$CC$8))-_xlfn.XMATCH($C216,$C$35:$C$82)+1&lt;=_xlpm.DepreciationMonths,$C216&lt;=AT$8),$E216/_xlpm.DepreciationMonths,0))</f>
        <v>0</v>
      </c>
      <c r="AU216" s="507" cm="1">
        <f t="array" ref="AU216">_xlfn.LET(_xlpm.DepreciationMonths,INDEX(FixedAssets[Depreciation
/ Amortization Months],_xlfn.XMATCH($E$186,FixedAssets[Asset ID])),IF(AND((_xlfn.XMATCH(AU$8,$AH$8:$CC$8))-_xlfn.XMATCH($C216,$C$35:$C$82)+1&lt;=_xlpm.DepreciationMonths,$C216&lt;=AU$8),$E216/_xlpm.DepreciationMonths,0))</f>
        <v>0</v>
      </c>
      <c r="AV216" s="507" cm="1">
        <f t="array" ref="AV216">_xlfn.LET(_xlpm.DepreciationMonths,INDEX(FixedAssets[Depreciation
/ Amortization Months],_xlfn.XMATCH($E$186,FixedAssets[Asset ID])),IF(AND((_xlfn.XMATCH(AV$8,$AH$8:$CC$8))-_xlfn.XMATCH($C216,$C$35:$C$82)+1&lt;=_xlpm.DepreciationMonths,$C216&lt;=AV$8),$E216/_xlpm.DepreciationMonths,0))</f>
        <v>0</v>
      </c>
      <c r="AW216" s="507" cm="1">
        <f t="array" ref="AW216">_xlfn.LET(_xlpm.DepreciationMonths,INDEX(FixedAssets[Depreciation
/ Amortization Months],_xlfn.XMATCH($E$186,FixedAssets[Asset ID])),IF(AND((_xlfn.XMATCH(AW$8,$AH$8:$CC$8))-_xlfn.XMATCH($C216,$C$35:$C$82)+1&lt;=_xlpm.DepreciationMonths,$C216&lt;=AW$8),$E216/_xlpm.DepreciationMonths,0))</f>
        <v>0</v>
      </c>
      <c r="AX216" s="507" cm="1">
        <f t="array" ref="AX216">_xlfn.LET(_xlpm.DepreciationMonths,INDEX(FixedAssets[Depreciation
/ Amortization Months],_xlfn.XMATCH($E$186,FixedAssets[Asset ID])),IF(AND((_xlfn.XMATCH(AX$8,$AH$8:$CC$8))-_xlfn.XMATCH($C216,$C$35:$C$82)+1&lt;=_xlpm.DepreciationMonths,$C216&lt;=AX$8),$E216/_xlpm.DepreciationMonths,0))</f>
        <v>0</v>
      </c>
      <c r="AY216" s="507" cm="1">
        <f t="array" ref="AY216">_xlfn.LET(_xlpm.DepreciationMonths,INDEX(FixedAssets[Depreciation
/ Amortization Months],_xlfn.XMATCH($E$186,FixedAssets[Asset ID])),IF(AND((_xlfn.XMATCH(AY$8,$AH$8:$CC$8))-_xlfn.XMATCH($C216,$C$35:$C$82)+1&lt;=_xlpm.DepreciationMonths,$C216&lt;=AY$8),$E216/_xlpm.DepreciationMonths,0))</f>
        <v>0</v>
      </c>
      <c r="AZ216" s="507" cm="1">
        <f t="array" ref="AZ216">_xlfn.LET(_xlpm.DepreciationMonths,INDEX(FixedAssets[Depreciation
/ Amortization Months],_xlfn.XMATCH($E$186,FixedAssets[Asset ID])),IF(AND((_xlfn.XMATCH(AZ$8,$AH$8:$CC$8))-_xlfn.XMATCH($C216,$C$35:$C$82)+1&lt;=_xlpm.DepreciationMonths,$C216&lt;=AZ$8),$E216/_xlpm.DepreciationMonths,0))</f>
        <v>0</v>
      </c>
      <c r="BA216" s="507" cm="1">
        <f t="array" ref="BA216">_xlfn.LET(_xlpm.DepreciationMonths,INDEX(FixedAssets[Depreciation
/ Amortization Months],_xlfn.XMATCH($E$186,FixedAssets[Asset ID])),IF(AND((_xlfn.XMATCH(BA$8,$AH$8:$CC$8))-_xlfn.XMATCH($C216,$C$35:$C$82)+1&lt;=_xlpm.DepreciationMonths,$C216&lt;=BA$8),$E216/_xlpm.DepreciationMonths,0))</f>
        <v>0</v>
      </c>
      <c r="BB216" s="507" cm="1">
        <f t="array" ref="BB216">_xlfn.LET(_xlpm.DepreciationMonths,INDEX(FixedAssets[Depreciation
/ Amortization Months],_xlfn.XMATCH($E$186,FixedAssets[Asset ID])),IF(AND((_xlfn.XMATCH(BB$8,$AH$8:$CC$8))-_xlfn.XMATCH($C216,$C$35:$C$82)+1&lt;=_xlpm.DepreciationMonths,$C216&lt;=BB$8),$E216/_xlpm.DepreciationMonths,0))</f>
        <v>0</v>
      </c>
      <c r="BC216" s="507" cm="1">
        <f t="array" ref="BC216">_xlfn.LET(_xlpm.DepreciationMonths,INDEX(FixedAssets[Depreciation
/ Amortization Months],_xlfn.XMATCH($E$186,FixedAssets[Asset ID])),IF(AND((_xlfn.XMATCH(BC$8,$AH$8:$CC$8))-_xlfn.XMATCH($C216,$C$35:$C$82)+1&lt;=_xlpm.DepreciationMonths,$C216&lt;=BC$8),$E216/_xlpm.DepreciationMonths,0))</f>
        <v>0</v>
      </c>
      <c r="BD216" s="507" cm="1">
        <f t="array" ref="BD216">_xlfn.LET(_xlpm.DepreciationMonths,INDEX(FixedAssets[Depreciation
/ Amortization Months],_xlfn.XMATCH($E$186,FixedAssets[Asset ID])),IF(AND((_xlfn.XMATCH(BD$8,$AH$8:$CC$8))-_xlfn.XMATCH($C216,$C$35:$C$82)+1&lt;=_xlpm.DepreciationMonths,$C216&lt;=BD$8),$E216/_xlpm.DepreciationMonths,0))</f>
        <v>0</v>
      </c>
      <c r="BE216" s="507" cm="1">
        <f t="array" ref="BE216">_xlfn.LET(_xlpm.DepreciationMonths,INDEX(FixedAssets[Depreciation
/ Amortization Months],_xlfn.XMATCH($E$186,FixedAssets[Asset ID])),IF(AND((_xlfn.XMATCH(BE$8,$AH$8:$CC$8))-_xlfn.XMATCH($C216,$C$35:$C$82)+1&lt;=_xlpm.DepreciationMonths,$C216&lt;=BE$8),$E216/_xlpm.DepreciationMonths,0))</f>
        <v>0</v>
      </c>
      <c r="BF216" s="507" cm="1">
        <f t="array" ref="BF216">_xlfn.LET(_xlpm.DepreciationMonths,INDEX(FixedAssets[Depreciation
/ Amortization Months],_xlfn.XMATCH($E$186,FixedAssets[Asset ID])),IF(AND((_xlfn.XMATCH(BF$8,$AH$8:$CC$8))-_xlfn.XMATCH($C216,$C$35:$C$82)+1&lt;=_xlpm.DepreciationMonths,$C216&lt;=BF$8),$E216/_xlpm.DepreciationMonths,0))</f>
        <v>0</v>
      </c>
      <c r="BG216" s="507" cm="1">
        <f t="array" ref="BG216">_xlfn.LET(_xlpm.DepreciationMonths,INDEX(FixedAssets[Depreciation
/ Amortization Months],_xlfn.XMATCH($E$186,FixedAssets[Asset ID])),IF(AND((_xlfn.XMATCH(BG$8,$AH$8:$CC$8))-_xlfn.XMATCH($C216,$C$35:$C$82)+1&lt;=_xlpm.DepreciationMonths,$C216&lt;=BG$8),$E216/_xlpm.DepreciationMonths,0))</f>
        <v>0</v>
      </c>
      <c r="BH216" s="507" cm="1">
        <f t="array" ref="BH216">_xlfn.LET(_xlpm.DepreciationMonths,INDEX(FixedAssets[Depreciation
/ Amortization Months],_xlfn.XMATCH($E$186,FixedAssets[Asset ID])),IF(AND((_xlfn.XMATCH(BH$8,$AH$8:$CC$8))-_xlfn.XMATCH($C216,$C$35:$C$82)+1&lt;=_xlpm.DepreciationMonths,$C216&lt;=BH$8),$E216/_xlpm.DepreciationMonths,0))</f>
        <v>0</v>
      </c>
      <c r="BI216" s="507" cm="1">
        <f t="array" ref="BI216">_xlfn.LET(_xlpm.DepreciationMonths,INDEX(FixedAssets[Depreciation
/ Amortization Months],_xlfn.XMATCH($E$186,FixedAssets[Asset ID])),IF(AND((_xlfn.XMATCH(BI$8,$AH$8:$CC$8))-_xlfn.XMATCH($C216,$C$35:$C$82)+1&lt;=_xlpm.DepreciationMonths,$C216&lt;=BI$8),$E216/_xlpm.DepreciationMonths,0))</f>
        <v>0</v>
      </c>
      <c r="BJ216" s="507" cm="1">
        <f t="array" ref="BJ216">_xlfn.LET(_xlpm.DepreciationMonths,INDEX(FixedAssets[Depreciation
/ Amortization Months],_xlfn.XMATCH($E$186,FixedAssets[Asset ID])),IF(AND((_xlfn.XMATCH(BJ$8,$AH$8:$CC$8))-_xlfn.XMATCH($C216,$C$35:$C$82)+1&lt;=_xlpm.DepreciationMonths,$C216&lt;=BJ$8),$E216/_xlpm.DepreciationMonths,0))</f>
        <v>0</v>
      </c>
      <c r="BK216" s="507" cm="1">
        <f t="array" ref="BK216">_xlfn.LET(_xlpm.DepreciationMonths,INDEX(FixedAssets[Depreciation
/ Amortization Months],_xlfn.XMATCH($E$186,FixedAssets[Asset ID])),IF(AND((_xlfn.XMATCH(BK$8,$AH$8:$CC$8))-_xlfn.XMATCH($C216,$C$35:$C$82)+1&lt;=_xlpm.DepreciationMonths,$C216&lt;=BK$8),$E216/_xlpm.DepreciationMonths,0))</f>
        <v>0</v>
      </c>
      <c r="BL216" s="507" cm="1">
        <f t="array" ref="BL216">_xlfn.LET(_xlpm.DepreciationMonths,INDEX(FixedAssets[Depreciation
/ Amortization Months],_xlfn.XMATCH($E$186,FixedAssets[Asset ID])),IF(AND((_xlfn.XMATCH(BL$8,$AH$8:$CC$8))-_xlfn.XMATCH($C216,$C$35:$C$82)+1&lt;=_xlpm.DepreciationMonths,$C216&lt;=BL$8),$E216/_xlpm.DepreciationMonths,0))</f>
        <v>0</v>
      </c>
      <c r="BM216" s="507" cm="1">
        <f t="array" ref="BM216">_xlfn.LET(_xlpm.DepreciationMonths,INDEX(FixedAssets[Depreciation
/ Amortization Months],_xlfn.XMATCH($E$186,FixedAssets[Asset ID])),IF(AND((_xlfn.XMATCH(BM$8,$AH$8:$CC$8))-_xlfn.XMATCH($C216,$C$35:$C$82)+1&lt;=_xlpm.DepreciationMonths,$C216&lt;=BM$8),$E216/_xlpm.DepreciationMonths,0))</f>
        <v>0</v>
      </c>
      <c r="BN216" s="507" cm="1">
        <f t="array" ref="BN216">_xlfn.LET(_xlpm.DepreciationMonths,INDEX(FixedAssets[Depreciation
/ Amortization Months],_xlfn.XMATCH($E$186,FixedAssets[Asset ID])),IF(AND((_xlfn.XMATCH(BN$8,$AH$8:$CC$8))-_xlfn.XMATCH($C216,$C$35:$C$82)+1&lt;=_xlpm.DepreciationMonths,$C216&lt;=BN$8),$E216/_xlpm.DepreciationMonths,0))</f>
        <v>0</v>
      </c>
      <c r="BO216" s="507" cm="1">
        <f t="array" ref="BO216">_xlfn.LET(_xlpm.DepreciationMonths,INDEX(FixedAssets[Depreciation
/ Amortization Months],_xlfn.XMATCH($E$186,FixedAssets[Asset ID])),IF(AND((_xlfn.XMATCH(BO$8,$AH$8:$CC$8))-_xlfn.XMATCH($C216,$C$35:$C$82)+1&lt;=_xlpm.DepreciationMonths,$C216&lt;=BO$8),$E216/_xlpm.DepreciationMonths,0))</f>
        <v>0</v>
      </c>
      <c r="BP216" s="507" cm="1">
        <f t="array" ref="BP216">_xlfn.LET(_xlpm.DepreciationMonths,INDEX(FixedAssets[Depreciation
/ Amortization Months],_xlfn.XMATCH($E$186,FixedAssets[Asset ID])),IF(AND((_xlfn.XMATCH(BP$8,$AH$8:$CC$8))-_xlfn.XMATCH($C216,$C$35:$C$82)+1&lt;=_xlpm.DepreciationMonths,$C216&lt;=BP$8),$E216/_xlpm.DepreciationMonths,0))</f>
        <v>0</v>
      </c>
      <c r="BQ216" s="507" cm="1">
        <f t="array" ref="BQ216">_xlfn.LET(_xlpm.DepreciationMonths,INDEX(FixedAssets[Depreciation
/ Amortization Months],_xlfn.XMATCH($E$186,FixedAssets[Asset ID])),IF(AND((_xlfn.XMATCH(BQ$8,$AH$8:$CC$8))-_xlfn.XMATCH($C216,$C$35:$C$82)+1&lt;=_xlpm.DepreciationMonths,$C216&lt;=BQ$8),$E216/_xlpm.DepreciationMonths,0))</f>
        <v>0</v>
      </c>
      <c r="BR216" s="507" cm="1">
        <f t="array" ref="BR216">_xlfn.LET(_xlpm.DepreciationMonths,INDEX(FixedAssets[Depreciation
/ Amortization Months],_xlfn.XMATCH($E$186,FixedAssets[Asset ID])),IF(AND((_xlfn.XMATCH(BR$8,$AH$8:$CC$8))-_xlfn.XMATCH($C216,$C$35:$C$82)+1&lt;=_xlpm.DepreciationMonths,$C216&lt;=BR$8),$E216/_xlpm.DepreciationMonths,0))</f>
        <v>0</v>
      </c>
      <c r="BS216" s="507" cm="1">
        <f t="array" ref="BS216">_xlfn.LET(_xlpm.DepreciationMonths,INDEX(FixedAssets[Depreciation
/ Amortization Months],_xlfn.XMATCH($E$186,FixedAssets[Asset ID])),IF(AND((_xlfn.XMATCH(BS$8,$AH$8:$CC$8))-_xlfn.XMATCH($C216,$C$35:$C$82)+1&lt;=_xlpm.DepreciationMonths,$C216&lt;=BS$8),$E216/_xlpm.DepreciationMonths,0))</f>
        <v>0</v>
      </c>
      <c r="BT216" s="507" cm="1">
        <f t="array" ref="BT216">_xlfn.LET(_xlpm.DepreciationMonths,INDEX(FixedAssets[Depreciation
/ Amortization Months],_xlfn.XMATCH($E$186,FixedAssets[Asset ID])),IF(AND((_xlfn.XMATCH(BT$8,$AH$8:$CC$8))-_xlfn.XMATCH($C216,$C$35:$C$82)+1&lt;=_xlpm.DepreciationMonths,$C216&lt;=BT$8),$E216/_xlpm.DepreciationMonths,0))</f>
        <v>0</v>
      </c>
      <c r="BU216" s="507" cm="1">
        <f t="array" ref="BU216">_xlfn.LET(_xlpm.DepreciationMonths,INDEX(FixedAssets[Depreciation
/ Amortization Months],_xlfn.XMATCH($E$186,FixedAssets[Asset ID])),IF(AND((_xlfn.XMATCH(BU$8,$AH$8:$CC$8))-_xlfn.XMATCH($C216,$C$35:$C$82)+1&lt;=_xlpm.DepreciationMonths,$C216&lt;=BU$8),$E216/_xlpm.DepreciationMonths,0))</f>
        <v>0</v>
      </c>
      <c r="BV216" s="507" cm="1">
        <f t="array" ref="BV216">_xlfn.LET(_xlpm.DepreciationMonths,INDEX(FixedAssets[Depreciation
/ Amortization Months],_xlfn.XMATCH($E$186,FixedAssets[Asset ID])),IF(AND((_xlfn.XMATCH(BV$8,$AH$8:$CC$8))-_xlfn.XMATCH($C216,$C$35:$C$82)+1&lt;=_xlpm.DepreciationMonths,$C216&lt;=BV$8),$E216/_xlpm.DepreciationMonths,0))</f>
        <v>0</v>
      </c>
      <c r="BW216" s="507" cm="1">
        <f t="array" ref="BW216">_xlfn.LET(_xlpm.DepreciationMonths,INDEX(FixedAssets[Depreciation
/ Amortization Months],_xlfn.XMATCH($E$186,FixedAssets[Asset ID])),IF(AND((_xlfn.XMATCH(BW$8,$AH$8:$CC$8))-_xlfn.XMATCH($C216,$C$35:$C$82)+1&lt;=_xlpm.DepreciationMonths,$C216&lt;=BW$8),$E216/_xlpm.DepreciationMonths,0))</f>
        <v>0</v>
      </c>
      <c r="BX216" s="507" cm="1">
        <f t="array" ref="BX216">_xlfn.LET(_xlpm.DepreciationMonths,INDEX(FixedAssets[Depreciation
/ Amortization Months],_xlfn.XMATCH($E$186,FixedAssets[Asset ID])),IF(AND((_xlfn.XMATCH(BX$8,$AH$8:$CC$8))-_xlfn.XMATCH($C216,$C$35:$C$82)+1&lt;=_xlpm.DepreciationMonths,$C216&lt;=BX$8),$E216/_xlpm.DepreciationMonths,0))</f>
        <v>0</v>
      </c>
      <c r="BY216" s="507" cm="1">
        <f t="array" ref="BY216">_xlfn.LET(_xlpm.DepreciationMonths,INDEX(FixedAssets[Depreciation
/ Amortization Months],_xlfn.XMATCH($E$186,FixedAssets[Asset ID])),IF(AND((_xlfn.XMATCH(BY$8,$AH$8:$CC$8))-_xlfn.XMATCH($C216,$C$35:$C$82)+1&lt;=_xlpm.DepreciationMonths,$C216&lt;=BY$8),$E216/_xlpm.DepreciationMonths,0))</f>
        <v>0</v>
      </c>
      <c r="BZ216" s="507" cm="1">
        <f t="array" ref="BZ216">_xlfn.LET(_xlpm.DepreciationMonths,INDEX(FixedAssets[Depreciation
/ Amortization Months],_xlfn.XMATCH($E$186,FixedAssets[Asset ID])),IF(AND((_xlfn.XMATCH(BZ$8,$AH$8:$CC$8))-_xlfn.XMATCH($C216,$C$35:$C$82)+1&lt;=_xlpm.DepreciationMonths,$C216&lt;=BZ$8),$E216/_xlpm.DepreciationMonths,0))</f>
        <v>0</v>
      </c>
      <c r="CA216" s="507" cm="1">
        <f t="array" ref="CA216">_xlfn.LET(_xlpm.DepreciationMonths,INDEX(FixedAssets[Depreciation
/ Amortization Months],_xlfn.XMATCH($E$186,FixedAssets[Asset ID])),IF(AND((_xlfn.XMATCH(CA$8,$AH$8:$CC$8))-_xlfn.XMATCH($C216,$C$35:$C$82)+1&lt;=_xlpm.DepreciationMonths,$C216&lt;=CA$8),$E216/_xlpm.DepreciationMonths,0))</f>
        <v>0</v>
      </c>
      <c r="CB216" s="507" cm="1">
        <f t="array" ref="CB216">_xlfn.LET(_xlpm.DepreciationMonths,INDEX(FixedAssets[Depreciation
/ Amortization Months],_xlfn.XMATCH($E$186,FixedAssets[Asset ID])),IF(AND((_xlfn.XMATCH(CB$8,$AH$8:$CC$8))-_xlfn.XMATCH($C216,$C$35:$C$82)+1&lt;=_xlpm.DepreciationMonths,$C216&lt;=CB$8),$E216/_xlpm.DepreciationMonths,0))</f>
        <v>0</v>
      </c>
      <c r="CC216" s="507" cm="1">
        <f t="array" ref="CC216">_xlfn.LET(_xlpm.DepreciationMonths,INDEX(FixedAssets[Depreciation
/ Amortization Months],_xlfn.XMATCH($E$186,FixedAssets[Asset ID])),IF(AND((_xlfn.XMATCH(CC$8,$AH$8:$CC$8))-_xlfn.XMATCH($C216,$C$35:$C$82)+1&lt;=_xlpm.DepreciationMonths,$C216&lt;=CC$8),$E216/_xlpm.DepreciationMonths,0))</f>
        <v>0</v>
      </c>
    </row>
    <row r="217" spans="3:81" hidden="1" outlineLevel="2">
      <c r="C217" s="664">
        <f t="shared" si="256"/>
        <v>45838</v>
      </c>
      <c r="D217" s="508"/>
      <c r="E217" s="508" cm="1">
        <f t="array" ref="E217">SUMPRODUCT(($AH$26:$CC$31)*($AH$5:$CC$5=$C217)*($E$26:$E$31=E$186))-SUMPRODUCT(($AH$26:$CC$31)*($AH$5:$CC$5=EOMONTH($C217,-1))*($E$26:$E$31=E$186))</f>
        <v>0</v>
      </c>
      <c r="F217" s="508"/>
      <c r="G217" s="508"/>
      <c r="H217" s="508"/>
      <c r="I217" s="508"/>
      <c r="J217" s="504">
        <f t="shared" si="254"/>
        <v>0</v>
      </c>
      <c r="K217" s="504">
        <f t="shared" si="254"/>
        <v>0</v>
      </c>
      <c r="L217" s="504">
        <f t="shared" si="254"/>
        <v>0</v>
      </c>
      <c r="M217" s="504">
        <f t="shared" si="254"/>
        <v>0</v>
      </c>
      <c r="N217" s="504"/>
      <c r="O217" s="504"/>
      <c r="P217" s="504">
        <f t="shared" si="258"/>
        <v>0</v>
      </c>
      <c r="Q217" s="504">
        <f t="shared" si="258"/>
        <v>0</v>
      </c>
      <c r="R217" s="504">
        <f t="shared" si="258"/>
        <v>0</v>
      </c>
      <c r="S217" s="504">
        <f t="shared" si="258"/>
        <v>0</v>
      </c>
      <c r="T217" s="504">
        <f t="shared" si="258"/>
        <v>0</v>
      </c>
      <c r="U217" s="504">
        <f t="shared" si="258"/>
        <v>0</v>
      </c>
      <c r="V217" s="504">
        <f t="shared" si="258"/>
        <v>0</v>
      </c>
      <c r="W217" s="504">
        <f t="shared" si="258"/>
        <v>0</v>
      </c>
      <c r="X217" s="504">
        <f t="shared" si="258"/>
        <v>0</v>
      </c>
      <c r="Y217" s="504">
        <f t="shared" si="258"/>
        <v>0</v>
      </c>
      <c r="Z217" s="504">
        <f t="shared" si="258"/>
        <v>0</v>
      </c>
      <c r="AA217" s="504">
        <f t="shared" si="258"/>
        <v>0</v>
      </c>
      <c r="AB217" s="504">
        <f t="shared" si="258"/>
        <v>0</v>
      </c>
      <c r="AC217" s="504">
        <f t="shared" si="258"/>
        <v>0</v>
      </c>
      <c r="AD217" s="504">
        <f t="shared" si="258"/>
        <v>0</v>
      </c>
      <c r="AE217" s="504">
        <f t="shared" si="258"/>
        <v>0</v>
      </c>
      <c r="AF217" s="508"/>
      <c r="AG217" s="508"/>
      <c r="AH217" s="507" cm="1">
        <f t="array" ref="AH217">_xlfn.LET(_xlpm.DepreciationMonths,INDEX(FixedAssets[Depreciation
/ Amortization Months],_xlfn.XMATCH($E$186,FixedAssets[Asset ID])),IF(AND((_xlfn.XMATCH(AH$8,$AH$8:$CC$8))-_xlfn.XMATCH($C217,$C$35:$C$82)+1&lt;=_xlpm.DepreciationMonths,$C217&lt;=AH$8),$E217/_xlpm.DepreciationMonths,0))</f>
        <v>0</v>
      </c>
      <c r="AI217" s="507" cm="1">
        <f t="array" ref="AI217">_xlfn.LET(_xlpm.DepreciationMonths,INDEX(FixedAssets[Depreciation
/ Amortization Months],_xlfn.XMATCH($E$186,FixedAssets[Asset ID])),IF(AND((_xlfn.XMATCH(AI$8,$AH$8:$CC$8))-_xlfn.XMATCH($C217,$C$35:$C$82)+1&lt;=_xlpm.DepreciationMonths,$C217&lt;=AI$8),$E217/_xlpm.DepreciationMonths,0))</f>
        <v>0</v>
      </c>
      <c r="AJ217" s="507" cm="1">
        <f t="array" ref="AJ217">_xlfn.LET(_xlpm.DepreciationMonths,INDEX(FixedAssets[Depreciation
/ Amortization Months],_xlfn.XMATCH($E$186,FixedAssets[Asset ID])),IF(AND((_xlfn.XMATCH(AJ$8,$AH$8:$CC$8))-_xlfn.XMATCH($C217,$C$35:$C$82)+1&lt;=_xlpm.DepreciationMonths,$C217&lt;=AJ$8),$E217/_xlpm.DepreciationMonths,0))</f>
        <v>0</v>
      </c>
      <c r="AK217" s="507" cm="1">
        <f t="array" ref="AK217">_xlfn.LET(_xlpm.DepreciationMonths,INDEX(FixedAssets[Depreciation
/ Amortization Months],_xlfn.XMATCH($E$186,FixedAssets[Asset ID])),IF(AND((_xlfn.XMATCH(AK$8,$AH$8:$CC$8))-_xlfn.XMATCH($C217,$C$35:$C$82)+1&lt;=_xlpm.DepreciationMonths,$C217&lt;=AK$8),$E217/_xlpm.DepreciationMonths,0))</f>
        <v>0</v>
      </c>
      <c r="AL217" s="507" cm="1">
        <f t="array" ref="AL217">_xlfn.LET(_xlpm.DepreciationMonths,INDEX(FixedAssets[Depreciation
/ Amortization Months],_xlfn.XMATCH($E$186,FixedAssets[Asset ID])),IF(AND((_xlfn.XMATCH(AL$8,$AH$8:$CC$8))-_xlfn.XMATCH($C217,$C$35:$C$82)+1&lt;=_xlpm.DepreciationMonths,$C217&lt;=AL$8),$E217/_xlpm.DepreciationMonths,0))</f>
        <v>0</v>
      </c>
      <c r="AM217" s="507" cm="1">
        <f t="array" ref="AM217">_xlfn.LET(_xlpm.DepreciationMonths,INDEX(FixedAssets[Depreciation
/ Amortization Months],_xlfn.XMATCH($E$186,FixedAssets[Asset ID])),IF(AND((_xlfn.XMATCH(AM$8,$AH$8:$CC$8))-_xlfn.XMATCH($C217,$C$35:$C$82)+1&lt;=_xlpm.DepreciationMonths,$C217&lt;=AM$8),$E217/_xlpm.DepreciationMonths,0))</f>
        <v>0</v>
      </c>
      <c r="AN217" s="507" cm="1">
        <f t="array" ref="AN217">_xlfn.LET(_xlpm.DepreciationMonths,INDEX(FixedAssets[Depreciation
/ Amortization Months],_xlfn.XMATCH($E$186,FixedAssets[Asset ID])),IF(AND((_xlfn.XMATCH(AN$8,$AH$8:$CC$8))-_xlfn.XMATCH($C217,$C$35:$C$82)+1&lt;=_xlpm.DepreciationMonths,$C217&lt;=AN$8),$E217/_xlpm.DepreciationMonths,0))</f>
        <v>0</v>
      </c>
      <c r="AO217" s="507" cm="1">
        <f t="array" ref="AO217">_xlfn.LET(_xlpm.DepreciationMonths,INDEX(FixedAssets[Depreciation
/ Amortization Months],_xlfn.XMATCH($E$186,FixedAssets[Asset ID])),IF(AND((_xlfn.XMATCH(AO$8,$AH$8:$CC$8))-_xlfn.XMATCH($C217,$C$35:$C$82)+1&lt;=_xlpm.DepreciationMonths,$C217&lt;=AO$8),$E217/_xlpm.DepreciationMonths,0))</f>
        <v>0</v>
      </c>
      <c r="AP217" s="507" cm="1">
        <f t="array" ref="AP217">_xlfn.LET(_xlpm.DepreciationMonths,INDEX(FixedAssets[Depreciation
/ Amortization Months],_xlfn.XMATCH($E$186,FixedAssets[Asset ID])),IF(AND((_xlfn.XMATCH(AP$8,$AH$8:$CC$8))-_xlfn.XMATCH($C217,$C$35:$C$82)+1&lt;=_xlpm.DepreciationMonths,$C217&lt;=AP$8),$E217/_xlpm.DepreciationMonths,0))</f>
        <v>0</v>
      </c>
      <c r="AQ217" s="507" cm="1">
        <f t="array" ref="AQ217">_xlfn.LET(_xlpm.DepreciationMonths,INDEX(FixedAssets[Depreciation
/ Amortization Months],_xlfn.XMATCH($E$186,FixedAssets[Asset ID])),IF(AND((_xlfn.XMATCH(AQ$8,$AH$8:$CC$8))-_xlfn.XMATCH($C217,$C$35:$C$82)+1&lt;=_xlpm.DepreciationMonths,$C217&lt;=AQ$8),$E217/_xlpm.DepreciationMonths,0))</f>
        <v>0</v>
      </c>
      <c r="AR217" s="507" cm="1">
        <f t="array" ref="AR217">_xlfn.LET(_xlpm.DepreciationMonths,INDEX(FixedAssets[Depreciation
/ Amortization Months],_xlfn.XMATCH($E$186,FixedAssets[Asset ID])),IF(AND((_xlfn.XMATCH(AR$8,$AH$8:$CC$8))-_xlfn.XMATCH($C217,$C$35:$C$82)+1&lt;=_xlpm.DepreciationMonths,$C217&lt;=AR$8),$E217/_xlpm.DepreciationMonths,0))</f>
        <v>0</v>
      </c>
      <c r="AS217" s="507" cm="1">
        <f t="array" ref="AS217">_xlfn.LET(_xlpm.DepreciationMonths,INDEX(FixedAssets[Depreciation
/ Amortization Months],_xlfn.XMATCH($E$186,FixedAssets[Asset ID])),IF(AND((_xlfn.XMATCH(AS$8,$AH$8:$CC$8))-_xlfn.XMATCH($C217,$C$35:$C$82)+1&lt;=_xlpm.DepreciationMonths,$C217&lt;=AS$8),$E217/_xlpm.DepreciationMonths,0))</f>
        <v>0</v>
      </c>
      <c r="AT217" s="507" cm="1">
        <f t="array" ref="AT217">_xlfn.LET(_xlpm.DepreciationMonths,INDEX(FixedAssets[Depreciation
/ Amortization Months],_xlfn.XMATCH($E$186,FixedAssets[Asset ID])),IF(AND((_xlfn.XMATCH(AT$8,$AH$8:$CC$8))-_xlfn.XMATCH($C217,$C$35:$C$82)+1&lt;=_xlpm.DepreciationMonths,$C217&lt;=AT$8),$E217/_xlpm.DepreciationMonths,0))</f>
        <v>0</v>
      </c>
      <c r="AU217" s="507" cm="1">
        <f t="array" ref="AU217">_xlfn.LET(_xlpm.DepreciationMonths,INDEX(FixedAssets[Depreciation
/ Amortization Months],_xlfn.XMATCH($E$186,FixedAssets[Asset ID])),IF(AND((_xlfn.XMATCH(AU$8,$AH$8:$CC$8))-_xlfn.XMATCH($C217,$C$35:$C$82)+1&lt;=_xlpm.DepreciationMonths,$C217&lt;=AU$8),$E217/_xlpm.DepreciationMonths,0))</f>
        <v>0</v>
      </c>
      <c r="AV217" s="507" cm="1">
        <f t="array" ref="AV217">_xlfn.LET(_xlpm.DepreciationMonths,INDEX(FixedAssets[Depreciation
/ Amortization Months],_xlfn.XMATCH($E$186,FixedAssets[Asset ID])),IF(AND((_xlfn.XMATCH(AV$8,$AH$8:$CC$8))-_xlfn.XMATCH($C217,$C$35:$C$82)+1&lt;=_xlpm.DepreciationMonths,$C217&lt;=AV$8),$E217/_xlpm.DepreciationMonths,0))</f>
        <v>0</v>
      </c>
      <c r="AW217" s="507" cm="1">
        <f t="array" ref="AW217">_xlfn.LET(_xlpm.DepreciationMonths,INDEX(FixedAssets[Depreciation
/ Amortization Months],_xlfn.XMATCH($E$186,FixedAssets[Asset ID])),IF(AND((_xlfn.XMATCH(AW$8,$AH$8:$CC$8))-_xlfn.XMATCH($C217,$C$35:$C$82)+1&lt;=_xlpm.DepreciationMonths,$C217&lt;=AW$8),$E217/_xlpm.DepreciationMonths,0))</f>
        <v>0</v>
      </c>
      <c r="AX217" s="507" cm="1">
        <f t="array" ref="AX217">_xlfn.LET(_xlpm.DepreciationMonths,INDEX(FixedAssets[Depreciation
/ Amortization Months],_xlfn.XMATCH($E$186,FixedAssets[Asset ID])),IF(AND((_xlfn.XMATCH(AX$8,$AH$8:$CC$8))-_xlfn.XMATCH($C217,$C$35:$C$82)+1&lt;=_xlpm.DepreciationMonths,$C217&lt;=AX$8),$E217/_xlpm.DepreciationMonths,0))</f>
        <v>0</v>
      </c>
      <c r="AY217" s="507" cm="1">
        <f t="array" ref="AY217">_xlfn.LET(_xlpm.DepreciationMonths,INDEX(FixedAssets[Depreciation
/ Amortization Months],_xlfn.XMATCH($E$186,FixedAssets[Asset ID])),IF(AND((_xlfn.XMATCH(AY$8,$AH$8:$CC$8))-_xlfn.XMATCH($C217,$C$35:$C$82)+1&lt;=_xlpm.DepreciationMonths,$C217&lt;=AY$8),$E217/_xlpm.DepreciationMonths,0))</f>
        <v>0</v>
      </c>
      <c r="AZ217" s="507" cm="1">
        <f t="array" ref="AZ217">_xlfn.LET(_xlpm.DepreciationMonths,INDEX(FixedAssets[Depreciation
/ Amortization Months],_xlfn.XMATCH($E$186,FixedAssets[Asset ID])),IF(AND((_xlfn.XMATCH(AZ$8,$AH$8:$CC$8))-_xlfn.XMATCH($C217,$C$35:$C$82)+1&lt;=_xlpm.DepreciationMonths,$C217&lt;=AZ$8),$E217/_xlpm.DepreciationMonths,0))</f>
        <v>0</v>
      </c>
      <c r="BA217" s="507" cm="1">
        <f t="array" ref="BA217">_xlfn.LET(_xlpm.DepreciationMonths,INDEX(FixedAssets[Depreciation
/ Amortization Months],_xlfn.XMATCH($E$186,FixedAssets[Asset ID])),IF(AND((_xlfn.XMATCH(BA$8,$AH$8:$CC$8))-_xlfn.XMATCH($C217,$C$35:$C$82)+1&lt;=_xlpm.DepreciationMonths,$C217&lt;=BA$8),$E217/_xlpm.DepreciationMonths,0))</f>
        <v>0</v>
      </c>
      <c r="BB217" s="507" cm="1">
        <f t="array" ref="BB217">_xlfn.LET(_xlpm.DepreciationMonths,INDEX(FixedAssets[Depreciation
/ Amortization Months],_xlfn.XMATCH($E$186,FixedAssets[Asset ID])),IF(AND((_xlfn.XMATCH(BB$8,$AH$8:$CC$8))-_xlfn.XMATCH($C217,$C$35:$C$82)+1&lt;=_xlpm.DepreciationMonths,$C217&lt;=BB$8),$E217/_xlpm.DepreciationMonths,0))</f>
        <v>0</v>
      </c>
      <c r="BC217" s="507" cm="1">
        <f t="array" ref="BC217">_xlfn.LET(_xlpm.DepreciationMonths,INDEX(FixedAssets[Depreciation
/ Amortization Months],_xlfn.XMATCH($E$186,FixedAssets[Asset ID])),IF(AND((_xlfn.XMATCH(BC$8,$AH$8:$CC$8))-_xlfn.XMATCH($C217,$C$35:$C$82)+1&lt;=_xlpm.DepreciationMonths,$C217&lt;=BC$8),$E217/_xlpm.DepreciationMonths,0))</f>
        <v>0</v>
      </c>
      <c r="BD217" s="507" cm="1">
        <f t="array" ref="BD217">_xlfn.LET(_xlpm.DepreciationMonths,INDEX(FixedAssets[Depreciation
/ Amortization Months],_xlfn.XMATCH($E$186,FixedAssets[Asset ID])),IF(AND((_xlfn.XMATCH(BD$8,$AH$8:$CC$8))-_xlfn.XMATCH($C217,$C$35:$C$82)+1&lt;=_xlpm.DepreciationMonths,$C217&lt;=BD$8),$E217/_xlpm.DepreciationMonths,0))</f>
        <v>0</v>
      </c>
      <c r="BE217" s="507" cm="1">
        <f t="array" ref="BE217">_xlfn.LET(_xlpm.DepreciationMonths,INDEX(FixedAssets[Depreciation
/ Amortization Months],_xlfn.XMATCH($E$186,FixedAssets[Asset ID])),IF(AND((_xlfn.XMATCH(BE$8,$AH$8:$CC$8))-_xlfn.XMATCH($C217,$C$35:$C$82)+1&lt;=_xlpm.DepreciationMonths,$C217&lt;=BE$8),$E217/_xlpm.DepreciationMonths,0))</f>
        <v>0</v>
      </c>
      <c r="BF217" s="507" cm="1">
        <f t="array" ref="BF217">_xlfn.LET(_xlpm.DepreciationMonths,INDEX(FixedAssets[Depreciation
/ Amortization Months],_xlfn.XMATCH($E$186,FixedAssets[Asset ID])),IF(AND((_xlfn.XMATCH(BF$8,$AH$8:$CC$8))-_xlfn.XMATCH($C217,$C$35:$C$82)+1&lt;=_xlpm.DepreciationMonths,$C217&lt;=BF$8),$E217/_xlpm.DepreciationMonths,0))</f>
        <v>0</v>
      </c>
      <c r="BG217" s="507" cm="1">
        <f t="array" ref="BG217">_xlfn.LET(_xlpm.DepreciationMonths,INDEX(FixedAssets[Depreciation
/ Amortization Months],_xlfn.XMATCH($E$186,FixedAssets[Asset ID])),IF(AND((_xlfn.XMATCH(BG$8,$AH$8:$CC$8))-_xlfn.XMATCH($C217,$C$35:$C$82)+1&lt;=_xlpm.DepreciationMonths,$C217&lt;=BG$8),$E217/_xlpm.DepreciationMonths,0))</f>
        <v>0</v>
      </c>
      <c r="BH217" s="507" cm="1">
        <f t="array" ref="BH217">_xlfn.LET(_xlpm.DepreciationMonths,INDEX(FixedAssets[Depreciation
/ Amortization Months],_xlfn.XMATCH($E$186,FixedAssets[Asset ID])),IF(AND((_xlfn.XMATCH(BH$8,$AH$8:$CC$8))-_xlfn.XMATCH($C217,$C$35:$C$82)+1&lt;=_xlpm.DepreciationMonths,$C217&lt;=BH$8),$E217/_xlpm.DepreciationMonths,0))</f>
        <v>0</v>
      </c>
      <c r="BI217" s="507" cm="1">
        <f t="array" ref="BI217">_xlfn.LET(_xlpm.DepreciationMonths,INDEX(FixedAssets[Depreciation
/ Amortization Months],_xlfn.XMATCH($E$186,FixedAssets[Asset ID])),IF(AND((_xlfn.XMATCH(BI$8,$AH$8:$CC$8))-_xlfn.XMATCH($C217,$C$35:$C$82)+1&lt;=_xlpm.DepreciationMonths,$C217&lt;=BI$8),$E217/_xlpm.DepreciationMonths,0))</f>
        <v>0</v>
      </c>
      <c r="BJ217" s="507" cm="1">
        <f t="array" ref="BJ217">_xlfn.LET(_xlpm.DepreciationMonths,INDEX(FixedAssets[Depreciation
/ Amortization Months],_xlfn.XMATCH($E$186,FixedAssets[Asset ID])),IF(AND((_xlfn.XMATCH(BJ$8,$AH$8:$CC$8))-_xlfn.XMATCH($C217,$C$35:$C$82)+1&lt;=_xlpm.DepreciationMonths,$C217&lt;=BJ$8),$E217/_xlpm.DepreciationMonths,0))</f>
        <v>0</v>
      </c>
      <c r="BK217" s="507" cm="1">
        <f t="array" ref="BK217">_xlfn.LET(_xlpm.DepreciationMonths,INDEX(FixedAssets[Depreciation
/ Amortization Months],_xlfn.XMATCH($E$186,FixedAssets[Asset ID])),IF(AND((_xlfn.XMATCH(BK$8,$AH$8:$CC$8))-_xlfn.XMATCH($C217,$C$35:$C$82)+1&lt;=_xlpm.DepreciationMonths,$C217&lt;=BK$8),$E217/_xlpm.DepreciationMonths,0))</f>
        <v>0</v>
      </c>
      <c r="BL217" s="507" cm="1">
        <f t="array" ref="BL217">_xlfn.LET(_xlpm.DepreciationMonths,INDEX(FixedAssets[Depreciation
/ Amortization Months],_xlfn.XMATCH($E$186,FixedAssets[Asset ID])),IF(AND((_xlfn.XMATCH(BL$8,$AH$8:$CC$8))-_xlfn.XMATCH($C217,$C$35:$C$82)+1&lt;=_xlpm.DepreciationMonths,$C217&lt;=BL$8),$E217/_xlpm.DepreciationMonths,0))</f>
        <v>0</v>
      </c>
      <c r="BM217" s="507" cm="1">
        <f t="array" ref="BM217">_xlfn.LET(_xlpm.DepreciationMonths,INDEX(FixedAssets[Depreciation
/ Amortization Months],_xlfn.XMATCH($E$186,FixedAssets[Asset ID])),IF(AND((_xlfn.XMATCH(BM$8,$AH$8:$CC$8))-_xlfn.XMATCH($C217,$C$35:$C$82)+1&lt;=_xlpm.DepreciationMonths,$C217&lt;=BM$8),$E217/_xlpm.DepreciationMonths,0))</f>
        <v>0</v>
      </c>
      <c r="BN217" s="507" cm="1">
        <f t="array" ref="BN217">_xlfn.LET(_xlpm.DepreciationMonths,INDEX(FixedAssets[Depreciation
/ Amortization Months],_xlfn.XMATCH($E$186,FixedAssets[Asset ID])),IF(AND((_xlfn.XMATCH(BN$8,$AH$8:$CC$8))-_xlfn.XMATCH($C217,$C$35:$C$82)+1&lt;=_xlpm.DepreciationMonths,$C217&lt;=BN$8),$E217/_xlpm.DepreciationMonths,0))</f>
        <v>0</v>
      </c>
      <c r="BO217" s="507" cm="1">
        <f t="array" ref="BO217">_xlfn.LET(_xlpm.DepreciationMonths,INDEX(FixedAssets[Depreciation
/ Amortization Months],_xlfn.XMATCH($E$186,FixedAssets[Asset ID])),IF(AND((_xlfn.XMATCH(BO$8,$AH$8:$CC$8))-_xlfn.XMATCH($C217,$C$35:$C$82)+1&lt;=_xlpm.DepreciationMonths,$C217&lt;=BO$8),$E217/_xlpm.DepreciationMonths,0))</f>
        <v>0</v>
      </c>
      <c r="BP217" s="507" cm="1">
        <f t="array" ref="BP217">_xlfn.LET(_xlpm.DepreciationMonths,INDEX(FixedAssets[Depreciation
/ Amortization Months],_xlfn.XMATCH($E$186,FixedAssets[Asset ID])),IF(AND((_xlfn.XMATCH(BP$8,$AH$8:$CC$8))-_xlfn.XMATCH($C217,$C$35:$C$82)+1&lt;=_xlpm.DepreciationMonths,$C217&lt;=BP$8),$E217/_xlpm.DepreciationMonths,0))</f>
        <v>0</v>
      </c>
      <c r="BQ217" s="507" cm="1">
        <f t="array" ref="BQ217">_xlfn.LET(_xlpm.DepreciationMonths,INDEX(FixedAssets[Depreciation
/ Amortization Months],_xlfn.XMATCH($E$186,FixedAssets[Asset ID])),IF(AND((_xlfn.XMATCH(BQ$8,$AH$8:$CC$8))-_xlfn.XMATCH($C217,$C$35:$C$82)+1&lt;=_xlpm.DepreciationMonths,$C217&lt;=BQ$8),$E217/_xlpm.DepreciationMonths,0))</f>
        <v>0</v>
      </c>
      <c r="BR217" s="507" cm="1">
        <f t="array" ref="BR217">_xlfn.LET(_xlpm.DepreciationMonths,INDEX(FixedAssets[Depreciation
/ Amortization Months],_xlfn.XMATCH($E$186,FixedAssets[Asset ID])),IF(AND((_xlfn.XMATCH(BR$8,$AH$8:$CC$8))-_xlfn.XMATCH($C217,$C$35:$C$82)+1&lt;=_xlpm.DepreciationMonths,$C217&lt;=BR$8),$E217/_xlpm.DepreciationMonths,0))</f>
        <v>0</v>
      </c>
      <c r="BS217" s="507" cm="1">
        <f t="array" ref="BS217">_xlfn.LET(_xlpm.DepreciationMonths,INDEX(FixedAssets[Depreciation
/ Amortization Months],_xlfn.XMATCH($E$186,FixedAssets[Asset ID])),IF(AND((_xlfn.XMATCH(BS$8,$AH$8:$CC$8))-_xlfn.XMATCH($C217,$C$35:$C$82)+1&lt;=_xlpm.DepreciationMonths,$C217&lt;=BS$8),$E217/_xlpm.DepreciationMonths,0))</f>
        <v>0</v>
      </c>
      <c r="BT217" s="507" cm="1">
        <f t="array" ref="BT217">_xlfn.LET(_xlpm.DepreciationMonths,INDEX(FixedAssets[Depreciation
/ Amortization Months],_xlfn.XMATCH($E$186,FixedAssets[Asset ID])),IF(AND((_xlfn.XMATCH(BT$8,$AH$8:$CC$8))-_xlfn.XMATCH($C217,$C$35:$C$82)+1&lt;=_xlpm.DepreciationMonths,$C217&lt;=BT$8),$E217/_xlpm.DepreciationMonths,0))</f>
        <v>0</v>
      </c>
      <c r="BU217" s="507" cm="1">
        <f t="array" ref="BU217">_xlfn.LET(_xlpm.DepreciationMonths,INDEX(FixedAssets[Depreciation
/ Amortization Months],_xlfn.XMATCH($E$186,FixedAssets[Asset ID])),IF(AND((_xlfn.XMATCH(BU$8,$AH$8:$CC$8))-_xlfn.XMATCH($C217,$C$35:$C$82)+1&lt;=_xlpm.DepreciationMonths,$C217&lt;=BU$8),$E217/_xlpm.DepreciationMonths,0))</f>
        <v>0</v>
      </c>
      <c r="BV217" s="507" cm="1">
        <f t="array" ref="BV217">_xlfn.LET(_xlpm.DepreciationMonths,INDEX(FixedAssets[Depreciation
/ Amortization Months],_xlfn.XMATCH($E$186,FixedAssets[Asset ID])),IF(AND((_xlfn.XMATCH(BV$8,$AH$8:$CC$8))-_xlfn.XMATCH($C217,$C$35:$C$82)+1&lt;=_xlpm.DepreciationMonths,$C217&lt;=BV$8),$E217/_xlpm.DepreciationMonths,0))</f>
        <v>0</v>
      </c>
      <c r="BW217" s="507" cm="1">
        <f t="array" ref="BW217">_xlfn.LET(_xlpm.DepreciationMonths,INDEX(FixedAssets[Depreciation
/ Amortization Months],_xlfn.XMATCH($E$186,FixedAssets[Asset ID])),IF(AND((_xlfn.XMATCH(BW$8,$AH$8:$CC$8))-_xlfn.XMATCH($C217,$C$35:$C$82)+1&lt;=_xlpm.DepreciationMonths,$C217&lt;=BW$8),$E217/_xlpm.DepreciationMonths,0))</f>
        <v>0</v>
      </c>
      <c r="BX217" s="507" cm="1">
        <f t="array" ref="BX217">_xlfn.LET(_xlpm.DepreciationMonths,INDEX(FixedAssets[Depreciation
/ Amortization Months],_xlfn.XMATCH($E$186,FixedAssets[Asset ID])),IF(AND((_xlfn.XMATCH(BX$8,$AH$8:$CC$8))-_xlfn.XMATCH($C217,$C$35:$C$82)+1&lt;=_xlpm.DepreciationMonths,$C217&lt;=BX$8),$E217/_xlpm.DepreciationMonths,0))</f>
        <v>0</v>
      </c>
      <c r="BY217" s="507" cm="1">
        <f t="array" ref="BY217">_xlfn.LET(_xlpm.DepreciationMonths,INDEX(FixedAssets[Depreciation
/ Amortization Months],_xlfn.XMATCH($E$186,FixedAssets[Asset ID])),IF(AND((_xlfn.XMATCH(BY$8,$AH$8:$CC$8))-_xlfn.XMATCH($C217,$C$35:$C$82)+1&lt;=_xlpm.DepreciationMonths,$C217&lt;=BY$8),$E217/_xlpm.DepreciationMonths,0))</f>
        <v>0</v>
      </c>
      <c r="BZ217" s="507" cm="1">
        <f t="array" ref="BZ217">_xlfn.LET(_xlpm.DepreciationMonths,INDEX(FixedAssets[Depreciation
/ Amortization Months],_xlfn.XMATCH($E$186,FixedAssets[Asset ID])),IF(AND((_xlfn.XMATCH(BZ$8,$AH$8:$CC$8))-_xlfn.XMATCH($C217,$C$35:$C$82)+1&lt;=_xlpm.DepreciationMonths,$C217&lt;=BZ$8),$E217/_xlpm.DepreciationMonths,0))</f>
        <v>0</v>
      </c>
      <c r="CA217" s="507" cm="1">
        <f t="array" ref="CA217">_xlfn.LET(_xlpm.DepreciationMonths,INDEX(FixedAssets[Depreciation
/ Amortization Months],_xlfn.XMATCH($E$186,FixedAssets[Asset ID])),IF(AND((_xlfn.XMATCH(CA$8,$AH$8:$CC$8))-_xlfn.XMATCH($C217,$C$35:$C$82)+1&lt;=_xlpm.DepreciationMonths,$C217&lt;=CA$8),$E217/_xlpm.DepreciationMonths,0))</f>
        <v>0</v>
      </c>
      <c r="CB217" s="507" cm="1">
        <f t="array" ref="CB217">_xlfn.LET(_xlpm.DepreciationMonths,INDEX(FixedAssets[Depreciation
/ Amortization Months],_xlfn.XMATCH($E$186,FixedAssets[Asset ID])),IF(AND((_xlfn.XMATCH(CB$8,$AH$8:$CC$8))-_xlfn.XMATCH($C217,$C$35:$C$82)+1&lt;=_xlpm.DepreciationMonths,$C217&lt;=CB$8),$E217/_xlpm.DepreciationMonths,0))</f>
        <v>0</v>
      </c>
      <c r="CC217" s="507" cm="1">
        <f t="array" ref="CC217">_xlfn.LET(_xlpm.DepreciationMonths,INDEX(FixedAssets[Depreciation
/ Amortization Months],_xlfn.XMATCH($E$186,FixedAssets[Asset ID])),IF(AND((_xlfn.XMATCH(CC$8,$AH$8:$CC$8))-_xlfn.XMATCH($C217,$C$35:$C$82)+1&lt;=_xlpm.DepreciationMonths,$C217&lt;=CC$8),$E217/_xlpm.DepreciationMonths,0))</f>
        <v>0</v>
      </c>
    </row>
    <row r="218" spans="3:81" hidden="1" outlineLevel="2">
      <c r="C218" s="664">
        <f t="shared" si="256"/>
        <v>45869</v>
      </c>
      <c r="D218" s="508"/>
      <c r="E218" s="508" cm="1">
        <f t="array" ref="E218">SUMPRODUCT(($AH$26:$CC$31)*($AH$5:$CC$5=$C218)*($E$26:$E$31=E$186))-SUMPRODUCT(($AH$26:$CC$31)*($AH$5:$CC$5=EOMONTH($C218,-1))*($E$26:$E$31=E$186))</f>
        <v>0</v>
      </c>
      <c r="F218" s="508"/>
      <c r="G218" s="508"/>
      <c r="H218" s="508"/>
      <c r="I218" s="508"/>
      <c r="J218" s="504">
        <f t="shared" si="254"/>
        <v>0</v>
      </c>
      <c r="K218" s="504">
        <f t="shared" si="254"/>
        <v>0</v>
      </c>
      <c r="L218" s="504">
        <f t="shared" si="254"/>
        <v>0</v>
      </c>
      <c r="M218" s="504">
        <f t="shared" si="254"/>
        <v>0</v>
      </c>
      <c r="N218" s="504"/>
      <c r="O218" s="504"/>
      <c r="P218" s="504">
        <f t="shared" si="258"/>
        <v>0</v>
      </c>
      <c r="Q218" s="504">
        <f t="shared" si="258"/>
        <v>0</v>
      </c>
      <c r="R218" s="504">
        <f t="shared" si="258"/>
        <v>0</v>
      </c>
      <c r="S218" s="504">
        <f t="shared" si="258"/>
        <v>0</v>
      </c>
      <c r="T218" s="504">
        <f t="shared" si="258"/>
        <v>0</v>
      </c>
      <c r="U218" s="504">
        <f t="shared" si="258"/>
        <v>0</v>
      </c>
      <c r="V218" s="504">
        <f t="shared" si="258"/>
        <v>0</v>
      </c>
      <c r="W218" s="504">
        <f t="shared" si="258"/>
        <v>0</v>
      </c>
      <c r="X218" s="504">
        <f t="shared" si="258"/>
        <v>0</v>
      </c>
      <c r="Y218" s="504">
        <f t="shared" si="258"/>
        <v>0</v>
      </c>
      <c r="Z218" s="504">
        <f t="shared" si="258"/>
        <v>0</v>
      </c>
      <c r="AA218" s="504">
        <f t="shared" si="258"/>
        <v>0</v>
      </c>
      <c r="AB218" s="504">
        <f t="shared" si="258"/>
        <v>0</v>
      </c>
      <c r="AC218" s="504">
        <f t="shared" si="258"/>
        <v>0</v>
      </c>
      <c r="AD218" s="504">
        <f t="shared" si="258"/>
        <v>0</v>
      </c>
      <c r="AE218" s="504">
        <f t="shared" si="258"/>
        <v>0</v>
      </c>
      <c r="AF218" s="508"/>
      <c r="AG218" s="508"/>
      <c r="AH218" s="507" cm="1">
        <f t="array" ref="AH218">_xlfn.LET(_xlpm.DepreciationMonths,INDEX(FixedAssets[Depreciation
/ Amortization Months],_xlfn.XMATCH($E$186,FixedAssets[Asset ID])),IF(AND((_xlfn.XMATCH(AH$8,$AH$8:$CC$8))-_xlfn.XMATCH($C218,$C$35:$C$82)+1&lt;=_xlpm.DepreciationMonths,$C218&lt;=AH$8),$E218/_xlpm.DepreciationMonths,0))</f>
        <v>0</v>
      </c>
      <c r="AI218" s="507" cm="1">
        <f t="array" ref="AI218">_xlfn.LET(_xlpm.DepreciationMonths,INDEX(FixedAssets[Depreciation
/ Amortization Months],_xlfn.XMATCH($E$186,FixedAssets[Asset ID])),IF(AND((_xlfn.XMATCH(AI$8,$AH$8:$CC$8))-_xlfn.XMATCH($C218,$C$35:$C$82)+1&lt;=_xlpm.DepreciationMonths,$C218&lt;=AI$8),$E218/_xlpm.DepreciationMonths,0))</f>
        <v>0</v>
      </c>
      <c r="AJ218" s="507" cm="1">
        <f t="array" ref="AJ218">_xlfn.LET(_xlpm.DepreciationMonths,INDEX(FixedAssets[Depreciation
/ Amortization Months],_xlfn.XMATCH($E$186,FixedAssets[Asset ID])),IF(AND((_xlfn.XMATCH(AJ$8,$AH$8:$CC$8))-_xlfn.XMATCH($C218,$C$35:$C$82)+1&lt;=_xlpm.DepreciationMonths,$C218&lt;=AJ$8),$E218/_xlpm.DepreciationMonths,0))</f>
        <v>0</v>
      </c>
      <c r="AK218" s="507" cm="1">
        <f t="array" ref="AK218">_xlfn.LET(_xlpm.DepreciationMonths,INDEX(FixedAssets[Depreciation
/ Amortization Months],_xlfn.XMATCH($E$186,FixedAssets[Asset ID])),IF(AND((_xlfn.XMATCH(AK$8,$AH$8:$CC$8))-_xlfn.XMATCH($C218,$C$35:$C$82)+1&lt;=_xlpm.DepreciationMonths,$C218&lt;=AK$8),$E218/_xlpm.DepreciationMonths,0))</f>
        <v>0</v>
      </c>
      <c r="AL218" s="507" cm="1">
        <f t="array" ref="AL218">_xlfn.LET(_xlpm.DepreciationMonths,INDEX(FixedAssets[Depreciation
/ Amortization Months],_xlfn.XMATCH($E$186,FixedAssets[Asset ID])),IF(AND((_xlfn.XMATCH(AL$8,$AH$8:$CC$8))-_xlfn.XMATCH($C218,$C$35:$C$82)+1&lt;=_xlpm.DepreciationMonths,$C218&lt;=AL$8),$E218/_xlpm.DepreciationMonths,0))</f>
        <v>0</v>
      </c>
      <c r="AM218" s="507" cm="1">
        <f t="array" ref="AM218">_xlfn.LET(_xlpm.DepreciationMonths,INDEX(FixedAssets[Depreciation
/ Amortization Months],_xlfn.XMATCH($E$186,FixedAssets[Asset ID])),IF(AND((_xlfn.XMATCH(AM$8,$AH$8:$CC$8))-_xlfn.XMATCH($C218,$C$35:$C$82)+1&lt;=_xlpm.DepreciationMonths,$C218&lt;=AM$8),$E218/_xlpm.DepreciationMonths,0))</f>
        <v>0</v>
      </c>
      <c r="AN218" s="507" cm="1">
        <f t="array" ref="AN218">_xlfn.LET(_xlpm.DepreciationMonths,INDEX(FixedAssets[Depreciation
/ Amortization Months],_xlfn.XMATCH($E$186,FixedAssets[Asset ID])),IF(AND((_xlfn.XMATCH(AN$8,$AH$8:$CC$8))-_xlfn.XMATCH($C218,$C$35:$C$82)+1&lt;=_xlpm.DepreciationMonths,$C218&lt;=AN$8),$E218/_xlpm.DepreciationMonths,0))</f>
        <v>0</v>
      </c>
      <c r="AO218" s="507" cm="1">
        <f t="array" ref="AO218">_xlfn.LET(_xlpm.DepreciationMonths,INDEX(FixedAssets[Depreciation
/ Amortization Months],_xlfn.XMATCH($E$186,FixedAssets[Asset ID])),IF(AND((_xlfn.XMATCH(AO$8,$AH$8:$CC$8))-_xlfn.XMATCH($C218,$C$35:$C$82)+1&lt;=_xlpm.DepreciationMonths,$C218&lt;=AO$8),$E218/_xlpm.DepreciationMonths,0))</f>
        <v>0</v>
      </c>
      <c r="AP218" s="507" cm="1">
        <f t="array" ref="AP218">_xlfn.LET(_xlpm.DepreciationMonths,INDEX(FixedAssets[Depreciation
/ Amortization Months],_xlfn.XMATCH($E$186,FixedAssets[Asset ID])),IF(AND((_xlfn.XMATCH(AP$8,$AH$8:$CC$8))-_xlfn.XMATCH($C218,$C$35:$C$82)+1&lt;=_xlpm.DepreciationMonths,$C218&lt;=AP$8),$E218/_xlpm.DepreciationMonths,0))</f>
        <v>0</v>
      </c>
      <c r="AQ218" s="507" cm="1">
        <f t="array" ref="AQ218">_xlfn.LET(_xlpm.DepreciationMonths,INDEX(FixedAssets[Depreciation
/ Amortization Months],_xlfn.XMATCH($E$186,FixedAssets[Asset ID])),IF(AND((_xlfn.XMATCH(AQ$8,$AH$8:$CC$8))-_xlfn.XMATCH($C218,$C$35:$C$82)+1&lt;=_xlpm.DepreciationMonths,$C218&lt;=AQ$8),$E218/_xlpm.DepreciationMonths,0))</f>
        <v>0</v>
      </c>
      <c r="AR218" s="507" cm="1">
        <f t="array" ref="AR218">_xlfn.LET(_xlpm.DepreciationMonths,INDEX(FixedAssets[Depreciation
/ Amortization Months],_xlfn.XMATCH($E$186,FixedAssets[Asset ID])),IF(AND((_xlfn.XMATCH(AR$8,$AH$8:$CC$8))-_xlfn.XMATCH($C218,$C$35:$C$82)+1&lt;=_xlpm.DepreciationMonths,$C218&lt;=AR$8),$E218/_xlpm.DepreciationMonths,0))</f>
        <v>0</v>
      </c>
      <c r="AS218" s="507" cm="1">
        <f t="array" ref="AS218">_xlfn.LET(_xlpm.DepreciationMonths,INDEX(FixedAssets[Depreciation
/ Amortization Months],_xlfn.XMATCH($E$186,FixedAssets[Asset ID])),IF(AND((_xlfn.XMATCH(AS$8,$AH$8:$CC$8))-_xlfn.XMATCH($C218,$C$35:$C$82)+1&lt;=_xlpm.DepreciationMonths,$C218&lt;=AS$8),$E218/_xlpm.DepreciationMonths,0))</f>
        <v>0</v>
      </c>
      <c r="AT218" s="507" cm="1">
        <f t="array" ref="AT218">_xlfn.LET(_xlpm.DepreciationMonths,INDEX(FixedAssets[Depreciation
/ Amortization Months],_xlfn.XMATCH($E$186,FixedAssets[Asset ID])),IF(AND((_xlfn.XMATCH(AT$8,$AH$8:$CC$8))-_xlfn.XMATCH($C218,$C$35:$C$82)+1&lt;=_xlpm.DepreciationMonths,$C218&lt;=AT$8),$E218/_xlpm.DepreciationMonths,0))</f>
        <v>0</v>
      </c>
      <c r="AU218" s="507" cm="1">
        <f t="array" ref="AU218">_xlfn.LET(_xlpm.DepreciationMonths,INDEX(FixedAssets[Depreciation
/ Amortization Months],_xlfn.XMATCH($E$186,FixedAssets[Asset ID])),IF(AND((_xlfn.XMATCH(AU$8,$AH$8:$CC$8))-_xlfn.XMATCH($C218,$C$35:$C$82)+1&lt;=_xlpm.DepreciationMonths,$C218&lt;=AU$8),$E218/_xlpm.DepreciationMonths,0))</f>
        <v>0</v>
      </c>
      <c r="AV218" s="507" cm="1">
        <f t="array" ref="AV218">_xlfn.LET(_xlpm.DepreciationMonths,INDEX(FixedAssets[Depreciation
/ Amortization Months],_xlfn.XMATCH($E$186,FixedAssets[Asset ID])),IF(AND((_xlfn.XMATCH(AV$8,$AH$8:$CC$8))-_xlfn.XMATCH($C218,$C$35:$C$82)+1&lt;=_xlpm.DepreciationMonths,$C218&lt;=AV$8),$E218/_xlpm.DepreciationMonths,0))</f>
        <v>0</v>
      </c>
      <c r="AW218" s="507" cm="1">
        <f t="array" ref="AW218">_xlfn.LET(_xlpm.DepreciationMonths,INDEX(FixedAssets[Depreciation
/ Amortization Months],_xlfn.XMATCH($E$186,FixedAssets[Asset ID])),IF(AND((_xlfn.XMATCH(AW$8,$AH$8:$CC$8))-_xlfn.XMATCH($C218,$C$35:$C$82)+1&lt;=_xlpm.DepreciationMonths,$C218&lt;=AW$8),$E218/_xlpm.DepreciationMonths,0))</f>
        <v>0</v>
      </c>
      <c r="AX218" s="507" cm="1">
        <f t="array" ref="AX218">_xlfn.LET(_xlpm.DepreciationMonths,INDEX(FixedAssets[Depreciation
/ Amortization Months],_xlfn.XMATCH($E$186,FixedAssets[Asset ID])),IF(AND((_xlfn.XMATCH(AX$8,$AH$8:$CC$8))-_xlfn.XMATCH($C218,$C$35:$C$82)+1&lt;=_xlpm.DepreciationMonths,$C218&lt;=AX$8),$E218/_xlpm.DepreciationMonths,0))</f>
        <v>0</v>
      </c>
      <c r="AY218" s="507" cm="1">
        <f t="array" ref="AY218">_xlfn.LET(_xlpm.DepreciationMonths,INDEX(FixedAssets[Depreciation
/ Amortization Months],_xlfn.XMATCH($E$186,FixedAssets[Asset ID])),IF(AND((_xlfn.XMATCH(AY$8,$AH$8:$CC$8))-_xlfn.XMATCH($C218,$C$35:$C$82)+1&lt;=_xlpm.DepreciationMonths,$C218&lt;=AY$8),$E218/_xlpm.DepreciationMonths,0))</f>
        <v>0</v>
      </c>
      <c r="AZ218" s="507" cm="1">
        <f t="array" ref="AZ218">_xlfn.LET(_xlpm.DepreciationMonths,INDEX(FixedAssets[Depreciation
/ Amortization Months],_xlfn.XMATCH($E$186,FixedAssets[Asset ID])),IF(AND((_xlfn.XMATCH(AZ$8,$AH$8:$CC$8))-_xlfn.XMATCH($C218,$C$35:$C$82)+1&lt;=_xlpm.DepreciationMonths,$C218&lt;=AZ$8),$E218/_xlpm.DepreciationMonths,0))</f>
        <v>0</v>
      </c>
      <c r="BA218" s="507" cm="1">
        <f t="array" ref="BA218">_xlfn.LET(_xlpm.DepreciationMonths,INDEX(FixedAssets[Depreciation
/ Amortization Months],_xlfn.XMATCH($E$186,FixedAssets[Asset ID])),IF(AND((_xlfn.XMATCH(BA$8,$AH$8:$CC$8))-_xlfn.XMATCH($C218,$C$35:$C$82)+1&lt;=_xlpm.DepreciationMonths,$C218&lt;=BA$8),$E218/_xlpm.DepreciationMonths,0))</f>
        <v>0</v>
      </c>
      <c r="BB218" s="507" cm="1">
        <f t="array" ref="BB218">_xlfn.LET(_xlpm.DepreciationMonths,INDEX(FixedAssets[Depreciation
/ Amortization Months],_xlfn.XMATCH($E$186,FixedAssets[Asset ID])),IF(AND((_xlfn.XMATCH(BB$8,$AH$8:$CC$8))-_xlfn.XMATCH($C218,$C$35:$C$82)+1&lt;=_xlpm.DepreciationMonths,$C218&lt;=BB$8),$E218/_xlpm.DepreciationMonths,0))</f>
        <v>0</v>
      </c>
      <c r="BC218" s="507" cm="1">
        <f t="array" ref="BC218">_xlfn.LET(_xlpm.DepreciationMonths,INDEX(FixedAssets[Depreciation
/ Amortization Months],_xlfn.XMATCH($E$186,FixedAssets[Asset ID])),IF(AND((_xlfn.XMATCH(BC$8,$AH$8:$CC$8))-_xlfn.XMATCH($C218,$C$35:$C$82)+1&lt;=_xlpm.DepreciationMonths,$C218&lt;=BC$8),$E218/_xlpm.DepreciationMonths,0))</f>
        <v>0</v>
      </c>
      <c r="BD218" s="507" cm="1">
        <f t="array" ref="BD218">_xlfn.LET(_xlpm.DepreciationMonths,INDEX(FixedAssets[Depreciation
/ Amortization Months],_xlfn.XMATCH($E$186,FixedAssets[Asset ID])),IF(AND((_xlfn.XMATCH(BD$8,$AH$8:$CC$8))-_xlfn.XMATCH($C218,$C$35:$C$82)+1&lt;=_xlpm.DepreciationMonths,$C218&lt;=BD$8),$E218/_xlpm.DepreciationMonths,0))</f>
        <v>0</v>
      </c>
      <c r="BE218" s="507" cm="1">
        <f t="array" ref="BE218">_xlfn.LET(_xlpm.DepreciationMonths,INDEX(FixedAssets[Depreciation
/ Amortization Months],_xlfn.XMATCH($E$186,FixedAssets[Asset ID])),IF(AND((_xlfn.XMATCH(BE$8,$AH$8:$CC$8))-_xlfn.XMATCH($C218,$C$35:$C$82)+1&lt;=_xlpm.DepreciationMonths,$C218&lt;=BE$8),$E218/_xlpm.DepreciationMonths,0))</f>
        <v>0</v>
      </c>
      <c r="BF218" s="507" cm="1">
        <f t="array" ref="BF218">_xlfn.LET(_xlpm.DepreciationMonths,INDEX(FixedAssets[Depreciation
/ Amortization Months],_xlfn.XMATCH($E$186,FixedAssets[Asset ID])),IF(AND((_xlfn.XMATCH(BF$8,$AH$8:$CC$8))-_xlfn.XMATCH($C218,$C$35:$C$82)+1&lt;=_xlpm.DepreciationMonths,$C218&lt;=BF$8),$E218/_xlpm.DepreciationMonths,0))</f>
        <v>0</v>
      </c>
      <c r="BG218" s="507" cm="1">
        <f t="array" ref="BG218">_xlfn.LET(_xlpm.DepreciationMonths,INDEX(FixedAssets[Depreciation
/ Amortization Months],_xlfn.XMATCH($E$186,FixedAssets[Asset ID])),IF(AND((_xlfn.XMATCH(BG$8,$AH$8:$CC$8))-_xlfn.XMATCH($C218,$C$35:$C$82)+1&lt;=_xlpm.DepreciationMonths,$C218&lt;=BG$8),$E218/_xlpm.DepreciationMonths,0))</f>
        <v>0</v>
      </c>
      <c r="BH218" s="507" cm="1">
        <f t="array" ref="BH218">_xlfn.LET(_xlpm.DepreciationMonths,INDEX(FixedAssets[Depreciation
/ Amortization Months],_xlfn.XMATCH($E$186,FixedAssets[Asset ID])),IF(AND((_xlfn.XMATCH(BH$8,$AH$8:$CC$8))-_xlfn.XMATCH($C218,$C$35:$C$82)+1&lt;=_xlpm.DepreciationMonths,$C218&lt;=BH$8),$E218/_xlpm.DepreciationMonths,0))</f>
        <v>0</v>
      </c>
      <c r="BI218" s="507" cm="1">
        <f t="array" ref="BI218">_xlfn.LET(_xlpm.DepreciationMonths,INDEX(FixedAssets[Depreciation
/ Amortization Months],_xlfn.XMATCH($E$186,FixedAssets[Asset ID])),IF(AND((_xlfn.XMATCH(BI$8,$AH$8:$CC$8))-_xlfn.XMATCH($C218,$C$35:$C$82)+1&lt;=_xlpm.DepreciationMonths,$C218&lt;=BI$8),$E218/_xlpm.DepreciationMonths,0))</f>
        <v>0</v>
      </c>
      <c r="BJ218" s="507" cm="1">
        <f t="array" ref="BJ218">_xlfn.LET(_xlpm.DepreciationMonths,INDEX(FixedAssets[Depreciation
/ Amortization Months],_xlfn.XMATCH($E$186,FixedAssets[Asset ID])),IF(AND((_xlfn.XMATCH(BJ$8,$AH$8:$CC$8))-_xlfn.XMATCH($C218,$C$35:$C$82)+1&lt;=_xlpm.DepreciationMonths,$C218&lt;=BJ$8),$E218/_xlpm.DepreciationMonths,0))</f>
        <v>0</v>
      </c>
      <c r="BK218" s="507" cm="1">
        <f t="array" ref="BK218">_xlfn.LET(_xlpm.DepreciationMonths,INDEX(FixedAssets[Depreciation
/ Amortization Months],_xlfn.XMATCH($E$186,FixedAssets[Asset ID])),IF(AND((_xlfn.XMATCH(BK$8,$AH$8:$CC$8))-_xlfn.XMATCH($C218,$C$35:$C$82)+1&lt;=_xlpm.DepreciationMonths,$C218&lt;=BK$8),$E218/_xlpm.DepreciationMonths,0))</f>
        <v>0</v>
      </c>
      <c r="BL218" s="507" cm="1">
        <f t="array" ref="BL218">_xlfn.LET(_xlpm.DepreciationMonths,INDEX(FixedAssets[Depreciation
/ Amortization Months],_xlfn.XMATCH($E$186,FixedAssets[Asset ID])),IF(AND((_xlfn.XMATCH(BL$8,$AH$8:$CC$8))-_xlfn.XMATCH($C218,$C$35:$C$82)+1&lt;=_xlpm.DepreciationMonths,$C218&lt;=BL$8),$E218/_xlpm.DepreciationMonths,0))</f>
        <v>0</v>
      </c>
      <c r="BM218" s="507" cm="1">
        <f t="array" ref="BM218">_xlfn.LET(_xlpm.DepreciationMonths,INDEX(FixedAssets[Depreciation
/ Amortization Months],_xlfn.XMATCH($E$186,FixedAssets[Asset ID])),IF(AND((_xlfn.XMATCH(BM$8,$AH$8:$CC$8))-_xlfn.XMATCH($C218,$C$35:$C$82)+1&lt;=_xlpm.DepreciationMonths,$C218&lt;=BM$8),$E218/_xlpm.DepreciationMonths,0))</f>
        <v>0</v>
      </c>
      <c r="BN218" s="507" cm="1">
        <f t="array" ref="BN218">_xlfn.LET(_xlpm.DepreciationMonths,INDEX(FixedAssets[Depreciation
/ Amortization Months],_xlfn.XMATCH($E$186,FixedAssets[Asset ID])),IF(AND((_xlfn.XMATCH(BN$8,$AH$8:$CC$8))-_xlfn.XMATCH($C218,$C$35:$C$82)+1&lt;=_xlpm.DepreciationMonths,$C218&lt;=BN$8),$E218/_xlpm.DepreciationMonths,0))</f>
        <v>0</v>
      </c>
      <c r="BO218" s="507" cm="1">
        <f t="array" ref="BO218">_xlfn.LET(_xlpm.DepreciationMonths,INDEX(FixedAssets[Depreciation
/ Amortization Months],_xlfn.XMATCH($E$186,FixedAssets[Asset ID])),IF(AND((_xlfn.XMATCH(BO$8,$AH$8:$CC$8))-_xlfn.XMATCH($C218,$C$35:$C$82)+1&lt;=_xlpm.DepreciationMonths,$C218&lt;=BO$8),$E218/_xlpm.DepreciationMonths,0))</f>
        <v>0</v>
      </c>
      <c r="BP218" s="507" cm="1">
        <f t="array" ref="BP218">_xlfn.LET(_xlpm.DepreciationMonths,INDEX(FixedAssets[Depreciation
/ Amortization Months],_xlfn.XMATCH($E$186,FixedAssets[Asset ID])),IF(AND((_xlfn.XMATCH(BP$8,$AH$8:$CC$8))-_xlfn.XMATCH($C218,$C$35:$C$82)+1&lt;=_xlpm.DepreciationMonths,$C218&lt;=BP$8),$E218/_xlpm.DepreciationMonths,0))</f>
        <v>0</v>
      </c>
      <c r="BQ218" s="507" cm="1">
        <f t="array" ref="BQ218">_xlfn.LET(_xlpm.DepreciationMonths,INDEX(FixedAssets[Depreciation
/ Amortization Months],_xlfn.XMATCH($E$186,FixedAssets[Asset ID])),IF(AND((_xlfn.XMATCH(BQ$8,$AH$8:$CC$8))-_xlfn.XMATCH($C218,$C$35:$C$82)+1&lt;=_xlpm.DepreciationMonths,$C218&lt;=BQ$8),$E218/_xlpm.DepreciationMonths,0))</f>
        <v>0</v>
      </c>
      <c r="BR218" s="507" cm="1">
        <f t="array" ref="BR218">_xlfn.LET(_xlpm.DepreciationMonths,INDEX(FixedAssets[Depreciation
/ Amortization Months],_xlfn.XMATCH($E$186,FixedAssets[Asset ID])),IF(AND((_xlfn.XMATCH(BR$8,$AH$8:$CC$8))-_xlfn.XMATCH($C218,$C$35:$C$82)+1&lt;=_xlpm.DepreciationMonths,$C218&lt;=BR$8),$E218/_xlpm.DepreciationMonths,0))</f>
        <v>0</v>
      </c>
      <c r="BS218" s="507" cm="1">
        <f t="array" ref="BS218">_xlfn.LET(_xlpm.DepreciationMonths,INDEX(FixedAssets[Depreciation
/ Amortization Months],_xlfn.XMATCH($E$186,FixedAssets[Asset ID])),IF(AND((_xlfn.XMATCH(BS$8,$AH$8:$CC$8))-_xlfn.XMATCH($C218,$C$35:$C$82)+1&lt;=_xlpm.DepreciationMonths,$C218&lt;=BS$8),$E218/_xlpm.DepreciationMonths,0))</f>
        <v>0</v>
      </c>
      <c r="BT218" s="507" cm="1">
        <f t="array" ref="BT218">_xlfn.LET(_xlpm.DepreciationMonths,INDEX(FixedAssets[Depreciation
/ Amortization Months],_xlfn.XMATCH($E$186,FixedAssets[Asset ID])),IF(AND((_xlfn.XMATCH(BT$8,$AH$8:$CC$8))-_xlfn.XMATCH($C218,$C$35:$C$82)+1&lt;=_xlpm.DepreciationMonths,$C218&lt;=BT$8),$E218/_xlpm.DepreciationMonths,0))</f>
        <v>0</v>
      </c>
      <c r="BU218" s="507" cm="1">
        <f t="array" ref="BU218">_xlfn.LET(_xlpm.DepreciationMonths,INDEX(FixedAssets[Depreciation
/ Amortization Months],_xlfn.XMATCH($E$186,FixedAssets[Asset ID])),IF(AND((_xlfn.XMATCH(BU$8,$AH$8:$CC$8))-_xlfn.XMATCH($C218,$C$35:$C$82)+1&lt;=_xlpm.DepreciationMonths,$C218&lt;=BU$8),$E218/_xlpm.DepreciationMonths,0))</f>
        <v>0</v>
      </c>
      <c r="BV218" s="507" cm="1">
        <f t="array" ref="BV218">_xlfn.LET(_xlpm.DepreciationMonths,INDEX(FixedAssets[Depreciation
/ Amortization Months],_xlfn.XMATCH($E$186,FixedAssets[Asset ID])),IF(AND((_xlfn.XMATCH(BV$8,$AH$8:$CC$8))-_xlfn.XMATCH($C218,$C$35:$C$82)+1&lt;=_xlpm.DepreciationMonths,$C218&lt;=BV$8),$E218/_xlpm.DepreciationMonths,0))</f>
        <v>0</v>
      </c>
      <c r="BW218" s="507" cm="1">
        <f t="array" ref="BW218">_xlfn.LET(_xlpm.DepreciationMonths,INDEX(FixedAssets[Depreciation
/ Amortization Months],_xlfn.XMATCH($E$186,FixedAssets[Asset ID])),IF(AND((_xlfn.XMATCH(BW$8,$AH$8:$CC$8))-_xlfn.XMATCH($C218,$C$35:$C$82)+1&lt;=_xlpm.DepreciationMonths,$C218&lt;=BW$8),$E218/_xlpm.DepreciationMonths,0))</f>
        <v>0</v>
      </c>
      <c r="BX218" s="507" cm="1">
        <f t="array" ref="BX218">_xlfn.LET(_xlpm.DepreciationMonths,INDEX(FixedAssets[Depreciation
/ Amortization Months],_xlfn.XMATCH($E$186,FixedAssets[Asset ID])),IF(AND((_xlfn.XMATCH(BX$8,$AH$8:$CC$8))-_xlfn.XMATCH($C218,$C$35:$C$82)+1&lt;=_xlpm.DepreciationMonths,$C218&lt;=BX$8),$E218/_xlpm.DepreciationMonths,0))</f>
        <v>0</v>
      </c>
      <c r="BY218" s="507" cm="1">
        <f t="array" ref="BY218">_xlfn.LET(_xlpm.DepreciationMonths,INDEX(FixedAssets[Depreciation
/ Amortization Months],_xlfn.XMATCH($E$186,FixedAssets[Asset ID])),IF(AND((_xlfn.XMATCH(BY$8,$AH$8:$CC$8))-_xlfn.XMATCH($C218,$C$35:$C$82)+1&lt;=_xlpm.DepreciationMonths,$C218&lt;=BY$8),$E218/_xlpm.DepreciationMonths,0))</f>
        <v>0</v>
      </c>
      <c r="BZ218" s="507" cm="1">
        <f t="array" ref="BZ218">_xlfn.LET(_xlpm.DepreciationMonths,INDEX(FixedAssets[Depreciation
/ Amortization Months],_xlfn.XMATCH($E$186,FixedAssets[Asset ID])),IF(AND((_xlfn.XMATCH(BZ$8,$AH$8:$CC$8))-_xlfn.XMATCH($C218,$C$35:$C$82)+1&lt;=_xlpm.DepreciationMonths,$C218&lt;=BZ$8),$E218/_xlpm.DepreciationMonths,0))</f>
        <v>0</v>
      </c>
      <c r="CA218" s="507" cm="1">
        <f t="array" ref="CA218">_xlfn.LET(_xlpm.DepreciationMonths,INDEX(FixedAssets[Depreciation
/ Amortization Months],_xlfn.XMATCH($E$186,FixedAssets[Asset ID])),IF(AND((_xlfn.XMATCH(CA$8,$AH$8:$CC$8))-_xlfn.XMATCH($C218,$C$35:$C$82)+1&lt;=_xlpm.DepreciationMonths,$C218&lt;=CA$8),$E218/_xlpm.DepreciationMonths,0))</f>
        <v>0</v>
      </c>
      <c r="CB218" s="507" cm="1">
        <f t="array" ref="CB218">_xlfn.LET(_xlpm.DepreciationMonths,INDEX(FixedAssets[Depreciation
/ Amortization Months],_xlfn.XMATCH($E$186,FixedAssets[Asset ID])),IF(AND((_xlfn.XMATCH(CB$8,$AH$8:$CC$8))-_xlfn.XMATCH($C218,$C$35:$C$82)+1&lt;=_xlpm.DepreciationMonths,$C218&lt;=CB$8),$E218/_xlpm.DepreciationMonths,0))</f>
        <v>0</v>
      </c>
      <c r="CC218" s="507" cm="1">
        <f t="array" ref="CC218">_xlfn.LET(_xlpm.DepreciationMonths,INDEX(FixedAssets[Depreciation
/ Amortization Months],_xlfn.XMATCH($E$186,FixedAssets[Asset ID])),IF(AND((_xlfn.XMATCH(CC$8,$AH$8:$CC$8))-_xlfn.XMATCH($C218,$C$35:$C$82)+1&lt;=_xlpm.DepreciationMonths,$C218&lt;=CC$8),$E218/_xlpm.DepreciationMonths,0))</f>
        <v>0</v>
      </c>
    </row>
    <row r="219" spans="3:81" hidden="1" outlineLevel="2">
      <c r="C219" s="664">
        <f t="shared" si="256"/>
        <v>45900</v>
      </c>
      <c r="D219" s="508"/>
      <c r="E219" s="508" cm="1">
        <f t="array" ref="E219">SUMPRODUCT(($AH$26:$CC$31)*($AH$5:$CC$5=$C219)*($E$26:$E$31=E$186))-SUMPRODUCT(($AH$26:$CC$31)*($AH$5:$CC$5=EOMONTH($C219,-1))*($E$26:$E$31=E$186))</f>
        <v>0</v>
      </c>
      <c r="F219" s="508"/>
      <c r="G219" s="508"/>
      <c r="H219" s="508"/>
      <c r="I219" s="508"/>
      <c r="J219" s="504">
        <f t="shared" si="254"/>
        <v>0</v>
      </c>
      <c r="K219" s="504">
        <f t="shared" si="254"/>
        <v>0</v>
      </c>
      <c r="L219" s="504">
        <f t="shared" si="254"/>
        <v>0</v>
      </c>
      <c r="M219" s="504">
        <f t="shared" si="254"/>
        <v>0</v>
      </c>
      <c r="N219" s="504"/>
      <c r="O219" s="504"/>
      <c r="P219" s="504">
        <f t="shared" si="258"/>
        <v>0</v>
      </c>
      <c r="Q219" s="504">
        <f t="shared" si="258"/>
        <v>0</v>
      </c>
      <c r="R219" s="504">
        <f t="shared" si="258"/>
        <v>0</v>
      </c>
      <c r="S219" s="504">
        <f t="shared" si="258"/>
        <v>0</v>
      </c>
      <c r="T219" s="504">
        <f t="shared" si="258"/>
        <v>0</v>
      </c>
      <c r="U219" s="504">
        <f t="shared" si="258"/>
        <v>0</v>
      </c>
      <c r="V219" s="504">
        <f t="shared" si="258"/>
        <v>0</v>
      </c>
      <c r="W219" s="504">
        <f t="shared" si="258"/>
        <v>0</v>
      </c>
      <c r="X219" s="504">
        <f t="shared" si="258"/>
        <v>0</v>
      </c>
      <c r="Y219" s="504">
        <f t="shared" si="258"/>
        <v>0</v>
      </c>
      <c r="Z219" s="504">
        <f t="shared" si="258"/>
        <v>0</v>
      </c>
      <c r="AA219" s="504">
        <f t="shared" si="258"/>
        <v>0</v>
      </c>
      <c r="AB219" s="504">
        <f t="shared" si="258"/>
        <v>0</v>
      </c>
      <c r="AC219" s="504">
        <f t="shared" si="258"/>
        <v>0</v>
      </c>
      <c r="AD219" s="504">
        <f t="shared" si="258"/>
        <v>0</v>
      </c>
      <c r="AE219" s="504">
        <f t="shared" ref="AE219" si="259">SUMIFS($AH219:$CC219,$AH$4:$CC$4,"&gt;="&amp;AE$4,$AH$5:$CC$5,"&lt;="&amp;AE$5)</f>
        <v>0</v>
      </c>
      <c r="AF219" s="508"/>
      <c r="AG219" s="508"/>
      <c r="AH219" s="507" cm="1">
        <f t="array" ref="AH219">_xlfn.LET(_xlpm.DepreciationMonths,INDEX(FixedAssets[Depreciation
/ Amortization Months],_xlfn.XMATCH($E$186,FixedAssets[Asset ID])),IF(AND((_xlfn.XMATCH(AH$8,$AH$8:$CC$8))-_xlfn.XMATCH($C219,$C$35:$C$82)+1&lt;=_xlpm.DepreciationMonths,$C219&lt;=AH$8),$E219/_xlpm.DepreciationMonths,0))</f>
        <v>0</v>
      </c>
      <c r="AI219" s="507" cm="1">
        <f t="array" ref="AI219">_xlfn.LET(_xlpm.DepreciationMonths,INDEX(FixedAssets[Depreciation
/ Amortization Months],_xlfn.XMATCH($E$186,FixedAssets[Asset ID])),IF(AND((_xlfn.XMATCH(AI$8,$AH$8:$CC$8))-_xlfn.XMATCH($C219,$C$35:$C$82)+1&lt;=_xlpm.DepreciationMonths,$C219&lt;=AI$8),$E219/_xlpm.DepreciationMonths,0))</f>
        <v>0</v>
      </c>
      <c r="AJ219" s="507" cm="1">
        <f t="array" ref="AJ219">_xlfn.LET(_xlpm.DepreciationMonths,INDEX(FixedAssets[Depreciation
/ Amortization Months],_xlfn.XMATCH($E$186,FixedAssets[Asset ID])),IF(AND((_xlfn.XMATCH(AJ$8,$AH$8:$CC$8))-_xlfn.XMATCH($C219,$C$35:$C$82)+1&lt;=_xlpm.DepreciationMonths,$C219&lt;=AJ$8),$E219/_xlpm.DepreciationMonths,0))</f>
        <v>0</v>
      </c>
      <c r="AK219" s="507" cm="1">
        <f t="array" ref="AK219">_xlfn.LET(_xlpm.DepreciationMonths,INDEX(FixedAssets[Depreciation
/ Amortization Months],_xlfn.XMATCH($E$186,FixedAssets[Asset ID])),IF(AND((_xlfn.XMATCH(AK$8,$AH$8:$CC$8))-_xlfn.XMATCH($C219,$C$35:$C$82)+1&lt;=_xlpm.DepreciationMonths,$C219&lt;=AK$8),$E219/_xlpm.DepreciationMonths,0))</f>
        <v>0</v>
      </c>
      <c r="AL219" s="507" cm="1">
        <f t="array" ref="AL219">_xlfn.LET(_xlpm.DepreciationMonths,INDEX(FixedAssets[Depreciation
/ Amortization Months],_xlfn.XMATCH($E$186,FixedAssets[Asset ID])),IF(AND((_xlfn.XMATCH(AL$8,$AH$8:$CC$8))-_xlfn.XMATCH($C219,$C$35:$C$82)+1&lt;=_xlpm.DepreciationMonths,$C219&lt;=AL$8),$E219/_xlpm.DepreciationMonths,0))</f>
        <v>0</v>
      </c>
      <c r="AM219" s="507" cm="1">
        <f t="array" ref="AM219">_xlfn.LET(_xlpm.DepreciationMonths,INDEX(FixedAssets[Depreciation
/ Amortization Months],_xlfn.XMATCH($E$186,FixedAssets[Asset ID])),IF(AND((_xlfn.XMATCH(AM$8,$AH$8:$CC$8))-_xlfn.XMATCH($C219,$C$35:$C$82)+1&lt;=_xlpm.DepreciationMonths,$C219&lt;=AM$8),$E219/_xlpm.DepreciationMonths,0))</f>
        <v>0</v>
      </c>
      <c r="AN219" s="507" cm="1">
        <f t="array" ref="AN219">_xlfn.LET(_xlpm.DepreciationMonths,INDEX(FixedAssets[Depreciation
/ Amortization Months],_xlfn.XMATCH($E$186,FixedAssets[Asset ID])),IF(AND((_xlfn.XMATCH(AN$8,$AH$8:$CC$8))-_xlfn.XMATCH($C219,$C$35:$C$82)+1&lt;=_xlpm.DepreciationMonths,$C219&lt;=AN$8),$E219/_xlpm.DepreciationMonths,0))</f>
        <v>0</v>
      </c>
      <c r="AO219" s="507" cm="1">
        <f t="array" ref="AO219">_xlfn.LET(_xlpm.DepreciationMonths,INDEX(FixedAssets[Depreciation
/ Amortization Months],_xlfn.XMATCH($E$186,FixedAssets[Asset ID])),IF(AND((_xlfn.XMATCH(AO$8,$AH$8:$CC$8))-_xlfn.XMATCH($C219,$C$35:$C$82)+1&lt;=_xlpm.DepreciationMonths,$C219&lt;=AO$8),$E219/_xlpm.DepreciationMonths,0))</f>
        <v>0</v>
      </c>
      <c r="AP219" s="507" cm="1">
        <f t="array" ref="AP219">_xlfn.LET(_xlpm.DepreciationMonths,INDEX(FixedAssets[Depreciation
/ Amortization Months],_xlfn.XMATCH($E$186,FixedAssets[Asset ID])),IF(AND((_xlfn.XMATCH(AP$8,$AH$8:$CC$8))-_xlfn.XMATCH($C219,$C$35:$C$82)+1&lt;=_xlpm.DepreciationMonths,$C219&lt;=AP$8),$E219/_xlpm.DepreciationMonths,0))</f>
        <v>0</v>
      </c>
      <c r="AQ219" s="507" cm="1">
        <f t="array" ref="AQ219">_xlfn.LET(_xlpm.DepreciationMonths,INDEX(FixedAssets[Depreciation
/ Amortization Months],_xlfn.XMATCH($E$186,FixedAssets[Asset ID])),IF(AND((_xlfn.XMATCH(AQ$8,$AH$8:$CC$8))-_xlfn.XMATCH($C219,$C$35:$C$82)+1&lt;=_xlpm.DepreciationMonths,$C219&lt;=AQ$8),$E219/_xlpm.DepreciationMonths,0))</f>
        <v>0</v>
      </c>
      <c r="AR219" s="507" cm="1">
        <f t="array" ref="AR219">_xlfn.LET(_xlpm.DepreciationMonths,INDEX(FixedAssets[Depreciation
/ Amortization Months],_xlfn.XMATCH($E$186,FixedAssets[Asset ID])),IF(AND((_xlfn.XMATCH(AR$8,$AH$8:$CC$8))-_xlfn.XMATCH($C219,$C$35:$C$82)+1&lt;=_xlpm.DepreciationMonths,$C219&lt;=AR$8),$E219/_xlpm.DepreciationMonths,0))</f>
        <v>0</v>
      </c>
      <c r="AS219" s="507" cm="1">
        <f t="array" ref="AS219">_xlfn.LET(_xlpm.DepreciationMonths,INDEX(FixedAssets[Depreciation
/ Amortization Months],_xlfn.XMATCH($E$186,FixedAssets[Asset ID])),IF(AND((_xlfn.XMATCH(AS$8,$AH$8:$CC$8))-_xlfn.XMATCH($C219,$C$35:$C$82)+1&lt;=_xlpm.DepreciationMonths,$C219&lt;=AS$8),$E219/_xlpm.DepreciationMonths,0))</f>
        <v>0</v>
      </c>
      <c r="AT219" s="507" cm="1">
        <f t="array" ref="AT219">_xlfn.LET(_xlpm.DepreciationMonths,INDEX(FixedAssets[Depreciation
/ Amortization Months],_xlfn.XMATCH($E$186,FixedAssets[Asset ID])),IF(AND((_xlfn.XMATCH(AT$8,$AH$8:$CC$8))-_xlfn.XMATCH($C219,$C$35:$C$82)+1&lt;=_xlpm.DepreciationMonths,$C219&lt;=AT$8),$E219/_xlpm.DepreciationMonths,0))</f>
        <v>0</v>
      </c>
      <c r="AU219" s="507" cm="1">
        <f t="array" ref="AU219">_xlfn.LET(_xlpm.DepreciationMonths,INDEX(FixedAssets[Depreciation
/ Amortization Months],_xlfn.XMATCH($E$186,FixedAssets[Asset ID])),IF(AND((_xlfn.XMATCH(AU$8,$AH$8:$CC$8))-_xlfn.XMATCH($C219,$C$35:$C$82)+1&lt;=_xlpm.DepreciationMonths,$C219&lt;=AU$8),$E219/_xlpm.DepreciationMonths,0))</f>
        <v>0</v>
      </c>
      <c r="AV219" s="507" cm="1">
        <f t="array" ref="AV219">_xlfn.LET(_xlpm.DepreciationMonths,INDEX(FixedAssets[Depreciation
/ Amortization Months],_xlfn.XMATCH($E$186,FixedAssets[Asset ID])),IF(AND((_xlfn.XMATCH(AV$8,$AH$8:$CC$8))-_xlfn.XMATCH($C219,$C$35:$C$82)+1&lt;=_xlpm.DepreciationMonths,$C219&lt;=AV$8),$E219/_xlpm.DepreciationMonths,0))</f>
        <v>0</v>
      </c>
      <c r="AW219" s="507" cm="1">
        <f t="array" ref="AW219">_xlfn.LET(_xlpm.DepreciationMonths,INDEX(FixedAssets[Depreciation
/ Amortization Months],_xlfn.XMATCH($E$186,FixedAssets[Asset ID])),IF(AND((_xlfn.XMATCH(AW$8,$AH$8:$CC$8))-_xlfn.XMATCH($C219,$C$35:$C$82)+1&lt;=_xlpm.DepreciationMonths,$C219&lt;=AW$8),$E219/_xlpm.DepreciationMonths,0))</f>
        <v>0</v>
      </c>
      <c r="AX219" s="507" cm="1">
        <f t="array" ref="AX219">_xlfn.LET(_xlpm.DepreciationMonths,INDEX(FixedAssets[Depreciation
/ Amortization Months],_xlfn.XMATCH($E$186,FixedAssets[Asset ID])),IF(AND((_xlfn.XMATCH(AX$8,$AH$8:$CC$8))-_xlfn.XMATCH($C219,$C$35:$C$82)+1&lt;=_xlpm.DepreciationMonths,$C219&lt;=AX$8),$E219/_xlpm.DepreciationMonths,0))</f>
        <v>0</v>
      </c>
      <c r="AY219" s="507" cm="1">
        <f t="array" ref="AY219">_xlfn.LET(_xlpm.DepreciationMonths,INDEX(FixedAssets[Depreciation
/ Amortization Months],_xlfn.XMATCH($E$186,FixedAssets[Asset ID])),IF(AND((_xlfn.XMATCH(AY$8,$AH$8:$CC$8))-_xlfn.XMATCH($C219,$C$35:$C$82)+1&lt;=_xlpm.DepreciationMonths,$C219&lt;=AY$8),$E219/_xlpm.DepreciationMonths,0))</f>
        <v>0</v>
      </c>
      <c r="AZ219" s="507" cm="1">
        <f t="array" ref="AZ219">_xlfn.LET(_xlpm.DepreciationMonths,INDEX(FixedAssets[Depreciation
/ Amortization Months],_xlfn.XMATCH($E$186,FixedAssets[Asset ID])),IF(AND((_xlfn.XMATCH(AZ$8,$AH$8:$CC$8))-_xlfn.XMATCH($C219,$C$35:$C$82)+1&lt;=_xlpm.DepreciationMonths,$C219&lt;=AZ$8),$E219/_xlpm.DepreciationMonths,0))</f>
        <v>0</v>
      </c>
      <c r="BA219" s="507" cm="1">
        <f t="array" ref="BA219">_xlfn.LET(_xlpm.DepreciationMonths,INDEX(FixedAssets[Depreciation
/ Amortization Months],_xlfn.XMATCH($E$186,FixedAssets[Asset ID])),IF(AND((_xlfn.XMATCH(BA$8,$AH$8:$CC$8))-_xlfn.XMATCH($C219,$C$35:$C$82)+1&lt;=_xlpm.DepreciationMonths,$C219&lt;=BA$8),$E219/_xlpm.DepreciationMonths,0))</f>
        <v>0</v>
      </c>
      <c r="BB219" s="507" cm="1">
        <f t="array" ref="BB219">_xlfn.LET(_xlpm.DepreciationMonths,INDEX(FixedAssets[Depreciation
/ Amortization Months],_xlfn.XMATCH($E$186,FixedAssets[Asset ID])),IF(AND((_xlfn.XMATCH(BB$8,$AH$8:$CC$8))-_xlfn.XMATCH($C219,$C$35:$C$82)+1&lt;=_xlpm.DepreciationMonths,$C219&lt;=BB$8),$E219/_xlpm.DepreciationMonths,0))</f>
        <v>0</v>
      </c>
      <c r="BC219" s="507" cm="1">
        <f t="array" ref="BC219">_xlfn.LET(_xlpm.DepreciationMonths,INDEX(FixedAssets[Depreciation
/ Amortization Months],_xlfn.XMATCH($E$186,FixedAssets[Asset ID])),IF(AND((_xlfn.XMATCH(BC$8,$AH$8:$CC$8))-_xlfn.XMATCH($C219,$C$35:$C$82)+1&lt;=_xlpm.DepreciationMonths,$C219&lt;=BC$8),$E219/_xlpm.DepreciationMonths,0))</f>
        <v>0</v>
      </c>
      <c r="BD219" s="507" cm="1">
        <f t="array" ref="BD219">_xlfn.LET(_xlpm.DepreciationMonths,INDEX(FixedAssets[Depreciation
/ Amortization Months],_xlfn.XMATCH($E$186,FixedAssets[Asset ID])),IF(AND((_xlfn.XMATCH(BD$8,$AH$8:$CC$8))-_xlfn.XMATCH($C219,$C$35:$C$82)+1&lt;=_xlpm.DepreciationMonths,$C219&lt;=BD$8),$E219/_xlpm.DepreciationMonths,0))</f>
        <v>0</v>
      </c>
      <c r="BE219" s="507" cm="1">
        <f t="array" ref="BE219">_xlfn.LET(_xlpm.DepreciationMonths,INDEX(FixedAssets[Depreciation
/ Amortization Months],_xlfn.XMATCH($E$186,FixedAssets[Asset ID])),IF(AND((_xlfn.XMATCH(BE$8,$AH$8:$CC$8))-_xlfn.XMATCH($C219,$C$35:$C$82)+1&lt;=_xlpm.DepreciationMonths,$C219&lt;=BE$8),$E219/_xlpm.DepreciationMonths,0))</f>
        <v>0</v>
      </c>
      <c r="BF219" s="507" cm="1">
        <f t="array" ref="BF219">_xlfn.LET(_xlpm.DepreciationMonths,INDEX(FixedAssets[Depreciation
/ Amortization Months],_xlfn.XMATCH($E$186,FixedAssets[Asset ID])),IF(AND((_xlfn.XMATCH(BF$8,$AH$8:$CC$8))-_xlfn.XMATCH($C219,$C$35:$C$82)+1&lt;=_xlpm.DepreciationMonths,$C219&lt;=BF$8),$E219/_xlpm.DepreciationMonths,0))</f>
        <v>0</v>
      </c>
      <c r="BG219" s="507" cm="1">
        <f t="array" ref="BG219">_xlfn.LET(_xlpm.DepreciationMonths,INDEX(FixedAssets[Depreciation
/ Amortization Months],_xlfn.XMATCH($E$186,FixedAssets[Asset ID])),IF(AND((_xlfn.XMATCH(BG$8,$AH$8:$CC$8))-_xlfn.XMATCH($C219,$C$35:$C$82)+1&lt;=_xlpm.DepreciationMonths,$C219&lt;=BG$8),$E219/_xlpm.DepreciationMonths,0))</f>
        <v>0</v>
      </c>
      <c r="BH219" s="507" cm="1">
        <f t="array" ref="BH219">_xlfn.LET(_xlpm.DepreciationMonths,INDEX(FixedAssets[Depreciation
/ Amortization Months],_xlfn.XMATCH($E$186,FixedAssets[Asset ID])),IF(AND((_xlfn.XMATCH(BH$8,$AH$8:$CC$8))-_xlfn.XMATCH($C219,$C$35:$C$82)+1&lt;=_xlpm.DepreciationMonths,$C219&lt;=BH$8),$E219/_xlpm.DepreciationMonths,0))</f>
        <v>0</v>
      </c>
      <c r="BI219" s="507" cm="1">
        <f t="array" ref="BI219">_xlfn.LET(_xlpm.DepreciationMonths,INDEX(FixedAssets[Depreciation
/ Amortization Months],_xlfn.XMATCH($E$186,FixedAssets[Asset ID])),IF(AND((_xlfn.XMATCH(BI$8,$AH$8:$CC$8))-_xlfn.XMATCH($C219,$C$35:$C$82)+1&lt;=_xlpm.DepreciationMonths,$C219&lt;=BI$8),$E219/_xlpm.DepreciationMonths,0))</f>
        <v>0</v>
      </c>
      <c r="BJ219" s="507" cm="1">
        <f t="array" ref="BJ219">_xlfn.LET(_xlpm.DepreciationMonths,INDEX(FixedAssets[Depreciation
/ Amortization Months],_xlfn.XMATCH($E$186,FixedAssets[Asset ID])),IF(AND((_xlfn.XMATCH(BJ$8,$AH$8:$CC$8))-_xlfn.XMATCH($C219,$C$35:$C$82)+1&lt;=_xlpm.DepreciationMonths,$C219&lt;=BJ$8),$E219/_xlpm.DepreciationMonths,0))</f>
        <v>0</v>
      </c>
      <c r="BK219" s="507" cm="1">
        <f t="array" ref="BK219">_xlfn.LET(_xlpm.DepreciationMonths,INDEX(FixedAssets[Depreciation
/ Amortization Months],_xlfn.XMATCH($E$186,FixedAssets[Asset ID])),IF(AND((_xlfn.XMATCH(BK$8,$AH$8:$CC$8))-_xlfn.XMATCH($C219,$C$35:$C$82)+1&lt;=_xlpm.DepreciationMonths,$C219&lt;=BK$8),$E219/_xlpm.DepreciationMonths,0))</f>
        <v>0</v>
      </c>
      <c r="BL219" s="507" cm="1">
        <f t="array" ref="BL219">_xlfn.LET(_xlpm.DepreciationMonths,INDEX(FixedAssets[Depreciation
/ Amortization Months],_xlfn.XMATCH($E$186,FixedAssets[Asset ID])),IF(AND((_xlfn.XMATCH(BL$8,$AH$8:$CC$8))-_xlfn.XMATCH($C219,$C$35:$C$82)+1&lt;=_xlpm.DepreciationMonths,$C219&lt;=BL$8),$E219/_xlpm.DepreciationMonths,0))</f>
        <v>0</v>
      </c>
      <c r="BM219" s="507" cm="1">
        <f t="array" ref="BM219">_xlfn.LET(_xlpm.DepreciationMonths,INDEX(FixedAssets[Depreciation
/ Amortization Months],_xlfn.XMATCH($E$186,FixedAssets[Asset ID])),IF(AND((_xlfn.XMATCH(BM$8,$AH$8:$CC$8))-_xlfn.XMATCH($C219,$C$35:$C$82)+1&lt;=_xlpm.DepreciationMonths,$C219&lt;=BM$8),$E219/_xlpm.DepreciationMonths,0))</f>
        <v>0</v>
      </c>
      <c r="BN219" s="507" cm="1">
        <f t="array" ref="BN219">_xlfn.LET(_xlpm.DepreciationMonths,INDEX(FixedAssets[Depreciation
/ Amortization Months],_xlfn.XMATCH($E$186,FixedAssets[Asset ID])),IF(AND((_xlfn.XMATCH(BN$8,$AH$8:$CC$8))-_xlfn.XMATCH($C219,$C$35:$C$82)+1&lt;=_xlpm.DepreciationMonths,$C219&lt;=BN$8),$E219/_xlpm.DepreciationMonths,0))</f>
        <v>0</v>
      </c>
      <c r="BO219" s="507" cm="1">
        <f t="array" ref="BO219">_xlfn.LET(_xlpm.DepreciationMonths,INDEX(FixedAssets[Depreciation
/ Amortization Months],_xlfn.XMATCH($E$186,FixedAssets[Asset ID])),IF(AND((_xlfn.XMATCH(BO$8,$AH$8:$CC$8))-_xlfn.XMATCH($C219,$C$35:$C$82)+1&lt;=_xlpm.DepreciationMonths,$C219&lt;=BO$8),$E219/_xlpm.DepreciationMonths,0))</f>
        <v>0</v>
      </c>
      <c r="BP219" s="507" cm="1">
        <f t="array" ref="BP219">_xlfn.LET(_xlpm.DepreciationMonths,INDEX(FixedAssets[Depreciation
/ Amortization Months],_xlfn.XMATCH($E$186,FixedAssets[Asset ID])),IF(AND((_xlfn.XMATCH(BP$8,$AH$8:$CC$8))-_xlfn.XMATCH($C219,$C$35:$C$82)+1&lt;=_xlpm.DepreciationMonths,$C219&lt;=BP$8),$E219/_xlpm.DepreciationMonths,0))</f>
        <v>0</v>
      </c>
      <c r="BQ219" s="507" cm="1">
        <f t="array" ref="BQ219">_xlfn.LET(_xlpm.DepreciationMonths,INDEX(FixedAssets[Depreciation
/ Amortization Months],_xlfn.XMATCH($E$186,FixedAssets[Asset ID])),IF(AND((_xlfn.XMATCH(BQ$8,$AH$8:$CC$8))-_xlfn.XMATCH($C219,$C$35:$C$82)+1&lt;=_xlpm.DepreciationMonths,$C219&lt;=BQ$8),$E219/_xlpm.DepreciationMonths,0))</f>
        <v>0</v>
      </c>
      <c r="BR219" s="507" cm="1">
        <f t="array" ref="BR219">_xlfn.LET(_xlpm.DepreciationMonths,INDEX(FixedAssets[Depreciation
/ Amortization Months],_xlfn.XMATCH($E$186,FixedAssets[Asset ID])),IF(AND((_xlfn.XMATCH(BR$8,$AH$8:$CC$8))-_xlfn.XMATCH($C219,$C$35:$C$82)+1&lt;=_xlpm.DepreciationMonths,$C219&lt;=BR$8),$E219/_xlpm.DepreciationMonths,0))</f>
        <v>0</v>
      </c>
      <c r="BS219" s="507" cm="1">
        <f t="array" ref="BS219">_xlfn.LET(_xlpm.DepreciationMonths,INDEX(FixedAssets[Depreciation
/ Amortization Months],_xlfn.XMATCH($E$186,FixedAssets[Asset ID])),IF(AND((_xlfn.XMATCH(BS$8,$AH$8:$CC$8))-_xlfn.XMATCH($C219,$C$35:$C$82)+1&lt;=_xlpm.DepreciationMonths,$C219&lt;=BS$8),$E219/_xlpm.DepreciationMonths,0))</f>
        <v>0</v>
      </c>
      <c r="BT219" s="507" cm="1">
        <f t="array" ref="BT219">_xlfn.LET(_xlpm.DepreciationMonths,INDEX(FixedAssets[Depreciation
/ Amortization Months],_xlfn.XMATCH($E$186,FixedAssets[Asset ID])),IF(AND((_xlfn.XMATCH(BT$8,$AH$8:$CC$8))-_xlfn.XMATCH($C219,$C$35:$C$82)+1&lt;=_xlpm.DepreciationMonths,$C219&lt;=BT$8),$E219/_xlpm.DepreciationMonths,0))</f>
        <v>0</v>
      </c>
      <c r="BU219" s="507" cm="1">
        <f t="array" ref="BU219">_xlfn.LET(_xlpm.DepreciationMonths,INDEX(FixedAssets[Depreciation
/ Amortization Months],_xlfn.XMATCH($E$186,FixedAssets[Asset ID])),IF(AND((_xlfn.XMATCH(BU$8,$AH$8:$CC$8))-_xlfn.XMATCH($C219,$C$35:$C$82)+1&lt;=_xlpm.DepreciationMonths,$C219&lt;=BU$8),$E219/_xlpm.DepreciationMonths,0))</f>
        <v>0</v>
      </c>
      <c r="BV219" s="507" cm="1">
        <f t="array" ref="BV219">_xlfn.LET(_xlpm.DepreciationMonths,INDEX(FixedAssets[Depreciation
/ Amortization Months],_xlfn.XMATCH($E$186,FixedAssets[Asset ID])),IF(AND((_xlfn.XMATCH(BV$8,$AH$8:$CC$8))-_xlfn.XMATCH($C219,$C$35:$C$82)+1&lt;=_xlpm.DepreciationMonths,$C219&lt;=BV$8),$E219/_xlpm.DepreciationMonths,0))</f>
        <v>0</v>
      </c>
      <c r="BW219" s="507" cm="1">
        <f t="array" ref="BW219">_xlfn.LET(_xlpm.DepreciationMonths,INDEX(FixedAssets[Depreciation
/ Amortization Months],_xlfn.XMATCH($E$186,FixedAssets[Asset ID])),IF(AND((_xlfn.XMATCH(BW$8,$AH$8:$CC$8))-_xlfn.XMATCH($C219,$C$35:$C$82)+1&lt;=_xlpm.DepreciationMonths,$C219&lt;=BW$8),$E219/_xlpm.DepreciationMonths,0))</f>
        <v>0</v>
      </c>
      <c r="BX219" s="507" cm="1">
        <f t="array" ref="BX219">_xlfn.LET(_xlpm.DepreciationMonths,INDEX(FixedAssets[Depreciation
/ Amortization Months],_xlfn.XMATCH($E$186,FixedAssets[Asset ID])),IF(AND((_xlfn.XMATCH(BX$8,$AH$8:$CC$8))-_xlfn.XMATCH($C219,$C$35:$C$82)+1&lt;=_xlpm.DepreciationMonths,$C219&lt;=BX$8),$E219/_xlpm.DepreciationMonths,0))</f>
        <v>0</v>
      </c>
      <c r="BY219" s="507" cm="1">
        <f t="array" ref="BY219">_xlfn.LET(_xlpm.DepreciationMonths,INDEX(FixedAssets[Depreciation
/ Amortization Months],_xlfn.XMATCH($E$186,FixedAssets[Asset ID])),IF(AND((_xlfn.XMATCH(BY$8,$AH$8:$CC$8))-_xlfn.XMATCH($C219,$C$35:$C$82)+1&lt;=_xlpm.DepreciationMonths,$C219&lt;=BY$8),$E219/_xlpm.DepreciationMonths,0))</f>
        <v>0</v>
      </c>
      <c r="BZ219" s="507" cm="1">
        <f t="array" ref="BZ219">_xlfn.LET(_xlpm.DepreciationMonths,INDEX(FixedAssets[Depreciation
/ Amortization Months],_xlfn.XMATCH($E$186,FixedAssets[Asset ID])),IF(AND((_xlfn.XMATCH(BZ$8,$AH$8:$CC$8))-_xlfn.XMATCH($C219,$C$35:$C$82)+1&lt;=_xlpm.DepreciationMonths,$C219&lt;=BZ$8),$E219/_xlpm.DepreciationMonths,0))</f>
        <v>0</v>
      </c>
      <c r="CA219" s="507" cm="1">
        <f t="array" ref="CA219">_xlfn.LET(_xlpm.DepreciationMonths,INDEX(FixedAssets[Depreciation
/ Amortization Months],_xlfn.XMATCH($E$186,FixedAssets[Asset ID])),IF(AND((_xlfn.XMATCH(CA$8,$AH$8:$CC$8))-_xlfn.XMATCH($C219,$C$35:$C$82)+1&lt;=_xlpm.DepreciationMonths,$C219&lt;=CA$8),$E219/_xlpm.DepreciationMonths,0))</f>
        <v>0</v>
      </c>
      <c r="CB219" s="507" cm="1">
        <f t="array" ref="CB219">_xlfn.LET(_xlpm.DepreciationMonths,INDEX(FixedAssets[Depreciation
/ Amortization Months],_xlfn.XMATCH($E$186,FixedAssets[Asset ID])),IF(AND((_xlfn.XMATCH(CB$8,$AH$8:$CC$8))-_xlfn.XMATCH($C219,$C$35:$C$82)+1&lt;=_xlpm.DepreciationMonths,$C219&lt;=CB$8),$E219/_xlpm.DepreciationMonths,0))</f>
        <v>0</v>
      </c>
      <c r="CC219" s="507" cm="1">
        <f t="array" ref="CC219">_xlfn.LET(_xlpm.DepreciationMonths,INDEX(FixedAssets[Depreciation
/ Amortization Months],_xlfn.XMATCH($E$186,FixedAssets[Asset ID])),IF(AND((_xlfn.XMATCH(CC$8,$AH$8:$CC$8))-_xlfn.XMATCH($C219,$C$35:$C$82)+1&lt;=_xlpm.DepreciationMonths,$C219&lt;=CC$8),$E219/_xlpm.DepreciationMonths,0))</f>
        <v>0</v>
      </c>
    </row>
    <row r="220" spans="3:81" hidden="1" outlineLevel="2">
      <c r="C220" s="664">
        <f t="shared" si="256"/>
        <v>45930</v>
      </c>
      <c r="D220" s="508"/>
      <c r="E220" s="508" cm="1">
        <f t="array" ref="E220">SUMPRODUCT(($AH$26:$CC$31)*($AH$5:$CC$5=$C220)*($E$26:$E$31=E$186))-SUMPRODUCT(($AH$26:$CC$31)*($AH$5:$CC$5=EOMONTH($C220,-1))*($E$26:$E$31=E$186))</f>
        <v>0</v>
      </c>
      <c r="F220" s="508"/>
      <c r="G220" s="508"/>
      <c r="H220" s="508"/>
      <c r="I220" s="508"/>
      <c r="J220" s="504">
        <f t="shared" si="254"/>
        <v>0</v>
      </c>
      <c r="K220" s="504">
        <f t="shared" si="254"/>
        <v>0</v>
      </c>
      <c r="L220" s="504">
        <f t="shared" si="254"/>
        <v>0</v>
      </c>
      <c r="M220" s="504">
        <f t="shared" si="254"/>
        <v>0</v>
      </c>
      <c r="N220" s="504"/>
      <c r="O220" s="504"/>
      <c r="P220" s="504">
        <f t="shared" ref="P220:AE235" si="260">SUMIFS($AH220:$CC220,$AH$4:$CC$4,"&gt;="&amp;P$4,$AH$5:$CC$5,"&lt;="&amp;P$5)</f>
        <v>0</v>
      </c>
      <c r="Q220" s="504">
        <f t="shared" si="260"/>
        <v>0</v>
      </c>
      <c r="R220" s="504">
        <f t="shared" si="260"/>
        <v>0</v>
      </c>
      <c r="S220" s="504">
        <f t="shared" si="260"/>
        <v>0</v>
      </c>
      <c r="T220" s="504">
        <f t="shared" si="260"/>
        <v>0</v>
      </c>
      <c r="U220" s="504">
        <f t="shared" si="260"/>
        <v>0</v>
      </c>
      <c r="V220" s="504">
        <f t="shared" si="260"/>
        <v>0</v>
      </c>
      <c r="W220" s="504">
        <f t="shared" si="260"/>
        <v>0</v>
      </c>
      <c r="X220" s="504">
        <f t="shared" si="260"/>
        <v>0</v>
      </c>
      <c r="Y220" s="504">
        <f t="shared" si="260"/>
        <v>0</v>
      </c>
      <c r="Z220" s="504">
        <f t="shared" si="260"/>
        <v>0</v>
      </c>
      <c r="AA220" s="504">
        <f t="shared" si="260"/>
        <v>0</v>
      </c>
      <c r="AB220" s="504">
        <f t="shared" si="260"/>
        <v>0</v>
      </c>
      <c r="AC220" s="504">
        <f t="shared" si="260"/>
        <v>0</v>
      </c>
      <c r="AD220" s="504">
        <f t="shared" si="260"/>
        <v>0</v>
      </c>
      <c r="AE220" s="504">
        <f t="shared" si="260"/>
        <v>0</v>
      </c>
      <c r="AF220" s="508"/>
      <c r="AG220" s="508"/>
      <c r="AH220" s="507" cm="1">
        <f t="array" ref="AH220">_xlfn.LET(_xlpm.DepreciationMonths,INDEX(FixedAssets[Depreciation
/ Amortization Months],_xlfn.XMATCH($E$186,FixedAssets[Asset ID])),IF(AND((_xlfn.XMATCH(AH$8,$AH$8:$CC$8))-_xlfn.XMATCH($C220,$C$35:$C$82)+1&lt;=_xlpm.DepreciationMonths,$C220&lt;=AH$8),$E220/_xlpm.DepreciationMonths,0))</f>
        <v>0</v>
      </c>
      <c r="AI220" s="507" cm="1">
        <f t="array" ref="AI220">_xlfn.LET(_xlpm.DepreciationMonths,INDEX(FixedAssets[Depreciation
/ Amortization Months],_xlfn.XMATCH($E$186,FixedAssets[Asset ID])),IF(AND((_xlfn.XMATCH(AI$8,$AH$8:$CC$8))-_xlfn.XMATCH($C220,$C$35:$C$82)+1&lt;=_xlpm.DepreciationMonths,$C220&lt;=AI$8),$E220/_xlpm.DepreciationMonths,0))</f>
        <v>0</v>
      </c>
      <c r="AJ220" s="507" cm="1">
        <f t="array" ref="AJ220">_xlfn.LET(_xlpm.DepreciationMonths,INDEX(FixedAssets[Depreciation
/ Amortization Months],_xlfn.XMATCH($E$186,FixedAssets[Asset ID])),IF(AND((_xlfn.XMATCH(AJ$8,$AH$8:$CC$8))-_xlfn.XMATCH($C220,$C$35:$C$82)+1&lt;=_xlpm.DepreciationMonths,$C220&lt;=AJ$8),$E220/_xlpm.DepreciationMonths,0))</f>
        <v>0</v>
      </c>
      <c r="AK220" s="507" cm="1">
        <f t="array" ref="AK220">_xlfn.LET(_xlpm.DepreciationMonths,INDEX(FixedAssets[Depreciation
/ Amortization Months],_xlfn.XMATCH($E$186,FixedAssets[Asset ID])),IF(AND((_xlfn.XMATCH(AK$8,$AH$8:$CC$8))-_xlfn.XMATCH($C220,$C$35:$C$82)+1&lt;=_xlpm.DepreciationMonths,$C220&lt;=AK$8),$E220/_xlpm.DepreciationMonths,0))</f>
        <v>0</v>
      </c>
      <c r="AL220" s="507" cm="1">
        <f t="array" ref="AL220">_xlfn.LET(_xlpm.DepreciationMonths,INDEX(FixedAssets[Depreciation
/ Amortization Months],_xlfn.XMATCH($E$186,FixedAssets[Asset ID])),IF(AND((_xlfn.XMATCH(AL$8,$AH$8:$CC$8))-_xlfn.XMATCH($C220,$C$35:$C$82)+1&lt;=_xlpm.DepreciationMonths,$C220&lt;=AL$8),$E220/_xlpm.DepreciationMonths,0))</f>
        <v>0</v>
      </c>
      <c r="AM220" s="507" cm="1">
        <f t="array" ref="AM220">_xlfn.LET(_xlpm.DepreciationMonths,INDEX(FixedAssets[Depreciation
/ Amortization Months],_xlfn.XMATCH($E$186,FixedAssets[Asset ID])),IF(AND((_xlfn.XMATCH(AM$8,$AH$8:$CC$8))-_xlfn.XMATCH($C220,$C$35:$C$82)+1&lt;=_xlpm.DepreciationMonths,$C220&lt;=AM$8),$E220/_xlpm.DepreciationMonths,0))</f>
        <v>0</v>
      </c>
      <c r="AN220" s="507" cm="1">
        <f t="array" ref="AN220">_xlfn.LET(_xlpm.DepreciationMonths,INDEX(FixedAssets[Depreciation
/ Amortization Months],_xlfn.XMATCH($E$186,FixedAssets[Asset ID])),IF(AND((_xlfn.XMATCH(AN$8,$AH$8:$CC$8))-_xlfn.XMATCH($C220,$C$35:$C$82)+1&lt;=_xlpm.DepreciationMonths,$C220&lt;=AN$8),$E220/_xlpm.DepreciationMonths,0))</f>
        <v>0</v>
      </c>
      <c r="AO220" s="507" cm="1">
        <f t="array" ref="AO220">_xlfn.LET(_xlpm.DepreciationMonths,INDEX(FixedAssets[Depreciation
/ Amortization Months],_xlfn.XMATCH($E$186,FixedAssets[Asset ID])),IF(AND((_xlfn.XMATCH(AO$8,$AH$8:$CC$8))-_xlfn.XMATCH($C220,$C$35:$C$82)+1&lt;=_xlpm.DepreciationMonths,$C220&lt;=AO$8),$E220/_xlpm.DepreciationMonths,0))</f>
        <v>0</v>
      </c>
      <c r="AP220" s="507" cm="1">
        <f t="array" ref="AP220">_xlfn.LET(_xlpm.DepreciationMonths,INDEX(FixedAssets[Depreciation
/ Amortization Months],_xlfn.XMATCH($E$186,FixedAssets[Asset ID])),IF(AND((_xlfn.XMATCH(AP$8,$AH$8:$CC$8))-_xlfn.XMATCH($C220,$C$35:$C$82)+1&lt;=_xlpm.DepreciationMonths,$C220&lt;=AP$8),$E220/_xlpm.DepreciationMonths,0))</f>
        <v>0</v>
      </c>
      <c r="AQ220" s="507" cm="1">
        <f t="array" ref="AQ220">_xlfn.LET(_xlpm.DepreciationMonths,INDEX(FixedAssets[Depreciation
/ Amortization Months],_xlfn.XMATCH($E$186,FixedAssets[Asset ID])),IF(AND((_xlfn.XMATCH(AQ$8,$AH$8:$CC$8))-_xlfn.XMATCH($C220,$C$35:$C$82)+1&lt;=_xlpm.DepreciationMonths,$C220&lt;=AQ$8),$E220/_xlpm.DepreciationMonths,0))</f>
        <v>0</v>
      </c>
      <c r="AR220" s="507" cm="1">
        <f t="array" ref="AR220">_xlfn.LET(_xlpm.DepreciationMonths,INDEX(FixedAssets[Depreciation
/ Amortization Months],_xlfn.XMATCH($E$186,FixedAssets[Asset ID])),IF(AND((_xlfn.XMATCH(AR$8,$AH$8:$CC$8))-_xlfn.XMATCH($C220,$C$35:$C$82)+1&lt;=_xlpm.DepreciationMonths,$C220&lt;=AR$8),$E220/_xlpm.DepreciationMonths,0))</f>
        <v>0</v>
      </c>
      <c r="AS220" s="507" cm="1">
        <f t="array" ref="AS220">_xlfn.LET(_xlpm.DepreciationMonths,INDEX(FixedAssets[Depreciation
/ Amortization Months],_xlfn.XMATCH($E$186,FixedAssets[Asset ID])),IF(AND((_xlfn.XMATCH(AS$8,$AH$8:$CC$8))-_xlfn.XMATCH($C220,$C$35:$C$82)+1&lt;=_xlpm.DepreciationMonths,$C220&lt;=AS$8),$E220/_xlpm.DepreciationMonths,0))</f>
        <v>0</v>
      </c>
      <c r="AT220" s="507" cm="1">
        <f t="array" ref="AT220">_xlfn.LET(_xlpm.DepreciationMonths,INDEX(FixedAssets[Depreciation
/ Amortization Months],_xlfn.XMATCH($E$186,FixedAssets[Asset ID])),IF(AND((_xlfn.XMATCH(AT$8,$AH$8:$CC$8))-_xlfn.XMATCH($C220,$C$35:$C$82)+1&lt;=_xlpm.DepreciationMonths,$C220&lt;=AT$8),$E220/_xlpm.DepreciationMonths,0))</f>
        <v>0</v>
      </c>
      <c r="AU220" s="507" cm="1">
        <f t="array" ref="AU220">_xlfn.LET(_xlpm.DepreciationMonths,INDEX(FixedAssets[Depreciation
/ Amortization Months],_xlfn.XMATCH($E$186,FixedAssets[Asset ID])),IF(AND((_xlfn.XMATCH(AU$8,$AH$8:$CC$8))-_xlfn.XMATCH($C220,$C$35:$C$82)+1&lt;=_xlpm.DepreciationMonths,$C220&lt;=AU$8),$E220/_xlpm.DepreciationMonths,0))</f>
        <v>0</v>
      </c>
      <c r="AV220" s="507" cm="1">
        <f t="array" ref="AV220">_xlfn.LET(_xlpm.DepreciationMonths,INDEX(FixedAssets[Depreciation
/ Amortization Months],_xlfn.XMATCH($E$186,FixedAssets[Asset ID])),IF(AND((_xlfn.XMATCH(AV$8,$AH$8:$CC$8))-_xlfn.XMATCH($C220,$C$35:$C$82)+1&lt;=_xlpm.DepreciationMonths,$C220&lt;=AV$8),$E220/_xlpm.DepreciationMonths,0))</f>
        <v>0</v>
      </c>
      <c r="AW220" s="507" cm="1">
        <f t="array" ref="AW220">_xlfn.LET(_xlpm.DepreciationMonths,INDEX(FixedAssets[Depreciation
/ Amortization Months],_xlfn.XMATCH($E$186,FixedAssets[Asset ID])),IF(AND((_xlfn.XMATCH(AW$8,$AH$8:$CC$8))-_xlfn.XMATCH($C220,$C$35:$C$82)+1&lt;=_xlpm.DepreciationMonths,$C220&lt;=AW$8),$E220/_xlpm.DepreciationMonths,0))</f>
        <v>0</v>
      </c>
      <c r="AX220" s="507" cm="1">
        <f t="array" ref="AX220">_xlfn.LET(_xlpm.DepreciationMonths,INDEX(FixedAssets[Depreciation
/ Amortization Months],_xlfn.XMATCH($E$186,FixedAssets[Asset ID])),IF(AND((_xlfn.XMATCH(AX$8,$AH$8:$CC$8))-_xlfn.XMATCH($C220,$C$35:$C$82)+1&lt;=_xlpm.DepreciationMonths,$C220&lt;=AX$8),$E220/_xlpm.DepreciationMonths,0))</f>
        <v>0</v>
      </c>
      <c r="AY220" s="507" cm="1">
        <f t="array" ref="AY220">_xlfn.LET(_xlpm.DepreciationMonths,INDEX(FixedAssets[Depreciation
/ Amortization Months],_xlfn.XMATCH($E$186,FixedAssets[Asset ID])),IF(AND((_xlfn.XMATCH(AY$8,$AH$8:$CC$8))-_xlfn.XMATCH($C220,$C$35:$C$82)+1&lt;=_xlpm.DepreciationMonths,$C220&lt;=AY$8),$E220/_xlpm.DepreciationMonths,0))</f>
        <v>0</v>
      </c>
      <c r="AZ220" s="507" cm="1">
        <f t="array" ref="AZ220">_xlfn.LET(_xlpm.DepreciationMonths,INDEX(FixedAssets[Depreciation
/ Amortization Months],_xlfn.XMATCH($E$186,FixedAssets[Asset ID])),IF(AND((_xlfn.XMATCH(AZ$8,$AH$8:$CC$8))-_xlfn.XMATCH($C220,$C$35:$C$82)+1&lt;=_xlpm.DepreciationMonths,$C220&lt;=AZ$8),$E220/_xlpm.DepreciationMonths,0))</f>
        <v>0</v>
      </c>
      <c r="BA220" s="507" cm="1">
        <f t="array" ref="BA220">_xlfn.LET(_xlpm.DepreciationMonths,INDEX(FixedAssets[Depreciation
/ Amortization Months],_xlfn.XMATCH($E$186,FixedAssets[Asset ID])),IF(AND((_xlfn.XMATCH(BA$8,$AH$8:$CC$8))-_xlfn.XMATCH($C220,$C$35:$C$82)+1&lt;=_xlpm.DepreciationMonths,$C220&lt;=BA$8),$E220/_xlpm.DepreciationMonths,0))</f>
        <v>0</v>
      </c>
      <c r="BB220" s="507" cm="1">
        <f t="array" ref="BB220">_xlfn.LET(_xlpm.DepreciationMonths,INDEX(FixedAssets[Depreciation
/ Amortization Months],_xlfn.XMATCH($E$186,FixedAssets[Asset ID])),IF(AND((_xlfn.XMATCH(BB$8,$AH$8:$CC$8))-_xlfn.XMATCH($C220,$C$35:$C$82)+1&lt;=_xlpm.DepreciationMonths,$C220&lt;=BB$8),$E220/_xlpm.DepreciationMonths,0))</f>
        <v>0</v>
      </c>
      <c r="BC220" s="507" cm="1">
        <f t="array" ref="BC220">_xlfn.LET(_xlpm.DepreciationMonths,INDEX(FixedAssets[Depreciation
/ Amortization Months],_xlfn.XMATCH($E$186,FixedAssets[Asset ID])),IF(AND((_xlfn.XMATCH(BC$8,$AH$8:$CC$8))-_xlfn.XMATCH($C220,$C$35:$C$82)+1&lt;=_xlpm.DepreciationMonths,$C220&lt;=BC$8),$E220/_xlpm.DepreciationMonths,0))</f>
        <v>0</v>
      </c>
      <c r="BD220" s="507" cm="1">
        <f t="array" ref="BD220">_xlfn.LET(_xlpm.DepreciationMonths,INDEX(FixedAssets[Depreciation
/ Amortization Months],_xlfn.XMATCH($E$186,FixedAssets[Asset ID])),IF(AND((_xlfn.XMATCH(BD$8,$AH$8:$CC$8))-_xlfn.XMATCH($C220,$C$35:$C$82)+1&lt;=_xlpm.DepreciationMonths,$C220&lt;=BD$8),$E220/_xlpm.DepreciationMonths,0))</f>
        <v>0</v>
      </c>
      <c r="BE220" s="507" cm="1">
        <f t="array" ref="BE220">_xlfn.LET(_xlpm.DepreciationMonths,INDEX(FixedAssets[Depreciation
/ Amortization Months],_xlfn.XMATCH($E$186,FixedAssets[Asset ID])),IF(AND((_xlfn.XMATCH(BE$8,$AH$8:$CC$8))-_xlfn.XMATCH($C220,$C$35:$C$82)+1&lt;=_xlpm.DepreciationMonths,$C220&lt;=BE$8),$E220/_xlpm.DepreciationMonths,0))</f>
        <v>0</v>
      </c>
      <c r="BF220" s="507" cm="1">
        <f t="array" ref="BF220">_xlfn.LET(_xlpm.DepreciationMonths,INDEX(FixedAssets[Depreciation
/ Amortization Months],_xlfn.XMATCH($E$186,FixedAssets[Asset ID])),IF(AND((_xlfn.XMATCH(BF$8,$AH$8:$CC$8))-_xlfn.XMATCH($C220,$C$35:$C$82)+1&lt;=_xlpm.DepreciationMonths,$C220&lt;=BF$8),$E220/_xlpm.DepreciationMonths,0))</f>
        <v>0</v>
      </c>
      <c r="BG220" s="507" cm="1">
        <f t="array" ref="BG220">_xlfn.LET(_xlpm.DepreciationMonths,INDEX(FixedAssets[Depreciation
/ Amortization Months],_xlfn.XMATCH($E$186,FixedAssets[Asset ID])),IF(AND((_xlfn.XMATCH(BG$8,$AH$8:$CC$8))-_xlfn.XMATCH($C220,$C$35:$C$82)+1&lt;=_xlpm.DepreciationMonths,$C220&lt;=BG$8),$E220/_xlpm.DepreciationMonths,0))</f>
        <v>0</v>
      </c>
      <c r="BH220" s="507" cm="1">
        <f t="array" ref="BH220">_xlfn.LET(_xlpm.DepreciationMonths,INDEX(FixedAssets[Depreciation
/ Amortization Months],_xlfn.XMATCH($E$186,FixedAssets[Asset ID])),IF(AND((_xlfn.XMATCH(BH$8,$AH$8:$CC$8))-_xlfn.XMATCH($C220,$C$35:$C$82)+1&lt;=_xlpm.DepreciationMonths,$C220&lt;=BH$8),$E220/_xlpm.DepreciationMonths,0))</f>
        <v>0</v>
      </c>
      <c r="BI220" s="507" cm="1">
        <f t="array" ref="BI220">_xlfn.LET(_xlpm.DepreciationMonths,INDEX(FixedAssets[Depreciation
/ Amortization Months],_xlfn.XMATCH($E$186,FixedAssets[Asset ID])),IF(AND((_xlfn.XMATCH(BI$8,$AH$8:$CC$8))-_xlfn.XMATCH($C220,$C$35:$C$82)+1&lt;=_xlpm.DepreciationMonths,$C220&lt;=BI$8),$E220/_xlpm.DepreciationMonths,0))</f>
        <v>0</v>
      </c>
      <c r="BJ220" s="507" cm="1">
        <f t="array" ref="BJ220">_xlfn.LET(_xlpm.DepreciationMonths,INDEX(FixedAssets[Depreciation
/ Amortization Months],_xlfn.XMATCH($E$186,FixedAssets[Asset ID])),IF(AND((_xlfn.XMATCH(BJ$8,$AH$8:$CC$8))-_xlfn.XMATCH($C220,$C$35:$C$82)+1&lt;=_xlpm.DepreciationMonths,$C220&lt;=BJ$8),$E220/_xlpm.DepreciationMonths,0))</f>
        <v>0</v>
      </c>
      <c r="BK220" s="507" cm="1">
        <f t="array" ref="BK220">_xlfn.LET(_xlpm.DepreciationMonths,INDEX(FixedAssets[Depreciation
/ Amortization Months],_xlfn.XMATCH($E$186,FixedAssets[Asset ID])),IF(AND((_xlfn.XMATCH(BK$8,$AH$8:$CC$8))-_xlfn.XMATCH($C220,$C$35:$C$82)+1&lt;=_xlpm.DepreciationMonths,$C220&lt;=BK$8),$E220/_xlpm.DepreciationMonths,0))</f>
        <v>0</v>
      </c>
      <c r="BL220" s="507" cm="1">
        <f t="array" ref="BL220">_xlfn.LET(_xlpm.DepreciationMonths,INDEX(FixedAssets[Depreciation
/ Amortization Months],_xlfn.XMATCH($E$186,FixedAssets[Asset ID])),IF(AND((_xlfn.XMATCH(BL$8,$AH$8:$CC$8))-_xlfn.XMATCH($C220,$C$35:$C$82)+1&lt;=_xlpm.DepreciationMonths,$C220&lt;=BL$8),$E220/_xlpm.DepreciationMonths,0))</f>
        <v>0</v>
      </c>
      <c r="BM220" s="507" cm="1">
        <f t="array" ref="BM220">_xlfn.LET(_xlpm.DepreciationMonths,INDEX(FixedAssets[Depreciation
/ Amortization Months],_xlfn.XMATCH($E$186,FixedAssets[Asset ID])),IF(AND((_xlfn.XMATCH(BM$8,$AH$8:$CC$8))-_xlfn.XMATCH($C220,$C$35:$C$82)+1&lt;=_xlpm.DepreciationMonths,$C220&lt;=BM$8),$E220/_xlpm.DepreciationMonths,0))</f>
        <v>0</v>
      </c>
      <c r="BN220" s="507" cm="1">
        <f t="array" ref="BN220">_xlfn.LET(_xlpm.DepreciationMonths,INDEX(FixedAssets[Depreciation
/ Amortization Months],_xlfn.XMATCH($E$186,FixedAssets[Asset ID])),IF(AND((_xlfn.XMATCH(BN$8,$AH$8:$CC$8))-_xlfn.XMATCH($C220,$C$35:$C$82)+1&lt;=_xlpm.DepreciationMonths,$C220&lt;=BN$8),$E220/_xlpm.DepreciationMonths,0))</f>
        <v>0</v>
      </c>
      <c r="BO220" s="507" cm="1">
        <f t="array" ref="BO220">_xlfn.LET(_xlpm.DepreciationMonths,INDEX(FixedAssets[Depreciation
/ Amortization Months],_xlfn.XMATCH($E$186,FixedAssets[Asset ID])),IF(AND((_xlfn.XMATCH(BO$8,$AH$8:$CC$8))-_xlfn.XMATCH($C220,$C$35:$C$82)+1&lt;=_xlpm.DepreciationMonths,$C220&lt;=BO$8),$E220/_xlpm.DepreciationMonths,0))</f>
        <v>0</v>
      </c>
      <c r="BP220" s="507" cm="1">
        <f t="array" ref="BP220">_xlfn.LET(_xlpm.DepreciationMonths,INDEX(FixedAssets[Depreciation
/ Amortization Months],_xlfn.XMATCH($E$186,FixedAssets[Asset ID])),IF(AND((_xlfn.XMATCH(BP$8,$AH$8:$CC$8))-_xlfn.XMATCH($C220,$C$35:$C$82)+1&lt;=_xlpm.DepreciationMonths,$C220&lt;=BP$8),$E220/_xlpm.DepreciationMonths,0))</f>
        <v>0</v>
      </c>
      <c r="BQ220" s="507" cm="1">
        <f t="array" ref="BQ220">_xlfn.LET(_xlpm.DepreciationMonths,INDEX(FixedAssets[Depreciation
/ Amortization Months],_xlfn.XMATCH($E$186,FixedAssets[Asset ID])),IF(AND((_xlfn.XMATCH(BQ$8,$AH$8:$CC$8))-_xlfn.XMATCH($C220,$C$35:$C$82)+1&lt;=_xlpm.DepreciationMonths,$C220&lt;=BQ$8),$E220/_xlpm.DepreciationMonths,0))</f>
        <v>0</v>
      </c>
      <c r="BR220" s="507" cm="1">
        <f t="array" ref="BR220">_xlfn.LET(_xlpm.DepreciationMonths,INDEX(FixedAssets[Depreciation
/ Amortization Months],_xlfn.XMATCH($E$186,FixedAssets[Asset ID])),IF(AND((_xlfn.XMATCH(BR$8,$AH$8:$CC$8))-_xlfn.XMATCH($C220,$C$35:$C$82)+1&lt;=_xlpm.DepreciationMonths,$C220&lt;=BR$8),$E220/_xlpm.DepreciationMonths,0))</f>
        <v>0</v>
      </c>
      <c r="BS220" s="507" cm="1">
        <f t="array" ref="BS220">_xlfn.LET(_xlpm.DepreciationMonths,INDEX(FixedAssets[Depreciation
/ Amortization Months],_xlfn.XMATCH($E$186,FixedAssets[Asset ID])),IF(AND((_xlfn.XMATCH(BS$8,$AH$8:$CC$8))-_xlfn.XMATCH($C220,$C$35:$C$82)+1&lt;=_xlpm.DepreciationMonths,$C220&lt;=BS$8),$E220/_xlpm.DepreciationMonths,0))</f>
        <v>0</v>
      </c>
      <c r="BT220" s="507" cm="1">
        <f t="array" ref="BT220">_xlfn.LET(_xlpm.DepreciationMonths,INDEX(FixedAssets[Depreciation
/ Amortization Months],_xlfn.XMATCH($E$186,FixedAssets[Asset ID])),IF(AND((_xlfn.XMATCH(BT$8,$AH$8:$CC$8))-_xlfn.XMATCH($C220,$C$35:$C$82)+1&lt;=_xlpm.DepreciationMonths,$C220&lt;=BT$8),$E220/_xlpm.DepreciationMonths,0))</f>
        <v>0</v>
      </c>
      <c r="BU220" s="507" cm="1">
        <f t="array" ref="BU220">_xlfn.LET(_xlpm.DepreciationMonths,INDEX(FixedAssets[Depreciation
/ Amortization Months],_xlfn.XMATCH($E$186,FixedAssets[Asset ID])),IF(AND((_xlfn.XMATCH(BU$8,$AH$8:$CC$8))-_xlfn.XMATCH($C220,$C$35:$C$82)+1&lt;=_xlpm.DepreciationMonths,$C220&lt;=BU$8),$E220/_xlpm.DepreciationMonths,0))</f>
        <v>0</v>
      </c>
      <c r="BV220" s="507" cm="1">
        <f t="array" ref="BV220">_xlfn.LET(_xlpm.DepreciationMonths,INDEX(FixedAssets[Depreciation
/ Amortization Months],_xlfn.XMATCH($E$186,FixedAssets[Asset ID])),IF(AND((_xlfn.XMATCH(BV$8,$AH$8:$CC$8))-_xlfn.XMATCH($C220,$C$35:$C$82)+1&lt;=_xlpm.DepreciationMonths,$C220&lt;=BV$8),$E220/_xlpm.DepreciationMonths,0))</f>
        <v>0</v>
      </c>
      <c r="BW220" s="507" cm="1">
        <f t="array" ref="BW220">_xlfn.LET(_xlpm.DepreciationMonths,INDEX(FixedAssets[Depreciation
/ Amortization Months],_xlfn.XMATCH($E$186,FixedAssets[Asset ID])),IF(AND((_xlfn.XMATCH(BW$8,$AH$8:$CC$8))-_xlfn.XMATCH($C220,$C$35:$C$82)+1&lt;=_xlpm.DepreciationMonths,$C220&lt;=BW$8),$E220/_xlpm.DepreciationMonths,0))</f>
        <v>0</v>
      </c>
      <c r="BX220" s="507" cm="1">
        <f t="array" ref="BX220">_xlfn.LET(_xlpm.DepreciationMonths,INDEX(FixedAssets[Depreciation
/ Amortization Months],_xlfn.XMATCH($E$186,FixedAssets[Asset ID])),IF(AND((_xlfn.XMATCH(BX$8,$AH$8:$CC$8))-_xlfn.XMATCH($C220,$C$35:$C$82)+1&lt;=_xlpm.DepreciationMonths,$C220&lt;=BX$8),$E220/_xlpm.DepreciationMonths,0))</f>
        <v>0</v>
      </c>
      <c r="BY220" s="507" cm="1">
        <f t="array" ref="BY220">_xlfn.LET(_xlpm.DepreciationMonths,INDEX(FixedAssets[Depreciation
/ Amortization Months],_xlfn.XMATCH($E$186,FixedAssets[Asset ID])),IF(AND((_xlfn.XMATCH(BY$8,$AH$8:$CC$8))-_xlfn.XMATCH($C220,$C$35:$C$82)+1&lt;=_xlpm.DepreciationMonths,$C220&lt;=BY$8),$E220/_xlpm.DepreciationMonths,0))</f>
        <v>0</v>
      </c>
      <c r="BZ220" s="507" cm="1">
        <f t="array" ref="BZ220">_xlfn.LET(_xlpm.DepreciationMonths,INDEX(FixedAssets[Depreciation
/ Amortization Months],_xlfn.XMATCH($E$186,FixedAssets[Asset ID])),IF(AND((_xlfn.XMATCH(BZ$8,$AH$8:$CC$8))-_xlfn.XMATCH($C220,$C$35:$C$82)+1&lt;=_xlpm.DepreciationMonths,$C220&lt;=BZ$8),$E220/_xlpm.DepreciationMonths,0))</f>
        <v>0</v>
      </c>
      <c r="CA220" s="507" cm="1">
        <f t="array" ref="CA220">_xlfn.LET(_xlpm.DepreciationMonths,INDEX(FixedAssets[Depreciation
/ Amortization Months],_xlfn.XMATCH($E$186,FixedAssets[Asset ID])),IF(AND((_xlfn.XMATCH(CA$8,$AH$8:$CC$8))-_xlfn.XMATCH($C220,$C$35:$C$82)+1&lt;=_xlpm.DepreciationMonths,$C220&lt;=CA$8),$E220/_xlpm.DepreciationMonths,0))</f>
        <v>0</v>
      </c>
      <c r="CB220" s="507" cm="1">
        <f t="array" ref="CB220">_xlfn.LET(_xlpm.DepreciationMonths,INDEX(FixedAssets[Depreciation
/ Amortization Months],_xlfn.XMATCH($E$186,FixedAssets[Asset ID])),IF(AND((_xlfn.XMATCH(CB$8,$AH$8:$CC$8))-_xlfn.XMATCH($C220,$C$35:$C$82)+1&lt;=_xlpm.DepreciationMonths,$C220&lt;=CB$8),$E220/_xlpm.DepreciationMonths,0))</f>
        <v>0</v>
      </c>
      <c r="CC220" s="507" cm="1">
        <f t="array" ref="CC220">_xlfn.LET(_xlpm.DepreciationMonths,INDEX(FixedAssets[Depreciation
/ Amortization Months],_xlfn.XMATCH($E$186,FixedAssets[Asset ID])),IF(AND((_xlfn.XMATCH(CC$8,$AH$8:$CC$8))-_xlfn.XMATCH($C220,$C$35:$C$82)+1&lt;=_xlpm.DepreciationMonths,$C220&lt;=CC$8),$E220/_xlpm.DepreciationMonths,0))</f>
        <v>0</v>
      </c>
    </row>
    <row r="221" spans="3:81" hidden="1" outlineLevel="2">
      <c r="C221" s="664">
        <f t="shared" si="256"/>
        <v>45961</v>
      </c>
      <c r="D221" s="508"/>
      <c r="E221" s="508" cm="1">
        <f t="array" ref="E221">SUMPRODUCT(($AH$26:$CC$31)*($AH$5:$CC$5=$C221)*($E$26:$E$31=E$186))-SUMPRODUCT(($AH$26:$CC$31)*($AH$5:$CC$5=EOMONTH($C221,-1))*($E$26:$E$31=E$186))</f>
        <v>0</v>
      </c>
      <c r="F221" s="508"/>
      <c r="G221" s="508"/>
      <c r="H221" s="508"/>
      <c r="I221" s="508"/>
      <c r="J221" s="504">
        <f t="shared" si="254"/>
        <v>0</v>
      </c>
      <c r="K221" s="504">
        <f t="shared" si="254"/>
        <v>0</v>
      </c>
      <c r="L221" s="504">
        <f t="shared" si="254"/>
        <v>0</v>
      </c>
      <c r="M221" s="504">
        <f t="shared" si="254"/>
        <v>0</v>
      </c>
      <c r="N221" s="504"/>
      <c r="O221" s="504"/>
      <c r="P221" s="504">
        <f t="shared" si="260"/>
        <v>0</v>
      </c>
      <c r="Q221" s="504">
        <f t="shared" si="260"/>
        <v>0</v>
      </c>
      <c r="R221" s="504">
        <f t="shared" si="260"/>
        <v>0</v>
      </c>
      <c r="S221" s="504">
        <f t="shared" si="260"/>
        <v>0</v>
      </c>
      <c r="T221" s="504">
        <f t="shared" si="260"/>
        <v>0</v>
      </c>
      <c r="U221" s="504">
        <f t="shared" si="260"/>
        <v>0</v>
      </c>
      <c r="V221" s="504">
        <f t="shared" si="260"/>
        <v>0</v>
      </c>
      <c r="W221" s="504">
        <f t="shared" si="260"/>
        <v>0</v>
      </c>
      <c r="X221" s="504">
        <f t="shared" si="260"/>
        <v>0</v>
      </c>
      <c r="Y221" s="504">
        <f t="shared" si="260"/>
        <v>0</v>
      </c>
      <c r="Z221" s="504">
        <f t="shared" si="260"/>
        <v>0</v>
      </c>
      <c r="AA221" s="504">
        <f t="shared" si="260"/>
        <v>0</v>
      </c>
      <c r="AB221" s="504">
        <f t="shared" si="260"/>
        <v>0</v>
      </c>
      <c r="AC221" s="504">
        <f t="shared" si="260"/>
        <v>0</v>
      </c>
      <c r="AD221" s="504">
        <f t="shared" si="260"/>
        <v>0</v>
      </c>
      <c r="AE221" s="504">
        <f t="shared" si="260"/>
        <v>0</v>
      </c>
      <c r="AF221" s="508"/>
      <c r="AG221" s="508"/>
      <c r="AH221" s="507" cm="1">
        <f t="array" ref="AH221">_xlfn.LET(_xlpm.DepreciationMonths,INDEX(FixedAssets[Depreciation
/ Amortization Months],_xlfn.XMATCH($E$186,FixedAssets[Asset ID])),IF(AND((_xlfn.XMATCH(AH$8,$AH$8:$CC$8))-_xlfn.XMATCH($C221,$C$35:$C$82)+1&lt;=_xlpm.DepreciationMonths,$C221&lt;=AH$8),$E221/_xlpm.DepreciationMonths,0))</f>
        <v>0</v>
      </c>
      <c r="AI221" s="507" cm="1">
        <f t="array" ref="AI221">_xlfn.LET(_xlpm.DepreciationMonths,INDEX(FixedAssets[Depreciation
/ Amortization Months],_xlfn.XMATCH($E$186,FixedAssets[Asset ID])),IF(AND((_xlfn.XMATCH(AI$8,$AH$8:$CC$8))-_xlfn.XMATCH($C221,$C$35:$C$82)+1&lt;=_xlpm.DepreciationMonths,$C221&lt;=AI$8),$E221/_xlpm.DepreciationMonths,0))</f>
        <v>0</v>
      </c>
      <c r="AJ221" s="507" cm="1">
        <f t="array" ref="AJ221">_xlfn.LET(_xlpm.DepreciationMonths,INDEX(FixedAssets[Depreciation
/ Amortization Months],_xlfn.XMATCH($E$186,FixedAssets[Asset ID])),IF(AND((_xlfn.XMATCH(AJ$8,$AH$8:$CC$8))-_xlfn.XMATCH($C221,$C$35:$C$82)+1&lt;=_xlpm.DepreciationMonths,$C221&lt;=AJ$8),$E221/_xlpm.DepreciationMonths,0))</f>
        <v>0</v>
      </c>
      <c r="AK221" s="507" cm="1">
        <f t="array" ref="AK221">_xlfn.LET(_xlpm.DepreciationMonths,INDEX(FixedAssets[Depreciation
/ Amortization Months],_xlfn.XMATCH($E$186,FixedAssets[Asset ID])),IF(AND((_xlfn.XMATCH(AK$8,$AH$8:$CC$8))-_xlfn.XMATCH($C221,$C$35:$C$82)+1&lt;=_xlpm.DepreciationMonths,$C221&lt;=AK$8),$E221/_xlpm.DepreciationMonths,0))</f>
        <v>0</v>
      </c>
      <c r="AL221" s="507" cm="1">
        <f t="array" ref="AL221">_xlfn.LET(_xlpm.DepreciationMonths,INDEX(FixedAssets[Depreciation
/ Amortization Months],_xlfn.XMATCH($E$186,FixedAssets[Asset ID])),IF(AND((_xlfn.XMATCH(AL$8,$AH$8:$CC$8))-_xlfn.XMATCH($C221,$C$35:$C$82)+1&lt;=_xlpm.DepreciationMonths,$C221&lt;=AL$8),$E221/_xlpm.DepreciationMonths,0))</f>
        <v>0</v>
      </c>
      <c r="AM221" s="507" cm="1">
        <f t="array" ref="AM221">_xlfn.LET(_xlpm.DepreciationMonths,INDEX(FixedAssets[Depreciation
/ Amortization Months],_xlfn.XMATCH($E$186,FixedAssets[Asset ID])),IF(AND((_xlfn.XMATCH(AM$8,$AH$8:$CC$8))-_xlfn.XMATCH($C221,$C$35:$C$82)+1&lt;=_xlpm.DepreciationMonths,$C221&lt;=AM$8),$E221/_xlpm.DepreciationMonths,0))</f>
        <v>0</v>
      </c>
      <c r="AN221" s="507" cm="1">
        <f t="array" ref="AN221">_xlfn.LET(_xlpm.DepreciationMonths,INDEX(FixedAssets[Depreciation
/ Amortization Months],_xlfn.XMATCH($E$186,FixedAssets[Asset ID])),IF(AND((_xlfn.XMATCH(AN$8,$AH$8:$CC$8))-_xlfn.XMATCH($C221,$C$35:$C$82)+1&lt;=_xlpm.DepreciationMonths,$C221&lt;=AN$8),$E221/_xlpm.DepreciationMonths,0))</f>
        <v>0</v>
      </c>
      <c r="AO221" s="507" cm="1">
        <f t="array" ref="AO221">_xlfn.LET(_xlpm.DepreciationMonths,INDEX(FixedAssets[Depreciation
/ Amortization Months],_xlfn.XMATCH($E$186,FixedAssets[Asset ID])),IF(AND((_xlfn.XMATCH(AO$8,$AH$8:$CC$8))-_xlfn.XMATCH($C221,$C$35:$C$82)+1&lt;=_xlpm.DepreciationMonths,$C221&lt;=AO$8),$E221/_xlpm.DepreciationMonths,0))</f>
        <v>0</v>
      </c>
      <c r="AP221" s="507" cm="1">
        <f t="array" ref="AP221">_xlfn.LET(_xlpm.DepreciationMonths,INDEX(FixedAssets[Depreciation
/ Amortization Months],_xlfn.XMATCH($E$186,FixedAssets[Asset ID])),IF(AND((_xlfn.XMATCH(AP$8,$AH$8:$CC$8))-_xlfn.XMATCH($C221,$C$35:$C$82)+1&lt;=_xlpm.DepreciationMonths,$C221&lt;=AP$8),$E221/_xlpm.DepreciationMonths,0))</f>
        <v>0</v>
      </c>
      <c r="AQ221" s="507" cm="1">
        <f t="array" ref="AQ221">_xlfn.LET(_xlpm.DepreciationMonths,INDEX(FixedAssets[Depreciation
/ Amortization Months],_xlfn.XMATCH($E$186,FixedAssets[Asset ID])),IF(AND((_xlfn.XMATCH(AQ$8,$AH$8:$CC$8))-_xlfn.XMATCH($C221,$C$35:$C$82)+1&lt;=_xlpm.DepreciationMonths,$C221&lt;=AQ$8),$E221/_xlpm.DepreciationMonths,0))</f>
        <v>0</v>
      </c>
      <c r="AR221" s="507" cm="1">
        <f t="array" ref="AR221">_xlfn.LET(_xlpm.DepreciationMonths,INDEX(FixedAssets[Depreciation
/ Amortization Months],_xlfn.XMATCH($E$186,FixedAssets[Asset ID])),IF(AND((_xlfn.XMATCH(AR$8,$AH$8:$CC$8))-_xlfn.XMATCH($C221,$C$35:$C$82)+1&lt;=_xlpm.DepreciationMonths,$C221&lt;=AR$8),$E221/_xlpm.DepreciationMonths,0))</f>
        <v>0</v>
      </c>
      <c r="AS221" s="507" cm="1">
        <f t="array" ref="AS221">_xlfn.LET(_xlpm.DepreciationMonths,INDEX(FixedAssets[Depreciation
/ Amortization Months],_xlfn.XMATCH($E$186,FixedAssets[Asset ID])),IF(AND((_xlfn.XMATCH(AS$8,$AH$8:$CC$8))-_xlfn.XMATCH($C221,$C$35:$C$82)+1&lt;=_xlpm.DepreciationMonths,$C221&lt;=AS$8),$E221/_xlpm.DepreciationMonths,0))</f>
        <v>0</v>
      </c>
      <c r="AT221" s="507" cm="1">
        <f t="array" ref="AT221">_xlfn.LET(_xlpm.DepreciationMonths,INDEX(FixedAssets[Depreciation
/ Amortization Months],_xlfn.XMATCH($E$186,FixedAssets[Asset ID])),IF(AND((_xlfn.XMATCH(AT$8,$AH$8:$CC$8))-_xlfn.XMATCH($C221,$C$35:$C$82)+1&lt;=_xlpm.DepreciationMonths,$C221&lt;=AT$8),$E221/_xlpm.DepreciationMonths,0))</f>
        <v>0</v>
      </c>
      <c r="AU221" s="507" cm="1">
        <f t="array" ref="AU221">_xlfn.LET(_xlpm.DepreciationMonths,INDEX(FixedAssets[Depreciation
/ Amortization Months],_xlfn.XMATCH($E$186,FixedAssets[Asset ID])),IF(AND((_xlfn.XMATCH(AU$8,$AH$8:$CC$8))-_xlfn.XMATCH($C221,$C$35:$C$82)+1&lt;=_xlpm.DepreciationMonths,$C221&lt;=AU$8),$E221/_xlpm.DepreciationMonths,0))</f>
        <v>0</v>
      </c>
      <c r="AV221" s="507" cm="1">
        <f t="array" ref="AV221">_xlfn.LET(_xlpm.DepreciationMonths,INDEX(FixedAssets[Depreciation
/ Amortization Months],_xlfn.XMATCH($E$186,FixedAssets[Asset ID])),IF(AND((_xlfn.XMATCH(AV$8,$AH$8:$CC$8))-_xlfn.XMATCH($C221,$C$35:$C$82)+1&lt;=_xlpm.DepreciationMonths,$C221&lt;=AV$8),$E221/_xlpm.DepreciationMonths,0))</f>
        <v>0</v>
      </c>
      <c r="AW221" s="507" cm="1">
        <f t="array" ref="AW221">_xlfn.LET(_xlpm.DepreciationMonths,INDEX(FixedAssets[Depreciation
/ Amortization Months],_xlfn.XMATCH($E$186,FixedAssets[Asset ID])),IF(AND((_xlfn.XMATCH(AW$8,$AH$8:$CC$8))-_xlfn.XMATCH($C221,$C$35:$C$82)+1&lt;=_xlpm.DepreciationMonths,$C221&lt;=AW$8),$E221/_xlpm.DepreciationMonths,0))</f>
        <v>0</v>
      </c>
      <c r="AX221" s="507" cm="1">
        <f t="array" ref="AX221">_xlfn.LET(_xlpm.DepreciationMonths,INDEX(FixedAssets[Depreciation
/ Amortization Months],_xlfn.XMATCH($E$186,FixedAssets[Asset ID])),IF(AND((_xlfn.XMATCH(AX$8,$AH$8:$CC$8))-_xlfn.XMATCH($C221,$C$35:$C$82)+1&lt;=_xlpm.DepreciationMonths,$C221&lt;=AX$8),$E221/_xlpm.DepreciationMonths,0))</f>
        <v>0</v>
      </c>
      <c r="AY221" s="507" cm="1">
        <f t="array" ref="AY221">_xlfn.LET(_xlpm.DepreciationMonths,INDEX(FixedAssets[Depreciation
/ Amortization Months],_xlfn.XMATCH($E$186,FixedAssets[Asset ID])),IF(AND((_xlfn.XMATCH(AY$8,$AH$8:$CC$8))-_xlfn.XMATCH($C221,$C$35:$C$82)+1&lt;=_xlpm.DepreciationMonths,$C221&lt;=AY$8),$E221/_xlpm.DepreciationMonths,0))</f>
        <v>0</v>
      </c>
      <c r="AZ221" s="507" cm="1">
        <f t="array" ref="AZ221">_xlfn.LET(_xlpm.DepreciationMonths,INDEX(FixedAssets[Depreciation
/ Amortization Months],_xlfn.XMATCH($E$186,FixedAssets[Asset ID])),IF(AND((_xlfn.XMATCH(AZ$8,$AH$8:$CC$8))-_xlfn.XMATCH($C221,$C$35:$C$82)+1&lt;=_xlpm.DepreciationMonths,$C221&lt;=AZ$8),$E221/_xlpm.DepreciationMonths,0))</f>
        <v>0</v>
      </c>
      <c r="BA221" s="507" cm="1">
        <f t="array" ref="BA221">_xlfn.LET(_xlpm.DepreciationMonths,INDEX(FixedAssets[Depreciation
/ Amortization Months],_xlfn.XMATCH($E$186,FixedAssets[Asset ID])),IF(AND((_xlfn.XMATCH(BA$8,$AH$8:$CC$8))-_xlfn.XMATCH($C221,$C$35:$C$82)+1&lt;=_xlpm.DepreciationMonths,$C221&lt;=BA$8),$E221/_xlpm.DepreciationMonths,0))</f>
        <v>0</v>
      </c>
      <c r="BB221" s="507" cm="1">
        <f t="array" ref="BB221">_xlfn.LET(_xlpm.DepreciationMonths,INDEX(FixedAssets[Depreciation
/ Amortization Months],_xlfn.XMATCH($E$186,FixedAssets[Asset ID])),IF(AND((_xlfn.XMATCH(BB$8,$AH$8:$CC$8))-_xlfn.XMATCH($C221,$C$35:$C$82)+1&lt;=_xlpm.DepreciationMonths,$C221&lt;=BB$8),$E221/_xlpm.DepreciationMonths,0))</f>
        <v>0</v>
      </c>
      <c r="BC221" s="507" cm="1">
        <f t="array" ref="BC221">_xlfn.LET(_xlpm.DepreciationMonths,INDEX(FixedAssets[Depreciation
/ Amortization Months],_xlfn.XMATCH($E$186,FixedAssets[Asset ID])),IF(AND((_xlfn.XMATCH(BC$8,$AH$8:$CC$8))-_xlfn.XMATCH($C221,$C$35:$C$82)+1&lt;=_xlpm.DepreciationMonths,$C221&lt;=BC$8),$E221/_xlpm.DepreciationMonths,0))</f>
        <v>0</v>
      </c>
      <c r="BD221" s="507" cm="1">
        <f t="array" ref="BD221">_xlfn.LET(_xlpm.DepreciationMonths,INDEX(FixedAssets[Depreciation
/ Amortization Months],_xlfn.XMATCH($E$186,FixedAssets[Asset ID])),IF(AND((_xlfn.XMATCH(BD$8,$AH$8:$CC$8))-_xlfn.XMATCH($C221,$C$35:$C$82)+1&lt;=_xlpm.DepreciationMonths,$C221&lt;=BD$8),$E221/_xlpm.DepreciationMonths,0))</f>
        <v>0</v>
      </c>
      <c r="BE221" s="507" cm="1">
        <f t="array" ref="BE221">_xlfn.LET(_xlpm.DepreciationMonths,INDEX(FixedAssets[Depreciation
/ Amortization Months],_xlfn.XMATCH($E$186,FixedAssets[Asset ID])),IF(AND((_xlfn.XMATCH(BE$8,$AH$8:$CC$8))-_xlfn.XMATCH($C221,$C$35:$C$82)+1&lt;=_xlpm.DepreciationMonths,$C221&lt;=BE$8),$E221/_xlpm.DepreciationMonths,0))</f>
        <v>0</v>
      </c>
      <c r="BF221" s="507" cm="1">
        <f t="array" ref="BF221">_xlfn.LET(_xlpm.DepreciationMonths,INDEX(FixedAssets[Depreciation
/ Amortization Months],_xlfn.XMATCH($E$186,FixedAssets[Asset ID])),IF(AND((_xlfn.XMATCH(BF$8,$AH$8:$CC$8))-_xlfn.XMATCH($C221,$C$35:$C$82)+1&lt;=_xlpm.DepreciationMonths,$C221&lt;=BF$8),$E221/_xlpm.DepreciationMonths,0))</f>
        <v>0</v>
      </c>
      <c r="BG221" s="507" cm="1">
        <f t="array" ref="BG221">_xlfn.LET(_xlpm.DepreciationMonths,INDEX(FixedAssets[Depreciation
/ Amortization Months],_xlfn.XMATCH($E$186,FixedAssets[Asset ID])),IF(AND((_xlfn.XMATCH(BG$8,$AH$8:$CC$8))-_xlfn.XMATCH($C221,$C$35:$C$82)+1&lt;=_xlpm.DepreciationMonths,$C221&lt;=BG$8),$E221/_xlpm.DepreciationMonths,0))</f>
        <v>0</v>
      </c>
      <c r="BH221" s="507" cm="1">
        <f t="array" ref="BH221">_xlfn.LET(_xlpm.DepreciationMonths,INDEX(FixedAssets[Depreciation
/ Amortization Months],_xlfn.XMATCH($E$186,FixedAssets[Asset ID])),IF(AND((_xlfn.XMATCH(BH$8,$AH$8:$CC$8))-_xlfn.XMATCH($C221,$C$35:$C$82)+1&lt;=_xlpm.DepreciationMonths,$C221&lt;=BH$8),$E221/_xlpm.DepreciationMonths,0))</f>
        <v>0</v>
      </c>
      <c r="BI221" s="507" cm="1">
        <f t="array" ref="BI221">_xlfn.LET(_xlpm.DepreciationMonths,INDEX(FixedAssets[Depreciation
/ Amortization Months],_xlfn.XMATCH($E$186,FixedAssets[Asset ID])),IF(AND((_xlfn.XMATCH(BI$8,$AH$8:$CC$8))-_xlfn.XMATCH($C221,$C$35:$C$82)+1&lt;=_xlpm.DepreciationMonths,$C221&lt;=BI$8),$E221/_xlpm.DepreciationMonths,0))</f>
        <v>0</v>
      </c>
      <c r="BJ221" s="507" cm="1">
        <f t="array" ref="BJ221">_xlfn.LET(_xlpm.DepreciationMonths,INDEX(FixedAssets[Depreciation
/ Amortization Months],_xlfn.XMATCH($E$186,FixedAssets[Asset ID])),IF(AND((_xlfn.XMATCH(BJ$8,$AH$8:$CC$8))-_xlfn.XMATCH($C221,$C$35:$C$82)+1&lt;=_xlpm.DepreciationMonths,$C221&lt;=BJ$8),$E221/_xlpm.DepreciationMonths,0))</f>
        <v>0</v>
      </c>
      <c r="BK221" s="507" cm="1">
        <f t="array" ref="BK221">_xlfn.LET(_xlpm.DepreciationMonths,INDEX(FixedAssets[Depreciation
/ Amortization Months],_xlfn.XMATCH($E$186,FixedAssets[Asset ID])),IF(AND((_xlfn.XMATCH(BK$8,$AH$8:$CC$8))-_xlfn.XMATCH($C221,$C$35:$C$82)+1&lt;=_xlpm.DepreciationMonths,$C221&lt;=BK$8),$E221/_xlpm.DepreciationMonths,0))</f>
        <v>0</v>
      </c>
      <c r="BL221" s="507" cm="1">
        <f t="array" ref="BL221">_xlfn.LET(_xlpm.DepreciationMonths,INDEX(FixedAssets[Depreciation
/ Amortization Months],_xlfn.XMATCH($E$186,FixedAssets[Asset ID])),IF(AND((_xlfn.XMATCH(BL$8,$AH$8:$CC$8))-_xlfn.XMATCH($C221,$C$35:$C$82)+1&lt;=_xlpm.DepreciationMonths,$C221&lt;=BL$8),$E221/_xlpm.DepreciationMonths,0))</f>
        <v>0</v>
      </c>
      <c r="BM221" s="507" cm="1">
        <f t="array" ref="BM221">_xlfn.LET(_xlpm.DepreciationMonths,INDEX(FixedAssets[Depreciation
/ Amortization Months],_xlfn.XMATCH($E$186,FixedAssets[Asset ID])),IF(AND((_xlfn.XMATCH(BM$8,$AH$8:$CC$8))-_xlfn.XMATCH($C221,$C$35:$C$82)+1&lt;=_xlpm.DepreciationMonths,$C221&lt;=BM$8),$E221/_xlpm.DepreciationMonths,0))</f>
        <v>0</v>
      </c>
      <c r="BN221" s="507" cm="1">
        <f t="array" ref="BN221">_xlfn.LET(_xlpm.DepreciationMonths,INDEX(FixedAssets[Depreciation
/ Amortization Months],_xlfn.XMATCH($E$186,FixedAssets[Asset ID])),IF(AND((_xlfn.XMATCH(BN$8,$AH$8:$CC$8))-_xlfn.XMATCH($C221,$C$35:$C$82)+1&lt;=_xlpm.DepreciationMonths,$C221&lt;=BN$8),$E221/_xlpm.DepreciationMonths,0))</f>
        <v>0</v>
      </c>
      <c r="BO221" s="507" cm="1">
        <f t="array" ref="BO221">_xlfn.LET(_xlpm.DepreciationMonths,INDEX(FixedAssets[Depreciation
/ Amortization Months],_xlfn.XMATCH($E$186,FixedAssets[Asset ID])),IF(AND((_xlfn.XMATCH(BO$8,$AH$8:$CC$8))-_xlfn.XMATCH($C221,$C$35:$C$82)+1&lt;=_xlpm.DepreciationMonths,$C221&lt;=BO$8),$E221/_xlpm.DepreciationMonths,0))</f>
        <v>0</v>
      </c>
      <c r="BP221" s="507" cm="1">
        <f t="array" ref="BP221">_xlfn.LET(_xlpm.DepreciationMonths,INDEX(FixedAssets[Depreciation
/ Amortization Months],_xlfn.XMATCH($E$186,FixedAssets[Asset ID])),IF(AND((_xlfn.XMATCH(BP$8,$AH$8:$CC$8))-_xlfn.XMATCH($C221,$C$35:$C$82)+1&lt;=_xlpm.DepreciationMonths,$C221&lt;=BP$8),$E221/_xlpm.DepreciationMonths,0))</f>
        <v>0</v>
      </c>
      <c r="BQ221" s="507" cm="1">
        <f t="array" ref="BQ221">_xlfn.LET(_xlpm.DepreciationMonths,INDEX(FixedAssets[Depreciation
/ Amortization Months],_xlfn.XMATCH($E$186,FixedAssets[Asset ID])),IF(AND((_xlfn.XMATCH(BQ$8,$AH$8:$CC$8))-_xlfn.XMATCH($C221,$C$35:$C$82)+1&lt;=_xlpm.DepreciationMonths,$C221&lt;=BQ$8),$E221/_xlpm.DepreciationMonths,0))</f>
        <v>0</v>
      </c>
      <c r="BR221" s="507" cm="1">
        <f t="array" ref="BR221">_xlfn.LET(_xlpm.DepreciationMonths,INDEX(FixedAssets[Depreciation
/ Amortization Months],_xlfn.XMATCH($E$186,FixedAssets[Asset ID])),IF(AND((_xlfn.XMATCH(BR$8,$AH$8:$CC$8))-_xlfn.XMATCH($C221,$C$35:$C$82)+1&lt;=_xlpm.DepreciationMonths,$C221&lt;=BR$8),$E221/_xlpm.DepreciationMonths,0))</f>
        <v>0</v>
      </c>
      <c r="BS221" s="507" cm="1">
        <f t="array" ref="BS221">_xlfn.LET(_xlpm.DepreciationMonths,INDEX(FixedAssets[Depreciation
/ Amortization Months],_xlfn.XMATCH($E$186,FixedAssets[Asset ID])),IF(AND((_xlfn.XMATCH(BS$8,$AH$8:$CC$8))-_xlfn.XMATCH($C221,$C$35:$C$82)+1&lt;=_xlpm.DepreciationMonths,$C221&lt;=BS$8),$E221/_xlpm.DepreciationMonths,0))</f>
        <v>0</v>
      </c>
      <c r="BT221" s="507" cm="1">
        <f t="array" ref="BT221">_xlfn.LET(_xlpm.DepreciationMonths,INDEX(FixedAssets[Depreciation
/ Amortization Months],_xlfn.XMATCH($E$186,FixedAssets[Asset ID])),IF(AND((_xlfn.XMATCH(BT$8,$AH$8:$CC$8))-_xlfn.XMATCH($C221,$C$35:$C$82)+1&lt;=_xlpm.DepreciationMonths,$C221&lt;=BT$8),$E221/_xlpm.DepreciationMonths,0))</f>
        <v>0</v>
      </c>
      <c r="BU221" s="507" cm="1">
        <f t="array" ref="BU221">_xlfn.LET(_xlpm.DepreciationMonths,INDEX(FixedAssets[Depreciation
/ Amortization Months],_xlfn.XMATCH($E$186,FixedAssets[Asset ID])),IF(AND((_xlfn.XMATCH(BU$8,$AH$8:$CC$8))-_xlfn.XMATCH($C221,$C$35:$C$82)+1&lt;=_xlpm.DepreciationMonths,$C221&lt;=BU$8),$E221/_xlpm.DepreciationMonths,0))</f>
        <v>0</v>
      </c>
      <c r="BV221" s="507" cm="1">
        <f t="array" ref="BV221">_xlfn.LET(_xlpm.DepreciationMonths,INDEX(FixedAssets[Depreciation
/ Amortization Months],_xlfn.XMATCH($E$186,FixedAssets[Asset ID])),IF(AND((_xlfn.XMATCH(BV$8,$AH$8:$CC$8))-_xlfn.XMATCH($C221,$C$35:$C$82)+1&lt;=_xlpm.DepreciationMonths,$C221&lt;=BV$8),$E221/_xlpm.DepreciationMonths,0))</f>
        <v>0</v>
      </c>
      <c r="BW221" s="507" cm="1">
        <f t="array" ref="BW221">_xlfn.LET(_xlpm.DepreciationMonths,INDEX(FixedAssets[Depreciation
/ Amortization Months],_xlfn.XMATCH($E$186,FixedAssets[Asset ID])),IF(AND((_xlfn.XMATCH(BW$8,$AH$8:$CC$8))-_xlfn.XMATCH($C221,$C$35:$C$82)+1&lt;=_xlpm.DepreciationMonths,$C221&lt;=BW$8),$E221/_xlpm.DepreciationMonths,0))</f>
        <v>0</v>
      </c>
      <c r="BX221" s="507" cm="1">
        <f t="array" ref="BX221">_xlfn.LET(_xlpm.DepreciationMonths,INDEX(FixedAssets[Depreciation
/ Amortization Months],_xlfn.XMATCH($E$186,FixedAssets[Asset ID])),IF(AND((_xlfn.XMATCH(BX$8,$AH$8:$CC$8))-_xlfn.XMATCH($C221,$C$35:$C$82)+1&lt;=_xlpm.DepreciationMonths,$C221&lt;=BX$8),$E221/_xlpm.DepreciationMonths,0))</f>
        <v>0</v>
      </c>
      <c r="BY221" s="507" cm="1">
        <f t="array" ref="BY221">_xlfn.LET(_xlpm.DepreciationMonths,INDEX(FixedAssets[Depreciation
/ Amortization Months],_xlfn.XMATCH($E$186,FixedAssets[Asset ID])),IF(AND((_xlfn.XMATCH(BY$8,$AH$8:$CC$8))-_xlfn.XMATCH($C221,$C$35:$C$82)+1&lt;=_xlpm.DepreciationMonths,$C221&lt;=BY$8),$E221/_xlpm.DepreciationMonths,0))</f>
        <v>0</v>
      </c>
      <c r="BZ221" s="507" cm="1">
        <f t="array" ref="BZ221">_xlfn.LET(_xlpm.DepreciationMonths,INDEX(FixedAssets[Depreciation
/ Amortization Months],_xlfn.XMATCH($E$186,FixedAssets[Asset ID])),IF(AND((_xlfn.XMATCH(BZ$8,$AH$8:$CC$8))-_xlfn.XMATCH($C221,$C$35:$C$82)+1&lt;=_xlpm.DepreciationMonths,$C221&lt;=BZ$8),$E221/_xlpm.DepreciationMonths,0))</f>
        <v>0</v>
      </c>
      <c r="CA221" s="507" cm="1">
        <f t="array" ref="CA221">_xlfn.LET(_xlpm.DepreciationMonths,INDEX(FixedAssets[Depreciation
/ Amortization Months],_xlfn.XMATCH($E$186,FixedAssets[Asset ID])),IF(AND((_xlfn.XMATCH(CA$8,$AH$8:$CC$8))-_xlfn.XMATCH($C221,$C$35:$C$82)+1&lt;=_xlpm.DepreciationMonths,$C221&lt;=CA$8),$E221/_xlpm.DepreciationMonths,0))</f>
        <v>0</v>
      </c>
      <c r="CB221" s="507" cm="1">
        <f t="array" ref="CB221">_xlfn.LET(_xlpm.DepreciationMonths,INDEX(FixedAssets[Depreciation
/ Amortization Months],_xlfn.XMATCH($E$186,FixedAssets[Asset ID])),IF(AND((_xlfn.XMATCH(CB$8,$AH$8:$CC$8))-_xlfn.XMATCH($C221,$C$35:$C$82)+1&lt;=_xlpm.DepreciationMonths,$C221&lt;=CB$8),$E221/_xlpm.DepreciationMonths,0))</f>
        <v>0</v>
      </c>
      <c r="CC221" s="507" cm="1">
        <f t="array" ref="CC221">_xlfn.LET(_xlpm.DepreciationMonths,INDEX(FixedAssets[Depreciation
/ Amortization Months],_xlfn.XMATCH($E$186,FixedAssets[Asset ID])),IF(AND((_xlfn.XMATCH(CC$8,$AH$8:$CC$8))-_xlfn.XMATCH($C221,$C$35:$C$82)+1&lt;=_xlpm.DepreciationMonths,$C221&lt;=CC$8),$E221/_xlpm.DepreciationMonths,0))</f>
        <v>0</v>
      </c>
    </row>
    <row r="222" spans="3:81" hidden="1" outlineLevel="2">
      <c r="C222" s="664">
        <f t="shared" si="256"/>
        <v>45991</v>
      </c>
      <c r="D222" s="508"/>
      <c r="E222" s="508" cm="1">
        <f t="array" ref="E222">SUMPRODUCT(($AH$26:$CC$31)*($AH$5:$CC$5=$C222)*($E$26:$E$31=E$186))-SUMPRODUCT(($AH$26:$CC$31)*($AH$5:$CC$5=EOMONTH($C222,-1))*($E$26:$E$31=E$186))</f>
        <v>0</v>
      </c>
      <c r="F222" s="508"/>
      <c r="G222" s="508"/>
      <c r="H222" s="508"/>
      <c r="I222" s="508"/>
      <c r="J222" s="504">
        <f t="shared" si="254"/>
        <v>0</v>
      </c>
      <c r="K222" s="504">
        <f t="shared" si="254"/>
        <v>0</v>
      </c>
      <c r="L222" s="504">
        <f t="shared" si="254"/>
        <v>0</v>
      </c>
      <c r="M222" s="504">
        <f t="shared" si="254"/>
        <v>0</v>
      </c>
      <c r="N222" s="504"/>
      <c r="O222" s="504"/>
      <c r="P222" s="504">
        <f t="shared" si="260"/>
        <v>0</v>
      </c>
      <c r="Q222" s="504">
        <f t="shared" si="260"/>
        <v>0</v>
      </c>
      <c r="R222" s="504">
        <f t="shared" si="260"/>
        <v>0</v>
      </c>
      <c r="S222" s="504">
        <f t="shared" si="260"/>
        <v>0</v>
      </c>
      <c r="T222" s="504">
        <f t="shared" si="260"/>
        <v>0</v>
      </c>
      <c r="U222" s="504">
        <f t="shared" si="260"/>
        <v>0</v>
      </c>
      <c r="V222" s="504">
        <f t="shared" si="260"/>
        <v>0</v>
      </c>
      <c r="W222" s="504">
        <f t="shared" si="260"/>
        <v>0</v>
      </c>
      <c r="X222" s="504">
        <f t="shared" si="260"/>
        <v>0</v>
      </c>
      <c r="Y222" s="504">
        <f t="shared" si="260"/>
        <v>0</v>
      </c>
      <c r="Z222" s="504">
        <f t="shared" si="260"/>
        <v>0</v>
      </c>
      <c r="AA222" s="504">
        <f t="shared" si="260"/>
        <v>0</v>
      </c>
      <c r="AB222" s="504">
        <f t="shared" si="260"/>
        <v>0</v>
      </c>
      <c r="AC222" s="504">
        <f t="shared" si="260"/>
        <v>0</v>
      </c>
      <c r="AD222" s="504">
        <f t="shared" si="260"/>
        <v>0</v>
      </c>
      <c r="AE222" s="504">
        <f t="shared" si="260"/>
        <v>0</v>
      </c>
      <c r="AF222" s="508"/>
      <c r="AG222" s="508"/>
      <c r="AH222" s="507" cm="1">
        <f t="array" ref="AH222">_xlfn.LET(_xlpm.DepreciationMonths,INDEX(FixedAssets[Depreciation
/ Amortization Months],_xlfn.XMATCH($E$186,FixedAssets[Asset ID])),IF(AND((_xlfn.XMATCH(AH$8,$AH$8:$CC$8))-_xlfn.XMATCH($C222,$C$35:$C$82)+1&lt;=_xlpm.DepreciationMonths,$C222&lt;=AH$8),$E222/_xlpm.DepreciationMonths,0))</f>
        <v>0</v>
      </c>
      <c r="AI222" s="507" cm="1">
        <f t="array" ref="AI222">_xlfn.LET(_xlpm.DepreciationMonths,INDEX(FixedAssets[Depreciation
/ Amortization Months],_xlfn.XMATCH($E$186,FixedAssets[Asset ID])),IF(AND((_xlfn.XMATCH(AI$8,$AH$8:$CC$8))-_xlfn.XMATCH($C222,$C$35:$C$82)+1&lt;=_xlpm.DepreciationMonths,$C222&lt;=AI$8),$E222/_xlpm.DepreciationMonths,0))</f>
        <v>0</v>
      </c>
      <c r="AJ222" s="507" cm="1">
        <f t="array" ref="AJ222">_xlfn.LET(_xlpm.DepreciationMonths,INDEX(FixedAssets[Depreciation
/ Amortization Months],_xlfn.XMATCH($E$186,FixedAssets[Asset ID])),IF(AND((_xlfn.XMATCH(AJ$8,$AH$8:$CC$8))-_xlfn.XMATCH($C222,$C$35:$C$82)+1&lt;=_xlpm.DepreciationMonths,$C222&lt;=AJ$8),$E222/_xlpm.DepreciationMonths,0))</f>
        <v>0</v>
      </c>
      <c r="AK222" s="507" cm="1">
        <f t="array" ref="AK222">_xlfn.LET(_xlpm.DepreciationMonths,INDEX(FixedAssets[Depreciation
/ Amortization Months],_xlfn.XMATCH($E$186,FixedAssets[Asset ID])),IF(AND((_xlfn.XMATCH(AK$8,$AH$8:$CC$8))-_xlfn.XMATCH($C222,$C$35:$C$82)+1&lt;=_xlpm.DepreciationMonths,$C222&lt;=AK$8),$E222/_xlpm.DepreciationMonths,0))</f>
        <v>0</v>
      </c>
      <c r="AL222" s="507" cm="1">
        <f t="array" ref="AL222">_xlfn.LET(_xlpm.DepreciationMonths,INDEX(FixedAssets[Depreciation
/ Amortization Months],_xlfn.XMATCH($E$186,FixedAssets[Asset ID])),IF(AND((_xlfn.XMATCH(AL$8,$AH$8:$CC$8))-_xlfn.XMATCH($C222,$C$35:$C$82)+1&lt;=_xlpm.DepreciationMonths,$C222&lt;=AL$8),$E222/_xlpm.DepreciationMonths,0))</f>
        <v>0</v>
      </c>
      <c r="AM222" s="507" cm="1">
        <f t="array" ref="AM222">_xlfn.LET(_xlpm.DepreciationMonths,INDEX(FixedAssets[Depreciation
/ Amortization Months],_xlfn.XMATCH($E$186,FixedAssets[Asset ID])),IF(AND((_xlfn.XMATCH(AM$8,$AH$8:$CC$8))-_xlfn.XMATCH($C222,$C$35:$C$82)+1&lt;=_xlpm.DepreciationMonths,$C222&lt;=AM$8),$E222/_xlpm.DepreciationMonths,0))</f>
        <v>0</v>
      </c>
      <c r="AN222" s="507" cm="1">
        <f t="array" ref="AN222">_xlfn.LET(_xlpm.DepreciationMonths,INDEX(FixedAssets[Depreciation
/ Amortization Months],_xlfn.XMATCH($E$186,FixedAssets[Asset ID])),IF(AND((_xlfn.XMATCH(AN$8,$AH$8:$CC$8))-_xlfn.XMATCH($C222,$C$35:$C$82)+1&lt;=_xlpm.DepreciationMonths,$C222&lt;=AN$8),$E222/_xlpm.DepreciationMonths,0))</f>
        <v>0</v>
      </c>
      <c r="AO222" s="507" cm="1">
        <f t="array" ref="AO222">_xlfn.LET(_xlpm.DepreciationMonths,INDEX(FixedAssets[Depreciation
/ Amortization Months],_xlfn.XMATCH($E$186,FixedAssets[Asset ID])),IF(AND((_xlfn.XMATCH(AO$8,$AH$8:$CC$8))-_xlfn.XMATCH($C222,$C$35:$C$82)+1&lt;=_xlpm.DepreciationMonths,$C222&lt;=AO$8),$E222/_xlpm.DepreciationMonths,0))</f>
        <v>0</v>
      </c>
      <c r="AP222" s="507" cm="1">
        <f t="array" ref="AP222">_xlfn.LET(_xlpm.DepreciationMonths,INDEX(FixedAssets[Depreciation
/ Amortization Months],_xlfn.XMATCH($E$186,FixedAssets[Asset ID])),IF(AND((_xlfn.XMATCH(AP$8,$AH$8:$CC$8))-_xlfn.XMATCH($C222,$C$35:$C$82)+1&lt;=_xlpm.DepreciationMonths,$C222&lt;=AP$8),$E222/_xlpm.DepreciationMonths,0))</f>
        <v>0</v>
      </c>
      <c r="AQ222" s="507" cm="1">
        <f t="array" ref="AQ222">_xlfn.LET(_xlpm.DepreciationMonths,INDEX(FixedAssets[Depreciation
/ Amortization Months],_xlfn.XMATCH($E$186,FixedAssets[Asset ID])),IF(AND((_xlfn.XMATCH(AQ$8,$AH$8:$CC$8))-_xlfn.XMATCH($C222,$C$35:$C$82)+1&lt;=_xlpm.DepreciationMonths,$C222&lt;=AQ$8),$E222/_xlpm.DepreciationMonths,0))</f>
        <v>0</v>
      </c>
      <c r="AR222" s="507" cm="1">
        <f t="array" ref="AR222">_xlfn.LET(_xlpm.DepreciationMonths,INDEX(FixedAssets[Depreciation
/ Amortization Months],_xlfn.XMATCH($E$186,FixedAssets[Asset ID])),IF(AND((_xlfn.XMATCH(AR$8,$AH$8:$CC$8))-_xlfn.XMATCH($C222,$C$35:$C$82)+1&lt;=_xlpm.DepreciationMonths,$C222&lt;=AR$8),$E222/_xlpm.DepreciationMonths,0))</f>
        <v>0</v>
      </c>
      <c r="AS222" s="507" cm="1">
        <f t="array" ref="AS222">_xlfn.LET(_xlpm.DepreciationMonths,INDEX(FixedAssets[Depreciation
/ Amortization Months],_xlfn.XMATCH($E$186,FixedAssets[Asset ID])),IF(AND((_xlfn.XMATCH(AS$8,$AH$8:$CC$8))-_xlfn.XMATCH($C222,$C$35:$C$82)+1&lt;=_xlpm.DepreciationMonths,$C222&lt;=AS$8),$E222/_xlpm.DepreciationMonths,0))</f>
        <v>0</v>
      </c>
      <c r="AT222" s="507" cm="1">
        <f t="array" ref="AT222">_xlfn.LET(_xlpm.DepreciationMonths,INDEX(FixedAssets[Depreciation
/ Amortization Months],_xlfn.XMATCH($E$186,FixedAssets[Asset ID])),IF(AND((_xlfn.XMATCH(AT$8,$AH$8:$CC$8))-_xlfn.XMATCH($C222,$C$35:$C$82)+1&lt;=_xlpm.DepreciationMonths,$C222&lt;=AT$8),$E222/_xlpm.DepreciationMonths,0))</f>
        <v>0</v>
      </c>
      <c r="AU222" s="507" cm="1">
        <f t="array" ref="AU222">_xlfn.LET(_xlpm.DepreciationMonths,INDEX(FixedAssets[Depreciation
/ Amortization Months],_xlfn.XMATCH($E$186,FixedAssets[Asset ID])),IF(AND((_xlfn.XMATCH(AU$8,$AH$8:$CC$8))-_xlfn.XMATCH($C222,$C$35:$C$82)+1&lt;=_xlpm.DepreciationMonths,$C222&lt;=AU$8),$E222/_xlpm.DepreciationMonths,0))</f>
        <v>0</v>
      </c>
      <c r="AV222" s="507" cm="1">
        <f t="array" ref="AV222">_xlfn.LET(_xlpm.DepreciationMonths,INDEX(FixedAssets[Depreciation
/ Amortization Months],_xlfn.XMATCH($E$186,FixedAssets[Asset ID])),IF(AND((_xlfn.XMATCH(AV$8,$AH$8:$CC$8))-_xlfn.XMATCH($C222,$C$35:$C$82)+1&lt;=_xlpm.DepreciationMonths,$C222&lt;=AV$8),$E222/_xlpm.DepreciationMonths,0))</f>
        <v>0</v>
      </c>
      <c r="AW222" s="507" cm="1">
        <f t="array" ref="AW222">_xlfn.LET(_xlpm.DepreciationMonths,INDEX(FixedAssets[Depreciation
/ Amortization Months],_xlfn.XMATCH($E$186,FixedAssets[Asset ID])),IF(AND((_xlfn.XMATCH(AW$8,$AH$8:$CC$8))-_xlfn.XMATCH($C222,$C$35:$C$82)+1&lt;=_xlpm.DepreciationMonths,$C222&lt;=AW$8),$E222/_xlpm.DepreciationMonths,0))</f>
        <v>0</v>
      </c>
      <c r="AX222" s="507" cm="1">
        <f t="array" ref="AX222">_xlfn.LET(_xlpm.DepreciationMonths,INDEX(FixedAssets[Depreciation
/ Amortization Months],_xlfn.XMATCH($E$186,FixedAssets[Asset ID])),IF(AND((_xlfn.XMATCH(AX$8,$AH$8:$CC$8))-_xlfn.XMATCH($C222,$C$35:$C$82)+1&lt;=_xlpm.DepreciationMonths,$C222&lt;=AX$8),$E222/_xlpm.DepreciationMonths,0))</f>
        <v>0</v>
      </c>
      <c r="AY222" s="507" cm="1">
        <f t="array" ref="AY222">_xlfn.LET(_xlpm.DepreciationMonths,INDEX(FixedAssets[Depreciation
/ Amortization Months],_xlfn.XMATCH($E$186,FixedAssets[Asset ID])),IF(AND((_xlfn.XMATCH(AY$8,$AH$8:$CC$8))-_xlfn.XMATCH($C222,$C$35:$C$82)+1&lt;=_xlpm.DepreciationMonths,$C222&lt;=AY$8),$E222/_xlpm.DepreciationMonths,0))</f>
        <v>0</v>
      </c>
      <c r="AZ222" s="507" cm="1">
        <f t="array" ref="AZ222">_xlfn.LET(_xlpm.DepreciationMonths,INDEX(FixedAssets[Depreciation
/ Amortization Months],_xlfn.XMATCH($E$186,FixedAssets[Asset ID])),IF(AND((_xlfn.XMATCH(AZ$8,$AH$8:$CC$8))-_xlfn.XMATCH($C222,$C$35:$C$82)+1&lt;=_xlpm.DepreciationMonths,$C222&lt;=AZ$8),$E222/_xlpm.DepreciationMonths,0))</f>
        <v>0</v>
      </c>
      <c r="BA222" s="507" cm="1">
        <f t="array" ref="BA222">_xlfn.LET(_xlpm.DepreciationMonths,INDEX(FixedAssets[Depreciation
/ Amortization Months],_xlfn.XMATCH($E$186,FixedAssets[Asset ID])),IF(AND((_xlfn.XMATCH(BA$8,$AH$8:$CC$8))-_xlfn.XMATCH($C222,$C$35:$C$82)+1&lt;=_xlpm.DepreciationMonths,$C222&lt;=BA$8),$E222/_xlpm.DepreciationMonths,0))</f>
        <v>0</v>
      </c>
      <c r="BB222" s="507" cm="1">
        <f t="array" ref="BB222">_xlfn.LET(_xlpm.DepreciationMonths,INDEX(FixedAssets[Depreciation
/ Amortization Months],_xlfn.XMATCH($E$186,FixedAssets[Asset ID])),IF(AND((_xlfn.XMATCH(BB$8,$AH$8:$CC$8))-_xlfn.XMATCH($C222,$C$35:$C$82)+1&lt;=_xlpm.DepreciationMonths,$C222&lt;=BB$8),$E222/_xlpm.DepreciationMonths,0))</f>
        <v>0</v>
      </c>
      <c r="BC222" s="507" cm="1">
        <f t="array" ref="BC222">_xlfn.LET(_xlpm.DepreciationMonths,INDEX(FixedAssets[Depreciation
/ Amortization Months],_xlfn.XMATCH($E$186,FixedAssets[Asset ID])),IF(AND((_xlfn.XMATCH(BC$8,$AH$8:$CC$8))-_xlfn.XMATCH($C222,$C$35:$C$82)+1&lt;=_xlpm.DepreciationMonths,$C222&lt;=BC$8),$E222/_xlpm.DepreciationMonths,0))</f>
        <v>0</v>
      </c>
      <c r="BD222" s="507" cm="1">
        <f t="array" ref="BD222">_xlfn.LET(_xlpm.DepreciationMonths,INDEX(FixedAssets[Depreciation
/ Amortization Months],_xlfn.XMATCH($E$186,FixedAssets[Asset ID])),IF(AND((_xlfn.XMATCH(BD$8,$AH$8:$CC$8))-_xlfn.XMATCH($C222,$C$35:$C$82)+1&lt;=_xlpm.DepreciationMonths,$C222&lt;=BD$8),$E222/_xlpm.DepreciationMonths,0))</f>
        <v>0</v>
      </c>
      <c r="BE222" s="507" cm="1">
        <f t="array" ref="BE222">_xlfn.LET(_xlpm.DepreciationMonths,INDEX(FixedAssets[Depreciation
/ Amortization Months],_xlfn.XMATCH($E$186,FixedAssets[Asset ID])),IF(AND((_xlfn.XMATCH(BE$8,$AH$8:$CC$8))-_xlfn.XMATCH($C222,$C$35:$C$82)+1&lt;=_xlpm.DepreciationMonths,$C222&lt;=BE$8),$E222/_xlpm.DepreciationMonths,0))</f>
        <v>0</v>
      </c>
      <c r="BF222" s="507" cm="1">
        <f t="array" ref="BF222">_xlfn.LET(_xlpm.DepreciationMonths,INDEX(FixedAssets[Depreciation
/ Amortization Months],_xlfn.XMATCH($E$186,FixedAssets[Asset ID])),IF(AND((_xlfn.XMATCH(BF$8,$AH$8:$CC$8))-_xlfn.XMATCH($C222,$C$35:$C$82)+1&lt;=_xlpm.DepreciationMonths,$C222&lt;=BF$8),$E222/_xlpm.DepreciationMonths,0))</f>
        <v>0</v>
      </c>
      <c r="BG222" s="507" cm="1">
        <f t="array" ref="BG222">_xlfn.LET(_xlpm.DepreciationMonths,INDEX(FixedAssets[Depreciation
/ Amortization Months],_xlfn.XMATCH($E$186,FixedAssets[Asset ID])),IF(AND((_xlfn.XMATCH(BG$8,$AH$8:$CC$8))-_xlfn.XMATCH($C222,$C$35:$C$82)+1&lt;=_xlpm.DepreciationMonths,$C222&lt;=BG$8),$E222/_xlpm.DepreciationMonths,0))</f>
        <v>0</v>
      </c>
      <c r="BH222" s="507" cm="1">
        <f t="array" ref="BH222">_xlfn.LET(_xlpm.DepreciationMonths,INDEX(FixedAssets[Depreciation
/ Amortization Months],_xlfn.XMATCH($E$186,FixedAssets[Asset ID])),IF(AND((_xlfn.XMATCH(BH$8,$AH$8:$CC$8))-_xlfn.XMATCH($C222,$C$35:$C$82)+1&lt;=_xlpm.DepreciationMonths,$C222&lt;=BH$8),$E222/_xlpm.DepreciationMonths,0))</f>
        <v>0</v>
      </c>
      <c r="BI222" s="507" cm="1">
        <f t="array" ref="BI222">_xlfn.LET(_xlpm.DepreciationMonths,INDEX(FixedAssets[Depreciation
/ Amortization Months],_xlfn.XMATCH($E$186,FixedAssets[Asset ID])),IF(AND((_xlfn.XMATCH(BI$8,$AH$8:$CC$8))-_xlfn.XMATCH($C222,$C$35:$C$82)+1&lt;=_xlpm.DepreciationMonths,$C222&lt;=BI$8),$E222/_xlpm.DepreciationMonths,0))</f>
        <v>0</v>
      </c>
      <c r="BJ222" s="507" cm="1">
        <f t="array" ref="BJ222">_xlfn.LET(_xlpm.DepreciationMonths,INDEX(FixedAssets[Depreciation
/ Amortization Months],_xlfn.XMATCH($E$186,FixedAssets[Asset ID])),IF(AND((_xlfn.XMATCH(BJ$8,$AH$8:$CC$8))-_xlfn.XMATCH($C222,$C$35:$C$82)+1&lt;=_xlpm.DepreciationMonths,$C222&lt;=BJ$8),$E222/_xlpm.DepreciationMonths,0))</f>
        <v>0</v>
      </c>
      <c r="BK222" s="507" cm="1">
        <f t="array" ref="BK222">_xlfn.LET(_xlpm.DepreciationMonths,INDEX(FixedAssets[Depreciation
/ Amortization Months],_xlfn.XMATCH($E$186,FixedAssets[Asset ID])),IF(AND((_xlfn.XMATCH(BK$8,$AH$8:$CC$8))-_xlfn.XMATCH($C222,$C$35:$C$82)+1&lt;=_xlpm.DepreciationMonths,$C222&lt;=BK$8),$E222/_xlpm.DepreciationMonths,0))</f>
        <v>0</v>
      </c>
      <c r="BL222" s="507" cm="1">
        <f t="array" ref="BL222">_xlfn.LET(_xlpm.DepreciationMonths,INDEX(FixedAssets[Depreciation
/ Amortization Months],_xlfn.XMATCH($E$186,FixedAssets[Asset ID])),IF(AND((_xlfn.XMATCH(BL$8,$AH$8:$CC$8))-_xlfn.XMATCH($C222,$C$35:$C$82)+1&lt;=_xlpm.DepreciationMonths,$C222&lt;=BL$8),$E222/_xlpm.DepreciationMonths,0))</f>
        <v>0</v>
      </c>
      <c r="BM222" s="507" cm="1">
        <f t="array" ref="BM222">_xlfn.LET(_xlpm.DepreciationMonths,INDEX(FixedAssets[Depreciation
/ Amortization Months],_xlfn.XMATCH($E$186,FixedAssets[Asset ID])),IF(AND((_xlfn.XMATCH(BM$8,$AH$8:$CC$8))-_xlfn.XMATCH($C222,$C$35:$C$82)+1&lt;=_xlpm.DepreciationMonths,$C222&lt;=BM$8),$E222/_xlpm.DepreciationMonths,0))</f>
        <v>0</v>
      </c>
      <c r="BN222" s="507" cm="1">
        <f t="array" ref="BN222">_xlfn.LET(_xlpm.DepreciationMonths,INDEX(FixedAssets[Depreciation
/ Amortization Months],_xlfn.XMATCH($E$186,FixedAssets[Asset ID])),IF(AND((_xlfn.XMATCH(BN$8,$AH$8:$CC$8))-_xlfn.XMATCH($C222,$C$35:$C$82)+1&lt;=_xlpm.DepreciationMonths,$C222&lt;=BN$8),$E222/_xlpm.DepreciationMonths,0))</f>
        <v>0</v>
      </c>
      <c r="BO222" s="507" cm="1">
        <f t="array" ref="BO222">_xlfn.LET(_xlpm.DepreciationMonths,INDEX(FixedAssets[Depreciation
/ Amortization Months],_xlfn.XMATCH($E$186,FixedAssets[Asset ID])),IF(AND((_xlfn.XMATCH(BO$8,$AH$8:$CC$8))-_xlfn.XMATCH($C222,$C$35:$C$82)+1&lt;=_xlpm.DepreciationMonths,$C222&lt;=BO$8),$E222/_xlpm.DepreciationMonths,0))</f>
        <v>0</v>
      </c>
      <c r="BP222" s="507" cm="1">
        <f t="array" ref="BP222">_xlfn.LET(_xlpm.DepreciationMonths,INDEX(FixedAssets[Depreciation
/ Amortization Months],_xlfn.XMATCH($E$186,FixedAssets[Asset ID])),IF(AND((_xlfn.XMATCH(BP$8,$AH$8:$CC$8))-_xlfn.XMATCH($C222,$C$35:$C$82)+1&lt;=_xlpm.DepreciationMonths,$C222&lt;=BP$8),$E222/_xlpm.DepreciationMonths,0))</f>
        <v>0</v>
      </c>
      <c r="BQ222" s="507" cm="1">
        <f t="array" ref="BQ222">_xlfn.LET(_xlpm.DepreciationMonths,INDEX(FixedAssets[Depreciation
/ Amortization Months],_xlfn.XMATCH($E$186,FixedAssets[Asset ID])),IF(AND((_xlfn.XMATCH(BQ$8,$AH$8:$CC$8))-_xlfn.XMATCH($C222,$C$35:$C$82)+1&lt;=_xlpm.DepreciationMonths,$C222&lt;=BQ$8),$E222/_xlpm.DepreciationMonths,0))</f>
        <v>0</v>
      </c>
      <c r="BR222" s="507" cm="1">
        <f t="array" ref="BR222">_xlfn.LET(_xlpm.DepreciationMonths,INDEX(FixedAssets[Depreciation
/ Amortization Months],_xlfn.XMATCH($E$186,FixedAssets[Asset ID])),IF(AND((_xlfn.XMATCH(BR$8,$AH$8:$CC$8))-_xlfn.XMATCH($C222,$C$35:$C$82)+1&lt;=_xlpm.DepreciationMonths,$C222&lt;=BR$8),$E222/_xlpm.DepreciationMonths,0))</f>
        <v>0</v>
      </c>
      <c r="BS222" s="507" cm="1">
        <f t="array" ref="BS222">_xlfn.LET(_xlpm.DepreciationMonths,INDEX(FixedAssets[Depreciation
/ Amortization Months],_xlfn.XMATCH($E$186,FixedAssets[Asset ID])),IF(AND((_xlfn.XMATCH(BS$8,$AH$8:$CC$8))-_xlfn.XMATCH($C222,$C$35:$C$82)+1&lt;=_xlpm.DepreciationMonths,$C222&lt;=BS$8),$E222/_xlpm.DepreciationMonths,0))</f>
        <v>0</v>
      </c>
      <c r="BT222" s="507" cm="1">
        <f t="array" ref="BT222">_xlfn.LET(_xlpm.DepreciationMonths,INDEX(FixedAssets[Depreciation
/ Amortization Months],_xlfn.XMATCH($E$186,FixedAssets[Asset ID])),IF(AND((_xlfn.XMATCH(BT$8,$AH$8:$CC$8))-_xlfn.XMATCH($C222,$C$35:$C$82)+1&lt;=_xlpm.DepreciationMonths,$C222&lt;=BT$8),$E222/_xlpm.DepreciationMonths,0))</f>
        <v>0</v>
      </c>
      <c r="BU222" s="507" cm="1">
        <f t="array" ref="BU222">_xlfn.LET(_xlpm.DepreciationMonths,INDEX(FixedAssets[Depreciation
/ Amortization Months],_xlfn.XMATCH($E$186,FixedAssets[Asset ID])),IF(AND((_xlfn.XMATCH(BU$8,$AH$8:$CC$8))-_xlfn.XMATCH($C222,$C$35:$C$82)+1&lt;=_xlpm.DepreciationMonths,$C222&lt;=BU$8),$E222/_xlpm.DepreciationMonths,0))</f>
        <v>0</v>
      </c>
      <c r="BV222" s="507" cm="1">
        <f t="array" ref="BV222">_xlfn.LET(_xlpm.DepreciationMonths,INDEX(FixedAssets[Depreciation
/ Amortization Months],_xlfn.XMATCH($E$186,FixedAssets[Asset ID])),IF(AND((_xlfn.XMATCH(BV$8,$AH$8:$CC$8))-_xlfn.XMATCH($C222,$C$35:$C$82)+1&lt;=_xlpm.DepreciationMonths,$C222&lt;=BV$8),$E222/_xlpm.DepreciationMonths,0))</f>
        <v>0</v>
      </c>
      <c r="BW222" s="507" cm="1">
        <f t="array" ref="BW222">_xlfn.LET(_xlpm.DepreciationMonths,INDEX(FixedAssets[Depreciation
/ Amortization Months],_xlfn.XMATCH($E$186,FixedAssets[Asset ID])),IF(AND((_xlfn.XMATCH(BW$8,$AH$8:$CC$8))-_xlfn.XMATCH($C222,$C$35:$C$82)+1&lt;=_xlpm.DepreciationMonths,$C222&lt;=BW$8),$E222/_xlpm.DepreciationMonths,0))</f>
        <v>0</v>
      </c>
      <c r="BX222" s="507" cm="1">
        <f t="array" ref="BX222">_xlfn.LET(_xlpm.DepreciationMonths,INDEX(FixedAssets[Depreciation
/ Amortization Months],_xlfn.XMATCH($E$186,FixedAssets[Asset ID])),IF(AND((_xlfn.XMATCH(BX$8,$AH$8:$CC$8))-_xlfn.XMATCH($C222,$C$35:$C$82)+1&lt;=_xlpm.DepreciationMonths,$C222&lt;=BX$8),$E222/_xlpm.DepreciationMonths,0))</f>
        <v>0</v>
      </c>
      <c r="BY222" s="507" cm="1">
        <f t="array" ref="BY222">_xlfn.LET(_xlpm.DepreciationMonths,INDEX(FixedAssets[Depreciation
/ Amortization Months],_xlfn.XMATCH($E$186,FixedAssets[Asset ID])),IF(AND((_xlfn.XMATCH(BY$8,$AH$8:$CC$8))-_xlfn.XMATCH($C222,$C$35:$C$82)+1&lt;=_xlpm.DepreciationMonths,$C222&lt;=BY$8),$E222/_xlpm.DepreciationMonths,0))</f>
        <v>0</v>
      </c>
      <c r="BZ222" s="507" cm="1">
        <f t="array" ref="BZ222">_xlfn.LET(_xlpm.DepreciationMonths,INDEX(FixedAssets[Depreciation
/ Amortization Months],_xlfn.XMATCH($E$186,FixedAssets[Asset ID])),IF(AND((_xlfn.XMATCH(BZ$8,$AH$8:$CC$8))-_xlfn.XMATCH($C222,$C$35:$C$82)+1&lt;=_xlpm.DepreciationMonths,$C222&lt;=BZ$8),$E222/_xlpm.DepreciationMonths,0))</f>
        <v>0</v>
      </c>
      <c r="CA222" s="507" cm="1">
        <f t="array" ref="CA222">_xlfn.LET(_xlpm.DepreciationMonths,INDEX(FixedAssets[Depreciation
/ Amortization Months],_xlfn.XMATCH($E$186,FixedAssets[Asset ID])),IF(AND((_xlfn.XMATCH(CA$8,$AH$8:$CC$8))-_xlfn.XMATCH($C222,$C$35:$C$82)+1&lt;=_xlpm.DepreciationMonths,$C222&lt;=CA$8),$E222/_xlpm.DepreciationMonths,0))</f>
        <v>0</v>
      </c>
      <c r="CB222" s="507" cm="1">
        <f t="array" ref="CB222">_xlfn.LET(_xlpm.DepreciationMonths,INDEX(FixedAssets[Depreciation
/ Amortization Months],_xlfn.XMATCH($E$186,FixedAssets[Asset ID])),IF(AND((_xlfn.XMATCH(CB$8,$AH$8:$CC$8))-_xlfn.XMATCH($C222,$C$35:$C$82)+1&lt;=_xlpm.DepreciationMonths,$C222&lt;=CB$8),$E222/_xlpm.DepreciationMonths,0))</f>
        <v>0</v>
      </c>
      <c r="CC222" s="507" cm="1">
        <f t="array" ref="CC222">_xlfn.LET(_xlpm.DepreciationMonths,INDEX(FixedAssets[Depreciation
/ Amortization Months],_xlfn.XMATCH($E$186,FixedAssets[Asset ID])),IF(AND((_xlfn.XMATCH(CC$8,$AH$8:$CC$8))-_xlfn.XMATCH($C222,$C$35:$C$82)+1&lt;=_xlpm.DepreciationMonths,$C222&lt;=CC$8),$E222/_xlpm.DepreciationMonths,0))</f>
        <v>0</v>
      </c>
    </row>
    <row r="223" spans="3:81" hidden="1" outlineLevel="2">
      <c r="C223" s="664">
        <f t="shared" si="256"/>
        <v>46022</v>
      </c>
      <c r="D223" s="508"/>
      <c r="E223" s="508" cm="1">
        <f t="array" ref="E223">SUMPRODUCT(($AH$26:$CC$31)*($AH$5:$CC$5=$C223)*($E$26:$E$31=E$186))-SUMPRODUCT(($AH$26:$CC$31)*($AH$5:$CC$5=EOMONTH($C223,-1))*($E$26:$E$31=E$186))</f>
        <v>0</v>
      </c>
      <c r="F223" s="508"/>
      <c r="G223" s="508"/>
      <c r="H223" s="508"/>
      <c r="I223" s="508"/>
      <c r="J223" s="504">
        <f t="shared" si="254"/>
        <v>0</v>
      </c>
      <c r="K223" s="504">
        <f t="shared" si="254"/>
        <v>0</v>
      </c>
      <c r="L223" s="504">
        <f t="shared" si="254"/>
        <v>0</v>
      </c>
      <c r="M223" s="504">
        <f t="shared" si="254"/>
        <v>0</v>
      </c>
      <c r="N223" s="504"/>
      <c r="O223" s="504"/>
      <c r="P223" s="504">
        <f t="shared" si="260"/>
        <v>0</v>
      </c>
      <c r="Q223" s="504">
        <f t="shared" si="260"/>
        <v>0</v>
      </c>
      <c r="R223" s="504">
        <f t="shared" si="260"/>
        <v>0</v>
      </c>
      <c r="S223" s="504">
        <f t="shared" si="260"/>
        <v>0</v>
      </c>
      <c r="T223" s="504">
        <f t="shared" si="260"/>
        <v>0</v>
      </c>
      <c r="U223" s="504">
        <f t="shared" si="260"/>
        <v>0</v>
      </c>
      <c r="V223" s="504">
        <f t="shared" si="260"/>
        <v>0</v>
      </c>
      <c r="W223" s="504">
        <f t="shared" si="260"/>
        <v>0</v>
      </c>
      <c r="X223" s="504">
        <f t="shared" si="260"/>
        <v>0</v>
      </c>
      <c r="Y223" s="504">
        <f t="shared" si="260"/>
        <v>0</v>
      </c>
      <c r="Z223" s="504">
        <f t="shared" si="260"/>
        <v>0</v>
      </c>
      <c r="AA223" s="504">
        <f t="shared" si="260"/>
        <v>0</v>
      </c>
      <c r="AB223" s="504">
        <f t="shared" si="260"/>
        <v>0</v>
      </c>
      <c r="AC223" s="504">
        <f t="shared" si="260"/>
        <v>0</v>
      </c>
      <c r="AD223" s="504">
        <f t="shared" si="260"/>
        <v>0</v>
      </c>
      <c r="AE223" s="504">
        <f t="shared" si="260"/>
        <v>0</v>
      </c>
      <c r="AF223" s="508"/>
      <c r="AG223" s="508"/>
      <c r="AH223" s="507" cm="1">
        <f t="array" ref="AH223">_xlfn.LET(_xlpm.DepreciationMonths,INDEX(FixedAssets[Depreciation
/ Amortization Months],_xlfn.XMATCH($E$186,FixedAssets[Asset ID])),IF(AND((_xlfn.XMATCH(AH$8,$AH$8:$CC$8))-_xlfn.XMATCH($C223,$C$35:$C$82)+1&lt;=_xlpm.DepreciationMonths,$C223&lt;=AH$8),$E223/_xlpm.DepreciationMonths,0))</f>
        <v>0</v>
      </c>
      <c r="AI223" s="507" cm="1">
        <f t="array" ref="AI223">_xlfn.LET(_xlpm.DepreciationMonths,INDEX(FixedAssets[Depreciation
/ Amortization Months],_xlfn.XMATCH($E$186,FixedAssets[Asset ID])),IF(AND((_xlfn.XMATCH(AI$8,$AH$8:$CC$8))-_xlfn.XMATCH($C223,$C$35:$C$82)+1&lt;=_xlpm.DepreciationMonths,$C223&lt;=AI$8),$E223/_xlpm.DepreciationMonths,0))</f>
        <v>0</v>
      </c>
      <c r="AJ223" s="507" cm="1">
        <f t="array" ref="AJ223">_xlfn.LET(_xlpm.DepreciationMonths,INDEX(FixedAssets[Depreciation
/ Amortization Months],_xlfn.XMATCH($E$186,FixedAssets[Asset ID])),IF(AND((_xlfn.XMATCH(AJ$8,$AH$8:$CC$8))-_xlfn.XMATCH($C223,$C$35:$C$82)+1&lt;=_xlpm.DepreciationMonths,$C223&lt;=AJ$8),$E223/_xlpm.DepreciationMonths,0))</f>
        <v>0</v>
      </c>
      <c r="AK223" s="507" cm="1">
        <f t="array" ref="AK223">_xlfn.LET(_xlpm.DepreciationMonths,INDEX(FixedAssets[Depreciation
/ Amortization Months],_xlfn.XMATCH($E$186,FixedAssets[Asset ID])),IF(AND((_xlfn.XMATCH(AK$8,$AH$8:$CC$8))-_xlfn.XMATCH($C223,$C$35:$C$82)+1&lt;=_xlpm.DepreciationMonths,$C223&lt;=AK$8),$E223/_xlpm.DepreciationMonths,0))</f>
        <v>0</v>
      </c>
      <c r="AL223" s="507" cm="1">
        <f t="array" ref="AL223">_xlfn.LET(_xlpm.DepreciationMonths,INDEX(FixedAssets[Depreciation
/ Amortization Months],_xlfn.XMATCH($E$186,FixedAssets[Asset ID])),IF(AND((_xlfn.XMATCH(AL$8,$AH$8:$CC$8))-_xlfn.XMATCH($C223,$C$35:$C$82)+1&lt;=_xlpm.DepreciationMonths,$C223&lt;=AL$8),$E223/_xlpm.DepreciationMonths,0))</f>
        <v>0</v>
      </c>
      <c r="AM223" s="507" cm="1">
        <f t="array" ref="AM223">_xlfn.LET(_xlpm.DepreciationMonths,INDEX(FixedAssets[Depreciation
/ Amortization Months],_xlfn.XMATCH($E$186,FixedAssets[Asset ID])),IF(AND((_xlfn.XMATCH(AM$8,$AH$8:$CC$8))-_xlfn.XMATCH($C223,$C$35:$C$82)+1&lt;=_xlpm.DepreciationMonths,$C223&lt;=AM$8),$E223/_xlpm.DepreciationMonths,0))</f>
        <v>0</v>
      </c>
      <c r="AN223" s="507" cm="1">
        <f t="array" ref="AN223">_xlfn.LET(_xlpm.DepreciationMonths,INDEX(FixedAssets[Depreciation
/ Amortization Months],_xlfn.XMATCH($E$186,FixedAssets[Asset ID])),IF(AND((_xlfn.XMATCH(AN$8,$AH$8:$CC$8))-_xlfn.XMATCH($C223,$C$35:$C$82)+1&lt;=_xlpm.DepreciationMonths,$C223&lt;=AN$8),$E223/_xlpm.DepreciationMonths,0))</f>
        <v>0</v>
      </c>
      <c r="AO223" s="507" cm="1">
        <f t="array" ref="AO223">_xlfn.LET(_xlpm.DepreciationMonths,INDEX(FixedAssets[Depreciation
/ Amortization Months],_xlfn.XMATCH($E$186,FixedAssets[Asset ID])),IF(AND((_xlfn.XMATCH(AO$8,$AH$8:$CC$8))-_xlfn.XMATCH($C223,$C$35:$C$82)+1&lt;=_xlpm.DepreciationMonths,$C223&lt;=AO$8),$E223/_xlpm.DepreciationMonths,0))</f>
        <v>0</v>
      </c>
      <c r="AP223" s="507" cm="1">
        <f t="array" ref="AP223">_xlfn.LET(_xlpm.DepreciationMonths,INDEX(FixedAssets[Depreciation
/ Amortization Months],_xlfn.XMATCH($E$186,FixedAssets[Asset ID])),IF(AND((_xlfn.XMATCH(AP$8,$AH$8:$CC$8))-_xlfn.XMATCH($C223,$C$35:$C$82)+1&lt;=_xlpm.DepreciationMonths,$C223&lt;=AP$8),$E223/_xlpm.DepreciationMonths,0))</f>
        <v>0</v>
      </c>
      <c r="AQ223" s="507" cm="1">
        <f t="array" ref="AQ223">_xlfn.LET(_xlpm.DepreciationMonths,INDEX(FixedAssets[Depreciation
/ Amortization Months],_xlfn.XMATCH($E$186,FixedAssets[Asset ID])),IF(AND((_xlfn.XMATCH(AQ$8,$AH$8:$CC$8))-_xlfn.XMATCH($C223,$C$35:$C$82)+1&lt;=_xlpm.DepreciationMonths,$C223&lt;=AQ$8),$E223/_xlpm.DepreciationMonths,0))</f>
        <v>0</v>
      </c>
      <c r="AR223" s="507" cm="1">
        <f t="array" ref="AR223">_xlfn.LET(_xlpm.DepreciationMonths,INDEX(FixedAssets[Depreciation
/ Amortization Months],_xlfn.XMATCH($E$186,FixedAssets[Asset ID])),IF(AND((_xlfn.XMATCH(AR$8,$AH$8:$CC$8))-_xlfn.XMATCH($C223,$C$35:$C$82)+1&lt;=_xlpm.DepreciationMonths,$C223&lt;=AR$8),$E223/_xlpm.DepreciationMonths,0))</f>
        <v>0</v>
      </c>
      <c r="AS223" s="507" cm="1">
        <f t="array" ref="AS223">_xlfn.LET(_xlpm.DepreciationMonths,INDEX(FixedAssets[Depreciation
/ Amortization Months],_xlfn.XMATCH($E$186,FixedAssets[Asset ID])),IF(AND((_xlfn.XMATCH(AS$8,$AH$8:$CC$8))-_xlfn.XMATCH($C223,$C$35:$C$82)+1&lt;=_xlpm.DepreciationMonths,$C223&lt;=AS$8),$E223/_xlpm.DepreciationMonths,0))</f>
        <v>0</v>
      </c>
      <c r="AT223" s="507" cm="1">
        <f t="array" ref="AT223">_xlfn.LET(_xlpm.DepreciationMonths,INDEX(FixedAssets[Depreciation
/ Amortization Months],_xlfn.XMATCH($E$186,FixedAssets[Asset ID])),IF(AND((_xlfn.XMATCH(AT$8,$AH$8:$CC$8))-_xlfn.XMATCH($C223,$C$35:$C$82)+1&lt;=_xlpm.DepreciationMonths,$C223&lt;=AT$8),$E223/_xlpm.DepreciationMonths,0))</f>
        <v>0</v>
      </c>
      <c r="AU223" s="507" cm="1">
        <f t="array" ref="AU223">_xlfn.LET(_xlpm.DepreciationMonths,INDEX(FixedAssets[Depreciation
/ Amortization Months],_xlfn.XMATCH($E$186,FixedAssets[Asset ID])),IF(AND((_xlfn.XMATCH(AU$8,$AH$8:$CC$8))-_xlfn.XMATCH($C223,$C$35:$C$82)+1&lt;=_xlpm.DepreciationMonths,$C223&lt;=AU$8),$E223/_xlpm.DepreciationMonths,0))</f>
        <v>0</v>
      </c>
      <c r="AV223" s="507" cm="1">
        <f t="array" ref="AV223">_xlfn.LET(_xlpm.DepreciationMonths,INDEX(FixedAssets[Depreciation
/ Amortization Months],_xlfn.XMATCH($E$186,FixedAssets[Asset ID])),IF(AND((_xlfn.XMATCH(AV$8,$AH$8:$CC$8))-_xlfn.XMATCH($C223,$C$35:$C$82)+1&lt;=_xlpm.DepreciationMonths,$C223&lt;=AV$8),$E223/_xlpm.DepreciationMonths,0))</f>
        <v>0</v>
      </c>
      <c r="AW223" s="507" cm="1">
        <f t="array" ref="AW223">_xlfn.LET(_xlpm.DepreciationMonths,INDEX(FixedAssets[Depreciation
/ Amortization Months],_xlfn.XMATCH($E$186,FixedAssets[Asset ID])),IF(AND((_xlfn.XMATCH(AW$8,$AH$8:$CC$8))-_xlfn.XMATCH($C223,$C$35:$C$82)+1&lt;=_xlpm.DepreciationMonths,$C223&lt;=AW$8),$E223/_xlpm.DepreciationMonths,0))</f>
        <v>0</v>
      </c>
      <c r="AX223" s="507" cm="1">
        <f t="array" ref="AX223">_xlfn.LET(_xlpm.DepreciationMonths,INDEX(FixedAssets[Depreciation
/ Amortization Months],_xlfn.XMATCH($E$186,FixedAssets[Asset ID])),IF(AND((_xlfn.XMATCH(AX$8,$AH$8:$CC$8))-_xlfn.XMATCH($C223,$C$35:$C$82)+1&lt;=_xlpm.DepreciationMonths,$C223&lt;=AX$8),$E223/_xlpm.DepreciationMonths,0))</f>
        <v>0</v>
      </c>
      <c r="AY223" s="507" cm="1">
        <f t="array" ref="AY223">_xlfn.LET(_xlpm.DepreciationMonths,INDEX(FixedAssets[Depreciation
/ Amortization Months],_xlfn.XMATCH($E$186,FixedAssets[Asset ID])),IF(AND((_xlfn.XMATCH(AY$8,$AH$8:$CC$8))-_xlfn.XMATCH($C223,$C$35:$C$82)+1&lt;=_xlpm.DepreciationMonths,$C223&lt;=AY$8),$E223/_xlpm.DepreciationMonths,0))</f>
        <v>0</v>
      </c>
      <c r="AZ223" s="507" cm="1">
        <f t="array" ref="AZ223">_xlfn.LET(_xlpm.DepreciationMonths,INDEX(FixedAssets[Depreciation
/ Amortization Months],_xlfn.XMATCH($E$186,FixedAssets[Asset ID])),IF(AND((_xlfn.XMATCH(AZ$8,$AH$8:$CC$8))-_xlfn.XMATCH($C223,$C$35:$C$82)+1&lt;=_xlpm.DepreciationMonths,$C223&lt;=AZ$8),$E223/_xlpm.DepreciationMonths,0))</f>
        <v>0</v>
      </c>
      <c r="BA223" s="507" cm="1">
        <f t="array" ref="BA223">_xlfn.LET(_xlpm.DepreciationMonths,INDEX(FixedAssets[Depreciation
/ Amortization Months],_xlfn.XMATCH($E$186,FixedAssets[Asset ID])),IF(AND((_xlfn.XMATCH(BA$8,$AH$8:$CC$8))-_xlfn.XMATCH($C223,$C$35:$C$82)+1&lt;=_xlpm.DepreciationMonths,$C223&lt;=BA$8),$E223/_xlpm.DepreciationMonths,0))</f>
        <v>0</v>
      </c>
      <c r="BB223" s="507" cm="1">
        <f t="array" ref="BB223">_xlfn.LET(_xlpm.DepreciationMonths,INDEX(FixedAssets[Depreciation
/ Amortization Months],_xlfn.XMATCH($E$186,FixedAssets[Asset ID])),IF(AND((_xlfn.XMATCH(BB$8,$AH$8:$CC$8))-_xlfn.XMATCH($C223,$C$35:$C$82)+1&lt;=_xlpm.DepreciationMonths,$C223&lt;=BB$8),$E223/_xlpm.DepreciationMonths,0))</f>
        <v>0</v>
      </c>
      <c r="BC223" s="507" cm="1">
        <f t="array" ref="BC223">_xlfn.LET(_xlpm.DepreciationMonths,INDEX(FixedAssets[Depreciation
/ Amortization Months],_xlfn.XMATCH($E$186,FixedAssets[Asset ID])),IF(AND((_xlfn.XMATCH(BC$8,$AH$8:$CC$8))-_xlfn.XMATCH($C223,$C$35:$C$82)+1&lt;=_xlpm.DepreciationMonths,$C223&lt;=BC$8),$E223/_xlpm.DepreciationMonths,0))</f>
        <v>0</v>
      </c>
      <c r="BD223" s="507" cm="1">
        <f t="array" ref="BD223">_xlfn.LET(_xlpm.DepreciationMonths,INDEX(FixedAssets[Depreciation
/ Amortization Months],_xlfn.XMATCH($E$186,FixedAssets[Asset ID])),IF(AND((_xlfn.XMATCH(BD$8,$AH$8:$CC$8))-_xlfn.XMATCH($C223,$C$35:$C$82)+1&lt;=_xlpm.DepreciationMonths,$C223&lt;=BD$8),$E223/_xlpm.DepreciationMonths,0))</f>
        <v>0</v>
      </c>
      <c r="BE223" s="507" cm="1">
        <f t="array" ref="BE223">_xlfn.LET(_xlpm.DepreciationMonths,INDEX(FixedAssets[Depreciation
/ Amortization Months],_xlfn.XMATCH($E$186,FixedAssets[Asset ID])),IF(AND((_xlfn.XMATCH(BE$8,$AH$8:$CC$8))-_xlfn.XMATCH($C223,$C$35:$C$82)+1&lt;=_xlpm.DepreciationMonths,$C223&lt;=BE$8),$E223/_xlpm.DepreciationMonths,0))</f>
        <v>0</v>
      </c>
      <c r="BF223" s="507" cm="1">
        <f t="array" ref="BF223">_xlfn.LET(_xlpm.DepreciationMonths,INDEX(FixedAssets[Depreciation
/ Amortization Months],_xlfn.XMATCH($E$186,FixedAssets[Asset ID])),IF(AND((_xlfn.XMATCH(BF$8,$AH$8:$CC$8))-_xlfn.XMATCH($C223,$C$35:$C$82)+1&lt;=_xlpm.DepreciationMonths,$C223&lt;=BF$8),$E223/_xlpm.DepreciationMonths,0))</f>
        <v>0</v>
      </c>
      <c r="BG223" s="507" cm="1">
        <f t="array" ref="BG223">_xlfn.LET(_xlpm.DepreciationMonths,INDEX(FixedAssets[Depreciation
/ Amortization Months],_xlfn.XMATCH($E$186,FixedAssets[Asset ID])),IF(AND((_xlfn.XMATCH(BG$8,$AH$8:$CC$8))-_xlfn.XMATCH($C223,$C$35:$C$82)+1&lt;=_xlpm.DepreciationMonths,$C223&lt;=BG$8),$E223/_xlpm.DepreciationMonths,0))</f>
        <v>0</v>
      </c>
      <c r="BH223" s="507" cm="1">
        <f t="array" ref="BH223">_xlfn.LET(_xlpm.DepreciationMonths,INDEX(FixedAssets[Depreciation
/ Amortization Months],_xlfn.XMATCH($E$186,FixedAssets[Asset ID])),IF(AND((_xlfn.XMATCH(BH$8,$AH$8:$CC$8))-_xlfn.XMATCH($C223,$C$35:$C$82)+1&lt;=_xlpm.DepreciationMonths,$C223&lt;=BH$8),$E223/_xlpm.DepreciationMonths,0))</f>
        <v>0</v>
      </c>
      <c r="BI223" s="507" cm="1">
        <f t="array" ref="BI223">_xlfn.LET(_xlpm.DepreciationMonths,INDEX(FixedAssets[Depreciation
/ Amortization Months],_xlfn.XMATCH($E$186,FixedAssets[Asset ID])),IF(AND((_xlfn.XMATCH(BI$8,$AH$8:$CC$8))-_xlfn.XMATCH($C223,$C$35:$C$82)+1&lt;=_xlpm.DepreciationMonths,$C223&lt;=BI$8),$E223/_xlpm.DepreciationMonths,0))</f>
        <v>0</v>
      </c>
      <c r="BJ223" s="507" cm="1">
        <f t="array" ref="BJ223">_xlfn.LET(_xlpm.DepreciationMonths,INDEX(FixedAssets[Depreciation
/ Amortization Months],_xlfn.XMATCH($E$186,FixedAssets[Asset ID])),IF(AND((_xlfn.XMATCH(BJ$8,$AH$8:$CC$8))-_xlfn.XMATCH($C223,$C$35:$C$82)+1&lt;=_xlpm.DepreciationMonths,$C223&lt;=BJ$8),$E223/_xlpm.DepreciationMonths,0))</f>
        <v>0</v>
      </c>
      <c r="BK223" s="507" cm="1">
        <f t="array" ref="BK223">_xlfn.LET(_xlpm.DepreciationMonths,INDEX(FixedAssets[Depreciation
/ Amortization Months],_xlfn.XMATCH($E$186,FixedAssets[Asset ID])),IF(AND((_xlfn.XMATCH(BK$8,$AH$8:$CC$8))-_xlfn.XMATCH($C223,$C$35:$C$82)+1&lt;=_xlpm.DepreciationMonths,$C223&lt;=BK$8),$E223/_xlpm.DepreciationMonths,0))</f>
        <v>0</v>
      </c>
      <c r="BL223" s="507" cm="1">
        <f t="array" ref="BL223">_xlfn.LET(_xlpm.DepreciationMonths,INDEX(FixedAssets[Depreciation
/ Amortization Months],_xlfn.XMATCH($E$186,FixedAssets[Asset ID])),IF(AND((_xlfn.XMATCH(BL$8,$AH$8:$CC$8))-_xlfn.XMATCH($C223,$C$35:$C$82)+1&lt;=_xlpm.DepreciationMonths,$C223&lt;=BL$8),$E223/_xlpm.DepreciationMonths,0))</f>
        <v>0</v>
      </c>
      <c r="BM223" s="507" cm="1">
        <f t="array" ref="BM223">_xlfn.LET(_xlpm.DepreciationMonths,INDEX(FixedAssets[Depreciation
/ Amortization Months],_xlfn.XMATCH($E$186,FixedAssets[Asset ID])),IF(AND((_xlfn.XMATCH(BM$8,$AH$8:$CC$8))-_xlfn.XMATCH($C223,$C$35:$C$82)+1&lt;=_xlpm.DepreciationMonths,$C223&lt;=BM$8),$E223/_xlpm.DepreciationMonths,0))</f>
        <v>0</v>
      </c>
      <c r="BN223" s="507" cm="1">
        <f t="array" ref="BN223">_xlfn.LET(_xlpm.DepreciationMonths,INDEX(FixedAssets[Depreciation
/ Amortization Months],_xlfn.XMATCH($E$186,FixedAssets[Asset ID])),IF(AND((_xlfn.XMATCH(BN$8,$AH$8:$CC$8))-_xlfn.XMATCH($C223,$C$35:$C$82)+1&lt;=_xlpm.DepreciationMonths,$C223&lt;=BN$8),$E223/_xlpm.DepreciationMonths,0))</f>
        <v>0</v>
      </c>
      <c r="BO223" s="507" cm="1">
        <f t="array" ref="BO223">_xlfn.LET(_xlpm.DepreciationMonths,INDEX(FixedAssets[Depreciation
/ Amortization Months],_xlfn.XMATCH($E$186,FixedAssets[Asset ID])),IF(AND((_xlfn.XMATCH(BO$8,$AH$8:$CC$8))-_xlfn.XMATCH($C223,$C$35:$C$82)+1&lt;=_xlpm.DepreciationMonths,$C223&lt;=BO$8),$E223/_xlpm.DepreciationMonths,0))</f>
        <v>0</v>
      </c>
      <c r="BP223" s="507" cm="1">
        <f t="array" ref="BP223">_xlfn.LET(_xlpm.DepreciationMonths,INDEX(FixedAssets[Depreciation
/ Amortization Months],_xlfn.XMATCH($E$186,FixedAssets[Asset ID])),IF(AND((_xlfn.XMATCH(BP$8,$AH$8:$CC$8))-_xlfn.XMATCH($C223,$C$35:$C$82)+1&lt;=_xlpm.DepreciationMonths,$C223&lt;=BP$8),$E223/_xlpm.DepreciationMonths,0))</f>
        <v>0</v>
      </c>
      <c r="BQ223" s="507" cm="1">
        <f t="array" ref="BQ223">_xlfn.LET(_xlpm.DepreciationMonths,INDEX(FixedAssets[Depreciation
/ Amortization Months],_xlfn.XMATCH($E$186,FixedAssets[Asset ID])),IF(AND((_xlfn.XMATCH(BQ$8,$AH$8:$CC$8))-_xlfn.XMATCH($C223,$C$35:$C$82)+1&lt;=_xlpm.DepreciationMonths,$C223&lt;=BQ$8),$E223/_xlpm.DepreciationMonths,0))</f>
        <v>0</v>
      </c>
      <c r="BR223" s="507" cm="1">
        <f t="array" ref="BR223">_xlfn.LET(_xlpm.DepreciationMonths,INDEX(FixedAssets[Depreciation
/ Amortization Months],_xlfn.XMATCH($E$186,FixedAssets[Asset ID])),IF(AND((_xlfn.XMATCH(BR$8,$AH$8:$CC$8))-_xlfn.XMATCH($C223,$C$35:$C$82)+1&lt;=_xlpm.DepreciationMonths,$C223&lt;=BR$8),$E223/_xlpm.DepreciationMonths,0))</f>
        <v>0</v>
      </c>
      <c r="BS223" s="507" cm="1">
        <f t="array" ref="BS223">_xlfn.LET(_xlpm.DepreciationMonths,INDEX(FixedAssets[Depreciation
/ Amortization Months],_xlfn.XMATCH($E$186,FixedAssets[Asset ID])),IF(AND((_xlfn.XMATCH(BS$8,$AH$8:$CC$8))-_xlfn.XMATCH($C223,$C$35:$C$82)+1&lt;=_xlpm.DepreciationMonths,$C223&lt;=BS$8),$E223/_xlpm.DepreciationMonths,0))</f>
        <v>0</v>
      </c>
      <c r="BT223" s="507" cm="1">
        <f t="array" ref="BT223">_xlfn.LET(_xlpm.DepreciationMonths,INDEX(FixedAssets[Depreciation
/ Amortization Months],_xlfn.XMATCH($E$186,FixedAssets[Asset ID])),IF(AND((_xlfn.XMATCH(BT$8,$AH$8:$CC$8))-_xlfn.XMATCH($C223,$C$35:$C$82)+1&lt;=_xlpm.DepreciationMonths,$C223&lt;=BT$8),$E223/_xlpm.DepreciationMonths,0))</f>
        <v>0</v>
      </c>
      <c r="BU223" s="507" cm="1">
        <f t="array" ref="BU223">_xlfn.LET(_xlpm.DepreciationMonths,INDEX(FixedAssets[Depreciation
/ Amortization Months],_xlfn.XMATCH($E$186,FixedAssets[Asset ID])),IF(AND((_xlfn.XMATCH(BU$8,$AH$8:$CC$8))-_xlfn.XMATCH($C223,$C$35:$C$82)+1&lt;=_xlpm.DepreciationMonths,$C223&lt;=BU$8),$E223/_xlpm.DepreciationMonths,0))</f>
        <v>0</v>
      </c>
      <c r="BV223" s="507" cm="1">
        <f t="array" ref="BV223">_xlfn.LET(_xlpm.DepreciationMonths,INDEX(FixedAssets[Depreciation
/ Amortization Months],_xlfn.XMATCH($E$186,FixedAssets[Asset ID])),IF(AND((_xlfn.XMATCH(BV$8,$AH$8:$CC$8))-_xlfn.XMATCH($C223,$C$35:$C$82)+1&lt;=_xlpm.DepreciationMonths,$C223&lt;=BV$8),$E223/_xlpm.DepreciationMonths,0))</f>
        <v>0</v>
      </c>
      <c r="BW223" s="507" cm="1">
        <f t="array" ref="BW223">_xlfn.LET(_xlpm.DepreciationMonths,INDEX(FixedAssets[Depreciation
/ Amortization Months],_xlfn.XMATCH($E$186,FixedAssets[Asset ID])),IF(AND((_xlfn.XMATCH(BW$8,$AH$8:$CC$8))-_xlfn.XMATCH($C223,$C$35:$C$82)+1&lt;=_xlpm.DepreciationMonths,$C223&lt;=BW$8),$E223/_xlpm.DepreciationMonths,0))</f>
        <v>0</v>
      </c>
      <c r="BX223" s="507" cm="1">
        <f t="array" ref="BX223">_xlfn.LET(_xlpm.DepreciationMonths,INDEX(FixedAssets[Depreciation
/ Amortization Months],_xlfn.XMATCH($E$186,FixedAssets[Asset ID])),IF(AND((_xlfn.XMATCH(BX$8,$AH$8:$CC$8))-_xlfn.XMATCH($C223,$C$35:$C$82)+1&lt;=_xlpm.DepreciationMonths,$C223&lt;=BX$8),$E223/_xlpm.DepreciationMonths,0))</f>
        <v>0</v>
      </c>
      <c r="BY223" s="507" cm="1">
        <f t="array" ref="BY223">_xlfn.LET(_xlpm.DepreciationMonths,INDEX(FixedAssets[Depreciation
/ Amortization Months],_xlfn.XMATCH($E$186,FixedAssets[Asset ID])),IF(AND((_xlfn.XMATCH(BY$8,$AH$8:$CC$8))-_xlfn.XMATCH($C223,$C$35:$C$82)+1&lt;=_xlpm.DepreciationMonths,$C223&lt;=BY$8),$E223/_xlpm.DepreciationMonths,0))</f>
        <v>0</v>
      </c>
      <c r="BZ223" s="507" cm="1">
        <f t="array" ref="BZ223">_xlfn.LET(_xlpm.DepreciationMonths,INDEX(FixedAssets[Depreciation
/ Amortization Months],_xlfn.XMATCH($E$186,FixedAssets[Asset ID])),IF(AND((_xlfn.XMATCH(BZ$8,$AH$8:$CC$8))-_xlfn.XMATCH($C223,$C$35:$C$82)+1&lt;=_xlpm.DepreciationMonths,$C223&lt;=BZ$8),$E223/_xlpm.DepreciationMonths,0))</f>
        <v>0</v>
      </c>
      <c r="CA223" s="507" cm="1">
        <f t="array" ref="CA223">_xlfn.LET(_xlpm.DepreciationMonths,INDEX(FixedAssets[Depreciation
/ Amortization Months],_xlfn.XMATCH($E$186,FixedAssets[Asset ID])),IF(AND((_xlfn.XMATCH(CA$8,$AH$8:$CC$8))-_xlfn.XMATCH($C223,$C$35:$C$82)+1&lt;=_xlpm.DepreciationMonths,$C223&lt;=CA$8),$E223/_xlpm.DepreciationMonths,0))</f>
        <v>0</v>
      </c>
      <c r="CB223" s="507" cm="1">
        <f t="array" ref="CB223">_xlfn.LET(_xlpm.DepreciationMonths,INDEX(FixedAssets[Depreciation
/ Amortization Months],_xlfn.XMATCH($E$186,FixedAssets[Asset ID])),IF(AND((_xlfn.XMATCH(CB$8,$AH$8:$CC$8))-_xlfn.XMATCH($C223,$C$35:$C$82)+1&lt;=_xlpm.DepreciationMonths,$C223&lt;=CB$8),$E223/_xlpm.DepreciationMonths,0))</f>
        <v>0</v>
      </c>
      <c r="CC223" s="507" cm="1">
        <f t="array" ref="CC223">_xlfn.LET(_xlpm.DepreciationMonths,INDEX(FixedAssets[Depreciation
/ Amortization Months],_xlfn.XMATCH($E$186,FixedAssets[Asset ID])),IF(AND((_xlfn.XMATCH(CC$8,$AH$8:$CC$8))-_xlfn.XMATCH($C223,$C$35:$C$82)+1&lt;=_xlpm.DepreciationMonths,$C223&lt;=CC$8),$E223/_xlpm.DepreciationMonths,0))</f>
        <v>0</v>
      </c>
    </row>
    <row r="224" spans="3:81" hidden="1" outlineLevel="2">
      <c r="C224" s="664">
        <f t="shared" si="256"/>
        <v>46053</v>
      </c>
      <c r="D224" s="508"/>
      <c r="E224" s="508" cm="1">
        <f t="array" ref="E224">SUMPRODUCT(($AH$26:$CC$31)*($AH$5:$CC$5=$C224)*($E$26:$E$31=E$186))-SUMPRODUCT(($AH$26:$CC$31)*($AH$5:$CC$5=EOMONTH($C224,-1))*($E$26:$E$31=E$186))</f>
        <v>0</v>
      </c>
      <c r="F224" s="508"/>
      <c r="G224" s="508"/>
      <c r="H224" s="508"/>
      <c r="I224" s="508"/>
      <c r="J224" s="504">
        <f t="shared" si="254"/>
        <v>0</v>
      </c>
      <c r="K224" s="504">
        <f t="shared" si="254"/>
        <v>0</v>
      </c>
      <c r="L224" s="504">
        <f t="shared" si="254"/>
        <v>0</v>
      </c>
      <c r="M224" s="504">
        <f t="shared" si="254"/>
        <v>0</v>
      </c>
      <c r="N224" s="504"/>
      <c r="O224" s="504"/>
      <c r="P224" s="504">
        <f t="shared" si="260"/>
        <v>0</v>
      </c>
      <c r="Q224" s="504">
        <f t="shared" si="260"/>
        <v>0</v>
      </c>
      <c r="R224" s="504">
        <f t="shared" si="260"/>
        <v>0</v>
      </c>
      <c r="S224" s="504">
        <f t="shared" si="260"/>
        <v>0</v>
      </c>
      <c r="T224" s="504">
        <f t="shared" si="260"/>
        <v>0</v>
      </c>
      <c r="U224" s="504">
        <f t="shared" si="260"/>
        <v>0</v>
      </c>
      <c r="V224" s="504">
        <f t="shared" si="260"/>
        <v>0</v>
      </c>
      <c r="W224" s="504">
        <f t="shared" si="260"/>
        <v>0</v>
      </c>
      <c r="X224" s="504">
        <f t="shared" si="260"/>
        <v>0</v>
      </c>
      <c r="Y224" s="504">
        <f t="shared" si="260"/>
        <v>0</v>
      </c>
      <c r="Z224" s="504">
        <f t="shared" si="260"/>
        <v>0</v>
      </c>
      <c r="AA224" s="504">
        <f t="shared" si="260"/>
        <v>0</v>
      </c>
      <c r="AB224" s="504">
        <f t="shared" si="260"/>
        <v>0</v>
      </c>
      <c r="AC224" s="504">
        <f t="shared" si="260"/>
        <v>0</v>
      </c>
      <c r="AD224" s="504">
        <f t="shared" si="260"/>
        <v>0</v>
      </c>
      <c r="AE224" s="504">
        <f t="shared" si="260"/>
        <v>0</v>
      </c>
      <c r="AF224" s="508"/>
      <c r="AG224" s="508"/>
      <c r="AH224" s="507" cm="1">
        <f t="array" ref="AH224">_xlfn.LET(_xlpm.DepreciationMonths,INDEX(FixedAssets[Depreciation
/ Amortization Months],_xlfn.XMATCH($E$186,FixedAssets[Asset ID])),IF(AND((_xlfn.XMATCH(AH$8,$AH$8:$CC$8))-_xlfn.XMATCH($C224,$C$35:$C$82)+1&lt;=_xlpm.DepreciationMonths,$C224&lt;=AH$8),$E224/_xlpm.DepreciationMonths,0))</f>
        <v>0</v>
      </c>
      <c r="AI224" s="507" cm="1">
        <f t="array" ref="AI224">_xlfn.LET(_xlpm.DepreciationMonths,INDEX(FixedAssets[Depreciation
/ Amortization Months],_xlfn.XMATCH($E$186,FixedAssets[Asset ID])),IF(AND((_xlfn.XMATCH(AI$8,$AH$8:$CC$8))-_xlfn.XMATCH($C224,$C$35:$C$82)+1&lt;=_xlpm.DepreciationMonths,$C224&lt;=AI$8),$E224/_xlpm.DepreciationMonths,0))</f>
        <v>0</v>
      </c>
      <c r="AJ224" s="507" cm="1">
        <f t="array" ref="AJ224">_xlfn.LET(_xlpm.DepreciationMonths,INDEX(FixedAssets[Depreciation
/ Amortization Months],_xlfn.XMATCH($E$186,FixedAssets[Asset ID])),IF(AND((_xlfn.XMATCH(AJ$8,$AH$8:$CC$8))-_xlfn.XMATCH($C224,$C$35:$C$82)+1&lt;=_xlpm.DepreciationMonths,$C224&lt;=AJ$8),$E224/_xlpm.DepreciationMonths,0))</f>
        <v>0</v>
      </c>
      <c r="AK224" s="507" cm="1">
        <f t="array" ref="AK224">_xlfn.LET(_xlpm.DepreciationMonths,INDEX(FixedAssets[Depreciation
/ Amortization Months],_xlfn.XMATCH($E$186,FixedAssets[Asset ID])),IF(AND((_xlfn.XMATCH(AK$8,$AH$8:$CC$8))-_xlfn.XMATCH($C224,$C$35:$C$82)+1&lt;=_xlpm.DepreciationMonths,$C224&lt;=AK$8),$E224/_xlpm.DepreciationMonths,0))</f>
        <v>0</v>
      </c>
      <c r="AL224" s="507" cm="1">
        <f t="array" ref="AL224">_xlfn.LET(_xlpm.DepreciationMonths,INDEX(FixedAssets[Depreciation
/ Amortization Months],_xlfn.XMATCH($E$186,FixedAssets[Asset ID])),IF(AND((_xlfn.XMATCH(AL$8,$AH$8:$CC$8))-_xlfn.XMATCH($C224,$C$35:$C$82)+1&lt;=_xlpm.DepreciationMonths,$C224&lt;=AL$8),$E224/_xlpm.DepreciationMonths,0))</f>
        <v>0</v>
      </c>
      <c r="AM224" s="507" cm="1">
        <f t="array" ref="AM224">_xlfn.LET(_xlpm.DepreciationMonths,INDEX(FixedAssets[Depreciation
/ Amortization Months],_xlfn.XMATCH($E$186,FixedAssets[Asset ID])),IF(AND((_xlfn.XMATCH(AM$8,$AH$8:$CC$8))-_xlfn.XMATCH($C224,$C$35:$C$82)+1&lt;=_xlpm.DepreciationMonths,$C224&lt;=AM$8),$E224/_xlpm.DepreciationMonths,0))</f>
        <v>0</v>
      </c>
      <c r="AN224" s="507" cm="1">
        <f t="array" ref="AN224">_xlfn.LET(_xlpm.DepreciationMonths,INDEX(FixedAssets[Depreciation
/ Amortization Months],_xlfn.XMATCH($E$186,FixedAssets[Asset ID])),IF(AND((_xlfn.XMATCH(AN$8,$AH$8:$CC$8))-_xlfn.XMATCH($C224,$C$35:$C$82)+1&lt;=_xlpm.DepreciationMonths,$C224&lt;=AN$8),$E224/_xlpm.DepreciationMonths,0))</f>
        <v>0</v>
      </c>
      <c r="AO224" s="507" cm="1">
        <f t="array" ref="AO224">_xlfn.LET(_xlpm.DepreciationMonths,INDEX(FixedAssets[Depreciation
/ Amortization Months],_xlfn.XMATCH($E$186,FixedAssets[Asset ID])),IF(AND((_xlfn.XMATCH(AO$8,$AH$8:$CC$8))-_xlfn.XMATCH($C224,$C$35:$C$82)+1&lt;=_xlpm.DepreciationMonths,$C224&lt;=AO$8),$E224/_xlpm.DepreciationMonths,0))</f>
        <v>0</v>
      </c>
      <c r="AP224" s="507" cm="1">
        <f t="array" ref="AP224">_xlfn.LET(_xlpm.DepreciationMonths,INDEX(FixedAssets[Depreciation
/ Amortization Months],_xlfn.XMATCH($E$186,FixedAssets[Asset ID])),IF(AND((_xlfn.XMATCH(AP$8,$AH$8:$CC$8))-_xlfn.XMATCH($C224,$C$35:$C$82)+1&lt;=_xlpm.DepreciationMonths,$C224&lt;=AP$8),$E224/_xlpm.DepreciationMonths,0))</f>
        <v>0</v>
      </c>
      <c r="AQ224" s="507" cm="1">
        <f t="array" ref="AQ224">_xlfn.LET(_xlpm.DepreciationMonths,INDEX(FixedAssets[Depreciation
/ Amortization Months],_xlfn.XMATCH($E$186,FixedAssets[Asset ID])),IF(AND((_xlfn.XMATCH(AQ$8,$AH$8:$CC$8))-_xlfn.XMATCH($C224,$C$35:$C$82)+1&lt;=_xlpm.DepreciationMonths,$C224&lt;=AQ$8),$E224/_xlpm.DepreciationMonths,0))</f>
        <v>0</v>
      </c>
      <c r="AR224" s="507" cm="1">
        <f t="array" ref="AR224">_xlfn.LET(_xlpm.DepreciationMonths,INDEX(FixedAssets[Depreciation
/ Amortization Months],_xlfn.XMATCH($E$186,FixedAssets[Asset ID])),IF(AND((_xlfn.XMATCH(AR$8,$AH$8:$CC$8))-_xlfn.XMATCH($C224,$C$35:$C$82)+1&lt;=_xlpm.DepreciationMonths,$C224&lt;=AR$8),$E224/_xlpm.DepreciationMonths,0))</f>
        <v>0</v>
      </c>
      <c r="AS224" s="507" cm="1">
        <f t="array" ref="AS224">_xlfn.LET(_xlpm.DepreciationMonths,INDEX(FixedAssets[Depreciation
/ Amortization Months],_xlfn.XMATCH($E$186,FixedAssets[Asset ID])),IF(AND((_xlfn.XMATCH(AS$8,$AH$8:$CC$8))-_xlfn.XMATCH($C224,$C$35:$C$82)+1&lt;=_xlpm.DepreciationMonths,$C224&lt;=AS$8),$E224/_xlpm.DepreciationMonths,0))</f>
        <v>0</v>
      </c>
      <c r="AT224" s="507" cm="1">
        <f t="array" ref="AT224">_xlfn.LET(_xlpm.DepreciationMonths,INDEX(FixedAssets[Depreciation
/ Amortization Months],_xlfn.XMATCH($E$186,FixedAssets[Asset ID])),IF(AND((_xlfn.XMATCH(AT$8,$AH$8:$CC$8))-_xlfn.XMATCH($C224,$C$35:$C$82)+1&lt;=_xlpm.DepreciationMonths,$C224&lt;=AT$8),$E224/_xlpm.DepreciationMonths,0))</f>
        <v>0</v>
      </c>
      <c r="AU224" s="507" cm="1">
        <f t="array" ref="AU224">_xlfn.LET(_xlpm.DepreciationMonths,INDEX(FixedAssets[Depreciation
/ Amortization Months],_xlfn.XMATCH($E$186,FixedAssets[Asset ID])),IF(AND((_xlfn.XMATCH(AU$8,$AH$8:$CC$8))-_xlfn.XMATCH($C224,$C$35:$C$82)+1&lt;=_xlpm.DepreciationMonths,$C224&lt;=AU$8),$E224/_xlpm.DepreciationMonths,0))</f>
        <v>0</v>
      </c>
      <c r="AV224" s="507" cm="1">
        <f t="array" ref="AV224">_xlfn.LET(_xlpm.DepreciationMonths,INDEX(FixedAssets[Depreciation
/ Amortization Months],_xlfn.XMATCH($E$186,FixedAssets[Asset ID])),IF(AND((_xlfn.XMATCH(AV$8,$AH$8:$CC$8))-_xlfn.XMATCH($C224,$C$35:$C$82)+1&lt;=_xlpm.DepreciationMonths,$C224&lt;=AV$8),$E224/_xlpm.DepreciationMonths,0))</f>
        <v>0</v>
      </c>
      <c r="AW224" s="507" cm="1">
        <f t="array" ref="AW224">_xlfn.LET(_xlpm.DepreciationMonths,INDEX(FixedAssets[Depreciation
/ Amortization Months],_xlfn.XMATCH($E$186,FixedAssets[Asset ID])),IF(AND((_xlfn.XMATCH(AW$8,$AH$8:$CC$8))-_xlfn.XMATCH($C224,$C$35:$C$82)+1&lt;=_xlpm.DepreciationMonths,$C224&lt;=AW$8),$E224/_xlpm.DepreciationMonths,0))</f>
        <v>0</v>
      </c>
      <c r="AX224" s="507" cm="1">
        <f t="array" ref="AX224">_xlfn.LET(_xlpm.DepreciationMonths,INDEX(FixedAssets[Depreciation
/ Amortization Months],_xlfn.XMATCH($E$186,FixedAssets[Asset ID])),IF(AND((_xlfn.XMATCH(AX$8,$AH$8:$CC$8))-_xlfn.XMATCH($C224,$C$35:$C$82)+1&lt;=_xlpm.DepreciationMonths,$C224&lt;=AX$8),$E224/_xlpm.DepreciationMonths,0))</f>
        <v>0</v>
      </c>
      <c r="AY224" s="507" cm="1">
        <f t="array" ref="AY224">_xlfn.LET(_xlpm.DepreciationMonths,INDEX(FixedAssets[Depreciation
/ Amortization Months],_xlfn.XMATCH($E$186,FixedAssets[Asset ID])),IF(AND((_xlfn.XMATCH(AY$8,$AH$8:$CC$8))-_xlfn.XMATCH($C224,$C$35:$C$82)+1&lt;=_xlpm.DepreciationMonths,$C224&lt;=AY$8),$E224/_xlpm.DepreciationMonths,0))</f>
        <v>0</v>
      </c>
      <c r="AZ224" s="507" cm="1">
        <f t="array" ref="AZ224">_xlfn.LET(_xlpm.DepreciationMonths,INDEX(FixedAssets[Depreciation
/ Amortization Months],_xlfn.XMATCH($E$186,FixedAssets[Asset ID])),IF(AND((_xlfn.XMATCH(AZ$8,$AH$8:$CC$8))-_xlfn.XMATCH($C224,$C$35:$C$82)+1&lt;=_xlpm.DepreciationMonths,$C224&lt;=AZ$8),$E224/_xlpm.DepreciationMonths,0))</f>
        <v>0</v>
      </c>
      <c r="BA224" s="507" cm="1">
        <f t="array" ref="BA224">_xlfn.LET(_xlpm.DepreciationMonths,INDEX(FixedAssets[Depreciation
/ Amortization Months],_xlfn.XMATCH($E$186,FixedAssets[Asset ID])),IF(AND((_xlfn.XMATCH(BA$8,$AH$8:$CC$8))-_xlfn.XMATCH($C224,$C$35:$C$82)+1&lt;=_xlpm.DepreciationMonths,$C224&lt;=BA$8),$E224/_xlpm.DepreciationMonths,0))</f>
        <v>0</v>
      </c>
      <c r="BB224" s="507" cm="1">
        <f t="array" ref="BB224">_xlfn.LET(_xlpm.DepreciationMonths,INDEX(FixedAssets[Depreciation
/ Amortization Months],_xlfn.XMATCH($E$186,FixedAssets[Asset ID])),IF(AND((_xlfn.XMATCH(BB$8,$AH$8:$CC$8))-_xlfn.XMATCH($C224,$C$35:$C$82)+1&lt;=_xlpm.DepreciationMonths,$C224&lt;=BB$8),$E224/_xlpm.DepreciationMonths,0))</f>
        <v>0</v>
      </c>
      <c r="BC224" s="507" cm="1">
        <f t="array" ref="BC224">_xlfn.LET(_xlpm.DepreciationMonths,INDEX(FixedAssets[Depreciation
/ Amortization Months],_xlfn.XMATCH($E$186,FixedAssets[Asset ID])),IF(AND((_xlfn.XMATCH(BC$8,$AH$8:$CC$8))-_xlfn.XMATCH($C224,$C$35:$C$82)+1&lt;=_xlpm.DepreciationMonths,$C224&lt;=BC$8),$E224/_xlpm.DepreciationMonths,0))</f>
        <v>0</v>
      </c>
      <c r="BD224" s="507" cm="1">
        <f t="array" ref="BD224">_xlfn.LET(_xlpm.DepreciationMonths,INDEX(FixedAssets[Depreciation
/ Amortization Months],_xlfn.XMATCH($E$186,FixedAssets[Asset ID])),IF(AND((_xlfn.XMATCH(BD$8,$AH$8:$CC$8))-_xlfn.XMATCH($C224,$C$35:$C$82)+1&lt;=_xlpm.DepreciationMonths,$C224&lt;=BD$8),$E224/_xlpm.DepreciationMonths,0))</f>
        <v>0</v>
      </c>
      <c r="BE224" s="507" cm="1">
        <f t="array" ref="BE224">_xlfn.LET(_xlpm.DepreciationMonths,INDEX(FixedAssets[Depreciation
/ Amortization Months],_xlfn.XMATCH($E$186,FixedAssets[Asset ID])),IF(AND((_xlfn.XMATCH(BE$8,$AH$8:$CC$8))-_xlfn.XMATCH($C224,$C$35:$C$82)+1&lt;=_xlpm.DepreciationMonths,$C224&lt;=BE$8),$E224/_xlpm.DepreciationMonths,0))</f>
        <v>0</v>
      </c>
      <c r="BF224" s="507" cm="1">
        <f t="array" ref="BF224">_xlfn.LET(_xlpm.DepreciationMonths,INDEX(FixedAssets[Depreciation
/ Amortization Months],_xlfn.XMATCH($E$186,FixedAssets[Asset ID])),IF(AND((_xlfn.XMATCH(BF$8,$AH$8:$CC$8))-_xlfn.XMATCH($C224,$C$35:$C$82)+1&lt;=_xlpm.DepreciationMonths,$C224&lt;=BF$8),$E224/_xlpm.DepreciationMonths,0))</f>
        <v>0</v>
      </c>
      <c r="BG224" s="507" cm="1">
        <f t="array" ref="BG224">_xlfn.LET(_xlpm.DepreciationMonths,INDEX(FixedAssets[Depreciation
/ Amortization Months],_xlfn.XMATCH($E$186,FixedAssets[Asset ID])),IF(AND((_xlfn.XMATCH(BG$8,$AH$8:$CC$8))-_xlfn.XMATCH($C224,$C$35:$C$82)+1&lt;=_xlpm.DepreciationMonths,$C224&lt;=BG$8),$E224/_xlpm.DepreciationMonths,0))</f>
        <v>0</v>
      </c>
      <c r="BH224" s="507" cm="1">
        <f t="array" ref="BH224">_xlfn.LET(_xlpm.DepreciationMonths,INDEX(FixedAssets[Depreciation
/ Amortization Months],_xlfn.XMATCH($E$186,FixedAssets[Asset ID])),IF(AND((_xlfn.XMATCH(BH$8,$AH$8:$CC$8))-_xlfn.XMATCH($C224,$C$35:$C$82)+1&lt;=_xlpm.DepreciationMonths,$C224&lt;=BH$8),$E224/_xlpm.DepreciationMonths,0))</f>
        <v>0</v>
      </c>
      <c r="BI224" s="507" cm="1">
        <f t="array" ref="BI224">_xlfn.LET(_xlpm.DepreciationMonths,INDEX(FixedAssets[Depreciation
/ Amortization Months],_xlfn.XMATCH($E$186,FixedAssets[Asset ID])),IF(AND((_xlfn.XMATCH(BI$8,$AH$8:$CC$8))-_xlfn.XMATCH($C224,$C$35:$C$82)+1&lt;=_xlpm.DepreciationMonths,$C224&lt;=BI$8),$E224/_xlpm.DepreciationMonths,0))</f>
        <v>0</v>
      </c>
      <c r="BJ224" s="507" cm="1">
        <f t="array" ref="BJ224">_xlfn.LET(_xlpm.DepreciationMonths,INDEX(FixedAssets[Depreciation
/ Amortization Months],_xlfn.XMATCH($E$186,FixedAssets[Asset ID])),IF(AND((_xlfn.XMATCH(BJ$8,$AH$8:$CC$8))-_xlfn.XMATCH($C224,$C$35:$C$82)+1&lt;=_xlpm.DepreciationMonths,$C224&lt;=BJ$8),$E224/_xlpm.DepreciationMonths,0))</f>
        <v>0</v>
      </c>
      <c r="BK224" s="507" cm="1">
        <f t="array" ref="BK224">_xlfn.LET(_xlpm.DepreciationMonths,INDEX(FixedAssets[Depreciation
/ Amortization Months],_xlfn.XMATCH($E$186,FixedAssets[Asset ID])),IF(AND((_xlfn.XMATCH(BK$8,$AH$8:$CC$8))-_xlfn.XMATCH($C224,$C$35:$C$82)+1&lt;=_xlpm.DepreciationMonths,$C224&lt;=BK$8),$E224/_xlpm.DepreciationMonths,0))</f>
        <v>0</v>
      </c>
      <c r="BL224" s="507" cm="1">
        <f t="array" ref="BL224">_xlfn.LET(_xlpm.DepreciationMonths,INDEX(FixedAssets[Depreciation
/ Amortization Months],_xlfn.XMATCH($E$186,FixedAssets[Asset ID])),IF(AND((_xlfn.XMATCH(BL$8,$AH$8:$CC$8))-_xlfn.XMATCH($C224,$C$35:$C$82)+1&lt;=_xlpm.DepreciationMonths,$C224&lt;=BL$8),$E224/_xlpm.DepreciationMonths,0))</f>
        <v>0</v>
      </c>
      <c r="BM224" s="507" cm="1">
        <f t="array" ref="BM224">_xlfn.LET(_xlpm.DepreciationMonths,INDEX(FixedAssets[Depreciation
/ Amortization Months],_xlfn.XMATCH($E$186,FixedAssets[Asset ID])),IF(AND((_xlfn.XMATCH(BM$8,$AH$8:$CC$8))-_xlfn.XMATCH($C224,$C$35:$C$82)+1&lt;=_xlpm.DepreciationMonths,$C224&lt;=BM$8),$E224/_xlpm.DepreciationMonths,0))</f>
        <v>0</v>
      </c>
      <c r="BN224" s="507" cm="1">
        <f t="array" ref="BN224">_xlfn.LET(_xlpm.DepreciationMonths,INDEX(FixedAssets[Depreciation
/ Amortization Months],_xlfn.XMATCH($E$186,FixedAssets[Asset ID])),IF(AND((_xlfn.XMATCH(BN$8,$AH$8:$CC$8))-_xlfn.XMATCH($C224,$C$35:$C$82)+1&lt;=_xlpm.DepreciationMonths,$C224&lt;=BN$8),$E224/_xlpm.DepreciationMonths,0))</f>
        <v>0</v>
      </c>
      <c r="BO224" s="507" cm="1">
        <f t="array" ref="BO224">_xlfn.LET(_xlpm.DepreciationMonths,INDEX(FixedAssets[Depreciation
/ Amortization Months],_xlfn.XMATCH($E$186,FixedAssets[Asset ID])),IF(AND((_xlfn.XMATCH(BO$8,$AH$8:$CC$8))-_xlfn.XMATCH($C224,$C$35:$C$82)+1&lt;=_xlpm.DepreciationMonths,$C224&lt;=BO$8),$E224/_xlpm.DepreciationMonths,0))</f>
        <v>0</v>
      </c>
      <c r="BP224" s="507" cm="1">
        <f t="array" ref="BP224">_xlfn.LET(_xlpm.DepreciationMonths,INDEX(FixedAssets[Depreciation
/ Amortization Months],_xlfn.XMATCH($E$186,FixedAssets[Asset ID])),IF(AND((_xlfn.XMATCH(BP$8,$AH$8:$CC$8))-_xlfn.XMATCH($C224,$C$35:$C$82)+1&lt;=_xlpm.DepreciationMonths,$C224&lt;=BP$8),$E224/_xlpm.DepreciationMonths,0))</f>
        <v>0</v>
      </c>
      <c r="BQ224" s="507" cm="1">
        <f t="array" ref="BQ224">_xlfn.LET(_xlpm.DepreciationMonths,INDEX(FixedAssets[Depreciation
/ Amortization Months],_xlfn.XMATCH($E$186,FixedAssets[Asset ID])),IF(AND((_xlfn.XMATCH(BQ$8,$AH$8:$CC$8))-_xlfn.XMATCH($C224,$C$35:$C$82)+1&lt;=_xlpm.DepreciationMonths,$C224&lt;=BQ$8),$E224/_xlpm.DepreciationMonths,0))</f>
        <v>0</v>
      </c>
      <c r="BR224" s="507" cm="1">
        <f t="array" ref="BR224">_xlfn.LET(_xlpm.DepreciationMonths,INDEX(FixedAssets[Depreciation
/ Amortization Months],_xlfn.XMATCH($E$186,FixedAssets[Asset ID])),IF(AND((_xlfn.XMATCH(BR$8,$AH$8:$CC$8))-_xlfn.XMATCH($C224,$C$35:$C$82)+1&lt;=_xlpm.DepreciationMonths,$C224&lt;=BR$8),$E224/_xlpm.DepreciationMonths,0))</f>
        <v>0</v>
      </c>
      <c r="BS224" s="507" cm="1">
        <f t="array" ref="BS224">_xlfn.LET(_xlpm.DepreciationMonths,INDEX(FixedAssets[Depreciation
/ Amortization Months],_xlfn.XMATCH($E$186,FixedAssets[Asset ID])),IF(AND((_xlfn.XMATCH(BS$8,$AH$8:$CC$8))-_xlfn.XMATCH($C224,$C$35:$C$82)+1&lt;=_xlpm.DepreciationMonths,$C224&lt;=BS$8),$E224/_xlpm.DepreciationMonths,0))</f>
        <v>0</v>
      </c>
      <c r="BT224" s="507" cm="1">
        <f t="array" ref="BT224">_xlfn.LET(_xlpm.DepreciationMonths,INDEX(FixedAssets[Depreciation
/ Amortization Months],_xlfn.XMATCH($E$186,FixedAssets[Asset ID])),IF(AND((_xlfn.XMATCH(BT$8,$AH$8:$CC$8))-_xlfn.XMATCH($C224,$C$35:$C$82)+1&lt;=_xlpm.DepreciationMonths,$C224&lt;=BT$8),$E224/_xlpm.DepreciationMonths,0))</f>
        <v>0</v>
      </c>
      <c r="BU224" s="507" cm="1">
        <f t="array" ref="BU224">_xlfn.LET(_xlpm.DepreciationMonths,INDEX(FixedAssets[Depreciation
/ Amortization Months],_xlfn.XMATCH($E$186,FixedAssets[Asset ID])),IF(AND((_xlfn.XMATCH(BU$8,$AH$8:$CC$8))-_xlfn.XMATCH($C224,$C$35:$C$82)+1&lt;=_xlpm.DepreciationMonths,$C224&lt;=BU$8),$E224/_xlpm.DepreciationMonths,0))</f>
        <v>0</v>
      </c>
      <c r="BV224" s="507" cm="1">
        <f t="array" ref="BV224">_xlfn.LET(_xlpm.DepreciationMonths,INDEX(FixedAssets[Depreciation
/ Amortization Months],_xlfn.XMATCH($E$186,FixedAssets[Asset ID])),IF(AND((_xlfn.XMATCH(BV$8,$AH$8:$CC$8))-_xlfn.XMATCH($C224,$C$35:$C$82)+1&lt;=_xlpm.DepreciationMonths,$C224&lt;=BV$8),$E224/_xlpm.DepreciationMonths,0))</f>
        <v>0</v>
      </c>
      <c r="BW224" s="507" cm="1">
        <f t="array" ref="BW224">_xlfn.LET(_xlpm.DepreciationMonths,INDEX(FixedAssets[Depreciation
/ Amortization Months],_xlfn.XMATCH($E$186,FixedAssets[Asset ID])),IF(AND((_xlfn.XMATCH(BW$8,$AH$8:$CC$8))-_xlfn.XMATCH($C224,$C$35:$C$82)+1&lt;=_xlpm.DepreciationMonths,$C224&lt;=BW$8),$E224/_xlpm.DepreciationMonths,0))</f>
        <v>0</v>
      </c>
      <c r="BX224" s="507" cm="1">
        <f t="array" ref="BX224">_xlfn.LET(_xlpm.DepreciationMonths,INDEX(FixedAssets[Depreciation
/ Amortization Months],_xlfn.XMATCH($E$186,FixedAssets[Asset ID])),IF(AND((_xlfn.XMATCH(BX$8,$AH$8:$CC$8))-_xlfn.XMATCH($C224,$C$35:$C$82)+1&lt;=_xlpm.DepreciationMonths,$C224&lt;=BX$8),$E224/_xlpm.DepreciationMonths,0))</f>
        <v>0</v>
      </c>
      <c r="BY224" s="507" cm="1">
        <f t="array" ref="BY224">_xlfn.LET(_xlpm.DepreciationMonths,INDEX(FixedAssets[Depreciation
/ Amortization Months],_xlfn.XMATCH($E$186,FixedAssets[Asset ID])),IF(AND((_xlfn.XMATCH(BY$8,$AH$8:$CC$8))-_xlfn.XMATCH($C224,$C$35:$C$82)+1&lt;=_xlpm.DepreciationMonths,$C224&lt;=BY$8),$E224/_xlpm.DepreciationMonths,0))</f>
        <v>0</v>
      </c>
      <c r="BZ224" s="507" cm="1">
        <f t="array" ref="BZ224">_xlfn.LET(_xlpm.DepreciationMonths,INDEX(FixedAssets[Depreciation
/ Amortization Months],_xlfn.XMATCH($E$186,FixedAssets[Asset ID])),IF(AND((_xlfn.XMATCH(BZ$8,$AH$8:$CC$8))-_xlfn.XMATCH($C224,$C$35:$C$82)+1&lt;=_xlpm.DepreciationMonths,$C224&lt;=BZ$8),$E224/_xlpm.DepreciationMonths,0))</f>
        <v>0</v>
      </c>
      <c r="CA224" s="507" cm="1">
        <f t="array" ref="CA224">_xlfn.LET(_xlpm.DepreciationMonths,INDEX(FixedAssets[Depreciation
/ Amortization Months],_xlfn.XMATCH($E$186,FixedAssets[Asset ID])),IF(AND((_xlfn.XMATCH(CA$8,$AH$8:$CC$8))-_xlfn.XMATCH($C224,$C$35:$C$82)+1&lt;=_xlpm.DepreciationMonths,$C224&lt;=CA$8),$E224/_xlpm.DepreciationMonths,0))</f>
        <v>0</v>
      </c>
      <c r="CB224" s="507" cm="1">
        <f t="array" ref="CB224">_xlfn.LET(_xlpm.DepreciationMonths,INDEX(FixedAssets[Depreciation
/ Amortization Months],_xlfn.XMATCH($E$186,FixedAssets[Asset ID])),IF(AND((_xlfn.XMATCH(CB$8,$AH$8:$CC$8))-_xlfn.XMATCH($C224,$C$35:$C$82)+1&lt;=_xlpm.DepreciationMonths,$C224&lt;=CB$8),$E224/_xlpm.DepreciationMonths,0))</f>
        <v>0</v>
      </c>
      <c r="CC224" s="507" cm="1">
        <f t="array" ref="CC224">_xlfn.LET(_xlpm.DepreciationMonths,INDEX(FixedAssets[Depreciation
/ Amortization Months],_xlfn.XMATCH($E$186,FixedAssets[Asset ID])),IF(AND((_xlfn.XMATCH(CC$8,$AH$8:$CC$8))-_xlfn.XMATCH($C224,$C$35:$C$82)+1&lt;=_xlpm.DepreciationMonths,$C224&lt;=CC$8),$E224/_xlpm.DepreciationMonths,0))</f>
        <v>0</v>
      </c>
    </row>
    <row r="225" spans="3:81" hidden="1" outlineLevel="2">
      <c r="C225" s="664">
        <f t="shared" si="256"/>
        <v>46081</v>
      </c>
      <c r="D225" s="508"/>
      <c r="E225" s="508" cm="1">
        <f t="array" ref="E225">SUMPRODUCT(($AH$26:$CC$31)*($AH$5:$CC$5=$C225)*($E$26:$E$31=E$186))-SUMPRODUCT(($AH$26:$CC$31)*($AH$5:$CC$5=EOMONTH($C225,-1))*($E$26:$E$31=E$186))</f>
        <v>0</v>
      </c>
      <c r="F225" s="508"/>
      <c r="G225" s="508"/>
      <c r="H225" s="508"/>
      <c r="I225" s="508"/>
      <c r="J225" s="504">
        <f t="shared" si="254"/>
        <v>0</v>
      </c>
      <c r="K225" s="504">
        <f t="shared" si="254"/>
        <v>0</v>
      </c>
      <c r="L225" s="504">
        <f t="shared" si="254"/>
        <v>0</v>
      </c>
      <c r="M225" s="504">
        <f t="shared" si="254"/>
        <v>0</v>
      </c>
      <c r="N225" s="504"/>
      <c r="O225" s="504"/>
      <c r="P225" s="504">
        <f t="shared" si="260"/>
        <v>0</v>
      </c>
      <c r="Q225" s="504">
        <f t="shared" si="260"/>
        <v>0</v>
      </c>
      <c r="R225" s="504">
        <f t="shared" si="260"/>
        <v>0</v>
      </c>
      <c r="S225" s="504">
        <f t="shared" si="260"/>
        <v>0</v>
      </c>
      <c r="T225" s="504">
        <f t="shared" si="260"/>
        <v>0</v>
      </c>
      <c r="U225" s="504">
        <f t="shared" si="260"/>
        <v>0</v>
      </c>
      <c r="V225" s="504">
        <f t="shared" si="260"/>
        <v>0</v>
      </c>
      <c r="W225" s="504">
        <f t="shared" si="260"/>
        <v>0</v>
      </c>
      <c r="X225" s="504">
        <f t="shared" si="260"/>
        <v>0</v>
      </c>
      <c r="Y225" s="504">
        <f t="shared" si="260"/>
        <v>0</v>
      </c>
      <c r="Z225" s="504">
        <f t="shared" si="260"/>
        <v>0</v>
      </c>
      <c r="AA225" s="504">
        <f t="shared" si="260"/>
        <v>0</v>
      </c>
      <c r="AB225" s="504">
        <f t="shared" si="260"/>
        <v>0</v>
      </c>
      <c r="AC225" s="504">
        <f t="shared" si="260"/>
        <v>0</v>
      </c>
      <c r="AD225" s="504">
        <f t="shared" si="260"/>
        <v>0</v>
      </c>
      <c r="AE225" s="504">
        <f t="shared" si="260"/>
        <v>0</v>
      </c>
      <c r="AF225" s="508"/>
      <c r="AG225" s="508"/>
      <c r="AH225" s="507" cm="1">
        <f t="array" ref="AH225">_xlfn.LET(_xlpm.DepreciationMonths,INDEX(FixedAssets[Depreciation
/ Amortization Months],_xlfn.XMATCH($E$186,FixedAssets[Asset ID])),IF(AND((_xlfn.XMATCH(AH$8,$AH$8:$CC$8))-_xlfn.XMATCH($C225,$C$35:$C$82)+1&lt;=_xlpm.DepreciationMonths,$C225&lt;=AH$8),$E225/_xlpm.DepreciationMonths,0))</f>
        <v>0</v>
      </c>
      <c r="AI225" s="507" cm="1">
        <f t="array" ref="AI225">_xlfn.LET(_xlpm.DepreciationMonths,INDEX(FixedAssets[Depreciation
/ Amortization Months],_xlfn.XMATCH($E$186,FixedAssets[Asset ID])),IF(AND((_xlfn.XMATCH(AI$8,$AH$8:$CC$8))-_xlfn.XMATCH($C225,$C$35:$C$82)+1&lt;=_xlpm.DepreciationMonths,$C225&lt;=AI$8),$E225/_xlpm.DepreciationMonths,0))</f>
        <v>0</v>
      </c>
      <c r="AJ225" s="507" cm="1">
        <f t="array" ref="AJ225">_xlfn.LET(_xlpm.DepreciationMonths,INDEX(FixedAssets[Depreciation
/ Amortization Months],_xlfn.XMATCH($E$186,FixedAssets[Asset ID])),IF(AND((_xlfn.XMATCH(AJ$8,$AH$8:$CC$8))-_xlfn.XMATCH($C225,$C$35:$C$82)+1&lt;=_xlpm.DepreciationMonths,$C225&lt;=AJ$8),$E225/_xlpm.DepreciationMonths,0))</f>
        <v>0</v>
      </c>
      <c r="AK225" s="507" cm="1">
        <f t="array" ref="AK225">_xlfn.LET(_xlpm.DepreciationMonths,INDEX(FixedAssets[Depreciation
/ Amortization Months],_xlfn.XMATCH($E$186,FixedAssets[Asset ID])),IF(AND((_xlfn.XMATCH(AK$8,$AH$8:$CC$8))-_xlfn.XMATCH($C225,$C$35:$C$82)+1&lt;=_xlpm.DepreciationMonths,$C225&lt;=AK$8),$E225/_xlpm.DepreciationMonths,0))</f>
        <v>0</v>
      </c>
      <c r="AL225" s="507" cm="1">
        <f t="array" ref="AL225">_xlfn.LET(_xlpm.DepreciationMonths,INDEX(FixedAssets[Depreciation
/ Amortization Months],_xlfn.XMATCH($E$186,FixedAssets[Asset ID])),IF(AND((_xlfn.XMATCH(AL$8,$AH$8:$CC$8))-_xlfn.XMATCH($C225,$C$35:$C$82)+1&lt;=_xlpm.DepreciationMonths,$C225&lt;=AL$8),$E225/_xlpm.DepreciationMonths,0))</f>
        <v>0</v>
      </c>
      <c r="AM225" s="507" cm="1">
        <f t="array" ref="AM225">_xlfn.LET(_xlpm.DepreciationMonths,INDEX(FixedAssets[Depreciation
/ Amortization Months],_xlfn.XMATCH($E$186,FixedAssets[Asset ID])),IF(AND((_xlfn.XMATCH(AM$8,$AH$8:$CC$8))-_xlfn.XMATCH($C225,$C$35:$C$82)+1&lt;=_xlpm.DepreciationMonths,$C225&lt;=AM$8),$E225/_xlpm.DepreciationMonths,0))</f>
        <v>0</v>
      </c>
      <c r="AN225" s="507" cm="1">
        <f t="array" ref="AN225">_xlfn.LET(_xlpm.DepreciationMonths,INDEX(FixedAssets[Depreciation
/ Amortization Months],_xlfn.XMATCH($E$186,FixedAssets[Asset ID])),IF(AND((_xlfn.XMATCH(AN$8,$AH$8:$CC$8))-_xlfn.XMATCH($C225,$C$35:$C$82)+1&lt;=_xlpm.DepreciationMonths,$C225&lt;=AN$8),$E225/_xlpm.DepreciationMonths,0))</f>
        <v>0</v>
      </c>
      <c r="AO225" s="507" cm="1">
        <f t="array" ref="AO225">_xlfn.LET(_xlpm.DepreciationMonths,INDEX(FixedAssets[Depreciation
/ Amortization Months],_xlfn.XMATCH($E$186,FixedAssets[Asset ID])),IF(AND((_xlfn.XMATCH(AO$8,$AH$8:$CC$8))-_xlfn.XMATCH($C225,$C$35:$C$82)+1&lt;=_xlpm.DepreciationMonths,$C225&lt;=AO$8),$E225/_xlpm.DepreciationMonths,0))</f>
        <v>0</v>
      </c>
      <c r="AP225" s="507" cm="1">
        <f t="array" ref="AP225">_xlfn.LET(_xlpm.DepreciationMonths,INDEX(FixedAssets[Depreciation
/ Amortization Months],_xlfn.XMATCH($E$186,FixedAssets[Asset ID])),IF(AND((_xlfn.XMATCH(AP$8,$AH$8:$CC$8))-_xlfn.XMATCH($C225,$C$35:$C$82)+1&lt;=_xlpm.DepreciationMonths,$C225&lt;=AP$8),$E225/_xlpm.DepreciationMonths,0))</f>
        <v>0</v>
      </c>
      <c r="AQ225" s="507" cm="1">
        <f t="array" ref="AQ225">_xlfn.LET(_xlpm.DepreciationMonths,INDEX(FixedAssets[Depreciation
/ Amortization Months],_xlfn.XMATCH($E$186,FixedAssets[Asset ID])),IF(AND((_xlfn.XMATCH(AQ$8,$AH$8:$CC$8))-_xlfn.XMATCH($C225,$C$35:$C$82)+1&lt;=_xlpm.DepreciationMonths,$C225&lt;=AQ$8),$E225/_xlpm.DepreciationMonths,0))</f>
        <v>0</v>
      </c>
      <c r="AR225" s="507" cm="1">
        <f t="array" ref="AR225">_xlfn.LET(_xlpm.DepreciationMonths,INDEX(FixedAssets[Depreciation
/ Amortization Months],_xlfn.XMATCH($E$186,FixedAssets[Asset ID])),IF(AND((_xlfn.XMATCH(AR$8,$AH$8:$CC$8))-_xlfn.XMATCH($C225,$C$35:$C$82)+1&lt;=_xlpm.DepreciationMonths,$C225&lt;=AR$8),$E225/_xlpm.DepreciationMonths,0))</f>
        <v>0</v>
      </c>
      <c r="AS225" s="507" cm="1">
        <f t="array" ref="AS225">_xlfn.LET(_xlpm.DepreciationMonths,INDEX(FixedAssets[Depreciation
/ Amortization Months],_xlfn.XMATCH($E$186,FixedAssets[Asset ID])),IF(AND((_xlfn.XMATCH(AS$8,$AH$8:$CC$8))-_xlfn.XMATCH($C225,$C$35:$C$82)+1&lt;=_xlpm.DepreciationMonths,$C225&lt;=AS$8),$E225/_xlpm.DepreciationMonths,0))</f>
        <v>0</v>
      </c>
      <c r="AT225" s="507" cm="1">
        <f t="array" ref="AT225">_xlfn.LET(_xlpm.DepreciationMonths,INDEX(FixedAssets[Depreciation
/ Amortization Months],_xlfn.XMATCH($E$186,FixedAssets[Asset ID])),IF(AND((_xlfn.XMATCH(AT$8,$AH$8:$CC$8))-_xlfn.XMATCH($C225,$C$35:$C$82)+1&lt;=_xlpm.DepreciationMonths,$C225&lt;=AT$8),$E225/_xlpm.DepreciationMonths,0))</f>
        <v>0</v>
      </c>
      <c r="AU225" s="507" cm="1">
        <f t="array" ref="AU225">_xlfn.LET(_xlpm.DepreciationMonths,INDEX(FixedAssets[Depreciation
/ Amortization Months],_xlfn.XMATCH($E$186,FixedAssets[Asset ID])),IF(AND((_xlfn.XMATCH(AU$8,$AH$8:$CC$8))-_xlfn.XMATCH($C225,$C$35:$C$82)+1&lt;=_xlpm.DepreciationMonths,$C225&lt;=AU$8),$E225/_xlpm.DepreciationMonths,0))</f>
        <v>0</v>
      </c>
      <c r="AV225" s="507" cm="1">
        <f t="array" ref="AV225">_xlfn.LET(_xlpm.DepreciationMonths,INDEX(FixedAssets[Depreciation
/ Amortization Months],_xlfn.XMATCH($E$186,FixedAssets[Asset ID])),IF(AND((_xlfn.XMATCH(AV$8,$AH$8:$CC$8))-_xlfn.XMATCH($C225,$C$35:$C$82)+1&lt;=_xlpm.DepreciationMonths,$C225&lt;=AV$8),$E225/_xlpm.DepreciationMonths,0))</f>
        <v>0</v>
      </c>
      <c r="AW225" s="507" cm="1">
        <f t="array" ref="AW225">_xlfn.LET(_xlpm.DepreciationMonths,INDEX(FixedAssets[Depreciation
/ Amortization Months],_xlfn.XMATCH($E$186,FixedAssets[Asset ID])),IF(AND((_xlfn.XMATCH(AW$8,$AH$8:$CC$8))-_xlfn.XMATCH($C225,$C$35:$C$82)+1&lt;=_xlpm.DepreciationMonths,$C225&lt;=AW$8),$E225/_xlpm.DepreciationMonths,0))</f>
        <v>0</v>
      </c>
      <c r="AX225" s="507" cm="1">
        <f t="array" ref="AX225">_xlfn.LET(_xlpm.DepreciationMonths,INDEX(FixedAssets[Depreciation
/ Amortization Months],_xlfn.XMATCH($E$186,FixedAssets[Asset ID])),IF(AND((_xlfn.XMATCH(AX$8,$AH$8:$CC$8))-_xlfn.XMATCH($C225,$C$35:$C$82)+1&lt;=_xlpm.DepreciationMonths,$C225&lt;=AX$8),$E225/_xlpm.DepreciationMonths,0))</f>
        <v>0</v>
      </c>
      <c r="AY225" s="507" cm="1">
        <f t="array" ref="AY225">_xlfn.LET(_xlpm.DepreciationMonths,INDEX(FixedAssets[Depreciation
/ Amortization Months],_xlfn.XMATCH($E$186,FixedAssets[Asset ID])),IF(AND((_xlfn.XMATCH(AY$8,$AH$8:$CC$8))-_xlfn.XMATCH($C225,$C$35:$C$82)+1&lt;=_xlpm.DepreciationMonths,$C225&lt;=AY$8),$E225/_xlpm.DepreciationMonths,0))</f>
        <v>0</v>
      </c>
      <c r="AZ225" s="507" cm="1">
        <f t="array" ref="AZ225">_xlfn.LET(_xlpm.DepreciationMonths,INDEX(FixedAssets[Depreciation
/ Amortization Months],_xlfn.XMATCH($E$186,FixedAssets[Asset ID])),IF(AND((_xlfn.XMATCH(AZ$8,$AH$8:$CC$8))-_xlfn.XMATCH($C225,$C$35:$C$82)+1&lt;=_xlpm.DepreciationMonths,$C225&lt;=AZ$8),$E225/_xlpm.DepreciationMonths,0))</f>
        <v>0</v>
      </c>
      <c r="BA225" s="507" cm="1">
        <f t="array" ref="BA225">_xlfn.LET(_xlpm.DepreciationMonths,INDEX(FixedAssets[Depreciation
/ Amortization Months],_xlfn.XMATCH($E$186,FixedAssets[Asset ID])),IF(AND((_xlfn.XMATCH(BA$8,$AH$8:$CC$8))-_xlfn.XMATCH($C225,$C$35:$C$82)+1&lt;=_xlpm.DepreciationMonths,$C225&lt;=BA$8),$E225/_xlpm.DepreciationMonths,0))</f>
        <v>0</v>
      </c>
      <c r="BB225" s="507" cm="1">
        <f t="array" ref="BB225">_xlfn.LET(_xlpm.DepreciationMonths,INDEX(FixedAssets[Depreciation
/ Amortization Months],_xlfn.XMATCH($E$186,FixedAssets[Asset ID])),IF(AND((_xlfn.XMATCH(BB$8,$AH$8:$CC$8))-_xlfn.XMATCH($C225,$C$35:$C$82)+1&lt;=_xlpm.DepreciationMonths,$C225&lt;=BB$8),$E225/_xlpm.DepreciationMonths,0))</f>
        <v>0</v>
      </c>
      <c r="BC225" s="507" cm="1">
        <f t="array" ref="BC225">_xlfn.LET(_xlpm.DepreciationMonths,INDEX(FixedAssets[Depreciation
/ Amortization Months],_xlfn.XMATCH($E$186,FixedAssets[Asset ID])),IF(AND((_xlfn.XMATCH(BC$8,$AH$8:$CC$8))-_xlfn.XMATCH($C225,$C$35:$C$82)+1&lt;=_xlpm.DepreciationMonths,$C225&lt;=BC$8),$E225/_xlpm.DepreciationMonths,0))</f>
        <v>0</v>
      </c>
      <c r="BD225" s="507" cm="1">
        <f t="array" ref="BD225">_xlfn.LET(_xlpm.DepreciationMonths,INDEX(FixedAssets[Depreciation
/ Amortization Months],_xlfn.XMATCH($E$186,FixedAssets[Asset ID])),IF(AND((_xlfn.XMATCH(BD$8,$AH$8:$CC$8))-_xlfn.XMATCH($C225,$C$35:$C$82)+1&lt;=_xlpm.DepreciationMonths,$C225&lt;=BD$8),$E225/_xlpm.DepreciationMonths,0))</f>
        <v>0</v>
      </c>
      <c r="BE225" s="507" cm="1">
        <f t="array" ref="BE225">_xlfn.LET(_xlpm.DepreciationMonths,INDEX(FixedAssets[Depreciation
/ Amortization Months],_xlfn.XMATCH($E$186,FixedAssets[Asset ID])),IF(AND((_xlfn.XMATCH(BE$8,$AH$8:$CC$8))-_xlfn.XMATCH($C225,$C$35:$C$82)+1&lt;=_xlpm.DepreciationMonths,$C225&lt;=BE$8),$E225/_xlpm.DepreciationMonths,0))</f>
        <v>0</v>
      </c>
      <c r="BF225" s="507" cm="1">
        <f t="array" ref="BF225">_xlfn.LET(_xlpm.DepreciationMonths,INDEX(FixedAssets[Depreciation
/ Amortization Months],_xlfn.XMATCH($E$186,FixedAssets[Asset ID])),IF(AND((_xlfn.XMATCH(BF$8,$AH$8:$CC$8))-_xlfn.XMATCH($C225,$C$35:$C$82)+1&lt;=_xlpm.DepreciationMonths,$C225&lt;=BF$8),$E225/_xlpm.DepreciationMonths,0))</f>
        <v>0</v>
      </c>
      <c r="BG225" s="507" cm="1">
        <f t="array" ref="BG225">_xlfn.LET(_xlpm.DepreciationMonths,INDEX(FixedAssets[Depreciation
/ Amortization Months],_xlfn.XMATCH($E$186,FixedAssets[Asset ID])),IF(AND((_xlfn.XMATCH(BG$8,$AH$8:$CC$8))-_xlfn.XMATCH($C225,$C$35:$C$82)+1&lt;=_xlpm.DepreciationMonths,$C225&lt;=BG$8),$E225/_xlpm.DepreciationMonths,0))</f>
        <v>0</v>
      </c>
      <c r="BH225" s="507" cm="1">
        <f t="array" ref="BH225">_xlfn.LET(_xlpm.DepreciationMonths,INDEX(FixedAssets[Depreciation
/ Amortization Months],_xlfn.XMATCH($E$186,FixedAssets[Asset ID])),IF(AND((_xlfn.XMATCH(BH$8,$AH$8:$CC$8))-_xlfn.XMATCH($C225,$C$35:$C$82)+1&lt;=_xlpm.DepreciationMonths,$C225&lt;=BH$8),$E225/_xlpm.DepreciationMonths,0))</f>
        <v>0</v>
      </c>
      <c r="BI225" s="507" cm="1">
        <f t="array" ref="BI225">_xlfn.LET(_xlpm.DepreciationMonths,INDEX(FixedAssets[Depreciation
/ Amortization Months],_xlfn.XMATCH($E$186,FixedAssets[Asset ID])),IF(AND((_xlfn.XMATCH(BI$8,$AH$8:$CC$8))-_xlfn.XMATCH($C225,$C$35:$C$82)+1&lt;=_xlpm.DepreciationMonths,$C225&lt;=BI$8),$E225/_xlpm.DepreciationMonths,0))</f>
        <v>0</v>
      </c>
      <c r="BJ225" s="507" cm="1">
        <f t="array" ref="BJ225">_xlfn.LET(_xlpm.DepreciationMonths,INDEX(FixedAssets[Depreciation
/ Amortization Months],_xlfn.XMATCH($E$186,FixedAssets[Asset ID])),IF(AND((_xlfn.XMATCH(BJ$8,$AH$8:$CC$8))-_xlfn.XMATCH($C225,$C$35:$C$82)+1&lt;=_xlpm.DepreciationMonths,$C225&lt;=BJ$8),$E225/_xlpm.DepreciationMonths,0))</f>
        <v>0</v>
      </c>
      <c r="BK225" s="507" cm="1">
        <f t="array" ref="BK225">_xlfn.LET(_xlpm.DepreciationMonths,INDEX(FixedAssets[Depreciation
/ Amortization Months],_xlfn.XMATCH($E$186,FixedAssets[Asset ID])),IF(AND((_xlfn.XMATCH(BK$8,$AH$8:$CC$8))-_xlfn.XMATCH($C225,$C$35:$C$82)+1&lt;=_xlpm.DepreciationMonths,$C225&lt;=BK$8),$E225/_xlpm.DepreciationMonths,0))</f>
        <v>0</v>
      </c>
      <c r="BL225" s="507" cm="1">
        <f t="array" ref="BL225">_xlfn.LET(_xlpm.DepreciationMonths,INDEX(FixedAssets[Depreciation
/ Amortization Months],_xlfn.XMATCH($E$186,FixedAssets[Asset ID])),IF(AND((_xlfn.XMATCH(BL$8,$AH$8:$CC$8))-_xlfn.XMATCH($C225,$C$35:$C$82)+1&lt;=_xlpm.DepreciationMonths,$C225&lt;=BL$8),$E225/_xlpm.DepreciationMonths,0))</f>
        <v>0</v>
      </c>
      <c r="BM225" s="507" cm="1">
        <f t="array" ref="BM225">_xlfn.LET(_xlpm.DepreciationMonths,INDEX(FixedAssets[Depreciation
/ Amortization Months],_xlfn.XMATCH($E$186,FixedAssets[Asset ID])),IF(AND((_xlfn.XMATCH(BM$8,$AH$8:$CC$8))-_xlfn.XMATCH($C225,$C$35:$C$82)+1&lt;=_xlpm.DepreciationMonths,$C225&lt;=BM$8),$E225/_xlpm.DepreciationMonths,0))</f>
        <v>0</v>
      </c>
      <c r="BN225" s="507" cm="1">
        <f t="array" ref="BN225">_xlfn.LET(_xlpm.DepreciationMonths,INDEX(FixedAssets[Depreciation
/ Amortization Months],_xlfn.XMATCH($E$186,FixedAssets[Asset ID])),IF(AND((_xlfn.XMATCH(BN$8,$AH$8:$CC$8))-_xlfn.XMATCH($C225,$C$35:$C$82)+1&lt;=_xlpm.DepreciationMonths,$C225&lt;=BN$8),$E225/_xlpm.DepreciationMonths,0))</f>
        <v>0</v>
      </c>
      <c r="BO225" s="507" cm="1">
        <f t="array" ref="BO225">_xlfn.LET(_xlpm.DepreciationMonths,INDEX(FixedAssets[Depreciation
/ Amortization Months],_xlfn.XMATCH($E$186,FixedAssets[Asset ID])),IF(AND((_xlfn.XMATCH(BO$8,$AH$8:$CC$8))-_xlfn.XMATCH($C225,$C$35:$C$82)+1&lt;=_xlpm.DepreciationMonths,$C225&lt;=BO$8),$E225/_xlpm.DepreciationMonths,0))</f>
        <v>0</v>
      </c>
      <c r="BP225" s="507" cm="1">
        <f t="array" ref="BP225">_xlfn.LET(_xlpm.DepreciationMonths,INDEX(FixedAssets[Depreciation
/ Amortization Months],_xlfn.XMATCH($E$186,FixedAssets[Asset ID])),IF(AND((_xlfn.XMATCH(BP$8,$AH$8:$CC$8))-_xlfn.XMATCH($C225,$C$35:$C$82)+1&lt;=_xlpm.DepreciationMonths,$C225&lt;=BP$8),$E225/_xlpm.DepreciationMonths,0))</f>
        <v>0</v>
      </c>
      <c r="BQ225" s="507" cm="1">
        <f t="array" ref="BQ225">_xlfn.LET(_xlpm.DepreciationMonths,INDEX(FixedAssets[Depreciation
/ Amortization Months],_xlfn.XMATCH($E$186,FixedAssets[Asset ID])),IF(AND((_xlfn.XMATCH(BQ$8,$AH$8:$CC$8))-_xlfn.XMATCH($C225,$C$35:$C$82)+1&lt;=_xlpm.DepreciationMonths,$C225&lt;=BQ$8),$E225/_xlpm.DepreciationMonths,0))</f>
        <v>0</v>
      </c>
      <c r="BR225" s="507" cm="1">
        <f t="array" ref="BR225">_xlfn.LET(_xlpm.DepreciationMonths,INDEX(FixedAssets[Depreciation
/ Amortization Months],_xlfn.XMATCH($E$186,FixedAssets[Asset ID])),IF(AND((_xlfn.XMATCH(BR$8,$AH$8:$CC$8))-_xlfn.XMATCH($C225,$C$35:$C$82)+1&lt;=_xlpm.DepreciationMonths,$C225&lt;=BR$8),$E225/_xlpm.DepreciationMonths,0))</f>
        <v>0</v>
      </c>
      <c r="BS225" s="507" cm="1">
        <f t="array" ref="BS225">_xlfn.LET(_xlpm.DepreciationMonths,INDEX(FixedAssets[Depreciation
/ Amortization Months],_xlfn.XMATCH($E$186,FixedAssets[Asset ID])),IF(AND((_xlfn.XMATCH(BS$8,$AH$8:$CC$8))-_xlfn.XMATCH($C225,$C$35:$C$82)+1&lt;=_xlpm.DepreciationMonths,$C225&lt;=BS$8),$E225/_xlpm.DepreciationMonths,0))</f>
        <v>0</v>
      </c>
      <c r="BT225" s="507" cm="1">
        <f t="array" ref="BT225">_xlfn.LET(_xlpm.DepreciationMonths,INDEX(FixedAssets[Depreciation
/ Amortization Months],_xlfn.XMATCH($E$186,FixedAssets[Asset ID])),IF(AND((_xlfn.XMATCH(BT$8,$AH$8:$CC$8))-_xlfn.XMATCH($C225,$C$35:$C$82)+1&lt;=_xlpm.DepreciationMonths,$C225&lt;=BT$8),$E225/_xlpm.DepreciationMonths,0))</f>
        <v>0</v>
      </c>
      <c r="BU225" s="507" cm="1">
        <f t="array" ref="BU225">_xlfn.LET(_xlpm.DepreciationMonths,INDEX(FixedAssets[Depreciation
/ Amortization Months],_xlfn.XMATCH($E$186,FixedAssets[Asset ID])),IF(AND((_xlfn.XMATCH(BU$8,$AH$8:$CC$8))-_xlfn.XMATCH($C225,$C$35:$C$82)+1&lt;=_xlpm.DepreciationMonths,$C225&lt;=BU$8),$E225/_xlpm.DepreciationMonths,0))</f>
        <v>0</v>
      </c>
      <c r="BV225" s="507" cm="1">
        <f t="array" ref="BV225">_xlfn.LET(_xlpm.DepreciationMonths,INDEX(FixedAssets[Depreciation
/ Amortization Months],_xlfn.XMATCH($E$186,FixedAssets[Asset ID])),IF(AND((_xlfn.XMATCH(BV$8,$AH$8:$CC$8))-_xlfn.XMATCH($C225,$C$35:$C$82)+1&lt;=_xlpm.DepreciationMonths,$C225&lt;=BV$8),$E225/_xlpm.DepreciationMonths,0))</f>
        <v>0</v>
      </c>
      <c r="BW225" s="507" cm="1">
        <f t="array" ref="BW225">_xlfn.LET(_xlpm.DepreciationMonths,INDEX(FixedAssets[Depreciation
/ Amortization Months],_xlfn.XMATCH($E$186,FixedAssets[Asset ID])),IF(AND((_xlfn.XMATCH(BW$8,$AH$8:$CC$8))-_xlfn.XMATCH($C225,$C$35:$C$82)+1&lt;=_xlpm.DepreciationMonths,$C225&lt;=BW$8),$E225/_xlpm.DepreciationMonths,0))</f>
        <v>0</v>
      </c>
      <c r="BX225" s="507" cm="1">
        <f t="array" ref="BX225">_xlfn.LET(_xlpm.DepreciationMonths,INDEX(FixedAssets[Depreciation
/ Amortization Months],_xlfn.XMATCH($E$186,FixedAssets[Asset ID])),IF(AND((_xlfn.XMATCH(BX$8,$AH$8:$CC$8))-_xlfn.XMATCH($C225,$C$35:$C$82)+1&lt;=_xlpm.DepreciationMonths,$C225&lt;=BX$8),$E225/_xlpm.DepreciationMonths,0))</f>
        <v>0</v>
      </c>
      <c r="BY225" s="507" cm="1">
        <f t="array" ref="BY225">_xlfn.LET(_xlpm.DepreciationMonths,INDEX(FixedAssets[Depreciation
/ Amortization Months],_xlfn.XMATCH($E$186,FixedAssets[Asset ID])),IF(AND((_xlfn.XMATCH(BY$8,$AH$8:$CC$8))-_xlfn.XMATCH($C225,$C$35:$C$82)+1&lt;=_xlpm.DepreciationMonths,$C225&lt;=BY$8),$E225/_xlpm.DepreciationMonths,0))</f>
        <v>0</v>
      </c>
      <c r="BZ225" s="507" cm="1">
        <f t="array" ref="BZ225">_xlfn.LET(_xlpm.DepreciationMonths,INDEX(FixedAssets[Depreciation
/ Amortization Months],_xlfn.XMATCH($E$186,FixedAssets[Asset ID])),IF(AND((_xlfn.XMATCH(BZ$8,$AH$8:$CC$8))-_xlfn.XMATCH($C225,$C$35:$C$82)+1&lt;=_xlpm.DepreciationMonths,$C225&lt;=BZ$8),$E225/_xlpm.DepreciationMonths,0))</f>
        <v>0</v>
      </c>
      <c r="CA225" s="507" cm="1">
        <f t="array" ref="CA225">_xlfn.LET(_xlpm.DepreciationMonths,INDEX(FixedAssets[Depreciation
/ Amortization Months],_xlfn.XMATCH($E$186,FixedAssets[Asset ID])),IF(AND((_xlfn.XMATCH(CA$8,$AH$8:$CC$8))-_xlfn.XMATCH($C225,$C$35:$C$82)+1&lt;=_xlpm.DepreciationMonths,$C225&lt;=CA$8),$E225/_xlpm.DepreciationMonths,0))</f>
        <v>0</v>
      </c>
      <c r="CB225" s="507" cm="1">
        <f t="array" ref="CB225">_xlfn.LET(_xlpm.DepreciationMonths,INDEX(FixedAssets[Depreciation
/ Amortization Months],_xlfn.XMATCH($E$186,FixedAssets[Asset ID])),IF(AND((_xlfn.XMATCH(CB$8,$AH$8:$CC$8))-_xlfn.XMATCH($C225,$C$35:$C$82)+1&lt;=_xlpm.DepreciationMonths,$C225&lt;=CB$8),$E225/_xlpm.DepreciationMonths,0))</f>
        <v>0</v>
      </c>
      <c r="CC225" s="507" cm="1">
        <f t="array" ref="CC225">_xlfn.LET(_xlpm.DepreciationMonths,INDEX(FixedAssets[Depreciation
/ Amortization Months],_xlfn.XMATCH($E$186,FixedAssets[Asset ID])),IF(AND((_xlfn.XMATCH(CC$8,$AH$8:$CC$8))-_xlfn.XMATCH($C225,$C$35:$C$82)+1&lt;=_xlpm.DepreciationMonths,$C225&lt;=CC$8),$E225/_xlpm.DepreciationMonths,0))</f>
        <v>0</v>
      </c>
    </row>
    <row r="226" spans="3:81" hidden="1" outlineLevel="2">
      <c r="C226" s="664">
        <f t="shared" si="256"/>
        <v>46112</v>
      </c>
      <c r="D226" s="508"/>
      <c r="E226" s="508" cm="1">
        <f t="array" ref="E226">SUMPRODUCT(($AH$26:$CC$31)*($AH$5:$CC$5=$C226)*($E$26:$E$31=E$186))-SUMPRODUCT(($AH$26:$CC$31)*($AH$5:$CC$5=EOMONTH($C226,-1))*($E$26:$E$31=E$186))</f>
        <v>0</v>
      </c>
      <c r="F226" s="508"/>
      <c r="G226" s="508"/>
      <c r="H226" s="508"/>
      <c r="I226" s="508"/>
      <c r="J226" s="504">
        <f t="shared" si="254"/>
        <v>0</v>
      </c>
      <c r="K226" s="504">
        <f t="shared" si="254"/>
        <v>0</v>
      </c>
      <c r="L226" s="504">
        <f t="shared" si="254"/>
        <v>0</v>
      </c>
      <c r="M226" s="504">
        <f t="shared" si="254"/>
        <v>0</v>
      </c>
      <c r="N226" s="504"/>
      <c r="O226" s="504"/>
      <c r="P226" s="504">
        <f t="shared" si="260"/>
        <v>0</v>
      </c>
      <c r="Q226" s="504">
        <f t="shared" si="260"/>
        <v>0</v>
      </c>
      <c r="R226" s="504">
        <f t="shared" si="260"/>
        <v>0</v>
      </c>
      <c r="S226" s="504">
        <f t="shared" si="260"/>
        <v>0</v>
      </c>
      <c r="T226" s="504">
        <f t="shared" si="260"/>
        <v>0</v>
      </c>
      <c r="U226" s="504">
        <f t="shared" si="260"/>
        <v>0</v>
      </c>
      <c r="V226" s="504">
        <f t="shared" si="260"/>
        <v>0</v>
      </c>
      <c r="W226" s="504">
        <f t="shared" si="260"/>
        <v>0</v>
      </c>
      <c r="X226" s="504">
        <f t="shared" si="260"/>
        <v>0</v>
      </c>
      <c r="Y226" s="504">
        <f t="shared" si="260"/>
        <v>0</v>
      </c>
      <c r="Z226" s="504">
        <f t="shared" si="260"/>
        <v>0</v>
      </c>
      <c r="AA226" s="504">
        <f t="shared" si="260"/>
        <v>0</v>
      </c>
      <c r="AB226" s="504">
        <f t="shared" si="260"/>
        <v>0</v>
      </c>
      <c r="AC226" s="504">
        <f t="shared" si="260"/>
        <v>0</v>
      </c>
      <c r="AD226" s="504">
        <f t="shared" si="260"/>
        <v>0</v>
      </c>
      <c r="AE226" s="504">
        <f t="shared" si="260"/>
        <v>0</v>
      </c>
      <c r="AF226" s="508"/>
      <c r="AG226" s="508"/>
      <c r="AH226" s="507" cm="1">
        <f t="array" ref="AH226">_xlfn.LET(_xlpm.DepreciationMonths,INDEX(FixedAssets[Depreciation
/ Amortization Months],_xlfn.XMATCH($E$186,FixedAssets[Asset ID])),IF(AND((_xlfn.XMATCH(AH$8,$AH$8:$CC$8))-_xlfn.XMATCH($C226,$C$35:$C$82)+1&lt;=_xlpm.DepreciationMonths,$C226&lt;=AH$8),$E226/_xlpm.DepreciationMonths,0))</f>
        <v>0</v>
      </c>
      <c r="AI226" s="507" cm="1">
        <f t="array" ref="AI226">_xlfn.LET(_xlpm.DepreciationMonths,INDEX(FixedAssets[Depreciation
/ Amortization Months],_xlfn.XMATCH($E$186,FixedAssets[Asset ID])),IF(AND((_xlfn.XMATCH(AI$8,$AH$8:$CC$8))-_xlfn.XMATCH($C226,$C$35:$C$82)+1&lt;=_xlpm.DepreciationMonths,$C226&lt;=AI$8),$E226/_xlpm.DepreciationMonths,0))</f>
        <v>0</v>
      </c>
      <c r="AJ226" s="507" cm="1">
        <f t="array" ref="AJ226">_xlfn.LET(_xlpm.DepreciationMonths,INDEX(FixedAssets[Depreciation
/ Amortization Months],_xlfn.XMATCH($E$186,FixedAssets[Asset ID])),IF(AND((_xlfn.XMATCH(AJ$8,$AH$8:$CC$8))-_xlfn.XMATCH($C226,$C$35:$C$82)+1&lt;=_xlpm.DepreciationMonths,$C226&lt;=AJ$8),$E226/_xlpm.DepreciationMonths,0))</f>
        <v>0</v>
      </c>
      <c r="AK226" s="507" cm="1">
        <f t="array" ref="AK226">_xlfn.LET(_xlpm.DepreciationMonths,INDEX(FixedAssets[Depreciation
/ Amortization Months],_xlfn.XMATCH($E$186,FixedAssets[Asset ID])),IF(AND((_xlfn.XMATCH(AK$8,$AH$8:$CC$8))-_xlfn.XMATCH($C226,$C$35:$C$82)+1&lt;=_xlpm.DepreciationMonths,$C226&lt;=AK$8),$E226/_xlpm.DepreciationMonths,0))</f>
        <v>0</v>
      </c>
      <c r="AL226" s="507" cm="1">
        <f t="array" ref="AL226">_xlfn.LET(_xlpm.DepreciationMonths,INDEX(FixedAssets[Depreciation
/ Amortization Months],_xlfn.XMATCH($E$186,FixedAssets[Asset ID])),IF(AND((_xlfn.XMATCH(AL$8,$AH$8:$CC$8))-_xlfn.XMATCH($C226,$C$35:$C$82)+1&lt;=_xlpm.DepreciationMonths,$C226&lt;=AL$8),$E226/_xlpm.DepreciationMonths,0))</f>
        <v>0</v>
      </c>
      <c r="AM226" s="507" cm="1">
        <f t="array" ref="AM226">_xlfn.LET(_xlpm.DepreciationMonths,INDEX(FixedAssets[Depreciation
/ Amortization Months],_xlfn.XMATCH($E$186,FixedAssets[Asset ID])),IF(AND((_xlfn.XMATCH(AM$8,$AH$8:$CC$8))-_xlfn.XMATCH($C226,$C$35:$C$82)+1&lt;=_xlpm.DepreciationMonths,$C226&lt;=AM$8),$E226/_xlpm.DepreciationMonths,0))</f>
        <v>0</v>
      </c>
      <c r="AN226" s="507" cm="1">
        <f t="array" ref="AN226">_xlfn.LET(_xlpm.DepreciationMonths,INDEX(FixedAssets[Depreciation
/ Amortization Months],_xlfn.XMATCH($E$186,FixedAssets[Asset ID])),IF(AND((_xlfn.XMATCH(AN$8,$AH$8:$CC$8))-_xlfn.XMATCH($C226,$C$35:$C$82)+1&lt;=_xlpm.DepreciationMonths,$C226&lt;=AN$8),$E226/_xlpm.DepreciationMonths,0))</f>
        <v>0</v>
      </c>
      <c r="AO226" s="507" cm="1">
        <f t="array" ref="AO226">_xlfn.LET(_xlpm.DepreciationMonths,INDEX(FixedAssets[Depreciation
/ Amortization Months],_xlfn.XMATCH($E$186,FixedAssets[Asset ID])),IF(AND((_xlfn.XMATCH(AO$8,$AH$8:$CC$8))-_xlfn.XMATCH($C226,$C$35:$C$82)+1&lt;=_xlpm.DepreciationMonths,$C226&lt;=AO$8),$E226/_xlpm.DepreciationMonths,0))</f>
        <v>0</v>
      </c>
      <c r="AP226" s="507" cm="1">
        <f t="array" ref="AP226">_xlfn.LET(_xlpm.DepreciationMonths,INDEX(FixedAssets[Depreciation
/ Amortization Months],_xlfn.XMATCH($E$186,FixedAssets[Asset ID])),IF(AND((_xlfn.XMATCH(AP$8,$AH$8:$CC$8))-_xlfn.XMATCH($C226,$C$35:$C$82)+1&lt;=_xlpm.DepreciationMonths,$C226&lt;=AP$8),$E226/_xlpm.DepreciationMonths,0))</f>
        <v>0</v>
      </c>
      <c r="AQ226" s="507" cm="1">
        <f t="array" ref="AQ226">_xlfn.LET(_xlpm.DepreciationMonths,INDEX(FixedAssets[Depreciation
/ Amortization Months],_xlfn.XMATCH($E$186,FixedAssets[Asset ID])),IF(AND((_xlfn.XMATCH(AQ$8,$AH$8:$CC$8))-_xlfn.XMATCH($C226,$C$35:$C$82)+1&lt;=_xlpm.DepreciationMonths,$C226&lt;=AQ$8),$E226/_xlpm.DepreciationMonths,0))</f>
        <v>0</v>
      </c>
      <c r="AR226" s="507" cm="1">
        <f t="array" ref="AR226">_xlfn.LET(_xlpm.DepreciationMonths,INDEX(FixedAssets[Depreciation
/ Amortization Months],_xlfn.XMATCH($E$186,FixedAssets[Asset ID])),IF(AND((_xlfn.XMATCH(AR$8,$AH$8:$CC$8))-_xlfn.XMATCH($C226,$C$35:$C$82)+1&lt;=_xlpm.DepreciationMonths,$C226&lt;=AR$8),$E226/_xlpm.DepreciationMonths,0))</f>
        <v>0</v>
      </c>
      <c r="AS226" s="507" cm="1">
        <f t="array" ref="AS226">_xlfn.LET(_xlpm.DepreciationMonths,INDEX(FixedAssets[Depreciation
/ Amortization Months],_xlfn.XMATCH($E$186,FixedAssets[Asset ID])),IF(AND((_xlfn.XMATCH(AS$8,$AH$8:$CC$8))-_xlfn.XMATCH($C226,$C$35:$C$82)+1&lt;=_xlpm.DepreciationMonths,$C226&lt;=AS$8),$E226/_xlpm.DepreciationMonths,0))</f>
        <v>0</v>
      </c>
      <c r="AT226" s="507" cm="1">
        <f t="array" ref="AT226">_xlfn.LET(_xlpm.DepreciationMonths,INDEX(FixedAssets[Depreciation
/ Amortization Months],_xlfn.XMATCH($E$186,FixedAssets[Asset ID])),IF(AND((_xlfn.XMATCH(AT$8,$AH$8:$CC$8))-_xlfn.XMATCH($C226,$C$35:$C$82)+1&lt;=_xlpm.DepreciationMonths,$C226&lt;=AT$8),$E226/_xlpm.DepreciationMonths,0))</f>
        <v>0</v>
      </c>
      <c r="AU226" s="507" cm="1">
        <f t="array" ref="AU226">_xlfn.LET(_xlpm.DepreciationMonths,INDEX(FixedAssets[Depreciation
/ Amortization Months],_xlfn.XMATCH($E$186,FixedAssets[Asset ID])),IF(AND((_xlfn.XMATCH(AU$8,$AH$8:$CC$8))-_xlfn.XMATCH($C226,$C$35:$C$82)+1&lt;=_xlpm.DepreciationMonths,$C226&lt;=AU$8),$E226/_xlpm.DepreciationMonths,0))</f>
        <v>0</v>
      </c>
      <c r="AV226" s="507" cm="1">
        <f t="array" ref="AV226">_xlfn.LET(_xlpm.DepreciationMonths,INDEX(FixedAssets[Depreciation
/ Amortization Months],_xlfn.XMATCH($E$186,FixedAssets[Asset ID])),IF(AND((_xlfn.XMATCH(AV$8,$AH$8:$CC$8))-_xlfn.XMATCH($C226,$C$35:$C$82)+1&lt;=_xlpm.DepreciationMonths,$C226&lt;=AV$8),$E226/_xlpm.DepreciationMonths,0))</f>
        <v>0</v>
      </c>
      <c r="AW226" s="507" cm="1">
        <f t="array" ref="AW226">_xlfn.LET(_xlpm.DepreciationMonths,INDEX(FixedAssets[Depreciation
/ Amortization Months],_xlfn.XMATCH($E$186,FixedAssets[Asset ID])),IF(AND((_xlfn.XMATCH(AW$8,$AH$8:$CC$8))-_xlfn.XMATCH($C226,$C$35:$C$82)+1&lt;=_xlpm.DepreciationMonths,$C226&lt;=AW$8),$E226/_xlpm.DepreciationMonths,0))</f>
        <v>0</v>
      </c>
      <c r="AX226" s="507" cm="1">
        <f t="array" ref="AX226">_xlfn.LET(_xlpm.DepreciationMonths,INDEX(FixedAssets[Depreciation
/ Amortization Months],_xlfn.XMATCH($E$186,FixedAssets[Asset ID])),IF(AND((_xlfn.XMATCH(AX$8,$AH$8:$CC$8))-_xlfn.XMATCH($C226,$C$35:$C$82)+1&lt;=_xlpm.DepreciationMonths,$C226&lt;=AX$8),$E226/_xlpm.DepreciationMonths,0))</f>
        <v>0</v>
      </c>
      <c r="AY226" s="507" cm="1">
        <f t="array" ref="AY226">_xlfn.LET(_xlpm.DepreciationMonths,INDEX(FixedAssets[Depreciation
/ Amortization Months],_xlfn.XMATCH($E$186,FixedAssets[Asset ID])),IF(AND((_xlfn.XMATCH(AY$8,$AH$8:$CC$8))-_xlfn.XMATCH($C226,$C$35:$C$82)+1&lt;=_xlpm.DepreciationMonths,$C226&lt;=AY$8),$E226/_xlpm.DepreciationMonths,0))</f>
        <v>0</v>
      </c>
      <c r="AZ226" s="507" cm="1">
        <f t="array" ref="AZ226">_xlfn.LET(_xlpm.DepreciationMonths,INDEX(FixedAssets[Depreciation
/ Amortization Months],_xlfn.XMATCH($E$186,FixedAssets[Asset ID])),IF(AND((_xlfn.XMATCH(AZ$8,$AH$8:$CC$8))-_xlfn.XMATCH($C226,$C$35:$C$82)+1&lt;=_xlpm.DepreciationMonths,$C226&lt;=AZ$8),$E226/_xlpm.DepreciationMonths,0))</f>
        <v>0</v>
      </c>
      <c r="BA226" s="507" cm="1">
        <f t="array" ref="BA226">_xlfn.LET(_xlpm.DepreciationMonths,INDEX(FixedAssets[Depreciation
/ Amortization Months],_xlfn.XMATCH($E$186,FixedAssets[Asset ID])),IF(AND((_xlfn.XMATCH(BA$8,$AH$8:$CC$8))-_xlfn.XMATCH($C226,$C$35:$C$82)+1&lt;=_xlpm.DepreciationMonths,$C226&lt;=BA$8),$E226/_xlpm.DepreciationMonths,0))</f>
        <v>0</v>
      </c>
      <c r="BB226" s="507" cm="1">
        <f t="array" ref="BB226">_xlfn.LET(_xlpm.DepreciationMonths,INDEX(FixedAssets[Depreciation
/ Amortization Months],_xlfn.XMATCH($E$186,FixedAssets[Asset ID])),IF(AND((_xlfn.XMATCH(BB$8,$AH$8:$CC$8))-_xlfn.XMATCH($C226,$C$35:$C$82)+1&lt;=_xlpm.DepreciationMonths,$C226&lt;=BB$8),$E226/_xlpm.DepreciationMonths,0))</f>
        <v>0</v>
      </c>
      <c r="BC226" s="507" cm="1">
        <f t="array" ref="BC226">_xlfn.LET(_xlpm.DepreciationMonths,INDEX(FixedAssets[Depreciation
/ Amortization Months],_xlfn.XMATCH($E$186,FixedAssets[Asset ID])),IF(AND((_xlfn.XMATCH(BC$8,$AH$8:$CC$8))-_xlfn.XMATCH($C226,$C$35:$C$82)+1&lt;=_xlpm.DepreciationMonths,$C226&lt;=BC$8),$E226/_xlpm.DepreciationMonths,0))</f>
        <v>0</v>
      </c>
      <c r="BD226" s="507" cm="1">
        <f t="array" ref="BD226">_xlfn.LET(_xlpm.DepreciationMonths,INDEX(FixedAssets[Depreciation
/ Amortization Months],_xlfn.XMATCH($E$186,FixedAssets[Asset ID])),IF(AND((_xlfn.XMATCH(BD$8,$AH$8:$CC$8))-_xlfn.XMATCH($C226,$C$35:$C$82)+1&lt;=_xlpm.DepreciationMonths,$C226&lt;=BD$8),$E226/_xlpm.DepreciationMonths,0))</f>
        <v>0</v>
      </c>
      <c r="BE226" s="507" cm="1">
        <f t="array" ref="BE226">_xlfn.LET(_xlpm.DepreciationMonths,INDEX(FixedAssets[Depreciation
/ Amortization Months],_xlfn.XMATCH($E$186,FixedAssets[Asset ID])),IF(AND((_xlfn.XMATCH(BE$8,$AH$8:$CC$8))-_xlfn.XMATCH($C226,$C$35:$C$82)+1&lt;=_xlpm.DepreciationMonths,$C226&lt;=BE$8),$E226/_xlpm.DepreciationMonths,0))</f>
        <v>0</v>
      </c>
      <c r="BF226" s="507" cm="1">
        <f t="array" ref="BF226">_xlfn.LET(_xlpm.DepreciationMonths,INDEX(FixedAssets[Depreciation
/ Amortization Months],_xlfn.XMATCH($E$186,FixedAssets[Asset ID])),IF(AND((_xlfn.XMATCH(BF$8,$AH$8:$CC$8))-_xlfn.XMATCH($C226,$C$35:$C$82)+1&lt;=_xlpm.DepreciationMonths,$C226&lt;=BF$8),$E226/_xlpm.DepreciationMonths,0))</f>
        <v>0</v>
      </c>
      <c r="BG226" s="507" cm="1">
        <f t="array" ref="BG226">_xlfn.LET(_xlpm.DepreciationMonths,INDEX(FixedAssets[Depreciation
/ Amortization Months],_xlfn.XMATCH($E$186,FixedAssets[Asset ID])),IF(AND((_xlfn.XMATCH(BG$8,$AH$8:$CC$8))-_xlfn.XMATCH($C226,$C$35:$C$82)+1&lt;=_xlpm.DepreciationMonths,$C226&lt;=BG$8),$E226/_xlpm.DepreciationMonths,0))</f>
        <v>0</v>
      </c>
      <c r="BH226" s="507" cm="1">
        <f t="array" ref="BH226">_xlfn.LET(_xlpm.DepreciationMonths,INDEX(FixedAssets[Depreciation
/ Amortization Months],_xlfn.XMATCH($E$186,FixedAssets[Asset ID])),IF(AND((_xlfn.XMATCH(BH$8,$AH$8:$CC$8))-_xlfn.XMATCH($C226,$C$35:$C$82)+1&lt;=_xlpm.DepreciationMonths,$C226&lt;=BH$8),$E226/_xlpm.DepreciationMonths,0))</f>
        <v>0</v>
      </c>
      <c r="BI226" s="507" cm="1">
        <f t="array" ref="BI226">_xlfn.LET(_xlpm.DepreciationMonths,INDEX(FixedAssets[Depreciation
/ Amortization Months],_xlfn.XMATCH($E$186,FixedAssets[Asset ID])),IF(AND((_xlfn.XMATCH(BI$8,$AH$8:$CC$8))-_xlfn.XMATCH($C226,$C$35:$C$82)+1&lt;=_xlpm.DepreciationMonths,$C226&lt;=BI$8),$E226/_xlpm.DepreciationMonths,0))</f>
        <v>0</v>
      </c>
      <c r="BJ226" s="507" cm="1">
        <f t="array" ref="BJ226">_xlfn.LET(_xlpm.DepreciationMonths,INDEX(FixedAssets[Depreciation
/ Amortization Months],_xlfn.XMATCH($E$186,FixedAssets[Asset ID])),IF(AND((_xlfn.XMATCH(BJ$8,$AH$8:$CC$8))-_xlfn.XMATCH($C226,$C$35:$C$82)+1&lt;=_xlpm.DepreciationMonths,$C226&lt;=BJ$8),$E226/_xlpm.DepreciationMonths,0))</f>
        <v>0</v>
      </c>
      <c r="BK226" s="507" cm="1">
        <f t="array" ref="BK226">_xlfn.LET(_xlpm.DepreciationMonths,INDEX(FixedAssets[Depreciation
/ Amortization Months],_xlfn.XMATCH($E$186,FixedAssets[Asset ID])),IF(AND((_xlfn.XMATCH(BK$8,$AH$8:$CC$8))-_xlfn.XMATCH($C226,$C$35:$C$82)+1&lt;=_xlpm.DepreciationMonths,$C226&lt;=BK$8),$E226/_xlpm.DepreciationMonths,0))</f>
        <v>0</v>
      </c>
      <c r="BL226" s="507" cm="1">
        <f t="array" ref="BL226">_xlfn.LET(_xlpm.DepreciationMonths,INDEX(FixedAssets[Depreciation
/ Amortization Months],_xlfn.XMATCH($E$186,FixedAssets[Asset ID])),IF(AND((_xlfn.XMATCH(BL$8,$AH$8:$CC$8))-_xlfn.XMATCH($C226,$C$35:$C$82)+1&lt;=_xlpm.DepreciationMonths,$C226&lt;=BL$8),$E226/_xlpm.DepreciationMonths,0))</f>
        <v>0</v>
      </c>
      <c r="BM226" s="507" cm="1">
        <f t="array" ref="BM226">_xlfn.LET(_xlpm.DepreciationMonths,INDEX(FixedAssets[Depreciation
/ Amortization Months],_xlfn.XMATCH($E$186,FixedAssets[Asset ID])),IF(AND((_xlfn.XMATCH(BM$8,$AH$8:$CC$8))-_xlfn.XMATCH($C226,$C$35:$C$82)+1&lt;=_xlpm.DepreciationMonths,$C226&lt;=BM$8),$E226/_xlpm.DepreciationMonths,0))</f>
        <v>0</v>
      </c>
      <c r="BN226" s="507" cm="1">
        <f t="array" ref="BN226">_xlfn.LET(_xlpm.DepreciationMonths,INDEX(FixedAssets[Depreciation
/ Amortization Months],_xlfn.XMATCH($E$186,FixedAssets[Asset ID])),IF(AND((_xlfn.XMATCH(BN$8,$AH$8:$CC$8))-_xlfn.XMATCH($C226,$C$35:$C$82)+1&lt;=_xlpm.DepreciationMonths,$C226&lt;=BN$8),$E226/_xlpm.DepreciationMonths,0))</f>
        <v>0</v>
      </c>
      <c r="BO226" s="507" cm="1">
        <f t="array" ref="BO226">_xlfn.LET(_xlpm.DepreciationMonths,INDEX(FixedAssets[Depreciation
/ Amortization Months],_xlfn.XMATCH($E$186,FixedAssets[Asset ID])),IF(AND((_xlfn.XMATCH(BO$8,$AH$8:$CC$8))-_xlfn.XMATCH($C226,$C$35:$C$82)+1&lt;=_xlpm.DepreciationMonths,$C226&lt;=BO$8),$E226/_xlpm.DepreciationMonths,0))</f>
        <v>0</v>
      </c>
      <c r="BP226" s="507" cm="1">
        <f t="array" ref="BP226">_xlfn.LET(_xlpm.DepreciationMonths,INDEX(FixedAssets[Depreciation
/ Amortization Months],_xlfn.XMATCH($E$186,FixedAssets[Asset ID])),IF(AND((_xlfn.XMATCH(BP$8,$AH$8:$CC$8))-_xlfn.XMATCH($C226,$C$35:$C$82)+1&lt;=_xlpm.DepreciationMonths,$C226&lt;=BP$8),$E226/_xlpm.DepreciationMonths,0))</f>
        <v>0</v>
      </c>
      <c r="BQ226" s="507" cm="1">
        <f t="array" ref="BQ226">_xlfn.LET(_xlpm.DepreciationMonths,INDEX(FixedAssets[Depreciation
/ Amortization Months],_xlfn.XMATCH($E$186,FixedAssets[Asset ID])),IF(AND((_xlfn.XMATCH(BQ$8,$AH$8:$CC$8))-_xlfn.XMATCH($C226,$C$35:$C$82)+1&lt;=_xlpm.DepreciationMonths,$C226&lt;=BQ$8),$E226/_xlpm.DepreciationMonths,0))</f>
        <v>0</v>
      </c>
      <c r="BR226" s="507" cm="1">
        <f t="array" ref="BR226">_xlfn.LET(_xlpm.DepreciationMonths,INDEX(FixedAssets[Depreciation
/ Amortization Months],_xlfn.XMATCH($E$186,FixedAssets[Asset ID])),IF(AND((_xlfn.XMATCH(BR$8,$AH$8:$CC$8))-_xlfn.XMATCH($C226,$C$35:$C$82)+1&lt;=_xlpm.DepreciationMonths,$C226&lt;=BR$8),$E226/_xlpm.DepreciationMonths,0))</f>
        <v>0</v>
      </c>
      <c r="BS226" s="507" cm="1">
        <f t="array" ref="BS226">_xlfn.LET(_xlpm.DepreciationMonths,INDEX(FixedAssets[Depreciation
/ Amortization Months],_xlfn.XMATCH($E$186,FixedAssets[Asset ID])),IF(AND((_xlfn.XMATCH(BS$8,$AH$8:$CC$8))-_xlfn.XMATCH($C226,$C$35:$C$82)+1&lt;=_xlpm.DepreciationMonths,$C226&lt;=BS$8),$E226/_xlpm.DepreciationMonths,0))</f>
        <v>0</v>
      </c>
      <c r="BT226" s="507" cm="1">
        <f t="array" ref="BT226">_xlfn.LET(_xlpm.DepreciationMonths,INDEX(FixedAssets[Depreciation
/ Amortization Months],_xlfn.XMATCH($E$186,FixedAssets[Asset ID])),IF(AND((_xlfn.XMATCH(BT$8,$AH$8:$CC$8))-_xlfn.XMATCH($C226,$C$35:$C$82)+1&lt;=_xlpm.DepreciationMonths,$C226&lt;=BT$8),$E226/_xlpm.DepreciationMonths,0))</f>
        <v>0</v>
      </c>
      <c r="BU226" s="507" cm="1">
        <f t="array" ref="BU226">_xlfn.LET(_xlpm.DepreciationMonths,INDEX(FixedAssets[Depreciation
/ Amortization Months],_xlfn.XMATCH($E$186,FixedAssets[Asset ID])),IF(AND((_xlfn.XMATCH(BU$8,$AH$8:$CC$8))-_xlfn.XMATCH($C226,$C$35:$C$82)+1&lt;=_xlpm.DepreciationMonths,$C226&lt;=BU$8),$E226/_xlpm.DepreciationMonths,0))</f>
        <v>0</v>
      </c>
      <c r="BV226" s="507" cm="1">
        <f t="array" ref="BV226">_xlfn.LET(_xlpm.DepreciationMonths,INDEX(FixedAssets[Depreciation
/ Amortization Months],_xlfn.XMATCH($E$186,FixedAssets[Asset ID])),IF(AND((_xlfn.XMATCH(BV$8,$AH$8:$CC$8))-_xlfn.XMATCH($C226,$C$35:$C$82)+1&lt;=_xlpm.DepreciationMonths,$C226&lt;=BV$8),$E226/_xlpm.DepreciationMonths,0))</f>
        <v>0</v>
      </c>
      <c r="BW226" s="507" cm="1">
        <f t="array" ref="BW226">_xlfn.LET(_xlpm.DepreciationMonths,INDEX(FixedAssets[Depreciation
/ Amortization Months],_xlfn.XMATCH($E$186,FixedAssets[Asset ID])),IF(AND((_xlfn.XMATCH(BW$8,$AH$8:$CC$8))-_xlfn.XMATCH($C226,$C$35:$C$82)+1&lt;=_xlpm.DepreciationMonths,$C226&lt;=BW$8),$E226/_xlpm.DepreciationMonths,0))</f>
        <v>0</v>
      </c>
      <c r="BX226" s="507" cm="1">
        <f t="array" ref="BX226">_xlfn.LET(_xlpm.DepreciationMonths,INDEX(FixedAssets[Depreciation
/ Amortization Months],_xlfn.XMATCH($E$186,FixedAssets[Asset ID])),IF(AND((_xlfn.XMATCH(BX$8,$AH$8:$CC$8))-_xlfn.XMATCH($C226,$C$35:$C$82)+1&lt;=_xlpm.DepreciationMonths,$C226&lt;=BX$8),$E226/_xlpm.DepreciationMonths,0))</f>
        <v>0</v>
      </c>
      <c r="BY226" s="507" cm="1">
        <f t="array" ref="BY226">_xlfn.LET(_xlpm.DepreciationMonths,INDEX(FixedAssets[Depreciation
/ Amortization Months],_xlfn.XMATCH($E$186,FixedAssets[Asset ID])),IF(AND((_xlfn.XMATCH(BY$8,$AH$8:$CC$8))-_xlfn.XMATCH($C226,$C$35:$C$82)+1&lt;=_xlpm.DepreciationMonths,$C226&lt;=BY$8),$E226/_xlpm.DepreciationMonths,0))</f>
        <v>0</v>
      </c>
      <c r="BZ226" s="507" cm="1">
        <f t="array" ref="BZ226">_xlfn.LET(_xlpm.DepreciationMonths,INDEX(FixedAssets[Depreciation
/ Amortization Months],_xlfn.XMATCH($E$186,FixedAssets[Asset ID])),IF(AND((_xlfn.XMATCH(BZ$8,$AH$8:$CC$8))-_xlfn.XMATCH($C226,$C$35:$C$82)+1&lt;=_xlpm.DepreciationMonths,$C226&lt;=BZ$8),$E226/_xlpm.DepreciationMonths,0))</f>
        <v>0</v>
      </c>
      <c r="CA226" s="507" cm="1">
        <f t="array" ref="CA226">_xlfn.LET(_xlpm.DepreciationMonths,INDEX(FixedAssets[Depreciation
/ Amortization Months],_xlfn.XMATCH($E$186,FixedAssets[Asset ID])),IF(AND((_xlfn.XMATCH(CA$8,$AH$8:$CC$8))-_xlfn.XMATCH($C226,$C$35:$C$82)+1&lt;=_xlpm.DepreciationMonths,$C226&lt;=CA$8),$E226/_xlpm.DepreciationMonths,0))</f>
        <v>0</v>
      </c>
      <c r="CB226" s="507" cm="1">
        <f t="array" ref="CB226">_xlfn.LET(_xlpm.DepreciationMonths,INDEX(FixedAssets[Depreciation
/ Amortization Months],_xlfn.XMATCH($E$186,FixedAssets[Asset ID])),IF(AND((_xlfn.XMATCH(CB$8,$AH$8:$CC$8))-_xlfn.XMATCH($C226,$C$35:$C$82)+1&lt;=_xlpm.DepreciationMonths,$C226&lt;=CB$8),$E226/_xlpm.DepreciationMonths,0))</f>
        <v>0</v>
      </c>
      <c r="CC226" s="507" cm="1">
        <f t="array" ref="CC226">_xlfn.LET(_xlpm.DepreciationMonths,INDEX(FixedAssets[Depreciation
/ Amortization Months],_xlfn.XMATCH($E$186,FixedAssets[Asset ID])),IF(AND((_xlfn.XMATCH(CC$8,$AH$8:$CC$8))-_xlfn.XMATCH($C226,$C$35:$C$82)+1&lt;=_xlpm.DepreciationMonths,$C226&lt;=CC$8),$E226/_xlpm.DepreciationMonths,0))</f>
        <v>0</v>
      </c>
    </row>
    <row r="227" spans="3:81" hidden="1" outlineLevel="2">
      <c r="C227" s="664">
        <f t="shared" si="256"/>
        <v>46142</v>
      </c>
      <c r="D227" s="508"/>
      <c r="E227" s="508" cm="1">
        <f t="array" ref="E227">SUMPRODUCT(($AH$26:$CC$31)*($AH$5:$CC$5=$C227)*($E$26:$E$31=E$186))-SUMPRODUCT(($AH$26:$CC$31)*($AH$5:$CC$5=EOMONTH($C227,-1))*($E$26:$E$31=E$186))</f>
        <v>0</v>
      </c>
      <c r="F227" s="508"/>
      <c r="G227" s="508"/>
      <c r="H227" s="508"/>
      <c r="I227" s="508"/>
      <c r="J227" s="504">
        <f t="shared" si="254"/>
        <v>0</v>
      </c>
      <c r="K227" s="504">
        <f t="shared" si="254"/>
        <v>0</v>
      </c>
      <c r="L227" s="504">
        <f t="shared" si="254"/>
        <v>0</v>
      </c>
      <c r="M227" s="504">
        <f t="shared" si="254"/>
        <v>0</v>
      </c>
      <c r="N227" s="504"/>
      <c r="O227" s="504"/>
      <c r="P227" s="504">
        <f t="shared" si="260"/>
        <v>0</v>
      </c>
      <c r="Q227" s="504">
        <f t="shared" si="260"/>
        <v>0</v>
      </c>
      <c r="R227" s="504">
        <f t="shared" si="260"/>
        <v>0</v>
      </c>
      <c r="S227" s="504">
        <f t="shared" si="260"/>
        <v>0</v>
      </c>
      <c r="T227" s="504">
        <f t="shared" si="260"/>
        <v>0</v>
      </c>
      <c r="U227" s="504">
        <f t="shared" si="260"/>
        <v>0</v>
      </c>
      <c r="V227" s="504">
        <f t="shared" si="260"/>
        <v>0</v>
      </c>
      <c r="W227" s="504">
        <f t="shared" si="260"/>
        <v>0</v>
      </c>
      <c r="X227" s="504">
        <f t="shared" si="260"/>
        <v>0</v>
      </c>
      <c r="Y227" s="504">
        <f t="shared" si="260"/>
        <v>0</v>
      </c>
      <c r="Z227" s="504">
        <f t="shared" si="260"/>
        <v>0</v>
      </c>
      <c r="AA227" s="504">
        <f t="shared" si="260"/>
        <v>0</v>
      </c>
      <c r="AB227" s="504">
        <f t="shared" si="260"/>
        <v>0</v>
      </c>
      <c r="AC227" s="504">
        <f t="shared" si="260"/>
        <v>0</v>
      </c>
      <c r="AD227" s="504">
        <f t="shared" si="260"/>
        <v>0</v>
      </c>
      <c r="AE227" s="504">
        <f t="shared" si="260"/>
        <v>0</v>
      </c>
      <c r="AF227" s="508"/>
      <c r="AG227" s="508"/>
      <c r="AH227" s="507" cm="1">
        <f t="array" ref="AH227">_xlfn.LET(_xlpm.DepreciationMonths,INDEX(FixedAssets[Depreciation
/ Amortization Months],_xlfn.XMATCH($E$186,FixedAssets[Asset ID])),IF(AND((_xlfn.XMATCH(AH$8,$AH$8:$CC$8))-_xlfn.XMATCH($C227,$C$35:$C$82)+1&lt;=_xlpm.DepreciationMonths,$C227&lt;=AH$8),$E227/_xlpm.DepreciationMonths,0))</f>
        <v>0</v>
      </c>
      <c r="AI227" s="507" cm="1">
        <f t="array" ref="AI227">_xlfn.LET(_xlpm.DepreciationMonths,INDEX(FixedAssets[Depreciation
/ Amortization Months],_xlfn.XMATCH($E$186,FixedAssets[Asset ID])),IF(AND((_xlfn.XMATCH(AI$8,$AH$8:$CC$8))-_xlfn.XMATCH($C227,$C$35:$C$82)+1&lt;=_xlpm.DepreciationMonths,$C227&lt;=AI$8),$E227/_xlpm.DepreciationMonths,0))</f>
        <v>0</v>
      </c>
      <c r="AJ227" s="507" cm="1">
        <f t="array" ref="AJ227">_xlfn.LET(_xlpm.DepreciationMonths,INDEX(FixedAssets[Depreciation
/ Amortization Months],_xlfn.XMATCH($E$186,FixedAssets[Asset ID])),IF(AND((_xlfn.XMATCH(AJ$8,$AH$8:$CC$8))-_xlfn.XMATCH($C227,$C$35:$C$82)+1&lt;=_xlpm.DepreciationMonths,$C227&lt;=AJ$8),$E227/_xlpm.DepreciationMonths,0))</f>
        <v>0</v>
      </c>
      <c r="AK227" s="507" cm="1">
        <f t="array" ref="AK227">_xlfn.LET(_xlpm.DepreciationMonths,INDEX(FixedAssets[Depreciation
/ Amortization Months],_xlfn.XMATCH($E$186,FixedAssets[Asset ID])),IF(AND((_xlfn.XMATCH(AK$8,$AH$8:$CC$8))-_xlfn.XMATCH($C227,$C$35:$C$82)+1&lt;=_xlpm.DepreciationMonths,$C227&lt;=AK$8),$E227/_xlpm.DepreciationMonths,0))</f>
        <v>0</v>
      </c>
      <c r="AL227" s="507" cm="1">
        <f t="array" ref="AL227">_xlfn.LET(_xlpm.DepreciationMonths,INDEX(FixedAssets[Depreciation
/ Amortization Months],_xlfn.XMATCH($E$186,FixedAssets[Asset ID])),IF(AND((_xlfn.XMATCH(AL$8,$AH$8:$CC$8))-_xlfn.XMATCH($C227,$C$35:$C$82)+1&lt;=_xlpm.DepreciationMonths,$C227&lt;=AL$8),$E227/_xlpm.DepreciationMonths,0))</f>
        <v>0</v>
      </c>
      <c r="AM227" s="507" cm="1">
        <f t="array" ref="AM227">_xlfn.LET(_xlpm.DepreciationMonths,INDEX(FixedAssets[Depreciation
/ Amortization Months],_xlfn.XMATCH($E$186,FixedAssets[Asset ID])),IF(AND((_xlfn.XMATCH(AM$8,$AH$8:$CC$8))-_xlfn.XMATCH($C227,$C$35:$C$82)+1&lt;=_xlpm.DepreciationMonths,$C227&lt;=AM$8),$E227/_xlpm.DepreciationMonths,0))</f>
        <v>0</v>
      </c>
      <c r="AN227" s="507" cm="1">
        <f t="array" ref="AN227">_xlfn.LET(_xlpm.DepreciationMonths,INDEX(FixedAssets[Depreciation
/ Amortization Months],_xlfn.XMATCH($E$186,FixedAssets[Asset ID])),IF(AND((_xlfn.XMATCH(AN$8,$AH$8:$CC$8))-_xlfn.XMATCH($C227,$C$35:$C$82)+1&lt;=_xlpm.DepreciationMonths,$C227&lt;=AN$8),$E227/_xlpm.DepreciationMonths,0))</f>
        <v>0</v>
      </c>
      <c r="AO227" s="507" cm="1">
        <f t="array" ref="AO227">_xlfn.LET(_xlpm.DepreciationMonths,INDEX(FixedAssets[Depreciation
/ Amortization Months],_xlfn.XMATCH($E$186,FixedAssets[Asset ID])),IF(AND((_xlfn.XMATCH(AO$8,$AH$8:$CC$8))-_xlfn.XMATCH($C227,$C$35:$C$82)+1&lt;=_xlpm.DepreciationMonths,$C227&lt;=AO$8),$E227/_xlpm.DepreciationMonths,0))</f>
        <v>0</v>
      </c>
      <c r="AP227" s="507" cm="1">
        <f t="array" ref="AP227">_xlfn.LET(_xlpm.DepreciationMonths,INDEX(FixedAssets[Depreciation
/ Amortization Months],_xlfn.XMATCH($E$186,FixedAssets[Asset ID])),IF(AND((_xlfn.XMATCH(AP$8,$AH$8:$CC$8))-_xlfn.XMATCH($C227,$C$35:$C$82)+1&lt;=_xlpm.DepreciationMonths,$C227&lt;=AP$8),$E227/_xlpm.DepreciationMonths,0))</f>
        <v>0</v>
      </c>
      <c r="AQ227" s="507" cm="1">
        <f t="array" ref="AQ227">_xlfn.LET(_xlpm.DepreciationMonths,INDEX(FixedAssets[Depreciation
/ Amortization Months],_xlfn.XMATCH($E$186,FixedAssets[Asset ID])),IF(AND((_xlfn.XMATCH(AQ$8,$AH$8:$CC$8))-_xlfn.XMATCH($C227,$C$35:$C$82)+1&lt;=_xlpm.DepreciationMonths,$C227&lt;=AQ$8),$E227/_xlpm.DepreciationMonths,0))</f>
        <v>0</v>
      </c>
      <c r="AR227" s="507" cm="1">
        <f t="array" ref="AR227">_xlfn.LET(_xlpm.DepreciationMonths,INDEX(FixedAssets[Depreciation
/ Amortization Months],_xlfn.XMATCH($E$186,FixedAssets[Asset ID])),IF(AND((_xlfn.XMATCH(AR$8,$AH$8:$CC$8))-_xlfn.XMATCH($C227,$C$35:$C$82)+1&lt;=_xlpm.DepreciationMonths,$C227&lt;=AR$8),$E227/_xlpm.DepreciationMonths,0))</f>
        <v>0</v>
      </c>
      <c r="AS227" s="507" cm="1">
        <f t="array" ref="AS227">_xlfn.LET(_xlpm.DepreciationMonths,INDEX(FixedAssets[Depreciation
/ Amortization Months],_xlfn.XMATCH($E$186,FixedAssets[Asset ID])),IF(AND((_xlfn.XMATCH(AS$8,$AH$8:$CC$8))-_xlfn.XMATCH($C227,$C$35:$C$82)+1&lt;=_xlpm.DepreciationMonths,$C227&lt;=AS$8),$E227/_xlpm.DepreciationMonths,0))</f>
        <v>0</v>
      </c>
      <c r="AT227" s="507" cm="1">
        <f t="array" ref="AT227">_xlfn.LET(_xlpm.DepreciationMonths,INDEX(FixedAssets[Depreciation
/ Amortization Months],_xlfn.XMATCH($E$186,FixedAssets[Asset ID])),IF(AND((_xlfn.XMATCH(AT$8,$AH$8:$CC$8))-_xlfn.XMATCH($C227,$C$35:$C$82)+1&lt;=_xlpm.DepreciationMonths,$C227&lt;=AT$8),$E227/_xlpm.DepreciationMonths,0))</f>
        <v>0</v>
      </c>
      <c r="AU227" s="507" cm="1">
        <f t="array" ref="AU227">_xlfn.LET(_xlpm.DepreciationMonths,INDEX(FixedAssets[Depreciation
/ Amortization Months],_xlfn.XMATCH($E$186,FixedAssets[Asset ID])),IF(AND((_xlfn.XMATCH(AU$8,$AH$8:$CC$8))-_xlfn.XMATCH($C227,$C$35:$C$82)+1&lt;=_xlpm.DepreciationMonths,$C227&lt;=AU$8),$E227/_xlpm.DepreciationMonths,0))</f>
        <v>0</v>
      </c>
      <c r="AV227" s="507" cm="1">
        <f t="array" ref="AV227">_xlfn.LET(_xlpm.DepreciationMonths,INDEX(FixedAssets[Depreciation
/ Amortization Months],_xlfn.XMATCH($E$186,FixedAssets[Asset ID])),IF(AND((_xlfn.XMATCH(AV$8,$AH$8:$CC$8))-_xlfn.XMATCH($C227,$C$35:$C$82)+1&lt;=_xlpm.DepreciationMonths,$C227&lt;=AV$8),$E227/_xlpm.DepreciationMonths,0))</f>
        <v>0</v>
      </c>
      <c r="AW227" s="507" cm="1">
        <f t="array" ref="AW227">_xlfn.LET(_xlpm.DepreciationMonths,INDEX(FixedAssets[Depreciation
/ Amortization Months],_xlfn.XMATCH($E$186,FixedAssets[Asset ID])),IF(AND((_xlfn.XMATCH(AW$8,$AH$8:$CC$8))-_xlfn.XMATCH($C227,$C$35:$C$82)+1&lt;=_xlpm.DepreciationMonths,$C227&lt;=AW$8),$E227/_xlpm.DepreciationMonths,0))</f>
        <v>0</v>
      </c>
      <c r="AX227" s="507" cm="1">
        <f t="array" ref="AX227">_xlfn.LET(_xlpm.DepreciationMonths,INDEX(FixedAssets[Depreciation
/ Amortization Months],_xlfn.XMATCH($E$186,FixedAssets[Asset ID])),IF(AND((_xlfn.XMATCH(AX$8,$AH$8:$CC$8))-_xlfn.XMATCH($C227,$C$35:$C$82)+1&lt;=_xlpm.DepreciationMonths,$C227&lt;=AX$8),$E227/_xlpm.DepreciationMonths,0))</f>
        <v>0</v>
      </c>
      <c r="AY227" s="507" cm="1">
        <f t="array" ref="AY227">_xlfn.LET(_xlpm.DepreciationMonths,INDEX(FixedAssets[Depreciation
/ Amortization Months],_xlfn.XMATCH($E$186,FixedAssets[Asset ID])),IF(AND((_xlfn.XMATCH(AY$8,$AH$8:$CC$8))-_xlfn.XMATCH($C227,$C$35:$C$82)+1&lt;=_xlpm.DepreciationMonths,$C227&lt;=AY$8),$E227/_xlpm.DepreciationMonths,0))</f>
        <v>0</v>
      </c>
      <c r="AZ227" s="507" cm="1">
        <f t="array" ref="AZ227">_xlfn.LET(_xlpm.DepreciationMonths,INDEX(FixedAssets[Depreciation
/ Amortization Months],_xlfn.XMATCH($E$186,FixedAssets[Asset ID])),IF(AND((_xlfn.XMATCH(AZ$8,$AH$8:$CC$8))-_xlfn.XMATCH($C227,$C$35:$C$82)+1&lt;=_xlpm.DepreciationMonths,$C227&lt;=AZ$8),$E227/_xlpm.DepreciationMonths,0))</f>
        <v>0</v>
      </c>
      <c r="BA227" s="507" cm="1">
        <f t="array" ref="BA227">_xlfn.LET(_xlpm.DepreciationMonths,INDEX(FixedAssets[Depreciation
/ Amortization Months],_xlfn.XMATCH($E$186,FixedAssets[Asset ID])),IF(AND((_xlfn.XMATCH(BA$8,$AH$8:$CC$8))-_xlfn.XMATCH($C227,$C$35:$C$82)+1&lt;=_xlpm.DepreciationMonths,$C227&lt;=BA$8),$E227/_xlpm.DepreciationMonths,0))</f>
        <v>0</v>
      </c>
      <c r="BB227" s="507" cm="1">
        <f t="array" ref="BB227">_xlfn.LET(_xlpm.DepreciationMonths,INDEX(FixedAssets[Depreciation
/ Amortization Months],_xlfn.XMATCH($E$186,FixedAssets[Asset ID])),IF(AND((_xlfn.XMATCH(BB$8,$AH$8:$CC$8))-_xlfn.XMATCH($C227,$C$35:$C$82)+1&lt;=_xlpm.DepreciationMonths,$C227&lt;=BB$8),$E227/_xlpm.DepreciationMonths,0))</f>
        <v>0</v>
      </c>
      <c r="BC227" s="507" cm="1">
        <f t="array" ref="BC227">_xlfn.LET(_xlpm.DepreciationMonths,INDEX(FixedAssets[Depreciation
/ Amortization Months],_xlfn.XMATCH($E$186,FixedAssets[Asset ID])),IF(AND((_xlfn.XMATCH(BC$8,$AH$8:$CC$8))-_xlfn.XMATCH($C227,$C$35:$C$82)+1&lt;=_xlpm.DepreciationMonths,$C227&lt;=BC$8),$E227/_xlpm.DepreciationMonths,0))</f>
        <v>0</v>
      </c>
      <c r="BD227" s="507" cm="1">
        <f t="array" ref="BD227">_xlfn.LET(_xlpm.DepreciationMonths,INDEX(FixedAssets[Depreciation
/ Amortization Months],_xlfn.XMATCH($E$186,FixedAssets[Asset ID])),IF(AND((_xlfn.XMATCH(BD$8,$AH$8:$CC$8))-_xlfn.XMATCH($C227,$C$35:$C$82)+1&lt;=_xlpm.DepreciationMonths,$C227&lt;=BD$8),$E227/_xlpm.DepreciationMonths,0))</f>
        <v>0</v>
      </c>
      <c r="BE227" s="507" cm="1">
        <f t="array" ref="BE227">_xlfn.LET(_xlpm.DepreciationMonths,INDEX(FixedAssets[Depreciation
/ Amortization Months],_xlfn.XMATCH($E$186,FixedAssets[Asset ID])),IF(AND((_xlfn.XMATCH(BE$8,$AH$8:$CC$8))-_xlfn.XMATCH($C227,$C$35:$C$82)+1&lt;=_xlpm.DepreciationMonths,$C227&lt;=BE$8),$E227/_xlpm.DepreciationMonths,0))</f>
        <v>0</v>
      </c>
      <c r="BF227" s="507" cm="1">
        <f t="array" ref="BF227">_xlfn.LET(_xlpm.DepreciationMonths,INDEX(FixedAssets[Depreciation
/ Amortization Months],_xlfn.XMATCH($E$186,FixedAssets[Asset ID])),IF(AND((_xlfn.XMATCH(BF$8,$AH$8:$CC$8))-_xlfn.XMATCH($C227,$C$35:$C$82)+1&lt;=_xlpm.DepreciationMonths,$C227&lt;=BF$8),$E227/_xlpm.DepreciationMonths,0))</f>
        <v>0</v>
      </c>
      <c r="BG227" s="507" cm="1">
        <f t="array" ref="BG227">_xlfn.LET(_xlpm.DepreciationMonths,INDEX(FixedAssets[Depreciation
/ Amortization Months],_xlfn.XMATCH($E$186,FixedAssets[Asset ID])),IF(AND((_xlfn.XMATCH(BG$8,$AH$8:$CC$8))-_xlfn.XMATCH($C227,$C$35:$C$82)+1&lt;=_xlpm.DepreciationMonths,$C227&lt;=BG$8),$E227/_xlpm.DepreciationMonths,0))</f>
        <v>0</v>
      </c>
      <c r="BH227" s="507" cm="1">
        <f t="array" ref="BH227">_xlfn.LET(_xlpm.DepreciationMonths,INDEX(FixedAssets[Depreciation
/ Amortization Months],_xlfn.XMATCH($E$186,FixedAssets[Asset ID])),IF(AND((_xlfn.XMATCH(BH$8,$AH$8:$CC$8))-_xlfn.XMATCH($C227,$C$35:$C$82)+1&lt;=_xlpm.DepreciationMonths,$C227&lt;=BH$8),$E227/_xlpm.DepreciationMonths,0))</f>
        <v>0</v>
      </c>
      <c r="BI227" s="507" cm="1">
        <f t="array" ref="BI227">_xlfn.LET(_xlpm.DepreciationMonths,INDEX(FixedAssets[Depreciation
/ Amortization Months],_xlfn.XMATCH($E$186,FixedAssets[Asset ID])),IF(AND((_xlfn.XMATCH(BI$8,$AH$8:$CC$8))-_xlfn.XMATCH($C227,$C$35:$C$82)+1&lt;=_xlpm.DepreciationMonths,$C227&lt;=BI$8),$E227/_xlpm.DepreciationMonths,0))</f>
        <v>0</v>
      </c>
      <c r="BJ227" s="507" cm="1">
        <f t="array" ref="BJ227">_xlfn.LET(_xlpm.DepreciationMonths,INDEX(FixedAssets[Depreciation
/ Amortization Months],_xlfn.XMATCH($E$186,FixedAssets[Asset ID])),IF(AND((_xlfn.XMATCH(BJ$8,$AH$8:$CC$8))-_xlfn.XMATCH($C227,$C$35:$C$82)+1&lt;=_xlpm.DepreciationMonths,$C227&lt;=BJ$8),$E227/_xlpm.DepreciationMonths,0))</f>
        <v>0</v>
      </c>
      <c r="BK227" s="507" cm="1">
        <f t="array" ref="BK227">_xlfn.LET(_xlpm.DepreciationMonths,INDEX(FixedAssets[Depreciation
/ Amortization Months],_xlfn.XMATCH($E$186,FixedAssets[Asset ID])),IF(AND((_xlfn.XMATCH(BK$8,$AH$8:$CC$8))-_xlfn.XMATCH($C227,$C$35:$C$82)+1&lt;=_xlpm.DepreciationMonths,$C227&lt;=BK$8),$E227/_xlpm.DepreciationMonths,0))</f>
        <v>0</v>
      </c>
      <c r="BL227" s="507" cm="1">
        <f t="array" ref="BL227">_xlfn.LET(_xlpm.DepreciationMonths,INDEX(FixedAssets[Depreciation
/ Amortization Months],_xlfn.XMATCH($E$186,FixedAssets[Asset ID])),IF(AND((_xlfn.XMATCH(BL$8,$AH$8:$CC$8))-_xlfn.XMATCH($C227,$C$35:$C$82)+1&lt;=_xlpm.DepreciationMonths,$C227&lt;=BL$8),$E227/_xlpm.DepreciationMonths,0))</f>
        <v>0</v>
      </c>
      <c r="BM227" s="507" cm="1">
        <f t="array" ref="BM227">_xlfn.LET(_xlpm.DepreciationMonths,INDEX(FixedAssets[Depreciation
/ Amortization Months],_xlfn.XMATCH($E$186,FixedAssets[Asset ID])),IF(AND((_xlfn.XMATCH(BM$8,$AH$8:$CC$8))-_xlfn.XMATCH($C227,$C$35:$C$82)+1&lt;=_xlpm.DepreciationMonths,$C227&lt;=BM$8),$E227/_xlpm.DepreciationMonths,0))</f>
        <v>0</v>
      </c>
      <c r="BN227" s="507" cm="1">
        <f t="array" ref="BN227">_xlfn.LET(_xlpm.DepreciationMonths,INDEX(FixedAssets[Depreciation
/ Amortization Months],_xlfn.XMATCH($E$186,FixedAssets[Asset ID])),IF(AND((_xlfn.XMATCH(BN$8,$AH$8:$CC$8))-_xlfn.XMATCH($C227,$C$35:$C$82)+1&lt;=_xlpm.DepreciationMonths,$C227&lt;=BN$8),$E227/_xlpm.DepreciationMonths,0))</f>
        <v>0</v>
      </c>
      <c r="BO227" s="507" cm="1">
        <f t="array" ref="BO227">_xlfn.LET(_xlpm.DepreciationMonths,INDEX(FixedAssets[Depreciation
/ Amortization Months],_xlfn.XMATCH($E$186,FixedAssets[Asset ID])),IF(AND((_xlfn.XMATCH(BO$8,$AH$8:$CC$8))-_xlfn.XMATCH($C227,$C$35:$C$82)+1&lt;=_xlpm.DepreciationMonths,$C227&lt;=BO$8),$E227/_xlpm.DepreciationMonths,0))</f>
        <v>0</v>
      </c>
      <c r="BP227" s="507" cm="1">
        <f t="array" ref="BP227">_xlfn.LET(_xlpm.DepreciationMonths,INDEX(FixedAssets[Depreciation
/ Amortization Months],_xlfn.XMATCH($E$186,FixedAssets[Asset ID])),IF(AND((_xlfn.XMATCH(BP$8,$AH$8:$CC$8))-_xlfn.XMATCH($C227,$C$35:$C$82)+1&lt;=_xlpm.DepreciationMonths,$C227&lt;=BP$8),$E227/_xlpm.DepreciationMonths,0))</f>
        <v>0</v>
      </c>
      <c r="BQ227" s="507" cm="1">
        <f t="array" ref="BQ227">_xlfn.LET(_xlpm.DepreciationMonths,INDEX(FixedAssets[Depreciation
/ Amortization Months],_xlfn.XMATCH($E$186,FixedAssets[Asset ID])),IF(AND((_xlfn.XMATCH(BQ$8,$AH$8:$CC$8))-_xlfn.XMATCH($C227,$C$35:$C$82)+1&lt;=_xlpm.DepreciationMonths,$C227&lt;=BQ$8),$E227/_xlpm.DepreciationMonths,0))</f>
        <v>0</v>
      </c>
      <c r="BR227" s="507" cm="1">
        <f t="array" ref="BR227">_xlfn.LET(_xlpm.DepreciationMonths,INDEX(FixedAssets[Depreciation
/ Amortization Months],_xlfn.XMATCH($E$186,FixedAssets[Asset ID])),IF(AND((_xlfn.XMATCH(BR$8,$AH$8:$CC$8))-_xlfn.XMATCH($C227,$C$35:$C$82)+1&lt;=_xlpm.DepreciationMonths,$C227&lt;=BR$8),$E227/_xlpm.DepreciationMonths,0))</f>
        <v>0</v>
      </c>
      <c r="BS227" s="507" cm="1">
        <f t="array" ref="BS227">_xlfn.LET(_xlpm.DepreciationMonths,INDEX(FixedAssets[Depreciation
/ Amortization Months],_xlfn.XMATCH($E$186,FixedAssets[Asset ID])),IF(AND((_xlfn.XMATCH(BS$8,$AH$8:$CC$8))-_xlfn.XMATCH($C227,$C$35:$C$82)+1&lt;=_xlpm.DepreciationMonths,$C227&lt;=BS$8),$E227/_xlpm.DepreciationMonths,0))</f>
        <v>0</v>
      </c>
      <c r="BT227" s="507" cm="1">
        <f t="array" ref="BT227">_xlfn.LET(_xlpm.DepreciationMonths,INDEX(FixedAssets[Depreciation
/ Amortization Months],_xlfn.XMATCH($E$186,FixedAssets[Asset ID])),IF(AND((_xlfn.XMATCH(BT$8,$AH$8:$CC$8))-_xlfn.XMATCH($C227,$C$35:$C$82)+1&lt;=_xlpm.DepreciationMonths,$C227&lt;=BT$8),$E227/_xlpm.DepreciationMonths,0))</f>
        <v>0</v>
      </c>
      <c r="BU227" s="507" cm="1">
        <f t="array" ref="BU227">_xlfn.LET(_xlpm.DepreciationMonths,INDEX(FixedAssets[Depreciation
/ Amortization Months],_xlfn.XMATCH($E$186,FixedAssets[Asset ID])),IF(AND((_xlfn.XMATCH(BU$8,$AH$8:$CC$8))-_xlfn.XMATCH($C227,$C$35:$C$82)+1&lt;=_xlpm.DepreciationMonths,$C227&lt;=BU$8),$E227/_xlpm.DepreciationMonths,0))</f>
        <v>0</v>
      </c>
      <c r="BV227" s="507" cm="1">
        <f t="array" ref="BV227">_xlfn.LET(_xlpm.DepreciationMonths,INDEX(FixedAssets[Depreciation
/ Amortization Months],_xlfn.XMATCH($E$186,FixedAssets[Asset ID])),IF(AND((_xlfn.XMATCH(BV$8,$AH$8:$CC$8))-_xlfn.XMATCH($C227,$C$35:$C$82)+1&lt;=_xlpm.DepreciationMonths,$C227&lt;=BV$8),$E227/_xlpm.DepreciationMonths,0))</f>
        <v>0</v>
      </c>
      <c r="BW227" s="507" cm="1">
        <f t="array" ref="BW227">_xlfn.LET(_xlpm.DepreciationMonths,INDEX(FixedAssets[Depreciation
/ Amortization Months],_xlfn.XMATCH($E$186,FixedAssets[Asset ID])),IF(AND((_xlfn.XMATCH(BW$8,$AH$8:$CC$8))-_xlfn.XMATCH($C227,$C$35:$C$82)+1&lt;=_xlpm.DepreciationMonths,$C227&lt;=BW$8),$E227/_xlpm.DepreciationMonths,0))</f>
        <v>0</v>
      </c>
      <c r="BX227" s="507" cm="1">
        <f t="array" ref="BX227">_xlfn.LET(_xlpm.DepreciationMonths,INDEX(FixedAssets[Depreciation
/ Amortization Months],_xlfn.XMATCH($E$186,FixedAssets[Asset ID])),IF(AND((_xlfn.XMATCH(BX$8,$AH$8:$CC$8))-_xlfn.XMATCH($C227,$C$35:$C$82)+1&lt;=_xlpm.DepreciationMonths,$C227&lt;=BX$8),$E227/_xlpm.DepreciationMonths,0))</f>
        <v>0</v>
      </c>
      <c r="BY227" s="507" cm="1">
        <f t="array" ref="BY227">_xlfn.LET(_xlpm.DepreciationMonths,INDEX(FixedAssets[Depreciation
/ Amortization Months],_xlfn.XMATCH($E$186,FixedAssets[Asset ID])),IF(AND((_xlfn.XMATCH(BY$8,$AH$8:$CC$8))-_xlfn.XMATCH($C227,$C$35:$C$82)+1&lt;=_xlpm.DepreciationMonths,$C227&lt;=BY$8),$E227/_xlpm.DepreciationMonths,0))</f>
        <v>0</v>
      </c>
      <c r="BZ227" s="507" cm="1">
        <f t="array" ref="BZ227">_xlfn.LET(_xlpm.DepreciationMonths,INDEX(FixedAssets[Depreciation
/ Amortization Months],_xlfn.XMATCH($E$186,FixedAssets[Asset ID])),IF(AND((_xlfn.XMATCH(BZ$8,$AH$8:$CC$8))-_xlfn.XMATCH($C227,$C$35:$C$82)+1&lt;=_xlpm.DepreciationMonths,$C227&lt;=BZ$8),$E227/_xlpm.DepreciationMonths,0))</f>
        <v>0</v>
      </c>
      <c r="CA227" s="507" cm="1">
        <f t="array" ref="CA227">_xlfn.LET(_xlpm.DepreciationMonths,INDEX(FixedAssets[Depreciation
/ Amortization Months],_xlfn.XMATCH($E$186,FixedAssets[Asset ID])),IF(AND((_xlfn.XMATCH(CA$8,$AH$8:$CC$8))-_xlfn.XMATCH($C227,$C$35:$C$82)+1&lt;=_xlpm.DepreciationMonths,$C227&lt;=CA$8),$E227/_xlpm.DepreciationMonths,0))</f>
        <v>0</v>
      </c>
      <c r="CB227" s="507" cm="1">
        <f t="array" ref="CB227">_xlfn.LET(_xlpm.DepreciationMonths,INDEX(FixedAssets[Depreciation
/ Amortization Months],_xlfn.XMATCH($E$186,FixedAssets[Asset ID])),IF(AND((_xlfn.XMATCH(CB$8,$AH$8:$CC$8))-_xlfn.XMATCH($C227,$C$35:$C$82)+1&lt;=_xlpm.DepreciationMonths,$C227&lt;=CB$8),$E227/_xlpm.DepreciationMonths,0))</f>
        <v>0</v>
      </c>
      <c r="CC227" s="507" cm="1">
        <f t="array" ref="CC227">_xlfn.LET(_xlpm.DepreciationMonths,INDEX(FixedAssets[Depreciation
/ Amortization Months],_xlfn.XMATCH($E$186,FixedAssets[Asset ID])),IF(AND((_xlfn.XMATCH(CC$8,$AH$8:$CC$8))-_xlfn.XMATCH($C227,$C$35:$C$82)+1&lt;=_xlpm.DepreciationMonths,$C227&lt;=CC$8),$E227/_xlpm.DepreciationMonths,0))</f>
        <v>0</v>
      </c>
    </row>
    <row r="228" spans="3:81" hidden="1" outlineLevel="2">
      <c r="C228" s="664">
        <f t="shared" si="256"/>
        <v>46173</v>
      </c>
      <c r="D228" s="508"/>
      <c r="E228" s="508" cm="1">
        <f t="array" ref="E228">SUMPRODUCT(($AH$26:$CC$31)*($AH$5:$CC$5=$C228)*($E$26:$E$31=E$186))-SUMPRODUCT(($AH$26:$CC$31)*($AH$5:$CC$5=EOMONTH($C228,-1))*($E$26:$E$31=E$186))</f>
        <v>0</v>
      </c>
      <c r="F228" s="508"/>
      <c r="G228" s="508"/>
      <c r="H228" s="508"/>
      <c r="I228" s="508"/>
      <c r="J228" s="504">
        <f t="shared" si="254"/>
        <v>0</v>
      </c>
      <c r="K228" s="504">
        <f t="shared" si="254"/>
        <v>0</v>
      </c>
      <c r="L228" s="504">
        <f t="shared" si="254"/>
        <v>0</v>
      </c>
      <c r="M228" s="504">
        <f t="shared" si="254"/>
        <v>0</v>
      </c>
      <c r="N228" s="504"/>
      <c r="O228" s="504"/>
      <c r="P228" s="504">
        <f t="shared" si="260"/>
        <v>0</v>
      </c>
      <c r="Q228" s="504">
        <f t="shared" si="260"/>
        <v>0</v>
      </c>
      <c r="R228" s="504">
        <f t="shared" si="260"/>
        <v>0</v>
      </c>
      <c r="S228" s="504">
        <f t="shared" si="260"/>
        <v>0</v>
      </c>
      <c r="T228" s="504">
        <f t="shared" si="260"/>
        <v>0</v>
      </c>
      <c r="U228" s="504">
        <f t="shared" si="260"/>
        <v>0</v>
      </c>
      <c r="V228" s="504">
        <f t="shared" si="260"/>
        <v>0</v>
      </c>
      <c r="W228" s="504">
        <f t="shared" si="260"/>
        <v>0</v>
      </c>
      <c r="X228" s="504">
        <f t="shared" si="260"/>
        <v>0</v>
      </c>
      <c r="Y228" s="504">
        <f t="shared" si="260"/>
        <v>0</v>
      </c>
      <c r="Z228" s="504">
        <f t="shared" si="260"/>
        <v>0</v>
      </c>
      <c r="AA228" s="504">
        <f t="shared" si="260"/>
        <v>0</v>
      </c>
      <c r="AB228" s="504">
        <f t="shared" si="260"/>
        <v>0</v>
      </c>
      <c r="AC228" s="504">
        <f t="shared" si="260"/>
        <v>0</v>
      </c>
      <c r="AD228" s="504">
        <f t="shared" si="260"/>
        <v>0</v>
      </c>
      <c r="AE228" s="504">
        <f t="shared" si="260"/>
        <v>0</v>
      </c>
      <c r="AF228" s="508"/>
      <c r="AG228" s="508"/>
      <c r="AH228" s="507" cm="1">
        <f t="array" ref="AH228">_xlfn.LET(_xlpm.DepreciationMonths,INDEX(FixedAssets[Depreciation
/ Amortization Months],_xlfn.XMATCH($E$186,FixedAssets[Asset ID])),IF(AND((_xlfn.XMATCH(AH$8,$AH$8:$CC$8))-_xlfn.XMATCH($C228,$C$35:$C$82)+1&lt;=_xlpm.DepreciationMonths,$C228&lt;=AH$8),$E228/_xlpm.DepreciationMonths,0))</f>
        <v>0</v>
      </c>
      <c r="AI228" s="507" cm="1">
        <f t="array" ref="AI228">_xlfn.LET(_xlpm.DepreciationMonths,INDEX(FixedAssets[Depreciation
/ Amortization Months],_xlfn.XMATCH($E$186,FixedAssets[Asset ID])),IF(AND((_xlfn.XMATCH(AI$8,$AH$8:$CC$8))-_xlfn.XMATCH($C228,$C$35:$C$82)+1&lt;=_xlpm.DepreciationMonths,$C228&lt;=AI$8),$E228/_xlpm.DepreciationMonths,0))</f>
        <v>0</v>
      </c>
      <c r="AJ228" s="507" cm="1">
        <f t="array" ref="AJ228">_xlfn.LET(_xlpm.DepreciationMonths,INDEX(FixedAssets[Depreciation
/ Amortization Months],_xlfn.XMATCH($E$186,FixedAssets[Asset ID])),IF(AND((_xlfn.XMATCH(AJ$8,$AH$8:$CC$8))-_xlfn.XMATCH($C228,$C$35:$C$82)+1&lt;=_xlpm.DepreciationMonths,$C228&lt;=AJ$8),$E228/_xlpm.DepreciationMonths,0))</f>
        <v>0</v>
      </c>
      <c r="AK228" s="507" cm="1">
        <f t="array" ref="AK228">_xlfn.LET(_xlpm.DepreciationMonths,INDEX(FixedAssets[Depreciation
/ Amortization Months],_xlfn.XMATCH($E$186,FixedAssets[Asset ID])),IF(AND((_xlfn.XMATCH(AK$8,$AH$8:$CC$8))-_xlfn.XMATCH($C228,$C$35:$C$82)+1&lt;=_xlpm.DepreciationMonths,$C228&lt;=AK$8),$E228/_xlpm.DepreciationMonths,0))</f>
        <v>0</v>
      </c>
      <c r="AL228" s="507" cm="1">
        <f t="array" ref="AL228">_xlfn.LET(_xlpm.DepreciationMonths,INDEX(FixedAssets[Depreciation
/ Amortization Months],_xlfn.XMATCH($E$186,FixedAssets[Asset ID])),IF(AND((_xlfn.XMATCH(AL$8,$AH$8:$CC$8))-_xlfn.XMATCH($C228,$C$35:$C$82)+1&lt;=_xlpm.DepreciationMonths,$C228&lt;=AL$8),$E228/_xlpm.DepreciationMonths,0))</f>
        <v>0</v>
      </c>
      <c r="AM228" s="507" cm="1">
        <f t="array" ref="AM228">_xlfn.LET(_xlpm.DepreciationMonths,INDEX(FixedAssets[Depreciation
/ Amortization Months],_xlfn.XMATCH($E$186,FixedAssets[Asset ID])),IF(AND((_xlfn.XMATCH(AM$8,$AH$8:$CC$8))-_xlfn.XMATCH($C228,$C$35:$C$82)+1&lt;=_xlpm.DepreciationMonths,$C228&lt;=AM$8),$E228/_xlpm.DepreciationMonths,0))</f>
        <v>0</v>
      </c>
      <c r="AN228" s="507" cm="1">
        <f t="array" ref="AN228">_xlfn.LET(_xlpm.DepreciationMonths,INDEX(FixedAssets[Depreciation
/ Amortization Months],_xlfn.XMATCH($E$186,FixedAssets[Asset ID])),IF(AND((_xlfn.XMATCH(AN$8,$AH$8:$CC$8))-_xlfn.XMATCH($C228,$C$35:$C$82)+1&lt;=_xlpm.DepreciationMonths,$C228&lt;=AN$8),$E228/_xlpm.DepreciationMonths,0))</f>
        <v>0</v>
      </c>
      <c r="AO228" s="507" cm="1">
        <f t="array" ref="AO228">_xlfn.LET(_xlpm.DepreciationMonths,INDEX(FixedAssets[Depreciation
/ Amortization Months],_xlfn.XMATCH($E$186,FixedAssets[Asset ID])),IF(AND((_xlfn.XMATCH(AO$8,$AH$8:$CC$8))-_xlfn.XMATCH($C228,$C$35:$C$82)+1&lt;=_xlpm.DepreciationMonths,$C228&lt;=AO$8),$E228/_xlpm.DepreciationMonths,0))</f>
        <v>0</v>
      </c>
      <c r="AP228" s="507" cm="1">
        <f t="array" ref="AP228">_xlfn.LET(_xlpm.DepreciationMonths,INDEX(FixedAssets[Depreciation
/ Amortization Months],_xlfn.XMATCH($E$186,FixedAssets[Asset ID])),IF(AND((_xlfn.XMATCH(AP$8,$AH$8:$CC$8))-_xlfn.XMATCH($C228,$C$35:$C$82)+1&lt;=_xlpm.DepreciationMonths,$C228&lt;=AP$8),$E228/_xlpm.DepreciationMonths,0))</f>
        <v>0</v>
      </c>
      <c r="AQ228" s="507" cm="1">
        <f t="array" ref="AQ228">_xlfn.LET(_xlpm.DepreciationMonths,INDEX(FixedAssets[Depreciation
/ Amortization Months],_xlfn.XMATCH($E$186,FixedAssets[Asset ID])),IF(AND((_xlfn.XMATCH(AQ$8,$AH$8:$CC$8))-_xlfn.XMATCH($C228,$C$35:$C$82)+1&lt;=_xlpm.DepreciationMonths,$C228&lt;=AQ$8),$E228/_xlpm.DepreciationMonths,0))</f>
        <v>0</v>
      </c>
      <c r="AR228" s="507" cm="1">
        <f t="array" ref="AR228">_xlfn.LET(_xlpm.DepreciationMonths,INDEX(FixedAssets[Depreciation
/ Amortization Months],_xlfn.XMATCH($E$186,FixedAssets[Asset ID])),IF(AND((_xlfn.XMATCH(AR$8,$AH$8:$CC$8))-_xlfn.XMATCH($C228,$C$35:$C$82)+1&lt;=_xlpm.DepreciationMonths,$C228&lt;=AR$8),$E228/_xlpm.DepreciationMonths,0))</f>
        <v>0</v>
      </c>
      <c r="AS228" s="507" cm="1">
        <f t="array" ref="AS228">_xlfn.LET(_xlpm.DepreciationMonths,INDEX(FixedAssets[Depreciation
/ Amortization Months],_xlfn.XMATCH($E$186,FixedAssets[Asset ID])),IF(AND((_xlfn.XMATCH(AS$8,$AH$8:$CC$8))-_xlfn.XMATCH($C228,$C$35:$C$82)+1&lt;=_xlpm.DepreciationMonths,$C228&lt;=AS$8),$E228/_xlpm.DepreciationMonths,0))</f>
        <v>0</v>
      </c>
      <c r="AT228" s="507" cm="1">
        <f t="array" ref="AT228">_xlfn.LET(_xlpm.DepreciationMonths,INDEX(FixedAssets[Depreciation
/ Amortization Months],_xlfn.XMATCH($E$186,FixedAssets[Asset ID])),IF(AND((_xlfn.XMATCH(AT$8,$AH$8:$CC$8))-_xlfn.XMATCH($C228,$C$35:$C$82)+1&lt;=_xlpm.DepreciationMonths,$C228&lt;=AT$8),$E228/_xlpm.DepreciationMonths,0))</f>
        <v>0</v>
      </c>
      <c r="AU228" s="507" cm="1">
        <f t="array" ref="AU228">_xlfn.LET(_xlpm.DepreciationMonths,INDEX(FixedAssets[Depreciation
/ Amortization Months],_xlfn.XMATCH($E$186,FixedAssets[Asset ID])),IF(AND((_xlfn.XMATCH(AU$8,$AH$8:$CC$8))-_xlfn.XMATCH($C228,$C$35:$C$82)+1&lt;=_xlpm.DepreciationMonths,$C228&lt;=AU$8),$E228/_xlpm.DepreciationMonths,0))</f>
        <v>0</v>
      </c>
      <c r="AV228" s="507" cm="1">
        <f t="array" ref="AV228">_xlfn.LET(_xlpm.DepreciationMonths,INDEX(FixedAssets[Depreciation
/ Amortization Months],_xlfn.XMATCH($E$186,FixedAssets[Asset ID])),IF(AND((_xlfn.XMATCH(AV$8,$AH$8:$CC$8))-_xlfn.XMATCH($C228,$C$35:$C$82)+1&lt;=_xlpm.DepreciationMonths,$C228&lt;=AV$8),$E228/_xlpm.DepreciationMonths,0))</f>
        <v>0</v>
      </c>
      <c r="AW228" s="507" cm="1">
        <f t="array" ref="AW228">_xlfn.LET(_xlpm.DepreciationMonths,INDEX(FixedAssets[Depreciation
/ Amortization Months],_xlfn.XMATCH($E$186,FixedAssets[Asset ID])),IF(AND((_xlfn.XMATCH(AW$8,$AH$8:$CC$8))-_xlfn.XMATCH($C228,$C$35:$C$82)+1&lt;=_xlpm.DepreciationMonths,$C228&lt;=AW$8),$E228/_xlpm.DepreciationMonths,0))</f>
        <v>0</v>
      </c>
      <c r="AX228" s="507" cm="1">
        <f t="array" ref="AX228">_xlfn.LET(_xlpm.DepreciationMonths,INDEX(FixedAssets[Depreciation
/ Amortization Months],_xlfn.XMATCH($E$186,FixedAssets[Asset ID])),IF(AND((_xlfn.XMATCH(AX$8,$AH$8:$CC$8))-_xlfn.XMATCH($C228,$C$35:$C$82)+1&lt;=_xlpm.DepreciationMonths,$C228&lt;=AX$8),$E228/_xlpm.DepreciationMonths,0))</f>
        <v>0</v>
      </c>
      <c r="AY228" s="507" cm="1">
        <f t="array" ref="AY228">_xlfn.LET(_xlpm.DepreciationMonths,INDEX(FixedAssets[Depreciation
/ Amortization Months],_xlfn.XMATCH($E$186,FixedAssets[Asset ID])),IF(AND((_xlfn.XMATCH(AY$8,$AH$8:$CC$8))-_xlfn.XMATCH($C228,$C$35:$C$82)+1&lt;=_xlpm.DepreciationMonths,$C228&lt;=AY$8),$E228/_xlpm.DepreciationMonths,0))</f>
        <v>0</v>
      </c>
      <c r="AZ228" s="507" cm="1">
        <f t="array" ref="AZ228">_xlfn.LET(_xlpm.DepreciationMonths,INDEX(FixedAssets[Depreciation
/ Amortization Months],_xlfn.XMATCH($E$186,FixedAssets[Asset ID])),IF(AND((_xlfn.XMATCH(AZ$8,$AH$8:$CC$8))-_xlfn.XMATCH($C228,$C$35:$C$82)+1&lt;=_xlpm.DepreciationMonths,$C228&lt;=AZ$8),$E228/_xlpm.DepreciationMonths,0))</f>
        <v>0</v>
      </c>
      <c r="BA228" s="507" cm="1">
        <f t="array" ref="BA228">_xlfn.LET(_xlpm.DepreciationMonths,INDEX(FixedAssets[Depreciation
/ Amortization Months],_xlfn.XMATCH($E$186,FixedAssets[Asset ID])),IF(AND((_xlfn.XMATCH(BA$8,$AH$8:$CC$8))-_xlfn.XMATCH($C228,$C$35:$C$82)+1&lt;=_xlpm.DepreciationMonths,$C228&lt;=BA$8),$E228/_xlpm.DepreciationMonths,0))</f>
        <v>0</v>
      </c>
      <c r="BB228" s="507" cm="1">
        <f t="array" ref="BB228">_xlfn.LET(_xlpm.DepreciationMonths,INDEX(FixedAssets[Depreciation
/ Amortization Months],_xlfn.XMATCH($E$186,FixedAssets[Asset ID])),IF(AND((_xlfn.XMATCH(BB$8,$AH$8:$CC$8))-_xlfn.XMATCH($C228,$C$35:$C$82)+1&lt;=_xlpm.DepreciationMonths,$C228&lt;=BB$8),$E228/_xlpm.DepreciationMonths,0))</f>
        <v>0</v>
      </c>
      <c r="BC228" s="507" cm="1">
        <f t="array" ref="BC228">_xlfn.LET(_xlpm.DepreciationMonths,INDEX(FixedAssets[Depreciation
/ Amortization Months],_xlfn.XMATCH($E$186,FixedAssets[Asset ID])),IF(AND((_xlfn.XMATCH(BC$8,$AH$8:$CC$8))-_xlfn.XMATCH($C228,$C$35:$C$82)+1&lt;=_xlpm.DepreciationMonths,$C228&lt;=BC$8),$E228/_xlpm.DepreciationMonths,0))</f>
        <v>0</v>
      </c>
      <c r="BD228" s="507" cm="1">
        <f t="array" ref="BD228">_xlfn.LET(_xlpm.DepreciationMonths,INDEX(FixedAssets[Depreciation
/ Amortization Months],_xlfn.XMATCH($E$186,FixedAssets[Asset ID])),IF(AND((_xlfn.XMATCH(BD$8,$AH$8:$CC$8))-_xlfn.XMATCH($C228,$C$35:$C$82)+1&lt;=_xlpm.DepreciationMonths,$C228&lt;=BD$8),$E228/_xlpm.DepreciationMonths,0))</f>
        <v>0</v>
      </c>
      <c r="BE228" s="507" cm="1">
        <f t="array" ref="BE228">_xlfn.LET(_xlpm.DepreciationMonths,INDEX(FixedAssets[Depreciation
/ Amortization Months],_xlfn.XMATCH($E$186,FixedAssets[Asset ID])),IF(AND((_xlfn.XMATCH(BE$8,$AH$8:$CC$8))-_xlfn.XMATCH($C228,$C$35:$C$82)+1&lt;=_xlpm.DepreciationMonths,$C228&lt;=BE$8),$E228/_xlpm.DepreciationMonths,0))</f>
        <v>0</v>
      </c>
      <c r="BF228" s="507" cm="1">
        <f t="array" ref="BF228">_xlfn.LET(_xlpm.DepreciationMonths,INDEX(FixedAssets[Depreciation
/ Amortization Months],_xlfn.XMATCH($E$186,FixedAssets[Asset ID])),IF(AND((_xlfn.XMATCH(BF$8,$AH$8:$CC$8))-_xlfn.XMATCH($C228,$C$35:$C$82)+1&lt;=_xlpm.DepreciationMonths,$C228&lt;=BF$8),$E228/_xlpm.DepreciationMonths,0))</f>
        <v>0</v>
      </c>
      <c r="BG228" s="507" cm="1">
        <f t="array" ref="BG228">_xlfn.LET(_xlpm.DepreciationMonths,INDEX(FixedAssets[Depreciation
/ Amortization Months],_xlfn.XMATCH($E$186,FixedAssets[Asset ID])),IF(AND((_xlfn.XMATCH(BG$8,$AH$8:$CC$8))-_xlfn.XMATCH($C228,$C$35:$C$82)+1&lt;=_xlpm.DepreciationMonths,$C228&lt;=BG$8),$E228/_xlpm.DepreciationMonths,0))</f>
        <v>0</v>
      </c>
      <c r="BH228" s="507" cm="1">
        <f t="array" ref="BH228">_xlfn.LET(_xlpm.DepreciationMonths,INDEX(FixedAssets[Depreciation
/ Amortization Months],_xlfn.XMATCH($E$186,FixedAssets[Asset ID])),IF(AND((_xlfn.XMATCH(BH$8,$AH$8:$CC$8))-_xlfn.XMATCH($C228,$C$35:$C$82)+1&lt;=_xlpm.DepreciationMonths,$C228&lt;=BH$8),$E228/_xlpm.DepreciationMonths,0))</f>
        <v>0</v>
      </c>
      <c r="BI228" s="507" cm="1">
        <f t="array" ref="BI228">_xlfn.LET(_xlpm.DepreciationMonths,INDEX(FixedAssets[Depreciation
/ Amortization Months],_xlfn.XMATCH($E$186,FixedAssets[Asset ID])),IF(AND((_xlfn.XMATCH(BI$8,$AH$8:$CC$8))-_xlfn.XMATCH($C228,$C$35:$C$82)+1&lt;=_xlpm.DepreciationMonths,$C228&lt;=BI$8),$E228/_xlpm.DepreciationMonths,0))</f>
        <v>0</v>
      </c>
      <c r="BJ228" s="507" cm="1">
        <f t="array" ref="BJ228">_xlfn.LET(_xlpm.DepreciationMonths,INDEX(FixedAssets[Depreciation
/ Amortization Months],_xlfn.XMATCH($E$186,FixedAssets[Asset ID])),IF(AND((_xlfn.XMATCH(BJ$8,$AH$8:$CC$8))-_xlfn.XMATCH($C228,$C$35:$C$82)+1&lt;=_xlpm.DepreciationMonths,$C228&lt;=BJ$8),$E228/_xlpm.DepreciationMonths,0))</f>
        <v>0</v>
      </c>
      <c r="BK228" s="507" cm="1">
        <f t="array" ref="BK228">_xlfn.LET(_xlpm.DepreciationMonths,INDEX(FixedAssets[Depreciation
/ Amortization Months],_xlfn.XMATCH($E$186,FixedAssets[Asset ID])),IF(AND((_xlfn.XMATCH(BK$8,$AH$8:$CC$8))-_xlfn.XMATCH($C228,$C$35:$C$82)+1&lt;=_xlpm.DepreciationMonths,$C228&lt;=BK$8),$E228/_xlpm.DepreciationMonths,0))</f>
        <v>0</v>
      </c>
      <c r="BL228" s="507" cm="1">
        <f t="array" ref="BL228">_xlfn.LET(_xlpm.DepreciationMonths,INDEX(FixedAssets[Depreciation
/ Amortization Months],_xlfn.XMATCH($E$186,FixedAssets[Asset ID])),IF(AND((_xlfn.XMATCH(BL$8,$AH$8:$CC$8))-_xlfn.XMATCH($C228,$C$35:$C$82)+1&lt;=_xlpm.DepreciationMonths,$C228&lt;=BL$8),$E228/_xlpm.DepreciationMonths,0))</f>
        <v>0</v>
      </c>
      <c r="BM228" s="507" cm="1">
        <f t="array" ref="BM228">_xlfn.LET(_xlpm.DepreciationMonths,INDEX(FixedAssets[Depreciation
/ Amortization Months],_xlfn.XMATCH($E$186,FixedAssets[Asset ID])),IF(AND((_xlfn.XMATCH(BM$8,$AH$8:$CC$8))-_xlfn.XMATCH($C228,$C$35:$C$82)+1&lt;=_xlpm.DepreciationMonths,$C228&lt;=BM$8),$E228/_xlpm.DepreciationMonths,0))</f>
        <v>0</v>
      </c>
      <c r="BN228" s="507" cm="1">
        <f t="array" ref="BN228">_xlfn.LET(_xlpm.DepreciationMonths,INDEX(FixedAssets[Depreciation
/ Amortization Months],_xlfn.XMATCH($E$186,FixedAssets[Asset ID])),IF(AND((_xlfn.XMATCH(BN$8,$AH$8:$CC$8))-_xlfn.XMATCH($C228,$C$35:$C$82)+1&lt;=_xlpm.DepreciationMonths,$C228&lt;=BN$8),$E228/_xlpm.DepreciationMonths,0))</f>
        <v>0</v>
      </c>
      <c r="BO228" s="507" cm="1">
        <f t="array" ref="BO228">_xlfn.LET(_xlpm.DepreciationMonths,INDEX(FixedAssets[Depreciation
/ Amortization Months],_xlfn.XMATCH($E$186,FixedAssets[Asset ID])),IF(AND((_xlfn.XMATCH(BO$8,$AH$8:$CC$8))-_xlfn.XMATCH($C228,$C$35:$C$82)+1&lt;=_xlpm.DepreciationMonths,$C228&lt;=BO$8),$E228/_xlpm.DepreciationMonths,0))</f>
        <v>0</v>
      </c>
      <c r="BP228" s="507" cm="1">
        <f t="array" ref="BP228">_xlfn.LET(_xlpm.DepreciationMonths,INDEX(FixedAssets[Depreciation
/ Amortization Months],_xlfn.XMATCH($E$186,FixedAssets[Asset ID])),IF(AND((_xlfn.XMATCH(BP$8,$AH$8:$CC$8))-_xlfn.XMATCH($C228,$C$35:$C$82)+1&lt;=_xlpm.DepreciationMonths,$C228&lt;=BP$8),$E228/_xlpm.DepreciationMonths,0))</f>
        <v>0</v>
      </c>
      <c r="BQ228" s="507" cm="1">
        <f t="array" ref="BQ228">_xlfn.LET(_xlpm.DepreciationMonths,INDEX(FixedAssets[Depreciation
/ Amortization Months],_xlfn.XMATCH($E$186,FixedAssets[Asset ID])),IF(AND((_xlfn.XMATCH(BQ$8,$AH$8:$CC$8))-_xlfn.XMATCH($C228,$C$35:$C$82)+1&lt;=_xlpm.DepreciationMonths,$C228&lt;=BQ$8),$E228/_xlpm.DepreciationMonths,0))</f>
        <v>0</v>
      </c>
      <c r="BR228" s="507" cm="1">
        <f t="array" ref="BR228">_xlfn.LET(_xlpm.DepreciationMonths,INDEX(FixedAssets[Depreciation
/ Amortization Months],_xlfn.XMATCH($E$186,FixedAssets[Asset ID])),IF(AND((_xlfn.XMATCH(BR$8,$AH$8:$CC$8))-_xlfn.XMATCH($C228,$C$35:$C$82)+1&lt;=_xlpm.DepreciationMonths,$C228&lt;=BR$8),$E228/_xlpm.DepreciationMonths,0))</f>
        <v>0</v>
      </c>
      <c r="BS228" s="507" cm="1">
        <f t="array" ref="BS228">_xlfn.LET(_xlpm.DepreciationMonths,INDEX(FixedAssets[Depreciation
/ Amortization Months],_xlfn.XMATCH($E$186,FixedAssets[Asset ID])),IF(AND((_xlfn.XMATCH(BS$8,$AH$8:$CC$8))-_xlfn.XMATCH($C228,$C$35:$C$82)+1&lt;=_xlpm.DepreciationMonths,$C228&lt;=BS$8),$E228/_xlpm.DepreciationMonths,0))</f>
        <v>0</v>
      </c>
      <c r="BT228" s="507" cm="1">
        <f t="array" ref="BT228">_xlfn.LET(_xlpm.DepreciationMonths,INDEX(FixedAssets[Depreciation
/ Amortization Months],_xlfn.XMATCH($E$186,FixedAssets[Asset ID])),IF(AND((_xlfn.XMATCH(BT$8,$AH$8:$CC$8))-_xlfn.XMATCH($C228,$C$35:$C$82)+1&lt;=_xlpm.DepreciationMonths,$C228&lt;=BT$8),$E228/_xlpm.DepreciationMonths,0))</f>
        <v>0</v>
      </c>
      <c r="BU228" s="507" cm="1">
        <f t="array" ref="BU228">_xlfn.LET(_xlpm.DepreciationMonths,INDEX(FixedAssets[Depreciation
/ Amortization Months],_xlfn.XMATCH($E$186,FixedAssets[Asset ID])),IF(AND((_xlfn.XMATCH(BU$8,$AH$8:$CC$8))-_xlfn.XMATCH($C228,$C$35:$C$82)+1&lt;=_xlpm.DepreciationMonths,$C228&lt;=BU$8),$E228/_xlpm.DepreciationMonths,0))</f>
        <v>0</v>
      </c>
      <c r="BV228" s="507" cm="1">
        <f t="array" ref="BV228">_xlfn.LET(_xlpm.DepreciationMonths,INDEX(FixedAssets[Depreciation
/ Amortization Months],_xlfn.XMATCH($E$186,FixedAssets[Asset ID])),IF(AND((_xlfn.XMATCH(BV$8,$AH$8:$CC$8))-_xlfn.XMATCH($C228,$C$35:$C$82)+1&lt;=_xlpm.DepreciationMonths,$C228&lt;=BV$8),$E228/_xlpm.DepreciationMonths,0))</f>
        <v>0</v>
      </c>
      <c r="BW228" s="507" cm="1">
        <f t="array" ref="BW228">_xlfn.LET(_xlpm.DepreciationMonths,INDEX(FixedAssets[Depreciation
/ Amortization Months],_xlfn.XMATCH($E$186,FixedAssets[Asset ID])),IF(AND((_xlfn.XMATCH(BW$8,$AH$8:$CC$8))-_xlfn.XMATCH($C228,$C$35:$C$82)+1&lt;=_xlpm.DepreciationMonths,$C228&lt;=BW$8),$E228/_xlpm.DepreciationMonths,0))</f>
        <v>0</v>
      </c>
      <c r="BX228" s="507" cm="1">
        <f t="array" ref="BX228">_xlfn.LET(_xlpm.DepreciationMonths,INDEX(FixedAssets[Depreciation
/ Amortization Months],_xlfn.XMATCH($E$186,FixedAssets[Asset ID])),IF(AND((_xlfn.XMATCH(BX$8,$AH$8:$CC$8))-_xlfn.XMATCH($C228,$C$35:$C$82)+1&lt;=_xlpm.DepreciationMonths,$C228&lt;=BX$8),$E228/_xlpm.DepreciationMonths,0))</f>
        <v>0</v>
      </c>
      <c r="BY228" s="507" cm="1">
        <f t="array" ref="BY228">_xlfn.LET(_xlpm.DepreciationMonths,INDEX(FixedAssets[Depreciation
/ Amortization Months],_xlfn.XMATCH($E$186,FixedAssets[Asset ID])),IF(AND((_xlfn.XMATCH(BY$8,$AH$8:$CC$8))-_xlfn.XMATCH($C228,$C$35:$C$82)+1&lt;=_xlpm.DepreciationMonths,$C228&lt;=BY$8),$E228/_xlpm.DepreciationMonths,0))</f>
        <v>0</v>
      </c>
      <c r="BZ228" s="507" cm="1">
        <f t="array" ref="BZ228">_xlfn.LET(_xlpm.DepreciationMonths,INDEX(FixedAssets[Depreciation
/ Amortization Months],_xlfn.XMATCH($E$186,FixedAssets[Asset ID])),IF(AND((_xlfn.XMATCH(BZ$8,$AH$8:$CC$8))-_xlfn.XMATCH($C228,$C$35:$C$82)+1&lt;=_xlpm.DepreciationMonths,$C228&lt;=BZ$8),$E228/_xlpm.DepreciationMonths,0))</f>
        <v>0</v>
      </c>
      <c r="CA228" s="507" cm="1">
        <f t="array" ref="CA228">_xlfn.LET(_xlpm.DepreciationMonths,INDEX(FixedAssets[Depreciation
/ Amortization Months],_xlfn.XMATCH($E$186,FixedAssets[Asset ID])),IF(AND((_xlfn.XMATCH(CA$8,$AH$8:$CC$8))-_xlfn.XMATCH($C228,$C$35:$C$82)+1&lt;=_xlpm.DepreciationMonths,$C228&lt;=CA$8),$E228/_xlpm.DepreciationMonths,0))</f>
        <v>0</v>
      </c>
      <c r="CB228" s="507" cm="1">
        <f t="array" ref="CB228">_xlfn.LET(_xlpm.DepreciationMonths,INDEX(FixedAssets[Depreciation
/ Amortization Months],_xlfn.XMATCH($E$186,FixedAssets[Asset ID])),IF(AND((_xlfn.XMATCH(CB$8,$AH$8:$CC$8))-_xlfn.XMATCH($C228,$C$35:$C$82)+1&lt;=_xlpm.DepreciationMonths,$C228&lt;=CB$8),$E228/_xlpm.DepreciationMonths,0))</f>
        <v>0</v>
      </c>
      <c r="CC228" s="507" cm="1">
        <f t="array" ref="CC228">_xlfn.LET(_xlpm.DepreciationMonths,INDEX(FixedAssets[Depreciation
/ Amortization Months],_xlfn.XMATCH($E$186,FixedAssets[Asset ID])),IF(AND((_xlfn.XMATCH(CC$8,$AH$8:$CC$8))-_xlfn.XMATCH($C228,$C$35:$C$82)+1&lt;=_xlpm.DepreciationMonths,$C228&lt;=CC$8),$E228/_xlpm.DepreciationMonths,0))</f>
        <v>0</v>
      </c>
    </row>
    <row r="229" spans="3:81" hidden="1" outlineLevel="2">
      <c r="C229" s="664">
        <f t="shared" si="256"/>
        <v>46203</v>
      </c>
      <c r="D229" s="508"/>
      <c r="E229" s="508" cm="1">
        <f t="array" ref="E229">SUMPRODUCT(($AH$26:$CC$31)*($AH$5:$CC$5=$C229)*($E$26:$E$31=E$186))-SUMPRODUCT(($AH$26:$CC$31)*($AH$5:$CC$5=EOMONTH($C229,-1))*($E$26:$E$31=E$186))</f>
        <v>0</v>
      </c>
      <c r="F229" s="508"/>
      <c r="G229" s="508"/>
      <c r="H229" s="508"/>
      <c r="I229" s="508"/>
      <c r="J229" s="504">
        <f t="shared" si="254"/>
        <v>0</v>
      </c>
      <c r="K229" s="504">
        <f t="shared" si="254"/>
        <v>0</v>
      </c>
      <c r="L229" s="504">
        <f t="shared" si="254"/>
        <v>0</v>
      </c>
      <c r="M229" s="504">
        <f t="shared" si="254"/>
        <v>0</v>
      </c>
      <c r="N229" s="504"/>
      <c r="O229" s="504"/>
      <c r="P229" s="504">
        <f t="shared" si="260"/>
        <v>0</v>
      </c>
      <c r="Q229" s="504">
        <f t="shared" si="260"/>
        <v>0</v>
      </c>
      <c r="R229" s="504">
        <f t="shared" si="260"/>
        <v>0</v>
      </c>
      <c r="S229" s="504">
        <f t="shared" si="260"/>
        <v>0</v>
      </c>
      <c r="T229" s="504">
        <f t="shared" si="260"/>
        <v>0</v>
      </c>
      <c r="U229" s="504">
        <f t="shared" si="260"/>
        <v>0</v>
      </c>
      <c r="V229" s="504">
        <f t="shared" si="260"/>
        <v>0</v>
      </c>
      <c r="W229" s="504">
        <f t="shared" si="260"/>
        <v>0</v>
      </c>
      <c r="X229" s="504">
        <f t="shared" si="260"/>
        <v>0</v>
      </c>
      <c r="Y229" s="504">
        <f t="shared" si="260"/>
        <v>0</v>
      </c>
      <c r="Z229" s="504">
        <f t="shared" si="260"/>
        <v>0</v>
      </c>
      <c r="AA229" s="504">
        <f t="shared" si="260"/>
        <v>0</v>
      </c>
      <c r="AB229" s="504">
        <f t="shared" si="260"/>
        <v>0</v>
      </c>
      <c r="AC229" s="504">
        <f t="shared" si="260"/>
        <v>0</v>
      </c>
      <c r="AD229" s="504">
        <f t="shared" si="260"/>
        <v>0</v>
      </c>
      <c r="AE229" s="504">
        <f t="shared" si="260"/>
        <v>0</v>
      </c>
      <c r="AF229" s="508"/>
      <c r="AG229" s="508"/>
      <c r="AH229" s="507" cm="1">
        <f t="array" ref="AH229">_xlfn.LET(_xlpm.DepreciationMonths,INDEX(FixedAssets[Depreciation
/ Amortization Months],_xlfn.XMATCH($E$186,FixedAssets[Asset ID])),IF(AND((_xlfn.XMATCH(AH$8,$AH$8:$CC$8))-_xlfn.XMATCH($C229,$C$35:$C$82)+1&lt;=_xlpm.DepreciationMonths,$C229&lt;=AH$8),$E229/_xlpm.DepreciationMonths,0))</f>
        <v>0</v>
      </c>
      <c r="AI229" s="507" cm="1">
        <f t="array" ref="AI229">_xlfn.LET(_xlpm.DepreciationMonths,INDEX(FixedAssets[Depreciation
/ Amortization Months],_xlfn.XMATCH($E$186,FixedAssets[Asset ID])),IF(AND((_xlfn.XMATCH(AI$8,$AH$8:$CC$8))-_xlfn.XMATCH($C229,$C$35:$C$82)+1&lt;=_xlpm.DepreciationMonths,$C229&lt;=AI$8),$E229/_xlpm.DepreciationMonths,0))</f>
        <v>0</v>
      </c>
      <c r="AJ229" s="507" cm="1">
        <f t="array" ref="AJ229">_xlfn.LET(_xlpm.DepreciationMonths,INDEX(FixedAssets[Depreciation
/ Amortization Months],_xlfn.XMATCH($E$186,FixedAssets[Asset ID])),IF(AND((_xlfn.XMATCH(AJ$8,$AH$8:$CC$8))-_xlfn.XMATCH($C229,$C$35:$C$82)+1&lt;=_xlpm.DepreciationMonths,$C229&lt;=AJ$8),$E229/_xlpm.DepreciationMonths,0))</f>
        <v>0</v>
      </c>
      <c r="AK229" s="507" cm="1">
        <f t="array" ref="AK229">_xlfn.LET(_xlpm.DepreciationMonths,INDEX(FixedAssets[Depreciation
/ Amortization Months],_xlfn.XMATCH($E$186,FixedAssets[Asset ID])),IF(AND((_xlfn.XMATCH(AK$8,$AH$8:$CC$8))-_xlfn.XMATCH($C229,$C$35:$C$82)+1&lt;=_xlpm.DepreciationMonths,$C229&lt;=AK$8),$E229/_xlpm.DepreciationMonths,0))</f>
        <v>0</v>
      </c>
      <c r="AL229" s="507" cm="1">
        <f t="array" ref="AL229">_xlfn.LET(_xlpm.DepreciationMonths,INDEX(FixedAssets[Depreciation
/ Amortization Months],_xlfn.XMATCH($E$186,FixedAssets[Asset ID])),IF(AND((_xlfn.XMATCH(AL$8,$AH$8:$CC$8))-_xlfn.XMATCH($C229,$C$35:$C$82)+1&lt;=_xlpm.DepreciationMonths,$C229&lt;=AL$8),$E229/_xlpm.DepreciationMonths,0))</f>
        <v>0</v>
      </c>
      <c r="AM229" s="507" cm="1">
        <f t="array" ref="AM229">_xlfn.LET(_xlpm.DepreciationMonths,INDEX(FixedAssets[Depreciation
/ Amortization Months],_xlfn.XMATCH($E$186,FixedAssets[Asset ID])),IF(AND((_xlfn.XMATCH(AM$8,$AH$8:$CC$8))-_xlfn.XMATCH($C229,$C$35:$C$82)+1&lt;=_xlpm.DepreciationMonths,$C229&lt;=AM$8),$E229/_xlpm.DepreciationMonths,0))</f>
        <v>0</v>
      </c>
      <c r="AN229" s="507" cm="1">
        <f t="array" ref="AN229">_xlfn.LET(_xlpm.DepreciationMonths,INDEX(FixedAssets[Depreciation
/ Amortization Months],_xlfn.XMATCH($E$186,FixedAssets[Asset ID])),IF(AND((_xlfn.XMATCH(AN$8,$AH$8:$CC$8))-_xlfn.XMATCH($C229,$C$35:$C$82)+1&lt;=_xlpm.DepreciationMonths,$C229&lt;=AN$8),$E229/_xlpm.DepreciationMonths,0))</f>
        <v>0</v>
      </c>
      <c r="AO229" s="507" cm="1">
        <f t="array" ref="AO229">_xlfn.LET(_xlpm.DepreciationMonths,INDEX(FixedAssets[Depreciation
/ Amortization Months],_xlfn.XMATCH($E$186,FixedAssets[Asset ID])),IF(AND((_xlfn.XMATCH(AO$8,$AH$8:$CC$8))-_xlfn.XMATCH($C229,$C$35:$C$82)+1&lt;=_xlpm.DepreciationMonths,$C229&lt;=AO$8),$E229/_xlpm.DepreciationMonths,0))</f>
        <v>0</v>
      </c>
      <c r="AP229" s="507" cm="1">
        <f t="array" ref="AP229">_xlfn.LET(_xlpm.DepreciationMonths,INDEX(FixedAssets[Depreciation
/ Amortization Months],_xlfn.XMATCH($E$186,FixedAssets[Asset ID])),IF(AND((_xlfn.XMATCH(AP$8,$AH$8:$CC$8))-_xlfn.XMATCH($C229,$C$35:$C$82)+1&lt;=_xlpm.DepreciationMonths,$C229&lt;=AP$8),$E229/_xlpm.DepreciationMonths,0))</f>
        <v>0</v>
      </c>
      <c r="AQ229" s="507" cm="1">
        <f t="array" ref="AQ229">_xlfn.LET(_xlpm.DepreciationMonths,INDEX(FixedAssets[Depreciation
/ Amortization Months],_xlfn.XMATCH($E$186,FixedAssets[Asset ID])),IF(AND((_xlfn.XMATCH(AQ$8,$AH$8:$CC$8))-_xlfn.XMATCH($C229,$C$35:$C$82)+1&lt;=_xlpm.DepreciationMonths,$C229&lt;=AQ$8),$E229/_xlpm.DepreciationMonths,0))</f>
        <v>0</v>
      </c>
      <c r="AR229" s="507" cm="1">
        <f t="array" ref="AR229">_xlfn.LET(_xlpm.DepreciationMonths,INDEX(FixedAssets[Depreciation
/ Amortization Months],_xlfn.XMATCH($E$186,FixedAssets[Asset ID])),IF(AND((_xlfn.XMATCH(AR$8,$AH$8:$CC$8))-_xlfn.XMATCH($C229,$C$35:$C$82)+1&lt;=_xlpm.DepreciationMonths,$C229&lt;=AR$8),$E229/_xlpm.DepreciationMonths,0))</f>
        <v>0</v>
      </c>
      <c r="AS229" s="507" cm="1">
        <f t="array" ref="AS229">_xlfn.LET(_xlpm.DepreciationMonths,INDEX(FixedAssets[Depreciation
/ Amortization Months],_xlfn.XMATCH($E$186,FixedAssets[Asset ID])),IF(AND((_xlfn.XMATCH(AS$8,$AH$8:$CC$8))-_xlfn.XMATCH($C229,$C$35:$C$82)+1&lt;=_xlpm.DepreciationMonths,$C229&lt;=AS$8),$E229/_xlpm.DepreciationMonths,0))</f>
        <v>0</v>
      </c>
      <c r="AT229" s="507" cm="1">
        <f t="array" ref="AT229">_xlfn.LET(_xlpm.DepreciationMonths,INDEX(FixedAssets[Depreciation
/ Amortization Months],_xlfn.XMATCH($E$186,FixedAssets[Asset ID])),IF(AND((_xlfn.XMATCH(AT$8,$AH$8:$CC$8))-_xlfn.XMATCH($C229,$C$35:$C$82)+1&lt;=_xlpm.DepreciationMonths,$C229&lt;=AT$8),$E229/_xlpm.DepreciationMonths,0))</f>
        <v>0</v>
      </c>
      <c r="AU229" s="507" cm="1">
        <f t="array" ref="AU229">_xlfn.LET(_xlpm.DepreciationMonths,INDEX(FixedAssets[Depreciation
/ Amortization Months],_xlfn.XMATCH($E$186,FixedAssets[Asset ID])),IF(AND((_xlfn.XMATCH(AU$8,$AH$8:$CC$8))-_xlfn.XMATCH($C229,$C$35:$C$82)+1&lt;=_xlpm.DepreciationMonths,$C229&lt;=AU$8),$E229/_xlpm.DepreciationMonths,0))</f>
        <v>0</v>
      </c>
      <c r="AV229" s="507" cm="1">
        <f t="array" ref="AV229">_xlfn.LET(_xlpm.DepreciationMonths,INDEX(FixedAssets[Depreciation
/ Amortization Months],_xlfn.XMATCH($E$186,FixedAssets[Asset ID])),IF(AND((_xlfn.XMATCH(AV$8,$AH$8:$CC$8))-_xlfn.XMATCH($C229,$C$35:$C$82)+1&lt;=_xlpm.DepreciationMonths,$C229&lt;=AV$8),$E229/_xlpm.DepreciationMonths,0))</f>
        <v>0</v>
      </c>
      <c r="AW229" s="507" cm="1">
        <f t="array" ref="AW229">_xlfn.LET(_xlpm.DepreciationMonths,INDEX(FixedAssets[Depreciation
/ Amortization Months],_xlfn.XMATCH($E$186,FixedAssets[Asset ID])),IF(AND((_xlfn.XMATCH(AW$8,$AH$8:$CC$8))-_xlfn.XMATCH($C229,$C$35:$C$82)+1&lt;=_xlpm.DepreciationMonths,$C229&lt;=AW$8),$E229/_xlpm.DepreciationMonths,0))</f>
        <v>0</v>
      </c>
      <c r="AX229" s="507" cm="1">
        <f t="array" ref="AX229">_xlfn.LET(_xlpm.DepreciationMonths,INDEX(FixedAssets[Depreciation
/ Amortization Months],_xlfn.XMATCH($E$186,FixedAssets[Asset ID])),IF(AND((_xlfn.XMATCH(AX$8,$AH$8:$CC$8))-_xlfn.XMATCH($C229,$C$35:$C$82)+1&lt;=_xlpm.DepreciationMonths,$C229&lt;=AX$8),$E229/_xlpm.DepreciationMonths,0))</f>
        <v>0</v>
      </c>
      <c r="AY229" s="507" cm="1">
        <f t="array" ref="AY229">_xlfn.LET(_xlpm.DepreciationMonths,INDEX(FixedAssets[Depreciation
/ Amortization Months],_xlfn.XMATCH($E$186,FixedAssets[Asset ID])),IF(AND((_xlfn.XMATCH(AY$8,$AH$8:$CC$8))-_xlfn.XMATCH($C229,$C$35:$C$82)+1&lt;=_xlpm.DepreciationMonths,$C229&lt;=AY$8),$E229/_xlpm.DepreciationMonths,0))</f>
        <v>0</v>
      </c>
      <c r="AZ229" s="507" cm="1">
        <f t="array" ref="AZ229">_xlfn.LET(_xlpm.DepreciationMonths,INDEX(FixedAssets[Depreciation
/ Amortization Months],_xlfn.XMATCH($E$186,FixedAssets[Asset ID])),IF(AND((_xlfn.XMATCH(AZ$8,$AH$8:$CC$8))-_xlfn.XMATCH($C229,$C$35:$C$82)+1&lt;=_xlpm.DepreciationMonths,$C229&lt;=AZ$8),$E229/_xlpm.DepreciationMonths,0))</f>
        <v>0</v>
      </c>
      <c r="BA229" s="507" cm="1">
        <f t="array" ref="BA229">_xlfn.LET(_xlpm.DepreciationMonths,INDEX(FixedAssets[Depreciation
/ Amortization Months],_xlfn.XMATCH($E$186,FixedAssets[Asset ID])),IF(AND((_xlfn.XMATCH(BA$8,$AH$8:$CC$8))-_xlfn.XMATCH($C229,$C$35:$C$82)+1&lt;=_xlpm.DepreciationMonths,$C229&lt;=BA$8),$E229/_xlpm.DepreciationMonths,0))</f>
        <v>0</v>
      </c>
      <c r="BB229" s="507" cm="1">
        <f t="array" ref="BB229">_xlfn.LET(_xlpm.DepreciationMonths,INDEX(FixedAssets[Depreciation
/ Amortization Months],_xlfn.XMATCH($E$186,FixedAssets[Asset ID])),IF(AND((_xlfn.XMATCH(BB$8,$AH$8:$CC$8))-_xlfn.XMATCH($C229,$C$35:$C$82)+1&lt;=_xlpm.DepreciationMonths,$C229&lt;=BB$8),$E229/_xlpm.DepreciationMonths,0))</f>
        <v>0</v>
      </c>
      <c r="BC229" s="507" cm="1">
        <f t="array" ref="BC229">_xlfn.LET(_xlpm.DepreciationMonths,INDEX(FixedAssets[Depreciation
/ Amortization Months],_xlfn.XMATCH($E$186,FixedAssets[Asset ID])),IF(AND((_xlfn.XMATCH(BC$8,$AH$8:$CC$8))-_xlfn.XMATCH($C229,$C$35:$C$82)+1&lt;=_xlpm.DepreciationMonths,$C229&lt;=BC$8),$E229/_xlpm.DepreciationMonths,0))</f>
        <v>0</v>
      </c>
      <c r="BD229" s="507" cm="1">
        <f t="array" ref="BD229">_xlfn.LET(_xlpm.DepreciationMonths,INDEX(FixedAssets[Depreciation
/ Amortization Months],_xlfn.XMATCH($E$186,FixedAssets[Asset ID])),IF(AND((_xlfn.XMATCH(BD$8,$AH$8:$CC$8))-_xlfn.XMATCH($C229,$C$35:$C$82)+1&lt;=_xlpm.DepreciationMonths,$C229&lt;=BD$8),$E229/_xlpm.DepreciationMonths,0))</f>
        <v>0</v>
      </c>
      <c r="BE229" s="507" cm="1">
        <f t="array" ref="BE229">_xlfn.LET(_xlpm.DepreciationMonths,INDEX(FixedAssets[Depreciation
/ Amortization Months],_xlfn.XMATCH($E$186,FixedAssets[Asset ID])),IF(AND((_xlfn.XMATCH(BE$8,$AH$8:$CC$8))-_xlfn.XMATCH($C229,$C$35:$C$82)+1&lt;=_xlpm.DepreciationMonths,$C229&lt;=BE$8),$E229/_xlpm.DepreciationMonths,0))</f>
        <v>0</v>
      </c>
      <c r="BF229" s="507" cm="1">
        <f t="array" ref="BF229">_xlfn.LET(_xlpm.DepreciationMonths,INDEX(FixedAssets[Depreciation
/ Amortization Months],_xlfn.XMATCH($E$186,FixedAssets[Asset ID])),IF(AND((_xlfn.XMATCH(BF$8,$AH$8:$CC$8))-_xlfn.XMATCH($C229,$C$35:$C$82)+1&lt;=_xlpm.DepreciationMonths,$C229&lt;=BF$8),$E229/_xlpm.DepreciationMonths,0))</f>
        <v>0</v>
      </c>
      <c r="BG229" s="507" cm="1">
        <f t="array" ref="BG229">_xlfn.LET(_xlpm.DepreciationMonths,INDEX(FixedAssets[Depreciation
/ Amortization Months],_xlfn.XMATCH($E$186,FixedAssets[Asset ID])),IF(AND((_xlfn.XMATCH(BG$8,$AH$8:$CC$8))-_xlfn.XMATCH($C229,$C$35:$C$82)+1&lt;=_xlpm.DepreciationMonths,$C229&lt;=BG$8),$E229/_xlpm.DepreciationMonths,0))</f>
        <v>0</v>
      </c>
      <c r="BH229" s="507" cm="1">
        <f t="array" ref="BH229">_xlfn.LET(_xlpm.DepreciationMonths,INDEX(FixedAssets[Depreciation
/ Amortization Months],_xlfn.XMATCH($E$186,FixedAssets[Asset ID])),IF(AND((_xlfn.XMATCH(BH$8,$AH$8:$CC$8))-_xlfn.XMATCH($C229,$C$35:$C$82)+1&lt;=_xlpm.DepreciationMonths,$C229&lt;=BH$8),$E229/_xlpm.DepreciationMonths,0))</f>
        <v>0</v>
      </c>
      <c r="BI229" s="507" cm="1">
        <f t="array" ref="BI229">_xlfn.LET(_xlpm.DepreciationMonths,INDEX(FixedAssets[Depreciation
/ Amortization Months],_xlfn.XMATCH($E$186,FixedAssets[Asset ID])),IF(AND((_xlfn.XMATCH(BI$8,$AH$8:$CC$8))-_xlfn.XMATCH($C229,$C$35:$C$82)+1&lt;=_xlpm.DepreciationMonths,$C229&lt;=BI$8),$E229/_xlpm.DepreciationMonths,0))</f>
        <v>0</v>
      </c>
      <c r="BJ229" s="507" cm="1">
        <f t="array" ref="BJ229">_xlfn.LET(_xlpm.DepreciationMonths,INDEX(FixedAssets[Depreciation
/ Amortization Months],_xlfn.XMATCH($E$186,FixedAssets[Asset ID])),IF(AND((_xlfn.XMATCH(BJ$8,$AH$8:$CC$8))-_xlfn.XMATCH($C229,$C$35:$C$82)+1&lt;=_xlpm.DepreciationMonths,$C229&lt;=BJ$8),$E229/_xlpm.DepreciationMonths,0))</f>
        <v>0</v>
      </c>
      <c r="BK229" s="507" cm="1">
        <f t="array" ref="BK229">_xlfn.LET(_xlpm.DepreciationMonths,INDEX(FixedAssets[Depreciation
/ Amortization Months],_xlfn.XMATCH($E$186,FixedAssets[Asset ID])),IF(AND((_xlfn.XMATCH(BK$8,$AH$8:$CC$8))-_xlfn.XMATCH($C229,$C$35:$C$82)+1&lt;=_xlpm.DepreciationMonths,$C229&lt;=BK$8),$E229/_xlpm.DepreciationMonths,0))</f>
        <v>0</v>
      </c>
      <c r="BL229" s="507" cm="1">
        <f t="array" ref="BL229">_xlfn.LET(_xlpm.DepreciationMonths,INDEX(FixedAssets[Depreciation
/ Amortization Months],_xlfn.XMATCH($E$186,FixedAssets[Asset ID])),IF(AND((_xlfn.XMATCH(BL$8,$AH$8:$CC$8))-_xlfn.XMATCH($C229,$C$35:$C$82)+1&lt;=_xlpm.DepreciationMonths,$C229&lt;=BL$8),$E229/_xlpm.DepreciationMonths,0))</f>
        <v>0</v>
      </c>
      <c r="BM229" s="507" cm="1">
        <f t="array" ref="BM229">_xlfn.LET(_xlpm.DepreciationMonths,INDEX(FixedAssets[Depreciation
/ Amortization Months],_xlfn.XMATCH($E$186,FixedAssets[Asset ID])),IF(AND((_xlfn.XMATCH(BM$8,$AH$8:$CC$8))-_xlfn.XMATCH($C229,$C$35:$C$82)+1&lt;=_xlpm.DepreciationMonths,$C229&lt;=BM$8),$E229/_xlpm.DepreciationMonths,0))</f>
        <v>0</v>
      </c>
      <c r="BN229" s="507" cm="1">
        <f t="array" ref="BN229">_xlfn.LET(_xlpm.DepreciationMonths,INDEX(FixedAssets[Depreciation
/ Amortization Months],_xlfn.XMATCH($E$186,FixedAssets[Asset ID])),IF(AND((_xlfn.XMATCH(BN$8,$AH$8:$CC$8))-_xlfn.XMATCH($C229,$C$35:$C$82)+1&lt;=_xlpm.DepreciationMonths,$C229&lt;=BN$8),$E229/_xlpm.DepreciationMonths,0))</f>
        <v>0</v>
      </c>
      <c r="BO229" s="507" cm="1">
        <f t="array" ref="BO229">_xlfn.LET(_xlpm.DepreciationMonths,INDEX(FixedAssets[Depreciation
/ Amortization Months],_xlfn.XMATCH($E$186,FixedAssets[Asset ID])),IF(AND((_xlfn.XMATCH(BO$8,$AH$8:$CC$8))-_xlfn.XMATCH($C229,$C$35:$C$82)+1&lt;=_xlpm.DepreciationMonths,$C229&lt;=BO$8),$E229/_xlpm.DepreciationMonths,0))</f>
        <v>0</v>
      </c>
      <c r="BP229" s="507" cm="1">
        <f t="array" ref="BP229">_xlfn.LET(_xlpm.DepreciationMonths,INDEX(FixedAssets[Depreciation
/ Amortization Months],_xlfn.XMATCH($E$186,FixedAssets[Asset ID])),IF(AND((_xlfn.XMATCH(BP$8,$AH$8:$CC$8))-_xlfn.XMATCH($C229,$C$35:$C$82)+1&lt;=_xlpm.DepreciationMonths,$C229&lt;=BP$8),$E229/_xlpm.DepreciationMonths,0))</f>
        <v>0</v>
      </c>
      <c r="BQ229" s="507" cm="1">
        <f t="array" ref="BQ229">_xlfn.LET(_xlpm.DepreciationMonths,INDEX(FixedAssets[Depreciation
/ Amortization Months],_xlfn.XMATCH($E$186,FixedAssets[Asset ID])),IF(AND((_xlfn.XMATCH(BQ$8,$AH$8:$CC$8))-_xlfn.XMATCH($C229,$C$35:$C$82)+1&lt;=_xlpm.DepreciationMonths,$C229&lt;=BQ$8),$E229/_xlpm.DepreciationMonths,0))</f>
        <v>0</v>
      </c>
      <c r="BR229" s="507" cm="1">
        <f t="array" ref="BR229">_xlfn.LET(_xlpm.DepreciationMonths,INDEX(FixedAssets[Depreciation
/ Amortization Months],_xlfn.XMATCH($E$186,FixedAssets[Asset ID])),IF(AND((_xlfn.XMATCH(BR$8,$AH$8:$CC$8))-_xlfn.XMATCH($C229,$C$35:$C$82)+1&lt;=_xlpm.DepreciationMonths,$C229&lt;=BR$8),$E229/_xlpm.DepreciationMonths,0))</f>
        <v>0</v>
      </c>
      <c r="BS229" s="507" cm="1">
        <f t="array" ref="BS229">_xlfn.LET(_xlpm.DepreciationMonths,INDEX(FixedAssets[Depreciation
/ Amortization Months],_xlfn.XMATCH($E$186,FixedAssets[Asset ID])),IF(AND((_xlfn.XMATCH(BS$8,$AH$8:$CC$8))-_xlfn.XMATCH($C229,$C$35:$C$82)+1&lt;=_xlpm.DepreciationMonths,$C229&lt;=BS$8),$E229/_xlpm.DepreciationMonths,0))</f>
        <v>0</v>
      </c>
      <c r="BT229" s="507" cm="1">
        <f t="array" ref="BT229">_xlfn.LET(_xlpm.DepreciationMonths,INDEX(FixedAssets[Depreciation
/ Amortization Months],_xlfn.XMATCH($E$186,FixedAssets[Asset ID])),IF(AND((_xlfn.XMATCH(BT$8,$AH$8:$CC$8))-_xlfn.XMATCH($C229,$C$35:$C$82)+1&lt;=_xlpm.DepreciationMonths,$C229&lt;=BT$8),$E229/_xlpm.DepreciationMonths,0))</f>
        <v>0</v>
      </c>
      <c r="BU229" s="507" cm="1">
        <f t="array" ref="BU229">_xlfn.LET(_xlpm.DepreciationMonths,INDEX(FixedAssets[Depreciation
/ Amortization Months],_xlfn.XMATCH($E$186,FixedAssets[Asset ID])),IF(AND((_xlfn.XMATCH(BU$8,$AH$8:$CC$8))-_xlfn.XMATCH($C229,$C$35:$C$82)+1&lt;=_xlpm.DepreciationMonths,$C229&lt;=BU$8),$E229/_xlpm.DepreciationMonths,0))</f>
        <v>0</v>
      </c>
      <c r="BV229" s="507" cm="1">
        <f t="array" ref="BV229">_xlfn.LET(_xlpm.DepreciationMonths,INDEX(FixedAssets[Depreciation
/ Amortization Months],_xlfn.XMATCH($E$186,FixedAssets[Asset ID])),IF(AND((_xlfn.XMATCH(BV$8,$AH$8:$CC$8))-_xlfn.XMATCH($C229,$C$35:$C$82)+1&lt;=_xlpm.DepreciationMonths,$C229&lt;=BV$8),$E229/_xlpm.DepreciationMonths,0))</f>
        <v>0</v>
      </c>
      <c r="BW229" s="507" cm="1">
        <f t="array" ref="BW229">_xlfn.LET(_xlpm.DepreciationMonths,INDEX(FixedAssets[Depreciation
/ Amortization Months],_xlfn.XMATCH($E$186,FixedAssets[Asset ID])),IF(AND((_xlfn.XMATCH(BW$8,$AH$8:$CC$8))-_xlfn.XMATCH($C229,$C$35:$C$82)+1&lt;=_xlpm.DepreciationMonths,$C229&lt;=BW$8),$E229/_xlpm.DepreciationMonths,0))</f>
        <v>0</v>
      </c>
      <c r="BX229" s="507" cm="1">
        <f t="array" ref="BX229">_xlfn.LET(_xlpm.DepreciationMonths,INDEX(FixedAssets[Depreciation
/ Amortization Months],_xlfn.XMATCH($E$186,FixedAssets[Asset ID])),IF(AND((_xlfn.XMATCH(BX$8,$AH$8:$CC$8))-_xlfn.XMATCH($C229,$C$35:$C$82)+1&lt;=_xlpm.DepreciationMonths,$C229&lt;=BX$8),$E229/_xlpm.DepreciationMonths,0))</f>
        <v>0</v>
      </c>
      <c r="BY229" s="507" cm="1">
        <f t="array" ref="BY229">_xlfn.LET(_xlpm.DepreciationMonths,INDEX(FixedAssets[Depreciation
/ Amortization Months],_xlfn.XMATCH($E$186,FixedAssets[Asset ID])),IF(AND((_xlfn.XMATCH(BY$8,$AH$8:$CC$8))-_xlfn.XMATCH($C229,$C$35:$C$82)+1&lt;=_xlpm.DepreciationMonths,$C229&lt;=BY$8),$E229/_xlpm.DepreciationMonths,0))</f>
        <v>0</v>
      </c>
      <c r="BZ229" s="507" cm="1">
        <f t="array" ref="BZ229">_xlfn.LET(_xlpm.DepreciationMonths,INDEX(FixedAssets[Depreciation
/ Amortization Months],_xlfn.XMATCH($E$186,FixedAssets[Asset ID])),IF(AND((_xlfn.XMATCH(BZ$8,$AH$8:$CC$8))-_xlfn.XMATCH($C229,$C$35:$C$82)+1&lt;=_xlpm.DepreciationMonths,$C229&lt;=BZ$8),$E229/_xlpm.DepreciationMonths,0))</f>
        <v>0</v>
      </c>
      <c r="CA229" s="507" cm="1">
        <f t="array" ref="CA229">_xlfn.LET(_xlpm.DepreciationMonths,INDEX(FixedAssets[Depreciation
/ Amortization Months],_xlfn.XMATCH($E$186,FixedAssets[Asset ID])),IF(AND((_xlfn.XMATCH(CA$8,$AH$8:$CC$8))-_xlfn.XMATCH($C229,$C$35:$C$82)+1&lt;=_xlpm.DepreciationMonths,$C229&lt;=CA$8),$E229/_xlpm.DepreciationMonths,0))</f>
        <v>0</v>
      </c>
      <c r="CB229" s="507" cm="1">
        <f t="array" ref="CB229">_xlfn.LET(_xlpm.DepreciationMonths,INDEX(FixedAssets[Depreciation
/ Amortization Months],_xlfn.XMATCH($E$186,FixedAssets[Asset ID])),IF(AND((_xlfn.XMATCH(CB$8,$AH$8:$CC$8))-_xlfn.XMATCH($C229,$C$35:$C$82)+1&lt;=_xlpm.DepreciationMonths,$C229&lt;=CB$8),$E229/_xlpm.DepreciationMonths,0))</f>
        <v>0</v>
      </c>
      <c r="CC229" s="507" cm="1">
        <f t="array" ref="CC229">_xlfn.LET(_xlpm.DepreciationMonths,INDEX(FixedAssets[Depreciation
/ Amortization Months],_xlfn.XMATCH($E$186,FixedAssets[Asset ID])),IF(AND((_xlfn.XMATCH(CC$8,$AH$8:$CC$8))-_xlfn.XMATCH($C229,$C$35:$C$82)+1&lt;=_xlpm.DepreciationMonths,$C229&lt;=CC$8),$E229/_xlpm.DepreciationMonths,0))</f>
        <v>0</v>
      </c>
    </row>
    <row r="230" spans="3:81" hidden="1" outlineLevel="2">
      <c r="C230" s="664">
        <f t="shared" si="256"/>
        <v>46234</v>
      </c>
      <c r="D230" s="508"/>
      <c r="E230" s="508" cm="1">
        <f t="array" ref="E230">SUMPRODUCT(($AH$26:$CC$31)*($AH$5:$CC$5=$C230)*($E$26:$E$31=E$186))-SUMPRODUCT(($AH$26:$CC$31)*($AH$5:$CC$5=EOMONTH($C230,-1))*($E$26:$E$31=E$186))</f>
        <v>0</v>
      </c>
      <c r="F230" s="508"/>
      <c r="G230" s="508"/>
      <c r="H230" s="508"/>
      <c r="I230" s="508"/>
      <c r="J230" s="504">
        <f t="shared" si="254"/>
        <v>0</v>
      </c>
      <c r="K230" s="504">
        <f t="shared" si="254"/>
        <v>0</v>
      </c>
      <c r="L230" s="504">
        <f t="shared" si="254"/>
        <v>0</v>
      </c>
      <c r="M230" s="504">
        <f t="shared" si="254"/>
        <v>0</v>
      </c>
      <c r="N230" s="504"/>
      <c r="O230" s="504"/>
      <c r="P230" s="504">
        <f t="shared" si="260"/>
        <v>0</v>
      </c>
      <c r="Q230" s="504">
        <f t="shared" si="260"/>
        <v>0</v>
      </c>
      <c r="R230" s="504">
        <f t="shared" si="260"/>
        <v>0</v>
      </c>
      <c r="S230" s="504">
        <f t="shared" si="260"/>
        <v>0</v>
      </c>
      <c r="T230" s="504">
        <f t="shared" si="260"/>
        <v>0</v>
      </c>
      <c r="U230" s="504">
        <f t="shared" si="260"/>
        <v>0</v>
      </c>
      <c r="V230" s="504">
        <f t="shared" si="260"/>
        <v>0</v>
      </c>
      <c r="W230" s="504">
        <f t="shared" si="260"/>
        <v>0</v>
      </c>
      <c r="X230" s="504">
        <f t="shared" si="260"/>
        <v>0</v>
      </c>
      <c r="Y230" s="504">
        <f t="shared" si="260"/>
        <v>0</v>
      </c>
      <c r="Z230" s="504">
        <f t="shared" si="260"/>
        <v>0</v>
      </c>
      <c r="AA230" s="504">
        <f t="shared" si="260"/>
        <v>0</v>
      </c>
      <c r="AB230" s="504">
        <f t="shared" si="260"/>
        <v>0</v>
      </c>
      <c r="AC230" s="504">
        <f t="shared" si="260"/>
        <v>0</v>
      </c>
      <c r="AD230" s="504">
        <f t="shared" si="260"/>
        <v>0</v>
      </c>
      <c r="AE230" s="504">
        <f t="shared" si="260"/>
        <v>0</v>
      </c>
      <c r="AF230" s="508"/>
      <c r="AG230" s="508"/>
      <c r="AH230" s="507" cm="1">
        <f t="array" ref="AH230">_xlfn.LET(_xlpm.DepreciationMonths,INDEX(FixedAssets[Depreciation
/ Amortization Months],_xlfn.XMATCH($E$186,FixedAssets[Asset ID])),IF(AND((_xlfn.XMATCH(AH$8,$AH$8:$CC$8))-_xlfn.XMATCH($C230,$C$35:$C$82)+1&lt;=_xlpm.DepreciationMonths,$C230&lt;=AH$8),$E230/_xlpm.DepreciationMonths,0))</f>
        <v>0</v>
      </c>
      <c r="AI230" s="507" cm="1">
        <f t="array" ref="AI230">_xlfn.LET(_xlpm.DepreciationMonths,INDEX(FixedAssets[Depreciation
/ Amortization Months],_xlfn.XMATCH($E$186,FixedAssets[Asset ID])),IF(AND((_xlfn.XMATCH(AI$8,$AH$8:$CC$8))-_xlfn.XMATCH($C230,$C$35:$C$82)+1&lt;=_xlpm.DepreciationMonths,$C230&lt;=AI$8),$E230/_xlpm.DepreciationMonths,0))</f>
        <v>0</v>
      </c>
      <c r="AJ230" s="507" cm="1">
        <f t="array" ref="AJ230">_xlfn.LET(_xlpm.DepreciationMonths,INDEX(FixedAssets[Depreciation
/ Amortization Months],_xlfn.XMATCH($E$186,FixedAssets[Asset ID])),IF(AND((_xlfn.XMATCH(AJ$8,$AH$8:$CC$8))-_xlfn.XMATCH($C230,$C$35:$C$82)+1&lt;=_xlpm.DepreciationMonths,$C230&lt;=AJ$8),$E230/_xlpm.DepreciationMonths,0))</f>
        <v>0</v>
      </c>
      <c r="AK230" s="507" cm="1">
        <f t="array" ref="AK230">_xlfn.LET(_xlpm.DepreciationMonths,INDEX(FixedAssets[Depreciation
/ Amortization Months],_xlfn.XMATCH($E$186,FixedAssets[Asset ID])),IF(AND((_xlfn.XMATCH(AK$8,$AH$8:$CC$8))-_xlfn.XMATCH($C230,$C$35:$C$82)+1&lt;=_xlpm.DepreciationMonths,$C230&lt;=AK$8),$E230/_xlpm.DepreciationMonths,0))</f>
        <v>0</v>
      </c>
      <c r="AL230" s="507" cm="1">
        <f t="array" ref="AL230">_xlfn.LET(_xlpm.DepreciationMonths,INDEX(FixedAssets[Depreciation
/ Amortization Months],_xlfn.XMATCH($E$186,FixedAssets[Asset ID])),IF(AND((_xlfn.XMATCH(AL$8,$AH$8:$CC$8))-_xlfn.XMATCH($C230,$C$35:$C$82)+1&lt;=_xlpm.DepreciationMonths,$C230&lt;=AL$8),$E230/_xlpm.DepreciationMonths,0))</f>
        <v>0</v>
      </c>
      <c r="AM230" s="507" cm="1">
        <f t="array" ref="AM230">_xlfn.LET(_xlpm.DepreciationMonths,INDEX(FixedAssets[Depreciation
/ Amortization Months],_xlfn.XMATCH($E$186,FixedAssets[Asset ID])),IF(AND((_xlfn.XMATCH(AM$8,$AH$8:$CC$8))-_xlfn.XMATCH($C230,$C$35:$C$82)+1&lt;=_xlpm.DepreciationMonths,$C230&lt;=AM$8),$E230/_xlpm.DepreciationMonths,0))</f>
        <v>0</v>
      </c>
      <c r="AN230" s="507" cm="1">
        <f t="array" ref="AN230">_xlfn.LET(_xlpm.DepreciationMonths,INDEX(FixedAssets[Depreciation
/ Amortization Months],_xlfn.XMATCH($E$186,FixedAssets[Asset ID])),IF(AND((_xlfn.XMATCH(AN$8,$AH$8:$CC$8))-_xlfn.XMATCH($C230,$C$35:$C$82)+1&lt;=_xlpm.DepreciationMonths,$C230&lt;=AN$8),$E230/_xlpm.DepreciationMonths,0))</f>
        <v>0</v>
      </c>
      <c r="AO230" s="507" cm="1">
        <f t="array" ref="AO230">_xlfn.LET(_xlpm.DepreciationMonths,INDEX(FixedAssets[Depreciation
/ Amortization Months],_xlfn.XMATCH($E$186,FixedAssets[Asset ID])),IF(AND((_xlfn.XMATCH(AO$8,$AH$8:$CC$8))-_xlfn.XMATCH($C230,$C$35:$C$82)+1&lt;=_xlpm.DepreciationMonths,$C230&lt;=AO$8),$E230/_xlpm.DepreciationMonths,0))</f>
        <v>0</v>
      </c>
      <c r="AP230" s="507" cm="1">
        <f t="array" ref="AP230">_xlfn.LET(_xlpm.DepreciationMonths,INDEX(FixedAssets[Depreciation
/ Amortization Months],_xlfn.XMATCH($E$186,FixedAssets[Asset ID])),IF(AND((_xlfn.XMATCH(AP$8,$AH$8:$CC$8))-_xlfn.XMATCH($C230,$C$35:$C$82)+1&lt;=_xlpm.DepreciationMonths,$C230&lt;=AP$8),$E230/_xlpm.DepreciationMonths,0))</f>
        <v>0</v>
      </c>
      <c r="AQ230" s="507" cm="1">
        <f t="array" ref="AQ230">_xlfn.LET(_xlpm.DepreciationMonths,INDEX(FixedAssets[Depreciation
/ Amortization Months],_xlfn.XMATCH($E$186,FixedAssets[Asset ID])),IF(AND((_xlfn.XMATCH(AQ$8,$AH$8:$CC$8))-_xlfn.XMATCH($C230,$C$35:$C$82)+1&lt;=_xlpm.DepreciationMonths,$C230&lt;=AQ$8),$E230/_xlpm.DepreciationMonths,0))</f>
        <v>0</v>
      </c>
      <c r="AR230" s="507" cm="1">
        <f t="array" ref="AR230">_xlfn.LET(_xlpm.DepreciationMonths,INDEX(FixedAssets[Depreciation
/ Amortization Months],_xlfn.XMATCH($E$186,FixedAssets[Asset ID])),IF(AND((_xlfn.XMATCH(AR$8,$AH$8:$CC$8))-_xlfn.XMATCH($C230,$C$35:$C$82)+1&lt;=_xlpm.DepreciationMonths,$C230&lt;=AR$8),$E230/_xlpm.DepreciationMonths,0))</f>
        <v>0</v>
      </c>
      <c r="AS230" s="507" cm="1">
        <f t="array" ref="AS230">_xlfn.LET(_xlpm.DepreciationMonths,INDEX(FixedAssets[Depreciation
/ Amortization Months],_xlfn.XMATCH($E$186,FixedAssets[Asset ID])),IF(AND((_xlfn.XMATCH(AS$8,$AH$8:$CC$8))-_xlfn.XMATCH($C230,$C$35:$C$82)+1&lt;=_xlpm.DepreciationMonths,$C230&lt;=AS$8),$E230/_xlpm.DepreciationMonths,0))</f>
        <v>0</v>
      </c>
      <c r="AT230" s="507" cm="1">
        <f t="array" ref="AT230">_xlfn.LET(_xlpm.DepreciationMonths,INDEX(FixedAssets[Depreciation
/ Amortization Months],_xlfn.XMATCH($E$186,FixedAssets[Asset ID])),IF(AND((_xlfn.XMATCH(AT$8,$AH$8:$CC$8))-_xlfn.XMATCH($C230,$C$35:$C$82)+1&lt;=_xlpm.DepreciationMonths,$C230&lt;=AT$8),$E230/_xlpm.DepreciationMonths,0))</f>
        <v>0</v>
      </c>
      <c r="AU230" s="507" cm="1">
        <f t="array" ref="AU230">_xlfn.LET(_xlpm.DepreciationMonths,INDEX(FixedAssets[Depreciation
/ Amortization Months],_xlfn.XMATCH($E$186,FixedAssets[Asset ID])),IF(AND((_xlfn.XMATCH(AU$8,$AH$8:$CC$8))-_xlfn.XMATCH($C230,$C$35:$C$82)+1&lt;=_xlpm.DepreciationMonths,$C230&lt;=AU$8),$E230/_xlpm.DepreciationMonths,0))</f>
        <v>0</v>
      </c>
      <c r="AV230" s="507" cm="1">
        <f t="array" ref="AV230">_xlfn.LET(_xlpm.DepreciationMonths,INDEX(FixedAssets[Depreciation
/ Amortization Months],_xlfn.XMATCH($E$186,FixedAssets[Asset ID])),IF(AND((_xlfn.XMATCH(AV$8,$AH$8:$CC$8))-_xlfn.XMATCH($C230,$C$35:$C$82)+1&lt;=_xlpm.DepreciationMonths,$C230&lt;=AV$8),$E230/_xlpm.DepreciationMonths,0))</f>
        <v>0</v>
      </c>
      <c r="AW230" s="507" cm="1">
        <f t="array" ref="AW230">_xlfn.LET(_xlpm.DepreciationMonths,INDEX(FixedAssets[Depreciation
/ Amortization Months],_xlfn.XMATCH($E$186,FixedAssets[Asset ID])),IF(AND((_xlfn.XMATCH(AW$8,$AH$8:$CC$8))-_xlfn.XMATCH($C230,$C$35:$C$82)+1&lt;=_xlpm.DepreciationMonths,$C230&lt;=AW$8),$E230/_xlpm.DepreciationMonths,0))</f>
        <v>0</v>
      </c>
      <c r="AX230" s="507" cm="1">
        <f t="array" ref="AX230">_xlfn.LET(_xlpm.DepreciationMonths,INDEX(FixedAssets[Depreciation
/ Amortization Months],_xlfn.XMATCH($E$186,FixedAssets[Asset ID])),IF(AND((_xlfn.XMATCH(AX$8,$AH$8:$CC$8))-_xlfn.XMATCH($C230,$C$35:$C$82)+1&lt;=_xlpm.DepreciationMonths,$C230&lt;=AX$8),$E230/_xlpm.DepreciationMonths,0))</f>
        <v>0</v>
      </c>
      <c r="AY230" s="507" cm="1">
        <f t="array" ref="AY230">_xlfn.LET(_xlpm.DepreciationMonths,INDEX(FixedAssets[Depreciation
/ Amortization Months],_xlfn.XMATCH($E$186,FixedAssets[Asset ID])),IF(AND((_xlfn.XMATCH(AY$8,$AH$8:$CC$8))-_xlfn.XMATCH($C230,$C$35:$C$82)+1&lt;=_xlpm.DepreciationMonths,$C230&lt;=AY$8),$E230/_xlpm.DepreciationMonths,0))</f>
        <v>0</v>
      </c>
      <c r="AZ230" s="507" cm="1">
        <f t="array" ref="AZ230">_xlfn.LET(_xlpm.DepreciationMonths,INDEX(FixedAssets[Depreciation
/ Amortization Months],_xlfn.XMATCH($E$186,FixedAssets[Asset ID])),IF(AND((_xlfn.XMATCH(AZ$8,$AH$8:$CC$8))-_xlfn.XMATCH($C230,$C$35:$C$82)+1&lt;=_xlpm.DepreciationMonths,$C230&lt;=AZ$8),$E230/_xlpm.DepreciationMonths,0))</f>
        <v>0</v>
      </c>
      <c r="BA230" s="507" cm="1">
        <f t="array" ref="BA230">_xlfn.LET(_xlpm.DepreciationMonths,INDEX(FixedAssets[Depreciation
/ Amortization Months],_xlfn.XMATCH($E$186,FixedAssets[Asset ID])),IF(AND((_xlfn.XMATCH(BA$8,$AH$8:$CC$8))-_xlfn.XMATCH($C230,$C$35:$C$82)+1&lt;=_xlpm.DepreciationMonths,$C230&lt;=BA$8),$E230/_xlpm.DepreciationMonths,0))</f>
        <v>0</v>
      </c>
      <c r="BB230" s="507" cm="1">
        <f t="array" ref="BB230">_xlfn.LET(_xlpm.DepreciationMonths,INDEX(FixedAssets[Depreciation
/ Amortization Months],_xlfn.XMATCH($E$186,FixedAssets[Asset ID])),IF(AND((_xlfn.XMATCH(BB$8,$AH$8:$CC$8))-_xlfn.XMATCH($C230,$C$35:$C$82)+1&lt;=_xlpm.DepreciationMonths,$C230&lt;=BB$8),$E230/_xlpm.DepreciationMonths,0))</f>
        <v>0</v>
      </c>
      <c r="BC230" s="507" cm="1">
        <f t="array" ref="BC230">_xlfn.LET(_xlpm.DepreciationMonths,INDEX(FixedAssets[Depreciation
/ Amortization Months],_xlfn.XMATCH($E$186,FixedAssets[Asset ID])),IF(AND((_xlfn.XMATCH(BC$8,$AH$8:$CC$8))-_xlfn.XMATCH($C230,$C$35:$C$82)+1&lt;=_xlpm.DepreciationMonths,$C230&lt;=BC$8),$E230/_xlpm.DepreciationMonths,0))</f>
        <v>0</v>
      </c>
      <c r="BD230" s="507" cm="1">
        <f t="array" ref="BD230">_xlfn.LET(_xlpm.DepreciationMonths,INDEX(FixedAssets[Depreciation
/ Amortization Months],_xlfn.XMATCH($E$186,FixedAssets[Asset ID])),IF(AND((_xlfn.XMATCH(BD$8,$AH$8:$CC$8))-_xlfn.XMATCH($C230,$C$35:$C$82)+1&lt;=_xlpm.DepreciationMonths,$C230&lt;=BD$8),$E230/_xlpm.DepreciationMonths,0))</f>
        <v>0</v>
      </c>
      <c r="BE230" s="507" cm="1">
        <f t="array" ref="BE230">_xlfn.LET(_xlpm.DepreciationMonths,INDEX(FixedAssets[Depreciation
/ Amortization Months],_xlfn.XMATCH($E$186,FixedAssets[Asset ID])),IF(AND((_xlfn.XMATCH(BE$8,$AH$8:$CC$8))-_xlfn.XMATCH($C230,$C$35:$C$82)+1&lt;=_xlpm.DepreciationMonths,$C230&lt;=BE$8),$E230/_xlpm.DepreciationMonths,0))</f>
        <v>0</v>
      </c>
      <c r="BF230" s="507" cm="1">
        <f t="array" ref="BF230">_xlfn.LET(_xlpm.DepreciationMonths,INDEX(FixedAssets[Depreciation
/ Amortization Months],_xlfn.XMATCH($E$186,FixedAssets[Asset ID])),IF(AND((_xlfn.XMATCH(BF$8,$AH$8:$CC$8))-_xlfn.XMATCH($C230,$C$35:$C$82)+1&lt;=_xlpm.DepreciationMonths,$C230&lt;=BF$8),$E230/_xlpm.DepreciationMonths,0))</f>
        <v>0</v>
      </c>
      <c r="BG230" s="507" cm="1">
        <f t="array" ref="BG230">_xlfn.LET(_xlpm.DepreciationMonths,INDEX(FixedAssets[Depreciation
/ Amortization Months],_xlfn.XMATCH($E$186,FixedAssets[Asset ID])),IF(AND((_xlfn.XMATCH(BG$8,$AH$8:$CC$8))-_xlfn.XMATCH($C230,$C$35:$C$82)+1&lt;=_xlpm.DepreciationMonths,$C230&lt;=BG$8),$E230/_xlpm.DepreciationMonths,0))</f>
        <v>0</v>
      </c>
      <c r="BH230" s="507" cm="1">
        <f t="array" ref="BH230">_xlfn.LET(_xlpm.DepreciationMonths,INDEX(FixedAssets[Depreciation
/ Amortization Months],_xlfn.XMATCH($E$186,FixedAssets[Asset ID])),IF(AND((_xlfn.XMATCH(BH$8,$AH$8:$CC$8))-_xlfn.XMATCH($C230,$C$35:$C$82)+1&lt;=_xlpm.DepreciationMonths,$C230&lt;=BH$8),$E230/_xlpm.DepreciationMonths,0))</f>
        <v>0</v>
      </c>
      <c r="BI230" s="507" cm="1">
        <f t="array" ref="BI230">_xlfn.LET(_xlpm.DepreciationMonths,INDEX(FixedAssets[Depreciation
/ Amortization Months],_xlfn.XMATCH($E$186,FixedAssets[Asset ID])),IF(AND((_xlfn.XMATCH(BI$8,$AH$8:$CC$8))-_xlfn.XMATCH($C230,$C$35:$C$82)+1&lt;=_xlpm.DepreciationMonths,$C230&lt;=BI$8),$E230/_xlpm.DepreciationMonths,0))</f>
        <v>0</v>
      </c>
      <c r="BJ230" s="507" cm="1">
        <f t="array" ref="BJ230">_xlfn.LET(_xlpm.DepreciationMonths,INDEX(FixedAssets[Depreciation
/ Amortization Months],_xlfn.XMATCH($E$186,FixedAssets[Asset ID])),IF(AND((_xlfn.XMATCH(BJ$8,$AH$8:$CC$8))-_xlfn.XMATCH($C230,$C$35:$C$82)+1&lt;=_xlpm.DepreciationMonths,$C230&lt;=BJ$8),$E230/_xlpm.DepreciationMonths,0))</f>
        <v>0</v>
      </c>
      <c r="BK230" s="507" cm="1">
        <f t="array" ref="BK230">_xlfn.LET(_xlpm.DepreciationMonths,INDEX(FixedAssets[Depreciation
/ Amortization Months],_xlfn.XMATCH($E$186,FixedAssets[Asset ID])),IF(AND((_xlfn.XMATCH(BK$8,$AH$8:$CC$8))-_xlfn.XMATCH($C230,$C$35:$C$82)+1&lt;=_xlpm.DepreciationMonths,$C230&lt;=BK$8),$E230/_xlpm.DepreciationMonths,0))</f>
        <v>0</v>
      </c>
      <c r="BL230" s="507" cm="1">
        <f t="array" ref="BL230">_xlfn.LET(_xlpm.DepreciationMonths,INDEX(FixedAssets[Depreciation
/ Amortization Months],_xlfn.XMATCH($E$186,FixedAssets[Asset ID])),IF(AND((_xlfn.XMATCH(BL$8,$AH$8:$CC$8))-_xlfn.XMATCH($C230,$C$35:$C$82)+1&lt;=_xlpm.DepreciationMonths,$C230&lt;=BL$8),$E230/_xlpm.DepreciationMonths,0))</f>
        <v>0</v>
      </c>
      <c r="BM230" s="507" cm="1">
        <f t="array" ref="BM230">_xlfn.LET(_xlpm.DepreciationMonths,INDEX(FixedAssets[Depreciation
/ Amortization Months],_xlfn.XMATCH($E$186,FixedAssets[Asset ID])),IF(AND((_xlfn.XMATCH(BM$8,$AH$8:$CC$8))-_xlfn.XMATCH($C230,$C$35:$C$82)+1&lt;=_xlpm.DepreciationMonths,$C230&lt;=BM$8),$E230/_xlpm.DepreciationMonths,0))</f>
        <v>0</v>
      </c>
      <c r="BN230" s="507" cm="1">
        <f t="array" ref="BN230">_xlfn.LET(_xlpm.DepreciationMonths,INDEX(FixedAssets[Depreciation
/ Amortization Months],_xlfn.XMATCH($E$186,FixedAssets[Asset ID])),IF(AND((_xlfn.XMATCH(BN$8,$AH$8:$CC$8))-_xlfn.XMATCH($C230,$C$35:$C$82)+1&lt;=_xlpm.DepreciationMonths,$C230&lt;=BN$8),$E230/_xlpm.DepreciationMonths,0))</f>
        <v>0</v>
      </c>
      <c r="BO230" s="507" cm="1">
        <f t="array" ref="BO230">_xlfn.LET(_xlpm.DepreciationMonths,INDEX(FixedAssets[Depreciation
/ Amortization Months],_xlfn.XMATCH($E$186,FixedAssets[Asset ID])),IF(AND((_xlfn.XMATCH(BO$8,$AH$8:$CC$8))-_xlfn.XMATCH($C230,$C$35:$C$82)+1&lt;=_xlpm.DepreciationMonths,$C230&lt;=BO$8),$E230/_xlpm.DepreciationMonths,0))</f>
        <v>0</v>
      </c>
      <c r="BP230" s="507" cm="1">
        <f t="array" ref="BP230">_xlfn.LET(_xlpm.DepreciationMonths,INDEX(FixedAssets[Depreciation
/ Amortization Months],_xlfn.XMATCH($E$186,FixedAssets[Asset ID])),IF(AND((_xlfn.XMATCH(BP$8,$AH$8:$CC$8))-_xlfn.XMATCH($C230,$C$35:$C$82)+1&lt;=_xlpm.DepreciationMonths,$C230&lt;=BP$8),$E230/_xlpm.DepreciationMonths,0))</f>
        <v>0</v>
      </c>
      <c r="BQ230" s="507" cm="1">
        <f t="array" ref="BQ230">_xlfn.LET(_xlpm.DepreciationMonths,INDEX(FixedAssets[Depreciation
/ Amortization Months],_xlfn.XMATCH($E$186,FixedAssets[Asset ID])),IF(AND((_xlfn.XMATCH(BQ$8,$AH$8:$CC$8))-_xlfn.XMATCH($C230,$C$35:$C$82)+1&lt;=_xlpm.DepreciationMonths,$C230&lt;=BQ$8),$E230/_xlpm.DepreciationMonths,0))</f>
        <v>0</v>
      </c>
      <c r="BR230" s="507" cm="1">
        <f t="array" ref="BR230">_xlfn.LET(_xlpm.DepreciationMonths,INDEX(FixedAssets[Depreciation
/ Amortization Months],_xlfn.XMATCH($E$186,FixedAssets[Asset ID])),IF(AND((_xlfn.XMATCH(BR$8,$AH$8:$CC$8))-_xlfn.XMATCH($C230,$C$35:$C$82)+1&lt;=_xlpm.DepreciationMonths,$C230&lt;=BR$8),$E230/_xlpm.DepreciationMonths,0))</f>
        <v>0</v>
      </c>
      <c r="BS230" s="507" cm="1">
        <f t="array" ref="BS230">_xlfn.LET(_xlpm.DepreciationMonths,INDEX(FixedAssets[Depreciation
/ Amortization Months],_xlfn.XMATCH($E$186,FixedAssets[Asset ID])),IF(AND((_xlfn.XMATCH(BS$8,$AH$8:$CC$8))-_xlfn.XMATCH($C230,$C$35:$C$82)+1&lt;=_xlpm.DepreciationMonths,$C230&lt;=BS$8),$E230/_xlpm.DepreciationMonths,0))</f>
        <v>0</v>
      </c>
      <c r="BT230" s="507" cm="1">
        <f t="array" ref="BT230">_xlfn.LET(_xlpm.DepreciationMonths,INDEX(FixedAssets[Depreciation
/ Amortization Months],_xlfn.XMATCH($E$186,FixedAssets[Asset ID])),IF(AND((_xlfn.XMATCH(BT$8,$AH$8:$CC$8))-_xlfn.XMATCH($C230,$C$35:$C$82)+1&lt;=_xlpm.DepreciationMonths,$C230&lt;=BT$8),$E230/_xlpm.DepreciationMonths,0))</f>
        <v>0</v>
      </c>
      <c r="BU230" s="507" cm="1">
        <f t="array" ref="BU230">_xlfn.LET(_xlpm.DepreciationMonths,INDEX(FixedAssets[Depreciation
/ Amortization Months],_xlfn.XMATCH($E$186,FixedAssets[Asset ID])),IF(AND((_xlfn.XMATCH(BU$8,$AH$8:$CC$8))-_xlfn.XMATCH($C230,$C$35:$C$82)+1&lt;=_xlpm.DepreciationMonths,$C230&lt;=BU$8),$E230/_xlpm.DepreciationMonths,0))</f>
        <v>0</v>
      </c>
      <c r="BV230" s="507" cm="1">
        <f t="array" ref="BV230">_xlfn.LET(_xlpm.DepreciationMonths,INDEX(FixedAssets[Depreciation
/ Amortization Months],_xlfn.XMATCH($E$186,FixedAssets[Asset ID])),IF(AND((_xlfn.XMATCH(BV$8,$AH$8:$CC$8))-_xlfn.XMATCH($C230,$C$35:$C$82)+1&lt;=_xlpm.DepreciationMonths,$C230&lt;=BV$8),$E230/_xlpm.DepreciationMonths,0))</f>
        <v>0</v>
      </c>
      <c r="BW230" s="507" cm="1">
        <f t="array" ref="BW230">_xlfn.LET(_xlpm.DepreciationMonths,INDEX(FixedAssets[Depreciation
/ Amortization Months],_xlfn.XMATCH($E$186,FixedAssets[Asset ID])),IF(AND((_xlfn.XMATCH(BW$8,$AH$8:$CC$8))-_xlfn.XMATCH($C230,$C$35:$C$82)+1&lt;=_xlpm.DepreciationMonths,$C230&lt;=BW$8),$E230/_xlpm.DepreciationMonths,0))</f>
        <v>0</v>
      </c>
      <c r="BX230" s="507" cm="1">
        <f t="array" ref="BX230">_xlfn.LET(_xlpm.DepreciationMonths,INDEX(FixedAssets[Depreciation
/ Amortization Months],_xlfn.XMATCH($E$186,FixedAssets[Asset ID])),IF(AND((_xlfn.XMATCH(BX$8,$AH$8:$CC$8))-_xlfn.XMATCH($C230,$C$35:$C$82)+1&lt;=_xlpm.DepreciationMonths,$C230&lt;=BX$8),$E230/_xlpm.DepreciationMonths,0))</f>
        <v>0</v>
      </c>
      <c r="BY230" s="507" cm="1">
        <f t="array" ref="BY230">_xlfn.LET(_xlpm.DepreciationMonths,INDEX(FixedAssets[Depreciation
/ Amortization Months],_xlfn.XMATCH($E$186,FixedAssets[Asset ID])),IF(AND((_xlfn.XMATCH(BY$8,$AH$8:$CC$8))-_xlfn.XMATCH($C230,$C$35:$C$82)+1&lt;=_xlpm.DepreciationMonths,$C230&lt;=BY$8),$E230/_xlpm.DepreciationMonths,0))</f>
        <v>0</v>
      </c>
      <c r="BZ230" s="507" cm="1">
        <f t="array" ref="BZ230">_xlfn.LET(_xlpm.DepreciationMonths,INDEX(FixedAssets[Depreciation
/ Amortization Months],_xlfn.XMATCH($E$186,FixedAssets[Asset ID])),IF(AND((_xlfn.XMATCH(BZ$8,$AH$8:$CC$8))-_xlfn.XMATCH($C230,$C$35:$C$82)+1&lt;=_xlpm.DepreciationMonths,$C230&lt;=BZ$8),$E230/_xlpm.DepreciationMonths,0))</f>
        <v>0</v>
      </c>
      <c r="CA230" s="507" cm="1">
        <f t="array" ref="CA230">_xlfn.LET(_xlpm.DepreciationMonths,INDEX(FixedAssets[Depreciation
/ Amortization Months],_xlfn.XMATCH($E$186,FixedAssets[Asset ID])),IF(AND((_xlfn.XMATCH(CA$8,$AH$8:$CC$8))-_xlfn.XMATCH($C230,$C$35:$C$82)+1&lt;=_xlpm.DepreciationMonths,$C230&lt;=CA$8),$E230/_xlpm.DepreciationMonths,0))</f>
        <v>0</v>
      </c>
      <c r="CB230" s="507" cm="1">
        <f t="array" ref="CB230">_xlfn.LET(_xlpm.DepreciationMonths,INDEX(FixedAssets[Depreciation
/ Amortization Months],_xlfn.XMATCH($E$186,FixedAssets[Asset ID])),IF(AND((_xlfn.XMATCH(CB$8,$AH$8:$CC$8))-_xlfn.XMATCH($C230,$C$35:$C$82)+1&lt;=_xlpm.DepreciationMonths,$C230&lt;=CB$8),$E230/_xlpm.DepreciationMonths,0))</f>
        <v>0</v>
      </c>
      <c r="CC230" s="507" cm="1">
        <f t="array" ref="CC230">_xlfn.LET(_xlpm.DepreciationMonths,INDEX(FixedAssets[Depreciation
/ Amortization Months],_xlfn.XMATCH($E$186,FixedAssets[Asset ID])),IF(AND((_xlfn.XMATCH(CC$8,$AH$8:$CC$8))-_xlfn.XMATCH($C230,$C$35:$C$82)+1&lt;=_xlpm.DepreciationMonths,$C230&lt;=CC$8),$E230/_xlpm.DepreciationMonths,0))</f>
        <v>0</v>
      </c>
    </row>
    <row r="231" spans="3:81" hidden="1" outlineLevel="2">
      <c r="C231" s="664">
        <f t="shared" si="256"/>
        <v>46265</v>
      </c>
      <c r="D231" s="508"/>
      <c r="E231" s="508" cm="1">
        <f t="array" ref="E231">SUMPRODUCT(($AH$26:$CC$31)*($AH$5:$CC$5=$C231)*($E$26:$E$31=E$186))-SUMPRODUCT(($AH$26:$CC$31)*($AH$5:$CC$5=EOMONTH($C231,-1))*($E$26:$E$31=E$186))</f>
        <v>0</v>
      </c>
      <c r="F231" s="508"/>
      <c r="G231" s="508"/>
      <c r="H231" s="508"/>
      <c r="I231" s="508"/>
      <c r="J231" s="504">
        <f t="shared" si="254"/>
        <v>0</v>
      </c>
      <c r="K231" s="504">
        <f t="shared" si="254"/>
        <v>0</v>
      </c>
      <c r="L231" s="504">
        <f t="shared" si="254"/>
        <v>0</v>
      </c>
      <c r="M231" s="504">
        <f t="shared" si="254"/>
        <v>0</v>
      </c>
      <c r="N231" s="504"/>
      <c r="O231" s="504"/>
      <c r="P231" s="504">
        <f t="shared" si="260"/>
        <v>0</v>
      </c>
      <c r="Q231" s="504">
        <f t="shared" si="260"/>
        <v>0</v>
      </c>
      <c r="R231" s="504">
        <f t="shared" si="260"/>
        <v>0</v>
      </c>
      <c r="S231" s="504">
        <f t="shared" si="260"/>
        <v>0</v>
      </c>
      <c r="T231" s="504">
        <f t="shared" si="260"/>
        <v>0</v>
      </c>
      <c r="U231" s="504">
        <f t="shared" si="260"/>
        <v>0</v>
      </c>
      <c r="V231" s="504">
        <f t="shared" si="260"/>
        <v>0</v>
      </c>
      <c r="W231" s="504">
        <f t="shared" si="260"/>
        <v>0</v>
      </c>
      <c r="X231" s="504">
        <f t="shared" si="260"/>
        <v>0</v>
      </c>
      <c r="Y231" s="504">
        <f t="shared" si="260"/>
        <v>0</v>
      </c>
      <c r="Z231" s="504">
        <f t="shared" si="260"/>
        <v>0</v>
      </c>
      <c r="AA231" s="504">
        <f t="shared" si="260"/>
        <v>0</v>
      </c>
      <c r="AB231" s="504">
        <f t="shared" si="260"/>
        <v>0</v>
      </c>
      <c r="AC231" s="504">
        <f t="shared" si="260"/>
        <v>0</v>
      </c>
      <c r="AD231" s="504">
        <f t="shared" si="260"/>
        <v>0</v>
      </c>
      <c r="AE231" s="504">
        <f t="shared" si="260"/>
        <v>0</v>
      </c>
      <c r="AF231" s="508"/>
      <c r="AG231" s="508"/>
      <c r="AH231" s="507" cm="1">
        <f t="array" ref="AH231">_xlfn.LET(_xlpm.DepreciationMonths,INDEX(FixedAssets[Depreciation
/ Amortization Months],_xlfn.XMATCH($E$186,FixedAssets[Asset ID])),IF(AND((_xlfn.XMATCH(AH$8,$AH$8:$CC$8))-_xlfn.XMATCH($C231,$C$35:$C$82)+1&lt;=_xlpm.DepreciationMonths,$C231&lt;=AH$8),$E231/_xlpm.DepreciationMonths,0))</f>
        <v>0</v>
      </c>
      <c r="AI231" s="507" cm="1">
        <f t="array" ref="AI231">_xlfn.LET(_xlpm.DepreciationMonths,INDEX(FixedAssets[Depreciation
/ Amortization Months],_xlfn.XMATCH($E$186,FixedAssets[Asset ID])),IF(AND((_xlfn.XMATCH(AI$8,$AH$8:$CC$8))-_xlfn.XMATCH($C231,$C$35:$C$82)+1&lt;=_xlpm.DepreciationMonths,$C231&lt;=AI$8),$E231/_xlpm.DepreciationMonths,0))</f>
        <v>0</v>
      </c>
      <c r="AJ231" s="507" cm="1">
        <f t="array" ref="AJ231">_xlfn.LET(_xlpm.DepreciationMonths,INDEX(FixedAssets[Depreciation
/ Amortization Months],_xlfn.XMATCH($E$186,FixedAssets[Asset ID])),IF(AND((_xlfn.XMATCH(AJ$8,$AH$8:$CC$8))-_xlfn.XMATCH($C231,$C$35:$C$82)+1&lt;=_xlpm.DepreciationMonths,$C231&lt;=AJ$8),$E231/_xlpm.DepreciationMonths,0))</f>
        <v>0</v>
      </c>
      <c r="AK231" s="507" cm="1">
        <f t="array" ref="AK231">_xlfn.LET(_xlpm.DepreciationMonths,INDEX(FixedAssets[Depreciation
/ Amortization Months],_xlfn.XMATCH($E$186,FixedAssets[Asset ID])),IF(AND((_xlfn.XMATCH(AK$8,$AH$8:$CC$8))-_xlfn.XMATCH($C231,$C$35:$C$82)+1&lt;=_xlpm.DepreciationMonths,$C231&lt;=AK$8),$E231/_xlpm.DepreciationMonths,0))</f>
        <v>0</v>
      </c>
      <c r="AL231" s="507" cm="1">
        <f t="array" ref="AL231">_xlfn.LET(_xlpm.DepreciationMonths,INDEX(FixedAssets[Depreciation
/ Amortization Months],_xlfn.XMATCH($E$186,FixedAssets[Asset ID])),IF(AND((_xlfn.XMATCH(AL$8,$AH$8:$CC$8))-_xlfn.XMATCH($C231,$C$35:$C$82)+1&lt;=_xlpm.DepreciationMonths,$C231&lt;=AL$8),$E231/_xlpm.DepreciationMonths,0))</f>
        <v>0</v>
      </c>
      <c r="AM231" s="507" cm="1">
        <f t="array" ref="AM231">_xlfn.LET(_xlpm.DepreciationMonths,INDEX(FixedAssets[Depreciation
/ Amortization Months],_xlfn.XMATCH($E$186,FixedAssets[Asset ID])),IF(AND((_xlfn.XMATCH(AM$8,$AH$8:$CC$8))-_xlfn.XMATCH($C231,$C$35:$C$82)+1&lt;=_xlpm.DepreciationMonths,$C231&lt;=AM$8),$E231/_xlpm.DepreciationMonths,0))</f>
        <v>0</v>
      </c>
      <c r="AN231" s="507" cm="1">
        <f t="array" ref="AN231">_xlfn.LET(_xlpm.DepreciationMonths,INDEX(FixedAssets[Depreciation
/ Amortization Months],_xlfn.XMATCH($E$186,FixedAssets[Asset ID])),IF(AND((_xlfn.XMATCH(AN$8,$AH$8:$CC$8))-_xlfn.XMATCH($C231,$C$35:$C$82)+1&lt;=_xlpm.DepreciationMonths,$C231&lt;=AN$8),$E231/_xlpm.DepreciationMonths,0))</f>
        <v>0</v>
      </c>
      <c r="AO231" s="507" cm="1">
        <f t="array" ref="AO231">_xlfn.LET(_xlpm.DepreciationMonths,INDEX(FixedAssets[Depreciation
/ Amortization Months],_xlfn.XMATCH($E$186,FixedAssets[Asset ID])),IF(AND((_xlfn.XMATCH(AO$8,$AH$8:$CC$8))-_xlfn.XMATCH($C231,$C$35:$C$82)+1&lt;=_xlpm.DepreciationMonths,$C231&lt;=AO$8),$E231/_xlpm.DepreciationMonths,0))</f>
        <v>0</v>
      </c>
      <c r="AP231" s="507" cm="1">
        <f t="array" ref="AP231">_xlfn.LET(_xlpm.DepreciationMonths,INDEX(FixedAssets[Depreciation
/ Amortization Months],_xlfn.XMATCH($E$186,FixedAssets[Asset ID])),IF(AND((_xlfn.XMATCH(AP$8,$AH$8:$CC$8))-_xlfn.XMATCH($C231,$C$35:$C$82)+1&lt;=_xlpm.DepreciationMonths,$C231&lt;=AP$8),$E231/_xlpm.DepreciationMonths,0))</f>
        <v>0</v>
      </c>
      <c r="AQ231" s="507" cm="1">
        <f t="array" ref="AQ231">_xlfn.LET(_xlpm.DepreciationMonths,INDEX(FixedAssets[Depreciation
/ Amortization Months],_xlfn.XMATCH($E$186,FixedAssets[Asset ID])),IF(AND((_xlfn.XMATCH(AQ$8,$AH$8:$CC$8))-_xlfn.XMATCH($C231,$C$35:$C$82)+1&lt;=_xlpm.DepreciationMonths,$C231&lt;=AQ$8),$E231/_xlpm.DepreciationMonths,0))</f>
        <v>0</v>
      </c>
      <c r="AR231" s="507" cm="1">
        <f t="array" ref="AR231">_xlfn.LET(_xlpm.DepreciationMonths,INDEX(FixedAssets[Depreciation
/ Amortization Months],_xlfn.XMATCH($E$186,FixedAssets[Asset ID])),IF(AND((_xlfn.XMATCH(AR$8,$AH$8:$CC$8))-_xlfn.XMATCH($C231,$C$35:$C$82)+1&lt;=_xlpm.DepreciationMonths,$C231&lt;=AR$8),$E231/_xlpm.DepreciationMonths,0))</f>
        <v>0</v>
      </c>
      <c r="AS231" s="507" cm="1">
        <f t="array" ref="AS231">_xlfn.LET(_xlpm.DepreciationMonths,INDEX(FixedAssets[Depreciation
/ Amortization Months],_xlfn.XMATCH($E$186,FixedAssets[Asset ID])),IF(AND((_xlfn.XMATCH(AS$8,$AH$8:$CC$8))-_xlfn.XMATCH($C231,$C$35:$C$82)+1&lt;=_xlpm.DepreciationMonths,$C231&lt;=AS$8),$E231/_xlpm.DepreciationMonths,0))</f>
        <v>0</v>
      </c>
      <c r="AT231" s="507" cm="1">
        <f t="array" ref="AT231">_xlfn.LET(_xlpm.DepreciationMonths,INDEX(FixedAssets[Depreciation
/ Amortization Months],_xlfn.XMATCH($E$186,FixedAssets[Asset ID])),IF(AND((_xlfn.XMATCH(AT$8,$AH$8:$CC$8))-_xlfn.XMATCH($C231,$C$35:$C$82)+1&lt;=_xlpm.DepreciationMonths,$C231&lt;=AT$8),$E231/_xlpm.DepreciationMonths,0))</f>
        <v>0</v>
      </c>
      <c r="AU231" s="507" cm="1">
        <f t="array" ref="AU231">_xlfn.LET(_xlpm.DepreciationMonths,INDEX(FixedAssets[Depreciation
/ Amortization Months],_xlfn.XMATCH($E$186,FixedAssets[Asset ID])),IF(AND((_xlfn.XMATCH(AU$8,$AH$8:$CC$8))-_xlfn.XMATCH($C231,$C$35:$C$82)+1&lt;=_xlpm.DepreciationMonths,$C231&lt;=AU$8),$E231/_xlpm.DepreciationMonths,0))</f>
        <v>0</v>
      </c>
      <c r="AV231" s="507" cm="1">
        <f t="array" ref="AV231">_xlfn.LET(_xlpm.DepreciationMonths,INDEX(FixedAssets[Depreciation
/ Amortization Months],_xlfn.XMATCH($E$186,FixedAssets[Asset ID])),IF(AND((_xlfn.XMATCH(AV$8,$AH$8:$CC$8))-_xlfn.XMATCH($C231,$C$35:$C$82)+1&lt;=_xlpm.DepreciationMonths,$C231&lt;=AV$8),$E231/_xlpm.DepreciationMonths,0))</f>
        <v>0</v>
      </c>
      <c r="AW231" s="507" cm="1">
        <f t="array" ref="AW231">_xlfn.LET(_xlpm.DepreciationMonths,INDEX(FixedAssets[Depreciation
/ Amortization Months],_xlfn.XMATCH($E$186,FixedAssets[Asset ID])),IF(AND((_xlfn.XMATCH(AW$8,$AH$8:$CC$8))-_xlfn.XMATCH($C231,$C$35:$C$82)+1&lt;=_xlpm.DepreciationMonths,$C231&lt;=AW$8),$E231/_xlpm.DepreciationMonths,0))</f>
        <v>0</v>
      </c>
      <c r="AX231" s="507" cm="1">
        <f t="array" ref="AX231">_xlfn.LET(_xlpm.DepreciationMonths,INDEX(FixedAssets[Depreciation
/ Amortization Months],_xlfn.XMATCH($E$186,FixedAssets[Asset ID])),IF(AND((_xlfn.XMATCH(AX$8,$AH$8:$CC$8))-_xlfn.XMATCH($C231,$C$35:$C$82)+1&lt;=_xlpm.DepreciationMonths,$C231&lt;=AX$8),$E231/_xlpm.DepreciationMonths,0))</f>
        <v>0</v>
      </c>
      <c r="AY231" s="507" cm="1">
        <f t="array" ref="AY231">_xlfn.LET(_xlpm.DepreciationMonths,INDEX(FixedAssets[Depreciation
/ Amortization Months],_xlfn.XMATCH($E$186,FixedAssets[Asset ID])),IF(AND((_xlfn.XMATCH(AY$8,$AH$8:$CC$8))-_xlfn.XMATCH($C231,$C$35:$C$82)+1&lt;=_xlpm.DepreciationMonths,$C231&lt;=AY$8),$E231/_xlpm.DepreciationMonths,0))</f>
        <v>0</v>
      </c>
      <c r="AZ231" s="507" cm="1">
        <f t="array" ref="AZ231">_xlfn.LET(_xlpm.DepreciationMonths,INDEX(FixedAssets[Depreciation
/ Amortization Months],_xlfn.XMATCH($E$186,FixedAssets[Asset ID])),IF(AND((_xlfn.XMATCH(AZ$8,$AH$8:$CC$8))-_xlfn.XMATCH($C231,$C$35:$C$82)+1&lt;=_xlpm.DepreciationMonths,$C231&lt;=AZ$8),$E231/_xlpm.DepreciationMonths,0))</f>
        <v>0</v>
      </c>
      <c r="BA231" s="507" cm="1">
        <f t="array" ref="BA231">_xlfn.LET(_xlpm.DepreciationMonths,INDEX(FixedAssets[Depreciation
/ Amortization Months],_xlfn.XMATCH($E$186,FixedAssets[Asset ID])),IF(AND((_xlfn.XMATCH(BA$8,$AH$8:$CC$8))-_xlfn.XMATCH($C231,$C$35:$C$82)+1&lt;=_xlpm.DepreciationMonths,$C231&lt;=BA$8),$E231/_xlpm.DepreciationMonths,0))</f>
        <v>0</v>
      </c>
      <c r="BB231" s="507" cm="1">
        <f t="array" ref="BB231">_xlfn.LET(_xlpm.DepreciationMonths,INDEX(FixedAssets[Depreciation
/ Amortization Months],_xlfn.XMATCH($E$186,FixedAssets[Asset ID])),IF(AND((_xlfn.XMATCH(BB$8,$AH$8:$CC$8))-_xlfn.XMATCH($C231,$C$35:$C$82)+1&lt;=_xlpm.DepreciationMonths,$C231&lt;=BB$8),$E231/_xlpm.DepreciationMonths,0))</f>
        <v>0</v>
      </c>
      <c r="BC231" s="507" cm="1">
        <f t="array" ref="BC231">_xlfn.LET(_xlpm.DepreciationMonths,INDEX(FixedAssets[Depreciation
/ Amortization Months],_xlfn.XMATCH($E$186,FixedAssets[Asset ID])),IF(AND((_xlfn.XMATCH(BC$8,$AH$8:$CC$8))-_xlfn.XMATCH($C231,$C$35:$C$82)+1&lt;=_xlpm.DepreciationMonths,$C231&lt;=BC$8),$E231/_xlpm.DepreciationMonths,0))</f>
        <v>0</v>
      </c>
      <c r="BD231" s="507" cm="1">
        <f t="array" ref="BD231">_xlfn.LET(_xlpm.DepreciationMonths,INDEX(FixedAssets[Depreciation
/ Amortization Months],_xlfn.XMATCH($E$186,FixedAssets[Asset ID])),IF(AND((_xlfn.XMATCH(BD$8,$AH$8:$CC$8))-_xlfn.XMATCH($C231,$C$35:$C$82)+1&lt;=_xlpm.DepreciationMonths,$C231&lt;=BD$8),$E231/_xlpm.DepreciationMonths,0))</f>
        <v>0</v>
      </c>
      <c r="BE231" s="507" cm="1">
        <f t="array" ref="BE231">_xlfn.LET(_xlpm.DepreciationMonths,INDEX(FixedAssets[Depreciation
/ Amortization Months],_xlfn.XMATCH($E$186,FixedAssets[Asset ID])),IF(AND((_xlfn.XMATCH(BE$8,$AH$8:$CC$8))-_xlfn.XMATCH($C231,$C$35:$C$82)+1&lt;=_xlpm.DepreciationMonths,$C231&lt;=BE$8),$E231/_xlpm.DepreciationMonths,0))</f>
        <v>0</v>
      </c>
      <c r="BF231" s="507" cm="1">
        <f t="array" ref="BF231">_xlfn.LET(_xlpm.DepreciationMonths,INDEX(FixedAssets[Depreciation
/ Amortization Months],_xlfn.XMATCH($E$186,FixedAssets[Asset ID])),IF(AND((_xlfn.XMATCH(BF$8,$AH$8:$CC$8))-_xlfn.XMATCH($C231,$C$35:$C$82)+1&lt;=_xlpm.DepreciationMonths,$C231&lt;=BF$8),$E231/_xlpm.DepreciationMonths,0))</f>
        <v>0</v>
      </c>
      <c r="BG231" s="507" cm="1">
        <f t="array" ref="BG231">_xlfn.LET(_xlpm.DepreciationMonths,INDEX(FixedAssets[Depreciation
/ Amortization Months],_xlfn.XMATCH($E$186,FixedAssets[Asset ID])),IF(AND((_xlfn.XMATCH(BG$8,$AH$8:$CC$8))-_xlfn.XMATCH($C231,$C$35:$C$82)+1&lt;=_xlpm.DepreciationMonths,$C231&lt;=BG$8),$E231/_xlpm.DepreciationMonths,0))</f>
        <v>0</v>
      </c>
      <c r="BH231" s="507" cm="1">
        <f t="array" ref="BH231">_xlfn.LET(_xlpm.DepreciationMonths,INDEX(FixedAssets[Depreciation
/ Amortization Months],_xlfn.XMATCH($E$186,FixedAssets[Asset ID])),IF(AND((_xlfn.XMATCH(BH$8,$AH$8:$CC$8))-_xlfn.XMATCH($C231,$C$35:$C$82)+1&lt;=_xlpm.DepreciationMonths,$C231&lt;=BH$8),$E231/_xlpm.DepreciationMonths,0))</f>
        <v>0</v>
      </c>
      <c r="BI231" s="507" cm="1">
        <f t="array" ref="BI231">_xlfn.LET(_xlpm.DepreciationMonths,INDEX(FixedAssets[Depreciation
/ Amortization Months],_xlfn.XMATCH($E$186,FixedAssets[Asset ID])),IF(AND((_xlfn.XMATCH(BI$8,$AH$8:$CC$8))-_xlfn.XMATCH($C231,$C$35:$C$82)+1&lt;=_xlpm.DepreciationMonths,$C231&lt;=BI$8),$E231/_xlpm.DepreciationMonths,0))</f>
        <v>0</v>
      </c>
      <c r="BJ231" s="507" cm="1">
        <f t="array" ref="BJ231">_xlfn.LET(_xlpm.DepreciationMonths,INDEX(FixedAssets[Depreciation
/ Amortization Months],_xlfn.XMATCH($E$186,FixedAssets[Asset ID])),IF(AND((_xlfn.XMATCH(BJ$8,$AH$8:$CC$8))-_xlfn.XMATCH($C231,$C$35:$C$82)+1&lt;=_xlpm.DepreciationMonths,$C231&lt;=BJ$8),$E231/_xlpm.DepreciationMonths,0))</f>
        <v>0</v>
      </c>
      <c r="BK231" s="507" cm="1">
        <f t="array" ref="BK231">_xlfn.LET(_xlpm.DepreciationMonths,INDEX(FixedAssets[Depreciation
/ Amortization Months],_xlfn.XMATCH($E$186,FixedAssets[Asset ID])),IF(AND((_xlfn.XMATCH(BK$8,$AH$8:$CC$8))-_xlfn.XMATCH($C231,$C$35:$C$82)+1&lt;=_xlpm.DepreciationMonths,$C231&lt;=BK$8),$E231/_xlpm.DepreciationMonths,0))</f>
        <v>0</v>
      </c>
      <c r="BL231" s="507" cm="1">
        <f t="array" ref="BL231">_xlfn.LET(_xlpm.DepreciationMonths,INDEX(FixedAssets[Depreciation
/ Amortization Months],_xlfn.XMATCH($E$186,FixedAssets[Asset ID])),IF(AND((_xlfn.XMATCH(BL$8,$AH$8:$CC$8))-_xlfn.XMATCH($C231,$C$35:$C$82)+1&lt;=_xlpm.DepreciationMonths,$C231&lt;=BL$8),$E231/_xlpm.DepreciationMonths,0))</f>
        <v>0</v>
      </c>
      <c r="BM231" s="507" cm="1">
        <f t="array" ref="BM231">_xlfn.LET(_xlpm.DepreciationMonths,INDEX(FixedAssets[Depreciation
/ Amortization Months],_xlfn.XMATCH($E$186,FixedAssets[Asset ID])),IF(AND((_xlfn.XMATCH(BM$8,$AH$8:$CC$8))-_xlfn.XMATCH($C231,$C$35:$C$82)+1&lt;=_xlpm.DepreciationMonths,$C231&lt;=BM$8),$E231/_xlpm.DepreciationMonths,0))</f>
        <v>0</v>
      </c>
      <c r="BN231" s="507" cm="1">
        <f t="array" ref="BN231">_xlfn.LET(_xlpm.DepreciationMonths,INDEX(FixedAssets[Depreciation
/ Amortization Months],_xlfn.XMATCH($E$186,FixedAssets[Asset ID])),IF(AND((_xlfn.XMATCH(BN$8,$AH$8:$CC$8))-_xlfn.XMATCH($C231,$C$35:$C$82)+1&lt;=_xlpm.DepreciationMonths,$C231&lt;=BN$8),$E231/_xlpm.DepreciationMonths,0))</f>
        <v>0</v>
      </c>
      <c r="BO231" s="507" cm="1">
        <f t="array" ref="BO231">_xlfn.LET(_xlpm.DepreciationMonths,INDEX(FixedAssets[Depreciation
/ Amortization Months],_xlfn.XMATCH($E$186,FixedAssets[Asset ID])),IF(AND((_xlfn.XMATCH(BO$8,$AH$8:$CC$8))-_xlfn.XMATCH($C231,$C$35:$C$82)+1&lt;=_xlpm.DepreciationMonths,$C231&lt;=BO$8),$E231/_xlpm.DepreciationMonths,0))</f>
        <v>0</v>
      </c>
      <c r="BP231" s="507" cm="1">
        <f t="array" ref="BP231">_xlfn.LET(_xlpm.DepreciationMonths,INDEX(FixedAssets[Depreciation
/ Amortization Months],_xlfn.XMATCH($E$186,FixedAssets[Asset ID])),IF(AND((_xlfn.XMATCH(BP$8,$AH$8:$CC$8))-_xlfn.XMATCH($C231,$C$35:$C$82)+1&lt;=_xlpm.DepreciationMonths,$C231&lt;=BP$8),$E231/_xlpm.DepreciationMonths,0))</f>
        <v>0</v>
      </c>
      <c r="BQ231" s="507" cm="1">
        <f t="array" ref="BQ231">_xlfn.LET(_xlpm.DepreciationMonths,INDEX(FixedAssets[Depreciation
/ Amortization Months],_xlfn.XMATCH($E$186,FixedAssets[Asset ID])),IF(AND((_xlfn.XMATCH(BQ$8,$AH$8:$CC$8))-_xlfn.XMATCH($C231,$C$35:$C$82)+1&lt;=_xlpm.DepreciationMonths,$C231&lt;=BQ$8),$E231/_xlpm.DepreciationMonths,0))</f>
        <v>0</v>
      </c>
      <c r="BR231" s="507" cm="1">
        <f t="array" ref="BR231">_xlfn.LET(_xlpm.DepreciationMonths,INDEX(FixedAssets[Depreciation
/ Amortization Months],_xlfn.XMATCH($E$186,FixedAssets[Asset ID])),IF(AND((_xlfn.XMATCH(BR$8,$AH$8:$CC$8))-_xlfn.XMATCH($C231,$C$35:$C$82)+1&lt;=_xlpm.DepreciationMonths,$C231&lt;=BR$8),$E231/_xlpm.DepreciationMonths,0))</f>
        <v>0</v>
      </c>
      <c r="BS231" s="507" cm="1">
        <f t="array" ref="BS231">_xlfn.LET(_xlpm.DepreciationMonths,INDEX(FixedAssets[Depreciation
/ Amortization Months],_xlfn.XMATCH($E$186,FixedAssets[Asset ID])),IF(AND((_xlfn.XMATCH(BS$8,$AH$8:$CC$8))-_xlfn.XMATCH($C231,$C$35:$C$82)+1&lt;=_xlpm.DepreciationMonths,$C231&lt;=BS$8),$E231/_xlpm.DepreciationMonths,0))</f>
        <v>0</v>
      </c>
      <c r="BT231" s="507" cm="1">
        <f t="array" ref="BT231">_xlfn.LET(_xlpm.DepreciationMonths,INDEX(FixedAssets[Depreciation
/ Amortization Months],_xlfn.XMATCH($E$186,FixedAssets[Asset ID])),IF(AND((_xlfn.XMATCH(BT$8,$AH$8:$CC$8))-_xlfn.XMATCH($C231,$C$35:$C$82)+1&lt;=_xlpm.DepreciationMonths,$C231&lt;=BT$8),$E231/_xlpm.DepreciationMonths,0))</f>
        <v>0</v>
      </c>
      <c r="BU231" s="507" cm="1">
        <f t="array" ref="BU231">_xlfn.LET(_xlpm.DepreciationMonths,INDEX(FixedAssets[Depreciation
/ Amortization Months],_xlfn.XMATCH($E$186,FixedAssets[Asset ID])),IF(AND((_xlfn.XMATCH(BU$8,$AH$8:$CC$8))-_xlfn.XMATCH($C231,$C$35:$C$82)+1&lt;=_xlpm.DepreciationMonths,$C231&lt;=BU$8),$E231/_xlpm.DepreciationMonths,0))</f>
        <v>0</v>
      </c>
      <c r="BV231" s="507" cm="1">
        <f t="array" ref="BV231">_xlfn.LET(_xlpm.DepreciationMonths,INDEX(FixedAssets[Depreciation
/ Amortization Months],_xlfn.XMATCH($E$186,FixedAssets[Asset ID])),IF(AND((_xlfn.XMATCH(BV$8,$AH$8:$CC$8))-_xlfn.XMATCH($C231,$C$35:$C$82)+1&lt;=_xlpm.DepreciationMonths,$C231&lt;=BV$8),$E231/_xlpm.DepreciationMonths,0))</f>
        <v>0</v>
      </c>
      <c r="BW231" s="507" cm="1">
        <f t="array" ref="BW231">_xlfn.LET(_xlpm.DepreciationMonths,INDEX(FixedAssets[Depreciation
/ Amortization Months],_xlfn.XMATCH($E$186,FixedAssets[Asset ID])),IF(AND((_xlfn.XMATCH(BW$8,$AH$8:$CC$8))-_xlfn.XMATCH($C231,$C$35:$C$82)+1&lt;=_xlpm.DepreciationMonths,$C231&lt;=BW$8),$E231/_xlpm.DepreciationMonths,0))</f>
        <v>0</v>
      </c>
      <c r="BX231" s="507" cm="1">
        <f t="array" ref="BX231">_xlfn.LET(_xlpm.DepreciationMonths,INDEX(FixedAssets[Depreciation
/ Amortization Months],_xlfn.XMATCH($E$186,FixedAssets[Asset ID])),IF(AND((_xlfn.XMATCH(BX$8,$AH$8:$CC$8))-_xlfn.XMATCH($C231,$C$35:$C$82)+1&lt;=_xlpm.DepreciationMonths,$C231&lt;=BX$8),$E231/_xlpm.DepreciationMonths,0))</f>
        <v>0</v>
      </c>
      <c r="BY231" s="507" cm="1">
        <f t="array" ref="BY231">_xlfn.LET(_xlpm.DepreciationMonths,INDEX(FixedAssets[Depreciation
/ Amortization Months],_xlfn.XMATCH($E$186,FixedAssets[Asset ID])),IF(AND((_xlfn.XMATCH(BY$8,$AH$8:$CC$8))-_xlfn.XMATCH($C231,$C$35:$C$82)+1&lt;=_xlpm.DepreciationMonths,$C231&lt;=BY$8),$E231/_xlpm.DepreciationMonths,0))</f>
        <v>0</v>
      </c>
      <c r="BZ231" s="507" cm="1">
        <f t="array" ref="BZ231">_xlfn.LET(_xlpm.DepreciationMonths,INDEX(FixedAssets[Depreciation
/ Amortization Months],_xlfn.XMATCH($E$186,FixedAssets[Asset ID])),IF(AND((_xlfn.XMATCH(BZ$8,$AH$8:$CC$8))-_xlfn.XMATCH($C231,$C$35:$C$82)+1&lt;=_xlpm.DepreciationMonths,$C231&lt;=BZ$8),$E231/_xlpm.DepreciationMonths,0))</f>
        <v>0</v>
      </c>
      <c r="CA231" s="507" cm="1">
        <f t="array" ref="CA231">_xlfn.LET(_xlpm.DepreciationMonths,INDEX(FixedAssets[Depreciation
/ Amortization Months],_xlfn.XMATCH($E$186,FixedAssets[Asset ID])),IF(AND((_xlfn.XMATCH(CA$8,$AH$8:$CC$8))-_xlfn.XMATCH($C231,$C$35:$C$82)+1&lt;=_xlpm.DepreciationMonths,$C231&lt;=CA$8),$E231/_xlpm.DepreciationMonths,0))</f>
        <v>0</v>
      </c>
      <c r="CB231" s="507" cm="1">
        <f t="array" ref="CB231">_xlfn.LET(_xlpm.DepreciationMonths,INDEX(FixedAssets[Depreciation
/ Amortization Months],_xlfn.XMATCH($E$186,FixedAssets[Asset ID])),IF(AND((_xlfn.XMATCH(CB$8,$AH$8:$CC$8))-_xlfn.XMATCH($C231,$C$35:$C$82)+1&lt;=_xlpm.DepreciationMonths,$C231&lt;=CB$8),$E231/_xlpm.DepreciationMonths,0))</f>
        <v>0</v>
      </c>
      <c r="CC231" s="507" cm="1">
        <f t="array" ref="CC231">_xlfn.LET(_xlpm.DepreciationMonths,INDEX(FixedAssets[Depreciation
/ Amortization Months],_xlfn.XMATCH($E$186,FixedAssets[Asset ID])),IF(AND((_xlfn.XMATCH(CC$8,$AH$8:$CC$8))-_xlfn.XMATCH($C231,$C$35:$C$82)+1&lt;=_xlpm.DepreciationMonths,$C231&lt;=CC$8),$E231/_xlpm.DepreciationMonths,0))</f>
        <v>0</v>
      </c>
    </row>
    <row r="232" spans="3:81" hidden="1" outlineLevel="2">
      <c r="C232" s="664">
        <f t="shared" si="256"/>
        <v>46295</v>
      </c>
      <c r="D232" s="508"/>
      <c r="E232" s="508" cm="1">
        <f t="array" ref="E232">SUMPRODUCT(($AH$26:$CC$31)*($AH$5:$CC$5=$C232)*($E$26:$E$31=E$186))-SUMPRODUCT(($AH$26:$CC$31)*($AH$5:$CC$5=EOMONTH($C232,-1))*($E$26:$E$31=E$186))</f>
        <v>0</v>
      </c>
      <c r="F232" s="508"/>
      <c r="G232" s="508"/>
      <c r="H232" s="508"/>
      <c r="I232" s="508"/>
      <c r="J232" s="504">
        <f t="shared" si="254"/>
        <v>0</v>
      </c>
      <c r="K232" s="504">
        <f t="shared" si="254"/>
        <v>0</v>
      </c>
      <c r="L232" s="504">
        <f t="shared" si="254"/>
        <v>0</v>
      </c>
      <c r="M232" s="504">
        <f t="shared" si="254"/>
        <v>0</v>
      </c>
      <c r="N232" s="504"/>
      <c r="O232" s="504"/>
      <c r="P232" s="504">
        <f t="shared" si="260"/>
        <v>0</v>
      </c>
      <c r="Q232" s="504">
        <f t="shared" si="260"/>
        <v>0</v>
      </c>
      <c r="R232" s="504">
        <f t="shared" si="260"/>
        <v>0</v>
      </c>
      <c r="S232" s="504">
        <f t="shared" si="260"/>
        <v>0</v>
      </c>
      <c r="T232" s="504">
        <f t="shared" si="260"/>
        <v>0</v>
      </c>
      <c r="U232" s="504">
        <f t="shared" si="260"/>
        <v>0</v>
      </c>
      <c r="V232" s="504">
        <f t="shared" si="260"/>
        <v>0</v>
      </c>
      <c r="W232" s="504">
        <f t="shared" si="260"/>
        <v>0</v>
      </c>
      <c r="X232" s="504">
        <f t="shared" si="260"/>
        <v>0</v>
      </c>
      <c r="Y232" s="504">
        <f t="shared" si="260"/>
        <v>0</v>
      </c>
      <c r="Z232" s="504">
        <f t="shared" si="260"/>
        <v>0</v>
      </c>
      <c r="AA232" s="504">
        <f t="shared" si="260"/>
        <v>0</v>
      </c>
      <c r="AB232" s="504">
        <f t="shared" si="260"/>
        <v>0</v>
      </c>
      <c r="AC232" s="504">
        <f t="shared" si="260"/>
        <v>0</v>
      </c>
      <c r="AD232" s="504">
        <f t="shared" si="260"/>
        <v>0</v>
      </c>
      <c r="AE232" s="504">
        <f t="shared" si="260"/>
        <v>0</v>
      </c>
      <c r="AF232" s="508"/>
      <c r="AG232" s="508"/>
      <c r="AH232" s="507" cm="1">
        <f t="array" ref="AH232">_xlfn.LET(_xlpm.DepreciationMonths,INDEX(FixedAssets[Depreciation
/ Amortization Months],_xlfn.XMATCH($E$186,FixedAssets[Asset ID])),IF(AND((_xlfn.XMATCH(AH$8,$AH$8:$CC$8))-_xlfn.XMATCH($C232,$C$35:$C$82)+1&lt;=_xlpm.DepreciationMonths,$C232&lt;=AH$8),$E232/_xlpm.DepreciationMonths,0))</f>
        <v>0</v>
      </c>
      <c r="AI232" s="507" cm="1">
        <f t="array" ref="AI232">_xlfn.LET(_xlpm.DepreciationMonths,INDEX(FixedAssets[Depreciation
/ Amortization Months],_xlfn.XMATCH($E$186,FixedAssets[Asset ID])),IF(AND((_xlfn.XMATCH(AI$8,$AH$8:$CC$8))-_xlfn.XMATCH($C232,$C$35:$C$82)+1&lt;=_xlpm.DepreciationMonths,$C232&lt;=AI$8),$E232/_xlpm.DepreciationMonths,0))</f>
        <v>0</v>
      </c>
      <c r="AJ232" s="507" cm="1">
        <f t="array" ref="AJ232">_xlfn.LET(_xlpm.DepreciationMonths,INDEX(FixedAssets[Depreciation
/ Amortization Months],_xlfn.XMATCH($E$186,FixedAssets[Asset ID])),IF(AND((_xlfn.XMATCH(AJ$8,$AH$8:$CC$8))-_xlfn.XMATCH($C232,$C$35:$C$82)+1&lt;=_xlpm.DepreciationMonths,$C232&lt;=AJ$8),$E232/_xlpm.DepreciationMonths,0))</f>
        <v>0</v>
      </c>
      <c r="AK232" s="507" cm="1">
        <f t="array" ref="AK232">_xlfn.LET(_xlpm.DepreciationMonths,INDEX(FixedAssets[Depreciation
/ Amortization Months],_xlfn.XMATCH($E$186,FixedAssets[Asset ID])),IF(AND((_xlfn.XMATCH(AK$8,$AH$8:$CC$8))-_xlfn.XMATCH($C232,$C$35:$C$82)+1&lt;=_xlpm.DepreciationMonths,$C232&lt;=AK$8),$E232/_xlpm.DepreciationMonths,0))</f>
        <v>0</v>
      </c>
      <c r="AL232" s="507" cm="1">
        <f t="array" ref="AL232">_xlfn.LET(_xlpm.DepreciationMonths,INDEX(FixedAssets[Depreciation
/ Amortization Months],_xlfn.XMATCH($E$186,FixedAssets[Asset ID])),IF(AND((_xlfn.XMATCH(AL$8,$AH$8:$CC$8))-_xlfn.XMATCH($C232,$C$35:$C$82)+1&lt;=_xlpm.DepreciationMonths,$C232&lt;=AL$8),$E232/_xlpm.DepreciationMonths,0))</f>
        <v>0</v>
      </c>
      <c r="AM232" s="507" cm="1">
        <f t="array" ref="AM232">_xlfn.LET(_xlpm.DepreciationMonths,INDEX(FixedAssets[Depreciation
/ Amortization Months],_xlfn.XMATCH($E$186,FixedAssets[Asset ID])),IF(AND((_xlfn.XMATCH(AM$8,$AH$8:$CC$8))-_xlfn.XMATCH($C232,$C$35:$C$82)+1&lt;=_xlpm.DepreciationMonths,$C232&lt;=AM$8),$E232/_xlpm.DepreciationMonths,0))</f>
        <v>0</v>
      </c>
      <c r="AN232" s="507" cm="1">
        <f t="array" ref="AN232">_xlfn.LET(_xlpm.DepreciationMonths,INDEX(FixedAssets[Depreciation
/ Amortization Months],_xlfn.XMATCH($E$186,FixedAssets[Asset ID])),IF(AND((_xlfn.XMATCH(AN$8,$AH$8:$CC$8))-_xlfn.XMATCH($C232,$C$35:$C$82)+1&lt;=_xlpm.DepreciationMonths,$C232&lt;=AN$8),$E232/_xlpm.DepreciationMonths,0))</f>
        <v>0</v>
      </c>
      <c r="AO232" s="507" cm="1">
        <f t="array" ref="AO232">_xlfn.LET(_xlpm.DepreciationMonths,INDEX(FixedAssets[Depreciation
/ Amortization Months],_xlfn.XMATCH($E$186,FixedAssets[Asset ID])),IF(AND((_xlfn.XMATCH(AO$8,$AH$8:$CC$8))-_xlfn.XMATCH($C232,$C$35:$C$82)+1&lt;=_xlpm.DepreciationMonths,$C232&lt;=AO$8),$E232/_xlpm.DepreciationMonths,0))</f>
        <v>0</v>
      </c>
      <c r="AP232" s="507" cm="1">
        <f t="array" ref="AP232">_xlfn.LET(_xlpm.DepreciationMonths,INDEX(FixedAssets[Depreciation
/ Amortization Months],_xlfn.XMATCH($E$186,FixedAssets[Asset ID])),IF(AND((_xlfn.XMATCH(AP$8,$AH$8:$CC$8))-_xlfn.XMATCH($C232,$C$35:$C$82)+1&lt;=_xlpm.DepreciationMonths,$C232&lt;=AP$8),$E232/_xlpm.DepreciationMonths,0))</f>
        <v>0</v>
      </c>
      <c r="AQ232" s="507" cm="1">
        <f t="array" ref="AQ232">_xlfn.LET(_xlpm.DepreciationMonths,INDEX(FixedAssets[Depreciation
/ Amortization Months],_xlfn.XMATCH($E$186,FixedAssets[Asset ID])),IF(AND((_xlfn.XMATCH(AQ$8,$AH$8:$CC$8))-_xlfn.XMATCH($C232,$C$35:$C$82)+1&lt;=_xlpm.DepreciationMonths,$C232&lt;=AQ$8),$E232/_xlpm.DepreciationMonths,0))</f>
        <v>0</v>
      </c>
      <c r="AR232" s="507" cm="1">
        <f t="array" ref="AR232">_xlfn.LET(_xlpm.DepreciationMonths,INDEX(FixedAssets[Depreciation
/ Amortization Months],_xlfn.XMATCH($E$186,FixedAssets[Asset ID])),IF(AND((_xlfn.XMATCH(AR$8,$AH$8:$CC$8))-_xlfn.XMATCH($C232,$C$35:$C$82)+1&lt;=_xlpm.DepreciationMonths,$C232&lt;=AR$8),$E232/_xlpm.DepreciationMonths,0))</f>
        <v>0</v>
      </c>
      <c r="AS232" s="507" cm="1">
        <f t="array" ref="AS232">_xlfn.LET(_xlpm.DepreciationMonths,INDEX(FixedAssets[Depreciation
/ Amortization Months],_xlfn.XMATCH($E$186,FixedAssets[Asset ID])),IF(AND((_xlfn.XMATCH(AS$8,$AH$8:$CC$8))-_xlfn.XMATCH($C232,$C$35:$C$82)+1&lt;=_xlpm.DepreciationMonths,$C232&lt;=AS$8),$E232/_xlpm.DepreciationMonths,0))</f>
        <v>0</v>
      </c>
      <c r="AT232" s="507" cm="1">
        <f t="array" ref="AT232">_xlfn.LET(_xlpm.DepreciationMonths,INDEX(FixedAssets[Depreciation
/ Amortization Months],_xlfn.XMATCH($E$186,FixedAssets[Asset ID])),IF(AND((_xlfn.XMATCH(AT$8,$AH$8:$CC$8))-_xlfn.XMATCH($C232,$C$35:$C$82)+1&lt;=_xlpm.DepreciationMonths,$C232&lt;=AT$8),$E232/_xlpm.DepreciationMonths,0))</f>
        <v>0</v>
      </c>
      <c r="AU232" s="507" cm="1">
        <f t="array" ref="AU232">_xlfn.LET(_xlpm.DepreciationMonths,INDEX(FixedAssets[Depreciation
/ Amortization Months],_xlfn.XMATCH($E$186,FixedAssets[Asset ID])),IF(AND((_xlfn.XMATCH(AU$8,$AH$8:$CC$8))-_xlfn.XMATCH($C232,$C$35:$C$82)+1&lt;=_xlpm.DepreciationMonths,$C232&lt;=AU$8),$E232/_xlpm.DepreciationMonths,0))</f>
        <v>0</v>
      </c>
      <c r="AV232" s="507" cm="1">
        <f t="array" ref="AV232">_xlfn.LET(_xlpm.DepreciationMonths,INDEX(FixedAssets[Depreciation
/ Amortization Months],_xlfn.XMATCH($E$186,FixedAssets[Asset ID])),IF(AND((_xlfn.XMATCH(AV$8,$AH$8:$CC$8))-_xlfn.XMATCH($C232,$C$35:$C$82)+1&lt;=_xlpm.DepreciationMonths,$C232&lt;=AV$8),$E232/_xlpm.DepreciationMonths,0))</f>
        <v>0</v>
      </c>
      <c r="AW232" s="507" cm="1">
        <f t="array" ref="AW232">_xlfn.LET(_xlpm.DepreciationMonths,INDEX(FixedAssets[Depreciation
/ Amortization Months],_xlfn.XMATCH($E$186,FixedAssets[Asset ID])),IF(AND((_xlfn.XMATCH(AW$8,$AH$8:$CC$8))-_xlfn.XMATCH($C232,$C$35:$C$82)+1&lt;=_xlpm.DepreciationMonths,$C232&lt;=AW$8),$E232/_xlpm.DepreciationMonths,0))</f>
        <v>0</v>
      </c>
      <c r="AX232" s="507" cm="1">
        <f t="array" ref="AX232">_xlfn.LET(_xlpm.DepreciationMonths,INDEX(FixedAssets[Depreciation
/ Amortization Months],_xlfn.XMATCH($E$186,FixedAssets[Asset ID])),IF(AND((_xlfn.XMATCH(AX$8,$AH$8:$CC$8))-_xlfn.XMATCH($C232,$C$35:$C$82)+1&lt;=_xlpm.DepreciationMonths,$C232&lt;=AX$8),$E232/_xlpm.DepreciationMonths,0))</f>
        <v>0</v>
      </c>
      <c r="AY232" s="507" cm="1">
        <f t="array" ref="AY232">_xlfn.LET(_xlpm.DepreciationMonths,INDEX(FixedAssets[Depreciation
/ Amortization Months],_xlfn.XMATCH($E$186,FixedAssets[Asset ID])),IF(AND((_xlfn.XMATCH(AY$8,$AH$8:$CC$8))-_xlfn.XMATCH($C232,$C$35:$C$82)+1&lt;=_xlpm.DepreciationMonths,$C232&lt;=AY$8),$E232/_xlpm.DepreciationMonths,0))</f>
        <v>0</v>
      </c>
      <c r="AZ232" s="507" cm="1">
        <f t="array" ref="AZ232">_xlfn.LET(_xlpm.DepreciationMonths,INDEX(FixedAssets[Depreciation
/ Amortization Months],_xlfn.XMATCH($E$186,FixedAssets[Asset ID])),IF(AND((_xlfn.XMATCH(AZ$8,$AH$8:$CC$8))-_xlfn.XMATCH($C232,$C$35:$C$82)+1&lt;=_xlpm.DepreciationMonths,$C232&lt;=AZ$8),$E232/_xlpm.DepreciationMonths,0))</f>
        <v>0</v>
      </c>
      <c r="BA232" s="507" cm="1">
        <f t="array" ref="BA232">_xlfn.LET(_xlpm.DepreciationMonths,INDEX(FixedAssets[Depreciation
/ Amortization Months],_xlfn.XMATCH($E$186,FixedAssets[Asset ID])),IF(AND((_xlfn.XMATCH(BA$8,$AH$8:$CC$8))-_xlfn.XMATCH($C232,$C$35:$C$82)+1&lt;=_xlpm.DepreciationMonths,$C232&lt;=BA$8),$E232/_xlpm.DepreciationMonths,0))</f>
        <v>0</v>
      </c>
      <c r="BB232" s="507" cm="1">
        <f t="array" ref="BB232">_xlfn.LET(_xlpm.DepreciationMonths,INDEX(FixedAssets[Depreciation
/ Amortization Months],_xlfn.XMATCH($E$186,FixedAssets[Asset ID])),IF(AND((_xlfn.XMATCH(BB$8,$AH$8:$CC$8))-_xlfn.XMATCH($C232,$C$35:$C$82)+1&lt;=_xlpm.DepreciationMonths,$C232&lt;=BB$8),$E232/_xlpm.DepreciationMonths,0))</f>
        <v>0</v>
      </c>
      <c r="BC232" s="507" cm="1">
        <f t="array" ref="BC232">_xlfn.LET(_xlpm.DepreciationMonths,INDEX(FixedAssets[Depreciation
/ Amortization Months],_xlfn.XMATCH($E$186,FixedAssets[Asset ID])),IF(AND((_xlfn.XMATCH(BC$8,$AH$8:$CC$8))-_xlfn.XMATCH($C232,$C$35:$C$82)+1&lt;=_xlpm.DepreciationMonths,$C232&lt;=BC$8),$E232/_xlpm.DepreciationMonths,0))</f>
        <v>0</v>
      </c>
      <c r="BD232" s="507" cm="1">
        <f t="array" ref="BD232">_xlfn.LET(_xlpm.DepreciationMonths,INDEX(FixedAssets[Depreciation
/ Amortization Months],_xlfn.XMATCH($E$186,FixedAssets[Asset ID])),IF(AND((_xlfn.XMATCH(BD$8,$AH$8:$CC$8))-_xlfn.XMATCH($C232,$C$35:$C$82)+1&lt;=_xlpm.DepreciationMonths,$C232&lt;=BD$8),$E232/_xlpm.DepreciationMonths,0))</f>
        <v>0</v>
      </c>
      <c r="BE232" s="507" cm="1">
        <f t="array" ref="BE232">_xlfn.LET(_xlpm.DepreciationMonths,INDEX(FixedAssets[Depreciation
/ Amortization Months],_xlfn.XMATCH($E$186,FixedAssets[Asset ID])),IF(AND((_xlfn.XMATCH(BE$8,$AH$8:$CC$8))-_xlfn.XMATCH($C232,$C$35:$C$82)+1&lt;=_xlpm.DepreciationMonths,$C232&lt;=BE$8),$E232/_xlpm.DepreciationMonths,0))</f>
        <v>0</v>
      </c>
      <c r="BF232" s="507" cm="1">
        <f t="array" ref="BF232">_xlfn.LET(_xlpm.DepreciationMonths,INDEX(FixedAssets[Depreciation
/ Amortization Months],_xlfn.XMATCH($E$186,FixedAssets[Asset ID])),IF(AND((_xlfn.XMATCH(BF$8,$AH$8:$CC$8))-_xlfn.XMATCH($C232,$C$35:$C$82)+1&lt;=_xlpm.DepreciationMonths,$C232&lt;=BF$8),$E232/_xlpm.DepreciationMonths,0))</f>
        <v>0</v>
      </c>
      <c r="BG232" s="507" cm="1">
        <f t="array" ref="BG232">_xlfn.LET(_xlpm.DepreciationMonths,INDEX(FixedAssets[Depreciation
/ Amortization Months],_xlfn.XMATCH($E$186,FixedAssets[Asset ID])),IF(AND((_xlfn.XMATCH(BG$8,$AH$8:$CC$8))-_xlfn.XMATCH($C232,$C$35:$C$82)+1&lt;=_xlpm.DepreciationMonths,$C232&lt;=BG$8),$E232/_xlpm.DepreciationMonths,0))</f>
        <v>0</v>
      </c>
      <c r="BH232" s="507" cm="1">
        <f t="array" ref="BH232">_xlfn.LET(_xlpm.DepreciationMonths,INDEX(FixedAssets[Depreciation
/ Amortization Months],_xlfn.XMATCH($E$186,FixedAssets[Asset ID])),IF(AND((_xlfn.XMATCH(BH$8,$AH$8:$CC$8))-_xlfn.XMATCH($C232,$C$35:$C$82)+1&lt;=_xlpm.DepreciationMonths,$C232&lt;=BH$8),$E232/_xlpm.DepreciationMonths,0))</f>
        <v>0</v>
      </c>
      <c r="BI232" s="507" cm="1">
        <f t="array" ref="BI232">_xlfn.LET(_xlpm.DepreciationMonths,INDEX(FixedAssets[Depreciation
/ Amortization Months],_xlfn.XMATCH($E$186,FixedAssets[Asset ID])),IF(AND((_xlfn.XMATCH(BI$8,$AH$8:$CC$8))-_xlfn.XMATCH($C232,$C$35:$C$82)+1&lt;=_xlpm.DepreciationMonths,$C232&lt;=BI$8),$E232/_xlpm.DepreciationMonths,0))</f>
        <v>0</v>
      </c>
      <c r="BJ232" s="507" cm="1">
        <f t="array" ref="BJ232">_xlfn.LET(_xlpm.DepreciationMonths,INDEX(FixedAssets[Depreciation
/ Amortization Months],_xlfn.XMATCH($E$186,FixedAssets[Asset ID])),IF(AND((_xlfn.XMATCH(BJ$8,$AH$8:$CC$8))-_xlfn.XMATCH($C232,$C$35:$C$82)+1&lt;=_xlpm.DepreciationMonths,$C232&lt;=BJ$8),$E232/_xlpm.DepreciationMonths,0))</f>
        <v>0</v>
      </c>
      <c r="BK232" s="507" cm="1">
        <f t="array" ref="BK232">_xlfn.LET(_xlpm.DepreciationMonths,INDEX(FixedAssets[Depreciation
/ Amortization Months],_xlfn.XMATCH($E$186,FixedAssets[Asset ID])),IF(AND((_xlfn.XMATCH(BK$8,$AH$8:$CC$8))-_xlfn.XMATCH($C232,$C$35:$C$82)+1&lt;=_xlpm.DepreciationMonths,$C232&lt;=BK$8),$E232/_xlpm.DepreciationMonths,0))</f>
        <v>0</v>
      </c>
      <c r="BL232" s="507" cm="1">
        <f t="array" ref="BL232">_xlfn.LET(_xlpm.DepreciationMonths,INDEX(FixedAssets[Depreciation
/ Amortization Months],_xlfn.XMATCH($E$186,FixedAssets[Asset ID])),IF(AND((_xlfn.XMATCH(BL$8,$AH$8:$CC$8))-_xlfn.XMATCH($C232,$C$35:$C$82)+1&lt;=_xlpm.DepreciationMonths,$C232&lt;=BL$8),$E232/_xlpm.DepreciationMonths,0))</f>
        <v>0</v>
      </c>
      <c r="BM232" s="507" cm="1">
        <f t="array" ref="BM232">_xlfn.LET(_xlpm.DepreciationMonths,INDEX(FixedAssets[Depreciation
/ Amortization Months],_xlfn.XMATCH($E$186,FixedAssets[Asset ID])),IF(AND((_xlfn.XMATCH(BM$8,$AH$8:$CC$8))-_xlfn.XMATCH($C232,$C$35:$C$82)+1&lt;=_xlpm.DepreciationMonths,$C232&lt;=BM$8),$E232/_xlpm.DepreciationMonths,0))</f>
        <v>0</v>
      </c>
      <c r="BN232" s="507" cm="1">
        <f t="array" ref="BN232">_xlfn.LET(_xlpm.DepreciationMonths,INDEX(FixedAssets[Depreciation
/ Amortization Months],_xlfn.XMATCH($E$186,FixedAssets[Asset ID])),IF(AND((_xlfn.XMATCH(BN$8,$AH$8:$CC$8))-_xlfn.XMATCH($C232,$C$35:$C$82)+1&lt;=_xlpm.DepreciationMonths,$C232&lt;=BN$8),$E232/_xlpm.DepreciationMonths,0))</f>
        <v>0</v>
      </c>
      <c r="BO232" s="507" cm="1">
        <f t="array" ref="BO232">_xlfn.LET(_xlpm.DepreciationMonths,INDEX(FixedAssets[Depreciation
/ Amortization Months],_xlfn.XMATCH($E$186,FixedAssets[Asset ID])),IF(AND((_xlfn.XMATCH(BO$8,$AH$8:$CC$8))-_xlfn.XMATCH($C232,$C$35:$C$82)+1&lt;=_xlpm.DepreciationMonths,$C232&lt;=BO$8),$E232/_xlpm.DepreciationMonths,0))</f>
        <v>0</v>
      </c>
      <c r="BP232" s="507" cm="1">
        <f t="array" ref="BP232">_xlfn.LET(_xlpm.DepreciationMonths,INDEX(FixedAssets[Depreciation
/ Amortization Months],_xlfn.XMATCH($E$186,FixedAssets[Asset ID])),IF(AND((_xlfn.XMATCH(BP$8,$AH$8:$CC$8))-_xlfn.XMATCH($C232,$C$35:$C$82)+1&lt;=_xlpm.DepreciationMonths,$C232&lt;=BP$8),$E232/_xlpm.DepreciationMonths,0))</f>
        <v>0</v>
      </c>
      <c r="BQ232" s="507" cm="1">
        <f t="array" ref="BQ232">_xlfn.LET(_xlpm.DepreciationMonths,INDEX(FixedAssets[Depreciation
/ Amortization Months],_xlfn.XMATCH($E$186,FixedAssets[Asset ID])),IF(AND((_xlfn.XMATCH(BQ$8,$AH$8:$CC$8))-_xlfn.XMATCH($C232,$C$35:$C$82)+1&lt;=_xlpm.DepreciationMonths,$C232&lt;=BQ$8),$E232/_xlpm.DepreciationMonths,0))</f>
        <v>0</v>
      </c>
      <c r="BR232" s="507" cm="1">
        <f t="array" ref="BR232">_xlfn.LET(_xlpm.DepreciationMonths,INDEX(FixedAssets[Depreciation
/ Amortization Months],_xlfn.XMATCH($E$186,FixedAssets[Asset ID])),IF(AND((_xlfn.XMATCH(BR$8,$AH$8:$CC$8))-_xlfn.XMATCH($C232,$C$35:$C$82)+1&lt;=_xlpm.DepreciationMonths,$C232&lt;=BR$8),$E232/_xlpm.DepreciationMonths,0))</f>
        <v>0</v>
      </c>
      <c r="BS232" s="507" cm="1">
        <f t="array" ref="BS232">_xlfn.LET(_xlpm.DepreciationMonths,INDEX(FixedAssets[Depreciation
/ Amortization Months],_xlfn.XMATCH($E$186,FixedAssets[Asset ID])),IF(AND((_xlfn.XMATCH(BS$8,$AH$8:$CC$8))-_xlfn.XMATCH($C232,$C$35:$C$82)+1&lt;=_xlpm.DepreciationMonths,$C232&lt;=BS$8),$E232/_xlpm.DepreciationMonths,0))</f>
        <v>0</v>
      </c>
      <c r="BT232" s="507" cm="1">
        <f t="array" ref="BT232">_xlfn.LET(_xlpm.DepreciationMonths,INDEX(FixedAssets[Depreciation
/ Amortization Months],_xlfn.XMATCH($E$186,FixedAssets[Asset ID])),IF(AND((_xlfn.XMATCH(BT$8,$AH$8:$CC$8))-_xlfn.XMATCH($C232,$C$35:$C$82)+1&lt;=_xlpm.DepreciationMonths,$C232&lt;=BT$8),$E232/_xlpm.DepreciationMonths,0))</f>
        <v>0</v>
      </c>
      <c r="BU232" s="507" cm="1">
        <f t="array" ref="BU232">_xlfn.LET(_xlpm.DepreciationMonths,INDEX(FixedAssets[Depreciation
/ Amortization Months],_xlfn.XMATCH($E$186,FixedAssets[Asset ID])),IF(AND((_xlfn.XMATCH(BU$8,$AH$8:$CC$8))-_xlfn.XMATCH($C232,$C$35:$C$82)+1&lt;=_xlpm.DepreciationMonths,$C232&lt;=BU$8),$E232/_xlpm.DepreciationMonths,0))</f>
        <v>0</v>
      </c>
      <c r="BV232" s="507" cm="1">
        <f t="array" ref="BV232">_xlfn.LET(_xlpm.DepreciationMonths,INDEX(FixedAssets[Depreciation
/ Amortization Months],_xlfn.XMATCH($E$186,FixedAssets[Asset ID])),IF(AND((_xlfn.XMATCH(BV$8,$AH$8:$CC$8))-_xlfn.XMATCH($C232,$C$35:$C$82)+1&lt;=_xlpm.DepreciationMonths,$C232&lt;=BV$8),$E232/_xlpm.DepreciationMonths,0))</f>
        <v>0</v>
      </c>
      <c r="BW232" s="507" cm="1">
        <f t="array" ref="BW232">_xlfn.LET(_xlpm.DepreciationMonths,INDEX(FixedAssets[Depreciation
/ Amortization Months],_xlfn.XMATCH($E$186,FixedAssets[Asset ID])),IF(AND((_xlfn.XMATCH(BW$8,$AH$8:$CC$8))-_xlfn.XMATCH($C232,$C$35:$C$82)+1&lt;=_xlpm.DepreciationMonths,$C232&lt;=BW$8),$E232/_xlpm.DepreciationMonths,0))</f>
        <v>0</v>
      </c>
      <c r="BX232" s="507" cm="1">
        <f t="array" ref="BX232">_xlfn.LET(_xlpm.DepreciationMonths,INDEX(FixedAssets[Depreciation
/ Amortization Months],_xlfn.XMATCH($E$186,FixedAssets[Asset ID])),IF(AND((_xlfn.XMATCH(BX$8,$AH$8:$CC$8))-_xlfn.XMATCH($C232,$C$35:$C$82)+1&lt;=_xlpm.DepreciationMonths,$C232&lt;=BX$8),$E232/_xlpm.DepreciationMonths,0))</f>
        <v>0</v>
      </c>
      <c r="BY232" s="507" cm="1">
        <f t="array" ref="BY232">_xlfn.LET(_xlpm.DepreciationMonths,INDEX(FixedAssets[Depreciation
/ Amortization Months],_xlfn.XMATCH($E$186,FixedAssets[Asset ID])),IF(AND((_xlfn.XMATCH(BY$8,$AH$8:$CC$8))-_xlfn.XMATCH($C232,$C$35:$C$82)+1&lt;=_xlpm.DepreciationMonths,$C232&lt;=BY$8),$E232/_xlpm.DepreciationMonths,0))</f>
        <v>0</v>
      </c>
      <c r="BZ232" s="507" cm="1">
        <f t="array" ref="BZ232">_xlfn.LET(_xlpm.DepreciationMonths,INDEX(FixedAssets[Depreciation
/ Amortization Months],_xlfn.XMATCH($E$186,FixedAssets[Asset ID])),IF(AND((_xlfn.XMATCH(BZ$8,$AH$8:$CC$8))-_xlfn.XMATCH($C232,$C$35:$C$82)+1&lt;=_xlpm.DepreciationMonths,$C232&lt;=BZ$8),$E232/_xlpm.DepreciationMonths,0))</f>
        <v>0</v>
      </c>
      <c r="CA232" s="507" cm="1">
        <f t="array" ref="CA232">_xlfn.LET(_xlpm.DepreciationMonths,INDEX(FixedAssets[Depreciation
/ Amortization Months],_xlfn.XMATCH($E$186,FixedAssets[Asset ID])),IF(AND((_xlfn.XMATCH(CA$8,$AH$8:$CC$8))-_xlfn.XMATCH($C232,$C$35:$C$82)+1&lt;=_xlpm.DepreciationMonths,$C232&lt;=CA$8),$E232/_xlpm.DepreciationMonths,0))</f>
        <v>0</v>
      </c>
      <c r="CB232" s="507" cm="1">
        <f t="array" ref="CB232">_xlfn.LET(_xlpm.DepreciationMonths,INDEX(FixedAssets[Depreciation
/ Amortization Months],_xlfn.XMATCH($E$186,FixedAssets[Asset ID])),IF(AND((_xlfn.XMATCH(CB$8,$AH$8:$CC$8))-_xlfn.XMATCH($C232,$C$35:$C$82)+1&lt;=_xlpm.DepreciationMonths,$C232&lt;=CB$8),$E232/_xlpm.DepreciationMonths,0))</f>
        <v>0</v>
      </c>
      <c r="CC232" s="507" cm="1">
        <f t="array" ref="CC232">_xlfn.LET(_xlpm.DepreciationMonths,INDEX(FixedAssets[Depreciation
/ Amortization Months],_xlfn.XMATCH($E$186,FixedAssets[Asset ID])),IF(AND((_xlfn.XMATCH(CC$8,$AH$8:$CC$8))-_xlfn.XMATCH($C232,$C$35:$C$82)+1&lt;=_xlpm.DepreciationMonths,$C232&lt;=CC$8),$E232/_xlpm.DepreciationMonths,0))</f>
        <v>0</v>
      </c>
    </row>
    <row r="233" spans="3:81" hidden="1" outlineLevel="2">
      <c r="C233" s="664">
        <f t="shared" si="256"/>
        <v>46326</v>
      </c>
      <c r="D233" s="508"/>
      <c r="E233" s="508" cm="1">
        <f t="array" ref="E233">SUMPRODUCT(($AH$26:$CC$31)*($AH$5:$CC$5=$C233)*($E$26:$E$31=E$186))-SUMPRODUCT(($AH$26:$CC$31)*($AH$5:$CC$5=EOMONTH($C233,-1))*($E$26:$E$31=E$186))</f>
        <v>0</v>
      </c>
      <c r="F233" s="508"/>
      <c r="G233" s="508"/>
      <c r="H233" s="508"/>
      <c r="I233" s="508"/>
      <c r="J233" s="504">
        <f t="shared" si="254"/>
        <v>0</v>
      </c>
      <c r="K233" s="504">
        <f t="shared" si="254"/>
        <v>0</v>
      </c>
      <c r="L233" s="504">
        <f t="shared" si="254"/>
        <v>0</v>
      </c>
      <c r="M233" s="504">
        <f t="shared" si="254"/>
        <v>0</v>
      </c>
      <c r="N233" s="504"/>
      <c r="O233" s="504"/>
      <c r="P233" s="504">
        <f t="shared" si="260"/>
        <v>0</v>
      </c>
      <c r="Q233" s="504">
        <f t="shared" si="260"/>
        <v>0</v>
      </c>
      <c r="R233" s="504">
        <f t="shared" si="260"/>
        <v>0</v>
      </c>
      <c r="S233" s="504">
        <f t="shared" si="260"/>
        <v>0</v>
      </c>
      <c r="T233" s="504">
        <f t="shared" si="260"/>
        <v>0</v>
      </c>
      <c r="U233" s="504">
        <f t="shared" si="260"/>
        <v>0</v>
      </c>
      <c r="V233" s="504">
        <f t="shared" si="260"/>
        <v>0</v>
      </c>
      <c r="W233" s="504">
        <f t="shared" si="260"/>
        <v>0</v>
      </c>
      <c r="X233" s="504">
        <f t="shared" si="260"/>
        <v>0</v>
      </c>
      <c r="Y233" s="504">
        <f t="shared" si="260"/>
        <v>0</v>
      </c>
      <c r="Z233" s="504">
        <f t="shared" si="260"/>
        <v>0</v>
      </c>
      <c r="AA233" s="504">
        <f t="shared" si="260"/>
        <v>0</v>
      </c>
      <c r="AB233" s="504">
        <f t="shared" si="260"/>
        <v>0</v>
      </c>
      <c r="AC233" s="504">
        <f t="shared" si="260"/>
        <v>0</v>
      </c>
      <c r="AD233" s="504">
        <f t="shared" si="260"/>
        <v>0</v>
      </c>
      <c r="AE233" s="504">
        <f t="shared" si="260"/>
        <v>0</v>
      </c>
      <c r="AF233" s="508"/>
      <c r="AG233" s="508"/>
      <c r="AH233" s="507" cm="1">
        <f t="array" ref="AH233">_xlfn.LET(_xlpm.DepreciationMonths,INDEX(FixedAssets[Depreciation
/ Amortization Months],_xlfn.XMATCH($E$186,FixedAssets[Asset ID])),IF(AND((_xlfn.XMATCH(AH$8,$AH$8:$CC$8))-_xlfn.XMATCH($C233,$C$35:$C$82)+1&lt;=_xlpm.DepreciationMonths,$C233&lt;=AH$8),$E233/_xlpm.DepreciationMonths,0))</f>
        <v>0</v>
      </c>
      <c r="AI233" s="507" cm="1">
        <f t="array" ref="AI233">_xlfn.LET(_xlpm.DepreciationMonths,INDEX(FixedAssets[Depreciation
/ Amortization Months],_xlfn.XMATCH($E$186,FixedAssets[Asset ID])),IF(AND((_xlfn.XMATCH(AI$8,$AH$8:$CC$8))-_xlfn.XMATCH($C233,$C$35:$C$82)+1&lt;=_xlpm.DepreciationMonths,$C233&lt;=AI$8),$E233/_xlpm.DepreciationMonths,0))</f>
        <v>0</v>
      </c>
      <c r="AJ233" s="507" cm="1">
        <f t="array" ref="AJ233">_xlfn.LET(_xlpm.DepreciationMonths,INDEX(FixedAssets[Depreciation
/ Amortization Months],_xlfn.XMATCH($E$186,FixedAssets[Asset ID])),IF(AND((_xlfn.XMATCH(AJ$8,$AH$8:$CC$8))-_xlfn.XMATCH($C233,$C$35:$C$82)+1&lt;=_xlpm.DepreciationMonths,$C233&lt;=AJ$8),$E233/_xlpm.DepreciationMonths,0))</f>
        <v>0</v>
      </c>
      <c r="AK233" s="507" cm="1">
        <f t="array" ref="AK233">_xlfn.LET(_xlpm.DepreciationMonths,INDEX(FixedAssets[Depreciation
/ Amortization Months],_xlfn.XMATCH($E$186,FixedAssets[Asset ID])),IF(AND((_xlfn.XMATCH(AK$8,$AH$8:$CC$8))-_xlfn.XMATCH($C233,$C$35:$C$82)+1&lt;=_xlpm.DepreciationMonths,$C233&lt;=AK$8),$E233/_xlpm.DepreciationMonths,0))</f>
        <v>0</v>
      </c>
      <c r="AL233" s="507" cm="1">
        <f t="array" ref="AL233">_xlfn.LET(_xlpm.DepreciationMonths,INDEX(FixedAssets[Depreciation
/ Amortization Months],_xlfn.XMATCH($E$186,FixedAssets[Asset ID])),IF(AND((_xlfn.XMATCH(AL$8,$AH$8:$CC$8))-_xlfn.XMATCH($C233,$C$35:$C$82)+1&lt;=_xlpm.DepreciationMonths,$C233&lt;=AL$8),$E233/_xlpm.DepreciationMonths,0))</f>
        <v>0</v>
      </c>
      <c r="AM233" s="507" cm="1">
        <f t="array" ref="AM233">_xlfn.LET(_xlpm.DepreciationMonths,INDEX(FixedAssets[Depreciation
/ Amortization Months],_xlfn.XMATCH($E$186,FixedAssets[Asset ID])),IF(AND((_xlfn.XMATCH(AM$8,$AH$8:$CC$8))-_xlfn.XMATCH($C233,$C$35:$C$82)+1&lt;=_xlpm.DepreciationMonths,$C233&lt;=AM$8),$E233/_xlpm.DepreciationMonths,0))</f>
        <v>0</v>
      </c>
      <c r="AN233" s="507" cm="1">
        <f t="array" ref="AN233">_xlfn.LET(_xlpm.DepreciationMonths,INDEX(FixedAssets[Depreciation
/ Amortization Months],_xlfn.XMATCH($E$186,FixedAssets[Asset ID])),IF(AND((_xlfn.XMATCH(AN$8,$AH$8:$CC$8))-_xlfn.XMATCH($C233,$C$35:$C$82)+1&lt;=_xlpm.DepreciationMonths,$C233&lt;=AN$8),$E233/_xlpm.DepreciationMonths,0))</f>
        <v>0</v>
      </c>
      <c r="AO233" s="507" cm="1">
        <f t="array" ref="AO233">_xlfn.LET(_xlpm.DepreciationMonths,INDEX(FixedAssets[Depreciation
/ Amortization Months],_xlfn.XMATCH($E$186,FixedAssets[Asset ID])),IF(AND((_xlfn.XMATCH(AO$8,$AH$8:$CC$8))-_xlfn.XMATCH($C233,$C$35:$C$82)+1&lt;=_xlpm.DepreciationMonths,$C233&lt;=AO$8),$E233/_xlpm.DepreciationMonths,0))</f>
        <v>0</v>
      </c>
      <c r="AP233" s="507" cm="1">
        <f t="array" ref="AP233">_xlfn.LET(_xlpm.DepreciationMonths,INDEX(FixedAssets[Depreciation
/ Amortization Months],_xlfn.XMATCH($E$186,FixedAssets[Asset ID])),IF(AND((_xlfn.XMATCH(AP$8,$AH$8:$CC$8))-_xlfn.XMATCH($C233,$C$35:$C$82)+1&lt;=_xlpm.DepreciationMonths,$C233&lt;=AP$8),$E233/_xlpm.DepreciationMonths,0))</f>
        <v>0</v>
      </c>
      <c r="AQ233" s="507" cm="1">
        <f t="array" ref="AQ233">_xlfn.LET(_xlpm.DepreciationMonths,INDEX(FixedAssets[Depreciation
/ Amortization Months],_xlfn.XMATCH($E$186,FixedAssets[Asset ID])),IF(AND((_xlfn.XMATCH(AQ$8,$AH$8:$CC$8))-_xlfn.XMATCH($C233,$C$35:$C$82)+1&lt;=_xlpm.DepreciationMonths,$C233&lt;=AQ$8),$E233/_xlpm.DepreciationMonths,0))</f>
        <v>0</v>
      </c>
      <c r="AR233" s="507" cm="1">
        <f t="array" ref="AR233">_xlfn.LET(_xlpm.DepreciationMonths,INDEX(FixedAssets[Depreciation
/ Amortization Months],_xlfn.XMATCH($E$186,FixedAssets[Asset ID])),IF(AND((_xlfn.XMATCH(AR$8,$AH$8:$CC$8))-_xlfn.XMATCH($C233,$C$35:$C$82)+1&lt;=_xlpm.DepreciationMonths,$C233&lt;=AR$8),$E233/_xlpm.DepreciationMonths,0))</f>
        <v>0</v>
      </c>
      <c r="AS233" s="507" cm="1">
        <f t="array" ref="AS233">_xlfn.LET(_xlpm.DepreciationMonths,INDEX(FixedAssets[Depreciation
/ Amortization Months],_xlfn.XMATCH($E$186,FixedAssets[Asset ID])),IF(AND((_xlfn.XMATCH(AS$8,$AH$8:$CC$8))-_xlfn.XMATCH($C233,$C$35:$C$82)+1&lt;=_xlpm.DepreciationMonths,$C233&lt;=AS$8),$E233/_xlpm.DepreciationMonths,0))</f>
        <v>0</v>
      </c>
      <c r="AT233" s="507" cm="1">
        <f t="array" ref="AT233">_xlfn.LET(_xlpm.DepreciationMonths,INDEX(FixedAssets[Depreciation
/ Amortization Months],_xlfn.XMATCH($E$186,FixedAssets[Asset ID])),IF(AND((_xlfn.XMATCH(AT$8,$AH$8:$CC$8))-_xlfn.XMATCH($C233,$C$35:$C$82)+1&lt;=_xlpm.DepreciationMonths,$C233&lt;=AT$8),$E233/_xlpm.DepreciationMonths,0))</f>
        <v>0</v>
      </c>
      <c r="AU233" s="507" cm="1">
        <f t="array" ref="AU233">_xlfn.LET(_xlpm.DepreciationMonths,INDEX(FixedAssets[Depreciation
/ Amortization Months],_xlfn.XMATCH($E$186,FixedAssets[Asset ID])),IF(AND((_xlfn.XMATCH(AU$8,$AH$8:$CC$8))-_xlfn.XMATCH($C233,$C$35:$C$82)+1&lt;=_xlpm.DepreciationMonths,$C233&lt;=AU$8),$E233/_xlpm.DepreciationMonths,0))</f>
        <v>0</v>
      </c>
      <c r="AV233" s="507" cm="1">
        <f t="array" ref="AV233">_xlfn.LET(_xlpm.DepreciationMonths,INDEX(FixedAssets[Depreciation
/ Amortization Months],_xlfn.XMATCH($E$186,FixedAssets[Asset ID])),IF(AND((_xlfn.XMATCH(AV$8,$AH$8:$CC$8))-_xlfn.XMATCH($C233,$C$35:$C$82)+1&lt;=_xlpm.DepreciationMonths,$C233&lt;=AV$8),$E233/_xlpm.DepreciationMonths,0))</f>
        <v>0</v>
      </c>
      <c r="AW233" s="507" cm="1">
        <f t="array" ref="AW233">_xlfn.LET(_xlpm.DepreciationMonths,INDEX(FixedAssets[Depreciation
/ Amortization Months],_xlfn.XMATCH($E$186,FixedAssets[Asset ID])),IF(AND((_xlfn.XMATCH(AW$8,$AH$8:$CC$8))-_xlfn.XMATCH($C233,$C$35:$C$82)+1&lt;=_xlpm.DepreciationMonths,$C233&lt;=AW$8),$E233/_xlpm.DepreciationMonths,0))</f>
        <v>0</v>
      </c>
      <c r="AX233" s="507" cm="1">
        <f t="array" ref="AX233">_xlfn.LET(_xlpm.DepreciationMonths,INDEX(FixedAssets[Depreciation
/ Amortization Months],_xlfn.XMATCH($E$186,FixedAssets[Asset ID])),IF(AND((_xlfn.XMATCH(AX$8,$AH$8:$CC$8))-_xlfn.XMATCH($C233,$C$35:$C$82)+1&lt;=_xlpm.DepreciationMonths,$C233&lt;=AX$8),$E233/_xlpm.DepreciationMonths,0))</f>
        <v>0</v>
      </c>
      <c r="AY233" s="507" cm="1">
        <f t="array" ref="AY233">_xlfn.LET(_xlpm.DepreciationMonths,INDEX(FixedAssets[Depreciation
/ Amortization Months],_xlfn.XMATCH($E$186,FixedAssets[Asset ID])),IF(AND((_xlfn.XMATCH(AY$8,$AH$8:$CC$8))-_xlfn.XMATCH($C233,$C$35:$C$82)+1&lt;=_xlpm.DepreciationMonths,$C233&lt;=AY$8),$E233/_xlpm.DepreciationMonths,0))</f>
        <v>0</v>
      </c>
      <c r="AZ233" s="507" cm="1">
        <f t="array" ref="AZ233">_xlfn.LET(_xlpm.DepreciationMonths,INDEX(FixedAssets[Depreciation
/ Amortization Months],_xlfn.XMATCH($E$186,FixedAssets[Asset ID])),IF(AND((_xlfn.XMATCH(AZ$8,$AH$8:$CC$8))-_xlfn.XMATCH($C233,$C$35:$C$82)+1&lt;=_xlpm.DepreciationMonths,$C233&lt;=AZ$8),$E233/_xlpm.DepreciationMonths,0))</f>
        <v>0</v>
      </c>
      <c r="BA233" s="507" cm="1">
        <f t="array" ref="BA233">_xlfn.LET(_xlpm.DepreciationMonths,INDEX(FixedAssets[Depreciation
/ Amortization Months],_xlfn.XMATCH($E$186,FixedAssets[Asset ID])),IF(AND((_xlfn.XMATCH(BA$8,$AH$8:$CC$8))-_xlfn.XMATCH($C233,$C$35:$C$82)+1&lt;=_xlpm.DepreciationMonths,$C233&lt;=BA$8),$E233/_xlpm.DepreciationMonths,0))</f>
        <v>0</v>
      </c>
      <c r="BB233" s="507" cm="1">
        <f t="array" ref="BB233">_xlfn.LET(_xlpm.DepreciationMonths,INDEX(FixedAssets[Depreciation
/ Amortization Months],_xlfn.XMATCH($E$186,FixedAssets[Asset ID])),IF(AND((_xlfn.XMATCH(BB$8,$AH$8:$CC$8))-_xlfn.XMATCH($C233,$C$35:$C$82)+1&lt;=_xlpm.DepreciationMonths,$C233&lt;=BB$8),$E233/_xlpm.DepreciationMonths,0))</f>
        <v>0</v>
      </c>
      <c r="BC233" s="507" cm="1">
        <f t="array" ref="BC233">_xlfn.LET(_xlpm.DepreciationMonths,INDEX(FixedAssets[Depreciation
/ Amortization Months],_xlfn.XMATCH($E$186,FixedAssets[Asset ID])),IF(AND((_xlfn.XMATCH(BC$8,$AH$8:$CC$8))-_xlfn.XMATCH($C233,$C$35:$C$82)+1&lt;=_xlpm.DepreciationMonths,$C233&lt;=BC$8),$E233/_xlpm.DepreciationMonths,0))</f>
        <v>0</v>
      </c>
      <c r="BD233" s="507" cm="1">
        <f t="array" ref="BD233">_xlfn.LET(_xlpm.DepreciationMonths,INDEX(FixedAssets[Depreciation
/ Amortization Months],_xlfn.XMATCH($E$186,FixedAssets[Asset ID])),IF(AND((_xlfn.XMATCH(BD$8,$AH$8:$CC$8))-_xlfn.XMATCH($C233,$C$35:$C$82)+1&lt;=_xlpm.DepreciationMonths,$C233&lt;=BD$8),$E233/_xlpm.DepreciationMonths,0))</f>
        <v>0</v>
      </c>
      <c r="BE233" s="507" cm="1">
        <f t="array" ref="BE233">_xlfn.LET(_xlpm.DepreciationMonths,INDEX(FixedAssets[Depreciation
/ Amortization Months],_xlfn.XMATCH($E$186,FixedAssets[Asset ID])),IF(AND((_xlfn.XMATCH(BE$8,$AH$8:$CC$8))-_xlfn.XMATCH($C233,$C$35:$C$82)+1&lt;=_xlpm.DepreciationMonths,$C233&lt;=BE$8),$E233/_xlpm.DepreciationMonths,0))</f>
        <v>0</v>
      </c>
      <c r="BF233" s="507" cm="1">
        <f t="array" ref="BF233">_xlfn.LET(_xlpm.DepreciationMonths,INDEX(FixedAssets[Depreciation
/ Amortization Months],_xlfn.XMATCH($E$186,FixedAssets[Asset ID])),IF(AND((_xlfn.XMATCH(BF$8,$AH$8:$CC$8))-_xlfn.XMATCH($C233,$C$35:$C$82)+1&lt;=_xlpm.DepreciationMonths,$C233&lt;=BF$8),$E233/_xlpm.DepreciationMonths,0))</f>
        <v>0</v>
      </c>
      <c r="BG233" s="507" cm="1">
        <f t="array" ref="BG233">_xlfn.LET(_xlpm.DepreciationMonths,INDEX(FixedAssets[Depreciation
/ Amortization Months],_xlfn.XMATCH($E$186,FixedAssets[Asset ID])),IF(AND((_xlfn.XMATCH(BG$8,$AH$8:$CC$8))-_xlfn.XMATCH($C233,$C$35:$C$82)+1&lt;=_xlpm.DepreciationMonths,$C233&lt;=BG$8),$E233/_xlpm.DepreciationMonths,0))</f>
        <v>0</v>
      </c>
      <c r="BH233" s="507" cm="1">
        <f t="array" ref="BH233">_xlfn.LET(_xlpm.DepreciationMonths,INDEX(FixedAssets[Depreciation
/ Amortization Months],_xlfn.XMATCH($E$186,FixedAssets[Asset ID])),IF(AND((_xlfn.XMATCH(BH$8,$AH$8:$CC$8))-_xlfn.XMATCH($C233,$C$35:$C$82)+1&lt;=_xlpm.DepreciationMonths,$C233&lt;=BH$8),$E233/_xlpm.DepreciationMonths,0))</f>
        <v>0</v>
      </c>
      <c r="BI233" s="507" cm="1">
        <f t="array" ref="BI233">_xlfn.LET(_xlpm.DepreciationMonths,INDEX(FixedAssets[Depreciation
/ Amortization Months],_xlfn.XMATCH($E$186,FixedAssets[Asset ID])),IF(AND((_xlfn.XMATCH(BI$8,$AH$8:$CC$8))-_xlfn.XMATCH($C233,$C$35:$C$82)+1&lt;=_xlpm.DepreciationMonths,$C233&lt;=BI$8),$E233/_xlpm.DepreciationMonths,0))</f>
        <v>0</v>
      </c>
      <c r="BJ233" s="507" cm="1">
        <f t="array" ref="BJ233">_xlfn.LET(_xlpm.DepreciationMonths,INDEX(FixedAssets[Depreciation
/ Amortization Months],_xlfn.XMATCH($E$186,FixedAssets[Asset ID])),IF(AND((_xlfn.XMATCH(BJ$8,$AH$8:$CC$8))-_xlfn.XMATCH($C233,$C$35:$C$82)+1&lt;=_xlpm.DepreciationMonths,$C233&lt;=BJ$8),$E233/_xlpm.DepreciationMonths,0))</f>
        <v>0</v>
      </c>
      <c r="BK233" s="507" cm="1">
        <f t="array" ref="BK233">_xlfn.LET(_xlpm.DepreciationMonths,INDEX(FixedAssets[Depreciation
/ Amortization Months],_xlfn.XMATCH($E$186,FixedAssets[Asset ID])),IF(AND((_xlfn.XMATCH(BK$8,$AH$8:$CC$8))-_xlfn.XMATCH($C233,$C$35:$C$82)+1&lt;=_xlpm.DepreciationMonths,$C233&lt;=BK$8),$E233/_xlpm.DepreciationMonths,0))</f>
        <v>0</v>
      </c>
      <c r="BL233" s="507" cm="1">
        <f t="array" ref="BL233">_xlfn.LET(_xlpm.DepreciationMonths,INDEX(FixedAssets[Depreciation
/ Amortization Months],_xlfn.XMATCH($E$186,FixedAssets[Asset ID])),IF(AND((_xlfn.XMATCH(BL$8,$AH$8:$CC$8))-_xlfn.XMATCH($C233,$C$35:$C$82)+1&lt;=_xlpm.DepreciationMonths,$C233&lt;=BL$8),$E233/_xlpm.DepreciationMonths,0))</f>
        <v>0</v>
      </c>
      <c r="BM233" s="507" cm="1">
        <f t="array" ref="BM233">_xlfn.LET(_xlpm.DepreciationMonths,INDEX(FixedAssets[Depreciation
/ Amortization Months],_xlfn.XMATCH($E$186,FixedAssets[Asset ID])),IF(AND((_xlfn.XMATCH(BM$8,$AH$8:$CC$8))-_xlfn.XMATCH($C233,$C$35:$C$82)+1&lt;=_xlpm.DepreciationMonths,$C233&lt;=BM$8),$E233/_xlpm.DepreciationMonths,0))</f>
        <v>0</v>
      </c>
      <c r="BN233" s="507" cm="1">
        <f t="array" ref="BN233">_xlfn.LET(_xlpm.DepreciationMonths,INDEX(FixedAssets[Depreciation
/ Amortization Months],_xlfn.XMATCH($E$186,FixedAssets[Asset ID])),IF(AND((_xlfn.XMATCH(BN$8,$AH$8:$CC$8))-_xlfn.XMATCH($C233,$C$35:$C$82)+1&lt;=_xlpm.DepreciationMonths,$C233&lt;=BN$8),$E233/_xlpm.DepreciationMonths,0))</f>
        <v>0</v>
      </c>
      <c r="BO233" s="507" cm="1">
        <f t="array" ref="BO233">_xlfn.LET(_xlpm.DepreciationMonths,INDEX(FixedAssets[Depreciation
/ Amortization Months],_xlfn.XMATCH($E$186,FixedAssets[Asset ID])),IF(AND((_xlfn.XMATCH(BO$8,$AH$8:$CC$8))-_xlfn.XMATCH($C233,$C$35:$C$82)+1&lt;=_xlpm.DepreciationMonths,$C233&lt;=BO$8),$E233/_xlpm.DepreciationMonths,0))</f>
        <v>0</v>
      </c>
      <c r="BP233" s="507" cm="1">
        <f t="array" ref="BP233">_xlfn.LET(_xlpm.DepreciationMonths,INDEX(FixedAssets[Depreciation
/ Amortization Months],_xlfn.XMATCH($E$186,FixedAssets[Asset ID])),IF(AND((_xlfn.XMATCH(BP$8,$AH$8:$CC$8))-_xlfn.XMATCH($C233,$C$35:$C$82)+1&lt;=_xlpm.DepreciationMonths,$C233&lt;=BP$8),$E233/_xlpm.DepreciationMonths,0))</f>
        <v>0</v>
      </c>
      <c r="BQ233" s="507" cm="1">
        <f t="array" ref="BQ233">_xlfn.LET(_xlpm.DepreciationMonths,INDEX(FixedAssets[Depreciation
/ Amortization Months],_xlfn.XMATCH($E$186,FixedAssets[Asset ID])),IF(AND((_xlfn.XMATCH(BQ$8,$AH$8:$CC$8))-_xlfn.XMATCH($C233,$C$35:$C$82)+1&lt;=_xlpm.DepreciationMonths,$C233&lt;=BQ$8),$E233/_xlpm.DepreciationMonths,0))</f>
        <v>0</v>
      </c>
      <c r="BR233" s="507" cm="1">
        <f t="array" ref="BR233">_xlfn.LET(_xlpm.DepreciationMonths,INDEX(FixedAssets[Depreciation
/ Amortization Months],_xlfn.XMATCH($E$186,FixedAssets[Asset ID])),IF(AND((_xlfn.XMATCH(BR$8,$AH$8:$CC$8))-_xlfn.XMATCH($C233,$C$35:$C$82)+1&lt;=_xlpm.DepreciationMonths,$C233&lt;=BR$8),$E233/_xlpm.DepreciationMonths,0))</f>
        <v>0</v>
      </c>
      <c r="BS233" s="507" cm="1">
        <f t="array" ref="BS233">_xlfn.LET(_xlpm.DepreciationMonths,INDEX(FixedAssets[Depreciation
/ Amortization Months],_xlfn.XMATCH($E$186,FixedAssets[Asset ID])),IF(AND((_xlfn.XMATCH(BS$8,$AH$8:$CC$8))-_xlfn.XMATCH($C233,$C$35:$C$82)+1&lt;=_xlpm.DepreciationMonths,$C233&lt;=BS$8),$E233/_xlpm.DepreciationMonths,0))</f>
        <v>0</v>
      </c>
      <c r="BT233" s="507" cm="1">
        <f t="array" ref="BT233">_xlfn.LET(_xlpm.DepreciationMonths,INDEX(FixedAssets[Depreciation
/ Amortization Months],_xlfn.XMATCH($E$186,FixedAssets[Asset ID])),IF(AND((_xlfn.XMATCH(BT$8,$AH$8:$CC$8))-_xlfn.XMATCH($C233,$C$35:$C$82)+1&lt;=_xlpm.DepreciationMonths,$C233&lt;=BT$8),$E233/_xlpm.DepreciationMonths,0))</f>
        <v>0</v>
      </c>
      <c r="BU233" s="507" cm="1">
        <f t="array" ref="BU233">_xlfn.LET(_xlpm.DepreciationMonths,INDEX(FixedAssets[Depreciation
/ Amortization Months],_xlfn.XMATCH($E$186,FixedAssets[Asset ID])),IF(AND((_xlfn.XMATCH(BU$8,$AH$8:$CC$8))-_xlfn.XMATCH($C233,$C$35:$C$82)+1&lt;=_xlpm.DepreciationMonths,$C233&lt;=BU$8),$E233/_xlpm.DepreciationMonths,0))</f>
        <v>0</v>
      </c>
      <c r="BV233" s="507" cm="1">
        <f t="array" ref="BV233">_xlfn.LET(_xlpm.DepreciationMonths,INDEX(FixedAssets[Depreciation
/ Amortization Months],_xlfn.XMATCH($E$186,FixedAssets[Asset ID])),IF(AND((_xlfn.XMATCH(BV$8,$AH$8:$CC$8))-_xlfn.XMATCH($C233,$C$35:$C$82)+1&lt;=_xlpm.DepreciationMonths,$C233&lt;=BV$8),$E233/_xlpm.DepreciationMonths,0))</f>
        <v>0</v>
      </c>
      <c r="BW233" s="507" cm="1">
        <f t="array" ref="BW233">_xlfn.LET(_xlpm.DepreciationMonths,INDEX(FixedAssets[Depreciation
/ Amortization Months],_xlfn.XMATCH($E$186,FixedAssets[Asset ID])),IF(AND((_xlfn.XMATCH(BW$8,$AH$8:$CC$8))-_xlfn.XMATCH($C233,$C$35:$C$82)+1&lt;=_xlpm.DepreciationMonths,$C233&lt;=BW$8),$E233/_xlpm.DepreciationMonths,0))</f>
        <v>0</v>
      </c>
      <c r="BX233" s="507" cm="1">
        <f t="array" ref="BX233">_xlfn.LET(_xlpm.DepreciationMonths,INDEX(FixedAssets[Depreciation
/ Amortization Months],_xlfn.XMATCH($E$186,FixedAssets[Asset ID])),IF(AND((_xlfn.XMATCH(BX$8,$AH$8:$CC$8))-_xlfn.XMATCH($C233,$C$35:$C$82)+1&lt;=_xlpm.DepreciationMonths,$C233&lt;=BX$8),$E233/_xlpm.DepreciationMonths,0))</f>
        <v>0</v>
      </c>
      <c r="BY233" s="507" cm="1">
        <f t="array" ref="BY233">_xlfn.LET(_xlpm.DepreciationMonths,INDEX(FixedAssets[Depreciation
/ Amortization Months],_xlfn.XMATCH($E$186,FixedAssets[Asset ID])),IF(AND((_xlfn.XMATCH(BY$8,$AH$8:$CC$8))-_xlfn.XMATCH($C233,$C$35:$C$82)+1&lt;=_xlpm.DepreciationMonths,$C233&lt;=BY$8),$E233/_xlpm.DepreciationMonths,0))</f>
        <v>0</v>
      </c>
      <c r="BZ233" s="507" cm="1">
        <f t="array" ref="BZ233">_xlfn.LET(_xlpm.DepreciationMonths,INDEX(FixedAssets[Depreciation
/ Amortization Months],_xlfn.XMATCH($E$186,FixedAssets[Asset ID])),IF(AND((_xlfn.XMATCH(BZ$8,$AH$8:$CC$8))-_xlfn.XMATCH($C233,$C$35:$C$82)+1&lt;=_xlpm.DepreciationMonths,$C233&lt;=BZ$8),$E233/_xlpm.DepreciationMonths,0))</f>
        <v>0</v>
      </c>
      <c r="CA233" s="507" cm="1">
        <f t="array" ref="CA233">_xlfn.LET(_xlpm.DepreciationMonths,INDEX(FixedAssets[Depreciation
/ Amortization Months],_xlfn.XMATCH($E$186,FixedAssets[Asset ID])),IF(AND((_xlfn.XMATCH(CA$8,$AH$8:$CC$8))-_xlfn.XMATCH($C233,$C$35:$C$82)+1&lt;=_xlpm.DepreciationMonths,$C233&lt;=CA$8),$E233/_xlpm.DepreciationMonths,0))</f>
        <v>0</v>
      </c>
      <c r="CB233" s="507" cm="1">
        <f t="array" ref="CB233">_xlfn.LET(_xlpm.DepreciationMonths,INDEX(FixedAssets[Depreciation
/ Amortization Months],_xlfn.XMATCH($E$186,FixedAssets[Asset ID])),IF(AND((_xlfn.XMATCH(CB$8,$AH$8:$CC$8))-_xlfn.XMATCH($C233,$C$35:$C$82)+1&lt;=_xlpm.DepreciationMonths,$C233&lt;=CB$8),$E233/_xlpm.DepreciationMonths,0))</f>
        <v>0</v>
      </c>
      <c r="CC233" s="507" cm="1">
        <f t="array" ref="CC233">_xlfn.LET(_xlpm.DepreciationMonths,INDEX(FixedAssets[Depreciation
/ Amortization Months],_xlfn.XMATCH($E$186,FixedAssets[Asset ID])),IF(AND((_xlfn.XMATCH(CC$8,$AH$8:$CC$8))-_xlfn.XMATCH($C233,$C$35:$C$82)+1&lt;=_xlpm.DepreciationMonths,$C233&lt;=CC$8),$E233/_xlpm.DepreciationMonths,0))</f>
        <v>0</v>
      </c>
    </row>
    <row r="234" spans="3:81" hidden="1" outlineLevel="2">
      <c r="C234" s="664">
        <f t="shared" si="256"/>
        <v>46356</v>
      </c>
      <c r="D234" s="508"/>
      <c r="E234" s="508" cm="1">
        <f t="array" ref="E234">SUMPRODUCT(($AH$26:$CC$31)*($AH$5:$CC$5=$C234)*($E$26:$E$31=E$186))-SUMPRODUCT(($AH$26:$CC$31)*($AH$5:$CC$5=EOMONTH($C234,-1))*($E$26:$E$31=E$186))</f>
        <v>0</v>
      </c>
      <c r="F234" s="508"/>
      <c r="G234" s="508"/>
      <c r="H234" s="508"/>
      <c r="I234" s="508"/>
      <c r="J234" s="504">
        <f t="shared" si="254"/>
        <v>0</v>
      </c>
      <c r="K234" s="504">
        <f t="shared" si="254"/>
        <v>0</v>
      </c>
      <c r="L234" s="504">
        <f t="shared" si="254"/>
        <v>0</v>
      </c>
      <c r="M234" s="504">
        <f t="shared" si="254"/>
        <v>0</v>
      </c>
      <c r="N234" s="504"/>
      <c r="O234" s="504"/>
      <c r="P234" s="504">
        <f t="shared" si="260"/>
        <v>0</v>
      </c>
      <c r="Q234" s="504">
        <f t="shared" si="260"/>
        <v>0</v>
      </c>
      <c r="R234" s="504">
        <f t="shared" si="260"/>
        <v>0</v>
      </c>
      <c r="S234" s="504">
        <f t="shared" si="260"/>
        <v>0</v>
      </c>
      <c r="T234" s="504">
        <f t="shared" si="260"/>
        <v>0</v>
      </c>
      <c r="U234" s="504">
        <f t="shared" si="260"/>
        <v>0</v>
      </c>
      <c r="V234" s="504">
        <f t="shared" si="260"/>
        <v>0</v>
      </c>
      <c r="W234" s="504">
        <f t="shared" si="260"/>
        <v>0</v>
      </c>
      <c r="X234" s="504">
        <f t="shared" si="260"/>
        <v>0</v>
      </c>
      <c r="Y234" s="504">
        <f t="shared" si="260"/>
        <v>0</v>
      </c>
      <c r="Z234" s="504">
        <f t="shared" si="260"/>
        <v>0</v>
      </c>
      <c r="AA234" s="504">
        <f t="shared" si="260"/>
        <v>0</v>
      </c>
      <c r="AB234" s="504">
        <f t="shared" si="260"/>
        <v>0</v>
      </c>
      <c r="AC234" s="504">
        <f t="shared" si="260"/>
        <v>0</v>
      </c>
      <c r="AD234" s="504">
        <f t="shared" si="260"/>
        <v>0</v>
      </c>
      <c r="AE234" s="504">
        <f t="shared" si="260"/>
        <v>0</v>
      </c>
      <c r="AF234" s="508"/>
      <c r="AG234" s="508"/>
      <c r="AH234" s="507" cm="1">
        <f t="array" ref="AH234">_xlfn.LET(_xlpm.DepreciationMonths,INDEX(FixedAssets[Depreciation
/ Amortization Months],_xlfn.XMATCH($E$186,FixedAssets[Asset ID])),IF(AND((_xlfn.XMATCH(AH$8,$AH$8:$CC$8))-_xlfn.XMATCH($C234,$C$35:$C$82)+1&lt;=_xlpm.DepreciationMonths,$C234&lt;=AH$8),$E234/_xlpm.DepreciationMonths,0))</f>
        <v>0</v>
      </c>
      <c r="AI234" s="507" cm="1">
        <f t="array" ref="AI234">_xlfn.LET(_xlpm.DepreciationMonths,INDEX(FixedAssets[Depreciation
/ Amortization Months],_xlfn.XMATCH($E$186,FixedAssets[Asset ID])),IF(AND((_xlfn.XMATCH(AI$8,$AH$8:$CC$8))-_xlfn.XMATCH($C234,$C$35:$C$82)+1&lt;=_xlpm.DepreciationMonths,$C234&lt;=AI$8),$E234/_xlpm.DepreciationMonths,0))</f>
        <v>0</v>
      </c>
      <c r="AJ234" s="507" cm="1">
        <f t="array" ref="AJ234">_xlfn.LET(_xlpm.DepreciationMonths,INDEX(FixedAssets[Depreciation
/ Amortization Months],_xlfn.XMATCH($E$186,FixedAssets[Asset ID])),IF(AND((_xlfn.XMATCH(AJ$8,$AH$8:$CC$8))-_xlfn.XMATCH($C234,$C$35:$C$82)+1&lt;=_xlpm.DepreciationMonths,$C234&lt;=AJ$8),$E234/_xlpm.DepreciationMonths,0))</f>
        <v>0</v>
      </c>
      <c r="AK234" s="507" cm="1">
        <f t="array" ref="AK234">_xlfn.LET(_xlpm.DepreciationMonths,INDEX(FixedAssets[Depreciation
/ Amortization Months],_xlfn.XMATCH($E$186,FixedAssets[Asset ID])),IF(AND((_xlfn.XMATCH(AK$8,$AH$8:$CC$8))-_xlfn.XMATCH($C234,$C$35:$C$82)+1&lt;=_xlpm.DepreciationMonths,$C234&lt;=AK$8),$E234/_xlpm.DepreciationMonths,0))</f>
        <v>0</v>
      </c>
      <c r="AL234" s="507" cm="1">
        <f t="array" ref="AL234">_xlfn.LET(_xlpm.DepreciationMonths,INDEX(FixedAssets[Depreciation
/ Amortization Months],_xlfn.XMATCH($E$186,FixedAssets[Asset ID])),IF(AND((_xlfn.XMATCH(AL$8,$AH$8:$CC$8))-_xlfn.XMATCH($C234,$C$35:$C$82)+1&lt;=_xlpm.DepreciationMonths,$C234&lt;=AL$8),$E234/_xlpm.DepreciationMonths,0))</f>
        <v>0</v>
      </c>
      <c r="AM234" s="507" cm="1">
        <f t="array" ref="AM234">_xlfn.LET(_xlpm.DepreciationMonths,INDEX(FixedAssets[Depreciation
/ Amortization Months],_xlfn.XMATCH($E$186,FixedAssets[Asset ID])),IF(AND((_xlfn.XMATCH(AM$8,$AH$8:$CC$8))-_xlfn.XMATCH($C234,$C$35:$C$82)+1&lt;=_xlpm.DepreciationMonths,$C234&lt;=AM$8),$E234/_xlpm.DepreciationMonths,0))</f>
        <v>0</v>
      </c>
      <c r="AN234" s="507" cm="1">
        <f t="array" ref="AN234">_xlfn.LET(_xlpm.DepreciationMonths,INDEX(FixedAssets[Depreciation
/ Amortization Months],_xlfn.XMATCH($E$186,FixedAssets[Asset ID])),IF(AND((_xlfn.XMATCH(AN$8,$AH$8:$CC$8))-_xlfn.XMATCH($C234,$C$35:$C$82)+1&lt;=_xlpm.DepreciationMonths,$C234&lt;=AN$8),$E234/_xlpm.DepreciationMonths,0))</f>
        <v>0</v>
      </c>
      <c r="AO234" s="507" cm="1">
        <f t="array" ref="AO234">_xlfn.LET(_xlpm.DepreciationMonths,INDEX(FixedAssets[Depreciation
/ Amortization Months],_xlfn.XMATCH($E$186,FixedAssets[Asset ID])),IF(AND((_xlfn.XMATCH(AO$8,$AH$8:$CC$8))-_xlfn.XMATCH($C234,$C$35:$C$82)+1&lt;=_xlpm.DepreciationMonths,$C234&lt;=AO$8),$E234/_xlpm.DepreciationMonths,0))</f>
        <v>0</v>
      </c>
      <c r="AP234" s="507" cm="1">
        <f t="array" ref="AP234">_xlfn.LET(_xlpm.DepreciationMonths,INDEX(FixedAssets[Depreciation
/ Amortization Months],_xlfn.XMATCH($E$186,FixedAssets[Asset ID])),IF(AND((_xlfn.XMATCH(AP$8,$AH$8:$CC$8))-_xlfn.XMATCH($C234,$C$35:$C$82)+1&lt;=_xlpm.DepreciationMonths,$C234&lt;=AP$8),$E234/_xlpm.DepreciationMonths,0))</f>
        <v>0</v>
      </c>
      <c r="AQ234" s="507" cm="1">
        <f t="array" ref="AQ234">_xlfn.LET(_xlpm.DepreciationMonths,INDEX(FixedAssets[Depreciation
/ Amortization Months],_xlfn.XMATCH($E$186,FixedAssets[Asset ID])),IF(AND((_xlfn.XMATCH(AQ$8,$AH$8:$CC$8))-_xlfn.XMATCH($C234,$C$35:$C$82)+1&lt;=_xlpm.DepreciationMonths,$C234&lt;=AQ$8),$E234/_xlpm.DepreciationMonths,0))</f>
        <v>0</v>
      </c>
      <c r="AR234" s="507" cm="1">
        <f t="array" ref="AR234">_xlfn.LET(_xlpm.DepreciationMonths,INDEX(FixedAssets[Depreciation
/ Amortization Months],_xlfn.XMATCH($E$186,FixedAssets[Asset ID])),IF(AND((_xlfn.XMATCH(AR$8,$AH$8:$CC$8))-_xlfn.XMATCH($C234,$C$35:$C$82)+1&lt;=_xlpm.DepreciationMonths,$C234&lt;=AR$8),$E234/_xlpm.DepreciationMonths,0))</f>
        <v>0</v>
      </c>
      <c r="AS234" s="507" cm="1">
        <f t="array" ref="AS234">_xlfn.LET(_xlpm.DepreciationMonths,INDEX(FixedAssets[Depreciation
/ Amortization Months],_xlfn.XMATCH($E$186,FixedAssets[Asset ID])),IF(AND((_xlfn.XMATCH(AS$8,$AH$8:$CC$8))-_xlfn.XMATCH($C234,$C$35:$C$82)+1&lt;=_xlpm.DepreciationMonths,$C234&lt;=AS$8),$E234/_xlpm.DepreciationMonths,0))</f>
        <v>0</v>
      </c>
      <c r="AT234" s="507" cm="1">
        <f t="array" ref="AT234">_xlfn.LET(_xlpm.DepreciationMonths,INDEX(FixedAssets[Depreciation
/ Amortization Months],_xlfn.XMATCH($E$186,FixedAssets[Asset ID])),IF(AND((_xlfn.XMATCH(AT$8,$AH$8:$CC$8))-_xlfn.XMATCH($C234,$C$35:$C$82)+1&lt;=_xlpm.DepreciationMonths,$C234&lt;=AT$8),$E234/_xlpm.DepreciationMonths,0))</f>
        <v>0</v>
      </c>
      <c r="AU234" s="507" cm="1">
        <f t="array" ref="AU234">_xlfn.LET(_xlpm.DepreciationMonths,INDEX(FixedAssets[Depreciation
/ Amortization Months],_xlfn.XMATCH($E$186,FixedAssets[Asset ID])),IF(AND((_xlfn.XMATCH(AU$8,$AH$8:$CC$8))-_xlfn.XMATCH($C234,$C$35:$C$82)+1&lt;=_xlpm.DepreciationMonths,$C234&lt;=AU$8),$E234/_xlpm.DepreciationMonths,0))</f>
        <v>0</v>
      </c>
      <c r="AV234" s="507" cm="1">
        <f t="array" ref="AV234">_xlfn.LET(_xlpm.DepreciationMonths,INDEX(FixedAssets[Depreciation
/ Amortization Months],_xlfn.XMATCH($E$186,FixedAssets[Asset ID])),IF(AND((_xlfn.XMATCH(AV$8,$AH$8:$CC$8))-_xlfn.XMATCH($C234,$C$35:$C$82)+1&lt;=_xlpm.DepreciationMonths,$C234&lt;=AV$8),$E234/_xlpm.DepreciationMonths,0))</f>
        <v>0</v>
      </c>
      <c r="AW234" s="507" cm="1">
        <f t="array" ref="AW234">_xlfn.LET(_xlpm.DepreciationMonths,INDEX(FixedAssets[Depreciation
/ Amortization Months],_xlfn.XMATCH($E$186,FixedAssets[Asset ID])),IF(AND((_xlfn.XMATCH(AW$8,$AH$8:$CC$8))-_xlfn.XMATCH($C234,$C$35:$C$82)+1&lt;=_xlpm.DepreciationMonths,$C234&lt;=AW$8),$E234/_xlpm.DepreciationMonths,0))</f>
        <v>0</v>
      </c>
      <c r="AX234" s="507" cm="1">
        <f t="array" ref="AX234">_xlfn.LET(_xlpm.DepreciationMonths,INDEX(FixedAssets[Depreciation
/ Amortization Months],_xlfn.XMATCH($E$186,FixedAssets[Asset ID])),IF(AND((_xlfn.XMATCH(AX$8,$AH$8:$CC$8))-_xlfn.XMATCH($C234,$C$35:$C$82)+1&lt;=_xlpm.DepreciationMonths,$C234&lt;=AX$8),$E234/_xlpm.DepreciationMonths,0))</f>
        <v>0</v>
      </c>
      <c r="AY234" s="507" cm="1">
        <f t="array" ref="AY234">_xlfn.LET(_xlpm.DepreciationMonths,INDEX(FixedAssets[Depreciation
/ Amortization Months],_xlfn.XMATCH($E$186,FixedAssets[Asset ID])),IF(AND((_xlfn.XMATCH(AY$8,$AH$8:$CC$8))-_xlfn.XMATCH($C234,$C$35:$C$82)+1&lt;=_xlpm.DepreciationMonths,$C234&lt;=AY$8),$E234/_xlpm.DepreciationMonths,0))</f>
        <v>0</v>
      </c>
      <c r="AZ234" s="507" cm="1">
        <f t="array" ref="AZ234">_xlfn.LET(_xlpm.DepreciationMonths,INDEX(FixedAssets[Depreciation
/ Amortization Months],_xlfn.XMATCH($E$186,FixedAssets[Asset ID])),IF(AND((_xlfn.XMATCH(AZ$8,$AH$8:$CC$8))-_xlfn.XMATCH($C234,$C$35:$C$82)+1&lt;=_xlpm.DepreciationMonths,$C234&lt;=AZ$8),$E234/_xlpm.DepreciationMonths,0))</f>
        <v>0</v>
      </c>
      <c r="BA234" s="507" cm="1">
        <f t="array" ref="BA234">_xlfn.LET(_xlpm.DepreciationMonths,INDEX(FixedAssets[Depreciation
/ Amortization Months],_xlfn.XMATCH($E$186,FixedAssets[Asset ID])),IF(AND((_xlfn.XMATCH(BA$8,$AH$8:$CC$8))-_xlfn.XMATCH($C234,$C$35:$C$82)+1&lt;=_xlpm.DepreciationMonths,$C234&lt;=BA$8),$E234/_xlpm.DepreciationMonths,0))</f>
        <v>0</v>
      </c>
      <c r="BB234" s="507" cm="1">
        <f t="array" ref="BB234">_xlfn.LET(_xlpm.DepreciationMonths,INDEX(FixedAssets[Depreciation
/ Amortization Months],_xlfn.XMATCH($E$186,FixedAssets[Asset ID])),IF(AND((_xlfn.XMATCH(BB$8,$AH$8:$CC$8))-_xlfn.XMATCH($C234,$C$35:$C$82)+1&lt;=_xlpm.DepreciationMonths,$C234&lt;=BB$8),$E234/_xlpm.DepreciationMonths,0))</f>
        <v>0</v>
      </c>
      <c r="BC234" s="507" cm="1">
        <f t="array" ref="BC234">_xlfn.LET(_xlpm.DepreciationMonths,INDEX(FixedAssets[Depreciation
/ Amortization Months],_xlfn.XMATCH($E$186,FixedAssets[Asset ID])),IF(AND((_xlfn.XMATCH(BC$8,$AH$8:$CC$8))-_xlfn.XMATCH($C234,$C$35:$C$82)+1&lt;=_xlpm.DepreciationMonths,$C234&lt;=BC$8),$E234/_xlpm.DepreciationMonths,0))</f>
        <v>0</v>
      </c>
      <c r="BD234" s="507" cm="1">
        <f t="array" ref="BD234">_xlfn.LET(_xlpm.DepreciationMonths,INDEX(FixedAssets[Depreciation
/ Amortization Months],_xlfn.XMATCH($E$186,FixedAssets[Asset ID])),IF(AND((_xlfn.XMATCH(BD$8,$AH$8:$CC$8))-_xlfn.XMATCH($C234,$C$35:$C$82)+1&lt;=_xlpm.DepreciationMonths,$C234&lt;=BD$8),$E234/_xlpm.DepreciationMonths,0))</f>
        <v>0</v>
      </c>
      <c r="BE234" s="507" cm="1">
        <f t="array" ref="BE234">_xlfn.LET(_xlpm.DepreciationMonths,INDEX(FixedAssets[Depreciation
/ Amortization Months],_xlfn.XMATCH($E$186,FixedAssets[Asset ID])),IF(AND((_xlfn.XMATCH(BE$8,$AH$8:$CC$8))-_xlfn.XMATCH($C234,$C$35:$C$82)+1&lt;=_xlpm.DepreciationMonths,$C234&lt;=BE$8),$E234/_xlpm.DepreciationMonths,0))</f>
        <v>0</v>
      </c>
      <c r="BF234" s="507" cm="1">
        <f t="array" ref="BF234">_xlfn.LET(_xlpm.DepreciationMonths,INDEX(FixedAssets[Depreciation
/ Amortization Months],_xlfn.XMATCH($E$186,FixedAssets[Asset ID])),IF(AND((_xlfn.XMATCH(BF$8,$AH$8:$CC$8))-_xlfn.XMATCH($C234,$C$35:$C$82)+1&lt;=_xlpm.DepreciationMonths,$C234&lt;=BF$8),$E234/_xlpm.DepreciationMonths,0))</f>
        <v>0</v>
      </c>
      <c r="BG234" s="507" cm="1">
        <f t="array" ref="BG234">_xlfn.LET(_xlpm.DepreciationMonths,INDEX(FixedAssets[Depreciation
/ Amortization Months],_xlfn.XMATCH($E$186,FixedAssets[Asset ID])),IF(AND((_xlfn.XMATCH(BG$8,$AH$8:$CC$8))-_xlfn.XMATCH($C234,$C$35:$C$82)+1&lt;=_xlpm.DepreciationMonths,$C234&lt;=BG$8),$E234/_xlpm.DepreciationMonths,0))</f>
        <v>0</v>
      </c>
      <c r="BH234" s="507" cm="1">
        <f t="array" ref="BH234">_xlfn.LET(_xlpm.DepreciationMonths,INDEX(FixedAssets[Depreciation
/ Amortization Months],_xlfn.XMATCH($E$186,FixedAssets[Asset ID])),IF(AND((_xlfn.XMATCH(BH$8,$AH$8:$CC$8))-_xlfn.XMATCH($C234,$C$35:$C$82)+1&lt;=_xlpm.DepreciationMonths,$C234&lt;=BH$8),$E234/_xlpm.DepreciationMonths,0))</f>
        <v>0</v>
      </c>
      <c r="BI234" s="507" cm="1">
        <f t="array" ref="BI234">_xlfn.LET(_xlpm.DepreciationMonths,INDEX(FixedAssets[Depreciation
/ Amortization Months],_xlfn.XMATCH($E$186,FixedAssets[Asset ID])),IF(AND((_xlfn.XMATCH(BI$8,$AH$8:$CC$8))-_xlfn.XMATCH($C234,$C$35:$C$82)+1&lt;=_xlpm.DepreciationMonths,$C234&lt;=BI$8),$E234/_xlpm.DepreciationMonths,0))</f>
        <v>0</v>
      </c>
      <c r="BJ234" s="507" cm="1">
        <f t="array" ref="BJ234">_xlfn.LET(_xlpm.DepreciationMonths,INDEX(FixedAssets[Depreciation
/ Amortization Months],_xlfn.XMATCH($E$186,FixedAssets[Asset ID])),IF(AND((_xlfn.XMATCH(BJ$8,$AH$8:$CC$8))-_xlfn.XMATCH($C234,$C$35:$C$82)+1&lt;=_xlpm.DepreciationMonths,$C234&lt;=BJ$8),$E234/_xlpm.DepreciationMonths,0))</f>
        <v>0</v>
      </c>
      <c r="BK234" s="507" cm="1">
        <f t="array" ref="BK234">_xlfn.LET(_xlpm.DepreciationMonths,INDEX(FixedAssets[Depreciation
/ Amortization Months],_xlfn.XMATCH($E$186,FixedAssets[Asset ID])),IF(AND((_xlfn.XMATCH(BK$8,$AH$8:$CC$8))-_xlfn.XMATCH($C234,$C$35:$C$82)+1&lt;=_xlpm.DepreciationMonths,$C234&lt;=BK$8),$E234/_xlpm.DepreciationMonths,0))</f>
        <v>0</v>
      </c>
      <c r="BL234" s="507" cm="1">
        <f t="array" ref="BL234">_xlfn.LET(_xlpm.DepreciationMonths,INDEX(FixedAssets[Depreciation
/ Amortization Months],_xlfn.XMATCH($E$186,FixedAssets[Asset ID])),IF(AND((_xlfn.XMATCH(BL$8,$AH$8:$CC$8))-_xlfn.XMATCH($C234,$C$35:$C$82)+1&lt;=_xlpm.DepreciationMonths,$C234&lt;=BL$8),$E234/_xlpm.DepreciationMonths,0))</f>
        <v>0</v>
      </c>
      <c r="BM234" s="507" cm="1">
        <f t="array" ref="BM234">_xlfn.LET(_xlpm.DepreciationMonths,INDEX(FixedAssets[Depreciation
/ Amortization Months],_xlfn.XMATCH($E$186,FixedAssets[Asset ID])),IF(AND((_xlfn.XMATCH(BM$8,$AH$8:$CC$8))-_xlfn.XMATCH($C234,$C$35:$C$82)+1&lt;=_xlpm.DepreciationMonths,$C234&lt;=BM$8),$E234/_xlpm.DepreciationMonths,0))</f>
        <v>0</v>
      </c>
      <c r="BN234" s="507" cm="1">
        <f t="array" ref="BN234">_xlfn.LET(_xlpm.DepreciationMonths,INDEX(FixedAssets[Depreciation
/ Amortization Months],_xlfn.XMATCH($E$186,FixedAssets[Asset ID])),IF(AND((_xlfn.XMATCH(BN$8,$AH$8:$CC$8))-_xlfn.XMATCH($C234,$C$35:$C$82)+1&lt;=_xlpm.DepreciationMonths,$C234&lt;=BN$8),$E234/_xlpm.DepreciationMonths,0))</f>
        <v>0</v>
      </c>
      <c r="BO234" s="507" cm="1">
        <f t="array" ref="BO234">_xlfn.LET(_xlpm.DepreciationMonths,INDEX(FixedAssets[Depreciation
/ Amortization Months],_xlfn.XMATCH($E$186,FixedAssets[Asset ID])),IF(AND((_xlfn.XMATCH(BO$8,$AH$8:$CC$8))-_xlfn.XMATCH($C234,$C$35:$C$82)+1&lt;=_xlpm.DepreciationMonths,$C234&lt;=BO$8),$E234/_xlpm.DepreciationMonths,0))</f>
        <v>0</v>
      </c>
      <c r="BP234" s="507" cm="1">
        <f t="array" ref="BP234">_xlfn.LET(_xlpm.DepreciationMonths,INDEX(FixedAssets[Depreciation
/ Amortization Months],_xlfn.XMATCH($E$186,FixedAssets[Asset ID])),IF(AND((_xlfn.XMATCH(BP$8,$AH$8:$CC$8))-_xlfn.XMATCH($C234,$C$35:$C$82)+1&lt;=_xlpm.DepreciationMonths,$C234&lt;=BP$8),$E234/_xlpm.DepreciationMonths,0))</f>
        <v>0</v>
      </c>
      <c r="BQ234" s="507" cm="1">
        <f t="array" ref="BQ234">_xlfn.LET(_xlpm.DepreciationMonths,INDEX(FixedAssets[Depreciation
/ Amortization Months],_xlfn.XMATCH($E$186,FixedAssets[Asset ID])),IF(AND((_xlfn.XMATCH(BQ$8,$AH$8:$CC$8))-_xlfn.XMATCH($C234,$C$35:$C$82)+1&lt;=_xlpm.DepreciationMonths,$C234&lt;=BQ$8),$E234/_xlpm.DepreciationMonths,0))</f>
        <v>0</v>
      </c>
      <c r="BR234" s="507" cm="1">
        <f t="array" ref="BR234">_xlfn.LET(_xlpm.DepreciationMonths,INDEX(FixedAssets[Depreciation
/ Amortization Months],_xlfn.XMATCH($E$186,FixedAssets[Asset ID])),IF(AND((_xlfn.XMATCH(BR$8,$AH$8:$CC$8))-_xlfn.XMATCH($C234,$C$35:$C$82)+1&lt;=_xlpm.DepreciationMonths,$C234&lt;=BR$8),$E234/_xlpm.DepreciationMonths,0))</f>
        <v>0</v>
      </c>
      <c r="BS234" s="507" cm="1">
        <f t="array" ref="BS234">_xlfn.LET(_xlpm.DepreciationMonths,INDEX(FixedAssets[Depreciation
/ Amortization Months],_xlfn.XMATCH($E$186,FixedAssets[Asset ID])),IF(AND((_xlfn.XMATCH(BS$8,$AH$8:$CC$8))-_xlfn.XMATCH($C234,$C$35:$C$82)+1&lt;=_xlpm.DepreciationMonths,$C234&lt;=BS$8),$E234/_xlpm.DepreciationMonths,0))</f>
        <v>0</v>
      </c>
      <c r="BT234" s="507" cm="1">
        <f t="array" ref="BT234">_xlfn.LET(_xlpm.DepreciationMonths,INDEX(FixedAssets[Depreciation
/ Amortization Months],_xlfn.XMATCH($E$186,FixedAssets[Asset ID])),IF(AND((_xlfn.XMATCH(BT$8,$AH$8:$CC$8))-_xlfn.XMATCH($C234,$C$35:$C$82)+1&lt;=_xlpm.DepreciationMonths,$C234&lt;=BT$8),$E234/_xlpm.DepreciationMonths,0))</f>
        <v>0</v>
      </c>
      <c r="BU234" s="507" cm="1">
        <f t="array" ref="BU234">_xlfn.LET(_xlpm.DepreciationMonths,INDEX(FixedAssets[Depreciation
/ Amortization Months],_xlfn.XMATCH($E$186,FixedAssets[Asset ID])),IF(AND((_xlfn.XMATCH(BU$8,$AH$8:$CC$8))-_xlfn.XMATCH($C234,$C$35:$C$82)+1&lt;=_xlpm.DepreciationMonths,$C234&lt;=BU$8),$E234/_xlpm.DepreciationMonths,0))</f>
        <v>0</v>
      </c>
      <c r="BV234" s="507" cm="1">
        <f t="array" ref="BV234">_xlfn.LET(_xlpm.DepreciationMonths,INDEX(FixedAssets[Depreciation
/ Amortization Months],_xlfn.XMATCH($E$186,FixedAssets[Asset ID])),IF(AND((_xlfn.XMATCH(BV$8,$AH$8:$CC$8))-_xlfn.XMATCH($C234,$C$35:$C$82)+1&lt;=_xlpm.DepreciationMonths,$C234&lt;=BV$8),$E234/_xlpm.DepreciationMonths,0))</f>
        <v>0</v>
      </c>
      <c r="BW234" s="507" cm="1">
        <f t="array" ref="BW234">_xlfn.LET(_xlpm.DepreciationMonths,INDEX(FixedAssets[Depreciation
/ Amortization Months],_xlfn.XMATCH($E$186,FixedAssets[Asset ID])),IF(AND((_xlfn.XMATCH(BW$8,$AH$8:$CC$8))-_xlfn.XMATCH($C234,$C$35:$C$82)+1&lt;=_xlpm.DepreciationMonths,$C234&lt;=BW$8),$E234/_xlpm.DepreciationMonths,0))</f>
        <v>0</v>
      </c>
      <c r="BX234" s="507" cm="1">
        <f t="array" ref="BX234">_xlfn.LET(_xlpm.DepreciationMonths,INDEX(FixedAssets[Depreciation
/ Amortization Months],_xlfn.XMATCH($E$186,FixedAssets[Asset ID])),IF(AND((_xlfn.XMATCH(BX$8,$AH$8:$CC$8))-_xlfn.XMATCH($C234,$C$35:$C$82)+1&lt;=_xlpm.DepreciationMonths,$C234&lt;=BX$8),$E234/_xlpm.DepreciationMonths,0))</f>
        <v>0</v>
      </c>
      <c r="BY234" s="507" cm="1">
        <f t="array" ref="BY234">_xlfn.LET(_xlpm.DepreciationMonths,INDEX(FixedAssets[Depreciation
/ Amortization Months],_xlfn.XMATCH($E$186,FixedAssets[Asset ID])),IF(AND((_xlfn.XMATCH(BY$8,$AH$8:$CC$8))-_xlfn.XMATCH($C234,$C$35:$C$82)+1&lt;=_xlpm.DepreciationMonths,$C234&lt;=BY$8),$E234/_xlpm.DepreciationMonths,0))</f>
        <v>0</v>
      </c>
      <c r="BZ234" s="507" cm="1">
        <f t="array" ref="BZ234">_xlfn.LET(_xlpm.DepreciationMonths,INDEX(FixedAssets[Depreciation
/ Amortization Months],_xlfn.XMATCH($E$186,FixedAssets[Asset ID])),IF(AND((_xlfn.XMATCH(BZ$8,$AH$8:$CC$8))-_xlfn.XMATCH($C234,$C$35:$C$82)+1&lt;=_xlpm.DepreciationMonths,$C234&lt;=BZ$8),$E234/_xlpm.DepreciationMonths,0))</f>
        <v>0</v>
      </c>
      <c r="CA234" s="507" cm="1">
        <f t="array" ref="CA234">_xlfn.LET(_xlpm.DepreciationMonths,INDEX(FixedAssets[Depreciation
/ Amortization Months],_xlfn.XMATCH($E$186,FixedAssets[Asset ID])),IF(AND((_xlfn.XMATCH(CA$8,$AH$8:$CC$8))-_xlfn.XMATCH($C234,$C$35:$C$82)+1&lt;=_xlpm.DepreciationMonths,$C234&lt;=CA$8),$E234/_xlpm.DepreciationMonths,0))</f>
        <v>0</v>
      </c>
      <c r="CB234" s="507" cm="1">
        <f t="array" ref="CB234">_xlfn.LET(_xlpm.DepreciationMonths,INDEX(FixedAssets[Depreciation
/ Amortization Months],_xlfn.XMATCH($E$186,FixedAssets[Asset ID])),IF(AND((_xlfn.XMATCH(CB$8,$AH$8:$CC$8))-_xlfn.XMATCH($C234,$C$35:$C$82)+1&lt;=_xlpm.DepreciationMonths,$C234&lt;=CB$8),$E234/_xlpm.DepreciationMonths,0))</f>
        <v>0</v>
      </c>
      <c r="CC234" s="507" cm="1">
        <f t="array" ref="CC234">_xlfn.LET(_xlpm.DepreciationMonths,INDEX(FixedAssets[Depreciation
/ Amortization Months],_xlfn.XMATCH($E$186,FixedAssets[Asset ID])),IF(AND((_xlfn.XMATCH(CC$8,$AH$8:$CC$8))-_xlfn.XMATCH($C234,$C$35:$C$82)+1&lt;=_xlpm.DepreciationMonths,$C234&lt;=CC$8),$E234/_xlpm.DepreciationMonths,0))</f>
        <v>0</v>
      </c>
    </row>
    <row r="235" spans="3:81" hidden="1" outlineLevel="2">
      <c r="C235" s="664">
        <f t="shared" si="256"/>
        <v>46387</v>
      </c>
      <c r="D235" s="508"/>
      <c r="E235" s="508" cm="1">
        <f t="array" ref="E235">SUMPRODUCT(($AH$26:$CC$31)*($AH$5:$CC$5=$C235)*($E$26:$E$31=E$186))-SUMPRODUCT(($AH$26:$CC$31)*($AH$5:$CC$5=EOMONTH($C235,-1))*($E$26:$E$31=E$186))</f>
        <v>0</v>
      </c>
      <c r="F235" s="508"/>
      <c r="G235" s="508"/>
      <c r="H235" s="508"/>
      <c r="I235" s="508"/>
      <c r="J235" s="504">
        <f t="shared" si="254"/>
        <v>0</v>
      </c>
      <c r="K235" s="504">
        <f t="shared" si="254"/>
        <v>0</v>
      </c>
      <c r="L235" s="504">
        <f t="shared" si="254"/>
        <v>0</v>
      </c>
      <c r="M235" s="504">
        <f t="shared" si="254"/>
        <v>0</v>
      </c>
      <c r="N235" s="504"/>
      <c r="O235" s="504"/>
      <c r="P235" s="504">
        <f t="shared" si="260"/>
        <v>0</v>
      </c>
      <c r="Q235" s="504">
        <f t="shared" si="260"/>
        <v>0</v>
      </c>
      <c r="R235" s="504">
        <f t="shared" si="260"/>
        <v>0</v>
      </c>
      <c r="S235" s="504">
        <f t="shared" si="260"/>
        <v>0</v>
      </c>
      <c r="T235" s="504">
        <f t="shared" si="260"/>
        <v>0</v>
      </c>
      <c r="U235" s="504">
        <f t="shared" si="260"/>
        <v>0</v>
      </c>
      <c r="V235" s="504">
        <f t="shared" si="260"/>
        <v>0</v>
      </c>
      <c r="W235" s="504">
        <f t="shared" si="260"/>
        <v>0</v>
      </c>
      <c r="X235" s="504">
        <f t="shared" si="260"/>
        <v>0</v>
      </c>
      <c r="Y235" s="504">
        <f t="shared" si="260"/>
        <v>0</v>
      </c>
      <c r="Z235" s="504">
        <f t="shared" si="260"/>
        <v>0</v>
      </c>
      <c r="AA235" s="504">
        <f t="shared" si="260"/>
        <v>0</v>
      </c>
      <c r="AB235" s="504">
        <f t="shared" si="260"/>
        <v>0</v>
      </c>
      <c r="AC235" s="504">
        <f t="shared" si="260"/>
        <v>0</v>
      </c>
      <c r="AD235" s="504">
        <f t="shared" si="260"/>
        <v>0</v>
      </c>
      <c r="AE235" s="504">
        <f t="shared" ref="AE235" si="261">SUMIFS($AH235:$CC235,$AH$4:$CC$4,"&gt;="&amp;AE$4,$AH$5:$CC$5,"&lt;="&amp;AE$5)</f>
        <v>0</v>
      </c>
      <c r="AF235" s="508"/>
      <c r="AG235" s="508"/>
      <c r="AH235" s="507" cm="1">
        <f t="array" ref="AH235">_xlfn.LET(_xlpm.DepreciationMonths,INDEX(FixedAssets[Depreciation
/ Amortization Months],_xlfn.XMATCH($E$186,FixedAssets[Asset ID])),IF(AND((_xlfn.XMATCH(AH$8,$AH$8:$CC$8))-_xlfn.XMATCH($C235,$C$35:$C$82)+1&lt;=_xlpm.DepreciationMonths,$C235&lt;=AH$8),$E235/_xlpm.DepreciationMonths,0))</f>
        <v>0</v>
      </c>
      <c r="AI235" s="507" cm="1">
        <f t="array" ref="AI235">_xlfn.LET(_xlpm.DepreciationMonths,INDEX(FixedAssets[Depreciation
/ Amortization Months],_xlfn.XMATCH($E$186,FixedAssets[Asset ID])),IF(AND((_xlfn.XMATCH(AI$8,$AH$8:$CC$8))-_xlfn.XMATCH($C235,$C$35:$C$82)+1&lt;=_xlpm.DepreciationMonths,$C235&lt;=AI$8),$E235/_xlpm.DepreciationMonths,0))</f>
        <v>0</v>
      </c>
      <c r="AJ235" s="507" cm="1">
        <f t="array" ref="AJ235">_xlfn.LET(_xlpm.DepreciationMonths,INDEX(FixedAssets[Depreciation
/ Amortization Months],_xlfn.XMATCH($E$186,FixedAssets[Asset ID])),IF(AND((_xlfn.XMATCH(AJ$8,$AH$8:$CC$8))-_xlfn.XMATCH($C235,$C$35:$C$82)+1&lt;=_xlpm.DepreciationMonths,$C235&lt;=AJ$8),$E235/_xlpm.DepreciationMonths,0))</f>
        <v>0</v>
      </c>
      <c r="AK235" s="507" cm="1">
        <f t="array" ref="AK235">_xlfn.LET(_xlpm.DepreciationMonths,INDEX(FixedAssets[Depreciation
/ Amortization Months],_xlfn.XMATCH($E$186,FixedAssets[Asset ID])),IF(AND((_xlfn.XMATCH(AK$8,$AH$8:$CC$8))-_xlfn.XMATCH($C235,$C$35:$C$82)+1&lt;=_xlpm.DepreciationMonths,$C235&lt;=AK$8),$E235/_xlpm.DepreciationMonths,0))</f>
        <v>0</v>
      </c>
      <c r="AL235" s="507" cm="1">
        <f t="array" ref="AL235">_xlfn.LET(_xlpm.DepreciationMonths,INDEX(FixedAssets[Depreciation
/ Amortization Months],_xlfn.XMATCH($E$186,FixedAssets[Asset ID])),IF(AND((_xlfn.XMATCH(AL$8,$AH$8:$CC$8))-_xlfn.XMATCH($C235,$C$35:$C$82)+1&lt;=_xlpm.DepreciationMonths,$C235&lt;=AL$8),$E235/_xlpm.DepreciationMonths,0))</f>
        <v>0</v>
      </c>
      <c r="AM235" s="507" cm="1">
        <f t="array" ref="AM235">_xlfn.LET(_xlpm.DepreciationMonths,INDEX(FixedAssets[Depreciation
/ Amortization Months],_xlfn.XMATCH($E$186,FixedAssets[Asset ID])),IF(AND((_xlfn.XMATCH(AM$8,$AH$8:$CC$8))-_xlfn.XMATCH($C235,$C$35:$C$82)+1&lt;=_xlpm.DepreciationMonths,$C235&lt;=AM$8),$E235/_xlpm.DepreciationMonths,0))</f>
        <v>0</v>
      </c>
      <c r="AN235" s="507" cm="1">
        <f t="array" ref="AN235">_xlfn.LET(_xlpm.DepreciationMonths,INDEX(FixedAssets[Depreciation
/ Amortization Months],_xlfn.XMATCH($E$186,FixedAssets[Asset ID])),IF(AND((_xlfn.XMATCH(AN$8,$AH$8:$CC$8))-_xlfn.XMATCH($C235,$C$35:$C$82)+1&lt;=_xlpm.DepreciationMonths,$C235&lt;=AN$8),$E235/_xlpm.DepreciationMonths,0))</f>
        <v>0</v>
      </c>
      <c r="AO235" s="507" cm="1">
        <f t="array" ref="AO235">_xlfn.LET(_xlpm.DepreciationMonths,INDEX(FixedAssets[Depreciation
/ Amortization Months],_xlfn.XMATCH($E$186,FixedAssets[Asset ID])),IF(AND((_xlfn.XMATCH(AO$8,$AH$8:$CC$8))-_xlfn.XMATCH($C235,$C$35:$C$82)+1&lt;=_xlpm.DepreciationMonths,$C235&lt;=AO$8),$E235/_xlpm.DepreciationMonths,0))</f>
        <v>0</v>
      </c>
      <c r="AP235" s="507" cm="1">
        <f t="array" ref="AP235">_xlfn.LET(_xlpm.DepreciationMonths,INDEX(FixedAssets[Depreciation
/ Amortization Months],_xlfn.XMATCH($E$186,FixedAssets[Asset ID])),IF(AND((_xlfn.XMATCH(AP$8,$AH$8:$CC$8))-_xlfn.XMATCH($C235,$C$35:$C$82)+1&lt;=_xlpm.DepreciationMonths,$C235&lt;=AP$8),$E235/_xlpm.DepreciationMonths,0))</f>
        <v>0</v>
      </c>
      <c r="AQ235" s="507" cm="1">
        <f t="array" ref="AQ235">_xlfn.LET(_xlpm.DepreciationMonths,INDEX(FixedAssets[Depreciation
/ Amortization Months],_xlfn.XMATCH($E$186,FixedAssets[Asset ID])),IF(AND((_xlfn.XMATCH(AQ$8,$AH$8:$CC$8))-_xlfn.XMATCH($C235,$C$35:$C$82)+1&lt;=_xlpm.DepreciationMonths,$C235&lt;=AQ$8),$E235/_xlpm.DepreciationMonths,0))</f>
        <v>0</v>
      </c>
      <c r="AR235" s="507" cm="1">
        <f t="array" ref="AR235">_xlfn.LET(_xlpm.DepreciationMonths,INDEX(FixedAssets[Depreciation
/ Amortization Months],_xlfn.XMATCH($E$186,FixedAssets[Asset ID])),IF(AND((_xlfn.XMATCH(AR$8,$AH$8:$CC$8))-_xlfn.XMATCH($C235,$C$35:$C$82)+1&lt;=_xlpm.DepreciationMonths,$C235&lt;=AR$8),$E235/_xlpm.DepreciationMonths,0))</f>
        <v>0</v>
      </c>
      <c r="AS235" s="507" cm="1">
        <f t="array" ref="AS235">_xlfn.LET(_xlpm.DepreciationMonths,INDEX(FixedAssets[Depreciation
/ Amortization Months],_xlfn.XMATCH($E$186,FixedAssets[Asset ID])),IF(AND((_xlfn.XMATCH(AS$8,$AH$8:$CC$8))-_xlfn.XMATCH($C235,$C$35:$C$82)+1&lt;=_xlpm.DepreciationMonths,$C235&lt;=AS$8),$E235/_xlpm.DepreciationMonths,0))</f>
        <v>0</v>
      </c>
      <c r="AT235" s="507" cm="1">
        <f t="array" ref="AT235">_xlfn.LET(_xlpm.DepreciationMonths,INDEX(FixedAssets[Depreciation
/ Amortization Months],_xlfn.XMATCH($E$186,FixedAssets[Asset ID])),IF(AND((_xlfn.XMATCH(AT$8,$AH$8:$CC$8))-_xlfn.XMATCH($C235,$C$35:$C$82)+1&lt;=_xlpm.DepreciationMonths,$C235&lt;=AT$8),$E235/_xlpm.DepreciationMonths,0))</f>
        <v>0</v>
      </c>
      <c r="AU235" s="507" cm="1">
        <f t="array" ref="AU235">_xlfn.LET(_xlpm.DepreciationMonths,INDEX(FixedAssets[Depreciation
/ Amortization Months],_xlfn.XMATCH($E$186,FixedAssets[Asset ID])),IF(AND((_xlfn.XMATCH(AU$8,$AH$8:$CC$8))-_xlfn.XMATCH($C235,$C$35:$C$82)+1&lt;=_xlpm.DepreciationMonths,$C235&lt;=AU$8),$E235/_xlpm.DepreciationMonths,0))</f>
        <v>0</v>
      </c>
      <c r="AV235" s="507" cm="1">
        <f t="array" ref="AV235">_xlfn.LET(_xlpm.DepreciationMonths,INDEX(FixedAssets[Depreciation
/ Amortization Months],_xlfn.XMATCH($E$186,FixedAssets[Asset ID])),IF(AND((_xlfn.XMATCH(AV$8,$AH$8:$CC$8))-_xlfn.XMATCH($C235,$C$35:$C$82)+1&lt;=_xlpm.DepreciationMonths,$C235&lt;=AV$8),$E235/_xlpm.DepreciationMonths,0))</f>
        <v>0</v>
      </c>
      <c r="AW235" s="507" cm="1">
        <f t="array" ref="AW235">_xlfn.LET(_xlpm.DepreciationMonths,INDEX(FixedAssets[Depreciation
/ Amortization Months],_xlfn.XMATCH($E$186,FixedAssets[Asset ID])),IF(AND((_xlfn.XMATCH(AW$8,$AH$8:$CC$8))-_xlfn.XMATCH($C235,$C$35:$C$82)+1&lt;=_xlpm.DepreciationMonths,$C235&lt;=AW$8),$E235/_xlpm.DepreciationMonths,0))</f>
        <v>0</v>
      </c>
      <c r="AX235" s="507" cm="1">
        <f t="array" ref="AX235">_xlfn.LET(_xlpm.DepreciationMonths,INDEX(FixedAssets[Depreciation
/ Amortization Months],_xlfn.XMATCH($E$186,FixedAssets[Asset ID])),IF(AND((_xlfn.XMATCH(AX$8,$AH$8:$CC$8))-_xlfn.XMATCH($C235,$C$35:$C$82)+1&lt;=_xlpm.DepreciationMonths,$C235&lt;=AX$8),$E235/_xlpm.DepreciationMonths,0))</f>
        <v>0</v>
      </c>
      <c r="AY235" s="507" cm="1">
        <f t="array" ref="AY235">_xlfn.LET(_xlpm.DepreciationMonths,INDEX(FixedAssets[Depreciation
/ Amortization Months],_xlfn.XMATCH($E$186,FixedAssets[Asset ID])),IF(AND((_xlfn.XMATCH(AY$8,$AH$8:$CC$8))-_xlfn.XMATCH($C235,$C$35:$C$82)+1&lt;=_xlpm.DepreciationMonths,$C235&lt;=AY$8),$E235/_xlpm.DepreciationMonths,0))</f>
        <v>0</v>
      </c>
      <c r="AZ235" s="507" cm="1">
        <f t="array" ref="AZ235">_xlfn.LET(_xlpm.DepreciationMonths,INDEX(FixedAssets[Depreciation
/ Amortization Months],_xlfn.XMATCH($E$186,FixedAssets[Asset ID])),IF(AND((_xlfn.XMATCH(AZ$8,$AH$8:$CC$8))-_xlfn.XMATCH($C235,$C$35:$C$82)+1&lt;=_xlpm.DepreciationMonths,$C235&lt;=AZ$8),$E235/_xlpm.DepreciationMonths,0))</f>
        <v>0</v>
      </c>
      <c r="BA235" s="507" cm="1">
        <f t="array" ref="BA235">_xlfn.LET(_xlpm.DepreciationMonths,INDEX(FixedAssets[Depreciation
/ Amortization Months],_xlfn.XMATCH($E$186,FixedAssets[Asset ID])),IF(AND((_xlfn.XMATCH(BA$8,$AH$8:$CC$8))-_xlfn.XMATCH($C235,$C$35:$C$82)+1&lt;=_xlpm.DepreciationMonths,$C235&lt;=BA$8),$E235/_xlpm.DepreciationMonths,0))</f>
        <v>0</v>
      </c>
      <c r="BB235" s="507" cm="1">
        <f t="array" ref="BB235">_xlfn.LET(_xlpm.DepreciationMonths,INDEX(FixedAssets[Depreciation
/ Amortization Months],_xlfn.XMATCH($E$186,FixedAssets[Asset ID])),IF(AND((_xlfn.XMATCH(BB$8,$AH$8:$CC$8))-_xlfn.XMATCH($C235,$C$35:$C$82)+1&lt;=_xlpm.DepreciationMonths,$C235&lt;=BB$8),$E235/_xlpm.DepreciationMonths,0))</f>
        <v>0</v>
      </c>
      <c r="BC235" s="507" cm="1">
        <f t="array" ref="BC235">_xlfn.LET(_xlpm.DepreciationMonths,INDEX(FixedAssets[Depreciation
/ Amortization Months],_xlfn.XMATCH($E$186,FixedAssets[Asset ID])),IF(AND((_xlfn.XMATCH(BC$8,$AH$8:$CC$8))-_xlfn.XMATCH($C235,$C$35:$C$82)+1&lt;=_xlpm.DepreciationMonths,$C235&lt;=BC$8),$E235/_xlpm.DepreciationMonths,0))</f>
        <v>0</v>
      </c>
      <c r="BD235" s="507" cm="1">
        <f t="array" ref="BD235">_xlfn.LET(_xlpm.DepreciationMonths,INDEX(FixedAssets[Depreciation
/ Amortization Months],_xlfn.XMATCH($E$186,FixedAssets[Asset ID])),IF(AND((_xlfn.XMATCH(BD$8,$AH$8:$CC$8))-_xlfn.XMATCH($C235,$C$35:$C$82)+1&lt;=_xlpm.DepreciationMonths,$C235&lt;=BD$8),$E235/_xlpm.DepreciationMonths,0))</f>
        <v>0</v>
      </c>
      <c r="BE235" s="507" cm="1">
        <f t="array" ref="BE235">_xlfn.LET(_xlpm.DepreciationMonths,INDEX(FixedAssets[Depreciation
/ Amortization Months],_xlfn.XMATCH($E$186,FixedAssets[Asset ID])),IF(AND((_xlfn.XMATCH(BE$8,$AH$8:$CC$8))-_xlfn.XMATCH($C235,$C$35:$C$82)+1&lt;=_xlpm.DepreciationMonths,$C235&lt;=BE$8),$E235/_xlpm.DepreciationMonths,0))</f>
        <v>0</v>
      </c>
      <c r="BF235" s="507" cm="1">
        <f t="array" ref="BF235">_xlfn.LET(_xlpm.DepreciationMonths,INDEX(FixedAssets[Depreciation
/ Amortization Months],_xlfn.XMATCH($E$186,FixedAssets[Asset ID])),IF(AND((_xlfn.XMATCH(BF$8,$AH$8:$CC$8))-_xlfn.XMATCH($C235,$C$35:$C$82)+1&lt;=_xlpm.DepreciationMonths,$C235&lt;=BF$8),$E235/_xlpm.DepreciationMonths,0))</f>
        <v>0</v>
      </c>
      <c r="BG235" s="507" cm="1">
        <f t="array" ref="BG235">_xlfn.LET(_xlpm.DepreciationMonths,INDEX(FixedAssets[Depreciation
/ Amortization Months],_xlfn.XMATCH($E$186,FixedAssets[Asset ID])),IF(AND((_xlfn.XMATCH(BG$8,$AH$8:$CC$8))-_xlfn.XMATCH($C235,$C$35:$C$82)+1&lt;=_xlpm.DepreciationMonths,$C235&lt;=BG$8),$E235/_xlpm.DepreciationMonths,0))</f>
        <v>0</v>
      </c>
      <c r="BH235" s="507" cm="1">
        <f t="array" ref="BH235">_xlfn.LET(_xlpm.DepreciationMonths,INDEX(FixedAssets[Depreciation
/ Amortization Months],_xlfn.XMATCH($E$186,FixedAssets[Asset ID])),IF(AND((_xlfn.XMATCH(BH$8,$AH$8:$CC$8))-_xlfn.XMATCH($C235,$C$35:$C$82)+1&lt;=_xlpm.DepreciationMonths,$C235&lt;=BH$8),$E235/_xlpm.DepreciationMonths,0))</f>
        <v>0</v>
      </c>
      <c r="BI235" s="507" cm="1">
        <f t="array" ref="BI235">_xlfn.LET(_xlpm.DepreciationMonths,INDEX(FixedAssets[Depreciation
/ Amortization Months],_xlfn.XMATCH($E$186,FixedAssets[Asset ID])),IF(AND((_xlfn.XMATCH(BI$8,$AH$8:$CC$8))-_xlfn.XMATCH($C235,$C$35:$C$82)+1&lt;=_xlpm.DepreciationMonths,$C235&lt;=BI$8),$E235/_xlpm.DepreciationMonths,0))</f>
        <v>0</v>
      </c>
      <c r="BJ235" s="507" cm="1">
        <f t="array" ref="BJ235">_xlfn.LET(_xlpm.DepreciationMonths,INDEX(FixedAssets[Depreciation
/ Amortization Months],_xlfn.XMATCH($E$186,FixedAssets[Asset ID])),IF(AND((_xlfn.XMATCH(BJ$8,$AH$8:$CC$8))-_xlfn.XMATCH($C235,$C$35:$C$82)+1&lt;=_xlpm.DepreciationMonths,$C235&lt;=BJ$8),$E235/_xlpm.DepreciationMonths,0))</f>
        <v>0</v>
      </c>
      <c r="BK235" s="507" cm="1">
        <f t="array" ref="BK235">_xlfn.LET(_xlpm.DepreciationMonths,INDEX(FixedAssets[Depreciation
/ Amortization Months],_xlfn.XMATCH($E$186,FixedAssets[Asset ID])),IF(AND((_xlfn.XMATCH(BK$8,$AH$8:$CC$8))-_xlfn.XMATCH($C235,$C$35:$C$82)+1&lt;=_xlpm.DepreciationMonths,$C235&lt;=BK$8),$E235/_xlpm.DepreciationMonths,0))</f>
        <v>0</v>
      </c>
      <c r="BL235" s="507" cm="1">
        <f t="array" ref="BL235">_xlfn.LET(_xlpm.DepreciationMonths,INDEX(FixedAssets[Depreciation
/ Amortization Months],_xlfn.XMATCH($E$186,FixedAssets[Asset ID])),IF(AND((_xlfn.XMATCH(BL$8,$AH$8:$CC$8))-_xlfn.XMATCH($C235,$C$35:$C$82)+1&lt;=_xlpm.DepreciationMonths,$C235&lt;=BL$8),$E235/_xlpm.DepreciationMonths,0))</f>
        <v>0</v>
      </c>
      <c r="BM235" s="507" cm="1">
        <f t="array" ref="BM235">_xlfn.LET(_xlpm.DepreciationMonths,INDEX(FixedAssets[Depreciation
/ Amortization Months],_xlfn.XMATCH($E$186,FixedAssets[Asset ID])),IF(AND((_xlfn.XMATCH(BM$8,$AH$8:$CC$8))-_xlfn.XMATCH($C235,$C$35:$C$82)+1&lt;=_xlpm.DepreciationMonths,$C235&lt;=BM$8),$E235/_xlpm.DepreciationMonths,0))</f>
        <v>0</v>
      </c>
      <c r="BN235" s="507" cm="1">
        <f t="array" ref="BN235">_xlfn.LET(_xlpm.DepreciationMonths,INDEX(FixedAssets[Depreciation
/ Amortization Months],_xlfn.XMATCH($E$186,FixedAssets[Asset ID])),IF(AND((_xlfn.XMATCH(BN$8,$AH$8:$CC$8))-_xlfn.XMATCH($C235,$C$35:$C$82)+1&lt;=_xlpm.DepreciationMonths,$C235&lt;=BN$8),$E235/_xlpm.DepreciationMonths,0))</f>
        <v>0</v>
      </c>
      <c r="BO235" s="507" cm="1">
        <f t="array" ref="BO235">_xlfn.LET(_xlpm.DepreciationMonths,INDEX(FixedAssets[Depreciation
/ Amortization Months],_xlfn.XMATCH($E$186,FixedAssets[Asset ID])),IF(AND((_xlfn.XMATCH(BO$8,$AH$8:$CC$8))-_xlfn.XMATCH($C235,$C$35:$C$82)+1&lt;=_xlpm.DepreciationMonths,$C235&lt;=BO$8),$E235/_xlpm.DepreciationMonths,0))</f>
        <v>0</v>
      </c>
      <c r="BP235" s="507" cm="1">
        <f t="array" ref="BP235">_xlfn.LET(_xlpm.DepreciationMonths,INDEX(FixedAssets[Depreciation
/ Amortization Months],_xlfn.XMATCH($E$186,FixedAssets[Asset ID])),IF(AND((_xlfn.XMATCH(BP$8,$AH$8:$CC$8))-_xlfn.XMATCH($C235,$C$35:$C$82)+1&lt;=_xlpm.DepreciationMonths,$C235&lt;=BP$8),$E235/_xlpm.DepreciationMonths,0))</f>
        <v>0</v>
      </c>
      <c r="BQ235" s="507" cm="1">
        <f t="array" ref="BQ235">_xlfn.LET(_xlpm.DepreciationMonths,INDEX(FixedAssets[Depreciation
/ Amortization Months],_xlfn.XMATCH($E$186,FixedAssets[Asset ID])),IF(AND((_xlfn.XMATCH(BQ$8,$AH$8:$CC$8))-_xlfn.XMATCH($C235,$C$35:$C$82)+1&lt;=_xlpm.DepreciationMonths,$C235&lt;=BQ$8),$E235/_xlpm.DepreciationMonths,0))</f>
        <v>0</v>
      </c>
      <c r="BR235" s="507" cm="1">
        <f t="array" ref="BR235">_xlfn.LET(_xlpm.DepreciationMonths,INDEX(FixedAssets[Depreciation
/ Amortization Months],_xlfn.XMATCH($E$186,FixedAssets[Asset ID])),IF(AND((_xlfn.XMATCH(BR$8,$AH$8:$CC$8))-_xlfn.XMATCH($C235,$C$35:$C$82)+1&lt;=_xlpm.DepreciationMonths,$C235&lt;=BR$8),$E235/_xlpm.DepreciationMonths,0))</f>
        <v>0</v>
      </c>
      <c r="BS235" s="507" cm="1">
        <f t="array" ref="BS235">_xlfn.LET(_xlpm.DepreciationMonths,INDEX(FixedAssets[Depreciation
/ Amortization Months],_xlfn.XMATCH($E$186,FixedAssets[Asset ID])),IF(AND((_xlfn.XMATCH(BS$8,$AH$8:$CC$8))-_xlfn.XMATCH($C235,$C$35:$C$82)+1&lt;=_xlpm.DepreciationMonths,$C235&lt;=BS$8),$E235/_xlpm.DepreciationMonths,0))</f>
        <v>0</v>
      </c>
      <c r="BT235" s="507" cm="1">
        <f t="array" ref="BT235">_xlfn.LET(_xlpm.DepreciationMonths,INDEX(FixedAssets[Depreciation
/ Amortization Months],_xlfn.XMATCH($E$186,FixedAssets[Asset ID])),IF(AND((_xlfn.XMATCH(BT$8,$AH$8:$CC$8))-_xlfn.XMATCH($C235,$C$35:$C$82)+1&lt;=_xlpm.DepreciationMonths,$C235&lt;=BT$8),$E235/_xlpm.DepreciationMonths,0))</f>
        <v>0</v>
      </c>
      <c r="BU235" s="507" cm="1">
        <f t="array" ref="BU235">_xlfn.LET(_xlpm.DepreciationMonths,INDEX(FixedAssets[Depreciation
/ Amortization Months],_xlfn.XMATCH($E$186,FixedAssets[Asset ID])),IF(AND((_xlfn.XMATCH(BU$8,$AH$8:$CC$8))-_xlfn.XMATCH($C235,$C$35:$C$82)+1&lt;=_xlpm.DepreciationMonths,$C235&lt;=BU$8),$E235/_xlpm.DepreciationMonths,0))</f>
        <v>0</v>
      </c>
      <c r="BV235" s="507" cm="1">
        <f t="array" ref="BV235">_xlfn.LET(_xlpm.DepreciationMonths,INDEX(FixedAssets[Depreciation
/ Amortization Months],_xlfn.XMATCH($E$186,FixedAssets[Asset ID])),IF(AND((_xlfn.XMATCH(BV$8,$AH$8:$CC$8))-_xlfn.XMATCH($C235,$C$35:$C$82)+1&lt;=_xlpm.DepreciationMonths,$C235&lt;=BV$8),$E235/_xlpm.DepreciationMonths,0))</f>
        <v>0</v>
      </c>
      <c r="BW235" s="507" cm="1">
        <f t="array" ref="BW235">_xlfn.LET(_xlpm.DepreciationMonths,INDEX(FixedAssets[Depreciation
/ Amortization Months],_xlfn.XMATCH($E$186,FixedAssets[Asset ID])),IF(AND((_xlfn.XMATCH(BW$8,$AH$8:$CC$8))-_xlfn.XMATCH($C235,$C$35:$C$82)+1&lt;=_xlpm.DepreciationMonths,$C235&lt;=BW$8),$E235/_xlpm.DepreciationMonths,0))</f>
        <v>0</v>
      </c>
      <c r="BX235" s="507" cm="1">
        <f t="array" ref="BX235">_xlfn.LET(_xlpm.DepreciationMonths,INDEX(FixedAssets[Depreciation
/ Amortization Months],_xlfn.XMATCH($E$186,FixedAssets[Asset ID])),IF(AND((_xlfn.XMATCH(BX$8,$AH$8:$CC$8))-_xlfn.XMATCH($C235,$C$35:$C$82)+1&lt;=_xlpm.DepreciationMonths,$C235&lt;=BX$8),$E235/_xlpm.DepreciationMonths,0))</f>
        <v>0</v>
      </c>
      <c r="BY235" s="507" cm="1">
        <f t="array" ref="BY235">_xlfn.LET(_xlpm.DepreciationMonths,INDEX(FixedAssets[Depreciation
/ Amortization Months],_xlfn.XMATCH($E$186,FixedAssets[Asset ID])),IF(AND((_xlfn.XMATCH(BY$8,$AH$8:$CC$8))-_xlfn.XMATCH($C235,$C$35:$C$82)+1&lt;=_xlpm.DepreciationMonths,$C235&lt;=BY$8),$E235/_xlpm.DepreciationMonths,0))</f>
        <v>0</v>
      </c>
      <c r="BZ235" s="507" cm="1">
        <f t="array" ref="BZ235">_xlfn.LET(_xlpm.DepreciationMonths,INDEX(FixedAssets[Depreciation
/ Amortization Months],_xlfn.XMATCH($E$186,FixedAssets[Asset ID])),IF(AND((_xlfn.XMATCH(BZ$8,$AH$8:$CC$8))-_xlfn.XMATCH($C235,$C$35:$C$82)+1&lt;=_xlpm.DepreciationMonths,$C235&lt;=BZ$8),$E235/_xlpm.DepreciationMonths,0))</f>
        <v>0</v>
      </c>
      <c r="CA235" s="507" cm="1">
        <f t="array" ref="CA235">_xlfn.LET(_xlpm.DepreciationMonths,INDEX(FixedAssets[Depreciation
/ Amortization Months],_xlfn.XMATCH($E$186,FixedAssets[Asset ID])),IF(AND((_xlfn.XMATCH(CA$8,$AH$8:$CC$8))-_xlfn.XMATCH($C235,$C$35:$C$82)+1&lt;=_xlpm.DepreciationMonths,$C235&lt;=CA$8),$E235/_xlpm.DepreciationMonths,0))</f>
        <v>0</v>
      </c>
      <c r="CB235" s="507" cm="1">
        <f t="array" ref="CB235">_xlfn.LET(_xlpm.DepreciationMonths,INDEX(FixedAssets[Depreciation
/ Amortization Months],_xlfn.XMATCH($E$186,FixedAssets[Asset ID])),IF(AND((_xlfn.XMATCH(CB$8,$AH$8:$CC$8))-_xlfn.XMATCH($C235,$C$35:$C$82)+1&lt;=_xlpm.DepreciationMonths,$C235&lt;=CB$8),$E235/_xlpm.DepreciationMonths,0))</f>
        <v>0</v>
      </c>
      <c r="CC235" s="507" cm="1">
        <f t="array" ref="CC235">_xlfn.LET(_xlpm.DepreciationMonths,INDEX(FixedAssets[Depreciation
/ Amortization Months],_xlfn.XMATCH($E$186,FixedAssets[Asset ID])),IF(AND((_xlfn.XMATCH(CC$8,$AH$8:$CC$8))-_xlfn.XMATCH($C235,$C$35:$C$82)+1&lt;=_xlpm.DepreciationMonths,$C235&lt;=CC$8),$E235/_xlpm.DepreciationMonths,0))</f>
        <v>0</v>
      </c>
    </row>
    <row r="236" spans="3:81" hidden="1" outlineLevel="2">
      <c r="AH236" s="507"/>
      <c r="AI236" s="507"/>
      <c r="AJ236" s="507"/>
      <c r="AK236" s="507"/>
      <c r="AL236" s="507"/>
      <c r="AM236" s="507"/>
      <c r="AN236" s="507"/>
      <c r="AO236" s="507"/>
      <c r="AP236" s="507"/>
      <c r="AQ236" s="507"/>
      <c r="AR236" s="507"/>
      <c r="AS236" s="507"/>
      <c r="AT236" s="507"/>
      <c r="AU236" s="507"/>
      <c r="AV236" s="507"/>
      <c r="AW236" s="507"/>
      <c r="AX236" s="507"/>
      <c r="AY236" s="507"/>
      <c r="AZ236" s="507"/>
      <c r="BA236" s="507"/>
      <c r="BB236" s="507"/>
      <c r="BC236" s="507"/>
      <c r="BD236" s="507"/>
      <c r="BE236" s="507"/>
      <c r="BF236" s="507"/>
      <c r="BG236" s="507"/>
      <c r="BH236" s="507"/>
      <c r="BI236" s="507"/>
      <c r="BJ236" s="507"/>
      <c r="BK236" s="507"/>
      <c r="BL236" s="507"/>
      <c r="BM236" s="507"/>
      <c r="BN236" s="507"/>
      <c r="BO236" s="507"/>
      <c r="BP236" s="507"/>
      <c r="BQ236" s="507"/>
      <c r="BR236" s="507"/>
      <c r="BS236" s="507"/>
      <c r="BT236" s="507"/>
      <c r="BU236" s="507"/>
      <c r="BV236" s="507"/>
      <c r="BW236" s="507"/>
      <c r="BX236" s="507"/>
      <c r="BY236" s="507"/>
      <c r="BZ236" s="507"/>
      <c r="CA236" s="507"/>
      <c r="CB236" s="507"/>
      <c r="CC236" s="507"/>
    </row>
    <row r="237" spans="3:81" outlineLevel="1" collapsed="1">
      <c r="C237" s="502" t="str" cm="1">
        <f t="array" ref="C237">INDEX(FixedAssets[Asset],MATCH(C186,FixedAssets[Asset],0)+1,0)</f>
        <v>Trademarks</v>
      </c>
      <c r="E237" s="502" cm="1">
        <f t="array" ref="E237">INDEX(FixedAssets[Asset ID],_xlfn.XMATCH($C237,FixedAssets[Asset]))</f>
        <v>1150040001</v>
      </c>
      <c r="F237" s="502" cm="1">
        <f t="array" ref="F237">INDEX(FixedAssets[Depreciation
/ Amortization ID],_xlfn.XMATCH($C237,FixedAssets[Asset]))</f>
        <v>191</v>
      </c>
      <c r="G237" s="502" cm="1">
        <f t="array" ref="G237">INDEX(FixedAssets[Accumulated Depreciation
/ Amortization ID],_xlfn.XMATCH($C237,FixedAssets[Asset]))</f>
        <v>194</v>
      </c>
      <c r="H237" s="508"/>
      <c r="I237" s="508"/>
      <c r="J237" s="507">
        <f>_xlfn.AGGREGATE(9,0,J238:J287)</f>
        <v>1590.2</v>
      </c>
      <c r="K237" s="507">
        <f t="shared" ref="K237:M237" si="262">_xlfn.AGGREGATE(9,0,K238:K287)</f>
        <v>1590.2</v>
      </c>
      <c r="L237" s="507">
        <f t="shared" si="262"/>
        <v>1590.2</v>
      </c>
      <c r="M237" s="507">
        <f t="shared" si="262"/>
        <v>1590.2</v>
      </c>
      <c r="N237" s="509"/>
      <c r="O237" s="509"/>
      <c r="P237" s="507">
        <f t="shared" ref="P237:AE237" si="263">_xlfn.AGGREGATE(9,0,P238:P287)</f>
        <v>397.55000000000007</v>
      </c>
      <c r="Q237" s="507">
        <f t="shared" si="263"/>
        <v>397.55000000000007</v>
      </c>
      <c r="R237" s="507">
        <f t="shared" si="263"/>
        <v>397.55000000000007</v>
      </c>
      <c r="S237" s="507">
        <f t="shared" si="263"/>
        <v>397.55000000000007</v>
      </c>
      <c r="T237" s="507">
        <f t="shared" si="263"/>
        <v>397.55000000000007</v>
      </c>
      <c r="U237" s="507">
        <f t="shared" si="263"/>
        <v>397.55000000000007</v>
      </c>
      <c r="V237" s="507">
        <f t="shared" si="263"/>
        <v>397.55000000000007</v>
      </c>
      <c r="W237" s="507">
        <f t="shared" si="263"/>
        <v>397.55000000000007</v>
      </c>
      <c r="X237" s="507">
        <f t="shared" si="263"/>
        <v>397.55000000000007</v>
      </c>
      <c r="Y237" s="507">
        <f t="shared" si="263"/>
        <v>397.55000000000007</v>
      </c>
      <c r="Z237" s="507">
        <f t="shared" si="263"/>
        <v>397.55000000000007</v>
      </c>
      <c r="AA237" s="507">
        <f t="shared" si="263"/>
        <v>397.55000000000007</v>
      </c>
      <c r="AB237" s="507">
        <f t="shared" si="263"/>
        <v>397.55000000000007</v>
      </c>
      <c r="AC237" s="507">
        <f t="shared" si="263"/>
        <v>397.55000000000007</v>
      </c>
      <c r="AD237" s="507">
        <f t="shared" si="263"/>
        <v>397.55000000000007</v>
      </c>
      <c r="AE237" s="507">
        <f t="shared" si="263"/>
        <v>397.55000000000007</v>
      </c>
      <c r="AF237" s="508"/>
      <c r="AG237" s="508"/>
      <c r="AH237" s="507">
        <f t="shared" ref="AH237:CC237" si="264">_xlfn.AGGREGATE(9,0,AH238:AH287)</f>
        <v>132.51666666666668</v>
      </c>
      <c r="AI237" s="507">
        <f t="shared" si="264"/>
        <v>132.51666666666668</v>
      </c>
      <c r="AJ237" s="507">
        <f t="shared" si="264"/>
        <v>132.51666666666668</v>
      </c>
      <c r="AK237" s="507">
        <f t="shared" si="264"/>
        <v>132.51666666666668</v>
      </c>
      <c r="AL237" s="507">
        <f t="shared" si="264"/>
        <v>132.51666666666668</v>
      </c>
      <c r="AM237" s="507">
        <f t="shared" si="264"/>
        <v>132.51666666666668</v>
      </c>
      <c r="AN237" s="507">
        <f t="shared" si="264"/>
        <v>132.51666666666668</v>
      </c>
      <c r="AO237" s="507">
        <f t="shared" si="264"/>
        <v>132.51666666666668</v>
      </c>
      <c r="AP237" s="507">
        <f t="shared" si="264"/>
        <v>132.51666666666668</v>
      </c>
      <c r="AQ237" s="507">
        <f t="shared" si="264"/>
        <v>132.51666666666668</v>
      </c>
      <c r="AR237" s="507">
        <f t="shared" si="264"/>
        <v>132.51666666666668</v>
      </c>
      <c r="AS237" s="507">
        <f t="shared" si="264"/>
        <v>132.51666666666668</v>
      </c>
      <c r="AT237" s="507">
        <f t="shared" si="264"/>
        <v>132.51666666666668</v>
      </c>
      <c r="AU237" s="507">
        <f t="shared" si="264"/>
        <v>132.51666666666668</v>
      </c>
      <c r="AV237" s="507">
        <f t="shared" si="264"/>
        <v>132.51666666666668</v>
      </c>
      <c r="AW237" s="507">
        <f t="shared" si="264"/>
        <v>132.51666666666668</v>
      </c>
      <c r="AX237" s="507">
        <f t="shared" si="264"/>
        <v>132.51666666666668</v>
      </c>
      <c r="AY237" s="507">
        <f t="shared" si="264"/>
        <v>132.51666666666668</v>
      </c>
      <c r="AZ237" s="507">
        <f t="shared" si="264"/>
        <v>132.51666666666668</v>
      </c>
      <c r="BA237" s="507">
        <f t="shared" si="264"/>
        <v>132.51666666666668</v>
      </c>
      <c r="BB237" s="507">
        <f t="shared" si="264"/>
        <v>132.51666666666668</v>
      </c>
      <c r="BC237" s="507">
        <f t="shared" si="264"/>
        <v>132.51666666666668</v>
      </c>
      <c r="BD237" s="507">
        <f t="shared" si="264"/>
        <v>132.51666666666668</v>
      </c>
      <c r="BE237" s="507">
        <f t="shared" si="264"/>
        <v>132.51666666666668</v>
      </c>
      <c r="BF237" s="507">
        <f t="shared" si="264"/>
        <v>132.51666666666668</v>
      </c>
      <c r="BG237" s="507">
        <f t="shared" si="264"/>
        <v>132.51666666666668</v>
      </c>
      <c r="BH237" s="507">
        <f t="shared" si="264"/>
        <v>132.51666666666668</v>
      </c>
      <c r="BI237" s="507">
        <f t="shared" si="264"/>
        <v>132.51666666666668</v>
      </c>
      <c r="BJ237" s="507">
        <f t="shared" si="264"/>
        <v>132.51666666666668</v>
      </c>
      <c r="BK237" s="507">
        <f t="shared" si="264"/>
        <v>132.51666666666668</v>
      </c>
      <c r="BL237" s="507">
        <f t="shared" si="264"/>
        <v>132.51666666666668</v>
      </c>
      <c r="BM237" s="507">
        <f t="shared" si="264"/>
        <v>132.51666666666668</v>
      </c>
      <c r="BN237" s="507">
        <f t="shared" si="264"/>
        <v>132.51666666666668</v>
      </c>
      <c r="BO237" s="507">
        <f t="shared" si="264"/>
        <v>132.51666666666668</v>
      </c>
      <c r="BP237" s="507">
        <f t="shared" si="264"/>
        <v>132.51666666666668</v>
      </c>
      <c r="BQ237" s="507">
        <f t="shared" si="264"/>
        <v>132.51666666666668</v>
      </c>
      <c r="BR237" s="507">
        <f t="shared" si="264"/>
        <v>132.51666666666668</v>
      </c>
      <c r="BS237" s="507">
        <f t="shared" si="264"/>
        <v>132.51666666666668</v>
      </c>
      <c r="BT237" s="507">
        <f t="shared" si="264"/>
        <v>132.51666666666668</v>
      </c>
      <c r="BU237" s="507">
        <f t="shared" si="264"/>
        <v>132.51666666666668</v>
      </c>
      <c r="BV237" s="507">
        <f t="shared" si="264"/>
        <v>132.51666666666668</v>
      </c>
      <c r="BW237" s="507">
        <f t="shared" si="264"/>
        <v>132.51666666666668</v>
      </c>
      <c r="BX237" s="507">
        <f t="shared" si="264"/>
        <v>132.51666666666668</v>
      </c>
      <c r="BY237" s="507">
        <f t="shared" si="264"/>
        <v>132.51666666666668</v>
      </c>
      <c r="BZ237" s="507">
        <f t="shared" si="264"/>
        <v>132.51666666666668</v>
      </c>
      <c r="CA237" s="507">
        <f t="shared" si="264"/>
        <v>132.51666666666668</v>
      </c>
      <c r="CB237" s="507">
        <f t="shared" si="264"/>
        <v>132.51666666666668</v>
      </c>
      <c r="CC237" s="507">
        <f t="shared" si="264"/>
        <v>132.51666666666668</v>
      </c>
    </row>
    <row r="238" spans="3:81" hidden="1" outlineLevel="2">
      <c r="AH238" s="507"/>
      <c r="AI238" s="507"/>
      <c r="AJ238" s="507"/>
      <c r="AK238" s="507"/>
      <c r="AL238" s="507"/>
      <c r="AM238" s="507"/>
      <c r="AN238" s="507"/>
      <c r="AO238" s="507"/>
      <c r="AP238" s="507"/>
      <c r="AQ238" s="507"/>
      <c r="AR238" s="507"/>
      <c r="AS238" s="507"/>
      <c r="AT238" s="507"/>
      <c r="AU238" s="507"/>
      <c r="AV238" s="507"/>
      <c r="AW238" s="507"/>
      <c r="AX238" s="507"/>
      <c r="AY238" s="507"/>
      <c r="AZ238" s="507"/>
      <c r="BA238" s="507"/>
      <c r="BB238" s="507"/>
      <c r="BC238" s="507"/>
      <c r="BD238" s="507"/>
      <c r="BE238" s="507"/>
      <c r="BF238" s="507"/>
      <c r="BG238" s="507"/>
      <c r="BH238" s="507"/>
      <c r="BI238" s="507"/>
      <c r="BJ238" s="507"/>
      <c r="BK238" s="507"/>
      <c r="BL238" s="507"/>
      <c r="BM238" s="507"/>
      <c r="BN238" s="507"/>
      <c r="BO238" s="507"/>
      <c r="BP238" s="507"/>
      <c r="BQ238" s="507"/>
      <c r="BR238" s="507"/>
      <c r="BS238" s="507"/>
      <c r="BT238" s="507"/>
      <c r="BU238" s="507"/>
      <c r="BV238" s="507"/>
      <c r="BW238" s="507"/>
      <c r="BX238" s="507"/>
      <c r="BY238" s="507"/>
      <c r="BZ238" s="507"/>
      <c r="CA238" s="507"/>
      <c r="CB238" s="507"/>
      <c r="CC238" s="507"/>
    </row>
    <row r="239" spans="3:81" hidden="1" outlineLevel="2">
      <c r="C239" s="664" cm="1">
        <f t="array" ref="C239">EOM_Start_Date</f>
        <v>44957</v>
      </c>
      <c r="D239" s="508"/>
      <c r="E239" s="508" cm="1">
        <f t="array" ref="E239">SUMPRODUCT(($AH$26:$CC$31)*($AH$5:$CC$5=$C239)*($E$26:$E$31=E$237))-SUMPRODUCT(($AH$26:$CC$31)*($AH$5:$CC$5=EOMONTH($C239,-1))*($E$26:$E$31=E$237))</f>
        <v>7951</v>
      </c>
      <c r="F239" s="508"/>
      <c r="G239" s="508"/>
      <c r="H239" s="508"/>
      <c r="I239" s="508"/>
      <c r="J239" s="504">
        <f t="shared" ref="J239:M286" si="265">SUMIFS($AH239:$CC239,$AH$4:$CC$4,"&gt;="&amp;J$4,$AH$5:$CC$5,"&lt;="&amp;J$5)</f>
        <v>1590.2</v>
      </c>
      <c r="K239" s="504">
        <f t="shared" si="265"/>
        <v>1590.2</v>
      </c>
      <c r="L239" s="504">
        <f t="shared" si="265"/>
        <v>1590.2</v>
      </c>
      <c r="M239" s="504">
        <f t="shared" si="265"/>
        <v>1590.2</v>
      </c>
      <c r="N239" s="504"/>
      <c r="O239" s="504"/>
      <c r="P239" s="504">
        <f t="shared" ref="P239:AE254" si="266">SUMIFS($AH239:$CC239,$AH$4:$CC$4,"&gt;="&amp;P$4,$AH$5:$CC$5,"&lt;="&amp;P$5)</f>
        <v>397.55000000000007</v>
      </c>
      <c r="Q239" s="504">
        <f t="shared" si="266"/>
        <v>397.55000000000007</v>
      </c>
      <c r="R239" s="504">
        <f t="shared" si="266"/>
        <v>397.55000000000007</v>
      </c>
      <c r="S239" s="504">
        <f t="shared" si="266"/>
        <v>397.55000000000007</v>
      </c>
      <c r="T239" s="504">
        <f t="shared" si="266"/>
        <v>397.55000000000007</v>
      </c>
      <c r="U239" s="504">
        <f t="shared" si="266"/>
        <v>397.55000000000007</v>
      </c>
      <c r="V239" s="504">
        <f t="shared" si="266"/>
        <v>397.55000000000007</v>
      </c>
      <c r="W239" s="504">
        <f t="shared" si="266"/>
        <v>397.55000000000007</v>
      </c>
      <c r="X239" s="504">
        <f t="shared" si="266"/>
        <v>397.55000000000007</v>
      </c>
      <c r="Y239" s="504">
        <f t="shared" si="266"/>
        <v>397.55000000000007</v>
      </c>
      <c r="Z239" s="504">
        <f t="shared" si="266"/>
        <v>397.55000000000007</v>
      </c>
      <c r="AA239" s="504">
        <f t="shared" si="266"/>
        <v>397.55000000000007</v>
      </c>
      <c r="AB239" s="504">
        <f t="shared" si="266"/>
        <v>397.55000000000007</v>
      </c>
      <c r="AC239" s="504">
        <f t="shared" si="266"/>
        <v>397.55000000000007</v>
      </c>
      <c r="AD239" s="504">
        <f t="shared" si="266"/>
        <v>397.55000000000007</v>
      </c>
      <c r="AE239" s="504">
        <f t="shared" si="266"/>
        <v>397.55000000000007</v>
      </c>
      <c r="AF239" s="508"/>
      <c r="AG239" s="508"/>
      <c r="AH239" s="507" cm="1">
        <f t="array" ref="AH239">_xlfn.LET(_xlpm.DepreciationMonths,INDEX(FixedAssets[Depreciation
/ Amortization Months],_xlfn.XMATCH($E$237,FixedAssets[Asset ID])),IF(AND((_xlfn.XMATCH(AH$8,$AH$8:$CC$8))-_xlfn.XMATCH($C239,$C$35:$C$82)+1&lt;=_xlpm.DepreciationMonths,$C239&lt;=AH$8),$E239/_xlpm.DepreciationMonths,0))</f>
        <v>132.51666666666668</v>
      </c>
      <c r="AI239" s="507" cm="1">
        <f t="array" ref="AI239">_xlfn.LET(_xlpm.DepreciationMonths,INDEX(FixedAssets[Depreciation
/ Amortization Months],_xlfn.XMATCH($E$237,FixedAssets[Asset ID])),IF(AND((_xlfn.XMATCH(AI$8,$AH$8:$CC$8))-_xlfn.XMATCH($C239,$C$35:$C$82)+1&lt;=_xlpm.DepreciationMonths,$C239&lt;=AI$8),$E239/_xlpm.DepreciationMonths,0))</f>
        <v>132.51666666666668</v>
      </c>
      <c r="AJ239" s="507" cm="1">
        <f t="array" ref="AJ239">_xlfn.LET(_xlpm.DepreciationMonths,INDEX(FixedAssets[Depreciation
/ Amortization Months],_xlfn.XMATCH($E$237,FixedAssets[Asset ID])),IF(AND((_xlfn.XMATCH(AJ$8,$AH$8:$CC$8))-_xlfn.XMATCH($C239,$C$35:$C$82)+1&lt;=_xlpm.DepreciationMonths,$C239&lt;=AJ$8),$E239/_xlpm.DepreciationMonths,0))</f>
        <v>132.51666666666668</v>
      </c>
      <c r="AK239" s="507" cm="1">
        <f t="array" ref="AK239">_xlfn.LET(_xlpm.DepreciationMonths,INDEX(FixedAssets[Depreciation
/ Amortization Months],_xlfn.XMATCH($E$237,FixedAssets[Asset ID])),IF(AND((_xlfn.XMATCH(AK$8,$AH$8:$CC$8))-_xlfn.XMATCH($C239,$C$35:$C$82)+1&lt;=_xlpm.DepreciationMonths,$C239&lt;=AK$8),$E239/_xlpm.DepreciationMonths,0))</f>
        <v>132.51666666666668</v>
      </c>
      <c r="AL239" s="507" cm="1">
        <f t="array" ref="AL239">_xlfn.LET(_xlpm.DepreciationMonths,INDEX(FixedAssets[Depreciation
/ Amortization Months],_xlfn.XMATCH($E$237,FixedAssets[Asset ID])),IF(AND((_xlfn.XMATCH(AL$8,$AH$8:$CC$8))-_xlfn.XMATCH($C239,$C$35:$C$82)+1&lt;=_xlpm.DepreciationMonths,$C239&lt;=AL$8),$E239/_xlpm.DepreciationMonths,0))</f>
        <v>132.51666666666668</v>
      </c>
      <c r="AM239" s="507" cm="1">
        <f t="array" ref="AM239">_xlfn.LET(_xlpm.DepreciationMonths,INDEX(FixedAssets[Depreciation
/ Amortization Months],_xlfn.XMATCH($E$237,FixedAssets[Asset ID])),IF(AND((_xlfn.XMATCH(AM$8,$AH$8:$CC$8))-_xlfn.XMATCH($C239,$C$35:$C$82)+1&lt;=_xlpm.DepreciationMonths,$C239&lt;=AM$8),$E239/_xlpm.DepreciationMonths,0))</f>
        <v>132.51666666666668</v>
      </c>
      <c r="AN239" s="507" cm="1">
        <f t="array" ref="AN239">_xlfn.LET(_xlpm.DepreciationMonths,INDEX(FixedAssets[Depreciation
/ Amortization Months],_xlfn.XMATCH($E$237,FixedAssets[Asset ID])),IF(AND((_xlfn.XMATCH(AN$8,$AH$8:$CC$8))-_xlfn.XMATCH($C239,$C$35:$C$82)+1&lt;=_xlpm.DepreciationMonths,$C239&lt;=AN$8),$E239/_xlpm.DepreciationMonths,0))</f>
        <v>132.51666666666668</v>
      </c>
      <c r="AO239" s="507" cm="1">
        <f t="array" ref="AO239">_xlfn.LET(_xlpm.DepreciationMonths,INDEX(FixedAssets[Depreciation
/ Amortization Months],_xlfn.XMATCH($E$237,FixedAssets[Asset ID])),IF(AND((_xlfn.XMATCH(AO$8,$AH$8:$CC$8))-_xlfn.XMATCH($C239,$C$35:$C$82)+1&lt;=_xlpm.DepreciationMonths,$C239&lt;=AO$8),$E239/_xlpm.DepreciationMonths,0))</f>
        <v>132.51666666666668</v>
      </c>
      <c r="AP239" s="507" cm="1">
        <f t="array" ref="AP239">_xlfn.LET(_xlpm.DepreciationMonths,INDEX(FixedAssets[Depreciation
/ Amortization Months],_xlfn.XMATCH($E$237,FixedAssets[Asset ID])),IF(AND((_xlfn.XMATCH(AP$8,$AH$8:$CC$8))-_xlfn.XMATCH($C239,$C$35:$C$82)+1&lt;=_xlpm.DepreciationMonths,$C239&lt;=AP$8),$E239/_xlpm.DepreciationMonths,0))</f>
        <v>132.51666666666668</v>
      </c>
      <c r="AQ239" s="507" cm="1">
        <f t="array" ref="AQ239">_xlfn.LET(_xlpm.DepreciationMonths,INDEX(FixedAssets[Depreciation
/ Amortization Months],_xlfn.XMATCH($E$237,FixedAssets[Asset ID])),IF(AND((_xlfn.XMATCH(AQ$8,$AH$8:$CC$8))-_xlfn.XMATCH($C239,$C$35:$C$82)+1&lt;=_xlpm.DepreciationMonths,$C239&lt;=AQ$8),$E239/_xlpm.DepreciationMonths,0))</f>
        <v>132.51666666666668</v>
      </c>
      <c r="AR239" s="507" cm="1">
        <f t="array" ref="AR239">_xlfn.LET(_xlpm.DepreciationMonths,INDEX(FixedAssets[Depreciation
/ Amortization Months],_xlfn.XMATCH($E$237,FixedAssets[Asset ID])),IF(AND((_xlfn.XMATCH(AR$8,$AH$8:$CC$8))-_xlfn.XMATCH($C239,$C$35:$C$82)+1&lt;=_xlpm.DepreciationMonths,$C239&lt;=AR$8),$E239/_xlpm.DepreciationMonths,0))</f>
        <v>132.51666666666668</v>
      </c>
      <c r="AS239" s="507" cm="1">
        <f t="array" ref="AS239">_xlfn.LET(_xlpm.DepreciationMonths,INDEX(FixedAssets[Depreciation
/ Amortization Months],_xlfn.XMATCH($E$237,FixedAssets[Asset ID])),IF(AND((_xlfn.XMATCH(AS$8,$AH$8:$CC$8))-_xlfn.XMATCH($C239,$C$35:$C$82)+1&lt;=_xlpm.DepreciationMonths,$C239&lt;=AS$8),$E239/_xlpm.DepreciationMonths,0))</f>
        <v>132.51666666666668</v>
      </c>
      <c r="AT239" s="507" cm="1">
        <f t="array" ref="AT239">_xlfn.LET(_xlpm.DepreciationMonths,INDEX(FixedAssets[Depreciation
/ Amortization Months],_xlfn.XMATCH($E$237,FixedAssets[Asset ID])),IF(AND((_xlfn.XMATCH(AT$8,$AH$8:$CC$8))-_xlfn.XMATCH($C239,$C$35:$C$82)+1&lt;=_xlpm.DepreciationMonths,$C239&lt;=AT$8),$E239/_xlpm.DepreciationMonths,0))</f>
        <v>132.51666666666668</v>
      </c>
      <c r="AU239" s="507" cm="1">
        <f t="array" ref="AU239">_xlfn.LET(_xlpm.DepreciationMonths,INDEX(FixedAssets[Depreciation
/ Amortization Months],_xlfn.XMATCH($E$237,FixedAssets[Asset ID])),IF(AND((_xlfn.XMATCH(AU$8,$AH$8:$CC$8))-_xlfn.XMATCH($C239,$C$35:$C$82)+1&lt;=_xlpm.DepreciationMonths,$C239&lt;=AU$8),$E239/_xlpm.DepreciationMonths,0))</f>
        <v>132.51666666666668</v>
      </c>
      <c r="AV239" s="507" cm="1">
        <f t="array" ref="AV239">_xlfn.LET(_xlpm.DepreciationMonths,INDEX(FixedAssets[Depreciation
/ Amortization Months],_xlfn.XMATCH($E$237,FixedAssets[Asset ID])),IF(AND((_xlfn.XMATCH(AV$8,$AH$8:$CC$8))-_xlfn.XMATCH($C239,$C$35:$C$82)+1&lt;=_xlpm.DepreciationMonths,$C239&lt;=AV$8),$E239/_xlpm.DepreciationMonths,0))</f>
        <v>132.51666666666668</v>
      </c>
      <c r="AW239" s="507" cm="1">
        <f t="array" ref="AW239">_xlfn.LET(_xlpm.DepreciationMonths,INDEX(FixedAssets[Depreciation
/ Amortization Months],_xlfn.XMATCH($E$237,FixedAssets[Asset ID])),IF(AND((_xlfn.XMATCH(AW$8,$AH$8:$CC$8))-_xlfn.XMATCH($C239,$C$35:$C$82)+1&lt;=_xlpm.DepreciationMonths,$C239&lt;=AW$8),$E239/_xlpm.DepreciationMonths,0))</f>
        <v>132.51666666666668</v>
      </c>
      <c r="AX239" s="507" cm="1">
        <f t="array" ref="AX239">_xlfn.LET(_xlpm.DepreciationMonths,INDEX(FixedAssets[Depreciation
/ Amortization Months],_xlfn.XMATCH($E$237,FixedAssets[Asset ID])),IF(AND((_xlfn.XMATCH(AX$8,$AH$8:$CC$8))-_xlfn.XMATCH($C239,$C$35:$C$82)+1&lt;=_xlpm.DepreciationMonths,$C239&lt;=AX$8),$E239/_xlpm.DepreciationMonths,0))</f>
        <v>132.51666666666668</v>
      </c>
      <c r="AY239" s="507" cm="1">
        <f t="array" ref="AY239">_xlfn.LET(_xlpm.DepreciationMonths,INDEX(FixedAssets[Depreciation
/ Amortization Months],_xlfn.XMATCH($E$237,FixedAssets[Asset ID])),IF(AND((_xlfn.XMATCH(AY$8,$AH$8:$CC$8))-_xlfn.XMATCH($C239,$C$35:$C$82)+1&lt;=_xlpm.DepreciationMonths,$C239&lt;=AY$8),$E239/_xlpm.DepreciationMonths,0))</f>
        <v>132.51666666666668</v>
      </c>
      <c r="AZ239" s="507" cm="1">
        <f t="array" ref="AZ239">_xlfn.LET(_xlpm.DepreciationMonths,INDEX(FixedAssets[Depreciation
/ Amortization Months],_xlfn.XMATCH($E$237,FixedAssets[Asset ID])),IF(AND((_xlfn.XMATCH(AZ$8,$AH$8:$CC$8))-_xlfn.XMATCH($C239,$C$35:$C$82)+1&lt;=_xlpm.DepreciationMonths,$C239&lt;=AZ$8),$E239/_xlpm.DepreciationMonths,0))</f>
        <v>132.51666666666668</v>
      </c>
      <c r="BA239" s="507" cm="1">
        <f t="array" ref="BA239">_xlfn.LET(_xlpm.DepreciationMonths,INDEX(FixedAssets[Depreciation
/ Amortization Months],_xlfn.XMATCH($E$237,FixedAssets[Asset ID])),IF(AND((_xlfn.XMATCH(BA$8,$AH$8:$CC$8))-_xlfn.XMATCH($C239,$C$35:$C$82)+1&lt;=_xlpm.DepreciationMonths,$C239&lt;=BA$8),$E239/_xlpm.DepreciationMonths,0))</f>
        <v>132.51666666666668</v>
      </c>
      <c r="BB239" s="507" cm="1">
        <f t="array" ref="BB239">_xlfn.LET(_xlpm.DepreciationMonths,INDEX(FixedAssets[Depreciation
/ Amortization Months],_xlfn.XMATCH($E$237,FixedAssets[Asset ID])),IF(AND((_xlfn.XMATCH(BB$8,$AH$8:$CC$8))-_xlfn.XMATCH($C239,$C$35:$C$82)+1&lt;=_xlpm.DepreciationMonths,$C239&lt;=BB$8),$E239/_xlpm.DepreciationMonths,0))</f>
        <v>132.51666666666668</v>
      </c>
      <c r="BC239" s="507" cm="1">
        <f t="array" ref="BC239">_xlfn.LET(_xlpm.DepreciationMonths,INDEX(FixedAssets[Depreciation
/ Amortization Months],_xlfn.XMATCH($E$237,FixedAssets[Asset ID])),IF(AND((_xlfn.XMATCH(BC$8,$AH$8:$CC$8))-_xlfn.XMATCH($C239,$C$35:$C$82)+1&lt;=_xlpm.DepreciationMonths,$C239&lt;=BC$8),$E239/_xlpm.DepreciationMonths,0))</f>
        <v>132.51666666666668</v>
      </c>
      <c r="BD239" s="507" cm="1">
        <f t="array" ref="BD239">_xlfn.LET(_xlpm.DepreciationMonths,INDEX(FixedAssets[Depreciation
/ Amortization Months],_xlfn.XMATCH($E$237,FixedAssets[Asset ID])),IF(AND((_xlfn.XMATCH(BD$8,$AH$8:$CC$8))-_xlfn.XMATCH($C239,$C$35:$C$82)+1&lt;=_xlpm.DepreciationMonths,$C239&lt;=BD$8),$E239/_xlpm.DepreciationMonths,0))</f>
        <v>132.51666666666668</v>
      </c>
      <c r="BE239" s="507" cm="1">
        <f t="array" ref="BE239">_xlfn.LET(_xlpm.DepreciationMonths,INDEX(FixedAssets[Depreciation
/ Amortization Months],_xlfn.XMATCH($E$237,FixedAssets[Asset ID])),IF(AND((_xlfn.XMATCH(BE$8,$AH$8:$CC$8))-_xlfn.XMATCH($C239,$C$35:$C$82)+1&lt;=_xlpm.DepreciationMonths,$C239&lt;=BE$8),$E239/_xlpm.DepreciationMonths,0))</f>
        <v>132.51666666666668</v>
      </c>
      <c r="BF239" s="507" cm="1">
        <f t="array" ref="BF239">_xlfn.LET(_xlpm.DepreciationMonths,INDEX(FixedAssets[Depreciation
/ Amortization Months],_xlfn.XMATCH($E$237,FixedAssets[Asset ID])),IF(AND((_xlfn.XMATCH(BF$8,$AH$8:$CC$8))-_xlfn.XMATCH($C239,$C$35:$C$82)+1&lt;=_xlpm.DepreciationMonths,$C239&lt;=BF$8),$E239/_xlpm.DepreciationMonths,0))</f>
        <v>132.51666666666668</v>
      </c>
      <c r="BG239" s="507" cm="1">
        <f t="array" ref="BG239">_xlfn.LET(_xlpm.DepreciationMonths,INDEX(FixedAssets[Depreciation
/ Amortization Months],_xlfn.XMATCH($E$237,FixedAssets[Asset ID])),IF(AND((_xlfn.XMATCH(BG$8,$AH$8:$CC$8))-_xlfn.XMATCH($C239,$C$35:$C$82)+1&lt;=_xlpm.DepreciationMonths,$C239&lt;=BG$8),$E239/_xlpm.DepreciationMonths,0))</f>
        <v>132.51666666666668</v>
      </c>
      <c r="BH239" s="507" cm="1">
        <f t="array" ref="BH239">_xlfn.LET(_xlpm.DepreciationMonths,INDEX(FixedAssets[Depreciation
/ Amortization Months],_xlfn.XMATCH($E$237,FixedAssets[Asset ID])),IF(AND((_xlfn.XMATCH(BH$8,$AH$8:$CC$8))-_xlfn.XMATCH($C239,$C$35:$C$82)+1&lt;=_xlpm.DepreciationMonths,$C239&lt;=BH$8),$E239/_xlpm.DepreciationMonths,0))</f>
        <v>132.51666666666668</v>
      </c>
      <c r="BI239" s="507" cm="1">
        <f t="array" ref="BI239">_xlfn.LET(_xlpm.DepreciationMonths,INDEX(FixedAssets[Depreciation
/ Amortization Months],_xlfn.XMATCH($E$237,FixedAssets[Asset ID])),IF(AND((_xlfn.XMATCH(BI$8,$AH$8:$CC$8))-_xlfn.XMATCH($C239,$C$35:$C$82)+1&lt;=_xlpm.DepreciationMonths,$C239&lt;=BI$8),$E239/_xlpm.DepreciationMonths,0))</f>
        <v>132.51666666666668</v>
      </c>
      <c r="BJ239" s="507" cm="1">
        <f t="array" ref="BJ239">_xlfn.LET(_xlpm.DepreciationMonths,INDEX(FixedAssets[Depreciation
/ Amortization Months],_xlfn.XMATCH($E$237,FixedAssets[Asset ID])),IF(AND((_xlfn.XMATCH(BJ$8,$AH$8:$CC$8))-_xlfn.XMATCH($C239,$C$35:$C$82)+1&lt;=_xlpm.DepreciationMonths,$C239&lt;=BJ$8),$E239/_xlpm.DepreciationMonths,0))</f>
        <v>132.51666666666668</v>
      </c>
      <c r="BK239" s="507" cm="1">
        <f t="array" ref="BK239">_xlfn.LET(_xlpm.DepreciationMonths,INDEX(FixedAssets[Depreciation
/ Amortization Months],_xlfn.XMATCH($E$237,FixedAssets[Asset ID])),IF(AND((_xlfn.XMATCH(BK$8,$AH$8:$CC$8))-_xlfn.XMATCH($C239,$C$35:$C$82)+1&lt;=_xlpm.DepreciationMonths,$C239&lt;=BK$8),$E239/_xlpm.DepreciationMonths,0))</f>
        <v>132.51666666666668</v>
      </c>
      <c r="BL239" s="507" cm="1">
        <f t="array" ref="BL239">_xlfn.LET(_xlpm.DepreciationMonths,INDEX(FixedAssets[Depreciation
/ Amortization Months],_xlfn.XMATCH($E$237,FixedAssets[Asset ID])),IF(AND((_xlfn.XMATCH(BL$8,$AH$8:$CC$8))-_xlfn.XMATCH($C239,$C$35:$C$82)+1&lt;=_xlpm.DepreciationMonths,$C239&lt;=BL$8),$E239/_xlpm.DepreciationMonths,0))</f>
        <v>132.51666666666668</v>
      </c>
      <c r="BM239" s="507" cm="1">
        <f t="array" ref="BM239">_xlfn.LET(_xlpm.DepreciationMonths,INDEX(FixedAssets[Depreciation
/ Amortization Months],_xlfn.XMATCH($E$237,FixedAssets[Asset ID])),IF(AND((_xlfn.XMATCH(BM$8,$AH$8:$CC$8))-_xlfn.XMATCH($C239,$C$35:$C$82)+1&lt;=_xlpm.DepreciationMonths,$C239&lt;=BM$8),$E239/_xlpm.DepreciationMonths,0))</f>
        <v>132.51666666666668</v>
      </c>
      <c r="BN239" s="507" cm="1">
        <f t="array" ref="BN239">_xlfn.LET(_xlpm.DepreciationMonths,INDEX(FixedAssets[Depreciation
/ Amortization Months],_xlfn.XMATCH($E$237,FixedAssets[Asset ID])),IF(AND((_xlfn.XMATCH(BN$8,$AH$8:$CC$8))-_xlfn.XMATCH($C239,$C$35:$C$82)+1&lt;=_xlpm.DepreciationMonths,$C239&lt;=BN$8),$E239/_xlpm.DepreciationMonths,0))</f>
        <v>132.51666666666668</v>
      </c>
      <c r="BO239" s="507" cm="1">
        <f t="array" ref="BO239">_xlfn.LET(_xlpm.DepreciationMonths,INDEX(FixedAssets[Depreciation
/ Amortization Months],_xlfn.XMATCH($E$237,FixedAssets[Asset ID])),IF(AND((_xlfn.XMATCH(BO$8,$AH$8:$CC$8))-_xlfn.XMATCH($C239,$C$35:$C$82)+1&lt;=_xlpm.DepreciationMonths,$C239&lt;=BO$8),$E239/_xlpm.DepreciationMonths,0))</f>
        <v>132.51666666666668</v>
      </c>
      <c r="BP239" s="507" cm="1">
        <f t="array" ref="BP239">_xlfn.LET(_xlpm.DepreciationMonths,INDEX(FixedAssets[Depreciation
/ Amortization Months],_xlfn.XMATCH($E$237,FixedAssets[Asset ID])),IF(AND((_xlfn.XMATCH(BP$8,$AH$8:$CC$8))-_xlfn.XMATCH($C239,$C$35:$C$82)+1&lt;=_xlpm.DepreciationMonths,$C239&lt;=BP$8),$E239/_xlpm.DepreciationMonths,0))</f>
        <v>132.51666666666668</v>
      </c>
      <c r="BQ239" s="507" cm="1">
        <f t="array" ref="BQ239">_xlfn.LET(_xlpm.DepreciationMonths,INDEX(FixedAssets[Depreciation
/ Amortization Months],_xlfn.XMATCH($E$237,FixedAssets[Asset ID])),IF(AND((_xlfn.XMATCH(BQ$8,$AH$8:$CC$8))-_xlfn.XMATCH($C239,$C$35:$C$82)+1&lt;=_xlpm.DepreciationMonths,$C239&lt;=BQ$8),$E239/_xlpm.DepreciationMonths,0))</f>
        <v>132.51666666666668</v>
      </c>
      <c r="BR239" s="507" cm="1">
        <f t="array" ref="BR239">_xlfn.LET(_xlpm.DepreciationMonths,INDEX(FixedAssets[Depreciation
/ Amortization Months],_xlfn.XMATCH($E$237,FixedAssets[Asset ID])),IF(AND((_xlfn.XMATCH(BR$8,$AH$8:$CC$8))-_xlfn.XMATCH($C239,$C$35:$C$82)+1&lt;=_xlpm.DepreciationMonths,$C239&lt;=BR$8),$E239/_xlpm.DepreciationMonths,0))</f>
        <v>132.51666666666668</v>
      </c>
      <c r="BS239" s="507" cm="1">
        <f t="array" ref="BS239">_xlfn.LET(_xlpm.DepreciationMonths,INDEX(FixedAssets[Depreciation
/ Amortization Months],_xlfn.XMATCH($E$237,FixedAssets[Asset ID])),IF(AND((_xlfn.XMATCH(BS$8,$AH$8:$CC$8))-_xlfn.XMATCH($C239,$C$35:$C$82)+1&lt;=_xlpm.DepreciationMonths,$C239&lt;=BS$8),$E239/_xlpm.DepreciationMonths,0))</f>
        <v>132.51666666666668</v>
      </c>
      <c r="BT239" s="507" cm="1">
        <f t="array" ref="BT239">_xlfn.LET(_xlpm.DepreciationMonths,INDEX(FixedAssets[Depreciation
/ Amortization Months],_xlfn.XMATCH($E$237,FixedAssets[Asset ID])),IF(AND((_xlfn.XMATCH(BT$8,$AH$8:$CC$8))-_xlfn.XMATCH($C239,$C$35:$C$82)+1&lt;=_xlpm.DepreciationMonths,$C239&lt;=BT$8),$E239/_xlpm.DepreciationMonths,0))</f>
        <v>132.51666666666668</v>
      </c>
      <c r="BU239" s="507" cm="1">
        <f t="array" ref="BU239">_xlfn.LET(_xlpm.DepreciationMonths,INDEX(FixedAssets[Depreciation
/ Amortization Months],_xlfn.XMATCH($E$237,FixedAssets[Asset ID])),IF(AND((_xlfn.XMATCH(BU$8,$AH$8:$CC$8))-_xlfn.XMATCH($C239,$C$35:$C$82)+1&lt;=_xlpm.DepreciationMonths,$C239&lt;=BU$8),$E239/_xlpm.DepreciationMonths,0))</f>
        <v>132.51666666666668</v>
      </c>
      <c r="BV239" s="507" cm="1">
        <f t="array" ref="BV239">_xlfn.LET(_xlpm.DepreciationMonths,INDEX(FixedAssets[Depreciation
/ Amortization Months],_xlfn.XMATCH($E$237,FixedAssets[Asset ID])),IF(AND((_xlfn.XMATCH(BV$8,$AH$8:$CC$8))-_xlfn.XMATCH($C239,$C$35:$C$82)+1&lt;=_xlpm.DepreciationMonths,$C239&lt;=BV$8),$E239/_xlpm.DepreciationMonths,0))</f>
        <v>132.51666666666668</v>
      </c>
      <c r="BW239" s="507" cm="1">
        <f t="array" ref="BW239">_xlfn.LET(_xlpm.DepreciationMonths,INDEX(FixedAssets[Depreciation
/ Amortization Months],_xlfn.XMATCH($E$237,FixedAssets[Asset ID])),IF(AND((_xlfn.XMATCH(BW$8,$AH$8:$CC$8))-_xlfn.XMATCH($C239,$C$35:$C$82)+1&lt;=_xlpm.DepreciationMonths,$C239&lt;=BW$8),$E239/_xlpm.DepreciationMonths,0))</f>
        <v>132.51666666666668</v>
      </c>
      <c r="BX239" s="507" cm="1">
        <f t="array" ref="BX239">_xlfn.LET(_xlpm.DepreciationMonths,INDEX(FixedAssets[Depreciation
/ Amortization Months],_xlfn.XMATCH($E$237,FixedAssets[Asset ID])),IF(AND((_xlfn.XMATCH(BX$8,$AH$8:$CC$8))-_xlfn.XMATCH($C239,$C$35:$C$82)+1&lt;=_xlpm.DepreciationMonths,$C239&lt;=BX$8),$E239/_xlpm.DepreciationMonths,0))</f>
        <v>132.51666666666668</v>
      </c>
      <c r="BY239" s="507" cm="1">
        <f t="array" ref="BY239">_xlfn.LET(_xlpm.DepreciationMonths,INDEX(FixedAssets[Depreciation
/ Amortization Months],_xlfn.XMATCH($E$237,FixedAssets[Asset ID])),IF(AND((_xlfn.XMATCH(BY$8,$AH$8:$CC$8))-_xlfn.XMATCH($C239,$C$35:$C$82)+1&lt;=_xlpm.DepreciationMonths,$C239&lt;=BY$8),$E239/_xlpm.DepreciationMonths,0))</f>
        <v>132.51666666666668</v>
      </c>
      <c r="BZ239" s="507" cm="1">
        <f t="array" ref="BZ239">_xlfn.LET(_xlpm.DepreciationMonths,INDEX(FixedAssets[Depreciation
/ Amortization Months],_xlfn.XMATCH($E$237,FixedAssets[Asset ID])),IF(AND((_xlfn.XMATCH(BZ$8,$AH$8:$CC$8))-_xlfn.XMATCH($C239,$C$35:$C$82)+1&lt;=_xlpm.DepreciationMonths,$C239&lt;=BZ$8),$E239/_xlpm.DepreciationMonths,0))</f>
        <v>132.51666666666668</v>
      </c>
      <c r="CA239" s="507" cm="1">
        <f t="array" ref="CA239">_xlfn.LET(_xlpm.DepreciationMonths,INDEX(FixedAssets[Depreciation
/ Amortization Months],_xlfn.XMATCH($E$237,FixedAssets[Asset ID])),IF(AND((_xlfn.XMATCH(CA$8,$AH$8:$CC$8))-_xlfn.XMATCH($C239,$C$35:$C$82)+1&lt;=_xlpm.DepreciationMonths,$C239&lt;=CA$8),$E239/_xlpm.DepreciationMonths,0))</f>
        <v>132.51666666666668</v>
      </c>
      <c r="CB239" s="507" cm="1">
        <f t="array" ref="CB239">_xlfn.LET(_xlpm.DepreciationMonths,INDEX(FixedAssets[Depreciation
/ Amortization Months],_xlfn.XMATCH($E$237,FixedAssets[Asset ID])),IF(AND((_xlfn.XMATCH(CB$8,$AH$8:$CC$8))-_xlfn.XMATCH($C239,$C$35:$C$82)+1&lt;=_xlpm.DepreciationMonths,$C239&lt;=CB$8),$E239/_xlpm.DepreciationMonths,0))</f>
        <v>132.51666666666668</v>
      </c>
      <c r="CC239" s="507" cm="1">
        <f t="array" ref="CC239">_xlfn.LET(_xlpm.DepreciationMonths,INDEX(FixedAssets[Depreciation
/ Amortization Months],_xlfn.XMATCH($E$237,FixedAssets[Asset ID])),IF(AND((_xlfn.XMATCH(CC$8,$AH$8:$CC$8))-_xlfn.XMATCH($C239,$C$35:$C$82)+1&lt;=_xlpm.DepreciationMonths,$C239&lt;=CC$8),$E239/_xlpm.DepreciationMonths,0))</f>
        <v>132.51666666666668</v>
      </c>
    </row>
    <row r="240" spans="3:81" hidden="1" outlineLevel="2">
      <c r="C240" s="664">
        <f t="shared" ref="C240:C286" si="267">EOMONTH(C239,1)</f>
        <v>44985</v>
      </c>
      <c r="D240" s="508"/>
      <c r="E240" s="508" cm="1">
        <f t="array" ref="E240">SUMPRODUCT(($AH$26:$CC$31)*($AH$5:$CC$5=$C240)*($E$26:$E$31=E$237))-SUMPRODUCT(($AH$26:$CC$31)*($AH$5:$CC$5=EOMONTH($C240,-1))*($E$26:$E$31=E$237))</f>
        <v>0</v>
      </c>
      <c r="F240" s="508"/>
      <c r="G240" s="508"/>
      <c r="H240" s="508"/>
      <c r="I240" s="508"/>
      <c r="J240" s="504">
        <f t="shared" si="265"/>
        <v>0</v>
      </c>
      <c r="K240" s="504">
        <f t="shared" si="265"/>
        <v>0</v>
      </c>
      <c r="L240" s="504">
        <f t="shared" si="265"/>
        <v>0</v>
      </c>
      <c r="M240" s="504">
        <f t="shared" si="265"/>
        <v>0</v>
      </c>
      <c r="N240" s="504"/>
      <c r="O240" s="504"/>
      <c r="P240" s="504">
        <f t="shared" si="266"/>
        <v>0</v>
      </c>
      <c r="Q240" s="504">
        <f t="shared" si="266"/>
        <v>0</v>
      </c>
      <c r="R240" s="504">
        <f t="shared" si="266"/>
        <v>0</v>
      </c>
      <c r="S240" s="504">
        <f t="shared" si="266"/>
        <v>0</v>
      </c>
      <c r="T240" s="504">
        <f t="shared" si="266"/>
        <v>0</v>
      </c>
      <c r="U240" s="504">
        <f t="shared" si="266"/>
        <v>0</v>
      </c>
      <c r="V240" s="504">
        <f t="shared" si="266"/>
        <v>0</v>
      </c>
      <c r="W240" s="504">
        <f t="shared" si="266"/>
        <v>0</v>
      </c>
      <c r="X240" s="504">
        <f t="shared" si="266"/>
        <v>0</v>
      </c>
      <c r="Y240" s="504">
        <f t="shared" si="266"/>
        <v>0</v>
      </c>
      <c r="Z240" s="504">
        <f t="shared" si="266"/>
        <v>0</v>
      </c>
      <c r="AA240" s="504">
        <f t="shared" si="266"/>
        <v>0</v>
      </c>
      <c r="AB240" s="504">
        <f t="shared" si="266"/>
        <v>0</v>
      </c>
      <c r="AC240" s="504">
        <f t="shared" si="266"/>
        <v>0</v>
      </c>
      <c r="AD240" s="504">
        <f t="shared" si="266"/>
        <v>0</v>
      </c>
      <c r="AE240" s="504">
        <f t="shared" si="266"/>
        <v>0</v>
      </c>
      <c r="AF240" s="508"/>
      <c r="AG240" s="508"/>
      <c r="AH240" s="507" cm="1">
        <f t="array" ref="AH240">_xlfn.LET(_xlpm.DepreciationMonths,INDEX(FixedAssets[Depreciation
/ Amortization Months],_xlfn.XMATCH($E$237,FixedAssets[Asset ID])),IF(AND((_xlfn.XMATCH(AH$8,$AH$8:$CC$8))-_xlfn.XMATCH($C240,$C$35:$C$82)+1&lt;=_xlpm.DepreciationMonths,$C240&lt;=AH$8),$E240/_xlpm.DepreciationMonths,0))</f>
        <v>0</v>
      </c>
      <c r="AI240" s="507" cm="1">
        <f t="array" ref="AI240">_xlfn.LET(_xlpm.DepreciationMonths,INDEX(FixedAssets[Depreciation
/ Amortization Months],_xlfn.XMATCH($E$237,FixedAssets[Asset ID])),IF(AND((_xlfn.XMATCH(AI$8,$AH$8:$CC$8))-_xlfn.XMATCH($C240,$C$35:$C$82)+1&lt;=_xlpm.DepreciationMonths,$C240&lt;=AI$8),$E240/_xlpm.DepreciationMonths,0))</f>
        <v>0</v>
      </c>
      <c r="AJ240" s="507" cm="1">
        <f t="array" ref="AJ240">_xlfn.LET(_xlpm.DepreciationMonths,INDEX(FixedAssets[Depreciation
/ Amortization Months],_xlfn.XMATCH($E$237,FixedAssets[Asset ID])),IF(AND((_xlfn.XMATCH(AJ$8,$AH$8:$CC$8))-_xlfn.XMATCH($C240,$C$35:$C$82)+1&lt;=_xlpm.DepreciationMonths,$C240&lt;=AJ$8),$E240/_xlpm.DepreciationMonths,0))</f>
        <v>0</v>
      </c>
      <c r="AK240" s="507" cm="1">
        <f t="array" ref="AK240">_xlfn.LET(_xlpm.DepreciationMonths,INDEX(FixedAssets[Depreciation
/ Amortization Months],_xlfn.XMATCH($E$237,FixedAssets[Asset ID])),IF(AND((_xlfn.XMATCH(AK$8,$AH$8:$CC$8))-_xlfn.XMATCH($C240,$C$35:$C$82)+1&lt;=_xlpm.DepreciationMonths,$C240&lt;=AK$8),$E240/_xlpm.DepreciationMonths,0))</f>
        <v>0</v>
      </c>
      <c r="AL240" s="507" cm="1">
        <f t="array" ref="AL240">_xlfn.LET(_xlpm.DepreciationMonths,INDEX(FixedAssets[Depreciation
/ Amortization Months],_xlfn.XMATCH($E$237,FixedAssets[Asset ID])),IF(AND((_xlfn.XMATCH(AL$8,$AH$8:$CC$8))-_xlfn.XMATCH($C240,$C$35:$C$82)+1&lt;=_xlpm.DepreciationMonths,$C240&lt;=AL$8),$E240/_xlpm.DepreciationMonths,0))</f>
        <v>0</v>
      </c>
      <c r="AM240" s="507" cm="1">
        <f t="array" ref="AM240">_xlfn.LET(_xlpm.DepreciationMonths,INDEX(FixedAssets[Depreciation
/ Amortization Months],_xlfn.XMATCH($E$237,FixedAssets[Asset ID])),IF(AND((_xlfn.XMATCH(AM$8,$AH$8:$CC$8))-_xlfn.XMATCH($C240,$C$35:$C$82)+1&lt;=_xlpm.DepreciationMonths,$C240&lt;=AM$8),$E240/_xlpm.DepreciationMonths,0))</f>
        <v>0</v>
      </c>
      <c r="AN240" s="507" cm="1">
        <f t="array" ref="AN240">_xlfn.LET(_xlpm.DepreciationMonths,INDEX(FixedAssets[Depreciation
/ Amortization Months],_xlfn.XMATCH($E$237,FixedAssets[Asset ID])),IF(AND((_xlfn.XMATCH(AN$8,$AH$8:$CC$8))-_xlfn.XMATCH($C240,$C$35:$C$82)+1&lt;=_xlpm.DepreciationMonths,$C240&lt;=AN$8),$E240/_xlpm.DepreciationMonths,0))</f>
        <v>0</v>
      </c>
      <c r="AO240" s="507" cm="1">
        <f t="array" ref="AO240">_xlfn.LET(_xlpm.DepreciationMonths,INDEX(FixedAssets[Depreciation
/ Amortization Months],_xlfn.XMATCH($E$237,FixedAssets[Asset ID])),IF(AND((_xlfn.XMATCH(AO$8,$AH$8:$CC$8))-_xlfn.XMATCH($C240,$C$35:$C$82)+1&lt;=_xlpm.DepreciationMonths,$C240&lt;=AO$8),$E240/_xlpm.DepreciationMonths,0))</f>
        <v>0</v>
      </c>
      <c r="AP240" s="507" cm="1">
        <f t="array" ref="AP240">_xlfn.LET(_xlpm.DepreciationMonths,INDEX(FixedAssets[Depreciation
/ Amortization Months],_xlfn.XMATCH($E$237,FixedAssets[Asset ID])),IF(AND((_xlfn.XMATCH(AP$8,$AH$8:$CC$8))-_xlfn.XMATCH($C240,$C$35:$C$82)+1&lt;=_xlpm.DepreciationMonths,$C240&lt;=AP$8),$E240/_xlpm.DepreciationMonths,0))</f>
        <v>0</v>
      </c>
      <c r="AQ240" s="507" cm="1">
        <f t="array" ref="AQ240">_xlfn.LET(_xlpm.DepreciationMonths,INDEX(FixedAssets[Depreciation
/ Amortization Months],_xlfn.XMATCH($E$237,FixedAssets[Asset ID])),IF(AND((_xlfn.XMATCH(AQ$8,$AH$8:$CC$8))-_xlfn.XMATCH($C240,$C$35:$C$82)+1&lt;=_xlpm.DepreciationMonths,$C240&lt;=AQ$8),$E240/_xlpm.DepreciationMonths,0))</f>
        <v>0</v>
      </c>
      <c r="AR240" s="507" cm="1">
        <f t="array" ref="AR240">_xlfn.LET(_xlpm.DepreciationMonths,INDEX(FixedAssets[Depreciation
/ Amortization Months],_xlfn.XMATCH($E$237,FixedAssets[Asset ID])),IF(AND((_xlfn.XMATCH(AR$8,$AH$8:$CC$8))-_xlfn.XMATCH($C240,$C$35:$C$82)+1&lt;=_xlpm.DepreciationMonths,$C240&lt;=AR$8),$E240/_xlpm.DepreciationMonths,0))</f>
        <v>0</v>
      </c>
      <c r="AS240" s="507" cm="1">
        <f t="array" ref="AS240">_xlfn.LET(_xlpm.DepreciationMonths,INDEX(FixedAssets[Depreciation
/ Amortization Months],_xlfn.XMATCH($E$237,FixedAssets[Asset ID])),IF(AND((_xlfn.XMATCH(AS$8,$AH$8:$CC$8))-_xlfn.XMATCH($C240,$C$35:$C$82)+1&lt;=_xlpm.DepreciationMonths,$C240&lt;=AS$8),$E240/_xlpm.DepreciationMonths,0))</f>
        <v>0</v>
      </c>
      <c r="AT240" s="507" cm="1">
        <f t="array" ref="AT240">_xlfn.LET(_xlpm.DepreciationMonths,INDEX(FixedAssets[Depreciation
/ Amortization Months],_xlfn.XMATCH($E$237,FixedAssets[Asset ID])),IF(AND((_xlfn.XMATCH(AT$8,$AH$8:$CC$8))-_xlfn.XMATCH($C240,$C$35:$C$82)+1&lt;=_xlpm.DepreciationMonths,$C240&lt;=AT$8),$E240/_xlpm.DepreciationMonths,0))</f>
        <v>0</v>
      </c>
      <c r="AU240" s="507" cm="1">
        <f t="array" ref="AU240">_xlfn.LET(_xlpm.DepreciationMonths,INDEX(FixedAssets[Depreciation
/ Amortization Months],_xlfn.XMATCH($E$237,FixedAssets[Asset ID])),IF(AND((_xlfn.XMATCH(AU$8,$AH$8:$CC$8))-_xlfn.XMATCH($C240,$C$35:$C$82)+1&lt;=_xlpm.DepreciationMonths,$C240&lt;=AU$8),$E240/_xlpm.DepreciationMonths,0))</f>
        <v>0</v>
      </c>
      <c r="AV240" s="507" cm="1">
        <f t="array" ref="AV240">_xlfn.LET(_xlpm.DepreciationMonths,INDEX(FixedAssets[Depreciation
/ Amortization Months],_xlfn.XMATCH($E$237,FixedAssets[Asset ID])),IF(AND((_xlfn.XMATCH(AV$8,$AH$8:$CC$8))-_xlfn.XMATCH($C240,$C$35:$C$82)+1&lt;=_xlpm.DepreciationMonths,$C240&lt;=AV$8),$E240/_xlpm.DepreciationMonths,0))</f>
        <v>0</v>
      </c>
      <c r="AW240" s="507" cm="1">
        <f t="array" ref="AW240">_xlfn.LET(_xlpm.DepreciationMonths,INDEX(FixedAssets[Depreciation
/ Amortization Months],_xlfn.XMATCH($E$237,FixedAssets[Asset ID])),IF(AND((_xlfn.XMATCH(AW$8,$AH$8:$CC$8))-_xlfn.XMATCH($C240,$C$35:$C$82)+1&lt;=_xlpm.DepreciationMonths,$C240&lt;=AW$8),$E240/_xlpm.DepreciationMonths,0))</f>
        <v>0</v>
      </c>
      <c r="AX240" s="507" cm="1">
        <f t="array" ref="AX240">_xlfn.LET(_xlpm.DepreciationMonths,INDEX(FixedAssets[Depreciation
/ Amortization Months],_xlfn.XMATCH($E$237,FixedAssets[Asset ID])),IF(AND((_xlfn.XMATCH(AX$8,$AH$8:$CC$8))-_xlfn.XMATCH($C240,$C$35:$C$82)+1&lt;=_xlpm.DepreciationMonths,$C240&lt;=AX$8),$E240/_xlpm.DepreciationMonths,0))</f>
        <v>0</v>
      </c>
      <c r="AY240" s="507" cm="1">
        <f t="array" ref="AY240">_xlfn.LET(_xlpm.DepreciationMonths,INDEX(FixedAssets[Depreciation
/ Amortization Months],_xlfn.XMATCH($E$237,FixedAssets[Asset ID])),IF(AND((_xlfn.XMATCH(AY$8,$AH$8:$CC$8))-_xlfn.XMATCH($C240,$C$35:$C$82)+1&lt;=_xlpm.DepreciationMonths,$C240&lt;=AY$8),$E240/_xlpm.DepreciationMonths,0))</f>
        <v>0</v>
      </c>
      <c r="AZ240" s="507" cm="1">
        <f t="array" ref="AZ240">_xlfn.LET(_xlpm.DepreciationMonths,INDEX(FixedAssets[Depreciation
/ Amortization Months],_xlfn.XMATCH($E$237,FixedAssets[Asset ID])),IF(AND((_xlfn.XMATCH(AZ$8,$AH$8:$CC$8))-_xlfn.XMATCH($C240,$C$35:$C$82)+1&lt;=_xlpm.DepreciationMonths,$C240&lt;=AZ$8),$E240/_xlpm.DepreciationMonths,0))</f>
        <v>0</v>
      </c>
      <c r="BA240" s="507" cm="1">
        <f t="array" ref="BA240">_xlfn.LET(_xlpm.DepreciationMonths,INDEX(FixedAssets[Depreciation
/ Amortization Months],_xlfn.XMATCH($E$237,FixedAssets[Asset ID])),IF(AND((_xlfn.XMATCH(BA$8,$AH$8:$CC$8))-_xlfn.XMATCH($C240,$C$35:$C$82)+1&lt;=_xlpm.DepreciationMonths,$C240&lt;=BA$8),$E240/_xlpm.DepreciationMonths,0))</f>
        <v>0</v>
      </c>
      <c r="BB240" s="507" cm="1">
        <f t="array" ref="BB240">_xlfn.LET(_xlpm.DepreciationMonths,INDEX(FixedAssets[Depreciation
/ Amortization Months],_xlfn.XMATCH($E$237,FixedAssets[Asset ID])),IF(AND((_xlfn.XMATCH(BB$8,$AH$8:$CC$8))-_xlfn.XMATCH($C240,$C$35:$C$82)+1&lt;=_xlpm.DepreciationMonths,$C240&lt;=BB$8),$E240/_xlpm.DepreciationMonths,0))</f>
        <v>0</v>
      </c>
      <c r="BC240" s="507" cm="1">
        <f t="array" ref="BC240">_xlfn.LET(_xlpm.DepreciationMonths,INDEX(FixedAssets[Depreciation
/ Amortization Months],_xlfn.XMATCH($E$237,FixedAssets[Asset ID])),IF(AND((_xlfn.XMATCH(BC$8,$AH$8:$CC$8))-_xlfn.XMATCH($C240,$C$35:$C$82)+1&lt;=_xlpm.DepreciationMonths,$C240&lt;=BC$8),$E240/_xlpm.DepreciationMonths,0))</f>
        <v>0</v>
      </c>
      <c r="BD240" s="507" cm="1">
        <f t="array" ref="BD240">_xlfn.LET(_xlpm.DepreciationMonths,INDEX(FixedAssets[Depreciation
/ Amortization Months],_xlfn.XMATCH($E$237,FixedAssets[Asset ID])),IF(AND((_xlfn.XMATCH(BD$8,$AH$8:$CC$8))-_xlfn.XMATCH($C240,$C$35:$C$82)+1&lt;=_xlpm.DepreciationMonths,$C240&lt;=BD$8),$E240/_xlpm.DepreciationMonths,0))</f>
        <v>0</v>
      </c>
      <c r="BE240" s="507" cm="1">
        <f t="array" ref="BE240">_xlfn.LET(_xlpm.DepreciationMonths,INDEX(FixedAssets[Depreciation
/ Amortization Months],_xlfn.XMATCH($E$237,FixedAssets[Asset ID])),IF(AND((_xlfn.XMATCH(BE$8,$AH$8:$CC$8))-_xlfn.XMATCH($C240,$C$35:$C$82)+1&lt;=_xlpm.DepreciationMonths,$C240&lt;=BE$8),$E240/_xlpm.DepreciationMonths,0))</f>
        <v>0</v>
      </c>
      <c r="BF240" s="507" cm="1">
        <f t="array" ref="BF240">_xlfn.LET(_xlpm.DepreciationMonths,INDEX(FixedAssets[Depreciation
/ Amortization Months],_xlfn.XMATCH($E$237,FixedAssets[Asset ID])),IF(AND((_xlfn.XMATCH(BF$8,$AH$8:$CC$8))-_xlfn.XMATCH($C240,$C$35:$C$82)+1&lt;=_xlpm.DepreciationMonths,$C240&lt;=BF$8),$E240/_xlpm.DepreciationMonths,0))</f>
        <v>0</v>
      </c>
      <c r="BG240" s="507" cm="1">
        <f t="array" ref="BG240">_xlfn.LET(_xlpm.DepreciationMonths,INDEX(FixedAssets[Depreciation
/ Amortization Months],_xlfn.XMATCH($E$237,FixedAssets[Asset ID])),IF(AND((_xlfn.XMATCH(BG$8,$AH$8:$CC$8))-_xlfn.XMATCH($C240,$C$35:$C$82)+1&lt;=_xlpm.DepreciationMonths,$C240&lt;=BG$8),$E240/_xlpm.DepreciationMonths,0))</f>
        <v>0</v>
      </c>
      <c r="BH240" s="507" cm="1">
        <f t="array" ref="BH240">_xlfn.LET(_xlpm.DepreciationMonths,INDEX(FixedAssets[Depreciation
/ Amortization Months],_xlfn.XMATCH($E$237,FixedAssets[Asset ID])),IF(AND((_xlfn.XMATCH(BH$8,$AH$8:$CC$8))-_xlfn.XMATCH($C240,$C$35:$C$82)+1&lt;=_xlpm.DepreciationMonths,$C240&lt;=BH$8),$E240/_xlpm.DepreciationMonths,0))</f>
        <v>0</v>
      </c>
      <c r="BI240" s="507" cm="1">
        <f t="array" ref="BI240">_xlfn.LET(_xlpm.DepreciationMonths,INDEX(FixedAssets[Depreciation
/ Amortization Months],_xlfn.XMATCH($E$237,FixedAssets[Asset ID])),IF(AND((_xlfn.XMATCH(BI$8,$AH$8:$CC$8))-_xlfn.XMATCH($C240,$C$35:$C$82)+1&lt;=_xlpm.DepreciationMonths,$C240&lt;=BI$8),$E240/_xlpm.DepreciationMonths,0))</f>
        <v>0</v>
      </c>
      <c r="BJ240" s="507" cm="1">
        <f t="array" ref="BJ240">_xlfn.LET(_xlpm.DepreciationMonths,INDEX(FixedAssets[Depreciation
/ Amortization Months],_xlfn.XMATCH($E$237,FixedAssets[Asset ID])),IF(AND((_xlfn.XMATCH(BJ$8,$AH$8:$CC$8))-_xlfn.XMATCH($C240,$C$35:$C$82)+1&lt;=_xlpm.DepreciationMonths,$C240&lt;=BJ$8),$E240/_xlpm.DepreciationMonths,0))</f>
        <v>0</v>
      </c>
      <c r="BK240" s="507" cm="1">
        <f t="array" ref="BK240">_xlfn.LET(_xlpm.DepreciationMonths,INDEX(FixedAssets[Depreciation
/ Amortization Months],_xlfn.XMATCH($E$237,FixedAssets[Asset ID])),IF(AND((_xlfn.XMATCH(BK$8,$AH$8:$CC$8))-_xlfn.XMATCH($C240,$C$35:$C$82)+1&lt;=_xlpm.DepreciationMonths,$C240&lt;=BK$8),$E240/_xlpm.DepreciationMonths,0))</f>
        <v>0</v>
      </c>
      <c r="BL240" s="507" cm="1">
        <f t="array" ref="BL240">_xlfn.LET(_xlpm.DepreciationMonths,INDEX(FixedAssets[Depreciation
/ Amortization Months],_xlfn.XMATCH($E$237,FixedAssets[Asset ID])),IF(AND((_xlfn.XMATCH(BL$8,$AH$8:$CC$8))-_xlfn.XMATCH($C240,$C$35:$C$82)+1&lt;=_xlpm.DepreciationMonths,$C240&lt;=BL$8),$E240/_xlpm.DepreciationMonths,0))</f>
        <v>0</v>
      </c>
      <c r="BM240" s="507" cm="1">
        <f t="array" ref="BM240">_xlfn.LET(_xlpm.DepreciationMonths,INDEX(FixedAssets[Depreciation
/ Amortization Months],_xlfn.XMATCH($E$237,FixedAssets[Asset ID])),IF(AND((_xlfn.XMATCH(BM$8,$AH$8:$CC$8))-_xlfn.XMATCH($C240,$C$35:$C$82)+1&lt;=_xlpm.DepreciationMonths,$C240&lt;=BM$8),$E240/_xlpm.DepreciationMonths,0))</f>
        <v>0</v>
      </c>
      <c r="BN240" s="507" cm="1">
        <f t="array" ref="BN240">_xlfn.LET(_xlpm.DepreciationMonths,INDEX(FixedAssets[Depreciation
/ Amortization Months],_xlfn.XMATCH($E$237,FixedAssets[Asset ID])),IF(AND((_xlfn.XMATCH(BN$8,$AH$8:$CC$8))-_xlfn.XMATCH($C240,$C$35:$C$82)+1&lt;=_xlpm.DepreciationMonths,$C240&lt;=BN$8),$E240/_xlpm.DepreciationMonths,0))</f>
        <v>0</v>
      </c>
      <c r="BO240" s="507" cm="1">
        <f t="array" ref="BO240">_xlfn.LET(_xlpm.DepreciationMonths,INDEX(FixedAssets[Depreciation
/ Amortization Months],_xlfn.XMATCH($E$237,FixedAssets[Asset ID])),IF(AND((_xlfn.XMATCH(BO$8,$AH$8:$CC$8))-_xlfn.XMATCH($C240,$C$35:$C$82)+1&lt;=_xlpm.DepreciationMonths,$C240&lt;=BO$8),$E240/_xlpm.DepreciationMonths,0))</f>
        <v>0</v>
      </c>
      <c r="BP240" s="507" cm="1">
        <f t="array" ref="BP240">_xlfn.LET(_xlpm.DepreciationMonths,INDEX(FixedAssets[Depreciation
/ Amortization Months],_xlfn.XMATCH($E$237,FixedAssets[Asset ID])),IF(AND((_xlfn.XMATCH(BP$8,$AH$8:$CC$8))-_xlfn.XMATCH($C240,$C$35:$C$82)+1&lt;=_xlpm.DepreciationMonths,$C240&lt;=BP$8),$E240/_xlpm.DepreciationMonths,0))</f>
        <v>0</v>
      </c>
      <c r="BQ240" s="507" cm="1">
        <f t="array" ref="BQ240">_xlfn.LET(_xlpm.DepreciationMonths,INDEX(FixedAssets[Depreciation
/ Amortization Months],_xlfn.XMATCH($E$237,FixedAssets[Asset ID])),IF(AND((_xlfn.XMATCH(BQ$8,$AH$8:$CC$8))-_xlfn.XMATCH($C240,$C$35:$C$82)+1&lt;=_xlpm.DepreciationMonths,$C240&lt;=BQ$8),$E240/_xlpm.DepreciationMonths,0))</f>
        <v>0</v>
      </c>
      <c r="BR240" s="507" cm="1">
        <f t="array" ref="BR240">_xlfn.LET(_xlpm.DepreciationMonths,INDEX(FixedAssets[Depreciation
/ Amortization Months],_xlfn.XMATCH($E$237,FixedAssets[Asset ID])),IF(AND((_xlfn.XMATCH(BR$8,$AH$8:$CC$8))-_xlfn.XMATCH($C240,$C$35:$C$82)+1&lt;=_xlpm.DepreciationMonths,$C240&lt;=BR$8),$E240/_xlpm.DepreciationMonths,0))</f>
        <v>0</v>
      </c>
      <c r="BS240" s="507" cm="1">
        <f t="array" ref="BS240">_xlfn.LET(_xlpm.DepreciationMonths,INDEX(FixedAssets[Depreciation
/ Amortization Months],_xlfn.XMATCH($E$237,FixedAssets[Asset ID])),IF(AND((_xlfn.XMATCH(BS$8,$AH$8:$CC$8))-_xlfn.XMATCH($C240,$C$35:$C$82)+1&lt;=_xlpm.DepreciationMonths,$C240&lt;=BS$8),$E240/_xlpm.DepreciationMonths,0))</f>
        <v>0</v>
      </c>
      <c r="BT240" s="507" cm="1">
        <f t="array" ref="BT240">_xlfn.LET(_xlpm.DepreciationMonths,INDEX(FixedAssets[Depreciation
/ Amortization Months],_xlfn.XMATCH($E$237,FixedAssets[Asset ID])),IF(AND((_xlfn.XMATCH(BT$8,$AH$8:$CC$8))-_xlfn.XMATCH($C240,$C$35:$C$82)+1&lt;=_xlpm.DepreciationMonths,$C240&lt;=BT$8),$E240/_xlpm.DepreciationMonths,0))</f>
        <v>0</v>
      </c>
      <c r="BU240" s="507" cm="1">
        <f t="array" ref="BU240">_xlfn.LET(_xlpm.DepreciationMonths,INDEX(FixedAssets[Depreciation
/ Amortization Months],_xlfn.XMATCH($E$237,FixedAssets[Asset ID])),IF(AND((_xlfn.XMATCH(BU$8,$AH$8:$CC$8))-_xlfn.XMATCH($C240,$C$35:$C$82)+1&lt;=_xlpm.DepreciationMonths,$C240&lt;=BU$8),$E240/_xlpm.DepreciationMonths,0))</f>
        <v>0</v>
      </c>
      <c r="BV240" s="507" cm="1">
        <f t="array" ref="BV240">_xlfn.LET(_xlpm.DepreciationMonths,INDEX(FixedAssets[Depreciation
/ Amortization Months],_xlfn.XMATCH($E$237,FixedAssets[Asset ID])),IF(AND((_xlfn.XMATCH(BV$8,$AH$8:$CC$8))-_xlfn.XMATCH($C240,$C$35:$C$82)+1&lt;=_xlpm.DepreciationMonths,$C240&lt;=BV$8),$E240/_xlpm.DepreciationMonths,0))</f>
        <v>0</v>
      </c>
      <c r="BW240" s="507" cm="1">
        <f t="array" ref="BW240">_xlfn.LET(_xlpm.DepreciationMonths,INDEX(FixedAssets[Depreciation
/ Amortization Months],_xlfn.XMATCH($E$237,FixedAssets[Asset ID])),IF(AND((_xlfn.XMATCH(BW$8,$AH$8:$CC$8))-_xlfn.XMATCH($C240,$C$35:$C$82)+1&lt;=_xlpm.DepreciationMonths,$C240&lt;=BW$8),$E240/_xlpm.DepreciationMonths,0))</f>
        <v>0</v>
      </c>
      <c r="BX240" s="507" cm="1">
        <f t="array" ref="BX240">_xlfn.LET(_xlpm.DepreciationMonths,INDEX(FixedAssets[Depreciation
/ Amortization Months],_xlfn.XMATCH($E$237,FixedAssets[Asset ID])),IF(AND((_xlfn.XMATCH(BX$8,$AH$8:$CC$8))-_xlfn.XMATCH($C240,$C$35:$C$82)+1&lt;=_xlpm.DepreciationMonths,$C240&lt;=BX$8),$E240/_xlpm.DepreciationMonths,0))</f>
        <v>0</v>
      </c>
      <c r="BY240" s="507" cm="1">
        <f t="array" ref="BY240">_xlfn.LET(_xlpm.DepreciationMonths,INDEX(FixedAssets[Depreciation
/ Amortization Months],_xlfn.XMATCH($E$237,FixedAssets[Asset ID])),IF(AND((_xlfn.XMATCH(BY$8,$AH$8:$CC$8))-_xlfn.XMATCH($C240,$C$35:$C$82)+1&lt;=_xlpm.DepreciationMonths,$C240&lt;=BY$8),$E240/_xlpm.DepreciationMonths,0))</f>
        <v>0</v>
      </c>
      <c r="BZ240" s="507" cm="1">
        <f t="array" ref="BZ240">_xlfn.LET(_xlpm.DepreciationMonths,INDEX(FixedAssets[Depreciation
/ Amortization Months],_xlfn.XMATCH($E$237,FixedAssets[Asset ID])),IF(AND((_xlfn.XMATCH(BZ$8,$AH$8:$CC$8))-_xlfn.XMATCH($C240,$C$35:$C$82)+1&lt;=_xlpm.DepreciationMonths,$C240&lt;=BZ$8),$E240/_xlpm.DepreciationMonths,0))</f>
        <v>0</v>
      </c>
      <c r="CA240" s="507" cm="1">
        <f t="array" ref="CA240">_xlfn.LET(_xlpm.DepreciationMonths,INDEX(FixedAssets[Depreciation
/ Amortization Months],_xlfn.XMATCH($E$237,FixedAssets[Asset ID])),IF(AND((_xlfn.XMATCH(CA$8,$AH$8:$CC$8))-_xlfn.XMATCH($C240,$C$35:$C$82)+1&lt;=_xlpm.DepreciationMonths,$C240&lt;=CA$8),$E240/_xlpm.DepreciationMonths,0))</f>
        <v>0</v>
      </c>
      <c r="CB240" s="507" cm="1">
        <f t="array" ref="CB240">_xlfn.LET(_xlpm.DepreciationMonths,INDEX(FixedAssets[Depreciation
/ Amortization Months],_xlfn.XMATCH($E$237,FixedAssets[Asset ID])),IF(AND((_xlfn.XMATCH(CB$8,$AH$8:$CC$8))-_xlfn.XMATCH($C240,$C$35:$C$82)+1&lt;=_xlpm.DepreciationMonths,$C240&lt;=CB$8),$E240/_xlpm.DepreciationMonths,0))</f>
        <v>0</v>
      </c>
      <c r="CC240" s="507" cm="1">
        <f t="array" ref="CC240">_xlfn.LET(_xlpm.DepreciationMonths,INDEX(FixedAssets[Depreciation
/ Amortization Months],_xlfn.XMATCH($E$237,FixedAssets[Asset ID])),IF(AND((_xlfn.XMATCH(CC$8,$AH$8:$CC$8))-_xlfn.XMATCH($C240,$C$35:$C$82)+1&lt;=_xlpm.DepreciationMonths,$C240&lt;=CC$8),$E240/_xlpm.DepreciationMonths,0))</f>
        <v>0</v>
      </c>
    </row>
    <row r="241" spans="3:81" hidden="1" outlineLevel="2">
      <c r="C241" s="664">
        <f t="shared" si="267"/>
        <v>45016</v>
      </c>
      <c r="D241" s="508"/>
      <c r="E241" s="508" cm="1">
        <f t="array" ref="E241">SUMPRODUCT(($AH$26:$CC$31)*($AH$5:$CC$5=$C241)*($E$26:$E$31=E$237))-SUMPRODUCT(($AH$26:$CC$31)*($AH$5:$CC$5=EOMONTH($C241,-1))*($E$26:$E$31=E$237))</f>
        <v>0</v>
      </c>
      <c r="F241" s="508"/>
      <c r="G241" s="508"/>
      <c r="H241" s="508"/>
      <c r="I241" s="508"/>
      <c r="J241" s="504">
        <f t="shared" si="265"/>
        <v>0</v>
      </c>
      <c r="K241" s="504">
        <f t="shared" si="265"/>
        <v>0</v>
      </c>
      <c r="L241" s="504">
        <f t="shared" si="265"/>
        <v>0</v>
      </c>
      <c r="M241" s="504">
        <f t="shared" si="265"/>
        <v>0</v>
      </c>
      <c r="N241" s="504"/>
      <c r="O241" s="504"/>
      <c r="P241" s="504">
        <f t="shared" si="266"/>
        <v>0</v>
      </c>
      <c r="Q241" s="504">
        <f t="shared" si="266"/>
        <v>0</v>
      </c>
      <c r="R241" s="504">
        <f t="shared" si="266"/>
        <v>0</v>
      </c>
      <c r="S241" s="504">
        <f t="shared" si="266"/>
        <v>0</v>
      </c>
      <c r="T241" s="504">
        <f t="shared" si="266"/>
        <v>0</v>
      </c>
      <c r="U241" s="504">
        <f t="shared" si="266"/>
        <v>0</v>
      </c>
      <c r="V241" s="504">
        <f t="shared" si="266"/>
        <v>0</v>
      </c>
      <c r="W241" s="504">
        <f t="shared" si="266"/>
        <v>0</v>
      </c>
      <c r="X241" s="504">
        <f t="shared" si="266"/>
        <v>0</v>
      </c>
      <c r="Y241" s="504">
        <f t="shared" si="266"/>
        <v>0</v>
      </c>
      <c r="Z241" s="504">
        <f t="shared" si="266"/>
        <v>0</v>
      </c>
      <c r="AA241" s="504">
        <f t="shared" si="266"/>
        <v>0</v>
      </c>
      <c r="AB241" s="504">
        <f t="shared" si="266"/>
        <v>0</v>
      </c>
      <c r="AC241" s="504">
        <f t="shared" si="266"/>
        <v>0</v>
      </c>
      <c r="AD241" s="504">
        <f t="shared" si="266"/>
        <v>0</v>
      </c>
      <c r="AE241" s="504">
        <f t="shared" si="266"/>
        <v>0</v>
      </c>
      <c r="AF241" s="508"/>
      <c r="AG241" s="508"/>
      <c r="AH241" s="507" cm="1">
        <f t="array" ref="AH241">_xlfn.LET(_xlpm.DepreciationMonths,INDEX(FixedAssets[Depreciation
/ Amortization Months],_xlfn.XMATCH($E$237,FixedAssets[Asset ID])),IF(AND((_xlfn.XMATCH(AH$8,$AH$8:$CC$8))-_xlfn.XMATCH($C241,$C$35:$C$82)+1&lt;=_xlpm.DepreciationMonths,$C241&lt;=AH$8),$E241/_xlpm.DepreciationMonths,0))</f>
        <v>0</v>
      </c>
      <c r="AI241" s="507" cm="1">
        <f t="array" ref="AI241">_xlfn.LET(_xlpm.DepreciationMonths,INDEX(FixedAssets[Depreciation
/ Amortization Months],_xlfn.XMATCH($E$237,FixedAssets[Asset ID])),IF(AND((_xlfn.XMATCH(AI$8,$AH$8:$CC$8))-_xlfn.XMATCH($C241,$C$35:$C$82)+1&lt;=_xlpm.DepreciationMonths,$C241&lt;=AI$8),$E241/_xlpm.DepreciationMonths,0))</f>
        <v>0</v>
      </c>
      <c r="AJ241" s="507" cm="1">
        <f t="array" ref="AJ241">_xlfn.LET(_xlpm.DepreciationMonths,INDEX(FixedAssets[Depreciation
/ Amortization Months],_xlfn.XMATCH($E$237,FixedAssets[Asset ID])),IF(AND((_xlfn.XMATCH(AJ$8,$AH$8:$CC$8))-_xlfn.XMATCH($C241,$C$35:$C$82)+1&lt;=_xlpm.DepreciationMonths,$C241&lt;=AJ$8),$E241/_xlpm.DepreciationMonths,0))</f>
        <v>0</v>
      </c>
      <c r="AK241" s="507" cm="1">
        <f t="array" ref="AK241">_xlfn.LET(_xlpm.DepreciationMonths,INDEX(FixedAssets[Depreciation
/ Amortization Months],_xlfn.XMATCH($E$237,FixedAssets[Asset ID])),IF(AND((_xlfn.XMATCH(AK$8,$AH$8:$CC$8))-_xlfn.XMATCH($C241,$C$35:$C$82)+1&lt;=_xlpm.DepreciationMonths,$C241&lt;=AK$8),$E241/_xlpm.DepreciationMonths,0))</f>
        <v>0</v>
      </c>
      <c r="AL241" s="507" cm="1">
        <f t="array" ref="AL241">_xlfn.LET(_xlpm.DepreciationMonths,INDEX(FixedAssets[Depreciation
/ Amortization Months],_xlfn.XMATCH($E$237,FixedAssets[Asset ID])),IF(AND((_xlfn.XMATCH(AL$8,$AH$8:$CC$8))-_xlfn.XMATCH($C241,$C$35:$C$82)+1&lt;=_xlpm.DepreciationMonths,$C241&lt;=AL$8),$E241/_xlpm.DepreciationMonths,0))</f>
        <v>0</v>
      </c>
      <c r="AM241" s="507" cm="1">
        <f t="array" ref="AM241">_xlfn.LET(_xlpm.DepreciationMonths,INDEX(FixedAssets[Depreciation
/ Amortization Months],_xlfn.XMATCH($E$237,FixedAssets[Asset ID])),IF(AND((_xlfn.XMATCH(AM$8,$AH$8:$CC$8))-_xlfn.XMATCH($C241,$C$35:$C$82)+1&lt;=_xlpm.DepreciationMonths,$C241&lt;=AM$8),$E241/_xlpm.DepreciationMonths,0))</f>
        <v>0</v>
      </c>
      <c r="AN241" s="507" cm="1">
        <f t="array" ref="AN241">_xlfn.LET(_xlpm.DepreciationMonths,INDEX(FixedAssets[Depreciation
/ Amortization Months],_xlfn.XMATCH($E$237,FixedAssets[Asset ID])),IF(AND((_xlfn.XMATCH(AN$8,$AH$8:$CC$8))-_xlfn.XMATCH($C241,$C$35:$C$82)+1&lt;=_xlpm.DepreciationMonths,$C241&lt;=AN$8),$E241/_xlpm.DepreciationMonths,0))</f>
        <v>0</v>
      </c>
      <c r="AO241" s="507" cm="1">
        <f t="array" ref="AO241">_xlfn.LET(_xlpm.DepreciationMonths,INDEX(FixedAssets[Depreciation
/ Amortization Months],_xlfn.XMATCH($E$237,FixedAssets[Asset ID])),IF(AND((_xlfn.XMATCH(AO$8,$AH$8:$CC$8))-_xlfn.XMATCH($C241,$C$35:$C$82)+1&lt;=_xlpm.DepreciationMonths,$C241&lt;=AO$8),$E241/_xlpm.DepreciationMonths,0))</f>
        <v>0</v>
      </c>
      <c r="AP241" s="507" cm="1">
        <f t="array" ref="AP241">_xlfn.LET(_xlpm.DepreciationMonths,INDEX(FixedAssets[Depreciation
/ Amortization Months],_xlfn.XMATCH($E$237,FixedAssets[Asset ID])),IF(AND((_xlfn.XMATCH(AP$8,$AH$8:$CC$8))-_xlfn.XMATCH($C241,$C$35:$C$82)+1&lt;=_xlpm.DepreciationMonths,$C241&lt;=AP$8),$E241/_xlpm.DepreciationMonths,0))</f>
        <v>0</v>
      </c>
      <c r="AQ241" s="507" cm="1">
        <f t="array" ref="AQ241">_xlfn.LET(_xlpm.DepreciationMonths,INDEX(FixedAssets[Depreciation
/ Amortization Months],_xlfn.XMATCH($E$237,FixedAssets[Asset ID])),IF(AND((_xlfn.XMATCH(AQ$8,$AH$8:$CC$8))-_xlfn.XMATCH($C241,$C$35:$C$82)+1&lt;=_xlpm.DepreciationMonths,$C241&lt;=AQ$8),$E241/_xlpm.DepreciationMonths,0))</f>
        <v>0</v>
      </c>
      <c r="AR241" s="507" cm="1">
        <f t="array" ref="AR241">_xlfn.LET(_xlpm.DepreciationMonths,INDEX(FixedAssets[Depreciation
/ Amortization Months],_xlfn.XMATCH($E$237,FixedAssets[Asset ID])),IF(AND((_xlfn.XMATCH(AR$8,$AH$8:$CC$8))-_xlfn.XMATCH($C241,$C$35:$C$82)+1&lt;=_xlpm.DepreciationMonths,$C241&lt;=AR$8),$E241/_xlpm.DepreciationMonths,0))</f>
        <v>0</v>
      </c>
      <c r="AS241" s="507" cm="1">
        <f t="array" ref="AS241">_xlfn.LET(_xlpm.DepreciationMonths,INDEX(FixedAssets[Depreciation
/ Amortization Months],_xlfn.XMATCH($E$237,FixedAssets[Asset ID])),IF(AND((_xlfn.XMATCH(AS$8,$AH$8:$CC$8))-_xlfn.XMATCH($C241,$C$35:$C$82)+1&lt;=_xlpm.DepreciationMonths,$C241&lt;=AS$8),$E241/_xlpm.DepreciationMonths,0))</f>
        <v>0</v>
      </c>
      <c r="AT241" s="507" cm="1">
        <f t="array" ref="AT241">_xlfn.LET(_xlpm.DepreciationMonths,INDEX(FixedAssets[Depreciation
/ Amortization Months],_xlfn.XMATCH($E$237,FixedAssets[Asset ID])),IF(AND((_xlfn.XMATCH(AT$8,$AH$8:$CC$8))-_xlfn.XMATCH($C241,$C$35:$C$82)+1&lt;=_xlpm.DepreciationMonths,$C241&lt;=AT$8),$E241/_xlpm.DepreciationMonths,0))</f>
        <v>0</v>
      </c>
      <c r="AU241" s="507" cm="1">
        <f t="array" ref="AU241">_xlfn.LET(_xlpm.DepreciationMonths,INDEX(FixedAssets[Depreciation
/ Amortization Months],_xlfn.XMATCH($E$237,FixedAssets[Asset ID])),IF(AND((_xlfn.XMATCH(AU$8,$AH$8:$CC$8))-_xlfn.XMATCH($C241,$C$35:$C$82)+1&lt;=_xlpm.DepreciationMonths,$C241&lt;=AU$8),$E241/_xlpm.DepreciationMonths,0))</f>
        <v>0</v>
      </c>
      <c r="AV241" s="507" cm="1">
        <f t="array" ref="AV241">_xlfn.LET(_xlpm.DepreciationMonths,INDEX(FixedAssets[Depreciation
/ Amortization Months],_xlfn.XMATCH($E$237,FixedAssets[Asset ID])),IF(AND((_xlfn.XMATCH(AV$8,$AH$8:$CC$8))-_xlfn.XMATCH($C241,$C$35:$C$82)+1&lt;=_xlpm.DepreciationMonths,$C241&lt;=AV$8),$E241/_xlpm.DepreciationMonths,0))</f>
        <v>0</v>
      </c>
      <c r="AW241" s="507" cm="1">
        <f t="array" ref="AW241">_xlfn.LET(_xlpm.DepreciationMonths,INDEX(FixedAssets[Depreciation
/ Amortization Months],_xlfn.XMATCH($E$237,FixedAssets[Asset ID])),IF(AND((_xlfn.XMATCH(AW$8,$AH$8:$CC$8))-_xlfn.XMATCH($C241,$C$35:$C$82)+1&lt;=_xlpm.DepreciationMonths,$C241&lt;=AW$8),$E241/_xlpm.DepreciationMonths,0))</f>
        <v>0</v>
      </c>
      <c r="AX241" s="507" cm="1">
        <f t="array" ref="AX241">_xlfn.LET(_xlpm.DepreciationMonths,INDEX(FixedAssets[Depreciation
/ Amortization Months],_xlfn.XMATCH($E$237,FixedAssets[Asset ID])),IF(AND((_xlfn.XMATCH(AX$8,$AH$8:$CC$8))-_xlfn.XMATCH($C241,$C$35:$C$82)+1&lt;=_xlpm.DepreciationMonths,$C241&lt;=AX$8),$E241/_xlpm.DepreciationMonths,0))</f>
        <v>0</v>
      </c>
      <c r="AY241" s="507" cm="1">
        <f t="array" ref="AY241">_xlfn.LET(_xlpm.DepreciationMonths,INDEX(FixedAssets[Depreciation
/ Amortization Months],_xlfn.XMATCH($E$237,FixedAssets[Asset ID])),IF(AND((_xlfn.XMATCH(AY$8,$AH$8:$CC$8))-_xlfn.XMATCH($C241,$C$35:$C$82)+1&lt;=_xlpm.DepreciationMonths,$C241&lt;=AY$8),$E241/_xlpm.DepreciationMonths,0))</f>
        <v>0</v>
      </c>
      <c r="AZ241" s="507" cm="1">
        <f t="array" ref="AZ241">_xlfn.LET(_xlpm.DepreciationMonths,INDEX(FixedAssets[Depreciation
/ Amortization Months],_xlfn.XMATCH($E$237,FixedAssets[Asset ID])),IF(AND((_xlfn.XMATCH(AZ$8,$AH$8:$CC$8))-_xlfn.XMATCH($C241,$C$35:$C$82)+1&lt;=_xlpm.DepreciationMonths,$C241&lt;=AZ$8),$E241/_xlpm.DepreciationMonths,0))</f>
        <v>0</v>
      </c>
      <c r="BA241" s="507" cm="1">
        <f t="array" ref="BA241">_xlfn.LET(_xlpm.DepreciationMonths,INDEX(FixedAssets[Depreciation
/ Amortization Months],_xlfn.XMATCH($E$237,FixedAssets[Asset ID])),IF(AND((_xlfn.XMATCH(BA$8,$AH$8:$CC$8))-_xlfn.XMATCH($C241,$C$35:$C$82)+1&lt;=_xlpm.DepreciationMonths,$C241&lt;=BA$8),$E241/_xlpm.DepreciationMonths,0))</f>
        <v>0</v>
      </c>
      <c r="BB241" s="507" cm="1">
        <f t="array" ref="BB241">_xlfn.LET(_xlpm.DepreciationMonths,INDEX(FixedAssets[Depreciation
/ Amortization Months],_xlfn.XMATCH($E$237,FixedAssets[Asset ID])),IF(AND((_xlfn.XMATCH(BB$8,$AH$8:$CC$8))-_xlfn.XMATCH($C241,$C$35:$C$82)+1&lt;=_xlpm.DepreciationMonths,$C241&lt;=BB$8),$E241/_xlpm.DepreciationMonths,0))</f>
        <v>0</v>
      </c>
      <c r="BC241" s="507" cm="1">
        <f t="array" ref="BC241">_xlfn.LET(_xlpm.DepreciationMonths,INDEX(FixedAssets[Depreciation
/ Amortization Months],_xlfn.XMATCH($E$237,FixedAssets[Asset ID])),IF(AND((_xlfn.XMATCH(BC$8,$AH$8:$CC$8))-_xlfn.XMATCH($C241,$C$35:$C$82)+1&lt;=_xlpm.DepreciationMonths,$C241&lt;=BC$8),$E241/_xlpm.DepreciationMonths,0))</f>
        <v>0</v>
      </c>
      <c r="BD241" s="507" cm="1">
        <f t="array" ref="BD241">_xlfn.LET(_xlpm.DepreciationMonths,INDEX(FixedAssets[Depreciation
/ Amortization Months],_xlfn.XMATCH($E$237,FixedAssets[Asset ID])),IF(AND((_xlfn.XMATCH(BD$8,$AH$8:$CC$8))-_xlfn.XMATCH($C241,$C$35:$C$82)+1&lt;=_xlpm.DepreciationMonths,$C241&lt;=BD$8),$E241/_xlpm.DepreciationMonths,0))</f>
        <v>0</v>
      </c>
      <c r="BE241" s="507" cm="1">
        <f t="array" ref="BE241">_xlfn.LET(_xlpm.DepreciationMonths,INDEX(FixedAssets[Depreciation
/ Amortization Months],_xlfn.XMATCH($E$237,FixedAssets[Asset ID])),IF(AND((_xlfn.XMATCH(BE$8,$AH$8:$CC$8))-_xlfn.XMATCH($C241,$C$35:$C$82)+1&lt;=_xlpm.DepreciationMonths,$C241&lt;=BE$8),$E241/_xlpm.DepreciationMonths,0))</f>
        <v>0</v>
      </c>
      <c r="BF241" s="507" cm="1">
        <f t="array" ref="BF241">_xlfn.LET(_xlpm.DepreciationMonths,INDEX(FixedAssets[Depreciation
/ Amortization Months],_xlfn.XMATCH($E$237,FixedAssets[Asset ID])),IF(AND((_xlfn.XMATCH(BF$8,$AH$8:$CC$8))-_xlfn.XMATCH($C241,$C$35:$C$82)+1&lt;=_xlpm.DepreciationMonths,$C241&lt;=BF$8),$E241/_xlpm.DepreciationMonths,0))</f>
        <v>0</v>
      </c>
      <c r="BG241" s="507" cm="1">
        <f t="array" ref="BG241">_xlfn.LET(_xlpm.DepreciationMonths,INDEX(FixedAssets[Depreciation
/ Amortization Months],_xlfn.XMATCH($E$237,FixedAssets[Asset ID])),IF(AND((_xlfn.XMATCH(BG$8,$AH$8:$CC$8))-_xlfn.XMATCH($C241,$C$35:$C$82)+1&lt;=_xlpm.DepreciationMonths,$C241&lt;=BG$8),$E241/_xlpm.DepreciationMonths,0))</f>
        <v>0</v>
      </c>
      <c r="BH241" s="507" cm="1">
        <f t="array" ref="BH241">_xlfn.LET(_xlpm.DepreciationMonths,INDEX(FixedAssets[Depreciation
/ Amortization Months],_xlfn.XMATCH($E$237,FixedAssets[Asset ID])),IF(AND((_xlfn.XMATCH(BH$8,$AH$8:$CC$8))-_xlfn.XMATCH($C241,$C$35:$C$82)+1&lt;=_xlpm.DepreciationMonths,$C241&lt;=BH$8),$E241/_xlpm.DepreciationMonths,0))</f>
        <v>0</v>
      </c>
      <c r="BI241" s="507" cm="1">
        <f t="array" ref="BI241">_xlfn.LET(_xlpm.DepreciationMonths,INDEX(FixedAssets[Depreciation
/ Amortization Months],_xlfn.XMATCH($E$237,FixedAssets[Asset ID])),IF(AND((_xlfn.XMATCH(BI$8,$AH$8:$CC$8))-_xlfn.XMATCH($C241,$C$35:$C$82)+1&lt;=_xlpm.DepreciationMonths,$C241&lt;=BI$8),$E241/_xlpm.DepreciationMonths,0))</f>
        <v>0</v>
      </c>
      <c r="BJ241" s="507" cm="1">
        <f t="array" ref="BJ241">_xlfn.LET(_xlpm.DepreciationMonths,INDEX(FixedAssets[Depreciation
/ Amortization Months],_xlfn.XMATCH($E$237,FixedAssets[Asset ID])),IF(AND((_xlfn.XMATCH(BJ$8,$AH$8:$CC$8))-_xlfn.XMATCH($C241,$C$35:$C$82)+1&lt;=_xlpm.DepreciationMonths,$C241&lt;=BJ$8),$E241/_xlpm.DepreciationMonths,0))</f>
        <v>0</v>
      </c>
      <c r="BK241" s="507" cm="1">
        <f t="array" ref="BK241">_xlfn.LET(_xlpm.DepreciationMonths,INDEX(FixedAssets[Depreciation
/ Amortization Months],_xlfn.XMATCH($E$237,FixedAssets[Asset ID])),IF(AND((_xlfn.XMATCH(BK$8,$AH$8:$CC$8))-_xlfn.XMATCH($C241,$C$35:$C$82)+1&lt;=_xlpm.DepreciationMonths,$C241&lt;=BK$8),$E241/_xlpm.DepreciationMonths,0))</f>
        <v>0</v>
      </c>
      <c r="BL241" s="507" cm="1">
        <f t="array" ref="BL241">_xlfn.LET(_xlpm.DepreciationMonths,INDEX(FixedAssets[Depreciation
/ Amortization Months],_xlfn.XMATCH($E$237,FixedAssets[Asset ID])),IF(AND((_xlfn.XMATCH(BL$8,$AH$8:$CC$8))-_xlfn.XMATCH($C241,$C$35:$C$82)+1&lt;=_xlpm.DepreciationMonths,$C241&lt;=BL$8),$E241/_xlpm.DepreciationMonths,0))</f>
        <v>0</v>
      </c>
      <c r="BM241" s="507" cm="1">
        <f t="array" ref="BM241">_xlfn.LET(_xlpm.DepreciationMonths,INDEX(FixedAssets[Depreciation
/ Amortization Months],_xlfn.XMATCH($E$237,FixedAssets[Asset ID])),IF(AND((_xlfn.XMATCH(BM$8,$AH$8:$CC$8))-_xlfn.XMATCH($C241,$C$35:$C$82)+1&lt;=_xlpm.DepreciationMonths,$C241&lt;=BM$8),$E241/_xlpm.DepreciationMonths,0))</f>
        <v>0</v>
      </c>
      <c r="BN241" s="507" cm="1">
        <f t="array" ref="BN241">_xlfn.LET(_xlpm.DepreciationMonths,INDEX(FixedAssets[Depreciation
/ Amortization Months],_xlfn.XMATCH($E$237,FixedAssets[Asset ID])),IF(AND((_xlfn.XMATCH(BN$8,$AH$8:$CC$8))-_xlfn.XMATCH($C241,$C$35:$C$82)+1&lt;=_xlpm.DepreciationMonths,$C241&lt;=BN$8),$E241/_xlpm.DepreciationMonths,0))</f>
        <v>0</v>
      </c>
      <c r="BO241" s="507" cm="1">
        <f t="array" ref="BO241">_xlfn.LET(_xlpm.DepreciationMonths,INDEX(FixedAssets[Depreciation
/ Amortization Months],_xlfn.XMATCH($E$237,FixedAssets[Asset ID])),IF(AND((_xlfn.XMATCH(BO$8,$AH$8:$CC$8))-_xlfn.XMATCH($C241,$C$35:$C$82)+1&lt;=_xlpm.DepreciationMonths,$C241&lt;=BO$8),$E241/_xlpm.DepreciationMonths,0))</f>
        <v>0</v>
      </c>
      <c r="BP241" s="507" cm="1">
        <f t="array" ref="BP241">_xlfn.LET(_xlpm.DepreciationMonths,INDEX(FixedAssets[Depreciation
/ Amortization Months],_xlfn.XMATCH($E$237,FixedAssets[Asset ID])),IF(AND((_xlfn.XMATCH(BP$8,$AH$8:$CC$8))-_xlfn.XMATCH($C241,$C$35:$C$82)+1&lt;=_xlpm.DepreciationMonths,$C241&lt;=BP$8),$E241/_xlpm.DepreciationMonths,0))</f>
        <v>0</v>
      </c>
      <c r="BQ241" s="507" cm="1">
        <f t="array" ref="BQ241">_xlfn.LET(_xlpm.DepreciationMonths,INDEX(FixedAssets[Depreciation
/ Amortization Months],_xlfn.XMATCH($E$237,FixedAssets[Asset ID])),IF(AND((_xlfn.XMATCH(BQ$8,$AH$8:$CC$8))-_xlfn.XMATCH($C241,$C$35:$C$82)+1&lt;=_xlpm.DepreciationMonths,$C241&lt;=BQ$8),$E241/_xlpm.DepreciationMonths,0))</f>
        <v>0</v>
      </c>
      <c r="BR241" s="507" cm="1">
        <f t="array" ref="BR241">_xlfn.LET(_xlpm.DepreciationMonths,INDEX(FixedAssets[Depreciation
/ Amortization Months],_xlfn.XMATCH($E$237,FixedAssets[Asset ID])),IF(AND((_xlfn.XMATCH(BR$8,$AH$8:$CC$8))-_xlfn.XMATCH($C241,$C$35:$C$82)+1&lt;=_xlpm.DepreciationMonths,$C241&lt;=BR$8),$E241/_xlpm.DepreciationMonths,0))</f>
        <v>0</v>
      </c>
      <c r="BS241" s="507" cm="1">
        <f t="array" ref="BS241">_xlfn.LET(_xlpm.DepreciationMonths,INDEX(FixedAssets[Depreciation
/ Amortization Months],_xlfn.XMATCH($E$237,FixedAssets[Asset ID])),IF(AND((_xlfn.XMATCH(BS$8,$AH$8:$CC$8))-_xlfn.XMATCH($C241,$C$35:$C$82)+1&lt;=_xlpm.DepreciationMonths,$C241&lt;=BS$8),$E241/_xlpm.DepreciationMonths,0))</f>
        <v>0</v>
      </c>
      <c r="BT241" s="507" cm="1">
        <f t="array" ref="BT241">_xlfn.LET(_xlpm.DepreciationMonths,INDEX(FixedAssets[Depreciation
/ Amortization Months],_xlfn.XMATCH($E$237,FixedAssets[Asset ID])),IF(AND((_xlfn.XMATCH(BT$8,$AH$8:$CC$8))-_xlfn.XMATCH($C241,$C$35:$C$82)+1&lt;=_xlpm.DepreciationMonths,$C241&lt;=BT$8),$E241/_xlpm.DepreciationMonths,0))</f>
        <v>0</v>
      </c>
      <c r="BU241" s="507" cm="1">
        <f t="array" ref="BU241">_xlfn.LET(_xlpm.DepreciationMonths,INDEX(FixedAssets[Depreciation
/ Amortization Months],_xlfn.XMATCH($E$237,FixedAssets[Asset ID])),IF(AND((_xlfn.XMATCH(BU$8,$AH$8:$CC$8))-_xlfn.XMATCH($C241,$C$35:$C$82)+1&lt;=_xlpm.DepreciationMonths,$C241&lt;=BU$8),$E241/_xlpm.DepreciationMonths,0))</f>
        <v>0</v>
      </c>
      <c r="BV241" s="507" cm="1">
        <f t="array" ref="BV241">_xlfn.LET(_xlpm.DepreciationMonths,INDEX(FixedAssets[Depreciation
/ Amortization Months],_xlfn.XMATCH($E$237,FixedAssets[Asset ID])),IF(AND((_xlfn.XMATCH(BV$8,$AH$8:$CC$8))-_xlfn.XMATCH($C241,$C$35:$C$82)+1&lt;=_xlpm.DepreciationMonths,$C241&lt;=BV$8),$E241/_xlpm.DepreciationMonths,0))</f>
        <v>0</v>
      </c>
      <c r="BW241" s="507" cm="1">
        <f t="array" ref="BW241">_xlfn.LET(_xlpm.DepreciationMonths,INDEX(FixedAssets[Depreciation
/ Amortization Months],_xlfn.XMATCH($E$237,FixedAssets[Asset ID])),IF(AND((_xlfn.XMATCH(BW$8,$AH$8:$CC$8))-_xlfn.XMATCH($C241,$C$35:$C$82)+1&lt;=_xlpm.DepreciationMonths,$C241&lt;=BW$8),$E241/_xlpm.DepreciationMonths,0))</f>
        <v>0</v>
      </c>
      <c r="BX241" s="507" cm="1">
        <f t="array" ref="BX241">_xlfn.LET(_xlpm.DepreciationMonths,INDEX(FixedAssets[Depreciation
/ Amortization Months],_xlfn.XMATCH($E$237,FixedAssets[Asset ID])),IF(AND((_xlfn.XMATCH(BX$8,$AH$8:$CC$8))-_xlfn.XMATCH($C241,$C$35:$C$82)+1&lt;=_xlpm.DepreciationMonths,$C241&lt;=BX$8),$E241/_xlpm.DepreciationMonths,0))</f>
        <v>0</v>
      </c>
      <c r="BY241" s="507" cm="1">
        <f t="array" ref="BY241">_xlfn.LET(_xlpm.DepreciationMonths,INDEX(FixedAssets[Depreciation
/ Amortization Months],_xlfn.XMATCH($E$237,FixedAssets[Asset ID])),IF(AND((_xlfn.XMATCH(BY$8,$AH$8:$CC$8))-_xlfn.XMATCH($C241,$C$35:$C$82)+1&lt;=_xlpm.DepreciationMonths,$C241&lt;=BY$8),$E241/_xlpm.DepreciationMonths,0))</f>
        <v>0</v>
      </c>
      <c r="BZ241" s="507" cm="1">
        <f t="array" ref="BZ241">_xlfn.LET(_xlpm.DepreciationMonths,INDEX(FixedAssets[Depreciation
/ Amortization Months],_xlfn.XMATCH($E$237,FixedAssets[Asset ID])),IF(AND((_xlfn.XMATCH(BZ$8,$AH$8:$CC$8))-_xlfn.XMATCH($C241,$C$35:$C$82)+1&lt;=_xlpm.DepreciationMonths,$C241&lt;=BZ$8),$E241/_xlpm.DepreciationMonths,0))</f>
        <v>0</v>
      </c>
      <c r="CA241" s="507" cm="1">
        <f t="array" ref="CA241">_xlfn.LET(_xlpm.DepreciationMonths,INDEX(FixedAssets[Depreciation
/ Amortization Months],_xlfn.XMATCH($E$237,FixedAssets[Asset ID])),IF(AND((_xlfn.XMATCH(CA$8,$AH$8:$CC$8))-_xlfn.XMATCH($C241,$C$35:$C$82)+1&lt;=_xlpm.DepreciationMonths,$C241&lt;=CA$8),$E241/_xlpm.DepreciationMonths,0))</f>
        <v>0</v>
      </c>
      <c r="CB241" s="507" cm="1">
        <f t="array" ref="CB241">_xlfn.LET(_xlpm.DepreciationMonths,INDEX(FixedAssets[Depreciation
/ Amortization Months],_xlfn.XMATCH($E$237,FixedAssets[Asset ID])),IF(AND((_xlfn.XMATCH(CB$8,$AH$8:$CC$8))-_xlfn.XMATCH($C241,$C$35:$C$82)+1&lt;=_xlpm.DepreciationMonths,$C241&lt;=CB$8),$E241/_xlpm.DepreciationMonths,0))</f>
        <v>0</v>
      </c>
      <c r="CC241" s="507" cm="1">
        <f t="array" ref="CC241">_xlfn.LET(_xlpm.DepreciationMonths,INDEX(FixedAssets[Depreciation
/ Amortization Months],_xlfn.XMATCH($E$237,FixedAssets[Asset ID])),IF(AND((_xlfn.XMATCH(CC$8,$AH$8:$CC$8))-_xlfn.XMATCH($C241,$C$35:$C$82)+1&lt;=_xlpm.DepreciationMonths,$C241&lt;=CC$8),$E241/_xlpm.DepreciationMonths,0))</f>
        <v>0</v>
      </c>
    </row>
    <row r="242" spans="3:81" hidden="1" outlineLevel="2">
      <c r="C242" s="664">
        <f t="shared" si="267"/>
        <v>45046</v>
      </c>
      <c r="D242" s="508"/>
      <c r="E242" s="508" cm="1">
        <f t="array" ref="E242">SUMPRODUCT(($AH$26:$CC$31)*($AH$5:$CC$5=$C242)*($E$26:$E$31=E$237))-SUMPRODUCT(($AH$26:$CC$31)*($AH$5:$CC$5=EOMONTH($C242,-1))*($E$26:$E$31=E$237))</f>
        <v>0</v>
      </c>
      <c r="F242" s="508"/>
      <c r="G242" s="508"/>
      <c r="H242" s="508"/>
      <c r="I242" s="508"/>
      <c r="J242" s="504">
        <f t="shared" si="265"/>
        <v>0</v>
      </c>
      <c r="K242" s="504">
        <f t="shared" si="265"/>
        <v>0</v>
      </c>
      <c r="L242" s="504">
        <f t="shared" si="265"/>
        <v>0</v>
      </c>
      <c r="M242" s="504">
        <f t="shared" si="265"/>
        <v>0</v>
      </c>
      <c r="N242" s="504"/>
      <c r="O242" s="504"/>
      <c r="P242" s="504">
        <f t="shared" si="266"/>
        <v>0</v>
      </c>
      <c r="Q242" s="504">
        <f t="shared" si="266"/>
        <v>0</v>
      </c>
      <c r="R242" s="504">
        <f t="shared" si="266"/>
        <v>0</v>
      </c>
      <c r="S242" s="504">
        <f t="shared" si="266"/>
        <v>0</v>
      </c>
      <c r="T242" s="504">
        <f t="shared" si="266"/>
        <v>0</v>
      </c>
      <c r="U242" s="504">
        <f t="shared" si="266"/>
        <v>0</v>
      </c>
      <c r="V242" s="504">
        <f t="shared" si="266"/>
        <v>0</v>
      </c>
      <c r="W242" s="504">
        <f t="shared" si="266"/>
        <v>0</v>
      </c>
      <c r="X242" s="504">
        <f t="shared" si="266"/>
        <v>0</v>
      </c>
      <c r="Y242" s="504">
        <f t="shared" si="266"/>
        <v>0</v>
      </c>
      <c r="Z242" s="504">
        <f t="shared" si="266"/>
        <v>0</v>
      </c>
      <c r="AA242" s="504">
        <f t="shared" si="266"/>
        <v>0</v>
      </c>
      <c r="AB242" s="504">
        <f t="shared" si="266"/>
        <v>0</v>
      </c>
      <c r="AC242" s="504">
        <f t="shared" si="266"/>
        <v>0</v>
      </c>
      <c r="AD242" s="504">
        <f t="shared" si="266"/>
        <v>0</v>
      </c>
      <c r="AE242" s="504">
        <f t="shared" si="266"/>
        <v>0</v>
      </c>
      <c r="AF242" s="508"/>
      <c r="AG242" s="508"/>
      <c r="AH242" s="507" cm="1">
        <f t="array" ref="AH242">_xlfn.LET(_xlpm.DepreciationMonths,INDEX(FixedAssets[Depreciation
/ Amortization Months],_xlfn.XMATCH($E$237,FixedAssets[Asset ID])),IF(AND((_xlfn.XMATCH(AH$8,$AH$8:$CC$8))-_xlfn.XMATCH($C242,$C$35:$C$82)+1&lt;=_xlpm.DepreciationMonths,$C242&lt;=AH$8),$E242/_xlpm.DepreciationMonths,0))</f>
        <v>0</v>
      </c>
      <c r="AI242" s="507" cm="1">
        <f t="array" ref="AI242">_xlfn.LET(_xlpm.DepreciationMonths,INDEX(FixedAssets[Depreciation
/ Amortization Months],_xlfn.XMATCH($E$237,FixedAssets[Asset ID])),IF(AND((_xlfn.XMATCH(AI$8,$AH$8:$CC$8))-_xlfn.XMATCH($C242,$C$35:$C$82)+1&lt;=_xlpm.DepreciationMonths,$C242&lt;=AI$8),$E242/_xlpm.DepreciationMonths,0))</f>
        <v>0</v>
      </c>
      <c r="AJ242" s="507" cm="1">
        <f t="array" ref="AJ242">_xlfn.LET(_xlpm.DepreciationMonths,INDEX(FixedAssets[Depreciation
/ Amortization Months],_xlfn.XMATCH($E$237,FixedAssets[Asset ID])),IF(AND((_xlfn.XMATCH(AJ$8,$AH$8:$CC$8))-_xlfn.XMATCH($C242,$C$35:$C$82)+1&lt;=_xlpm.DepreciationMonths,$C242&lt;=AJ$8),$E242/_xlpm.DepreciationMonths,0))</f>
        <v>0</v>
      </c>
      <c r="AK242" s="507" cm="1">
        <f t="array" ref="AK242">_xlfn.LET(_xlpm.DepreciationMonths,INDEX(FixedAssets[Depreciation
/ Amortization Months],_xlfn.XMATCH($E$237,FixedAssets[Asset ID])),IF(AND((_xlfn.XMATCH(AK$8,$AH$8:$CC$8))-_xlfn.XMATCH($C242,$C$35:$C$82)+1&lt;=_xlpm.DepreciationMonths,$C242&lt;=AK$8),$E242/_xlpm.DepreciationMonths,0))</f>
        <v>0</v>
      </c>
      <c r="AL242" s="507" cm="1">
        <f t="array" ref="AL242">_xlfn.LET(_xlpm.DepreciationMonths,INDEX(FixedAssets[Depreciation
/ Amortization Months],_xlfn.XMATCH($E$237,FixedAssets[Asset ID])),IF(AND((_xlfn.XMATCH(AL$8,$AH$8:$CC$8))-_xlfn.XMATCH($C242,$C$35:$C$82)+1&lt;=_xlpm.DepreciationMonths,$C242&lt;=AL$8),$E242/_xlpm.DepreciationMonths,0))</f>
        <v>0</v>
      </c>
      <c r="AM242" s="507" cm="1">
        <f t="array" ref="AM242">_xlfn.LET(_xlpm.DepreciationMonths,INDEX(FixedAssets[Depreciation
/ Amortization Months],_xlfn.XMATCH($E$237,FixedAssets[Asset ID])),IF(AND((_xlfn.XMATCH(AM$8,$AH$8:$CC$8))-_xlfn.XMATCH($C242,$C$35:$C$82)+1&lt;=_xlpm.DepreciationMonths,$C242&lt;=AM$8),$E242/_xlpm.DepreciationMonths,0))</f>
        <v>0</v>
      </c>
      <c r="AN242" s="507" cm="1">
        <f t="array" ref="AN242">_xlfn.LET(_xlpm.DepreciationMonths,INDEX(FixedAssets[Depreciation
/ Amortization Months],_xlfn.XMATCH($E$237,FixedAssets[Asset ID])),IF(AND((_xlfn.XMATCH(AN$8,$AH$8:$CC$8))-_xlfn.XMATCH($C242,$C$35:$C$82)+1&lt;=_xlpm.DepreciationMonths,$C242&lt;=AN$8),$E242/_xlpm.DepreciationMonths,0))</f>
        <v>0</v>
      </c>
      <c r="AO242" s="507" cm="1">
        <f t="array" ref="AO242">_xlfn.LET(_xlpm.DepreciationMonths,INDEX(FixedAssets[Depreciation
/ Amortization Months],_xlfn.XMATCH($E$237,FixedAssets[Asset ID])),IF(AND((_xlfn.XMATCH(AO$8,$AH$8:$CC$8))-_xlfn.XMATCH($C242,$C$35:$C$82)+1&lt;=_xlpm.DepreciationMonths,$C242&lt;=AO$8),$E242/_xlpm.DepreciationMonths,0))</f>
        <v>0</v>
      </c>
      <c r="AP242" s="507" cm="1">
        <f t="array" ref="AP242">_xlfn.LET(_xlpm.DepreciationMonths,INDEX(FixedAssets[Depreciation
/ Amortization Months],_xlfn.XMATCH($E$237,FixedAssets[Asset ID])),IF(AND((_xlfn.XMATCH(AP$8,$AH$8:$CC$8))-_xlfn.XMATCH($C242,$C$35:$C$82)+1&lt;=_xlpm.DepreciationMonths,$C242&lt;=AP$8),$E242/_xlpm.DepreciationMonths,0))</f>
        <v>0</v>
      </c>
      <c r="AQ242" s="507" cm="1">
        <f t="array" ref="AQ242">_xlfn.LET(_xlpm.DepreciationMonths,INDEX(FixedAssets[Depreciation
/ Amortization Months],_xlfn.XMATCH($E$237,FixedAssets[Asset ID])),IF(AND((_xlfn.XMATCH(AQ$8,$AH$8:$CC$8))-_xlfn.XMATCH($C242,$C$35:$C$82)+1&lt;=_xlpm.DepreciationMonths,$C242&lt;=AQ$8),$E242/_xlpm.DepreciationMonths,0))</f>
        <v>0</v>
      </c>
      <c r="AR242" s="507" cm="1">
        <f t="array" ref="AR242">_xlfn.LET(_xlpm.DepreciationMonths,INDEX(FixedAssets[Depreciation
/ Amortization Months],_xlfn.XMATCH($E$237,FixedAssets[Asset ID])),IF(AND((_xlfn.XMATCH(AR$8,$AH$8:$CC$8))-_xlfn.XMATCH($C242,$C$35:$C$82)+1&lt;=_xlpm.DepreciationMonths,$C242&lt;=AR$8),$E242/_xlpm.DepreciationMonths,0))</f>
        <v>0</v>
      </c>
      <c r="AS242" s="507" cm="1">
        <f t="array" ref="AS242">_xlfn.LET(_xlpm.DepreciationMonths,INDEX(FixedAssets[Depreciation
/ Amortization Months],_xlfn.XMATCH($E$237,FixedAssets[Asset ID])),IF(AND((_xlfn.XMATCH(AS$8,$AH$8:$CC$8))-_xlfn.XMATCH($C242,$C$35:$C$82)+1&lt;=_xlpm.DepreciationMonths,$C242&lt;=AS$8),$E242/_xlpm.DepreciationMonths,0))</f>
        <v>0</v>
      </c>
      <c r="AT242" s="507" cm="1">
        <f t="array" ref="AT242">_xlfn.LET(_xlpm.DepreciationMonths,INDEX(FixedAssets[Depreciation
/ Amortization Months],_xlfn.XMATCH($E$237,FixedAssets[Asset ID])),IF(AND((_xlfn.XMATCH(AT$8,$AH$8:$CC$8))-_xlfn.XMATCH($C242,$C$35:$C$82)+1&lt;=_xlpm.DepreciationMonths,$C242&lt;=AT$8),$E242/_xlpm.DepreciationMonths,0))</f>
        <v>0</v>
      </c>
      <c r="AU242" s="507" cm="1">
        <f t="array" ref="AU242">_xlfn.LET(_xlpm.DepreciationMonths,INDEX(FixedAssets[Depreciation
/ Amortization Months],_xlfn.XMATCH($E$237,FixedAssets[Asset ID])),IF(AND((_xlfn.XMATCH(AU$8,$AH$8:$CC$8))-_xlfn.XMATCH($C242,$C$35:$C$82)+1&lt;=_xlpm.DepreciationMonths,$C242&lt;=AU$8),$E242/_xlpm.DepreciationMonths,0))</f>
        <v>0</v>
      </c>
      <c r="AV242" s="507" cm="1">
        <f t="array" ref="AV242">_xlfn.LET(_xlpm.DepreciationMonths,INDEX(FixedAssets[Depreciation
/ Amortization Months],_xlfn.XMATCH($E$237,FixedAssets[Asset ID])),IF(AND((_xlfn.XMATCH(AV$8,$AH$8:$CC$8))-_xlfn.XMATCH($C242,$C$35:$C$82)+1&lt;=_xlpm.DepreciationMonths,$C242&lt;=AV$8),$E242/_xlpm.DepreciationMonths,0))</f>
        <v>0</v>
      </c>
      <c r="AW242" s="507" cm="1">
        <f t="array" ref="AW242">_xlfn.LET(_xlpm.DepreciationMonths,INDEX(FixedAssets[Depreciation
/ Amortization Months],_xlfn.XMATCH($E$237,FixedAssets[Asset ID])),IF(AND((_xlfn.XMATCH(AW$8,$AH$8:$CC$8))-_xlfn.XMATCH($C242,$C$35:$C$82)+1&lt;=_xlpm.DepreciationMonths,$C242&lt;=AW$8),$E242/_xlpm.DepreciationMonths,0))</f>
        <v>0</v>
      </c>
      <c r="AX242" s="507" cm="1">
        <f t="array" ref="AX242">_xlfn.LET(_xlpm.DepreciationMonths,INDEX(FixedAssets[Depreciation
/ Amortization Months],_xlfn.XMATCH($E$237,FixedAssets[Asset ID])),IF(AND((_xlfn.XMATCH(AX$8,$AH$8:$CC$8))-_xlfn.XMATCH($C242,$C$35:$C$82)+1&lt;=_xlpm.DepreciationMonths,$C242&lt;=AX$8),$E242/_xlpm.DepreciationMonths,0))</f>
        <v>0</v>
      </c>
      <c r="AY242" s="507" cm="1">
        <f t="array" ref="AY242">_xlfn.LET(_xlpm.DepreciationMonths,INDEX(FixedAssets[Depreciation
/ Amortization Months],_xlfn.XMATCH($E$237,FixedAssets[Asset ID])),IF(AND((_xlfn.XMATCH(AY$8,$AH$8:$CC$8))-_xlfn.XMATCH($C242,$C$35:$C$82)+1&lt;=_xlpm.DepreciationMonths,$C242&lt;=AY$8),$E242/_xlpm.DepreciationMonths,0))</f>
        <v>0</v>
      </c>
      <c r="AZ242" s="507" cm="1">
        <f t="array" ref="AZ242">_xlfn.LET(_xlpm.DepreciationMonths,INDEX(FixedAssets[Depreciation
/ Amortization Months],_xlfn.XMATCH($E$237,FixedAssets[Asset ID])),IF(AND((_xlfn.XMATCH(AZ$8,$AH$8:$CC$8))-_xlfn.XMATCH($C242,$C$35:$C$82)+1&lt;=_xlpm.DepreciationMonths,$C242&lt;=AZ$8),$E242/_xlpm.DepreciationMonths,0))</f>
        <v>0</v>
      </c>
      <c r="BA242" s="507" cm="1">
        <f t="array" ref="BA242">_xlfn.LET(_xlpm.DepreciationMonths,INDEX(FixedAssets[Depreciation
/ Amortization Months],_xlfn.XMATCH($E$237,FixedAssets[Asset ID])),IF(AND((_xlfn.XMATCH(BA$8,$AH$8:$CC$8))-_xlfn.XMATCH($C242,$C$35:$C$82)+1&lt;=_xlpm.DepreciationMonths,$C242&lt;=BA$8),$E242/_xlpm.DepreciationMonths,0))</f>
        <v>0</v>
      </c>
      <c r="BB242" s="507" cm="1">
        <f t="array" ref="BB242">_xlfn.LET(_xlpm.DepreciationMonths,INDEX(FixedAssets[Depreciation
/ Amortization Months],_xlfn.XMATCH($E$237,FixedAssets[Asset ID])),IF(AND((_xlfn.XMATCH(BB$8,$AH$8:$CC$8))-_xlfn.XMATCH($C242,$C$35:$C$82)+1&lt;=_xlpm.DepreciationMonths,$C242&lt;=BB$8),$E242/_xlpm.DepreciationMonths,0))</f>
        <v>0</v>
      </c>
      <c r="BC242" s="507" cm="1">
        <f t="array" ref="BC242">_xlfn.LET(_xlpm.DepreciationMonths,INDEX(FixedAssets[Depreciation
/ Amortization Months],_xlfn.XMATCH($E$237,FixedAssets[Asset ID])),IF(AND((_xlfn.XMATCH(BC$8,$AH$8:$CC$8))-_xlfn.XMATCH($C242,$C$35:$C$82)+1&lt;=_xlpm.DepreciationMonths,$C242&lt;=BC$8),$E242/_xlpm.DepreciationMonths,0))</f>
        <v>0</v>
      </c>
      <c r="BD242" s="507" cm="1">
        <f t="array" ref="BD242">_xlfn.LET(_xlpm.DepreciationMonths,INDEX(FixedAssets[Depreciation
/ Amortization Months],_xlfn.XMATCH($E$237,FixedAssets[Asset ID])),IF(AND((_xlfn.XMATCH(BD$8,$AH$8:$CC$8))-_xlfn.XMATCH($C242,$C$35:$C$82)+1&lt;=_xlpm.DepreciationMonths,$C242&lt;=BD$8),$E242/_xlpm.DepreciationMonths,0))</f>
        <v>0</v>
      </c>
      <c r="BE242" s="507" cm="1">
        <f t="array" ref="BE242">_xlfn.LET(_xlpm.DepreciationMonths,INDEX(FixedAssets[Depreciation
/ Amortization Months],_xlfn.XMATCH($E$237,FixedAssets[Asset ID])),IF(AND((_xlfn.XMATCH(BE$8,$AH$8:$CC$8))-_xlfn.XMATCH($C242,$C$35:$C$82)+1&lt;=_xlpm.DepreciationMonths,$C242&lt;=BE$8),$E242/_xlpm.DepreciationMonths,0))</f>
        <v>0</v>
      </c>
      <c r="BF242" s="507" cm="1">
        <f t="array" ref="BF242">_xlfn.LET(_xlpm.DepreciationMonths,INDEX(FixedAssets[Depreciation
/ Amortization Months],_xlfn.XMATCH($E$237,FixedAssets[Asset ID])),IF(AND((_xlfn.XMATCH(BF$8,$AH$8:$CC$8))-_xlfn.XMATCH($C242,$C$35:$C$82)+1&lt;=_xlpm.DepreciationMonths,$C242&lt;=BF$8),$E242/_xlpm.DepreciationMonths,0))</f>
        <v>0</v>
      </c>
      <c r="BG242" s="507" cm="1">
        <f t="array" ref="BG242">_xlfn.LET(_xlpm.DepreciationMonths,INDEX(FixedAssets[Depreciation
/ Amortization Months],_xlfn.XMATCH($E$237,FixedAssets[Asset ID])),IF(AND((_xlfn.XMATCH(BG$8,$AH$8:$CC$8))-_xlfn.XMATCH($C242,$C$35:$C$82)+1&lt;=_xlpm.DepreciationMonths,$C242&lt;=BG$8),$E242/_xlpm.DepreciationMonths,0))</f>
        <v>0</v>
      </c>
      <c r="BH242" s="507" cm="1">
        <f t="array" ref="BH242">_xlfn.LET(_xlpm.DepreciationMonths,INDEX(FixedAssets[Depreciation
/ Amortization Months],_xlfn.XMATCH($E$237,FixedAssets[Asset ID])),IF(AND((_xlfn.XMATCH(BH$8,$AH$8:$CC$8))-_xlfn.XMATCH($C242,$C$35:$C$82)+1&lt;=_xlpm.DepreciationMonths,$C242&lt;=BH$8),$E242/_xlpm.DepreciationMonths,0))</f>
        <v>0</v>
      </c>
      <c r="BI242" s="507" cm="1">
        <f t="array" ref="BI242">_xlfn.LET(_xlpm.DepreciationMonths,INDEX(FixedAssets[Depreciation
/ Amortization Months],_xlfn.XMATCH($E$237,FixedAssets[Asset ID])),IF(AND((_xlfn.XMATCH(BI$8,$AH$8:$CC$8))-_xlfn.XMATCH($C242,$C$35:$C$82)+1&lt;=_xlpm.DepreciationMonths,$C242&lt;=BI$8),$E242/_xlpm.DepreciationMonths,0))</f>
        <v>0</v>
      </c>
      <c r="BJ242" s="507" cm="1">
        <f t="array" ref="BJ242">_xlfn.LET(_xlpm.DepreciationMonths,INDEX(FixedAssets[Depreciation
/ Amortization Months],_xlfn.XMATCH($E$237,FixedAssets[Asset ID])),IF(AND((_xlfn.XMATCH(BJ$8,$AH$8:$CC$8))-_xlfn.XMATCH($C242,$C$35:$C$82)+1&lt;=_xlpm.DepreciationMonths,$C242&lt;=BJ$8),$E242/_xlpm.DepreciationMonths,0))</f>
        <v>0</v>
      </c>
      <c r="BK242" s="507" cm="1">
        <f t="array" ref="BK242">_xlfn.LET(_xlpm.DepreciationMonths,INDEX(FixedAssets[Depreciation
/ Amortization Months],_xlfn.XMATCH($E$237,FixedAssets[Asset ID])),IF(AND((_xlfn.XMATCH(BK$8,$AH$8:$CC$8))-_xlfn.XMATCH($C242,$C$35:$C$82)+1&lt;=_xlpm.DepreciationMonths,$C242&lt;=BK$8),$E242/_xlpm.DepreciationMonths,0))</f>
        <v>0</v>
      </c>
      <c r="BL242" s="507" cm="1">
        <f t="array" ref="BL242">_xlfn.LET(_xlpm.DepreciationMonths,INDEX(FixedAssets[Depreciation
/ Amortization Months],_xlfn.XMATCH($E$237,FixedAssets[Asset ID])),IF(AND((_xlfn.XMATCH(BL$8,$AH$8:$CC$8))-_xlfn.XMATCH($C242,$C$35:$C$82)+1&lt;=_xlpm.DepreciationMonths,$C242&lt;=BL$8),$E242/_xlpm.DepreciationMonths,0))</f>
        <v>0</v>
      </c>
      <c r="BM242" s="507" cm="1">
        <f t="array" ref="BM242">_xlfn.LET(_xlpm.DepreciationMonths,INDEX(FixedAssets[Depreciation
/ Amortization Months],_xlfn.XMATCH($E$237,FixedAssets[Asset ID])),IF(AND((_xlfn.XMATCH(BM$8,$AH$8:$CC$8))-_xlfn.XMATCH($C242,$C$35:$C$82)+1&lt;=_xlpm.DepreciationMonths,$C242&lt;=BM$8),$E242/_xlpm.DepreciationMonths,0))</f>
        <v>0</v>
      </c>
      <c r="BN242" s="507" cm="1">
        <f t="array" ref="BN242">_xlfn.LET(_xlpm.DepreciationMonths,INDEX(FixedAssets[Depreciation
/ Amortization Months],_xlfn.XMATCH($E$237,FixedAssets[Asset ID])),IF(AND((_xlfn.XMATCH(BN$8,$AH$8:$CC$8))-_xlfn.XMATCH($C242,$C$35:$C$82)+1&lt;=_xlpm.DepreciationMonths,$C242&lt;=BN$8),$E242/_xlpm.DepreciationMonths,0))</f>
        <v>0</v>
      </c>
      <c r="BO242" s="507" cm="1">
        <f t="array" ref="BO242">_xlfn.LET(_xlpm.DepreciationMonths,INDEX(FixedAssets[Depreciation
/ Amortization Months],_xlfn.XMATCH($E$237,FixedAssets[Asset ID])),IF(AND((_xlfn.XMATCH(BO$8,$AH$8:$CC$8))-_xlfn.XMATCH($C242,$C$35:$C$82)+1&lt;=_xlpm.DepreciationMonths,$C242&lt;=BO$8),$E242/_xlpm.DepreciationMonths,0))</f>
        <v>0</v>
      </c>
      <c r="BP242" s="507" cm="1">
        <f t="array" ref="BP242">_xlfn.LET(_xlpm.DepreciationMonths,INDEX(FixedAssets[Depreciation
/ Amortization Months],_xlfn.XMATCH($E$237,FixedAssets[Asset ID])),IF(AND((_xlfn.XMATCH(BP$8,$AH$8:$CC$8))-_xlfn.XMATCH($C242,$C$35:$C$82)+1&lt;=_xlpm.DepreciationMonths,$C242&lt;=BP$8),$E242/_xlpm.DepreciationMonths,0))</f>
        <v>0</v>
      </c>
      <c r="BQ242" s="507" cm="1">
        <f t="array" ref="BQ242">_xlfn.LET(_xlpm.DepreciationMonths,INDEX(FixedAssets[Depreciation
/ Amortization Months],_xlfn.XMATCH($E$237,FixedAssets[Asset ID])),IF(AND((_xlfn.XMATCH(BQ$8,$AH$8:$CC$8))-_xlfn.XMATCH($C242,$C$35:$C$82)+1&lt;=_xlpm.DepreciationMonths,$C242&lt;=BQ$8),$E242/_xlpm.DepreciationMonths,0))</f>
        <v>0</v>
      </c>
      <c r="BR242" s="507" cm="1">
        <f t="array" ref="BR242">_xlfn.LET(_xlpm.DepreciationMonths,INDEX(FixedAssets[Depreciation
/ Amortization Months],_xlfn.XMATCH($E$237,FixedAssets[Asset ID])),IF(AND((_xlfn.XMATCH(BR$8,$AH$8:$CC$8))-_xlfn.XMATCH($C242,$C$35:$C$82)+1&lt;=_xlpm.DepreciationMonths,$C242&lt;=BR$8),$E242/_xlpm.DepreciationMonths,0))</f>
        <v>0</v>
      </c>
      <c r="BS242" s="507" cm="1">
        <f t="array" ref="BS242">_xlfn.LET(_xlpm.DepreciationMonths,INDEX(FixedAssets[Depreciation
/ Amortization Months],_xlfn.XMATCH($E$237,FixedAssets[Asset ID])),IF(AND((_xlfn.XMATCH(BS$8,$AH$8:$CC$8))-_xlfn.XMATCH($C242,$C$35:$C$82)+1&lt;=_xlpm.DepreciationMonths,$C242&lt;=BS$8),$E242/_xlpm.DepreciationMonths,0))</f>
        <v>0</v>
      </c>
      <c r="BT242" s="507" cm="1">
        <f t="array" ref="BT242">_xlfn.LET(_xlpm.DepreciationMonths,INDEX(FixedAssets[Depreciation
/ Amortization Months],_xlfn.XMATCH($E$237,FixedAssets[Asset ID])),IF(AND((_xlfn.XMATCH(BT$8,$AH$8:$CC$8))-_xlfn.XMATCH($C242,$C$35:$C$82)+1&lt;=_xlpm.DepreciationMonths,$C242&lt;=BT$8),$E242/_xlpm.DepreciationMonths,0))</f>
        <v>0</v>
      </c>
      <c r="BU242" s="507" cm="1">
        <f t="array" ref="BU242">_xlfn.LET(_xlpm.DepreciationMonths,INDEX(FixedAssets[Depreciation
/ Amortization Months],_xlfn.XMATCH($E$237,FixedAssets[Asset ID])),IF(AND((_xlfn.XMATCH(BU$8,$AH$8:$CC$8))-_xlfn.XMATCH($C242,$C$35:$C$82)+1&lt;=_xlpm.DepreciationMonths,$C242&lt;=BU$8),$E242/_xlpm.DepreciationMonths,0))</f>
        <v>0</v>
      </c>
      <c r="BV242" s="507" cm="1">
        <f t="array" ref="BV242">_xlfn.LET(_xlpm.DepreciationMonths,INDEX(FixedAssets[Depreciation
/ Amortization Months],_xlfn.XMATCH($E$237,FixedAssets[Asset ID])),IF(AND((_xlfn.XMATCH(BV$8,$AH$8:$CC$8))-_xlfn.XMATCH($C242,$C$35:$C$82)+1&lt;=_xlpm.DepreciationMonths,$C242&lt;=BV$8),$E242/_xlpm.DepreciationMonths,0))</f>
        <v>0</v>
      </c>
      <c r="BW242" s="507" cm="1">
        <f t="array" ref="BW242">_xlfn.LET(_xlpm.DepreciationMonths,INDEX(FixedAssets[Depreciation
/ Amortization Months],_xlfn.XMATCH($E$237,FixedAssets[Asset ID])),IF(AND((_xlfn.XMATCH(BW$8,$AH$8:$CC$8))-_xlfn.XMATCH($C242,$C$35:$C$82)+1&lt;=_xlpm.DepreciationMonths,$C242&lt;=BW$8),$E242/_xlpm.DepreciationMonths,0))</f>
        <v>0</v>
      </c>
      <c r="BX242" s="507" cm="1">
        <f t="array" ref="BX242">_xlfn.LET(_xlpm.DepreciationMonths,INDEX(FixedAssets[Depreciation
/ Amortization Months],_xlfn.XMATCH($E$237,FixedAssets[Asset ID])),IF(AND((_xlfn.XMATCH(BX$8,$AH$8:$CC$8))-_xlfn.XMATCH($C242,$C$35:$C$82)+1&lt;=_xlpm.DepreciationMonths,$C242&lt;=BX$8),$E242/_xlpm.DepreciationMonths,0))</f>
        <v>0</v>
      </c>
      <c r="BY242" s="507" cm="1">
        <f t="array" ref="BY242">_xlfn.LET(_xlpm.DepreciationMonths,INDEX(FixedAssets[Depreciation
/ Amortization Months],_xlfn.XMATCH($E$237,FixedAssets[Asset ID])),IF(AND((_xlfn.XMATCH(BY$8,$AH$8:$CC$8))-_xlfn.XMATCH($C242,$C$35:$C$82)+1&lt;=_xlpm.DepreciationMonths,$C242&lt;=BY$8),$E242/_xlpm.DepreciationMonths,0))</f>
        <v>0</v>
      </c>
      <c r="BZ242" s="507" cm="1">
        <f t="array" ref="BZ242">_xlfn.LET(_xlpm.DepreciationMonths,INDEX(FixedAssets[Depreciation
/ Amortization Months],_xlfn.XMATCH($E$237,FixedAssets[Asset ID])),IF(AND((_xlfn.XMATCH(BZ$8,$AH$8:$CC$8))-_xlfn.XMATCH($C242,$C$35:$C$82)+1&lt;=_xlpm.DepreciationMonths,$C242&lt;=BZ$8),$E242/_xlpm.DepreciationMonths,0))</f>
        <v>0</v>
      </c>
      <c r="CA242" s="507" cm="1">
        <f t="array" ref="CA242">_xlfn.LET(_xlpm.DepreciationMonths,INDEX(FixedAssets[Depreciation
/ Amortization Months],_xlfn.XMATCH($E$237,FixedAssets[Asset ID])),IF(AND((_xlfn.XMATCH(CA$8,$AH$8:$CC$8))-_xlfn.XMATCH($C242,$C$35:$C$82)+1&lt;=_xlpm.DepreciationMonths,$C242&lt;=CA$8),$E242/_xlpm.DepreciationMonths,0))</f>
        <v>0</v>
      </c>
      <c r="CB242" s="507" cm="1">
        <f t="array" ref="CB242">_xlfn.LET(_xlpm.DepreciationMonths,INDEX(FixedAssets[Depreciation
/ Amortization Months],_xlfn.XMATCH($E$237,FixedAssets[Asset ID])),IF(AND((_xlfn.XMATCH(CB$8,$AH$8:$CC$8))-_xlfn.XMATCH($C242,$C$35:$C$82)+1&lt;=_xlpm.DepreciationMonths,$C242&lt;=CB$8),$E242/_xlpm.DepreciationMonths,0))</f>
        <v>0</v>
      </c>
      <c r="CC242" s="507" cm="1">
        <f t="array" ref="CC242">_xlfn.LET(_xlpm.DepreciationMonths,INDEX(FixedAssets[Depreciation
/ Amortization Months],_xlfn.XMATCH($E$237,FixedAssets[Asset ID])),IF(AND((_xlfn.XMATCH(CC$8,$AH$8:$CC$8))-_xlfn.XMATCH($C242,$C$35:$C$82)+1&lt;=_xlpm.DepreciationMonths,$C242&lt;=CC$8),$E242/_xlpm.DepreciationMonths,0))</f>
        <v>0</v>
      </c>
    </row>
    <row r="243" spans="3:81" hidden="1" outlineLevel="2">
      <c r="C243" s="664">
        <f t="shared" si="267"/>
        <v>45077</v>
      </c>
      <c r="D243" s="508"/>
      <c r="E243" s="508" cm="1">
        <f t="array" ref="E243">SUMPRODUCT(($AH$26:$CC$31)*($AH$5:$CC$5=$C243)*($E$26:$E$31=E$237))-SUMPRODUCT(($AH$26:$CC$31)*($AH$5:$CC$5=EOMONTH($C243,-1))*($E$26:$E$31=E$237))</f>
        <v>0</v>
      </c>
      <c r="F243" s="508"/>
      <c r="G243" s="508"/>
      <c r="H243" s="508"/>
      <c r="I243" s="508"/>
      <c r="J243" s="504">
        <f t="shared" si="265"/>
        <v>0</v>
      </c>
      <c r="K243" s="504">
        <f t="shared" si="265"/>
        <v>0</v>
      </c>
      <c r="L243" s="504">
        <f t="shared" si="265"/>
        <v>0</v>
      </c>
      <c r="M243" s="504">
        <f t="shared" si="265"/>
        <v>0</v>
      </c>
      <c r="N243" s="504"/>
      <c r="O243" s="504"/>
      <c r="P243" s="504">
        <f t="shared" si="266"/>
        <v>0</v>
      </c>
      <c r="Q243" s="504">
        <f t="shared" si="266"/>
        <v>0</v>
      </c>
      <c r="R243" s="504">
        <f t="shared" si="266"/>
        <v>0</v>
      </c>
      <c r="S243" s="504">
        <f t="shared" si="266"/>
        <v>0</v>
      </c>
      <c r="T243" s="504">
        <f t="shared" si="266"/>
        <v>0</v>
      </c>
      <c r="U243" s="504">
        <f t="shared" si="266"/>
        <v>0</v>
      </c>
      <c r="V243" s="504">
        <f t="shared" si="266"/>
        <v>0</v>
      </c>
      <c r="W243" s="504">
        <f t="shared" si="266"/>
        <v>0</v>
      </c>
      <c r="X243" s="504">
        <f t="shared" si="266"/>
        <v>0</v>
      </c>
      <c r="Y243" s="504">
        <f t="shared" si="266"/>
        <v>0</v>
      </c>
      <c r="Z243" s="504">
        <f t="shared" si="266"/>
        <v>0</v>
      </c>
      <c r="AA243" s="504">
        <f t="shared" si="266"/>
        <v>0</v>
      </c>
      <c r="AB243" s="504">
        <f t="shared" si="266"/>
        <v>0</v>
      </c>
      <c r="AC243" s="504">
        <f t="shared" si="266"/>
        <v>0</v>
      </c>
      <c r="AD243" s="504">
        <f t="shared" si="266"/>
        <v>0</v>
      </c>
      <c r="AE243" s="504">
        <f t="shared" si="266"/>
        <v>0</v>
      </c>
      <c r="AF243" s="508"/>
      <c r="AG243" s="508"/>
      <c r="AH243" s="507" cm="1">
        <f t="array" ref="AH243">_xlfn.LET(_xlpm.DepreciationMonths,INDEX(FixedAssets[Depreciation
/ Amortization Months],_xlfn.XMATCH($E$237,FixedAssets[Asset ID])),IF(AND((_xlfn.XMATCH(AH$8,$AH$8:$CC$8))-_xlfn.XMATCH($C243,$C$35:$C$82)+1&lt;=_xlpm.DepreciationMonths,$C243&lt;=AH$8),$E243/_xlpm.DepreciationMonths,0))</f>
        <v>0</v>
      </c>
      <c r="AI243" s="507" cm="1">
        <f t="array" ref="AI243">_xlfn.LET(_xlpm.DepreciationMonths,INDEX(FixedAssets[Depreciation
/ Amortization Months],_xlfn.XMATCH($E$237,FixedAssets[Asset ID])),IF(AND((_xlfn.XMATCH(AI$8,$AH$8:$CC$8))-_xlfn.XMATCH($C243,$C$35:$C$82)+1&lt;=_xlpm.DepreciationMonths,$C243&lt;=AI$8),$E243/_xlpm.DepreciationMonths,0))</f>
        <v>0</v>
      </c>
      <c r="AJ243" s="507" cm="1">
        <f t="array" ref="AJ243">_xlfn.LET(_xlpm.DepreciationMonths,INDEX(FixedAssets[Depreciation
/ Amortization Months],_xlfn.XMATCH($E$237,FixedAssets[Asset ID])),IF(AND((_xlfn.XMATCH(AJ$8,$AH$8:$CC$8))-_xlfn.XMATCH($C243,$C$35:$C$82)+1&lt;=_xlpm.DepreciationMonths,$C243&lt;=AJ$8),$E243/_xlpm.DepreciationMonths,0))</f>
        <v>0</v>
      </c>
      <c r="AK243" s="507" cm="1">
        <f t="array" ref="AK243">_xlfn.LET(_xlpm.DepreciationMonths,INDEX(FixedAssets[Depreciation
/ Amortization Months],_xlfn.XMATCH($E$237,FixedAssets[Asset ID])),IF(AND((_xlfn.XMATCH(AK$8,$AH$8:$CC$8))-_xlfn.XMATCH($C243,$C$35:$C$82)+1&lt;=_xlpm.DepreciationMonths,$C243&lt;=AK$8),$E243/_xlpm.DepreciationMonths,0))</f>
        <v>0</v>
      </c>
      <c r="AL243" s="507" cm="1">
        <f t="array" ref="AL243">_xlfn.LET(_xlpm.DepreciationMonths,INDEX(FixedAssets[Depreciation
/ Amortization Months],_xlfn.XMATCH($E$237,FixedAssets[Asset ID])),IF(AND((_xlfn.XMATCH(AL$8,$AH$8:$CC$8))-_xlfn.XMATCH($C243,$C$35:$C$82)+1&lt;=_xlpm.DepreciationMonths,$C243&lt;=AL$8),$E243/_xlpm.DepreciationMonths,0))</f>
        <v>0</v>
      </c>
      <c r="AM243" s="507" cm="1">
        <f t="array" ref="AM243">_xlfn.LET(_xlpm.DepreciationMonths,INDEX(FixedAssets[Depreciation
/ Amortization Months],_xlfn.XMATCH($E$237,FixedAssets[Asset ID])),IF(AND((_xlfn.XMATCH(AM$8,$AH$8:$CC$8))-_xlfn.XMATCH($C243,$C$35:$C$82)+1&lt;=_xlpm.DepreciationMonths,$C243&lt;=AM$8),$E243/_xlpm.DepreciationMonths,0))</f>
        <v>0</v>
      </c>
      <c r="AN243" s="507" cm="1">
        <f t="array" ref="AN243">_xlfn.LET(_xlpm.DepreciationMonths,INDEX(FixedAssets[Depreciation
/ Amortization Months],_xlfn.XMATCH($E$237,FixedAssets[Asset ID])),IF(AND((_xlfn.XMATCH(AN$8,$AH$8:$CC$8))-_xlfn.XMATCH($C243,$C$35:$C$82)+1&lt;=_xlpm.DepreciationMonths,$C243&lt;=AN$8),$E243/_xlpm.DepreciationMonths,0))</f>
        <v>0</v>
      </c>
      <c r="AO243" s="507" cm="1">
        <f t="array" ref="AO243">_xlfn.LET(_xlpm.DepreciationMonths,INDEX(FixedAssets[Depreciation
/ Amortization Months],_xlfn.XMATCH($E$237,FixedAssets[Asset ID])),IF(AND((_xlfn.XMATCH(AO$8,$AH$8:$CC$8))-_xlfn.XMATCH($C243,$C$35:$C$82)+1&lt;=_xlpm.DepreciationMonths,$C243&lt;=AO$8),$E243/_xlpm.DepreciationMonths,0))</f>
        <v>0</v>
      </c>
      <c r="AP243" s="507" cm="1">
        <f t="array" ref="AP243">_xlfn.LET(_xlpm.DepreciationMonths,INDEX(FixedAssets[Depreciation
/ Amortization Months],_xlfn.XMATCH($E$237,FixedAssets[Asset ID])),IF(AND((_xlfn.XMATCH(AP$8,$AH$8:$CC$8))-_xlfn.XMATCH($C243,$C$35:$C$82)+1&lt;=_xlpm.DepreciationMonths,$C243&lt;=AP$8),$E243/_xlpm.DepreciationMonths,0))</f>
        <v>0</v>
      </c>
      <c r="AQ243" s="507" cm="1">
        <f t="array" ref="AQ243">_xlfn.LET(_xlpm.DepreciationMonths,INDEX(FixedAssets[Depreciation
/ Amortization Months],_xlfn.XMATCH($E$237,FixedAssets[Asset ID])),IF(AND((_xlfn.XMATCH(AQ$8,$AH$8:$CC$8))-_xlfn.XMATCH($C243,$C$35:$C$82)+1&lt;=_xlpm.DepreciationMonths,$C243&lt;=AQ$8),$E243/_xlpm.DepreciationMonths,0))</f>
        <v>0</v>
      </c>
      <c r="AR243" s="507" cm="1">
        <f t="array" ref="AR243">_xlfn.LET(_xlpm.DepreciationMonths,INDEX(FixedAssets[Depreciation
/ Amortization Months],_xlfn.XMATCH($E$237,FixedAssets[Asset ID])),IF(AND((_xlfn.XMATCH(AR$8,$AH$8:$CC$8))-_xlfn.XMATCH($C243,$C$35:$C$82)+1&lt;=_xlpm.DepreciationMonths,$C243&lt;=AR$8),$E243/_xlpm.DepreciationMonths,0))</f>
        <v>0</v>
      </c>
      <c r="AS243" s="507" cm="1">
        <f t="array" ref="AS243">_xlfn.LET(_xlpm.DepreciationMonths,INDEX(FixedAssets[Depreciation
/ Amortization Months],_xlfn.XMATCH($E$237,FixedAssets[Asset ID])),IF(AND((_xlfn.XMATCH(AS$8,$AH$8:$CC$8))-_xlfn.XMATCH($C243,$C$35:$C$82)+1&lt;=_xlpm.DepreciationMonths,$C243&lt;=AS$8),$E243/_xlpm.DepreciationMonths,0))</f>
        <v>0</v>
      </c>
      <c r="AT243" s="507" cm="1">
        <f t="array" ref="AT243">_xlfn.LET(_xlpm.DepreciationMonths,INDEX(FixedAssets[Depreciation
/ Amortization Months],_xlfn.XMATCH($E$237,FixedAssets[Asset ID])),IF(AND((_xlfn.XMATCH(AT$8,$AH$8:$CC$8))-_xlfn.XMATCH($C243,$C$35:$C$82)+1&lt;=_xlpm.DepreciationMonths,$C243&lt;=AT$8),$E243/_xlpm.DepreciationMonths,0))</f>
        <v>0</v>
      </c>
      <c r="AU243" s="507" cm="1">
        <f t="array" ref="AU243">_xlfn.LET(_xlpm.DepreciationMonths,INDEX(FixedAssets[Depreciation
/ Amortization Months],_xlfn.XMATCH($E$237,FixedAssets[Asset ID])),IF(AND((_xlfn.XMATCH(AU$8,$AH$8:$CC$8))-_xlfn.XMATCH($C243,$C$35:$C$82)+1&lt;=_xlpm.DepreciationMonths,$C243&lt;=AU$8),$E243/_xlpm.DepreciationMonths,0))</f>
        <v>0</v>
      </c>
      <c r="AV243" s="507" cm="1">
        <f t="array" ref="AV243">_xlfn.LET(_xlpm.DepreciationMonths,INDEX(FixedAssets[Depreciation
/ Amortization Months],_xlfn.XMATCH($E$237,FixedAssets[Asset ID])),IF(AND((_xlfn.XMATCH(AV$8,$AH$8:$CC$8))-_xlfn.XMATCH($C243,$C$35:$C$82)+1&lt;=_xlpm.DepreciationMonths,$C243&lt;=AV$8),$E243/_xlpm.DepreciationMonths,0))</f>
        <v>0</v>
      </c>
      <c r="AW243" s="507" cm="1">
        <f t="array" ref="AW243">_xlfn.LET(_xlpm.DepreciationMonths,INDEX(FixedAssets[Depreciation
/ Amortization Months],_xlfn.XMATCH($E$237,FixedAssets[Asset ID])),IF(AND((_xlfn.XMATCH(AW$8,$AH$8:$CC$8))-_xlfn.XMATCH($C243,$C$35:$C$82)+1&lt;=_xlpm.DepreciationMonths,$C243&lt;=AW$8),$E243/_xlpm.DepreciationMonths,0))</f>
        <v>0</v>
      </c>
      <c r="AX243" s="507" cm="1">
        <f t="array" ref="AX243">_xlfn.LET(_xlpm.DepreciationMonths,INDEX(FixedAssets[Depreciation
/ Amortization Months],_xlfn.XMATCH($E$237,FixedAssets[Asset ID])),IF(AND((_xlfn.XMATCH(AX$8,$AH$8:$CC$8))-_xlfn.XMATCH($C243,$C$35:$C$82)+1&lt;=_xlpm.DepreciationMonths,$C243&lt;=AX$8),$E243/_xlpm.DepreciationMonths,0))</f>
        <v>0</v>
      </c>
      <c r="AY243" s="507" cm="1">
        <f t="array" ref="AY243">_xlfn.LET(_xlpm.DepreciationMonths,INDEX(FixedAssets[Depreciation
/ Amortization Months],_xlfn.XMATCH($E$237,FixedAssets[Asset ID])),IF(AND((_xlfn.XMATCH(AY$8,$AH$8:$CC$8))-_xlfn.XMATCH($C243,$C$35:$C$82)+1&lt;=_xlpm.DepreciationMonths,$C243&lt;=AY$8),$E243/_xlpm.DepreciationMonths,0))</f>
        <v>0</v>
      </c>
      <c r="AZ243" s="507" cm="1">
        <f t="array" ref="AZ243">_xlfn.LET(_xlpm.DepreciationMonths,INDEX(FixedAssets[Depreciation
/ Amortization Months],_xlfn.XMATCH($E$237,FixedAssets[Asset ID])),IF(AND((_xlfn.XMATCH(AZ$8,$AH$8:$CC$8))-_xlfn.XMATCH($C243,$C$35:$C$82)+1&lt;=_xlpm.DepreciationMonths,$C243&lt;=AZ$8),$E243/_xlpm.DepreciationMonths,0))</f>
        <v>0</v>
      </c>
      <c r="BA243" s="507" cm="1">
        <f t="array" ref="BA243">_xlfn.LET(_xlpm.DepreciationMonths,INDEX(FixedAssets[Depreciation
/ Amortization Months],_xlfn.XMATCH($E$237,FixedAssets[Asset ID])),IF(AND((_xlfn.XMATCH(BA$8,$AH$8:$CC$8))-_xlfn.XMATCH($C243,$C$35:$C$82)+1&lt;=_xlpm.DepreciationMonths,$C243&lt;=BA$8),$E243/_xlpm.DepreciationMonths,0))</f>
        <v>0</v>
      </c>
      <c r="BB243" s="507" cm="1">
        <f t="array" ref="BB243">_xlfn.LET(_xlpm.DepreciationMonths,INDEX(FixedAssets[Depreciation
/ Amortization Months],_xlfn.XMATCH($E$237,FixedAssets[Asset ID])),IF(AND((_xlfn.XMATCH(BB$8,$AH$8:$CC$8))-_xlfn.XMATCH($C243,$C$35:$C$82)+1&lt;=_xlpm.DepreciationMonths,$C243&lt;=BB$8),$E243/_xlpm.DepreciationMonths,0))</f>
        <v>0</v>
      </c>
      <c r="BC243" s="507" cm="1">
        <f t="array" ref="BC243">_xlfn.LET(_xlpm.DepreciationMonths,INDEX(FixedAssets[Depreciation
/ Amortization Months],_xlfn.XMATCH($E$237,FixedAssets[Asset ID])),IF(AND((_xlfn.XMATCH(BC$8,$AH$8:$CC$8))-_xlfn.XMATCH($C243,$C$35:$C$82)+1&lt;=_xlpm.DepreciationMonths,$C243&lt;=BC$8),$E243/_xlpm.DepreciationMonths,0))</f>
        <v>0</v>
      </c>
      <c r="BD243" s="507" cm="1">
        <f t="array" ref="BD243">_xlfn.LET(_xlpm.DepreciationMonths,INDEX(FixedAssets[Depreciation
/ Amortization Months],_xlfn.XMATCH($E$237,FixedAssets[Asset ID])),IF(AND((_xlfn.XMATCH(BD$8,$AH$8:$CC$8))-_xlfn.XMATCH($C243,$C$35:$C$82)+1&lt;=_xlpm.DepreciationMonths,$C243&lt;=BD$8),$E243/_xlpm.DepreciationMonths,0))</f>
        <v>0</v>
      </c>
      <c r="BE243" s="507" cm="1">
        <f t="array" ref="BE243">_xlfn.LET(_xlpm.DepreciationMonths,INDEX(FixedAssets[Depreciation
/ Amortization Months],_xlfn.XMATCH($E$237,FixedAssets[Asset ID])),IF(AND((_xlfn.XMATCH(BE$8,$AH$8:$CC$8))-_xlfn.XMATCH($C243,$C$35:$C$82)+1&lt;=_xlpm.DepreciationMonths,$C243&lt;=BE$8),$E243/_xlpm.DepreciationMonths,0))</f>
        <v>0</v>
      </c>
      <c r="BF243" s="507" cm="1">
        <f t="array" ref="BF243">_xlfn.LET(_xlpm.DepreciationMonths,INDEX(FixedAssets[Depreciation
/ Amortization Months],_xlfn.XMATCH($E$237,FixedAssets[Asset ID])),IF(AND((_xlfn.XMATCH(BF$8,$AH$8:$CC$8))-_xlfn.XMATCH($C243,$C$35:$C$82)+1&lt;=_xlpm.DepreciationMonths,$C243&lt;=BF$8),$E243/_xlpm.DepreciationMonths,0))</f>
        <v>0</v>
      </c>
      <c r="BG243" s="507" cm="1">
        <f t="array" ref="BG243">_xlfn.LET(_xlpm.DepreciationMonths,INDEX(FixedAssets[Depreciation
/ Amortization Months],_xlfn.XMATCH($E$237,FixedAssets[Asset ID])),IF(AND((_xlfn.XMATCH(BG$8,$AH$8:$CC$8))-_xlfn.XMATCH($C243,$C$35:$C$82)+1&lt;=_xlpm.DepreciationMonths,$C243&lt;=BG$8),$E243/_xlpm.DepreciationMonths,0))</f>
        <v>0</v>
      </c>
      <c r="BH243" s="507" cm="1">
        <f t="array" ref="BH243">_xlfn.LET(_xlpm.DepreciationMonths,INDEX(FixedAssets[Depreciation
/ Amortization Months],_xlfn.XMATCH($E$237,FixedAssets[Asset ID])),IF(AND((_xlfn.XMATCH(BH$8,$AH$8:$CC$8))-_xlfn.XMATCH($C243,$C$35:$C$82)+1&lt;=_xlpm.DepreciationMonths,$C243&lt;=BH$8),$E243/_xlpm.DepreciationMonths,0))</f>
        <v>0</v>
      </c>
      <c r="BI243" s="507" cm="1">
        <f t="array" ref="BI243">_xlfn.LET(_xlpm.DepreciationMonths,INDEX(FixedAssets[Depreciation
/ Amortization Months],_xlfn.XMATCH($E$237,FixedAssets[Asset ID])),IF(AND((_xlfn.XMATCH(BI$8,$AH$8:$CC$8))-_xlfn.XMATCH($C243,$C$35:$C$82)+1&lt;=_xlpm.DepreciationMonths,$C243&lt;=BI$8),$E243/_xlpm.DepreciationMonths,0))</f>
        <v>0</v>
      </c>
      <c r="BJ243" s="507" cm="1">
        <f t="array" ref="BJ243">_xlfn.LET(_xlpm.DepreciationMonths,INDEX(FixedAssets[Depreciation
/ Amortization Months],_xlfn.XMATCH($E$237,FixedAssets[Asset ID])),IF(AND((_xlfn.XMATCH(BJ$8,$AH$8:$CC$8))-_xlfn.XMATCH($C243,$C$35:$C$82)+1&lt;=_xlpm.DepreciationMonths,$C243&lt;=BJ$8),$E243/_xlpm.DepreciationMonths,0))</f>
        <v>0</v>
      </c>
      <c r="BK243" s="507" cm="1">
        <f t="array" ref="BK243">_xlfn.LET(_xlpm.DepreciationMonths,INDEX(FixedAssets[Depreciation
/ Amortization Months],_xlfn.XMATCH($E$237,FixedAssets[Asset ID])),IF(AND((_xlfn.XMATCH(BK$8,$AH$8:$CC$8))-_xlfn.XMATCH($C243,$C$35:$C$82)+1&lt;=_xlpm.DepreciationMonths,$C243&lt;=BK$8),$E243/_xlpm.DepreciationMonths,0))</f>
        <v>0</v>
      </c>
      <c r="BL243" s="507" cm="1">
        <f t="array" ref="BL243">_xlfn.LET(_xlpm.DepreciationMonths,INDEX(FixedAssets[Depreciation
/ Amortization Months],_xlfn.XMATCH($E$237,FixedAssets[Asset ID])),IF(AND((_xlfn.XMATCH(BL$8,$AH$8:$CC$8))-_xlfn.XMATCH($C243,$C$35:$C$82)+1&lt;=_xlpm.DepreciationMonths,$C243&lt;=BL$8),$E243/_xlpm.DepreciationMonths,0))</f>
        <v>0</v>
      </c>
      <c r="BM243" s="507" cm="1">
        <f t="array" ref="BM243">_xlfn.LET(_xlpm.DepreciationMonths,INDEX(FixedAssets[Depreciation
/ Amortization Months],_xlfn.XMATCH($E$237,FixedAssets[Asset ID])),IF(AND((_xlfn.XMATCH(BM$8,$AH$8:$CC$8))-_xlfn.XMATCH($C243,$C$35:$C$82)+1&lt;=_xlpm.DepreciationMonths,$C243&lt;=BM$8),$E243/_xlpm.DepreciationMonths,0))</f>
        <v>0</v>
      </c>
      <c r="BN243" s="507" cm="1">
        <f t="array" ref="BN243">_xlfn.LET(_xlpm.DepreciationMonths,INDEX(FixedAssets[Depreciation
/ Amortization Months],_xlfn.XMATCH($E$237,FixedAssets[Asset ID])),IF(AND((_xlfn.XMATCH(BN$8,$AH$8:$CC$8))-_xlfn.XMATCH($C243,$C$35:$C$82)+1&lt;=_xlpm.DepreciationMonths,$C243&lt;=BN$8),$E243/_xlpm.DepreciationMonths,0))</f>
        <v>0</v>
      </c>
      <c r="BO243" s="507" cm="1">
        <f t="array" ref="BO243">_xlfn.LET(_xlpm.DepreciationMonths,INDEX(FixedAssets[Depreciation
/ Amortization Months],_xlfn.XMATCH($E$237,FixedAssets[Asset ID])),IF(AND((_xlfn.XMATCH(BO$8,$AH$8:$CC$8))-_xlfn.XMATCH($C243,$C$35:$C$82)+1&lt;=_xlpm.DepreciationMonths,$C243&lt;=BO$8),$E243/_xlpm.DepreciationMonths,0))</f>
        <v>0</v>
      </c>
      <c r="BP243" s="507" cm="1">
        <f t="array" ref="BP243">_xlfn.LET(_xlpm.DepreciationMonths,INDEX(FixedAssets[Depreciation
/ Amortization Months],_xlfn.XMATCH($E$237,FixedAssets[Asset ID])),IF(AND((_xlfn.XMATCH(BP$8,$AH$8:$CC$8))-_xlfn.XMATCH($C243,$C$35:$C$82)+1&lt;=_xlpm.DepreciationMonths,$C243&lt;=BP$8),$E243/_xlpm.DepreciationMonths,0))</f>
        <v>0</v>
      </c>
      <c r="BQ243" s="507" cm="1">
        <f t="array" ref="BQ243">_xlfn.LET(_xlpm.DepreciationMonths,INDEX(FixedAssets[Depreciation
/ Amortization Months],_xlfn.XMATCH($E$237,FixedAssets[Asset ID])),IF(AND((_xlfn.XMATCH(BQ$8,$AH$8:$CC$8))-_xlfn.XMATCH($C243,$C$35:$C$82)+1&lt;=_xlpm.DepreciationMonths,$C243&lt;=BQ$8),$E243/_xlpm.DepreciationMonths,0))</f>
        <v>0</v>
      </c>
      <c r="BR243" s="507" cm="1">
        <f t="array" ref="BR243">_xlfn.LET(_xlpm.DepreciationMonths,INDEX(FixedAssets[Depreciation
/ Amortization Months],_xlfn.XMATCH($E$237,FixedAssets[Asset ID])),IF(AND((_xlfn.XMATCH(BR$8,$AH$8:$CC$8))-_xlfn.XMATCH($C243,$C$35:$C$82)+1&lt;=_xlpm.DepreciationMonths,$C243&lt;=BR$8),$E243/_xlpm.DepreciationMonths,0))</f>
        <v>0</v>
      </c>
      <c r="BS243" s="507" cm="1">
        <f t="array" ref="BS243">_xlfn.LET(_xlpm.DepreciationMonths,INDEX(FixedAssets[Depreciation
/ Amortization Months],_xlfn.XMATCH($E$237,FixedAssets[Asset ID])),IF(AND((_xlfn.XMATCH(BS$8,$AH$8:$CC$8))-_xlfn.XMATCH($C243,$C$35:$C$82)+1&lt;=_xlpm.DepreciationMonths,$C243&lt;=BS$8),$E243/_xlpm.DepreciationMonths,0))</f>
        <v>0</v>
      </c>
      <c r="BT243" s="507" cm="1">
        <f t="array" ref="BT243">_xlfn.LET(_xlpm.DepreciationMonths,INDEX(FixedAssets[Depreciation
/ Amortization Months],_xlfn.XMATCH($E$237,FixedAssets[Asset ID])),IF(AND((_xlfn.XMATCH(BT$8,$AH$8:$CC$8))-_xlfn.XMATCH($C243,$C$35:$C$82)+1&lt;=_xlpm.DepreciationMonths,$C243&lt;=BT$8),$E243/_xlpm.DepreciationMonths,0))</f>
        <v>0</v>
      </c>
      <c r="BU243" s="507" cm="1">
        <f t="array" ref="BU243">_xlfn.LET(_xlpm.DepreciationMonths,INDEX(FixedAssets[Depreciation
/ Amortization Months],_xlfn.XMATCH($E$237,FixedAssets[Asset ID])),IF(AND((_xlfn.XMATCH(BU$8,$AH$8:$CC$8))-_xlfn.XMATCH($C243,$C$35:$C$82)+1&lt;=_xlpm.DepreciationMonths,$C243&lt;=BU$8),$E243/_xlpm.DepreciationMonths,0))</f>
        <v>0</v>
      </c>
      <c r="BV243" s="507" cm="1">
        <f t="array" ref="BV243">_xlfn.LET(_xlpm.DepreciationMonths,INDEX(FixedAssets[Depreciation
/ Amortization Months],_xlfn.XMATCH($E$237,FixedAssets[Asset ID])),IF(AND((_xlfn.XMATCH(BV$8,$AH$8:$CC$8))-_xlfn.XMATCH($C243,$C$35:$C$82)+1&lt;=_xlpm.DepreciationMonths,$C243&lt;=BV$8),$E243/_xlpm.DepreciationMonths,0))</f>
        <v>0</v>
      </c>
      <c r="BW243" s="507" cm="1">
        <f t="array" ref="BW243">_xlfn.LET(_xlpm.DepreciationMonths,INDEX(FixedAssets[Depreciation
/ Amortization Months],_xlfn.XMATCH($E$237,FixedAssets[Asset ID])),IF(AND((_xlfn.XMATCH(BW$8,$AH$8:$CC$8))-_xlfn.XMATCH($C243,$C$35:$C$82)+1&lt;=_xlpm.DepreciationMonths,$C243&lt;=BW$8),$E243/_xlpm.DepreciationMonths,0))</f>
        <v>0</v>
      </c>
      <c r="BX243" s="507" cm="1">
        <f t="array" ref="BX243">_xlfn.LET(_xlpm.DepreciationMonths,INDEX(FixedAssets[Depreciation
/ Amortization Months],_xlfn.XMATCH($E$237,FixedAssets[Asset ID])),IF(AND((_xlfn.XMATCH(BX$8,$AH$8:$CC$8))-_xlfn.XMATCH($C243,$C$35:$C$82)+1&lt;=_xlpm.DepreciationMonths,$C243&lt;=BX$8),$E243/_xlpm.DepreciationMonths,0))</f>
        <v>0</v>
      </c>
      <c r="BY243" s="507" cm="1">
        <f t="array" ref="BY243">_xlfn.LET(_xlpm.DepreciationMonths,INDEX(FixedAssets[Depreciation
/ Amortization Months],_xlfn.XMATCH($E$237,FixedAssets[Asset ID])),IF(AND((_xlfn.XMATCH(BY$8,$AH$8:$CC$8))-_xlfn.XMATCH($C243,$C$35:$C$82)+1&lt;=_xlpm.DepreciationMonths,$C243&lt;=BY$8),$E243/_xlpm.DepreciationMonths,0))</f>
        <v>0</v>
      </c>
      <c r="BZ243" s="507" cm="1">
        <f t="array" ref="BZ243">_xlfn.LET(_xlpm.DepreciationMonths,INDEX(FixedAssets[Depreciation
/ Amortization Months],_xlfn.XMATCH($E$237,FixedAssets[Asset ID])),IF(AND((_xlfn.XMATCH(BZ$8,$AH$8:$CC$8))-_xlfn.XMATCH($C243,$C$35:$C$82)+1&lt;=_xlpm.DepreciationMonths,$C243&lt;=BZ$8),$E243/_xlpm.DepreciationMonths,0))</f>
        <v>0</v>
      </c>
      <c r="CA243" s="507" cm="1">
        <f t="array" ref="CA243">_xlfn.LET(_xlpm.DepreciationMonths,INDEX(FixedAssets[Depreciation
/ Amortization Months],_xlfn.XMATCH($E$237,FixedAssets[Asset ID])),IF(AND((_xlfn.XMATCH(CA$8,$AH$8:$CC$8))-_xlfn.XMATCH($C243,$C$35:$C$82)+1&lt;=_xlpm.DepreciationMonths,$C243&lt;=CA$8),$E243/_xlpm.DepreciationMonths,0))</f>
        <v>0</v>
      </c>
      <c r="CB243" s="507" cm="1">
        <f t="array" ref="CB243">_xlfn.LET(_xlpm.DepreciationMonths,INDEX(FixedAssets[Depreciation
/ Amortization Months],_xlfn.XMATCH($E$237,FixedAssets[Asset ID])),IF(AND((_xlfn.XMATCH(CB$8,$AH$8:$CC$8))-_xlfn.XMATCH($C243,$C$35:$C$82)+1&lt;=_xlpm.DepreciationMonths,$C243&lt;=CB$8),$E243/_xlpm.DepreciationMonths,0))</f>
        <v>0</v>
      </c>
      <c r="CC243" s="507" cm="1">
        <f t="array" ref="CC243">_xlfn.LET(_xlpm.DepreciationMonths,INDEX(FixedAssets[Depreciation
/ Amortization Months],_xlfn.XMATCH($E$237,FixedAssets[Asset ID])),IF(AND((_xlfn.XMATCH(CC$8,$AH$8:$CC$8))-_xlfn.XMATCH($C243,$C$35:$C$82)+1&lt;=_xlpm.DepreciationMonths,$C243&lt;=CC$8),$E243/_xlpm.DepreciationMonths,0))</f>
        <v>0</v>
      </c>
    </row>
    <row r="244" spans="3:81" hidden="1" outlineLevel="2">
      <c r="C244" s="664">
        <f t="shared" si="267"/>
        <v>45107</v>
      </c>
      <c r="D244" s="508"/>
      <c r="E244" s="508" cm="1">
        <f t="array" ref="E244">SUMPRODUCT(($AH$26:$CC$31)*($AH$5:$CC$5=$C244)*($E$26:$E$31=E$237))-SUMPRODUCT(($AH$26:$CC$31)*($AH$5:$CC$5=EOMONTH($C244,-1))*($E$26:$E$31=E$237))</f>
        <v>0</v>
      </c>
      <c r="F244" s="508"/>
      <c r="G244" s="508"/>
      <c r="H244" s="508"/>
      <c r="I244" s="508"/>
      <c r="J244" s="504">
        <f t="shared" si="265"/>
        <v>0</v>
      </c>
      <c r="K244" s="504">
        <f t="shared" si="265"/>
        <v>0</v>
      </c>
      <c r="L244" s="504">
        <f t="shared" si="265"/>
        <v>0</v>
      </c>
      <c r="M244" s="504">
        <f t="shared" si="265"/>
        <v>0</v>
      </c>
      <c r="N244" s="504"/>
      <c r="O244" s="504"/>
      <c r="P244" s="504">
        <f t="shared" si="266"/>
        <v>0</v>
      </c>
      <c r="Q244" s="504">
        <f t="shared" si="266"/>
        <v>0</v>
      </c>
      <c r="R244" s="504">
        <f t="shared" si="266"/>
        <v>0</v>
      </c>
      <c r="S244" s="504">
        <f t="shared" si="266"/>
        <v>0</v>
      </c>
      <c r="T244" s="504">
        <f t="shared" si="266"/>
        <v>0</v>
      </c>
      <c r="U244" s="504">
        <f t="shared" si="266"/>
        <v>0</v>
      </c>
      <c r="V244" s="504">
        <f t="shared" si="266"/>
        <v>0</v>
      </c>
      <c r="W244" s="504">
        <f t="shared" si="266"/>
        <v>0</v>
      </c>
      <c r="X244" s="504">
        <f t="shared" si="266"/>
        <v>0</v>
      </c>
      <c r="Y244" s="504">
        <f t="shared" si="266"/>
        <v>0</v>
      </c>
      <c r="Z244" s="504">
        <f t="shared" si="266"/>
        <v>0</v>
      </c>
      <c r="AA244" s="504">
        <f t="shared" si="266"/>
        <v>0</v>
      </c>
      <c r="AB244" s="504">
        <f t="shared" si="266"/>
        <v>0</v>
      </c>
      <c r="AC244" s="504">
        <f t="shared" si="266"/>
        <v>0</v>
      </c>
      <c r="AD244" s="504">
        <f t="shared" si="266"/>
        <v>0</v>
      </c>
      <c r="AE244" s="504">
        <f t="shared" si="266"/>
        <v>0</v>
      </c>
      <c r="AF244" s="508"/>
      <c r="AG244" s="508"/>
      <c r="AH244" s="507" cm="1">
        <f t="array" ref="AH244">_xlfn.LET(_xlpm.DepreciationMonths,INDEX(FixedAssets[Depreciation
/ Amortization Months],_xlfn.XMATCH($E$237,FixedAssets[Asset ID])),IF(AND((_xlfn.XMATCH(AH$8,$AH$8:$CC$8))-_xlfn.XMATCH($C244,$C$35:$C$82)+1&lt;=_xlpm.DepreciationMonths,$C244&lt;=AH$8),$E244/_xlpm.DepreciationMonths,0))</f>
        <v>0</v>
      </c>
      <c r="AI244" s="507" cm="1">
        <f t="array" ref="AI244">_xlfn.LET(_xlpm.DepreciationMonths,INDEX(FixedAssets[Depreciation
/ Amortization Months],_xlfn.XMATCH($E$237,FixedAssets[Asset ID])),IF(AND((_xlfn.XMATCH(AI$8,$AH$8:$CC$8))-_xlfn.XMATCH($C244,$C$35:$C$82)+1&lt;=_xlpm.DepreciationMonths,$C244&lt;=AI$8),$E244/_xlpm.DepreciationMonths,0))</f>
        <v>0</v>
      </c>
      <c r="AJ244" s="507" cm="1">
        <f t="array" ref="AJ244">_xlfn.LET(_xlpm.DepreciationMonths,INDEX(FixedAssets[Depreciation
/ Amortization Months],_xlfn.XMATCH($E$237,FixedAssets[Asset ID])),IF(AND((_xlfn.XMATCH(AJ$8,$AH$8:$CC$8))-_xlfn.XMATCH($C244,$C$35:$C$82)+1&lt;=_xlpm.DepreciationMonths,$C244&lt;=AJ$8),$E244/_xlpm.DepreciationMonths,0))</f>
        <v>0</v>
      </c>
      <c r="AK244" s="507" cm="1">
        <f t="array" ref="AK244">_xlfn.LET(_xlpm.DepreciationMonths,INDEX(FixedAssets[Depreciation
/ Amortization Months],_xlfn.XMATCH($E$237,FixedAssets[Asset ID])),IF(AND((_xlfn.XMATCH(AK$8,$AH$8:$CC$8))-_xlfn.XMATCH($C244,$C$35:$C$82)+1&lt;=_xlpm.DepreciationMonths,$C244&lt;=AK$8),$E244/_xlpm.DepreciationMonths,0))</f>
        <v>0</v>
      </c>
      <c r="AL244" s="507" cm="1">
        <f t="array" ref="AL244">_xlfn.LET(_xlpm.DepreciationMonths,INDEX(FixedAssets[Depreciation
/ Amortization Months],_xlfn.XMATCH($E$237,FixedAssets[Asset ID])),IF(AND((_xlfn.XMATCH(AL$8,$AH$8:$CC$8))-_xlfn.XMATCH($C244,$C$35:$C$82)+1&lt;=_xlpm.DepreciationMonths,$C244&lt;=AL$8),$E244/_xlpm.DepreciationMonths,0))</f>
        <v>0</v>
      </c>
      <c r="AM244" s="507" cm="1">
        <f t="array" ref="AM244">_xlfn.LET(_xlpm.DepreciationMonths,INDEX(FixedAssets[Depreciation
/ Amortization Months],_xlfn.XMATCH($E$237,FixedAssets[Asset ID])),IF(AND((_xlfn.XMATCH(AM$8,$AH$8:$CC$8))-_xlfn.XMATCH($C244,$C$35:$C$82)+1&lt;=_xlpm.DepreciationMonths,$C244&lt;=AM$8),$E244/_xlpm.DepreciationMonths,0))</f>
        <v>0</v>
      </c>
      <c r="AN244" s="507" cm="1">
        <f t="array" ref="AN244">_xlfn.LET(_xlpm.DepreciationMonths,INDEX(FixedAssets[Depreciation
/ Amortization Months],_xlfn.XMATCH($E$237,FixedAssets[Asset ID])),IF(AND((_xlfn.XMATCH(AN$8,$AH$8:$CC$8))-_xlfn.XMATCH($C244,$C$35:$C$82)+1&lt;=_xlpm.DepreciationMonths,$C244&lt;=AN$8),$E244/_xlpm.DepreciationMonths,0))</f>
        <v>0</v>
      </c>
      <c r="AO244" s="507" cm="1">
        <f t="array" ref="AO244">_xlfn.LET(_xlpm.DepreciationMonths,INDEX(FixedAssets[Depreciation
/ Amortization Months],_xlfn.XMATCH($E$237,FixedAssets[Asset ID])),IF(AND((_xlfn.XMATCH(AO$8,$AH$8:$CC$8))-_xlfn.XMATCH($C244,$C$35:$C$82)+1&lt;=_xlpm.DepreciationMonths,$C244&lt;=AO$8),$E244/_xlpm.DepreciationMonths,0))</f>
        <v>0</v>
      </c>
      <c r="AP244" s="507" cm="1">
        <f t="array" ref="AP244">_xlfn.LET(_xlpm.DepreciationMonths,INDEX(FixedAssets[Depreciation
/ Amortization Months],_xlfn.XMATCH($E$237,FixedAssets[Asset ID])),IF(AND((_xlfn.XMATCH(AP$8,$AH$8:$CC$8))-_xlfn.XMATCH($C244,$C$35:$C$82)+1&lt;=_xlpm.DepreciationMonths,$C244&lt;=AP$8),$E244/_xlpm.DepreciationMonths,0))</f>
        <v>0</v>
      </c>
      <c r="AQ244" s="507" cm="1">
        <f t="array" ref="AQ244">_xlfn.LET(_xlpm.DepreciationMonths,INDEX(FixedAssets[Depreciation
/ Amortization Months],_xlfn.XMATCH($E$237,FixedAssets[Asset ID])),IF(AND((_xlfn.XMATCH(AQ$8,$AH$8:$CC$8))-_xlfn.XMATCH($C244,$C$35:$C$82)+1&lt;=_xlpm.DepreciationMonths,$C244&lt;=AQ$8),$E244/_xlpm.DepreciationMonths,0))</f>
        <v>0</v>
      </c>
      <c r="AR244" s="507" cm="1">
        <f t="array" ref="AR244">_xlfn.LET(_xlpm.DepreciationMonths,INDEX(FixedAssets[Depreciation
/ Amortization Months],_xlfn.XMATCH($E$237,FixedAssets[Asset ID])),IF(AND((_xlfn.XMATCH(AR$8,$AH$8:$CC$8))-_xlfn.XMATCH($C244,$C$35:$C$82)+1&lt;=_xlpm.DepreciationMonths,$C244&lt;=AR$8),$E244/_xlpm.DepreciationMonths,0))</f>
        <v>0</v>
      </c>
      <c r="AS244" s="507" cm="1">
        <f t="array" ref="AS244">_xlfn.LET(_xlpm.DepreciationMonths,INDEX(FixedAssets[Depreciation
/ Amortization Months],_xlfn.XMATCH($E$237,FixedAssets[Asset ID])),IF(AND((_xlfn.XMATCH(AS$8,$AH$8:$CC$8))-_xlfn.XMATCH($C244,$C$35:$C$82)+1&lt;=_xlpm.DepreciationMonths,$C244&lt;=AS$8),$E244/_xlpm.DepreciationMonths,0))</f>
        <v>0</v>
      </c>
      <c r="AT244" s="507" cm="1">
        <f t="array" ref="AT244">_xlfn.LET(_xlpm.DepreciationMonths,INDEX(FixedAssets[Depreciation
/ Amortization Months],_xlfn.XMATCH($E$237,FixedAssets[Asset ID])),IF(AND((_xlfn.XMATCH(AT$8,$AH$8:$CC$8))-_xlfn.XMATCH($C244,$C$35:$C$82)+1&lt;=_xlpm.DepreciationMonths,$C244&lt;=AT$8),$E244/_xlpm.DepreciationMonths,0))</f>
        <v>0</v>
      </c>
      <c r="AU244" s="507" cm="1">
        <f t="array" ref="AU244">_xlfn.LET(_xlpm.DepreciationMonths,INDEX(FixedAssets[Depreciation
/ Amortization Months],_xlfn.XMATCH($E$237,FixedAssets[Asset ID])),IF(AND((_xlfn.XMATCH(AU$8,$AH$8:$CC$8))-_xlfn.XMATCH($C244,$C$35:$C$82)+1&lt;=_xlpm.DepreciationMonths,$C244&lt;=AU$8),$E244/_xlpm.DepreciationMonths,0))</f>
        <v>0</v>
      </c>
      <c r="AV244" s="507" cm="1">
        <f t="array" ref="AV244">_xlfn.LET(_xlpm.DepreciationMonths,INDEX(FixedAssets[Depreciation
/ Amortization Months],_xlfn.XMATCH($E$237,FixedAssets[Asset ID])),IF(AND((_xlfn.XMATCH(AV$8,$AH$8:$CC$8))-_xlfn.XMATCH($C244,$C$35:$C$82)+1&lt;=_xlpm.DepreciationMonths,$C244&lt;=AV$8),$E244/_xlpm.DepreciationMonths,0))</f>
        <v>0</v>
      </c>
      <c r="AW244" s="507" cm="1">
        <f t="array" ref="AW244">_xlfn.LET(_xlpm.DepreciationMonths,INDEX(FixedAssets[Depreciation
/ Amortization Months],_xlfn.XMATCH($E$237,FixedAssets[Asset ID])),IF(AND((_xlfn.XMATCH(AW$8,$AH$8:$CC$8))-_xlfn.XMATCH($C244,$C$35:$C$82)+1&lt;=_xlpm.DepreciationMonths,$C244&lt;=AW$8),$E244/_xlpm.DepreciationMonths,0))</f>
        <v>0</v>
      </c>
      <c r="AX244" s="507" cm="1">
        <f t="array" ref="AX244">_xlfn.LET(_xlpm.DepreciationMonths,INDEX(FixedAssets[Depreciation
/ Amortization Months],_xlfn.XMATCH($E$237,FixedAssets[Asset ID])),IF(AND((_xlfn.XMATCH(AX$8,$AH$8:$CC$8))-_xlfn.XMATCH($C244,$C$35:$C$82)+1&lt;=_xlpm.DepreciationMonths,$C244&lt;=AX$8),$E244/_xlpm.DepreciationMonths,0))</f>
        <v>0</v>
      </c>
      <c r="AY244" s="507" cm="1">
        <f t="array" ref="AY244">_xlfn.LET(_xlpm.DepreciationMonths,INDEX(FixedAssets[Depreciation
/ Amortization Months],_xlfn.XMATCH($E$237,FixedAssets[Asset ID])),IF(AND((_xlfn.XMATCH(AY$8,$AH$8:$CC$8))-_xlfn.XMATCH($C244,$C$35:$C$82)+1&lt;=_xlpm.DepreciationMonths,$C244&lt;=AY$8),$E244/_xlpm.DepreciationMonths,0))</f>
        <v>0</v>
      </c>
      <c r="AZ244" s="507" cm="1">
        <f t="array" ref="AZ244">_xlfn.LET(_xlpm.DepreciationMonths,INDEX(FixedAssets[Depreciation
/ Amortization Months],_xlfn.XMATCH($E$237,FixedAssets[Asset ID])),IF(AND((_xlfn.XMATCH(AZ$8,$AH$8:$CC$8))-_xlfn.XMATCH($C244,$C$35:$C$82)+1&lt;=_xlpm.DepreciationMonths,$C244&lt;=AZ$8),$E244/_xlpm.DepreciationMonths,0))</f>
        <v>0</v>
      </c>
      <c r="BA244" s="507" cm="1">
        <f t="array" ref="BA244">_xlfn.LET(_xlpm.DepreciationMonths,INDEX(FixedAssets[Depreciation
/ Amortization Months],_xlfn.XMATCH($E$237,FixedAssets[Asset ID])),IF(AND((_xlfn.XMATCH(BA$8,$AH$8:$CC$8))-_xlfn.XMATCH($C244,$C$35:$C$82)+1&lt;=_xlpm.DepreciationMonths,$C244&lt;=BA$8),$E244/_xlpm.DepreciationMonths,0))</f>
        <v>0</v>
      </c>
      <c r="BB244" s="507" cm="1">
        <f t="array" ref="BB244">_xlfn.LET(_xlpm.DepreciationMonths,INDEX(FixedAssets[Depreciation
/ Amortization Months],_xlfn.XMATCH($E$237,FixedAssets[Asset ID])),IF(AND((_xlfn.XMATCH(BB$8,$AH$8:$CC$8))-_xlfn.XMATCH($C244,$C$35:$C$82)+1&lt;=_xlpm.DepreciationMonths,$C244&lt;=BB$8),$E244/_xlpm.DepreciationMonths,0))</f>
        <v>0</v>
      </c>
      <c r="BC244" s="507" cm="1">
        <f t="array" ref="BC244">_xlfn.LET(_xlpm.DepreciationMonths,INDEX(FixedAssets[Depreciation
/ Amortization Months],_xlfn.XMATCH($E$237,FixedAssets[Asset ID])),IF(AND((_xlfn.XMATCH(BC$8,$AH$8:$CC$8))-_xlfn.XMATCH($C244,$C$35:$C$82)+1&lt;=_xlpm.DepreciationMonths,$C244&lt;=BC$8),$E244/_xlpm.DepreciationMonths,0))</f>
        <v>0</v>
      </c>
      <c r="BD244" s="507" cm="1">
        <f t="array" ref="BD244">_xlfn.LET(_xlpm.DepreciationMonths,INDEX(FixedAssets[Depreciation
/ Amortization Months],_xlfn.XMATCH($E$237,FixedAssets[Asset ID])),IF(AND((_xlfn.XMATCH(BD$8,$AH$8:$CC$8))-_xlfn.XMATCH($C244,$C$35:$C$82)+1&lt;=_xlpm.DepreciationMonths,$C244&lt;=BD$8),$E244/_xlpm.DepreciationMonths,0))</f>
        <v>0</v>
      </c>
      <c r="BE244" s="507" cm="1">
        <f t="array" ref="BE244">_xlfn.LET(_xlpm.DepreciationMonths,INDEX(FixedAssets[Depreciation
/ Amortization Months],_xlfn.XMATCH($E$237,FixedAssets[Asset ID])),IF(AND((_xlfn.XMATCH(BE$8,$AH$8:$CC$8))-_xlfn.XMATCH($C244,$C$35:$C$82)+1&lt;=_xlpm.DepreciationMonths,$C244&lt;=BE$8),$E244/_xlpm.DepreciationMonths,0))</f>
        <v>0</v>
      </c>
      <c r="BF244" s="507" cm="1">
        <f t="array" ref="BF244">_xlfn.LET(_xlpm.DepreciationMonths,INDEX(FixedAssets[Depreciation
/ Amortization Months],_xlfn.XMATCH($E$237,FixedAssets[Asset ID])),IF(AND((_xlfn.XMATCH(BF$8,$AH$8:$CC$8))-_xlfn.XMATCH($C244,$C$35:$C$82)+1&lt;=_xlpm.DepreciationMonths,$C244&lt;=BF$8),$E244/_xlpm.DepreciationMonths,0))</f>
        <v>0</v>
      </c>
      <c r="BG244" s="507" cm="1">
        <f t="array" ref="BG244">_xlfn.LET(_xlpm.DepreciationMonths,INDEX(FixedAssets[Depreciation
/ Amortization Months],_xlfn.XMATCH($E$237,FixedAssets[Asset ID])),IF(AND((_xlfn.XMATCH(BG$8,$AH$8:$CC$8))-_xlfn.XMATCH($C244,$C$35:$C$82)+1&lt;=_xlpm.DepreciationMonths,$C244&lt;=BG$8),$E244/_xlpm.DepreciationMonths,0))</f>
        <v>0</v>
      </c>
      <c r="BH244" s="507" cm="1">
        <f t="array" ref="BH244">_xlfn.LET(_xlpm.DepreciationMonths,INDEX(FixedAssets[Depreciation
/ Amortization Months],_xlfn.XMATCH($E$237,FixedAssets[Asset ID])),IF(AND((_xlfn.XMATCH(BH$8,$AH$8:$CC$8))-_xlfn.XMATCH($C244,$C$35:$C$82)+1&lt;=_xlpm.DepreciationMonths,$C244&lt;=BH$8),$E244/_xlpm.DepreciationMonths,0))</f>
        <v>0</v>
      </c>
      <c r="BI244" s="507" cm="1">
        <f t="array" ref="BI244">_xlfn.LET(_xlpm.DepreciationMonths,INDEX(FixedAssets[Depreciation
/ Amortization Months],_xlfn.XMATCH($E$237,FixedAssets[Asset ID])),IF(AND((_xlfn.XMATCH(BI$8,$AH$8:$CC$8))-_xlfn.XMATCH($C244,$C$35:$C$82)+1&lt;=_xlpm.DepreciationMonths,$C244&lt;=BI$8),$E244/_xlpm.DepreciationMonths,0))</f>
        <v>0</v>
      </c>
      <c r="BJ244" s="507" cm="1">
        <f t="array" ref="BJ244">_xlfn.LET(_xlpm.DepreciationMonths,INDEX(FixedAssets[Depreciation
/ Amortization Months],_xlfn.XMATCH($E$237,FixedAssets[Asset ID])),IF(AND((_xlfn.XMATCH(BJ$8,$AH$8:$CC$8))-_xlfn.XMATCH($C244,$C$35:$C$82)+1&lt;=_xlpm.DepreciationMonths,$C244&lt;=BJ$8),$E244/_xlpm.DepreciationMonths,0))</f>
        <v>0</v>
      </c>
      <c r="BK244" s="507" cm="1">
        <f t="array" ref="BK244">_xlfn.LET(_xlpm.DepreciationMonths,INDEX(FixedAssets[Depreciation
/ Amortization Months],_xlfn.XMATCH($E$237,FixedAssets[Asset ID])),IF(AND((_xlfn.XMATCH(BK$8,$AH$8:$CC$8))-_xlfn.XMATCH($C244,$C$35:$C$82)+1&lt;=_xlpm.DepreciationMonths,$C244&lt;=BK$8),$E244/_xlpm.DepreciationMonths,0))</f>
        <v>0</v>
      </c>
      <c r="BL244" s="507" cm="1">
        <f t="array" ref="BL244">_xlfn.LET(_xlpm.DepreciationMonths,INDEX(FixedAssets[Depreciation
/ Amortization Months],_xlfn.XMATCH($E$237,FixedAssets[Asset ID])),IF(AND((_xlfn.XMATCH(BL$8,$AH$8:$CC$8))-_xlfn.XMATCH($C244,$C$35:$C$82)+1&lt;=_xlpm.DepreciationMonths,$C244&lt;=BL$8),$E244/_xlpm.DepreciationMonths,0))</f>
        <v>0</v>
      </c>
      <c r="BM244" s="507" cm="1">
        <f t="array" ref="BM244">_xlfn.LET(_xlpm.DepreciationMonths,INDEX(FixedAssets[Depreciation
/ Amortization Months],_xlfn.XMATCH($E$237,FixedAssets[Asset ID])),IF(AND((_xlfn.XMATCH(BM$8,$AH$8:$CC$8))-_xlfn.XMATCH($C244,$C$35:$C$82)+1&lt;=_xlpm.DepreciationMonths,$C244&lt;=BM$8),$E244/_xlpm.DepreciationMonths,0))</f>
        <v>0</v>
      </c>
      <c r="BN244" s="507" cm="1">
        <f t="array" ref="BN244">_xlfn.LET(_xlpm.DepreciationMonths,INDEX(FixedAssets[Depreciation
/ Amortization Months],_xlfn.XMATCH($E$237,FixedAssets[Asset ID])),IF(AND((_xlfn.XMATCH(BN$8,$AH$8:$CC$8))-_xlfn.XMATCH($C244,$C$35:$C$82)+1&lt;=_xlpm.DepreciationMonths,$C244&lt;=BN$8),$E244/_xlpm.DepreciationMonths,0))</f>
        <v>0</v>
      </c>
      <c r="BO244" s="507" cm="1">
        <f t="array" ref="BO244">_xlfn.LET(_xlpm.DepreciationMonths,INDEX(FixedAssets[Depreciation
/ Amortization Months],_xlfn.XMATCH($E$237,FixedAssets[Asset ID])),IF(AND((_xlfn.XMATCH(BO$8,$AH$8:$CC$8))-_xlfn.XMATCH($C244,$C$35:$C$82)+1&lt;=_xlpm.DepreciationMonths,$C244&lt;=BO$8),$E244/_xlpm.DepreciationMonths,0))</f>
        <v>0</v>
      </c>
      <c r="BP244" s="507" cm="1">
        <f t="array" ref="BP244">_xlfn.LET(_xlpm.DepreciationMonths,INDEX(FixedAssets[Depreciation
/ Amortization Months],_xlfn.XMATCH($E$237,FixedAssets[Asset ID])),IF(AND((_xlfn.XMATCH(BP$8,$AH$8:$CC$8))-_xlfn.XMATCH($C244,$C$35:$C$82)+1&lt;=_xlpm.DepreciationMonths,$C244&lt;=BP$8),$E244/_xlpm.DepreciationMonths,0))</f>
        <v>0</v>
      </c>
      <c r="BQ244" s="507" cm="1">
        <f t="array" ref="BQ244">_xlfn.LET(_xlpm.DepreciationMonths,INDEX(FixedAssets[Depreciation
/ Amortization Months],_xlfn.XMATCH($E$237,FixedAssets[Asset ID])),IF(AND((_xlfn.XMATCH(BQ$8,$AH$8:$CC$8))-_xlfn.XMATCH($C244,$C$35:$C$82)+1&lt;=_xlpm.DepreciationMonths,$C244&lt;=BQ$8),$E244/_xlpm.DepreciationMonths,0))</f>
        <v>0</v>
      </c>
      <c r="BR244" s="507" cm="1">
        <f t="array" ref="BR244">_xlfn.LET(_xlpm.DepreciationMonths,INDEX(FixedAssets[Depreciation
/ Amortization Months],_xlfn.XMATCH($E$237,FixedAssets[Asset ID])),IF(AND((_xlfn.XMATCH(BR$8,$AH$8:$CC$8))-_xlfn.XMATCH($C244,$C$35:$C$82)+1&lt;=_xlpm.DepreciationMonths,$C244&lt;=BR$8),$E244/_xlpm.DepreciationMonths,0))</f>
        <v>0</v>
      </c>
      <c r="BS244" s="507" cm="1">
        <f t="array" ref="BS244">_xlfn.LET(_xlpm.DepreciationMonths,INDEX(FixedAssets[Depreciation
/ Amortization Months],_xlfn.XMATCH($E$237,FixedAssets[Asset ID])),IF(AND((_xlfn.XMATCH(BS$8,$AH$8:$CC$8))-_xlfn.XMATCH($C244,$C$35:$C$82)+1&lt;=_xlpm.DepreciationMonths,$C244&lt;=BS$8),$E244/_xlpm.DepreciationMonths,0))</f>
        <v>0</v>
      </c>
      <c r="BT244" s="507" cm="1">
        <f t="array" ref="BT244">_xlfn.LET(_xlpm.DepreciationMonths,INDEX(FixedAssets[Depreciation
/ Amortization Months],_xlfn.XMATCH($E$237,FixedAssets[Asset ID])),IF(AND((_xlfn.XMATCH(BT$8,$AH$8:$CC$8))-_xlfn.XMATCH($C244,$C$35:$C$82)+1&lt;=_xlpm.DepreciationMonths,$C244&lt;=BT$8),$E244/_xlpm.DepreciationMonths,0))</f>
        <v>0</v>
      </c>
      <c r="BU244" s="507" cm="1">
        <f t="array" ref="BU244">_xlfn.LET(_xlpm.DepreciationMonths,INDEX(FixedAssets[Depreciation
/ Amortization Months],_xlfn.XMATCH($E$237,FixedAssets[Asset ID])),IF(AND((_xlfn.XMATCH(BU$8,$AH$8:$CC$8))-_xlfn.XMATCH($C244,$C$35:$C$82)+1&lt;=_xlpm.DepreciationMonths,$C244&lt;=BU$8),$E244/_xlpm.DepreciationMonths,0))</f>
        <v>0</v>
      </c>
      <c r="BV244" s="507" cm="1">
        <f t="array" ref="BV244">_xlfn.LET(_xlpm.DepreciationMonths,INDEX(FixedAssets[Depreciation
/ Amortization Months],_xlfn.XMATCH($E$237,FixedAssets[Asset ID])),IF(AND((_xlfn.XMATCH(BV$8,$AH$8:$CC$8))-_xlfn.XMATCH($C244,$C$35:$C$82)+1&lt;=_xlpm.DepreciationMonths,$C244&lt;=BV$8),$E244/_xlpm.DepreciationMonths,0))</f>
        <v>0</v>
      </c>
      <c r="BW244" s="507" cm="1">
        <f t="array" ref="BW244">_xlfn.LET(_xlpm.DepreciationMonths,INDEX(FixedAssets[Depreciation
/ Amortization Months],_xlfn.XMATCH($E$237,FixedAssets[Asset ID])),IF(AND((_xlfn.XMATCH(BW$8,$AH$8:$CC$8))-_xlfn.XMATCH($C244,$C$35:$C$82)+1&lt;=_xlpm.DepreciationMonths,$C244&lt;=BW$8),$E244/_xlpm.DepreciationMonths,0))</f>
        <v>0</v>
      </c>
      <c r="BX244" s="507" cm="1">
        <f t="array" ref="BX244">_xlfn.LET(_xlpm.DepreciationMonths,INDEX(FixedAssets[Depreciation
/ Amortization Months],_xlfn.XMATCH($E$237,FixedAssets[Asset ID])),IF(AND((_xlfn.XMATCH(BX$8,$AH$8:$CC$8))-_xlfn.XMATCH($C244,$C$35:$C$82)+1&lt;=_xlpm.DepreciationMonths,$C244&lt;=BX$8),$E244/_xlpm.DepreciationMonths,0))</f>
        <v>0</v>
      </c>
      <c r="BY244" s="507" cm="1">
        <f t="array" ref="BY244">_xlfn.LET(_xlpm.DepreciationMonths,INDEX(FixedAssets[Depreciation
/ Amortization Months],_xlfn.XMATCH($E$237,FixedAssets[Asset ID])),IF(AND((_xlfn.XMATCH(BY$8,$AH$8:$CC$8))-_xlfn.XMATCH($C244,$C$35:$C$82)+1&lt;=_xlpm.DepreciationMonths,$C244&lt;=BY$8),$E244/_xlpm.DepreciationMonths,0))</f>
        <v>0</v>
      </c>
      <c r="BZ244" s="507" cm="1">
        <f t="array" ref="BZ244">_xlfn.LET(_xlpm.DepreciationMonths,INDEX(FixedAssets[Depreciation
/ Amortization Months],_xlfn.XMATCH($E$237,FixedAssets[Asset ID])),IF(AND((_xlfn.XMATCH(BZ$8,$AH$8:$CC$8))-_xlfn.XMATCH($C244,$C$35:$C$82)+1&lt;=_xlpm.DepreciationMonths,$C244&lt;=BZ$8),$E244/_xlpm.DepreciationMonths,0))</f>
        <v>0</v>
      </c>
      <c r="CA244" s="507" cm="1">
        <f t="array" ref="CA244">_xlfn.LET(_xlpm.DepreciationMonths,INDEX(FixedAssets[Depreciation
/ Amortization Months],_xlfn.XMATCH($E$237,FixedAssets[Asset ID])),IF(AND((_xlfn.XMATCH(CA$8,$AH$8:$CC$8))-_xlfn.XMATCH($C244,$C$35:$C$82)+1&lt;=_xlpm.DepreciationMonths,$C244&lt;=CA$8),$E244/_xlpm.DepreciationMonths,0))</f>
        <v>0</v>
      </c>
      <c r="CB244" s="507" cm="1">
        <f t="array" ref="CB244">_xlfn.LET(_xlpm.DepreciationMonths,INDEX(FixedAssets[Depreciation
/ Amortization Months],_xlfn.XMATCH($E$237,FixedAssets[Asset ID])),IF(AND((_xlfn.XMATCH(CB$8,$AH$8:$CC$8))-_xlfn.XMATCH($C244,$C$35:$C$82)+1&lt;=_xlpm.DepreciationMonths,$C244&lt;=CB$8),$E244/_xlpm.DepreciationMonths,0))</f>
        <v>0</v>
      </c>
      <c r="CC244" s="507" cm="1">
        <f t="array" ref="CC244">_xlfn.LET(_xlpm.DepreciationMonths,INDEX(FixedAssets[Depreciation
/ Amortization Months],_xlfn.XMATCH($E$237,FixedAssets[Asset ID])),IF(AND((_xlfn.XMATCH(CC$8,$AH$8:$CC$8))-_xlfn.XMATCH($C244,$C$35:$C$82)+1&lt;=_xlpm.DepreciationMonths,$C244&lt;=CC$8),$E244/_xlpm.DepreciationMonths,0))</f>
        <v>0</v>
      </c>
    </row>
    <row r="245" spans="3:81" hidden="1" outlineLevel="2">
      <c r="C245" s="664">
        <f t="shared" si="267"/>
        <v>45138</v>
      </c>
      <c r="D245" s="508"/>
      <c r="E245" s="508" cm="1">
        <f t="array" ref="E245">SUMPRODUCT(($AH$26:$CC$31)*($AH$5:$CC$5=$C245)*($E$26:$E$31=E$237))-SUMPRODUCT(($AH$26:$CC$31)*($AH$5:$CC$5=EOMONTH($C245,-1))*($E$26:$E$31=E$237))</f>
        <v>0</v>
      </c>
      <c r="F245" s="508"/>
      <c r="G245" s="508"/>
      <c r="H245" s="508"/>
      <c r="I245" s="508"/>
      <c r="J245" s="504">
        <f t="shared" si="265"/>
        <v>0</v>
      </c>
      <c r="K245" s="504">
        <f t="shared" si="265"/>
        <v>0</v>
      </c>
      <c r="L245" s="504">
        <f t="shared" si="265"/>
        <v>0</v>
      </c>
      <c r="M245" s="504">
        <f t="shared" si="265"/>
        <v>0</v>
      </c>
      <c r="N245" s="504"/>
      <c r="O245" s="504"/>
      <c r="P245" s="504">
        <f t="shared" si="266"/>
        <v>0</v>
      </c>
      <c r="Q245" s="504">
        <f t="shared" si="266"/>
        <v>0</v>
      </c>
      <c r="R245" s="504">
        <f t="shared" si="266"/>
        <v>0</v>
      </c>
      <c r="S245" s="504">
        <f t="shared" si="266"/>
        <v>0</v>
      </c>
      <c r="T245" s="504">
        <f t="shared" si="266"/>
        <v>0</v>
      </c>
      <c r="U245" s="504">
        <f t="shared" si="266"/>
        <v>0</v>
      </c>
      <c r="V245" s="504">
        <f t="shared" si="266"/>
        <v>0</v>
      </c>
      <c r="W245" s="504">
        <f t="shared" si="266"/>
        <v>0</v>
      </c>
      <c r="X245" s="504">
        <f t="shared" si="266"/>
        <v>0</v>
      </c>
      <c r="Y245" s="504">
        <f t="shared" si="266"/>
        <v>0</v>
      </c>
      <c r="Z245" s="504">
        <f t="shared" si="266"/>
        <v>0</v>
      </c>
      <c r="AA245" s="504">
        <f t="shared" si="266"/>
        <v>0</v>
      </c>
      <c r="AB245" s="504">
        <f t="shared" si="266"/>
        <v>0</v>
      </c>
      <c r="AC245" s="504">
        <f t="shared" si="266"/>
        <v>0</v>
      </c>
      <c r="AD245" s="504">
        <f t="shared" si="266"/>
        <v>0</v>
      </c>
      <c r="AE245" s="504">
        <f t="shared" si="266"/>
        <v>0</v>
      </c>
      <c r="AF245" s="508"/>
      <c r="AG245" s="508"/>
      <c r="AH245" s="507" cm="1">
        <f t="array" ref="AH245">_xlfn.LET(_xlpm.DepreciationMonths,INDEX(FixedAssets[Depreciation
/ Amortization Months],_xlfn.XMATCH($E$237,FixedAssets[Asset ID])),IF(AND((_xlfn.XMATCH(AH$8,$AH$8:$CC$8))-_xlfn.XMATCH($C245,$C$35:$C$82)+1&lt;=_xlpm.DepreciationMonths,$C245&lt;=AH$8),$E245/_xlpm.DepreciationMonths,0))</f>
        <v>0</v>
      </c>
      <c r="AI245" s="507" cm="1">
        <f t="array" ref="AI245">_xlfn.LET(_xlpm.DepreciationMonths,INDEX(FixedAssets[Depreciation
/ Amortization Months],_xlfn.XMATCH($E$237,FixedAssets[Asset ID])),IF(AND((_xlfn.XMATCH(AI$8,$AH$8:$CC$8))-_xlfn.XMATCH($C245,$C$35:$C$82)+1&lt;=_xlpm.DepreciationMonths,$C245&lt;=AI$8),$E245/_xlpm.DepreciationMonths,0))</f>
        <v>0</v>
      </c>
      <c r="AJ245" s="507" cm="1">
        <f t="array" ref="AJ245">_xlfn.LET(_xlpm.DepreciationMonths,INDEX(FixedAssets[Depreciation
/ Amortization Months],_xlfn.XMATCH($E$237,FixedAssets[Asset ID])),IF(AND((_xlfn.XMATCH(AJ$8,$AH$8:$CC$8))-_xlfn.XMATCH($C245,$C$35:$C$82)+1&lt;=_xlpm.DepreciationMonths,$C245&lt;=AJ$8),$E245/_xlpm.DepreciationMonths,0))</f>
        <v>0</v>
      </c>
      <c r="AK245" s="507" cm="1">
        <f t="array" ref="AK245">_xlfn.LET(_xlpm.DepreciationMonths,INDEX(FixedAssets[Depreciation
/ Amortization Months],_xlfn.XMATCH($E$237,FixedAssets[Asset ID])),IF(AND((_xlfn.XMATCH(AK$8,$AH$8:$CC$8))-_xlfn.XMATCH($C245,$C$35:$C$82)+1&lt;=_xlpm.DepreciationMonths,$C245&lt;=AK$8),$E245/_xlpm.DepreciationMonths,0))</f>
        <v>0</v>
      </c>
      <c r="AL245" s="507" cm="1">
        <f t="array" ref="AL245">_xlfn.LET(_xlpm.DepreciationMonths,INDEX(FixedAssets[Depreciation
/ Amortization Months],_xlfn.XMATCH($E$237,FixedAssets[Asset ID])),IF(AND((_xlfn.XMATCH(AL$8,$AH$8:$CC$8))-_xlfn.XMATCH($C245,$C$35:$C$82)+1&lt;=_xlpm.DepreciationMonths,$C245&lt;=AL$8),$E245/_xlpm.DepreciationMonths,0))</f>
        <v>0</v>
      </c>
      <c r="AM245" s="507" cm="1">
        <f t="array" ref="AM245">_xlfn.LET(_xlpm.DepreciationMonths,INDEX(FixedAssets[Depreciation
/ Amortization Months],_xlfn.XMATCH($E$237,FixedAssets[Asset ID])),IF(AND((_xlfn.XMATCH(AM$8,$AH$8:$CC$8))-_xlfn.XMATCH($C245,$C$35:$C$82)+1&lt;=_xlpm.DepreciationMonths,$C245&lt;=AM$8),$E245/_xlpm.DepreciationMonths,0))</f>
        <v>0</v>
      </c>
      <c r="AN245" s="507" cm="1">
        <f t="array" ref="AN245">_xlfn.LET(_xlpm.DepreciationMonths,INDEX(FixedAssets[Depreciation
/ Amortization Months],_xlfn.XMATCH($E$237,FixedAssets[Asset ID])),IF(AND((_xlfn.XMATCH(AN$8,$AH$8:$CC$8))-_xlfn.XMATCH($C245,$C$35:$C$82)+1&lt;=_xlpm.DepreciationMonths,$C245&lt;=AN$8),$E245/_xlpm.DepreciationMonths,0))</f>
        <v>0</v>
      </c>
      <c r="AO245" s="507" cm="1">
        <f t="array" ref="AO245">_xlfn.LET(_xlpm.DepreciationMonths,INDEX(FixedAssets[Depreciation
/ Amortization Months],_xlfn.XMATCH($E$237,FixedAssets[Asset ID])),IF(AND((_xlfn.XMATCH(AO$8,$AH$8:$CC$8))-_xlfn.XMATCH($C245,$C$35:$C$82)+1&lt;=_xlpm.DepreciationMonths,$C245&lt;=AO$8),$E245/_xlpm.DepreciationMonths,0))</f>
        <v>0</v>
      </c>
      <c r="AP245" s="507" cm="1">
        <f t="array" ref="AP245">_xlfn.LET(_xlpm.DepreciationMonths,INDEX(FixedAssets[Depreciation
/ Amortization Months],_xlfn.XMATCH($E$237,FixedAssets[Asset ID])),IF(AND((_xlfn.XMATCH(AP$8,$AH$8:$CC$8))-_xlfn.XMATCH($C245,$C$35:$C$82)+1&lt;=_xlpm.DepreciationMonths,$C245&lt;=AP$8),$E245/_xlpm.DepreciationMonths,0))</f>
        <v>0</v>
      </c>
      <c r="AQ245" s="507" cm="1">
        <f t="array" ref="AQ245">_xlfn.LET(_xlpm.DepreciationMonths,INDEX(FixedAssets[Depreciation
/ Amortization Months],_xlfn.XMATCH($E$237,FixedAssets[Asset ID])),IF(AND((_xlfn.XMATCH(AQ$8,$AH$8:$CC$8))-_xlfn.XMATCH($C245,$C$35:$C$82)+1&lt;=_xlpm.DepreciationMonths,$C245&lt;=AQ$8),$E245/_xlpm.DepreciationMonths,0))</f>
        <v>0</v>
      </c>
      <c r="AR245" s="507" cm="1">
        <f t="array" ref="AR245">_xlfn.LET(_xlpm.DepreciationMonths,INDEX(FixedAssets[Depreciation
/ Amortization Months],_xlfn.XMATCH($E$237,FixedAssets[Asset ID])),IF(AND((_xlfn.XMATCH(AR$8,$AH$8:$CC$8))-_xlfn.XMATCH($C245,$C$35:$C$82)+1&lt;=_xlpm.DepreciationMonths,$C245&lt;=AR$8),$E245/_xlpm.DepreciationMonths,0))</f>
        <v>0</v>
      </c>
      <c r="AS245" s="507" cm="1">
        <f t="array" ref="AS245">_xlfn.LET(_xlpm.DepreciationMonths,INDEX(FixedAssets[Depreciation
/ Amortization Months],_xlfn.XMATCH($E$237,FixedAssets[Asset ID])),IF(AND((_xlfn.XMATCH(AS$8,$AH$8:$CC$8))-_xlfn.XMATCH($C245,$C$35:$C$82)+1&lt;=_xlpm.DepreciationMonths,$C245&lt;=AS$8),$E245/_xlpm.DepreciationMonths,0))</f>
        <v>0</v>
      </c>
      <c r="AT245" s="507" cm="1">
        <f t="array" ref="AT245">_xlfn.LET(_xlpm.DepreciationMonths,INDEX(FixedAssets[Depreciation
/ Amortization Months],_xlfn.XMATCH($E$237,FixedAssets[Asset ID])),IF(AND((_xlfn.XMATCH(AT$8,$AH$8:$CC$8))-_xlfn.XMATCH($C245,$C$35:$C$82)+1&lt;=_xlpm.DepreciationMonths,$C245&lt;=AT$8),$E245/_xlpm.DepreciationMonths,0))</f>
        <v>0</v>
      </c>
      <c r="AU245" s="507" cm="1">
        <f t="array" ref="AU245">_xlfn.LET(_xlpm.DepreciationMonths,INDEX(FixedAssets[Depreciation
/ Amortization Months],_xlfn.XMATCH($E$237,FixedAssets[Asset ID])),IF(AND((_xlfn.XMATCH(AU$8,$AH$8:$CC$8))-_xlfn.XMATCH($C245,$C$35:$C$82)+1&lt;=_xlpm.DepreciationMonths,$C245&lt;=AU$8),$E245/_xlpm.DepreciationMonths,0))</f>
        <v>0</v>
      </c>
      <c r="AV245" s="507" cm="1">
        <f t="array" ref="AV245">_xlfn.LET(_xlpm.DepreciationMonths,INDEX(FixedAssets[Depreciation
/ Amortization Months],_xlfn.XMATCH($E$237,FixedAssets[Asset ID])),IF(AND((_xlfn.XMATCH(AV$8,$AH$8:$CC$8))-_xlfn.XMATCH($C245,$C$35:$C$82)+1&lt;=_xlpm.DepreciationMonths,$C245&lt;=AV$8),$E245/_xlpm.DepreciationMonths,0))</f>
        <v>0</v>
      </c>
      <c r="AW245" s="507" cm="1">
        <f t="array" ref="AW245">_xlfn.LET(_xlpm.DepreciationMonths,INDEX(FixedAssets[Depreciation
/ Amortization Months],_xlfn.XMATCH($E$237,FixedAssets[Asset ID])),IF(AND((_xlfn.XMATCH(AW$8,$AH$8:$CC$8))-_xlfn.XMATCH($C245,$C$35:$C$82)+1&lt;=_xlpm.DepreciationMonths,$C245&lt;=AW$8),$E245/_xlpm.DepreciationMonths,0))</f>
        <v>0</v>
      </c>
      <c r="AX245" s="507" cm="1">
        <f t="array" ref="AX245">_xlfn.LET(_xlpm.DepreciationMonths,INDEX(FixedAssets[Depreciation
/ Amortization Months],_xlfn.XMATCH($E$237,FixedAssets[Asset ID])),IF(AND((_xlfn.XMATCH(AX$8,$AH$8:$CC$8))-_xlfn.XMATCH($C245,$C$35:$C$82)+1&lt;=_xlpm.DepreciationMonths,$C245&lt;=AX$8),$E245/_xlpm.DepreciationMonths,0))</f>
        <v>0</v>
      </c>
      <c r="AY245" s="507" cm="1">
        <f t="array" ref="AY245">_xlfn.LET(_xlpm.DepreciationMonths,INDEX(FixedAssets[Depreciation
/ Amortization Months],_xlfn.XMATCH($E$237,FixedAssets[Asset ID])),IF(AND((_xlfn.XMATCH(AY$8,$AH$8:$CC$8))-_xlfn.XMATCH($C245,$C$35:$C$82)+1&lt;=_xlpm.DepreciationMonths,$C245&lt;=AY$8),$E245/_xlpm.DepreciationMonths,0))</f>
        <v>0</v>
      </c>
      <c r="AZ245" s="507" cm="1">
        <f t="array" ref="AZ245">_xlfn.LET(_xlpm.DepreciationMonths,INDEX(FixedAssets[Depreciation
/ Amortization Months],_xlfn.XMATCH($E$237,FixedAssets[Asset ID])),IF(AND((_xlfn.XMATCH(AZ$8,$AH$8:$CC$8))-_xlfn.XMATCH($C245,$C$35:$C$82)+1&lt;=_xlpm.DepreciationMonths,$C245&lt;=AZ$8),$E245/_xlpm.DepreciationMonths,0))</f>
        <v>0</v>
      </c>
      <c r="BA245" s="507" cm="1">
        <f t="array" ref="BA245">_xlfn.LET(_xlpm.DepreciationMonths,INDEX(FixedAssets[Depreciation
/ Amortization Months],_xlfn.XMATCH($E$237,FixedAssets[Asset ID])),IF(AND((_xlfn.XMATCH(BA$8,$AH$8:$CC$8))-_xlfn.XMATCH($C245,$C$35:$C$82)+1&lt;=_xlpm.DepreciationMonths,$C245&lt;=BA$8),$E245/_xlpm.DepreciationMonths,0))</f>
        <v>0</v>
      </c>
      <c r="BB245" s="507" cm="1">
        <f t="array" ref="BB245">_xlfn.LET(_xlpm.DepreciationMonths,INDEX(FixedAssets[Depreciation
/ Amortization Months],_xlfn.XMATCH($E$237,FixedAssets[Asset ID])),IF(AND((_xlfn.XMATCH(BB$8,$AH$8:$CC$8))-_xlfn.XMATCH($C245,$C$35:$C$82)+1&lt;=_xlpm.DepreciationMonths,$C245&lt;=BB$8),$E245/_xlpm.DepreciationMonths,0))</f>
        <v>0</v>
      </c>
      <c r="BC245" s="507" cm="1">
        <f t="array" ref="BC245">_xlfn.LET(_xlpm.DepreciationMonths,INDEX(FixedAssets[Depreciation
/ Amortization Months],_xlfn.XMATCH($E$237,FixedAssets[Asset ID])),IF(AND((_xlfn.XMATCH(BC$8,$AH$8:$CC$8))-_xlfn.XMATCH($C245,$C$35:$C$82)+1&lt;=_xlpm.DepreciationMonths,$C245&lt;=BC$8),$E245/_xlpm.DepreciationMonths,0))</f>
        <v>0</v>
      </c>
      <c r="BD245" s="507" cm="1">
        <f t="array" ref="BD245">_xlfn.LET(_xlpm.DepreciationMonths,INDEX(FixedAssets[Depreciation
/ Amortization Months],_xlfn.XMATCH($E$237,FixedAssets[Asset ID])),IF(AND((_xlfn.XMATCH(BD$8,$AH$8:$CC$8))-_xlfn.XMATCH($C245,$C$35:$C$82)+1&lt;=_xlpm.DepreciationMonths,$C245&lt;=BD$8),$E245/_xlpm.DepreciationMonths,0))</f>
        <v>0</v>
      </c>
      <c r="BE245" s="507" cm="1">
        <f t="array" ref="BE245">_xlfn.LET(_xlpm.DepreciationMonths,INDEX(FixedAssets[Depreciation
/ Amortization Months],_xlfn.XMATCH($E$237,FixedAssets[Asset ID])),IF(AND((_xlfn.XMATCH(BE$8,$AH$8:$CC$8))-_xlfn.XMATCH($C245,$C$35:$C$82)+1&lt;=_xlpm.DepreciationMonths,$C245&lt;=BE$8),$E245/_xlpm.DepreciationMonths,0))</f>
        <v>0</v>
      </c>
      <c r="BF245" s="507" cm="1">
        <f t="array" ref="BF245">_xlfn.LET(_xlpm.DepreciationMonths,INDEX(FixedAssets[Depreciation
/ Amortization Months],_xlfn.XMATCH($E$237,FixedAssets[Asset ID])),IF(AND((_xlfn.XMATCH(BF$8,$AH$8:$CC$8))-_xlfn.XMATCH($C245,$C$35:$C$82)+1&lt;=_xlpm.DepreciationMonths,$C245&lt;=BF$8),$E245/_xlpm.DepreciationMonths,0))</f>
        <v>0</v>
      </c>
      <c r="BG245" s="507" cm="1">
        <f t="array" ref="BG245">_xlfn.LET(_xlpm.DepreciationMonths,INDEX(FixedAssets[Depreciation
/ Amortization Months],_xlfn.XMATCH($E$237,FixedAssets[Asset ID])),IF(AND((_xlfn.XMATCH(BG$8,$AH$8:$CC$8))-_xlfn.XMATCH($C245,$C$35:$C$82)+1&lt;=_xlpm.DepreciationMonths,$C245&lt;=BG$8),$E245/_xlpm.DepreciationMonths,0))</f>
        <v>0</v>
      </c>
      <c r="BH245" s="507" cm="1">
        <f t="array" ref="BH245">_xlfn.LET(_xlpm.DepreciationMonths,INDEX(FixedAssets[Depreciation
/ Amortization Months],_xlfn.XMATCH($E$237,FixedAssets[Asset ID])),IF(AND((_xlfn.XMATCH(BH$8,$AH$8:$CC$8))-_xlfn.XMATCH($C245,$C$35:$C$82)+1&lt;=_xlpm.DepreciationMonths,$C245&lt;=BH$8),$E245/_xlpm.DepreciationMonths,0))</f>
        <v>0</v>
      </c>
      <c r="BI245" s="507" cm="1">
        <f t="array" ref="BI245">_xlfn.LET(_xlpm.DepreciationMonths,INDEX(FixedAssets[Depreciation
/ Amortization Months],_xlfn.XMATCH($E$237,FixedAssets[Asset ID])),IF(AND((_xlfn.XMATCH(BI$8,$AH$8:$CC$8))-_xlfn.XMATCH($C245,$C$35:$C$82)+1&lt;=_xlpm.DepreciationMonths,$C245&lt;=BI$8),$E245/_xlpm.DepreciationMonths,0))</f>
        <v>0</v>
      </c>
      <c r="BJ245" s="507" cm="1">
        <f t="array" ref="BJ245">_xlfn.LET(_xlpm.DepreciationMonths,INDEX(FixedAssets[Depreciation
/ Amortization Months],_xlfn.XMATCH($E$237,FixedAssets[Asset ID])),IF(AND((_xlfn.XMATCH(BJ$8,$AH$8:$CC$8))-_xlfn.XMATCH($C245,$C$35:$C$82)+1&lt;=_xlpm.DepreciationMonths,$C245&lt;=BJ$8),$E245/_xlpm.DepreciationMonths,0))</f>
        <v>0</v>
      </c>
      <c r="BK245" s="507" cm="1">
        <f t="array" ref="BK245">_xlfn.LET(_xlpm.DepreciationMonths,INDEX(FixedAssets[Depreciation
/ Amortization Months],_xlfn.XMATCH($E$237,FixedAssets[Asset ID])),IF(AND((_xlfn.XMATCH(BK$8,$AH$8:$CC$8))-_xlfn.XMATCH($C245,$C$35:$C$82)+1&lt;=_xlpm.DepreciationMonths,$C245&lt;=BK$8),$E245/_xlpm.DepreciationMonths,0))</f>
        <v>0</v>
      </c>
      <c r="BL245" s="507" cm="1">
        <f t="array" ref="BL245">_xlfn.LET(_xlpm.DepreciationMonths,INDEX(FixedAssets[Depreciation
/ Amortization Months],_xlfn.XMATCH($E$237,FixedAssets[Asset ID])),IF(AND((_xlfn.XMATCH(BL$8,$AH$8:$CC$8))-_xlfn.XMATCH($C245,$C$35:$C$82)+1&lt;=_xlpm.DepreciationMonths,$C245&lt;=BL$8),$E245/_xlpm.DepreciationMonths,0))</f>
        <v>0</v>
      </c>
      <c r="BM245" s="507" cm="1">
        <f t="array" ref="BM245">_xlfn.LET(_xlpm.DepreciationMonths,INDEX(FixedAssets[Depreciation
/ Amortization Months],_xlfn.XMATCH($E$237,FixedAssets[Asset ID])),IF(AND((_xlfn.XMATCH(BM$8,$AH$8:$CC$8))-_xlfn.XMATCH($C245,$C$35:$C$82)+1&lt;=_xlpm.DepreciationMonths,$C245&lt;=BM$8),$E245/_xlpm.DepreciationMonths,0))</f>
        <v>0</v>
      </c>
      <c r="BN245" s="507" cm="1">
        <f t="array" ref="BN245">_xlfn.LET(_xlpm.DepreciationMonths,INDEX(FixedAssets[Depreciation
/ Amortization Months],_xlfn.XMATCH($E$237,FixedAssets[Asset ID])),IF(AND((_xlfn.XMATCH(BN$8,$AH$8:$CC$8))-_xlfn.XMATCH($C245,$C$35:$C$82)+1&lt;=_xlpm.DepreciationMonths,$C245&lt;=BN$8),$E245/_xlpm.DepreciationMonths,0))</f>
        <v>0</v>
      </c>
      <c r="BO245" s="507" cm="1">
        <f t="array" ref="BO245">_xlfn.LET(_xlpm.DepreciationMonths,INDEX(FixedAssets[Depreciation
/ Amortization Months],_xlfn.XMATCH($E$237,FixedAssets[Asset ID])),IF(AND((_xlfn.XMATCH(BO$8,$AH$8:$CC$8))-_xlfn.XMATCH($C245,$C$35:$C$82)+1&lt;=_xlpm.DepreciationMonths,$C245&lt;=BO$8),$E245/_xlpm.DepreciationMonths,0))</f>
        <v>0</v>
      </c>
      <c r="BP245" s="507" cm="1">
        <f t="array" ref="BP245">_xlfn.LET(_xlpm.DepreciationMonths,INDEX(FixedAssets[Depreciation
/ Amortization Months],_xlfn.XMATCH($E$237,FixedAssets[Asset ID])),IF(AND((_xlfn.XMATCH(BP$8,$AH$8:$CC$8))-_xlfn.XMATCH($C245,$C$35:$C$82)+1&lt;=_xlpm.DepreciationMonths,$C245&lt;=BP$8),$E245/_xlpm.DepreciationMonths,0))</f>
        <v>0</v>
      </c>
      <c r="BQ245" s="507" cm="1">
        <f t="array" ref="BQ245">_xlfn.LET(_xlpm.DepreciationMonths,INDEX(FixedAssets[Depreciation
/ Amortization Months],_xlfn.XMATCH($E$237,FixedAssets[Asset ID])),IF(AND((_xlfn.XMATCH(BQ$8,$AH$8:$CC$8))-_xlfn.XMATCH($C245,$C$35:$C$82)+1&lt;=_xlpm.DepreciationMonths,$C245&lt;=BQ$8),$E245/_xlpm.DepreciationMonths,0))</f>
        <v>0</v>
      </c>
      <c r="BR245" s="507" cm="1">
        <f t="array" ref="BR245">_xlfn.LET(_xlpm.DepreciationMonths,INDEX(FixedAssets[Depreciation
/ Amortization Months],_xlfn.XMATCH($E$237,FixedAssets[Asset ID])),IF(AND((_xlfn.XMATCH(BR$8,$AH$8:$CC$8))-_xlfn.XMATCH($C245,$C$35:$C$82)+1&lt;=_xlpm.DepreciationMonths,$C245&lt;=BR$8),$E245/_xlpm.DepreciationMonths,0))</f>
        <v>0</v>
      </c>
      <c r="BS245" s="507" cm="1">
        <f t="array" ref="BS245">_xlfn.LET(_xlpm.DepreciationMonths,INDEX(FixedAssets[Depreciation
/ Amortization Months],_xlfn.XMATCH($E$237,FixedAssets[Asset ID])),IF(AND((_xlfn.XMATCH(BS$8,$AH$8:$CC$8))-_xlfn.XMATCH($C245,$C$35:$C$82)+1&lt;=_xlpm.DepreciationMonths,$C245&lt;=BS$8),$E245/_xlpm.DepreciationMonths,0))</f>
        <v>0</v>
      </c>
      <c r="BT245" s="507" cm="1">
        <f t="array" ref="BT245">_xlfn.LET(_xlpm.DepreciationMonths,INDEX(FixedAssets[Depreciation
/ Amortization Months],_xlfn.XMATCH($E$237,FixedAssets[Asset ID])),IF(AND((_xlfn.XMATCH(BT$8,$AH$8:$CC$8))-_xlfn.XMATCH($C245,$C$35:$C$82)+1&lt;=_xlpm.DepreciationMonths,$C245&lt;=BT$8),$E245/_xlpm.DepreciationMonths,0))</f>
        <v>0</v>
      </c>
      <c r="BU245" s="507" cm="1">
        <f t="array" ref="BU245">_xlfn.LET(_xlpm.DepreciationMonths,INDEX(FixedAssets[Depreciation
/ Amortization Months],_xlfn.XMATCH($E$237,FixedAssets[Asset ID])),IF(AND((_xlfn.XMATCH(BU$8,$AH$8:$CC$8))-_xlfn.XMATCH($C245,$C$35:$C$82)+1&lt;=_xlpm.DepreciationMonths,$C245&lt;=BU$8),$E245/_xlpm.DepreciationMonths,0))</f>
        <v>0</v>
      </c>
      <c r="BV245" s="507" cm="1">
        <f t="array" ref="BV245">_xlfn.LET(_xlpm.DepreciationMonths,INDEX(FixedAssets[Depreciation
/ Amortization Months],_xlfn.XMATCH($E$237,FixedAssets[Asset ID])),IF(AND((_xlfn.XMATCH(BV$8,$AH$8:$CC$8))-_xlfn.XMATCH($C245,$C$35:$C$82)+1&lt;=_xlpm.DepreciationMonths,$C245&lt;=BV$8),$E245/_xlpm.DepreciationMonths,0))</f>
        <v>0</v>
      </c>
      <c r="BW245" s="507" cm="1">
        <f t="array" ref="BW245">_xlfn.LET(_xlpm.DepreciationMonths,INDEX(FixedAssets[Depreciation
/ Amortization Months],_xlfn.XMATCH($E$237,FixedAssets[Asset ID])),IF(AND((_xlfn.XMATCH(BW$8,$AH$8:$CC$8))-_xlfn.XMATCH($C245,$C$35:$C$82)+1&lt;=_xlpm.DepreciationMonths,$C245&lt;=BW$8),$E245/_xlpm.DepreciationMonths,0))</f>
        <v>0</v>
      </c>
      <c r="BX245" s="507" cm="1">
        <f t="array" ref="BX245">_xlfn.LET(_xlpm.DepreciationMonths,INDEX(FixedAssets[Depreciation
/ Amortization Months],_xlfn.XMATCH($E$237,FixedAssets[Asset ID])),IF(AND((_xlfn.XMATCH(BX$8,$AH$8:$CC$8))-_xlfn.XMATCH($C245,$C$35:$C$82)+1&lt;=_xlpm.DepreciationMonths,$C245&lt;=BX$8),$E245/_xlpm.DepreciationMonths,0))</f>
        <v>0</v>
      </c>
      <c r="BY245" s="507" cm="1">
        <f t="array" ref="BY245">_xlfn.LET(_xlpm.DepreciationMonths,INDEX(FixedAssets[Depreciation
/ Amortization Months],_xlfn.XMATCH($E$237,FixedAssets[Asset ID])),IF(AND((_xlfn.XMATCH(BY$8,$AH$8:$CC$8))-_xlfn.XMATCH($C245,$C$35:$C$82)+1&lt;=_xlpm.DepreciationMonths,$C245&lt;=BY$8),$E245/_xlpm.DepreciationMonths,0))</f>
        <v>0</v>
      </c>
      <c r="BZ245" s="507" cm="1">
        <f t="array" ref="BZ245">_xlfn.LET(_xlpm.DepreciationMonths,INDEX(FixedAssets[Depreciation
/ Amortization Months],_xlfn.XMATCH($E$237,FixedAssets[Asset ID])),IF(AND((_xlfn.XMATCH(BZ$8,$AH$8:$CC$8))-_xlfn.XMATCH($C245,$C$35:$C$82)+1&lt;=_xlpm.DepreciationMonths,$C245&lt;=BZ$8),$E245/_xlpm.DepreciationMonths,0))</f>
        <v>0</v>
      </c>
      <c r="CA245" s="507" cm="1">
        <f t="array" ref="CA245">_xlfn.LET(_xlpm.DepreciationMonths,INDEX(FixedAssets[Depreciation
/ Amortization Months],_xlfn.XMATCH($E$237,FixedAssets[Asset ID])),IF(AND((_xlfn.XMATCH(CA$8,$AH$8:$CC$8))-_xlfn.XMATCH($C245,$C$35:$C$82)+1&lt;=_xlpm.DepreciationMonths,$C245&lt;=CA$8),$E245/_xlpm.DepreciationMonths,0))</f>
        <v>0</v>
      </c>
      <c r="CB245" s="507" cm="1">
        <f t="array" ref="CB245">_xlfn.LET(_xlpm.DepreciationMonths,INDEX(FixedAssets[Depreciation
/ Amortization Months],_xlfn.XMATCH($E$237,FixedAssets[Asset ID])),IF(AND((_xlfn.XMATCH(CB$8,$AH$8:$CC$8))-_xlfn.XMATCH($C245,$C$35:$C$82)+1&lt;=_xlpm.DepreciationMonths,$C245&lt;=CB$8),$E245/_xlpm.DepreciationMonths,0))</f>
        <v>0</v>
      </c>
      <c r="CC245" s="507" cm="1">
        <f t="array" ref="CC245">_xlfn.LET(_xlpm.DepreciationMonths,INDEX(FixedAssets[Depreciation
/ Amortization Months],_xlfn.XMATCH($E$237,FixedAssets[Asset ID])),IF(AND((_xlfn.XMATCH(CC$8,$AH$8:$CC$8))-_xlfn.XMATCH($C245,$C$35:$C$82)+1&lt;=_xlpm.DepreciationMonths,$C245&lt;=CC$8),$E245/_xlpm.DepreciationMonths,0))</f>
        <v>0</v>
      </c>
    </row>
    <row r="246" spans="3:81" hidden="1" outlineLevel="2">
      <c r="C246" s="664">
        <f t="shared" si="267"/>
        <v>45169</v>
      </c>
      <c r="D246" s="508"/>
      <c r="E246" s="508" cm="1">
        <f t="array" ref="E246">SUMPRODUCT(($AH$26:$CC$31)*($AH$5:$CC$5=$C246)*($E$26:$E$31=E$237))-SUMPRODUCT(($AH$26:$CC$31)*($AH$5:$CC$5=EOMONTH($C246,-1))*($E$26:$E$31=E$237))</f>
        <v>0</v>
      </c>
      <c r="F246" s="508"/>
      <c r="G246" s="508"/>
      <c r="H246" s="508"/>
      <c r="I246" s="508"/>
      <c r="J246" s="504">
        <f t="shared" si="265"/>
        <v>0</v>
      </c>
      <c r="K246" s="504">
        <f t="shared" si="265"/>
        <v>0</v>
      </c>
      <c r="L246" s="504">
        <f t="shared" si="265"/>
        <v>0</v>
      </c>
      <c r="M246" s="504">
        <f t="shared" si="265"/>
        <v>0</v>
      </c>
      <c r="N246" s="504"/>
      <c r="O246" s="504"/>
      <c r="P246" s="504">
        <f t="shared" si="266"/>
        <v>0</v>
      </c>
      <c r="Q246" s="504">
        <f t="shared" si="266"/>
        <v>0</v>
      </c>
      <c r="R246" s="504">
        <f t="shared" si="266"/>
        <v>0</v>
      </c>
      <c r="S246" s="504">
        <f t="shared" si="266"/>
        <v>0</v>
      </c>
      <c r="T246" s="504">
        <f t="shared" si="266"/>
        <v>0</v>
      </c>
      <c r="U246" s="504">
        <f t="shared" si="266"/>
        <v>0</v>
      </c>
      <c r="V246" s="504">
        <f t="shared" si="266"/>
        <v>0</v>
      </c>
      <c r="W246" s="504">
        <f t="shared" si="266"/>
        <v>0</v>
      </c>
      <c r="X246" s="504">
        <f t="shared" si="266"/>
        <v>0</v>
      </c>
      <c r="Y246" s="504">
        <f t="shared" si="266"/>
        <v>0</v>
      </c>
      <c r="Z246" s="504">
        <f t="shared" si="266"/>
        <v>0</v>
      </c>
      <c r="AA246" s="504">
        <f t="shared" si="266"/>
        <v>0</v>
      </c>
      <c r="AB246" s="504">
        <f t="shared" si="266"/>
        <v>0</v>
      </c>
      <c r="AC246" s="504">
        <f t="shared" si="266"/>
        <v>0</v>
      </c>
      <c r="AD246" s="504">
        <f t="shared" si="266"/>
        <v>0</v>
      </c>
      <c r="AE246" s="504">
        <f t="shared" si="266"/>
        <v>0</v>
      </c>
      <c r="AF246" s="508"/>
      <c r="AG246" s="508"/>
      <c r="AH246" s="507" cm="1">
        <f t="array" ref="AH246">_xlfn.LET(_xlpm.DepreciationMonths,INDEX(FixedAssets[Depreciation
/ Amortization Months],_xlfn.XMATCH($E$237,FixedAssets[Asset ID])),IF(AND((_xlfn.XMATCH(AH$8,$AH$8:$CC$8))-_xlfn.XMATCH($C246,$C$35:$C$82)+1&lt;=_xlpm.DepreciationMonths,$C246&lt;=AH$8),$E246/_xlpm.DepreciationMonths,0))</f>
        <v>0</v>
      </c>
      <c r="AI246" s="507" cm="1">
        <f t="array" ref="AI246">_xlfn.LET(_xlpm.DepreciationMonths,INDEX(FixedAssets[Depreciation
/ Amortization Months],_xlfn.XMATCH($E$237,FixedAssets[Asset ID])),IF(AND((_xlfn.XMATCH(AI$8,$AH$8:$CC$8))-_xlfn.XMATCH($C246,$C$35:$C$82)+1&lt;=_xlpm.DepreciationMonths,$C246&lt;=AI$8),$E246/_xlpm.DepreciationMonths,0))</f>
        <v>0</v>
      </c>
      <c r="AJ246" s="507" cm="1">
        <f t="array" ref="AJ246">_xlfn.LET(_xlpm.DepreciationMonths,INDEX(FixedAssets[Depreciation
/ Amortization Months],_xlfn.XMATCH($E$237,FixedAssets[Asset ID])),IF(AND((_xlfn.XMATCH(AJ$8,$AH$8:$CC$8))-_xlfn.XMATCH($C246,$C$35:$C$82)+1&lt;=_xlpm.DepreciationMonths,$C246&lt;=AJ$8),$E246/_xlpm.DepreciationMonths,0))</f>
        <v>0</v>
      </c>
      <c r="AK246" s="507" cm="1">
        <f t="array" ref="AK246">_xlfn.LET(_xlpm.DepreciationMonths,INDEX(FixedAssets[Depreciation
/ Amortization Months],_xlfn.XMATCH($E$237,FixedAssets[Asset ID])),IF(AND((_xlfn.XMATCH(AK$8,$AH$8:$CC$8))-_xlfn.XMATCH($C246,$C$35:$C$82)+1&lt;=_xlpm.DepreciationMonths,$C246&lt;=AK$8),$E246/_xlpm.DepreciationMonths,0))</f>
        <v>0</v>
      </c>
      <c r="AL246" s="507" cm="1">
        <f t="array" ref="AL246">_xlfn.LET(_xlpm.DepreciationMonths,INDEX(FixedAssets[Depreciation
/ Amortization Months],_xlfn.XMATCH($E$237,FixedAssets[Asset ID])),IF(AND((_xlfn.XMATCH(AL$8,$AH$8:$CC$8))-_xlfn.XMATCH($C246,$C$35:$C$82)+1&lt;=_xlpm.DepreciationMonths,$C246&lt;=AL$8),$E246/_xlpm.DepreciationMonths,0))</f>
        <v>0</v>
      </c>
      <c r="AM246" s="507" cm="1">
        <f t="array" ref="AM246">_xlfn.LET(_xlpm.DepreciationMonths,INDEX(FixedAssets[Depreciation
/ Amortization Months],_xlfn.XMATCH($E$237,FixedAssets[Asset ID])),IF(AND((_xlfn.XMATCH(AM$8,$AH$8:$CC$8))-_xlfn.XMATCH($C246,$C$35:$C$82)+1&lt;=_xlpm.DepreciationMonths,$C246&lt;=AM$8),$E246/_xlpm.DepreciationMonths,0))</f>
        <v>0</v>
      </c>
      <c r="AN246" s="507" cm="1">
        <f t="array" ref="AN246">_xlfn.LET(_xlpm.DepreciationMonths,INDEX(FixedAssets[Depreciation
/ Amortization Months],_xlfn.XMATCH($E$237,FixedAssets[Asset ID])),IF(AND((_xlfn.XMATCH(AN$8,$AH$8:$CC$8))-_xlfn.XMATCH($C246,$C$35:$C$82)+1&lt;=_xlpm.DepreciationMonths,$C246&lt;=AN$8),$E246/_xlpm.DepreciationMonths,0))</f>
        <v>0</v>
      </c>
      <c r="AO246" s="507" cm="1">
        <f t="array" ref="AO246">_xlfn.LET(_xlpm.DepreciationMonths,INDEX(FixedAssets[Depreciation
/ Amortization Months],_xlfn.XMATCH($E$237,FixedAssets[Asset ID])),IF(AND((_xlfn.XMATCH(AO$8,$AH$8:$CC$8))-_xlfn.XMATCH($C246,$C$35:$C$82)+1&lt;=_xlpm.DepreciationMonths,$C246&lt;=AO$8),$E246/_xlpm.DepreciationMonths,0))</f>
        <v>0</v>
      </c>
      <c r="AP246" s="507" cm="1">
        <f t="array" ref="AP246">_xlfn.LET(_xlpm.DepreciationMonths,INDEX(FixedAssets[Depreciation
/ Amortization Months],_xlfn.XMATCH($E$237,FixedAssets[Asset ID])),IF(AND((_xlfn.XMATCH(AP$8,$AH$8:$CC$8))-_xlfn.XMATCH($C246,$C$35:$C$82)+1&lt;=_xlpm.DepreciationMonths,$C246&lt;=AP$8),$E246/_xlpm.DepreciationMonths,0))</f>
        <v>0</v>
      </c>
      <c r="AQ246" s="507" cm="1">
        <f t="array" ref="AQ246">_xlfn.LET(_xlpm.DepreciationMonths,INDEX(FixedAssets[Depreciation
/ Amortization Months],_xlfn.XMATCH($E$237,FixedAssets[Asset ID])),IF(AND((_xlfn.XMATCH(AQ$8,$AH$8:$CC$8))-_xlfn.XMATCH($C246,$C$35:$C$82)+1&lt;=_xlpm.DepreciationMonths,$C246&lt;=AQ$8),$E246/_xlpm.DepreciationMonths,0))</f>
        <v>0</v>
      </c>
      <c r="AR246" s="507" cm="1">
        <f t="array" ref="AR246">_xlfn.LET(_xlpm.DepreciationMonths,INDEX(FixedAssets[Depreciation
/ Amortization Months],_xlfn.XMATCH($E$237,FixedAssets[Asset ID])),IF(AND((_xlfn.XMATCH(AR$8,$AH$8:$CC$8))-_xlfn.XMATCH($C246,$C$35:$C$82)+1&lt;=_xlpm.DepreciationMonths,$C246&lt;=AR$8),$E246/_xlpm.DepreciationMonths,0))</f>
        <v>0</v>
      </c>
      <c r="AS246" s="507" cm="1">
        <f t="array" ref="AS246">_xlfn.LET(_xlpm.DepreciationMonths,INDEX(FixedAssets[Depreciation
/ Amortization Months],_xlfn.XMATCH($E$237,FixedAssets[Asset ID])),IF(AND((_xlfn.XMATCH(AS$8,$AH$8:$CC$8))-_xlfn.XMATCH($C246,$C$35:$C$82)+1&lt;=_xlpm.DepreciationMonths,$C246&lt;=AS$8),$E246/_xlpm.DepreciationMonths,0))</f>
        <v>0</v>
      </c>
      <c r="AT246" s="507" cm="1">
        <f t="array" ref="AT246">_xlfn.LET(_xlpm.DepreciationMonths,INDEX(FixedAssets[Depreciation
/ Amortization Months],_xlfn.XMATCH($E$237,FixedAssets[Asset ID])),IF(AND((_xlfn.XMATCH(AT$8,$AH$8:$CC$8))-_xlfn.XMATCH($C246,$C$35:$C$82)+1&lt;=_xlpm.DepreciationMonths,$C246&lt;=AT$8),$E246/_xlpm.DepreciationMonths,0))</f>
        <v>0</v>
      </c>
      <c r="AU246" s="507" cm="1">
        <f t="array" ref="AU246">_xlfn.LET(_xlpm.DepreciationMonths,INDEX(FixedAssets[Depreciation
/ Amortization Months],_xlfn.XMATCH($E$237,FixedAssets[Asset ID])),IF(AND((_xlfn.XMATCH(AU$8,$AH$8:$CC$8))-_xlfn.XMATCH($C246,$C$35:$C$82)+1&lt;=_xlpm.DepreciationMonths,$C246&lt;=AU$8),$E246/_xlpm.DepreciationMonths,0))</f>
        <v>0</v>
      </c>
      <c r="AV246" s="507" cm="1">
        <f t="array" ref="AV246">_xlfn.LET(_xlpm.DepreciationMonths,INDEX(FixedAssets[Depreciation
/ Amortization Months],_xlfn.XMATCH($E$237,FixedAssets[Asset ID])),IF(AND((_xlfn.XMATCH(AV$8,$AH$8:$CC$8))-_xlfn.XMATCH($C246,$C$35:$C$82)+1&lt;=_xlpm.DepreciationMonths,$C246&lt;=AV$8),$E246/_xlpm.DepreciationMonths,0))</f>
        <v>0</v>
      </c>
      <c r="AW246" s="507" cm="1">
        <f t="array" ref="AW246">_xlfn.LET(_xlpm.DepreciationMonths,INDEX(FixedAssets[Depreciation
/ Amortization Months],_xlfn.XMATCH($E$237,FixedAssets[Asset ID])),IF(AND((_xlfn.XMATCH(AW$8,$AH$8:$CC$8))-_xlfn.XMATCH($C246,$C$35:$C$82)+1&lt;=_xlpm.DepreciationMonths,$C246&lt;=AW$8),$E246/_xlpm.DepreciationMonths,0))</f>
        <v>0</v>
      </c>
      <c r="AX246" s="507" cm="1">
        <f t="array" ref="AX246">_xlfn.LET(_xlpm.DepreciationMonths,INDEX(FixedAssets[Depreciation
/ Amortization Months],_xlfn.XMATCH($E$237,FixedAssets[Asset ID])),IF(AND((_xlfn.XMATCH(AX$8,$AH$8:$CC$8))-_xlfn.XMATCH($C246,$C$35:$C$82)+1&lt;=_xlpm.DepreciationMonths,$C246&lt;=AX$8),$E246/_xlpm.DepreciationMonths,0))</f>
        <v>0</v>
      </c>
      <c r="AY246" s="507" cm="1">
        <f t="array" ref="AY246">_xlfn.LET(_xlpm.DepreciationMonths,INDEX(FixedAssets[Depreciation
/ Amortization Months],_xlfn.XMATCH($E$237,FixedAssets[Asset ID])),IF(AND((_xlfn.XMATCH(AY$8,$AH$8:$CC$8))-_xlfn.XMATCH($C246,$C$35:$C$82)+1&lt;=_xlpm.DepreciationMonths,$C246&lt;=AY$8),$E246/_xlpm.DepreciationMonths,0))</f>
        <v>0</v>
      </c>
      <c r="AZ246" s="507" cm="1">
        <f t="array" ref="AZ246">_xlfn.LET(_xlpm.DepreciationMonths,INDEX(FixedAssets[Depreciation
/ Amortization Months],_xlfn.XMATCH($E$237,FixedAssets[Asset ID])),IF(AND((_xlfn.XMATCH(AZ$8,$AH$8:$CC$8))-_xlfn.XMATCH($C246,$C$35:$C$82)+1&lt;=_xlpm.DepreciationMonths,$C246&lt;=AZ$8),$E246/_xlpm.DepreciationMonths,0))</f>
        <v>0</v>
      </c>
      <c r="BA246" s="507" cm="1">
        <f t="array" ref="BA246">_xlfn.LET(_xlpm.DepreciationMonths,INDEX(FixedAssets[Depreciation
/ Amortization Months],_xlfn.XMATCH($E$237,FixedAssets[Asset ID])),IF(AND((_xlfn.XMATCH(BA$8,$AH$8:$CC$8))-_xlfn.XMATCH($C246,$C$35:$C$82)+1&lt;=_xlpm.DepreciationMonths,$C246&lt;=BA$8),$E246/_xlpm.DepreciationMonths,0))</f>
        <v>0</v>
      </c>
      <c r="BB246" s="507" cm="1">
        <f t="array" ref="BB246">_xlfn.LET(_xlpm.DepreciationMonths,INDEX(FixedAssets[Depreciation
/ Amortization Months],_xlfn.XMATCH($E$237,FixedAssets[Asset ID])),IF(AND((_xlfn.XMATCH(BB$8,$AH$8:$CC$8))-_xlfn.XMATCH($C246,$C$35:$C$82)+1&lt;=_xlpm.DepreciationMonths,$C246&lt;=BB$8),$E246/_xlpm.DepreciationMonths,0))</f>
        <v>0</v>
      </c>
      <c r="BC246" s="507" cm="1">
        <f t="array" ref="BC246">_xlfn.LET(_xlpm.DepreciationMonths,INDEX(FixedAssets[Depreciation
/ Amortization Months],_xlfn.XMATCH($E$237,FixedAssets[Asset ID])),IF(AND((_xlfn.XMATCH(BC$8,$AH$8:$CC$8))-_xlfn.XMATCH($C246,$C$35:$C$82)+1&lt;=_xlpm.DepreciationMonths,$C246&lt;=BC$8),$E246/_xlpm.DepreciationMonths,0))</f>
        <v>0</v>
      </c>
      <c r="BD246" s="507" cm="1">
        <f t="array" ref="BD246">_xlfn.LET(_xlpm.DepreciationMonths,INDEX(FixedAssets[Depreciation
/ Amortization Months],_xlfn.XMATCH($E$237,FixedAssets[Asset ID])),IF(AND((_xlfn.XMATCH(BD$8,$AH$8:$CC$8))-_xlfn.XMATCH($C246,$C$35:$C$82)+1&lt;=_xlpm.DepreciationMonths,$C246&lt;=BD$8),$E246/_xlpm.DepreciationMonths,0))</f>
        <v>0</v>
      </c>
      <c r="BE246" s="507" cm="1">
        <f t="array" ref="BE246">_xlfn.LET(_xlpm.DepreciationMonths,INDEX(FixedAssets[Depreciation
/ Amortization Months],_xlfn.XMATCH($E$237,FixedAssets[Asset ID])),IF(AND((_xlfn.XMATCH(BE$8,$AH$8:$CC$8))-_xlfn.XMATCH($C246,$C$35:$C$82)+1&lt;=_xlpm.DepreciationMonths,$C246&lt;=BE$8),$E246/_xlpm.DepreciationMonths,0))</f>
        <v>0</v>
      </c>
      <c r="BF246" s="507" cm="1">
        <f t="array" ref="BF246">_xlfn.LET(_xlpm.DepreciationMonths,INDEX(FixedAssets[Depreciation
/ Amortization Months],_xlfn.XMATCH($E$237,FixedAssets[Asset ID])),IF(AND((_xlfn.XMATCH(BF$8,$AH$8:$CC$8))-_xlfn.XMATCH($C246,$C$35:$C$82)+1&lt;=_xlpm.DepreciationMonths,$C246&lt;=BF$8),$E246/_xlpm.DepreciationMonths,0))</f>
        <v>0</v>
      </c>
      <c r="BG246" s="507" cm="1">
        <f t="array" ref="BG246">_xlfn.LET(_xlpm.DepreciationMonths,INDEX(FixedAssets[Depreciation
/ Amortization Months],_xlfn.XMATCH($E$237,FixedAssets[Asset ID])),IF(AND((_xlfn.XMATCH(BG$8,$AH$8:$CC$8))-_xlfn.XMATCH($C246,$C$35:$C$82)+1&lt;=_xlpm.DepreciationMonths,$C246&lt;=BG$8),$E246/_xlpm.DepreciationMonths,0))</f>
        <v>0</v>
      </c>
      <c r="BH246" s="507" cm="1">
        <f t="array" ref="BH246">_xlfn.LET(_xlpm.DepreciationMonths,INDEX(FixedAssets[Depreciation
/ Amortization Months],_xlfn.XMATCH($E$237,FixedAssets[Asset ID])),IF(AND((_xlfn.XMATCH(BH$8,$AH$8:$CC$8))-_xlfn.XMATCH($C246,$C$35:$C$82)+1&lt;=_xlpm.DepreciationMonths,$C246&lt;=BH$8),$E246/_xlpm.DepreciationMonths,0))</f>
        <v>0</v>
      </c>
      <c r="BI246" s="507" cm="1">
        <f t="array" ref="BI246">_xlfn.LET(_xlpm.DepreciationMonths,INDEX(FixedAssets[Depreciation
/ Amortization Months],_xlfn.XMATCH($E$237,FixedAssets[Asset ID])),IF(AND((_xlfn.XMATCH(BI$8,$AH$8:$CC$8))-_xlfn.XMATCH($C246,$C$35:$C$82)+1&lt;=_xlpm.DepreciationMonths,$C246&lt;=BI$8),$E246/_xlpm.DepreciationMonths,0))</f>
        <v>0</v>
      </c>
      <c r="BJ246" s="507" cm="1">
        <f t="array" ref="BJ246">_xlfn.LET(_xlpm.DepreciationMonths,INDEX(FixedAssets[Depreciation
/ Amortization Months],_xlfn.XMATCH($E$237,FixedAssets[Asset ID])),IF(AND((_xlfn.XMATCH(BJ$8,$AH$8:$CC$8))-_xlfn.XMATCH($C246,$C$35:$C$82)+1&lt;=_xlpm.DepreciationMonths,$C246&lt;=BJ$8),$E246/_xlpm.DepreciationMonths,0))</f>
        <v>0</v>
      </c>
      <c r="BK246" s="507" cm="1">
        <f t="array" ref="BK246">_xlfn.LET(_xlpm.DepreciationMonths,INDEX(FixedAssets[Depreciation
/ Amortization Months],_xlfn.XMATCH($E$237,FixedAssets[Asset ID])),IF(AND((_xlfn.XMATCH(BK$8,$AH$8:$CC$8))-_xlfn.XMATCH($C246,$C$35:$C$82)+1&lt;=_xlpm.DepreciationMonths,$C246&lt;=BK$8),$E246/_xlpm.DepreciationMonths,0))</f>
        <v>0</v>
      </c>
      <c r="BL246" s="507" cm="1">
        <f t="array" ref="BL246">_xlfn.LET(_xlpm.DepreciationMonths,INDEX(FixedAssets[Depreciation
/ Amortization Months],_xlfn.XMATCH($E$237,FixedAssets[Asset ID])),IF(AND((_xlfn.XMATCH(BL$8,$AH$8:$CC$8))-_xlfn.XMATCH($C246,$C$35:$C$82)+1&lt;=_xlpm.DepreciationMonths,$C246&lt;=BL$8),$E246/_xlpm.DepreciationMonths,0))</f>
        <v>0</v>
      </c>
      <c r="BM246" s="507" cm="1">
        <f t="array" ref="BM246">_xlfn.LET(_xlpm.DepreciationMonths,INDEX(FixedAssets[Depreciation
/ Amortization Months],_xlfn.XMATCH($E$237,FixedAssets[Asset ID])),IF(AND((_xlfn.XMATCH(BM$8,$AH$8:$CC$8))-_xlfn.XMATCH($C246,$C$35:$C$82)+1&lt;=_xlpm.DepreciationMonths,$C246&lt;=BM$8),$E246/_xlpm.DepreciationMonths,0))</f>
        <v>0</v>
      </c>
      <c r="BN246" s="507" cm="1">
        <f t="array" ref="BN246">_xlfn.LET(_xlpm.DepreciationMonths,INDEX(FixedAssets[Depreciation
/ Amortization Months],_xlfn.XMATCH($E$237,FixedAssets[Asset ID])),IF(AND((_xlfn.XMATCH(BN$8,$AH$8:$CC$8))-_xlfn.XMATCH($C246,$C$35:$C$82)+1&lt;=_xlpm.DepreciationMonths,$C246&lt;=BN$8),$E246/_xlpm.DepreciationMonths,0))</f>
        <v>0</v>
      </c>
      <c r="BO246" s="507" cm="1">
        <f t="array" ref="BO246">_xlfn.LET(_xlpm.DepreciationMonths,INDEX(FixedAssets[Depreciation
/ Amortization Months],_xlfn.XMATCH($E$237,FixedAssets[Asset ID])),IF(AND((_xlfn.XMATCH(BO$8,$AH$8:$CC$8))-_xlfn.XMATCH($C246,$C$35:$C$82)+1&lt;=_xlpm.DepreciationMonths,$C246&lt;=BO$8),$E246/_xlpm.DepreciationMonths,0))</f>
        <v>0</v>
      </c>
      <c r="BP246" s="507" cm="1">
        <f t="array" ref="BP246">_xlfn.LET(_xlpm.DepreciationMonths,INDEX(FixedAssets[Depreciation
/ Amortization Months],_xlfn.XMATCH($E$237,FixedAssets[Asset ID])),IF(AND((_xlfn.XMATCH(BP$8,$AH$8:$CC$8))-_xlfn.XMATCH($C246,$C$35:$C$82)+1&lt;=_xlpm.DepreciationMonths,$C246&lt;=BP$8),$E246/_xlpm.DepreciationMonths,0))</f>
        <v>0</v>
      </c>
      <c r="BQ246" s="507" cm="1">
        <f t="array" ref="BQ246">_xlfn.LET(_xlpm.DepreciationMonths,INDEX(FixedAssets[Depreciation
/ Amortization Months],_xlfn.XMATCH($E$237,FixedAssets[Asset ID])),IF(AND((_xlfn.XMATCH(BQ$8,$AH$8:$CC$8))-_xlfn.XMATCH($C246,$C$35:$C$82)+1&lt;=_xlpm.DepreciationMonths,$C246&lt;=BQ$8),$E246/_xlpm.DepreciationMonths,0))</f>
        <v>0</v>
      </c>
      <c r="BR246" s="507" cm="1">
        <f t="array" ref="BR246">_xlfn.LET(_xlpm.DepreciationMonths,INDEX(FixedAssets[Depreciation
/ Amortization Months],_xlfn.XMATCH($E$237,FixedAssets[Asset ID])),IF(AND((_xlfn.XMATCH(BR$8,$AH$8:$CC$8))-_xlfn.XMATCH($C246,$C$35:$C$82)+1&lt;=_xlpm.DepreciationMonths,$C246&lt;=BR$8),$E246/_xlpm.DepreciationMonths,0))</f>
        <v>0</v>
      </c>
      <c r="BS246" s="507" cm="1">
        <f t="array" ref="BS246">_xlfn.LET(_xlpm.DepreciationMonths,INDEX(FixedAssets[Depreciation
/ Amortization Months],_xlfn.XMATCH($E$237,FixedAssets[Asset ID])),IF(AND((_xlfn.XMATCH(BS$8,$AH$8:$CC$8))-_xlfn.XMATCH($C246,$C$35:$C$82)+1&lt;=_xlpm.DepreciationMonths,$C246&lt;=BS$8),$E246/_xlpm.DepreciationMonths,0))</f>
        <v>0</v>
      </c>
      <c r="BT246" s="507" cm="1">
        <f t="array" ref="BT246">_xlfn.LET(_xlpm.DepreciationMonths,INDEX(FixedAssets[Depreciation
/ Amortization Months],_xlfn.XMATCH($E$237,FixedAssets[Asset ID])),IF(AND((_xlfn.XMATCH(BT$8,$AH$8:$CC$8))-_xlfn.XMATCH($C246,$C$35:$C$82)+1&lt;=_xlpm.DepreciationMonths,$C246&lt;=BT$8),$E246/_xlpm.DepreciationMonths,0))</f>
        <v>0</v>
      </c>
      <c r="BU246" s="507" cm="1">
        <f t="array" ref="BU246">_xlfn.LET(_xlpm.DepreciationMonths,INDEX(FixedAssets[Depreciation
/ Amortization Months],_xlfn.XMATCH($E$237,FixedAssets[Asset ID])),IF(AND((_xlfn.XMATCH(BU$8,$AH$8:$CC$8))-_xlfn.XMATCH($C246,$C$35:$C$82)+1&lt;=_xlpm.DepreciationMonths,$C246&lt;=BU$8),$E246/_xlpm.DepreciationMonths,0))</f>
        <v>0</v>
      </c>
      <c r="BV246" s="507" cm="1">
        <f t="array" ref="BV246">_xlfn.LET(_xlpm.DepreciationMonths,INDEX(FixedAssets[Depreciation
/ Amortization Months],_xlfn.XMATCH($E$237,FixedAssets[Asset ID])),IF(AND((_xlfn.XMATCH(BV$8,$AH$8:$CC$8))-_xlfn.XMATCH($C246,$C$35:$C$82)+1&lt;=_xlpm.DepreciationMonths,$C246&lt;=BV$8),$E246/_xlpm.DepreciationMonths,0))</f>
        <v>0</v>
      </c>
      <c r="BW246" s="507" cm="1">
        <f t="array" ref="BW246">_xlfn.LET(_xlpm.DepreciationMonths,INDEX(FixedAssets[Depreciation
/ Amortization Months],_xlfn.XMATCH($E$237,FixedAssets[Asset ID])),IF(AND((_xlfn.XMATCH(BW$8,$AH$8:$CC$8))-_xlfn.XMATCH($C246,$C$35:$C$82)+1&lt;=_xlpm.DepreciationMonths,$C246&lt;=BW$8),$E246/_xlpm.DepreciationMonths,0))</f>
        <v>0</v>
      </c>
      <c r="BX246" s="507" cm="1">
        <f t="array" ref="BX246">_xlfn.LET(_xlpm.DepreciationMonths,INDEX(FixedAssets[Depreciation
/ Amortization Months],_xlfn.XMATCH($E$237,FixedAssets[Asset ID])),IF(AND((_xlfn.XMATCH(BX$8,$AH$8:$CC$8))-_xlfn.XMATCH($C246,$C$35:$C$82)+1&lt;=_xlpm.DepreciationMonths,$C246&lt;=BX$8),$E246/_xlpm.DepreciationMonths,0))</f>
        <v>0</v>
      </c>
      <c r="BY246" s="507" cm="1">
        <f t="array" ref="BY246">_xlfn.LET(_xlpm.DepreciationMonths,INDEX(FixedAssets[Depreciation
/ Amortization Months],_xlfn.XMATCH($E$237,FixedAssets[Asset ID])),IF(AND((_xlfn.XMATCH(BY$8,$AH$8:$CC$8))-_xlfn.XMATCH($C246,$C$35:$C$82)+1&lt;=_xlpm.DepreciationMonths,$C246&lt;=BY$8),$E246/_xlpm.DepreciationMonths,0))</f>
        <v>0</v>
      </c>
      <c r="BZ246" s="507" cm="1">
        <f t="array" ref="BZ246">_xlfn.LET(_xlpm.DepreciationMonths,INDEX(FixedAssets[Depreciation
/ Amortization Months],_xlfn.XMATCH($E$237,FixedAssets[Asset ID])),IF(AND((_xlfn.XMATCH(BZ$8,$AH$8:$CC$8))-_xlfn.XMATCH($C246,$C$35:$C$82)+1&lt;=_xlpm.DepreciationMonths,$C246&lt;=BZ$8),$E246/_xlpm.DepreciationMonths,0))</f>
        <v>0</v>
      </c>
      <c r="CA246" s="507" cm="1">
        <f t="array" ref="CA246">_xlfn.LET(_xlpm.DepreciationMonths,INDEX(FixedAssets[Depreciation
/ Amortization Months],_xlfn.XMATCH($E$237,FixedAssets[Asset ID])),IF(AND((_xlfn.XMATCH(CA$8,$AH$8:$CC$8))-_xlfn.XMATCH($C246,$C$35:$C$82)+1&lt;=_xlpm.DepreciationMonths,$C246&lt;=CA$8),$E246/_xlpm.DepreciationMonths,0))</f>
        <v>0</v>
      </c>
      <c r="CB246" s="507" cm="1">
        <f t="array" ref="CB246">_xlfn.LET(_xlpm.DepreciationMonths,INDEX(FixedAssets[Depreciation
/ Amortization Months],_xlfn.XMATCH($E$237,FixedAssets[Asset ID])),IF(AND((_xlfn.XMATCH(CB$8,$AH$8:$CC$8))-_xlfn.XMATCH($C246,$C$35:$C$82)+1&lt;=_xlpm.DepreciationMonths,$C246&lt;=CB$8),$E246/_xlpm.DepreciationMonths,0))</f>
        <v>0</v>
      </c>
      <c r="CC246" s="507" cm="1">
        <f t="array" ref="CC246">_xlfn.LET(_xlpm.DepreciationMonths,INDEX(FixedAssets[Depreciation
/ Amortization Months],_xlfn.XMATCH($E$237,FixedAssets[Asset ID])),IF(AND((_xlfn.XMATCH(CC$8,$AH$8:$CC$8))-_xlfn.XMATCH($C246,$C$35:$C$82)+1&lt;=_xlpm.DepreciationMonths,$C246&lt;=CC$8),$E246/_xlpm.DepreciationMonths,0))</f>
        <v>0</v>
      </c>
    </row>
    <row r="247" spans="3:81" hidden="1" outlineLevel="2">
      <c r="C247" s="664">
        <f t="shared" si="267"/>
        <v>45199</v>
      </c>
      <c r="D247" s="508"/>
      <c r="E247" s="508" cm="1">
        <f t="array" ref="E247">SUMPRODUCT(($AH$26:$CC$31)*($AH$5:$CC$5=$C247)*($E$26:$E$31=E$237))-SUMPRODUCT(($AH$26:$CC$31)*($AH$5:$CC$5=EOMONTH($C247,-1))*($E$26:$E$31=E$237))</f>
        <v>0</v>
      </c>
      <c r="F247" s="508"/>
      <c r="G247" s="508"/>
      <c r="H247" s="508"/>
      <c r="I247" s="508"/>
      <c r="J247" s="504">
        <f t="shared" si="265"/>
        <v>0</v>
      </c>
      <c r="K247" s="504">
        <f t="shared" si="265"/>
        <v>0</v>
      </c>
      <c r="L247" s="504">
        <f t="shared" si="265"/>
        <v>0</v>
      </c>
      <c r="M247" s="504">
        <f t="shared" si="265"/>
        <v>0</v>
      </c>
      <c r="N247" s="504"/>
      <c r="O247" s="504"/>
      <c r="P247" s="504">
        <f t="shared" si="266"/>
        <v>0</v>
      </c>
      <c r="Q247" s="504">
        <f t="shared" si="266"/>
        <v>0</v>
      </c>
      <c r="R247" s="504">
        <f t="shared" si="266"/>
        <v>0</v>
      </c>
      <c r="S247" s="504">
        <f t="shared" si="266"/>
        <v>0</v>
      </c>
      <c r="T247" s="504">
        <f t="shared" si="266"/>
        <v>0</v>
      </c>
      <c r="U247" s="504">
        <f t="shared" si="266"/>
        <v>0</v>
      </c>
      <c r="V247" s="504">
        <f t="shared" si="266"/>
        <v>0</v>
      </c>
      <c r="W247" s="504">
        <f t="shared" si="266"/>
        <v>0</v>
      </c>
      <c r="X247" s="504">
        <f t="shared" si="266"/>
        <v>0</v>
      </c>
      <c r="Y247" s="504">
        <f t="shared" si="266"/>
        <v>0</v>
      </c>
      <c r="Z247" s="504">
        <f t="shared" si="266"/>
        <v>0</v>
      </c>
      <c r="AA247" s="504">
        <f t="shared" si="266"/>
        <v>0</v>
      </c>
      <c r="AB247" s="504">
        <f t="shared" si="266"/>
        <v>0</v>
      </c>
      <c r="AC247" s="504">
        <f t="shared" si="266"/>
        <v>0</v>
      </c>
      <c r="AD247" s="504">
        <f t="shared" si="266"/>
        <v>0</v>
      </c>
      <c r="AE247" s="504">
        <f t="shared" si="266"/>
        <v>0</v>
      </c>
      <c r="AF247" s="508"/>
      <c r="AG247" s="508"/>
      <c r="AH247" s="507" cm="1">
        <f t="array" ref="AH247">_xlfn.LET(_xlpm.DepreciationMonths,INDEX(FixedAssets[Depreciation
/ Amortization Months],_xlfn.XMATCH($E$237,FixedAssets[Asset ID])),IF(AND((_xlfn.XMATCH(AH$8,$AH$8:$CC$8))-_xlfn.XMATCH($C247,$C$35:$C$82)+1&lt;=_xlpm.DepreciationMonths,$C247&lt;=AH$8),$E247/_xlpm.DepreciationMonths,0))</f>
        <v>0</v>
      </c>
      <c r="AI247" s="507" cm="1">
        <f t="array" ref="AI247">_xlfn.LET(_xlpm.DepreciationMonths,INDEX(FixedAssets[Depreciation
/ Amortization Months],_xlfn.XMATCH($E$237,FixedAssets[Asset ID])),IF(AND((_xlfn.XMATCH(AI$8,$AH$8:$CC$8))-_xlfn.XMATCH($C247,$C$35:$C$82)+1&lt;=_xlpm.DepreciationMonths,$C247&lt;=AI$8),$E247/_xlpm.DepreciationMonths,0))</f>
        <v>0</v>
      </c>
      <c r="AJ247" s="507" cm="1">
        <f t="array" ref="AJ247">_xlfn.LET(_xlpm.DepreciationMonths,INDEX(FixedAssets[Depreciation
/ Amortization Months],_xlfn.XMATCH($E$237,FixedAssets[Asset ID])),IF(AND((_xlfn.XMATCH(AJ$8,$AH$8:$CC$8))-_xlfn.XMATCH($C247,$C$35:$C$82)+1&lt;=_xlpm.DepreciationMonths,$C247&lt;=AJ$8),$E247/_xlpm.DepreciationMonths,0))</f>
        <v>0</v>
      </c>
      <c r="AK247" s="507" cm="1">
        <f t="array" ref="AK247">_xlfn.LET(_xlpm.DepreciationMonths,INDEX(FixedAssets[Depreciation
/ Amortization Months],_xlfn.XMATCH($E$237,FixedAssets[Asset ID])),IF(AND((_xlfn.XMATCH(AK$8,$AH$8:$CC$8))-_xlfn.XMATCH($C247,$C$35:$C$82)+1&lt;=_xlpm.DepreciationMonths,$C247&lt;=AK$8),$E247/_xlpm.DepreciationMonths,0))</f>
        <v>0</v>
      </c>
      <c r="AL247" s="507" cm="1">
        <f t="array" ref="AL247">_xlfn.LET(_xlpm.DepreciationMonths,INDEX(FixedAssets[Depreciation
/ Amortization Months],_xlfn.XMATCH($E$237,FixedAssets[Asset ID])),IF(AND((_xlfn.XMATCH(AL$8,$AH$8:$CC$8))-_xlfn.XMATCH($C247,$C$35:$C$82)+1&lt;=_xlpm.DepreciationMonths,$C247&lt;=AL$8),$E247/_xlpm.DepreciationMonths,0))</f>
        <v>0</v>
      </c>
      <c r="AM247" s="507" cm="1">
        <f t="array" ref="AM247">_xlfn.LET(_xlpm.DepreciationMonths,INDEX(FixedAssets[Depreciation
/ Amortization Months],_xlfn.XMATCH($E$237,FixedAssets[Asset ID])),IF(AND((_xlfn.XMATCH(AM$8,$AH$8:$CC$8))-_xlfn.XMATCH($C247,$C$35:$C$82)+1&lt;=_xlpm.DepreciationMonths,$C247&lt;=AM$8),$E247/_xlpm.DepreciationMonths,0))</f>
        <v>0</v>
      </c>
      <c r="AN247" s="507" cm="1">
        <f t="array" ref="AN247">_xlfn.LET(_xlpm.DepreciationMonths,INDEX(FixedAssets[Depreciation
/ Amortization Months],_xlfn.XMATCH($E$237,FixedAssets[Asset ID])),IF(AND((_xlfn.XMATCH(AN$8,$AH$8:$CC$8))-_xlfn.XMATCH($C247,$C$35:$C$82)+1&lt;=_xlpm.DepreciationMonths,$C247&lt;=AN$8),$E247/_xlpm.DepreciationMonths,0))</f>
        <v>0</v>
      </c>
      <c r="AO247" s="507" cm="1">
        <f t="array" ref="AO247">_xlfn.LET(_xlpm.DepreciationMonths,INDEX(FixedAssets[Depreciation
/ Amortization Months],_xlfn.XMATCH($E$237,FixedAssets[Asset ID])),IF(AND((_xlfn.XMATCH(AO$8,$AH$8:$CC$8))-_xlfn.XMATCH($C247,$C$35:$C$82)+1&lt;=_xlpm.DepreciationMonths,$C247&lt;=AO$8),$E247/_xlpm.DepreciationMonths,0))</f>
        <v>0</v>
      </c>
      <c r="AP247" s="507" cm="1">
        <f t="array" ref="AP247">_xlfn.LET(_xlpm.DepreciationMonths,INDEX(FixedAssets[Depreciation
/ Amortization Months],_xlfn.XMATCH($E$237,FixedAssets[Asset ID])),IF(AND((_xlfn.XMATCH(AP$8,$AH$8:$CC$8))-_xlfn.XMATCH($C247,$C$35:$C$82)+1&lt;=_xlpm.DepreciationMonths,$C247&lt;=AP$8),$E247/_xlpm.DepreciationMonths,0))</f>
        <v>0</v>
      </c>
      <c r="AQ247" s="507" cm="1">
        <f t="array" ref="AQ247">_xlfn.LET(_xlpm.DepreciationMonths,INDEX(FixedAssets[Depreciation
/ Amortization Months],_xlfn.XMATCH($E$237,FixedAssets[Asset ID])),IF(AND((_xlfn.XMATCH(AQ$8,$AH$8:$CC$8))-_xlfn.XMATCH($C247,$C$35:$C$82)+1&lt;=_xlpm.DepreciationMonths,$C247&lt;=AQ$8),$E247/_xlpm.DepreciationMonths,0))</f>
        <v>0</v>
      </c>
      <c r="AR247" s="507" cm="1">
        <f t="array" ref="AR247">_xlfn.LET(_xlpm.DepreciationMonths,INDEX(FixedAssets[Depreciation
/ Amortization Months],_xlfn.XMATCH($E$237,FixedAssets[Asset ID])),IF(AND((_xlfn.XMATCH(AR$8,$AH$8:$CC$8))-_xlfn.XMATCH($C247,$C$35:$C$82)+1&lt;=_xlpm.DepreciationMonths,$C247&lt;=AR$8),$E247/_xlpm.DepreciationMonths,0))</f>
        <v>0</v>
      </c>
      <c r="AS247" s="507" cm="1">
        <f t="array" ref="AS247">_xlfn.LET(_xlpm.DepreciationMonths,INDEX(FixedAssets[Depreciation
/ Amortization Months],_xlfn.XMATCH($E$237,FixedAssets[Asset ID])),IF(AND((_xlfn.XMATCH(AS$8,$AH$8:$CC$8))-_xlfn.XMATCH($C247,$C$35:$C$82)+1&lt;=_xlpm.DepreciationMonths,$C247&lt;=AS$8),$E247/_xlpm.DepreciationMonths,0))</f>
        <v>0</v>
      </c>
      <c r="AT247" s="507" cm="1">
        <f t="array" ref="AT247">_xlfn.LET(_xlpm.DepreciationMonths,INDEX(FixedAssets[Depreciation
/ Amortization Months],_xlfn.XMATCH($E$237,FixedAssets[Asset ID])),IF(AND((_xlfn.XMATCH(AT$8,$AH$8:$CC$8))-_xlfn.XMATCH($C247,$C$35:$C$82)+1&lt;=_xlpm.DepreciationMonths,$C247&lt;=AT$8),$E247/_xlpm.DepreciationMonths,0))</f>
        <v>0</v>
      </c>
      <c r="AU247" s="507" cm="1">
        <f t="array" ref="AU247">_xlfn.LET(_xlpm.DepreciationMonths,INDEX(FixedAssets[Depreciation
/ Amortization Months],_xlfn.XMATCH($E$237,FixedAssets[Asset ID])),IF(AND((_xlfn.XMATCH(AU$8,$AH$8:$CC$8))-_xlfn.XMATCH($C247,$C$35:$C$82)+1&lt;=_xlpm.DepreciationMonths,$C247&lt;=AU$8),$E247/_xlpm.DepreciationMonths,0))</f>
        <v>0</v>
      </c>
      <c r="AV247" s="507" cm="1">
        <f t="array" ref="AV247">_xlfn.LET(_xlpm.DepreciationMonths,INDEX(FixedAssets[Depreciation
/ Amortization Months],_xlfn.XMATCH($E$237,FixedAssets[Asset ID])),IF(AND((_xlfn.XMATCH(AV$8,$AH$8:$CC$8))-_xlfn.XMATCH($C247,$C$35:$C$82)+1&lt;=_xlpm.DepreciationMonths,$C247&lt;=AV$8),$E247/_xlpm.DepreciationMonths,0))</f>
        <v>0</v>
      </c>
      <c r="AW247" s="507" cm="1">
        <f t="array" ref="AW247">_xlfn.LET(_xlpm.DepreciationMonths,INDEX(FixedAssets[Depreciation
/ Amortization Months],_xlfn.XMATCH($E$237,FixedAssets[Asset ID])),IF(AND((_xlfn.XMATCH(AW$8,$AH$8:$CC$8))-_xlfn.XMATCH($C247,$C$35:$C$82)+1&lt;=_xlpm.DepreciationMonths,$C247&lt;=AW$8),$E247/_xlpm.DepreciationMonths,0))</f>
        <v>0</v>
      </c>
      <c r="AX247" s="507" cm="1">
        <f t="array" ref="AX247">_xlfn.LET(_xlpm.DepreciationMonths,INDEX(FixedAssets[Depreciation
/ Amortization Months],_xlfn.XMATCH($E$237,FixedAssets[Asset ID])),IF(AND((_xlfn.XMATCH(AX$8,$AH$8:$CC$8))-_xlfn.XMATCH($C247,$C$35:$C$82)+1&lt;=_xlpm.DepreciationMonths,$C247&lt;=AX$8),$E247/_xlpm.DepreciationMonths,0))</f>
        <v>0</v>
      </c>
      <c r="AY247" s="507" cm="1">
        <f t="array" ref="AY247">_xlfn.LET(_xlpm.DepreciationMonths,INDEX(FixedAssets[Depreciation
/ Amortization Months],_xlfn.XMATCH($E$237,FixedAssets[Asset ID])),IF(AND((_xlfn.XMATCH(AY$8,$AH$8:$CC$8))-_xlfn.XMATCH($C247,$C$35:$C$82)+1&lt;=_xlpm.DepreciationMonths,$C247&lt;=AY$8),$E247/_xlpm.DepreciationMonths,0))</f>
        <v>0</v>
      </c>
      <c r="AZ247" s="507" cm="1">
        <f t="array" ref="AZ247">_xlfn.LET(_xlpm.DepreciationMonths,INDEX(FixedAssets[Depreciation
/ Amortization Months],_xlfn.XMATCH($E$237,FixedAssets[Asset ID])),IF(AND((_xlfn.XMATCH(AZ$8,$AH$8:$CC$8))-_xlfn.XMATCH($C247,$C$35:$C$82)+1&lt;=_xlpm.DepreciationMonths,$C247&lt;=AZ$8),$E247/_xlpm.DepreciationMonths,0))</f>
        <v>0</v>
      </c>
      <c r="BA247" s="507" cm="1">
        <f t="array" ref="BA247">_xlfn.LET(_xlpm.DepreciationMonths,INDEX(FixedAssets[Depreciation
/ Amortization Months],_xlfn.XMATCH($E$237,FixedAssets[Asset ID])),IF(AND((_xlfn.XMATCH(BA$8,$AH$8:$CC$8))-_xlfn.XMATCH($C247,$C$35:$C$82)+1&lt;=_xlpm.DepreciationMonths,$C247&lt;=BA$8),$E247/_xlpm.DepreciationMonths,0))</f>
        <v>0</v>
      </c>
      <c r="BB247" s="507" cm="1">
        <f t="array" ref="BB247">_xlfn.LET(_xlpm.DepreciationMonths,INDEX(FixedAssets[Depreciation
/ Amortization Months],_xlfn.XMATCH($E$237,FixedAssets[Asset ID])),IF(AND((_xlfn.XMATCH(BB$8,$AH$8:$CC$8))-_xlfn.XMATCH($C247,$C$35:$C$82)+1&lt;=_xlpm.DepreciationMonths,$C247&lt;=BB$8),$E247/_xlpm.DepreciationMonths,0))</f>
        <v>0</v>
      </c>
      <c r="BC247" s="507" cm="1">
        <f t="array" ref="BC247">_xlfn.LET(_xlpm.DepreciationMonths,INDEX(FixedAssets[Depreciation
/ Amortization Months],_xlfn.XMATCH($E$237,FixedAssets[Asset ID])),IF(AND((_xlfn.XMATCH(BC$8,$AH$8:$CC$8))-_xlfn.XMATCH($C247,$C$35:$C$82)+1&lt;=_xlpm.DepreciationMonths,$C247&lt;=BC$8),$E247/_xlpm.DepreciationMonths,0))</f>
        <v>0</v>
      </c>
      <c r="BD247" s="507" cm="1">
        <f t="array" ref="BD247">_xlfn.LET(_xlpm.DepreciationMonths,INDEX(FixedAssets[Depreciation
/ Amortization Months],_xlfn.XMATCH($E$237,FixedAssets[Asset ID])),IF(AND((_xlfn.XMATCH(BD$8,$AH$8:$CC$8))-_xlfn.XMATCH($C247,$C$35:$C$82)+1&lt;=_xlpm.DepreciationMonths,$C247&lt;=BD$8),$E247/_xlpm.DepreciationMonths,0))</f>
        <v>0</v>
      </c>
      <c r="BE247" s="507" cm="1">
        <f t="array" ref="BE247">_xlfn.LET(_xlpm.DepreciationMonths,INDEX(FixedAssets[Depreciation
/ Amortization Months],_xlfn.XMATCH($E$237,FixedAssets[Asset ID])),IF(AND((_xlfn.XMATCH(BE$8,$AH$8:$CC$8))-_xlfn.XMATCH($C247,$C$35:$C$82)+1&lt;=_xlpm.DepreciationMonths,$C247&lt;=BE$8),$E247/_xlpm.DepreciationMonths,0))</f>
        <v>0</v>
      </c>
      <c r="BF247" s="507" cm="1">
        <f t="array" ref="BF247">_xlfn.LET(_xlpm.DepreciationMonths,INDEX(FixedAssets[Depreciation
/ Amortization Months],_xlfn.XMATCH($E$237,FixedAssets[Asset ID])),IF(AND((_xlfn.XMATCH(BF$8,$AH$8:$CC$8))-_xlfn.XMATCH($C247,$C$35:$C$82)+1&lt;=_xlpm.DepreciationMonths,$C247&lt;=BF$8),$E247/_xlpm.DepreciationMonths,0))</f>
        <v>0</v>
      </c>
      <c r="BG247" s="507" cm="1">
        <f t="array" ref="BG247">_xlfn.LET(_xlpm.DepreciationMonths,INDEX(FixedAssets[Depreciation
/ Amortization Months],_xlfn.XMATCH($E$237,FixedAssets[Asset ID])),IF(AND((_xlfn.XMATCH(BG$8,$AH$8:$CC$8))-_xlfn.XMATCH($C247,$C$35:$C$82)+1&lt;=_xlpm.DepreciationMonths,$C247&lt;=BG$8),$E247/_xlpm.DepreciationMonths,0))</f>
        <v>0</v>
      </c>
      <c r="BH247" s="507" cm="1">
        <f t="array" ref="BH247">_xlfn.LET(_xlpm.DepreciationMonths,INDEX(FixedAssets[Depreciation
/ Amortization Months],_xlfn.XMATCH($E$237,FixedAssets[Asset ID])),IF(AND((_xlfn.XMATCH(BH$8,$AH$8:$CC$8))-_xlfn.XMATCH($C247,$C$35:$C$82)+1&lt;=_xlpm.DepreciationMonths,$C247&lt;=BH$8),$E247/_xlpm.DepreciationMonths,0))</f>
        <v>0</v>
      </c>
      <c r="BI247" s="507" cm="1">
        <f t="array" ref="BI247">_xlfn.LET(_xlpm.DepreciationMonths,INDEX(FixedAssets[Depreciation
/ Amortization Months],_xlfn.XMATCH($E$237,FixedAssets[Asset ID])),IF(AND((_xlfn.XMATCH(BI$8,$AH$8:$CC$8))-_xlfn.XMATCH($C247,$C$35:$C$82)+1&lt;=_xlpm.DepreciationMonths,$C247&lt;=BI$8),$E247/_xlpm.DepreciationMonths,0))</f>
        <v>0</v>
      </c>
      <c r="BJ247" s="507" cm="1">
        <f t="array" ref="BJ247">_xlfn.LET(_xlpm.DepreciationMonths,INDEX(FixedAssets[Depreciation
/ Amortization Months],_xlfn.XMATCH($E$237,FixedAssets[Asset ID])),IF(AND((_xlfn.XMATCH(BJ$8,$AH$8:$CC$8))-_xlfn.XMATCH($C247,$C$35:$C$82)+1&lt;=_xlpm.DepreciationMonths,$C247&lt;=BJ$8),$E247/_xlpm.DepreciationMonths,0))</f>
        <v>0</v>
      </c>
      <c r="BK247" s="507" cm="1">
        <f t="array" ref="BK247">_xlfn.LET(_xlpm.DepreciationMonths,INDEX(FixedAssets[Depreciation
/ Amortization Months],_xlfn.XMATCH($E$237,FixedAssets[Asset ID])),IF(AND((_xlfn.XMATCH(BK$8,$AH$8:$CC$8))-_xlfn.XMATCH($C247,$C$35:$C$82)+1&lt;=_xlpm.DepreciationMonths,$C247&lt;=BK$8),$E247/_xlpm.DepreciationMonths,0))</f>
        <v>0</v>
      </c>
      <c r="BL247" s="507" cm="1">
        <f t="array" ref="BL247">_xlfn.LET(_xlpm.DepreciationMonths,INDEX(FixedAssets[Depreciation
/ Amortization Months],_xlfn.XMATCH($E$237,FixedAssets[Asset ID])),IF(AND((_xlfn.XMATCH(BL$8,$AH$8:$CC$8))-_xlfn.XMATCH($C247,$C$35:$C$82)+1&lt;=_xlpm.DepreciationMonths,$C247&lt;=BL$8),$E247/_xlpm.DepreciationMonths,0))</f>
        <v>0</v>
      </c>
      <c r="BM247" s="507" cm="1">
        <f t="array" ref="BM247">_xlfn.LET(_xlpm.DepreciationMonths,INDEX(FixedAssets[Depreciation
/ Amortization Months],_xlfn.XMATCH($E$237,FixedAssets[Asset ID])),IF(AND((_xlfn.XMATCH(BM$8,$AH$8:$CC$8))-_xlfn.XMATCH($C247,$C$35:$C$82)+1&lt;=_xlpm.DepreciationMonths,$C247&lt;=BM$8),$E247/_xlpm.DepreciationMonths,0))</f>
        <v>0</v>
      </c>
      <c r="BN247" s="507" cm="1">
        <f t="array" ref="BN247">_xlfn.LET(_xlpm.DepreciationMonths,INDEX(FixedAssets[Depreciation
/ Amortization Months],_xlfn.XMATCH($E$237,FixedAssets[Asset ID])),IF(AND((_xlfn.XMATCH(BN$8,$AH$8:$CC$8))-_xlfn.XMATCH($C247,$C$35:$C$82)+1&lt;=_xlpm.DepreciationMonths,$C247&lt;=BN$8),$E247/_xlpm.DepreciationMonths,0))</f>
        <v>0</v>
      </c>
      <c r="BO247" s="507" cm="1">
        <f t="array" ref="BO247">_xlfn.LET(_xlpm.DepreciationMonths,INDEX(FixedAssets[Depreciation
/ Amortization Months],_xlfn.XMATCH($E$237,FixedAssets[Asset ID])),IF(AND((_xlfn.XMATCH(BO$8,$AH$8:$CC$8))-_xlfn.XMATCH($C247,$C$35:$C$82)+1&lt;=_xlpm.DepreciationMonths,$C247&lt;=BO$8),$E247/_xlpm.DepreciationMonths,0))</f>
        <v>0</v>
      </c>
      <c r="BP247" s="507" cm="1">
        <f t="array" ref="BP247">_xlfn.LET(_xlpm.DepreciationMonths,INDEX(FixedAssets[Depreciation
/ Amortization Months],_xlfn.XMATCH($E$237,FixedAssets[Asset ID])),IF(AND((_xlfn.XMATCH(BP$8,$AH$8:$CC$8))-_xlfn.XMATCH($C247,$C$35:$C$82)+1&lt;=_xlpm.DepreciationMonths,$C247&lt;=BP$8),$E247/_xlpm.DepreciationMonths,0))</f>
        <v>0</v>
      </c>
      <c r="BQ247" s="507" cm="1">
        <f t="array" ref="BQ247">_xlfn.LET(_xlpm.DepreciationMonths,INDEX(FixedAssets[Depreciation
/ Amortization Months],_xlfn.XMATCH($E$237,FixedAssets[Asset ID])),IF(AND((_xlfn.XMATCH(BQ$8,$AH$8:$CC$8))-_xlfn.XMATCH($C247,$C$35:$C$82)+1&lt;=_xlpm.DepreciationMonths,$C247&lt;=BQ$8),$E247/_xlpm.DepreciationMonths,0))</f>
        <v>0</v>
      </c>
      <c r="BR247" s="507" cm="1">
        <f t="array" ref="BR247">_xlfn.LET(_xlpm.DepreciationMonths,INDEX(FixedAssets[Depreciation
/ Amortization Months],_xlfn.XMATCH($E$237,FixedAssets[Asset ID])),IF(AND((_xlfn.XMATCH(BR$8,$AH$8:$CC$8))-_xlfn.XMATCH($C247,$C$35:$C$82)+1&lt;=_xlpm.DepreciationMonths,$C247&lt;=BR$8),$E247/_xlpm.DepreciationMonths,0))</f>
        <v>0</v>
      </c>
      <c r="BS247" s="507" cm="1">
        <f t="array" ref="BS247">_xlfn.LET(_xlpm.DepreciationMonths,INDEX(FixedAssets[Depreciation
/ Amortization Months],_xlfn.XMATCH($E$237,FixedAssets[Asset ID])),IF(AND((_xlfn.XMATCH(BS$8,$AH$8:$CC$8))-_xlfn.XMATCH($C247,$C$35:$C$82)+1&lt;=_xlpm.DepreciationMonths,$C247&lt;=BS$8),$E247/_xlpm.DepreciationMonths,0))</f>
        <v>0</v>
      </c>
      <c r="BT247" s="507" cm="1">
        <f t="array" ref="BT247">_xlfn.LET(_xlpm.DepreciationMonths,INDEX(FixedAssets[Depreciation
/ Amortization Months],_xlfn.XMATCH($E$237,FixedAssets[Asset ID])),IF(AND((_xlfn.XMATCH(BT$8,$AH$8:$CC$8))-_xlfn.XMATCH($C247,$C$35:$C$82)+1&lt;=_xlpm.DepreciationMonths,$C247&lt;=BT$8),$E247/_xlpm.DepreciationMonths,0))</f>
        <v>0</v>
      </c>
      <c r="BU247" s="507" cm="1">
        <f t="array" ref="BU247">_xlfn.LET(_xlpm.DepreciationMonths,INDEX(FixedAssets[Depreciation
/ Amortization Months],_xlfn.XMATCH($E$237,FixedAssets[Asset ID])),IF(AND((_xlfn.XMATCH(BU$8,$AH$8:$CC$8))-_xlfn.XMATCH($C247,$C$35:$C$82)+1&lt;=_xlpm.DepreciationMonths,$C247&lt;=BU$8),$E247/_xlpm.DepreciationMonths,0))</f>
        <v>0</v>
      </c>
      <c r="BV247" s="507" cm="1">
        <f t="array" ref="BV247">_xlfn.LET(_xlpm.DepreciationMonths,INDEX(FixedAssets[Depreciation
/ Amortization Months],_xlfn.XMATCH($E$237,FixedAssets[Asset ID])),IF(AND((_xlfn.XMATCH(BV$8,$AH$8:$CC$8))-_xlfn.XMATCH($C247,$C$35:$C$82)+1&lt;=_xlpm.DepreciationMonths,$C247&lt;=BV$8),$E247/_xlpm.DepreciationMonths,0))</f>
        <v>0</v>
      </c>
      <c r="BW247" s="507" cm="1">
        <f t="array" ref="BW247">_xlfn.LET(_xlpm.DepreciationMonths,INDEX(FixedAssets[Depreciation
/ Amortization Months],_xlfn.XMATCH($E$237,FixedAssets[Asset ID])),IF(AND((_xlfn.XMATCH(BW$8,$AH$8:$CC$8))-_xlfn.XMATCH($C247,$C$35:$C$82)+1&lt;=_xlpm.DepreciationMonths,$C247&lt;=BW$8),$E247/_xlpm.DepreciationMonths,0))</f>
        <v>0</v>
      </c>
      <c r="BX247" s="507" cm="1">
        <f t="array" ref="BX247">_xlfn.LET(_xlpm.DepreciationMonths,INDEX(FixedAssets[Depreciation
/ Amortization Months],_xlfn.XMATCH($E$237,FixedAssets[Asset ID])),IF(AND((_xlfn.XMATCH(BX$8,$AH$8:$CC$8))-_xlfn.XMATCH($C247,$C$35:$C$82)+1&lt;=_xlpm.DepreciationMonths,$C247&lt;=BX$8),$E247/_xlpm.DepreciationMonths,0))</f>
        <v>0</v>
      </c>
      <c r="BY247" s="507" cm="1">
        <f t="array" ref="BY247">_xlfn.LET(_xlpm.DepreciationMonths,INDEX(FixedAssets[Depreciation
/ Amortization Months],_xlfn.XMATCH($E$237,FixedAssets[Asset ID])),IF(AND((_xlfn.XMATCH(BY$8,$AH$8:$CC$8))-_xlfn.XMATCH($C247,$C$35:$C$82)+1&lt;=_xlpm.DepreciationMonths,$C247&lt;=BY$8),$E247/_xlpm.DepreciationMonths,0))</f>
        <v>0</v>
      </c>
      <c r="BZ247" s="507" cm="1">
        <f t="array" ref="BZ247">_xlfn.LET(_xlpm.DepreciationMonths,INDEX(FixedAssets[Depreciation
/ Amortization Months],_xlfn.XMATCH($E$237,FixedAssets[Asset ID])),IF(AND((_xlfn.XMATCH(BZ$8,$AH$8:$CC$8))-_xlfn.XMATCH($C247,$C$35:$C$82)+1&lt;=_xlpm.DepreciationMonths,$C247&lt;=BZ$8),$E247/_xlpm.DepreciationMonths,0))</f>
        <v>0</v>
      </c>
      <c r="CA247" s="507" cm="1">
        <f t="array" ref="CA247">_xlfn.LET(_xlpm.DepreciationMonths,INDEX(FixedAssets[Depreciation
/ Amortization Months],_xlfn.XMATCH($E$237,FixedAssets[Asset ID])),IF(AND((_xlfn.XMATCH(CA$8,$AH$8:$CC$8))-_xlfn.XMATCH($C247,$C$35:$C$82)+1&lt;=_xlpm.DepreciationMonths,$C247&lt;=CA$8),$E247/_xlpm.DepreciationMonths,0))</f>
        <v>0</v>
      </c>
      <c r="CB247" s="507" cm="1">
        <f t="array" ref="CB247">_xlfn.LET(_xlpm.DepreciationMonths,INDEX(FixedAssets[Depreciation
/ Amortization Months],_xlfn.XMATCH($E$237,FixedAssets[Asset ID])),IF(AND((_xlfn.XMATCH(CB$8,$AH$8:$CC$8))-_xlfn.XMATCH($C247,$C$35:$C$82)+1&lt;=_xlpm.DepreciationMonths,$C247&lt;=CB$8),$E247/_xlpm.DepreciationMonths,0))</f>
        <v>0</v>
      </c>
      <c r="CC247" s="507" cm="1">
        <f t="array" ref="CC247">_xlfn.LET(_xlpm.DepreciationMonths,INDEX(FixedAssets[Depreciation
/ Amortization Months],_xlfn.XMATCH($E$237,FixedAssets[Asset ID])),IF(AND((_xlfn.XMATCH(CC$8,$AH$8:$CC$8))-_xlfn.XMATCH($C247,$C$35:$C$82)+1&lt;=_xlpm.DepreciationMonths,$C247&lt;=CC$8),$E247/_xlpm.DepreciationMonths,0))</f>
        <v>0</v>
      </c>
    </row>
    <row r="248" spans="3:81" hidden="1" outlineLevel="2">
      <c r="C248" s="664">
        <f t="shared" si="267"/>
        <v>45230</v>
      </c>
      <c r="D248" s="508"/>
      <c r="E248" s="508" cm="1">
        <f t="array" ref="E248">SUMPRODUCT(($AH$26:$CC$31)*($AH$5:$CC$5=$C248)*($E$26:$E$31=E$237))-SUMPRODUCT(($AH$26:$CC$31)*($AH$5:$CC$5=EOMONTH($C248,-1))*($E$26:$E$31=E$237))</f>
        <v>0</v>
      </c>
      <c r="F248" s="508"/>
      <c r="G248" s="508"/>
      <c r="H248" s="508"/>
      <c r="I248" s="508"/>
      <c r="J248" s="504">
        <f t="shared" si="265"/>
        <v>0</v>
      </c>
      <c r="K248" s="504">
        <f t="shared" si="265"/>
        <v>0</v>
      </c>
      <c r="L248" s="504">
        <f t="shared" si="265"/>
        <v>0</v>
      </c>
      <c r="M248" s="504">
        <f t="shared" si="265"/>
        <v>0</v>
      </c>
      <c r="N248" s="504"/>
      <c r="O248" s="504"/>
      <c r="P248" s="504">
        <f t="shared" si="266"/>
        <v>0</v>
      </c>
      <c r="Q248" s="504">
        <f t="shared" si="266"/>
        <v>0</v>
      </c>
      <c r="R248" s="504">
        <f t="shared" si="266"/>
        <v>0</v>
      </c>
      <c r="S248" s="504">
        <f t="shared" si="266"/>
        <v>0</v>
      </c>
      <c r="T248" s="504">
        <f t="shared" si="266"/>
        <v>0</v>
      </c>
      <c r="U248" s="504">
        <f t="shared" si="266"/>
        <v>0</v>
      </c>
      <c r="V248" s="504">
        <f t="shared" si="266"/>
        <v>0</v>
      </c>
      <c r="W248" s="504">
        <f t="shared" si="266"/>
        <v>0</v>
      </c>
      <c r="X248" s="504">
        <f t="shared" si="266"/>
        <v>0</v>
      </c>
      <c r="Y248" s="504">
        <f t="shared" si="266"/>
        <v>0</v>
      </c>
      <c r="Z248" s="504">
        <f t="shared" si="266"/>
        <v>0</v>
      </c>
      <c r="AA248" s="504">
        <f t="shared" si="266"/>
        <v>0</v>
      </c>
      <c r="AB248" s="504">
        <f t="shared" si="266"/>
        <v>0</v>
      </c>
      <c r="AC248" s="504">
        <f t="shared" si="266"/>
        <v>0</v>
      </c>
      <c r="AD248" s="504">
        <f t="shared" si="266"/>
        <v>0</v>
      </c>
      <c r="AE248" s="504">
        <f t="shared" si="266"/>
        <v>0</v>
      </c>
      <c r="AF248" s="508"/>
      <c r="AG248" s="508"/>
      <c r="AH248" s="507" cm="1">
        <f t="array" ref="AH248">_xlfn.LET(_xlpm.DepreciationMonths,INDEX(FixedAssets[Depreciation
/ Amortization Months],_xlfn.XMATCH($E$237,FixedAssets[Asset ID])),IF(AND((_xlfn.XMATCH(AH$8,$AH$8:$CC$8))-_xlfn.XMATCH($C248,$C$35:$C$82)+1&lt;=_xlpm.DepreciationMonths,$C248&lt;=AH$8),$E248/_xlpm.DepreciationMonths,0))</f>
        <v>0</v>
      </c>
      <c r="AI248" s="507" cm="1">
        <f t="array" ref="AI248">_xlfn.LET(_xlpm.DepreciationMonths,INDEX(FixedAssets[Depreciation
/ Amortization Months],_xlfn.XMATCH($E$237,FixedAssets[Asset ID])),IF(AND((_xlfn.XMATCH(AI$8,$AH$8:$CC$8))-_xlfn.XMATCH($C248,$C$35:$C$82)+1&lt;=_xlpm.DepreciationMonths,$C248&lt;=AI$8),$E248/_xlpm.DepreciationMonths,0))</f>
        <v>0</v>
      </c>
      <c r="AJ248" s="507" cm="1">
        <f t="array" ref="AJ248">_xlfn.LET(_xlpm.DepreciationMonths,INDEX(FixedAssets[Depreciation
/ Amortization Months],_xlfn.XMATCH($E$237,FixedAssets[Asset ID])),IF(AND((_xlfn.XMATCH(AJ$8,$AH$8:$CC$8))-_xlfn.XMATCH($C248,$C$35:$C$82)+1&lt;=_xlpm.DepreciationMonths,$C248&lt;=AJ$8),$E248/_xlpm.DepreciationMonths,0))</f>
        <v>0</v>
      </c>
      <c r="AK248" s="507" cm="1">
        <f t="array" ref="AK248">_xlfn.LET(_xlpm.DepreciationMonths,INDEX(FixedAssets[Depreciation
/ Amortization Months],_xlfn.XMATCH($E$237,FixedAssets[Asset ID])),IF(AND((_xlfn.XMATCH(AK$8,$AH$8:$CC$8))-_xlfn.XMATCH($C248,$C$35:$C$82)+1&lt;=_xlpm.DepreciationMonths,$C248&lt;=AK$8),$E248/_xlpm.DepreciationMonths,0))</f>
        <v>0</v>
      </c>
      <c r="AL248" s="507" cm="1">
        <f t="array" ref="AL248">_xlfn.LET(_xlpm.DepreciationMonths,INDEX(FixedAssets[Depreciation
/ Amortization Months],_xlfn.XMATCH($E$237,FixedAssets[Asset ID])),IF(AND((_xlfn.XMATCH(AL$8,$AH$8:$CC$8))-_xlfn.XMATCH($C248,$C$35:$C$82)+1&lt;=_xlpm.DepreciationMonths,$C248&lt;=AL$8),$E248/_xlpm.DepreciationMonths,0))</f>
        <v>0</v>
      </c>
      <c r="AM248" s="507" cm="1">
        <f t="array" ref="AM248">_xlfn.LET(_xlpm.DepreciationMonths,INDEX(FixedAssets[Depreciation
/ Amortization Months],_xlfn.XMATCH($E$237,FixedAssets[Asset ID])),IF(AND((_xlfn.XMATCH(AM$8,$AH$8:$CC$8))-_xlfn.XMATCH($C248,$C$35:$C$82)+1&lt;=_xlpm.DepreciationMonths,$C248&lt;=AM$8),$E248/_xlpm.DepreciationMonths,0))</f>
        <v>0</v>
      </c>
      <c r="AN248" s="507" cm="1">
        <f t="array" ref="AN248">_xlfn.LET(_xlpm.DepreciationMonths,INDEX(FixedAssets[Depreciation
/ Amortization Months],_xlfn.XMATCH($E$237,FixedAssets[Asset ID])),IF(AND((_xlfn.XMATCH(AN$8,$AH$8:$CC$8))-_xlfn.XMATCH($C248,$C$35:$C$82)+1&lt;=_xlpm.DepreciationMonths,$C248&lt;=AN$8),$E248/_xlpm.DepreciationMonths,0))</f>
        <v>0</v>
      </c>
      <c r="AO248" s="507" cm="1">
        <f t="array" ref="AO248">_xlfn.LET(_xlpm.DepreciationMonths,INDEX(FixedAssets[Depreciation
/ Amortization Months],_xlfn.XMATCH($E$237,FixedAssets[Asset ID])),IF(AND((_xlfn.XMATCH(AO$8,$AH$8:$CC$8))-_xlfn.XMATCH($C248,$C$35:$C$82)+1&lt;=_xlpm.DepreciationMonths,$C248&lt;=AO$8),$E248/_xlpm.DepreciationMonths,0))</f>
        <v>0</v>
      </c>
      <c r="AP248" s="507" cm="1">
        <f t="array" ref="AP248">_xlfn.LET(_xlpm.DepreciationMonths,INDEX(FixedAssets[Depreciation
/ Amortization Months],_xlfn.XMATCH($E$237,FixedAssets[Asset ID])),IF(AND((_xlfn.XMATCH(AP$8,$AH$8:$CC$8))-_xlfn.XMATCH($C248,$C$35:$C$82)+1&lt;=_xlpm.DepreciationMonths,$C248&lt;=AP$8),$E248/_xlpm.DepreciationMonths,0))</f>
        <v>0</v>
      </c>
      <c r="AQ248" s="507" cm="1">
        <f t="array" ref="AQ248">_xlfn.LET(_xlpm.DepreciationMonths,INDEX(FixedAssets[Depreciation
/ Amortization Months],_xlfn.XMATCH($E$237,FixedAssets[Asset ID])),IF(AND((_xlfn.XMATCH(AQ$8,$AH$8:$CC$8))-_xlfn.XMATCH($C248,$C$35:$C$82)+1&lt;=_xlpm.DepreciationMonths,$C248&lt;=AQ$8),$E248/_xlpm.DepreciationMonths,0))</f>
        <v>0</v>
      </c>
      <c r="AR248" s="507" cm="1">
        <f t="array" ref="AR248">_xlfn.LET(_xlpm.DepreciationMonths,INDEX(FixedAssets[Depreciation
/ Amortization Months],_xlfn.XMATCH($E$237,FixedAssets[Asset ID])),IF(AND((_xlfn.XMATCH(AR$8,$AH$8:$CC$8))-_xlfn.XMATCH($C248,$C$35:$C$82)+1&lt;=_xlpm.DepreciationMonths,$C248&lt;=AR$8),$E248/_xlpm.DepreciationMonths,0))</f>
        <v>0</v>
      </c>
      <c r="AS248" s="507" cm="1">
        <f t="array" ref="AS248">_xlfn.LET(_xlpm.DepreciationMonths,INDEX(FixedAssets[Depreciation
/ Amortization Months],_xlfn.XMATCH($E$237,FixedAssets[Asset ID])),IF(AND((_xlfn.XMATCH(AS$8,$AH$8:$CC$8))-_xlfn.XMATCH($C248,$C$35:$C$82)+1&lt;=_xlpm.DepreciationMonths,$C248&lt;=AS$8),$E248/_xlpm.DepreciationMonths,0))</f>
        <v>0</v>
      </c>
      <c r="AT248" s="507" cm="1">
        <f t="array" ref="AT248">_xlfn.LET(_xlpm.DepreciationMonths,INDEX(FixedAssets[Depreciation
/ Amortization Months],_xlfn.XMATCH($E$237,FixedAssets[Asset ID])),IF(AND((_xlfn.XMATCH(AT$8,$AH$8:$CC$8))-_xlfn.XMATCH($C248,$C$35:$C$82)+1&lt;=_xlpm.DepreciationMonths,$C248&lt;=AT$8),$E248/_xlpm.DepreciationMonths,0))</f>
        <v>0</v>
      </c>
      <c r="AU248" s="507" cm="1">
        <f t="array" ref="AU248">_xlfn.LET(_xlpm.DepreciationMonths,INDEX(FixedAssets[Depreciation
/ Amortization Months],_xlfn.XMATCH($E$237,FixedAssets[Asset ID])),IF(AND((_xlfn.XMATCH(AU$8,$AH$8:$CC$8))-_xlfn.XMATCH($C248,$C$35:$C$82)+1&lt;=_xlpm.DepreciationMonths,$C248&lt;=AU$8),$E248/_xlpm.DepreciationMonths,0))</f>
        <v>0</v>
      </c>
      <c r="AV248" s="507" cm="1">
        <f t="array" ref="AV248">_xlfn.LET(_xlpm.DepreciationMonths,INDEX(FixedAssets[Depreciation
/ Amortization Months],_xlfn.XMATCH($E$237,FixedAssets[Asset ID])),IF(AND((_xlfn.XMATCH(AV$8,$AH$8:$CC$8))-_xlfn.XMATCH($C248,$C$35:$C$82)+1&lt;=_xlpm.DepreciationMonths,$C248&lt;=AV$8),$E248/_xlpm.DepreciationMonths,0))</f>
        <v>0</v>
      </c>
      <c r="AW248" s="507" cm="1">
        <f t="array" ref="AW248">_xlfn.LET(_xlpm.DepreciationMonths,INDEX(FixedAssets[Depreciation
/ Amortization Months],_xlfn.XMATCH($E$237,FixedAssets[Asset ID])),IF(AND((_xlfn.XMATCH(AW$8,$AH$8:$CC$8))-_xlfn.XMATCH($C248,$C$35:$C$82)+1&lt;=_xlpm.DepreciationMonths,$C248&lt;=AW$8),$E248/_xlpm.DepreciationMonths,0))</f>
        <v>0</v>
      </c>
      <c r="AX248" s="507" cm="1">
        <f t="array" ref="AX248">_xlfn.LET(_xlpm.DepreciationMonths,INDEX(FixedAssets[Depreciation
/ Amortization Months],_xlfn.XMATCH($E$237,FixedAssets[Asset ID])),IF(AND((_xlfn.XMATCH(AX$8,$AH$8:$CC$8))-_xlfn.XMATCH($C248,$C$35:$C$82)+1&lt;=_xlpm.DepreciationMonths,$C248&lt;=AX$8),$E248/_xlpm.DepreciationMonths,0))</f>
        <v>0</v>
      </c>
      <c r="AY248" s="507" cm="1">
        <f t="array" ref="AY248">_xlfn.LET(_xlpm.DepreciationMonths,INDEX(FixedAssets[Depreciation
/ Amortization Months],_xlfn.XMATCH($E$237,FixedAssets[Asset ID])),IF(AND((_xlfn.XMATCH(AY$8,$AH$8:$CC$8))-_xlfn.XMATCH($C248,$C$35:$C$82)+1&lt;=_xlpm.DepreciationMonths,$C248&lt;=AY$8),$E248/_xlpm.DepreciationMonths,0))</f>
        <v>0</v>
      </c>
      <c r="AZ248" s="507" cm="1">
        <f t="array" ref="AZ248">_xlfn.LET(_xlpm.DepreciationMonths,INDEX(FixedAssets[Depreciation
/ Amortization Months],_xlfn.XMATCH($E$237,FixedAssets[Asset ID])),IF(AND((_xlfn.XMATCH(AZ$8,$AH$8:$CC$8))-_xlfn.XMATCH($C248,$C$35:$C$82)+1&lt;=_xlpm.DepreciationMonths,$C248&lt;=AZ$8),$E248/_xlpm.DepreciationMonths,0))</f>
        <v>0</v>
      </c>
      <c r="BA248" s="507" cm="1">
        <f t="array" ref="BA248">_xlfn.LET(_xlpm.DepreciationMonths,INDEX(FixedAssets[Depreciation
/ Amortization Months],_xlfn.XMATCH($E$237,FixedAssets[Asset ID])),IF(AND((_xlfn.XMATCH(BA$8,$AH$8:$CC$8))-_xlfn.XMATCH($C248,$C$35:$C$82)+1&lt;=_xlpm.DepreciationMonths,$C248&lt;=BA$8),$E248/_xlpm.DepreciationMonths,0))</f>
        <v>0</v>
      </c>
      <c r="BB248" s="507" cm="1">
        <f t="array" ref="BB248">_xlfn.LET(_xlpm.DepreciationMonths,INDEX(FixedAssets[Depreciation
/ Amortization Months],_xlfn.XMATCH($E$237,FixedAssets[Asset ID])),IF(AND((_xlfn.XMATCH(BB$8,$AH$8:$CC$8))-_xlfn.XMATCH($C248,$C$35:$C$82)+1&lt;=_xlpm.DepreciationMonths,$C248&lt;=BB$8),$E248/_xlpm.DepreciationMonths,0))</f>
        <v>0</v>
      </c>
      <c r="BC248" s="507" cm="1">
        <f t="array" ref="BC248">_xlfn.LET(_xlpm.DepreciationMonths,INDEX(FixedAssets[Depreciation
/ Amortization Months],_xlfn.XMATCH($E$237,FixedAssets[Asset ID])),IF(AND((_xlfn.XMATCH(BC$8,$AH$8:$CC$8))-_xlfn.XMATCH($C248,$C$35:$C$82)+1&lt;=_xlpm.DepreciationMonths,$C248&lt;=BC$8),$E248/_xlpm.DepreciationMonths,0))</f>
        <v>0</v>
      </c>
      <c r="BD248" s="507" cm="1">
        <f t="array" ref="BD248">_xlfn.LET(_xlpm.DepreciationMonths,INDEX(FixedAssets[Depreciation
/ Amortization Months],_xlfn.XMATCH($E$237,FixedAssets[Asset ID])),IF(AND((_xlfn.XMATCH(BD$8,$AH$8:$CC$8))-_xlfn.XMATCH($C248,$C$35:$C$82)+1&lt;=_xlpm.DepreciationMonths,$C248&lt;=BD$8),$E248/_xlpm.DepreciationMonths,0))</f>
        <v>0</v>
      </c>
      <c r="BE248" s="507" cm="1">
        <f t="array" ref="BE248">_xlfn.LET(_xlpm.DepreciationMonths,INDEX(FixedAssets[Depreciation
/ Amortization Months],_xlfn.XMATCH($E$237,FixedAssets[Asset ID])),IF(AND((_xlfn.XMATCH(BE$8,$AH$8:$CC$8))-_xlfn.XMATCH($C248,$C$35:$C$82)+1&lt;=_xlpm.DepreciationMonths,$C248&lt;=BE$8),$E248/_xlpm.DepreciationMonths,0))</f>
        <v>0</v>
      </c>
      <c r="BF248" s="507" cm="1">
        <f t="array" ref="BF248">_xlfn.LET(_xlpm.DepreciationMonths,INDEX(FixedAssets[Depreciation
/ Amortization Months],_xlfn.XMATCH($E$237,FixedAssets[Asset ID])),IF(AND((_xlfn.XMATCH(BF$8,$AH$8:$CC$8))-_xlfn.XMATCH($C248,$C$35:$C$82)+1&lt;=_xlpm.DepreciationMonths,$C248&lt;=BF$8),$E248/_xlpm.DepreciationMonths,0))</f>
        <v>0</v>
      </c>
      <c r="BG248" s="507" cm="1">
        <f t="array" ref="BG248">_xlfn.LET(_xlpm.DepreciationMonths,INDEX(FixedAssets[Depreciation
/ Amortization Months],_xlfn.XMATCH($E$237,FixedAssets[Asset ID])),IF(AND((_xlfn.XMATCH(BG$8,$AH$8:$CC$8))-_xlfn.XMATCH($C248,$C$35:$C$82)+1&lt;=_xlpm.DepreciationMonths,$C248&lt;=BG$8),$E248/_xlpm.DepreciationMonths,0))</f>
        <v>0</v>
      </c>
      <c r="BH248" s="507" cm="1">
        <f t="array" ref="BH248">_xlfn.LET(_xlpm.DepreciationMonths,INDEX(FixedAssets[Depreciation
/ Amortization Months],_xlfn.XMATCH($E$237,FixedAssets[Asset ID])),IF(AND((_xlfn.XMATCH(BH$8,$AH$8:$CC$8))-_xlfn.XMATCH($C248,$C$35:$C$82)+1&lt;=_xlpm.DepreciationMonths,$C248&lt;=BH$8),$E248/_xlpm.DepreciationMonths,0))</f>
        <v>0</v>
      </c>
      <c r="BI248" s="507" cm="1">
        <f t="array" ref="BI248">_xlfn.LET(_xlpm.DepreciationMonths,INDEX(FixedAssets[Depreciation
/ Amortization Months],_xlfn.XMATCH($E$237,FixedAssets[Asset ID])),IF(AND((_xlfn.XMATCH(BI$8,$AH$8:$CC$8))-_xlfn.XMATCH($C248,$C$35:$C$82)+1&lt;=_xlpm.DepreciationMonths,$C248&lt;=BI$8),$E248/_xlpm.DepreciationMonths,0))</f>
        <v>0</v>
      </c>
      <c r="BJ248" s="507" cm="1">
        <f t="array" ref="BJ248">_xlfn.LET(_xlpm.DepreciationMonths,INDEX(FixedAssets[Depreciation
/ Amortization Months],_xlfn.XMATCH($E$237,FixedAssets[Asset ID])),IF(AND((_xlfn.XMATCH(BJ$8,$AH$8:$CC$8))-_xlfn.XMATCH($C248,$C$35:$C$82)+1&lt;=_xlpm.DepreciationMonths,$C248&lt;=BJ$8),$E248/_xlpm.DepreciationMonths,0))</f>
        <v>0</v>
      </c>
      <c r="BK248" s="507" cm="1">
        <f t="array" ref="BK248">_xlfn.LET(_xlpm.DepreciationMonths,INDEX(FixedAssets[Depreciation
/ Amortization Months],_xlfn.XMATCH($E$237,FixedAssets[Asset ID])),IF(AND((_xlfn.XMATCH(BK$8,$AH$8:$CC$8))-_xlfn.XMATCH($C248,$C$35:$C$82)+1&lt;=_xlpm.DepreciationMonths,$C248&lt;=BK$8),$E248/_xlpm.DepreciationMonths,0))</f>
        <v>0</v>
      </c>
      <c r="BL248" s="507" cm="1">
        <f t="array" ref="BL248">_xlfn.LET(_xlpm.DepreciationMonths,INDEX(FixedAssets[Depreciation
/ Amortization Months],_xlfn.XMATCH($E$237,FixedAssets[Asset ID])),IF(AND((_xlfn.XMATCH(BL$8,$AH$8:$CC$8))-_xlfn.XMATCH($C248,$C$35:$C$82)+1&lt;=_xlpm.DepreciationMonths,$C248&lt;=BL$8),$E248/_xlpm.DepreciationMonths,0))</f>
        <v>0</v>
      </c>
      <c r="BM248" s="507" cm="1">
        <f t="array" ref="BM248">_xlfn.LET(_xlpm.DepreciationMonths,INDEX(FixedAssets[Depreciation
/ Amortization Months],_xlfn.XMATCH($E$237,FixedAssets[Asset ID])),IF(AND((_xlfn.XMATCH(BM$8,$AH$8:$CC$8))-_xlfn.XMATCH($C248,$C$35:$C$82)+1&lt;=_xlpm.DepreciationMonths,$C248&lt;=BM$8),$E248/_xlpm.DepreciationMonths,0))</f>
        <v>0</v>
      </c>
      <c r="BN248" s="507" cm="1">
        <f t="array" ref="BN248">_xlfn.LET(_xlpm.DepreciationMonths,INDEX(FixedAssets[Depreciation
/ Amortization Months],_xlfn.XMATCH($E$237,FixedAssets[Asset ID])),IF(AND((_xlfn.XMATCH(BN$8,$AH$8:$CC$8))-_xlfn.XMATCH($C248,$C$35:$C$82)+1&lt;=_xlpm.DepreciationMonths,$C248&lt;=BN$8),$E248/_xlpm.DepreciationMonths,0))</f>
        <v>0</v>
      </c>
      <c r="BO248" s="507" cm="1">
        <f t="array" ref="BO248">_xlfn.LET(_xlpm.DepreciationMonths,INDEX(FixedAssets[Depreciation
/ Amortization Months],_xlfn.XMATCH($E$237,FixedAssets[Asset ID])),IF(AND((_xlfn.XMATCH(BO$8,$AH$8:$CC$8))-_xlfn.XMATCH($C248,$C$35:$C$82)+1&lt;=_xlpm.DepreciationMonths,$C248&lt;=BO$8),$E248/_xlpm.DepreciationMonths,0))</f>
        <v>0</v>
      </c>
      <c r="BP248" s="507" cm="1">
        <f t="array" ref="BP248">_xlfn.LET(_xlpm.DepreciationMonths,INDEX(FixedAssets[Depreciation
/ Amortization Months],_xlfn.XMATCH($E$237,FixedAssets[Asset ID])),IF(AND((_xlfn.XMATCH(BP$8,$AH$8:$CC$8))-_xlfn.XMATCH($C248,$C$35:$C$82)+1&lt;=_xlpm.DepreciationMonths,$C248&lt;=BP$8),$E248/_xlpm.DepreciationMonths,0))</f>
        <v>0</v>
      </c>
      <c r="BQ248" s="507" cm="1">
        <f t="array" ref="BQ248">_xlfn.LET(_xlpm.DepreciationMonths,INDEX(FixedAssets[Depreciation
/ Amortization Months],_xlfn.XMATCH($E$237,FixedAssets[Asset ID])),IF(AND((_xlfn.XMATCH(BQ$8,$AH$8:$CC$8))-_xlfn.XMATCH($C248,$C$35:$C$82)+1&lt;=_xlpm.DepreciationMonths,$C248&lt;=BQ$8),$E248/_xlpm.DepreciationMonths,0))</f>
        <v>0</v>
      </c>
      <c r="BR248" s="507" cm="1">
        <f t="array" ref="BR248">_xlfn.LET(_xlpm.DepreciationMonths,INDEX(FixedAssets[Depreciation
/ Amortization Months],_xlfn.XMATCH($E$237,FixedAssets[Asset ID])),IF(AND((_xlfn.XMATCH(BR$8,$AH$8:$CC$8))-_xlfn.XMATCH($C248,$C$35:$C$82)+1&lt;=_xlpm.DepreciationMonths,$C248&lt;=BR$8),$E248/_xlpm.DepreciationMonths,0))</f>
        <v>0</v>
      </c>
      <c r="BS248" s="507" cm="1">
        <f t="array" ref="BS248">_xlfn.LET(_xlpm.DepreciationMonths,INDEX(FixedAssets[Depreciation
/ Amortization Months],_xlfn.XMATCH($E$237,FixedAssets[Asset ID])),IF(AND((_xlfn.XMATCH(BS$8,$AH$8:$CC$8))-_xlfn.XMATCH($C248,$C$35:$C$82)+1&lt;=_xlpm.DepreciationMonths,$C248&lt;=BS$8),$E248/_xlpm.DepreciationMonths,0))</f>
        <v>0</v>
      </c>
      <c r="BT248" s="507" cm="1">
        <f t="array" ref="BT248">_xlfn.LET(_xlpm.DepreciationMonths,INDEX(FixedAssets[Depreciation
/ Amortization Months],_xlfn.XMATCH($E$237,FixedAssets[Asset ID])),IF(AND((_xlfn.XMATCH(BT$8,$AH$8:$CC$8))-_xlfn.XMATCH($C248,$C$35:$C$82)+1&lt;=_xlpm.DepreciationMonths,$C248&lt;=BT$8),$E248/_xlpm.DepreciationMonths,0))</f>
        <v>0</v>
      </c>
      <c r="BU248" s="507" cm="1">
        <f t="array" ref="BU248">_xlfn.LET(_xlpm.DepreciationMonths,INDEX(FixedAssets[Depreciation
/ Amortization Months],_xlfn.XMATCH($E$237,FixedAssets[Asset ID])),IF(AND((_xlfn.XMATCH(BU$8,$AH$8:$CC$8))-_xlfn.XMATCH($C248,$C$35:$C$82)+1&lt;=_xlpm.DepreciationMonths,$C248&lt;=BU$8),$E248/_xlpm.DepreciationMonths,0))</f>
        <v>0</v>
      </c>
      <c r="BV248" s="507" cm="1">
        <f t="array" ref="BV248">_xlfn.LET(_xlpm.DepreciationMonths,INDEX(FixedAssets[Depreciation
/ Amortization Months],_xlfn.XMATCH($E$237,FixedAssets[Asset ID])),IF(AND((_xlfn.XMATCH(BV$8,$AH$8:$CC$8))-_xlfn.XMATCH($C248,$C$35:$C$82)+1&lt;=_xlpm.DepreciationMonths,$C248&lt;=BV$8),$E248/_xlpm.DepreciationMonths,0))</f>
        <v>0</v>
      </c>
      <c r="BW248" s="507" cm="1">
        <f t="array" ref="BW248">_xlfn.LET(_xlpm.DepreciationMonths,INDEX(FixedAssets[Depreciation
/ Amortization Months],_xlfn.XMATCH($E$237,FixedAssets[Asset ID])),IF(AND((_xlfn.XMATCH(BW$8,$AH$8:$CC$8))-_xlfn.XMATCH($C248,$C$35:$C$82)+1&lt;=_xlpm.DepreciationMonths,$C248&lt;=BW$8),$E248/_xlpm.DepreciationMonths,0))</f>
        <v>0</v>
      </c>
      <c r="BX248" s="507" cm="1">
        <f t="array" ref="BX248">_xlfn.LET(_xlpm.DepreciationMonths,INDEX(FixedAssets[Depreciation
/ Amortization Months],_xlfn.XMATCH($E$237,FixedAssets[Asset ID])),IF(AND((_xlfn.XMATCH(BX$8,$AH$8:$CC$8))-_xlfn.XMATCH($C248,$C$35:$C$82)+1&lt;=_xlpm.DepreciationMonths,$C248&lt;=BX$8),$E248/_xlpm.DepreciationMonths,0))</f>
        <v>0</v>
      </c>
      <c r="BY248" s="507" cm="1">
        <f t="array" ref="BY248">_xlfn.LET(_xlpm.DepreciationMonths,INDEX(FixedAssets[Depreciation
/ Amortization Months],_xlfn.XMATCH($E$237,FixedAssets[Asset ID])),IF(AND((_xlfn.XMATCH(BY$8,$AH$8:$CC$8))-_xlfn.XMATCH($C248,$C$35:$C$82)+1&lt;=_xlpm.DepreciationMonths,$C248&lt;=BY$8),$E248/_xlpm.DepreciationMonths,0))</f>
        <v>0</v>
      </c>
      <c r="BZ248" s="507" cm="1">
        <f t="array" ref="BZ248">_xlfn.LET(_xlpm.DepreciationMonths,INDEX(FixedAssets[Depreciation
/ Amortization Months],_xlfn.XMATCH($E$237,FixedAssets[Asset ID])),IF(AND((_xlfn.XMATCH(BZ$8,$AH$8:$CC$8))-_xlfn.XMATCH($C248,$C$35:$C$82)+1&lt;=_xlpm.DepreciationMonths,$C248&lt;=BZ$8),$E248/_xlpm.DepreciationMonths,0))</f>
        <v>0</v>
      </c>
      <c r="CA248" s="507" cm="1">
        <f t="array" ref="CA248">_xlfn.LET(_xlpm.DepreciationMonths,INDEX(FixedAssets[Depreciation
/ Amortization Months],_xlfn.XMATCH($E$237,FixedAssets[Asset ID])),IF(AND((_xlfn.XMATCH(CA$8,$AH$8:$CC$8))-_xlfn.XMATCH($C248,$C$35:$C$82)+1&lt;=_xlpm.DepreciationMonths,$C248&lt;=CA$8),$E248/_xlpm.DepreciationMonths,0))</f>
        <v>0</v>
      </c>
      <c r="CB248" s="507" cm="1">
        <f t="array" ref="CB248">_xlfn.LET(_xlpm.DepreciationMonths,INDEX(FixedAssets[Depreciation
/ Amortization Months],_xlfn.XMATCH($E$237,FixedAssets[Asset ID])),IF(AND((_xlfn.XMATCH(CB$8,$AH$8:$CC$8))-_xlfn.XMATCH($C248,$C$35:$C$82)+1&lt;=_xlpm.DepreciationMonths,$C248&lt;=CB$8),$E248/_xlpm.DepreciationMonths,0))</f>
        <v>0</v>
      </c>
      <c r="CC248" s="507" cm="1">
        <f t="array" ref="CC248">_xlfn.LET(_xlpm.DepreciationMonths,INDEX(FixedAssets[Depreciation
/ Amortization Months],_xlfn.XMATCH($E$237,FixedAssets[Asset ID])),IF(AND((_xlfn.XMATCH(CC$8,$AH$8:$CC$8))-_xlfn.XMATCH($C248,$C$35:$C$82)+1&lt;=_xlpm.DepreciationMonths,$C248&lt;=CC$8),$E248/_xlpm.DepreciationMonths,0))</f>
        <v>0</v>
      </c>
    </row>
    <row r="249" spans="3:81" hidden="1" outlineLevel="2">
      <c r="C249" s="664">
        <f t="shared" si="267"/>
        <v>45260</v>
      </c>
      <c r="D249" s="508"/>
      <c r="E249" s="508" cm="1">
        <f t="array" ref="E249">SUMPRODUCT(($AH$26:$CC$31)*($AH$5:$CC$5=$C249)*($E$26:$E$31=E$237))-SUMPRODUCT(($AH$26:$CC$31)*($AH$5:$CC$5=EOMONTH($C249,-1))*($E$26:$E$31=E$237))</f>
        <v>0</v>
      </c>
      <c r="F249" s="508"/>
      <c r="G249" s="508"/>
      <c r="H249" s="508"/>
      <c r="I249" s="508"/>
      <c r="J249" s="504">
        <f t="shared" si="265"/>
        <v>0</v>
      </c>
      <c r="K249" s="504">
        <f t="shared" si="265"/>
        <v>0</v>
      </c>
      <c r="L249" s="504">
        <f t="shared" si="265"/>
        <v>0</v>
      </c>
      <c r="M249" s="504">
        <f t="shared" si="265"/>
        <v>0</v>
      </c>
      <c r="N249" s="504"/>
      <c r="O249" s="504"/>
      <c r="P249" s="504">
        <f t="shared" si="266"/>
        <v>0</v>
      </c>
      <c r="Q249" s="504">
        <f t="shared" si="266"/>
        <v>0</v>
      </c>
      <c r="R249" s="504">
        <f t="shared" si="266"/>
        <v>0</v>
      </c>
      <c r="S249" s="504">
        <f t="shared" si="266"/>
        <v>0</v>
      </c>
      <c r="T249" s="504">
        <f t="shared" si="266"/>
        <v>0</v>
      </c>
      <c r="U249" s="504">
        <f t="shared" si="266"/>
        <v>0</v>
      </c>
      <c r="V249" s="504">
        <f t="shared" si="266"/>
        <v>0</v>
      </c>
      <c r="W249" s="504">
        <f t="shared" si="266"/>
        <v>0</v>
      </c>
      <c r="X249" s="504">
        <f t="shared" si="266"/>
        <v>0</v>
      </c>
      <c r="Y249" s="504">
        <f t="shared" si="266"/>
        <v>0</v>
      </c>
      <c r="Z249" s="504">
        <f t="shared" si="266"/>
        <v>0</v>
      </c>
      <c r="AA249" s="504">
        <f t="shared" si="266"/>
        <v>0</v>
      </c>
      <c r="AB249" s="504">
        <f t="shared" si="266"/>
        <v>0</v>
      </c>
      <c r="AC249" s="504">
        <f t="shared" si="266"/>
        <v>0</v>
      </c>
      <c r="AD249" s="504">
        <f t="shared" si="266"/>
        <v>0</v>
      </c>
      <c r="AE249" s="504">
        <f t="shared" si="266"/>
        <v>0</v>
      </c>
      <c r="AF249" s="508"/>
      <c r="AG249" s="508"/>
      <c r="AH249" s="507" cm="1">
        <f t="array" ref="AH249">_xlfn.LET(_xlpm.DepreciationMonths,INDEX(FixedAssets[Depreciation
/ Amortization Months],_xlfn.XMATCH($E$237,FixedAssets[Asset ID])),IF(AND((_xlfn.XMATCH(AH$8,$AH$8:$CC$8))-_xlfn.XMATCH($C249,$C$35:$C$82)+1&lt;=_xlpm.DepreciationMonths,$C249&lt;=AH$8),$E249/_xlpm.DepreciationMonths,0))</f>
        <v>0</v>
      </c>
      <c r="AI249" s="507" cm="1">
        <f t="array" ref="AI249">_xlfn.LET(_xlpm.DepreciationMonths,INDEX(FixedAssets[Depreciation
/ Amortization Months],_xlfn.XMATCH($E$237,FixedAssets[Asset ID])),IF(AND((_xlfn.XMATCH(AI$8,$AH$8:$CC$8))-_xlfn.XMATCH($C249,$C$35:$C$82)+1&lt;=_xlpm.DepreciationMonths,$C249&lt;=AI$8),$E249/_xlpm.DepreciationMonths,0))</f>
        <v>0</v>
      </c>
      <c r="AJ249" s="507" cm="1">
        <f t="array" ref="AJ249">_xlfn.LET(_xlpm.DepreciationMonths,INDEX(FixedAssets[Depreciation
/ Amortization Months],_xlfn.XMATCH($E$237,FixedAssets[Asset ID])),IF(AND((_xlfn.XMATCH(AJ$8,$AH$8:$CC$8))-_xlfn.XMATCH($C249,$C$35:$C$82)+1&lt;=_xlpm.DepreciationMonths,$C249&lt;=AJ$8),$E249/_xlpm.DepreciationMonths,0))</f>
        <v>0</v>
      </c>
      <c r="AK249" s="507" cm="1">
        <f t="array" ref="AK249">_xlfn.LET(_xlpm.DepreciationMonths,INDEX(FixedAssets[Depreciation
/ Amortization Months],_xlfn.XMATCH($E$237,FixedAssets[Asset ID])),IF(AND((_xlfn.XMATCH(AK$8,$AH$8:$CC$8))-_xlfn.XMATCH($C249,$C$35:$C$82)+1&lt;=_xlpm.DepreciationMonths,$C249&lt;=AK$8),$E249/_xlpm.DepreciationMonths,0))</f>
        <v>0</v>
      </c>
      <c r="AL249" s="507" cm="1">
        <f t="array" ref="AL249">_xlfn.LET(_xlpm.DepreciationMonths,INDEX(FixedAssets[Depreciation
/ Amortization Months],_xlfn.XMATCH($E$237,FixedAssets[Asset ID])),IF(AND((_xlfn.XMATCH(AL$8,$AH$8:$CC$8))-_xlfn.XMATCH($C249,$C$35:$C$82)+1&lt;=_xlpm.DepreciationMonths,$C249&lt;=AL$8),$E249/_xlpm.DepreciationMonths,0))</f>
        <v>0</v>
      </c>
      <c r="AM249" s="507" cm="1">
        <f t="array" ref="AM249">_xlfn.LET(_xlpm.DepreciationMonths,INDEX(FixedAssets[Depreciation
/ Amortization Months],_xlfn.XMATCH($E$237,FixedAssets[Asset ID])),IF(AND((_xlfn.XMATCH(AM$8,$AH$8:$CC$8))-_xlfn.XMATCH($C249,$C$35:$C$82)+1&lt;=_xlpm.DepreciationMonths,$C249&lt;=AM$8),$E249/_xlpm.DepreciationMonths,0))</f>
        <v>0</v>
      </c>
      <c r="AN249" s="507" cm="1">
        <f t="array" ref="AN249">_xlfn.LET(_xlpm.DepreciationMonths,INDEX(FixedAssets[Depreciation
/ Amortization Months],_xlfn.XMATCH($E$237,FixedAssets[Asset ID])),IF(AND((_xlfn.XMATCH(AN$8,$AH$8:$CC$8))-_xlfn.XMATCH($C249,$C$35:$C$82)+1&lt;=_xlpm.DepreciationMonths,$C249&lt;=AN$8),$E249/_xlpm.DepreciationMonths,0))</f>
        <v>0</v>
      </c>
      <c r="AO249" s="507" cm="1">
        <f t="array" ref="AO249">_xlfn.LET(_xlpm.DepreciationMonths,INDEX(FixedAssets[Depreciation
/ Amortization Months],_xlfn.XMATCH($E$237,FixedAssets[Asset ID])),IF(AND((_xlfn.XMATCH(AO$8,$AH$8:$CC$8))-_xlfn.XMATCH($C249,$C$35:$C$82)+1&lt;=_xlpm.DepreciationMonths,$C249&lt;=AO$8),$E249/_xlpm.DepreciationMonths,0))</f>
        <v>0</v>
      </c>
      <c r="AP249" s="507" cm="1">
        <f t="array" ref="AP249">_xlfn.LET(_xlpm.DepreciationMonths,INDEX(FixedAssets[Depreciation
/ Amortization Months],_xlfn.XMATCH($E$237,FixedAssets[Asset ID])),IF(AND((_xlfn.XMATCH(AP$8,$AH$8:$CC$8))-_xlfn.XMATCH($C249,$C$35:$C$82)+1&lt;=_xlpm.DepreciationMonths,$C249&lt;=AP$8),$E249/_xlpm.DepreciationMonths,0))</f>
        <v>0</v>
      </c>
      <c r="AQ249" s="507" cm="1">
        <f t="array" ref="AQ249">_xlfn.LET(_xlpm.DepreciationMonths,INDEX(FixedAssets[Depreciation
/ Amortization Months],_xlfn.XMATCH($E$237,FixedAssets[Asset ID])),IF(AND((_xlfn.XMATCH(AQ$8,$AH$8:$CC$8))-_xlfn.XMATCH($C249,$C$35:$C$82)+1&lt;=_xlpm.DepreciationMonths,$C249&lt;=AQ$8),$E249/_xlpm.DepreciationMonths,0))</f>
        <v>0</v>
      </c>
      <c r="AR249" s="507" cm="1">
        <f t="array" ref="AR249">_xlfn.LET(_xlpm.DepreciationMonths,INDEX(FixedAssets[Depreciation
/ Amortization Months],_xlfn.XMATCH($E$237,FixedAssets[Asset ID])),IF(AND((_xlfn.XMATCH(AR$8,$AH$8:$CC$8))-_xlfn.XMATCH($C249,$C$35:$C$82)+1&lt;=_xlpm.DepreciationMonths,$C249&lt;=AR$8),$E249/_xlpm.DepreciationMonths,0))</f>
        <v>0</v>
      </c>
      <c r="AS249" s="507" cm="1">
        <f t="array" ref="AS249">_xlfn.LET(_xlpm.DepreciationMonths,INDEX(FixedAssets[Depreciation
/ Amortization Months],_xlfn.XMATCH($E$237,FixedAssets[Asset ID])),IF(AND((_xlfn.XMATCH(AS$8,$AH$8:$CC$8))-_xlfn.XMATCH($C249,$C$35:$C$82)+1&lt;=_xlpm.DepreciationMonths,$C249&lt;=AS$8),$E249/_xlpm.DepreciationMonths,0))</f>
        <v>0</v>
      </c>
      <c r="AT249" s="507" cm="1">
        <f t="array" ref="AT249">_xlfn.LET(_xlpm.DepreciationMonths,INDEX(FixedAssets[Depreciation
/ Amortization Months],_xlfn.XMATCH($E$237,FixedAssets[Asset ID])),IF(AND((_xlfn.XMATCH(AT$8,$AH$8:$CC$8))-_xlfn.XMATCH($C249,$C$35:$C$82)+1&lt;=_xlpm.DepreciationMonths,$C249&lt;=AT$8),$E249/_xlpm.DepreciationMonths,0))</f>
        <v>0</v>
      </c>
      <c r="AU249" s="507" cm="1">
        <f t="array" ref="AU249">_xlfn.LET(_xlpm.DepreciationMonths,INDEX(FixedAssets[Depreciation
/ Amortization Months],_xlfn.XMATCH($E$237,FixedAssets[Asset ID])),IF(AND((_xlfn.XMATCH(AU$8,$AH$8:$CC$8))-_xlfn.XMATCH($C249,$C$35:$C$82)+1&lt;=_xlpm.DepreciationMonths,$C249&lt;=AU$8),$E249/_xlpm.DepreciationMonths,0))</f>
        <v>0</v>
      </c>
      <c r="AV249" s="507" cm="1">
        <f t="array" ref="AV249">_xlfn.LET(_xlpm.DepreciationMonths,INDEX(FixedAssets[Depreciation
/ Amortization Months],_xlfn.XMATCH($E$237,FixedAssets[Asset ID])),IF(AND((_xlfn.XMATCH(AV$8,$AH$8:$CC$8))-_xlfn.XMATCH($C249,$C$35:$C$82)+1&lt;=_xlpm.DepreciationMonths,$C249&lt;=AV$8),$E249/_xlpm.DepreciationMonths,0))</f>
        <v>0</v>
      </c>
      <c r="AW249" s="507" cm="1">
        <f t="array" ref="AW249">_xlfn.LET(_xlpm.DepreciationMonths,INDEX(FixedAssets[Depreciation
/ Amortization Months],_xlfn.XMATCH($E$237,FixedAssets[Asset ID])),IF(AND((_xlfn.XMATCH(AW$8,$AH$8:$CC$8))-_xlfn.XMATCH($C249,$C$35:$C$82)+1&lt;=_xlpm.DepreciationMonths,$C249&lt;=AW$8),$E249/_xlpm.DepreciationMonths,0))</f>
        <v>0</v>
      </c>
      <c r="AX249" s="507" cm="1">
        <f t="array" ref="AX249">_xlfn.LET(_xlpm.DepreciationMonths,INDEX(FixedAssets[Depreciation
/ Amortization Months],_xlfn.XMATCH($E$237,FixedAssets[Asset ID])),IF(AND((_xlfn.XMATCH(AX$8,$AH$8:$CC$8))-_xlfn.XMATCH($C249,$C$35:$C$82)+1&lt;=_xlpm.DepreciationMonths,$C249&lt;=AX$8),$E249/_xlpm.DepreciationMonths,0))</f>
        <v>0</v>
      </c>
      <c r="AY249" s="507" cm="1">
        <f t="array" ref="AY249">_xlfn.LET(_xlpm.DepreciationMonths,INDEX(FixedAssets[Depreciation
/ Amortization Months],_xlfn.XMATCH($E$237,FixedAssets[Asset ID])),IF(AND((_xlfn.XMATCH(AY$8,$AH$8:$CC$8))-_xlfn.XMATCH($C249,$C$35:$C$82)+1&lt;=_xlpm.DepreciationMonths,$C249&lt;=AY$8),$E249/_xlpm.DepreciationMonths,0))</f>
        <v>0</v>
      </c>
      <c r="AZ249" s="507" cm="1">
        <f t="array" ref="AZ249">_xlfn.LET(_xlpm.DepreciationMonths,INDEX(FixedAssets[Depreciation
/ Amortization Months],_xlfn.XMATCH($E$237,FixedAssets[Asset ID])),IF(AND((_xlfn.XMATCH(AZ$8,$AH$8:$CC$8))-_xlfn.XMATCH($C249,$C$35:$C$82)+1&lt;=_xlpm.DepreciationMonths,$C249&lt;=AZ$8),$E249/_xlpm.DepreciationMonths,0))</f>
        <v>0</v>
      </c>
      <c r="BA249" s="507" cm="1">
        <f t="array" ref="BA249">_xlfn.LET(_xlpm.DepreciationMonths,INDEX(FixedAssets[Depreciation
/ Amortization Months],_xlfn.XMATCH($E$237,FixedAssets[Asset ID])),IF(AND((_xlfn.XMATCH(BA$8,$AH$8:$CC$8))-_xlfn.XMATCH($C249,$C$35:$C$82)+1&lt;=_xlpm.DepreciationMonths,$C249&lt;=BA$8),$E249/_xlpm.DepreciationMonths,0))</f>
        <v>0</v>
      </c>
      <c r="BB249" s="507" cm="1">
        <f t="array" ref="BB249">_xlfn.LET(_xlpm.DepreciationMonths,INDEX(FixedAssets[Depreciation
/ Amortization Months],_xlfn.XMATCH($E$237,FixedAssets[Asset ID])),IF(AND((_xlfn.XMATCH(BB$8,$AH$8:$CC$8))-_xlfn.XMATCH($C249,$C$35:$C$82)+1&lt;=_xlpm.DepreciationMonths,$C249&lt;=BB$8),$E249/_xlpm.DepreciationMonths,0))</f>
        <v>0</v>
      </c>
      <c r="BC249" s="507" cm="1">
        <f t="array" ref="BC249">_xlfn.LET(_xlpm.DepreciationMonths,INDEX(FixedAssets[Depreciation
/ Amortization Months],_xlfn.XMATCH($E$237,FixedAssets[Asset ID])),IF(AND((_xlfn.XMATCH(BC$8,$AH$8:$CC$8))-_xlfn.XMATCH($C249,$C$35:$C$82)+1&lt;=_xlpm.DepreciationMonths,$C249&lt;=BC$8),$E249/_xlpm.DepreciationMonths,0))</f>
        <v>0</v>
      </c>
      <c r="BD249" s="507" cm="1">
        <f t="array" ref="BD249">_xlfn.LET(_xlpm.DepreciationMonths,INDEX(FixedAssets[Depreciation
/ Amortization Months],_xlfn.XMATCH($E$237,FixedAssets[Asset ID])),IF(AND((_xlfn.XMATCH(BD$8,$AH$8:$CC$8))-_xlfn.XMATCH($C249,$C$35:$C$82)+1&lt;=_xlpm.DepreciationMonths,$C249&lt;=BD$8),$E249/_xlpm.DepreciationMonths,0))</f>
        <v>0</v>
      </c>
      <c r="BE249" s="507" cm="1">
        <f t="array" ref="BE249">_xlfn.LET(_xlpm.DepreciationMonths,INDEX(FixedAssets[Depreciation
/ Amortization Months],_xlfn.XMATCH($E$237,FixedAssets[Asset ID])),IF(AND((_xlfn.XMATCH(BE$8,$AH$8:$CC$8))-_xlfn.XMATCH($C249,$C$35:$C$82)+1&lt;=_xlpm.DepreciationMonths,$C249&lt;=BE$8),$E249/_xlpm.DepreciationMonths,0))</f>
        <v>0</v>
      </c>
      <c r="BF249" s="507" cm="1">
        <f t="array" ref="BF249">_xlfn.LET(_xlpm.DepreciationMonths,INDEX(FixedAssets[Depreciation
/ Amortization Months],_xlfn.XMATCH($E$237,FixedAssets[Asset ID])),IF(AND((_xlfn.XMATCH(BF$8,$AH$8:$CC$8))-_xlfn.XMATCH($C249,$C$35:$C$82)+1&lt;=_xlpm.DepreciationMonths,$C249&lt;=BF$8),$E249/_xlpm.DepreciationMonths,0))</f>
        <v>0</v>
      </c>
      <c r="BG249" s="507" cm="1">
        <f t="array" ref="BG249">_xlfn.LET(_xlpm.DepreciationMonths,INDEX(FixedAssets[Depreciation
/ Amortization Months],_xlfn.XMATCH($E$237,FixedAssets[Asset ID])),IF(AND((_xlfn.XMATCH(BG$8,$AH$8:$CC$8))-_xlfn.XMATCH($C249,$C$35:$C$82)+1&lt;=_xlpm.DepreciationMonths,$C249&lt;=BG$8),$E249/_xlpm.DepreciationMonths,0))</f>
        <v>0</v>
      </c>
      <c r="BH249" s="507" cm="1">
        <f t="array" ref="BH249">_xlfn.LET(_xlpm.DepreciationMonths,INDEX(FixedAssets[Depreciation
/ Amortization Months],_xlfn.XMATCH($E$237,FixedAssets[Asset ID])),IF(AND((_xlfn.XMATCH(BH$8,$AH$8:$CC$8))-_xlfn.XMATCH($C249,$C$35:$C$82)+1&lt;=_xlpm.DepreciationMonths,$C249&lt;=BH$8),$E249/_xlpm.DepreciationMonths,0))</f>
        <v>0</v>
      </c>
      <c r="BI249" s="507" cm="1">
        <f t="array" ref="BI249">_xlfn.LET(_xlpm.DepreciationMonths,INDEX(FixedAssets[Depreciation
/ Amortization Months],_xlfn.XMATCH($E$237,FixedAssets[Asset ID])),IF(AND((_xlfn.XMATCH(BI$8,$AH$8:$CC$8))-_xlfn.XMATCH($C249,$C$35:$C$82)+1&lt;=_xlpm.DepreciationMonths,$C249&lt;=BI$8),$E249/_xlpm.DepreciationMonths,0))</f>
        <v>0</v>
      </c>
      <c r="BJ249" s="507" cm="1">
        <f t="array" ref="BJ249">_xlfn.LET(_xlpm.DepreciationMonths,INDEX(FixedAssets[Depreciation
/ Amortization Months],_xlfn.XMATCH($E$237,FixedAssets[Asset ID])),IF(AND((_xlfn.XMATCH(BJ$8,$AH$8:$CC$8))-_xlfn.XMATCH($C249,$C$35:$C$82)+1&lt;=_xlpm.DepreciationMonths,$C249&lt;=BJ$8),$E249/_xlpm.DepreciationMonths,0))</f>
        <v>0</v>
      </c>
      <c r="BK249" s="507" cm="1">
        <f t="array" ref="BK249">_xlfn.LET(_xlpm.DepreciationMonths,INDEX(FixedAssets[Depreciation
/ Amortization Months],_xlfn.XMATCH($E$237,FixedAssets[Asset ID])),IF(AND((_xlfn.XMATCH(BK$8,$AH$8:$CC$8))-_xlfn.XMATCH($C249,$C$35:$C$82)+1&lt;=_xlpm.DepreciationMonths,$C249&lt;=BK$8),$E249/_xlpm.DepreciationMonths,0))</f>
        <v>0</v>
      </c>
      <c r="BL249" s="507" cm="1">
        <f t="array" ref="BL249">_xlfn.LET(_xlpm.DepreciationMonths,INDEX(FixedAssets[Depreciation
/ Amortization Months],_xlfn.XMATCH($E$237,FixedAssets[Asset ID])),IF(AND((_xlfn.XMATCH(BL$8,$AH$8:$CC$8))-_xlfn.XMATCH($C249,$C$35:$C$82)+1&lt;=_xlpm.DepreciationMonths,$C249&lt;=BL$8),$E249/_xlpm.DepreciationMonths,0))</f>
        <v>0</v>
      </c>
      <c r="BM249" s="507" cm="1">
        <f t="array" ref="BM249">_xlfn.LET(_xlpm.DepreciationMonths,INDEX(FixedAssets[Depreciation
/ Amortization Months],_xlfn.XMATCH($E$237,FixedAssets[Asset ID])),IF(AND((_xlfn.XMATCH(BM$8,$AH$8:$CC$8))-_xlfn.XMATCH($C249,$C$35:$C$82)+1&lt;=_xlpm.DepreciationMonths,$C249&lt;=BM$8),$E249/_xlpm.DepreciationMonths,0))</f>
        <v>0</v>
      </c>
      <c r="BN249" s="507" cm="1">
        <f t="array" ref="BN249">_xlfn.LET(_xlpm.DepreciationMonths,INDEX(FixedAssets[Depreciation
/ Amortization Months],_xlfn.XMATCH($E$237,FixedAssets[Asset ID])),IF(AND((_xlfn.XMATCH(BN$8,$AH$8:$CC$8))-_xlfn.XMATCH($C249,$C$35:$C$82)+1&lt;=_xlpm.DepreciationMonths,$C249&lt;=BN$8),$E249/_xlpm.DepreciationMonths,0))</f>
        <v>0</v>
      </c>
      <c r="BO249" s="507" cm="1">
        <f t="array" ref="BO249">_xlfn.LET(_xlpm.DepreciationMonths,INDEX(FixedAssets[Depreciation
/ Amortization Months],_xlfn.XMATCH($E$237,FixedAssets[Asset ID])),IF(AND((_xlfn.XMATCH(BO$8,$AH$8:$CC$8))-_xlfn.XMATCH($C249,$C$35:$C$82)+1&lt;=_xlpm.DepreciationMonths,$C249&lt;=BO$8),$E249/_xlpm.DepreciationMonths,0))</f>
        <v>0</v>
      </c>
      <c r="BP249" s="507" cm="1">
        <f t="array" ref="BP249">_xlfn.LET(_xlpm.DepreciationMonths,INDEX(FixedAssets[Depreciation
/ Amortization Months],_xlfn.XMATCH($E$237,FixedAssets[Asset ID])),IF(AND((_xlfn.XMATCH(BP$8,$AH$8:$CC$8))-_xlfn.XMATCH($C249,$C$35:$C$82)+1&lt;=_xlpm.DepreciationMonths,$C249&lt;=BP$8),$E249/_xlpm.DepreciationMonths,0))</f>
        <v>0</v>
      </c>
      <c r="BQ249" s="507" cm="1">
        <f t="array" ref="BQ249">_xlfn.LET(_xlpm.DepreciationMonths,INDEX(FixedAssets[Depreciation
/ Amortization Months],_xlfn.XMATCH($E$237,FixedAssets[Asset ID])),IF(AND((_xlfn.XMATCH(BQ$8,$AH$8:$CC$8))-_xlfn.XMATCH($C249,$C$35:$C$82)+1&lt;=_xlpm.DepreciationMonths,$C249&lt;=BQ$8),$E249/_xlpm.DepreciationMonths,0))</f>
        <v>0</v>
      </c>
      <c r="BR249" s="507" cm="1">
        <f t="array" ref="BR249">_xlfn.LET(_xlpm.DepreciationMonths,INDEX(FixedAssets[Depreciation
/ Amortization Months],_xlfn.XMATCH($E$237,FixedAssets[Asset ID])),IF(AND((_xlfn.XMATCH(BR$8,$AH$8:$CC$8))-_xlfn.XMATCH($C249,$C$35:$C$82)+1&lt;=_xlpm.DepreciationMonths,$C249&lt;=BR$8),$E249/_xlpm.DepreciationMonths,0))</f>
        <v>0</v>
      </c>
      <c r="BS249" s="507" cm="1">
        <f t="array" ref="BS249">_xlfn.LET(_xlpm.DepreciationMonths,INDEX(FixedAssets[Depreciation
/ Amortization Months],_xlfn.XMATCH($E$237,FixedAssets[Asset ID])),IF(AND((_xlfn.XMATCH(BS$8,$AH$8:$CC$8))-_xlfn.XMATCH($C249,$C$35:$C$82)+1&lt;=_xlpm.DepreciationMonths,$C249&lt;=BS$8),$E249/_xlpm.DepreciationMonths,0))</f>
        <v>0</v>
      </c>
      <c r="BT249" s="507" cm="1">
        <f t="array" ref="BT249">_xlfn.LET(_xlpm.DepreciationMonths,INDEX(FixedAssets[Depreciation
/ Amortization Months],_xlfn.XMATCH($E$237,FixedAssets[Asset ID])),IF(AND((_xlfn.XMATCH(BT$8,$AH$8:$CC$8))-_xlfn.XMATCH($C249,$C$35:$C$82)+1&lt;=_xlpm.DepreciationMonths,$C249&lt;=BT$8),$E249/_xlpm.DepreciationMonths,0))</f>
        <v>0</v>
      </c>
      <c r="BU249" s="507" cm="1">
        <f t="array" ref="BU249">_xlfn.LET(_xlpm.DepreciationMonths,INDEX(FixedAssets[Depreciation
/ Amortization Months],_xlfn.XMATCH($E$237,FixedAssets[Asset ID])),IF(AND((_xlfn.XMATCH(BU$8,$AH$8:$CC$8))-_xlfn.XMATCH($C249,$C$35:$C$82)+1&lt;=_xlpm.DepreciationMonths,$C249&lt;=BU$8),$E249/_xlpm.DepreciationMonths,0))</f>
        <v>0</v>
      </c>
      <c r="BV249" s="507" cm="1">
        <f t="array" ref="BV249">_xlfn.LET(_xlpm.DepreciationMonths,INDEX(FixedAssets[Depreciation
/ Amortization Months],_xlfn.XMATCH($E$237,FixedAssets[Asset ID])),IF(AND((_xlfn.XMATCH(BV$8,$AH$8:$CC$8))-_xlfn.XMATCH($C249,$C$35:$C$82)+1&lt;=_xlpm.DepreciationMonths,$C249&lt;=BV$8),$E249/_xlpm.DepreciationMonths,0))</f>
        <v>0</v>
      </c>
      <c r="BW249" s="507" cm="1">
        <f t="array" ref="BW249">_xlfn.LET(_xlpm.DepreciationMonths,INDEX(FixedAssets[Depreciation
/ Amortization Months],_xlfn.XMATCH($E$237,FixedAssets[Asset ID])),IF(AND((_xlfn.XMATCH(BW$8,$AH$8:$CC$8))-_xlfn.XMATCH($C249,$C$35:$C$82)+1&lt;=_xlpm.DepreciationMonths,$C249&lt;=BW$8),$E249/_xlpm.DepreciationMonths,0))</f>
        <v>0</v>
      </c>
      <c r="BX249" s="507" cm="1">
        <f t="array" ref="BX249">_xlfn.LET(_xlpm.DepreciationMonths,INDEX(FixedAssets[Depreciation
/ Amortization Months],_xlfn.XMATCH($E$237,FixedAssets[Asset ID])),IF(AND((_xlfn.XMATCH(BX$8,$AH$8:$CC$8))-_xlfn.XMATCH($C249,$C$35:$C$82)+1&lt;=_xlpm.DepreciationMonths,$C249&lt;=BX$8),$E249/_xlpm.DepreciationMonths,0))</f>
        <v>0</v>
      </c>
      <c r="BY249" s="507" cm="1">
        <f t="array" ref="BY249">_xlfn.LET(_xlpm.DepreciationMonths,INDEX(FixedAssets[Depreciation
/ Amortization Months],_xlfn.XMATCH($E$237,FixedAssets[Asset ID])),IF(AND((_xlfn.XMATCH(BY$8,$AH$8:$CC$8))-_xlfn.XMATCH($C249,$C$35:$C$82)+1&lt;=_xlpm.DepreciationMonths,$C249&lt;=BY$8),$E249/_xlpm.DepreciationMonths,0))</f>
        <v>0</v>
      </c>
      <c r="BZ249" s="507" cm="1">
        <f t="array" ref="BZ249">_xlfn.LET(_xlpm.DepreciationMonths,INDEX(FixedAssets[Depreciation
/ Amortization Months],_xlfn.XMATCH($E$237,FixedAssets[Asset ID])),IF(AND((_xlfn.XMATCH(BZ$8,$AH$8:$CC$8))-_xlfn.XMATCH($C249,$C$35:$C$82)+1&lt;=_xlpm.DepreciationMonths,$C249&lt;=BZ$8),$E249/_xlpm.DepreciationMonths,0))</f>
        <v>0</v>
      </c>
      <c r="CA249" s="507" cm="1">
        <f t="array" ref="CA249">_xlfn.LET(_xlpm.DepreciationMonths,INDEX(FixedAssets[Depreciation
/ Amortization Months],_xlfn.XMATCH($E$237,FixedAssets[Asset ID])),IF(AND((_xlfn.XMATCH(CA$8,$AH$8:$CC$8))-_xlfn.XMATCH($C249,$C$35:$C$82)+1&lt;=_xlpm.DepreciationMonths,$C249&lt;=CA$8),$E249/_xlpm.DepreciationMonths,0))</f>
        <v>0</v>
      </c>
      <c r="CB249" s="507" cm="1">
        <f t="array" ref="CB249">_xlfn.LET(_xlpm.DepreciationMonths,INDEX(FixedAssets[Depreciation
/ Amortization Months],_xlfn.XMATCH($E$237,FixedAssets[Asset ID])),IF(AND((_xlfn.XMATCH(CB$8,$AH$8:$CC$8))-_xlfn.XMATCH($C249,$C$35:$C$82)+1&lt;=_xlpm.DepreciationMonths,$C249&lt;=CB$8),$E249/_xlpm.DepreciationMonths,0))</f>
        <v>0</v>
      </c>
      <c r="CC249" s="507" cm="1">
        <f t="array" ref="CC249">_xlfn.LET(_xlpm.DepreciationMonths,INDEX(FixedAssets[Depreciation
/ Amortization Months],_xlfn.XMATCH($E$237,FixedAssets[Asset ID])),IF(AND((_xlfn.XMATCH(CC$8,$AH$8:$CC$8))-_xlfn.XMATCH($C249,$C$35:$C$82)+1&lt;=_xlpm.DepreciationMonths,$C249&lt;=CC$8),$E249/_xlpm.DepreciationMonths,0))</f>
        <v>0</v>
      </c>
    </row>
    <row r="250" spans="3:81" hidden="1" outlineLevel="2">
      <c r="C250" s="664">
        <f t="shared" si="267"/>
        <v>45291</v>
      </c>
      <c r="D250" s="508"/>
      <c r="E250" s="508" cm="1">
        <f t="array" ref="E250">SUMPRODUCT(($AH$26:$CC$31)*($AH$5:$CC$5=$C250)*($E$26:$E$31=E$237))-SUMPRODUCT(($AH$26:$CC$31)*($AH$5:$CC$5=EOMONTH($C250,-1))*($E$26:$E$31=E$237))</f>
        <v>0</v>
      </c>
      <c r="F250" s="508"/>
      <c r="G250" s="508"/>
      <c r="H250" s="508"/>
      <c r="I250" s="508"/>
      <c r="J250" s="504">
        <f t="shared" si="265"/>
        <v>0</v>
      </c>
      <c r="K250" s="504">
        <f t="shared" si="265"/>
        <v>0</v>
      </c>
      <c r="L250" s="504">
        <f t="shared" si="265"/>
        <v>0</v>
      </c>
      <c r="M250" s="504">
        <f t="shared" si="265"/>
        <v>0</v>
      </c>
      <c r="N250" s="504"/>
      <c r="O250" s="504"/>
      <c r="P250" s="504">
        <f t="shared" si="266"/>
        <v>0</v>
      </c>
      <c r="Q250" s="504">
        <f t="shared" si="266"/>
        <v>0</v>
      </c>
      <c r="R250" s="504">
        <f t="shared" si="266"/>
        <v>0</v>
      </c>
      <c r="S250" s="504">
        <f t="shared" si="266"/>
        <v>0</v>
      </c>
      <c r="T250" s="504">
        <f t="shared" si="266"/>
        <v>0</v>
      </c>
      <c r="U250" s="504">
        <f t="shared" si="266"/>
        <v>0</v>
      </c>
      <c r="V250" s="504">
        <f t="shared" si="266"/>
        <v>0</v>
      </c>
      <c r="W250" s="504">
        <f t="shared" si="266"/>
        <v>0</v>
      </c>
      <c r="X250" s="504">
        <f t="shared" si="266"/>
        <v>0</v>
      </c>
      <c r="Y250" s="504">
        <f t="shared" si="266"/>
        <v>0</v>
      </c>
      <c r="Z250" s="504">
        <f t="shared" si="266"/>
        <v>0</v>
      </c>
      <c r="AA250" s="504">
        <f t="shared" si="266"/>
        <v>0</v>
      </c>
      <c r="AB250" s="504">
        <f t="shared" si="266"/>
        <v>0</v>
      </c>
      <c r="AC250" s="504">
        <f t="shared" si="266"/>
        <v>0</v>
      </c>
      <c r="AD250" s="504">
        <f t="shared" si="266"/>
        <v>0</v>
      </c>
      <c r="AE250" s="504">
        <f t="shared" si="266"/>
        <v>0</v>
      </c>
      <c r="AF250" s="508"/>
      <c r="AG250" s="508"/>
      <c r="AH250" s="507" cm="1">
        <f t="array" ref="AH250">_xlfn.LET(_xlpm.DepreciationMonths,INDEX(FixedAssets[Depreciation
/ Amortization Months],_xlfn.XMATCH($E$237,FixedAssets[Asset ID])),IF(AND((_xlfn.XMATCH(AH$8,$AH$8:$CC$8))-_xlfn.XMATCH($C250,$C$35:$C$82)+1&lt;=_xlpm.DepreciationMonths,$C250&lt;=AH$8),$E250/_xlpm.DepreciationMonths,0))</f>
        <v>0</v>
      </c>
      <c r="AI250" s="507" cm="1">
        <f t="array" ref="AI250">_xlfn.LET(_xlpm.DepreciationMonths,INDEX(FixedAssets[Depreciation
/ Amortization Months],_xlfn.XMATCH($E$237,FixedAssets[Asset ID])),IF(AND((_xlfn.XMATCH(AI$8,$AH$8:$CC$8))-_xlfn.XMATCH($C250,$C$35:$C$82)+1&lt;=_xlpm.DepreciationMonths,$C250&lt;=AI$8),$E250/_xlpm.DepreciationMonths,0))</f>
        <v>0</v>
      </c>
      <c r="AJ250" s="507" cm="1">
        <f t="array" ref="AJ250">_xlfn.LET(_xlpm.DepreciationMonths,INDEX(FixedAssets[Depreciation
/ Amortization Months],_xlfn.XMATCH($E$237,FixedAssets[Asset ID])),IF(AND((_xlfn.XMATCH(AJ$8,$AH$8:$CC$8))-_xlfn.XMATCH($C250,$C$35:$C$82)+1&lt;=_xlpm.DepreciationMonths,$C250&lt;=AJ$8),$E250/_xlpm.DepreciationMonths,0))</f>
        <v>0</v>
      </c>
      <c r="AK250" s="507" cm="1">
        <f t="array" ref="AK250">_xlfn.LET(_xlpm.DepreciationMonths,INDEX(FixedAssets[Depreciation
/ Amortization Months],_xlfn.XMATCH($E$237,FixedAssets[Asset ID])),IF(AND((_xlfn.XMATCH(AK$8,$AH$8:$CC$8))-_xlfn.XMATCH($C250,$C$35:$C$82)+1&lt;=_xlpm.DepreciationMonths,$C250&lt;=AK$8),$E250/_xlpm.DepreciationMonths,0))</f>
        <v>0</v>
      </c>
      <c r="AL250" s="507" cm="1">
        <f t="array" ref="AL250">_xlfn.LET(_xlpm.DepreciationMonths,INDEX(FixedAssets[Depreciation
/ Amortization Months],_xlfn.XMATCH($E$237,FixedAssets[Asset ID])),IF(AND((_xlfn.XMATCH(AL$8,$AH$8:$CC$8))-_xlfn.XMATCH($C250,$C$35:$C$82)+1&lt;=_xlpm.DepreciationMonths,$C250&lt;=AL$8),$E250/_xlpm.DepreciationMonths,0))</f>
        <v>0</v>
      </c>
      <c r="AM250" s="507" cm="1">
        <f t="array" ref="AM250">_xlfn.LET(_xlpm.DepreciationMonths,INDEX(FixedAssets[Depreciation
/ Amortization Months],_xlfn.XMATCH($E$237,FixedAssets[Asset ID])),IF(AND((_xlfn.XMATCH(AM$8,$AH$8:$CC$8))-_xlfn.XMATCH($C250,$C$35:$C$82)+1&lt;=_xlpm.DepreciationMonths,$C250&lt;=AM$8),$E250/_xlpm.DepreciationMonths,0))</f>
        <v>0</v>
      </c>
      <c r="AN250" s="507" cm="1">
        <f t="array" ref="AN250">_xlfn.LET(_xlpm.DepreciationMonths,INDEX(FixedAssets[Depreciation
/ Amortization Months],_xlfn.XMATCH($E$237,FixedAssets[Asset ID])),IF(AND((_xlfn.XMATCH(AN$8,$AH$8:$CC$8))-_xlfn.XMATCH($C250,$C$35:$C$82)+1&lt;=_xlpm.DepreciationMonths,$C250&lt;=AN$8),$E250/_xlpm.DepreciationMonths,0))</f>
        <v>0</v>
      </c>
      <c r="AO250" s="507" cm="1">
        <f t="array" ref="AO250">_xlfn.LET(_xlpm.DepreciationMonths,INDEX(FixedAssets[Depreciation
/ Amortization Months],_xlfn.XMATCH($E$237,FixedAssets[Asset ID])),IF(AND((_xlfn.XMATCH(AO$8,$AH$8:$CC$8))-_xlfn.XMATCH($C250,$C$35:$C$82)+1&lt;=_xlpm.DepreciationMonths,$C250&lt;=AO$8),$E250/_xlpm.DepreciationMonths,0))</f>
        <v>0</v>
      </c>
      <c r="AP250" s="507" cm="1">
        <f t="array" ref="AP250">_xlfn.LET(_xlpm.DepreciationMonths,INDEX(FixedAssets[Depreciation
/ Amortization Months],_xlfn.XMATCH($E$237,FixedAssets[Asset ID])),IF(AND((_xlfn.XMATCH(AP$8,$AH$8:$CC$8))-_xlfn.XMATCH($C250,$C$35:$C$82)+1&lt;=_xlpm.DepreciationMonths,$C250&lt;=AP$8),$E250/_xlpm.DepreciationMonths,0))</f>
        <v>0</v>
      </c>
      <c r="AQ250" s="507" cm="1">
        <f t="array" ref="AQ250">_xlfn.LET(_xlpm.DepreciationMonths,INDEX(FixedAssets[Depreciation
/ Amortization Months],_xlfn.XMATCH($E$237,FixedAssets[Asset ID])),IF(AND((_xlfn.XMATCH(AQ$8,$AH$8:$CC$8))-_xlfn.XMATCH($C250,$C$35:$C$82)+1&lt;=_xlpm.DepreciationMonths,$C250&lt;=AQ$8),$E250/_xlpm.DepreciationMonths,0))</f>
        <v>0</v>
      </c>
      <c r="AR250" s="507" cm="1">
        <f t="array" ref="AR250">_xlfn.LET(_xlpm.DepreciationMonths,INDEX(FixedAssets[Depreciation
/ Amortization Months],_xlfn.XMATCH($E$237,FixedAssets[Asset ID])),IF(AND((_xlfn.XMATCH(AR$8,$AH$8:$CC$8))-_xlfn.XMATCH($C250,$C$35:$C$82)+1&lt;=_xlpm.DepreciationMonths,$C250&lt;=AR$8),$E250/_xlpm.DepreciationMonths,0))</f>
        <v>0</v>
      </c>
      <c r="AS250" s="507" cm="1">
        <f t="array" ref="AS250">_xlfn.LET(_xlpm.DepreciationMonths,INDEX(FixedAssets[Depreciation
/ Amortization Months],_xlfn.XMATCH($E$237,FixedAssets[Asset ID])),IF(AND((_xlfn.XMATCH(AS$8,$AH$8:$CC$8))-_xlfn.XMATCH($C250,$C$35:$C$82)+1&lt;=_xlpm.DepreciationMonths,$C250&lt;=AS$8),$E250/_xlpm.DepreciationMonths,0))</f>
        <v>0</v>
      </c>
      <c r="AT250" s="507" cm="1">
        <f t="array" ref="AT250">_xlfn.LET(_xlpm.DepreciationMonths,INDEX(FixedAssets[Depreciation
/ Amortization Months],_xlfn.XMATCH($E$237,FixedAssets[Asset ID])),IF(AND((_xlfn.XMATCH(AT$8,$AH$8:$CC$8))-_xlfn.XMATCH($C250,$C$35:$C$82)+1&lt;=_xlpm.DepreciationMonths,$C250&lt;=AT$8),$E250/_xlpm.DepreciationMonths,0))</f>
        <v>0</v>
      </c>
      <c r="AU250" s="507" cm="1">
        <f t="array" ref="AU250">_xlfn.LET(_xlpm.DepreciationMonths,INDEX(FixedAssets[Depreciation
/ Amortization Months],_xlfn.XMATCH($E$237,FixedAssets[Asset ID])),IF(AND((_xlfn.XMATCH(AU$8,$AH$8:$CC$8))-_xlfn.XMATCH($C250,$C$35:$C$82)+1&lt;=_xlpm.DepreciationMonths,$C250&lt;=AU$8),$E250/_xlpm.DepreciationMonths,0))</f>
        <v>0</v>
      </c>
      <c r="AV250" s="507" cm="1">
        <f t="array" ref="AV250">_xlfn.LET(_xlpm.DepreciationMonths,INDEX(FixedAssets[Depreciation
/ Amortization Months],_xlfn.XMATCH($E$237,FixedAssets[Asset ID])),IF(AND((_xlfn.XMATCH(AV$8,$AH$8:$CC$8))-_xlfn.XMATCH($C250,$C$35:$C$82)+1&lt;=_xlpm.DepreciationMonths,$C250&lt;=AV$8),$E250/_xlpm.DepreciationMonths,0))</f>
        <v>0</v>
      </c>
      <c r="AW250" s="507" cm="1">
        <f t="array" ref="AW250">_xlfn.LET(_xlpm.DepreciationMonths,INDEX(FixedAssets[Depreciation
/ Amortization Months],_xlfn.XMATCH($E$237,FixedAssets[Asset ID])),IF(AND((_xlfn.XMATCH(AW$8,$AH$8:$CC$8))-_xlfn.XMATCH($C250,$C$35:$C$82)+1&lt;=_xlpm.DepreciationMonths,$C250&lt;=AW$8),$E250/_xlpm.DepreciationMonths,0))</f>
        <v>0</v>
      </c>
      <c r="AX250" s="507" cm="1">
        <f t="array" ref="AX250">_xlfn.LET(_xlpm.DepreciationMonths,INDEX(FixedAssets[Depreciation
/ Amortization Months],_xlfn.XMATCH($E$237,FixedAssets[Asset ID])),IF(AND((_xlfn.XMATCH(AX$8,$AH$8:$CC$8))-_xlfn.XMATCH($C250,$C$35:$C$82)+1&lt;=_xlpm.DepreciationMonths,$C250&lt;=AX$8),$E250/_xlpm.DepreciationMonths,0))</f>
        <v>0</v>
      </c>
      <c r="AY250" s="507" cm="1">
        <f t="array" ref="AY250">_xlfn.LET(_xlpm.DepreciationMonths,INDEX(FixedAssets[Depreciation
/ Amortization Months],_xlfn.XMATCH($E$237,FixedAssets[Asset ID])),IF(AND((_xlfn.XMATCH(AY$8,$AH$8:$CC$8))-_xlfn.XMATCH($C250,$C$35:$C$82)+1&lt;=_xlpm.DepreciationMonths,$C250&lt;=AY$8),$E250/_xlpm.DepreciationMonths,0))</f>
        <v>0</v>
      </c>
      <c r="AZ250" s="507" cm="1">
        <f t="array" ref="AZ250">_xlfn.LET(_xlpm.DepreciationMonths,INDEX(FixedAssets[Depreciation
/ Amortization Months],_xlfn.XMATCH($E$237,FixedAssets[Asset ID])),IF(AND((_xlfn.XMATCH(AZ$8,$AH$8:$CC$8))-_xlfn.XMATCH($C250,$C$35:$C$82)+1&lt;=_xlpm.DepreciationMonths,$C250&lt;=AZ$8),$E250/_xlpm.DepreciationMonths,0))</f>
        <v>0</v>
      </c>
      <c r="BA250" s="507" cm="1">
        <f t="array" ref="BA250">_xlfn.LET(_xlpm.DepreciationMonths,INDEX(FixedAssets[Depreciation
/ Amortization Months],_xlfn.XMATCH($E$237,FixedAssets[Asset ID])),IF(AND((_xlfn.XMATCH(BA$8,$AH$8:$CC$8))-_xlfn.XMATCH($C250,$C$35:$C$82)+1&lt;=_xlpm.DepreciationMonths,$C250&lt;=BA$8),$E250/_xlpm.DepreciationMonths,0))</f>
        <v>0</v>
      </c>
      <c r="BB250" s="507" cm="1">
        <f t="array" ref="BB250">_xlfn.LET(_xlpm.DepreciationMonths,INDEX(FixedAssets[Depreciation
/ Amortization Months],_xlfn.XMATCH($E$237,FixedAssets[Asset ID])),IF(AND((_xlfn.XMATCH(BB$8,$AH$8:$CC$8))-_xlfn.XMATCH($C250,$C$35:$C$82)+1&lt;=_xlpm.DepreciationMonths,$C250&lt;=BB$8),$E250/_xlpm.DepreciationMonths,0))</f>
        <v>0</v>
      </c>
      <c r="BC250" s="507" cm="1">
        <f t="array" ref="BC250">_xlfn.LET(_xlpm.DepreciationMonths,INDEX(FixedAssets[Depreciation
/ Amortization Months],_xlfn.XMATCH($E$237,FixedAssets[Asset ID])),IF(AND((_xlfn.XMATCH(BC$8,$AH$8:$CC$8))-_xlfn.XMATCH($C250,$C$35:$C$82)+1&lt;=_xlpm.DepreciationMonths,$C250&lt;=BC$8),$E250/_xlpm.DepreciationMonths,0))</f>
        <v>0</v>
      </c>
      <c r="BD250" s="507" cm="1">
        <f t="array" ref="BD250">_xlfn.LET(_xlpm.DepreciationMonths,INDEX(FixedAssets[Depreciation
/ Amortization Months],_xlfn.XMATCH($E$237,FixedAssets[Asset ID])),IF(AND((_xlfn.XMATCH(BD$8,$AH$8:$CC$8))-_xlfn.XMATCH($C250,$C$35:$C$82)+1&lt;=_xlpm.DepreciationMonths,$C250&lt;=BD$8),$E250/_xlpm.DepreciationMonths,0))</f>
        <v>0</v>
      </c>
      <c r="BE250" s="507" cm="1">
        <f t="array" ref="BE250">_xlfn.LET(_xlpm.DepreciationMonths,INDEX(FixedAssets[Depreciation
/ Amortization Months],_xlfn.XMATCH($E$237,FixedAssets[Asset ID])),IF(AND((_xlfn.XMATCH(BE$8,$AH$8:$CC$8))-_xlfn.XMATCH($C250,$C$35:$C$82)+1&lt;=_xlpm.DepreciationMonths,$C250&lt;=BE$8),$E250/_xlpm.DepreciationMonths,0))</f>
        <v>0</v>
      </c>
      <c r="BF250" s="507" cm="1">
        <f t="array" ref="BF250">_xlfn.LET(_xlpm.DepreciationMonths,INDEX(FixedAssets[Depreciation
/ Amortization Months],_xlfn.XMATCH($E$237,FixedAssets[Asset ID])),IF(AND((_xlfn.XMATCH(BF$8,$AH$8:$CC$8))-_xlfn.XMATCH($C250,$C$35:$C$82)+1&lt;=_xlpm.DepreciationMonths,$C250&lt;=BF$8),$E250/_xlpm.DepreciationMonths,0))</f>
        <v>0</v>
      </c>
      <c r="BG250" s="507" cm="1">
        <f t="array" ref="BG250">_xlfn.LET(_xlpm.DepreciationMonths,INDEX(FixedAssets[Depreciation
/ Amortization Months],_xlfn.XMATCH($E$237,FixedAssets[Asset ID])),IF(AND((_xlfn.XMATCH(BG$8,$AH$8:$CC$8))-_xlfn.XMATCH($C250,$C$35:$C$82)+1&lt;=_xlpm.DepreciationMonths,$C250&lt;=BG$8),$E250/_xlpm.DepreciationMonths,0))</f>
        <v>0</v>
      </c>
      <c r="BH250" s="507" cm="1">
        <f t="array" ref="BH250">_xlfn.LET(_xlpm.DepreciationMonths,INDEX(FixedAssets[Depreciation
/ Amortization Months],_xlfn.XMATCH($E$237,FixedAssets[Asset ID])),IF(AND((_xlfn.XMATCH(BH$8,$AH$8:$CC$8))-_xlfn.XMATCH($C250,$C$35:$C$82)+1&lt;=_xlpm.DepreciationMonths,$C250&lt;=BH$8),$E250/_xlpm.DepreciationMonths,0))</f>
        <v>0</v>
      </c>
      <c r="BI250" s="507" cm="1">
        <f t="array" ref="BI250">_xlfn.LET(_xlpm.DepreciationMonths,INDEX(FixedAssets[Depreciation
/ Amortization Months],_xlfn.XMATCH($E$237,FixedAssets[Asset ID])),IF(AND((_xlfn.XMATCH(BI$8,$AH$8:$CC$8))-_xlfn.XMATCH($C250,$C$35:$C$82)+1&lt;=_xlpm.DepreciationMonths,$C250&lt;=BI$8),$E250/_xlpm.DepreciationMonths,0))</f>
        <v>0</v>
      </c>
      <c r="BJ250" s="507" cm="1">
        <f t="array" ref="BJ250">_xlfn.LET(_xlpm.DepreciationMonths,INDEX(FixedAssets[Depreciation
/ Amortization Months],_xlfn.XMATCH($E$237,FixedAssets[Asset ID])),IF(AND((_xlfn.XMATCH(BJ$8,$AH$8:$CC$8))-_xlfn.XMATCH($C250,$C$35:$C$82)+1&lt;=_xlpm.DepreciationMonths,$C250&lt;=BJ$8),$E250/_xlpm.DepreciationMonths,0))</f>
        <v>0</v>
      </c>
      <c r="BK250" s="507" cm="1">
        <f t="array" ref="BK250">_xlfn.LET(_xlpm.DepreciationMonths,INDEX(FixedAssets[Depreciation
/ Amortization Months],_xlfn.XMATCH($E$237,FixedAssets[Asset ID])),IF(AND((_xlfn.XMATCH(BK$8,$AH$8:$CC$8))-_xlfn.XMATCH($C250,$C$35:$C$82)+1&lt;=_xlpm.DepreciationMonths,$C250&lt;=BK$8),$E250/_xlpm.DepreciationMonths,0))</f>
        <v>0</v>
      </c>
      <c r="BL250" s="507" cm="1">
        <f t="array" ref="BL250">_xlfn.LET(_xlpm.DepreciationMonths,INDEX(FixedAssets[Depreciation
/ Amortization Months],_xlfn.XMATCH($E$237,FixedAssets[Asset ID])),IF(AND((_xlfn.XMATCH(BL$8,$AH$8:$CC$8))-_xlfn.XMATCH($C250,$C$35:$C$82)+1&lt;=_xlpm.DepreciationMonths,$C250&lt;=BL$8),$E250/_xlpm.DepreciationMonths,0))</f>
        <v>0</v>
      </c>
      <c r="BM250" s="507" cm="1">
        <f t="array" ref="BM250">_xlfn.LET(_xlpm.DepreciationMonths,INDEX(FixedAssets[Depreciation
/ Amortization Months],_xlfn.XMATCH($E$237,FixedAssets[Asset ID])),IF(AND((_xlfn.XMATCH(BM$8,$AH$8:$CC$8))-_xlfn.XMATCH($C250,$C$35:$C$82)+1&lt;=_xlpm.DepreciationMonths,$C250&lt;=BM$8),$E250/_xlpm.DepreciationMonths,0))</f>
        <v>0</v>
      </c>
      <c r="BN250" s="507" cm="1">
        <f t="array" ref="BN250">_xlfn.LET(_xlpm.DepreciationMonths,INDEX(FixedAssets[Depreciation
/ Amortization Months],_xlfn.XMATCH($E$237,FixedAssets[Asset ID])),IF(AND((_xlfn.XMATCH(BN$8,$AH$8:$CC$8))-_xlfn.XMATCH($C250,$C$35:$C$82)+1&lt;=_xlpm.DepreciationMonths,$C250&lt;=BN$8),$E250/_xlpm.DepreciationMonths,0))</f>
        <v>0</v>
      </c>
      <c r="BO250" s="507" cm="1">
        <f t="array" ref="BO250">_xlfn.LET(_xlpm.DepreciationMonths,INDEX(FixedAssets[Depreciation
/ Amortization Months],_xlfn.XMATCH($E$237,FixedAssets[Asset ID])),IF(AND((_xlfn.XMATCH(BO$8,$AH$8:$CC$8))-_xlfn.XMATCH($C250,$C$35:$C$82)+1&lt;=_xlpm.DepreciationMonths,$C250&lt;=BO$8),$E250/_xlpm.DepreciationMonths,0))</f>
        <v>0</v>
      </c>
      <c r="BP250" s="507" cm="1">
        <f t="array" ref="BP250">_xlfn.LET(_xlpm.DepreciationMonths,INDEX(FixedAssets[Depreciation
/ Amortization Months],_xlfn.XMATCH($E$237,FixedAssets[Asset ID])),IF(AND((_xlfn.XMATCH(BP$8,$AH$8:$CC$8))-_xlfn.XMATCH($C250,$C$35:$C$82)+1&lt;=_xlpm.DepreciationMonths,$C250&lt;=BP$8),$E250/_xlpm.DepreciationMonths,0))</f>
        <v>0</v>
      </c>
      <c r="BQ250" s="507" cm="1">
        <f t="array" ref="BQ250">_xlfn.LET(_xlpm.DepreciationMonths,INDEX(FixedAssets[Depreciation
/ Amortization Months],_xlfn.XMATCH($E$237,FixedAssets[Asset ID])),IF(AND((_xlfn.XMATCH(BQ$8,$AH$8:$CC$8))-_xlfn.XMATCH($C250,$C$35:$C$82)+1&lt;=_xlpm.DepreciationMonths,$C250&lt;=BQ$8),$E250/_xlpm.DepreciationMonths,0))</f>
        <v>0</v>
      </c>
      <c r="BR250" s="507" cm="1">
        <f t="array" ref="BR250">_xlfn.LET(_xlpm.DepreciationMonths,INDEX(FixedAssets[Depreciation
/ Amortization Months],_xlfn.XMATCH($E$237,FixedAssets[Asset ID])),IF(AND((_xlfn.XMATCH(BR$8,$AH$8:$CC$8))-_xlfn.XMATCH($C250,$C$35:$C$82)+1&lt;=_xlpm.DepreciationMonths,$C250&lt;=BR$8),$E250/_xlpm.DepreciationMonths,0))</f>
        <v>0</v>
      </c>
      <c r="BS250" s="507" cm="1">
        <f t="array" ref="BS250">_xlfn.LET(_xlpm.DepreciationMonths,INDEX(FixedAssets[Depreciation
/ Amortization Months],_xlfn.XMATCH($E$237,FixedAssets[Asset ID])),IF(AND((_xlfn.XMATCH(BS$8,$AH$8:$CC$8))-_xlfn.XMATCH($C250,$C$35:$C$82)+1&lt;=_xlpm.DepreciationMonths,$C250&lt;=BS$8),$E250/_xlpm.DepreciationMonths,0))</f>
        <v>0</v>
      </c>
      <c r="BT250" s="507" cm="1">
        <f t="array" ref="BT250">_xlfn.LET(_xlpm.DepreciationMonths,INDEX(FixedAssets[Depreciation
/ Amortization Months],_xlfn.XMATCH($E$237,FixedAssets[Asset ID])),IF(AND((_xlfn.XMATCH(BT$8,$AH$8:$CC$8))-_xlfn.XMATCH($C250,$C$35:$C$82)+1&lt;=_xlpm.DepreciationMonths,$C250&lt;=BT$8),$E250/_xlpm.DepreciationMonths,0))</f>
        <v>0</v>
      </c>
      <c r="BU250" s="507" cm="1">
        <f t="array" ref="BU250">_xlfn.LET(_xlpm.DepreciationMonths,INDEX(FixedAssets[Depreciation
/ Amortization Months],_xlfn.XMATCH($E$237,FixedAssets[Asset ID])),IF(AND((_xlfn.XMATCH(BU$8,$AH$8:$CC$8))-_xlfn.XMATCH($C250,$C$35:$C$82)+1&lt;=_xlpm.DepreciationMonths,$C250&lt;=BU$8),$E250/_xlpm.DepreciationMonths,0))</f>
        <v>0</v>
      </c>
      <c r="BV250" s="507" cm="1">
        <f t="array" ref="BV250">_xlfn.LET(_xlpm.DepreciationMonths,INDEX(FixedAssets[Depreciation
/ Amortization Months],_xlfn.XMATCH($E$237,FixedAssets[Asset ID])),IF(AND((_xlfn.XMATCH(BV$8,$AH$8:$CC$8))-_xlfn.XMATCH($C250,$C$35:$C$82)+1&lt;=_xlpm.DepreciationMonths,$C250&lt;=BV$8),$E250/_xlpm.DepreciationMonths,0))</f>
        <v>0</v>
      </c>
      <c r="BW250" s="507" cm="1">
        <f t="array" ref="BW250">_xlfn.LET(_xlpm.DepreciationMonths,INDEX(FixedAssets[Depreciation
/ Amortization Months],_xlfn.XMATCH($E$237,FixedAssets[Asset ID])),IF(AND((_xlfn.XMATCH(BW$8,$AH$8:$CC$8))-_xlfn.XMATCH($C250,$C$35:$C$82)+1&lt;=_xlpm.DepreciationMonths,$C250&lt;=BW$8),$E250/_xlpm.DepreciationMonths,0))</f>
        <v>0</v>
      </c>
      <c r="BX250" s="507" cm="1">
        <f t="array" ref="BX250">_xlfn.LET(_xlpm.DepreciationMonths,INDEX(FixedAssets[Depreciation
/ Amortization Months],_xlfn.XMATCH($E$237,FixedAssets[Asset ID])),IF(AND((_xlfn.XMATCH(BX$8,$AH$8:$CC$8))-_xlfn.XMATCH($C250,$C$35:$C$82)+1&lt;=_xlpm.DepreciationMonths,$C250&lt;=BX$8),$E250/_xlpm.DepreciationMonths,0))</f>
        <v>0</v>
      </c>
      <c r="BY250" s="507" cm="1">
        <f t="array" ref="BY250">_xlfn.LET(_xlpm.DepreciationMonths,INDEX(FixedAssets[Depreciation
/ Amortization Months],_xlfn.XMATCH($E$237,FixedAssets[Asset ID])),IF(AND((_xlfn.XMATCH(BY$8,$AH$8:$CC$8))-_xlfn.XMATCH($C250,$C$35:$C$82)+1&lt;=_xlpm.DepreciationMonths,$C250&lt;=BY$8),$E250/_xlpm.DepreciationMonths,0))</f>
        <v>0</v>
      </c>
      <c r="BZ250" s="507" cm="1">
        <f t="array" ref="BZ250">_xlfn.LET(_xlpm.DepreciationMonths,INDEX(FixedAssets[Depreciation
/ Amortization Months],_xlfn.XMATCH($E$237,FixedAssets[Asset ID])),IF(AND((_xlfn.XMATCH(BZ$8,$AH$8:$CC$8))-_xlfn.XMATCH($C250,$C$35:$C$82)+1&lt;=_xlpm.DepreciationMonths,$C250&lt;=BZ$8),$E250/_xlpm.DepreciationMonths,0))</f>
        <v>0</v>
      </c>
      <c r="CA250" s="507" cm="1">
        <f t="array" ref="CA250">_xlfn.LET(_xlpm.DepreciationMonths,INDEX(FixedAssets[Depreciation
/ Amortization Months],_xlfn.XMATCH($E$237,FixedAssets[Asset ID])),IF(AND((_xlfn.XMATCH(CA$8,$AH$8:$CC$8))-_xlfn.XMATCH($C250,$C$35:$C$82)+1&lt;=_xlpm.DepreciationMonths,$C250&lt;=CA$8),$E250/_xlpm.DepreciationMonths,0))</f>
        <v>0</v>
      </c>
      <c r="CB250" s="507" cm="1">
        <f t="array" ref="CB250">_xlfn.LET(_xlpm.DepreciationMonths,INDEX(FixedAssets[Depreciation
/ Amortization Months],_xlfn.XMATCH($E$237,FixedAssets[Asset ID])),IF(AND((_xlfn.XMATCH(CB$8,$AH$8:$CC$8))-_xlfn.XMATCH($C250,$C$35:$C$82)+1&lt;=_xlpm.DepreciationMonths,$C250&lt;=CB$8),$E250/_xlpm.DepreciationMonths,0))</f>
        <v>0</v>
      </c>
      <c r="CC250" s="507" cm="1">
        <f t="array" ref="CC250">_xlfn.LET(_xlpm.DepreciationMonths,INDEX(FixedAssets[Depreciation
/ Amortization Months],_xlfn.XMATCH($E$237,FixedAssets[Asset ID])),IF(AND((_xlfn.XMATCH(CC$8,$AH$8:$CC$8))-_xlfn.XMATCH($C250,$C$35:$C$82)+1&lt;=_xlpm.DepreciationMonths,$C250&lt;=CC$8),$E250/_xlpm.DepreciationMonths,0))</f>
        <v>0</v>
      </c>
    </row>
    <row r="251" spans="3:81" hidden="1" outlineLevel="2">
      <c r="C251" s="664">
        <f t="shared" si="267"/>
        <v>45322</v>
      </c>
      <c r="D251" s="508"/>
      <c r="E251" s="508" cm="1">
        <f t="array" ref="E251">SUMPRODUCT(($AH$26:$CC$31)*($AH$5:$CC$5=$C251)*($E$26:$E$31=E$237))-SUMPRODUCT(($AH$26:$CC$31)*($AH$5:$CC$5=EOMONTH($C251,-1))*($E$26:$E$31=E$237))</f>
        <v>0</v>
      </c>
      <c r="F251" s="508"/>
      <c r="G251" s="508"/>
      <c r="H251" s="508"/>
      <c r="I251" s="508"/>
      <c r="J251" s="504">
        <f t="shared" si="265"/>
        <v>0</v>
      </c>
      <c r="K251" s="504">
        <f t="shared" si="265"/>
        <v>0</v>
      </c>
      <c r="L251" s="504">
        <f t="shared" si="265"/>
        <v>0</v>
      </c>
      <c r="M251" s="504">
        <f t="shared" si="265"/>
        <v>0</v>
      </c>
      <c r="N251" s="504"/>
      <c r="O251" s="504"/>
      <c r="P251" s="504">
        <f t="shared" si="266"/>
        <v>0</v>
      </c>
      <c r="Q251" s="504">
        <f t="shared" si="266"/>
        <v>0</v>
      </c>
      <c r="R251" s="504">
        <f t="shared" si="266"/>
        <v>0</v>
      </c>
      <c r="S251" s="504">
        <f t="shared" si="266"/>
        <v>0</v>
      </c>
      <c r="T251" s="504">
        <f t="shared" si="266"/>
        <v>0</v>
      </c>
      <c r="U251" s="504">
        <f t="shared" si="266"/>
        <v>0</v>
      </c>
      <c r="V251" s="504">
        <f t="shared" si="266"/>
        <v>0</v>
      </c>
      <c r="W251" s="504">
        <f t="shared" si="266"/>
        <v>0</v>
      </c>
      <c r="X251" s="504">
        <f t="shared" si="266"/>
        <v>0</v>
      </c>
      <c r="Y251" s="504">
        <f t="shared" si="266"/>
        <v>0</v>
      </c>
      <c r="Z251" s="504">
        <f t="shared" si="266"/>
        <v>0</v>
      </c>
      <c r="AA251" s="504">
        <f t="shared" si="266"/>
        <v>0</v>
      </c>
      <c r="AB251" s="504">
        <f t="shared" si="266"/>
        <v>0</v>
      </c>
      <c r="AC251" s="504">
        <f t="shared" si="266"/>
        <v>0</v>
      </c>
      <c r="AD251" s="504">
        <f t="shared" si="266"/>
        <v>0</v>
      </c>
      <c r="AE251" s="504">
        <f t="shared" si="266"/>
        <v>0</v>
      </c>
      <c r="AF251" s="508"/>
      <c r="AG251" s="508"/>
      <c r="AH251" s="507" cm="1">
        <f t="array" ref="AH251">_xlfn.LET(_xlpm.DepreciationMonths,INDEX(FixedAssets[Depreciation
/ Amortization Months],_xlfn.XMATCH($E$237,FixedAssets[Asset ID])),IF(AND((_xlfn.XMATCH(AH$8,$AH$8:$CC$8))-_xlfn.XMATCH($C251,$C$35:$C$82)+1&lt;=_xlpm.DepreciationMonths,$C251&lt;=AH$8),$E251/_xlpm.DepreciationMonths,0))</f>
        <v>0</v>
      </c>
      <c r="AI251" s="507" cm="1">
        <f t="array" ref="AI251">_xlfn.LET(_xlpm.DepreciationMonths,INDEX(FixedAssets[Depreciation
/ Amortization Months],_xlfn.XMATCH($E$237,FixedAssets[Asset ID])),IF(AND((_xlfn.XMATCH(AI$8,$AH$8:$CC$8))-_xlfn.XMATCH($C251,$C$35:$C$82)+1&lt;=_xlpm.DepreciationMonths,$C251&lt;=AI$8),$E251/_xlpm.DepreciationMonths,0))</f>
        <v>0</v>
      </c>
      <c r="AJ251" s="507" cm="1">
        <f t="array" ref="AJ251">_xlfn.LET(_xlpm.DepreciationMonths,INDEX(FixedAssets[Depreciation
/ Amortization Months],_xlfn.XMATCH($E$237,FixedAssets[Asset ID])),IF(AND((_xlfn.XMATCH(AJ$8,$AH$8:$CC$8))-_xlfn.XMATCH($C251,$C$35:$C$82)+1&lt;=_xlpm.DepreciationMonths,$C251&lt;=AJ$8),$E251/_xlpm.DepreciationMonths,0))</f>
        <v>0</v>
      </c>
      <c r="AK251" s="507" cm="1">
        <f t="array" ref="AK251">_xlfn.LET(_xlpm.DepreciationMonths,INDEX(FixedAssets[Depreciation
/ Amortization Months],_xlfn.XMATCH($E$237,FixedAssets[Asset ID])),IF(AND((_xlfn.XMATCH(AK$8,$AH$8:$CC$8))-_xlfn.XMATCH($C251,$C$35:$C$82)+1&lt;=_xlpm.DepreciationMonths,$C251&lt;=AK$8),$E251/_xlpm.DepreciationMonths,0))</f>
        <v>0</v>
      </c>
      <c r="AL251" s="507" cm="1">
        <f t="array" ref="AL251">_xlfn.LET(_xlpm.DepreciationMonths,INDEX(FixedAssets[Depreciation
/ Amortization Months],_xlfn.XMATCH($E$237,FixedAssets[Asset ID])),IF(AND((_xlfn.XMATCH(AL$8,$AH$8:$CC$8))-_xlfn.XMATCH($C251,$C$35:$C$82)+1&lt;=_xlpm.DepreciationMonths,$C251&lt;=AL$8),$E251/_xlpm.DepreciationMonths,0))</f>
        <v>0</v>
      </c>
      <c r="AM251" s="507" cm="1">
        <f t="array" ref="AM251">_xlfn.LET(_xlpm.DepreciationMonths,INDEX(FixedAssets[Depreciation
/ Amortization Months],_xlfn.XMATCH($E$237,FixedAssets[Asset ID])),IF(AND((_xlfn.XMATCH(AM$8,$AH$8:$CC$8))-_xlfn.XMATCH($C251,$C$35:$C$82)+1&lt;=_xlpm.DepreciationMonths,$C251&lt;=AM$8),$E251/_xlpm.DepreciationMonths,0))</f>
        <v>0</v>
      </c>
      <c r="AN251" s="507" cm="1">
        <f t="array" ref="AN251">_xlfn.LET(_xlpm.DepreciationMonths,INDEX(FixedAssets[Depreciation
/ Amortization Months],_xlfn.XMATCH($E$237,FixedAssets[Asset ID])),IF(AND((_xlfn.XMATCH(AN$8,$AH$8:$CC$8))-_xlfn.XMATCH($C251,$C$35:$C$82)+1&lt;=_xlpm.DepreciationMonths,$C251&lt;=AN$8),$E251/_xlpm.DepreciationMonths,0))</f>
        <v>0</v>
      </c>
      <c r="AO251" s="507" cm="1">
        <f t="array" ref="AO251">_xlfn.LET(_xlpm.DepreciationMonths,INDEX(FixedAssets[Depreciation
/ Amortization Months],_xlfn.XMATCH($E$237,FixedAssets[Asset ID])),IF(AND((_xlfn.XMATCH(AO$8,$AH$8:$CC$8))-_xlfn.XMATCH($C251,$C$35:$C$82)+1&lt;=_xlpm.DepreciationMonths,$C251&lt;=AO$8),$E251/_xlpm.DepreciationMonths,0))</f>
        <v>0</v>
      </c>
      <c r="AP251" s="507" cm="1">
        <f t="array" ref="AP251">_xlfn.LET(_xlpm.DepreciationMonths,INDEX(FixedAssets[Depreciation
/ Amortization Months],_xlfn.XMATCH($E$237,FixedAssets[Asset ID])),IF(AND((_xlfn.XMATCH(AP$8,$AH$8:$CC$8))-_xlfn.XMATCH($C251,$C$35:$C$82)+1&lt;=_xlpm.DepreciationMonths,$C251&lt;=AP$8),$E251/_xlpm.DepreciationMonths,0))</f>
        <v>0</v>
      </c>
      <c r="AQ251" s="507" cm="1">
        <f t="array" ref="AQ251">_xlfn.LET(_xlpm.DepreciationMonths,INDEX(FixedAssets[Depreciation
/ Amortization Months],_xlfn.XMATCH($E$237,FixedAssets[Asset ID])),IF(AND((_xlfn.XMATCH(AQ$8,$AH$8:$CC$8))-_xlfn.XMATCH($C251,$C$35:$C$82)+1&lt;=_xlpm.DepreciationMonths,$C251&lt;=AQ$8),$E251/_xlpm.DepreciationMonths,0))</f>
        <v>0</v>
      </c>
      <c r="AR251" s="507" cm="1">
        <f t="array" ref="AR251">_xlfn.LET(_xlpm.DepreciationMonths,INDEX(FixedAssets[Depreciation
/ Amortization Months],_xlfn.XMATCH($E$237,FixedAssets[Asset ID])),IF(AND((_xlfn.XMATCH(AR$8,$AH$8:$CC$8))-_xlfn.XMATCH($C251,$C$35:$C$82)+1&lt;=_xlpm.DepreciationMonths,$C251&lt;=AR$8),$E251/_xlpm.DepreciationMonths,0))</f>
        <v>0</v>
      </c>
      <c r="AS251" s="507" cm="1">
        <f t="array" ref="AS251">_xlfn.LET(_xlpm.DepreciationMonths,INDEX(FixedAssets[Depreciation
/ Amortization Months],_xlfn.XMATCH($E$237,FixedAssets[Asset ID])),IF(AND((_xlfn.XMATCH(AS$8,$AH$8:$CC$8))-_xlfn.XMATCH($C251,$C$35:$C$82)+1&lt;=_xlpm.DepreciationMonths,$C251&lt;=AS$8),$E251/_xlpm.DepreciationMonths,0))</f>
        <v>0</v>
      </c>
      <c r="AT251" s="507" cm="1">
        <f t="array" ref="AT251">_xlfn.LET(_xlpm.DepreciationMonths,INDEX(FixedAssets[Depreciation
/ Amortization Months],_xlfn.XMATCH($E$237,FixedAssets[Asset ID])),IF(AND((_xlfn.XMATCH(AT$8,$AH$8:$CC$8))-_xlfn.XMATCH($C251,$C$35:$C$82)+1&lt;=_xlpm.DepreciationMonths,$C251&lt;=AT$8),$E251/_xlpm.DepreciationMonths,0))</f>
        <v>0</v>
      </c>
      <c r="AU251" s="507" cm="1">
        <f t="array" ref="AU251">_xlfn.LET(_xlpm.DepreciationMonths,INDEX(FixedAssets[Depreciation
/ Amortization Months],_xlfn.XMATCH($E$237,FixedAssets[Asset ID])),IF(AND((_xlfn.XMATCH(AU$8,$AH$8:$CC$8))-_xlfn.XMATCH($C251,$C$35:$C$82)+1&lt;=_xlpm.DepreciationMonths,$C251&lt;=AU$8),$E251/_xlpm.DepreciationMonths,0))</f>
        <v>0</v>
      </c>
      <c r="AV251" s="507" cm="1">
        <f t="array" ref="AV251">_xlfn.LET(_xlpm.DepreciationMonths,INDEX(FixedAssets[Depreciation
/ Amortization Months],_xlfn.XMATCH($E$237,FixedAssets[Asset ID])),IF(AND((_xlfn.XMATCH(AV$8,$AH$8:$CC$8))-_xlfn.XMATCH($C251,$C$35:$C$82)+1&lt;=_xlpm.DepreciationMonths,$C251&lt;=AV$8),$E251/_xlpm.DepreciationMonths,0))</f>
        <v>0</v>
      </c>
      <c r="AW251" s="507" cm="1">
        <f t="array" ref="AW251">_xlfn.LET(_xlpm.DepreciationMonths,INDEX(FixedAssets[Depreciation
/ Amortization Months],_xlfn.XMATCH($E$237,FixedAssets[Asset ID])),IF(AND((_xlfn.XMATCH(AW$8,$AH$8:$CC$8))-_xlfn.XMATCH($C251,$C$35:$C$82)+1&lt;=_xlpm.DepreciationMonths,$C251&lt;=AW$8),$E251/_xlpm.DepreciationMonths,0))</f>
        <v>0</v>
      </c>
      <c r="AX251" s="507" cm="1">
        <f t="array" ref="AX251">_xlfn.LET(_xlpm.DepreciationMonths,INDEX(FixedAssets[Depreciation
/ Amortization Months],_xlfn.XMATCH($E$237,FixedAssets[Asset ID])),IF(AND((_xlfn.XMATCH(AX$8,$AH$8:$CC$8))-_xlfn.XMATCH($C251,$C$35:$C$82)+1&lt;=_xlpm.DepreciationMonths,$C251&lt;=AX$8),$E251/_xlpm.DepreciationMonths,0))</f>
        <v>0</v>
      </c>
      <c r="AY251" s="507" cm="1">
        <f t="array" ref="AY251">_xlfn.LET(_xlpm.DepreciationMonths,INDEX(FixedAssets[Depreciation
/ Amortization Months],_xlfn.XMATCH($E$237,FixedAssets[Asset ID])),IF(AND((_xlfn.XMATCH(AY$8,$AH$8:$CC$8))-_xlfn.XMATCH($C251,$C$35:$C$82)+1&lt;=_xlpm.DepreciationMonths,$C251&lt;=AY$8),$E251/_xlpm.DepreciationMonths,0))</f>
        <v>0</v>
      </c>
      <c r="AZ251" s="507" cm="1">
        <f t="array" ref="AZ251">_xlfn.LET(_xlpm.DepreciationMonths,INDEX(FixedAssets[Depreciation
/ Amortization Months],_xlfn.XMATCH($E$237,FixedAssets[Asset ID])),IF(AND((_xlfn.XMATCH(AZ$8,$AH$8:$CC$8))-_xlfn.XMATCH($C251,$C$35:$C$82)+1&lt;=_xlpm.DepreciationMonths,$C251&lt;=AZ$8),$E251/_xlpm.DepreciationMonths,0))</f>
        <v>0</v>
      </c>
      <c r="BA251" s="507" cm="1">
        <f t="array" ref="BA251">_xlfn.LET(_xlpm.DepreciationMonths,INDEX(FixedAssets[Depreciation
/ Amortization Months],_xlfn.XMATCH($E$237,FixedAssets[Asset ID])),IF(AND((_xlfn.XMATCH(BA$8,$AH$8:$CC$8))-_xlfn.XMATCH($C251,$C$35:$C$82)+1&lt;=_xlpm.DepreciationMonths,$C251&lt;=BA$8),$E251/_xlpm.DepreciationMonths,0))</f>
        <v>0</v>
      </c>
      <c r="BB251" s="507" cm="1">
        <f t="array" ref="BB251">_xlfn.LET(_xlpm.DepreciationMonths,INDEX(FixedAssets[Depreciation
/ Amortization Months],_xlfn.XMATCH($E$237,FixedAssets[Asset ID])),IF(AND((_xlfn.XMATCH(BB$8,$AH$8:$CC$8))-_xlfn.XMATCH($C251,$C$35:$C$82)+1&lt;=_xlpm.DepreciationMonths,$C251&lt;=BB$8),$E251/_xlpm.DepreciationMonths,0))</f>
        <v>0</v>
      </c>
      <c r="BC251" s="507" cm="1">
        <f t="array" ref="BC251">_xlfn.LET(_xlpm.DepreciationMonths,INDEX(FixedAssets[Depreciation
/ Amortization Months],_xlfn.XMATCH($E$237,FixedAssets[Asset ID])),IF(AND((_xlfn.XMATCH(BC$8,$AH$8:$CC$8))-_xlfn.XMATCH($C251,$C$35:$C$82)+1&lt;=_xlpm.DepreciationMonths,$C251&lt;=BC$8),$E251/_xlpm.DepreciationMonths,0))</f>
        <v>0</v>
      </c>
      <c r="BD251" s="507" cm="1">
        <f t="array" ref="BD251">_xlfn.LET(_xlpm.DepreciationMonths,INDEX(FixedAssets[Depreciation
/ Amortization Months],_xlfn.XMATCH($E$237,FixedAssets[Asset ID])),IF(AND((_xlfn.XMATCH(BD$8,$AH$8:$CC$8))-_xlfn.XMATCH($C251,$C$35:$C$82)+1&lt;=_xlpm.DepreciationMonths,$C251&lt;=BD$8),$E251/_xlpm.DepreciationMonths,0))</f>
        <v>0</v>
      </c>
      <c r="BE251" s="507" cm="1">
        <f t="array" ref="BE251">_xlfn.LET(_xlpm.DepreciationMonths,INDEX(FixedAssets[Depreciation
/ Amortization Months],_xlfn.XMATCH($E$237,FixedAssets[Asset ID])),IF(AND((_xlfn.XMATCH(BE$8,$AH$8:$CC$8))-_xlfn.XMATCH($C251,$C$35:$C$82)+1&lt;=_xlpm.DepreciationMonths,$C251&lt;=BE$8),$E251/_xlpm.DepreciationMonths,0))</f>
        <v>0</v>
      </c>
      <c r="BF251" s="507" cm="1">
        <f t="array" ref="BF251">_xlfn.LET(_xlpm.DepreciationMonths,INDEX(FixedAssets[Depreciation
/ Amortization Months],_xlfn.XMATCH($E$237,FixedAssets[Asset ID])),IF(AND((_xlfn.XMATCH(BF$8,$AH$8:$CC$8))-_xlfn.XMATCH($C251,$C$35:$C$82)+1&lt;=_xlpm.DepreciationMonths,$C251&lt;=BF$8),$E251/_xlpm.DepreciationMonths,0))</f>
        <v>0</v>
      </c>
      <c r="BG251" s="507" cm="1">
        <f t="array" ref="BG251">_xlfn.LET(_xlpm.DepreciationMonths,INDEX(FixedAssets[Depreciation
/ Amortization Months],_xlfn.XMATCH($E$237,FixedAssets[Asset ID])),IF(AND((_xlfn.XMATCH(BG$8,$AH$8:$CC$8))-_xlfn.XMATCH($C251,$C$35:$C$82)+1&lt;=_xlpm.DepreciationMonths,$C251&lt;=BG$8),$E251/_xlpm.DepreciationMonths,0))</f>
        <v>0</v>
      </c>
      <c r="BH251" s="507" cm="1">
        <f t="array" ref="BH251">_xlfn.LET(_xlpm.DepreciationMonths,INDEX(FixedAssets[Depreciation
/ Amortization Months],_xlfn.XMATCH($E$237,FixedAssets[Asset ID])),IF(AND((_xlfn.XMATCH(BH$8,$AH$8:$CC$8))-_xlfn.XMATCH($C251,$C$35:$C$82)+1&lt;=_xlpm.DepreciationMonths,$C251&lt;=BH$8),$E251/_xlpm.DepreciationMonths,0))</f>
        <v>0</v>
      </c>
      <c r="BI251" s="507" cm="1">
        <f t="array" ref="BI251">_xlfn.LET(_xlpm.DepreciationMonths,INDEX(FixedAssets[Depreciation
/ Amortization Months],_xlfn.XMATCH($E$237,FixedAssets[Asset ID])),IF(AND((_xlfn.XMATCH(BI$8,$AH$8:$CC$8))-_xlfn.XMATCH($C251,$C$35:$C$82)+1&lt;=_xlpm.DepreciationMonths,$C251&lt;=BI$8),$E251/_xlpm.DepreciationMonths,0))</f>
        <v>0</v>
      </c>
      <c r="BJ251" s="507" cm="1">
        <f t="array" ref="BJ251">_xlfn.LET(_xlpm.DepreciationMonths,INDEX(FixedAssets[Depreciation
/ Amortization Months],_xlfn.XMATCH($E$237,FixedAssets[Asset ID])),IF(AND((_xlfn.XMATCH(BJ$8,$AH$8:$CC$8))-_xlfn.XMATCH($C251,$C$35:$C$82)+1&lt;=_xlpm.DepreciationMonths,$C251&lt;=BJ$8),$E251/_xlpm.DepreciationMonths,0))</f>
        <v>0</v>
      </c>
      <c r="BK251" s="507" cm="1">
        <f t="array" ref="BK251">_xlfn.LET(_xlpm.DepreciationMonths,INDEX(FixedAssets[Depreciation
/ Amortization Months],_xlfn.XMATCH($E$237,FixedAssets[Asset ID])),IF(AND((_xlfn.XMATCH(BK$8,$AH$8:$CC$8))-_xlfn.XMATCH($C251,$C$35:$C$82)+1&lt;=_xlpm.DepreciationMonths,$C251&lt;=BK$8),$E251/_xlpm.DepreciationMonths,0))</f>
        <v>0</v>
      </c>
      <c r="BL251" s="507" cm="1">
        <f t="array" ref="BL251">_xlfn.LET(_xlpm.DepreciationMonths,INDEX(FixedAssets[Depreciation
/ Amortization Months],_xlfn.XMATCH($E$237,FixedAssets[Asset ID])),IF(AND((_xlfn.XMATCH(BL$8,$AH$8:$CC$8))-_xlfn.XMATCH($C251,$C$35:$C$82)+1&lt;=_xlpm.DepreciationMonths,$C251&lt;=BL$8),$E251/_xlpm.DepreciationMonths,0))</f>
        <v>0</v>
      </c>
      <c r="BM251" s="507" cm="1">
        <f t="array" ref="BM251">_xlfn.LET(_xlpm.DepreciationMonths,INDEX(FixedAssets[Depreciation
/ Amortization Months],_xlfn.XMATCH($E$237,FixedAssets[Asset ID])),IF(AND((_xlfn.XMATCH(BM$8,$AH$8:$CC$8))-_xlfn.XMATCH($C251,$C$35:$C$82)+1&lt;=_xlpm.DepreciationMonths,$C251&lt;=BM$8),$E251/_xlpm.DepreciationMonths,0))</f>
        <v>0</v>
      </c>
      <c r="BN251" s="507" cm="1">
        <f t="array" ref="BN251">_xlfn.LET(_xlpm.DepreciationMonths,INDEX(FixedAssets[Depreciation
/ Amortization Months],_xlfn.XMATCH($E$237,FixedAssets[Asset ID])),IF(AND((_xlfn.XMATCH(BN$8,$AH$8:$CC$8))-_xlfn.XMATCH($C251,$C$35:$C$82)+1&lt;=_xlpm.DepreciationMonths,$C251&lt;=BN$8),$E251/_xlpm.DepreciationMonths,0))</f>
        <v>0</v>
      </c>
      <c r="BO251" s="507" cm="1">
        <f t="array" ref="BO251">_xlfn.LET(_xlpm.DepreciationMonths,INDEX(FixedAssets[Depreciation
/ Amortization Months],_xlfn.XMATCH($E$237,FixedAssets[Asset ID])),IF(AND((_xlfn.XMATCH(BO$8,$AH$8:$CC$8))-_xlfn.XMATCH($C251,$C$35:$C$82)+1&lt;=_xlpm.DepreciationMonths,$C251&lt;=BO$8),$E251/_xlpm.DepreciationMonths,0))</f>
        <v>0</v>
      </c>
      <c r="BP251" s="507" cm="1">
        <f t="array" ref="BP251">_xlfn.LET(_xlpm.DepreciationMonths,INDEX(FixedAssets[Depreciation
/ Amortization Months],_xlfn.XMATCH($E$237,FixedAssets[Asset ID])),IF(AND((_xlfn.XMATCH(BP$8,$AH$8:$CC$8))-_xlfn.XMATCH($C251,$C$35:$C$82)+1&lt;=_xlpm.DepreciationMonths,$C251&lt;=BP$8),$E251/_xlpm.DepreciationMonths,0))</f>
        <v>0</v>
      </c>
      <c r="BQ251" s="507" cm="1">
        <f t="array" ref="BQ251">_xlfn.LET(_xlpm.DepreciationMonths,INDEX(FixedAssets[Depreciation
/ Amortization Months],_xlfn.XMATCH($E$237,FixedAssets[Asset ID])),IF(AND((_xlfn.XMATCH(BQ$8,$AH$8:$CC$8))-_xlfn.XMATCH($C251,$C$35:$C$82)+1&lt;=_xlpm.DepreciationMonths,$C251&lt;=BQ$8),$E251/_xlpm.DepreciationMonths,0))</f>
        <v>0</v>
      </c>
      <c r="BR251" s="507" cm="1">
        <f t="array" ref="BR251">_xlfn.LET(_xlpm.DepreciationMonths,INDEX(FixedAssets[Depreciation
/ Amortization Months],_xlfn.XMATCH($E$237,FixedAssets[Asset ID])),IF(AND((_xlfn.XMATCH(BR$8,$AH$8:$CC$8))-_xlfn.XMATCH($C251,$C$35:$C$82)+1&lt;=_xlpm.DepreciationMonths,$C251&lt;=BR$8),$E251/_xlpm.DepreciationMonths,0))</f>
        <v>0</v>
      </c>
      <c r="BS251" s="507" cm="1">
        <f t="array" ref="BS251">_xlfn.LET(_xlpm.DepreciationMonths,INDEX(FixedAssets[Depreciation
/ Amortization Months],_xlfn.XMATCH($E$237,FixedAssets[Asset ID])),IF(AND((_xlfn.XMATCH(BS$8,$AH$8:$CC$8))-_xlfn.XMATCH($C251,$C$35:$C$82)+1&lt;=_xlpm.DepreciationMonths,$C251&lt;=BS$8),$E251/_xlpm.DepreciationMonths,0))</f>
        <v>0</v>
      </c>
      <c r="BT251" s="507" cm="1">
        <f t="array" ref="BT251">_xlfn.LET(_xlpm.DepreciationMonths,INDEX(FixedAssets[Depreciation
/ Amortization Months],_xlfn.XMATCH($E$237,FixedAssets[Asset ID])),IF(AND((_xlfn.XMATCH(BT$8,$AH$8:$CC$8))-_xlfn.XMATCH($C251,$C$35:$C$82)+1&lt;=_xlpm.DepreciationMonths,$C251&lt;=BT$8),$E251/_xlpm.DepreciationMonths,0))</f>
        <v>0</v>
      </c>
      <c r="BU251" s="507" cm="1">
        <f t="array" ref="BU251">_xlfn.LET(_xlpm.DepreciationMonths,INDEX(FixedAssets[Depreciation
/ Amortization Months],_xlfn.XMATCH($E$237,FixedAssets[Asset ID])),IF(AND((_xlfn.XMATCH(BU$8,$AH$8:$CC$8))-_xlfn.XMATCH($C251,$C$35:$C$82)+1&lt;=_xlpm.DepreciationMonths,$C251&lt;=BU$8),$E251/_xlpm.DepreciationMonths,0))</f>
        <v>0</v>
      </c>
      <c r="BV251" s="507" cm="1">
        <f t="array" ref="BV251">_xlfn.LET(_xlpm.DepreciationMonths,INDEX(FixedAssets[Depreciation
/ Amortization Months],_xlfn.XMATCH($E$237,FixedAssets[Asset ID])),IF(AND((_xlfn.XMATCH(BV$8,$AH$8:$CC$8))-_xlfn.XMATCH($C251,$C$35:$C$82)+1&lt;=_xlpm.DepreciationMonths,$C251&lt;=BV$8),$E251/_xlpm.DepreciationMonths,0))</f>
        <v>0</v>
      </c>
      <c r="BW251" s="507" cm="1">
        <f t="array" ref="BW251">_xlfn.LET(_xlpm.DepreciationMonths,INDEX(FixedAssets[Depreciation
/ Amortization Months],_xlfn.XMATCH($E$237,FixedAssets[Asset ID])),IF(AND((_xlfn.XMATCH(BW$8,$AH$8:$CC$8))-_xlfn.XMATCH($C251,$C$35:$C$82)+1&lt;=_xlpm.DepreciationMonths,$C251&lt;=BW$8),$E251/_xlpm.DepreciationMonths,0))</f>
        <v>0</v>
      </c>
      <c r="BX251" s="507" cm="1">
        <f t="array" ref="BX251">_xlfn.LET(_xlpm.DepreciationMonths,INDEX(FixedAssets[Depreciation
/ Amortization Months],_xlfn.XMATCH($E$237,FixedAssets[Asset ID])),IF(AND((_xlfn.XMATCH(BX$8,$AH$8:$CC$8))-_xlfn.XMATCH($C251,$C$35:$C$82)+1&lt;=_xlpm.DepreciationMonths,$C251&lt;=BX$8),$E251/_xlpm.DepreciationMonths,0))</f>
        <v>0</v>
      </c>
      <c r="BY251" s="507" cm="1">
        <f t="array" ref="BY251">_xlfn.LET(_xlpm.DepreciationMonths,INDEX(FixedAssets[Depreciation
/ Amortization Months],_xlfn.XMATCH($E$237,FixedAssets[Asset ID])),IF(AND((_xlfn.XMATCH(BY$8,$AH$8:$CC$8))-_xlfn.XMATCH($C251,$C$35:$C$82)+1&lt;=_xlpm.DepreciationMonths,$C251&lt;=BY$8),$E251/_xlpm.DepreciationMonths,0))</f>
        <v>0</v>
      </c>
      <c r="BZ251" s="507" cm="1">
        <f t="array" ref="BZ251">_xlfn.LET(_xlpm.DepreciationMonths,INDEX(FixedAssets[Depreciation
/ Amortization Months],_xlfn.XMATCH($E$237,FixedAssets[Asset ID])),IF(AND((_xlfn.XMATCH(BZ$8,$AH$8:$CC$8))-_xlfn.XMATCH($C251,$C$35:$C$82)+1&lt;=_xlpm.DepreciationMonths,$C251&lt;=BZ$8),$E251/_xlpm.DepreciationMonths,0))</f>
        <v>0</v>
      </c>
      <c r="CA251" s="507" cm="1">
        <f t="array" ref="CA251">_xlfn.LET(_xlpm.DepreciationMonths,INDEX(FixedAssets[Depreciation
/ Amortization Months],_xlfn.XMATCH($E$237,FixedAssets[Asset ID])),IF(AND((_xlfn.XMATCH(CA$8,$AH$8:$CC$8))-_xlfn.XMATCH($C251,$C$35:$C$82)+1&lt;=_xlpm.DepreciationMonths,$C251&lt;=CA$8),$E251/_xlpm.DepreciationMonths,0))</f>
        <v>0</v>
      </c>
      <c r="CB251" s="507" cm="1">
        <f t="array" ref="CB251">_xlfn.LET(_xlpm.DepreciationMonths,INDEX(FixedAssets[Depreciation
/ Amortization Months],_xlfn.XMATCH($E$237,FixedAssets[Asset ID])),IF(AND((_xlfn.XMATCH(CB$8,$AH$8:$CC$8))-_xlfn.XMATCH($C251,$C$35:$C$82)+1&lt;=_xlpm.DepreciationMonths,$C251&lt;=CB$8),$E251/_xlpm.DepreciationMonths,0))</f>
        <v>0</v>
      </c>
      <c r="CC251" s="507" cm="1">
        <f t="array" ref="CC251">_xlfn.LET(_xlpm.DepreciationMonths,INDEX(FixedAssets[Depreciation
/ Amortization Months],_xlfn.XMATCH($E$237,FixedAssets[Asset ID])),IF(AND((_xlfn.XMATCH(CC$8,$AH$8:$CC$8))-_xlfn.XMATCH($C251,$C$35:$C$82)+1&lt;=_xlpm.DepreciationMonths,$C251&lt;=CC$8),$E251/_xlpm.DepreciationMonths,0))</f>
        <v>0</v>
      </c>
    </row>
    <row r="252" spans="3:81" hidden="1" outlineLevel="2">
      <c r="C252" s="664">
        <f t="shared" si="267"/>
        <v>45351</v>
      </c>
      <c r="D252" s="508"/>
      <c r="E252" s="508" cm="1">
        <f t="array" ref="E252">SUMPRODUCT(($AH$26:$CC$31)*($AH$5:$CC$5=$C252)*($E$26:$E$31=E$237))-SUMPRODUCT(($AH$26:$CC$31)*($AH$5:$CC$5=EOMONTH($C252,-1))*($E$26:$E$31=E$237))</f>
        <v>0</v>
      </c>
      <c r="F252" s="508"/>
      <c r="G252" s="508"/>
      <c r="H252" s="508"/>
      <c r="I252" s="508"/>
      <c r="J252" s="504">
        <f t="shared" si="265"/>
        <v>0</v>
      </c>
      <c r="K252" s="504">
        <f t="shared" si="265"/>
        <v>0</v>
      </c>
      <c r="L252" s="504">
        <f t="shared" si="265"/>
        <v>0</v>
      </c>
      <c r="M252" s="504">
        <f t="shared" si="265"/>
        <v>0</v>
      </c>
      <c r="N252" s="504"/>
      <c r="O252" s="504"/>
      <c r="P252" s="504">
        <f t="shared" si="266"/>
        <v>0</v>
      </c>
      <c r="Q252" s="504">
        <f t="shared" si="266"/>
        <v>0</v>
      </c>
      <c r="R252" s="504">
        <f t="shared" si="266"/>
        <v>0</v>
      </c>
      <c r="S252" s="504">
        <f t="shared" si="266"/>
        <v>0</v>
      </c>
      <c r="T252" s="504">
        <f t="shared" si="266"/>
        <v>0</v>
      </c>
      <c r="U252" s="504">
        <f t="shared" si="266"/>
        <v>0</v>
      </c>
      <c r="V252" s="504">
        <f t="shared" si="266"/>
        <v>0</v>
      </c>
      <c r="W252" s="504">
        <f t="shared" si="266"/>
        <v>0</v>
      </c>
      <c r="X252" s="504">
        <f t="shared" si="266"/>
        <v>0</v>
      </c>
      <c r="Y252" s="504">
        <f t="shared" si="266"/>
        <v>0</v>
      </c>
      <c r="Z252" s="504">
        <f t="shared" si="266"/>
        <v>0</v>
      </c>
      <c r="AA252" s="504">
        <f t="shared" si="266"/>
        <v>0</v>
      </c>
      <c r="AB252" s="504">
        <f t="shared" si="266"/>
        <v>0</v>
      </c>
      <c r="AC252" s="504">
        <f t="shared" si="266"/>
        <v>0</v>
      </c>
      <c r="AD252" s="504">
        <f t="shared" si="266"/>
        <v>0</v>
      </c>
      <c r="AE252" s="504">
        <f t="shared" si="266"/>
        <v>0</v>
      </c>
      <c r="AF252" s="508"/>
      <c r="AG252" s="508"/>
      <c r="AH252" s="507" cm="1">
        <f t="array" ref="AH252">_xlfn.LET(_xlpm.DepreciationMonths,INDEX(FixedAssets[Depreciation
/ Amortization Months],_xlfn.XMATCH($E$237,FixedAssets[Asset ID])),IF(AND((_xlfn.XMATCH(AH$8,$AH$8:$CC$8))-_xlfn.XMATCH($C252,$C$35:$C$82)+1&lt;=_xlpm.DepreciationMonths,$C252&lt;=AH$8),$E252/_xlpm.DepreciationMonths,0))</f>
        <v>0</v>
      </c>
      <c r="AI252" s="507" cm="1">
        <f t="array" ref="AI252">_xlfn.LET(_xlpm.DepreciationMonths,INDEX(FixedAssets[Depreciation
/ Amortization Months],_xlfn.XMATCH($E$237,FixedAssets[Asset ID])),IF(AND((_xlfn.XMATCH(AI$8,$AH$8:$CC$8))-_xlfn.XMATCH($C252,$C$35:$C$82)+1&lt;=_xlpm.DepreciationMonths,$C252&lt;=AI$8),$E252/_xlpm.DepreciationMonths,0))</f>
        <v>0</v>
      </c>
      <c r="AJ252" s="507" cm="1">
        <f t="array" ref="AJ252">_xlfn.LET(_xlpm.DepreciationMonths,INDEX(FixedAssets[Depreciation
/ Amortization Months],_xlfn.XMATCH($E$237,FixedAssets[Asset ID])),IF(AND((_xlfn.XMATCH(AJ$8,$AH$8:$CC$8))-_xlfn.XMATCH($C252,$C$35:$C$82)+1&lt;=_xlpm.DepreciationMonths,$C252&lt;=AJ$8),$E252/_xlpm.DepreciationMonths,0))</f>
        <v>0</v>
      </c>
      <c r="AK252" s="507" cm="1">
        <f t="array" ref="AK252">_xlfn.LET(_xlpm.DepreciationMonths,INDEX(FixedAssets[Depreciation
/ Amortization Months],_xlfn.XMATCH($E$237,FixedAssets[Asset ID])),IF(AND((_xlfn.XMATCH(AK$8,$AH$8:$CC$8))-_xlfn.XMATCH($C252,$C$35:$C$82)+1&lt;=_xlpm.DepreciationMonths,$C252&lt;=AK$8),$E252/_xlpm.DepreciationMonths,0))</f>
        <v>0</v>
      </c>
      <c r="AL252" s="507" cm="1">
        <f t="array" ref="AL252">_xlfn.LET(_xlpm.DepreciationMonths,INDEX(FixedAssets[Depreciation
/ Amortization Months],_xlfn.XMATCH($E$237,FixedAssets[Asset ID])),IF(AND((_xlfn.XMATCH(AL$8,$AH$8:$CC$8))-_xlfn.XMATCH($C252,$C$35:$C$82)+1&lt;=_xlpm.DepreciationMonths,$C252&lt;=AL$8),$E252/_xlpm.DepreciationMonths,0))</f>
        <v>0</v>
      </c>
      <c r="AM252" s="507" cm="1">
        <f t="array" ref="AM252">_xlfn.LET(_xlpm.DepreciationMonths,INDEX(FixedAssets[Depreciation
/ Amortization Months],_xlfn.XMATCH($E$237,FixedAssets[Asset ID])),IF(AND((_xlfn.XMATCH(AM$8,$AH$8:$CC$8))-_xlfn.XMATCH($C252,$C$35:$C$82)+1&lt;=_xlpm.DepreciationMonths,$C252&lt;=AM$8),$E252/_xlpm.DepreciationMonths,0))</f>
        <v>0</v>
      </c>
      <c r="AN252" s="507" cm="1">
        <f t="array" ref="AN252">_xlfn.LET(_xlpm.DepreciationMonths,INDEX(FixedAssets[Depreciation
/ Amortization Months],_xlfn.XMATCH($E$237,FixedAssets[Asset ID])),IF(AND((_xlfn.XMATCH(AN$8,$AH$8:$CC$8))-_xlfn.XMATCH($C252,$C$35:$C$82)+1&lt;=_xlpm.DepreciationMonths,$C252&lt;=AN$8),$E252/_xlpm.DepreciationMonths,0))</f>
        <v>0</v>
      </c>
      <c r="AO252" s="507" cm="1">
        <f t="array" ref="AO252">_xlfn.LET(_xlpm.DepreciationMonths,INDEX(FixedAssets[Depreciation
/ Amortization Months],_xlfn.XMATCH($E$237,FixedAssets[Asset ID])),IF(AND((_xlfn.XMATCH(AO$8,$AH$8:$CC$8))-_xlfn.XMATCH($C252,$C$35:$C$82)+1&lt;=_xlpm.DepreciationMonths,$C252&lt;=AO$8),$E252/_xlpm.DepreciationMonths,0))</f>
        <v>0</v>
      </c>
      <c r="AP252" s="507" cm="1">
        <f t="array" ref="AP252">_xlfn.LET(_xlpm.DepreciationMonths,INDEX(FixedAssets[Depreciation
/ Amortization Months],_xlfn.XMATCH($E$237,FixedAssets[Asset ID])),IF(AND((_xlfn.XMATCH(AP$8,$AH$8:$CC$8))-_xlfn.XMATCH($C252,$C$35:$C$82)+1&lt;=_xlpm.DepreciationMonths,$C252&lt;=AP$8),$E252/_xlpm.DepreciationMonths,0))</f>
        <v>0</v>
      </c>
      <c r="AQ252" s="507" cm="1">
        <f t="array" ref="AQ252">_xlfn.LET(_xlpm.DepreciationMonths,INDEX(FixedAssets[Depreciation
/ Amortization Months],_xlfn.XMATCH($E$237,FixedAssets[Asset ID])),IF(AND((_xlfn.XMATCH(AQ$8,$AH$8:$CC$8))-_xlfn.XMATCH($C252,$C$35:$C$82)+1&lt;=_xlpm.DepreciationMonths,$C252&lt;=AQ$8),$E252/_xlpm.DepreciationMonths,0))</f>
        <v>0</v>
      </c>
      <c r="AR252" s="507" cm="1">
        <f t="array" ref="AR252">_xlfn.LET(_xlpm.DepreciationMonths,INDEX(FixedAssets[Depreciation
/ Amortization Months],_xlfn.XMATCH($E$237,FixedAssets[Asset ID])),IF(AND((_xlfn.XMATCH(AR$8,$AH$8:$CC$8))-_xlfn.XMATCH($C252,$C$35:$C$82)+1&lt;=_xlpm.DepreciationMonths,$C252&lt;=AR$8),$E252/_xlpm.DepreciationMonths,0))</f>
        <v>0</v>
      </c>
      <c r="AS252" s="507" cm="1">
        <f t="array" ref="AS252">_xlfn.LET(_xlpm.DepreciationMonths,INDEX(FixedAssets[Depreciation
/ Amortization Months],_xlfn.XMATCH($E$237,FixedAssets[Asset ID])),IF(AND((_xlfn.XMATCH(AS$8,$AH$8:$CC$8))-_xlfn.XMATCH($C252,$C$35:$C$82)+1&lt;=_xlpm.DepreciationMonths,$C252&lt;=AS$8),$E252/_xlpm.DepreciationMonths,0))</f>
        <v>0</v>
      </c>
      <c r="AT252" s="507" cm="1">
        <f t="array" ref="AT252">_xlfn.LET(_xlpm.DepreciationMonths,INDEX(FixedAssets[Depreciation
/ Amortization Months],_xlfn.XMATCH($E$237,FixedAssets[Asset ID])),IF(AND((_xlfn.XMATCH(AT$8,$AH$8:$CC$8))-_xlfn.XMATCH($C252,$C$35:$C$82)+1&lt;=_xlpm.DepreciationMonths,$C252&lt;=AT$8),$E252/_xlpm.DepreciationMonths,0))</f>
        <v>0</v>
      </c>
      <c r="AU252" s="507" cm="1">
        <f t="array" ref="AU252">_xlfn.LET(_xlpm.DepreciationMonths,INDEX(FixedAssets[Depreciation
/ Amortization Months],_xlfn.XMATCH($E$237,FixedAssets[Asset ID])),IF(AND((_xlfn.XMATCH(AU$8,$AH$8:$CC$8))-_xlfn.XMATCH($C252,$C$35:$C$82)+1&lt;=_xlpm.DepreciationMonths,$C252&lt;=AU$8),$E252/_xlpm.DepreciationMonths,0))</f>
        <v>0</v>
      </c>
      <c r="AV252" s="507" cm="1">
        <f t="array" ref="AV252">_xlfn.LET(_xlpm.DepreciationMonths,INDEX(FixedAssets[Depreciation
/ Amortization Months],_xlfn.XMATCH($E$237,FixedAssets[Asset ID])),IF(AND((_xlfn.XMATCH(AV$8,$AH$8:$CC$8))-_xlfn.XMATCH($C252,$C$35:$C$82)+1&lt;=_xlpm.DepreciationMonths,$C252&lt;=AV$8),$E252/_xlpm.DepreciationMonths,0))</f>
        <v>0</v>
      </c>
      <c r="AW252" s="507" cm="1">
        <f t="array" ref="AW252">_xlfn.LET(_xlpm.DepreciationMonths,INDEX(FixedAssets[Depreciation
/ Amortization Months],_xlfn.XMATCH($E$237,FixedAssets[Asset ID])),IF(AND((_xlfn.XMATCH(AW$8,$AH$8:$CC$8))-_xlfn.XMATCH($C252,$C$35:$C$82)+1&lt;=_xlpm.DepreciationMonths,$C252&lt;=AW$8),$E252/_xlpm.DepreciationMonths,0))</f>
        <v>0</v>
      </c>
      <c r="AX252" s="507" cm="1">
        <f t="array" ref="AX252">_xlfn.LET(_xlpm.DepreciationMonths,INDEX(FixedAssets[Depreciation
/ Amortization Months],_xlfn.XMATCH($E$237,FixedAssets[Asset ID])),IF(AND((_xlfn.XMATCH(AX$8,$AH$8:$CC$8))-_xlfn.XMATCH($C252,$C$35:$C$82)+1&lt;=_xlpm.DepreciationMonths,$C252&lt;=AX$8),$E252/_xlpm.DepreciationMonths,0))</f>
        <v>0</v>
      </c>
      <c r="AY252" s="507" cm="1">
        <f t="array" ref="AY252">_xlfn.LET(_xlpm.DepreciationMonths,INDEX(FixedAssets[Depreciation
/ Amortization Months],_xlfn.XMATCH($E$237,FixedAssets[Asset ID])),IF(AND((_xlfn.XMATCH(AY$8,$AH$8:$CC$8))-_xlfn.XMATCH($C252,$C$35:$C$82)+1&lt;=_xlpm.DepreciationMonths,$C252&lt;=AY$8),$E252/_xlpm.DepreciationMonths,0))</f>
        <v>0</v>
      </c>
      <c r="AZ252" s="507" cm="1">
        <f t="array" ref="AZ252">_xlfn.LET(_xlpm.DepreciationMonths,INDEX(FixedAssets[Depreciation
/ Amortization Months],_xlfn.XMATCH($E$237,FixedAssets[Asset ID])),IF(AND((_xlfn.XMATCH(AZ$8,$AH$8:$CC$8))-_xlfn.XMATCH($C252,$C$35:$C$82)+1&lt;=_xlpm.DepreciationMonths,$C252&lt;=AZ$8),$E252/_xlpm.DepreciationMonths,0))</f>
        <v>0</v>
      </c>
      <c r="BA252" s="507" cm="1">
        <f t="array" ref="BA252">_xlfn.LET(_xlpm.DepreciationMonths,INDEX(FixedAssets[Depreciation
/ Amortization Months],_xlfn.XMATCH($E$237,FixedAssets[Asset ID])),IF(AND((_xlfn.XMATCH(BA$8,$AH$8:$CC$8))-_xlfn.XMATCH($C252,$C$35:$C$82)+1&lt;=_xlpm.DepreciationMonths,$C252&lt;=BA$8),$E252/_xlpm.DepreciationMonths,0))</f>
        <v>0</v>
      </c>
      <c r="BB252" s="507" cm="1">
        <f t="array" ref="BB252">_xlfn.LET(_xlpm.DepreciationMonths,INDEX(FixedAssets[Depreciation
/ Amortization Months],_xlfn.XMATCH($E$237,FixedAssets[Asset ID])),IF(AND((_xlfn.XMATCH(BB$8,$AH$8:$CC$8))-_xlfn.XMATCH($C252,$C$35:$C$82)+1&lt;=_xlpm.DepreciationMonths,$C252&lt;=BB$8),$E252/_xlpm.DepreciationMonths,0))</f>
        <v>0</v>
      </c>
      <c r="BC252" s="507" cm="1">
        <f t="array" ref="BC252">_xlfn.LET(_xlpm.DepreciationMonths,INDEX(FixedAssets[Depreciation
/ Amortization Months],_xlfn.XMATCH($E$237,FixedAssets[Asset ID])),IF(AND((_xlfn.XMATCH(BC$8,$AH$8:$CC$8))-_xlfn.XMATCH($C252,$C$35:$C$82)+1&lt;=_xlpm.DepreciationMonths,$C252&lt;=BC$8),$E252/_xlpm.DepreciationMonths,0))</f>
        <v>0</v>
      </c>
      <c r="BD252" s="507" cm="1">
        <f t="array" ref="BD252">_xlfn.LET(_xlpm.DepreciationMonths,INDEX(FixedAssets[Depreciation
/ Amortization Months],_xlfn.XMATCH($E$237,FixedAssets[Asset ID])),IF(AND((_xlfn.XMATCH(BD$8,$AH$8:$CC$8))-_xlfn.XMATCH($C252,$C$35:$C$82)+1&lt;=_xlpm.DepreciationMonths,$C252&lt;=BD$8),$E252/_xlpm.DepreciationMonths,0))</f>
        <v>0</v>
      </c>
      <c r="BE252" s="507" cm="1">
        <f t="array" ref="BE252">_xlfn.LET(_xlpm.DepreciationMonths,INDEX(FixedAssets[Depreciation
/ Amortization Months],_xlfn.XMATCH($E$237,FixedAssets[Asset ID])),IF(AND((_xlfn.XMATCH(BE$8,$AH$8:$CC$8))-_xlfn.XMATCH($C252,$C$35:$C$82)+1&lt;=_xlpm.DepreciationMonths,$C252&lt;=BE$8),$E252/_xlpm.DepreciationMonths,0))</f>
        <v>0</v>
      </c>
      <c r="BF252" s="507" cm="1">
        <f t="array" ref="BF252">_xlfn.LET(_xlpm.DepreciationMonths,INDEX(FixedAssets[Depreciation
/ Amortization Months],_xlfn.XMATCH($E$237,FixedAssets[Asset ID])),IF(AND((_xlfn.XMATCH(BF$8,$AH$8:$CC$8))-_xlfn.XMATCH($C252,$C$35:$C$82)+1&lt;=_xlpm.DepreciationMonths,$C252&lt;=BF$8),$E252/_xlpm.DepreciationMonths,0))</f>
        <v>0</v>
      </c>
      <c r="BG252" s="507" cm="1">
        <f t="array" ref="BG252">_xlfn.LET(_xlpm.DepreciationMonths,INDEX(FixedAssets[Depreciation
/ Amortization Months],_xlfn.XMATCH($E$237,FixedAssets[Asset ID])),IF(AND((_xlfn.XMATCH(BG$8,$AH$8:$CC$8))-_xlfn.XMATCH($C252,$C$35:$C$82)+1&lt;=_xlpm.DepreciationMonths,$C252&lt;=BG$8),$E252/_xlpm.DepreciationMonths,0))</f>
        <v>0</v>
      </c>
      <c r="BH252" s="507" cm="1">
        <f t="array" ref="BH252">_xlfn.LET(_xlpm.DepreciationMonths,INDEX(FixedAssets[Depreciation
/ Amortization Months],_xlfn.XMATCH($E$237,FixedAssets[Asset ID])),IF(AND((_xlfn.XMATCH(BH$8,$AH$8:$CC$8))-_xlfn.XMATCH($C252,$C$35:$C$82)+1&lt;=_xlpm.DepreciationMonths,$C252&lt;=BH$8),$E252/_xlpm.DepreciationMonths,0))</f>
        <v>0</v>
      </c>
      <c r="BI252" s="507" cm="1">
        <f t="array" ref="BI252">_xlfn.LET(_xlpm.DepreciationMonths,INDEX(FixedAssets[Depreciation
/ Amortization Months],_xlfn.XMATCH($E$237,FixedAssets[Asset ID])),IF(AND((_xlfn.XMATCH(BI$8,$AH$8:$CC$8))-_xlfn.XMATCH($C252,$C$35:$C$82)+1&lt;=_xlpm.DepreciationMonths,$C252&lt;=BI$8),$E252/_xlpm.DepreciationMonths,0))</f>
        <v>0</v>
      </c>
      <c r="BJ252" s="507" cm="1">
        <f t="array" ref="BJ252">_xlfn.LET(_xlpm.DepreciationMonths,INDEX(FixedAssets[Depreciation
/ Amortization Months],_xlfn.XMATCH($E$237,FixedAssets[Asset ID])),IF(AND((_xlfn.XMATCH(BJ$8,$AH$8:$CC$8))-_xlfn.XMATCH($C252,$C$35:$C$82)+1&lt;=_xlpm.DepreciationMonths,$C252&lt;=BJ$8),$E252/_xlpm.DepreciationMonths,0))</f>
        <v>0</v>
      </c>
      <c r="BK252" s="507" cm="1">
        <f t="array" ref="BK252">_xlfn.LET(_xlpm.DepreciationMonths,INDEX(FixedAssets[Depreciation
/ Amortization Months],_xlfn.XMATCH($E$237,FixedAssets[Asset ID])),IF(AND((_xlfn.XMATCH(BK$8,$AH$8:$CC$8))-_xlfn.XMATCH($C252,$C$35:$C$82)+1&lt;=_xlpm.DepreciationMonths,$C252&lt;=BK$8),$E252/_xlpm.DepreciationMonths,0))</f>
        <v>0</v>
      </c>
      <c r="BL252" s="507" cm="1">
        <f t="array" ref="BL252">_xlfn.LET(_xlpm.DepreciationMonths,INDEX(FixedAssets[Depreciation
/ Amortization Months],_xlfn.XMATCH($E$237,FixedAssets[Asset ID])),IF(AND((_xlfn.XMATCH(BL$8,$AH$8:$CC$8))-_xlfn.XMATCH($C252,$C$35:$C$82)+1&lt;=_xlpm.DepreciationMonths,$C252&lt;=BL$8),$E252/_xlpm.DepreciationMonths,0))</f>
        <v>0</v>
      </c>
      <c r="BM252" s="507" cm="1">
        <f t="array" ref="BM252">_xlfn.LET(_xlpm.DepreciationMonths,INDEX(FixedAssets[Depreciation
/ Amortization Months],_xlfn.XMATCH($E$237,FixedAssets[Asset ID])),IF(AND((_xlfn.XMATCH(BM$8,$AH$8:$CC$8))-_xlfn.XMATCH($C252,$C$35:$C$82)+1&lt;=_xlpm.DepreciationMonths,$C252&lt;=BM$8),$E252/_xlpm.DepreciationMonths,0))</f>
        <v>0</v>
      </c>
      <c r="BN252" s="507" cm="1">
        <f t="array" ref="BN252">_xlfn.LET(_xlpm.DepreciationMonths,INDEX(FixedAssets[Depreciation
/ Amortization Months],_xlfn.XMATCH($E$237,FixedAssets[Asset ID])),IF(AND((_xlfn.XMATCH(BN$8,$AH$8:$CC$8))-_xlfn.XMATCH($C252,$C$35:$C$82)+1&lt;=_xlpm.DepreciationMonths,$C252&lt;=BN$8),$E252/_xlpm.DepreciationMonths,0))</f>
        <v>0</v>
      </c>
      <c r="BO252" s="507" cm="1">
        <f t="array" ref="BO252">_xlfn.LET(_xlpm.DepreciationMonths,INDEX(FixedAssets[Depreciation
/ Amortization Months],_xlfn.XMATCH($E$237,FixedAssets[Asset ID])),IF(AND((_xlfn.XMATCH(BO$8,$AH$8:$CC$8))-_xlfn.XMATCH($C252,$C$35:$C$82)+1&lt;=_xlpm.DepreciationMonths,$C252&lt;=BO$8),$E252/_xlpm.DepreciationMonths,0))</f>
        <v>0</v>
      </c>
      <c r="BP252" s="507" cm="1">
        <f t="array" ref="BP252">_xlfn.LET(_xlpm.DepreciationMonths,INDEX(FixedAssets[Depreciation
/ Amortization Months],_xlfn.XMATCH($E$237,FixedAssets[Asset ID])),IF(AND((_xlfn.XMATCH(BP$8,$AH$8:$CC$8))-_xlfn.XMATCH($C252,$C$35:$C$82)+1&lt;=_xlpm.DepreciationMonths,$C252&lt;=BP$8),$E252/_xlpm.DepreciationMonths,0))</f>
        <v>0</v>
      </c>
      <c r="BQ252" s="507" cm="1">
        <f t="array" ref="BQ252">_xlfn.LET(_xlpm.DepreciationMonths,INDEX(FixedAssets[Depreciation
/ Amortization Months],_xlfn.XMATCH($E$237,FixedAssets[Asset ID])),IF(AND((_xlfn.XMATCH(BQ$8,$AH$8:$CC$8))-_xlfn.XMATCH($C252,$C$35:$C$82)+1&lt;=_xlpm.DepreciationMonths,$C252&lt;=BQ$8),$E252/_xlpm.DepreciationMonths,0))</f>
        <v>0</v>
      </c>
      <c r="BR252" s="507" cm="1">
        <f t="array" ref="BR252">_xlfn.LET(_xlpm.DepreciationMonths,INDEX(FixedAssets[Depreciation
/ Amortization Months],_xlfn.XMATCH($E$237,FixedAssets[Asset ID])),IF(AND((_xlfn.XMATCH(BR$8,$AH$8:$CC$8))-_xlfn.XMATCH($C252,$C$35:$C$82)+1&lt;=_xlpm.DepreciationMonths,$C252&lt;=BR$8),$E252/_xlpm.DepreciationMonths,0))</f>
        <v>0</v>
      </c>
      <c r="BS252" s="507" cm="1">
        <f t="array" ref="BS252">_xlfn.LET(_xlpm.DepreciationMonths,INDEX(FixedAssets[Depreciation
/ Amortization Months],_xlfn.XMATCH($E$237,FixedAssets[Asset ID])),IF(AND((_xlfn.XMATCH(BS$8,$AH$8:$CC$8))-_xlfn.XMATCH($C252,$C$35:$C$82)+1&lt;=_xlpm.DepreciationMonths,$C252&lt;=BS$8),$E252/_xlpm.DepreciationMonths,0))</f>
        <v>0</v>
      </c>
      <c r="BT252" s="507" cm="1">
        <f t="array" ref="BT252">_xlfn.LET(_xlpm.DepreciationMonths,INDEX(FixedAssets[Depreciation
/ Amortization Months],_xlfn.XMATCH($E$237,FixedAssets[Asset ID])),IF(AND((_xlfn.XMATCH(BT$8,$AH$8:$CC$8))-_xlfn.XMATCH($C252,$C$35:$C$82)+1&lt;=_xlpm.DepreciationMonths,$C252&lt;=BT$8),$E252/_xlpm.DepreciationMonths,0))</f>
        <v>0</v>
      </c>
      <c r="BU252" s="507" cm="1">
        <f t="array" ref="BU252">_xlfn.LET(_xlpm.DepreciationMonths,INDEX(FixedAssets[Depreciation
/ Amortization Months],_xlfn.XMATCH($E$237,FixedAssets[Asset ID])),IF(AND((_xlfn.XMATCH(BU$8,$AH$8:$CC$8))-_xlfn.XMATCH($C252,$C$35:$C$82)+1&lt;=_xlpm.DepreciationMonths,$C252&lt;=BU$8),$E252/_xlpm.DepreciationMonths,0))</f>
        <v>0</v>
      </c>
      <c r="BV252" s="507" cm="1">
        <f t="array" ref="BV252">_xlfn.LET(_xlpm.DepreciationMonths,INDEX(FixedAssets[Depreciation
/ Amortization Months],_xlfn.XMATCH($E$237,FixedAssets[Asset ID])),IF(AND((_xlfn.XMATCH(BV$8,$AH$8:$CC$8))-_xlfn.XMATCH($C252,$C$35:$C$82)+1&lt;=_xlpm.DepreciationMonths,$C252&lt;=BV$8),$E252/_xlpm.DepreciationMonths,0))</f>
        <v>0</v>
      </c>
      <c r="BW252" s="507" cm="1">
        <f t="array" ref="BW252">_xlfn.LET(_xlpm.DepreciationMonths,INDEX(FixedAssets[Depreciation
/ Amortization Months],_xlfn.XMATCH($E$237,FixedAssets[Asset ID])),IF(AND((_xlfn.XMATCH(BW$8,$AH$8:$CC$8))-_xlfn.XMATCH($C252,$C$35:$C$82)+1&lt;=_xlpm.DepreciationMonths,$C252&lt;=BW$8),$E252/_xlpm.DepreciationMonths,0))</f>
        <v>0</v>
      </c>
      <c r="BX252" s="507" cm="1">
        <f t="array" ref="BX252">_xlfn.LET(_xlpm.DepreciationMonths,INDEX(FixedAssets[Depreciation
/ Amortization Months],_xlfn.XMATCH($E$237,FixedAssets[Asset ID])),IF(AND((_xlfn.XMATCH(BX$8,$AH$8:$CC$8))-_xlfn.XMATCH($C252,$C$35:$C$82)+1&lt;=_xlpm.DepreciationMonths,$C252&lt;=BX$8),$E252/_xlpm.DepreciationMonths,0))</f>
        <v>0</v>
      </c>
      <c r="BY252" s="507" cm="1">
        <f t="array" ref="BY252">_xlfn.LET(_xlpm.DepreciationMonths,INDEX(FixedAssets[Depreciation
/ Amortization Months],_xlfn.XMATCH($E$237,FixedAssets[Asset ID])),IF(AND((_xlfn.XMATCH(BY$8,$AH$8:$CC$8))-_xlfn.XMATCH($C252,$C$35:$C$82)+1&lt;=_xlpm.DepreciationMonths,$C252&lt;=BY$8),$E252/_xlpm.DepreciationMonths,0))</f>
        <v>0</v>
      </c>
      <c r="BZ252" s="507" cm="1">
        <f t="array" ref="BZ252">_xlfn.LET(_xlpm.DepreciationMonths,INDEX(FixedAssets[Depreciation
/ Amortization Months],_xlfn.XMATCH($E$237,FixedAssets[Asset ID])),IF(AND((_xlfn.XMATCH(BZ$8,$AH$8:$CC$8))-_xlfn.XMATCH($C252,$C$35:$C$82)+1&lt;=_xlpm.DepreciationMonths,$C252&lt;=BZ$8),$E252/_xlpm.DepreciationMonths,0))</f>
        <v>0</v>
      </c>
      <c r="CA252" s="507" cm="1">
        <f t="array" ref="CA252">_xlfn.LET(_xlpm.DepreciationMonths,INDEX(FixedAssets[Depreciation
/ Amortization Months],_xlfn.XMATCH($E$237,FixedAssets[Asset ID])),IF(AND((_xlfn.XMATCH(CA$8,$AH$8:$CC$8))-_xlfn.XMATCH($C252,$C$35:$C$82)+1&lt;=_xlpm.DepreciationMonths,$C252&lt;=CA$8),$E252/_xlpm.DepreciationMonths,0))</f>
        <v>0</v>
      </c>
      <c r="CB252" s="507" cm="1">
        <f t="array" ref="CB252">_xlfn.LET(_xlpm.DepreciationMonths,INDEX(FixedAssets[Depreciation
/ Amortization Months],_xlfn.XMATCH($E$237,FixedAssets[Asset ID])),IF(AND((_xlfn.XMATCH(CB$8,$AH$8:$CC$8))-_xlfn.XMATCH($C252,$C$35:$C$82)+1&lt;=_xlpm.DepreciationMonths,$C252&lt;=CB$8),$E252/_xlpm.DepreciationMonths,0))</f>
        <v>0</v>
      </c>
      <c r="CC252" s="507" cm="1">
        <f t="array" ref="CC252">_xlfn.LET(_xlpm.DepreciationMonths,INDEX(FixedAssets[Depreciation
/ Amortization Months],_xlfn.XMATCH($E$237,FixedAssets[Asset ID])),IF(AND((_xlfn.XMATCH(CC$8,$AH$8:$CC$8))-_xlfn.XMATCH($C252,$C$35:$C$82)+1&lt;=_xlpm.DepreciationMonths,$C252&lt;=CC$8),$E252/_xlpm.DepreciationMonths,0))</f>
        <v>0</v>
      </c>
    </row>
    <row r="253" spans="3:81" hidden="1" outlineLevel="2">
      <c r="C253" s="664">
        <f t="shared" si="267"/>
        <v>45382</v>
      </c>
      <c r="D253" s="508"/>
      <c r="E253" s="508" cm="1">
        <f t="array" ref="E253">SUMPRODUCT(($AH$26:$CC$31)*($AH$5:$CC$5=$C253)*($E$26:$E$31=E$237))-SUMPRODUCT(($AH$26:$CC$31)*($AH$5:$CC$5=EOMONTH($C253,-1))*($E$26:$E$31=E$237))</f>
        <v>0</v>
      </c>
      <c r="F253" s="508"/>
      <c r="G253" s="508"/>
      <c r="H253" s="508"/>
      <c r="I253" s="508"/>
      <c r="J253" s="504">
        <f t="shared" si="265"/>
        <v>0</v>
      </c>
      <c r="K253" s="504">
        <f t="shared" si="265"/>
        <v>0</v>
      </c>
      <c r="L253" s="504">
        <f t="shared" si="265"/>
        <v>0</v>
      </c>
      <c r="M253" s="504">
        <f t="shared" si="265"/>
        <v>0</v>
      </c>
      <c r="N253" s="504"/>
      <c r="O253" s="504"/>
      <c r="P253" s="504">
        <f t="shared" si="266"/>
        <v>0</v>
      </c>
      <c r="Q253" s="504">
        <f t="shared" si="266"/>
        <v>0</v>
      </c>
      <c r="R253" s="504">
        <f t="shared" si="266"/>
        <v>0</v>
      </c>
      <c r="S253" s="504">
        <f t="shared" si="266"/>
        <v>0</v>
      </c>
      <c r="T253" s="504">
        <f t="shared" si="266"/>
        <v>0</v>
      </c>
      <c r="U253" s="504">
        <f t="shared" si="266"/>
        <v>0</v>
      </c>
      <c r="V253" s="504">
        <f t="shared" si="266"/>
        <v>0</v>
      </c>
      <c r="W253" s="504">
        <f t="shared" si="266"/>
        <v>0</v>
      </c>
      <c r="X253" s="504">
        <f t="shared" si="266"/>
        <v>0</v>
      </c>
      <c r="Y253" s="504">
        <f t="shared" si="266"/>
        <v>0</v>
      </c>
      <c r="Z253" s="504">
        <f t="shared" si="266"/>
        <v>0</v>
      </c>
      <c r="AA253" s="504">
        <f t="shared" si="266"/>
        <v>0</v>
      </c>
      <c r="AB253" s="504">
        <f t="shared" si="266"/>
        <v>0</v>
      </c>
      <c r="AC253" s="504">
        <f t="shared" si="266"/>
        <v>0</v>
      </c>
      <c r="AD253" s="504">
        <f t="shared" si="266"/>
        <v>0</v>
      </c>
      <c r="AE253" s="504">
        <f t="shared" si="266"/>
        <v>0</v>
      </c>
      <c r="AF253" s="508"/>
      <c r="AG253" s="508"/>
      <c r="AH253" s="507" cm="1">
        <f t="array" ref="AH253">_xlfn.LET(_xlpm.DepreciationMonths,INDEX(FixedAssets[Depreciation
/ Amortization Months],_xlfn.XMATCH($E$237,FixedAssets[Asset ID])),IF(AND((_xlfn.XMATCH(AH$8,$AH$8:$CC$8))-_xlfn.XMATCH($C253,$C$35:$C$82)+1&lt;=_xlpm.DepreciationMonths,$C253&lt;=AH$8),$E253/_xlpm.DepreciationMonths,0))</f>
        <v>0</v>
      </c>
      <c r="AI253" s="507" cm="1">
        <f t="array" ref="AI253">_xlfn.LET(_xlpm.DepreciationMonths,INDEX(FixedAssets[Depreciation
/ Amortization Months],_xlfn.XMATCH($E$237,FixedAssets[Asset ID])),IF(AND((_xlfn.XMATCH(AI$8,$AH$8:$CC$8))-_xlfn.XMATCH($C253,$C$35:$C$82)+1&lt;=_xlpm.DepreciationMonths,$C253&lt;=AI$8),$E253/_xlpm.DepreciationMonths,0))</f>
        <v>0</v>
      </c>
      <c r="AJ253" s="507" cm="1">
        <f t="array" ref="AJ253">_xlfn.LET(_xlpm.DepreciationMonths,INDEX(FixedAssets[Depreciation
/ Amortization Months],_xlfn.XMATCH($E$237,FixedAssets[Asset ID])),IF(AND((_xlfn.XMATCH(AJ$8,$AH$8:$CC$8))-_xlfn.XMATCH($C253,$C$35:$C$82)+1&lt;=_xlpm.DepreciationMonths,$C253&lt;=AJ$8),$E253/_xlpm.DepreciationMonths,0))</f>
        <v>0</v>
      </c>
      <c r="AK253" s="507" cm="1">
        <f t="array" ref="AK253">_xlfn.LET(_xlpm.DepreciationMonths,INDEX(FixedAssets[Depreciation
/ Amortization Months],_xlfn.XMATCH($E$237,FixedAssets[Asset ID])),IF(AND((_xlfn.XMATCH(AK$8,$AH$8:$CC$8))-_xlfn.XMATCH($C253,$C$35:$C$82)+1&lt;=_xlpm.DepreciationMonths,$C253&lt;=AK$8),$E253/_xlpm.DepreciationMonths,0))</f>
        <v>0</v>
      </c>
      <c r="AL253" s="507" cm="1">
        <f t="array" ref="AL253">_xlfn.LET(_xlpm.DepreciationMonths,INDEX(FixedAssets[Depreciation
/ Amortization Months],_xlfn.XMATCH($E$237,FixedAssets[Asset ID])),IF(AND((_xlfn.XMATCH(AL$8,$AH$8:$CC$8))-_xlfn.XMATCH($C253,$C$35:$C$82)+1&lt;=_xlpm.DepreciationMonths,$C253&lt;=AL$8),$E253/_xlpm.DepreciationMonths,0))</f>
        <v>0</v>
      </c>
      <c r="AM253" s="507" cm="1">
        <f t="array" ref="AM253">_xlfn.LET(_xlpm.DepreciationMonths,INDEX(FixedAssets[Depreciation
/ Amortization Months],_xlfn.XMATCH($E$237,FixedAssets[Asset ID])),IF(AND((_xlfn.XMATCH(AM$8,$AH$8:$CC$8))-_xlfn.XMATCH($C253,$C$35:$C$82)+1&lt;=_xlpm.DepreciationMonths,$C253&lt;=AM$8),$E253/_xlpm.DepreciationMonths,0))</f>
        <v>0</v>
      </c>
      <c r="AN253" s="507" cm="1">
        <f t="array" ref="AN253">_xlfn.LET(_xlpm.DepreciationMonths,INDEX(FixedAssets[Depreciation
/ Amortization Months],_xlfn.XMATCH($E$237,FixedAssets[Asset ID])),IF(AND((_xlfn.XMATCH(AN$8,$AH$8:$CC$8))-_xlfn.XMATCH($C253,$C$35:$C$82)+1&lt;=_xlpm.DepreciationMonths,$C253&lt;=AN$8),$E253/_xlpm.DepreciationMonths,0))</f>
        <v>0</v>
      </c>
      <c r="AO253" s="507" cm="1">
        <f t="array" ref="AO253">_xlfn.LET(_xlpm.DepreciationMonths,INDEX(FixedAssets[Depreciation
/ Amortization Months],_xlfn.XMATCH($E$237,FixedAssets[Asset ID])),IF(AND((_xlfn.XMATCH(AO$8,$AH$8:$CC$8))-_xlfn.XMATCH($C253,$C$35:$C$82)+1&lt;=_xlpm.DepreciationMonths,$C253&lt;=AO$8),$E253/_xlpm.DepreciationMonths,0))</f>
        <v>0</v>
      </c>
      <c r="AP253" s="507" cm="1">
        <f t="array" ref="AP253">_xlfn.LET(_xlpm.DepreciationMonths,INDEX(FixedAssets[Depreciation
/ Amortization Months],_xlfn.XMATCH($E$237,FixedAssets[Asset ID])),IF(AND((_xlfn.XMATCH(AP$8,$AH$8:$CC$8))-_xlfn.XMATCH($C253,$C$35:$C$82)+1&lt;=_xlpm.DepreciationMonths,$C253&lt;=AP$8),$E253/_xlpm.DepreciationMonths,0))</f>
        <v>0</v>
      </c>
      <c r="AQ253" s="507" cm="1">
        <f t="array" ref="AQ253">_xlfn.LET(_xlpm.DepreciationMonths,INDEX(FixedAssets[Depreciation
/ Amortization Months],_xlfn.XMATCH($E$237,FixedAssets[Asset ID])),IF(AND((_xlfn.XMATCH(AQ$8,$AH$8:$CC$8))-_xlfn.XMATCH($C253,$C$35:$C$82)+1&lt;=_xlpm.DepreciationMonths,$C253&lt;=AQ$8),$E253/_xlpm.DepreciationMonths,0))</f>
        <v>0</v>
      </c>
      <c r="AR253" s="507" cm="1">
        <f t="array" ref="AR253">_xlfn.LET(_xlpm.DepreciationMonths,INDEX(FixedAssets[Depreciation
/ Amortization Months],_xlfn.XMATCH($E$237,FixedAssets[Asset ID])),IF(AND((_xlfn.XMATCH(AR$8,$AH$8:$CC$8))-_xlfn.XMATCH($C253,$C$35:$C$82)+1&lt;=_xlpm.DepreciationMonths,$C253&lt;=AR$8),$E253/_xlpm.DepreciationMonths,0))</f>
        <v>0</v>
      </c>
      <c r="AS253" s="507" cm="1">
        <f t="array" ref="AS253">_xlfn.LET(_xlpm.DepreciationMonths,INDEX(FixedAssets[Depreciation
/ Amortization Months],_xlfn.XMATCH($E$237,FixedAssets[Asset ID])),IF(AND((_xlfn.XMATCH(AS$8,$AH$8:$CC$8))-_xlfn.XMATCH($C253,$C$35:$C$82)+1&lt;=_xlpm.DepreciationMonths,$C253&lt;=AS$8),$E253/_xlpm.DepreciationMonths,0))</f>
        <v>0</v>
      </c>
      <c r="AT253" s="507" cm="1">
        <f t="array" ref="AT253">_xlfn.LET(_xlpm.DepreciationMonths,INDEX(FixedAssets[Depreciation
/ Amortization Months],_xlfn.XMATCH($E$237,FixedAssets[Asset ID])),IF(AND((_xlfn.XMATCH(AT$8,$AH$8:$CC$8))-_xlfn.XMATCH($C253,$C$35:$C$82)+1&lt;=_xlpm.DepreciationMonths,$C253&lt;=AT$8),$E253/_xlpm.DepreciationMonths,0))</f>
        <v>0</v>
      </c>
      <c r="AU253" s="507" cm="1">
        <f t="array" ref="AU253">_xlfn.LET(_xlpm.DepreciationMonths,INDEX(FixedAssets[Depreciation
/ Amortization Months],_xlfn.XMATCH($E$237,FixedAssets[Asset ID])),IF(AND((_xlfn.XMATCH(AU$8,$AH$8:$CC$8))-_xlfn.XMATCH($C253,$C$35:$C$82)+1&lt;=_xlpm.DepreciationMonths,$C253&lt;=AU$8),$E253/_xlpm.DepreciationMonths,0))</f>
        <v>0</v>
      </c>
      <c r="AV253" s="507" cm="1">
        <f t="array" ref="AV253">_xlfn.LET(_xlpm.DepreciationMonths,INDEX(FixedAssets[Depreciation
/ Amortization Months],_xlfn.XMATCH($E$237,FixedAssets[Asset ID])),IF(AND((_xlfn.XMATCH(AV$8,$AH$8:$CC$8))-_xlfn.XMATCH($C253,$C$35:$C$82)+1&lt;=_xlpm.DepreciationMonths,$C253&lt;=AV$8),$E253/_xlpm.DepreciationMonths,0))</f>
        <v>0</v>
      </c>
      <c r="AW253" s="507" cm="1">
        <f t="array" ref="AW253">_xlfn.LET(_xlpm.DepreciationMonths,INDEX(FixedAssets[Depreciation
/ Amortization Months],_xlfn.XMATCH($E$237,FixedAssets[Asset ID])),IF(AND((_xlfn.XMATCH(AW$8,$AH$8:$CC$8))-_xlfn.XMATCH($C253,$C$35:$C$82)+1&lt;=_xlpm.DepreciationMonths,$C253&lt;=AW$8),$E253/_xlpm.DepreciationMonths,0))</f>
        <v>0</v>
      </c>
      <c r="AX253" s="507" cm="1">
        <f t="array" ref="AX253">_xlfn.LET(_xlpm.DepreciationMonths,INDEX(FixedAssets[Depreciation
/ Amortization Months],_xlfn.XMATCH($E$237,FixedAssets[Asset ID])),IF(AND((_xlfn.XMATCH(AX$8,$AH$8:$CC$8))-_xlfn.XMATCH($C253,$C$35:$C$82)+1&lt;=_xlpm.DepreciationMonths,$C253&lt;=AX$8),$E253/_xlpm.DepreciationMonths,0))</f>
        <v>0</v>
      </c>
      <c r="AY253" s="507" cm="1">
        <f t="array" ref="AY253">_xlfn.LET(_xlpm.DepreciationMonths,INDEX(FixedAssets[Depreciation
/ Amortization Months],_xlfn.XMATCH($E$237,FixedAssets[Asset ID])),IF(AND((_xlfn.XMATCH(AY$8,$AH$8:$CC$8))-_xlfn.XMATCH($C253,$C$35:$C$82)+1&lt;=_xlpm.DepreciationMonths,$C253&lt;=AY$8),$E253/_xlpm.DepreciationMonths,0))</f>
        <v>0</v>
      </c>
      <c r="AZ253" s="507" cm="1">
        <f t="array" ref="AZ253">_xlfn.LET(_xlpm.DepreciationMonths,INDEX(FixedAssets[Depreciation
/ Amortization Months],_xlfn.XMATCH($E$237,FixedAssets[Asset ID])),IF(AND((_xlfn.XMATCH(AZ$8,$AH$8:$CC$8))-_xlfn.XMATCH($C253,$C$35:$C$82)+1&lt;=_xlpm.DepreciationMonths,$C253&lt;=AZ$8),$E253/_xlpm.DepreciationMonths,0))</f>
        <v>0</v>
      </c>
      <c r="BA253" s="507" cm="1">
        <f t="array" ref="BA253">_xlfn.LET(_xlpm.DepreciationMonths,INDEX(FixedAssets[Depreciation
/ Amortization Months],_xlfn.XMATCH($E$237,FixedAssets[Asset ID])),IF(AND((_xlfn.XMATCH(BA$8,$AH$8:$CC$8))-_xlfn.XMATCH($C253,$C$35:$C$82)+1&lt;=_xlpm.DepreciationMonths,$C253&lt;=BA$8),$E253/_xlpm.DepreciationMonths,0))</f>
        <v>0</v>
      </c>
      <c r="BB253" s="507" cm="1">
        <f t="array" ref="BB253">_xlfn.LET(_xlpm.DepreciationMonths,INDEX(FixedAssets[Depreciation
/ Amortization Months],_xlfn.XMATCH($E$237,FixedAssets[Asset ID])),IF(AND((_xlfn.XMATCH(BB$8,$AH$8:$CC$8))-_xlfn.XMATCH($C253,$C$35:$C$82)+1&lt;=_xlpm.DepreciationMonths,$C253&lt;=BB$8),$E253/_xlpm.DepreciationMonths,0))</f>
        <v>0</v>
      </c>
      <c r="BC253" s="507" cm="1">
        <f t="array" ref="BC253">_xlfn.LET(_xlpm.DepreciationMonths,INDEX(FixedAssets[Depreciation
/ Amortization Months],_xlfn.XMATCH($E$237,FixedAssets[Asset ID])),IF(AND((_xlfn.XMATCH(BC$8,$AH$8:$CC$8))-_xlfn.XMATCH($C253,$C$35:$C$82)+1&lt;=_xlpm.DepreciationMonths,$C253&lt;=BC$8),$E253/_xlpm.DepreciationMonths,0))</f>
        <v>0</v>
      </c>
      <c r="BD253" s="507" cm="1">
        <f t="array" ref="BD253">_xlfn.LET(_xlpm.DepreciationMonths,INDEX(FixedAssets[Depreciation
/ Amortization Months],_xlfn.XMATCH($E$237,FixedAssets[Asset ID])),IF(AND((_xlfn.XMATCH(BD$8,$AH$8:$CC$8))-_xlfn.XMATCH($C253,$C$35:$C$82)+1&lt;=_xlpm.DepreciationMonths,$C253&lt;=BD$8),$E253/_xlpm.DepreciationMonths,0))</f>
        <v>0</v>
      </c>
      <c r="BE253" s="507" cm="1">
        <f t="array" ref="BE253">_xlfn.LET(_xlpm.DepreciationMonths,INDEX(FixedAssets[Depreciation
/ Amortization Months],_xlfn.XMATCH($E$237,FixedAssets[Asset ID])),IF(AND((_xlfn.XMATCH(BE$8,$AH$8:$CC$8))-_xlfn.XMATCH($C253,$C$35:$C$82)+1&lt;=_xlpm.DepreciationMonths,$C253&lt;=BE$8),$E253/_xlpm.DepreciationMonths,0))</f>
        <v>0</v>
      </c>
      <c r="BF253" s="507" cm="1">
        <f t="array" ref="BF253">_xlfn.LET(_xlpm.DepreciationMonths,INDEX(FixedAssets[Depreciation
/ Amortization Months],_xlfn.XMATCH($E$237,FixedAssets[Asset ID])),IF(AND((_xlfn.XMATCH(BF$8,$AH$8:$CC$8))-_xlfn.XMATCH($C253,$C$35:$C$82)+1&lt;=_xlpm.DepreciationMonths,$C253&lt;=BF$8),$E253/_xlpm.DepreciationMonths,0))</f>
        <v>0</v>
      </c>
      <c r="BG253" s="507" cm="1">
        <f t="array" ref="BG253">_xlfn.LET(_xlpm.DepreciationMonths,INDEX(FixedAssets[Depreciation
/ Amortization Months],_xlfn.XMATCH($E$237,FixedAssets[Asset ID])),IF(AND((_xlfn.XMATCH(BG$8,$AH$8:$CC$8))-_xlfn.XMATCH($C253,$C$35:$C$82)+1&lt;=_xlpm.DepreciationMonths,$C253&lt;=BG$8),$E253/_xlpm.DepreciationMonths,0))</f>
        <v>0</v>
      </c>
      <c r="BH253" s="507" cm="1">
        <f t="array" ref="BH253">_xlfn.LET(_xlpm.DepreciationMonths,INDEX(FixedAssets[Depreciation
/ Amortization Months],_xlfn.XMATCH($E$237,FixedAssets[Asset ID])),IF(AND((_xlfn.XMATCH(BH$8,$AH$8:$CC$8))-_xlfn.XMATCH($C253,$C$35:$C$82)+1&lt;=_xlpm.DepreciationMonths,$C253&lt;=BH$8),$E253/_xlpm.DepreciationMonths,0))</f>
        <v>0</v>
      </c>
      <c r="BI253" s="507" cm="1">
        <f t="array" ref="BI253">_xlfn.LET(_xlpm.DepreciationMonths,INDEX(FixedAssets[Depreciation
/ Amortization Months],_xlfn.XMATCH($E$237,FixedAssets[Asset ID])),IF(AND((_xlfn.XMATCH(BI$8,$AH$8:$CC$8))-_xlfn.XMATCH($C253,$C$35:$C$82)+1&lt;=_xlpm.DepreciationMonths,$C253&lt;=BI$8),$E253/_xlpm.DepreciationMonths,0))</f>
        <v>0</v>
      </c>
      <c r="BJ253" s="507" cm="1">
        <f t="array" ref="BJ253">_xlfn.LET(_xlpm.DepreciationMonths,INDEX(FixedAssets[Depreciation
/ Amortization Months],_xlfn.XMATCH($E$237,FixedAssets[Asset ID])),IF(AND((_xlfn.XMATCH(BJ$8,$AH$8:$CC$8))-_xlfn.XMATCH($C253,$C$35:$C$82)+1&lt;=_xlpm.DepreciationMonths,$C253&lt;=BJ$8),$E253/_xlpm.DepreciationMonths,0))</f>
        <v>0</v>
      </c>
      <c r="BK253" s="507" cm="1">
        <f t="array" ref="BK253">_xlfn.LET(_xlpm.DepreciationMonths,INDEX(FixedAssets[Depreciation
/ Amortization Months],_xlfn.XMATCH($E$237,FixedAssets[Asset ID])),IF(AND((_xlfn.XMATCH(BK$8,$AH$8:$CC$8))-_xlfn.XMATCH($C253,$C$35:$C$82)+1&lt;=_xlpm.DepreciationMonths,$C253&lt;=BK$8),$E253/_xlpm.DepreciationMonths,0))</f>
        <v>0</v>
      </c>
      <c r="BL253" s="507" cm="1">
        <f t="array" ref="BL253">_xlfn.LET(_xlpm.DepreciationMonths,INDEX(FixedAssets[Depreciation
/ Amortization Months],_xlfn.XMATCH($E$237,FixedAssets[Asset ID])),IF(AND((_xlfn.XMATCH(BL$8,$AH$8:$CC$8))-_xlfn.XMATCH($C253,$C$35:$C$82)+1&lt;=_xlpm.DepreciationMonths,$C253&lt;=BL$8),$E253/_xlpm.DepreciationMonths,0))</f>
        <v>0</v>
      </c>
      <c r="BM253" s="507" cm="1">
        <f t="array" ref="BM253">_xlfn.LET(_xlpm.DepreciationMonths,INDEX(FixedAssets[Depreciation
/ Amortization Months],_xlfn.XMATCH($E$237,FixedAssets[Asset ID])),IF(AND((_xlfn.XMATCH(BM$8,$AH$8:$CC$8))-_xlfn.XMATCH($C253,$C$35:$C$82)+1&lt;=_xlpm.DepreciationMonths,$C253&lt;=BM$8),$E253/_xlpm.DepreciationMonths,0))</f>
        <v>0</v>
      </c>
      <c r="BN253" s="507" cm="1">
        <f t="array" ref="BN253">_xlfn.LET(_xlpm.DepreciationMonths,INDEX(FixedAssets[Depreciation
/ Amortization Months],_xlfn.XMATCH($E$237,FixedAssets[Asset ID])),IF(AND((_xlfn.XMATCH(BN$8,$AH$8:$CC$8))-_xlfn.XMATCH($C253,$C$35:$C$82)+1&lt;=_xlpm.DepreciationMonths,$C253&lt;=BN$8),$E253/_xlpm.DepreciationMonths,0))</f>
        <v>0</v>
      </c>
      <c r="BO253" s="507" cm="1">
        <f t="array" ref="BO253">_xlfn.LET(_xlpm.DepreciationMonths,INDEX(FixedAssets[Depreciation
/ Amortization Months],_xlfn.XMATCH($E$237,FixedAssets[Asset ID])),IF(AND((_xlfn.XMATCH(BO$8,$AH$8:$CC$8))-_xlfn.XMATCH($C253,$C$35:$C$82)+1&lt;=_xlpm.DepreciationMonths,$C253&lt;=BO$8),$E253/_xlpm.DepreciationMonths,0))</f>
        <v>0</v>
      </c>
      <c r="BP253" s="507" cm="1">
        <f t="array" ref="BP253">_xlfn.LET(_xlpm.DepreciationMonths,INDEX(FixedAssets[Depreciation
/ Amortization Months],_xlfn.XMATCH($E$237,FixedAssets[Asset ID])),IF(AND((_xlfn.XMATCH(BP$8,$AH$8:$CC$8))-_xlfn.XMATCH($C253,$C$35:$C$82)+1&lt;=_xlpm.DepreciationMonths,$C253&lt;=BP$8),$E253/_xlpm.DepreciationMonths,0))</f>
        <v>0</v>
      </c>
      <c r="BQ253" s="507" cm="1">
        <f t="array" ref="BQ253">_xlfn.LET(_xlpm.DepreciationMonths,INDEX(FixedAssets[Depreciation
/ Amortization Months],_xlfn.XMATCH($E$237,FixedAssets[Asset ID])),IF(AND((_xlfn.XMATCH(BQ$8,$AH$8:$CC$8))-_xlfn.XMATCH($C253,$C$35:$C$82)+1&lt;=_xlpm.DepreciationMonths,$C253&lt;=BQ$8),$E253/_xlpm.DepreciationMonths,0))</f>
        <v>0</v>
      </c>
      <c r="BR253" s="507" cm="1">
        <f t="array" ref="BR253">_xlfn.LET(_xlpm.DepreciationMonths,INDEX(FixedAssets[Depreciation
/ Amortization Months],_xlfn.XMATCH($E$237,FixedAssets[Asset ID])),IF(AND((_xlfn.XMATCH(BR$8,$AH$8:$CC$8))-_xlfn.XMATCH($C253,$C$35:$C$82)+1&lt;=_xlpm.DepreciationMonths,$C253&lt;=BR$8),$E253/_xlpm.DepreciationMonths,0))</f>
        <v>0</v>
      </c>
      <c r="BS253" s="507" cm="1">
        <f t="array" ref="BS253">_xlfn.LET(_xlpm.DepreciationMonths,INDEX(FixedAssets[Depreciation
/ Amortization Months],_xlfn.XMATCH($E$237,FixedAssets[Asset ID])),IF(AND((_xlfn.XMATCH(BS$8,$AH$8:$CC$8))-_xlfn.XMATCH($C253,$C$35:$C$82)+1&lt;=_xlpm.DepreciationMonths,$C253&lt;=BS$8),$E253/_xlpm.DepreciationMonths,0))</f>
        <v>0</v>
      </c>
      <c r="BT253" s="507" cm="1">
        <f t="array" ref="BT253">_xlfn.LET(_xlpm.DepreciationMonths,INDEX(FixedAssets[Depreciation
/ Amortization Months],_xlfn.XMATCH($E$237,FixedAssets[Asset ID])),IF(AND((_xlfn.XMATCH(BT$8,$AH$8:$CC$8))-_xlfn.XMATCH($C253,$C$35:$C$82)+1&lt;=_xlpm.DepreciationMonths,$C253&lt;=BT$8),$E253/_xlpm.DepreciationMonths,0))</f>
        <v>0</v>
      </c>
      <c r="BU253" s="507" cm="1">
        <f t="array" ref="BU253">_xlfn.LET(_xlpm.DepreciationMonths,INDEX(FixedAssets[Depreciation
/ Amortization Months],_xlfn.XMATCH($E$237,FixedAssets[Asset ID])),IF(AND((_xlfn.XMATCH(BU$8,$AH$8:$CC$8))-_xlfn.XMATCH($C253,$C$35:$C$82)+1&lt;=_xlpm.DepreciationMonths,$C253&lt;=BU$8),$E253/_xlpm.DepreciationMonths,0))</f>
        <v>0</v>
      </c>
      <c r="BV253" s="507" cm="1">
        <f t="array" ref="BV253">_xlfn.LET(_xlpm.DepreciationMonths,INDEX(FixedAssets[Depreciation
/ Amortization Months],_xlfn.XMATCH($E$237,FixedAssets[Asset ID])),IF(AND((_xlfn.XMATCH(BV$8,$AH$8:$CC$8))-_xlfn.XMATCH($C253,$C$35:$C$82)+1&lt;=_xlpm.DepreciationMonths,$C253&lt;=BV$8),$E253/_xlpm.DepreciationMonths,0))</f>
        <v>0</v>
      </c>
      <c r="BW253" s="507" cm="1">
        <f t="array" ref="BW253">_xlfn.LET(_xlpm.DepreciationMonths,INDEX(FixedAssets[Depreciation
/ Amortization Months],_xlfn.XMATCH($E$237,FixedAssets[Asset ID])),IF(AND((_xlfn.XMATCH(BW$8,$AH$8:$CC$8))-_xlfn.XMATCH($C253,$C$35:$C$82)+1&lt;=_xlpm.DepreciationMonths,$C253&lt;=BW$8),$E253/_xlpm.DepreciationMonths,0))</f>
        <v>0</v>
      </c>
      <c r="BX253" s="507" cm="1">
        <f t="array" ref="BX253">_xlfn.LET(_xlpm.DepreciationMonths,INDEX(FixedAssets[Depreciation
/ Amortization Months],_xlfn.XMATCH($E$237,FixedAssets[Asset ID])),IF(AND((_xlfn.XMATCH(BX$8,$AH$8:$CC$8))-_xlfn.XMATCH($C253,$C$35:$C$82)+1&lt;=_xlpm.DepreciationMonths,$C253&lt;=BX$8),$E253/_xlpm.DepreciationMonths,0))</f>
        <v>0</v>
      </c>
      <c r="BY253" s="507" cm="1">
        <f t="array" ref="BY253">_xlfn.LET(_xlpm.DepreciationMonths,INDEX(FixedAssets[Depreciation
/ Amortization Months],_xlfn.XMATCH($E$237,FixedAssets[Asset ID])),IF(AND((_xlfn.XMATCH(BY$8,$AH$8:$CC$8))-_xlfn.XMATCH($C253,$C$35:$C$82)+1&lt;=_xlpm.DepreciationMonths,$C253&lt;=BY$8),$E253/_xlpm.DepreciationMonths,0))</f>
        <v>0</v>
      </c>
      <c r="BZ253" s="507" cm="1">
        <f t="array" ref="BZ253">_xlfn.LET(_xlpm.DepreciationMonths,INDEX(FixedAssets[Depreciation
/ Amortization Months],_xlfn.XMATCH($E$237,FixedAssets[Asset ID])),IF(AND((_xlfn.XMATCH(BZ$8,$AH$8:$CC$8))-_xlfn.XMATCH($C253,$C$35:$C$82)+1&lt;=_xlpm.DepreciationMonths,$C253&lt;=BZ$8),$E253/_xlpm.DepreciationMonths,0))</f>
        <v>0</v>
      </c>
      <c r="CA253" s="507" cm="1">
        <f t="array" ref="CA253">_xlfn.LET(_xlpm.DepreciationMonths,INDEX(FixedAssets[Depreciation
/ Amortization Months],_xlfn.XMATCH($E$237,FixedAssets[Asset ID])),IF(AND((_xlfn.XMATCH(CA$8,$AH$8:$CC$8))-_xlfn.XMATCH($C253,$C$35:$C$82)+1&lt;=_xlpm.DepreciationMonths,$C253&lt;=CA$8),$E253/_xlpm.DepreciationMonths,0))</f>
        <v>0</v>
      </c>
      <c r="CB253" s="507" cm="1">
        <f t="array" ref="CB253">_xlfn.LET(_xlpm.DepreciationMonths,INDEX(FixedAssets[Depreciation
/ Amortization Months],_xlfn.XMATCH($E$237,FixedAssets[Asset ID])),IF(AND((_xlfn.XMATCH(CB$8,$AH$8:$CC$8))-_xlfn.XMATCH($C253,$C$35:$C$82)+1&lt;=_xlpm.DepreciationMonths,$C253&lt;=CB$8),$E253/_xlpm.DepreciationMonths,0))</f>
        <v>0</v>
      </c>
      <c r="CC253" s="507" cm="1">
        <f t="array" ref="CC253">_xlfn.LET(_xlpm.DepreciationMonths,INDEX(FixedAssets[Depreciation
/ Amortization Months],_xlfn.XMATCH($E$237,FixedAssets[Asset ID])),IF(AND((_xlfn.XMATCH(CC$8,$AH$8:$CC$8))-_xlfn.XMATCH($C253,$C$35:$C$82)+1&lt;=_xlpm.DepreciationMonths,$C253&lt;=CC$8),$E253/_xlpm.DepreciationMonths,0))</f>
        <v>0</v>
      </c>
    </row>
    <row r="254" spans="3:81" hidden="1" outlineLevel="2">
      <c r="C254" s="664">
        <f t="shared" si="267"/>
        <v>45412</v>
      </c>
      <c r="D254" s="508"/>
      <c r="E254" s="508" cm="1">
        <f t="array" ref="E254">SUMPRODUCT(($AH$26:$CC$31)*($AH$5:$CC$5=$C254)*($E$26:$E$31=E$237))-SUMPRODUCT(($AH$26:$CC$31)*($AH$5:$CC$5=EOMONTH($C254,-1))*($E$26:$E$31=E$237))</f>
        <v>0</v>
      </c>
      <c r="F254" s="508"/>
      <c r="G254" s="508"/>
      <c r="H254" s="508"/>
      <c r="I254" s="508"/>
      <c r="J254" s="504">
        <f t="shared" si="265"/>
        <v>0</v>
      </c>
      <c r="K254" s="504">
        <f t="shared" si="265"/>
        <v>0</v>
      </c>
      <c r="L254" s="504">
        <f t="shared" si="265"/>
        <v>0</v>
      </c>
      <c r="M254" s="504">
        <f t="shared" si="265"/>
        <v>0</v>
      </c>
      <c r="N254" s="504"/>
      <c r="O254" s="504"/>
      <c r="P254" s="504">
        <f t="shared" si="266"/>
        <v>0</v>
      </c>
      <c r="Q254" s="504">
        <f t="shared" si="266"/>
        <v>0</v>
      </c>
      <c r="R254" s="504">
        <f t="shared" si="266"/>
        <v>0</v>
      </c>
      <c r="S254" s="504">
        <f t="shared" si="266"/>
        <v>0</v>
      </c>
      <c r="T254" s="504">
        <f t="shared" si="266"/>
        <v>0</v>
      </c>
      <c r="U254" s="504">
        <f t="shared" si="266"/>
        <v>0</v>
      </c>
      <c r="V254" s="504">
        <f t="shared" si="266"/>
        <v>0</v>
      </c>
      <c r="W254" s="504">
        <f t="shared" si="266"/>
        <v>0</v>
      </c>
      <c r="X254" s="504">
        <f t="shared" si="266"/>
        <v>0</v>
      </c>
      <c r="Y254" s="504">
        <f t="shared" si="266"/>
        <v>0</v>
      </c>
      <c r="Z254" s="504">
        <f t="shared" si="266"/>
        <v>0</v>
      </c>
      <c r="AA254" s="504">
        <f t="shared" si="266"/>
        <v>0</v>
      </c>
      <c r="AB254" s="504">
        <f t="shared" si="266"/>
        <v>0</v>
      </c>
      <c r="AC254" s="504">
        <f t="shared" si="266"/>
        <v>0</v>
      </c>
      <c r="AD254" s="504">
        <f t="shared" si="266"/>
        <v>0</v>
      </c>
      <c r="AE254" s="504">
        <f t="shared" ref="AE254" si="268">SUMIFS($AH254:$CC254,$AH$4:$CC$4,"&gt;="&amp;AE$4,$AH$5:$CC$5,"&lt;="&amp;AE$5)</f>
        <v>0</v>
      </c>
      <c r="AF254" s="508"/>
      <c r="AG254" s="508"/>
      <c r="AH254" s="507" cm="1">
        <f t="array" ref="AH254">_xlfn.LET(_xlpm.DepreciationMonths,INDEX(FixedAssets[Depreciation
/ Amortization Months],_xlfn.XMATCH($E$237,FixedAssets[Asset ID])),IF(AND((_xlfn.XMATCH(AH$8,$AH$8:$CC$8))-_xlfn.XMATCH($C254,$C$35:$C$82)+1&lt;=_xlpm.DepreciationMonths,$C254&lt;=AH$8),$E254/_xlpm.DepreciationMonths,0))</f>
        <v>0</v>
      </c>
      <c r="AI254" s="507" cm="1">
        <f t="array" ref="AI254">_xlfn.LET(_xlpm.DepreciationMonths,INDEX(FixedAssets[Depreciation
/ Amortization Months],_xlfn.XMATCH($E$237,FixedAssets[Asset ID])),IF(AND((_xlfn.XMATCH(AI$8,$AH$8:$CC$8))-_xlfn.XMATCH($C254,$C$35:$C$82)+1&lt;=_xlpm.DepreciationMonths,$C254&lt;=AI$8),$E254/_xlpm.DepreciationMonths,0))</f>
        <v>0</v>
      </c>
      <c r="AJ254" s="507" cm="1">
        <f t="array" ref="AJ254">_xlfn.LET(_xlpm.DepreciationMonths,INDEX(FixedAssets[Depreciation
/ Amortization Months],_xlfn.XMATCH($E$237,FixedAssets[Asset ID])),IF(AND((_xlfn.XMATCH(AJ$8,$AH$8:$CC$8))-_xlfn.XMATCH($C254,$C$35:$C$82)+1&lt;=_xlpm.DepreciationMonths,$C254&lt;=AJ$8),$E254/_xlpm.DepreciationMonths,0))</f>
        <v>0</v>
      </c>
      <c r="AK254" s="507" cm="1">
        <f t="array" ref="AK254">_xlfn.LET(_xlpm.DepreciationMonths,INDEX(FixedAssets[Depreciation
/ Amortization Months],_xlfn.XMATCH($E$237,FixedAssets[Asset ID])),IF(AND((_xlfn.XMATCH(AK$8,$AH$8:$CC$8))-_xlfn.XMATCH($C254,$C$35:$C$82)+1&lt;=_xlpm.DepreciationMonths,$C254&lt;=AK$8),$E254/_xlpm.DepreciationMonths,0))</f>
        <v>0</v>
      </c>
      <c r="AL254" s="507" cm="1">
        <f t="array" ref="AL254">_xlfn.LET(_xlpm.DepreciationMonths,INDEX(FixedAssets[Depreciation
/ Amortization Months],_xlfn.XMATCH($E$237,FixedAssets[Asset ID])),IF(AND((_xlfn.XMATCH(AL$8,$AH$8:$CC$8))-_xlfn.XMATCH($C254,$C$35:$C$82)+1&lt;=_xlpm.DepreciationMonths,$C254&lt;=AL$8),$E254/_xlpm.DepreciationMonths,0))</f>
        <v>0</v>
      </c>
      <c r="AM254" s="507" cm="1">
        <f t="array" ref="AM254">_xlfn.LET(_xlpm.DepreciationMonths,INDEX(FixedAssets[Depreciation
/ Amortization Months],_xlfn.XMATCH($E$237,FixedAssets[Asset ID])),IF(AND((_xlfn.XMATCH(AM$8,$AH$8:$CC$8))-_xlfn.XMATCH($C254,$C$35:$C$82)+1&lt;=_xlpm.DepreciationMonths,$C254&lt;=AM$8),$E254/_xlpm.DepreciationMonths,0))</f>
        <v>0</v>
      </c>
      <c r="AN254" s="507" cm="1">
        <f t="array" ref="AN254">_xlfn.LET(_xlpm.DepreciationMonths,INDEX(FixedAssets[Depreciation
/ Amortization Months],_xlfn.XMATCH($E$237,FixedAssets[Asset ID])),IF(AND((_xlfn.XMATCH(AN$8,$AH$8:$CC$8))-_xlfn.XMATCH($C254,$C$35:$C$82)+1&lt;=_xlpm.DepreciationMonths,$C254&lt;=AN$8),$E254/_xlpm.DepreciationMonths,0))</f>
        <v>0</v>
      </c>
      <c r="AO254" s="507" cm="1">
        <f t="array" ref="AO254">_xlfn.LET(_xlpm.DepreciationMonths,INDEX(FixedAssets[Depreciation
/ Amortization Months],_xlfn.XMATCH($E$237,FixedAssets[Asset ID])),IF(AND((_xlfn.XMATCH(AO$8,$AH$8:$CC$8))-_xlfn.XMATCH($C254,$C$35:$C$82)+1&lt;=_xlpm.DepreciationMonths,$C254&lt;=AO$8),$E254/_xlpm.DepreciationMonths,0))</f>
        <v>0</v>
      </c>
      <c r="AP254" s="507" cm="1">
        <f t="array" ref="AP254">_xlfn.LET(_xlpm.DepreciationMonths,INDEX(FixedAssets[Depreciation
/ Amortization Months],_xlfn.XMATCH($E$237,FixedAssets[Asset ID])),IF(AND((_xlfn.XMATCH(AP$8,$AH$8:$CC$8))-_xlfn.XMATCH($C254,$C$35:$C$82)+1&lt;=_xlpm.DepreciationMonths,$C254&lt;=AP$8),$E254/_xlpm.DepreciationMonths,0))</f>
        <v>0</v>
      </c>
      <c r="AQ254" s="507" cm="1">
        <f t="array" ref="AQ254">_xlfn.LET(_xlpm.DepreciationMonths,INDEX(FixedAssets[Depreciation
/ Amortization Months],_xlfn.XMATCH($E$237,FixedAssets[Asset ID])),IF(AND((_xlfn.XMATCH(AQ$8,$AH$8:$CC$8))-_xlfn.XMATCH($C254,$C$35:$C$82)+1&lt;=_xlpm.DepreciationMonths,$C254&lt;=AQ$8),$E254/_xlpm.DepreciationMonths,0))</f>
        <v>0</v>
      </c>
      <c r="AR254" s="507" cm="1">
        <f t="array" ref="AR254">_xlfn.LET(_xlpm.DepreciationMonths,INDEX(FixedAssets[Depreciation
/ Amortization Months],_xlfn.XMATCH($E$237,FixedAssets[Asset ID])),IF(AND((_xlfn.XMATCH(AR$8,$AH$8:$CC$8))-_xlfn.XMATCH($C254,$C$35:$C$82)+1&lt;=_xlpm.DepreciationMonths,$C254&lt;=AR$8),$E254/_xlpm.DepreciationMonths,0))</f>
        <v>0</v>
      </c>
      <c r="AS254" s="507" cm="1">
        <f t="array" ref="AS254">_xlfn.LET(_xlpm.DepreciationMonths,INDEX(FixedAssets[Depreciation
/ Amortization Months],_xlfn.XMATCH($E$237,FixedAssets[Asset ID])),IF(AND((_xlfn.XMATCH(AS$8,$AH$8:$CC$8))-_xlfn.XMATCH($C254,$C$35:$C$82)+1&lt;=_xlpm.DepreciationMonths,$C254&lt;=AS$8),$E254/_xlpm.DepreciationMonths,0))</f>
        <v>0</v>
      </c>
      <c r="AT254" s="507" cm="1">
        <f t="array" ref="AT254">_xlfn.LET(_xlpm.DepreciationMonths,INDEX(FixedAssets[Depreciation
/ Amortization Months],_xlfn.XMATCH($E$237,FixedAssets[Asset ID])),IF(AND((_xlfn.XMATCH(AT$8,$AH$8:$CC$8))-_xlfn.XMATCH($C254,$C$35:$C$82)+1&lt;=_xlpm.DepreciationMonths,$C254&lt;=AT$8),$E254/_xlpm.DepreciationMonths,0))</f>
        <v>0</v>
      </c>
      <c r="AU254" s="507" cm="1">
        <f t="array" ref="AU254">_xlfn.LET(_xlpm.DepreciationMonths,INDEX(FixedAssets[Depreciation
/ Amortization Months],_xlfn.XMATCH($E$237,FixedAssets[Asset ID])),IF(AND((_xlfn.XMATCH(AU$8,$AH$8:$CC$8))-_xlfn.XMATCH($C254,$C$35:$C$82)+1&lt;=_xlpm.DepreciationMonths,$C254&lt;=AU$8),$E254/_xlpm.DepreciationMonths,0))</f>
        <v>0</v>
      </c>
      <c r="AV254" s="507" cm="1">
        <f t="array" ref="AV254">_xlfn.LET(_xlpm.DepreciationMonths,INDEX(FixedAssets[Depreciation
/ Amortization Months],_xlfn.XMATCH($E$237,FixedAssets[Asset ID])),IF(AND((_xlfn.XMATCH(AV$8,$AH$8:$CC$8))-_xlfn.XMATCH($C254,$C$35:$C$82)+1&lt;=_xlpm.DepreciationMonths,$C254&lt;=AV$8),$E254/_xlpm.DepreciationMonths,0))</f>
        <v>0</v>
      </c>
      <c r="AW254" s="507" cm="1">
        <f t="array" ref="AW254">_xlfn.LET(_xlpm.DepreciationMonths,INDEX(FixedAssets[Depreciation
/ Amortization Months],_xlfn.XMATCH($E$237,FixedAssets[Asset ID])),IF(AND((_xlfn.XMATCH(AW$8,$AH$8:$CC$8))-_xlfn.XMATCH($C254,$C$35:$C$82)+1&lt;=_xlpm.DepreciationMonths,$C254&lt;=AW$8),$E254/_xlpm.DepreciationMonths,0))</f>
        <v>0</v>
      </c>
      <c r="AX254" s="507" cm="1">
        <f t="array" ref="AX254">_xlfn.LET(_xlpm.DepreciationMonths,INDEX(FixedAssets[Depreciation
/ Amortization Months],_xlfn.XMATCH($E$237,FixedAssets[Asset ID])),IF(AND((_xlfn.XMATCH(AX$8,$AH$8:$CC$8))-_xlfn.XMATCH($C254,$C$35:$C$82)+1&lt;=_xlpm.DepreciationMonths,$C254&lt;=AX$8),$E254/_xlpm.DepreciationMonths,0))</f>
        <v>0</v>
      </c>
      <c r="AY254" s="507" cm="1">
        <f t="array" ref="AY254">_xlfn.LET(_xlpm.DepreciationMonths,INDEX(FixedAssets[Depreciation
/ Amortization Months],_xlfn.XMATCH($E$237,FixedAssets[Asset ID])),IF(AND((_xlfn.XMATCH(AY$8,$AH$8:$CC$8))-_xlfn.XMATCH($C254,$C$35:$C$82)+1&lt;=_xlpm.DepreciationMonths,$C254&lt;=AY$8),$E254/_xlpm.DepreciationMonths,0))</f>
        <v>0</v>
      </c>
      <c r="AZ254" s="507" cm="1">
        <f t="array" ref="AZ254">_xlfn.LET(_xlpm.DepreciationMonths,INDEX(FixedAssets[Depreciation
/ Amortization Months],_xlfn.XMATCH($E$237,FixedAssets[Asset ID])),IF(AND((_xlfn.XMATCH(AZ$8,$AH$8:$CC$8))-_xlfn.XMATCH($C254,$C$35:$C$82)+1&lt;=_xlpm.DepreciationMonths,$C254&lt;=AZ$8),$E254/_xlpm.DepreciationMonths,0))</f>
        <v>0</v>
      </c>
      <c r="BA254" s="507" cm="1">
        <f t="array" ref="BA254">_xlfn.LET(_xlpm.DepreciationMonths,INDEX(FixedAssets[Depreciation
/ Amortization Months],_xlfn.XMATCH($E$237,FixedAssets[Asset ID])),IF(AND((_xlfn.XMATCH(BA$8,$AH$8:$CC$8))-_xlfn.XMATCH($C254,$C$35:$C$82)+1&lt;=_xlpm.DepreciationMonths,$C254&lt;=BA$8),$E254/_xlpm.DepreciationMonths,0))</f>
        <v>0</v>
      </c>
      <c r="BB254" s="507" cm="1">
        <f t="array" ref="BB254">_xlfn.LET(_xlpm.DepreciationMonths,INDEX(FixedAssets[Depreciation
/ Amortization Months],_xlfn.XMATCH($E$237,FixedAssets[Asset ID])),IF(AND((_xlfn.XMATCH(BB$8,$AH$8:$CC$8))-_xlfn.XMATCH($C254,$C$35:$C$82)+1&lt;=_xlpm.DepreciationMonths,$C254&lt;=BB$8),$E254/_xlpm.DepreciationMonths,0))</f>
        <v>0</v>
      </c>
      <c r="BC254" s="507" cm="1">
        <f t="array" ref="BC254">_xlfn.LET(_xlpm.DepreciationMonths,INDEX(FixedAssets[Depreciation
/ Amortization Months],_xlfn.XMATCH($E$237,FixedAssets[Asset ID])),IF(AND((_xlfn.XMATCH(BC$8,$AH$8:$CC$8))-_xlfn.XMATCH($C254,$C$35:$C$82)+1&lt;=_xlpm.DepreciationMonths,$C254&lt;=BC$8),$E254/_xlpm.DepreciationMonths,0))</f>
        <v>0</v>
      </c>
      <c r="BD254" s="507" cm="1">
        <f t="array" ref="BD254">_xlfn.LET(_xlpm.DepreciationMonths,INDEX(FixedAssets[Depreciation
/ Amortization Months],_xlfn.XMATCH($E$237,FixedAssets[Asset ID])),IF(AND((_xlfn.XMATCH(BD$8,$AH$8:$CC$8))-_xlfn.XMATCH($C254,$C$35:$C$82)+1&lt;=_xlpm.DepreciationMonths,$C254&lt;=BD$8),$E254/_xlpm.DepreciationMonths,0))</f>
        <v>0</v>
      </c>
      <c r="BE254" s="507" cm="1">
        <f t="array" ref="BE254">_xlfn.LET(_xlpm.DepreciationMonths,INDEX(FixedAssets[Depreciation
/ Amortization Months],_xlfn.XMATCH($E$237,FixedAssets[Asset ID])),IF(AND((_xlfn.XMATCH(BE$8,$AH$8:$CC$8))-_xlfn.XMATCH($C254,$C$35:$C$82)+1&lt;=_xlpm.DepreciationMonths,$C254&lt;=BE$8),$E254/_xlpm.DepreciationMonths,0))</f>
        <v>0</v>
      </c>
      <c r="BF254" s="507" cm="1">
        <f t="array" ref="BF254">_xlfn.LET(_xlpm.DepreciationMonths,INDEX(FixedAssets[Depreciation
/ Amortization Months],_xlfn.XMATCH($E$237,FixedAssets[Asset ID])),IF(AND((_xlfn.XMATCH(BF$8,$AH$8:$CC$8))-_xlfn.XMATCH($C254,$C$35:$C$82)+1&lt;=_xlpm.DepreciationMonths,$C254&lt;=BF$8),$E254/_xlpm.DepreciationMonths,0))</f>
        <v>0</v>
      </c>
      <c r="BG254" s="507" cm="1">
        <f t="array" ref="BG254">_xlfn.LET(_xlpm.DepreciationMonths,INDEX(FixedAssets[Depreciation
/ Amortization Months],_xlfn.XMATCH($E$237,FixedAssets[Asset ID])),IF(AND((_xlfn.XMATCH(BG$8,$AH$8:$CC$8))-_xlfn.XMATCH($C254,$C$35:$C$82)+1&lt;=_xlpm.DepreciationMonths,$C254&lt;=BG$8),$E254/_xlpm.DepreciationMonths,0))</f>
        <v>0</v>
      </c>
      <c r="BH254" s="507" cm="1">
        <f t="array" ref="BH254">_xlfn.LET(_xlpm.DepreciationMonths,INDEX(FixedAssets[Depreciation
/ Amortization Months],_xlfn.XMATCH($E$237,FixedAssets[Asset ID])),IF(AND((_xlfn.XMATCH(BH$8,$AH$8:$CC$8))-_xlfn.XMATCH($C254,$C$35:$C$82)+1&lt;=_xlpm.DepreciationMonths,$C254&lt;=BH$8),$E254/_xlpm.DepreciationMonths,0))</f>
        <v>0</v>
      </c>
      <c r="BI254" s="507" cm="1">
        <f t="array" ref="BI254">_xlfn.LET(_xlpm.DepreciationMonths,INDEX(FixedAssets[Depreciation
/ Amortization Months],_xlfn.XMATCH($E$237,FixedAssets[Asset ID])),IF(AND((_xlfn.XMATCH(BI$8,$AH$8:$CC$8))-_xlfn.XMATCH($C254,$C$35:$C$82)+1&lt;=_xlpm.DepreciationMonths,$C254&lt;=BI$8),$E254/_xlpm.DepreciationMonths,0))</f>
        <v>0</v>
      </c>
      <c r="BJ254" s="507" cm="1">
        <f t="array" ref="BJ254">_xlfn.LET(_xlpm.DepreciationMonths,INDEX(FixedAssets[Depreciation
/ Amortization Months],_xlfn.XMATCH($E$237,FixedAssets[Asset ID])),IF(AND((_xlfn.XMATCH(BJ$8,$AH$8:$CC$8))-_xlfn.XMATCH($C254,$C$35:$C$82)+1&lt;=_xlpm.DepreciationMonths,$C254&lt;=BJ$8),$E254/_xlpm.DepreciationMonths,0))</f>
        <v>0</v>
      </c>
      <c r="BK254" s="507" cm="1">
        <f t="array" ref="BK254">_xlfn.LET(_xlpm.DepreciationMonths,INDEX(FixedAssets[Depreciation
/ Amortization Months],_xlfn.XMATCH($E$237,FixedAssets[Asset ID])),IF(AND((_xlfn.XMATCH(BK$8,$AH$8:$CC$8))-_xlfn.XMATCH($C254,$C$35:$C$82)+1&lt;=_xlpm.DepreciationMonths,$C254&lt;=BK$8),$E254/_xlpm.DepreciationMonths,0))</f>
        <v>0</v>
      </c>
      <c r="BL254" s="507" cm="1">
        <f t="array" ref="BL254">_xlfn.LET(_xlpm.DepreciationMonths,INDEX(FixedAssets[Depreciation
/ Amortization Months],_xlfn.XMATCH($E$237,FixedAssets[Asset ID])),IF(AND((_xlfn.XMATCH(BL$8,$AH$8:$CC$8))-_xlfn.XMATCH($C254,$C$35:$C$82)+1&lt;=_xlpm.DepreciationMonths,$C254&lt;=BL$8),$E254/_xlpm.DepreciationMonths,0))</f>
        <v>0</v>
      </c>
      <c r="BM254" s="507" cm="1">
        <f t="array" ref="BM254">_xlfn.LET(_xlpm.DepreciationMonths,INDEX(FixedAssets[Depreciation
/ Amortization Months],_xlfn.XMATCH($E$237,FixedAssets[Asset ID])),IF(AND((_xlfn.XMATCH(BM$8,$AH$8:$CC$8))-_xlfn.XMATCH($C254,$C$35:$C$82)+1&lt;=_xlpm.DepreciationMonths,$C254&lt;=BM$8),$E254/_xlpm.DepreciationMonths,0))</f>
        <v>0</v>
      </c>
      <c r="BN254" s="507" cm="1">
        <f t="array" ref="BN254">_xlfn.LET(_xlpm.DepreciationMonths,INDEX(FixedAssets[Depreciation
/ Amortization Months],_xlfn.XMATCH($E$237,FixedAssets[Asset ID])),IF(AND((_xlfn.XMATCH(BN$8,$AH$8:$CC$8))-_xlfn.XMATCH($C254,$C$35:$C$82)+1&lt;=_xlpm.DepreciationMonths,$C254&lt;=BN$8),$E254/_xlpm.DepreciationMonths,0))</f>
        <v>0</v>
      </c>
      <c r="BO254" s="507" cm="1">
        <f t="array" ref="BO254">_xlfn.LET(_xlpm.DepreciationMonths,INDEX(FixedAssets[Depreciation
/ Amortization Months],_xlfn.XMATCH($E$237,FixedAssets[Asset ID])),IF(AND((_xlfn.XMATCH(BO$8,$AH$8:$CC$8))-_xlfn.XMATCH($C254,$C$35:$C$82)+1&lt;=_xlpm.DepreciationMonths,$C254&lt;=BO$8),$E254/_xlpm.DepreciationMonths,0))</f>
        <v>0</v>
      </c>
      <c r="BP254" s="507" cm="1">
        <f t="array" ref="BP254">_xlfn.LET(_xlpm.DepreciationMonths,INDEX(FixedAssets[Depreciation
/ Amortization Months],_xlfn.XMATCH($E$237,FixedAssets[Asset ID])),IF(AND((_xlfn.XMATCH(BP$8,$AH$8:$CC$8))-_xlfn.XMATCH($C254,$C$35:$C$82)+1&lt;=_xlpm.DepreciationMonths,$C254&lt;=BP$8),$E254/_xlpm.DepreciationMonths,0))</f>
        <v>0</v>
      </c>
      <c r="BQ254" s="507" cm="1">
        <f t="array" ref="BQ254">_xlfn.LET(_xlpm.DepreciationMonths,INDEX(FixedAssets[Depreciation
/ Amortization Months],_xlfn.XMATCH($E$237,FixedAssets[Asset ID])),IF(AND((_xlfn.XMATCH(BQ$8,$AH$8:$CC$8))-_xlfn.XMATCH($C254,$C$35:$C$82)+1&lt;=_xlpm.DepreciationMonths,$C254&lt;=BQ$8),$E254/_xlpm.DepreciationMonths,0))</f>
        <v>0</v>
      </c>
      <c r="BR254" s="507" cm="1">
        <f t="array" ref="BR254">_xlfn.LET(_xlpm.DepreciationMonths,INDEX(FixedAssets[Depreciation
/ Amortization Months],_xlfn.XMATCH($E$237,FixedAssets[Asset ID])),IF(AND((_xlfn.XMATCH(BR$8,$AH$8:$CC$8))-_xlfn.XMATCH($C254,$C$35:$C$82)+1&lt;=_xlpm.DepreciationMonths,$C254&lt;=BR$8),$E254/_xlpm.DepreciationMonths,0))</f>
        <v>0</v>
      </c>
      <c r="BS254" s="507" cm="1">
        <f t="array" ref="BS254">_xlfn.LET(_xlpm.DepreciationMonths,INDEX(FixedAssets[Depreciation
/ Amortization Months],_xlfn.XMATCH($E$237,FixedAssets[Asset ID])),IF(AND((_xlfn.XMATCH(BS$8,$AH$8:$CC$8))-_xlfn.XMATCH($C254,$C$35:$C$82)+1&lt;=_xlpm.DepreciationMonths,$C254&lt;=BS$8),$E254/_xlpm.DepreciationMonths,0))</f>
        <v>0</v>
      </c>
      <c r="BT254" s="507" cm="1">
        <f t="array" ref="BT254">_xlfn.LET(_xlpm.DepreciationMonths,INDEX(FixedAssets[Depreciation
/ Amortization Months],_xlfn.XMATCH($E$237,FixedAssets[Asset ID])),IF(AND((_xlfn.XMATCH(BT$8,$AH$8:$CC$8))-_xlfn.XMATCH($C254,$C$35:$C$82)+1&lt;=_xlpm.DepreciationMonths,$C254&lt;=BT$8),$E254/_xlpm.DepreciationMonths,0))</f>
        <v>0</v>
      </c>
      <c r="BU254" s="507" cm="1">
        <f t="array" ref="BU254">_xlfn.LET(_xlpm.DepreciationMonths,INDEX(FixedAssets[Depreciation
/ Amortization Months],_xlfn.XMATCH($E$237,FixedAssets[Asset ID])),IF(AND((_xlfn.XMATCH(BU$8,$AH$8:$CC$8))-_xlfn.XMATCH($C254,$C$35:$C$82)+1&lt;=_xlpm.DepreciationMonths,$C254&lt;=BU$8),$E254/_xlpm.DepreciationMonths,0))</f>
        <v>0</v>
      </c>
      <c r="BV254" s="507" cm="1">
        <f t="array" ref="BV254">_xlfn.LET(_xlpm.DepreciationMonths,INDEX(FixedAssets[Depreciation
/ Amortization Months],_xlfn.XMATCH($E$237,FixedAssets[Asset ID])),IF(AND((_xlfn.XMATCH(BV$8,$AH$8:$CC$8))-_xlfn.XMATCH($C254,$C$35:$C$82)+1&lt;=_xlpm.DepreciationMonths,$C254&lt;=BV$8),$E254/_xlpm.DepreciationMonths,0))</f>
        <v>0</v>
      </c>
      <c r="BW254" s="507" cm="1">
        <f t="array" ref="BW254">_xlfn.LET(_xlpm.DepreciationMonths,INDEX(FixedAssets[Depreciation
/ Amortization Months],_xlfn.XMATCH($E$237,FixedAssets[Asset ID])),IF(AND((_xlfn.XMATCH(BW$8,$AH$8:$CC$8))-_xlfn.XMATCH($C254,$C$35:$C$82)+1&lt;=_xlpm.DepreciationMonths,$C254&lt;=BW$8),$E254/_xlpm.DepreciationMonths,0))</f>
        <v>0</v>
      </c>
      <c r="BX254" s="507" cm="1">
        <f t="array" ref="BX254">_xlfn.LET(_xlpm.DepreciationMonths,INDEX(FixedAssets[Depreciation
/ Amortization Months],_xlfn.XMATCH($E$237,FixedAssets[Asset ID])),IF(AND((_xlfn.XMATCH(BX$8,$AH$8:$CC$8))-_xlfn.XMATCH($C254,$C$35:$C$82)+1&lt;=_xlpm.DepreciationMonths,$C254&lt;=BX$8),$E254/_xlpm.DepreciationMonths,0))</f>
        <v>0</v>
      </c>
      <c r="BY254" s="507" cm="1">
        <f t="array" ref="BY254">_xlfn.LET(_xlpm.DepreciationMonths,INDEX(FixedAssets[Depreciation
/ Amortization Months],_xlfn.XMATCH($E$237,FixedAssets[Asset ID])),IF(AND((_xlfn.XMATCH(BY$8,$AH$8:$CC$8))-_xlfn.XMATCH($C254,$C$35:$C$82)+1&lt;=_xlpm.DepreciationMonths,$C254&lt;=BY$8),$E254/_xlpm.DepreciationMonths,0))</f>
        <v>0</v>
      </c>
      <c r="BZ254" s="507" cm="1">
        <f t="array" ref="BZ254">_xlfn.LET(_xlpm.DepreciationMonths,INDEX(FixedAssets[Depreciation
/ Amortization Months],_xlfn.XMATCH($E$237,FixedAssets[Asset ID])),IF(AND((_xlfn.XMATCH(BZ$8,$AH$8:$CC$8))-_xlfn.XMATCH($C254,$C$35:$C$82)+1&lt;=_xlpm.DepreciationMonths,$C254&lt;=BZ$8),$E254/_xlpm.DepreciationMonths,0))</f>
        <v>0</v>
      </c>
      <c r="CA254" s="507" cm="1">
        <f t="array" ref="CA254">_xlfn.LET(_xlpm.DepreciationMonths,INDEX(FixedAssets[Depreciation
/ Amortization Months],_xlfn.XMATCH($E$237,FixedAssets[Asset ID])),IF(AND((_xlfn.XMATCH(CA$8,$AH$8:$CC$8))-_xlfn.XMATCH($C254,$C$35:$C$82)+1&lt;=_xlpm.DepreciationMonths,$C254&lt;=CA$8),$E254/_xlpm.DepreciationMonths,0))</f>
        <v>0</v>
      </c>
      <c r="CB254" s="507" cm="1">
        <f t="array" ref="CB254">_xlfn.LET(_xlpm.DepreciationMonths,INDEX(FixedAssets[Depreciation
/ Amortization Months],_xlfn.XMATCH($E$237,FixedAssets[Asset ID])),IF(AND((_xlfn.XMATCH(CB$8,$AH$8:$CC$8))-_xlfn.XMATCH($C254,$C$35:$C$82)+1&lt;=_xlpm.DepreciationMonths,$C254&lt;=CB$8),$E254/_xlpm.DepreciationMonths,0))</f>
        <v>0</v>
      </c>
      <c r="CC254" s="507" cm="1">
        <f t="array" ref="CC254">_xlfn.LET(_xlpm.DepreciationMonths,INDEX(FixedAssets[Depreciation
/ Amortization Months],_xlfn.XMATCH($E$237,FixedAssets[Asset ID])),IF(AND((_xlfn.XMATCH(CC$8,$AH$8:$CC$8))-_xlfn.XMATCH($C254,$C$35:$C$82)+1&lt;=_xlpm.DepreciationMonths,$C254&lt;=CC$8),$E254/_xlpm.DepreciationMonths,0))</f>
        <v>0</v>
      </c>
    </row>
    <row r="255" spans="3:81" hidden="1" outlineLevel="2">
      <c r="C255" s="664">
        <f t="shared" si="267"/>
        <v>45443</v>
      </c>
      <c r="D255" s="508"/>
      <c r="E255" s="508" cm="1">
        <f t="array" ref="E255">SUMPRODUCT(($AH$26:$CC$31)*($AH$5:$CC$5=$C255)*($E$26:$E$31=E$237))-SUMPRODUCT(($AH$26:$CC$31)*($AH$5:$CC$5=EOMONTH($C255,-1))*($E$26:$E$31=E$237))</f>
        <v>0</v>
      </c>
      <c r="F255" s="508"/>
      <c r="G255" s="508"/>
      <c r="H255" s="508"/>
      <c r="I255" s="508"/>
      <c r="J255" s="504">
        <f t="shared" si="265"/>
        <v>0</v>
      </c>
      <c r="K255" s="504">
        <f t="shared" si="265"/>
        <v>0</v>
      </c>
      <c r="L255" s="504">
        <f t="shared" si="265"/>
        <v>0</v>
      </c>
      <c r="M255" s="504">
        <f t="shared" si="265"/>
        <v>0</v>
      </c>
      <c r="N255" s="504"/>
      <c r="O255" s="504"/>
      <c r="P255" s="504">
        <f t="shared" ref="P255:AE270" si="269">SUMIFS($AH255:$CC255,$AH$4:$CC$4,"&gt;="&amp;P$4,$AH$5:$CC$5,"&lt;="&amp;P$5)</f>
        <v>0</v>
      </c>
      <c r="Q255" s="504">
        <f t="shared" si="269"/>
        <v>0</v>
      </c>
      <c r="R255" s="504">
        <f t="shared" si="269"/>
        <v>0</v>
      </c>
      <c r="S255" s="504">
        <f t="shared" si="269"/>
        <v>0</v>
      </c>
      <c r="T255" s="504">
        <f t="shared" si="269"/>
        <v>0</v>
      </c>
      <c r="U255" s="504">
        <f t="shared" si="269"/>
        <v>0</v>
      </c>
      <c r="V255" s="504">
        <f t="shared" si="269"/>
        <v>0</v>
      </c>
      <c r="W255" s="504">
        <f t="shared" si="269"/>
        <v>0</v>
      </c>
      <c r="X255" s="504">
        <f t="shared" si="269"/>
        <v>0</v>
      </c>
      <c r="Y255" s="504">
        <f t="shared" si="269"/>
        <v>0</v>
      </c>
      <c r="Z255" s="504">
        <f t="shared" si="269"/>
        <v>0</v>
      </c>
      <c r="AA255" s="504">
        <f t="shared" si="269"/>
        <v>0</v>
      </c>
      <c r="AB255" s="504">
        <f t="shared" si="269"/>
        <v>0</v>
      </c>
      <c r="AC255" s="504">
        <f t="shared" si="269"/>
        <v>0</v>
      </c>
      <c r="AD255" s="504">
        <f t="shared" si="269"/>
        <v>0</v>
      </c>
      <c r="AE255" s="504">
        <f t="shared" si="269"/>
        <v>0</v>
      </c>
      <c r="AF255" s="508"/>
      <c r="AG255" s="508"/>
      <c r="AH255" s="507" cm="1">
        <f t="array" ref="AH255">_xlfn.LET(_xlpm.DepreciationMonths,INDEX(FixedAssets[Depreciation
/ Amortization Months],_xlfn.XMATCH($E$237,FixedAssets[Asset ID])),IF(AND((_xlfn.XMATCH(AH$8,$AH$8:$CC$8))-_xlfn.XMATCH($C255,$C$35:$C$82)+1&lt;=_xlpm.DepreciationMonths,$C255&lt;=AH$8),$E255/_xlpm.DepreciationMonths,0))</f>
        <v>0</v>
      </c>
      <c r="AI255" s="507" cm="1">
        <f t="array" ref="AI255">_xlfn.LET(_xlpm.DepreciationMonths,INDEX(FixedAssets[Depreciation
/ Amortization Months],_xlfn.XMATCH($E$237,FixedAssets[Asset ID])),IF(AND((_xlfn.XMATCH(AI$8,$AH$8:$CC$8))-_xlfn.XMATCH($C255,$C$35:$C$82)+1&lt;=_xlpm.DepreciationMonths,$C255&lt;=AI$8),$E255/_xlpm.DepreciationMonths,0))</f>
        <v>0</v>
      </c>
      <c r="AJ255" s="507" cm="1">
        <f t="array" ref="AJ255">_xlfn.LET(_xlpm.DepreciationMonths,INDEX(FixedAssets[Depreciation
/ Amortization Months],_xlfn.XMATCH($E$237,FixedAssets[Asset ID])),IF(AND((_xlfn.XMATCH(AJ$8,$AH$8:$CC$8))-_xlfn.XMATCH($C255,$C$35:$C$82)+1&lt;=_xlpm.DepreciationMonths,$C255&lt;=AJ$8),$E255/_xlpm.DepreciationMonths,0))</f>
        <v>0</v>
      </c>
      <c r="AK255" s="507" cm="1">
        <f t="array" ref="AK255">_xlfn.LET(_xlpm.DepreciationMonths,INDEX(FixedAssets[Depreciation
/ Amortization Months],_xlfn.XMATCH($E$237,FixedAssets[Asset ID])),IF(AND((_xlfn.XMATCH(AK$8,$AH$8:$CC$8))-_xlfn.XMATCH($C255,$C$35:$C$82)+1&lt;=_xlpm.DepreciationMonths,$C255&lt;=AK$8),$E255/_xlpm.DepreciationMonths,0))</f>
        <v>0</v>
      </c>
      <c r="AL255" s="507" cm="1">
        <f t="array" ref="AL255">_xlfn.LET(_xlpm.DepreciationMonths,INDEX(FixedAssets[Depreciation
/ Amortization Months],_xlfn.XMATCH($E$237,FixedAssets[Asset ID])),IF(AND((_xlfn.XMATCH(AL$8,$AH$8:$CC$8))-_xlfn.XMATCH($C255,$C$35:$C$82)+1&lt;=_xlpm.DepreciationMonths,$C255&lt;=AL$8),$E255/_xlpm.DepreciationMonths,0))</f>
        <v>0</v>
      </c>
      <c r="AM255" s="507" cm="1">
        <f t="array" ref="AM255">_xlfn.LET(_xlpm.DepreciationMonths,INDEX(FixedAssets[Depreciation
/ Amortization Months],_xlfn.XMATCH($E$237,FixedAssets[Asset ID])),IF(AND((_xlfn.XMATCH(AM$8,$AH$8:$CC$8))-_xlfn.XMATCH($C255,$C$35:$C$82)+1&lt;=_xlpm.DepreciationMonths,$C255&lt;=AM$8),$E255/_xlpm.DepreciationMonths,0))</f>
        <v>0</v>
      </c>
      <c r="AN255" s="507" cm="1">
        <f t="array" ref="AN255">_xlfn.LET(_xlpm.DepreciationMonths,INDEX(FixedAssets[Depreciation
/ Amortization Months],_xlfn.XMATCH($E$237,FixedAssets[Asset ID])),IF(AND((_xlfn.XMATCH(AN$8,$AH$8:$CC$8))-_xlfn.XMATCH($C255,$C$35:$C$82)+1&lt;=_xlpm.DepreciationMonths,$C255&lt;=AN$8),$E255/_xlpm.DepreciationMonths,0))</f>
        <v>0</v>
      </c>
      <c r="AO255" s="507" cm="1">
        <f t="array" ref="AO255">_xlfn.LET(_xlpm.DepreciationMonths,INDEX(FixedAssets[Depreciation
/ Amortization Months],_xlfn.XMATCH($E$237,FixedAssets[Asset ID])),IF(AND((_xlfn.XMATCH(AO$8,$AH$8:$CC$8))-_xlfn.XMATCH($C255,$C$35:$C$82)+1&lt;=_xlpm.DepreciationMonths,$C255&lt;=AO$8),$E255/_xlpm.DepreciationMonths,0))</f>
        <v>0</v>
      </c>
      <c r="AP255" s="507" cm="1">
        <f t="array" ref="AP255">_xlfn.LET(_xlpm.DepreciationMonths,INDEX(FixedAssets[Depreciation
/ Amortization Months],_xlfn.XMATCH($E$237,FixedAssets[Asset ID])),IF(AND((_xlfn.XMATCH(AP$8,$AH$8:$CC$8))-_xlfn.XMATCH($C255,$C$35:$C$82)+1&lt;=_xlpm.DepreciationMonths,$C255&lt;=AP$8),$E255/_xlpm.DepreciationMonths,0))</f>
        <v>0</v>
      </c>
      <c r="AQ255" s="507" cm="1">
        <f t="array" ref="AQ255">_xlfn.LET(_xlpm.DepreciationMonths,INDEX(FixedAssets[Depreciation
/ Amortization Months],_xlfn.XMATCH($E$237,FixedAssets[Asset ID])),IF(AND((_xlfn.XMATCH(AQ$8,$AH$8:$CC$8))-_xlfn.XMATCH($C255,$C$35:$C$82)+1&lt;=_xlpm.DepreciationMonths,$C255&lt;=AQ$8),$E255/_xlpm.DepreciationMonths,0))</f>
        <v>0</v>
      </c>
      <c r="AR255" s="507" cm="1">
        <f t="array" ref="AR255">_xlfn.LET(_xlpm.DepreciationMonths,INDEX(FixedAssets[Depreciation
/ Amortization Months],_xlfn.XMATCH($E$237,FixedAssets[Asset ID])),IF(AND((_xlfn.XMATCH(AR$8,$AH$8:$CC$8))-_xlfn.XMATCH($C255,$C$35:$C$82)+1&lt;=_xlpm.DepreciationMonths,$C255&lt;=AR$8),$E255/_xlpm.DepreciationMonths,0))</f>
        <v>0</v>
      </c>
      <c r="AS255" s="507" cm="1">
        <f t="array" ref="AS255">_xlfn.LET(_xlpm.DepreciationMonths,INDEX(FixedAssets[Depreciation
/ Amortization Months],_xlfn.XMATCH($E$237,FixedAssets[Asset ID])),IF(AND((_xlfn.XMATCH(AS$8,$AH$8:$CC$8))-_xlfn.XMATCH($C255,$C$35:$C$82)+1&lt;=_xlpm.DepreciationMonths,$C255&lt;=AS$8),$E255/_xlpm.DepreciationMonths,0))</f>
        <v>0</v>
      </c>
      <c r="AT255" s="507" cm="1">
        <f t="array" ref="AT255">_xlfn.LET(_xlpm.DepreciationMonths,INDEX(FixedAssets[Depreciation
/ Amortization Months],_xlfn.XMATCH($E$237,FixedAssets[Asset ID])),IF(AND((_xlfn.XMATCH(AT$8,$AH$8:$CC$8))-_xlfn.XMATCH($C255,$C$35:$C$82)+1&lt;=_xlpm.DepreciationMonths,$C255&lt;=AT$8),$E255/_xlpm.DepreciationMonths,0))</f>
        <v>0</v>
      </c>
      <c r="AU255" s="507" cm="1">
        <f t="array" ref="AU255">_xlfn.LET(_xlpm.DepreciationMonths,INDEX(FixedAssets[Depreciation
/ Amortization Months],_xlfn.XMATCH($E$237,FixedAssets[Asset ID])),IF(AND((_xlfn.XMATCH(AU$8,$AH$8:$CC$8))-_xlfn.XMATCH($C255,$C$35:$C$82)+1&lt;=_xlpm.DepreciationMonths,$C255&lt;=AU$8),$E255/_xlpm.DepreciationMonths,0))</f>
        <v>0</v>
      </c>
      <c r="AV255" s="507" cm="1">
        <f t="array" ref="AV255">_xlfn.LET(_xlpm.DepreciationMonths,INDEX(FixedAssets[Depreciation
/ Amortization Months],_xlfn.XMATCH($E$237,FixedAssets[Asset ID])),IF(AND((_xlfn.XMATCH(AV$8,$AH$8:$CC$8))-_xlfn.XMATCH($C255,$C$35:$C$82)+1&lt;=_xlpm.DepreciationMonths,$C255&lt;=AV$8),$E255/_xlpm.DepreciationMonths,0))</f>
        <v>0</v>
      </c>
      <c r="AW255" s="507" cm="1">
        <f t="array" ref="AW255">_xlfn.LET(_xlpm.DepreciationMonths,INDEX(FixedAssets[Depreciation
/ Amortization Months],_xlfn.XMATCH($E$237,FixedAssets[Asset ID])),IF(AND((_xlfn.XMATCH(AW$8,$AH$8:$CC$8))-_xlfn.XMATCH($C255,$C$35:$C$82)+1&lt;=_xlpm.DepreciationMonths,$C255&lt;=AW$8),$E255/_xlpm.DepreciationMonths,0))</f>
        <v>0</v>
      </c>
      <c r="AX255" s="507" cm="1">
        <f t="array" ref="AX255">_xlfn.LET(_xlpm.DepreciationMonths,INDEX(FixedAssets[Depreciation
/ Amortization Months],_xlfn.XMATCH($E$237,FixedAssets[Asset ID])),IF(AND((_xlfn.XMATCH(AX$8,$AH$8:$CC$8))-_xlfn.XMATCH($C255,$C$35:$C$82)+1&lt;=_xlpm.DepreciationMonths,$C255&lt;=AX$8),$E255/_xlpm.DepreciationMonths,0))</f>
        <v>0</v>
      </c>
      <c r="AY255" s="507" cm="1">
        <f t="array" ref="AY255">_xlfn.LET(_xlpm.DepreciationMonths,INDEX(FixedAssets[Depreciation
/ Amortization Months],_xlfn.XMATCH($E$237,FixedAssets[Asset ID])),IF(AND((_xlfn.XMATCH(AY$8,$AH$8:$CC$8))-_xlfn.XMATCH($C255,$C$35:$C$82)+1&lt;=_xlpm.DepreciationMonths,$C255&lt;=AY$8),$E255/_xlpm.DepreciationMonths,0))</f>
        <v>0</v>
      </c>
      <c r="AZ255" s="507" cm="1">
        <f t="array" ref="AZ255">_xlfn.LET(_xlpm.DepreciationMonths,INDEX(FixedAssets[Depreciation
/ Amortization Months],_xlfn.XMATCH($E$237,FixedAssets[Asset ID])),IF(AND((_xlfn.XMATCH(AZ$8,$AH$8:$CC$8))-_xlfn.XMATCH($C255,$C$35:$C$82)+1&lt;=_xlpm.DepreciationMonths,$C255&lt;=AZ$8),$E255/_xlpm.DepreciationMonths,0))</f>
        <v>0</v>
      </c>
      <c r="BA255" s="507" cm="1">
        <f t="array" ref="BA255">_xlfn.LET(_xlpm.DepreciationMonths,INDEX(FixedAssets[Depreciation
/ Amortization Months],_xlfn.XMATCH($E$237,FixedAssets[Asset ID])),IF(AND((_xlfn.XMATCH(BA$8,$AH$8:$CC$8))-_xlfn.XMATCH($C255,$C$35:$C$82)+1&lt;=_xlpm.DepreciationMonths,$C255&lt;=BA$8),$E255/_xlpm.DepreciationMonths,0))</f>
        <v>0</v>
      </c>
      <c r="BB255" s="507" cm="1">
        <f t="array" ref="BB255">_xlfn.LET(_xlpm.DepreciationMonths,INDEX(FixedAssets[Depreciation
/ Amortization Months],_xlfn.XMATCH($E$237,FixedAssets[Asset ID])),IF(AND((_xlfn.XMATCH(BB$8,$AH$8:$CC$8))-_xlfn.XMATCH($C255,$C$35:$C$82)+1&lt;=_xlpm.DepreciationMonths,$C255&lt;=BB$8),$E255/_xlpm.DepreciationMonths,0))</f>
        <v>0</v>
      </c>
      <c r="BC255" s="507" cm="1">
        <f t="array" ref="BC255">_xlfn.LET(_xlpm.DepreciationMonths,INDEX(FixedAssets[Depreciation
/ Amortization Months],_xlfn.XMATCH($E$237,FixedAssets[Asset ID])),IF(AND((_xlfn.XMATCH(BC$8,$AH$8:$CC$8))-_xlfn.XMATCH($C255,$C$35:$C$82)+1&lt;=_xlpm.DepreciationMonths,$C255&lt;=BC$8),$E255/_xlpm.DepreciationMonths,0))</f>
        <v>0</v>
      </c>
      <c r="BD255" s="507" cm="1">
        <f t="array" ref="BD255">_xlfn.LET(_xlpm.DepreciationMonths,INDEX(FixedAssets[Depreciation
/ Amortization Months],_xlfn.XMATCH($E$237,FixedAssets[Asset ID])),IF(AND((_xlfn.XMATCH(BD$8,$AH$8:$CC$8))-_xlfn.XMATCH($C255,$C$35:$C$82)+1&lt;=_xlpm.DepreciationMonths,$C255&lt;=BD$8),$E255/_xlpm.DepreciationMonths,0))</f>
        <v>0</v>
      </c>
      <c r="BE255" s="507" cm="1">
        <f t="array" ref="BE255">_xlfn.LET(_xlpm.DepreciationMonths,INDEX(FixedAssets[Depreciation
/ Amortization Months],_xlfn.XMATCH($E$237,FixedAssets[Asset ID])),IF(AND((_xlfn.XMATCH(BE$8,$AH$8:$CC$8))-_xlfn.XMATCH($C255,$C$35:$C$82)+1&lt;=_xlpm.DepreciationMonths,$C255&lt;=BE$8),$E255/_xlpm.DepreciationMonths,0))</f>
        <v>0</v>
      </c>
      <c r="BF255" s="507" cm="1">
        <f t="array" ref="BF255">_xlfn.LET(_xlpm.DepreciationMonths,INDEX(FixedAssets[Depreciation
/ Amortization Months],_xlfn.XMATCH($E$237,FixedAssets[Asset ID])),IF(AND((_xlfn.XMATCH(BF$8,$AH$8:$CC$8))-_xlfn.XMATCH($C255,$C$35:$C$82)+1&lt;=_xlpm.DepreciationMonths,$C255&lt;=BF$8),$E255/_xlpm.DepreciationMonths,0))</f>
        <v>0</v>
      </c>
      <c r="BG255" s="507" cm="1">
        <f t="array" ref="BG255">_xlfn.LET(_xlpm.DepreciationMonths,INDEX(FixedAssets[Depreciation
/ Amortization Months],_xlfn.XMATCH($E$237,FixedAssets[Asset ID])),IF(AND((_xlfn.XMATCH(BG$8,$AH$8:$CC$8))-_xlfn.XMATCH($C255,$C$35:$C$82)+1&lt;=_xlpm.DepreciationMonths,$C255&lt;=BG$8),$E255/_xlpm.DepreciationMonths,0))</f>
        <v>0</v>
      </c>
      <c r="BH255" s="507" cm="1">
        <f t="array" ref="BH255">_xlfn.LET(_xlpm.DepreciationMonths,INDEX(FixedAssets[Depreciation
/ Amortization Months],_xlfn.XMATCH($E$237,FixedAssets[Asset ID])),IF(AND((_xlfn.XMATCH(BH$8,$AH$8:$CC$8))-_xlfn.XMATCH($C255,$C$35:$C$82)+1&lt;=_xlpm.DepreciationMonths,$C255&lt;=BH$8),$E255/_xlpm.DepreciationMonths,0))</f>
        <v>0</v>
      </c>
      <c r="BI255" s="507" cm="1">
        <f t="array" ref="BI255">_xlfn.LET(_xlpm.DepreciationMonths,INDEX(FixedAssets[Depreciation
/ Amortization Months],_xlfn.XMATCH($E$237,FixedAssets[Asset ID])),IF(AND((_xlfn.XMATCH(BI$8,$AH$8:$CC$8))-_xlfn.XMATCH($C255,$C$35:$C$82)+1&lt;=_xlpm.DepreciationMonths,$C255&lt;=BI$8),$E255/_xlpm.DepreciationMonths,0))</f>
        <v>0</v>
      </c>
      <c r="BJ255" s="507" cm="1">
        <f t="array" ref="BJ255">_xlfn.LET(_xlpm.DepreciationMonths,INDEX(FixedAssets[Depreciation
/ Amortization Months],_xlfn.XMATCH($E$237,FixedAssets[Asset ID])),IF(AND((_xlfn.XMATCH(BJ$8,$AH$8:$CC$8))-_xlfn.XMATCH($C255,$C$35:$C$82)+1&lt;=_xlpm.DepreciationMonths,$C255&lt;=BJ$8),$E255/_xlpm.DepreciationMonths,0))</f>
        <v>0</v>
      </c>
      <c r="BK255" s="507" cm="1">
        <f t="array" ref="BK255">_xlfn.LET(_xlpm.DepreciationMonths,INDEX(FixedAssets[Depreciation
/ Amortization Months],_xlfn.XMATCH($E$237,FixedAssets[Asset ID])),IF(AND((_xlfn.XMATCH(BK$8,$AH$8:$CC$8))-_xlfn.XMATCH($C255,$C$35:$C$82)+1&lt;=_xlpm.DepreciationMonths,$C255&lt;=BK$8),$E255/_xlpm.DepreciationMonths,0))</f>
        <v>0</v>
      </c>
      <c r="BL255" s="507" cm="1">
        <f t="array" ref="BL255">_xlfn.LET(_xlpm.DepreciationMonths,INDEX(FixedAssets[Depreciation
/ Amortization Months],_xlfn.XMATCH($E$237,FixedAssets[Asset ID])),IF(AND((_xlfn.XMATCH(BL$8,$AH$8:$CC$8))-_xlfn.XMATCH($C255,$C$35:$C$82)+1&lt;=_xlpm.DepreciationMonths,$C255&lt;=BL$8),$E255/_xlpm.DepreciationMonths,0))</f>
        <v>0</v>
      </c>
      <c r="BM255" s="507" cm="1">
        <f t="array" ref="BM255">_xlfn.LET(_xlpm.DepreciationMonths,INDEX(FixedAssets[Depreciation
/ Amortization Months],_xlfn.XMATCH($E$237,FixedAssets[Asset ID])),IF(AND((_xlfn.XMATCH(BM$8,$AH$8:$CC$8))-_xlfn.XMATCH($C255,$C$35:$C$82)+1&lt;=_xlpm.DepreciationMonths,$C255&lt;=BM$8),$E255/_xlpm.DepreciationMonths,0))</f>
        <v>0</v>
      </c>
      <c r="BN255" s="507" cm="1">
        <f t="array" ref="BN255">_xlfn.LET(_xlpm.DepreciationMonths,INDEX(FixedAssets[Depreciation
/ Amortization Months],_xlfn.XMATCH($E$237,FixedAssets[Asset ID])),IF(AND((_xlfn.XMATCH(BN$8,$AH$8:$CC$8))-_xlfn.XMATCH($C255,$C$35:$C$82)+1&lt;=_xlpm.DepreciationMonths,$C255&lt;=BN$8),$E255/_xlpm.DepreciationMonths,0))</f>
        <v>0</v>
      </c>
      <c r="BO255" s="507" cm="1">
        <f t="array" ref="BO255">_xlfn.LET(_xlpm.DepreciationMonths,INDEX(FixedAssets[Depreciation
/ Amortization Months],_xlfn.XMATCH($E$237,FixedAssets[Asset ID])),IF(AND((_xlfn.XMATCH(BO$8,$AH$8:$CC$8))-_xlfn.XMATCH($C255,$C$35:$C$82)+1&lt;=_xlpm.DepreciationMonths,$C255&lt;=BO$8),$E255/_xlpm.DepreciationMonths,0))</f>
        <v>0</v>
      </c>
      <c r="BP255" s="507" cm="1">
        <f t="array" ref="BP255">_xlfn.LET(_xlpm.DepreciationMonths,INDEX(FixedAssets[Depreciation
/ Amortization Months],_xlfn.XMATCH($E$237,FixedAssets[Asset ID])),IF(AND((_xlfn.XMATCH(BP$8,$AH$8:$CC$8))-_xlfn.XMATCH($C255,$C$35:$C$82)+1&lt;=_xlpm.DepreciationMonths,$C255&lt;=BP$8),$E255/_xlpm.DepreciationMonths,0))</f>
        <v>0</v>
      </c>
      <c r="BQ255" s="507" cm="1">
        <f t="array" ref="BQ255">_xlfn.LET(_xlpm.DepreciationMonths,INDEX(FixedAssets[Depreciation
/ Amortization Months],_xlfn.XMATCH($E$237,FixedAssets[Asset ID])),IF(AND((_xlfn.XMATCH(BQ$8,$AH$8:$CC$8))-_xlfn.XMATCH($C255,$C$35:$C$82)+1&lt;=_xlpm.DepreciationMonths,$C255&lt;=BQ$8),$E255/_xlpm.DepreciationMonths,0))</f>
        <v>0</v>
      </c>
      <c r="BR255" s="507" cm="1">
        <f t="array" ref="BR255">_xlfn.LET(_xlpm.DepreciationMonths,INDEX(FixedAssets[Depreciation
/ Amortization Months],_xlfn.XMATCH($E$237,FixedAssets[Asset ID])),IF(AND((_xlfn.XMATCH(BR$8,$AH$8:$CC$8))-_xlfn.XMATCH($C255,$C$35:$C$82)+1&lt;=_xlpm.DepreciationMonths,$C255&lt;=BR$8),$E255/_xlpm.DepreciationMonths,0))</f>
        <v>0</v>
      </c>
      <c r="BS255" s="507" cm="1">
        <f t="array" ref="BS255">_xlfn.LET(_xlpm.DepreciationMonths,INDEX(FixedAssets[Depreciation
/ Amortization Months],_xlfn.XMATCH($E$237,FixedAssets[Asset ID])),IF(AND((_xlfn.XMATCH(BS$8,$AH$8:$CC$8))-_xlfn.XMATCH($C255,$C$35:$C$82)+1&lt;=_xlpm.DepreciationMonths,$C255&lt;=BS$8),$E255/_xlpm.DepreciationMonths,0))</f>
        <v>0</v>
      </c>
      <c r="BT255" s="507" cm="1">
        <f t="array" ref="BT255">_xlfn.LET(_xlpm.DepreciationMonths,INDEX(FixedAssets[Depreciation
/ Amortization Months],_xlfn.XMATCH($E$237,FixedAssets[Asset ID])),IF(AND((_xlfn.XMATCH(BT$8,$AH$8:$CC$8))-_xlfn.XMATCH($C255,$C$35:$C$82)+1&lt;=_xlpm.DepreciationMonths,$C255&lt;=BT$8),$E255/_xlpm.DepreciationMonths,0))</f>
        <v>0</v>
      </c>
      <c r="BU255" s="507" cm="1">
        <f t="array" ref="BU255">_xlfn.LET(_xlpm.DepreciationMonths,INDEX(FixedAssets[Depreciation
/ Amortization Months],_xlfn.XMATCH($E$237,FixedAssets[Asset ID])),IF(AND((_xlfn.XMATCH(BU$8,$AH$8:$CC$8))-_xlfn.XMATCH($C255,$C$35:$C$82)+1&lt;=_xlpm.DepreciationMonths,$C255&lt;=BU$8),$E255/_xlpm.DepreciationMonths,0))</f>
        <v>0</v>
      </c>
      <c r="BV255" s="507" cm="1">
        <f t="array" ref="BV255">_xlfn.LET(_xlpm.DepreciationMonths,INDEX(FixedAssets[Depreciation
/ Amortization Months],_xlfn.XMATCH($E$237,FixedAssets[Asset ID])),IF(AND((_xlfn.XMATCH(BV$8,$AH$8:$CC$8))-_xlfn.XMATCH($C255,$C$35:$C$82)+1&lt;=_xlpm.DepreciationMonths,$C255&lt;=BV$8),$E255/_xlpm.DepreciationMonths,0))</f>
        <v>0</v>
      </c>
      <c r="BW255" s="507" cm="1">
        <f t="array" ref="BW255">_xlfn.LET(_xlpm.DepreciationMonths,INDEX(FixedAssets[Depreciation
/ Amortization Months],_xlfn.XMATCH($E$237,FixedAssets[Asset ID])),IF(AND((_xlfn.XMATCH(BW$8,$AH$8:$CC$8))-_xlfn.XMATCH($C255,$C$35:$C$82)+1&lt;=_xlpm.DepreciationMonths,$C255&lt;=BW$8),$E255/_xlpm.DepreciationMonths,0))</f>
        <v>0</v>
      </c>
      <c r="BX255" s="507" cm="1">
        <f t="array" ref="BX255">_xlfn.LET(_xlpm.DepreciationMonths,INDEX(FixedAssets[Depreciation
/ Amortization Months],_xlfn.XMATCH($E$237,FixedAssets[Asset ID])),IF(AND((_xlfn.XMATCH(BX$8,$AH$8:$CC$8))-_xlfn.XMATCH($C255,$C$35:$C$82)+1&lt;=_xlpm.DepreciationMonths,$C255&lt;=BX$8),$E255/_xlpm.DepreciationMonths,0))</f>
        <v>0</v>
      </c>
      <c r="BY255" s="507" cm="1">
        <f t="array" ref="BY255">_xlfn.LET(_xlpm.DepreciationMonths,INDEX(FixedAssets[Depreciation
/ Amortization Months],_xlfn.XMATCH($E$237,FixedAssets[Asset ID])),IF(AND((_xlfn.XMATCH(BY$8,$AH$8:$CC$8))-_xlfn.XMATCH($C255,$C$35:$C$82)+1&lt;=_xlpm.DepreciationMonths,$C255&lt;=BY$8),$E255/_xlpm.DepreciationMonths,0))</f>
        <v>0</v>
      </c>
      <c r="BZ255" s="507" cm="1">
        <f t="array" ref="BZ255">_xlfn.LET(_xlpm.DepreciationMonths,INDEX(FixedAssets[Depreciation
/ Amortization Months],_xlfn.XMATCH($E$237,FixedAssets[Asset ID])),IF(AND((_xlfn.XMATCH(BZ$8,$AH$8:$CC$8))-_xlfn.XMATCH($C255,$C$35:$C$82)+1&lt;=_xlpm.DepreciationMonths,$C255&lt;=BZ$8),$E255/_xlpm.DepreciationMonths,0))</f>
        <v>0</v>
      </c>
      <c r="CA255" s="507" cm="1">
        <f t="array" ref="CA255">_xlfn.LET(_xlpm.DepreciationMonths,INDEX(FixedAssets[Depreciation
/ Amortization Months],_xlfn.XMATCH($E$237,FixedAssets[Asset ID])),IF(AND((_xlfn.XMATCH(CA$8,$AH$8:$CC$8))-_xlfn.XMATCH($C255,$C$35:$C$82)+1&lt;=_xlpm.DepreciationMonths,$C255&lt;=CA$8),$E255/_xlpm.DepreciationMonths,0))</f>
        <v>0</v>
      </c>
      <c r="CB255" s="507" cm="1">
        <f t="array" ref="CB255">_xlfn.LET(_xlpm.DepreciationMonths,INDEX(FixedAssets[Depreciation
/ Amortization Months],_xlfn.XMATCH($E$237,FixedAssets[Asset ID])),IF(AND((_xlfn.XMATCH(CB$8,$AH$8:$CC$8))-_xlfn.XMATCH($C255,$C$35:$C$82)+1&lt;=_xlpm.DepreciationMonths,$C255&lt;=CB$8),$E255/_xlpm.DepreciationMonths,0))</f>
        <v>0</v>
      </c>
      <c r="CC255" s="507" cm="1">
        <f t="array" ref="CC255">_xlfn.LET(_xlpm.DepreciationMonths,INDEX(FixedAssets[Depreciation
/ Amortization Months],_xlfn.XMATCH($E$237,FixedAssets[Asset ID])),IF(AND((_xlfn.XMATCH(CC$8,$AH$8:$CC$8))-_xlfn.XMATCH($C255,$C$35:$C$82)+1&lt;=_xlpm.DepreciationMonths,$C255&lt;=CC$8),$E255/_xlpm.DepreciationMonths,0))</f>
        <v>0</v>
      </c>
    </row>
    <row r="256" spans="3:81" hidden="1" outlineLevel="2">
      <c r="C256" s="664">
        <f t="shared" si="267"/>
        <v>45473</v>
      </c>
      <c r="D256" s="508"/>
      <c r="E256" s="508" cm="1">
        <f t="array" ref="E256">SUMPRODUCT(($AH$26:$CC$31)*($AH$5:$CC$5=$C256)*($E$26:$E$31=E$237))-SUMPRODUCT(($AH$26:$CC$31)*($AH$5:$CC$5=EOMONTH($C256,-1))*($E$26:$E$31=E$237))</f>
        <v>0</v>
      </c>
      <c r="F256" s="508"/>
      <c r="G256" s="508"/>
      <c r="H256" s="508"/>
      <c r="I256" s="508"/>
      <c r="J256" s="504">
        <f t="shared" si="265"/>
        <v>0</v>
      </c>
      <c r="K256" s="504">
        <f t="shared" si="265"/>
        <v>0</v>
      </c>
      <c r="L256" s="504">
        <f t="shared" si="265"/>
        <v>0</v>
      </c>
      <c r="M256" s="504">
        <f t="shared" si="265"/>
        <v>0</v>
      </c>
      <c r="N256" s="504"/>
      <c r="O256" s="504"/>
      <c r="P256" s="504">
        <f t="shared" si="269"/>
        <v>0</v>
      </c>
      <c r="Q256" s="504">
        <f t="shared" si="269"/>
        <v>0</v>
      </c>
      <c r="R256" s="504">
        <f t="shared" si="269"/>
        <v>0</v>
      </c>
      <c r="S256" s="504">
        <f t="shared" si="269"/>
        <v>0</v>
      </c>
      <c r="T256" s="504">
        <f t="shared" si="269"/>
        <v>0</v>
      </c>
      <c r="U256" s="504">
        <f t="shared" si="269"/>
        <v>0</v>
      </c>
      <c r="V256" s="504">
        <f t="shared" si="269"/>
        <v>0</v>
      </c>
      <c r="W256" s="504">
        <f t="shared" si="269"/>
        <v>0</v>
      </c>
      <c r="X256" s="504">
        <f t="shared" si="269"/>
        <v>0</v>
      </c>
      <c r="Y256" s="504">
        <f t="shared" si="269"/>
        <v>0</v>
      </c>
      <c r="Z256" s="504">
        <f t="shared" si="269"/>
        <v>0</v>
      </c>
      <c r="AA256" s="504">
        <f t="shared" si="269"/>
        <v>0</v>
      </c>
      <c r="AB256" s="504">
        <f t="shared" si="269"/>
        <v>0</v>
      </c>
      <c r="AC256" s="504">
        <f t="shared" si="269"/>
        <v>0</v>
      </c>
      <c r="AD256" s="504">
        <f t="shared" si="269"/>
        <v>0</v>
      </c>
      <c r="AE256" s="504">
        <f t="shared" si="269"/>
        <v>0</v>
      </c>
      <c r="AF256" s="508"/>
      <c r="AG256" s="508"/>
      <c r="AH256" s="507" cm="1">
        <f t="array" ref="AH256">_xlfn.LET(_xlpm.DepreciationMonths,INDEX(FixedAssets[Depreciation
/ Amortization Months],_xlfn.XMATCH($E$237,FixedAssets[Asset ID])),IF(AND((_xlfn.XMATCH(AH$8,$AH$8:$CC$8))-_xlfn.XMATCH($C256,$C$35:$C$82)+1&lt;=_xlpm.DepreciationMonths,$C256&lt;=AH$8),$E256/_xlpm.DepreciationMonths,0))</f>
        <v>0</v>
      </c>
      <c r="AI256" s="507" cm="1">
        <f t="array" ref="AI256">_xlfn.LET(_xlpm.DepreciationMonths,INDEX(FixedAssets[Depreciation
/ Amortization Months],_xlfn.XMATCH($E$237,FixedAssets[Asset ID])),IF(AND((_xlfn.XMATCH(AI$8,$AH$8:$CC$8))-_xlfn.XMATCH($C256,$C$35:$C$82)+1&lt;=_xlpm.DepreciationMonths,$C256&lt;=AI$8),$E256/_xlpm.DepreciationMonths,0))</f>
        <v>0</v>
      </c>
      <c r="AJ256" s="507" cm="1">
        <f t="array" ref="AJ256">_xlfn.LET(_xlpm.DepreciationMonths,INDEX(FixedAssets[Depreciation
/ Amortization Months],_xlfn.XMATCH($E$237,FixedAssets[Asset ID])),IF(AND((_xlfn.XMATCH(AJ$8,$AH$8:$CC$8))-_xlfn.XMATCH($C256,$C$35:$C$82)+1&lt;=_xlpm.DepreciationMonths,$C256&lt;=AJ$8),$E256/_xlpm.DepreciationMonths,0))</f>
        <v>0</v>
      </c>
      <c r="AK256" s="507" cm="1">
        <f t="array" ref="AK256">_xlfn.LET(_xlpm.DepreciationMonths,INDEX(FixedAssets[Depreciation
/ Amortization Months],_xlfn.XMATCH($E$237,FixedAssets[Asset ID])),IF(AND((_xlfn.XMATCH(AK$8,$AH$8:$CC$8))-_xlfn.XMATCH($C256,$C$35:$C$82)+1&lt;=_xlpm.DepreciationMonths,$C256&lt;=AK$8),$E256/_xlpm.DepreciationMonths,0))</f>
        <v>0</v>
      </c>
      <c r="AL256" s="507" cm="1">
        <f t="array" ref="AL256">_xlfn.LET(_xlpm.DepreciationMonths,INDEX(FixedAssets[Depreciation
/ Amortization Months],_xlfn.XMATCH($E$237,FixedAssets[Asset ID])),IF(AND((_xlfn.XMATCH(AL$8,$AH$8:$CC$8))-_xlfn.XMATCH($C256,$C$35:$C$82)+1&lt;=_xlpm.DepreciationMonths,$C256&lt;=AL$8),$E256/_xlpm.DepreciationMonths,0))</f>
        <v>0</v>
      </c>
      <c r="AM256" s="507" cm="1">
        <f t="array" ref="AM256">_xlfn.LET(_xlpm.DepreciationMonths,INDEX(FixedAssets[Depreciation
/ Amortization Months],_xlfn.XMATCH($E$237,FixedAssets[Asset ID])),IF(AND((_xlfn.XMATCH(AM$8,$AH$8:$CC$8))-_xlfn.XMATCH($C256,$C$35:$C$82)+1&lt;=_xlpm.DepreciationMonths,$C256&lt;=AM$8),$E256/_xlpm.DepreciationMonths,0))</f>
        <v>0</v>
      </c>
      <c r="AN256" s="507" cm="1">
        <f t="array" ref="AN256">_xlfn.LET(_xlpm.DepreciationMonths,INDEX(FixedAssets[Depreciation
/ Amortization Months],_xlfn.XMATCH($E$237,FixedAssets[Asset ID])),IF(AND((_xlfn.XMATCH(AN$8,$AH$8:$CC$8))-_xlfn.XMATCH($C256,$C$35:$C$82)+1&lt;=_xlpm.DepreciationMonths,$C256&lt;=AN$8),$E256/_xlpm.DepreciationMonths,0))</f>
        <v>0</v>
      </c>
      <c r="AO256" s="507" cm="1">
        <f t="array" ref="AO256">_xlfn.LET(_xlpm.DepreciationMonths,INDEX(FixedAssets[Depreciation
/ Amortization Months],_xlfn.XMATCH($E$237,FixedAssets[Asset ID])),IF(AND((_xlfn.XMATCH(AO$8,$AH$8:$CC$8))-_xlfn.XMATCH($C256,$C$35:$C$82)+1&lt;=_xlpm.DepreciationMonths,$C256&lt;=AO$8),$E256/_xlpm.DepreciationMonths,0))</f>
        <v>0</v>
      </c>
      <c r="AP256" s="507" cm="1">
        <f t="array" ref="AP256">_xlfn.LET(_xlpm.DepreciationMonths,INDEX(FixedAssets[Depreciation
/ Amortization Months],_xlfn.XMATCH($E$237,FixedAssets[Asset ID])),IF(AND((_xlfn.XMATCH(AP$8,$AH$8:$CC$8))-_xlfn.XMATCH($C256,$C$35:$C$82)+1&lt;=_xlpm.DepreciationMonths,$C256&lt;=AP$8),$E256/_xlpm.DepreciationMonths,0))</f>
        <v>0</v>
      </c>
      <c r="AQ256" s="507" cm="1">
        <f t="array" ref="AQ256">_xlfn.LET(_xlpm.DepreciationMonths,INDEX(FixedAssets[Depreciation
/ Amortization Months],_xlfn.XMATCH($E$237,FixedAssets[Asset ID])),IF(AND((_xlfn.XMATCH(AQ$8,$AH$8:$CC$8))-_xlfn.XMATCH($C256,$C$35:$C$82)+1&lt;=_xlpm.DepreciationMonths,$C256&lt;=AQ$8),$E256/_xlpm.DepreciationMonths,0))</f>
        <v>0</v>
      </c>
      <c r="AR256" s="507" cm="1">
        <f t="array" ref="AR256">_xlfn.LET(_xlpm.DepreciationMonths,INDEX(FixedAssets[Depreciation
/ Amortization Months],_xlfn.XMATCH($E$237,FixedAssets[Asset ID])),IF(AND((_xlfn.XMATCH(AR$8,$AH$8:$CC$8))-_xlfn.XMATCH($C256,$C$35:$C$82)+1&lt;=_xlpm.DepreciationMonths,$C256&lt;=AR$8),$E256/_xlpm.DepreciationMonths,0))</f>
        <v>0</v>
      </c>
      <c r="AS256" s="507" cm="1">
        <f t="array" ref="AS256">_xlfn.LET(_xlpm.DepreciationMonths,INDEX(FixedAssets[Depreciation
/ Amortization Months],_xlfn.XMATCH($E$237,FixedAssets[Asset ID])),IF(AND((_xlfn.XMATCH(AS$8,$AH$8:$CC$8))-_xlfn.XMATCH($C256,$C$35:$C$82)+1&lt;=_xlpm.DepreciationMonths,$C256&lt;=AS$8),$E256/_xlpm.DepreciationMonths,0))</f>
        <v>0</v>
      </c>
      <c r="AT256" s="507" cm="1">
        <f t="array" ref="AT256">_xlfn.LET(_xlpm.DepreciationMonths,INDEX(FixedAssets[Depreciation
/ Amortization Months],_xlfn.XMATCH($E$237,FixedAssets[Asset ID])),IF(AND((_xlfn.XMATCH(AT$8,$AH$8:$CC$8))-_xlfn.XMATCH($C256,$C$35:$C$82)+1&lt;=_xlpm.DepreciationMonths,$C256&lt;=AT$8),$E256/_xlpm.DepreciationMonths,0))</f>
        <v>0</v>
      </c>
      <c r="AU256" s="507" cm="1">
        <f t="array" ref="AU256">_xlfn.LET(_xlpm.DepreciationMonths,INDEX(FixedAssets[Depreciation
/ Amortization Months],_xlfn.XMATCH($E$237,FixedAssets[Asset ID])),IF(AND((_xlfn.XMATCH(AU$8,$AH$8:$CC$8))-_xlfn.XMATCH($C256,$C$35:$C$82)+1&lt;=_xlpm.DepreciationMonths,$C256&lt;=AU$8),$E256/_xlpm.DepreciationMonths,0))</f>
        <v>0</v>
      </c>
      <c r="AV256" s="507" cm="1">
        <f t="array" ref="AV256">_xlfn.LET(_xlpm.DepreciationMonths,INDEX(FixedAssets[Depreciation
/ Amortization Months],_xlfn.XMATCH($E$237,FixedAssets[Asset ID])),IF(AND((_xlfn.XMATCH(AV$8,$AH$8:$CC$8))-_xlfn.XMATCH($C256,$C$35:$C$82)+1&lt;=_xlpm.DepreciationMonths,$C256&lt;=AV$8),$E256/_xlpm.DepreciationMonths,0))</f>
        <v>0</v>
      </c>
      <c r="AW256" s="507" cm="1">
        <f t="array" ref="AW256">_xlfn.LET(_xlpm.DepreciationMonths,INDEX(FixedAssets[Depreciation
/ Amortization Months],_xlfn.XMATCH($E$237,FixedAssets[Asset ID])),IF(AND((_xlfn.XMATCH(AW$8,$AH$8:$CC$8))-_xlfn.XMATCH($C256,$C$35:$C$82)+1&lt;=_xlpm.DepreciationMonths,$C256&lt;=AW$8),$E256/_xlpm.DepreciationMonths,0))</f>
        <v>0</v>
      </c>
      <c r="AX256" s="507" cm="1">
        <f t="array" ref="AX256">_xlfn.LET(_xlpm.DepreciationMonths,INDEX(FixedAssets[Depreciation
/ Amortization Months],_xlfn.XMATCH($E$237,FixedAssets[Asset ID])),IF(AND((_xlfn.XMATCH(AX$8,$AH$8:$CC$8))-_xlfn.XMATCH($C256,$C$35:$C$82)+1&lt;=_xlpm.DepreciationMonths,$C256&lt;=AX$8),$E256/_xlpm.DepreciationMonths,0))</f>
        <v>0</v>
      </c>
      <c r="AY256" s="507" cm="1">
        <f t="array" ref="AY256">_xlfn.LET(_xlpm.DepreciationMonths,INDEX(FixedAssets[Depreciation
/ Amortization Months],_xlfn.XMATCH($E$237,FixedAssets[Asset ID])),IF(AND((_xlfn.XMATCH(AY$8,$AH$8:$CC$8))-_xlfn.XMATCH($C256,$C$35:$C$82)+1&lt;=_xlpm.DepreciationMonths,$C256&lt;=AY$8),$E256/_xlpm.DepreciationMonths,0))</f>
        <v>0</v>
      </c>
      <c r="AZ256" s="507" cm="1">
        <f t="array" ref="AZ256">_xlfn.LET(_xlpm.DepreciationMonths,INDEX(FixedAssets[Depreciation
/ Amortization Months],_xlfn.XMATCH($E$237,FixedAssets[Asset ID])),IF(AND((_xlfn.XMATCH(AZ$8,$AH$8:$CC$8))-_xlfn.XMATCH($C256,$C$35:$C$82)+1&lt;=_xlpm.DepreciationMonths,$C256&lt;=AZ$8),$E256/_xlpm.DepreciationMonths,0))</f>
        <v>0</v>
      </c>
      <c r="BA256" s="507" cm="1">
        <f t="array" ref="BA256">_xlfn.LET(_xlpm.DepreciationMonths,INDEX(FixedAssets[Depreciation
/ Amortization Months],_xlfn.XMATCH($E$237,FixedAssets[Asset ID])),IF(AND((_xlfn.XMATCH(BA$8,$AH$8:$CC$8))-_xlfn.XMATCH($C256,$C$35:$C$82)+1&lt;=_xlpm.DepreciationMonths,$C256&lt;=BA$8),$E256/_xlpm.DepreciationMonths,0))</f>
        <v>0</v>
      </c>
      <c r="BB256" s="507" cm="1">
        <f t="array" ref="BB256">_xlfn.LET(_xlpm.DepreciationMonths,INDEX(FixedAssets[Depreciation
/ Amortization Months],_xlfn.XMATCH($E$237,FixedAssets[Asset ID])),IF(AND((_xlfn.XMATCH(BB$8,$AH$8:$CC$8))-_xlfn.XMATCH($C256,$C$35:$C$82)+1&lt;=_xlpm.DepreciationMonths,$C256&lt;=BB$8),$E256/_xlpm.DepreciationMonths,0))</f>
        <v>0</v>
      </c>
      <c r="BC256" s="507" cm="1">
        <f t="array" ref="BC256">_xlfn.LET(_xlpm.DepreciationMonths,INDEX(FixedAssets[Depreciation
/ Amortization Months],_xlfn.XMATCH($E$237,FixedAssets[Asset ID])),IF(AND((_xlfn.XMATCH(BC$8,$AH$8:$CC$8))-_xlfn.XMATCH($C256,$C$35:$C$82)+1&lt;=_xlpm.DepreciationMonths,$C256&lt;=BC$8),$E256/_xlpm.DepreciationMonths,0))</f>
        <v>0</v>
      </c>
      <c r="BD256" s="507" cm="1">
        <f t="array" ref="BD256">_xlfn.LET(_xlpm.DepreciationMonths,INDEX(FixedAssets[Depreciation
/ Amortization Months],_xlfn.XMATCH($E$237,FixedAssets[Asset ID])),IF(AND((_xlfn.XMATCH(BD$8,$AH$8:$CC$8))-_xlfn.XMATCH($C256,$C$35:$C$82)+1&lt;=_xlpm.DepreciationMonths,$C256&lt;=BD$8),$E256/_xlpm.DepreciationMonths,0))</f>
        <v>0</v>
      </c>
      <c r="BE256" s="507" cm="1">
        <f t="array" ref="BE256">_xlfn.LET(_xlpm.DepreciationMonths,INDEX(FixedAssets[Depreciation
/ Amortization Months],_xlfn.XMATCH($E$237,FixedAssets[Asset ID])),IF(AND((_xlfn.XMATCH(BE$8,$AH$8:$CC$8))-_xlfn.XMATCH($C256,$C$35:$C$82)+1&lt;=_xlpm.DepreciationMonths,$C256&lt;=BE$8),$E256/_xlpm.DepreciationMonths,0))</f>
        <v>0</v>
      </c>
      <c r="BF256" s="507" cm="1">
        <f t="array" ref="BF256">_xlfn.LET(_xlpm.DepreciationMonths,INDEX(FixedAssets[Depreciation
/ Amortization Months],_xlfn.XMATCH($E$237,FixedAssets[Asset ID])),IF(AND((_xlfn.XMATCH(BF$8,$AH$8:$CC$8))-_xlfn.XMATCH($C256,$C$35:$C$82)+1&lt;=_xlpm.DepreciationMonths,$C256&lt;=BF$8),$E256/_xlpm.DepreciationMonths,0))</f>
        <v>0</v>
      </c>
      <c r="BG256" s="507" cm="1">
        <f t="array" ref="BG256">_xlfn.LET(_xlpm.DepreciationMonths,INDEX(FixedAssets[Depreciation
/ Amortization Months],_xlfn.XMATCH($E$237,FixedAssets[Asset ID])),IF(AND((_xlfn.XMATCH(BG$8,$AH$8:$CC$8))-_xlfn.XMATCH($C256,$C$35:$C$82)+1&lt;=_xlpm.DepreciationMonths,$C256&lt;=BG$8),$E256/_xlpm.DepreciationMonths,0))</f>
        <v>0</v>
      </c>
      <c r="BH256" s="507" cm="1">
        <f t="array" ref="BH256">_xlfn.LET(_xlpm.DepreciationMonths,INDEX(FixedAssets[Depreciation
/ Amortization Months],_xlfn.XMATCH($E$237,FixedAssets[Asset ID])),IF(AND((_xlfn.XMATCH(BH$8,$AH$8:$CC$8))-_xlfn.XMATCH($C256,$C$35:$C$82)+1&lt;=_xlpm.DepreciationMonths,$C256&lt;=BH$8),$E256/_xlpm.DepreciationMonths,0))</f>
        <v>0</v>
      </c>
      <c r="BI256" s="507" cm="1">
        <f t="array" ref="BI256">_xlfn.LET(_xlpm.DepreciationMonths,INDEX(FixedAssets[Depreciation
/ Amortization Months],_xlfn.XMATCH($E$237,FixedAssets[Asset ID])),IF(AND((_xlfn.XMATCH(BI$8,$AH$8:$CC$8))-_xlfn.XMATCH($C256,$C$35:$C$82)+1&lt;=_xlpm.DepreciationMonths,$C256&lt;=BI$8),$E256/_xlpm.DepreciationMonths,0))</f>
        <v>0</v>
      </c>
      <c r="BJ256" s="507" cm="1">
        <f t="array" ref="BJ256">_xlfn.LET(_xlpm.DepreciationMonths,INDEX(FixedAssets[Depreciation
/ Amortization Months],_xlfn.XMATCH($E$237,FixedAssets[Asset ID])),IF(AND((_xlfn.XMATCH(BJ$8,$AH$8:$CC$8))-_xlfn.XMATCH($C256,$C$35:$C$82)+1&lt;=_xlpm.DepreciationMonths,$C256&lt;=BJ$8),$E256/_xlpm.DepreciationMonths,0))</f>
        <v>0</v>
      </c>
      <c r="BK256" s="507" cm="1">
        <f t="array" ref="BK256">_xlfn.LET(_xlpm.DepreciationMonths,INDEX(FixedAssets[Depreciation
/ Amortization Months],_xlfn.XMATCH($E$237,FixedAssets[Asset ID])),IF(AND((_xlfn.XMATCH(BK$8,$AH$8:$CC$8))-_xlfn.XMATCH($C256,$C$35:$C$82)+1&lt;=_xlpm.DepreciationMonths,$C256&lt;=BK$8),$E256/_xlpm.DepreciationMonths,0))</f>
        <v>0</v>
      </c>
      <c r="BL256" s="507" cm="1">
        <f t="array" ref="BL256">_xlfn.LET(_xlpm.DepreciationMonths,INDEX(FixedAssets[Depreciation
/ Amortization Months],_xlfn.XMATCH($E$237,FixedAssets[Asset ID])),IF(AND((_xlfn.XMATCH(BL$8,$AH$8:$CC$8))-_xlfn.XMATCH($C256,$C$35:$C$82)+1&lt;=_xlpm.DepreciationMonths,$C256&lt;=BL$8),$E256/_xlpm.DepreciationMonths,0))</f>
        <v>0</v>
      </c>
      <c r="BM256" s="507" cm="1">
        <f t="array" ref="BM256">_xlfn.LET(_xlpm.DepreciationMonths,INDEX(FixedAssets[Depreciation
/ Amortization Months],_xlfn.XMATCH($E$237,FixedAssets[Asset ID])),IF(AND((_xlfn.XMATCH(BM$8,$AH$8:$CC$8))-_xlfn.XMATCH($C256,$C$35:$C$82)+1&lt;=_xlpm.DepreciationMonths,$C256&lt;=BM$8),$E256/_xlpm.DepreciationMonths,0))</f>
        <v>0</v>
      </c>
      <c r="BN256" s="507" cm="1">
        <f t="array" ref="BN256">_xlfn.LET(_xlpm.DepreciationMonths,INDEX(FixedAssets[Depreciation
/ Amortization Months],_xlfn.XMATCH($E$237,FixedAssets[Asset ID])),IF(AND((_xlfn.XMATCH(BN$8,$AH$8:$CC$8))-_xlfn.XMATCH($C256,$C$35:$C$82)+1&lt;=_xlpm.DepreciationMonths,$C256&lt;=BN$8),$E256/_xlpm.DepreciationMonths,0))</f>
        <v>0</v>
      </c>
      <c r="BO256" s="507" cm="1">
        <f t="array" ref="BO256">_xlfn.LET(_xlpm.DepreciationMonths,INDEX(FixedAssets[Depreciation
/ Amortization Months],_xlfn.XMATCH($E$237,FixedAssets[Asset ID])),IF(AND((_xlfn.XMATCH(BO$8,$AH$8:$CC$8))-_xlfn.XMATCH($C256,$C$35:$C$82)+1&lt;=_xlpm.DepreciationMonths,$C256&lt;=BO$8),$E256/_xlpm.DepreciationMonths,0))</f>
        <v>0</v>
      </c>
      <c r="BP256" s="507" cm="1">
        <f t="array" ref="BP256">_xlfn.LET(_xlpm.DepreciationMonths,INDEX(FixedAssets[Depreciation
/ Amortization Months],_xlfn.XMATCH($E$237,FixedAssets[Asset ID])),IF(AND((_xlfn.XMATCH(BP$8,$AH$8:$CC$8))-_xlfn.XMATCH($C256,$C$35:$C$82)+1&lt;=_xlpm.DepreciationMonths,$C256&lt;=BP$8),$E256/_xlpm.DepreciationMonths,0))</f>
        <v>0</v>
      </c>
      <c r="BQ256" s="507" cm="1">
        <f t="array" ref="BQ256">_xlfn.LET(_xlpm.DepreciationMonths,INDEX(FixedAssets[Depreciation
/ Amortization Months],_xlfn.XMATCH($E$237,FixedAssets[Asset ID])),IF(AND((_xlfn.XMATCH(BQ$8,$AH$8:$CC$8))-_xlfn.XMATCH($C256,$C$35:$C$82)+1&lt;=_xlpm.DepreciationMonths,$C256&lt;=BQ$8),$E256/_xlpm.DepreciationMonths,0))</f>
        <v>0</v>
      </c>
      <c r="BR256" s="507" cm="1">
        <f t="array" ref="BR256">_xlfn.LET(_xlpm.DepreciationMonths,INDEX(FixedAssets[Depreciation
/ Amortization Months],_xlfn.XMATCH($E$237,FixedAssets[Asset ID])),IF(AND((_xlfn.XMATCH(BR$8,$AH$8:$CC$8))-_xlfn.XMATCH($C256,$C$35:$C$82)+1&lt;=_xlpm.DepreciationMonths,$C256&lt;=BR$8),$E256/_xlpm.DepreciationMonths,0))</f>
        <v>0</v>
      </c>
      <c r="BS256" s="507" cm="1">
        <f t="array" ref="BS256">_xlfn.LET(_xlpm.DepreciationMonths,INDEX(FixedAssets[Depreciation
/ Amortization Months],_xlfn.XMATCH($E$237,FixedAssets[Asset ID])),IF(AND((_xlfn.XMATCH(BS$8,$AH$8:$CC$8))-_xlfn.XMATCH($C256,$C$35:$C$82)+1&lt;=_xlpm.DepreciationMonths,$C256&lt;=BS$8),$E256/_xlpm.DepreciationMonths,0))</f>
        <v>0</v>
      </c>
      <c r="BT256" s="507" cm="1">
        <f t="array" ref="BT256">_xlfn.LET(_xlpm.DepreciationMonths,INDEX(FixedAssets[Depreciation
/ Amortization Months],_xlfn.XMATCH($E$237,FixedAssets[Asset ID])),IF(AND((_xlfn.XMATCH(BT$8,$AH$8:$CC$8))-_xlfn.XMATCH($C256,$C$35:$C$82)+1&lt;=_xlpm.DepreciationMonths,$C256&lt;=BT$8),$E256/_xlpm.DepreciationMonths,0))</f>
        <v>0</v>
      </c>
      <c r="BU256" s="507" cm="1">
        <f t="array" ref="BU256">_xlfn.LET(_xlpm.DepreciationMonths,INDEX(FixedAssets[Depreciation
/ Amortization Months],_xlfn.XMATCH($E$237,FixedAssets[Asset ID])),IF(AND((_xlfn.XMATCH(BU$8,$AH$8:$CC$8))-_xlfn.XMATCH($C256,$C$35:$C$82)+1&lt;=_xlpm.DepreciationMonths,$C256&lt;=BU$8),$E256/_xlpm.DepreciationMonths,0))</f>
        <v>0</v>
      </c>
      <c r="BV256" s="507" cm="1">
        <f t="array" ref="BV256">_xlfn.LET(_xlpm.DepreciationMonths,INDEX(FixedAssets[Depreciation
/ Amortization Months],_xlfn.XMATCH($E$237,FixedAssets[Asset ID])),IF(AND((_xlfn.XMATCH(BV$8,$AH$8:$CC$8))-_xlfn.XMATCH($C256,$C$35:$C$82)+1&lt;=_xlpm.DepreciationMonths,$C256&lt;=BV$8),$E256/_xlpm.DepreciationMonths,0))</f>
        <v>0</v>
      </c>
      <c r="BW256" s="507" cm="1">
        <f t="array" ref="BW256">_xlfn.LET(_xlpm.DepreciationMonths,INDEX(FixedAssets[Depreciation
/ Amortization Months],_xlfn.XMATCH($E$237,FixedAssets[Asset ID])),IF(AND((_xlfn.XMATCH(BW$8,$AH$8:$CC$8))-_xlfn.XMATCH($C256,$C$35:$C$82)+1&lt;=_xlpm.DepreciationMonths,$C256&lt;=BW$8),$E256/_xlpm.DepreciationMonths,0))</f>
        <v>0</v>
      </c>
      <c r="BX256" s="507" cm="1">
        <f t="array" ref="BX256">_xlfn.LET(_xlpm.DepreciationMonths,INDEX(FixedAssets[Depreciation
/ Amortization Months],_xlfn.XMATCH($E$237,FixedAssets[Asset ID])),IF(AND((_xlfn.XMATCH(BX$8,$AH$8:$CC$8))-_xlfn.XMATCH($C256,$C$35:$C$82)+1&lt;=_xlpm.DepreciationMonths,$C256&lt;=BX$8),$E256/_xlpm.DepreciationMonths,0))</f>
        <v>0</v>
      </c>
      <c r="BY256" s="507" cm="1">
        <f t="array" ref="BY256">_xlfn.LET(_xlpm.DepreciationMonths,INDEX(FixedAssets[Depreciation
/ Amortization Months],_xlfn.XMATCH($E$237,FixedAssets[Asset ID])),IF(AND((_xlfn.XMATCH(BY$8,$AH$8:$CC$8))-_xlfn.XMATCH($C256,$C$35:$C$82)+1&lt;=_xlpm.DepreciationMonths,$C256&lt;=BY$8),$E256/_xlpm.DepreciationMonths,0))</f>
        <v>0</v>
      </c>
      <c r="BZ256" s="507" cm="1">
        <f t="array" ref="BZ256">_xlfn.LET(_xlpm.DepreciationMonths,INDEX(FixedAssets[Depreciation
/ Amortization Months],_xlfn.XMATCH($E$237,FixedAssets[Asset ID])),IF(AND((_xlfn.XMATCH(BZ$8,$AH$8:$CC$8))-_xlfn.XMATCH($C256,$C$35:$C$82)+1&lt;=_xlpm.DepreciationMonths,$C256&lt;=BZ$8),$E256/_xlpm.DepreciationMonths,0))</f>
        <v>0</v>
      </c>
      <c r="CA256" s="507" cm="1">
        <f t="array" ref="CA256">_xlfn.LET(_xlpm.DepreciationMonths,INDEX(FixedAssets[Depreciation
/ Amortization Months],_xlfn.XMATCH($E$237,FixedAssets[Asset ID])),IF(AND((_xlfn.XMATCH(CA$8,$AH$8:$CC$8))-_xlfn.XMATCH($C256,$C$35:$C$82)+1&lt;=_xlpm.DepreciationMonths,$C256&lt;=CA$8),$E256/_xlpm.DepreciationMonths,0))</f>
        <v>0</v>
      </c>
      <c r="CB256" s="507" cm="1">
        <f t="array" ref="CB256">_xlfn.LET(_xlpm.DepreciationMonths,INDEX(FixedAssets[Depreciation
/ Amortization Months],_xlfn.XMATCH($E$237,FixedAssets[Asset ID])),IF(AND((_xlfn.XMATCH(CB$8,$AH$8:$CC$8))-_xlfn.XMATCH($C256,$C$35:$C$82)+1&lt;=_xlpm.DepreciationMonths,$C256&lt;=CB$8),$E256/_xlpm.DepreciationMonths,0))</f>
        <v>0</v>
      </c>
      <c r="CC256" s="507" cm="1">
        <f t="array" ref="CC256">_xlfn.LET(_xlpm.DepreciationMonths,INDEX(FixedAssets[Depreciation
/ Amortization Months],_xlfn.XMATCH($E$237,FixedAssets[Asset ID])),IF(AND((_xlfn.XMATCH(CC$8,$AH$8:$CC$8))-_xlfn.XMATCH($C256,$C$35:$C$82)+1&lt;=_xlpm.DepreciationMonths,$C256&lt;=CC$8),$E256/_xlpm.DepreciationMonths,0))</f>
        <v>0</v>
      </c>
    </row>
    <row r="257" spans="3:81" hidden="1" outlineLevel="2">
      <c r="C257" s="664">
        <f t="shared" si="267"/>
        <v>45504</v>
      </c>
      <c r="D257" s="508"/>
      <c r="E257" s="508" cm="1">
        <f t="array" ref="E257">SUMPRODUCT(($AH$26:$CC$31)*($AH$5:$CC$5=$C257)*($E$26:$E$31=E$237))-SUMPRODUCT(($AH$26:$CC$31)*($AH$5:$CC$5=EOMONTH($C257,-1))*($E$26:$E$31=E$237))</f>
        <v>0</v>
      </c>
      <c r="F257" s="508"/>
      <c r="G257" s="508"/>
      <c r="H257" s="508"/>
      <c r="I257" s="508"/>
      <c r="J257" s="504">
        <f t="shared" si="265"/>
        <v>0</v>
      </c>
      <c r="K257" s="504">
        <f t="shared" si="265"/>
        <v>0</v>
      </c>
      <c r="L257" s="504">
        <f t="shared" si="265"/>
        <v>0</v>
      </c>
      <c r="M257" s="504">
        <f t="shared" si="265"/>
        <v>0</v>
      </c>
      <c r="N257" s="504"/>
      <c r="O257" s="504"/>
      <c r="P257" s="504">
        <f t="shared" si="269"/>
        <v>0</v>
      </c>
      <c r="Q257" s="504">
        <f t="shared" si="269"/>
        <v>0</v>
      </c>
      <c r="R257" s="504">
        <f t="shared" si="269"/>
        <v>0</v>
      </c>
      <c r="S257" s="504">
        <f t="shared" si="269"/>
        <v>0</v>
      </c>
      <c r="T257" s="504">
        <f t="shared" si="269"/>
        <v>0</v>
      </c>
      <c r="U257" s="504">
        <f t="shared" si="269"/>
        <v>0</v>
      </c>
      <c r="V257" s="504">
        <f t="shared" si="269"/>
        <v>0</v>
      </c>
      <c r="W257" s="504">
        <f t="shared" si="269"/>
        <v>0</v>
      </c>
      <c r="X257" s="504">
        <f t="shared" si="269"/>
        <v>0</v>
      </c>
      <c r="Y257" s="504">
        <f t="shared" si="269"/>
        <v>0</v>
      </c>
      <c r="Z257" s="504">
        <f t="shared" si="269"/>
        <v>0</v>
      </c>
      <c r="AA257" s="504">
        <f t="shared" si="269"/>
        <v>0</v>
      </c>
      <c r="AB257" s="504">
        <f t="shared" si="269"/>
        <v>0</v>
      </c>
      <c r="AC257" s="504">
        <f t="shared" si="269"/>
        <v>0</v>
      </c>
      <c r="AD257" s="504">
        <f t="shared" si="269"/>
        <v>0</v>
      </c>
      <c r="AE257" s="504">
        <f t="shared" si="269"/>
        <v>0</v>
      </c>
      <c r="AF257" s="508"/>
      <c r="AG257" s="508"/>
      <c r="AH257" s="507" cm="1">
        <f t="array" ref="AH257">_xlfn.LET(_xlpm.DepreciationMonths,INDEX(FixedAssets[Depreciation
/ Amortization Months],_xlfn.XMATCH($E$237,FixedAssets[Asset ID])),IF(AND((_xlfn.XMATCH(AH$8,$AH$8:$CC$8))-_xlfn.XMATCH($C257,$C$35:$C$82)+1&lt;=_xlpm.DepreciationMonths,$C257&lt;=AH$8),$E257/_xlpm.DepreciationMonths,0))</f>
        <v>0</v>
      </c>
      <c r="AI257" s="507" cm="1">
        <f t="array" ref="AI257">_xlfn.LET(_xlpm.DepreciationMonths,INDEX(FixedAssets[Depreciation
/ Amortization Months],_xlfn.XMATCH($E$237,FixedAssets[Asset ID])),IF(AND((_xlfn.XMATCH(AI$8,$AH$8:$CC$8))-_xlfn.XMATCH($C257,$C$35:$C$82)+1&lt;=_xlpm.DepreciationMonths,$C257&lt;=AI$8),$E257/_xlpm.DepreciationMonths,0))</f>
        <v>0</v>
      </c>
      <c r="AJ257" s="507" cm="1">
        <f t="array" ref="AJ257">_xlfn.LET(_xlpm.DepreciationMonths,INDEX(FixedAssets[Depreciation
/ Amortization Months],_xlfn.XMATCH($E$237,FixedAssets[Asset ID])),IF(AND((_xlfn.XMATCH(AJ$8,$AH$8:$CC$8))-_xlfn.XMATCH($C257,$C$35:$C$82)+1&lt;=_xlpm.DepreciationMonths,$C257&lt;=AJ$8),$E257/_xlpm.DepreciationMonths,0))</f>
        <v>0</v>
      </c>
      <c r="AK257" s="507" cm="1">
        <f t="array" ref="AK257">_xlfn.LET(_xlpm.DepreciationMonths,INDEX(FixedAssets[Depreciation
/ Amortization Months],_xlfn.XMATCH($E$237,FixedAssets[Asset ID])),IF(AND((_xlfn.XMATCH(AK$8,$AH$8:$CC$8))-_xlfn.XMATCH($C257,$C$35:$C$82)+1&lt;=_xlpm.DepreciationMonths,$C257&lt;=AK$8),$E257/_xlpm.DepreciationMonths,0))</f>
        <v>0</v>
      </c>
      <c r="AL257" s="507" cm="1">
        <f t="array" ref="AL257">_xlfn.LET(_xlpm.DepreciationMonths,INDEX(FixedAssets[Depreciation
/ Amortization Months],_xlfn.XMATCH($E$237,FixedAssets[Asset ID])),IF(AND((_xlfn.XMATCH(AL$8,$AH$8:$CC$8))-_xlfn.XMATCH($C257,$C$35:$C$82)+1&lt;=_xlpm.DepreciationMonths,$C257&lt;=AL$8),$E257/_xlpm.DepreciationMonths,0))</f>
        <v>0</v>
      </c>
      <c r="AM257" s="507" cm="1">
        <f t="array" ref="AM257">_xlfn.LET(_xlpm.DepreciationMonths,INDEX(FixedAssets[Depreciation
/ Amortization Months],_xlfn.XMATCH($E$237,FixedAssets[Asset ID])),IF(AND((_xlfn.XMATCH(AM$8,$AH$8:$CC$8))-_xlfn.XMATCH($C257,$C$35:$C$82)+1&lt;=_xlpm.DepreciationMonths,$C257&lt;=AM$8),$E257/_xlpm.DepreciationMonths,0))</f>
        <v>0</v>
      </c>
      <c r="AN257" s="507" cm="1">
        <f t="array" ref="AN257">_xlfn.LET(_xlpm.DepreciationMonths,INDEX(FixedAssets[Depreciation
/ Amortization Months],_xlfn.XMATCH($E$237,FixedAssets[Asset ID])),IF(AND((_xlfn.XMATCH(AN$8,$AH$8:$CC$8))-_xlfn.XMATCH($C257,$C$35:$C$82)+1&lt;=_xlpm.DepreciationMonths,$C257&lt;=AN$8),$E257/_xlpm.DepreciationMonths,0))</f>
        <v>0</v>
      </c>
      <c r="AO257" s="507" cm="1">
        <f t="array" ref="AO257">_xlfn.LET(_xlpm.DepreciationMonths,INDEX(FixedAssets[Depreciation
/ Amortization Months],_xlfn.XMATCH($E$237,FixedAssets[Asset ID])),IF(AND((_xlfn.XMATCH(AO$8,$AH$8:$CC$8))-_xlfn.XMATCH($C257,$C$35:$C$82)+1&lt;=_xlpm.DepreciationMonths,$C257&lt;=AO$8),$E257/_xlpm.DepreciationMonths,0))</f>
        <v>0</v>
      </c>
      <c r="AP257" s="507" cm="1">
        <f t="array" ref="AP257">_xlfn.LET(_xlpm.DepreciationMonths,INDEX(FixedAssets[Depreciation
/ Amortization Months],_xlfn.XMATCH($E$237,FixedAssets[Asset ID])),IF(AND((_xlfn.XMATCH(AP$8,$AH$8:$CC$8))-_xlfn.XMATCH($C257,$C$35:$C$82)+1&lt;=_xlpm.DepreciationMonths,$C257&lt;=AP$8),$E257/_xlpm.DepreciationMonths,0))</f>
        <v>0</v>
      </c>
      <c r="AQ257" s="507" cm="1">
        <f t="array" ref="AQ257">_xlfn.LET(_xlpm.DepreciationMonths,INDEX(FixedAssets[Depreciation
/ Amortization Months],_xlfn.XMATCH($E$237,FixedAssets[Asset ID])),IF(AND((_xlfn.XMATCH(AQ$8,$AH$8:$CC$8))-_xlfn.XMATCH($C257,$C$35:$C$82)+1&lt;=_xlpm.DepreciationMonths,$C257&lt;=AQ$8),$E257/_xlpm.DepreciationMonths,0))</f>
        <v>0</v>
      </c>
      <c r="AR257" s="507" cm="1">
        <f t="array" ref="AR257">_xlfn.LET(_xlpm.DepreciationMonths,INDEX(FixedAssets[Depreciation
/ Amortization Months],_xlfn.XMATCH($E$237,FixedAssets[Asset ID])),IF(AND((_xlfn.XMATCH(AR$8,$AH$8:$CC$8))-_xlfn.XMATCH($C257,$C$35:$C$82)+1&lt;=_xlpm.DepreciationMonths,$C257&lt;=AR$8),$E257/_xlpm.DepreciationMonths,0))</f>
        <v>0</v>
      </c>
      <c r="AS257" s="507" cm="1">
        <f t="array" ref="AS257">_xlfn.LET(_xlpm.DepreciationMonths,INDEX(FixedAssets[Depreciation
/ Amortization Months],_xlfn.XMATCH($E$237,FixedAssets[Asset ID])),IF(AND((_xlfn.XMATCH(AS$8,$AH$8:$CC$8))-_xlfn.XMATCH($C257,$C$35:$C$82)+1&lt;=_xlpm.DepreciationMonths,$C257&lt;=AS$8),$E257/_xlpm.DepreciationMonths,0))</f>
        <v>0</v>
      </c>
      <c r="AT257" s="507" cm="1">
        <f t="array" ref="AT257">_xlfn.LET(_xlpm.DepreciationMonths,INDEX(FixedAssets[Depreciation
/ Amortization Months],_xlfn.XMATCH($E$237,FixedAssets[Asset ID])),IF(AND((_xlfn.XMATCH(AT$8,$AH$8:$CC$8))-_xlfn.XMATCH($C257,$C$35:$C$82)+1&lt;=_xlpm.DepreciationMonths,$C257&lt;=AT$8),$E257/_xlpm.DepreciationMonths,0))</f>
        <v>0</v>
      </c>
      <c r="AU257" s="507" cm="1">
        <f t="array" ref="AU257">_xlfn.LET(_xlpm.DepreciationMonths,INDEX(FixedAssets[Depreciation
/ Amortization Months],_xlfn.XMATCH($E$237,FixedAssets[Asset ID])),IF(AND((_xlfn.XMATCH(AU$8,$AH$8:$CC$8))-_xlfn.XMATCH($C257,$C$35:$C$82)+1&lt;=_xlpm.DepreciationMonths,$C257&lt;=AU$8),$E257/_xlpm.DepreciationMonths,0))</f>
        <v>0</v>
      </c>
      <c r="AV257" s="507" cm="1">
        <f t="array" ref="AV257">_xlfn.LET(_xlpm.DepreciationMonths,INDEX(FixedAssets[Depreciation
/ Amortization Months],_xlfn.XMATCH($E$237,FixedAssets[Asset ID])),IF(AND((_xlfn.XMATCH(AV$8,$AH$8:$CC$8))-_xlfn.XMATCH($C257,$C$35:$C$82)+1&lt;=_xlpm.DepreciationMonths,$C257&lt;=AV$8),$E257/_xlpm.DepreciationMonths,0))</f>
        <v>0</v>
      </c>
      <c r="AW257" s="507" cm="1">
        <f t="array" ref="AW257">_xlfn.LET(_xlpm.DepreciationMonths,INDEX(FixedAssets[Depreciation
/ Amortization Months],_xlfn.XMATCH($E$237,FixedAssets[Asset ID])),IF(AND((_xlfn.XMATCH(AW$8,$AH$8:$CC$8))-_xlfn.XMATCH($C257,$C$35:$C$82)+1&lt;=_xlpm.DepreciationMonths,$C257&lt;=AW$8),$E257/_xlpm.DepreciationMonths,0))</f>
        <v>0</v>
      </c>
      <c r="AX257" s="507" cm="1">
        <f t="array" ref="AX257">_xlfn.LET(_xlpm.DepreciationMonths,INDEX(FixedAssets[Depreciation
/ Amortization Months],_xlfn.XMATCH($E$237,FixedAssets[Asset ID])),IF(AND((_xlfn.XMATCH(AX$8,$AH$8:$CC$8))-_xlfn.XMATCH($C257,$C$35:$C$82)+1&lt;=_xlpm.DepreciationMonths,$C257&lt;=AX$8),$E257/_xlpm.DepreciationMonths,0))</f>
        <v>0</v>
      </c>
      <c r="AY257" s="507" cm="1">
        <f t="array" ref="AY257">_xlfn.LET(_xlpm.DepreciationMonths,INDEX(FixedAssets[Depreciation
/ Amortization Months],_xlfn.XMATCH($E$237,FixedAssets[Asset ID])),IF(AND((_xlfn.XMATCH(AY$8,$AH$8:$CC$8))-_xlfn.XMATCH($C257,$C$35:$C$82)+1&lt;=_xlpm.DepreciationMonths,$C257&lt;=AY$8),$E257/_xlpm.DepreciationMonths,0))</f>
        <v>0</v>
      </c>
      <c r="AZ257" s="507" cm="1">
        <f t="array" ref="AZ257">_xlfn.LET(_xlpm.DepreciationMonths,INDEX(FixedAssets[Depreciation
/ Amortization Months],_xlfn.XMATCH($E$237,FixedAssets[Asset ID])),IF(AND((_xlfn.XMATCH(AZ$8,$AH$8:$CC$8))-_xlfn.XMATCH($C257,$C$35:$C$82)+1&lt;=_xlpm.DepreciationMonths,$C257&lt;=AZ$8),$E257/_xlpm.DepreciationMonths,0))</f>
        <v>0</v>
      </c>
      <c r="BA257" s="507" cm="1">
        <f t="array" ref="BA257">_xlfn.LET(_xlpm.DepreciationMonths,INDEX(FixedAssets[Depreciation
/ Amortization Months],_xlfn.XMATCH($E$237,FixedAssets[Asset ID])),IF(AND((_xlfn.XMATCH(BA$8,$AH$8:$CC$8))-_xlfn.XMATCH($C257,$C$35:$C$82)+1&lt;=_xlpm.DepreciationMonths,$C257&lt;=BA$8),$E257/_xlpm.DepreciationMonths,0))</f>
        <v>0</v>
      </c>
      <c r="BB257" s="507" cm="1">
        <f t="array" ref="BB257">_xlfn.LET(_xlpm.DepreciationMonths,INDEX(FixedAssets[Depreciation
/ Amortization Months],_xlfn.XMATCH($E$237,FixedAssets[Asset ID])),IF(AND((_xlfn.XMATCH(BB$8,$AH$8:$CC$8))-_xlfn.XMATCH($C257,$C$35:$C$82)+1&lt;=_xlpm.DepreciationMonths,$C257&lt;=BB$8),$E257/_xlpm.DepreciationMonths,0))</f>
        <v>0</v>
      </c>
      <c r="BC257" s="507" cm="1">
        <f t="array" ref="BC257">_xlfn.LET(_xlpm.DepreciationMonths,INDEX(FixedAssets[Depreciation
/ Amortization Months],_xlfn.XMATCH($E$237,FixedAssets[Asset ID])),IF(AND((_xlfn.XMATCH(BC$8,$AH$8:$CC$8))-_xlfn.XMATCH($C257,$C$35:$C$82)+1&lt;=_xlpm.DepreciationMonths,$C257&lt;=BC$8),$E257/_xlpm.DepreciationMonths,0))</f>
        <v>0</v>
      </c>
      <c r="BD257" s="507" cm="1">
        <f t="array" ref="BD257">_xlfn.LET(_xlpm.DepreciationMonths,INDEX(FixedAssets[Depreciation
/ Amortization Months],_xlfn.XMATCH($E$237,FixedAssets[Asset ID])),IF(AND((_xlfn.XMATCH(BD$8,$AH$8:$CC$8))-_xlfn.XMATCH($C257,$C$35:$C$82)+1&lt;=_xlpm.DepreciationMonths,$C257&lt;=BD$8),$E257/_xlpm.DepreciationMonths,0))</f>
        <v>0</v>
      </c>
      <c r="BE257" s="507" cm="1">
        <f t="array" ref="BE257">_xlfn.LET(_xlpm.DepreciationMonths,INDEX(FixedAssets[Depreciation
/ Amortization Months],_xlfn.XMATCH($E$237,FixedAssets[Asset ID])),IF(AND((_xlfn.XMATCH(BE$8,$AH$8:$CC$8))-_xlfn.XMATCH($C257,$C$35:$C$82)+1&lt;=_xlpm.DepreciationMonths,$C257&lt;=BE$8),$E257/_xlpm.DepreciationMonths,0))</f>
        <v>0</v>
      </c>
      <c r="BF257" s="507" cm="1">
        <f t="array" ref="BF257">_xlfn.LET(_xlpm.DepreciationMonths,INDEX(FixedAssets[Depreciation
/ Amortization Months],_xlfn.XMATCH($E$237,FixedAssets[Asset ID])),IF(AND((_xlfn.XMATCH(BF$8,$AH$8:$CC$8))-_xlfn.XMATCH($C257,$C$35:$C$82)+1&lt;=_xlpm.DepreciationMonths,$C257&lt;=BF$8),$E257/_xlpm.DepreciationMonths,0))</f>
        <v>0</v>
      </c>
      <c r="BG257" s="507" cm="1">
        <f t="array" ref="BG257">_xlfn.LET(_xlpm.DepreciationMonths,INDEX(FixedAssets[Depreciation
/ Amortization Months],_xlfn.XMATCH($E$237,FixedAssets[Asset ID])),IF(AND((_xlfn.XMATCH(BG$8,$AH$8:$CC$8))-_xlfn.XMATCH($C257,$C$35:$C$82)+1&lt;=_xlpm.DepreciationMonths,$C257&lt;=BG$8),$E257/_xlpm.DepreciationMonths,0))</f>
        <v>0</v>
      </c>
      <c r="BH257" s="507" cm="1">
        <f t="array" ref="BH257">_xlfn.LET(_xlpm.DepreciationMonths,INDEX(FixedAssets[Depreciation
/ Amortization Months],_xlfn.XMATCH($E$237,FixedAssets[Asset ID])),IF(AND((_xlfn.XMATCH(BH$8,$AH$8:$CC$8))-_xlfn.XMATCH($C257,$C$35:$C$82)+1&lt;=_xlpm.DepreciationMonths,$C257&lt;=BH$8),$E257/_xlpm.DepreciationMonths,0))</f>
        <v>0</v>
      </c>
      <c r="BI257" s="507" cm="1">
        <f t="array" ref="BI257">_xlfn.LET(_xlpm.DepreciationMonths,INDEX(FixedAssets[Depreciation
/ Amortization Months],_xlfn.XMATCH($E$237,FixedAssets[Asset ID])),IF(AND((_xlfn.XMATCH(BI$8,$AH$8:$CC$8))-_xlfn.XMATCH($C257,$C$35:$C$82)+1&lt;=_xlpm.DepreciationMonths,$C257&lt;=BI$8),$E257/_xlpm.DepreciationMonths,0))</f>
        <v>0</v>
      </c>
      <c r="BJ257" s="507" cm="1">
        <f t="array" ref="BJ257">_xlfn.LET(_xlpm.DepreciationMonths,INDEX(FixedAssets[Depreciation
/ Amortization Months],_xlfn.XMATCH($E$237,FixedAssets[Asset ID])),IF(AND((_xlfn.XMATCH(BJ$8,$AH$8:$CC$8))-_xlfn.XMATCH($C257,$C$35:$C$82)+1&lt;=_xlpm.DepreciationMonths,$C257&lt;=BJ$8),$E257/_xlpm.DepreciationMonths,0))</f>
        <v>0</v>
      </c>
      <c r="BK257" s="507" cm="1">
        <f t="array" ref="BK257">_xlfn.LET(_xlpm.DepreciationMonths,INDEX(FixedAssets[Depreciation
/ Amortization Months],_xlfn.XMATCH($E$237,FixedAssets[Asset ID])),IF(AND((_xlfn.XMATCH(BK$8,$AH$8:$CC$8))-_xlfn.XMATCH($C257,$C$35:$C$82)+1&lt;=_xlpm.DepreciationMonths,$C257&lt;=BK$8),$E257/_xlpm.DepreciationMonths,0))</f>
        <v>0</v>
      </c>
      <c r="BL257" s="507" cm="1">
        <f t="array" ref="BL257">_xlfn.LET(_xlpm.DepreciationMonths,INDEX(FixedAssets[Depreciation
/ Amortization Months],_xlfn.XMATCH($E$237,FixedAssets[Asset ID])),IF(AND((_xlfn.XMATCH(BL$8,$AH$8:$CC$8))-_xlfn.XMATCH($C257,$C$35:$C$82)+1&lt;=_xlpm.DepreciationMonths,$C257&lt;=BL$8),$E257/_xlpm.DepreciationMonths,0))</f>
        <v>0</v>
      </c>
      <c r="BM257" s="507" cm="1">
        <f t="array" ref="BM257">_xlfn.LET(_xlpm.DepreciationMonths,INDEX(FixedAssets[Depreciation
/ Amortization Months],_xlfn.XMATCH($E$237,FixedAssets[Asset ID])),IF(AND((_xlfn.XMATCH(BM$8,$AH$8:$CC$8))-_xlfn.XMATCH($C257,$C$35:$C$82)+1&lt;=_xlpm.DepreciationMonths,$C257&lt;=BM$8),$E257/_xlpm.DepreciationMonths,0))</f>
        <v>0</v>
      </c>
      <c r="BN257" s="507" cm="1">
        <f t="array" ref="BN257">_xlfn.LET(_xlpm.DepreciationMonths,INDEX(FixedAssets[Depreciation
/ Amortization Months],_xlfn.XMATCH($E$237,FixedAssets[Asset ID])),IF(AND((_xlfn.XMATCH(BN$8,$AH$8:$CC$8))-_xlfn.XMATCH($C257,$C$35:$C$82)+1&lt;=_xlpm.DepreciationMonths,$C257&lt;=BN$8),$E257/_xlpm.DepreciationMonths,0))</f>
        <v>0</v>
      </c>
      <c r="BO257" s="507" cm="1">
        <f t="array" ref="BO257">_xlfn.LET(_xlpm.DepreciationMonths,INDEX(FixedAssets[Depreciation
/ Amortization Months],_xlfn.XMATCH($E$237,FixedAssets[Asset ID])),IF(AND((_xlfn.XMATCH(BO$8,$AH$8:$CC$8))-_xlfn.XMATCH($C257,$C$35:$C$82)+1&lt;=_xlpm.DepreciationMonths,$C257&lt;=BO$8),$E257/_xlpm.DepreciationMonths,0))</f>
        <v>0</v>
      </c>
      <c r="BP257" s="507" cm="1">
        <f t="array" ref="BP257">_xlfn.LET(_xlpm.DepreciationMonths,INDEX(FixedAssets[Depreciation
/ Amortization Months],_xlfn.XMATCH($E$237,FixedAssets[Asset ID])),IF(AND((_xlfn.XMATCH(BP$8,$AH$8:$CC$8))-_xlfn.XMATCH($C257,$C$35:$C$82)+1&lt;=_xlpm.DepreciationMonths,$C257&lt;=BP$8),$E257/_xlpm.DepreciationMonths,0))</f>
        <v>0</v>
      </c>
      <c r="BQ257" s="507" cm="1">
        <f t="array" ref="BQ257">_xlfn.LET(_xlpm.DepreciationMonths,INDEX(FixedAssets[Depreciation
/ Amortization Months],_xlfn.XMATCH($E$237,FixedAssets[Asset ID])),IF(AND((_xlfn.XMATCH(BQ$8,$AH$8:$CC$8))-_xlfn.XMATCH($C257,$C$35:$C$82)+1&lt;=_xlpm.DepreciationMonths,$C257&lt;=BQ$8),$E257/_xlpm.DepreciationMonths,0))</f>
        <v>0</v>
      </c>
      <c r="BR257" s="507" cm="1">
        <f t="array" ref="BR257">_xlfn.LET(_xlpm.DepreciationMonths,INDEX(FixedAssets[Depreciation
/ Amortization Months],_xlfn.XMATCH($E$237,FixedAssets[Asset ID])),IF(AND((_xlfn.XMATCH(BR$8,$AH$8:$CC$8))-_xlfn.XMATCH($C257,$C$35:$C$82)+1&lt;=_xlpm.DepreciationMonths,$C257&lt;=BR$8),$E257/_xlpm.DepreciationMonths,0))</f>
        <v>0</v>
      </c>
      <c r="BS257" s="507" cm="1">
        <f t="array" ref="BS257">_xlfn.LET(_xlpm.DepreciationMonths,INDEX(FixedAssets[Depreciation
/ Amortization Months],_xlfn.XMATCH($E$237,FixedAssets[Asset ID])),IF(AND((_xlfn.XMATCH(BS$8,$AH$8:$CC$8))-_xlfn.XMATCH($C257,$C$35:$C$82)+1&lt;=_xlpm.DepreciationMonths,$C257&lt;=BS$8),$E257/_xlpm.DepreciationMonths,0))</f>
        <v>0</v>
      </c>
      <c r="BT257" s="507" cm="1">
        <f t="array" ref="BT257">_xlfn.LET(_xlpm.DepreciationMonths,INDEX(FixedAssets[Depreciation
/ Amortization Months],_xlfn.XMATCH($E$237,FixedAssets[Asset ID])),IF(AND((_xlfn.XMATCH(BT$8,$AH$8:$CC$8))-_xlfn.XMATCH($C257,$C$35:$C$82)+1&lt;=_xlpm.DepreciationMonths,$C257&lt;=BT$8),$E257/_xlpm.DepreciationMonths,0))</f>
        <v>0</v>
      </c>
      <c r="BU257" s="507" cm="1">
        <f t="array" ref="BU257">_xlfn.LET(_xlpm.DepreciationMonths,INDEX(FixedAssets[Depreciation
/ Amortization Months],_xlfn.XMATCH($E$237,FixedAssets[Asset ID])),IF(AND((_xlfn.XMATCH(BU$8,$AH$8:$CC$8))-_xlfn.XMATCH($C257,$C$35:$C$82)+1&lt;=_xlpm.DepreciationMonths,$C257&lt;=BU$8),$E257/_xlpm.DepreciationMonths,0))</f>
        <v>0</v>
      </c>
      <c r="BV257" s="507" cm="1">
        <f t="array" ref="BV257">_xlfn.LET(_xlpm.DepreciationMonths,INDEX(FixedAssets[Depreciation
/ Amortization Months],_xlfn.XMATCH($E$237,FixedAssets[Asset ID])),IF(AND((_xlfn.XMATCH(BV$8,$AH$8:$CC$8))-_xlfn.XMATCH($C257,$C$35:$C$82)+1&lt;=_xlpm.DepreciationMonths,$C257&lt;=BV$8),$E257/_xlpm.DepreciationMonths,0))</f>
        <v>0</v>
      </c>
      <c r="BW257" s="507" cm="1">
        <f t="array" ref="BW257">_xlfn.LET(_xlpm.DepreciationMonths,INDEX(FixedAssets[Depreciation
/ Amortization Months],_xlfn.XMATCH($E$237,FixedAssets[Asset ID])),IF(AND((_xlfn.XMATCH(BW$8,$AH$8:$CC$8))-_xlfn.XMATCH($C257,$C$35:$C$82)+1&lt;=_xlpm.DepreciationMonths,$C257&lt;=BW$8),$E257/_xlpm.DepreciationMonths,0))</f>
        <v>0</v>
      </c>
      <c r="BX257" s="507" cm="1">
        <f t="array" ref="BX257">_xlfn.LET(_xlpm.DepreciationMonths,INDEX(FixedAssets[Depreciation
/ Amortization Months],_xlfn.XMATCH($E$237,FixedAssets[Asset ID])),IF(AND((_xlfn.XMATCH(BX$8,$AH$8:$CC$8))-_xlfn.XMATCH($C257,$C$35:$C$82)+1&lt;=_xlpm.DepreciationMonths,$C257&lt;=BX$8),$E257/_xlpm.DepreciationMonths,0))</f>
        <v>0</v>
      </c>
      <c r="BY257" s="507" cm="1">
        <f t="array" ref="BY257">_xlfn.LET(_xlpm.DepreciationMonths,INDEX(FixedAssets[Depreciation
/ Amortization Months],_xlfn.XMATCH($E$237,FixedAssets[Asset ID])),IF(AND((_xlfn.XMATCH(BY$8,$AH$8:$CC$8))-_xlfn.XMATCH($C257,$C$35:$C$82)+1&lt;=_xlpm.DepreciationMonths,$C257&lt;=BY$8),$E257/_xlpm.DepreciationMonths,0))</f>
        <v>0</v>
      </c>
      <c r="BZ257" s="507" cm="1">
        <f t="array" ref="BZ257">_xlfn.LET(_xlpm.DepreciationMonths,INDEX(FixedAssets[Depreciation
/ Amortization Months],_xlfn.XMATCH($E$237,FixedAssets[Asset ID])),IF(AND((_xlfn.XMATCH(BZ$8,$AH$8:$CC$8))-_xlfn.XMATCH($C257,$C$35:$C$82)+1&lt;=_xlpm.DepreciationMonths,$C257&lt;=BZ$8),$E257/_xlpm.DepreciationMonths,0))</f>
        <v>0</v>
      </c>
      <c r="CA257" s="507" cm="1">
        <f t="array" ref="CA257">_xlfn.LET(_xlpm.DepreciationMonths,INDEX(FixedAssets[Depreciation
/ Amortization Months],_xlfn.XMATCH($E$237,FixedAssets[Asset ID])),IF(AND((_xlfn.XMATCH(CA$8,$AH$8:$CC$8))-_xlfn.XMATCH($C257,$C$35:$C$82)+1&lt;=_xlpm.DepreciationMonths,$C257&lt;=CA$8),$E257/_xlpm.DepreciationMonths,0))</f>
        <v>0</v>
      </c>
      <c r="CB257" s="507" cm="1">
        <f t="array" ref="CB257">_xlfn.LET(_xlpm.DepreciationMonths,INDEX(FixedAssets[Depreciation
/ Amortization Months],_xlfn.XMATCH($E$237,FixedAssets[Asset ID])),IF(AND((_xlfn.XMATCH(CB$8,$AH$8:$CC$8))-_xlfn.XMATCH($C257,$C$35:$C$82)+1&lt;=_xlpm.DepreciationMonths,$C257&lt;=CB$8),$E257/_xlpm.DepreciationMonths,0))</f>
        <v>0</v>
      </c>
      <c r="CC257" s="507" cm="1">
        <f t="array" ref="CC257">_xlfn.LET(_xlpm.DepreciationMonths,INDEX(FixedAssets[Depreciation
/ Amortization Months],_xlfn.XMATCH($E$237,FixedAssets[Asset ID])),IF(AND((_xlfn.XMATCH(CC$8,$AH$8:$CC$8))-_xlfn.XMATCH($C257,$C$35:$C$82)+1&lt;=_xlpm.DepreciationMonths,$C257&lt;=CC$8),$E257/_xlpm.DepreciationMonths,0))</f>
        <v>0</v>
      </c>
    </row>
    <row r="258" spans="3:81" hidden="1" outlineLevel="2">
      <c r="C258" s="664">
        <f t="shared" si="267"/>
        <v>45535</v>
      </c>
      <c r="D258" s="508"/>
      <c r="E258" s="508" cm="1">
        <f t="array" ref="E258">SUMPRODUCT(($AH$26:$CC$31)*($AH$5:$CC$5=$C258)*($E$26:$E$31=E$237))-SUMPRODUCT(($AH$26:$CC$31)*($AH$5:$CC$5=EOMONTH($C258,-1))*($E$26:$E$31=E$237))</f>
        <v>0</v>
      </c>
      <c r="F258" s="508"/>
      <c r="G258" s="508"/>
      <c r="H258" s="508"/>
      <c r="I258" s="508"/>
      <c r="J258" s="504">
        <f t="shared" si="265"/>
        <v>0</v>
      </c>
      <c r="K258" s="504">
        <f t="shared" si="265"/>
        <v>0</v>
      </c>
      <c r="L258" s="504">
        <f t="shared" si="265"/>
        <v>0</v>
      </c>
      <c r="M258" s="504">
        <f t="shared" si="265"/>
        <v>0</v>
      </c>
      <c r="N258" s="504"/>
      <c r="O258" s="504"/>
      <c r="P258" s="504">
        <f t="shared" si="269"/>
        <v>0</v>
      </c>
      <c r="Q258" s="504">
        <f t="shared" si="269"/>
        <v>0</v>
      </c>
      <c r="R258" s="504">
        <f t="shared" si="269"/>
        <v>0</v>
      </c>
      <c r="S258" s="504">
        <f t="shared" si="269"/>
        <v>0</v>
      </c>
      <c r="T258" s="504">
        <f t="shared" si="269"/>
        <v>0</v>
      </c>
      <c r="U258" s="504">
        <f t="shared" si="269"/>
        <v>0</v>
      </c>
      <c r="V258" s="504">
        <f t="shared" si="269"/>
        <v>0</v>
      </c>
      <c r="W258" s="504">
        <f t="shared" si="269"/>
        <v>0</v>
      </c>
      <c r="X258" s="504">
        <f t="shared" si="269"/>
        <v>0</v>
      </c>
      <c r="Y258" s="504">
        <f t="shared" si="269"/>
        <v>0</v>
      </c>
      <c r="Z258" s="504">
        <f t="shared" si="269"/>
        <v>0</v>
      </c>
      <c r="AA258" s="504">
        <f t="shared" si="269"/>
        <v>0</v>
      </c>
      <c r="AB258" s="504">
        <f t="shared" si="269"/>
        <v>0</v>
      </c>
      <c r="AC258" s="504">
        <f t="shared" si="269"/>
        <v>0</v>
      </c>
      <c r="AD258" s="504">
        <f t="shared" si="269"/>
        <v>0</v>
      </c>
      <c r="AE258" s="504">
        <f t="shared" si="269"/>
        <v>0</v>
      </c>
      <c r="AF258" s="508"/>
      <c r="AG258" s="508"/>
      <c r="AH258" s="507" cm="1">
        <f t="array" ref="AH258">_xlfn.LET(_xlpm.DepreciationMonths,INDEX(FixedAssets[Depreciation
/ Amortization Months],_xlfn.XMATCH($E$237,FixedAssets[Asset ID])),IF(AND((_xlfn.XMATCH(AH$8,$AH$8:$CC$8))-_xlfn.XMATCH($C258,$C$35:$C$82)+1&lt;=_xlpm.DepreciationMonths,$C258&lt;=AH$8),$E258/_xlpm.DepreciationMonths,0))</f>
        <v>0</v>
      </c>
      <c r="AI258" s="507" cm="1">
        <f t="array" ref="AI258">_xlfn.LET(_xlpm.DepreciationMonths,INDEX(FixedAssets[Depreciation
/ Amortization Months],_xlfn.XMATCH($E$237,FixedAssets[Asset ID])),IF(AND((_xlfn.XMATCH(AI$8,$AH$8:$CC$8))-_xlfn.XMATCH($C258,$C$35:$C$82)+1&lt;=_xlpm.DepreciationMonths,$C258&lt;=AI$8),$E258/_xlpm.DepreciationMonths,0))</f>
        <v>0</v>
      </c>
      <c r="AJ258" s="507" cm="1">
        <f t="array" ref="AJ258">_xlfn.LET(_xlpm.DepreciationMonths,INDEX(FixedAssets[Depreciation
/ Amortization Months],_xlfn.XMATCH($E$237,FixedAssets[Asset ID])),IF(AND((_xlfn.XMATCH(AJ$8,$AH$8:$CC$8))-_xlfn.XMATCH($C258,$C$35:$C$82)+1&lt;=_xlpm.DepreciationMonths,$C258&lt;=AJ$8),$E258/_xlpm.DepreciationMonths,0))</f>
        <v>0</v>
      </c>
      <c r="AK258" s="507" cm="1">
        <f t="array" ref="AK258">_xlfn.LET(_xlpm.DepreciationMonths,INDEX(FixedAssets[Depreciation
/ Amortization Months],_xlfn.XMATCH($E$237,FixedAssets[Asset ID])),IF(AND((_xlfn.XMATCH(AK$8,$AH$8:$CC$8))-_xlfn.XMATCH($C258,$C$35:$C$82)+1&lt;=_xlpm.DepreciationMonths,$C258&lt;=AK$8),$E258/_xlpm.DepreciationMonths,0))</f>
        <v>0</v>
      </c>
      <c r="AL258" s="507" cm="1">
        <f t="array" ref="AL258">_xlfn.LET(_xlpm.DepreciationMonths,INDEX(FixedAssets[Depreciation
/ Amortization Months],_xlfn.XMATCH($E$237,FixedAssets[Asset ID])),IF(AND((_xlfn.XMATCH(AL$8,$AH$8:$CC$8))-_xlfn.XMATCH($C258,$C$35:$C$82)+1&lt;=_xlpm.DepreciationMonths,$C258&lt;=AL$8),$E258/_xlpm.DepreciationMonths,0))</f>
        <v>0</v>
      </c>
      <c r="AM258" s="507" cm="1">
        <f t="array" ref="AM258">_xlfn.LET(_xlpm.DepreciationMonths,INDEX(FixedAssets[Depreciation
/ Amortization Months],_xlfn.XMATCH($E$237,FixedAssets[Asset ID])),IF(AND((_xlfn.XMATCH(AM$8,$AH$8:$CC$8))-_xlfn.XMATCH($C258,$C$35:$C$82)+1&lt;=_xlpm.DepreciationMonths,$C258&lt;=AM$8),$E258/_xlpm.DepreciationMonths,0))</f>
        <v>0</v>
      </c>
      <c r="AN258" s="507" cm="1">
        <f t="array" ref="AN258">_xlfn.LET(_xlpm.DepreciationMonths,INDEX(FixedAssets[Depreciation
/ Amortization Months],_xlfn.XMATCH($E$237,FixedAssets[Asset ID])),IF(AND((_xlfn.XMATCH(AN$8,$AH$8:$CC$8))-_xlfn.XMATCH($C258,$C$35:$C$82)+1&lt;=_xlpm.DepreciationMonths,$C258&lt;=AN$8),$E258/_xlpm.DepreciationMonths,0))</f>
        <v>0</v>
      </c>
      <c r="AO258" s="507" cm="1">
        <f t="array" ref="AO258">_xlfn.LET(_xlpm.DepreciationMonths,INDEX(FixedAssets[Depreciation
/ Amortization Months],_xlfn.XMATCH($E$237,FixedAssets[Asset ID])),IF(AND((_xlfn.XMATCH(AO$8,$AH$8:$CC$8))-_xlfn.XMATCH($C258,$C$35:$C$82)+1&lt;=_xlpm.DepreciationMonths,$C258&lt;=AO$8),$E258/_xlpm.DepreciationMonths,0))</f>
        <v>0</v>
      </c>
      <c r="AP258" s="507" cm="1">
        <f t="array" ref="AP258">_xlfn.LET(_xlpm.DepreciationMonths,INDEX(FixedAssets[Depreciation
/ Amortization Months],_xlfn.XMATCH($E$237,FixedAssets[Asset ID])),IF(AND((_xlfn.XMATCH(AP$8,$AH$8:$CC$8))-_xlfn.XMATCH($C258,$C$35:$C$82)+1&lt;=_xlpm.DepreciationMonths,$C258&lt;=AP$8),$E258/_xlpm.DepreciationMonths,0))</f>
        <v>0</v>
      </c>
      <c r="AQ258" s="507" cm="1">
        <f t="array" ref="AQ258">_xlfn.LET(_xlpm.DepreciationMonths,INDEX(FixedAssets[Depreciation
/ Amortization Months],_xlfn.XMATCH($E$237,FixedAssets[Asset ID])),IF(AND((_xlfn.XMATCH(AQ$8,$AH$8:$CC$8))-_xlfn.XMATCH($C258,$C$35:$C$82)+1&lt;=_xlpm.DepreciationMonths,$C258&lt;=AQ$8),$E258/_xlpm.DepreciationMonths,0))</f>
        <v>0</v>
      </c>
      <c r="AR258" s="507" cm="1">
        <f t="array" ref="AR258">_xlfn.LET(_xlpm.DepreciationMonths,INDEX(FixedAssets[Depreciation
/ Amortization Months],_xlfn.XMATCH($E$237,FixedAssets[Asset ID])),IF(AND((_xlfn.XMATCH(AR$8,$AH$8:$CC$8))-_xlfn.XMATCH($C258,$C$35:$C$82)+1&lt;=_xlpm.DepreciationMonths,$C258&lt;=AR$8),$E258/_xlpm.DepreciationMonths,0))</f>
        <v>0</v>
      </c>
      <c r="AS258" s="507" cm="1">
        <f t="array" ref="AS258">_xlfn.LET(_xlpm.DepreciationMonths,INDEX(FixedAssets[Depreciation
/ Amortization Months],_xlfn.XMATCH($E$237,FixedAssets[Asset ID])),IF(AND((_xlfn.XMATCH(AS$8,$AH$8:$CC$8))-_xlfn.XMATCH($C258,$C$35:$C$82)+1&lt;=_xlpm.DepreciationMonths,$C258&lt;=AS$8),$E258/_xlpm.DepreciationMonths,0))</f>
        <v>0</v>
      </c>
      <c r="AT258" s="507" cm="1">
        <f t="array" ref="AT258">_xlfn.LET(_xlpm.DepreciationMonths,INDEX(FixedAssets[Depreciation
/ Amortization Months],_xlfn.XMATCH($E$237,FixedAssets[Asset ID])),IF(AND((_xlfn.XMATCH(AT$8,$AH$8:$CC$8))-_xlfn.XMATCH($C258,$C$35:$C$82)+1&lt;=_xlpm.DepreciationMonths,$C258&lt;=AT$8),$E258/_xlpm.DepreciationMonths,0))</f>
        <v>0</v>
      </c>
      <c r="AU258" s="507" cm="1">
        <f t="array" ref="AU258">_xlfn.LET(_xlpm.DepreciationMonths,INDEX(FixedAssets[Depreciation
/ Amortization Months],_xlfn.XMATCH($E$237,FixedAssets[Asset ID])),IF(AND((_xlfn.XMATCH(AU$8,$AH$8:$CC$8))-_xlfn.XMATCH($C258,$C$35:$C$82)+1&lt;=_xlpm.DepreciationMonths,$C258&lt;=AU$8),$E258/_xlpm.DepreciationMonths,0))</f>
        <v>0</v>
      </c>
      <c r="AV258" s="507" cm="1">
        <f t="array" ref="AV258">_xlfn.LET(_xlpm.DepreciationMonths,INDEX(FixedAssets[Depreciation
/ Amortization Months],_xlfn.XMATCH($E$237,FixedAssets[Asset ID])),IF(AND((_xlfn.XMATCH(AV$8,$AH$8:$CC$8))-_xlfn.XMATCH($C258,$C$35:$C$82)+1&lt;=_xlpm.DepreciationMonths,$C258&lt;=AV$8),$E258/_xlpm.DepreciationMonths,0))</f>
        <v>0</v>
      </c>
      <c r="AW258" s="507" cm="1">
        <f t="array" ref="AW258">_xlfn.LET(_xlpm.DepreciationMonths,INDEX(FixedAssets[Depreciation
/ Amortization Months],_xlfn.XMATCH($E$237,FixedAssets[Asset ID])),IF(AND((_xlfn.XMATCH(AW$8,$AH$8:$CC$8))-_xlfn.XMATCH($C258,$C$35:$C$82)+1&lt;=_xlpm.DepreciationMonths,$C258&lt;=AW$8),$E258/_xlpm.DepreciationMonths,0))</f>
        <v>0</v>
      </c>
      <c r="AX258" s="507" cm="1">
        <f t="array" ref="AX258">_xlfn.LET(_xlpm.DepreciationMonths,INDEX(FixedAssets[Depreciation
/ Amortization Months],_xlfn.XMATCH($E$237,FixedAssets[Asset ID])),IF(AND((_xlfn.XMATCH(AX$8,$AH$8:$CC$8))-_xlfn.XMATCH($C258,$C$35:$C$82)+1&lt;=_xlpm.DepreciationMonths,$C258&lt;=AX$8),$E258/_xlpm.DepreciationMonths,0))</f>
        <v>0</v>
      </c>
      <c r="AY258" s="507" cm="1">
        <f t="array" ref="AY258">_xlfn.LET(_xlpm.DepreciationMonths,INDEX(FixedAssets[Depreciation
/ Amortization Months],_xlfn.XMATCH($E$237,FixedAssets[Asset ID])),IF(AND((_xlfn.XMATCH(AY$8,$AH$8:$CC$8))-_xlfn.XMATCH($C258,$C$35:$C$82)+1&lt;=_xlpm.DepreciationMonths,$C258&lt;=AY$8),$E258/_xlpm.DepreciationMonths,0))</f>
        <v>0</v>
      </c>
      <c r="AZ258" s="507" cm="1">
        <f t="array" ref="AZ258">_xlfn.LET(_xlpm.DepreciationMonths,INDEX(FixedAssets[Depreciation
/ Amortization Months],_xlfn.XMATCH($E$237,FixedAssets[Asset ID])),IF(AND((_xlfn.XMATCH(AZ$8,$AH$8:$CC$8))-_xlfn.XMATCH($C258,$C$35:$C$82)+1&lt;=_xlpm.DepreciationMonths,$C258&lt;=AZ$8),$E258/_xlpm.DepreciationMonths,0))</f>
        <v>0</v>
      </c>
      <c r="BA258" s="507" cm="1">
        <f t="array" ref="BA258">_xlfn.LET(_xlpm.DepreciationMonths,INDEX(FixedAssets[Depreciation
/ Amortization Months],_xlfn.XMATCH($E$237,FixedAssets[Asset ID])),IF(AND((_xlfn.XMATCH(BA$8,$AH$8:$CC$8))-_xlfn.XMATCH($C258,$C$35:$C$82)+1&lt;=_xlpm.DepreciationMonths,$C258&lt;=BA$8),$E258/_xlpm.DepreciationMonths,0))</f>
        <v>0</v>
      </c>
      <c r="BB258" s="507" cm="1">
        <f t="array" ref="BB258">_xlfn.LET(_xlpm.DepreciationMonths,INDEX(FixedAssets[Depreciation
/ Amortization Months],_xlfn.XMATCH($E$237,FixedAssets[Asset ID])),IF(AND((_xlfn.XMATCH(BB$8,$AH$8:$CC$8))-_xlfn.XMATCH($C258,$C$35:$C$82)+1&lt;=_xlpm.DepreciationMonths,$C258&lt;=BB$8),$E258/_xlpm.DepreciationMonths,0))</f>
        <v>0</v>
      </c>
      <c r="BC258" s="507" cm="1">
        <f t="array" ref="BC258">_xlfn.LET(_xlpm.DepreciationMonths,INDEX(FixedAssets[Depreciation
/ Amortization Months],_xlfn.XMATCH($E$237,FixedAssets[Asset ID])),IF(AND((_xlfn.XMATCH(BC$8,$AH$8:$CC$8))-_xlfn.XMATCH($C258,$C$35:$C$82)+1&lt;=_xlpm.DepreciationMonths,$C258&lt;=BC$8),$E258/_xlpm.DepreciationMonths,0))</f>
        <v>0</v>
      </c>
      <c r="BD258" s="507" cm="1">
        <f t="array" ref="BD258">_xlfn.LET(_xlpm.DepreciationMonths,INDEX(FixedAssets[Depreciation
/ Amortization Months],_xlfn.XMATCH($E$237,FixedAssets[Asset ID])),IF(AND((_xlfn.XMATCH(BD$8,$AH$8:$CC$8))-_xlfn.XMATCH($C258,$C$35:$C$82)+1&lt;=_xlpm.DepreciationMonths,$C258&lt;=BD$8),$E258/_xlpm.DepreciationMonths,0))</f>
        <v>0</v>
      </c>
      <c r="BE258" s="507" cm="1">
        <f t="array" ref="BE258">_xlfn.LET(_xlpm.DepreciationMonths,INDEX(FixedAssets[Depreciation
/ Amortization Months],_xlfn.XMATCH($E$237,FixedAssets[Asset ID])),IF(AND((_xlfn.XMATCH(BE$8,$AH$8:$CC$8))-_xlfn.XMATCH($C258,$C$35:$C$82)+1&lt;=_xlpm.DepreciationMonths,$C258&lt;=BE$8),$E258/_xlpm.DepreciationMonths,0))</f>
        <v>0</v>
      </c>
      <c r="BF258" s="507" cm="1">
        <f t="array" ref="BF258">_xlfn.LET(_xlpm.DepreciationMonths,INDEX(FixedAssets[Depreciation
/ Amortization Months],_xlfn.XMATCH($E$237,FixedAssets[Asset ID])),IF(AND((_xlfn.XMATCH(BF$8,$AH$8:$CC$8))-_xlfn.XMATCH($C258,$C$35:$C$82)+1&lt;=_xlpm.DepreciationMonths,$C258&lt;=BF$8),$E258/_xlpm.DepreciationMonths,0))</f>
        <v>0</v>
      </c>
      <c r="BG258" s="507" cm="1">
        <f t="array" ref="BG258">_xlfn.LET(_xlpm.DepreciationMonths,INDEX(FixedAssets[Depreciation
/ Amortization Months],_xlfn.XMATCH($E$237,FixedAssets[Asset ID])),IF(AND((_xlfn.XMATCH(BG$8,$AH$8:$CC$8))-_xlfn.XMATCH($C258,$C$35:$C$82)+1&lt;=_xlpm.DepreciationMonths,$C258&lt;=BG$8),$E258/_xlpm.DepreciationMonths,0))</f>
        <v>0</v>
      </c>
      <c r="BH258" s="507" cm="1">
        <f t="array" ref="BH258">_xlfn.LET(_xlpm.DepreciationMonths,INDEX(FixedAssets[Depreciation
/ Amortization Months],_xlfn.XMATCH($E$237,FixedAssets[Asset ID])),IF(AND((_xlfn.XMATCH(BH$8,$AH$8:$CC$8))-_xlfn.XMATCH($C258,$C$35:$C$82)+1&lt;=_xlpm.DepreciationMonths,$C258&lt;=BH$8),$E258/_xlpm.DepreciationMonths,0))</f>
        <v>0</v>
      </c>
      <c r="BI258" s="507" cm="1">
        <f t="array" ref="BI258">_xlfn.LET(_xlpm.DepreciationMonths,INDEX(FixedAssets[Depreciation
/ Amortization Months],_xlfn.XMATCH($E$237,FixedAssets[Asset ID])),IF(AND((_xlfn.XMATCH(BI$8,$AH$8:$CC$8))-_xlfn.XMATCH($C258,$C$35:$C$82)+1&lt;=_xlpm.DepreciationMonths,$C258&lt;=BI$8),$E258/_xlpm.DepreciationMonths,0))</f>
        <v>0</v>
      </c>
      <c r="BJ258" s="507" cm="1">
        <f t="array" ref="BJ258">_xlfn.LET(_xlpm.DepreciationMonths,INDEX(FixedAssets[Depreciation
/ Amortization Months],_xlfn.XMATCH($E$237,FixedAssets[Asset ID])),IF(AND((_xlfn.XMATCH(BJ$8,$AH$8:$CC$8))-_xlfn.XMATCH($C258,$C$35:$C$82)+1&lt;=_xlpm.DepreciationMonths,$C258&lt;=BJ$8),$E258/_xlpm.DepreciationMonths,0))</f>
        <v>0</v>
      </c>
      <c r="BK258" s="507" cm="1">
        <f t="array" ref="BK258">_xlfn.LET(_xlpm.DepreciationMonths,INDEX(FixedAssets[Depreciation
/ Amortization Months],_xlfn.XMATCH($E$237,FixedAssets[Asset ID])),IF(AND((_xlfn.XMATCH(BK$8,$AH$8:$CC$8))-_xlfn.XMATCH($C258,$C$35:$C$82)+1&lt;=_xlpm.DepreciationMonths,$C258&lt;=BK$8),$E258/_xlpm.DepreciationMonths,0))</f>
        <v>0</v>
      </c>
      <c r="BL258" s="507" cm="1">
        <f t="array" ref="BL258">_xlfn.LET(_xlpm.DepreciationMonths,INDEX(FixedAssets[Depreciation
/ Amortization Months],_xlfn.XMATCH($E$237,FixedAssets[Asset ID])),IF(AND((_xlfn.XMATCH(BL$8,$AH$8:$CC$8))-_xlfn.XMATCH($C258,$C$35:$C$82)+1&lt;=_xlpm.DepreciationMonths,$C258&lt;=BL$8),$E258/_xlpm.DepreciationMonths,0))</f>
        <v>0</v>
      </c>
      <c r="BM258" s="507" cm="1">
        <f t="array" ref="BM258">_xlfn.LET(_xlpm.DepreciationMonths,INDEX(FixedAssets[Depreciation
/ Amortization Months],_xlfn.XMATCH($E$237,FixedAssets[Asset ID])),IF(AND((_xlfn.XMATCH(BM$8,$AH$8:$CC$8))-_xlfn.XMATCH($C258,$C$35:$C$82)+1&lt;=_xlpm.DepreciationMonths,$C258&lt;=BM$8),$E258/_xlpm.DepreciationMonths,0))</f>
        <v>0</v>
      </c>
      <c r="BN258" s="507" cm="1">
        <f t="array" ref="BN258">_xlfn.LET(_xlpm.DepreciationMonths,INDEX(FixedAssets[Depreciation
/ Amortization Months],_xlfn.XMATCH($E$237,FixedAssets[Asset ID])),IF(AND((_xlfn.XMATCH(BN$8,$AH$8:$CC$8))-_xlfn.XMATCH($C258,$C$35:$C$82)+1&lt;=_xlpm.DepreciationMonths,$C258&lt;=BN$8),$E258/_xlpm.DepreciationMonths,0))</f>
        <v>0</v>
      </c>
      <c r="BO258" s="507" cm="1">
        <f t="array" ref="BO258">_xlfn.LET(_xlpm.DepreciationMonths,INDEX(FixedAssets[Depreciation
/ Amortization Months],_xlfn.XMATCH($E$237,FixedAssets[Asset ID])),IF(AND((_xlfn.XMATCH(BO$8,$AH$8:$CC$8))-_xlfn.XMATCH($C258,$C$35:$C$82)+1&lt;=_xlpm.DepreciationMonths,$C258&lt;=BO$8),$E258/_xlpm.DepreciationMonths,0))</f>
        <v>0</v>
      </c>
      <c r="BP258" s="507" cm="1">
        <f t="array" ref="BP258">_xlfn.LET(_xlpm.DepreciationMonths,INDEX(FixedAssets[Depreciation
/ Amortization Months],_xlfn.XMATCH($E$237,FixedAssets[Asset ID])),IF(AND((_xlfn.XMATCH(BP$8,$AH$8:$CC$8))-_xlfn.XMATCH($C258,$C$35:$C$82)+1&lt;=_xlpm.DepreciationMonths,$C258&lt;=BP$8),$E258/_xlpm.DepreciationMonths,0))</f>
        <v>0</v>
      </c>
      <c r="BQ258" s="507" cm="1">
        <f t="array" ref="BQ258">_xlfn.LET(_xlpm.DepreciationMonths,INDEX(FixedAssets[Depreciation
/ Amortization Months],_xlfn.XMATCH($E$237,FixedAssets[Asset ID])),IF(AND((_xlfn.XMATCH(BQ$8,$AH$8:$CC$8))-_xlfn.XMATCH($C258,$C$35:$C$82)+1&lt;=_xlpm.DepreciationMonths,$C258&lt;=BQ$8),$E258/_xlpm.DepreciationMonths,0))</f>
        <v>0</v>
      </c>
      <c r="BR258" s="507" cm="1">
        <f t="array" ref="BR258">_xlfn.LET(_xlpm.DepreciationMonths,INDEX(FixedAssets[Depreciation
/ Amortization Months],_xlfn.XMATCH($E$237,FixedAssets[Asset ID])),IF(AND((_xlfn.XMATCH(BR$8,$AH$8:$CC$8))-_xlfn.XMATCH($C258,$C$35:$C$82)+1&lt;=_xlpm.DepreciationMonths,$C258&lt;=BR$8),$E258/_xlpm.DepreciationMonths,0))</f>
        <v>0</v>
      </c>
      <c r="BS258" s="507" cm="1">
        <f t="array" ref="BS258">_xlfn.LET(_xlpm.DepreciationMonths,INDEX(FixedAssets[Depreciation
/ Amortization Months],_xlfn.XMATCH($E$237,FixedAssets[Asset ID])),IF(AND((_xlfn.XMATCH(BS$8,$AH$8:$CC$8))-_xlfn.XMATCH($C258,$C$35:$C$82)+1&lt;=_xlpm.DepreciationMonths,$C258&lt;=BS$8),$E258/_xlpm.DepreciationMonths,0))</f>
        <v>0</v>
      </c>
      <c r="BT258" s="507" cm="1">
        <f t="array" ref="BT258">_xlfn.LET(_xlpm.DepreciationMonths,INDEX(FixedAssets[Depreciation
/ Amortization Months],_xlfn.XMATCH($E$237,FixedAssets[Asset ID])),IF(AND((_xlfn.XMATCH(BT$8,$AH$8:$CC$8))-_xlfn.XMATCH($C258,$C$35:$C$82)+1&lt;=_xlpm.DepreciationMonths,$C258&lt;=BT$8),$E258/_xlpm.DepreciationMonths,0))</f>
        <v>0</v>
      </c>
      <c r="BU258" s="507" cm="1">
        <f t="array" ref="BU258">_xlfn.LET(_xlpm.DepreciationMonths,INDEX(FixedAssets[Depreciation
/ Amortization Months],_xlfn.XMATCH($E$237,FixedAssets[Asset ID])),IF(AND((_xlfn.XMATCH(BU$8,$AH$8:$CC$8))-_xlfn.XMATCH($C258,$C$35:$C$82)+1&lt;=_xlpm.DepreciationMonths,$C258&lt;=BU$8),$E258/_xlpm.DepreciationMonths,0))</f>
        <v>0</v>
      </c>
      <c r="BV258" s="507" cm="1">
        <f t="array" ref="BV258">_xlfn.LET(_xlpm.DepreciationMonths,INDEX(FixedAssets[Depreciation
/ Amortization Months],_xlfn.XMATCH($E$237,FixedAssets[Asset ID])),IF(AND((_xlfn.XMATCH(BV$8,$AH$8:$CC$8))-_xlfn.XMATCH($C258,$C$35:$C$82)+1&lt;=_xlpm.DepreciationMonths,$C258&lt;=BV$8),$E258/_xlpm.DepreciationMonths,0))</f>
        <v>0</v>
      </c>
      <c r="BW258" s="507" cm="1">
        <f t="array" ref="BW258">_xlfn.LET(_xlpm.DepreciationMonths,INDEX(FixedAssets[Depreciation
/ Amortization Months],_xlfn.XMATCH($E$237,FixedAssets[Asset ID])),IF(AND((_xlfn.XMATCH(BW$8,$AH$8:$CC$8))-_xlfn.XMATCH($C258,$C$35:$C$82)+1&lt;=_xlpm.DepreciationMonths,$C258&lt;=BW$8),$E258/_xlpm.DepreciationMonths,0))</f>
        <v>0</v>
      </c>
      <c r="BX258" s="507" cm="1">
        <f t="array" ref="BX258">_xlfn.LET(_xlpm.DepreciationMonths,INDEX(FixedAssets[Depreciation
/ Amortization Months],_xlfn.XMATCH($E$237,FixedAssets[Asset ID])),IF(AND((_xlfn.XMATCH(BX$8,$AH$8:$CC$8))-_xlfn.XMATCH($C258,$C$35:$C$82)+1&lt;=_xlpm.DepreciationMonths,$C258&lt;=BX$8),$E258/_xlpm.DepreciationMonths,0))</f>
        <v>0</v>
      </c>
      <c r="BY258" s="507" cm="1">
        <f t="array" ref="BY258">_xlfn.LET(_xlpm.DepreciationMonths,INDEX(FixedAssets[Depreciation
/ Amortization Months],_xlfn.XMATCH($E$237,FixedAssets[Asset ID])),IF(AND((_xlfn.XMATCH(BY$8,$AH$8:$CC$8))-_xlfn.XMATCH($C258,$C$35:$C$82)+1&lt;=_xlpm.DepreciationMonths,$C258&lt;=BY$8),$E258/_xlpm.DepreciationMonths,0))</f>
        <v>0</v>
      </c>
      <c r="BZ258" s="507" cm="1">
        <f t="array" ref="BZ258">_xlfn.LET(_xlpm.DepreciationMonths,INDEX(FixedAssets[Depreciation
/ Amortization Months],_xlfn.XMATCH($E$237,FixedAssets[Asset ID])),IF(AND((_xlfn.XMATCH(BZ$8,$AH$8:$CC$8))-_xlfn.XMATCH($C258,$C$35:$C$82)+1&lt;=_xlpm.DepreciationMonths,$C258&lt;=BZ$8),$E258/_xlpm.DepreciationMonths,0))</f>
        <v>0</v>
      </c>
      <c r="CA258" s="507" cm="1">
        <f t="array" ref="CA258">_xlfn.LET(_xlpm.DepreciationMonths,INDEX(FixedAssets[Depreciation
/ Amortization Months],_xlfn.XMATCH($E$237,FixedAssets[Asset ID])),IF(AND((_xlfn.XMATCH(CA$8,$AH$8:$CC$8))-_xlfn.XMATCH($C258,$C$35:$C$82)+1&lt;=_xlpm.DepreciationMonths,$C258&lt;=CA$8),$E258/_xlpm.DepreciationMonths,0))</f>
        <v>0</v>
      </c>
      <c r="CB258" s="507" cm="1">
        <f t="array" ref="CB258">_xlfn.LET(_xlpm.DepreciationMonths,INDEX(FixedAssets[Depreciation
/ Amortization Months],_xlfn.XMATCH($E$237,FixedAssets[Asset ID])),IF(AND((_xlfn.XMATCH(CB$8,$AH$8:$CC$8))-_xlfn.XMATCH($C258,$C$35:$C$82)+1&lt;=_xlpm.DepreciationMonths,$C258&lt;=CB$8),$E258/_xlpm.DepreciationMonths,0))</f>
        <v>0</v>
      </c>
      <c r="CC258" s="507" cm="1">
        <f t="array" ref="CC258">_xlfn.LET(_xlpm.DepreciationMonths,INDEX(FixedAssets[Depreciation
/ Amortization Months],_xlfn.XMATCH($E$237,FixedAssets[Asset ID])),IF(AND((_xlfn.XMATCH(CC$8,$AH$8:$CC$8))-_xlfn.XMATCH($C258,$C$35:$C$82)+1&lt;=_xlpm.DepreciationMonths,$C258&lt;=CC$8),$E258/_xlpm.DepreciationMonths,0))</f>
        <v>0</v>
      </c>
    </row>
    <row r="259" spans="3:81" hidden="1" outlineLevel="2">
      <c r="C259" s="664">
        <f t="shared" si="267"/>
        <v>45565</v>
      </c>
      <c r="D259" s="508"/>
      <c r="E259" s="508" cm="1">
        <f t="array" ref="E259">SUMPRODUCT(($AH$26:$CC$31)*($AH$5:$CC$5=$C259)*($E$26:$E$31=E$237))-SUMPRODUCT(($AH$26:$CC$31)*($AH$5:$CC$5=EOMONTH($C259,-1))*($E$26:$E$31=E$237))</f>
        <v>0</v>
      </c>
      <c r="F259" s="508"/>
      <c r="G259" s="508"/>
      <c r="H259" s="508"/>
      <c r="I259" s="508"/>
      <c r="J259" s="504">
        <f t="shared" si="265"/>
        <v>0</v>
      </c>
      <c r="K259" s="504">
        <f t="shared" si="265"/>
        <v>0</v>
      </c>
      <c r="L259" s="504">
        <f t="shared" si="265"/>
        <v>0</v>
      </c>
      <c r="M259" s="504">
        <f t="shared" si="265"/>
        <v>0</v>
      </c>
      <c r="N259" s="504"/>
      <c r="O259" s="504"/>
      <c r="P259" s="504">
        <f t="shared" si="269"/>
        <v>0</v>
      </c>
      <c r="Q259" s="504">
        <f t="shared" si="269"/>
        <v>0</v>
      </c>
      <c r="R259" s="504">
        <f t="shared" si="269"/>
        <v>0</v>
      </c>
      <c r="S259" s="504">
        <f t="shared" si="269"/>
        <v>0</v>
      </c>
      <c r="T259" s="504">
        <f t="shared" si="269"/>
        <v>0</v>
      </c>
      <c r="U259" s="504">
        <f t="shared" si="269"/>
        <v>0</v>
      </c>
      <c r="V259" s="504">
        <f t="shared" si="269"/>
        <v>0</v>
      </c>
      <c r="W259" s="504">
        <f t="shared" si="269"/>
        <v>0</v>
      </c>
      <c r="X259" s="504">
        <f t="shared" si="269"/>
        <v>0</v>
      </c>
      <c r="Y259" s="504">
        <f t="shared" si="269"/>
        <v>0</v>
      </c>
      <c r="Z259" s="504">
        <f t="shared" si="269"/>
        <v>0</v>
      </c>
      <c r="AA259" s="504">
        <f t="shared" si="269"/>
        <v>0</v>
      </c>
      <c r="AB259" s="504">
        <f t="shared" si="269"/>
        <v>0</v>
      </c>
      <c r="AC259" s="504">
        <f t="shared" si="269"/>
        <v>0</v>
      </c>
      <c r="AD259" s="504">
        <f t="shared" si="269"/>
        <v>0</v>
      </c>
      <c r="AE259" s="504">
        <f t="shared" si="269"/>
        <v>0</v>
      </c>
      <c r="AF259" s="508"/>
      <c r="AG259" s="508"/>
      <c r="AH259" s="507" cm="1">
        <f t="array" ref="AH259">_xlfn.LET(_xlpm.DepreciationMonths,INDEX(FixedAssets[Depreciation
/ Amortization Months],_xlfn.XMATCH($E$237,FixedAssets[Asset ID])),IF(AND((_xlfn.XMATCH(AH$8,$AH$8:$CC$8))-_xlfn.XMATCH($C259,$C$35:$C$82)+1&lt;=_xlpm.DepreciationMonths,$C259&lt;=AH$8),$E259/_xlpm.DepreciationMonths,0))</f>
        <v>0</v>
      </c>
      <c r="AI259" s="507" cm="1">
        <f t="array" ref="AI259">_xlfn.LET(_xlpm.DepreciationMonths,INDEX(FixedAssets[Depreciation
/ Amortization Months],_xlfn.XMATCH($E$237,FixedAssets[Asset ID])),IF(AND((_xlfn.XMATCH(AI$8,$AH$8:$CC$8))-_xlfn.XMATCH($C259,$C$35:$C$82)+1&lt;=_xlpm.DepreciationMonths,$C259&lt;=AI$8),$E259/_xlpm.DepreciationMonths,0))</f>
        <v>0</v>
      </c>
      <c r="AJ259" s="507" cm="1">
        <f t="array" ref="AJ259">_xlfn.LET(_xlpm.DepreciationMonths,INDEX(FixedAssets[Depreciation
/ Amortization Months],_xlfn.XMATCH($E$237,FixedAssets[Asset ID])),IF(AND((_xlfn.XMATCH(AJ$8,$AH$8:$CC$8))-_xlfn.XMATCH($C259,$C$35:$C$82)+1&lt;=_xlpm.DepreciationMonths,$C259&lt;=AJ$8),$E259/_xlpm.DepreciationMonths,0))</f>
        <v>0</v>
      </c>
      <c r="AK259" s="507" cm="1">
        <f t="array" ref="AK259">_xlfn.LET(_xlpm.DepreciationMonths,INDEX(FixedAssets[Depreciation
/ Amortization Months],_xlfn.XMATCH($E$237,FixedAssets[Asset ID])),IF(AND((_xlfn.XMATCH(AK$8,$AH$8:$CC$8))-_xlfn.XMATCH($C259,$C$35:$C$82)+1&lt;=_xlpm.DepreciationMonths,$C259&lt;=AK$8),$E259/_xlpm.DepreciationMonths,0))</f>
        <v>0</v>
      </c>
      <c r="AL259" s="507" cm="1">
        <f t="array" ref="AL259">_xlfn.LET(_xlpm.DepreciationMonths,INDEX(FixedAssets[Depreciation
/ Amortization Months],_xlfn.XMATCH($E$237,FixedAssets[Asset ID])),IF(AND((_xlfn.XMATCH(AL$8,$AH$8:$CC$8))-_xlfn.XMATCH($C259,$C$35:$C$82)+1&lt;=_xlpm.DepreciationMonths,$C259&lt;=AL$8),$E259/_xlpm.DepreciationMonths,0))</f>
        <v>0</v>
      </c>
      <c r="AM259" s="507" cm="1">
        <f t="array" ref="AM259">_xlfn.LET(_xlpm.DepreciationMonths,INDEX(FixedAssets[Depreciation
/ Amortization Months],_xlfn.XMATCH($E$237,FixedAssets[Asset ID])),IF(AND((_xlfn.XMATCH(AM$8,$AH$8:$CC$8))-_xlfn.XMATCH($C259,$C$35:$C$82)+1&lt;=_xlpm.DepreciationMonths,$C259&lt;=AM$8),$E259/_xlpm.DepreciationMonths,0))</f>
        <v>0</v>
      </c>
      <c r="AN259" s="507" cm="1">
        <f t="array" ref="AN259">_xlfn.LET(_xlpm.DepreciationMonths,INDEX(FixedAssets[Depreciation
/ Amortization Months],_xlfn.XMATCH($E$237,FixedAssets[Asset ID])),IF(AND((_xlfn.XMATCH(AN$8,$AH$8:$CC$8))-_xlfn.XMATCH($C259,$C$35:$C$82)+1&lt;=_xlpm.DepreciationMonths,$C259&lt;=AN$8),$E259/_xlpm.DepreciationMonths,0))</f>
        <v>0</v>
      </c>
      <c r="AO259" s="507" cm="1">
        <f t="array" ref="AO259">_xlfn.LET(_xlpm.DepreciationMonths,INDEX(FixedAssets[Depreciation
/ Amortization Months],_xlfn.XMATCH($E$237,FixedAssets[Asset ID])),IF(AND((_xlfn.XMATCH(AO$8,$AH$8:$CC$8))-_xlfn.XMATCH($C259,$C$35:$C$82)+1&lt;=_xlpm.DepreciationMonths,$C259&lt;=AO$8),$E259/_xlpm.DepreciationMonths,0))</f>
        <v>0</v>
      </c>
      <c r="AP259" s="507" cm="1">
        <f t="array" ref="AP259">_xlfn.LET(_xlpm.DepreciationMonths,INDEX(FixedAssets[Depreciation
/ Amortization Months],_xlfn.XMATCH($E$237,FixedAssets[Asset ID])),IF(AND((_xlfn.XMATCH(AP$8,$AH$8:$CC$8))-_xlfn.XMATCH($C259,$C$35:$C$82)+1&lt;=_xlpm.DepreciationMonths,$C259&lt;=AP$8),$E259/_xlpm.DepreciationMonths,0))</f>
        <v>0</v>
      </c>
      <c r="AQ259" s="507" cm="1">
        <f t="array" ref="AQ259">_xlfn.LET(_xlpm.DepreciationMonths,INDEX(FixedAssets[Depreciation
/ Amortization Months],_xlfn.XMATCH($E$237,FixedAssets[Asset ID])),IF(AND((_xlfn.XMATCH(AQ$8,$AH$8:$CC$8))-_xlfn.XMATCH($C259,$C$35:$C$82)+1&lt;=_xlpm.DepreciationMonths,$C259&lt;=AQ$8),$E259/_xlpm.DepreciationMonths,0))</f>
        <v>0</v>
      </c>
      <c r="AR259" s="507" cm="1">
        <f t="array" ref="AR259">_xlfn.LET(_xlpm.DepreciationMonths,INDEX(FixedAssets[Depreciation
/ Amortization Months],_xlfn.XMATCH($E$237,FixedAssets[Asset ID])),IF(AND((_xlfn.XMATCH(AR$8,$AH$8:$CC$8))-_xlfn.XMATCH($C259,$C$35:$C$82)+1&lt;=_xlpm.DepreciationMonths,$C259&lt;=AR$8),$E259/_xlpm.DepreciationMonths,0))</f>
        <v>0</v>
      </c>
      <c r="AS259" s="507" cm="1">
        <f t="array" ref="AS259">_xlfn.LET(_xlpm.DepreciationMonths,INDEX(FixedAssets[Depreciation
/ Amortization Months],_xlfn.XMATCH($E$237,FixedAssets[Asset ID])),IF(AND((_xlfn.XMATCH(AS$8,$AH$8:$CC$8))-_xlfn.XMATCH($C259,$C$35:$C$82)+1&lt;=_xlpm.DepreciationMonths,$C259&lt;=AS$8),$E259/_xlpm.DepreciationMonths,0))</f>
        <v>0</v>
      </c>
      <c r="AT259" s="507" cm="1">
        <f t="array" ref="AT259">_xlfn.LET(_xlpm.DepreciationMonths,INDEX(FixedAssets[Depreciation
/ Amortization Months],_xlfn.XMATCH($E$237,FixedAssets[Asset ID])),IF(AND((_xlfn.XMATCH(AT$8,$AH$8:$CC$8))-_xlfn.XMATCH($C259,$C$35:$C$82)+1&lt;=_xlpm.DepreciationMonths,$C259&lt;=AT$8),$E259/_xlpm.DepreciationMonths,0))</f>
        <v>0</v>
      </c>
      <c r="AU259" s="507" cm="1">
        <f t="array" ref="AU259">_xlfn.LET(_xlpm.DepreciationMonths,INDEX(FixedAssets[Depreciation
/ Amortization Months],_xlfn.XMATCH($E$237,FixedAssets[Asset ID])),IF(AND((_xlfn.XMATCH(AU$8,$AH$8:$CC$8))-_xlfn.XMATCH($C259,$C$35:$C$82)+1&lt;=_xlpm.DepreciationMonths,$C259&lt;=AU$8),$E259/_xlpm.DepreciationMonths,0))</f>
        <v>0</v>
      </c>
      <c r="AV259" s="507" cm="1">
        <f t="array" ref="AV259">_xlfn.LET(_xlpm.DepreciationMonths,INDEX(FixedAssets[Depreciation
/ Amortization Months],_xlfn.XMATCH($E$237,FixedAssets[Asset ID])),IF(AND((_xlfn.XMATCH(AV$8,$AH$8:$CC$8))-_xlfn.XMATCH($C259,$C$35:$C$82)+1&lt;=_xlpm.DepreciationMonths,$C259&lt;=AV$8),$E259/_xlpm.DepreciationMonths,0))</f>
        <v>0</v>
      </c>
      <c r="AW259" s="507" cm="1">
        <f t="array" ref="AW259">_xlfn.LET(_xlpm.DepreciationMonths,INDEX(FixedAssets[Depreciation
/ Amortization Months],_xlfn.XMATCH($E$237,FixedAssets[Asset ID])),IF(AND((_xlfn.XMATCH(AW$8,$AH$8:$CC$8))-_xlfn.XMATCH($C259,$C$35:$C$82)+1&lt;=_xlpm.DepreciationMonths,$C259&lt;=AW$8),$E259/_xlpm.DepreciationMonths,0))</f>
        <v>0</v>
      </c>
      <c r="AX259" s="507" cm="1">
        <f t="array" ref="AX259">_xlfn.LET(_xlpm.DepreciationMonths,INDEX(FixedAssets[Depreciation
/ Amortization Months],_xlfn.XMATCH($E$237,FixedAssets[Asset ID])),IF(AND((_xlfn.XMATCH(AX$8,$AH$8:$CC$8))-_xlfn.XMATCH($C259,$C$35:$C$82)+1&lt;=_xlpm.DepreciationMonths,$C259&lt;=AX$8),$E259/_xlpm.DepreciationMonths,0))</f>
        <v>0</v>
      </c>
      <c r="AY259" s="507" cm="1">
        <f t="array" ref="AY259">_xlfn.LET(_xlpm.DepreciationMonths,INDEX(FixedAssets[Depreciation
/ Amortization Months],_xlfn.XMATCH($E$237,FixedAssets[Asset ID])),IF(AND((_xlfn.XMATCH(AY$8,$AH$8:$CC$8))-_xlfn.XMATCH($C259,$C$35:$C$82)+1&lt;=_xlpm.DepreciationMonths,$C259&lt;=AY$8),$E259/_xlpm.DepreciationMonths,0))</f>
        <v>0</v>
      </c>
      <c r="AZ259" s="507" cm="1">
        <f t="array" ref="AZ259">_xlfn.LET(_xlpm.DepreciationMonths,INDEX(FixedAssets[Depreciation
/ Amortization Months],_xlfn.XMATCH($E$237,FixedAssets[Asset ID])),IF(AND((_xlfn.XMATCH(AZ$8,$AH$8:$CC$8))-_xlfn.XMATCH($C259,$C$35:$C$82)+1&lt;=_xlpm.DepreciationMonths,$C259&lt;=AZ$8),$E259/_xlpm.DepreciationMonths,0))</f>
        <v>0</v>
      </c>
      <c r="BA259" s="507" cm="1">
        <f t="array" ref="BA259">_xlfn.LET(_xlpm.DepreciationMonths,INDEX(FixedAssets[Depreciation
/ Amortization Months],_xlfn.XMATCH($E$237,FixedAssets[Asset ID])),IF(AND((_xlfn.XMATCH(BA$8,$AH$8:$CC$8))-_xlfn.XMATCH($C259,$C$35:$C$82)+1&lt;=_xlpm.DepreciationMonths,$C259&lt;=BA$8),$E259/_xlpm.DepreciationMonths,0))</f>
        <v>0</v>
      </c>
      <c r="BB259" s="507" cm="1">
        <f t="array" ref="BB259">_xlfn.LET(_xlpm.DepreciationMonths,INDEX(FixedAssets[Depreciation
/ Amortization Months],_xlfn.XMATCH($E$237,FixedAssets[Asset ID])),IF(AND((_xlfn.XMATCH(BB$8,$AH$8:$CC$8))-_xlfn.XMATCH($C259,$C$35:$C$82)+1&lt;=_xlpm.DepreciationMonths,$C259&lt;=BB$8),$E259/_xlpm.DepreciationMonths,0))</f>
        <v>0</v>
      </c>
      <c r="BC259" s="507" cm="1">
        <f t="array" ref="BC259">_xlfn.LET(_xlpm.DepreciationMonths,INDEX(FixedAssets[Depreciation
/ Amortization Months],_xlfn.XMATCH($E$237,FixedAssets[Asset ID])),IF(AND((_xlfn.XMATCH(BC$8,$AH$8:$CC$8))-_xlfn.XMATCH($C259,$C$35:$C$82)+1&lt;=_xlpm.DepreciationMonths,$C259&lt;=BC$8),$E259/_xlpm.DepreciationMonths,0))</f>
        <v>0</v>
      </c>
      <c r="BD259" s="507" cm="1">
        <f t="array" ref="BD259">_xlfn.LET(_xlpm.DepreciationMonths,INDEX(FixedAssets[Depreciation
/ Amortization Months],_xlfn.XMATCH($E$237,FixedAssets[Asset ID])),IF(AND((_xlfn.XMATCH(BD$8,$AH$8:$CC$8))-_xlfn.XMATCH($C259,$C$35:$C$82)+1&lt;=_xlpm.DepreciationMonths,$C259&lt;=BD$8),$E259/_xlpm.DepreciationMonths,0))</f>
        <v>0</v>
      </c>
      <c r="BE259" s="507" cm="1">
        <f t="array" ref="BE259">_xlfn.LET(_xlpm.DepreciationMonths,INDEX(FixedAssets[Depreciation
/ Amortization Months],_xlfn.XMATCH($E$237,FixedAssets[Asset ID])),IF(AND((_xlfn.XMATCH(BE$8,$AH$8:$CC$8))-_xlfn.XMATCH($C259,$C$35:$C$82)+1&lt;=_xlpm.DepreciationMonths,$C259&lt;=BE$8),$E259/_xlpm.DepreciationMonths,0))</f>
        <v>0</v>
      </c>
      <c r="BF259" s="507" cm="1">
        <f t="array" ref="BF259">_xlfn.LET(_xlpm.DepreciationMonths,INDEX(FixedAssets[Depreciation
/ Amortization Months],_xlfn.XMATCH($E$237,FixedAssets[Asset ID])),IF(AND((_xlfn.XMATCH(BF$8,$AH$8:$CC$8))-_xlfn.XMATCH($C259,$C$35:$C$82)+1&lt;=_xlpm.DepreciationMonths,$C259&lt;=BF$8),$E259/_xlpm.DepreciationMonths,0))</f>
        <v>0</v>
      </c>
      <c r="BG259" s="507" cm="1">
        <f t="array" ref="BG259">_xlfn.LET(_xlpm.DepreciationMonths,INDEX(FixedAssets[Depreciation
/ Amortization Months],_xlfn.XMATCH($E$237,FixedAssets[Asset ID])),IF(AND((_xlfn.XMATCH(BG$8,$AH$8:$CC$8))-_xlfn.XMATCH($C259,$C$35:$C$82)+1&lt;=_xlpm.DepreciationMonths,$C259&lt;=BG$8),$E259/_xlpm.DepreciationMonths,0))</f>
        <v>0</v>
      </c>
      <c r="BH259" s="507" cm="1">
        <f t="array" ref="BH259">_xlfn.LET(_xlpm.DepreciationMonths,INDEX(FixedAssets[Depreciation
/ Amortization Months],_xlfn.XMATCH($E$237,FixedAssets[Asset ID])),IF(AND((_xlfn.XMATCH(BH$8,$AH$8:$CC$8))-_xlfn.XMATCH($C259,$C$35:$C$82)+1&lt;=_xlpm.DepreciationMonths,$C259&lt;=BH$8),$E259/_xlpm.DepreciationMonths,0))</f>
        <v>0</v>
      </c>
      <c r="BI259" s="507" cm="1">
        <f t="array" ref="BI259">_xlfn.LET(_xlpm.DepreciationMonths,INDEX(FixedAssets[Depreciation
/ Amortization Months],_xlfn.XMATCH($E$237,FixedAssets[Asset ID])),IF(AND((_xlfn.XMATCH(BI$8,$AH$8:$CC$8))-_xlfn.XMATCH($C259,$C$35:$C$82)+1&lt;=_xlpm.DepreciationMonths,$C259&lt;=BI$8),$E259/_xlpm.DepreciationMonths,0))</f>
        <v>0</v>
      </c>
      <c r="BJ259" s="507" cm="1">
        <f t="array" ref="BJ259">_xlfn.LET(_xlpm.DepreciationMonths,INDEX(FixedAssets[Depreciation
/ Amortization Months],_xlfn.XMATCH($E$237,FixedAssets[Asset ID])),IF(AND((_xlfn.XMATCH(BJ$8,$AH$8:$CC$8))-_xlfn.XMATCH($C259,$C$35:$C$82)+1&lt;=_xlpm.DepreciationMonths,$C259&lt;=BJ$8),$E259/_xlpm.DepreciationMonths,0))</f>
        <v>0</v>
      </c>
      <c r="BK259" s="507" cm="1">
        <f t="array" ref="BK259">_xlfn.LET(_xlpm.DepreciationMonths,INDEX(FixedAssets[Depreciation
/ Amortization Months],_xlfn.XMATCH($E$237,FixedAssets[Asset ID])),IF(AND((_xlfn.XMATCH(BK$8,$AH$8:$CC$8))-_xlfn.XMATCH($C259,$C$35:$C$82)+1&lt;=_xlpm.DepreciationMonths,$C259&lt;=BK$8),$E259/_xlpm.DepreciationMonths,0))</f>
        <v>0</v>
      </c>
      <c r="BL259" s="507" cm="1">
        <f t="array" ref="BL259">_xlfn.LET(_xlpm.DepreciationMonths,INDEX(FixedAssets[Depreciation
/ Amortization Months],_xlfn.XMATCH($E$237,FixedAssets[Asset ID])),IF(AND((_xlfn.XMATCH(BL$8,$AH$8:$CC$8))-_xlfn.XMATCH($C259,$C$35:$C$82)+1&lt;=_xlpm.DepreciationMonths,$C259&lt;=BL$8),$E259/_xlpm.DepreciationMonths,0))</f>
        <v>0</v>
      </c>
      <c r="BM259" s="507" cm="1">
        <f t="array" ref="BM259">_xlfn.LET(_xlpm.DepreciationMonths,INDEX(FixedAssets[Depreciation
/ Amortization Months],_xlfn.XMATCH($E$237,FixedAssets[Asset ID])),IF(AND((_xlfn.XMATCH(BM$8,$AH$8:$CC$8))-_xlfn.XMATCH($C259,$C$35:$C$82)+1&lt;=_xlpm.DepreciationMonths,$C259&lt;=BM$8),$E259/_xlpm.DepreciationMonths,0))</f>
        <v>0</v>
      </c>
      <c r="BN259" s="507" cm="1">
        <f t="array" ref="BN259">_xlfn.LET(_xlpm.DepreciationMonths,INDEX(FixedAssets[Depreciation
/ Amortization Months],_xlfn.XMATCH($E$237,FixedAssets[Asset ID])),IF(AND((_xlfn.XMATCH(BN$8,$AH$8:$CC$8))-_xlfn.XMATCH($C259,$C$35:$C$82)+1&lt;=_xlpm.DepreciationMonths,$C259&lt;=BN$8),$E259/_xlpm.DepreciationMonths,0))</f>
        <v>0</v>
      </c>
      <c r="BO259" s="507" cm="1">
        <f t="array" ref="BO259">_xlfn.LET(_xlpm.DepreciationMonths,INDEX(FixedAssets[Depreciation
/ Amortization Months],_xlfn.XMATCH($E$237,FixedAssets[Asset ID])),IF(AND((_xlfn.XMATCH(BO$8,$AH$8:$CC$8))-_xlfn.XMATCH($C259,$C$35:$C$82)+1&lt;=_xlpm.DepreciationMonths,$C259&lt;=BO$8),$E259/_xlpm.DepreciationMonths,0))</f>
        <v>0</v>
      </c>
      <c r="BP259" s="507" cm="1">
        <f t="array" ref="BP259">_xlfn.LET(_xlpm.DepreciationMonths,INDEX(FixedAssets[Depreciation
/ Amortization Months],_xlfn.XMATCH($E$237,FixedAssets[Asset ID])),IF(AND((_xlfn.XMATCH(BP$8,$AH$8:$CC$8))-_xlfn.XMATCH($C259,$C$35:$C$82)+1&lt;=_xlpm.DepreciationMonths,$C259&lt;=BP$8),$E259/_xlpm.DepreciationMonths,0))</f>
        <v>0</v>
      </c>
      <c r="BQ259" s="507" cm="1">
        <f t="array" ref="BQ259">_xlfn.LET(_xlpm.DepreciationMonths,INDEX(FixedAssets[Depreciation
/ Amortization Months],_xlfn.XMATCH($E$237,FixedAssets[Asset ID])),IF(AND((_xlfn.XMATCH(BQ$8,$AH$8:$CC$8))-_xlfn.XMATCH($C259,$C$35:$C$82)+1&lt;=_xlpm.DepreciationMonths,$C259&lt;=BQ$8),$E259/_xlpm.DepreciationMonths,0))</f>
        <v>0</v>
      </c>
      <c r="BR259" s="507" cm="1">
        <f t="array" ref="BR259">_xlfn.LET(_xlpm.DepreciationMonths,INDEX(FixedAssets[Depreciation
/ Amortization Months],_xlfn.XMATCH($E$237,FixedAssets[Asset ID])),IF(AND((_xlfn.XMATCH(BR$8,$AH$8:$CC$8))-_xlfn.XMATCH($C259,$C$35:$C$82)+1&lt;=_xlpm.DepreciationMonths,$C259&lt;=BR$8),$E259/_xlpm.DepreciationMonths,0))</f>
        <v>0</v>
      </c>
      <c r="BS259" s="507" cm="1">
        <f t="array" ref="BS259">_xlfn.LET(_xlpm.DepreciationMonths,INDEX(FixedAssets[Depreciation
/ Amortization Months],_xlfn.XMATCH($E$237,FixedAssets[Asset ID])),IF(AND((_xlfn.XMATCH(BS$8,$AH$8:$CC$8))-_xlfn.XMATCH($C259,$C$35:$C$82)+1&lt;=_xlpm.DepreciationMonths,$C259&lt;=BS$8),$E259/_xlpm.DepreciationMonths,0))</f>
        <v>0</v>
      </c>
      <c r="BT259" s="507" cm="1">
        <f t="array" ref="BT259">_xlfn.LET(_xlpm.DepreciationMonths,INDEX(FixedAssets[Depreciation
/ Amortization Months],_xlfn.XMATCH($E$237,FixedAssets[Asset ID])),IF(AND((_xlfn.XMATCH(BT$8,$AH$8:$CC$8))-_xlfn.XMATCH($C259,$C$35:$C$82)+1&lt;=_xlpm.DepreciationMonths,$C259&lt;=BT$8),$E259/_xlpm.DepreciationMonths,0))</f>
        <v>0</v>
      </c>
      <c r="BU259" s="507" cm="1">
        <f t="array" ref="BU259">_xlfn.LET(_xlpm.DepreciationMonths,INDEX(FixedAssets[Depreciation
/ Amortization Months],_xlfn.XMATCH($E$237,FixedAssets[Asset ID])),IF(AND((_xlfn.XMATCH(BU$8,$AH$8:$CC$8))-_xlfn.XMATCH($C259,$C$35:$C$82)+1&lt;=_xlpm.DepreciationMonths,$C259&lt;=BU$8),$E259/_xlpm.DepreciationMonths,0))</f>
        <v>0</v>
      </c>
      <c r="BV259" s="507" cm="1">
        <f t="array" ref="BV259">_xlfn.LET(_xlpm.DepreciationMonths,INDEX(FixedAssets[Depreciation
/ Amortization Months],_xlfn.XMATCH($E$237,FixedAssets[Asset ID])),IF(AND((_xlfn.XMATCH(BV$8,$AH$8:$CC$8))-_xlfn.XMATCH($C259,$C$35:$C$82)+1&lt;=_xlpm.DepreciationMonths,$C259&lt;=BV$8),$E259/_xlpm.DepreciationMonths,0))</f>
        <v>0</v>
      </c>
      <c r="BW259" s="507" cm="1">
        <f t="array" ref="BW259">_xlfn.LET(_xlpm.DepreciationMonths,INDEX(FixedAssets[Depreciation
/ Amortization Months],_xlfn.XMATCH($E$237,FixedAssets[Asset ID])),IF(AND((_xlfn.XMATCH(BW$8,$AH$8:$CC$8))-_xlfn.XMATCH($C259,$C$35:$C$82)+1&lt;=_xlpm.DepreciationMonths,$C259&lt;=BW$8),$E259/_xlpm.DepreciationMonths,0))</f>
        <v>0</v>
      </c>
      <c r="BX259" s="507" cm="1">
        <f t="array" ref="BX259">_xlfn.LET(_xlpm.DepreciationMonths,INDEX(FixedAssets[Depreciation
/ Amortization Months],_xlfn.XMATCH($E$237,FixedAssets[Asset ID])),IF(AND((_xlfn.XMATCH(BX$8,$AH$8:$CC$8))-_xlfn.XMATCH($C259,$C$35:$C$82)+1&lt;=_xlpm.DepreciationMonths,$C259&lt;=BX$8),$E259/_xlpm.DepreciationMonths,0))</f>
        <v>0</v>
      </c>
      <c r="BY259" s="507" cm="1">
        <f t="array" ref="BY259">_xlfn.LET(_xlpm.DepreciationMonths,INDEX(FixedAssets[Depreciation
/ Amortization Months],_xlfn.XMATCH($E$237,FixedAssets[Asset ID])),IF(AND((_xlfn.XMATCH(BY$8,$AH$8:$CC$8))-_xlfn.XMATCH($C259,$C$35:$C$82)+1&lt;=_xlpm.DepreciationMonths,$C259&lt;=BY$8),$E259/_xlpm.DepreciationMonths,0))</f>
        <v>0</v>
      </c>
      <c r="BZ259" s="507" cm="1">
        <f t="array" ref="BZ259">_xlfn.LET(_xlpm.DepreciationMonths,INDEX(FixedAssets[Depreciation
/ Amortization Months],_xlfn.XMATCH($E$237,FixedAssets[Asset ID])),IF(AND((_xlfn.XMATCH(BZ$8,$AH$8:$CC$8))-_xlfn.XMATCH($C259,$C$35:$C$82)+1&lt;=_xlpm.DepreciationMonths,$C259&lt;=BZ$8),$E259/_xlpm.DepreciationMonths,0))</f>
        <v>0</v>
      </c>
      <c r="CA259" s="507" cm="1">
        <f t="array" ref="CA259">_xlfn.LET(_xlpm.DepreciationMonths,INDEX(FixedAssets[Depreciation
/ Amortization Months],_xlfn.XMATCH($E$237,FixedAssets[Asset ID])),IF(AND((_xlfn.XMATCH(CA$8,$AH$8:$CC$8))-_xlfn.XMATCH($C259,$C$35:$C$82)+1&lt;=_xlpm.DepreciationMonths,$C259&lt;=CA$8),$E259/_xlpm.DepreciationMonths,0))</f>
        <v>0</v>
      </c>
      <c r="CB259" s="507" cm="1">
        <f t="array" ref="CB259">_xlfn.LET(_xlpm.DepreciationMonths,INDEX(FixedAssets[Depreciation
/ Amortization Months],_xlfn.XMATCH($E$237,FixedAssets[Asset ID])),IF(AND((_xlfn.XMATCH(CB$8,$AH$8:$CC$8))-_xlfn.XMATCH($C259,$C$35:$C$82)+1&lt;=_xlpm.DepreciationMonths,$C259&lt;=CB$8),$E259/_xlpm.DepreciationMonths,0))</f>
        <v>0</v>
      </c>
      <c r="CC259" s="507" cm="1">
        <f t="array" ref="CC259">_xlfn.LET(_xlpm.DepreciationMonths,INDEX(FixedAssets[Depreciation
/ Amortization Months],_xlfn.XMATCH($E$237,FixedAssets[Asset ID])),IF(AND((_xlfn.XMATCH(CC$8,$AH$8:$CC$8))-_xlfn.XMATCH($C259,$C$35:$C$82)+1&lt;=_xlpm.DepreciationMonths,$C259&lt;=CC$8),$E259/_xlpm.DepreciationMonths,0))</f>
        <v>0</v>
      </c>
    </row>
    <row r="260" spans="3:81" hidden="1" outlineLevel="2">
      <c r="C260" s="664">
        <f t="shared" si="267"/>
        <v>45596</v>
      </c>
      <c r="D260" s="508"/>
      <c r="E260" s="508" cm="1">
        <f t="array" ref="E260">SUMPRODUCT(($AH$26:$CC$31)*($AH$5:$CC$5=$C260)*($E$26:$E$31=E$237))-SUMPRODUCT(($AH$26:$CC$31)*($AH$5:$CC$5=EOMONTH($C260,-1))*($E$26:$E$31=E$237))</f>
        <v>0</v>
      </c>
      <c r="F260" s="508"/>
      <c r="G260" s="508"/>
      <c r="H260" s="508"/>
      <c r="I260" s="508"/>
      <c r="J260" s="504">
        <f t="shared" si="265"/>
        <v>0</v>
      </c>
      <c r="K260" s="504">
        <f t="shared" si="265"/>
        <v>0</v>
      </c>
      <c r="L260" s="504">
        <f t="shared" si="265"/>
        <v>0</v>
      </c>
      <c r="M260" s="504">
        <f t="shared" si="265"/>
        <v>0</v>
      </c>
      <c r="N260" s="504"/>
      <c r="O260" s="504"/>
      <c r="P260" s="504">
        <f t="shared" si="269"/>
        <v>0</v>
      </c>
      <c r="Q260" s="504">
        <f t="shared" si="269"/>
        <v>0</v>
      </c>
      <c r="R260" s="504">
        <f t="shared" si="269"/>
        <v>0</v>
      </c>
      <c r="S260" s="504">
        <f t="shared" si="269"/>
        <v>0</v>
      </c>
      <c r="T260" s="504">
        <f t="shared" si="269"/>
        <v>0</v>
      </c>
      <c r="U260" s="504">
        <f t="shared" si="269"/>
        <v>0</v>
      </c>
      <c r="V260" s="504">
        <f t="shared" si="269"/>
        <v>0</v>
      </c>
      <c r="W260" s="504">
        <f t="shared" si="269"/>
        <v>0</v>
      </c>
      <c r="X260" s="504">
        <f t="shared" si="269"/>
        <v>0</v>
      </c>
      <c r="Y260" s="504">
        <f t="shared" si="269"/>
        <v>0</v>
      </c>
      <c r="Z260" s="504">
        <f t="shared" si="269"/>
        <v>0</v>
      </c>
      <c r="AA260" s="504">
        <f t="shared" si="269"/>
        <v>0</v>
      </c>
      <c r="AB260" s="504">
        <f t="shared" si="269"/>
        <v>0</v>
      </c>
      <c r="AC260" s="504">
        <f t="shared" si="269"/>
        <v>0</v>
      </c>
      <c r="AD260" s="504">
        <f t="shared" si="269"/>
        <v>0</v>
      </c>
      <c r="AE260" s="504">
        <f t="shared" si="269"/>
        <v>0</v>
      </c>
      <c r="AF260" s="508"/>
      <c r="AG260" s="508"/>
      <c r="AH260" s="507" cm="1">
        <f t="array" ref="AH260">_xlfn.LET(_xlpm.DepreciationMonths,INDEX(FixedAssets[Depreciation
/ Amortization Months],_xlfn.XMATCH($E$237,FixedAssets[Asset ID])),IF(AND((_xlfn.XMATCH(AH$8,$AH$8:$CC$8))-_xlfn.XMATCH($C260,$C$35:$C$82)+1&lt;=_xlpm.DepreciationMonths,$C260&lt;=AH$8),$E260/_xlpm.DepreciationMonths,0))</f>
        <v>0</v>
      </c>
      <c r="AI260" s="507" cm="1">
        <f t="array" ref="AI260">_xlfn.LET(_xlpm.DepreciationMonths,INDEX(FixedAssets[Depreciation
/ Amortization Months],_xlfn.XMATCH($E$237,FixedAssets[Asset ID])),IF(AND((_xlfn.XMATCH(AI$8,$AH$8:$CC$8))-_xlfn.XMATCH($C260,$C$35:$C$82)+1&lt;=_xlpm.DepreciationMonths,$C260&lt;=AI$8),$E260/_xlpm.DepreciationMonths,0))</f>
        <v>0</v>
      </c>
      <c r="AJ260" s="507" cm="1">
        <f t="array" ref="AJ260">_xlfn.LET(_xlpm.DepreciationMonths,INDEX(FixedAssets[Depreciation
/ Amortization Months],_xlfn.XMATCH($E$237,FixedAssets[Asset ID])),IF(AND((_xlfn.XMATCH(AJ$8,$AH$8:$CC$8))-_xlfn.XMATCH($C260,$C$35:$C$82)+1&lt;=_xlpm.DepreciationMonths,$C260&lt;=AJ$8),$E260/_xlpm.DepreciationMonths,0))</f>
        <v>0</v>
      </c>
      <c r="AK260" s="507" cm="1">
        <f t="array" ref="AK260">_xlfn.LET(_xlpm.DepreciationMonths,INDEX(FixedAssets[Depreciation
/ Amortization Months],_xlfn.XMATCH($E$237,FixedAssets[Asset ID])),IF(AND((_xlfn.XMATCH(AK$8,$AH$8:$CC$8))-_xlfn.XMATCH($C260,$C$35:$C$82)+1&lt;=_xlpm.DepreciationMonths,$C260&lt;=AK$8),$E260/_xlpm.DepreciationMonths,0))</f>
        <v>0</v>
      </c>
      <c r="AL260" s="507" cm="1">
        <f t="array" ref="AL260">_xlfn.LET(_xlpm.DepreciationMonths,INDEX(FixedAssets[Depreciation
/ Amortization Months],_xlfn.XMATCH($E$237,FixedAssets[Asset ID])),IF(AND((_xlfn.XMATCH(AL$8,$AH$8:$CC$8))-_xlfn.XMATCH($C260,$C$35:$C$82)+1&lt;=_xlpm.DepreciationMonths,$C260&lt;=AL$8),$E260/_xlpm.DepreciationMonths,0))</f>
        <v>0</v>
      </c>
      <c r="AM260" s="507" cm="1">
        <f t="array" ref="AM260">_xlfn.LET(_xlpm.DepreciationMonths,INDEX(FixedAssets[Depreciation
/ Amortization Months],_xlfn.XMATCH($E$237,FixedAssets[Asset ID])),IF(AND((_xlfn.XMATCH(AM$8,$AH$8:$CC$8))-_xlfn.XMATCH($C260,$C$35:$C$82)+1&lt;=_xlpm.DepreciationMonths,$C260&lt;=AM$8),$E260/_xlpm.DepreciationMonths,0))</f>
        <v>0</v>
      </c>
      <c r="AN260" s="507" cm="1">
        <f t="array" ref="AN260">_xlfn.LET(_xlpm.DepreciationMonths,INDEX(FixedAssets[Depreciation
/ Amortization Months],_xlfn.XMATCH($E$237,FixedAssets[Asset ID])),IF(AND((_xlfn.XMATCH(AN$8,$AH$8:$CC$8))-_xlfn.XMATCH($C260,$C$35:$C$82)+1&lt;=_xlpm.DepreciationMonths,$C260&lt;=AN$8),$E260/_xlpm.DepreciationMonths,0))</f>
        <v>0</v>
      </c>
      <c r="AO260" s="507" cm="1">
        <f t="array" ref="AO260">_xlfn.LET(_xlpm.DepreciationMonths,INDEX(FixedAssets[Depreciation
/ Amortization Months],_xlfn.XMATCH($E$237,FixedAssets[Asset ID])),IF(AND((_xlfn.XMATCH(AO$8,$AH$8:$CC$8))-_xlfn.XMATCH($C260,$C$35:$C$82)+1&lt;=_xlpm.DepreciationMonths,$C260&lt;=AO$8),$E260/_xlpm.DepreciationMonths,0))</f>
        <v>0</v>
      </c>
      <c r="AP260" s="507" cm="1">
        <f t="array" ref="AP260">_xlfn.LET(_xlpm.DepreciationMonths,INDEX(FixedAssets[Depreciation
/ Amortization Months],_xlfn.XMATCH($E$237,FixedAssets[Asset ID])),IF(AND((_xlfn.XMATCH(AP$8,$AH$8:$CC$8))-_xlfn.XMATCH($C260,$C$35:$C$82)+1&lt;=_xlpm.DepreciationMonths,$C260&lt;=AP$8),$E260/_xlpm.DepreciationMonths,0))</f>
        <v>0</v>
      </c>
      <c r="AQ260" s="507" cm="1">
        <f t="array" ref="AQ260">_xlfn.LET(_xlpm.DepreciationMonths,INDEX(FixedAssets[Depreciation
/ Amortization Months],_xlfn.XMATCH($E$237,FixedAssets[Asset ID])),IF(AND((_xlfn.XMATCH(AQ$8,$AH$8:$CC$8))-_xlfn.XMATCH($C260,$C$35:$C$82)+1&lt;=_xlpm.DepreciationMonths,$C260&lt;=AQ$8),$E260/_xlpm.DepreciationMonths,0))</f>
        <v>0</v>
      </c>
      <c r="AR260" s="507" cm="1">
        <f t="array" ref="AR260">_xlfn.LET(_xlpm.DepreciationMonths,INDEX(FixedAssets[Depreciation
/ Amortization Months],_xlfn.XMATCH($E$237,FixedAssets[Asset ID])),IF(AND((_xlfn.XMATCH(AR$8,$AH$8:$CC$8))-_xlfn.XMATCH($C260,$C$35:$C$82)+1&lt;=_xlpm.DepreciationMonths,$C260&lt;=AR$8),$E260/_xlpm.DepreciationMonths,0))</f>
        <v>0</v>
      </c>
      <c r="AS260" s="507" cm="1">
        <f t="array" ref="AS260">_xlfn.LET(_xlpm.DepreciationMonths,INDEX(FixedAssets[Depreciation
/ Amortization Months],_xlfn.XMATCH($E$237,FixedAssets[Asset ID])),IF(AND((_xlfn.XMATCH(AS$8,$AH$8:$CC$8))-_xlfn.XMATCH($C260,$C$35:$C$82)+1&lt;=_xlpm.DepreciationMonths,$C260&lt;=AS$8),$E260/_xlpm.DepreciationMonths,0))</f>
        <v>0</v>
      </c>
      <c r="AT260" s="507" cm="1">
        <f t="array" ref="AT260">_xlfn.LET(_xlpm.DepreciationMonths,INDEX(FixedAssets[Depreciation
/ Amortization Months],_xlfn.XMATCH($E$237,FixedAssets[Asset ID])),IF(AND((_xlfn.XMATCH(AT$8,$AH$8:$CC$8))-_xlfn.XMATCH($C260,$C$35:$C$82)+1&lt;=_xlpm.DepreciationMonths,$C260&lt;=AT$8),$E260/_xlpm.DepreciationMonths,0))</f>
        <v>0</v>
      </c>
      <c r="AU260" s="507" cm="1">
        <f t="array" ref="AU260">_xlfn.LET(_xlpm.DepreciationMonths,INDEX(FixedAssets[Depreciation
/ Amortization Months],_xlfn.XMATCH($E$237,FixedAssets[Asset ID])),IF(AND((_xlfn.XMATCH(AU$8,$AH$8:$CC$8))-_xlfn.XMATCH($C260,$C$35:$C$82)+1&lt;=_xlpm.DepreciationMonths,$C260&lt;=AU$8),$E260/_xlpm.DepreciationMonths,0))</f>
        <v>0</v>
      </c>
      <c r="AV260" s="507" cm="1">
        <f t="array" ref="AV260">_xlfn.LET(_xlpm.DepreciationMonths,INDEX(FixedAssets[Depreciation
/ Amortization Months],_xlfn.XMATCH($E$237,FixedAssets[Asset ID])),IF(AND((_xlfn.XMATCH(AV$8,$AH$8:$CC$8))-_xlfn.XMATCH($C260,$C$35:$C$82)+1&lt;=_xlpm.DepreciationMonths,$C260&lt;=AV$8),$E260/_xlpm.DepreciationMonths,0))</f>
        <v>0</v>
      </c>
      <c r="AW260" s="507" cm="1">
        <f t="array" ref="AW260">_xlfn.LET(_xlpm.DepreciationMonths,INDEX(FixedAssets[Depreciation
/ Amortization Months],_xlfn.XMATCH($E$237,FixedAssets[Asset ID])),IF(AND((_xlfn.XMATCH(AW$8,$AH$8:$CC$8))-_xlfn.XMATCH($C260,$C$35:$C$82)+1&lt;=_xlpm.DepreciationMonths,$C260&lt;=AW$8),$E260/_xlpm.DepreciationMonths,0))</f>
        <v>0</v>
      </c>
      <c r="AX260" s="507" cm="1">
        <f t="array" ref="AX260">_xlfn.LET(_xlpm.DepreciationMonths,INDEX(FixedAssets[Depreciation
/ Amortization Months],_xlfn.XMATCH($E$237,FixedAssets[Asset ID])),IF(AND((_xlfn.XMATCH(AX$8,$AH$8:$CC$8))-_xlfn.XMATCH($C260,$C$35:$C$82)+1&lt;=_xlpm.DepreciationMonths,$C260&lt;=AX$8),$E260/_xlpm.DepreciationMonths,0))</f>
        <v>0</v>
      </c>
      <c r="AY260" s="507" cm="1">
        <f t="array" ref="AY260">_xlfn.LET(_xlpm.DepreciationMonths,INDEX(FixedAssets[Depreciation
/ Amortization Months],_xlfn.XMATCH($E$237,FixedAssets[Asset ID])),IF(AND((_xlfn.XMATCH(AY$8,$AH$8:$CC$8))-_xlfn.XMATCH($C260,$C$35:$C$82)+1&lt;=_xlpm.DepreciationMonths,$C260&lt;=AY$8),$E260/_xlpm.DepreciationMonths,0))</f>
        <v>0</v>
      </c>
      <c r="AZ260" s="507" cm="1">
        <f t="array" ref="AZ260">_xlfn.LET(_xlpm.DepreciationMonths,INDEX(FixedAssets[Depreciation
/ Amortization Months],_xlfn.XMATCH($E$237,FixedAssets[Asset ID])),IF(AND((_xlfn.XMATCH(AZ$8,$AH$8:$CC$8))-_xlfn.XMATCH($C260,$C$35:$C$82)+1&lt;=_xlpm.DepreciationMonths,$C260&lt;=AZ$8),$E260/_xlpm.DepreciationMonths,0))</f>
        <v>0</v>
      </c>
      <c r="BA260" s="507" cm="1">
        <f t="array" ref="BA260">_xlfn.LET(_xlpm.DepreciationMonths,INDEX(FixedAssets[Depreciation
/ Amortization Months],_xlfn.XMATCH($E$237,FixedAssets[Asset ID])),IF(AND((_xlfn.XMATCH(BA$8,$AH$8:$CC$8))-_xlfn.XMATCH($C260,$C$35:$C$82)+1&lt;=_xlpm.DepreciationMonths,$C260&lt;=BA$8),$E260/_xlpm.DepreciationMonths,0))</f>
        <v>0</v>
      </c>
      <c r="BB260" s="507" cm="1">
        <f t="array" ref="BB260">_xlfn.LET(_xlpm.DepreciationMonths,INDEX(FixedAssets[Depreciation
/ Amortization Months],_xlfn.XMATCH($E$237,FixedAssets[Asset ID])),IF(AND((_xlfn.XMATCH(BB$8,$AH$8:$CC$8))-_xlfn.XMATCH($C260,$C$35:$C$82)+1&lt;=_xlpm.DepreciationMonths,$C260&lt;=BB$8),$E260/_xlpm.DepreciationMonths,0))</f>
        <v>0</v>
      </c>
      <c r="BC260" s="507" cm="1">
        <f t="array" ref="BC260">_xlfn.LET(_xlpm.DepreciationMonths,INDEX(FixedAssets[Depreciation
/ Amortization Months],_xlfn.XMATCH($E$237,FixedAssets[Asset ID])),IF(AND((_xlfn.XMATCH(BC$8,$AH$8:$CC$8))-_xlfn.XMATCH($C260,$C$35:$C$82)+1&lt;=_xlpm.DepreciationMonths,$C260&lt;=BC$8),$E260/_xlpm.DepreciationMonths,0))</f>
        <v>0</v>
      </c>
      <c r="BD260" s="507" cm="1">
        <f t="array" ref="BD260">_xlfn.LET(_xlpm.DepreciationMonths,INDEX(FixedAssets[Depreciation
/ Amortization Months],_xlfn.XMATCH($E$237,FixedAssets[Asset ID])),IF(AND((_xlfn.XMATCH(BD$8,$AH$8:$CC$8))-_xlfn.XMATCH($C260,$C$35:$C$82)+1&lt;=_xlpm.DepreciationMonths,$C260&lt;=BD$8),$E260/_xlpm.DepreciationMonths,0))</f>
        <v>0</v>
      </c>
      <c r="BE260" s="507" cm="1">
        <f t="array" ref="BE260">_xlfn.LET(_xlpm.DepreciationMonths,INDEX(FixedAssets[Depreciation
/ Amortization Months],_xlfn.XMATCH($E$237,FixedAssets[Asset ID])),IF(AND((_xlfn.XMATCH(BE$8,$AH$8:$CC$8))-_xlfn.XMATCH($C260,$C$35:$C$82)+1&lt;=_xlpm.DepreciationMonths,$C260&lt;=BE$8),$E260/_xlpm.DepreciationMonths,0))</f>
        <v>0</v>
      </c>
      <c r="BF260" s="507" cm="1">
        <f t="array" ref="BF260">_xlfn.LET(_xlpm.DepreciationMonths,INDEX(FixedAssets[Depreciation
/ Amortization Months],_xlfn.XMATCH($E$237,FixedAssets[Asset ID])),IF(AND((_xlfn.XMATCH(BF$8,$AH$8:$CC$8))-_xlfn.XMATCH($C260,$C$35:$C$82)+1&lt;=_xlpm.DepreciationMonths,$C260&lt;=BF$8),$E260/_xlpm.DepreciationMonths,0))</f>
        <v>0</v>
      </c>
      <c r="BG260" s="507" cm="1">
        <f t="array" ref="BG260">_xlfn.LET(_xlpm.DepreciationMonths,INDEX(FixedAssets[Depreciation
/ Amortization Months],_xlfn.XMATCH($E$237,FixedAssets[Asset ID])),IF(AND((_xlfn.XMATCH(BG$8,$AH$8:$CC$8))-_xlfn.XMATCH($C260,$C$35:$C$82)+1&lt;=_xlpm.DepreciationMonths,$C260&lt;=BG$8),$E260/_xlpm.DepreciationMonths,0))</f>
        <v>0</v>
      </c>
      <c r="BH260" s="507" cm="1">
        <f t="array" ref="BH260">_xlfn.LET(_xlpm.DepreciationMonths,INDEX(FixedAssets[Depreciation
/ Amortization Months],_xlfn.XMATCH($E$237,FixedAssets[Asset ID])),IF(AND((_xlfn.XMATCH(BH$8,$AH$8:$CC$8))-_xlfn.XMATCH($C260,$C$35:$C$82)+1&lt;=_xlpm.DepreciationMonths,$C260&lt;=BH$8),$E260/_xlpm.DepreciationMonths,0))</f>
        <v>0</v>
      </c>
      <c r="BI260" s="507" cm="1">
        <f t="array" ref="BI260">_xlfn.LET(_xlpm.DepreciationMonths,INDEX(FixedAssets[Depreciation
/ Amortization Months],_xlfn.XMATCH($E$237,FixedAssets[Asset ID])),IF(AND((_xlfn.XMATCH(BI$8,$AH$8:$CC$8))-_xlfn.XMATCH($C260,$C$35:$C$82)+1&lt;=_xlpm.DepreciationMonths,$C260&lt;=BI$8),$E260/_xlpm.DepreciationMonths,0))</f>
        <v>0</v>
      </c>
      <c r="BJ260" s="507" cm="1">
        <f t="array" ref="BJ260">_xlfn.LET(_xlpm.DepreciationMonths,INDEX(FixedAssets[Depreciation
/ Amortization Months],_xlfn.XMATCH($E$237,FixedAssets[Asset ID])),IF(AND((_xlfn.XMATCH(BJ$8,$AH$8:$CC$8))-_xlfn.XMATCH($C260,$C$35:$C$82)+1&lt;=_xlpm.DepreciationMonths,$C260&lt;=BJ$8),$E260/_xlpm.DepreciationMonths,0))</f>
        <v>0</v>
      </c>
      <c r="BK260" s="507" cm="1">
        <f t="array" ref="BK260">_xlfn.LET(_xlpm.DepreciationMonths,INDEX(FixedAssets[Depreciation
/ Amortization Months],_xlfn.XMATCH($E$237,FixedAssets[Asset ID])),IF(AND((_xlfn.XMATCH(BK$8,$AH$8:$CC$8))-_xlfn.XMATCH($C260,$C$35:$C$82)+1&lt;=_xlpm.DepreciationMonths,$C260&lt;=BK$8),$E260/_xlpm.DepreciationMonths,0))</f>
        <v>0</v>
      </c>
      <c r="BL260" s="507" cm="1">
        <f t="array" ref="BL260">_xlfn.LET(_xlpm.DepreciationMonths,INDEX(FixedAssets[Depreciation
/ Amortization Months],_xlfn.XMATCH($E$237,FixedAssets[Asset ID])),IF(AND((_xlfn.XMATCH(BL$8,$AH$8:$CC$8))-_xlfn.XMATCH($C260,$C$35:$C$82)+1&lt;=_xlpm.DepreciationMonths,$C260&lt;=BL$8),$E260/_xlpm.DepreciationMonths,0))</f>
        <v>0</v>
      </c>
      <c r="BM260" s="507" cm="1">
        <f t="array" ref="BM260">_xlfn.LET(_xlpm.DepreciationMonths,INDEX(FixedAssets[Depreciation
/ Amortization Months],_xlfn.XMATCH($E$237,FixedAssets[Asset ID])),IF(AND((_xlfn.XMATCH(BM$8,$AH$8:$CC$8))-_xlfn.XMATCH($C260,$C$35:$C$82)+1&lt;=_xlpm.DepreciationMonths,$C260&lt;=BM$8),$E260/_xlpm.DepreciationMonths,0))</f>
        <v>0</v>
      </c>
      <c r="BN260" s="507" cm="1">
        <f t="array" ref="BN260">_xlfn.LET(_xlpm.DepreciationMonths,INDEX(FixedAssets[Depreciation
/ Amortization Months],_xlfn.XMATCH($E$237,FixedAssets[Asset ID])),IF(AND((_xlfn.XMATCH(BN$8,$AH$8:$CC$8))-_xlfn.XMATCH($C260,$C$35:$C$82)+1&lt;=_xlpm.DepreciationMonths,$C260&lt;=BN$8),$E260/_xlpm.DepreciationMonths,0))</f>
        <v>0</v>
      </c>
      <c r="BO260" s="507" cm="1">
        <f t="array" ref="BO260">_xlfn.LET(_xlpm.DepreciationMonths,INDEX(FixedAssets[Depreciation
/ Amortization Months],_xlfn.XMATCH($E$237,FixedAssets[Asset ID])),IF(AND((_xlfn.XMATCH(BO$8,$AH$8:$CC$8))-_xlfn.XMATCH($C260,$C$35:$C$82)+1&lt;=_xlpm.DepreciationMonths,$C260&lt;=BO$8),$E260/_xlpm.DepreciationMonths,0))</f>
        <v>0</v>
      </c>
      <c r="BP260" s="507" cm="1">
        <f t="array" ref="BP260">_xlfn.LET(_xlpm.DepreciationMonths,INDEX(FixedAssets[Depreciation
/ Amortization Months],_xlfn.XMATCH($E$237,FixedAssets[Asset ID])),IF(AND((_xlfn.XMATCH(BP$8,$AH$8:$CC$8))-_xlfn.XMATCH($C260,$C$35:$C$82)+1&lt;=_xlpm.DepreciationMonths,$C260&lt;=BP$8),$E260/_xlpm.DepreciationMonths,0))</f>
        <v>0</v>
      </c>
      <c r="BQ260" s="507" cm="1">
        <f t="array" ref="BQ260">_xlfn.LET(_xlpm.DepreciationMonths,INDEX(FixedAssets[Depreciation
/ Amortization Months],_xlfn.XMATCH($E$237,FixedAssets[Asset ID])),IF(AND((_xlfn.XMATCH(BQ$8,$AH$8:$CC$8))-_xlfn.XMATCH($C260,$C$35:$C$82)+1&lt;=_xlpm.DepreciationMonths,$C260&lt;=BQ$8),$E260/_xlpm.DepreciationMonths,0))</f>
        <v>0</v>
      </c>
      <c r="BR260" s="507" cm="1">
        <f t="array" ref="BR260">_xlfn.LET(_xlpm.DepreciationMonths,INDEX(FixedAssets[Depreciation
/ Amortization Months],_xlfn.XMATCH($E$237,FixedAssets[Asset ID])),IF(AND((_xlfn.XMATCH(BR$8,$AH$8:$CC$8))-_xlfn.XMATCH($C260,$C$35:$C$82)+1&lt;=_xlpm.DepreciationMonths,$C260&lt;=BR$8),$E260/_xlpm.DepreciationMonths,0))</f>
        <v>0</v>
      </c>
      <c r="BS260" s="507" cm="1">
        <f t="array" ref="BS260">_xlfn.LET(_xlpm.DepreciationMonths,INDEX(FixedAssets[Depreciation
/ Amortization Months],_xlfn.XMATCH($E$237,FixedAssets[Asset ID])),IF(AND((_xlfn.XMATCH(BS$8,$AH$8:$CC$8))-_xlfn.XMATCH($C260,$C$35:$C$82)+1&lt;=_xlpm.DepreciationMonths,$C260&lt;=BS$8),$E260/_xlpm.DepreciationMonths,0))</f>
        <v>0</v>
      </c>
      <c r="BT260" s="507" cm="1">
        <f t="array" ref="BT260">_xlfn.LET(_xlpm.DepreciationMonths,INDEX(FixedAssets[Depreciation
/ Amortization Months],_xlfn.XMATCH($E$237,FixedAssets[Asset ID])),IF(AND((_xlfn.XMATCH(BT$8,$AH$8:$CC$8))-_xlfn.XMATCH($C260,$C$35:$C$82)+1&lt;=_xlpm.DepreciationMonths,$C260&lt;=BT$8),$E260/_xlpm.DepreciationMonths,0))</f>
        <v>0</v>
      </c>
      <c r="BU260" s="507" cm="1">
        <f t="array" ref="BU260">_xlfn.LET(_xlpm.DepreciationMonths,INDEX(FixedAssets[Depreciation
/ Amortization Months],_xlfn.XMATCH($E$237,FixedAssets[Asset ID])),IF(AND((_xlfn.XMATCH(BU$8,$AH$8:$CC$8))-_xlfn.XMATCH($C260,$C$35:$C$82)+1&lt;=_xlpm.DepreciationMonths,$C260&lt;=BU$8),$E260/_xlpm.DepreciationMonths,0))</f>
        <v>0</v>
      </c>
      <c r="BV260" s="507" cm="1">
        <f t="array" ref="BV260">_xlfn.LET(_xlpm.DepreciationMonths,INDEX(FixedAssets[Depreciation
/ Amortization Months],_xlfn.XMATCH($E$237,FixedAssets[Asset ID])),IF(AND((_xlfn.XMATCH(BV$8,$AH$8:$CC$8))-_xlfn.XMATCH($C260,$C$35:$C$82)+1&lt;=_xlpm.DepreciationMonths,$C260&lt;=BV$8),$E260/_xlpm.DepreciationMonths,0))</f>
        <v>0</v>
      </c>
      <c r="BW260" s="507" cm="1">
        <f t="array" ref="BW260">_xlfn.LET(_xlpm.DepreciationMonths,INDEX(FixedAssets[Depreciation
/ Amortization Months],_xlfn.XMATCH($E$237,FixedAssets[Asset ID])),IF(AND((_xlfn.XMATCH(BW$8,$AH$8:$CC$8))-_xlfn.XMATCH($C260,$C$35:$C$82)+1&lt;=_xlpm.DepreciationMonths,$C260&lt;=BW$8),$E260/_xlpm.DepreciationMonths,0))</f>
        <v>0</v>
      </c>
      <c r="BX260" s="507" cm="1">
        <f t="array" ref="BX260">_xlfn.LET(_xlpm.DepreciationMonths,INDEX(FixedAssets[Depreciation
/ Amortization Months],_xlfn.XMATCH($E$237,FixedAssets[Asset ID])),IF(AND((_xlfn.XMATCH(BX$8,$AH$8:$CC$8))-_xlfn.XMATCH($C260,$C$35:$C$82)+1&lt;=_xlpm.DepreciationMonths,$C260&lt;=BX$8),$E260/_xlpm.DepreciationMonths,0))</f>
        <v>0</v>
      </c>
      <c r="BY260" s="507" cm="1">
        <f t="array" ref="BY260">_xlfn.LET(_xlpm.DepreciationMonths,INDEX(FixedAssets[Depreciation
/ Amortization Months],_xlfn.XMATCH($E$237,FixedAssets[Asset ID])),IF(AND((_xlfn.XMATCH(BY$8,$AH$8:$CC$8))-_xlfn.XMATCH($C260,$C$35:$C$82)+1&lt;=_xlpm.DepreciationMonths,$C260&lt;=BY$8),$E260/_xlpm.DepreciationMonths,0))</f>
        <v>0</v>
      </c>
      <c r="BZ260" s="507" cm="1">
        <f t="array" ref="BZ260">_xlfn.LET(_xlpm.DepreciationMonths,INDEX(FixedAssets[Depreciation
/ Amortization Months],_xlfn.XMATCH($E$237,FixedAssets[Asset ID])),IF(AND((_xlfn.XMATCH(BZ$8,$AH$8:$CC$8))-_xlfn.XMATCH($C260,$C$35:$C$82)+1&lt;=_xlpm.DepreciationMonths,$C260&lt;=BZ$8),$E260/_xlpm.DepreciationMonths,0))</f>
        <v>0</v>
      </c>
      <c r="CA260" s="507" cm="1">
        <f t="array" ref="CA260">_xlfn.LET(_xlpm.DepreciationMonths,INDEX(FixedAssets[Depreciation
/ Amortization Months],_xlfn.XMATCH($E$237,FixedAssets[Asset ID])),IF(AND((_xlfn.XMATCH(CA$8,$AH$8:$CC$8))-_xlfn.XMATCH($C260,$C$35:$C$82)+1&lt;=_xlpm.DepreciationMonths,$C260&lt;=CA$8),$E260/_xlpm.DepreciationMonths,0))</f>
        <v>0</v>
      </c>
      <c r="CB260" s="507" cm="1">
        <f t="array" ref="CB260">_xlfn.LET(_xlpm.DepreciationMonths,INDEX(FixedAssets[Depreciation
/ Amortization Months],_xlfn.XMATCH($E$237,FixedAssets[Asset ID])),IF(AND((_xlfn.XMATCH(CB$8,$AH$8:$CC$8))-_xlfn.XMATCH($C260,$C$35:$C$82)+1&lt;=_xlpm.DepreciationMonths,$C260&lt;=CB$8),$E260/_xlpm.DepreciationMonths,0))</f>
        <v>0</v>
      </c>
      <c r="CC260" s="507" cm="1">
        <f t="array" ref="CC260">_xlfn.LET(_xlpm.DepreciationMonths,INDEX(FixedAssets[Depreciation
/ Amortization Months],_xlfn.XMATCH($E$237,FixedAssets[Asset ID])),IF(AND((_xlfn.XMATCH(CC$8,$AH$8:$CC$8))-_xlfn.XMATCH($C260,$C$35:$C$82)+1&lt;=_xlpm.DepreciationMonths,$C260&lt;=CC$8),$E260/_xlpm.DepreciationMonths,0))</f>
        <v>0</v>
      </c>
    </row>
    <row r="261" spans="3:81" hidden="1" outlineLevel="2">
      <c r="C261" s="664">
        <f t="shared" si="267"/>
        <v>45626</v>
      </c>
      <c r="D261" s="508"/>
      <c r="E261" s="508" cm="1">
        <f t="array" ref="E261">SUMPRODUCT(($AH$26:$CC$31)*($AH$5:$CC$5=$C261)*($E$26:$E$31=E$237))-SUMPRODUCT(($AH$26:$CC$31)*($AH$5:$CC$5=EOMONTH($C261,-1))*($E$26:$E$31=E$237))</f>
        <v>0</v>
      </c>
      <c r="F261" s="508"/>
      <c r="G261" s="508"/>
      <c r="H261" s="508"/>
      <c r="I261" s="508"/>
      <c r="J261" s="504">
        <f t="shared" si="265"/>
        <v>0</v>
      </c>
      <c r="K261" s="504">
        <f t="shared" si="265"/>
        <v>0</v>
      </c>
      <c r="L261" s="504">
        <f t="shared" si="265"/>
        <v>0</v>
      </c>
      <c r="M261" s="504">
        <f t="shared" si="265"/>
        <v>0</v>
      </c>
      <c r="N261" s="504"/>
      <c r="O261" s="504"/>
      <c r="P261" s="504">
        <f t="shared" si="269"/>
        <v>0</v>
      </c>
      <c r="Q261" s="504">
        <f t="shared" si="269"/>
        <v>0</v>
      </c>
      <c r="R261" s="504">
        <f t="shared" si="269"/>
        <v>0</v>
      </c>
      <c r="S261" s="504">
        <f t="shared" si="269"/>
        <v>0</v>
      </c>
      <c r="T261" s="504">
        <f t="shared" si="269"/>
        <v>0</v>
      </c>
      <c r="U261" s="504">
        <f t="shared" si="269"/>
        <v>0</v>
      </c>
      <c r="V261" s="504">
        <f t="shared" si="269"/>
        <v>0</v>
      </c>
      <c r="W261" s="504">
        <f t="shared" si="269"/>
        <v>0</v>
      </c>
      <c r="X261" s="504">
        <f t="shared" si="269"/>
        <v>0</v>
      </c>
      <c r="Y261" s="504">
        <f t="shared" si="269"/>
        <v>0</v>
      </c>
      <c r="Z261" s="504">
        <f t="shared" si="269"/>
        <v>0</v>
      </c>
      <c r="AA261" s="504">
        <f t="shared" si="269"/>
        <v>0</v>
      </c>
      <c r="AB261" s="504">
        <f t="shared" si="269"/>
        <v>0</v>
      </c>
      <c r="AC261" s="504">
        <f t="shared" si="269"/>
        <v>0</v>
      </c>
      <c r="AD261" s="504">
        <f t="shared" si="269"/>
        <v>0</v>
      </c>
      <c r="AE261" s="504">
        <f t="shared" si="269"/>
        <v>0</v>
      </c>
      <c r="AF261" s="508"/>
      <c r="AG261" s="508"/>
      <c r="AH261" s="507" cm="1">
        <f t="array" ref="AH261">_xlfn.LET(_xlpm.DepreciationMonths,INDEX(FixedAssets[Depreciation
/ Amortization Months],_xlfn.XMATCH($E$237,FixedAssets[Asset ID])),IF(AND((_xlfn.XMATCH(AH$8,$AH$8:$CC$8))-_xlfn.XMATCH($C261,$C$35:$C$82)+1&lt;=_xlpm.DepreciationMonths,$C261&lt;=AH$8),$E261/_xlpm.DepreciationMonths,0))</f>
        <v>0</v>
      </c>
      <c r="AI261" s="507" cm="1">
        <f t="array" ref="AI261">_xlfn.LET(_xlpm.DepreciationMonths,INDEX(FixedAssets[Depreciation
/ Amortization Months],_xlfn.XMATCH($E$237,FixedAssets[Asset ID])),IF(AND((_xlfn.XMATCH(AI$8,$AH$8:$CC$8))-_xlfn.XMATCH($C261,$C$35:$C$82)+1&lt;=_xlpm.DepreciationMonths,$C261&lt;=AI$8),$E261/_xlpm.DepreciationMonths,0))</f>
        <v>0</v>
      </c>
      <c r="AJ261" s="507" cm="1">
        <f t="array" ref="AJ261">_xlfn.LET(_xlpm.DepreciationMonths,INDEX(FixedAssets[Depreciation
/ Amortization Months],_xlfn.XMATCH($E$237,FixedAssets[Asset ID])),IF(AND((_xlfn.XMATCH(AJ$8,$AH$8:$CC$8))-_xlfn.XMATCH($C261,$C$35:$C$82)+1&lt;=_xlpm.DepreciationMonths,$C261&lt;=AJ$8),$E261/_xlpm.DepreciationMonths,0))</f>
        <v>0</v>
      </c>
      <c r="AK261" s="507" cm="1">
        <f t="array" ref="AK261">_xlfn.LET(_xlpm.DepreciationMonths,INDEX(FixedAssets[Depreciation
/ Amortization Months],_xlfn.XMATCH($E$237,FixedAssets[Asset ID])),IF(AND((_xlfn.XMATCH(AK$8,$AH$8:$CC$8))-_xlfn.XMATCH($C261,$C$35:$C$82)+1&lt;=_xlpm.DepreciationMonths,$C261&lt;=AK$8),$E261/_xlpm.DepreciationMonths,0))</f>
        <v>0</v>
      </c>
      <c r="AL261" s="507" cm="1">
        <f t="array" ref="AL261">_xlfn.LET(_xlpm.DepreciationMonths,INDEX(FixedAssets[Depreciation
/ Amortization Months],_xlfn.XMATCH($E$237,FixedAssets[Asset ID])),IF(AND((_xlfn.XMATCH(AL$8,$AH$8:$CC$8))-_xlfn.XMATCH($C261,$C$35:$C$82)+1&lt;=_xlpm.DepreciationMonths,$C261&lt;=AL$8),$E261/_xlpm.DepreciationMonths,0))</f>
        <v>0</v>
      </c>
      <c r="AM261" s="507" cm="1">
        <f t="array" ref="AM261">_xlfn.LET(_xlpm.DepreciationMonths,INDEX(FixedAssets[Depreciation
/ Amortization Months],_xlfn.XMATCH($E$237,FixedAssets[Asset ID])),IF(AND((_xlfn.XMATCH(AM$8,$AH$8:$CC$8))-_xlfn.XMATCH($C261,$C$35:$C$82)+1&lt;=_xlpm.DepreciationMonths,$C261&lt;=AM$8),$E261/_xlpm.DepreciationMonths,0))</f>
        <v>0</v>
      </c>
      <c r="AN261" s="507" cm="1">
        <f t="array" ref="AN261">_xlfn.LET(_xlpm.DepreciationMonths,INDEX(FixedAssets[Depreciation
/ Amortization Months],_xlfn.XMATCH($E$237,FixedAssets[Asset ID])),IF(AND((_xlfn.XMATCH(AN$8,$AH$8:$CC$8))-_xlfn.XMATCH($C261,$C$35:$C$82)+1&lt;=_xlpm.DepreciationMonths,$C261&lt;=AN$8),$E261/_xlpm.DepreciationMonths,0))</f>
        <v>0</v>
      </c>
      <c r="AO261" s="507" cm="1">
        <f t="array" ref="AO261">_xlfn.LET(_xlpm.DepreciationMonths,INDEX(FixedAssets[Depreciation
/ Amortization Months],_xlfn.XMATCH($E$237,FixedAssets[Asset ID])),IF(AND((_xlfn.XMATCH(AO$8,$AH$8:$CC$8))-_xlfn.XMATCH($C261,$C$35:$C$82)+1&lt;=_xlpm.DepreciationMonths,$C261&lt;=AO$8),$E261/_xlpm.DepreciationMonths,0))</f>
        <v>0</v>
      </c>
      <c r="AP261" s="507" cm="1">
        <f t="array" ref="AP261">_xlfn.LET(_xlpm.DepreciationMonths,INDEX(FixedAssets[Depreciation
/ Amortization Months],_xlfn.XMATCH($E$237,FixedAssets[Asset ID])),IF(AND((_xlfn.XMATCH(AP$8,$AH$8:$CC$8))-_xlfn.XMATCH($C261,$C$35:$C$82)+1&lt;=_xlpm.DepreciationMonths,$C261&lt;=AP$8),$E261/_xlpm.DepreciationMonths,0))</f>
        <v>0</v>
      </c>
      <c r="AQ261" s="507" cm="1">
        <f t="array" ref="AQ261">_xlfn.LET(_xlpm.DepreciationMonths,INDEX(FixedAssets[Depreciation
/ Amortization Months],_xlfn.XMATCH($E$237,FixedAssets[Asset ID])),IF(AND((_xlfn.XMATCH(AQ$8,$AH$8:$CC$8))-_xlfn.XMATCH($C261,$C$35:$C$82)+1&lt;=_xlpm.DepreciationMonths,$C261&lt;=AQ$8),$E261/_xlpm.DepreciationMonths,0))</f>
        <v>0</v>
      </c>
      <c r="AR261" s="507" cm="1">
        <f t="array" ref="AR261">_xlfn.LET(_xlpm.DepreciationMonths,INDEX(FixedAssets[Depreciation
/ Amortization Months],_xlfn.XMATCH($E$237,FixedAssets[Asset ID])),IF(AND((_xlfn.XMATCH(AR$8,$AH$8:$CC$8))-_xlfn.XMATCH($C261,$C$35:$C$82)+1&lt;=_xlpm.DepreciationMonths,$C261&lt;=AR$8),$E261/_xlpm.DepreciationMonths,0))</f>
        <v>0</v>
      </c>
      <c r="AS261" s="507" cm="1">
        <f t="array" ref="AS261">_xlfn.LET(_xlpm.DepreciationMonths,INDEX(FixedAssets[Depreciation
/ Amortization Months],_xlfn.XMATCH($E$237,FixedAssets[Asset ID])),IF(AND((_xlfn.XMATCH(AS$8,$AH$8:$CC$8))-_xlfn.XMATCH($C261,$C$35:$C$82)+1&lt;=_xlpm.DepreciationMonths,$C261&lt;=AS$8),$E261/_xlpm.DepreciationMonths,0))</f>
        <v>0</v>
      </c>
      <c r="AT261" s="507" cm="1">
        <f t="array" ref="AT261">_xlfn.LET(_xlpm.DepreciationMonths,INDEX(FixedAssets[Depreciation
/ Amortization Months],_xlfn.XMATCH($E$237,FixedAssets[Asset ID])),IF(AND((_xlfn.XMATCH(AT$8,$AH$8:$CC$8))-_xlfn.XMATCH($C261,$C$35:$C$82)+1&lt;=_xlpm.DepreciationMonths,$C261&lt;=AT$8),$E261/_xlpm.DepreciationMonths,0))</f>
        <v>0</v>
      </c>
      <c r="AU261" s="507" cm="1">
        <f t="array" ref="AU261">_xlfn.LET(_xlpm.DepreciationMonths,INDEX(FixedAssets[Depreciation
/ Amortization Months],_xlfn.XMATCH($E$237,FixedAssets[Asset ID])),IF(AND((_xlfn.XMATCH(AU$8,$AH$8:$CC$8))-_xlfn.XMATCH($C261,$C$35:$C$82)+1&lt;=_xlpm.DepreciationMonths,$C261&lt;=AU$8),$E261/_xlpm.DepreciationMonths,0))</f>
        <v>0</v>
      </c>
      <c r="AV261" s="507" cm="1">
        <f t="array" ref="AV261">_xlfn.LET(_xlpm.DepreciationMonths,INDEX(FixedAssets[Depreciation
/ Amortization Months],_xlfn.XMATCH($E$237,FixedAssets[Asset ID])),IF(AND((_xlfn.XMATCH(AV$8,$AH$8:$CC$8))-_xlfn.XMATCH($C261,$C$35:$C$82)+1&lt;=_xlpm.DepreciationMonths,$C261&lt;=AV$8),$E261/_xlpm.DepreciationMonths,0))</f>
        <v>0</v>
      </c>
      <c r="AW261" s="507" cm="1">
        <f t="array" ref="AW261">_xlfn.LET(_xlpm.DepreciationMonths,INDEX(FixedAssets[Depreciation
/ Amortization Months],_xlfn.XMATCH($E$237,FixedAssets[Asset ID])),IF(AND((_xlfn.XMATCH(AW$8,$AH$8:$CC$8))-_xlfn.XMATCH($C261,$C$35:$C$82)+1&lt;=_xlpm.DepreciationMonths,$C261&lt;=AW$8),$E261/_xlpm.DepreciationMonths,0))</f>
        <v>0</v>
      </c>
      <c r="AX261" s="507" cm="1">
        <f t="array" ref="AX261">_xlfn.LET(_xlpm.DepreciationMonths,INDEX(FixedAssets[Depreciation
/ Amortization Months],_xlfn.XMATCH($E$237,FixedAssets[Asset ID])),IF(AND((_xlfn.XMATCH(AX$8,$AH$8:$CC$8))-_xlfn.XMATCH($C261,$C$35:$C$82)+1&lt;=_xlpm.DepreciationMonths,$C261&lt;=AX$8),$E261/_xlpm.DepreciationMonths,0))</f>
        <v>0</v>
      </c>
      <c r="AY261" s="507" cm="1">
        <f t="array" ref="AY261">_xlfn.LET(_xlpm.DepreciationMonths,INDEX(FixedAssets[Depreciation
/ Amortization Months],_xlfn.XMATCH($E$237,FixedAssets[Asset ID])),IF(AND((_xlfn.XMATCH(AY$8,$AH$8:$CC$8))-_xlfn.XMATCH($C261,$C$35:$C$82)+1&lt;=_xlpm.DepreciationMonths,$C261&lt;=AY$8),$E261/_xlpm.DepreciationMonths,0))</f>
        <v>0</v>
      </c>
      <c r="AZ261" s="507" cm="1">
        <f t="array" ref="AZ261">_xlfn.LET(_xlpm.DepreciationMonths,INDEX(FixedAssets[Depreciation
/ Amortization Months],_xlfn.XMATCH($E$237,FixedAssets[Asset ID])),IF(AND((_xlfn.XMATCH(AZ$8,$AH$8:$CC$8))-_xlfn.XMATCH($C261,$C$35:$C$82)+1&lt;=_xlpm.DepreciationMonths,$C261&lt;=AZ$8),$E261/_xlpm.DepreciationMonths,0))</f>
        <v>0</v>
      </c>
      <c r="BA261" s="507" cm="1">
        <f t="array" ref="BA261">_xlfn.LET(_xlpm.DepreciationMonths,INDEX(FixedAssets[Depreciation
/ Amortization Months],_xlfn.XMATCH($E$237,FixedAssets[Asset ID])),IF(AND((_xlfn.XMATCH(BA$8,$AH$8:$CC$8))-_xlfn.XMATCH($C261,$C$35:$C$82)+1&lt;=_xlpm.DepreciationMonths,$C261&lt;=BA$8),$E261/_xlpm.DepreciationMonths,0))</f>
        <v>0</v>
      </c>
      <c r="BB261" s="507" cm="1">
        <f t="array" ref="BB261">_xlfn.LET(_xlpm.DepreciationMonths,INDEX(FixedAssets[Depreciation
/ Amortization Months],_xlfn.XMATCH($E$237,FixedAssets[Asset ID])),IF(AND((_xlfn.XMATCH(BB$8,$AH$8:$CC$8))-_xlfn.XMATCH($C261,$C$35:$C$82)+1&lt;=_xlpm.DepreciationMonths,$C261&lt;=BB$8),$E261/_xlpm.DepreciationMonths,0))</f>
        <v>0</v>
      </c>
      <c r="BC261" s="507" cm="1">
        <f t="array" ref="BC261">_xlfn.LET(_xlpm.DepreciationMonths,INDEX(FixedAssets[Depreciation
/ Amortization Months],_xlfn.XMATCH($E$237,FixedAssets[Asset ID])),IF(AND((_xlfn.XMATCH(BC$8,$AH$8:$CC$8))-_xlfn.XMATCH($C261,$C$35:$C$82)+1&lt;=_xlpm.DepreciationMonths,$C261&lt;=BC$8),$E261/_xlpm.DepreciationMonths,0))</f>
        <v>0</v>
      </c>
      <c r="BD261" s="507" cm="1">
        <f t="array" ref="BD261">_xlfn.LET(_xlpm.DepreciationMonths,INDEX(FixedAssets[Depreciation
/ Amortization Months],_xlfn.XMATCH($E$237,FixedAssets[Asset ID])),IF(AND((_xlfn.XMATCH(BD$8,$AH$8:$CC$8))-_xlfn.XMATCH($C261,$C$35:$C$82)+1&lt;=_xlpm.DepreciationMonths,$C261&lt;=BD$8),$E261/_xlpm.DepreciationMonths,0))</f>
        <v>0</v>
      </c>
      <c r="BE261" s="507" cm="1">
        <f t="array" ref="BE261">_xlfn.LET(_xlpm.DepreciationMonths,INDEX(FixedAssets[Depreciation
/ Amortization Months],_xlfn.XMATCH($E$237,FixedAssets[Asset ID])),IF(AND((_xlfn.XMATCH(BE$8,$AH$8:$CC$8))-_xlfn.XMATCH($C261,$C$35:$C$82)+1&lt;=_xlpm.DepreciationMonths,$C261&lt;=BE$8),$E261/_xlpm.DepreciationMonths,0))</f>
        <v>0</v>
      </c>
      <c r="BF261" s="507" cm="1">
        <f t="array" ref="BF261">_xlfn.LET(_xlpm.DepreciationMonths,INDEX(FixedAssets[Depreciation
/ Amortization Months],_xlfn.XMATCH($E$237,FixedAssets[Asset ID])),IF(AND((_xlfn.XMATCH(BF$8,$AH$8:$CC$8))-_xlfn.XMATCH($C261,$C$35:$C$82)+1&lt;=_xlpm.DepreciationMonths,$C261&lt;=BF$8),$E261/_xlpm.DepreciationMonths,0))</f>
        <v>0</v>
      </c>
      <c r="BG261" s="507" cm="1">
        <f t="array" ref="BG261">_xlfn.LET(_xlpm.DepreciationMonths,INDEX(FixedAssets[Depreciation
/ Amortization Months],_xlfn.XMATCH($E$237,FixedAssets[Asset ID])),IF(AND((_xlfn.XMATCH(BG$8,$AH$8:$CC$8))-_xlfn.XMATCH($C261,$C$35:$C$82)+1&lt;=_xlpm.DepreciationMonths,$C261&lt;=BG$8),$E261/_xlpm.DepreciationMonths,0))</f>
        <v>0</v>
      </c>
      <c r="BH261" s="507" cm="1">
        <f t="array" ref="BH261">_xlfn.LET(_xlpm.DepreciationMonths,INDEX(FixedAssets[Depreciation
/ Amortization Months],_xlfn.XMATCH($E$237,FixedAssets[Asset ID])),IF(AND((_xlfn.XMATCH(BH$8,$AH$8:$CC$8))-_xlfn.XMATCH($C261,$C$35:$C$82)+1&lt;=_xlpm.DepreciationMonths,$C261&lt;=BH$8),$E261/_xlpm.DepreciationMonths,0))</f>
        <v>0</v>
      </c>
      <c r="BI261" s="507" cm="1">
        <f t="array" ref="BI261">_xlfn.LET(_xlpm.DepreciationMonths,INDEX(FixedAssets[Depreciation
/ Amortization Months],_xlfn.XMATCH($E$237,FixedAssets[Asset ID])),IF(AND((_xlfn.XMATCH(BI$8,$AH$8:$CC$8))-_xlfn.XMATCH($C261,$C$35:$C$82)+1&lt;=_xlpm.DepreciationMonths,$C261&lt;=BI$8),$E261/_xlpm.DepreciationMonths,0))</f>
        <v>0</v>
      </c>
      <c r="BJ261" s="507" cm="1">
        <f t="array" ref="BJ261">_xlfn.LET(_xlpm.DepreciationMonths,INDEX(FixedAssets[Depreciation
/ Amortization Months],_xlfn.XMATCH($E$237,FixedAssets[Asset ID])),IF(AND((_xlfn.XMATCH(BJ$8,$AH$8:$CC$8))-_xlfn.XMATCH($C261,$C$35:$C$82)+1&lt;=_xlpm.DepreciationMonths,$C261&lt;=BJ$8),$E261/_xlpm.DepreciationMonths,0))</f>
        <v>0</v>
      </c>
      <c r="BK261" s="507" cm="1">
        <f t="array" ref="BK261">_xlfn.LET(_xlpm.DepreciationMonths,INDEX(FixedAssets[Depreciation
/ Amortization Months],_xlfn.XMATCH($E$237,FixedAssets[Asset ID])),IF(AND((_xlfn.XMATCH(BK$8,$AH$8:$CC$8))-_xlfn.XMATCH($C261,$C$35:$C$82)+1&lt;=_xlpm.DepreciationMonths,$C261&lt;=BK$8),$E261/_xlpm.DepreciationMonths,0))</f>
        <v>0</v>
      </c>
      <c r="BL261" s="507" cm="1">
        <f t="array" ref="BL261">_xlfn.LET(_xlpm.DepreciationMonths,INDEX(FixedAssets[Depreciation
/ Amortization Months],_xlfn.XMATCH($E$237,FixedAssets[Asset ID])),IF(AND((_xlfn.XMATCH(BL$8,$AH$8:$CC$8))-_xlfn.XMATCH($C261,$C$35:$C$82)+1&lt;=_xlpm.DepreciationMonths,$C261&lt;=BL$8),$E261/_xlpm.DepreciationMonths,0))</f>
        <v>0</v>
      </c>
      <c r="BM261" s="507" cm="1">
        <f t="array" ref="BM261">_xlfn.LET(_xlpm.DepreciationMonths,INDEX(FixedAssets[Depreciation
/ Amortization Months],_xlfn.XMATCH($E$237,FixedAssets[Asset ID])),IF(AND((_xlfn.XMATCH(BM$8,$AH$8:$CC$8))-_xlfn.XMATCH($C261,$C$35:$C$82)+1&lt;=_xlpm.DepreciationMonths,$C261&lt;=BM$8),$E261/_xlpm.DepreciationMonths,0))</f>
        <v>0</v>
      </c>
      <c r="BN261" s="507" cm="1">
        <f t="array" ref="BN261">_xlfn.LET(_xlpm.DepreciationMonths,INDEX(FixedAssets[Depreciation
/ Amortization Months],_xlfn.XMATCH($E$237,FixedAssets[Asset ID])),IF(AND((_xlfn.XMATCH(BN$8,$AH$8:$CC$8))-_xlfn.XMATCH($C261,$C$35:$C$82)+1&lt;=_xlpm.DepreciationMonths,$C261&lt;=BN$8),$E261/_xlpm.DepreciationMonths,0))</f>
        <v>0</v>
      </c>
      <c r="BO261" s="507" cm="1">
        <f t="array" ref="BO261">_xlfn.LET(_xlpm.DepreciationMonths,INDEX(FixedAssets[Depreciation
/ Amortization Months],_xlfn.XMATCH($E$237,FixedAssets[Asset ID])),IF(AND((_xlfn.XMATCH(BO$8,$AH$8:$CC$8))-_xlfn.XMATCH($C261,$C$35:$C$82)+1&lt;=_xlpm.DepreciationMonths,$C261&lt;=BO$8),$E261/_xlpm.DepreciationMonths,0))</f>
        <v>0</v>
      </c>
      <c r="BP261" s="507" cm="1">
        <f t="array" ref="BP261">_xlfn.LET(_xlpm.DepreciationMonths,INDEX(FixedAssets[Depreciation
/ Amortization Months],_xlfn.XMATCH($E$237,FixedAssets[Asset ID])),IF(AND((_xlfn.XMATCH(BP$8,$AH$8:$CC$8))-_xlfn.XMATCH($C261,$C$35:$C$82)+1&lt;=_xlpm.DepreciationMonths,$C261&lt;=BP$8),$E261/_xlpm.DepreciationMonths,0))</f>
        <v>0</v>
      </c>
      <c r="BQ261" s="507" cm="1">
        <f t="array" ref="BQ261">_xlfn.LET(_xlpm.DepreciationMonths,INDEX(FixedAssets[Depreciation
/ Amortization Months],_xlfn.XMATCH($E$237,FixedAssets[Asset ID])),IF(AND((_xlfn.XMATCH(BQ$8,$AH$8:$CC$8))-_xlfn.XMATCH($C261,$C$35:$C$82)+1&lt;=_xlpm.DepreciationMonths,$C261&lt;=BQ$8),$E261/_xlpm.DepreciationMonths,0))</f>
        <v>0</v>
      </c>
      <c r="BR261" s="507" cm="1">
        <f t="array" ref="BR261">_xlfn.LET(_xlpm.DepreciationMonths,INDEX(FixedAssets[Depreciation
/ Amortization Months],_xlfn.XMATCH($E$237,FixedAssets[Asset ID])),IF(AND((_xlfn.XMATCH(BR$8,$AH$8:$CC$8))-_xlfn.XMATCH($C261,$C$35:$C$82)+1&lt;=_xlpm.DepreciationMonths,$C261&lt;=BR$8),$E261/_xlpm.DepreciationMonths,0))</f>
        <v>0</v>
      </c>
      <c r="BS261" s="507" cm="1">
        <f t="array" ref="BS261">_xlfn.LET(_xlpm.DepreciationMonths,INDEX(FixedAssets[Depreciation
/ Amortization Months],_xlfn.XMATCH($E$237,FixedAssets[Asset ID])),IF(AND((_xlfn.XMATCH(BS$8,$AH$8:$CC$8))-_xlfn.XMATCH($C261,$C$35:$C$82)+1&lt;=_xlpm.DepreciationMonths,$C261&lt;=BS$8),$E261/_xlpm.DepreciationMonths,0))</f>
        <v>0</v>
      </c>
      <c r="BT261" s="507" cm="1">
        <f t="array" ref="BT261">_xlfn.LET(_xlpm.DepreciationMonths,INDEX(FixedAssets[Depreciation
/ Amortization Months],_xlfn.XMATCH($E$237,FixedAssets[Asset ID])),IF(AND((_xlfn.XMATCH(BT$8,$AH$8:$CC$8))-_xlfn.XMATCH($C261,$C$35:$C$82)+1&lt;=_xlpm.DepreciationMonths,$C261&lt;=BT$8),$E261/_xlpm.DepreciationMonths,0))</f>
        <v>0</v>
      </c>
      <c r="BU261" s="507" cm="1">
        <f t="array" ref="BU261">_xlfn.LET(_xlpm.DepreciationMonths,INDEX(FixedAssets[Depreciation
/ Amortization Months],_xlfn.XMATCH($E$237,FixedAssets[Asset ID])),IF(AND((_xlfn.XMATCH(BU$8,$AH$8:$CC$8))-_xlfn.XMATCH($C261,$C$35:$C$82)+1&lt;=_xlpm.DepreciationMonths,$C261&lt;=BU$8),$E261/_xlpm.DepreciationMonths,0))</f>
        <v>0</v>
      </c>
      <c r="BV261" s="507" cm="1">
        <f t="array" ref="BV261">_xlfn.LET(_xlpm.DepreciationMonths,INDEX(FixedAssets[Depreciation
/ Amortization Months],_xlfn.XMATCH($E$237,FixedAssets[Asset ID])),IF(AND((_xlfn.XMATCH(BV$8,$AH$8:$CC$8))-_xlfn.XMATCH($C261,$C$35:$C$82)+1&lt;=_xlpm.DepreciationMonths,$C261&lt;=BV$8),$E261/_xlpm.DepreciationMonths,0))</f>
        <v>0</v>
      </c>
      <c r="BW261" s="507" cm="1">
        <f t="array" ref="BW261">_xlfn.LET(_xlpm.DepreciationMonths,INDEX(FixedAssets[Depreciation
/ Amortization Months],_xlfn.XMATCH($E$237,FixedAssets[Asset ID])),IF(AND((_xlfn.XMATCH(BW$8,$AH$8:$CC$8))-_xlfn.XMATCH($C261,$C$35:$C$82)+1&lt;=_xlpm.DepreciationMonths,$C261&lt;=BW$8),$E261/_xlpm.DepreciationMonths,0))</f>
        <v>0</v>
      </c>
      <c r="BX261" s="507" cm="1">
        <f t="array" ref="BX261">_xlfn.LET(_xlpm.DepreciationMonths,INDEX(FixedAssets[Depreciation
/ Amortization Months],_xlfn.XMATCH($E$237,FixedAssets[Asset ID])),IF(AND((_xlfn.XMATCH(BX$8,$AH$8:$CC$8))-_xlfn.XMATCH($C261,$C$35:$C$82)+1&lt;=_xlpm.DepreciationMonths,$C261&lt;=BX$8),$E261/_xlpm.DepreciationMonths,0))</f>
        <v>0</v>
      </c>
      <c r="BY261" s="507" cm="1">
        <f t="array" ref="BY261">_xlfn.LET(_xlpm.DepreciationMonths,INDEX(FixedAssets[Depreciation
/ Amortization Months],_xlfn.XMATCH($E$237,FixedAssets[Asset ID])),IF(AND((_xlfn.XMATCH(BY$8,$AH$8:$CC$8))-_xlfn.XMATCH($C261,$C$35:$C$82)+1&lt;=_xlpm.DepreciationMonths,$C261&lt;=BY$8),$E261/_xlpm.DepreciationMonths,0))</f>
        <v>0</v>
      </c>
      <c r="BZ261" s="507" cm="1">
        <f t="array" ref="BZ261">_xlfn.LET(_xlpm.DepreciationMonths,INDEX(FixedAssets[Depreciation
/ Amortization Months],_xlfn.XMATCH($E$237,FixedAssets[Asset ID])),IF(AND((_xlfn.XMATCH(BZ$8,$AH$8:$CC$8))-_xlfn.XMATCH($C261,$C$35:$C$82)+1&lt;=_xlpm.DepreciationMonths,$C261&lt;=BZ$8),$E261/_xlpm.DepreciationMonths,0))</f>
        <v>0</v>
      </c>
      <c r="CA261" s="507" cm="1">
        <f t="array" ref="CA261">_xlfn.LET(_xlpm.DepreciationMonths,INDEX(FixedAssets[Depreciation
/ Amortization Months],_xlfn.XMATCH($E$237,FixedAssets[Asset ID])),IF(AND((_xlfn.XMATCH(CA$8,$AH$8:$CC$8))-_xlfn.XMATCH($C261,$C$35:$C$82)+1&lt;=_xlpm.DepreciationMonths,$C261&lt;=CA$8),$E261/_xlpm.DepreciationMonths,0))</f>
        <v>0</v>
      </c>
      <c r="CB261" s="507" cm="1">
        <f t="array" ref="CB261">_xlfn.LET(_xlpm.DepreciationMonths,INDEX(FixedAssets[Depreciation
/ Amortization Months],_xlfn.XMATCH($E$237,FixedAssets[Asset ID])),IF(AND((_xlfn.XMATCH(CB$8,$AH$8:$CC$8))-_xlfn.XMATCH($C261,$C$35:$C$82)+1&lt;=_xlpm.DepreciationMonths,$C261&lt;=CB$8),$E261/_xlpm.DepreciationMonths,0))</f>
        <v>0</v>
      </c>
      <c r="CC261" s="507" cm="1">
        <f t="array" ref="CC261">_xlfn.LET(_xlpm.DepreciationMonths,INDEX(FixedAssets[Depreciation
/ Amortization Months],_xlfn.XMATCH($E$237,FixedAssets[Asset ID])),IF(AND((_xlfn.XMATCH(CC$8,$AH$8:$CC$8))-_xlfn.XMATCH($C261,$C$35:$C$82)+1&lt;=_xlpm.DepreciationMonths,$C261&lt;=CC$8),$E261/_xlpm.DepreciationMonths,0))</f>
        <v>0</v>
      </c>
    </row>
    <row r="262" spans="3:81" hidden="1" outlineLevel="2">
      <c r="C262" s="664">
        <f t="shared" si="267"/>
        <v>45657</v>
      </c>
      <c r="D262" s="508"/>
      <c r="E262" s="508" cm="1">
        <f t="array" ref="E262">SUMPRODUCT(($AH$26:$CC$31)*($AH$5:$CC$5=$C262)*($E$26:$E$31=E$237))-SUMPRODUCT(($AH$26:$CC$31)*($AH$5:$CC$5=EOMONTH($C262,-1))*($E$26:$E$31=E$237))</f>
        <v>0</v>
      </c>
      <c r="F262" s="508"/>
      <c r="G262" s="508"/>
      <c r="H262" s="508"/>
      <c r="I262" s="508"/>
      <c r="J262" s="504">
        <f t="shared" si="265"/>
        <v>0</v>
      </c>
      <c r="K262" s="504">
        <f t="shared" si="265"/>
        <v>0</v>
      </c>
      <c r="L262" s="504">
        <f t="shared" si="265"/>
        <v>0</v>
      </c>
      <c r="M262" s="504">
        <f t="shared" si="265"/>
        <v>0</v>
      </c>
      <c r="N262" s="504"/>
      <c r="O262" s="504"/>
      <c r="P262" s="504">
        <f t="shared" si="269"/>
        <v>0</v>
      </c>
      <c r="Q262" s="504">
        <f t="shared" si="269"/>
        <v>0</v>
      </c>
      <c r="R262" s="504">
        <f t="shared" si="269"/>
        <v>0</v>
      </c>
      <c r="S262" s="504">
        <f t="shared" si="269"/>
        <v>0</v>
      </c>
      <c r="T262" s="504">
        <f t="shared" si="269"/>
        <v>0</v>
      </c>
      <c r="U262" s="504">
        <f t="shared" si="269"/>
        <v>0</v>
      </c>
      <c r="V262" s="504">
        <f t="shared" si="269"/>
        <v>0</v>
      </c>
      <c r="W262" s="504">
        <f t="shared" si="269"/>
        <v>0</v>
      </c>
      <c r="X262" s="504">
        <f t="shared" si="269"/>
        <v>0</v>
      </c>
      <c r="Y262" s="504">
        <f t="shared" si="269"/>
        <v>0</v>
      </c>
      <c r="Z262" s="504">
        <f t="shared" si="269"/>
        <v>0</v>
      </c>
      <c r="AA262" s="504">
        <f t="shared" si="269"/>
        <v>0</v>
      </c>
      <c r="AB262" s="504">
        <f t="shared" si="269"/>
        <v>0</v>
      </c>
      <c r="AC262" s="504">
        <f t="shared" si="269"/>
        <v>0</v>
      </c>
      <c r="AD262" s="504">
        <f t="shared" si="269"/>
        <v>0</v>
      </c>
      <c r="AE262" s="504">
        <f t="shared" si="269"/>
        <v>0</v>
      </c>
      <c r="AF262" s="508"/>
      <c r="AG262" s="508"/>
      <c r="AH262" s="507" cm="1">
        <f t="array" ref="AH262">_xlfn.LET(_xlpm.DepreciationMonths,INDEX(FixedAssets[Depreciation
/ Amortization Months],_xlfn.XMATCH($E$237,FixedAssets[Asset ID])),IF(AND((_xlfn.XMATCH(AH$8,$AH$8:$CC$8))-_xlfn.XMATCH($C262,$C$35:$C$82)+1&lt;=_xlpm.DepreciationMonths,$C262&lt;=AH$8),$E262/_xlpm.DepreciationMonths,0))</f>
        <v>0</v>
      </c>
      <c r="AI262" s="507" cm="1">
        <f t="array" ref="AI262">_xlfn.LET(_xlpm.DepreciationMonths,INDEX(FixedAssets[Depreciation
/ Amortization Months],_xlfn.XMATCH($E$237,FixedAssets[Asset ID])),IF(AND((_xlfn.XMATCH(AI$8,$AH$8:$CC$8))-_xlfn.XMATCH($C262,$C$35:$C$82)+1&lt;=_xlpm.DepreciationMonths,$C262&lt;=AI$8),$E262/_xlpm.DepreciationMonths,0))</f>
        <v>0</v>
      </c>
      <c r="AJ262" s="507" cm="1">
        <f t="array" ref="AJ262">_xlfn.LET(_xlpm.DepreciationMonths,INDEX(FixedAssets[Depreciation
/ Amortization Months],_xlfn.XMATCH($E$237,FixedAssets[Asset ID])),IF(AND((_xlfn.XMATCH(AJ$8,$AH$8:$CC$8))-_xlfn.XMATCH($C262,$C$35:$C$82)+1&lt;=_xlpm.DepreciationMonths,$C262&lt;=AJ$8),$E262/_xlpm.DepreciationMonths,0))</f>
        <v>0</v>
      </c>
      <c r="AK262" s="507" cm="1">
        <f t="array" ref="AK262">_xlfn.LET(_xlpm.DepreciationMonths,INDEX(FixedAssets[Depreciation
/ Amortization Months],_xlfn.XMATCH($E$237,FixedAssets[Asset ID])),IF(AND((_xlfn.XMATCH(AK$8,$AH$8:$CC$8))-_xlfn.XMATCH($C262,$C$35:$C$82)+1&lt;=_xlpm.DepreciationMonths,$C262&lt;=AK$8),$E262/_xlpm.DepreciationMonths,0))</f>
        <v>0</v>
      </c>
      <c r="AL262" s="507" cm="1">
        <f t="array" ref="AL262">_xlfn.LET(_xlpm.DepreciationMonths,INDEX(FixedAssets[Depreciation
/ Amortization Months],_xlfn.XMATCH($E$237,FixedAssets[Asset ID])),IF(AND((_xlfn.XMATCH(AL$8,$AH$8:$CC$8))-_xlfn.XMATCH($C262,$C$35:$C$82)+1&lt;=_xlpm.DepreciationMonths,$C262&lt;=AL$8),$E262/_xlpm.DepreciationMonths,0))</f>
        <v>0</v>
      </c>
      <c r="AM262" s="507" cm="1">
        <f t="array" ref="AM262">_xlfn.LET(_xlpm.DepreciationMonths,INDEX(FixedAssets[Depreciation
/ Amortization Months],_xlfn.XMATCH($E$237,FixedAssets[Asset ID])),IF(AND((_xlfn.XMATCH(AM$8,$AH$8:$CC$8))-_xlfn.XMATCH($C262,$C$35:$C$82)+1&lt;=_xlpm.DepreciationMonths,$C262&lt;=AM$8),$E262/_xlpm.DepreciationMonths,0))</f>
        <v>0</v>
      </c>
      <c r="AN262" s="507" cm="1">
        <f t="array" ref="AN262">_xlfn.LET(_xlpm.DepreciationMonths,INDEX(FixedAssets[Depreciation
/ Amortization Months],_xlfn.XMATCH($E$237,FixedAssets[Asset ID])),IF(AND((_xlfn.XMATCH(AN$8,$AH$8:$CC$8))-_xlfn.XMATCH($C262,$C$35:$C$82)+1&lt;=_xlpm.DepreciationMonths,$C262&lt;=AN$8),$E262/_xlpm.DepreciationMonths,0))</f>
        <v>0</v>
      </c>
      <c r="AO262" s="507" cm="1">
        <f t="array" ref="AO262">_xlfn.LET(_xlpm.DepreciationMonths,INDEX(FixedAssets[Depreciation
/ Amortization Months],_xlfn.XMATCH($E$237,FixedAssets[Asset ID])),IF(AND((_xlfn.XMATCH(AO$8,$AH$8:$CC$8))-_xlfn.XMATCH($C262,$C$35:$C$82)+1&lt;=_xlpm.DepreciationMonths,$C262&lt;=AO$8),$E262/_xlpm.DepreciationMonths,0))</f>
        <v>0</v>
      </c>
      <c r="AP262" s="507" cm="1">
        <f t="array" ref="AP262">_xlfn.LET(_xlpm.DepreciationMonths,INDEX(FixedAssets[Depreciation
/ Amortization Months],_xlfn.XMATCH($E$237,FixedAssets[Asset ID])),IF(AND((_xlfn.XMATCH(AP$8,$AH$8:$CC$8))-_xlfn.XMATCH($C262,$C$35:$C$82)+1&lt;=_xlpm.DepreciationMonths,$C262&lt;=AP$8),$E262/_xlpm.DepreciationMonths,0))</f>
        <v>0</v>
      </c>
      <c r="AQ262" s="507" cm="1">
        <f t="array" ref="AQ262">_xlfn.LET(_xlpm.DepreciationMonths,INDEX(FixedAssets[Depreciation
/ Amortization Months],_xlfn.XMATCH($E$237,FixedAssets[Asset ID])),IF(AND((_xlfn.XMATCH(AQ$8,$AH$8:$CC$8))-_xlfn.XMATCH($C262,$C$35:$C$82)+1&lt;=_xlpm.DepreciationMonths,$C262&lt;=AQ$8),$E262/_xlpm.DepreciationMonths,0))</f>
        <v>0</v>
      </c>
      <c r="AR262" s="507" cm="1">
        <f t="array" ref="AR262">_xlfn.LET(_xlpm.DepreciationMonths,INDEX(FixedAssets[Depreciation
/ Amortization Months],_xlfn.XMATCH($E$237,FixedAssets[Asset ID])),IF(AND((_xlfn.XMATCH(AR$8,$AH$8:$CC$8))-_xlfn.XMATCH($C262,$C$35:$C$82)+1&lt;=_xlpm.DepreciationMonths,$C262&lt;=AR$8),$E262/_xlpm.DepreciationMonths,0))</f>
        <v>0</v>
      </c>
      <c r="AS262" s="507" cm="1">
        <f t="array" ref="AS262">_xlfn.LET(_xlpm.DepreciationMonths,INDEX(FixedAssets[Depreciation
/ Amortization Months],_xlfn.XMATCH($E$237,FixedAssets[Asset ID])),IF(AND((_xlfn.XMATCH(AS$8,$AH$8:$CC$8))-_xlfn.XMATCH($C262,$C$35:$C$82)+1&lt;=_xlpm.DepreciationMonths,$C262&lt;=AS$8),$E262/_xlpm.DepreciationMonths,0))</f>
        <v>0</v>
      </c>
      <c r="AT262" s="507" cm="1">
        <f t="array" ref="AT262">_xlfn.LET(_xlpm.DepreciationMonths,INDEX(FixedAssets[Depreciation
/ Amortization Months],_xlfn.XMATCH($E$237,FixedAssets[Asset ID])),IF(AND((_xlfn.XMATCH(AT$8,$AH$8:$CC$8))-_xlfn.XMATCH($C262,$C$35:$C$82)+1&lt;=_xlpm.DepreciationMonths,$C262&lt;=AT$8),$E262/_xlpm.DepreciationMonths,0))</f>
        <v>0</v>
      </c>
      <c r="AU262" s="507" cm="1">
        <f t="array" ref="AU262">_xlfn.LET(_xlpm.DepreciationMonths,INDEX(FixedAssets[Depreciation
/ Amortization Months],_xlfn.XMATCH($E$237,FixedAssets[Asset ID])),IF(AND((_xlfn.XMATCH(AU$8,$AH$8:$CC$8))-_xlfn.XMATCH($C262,$C$35:$C$82)+1&lt;=_xlpm.DepreciationMonths,$C262&lt;=AU$8),$E262/_xlpm.DepreciationMonths,0))</f>
        <v>0</v>
      </c>
      <c r="AV262" s="507" cm="1">
        <f t="array" ref="AV262">_xlfn.LET(_xlpm.DepreciationMonths,INDEX(FixedAssets[Depreciation
/ Amortization Months],_xlfn.XMATCH($E$237,FixedAssets[Asset ID])),IF(AND((_xlfn.XMATCH(AV$8,$AH$8:$CC$8))-_xlfn.XMATCH($C262,$C$35:$C$82)+1&lt;=_xlpm.DepreciationMonths,$C262&lt;=AV$8),$E262/_xlpm.DepreciationMonths,0))</f>
        <v>0</v>
      </c>
      <c r="AW262" s="507" cm="1">
        <f t="array" ref="AW262">_xlfn.LET(_xlpm.DepreciationMonths,INDEX(FixedAssets[Depreciation
/ Amortization Months],_xlfn.XMATCH($E$237,FixedAssets[Asset ID])),IF(AND((_xlfn.XMATCH(AW$8,$AH$8:$CC$8))-_xlfn.XMATCH($C262,$C$35:$C$82)+1&lt;=_xlpm.DepreciationMonths,$C262&lt;=AW$8),$E262/_xlpm.DepreciationMonths,0))</f>
        <v>0</v>
      </c>
      <c r="AX262" s="507" cm="1">
        <f t="array" ref="AX262">_xlfn.LET(_xlpm.DepreciationMonths,INDEX(FixedAssets[Depreciation
/ Amortization Months],_xlfn.XMATCH($E$237,FixedAssets[Asset ID])),IF(AND((_xlfn.XMATCH(AX$8,$AH$8:$CC$8))-_xlfn.XMATCH($C262,$C$35:$C$82)+1&lt;=_xlpm.DepreciationMonths,$C262&lt;=AX$8),$E262/_xlpm.DepreciationMonths,0))</f>
        <v>0</v>
      </c>
      <c r="AY262" s="507" cm="1">
        <f t="array" ref="AY262">_xlfn.LET(_xlpm.DepreciationMonths,INDEX(FixedAssets[Depreciation
/ Amortization Months],_xlfn.XMATCH($E$237,FixedAssets[Asset ID])),IF(AND((_xlfn.XMATCH(AY$8,$AH$8:$CC$8))-_xlfn.XMATCH($C262,$C$35:$C$82)+1&lt;=_xlpm.DepreciationMonths,$C262&lt;=AY$8),$E262/_xlpm.DepreciationMonths,0))</f>
        <v>0</v>
      </c>
      <c r="AZ262" s="507" cm="1">
        <f t="array" ref="AZ262">_xlfn.LET(_xlpm.DepreciationMonths,INDEX(FixedAssets[Depreciation
/ Amortization Months],_xlfn.XMATCH($E$237,FixedAssets[Asset ID])),IF(AND((_xlfn.XMATCH(AZ$8,$AH$8:$CC$8))-_xlfn.XMATCH($C262,$C$35:$C$82)+1&lt;=_xlpm.DepreciationMonths,$C262&lt;=AZ$8),$E262/_xlpm.DepreciationMonths,0))</f>
        <v>0</v>
      </c>
      <c r="BA262" s="507" cm="1">
        <f t="array" ref="BA262">_xlfn.LET(_xlpm.DepreciationMonths,INDEX(FixedAssets[Depreciation
/ Amortization Months],_xlfn.XMATCH($E$237,FixedAssets[Asset ID])),IF(AND((_xlfn.XMATCH(BA$8,$AH$8:$CC$8))-_xlfn.XMATCH($C262,$C$35:$C$82)+1&lt;=_xlpm.DepreciationMonths,$C262&lt;=BA$8),$E262/_xlpm.DepreciationMonths,0))</f>
        <v>0</v>
      </c>
      <c r="BB262" s="507" cm="1">
        <f t="array" ref="BB262">_xlfn.LET(_xlpm.DepreciationMonths,INDEX(FixedAssets[Depreciation
/ Amortization Months],_xlfn.XMATCH($E$237,FixedAssets[Asset ID])),IF(AND((_xlfn.XMATCH(BB$8,$AH$8:$CC$8))-_xlfn.XMATCH($C262,$C$35:$C$82)+1&lt;=_xlpm.DepreciationMonths,$C262&lt;=BB$8),$E262/_xlpm.DepreciationMonths,0))</f>
        <v>0</v>
      </c>
      <c r="BC262" s="507" cm="1">
        <f t="array" ref="BC262">_xlfn.LET(_xlpm.DepreciationMonths,INDEX(FixedAssets[Depreciation
/ Amortization Months],_xlfn.XMATCH($E$237,FixedAssets[Asset ID])),IF(AND((_xlfn.XMATCH(BC$8,$AH$8:$CC$8))-_xlfn.XMATCH($C262,$C$35:$C$82)+1&lt;=_xlpm.DepreciationMonths,$C262&lt;=BC$8),$E262/_xlpm.DepreciationMonths,0))</f>
        <v>0</v>
      </c>
      <c r="BD262" s="507" cm="1">
        <f t="array" ref="BD262">_xlfn.LET(_xlpm.DepreciationMonths,INDEX(FixedAssets[Depreciation
/ Amortization Months],_xlfn.XMATCH($E$237,FixedAssets[Asset ID])),IF(AND((_xlfn.XMATCH(BD$8,$AH$8:$CC$8))-_xlfn.XMATCH($C262,$C$35:$C$82)+1&lt;=_xlpm.DepreciationMonths,$C262&lt;=BD$8),$E262/_xlpm.DepreciationMonths,0))</f>
        <v>0</v>
      </c>
      <c r="BE262" s="507" cm="1">
        <f t="array" ref="BE262">_xlfn.LET(_xlpm.DepreciationMonths,INDEX(FixedAssets[Depreciation
/ Amortization Months],_xlfn.XMATCH($E$237,FixedAssets[Asset ID])),IF(AND((_xlfn.XMATCH(BE$8,$AH$8:$CC$8))-_xlfn.XMATCH($C262,$C$35:$C$82)+1&lt;=_xlpm.DepreciationMonths,$C262&lt;=BE$8),$E262/_xlpm.DepreciationMonths,0))</f>
        <v>0</v>
      </c>
      <c r="BF262" s="507" cm="1">
        <f t="array" ref="BF262">_xlfn.LET(_xlpm.DepreciationMonths,INDEX(FixedAssets[Depreciation
/ Amortization Months],_xlfn.XMATCH($E$237,FixedAssets[Asset ID])),IF(AND((_xlfn.XMATCH(BF$8,$AH$8:$CC$8))-_xlfn.XMATCH($C262,$C$35:$C$82)+1&lt;=_xlpm.DepreciationMonths,$C262&lt;=BF$8),$E262/_xlpm.DepreciationMonths,0))</f>
        <v>0</v>
      </c>
      <c r="BG262" s="507" cm="1">
        <f t="array" ref="BG262">_xlfn.LET(_xlpm.DepreciationMonths,INDEX(FixedAssets[Depreciation
/ Amortization Months],_xlfn.XMATCH($E$237,FixedAssets[Asset ID])),IF(AND((_xlfn.XMATCH(BG$8,$AH$8:$CC$8))-_xlfn.XMATCH($C262,$C$35:$C$82)+1&lt;=_xlpm.DepreciationMonths,$C262&lt;=BG$8),$E262/_xlpm.DepreciationMonths,0))</f>
        <v>0</v>
      </c>
      <c r="BH262" s="507" cm="1">
        <f t="array" ref="BH262">_xlfn.LET(_xlpm.DepreciationMonths,INDEX(FixedAssets[Depreciation
/ Amortization Months],_xlfn.XMATCH($E$237,FixedAssets[Asset ID])),IF(AND((_xlfn.XMATCH(BH$8,$AH$8:$CC$8))-_xlfn.XMATCH($C262,$C$35:$C$82)+1&lt;=_xlpm.DepreciationMonths,$C262&lt;=BH$8),$E262/_xlpm.DepreciationMonths,0))</f>
        <v>0</v>
      </c>
      <c r="BI262" s="507" cm="1">
        <f t="array" ref="BI262">_xlfn.LET(_xlpm.DepreciationMonths,INDEX(FixedAssets[Depreciation
/ Amortization Months],_xlfn.XMATCH($E$237,FixedAssets[Asset ID])),IF(AND((_xlfn.XMATCH(BI$8,$AH$8:$CC$8))-_xlfn.XMATCH($C262,$C$35:$C$82)+1&lt;=_xlpm.DepreciationMonths,$C262&lt;=BI$8),$E262/_xlpm.DepreciationMonths,0))</f>
        <v>0</v>
      </c>
      <c r="BJ262" s="507" cm="1">
        <f t="array" ref="BJ262">_xlfn.LET(_xlpm.DepreciationMonths,INDEX(FixedAssets[Depreciation
/ Amortization Months],_xlfn.XMATCH($E$237,FixedAssets[Asset ID])),IF(AND((_xlfn.XMATCH(BJ$8,$AH$8:$CC$8))-_xlfn.XMATCH($C262,$C$35:$C$82)+1&lt;=_xlpm.DepreciationMonths,$C262&lt;=BJ$8),$E262/_xlpm.DepreciationMonths,0))</f>
        <v>0</v>
      </c>
      <c r="BK262" s="507" cm="1">
        <f t="array" ref="BK262">_xlfn.LET(_xlpm.DepreciationMonths,INDEX(FixedAssets[Depreciation
/ Amortization Months],_xlfn.XMATCH($E$237,FixedAssets[Asset ID])),IF(AND((_xlfn.XMATCH(BK$8,$AH$8:$CC$8))-_xlfn.XMATCH($C262,$C$35:$C$82)+1&lt;=_xlpm.DepreciationMonths,$C262&lt;=BK$8),$E262/_xlpm.DepreciationMonths,0))</f>
        <v>0</v>
      </c>
      <c r="BL262" s="507" cm="1">
        <f t="array" ref="BL262">_xlfn.LET(_xlpm.DepreciationMonths,INDEX(FixedAssets[Depreciation
/ Amortization Months],_xlfn.XMATCH($E$237,FixedAssets[Asset ID])),IF(AND((_xlfn.XMATCH(BL$8,$AH$8:$CC$8))-_xlfn.XMATCH($C262,$C$35:$C$82)+1&lt;=_xlpm.DepreciationMonths,$C262&lt;=BL$8),$E262/_xlpm.DepreciationMonths,0))</f>
        <v>0</v>
      </c>
      <c r="BM262" s="507" cm="1">
        <f t="array" ref="BM262">_xlfn.LET(_xlpm.DepreciationMonths,INDEX(FixedAssets[Depreciation
/ Amortization Months],_xlfn.XMATCH($E$237,FixedAssets[Asset ID])),IF(AND((_xlfn.XMATCH(BM$8,$AH$8:$CC$8))-_xlfn.XMATCH($C262,$C$35:$C$82)+1&lt;=_xlpm.DepreciationMonths,$C262&lt;=BM$8),$E262/_xlpm.DepreciationMonths,0))</f>
        <v>0</v>
      </c>
      <c r="BN262" s="507" cm="1">
        <f t="array" ref="BN262">_xlfn.LET(_xlpm.DepreciationMonths,INDEX(FixedAssets[Depreciation
/ Amortization Months],_xlfn.XMATCH($E$237,FixedAssets[Asset ID])),IF(AND((_xlfn.XMATCH(BN$8,$AH$8:$CC$8))-_xlfn.XMATCH($C262,$C$35:$C$82)+1&lt;=_xlpm.DepreciationMonths,$C262&lt;=BN$8),$E262/_xlpm.DepreciationMonths,0))</f>
        <v>0</v>
      </c>
      <c r="BO262" s="507" cm="1">
        <f t="array" ref="BO262">_xlfn.LET(_xlpm.DepreciationMonths,INDEX(FixedAssets[Depreciation
/ Amortization Months],_xlfn.XMATCH($E$237,FixedAssets[Asset ID])),IF(AND((_xlfn.XMATCH(BO$8,$AH$8:$CC$8))-_xlfn.XMATCH($C262,$C$35:$C$82)+1&lt;=_xlpm.DepreciationMonths,$C262&lt;=BO$8),$E262/_xlpm.DepreciationMonths,0))</f>
        <v>0</v>
      </c>
      <c r="BP262" s="507" cm="1">
        <f t="array" ref="BP262">_xlfn.LET(_xlpm.DepreciationMonths,INDEX(FixedAssets[Depreciation
/ Amortization Months],_xlfn.XMATCH($E$237,FixedAssets[Asset ID])),IF(AND((_xlfn.XMATCH(BP$8,$AH$8:$CC$8))-_xlfn.XMATCH($C262,$C$35:$C$82)+1&lt;=_xlpm.DepreciationMonths,$C262&lt;=BP$8),$E262/_xlpm.DepreciationMonths,0))</f>
        <v>0</v>
      </c>
      <c r="BQ262" s="507" cm="1">
        <f t="array" ref="BQ262">_xlfn.LET(_xlpm.DepreciationMonths,INDEX(FixedAssets[Depreciation
/ Amortization Months],_xlfn.XMATCH($E$237,FixedAssets[Asset ID])),IF(AND((_xlfn.XMATCH(BQ$8,$AH$8:$CC$8))-_xlfn.XMATCH($C262,$C$35:$C$82)+1&lt;=_xlpm.DepreciationMonths,$C262&lt;=BQ$8),$E262/_xlpm.DepreciationMonths,0))</f>
        <v>0</v>
      </c>
      <c r="BR262" s="507" cm="1">
        <f t="array" ref="BR262">_xlfn.LET(_xlpm.DepreciationMonths,INDEX(FixedAssets[Depreciation
/ Amortization Months],_xlfn.XMATCH($E$237,FixedAssets[Asset ID])),IF(AND((_xlfn.XMATCH(BR$8,$AH$8:$CC$8))-_xlfn.XMATCH($C262,$C$35:$C$82)+1&lt;=_xlpm.DepreciationMonths,$C262&lt;=BR$8),$E262/_xlpm.DepreciationMonths,0))</f>
        <v>0</v>
      </c>
      <c r="BS262" s="507" cm="1">
        <f t="array" ref="BS262">_xlfn.LET(_xlpm.DepreciationMonths,INDEX(FixedAssets[Depreciation
/ Amortization Months],_xlfn.XMATCH($E$237,FixedAssets[Asset ID])),IF(AND((_xlfn.XMATCH(BS$8,$AH$8:$CC$8))-_xlfn.XMATCH($C262,$C$35:$C$82)+1&lt;=_xlpm.DepreciationMonths,$C262&lt;=BS$8),$E262/_xlpm.DepreciationMonths,0))</f>
        <v>0</v>
      </c>
      <c r="BT262" s="507" cm="1">
        <f t="array" ref="BT262">_xlfn.LET(_xlpm.DepreciationMonths,INDEX(FixedAssets[Depreciation
/ Amortization Months],_xlfn.XMATCH($E$237,FixedAssets[Asset ID])),IF(AND((_xlfn.XMATCH(BT$8,$AH$8:$CC$8))-_xlfn.XMATCH($C262,$C$35:$C$82)+1&lt;=_xlpm.DepreciationMonths,$C262&lt;=BT$8),$E262/_xlpm.DepreciationMonths,0))</f>
        <v>0</v>
      </c>
      <c r="BU262" s="507" cm="1">
        <f t="array" ref="BU262">_xlfn.LET(_xlpm.DepreciationMonths,INDEX(FixedAssets[Depreciation
/ Amortization Months],_xlfn.XMATCH($E$237,FixedAssets[Asset ID])),IF(AND((_xlfn.XMATCH(BU$8,$AH$8:$CC$8))-_xlfn.XMATCH($C262,$C$35:$C$82)+1&lt;=_xlpm.DepreciationMonths,$C262&lt;=BU$8),$E262/_xlpm.DepreciationMonths,0))</f>
        <v>0</v>
      </c>
      <c r="BV262" s="507" cm="1">
        <f t="array" ref="BV262">_xlfn.LET(_xlpm.DepreciationMonths,INDEX(FixedAssets[Depreciation
/ Amortization Months],_xlfn.XMATCH($E$237,FixedAssets[Asset ID])),IF(AND((_xlfn.XMATCH(BV$8,$AH$8:$CC$8))-_xlfn.XMATCH($C262,$C$35:$C$82)+1&lt;=_xlpm.DepreciationMonths,$C262&lt;=BV$8),$E262/_xlpm.DepreciationMonths,0))</f>
        <v>0</v>
      </c>
      <c r="BW262" s="507" cm="1">
        <f t="array" ref="BW262">_xlfn.LET(_xlpm.DepreciationMonths,INDEX(FixedAssets[Depreciation
/ Amortization Months],_xlfn.XMATCH($E$237,FixedAssets[Asset ID])),IF(AND((_xlfn.XMATCH(BW$8,$AH$8:$CC$8))-_xlfn.XMATCH($C262,$C$35:$C$82)+1&lt;=_xlpm.DepreciationMonths,$C262&lt;=BW$8),$E262/_xlpm.DepreciationMonths,0))</f>
        <v>0</v>
      </c>
      <c r="BX262" s="507" cm="1">
        <f t="array" ref="BX262">_xlfn.LET(_xlpm.DepreciationMonths,INDEX(FixedAssets[Depreciation
/ Amortization Months],_xlfn.XMATCH($E$237,FixedAssets[Asset ID])),IF(AND((_xlfn.XMATCH(BX$8,$AH$8:$CC$8))-_xlfn.XMATCH($C262,$C$35:$C$82)+1&lt;=_xlpm.DepreciationMonths,$C262&lt;=BX$8),$E262/_xlpm.DepreciationMonths,0))</f>
        <v>0</v>
      </c>
      <c r="BY262" s="507" cm="1">
        <f t="array" ref="BY262">_xlfn.LET(_xlpm.DepreciationMonths,INDEX(FixedAssets[Depreciation
/ Amortization Months],_xlfn.XMATCH($E$237,FixedAssets[Asset ID])),IF(AND((_xlfn.XMATCH(BY$8,$AH$8:$CC$8))-_xlfn.XMATCH($C262,$C$35:$C$82)+1&lt;=_xlpm.DepreciationMonths,$C262&lt;=BY$8),$E262/_xlpm.DepreciationMonths,0))</f>
        <v>0</v>
      </c>
      <c r="BZ262" s="507" cm="1">
        <f t="array" ref="BZ262">_xlfn.LET(_xlpm.DepreciationMonths,INDEX(FixedAssets[Depreciation
/ Amortization Months],_xlfn.XMATCH($E$237,FixedAssets[Asset ID])),IF(AND((_xlfn.XMATCH(BZ$8,$AH$8:$CC$8))-_xlfn.XMATCH($C262,$C$35:$C$82)+1&lt;=_xlpm.DepreciationMonths,$C262&lt;=BZ$8),$E262/_xlpm.DepreciationMonths,0))</f>
        <v>0</v>
      </c>
      <c r="CA262" s="507" cm="1">
        <f t="array" ref="CA262">_xlfn.LET(_xlpm.DepreciationMonths,INDEX(FixedAssets[Depreciation
/ Amortization Months],_xlfn.XMATCH($E$237,FixedAssets[Asset ID])),IF(AND((_xlfn.XMATCH(CA$8,$AH$8:$CC$8))-_xlfn.XMATCH($C262,$C$35:$C$82)+1&lt;=_xlpm.DepreciationMonths,$C262&lt;=CA$8),$E262/_xlpm.DepreciationMonths,0))</f>
        <v>0</v>
      </c>
      <c r="CB262" s="507" cm="1">
        <f t="array" ref="CB262">_xlfn.LET(_xlpm.DepreciationMonths,INDEX(FixedAssets[Depreciation
/ Amortization Months],_xlfn.XMATCH($E$237,FixedAssets[Asset ID])),IF(AND((_xlfn.XMATCH(CB$8,$AH$8:$CC$8))-_xlfn.XMATCH($C262,$C$35:$C$82)+1&lt;=_xlpm.DepreciationMonths,$C262&lt;=CB$8),$E262/_xlpm.DepreciationMonths,0))</f>
        <v>0</v>
      </c>
      <c r="CC262" s="507" cm="1">
        <f t="array" ref="CC262">_xlfn.LET(_xlpm.DepreciationMonths,INDEX(FixedAssets[Depreciation
/ Amortization Months],_xlfn.XMATCH($E$237,FixedAssets[Asset ID])),IF(AND((_xlfn.XMATCH(CC$8,$AH$8:$CC$8))-_xlfn.XMATCH($C262,$C$35:$C$82)+1&lt;=_xlpm.DepreciationMonths,$C262&lt;=CC$8),$E262/_xlpm.DepreciationMonths,0))</f>
        <v>0</v>
      </c>
    </row>
    <row r="263" spans="3:81" hidden="1" outlineLevel="2">
      <c r="C263" s="664">
        <f t="shared" si="267"/>
        <v>45688</v>
      </c>
      <c r="D263" s="508"/>
      <c r="E263" s="508" cm="1">
        <f t="array" ref="E263">SUMPRODUCT(($AH$26:$CC$31)*($AH$5:$CC$5=$C263)*($E$26:$E$31=E$237))-SUMPRODUCT(($AH$26:$CC$31)*($AH$5:$CC$5=EOMONTH($C263,-1))*($E$26:$E$31=E$237))</f>
        <v>0</v>
      </c>
      <c r="F263" s="508"/>
      <c r="G263" s="508"/>
      <c r="H263" s="508"/>
      <c r="I263" s="508"/>
      <c r="J263" s="504">
        <f t="shared" si="265"/>
        <v>0</v>
      </c>
      <c r="K263" s="504">
        <f t="shared" si="265"/>
        <v>0</v>
      </c>
      <c r="L263" s="504">
        <f t="shared" si="265"/>
        <v>0</v>
      </c>
      <c r="M263" s="504">
        <f t="shared" si="265"/>
        <v>0</v>
      </c>
      <c r="N263" s="504"/>
      <c r="O263" s="504"/>
      <c r="P263" s="504">
        <f t="shared" si="269"/>
        <v>0</v>
      </c>
      <c r="Q263" s="504">
        <f t="shared" si="269"/>
        <v>0</v>
      </c>
      <c r="R263" s="504">
        <f t="shared" si="269"/>
        <v>0</v>
      </c>
      <c r="S263" s="504">
        <f t="shared" si="269"/>
        <v>0</v>
      </c>
      <c r="T263" s="504">
        <f t="shared" si="269"/>
        <v>0</v>
      </c>
      <c r="U263" s="504">
        <f t="shared" si="269"/>
        <v>0</v>
      </c>
      <c r="V263" s="504">
        <f t="shared" si="269"/>
        <v>0</v>
      </c>
      <c r="W263" s="504">
        <f t="shared" si="269"/>
        <v>0</v>
      </c>
      <c r="X263" s="504">
        <f t="shared" si="269"/>
        <v>0</v>
      </c>
      <c r="Y263" s="504">
        <f t="shared" si="269"/>
        <v>0</v>
      </c>
      <c r="Z263" s="504">
        <f t="shared" si="269"/>
        <v>0</v>
      </c>
      <c r="AA263" s="504">
        <f t="shared" si="269"/>
        <v>0</v>
      </c>
      <c r="AB263" s="504">
        <f t="shared" si="269"/>
        <v>0</v>
      </c>
      <c r="AC263" s="504">
        <f t="shared" si="269"/>
        <v>0</v>
      </c>
      <c r="AD263" s="504">
        <f t="shared" si="269"/>
        <v>0</v>
      </c>
      <c r="AE263" s="504">
        <f t="shared" si="269"/>
        <v>0</v>
      </c>
      <c r="AF263" s="508"/>
      <c r="AG263" s="508"/>
      <c r="AH263" s="507" cm="1">
        <f t="array" ref="AH263">_xlfn.LET(_xlpm.DepreciationMonths,INDEX(FixedAssets[Depreciation
/ Amortization Months],_xlfn.XMATCH($E$237,FixedAssets[Asset ID])),IF(AND((_xlfn.XMATCH(AH$8,$AH$8:$CC$8))-_xlfn.XMATCH($C263,$C$35:$C$82)+1&lt;=_xlpm.DepreciationMonths,$C263&lt;=AH$8),$E263/_xlpm.DepreciationMonths,0))</f>
        <v>0</v>
      </c>
      <c r="AI263" s="507" cm="1">
        <f t="array" ref="AI263">_xlfn.LET(_xlpm.DepreciationMonths,INDEX(FixedAssets[Depreciation
/ Amortization Months],_xlfn.XMATCH($E$237,FixedAssets[Asset ID])),IF(AND((_xlfn.XMATCH(AI$8,$AH$8:$CC$8))-_xlfn.XMATCH($C263,$C$35:$C$82)+1&lt;=_xlpm.DepreciationMonths,$C263&lt;=AI$8),$E263/_xlpm.DepreciationMonths,0))</f>
        <v>0</v>
      </c>
      <c r="AJ263" s="507" cm="1">
        <f t="array" ref="AJ263">_xlfn.LET(_xlpm.DepreciationMonths,INDEX(FixedAssets[Depreciation
/ Amortization Months],_xlfn.XMATCH($E$237,FixedAssets[Asset ID])),IF(AND((_xlfn.XMATCH(AJ$8,$AH$8:$CC$8))-_xlfn.XMATCH($C263,$C$35:$C$82)+1&lt;=_xlpm.DepreciationMonths,$C263&lt;=AJ$8),$E263/_xlpm.DepreciationMonths,0))</f>
        <v>0</v>
      </c>
      <c r="AK263" s="507" cm="1">
        <f t="array" ref="AK263">_xlfn.LET(_xlpm.DepreciationMonths,INDEX(FixedAssets[Depreciation
/ Amortization Months],_xlfn.XMATCH($E$237,FixedAssets[Asset ID])),IF(AND((_xlfn.XMATCH(AK$8,$AH$8:$CC$8))-_xlfn.XMATCH($C263,$C$35:$C$82)+1&lt;=_xlpm.DepreciationMonths,$C263&lt;=AK$8),$E263/_xlpm.DepreciationMonths,0))</f>
        <v>0</v>
      </c>
      <c r="AL263" s="507" cm="1">
        <f t="array" ref="AL263">_xlfn.LET(_xlpm.DepreciationMonths,INDEX(FixedAssets[Depreciation
/ Amortization Months],_xlfn.XMATCH($E$237,FixedAssets[Asset ID])),IF(AND((_xlfn.XMATCH(AL$8,$AH$8:$CC$8))-_xlfn.XMATCH($C263,$C$35:$C$82)+1&lt;=_xlpm.DepreciationMonths,$C263&lt;=AL$8),$E263/_xlpm.DepreciationMonths,0))</f>
        <v>0</v>
      </c>
      <c r="AM263" s="507" cm="1">
        <f t="array" ref="AM263">_xlfn.LET(_xlpm.DepreciationMonths,INDEX(FixedAssets[Depreciation
/ Amortization Months],_xlfn.XMATCH($E$237,FixedAssets[Asset ID])),IF(AND((_xlfn.XMATCH(AM$8,$AH$8:$CC$8))-_xlfn.XMATCH($C263,$C$35:$C$82)+1&lt;=_xlpm.DepreciationMonths,$C263&lt;=AM$8),$E263/_xlpm.DepreciationMonths,0))</f>
        <v>0</v>
      </c>
      <c r="AN263" s="507" cm="1">
        <f t="array" ref="AN263">_xlfn.LET(_xlpm.DepreciationMonths,INDEX(FixedAssets[Depreciation
/ Amortization Months],_xlfn.XMATCH($E$237,FixedAssets[Asset ID])),IF(AND((_xlfn.XMATCH(AN$8,$AH$8:$CC$8))-_xlfn.XMATCH($C263,$C$35:$C$82)+1&lt;=_xlpm.DepreciationMonths,$C263&lt;=AN$8),$E263/_xlpm.DepreciationMonths,0))</f>
        <v>0</v>
      </c>
      <c r="AO263" s="507" cm="1">
        <f t="array" ref="AO263">_xlfn.LET(_xlpm.DepreciationMonths,INDEX(FixedAssets[Depreciation
/ Amortization Months],_xlfn.XMATCH($E$237,FixedAssets[Asset ID])),IF(AND((_xlfn.XMATCH(AO$8,$AH$8:$CC$8))-_xlfn.XMATCH($C263,$C$35:$C$82)+1&lt;=_xlpm.DepreciationMonths,$C263&lt;=AO$8),$E263/_xlpm.DepreciationMonths,0))</f>
        <v>0</v>
      </c>
      <c r="AP263" s="507" cm="1">
        <f t="array" ref="AP263">_xlfn.LET(_xlpm.DepreciationMonths,INDEX(FixedAssets[Depreciation
/ Amortization Months],_xlfn.XMATCH($E$237,FixedAssets[Asset ID])),IF(AND((_xlfn.XMATCH(AP$8,$AH$8:$CC$8))-_xlfn.XMATCH($C263,$C$35:$C$82)+1&lt;=_xlpm.DepreciationMonths,$C263&lt;=AP$8),$E263/_xlpm.DepreciationMonths,0))</f>
        <v>0</v>
      </c>
      <c r="AQ263" s="507" cm="1">
        <f t="array" ref="AQ263">_xlfn.LET(_xlpm.DepreciationMonths,INDEX(FixedAssets[Depreciation
/ Amortization Months],_xlfn.XMATCH($E$237,FixedAssets[Asset ID])),IF(AND((_xlfn.XMATCH(AQ$8,$AH$8:$CC$8))-_xlfn.XMATCH($C263,$C$35:$C$82)+1&lt;=_xlpm.DepreciationMonths,$C263&lt;=AQ$8),$E263/_xlpm.DepreciationMonths,0))</f>
        <v>0</v>
      </c>
      <c r="AR263" s="507" cm="1">
        <f t="array" ref="AR263">_xlfn.LET(_xlpm.DepreciationMonths,INDEX(FixedAssets[Depreciation
/ Amortization Months],_xlfn.XMATCH($E$237,FixedAssets[Asset ID])),IF(AND((_xlfn.XMATCH(AR$8,$AH$8:$CC$8))-_xlfn.XMATCH($C263,$C$35:$C$82)+1&lt;=_xlpm.DepreciationMonths,$C263&lt;=AR$8),$E263/_xlpm.DepreciationMonths,0))</f>
        <v>0</v>
      </c>
      <c r="AS263" s="507" cm="1">
        <f t="array" ref="AS263">_xlfn.LET(_xlpm.DepreciationMonths,INDEX(FixedAssets[Depreciation
/ Amortization Months],_xlfn.XMATCH($E$237,FixedAssets[Asset ID])),IF(AND((_xlfn.XMATCH(AS$8,$AH$8:$CC$8))-_xlfn.XMATCH($C263,$C$35:$C$82)+1&lt;=_xlpm.DepreciationMonths,$C263&lt;=AS$8),$E263/_xlpm.DepreciationMonths,0))</f>
        <v>0</v>
      </c>
      <c r="AT263" s="507" cm="1">
        <f t="array" ref="AT263">_xlfn.LET(_xlpm.DepreciationMonths,INDEX(FixedAssets[Depreciation
/ Amortization Months],_xlfn.XMATCH($E$237,FixedAssets[Asset ID])),IF(AND((_xlfn.XMATCH(AT$8,$AH$8:$CC$8))-_xlfn.XMATCH($C263,$C$35:$C$82)+1&lt;=_xlpm.DepreciationMonths,$C263&lt;=AT$8),$E263/_xlpm.DepreciationMonths,0))</f>
        <v>0</v>
      </c>
      <c r="AU263" s="507" cm="1">
        <f t="array" ref="AU263">_xlfn.LET(_xlpm.DepreciationMonths,INDEX(FixedAssets[Depreciation
/ Amortization Months],_xlfn.XMATCH($E$237,FixedAssets[Asset ID])),IF(AND((_xlfn.XMATCH(AU$8,$AH$8:$CC$8))-_xlfn.XMATCH($C263,$C$35:$C$82)+1&lt;=_xlpm.DepreciationMonths,$C263&lt;=AU$8),$E263/_xlpm.DepreciationMonths,0))</f>
        <v>0</v>
      </c>
      <c r="AV263" s="507" cm="1">
        <f t="array" ref="AV263">_xlfn.LET(_xlpm.DepreciationMonths,INDEX(FixedAssets[Depreciation
/ Amortization Months],_xlfn.XMATCH($E$237,FixedAssets[Asset ID])),IF(AND((_xlfn.XMATCH(AV$8,$AH$8:$CC$8))-_xlfn.XMATCH($C263,$C$35:$C$82)+1&lt;=_xlpm.DepreciationMonths,$C263&lt;=AV$8),$E263/_xlpm.DepreciationMonths,0))</f>
        <v>0</v>
      </c>
      <c r="AW263" s="507" cm="1">
        <f t="array" ref="AW263">_xlfn.LET(_xlpm.DepreciationMonths,INDEX(FixedAssets[Depreciation
/ Amortization Months],_xlfn.XMATCH($E$237,FixedAssets[Asset ID])),IF(AND((_xlfn.XMATCH(AW$8,$AH$8:$CC$8))-_xlfn.XMATCH($C263,$C$35:$C$82)+1&lt;=_xlpm.DepreciationMonths,$C263&lt;=AW$8),$E263/_xlpm.DepreciationMonths,0))</f>
        <v>0</v>
      </c>
      <c r="AX263" s="507" cm="1">
        <f t="array" ref="AX263">_xlfn.LET(_xlpm.DepreciationMonths,INDEX(FixedAssets[Depreciation
/ Amortization Months],_xlfn.XMATCH($E$237,FixedAssets[Asset ID])),IF(AND((_xlfn.XMATCH(AX$8,$AH$8:$CC$8))-_xlfn.XMATCH($C263,$C$35:$C$82)+1&lt;=_xlpm.DepreciationMonths,$C263&lt;=AX$8),$E263/_xlpm.DepreciationMonths,0))</f>
        <v>0</v>
      </c>
      <c r="AY263" s="507" cm="1">
        <f t="array" ref="AY263">_xlfn.LET(_xlpm.DepreciationMonths,INDEX(FixedAssets[Depreciation
/ Amortization Months],_xlfn.XMATCH($E$237,FixedAssets[Asset ID])),IF(AND((_xlfn.XMATCH(AY$8,$AH$8:$CC$8))-_xlfn.XMATCH($C263,$C$35:$C$82)+1&lt;=_xlpm.DepreciationMonths,$C263&lt;=AY$8),$E263/_xlpm.DepreciationMonths,0))</f>
        <v>0</v>
      </c>
      <c r="AZ263" s="507" cm="1">
        <f t="array" ref="AZ263">_xlfn.LET(_xlpm.DepreciationMonths,INDEX(FixedAssets[Depreciation
/ Amortization Months],_xlfn.XMATCH($E$237,FixedAssets[Asset ID])),IF(AND((_xlfn.XMATCH(AZ$8,$AH$8:$CC$8))-_xlfn.XMATCH($C263,$C$35:$C$82)+1&lt;=_xlpm.DepreciationMonths,$C263&lt;=AZ$8),$E263/_xlpm.DepreciationMonths,0))</f>
        <v>0</v>
      </c>
      <c r="BA263" s="507" cm="1">
        <f t="array" ref="BA263">_xlfn.LET(_xlpm.DepreciationMonths,INDEX(FixedAssets[Depreciation
/ Amortization Months],_xlfn.XMATCH($E$237,FixedAssets[Asset ID])),IF(AND((_xlfn.XMATCH(BA$8,$AH$8:$CC$8))-_xlfn.XMATCH($C263,$C$35:$C$82)+1&lt;=_xlpm.DepreciationMonths,$C263&lt;=BA$8),$E263/_xlpm.DepreciationMonths,0))</f>
        <v>0</v>
      </c>
      <c r="BB263" s="507" cm="1">
        <f t="array" ref="BB263">_xlfn.LET(_xlpm.DepreciationMonths,INDEX(FixedAssets[Depreciation
/ Amortization Months],_xlfn.XMATCH($E$237,FixedAssets[Asset ID])),IF(AND((_xlfn.XMATCH(BB$8,$AH$8:$CC$8))-_xlfn.XMATCH($C263,$C$35:$C$82)+1&lt;=_xlpm.DepreciationMonths,$C263&lt;=BB$8),$E263/_xlpm.DepreciationMonths,0))</f>
        <v>0</v>
      </c>
      <c r="BC263" s="507" cm="1">
        <f t="array" ref="BC263">_xlfn.LET(_xlpm.DepreciationMonths,INDEX(FixedAssets[Depreciation
/ Amortization Months],_xlfn.XMATCH($E$237,FixedAssets[Asset ID])),IF(AND((_xlfn.XMATCH(BC$8,$AH$8:$CC$8))-_xlfn.XMATCH($C263,$C$35:$C$82)+1&lt;=_xlpm.DepreciationMonths,$C263&lt;=BC$8),$E263/_xlpm.DepreciationMonths,0))</f>
        <v>0</v>
      </c>
      <c r="BD263" s="507" cm="1">
        <f t="array" ref="BD263">_xlfn.LET(_xlpm.DepreciationMonths,INDEX(FixedAssets[Depreciation
/ Amortization Months],_xlfn.XMATCH($E$237,FixedAssets[Asset ID])),IF(AND((_xlfn.XMATCH(BD$8,$AH$8:$CC$8))-_xlfn.XMATCH($C263,$C$35:$C$82)+1&lt;=_xlpm.DepreciationMonths,$C263&lt;=BD$8),$E263/_xlpm.DepreciationMonths,0))</f>
        <v>0</v>
      </c>
      <c r="BE263" s="507" cm="1">
        <f t="array" ref="BE263">_xlfn.LET(_xlpm.DepreciationMonths,INDEX(FixedAssets[Depreciation
/ Amortization Months],_xlfn.XMATCH($E$237,FixedAssets[Asset ID])),IF(AND((_xlfn.XMATCH(BE$8,$AH$8:$CC$8))-_xlfn.XMATCH($C263,$C$35:$C$82)+1&lt;=_xlpm.DepreciationMonths,$C263&lt;=BE$8),$E263/_xlpm.DepreciationMonths,0))</f>
        <v>0</v>
      </c>
      <c r="BF263" s="507" cm="1">
        <f t="array" ref="BF263">_xlfn.LET(_xlpm.DepreciationMonths,INDEX(FixedAssets[Depreciation
/ Amortization Months],_xlfn.XMATCH($E$237,FixedAssets[Asset ID])),IF(AND((_xlfn.XMATCH(BF$8,$AH$8:$CC$8))-_xlfn.XMATCH($C263,$C$35:$C$82)+1&lt;=_xlpm.DepreciationMonths,$C263&lt;=BF$8),$E263/_xlpm.DepreciationMonths,0))</f>
        <v>0</v>
      </c>
      <c r="BG263" s="507" cm="1">
        <f t="array" ref="BG263">_xlfn.LET(_xlpm.DepreciationMonths,INDEX(FixedAssets[Depreciation
/ Amortization Months],_xlfn.XMATCH($E$237,FixedAssets[Asset ID])),IF(AND((_xlfn.XMATCH(BG$8,$AH$8:$CC$8))-_xlfn.XMATCH($C263,$C$35:$C$82)+1&lt;=_xlpm.DepreciationMonths,$C263&lt;=BG$8),$E263/_xlpm.DepreciationMonths,0))</f>
        <v>0</v>
      </c>
      <c r="BH263" s="507" cm="1">
        <f t="array" ref="BH263">_xlfn.LET(_xlpm.DepreciationMonths,INDEX(FixedAssets[Depreciation
/ Amortization Months],_xlfn.XMATCH($E$237,FixedAssets[Asset ID])),IF(AND((_xlfn.XMATCH(BH$8,$AH$8:$CC$8))-_xlfn.XMATCH($C263,$C$35:$C$82)+1&lt;=_xlpm.DepreciationMonths,$C263&lt;=BH$8),$E263/_xlpm.DepreciationMonths,0))</f>
        <v>0</v>
      </c>
      <c r="BI263" s="507" cm="1">
        <f t="array" ref="BI263">_xlfn.LET(_xlpm.DepreciationMonths,INDEX(FixedAssets[Depreciation
/ Amortization Months],_xlfn.XMATCH($E$237,FixedAssets[Asset ID])),IF(AND((_xlfn.XMATCH(BI$8,$AH$8:$CC$8))-_xlfn.XMATCH($C263,$C$35:$C$82)+1&lt;=_xlpm.DepreciationMonths,$C263&lt;=BI$8),$E263/_xlpm.DepreciationMonths,0))</f>
        <v>0</v>
      </c>
      <c r="BJ263" s="507" cm="1">
        <f t="array" ref="BJ263">_xlfn.LET(_xlpm.DepreciationMonths,INDEX(FixedAssets[Depreciation
/ Amortization Months],_xlfn.XMATCH($E$237,FixedAssets[Asset ID])),IF(AND((_xlfn.XMATCH(BJ$8,$AH$8:$CC$8))-_xlfn.XMATCH($C263,$C$35:$C$82)+1&lt;=_xlpm.DepreciationMonths,$C263&lt;=BJ$8),$E263/_xlpm.DepreciationMonths,0))</f>
        <v>0</v>
      </c>
      <c r="BK263" s="507" cm="1">
        <f t="array" ref="BK263">_xlfn.LET(_xlpm.DepreciationMonths,INDEX(FixedAssets[Depreciation
/ Amortization Months],_xlfn.XMATCH($E$237,FixedAssets[Asset ID])),IF(AND((_xlfn.XMATCH(BK$8,$AH$8:$CC$8))-_xlfn.XMATCH($C263,$C$35:$C$82)+1&lt;=_xlpm.DepreciationMonths,$C263&lt;=BK$8),$E263/_xlpm.DepreciationMonths,0))</f>
        <v>0</v>
      </c>
      <c r="BL263" s="507" cm="1">
        <f t="array" ref="BL263">_xlfn.LET(_xlpm.DepreciationMonths,INDEX(FixedAssets[Depreciation
/ Amortization Months],_xlfn.XMATCH($E$237,FixedAssets[Asset ID])),IF(AND((_xlfn.XMATCH(BL$8,$AH$8:$CC$8))-_xlfn.XMATCH($C263,$C$35:$C$82)+1&lt;=_xlpm.DepreciationMonths,$C263&lt;=BL$8),$E263/_xlpm.DepreciationMonths,0))</f>
        <v>0</v>
      </c>
      <c r="BM263" s="507" cm="1">
        <f t="array" ref="BM263">_xlfn.LET(_xlpm.DepreciationMonths,INDEX(FixedAssets[Depreciation
/ Amortization Months],_xlfn.XMATCH($E$237,FixedAssets[Asset ID])),IF(AND((_xlfn.XMATCH(BM$8,$AH$8:$CC$8))-_xlfn.XMATCH($C263,$C$35:$C$82)+1&lt;=_xlpm.DepreciationMonths,$C263&lt;=BM$8),$E263/_xlpm.DepreciationMonths,0))</f>
        <v>0</v>
      </c>
      <c r="BN263" s="507" cm="1">
        <f t="array" ref="BN263">_xlfn.LET(_xlpm.DepreciationMonths,INDEX(FixedAssets[Depreciation
/ Amortization Months],_xlfn.XMATCH($E$237,FixedAssets[Asset ID])),IF(AND((_xlfn.XMATCH(BN$8,$AH$8:$CC$8))-_xlfn.XMATCH($C263,$C$35:$C$82)+1&lt;=_xlpm.DepreciationMonths,$C263&lt;=BN$8),$E263/_xlpm.DepreciationMonths,0))</f>
        <v>0</v>
      </c>
      <c r="BO263" s="507" cm="1">
        <f t="array" ref="BO263">_xlfn.LET(_xlpm.DepreciationMonths,INDEX(FixedAssets[Depreciation
/ Amortization Months],_xlfn.XMATCH($E$237,FixedAssets[Asset ID])),IF(AND((_xlfn.XMATCH(BO$8,$AH$8:$CC$8))-_xlfn.XMATCH($C263,$C$35:$C$82)+1&lt;=_xlpm.DepreciationMonths,$C263&lt;=BO$8),$E263/_xlpm.DepreciationMonths,0))</f>
        <v>0</v>
      </c>
      <c r="BP263" s="507" cm="1">
        <f t="array" ref="BP263">_xlfn.LET(_xlpm.DepreciationMonths,INDEX(FixedAssets[Depreciation
/ Amortization Months],_xlfn.XMATCH($E$237,FixedAssets[Asset ID])),IF(AND((_xlfn.XMATCH(BP$8,$AH$8:$CC$8))-_xlfn.XMATCH($C263,$C$35:$C$82)+1&lt;=_xlpm.DepreciationMonths,$C263&lt;=BP$8),$E263/_xlpm.DepreciationMonths,0))</f>
        <v>0</v>
      </c>
      <c r="BQ263" s="507" cm="1">
        <f t="array" ref="BQ263">_xlfn.LET(_xlpm.DepreciationMonths,INDEX(FixedAssets[Depreciation
/ Amortization Months],_xlfn.XMATCH($E$237,FixedAssets[Asset ID])),IF(AND((_xlfn.XMATCH(BQ$8,$AH$8:$CC$8))-_xlfn.XMATCH($C263,$C$35:$C$82)+1&lt;=_xlpm.DepreciationMonths,$C263&lt;=BQ$8),$E263/_xlpm.DepreciationMonths,0))</f>
        <v>0</v>
      </c>
      <c r="BR263" s="507" cm="1">
        <f t="array" ref="BR263">_xlfn.LET(_xlpm.DepreciationMonths,INDEX(FixedAssets[Depreciation
/ Amortization Months],_xlfn.XMATCH($E$237,FixedAssets[Asset ID])),IF(AND((_xlfn.XMATCH(BR$8,$AH$8:$CC$8))-_xlfn.XMATCH($C263,$C$35:$C$82)+1&lt;=_xlpm.DepreciationMonths,$C263&lt;=BR$8),$E263/_xlpm.DepreciationMonths,0))</f>
        <v>0</v>
      </c>
      <c r="BS263" s="507" cm="1">
        <f t="array" ref="BS263">_xlfn.LET(_xlpm.DepreciationMonths,INDEX(FixedAssets[Depreciation
/ Amortization Months],_xlfn.XMATCH($E$237,FixedAssets[Asset ID])),IF(AND((_xlfn.XMATCH(BS$8,$AH$8:$CC$8))-_xlfn.XMATCH($C263,$C$35:$C$82)+1&lt;=_xlpm.DepreciationMonths,$C263&lt;=BS$8),$E263/_xlpm.DepreciationMonths,0))</f>
        <v>0</v>
      </c>
      <c r="BT263" s="507" cm="1">
        <f t="array" ref="BT263">_xlfn.LET(_xlpm.DepreciationMonths,INDEX(FixedAssets[Depreciation
/ Amortization Months],_xlfn.XMATCH($E$237,FixedAssets[Asset ID])),IF(AND((_xlfn.XMATCH(BT$8,$AH$8:$CC$8))-_xlfn.XMATCH($C263,$C$35:$C$82)+1&lt;=_xlpm.DepreciationMonths,$C263&lt;=BT$8),$E263/_xlpm.DepreciationMonths,0))</f>
        <v>0</v>
      </c>
      <c r="BU263" s="507" cm="1">
        <f t="array" ref="BU263">_xlfn.LET(_xlpm.DepreciationMonths,INDEX(FixedAssets[Depreciation
/ Amortization Months],_xlfn.XMATCH($E$237,FixedAssets[Asset ID])),IF(AND((_xlfn.XMATCH(BU$8,$AH$8:$CC$8))-_xlfn.XMATCH($C263,$C$35:$C$82)+1&lt;=_xlpm.DepreciationMonths,$C263&lt;=BU$8),$E263/_xlpm.DepreciationMonths,0))</f>
        <v>0</v>
      </c>
      <c r="BV263" s="507" cm="1">
        <f t="array" ref="BV263">_xlfn.LET(_xlpm.DepreciationMonths,INDEX(FixedAssets[Depreciation
/ Amortization Months],_xlfn.XMATCH($E$237,FixedAssets[Asset ID])),IF(AND((_xlfn.XMATCH(BV$8,$AH$8:$CC$8))-_xlfn.XMATCH($C263,$C$35:$C$82)+1&lt;=_xlpm.DepreciationMonths,$C263&lt;=BV$8),$E263/_xlpm.DepreciationMonths,0))</f>
        <v>0</v>
      </c>
      <c r="BW263" s="507" cm="1">
        <f t="array" ref="BW263">_xlfn.LET(_xlpm.DepreciationMonths,INDEX(FixedAssets[Depreciation
/ Amortization Months],_xlfn.XMATCH($E$237,FixedAssets[Asset ID])),IF(AND((_xlfn.XMATCH(BW$8,$AH$8:$CC$8))-_xlfn.XMATCH($C263,$C$35:$C$82)+1&lt;=_xlpm.DepreciationMonths,$C263&lt;=BW$8),$E263/_xlpm.DepreciationMonths,0))</f>
        <v>0</v>
      </c>
      <c r="BX263" s="507" cm="1">
        <f t="array" ref="BX263">_xlfn.LET(_xlpm.DepreciationMonths,INDEX(FixedAssets[Depreciation
/ Amortization Months],_xlfn.XMATCH($E$237,FixedAssets[Asset ID])),IF(AND((_xlfn.XMATCH(BX$8,$AH$8:$CC$8))-_xlfn.XMATCH($C263,$C$35:$C$82)+1&lt;=_xlpm.DepreciationMonths,$C263&lt;=BX$8),$E263/_xlpm.DepreciationMonths,0))</f>
        <v>0</v>
      </c>
      <c r="BY263" s="507" cm="1">
        <f t="array" ref="BY263">_xlfn.LET(_xlpm.DepreciationMonths,INDEX(FixedAssets[Depreciation
/ Amortization Months],_xlfn.XMATCH($E$237,FixedAssets[Asset ID])),IF(AND((_xlfn.XMATCH(BY$8,$AH$8:$CC$8))-_xlfn.XMATCH($C263,$C$35:$C$82)+1&lt;=_xlpm.DepreciationMonths,$C263&lt;=BY$8),$E263/_xlpm.DepreciationMonths,0))</f>
        <v>0</v>
      </c>
      <c r="BZ263" s="507" cm="1">
        <f t="array" ref="BZ263">_xlfn.LET(_xlpm.DepreciationMonths,INDEX(FixedAssets[Depreciation
/ Amortization Months],_xlfn.XMATCH($E$237,FixedAssets[Asset ID])),IF(AND((_xlfn.XMATCH(BZ$8,$AH$8:$CC$8))-_xlfn.XMATCH($C263,$C$35:$C$82)+1&lt;=_xlpm.DepreciationMonths,$C263&lt;=BZ$8),$E263/_xlpm.DepreciationMonths,0))</f>
        <v>0</v>
      </c>
      <c r="CA263" s="507" cm="1">
        <f t="array" ref="CA263">_xlfn.LET(_xlpm.DepreciationMonths,INDEX(FixedAssets[Depreciation
/ Amortization Months],_xlfn.XMATCH($E$237,FixedAssets[Asset ID])),IF(AND((_xlfn.XMATCH(CA$8,$AH$8:$CC$8))-_xlfn.XMATCH($C263,$C$35:$C$82)+1&lt;=_xlpm.DepreciationMonths,$C263&lt;=CA$8),$E263/_xlpm.DepreciationMonths,0))</f>
        <v>0</v>
      </c>
      <c r="CB263" s="507" cm="1">
        <f t="array" ref="CB263">_xlfn.LET(_xlpm.DepreciationMonths,INDEX(FixedAssets[Depreciation
/ Amortization Months],_xlfn.XMATCH($E$237,FixedAssets[Asset ID])),IF(AND((_xlfn.XMATCH(CB$8,$AH$8:$CC$8))-_xlfn.XMATCH($C263,$C$35:$C$82)+1&lt;=_xlpm.DepreciationMonths,$C263&lt;=CB$8),$E263/_xlpm.DepreciationMonths,0))</f>
        <v>0</v>
      </c>
      <c r="CC263" s="507" cm="1">
        <f t="array" ref="CC263">_xlfn.LET(_xlpm.DepreciationMonths,INDEX(FixedAssets[Depreciation
/ Amortization Months],_xlfn.XMATCH($E$237,FixedAssets[Asset ID])),IF(AND((_xlfn.XMATCH(CC$8,$AH$8:$CC$8))-_xlfn.XMATCH($C263,$C$35:$C$82)+1&lt;=_xlpm.DepreciationMonths,$C263&lt;=CC$8),$E263/_xlpm.DepreciationMonths,0))</f>
        <v>0</v>
      </c>
    </row>
    <row r="264" spans="3:81" hidden="1" outlineLevel="2">
      <c r="C264" s="664">
        <f t="shared" si="267"/>
        <v>45716</v>
      </c>
      <c r="D264" s="508"/>
      <c r="E264" s="508" cm="1">
        <f t="array" ref="E264">SUMPRODUCT(($AH$26:$CC$31)*($AH$5:$CC$5=$C264)*($E$26:$E$31=E$237))-SUMPRODUCT(($AH$26:$CC$31)*($AH$5:$CC$5=EOMONTH($C264,-1))*($E$26:$E$31=E$237))</f>
        <v>0</v>
      </c>
      <c r="F264" s="508"/>
      <c r="G264" s="508"/>
      <c r="H264" s="508"/>
      <c r="I264" s="508"/>
      <c r="J264" s="504">
        <f t="shared" si="265"/>
        <v>0</v>
      </c>
      <c r="K264" s="504">
        <f t="shared" si="265"/>
        <v>0</v>
      </c>
      <c r="L264" s="504">
        <f t="shared" si="265"/>
        <v>0</v>
      </c>
      <c r="M264" s="504">
        <f t="shared" si="265"/>
        <v>0</v>
      </c>
      <c r="N264" s="504"/>
      <c r="O264" s="504"/>
      <c r="P264" s="504">
        <f t="shared" si="269"/>
        <v>0</v>
      </c>
      <c r="Q264" s="504">
        <f t="shared" si="269"/>
        <v>0</v>
      </c>
      <c r="R264" s="504">
        <f t="shared" si="269"/>
        <v>0</v>
      </c>
      <c r="S264" s="504">
        <f t="shared" si="269"/>
        <v>0</v>
      </c>
      <c r="T264" s="504">
        <f t="shared" si="269"/>
        <v>0</v>
      </c>
      <c r="U264" s="504">
        <f t="shared" si="269"/>
        <v>0</v>
      </c>
      <c r="V264" s="504">
        <f t="shared" si="269"/>
        <v>0</v>
      </c>
      <c r="W264" s="504">
        <f t="shared" si="269"/>
        <v>0</v>
      </c>
      <c r="X264" s="504">
        <f t="shared" si="269"/>
        <v>0</v>
      </c>
      <c r="Y264" s="504">
        <f t="shared" si="269"/>
        <v>0</v>
      </c>
      <c r="Z264" s="504">
        <f t="shared" si="269"/>
        <v>0</v>
      </c>
      <c r="AA264" s="504">
        <f t="shared" si="269"/>
        <v>0</v>
      </c>
      <c r="AB264" s="504">
        <f t="shared" si="269"/>
        <v>0</v>
      </c>
      <c r="AC264" s="504">
        <f t="shared" si="269"/>
        <v>0</v>
      </c>
      <c r="AD264" s="504">
        <f t="shared" si="269"/>
        <v>0</v>
      </c>
      <c r="AE264" s="504">
        <f t="shared" si="269"/>
        <v>0</v>
      </c>
      <c r="AF264" s="508"/>
      <c r="AG264" s="508"/>
      <c r="AH264" s="507" cm="1">
        <f t="array" ref="AH264">_xlfn.LET(_xlpm.DepreciationMonths,INDEX(FixedAssets[Depreciation
/ Amortization Months],_xlfn.XMATCH($E$237,FixedAssets[Asset ID])),IF(AND((_xlfn.XMATCH(AH$8,$AH$8:$CC$8))-_xlfn.XMATCH($C264,$C$35:$C$82)+1&lt;=_xlpm.DepreciationMonths,$C264&lt;=AH$8),$E264/_xlpm.DepreciationMonths,0))</f>
        <v>0</v>
      </c>
      <c r="AI264" s="507" cm="1">
        <f t="array" ref="AI264">_xlfn.LET(_xlpm.DepreciationMonths,INDEX(FixedAssets[Depreciation
/ Amortization Months],_xlfn.XMATCH($E$237,FixedAssets[Asset ID])),IF(AND((_xlfn.XMATCH(AI$8,$AH$8:$CC$8))-_xlfn.XMATCH($C264,$C$35:$C$82)+1&lt;=_xlpm.DepreciationMonths,$C264&lt;=AI$8),$E264/_xlpm.DepreciationMonths,0))</f>
        <v>0</v>
      </c>
      <c r="AJ264" s="507" cm="1">
        <f t="array" ref="AJ264">_xlfn.LET(_xlpm.DepreciationMonths,INDEX(FixedAssets[Depreciation
/ Amortization Months],_xlfn.XMATCH($E$237,FixedAssets[Asset ID])),IF(AND((_xlfn.XMATCH(AJ$8,$AH$8:$CC$8))-_xlfn.XMATCH($C264,$C$35:$C$82)+1&lt;=_xlpm.DepreciationMonths,$C264&lt;=AJ$8),$E264/_xlpm.DepreciationMonths,0))</f>
        <v>0</v>
      </c>
      <c r="AK264" s="507" cm="1">
        <f t="array" ref="AK264">_xlfn.LET(_xlpm.DepreciationMonths,INDEX(FixedAssets[Depreciation
/ Amortization Months],_xlfn.XMATCH($E$237,FixedAssets[Asset ID])),IF(AND((_xlfn.XMATCH(AK$8,$AH$8:$CC$8))-_xlfn.XMATCH($C264,$C$35:$C$82)+1&lt;=_xlpm.DepreciationMonths,$C264&lt;=AK$8),$E264/_xlpm.DepreciationMonths,0))</f>
        <v>0</v>
      </c>
      <c r="AL264" s="507" cm="1">
        <f t="array" ref="AL264">_xlfn.LET(_xlpm.DepreciationMonths,INDEX(FixedAssets[Depreciation
/ Amortization Months],_xlfn.XMATCH($E$237,FixedAssets[Asset ID])),IF(AND((_xlfn.XMATCH(AL$8,$AH$8:$CC$8))-_xlfn.XMATCH($C264,$C$35:$C$82)+1&lt;=_xlpm.DepreciationMonths,$C264&lt;=AL$8),$E264/_xlpm.DepreciationMonths,0))</f>
        <v>0</v>
      </c>
      <c r="AM264" s="507" cm="1">
        <f t="array" ref="AM264">_xlfn.LET(_xlpm.DepreciationMonths,INDEX(FixedAssets[Depreciation
/ Amortization Months],_xlfn.XMATCH($E$237,FixedAssets[Asset ID])),IF(AND((_xlfn.XMATCH(AM$8,$AH$8:$CC$8))-_xlfn.XMATCH($C264,$C$35:$C$82)+1&lt;=_xlpm.DepreciationMonths,$C264&lt;=AM$8),$E264/_xlpm.DepreciationMonths,0))</f>
        <v>0</v>
      </c>
      <c r="AN264" s="507" cm="1">
        <f t="array" ref="AN264">_xlfn.LET(_xlpm.DepreciationMonths,INDEX(FixedAssets[Depreciation
/ Amortization Months],_xlfn.XMATCH($E$237,FixedAssets[Asset ID])),IF(AND((_xlfn.XMATCH(AN$8,$AH$8:$CC$8))-_xlfn.XMATCH($C264,$C$35:$C$82)+1&lt;=_xlpm.DepreciationMonths,$C264&lt;=AN$8),$E264/_xlpm.DepreciationMonths,0))</f>
        <v>0</v>
      </c>
      <c r="AO264" s="507" cm="1">
        <f t="array" ref="AO264">_xlfn.LET(_xlpm.DepreciationMonths,INDEX(FixedAssets[Depreciation
/ Amortization Months],_xlfn.XMATCH($E$237,FixedAssets[Asset ID])),IF(AND((_xlfn.XMATCH(AO$8,$AH$8:$CC$8))-_xlfn.XMATCH($C264,$C$35:$C$82)+1&lt;=_xlpm.DepreciationMonths,$C264&lt;=AO$8),$E264/_xlpm.DepreciationMonths,0))</f>
        <v>0</v>
      </c>
      <c r="AP264" s="507" cm="1">
        <f t="array" ref="AP264">_xlfn.LET(_xlpm.DepreciationMonths,INDEX(FixedAssets[Depreciation
/ Amortization Months],_xlfn.XMATCH($E$237,FixedAssets[Asset ID])),IF(AND((_xlfn.XMATCH(AP$8,$AH$8:$CC$8))-_xlfn.XMATCH($C264,$C$35:$C$82)+1&lt;=_xlpm.DepreciationMonths,$C264&lt;=AP$8),$E264/_xlpm.DepreciationMonths,0))</f>
        <v>0</v>
      </c>
      <c r="AQ264" s="507" cm="1">
        <f t="array" ref="AQ264">_xlfn.LET(_xlpm.DepreciationMonths,INDEX(FixedAssets[Depreciation
/ Amortization Months],_xlfn.XMATCH($E$237,FixedAssets[Asset ID])),IF(AND((_xlfn.XMATCH(AQ$8,$AH$8:$CC$8))-_xlfn.XMATCH($C264,$C$35:$C$82)+1&lt;=_xlpm.DepreciationMonths,$C264&lt;=AQ$8),$E264/_xlpm.DepreciationMonths,0))</f>
        <v>0</v>
      </c>
      <c r="AR264" s="507" cm="1">
        <f t="array" ref="AR264">_xlfn.LET(_xlpm.DepreciationMonths,INDEX(FixedAssets[Depreciation
/ Amortization Months],_xlfn.XMATCH($E$237,FixedAssets[Asset ID])),IF(AND((_xlfn.XMATCH(AR$8,$AH$8:$CC$8))-_xlfn.XMATCH($C264,$C$35:$C$82)+1&lt;=_xlpm.DepreciationMonths,$C264&lt;=AR$8),$E264/_xlpm.DepreciationMonths,0))</f>
        <v>0</v>
      </c>
      <c r="AS264" s="507" cm="1">
        <f t="array" ref="AS264">_xlfn.LET(_xlpm.DepreciationMonths,INDEX(FixedAssets[Depreciation
/ Amortization Months],_xlfn.XMATCH($E$237,FixedAssets[Asset ID])),IF(AND((_xlfn.XMATCH(AS$8,$AH$8:$CC$8))-_xlfn.XMATCH($C264,$C$35:$C$82)+1&lt;=_xlpm.DepreciationMonths,$C264&lt;=AS$8),$E264/_xlpm.DepreciationMonths,0))</f>
        <v>0</v>
      </c>
      <c r="AT264" s="507" cm="1">
        <f t="array" ref="AT264">_xlfn.LET(_xlpm.DepreciationMonths,INDEX(FixedAssets[Depreciation
/ Amortization Months],_xlfn.XMATCH($E$237,FixedAssets[Asset ID])),IF(AND((_xlfn.XMATCH(AT$8,$AH$8:$CC$8))-_xlfn.XMATCH($C264,$C$35:$C$82)+1&lt;=_xlpm.DepreciationMonths,$C264&lt;=AT$8),$E264/_xlpm.DepreciationMonths,0))</f>
        <v>0</v>
      </c>
      <c r="AU264" s="507" cm="1">
        <f t="array" ref="AU264">_xlfn.LET(_xlpm.DepreciationMonths,INDEX(FixedAssets[Depreciation
/ Amortization Months],_xlfn.XMATCH($E$237,FixedAssets[Asset ID])),IF(AND((_xlfn.XMATCH(AU$8,$AH$8:$CC$8))-_xlfn.XMATCH($C264,$C$35:$C$82)+1&lt;=_xlpm.DepreciationMonths,$C264&lt;=AU$8),$E264/_xlpm.DepreciationMonths,0))</f>
        <v>0</v>
      </c>
      <c r="AV264" s="507" cm="1">
        <f t="array" ref="AV264">_xlfn.LET(_xlpm.DepreciationMonths,INDEX(FixedAssets[Depreciation
/ Amortization Months],_xlfn.XMATCH($E$237,FixedAssets[Asset ID])),IF(AND((_xlfn.XMATCH(AV$8,$AH$8:$CC$8))-_xlfn.XMATCH($C264,$C$35:$C$82)+1&lt;=_xlpm.DepreciationMonths,$C264&lt;=AV$8),$E264/_xlpm.DepreciationMonths,0))</f>
        <v>0</v>
      </c>
      <c r="AW264" s="507" cm="1">
        <f t="array" ref="AW264">_xlfn.LET(_xlpm.DepreciationMonths,INDEX(FixedAssets[Depreciation
/ Amortization Months],_xlfn.XMATCH($E$237,FixedAssets[Asset ID])),IF(AND((_xlfn.XMATCH(AW$8,$AH$8:$CC$8))-_xlfn.XMATCH($C264,$C$35:$C$82)+1&lt;=_xlpm.DepreciationMonths,$C264&lt;=AW$8),$E264/_xlpm.DepreciationMonths,0))</f>
        <v>0</v>
      </c>
      <c r="AX264" s="507" cm="1">
        <f t="array" ref="AX264">_xlfn.LET(_xlpm.DepreciationMonths,INDEX(FixedAssets[Depreciation
/ Amortization Months],_xlfn.XMATCH($E$237,FixedAssets[Asset ID])),IF(AND((_xlfn.XMATCH(AX$8,$AH$8:$CC$8))-_xlfn.XMATCH($C264,$C$35:$C$82)+1&lt;=_xlpm.DepreciationMonths,$C264&lt;=AX$8),$E264/_xlpm.DepreciationMonths,0))</f>
        <v>0</v>
      </c>
      <c r="AY264" s="507" cm="1">
        <f t="array" ref="AY264">_xlfn.LET(_xlpm.DepreciationMonths,INDEX(FixedAssets[Depreciation
/ Amortization Months],_xlfn.XMATCH($E$237,FixedAssets[Asset ID])),IF(AND((_xlfn.XMATCH(AY$8,$AH$8:$CC$8))-_xlfn.XMATCH($C264,$C$35:$C$82)+1&lt;=_xlpm.DepreciationMonths,$C264&lt;=AY$8),$E264/_xlpm.DepreciationMonths,0))</f>
        <v>0</v>
      </c>
      <c r="AZ264" s="507" cm="1">
        <f t="array" ref="AZ264">_xlfn.LET(_xlpm.DepreciationMonths,INDEX(FixedAssets[Depreciation
/ Amortization Months],_xlfn.XMATCH($E$237,FixedAssets[Asset ID])),IF(AND((_xlfn.XMATCH(AZ$8,$AH$8:$CC$8))-_xlfn.XMATCH($C264,$C$35:$C$82)+1&lt;=_xlpm.DepreciationMonths,$C264&lt;=AZ$8),$E264/_xlpm.DepreciationMonths,0))</f>
        <v>0</v>
      </c>
      <c r="BA264" s="507" cm="1">
        <f t="array" ref="BA264">_xlfn.LET(_xlpm.DepreciationMonths,INDEX(FixedAssets[Depreciation
/ Amortization Months],_xlfn.XMATCH($E$237,FixedAssets[Asset ID])),IF(AND((_xlfn.XMATCH(BA$8,$AH$8:$CC$8))-_xlfn.XMATCH($C264,$C$35:$C$82)+1&lt;=_xlpm.DepreciationMonths,$C264&lt;=BA$8),$E264/_xlpm.DepreciationMonths,0))</f>
        <v>0</v>
      </c>
      <c r="BB264" s="507" cm="1">
        <f t="array" ref="BB264">_xlfn.LET(_xlpm.DepreciationMonths,INDEX(FixedAssets[Depreciation
/ Amortization Months],_xlfn.XMATCH($E$237,FixedAssets[Asset ID])),IF(AND((_xlfn.XMATCH(BB$8,$AH$8:$CC$8))-_xlfn.XMATCH($C264,$C$35:$C$82)+1&lt;=_xlpm.DepreciationMonths,$C264&lt;=BB$8),$E264/_xlpm.DepreciationMonths,0))</f>
        <v>0</v>
      </c>
      <c r="BC264" s="507" cm="1">
        <f t="array" ref="BC264">_xlfn.LET(_xlpm.DepreciationMonths,INDEX(FixedAssets[Depreciation
/ Amortization Months],_xlfn.XMATCH($E$237,FixedAssets[Asset ID])),IF(AND((_xlfn.XMATCH(BC$8,$AH$8:$CC$8))-_xlfn.XMATCH($C264,$C$35:$C$82)+1&lt;=_xlpm.DepreciationMonths,$C264&lt;=BC$8),$E264/_xlpm.DepreciationMonths,0))</f>
        <v>0</v>
      </c>
      <c r="BD264" s="507" cm="1">
        <f t="array" ref="BD264">_xlfn.LET(_xlpm.DepreciationMonths,INDEX(FixedAssets[Depreciation
/ Amortization Months],_xlfn.XMATCH($E$237,FixedAssets[Asset ID])),IF(AND((_xlfn.XMATCH(BD$8,$AH$8:$CC$8))-_xlfn.XMATCH($C264,$C$35:$C$82)+1&lt;=_xlpm.DepreciationMonths,$C264&lt;=BD$8),$E264/_xlpm.DepreciationMonths,0))</f>
        <v>0</v>
      </c>
      <c r="BE264" s="507" cm="1">
        <f t="array" ref="BE264">_xlfn.LET(_xlpm.DepreciationMonths,INDEX(FixedAssets[Depreciation
/ Amortization Months],_xlfn.XMATCH($E$237,FixedAssets[Asset ID])),IF(AND((_xlfn.XMATCH(BE$8,$AH$8:$CC$8))-_xlfn.XMATCH($C264,$C$35:$C$82)+1&lt;=_xlpm.DepreciationMonths,$C264&lt;=BE$8),$E264/_xlpm.DepreciationMonths,0))</f>
        <v>0</v>
      </c>
      <c r="BF264" s="507" cm="1">
        <f t="array" ref="BF264">_xlfn.LET(_xlpm.DepreciationMonths,INDEX(FixedAssets[Depreciation
/ Amortization Months],_xlfn.XMATCH($E$237,FixedAssets[Asset ID])),IF(AND((_xlfn.XMATCH(BF$8,$AH$8:$CC$8))-_xlfn.XMATCH($C264,$C$35:$C$82)+1&lt;=_xlpm.DepreciationMonths,$C264&lt;=BF$8),$E264/_xlpm.DepreciationMonths,0))</f>
        <v>0</v>
      </c>
      <c r="BG264" s="507" cm="1">
        <f t="array" ref="BG264">_xlfn.LET(_xlpm.DepreciationMonths,INDEX(FixedAssets[Depreciation
/ Amortization Months],_xlfn.XMATCH($E$237,FixedAssets[Asset ID])),IF(AND((_xlfn.XMATCH(BG$8,$AH$8:$CC$8))-_xlfn.XMATCH($C264,$C$35:$C$82)+1&lt;=_xlpm.DepreciationMonths,$C264&lt;=BG$8),$E264/_xlpm.DepreciationMonths,0))</f>
        <v>0</v>
      </c>
      <c r="BH264" s="507" cm="1">
        <f t="array" ref="BH264">_xlfn.LET(_xlpm.DepreciationMonths,INDEX(FixedAssets[Depreciation
/ Amortization Months],_xlfn.XMATCH($E$237,FixedAssets[Asset ID])),IF(AND((_xlfn.XMATCH(BH$8,$AH$8:$CC$8))-_xlfn.XMATCH($C264,$C$35:$C$82)+1&lt;=_xlpm.DepreciationMonths,$C264&lt;=BH$8),$E264/_xlpm.DepreciationMonths,0))</f>
        <v>0</v>
      </c>
      <c r="BI264" s="507" cm="1">
        <f t="array" ref="BI264">_xlfn.LET(_xlpm.DepreciationMonths,INDEX(FixedAssets[Depreciation
/ Amortization Months],_xlfn.XMATCH($E$237,FixedAssets[Asset ID])),IF(AND((_xlfn.XMATCH(BI$8,$AH$8:$CC$8))-_xlfn.XMATCH($C264,$C$35:$C$82)+1&lt;=_xlpm.DepreciationMonths,$C264&lt;=BI$8),$E264/_xlpm.DepreciationMonths,0))</f>
        <v>0</v>
      </c>
      <c r="BJ264" s="507" cm="1">
        <f t="array" ref="BJ264">_xlfn.LET(_xlpm.DepreciationMonths,INDEX(FixedAssets[Depreciation
/ Amortization Months],_xlfn.XMATCH($E$237,FixedAssets[Asset ID])),IF(AND((_xlfn.XMATCH(BJ$8,$AH$8:$CC$8))-_xlfn.XMATCH($C264,$C$35:$C$82)+1&lt;=_xlpm.DepreciationMonths,$C264&lt;=BJ$8),$E264/_xlpm.DepreciationMonths,0))</f>
        <v>0</v>
      </c>
      <c r="BK264" s="507" cm="1">
        <f t="array" ref="BK264">_xlfn.LET(_xlpm.DepreciationMonths,INDEX(FixedAssets[Depreciation
/ Amortization Months],_xlfn.XMATCH($E$237,FixedAssets[Asset ID])),IF(AND((_xlfn.XMATCH(BK$8,$AH$8:$CC$8))-_xlfn.XMATCH($C264,$C$35:$C$82)+1&lt;=_xlpm.DepreciationMonths,$C264&lt;=BK$8),$E264/_xlpm.DepreciationMonths,0))</f>
        <v>0</v>
      </c>
      <c r="BL264" s="507" cm="1">
        <f t="array" ref="BL264">_xlfn.LET(_xlpm.DepreciationMonths,INDEX(FixedAssets[Depreciation
/ Amortization Months],_xlfn.XMATCH($E$237,FixedAssets[Asset ID])),IF(AND((_xlfn.XMATCH(BL$8,$AH$8:$CC$8))-_xlfn.XMATCH($C264,$C$35:$C$82)+1&lt;=_xlpm.DepreciationMonths,$C264&lt;=BL$8),$E264/_xlpm.DepreciationMonths,0))</f>
        <v>0</v>
      </c>
      <c r="BM264" s="507" cm="1">
        <f t="array" ref="BM264">_xlfn.LET(_xlpm.DepreciationMonths,INDEX(FixedAssets[Depreciation
/ Amortization Months],_xlfn.XMATCH($E$237,FixedAssets[Asset ID])),IF(AND((_xlfn.XMATCH(BM$8,$AH$8:$CC$8))-_xlfn.XMATCH($C264,$C$35:$C$82)+1&lt;=_xlpm.DepreciationMonths,$C264&lt;=BM$8),$E264/_xlpm.DepreciationMonths,0))</f>
        <v>0</v>
      </c>
      <c r="BN264" s="507" cm="1">
        <f t="array" ref="BN264">_xlfn.LET(_xlpm.DepreciationMonths,INDEX(FixedAssets[Depreciation
/ Amortization Months],_xlfn.XMATCH($E$237,FixedAssets[Asset ID])),IF(AND((_xlfn.XMATCH(BN$8,$AH$8:$CC$8))-_xlfn.XMATCH($C264,$C$35:$C$82)+1&lt;=_xlpm.DepreciationMonths,$C264&lt;=BN$8),$E264/_xlpm.DepreciationMonths,0))</f>
        <v>0</v>
      </c>
      <c r="BO264" s="507" cm="1">
        <f t="array" ref="BO264">_xlfn.LET(_xlpm.DepreciationMonths,INDEX(FixedAssets[Depreciation
/ Amortization Months],_xlfn.XMATCH($E$237,FixedAssets[Asset ID])),IF(AND((_xlfn.XMATCH(BO$8,$AH$8:$CC$8))-_xlfn.XMATCH($C264,$C$35:$C$82)+1&lt;=_xlpm.DepreciationMonths,$C264&lt;=BO$8),$E264/_xlpm.DepreciationMonths,0))</f>
        <v>0</v>
      </c>
      <c r="BP264" s="507" cm="1">
        <f t="array" ref="BP264">_xlfn.LET(_xlpm.DepreciationMonths,INDEX(FixedAssets[Depreciation
/ Amortization Months],_xlfn.XMATCH($E$237,FixedAssets[Asset ID])),IF(AND((_xlfn.XMATCH(BP$8,$AH$8:$CC$8))-_xlfn.XMATCH($C264,$C$35:$C$82)+1&lt;=_xlpm.DepreciationMonths,$C264&lt;=BP$8),$E264/_xlpm.DepreciationMonths,0))</f>
        <v>0</v>
      </c>
      <c r="BQ264" s="507" cm="1">
        <f t="array" ref="BQ264">_xlfn.LET(_xlpm.DepreciationMonths,INDEX(FixedAssets[Depreciation
/ Amortization Months],_xlfn.XMATCH($E$237,FixedAssets[Asset ID])),IF(AND((_xlfn.XMATCH(BQ$8,$AH$8:$CC$8))-_xlfn.XMATCH($C264,$C$35:$C$82)+1&lt;=_xlpm.DepreciationMonths,$C264&lt;=BQ$8),$E264/_xlpm.DepreciationMonths,0))</f>
        <v>0</v>
      </c>
      <c r="BR264" s="507" cm="1">
        <f t="array" ref="BR264">_xlfn.LET(_xlpm.DepreciationMonths,INDEX(FixedAssets[Depreciation
/ Amortization Months],_xlfn.XMATCH($E$237,FixedAssets[Asset ID])),IF(AND((_xlfn.XMATCH(BR$8,$AH$8:$CC$8))-_xlfn.XMATCH($C264,$C$35:$C$82)+1&lt;=_xlpm.DepreciationMonths,$C264&lt;=BR$8),$E264/_xlpm.DepreciationMonths,0))</f>
        <v>0</v>
      </c>
      <c r="BS264" s="507" cm="1">
        <f t="array" ref="BS264">_xlfn.LET(_xlpm.DepreciationMonths,INDEX(FixedAssets[Depreciation
/ Amortization Months],_xlfn.XMATCH($E$237,FixedAssets[Asset ID])),IF(AND((_xlfn.XMATCH(BS$8,$AH$8:$CC$8))-_xlfn.XMATCH($C264,$C$35:$C$82)+1&lt;=_xlpm.DepreciationMonths,$C264&lt;=BS$8),$E264/_xlpm.DepreciationMonths,0))</f>
        <v>0</v>
      </c>
      <c r="BT264" s="507" cm="1">
        <f t="array" ref="BT264">_xlfn.LET(_xlpm.DepreciationMonths,INDEX(FixedAssets[Depreciation
/ Amortization Months],_xlfn.XMATCH($E$237,FixedAssets[Asset ID])),IF(AND((_xlfn.XMATCH(BT$8,$AH$8:$CC$8))-_xlfn.XMATCH($C264,$C$35:$C$82)+1&lt;=_xlpm.DepreciationMonths,$C264&lt;=BT$8),$E264/_xlpm.DepreciationMonths,0))</f>
        <v>0</v>
      </c>
      <c r="BU264" s="507" cm="1">
        <f t="array" ref="BU264">_xlfn.LET(_xlpm.DepreciationMonths,INDEX(FixedAssets[Depreciation
/ Amortization Months],_xlfn.XMATCH($E$237,FixedAssets[Asset ID])),IF(AND((_xlfn.XMATCH(BU$8,$AH$8:$CC$8))-_xlfn.XMATCH($C264,$C$35:$C$82)+1&lt;=_xlpm.DepreciationMonths,$C264&lt;=BU$8),$E264/_xlpm.DepreciationMonths,0))</f>
        <v>0</v>
      </c>
      <c r="BV264" s="507" cm="1">
        <f t="array" ref="BV264">_xlfn.LET(_xlpm.DepreciationMonths,INDEX(FixedAssets[Depreciation
/ Amortization Months],_xlfn.XMATCH($E$237,FixedAssets[Asset ID])),IF(AND((_xlfn.XMATCH(BV$8,$AH$8:$CC$8))-_xlfn.XMATCH($C264,$C$35:$C$82)+1&lt;=_xlpm.DepreciationMonths,$C264&lt;=BV$8),$E264/_xlpm.DepreciationMonths,0))</f>
        <v>0</v>
      </c>
      <c r="BW264" s="507" cm="1">
        <f t="array" ref="BW264">_xlfn.LET(_xlpm.DepreciationMonths,INDEX(FixedAssets[Depreciation
/ Amortization Months],_xlfn.XMATCH($E$237,FixedAssets[Asset ID])),IF(AND((_xlfn.XMATCH(BW$8,$AH$8:$CC$8))-_xlfn.XMATCH($C264,$C$35:$C$82)+1&lt;=_xlpm.DepreciationMonths,$C264&lt;=BW$8),$E264/_xlpm.DepreciationMonths,0))</f>
        <v>0</v>
      </c>
      <c r="BX264" s="507" cm="1">
        <f t="array" ref="BX264">_xlfn.LET(_xlpm.DepreciationMonths,INDEX(FixedAssets[Depreciation
/ Amortization Months],_xlfn.XMATCH($E$237,FixedAssets[Asset ID])),IF(AND((_xlfn.XMATCH(BX$8,$AH$8:$CC$8))-_xlfn.XMATCH($C264,$C$35:$C$82)+1&lt;=_xlpm.DepreciationMonths,$C264&lt;=BX$8),$E264/_xlpm.DepreciationMonths,0))</f>
        <v>0</v>
      </c>
      <c r="BY264" s="507" cm="1">
        <f t="array" ref="BY264">_xlfn.LET(_xlpm.DepreciationMonths,INDEX(FixedAssets[Depreciation
/ Amortization Months],_xlfn.XMATCH($E$237,FixedAssets[Asset ID])),IF(AND((_xlfn.XMATCH(BY$8,$AH$8:$CC$8))-_xlfn.XMATCH($C264,$C$35:$C$82)+1&lt;=_xlpm.DepreciationMonths,$C264&lt;=BY$8),$E264/_xlpm.DepreciationMonths,0))</f>
        <v>0</v>
      </c>
      <c r="BZ264" s="507" cm="1">
        <f t="array" ref="BZ264">_xlfn.LET(_xlpm.DepreciationMonths,INDEX(FixedAssets[Depreciation
/ Amortization Months],_xlfn.XMATCH($E$237,FixedAssets[Asset ID])),IF(AND((_xlfn.XMATCH(BZ$8,$AH$8:$CC$8))-_xlfn.XMATCH($C264,$C$35:$C$82)+1&lt;=_xlpm.DepreciationMonths,$C264&lt;=BZ$8),$E264/_xlpm.DepreciationMonths,0))</f>
        <v>0</v>
      </c>
      <c r="CA264" s="507" cm="1">
        <f t="array" ref="CA264">_xlfn.LET(_xlpm.DepreciationMonths,INDEX(FixedAssets[Depreciation
/ Amortization Months],_xlfn.XMATCH($E$237,FixedAssets[Asset ID])),IF(AND((_xlfn.XMATCH(CA$8,$AH$8:$CC$8))-_xlfn.XMATCH($C264,$C$35:$C$82)+1&lt;=_xlpm.DepreciationMonths,$C264&lt;=CA$8),$E264/_xlpm.DepreciationMonths,0))</f>
        <v>0</v>
      </c>
      <c r="CB264" s="507" cm="1">
        <f t="array" ref="CB264">_xlfn.LET(_xlpm.DepreciationMonths,INDEX(FixedAssets[Depreciation
/ Amortization Months],_xlfn.XMATCH($E$237,FixedAssets[Asset ID])),IF(AND((_xlfn.XMATCH(CB$8,$AH$8:$CC$8))-_xlfn.XMATCH($C264,$C$35:$C$82)+1&lt;=_xlpm.DepreciationMonths,$C264&lt;=CB$8),$E264/_xlpm.DepreciationMonths,0))</f>
        <v>0</v>
      </c>
      <c r="CC264" s="507" cm="1">
        <f t="array" ref="CC264">_xlfn.LET(_xlpm.DepreciationMonths,INDEX(FixedAssets[Depreciation
/ Amortization Months],_xlfn.XMATCH($E$237,FixedAssets[Asset ID])),IF(AND((_xlfn.XMATCH(CC$8,$AH$8:$CC$8))-_xlfn.XMATCH($C264,$C$35:$C$82)+1&lt;=_xlpm.DepreciationMonths,$C264&lt;=CC$8),$E264/_xlpm.DepreciationMonths,0))</f>
        <v>0</v>
      </c>
    </row>
    <row r="265" spans="3:81" hidden="1" outlineLevel="2">
      <c r="C265" s="664">
        <f t="shared" si="267"/>
        <v>45747</v>
      </c>
      <c r="D265" s="508"/>
      <c r="E265" s="508" cm="1">
        <f t="array" ref="E265">SUMPRODUCT(($AH$26:$CC$31)*($AH$5:$CC$5=$C265)*($E$26:$E$31=E$237))-SUMPRODUCT(($AH$26:$CC$31)*($AH$5:$CC$5=EOMONTH($C265,-1))*($E$26:$E$31=E$237))</f>
        <v>0</v>
      </c>
      <c r="F265" s="508"/>
      <c r="G265" s="508"/>
      <c r="H265" s="508"/>
      <c r="I265" s="508"/>
      <c r="J265" s="504">
        <f t="shared" si="265"/>
        <v>0</v>
      </c>
      <c r="K265" s="504">
        <f t="shared" si="265"/>
        <v>0</v>
      </c>
      <c r="L265" s="504">
        <f t="shared" si="265"/>
        <v>0</v>
      </c>
      <c r="M265" s="504">
        <f t="shared" si="265"/>
        <v>0</v>
      </c>
      <c r="N265" s="504"/>
      <c r="O265" s="504"/>
      <c r="P265" s="504">
        <f t="shared" si="269"/>
        <v>0</v>
      </c>
      <c r="Q265" s="504">
        <f t="shared" si="269"/>
        <v>0</v>
      </c>
      <c r="R265" s="504">
        <f t="shared" si="269"/>
        <v>0</v>
      </c>
      <c r="S265" s="504">
        <f t="shared" si="269"/>
        <v>0</v>
      </c>
      <c r="T265" s="504">
        <f t="shared" si="269"/>
        <v>0</v>
      </c>
      <c r="U265" s="504">
        <f t="shared" si="269"/>
        <v>0</v>
      </c>
      <c r="V265" s="504">
        <f t="shared" si="269"/>
        <v>0</v>
      </c>
      <c r="W265" s="504">
        <f t="shared" si="269"/>
        <v>0</v>
      </c>
      <c r="X265" s="504">
        <f t="shared" si="269"/>
        <v>0</v>
      </c>
      <c r="Y265" s="504">
        <f t="shared" si="269"/>
        <v>0</v>
      </c>
      <c r="Z265" s="504">
        <f t="shared" si="269"/>
        <v>0</v>
      </c>
      <c r="AA265" s="504">
        <f t="shared" si="269"/>
        <v>0</v>
      </c>
      <c r="AB265" s="504">
        <f t="shared" si="269"/>
        <v>0</v>
      </c>
      <c r="AC265" s="504">
        <f t="shared" si="269"/>
        <v>0</v>
      </c>
      <c r="AD265" s="504">
        <f t="shared" si="269"/>
        <v>0</v>
      </c>
      <c r="AE265" s="504">
        <f t="shared" si="269"/>
        <v>0</v>
      </c>
      <c r="AF265" s="508"/>
      <c r="AG265" s="508"/>
      <c r="AH265" s="507" cm="1">
        <f t="array" ref="AH265">_xlfn.LET(_xlpm.DepreciationMonths,INDEX(FixedAssets[Depreciation
/ Amortization Months],_xlfn.XMATCH($E$237,FixedAssets[Asset ID])),IF(AND((_xlfn.XMATCH(AH$8,$AH$8:$CC$8))-_xlfn.XMATCH($C265,$C$35:$C$82)+1&lt;=_xlpm.DepreciationMonths,$C265&lt;=AH$8),$E265/_xlpm.DepreciationMonths,0))</f>
        <v>0</v>
      </c>
      <c r="AI265" s="507" cm="1">
        <f t="array" ref="AI265">_xlfn.LET(_xlpm.DepreciationMonths,INDEX(FixedAssets[Depreciation
/ Amortization Months],_xlfn.XMATCH($E$237,FixedAssets[Asset ID])),IF(AND((_xlfn.XMATCH(AI$8,$AH$8:$CC$8))-_xlfn.XMATCH($C265,$C$35:$C$82)+1&lt;=_xlpm.DepreciationMonths,$C265&lt;=AI$8),$E265/_xlpm.DepreciationMonths,0))</f>
        <v>0</v>
      </c>
      <c r="AJ265" s="507" cm="1">
        <f t="array" ref="AJ265">_xlfn.LET(_xlpm.DepreciationMonths,INDEX(FixedAssets[Depreciation
/ Amortization Months],_xlfn.XMATCH($E$237,FixedAssets[Asset ID])),IF(AND((_xlfn.XMATCH(AJ$8,$AH$8:$CC$8))-_xlfn.XMATCH($C265,$C$35:$C$82)+1&lt;=_xlpm.DepreciationMonths,$C265&lt;=AJ$8),$E265/_xlpm.DepreciationMonths,0))</f>
        <v>0</v>
      </c>
      <c r="AK265" s="507" cm="1">
        <f t="array" ref="AK265">_xlfn.LET(_xlpm.DepreciationMonths,INDEX(FixedAssets[Depreciation
/ Amortization Months],_xlfn.XMATCH($E$237,FixedAssets[Asset ID])),IF(AND((_xlfn.XMATCH(AK$8,$AH$8:$CC$8))-_xlfn.XMATCH($C265,$C$35:$C$82)+1&lt;=_xlpm.DepreciationMonths,$C265&lt;=AK$8),$E265/_xlpm.DepreciationMonths,0))</f>
        <v>0</v>
      </c>
      <c r="AL265" s="507" cm="1">
        <f t="array" ref="AL265">_xlfn.LET(_xlpm.DepreciationMonths,INDEX(FixedAssets[Depreciation
/ Amortization Months],_xlfn.XMATCH($E$237,FixedAssets[Asset ID])),IF(AND((_xlfn.XMATCH(AL$8,$AH$8:$CC$8))-_xlfn.XMATCH($C265,$C$35:$C$82)+1&lt;=_xlpm.DepreciationMonths,$C265&lt;=AL$8),$E265/_xlpm.DepreciationMonths,0))</f>
        <v>0</v>
      </c>
      <c r="AM265" s="507" cm="1">
        <f t="array" ref="AM265">_xlfn.LET(_xlpm.DepreciationMonths,INDEX(FixedAssets[Depreciation
/ Amortization Months],_xlfn.XMATCH($E$237,FixedAssets[Asset ID])),IF(AND((_xlfn.XMATCH(AM$8,$AH$8:$CC$8))-_xlfn.XMATCH($C265,$C$35:$C$82)+1&lt;=_xlpm.DepreciationMonths,$C265&lt;=AM$8),$E265/_xlpm.DepreciationMonths,0))</f>
        <v>0</v>
      </c>
      <c r="AN265" s="507" cm="1">
        <f t="array" ref="AN265">_xlfn.LET(_xlpm.DepreciationMonths,INDEX(FixedAssets[Depreciation
/ Amortization Months],_xlfn.XMATCH($E$237,FixedAssets[Asset ID])),IF(AND((_xlfn.XMATCH(AN$8,$AH$8:$CC$8))-_xlfn.XMATCH($C265,$C$35:$C$82)+1&lt;=_xlpm.DepreciationMonths,$C265&lt;=AN$8),$E265/_xlpm.DepreciationMonths,0))</f>
        <v>0</v>
      </c>
      <c r="AO265" s="507" cm="1">
        <f t="array" ref="AO265">_xlfn.LET(_xlpm.DepreciationMonths,INDEX(FixedAssets[Depreciation
/ Amortization Months],_xlfn.XMATCH($E$237,FixedAssets[Asset ID])),IF(AND((_xlfn.XMATCH(AO$8,$AH$8:$CC$8))-_xlfn.XMATCH($C265,$C$35:$C$82)+1&lt;=_xlpm.DepreciationMonths,$C265&lt;=AO$8),$E265/_xlpm.DepreciationMonths,0))</f>
        <v>0</v>
      </c>
      <c r="AP265" s="507" cm="1">
        <f t="array" ref="AP265">_xlfn.LET(_xlpm.DepreciationMonths,INDEX(FixedAssets[Depreciation
/ Amortization Months],_xlfn.XMATCH($E$237,FixedAssets[Asset ID])),IF(AND((_xlfn.XMATCH(AP$8,$AH$8:$CC$8))-_xlfn.XMATCH($C265,$C$35:$C$82)+1&lt;=_xlpm.DepreciationMonths,$C265&lt;=AP$8),$E265/_xlpm.DepreciationMonths,0))</f>
        <v>0</v>
      </c>
      <c r="AQ265" s="507" cm="1">
        <f t="array" ref="AQ265">_xlfn.LET(_xlpm.DepreciationMonths,INDEX(FixedAssets[Depreciation
/ Amortization Months],_xlfn.XMATCH($E$237,FixedAssets[Asset ID])),IF(AND((_xlfn.XMATCH(AQ$8,$AH$8:$CC$8))-_xlfn.XMATCH($C265,$C$35:$C$82)+1&lt;=_xlpm.DepreciationMonths,$C265&lt;=AQ$8),$E265/_xlpm.DepreciationMonths,0))</f>
        <v>0</v>
      </c>
      <c r="AR265" s="507" cm="1">
        <f t="array" ref="AR265">_xlfn.LET(_xlpm.DepreciationMonths,INDEX(FixedAssets[Depreciation
/ Amortization Months],_xlfn.XMATCH($E$237,FixedAssets[Asset ID])),IF(AND((_xlfn.XMATCH(AR$8,$AH$8:$CC$8))-_xlfn.XMATCH($C265,$C$35:$C$82)+1&lt;=_xlpm.DepreciationMonths,$C265&lt;=AR$8),$E265/_xlpm.DepreciationMonths,0))</f>
        <v>0</v>
      </c>
      <c r="AS265" s="507" cm="1">
        <f t="array" ref="AS265">_xlfn.LET(_xlpm.DepreciationMonths,INDEX(FixedAssets[Depreciation
/ Amortization Months],_xlfn.XMATCH($E$237,FixedAssets[Asset ID])),IF(AND((_xlfn.XMATCH(AS$8,$AH$8:$CC$8))-_xlfn.XMATCH($C265,$C$35:$C$82)+1&lt;=_xlpm.DepreciationMonths,$C265&lt;=AS$8),$E265/_xlpm.DepreciationMonths,0))</f>
        <v>0</v>
      </c>
      <c r="AT265" s="507" cm="1">
        <f t="array" ref="AT265">_xlfn.LET(_xlpm.DepreciationMonths,INDEX(FixedAssets[Depreciation
/ Amortization Months],_xlfn.XMATCH($E$237,FixedAssets[Asset ID])),IF(AND((_xlfn.XMATCH(AT$8,$AH$8:$CC$8))-_xlfn.XMATCH($C265,$C$35:$C$82)+1&lt;=_xlpm.DepreciationMonths,$C265&lt;=AT$8),$E265/_xlpm.DepreciationMonths,0))</f>
        <v>0</v>
      </c>
      <c r="AU265" s="507" cm="1">
        <f t="array" ref="AU265">_xlfn.LET(_xlpm.DepreciationMonths,INDEX(FixedAssets[Depreciation
/ Amortization Months],_xlfn.XMATCH($E$237,FixedAssets[Asset ID])),IF(AND((_xlfn.XMATCH(AU$8,$AH$8:$CC$8))-_xlfn.XMATCH($C265,$C$35:$C$82)+1&lt;=_xlpm.DepreciationMonths,$C265&lt;=AU$8),$E265/_xlpm.DepreciationMonths,0))</f>
        <v>0</v>
      </c>
      <c r="AV265" s="507" cm="1">
        <f t="array" ref="AV265">_xlfn.LET(_xlpm.DepreciationMonths,INDEX(FixedAssets[Depreciation
/ Amortization Months],_xlfn.XMATCH($E$237,FixedAssets[Asset ID])),IF(AND((_xlfn.XMATCH(AV$8,$AH$8:$CC$8))-_xlfn.XMATCH($C265,$C$35:$C$82)+1&lt;=_xlpm.DepreciationMonths,$C265&lt;=AV$8),$E265/_xlpm.DepreciationMonths,0))</f>
        <v>0</v>
      </c>
      <c r="AW265" s="507" cm="1">
        <f t="array" ref="AW265">_xlfn.LET(_xlpm.DepreciationMonths,INDEX(FixedAssets[Depreciation
/ Amortization Months],_xlfn.XMATCH($E$237,FixedAssets[Asset ID])),IF(AND((_xlfn.XMATCH(AW$8,$AH$8:$CC$8))-_xlfn.XMATCH($C265,$C$35:$C$82)+1&lt;=_xlpm.DepreciationMonths,$C265&lt;=AW$8),$E265/_xlpm.DepreciationMonths,0))</f>
        <v>0</v>
      </c>
      <c r="AX265" s="507" cm="1">
        <f t="array" ref="AX265">_xlfn.LET(_xlpm.DepreciationMonths,INDEX(FixedAssets[Depreciation
/ Amortization Months],_xlfn.XMATCH($E$237,FixedAssets[Asset ID])),IF(AND((_xlfn.XMATCH(AX$8,$AH$8:$CC$8))-_xlfn.XMATCH($C265,$C$35:$C$82)+1&lt;=_xlpm.DepreciationMonths,$C265&lt;=AX$8),$E265/_xlpm.DepreciationMonths,0))</f>
        <v>0</v>
      </c>
      <c r="AY265" s="507" cm="1">
        <f t="array" ref="AY265">_xlfn.LET(_xlpm.DepreciationMonths,INDEX(FixedAssets[Depreciation
/ Amortization Months],_xlfn.XMATCH($E$237,FixedAssets[Asset ID])),IF(AND((_xlfn.XMATCH(AY$8,$AH$8:$CC$8))-_xlfn.XMATCH($C265,$C$35:$C$82)+1&lt;=_xlpm.DepreciationMonths,$C265&lt;=AY$8),$E265/_xlpm.DepreciationMonths,0))</f>
        <v>0</v>
      </c>
      <c r="AZ265" s="507" cm="1">
        <f t="array" ref="AZ265">_xlfn.LET(_xlpm.DepreciationMonths,INDEX(FixedAssets[Depreciation
/ Amortization Months],_xlfn.XMATCH($E$237,FixedAssets[Asset ID])),IF(AND((_xlfn.XMATCH(AZ$8,$AH$8:$CC$8))-_xlfn.XMATCH($C265,$C$35:$C$82)+1&lt;=_xlpm.DepreciationMonths,$C265&lt;=AZ$8),$E265/_xlpm.DepreciationMonths,0))</f>
        <v>0</v>
      </c>
      <c r="BA265" s="507" cm="1">
        <f t="array" ref="BA265">_xlfn.LET(_xlpm.DepreciationMonths,INDEX(FixedAssets[Depreciation
/ Amortization Months],_xlfn.XMATCH($E$237,FixedAssets[Asset ID])),IF(AND((_xlfn.XMATCH(BA$8,$AH$8:$CC$8))-_xlfn.XMATCH($C265,$C$35:$C$82)+1&lt;=_xlpm.DepreciationMonths,$C265&lt;=BA$8),$E265/_xlpm.DepreciationMonths,0))</f>
        <v>0</v>
      </c>
      <c r="BB265" s="507" cm="1">
        <f t="array" ref="BB265">_xlfn.LET(_xlpm.DepreciationMonths,INDEX(FixedAssets[Depreciation
/ Amortization Months],_xlfn.XMATCH($E$237,FixedAssets[Asset ID])),IF(AND((_xlfn.XMATCH(BB$8,$AH$8:$CC$8))-_xlfn.XMATCH($C265,$C$35:$C$82)+1&lt;=_xlpm.DepreciationMonths,$C265&lt;=BB$8),$E265/_xlpm.DepreciationMonths,0))</f>
        <v>0</v>
      </c>
      <c r="BC265" s="507" cm="1">
        <f t="array" ref="BC265">_xlfn.LET(_xlpm.DepreciationMonths,INDEX(FixedAssets[Depreciation
/ Amortization Months],_xlfn.XMATCH($E$237,FixedAssets[Asset ID])),IF(AND((_xlfn.XMATCH(BC$8,$AH$8:$CC$8))-_xlfn.XMATCH($C265,$C$35:$C$82)+1&lt;=_xlpm.DepreciationMonths,$C265&lt;=BC$8),$E265/_xlpm.DepreciationMonths,0))</f>
        <v>0</v>
      </c>
      <c r="BD265" s="507" cm="1">
        <f t="array" ref="BD265">_xlfn.LET(_xlpm.DepreciationMonths,INDEX(FixedAssets[Depreciation
/ Amortization Months],_xlfn.XMATCH($E$237,FixedAssets[Asset ID])),IF(AND((_xlfn.XMATCH(BD$8,$AH$8:$CC$8))-_xlfn.XMATCH($C265,$C$35:$C$82)+1&lt;=_xlpm.DepreciationMonths,$C265&lt;=BD$8),$E265/_xlpm.DepreciationMonths,0))</f>
        <v>0</v>
      </c>
      <c r="BE265" s="507" cm="1">
        <f t="array" ref="BE265">_xlfn.LET(_xlpm.DepreciationMonths,INDEX(FixedAssets[Depreciation
/ Amortization Months],_xlfn.XMATCH($E$237,FixedAssets[Asset ID])),IF(AND((_xlfn.XMATCH(BE$8,$AH$8:$CC$8))-_xlfn.XMATCH($C265,$C$35:$C$82)+1&lt;=_xlpm.DepreciationMonths,$C265&lt;=BE$8),$E265/_xlpm.DepreciationMonths,0))</f>
        <v>0</v>
      </c>
      <c r="BF265" s="507" cm="1">
        <f t="array" ref="BF265">_xlfn.LET(_xlpm.DepreciationMonths,INDEX(FixedAssets[Depreciation
/ Amortization Months],_xlfn.XMATCH($E$237,FixedAssets[Asset ID])),IF(AND((_xlfn.XMATCH(BF$8,$AH$8:$CC$8))-_xlfn.XMATCH($C265,$C$35:$C$82)+1&lt;=_xlpm.DepreciationMonths,$C265&lt;=BF$8),$E265/_xlpm.DepreciationMonths,0))</f>
        <v>0</v>
      </c>
      <c r="BG265" s="507" cm="1">
        <f t="array" ref="BG265">_xlfn.LET(_xlpm.DepreciationMonths,INDEX(FixedAssets[Depreciation
/ Amortization Months],_xlfn.XMATCH($E$237,FixedAssets[Asset ID])),IF(AND((_xlfn.XMATCH(BG$8,$AH$8:$CC$8))-_xlfn.XMATCH($C265,$C$35:$C$82)+1&lt;=_xlpm.DepreciationMonths,$C265&lt;=BG$8),$E265/_xlpm.DepreciationMonths,0))</f>
        <v>0</v>
      </c>
      <c r="BH265" s="507" cm="1">
        <f t="array" ref="BH265">_xlfn.LET(_xlpm.DepreciationMonths,INDEX(FixedAssets[Depreciation
/ Amortization Months],_xlfn.XMATCH($E$237,FixedAssets[Asset ID])),IF(AND((_xlfn.XMATCH(BH$8,$AH$8:$CC$8))-_xlfn.XMATCH($C265,$C$35:$C$82)+1&lt;=_xlpm.DepreciationMonths,$C265&lt;=BH$8),$E265/_xlpm.DepreciationMonths,0))</f>
        <v>0</v>
      </c>
      <c r="BI265" s="507" cm="1">
        <f t="array" ref="BI265">_xlfn.LET(_xlpm.DepreciationMonths,INDEX(FixedAssets[Depreciation
/ Amortization Months],_xlfn.XMATCH($E$237,FixedAssets[Asset ID])),IF(AND((_xlfn.XMATCH(BI$8,$AH$8:$CC$8))-_xlfn.XMATCH($C265,$C$35:$C$82)+1&lt;=_xlpm.DepreciationMonths,$C265&lt;=BI$8),$E265/_xlpm.DepreciationMonths,0))</f>
        <v>0</v>
      </c>
      <c r="BJ265" s="507" cm="1">
        <f t="array" ref="BJ265">_xlfn.LET(_xlpm.DepreciationMonths,INDEX(FixedAssets[Depreciation
/ Amortization Months],_xlfn.XMATCH($E$237,FixedAssets[Asset ID])),IF(AND((_xlfn.XMATCH(BJ$8,$AH$8:$CC$8))-_xlfn.XMATCH($C265,$C$35:$C$82)+1&lt;=_xlpm.DepreciationMonths,$C265&lt;=BJ$8),$E265/_xlpm.DepreciationMonths,0))</f>
        <v>0</v>
      </c>
      <c r="BK265" s="507" cm="1">
        <f t="array" ref="BK265">_xlfn.LET(_xlpm.DepreciationMonths,INDEX(FixedAssets[Depreciation
/ Amortization Months],_xlfn.XMATCH($E$237,FixedAssets[Asset ID])),IF(AND((_xlfn.XMATCH(BK$8,$AH$8:$CC$8))-_xlfn.XMATCH($C265,$C$35:$C$82)+1&lt;=_xlpm.DepreciationMonths,$C265&lt;=BK$8),$E265/_xlpm.DepreciationMonths,0))</f>
        <v>0</v>
      </c>
      <c r="BL265" s="507" cm="1">
        <f t="array" ref="BL265">_xlfn.LET(_xlpm.DepreciationMonths,INDEX(FixedAssets[Depreciation
/ Amortization Months],_xlfn.XMATCH($E$237,FixedAssets[Asset ID])),IF(AND((_xlfn.XMATCH(BL$8,$AH$8:$CC$8))-_xlfn.XMATCH($C265,$C$35:$C$82)+1&lt;=_xlpm.DepreciationMonths,$C265&lt;=BL$8),$E265/_xlpm.DepreciationMonths,0))</f>
        <v>0</v>
      </c>
      <c r="BM265" s="507" cm="1">
        <f t="array" ref="BM265">_xlfn.LET(_xlpm.DepreciationMonths,INDEX(FixedAssets[Depreciation
/ Amortization Months],_xlfn.XMATCH($E$237,FixedAssets[Asset ID])),IF(AND((_xlfn.XMATCH(BM$8,$AH$8:$CC$8))-_xlfn.XMATCH($C265,$C$35:$C$82)+1&lt;=_xlpm.DepreciationMonths,$C265&lt;=BM$8),$E265/_xlpm.DepreciationMonths,0))</f>
        <v>0</v>
      </c>
      <c r="BN265" s="507" cm="1">
        <f t="array" ref="BN265">_xlfn.LET(_xlpm.DepreciationMonths,INDEX(FixedAssets[Depreciation
/ Amortization Months],_xlfn.XMATCH($E$237,FixedAssets[Asset ID])),IF(AND((_xlfn.XMATCH(BN$8,$AH$8:$CC$8))-_xlfn.XMATCH($C265,$C$35:$C$82)+1&lt;=_xlpm.DepreciationMonths,$C265&lt;=BN$8),$E265/_xlpm.DepreciationMonths,0))</f>
        <v>0</v>
      </c>
      <c r="BO265" s="507" cm="1">
        <f t="array" ref="BO265">_xlfn.LET(_xlpm.DepreciationMonths,INDEX(FixedAssets[Depreciation
/ Amortization Months],_xlfn.XMATCH($E$237,FixedAssets[Asset ID])),IF(AND((_xlfn.XMATCH(BO$8,$AH$8:$CC$8))-_xlfn.XMATCH($C265,$C$35:$C$82)+1&lt;=_xlpm.DepreciationMonths,$C265&lt;=BO$8),$E265/_xlpm.DepreciationMonths,0))</f>
        <v>0</v>
      </c>
      <c r="BP265" s="507" cm="1">
        <f t="array" ref="BP265">_xlfn.LET(_xlpm.DepreciationMonths,INDEX(FixedAssets[Depreciation
/ Amortization Months],_xlfn.XMATCH($E$237,FixedAssets[Asset ID])),IF(AND((_xlfn.XMATCH(BP$8,$AH$8:$CC$8))-_xlfn.XMATCH($C265,$C$35:$C$82)+1&lt;=_xlpm.DepreciationMonths,$C265&lt;=BP$8),$E265/_xlpm.DepreciationMonths,0))</f>
        <v>0</v>
      </c>
      <c r="BQ265" s="507" cm="1">
        <f t="array" ref="BQ265">_xlfn.LET(_xlpm.DepreciationMonths,INDEX(FixedAssets[Depreciation
/ Amortization Months],_xlfn.XMATCH($E$237,FixedAssets[Asset ID])),IF(AND((_xlfn.XMATCH(BQ$8,$AH$8:$CC$8))-_xlfn.XMATCH($C265,$C$35:$C$82)+1&lt;=_xlpm.DepreciationMonths,$C265&lt;=BQ$8),$E265/_xlpm.DepreciationMonths,0))</f>
        <v>0</v>
      </c>
      <c r="BR265" s="507" cm="1">
        <f t="array" ref="BR265">_xlfn.LET(_xlpm.DepreciationMonths,INDEX(FixedAssets[Depreciation
/ Amortization Months],_xlfn.XMATCH($E$237,FixedAssets[Asset ID])),IF(AND((_xlfn.XMATCH(BR$8,$AH$8:$CC$8))-_xlfn.XMATCH($C265,$C$35:$C$82)+1&lt;=_xlpm.DepreciationMonths,$C265&lt;=BR$8),$E265/_xlpm.DepreciationMonths,0))</f>
        <v>0</v>
      </c>
      <c r="BS265" s="507" cm="1">
        <f t="array" ref="BS265">_xlfn.LET(_xlpm.DepreciationMonths,INDEX(FixedAssets[Depreciation
/ Amortization Months],_xlfn.XMATCH($E$237,FixedAssets[Asset ID])),IF(AND((_xlfn.XMATCH(BS$8,$AH$8:$CC$8))-_xlfn.XMATCH($C265,$C$35:$C$82)+1&lt;=_xlpm.DepreciationMonths,$C265&lt;=BS$8),$E265/_xlpm.DepreciationMonths,0))</f>
        <v>0</v>
      </c>
      <c r="BT265" s="507" cm="1">
        <f t="array" ref="BT265">_xlfn.LET(_xlpm.DepreciationMonths,INDEX(FixedAssets[Depreciation
/ Amortization Months],_xlfn.XMATCH($E$237,FixedAssets[Asset ID])),IF(AND((_xlfn.XMATCH(BT$8,$AH$8:$CC$8))-_xlfn.XMATCH($C265,$C$35:$C$82)+1&lt;=_xlpm.DepreciationMonths,$C265&lt;=BT$8),$E265/_xlpm.DepreciationMonths,0))</f>
        <v>0</v>
      </c>
      <c r="BU265" s="507" cm="1">
        <f t="array" ref="BU265">_xlfn.LET(_xlpm.DepreciationMonths,INDEX(FixedAssets[Depreciation
/ Amortization Months],_xlfn.XMATCH($E$237,FixedAssets[Asset ID])),IF(AND((_xlfn.XMATCH(BU$8,$AH$8:$CC$8))-_xlfn.XMATCH($C265,$C$35:$C$82)+1&lt;=_xlpm.DepreciationMonths,$C265&lt;=BU$8),$E265/_xlpm.DepreciationMonths,0))</f>
        <v>0</v>
      </c>
      <c r="BV265" s="507" cm="1">
        <f t="array" ref="BV265">_xlfn.LET(_xlpm.DepreciationMonths,INDEX(FixedAssets[Depreciation
/ Amortization Months],_xlfn.XMATCH($E$237,FixedAssets[Asset ID])),IF(AND((_xlfn.XMATCH(BV$8,$AH$8:$CC$8))-_xlfn.XMATCH($C265,$C$35:$C$82)+1&lt;=_xlpm.DepreciationMonths,$C265&lt;=BV$8),$E265/_xlpm.DepreciationMonths,0))</f>
        <v>0</v>
      </c>
      <c r="BW265" s="507" cm="1">
        <f t="array" ref="BW265">_xlfn.LET(_xlpm.DepreciationMonths,INDEX(FixedAssets[Depreciation
/ Amortization Months],_xlfn.XMATCH($E$237,FixedAssets[Asset ID])),IF(AND((_xlfn.XMATCH(BW$8,$AH$8:$CC$8))-_xlfn.XMATCH($C265,$C$35:$C$82)+1&lt;=_xlpm.DepreciationMonths,$C265&lt;=BW$8),$E265/_xlpm.DepreciationMonths,0))</f>
        <v>0</v>
      </c>
      <c r="BX265" s="507" cm="1">
        <f t="array" ref="BX265">_xlfn.LET(_xlpm.DepreciationMonths,INDEX(FixedAssets[Depreciation
/ Amortization Months],_xlfn.XMATCH($E$237,FixedAssets[Asset ID])),IF(AND((_xlfn.XMATCH(BX$8,$AH$8:$CC$8))-_xlfn.XMATCH($C265,$C$35:$C$82)+1&lt;=_xlpm.DepreciationMonths,$C265&lt;=BX$8),$E265/_xlpm.DepreciationMonths,0))</f>
        <v>0</v>
      </c>
      <c r="BY265" s="507" cm="1">
        <f t="array" ref="BY265">_xlfn.LET(_xlpm.DepreciationMonths,INDEX(FixedAssets[Depreciation
/ Amortization Months],_xlfn.XMATCH($E$237,FixedAssets[Asset ID])),IF(AND((_xlfn.XMATCH(BY$8,$AH$8:$CC$8))-_xlfn.XMATCH($C265,$C$35:$C$82)+1&lt;=_xlpm.DepreciationMonths,$C265&lt;=BY$8),$E265/_xlpm.DepreciationMonths,0))</f>
        <v>0</v>
      </c>
      <c r="BZ265" s="507" cm="1">
        <f t="array" ref="BZ265">_xlfn.LET(_xlpm.DepreciationMonths,INDEX(FixedAssets[Depreciation
/ Amortization Months],_xlfn.XMATCH($E$237,FixedAssets[Asset ID])),IF(AND((_xlfn.XMATCH(BZ$8,$AH$8:$CC$8))-_xlfn.XMATCH($C265,$C$35:$C$82)+1&lt;=_xlpm.DepreciationMonths,$C265&lt;=BZ$8),$E265/_xlpm.DepreciationMonths,0))</f>
        <v>0</v>
      </c>
      <c r="CA265" s="507" cm="1">
        <f t="array" ref="CA265">_xlfn.LET(_xlpm.DepreciationMonths,INDEX(FixedAssets[Depreciation
/ Amortization Months],_xlfn.XMATCH($E$237,FixedAssets[Asset ID])),IF(AND((_xlfn.XMATCH(CA$8,$AH$8:$CC$8))-_xlfn.XMATCH($C265,$C$35:$C$82)+1&lt;=_xlpm.DepreciationMonths,$C265&lt;=CA$8),$E265/_xlpm.DepreciationMonths,0))</f>
        <v>0</v>
      </c>
      <c r="CB265" s="507" cm="1">
        <f t="array" ref="CB265">_xlfn.LET(_xlpm.DepreciationMonths,INDEX(FixedAssets[Depreciation
/ Amortization Months],_xlfn.XMATCH($E$237,FixedAssets[Asset ID])),IF(AND((_xlfn.XMATCH(CB$8,$AH$8:$CC$8))-_xlfn.XMATCH($C265,$C$35:$C$82)+1&lt;=_xlpm.DepreciationMonths,$C265&lt;=CB$8),$E265/_xlpm.DepreciationMonths,0))</f>
        <v>0</v>
      </c>
      <c r="CC265" s="507" cm="1">
        <f t="array" ref="CC265">_xlfn.LET(_xlpm.DepreciationMonths,INDEX(FixedAssets[Depreciation
/ Amortization Months],_xlfn.XMATCH($E$237,FixedAssets[Asset ID])),IF(AND((_xlfn.XMATCH(CC$8,$AH$8:$CC$8))-_xlfn.XMATCH($C265,$C$35:$C$82)+1&lt;=_xlpm.DepreciationMonths,$C265&lt;=CC$8),$E265/_xlpm.DepreciationMonths,0))</f>
        <v>0</v>
      </c>
    </row>
    <row r="266" spans="3:81" hidden="1" outlineLevel="2">
      <c r="C266" s="664">
        <f t="shared" si="267"/>
        <v>45777</v>
      </c>
      <c r="D266" s="508"/>
      <c r="E266" s="508" cm="1">
        <f t="array" ref="E266">SUMPRODUCT(($AH$26:$CC$31)*($AH$5:$CC$5=$C266)*($E$26:$E$31=E$237))-SUMPRODUCT(($AH$26:$CC$31)*($AH$5:$CC$5=EOMONTH($C266,-1))*($E$26:$E$31=E$237))</f>
        <v>0</v>
      </c>
      <c r="F266" s="508"/>
      <c r="G266" s="508"/>
      <c r="H266" s="508"/>
      <c r="I266" s="508"/>
      <c r="J266" s="504">
        <f t="shared" si="265"/>
        <v>0</v>
      </c>
      <c r="K266" s="504">
        <f t="shared" si="265"/>
        <v>0</v>
      </c>
      <c r="L266" s="504">
        <f t="shared" si="265"/>
        <v>0</v>
      </c>
      <c r="M266" s="504">
        <f t="shared" si="265"/>
        <v>0</v>
      </c>
      <c r="N266" s="504"/>
      <c r="O266" s="504"/>
      <c r="P266" s="504">
        <f t="shared" si="269"/>
        <v>0</v>
      </c>
      <c r="Q266" s="504">
        <f t="shared" si="269"/>
        <v>0</v>
      </c>
      <c r="R266" s="504">
        <f t="shared" si="269"/>
        <v>0</v>
      </c>
      <c r="S266" s="504">
        <f t="shared" si="269"/>
        <v>0</v>
      </c>
      <c r="T266" s="504">
        <f t="shared" si="269"/>
        <v>0</v>
      </c>
      <c r="U266" s="504">
        <f t="shared" si="269"/>
        <v>0</v>
      </c>
      <c r="V266" s="504">
        <f t="shared" si="269"/>
        <v>0</v>
      </c>
      <c r="W266" s="504">
        <f t="shared" si="269"/>
        <v>0</v>
      </c>
      <c r="X266" s="504">
        <f t="shared" si="269"/>
        <v>0</v>
      </c>
      <c r="Y266" s="504">
        <f t="shared" si="269"/>
        <v>0</v>
      </c>
      <c r="Z266" s="504">
        <f t="shared" si="269"/>
        <v>0</v>
      </c>
      <c r="AA266" s="504">
        <f t="shared" si="269"/>
        <v>0</v>
      </c>
      <c r="AB266" s="504">
        <f t="shared" si="269"/>
        <v>0</v>
      </c>
      <c r="AC266" s="504">
        <f t="shared" si="269"/>
        <v>0</v>
      </c>
      <c r="AD266" s="504">
        <f t="shared" si="269"/>
        <v>0</v>
      </c>
      <c r="AE266" s="504">
        <f t="shared" si="269"/>
        <v>0</v>
      </c>
      <c r="AF266" s="508"/>
      <c r="AG266" s="508"/>
      <c r="AH266" s="507" cm="1">
        <f t="array" ref="AH266">_xlfn.LET(_xlpm.DepreciationMonths,INDEX(FixedAssets[Depreciation
/ Amortization Months],_xlfn.XMATCH($E$237,FixedAssets[Asset ID])),IF(AND((_xlfn.XMATCH(AH$8,$AH$8:$CC$8))-_xlfn.XMATCH($C266,$C$35:$C$82)+1&lt;=_xlpm.DepreciationMonths,$C266&lt;=AH$8),$E266/_xlpm.DepreciationMonths,0))</f>
        <v>0</v>
      </c>
      <c r="AI266" s="507" cm="1">
        <f t="array" ref="AI266">_xlfn.LET(_xlpm.DepreciationMonths,INDEX(FixedAssets[Depreciation
/ Amortization Months],_xlfn.XMATCH($E$237,FixedAssets[Asset ID])),IF(AND((_xlfn.XMATCH(AI$8,$AH$8:$CC$8))-_xlfn.XMATCH($C266,$C$35:$C$82)+1&lt;=_xlpm.DepreciationMonths,$C266&lt;=AI$8),$E266/_xlpm.DepreciationMonths,0))</f>
        <v>0</v>
      </c>
      <c r="AJ266" s="507" cm="1">
        <f t="array" ref="AJ266">_xlfn.LET(_xlpm.DepreciationMonths,INDEX(FixedAssets[Depreciation
/ Amortization Months],_xlfn.XMATCH($E$237,FixedAssets[Asset ID])),IF(AND((_xlfn.XMATCH(AJ$8,$AH$8:$CC$8))-_xlfn.XMATCH($C266,$C$35:$C$82)+1&lt;=_xlpm.DepreciationMonths,$C266&lt;=AJ$8),$E266/_xlpm.DepreciationMonths,0))</f>
        <v>0</v>
      </c>
      <c r="AK266" s="507" cm="1">
        <f t="array" ref="AK266">_xlfn.LET(_xlpm.DepreciationMonths,INDEX(FixedAssets[Depreciation
/ Amortization Months],_xlfn.XMATCH($E$237,FixedAssets[Asset ID])),IF(AND((_xlfn.XMATCH(AK$8,$AH$8:$CC$8))-_xlfn.XMATCH($C266,$C$35:$C$82)+1&lt;=_xlpm.DepreciationMonths,$C266&lt;=AK$8),$E266/_xlpm.DepreciationMonths,0))</f>
        <v>0</v>
      </c>
      <c r="AL266" s="507" cm="1">
        <f t="array" ref="AL266">_xlfn.LET(_xlpm.DepreciationMonths,INDEX(FixedAssets[Depreciation
/ Amortization Months],_xlfn.XMATCH($E$237,FixedAssets[Asset ID])),IF(AND((_xlfn.XMATCH(AL$8,$AH$8:$CC$8))-_xlfn.XMATCH($C266,$C$35:$C$82)+1&lt;=_xlpm.DepreciationMonths,$C266&lt;=AL$8),$E266/_xlpm.DepreciationMonths,0))</f>
        <v>0</v>
      </c>
      <c r="AM266" s="507" cm="1">
        <f t="array" ref="AM266">_xlfn.LET(_xlpm.DepreciationMonths,INDEX(FixedAssets[Depreciation
/ Amortization Months],_xlfn.XMATCH($E$237,FixedAssets[Asset ID])),IF(AND((_xlfn.XMATCH(AM$8,$AH$8:$CC$8))-_xlfn.XMATCH($C266,$C$35:$C$82)+1&lt;=_xlpm.DepreciationMonths,$C266&lt;=AM$8),$E266/_xlpm.DepreciationMonths,0))</f>
        <v>0</v>
      </c>
      <c r="AN266" s="507" cm="1">
        <f t="array" ref="AN266">_xlfn.LET(_xlpm.DepreciationMonths,INDEX(FixedAssets[Depreciation
/ Amortization Months],_xlfn.XMATCH($E$237,FixedAssets[Asset ID])),IF(AND((_xlfn.XMATCH(AN$8,$AH$8:$CC$8))-_xlfn.XMATCH($C266,$C$35:$C$82)+1&lt;=_xlpm.DepreciationMonths,$C266&lt;=AN$8),$E266/_xlpm.DepreciationMonths,0))</f>
        <v>0</v>
      </c>
      <c r="AO266" s="507" cm="1">
        <f t="array" ref="AO266">_xlfn.LET(_xlpm.DepreciationMonths,INDEX(FixedAssets[Depreciation
/ Amortization Months],_xlfn.XMATCH($E$237,FixedAssets[Asset ID])),IF(AND((_xlfn.XMATCH(AO$8,$AH$8:$CC$8))-_xlfn.XMATCH($C266,$C$35:$C$82)+1&lt;=_xlpm.DepreciationMonths,$C266&lt;=AO$8),$E266/_xlpm.DepreciationMonths,0))</f>
        <v>0</v>
      </c>
      <c r="AP266" s="507" cm="1">
        <f t="array" ref="AP266">_xlfn.LET(_xlpm.DepreciationMonths,INDEX(FixedAssets[Depreciation
/ Amortization Months],_xlfn.XMATCH($E$237,FixedAssets[Asset ID])),IF(AND((_xlfn.XMATCH(AP$8,$AH$8:$CC$8))-_xlfn.XMATCH($C266,$C$35:$C$82)+1&lt;=_xlpm.DepreciationMonths,$C266&lt;=AP$8),$E266/_xlpm.DepreciationMonths,0))</f>
        <v>0</v>
      </c>
      <c r="AQ266" s="507" cm="1">
        <f t="array" ref="AQ266">_xlfn.LET(_xlpm.DepreciationMonths,INDEX(FixedAssets[Depreciation
/ Amortization Months],_xlfn.XMATCH($E$237,FixedAssets[Asset ID])),IF(AND((_xlfn.XMATCH(AQ$8,$AH$8:$CC$8))-_xlfn.XMATCH($C266,$C$35:$C$82)+1&lt;=_xlpm.DepreciationMonths,$C266&lt;=AQ$8),$E266/_xlpm.DepreciationMonths,0))</f>
        <v>0</v>
      </c>
      <c r="AR266" s="507" cm="1">
        <f t="array" ref="AR266">_xlfn.LET(_xlpm.DepreciationMonths,INDEX(FixedAssets[Depreciation
/ Amortization Months],_xlfn.XMATCH($E$237,FixedAssets[Asset ID])),IF(AND((_xlfn.XMATCH(AR$8,$AH$8:$CC$8))-_xlfn.XMATCH($C266,$C$35:$C$82)+1&lt;=_xlpm.DepreciationMonths,$C266&lt;=AR$8),$E266/_xlpm.DepreciationMonths,0))</f>
        <v>0</v>
      </c>
      <c r="AS266" s="507" cm="1">
        <f t="array" ref="AS266">_xlfn.LET(_xlpm.DepreciationMonths,INDEX(FixedAssets[Depreciation
/ Amortization Months],_xlfn.XMATCH($E$237,FixedAssets[Asset ID])),IF(AND((_xlfn.XMATCH(AS$8,$AH$8:$CC$8))-_xlfn.XMATCH($C266,$C$35:$C$82)+1&lt;=_xlpm.DepreciationMonths,$C266&lt;=AS$8),$E266/_xlpm.DepreciationMonths,0))</f>
        <v>0</v>
      </c>
      <c r="AT266" s="507" cm="1">
        <f t="array" ref="AT266">_xlfn.LET(_xlpm.DepreciationMonths,INDEX(FixedAssets[Depreciation
/ Amortization Months],_xlfn.XMATCH($E$237,FixedAssets[Asset ID])),IF(AND((_xlfn.XMATCH(AT$8,$AH$8:$CC$8))-_xlfn.XMATCH($C266,$C$35:$C$82)+1&lt;=_xlpm.DepreciationMonths,$C266&lt;=AT$8),$E266/_xlpm.DepreciationMonths,0))</f>
        <v>0</v>
      </c>
      <c r="AU266" s="507" cm="1">
        <f t="array" ref="AU266">_xlfn.LET(_xlpm.DepreciationMonths,INDEX(FixedAssets[Depreciation
/ Amortization Months],_xlfn.XMATCH($E$237,FixedAssets[Asset ID])),IF(AND((_xlfn.XMATCH(AU$8,$AH$8:$CC$8))-_xlfn.XMATCH($C266,$C$35:$C$82)+1&lt;=_xlpm.DepreciationMonths,$C266&lt;=AU$8),$E266/_xlpm.DepreciationMonths,0))</f>
        <v>0</v>
      </c>
      <c r="AV266" s="507" cm="1">
        <f t="array" ref="AV266">_xlfn.LET(_xlpm.DepreciationMonths,INDEX(FixedAssets[Depreciation
/ Amortization Months],_xlfn.XMATCH($E$237,FixedAssets[Asset ID])),IF(AND((_xlfn.XMATCH(AV$8,$AH$8:$CC$8))-_xlfn.XMATCH($C266,$C$35:$C$82)+1&lt;=_xlpm.DepreciationMonths,$C266&lt;=AV$8),$E266/_xlpm.DepreciationMonths,0))</f>
        <v>0</v>
      </c>
      <c r="AW266" s="507" cm="1">
        <f t="array" ref="AW266">_xlfn.LET(_xlpm.DepreciationMonths,INDEX(FixedAssets[Depreciation
/ Amortization Months],_xlfn.XMATCH($E$237,FixedAssets[Asset ID])),IF(AND((_xlfn.XMATCH(AW$8,$AH$8:$CC$8))-_xlfn.XMATCH($C266,$C$35:$C$82)+1&lt;=_xlpm.DepreciationMonths,$C266&lt;=AW$8),$E266/_xlpm.DepreciationMonths,0))</f>
        <v>0</v>
      </c>
      <c r="AX266" s="507" cm="1">
        <f t="array" ref="AX266">_xlfn.LET(_xlpm.DepreciationMonths,INDEX(FixedAssets[Depreciation
/ Amortization Months],_xlfn.XMATCH($E$237,FixedAssets[Asset ID])),IF(AND((_xlfn.XMATCH(AX$8,$AH$8:$CC$8))-_xlfn.XMATCH($C266,$C$35:$C$82)+1&lt;=_xlpm.DepreciationMonths,$C266&lt;=AX$8),$E266/_xlpm.DepreciationMonths,0))</f>
        <v>0</v>
      </c>
      <c r="AY266" s="507" cm="1">
        <f t="array" ref="AY266">_xlfn.LET(_xlpm.DepreciationMonths,INDEX(FixedAssets[Depreciation
/ Amortization Months],_xlfn.XMATCH($E$237,FixedAssets[Asset ID])),IF(AND((_xlfn.XMATCH(AY$8,$AH$8:$CC$8))-_xlfn.XMATCH($C266,$C$35:$C$82)+1&lt;=_xlpm.DepreciationMonths,$C266&lt;=AY$8),$E266/_xlpm.DepreciationMonths,0))</f>
        <v>0</v>
      </c>
      <c r="AZ266" s="507" cm="1">
        <f t="array" ref="AZ266">_xlfn.LET(_xlpm.DepreciationMonths,INDEX(FixedAssets[Depreciation
/ Amortization Months],_xlfn.XMATCH($E$237,FixedAssets[Asset ID])),IF(AND((_xlfn.XMATCH(AZ$8,$AH$8:$CC$8))-_xlfn.XMATCH($C266,$C$35:$C$82)+1&lt;=_xlpm.DepreciationMonths,$C266&lt;=AZ$8),$E266/_xlpm.DepreciationMonths,0))</f>
        <v>0</v>
      </c>
      <c r="BA266" s="507" cm="1">
        <f t="array" ref="BA266">_xlfn.LET(_xlpm.DepreciationMonths,INDEX(FixedAssets[Depreciation
/ Amortization Months],_xlfn.XMATCH($E$237,FixedAssets[Asset ID])),IF(AND((_xlfn.XMATCH(BA$8,$AH$8:$CC$8))-_xlfn.XMATCH($C266,$C$35:$C$82)+1&lt;=_xlpm.DepreciationMonths,$C266&lt;=BA$8),$E266/_xlpm.DepreciationMonths,0))</f>
        <v>0</v>
      </c>
      <c r="BB266" s="507" cm="1">
        <f t="array" ref="BB266">_xlfn.LET(_xlpm.DepreciationMonths,INDEX(FixedAssets[Depreciation
/ Amortization Months],_xlfn.XMATCH($E$237,FixedAssets[Asset ID])),IF(AND((_xlfn.XMATCH(BB$8,$AH$8:$CC$8))-_xlfn.XMATCH($C266,$C$35:$C$82)+1&lt;=_xlpm.DepreciationMonths,$C266&lt;=BB$8),$E266/_xlpm.DepreciationMonths,0))</f>
        <v>0</v>
      </c>
      <c r="BC266" s="507" cm="1">
        <f t="array" ref="BC266">_xlfn.LET(_xlpm.DepreciationMonths,INDEX(FixedAssets[Depreciation
/ Amortization Months],_xlfn.XMATCH($E$237,FixedAssets[Asset ID])),IF(AND((_xlfn.XMATCH(BC$8,$AH$8:$CC$8))-_xlfn.XMATCH($C266,$C$35:$C$82)+1&lt;=_xlpm.DepreciationMonths,$C266&lt;=BC$8),$E266/_xlpm.DepreciationMonths,0))</f>
        <v>0</v>
      </c>
      <c r="BD266" s="507" cm="1">
        <f t="array" ref="BD266">_xlfn.LET(_xlpm.DepreciationMonths,INDEX(FixedAssets[Depreciation
/ Amortization Months],_xlfn.XMATCH($E$237,FixedAssets[Asset ID])),IF(AND((_xlfn.XMATCH(BD$8,$AH$8:$CC$8))-_xlfn.XMATCH($C266,$C$35:$C$82)+1&lt;=_xlpm.DepreciationMonths,$C266&lt;=BD$8),$E266/_xlpm.DepreciationMonths,0))</f>
        <v>0</v>
      </c>
      <c r="BE266" s="507" cm="1">
        <f t="array" ref="BE266">_xlfn.LET(_xlpm.DepreciationMonths,INDEX(FixedAssets[Depreciation
/ Amortization Months],_xlfn.XMATCH($E$237,FixedAssets[Asset ID])),IF(AND((_xlfn.XMATCH(BE$8,$AH$8:$CC$8))-_xlfn.XMATCH($C266,$C$35:$C$82)+1&lt;=_xlpm.DepreciationMonths,$C266&lt;=BE$8),$E266/_xlpm.DepreciationMonths,0))</f>
        <v>0</v>
      </c>
      <c r="BF266" s="507" cm="1">
        <f t="array" ref="BF266">_xlfn.LET(_xlpm.DepreciationMonths,INDEX(FixedAssets[Depreciation
/ Amortization Months],_xlfn.XMATCH($E$237,FixedAssets[Asset ID])),IF(AND((_xlfn.XMATCH(BF$8,$AH$8:$CC$8))-_xlfn.XMATCH($C266,$C$35:$C$82)+1&lt;=_xlpm.DepreciationMonths,$C266&lt;=BF$8),$E266/_xlpm.DepreciationMonths,0))</f>
        <v>0</v>
      </c>
      <c r="BG266" s="507" cm="1">
        <f t="array" ref="BG266">_xlfn.LET(_xlpm.DepreciationMonths,INDEX(FixedAssets[Depreciation
/ Amortization Months],_xlfn.XMATCH($E$237,FixedAssets[Asset ID])),IF(AND((_xlfn.XMATCH(BG$8,$AH$8:$CC$8))-_xlfn.XMATCH($C266,$C$35:$C$82)+1&lt;=_xlpm.DepreciationMonths,$C266&lt;=BG$8),$E266/_xlpm.DepreciationMonths,0))</f>
        <v>0</v>
      </c>
      <c r="BH266" s="507" cm="1">
        <f t="array" ref="BH266">_xlfn.LET(_xlpm.DepreciationMonths,INDEX(FixedAssets[Depreciation
/ Amortization Months],_xlfn.XMATCH($E$237,FixedAssets[Asset ID])),IF(AND((_xlfn.XMATCH(BH$8,$AH$8:$CC$8))-_xlfn.XMATCH($C266,$C$35:$C$82)+1&lt;=_xlpm.DepreciationMonths,$C266&lt;=BH$8),$E266/_xlpm.DepreciationMonths,0))</f>
        <v>0</v>
      </c>
      <c r="BI266" s="507" cm="1">
        <f t="array" ref="BI266">_xlfn.LET(_xlpm.DepreciationMonths,INDEX(FixedAssets[Depreciation
/ Amortization Months],_xlfn.XMATCH($E$237,FixedAssets[Asset ID])),IF(AND((_xlfn.XMATCH(BI$8,$AH$8:$CC$8))-_xlfn.XMATCH($C266,$C$35:$C$82)+1&lt;=_xlpm.DepreciationMonths,$C266&lt;=BI$8),$E266/_xlpm.DepreciationMonths,0))</f>
        <v>0</v>
      </c>
      <c r="BJ266" s="507" cm="1">
        <f t="array" ref="BJ266">_xlfn.LET(_xlpm.DepreciationMonths,INDEX(FixedAssets[Depreciation
/ Amortization Months],_xlfn.XMATCH($E$237,FixedAssets[Asset ID])),IF(AND((_xlfn.XMATCH(BJ$8,$AH$8:$CC$8))-_xlfn.XMATCH($C266,$C$35:$C$82)+1&lt;=_xlpm.DepreciationMonths,$C266&lt;=BJ$8),$E266/_xlpm.DepreciationMonths,0))</f>
        <v>0</v>
      </c>
      <c r="BK266" s="507" cm="1">
        <f t="array" ref="BK266">_xlfn.LET(_xlpm.DepreciationMonths,INDEX(FixedAssets[Depreciation
/ Amortization Months],_xlfn.XMATCH($E$237,FixedAssets[Asset ID])),IF(AND((_xlfn.XMATCH(BK$8,$AH$8:$CC$8))-_xlfn.XMATCH($C266,$C$35:$C$82)+1&lt;=_xlpm.DepreciationMonths,$C266&lt;=BK$8),$E266/_xlpm.DepreciationMonths,0))</f>
        <v>0</v>
      </c>
      <c r="BL266" s="507" cm="1">
        <f t="array" ref="BL266">_xlfn.LET(_xlpm.DepreciationMonths,INDEX(FixedAssets[Depreciation
/ Amortization Months],_xlfn.XMATCH($E$237,FixedAssets[Asset ID])),IF(AND((_xlfn.XMATCH(BL$8,$AH$8:$CC$8))-_xlfn.XMATCH($C266,$C$35:$C$82)+1&lt;=_xlpm.DepreciationMonths,$C266&lt;=BL$8),$E266/_xlpm.DepreciationMonths,0))</f>
        <v>0</v>
      </c>
      <c r="BM266" s="507" cm="1">
        <f t="array" ref="BM266">_xlfn.LET(_xlpm.DepreciationMonths,INDEX(FixedAssets[Depreciation
/ Amortization Months],_xlfn.XMATCH($E$237,FixedAssets[Asset ID])),IF(AND((_xlfn.XMATCH(BM$8,$AH$8:$CC$8))-_xlfn.XMATCH($C266,$C$35:$C$82)+1&lt;=_xlpm.DepreciationMonths,$C266&lt;=BM$8),$E266/_xlpm.DepreciationMonths,0))</f>
        <v>0</v>
      </c>
      <c r="BN266" s="507" cm="1">
        <f t="array" ref="BN266">_xlfn.LET(_xlpm.DepreciationMonths,INDEX(FixedAssets[Depreciation
/ Amortization Months],_xlfn.XMATCH($E$237,FixedAssets[Asset ID])),IF(AND((_xlfn.XMATCH(BN$8,$AH$8:$CC$8))-_xlfn.XMATCH($C266,$C$35:$C$82)+1&lt;=_xlpm.DepreciationMonths,$C266&lt;=BN$8),$E266/_xlpm.DepreciationMonths,0))</f>
        <v>0</v>
      </c>
      <c r="BO266" s="507" cm="1">
        <f t="array" ref="BO266">_xlfn.LET(_xlpm.DepreciationMonths,INDEX(FixedAssets[Depreciation
/ Amortization Months],_xlfn.XMATCH($E$237,FixedAssets[Asset ID])),IF(AND((_xlfn.XMATCH(BO$8,$AH$8:$CC$8))-_xlfn.XMATCH($C266,$C$35:$C$82)+1&lt;=_xlpm.DepreciationMonths,$C266&lt;=BO$8),$E266/_xlpm.DepreciationMonths,0))</f>
        <v>0</v>
      </c>
      <c r="BP266" s="507" cm="1">
        <f t="array" ref="BP266">_xlfn.LET(_xlpm.DepreciationMonths,INDEX(FixedAssets[Depreciation
/ Amortization Months],_xlfn.XMATCH($E$237,FixedAssets[Asset ID])),IF(AND((_xlfn.XMATCH(BP$8,$AH$8:$CC$8))-_xlfn.XMATCH($C266,$C$35:$C$82)+1&lt;=_xlpm.DepreciationMonths,$C266&lt;=BP$8),$E266/_xlpm.DepreciationMonths,0))</f>
        <v>0</v>
      </c>
      <c r="BQ266" s="507" cm="1">
        <f t="array" ref="BQ266">_xlfn.LET(_xlpm.DepreciationMonths,INDEX(FixedAssets[Depreciation
/ Amortization Months],_xlfn.XMATCH($E$237,FixedAssets[Asset ID])),IF(AND((_xlfn.XMATCH(BQ$8,$AH$8:$CC$8))-_xlfn.XMATCH($C266,$C$35:$C$82)+1&lt;=_xlpm.DepreciationMonths,$C266&lt;=BQ$8),$E266/_xlpm.DepreciationMonths,0))</f>
        <v>0</v>
      </c>
      <c r="BR266" s="507" cm="1">
        <f t="array" ref="BR266">_xlfn.LET(_xlpm.DepreciationMonths,INDEX(FixedAssets[Depreciation
/ Amortization Months],_xlfn.XMATCH($E$237,FixedAssets[Asset ID])),IF(AND((_xlfn.XMATCH(BR$8,$AH$8:$CC$8))-_xlfn.XMATCH($C266,$C$35:$C$82)+1&lt;=_xlpm.DepreciationMonths,$C266&lt;=BR$8),$E266/_xlpm.DepreciationMonths,0))</f>
        <v>0</v>
      </c>
      <c r="BS266" s="507" cm="1">
        <f t="array" ref="BS266">_xlfn.LET(_xlpm.DepreciationMonths,INDEX(FixedAssets[Depreciation
/ Amortization Months],_xlfn.XMATCH($E$237,FixedAssets[Asset ID])),IF(AND((_xlfn.XMATCH(BS$8,$AH$8:$CC$8))-_xlfn.XMATCH($C266,$C$35:$C$82)+1&lt;=_xlpm.DepreciationMonths,$C266&lt;=BS$8),$E266/_xlpm.DepreciationMonths,0))</f>
        <v>0</v>
      </c>
      <c r="BT266" s="507" cm="1">
        <f t="array" ref="BT266">_xlfn.LET(_xlpm.DepreciationMonths,INDEX(FixedAssets[Depreciation
/ Amortization Months],_xlfn.XMATCH($E$237,FixedAssets[Asset ID])),IF(AND((_xlfn.XMATCH(BT$8,$AH$8:$CC$8))-_xlfn.XMATCH($C266,$C$35:$C$82)+1&lt;=_xlpm.DepreciationMonths,$C266&lt;=BT$8),$E266/_xlpm.DepreciationMonths,0))</f>
        <v>0</v>
      </c>
      <c r="BU266" s="507" cm="1">
        <f t="array" ref="BU266">_xlfn.LET(_xlpm.DepreciationMonths,INDEX(FixedAssets[Depreciation
/ Amortization Months],_xlfn.XMATCH($E$237,FixedAssets[Asset ID])),IF(AND((_xlfn.XMATCH(BU$8,$AH$8:$CC$8))-_xlfn.XMATCH($C266,$C$35:$C$82)+1&lt;=_xlpm.DepreciationMonths,$C266&lt;=BU$8),$E266/_xlpm.DepreciationMonths,0))</f>
        <v>0</v>
      </c>
      <c r="BV266" s="507" cm="1">
        <f t="array" ref="BV266">_xlfn.LET(_xlpm.DepreciationMonths,INDEX(FixedAssets[Depreciation
/ Amortization Months],_xlfn.XMATCH($E$237,FixedAssets[Asset ID])),IF(AND((_xlfn.XMATCH(BV$8,$AH$8:$CC$8))-_xlfn.XMATCH($C266,$C$35:$C$82)+1&lt;=_xlpm.DepreciationMonths,$C266&lt;=BV$8),$E266/_xlpm.DepreciationMonths,0))</f>
        <v>0</v>
      </c>
      <c r="BW266" s="507" cm="1">
        <f t="array" ref="BW266">_xlfn.LET(_xlpm.DepreciationMonths,INDEX(FixedAssets[Depreciation
/ Amortization Months],_xlfn.XMATCH($E$237,FixedAssets[Asset ID])),IF(AND((_xlfn.XMATCH(BW$8,$AH$8:$CC$8))-_xlfn.XMATCH($C266,$C$35:$C$82)+1&lt;=_xlpm.DepreciationMonths,$C266&lt;=BW$8),$E266/_xlpm.DepreciationMonths,0))</f>
        <v>0</v>
      </c>
      <c r="BX266" s="507" cm="1">
        <f t="array" ref="BX266">_xlfn.LET(_xlpm.DepreciationMonths,INDEX(FixedAssets[Depreciation
/ Amortization Months],_xlfn.XMATCH($E$237,FixedAssets[Asset ID])),IF(AND((_xlfn.XMATCH(BX$8,$AH$8:$CC$8))-_xlfn.XMATCH($C266,$C$35:$C$82)+1&lt;=_xlpm.DepreciationMonths,$C266&lt;=BX$8),$E266/_xlpm.DepreciationMonths,0))</f>
        <v>0</v>
      </c>
      <c r="BY266" s="507" cm="1">
        <f t="array" ref="BY266">_xlfn.LET(_xlpm.DepreciationMonths,INDEX(FixedAssets[Depreciation
/ Amortization Months],_xlfn.XMATCH($E$237,FixedAssets[Asset ID])),IF(AND((_xlfn.XMATCH(BY$8,$AH$8:$CC$8))-_xlfn.XMATCH($C266,$C$35:$C$82)+1&lt;=_xlpm.DepreciationMonths,$C266&lt;=BY$8),$E266/_xlpm.DepreciationMonths,0))</f>
        <v>0</v>
      </c>
      <c r="BZ266" s="507" cm="1">
        <f t="array" ref="BZ266">_xlfn.LET(_xlpm.DepreciationMonths,INDEX(FixedAssets[Depreciation
/ Amortization Months],_xlfn.XMATCH($E$237,FixedAssets[Asset ID])),IF(AND((_xlfn.XMATCH(BZ$8,$AH$8:$CC$8))-_xlfn.XMATCH($C266,$C$35:$C$82)+1&lt;=_xlpm.DepreciationMonths,$C266&lt;=BZ$8),$E266/_xlpm.DepreciationMonths,0))</f>
        <v>0</v>
      </c>
      <c r="CA266" s="507" cm="1">
        <f t="array" ref="CA266">_xlfn.LET(_xlpm.DepreciationMonths,INDEX(FixedAssets[Depreciation
/ Amortization Months],_xlfn.XMATCH($E$237,FixedAssets[Asset ID])),IF(AND((_xlfn.XMATCH(CA$8,$AH$8:$CC$8))-_xlfn.XMATCH($C266,$C$35:$C$82)+1&lt;=_xlpm.DepreciationMonths,$C266&lt;=CA$8),$E266/_xlpm.DepreciationMonths,0))</f>
        <v>0</v>
      </c>
      <c r="CB266" s="507" cm="1">
        <f t="array" ref="CB266">_xlfn.LET(_xlpm.DepreciationMonths,INDEX(FixedAssets[Depreciation
/ Amortization Months],_xlfn.XMATCH($E$237,FixedAssets[Asset ID])),IF(AND((_xlfn.XMATCH(CB$8,$AH$8:$CC$8))-_xlfn.XMATCH($C266,$C$35:$C$82)+1&lt;=_xlpm.DepreciationMonths,$C266&lt;=CB$8),$E266/_xlpm.DepreciationMonths,0))</f>
        <v>0</v>
      </c>
      <c r="CC266" s="507" cm="1">
        <f t="array" ref="CC266">_xlfn.LET(_xlpm.DepreciationMonths,INDEX(FixedAssets[Depreciation
/ Amortization Months],_xlfn.XMATCH($E$237,FixedAssets[Asset ID])),IF(AND((_xlfn.XMATCH(CC$8,$AH$8:$CC$8))-_xlfn.XMATCH($C266,$C$35:$C$82)+1&lt;=_xlpm.DepreciationMonths,$C266&lt;=CC$8),$E266/_xlpm.DepreciationMonths,0))</f>
        <v>0</v>
      </c>
    </row>
    <row r="267" spans="3:81" hidden="1" outlineLevel="2">
      <c r="C267" s="664">
        <f t="shared" si="267"/>
        <v>45808</v>
      </c>
      <c r="D267" s="508"/>
      <c r="E267" s="508" cm="1">
        <f t="array" ref="E267">SUMPRODUCT(($AH$26:$CC$31)*($AH$5:$CC$5=$C267)*($E$26:$E$31=E$237))-SUMPRODUCT(($AH$26:$CC$31)*($AH$5:$CC$5=EOMONTH($C267,-1))*($E$26:$E$31=E$237))</f>
        <v>0</v>
      </c>
      <c r="F267" s="508"/>
      <c r="G267" s="508"/>
      <c r="H267" s="508"/>
      <c r="I267" s="508"/>
      <c r="J267" s="504">
        <f t="shared" si="265"/>
        <v>0</v>
      </c>
      <c r="K267" s="504">
        <f t="shared" si="265"/>
        <v>0</v>
      </c>
      <c r="L267" s="504">
        <f t="shared" si="265"/>
        <v>0</v>
      </c>
      <c r="M267" s="504">
        <f t="shared" si="265"/>
        <v>0</v>
      </c>
      <c r="N267" s="504"/>
      <c r="O267" s="504"/>
      <c r="P267" s="504">
        <f t="shared" si="269"/>
        <v>0</v>
      </c>
      <c r="Q267" s="504">
        <f t="shared" si="269"/>
        <v>0</v>
      </c>
      <c r="R267" s="504">
        <f t="shared" si="269"/>
        <v>0</v>
      </c>
      <c r="S267" s="504">
        <f t="shared" si="269"/>
        <v>0</v>
      </c>
      <c r="T267" s="504">
        <f t="shared" si="269"/>
        <v>0</v>
      </c>
      <c r="U267" s="504">
        <f t="shared" si="269"/>
        <v>0</v>
      </c>
      <c r="V267" s="504">
        <f t="shared" si="269"/>
        <v>0</v>
      </c>
      <c r="W267" s="504">
        <f t="shared" si="269"/>
        <v>0</v>
      </c>
      <c r="X267" s="504">
        <f t="shared" si="269"/>
        <v>0</v>
      </c>
      <c r="Y267" s="504">
        <f t="shared" si="269"/>
        <v>0</v>
      </c>
      <c r="Z267" s="504">
        <f t="shared" si="269"/>
        <v>0</v>
      </c>
      <c r="AA267" s="504">
        <f t="shared" si="269"/>
        <v>0</v>
      </c>
      <c r="AB267" s="504">
        <f t="shared" si="269"/>
        <v>0</v>
      </c>
      <c r="AC267" s="504">
        <f t="shared" si="269"/>
        <v>0</v>
      </c>
      <c r="AD267" s="504">
        <f t="shared" si="269"/>
        <v>0</v>
      </c>
      <c r="AE267" s="504">
        <f t="shared" si="269"/>
        <v>0</v>
      </c>
      <c r="AF267" s="508"/>
      <c r="AG267" s="508"/>
      <c r="AH267" s="507" cm="1">
        <f t="array" ref="AH267">_xlfn.LET(_xlpm.DepreciationMonths,INDEX(FixedAssets[Depreciation
/ Amortization Months],_xlfn.XMATCH($E$237,FixedAssets[Asset ID])),IF(AND((_xlfn.XMATCH(AH$8,$AH$8:$CC$8))-_xlfn.XMATCH($C267,$C$35:$C$82)+1&lt;=_xlpm.DepreciationMonths,$C267&lt;=AH$8),$E267/_xlpm.DepreciationMonths,0))</f>
        <v>0</v>
      </c>
      <c r="AI267" s="507" cm="1">
        <f t="array" ref="AI267">_xlfn.LET(_xlpm.DepreciationMonths,INDEX(FixedAssets[Depreciation
/ Amortization Months],_xlfn.XMATCH($E$237,FixedAssets[Asset ID])),IF(AND((_xlfn.XMATCH(AI$8,$AH$8:$CC$8))-_xlfn.XMATCH($C267,$C$35:$C$82)+1&lt;=_xlpm.DepreciationMonths,$C267&lt;=AI$8),$E267/_xlpm.DepreciationMonths,0))</f>
        <v>0</v>
      </c>
      <c r="AJ267" s="507" cm="1">
        <f t="array" ref="AJ267">_xlfn.LET(_xlpm.DepreciationMonths,INDEX(FixedAssets[Depreciation
/ Amortization Months],_xlfn.XMATCH($E$237,FixedAssets[Asset ID])),IF(AND((_xlfn.XMATCH(AJ$8,$AH$8:$CC$8))-_xlfn.XMATCH($C267,$C$35:$C$82)+1&lt;=_xlpm.DepreciationMonths,$C267&lt;=AJ$8),$E267/_xlpm.DepreciationMonths,0))</f>
        <v>0</v>
      </c>
      <c r="AK267" s="507" cm="1">
        <f t="array" ref="AK267">_xlfn.LET(_xlpm.DepreciationMonths,INDEX(FixedAssets[Depreciation
/ Amortization Months],_xlfn.XMATCH($E$237,FixedAssets[Asset ID])),IF(AND((_xlfn.XMATCH(AK$8,$AH$8:$CC$8))-_xlfn.XMATCH($C267,$C$35:$C$82)+1&lt;=_xlpm.DepreciationMonths,$C267&lt;=AK$8),$E267/_xlpm.DepreciationMonths,0))</f>
        <v>0</v>
      </c>
      <c r="AL267" s="507" cm="1">
        <f t="array" ref="AL267">_xlfn.LET(_xlpm.DepreciationMonths,INDEX(FixedAssets[Depreciation
/ Amortization Months],_xlfn.XMATCH($E$237,FixedAssets[Asset ID])),IF(AND((_xlfn.XMATCH(AL$8,$AH$8:$CC$8))-_xlfn.XMATCH($C267,$C$35:$C$82)+1&lt;=_xlpm.DepreciationMonths,$C267&lt;=AL$8),$E267/_xlpm.DepreciationMonths,0))</f>
        <v>0</v>
      </c>
      <c r="AM267" s="507" cm="1">
        <f t="array" ref="AM267">_xlfn.LET(_xlpm.DepreciationMonths,INDEX(FixedAssets[Depreciation
/ Amortization Months],_xlfn.XMATCH($E$237,FixedAssets[Asset ID])),IF(AND((_xlfn.XMATCH(AM$8,$AH$8:$CC$8))-_xlfn.XMATCH($C267,$C$35:$C$82)+1&lt;=_xlpm.DepreciationMonths,$C267&lt;=AM$8),$E267/_xlpm.DepreciationMonths,0))</f>
        <v>0</v>
      </c>
      <c r="AN267" s="507" cm="1">
        <f t="array" ref="AN267">_xlfn.LET(_xlpm.DepreciationMonths,INDEX(FixedAssets[Depreciation
/ Amortization Months],_xlfn.XMATCH($E$237,FixedAssets[Asset ID])),IF(AND((_xlfn.XMATCH(AN$8,$AH$8:$CC$8))-_xlfn.XMATCH($C267,$C$35:$C$82)+1&lt;=_xlpm.DepreciationMonths,$C267&lt;=AN$8),$E267/_xlpm.DepreciationMonths,0))</f>
        <v>0</v>
      </c>
      <c r="AO267" s="507" cm="1">
        <f t="array" ref="AO267">_xlfn.LET(_xlpm.DepreciationMonths,INDEX(FixedAssets[Depreciation
/ Amortization Months],_xlfn.XMATCH($E$237,FixedAssets[Asset ID])),IF(AND((_xlfn.XMATCH(AO$8,$AH$8:$CC$8))-_xlfn.XMATCH($C267,$C$35:$C$82)+1&lt;=_xlpm.DepreciationMonths,$C267&lt;=AO$8),$E267/_xlpm.DepreciationMonths,0))</f>
        <v>0</v>
      </c>
      <c r="AP267" s="507" cm="1">
        <f t="array" ref="AP267">_xlfn.LET(_xlpm.DepreciationMonths,INDEX(FixedAssets[Depreciation
/ Amortization Months],_xlfn.XMATCH($E$237,FixedAssets[Asset ID])),IF(AND((_xlfn.XMATCH(AP$8,$AH$8:$CC$8))-_xlfn.XMATCH($C267,$C$35:$C$82)+1&lt;=_xlpm.DepreciationMonths,$C267&lt;=AP$8),$E267/_xlpm.DepreciationMonths,0))</f>
        <v>0</v>
      </c>
      <c r="AQ267" s="507" cm="1">
        <f t="array" ref="AQ267">_xlfn.LET(_xlpm.DepreciationMonths,INDEX(FixedAssets[Depreciation
/ Amortization Months],_xlfn.XMATCH($E$237,FixedAssets[Asset ID])),IF(AND((_xlfn.XMATCH(AQ$8,$AH$8:$CC$8))-_xlfn.XMATCH($C267,$C$35:$C$82)+1&lt;=_xlpm.DepreciationMonths,$C267&lt;=AQ$8),$E267/_xlpm.DepreciationMonths,0))</f>
        <v>0</v>
      </c>
      <c r="AR267" s="507" cm="1">
        <f t="array" ref="AR267">_xlfn.LET(_xlpm.DepreciationMonths,INDEX(FixedAssets[Depreciation
/ Amortization Months],_xlfn.XMATCH($E$237,FixedAssets[Asset ID])),IF(AND((_xlfn.XMATCH(AR$8,$AH$8:$CC$8))-_xlfn.XMATCH($C267,$C$35:$C$82)+1&lt;=_xlpm.DepreciationMonths,$C267&lt;=AR$8),$E267/_xlpm.DepreciationMonths,0))</f>
        <v>0</v>
      </c>
      <c r="AS267" s="507" cm="1">
        <f t="array" ref="AS267">_xlfn.LET(_xlpm.DepreciationMonths,INDEX(FixedAssets[Depreciation
/ Amortization Months],_xlfn.XMATCH($E$237,FixedAssets[Asset ID])),IF(AND((_xlfn.XMATCH(AS$8,$AH$8:$CC$8))-_xlfn.XMATCH($C267,$C$35:$C$82)+1&lt;=_xlpm.DepreciationMonths,$C267&lt;=AS$8),$E267/_xlpm.DepreciationMonths,0))</f>
        <v>0</v>
      </c>
      <c r="AT267" s="507" cm="1">
        <f t="array" ref="AT267">_xlfn.LET(_xlpm.DepreciationMonths,INDEX(FixedAssets[Depreciation
/ Amortization Months],_xlfn.XMATCH($E$237,FixedAssets[Asset ID])),IF(AND((_xlfn.XMATCH(AT$8,$AH$8:$CC$8))-_xlfn.XMATCH($C267,$C$35:$C$82)+1&lt;=_xlpm.DepreciationMonths,$C267&lt;=AT$8),$E267/_xlpm.DepreciationMonths,0))</f>
        <v>0</v>
      </c>
      <c r="AU267" s="507" cm="1">
        <f t="array" ref="AU267">_xlfn.LET(_xlpm.DepreciationMonths,INDEX(FixedAssets[Depreciation
/ Amortization Months],_xlfn.XMATCH($E$237,FixedAssets[Asset ID])),IF(AND((_xlfn.XMATCH(AU$8,$AH$8:$CC$8))-_xlfn.XMATCH($C267,$C$35:$C$82)+1&lt;=_xlpm.DepreciationMonths,$C267&lt;=AU$8),$E267/_xlpm.DepreciationMonths,0))</f>
        <v>0</v>
      </c>
      <c r="AV267" s="507" cm="1">
        <f t="array" ref="AV267">_xlfn.LET(_xlpm.DepreciationMonths,INDEX(FixedAssets[Depreciation
/ Amortization Months],_xlfn.XMATCH($E$237,FixedAssets[Asset ID])),IF(AND((_xlfn.XMATCH(AV$8,$AH$8:$CC$8))-_xlfn.XMATCH($C267,$C$35:$C$82)+1&lt;=_xlpm.DepreciationMonths,$C267&lt;=AV$8),$E267/_xlpm.DepreciationMonths,0))</f>
        <v>0</v>
      </c>
      <c r="AW267" s="507" cm="1">
        <f t="array" ref="AW267">_xlfn.LET(_xlpm.DepreciationMonths,INDEX(FixedAssets[Depreciation
/ Amortization Months],_xlfn.XMATCH($E$237,FixedAssets[Asset ID])),IF(AND((_xlfn.XMATCH(AW$8,$AH$8:$CC$8))-_xlfn.XMATCH($C267,$C$35:$C$82)+1&lt;=_xlpm.DepreciationMonths,$C267&lt;=AW$8),$E267/_xlpm.DepreciationMonths,0))</f>
        <v>0</v>
      </c>
      <c r="AX267" s="507" cm="1">
        <f t="array" ref="AX267">_xlfn.LET(_xlpm.DepreciationMonths,INDEX(FixedAssets[Depreciation
/ Amortization Months],_xlfn.XMATCH($E$237,FixedAssets[Asset ID])),IF(AND((_xlfn.XMATCH(AX$8,$AH$8:$CC$8))-_xlfn.XMATCH($C267,$C$35:$C$82)+1&lt;=_xlpm.DepreciationMonths,$C267&lt;=AX$8),$E267/_xlpm.DepreciationMonths,0))</f>
        <v>0</v>
      </c>
      <c r="AY267" s="507" cm="1">
        <f t="array" ref="AY267">_xlfn.LET(_xlpm.DepreciationMonths,INDEX(FixedAssets[Depreciation
/ Amortization Months],_xlfn.XMATCH($E$237,FixedAssets[Asset ID])),IF(AND((_xlfn.XMATCH(AY$8,$AH$8:$CC$8))-_xlfn.XMATCH($C267,$C$35:$C$82)+1&lt;=_xlpm.DepreciationMonths,$C267&lt;=AY$8),$E267/_xlpm.DepreciationMonths,0))</f>
        <v>0</v>
      </c>
      <c r="AZ267" s="507" cm="1">
        <f t="array" ref="AZ267">_xlfn.LET(_xlpm.DepreciationMonths,INDEX(FixedAssets[Depreciation
/ Amortization Months],_xlfn.XMATCH($E$237,FixedAssets[Asset ID])),IF(AND((_xlfn.XMATCH(AZ$8,$AH$8:$CC$8))-_xlfn.XMATCH($C267,$C$35:$C$82)+1&lt;=_xlpm.DepreciationMonths,$C267&lt;=AZ$8),$E267/_xlpm.DepreciationMonths,0))</f>
        <v>0</v>
      </c>
      <c r="BA267" s="507" cm="1">
        <f t="array" ref="BA267">_xlfn.LET(_xlpm.DepreciationMonths,INDEX(FixedAssets[Depreciation
/ Amortization Months],_xlfn.XMATCH($E$237,FixedAssets[Asset ID])),IF(AND((_xlfn.XMATCH(BA$8,$AH$8:$CC$8))-_xlfn.XMATCH($C267,$C$35:$C$82)+1&lt;=_xlpm.DepreciationMonths,$C267&lt;=BA$8),$E267/_xlpm.DepreciationMonths,0))</f>
        <v>0</v>
      </c>
      <c r="BB267" s="507" cm="1">
        <f t="array" ref="BB267">_xlfn.LET(_xlpm.DepreciationMonths,INDEX(FixedAssets[Depreciation
/ Amortization Months],_xlfn.XMATCH($E$237,FixedAssets[Asset ID])),IF(AND((_xlfn.XMATCH(BB$8,$AH$8:$CC$8))-_xlfn.XMATCH($C267,$C$35:$C$82)+1&lt;=_xlpm.DepreciationMonths,$C267&lt;=BB$8),$E267/_xlpm.DepreciationMonths,0))</f>
        <v>0</v>
      </c>
      <c r="BC267" s="507" cm="1">
        <f t="array" ref="BC267">_xlfn.LET(_xlpm.DepreciationMonths,INDEX(FixedAssets[Depreciation
/ Amortization Months],_xlfn.XMATCH($E$237,FixedAssets[Asset ID])),IF(AND((_xlfn.XMATCH(BC$8,$AH$8:$CC$8))-_xlfn.XMATCH($C267,$C$35:$C$82)+1&lt;=_xlpm.DepreciationMonths,$C267&lt;=BC$8),$E267/_xlpm.DepreciationMonths,0))</f>
        <v>0</v>
      </c>
      <c r="BD267" s="507" cm="1">
        <f t="array" ref="BD267">_xlfn.LET(_xlpm.DepreciationMonths,INDEX(FixedAssets[Depreciation
/ Amortization Months],_xlfn.XMATCH($E$237,FixedAssets[Asset ID])),IF(AND((_xlfn.XMATCH(BD$8,$AH$8:$CC$8))-_xlfn.XMATCH($C267,$C$35:$C$82)+1&lt;=_xlpm.DepreciationMonths,$C267&lt;=BD$8),$E267/_xlpm.DepreciationMonths,0))</f>
        <v>0</v>
      </c>
      <c r="BE267" s="507" cm="1">
        <f t="array" ref="BE267">_xlfn.LET(_xlpm.DepreciationMonths,INDEX(FixedAssets[Depreciation
/ Amortization Months],_xlfn.XMATCH($E$237,FixedAssets[Asset ID])),IF(AND((_xlfn.XMATCH(BE$8,$AH$8:$CC$8))-_xlfn.XMATCH($C267,$C$35:$C$82)+1&lt;=_xlpm.DepreciationMonths,$C267&lt;=BE$8),$E267/_xlpm.DepreciationMonths,0))</f>
        <v>0</v>
      </c>
      <c r="BF267" s="507" cm="1">
        <f t="array" ref="BF267">_xlfn.LET(_xlpm.DepreciationMonths,INDEX(FixedAssets[Depreciation
/ Amortization Months],_xlfn.XMATCH($E$237,FixedAssets[Asset ID])),IF(AND((_xlfn.XMATCH(BF$8,$AH$8:$CC$8))-_xlfn.XMATCH($C267,$C$35:$C$82)+1&lt;=_xlpm.DepreciationMonths,$C267&lt;=BF$8),$E267/_xlpm.DepreciationMonths,0))</f>
        <v>0</v>
      </c>
      <c r="BG267" s="507" cm="1">
        <f t="array" ref="BG267">_xlfn.LET(_xlpm.DepreciationMonths,INDEX(FixedAssets[Depreciation
/ Amortization Months],_xlfn.XMATCH($E$237,FixedAssets[Asset ID])),IF(AND((_xlfn.XMATCH(BG$8,$AH$8:$CC$8))-_xlfn.XMATCH($C267,$C$35:$C$82)+1&lt;=_xlpm.DepreciationMonths,$C267&lt;=BG$8),$E267/_xlpm.DepreciationMonths,0))</f>
        <v>0</v>
      </c>
      <c r="BH267" s="507" cm="1">
        <f t="array" ref="BH267">_xlfn.LET(_xlpm.DepreciationMonths,INDEX(FixedAssets[Depreciation
/ Amortization Months],_xlfn.XMATCH($E$237,FixedAssets[Asset ID])),IF(AND((_xlfn.XMATCH(BH$8,$AH$8:$CC$8))-_xlfn.XMATCH($C267,$C$35:$C$82)+1&lt;=_xlpm.DepreciationMonths,$C267&lt;=BH$8),$E267/_xlpm.DepreciationMonths,0))</f>
        <v>0</v>
      </c>
      <c r="BI267" s="507" cm="1">
        <f t="array" ref="BI267">_xlfn.LET(_xlpm.DepreciationMonths,INDEX(FixedAssets[Depreciation
/ Amortization Months],_xlfn.XMATCH($E$237,FixedAssets[Asset ID])),IF(AND((_xlfn.XMATCH(BI$8,$AH$8:$CC$8))-_xlfn.XMATCH($C267,$C$35:$C$82)+1&lt;=_xlpm.DepreciationMonths,$C267&lt;=BI$8),$E267/_xlpm.DepreciationMonths,0))</f>
        <v>0</v>
      </c>
      <c r="BJ267" s="507" cm="1">
        <f t="array" ref="BJ267">_xlfn.LET(_xlpm.DepreciationMonths,INDEX(FixedAssets[Depreciation
/ Amortization Months],_xlfn.XMATCH($E$237,FixedAssets[Asset ID])),IF(AND((_xlfn.XMATCH(BJ$8,$AH$8:$CC$8))-_xlfn.XMATCH($C267,$C$35:$C$82)+1&lt;=_xlpm.DepreciationMonths,$C267&lt;=BJ$8),$E267/_xlpm.DepreciationMonths,0))</f>
        <v>0</v>
      </c>
      <c r="BK267" s="507" cm="1">
        <f t="array" ref="BK267">_xlfn.LET(_xlpm.DepreciationMonths,INDEX(FixedAssets[Depreciation
/ Amortization Months],_xlfn.XMATCH($E$237,FixedAssets[Asset ID])),IF(AND((_xlfn.XMATCH(BK$8,$AH$8:$CC$8))-_xlfn.XMATCH($C267,$C$35:$C$82)+1&lt;=_xlpm.DepreciationMonths,$C267&lt;=BK$8),$E267/_xlpm.DepreciationMonths,0))</f>
        <v>0</v>
      </c>
      <c r="BL267" s="507" cm="1">
        <f t="array" ref="BL267">_xlfn.LET(_xlpm.DepreciationMonths,INDEX(FixedAssets[Depreciation
/ Amortization Months],_xlfn.XMATCH($E$237,FixedAssets[Asset ID])),IF(AND((_xlfn.XMATCH(BL$8,$AH$8:$CC$8))-_xlfn.XMATCH($C267,$C$35:$C$82)+1&lt;=_xlpm.DepreciationMonths,$C267&lt;=BL$8),$E267/_xlpm.DepreciationMonths,0))</f>
        <v>0</v>
      </c>
      <c r="BM267" s="507" cm="1">
        <f t="array" ref="BM267">_xlfn.LET(_xlpm.DepreciationMonths,INDEX(FixedAssets[Depreciation
/ Amortization Months],_xlfn.XMATCH($E$237,FixedAssets[Asset ID])),IF(AND((_xlfn.XMATCH(BM$8,$AH$8:$CC$8))-_xlfn.XMATCH($C267,$C$35:$C$82)+1&lt;=_xlpm.DepreciationMonths,$C267&lt;=BM$8),$E267/_xlpm.DepreciationMonths,0))</f>
        <v>0</v>
      </c>
      <c r="BN267" s="507" cm="1">
        <f t="array" ref="BN267">_xlfn.LET(_xlpm.DepreciationMonths,INDEX(FixedAssets[Depreciation
/ Amortization Months],_xlfn.XMATCH($E$237,FixedAssets[Asset ID])),IF(AND((_xlfn.XMATCH(BN$8,$AH$8:$CC$8))-_xlfn.XMATCH($C267,$C$35:$C$82)+1&lt;=_xlpm.DepreciationMonths,$C267&lt;=BN$8),$E267/_xlpm.DepreciationMonths,0))</f>
        <v>0</v>
      </c>
      <c r="BO267" s="507" cm="1">
        <f t="array" ref="BO267">_xlfn.LET(_xlpm.DepreciationMonths,INDEX(FixedAssets[Depreciation
/ Amortization Months],_xlfn.XMATCH($E$237,FixedAssets[Asset ID])),IF(AND((_xlfn.XMATCH(BO$8,$AH$8:$CC$8))-_xlfn.XMATCH($C267,$C$35:$C$82)+1&lt;=_xlpm.DepreciationMonths,$C267&lt;=BO$8),$E267/_xlpm.DepreciationMonths,0))</f>
        <v>0</v>
      </c>
      <c r="BP267" s="507" cm="1">
        <f t="array" ref="BP267">_xlfn.LET(_xlpm.DepreciationMonths,INDEX(FixedAssets[Depreciation
/ Amortization Months],_xlfn.XMATCH($E$237,FixedAssets[Asset ID])),IF(AND((_xlfn.XMATCH(BP$8,$AH$8:$CC$8))-_xlfn.XMATCH($C267,$C$35:$C$82)+1&lt;=_xlpm.DepreciationMonths,$C267&lt;=BP$8),$E267/_xlpm.DepreciationMonths,0))</f>
        <v>0</v>
      </c>
      <c r="BQ267" s="507" cm="1">
        <f t="array" ref="BQ267">_xlfn.LET(_xlpm.DepreciationMonths,INDEX(FixedAssets[Depreciation
/ Amortization Months],_xlfn.XMATCH($E$237,FixedAssets[Asset ID])),IF(AND((_xlfn.XMATCH(BQ$8,$AH$8:$CC$8))-_xlfn.XMATCH($C267,$C$35:$C$82)+1&lt;=_xlpm.DepreciationMonths,$C267&lt;=BQ$8),$E267/_xlpm.DepreciationMonths,0))</f>
        <v>0</v>
      </c>
      <c r="BR267" s="507" cm="1">
        <f t="array" ref="BR267">_xlfn.LET(_xlpm.DepreciationMonths,INDEX(FixedAssets[Depreciation
/ Amortization Months],_xlfn.XMATCH($E$237,FixedAssets[Asset ID])),IF(AND((_xlfn.XMATCH(BR$8,$AH$8:$CC$8))-_xlfn.XMATCH($C267,$C$35:$C$82)+1&lt;=_xlpm.DepreciationMonths,$C267&lt;=BR$8),$E267/_xlpm.DepreciationMonths,0))</f>
        <v>0</v>
      </c>
      <c r="BS267" s="507" cm="1">
        <f t="array" ref="BS267">_xlfn.LET(_xlpm.DepreciationMonths,INDEX(FixedAssets[Depreciation
/ Amortization Months],_xlfn.XMATCH($E$237,FixedAssets[Asset ID])),IF(AND((_xlfn.XMATCH(BS$8,$AH$8:$CC$8))-_xlfn.XMATCH($C267,$C$35:$C$82)+1&lt;=_xlpm.DepreciationMonths,$C267&lt;=BS$8),$E267/_xlpm.DepreciationMonths,0))</f>
        <v>0</v>
      </c>
      <c r="BT267" s="507" cm="1">
        <f t="array" ref="BT267">_xlfn.LET(_xlpm.DepreciationMonths,INDEX(FixedAssets[Depreciation
/ Amortization Months],_xlfn.XMATCH($E$237,FixedAssets[Asset ID])),IF(AND((_xlfn.XMATCH(BT$8,$AH$8:$CC$8))-_xlfn.XMATCH($C267,$C$35:$C$82)+1&lt;=_xlpm.DepreciationMonths,$C267&lt;=BT$8),$E267/_xlpm.DepreciationMonths,0))</f>
        <v>0</v>
      </c>
      <c r="BU267" s="507" cm="1">
        <f t="array" ref="BU267">_xlfn.LET(_xlpm.DepreciationMonths,INDEX(FixedAssets[Depreciation
/ Amortization Months],_xlfn.XMATCH($E$237,FixedAssets[Asset ID])),IF(AND((_xlfn.XMATCH(BU$8,$AH$8:$CC$8))-_xlfn.XMATCH($C267,$C$35:$C$82)+1&lt;=_xlpm.DepreciationMonths,$C267&lt;=BU$8),$E267/_xlpm.DepreciationMonths,0))</f>
        <v>0</v>
      </c>
      <c r="BV267" s="507" cm="1">
        <f t="array" ref="BV267">_xlfn.LET(_xlpm.DepreciationMonths,INDEX(FixedAssets[Depreciation
/ Amortization Months],_xlfn.XMATCH($E$237,FixedAssets[Asset ID])),IF(AND((_xlfn.XMATCH(BV$8,$AH$8:$CC$8))-_xlfn.XMATCH($C267,$C$35:$C$82)+1&lt;=_xlpm.DepreciationMonths,$C267&lt;=BV$8),$E267/_xlpm.DepreciationMonths,0))</f>
        <v>0</v>
      </c>
      <c r="BW267" s="507" cm="1">
        <f t="array" ref="BW267">_xlfn.LET(_xlpm.DepreciationMonths,INDEX(FixedAssets[Depreciation
/ Amortization Months],_xlfn.XMATCH($E$237,FixedAssets[Asset ID])),IF(AND((_xlfn.XMATCH(BW$8,$AH$8:$CC$8))-_xlfn.XMATCH($C267,$C$35:$C$82)+1&lt;=_xlpm.DepreciationMonths,$C267&lt;=BW$8),$E267/_xlpm.DepreciationMonths,0))</f>
        <v>0</v>
      </c>
      <c r="BX267" s="507" cm="1">
        <f t="array" ref="BX267">_xlfn.LET(_xlpm.DepreciationMonths,INDEX(FixedAssets[Depreciation
/ Amortization Months],_xlfn.XMATCH($E$237,FixedAssets[Asset ID])),IF(AND((_xlfn.XMATCH(BX$8,$AH$8:$CC$8))-_xlfn.XMATCH($C267,$C$35:$C$82)+1&lt;=_xlpm.DepreciationMonths,$C267&lt;=BX$8),$E267/_xlpm.DepreciationMonths,0))</f>
        <v>0</v>
      </c>
      <c r="BY267" s="507" cm="1">
        <f t="array" ref="BY267">_xlfn.LET(_xlpm.DepreciationMonths,INDEX(FixedAssets[Depreciation
/ Amortization Months],_xlfn.XMATCH($E$237,FixedAssets[Asset ID])),IF(AND((_xlfn.XMATCH(BY$8,$AH$8:$CC$8))-_xlfn.XMATCH($C267,$C$35:$C$82)+1&lt;=_xlpm.DepreciationMonths,$C267&lt;=BY$8),$E267/_xlpm.DepreciationMonths,0))</f>
        <v>0</v>
      </c>
      <c r="BZ267" s="507" cm="1">
        <f t="array" ref="BZ267">_xlfn.LET(_xlpm.DepreciationMonths,INDEX(FixedAssets[Depreciation
/ Amortization Months],_xlfn.XMATCH($E$237,FixedAssets[Asset ID])),IF(AND((_xlfn.XMATCH(BZ$8,$AH$8:$CC$8))-_xlfn.XMATCH($C267,$C$35:$C$82)+1&lt;=_xlpm.DepreciationMonths,$C267&lt;=BZ$8),$E267/_xlpm.DepreciationMonths,0))</f>
        <v>0</v>
      </c>
      <c r="CA267" s="507" cm="1">
        <f t="array" ref="CA267">_xlfn.LET(_xlpm.DepreciationMonths,INDEX(FixedAssets[Depreciation
/ Amortization Months],_xlfn.XMATCH($E$237,FixedAssets[Asset ID])),IF(AND((_xlfn.XMATCH(CA$8,$AH$8:$CC$8))-_xlfn.XMATCH($C267,$C$35:$C$82)+1&lt;=_xlpm.DepreciationMonths,$C267&lt;=CA$8),$E267/_xlpm.DepreciationMonths,0))</f>
        <v>0</v>
      </c>
      <c r="CB267" s="507" cm="1">
        <f t="array" ref="CB267">_xlfn.LET(_xlpm.DepreciationMonths,INDEX(FixedAssets[Depreciation
/ Amortization Months],_xlfn.XMATCH($E$237,FixedAssets[Asset ID])),IF(AND((_xlfn.XMATCH(CB$8,$AH$8:$CC$8))-_xlfn.XMATCH($C267,$C$35:$C$82)+1&lt;=_xlpm.DepreciationMonths,$C267&lt;=CB$8),$E267/_xlpm.DepreciationMonths,0))</f>
        <v>0</v>
      </c>
      <c r="CC267" s="507" cm="1">
        <f t="array" ref="CC267">_xlfn.LET(_xlpm.DepreciationMonths,INDEX(FixedAssets[Depreciation
/ Amortization Months],_xlfn.XMATCH($E$237,FixedAssets[Asset ID])),IF(AND((_xlfn.XMATCH(CC$8,$AH$8:$CC$8))-_xlfn.XMATCH($C267,$C$35:$C$82)+1&lt;=_xlpm.DepreciationMonths,$C267&lt;=CC$8),$E267/_xlpm.DepreciationMonths,0))</f>
        <v>0</v>
      </c>
    </row>
    <row r="268" spans="3:81" hidden="1" outlineLevel="2">
      <c r="C268" s="664">
        <f t="shared" si="267"/>
        <v>45838</v>
      </c>
      <c r="D268" s="508"/>
      <c r="E268" s="508" cm="1">
        <f t="array" ref="E268">SUMPRODUCT(($AH$26:$CC$31)*($AH$5:$CC$5=$C268)*($E$26:$E$31=E$237))-SUMPRODUCT(($AH$26:$CC$31)*($AH$5:$CC$5=EOMONTH($C268,-1))*($E$26:$E$31=E$237))</f>
        <v>0</v>
      </c>
      <c r="F268" s="508"/>
      <c r="G268" s="508"/>
      <c r="H268" s="508"/>
      <c r="I268" s="508"/>
      <c r="J268" s="504">
        <f t="shared" si="265"/>
        <v>0</v>
      </c>
      <c r="K268" s="504">
        <f t="shared" si="265"/>
        <v>0</v>
      </c>
      <c r="L268" s="504">
        <f t="shared" si="265"/>
        <v>0</v>
      </c>
      <c r="M268" s="504">
        <f t="shared" si="265"/>
        <v>0</v>
      </c>
      <c r="N268" s="504"/>
      <c r="O268" s="504"/>
      <c r="P268" s="504">
        <f t="shared" si="269"/>
        <v>0</v>
      </c>
      <c r="Q268" s="504">
        <f t="shared" si="269"/>
        <v>0</v>
      </c>
      <c r="R268" s="504">
        <f t="shared" si="269"/>
        <v>0</v>
      </c>
      <c r="S268" s="504">
        <f t="shared" si="269"/>
        <v>0</v>
      </c>
      <c r="T268" s="504">
        <f t="shared" si="269"/>
        <v>0</v>
      </c>
      <c r="U268" s="504">
        <f t="shared" si="269"/>
        <v>0</v>
      </c>
      <c r="V268" s="504">
        <f t="shared" si="269"/>
        <v>0</v>
      </c>
      <c r="W268" s="504">
        <f t="shared" si="269"/>
        <v>0</v>
      </c>
      <c r="X268" s="504">
        <f t="shared" si="269"/>
        <v>0</v>
      </c>
      <c r="Y268" s="504">
        <f t="shared" si="269"/>
        <v>0</v>
      </c>
      <c r="Z268" s="504">
        <f t="shared" si="269"/>
        <v>0</v>
      </c>
      <c r="AA268" s="504">
        <f t="shared" si="269"/>
        <v>0</v>
      </c>
      <c r="AB268" s="504">
        <f t="shared" si="269"/>
        <v>0</v>
      </c>
      <c r="AC268" s="504">
        <f t="shared" si="269"/>
        <v>0</v>
      </c>
      <c r="AD268" s="504">
        <f t="shared" si="269"/>
        <v>0</v>
      </c>
      <c r="AE268" s="504">
        <f t="shared" si="269"/>
        <v>0</v>
      </c>
      <c r="AF268" s="508"/>
      <c r="AG268" s="508"/>
      <c r="AH268" s="507" cm="1">
        <f t="array" ref="AH268">_xlfn.LET(_xlpm.DepreciationMonths,INDEX(FixedAssets[Depreciation
/ Amortization Months],_xlfn.XMATCH($E$237,FixedAssets[Asset ID])),IF(AND((_xlfn.XMATCH(AH$8,$AH$8:$CC$8))-_xlfn.XMATCH($C268,$C$35:$C$82)+1&lt;=_xlpm.DepreciationMonths,$C268&lt;=AH$8),$E268/_xlpm.DepreciationMonths,0))</f>
        <v>0</v>
      </c>
      <c r="AI268" s="507" cm="1">
        <f t="array" ref="AI268">_xlfn.LET(_xlpm.DepreciationMonths,INDEX(FixedAssets[Depreciation
/ Amortization Months],_xlfn.XMATCH($E$237,FixedAssets[Asset ID])),IF(AND((_xlfn.XMATCH(AI$8,$AH$8:$CC$8))-_xlfn.XMATCH($C268,$C$35:$C$82)+1&lt;=_xlpm.DepreciationMonths,$C268&lt;=AI$8),$E268/_xlpm.DepreciationMonths,0))</f>
        <v>0</v>
      </c>
      <c r="AJ268" s="507" cm="1">
        <f t="array" ref="AJ268">_xlfn.LET(_xlpm.DepreciationMonths,INDEX(FixedAssets[Depreciation
/ Amortization Months],_xlfn.XMATCH($E$237,FixedAssets[Asset ID])),IF(AND((_xlfn.XMATCH(AJ$8,$AH$8:$CC$8))-_xlfn.XMATCH($C268,$C$35:$C$82)+1&lt;=_xlpm.DepreciationMonths,$C268&lt;=AJ$8),$E268/_xlpm.DepreciationMonths,0))</f>
        <v>0</v>
      </c>
      <c r="AK268" s="507" cm="1">
        <f t="array" ref="AK268">_xlfn.LET(_xlpm.DepreciationMonths,INDEX(FixedAssets[Depreciation
/ Amortization Months],_xlfn.XMATCH($E$237,FixedAssets[Asset ID])),IF(AND((_xlfn.XMATCH(AK$8,$AH$8:$CC$8))-_xlfn.XMATCH($C268,$C$35:$C$82)+1&lt;=_xlpm.DepreciationMonths,$C268&lt;=AK$8),$E268/_xlpm.DepreciationMonths,0))</f>
        <v>0</v>
      </c>
      <c r="AL268" s="507" cm="1">
        <f t="array" ref="AL268">_xlfn.LET(_xlpm.DepreciationMonths,INDEX(FixedAssets[Depreciation
/ Amortization Months],_xlfn.XMATCH($E$237,FixedAssets[Asset ID])),IF(AND((_xlfn.XMATCH(AL$8,$AH$8:$CC$8))-_xlfn.XMATCH($C268,$C$35:$C$82)+1&lt;=_xlpm.DepreciationMonths,$C268&lt;=AL$8),$E268/_xlpm.DepreciationMonths,0))</f>
        <v>0</v>
      </c>
      <c r="AM268" s="507" cm="1">
        <f t="array" ref="AM268">_xlfn.LET(_xlpm.DepreciationMonths,INDEX(FixedAssets[Depreciation
/ Amortization Months],_xlfn.XMATCH($E$237,FixedAssets[Asset ID])),IF(AND((_xlfn.XMATCH(AM$8,$AH$8:$CC$8))-_xlfn.XMATCH($C268,$C$35:$C$82)+1&lt;=_xlpm.DepreciationMonths,$C268&lt;=AM$8),$E268/_xlpm.DepreciationMonths,0))</f>
        <v>0</v>
      </c>
      <c r="AN268" s="507" cm="1">
        <f t="array" ref="AN268">_xlfn.LET(_xlpm.DepreciationMonths,INDEX(FixedAssets[Depreciation
/ Amortization Months],_xlfn.XMATCH($E$237,FixedAssets[Asset ID])),IF(AND((_xlfn.XMATCH(AN$8,$AH$8:$CC$8))-_xlfn.XMATCH($C268,$C$35:$C$82)+1&lt;=_xlpm.DepreciationMonths,$C268&lt;=AN$8),$E268/_xlpm.DepreciationMonths,0))</f>
        <v>0</v>
      </c>
      <c r="AO268" s="507" cm="1">
        <f t="array" ref="AO268">_xlfn.LET(_xlpm.DepreciationMonths,INDEX(FixedAssets[Depreciation
/ Amortization Months],_xlfn.XMATCH($E$237,FixedAssets[Asset ID])),IF(AND((_xlfn.XMATCH(AO$8,$AH$8:$CC$8))-_xlfn.XMATCH($C268,$C$35:$C$82)+1&lt;=_xlpm.DepreciationMonths,$C268&lt;=AO$8),$E268/_xlpm.DepreciationMonths,0))</f>
        <v>0</v>
      </c>
      <c r="AP268" s="507" cm="1">
        <f t="array" ref="AP268">_xlfn.LET(_xlpm.DepreciationMonths,INDEX(FixedAssets[Depreciation
/ Amortization Months],_xlfn.XMATCH($E$237,FixedAssets[Asset ID])),IF(AND((_xlfn.XMATCH(AP$8,$AH$8:$CC$8))-_xlfn.XMATCH($C268,$C$35:$C$82)+1&lt;=_xlpm.DepreciationMonths,$C268&lt;=AP$8),$E268/_xlpm.DepreciationMonths,0))</f>
        <v>0</v>
      </c>
      <c r="AQ268" s="507" cm="1">
        <f t="array" ref="AQ268">_xlfn.LET(_xlpm.DepreciationMonths,INDEX(FixedAssets[Depreciation
/ Amortization Months],_xlfn.XMATCH($E$237,FixedAssets[Asset ID])),IF(AND((_xlfn.XMATCH(AQ$8,$AH$8:$CC$8))-_xlfn.XMATCH($C268,$C$35:$C$82)+1&lt;=_xlpm.DepreciationMonths,$C268&lt;=AQ$8),$E268/_xlpm.DepreciationMonths,0))</f>
        <v>0</v>
      </c>
      <c r="AR268" s="507" cm="1">
        <f t="array" ref="AR268">_xlfn.LET(_xlpm.DepreciationMonths,INDEX(FixedAssets[Depreciation
/ Amortization Months],_xlfn.XMATCH($E$237,FixedAssets[Asset ID])),IF(AND((_xlfn.XMATCH(AR$8,$AH$8:$CC$8))-_xlfn.XMATCH($C268,$C$35:$C$82)+1&lt;=_xlpm.DepreciationMonths,$C268&lt;=AR$8),$E268/_xlpm.DepreciationMonths,0))</f>
        <v>0</v>
      </c>
      <c r="AS268" s="507" cm="1">
        <f t="array" ref="AS268">_xlfn.LET(_xlpm.DepreciationMonths,INDEX(FixedAssets[Depreciation
/ Amortization Months],_xlfn.XMATCH($E$237,FixedAssets[Asset ID])),IF(AND((_xlfn.XMATCH(AS$8,$AH$8:$CC$8))-_xlfn.XMATCH($C268,$C$35:$C$82)+1&lt;=_xlpm.DepreciationMonths,$C268&lt;=AS$8),$E268/_xlpm.DepreciationMonths,0))</f>
        <v>0</v>
      </c>
      <c r="AT268" s="507" cm="1">
        <f t="array" ref="AT268">_xlfn.LET(_xlpm.DepreciationMonths,INDEX(FixedAssets[Depreciation
/ Amortization Months],_xlfn.XMATCH($E$237,FixedAssets[Asset ID])),IF(AND((_xlfn.XMATCH(AT$8,$AH$8:$CC$8))-_xlfn.XMATCH($C268,$C$35:$C$82)+1&lt;=_xlpm.DepreciationMonths,$C268&lt;=AT$8),$E268/_xlpm.DepreciationMonths,0))</f>
        <v>0</v>
      </c>
      <c r="AU268" s="507" cm="1">
        <f t="array" ref="AU268">_xlfn.LET(_xlpm.DepreciationMonths,INDEX(FixedAssets[Depreciation
/ Amortization Months],_xlfn.XMATCH($E$237,FixedAssets[Asset ID])),IF(AND((_xlfn.XMATCH(AU$8,$AH$8:$CC$8))-_xlfn.XMATCH($C268,$C$35:$C$82)+1&lt;=_xlpm.DepreciationMonths,$C268&lt;=AU$8),$E268/_xlpm.DepreciationMonths,0))</f>
        <v>0</v>
      </c>
      <c r="AV268" s="507" cm="1">
        <f t="array" ref="AV268">_xlfn.LET(_xlpm.DepreciationMonths,INDEX(FixedAssets[Depreciation
/ Amortization Months],_xlfn.XMATCH($E$237,FixedAssets[Asset ID])),IF(AND((_xlfn.XMATCH(AV$8,$AH$8:$CC$8))-_xlfn.XMATCH($C268,$C$35:$C$82)+1&lt;=_xlpm.DepreciationMonths,$C268&lt;=AV$8),$E268/_xlpm.DepreciationMonths,0))</f>
        <v>0</v>
      </c>
      <c r="AW268" s="507" cm="1">
        <f t="array" ref="AW268">_xlfn.LET(_xlpm.DepreciationMonths,INDEX(FixedAssets[Depreciation
/ Amortization Months],_xlfn.XMATCH($E$237,FixedAssets[Asset ID])),IF(AND((_xlfn.XMATCH(AW$8,$AH$8:$CC$8))-_xlfn.XMATCH($C268,$C$35:$C$82)+1&lt;=_xlpm.DepreciationMonths,$C268&lt;=AW$8),$E268/_xlpm.DepreciationMonths,0))</f>
        <v>0</v>
      </c>
      <c r="AX268" s="507" cm="1">
        <f t="array" ref="AX268">_xlfn.LET(_xlpm.DepreciationMonths,INDEX(FixedAssets[Depreciation
/ Amortization Months],_xlfn.XMATCH($E$237,FixedAssets[Asset ID])),IF(AND((_xlfn.XMATCH(AX$8,$AH$8:$CC$8))-_xlfn.XMATCH($C268,$C$35:$C$82)+1&lt;=_xlpm.DepreciationMonths,$C268&lt;=AX$8),$E268/_xlpm.DepreciationMonths,0))</f>
        <v>0</v>
      </c>
      <c r="AY268" s="507" cm="1">
        <f t="array" ref="AY268">_xlfn.LET(_xlpm.DepreciationMonths,INDEX(FixedAssets[Depreciation
/ Amortization Months],_xlfn.XMATCH($E$237,FixedAssets[Asset ID])),IF(AND((_xlfn.XMATCH(AY$8,$AH$8:$CC$8))-_xlfn.XMATCH($C268,$C$35:$C$82)+1&lt;=_xlpm.DepreciationMonths,$C268&lt;=AY$8),$E268/_xlpm.DepreciationMonths,0))</f>
        <v>0</v>
      </c>
      <c r="AZ268" s="507" cm="1">
        <f t="array" ref="AZ268">_xlfn.LET(_xlpm.DepreciationMonths,INDEX(FixedAssets[Depreciation
/ Amortization Months],_xlfn.XMATCH($E$237,FixedAssets[Asset ID])),IF(AND((_xlfn.XMATCH(AZ$8,$AH$8:$CC$8))-_xlfn.XMATCH($C268,$C$35:$C$82)+1&lt;=_xlpm.DepreciationMonths,$C268&lt;=AZ$8),$E268/_xlpm.DepreciationMonths,0))</f>
        <v>0</v>
      </c>
      <c r="BA268" s="507" cm="1">
        <f t="array" ref="BA268">_xlfn.LET(_xlpm.DepreciationMonths,INDEX(FixedAssets[Depreciation
/ Amortization Months],_xlfn.XMATCH($E$237,FixedAssets[Asset ID])),IF(AND((_xlfn.XMATCH(BA$8,$AH$8:$CC$8))-_xlfn.XMATCH($C268,$C$35:$C$82)+1&lt;=_xlpm.DepreciationMonths,$C268&lt;=BA$8),$E268/_xlpm.DepreciationMonths,0))</f>
        <v>0</v>
      </c>
      <c r="BB268" s="507" cm="1">
        <f t="array" ref="BB268">_xlfn.LET(_xlpm.DepreciationMonths,INDEX(FixedAssets[Depreciation
/ Amortization Months],_xlfn.XMATCH($E$237,FixedAssets[Asset ID])),IF(AND((_xlfn.XMATCH(BB$8,$AH$8:$CC$8))-_xlfn.XMATCH($C268,$C$35:$C$82)+1&lt;=_xlpm.DepreciationMonths,$C268&lt;=BB$8),$E268/_xlpm.DepreciationMonths,0))</f>
        <v>0</v>
      </c>
      <c r="BC268" s="507" cm="1">
        <f t="array" ref="BC268">_xlfn.LET(_xlpm.DepreciationMonths,INDEX(FixedAssets[Depreciation
/ Amortization Months],_xlfn.XMATCH($E$237,FixedAssets[Asset ID])),IF(AND((_xlfn.XMATCH(BC$8,$AH$8:$CC$8))-_xlfn.XMATCH($C268,$C$35:$C$82)+1&lt;=_xlpm.DepreciationMonths,$C268&lt;=BC$8),$E268/_xlpm.DepreciationMonths,0))</f>
        <v>0</v>
      </c>
      <c r="BD268" s="507" cm="1">
        <f t="array" ref="BD268">_xlfn.LET(_xlpm.DepreciationMonths,INDEX(FixedAssets[Depreciation
/ Amortization Months],_xlfn.XMATCH($E$237,FixedAssets[Asset ID])),IF(AND((_xlfn.XMATCH(BD$8,$AH$8:$CC$8))-_xlfn.XMATCH($C268,$C$35:$C$82)+1&lt;=_xlpm.DepreciationMonths,$C268&lt;=BD$8),$E268/_xlpm.DepreciationMonths,0))</f>
        <v>0</v>
      </c>
      <c r="BE268" s="507" cm="1">
        <f t="array" ref="BE268">_xlfn.LET(_xlpm.DepreciationMonths,INDEX(FixedAssets[Depreciation
/ Amortization Months],_xlfn.XMATCH($E$237,FixedAssets[Asset ID])),IF(AND((_xlfn.XMATCH(BE$8,$AH$8:$CC$8))-_xlfn.XMATCH($C268,$C$35:$C$82)+1&lt;=_xlpm.DepreciationMonths,$C268&lt;=BE$8),$E268/_xlpm.DepreciationMonths,0))</f>
        <v>0</v>
      </c>
      <c r="BF268" s="507" cm="1">
        <f t="array" ref="BF268">_xlfn.LET(_xlpm.DepreciationMonths,INDEX(FixedAssets[Depreciation
/ Amortization Months],_xlfn.XMATCH($E$237,FixedAssets[Asset ID])),IF(AND((_xlfn.XMATCH(BF$8,$AH$8:$CC$8))-_xlfn.XMATCH($C268,$C$35:$C$82)+1&lt;=_xlpm.DepreciationMonths,$C268&lt;=BF$8),$E268/_xlpm.DepreciationMonths,0))</f>
        <v>0</v>
      </c>
      <c r="BG268" s="507" cm="1">
        <f t="array" ref="BG268">_xlfn.LET(_xlpm.DepreciationMonths,INDEX(FixedAssets[Depreciation
/ Amortization Months],_xlfn.XMATCH($E$237,FixedAssets[Asset ID])),IF(AND((_xlfn.XMATCH(BG$8,$AH$8:$CC$8))-_xlfn.XMATCH($C268,$C$35:$C$82)+1&lt;=_xlpm.DepreciationMonths,$C268&lt;=BG$8),$E268/_xlpm.DepreciationMonths,0))</f>
        <v>0</v>
      </c>
      <c r="BH268" s="507" cm="1">
        <f t="array" ref="BH268">_xlfn.LET(_xlpm.DepreciationMonths,INDEX(FixedAssets[Depreciation
/ Amortization Months],_xlfn.XMATCH($E$237,FixedAssets[Asset ID])),IF(AND((_xlfn.XMATCH(BH$8,$AH$8:$CC$8))-_xlfn.XMATCH($C268,$C$35:$C$82)+1&lt;=_xlpm.DepreciationMonths,$C268&lt;=BH$8),$E268/_xlpm.DepreciationMonths,0))</f>
        <v>0</v>
      </c>
      <c r="BI268" s="507" cm="1">
        <f t="array" ref="BI268">_xlfn.LET(_xlpm.DepreciationMonths,INDEX(FixedAssets[Depreciation
/ Amortization Months],_xlfn.XMATCH($E$237,FixedAssets[Asset ID])),IF(AND((_xlfn.XMATCH(BI$8,$AH$8:$CC$8))-_xlfn.XMATCH($C268,$C$35:$C$82)+1&lt;=_xlpm.DepreciationMonths,$C268&lt;=BI$8),$E268/_xlpm.DepreciationMonths,0))</f>
        <v>0</v>
      </c>
      <c r="BJ268" s="507" cm="1">
        <f t="array" ref="BJ268">_xlfn.LET(_xlpm.DepreciationMonths,INDEX(FixedAssets[Depreciation
/ Amortization Months],_xlfn.XMATCH($E$237,FixedAssets[Asset ID])),IF(AND((_xlfn.XMATCH(BJ$8,$AH$8:$CC$8))-_xlfn.XMATCH($C268,$C$35:$C$82)+1&lt;=_xlpm.DepreciationMonths,$C268&lt;=BJ$8),$E268/_xlpm.DepreciationMonths,0))</f>
        <v>0</v>
      </c>
      <c r="BK268" s="507" cm="1">
        <f t="array" ref="BK268">_xlfn.LET(_xlpm.DepreciationMonths,INDEX(FixedAssets[Depreciation
/ Amortization Months],_xlfn.XMATCH($E$237,FixedAssets[Asset ID])),IF(AND((_xlfn.XMATCH(BK$8,$AH$8:$CC$8))-_xlfn.XMATCH($C268,$C$35:$C$82)+1&lt;=_xlpm.DepreciationMonths,$C268&lt;=BK$8),$E268/_xlpm.DepreciationMonths,0))</f>
        <v>0</v>
      </c>
      <c r="BL268" s="507" cm="1">
        <f t="array" ref="BL268">_xlfn.LET(_xlpm.DepreciationMonths,INDEX(FixedAssets[Depreciation
/ Amortization Months],_xlfn.XMATCH($E$237,FixedAssets[Asset ID])),IF(AND((_xlfn.XMATCH(BL$8,$AH$8:$CC$8))-_xlfn.XMATCH($C268,$C$35:$C$82)+1&lt;=_xlpm.DepreciationMonths,$C268&lt;=BL$8),$E268/_xlpm.DepreciationMonths,0))</f>
        <v>0</v>
      </c>
      <c r="BM268" s="507" cm="1">
        <f t="array" ref="BM268">_xlfn.LET(_xlpm.DepreciationMonths,INDEX(FixedAssets[Depreciation
/ Amortization Months],_xlfn.XMATCH($E$237,FixedAssets[Asset ID])),IF(AND((_xlfn.XMATCH(BM$8,$AH$8:$CC$8))-_xlfn.XMATCH($C268,$C$35:$C$82)+1&lt;=_xlpm.DepreciationMonths,$C268&lt;=BM$8),$E268/_xlpm.DepreciationMonths,0))</f>
        <v>0</v>
      </c>
      <c r="BN268" s="507" cm="1">
        <f t="array" ref="BN268">_xlfn.LET(_xlpm.DepreciationMonths,INDEX(FixedAssets[Depreciation
/ Amortization Months],_xlfn.XMATCH($E$237,FixedAssets[Asset ID])),IF(AND((_xlfn.XMATCH(BN$8,$AH$8:$CC$8))-_xlfn.XMATCH($C268,$C$35:$C$82)+1&lt;=_xlpm.DepreciationMonths,$C268&lt;=BN$8),$E268/_xlpm.DepreciationMonths,0))</f>
        <v>0</v>
      </c>
      <c r="BO268" s="507" cm="1">
        <f t="array" ref="BO268">_xlfn.LET(_xlpm.DepreciationMonths,INDEX(FixedAssets[Depreciation
/ Amortization Months],_xlfn.XMATCH($E$237,FixedAssets[Asset ID])),IF(AND((_xlfn.XMATCH(BO$8,$AH$8:$CC$8))-_xlfn.XMATCH($C268,$C$35:$C$82)+1&lt;=_xlpm.DepreciationMonths,$C268&lt;=BO$8),$E268/_xlpm.DepreciationMonths,0))</f>
        <v>0</v>
      </c>
      <c r="BP268" s="507" cm="1">
        <f t="array" ref="BP268">_xlfn.LET(_xlpm.DepreciationMonths,INDEX(FixedAssets[Depreciation
/ Amortization Months],_xlfn.XMATCH($E$237,FixedAssets[Asset ID])),IF(AND((_xlfn.XMATCH(BP$8,$AH$8:$CC$8))-_xlfn.XMATCH($C268,$C$35:$C$82)+1&lt;=_xlpm.DepreciationMonths,$C268&lt;=BP$8),$E268/_xlpm.DepreciationMonths,0))</f>
        <v>0</v>
      </c>
      <c r="BQ268" s="507" cm="1">
        <f t="array" ref="BQ268">_xlfn.LET(_xlpm.DepreciationMonths,INDEX(FixedAssets[Depreciation
/ Amortization Months],_xlfn.XMATCH($E$237,FixedAssets[Asset ID])),IF(AND((_xlfn.XMATCH(BQ$8,$AH$8:$CC$8))-_xlfn.XMATCH($C268,$C$35:$C$82)+1&lt;=_xlpm.DepreciationMonths,$C268&lt;=BQ$8),$E268/_xlpm.DepreciationMonths,0))</f>
        <v>0</v>
      </c>
      <c r="BR268" s="507" cm="1">
        <f t="array" ref="BR268">_xlfn.LET(_xlpm.DepreciationMonths,INDEX(FixedAssets[Depreciation
/ Amortization Months],_xlfn.XMATCH($E$237,FixedAssets[Asset ID])),IF(AND((_xlfn.XMATCH(BR$8,$AH$8:$CC$8))-_xlfn.XMATCH($C268,$C$35:$C$82)+1&lt;=_xlpm.DepreciationMonths,$C268&lt;=BR$8),$E268/_xlpm.DepreciationMonths,0))</f>
        <v>0</v>
      </c>
      <c r="BS268" s="507" cm="1">
        <f t="array" ref="BS268">_xlfn.LET(_xlpm.DepreciationMonths,INDEX(FixedAssets[Depreciation
/ Amortization Months],_xlfn.XMATCH($E$237,FixedAssets[Asset ID])),IF(AND((_xlfn.XMATCH(BS$8,$AH$8:$CC$8))-_xlfn.XMATCH($C268,$C$35:$C$82)+1&lt;=_xlpm.DepreciationMonths,$C268&lt;=BS$8),$E268/_xlpm.DepreciationMonths,0))</f>
        <v>0</v>
      </c>
      <c r="BT268" s="507" cm="1">
        <f t="array" ref="BT268">_xlfn.LET(_xlpm.DepreciationMonths,INDEX(FixedAssets[Depreciation
/ Amortization Months],_xlfn.XMATCH($E$237,FixedAssets[Asset ID])),IF(AND((_xlfn.XMATCH(BT$8,$AH$8:$CC$8))-_xlfn.XMATCH($C268,$C$35:$C$82)+1&lt;=_xlpm.DepreciationMonths,$C268&lt;=BT$8),$E268/_xlpm.DepreciationMonths,0))</f>
        <v>0</v>
      </c>
      <c r="BU268" s="507" cm="1">
        <f t="array" ref="BU268">_xlfn.LET(_xlpm.DepreciationMonths,INDEX(FixedAssets[Depreciation
/ Amortization Months],_xlfn.XMATCH($E$237,FixedAssets[Asset ID])),IF(AND((_xlfn.XMATCH(BU$8,$AH$8:$CC$8))-_xlfn.XMATCH($C268,$C$35:$C$82)+1&lt;=_xlpm.DepreciationMonths,$C268&lt;=BU$8),$E268/_xlpm.DepreciationMonths,0))</f>
        <v>0</v>
      </c>
      <c r="BV268" s="507" cm="1">
        <f t="array" ref="BV268">_xlfn.LET(_xlpm.DepreciationMonths,INDEX(FixedAssets[Depreciation
/ Amortization Months],_xlfn.XMATCH($E$237,FixedAssets[Asset ID])),IF(AND((_xlfn.XMATCH(BV$8,$AH$8:$CC$8))-_xlfn.XMATCH($C268,$C$35:$C$82)+1&lt;=_xlpm.DepreciationMonths,$C268&lt;=BV$8),$E268/_xlpm.DepreciationMonths,0))</f>
        <v>0</v>
      </c>
      <c r="BW268" s="507" cm="1">
        <f t="array" ref="BW268">_xlfn.LET(_xlpm.DepreciationMonths,INDEX(FixedAssets[Depreciation
/ Amortization Months],_xlfn.XMATCH($E$237,FixedAssets[Asset ID])),IF(AND((_xlfn.XMATCH(BW$8,$AH$8:$CC$8))-_xlfn.XMATCH($C268,$C$35:$C$82)+1&lt;=_xlpm.DepreciationMonths,$C268&lt;=BW$8),$E268/_xlpm.DepreciationMonths,0))</f>
        <v>0</v>
      </c>
      <c r="BX268" s="507" cm="1">
        <f t="array" ref="BX268">_xlfn.LET(_xlpm.DepreciationMonths,INDEX(FixedAssets[Depreciation
/ Amortization Months],_xlfn.XMATCH($E$237,FixedAssets[Asset ID])),IF(AND((_xlfn.XMATCH(BX$8,$AH$8:$CC$8))-_xlfn.XMATCH($C268,$C$35:$C$82)+1&lt;=_xlpm.DepreciationMonths,$C268&lt;=BX$8),$E268/_xlpm.DepreciationMonths,0))</f>
        <v>0</v>
      </c>
      <c r="BY268" s="507" cm="1">
        <f t="array" ref="BY268">_xlfn.LET(_xlpm.DepreciationMonths,INDEX(FixedAssets[Depreciation
/ Amortization Months],_xlfn.XMATCH($E$237,FixedAssets[Asset ID])),IF(AND((_xlfn.XMATCH(BY$8,$AH$8:$CC$8))-_xlfn.XMATCH($C268,$C$35:$C$82)+1&lt;=_xlpm.DepreciationMonths,$C268&lt;=BY$8),$E268/_xlpm.DepreciationMonths,0))</f>
        <v>0</v>
      </c>
      <c r="BZ268" s="507" cm="1">
        <f t="array" ref="BZ268">_xlfn.LET(_xlpm.DepreciationMonths,INDEX(FixedAssets[Depreciation
/ Amortization Months],_xlfn.XMATCH($E$237,FixedAssets[Asset ID])),IF(AND((_xlfn.XMATCH(BZ$8,$AH$8:$CC$8))-_xlfn.XMATCH($C268,$C$35:$C$82)+1&lt;=_xlpm.DepreciationMonths,$C268&lt;=BZ$8),$E268/_xlpm.DepreciationMonths,0))</f>
        <v>0</v>
      </c>
      <c r="CA268" s="507" cm="1">
        <f t="array" ref="CA268">_xlfn.LET(_xlpm.DepreciationMonths,INDEX(FixedAssets[Depreciation
/ Amortization Months],_xlfn.XMATCH($E$237,FixedAssets[Asset ID])),IF(AND((_xlfn.XMATCH(CA$8,$AH$8:$CC$8))-_xlfn.XMATCH($C268,$C$35:$C$82)+1&lt;=_xlpm.DepreciationMonths,$C268&lt;=CA$8),$E268/_xlpm.DepreciationMonths,0))</f>
        <v>0</v>
      </c>
      <c r="CB268" s="507" cm="1">
        <f t="array" ref="CB268">_xlfn.LET(_xlpm.DepreciationMonths,INDEX(FixedAssets[Depreciation
/ Amortization Months],_xlfn.XMATCH($E$237,FixedAssets[Asset ID])),IF(AND((_xlfn.XMATCH(CB$8,$AH$8:$CC$8))-_xlfn.XMATCH($C268,$C$35:$C$82)+1&lt;=_xlpm.DepreciationMonths,$C268&lt;=CB$8),$E268/_xlpm.DepreciationMonths,0))</f>
        <v>0</v>
      </c>
      <c r="CC268" s="507" cm="1">
        <f t="array" ref="CC268">_xlfn.LET(_xlpm.DepreciationMonths,INDEX(FixedAssets[Depreciation
/ Amortization Months],_xlfn.XMATCH($E$237,FixedAssets[Asset ID])),IF(AND((_xlfn.XMATCH(CC$8,$AH$8:$CC$8))-_xlfn.XMATCH($C268,$C$35:$C$82)+1&lt;=_xlpm.DepreciationMonths,$C268&lt;=CC$8),$E268/_xlpm.DepreciationMonths,0))</f>
        <v>0</v>
      </c>
    </row>
    <row r="269" spans="3:81" hidden="1" outlineLevel="2">
      <c r="C269" s="664">
        <f t="shared" si="267"/>
        <v>45869</v>
      </c>
      <c r="D269" s="508"/>
      <c r="E269" s="508" cm="1">
        <f t="array" ref="E269">SUMPRODUCT(($AH$26:$CC$31)*($AH$5:$CC$5=$C269)*($E$26:$E$31=E$237))-SUMPRODUCT(($AH$26:$CC$31)*($AH$5:$CC$5=EOMONTH($C269,-1))*($E$26:$E$31=E$237))</f>
        <v>0</v>
      </c>
      <c r="F269" s="508"/>
      <c r="G269" s="508"/>
      <c r="H269" s="508"/>
      <c r="I269" s="508"/>
      <c r="J269" s="504">
        <f t="shared" si="265"/>
        <v>0</v>
      </c>
      <c r="K269" s="504">
        <f t="shared" si="265"/>
        <v>0</v>
      </c>
      <c r="L269" s="504">
        <f t="shared" si="265"/>
        <v>0</v>
      </c>
      <c r="M269" s="504">
        <f t="shared" si="265"/>
        <v>0</v>
      </c>
      <c r="N269" s="504"/>
      <c r="O269" s="504"/>
      <c r="P269" s="504">
        <f t="shared" si="269"/>
        <v>0</v>
      </c>
      <c r="Q269" s="504">
        <f t="shared" si="269"/>
        <v>0</v>
      </c>
      <c r="R269" s="504">
        <f t="shared" si="269"/>
        <v>0</v>
      </c>
      <c r="S269" s="504">
        <f t="shared" si="269"/>
        <v>0</v>
      </c>
      <c r="T269" s="504">
        <f t="shared" si="269"/>
        <v>0</v>
      </c>
      <c r="U269" s="504">
        <f t="shared" si="269"/>
        <v>0</v>
      </c>
      <c r="V269" s="504">
        <f t="shared" si="269"/>
        <v>0</v>
      </c>
      <c r="W269" s="504">
        <f t="shared" si="269"/>
        <v>0</v>
      </c>
      <c r="X269" s="504">
        <f t="shared" si="269"/>
        <v>0</v>
      </c>
      <c r="Y269" s="504">
        <f t="shared" si="269"/>
        <v>0</v>
      </c>
      <c r="Z269" s="504">
        <f t="shared" si="269"/>
        <v>0</v>
      </c>
      <c r="AA269" s="504">
        <f t="shared" si="269"/>
        <v>0</v>
      </c>
      <c r="AB269" s="504">
        <f t="shared" si="269"/>
        <v>0</v>
      </c>
      <c r="AC269" s="504">
        <f t="shared" si="269"/>
        <v>0</v>
      </c>
      <c r="AD269" s="504">
        <f t="shared" si="269"/>
        <v>0</v>
      </c>
      <c r="AE269" s="504">
        <f t="shared" si="269"/>
        <v>0</v>
      </c>
      <c r="AF269" s="508"/>
      <c r="AG269" s="508"/>
      <c r="AH269" s="507" cm="1">
        <f t="array" ref="AH269">_xlfn.LET(_xlpm.DepreciationMonths,INDEX(FixedAssets[Depreciation
/ Amortization Months],_xlfn.XMATCH($E$237,FixedAssets[Asset ID])),IF(AND((_xlfn.XMATCH(AH$8,$AH$8:$CC$8))-_xlfn.XMATCH($C269,$C$35:$C$82)+1&lt;=_xlpm.DepreciationMonths,$C269&lt;=AH$8),$E269/_xlpm.DepreciationMonths,0))</f>
        <v>0</v>
      </c>
      <c r="AI269" s="507" cm="1">
        <f t="array" ref="AI269">_xlfn.LET(_xlpm.DepreciationMonths,INDEX(FixedAssets[Depreciation
/ Amortization Months],_xlfn.XMATCH($E$237,FixedAssets[Asset ID])),IF(AND((_xlfn.XMATCH(AI$8,$AH$8:$CC$8))-_xlfn.XMATCH($C269,$C$35:$C$82)+1&lt;=_xlpm.DepreciationMonths,$C269&lt;=AI$8),$E269/_xlpm.DepreciationMonths,0))</f>
        <v>0</v>
      </c>
      <c r="AJ269" s="507" cm="1">
        <f t="array" ref="AJ269">_xlfn.LET(_xlpm.DepreciationMonths,INDEX(FixedAssets[Depreciation
/ Amortization Months],_xlfn.XMATCH($E$237,FixedAssets[Asset ID])),IF(AND((_xlfn.XMATCH(AJ$8,$AH$8:$CC$8))-_xlfn.XMATCH($C269,$C$35:$C$82)+1&lt;=_xlpm.DepreciationMonths,$C269&lt;=AJ$8),$E269/_xlpm.DepreciationMonths,0))</f>
        <v>0</v>
      </c>
      <c r="AK269" s="507" cm="1">
        <f t="array" ref="AK269">_xlfn.LET(_xlpm.DepreciationMonths,INDEX(FixedAssets[Depreciation
/ Amortization Months],_xlfn.XMATCH($E$237,FixedAssets[Asset ID])),IF(AND((_xlfn.XMATCH(AK$8,$AH$8:$CC$8))-_xlfn.XMATCH($C269,$C$35:$C$82)+1&lt;=_xlpm.DepreciationMonths,$C269&lt;=AK$8),$E269/_xlpm.DepreciationMonths,0))</f>
        <v>0</v>
      </c>
      <c r="AL269" s="507" cm="1">
        <f t="array" ref="AL269">_xlfn.LET(_xlpm.DepreciationMonths,INDEX(FixedAssets[Depreciation
/ Amortization Months],_xlfn.XMATCH($E$237,FixedAssets[Asset ID])),IF(AND((_xlfn.XMATCH(AL$8,$AH$8:$CC$8))-_xlfn.XMATCH($C269,$C$35:$C$82)+1&lt;=_xlpm.DepreciationMonths,$C269&lt;=AL$8),$E269/_xlpm.DepreciationMonths,0))</f>
        <v>0</v>
      </c>
      <c r="AM269" s="507" cm="1">
        <f t="array" ref="AM269">_xlfn.LET(_xlpm.DepreciationMonths,INDEX(FixedAssets[Depreciation
/ Amortization Months],_xlfn.XMATCH($E$237,FixedAssets[Asset ID])),IF(AND((_xlfn.XMATCH(AM$8,$AH$8:$CC$8))-_xlfn.XMATCH($C269,$C$35:$C$82)+1&lt;=_xlpm.DepreciationMonths,$C269&lt;=AM$8),$E269/_xlpm.DepreciationMonths,0))</f>
        <v>0</v>
      </c>
      <c r="AN269" s="507" cm="1">
        <f t="array" ref="AN269">_xlfn.LET(_xlpm.DepreciationMonths,INDEX(FixedAssets[Depreciation
/ Amortization Months],_xlfn.XMATCH($E$237,FixedAssets[Asset ID])),IF(AND((_xlfn.XMATCH(AN$8,$AH$8:$CC$8))-_xlfn.XMATCH($C269,$C$35:$C$82)+1&lt;=_xlpm.DepreciationMonths,$C269&lt;=AN$8),$E269/_xlpm.DepreciationMonths,0))</f>
        <v>0</v>
      </c>
      <c r="AO269" s="507" cm="1">
        <f t="array" ref="AO269">_xlfn.LET(_xlpm.DepreciationMonths,INDEX(FixedAssets[Depreciation
/ Amortization Months],_xlfn.XMATCH($E$237,FixedAssets[Asset ID])),IF(AND((_xlfn.XMATCH(AO$8,$AH$8:$CC$8))-_xlfn.XMATCH($C269,$C$35:$C$82)+1&lt;=_xlpm.DepreciationMonths,$C269&lt;=AO$8),$E269/_xlpm.DepreciationMonths,0))</f>
        <v>0</v>
      </c>
      <c r="AP269" s="507" cm="1">
        <f t="array" ref="AP269">_xlfn.LET(_xlpm.DepreciationMonths,INDEX(FixedAssets[Depreciation
/ Amortization Months],_xlfn.XMATCH($E$237,FixedAssets[Asset ID])),IF(AND((_xlfn.XMATCH(AP$8,$AH$8:$CC$8))-_xlfn.XMATCH($C269,$C$35:$C$82)+1&lt;=_xlpm.DepreciationMonths,$C269&lt;=AP$8),$E269/_xlpm.DepreciationMonths,0))</f>
        <v>0</v>
      </c>
      <c r="AQ269" s="507" cm="1">
        <f t="array" ref="AQ269">_xlfn.LET(_xlpm.DepreciationMonths,INDEX(FixedAssets[Depreciation
/ Amortization Months],_xlfn.XMATCH($E$237,FixedAssets[Asset ID])),IF(AND((_xlfn.XMATCH(AQ$8,$AH$8:$CC$8))-_xlfn.XMATCH($C269,$C$35:$C$82)+1&lt;=_xlpm.DepreciationMonths,$C269&lt;=AQ$8),$E269/_xlpm.DepreciationMonths,0))</f>
        <v>0</v>
      </c>
      <c r="AR269" s="507" cm="1">
        <f t="array" ref="AR269">_xlfn.LET(_xlpm.DepreciationMonths,INDEX(FixedAssets[Depreciation
/ Amortization Months],_xlfn.XMATCH($E$237,FixedAssets[Asset ID])),IF(AND((_xlfn.XMATCH(AR$8,$AH$8:$CC$8))-_xlfn.XMATCH($C269,$C$35:$C$82)+1&lt;=_xlpm.DepreciationMonths,$C269&lt;=AR$8),$E269/_xlpm.DepreciationMonths,0))</f>
        <v>0</v>
      </c>
      <c r="AS269" s="507" cm="1">
        <f t="array" ref="AS269">_xlfn.LET(_xlpm.DepreciationMonths,INDEX(FixedAssets[Depreciation
/ Amortization Months],_xlfn.XMATCH($E$237,FixedAssets[Asset ID])),IF(AND((_xlfn.XMATCH(AS$8,$AH$8:$CC$8))-_xlfn.XMATCH($C269,$C$35:$C$82)+1&lt;=_xlpm.DepreciationMonths,$C269&lt;=AS$8),$E269/_xlpm.DepreciationMonths,0))</f>
        <v>0</v>
      </c>
      <c r="AT269" s="507" cm="1">
        <f t="array" ref="AT269">_xlfn.LET(_xlpm.DepreciationMonths,INDEX(FixedAssets[Depreciation
/ Amortization Months],_xlfn.XMATCH($E$237,FixedAssets[Asset ID])),IF(AND((_xlfn.XMATCH(AT$8,$AH$8:$CC$8))-_xlfn.XMATCH($C269,$C$35:$C$82)+1&lt;=_xlpm.DepreciationMonths,$C269&lt;=AT$8),$E269/_xlpm.DepreciationMonths,0))</f>
        <v>0</v>
      </c>
      <c r="AU269" s="507" cm="1">
        <f t="array" ref="AU269">_xlfn.LET(_xlpm.DepreciationMonths,INDEX(FixedAssets[Depreciation
/ Amortization Months],_xlfn.XMATCH($E$237,FixedAssets[Asset ID])),IF(AND((_xlfn.XMATCH(AU$8,$AH$8:$CC$8))-_xlfn.XMATCH($C269,$C$35:$C$82)+1&lt;=_xlpm.DepreciationMonths,$C269&lt;=AU$8),$E269/_xlpm.DepreciationMonths,0))</f>
        <v>0</v>
      </c>
      <c r="AV269" s="507" cm="1">
        <f t="array" ref="AV269">_xlfn.LET(_xlpm.DepreciationMonths,INDEX(FixedAssets[Depreciation
/ Amortization Months],_xlfn.XMATCH($E$237,FixedAssets[Asset ID])),IF(AND((_xlfn.XMATCH(AV$8,$AH$8:$CC$8))-_xlfn.XMATCH($C269,$C$35:$C$82)+1&lt;=_xlpm.DepreciationMonths,$C269&lt;=AV$8),$E269/_xlpm.DepreciationMonths,0))</f>
        <v>0</v>
      </c>
      <c r="AW269" s="507" cm="1">
        <f t="array" ref="AW269">_xlfn.LET(_xlpm.DepreciationMonths,INDEX(FixedAssets[Depreciation
/ Amortization Months],_xlfn.XMATCH($E$237,FixedAssets[Asset ID])),IF(AND((_xlfn.XMATCH(AW$8,$AH$8:$CC$8))-_xlfn.XMATCH($C269,$C$35:$C$82)+1&lt;=_xlpm.DepreciationMonths,$C269&lt;=AW$8),$E269/_xlpm.DepreciationMonths,0))</f>
        <v>0</v>
      </c>
      <c r="AX269" s="507" cm="1">
        <f t="array" ref="AX269">_xlfn.LET(_xlpm.DepreciationMonths,INDEX(FixedAssets[Depreciation
/ Amortization Months],_xlfn.XMATCH($E$237,FixedAssets[Asset ID])),IF(AND((_xlfn.XMATCH(AX$8,$AH$8:$CC$8))-_xlfn.XMATCH($C269,$C$35:$C$82)+1&lt;=_xlpm.DepreciationMonths,$C269&lt;=AX$8),$E269/_xlpm.DepreciationMonths,0))</f>
        <v>0</v>
      </c>
      <c r="AY269" s="507" cm="1">
        <f t="array" ref="AY269">_xlfn.LET(_xlpm.DepreciationMonths,INDEX(FixedAssets[Depreciation
/ Amortization Months],_xlfn.XMATCH($E$237,FixedAssets[Asset ID])),IF(AND((_xlfn.XMATCH(AY$8,$AH$8:$CC$8))-_xlfn.XMATCH($C269,$C$35:$C$82)+1&lt;=_xlpm.DepreciationMonths,$C269&lt;=AY$8),$E269/_xlpm.DepreciationMonths,0))</f>
        <v>0</v>
      </c>
      <c r="AZ269" s="507" cm="1">
        <f t="array" ref="AZ269">_xlfn.LET(_xlpm.DepreciationMonths,INDEX(FixedAssets[Depreciation
/ Amortization Months],_xlfn.XMATCH($E$237,FixedAssets[Asset ID])),IF(AND((_xlfn.XMATCH(AZ$8,$AH$8:$CC$8))-_xlfn.XMATCH($C269,$C$35:$C$82)+1&lt;=_xlpm.DepreciationMonths,$C269&lt;=AZ$8),$E269/_xlpm.DepreciationMonths,0))</f>
        <v>0</v>
      </c>
      <c r="BA269" s="507" cm="1">
        <f t="array" ref="BA269">_xlfn.LET(_xlpm.DepreciationMonths,INDEX(FixedAssets[Depreciation
/ Amortization Months],_xlfn.XMATCH($E$237,FixedAssets[Asset ID])),IF(AND((_xlfn.XMATCH(BA$8,$AH$8:$CC$8))-_xlfn.XMATCH($C269,$C$35:$C$82)+1&lt;=_xlpm.DepreciationMonths,$C269&lt;=BA$8),$E269/_xlpm.DepreciationMonths,0))</f>
        <v>0</v>
      </c>
      <c r="BB269" s="507" cm="1">
        <f t="array" ref="BB269">_xlfn.LET(_xlpm.DepreciationMonths,INDEX(FixedAssets[Depreciation
/ Amortization Months],_xlfn.XMATCH($E$237,FixedAssets[Asset ID])),IF(AND((_xlfn.XMATCH(BB$8,$AH$8:$CC$8))-_xlfn.XMATCH($C269,$C$35:$C$82)+1&lt;=_xlpm.DepreciationMonths,$C269&lt;=BB$8),$E269/_xlpm.DepreciationMonths,0))</f>
        <v>0</v>
      </c>
      <c r="BC269" s="507" cm="1">
        <f t="array" ref="BC269">_xlfn.LET(_xlpm.DepreciationMonths,INDEX(FixedAssets[Depreciation
/ Amortization Months],_xlfn.XMATCH($E$237,FixedAssets[Asset ID])),IF(AND((_xlfn.XMATCH(BC$8,$AH$8:$CC$8))-_xlfn.XMATCH($C269,$C$35:$C$82)+1&lt;=_xlpm.DepreciationMonths,$C269&lt;=BC$8),$E269/_xlpm.DepreciationMonths,0))</f>
        <v>0</v>
      </c>
      <c r="BD269" s="507" cm="1">
        <f t="array" ref="BD269">_xlfn.LET(_xlpm.DepreciationMonths,INDEX(FixedAssets[Depreciation
/ Amortization Months],_xlfn.XMATCH($E$237,FixedAssets[Asset ID])),IF(AND((_xlfn.XMATCH(BD$8,$AH$8:$CC$8))-_xlfn.XMATCH($C269,$C$35:$C$82)+1&lt;=_xlpm.DepreciationMonths,$C269&lt;=BD$8),$E269/_xlpm.DepreciationMonths,0))</f>
        <v>0</v>
      </c>
      <c r="BE269" s="507" cm="1">
        <f t="array" ref="BE269">_xlfn.LET(_xlpm.DepreciationMonths,INDEX(FixedAssets[Depreciation
/ Amortization Months],_xlfn.XMATCH($E$237,FixedAssets[Asset ID])),IF(AND((_xlfn.XMATCH(BE$8,$AH$8:$CC$8))-_xlfn.XMATCH($C269,$C$35:$C$82)+1&lt;=_xlpm.DepreciationMonths,$C269&lt;=BE$8),$E269/_xlpm.DepreciationMonths,0))</f>
        <v>0</v>
      </c>
      <c r="BF269" s="507" cm="1">
        <f t="array" ref="BF269">_xlfn.LET(_xlpm.DepreciationMonths,INDEX(FixedAssets[Depreciation
/ Amortization Months],_xlfn.XMATCH($E$237,FixedAssets[Asset ID])),IF(AND((_xlfn.XMATCH(BF$8,$AH$8:$CC$8))-_xlfn.XMATCH($C269,$C$35:$C$82)+1&lt;=_xlpm.DepreciationMonths,$C269&lt;=BF$8),$E269/_xlpm.DepreciationMonths,0))</f>
        <v>0</v>
      </c>
      <c r="BG269" s="507" cm="1">
        <f t="array" ref="BG269">_xlfn.LET(_xlpm.DepreciationMonths,INDEX(FixedAssets[Depreciation
/ Amortization Months],_xlfn.XMATCH($E$237,FixedAssets[Asset ID])),IF(AND((_xlfn.XMATCH(BG$8,$AH$8:$CC$8))-_xlfn.XMATCH($C269,$C$35:$C$82)+1&lt;=_xlpm.DepreciationMonths,$C269&lt;=BG$8),$E269/_xlpm.DepreciationMonths,0))</f>
        <v>0</v>
      </c>
      <c r="BH269" s="507" cm="1">
        <f t="array" ref="BH269">_xlfn.LET(_xlpm.DepreciationMonths,INDEX(FixedAssets[Depreciation
/ Amortization Months],_xlfn.XMATCH($E$237,FixedAssets[Asset ID])),IF(AND((_xlfn.XMATCH(BH$8,$AH$8:$CC$8))-_xlfn.XMATCH($C269,$C$35:$C$82)+1&lt;=_xlpm.DepreciationMonths,$C269&lt;=BH$8),$E269/_xlpm.DepreciationMonths,0))</f>
        <v>0</v>
      </c>
      <c r="BI269" s="507" cm="1">
        <f t="array" ref="BI269">_xlfn.LET(_xlpm.DepreciationMonths,INDEX(FixedAssets[Depreciation
/ Amortization Months],_xlfn.XMATCH($E$237,FixedAssets[Asset ID])),IF(AND((_xlfn.XMATCH(BI$8,$AH$8:$CC$8))-_xlfn.XMATCH($C269,$C$35:$C$82)+1&lt;=_xlpm.DepreciationMonths,$C269&lt;=BI$8),$E269/_xlpm.DepreciationMonths,0))</f>
        <v>0</v>
      </c>
      <c r="BJ269" s="507" cm="1">
        <f t="array" ref="BJ269">_xlfn.LET(_xlpm.DepreciationMonths,INDEX(FixedAssets[Depreciation
/ Amortization Months],_xlfn.XMATCH($E$237,FixedAssets[Asset ID])),IF(AND((_xlfn.XMATCH(BJ$8,$AH$8:$CC$8))-_xlfn.XMATCH($C269,$C$35:$C$82)+1&lt;=_xlpm.DepreciationMonths,$C269&lt;=BJ$8),$E269/_xlpm.DepreciationMonths,0))</f>
        <v>0</v>
      </c>
      <c r="BK269" s="507" cm="1">
        <f t="array" ref="BK269">_xlfn.LET(_xlpm.DepreciationMonths,INDEX(FixedAssets[Depreciation
/ Amortization Months],_xlfn.XMATCH($E$237,FixedAssets[Asset ID])),IF(AND((_xlfn.XMATCH(BK$8,$AH$8:$CC$8))-_xlfn.XMATCH($C269,$C$35:$C$82)+1&lt;=_xlpm.DepreciationMonths,$C269&lt;=BK$8),$E269/_xlpm.DepreciationMonths,0))</f>
        <v>0</v>
      </c>
      <c r="BL269" s="507" cm="1">
        <f t="array" ref="BL269">_xlfn.LET(_xlpm.DepreciationMonths,INDEX(FixedAssets[Depreciation
/ Amortization Months],_xlfn.XMATCH($E$237,FixedAssets[Asset ID])),IF(AND((_xlfn.XMATCH(BL$8,$AH$8:$CC$8))-_xlfn.XMATCH($C269,$C$35:$C$82)+1&lt;=_xlpm.DepreciationMonths,$C269&lt;=BL$8),$E269/_xlpm.DepreciationMonths,0))</f>
        <v>0</v>
      </c>
      <c r="BM269" s="507" cm="1">
        <f t="array" ref="BM269">_xlfn.LET(_xlpm.DepreciationMonths,INDEX(FixedAssets[Depreciation
/ Amortization Months],_xlfn.XMATCH($E$237,FixedAssets[Asset ID])),IF(AND((_xlfn.XMATCH(BM$8,$AH$8:$CC$8))-_xlfn.XMATCH($C269,$C$35:$C$82)+1&lt;=_xlpm.DepreciationMonths,$C269&lt;=BM$8),$E269/_xlpm.DepreciationMonths,0))</f>
        <v>0</v>
      </c>
      <c r="BN269" s="507" cm="1">
        <f t="array" ref="BN269">_xlfn.LET(_xlpm.DepreciationMonths,INDEX(FixedAssets[Depreciation
/ Amortization Months],_xlfn.XMATCH($E$237,FixedAssets[Asset ID])),IF(AND((_xlfn.XMATCH(BN$8,$AH$8:$CC$8))-_xlfn.XMATCH($C269,$C$35:$C$82)+1&lt;=_xlpm.DepreciationMonths,$C269&lt;=BN$8),$E269/_xlpm.DepreciationMonths,0))</f>
        <v>0</v>
      </c>
      <c r="BO269" s="507" cm="1">
        <f t="array" ref="BO269">_xlfn.LET(_xlpm.DepreciationMonths,INDEX(FixedAssets[Depreciation
/ Amortization Months],_xlfn.XMATCH($E$237,FixedAssets[Asset ID])),IF(AND((_xlfn.XMATCH(BO$8,$AH$8:$CC$8))-_xlfn.XMATCH($C269,$C$35:$C$82)+1&lt;=_xlpm.DepreciationMonths,$C269&lt;=BO$8),$E269/_xlpm.DepreciationMonths,0))</f>
        <v>0</v>
      </c>
      <c r="BP269" s="507" cm="1">
        <f t="array" ref="BP269">_xlfn.LET(_xlpm.DepreciationMonths,INDEX(FixedAssets[Depreciation
/ Amortization Months],_xlfn.XMATCH($E$237,FixedAssets[Asset ID])),IF(AND((_xlfn.XMATCH(BP$8,$AH$8:$CC$8))-_xlfn.XMATCH($C269,$C$35:$C$82)+1&lt;=_xlpm.DepreciationMonths,$C269&lt;=BP$8),$E269/_xlpm.DepreciationMonths,0))</f>
        <v>0</v>
      </c>
      <c r="BQ269" s="507" cm="1">
        <f t="array" ref="BQ269">_xlfn.LET(_xlpm.DepreciationMonths,INDEX(FixedAssets[Depreciation
/ Amortization Months],_xlfn.XMATCH($E$237,FixedAssets[Asset ID])),IF(AND((_xlfn.XMATCH(BQ$8,$AH$8:$CC$8))-_xlfn.XMATCH($C269,$C$35:$C$82)+1&lt;=_xlpm.DepreciationMonths,$C269&lt;=BQ$8),$E269/_xlpm.DepreciationMonths,0))</f>
        <v>0</v>
      </c>
      <c r="BR269" s="507" cm="1">
        <f t="array" ref="BR269">_xlfn.LET(_xlpm.DepreciationMonths,INDEX(FixedAssets[Depreciation
/ Amortization Months],_xlfn.XMATCH($E$237,FixedAssets[Asset ID])),IF(AND((_xlfn.XMATCH(BR$8,$AH$8:$CC$8))-_xlfn.XMATCH($C269,$C$35:$C$82)+1&lt;=_xlpm.DepreciationMonths,$C269&lt;=BR$8),$E269/_xlpm.DepreciationMonths,0))</f>
        <v>0</v>
      </c>
      <c r="BS269" s="507" cm="1">
        <f t="array" ref="BS269">_xlfn.LET(_xlpm.DepreciationMonths,INDEX(FixedAssets[Depreciation
/ Amortization Months],_xlfn.XMATCH($E$237,FixedAssets[Asset ID])),IF(AND((_xlfn.XMATCH(BS$8,$AH$8:$CC$8))-_xlfn.XMATCH($C269,$C$35:$C$82)+1&lt;=_xlpm.DepreciationMonths,$C269&lt;=BS$8),$E269/_xlpm.DepreciationMonths,0))</f>
        <v>0</v>
      </c>
      <c r="BT269" s="507" cm="1">
        <f t="array" ref="BT269">_xlfn.LET(_xlpm.DepreciationMonths,INDEX(FixedAssets[Depreciation
/ Amortization Months],_xlfn.XMATCH($E$237,FixedAssets[Asset ID])),IF(AND((_xlfn.XMATCH(BT$8,$AH$8:$CC$8))-_xlfn.XMATCH($C269,$C$35:$C$82)+1&lt;=_xlpm.DepreciationMonths,$C269&lt;=BT$8),$E269/_xlpm.DepreciationMonths,0))</f>
        <v>0</v>
      </c>
      <c r="BU269" s="507" cm="1">
        <f t="array" ref="BU269">_xlfn.LET(_xlpm.DepreciationMonths,INDEX(FixedAssets[Depreciation
/ Amortization Months],_xlfn.XMATCH($E$237,FixedAssets[Asset ID])),IF(AND((_xlfn.XMATCH(BU$8,$AH$8:$CC$8))-_xlfn.XMATCH($C269,$C$35:$C$82)+1&lt;=_xlpm.DepreciationMonths,$C269&lt;=BU$8),$E269/_xlpm.DepreciationMonths,0))</f>
        <v>0</v>
      </c>
      <c r="BV269" s="507" cm="1">
        <f t="array" ref="BV269">_xlfn.LET(_xlpm.DepreciationMonths,INDEX(FixedAssets[Depreciation
/ Amortization Months],_xlfn.XMATCH($E$237,FixedAssets[Asset ID])),IF(AND((_xlfn.XMATCH(BV$8,$AH$8:$CC$8))-_xlfn.XMATCH($C269,$C$35:$C$82)+1&lt;=_xlpm.DepreciationMonths,$C269&lt;=BV$8),$E269/_xlpm.DepreciationMonths,0))</f>
        <v>0</v>
      </c>
      <c r="BW269" s="507" cm="1">
        <f t="array" ref="BW269">_xlfn.LET(_xlpm.DepreciationMonths,INDEX(FixedAssets[Depreciation
/ Amortization Months],_xlfn.XMATCH($E$237,FixedAssets[Asset ID])),IF(AND((_xlfn.XMATCH(BW$8,$AH$8:$CC$8))-_xlfn.XMATCH($C269,$C$35:$C$82)+1&lt;=_xlpm.DepreciationMonths,$C269&lt;=BW$8),$E269/_xlpm.DepreciationMonths,0))</f>
        <v>0</v>
      </c>
      <c r="BX269" s="507" cm="1">
        <f t="array" ref="BX269">_xlfn.LET(_xlpm.DepreciationMonths,INDEX(FixedAssets[Depreciation
/ Amortization Months],_xlfn.XMATCH($E$237,FixedAssets[Asset ID])),IF(AND((_xlfn.XMATCH(BX$8,$AH$8:$CC$8))-_xlfn.XMATCH($C269,$C$35:$C$82)+1&lt;=_xlpm.DepreciationMonths,$C269&lt;=BX$8),$E269/_xlpm.DepreciationMonths,0))</f>
        <v>0</v>
      </c>
      <c r="BY269" s="507" cm="1">
        <f t="array" ref="BY269">_xlfn.LET(_xlpm.DepreciationMonths,INDEX(FixedAssets[Depreciation
/ Amortization Months],_xlfn.XMATCH($E$237,FixedAssets[Asset ID])),IF(AND((_xlfn.XMATCH(BY$8,$AH$8:$CC$8))-_xlfn.XMATCH($C269,$C$35:$C$82)+1&lt;=_xlpm.DepreciationMonths,$C269&lt;=BY$8),$E269/_xlpm.DepreciationMonths,0))</f>
        <v>0</v>
      </c>
      <c r="BZ269" s="507" cm="1">
        <f t="array" ref="BZ269">_xlfn.LET(_xlpm.DepreciationMonths,INDEX(FixedAssets[Depreciation
/ Amortization Months],_xlfn.XMATCH($E$237,FixedAssets[Asset ID])),IF(AND((_xlfn.XMATCH(BZ$8,$AH$8:$CC$8))-_xlfn.XMATCH($C269,$C$35:$C$82)+1&lt;=_xlpm.DepreciationMonths,$C269&lt;=BZ$8),$E269/_xlpm.DepreciationMonths,0))</f>
        <v>0</v>
      </c>
      <c r="CA269" s="507" cm="1">
        <f t="array" ref="CA269">_xlfn.LET(_xlpm.DepreciationMonths,INDEX(FixedAssets[Depreciation
/ Amortization Months],_xlfn.XMATCH($E$237,FixedAssets[Asset ID])),IF(AND((_xlfn.XMATCH(CA$8,$AH$8:$CC$8))-_xlfn.XMATCH($C269,$C$35:$C$82)+1&lt;=_xlpm.DepreciationMonths,$C269&lt;=CA$8),$E269/_xlpm.DepreciationMonths,0))</f>
        <v>0</v>
      </c>
      <c r="CB269" s="507" cm="1">
        <f t="array" ref="CB269">_xlfn.LET(_xlpm.DepreciationMonths,INDEX(FixedAssets[Depreciation
/ Amortization Months],_xlfn.XMATCH($E$237,FixedAssets[Asset ID])),IF(AND((_xlfn.XMATCH(CB$8,$AH$8:$CC$8))-_xlfn.XMATCH($C269,$C$35:$C$82)+1&lt;=_xlpm.DepreciationMonths,$C269&lt;=CB$8),$E269/_xlpm.DepreciationMonths,0))</f>
        <v>0</v>
      </c>
      <c r="CC269" s="507" cm="1">
        <f t="array" ref="CC269">_xlfn.LET(_xlpm.DepreciationMonths,INDEX(FixedAssets[Depreciation
/ Amortization Months],_xlfn.XMATCH($E$237,FixedAssets[Asset ID])),IF(AND((_xlfn.XMATCH(CC$8,$AH$8:$CC$8))-_xlfn.XMATCH($C269,$C$35:$C$82)+1&lt;=_xlpm.DepreciationMonths,$C269&lt;=CC$8),$E269/_xlpm.DepreciationMonths,0))</f>
        <v>0</v>
      </c>
    </row>
    <row r="270" spans="3:81" hidden="1" outlineLevel="2">
      <c r="C270" s="664">
        <f t="shared" si="267"/>
        <v>45900</v>
      </c>
      <c r="D270" s="508"/>
      <c r="E270" s="508" cm="1">
        <f t="array" ref="E270">SUMPRODUCT(($AH$26:$CC$31)*($AH$5:$CC$5=$C270)*($E$26:$E$31=E$237))-SUMPRODUCT(($AH$26:$CC$31)*($AH$5:$CC$5=EOMONTH($C270,-1))*($E$26:$E$31=E$237))</f>
        <v>0</v>
      </c>
      <c r="F270" s="508"/>
      <c r="G270" s="508"/>
      <c r="H270" s="508"/>
      <c r="I270" s="508"/>
      <c r="J270" s="504">
        <f t="shared" si="265"/>
        <v>0</v>
      </c>
      <c r="K270" s="504">
        <f t="shared" si="265"/>
        <v>0</v>
      </c>
      <c r="L270" s="504">
        <f t="shared" si="265"/>
        <v>0</v>
      </c>
      <c r="M270" s="504">
        <f t="shared" si="265"/>
        <v>0</v>
      </c>
      <c r="N270" s="504"/>
      <c r="O270" s="504"/>
      <c r="P270" s="504">
        <f t="shared" si="269"/>
        <v>0</v>
      </c>
      <c r="Q270" s="504">
        <f t="shared" si="269"/>
        <v>0</v>
      </c>
      <c r="R270" s="504">
        <f t="shared" si="269"/>
        <v>0</v>
      </c>
      <c r="S270" s="504">
        <f t="shared" si="269"/>
        <v>0</v>
      </c>
      <c r="T270" s="504">
        <f t="shared" si="269"/>
        <v>0</v>
      </c>
      <c r="U270" s="504">
        <f t="shared" si="269"/>
        <v>0</v>
      </c>
      <c r="V270" s="504">
        <f t="shared" si="269"/>
        <v>0</v>
      </c>
      <c r="W270" s="504">
        <f t="shared" si="269"/>
        <v>0</v>
      </c>
      <c r="X270" s="504">
        <f t="shared" si="269"/>
        <v>0</v>
      </c>
      <c r="Y270" s="504">
        <f t="shared" si="269"/>
        <v>0</v>
      </c>
      <c r="Z270" s="504">
        <f t="shared" si="269"/>
        <v>0</v>
      </c>
      <c r="AA270" s="504">
        <f t="shared" si="269"/>
        <v>0</v>
      </c>
      <c r="AB270" s="504">
        <f t="shared" si="269"/>
        <v>0</v>
      </c>
      <c r="AC270" s="504">
        <f t="shared" si="269"/>
        <v>0</v>
      </c>
      <c r="AD270" s="504">
        <f t="shared" si="269"/>
        <v>0</v>
      </c>
      <c r="AE270" s="504">
        <f t="shared" ref="AE270" si="270">SUMIFS($AH270:$CC270,$AH$4:$CC$4,"&gt;="&amp;AE$4,$AH$5:$CC$5,"&lt;="&amp;AE$5)</f>
        <v>0</v>
      </c>
      <c r="AF270" s="508"/>
      <c r="AG270" s="508"/>
      <c r="AH270" s="507" cm="1">
        <f t="array" ref="AH270">_xlfn.LET(_xlpm.DepreciationMonths,INDEX(FixedAssets[Depreciation
/ Amortization Months],_xlfn.XMATCH($E$237,FixedAssets[Asset ID])),IF(AND((_xlfn.XMATCH(AH$8,$AH$8:$CC$8))-_xlfn.XMATCH($C270,$C$35:$C$82)+1&lt;=_xlpm.DepreciationMonths,$C270&lt;=AH$8),$E270/_xlpm.DepreciationMonths,0))</f>
        <v>0</v>
      </c>
      <c r="AI270" s="507" cm="1">
        <f t="array" ref="AI270">_xlfn.LET(_xlpm.DepreciationMonths,INDEX(FixedAssets[Depreciation
/ Amortization Months],_xlfn.XMATCH($E$237,FixedAssets[Asset ID])),IF(AND((_xlfn.XMATCH(AI$8,$AH$8:$CC$8))-_xlfn.XMATCH($C270,$C$35:$C$82)+1&lt;=_xlpm.DepreciationMonths,$C270&lt;=AI$8),$E270/_xlpm.DepreciationMonths,0))</f>
        <v>0</v>
      </c>
      <c r="AJ270" s="507" cm="1">
        <f t="array" ref="AJ270">_xlfn.LET(_xlpm.DepreciationMonths,INDEX(FixedAssets[Depreciation
/ Amortization Months],_xlfn.XMATCH($E$237,FixedAssets[Asset ID])),IF(AND((_xlfn.XMATCH(AJ$8,$AH$8:$CC$8))-_xlfn.XMATCH($C270,$C$35:$C$82)+1&lt;=_xlpm.DepreciationMonths,$C270&lt;=AJ$8),$E270/_xlpm.DepreciationMonths,0))</f>
        <v>0</v>
      </c>
      <c r="AK270" s="507" cm="1">
        <f t="array" ref="AK270">_xlfn.LET(_xlpm.DepreciationMonths,INDEX(FixedAssets[Depreciation
/ Amortization Months],_xlfn.XMATCH($E$237,FixedAssets[Asset ID])),IF(AND((_xlfn.XMATCH(AK$8,$AH$8:$CC$8))-_xlfn.XMATCH($C270,$C$35:$C$82)+1&lt;=_xlpm.DepreciationMonths,$C270&lt;=AK$8),$E270/_xlpm.DepreciationMonths,0))</f>
        <v>0</v>
      </c>
      <c r="AL270" s="507" cm="1">
        <f t="array" ref="AL270">_xlfn.LET(_xlpm.DepreciationMonths,INDEX(FixedAssets[Depreciation
/ Amortization Months],_xlfn.XMATCH($E$237,FixedAssets[Asset ID])),IF(AND((_xlfn.XMATCH(AL$8,$AH$8:$CC$8))-_xlfn.XMATCH($C270,$C$35:$C$82)+1&lt;=_xlpm.DepreciationMonths,$C270&lt;=AL$8),$E270/_xlpm.DepreciationMonths,0))</f>
        <v>0</v>
      </c>
      <c r="AM270" s="507" cm="1">
        <f t="array" ref="AM270">_xlfn.LET(_xlpm.DepreciationMonths,INDEX(FixedAssets[Depreciation
/ Amortization Months],_xlfn.XMATCH($E$237,FixedAssets[Asset ID])),IF(AND((_xlfn.XMATCH(AM$8,$AH$8:$CC$8))-_xlfn.XMATCH($C270,$C$35:$C$82)+1&lt;=_xlpm.DepreciationMonths,$C270&lt;=AM$8),$E270/_xlpm.DepreciationMonths,0))</f>
        <v>0</v>
      </c>
      <c r="AN270" s="507" cm="1">
        <f t="array" ref="AN270">_xlfn.LET(_xlpm.DepreciationMonths,INDEX(FixedAssets[Depreciation
/ Amortization Months],_xlfn.XMATCH($E$237,FixedAssets[Asset ID])),IF(AND((_xlfn.XMATCH(AN$8,$AH$8:$CC$8))-_xlfn.XMATCH($C270,$C$35:$C$82)+1&lt;=_xlpm.DepreciationMonths,$C270&lt;=AN$8),$E270/_xlpm.DepreciationMonths,0))</f>
        <v>0</v>
      </c>
      <c r="AO270" s="507" cm="1">
        <f t="array" ref="AO270">_xlfn.LET(_xlpm.DepreciationMonths,INDEX(FixedAssets[Depreciation
/ Amortization Months],_xlfn.XMATCH($E$237,FixedAssets[Asset ID])),IF(AND((_xlfn.XMATCH(AO$8,$AH$8:$CC$8))-_xlfn.XMATCH($C270,$C$35:$C$82)+1&lt;=_xlpm.DepreciationMonths,$C270&lt;=AO$8),$E270/_xlpm.DepreciationMonths,0))</f>
        <v>0</v>
      </c>
      <c r="AP270" s="507" cm="1">
        <f t="array" ref="AP270">_xlfn.LET(_xlpm.DepreciationMonths,INDEX(FixedAssets[Depreciation
/ Amortization Months],_xlfn.XMATCH($E$237,FixedAssets[Asset ID])),IF(AND((_xlfn.XMATCH(AP$8,$AH$8:$CC$8))-_xlfn.XMATCH($C270,$C$35:$C$82)+1&lt;=_xlpm.DepreciationMonths,$C270&lt;=AP$8),$E270/_xlpm.DepreciationMonths,0))</f>
        <v>0</v>
      </c>
      <c r="AQ270" s="507" cm="1">
        <f t="array" ref="AQ270">_xlfn.LET(_xlpm.DepreciationMonths,INDEX(FixedAssets[Depreciation
/ Amortization Months],_xlfn.XMATCH($E$237,FixedAssets[Asset ID])),IF(AND((_xlfn.XMATCH(AQ$8,$AH$8:$CC$8))-_xlfn.XMATCH($C270,$C$35:$C$82)+1&lt;=_xlpm.DepreciationMonths,$C270&lt;=AQ$8),$E270/_xlpm.DepreciationMonths,0))</f>
        <v>0</v>
      </c>
      <c r="AR270" s="507" cm="1">
        <f t="array" ref="AR270">_xlfn.LET(_xlpm.DepreciationMonths,INDEX(FixedAssets[Depreciation
/ Amortization Months],_xlfn.XMATCH($E$237,FixedAssets[Asset ID])),IF(AND((_xlfn.XMATCH(AR$8,$AH$8:$CC$8))-_xlfn.XMATCH($C270,$C$35:$C$82)+1&lt;=_xlpm.DepreciationMonths,$C270&lt;=AR$8),$E270/_xlpm.DepreciationMonths,0))</f>
        <v>0</v>
      </c>
      <c r="AS270" s="507" cm="1">
        <f t="array" ref="AS270">_xlfn.LET(_xlpm.DepreciationMonths,INDEX(FixedAssets[Depreciation
/ Amortization Months],_xlfn.XMATCH($E$237,FixedAssets[Asset ID])),IF(AND((_xlfn.XMATCH(AS$8,$AH$8:$CC$8))-_xlfn.XMATCH($C270,$C$35:$C$82)+1&lt;=_xlpm.DepreciationMonths,$C270&lt;=AS$8),$E270/_xlpm.DepreciationMonths,0))</f>
        <v>0</v>
      </c>
      <c r="AT270" s="507" cm="1">
        <f t="array" ref="AT270">_xlfn.LET(_xlpm.DepreciationMonths,INDEX(FixedAssets[Depreciation
/ Amortization Months],_xlfn.XMATCH($E$237,FixedAssets[Asset ID])),IF(AND((_xlfn.XMATCH(AT$8,$AH$8:$CC$8))-_xlfn.XMATCH($C270,$C$35:$C$82)+1&lt;=_xlpm.DepreciationMonths,$C270&lt;=AT$8),$E270/_xlpm.DepreciationMonths,0))</f>
        <v>0</v>
      </c>
      <c r="AU270" s="507" cm="1">
        <f t="array" ref="AU270">_xlfn.LET(_xlpm.DepreciationMonths,INDEX(FixedAssets[Depreciation
/ Amortization Months],_xlfn.XMATCH($E$237,FixedAssets[Asset ID])),IF(AND((_xlfn.XMATCH(AU$8,$AH$8:$CC$8))-_xlfn.XMATCH($C270,$C$35:$C$82)+1&lt;=_xlpm.DepreciationMonths,$C270&lt;=AU$8),$E270/_xlpm.DepreciationMonths,0))</f>
        <v>0</v>
      </c>
      <c r="AV270" s="507" cm="1">
        <f t="array" ref="AV270">_xlfn.LET(_xlpm.DepreciationMonths,INDEX(FixedAssets[Depreciation
/ Amortization Months],_xlfn.XMATCH($E$237,FixedAssets[Asset ID])),IF(AND((_xlfn.XMATCH(AV$8,$AH$8:$CC$8))-_xlfn.XMATCH($C270,$C$35:$C$82)+1&lt;=_xlpm.DepreciationMonths,$C270&lt;=AV$8),$E270/_xlpm.DepreciationMonths,0))</f>
        <v>0</v>
      </c>
      <c r="AW270" s="507" cm="1">
        <f t="array" ref="AW270">_xlfn.LET(_xlpm.DepreciationMonths,INDEX(FixedAssets[Depreciation
/ Amortization Months],_xlfn.XMATCH($E$237,FixedAssets[Asset ID])),IF(AND((_xlfn.XMATCH(AW$8,$AH$8:$CC$8))-_xlfn.XMATCH($C270,$C$35:$C$82)+1&lt;=_xlpm.DepreciationMonths,$C270&lt;=AW$8),$E270/_xlpm.DepreciationMonths,0))</f>
        <v>0</v>
      </c>
      <c r="AX270" s="507" cm="1">
        <f t="array" ref="AX270">_xlfn.LET(_xlpm.DepreciationMonths,INDEX(FixedAssets[Depreciation
/ Amortization Months],_xlfn.XMATCH($E$237,FixedAssets[Asset ID])),IF(AND((_xlfn.XMATCH(AX$8,$AH$8:$CC$8))-_xlfn.XMATCH($C270,$C$35:$C$82)+1&lt;=_xlpm.DepreciationMonths,$C270&lt;=AX$8),$E270/_xlpm.DepreciationMonths,0))</f>
        <v>0</v>
      </c>
      <c r="AY270" s="507" cm="1">
        <f t="array" ref="AY270">_xlfn.LET(_xlpm.DepreciationMonths,INDEX(FixedAssets[Depreciation
/ Amortization Months],_xlfn.XMATCH($E$237,FixedAssets[Asset ID])),IF(AND((_xlfn.XMATCH(AY$8,$AH$8:$CC$8))-_xlfn.XMATCH($C270,$C$35:$C$82)+1&lt;=_xlpm.DepreciationMonths,$C270&lt;=AY$8),$E270/_xlpm.DepreciationMonths,0))</f>
        <v>0</v>
      </c>
      <c r="AZ270" s="507" cm="1">
        <f t="array" ref="AZ270">_xlfn.LET(_xlpm.DepreciationMonths,INDEX(FixedAssets[Depreciation
/ Amortization Months],_xlfn.XMATCH($E$237,FixedAssets[Asset ID])),IF(AND((_xlfn.XMATCH(AZ$8,$AH$8:$CC$8))-_xlfn.XMATCH($C270,$C$35:$C$82)+1&lt;=_xlpm.DepreciationMonths,$C270&lt;=AZ$8),$E270/_xlpm.DepreciationMonths,0))</f>
        <v>0</v>
      </c>
      <c r="BA270" s="507" cm="1">
        <f t="array" ref="BA270">_xlfn.LET(_xlpm.DepreciationMonths,INDEX(FixedAssets[Depreciation
/ Amortization Months],_xlfn.XMATCH($E$237,FixedAssets[Asset ID])),IF(AND((_xlfn.XMATCH(BA$8,$AH$8:$CC$8))-_xlfn.XMATCH($C270,$C$35:$C$82)+1&lt;=_xlpm.DepreciationMonths,$C270&lt;=BA$8),$E270/_xlpm.DepreciationMonths,0))</f>
        <v>0</v>
      </c>
      <c r="BB270" s="507" cm="1">
        <f t="array" ref="BB270">_xlfn.LET(_xlpm.DepreciationMonths,INDEX(FixedAssets[Depreciation
/ Amortization Months],_xlfn.XMATCH($E$237,FixedAssets[Asset ID])),IF(AND((_xlfn.XMATCH(BB$8,$AH$8:$CC$8))-_xlfn.XMATCH($C270,$C$35:$C$82)+1&lt;=_xlpm.DepreciationMonths,$C270&lt;=BB$8),$E270/_xlpm.DepreciationMonths,0))</f>
        <v>0</v>
      </c>
      <c r="BC270" s="507" cm="1">
        <f t="array" ref="BC270">_xlfn.LET(_xlpm.DepreciationMonths,INDEX(FixedAssets[Depreciation
/ Amortization Months],_xlfn.XMATCH($E$237,FixedAssets[Asset ID])),IF(AND((_xlfn.XMATCH(BC$8,$AH$8:$CC$8))-_xlfn.XMATCH($C270,$C$35:$C$82)+1&lt;=_xlpm.DepreciationMonths,$C270&lt;=BC$8),$E270/_xlpm.DepreciationMonths,0))</f>
        <v>0</v>
      </c>
      <c r="BD270" s="507" cm="1">
        <f t="array" ref="BD270">_xlfn.LET(_xlpm.DepreciationMonths,INDEX(FixedAssets[Depreciation
/ Amortization Months],_xlfn.XMATCH($E$237,FixedAssets[Asset ID])),IF(AND((_xlfn.XMATCH(BD$8,$AH$8:$CC$8))-_xlfn.XMATCH($C270,$C$35:$C$82)+1&lt;=_xlpm.DepreciationMonths,$C270&lt;=BD$8),$E270/_xlpm.DepreciationMonths,0))</f>
        <v>0</v>
      </c>
      <c r="BE270" s="507" cm="1">
        <f t="array" ref="BE270">_xlfn.LET(_xlpm.DepreciationMonths,INDEX(FixedAssets[Depreciation
/ Amortization Months],_xlfn.XMATCH($E$237,FixedAssets[Asset ID])),IF(AND((_xlfn.XMATCH(BE$8,$AH$8:$CC$8))-_xlfn.XMATCH($C270,$C$35:$C$82)+1&lt;=_xlpm.DepreciationMonths,$C270&lt;=BE$8),$E270/_xlpm.DepreciationMonths,0))</f>
        <v>0</v>
      </c>
      <c r="BF270" s="507" cm="1">
        <f t="array" ref="BF270">_xlfn.LET(_xlpm.DepreciationMonths,INDEX(FixedAssets[Depreciation
/ Amortization Months],_xlfn.XMATCH($E$237,FixedAssets[Asset ID])),IF(AND((_xlfn.XMATCH(BF$8,$AH$8:$CC$8))-_xlfn.XMATCH($C270,$C$35:$C$82)+1&lt;=_xlpm.DepreciationMonths,$C270&lt;=BF$8),$E270/_xlpm.DepreciationMonths,0))</f>
        <v>0</v>
      </c>
      <c r="BG270" s="507" cm="1">
        <f t="array" ref="BG270">_xlfn.LET(_xlpm.DepreciationMonths,INDEX(FixedAssets[Depreciation
/ Amortization Months],_xlfn.XMATCH($E$237,FixedAssets[Asset ID])),IF(AND((_xlfn.XMATCH(BG$8,$AH$8:$CC$8))-_xlfn.XMATCH($C270,$C$35:$C$82)+1&lt;=_xlpm.DepreciationMonths,$C270&lt;=BG$8),$E270/_xlpm.DepreciationMonths,0))</f>
        <v>0</v>
      </c>
      <c r="BH270" s="507" cm="1">
        <f t="array" ref="BH270">_xlfn.LET(_xlpm.DepreciationMonths,INDEX(FixedAssets[Depreciation
/ Amortization Months],_xlfn.XMATCH($E$237,FixedAssets[Asset ID])),IF(AND((_xlfn.XMATCH(BH$8,$AH$8:$CC$8))-_xlfn.XMATCH($C270,$C$35:$C$82)+1&lt;=_xlpm.DepreciationMonths,$C270&lt;=BH$8),$E270/_xlpm.DepreciationMonths,0))</f>
        <v>0</v>
      </c>
      <c r="BI270" s="507" cm="1">
        <f t="array" ref="BI270">_xlfn.LET(_xlpm.DepreciationMonths,INDEX(FixedAssets[Depreciation
/ Amortization Months],_xlfn.XMATCH($E$237,FixedAssets[Asset ID])),IF(AND((_xlfn.XMATCH(BI$8,$AH$8:$CC$8))-_xlfn.XMATCH($C270,$C$35:$C$82)+1&lt;=_xlpm.DepreciationMonths,$C270&lt;=BI$8),$E270/_xlpm.DepreciationMonths,0))</f>
        <v>0</v>
      </c>
      <c r="BJ270" s="507" cm="1">
        <f t="array" ref="BJ270">_xlfn.LET(_xlpm.DepreciationMonths,INDEX(FixedAssets[Depreciation
/ Amortization Months],_xlfn.XMATCH($E$237,FixedAssets[Asset ID])),IF(AND((_xlfn.XMATCH(BJ$8,$AH$8:$CC$8))-_xlfn.XMATCH($C270,$C$35:$C$82)+1&lt;=_xlpm.DepreciationMonths,$C270&lt;=BJ$8),$E270/_xlpm.DepreciationMonths,0))</f>
        <v>0</v>
      </c>
      <c r="BK270" s="507" cm="1">
        <f t="array" ref="BK270">_xlfn.LET(_xlpm.DepreciationMonths,INDEX(FixedAssets[Depreciation
/ Amortization Months],_xlfn.XMATCH($E$237,FixedAssets[Asset ID])),IF(AND((_xlfn.XMATCH(BK$8,$AH$8:$CC$8))-_xlfn.XMATCH($C270,$C$35:$C$82)+1&lt;=_xlpm.DepreciationMonths,$C270&lt;=BK$8),$E270/_xlpm.DepreciationMonths,0))</f>
        <v>0</v>
      </c>
      <c r="BL270" s="507" cm="1">
        <f t="array" ref="BL270">_xlfn.LET(_xlpm.DepreciationMonths,INDEX(FixedAssets[Depreciation
/ Amortization Months],_xlfn.XMATCH($E$237,FixedAssets[Asset ID])),IF(AND((_xlfn.XMATCH(BL$8,$AH$8:$CC$8))-_xlfn.XMATCH($C270,$C$35:$C$82)+1&lt;=_xlpm.DepreciationMonths,$C270&lt;=BL$8),$E270/_xlpm.DepreciationMonths,0))</f>
        <v>0</v>
      </c>
      <c r="BM270" s="507" cm="1">
        <f t="array" ref="BM270">_xlfn.LET(_xlpm.DepreciationMonths,INDEX(FixedAssets[Depreciation
/ Amortization Months],_xlfn.XMATCH($E$237,FixedAssets[Asset ID])),IF(AND((_xlfn.XMATCH(BM$8,$AH$8:$CC$8))-_xlfn.XMATCH($C270,$C$35:$C$82)+1&lt;=_xlpm.DepreciationMonths,$C270&lt;=BM$8),$E270/_xlpm.DepreciationMonths,0))</f>
        <v>0</v>
      </c>
      <c r="BN270" s="507" cm="1">
        <f t="array" ref="BN270">_xlfn.LET(_xlpm.DepreciationMonths,INDEX(FixedAssets[Depreciation
/ Amortization Months],_xlfn.XMATCH($E$237,FixedAssets[Asset ID])),IF(AND((_xlfn.XMATCH(BN$8,$AH$8:$CC$8))-_xlfn.XMATCH($C270,$C$35:$C$82)+1&lt;=_xlpm.DepreciationMonths,$C270&lt;=BN$8),$E270/_xlpm.DepreciationMonths,0))</f>
        <v>0</v>
      </c>
      <c r="BO270" s="507" cm="1">
        <f t="array" ref="BO270">_xlfn.LET(_xlpm.DepreciationMonths,INDEX(FixedAssets[Depreciation
/ Amortization Months],_xlfn.XMATCH($E$237,FixedAssets[Asset ID])),IF(AND((_xlfn.XMATCH(BO$8,$AH$8:$CC$8))-_xlfn.XMATCH($C270,$C$35:$C$82)+1&lt;=_xlpm.DepreciationMonths,$C270&lt;=BO$8),$E270/_xlpm.DepreciationMonths,0))</f>
        <v>0</v>
      </c>
      <c r="BP270" s="507" cm="1">
        <f t="array" ref="BP270">_xlfn.LET(_xlpm.DepreciationMonths,INDEX(FixedAssets[Depreciation
/ Amortization Months],_xlfn.XMATCH($E$237,FixedAssets[Asset ID])),IF(AND((_xlfn.XMATCH(BP$8,$AH$8:$CC$8))-_xlfn.XMATCH($C270,$C$35:$C$82)+1&lt;=_xlpm.DepreciationMonths,$C270&lt;=BP$8),$E270/_xlpm.DepreciationMonths,0))</f>
        <v>0</v>
      </c>
      <c r="BQ270" s="507" cm="1">
        <f t="array" ref="BQ270">_xlfn.LET(_xlpm.DepreciationMonths,INDEX(FixedAssets[Depreciation
/ Amortization Months],_xlfn.XMATCH($E$237,FixedAssets[Asset ID])),IF(AND((_xlfn.XMATCH(BQ$8,$AH$8:$CC$8))-_xlfn.XMATCH($C270,$C$35:$C$82)+1&lt;=_xlpm.DepreciationMonths,$C270&lt;=BQ$8),$E270/_xlpm.DepreciationMonths,0))</f>
        <v>0</v>
      </c>
      <c r="BR270" s="507" cm="1">
        <f t="array" ref="BR270">_xlfn.LET(_xlpm.DepreciationMonths,INDEX(FixedAssets[Depreciation
/ Amortization Months],_xlfn.XMATCH($E$237,FixedAssets[Asset ID])),IF(AND((_xlfn.XMATCH(BR$8,$AH$8:$CC$8))-_xlfn.XMATCH($C270,$C$35:$C$82)+1&lt;=_xlpm.DepreciationMonths,$C270&lt;=BR$8),$E270/_xlpm.DepreciationMonths,0))</f>
        <v>0</v>
      </c>
      <c r="BS270" s="507" cm="1">
        <f t="array" ref="BS270">_xlfn.LET(_xlpm.DepreciationMonths,INDEX(FixedAssets[Depreciation
/ Amortization Months],_xlfn.XMATCH($E$237,FixedAssets[Asset ID])),IF(AND((_xlfn.XMATCH(BS$8,$AH$8:$CC$8))-_xlfn.XMATCH($C270,$C$35:$C$82)+1&lt;=_xlpm.DepreciationMonths,$C270&lt;=BS$8),$E270/_xlpm.DepreciationMonths,0))</f>
        <v>0</v>
      </c>
      <c r="BT270" s="507" cm="1">
        <f t="array" ref="BT270">_xlfn.LET(_xlpm.DepreciationMonths,INDEX(FixedAssets[Depreciation
/ Amortization Months],_xlfn.XMATCH($E$237,FixedAssets[Asset ID])),IF(AND((_xlfn.XMATCH(BT$8,$AH$8:$CC$8))-_xlfn.XMATCH($C270,$C$35:$C$82)+1&lt;=_xlpm.DepreciationMonths,$C270&lt;=BT$8),$E270/_xlpm.DepreciationMonths,0))</f>
        <v>0</v>
      </c>
      <c r="BU270" s="507" cm="1">
        <f t="array" ref="BU270">_xlfn.LET(_xlpm.DepreciationMonths,INDEX(FixedAssets[Depreciation
/ Amortization Months],_xlfn.XMATCH($E$237,FixedAssets[Asset ID])),IF(AND((_xlfn.XMATCH(BU$8,$AH$8:$CC$8))-_xlfn.XMATCH($C270,$C$35:$C$82)+1&lt;=_xlpm.DepreciationMonths,$C270&lt;=BU$8),$E270/_xlpm.DepreciationMonths,0))</f>
        <v>0</v>
      </c>
      <c r="BV270" s="507" cm="1">
        <f t="array" ref="BV270">_xlfn.LET(_xlpm.DepreciationMonths,INDEX(FixedAssets[Depreciation
/ Amortization Months],_xlfn.XMATCH($E$237,FixedAssets[Asset ID])),IF(AND((_xlfn.XMATCH(BV$8,$AH$8:$CC$8))-_xlfn.XMATCH($C270,$C$35:$C$82)+1&lt;=_xlpm.DepreciationMonths,$C270&lt;=BV$8),$E270/_xlpm.DepreciationMonths,0))</f>
        <v>0</v>
      </c>
      <c r="BW270" s="507" cm="1">
        <f t="array" ref="BW270">_xlfn.LET(_xlpm.DepreciationMonths,INDEX(FixedAssets[Depreciation
/ Amortization Months],_xlfn.XMATCH($E$237,FixedAssets[Asset ID])),IF(AND((_xlfn.XMATCH(BW$8,$AH$8:$CC$8))-_xlfn.XMATCH($C270,$C$35:$C$82)+1&lt;=_xlpm.DepreciationMonths,$C270&lt;=BW$8),$E270/_xlpm.DepreciationMonths,0))</f>
        <v>0</v>
      </c>
      <c r="BX270" s="507" cm="1">
        <f t="array" ref="BX270">_xlfn.LET(_xlpm.DepreciationMonths,INDEX(FixedAssets[Depreciation
/ Amortization Months],_xlfn.XMATCH($E$237,FixedAssets[Asset ID])),IF(AND((_xlfn.XMATCH(BX$8,$AH$8:$CC$8))-_xlfn.XMATCH($C270,$C$35:$C$82)+1&lt;=_xlpm.DepreciationMonths,$C270&lt;=BX$8),$E270/_xlpm.DepreciationMonths,0))</f>
        <v>0</v>
      </c>
      <c r="BY270" s="507" cm="1">
        <f t="array" ref="BY270">_xlfn.LET(_xlpm.DepreciationMonths,INDEX(FixedAssets[Depreciation
/ Amortization Months],_xlfn.XMATCH($E$237,FixedAssets[Asset ID])),IF(AND((_xlfn.XMATCH(BY$8,$AH$8:$CC$8))-_xlfn.XMATCH($C270,$C$35:$C$82)+1&lt;=_xlpm.DepreciationMonths,$C270&lt;=BY$8),$E270/_xlpm.DepreciationMonths,0))</f>
        <v>0</v>
      </c>
      <c r="BZ270" s="507" cm="1">
        <f t="array" ref="BZ270">_xlfn.LET(_xlpm.DepreciationMonths,INDEX(FixedAssets[Depreciation
/ Amortization Months],_xlfn.XMATCH($E$237,FixedAssets[Asset ID])),IF(AND((_xlfn.XMATCH(BZ$8,$AH$8:$CC$8))-_xlfn.XMATCH($C270,$C$35:$C$82)+1&lt;=_xlpm.DepreciationMonths,$C270&lt;=BZ$8),$E270/_xlpm.DepreciationMonths,0))</f>
        <v>0</v>
      </c>
      <c r="CA270" s="507" cm="1">
        <f t="array" ref="CA270">_xlfn.LET(_xlpm.DepreciationMonths,INDEX(FixedAssets[Depreciation
/ Amortization Months],_xlfn.XMATCH($E$237,FixedAssets[Asset ID])),IF(AND((_xlfn.XMATCH(CA$8,$AH$8:$CC$8))-_xlfn.XMATCH($C270,$C$35:$C$82)+1&lt;=_xlpm.DepreciationMonths,$C270&lt;=CA$8),$E270/_xlpm.DepreciationMonths,0))</f>
        <v>0</v>
      </c>
      <c r="CB270" s="507" cm="1">
        <f t="array" ref="CB270">_xlfn.LET(_xlpm.DepreciationMonths,INDEX(FixedAssets[Depreciation
/ Amortization Months],_xlfn.XMATCH($E$237,FixedAssets[Asset ID])),IF(AND((_xlfn.XMATCH(CB$8,$AH$8:$CC$8))-_xlfn.XMATCH($C270,$C$35:$C$82)+1&lt;=_xlpm.DepreciationMonths,$C270&lt;=CB$8),$E270/_xlpm.DepreciationMonths,0))</f>
        <v>0</v>
      </c>
      <c r="CC270" s="507" cm="1">
        <f t="array" ref="CC270">_xlfn.LET(_xlpm.DepreciationMonths,INDEX(FixedAssets[Depreciation
/ Amortization Months],_xlfn.XMATCH($E$237,FixedAssets[Asset ID])),IF(AND((_xlfn.XMATCH(CC$8,$AH$8:$CC$8))-_xlfn.XMATCH($C270,$C$35:$C$82)+1&lt;=_xlpm.DepreciationMonths,$C270&lt;=CC$8),$E270/_xlpm.DepreciationMonths,0))</f>
        <v>0</v>
      </c>
    </row>
    <row r="271" spans="3:81" hidden="1" outlineLevel="2">
      <c r="C271" s="664">
        <f t="shared" si="267"/>
        <v>45930</v>
      </c>
      <c r="D271" s="508"/>
      <c r="E271" s="508" cm="1">
        <f t="array" ref="E271">SUMPRODUCT(($AH$26:$CC$31)*($AH$5:$CC$5=$C271)*($E$26:$E$31=E$237))-SUMPRODUCT(($AH$26:$CC$31)*($AH$5:$CC$5=EOMONTH($C271,-1))*($E$26:$E$31=E$237))</f>
        <v>0</v>
      </c>
      <c r="F271" s="508"/>
      <c r="G271" s="508"/>
      <c r="H271" s="508"/>
      <c r="I271" s="508"/>
      <c r="J271" s="504">
        <f t="shared" si="265"/>
        <v>0</v>
      </c>
      <c r="K271" s="504">
        <f t="shared" si="265"/>
        <v>0</v>
      </c>
      <c r="L271" s="504">
        <f t="shared" si="265"/>
        <v>0</v>
      </c>
      <c r="M271" s="504">
        <f t="shared" si="265"/>
        <v>0</v>
      </c>
      <c r="N271" s="504"/>
      <c r="O271" s="504"/>
      <c r="P271" s="504">
        <f t="shared" ref="P271:AE286" si="271">SUMIFS($AH271:$CC271,$AH$4:$CC$4,"&gt;="&amp;P$4,$AH$5:$CC$5,"&lt;="&amp;P$5)</f>
        <v>0</v>
      </c>
      <c r="Q271" s="504">
        <f t="shared" si="271"/>
        <v>0</v>
      </c>
      <c r="R271" s="504">
        <f t="shared" si="271"/>
        <v>0</v>
      </c>
      <c r="S271" s="504">
        <f t="shared" si="271"/>
        <v>0</v>
      </c>
      <c r="T271" s="504">
        <f t="shared" si="271"/>
        <v>0</v>
      </c>
      <c r="U271" s="504">
        <f t="shared" si="271"/>
        <v>0</v>
      </c>
      <c r="V271" s="504">
        <f t="shared" si="271"/>
        <v>0</v>
      </c>
      <c r="W271" s="504">
        <f t="shared" si="271"/>
        <v>0</v>
      </c>
      <c r="X271" s="504">
        <f t="shared" si="271"/>
        <v>0</v>
      </c>
      <c r="Y271" s="504">
        <f t="shared" si="271"/>
        <v>0</v>
      </c>
      <c r="Z271" s="504">
        <f t="shared" si="271"/>
        <v>0</v>
      </c>
      <c r="AA271" s="504">
        <f t="shared" si="271"/>
        <v>0</v>
      </c>
      <c r="AB271" s="504">
        <f t="shared" si="271"/>
        <v>0</v>
      </c>
      <c r="AC271" s="504">
        <f t="shared" si="271"/>
        <v>0</v>
      </c>
      <c r="AD271" s="504">
        <f t="shared" si="271"/>
        <v>0</v>
      </c>
      <c r="AE271" s="504">
        <f t="shared" si="271"/>
        <v>0</v>
      </c>
      <c r="AF271" s="508"/>
      <c r="AG271" s="508"/>
      <c r="AH271" s="507" cm="1">
        <f t="array" ref="AH271">_xlfn.LET(_xlpm.DepreciationMonths,INDEX(FixedAssets[Depreciation
/ Amortization Months],_xlfn.XMATCH($E$237,FixedAssets[Asset ID])),IF(AND((_xlfn.XMATCH(AH$8,$AH$8:$CC$8))-_xlfn.XMATCH($C271,$C$35:$C$82)+1&lt;=_xlpm.DepreciationMonths,$C271&lt;=AH$8),$E271/_xlpm.DepreciationMonths,0))</f>
        <v>0</v>
      </c>
      <c r="AI271" s="507" cm="1">
        <f t="array" ref="AI271">_xlfn.LET(_xlpm.DepreciationMonths,INDEX(FixedAssets[Depreciation
/ Amortization Months],_xlfn.XMATCH($E$237,FixedAssets[Asset ID])),IF(AND((_xlfn.XMATCH(AI$8,$AH$8:$CC$8))-_xlfn.XMATCH($C271,$C$35:$C$82)+1&lt;=_xlpm.DepreciationMonths,$C271&lt;=AI$8),$E271/_xlpm.DepreciationMonths,0))</f>
        <v>0</v>
      </c>
      <c r="AJ271" s="507" cm="1">
        <f t="array" ref="AJ271">_xlfn.LET(_xlpm.DepreciationMonths,INDEX(FixedAssets[Depreciation
/ Amortization Months],_xlfn.XMATCH($E$237,FixedAssets[Asset ID])),IF(AND((_xlfn.XMATCH(AJ$8,$AH$8:$CC$8))-_xlfn.XMATCH($C271,$C$35:$C$82)+1&lt;=_xlpm.DepreciationMonths,$C271&lt;=AJ$8),$E271/_xlpm.DepreciationMonths,0))</f>
        <v>0</v>
      </c>
      <c r="AK271" s="507" cm="1">
        <f t="array" ref="AK271">_xlfn.LET(_xlpm.DepreciationMonths,INDEX(FixedAssets[Depreciation
/ Amortization Months],_xlfn.XMATCH($E$237,FixedAssets[Asset ID])),IF(AND((_xlfn.XMATCH(AK$8,$AH$8:$CC$8))-_xlfn.XMATCH($C271,$C$35:$C$82)+1&lt;=_xlpm.DepreciationMonths,$C271&lt;=AK$8),$E271/_xlpm.DepreciationMonths,0))</f>
        <v>0</v>
      </c>
      <c r="AL271" s="507" cm="1">
        <f t="array" ref="AL271">_xlfn.LET(_xlpm.DepreciationMonths,INDEX(FixedAssets[Depreciation
/ Amortization Months],_xlfn.XMATCH($E$237,FixedAssets[Asset ID])),IF(AND((_xlfn.XMATCH(AL$8,$AH$8:$CC$8))-_xlfn.XMATCH($C271,$C$35:$C$82)+1&lt;=_xlpm.DepreciationMonths,$C271&lt;=AL$8),$E271/_xlpm.DepreciationMonths,0))</f>
        <v>0</v>
      </c>
      <c r="AM271" s="507" cm="1">
        <f t="array" ref="AM271">_xlfn.LET(_xlpm.DepreciationMonths,INDEX(FixedAssets[Depreciation
/ Amortization Months],_xlfn.XMATCH($E$237,FixedAssets[Asset ID])),IF(AND((_xlfn.XMATCH(AM$8,$AH$8:$CC$8))-_xlfn.XMATCH($C271,$C$35:$C$82)+1&lt;=_xlpm.DepreciationMonths,$C271&lt;=AM$8),$E271/_xlpm.DepreciationMonths,0))</f>
        <v>0</v>
      </c>
      <c r="AN271" s="507" cm="1">
        <f t="array" ref="AN271">_xlfn.LET(_xlpm.DepreciationMonths,INDEX(FixedAssets[Depreciation
/ Amortization Months],_xlfn.XMATCH($E$237,FixedAssets[Asset ID])),IF(AND((_xlfn.XMATCH(AN$8,$AH$8:$CC$8))-_xlfn.XMATCH($C271,$C$35:$C$82)+1&lt;=_xlpm.DepreciationMonths,$C271&lt;=AN$8),$E271/_xlpm.DepreciationMonths,0))</f>
        <v>0</v>
      </c>
      <c r="AO271" s="507" cm="1">
        <f t="array" ref="AO271">_xlfn.LET(_xlpm.DepreciationMonths,INDEX(FixedAssets[Depreciation
/ Amortization Months],_xlfn.XMATCH($E$237,FixedAssets[Asset ID])),IF(AND((_xlfn.XMATCH(AO$8,$AH$8:$CC$8))-_xlfn.XMATCH($C271,$C$35:$C$82)+1&lt;=_xlpm.DepreciationMonths,$C271&lt;=AO$8),$E271/_xlpm.DepreciationMonths,0))</f>
        <v>0</v>
      </c>
      <c r="AP271" s="507" cm="1">
        <f t="array" ref="AP271">_xlfn.LET(_xlpm.DepreciationMonths,INDEX(FixedAssets[Depreciation
/ Amortization Months],_xlfn.XMATCH($E$237,FixedAssets[Asset ID])),IF(AND((_xlfn.XMATCH(AP$8,$AH$8:$CC$8))-_xlfn.XMATCH($C271,$C$35:$C$82)+1&lt;=_xlpm.DepreciationMonths,$C271&lt;=AP$8),$E271/_xlpm.DepreciationMonths,0))</f>
        <v>0</v>
      </c>
      <c r="AQ271" s="507" cm="1">
        <f t="array" ref="AQ271">_xlfn.LET(_xlpm.DepreciationMonths,INDEX(FixedAssets[Depreciation
/ Amortization Months],_xlfn.XMATCH($E$237,FixedAssets[Asset ID])),IF(AND((_xlfn.XMATCH(AQ$8,$AH$8:$CC$8))-_xlfn.XMATCH($C271,$C$35:$C$82)+1&lt;=_xlpm.DepreciationMonths,$C271&lt;=AQ$8),$E271/_xlpm.DepreciationMonths,0))</f>
        <v>0</v>
      </c>
      <c r="AR271" s="507" cm="1">
        <f t="array" ref="AR271">_xlfn.LET(_xlpm.DepreciationMonths,INDEX(FixedAssets[Depreciation
/ Amortization Months],_xlfn.XMATCH($E$237,FixedAssets[Asset ID])),IF(AND((_xlfn.XMATCH(AR$8,$AH$8:$CC$8))-_xlfn.XMATCH($C271,$C$35:$C$82)+1&lt;=_xlpm.DepreciationMonths,$C271&lt;=AR$8),$E271/_xlpm.DepreciationMonths,0))</f>
        <v>0</v>
      </c>
      <c r="AS271" s="507" cm="1">
        <f t="array" ref="AS271">_xlfn.LET(_xlpm.DepreciationMonths,INDEX(FixedAssets[Depreciation
/ Amortization Months],_xlfn.XMATCH($E$237,FixedAssets[Asset ID])),IF(AND((_xlfn.XMATCH(AS$8,$AH$8:$CC$8))-_xlfn.XMATCH($C271,$C$35:$C$82)+1&lt;=_xlpm.DepreciationMonths,$C271&lt;=AS$8),$E271/_xlpm.DepreciationMonths,0))</f>
        <v>0</v>
      </c>
      <c r="AT271" s="507" cm="1">
        <f t="array" ref="AT271">_xlfn.LET(_xlpm.DepreciationMonths,INDEX(FixedAssets[Depreciation
/ Amortization Months],_xlfn.XMATCH($E$237,FixedAssets[Asset ID])),IF(AND((_xlfn.XMATCH(AT$8,$AH$8:$CC$8))-_xlfn.XMATCH($C271,$C$35:$C$82)+1&lt;=_xlpm.DepreciationMonths,$C271&lt;=AT$8),$E271/_xlpm.DepreciationMonths,0))</f>
        <v>0</v>
      </c>
      <c r="AU271" s="507" cm="1">
        <f t="array" ref="AU271">_xlfn.LET(_xlpm.DepreciationMonths,INDEX(FixedAssets[Depreciation
/ Amortization Months],_xlfn.XMATCH($E$237,FixedAssets[Asset ID])),IF(AND((_xlfn.XMATCH(AU$8,$AH$8:$CC$8))-_xlfn.XMATCH($C271,$C$35:$C$82)+1&lt;=_xlpm.DepreciationMonths,$C271&lt;=AU$8),$E271/_xlpm.DepreciationMonths,0))</f>
        <v>0</v>
      </c>
      <c r="AV271" s="507" cm="1">
        <f t="array" ref="AV271">_xlfn.LET(_xlpm.DepreciationMonths,INDEX(FixedAssets[Depreciation
/ Amortization Months],_xlfn.XMATCH($E$237,FixedAssets[Asset ID])),IF(AND((_xlfn.XMATCH(AV$8,$AH$8:$CC$8))-_xlfn.XMATCH($C271,$C$35:$C$82)+1&lt;=_xlpm.DepreciationMonths,$C271&lt;=AV$8),$E271/_xlpm.DepreciationMonths,0))</f>
        <v>0</v>
      </c>
      <c r="AW271" s="507" cm="1">
        <f t="array" ref="AW271">_xlfn.LET(_xlpm.DepreciationMonths,INDEX(FixedAssets[Depreciation
/ Amortization Months],_xlfn.XMATCH($E$237,FixedAssets[Asset ID])),IF(AND((_xlfn.XMATCH(AW$8,$AH$8:$CC$8))-_xlfn.XMATCH($C271,$C$35:$C$82)+1&lt;=_xlpm.DepreciationMonths,$C271&lt;=AW$8),$E271/_xlpm.DepreciationMonths,0))</f>
        <v>0</v>
      </c>
      <c r="AX271" s="507" cm="1">
        <f t="array" ref="AX271">_xlfn.LET(_xlpm.DepreciationMonths,INDEX(FixedAssets[Depreciation
/ Amortization Months],_xlfn.XMATCH($E$237,FixedAssets[Asset ID])),IF(AND((_xlfn.XMATCH(AX$8,$AH$8:$CC$8))-_xlfn.XMATCH($C271,$C$35:$C$82)+1&lt;=_xlpm.DepreciationMonths,$C271&lt;=AX$8),$E271/_xlpm.DepreciationMonths,0))</f>
        <v>0</v>
      </c>
      <c r="AY271" s="507" cm="1">
        <f t="array" ref="AY271">_xlfn.LET(_xlpm.DepreciationMonths,INDEX(FixedAssets[Depreciation
/ Amortization Months],_xlfn.XMATCH($E$237,FixedAssets[Asset ID])),IF(AND((_xlfn.XMATCH(AY$8,$AH$8:$CC$8))-_xlfn.XMATCH($C271,$C$35:$C$82)+1&lt;=_xlpm.DepreciationMonths,$C271&lt;=AY$8),$E271/_xlpm.DepreciationMonths,0))</f>
        <v>0</v>
      </c>
      <c r="AZ271" s="507" cm="1">
        <f t="array" ref="AZ271">_xlfn.LET(_xlpm.DepreciationMonths,INDEX(FixedAssets[Depreciation
/ Amortization Months],_xlfn.XMATCH($E$237,FixedAssets[Asset ID])),IF(AND((_xlfn.XMATCH(AZ$8,$AH$8:$CC$8))-_xlfn.XMATCH($C271,$C$35:$C$82)+1&lt;=_xlpm.DepreciationMonths,$C271&lt;=AZ$8),$E271/_xlpm.DepreciationMonths,0))</f>
        <v>0</v>
      </c>
      <c r="BA271" s="507" cm="1">
        <f t="array" ref="BA271">_xlfn.LET(_xlpm.DepreciationMonths,INDEX(FixedAssets[Depreciation
/ Amortization Months],_xlfn.XMATCH($E$237,FixedAssets[Asset ID])),IF(AND((_xlfn.XMATCH(BA$8,$AH$8:$CC$8))-_xlfn.XMATCH($C271,$C$35:$C$82)+1&lt;=_xlpm.DepreciationMonths,$C271&lt;=BA$8),$E271/_xlpm.DepreciationMonths,0))</f>
        <v>0</v>
      </c>
      <c r="BB271" s="507" cm="1">
        <f t="array" ref="BB271">_xlfn.LET(_xlpm.DepreciationMonths,INDEX(FixedAssets[Depreciation
/ Amortization Months],_xlfn.XMATCH($E$237,FixedAssets[Asset ID])),IF(AND((_xlfn.XMATCH(BB$8,$AH$8:$CC$8))-_xlfn.XMATCH($C271,$C$35:$C$82)+1&lt;=_xlpm.DepreciationMonths,$C271&lt;=BB$8),$E271/_xlpm.DepreciationMonths,0))</f>
        <v>0</v>
      </c>
      <c r="BC271" s="507" cm="1">
        <f t="array" ref="BC271">_xlfn.LET(_xlpm.DepreciationMonths,INDEX(FixedAssets[Depreciation
/ Amortization Months],_xlfn.XMATCH($E$237,FixedAssets[Asset ID])),IF(AND((_xlfn.XMATCH(BC$8,$AH$8:$CC$8))-_xlfn.XMATCH($C271,$C$35:$C$82)+1&lt;=_xlpm.DepreciationMonths,$C271&lt;=BC$8),$E271/_xlpm.DepreciationMonths,0))</f>
        <v>0</v>
      </c>
      <c r="BD271" s="507" cm="1">
        <f t="array" ref="BD271">_xlfn.LET(_xlpm.DepreciationMonths,INDEX(FixedAssets[Depreciation
/ Amortization Months],_xlfn.XMATCH($E$237,FixedAssets[Asset ID])),IF(AND((_xlfn.XMATCH(BD$8,$AH$8:$CC$8))-_xlfn.XMATCH($C271,$C$35:$C$82)+1&lt;=_xlpm.DepreciationMonths,$C271&lt;=BD$8),$E271/_xlpm.DepreciationMonths,0))</f>
        <v>0</v>
      </c>
      <c r="BE271" s="507" cm="1">
        <f t="array" ref="BE271">_xlfn.LET(_xlpm.DepreciationMonths,INDEX(FixedAssets[Depreciation
/ Amortization Months],_xlfn.XMATCH($E$237,FixedAssets[Asset ID])),IF(AND((_xlfn.XMATCH(BE$8,$AH$8:$CC$8))-_xlfn.XMATCH($C271,$C$35:$C$82)+1&lt;=_xlpm.DepreciationMonths,$C271&lt;=BE$8),$E271/_xlpm.DepreciationMonths,0))</f>
        <v>0</v>
      </c>
      <c r="BF271" s="507" cm="1">
        <f t="array" ref="BF271">_xlfn.LET(_xlpm.DepreciationMonths,INDEX(FixedAssets[Depreciation
/ Amortization Months],_xlfn.XMATCH($E$237,FixedAssets[Asset ID])),IF(AND((_xlfn.XMATCH(BF$8,$AH$8:$CC$8))-_xlfn.XMATCH($C271,$C$35:$C$82)+1&lt;=_xlpm.DepreciationMonths,$C271&lt;=BF$8),$E271/_xlpm.DepreciationMonths,0))</f>
        <v>0</v>
      </c>
      <c r="BG271" s="507" cm="1">
        <f t="array" ref="BG271">_xlfn.LET(_xlpm.DepreciationMonths,INDEX(FixedAssets[Depreciation
/ Amortization Months],_xlfn.XMATCH($E$237,FixedAssets[Asset ID])),IF(AND((_xlfn.XMATCH(BG$8,$AH$8:$CC$8))-_xlfn.XMATCH($C271,$C$35:$C$82)+1&lt;=_xlpm.DepreciationMonths,$C271&lt;=BG$8),$E271/_xlpm.DepreciationMonths,0))</f>
        <v>0</v>
      </c>
      <c r="BH271" s="507" cm="1">
        <f t="array" ref="BH271">_xlfn.LET(_xlpm.DepreciationMonths,INDEX(FixedAssets[Depreciation
/ Amortization Months],_xlfn.XMATCH($E$237,FixedAssets[Asset ID])),IF(AND((_xlfn.XMATCH(BH$8,$AH$8:$CC$8))-_xlfn.XMATCH($C271,$C$35:$C$82)+1&lt;=_xlpm.DepreciationMonths,$C271&lt;=BH$8),$E271/_xlpm.DepreciationMonths,0))</f>
        <v>0</v>
      </c>
      <c r="BI271" s="507" cm="1">
        <f t="array" ref="BI271">_xlfn.LET(_xlpm.DepreciationMonths,INDEX(FixedAssets[Depreciation
/ Amortization Months],_xlfn.XMATCH($E$237,FixedAssets[Asset ID])),IF(AND((_xlfn.XMATCH(BI$8,$AH$8:$CC$8))-_xlfn.XMATCH($C271,$C$35:$C$82)+1&lt;=_xlpm.DepreciationMonths,$C271&lt;=BI$8),$E271/_xlpm.DepreciationMonths,0))</f>
        <v>0</v>
      </c>
      <c r="BJ271" s="507" cm="1">
        <f t="array" ref="BJ271">_xlfn.LET(_xlpm.DepreciationMonths,INDEX(FixedAssets[Depreciation
/ Amortization Months],_xlfn.XMATCH($E$237,FixedAssets[Asset ID])),IF(AND((_xlfn.XMATCH(BJ$8,$AH$8:$CC$8))-_xlfn.XMATCH($C271,$C$35:$C$82)+1&lt;=_xlpm.DepreciationMonths,$C271&lt;=BJ$8),$E271/_xlpm.DepreciationMonths,0))</f>
        <v>0</v>
      </c>
      <c r="BK271" s="507" cm="1">
        <f t="array" ref="BK271">_xlfn.LET(_xlpm.DepreciationMonths,INDEX(FixedAssets[Depreciation
/ Amortization Months],_xlfn.XMATCH($E$237,FixedAssets[Asset ID])),IF(AND((_xlfn.XMATCH(BK$8,$AH$8:$CC$8))-_xlfn.XMATCH($C271,$C$35:$C$82)+1&lt;=_xlpm.DepreciationMonths,$C271&lt;=BK$8),$E271/_xlpm.DepreciationMonths,0))</f>
        <v>0</v>
      </c>
      <c r="BL271" s="507" cm="1">
        <f t="array" ref="BL271">_xlfn.LET(_xlpm.DepreciationMonths,INDEX(FixedAssets[Depreciation
/ Amortization Months],_xlfn.XMATCH($E$237,FixedAssets[Asset ID])),IF(AND((_xlfn.XMATCH(BL$8,$AH$8:$CC$8))-_xlfn.XMATCH($C271,$C$35:$C$82)+1&lt;=_xlpm.DepreciationMonths,$C271&lt;=BL$8),$E271/_xlpm.DepreciationMonths,0))</f>
        <v>0</v>
      </c>
      <c r="BM271" s="507" cm="1">
        <f t="array" ref="BM271">_xlfn.LET(_xlpm.DepreciationMonths,INDEX(FixedAssets[Depreciation
/ Amortization Months],_xlfn.XMATCH($E$237,FixedAssets[Asset ID])),IF(AND((_xlfn.XMATCH(BM$8,$AH$8:$CC$8))-_xlfn.XMATCH($C271,$C$35:$C$82)+1&lt;=_xlpm.DepreciationMonths,$C271&lt;=BM$8),$E271/_xlpm.DepreciationMonths,0))</f>
        <v>0</v>
      </c>
      <c r="BN271" s="507" cm="1">
        <f t="array" ref="BN271">_xlfn.LET(_xlpm.DepreciationMonths,INDEX(FixedAssets[Depreciation
/ Amortization Months],_xlfn.XMATCH($E$237,FixedAssets[Asset ID])),IF(AND((_xlfn.XMATCH(BN$8,$AH$8:$CC$8))-_xlfn.XMATCH($C271,$C$35:$C$82)+1&lt;=_xlpm.DepreciationMonths,$C271&lt;=BN$8),$E271/_xlpm.DepreciationMonths,0))</f>
        <v>0</v>
      </c>
      <c r="BO271" s="507" cm="1">
        <f t="array" ref="BO271">_xlfn.LET(_xlpm.DepreciationMonths,INDEX(FixedAssets[Depreciation
/ Amortization Months],_xlfn.XMATCH($E$237,FixedAssets[Asset ID])),IF(AND((_xlfn.XMATCH(BO$8,$AH$8:$CC$8))-_xlfn.XMATCH($C271,$C$35:$C$82)+1&lt;=_xlpm.DepreciationMonths,$C271&lt;=BO$8),$E271/_xlpm.DepreciationMonths,0))</f>
        <v>0</v>
      </c>
      <c r="BP271" s="507" cm="1">
        <f t="array" ref="BP271">_xlfn.LET(_xlpm.DepreciationMonths,INDEX(FixedAssets[Depreciation
/ Amortization Months],_xlfn.XMATCH($E$237,FixedAssets[Asset ID])),IF(AND((_xlfn.XMATCH(BP$8,$AH$8:$CC$8))-_xlfn.XMATCH($C271,$C$35:$C$82)+1&lt;=_xlpm.DepreciationMonths,$C271&lt;=BP$8),$E271/_xlpm.DepreciationMonths,0))</f>
        <v>0</v>
      </c>
      <c r="BQ271" s="507" cm="1">
        <f t="array" ref="BQ271">_xlfn.LET(_xlpm.DepreciationMonths,INDEX(FixedAssets[Depreciation
/ Amortization Months],_xlfn.XMATCH($E$237,FixedAssets[Asset ID])),IF(AND((_xlfn.XMATCH(BQ$8,$AH$8:$CC$8))-_xlfn.XMATCH($C271,$C$35:$C$82)+1&lt;=_xlpm.DepreciationMonths,$C271&lt;=BQ$8),$E271/_xlpm.DepreciationMonths,0))</f>
        <v>0</v>
      </c>
      <c r="BR271" s="507" cm="1">
        <f t="array" ref="BR271">_xlfn.LET(_xlpm.DepreciationMonths,INDEX(FixedAssets[Depreciation
/ Amortization Months],_xlfn.XMATCH($E$237,FixedAssets[Asset ID])),IF(AND((_xlfn.XMATCH(BR$8,$AH$8:$CC$8))-_xlfn.XMATCH($C271,$C$35:$C$82)+1&lt;=_xlpm.DepreciationMonths,$C271&lt;=BR$8),$E271/_xlpm.DepreciationMonths,0))</f>
        <v>0</v>
      </c>
      <c r="BS271" s="507" cm="1">
        <f t="array" ref="BS271">_xlfn.LET(_xlpm.DepreciationMonths,INDEX(FixedAssets[Depreciation
/ Amortization Months],_xlfn.XMATCH($E$237,FixedAssets[Asset ID])),IF(AND((_xlfn.XMATCH(BS$8,$AH$8:$CC$8))-_xlfn.XMATCH($C271,$C$35:$C$82)+1&lt;=_xlpm.DepreciationMonths,$C271&lt;=BS$8),$E271/_xlpm.DepreciationMonths,0))</f>
        <v>0</v>
      </c>
      <c r="BT271" s="507" cm="1">
        <f t="array" ref="BT271">_xlfn.LET(_xlpm.DepreciationMonths,INDEX(FixedAssets[Depreciation
/ Amortization Months],_xlfn.XMATCH($E$237,FixedAssets[Asset ID])),IF(AND((_xlfn.XMATCH(BT$8,$AH$8:$CC$8))-_xlfn.XMATCH($C271,$C$35:$C$82)+1&lt;=_xlpm.DepreciationMonths,$C271&lt;=BT$8),$E271/_xlpm.DepreciationMonths,0))</f>
        <v>0</v>
      </c>
      <c r="BU271" s="507" cm="1">
        <f t="array" ref="BU271">_xlfn.LET(_xlpm.DepreciationMonths,INDEX(FixedAssets[Depreciation
/ Amortization Months],_xlfn.XMATCH($E$237,FixedAssets[Asset ID])),IF(AND((_xlfn.XMATCH(BU$8,$AH$8:$CC$8))-_xlfn.XMATCH($C271,$C$35:$C$82)+1&lt;=_xlpm.DepreciationMonths,$C271&lt;=BU$8),$E271/_xlpm.DepreciationMonths,0))</f>
        <v>0</v>
      </c>
      <c r="BV271" s="507" cm="1">
        <f t="array" ref="BV271">_xlfn.LET(_xlpm.DepreciationMonths,INDEX(FixedAssets[Depreciation
/ Amortization Months],_xlfn.XMATCH($E$237,FixedAssets[Asset ID])),IF(AND((_xlfn.XMATCH(BV$8,$AH$8:$CC$8))-_xlfn.XMATCH($C271,$C$35:$C$82)+1&lt;=_xlpm.DepreciationMonths,$C271&lt;=BV$8),$E271/_xlpm.DepreciationMonths,0))</f>
        <v>0</v>
      </c>
      <c r="BW271" s="507" cm="1">
        <f t="array" ref="BW271">_xlfn.LET(_xlpm.DepreciationMonths,INDEX(FixedAssets[Depreciation
/ Amortization Months],_xlfn.XMATCH($E$237,FixedAssets[Asset ID])),IF(AND((_xlfn.XMATCH(BW$8,$AH$8:$CC$8))-_xlfn.XMATCH($C271,$C$35:$C$82)+1&lt;=_xlpm.DepreciationMonths,$C271&lt;=BW$8),$E271/_xlpm.DepreciationMonths,0))</f>
        <v>0</v>
      </c>
      <c r="BX271" s="507" cm="1">
        <f t="array" ref="BX271">_xlfn.LET(_xlpm.DepreciationMonths,INDEX(FixedAssets[Depreciation
/ Amortization Months],_xlfn.XMATCH($E$237,FixedAssets[Asset ID])),IF(AND((_xlfn.XMATCH(BX$8,$AH$8:$CC$8))-_xlfn.XMATCH($C271,$C$35:$C$82)+1&lt;=_xlpm.DepreciationMonths,$C271&lt;=BX$8),$E271/_xlpm.DepreciationMonths,0))</f>
        <v>0</v>
      </c>
      <c r="BY271" s="507" cm="1">
        <f t="array" ref="BY271">_xlfn.LET(_xlpm.DepreciationMonths,INDEX(FixedAssets[Depreciation
/ Amortization Months],_xlfn.XMATCH($E$237,FixedAssets[Asset ID])),IF(AND((_xlfn.XMATCH(BY$8,$AH$8:$CC$8))-_xlfn.XMATCH($C271,$C$35:$C$82)+1&lt;=_xlpm.DepreciationMonths,$C271&lt;=BY$8),$E271/_xlpm.DepreciationMonths,0))</f>
        <v>0</v>
      </c>
      <c r="BZ271" s="507" cm="1">
        <f t="array" ref="BZ271">_xlfn.LET(_xlpm.DepreciationMonths,INDEX(FixedAssets[Depreciation
/ Amortization Months],_xlfn.XMATCH($E$237,FixedAssets[Asset ID])),IF(AND((_xlfn.XMATCH(BZ$8,$AH$8:$CC$8))-_xlfn.XMATCH($C271,$C$35:$C$82)+1&lt;=_xlpm.DepreciationMonths,$C271&lt;=BZ$8),$E271/_xlpm.DepreciationMonths,0))</f>
        <v>0</v>
      </c>
      <c r="CA271" s="507" cm="1">
        <f t="array" ref="CA271">_xlfn.LET(_xlpm.DepreciationMonths,INDEX(FixedAssets[Depreciation
/ Amortization Months],_xlfn.XMATCH($E$237,FixedAssets[Asset ID])),IF(AND((_xlfn.XMATCH(CA$8,$AH$8:$CC$8))-_xlfn.XMATCH($C271,$C$35:$C$82)+1&lt;=_xlpm.DepreciationMonths,$C271&lt;=CA$8),$E271/_xlpm.DepreciationMonths,0))</f>
        <v>0</v>
      </c>
      <c r="CB271" s="507" cm="1">
        <f t="array" ref="CB271">_xlfn.LET(_xlpm.DepreciationMonths,INDEX(FixedAssets[Depreciation
/ Amortization Months],_xlfn.XMATCH($E$237,FixedAssets[Asset ID])),IF(AND((_xlfn.XMATCH(CB$8,$AH$8:$CC$8))-_xlfn.XMATCH($C271,$C$35:$C$82)+1&lt;=_xlpm.DepreciationMonths,$C271&lt;=CB$8),$E271/_xlpm.DepreciationMonths,0))</f>
        <v>0</v>
      </c>
      <c r="CC271" s="507" cm="1">
        <f t="array" ref="CC271">_xlfn.LET(_xlpm.DepreciationMonths,INDEX(FixedAssets[Depreciation
/ Amortization Months],_xlfn.XMATCH($E$237,FixedAssets[Asset ID])),IF(AND((_xlfn.XMATCH(CC$8,$AH$8:$CC$8))-_xlfn.XMATCH($C271,$C$35:$C$82)+1&lt;=_xlpm.DepreciationMonths,$C271&lt;=CC$8),$E271/_xlpm.DepreciationMonths,0))</f>
        <v>0</v>
      </c>
    </row>
    <row r="272" spans="3:81" hidden="1" outlineLevel="2">
      <c r="C272" s="664">
        <f t="shared" si="267"/>
        <v>45961</v>
      </c>
      <c r="D272" s="508"/>
      <c r="E272" s="508" cm="1">
        <f t="array" ref="E272">SUMPRODUCT(($AH$26:$CC$31)*($AH$5:$CC$5=$C272)*($E$26:$E$31=E$237))-SUMPRODUCT(($AH$26:$CC$31)*($AH$5:$CC$5=EOMONTH($C272,-1))*($E$26:$E$31=E$237))</f>
        <v>0</v>
      </c>
      <c r="F272" s="508"/>
      <c r="G272" s="508"/>
      <c r="H272" s="508"/>
      <c r="I272" s="508"/>
      <c r="J272" s="504">
        <f t="shared" si="265"/>
        <v>0</v>
      </c>
      <c r="K272" s="504">
        <f t="shared" si="265"/>
        <v>0</v>
      </c>
      <c r="L272" s="504">
        <f t="shared" si="265"/>
        <v>0</v>
      </c>
      <c r="M272" s="504">
        <f t="shared" si="265"/>
        <v>0</v>
      </c>
      <c r="N272" s="504"/>
      <c r="O272" s="504"/>
      <c r="P272" s="504">
        <f t="shared" si="271"/>
        <v>0</v>
      </c>
      <c r="Q272" s="504">
        <f t="shared" si="271"/>
        <v>0</v>
      </c>
      <c r="R272" s="504">
        <f t="shared" si="271"/>
        <v>0</v>
      </c>
      <c r="S272" s="504">
        <f t="shared" si="271"/>
        <v>0</v>
      </c>
      <c r="T272" s="504">
        <f t="shared" si="271"/>
        <v>0</v>
      </c>
      <c r="U272" s="504">
        <f t="shared" si="271"/>
        <v>0</v>
      </c>
      <c r="V272" s="504">
        <f t="shared" si="271"/>
        <v>0</v>
      </c>
      <c r="W272" s="504">
        <f t="shared" si="271"/>
        <v>0</v>
      </c>
      <c r="X272" s="504">
        <f t="shared" si="271"/>
        <v>0</v>
      </c>
      <c r="Y272" s="504">
        <f t="shared" si="271"/>
        <v>0</v>
      </c>
      <c r="Z272" s="504">
        <f t="shared" si="271"/>
        <v>0</v>
      </c>
      <c r="AA272" s="504">
        <f t="shared" si="271"/>
        <v>0</v>
      </c>
      <c r="AB272" s="504">
        <f t="shared" si="271"/>
        <v>0</v>
      </c>
      <c r="AC272" s="504">
        <f t="shared" si="271"/>
        <v>0</v>
      </c>
      <c r="AD272" s="504">
        <f t="shared" si="271"/>
        <v>0</v>
      </c>
      <c r="AE272" s="504">
        <f t="shared" si="271"/>
        <v>0</v>
      </c>
      <c r="AF272" s="508"/>
      <c r="AG272" s="508"/>
      <c r="AH272" s="507" cm="1">
        <f t="array" ref="AH272">_xlfn.LET(_xlpm.DepreciationMonths,INDEX(FixedAssets[Depreciation
/ Amortization Months],_xlfn.XMATCH($E$237,FixedAssets[Asset ID])),IF(AND((_xlfn.XMATCH(AH$8,$AH$8:$CC$8))-_xlfn.XMATCH($C272,$C$35:$C$82)+1&lt;=_xlpm.DepreciationMonths,$C272&lt;=AH$8),$E272/_xlpm.DepreciationMonths,0))</f>
        <v>0</v>
      </c>
      <c r="AI272" s="507" cm="1">
        <f t="array" ref="AI272">_xlfn.LET(_xlpm.DepreciationMonths,INDEX(FixedAssets[Depreciation
/ Amortization Months],_xlfn.XMATCH($E$237,FixedAssets[Asset ID])),IF(AND((_xlfn.XMATCH(AI$8,$AH$8:$CC$8))-_xlfn.XMATCH($C272,$C$35:$C$82)+1&lt;=_xlpm.DepreciationMonths,$C272&lt;=AI$8),$E272/_xlpm.DepreciationMonths,0))</f>
        <v>0</v>
      </c>
      <c r="AJ272" s="507" cm="1">
        <f t="array" ref="AJ272">_xlfn.LET(_xlpm.DepreciationMonths,INDEX(FixedAssets[Depreciation
/ Amortization Months],_xlfn.XMATCH($E$237,FixedAssets[Asset ID])),IF(AND((_xlfn.XMATCH(AJ$8,$AH$8:$CC$8))-_xlfn.XMATCH($C272,$C$35:$C$82)+1&lt;=_xlpm.DepreciationMonths,$C272&lt;=AJ$8),$E272/_xlpm.DepreciationMonths,0))</f>
        <v>0</v>
      </c>
      <c r="AK272" s="507" cm="1">
        <f t="array" ref="AK272">_xlfn.LET(_xlpm.DepreciationMonths,INDEX(FixedAssets[Depreciation
/ Amortization Months],_xlfn.XMATCH($E$237,FixedAssets[Asset ID])),IF(AND((_xlfn.XMATCH(AK$8,$AH$8:$CC$8))-_xlfn.XMATCH($C272,$C$35:$C$82)+1&lt;=_xlpm.DepreciationMonths,$C272&lt;=AK$8),$E272/_xlpm.DepreciationMonths,0))</f>
        <v>0</v>
      </c>
      <c r="AL272" s="507" cm="1">
        <f t="array" ref="AL272">_xlfn.LET(_xlpm.DepreciationMonths,INDEX(FixedAssets[Depreciation
/ Amortization Months],_xlfn.XMATCH($E$237,FixedAssets[Asset ID])),IF(AND((_xlfn.XMATCH(AL$8,$AH$8:$CC$8))-_xlfn.XMATCH($C272,$C$35:$C$82)+1&lt;=_xlpm.DepreciationMonths,$C272&lt;=AL$8),$E272/_xlpm.DepreciationMonths,0))</f>
        <v>0</v>
      </c>
      <c r="AM272" s="507" cm="1">
        <f t="array" ref="AM272">_xlfn.LET(_xlpm.DepreciationMonths,INDEX(FixedAssets[Depreciation
/ Amortization Months],_xlfn.XMATCH($E$237,FixedAssets[Asset ID])),IF(AND((_xlfn.XMATCH(AM$8,$AH$8:$CC$8))-_xlfn.XMATCH($C272,$C$35:$C$82)+1&lt;=_xlpm.DepreciationMonths,$C272&lt;=AM$8),$E272/_xlpm.DepreciationMonths,0))</f>
        <v>0</v>
      </c>
      <c r="AN272" s="507" cm="1">
        <f t="array" ref="AN272">_xlfn.LET(_xlpm.DepreciationMonths,INDEX(FixedAssets[Depreciation
/ Amortization Months],_xlfn.XMATCH($E$237,FixedAssets[Asset ID])),IF(AND((_xlfn.XMATCH(AN$8,$AH$8:$CC$8))-_xlfn.XMATCH($C272,$C$35:$C$82)+1&lt;=_xlpm.DepreciationMonths,$C272&lt;=AN$8),$E272/_xlpm.DepreciationMonths,0))</f>
        <v>0</v>
      </c>
      <c r="AO272" s="507" cm="1">
        <f t="array" ref="AO272">_xlfn.LET(_xlpm.DepreciationMonths,INDEX(FixedAssets[Depreciation
/ Amortization Months],_xlfn.XMATCH($E$237,FixedAssets[Asset ID])),IF(AND((_xlfn.XMATCH(AO$8,$AH$8:$CC$8))-_xlfn.XMATCH($C272,$C$35:$C$82)+1&lt;=_xlpm.DepreciationMonths,$C272&lt;=AO$8),$E272/_xlpm.DepreciationMonths,0))</f>
        <v>0</v>
      </c>
      <c r="AP272" s="507" cm="1">
        <f t="array" ref="AP272">_xlfn.LET(_xlpm.DepreciationMonths,INDEX(FixedAssets[Depreciation
/ Amortization Months],_xlfn.XMATCH($E$237,FixedAssets[Asset ID])),IF(AND((_xlfn.XMATCH(AP$8,$AH$8:$CC$8))-_xlfn.XMATCH($C272,$C$35:$C$82)+1&lt;=_xlpm.DepreciationMonths,$C272&lt;=AP$8),$E272/_xlpm.DepreciationMonths,0))</f>
        <v>0</v>
      </c>
      <c r="AQ272" s="507" cm="1">
        <f t="array" ref="AQ272">_xlfn.LET(_xlpm.DepreciationMonths,INDEX(FixedAssets[Depreciation
/ Amortization Months],_xlfn.XMATCH($E$237,FixedAssets[Asset ID])),IF(AND((_xlfn.XMATCH(AQ$8,$AH$8:$CC$8))-_xlfn.XMATCH($C272,$C$35:$C$82)+1&lt;=_xlpm.DepreciationMonths,$C272&lt;=AQ$8),$E272/_xlpm.DepreciationMonths,0))</f>
        <v>0</v>
      </c>
      <c r="AR272" s="507" cm="1">
        <f t="array" ref="AR272">_xlfn.LET(_xlpm.DepreciationMonths,INDEX(FixedAssets[Depreciation
/ Amortization Months],_xlfn.XMATCH($E$237,FixedAssets[Asset ID])),IF(AND((_xlfn.XMATCH(AR$8,$AH$8:$CC$8))-_xlfn.XMATCH($C272,$C$35:$C$82)+1&lt;=_xlpm.DepreciationMonths,$C272&lt;=AR$8),$E272/_xlpm.DepreciationMonths,0))</f>
        <v>0</v>
      </c>
      <c r="AS272" s="507" cm="1">
        <f t="array" ref="AS272">_xlfn.LET(_xlpm.DepreciationMonths,INDEX(FixedAssets[Depreciation
/ Amortization Months],_xlfn.XMATCH($E$237,FixedAssets[Asset ID])),IF(AND((_xlfn.XMATCH(AS$8,$AH$8:$CC$8))-_xlfn.XMATCH($C272,$C$35:$C$82)+1&lt;=_xlpm.DepreciationMonths,$C272&lt;=AS$8),$E272/_xlpm.DepreciationMonths,0))</f>
        <v>0</v>
      </c>
      <c r="AT272" s="507" cm="1">
        <f t="array" ref="AT272">_xlfn.LET(_xlpm.DepreciationMonths,INDEX(FixedAssets[Depreciation
/ Amortization Months],_xlfn.XMATCH($E$237,FixedAssets[Asset ID])),IF(AND((_xlfn.XMATCH(AT$8,$AH$8:$CC$8))-_xlfn.XMATCH($C272,$C$35:$C$82)+1&lt;=_xlpm.DepreciationMonths,$C272&lt;=AT$8),$E272/_xlpm.DepreciationMonths,0))</f>
        <v>0</v>
      </c>
      <c r="AU272" s="507" cm="1">
        <f t="array" ref="AU272">_xlfn.LET(_xlpm.DepreciationMonths,INDEX(FixedAssets[Depreciation
/ Amortization Months],_xlfn.XMATCH($E$237,FixedAssets[Asset ID])),IF(AND((_xlfn.XMATCH(AU$8,$AH$8:$CC$8))-_xlfn.XMATCH($C272,$C$35:$C$82)+1&lt;=_xlpm.DepreciationMonths,$C272&lt;=AU$8),$E272/_xlpm.DepreciationMonths,0))</f>
        <v>0</v>
      </c>
      <c r="AV272" s="507" cm="1">
        <f t="array" ref="AV272">_xlfn.LET(_xlpm.DepreciationMonths,INDEX(FixedAssets[Depreciation
/ Amortization Months],_xlfn.XMATCH($E$237,FixedAssets[Asset ID])),IF(AND((_xlfn.XMATCH(AV$8,$AH$8:$CC$8))-_xlfn.XMATCH($C272,$C$35:$C$82)+1&lt;=_xlpm.DepreciationMonths,$C272&lt;=AV$8),$E272/_xlpm.DepreciationMonths,0))</f>
        <v>0</v>
      </c>
      <c r="AW272" s="507" cm="1">
        <f t="array" ref="AW272">_xlfn.LET(_xlpm.DepreciationMonths,INDEX(FixedAssets[Depreciation
/ Amortization Months],_xlfn.XMATCH($E$237,FixedAssets[Asset ID])),IF(AND((_xlfn.XMATCH(AW$8,$AH$8:$CC$8))-_xlfn.XMATCH($C272,$C$35:$C$82)+1&lt;=_xlpm.DepreciationMonths,$C272&lt;=AW$8),$E272/_xlpm.DepreciationMonths,0))</f>
        <v>0</v>
      </c>
      <c r="AX272" s="507" cm="1">
        <f t="array" ref="AX272">_xlfn.LET(_xlpm.DepreciationMonths,INDEX(FixedAssets[Depreciation
/ Amortization Months],_xlfn.XMATCH($E$237,FixedAssets[Asset ID])),IF(AND((_xlfn.XMATCH(AX$8,$AH$8:$CC$8))-_xlfn.XMATCH($C272,$C$35:$C$82)+1&lt;=_xlpm.DepreciationMonths,$C272&lt;=AX$8),$E272/_xlpm.DepreciationMonths,0))</f>
        <v>0</v>
      </c>
      <c r="AY272" s="507" cm="1">
        <f t="array" ref="AY272">_xlfn.LET(_xlpm.DepreciationMonths,INDEX(FixedAssets[Depreciation
/ Amortization Months],_xlfn.XMATCH($E$237,FixedAssets[Asset ID])),IF(AND((_xlfn.XMATCH(AY$8,$AH$8:$CC$8))-_xlfn.XMATCH($C272,$C$35:$C$82)+1&lt;=_xlpm.DepreciationMonths,$C272&lt;=AY$8),$E272/_xlpm.DepreciationMonths,0))</f>
        <v>0</v>
      </c>
      <c r="AZ272" s="507" cm="1">
        <f t="array" ref="AZ272">_xlfn.LET(_xlpm.DepreciationMonths,INDEX(FixedAssets[Depreciation
/ Amortization Months],_xlfn.XMATCH($E$237,FixedAssets[Asset ID])),IF(AND((_xlfn.XMATCH(AZ$8,$AH$8:$CC$8))-_xlfn.XMATCH($C272,$C$35:$C$82)+1&lt;=_xlpm.DepreciationMonths,$C272&lt;=AZ$8),$E272/_xlpm.DepreciationMonths,0))</f>
        <v>0</v>
      </c>
      <c r="BA272" s="507" cm="1">
        <f t="array" ref="BA272">_xlfn.LET(_xlpm.DepreciationMonths,INDEX(FixedAssets[Depreciation
/ Amortization Months],_xlfn.XMATCH($E$237,FixedAssets[Asset ID])),IF(AND((_xlfn.XMATCH(BA$8,$AH$8:$CC$8))-_xlfn.XMATCH($C272,$C$35:$C$82)+1&lt;=_xlpm.DepreciationMonths,$C272&lt;=BA$8),$E272/_xlpm.DepreciationMonths,0))</f>
        <v>0</v>
      </c>
      <c r="BB272" s="507" cm="1">
        <f t="array" ref="BB272">_xlfn.LET(_xlpm.DepreciationMonths,INDEX(FixedAssets[Depreciation
/ Amortization Months],_xlfn.XMATCH($E$237,FixedAssets[Asset ID])),IF(AND((_xlfn.XMATCH(BB$8,$AH$8:$CC$8))-_xlfn.XMATCH($C272,$C$35:$C$82)+1&lt;=_xlpm.DepreciationMonths,$C272&lt;=BB$8),$E272/_xlpm.DepreciationMonths,0))</f>
        <v>0</v>
      </c>
      <c r="BC272" s="507" cm="1">
        <f t="array" ref="BC272">_xlfn.LET(_xlpm.DepreciationMonths,INDEX(FixedAssets[Depreciation
/ Amortization Months],_xlfn.XMATCH($E$237,FixedAssets[Asset ID])),IF(AND((_xlfn.XMATCH(BC$8,$AH$8:$CC$8))-_xlfn.XMATCH($C272,$C$35:$C$82)+1&lt;=_xlpm.DepreciationMonths,$C272&lt;=BC$8),$E272/_xlpm.DepreciationMonths,0))</f>
        <v>0</v>
      </c>
      <c r="BD272" s="507" cm="1">
        <f t="array" ref="BD272">_xlfn.LET(_xlpm.DepreciationMonths,INDEX(FixedAssets[Depreciation
/ Amortization Months],_xlfn.XMATCH($E$237,FixedAssets[Asset ID])),IF(AND((_xlfn.XMATCH(BD$8,$AH$8:$CC$8))-_xlfn.XMATCH($C272,$C$35:$C$82)+1&lt;=_xlpm.DepreciationMonths,$C272&lt;=BD$8),$E272/_xlpm.DepreciationMonths,0))</f>
        <v>0</v>
      </c>
      <c r="BE272" s="507" cm="1">
        <f t="array" ref="BE272">_xlfn.LET(_xlpm.DepreciationMonths,INDEX(FixedAssets[Depreciation
/ Amortization Months],_xlfn.XMATCH($E$237,FixedAssets[Asset ID])),IF(AND((_xlfn.XMATCH(BE$8,$AH$8:$CC$8))-_xlfn.XMATCH($C272,$C$35:$C$82)+1&lt;=_xlpm.DepreciationMonths,$C272&lt;=BE$8),$E272/_xlpm.DepreciationMonths,0))</f>
        <v>0</v>
      </c>
      <c r="BF272" s="507" cm="1">
        <f t="array" ref="BF272">_xlfn.LET(_xlpm.DepreciationMonths,INDEX(FixedAssets[Depreciation
/ Amortization Months],_xlfn.XMATCH($E$237,FixedAssets[Asset ID])),IF(AND((_xlfn.XMATCH(BF$8,$AH$8:$CC$8))-_xlfn.XMATCH($C272,$C$35:$C$82)+1&lt;=_xlpm.DepreciationMonths,$C272&lt;=BF$8),$E272/_xlpm.DepreciationMonths,0))</f>
        <v>0</v>
      </c>
      <c r="BG272" s="507" cm="1">
        <f t="array" ref="BG272">_xlfn.LET(_xlpm.DepreciationMonths,INDEX(FixedAssets[Depreciation
/ Amortization Months],_xlfn.XMATCH($E$237,FixedAssets[Asset ID])),IF(AND((_xlfn.XMATCH(BG$8,$AH$8:$CC$8))-_xlfn.XMATCH($C272,$C$35:$C$82)+1&lt;=_xlpm.DepreciationMonths,$C272&lt;=BG$8),$E272/_xlpm.DepreciationMonths,0))</f>
        <v>0</v>
      </c>
      <c r="BH272" s="507" cm="1">
        <f t="array" ref="BH272">_xlfn.LET(_xlpm.DepreciationMonths,INDEX(FixedAssets[Depreciation
/ Amortization Months],_xlfn.XMATCH($E$237,FixedAssets[Asset ID])),IF(AND((_xlfn.XMATCH(BH$8,$AH$8:$CC$8))-_xlfn.XMATCH($C272,$C$35:$C$82)+1&lt;=_xlpm.DepreciationMonths,$C272&lt;=BH$8),$E272/_xlpm.DepreciationMonths,0))</f>
        <v>0</v>
      </c>
      <c r="BI272" s="507" cm="1">
        <f t="array" ref="BI272">_xlfn.LET(_xlpm.DepreciationMonths,INDEX(FixedAssets[Depreciation
/ Amortization Months],_xlfn.XMATCH($E$237,FixedAssets[Asset ID])),IF(AND((_xlfn.XMATCH(BI$8,$AH$8:$CC$8))-_xlfn.XMATCH($C272,$C$35:$C$82)+1&lt;=_xlpm.DepreciationMonths,$C272&lt;=BI$8),$E272/_xlpm.DepreciationMonths,0))</f>
        <v>0</v>
      </c>
      <c r="BJ272" s="507" cm="1">
        <f t="array" ref="BJ272">_xlfn.LET(_xlpm.DepreciationMonths,INDEX(FixedAssets[Depreciation
/ Amortization Months],_xlfn.XMATCH($E$237,FixedAssets[Asset ID])),IF(AND((_xlfn.XMATCH(BJ$8,$AH$8:$CC$8))-_xlfn.XMATCH($C272,$C$35:$C$82)+1&lt;=_xlpm.DepreciationMonths,$C272&lt;=BJ$8),$E272/_xlpm.DepreciationMonths,0))</f>
        <v>0</v>
      </c>
      <c r="BK272" s="507" cm="1">
        <f t="array" ref="BK272">_xlfn.LET(_xlpm.DepreciationMonths,INDEX(FixedAssets[Depreciation
/ Amortization Months],_xlfn.XMATCH($E$237,FixedAssets[Asset ID])),IF(AND((_xlfn.XMATCH(BK$8,$AH$8:$CC$8))-_xlfn.XMATCH($C272,$C$35:$C$82)+1&lt;=_xlpm.DepreciationMonths,$C272&lt;=BK$8),$E272/_xlpm.DepreciationMonths,0))</f>
        <v>0</v>
      </c>
      <c r="BL272" s="507" cm="1">
        <f t="array" ref="BL272">_xlfn.LET(_xlpm.DepreciationMonths,INDEX(FixedAssets[Depreciation
/ Amortization Months],_xlfn.XMATCH($E$237,FixedAssets[Asset ID])),IF(AND((_xlfn.XMATCH(BL$8,$AH$8:$CC$8))-_xlfn.XMATCH($C272,$C$35:$C$82)+1&lt;=_xlpm.DepreciationMonths,$C272&lt;=BL$8),$E272/_xlpm.DepreciationMonths,0))</f>
        <v>0</v>
      </c>
      <c r="BM272" s="507" cm="1">
        <f t="array" ref="BM272">_xlfn.LET(_xlpm.DepreciationMonths,INDEX(FixedAssets[Depreciation
/ Amortization Months],_xlfn.XMATCH($E$237,FixedAssets[Asset ID])),IF(AND((_xlfn.XMATCH(BM$8,$AH$8:$CC$8))-_xlfn.XMATCH($C272,$C$35:$C$82)+1&lt;=_xlpm.DepreciationMonths,$C272&lt;=BM$8),$E272/_xlpm.DepreciationMonths,0))</f>
        <v>0</v>
      </c>
      <c r="BN272" s="507" cm="1">
        <f t="array" ref="BN272">_xlfn.LET(_xlpm.DepreciationMonths,INDEX(FixedAssets[Depreciation
/ Amortization Months],_xlfn.XMATCH($E$237,FixedAssets[Asset ID])),IF(AND((_xlfn.XMATCH(BN$8,$AH$8:$CC$8))-_xlfn.XMATCH($C272,$C$35:$C$82)+1&lt;=_xlpm.DepreciationMonths,$C272&lt;=BN$8),$E272/_xlpm.DepreciationMonths,0))</f>
        <v>0</v>
      </c>
      <c r="BO272" s="507" cm="1">
        <f t="array" ref="BO272">_xlfn.LET(_xlpm.DepreciationMonths,INDEX(FixedAssets[Depreciation
/ Amortization Months],_xlfn.XMATCH($E$237,FixedAssets[Asset ID])),IF(AND((_xlfn.XMATCH(BO$8,$AH$8:$CC$8))-_xlfn.XMATCH($C272,$C$35:$C$82)+1&lt;=_xlpm.DepreciationMonths,$C272&lt;=BO$8),$E272/_xlpm.DepreciationMonths,0))</f>
        <v>0</v>
      </c>
      <c r="BP272" s="507" cm="1">
        <f t="array" ref="BP272">_xlfn.LET(_xlpm.DepreciationMonths,INDEX(FixedAssets[Depreciation
/ Amortization Months],_xlfn.XMATCH($E$237,FixedAssets[Asset ID])),IF(AND((_xlfn.XMATCH(BP$8,$AH$8:$CC$8))-_xlfn.XMATCH($C272,$C$35:$C$82)+1&lt;=_xlpm.DepreciationMonths,$C272&lt;=BP$8),$E272/_xlpm.DepreciationMonths,0))</f>
        <v>0</v>
      </c>
      <c r="BQ272" s="507" cm="1">
        <f t="array" ref="BQ272">_xlfn.LET(_xlpm.DepreciationMonths,INDEX(FixedAssets[Depreciation
/ Amortization Months],_xlfn.XMATCH($E$237,FixedAssets[Asset ID])),IF(AND((_xlfn.XMATCH(BQ$8,$AH$8:$CC$8))-_xlfn.XMATCH($C272,$C$35:$C$82)+1&lt;=_xlpm.DepreciationMonths,$C272&lt;=BQ$8),$E272/_xlpm.DepreciationMonths,0))</f>
        <v>0</v>
      </c>
      <c r="BR272" s="507" cm="1">
        <f t="array" ref="BR272">_xlfn.LET(_xlpm.DepreciationMonths,INDEX(FixedAssets[Depreciation
/ Amortization Months],_xlfn.XMATCH($E$237,FixedAssets[Asset ID])),IF(AND((_xlfn.XMATCH(BR$8,$AH$8:$CC$8))-_xlfn.XMATCH($C272,$C$35:$C$82)+1&lt;=_xlpm.DepreciationMonths,$C272&lt;=BR$8),$E272/_xlpm.DepreciationMonths,0))</f>
        <v>0</v>
      </c>
      <c r="BS272" s="507" cm="1">
        <f t="array" ref="BS272">_xlfn.LET(_xlpm.DepreciationMonths,INDEX(FixedAssets[Depreciation
/ Amortization Months],_xlfn.XMATCH($E$237,FixedAssets[Asset ID])),IF(AND((_xlfn.XMATCH(BS$8,$AH$8:$CC$8))-_xlfn.XMATCH($C272,$C$35:$C$82)+1&lt;=_xlpm.DepreciationMonths,$C272&lt;=BS$8),$E272/_xlpm.DepreciationMonths,0))</f>
        <v>0</v>
      </c>
      <c r="BT272" s="507" cm="1">
        <f t="array" ref="BT272">_xlfn.LET(_xlpm.DepreciationMonths,INDEX(FixedAssets[Depreciation
/ Amortization Months],_xlfn.XMATCH($E$237,FixedAssets[Asset ID])),IF(AND((_xlfn.XMATCH(BT$8,$AH$8:$CC$8))-_xlfn.XMATCH($C272,$C$35:$C$82)+1&lt;=_xlpm.DepreciationMonths,$C272&lt;=BT$8),$E272/_xlpm.DepreciationMonths,0))</f>
        <v>0</v>
      </c>
      <c r="BU272" s="507" cm="1">
        <f t="array" ref="BU272">_xlfn.LET(_xlpm.DepreciationMonths,INDEX(FixedAssets[Depreciation
/ Amortization Months],_xlfn.XMATCH($E$237,FixedAssets[Asset ID])),IF(AND((_xlfn.XMATCH(BU$8,$AH$8:$CC$8))-_xlfn.XMATCH($C272,$C$35:$C$82)+1&lt;=_xlpm.DepreciationMonths,$C272&lt;=BU$8),$E272/_xlpm.DepreciationMonths,0))</f>
        <v>0</v>
      </c>
      <c r="BV272" s="507" cm="1">
        <f t="array" ref="BV272">_xlfn.LET(_xlpm.DepreciationMonths,INDEX(FixedAssets[Depreciation
/ Amortization Months],_xlfn.XMATCH($E$237,FixedAssets[Asset ID])),IF(AND((_xlfn.XMATCH(BV$8,$AH$8:$CC$8))-_xlfn.XMATCH($C272,$C$35:$C$82)+1&lt;=_xlpm.DepreciationMonths,$C272&lt;=BV$8),$E272/_xlpm.DepreciationMonths,0))</f>
        <v>0</v>
      </c>
      <c r="BW272" s="507" cm="1">
        <f t="array" ref="BW272">_xlfn.LET(_xlpm.DepreciationMonths,INDEX(FixedAssets[Depreciation
/ Amortization Months],_xlfn.XMATCH($E$237,FixedAssets[Asset ID])),IF(AND((_xlfn.XMATCH(BW$8,$AH$8:$CC$8))-_xlfn.XMATCH($C272,$C$35:$C$82)+1&lt;=_xlpm.DepreciationMonths,$C272&lt;=BW$8),$E272/_xlpm.DepreciationMonths,0))</f>
        <v>0</v>
      </c>
      <c r="BX272" s="507" cm="1">
        <f t="array" ref="BX272">_xlfn.LET(_xlpm.DepreciationMonths,INDEX(FixedAssets[Depreciation
/ Amortization Months],_xlfn.XMATCH($E$237,FixedAssets[Asset ID])),IF(AND((_xlfn.XMATCH(BX$8,$AH$8:$CC$8))-_xlfn.XMATCH($C272,$C$35:$C$82)+1&lt;=_xlpm.DepreciationMonths,$C272&lt;=BX$8),$E272/_xlpm.DepreciationMonths,0))</f>
        <v>0</v>
      </c>
      <c r="BY272" s="507" cm="1">
        <f t="array" ref="BY272">_xlfn.LET(_xlpm.DepreciationMonths,INDEX(FixedAssets[Depreciation
/ Amortization Months],_xlfn.XMATCH($E$237,FixedAssets[Asset ID])),IF(AND((_xlfn.XMATCH(BY$8,$AH$8:$CC$8))-_xlfn.XMATCH($C272,$C$35:$C$82)+1&lt;=_xlpm.DepreciationMonths,$C272&lt;=BY$8),$E272/_xlpm.DepreciationMonths,0))</f>
        <v>0</v>
      </c>
      <c r="BZ272" s="507" cm="1">
        <f t="array" ref="BZ272">_xlfn.LET(_xlpm.DepreciationMonths,INDEX(FixedAssets[Depreciation
/ Amortization Months],_xlfn.XMATCH($E$237,FixedAssets[Asset ID])),IF(AND((_xlfn.XMATCH(BZ$8,$AH$8:$CC$8))-_xlfn.XMATCH($C272,$C$35:$C$82)+1&lt;=_xlpm.DepreciationMonths,$C272&lt;=BZ$8),$E272/_xlpm.DepreciationMonths,0))</f>
        <v>0</v>
      </c>
      <c r="CA272" s="507" cm="1">
        <f t="array" ref="CA272">_xlfn.LET(_xlpm.DepreciationMonths,INDEX(FixedAssets[Depreciation
/ Amortization Months],_xlfn.XMATCH($E$237,FixedAssets[Asset ID])),IF(AND((_xlfn.XMATCH(CA$8,$AH$8:$CC$8))-_xlfn.XMATCH($C272,$C$35:$C$82)+1&lt;=_xlpm.DepreciationMonths,$C272&lt;=CA$8),$E272/_xlpm.DepreciationMonths,0))</f>
        <v>0</v>
      </c>
      <c r="CB272" s="507" cm="1">
        <f t="array" ref="CB272">_xlfn.LET(_xlpm.DepreciationMonths,INDEX(FixedAssets[Depreciation
/ Amortization Months],_xlfn.XMATCH($E$237,FixedAssets[Asset ID])),IF(AND((_xlfn.XMATCH(CB$8,$AH$8:$CC$8))-_xlfn.XMATCH($C272,$C$35:$C$82)+1&lt;=_xlpm.DepreciationMonths,$C272&lt;=CB$8),$E272/_xlpm.DepreciationMonths,0))</f>
        <v>0</v>
      </c>
      <c r="CC272" s="507" cm="1">
        <f t="array" ref="CC272">_xlfn.LET(_xlpm.DepreciationMonths,INDEX(FixedAssets[Depreciation
/ Amortization Months],_xlfn.XMATCH($E$237,FixedAssets[Asset ID])),IF(AND((_xlfn.XMATCH(CC$8,$AH$8:$CC$8))-_xlfn.XMATCH($C272,$C$35:$C$82)+1&lt;=_xlpm.DepreciationMonths,$C272&lt;=CC$8),$E272/_xlpm.DepreciationMonths,0))</f>
        <v>0</v>
      </c>
    </row>
    <row r="273" spans="3:81" hidden="1" outlineLevel="2">
      <c r="C273" s="664">
        <f t="shared" si="267"/>
        <v>45991</v>
      </c>
      <c r="D273" s="508"/>
      <c r="E273" s="508" cm="1">
        <f t="array" ref="E273">SUMPRODUCT(($AH$26:$CC$31)*($AH$5:$CC$5=$C273)*($E$26:$E$31=E$237))-SUMPRODUCT(($AH$26:$CC$31)*($AH$5:$CC$5=EOMONTH($C273,-1))*($E$26:$E$31=E$237))</f>
        <v>0</v>
      </c>
      <c r="F273" s="508"/>
      <c r="G273" s="508"/>
      <c r="H273" s="508"/>
      <c r="I273" s="508"/>
      <c r="J273" s="504">
        <f t="shared" si="265"/>
        <v>0</v>
      </c>
      <c r="K273" s="504">
        <f t="shared" si="265"/>
        <v>0</v>
      </c>
      <c r="L273" s="504">
        <f t="shared" si="265"/>
        <v>0</v>
      </c>
      <c r="M273" s="504">
        <f t="shared" si="265"/>
        <v>0</v>
      </c>
      <c r="N273" s="504"/>
      <c r="O273" s="504"/>
      <c r="P273" s="504">
        <f t="shared" si="271"/>
        <v>0</v>
      </c>
      <c r="Q273" s="504">
        <f t="shared" si="271"/>
        <v>0</v>
      </c>
      <c r="R273" s="504">
        <f t="shared" si="271"/>
        <v>0</v>
      </c>
      <c r="S273" s="504">
        <f t="shared" si="271"/>
        <v>0</v>
      </c>
      <c r="T273" s="504">
        <f t="shared" si="271"/>
        <v>0</v>
      </c>
      <c r="U273" s="504">
        <f t="shared" si="271"/>
        <v>0</v>
      </c>
      <c r="V273" s="504">
        <f t="shared" si="271"/>
        <v>0</v>
      </c>
      <c r="W273" s="504">
        <f t="shared" si="271"/>
        <v>0</v>
      </c>
      <c r="X273" s="504">
        <f t="shared" si="271"/>
        <v>0</v>
      </c>
      <c r="Y273" s="504">
        <f t="shared" si="271"/>
        <v>0</v>
      </c>
      <c r="Z273" s="504">
        <f t="shared" si="271"/>
        <v>0</v>
      </c>
      <c r="AA273" s="504">
        <f t="shared" si="271"/>
        <v>0</v>
      </c>
      <c r="AB273" s="504">
        <f t="shared" si="271"/>
        <v>0</v>
      </c>
      <c r="AC273" s="504">
        <f t="shared" si="271"/>
        <v>0</v>
      </c>
      <c r="AD273" s="504">
        <f t="shared" si="271"/>
        <v>0</v>
      </c>
      <c r="AE273" s="504">
        <f t="shared" si="271"/>
        <v>0</v>
      </c>
      <c r="AF273" s="508"/>
      <c r="AG273" s="508"/>
      <c r="AH273" s="507" cm="1">
        <f t="array" ref="AH273">_xlfn.LET(_xlpm.DepreciationMonths,INDEX(FixedAssets[Depreciation
/ Amortization Months],_xlfn.XMATCH($E$237,FixedAssets[Asset ID])),IF(AND((_xlfn.XMATCH(AH$8,$AH$8:$CC$8))-_xlfn.XMATCH($C273,$C$35:$C$82)+1&lt;=_xlpm.DepreciationMonths,$C273&lt;=AH$8),$E273/_xlpm.DepreciationMonths,0))</f>
        <v>0</v>
      </c>
      <c r="AI273" s="507" cm="1">
        <f t="array" ref="AI273">_xlfn.LET(_xlpm.DepreciationMonths,INDEX(FixedAssets[Depreciation
/ Amortization Months],_xlfn.XMATCH($E$237,FixedAssets[Asset ID])),IF(AND((_xlfn.XMATCH(AI$8,$AH$8:$CC$8))-_xlfn.XMATCH($C273,$C$35:$C$82)+1&lt;=_xlpm.DepreciationMonths,$C273&lt;=AI$8),$E273/_xlpm.DepreciationMonths,0))</f>
        <v>0</v>
      </c>
      <c r="AJ273" s="507" cm="1">
        <f t="array" ref="AJ273">_xlfn.LET(_xlpm.DepreciationMonths,INDEX(FixedAssets[Depreciation
/ Amortization Months],_xlfn.XMATCH($E$237,FixedAssets[Asset ID])),IF(AND((_xlfn.XMATCH(AJ$8,$AH$8:$CC$8))-_xlfn.XMATCH($C273,$C$35:$C$82)+1&lt;=_xlpm.DepreciationMonths,$C273&lt;=AJ$8),$E273/_xlpm.DepreciationMonths,0))</f>
        <v>0</v>
      </c>
      <c r="AK273" s="507" cm="1">
        <f t="array" ref="AK273">_xlfn.LET(_xlpm.DepreciationMonths,INDEX(FixedAssets[Depreciation
/ Amortization Months],_xlfn.XMATCH($E$237,FixedAssets[Asset ID])),IF(AND((_xlfn.XMATCH(AK$8,$AH$8:$CC$8))-_xlfn.XMATCH($C273,$C$35:$C$82)+1&lt;=_xlpm.DepreciationMonths,$C273&lt;=AK$8),$E273/_xlpm.DepreciationMonths,0))</f>
        <v>0</v>
      </c>
      <c r="AL273" s="507" cm="1">
        <f t="array" ref="AL273">_xlfn.LET(_xlpm.DepreciationMonths,INDEX(FixedAssets[Depreciation
/ Amortization Months],_xlfn.XMATCH($E$237,FixedAssets[Asset ID])),IF(AND((_xlfn.XMATCH(AL$8,$AH$8:$CC$8))-_xlfn.XMATCH($C273,$C$35:$C$82)+1&lt;=_xlpm.DepreciationMonths,$C273&lt;=AL$8),$E273/_xlpm.DepreciationMonths,0))</f>
        <v>0</v>
      </c>
      <c r="AM273" s="507" cm="1">
        <f t="array" ref="AM273">_xlfn.LET(_xlpm.DepreciationMonths,INDEX(FixedAssets[Depreciation
/ Amortization Months],_xlfn.XMATCH($E$237,FixedAssets[Asset ID])),IF(AND((_xlfn.XMATCH(AM$8,$AH$8:$CC$8))-_xlfn.XMATCH($C273,$C$35:$C$82)+1&lt;=_xlpm.DepreciationMonths,$C273&lt;=AM$8),$E273/_xlpm.DepreciationMonths,0))</f>
        <v>0</v>
      </c>
      <c r="AN273" s="507" cm="1">
        <f t="array" ref="AN273">_xlfn.LET(_xlpm.DepreciationMonths,INDEX(FixedAssets[Depreciation
/ Amortization Months],_xlfn.XMATCH($E$237,FixedAssets[Asset ID])),IF(AND((_xlfn.XMATCH(AN$8,$AH$8:$CC$8))-_xlfn.XMATCH($C273,$C$35:$C$82)+1&lt;=_xlpm.DepreciationMonths,$C273&lt;=AN$8),$E273/_xlpm.DepreciationMonths,0))</f>
        <v>0</v>
      </c>
      <c r="AO273" s="507" cm="1">
        <f t="array" ref="AO273">_xlfn.LET(_xlpm.DepreciationMonths,INDEX(FixedAssets[Depreciation
/ Amortization Months],_xlfn.XMATCH($E$237,FixedAssets[Asset ID])),IF(AND((_xlfn.XMATCH(AO$8,$AH$8:$CC$8))-_xlfn.XMATCH($C273,$C$35:$C$82)+1&lt;=_xlpm.DepreciationMonths,$C273&lt;=AO$8),$E273/_xlpm.DepreciationMonths,0))</f>
        <v>0</v>
      </c>
      <c r="AP273" s="507" cm="1">
        <f t="array" ref="AP273">_xlfn.LET(_xlpm.DepreciationMonths,INDEX(FixedAssets[Depreciation
/ Amortization Months],_xlfn.XMATCH($E$237,FixedAssets[Asset ID])),IF(AND((_xlfn.XMATCH(AP$8,$AH$8:$CC$8))-_xlfn.XMATCH($C273,$C$35:$C$82)+1&lt;=_xlpm.DepreciationMonths,$C273&lt;=AP$8),$E273/_xlpm.DepreciationMonths,0))</f>
        <v>0</v>
      </c>
      <c r="AQ273" s="507" cm="1">
        <f t="array" ref="AQ273">_xlfn.LET(_xlpm.DepreciationMonths,INDEX(FixedAssets[Depreciation
/ Amortization Months],_xlfn.XMATCH($E$237,FixedAssets[Asset ID])),IF(AND((_xlfn.XMATCH(AQ$8,$AH$8:$CC$8))-_xlfn.XMATCH($C273,$C$35:$C$82)+1&lt;=_xlpm.DepreciationMonths,$C273&lt;=AQ$8),$E273/_xlpm.DepreciationMonths,0))</f>
        <v>0</v>
      </c>
      <c r="AR273" s="507" cm="1">
        <f t="array" ref="AR273">_xlfn.LET(_xlpm.DepreciationMonths,INDEX(FixedAssets[Depreciation
/ Amortization Months],_xlfn.XMATCH($E$237,FixedAssets[Asset ID])),IF(AND((_xlfn.XMATCH(AR$8,$AH$8:$CC$8))-_xlfn.XMATCH($C273,$C$35:$C$82)+1&lt;=_xlpm.DepreciationMonths,$C273&lt;=AR$8),$E273/_xlpm.DepreciationMonths,0))</f>
        <v>0</v>
      </c>
      <c r="AS273" s="507" cm="1">
        <f t="array" ref="AS273">_xlfn.LET(_xlpm.DepreciationMonths,INDEX(FixedAssets[Depreciation
/ Amortization Months],_xlfn.XMATCH($E$237,FixedAssets[Asset ID])),IF(AND((_xlfn.XMATCH(AS$8,$AH$8:$CC$8))-_xlfn.XMATCH($C273,$C$35:$C$82)+1&lt;=_xlpm.DepreciationMonths,$C273&lt;=AS$8),$E273/_xlpm.DepreciationMonths,0))</f>
        <v>0</v>
      </c>
      <c r="AT273" s="507" cm="1">
        <f t="array" ref="AT273">_xlfn.LET(_xlpm.DepreciationMonths,INDEX(FixedAssets[Depreciation
/ Amortization Months],_xlfn.XMATCH($E$237,FixedAssets[Asset ID])),IF(AND((_xlfn.XMATCH(AT$8,$AH$8:$CC$8))-_xlfn.XMATCH($C273,$C$35:$C$82)+1&lt;=_xlpm.DepreciationMonths,$C273&lt;=AT$8),$E273/_xlpm.DepreciationMonths,0))</f>
        <v>0</v>
      </c>
      <c r="AU273" s="507" cm="1">
        <f t="array" ref="AU273">_xlfn.LET(_xlpm.DepreciationMonths,INDEX(FixedAssets[Depreciation
/ Amortization Months],_xlfn.XMATCH($E$237,FixedAssets[Asset ID])),IF(AND((_xlfn.XMATCH(AU$8,$AH$8:$CC$8))-_xlfn.XMATCH($C273,$C$35:$C$82)+1&lt;=_xlpm.DepreciationMonths,$C273&lt;=AU$8),$E273/_xlpm.DepreciationMonths,0))</f>
        <v>0</v>
      </c>
      <c r="AV273" s="507" cm="1">
        <f t="array" ref="AV273">_xlfn.LET(_xlpm.DepreciationMonths,INDEX(FixedAssets[Depreciation
/ Amortization Months],_xlfn.XMATCH($E$237,FixedAssets[Asset ID])),IF(AND((_xlfn.XMATCH(AV$8,$AH$8:$CC$8))-_xlfn.XMATCH($C273,$C$35:$C$82)+1&lt;=_xlpm.DepreciationMonths,$C273&lt;=AV$8),$E273/_xlpm.DepreciationMonths,0))</f>
        <v>0</v>
      </c>
      <c r="AW273" s="507" cm="1">
        <f t="array" ref="AW273">_xlfn.LET(_xlpm.DepreciationMonths,INDEX(FixedAssets[Depreciation
/ Amortization Months],_xlfn.XMATCH($E$237,FixedAssets[Asset ID])),IF(AND((_xlfn.XMATCH(AW$8,$AH$8:$CC$8))-_xlfn.XMATCH($C273,$C$35:$C$82)+1&lt;=_xlpm.DepreciationMonths,$C273&lt;=AW$8),$E273/_xlpm.DepreciationMonths,0))</f>
        <v>0</v>
      </c>
      <c r="AX273" s="507" cm="1">
        <f t="array" ref="AX273">_xlfn.LET(_xlpm.DepreciationMonths,INDEX(FixedAssets[Depreciation
/ Amortization Months],_xlfn.XMATCH($E$237,FixedAssets[Asset ID])),IF(AND((_xlfn.XMATCH(AX$8,$AH$8:$CC$8))-_xlfn.XMATCH($C273,$C$35:$C$82)+1&lt;=_xlpm.DepreciationMonths,$C273&lt;=AX$8),$E273/_xlpm.DepreciationMonths,0))</f>
        <v>0</v>
      </c>
      <c r="AY273" s="507" cm="1">
        <f t="array" ref="AY273">_xlfn.LET(_xlpm.DepreciationMonths,INDEX(FixedAssets[Depreciation
/ Amortization Months],_xlfn.XMATCH($E$237,FixedAssets[Asset ID])),IF(AND((_xlfn.XMATCH(AY$8,$AH$8:$CC$8))-_xlfn.XMATCH($C273,$C$35:$C$82)+1&lt;=_xlpm.DepreciationMonths,$C273&lt;=AY$8),$E273/_xlpm.DepreciationMonths,0))</f>
        <v>0</v>
      </c>
      <c r="AZ273" s="507" cm="1">
        <f t="array" ref="AZ273">_xlfn.LET(_xlpm.DepreciationMonths,INDEX(FixedAssets[Depreciation
/ Amortization Months],_xlfn.XMATCH($E$237,FixedAssets[Asset ID])),IF(AND((_xlfn.XMATCH(AZ$8,$AH$8:$CC$8))-_xlfn.XMATCH($C273,$C$35:$C$82)+1&lt;=_xlpm.DepreciationMonths,$C273&lt;=AZ$8),$E273/_xlpm.DepreciationMonths,0))</f>
        <v>0</v>
      </c>
      <c r="BA273" s="507" cm="1">
        <f t="array" ref="BA273">_xlfn.LET(_xlpm.DepreciationMonths,INDEX(FixedAssets[Depreciation
/ Amortization Months],_xlfn.XMATCH($E$237,FixedAssets[Asset ID])),IF(AND((_xlfn.XMATCH(BA$8,$AH$8:$CC$8))-_xlfn.XMATCH($C273,$C$35:$C$82)+1&lt;=_xlpm.DepreciationMonths,$C273&lt;=BA$8),$E273/_xlpm.DepreciationMonths,0))</f>
        <v>0</v>
      </c>
      <c r="BB273" s="507" cm="1">
        <f t="array" ref="BB273">_xlfn.LET(_xlpm.DepreciationMonths,INDEX(FixedAssets[Depreciation
/ Amortization Months],_xlfn.XMATCH($E$237,FixedAssets[Asset ID])),IF(AND((_xlfn.XMATCH(BB$8,$AH$8:$CC$8))-_xlfn.XMATCH($C273,$C$35:$C$82)+1&lt;=_xlpm.DepreciationMonths,$C273&lt;=BB$8),$E273/_xlpm.DepreciationMonths,0))</f>
        <v>0</v>
      </c>
      <c r="BC273" s="507" cm="1">
        <f t="array" ref="BC273">_xlfn.LET(_xlpm.DepreciationMonths,INDEX(FixedAssets[Depreciation
/ Amortization Months],_xlfn.XMATCH($E$237,FixedAssets[Asset ID])),IF(AND((_xlfn.XMATCH(BC$8,$AH$8:$CC$8))-_xlfn.XMATCH($C273,$C$35:$C$82)+1&lt;=_xlpm.DepreciationMonths,$C273&lt;=BC$8),$E273/_xlpm.DepreciationMonths,0))</f>
        <v>0</v>
      </c>
      <c r="BD273" s="507" cm="1">
        <f t="array" ref="BD273">_xlfn.LET(_xlpm.DepreciationMonths,INDEX(FixedAssets[Depreciation
/ Amortization Months],_xlfn.XMATCH($E$237,FixedAssets[Asset ID])),IF(AND((_xlfn.XMATCH(BD$8,$AH$8:$CC$8))-_xlfn.XMATCH($C273,$C$35:$C$82)+1&lt;=_xlpm.DepreciationMonths,$C273&lt;=BD$8),$E273/_xlpm.DepreciationMonths,0))</f>
        <v>0</v>
      </c>
      <c r="BE273" s="507" cm="1">
        <f t="array" ref="BE273">_xlfn.LET(_xlpm.DepreciationMonths,INDEX(FixedAssets[Depreciation
/ Amortization Months],_xlfn.XMATCH($E$237,FixedAssets[Asset ID])),IF(AND((_xlfn.XMATCH(BE$8,$AH$8:$CC$8))-_xlfn.XMATCH($C273,$C$35:$C$82)+1&lt;=_xlpm.DepreciationMonths,$C273&lt;=BE$8),$E273/_xlpm.DepreciationMonths,0))</f>
        <v>0</v>
      </c>
      <c r="BF273" s="507" cm="1">
        <f t="array" ref="BF273">_xlfn.LET(_xlpm.DepreciationMonths,INDEX(FixedAssets[Depreciation
/ Amortization Months],_xlfn.XMATCH($E$237,FixedAssets[Asset ID])),IF(AND((_xlfn.XMATCH(BF$8,$AH$8:$CC$8))-_xlfn.XMATCH($C273,$C$35:$C$82)+1&lt;=_xlpm.DepreciationMonths,$C273&lt;=BF$8),$E273/_xlpm.DepreciationMonths,0))</f>
        <v>0</v>
      </c>
      <c r="BG273" s="507" cm="1">
        <f t="array" ref="BG273">_xlfn.LET(_xlpm.DepreciationMonths,INDEX(FixedAssets[Depreciation
/ Amortization Months],_xlfn.XMATCH($E$237,FixedAssets[Asset ID])),IF(AND((_xlfn.XMATCH(BG$8,$AH$8:$CC$8))-_xlfn.XMATCH($C273,$C$35:$C$82)+1&lt;=_xlpm.DepreciationMonths,$C273&lt;=BG$8),$E273/_xlpm.DepreciationMonths,0))</f>
        <v>0</v>
      </c>
      <c r="BH273" s="507" cm="1">
        <f t="array" ref="BH273">_xlfn.LET(_xlpm.DepreciationMonths,INDEX(FixedAssets[Depreciation
/ Amortization Months],_xlfn.XMATCH($E$237,FixedAssets[Asset ID])),IF(AND((_xlfn.XMATCH(BH$8,$AH$8:$CC$8))-_xlfn.XMATCH($C273,$C$35:$C$82)+1&lt;=_xlpm.DepreciationMonths,$C273&lt;=BH$8),$E273/_xlpm.DepreciationMonths,0))</f>
        <v>0</v>
      </c>
      <c r="BI273" s="507" cm="1">
        <f t="array" ref="BI273">_xlfn.LET(_xlpm.DepreciationMonths,INDEX(FixedAssets[Depreciation
/ Amortization Months],_xlfn.XMATCH($E$237,FixedAssets[Asset ID])),IF(AND((_xlfn.XMATCH(BI$8,$AH$8:$CC$8))-_xlfn.XMATCH($C273,$C$35:$C$82)+1&lt;=_xlpm.DepreciationMonths,$C273&lt;=BI$8),$E273/_xlpm.DepreciationMonths,0))</f>
        <v>0</v>
      </c>
      <c r="BJ273" s="507" cm="1">
        <f t="array" ref="BJ273">_xlfn.LET(_xlpm.DepreciationMonths,INDEX(FixedAssets[Depreciation
/ Amortization Months],_xlfn.XMATCH($E$237,FixedAssets[Asset ID])),IF(AND((_xlfn.XMATCH(BJ$8,$AH$8:$CC$8))-_xlfn.XMATCH($C273,$C$35:$C$82)+1&lt;=_xlpm.DepreciationMonths,$C273&lt;=BJ$8),$E273/_xlpm.DepreciationMonths,0))</f>
        <v>0</v>
      </c>
      <c r="BK273" s="507" cm="1">
        <f t="array" ref="BK273">_xlfn.LET(_xlpm.DepreciationMonths,INDEX(FixedAssets[Depreciation
/ Amortization Months],_xlfn.XMATCH($E$237,FixedAssets[Asset ID])),IF(AND((_xlfn.XMATCH(BK$8,$AH$8:$CC$8))-_xlfn.XMATCH($C273,$C$35:$C$82)+1&lt;=_xlpm.DepreciationMonths,$C273&lt;=BK$8),$E273/_xlpm.DepreciationMonths,0))</f>
        <v>0</v>
      </c>
      <c r="BL273" s="507" cm="1">
        <f t="array" ref="BL273">_xlfn.LET(_xlpm.DepreciationMonths,INDEX(FixedAssets[Depreciation
/ Amortization Months],_xlfn.XMATCH($E$237,FixedAssets[Asset ID])),IF(AND((_xlfn.XMATCH(BL$8,$AH$8:$CC$8))-_xlfn.XMATCH($C273,$C$35:$C$82)+1&lt;=_xlpm.DepreciationMonths,$C273&lt;=BL$8),$E273/_xlpm.DepreciationMonths,0))</f>
        <v>0</v>
      </c>
      <c r="BM273" s="507" cm="1">
        <f t="array" ref="BM273">_xlfn.LET(_xlpm.DepreciationMonths,INDEX(FixedAssets[Depreciation
/ Amortization Months],_xlfn.XMATCH($E$237,FixedAssets[Asset ID])),IF(AND((_xlfn.XMATCH(BM$8,$AH$8:$CC$8))-_xlfn.XMATCH($C273,$C$35:$C$82)+1&lt;=_xlpm.DepreciationMonths,$C273&lt;=BM$8),$E273/_xlpm.DepreciationMonths,0))</f>
        <v>0</v>
      </c>
      <c r="BN273" s="507" cm="1">
        <f t="array" ref="BN273">_xlfn.LET(_xlpm.DepreciationMonths,INDEX(FixedAssets[Depreciation
/ Amortization Months],_xlfn.XMATCH($E$237,FixedAssets[Asset ID])),IF(AND((_xlfn.XMATCH(BN$8,$AH$8:$CC$8))-_xlfn.XMATCH($C273,$C$35:$C$82)+1&lt;=_xlpm.DepreciationMonths,$C273&lt;=BN$8),$E273/_xlpm.DepreciationMonths,0))</f>
        <v>0</v>
      </c>
      <c r="BO273" s="507" cm="1">
        <f t="array" ref="BO273">_xlfn.LET(_xlpm.DepreciationMonths,INDEX(FixedAssets[Depreciation
/ Amortization Months],_xlfn.XMATCH($E$237,FixedAssets[Asset ID])),IF(AND((_xlfn.XMATCH(BO$8,$AH$8:$CC$8))-_xlfn.XMATCH($C273,$C$35:$C$82)+1&lt;=_xlpm.DepreciationMonths,$C273&lt;=BO$8),$E273/_xlpm.DepreciationMonths,0))</f>
        <v>0</v>
      </c>
      <c r="BP273" s="507" cm="1">
        <f t="array" ref="BP273">_xlfn.LET(_xlpm.DepreciationMonths,INDEX(FixedAssets[Depreciation
/ Amortization Months],_xlfn.XMATCH($E$237,FixedAssets[Asset ID])),IF(AND((_xlfn.XMATCH(BP$8,$AH$8:$CC$8))-_xlfn.XMATCH($C273,$C$35:$C$82)+1&lt;=_xlpm.DepreciationMonths,$C273&lt;=BP$8),$E273/_xlpm.DepreciationMonths,0))</f>
        <v>0</v>
      </c>
      <c r="BQ273" s="507" cm="1">
        <f t="array" ref="BQ273">_xlfn.LET(_xlpm.DepreciationMonths,INDEX(FixedAssets[Depreciation
/ Amortization Months],_xlfn.XMATCH($E$237,FixedAssets[Asset ID])),IF(AND((_xlfn.XMATCH(BQ$8,$AH$8:$CC$8))-_xlfn.XMATCH($C273,$C$35:$C$82)+1&lt;=_xlpm.DepreciationMonths,$C273&lt;=BQ$8),$E273/_xlpm.DepreciationMonths,0))</f>
        <v>0</v>
      </c>
      <c r="BR273" s="507" cm="1">
        <f t="array" ref="BR273">_xlfn.LET(_xlpm.DepreciationMonths,INDEX(FixedAssets[Depreciation
/ Amortization Months],_xlfn.XMATCH($E$237,FixedAssets[Asset ID])),IF(AND((_xlfn.XMATCH(BR$8,$AH$8:$CC$8))-_xlfn.XMATCH($C273,$C$35:$C$82)+1&lt;=_xlpm.DepreciationMonths,$C273&lt;=BR$8),$E273/_xlpm.DepreciationMonths,0))</f>
        <v>0</v>
      </c>
      <c r="BS273" s="507" cm="1">
        <f t="array" ref="BS273">_xlfn.LET(_xlpm.DepreciationMonths,INDEX(FixedAssets[Depreciation
/ Amortization Months],_xlfn.XMATCH($E$237,FixedAssets[Asset ID])),IF(AND((_xlfn.XMATCH(BS$8,$AH$8:$CC$8))-_xlfn.XMATCH($C273,$C$35:$C$82)+1&lt;=_xlpm.DepreciationMonths,$C273&lt;=BS$8),$E273/_xlpm.DepreciationMonths,0))</f>
        <v>0</v>
      </c>
      <c r="BT273" s="507" cm="1">
        <f t="array" ref="BT273">_xlfn.LET(_xlpm.DepreciationMonths,INDEX(FixedAssets[Depreciation
/ Amortization Months],_xlfn.XMATCH($E$237,FixedAssets[Asset ID])),IF(AND((_xlfn.XMATCH(BT$8,$AH$8:$CC$8))-_xlfn.XMATCH($C273,$C$35:$C$82)+1&lt;=_xlpm.DepreciationMonths,$C273&lt;=BT$8),$E273/_xlpm.DepreciationMonths,0))</f>
        <v>0</v>
      </c>
      <c r="BU273" s="507" cm="1">
        <f t="array" ref="BU273">_xlfn.LET(_xlpm.DepreciationMonths,INDEX(FixedAssets[Depreciation
/ Amortization Months],_xlfn.XMATCH($E$237,FixedAssets[Asset ID])),IF(AND((_xlfn.XMATCH(BU$8,$AH$8:$CC$8))-_xlfn.XMATCH($C273,$C$35:$C$82)+1&lt;=_xlpm.DepreciationMonths,$C273&lt;=BU$8),$E273/_xlpm.DepreciationMonths,0))</f>
        <v>0</v>
      </c>
      <c r="BV273" s="507" cm="1">
        <f t="array" ref="BV273">_xlfn.LET(_xlpm.DepreciationMonths,INDEX(FixedAssets[Depreciation
/ Amortization Months],_xlfn.XMATCH($E$237,FixedAssets[Asset ID])),IF(AND((_xlfn.XMATCH(BV$8,$AH$8:$CC$8))-_xlfn.XMATCH($C273,$C$35:$C$82)+1&lt;=_xlpm.DepreciationMonths,$C273&lt;=BV$8),$E273/_xlpm.DepreciationMonths,0))</f>
        <v>0</v>
      </c>
      <c r="BW273" s="507" cm="1">
        <f t="array" ref="BW273">_xlfn.LET(_xlpm.DepreciationMonths,INDEX(FixedAssets[Depreciation
/ Amortization Months],_xlfn.XMATCH($E$237,FixedAssets[Asset ID])),IF(AND((_xlfn.XMATCH(BW$8,$AH$8:$CC$8))-_xlfn.XMATCH($C273,$C$35:$C$82)+1&lt;=_xlpm.DepreciationMonths,$C273&lt;=BW$8),$E273/_xlpm.DepreciationMonths,0))</f>
        <v>0</v>
      </c>
      <c r="BX273" s="507" cm="1">
        <f t="array" ref="BX273">_xlfn.LET(_xlpm.DepreciationMonths,INDEX(FixedAssets[Depreciation
/ Amortization Months],_xlfn.XMATCH($E$237,FixedAssets[Asset ID])),IF(AND((_xlfn.XMATCH(BX$8,$AH$8:$CC$8))-_xlfn.XMATCH($C273,$C$35:$C$82)+1&lt;=_xlpm.DepreciationMonths,$C273&lt;=BX$8),$E273/_xlpm.DepreciationMonths,0))</f>
        <v>0</v>
      </c>
      <c r="BY273" s="507" cm="1">
        <f t="array" ref="BY273">_xlfn.LET(_xlpm.DepreciationMonths,INDEX(FixedAssets[Depreciation
/ Amortization Months],_xlfn.XMATCH($E$237,FixedAssets[Asset ID])),IF(AND((_xlfn.XMATCH(BY$8,$AH$8:$CC$8))-_xlfn.XMATCH($C273,$C$35:$C$82)+1&lt;=_xlpm.DepreciationMonths,$C273&lt;=BY$8),$E273/_xlpm.DepreciationMonths,0))</f>
        <v>0</v>
      </c>
      <c r="BZ273" s="507" cm="1">
        <f t="array" ref="BZ273">_xlfn.LET(_xlpm.DepreciationMonths,INDEX(FixedAssets[Depreciation
/ Amortization Months],_xlfn.XMATCH($E$237,FixedAssets[Asset ID])),IF(AND((_xlfn.XMATCH(BZ$8,$AH$8:$CC$8))-_xlfn.XMATCH($C273,$C$35:$C$82)+1&lt;=_xlpm.DepreciationMonths,$C273&lt;=BZ$8),$E273/_xlpm.DepreciationMonths,0))</f>
        <v>0</v>
      </c>
      <c r="CA273" s="507" cm="1">
        <f t="array" ref="CA273">_xlfn.LET(_xlpm.DepreciationMonths,INDEX(FixedAssets[Depreciation
/ Amortization Months],_xlfn.XMATCH($E$237,FixedAssets[Asset ID])),IF(AND((_xlfn.XMATCH(CA$8,$AH$8:$CC$8))-_xlfn.XMATCH($C273,$C$35:$C$82)+1&lt;=_xlpm.DepreciationMonths,$C273&lt;=CA$8),$E273/_xlpm.DepreciationMonths,0))</f>
        <v>0</v>
      </c>
      <c r="CB273" s="507" cm="1">
        <f t="array" ref="CB273">_xlfn.LET(_xlpm.DepreciationMonths,INDEX(FixedAssets[Depreciation
/ Amortization Months],_xlfn.XMATCH($E$237,FixedAssets[Asset ID])),IF(AND((_xlfn.XMATCH(CB$8,$AH$8:$CC$8))-_xlfn.XMATCH($C273,$C$35:$C$82)+1&lt;=_xlpm.DepreciationMonths,$C273&lt;=CB$8),$E273/_xlpm.DepreciationMonths,0))</f>
        <v>0</v>
      </c>
      <c r="CC273" s="507" cm="1">
        <f t="array" ref="CC273">_xlfn.LET(_xlpm.DepreciationMonths,INDEX(FixedAssets[Depreciation
/ Amortization Months],_xlfn.XMATCH($E$237,FixedAssets[Asset ID])),IF(AND((_xlfn.XMATCH(CC$8,$AH$8:$CC$8))-_xlfn.XMATCH($C273,$C$35:$C$82)+1&lt;=_xlpm.DepreciationMonths,$C273&lt;=CC$8),$E273/_xlpm.DepreciationMonths,0))</f>
        <v>0</v>
      </c>
    </row>
    <row r="274" spans="3:81" hidden="1" outlineLevel="2">
      <c r="C274" s="664">
        <f t="shared" si="267"/>
        <v>46022</v>
      </c>
      <c r="D274" s="508"/>
      <c r="E274" s="508" cm="1">
        <f t="array" ref="E274">SUMPRODUCT(($AH$26:$CC$31)*($AH$5:$CC$5=$C274)*($E$26:$E$31=E$237))-SUMPRODUCT(($AH$26:$CC$31)*($AH$5:$CC$5=EOMONTH($C274,-1))*($E$26:$E$31=E$237))</f>
        <v>0</v>
      </c>
      <c r="F274" s="508"/>
      <c r="G274" s="508"/>
      <c r="H274" s="508"/>
      <c r="I274" s="508"/>
      <c r="J274" s="504">
        <f t="shared" si="265"/>
        <v>0</v>
      </c>
      <c r="K274" s="504">
        <f t="shared" si="265"/>
        <v>0</v>
      </c>
      <c r="L274" s="504">
        <f t="shared" si="265"/>
        <v>0</v>
      </c>
      <c r="M274" s="504">
        <f t="shared" si="265"/>
        <v>0</v>
      </c>
      <c r="N274" s="504"/>
      <c r="O274" s="504"/>
      <c r="P274" s="504">
        <f t="shared" si="271"/>
        <v>0</v>
      </c>
      <c r="Q274" s="504">
        <f t="shared" si="271"/>
        <v>0</v>
      </c>
      <c r="R274" s="504">
        <f t="shared" si="271"/>
        <v>0</v>
      </c>
      <c r="S274" s="504">
        <f t="shared" si="271"/>
        <v>0</v>
      </c>
      <c r="T274" s="504">
        <f t="shared" si="271"/>
        <v>0</v>
      </c>
      <c r="U274" s="504">
        <f t="shared" si="271"/>
        <v>0</v>
      </c>
      <c r="V274" s="504">
        <f t="shared" si="271"/>
        <v>0</v>
      </c>
      <c r="W274" s="504">
        <f t="shared" si="271"/>
        <v>0</v>
      </c>
      <c r="X274" s="504">
        <f t="shared" si="271"/>
        <v>0</v>
      </c>
      <c r="Y274" s="504">
        <f t="shared" si="271"/>
        <v>0</v>
      </c>
      <c r="Z274" s="504">
        <f t="shared" si="271"/>
        <v>0</v>
      </c>
      <c r="AA274" s="504">
        <f t="shared" si="271"/>
        <v>0</v>
      </c>
      <c r="AB274" s="504">
        <f t="shared" si="271"/>
        <v>0</v>
      </c>
      <c r="AC274" s="504">
        <f t="shared" si="271"/>
        <v>0</v>
      </c>
      <c r="AD274" s="504">
        <f t="shared" si="271"/>
        <v>0</v>
      </c>
      <c r="AE274" s="504">
        <f t="shared" si="271"/>
        <v>0</v>
      </c>
      <c r="AF274" s="508"/>
      <c r="AG274" s="508"/>
      <c r="AH274" s="507" cm="1">
        <f t="array" ref="AH274">_xlfn.LET(_xlpm.DepreciationMonths,INDEX(FixedAssets[Depreciation
/ Amortization Months],_xlfn.XMATCH($E$237,FixedAssets[Asset ID])),IF(AND((_xlfn.XMATCH(AH$8,$AH$8:$CC$8))-_xlfn.XMATCH($C274,$C$35:$C$82)+1&lt;=_xlpm.DepreciationMonths,$C274&lt;=AH$8),$E274/_xlpm.DepreciationMonths,0))</f>
        <v>0</v>
      </c>
      <c r="AI274" s="507" cm="1">
        <f t="array" ref="AI274">_xlfn.LET(_xlpm.DepreciationMonths,INDEX(FixedAssets[Depreciation
/ Amortization Months],_xlfn.XMATCH($E$237,FixedAssets[Asset ID])),IF(AND((_xlfn.XMATCH(AI$8,$AH$8:$CC$8))-_xlfn.XMATCH($C274,$C$35:$C$82)+1&lt;=_xlpm.DepreciationMonths,$C274&lt;=AI$8),$E274/_xlpm.DepreciationMonths,0))</f>
        <v>0</v>
      </c>
      <c r="AJ274" s="507" cm="1">
        <f t="array" ref="AJ274">_xlfn.LET(_xlpm.DepreciationMonths,INDEX(FixedAssets[Depreciation
/ Amortization Months],_xlfn.XMATCH($E$237,FixedAssets[Asset ID])),IF(AND((_xlfn.XMATCH(AJ$8,$AH$8:$CC$8))-_xlfn.XMATCH($C274,$C$35:$C$82)+1&lt;=_xlpm.DepreciationMonths,$C274&lt;=AJ$8),$E274/_xlpm.DepreciationMonths,0))</f>
        <v>0</v>
      </c>
      <c r="AK274" s="507" cm="1">
        <f t="array" ref="AK274">_xlfn.LET(_xlpm.DepreciationMonths,INDEX(FixedAssets[Depreciation
/ Amortization Months],_xlfn.XMATCH($E$237,FixedAssets[Asset ID])),IF(AND((_xlfn.XMATCH(AK$8,$AH$8:$CC$8))-_xlfn.XMATCH($C274,$C$35:$C$82)+1&lt;=_xlpm.DepreciationMonths,$C274&lt;=AK$8),$E274/_xlpm.DepreciationMonths,0))</f>
        <v>0</v>
      </c>
      <c r="AL274" s="507" cm="1">
        <f t="array" ref="AL274">_xlfn.LET(_xlpm.DepreciationMonths,INDEX(FixedAssets[Depreciation
/ Amortization Months],_xlfn.XMATCH($E$237,FixedAssets[Asset ID])),IF(AND((_xlfn.XMATCH(AL$8,$AH$8:$CC$8))-_xlfn.XMATCH($C274,$C$35:$C$82)+1&lt;=_xlpm.DepreciationMonths,$C274&lt;=AL$8),$E274/_xlpm.DepreciationMonths,0))</f>
        <v>0</v>
      </c>
      <c r="AM274" s="507" cm="1">
        <f t="array" ref="AM274">_xlfn.LET(_xlpm.DepreciationMonths,INDEX(FixedAssets[Depreciation
/ Amortization Months],_xlfn.XMATCH($E$237,FixedAssets[Asset ID])),IF(AND((_xlfn.XMATCH(AM$8,$AH$8:$CC$8))-_xlfn.XMATCH($C274,$C$35:$C$82)+1&lt;=_xlpm.DepreciationMonths,$C274&lt;=AM$8),$E274/_xlpm.DepreciationMonths,0))</f>
        <v>0</v>
      </c>
      <c r="AN274" s="507" cm="1">
        <f t="array" ref="AN274">_xlfn.LET(_xlpm.DepreciationMonths,INDEX(FixedAssets[Depreciation
/ Amortization Months],_xlfn.XMATCH($E$237,FixedAssets[Asset ID])),IF(AND((_xlfn.XMATCH(AN$8,$AH$8:$CC$8))-_xlfn.XMATCH($C274,$C$35:$C$82)+1&lt;=_xlpm.DepreciationMonths,$C274&lt;=AN$8),$E274/_xlpm.DepreciationMonths,0))</f>
        <v>0</v>
      </c>
      <c r="AO274" s="507" cm="1">
        <f t="array" ref="AO274">_xlfn.LET(_xlpm.DepreciationMonths,INDEX(FixedAssets[Depreciation
/ Amortization Months],_xlfn.XMATCH($E$237,FixedAssets[Asset ID])),IF(AND((_xlfn.XMATCH(AO$8,$AH$8:$CC$8))-_xlfn.XMATCH($C274,$C$35:$C$82)+1&lt;=_xlpm.DepreciationMonths,$C274&lt;=AO$8),$E274/_xlpm.DepreciationMonths,0))</f>
        <v>0</v>
      </c>
      <c r="AP274" s="507" cm="1">
        <f t="array" ref="AP274">_xlfn.LET(_xlpm.DepreciationMonths,INDEX(FixedAssets[Depreciation
/ Amortization Months],_xlfn.XMATCH($E$237,FixedAssets[Asset ID])),IF(AND((_xlfn.XMATCH(AP$8,$AH$8:$CC$8))-_xlfn.XMATCH($C274,$C$35:$C$82)+1&lt;=_xlpm.DepreciationMonths,$C274&lt;=AP$8),$E274/_xlpm.DepreciationMonths,0))</f>
        <v>0</v>
      </c>
      <c r="AQ274" s="507" cm="1">
        <f t="array" ref="AQ274">_xlfn.LET(_xlpm.DepreciationMonths,INDEX(FixedAssets[Depreciation
/ Amortization Months],_xlfn.XMATCH($E$237,FixedAssets[Asset ID])),IF(AND((_xlfn.XMATCH(AQ$8,$AH$8:$CC$8))-_xlfn.XMATCH($C274,$C$35:$C$82)+1&lt;=_xlpm.DepreciationMonths,$C274&lt;=AQ$8),$E274/_xlpm.DepreciationMonths,0))</f>
        <v>0</v>
      </c>
      <c r="AR274" s="507" cm="1">
        <f t="array" ref="AR274">_xlfn.LET(_xlpm.DepreciationMonths,INDEX(FixedAssets[Depreciation
/ Amortization Months],_xlfn.XMATCH($E$237,FixedAssets[Asset ID])),IF(AND((_xlfn.XMATCH(AR$8,$AH$8:$CC$8))-_xlfn.XMATCH($C274,$C$35:$C$82)+1&lt;=_xlpm.DepreciationMonths,$C274&lt;=AR$8),$E274/_xlpm.DepreciationMonths,0))</f>
        <v>0</v>
      </c>
      <c r="AS274" s="507" cm="1">
        <f t="array" ref="AS274">_xlfn.LET(_xlpm.DepreciationMonths,INDEX(FixedAssets[Depreciation
/ Amortization Months],_xlfn.XMATCH($E$237,FixedAssets[Asset ID])),IF(AND((_xlfn.XMATCH(AS$8,$AH$8:$CC$8))-_xlfn.XMATCH($C274,$C$35:$C$82)+1&lt;=_xlpm.DepreciationMonths,$C274&lt;=AS$8),$E274/_xlpm.DepreciationMonths,0))</f>
        <v>0</v>
      </c>
      <c r="AT274" s="507" cm="1">
        <f t="array" ref="AT274">_xlfn.LET(_xlpm.DepreciationMonths,INDEX(FixedAssets[Depreciation
/ Amortization Months],_xlfn.XMATCH($E$237,FixedAssets[Asset ID])),IF(AND((_xlfn.XMATCH(AT$8,$AH$8:$CC$8))-_xlfn.XMATCH($C274,$C$35:$C$82)+1&lt;=_xlpm.DepreciationMonths,$C274&lt;=AT$8),$E274/_xlpm.DepreciationMonths,0))</f>
        <v>0</v>
      </c>
      <c r="AU274" s="507" cm="1">
        <f t="array" ref="AU274">_xlfn.LET(_xlpm.DepreciationMonths,INDEX(FixedAssets[Depreciation
/ Amortization Months],_xlfn.XMATCH($E$237,FixedAssets[Asset ID])),IF(AND((_xlfn.XMATCH(AU$8,$AH$8:$CC$8))-_xlfn.XMATCH($C274,$C$35:$C$82)+1&lt;=_xlpm.DepreciationMonths,$C274&lt;=AU$8),$E274/_xlpm.DepreciationMonths,0))</f>
        <v>0</v>
      </c>
      <c r="AV274" s="507" cm="1">
        <f t="array" ref="AV274">_xlfn.LET(_xlpm.DepreciationMonths,INDEX(FixedAssets[Depreciation
/ Amortization Months],_xlfn.XMATCH($E$237,FixedAssets[Asset ID])),IF(AND((_xlfn.XMATCH(AV$8,$AH$8:$CC$8))-_xlfn.XMATCH($C274,$C$35:$C$82)+1&lt;=_xlpm.DepreciationMonths,$C274&lt;=AV$8),$E274/_xlpm.DepreciationMonths,0))</f>
        <v>0</v>
      </c>
      <c r="AW274" s="507" cm="1">
        <f t="array" ref="AW274">_xlfn.LET(_xlpm.DepreciationMonths,INDEX(FixedAssets[Depreciation
/ Amortization Months],_xlfn.XMATCH($E$237,FixedAssets[Asset ID])),IF(AND((_xlfn.XMATCH(AW$8,$AH$8:$CC$8))-_xlfn.XMATCH($C274,$C$35:$C$82)+1&lt;=_xlpm.DepreciationMonths,$C274&lt;=AW$8),$E274/_xlpm.DepreciationMonths,0))</f>
        <v>0</v>
      </c>
      <c r="AX274" s="507" cm="1">
        <f t="array" ref="AX274">_xlfn.LET(_xlpm.DepreciationMonths,INDEX(FixedAssets[Depreciation
/ Amortization Months],_xlfn.XMATCH($E$237,FixedAssets[Asset ID])),IF(AND((_xlfn.XMATCH(AX$8,$AH$8:$CC$8))-_xlfn.XMATCH($C274,$C$35:$C$82)+1&lt;=_xlpm.DepreciationMonths,$C274&lt;=AX$8),$E274/_xlpm.DepreciationMonths,0))</f>
        <v>0</v>
      </c>
      <c r="AY274" s="507" cm="1">
        <f t="array" ref="AY274">_xlfn.LET(_xlpm.DepreciationMonths,INDEX(FixedAssets[Depreciation
/ Amortization Months],_xlfn.XMATCH($E$237,FixedAssets[Asset ID])),IF(AND((_xlfn.XMATCH(AY$8,$AH$8:$CC$8))-_xlfn.XMATCH($C274,$C$35:$C$82)+1&lt;=_xlpm.DepreciationMonths,$C274&lt;=AY$8),$E274/_xlpm.DepreciationMonths,0))</f>
        <v>0</v>
      </c>
      <c r="AZ274" s="507" cm="1">
        <f t="array" ref="AZ274">_xlfn.LET(_xlpm.DepreciationMonths,INDEX(FixedAssets[Depreciation
/ Amortization Months],_xlfn.XMATCH($E$237,FixedAssets[Asset ID])),IF(AND((_xlfn.XMATCH(AZ$8,$AH$8:$CC$8))-_xlfn.XMATCH($C274,$C$35:$C$82)+1&lt;=_xlpm.DepreciationMonths,$C274&lt;=AZ$8),$E274/_xlpm.DepreciationMonths,0))</f>
        <v>0</v>
      </c>
      <c r="BA274" s="507" cm="1">
        <f t="array" ref="BA274">_xlfn.LET(_xlpm.DepreciationMonths,INDEX(FixedAssets[Depreciation
/ Amortization Months],_xlfn.XMATCH($E$237,FixedAssets[Asset ID])),IF(AND((_xlfn.XMATCH(BA$8,$AH$8:$CC$8))-_xlfn.XMATCH($C274,$C$35:$C$82)+1&lt;=_xlpm.DepreciationMonths,$C274&lt;=BA$8),$E274/_xlpm.DepreciationMonths,0))</f>
        <v>0</v>
      </c>
      <c r="BB274" s="507" cm="1">
        <f t="array" ref="BB274">_xlfn.LET(_xlpm.DepreciationMonths,INDEX(FixedAssets[Depreciation
/ Amortization Months],_xlfn.XMATCH($E$237,FixedAssets[Asset ID])),IF(AND((_xlfn.XMATCH(BB$8,$AH$8:$CC$8))-_xlfn.XMATCH($C274,$C$35:$C$82)+1&lt;=_xlpm.DepreciationMonths,$C274&lt;=BB$8),$E274/_xlpm.DepreciationMonths,0))</f>
        <v>0</v>
      </c>
      <c r="BC274" s="507" cm="1">
        <f t="array" ref="BC274">_xlfn.LET(_xlpm.DepreciationMonths,INDEX(FixedAssets[Depreciation
/ Amortization Months],_xlfn.XMATCH($E$237,FixedAssets[Asset ID])),IF(AND((_xlfn.XMATCH(BC$8,$AH$8:$CC$8))-_xlfn.XMATCH($C274,$C$35:$C$82)+1&lt;=_xlpm.DepreciationMonths,$C274&lt;=BC$8),$E274/_xlpm.DepreciationMonths,0))</f>
        <v>0</v>
      </c>
      <c r="BD274" s="507" cm="1">
        <f t="array" ref="BD274">_xlfn.LET(_xlpm.DepreciationMonths,INDEX(FixedAssets[Depreciation
/ Amortization Months],_xlfn.XMATCH($E$237,FixedAssets[Asset ID])),IF(AND((_xlfn.XMATCH(BD$8,$AH$8:$CC$8))-_xlfn.XMATCH($C274,$C$35:$C$82)+1&lt;=_xlpm.DepreciationMonths,$C274&lt;=BD$8),$E274/_xlpm.DepreciationMonths,0))</f>
        <v>0</v>
      </c>
      <c r="BE274" s="507" cm="1">
        <f t="array" ref="BE274">_xlfn.LET(_xlpm.DepreciationMonths,INDEX(FixedAssets[Depreciation
/ Amortization Months],_xlfn.XMATCH($E$237,FixedAssets[Asset ID])),IF(AND((_xlfn.XMATCH(BE$8,$AH$8:$CC$8))-_xlfn.XMATCH($C274,$C$35:$C$82)+1&lt;=_xlpm.DepreciationMonths,$C274&lt;=BE$8),$E274/_xlpm.DepreciationMonths,0))</f>
        <v>0</v>
      </c>
      <c r="BF274" s="507" cm="1">
        <f t="array" ref="BF274">_xlfn.LET(_xlpm.DepreciationMonths,INDEX(FixedAssets[Depreciation
/ Amortization Months],_xlfn.XMATCH($E$237,FixedAssets[Asset ID])),IF(AND((_xlfn.XMATCH(BF$8,$AH$8:$CC$8))-_xlfn.XMATCH($C274,$C$35:$C$82)+1&lt;=_xlpm.DepreciationMonths,$C274&lt;=BF$8),$E274/_xlpm.DepreciationMonths,0))</f>
        <v>0</v>
      </c>
      <c r="BG274" s="507" cm="1">
        <f t="array" ref="BG274">_xlfn.LET(_xlpm.DepreciationMonths,INDEX(FixedAssets[Depreciation
/ Amortization Months],_xlfn.XMATCH($E$237,FixedAssets[Asset ID])),IF(AND((_xlfn.XMATCH(BG$8,$AH$8:$CC$8))-_xlfn.XMATCH($C274,$C$35:$C$82)+1&lt;=_xlpm.DepreciationMonths,$C274&lt;=BG$8),$E274/_xlpm.DepreciationMonths,0))</f>
        <v>0</v>
      </c>
      <c r="BH274" s="507" cm="1">
        <f t="array" ref="BH274">_xlfn.LET(_xlpm.DepreciationMonths,INDEX(FixedAssets[Depreciation
/ Amortization Months],_xlfn.XMATCH($E$237,FixedAssets[Asset ID])),IF(AND((_xlfn.XMATCH(BH$8,$AH$8:$CC$8))-_xlfn.XMATCH($C274,$C$35:$C$82)+1&lt;=_xlpm.DepreciationMonths,$C274&lt;=BH$8),$E274/_xlpm.DepreciationMonths,0))</f>
        <v>0</v>
      </c>
      <c r="BI274" s="507" cm="1">
        <f t="array" ref="BI274">_xlfn.LET(_xlpm.DepreciationMonths,INDEX(FixedAssets[Depreciation
/ Amortization Months],_xlfn.XMATCH($E$237,FixedAssets[Asset ID])),IF(AND((_xlfn.XMATCH(BI$8,$AH$8:$CC$8))-_xlfn.XMATCH($C274,$C$35:$C$82)+1&lt;=_xlpm.DepreciationMonths,$C274&lt;=BI$8),$E274/_xlpm.DepreciationMonths,0))</f>
        <v>0</v>
      </c>
      <c r="BJ274" s="507" cm="1">
        <f t="array" ref="BJ274">_xlfn.LET(_xlpm.DepreciationMonths,INDEX(FixedAssets[Depreciation
/ Amortization Months],_xlfn.XMATCH($E$237,FixedAssets[Asset ID])),IF(AND((_xlfn.XMATCH(BJ$8,$AH$8:$CC$8))-_xlfn.XMATCH($C274,$C$35:$C$82)+1&lt;=_xlpm.DepreciationMonths,$C274&lt;=BJ$8),$E274/_xlpm.DepreciationMonths,0))</f>
        <v>0</v>
      </c>
      <c r="BK274" s="507" cm="1">
        <f t="array" ref="BK274">_xlfn.LET(_xlpm.DepreciationMonths,INDEX(FixedAssets[Depreciation
/ Amortization Months],_xlfn.XMATCH($E$237,FixedAssets[Asset ID])),IF(AND((_xlfn.XMATCH(BK$8,$AH$8:$CC$8))-_xlfn.XMATCH($C274,$C$35:$C$82)+1&lt;=_xlpm.DepreciationMonths,$C274&lt;=BK$8),$E274/_xlpm.DepreciationMonths,0))</f>
        <v>0</v>
      </c>
      <c r="BL274" s="507" cm="1">
        <f t="array" ref="BL274">_xlfn.LET(_xlpm.DepreciationMonths,INDEX(FixedAssets[Depreciation
/ Amortization Months],_xlfn.XMATCH($E$237,FixedAssets[Asset ID])),IF(AND((_xlfn.XMATCH(BL$8,$AH$8:$CC$8))-_xlfn.XMATCH($C274,$C$35:$C$82)+1&lt;=_xlpm.DepreciationMonths,$C274&lt;=BL$8),$E274/_xlpm.DepreciationMonths,0))</f>
        <v>0</v>
      </c>
      <c r="BM274" s="507" cm="1">
        <f t="array" ref="BM274">_xlfn.LET(_xlpm.DepreciationMonths,INDEX(FixedAssets[Depreciation
/ Amortization Months],_xlfn.XMATCH($E$237,FixedAssets[Asset ID])),IF(AND((_xlfn.XMATCH(BM$8,$AH$8:$CC$8))-_xlfn.XMATCH($C274,$C$35:$C$82)+1&lt;=_xlpm.DepreciationMonths,$C274&lt;=BM$8),$E274/_xlpm.DepreciationMonths,0))</f>
        <v>0</v>
      </c>
      <c r="BN274" s="507" cm="1">
        <f t="array" ref="BN274">_xlfn.LET(_xlpm.DepreciationMonths,INDEX(FixedAssets[Depreciation
/ Amortization Months],_xlfn.XMATCH($E$237,FixedAssets[Asset ID])),IF(AND((_xlfn.XMATCH(BN$8,$AH$8:$CC$8))-_xlfn.XMATCH($C274,$C$35:$C$82)+1&lt;=_xlpm.DepreciationMonths,$C274&lt;=BN$8),$E274/_xlpm.DepreciationMonths,0))</f>
        <v>0</v>
      </c>
      <c r="BO274" s="507" cm="1">
        <f t="array" ref="BO274">_xlfn.LET(_xlpm.DepreciationMonths,INDEX(FixedAssets[Depreciation
/ Amortization Months],_xlfn.XMATCH($E$237,FixedAssets[Asset ID])),IF(AND((_xlfn.XMATCH(BO$8,$AH$8:$CC$8))-_xlfn.XMATCH($C274,$C$35:$C$82)+1&lt;=_xlpm.DepreciationMonths,$C274&lt;=BO$8),$E274/_xlpm.DepreciationMonths,0))</f>
        <v>0</v>
      </c>
      <c r="BP274" s="507" cm="1">
        <f t="array" ref="BP274">_xlfn.LET(_xlpm.DepreciationMonths,INDEX(FixedAssets[Depreciation
/ Amortization Months],_xlfn.XMATCH($E$237,FixedAssets[Asset ID])),IF(AND((_xlfn.XMATCH(BP$8,$AH$8:$CC$8))-_xlfn.XMATCH($C274,$C$35:$C$82)+1&lt;=_xlpm.DepreciationMonths,$C274&lt;=BP$8),$E274/_xlpm.DepreciationMonths,0))</f>
        <v>0</v>
      </c>
      <c r="BQ274" s="507" cm="1">
        <f t="array" ref="BQ274">_xlfn.LET(_xlpm.DepreciationMonths,INDEX(FixedAssets[Depreciation
/ Amortization Months],_xlfn.XMATCH($E$237,FixedAssets[Asset ID])),IF(AND((_xlfn.XMATCH(BQ$8,$AH$8:$CC$8))-_xlfn.XMATCH($C274,$C$35:$C$82)+1&lt;=_xlpm.DepreciationMonths,$C274&lt;=BQ$8),$E274/_xlpm.DepreciationMonths,0))</f>
        <v>0</v>
      </c>
      <c r="BR274" s="507" cm="1">
        <f t="array" ref="BR274">_xlfn.LET(_xlpm.DepreciationMonths,INDEX(FixedAssets[Depreciation
/ Amortization Months],_xlfn.XMATCH($E$237,FixedAssets[Asset ID])),IF(AND((_xlfn.XMATCH(BR$8,$AH$8:$CC$8))-_xlfn.XMATCH($C274,$C$35:$C$82)+1&lt;=_xlpm.DepreciationMonths,$C274&lt;=BR$8),$E274/_xlpm.DepreciationMonths,0))</f>
        <v>0</v>
      </c>
      <c r="BS274" s="507" cm="1">
        <f t="array" ref="BS274">_xlfn.LET(_xlpm.DepreciationMonths,INDEX(FixedAssets[Depreciation
/ Amortization Months],_xlfn.XMATCH($E$237,FixedAssets[Asset ID])),IF(AND((_xlfn.XMATCH(BS$8,$AH$8:$CC$8))-_xlfn.XMATCH($C274,$C$35:$C$82)+1&lt;=_xlpm.DepreciationMonths,$C274&lt;=BS$8),$E274/_xlpm.DepreciationMonths,0))</f>
        <v>0</v>
      </c>
      <c r="BT274" s="507" cm="1">
        <f t="array" ref="BT274">_xlfn.LET(_xlpm.DepreciationMonths,INDEX(FixedAssets[Depreciation
/ Amortization Months],_xlfn.XMATCH($E$237,FixedAssets[Asset ID])),IF(AND((_xlfn.XMATCH(BT$8,$AH$8:$CC$8))-_xlfn.XMATCH($C274,$C$35:$C$82)+1&lt;=_xlpm.DepreciationMonths,$C274&lt;=BT$8),$E274/_xlpm.DepreciationMonths,0))</f>
        <v>0</v>
      </c>
      <c r="BU274" s="507" cm="1">
        <f t="array" ref="BU274">_xlfn.LET(_xlpm.DepreciationMonths,INDEX(FixedAssets[Depreciation
/ Amortization Months],_xlfn.XMATCH($E$237,FixedAssets[Asset ID])),IF(AND((_xlfn.XMATCH(BU$8,$AH$8:$CC$8))-_xlfn.XMATCH($C274,$C$35:$C$82)+1&lt;=_xlpm.DepreciationMonths,$C274&lt;=BU$8),$E274/_xlpm.DepreciationMonths,0))</f>
        <v>0</v>
      </c>
      <c r="BV274" s="507" cm="1">
        <f t="array" ref="BV274">_xlfn.LET(_xlpm.DepreciationMonths,INDEX(FixedAssets[Depreciation
/ Amortization Months],_xlfn.XMATCH($E$237,FixedAssets[Asset ID])),IF(AND((_xlfn.XMATCH(BV$8,$AH$8:$CC$8))-_xlfn.XMATCH($C274,$C$35:$C$82)+1&lt;=_xlpm.DepreciationMonths,$C274&lt;=BV$8),$E274/_xlpm.DepreciationMonths,0))</f>
        <v>0</v>
      </c>
      <c r="BW274" s="507" cm="1">
        <f t="array" ref="BW274">_xlfn.LET(_xlpm.DepreciationMonths,INDEX(FixedAssets[Depreciation
/ Amortization Months],_xlfn.XMATCH($E$237,FixedAssets[Asset ID])),IF(AND((_xlfn.XMATCH(BW$8,$AH$8:$CC$8))-_xlfn.XMATCH($C274,$C$35:$C$82)+1&lt;=_xlpm.DepreciationMonths,$C274&lt;=BW$8),$E274/_xlpm.DepreciationMonths,0))</f>
        <v>0</v>
      </c>
      <c r="BX274" s="507" cm="1">
        <f t="array" ref="BX274">_xlfn.LET(_xlpm.DepreciationMonths,INDEX(FixedAssets[Depreciation
/ Amortization Months],_xlfn.XMATCH($E$237,FixedAssets[Asset ID])),IF(AND((_xlfn.XMATCH(BX$8,$AH$8:$CC$8))-_xlfn.XMATCH($C274,$C$35:$C$82)+1&lt;=_xlpm.DepreciationMonths,$C274&lt;=BX$8),$E274/_xlpm.DepreciationMonths,0))</f>
        <v>0</v>
      </c>
      <c r="BY274" s="507" cm="1">
        <f t="array" ref="BY274">_xlfn.LET(_xlpm.DepreciationMonths,INDEX(FixedAssets[Depreciation
/ Amortization Months],_xlfn.XMATCH($E$237,FixedAssets[Asset ID])),IF(AND((_xlfn.XMATCH(BY$8,$AH$8:$CC$8))-_xlfn.XMATCH($C274,$C$35:$C$82)+1&lt;=_xlpm.DepreciationMonths,$C274&lt;=BY$8),$E274/_xlpm.DepreciationMonths,0))</f>
        <v>0</v>
      </c>
      <c r="BZ274" s="507" cm="1">
        <f t="array" ref="BZ274">_xlfn.LET(_xlpm.DepreciationMonths,INDEX(FixedAssets[Depreciation
/ Amortization Months],_xlfn.XMATCH($E$237,FixedAssets[Asset ID])),IF(AND((_xlfn.XMATCH(BZ$8,$AH$8:$CC$8))-_xlfn.XMATCH($C274,$C$35:$C$82)+1&lt;=_xlpm.DepreciationMonths,$C274&lt;=BZ$8),$E274/_xlpm.DepreciationMonths,0))</f>
        <v>0</v>
      </c>
      <c r="CA274" s="507" cm="1">
        <f t="array" ref="CA274">_xlfn.LET(_xlpm.DepreciationMonths,INDEX(FixedAssets[Depreciation
/ Amortization Months],_xlfn.XMATCH($E$237,FixedAssets[Asset ID])),IF(AND((_xlfn.XMATCH(CA$8,$AH$8:$CC$8))-_xlfn.XMATCH($C274,$C$35:$C$82)+1&lt;=_xlpm.DepreciationMonths,$C274&lt;=CA$8),$E274/_xlpm.DepreciationMonths,0))</f>
        <v>0</v>
      </c>
      <c r="CB274" s="507" cm="1">
        <f t="array" ref="CB274">_xlfn.LET(_xlpm.DepreciationMonths,INDEX(FixedAssets[Depreciation
/ Amortization Months],_xlfn.XMATCH($E$237,FixedAssets[Asset ID])),IF(AND((_xlfn.XMATCH(CB$8,$AH$8:$CC$8))-_xlfn.XMATCH($C274,$C$35:$C$82)+1&lt;=_xlpm.DepreciationMonths,$C274&lt;=CB$8),$E274/_xlpm.DepreciationMonths,0))</f>
        <v>0</v>
      </c>
      <c r="CC274" s="507" cm="1">
        <f t="array" ref="CC274">_xlfn.LET(_xlpm.DepreciationMonths,INDEX(FixedAssets[Depreciation
/ Amortization Months],_xlfn.XMATCH($E$237,FixedAssets[Asset ID])),IF(AND((_xlfn.XMATCH(CC$8,$AH$8:$CC$8))-_xlfn.XMATCH($C274,$C$35:$C$82)+1&lt;=_xlpm.DepreciationMonths,$C274&lt;=CC$8),$E274/_xlpm.DepreciationMonths,0))</f>
        <v>0</v>
      </c>
    </row>
    <row r="275" spans="3:81" hidden="1" outlineLevel="2">
      <c r="C275" s="664">
        <f t="shared" si="267"/>
        <v>46053</v>
      </c>
      <c r="D275" s="508"/>
      <c r="E275" s="508" cm="1">
        <f t="array" ref="E275">SUMPRODUCT(($AH$26:$CC$31)*($AH$5:$CC$5=$C275)*($E$26:$E$31=E$237))-SUMPRODUCT(($AH$26:$CC$31)*($AH$5:$CC$5=EOMONTH($C275,-1))*($E$26:$E$31=E$237))</f>
        <v>0</v>
      </c>
      <c r="F275" s="508"/>
      <c r="G275" s="508"/>
      <c r="H275" s="508"/>
      <c r="I275" s="508"/>
      <c r="J275" s="504">
        <f t="shared" si="265"/>
        <v>0</v>
      </c>
      <c r="K275" s="504">
        <f t="shared" si="265"/>
        <v>0</v>
      </c>
      <c r="L275" s="504">
        <f t="shared" si="265"/>
        <v>0</v>
      </c>
      <c r="M275" s="504">
        <f t="shared" si="265"/>
        <v>0</v>
      </c>
      <c r="N275" s="504"/>
      <c r="O275" s="504"/>
      <c r="P275" s="504">
        <f t="shared" si="271"/>
        <v>0</v>
      </c>
      <c r="Q275" s="504">
        <f t="shared" si="271"/>
        <v>0</v>
      </c>
      <c r="R275" s="504">
        <f t="shared" si="271"/>
        <v>0</v>
      </c>
      <c r="S275" s="504">
        <f t="shared" si="271"/>
        <v>0</v>
      </c>
      <c r="T275" s="504">
        <f t="shared" si="271"/>
        <v>0</v>
      </c>
      <c r="U275" s="504">
        <f t="shared" si="271"/>
        <v>0</v>
      </c>
      <c r="V275" s="504">
        <f t="shared" si="271"/>
        <v>0</v>
      </c>
      <c r="W275" s="504">
        <f t="shared" si="271"/>
        <v>0</v>
      </c>
      <c r="X275" s="504">
        <f t="shared" si="271"/>
        <v>0</v>
      </c>
      <c r="Y275" s="504">
        <f t="shared" si="271"/>
        <v>0</v>
      </c>
      <c r="Z275" s="504">
        <f t="shared" si="271"/>
        <v>0</v>
      </c>
      <c r="AA275" s="504">
        <f t="shared" si="271"/>
        <v>0</v>
      </c>
      <c r="AB275" s="504">
        <f t="shared" si="271"/>
        <v>0</v>
      </c>
      <c r="AC275" s="504">
        <f t="shared" si="271"/>
        <v>0</v>
      </c>
      <c r="AD275" s="504">
        <f t="shared" si="271"/>
        <v>0</v>
      </c>
      <c r="AE275" s="504">
        <f t="shared" si="271"/>
        <v>0</v>
      </c>
      <c r="AF275" s="508"/>
      <c r="AG275" s="508"/>
      <c r="AH275" s="507" cm="1">
        <f t="array" ref="AH275">_xlfn.LET(_xlpm.DepreciationMonths,INDEX(FixedAssets[Depreciation
/ Amortization Months],_xlfn.XMATCH($E$237,FixedAssets[Asset ID])),IF(AND((_xlfn.XMATCH(AH$8,$AH$8:$CC$8))-_xlfn.XMATCH($C275,$C$35:$C$82)+1&lt;=_xlpm.DepreciationMonths,$C275&lt;=AH$8),$E275/_xlpm.DepreciationMonths,0))</f>
        <v>0</v>
      </c>
      <c r="AI275" s="507" cm="1">
        <f t="array" ref="AI275">_xlfn.LET(_xlpm.DepreciationMonths,INDEX(FixedAssets[Depreciation
/ Amortization Months],_xlfn.XMATCH($E$237,FixedAssets[Asset ID])),IF(AND((_xlfn.XMATCH(AI$8,$AH$8:$CC$8))-_xlfn.XMATCH($C275,$C$35:$C$82)+1&lt;=_xlpm.DepreciationMonths,$C275&lt;=AI$8),$E275/_xlpm.DepreciationMonths,0))</f>
        <v>0</v>
      </c>
      <c r="AJ275" s="507" cm="1">
        <f t="array" ref="AJ275">_xlfn.LET(_xlpm.DepreciationMonths,INDEX(FixedAssets[Depreciation
/ Amortization Months],_xlfn.XMATCH($E$237,FixedAssets[Asset ID])),IF(AND((_xlfn.XMATCH(AJ$8,$AH$8:$CC$8))-_xlfn.XMATCH($C275,$C$35:$C$82)+1&lt;=_xlpm.DepreciationMonths,$C275&lt;=AJ$8),$E275/_xlpm.DepreciationMonths,0))</f>
        <v>0</v>
      </c>
      <c r="AK275" s="507" cm="1">
        <f t="array" ref="AK275">_xlfn.LET(_xlpm.DepreciationMonths,INDEX(FixedAssets[Depreciation
/ Amortization Months],_xlfn.XMATCH($E$237,FixedAssets[Asset ID])),IF(AND((_xlfn.XMATCH(AK$8,$AH$8:$CC$8))-_xlfn.XMATCH($C275,$C$35:$C$82)+1&lt;=_xlpm.DepreciationMonths,$C275&lt;=AK$8),$E275/_xlpm.DepreciationMonths,0))</f>
        <v>0</v>
      </c>
      <c r="AL275" s="507" cm="1">
        <f t="array" ref="AL275">_xlfn.LET(_xlpm.DepreciationMonths,INDEX(FixedAssets[Depreciation
/ Amortization Months],_xlfn.XMATCH($E$237,FixedAssets[Asset ID])),IF(AND((_xlfn.XMATCH(AL$8,$AH$8:$CC$8))-_xlfn.XMATCH($C275,$C$35:$C$82)+1&lt;=_xlpm.DepreciationMonths,$C275&lt;=AL$8),$E275/_xlpm.DepreciationMonths,0))</f>
        <v>0</v>
      </c>
      <c r="AM275" s="507" cm="1">
        <f t="array" ref="AM275">_xlfn.LET(_xlpm.DepreciationMonths,INDEX(FixedAssets[Depreciation
/ Amortization Months],_xlfn.XMATCH($E$237,FixedAssets[Asset ID])),IF(AND((_xlfn.XMATCH(AM$8,$AH$8:$CC$8))-_xlfn.XMATCH($C275,$C$35:$C$82)+1&lt;=_xlpm.DepreciationMonths,$C275&lt;=AM$8),$E275/_xlpm.DepreciationMonths,0))</f>
        <v>0</v>
      </c>
      <c r="AN275" s="507" cm="1">
        <f t="array" ref="AN275">_xlfn.LET(_xlpm.DepreciationMonths,INDEX(FixedAssets[Depreciation
/ Amortization Months],_xlfn.XMATCH($E$237,FixedAssets[Asset ID])),IF(AND((_xlfn.XMATCH(AN$8,$AH$8:$CC$8))-_xlfn.XMATCH($C275,$C$35:$C$82)+1&lt;=_xlpm.DepreciationMonths,$C275&lt;=AN$8),$E275/_xlpm.DepreciationMonths,0))</f>
        <v>0</v>
      </c>
      <c r="AO275" s="507" cm="1">
        <f t="array" ref="AO275">_xlfn.LET(_xlpm.DepreciationMonths,INDEX(FixedAssets[Depreciation
/ Amortization Months],_xlfn.XMATCH($E$237,FixedAssets[Asset ID])),IF(AND((_xlfn.XMATCH(AO$8,$AH$8:$CC$8))-_xlfn.XMATCH($C275,$C$35:$C$82)+1&lt;=_xlpm.DepreciationMonths,$C275&lt;=AO$8),$E275/_xlpm.DepreciationMonths,0))</f>
        <v>0</v>
      </c>
      <c r="AP275" s="507" cm="1">
        <f t="array" ref="AP275">_xlfn.LET(_xlpm.DepreciationMonths,INDEX(FixedAssets[Depreciation
/ Amortization Months],_xlfn.XMATCH($E$237,FixedAssets[Asset ID])),IF(AND((_xlfn.XMATCH(AP$8,$AH$8:$CC$8))-_xlfn.XMATCH($C275,$C$35:$C$82)+1&lt;=_xlpm.DepreciationMonths,$C275&lt;=AP$8),$E275/_xlpm.DepreciationMonths,0))</f>
        <v>0</v>
      </c>
      <c r="AQ275" s="507" cm="1">
        <f t="array" ref="AQ275">_xlfn.LET(_xlpm.DepreciationMonths,INDEX(FixedAssets[Depreciation
/ Amortization Months],_xlfn.XMATCH($E$237,FixedAssets[Asset ID])),IF(AND((_xlfn.XMATCH(AQ$8,$AH$8:$CC$8))-_xlfn.XMATCH($C275,$C$35:$C$82)+1&lt;=_xlpm.DepreciationMonths,$C275&lt;=AQ$8),$E275/_xlpm.DepreciationMonths,0))</f>
        <v>0</v>
      </c>
      <c r="AR275" s="507" cm="1">
        <f t="array" ref="AR275">_xlfn.LET(_xlpm.DepreciationMonths,INDEX(FixedAssets[Depreciation
/ Amortization Months],_xlfn.XMATCH($E$237,FixedAssets[Asset ID])),IF(AND((_xlfn.XMATCH(AR$8,$AH$8:$CC$8))-_xlfn.XMATCH($C275,$C$35:$C$82)+1&lt;=_xlpm.DepreciationMonths,$C275&lt;=AR$8),$E275/_xlpm.DepreciationMonths,0))</f>
        <v>0</v>
      </c>
      <c r="AS275" s="507" cm="1">
        <f t="array" ref="AS275">_xlfn.LET(_xlpm.DepreciationMonths,INDEX(FixedAssets[Depreciation
/ Amortization Months],_xlfn.XMATCH($E$237,FixedAssets[Asset ID])),IF(AND((_xlfn.XMATCH(AS$8,$AH$8:$CC$8))-_xlfn.XMATCH($C275,$C$35:$C$82)+1&lt;=_xlpm.DepreciationMonths,$C275&lt;=AS$8),$E275/_xlpm.DepreciationMonths,0))</f>
        <v>0</v>
      </c>
      <c r="AT275" s="507" cm="1">
        <f t="array" ref="AT275">_xlfn.LET(_xlpm.DepreciationMonths,INDEX(FixedAssets[Depreciation
/ Amortization Months],_xlfn.XMATCH($E$237,FixedAssets[Asset ID])),IF(AND((_xlfn.XMATCH(AT$8,$AH$8:$CC$8))-_xlfn.XMATCH($C275,$C$35:$C$82)+1&lt;=_xlpm.DepreciationMonths,$C275&lt;=AT$8),$E275/_xlpm.DepreciationMonths,0))</f>
        <v>0</v>
      </c>
      <c r="AU275" s="507" cm="1">
        <f t="array" ref="AU275">_xlfn.LET(_xlpm.DepreciationMonths,INDEX(FixedAssets[Depreciation
/ Amortization Months],_xlfn.XMATCH($E$237,FixedAssets[Asset ID])),IF(AND((_xlfn.XMATCH(AU$8,$AH$8:$CC$8))-_xlfn.XMATCH($C275,$C$35:$C$82)+1&lt;=_xlpm.DepreciationMonths,$C275&lt;=AU$8),$E275/_xlpm.DepreciationMonths,0))</f>
        <v>0</v>
      </c>
      <c r="AV275" s="507" cm="1">
        <f t="array" ref="AV275">_xlfn.LET(_xlpm.DepreciationMonths,INDEX(FixedAssets[Depreciation
/ Amortization Months],_xlfn.XMATCH($E$237,FixedAssets[Asset ID])),IF(AND((_xlfn.XMATCH(AV$8,$AH$8:$CC$8))-_xlfn.XMATCH($C275,$C$35:$C$82)+1&lt;=_xlpm.DepreciationMonths,$C275&lt;=AV$8),$E275/_xlpm.DepreciationMonths,0))</f>
        <v>0</v>
      </c>
      <c r="AW275" s="507" cm="1">
        <f t="array" ref="AW275">_xlfn.LET(_xlpm.DepreciationMonths,INDEX(FixedAssets[Depreciation
/ Amortization Months],_xlfn.XMATCH($E$237,FixedAssets[Asset ID])),IF(AND((_xlfn.XMATCH(AW$8,$AH$8:$CC$8))-_xlfn.XMATCH($C275,$C$35:$C$82)+1&lt;=_xlpm.DepreciationMonths,$C275&lt;=AW$8),$E275/_xlpm.DepreciationMonths,0))</f>
        <v>0</v>
      </c>
      <c r="AX275" s="507" cm="1">
        <f t="array" ref="AX275">_xlfn.LET(_xlpm.DepreciationMonths,INDEX(FixedAssets[Depreciation
/ Amortization Months],_xlfn.XMATCH($E$237,FixedAssets[Asset ID])),IF(AND((_xlfn.XMATCH(AX$8,$AH$8:$CC$8))-_xlfn.XMATCH($C275,$C$35:$C$82)+1&lt;=_xlpm.DepreciationMonths,$C275&lt;=AX$8),$E275/_xlpm.DepreciationMonths,0))</f>
        <v>0</v>
      </c>
      <c r="AY275" s="507" cm="1">
        <f t="array" ref="AY275">_xlfn.LET(_xlpm.DepreciationMonths,INDEX(FixedAssets[Depreciation
/ Amortization Months],_xlfn.XMATCH($E$237,FixedAssets[Asset ID])),IF(AND((_xlfn.XMATCH(AY$8,$AH$8:$CC$8))-_xlfn.XMATCH($C275,$C$35:$C$82)+1&lt;=_xlpm.DepreciationMonths,$C275&lt;=AY$8),$E275/_xlpm.DepreciationMonths,0))</f>
        <v>0</v>
      </c>
      <c r="AZ275" s="507" cm="1">
        <f t="array" ref="AZ275">_xlfn.LET(_xlpm.DepreciationMonths,INDEX(FixedAssets[Depreciation
/ Amortization Months],_xlfn.XMATCH($E$237,FixedAssets[Asset ID])),IF(AND((_xlfn.XMATCH(AZ$8,$AH$8:$CC$8))-_xlfn.XMATCH($C275,$C$35:$C$82)+1&lt;=_xlpm.DepreciationMonths,$C275&lt;=AZ$8),$E275/_xlpm.DepreciationMonths,0))</f>
        <v>0</v>
      </c>
      <c r="BA275" s="507" cm="1">
        <f t="array" ref="BA275">_xlfn.LET(_xlpm.DepreciationMonths,INDEX(FixedAssets[Depreciation
/ Amortization Months],_xlfn.XMATCH($E$237,FixedAssets[Asset ID])),IF(AND((_xlfn.XMATCH(BA$8,$AH$8:$CC$8))-_xlfn.XMATCH($C275,$C$35:$C$82)+1&lt;=_xlpm.DepreciationMonths,$C275&lt;=BA$8),$E275/_xlpm.DepreciationMonths,0))</f>
        <v>0</v>
      </c>
      <c r="BB275" s="507" cm="1">
        <f t="array" ref="BB275">_xlfn.LET(_xlpm.DepreciationMonths,INDEX(FixedAssets[Depreciation
/ Amortization Months],_xlfn.XMATCH($E$237,FixedAssets[Asset ID])),IF(AND((_xlfn.XMATCH(BB$8,$AH$8:$CC$8))-_xlfn.XMATCH($C275,$C$35:$C$82)+1&lt;=_xlpm.DepreciationMonths,$C275&lt;=BB$8),$E275/_xlpm.DepreciationMonths,0))</f>
        <v>0</v>
      </c>
      <c r="BC275" s="507" cm="1">
        <f t="array" ref="BC275">_xlfn.LET(_xlpm.DepreciationMonths,INDEX(FixedAssets[Depreciation
/ Amortization Months],_xlfn.XMATCH($E$237,FixedAssets[Asset ID])),IF(AND((_xlfn.XMATCH(BC$8,$AH$8:$CC$8))-_xlfn.XMATCH($C275,$C$35:$C$82)+1&lt;=_xlpm.DepreciationMonths,$C275&lt;=BC$8),$E275/_xlpm.DepreciationMonths,0))</f>
        <v>0</v>
      </c>
      <c r="BD275" s="507" cm="1">
        <f t="array" ref="BD275">_xlfn.LET(_xlpm.DepreciationMonths,INDEX(FixedAssets[Depreciation
/ Amortization Months],_xlfn.XMATCH($E$237,FixedAssets[Asset ID])),IF(AND((_xlfn.XMATCH(BD$8,$AH$8:$CC$8))-_xlfn.XMATCH($C275,$C$35:$C$82)+1&lt;=_xlpm.DepreciationMonths,$C275&lt;=BD$8),$E275/_xlpm.DepreciationMonths,0))</f>
        <v>0</v>
      </c>
      <c r="BE275" s="507" cm="1">
        <f t="array" ref="BE275">_xlfn.LET(_xlpm.DepreciationMonths,INDEX(FixedAssets[Depreciation
/ Amortization Months],_xlfn.XMATCH($E$237,FixedAssets[Asset ID])),IF(AND((_xlfn.XMATCH(BE$8,$AH$8:$CC$8))-_xlfn.XMATCH($C275,$C$35:$C$82)+1&lt;=_xlpm.DepreciationMonths,$C275&lt;=BE$8),$E275/_xlpm.DepreciationMonths,0))</f>
        <v>0</v>
      </c>
      <c r="BF275" s="507" cm="1">
        <f t="array" ref="BF275">_xlfn.LET(_xlpm.DepreciationMonths,INDEX(FixedAssets[Depreciation
/ Amortization Months],_xlfn.XMATCH($E$237,FixedAssets[Asset ID])),IF(AND((_xlfn.XMATCH(BF$8,$AH$8:$CC$8))-_xlfn.XMATCH($C275,$C$35:$C$82)+1&lt;=_xlpm.DepreciationMonths,$C275&lt;=BF$8),$E275/_xlpm.DepreciationMonths,0))</f>
        <v>0</v>
      </c>
      <c r="BG275" s="507" cm="1">
        <f t="array" ref="BG275">_xlfn.LET(_xlpm.DepreciationMonths,INDEX(FixedAssets[Depreciation
/ Amortization Months],_xlfn.XMATCH($E$237,FixedAssets[Asset ID])),IF(AND((_xlfn.XMATCH(BG$8,$AH$8:$CC$8))-_xlfn.XMATCH($C275,$C$35:$C$82)+1&lt;=_xlpm.DepreciationMonths,$C275&lt;=BG$8),$E275/_xlpm.DepreciationMonths,0))</f>
        <v>0</v>
      </c>
      <c r="BH275" s="507" cm="1">
        <f t="array" ref="BH275">_xlfn.LET(_xlpm.DepreciationMonths,INDEX(FixedAssets[Depreciation
/ Amortization Months],_xlfn.XMATCH($E$237,FixedAssets[Asset ID])),IF(AND((_xlfn.XMATCH(BH$8,$AH$8:$CC$8))-_xlfn.XMATCH($C275,$C$35:$C$82)+1&lt;=_xlpm.DepreciationMonths,$C275&lt;=BH$8),$E275/_xlpm.DepreciationMonths,0))</f>
        <v>0</v>
      </c>
      <c r="BI275" s="507" cm="1">
        <f t="array" ref="BI275">_xlfn.LET(_xlpm.DepreciationMonths,INDEX(FixedAssets[Depreciation
/ Amortization Months],_xlfn.XMATCH($E$237,FixedAssets[Asset ID])),IF(AND((_xlfn.XMATCH(BI$8,$AH$8:$CC$8))-_xlfn.XMATCH($C275,$C$35:$C$82)+1&lt;=_xlpm.DepreciationMonths,$C275&lt;=BI$8),$E275/_xlpm.DepreciationMonths,0))</f>
        <v>0</v>
      </c>
      <c r="BJ275" s="507" cm="1">
        <f t="array" ref="BJ275">_xlfn.LET(_xlpm.DepreciationMonths,INDEX(FixedAssets[Depreciation
/ Amortization Months],_xlfn.XMATCH($E$237,FixedAssets[Asset ID])),IF(AND((_xlfn.XMATCH(BJ$8,$AH$8:$CC$8))-_xlfn.XMATCH($C275,$C$35:$C$82)+1&lt;=_xlpm.DepreciationMonths,$C275&lt;=BJ$8),$E275/_xlpm.DepreciationMonths,0))</f>
        <v>0</v>
      </c>
      <c r="BK275" s="507" cm="1">
        <f t="array" ref="BK275">_xlfn.LET(_xlpm.DepreciationMonths,INDEX(FixedAssets[Depreciation
/ Amortization Months],_xlfn.XMATCH($E$237,FixedAssets[Asset ID])),IF(AND((_xlfn.XMATCH(BK$8,$AH$8:$CC$8))-_xlfn.XMATCH($C275,$C$35:$C$82)+1&lt;=_xlpm.DepreciationMonths,$C275&lt;=BK$8),$E275/_xlpm.DepreciationMonths,0))</f>
        <v>0</v>
      </c>
      <c r="BL275" s="507" cm="1">
        <f t="array" ref="BL275">_xlfn.LET(_xlpm.DepreciationMonths,INDEX(FixedAssets[Depreciation
/ Amortization Months],_xlfn.XMATCH($E$237,FixedAssets[Asset ID])),IF(AND((_xlfn.XMATCH(BL$8,$AH$8:$CC$8))-_xlfn.XMATCH($C275,$C$35:$C$82)+1&lt;=_xlpm.DepreciationMonths,$C275&lt;=BL$8),$E275/_xlpm.DepreciationMonths,0))</f>
        <v>0</v>
      </c>
      <c r="BM275" s="507" cm="1">
        <f t="array" ref="BM275">_xlfn.LET(_xlpm.DepreciationMonths,INDEX(FixedAssets[Depreciation
/ Amortization Months],_xlfn.XMATCH($E$237,FixedAssets[Asset ID])),IF(AND((_xlfn.XMATCH(BM$8,$AH$8:$CC$8))-_xlfn.XMATCH($C275,$C$35:$C$82)+1&lt;=_xlpm.DepreciationMonths,$C275&lt;=BM$8),$E275/_xlpm.DepreciationMonths,0))</f>
        <v>0</v>
      </c>
      <c r="BN275" s="507" cm="1">
        <f t="array" ref="BN275">_xlfn.LET(_xlpm.DepreciationMonths,INDEX(FixedAssets[Depreciation
/ Amortization Months],_xlfn.XMATCH($E$237,FixedAssets[Asset ID])),IF(AND((_xlfn.XMATCH(BN$8,$AH$8:$CC$8))-_xlfn.XMATCH($C275,$C$35:$C$82)+1&lt;=_xlpm.DepreciationMonths,$C275&lt;=BN$8),$E275/_xlpm.DepreciationMonths,0))</f>
        <v>0</v>
      </c>
      <c r="BO275" s="507" cm="1">
        <f t="array" ref="BO275">_xlfn.LET(_xlpm.DepreciationMonths,INDEX(FixedAssets[Depreciation
/ Amortization Months],_xlfn.XMATCH($E$237,FixedAssets[Asset ID])),IF(AND((_xlfn.XMATCH(BO$8,$AH$8:$CC$8))-_xlfn.XMATCH($C275,$C$35:$C$82)+1&lt;=_xlpm.DepreciationMonths,$C275&lt;=BO$8),$E275/_xlpm.DepreciationMonths,0))</f>
        <v>0</v>
      </c>
      <c r="BP275" s="507" cm="1">
        <f t="array" ref="BP275">_xlfn.LET(_xlpm.DepreciationMonths,INDEX(FixedAssets[Depreciation
/ Amortization Months],_xlfn.XMATCH($E$237,FixedAssets[Asset ID])),IF(AND((_xlfn.XMATCH(BP$8,$AH$8:$CC$8))-_xlfn.XMATCH($C275,$C$35:$C$82)+1&lt;=_xlpm.DepreciationMonths,$C275&lt;=BP$8),$E275/_xlpm.DepreciationMonths,0))</f>
        <v>0</v>
      </c>
      <c r="BQ275" s="507" cm="1">
        <f t="array" ref="BQ275">_xlfn.LET(_xlpm.DepreciationMonths,INDEX(FixedAssets[Depreciation
/ Amortization Months],_xlfn.XMATCH($E$237,FixedAssets[Asset ID])),IF(AND((_xlfn.XMATCH(BQ$8,$AH$8:$CC$8))-_xlfn.XMATCH($C275,$C$35:$C$82)+1&lt;=_xlpm.DepreciationMonths,$C275&lt;=BQ$8),$E275/_xlpm.DepreciationMonths,0))</f>
        <v>0</v>
      </c>
      <c r="BR275" s="507" cm="1">
        <f t="array" ref="BR275">_xlfn.LET(_xlpm.DepreciationMonths,INDEX(FixedAssets[Depreciation
/ Amortization Months],_xlfn.XMATCH($E$237,FixedAssets[Asset ID])),IF(AND((_xlfn.XMATCH(BR$8,$AH$8:$CC$8))-_xlfn.XMATCH($C275,$C$35:$C$82)+1&lt;=_xlpm.DepreciationMonths,$C275&lt;=BR$8),$E275/_xlpm.DepreciationMonths,0))</f>
        <v>0</v>
      </c>
      <c r="BS275" s="507" cm="1">
        <f t="array" ref="BS275">_xlfn.LET(_xlpm.DepreciationMonths,INDEX(FixedAssets[Depreciation
/ Amortization Months],_xlfn.XMATCH($E$237,FixedAssets[Asset ID])),IF(AND((_xlfn.XMATCH(BS$8,$AH$8:$CC$8))-_xlfn.XMATCH($C275,$C$35:$C$82)+1&lt;=_xlpm.DepreciationMonths,$C275&lt;=BS$8),$E275/_xlpm.DepreciationMonths,0))</f>
        <v>0</v>
      </c>
      <c r="BT275" s="507" cm="1">
        <f t="array" ref="BT275">_xlfn.LET(_xlpm.DepreciationMonths,INDEX(FixedAssets[Depreciation
/ Amortization Months],_xlfn.XMATCH($E$237,FixedAssets[Asset ID])),IF(AND((_xlfn.XMATCH(BT$8,$AH$8:$CC$8))-_xlfn.XMATCH($C275,$C$35:$C$82)+1&lt;=_xlpm.DepreciationMonths,$C275&lt;=BT$8),$E275/_xlpm.DepreciationMonths,0))</f>
        <v>0</v>
      </c>
      <c r="BU275" s="507" cm="1">
        <f t="array" ref="BU275">_xlfn.LET(_xlpm.DepreciationMonths,INDEX(FixedAssets[Depreciation
/ Amortization Months],_xlfn.XMATCH($E$237,FixedAssets[Asset ID])),IF(AND((_xlfn.XMATCH(BU$8,$AH$8:$CC$8))-_xlfn.XMATCH($C275,$C$35:$C$82)+1&lt;=_xlpm.DepreciationMonths,$C275&lt;=BU$8),$E275/_xlpm.DepreciationMonths,0))</f>
        <v>0</v>
      </c>
      <c r="BV275" s="507" cm="1">
        <f t="array" ref="BV275">_xlfn.LET(_xlpm.DepreciationMonths,INDEX(FixedAssets[Depreciation
/ Amortization Months],_xlfn.XMATCH($E$237,FixedAssets[Asset ID])),IF(AND((_xlfn.XMATCH(BV$8,$AH$8:$CC$8))-_xlfn.XMATCH($C275,$C$35:$C$82)+1&lt;=_xlpm.DepreciationMonths,$C275&lt;=BV$8),$E275/_xlpm.DepreciationMonths,0))</f>
        <v>0</v>
      </c>
      <c r="BW275" s="507" cm="1">
        <f t="array" ref="BW275">_xlfn.LET(_xlpm.DepreciationMonths,INDEX(FixedAssets[Depreciation
/ Amortization Months],_xlfn.XMATCH($E$237,FixedAssets[Asset ID])),IF(AND((_xlfn.XMATCH(BW$8,$AH$8:$CC$8))-_xlfn.XMATCH($C275,$C$35:$C$82)+1&lt;=_xlpm.DepreciationMonths,$C275&lt;=BW$8),$E275/_xlpm.DepreciationMonths,0))</f>
        <v>0</v>
      </c>
      <c r="BX275" s="507" cm="1">
        <f t="array" ref="BX275">_xlfn.LET(_xlpm.DepreciationMonths,INDEX(FixedAssets[Depreciation
/ Amortization Months],_xlfn.XMATCH($E$237,FixedAssets[Asset ID])),IF(AND((_xlfn.XMATCH(BX$8,$AH$8:$CC$8))-_xlfn.XMATCH($C275,$C$35:$C$82)+1&lt;=_xlpm.DepreciationMonths,$C275&lt;=BX$8),$E275/_xlpm.DepreciationMonths,0))</f>
        <v>0</v>
      </c>
      <c r="BY275" s="507" cm="1">
        <f t="array" ref="BY275">_xlfn.LET(_xlpm.DepreciationMonths,INDEX(FixedAssets[Depreciation
/ Amortization Months],_xlfn.XMATCH($E$237,FixedAssets[Asset ID])),IF(AND((_xlfn.XMATCH(BY$8,$AH$8:$CC$8))-_xlfn.XMATCH($C275,$C$35:$C$82)+1&lt;=_xlpm.DepreciationMonths,$C275&lt;=BY$8),$E275/_xlpm.DepreciationMonths,0))</f>
        <v>0</v>
      </c>
      <c r="BZ275" s="507" cm="1">
        <f t="array" ref="BZ275">_xlfn.LET(_xlpm.DepreciationMonths,INDEX(FixedAssets[Depreciation
/ Amortization Months],_xlfn.XMATCH($E$237,FixedAssets[Asset ID])),IF(AND((_xlfn.XMATCH(BZ$8,$AH$8:$CC$8))-_xlfn.XMATCH($C275,$C$35:$C$82)+1&lt;=_xlpm.DepreciationMonths,$C275&lt;=BZ$8),$E275/_xlpm.DepreciationMonths,0))</f>
        <v>0</v>
      </c>
      <c r="CA275" s="507" cm="1">
        <f t="array" ref="CA275">_xlfn.LET(_xlpm.DepreciationMonths,INDEX(FixedAssets[Depreciation
/ Amortization Months],_xlfn.XMATCH($E$237,FixedAssets[Asset ID])),IF(AND((_xlfn.XMATCH(CA$8,$AH$8:$CC$8))-_xlfn.XMATCH($C275,$C$35:$C$82)+1&lt;=_xlpm.DepreciationMonths,$C275&lt;=CA$8),$E275/_xlpm.DepreciationMonths,0))</f>
        <v>0</v>
      </c>
      <c r="CB275" s="507" cm="1">
        <f t="array" ref="CB275">_xlfn.LET(_xlpm.DepreciationMonths,INDEX(FixedAssets[Depreciation
/ Amortization Months],_xlfn.XMATCH($E$237,FixedAssets[Asset ID])),IF(AND((_xlfn.XMATCH(CB$8,$AH$8:$CC$8))-_xlfn.XMATCH($C275,$C$35:$C$82)+1&lt;=_xlpm.DepreciationMonths,$C275&lt;=CB$8),$E275/_xlpm.DepreciationMonths,0))</f>
        <v>0</v>
      </c>
      <c r="CC275" s="507" cm="1">
        <f t="array" ref="CC275">_xlfn.LET(_xlpm.DepreciationMonths,INDEX(FixedAssets[Depreciation
/ Amortization Months],_xlfn.XMATCH($E$237,FixedAssets[Asset ID])),IF(AND((_xlfn.XMATCH(CC$8,$AH$8:$CC$8))-_xlfn.XMATCH($C275,$C$35:$C$82)+1&lt;=_xlpm.DepreciationMonths,$C275&lt;=CC$8),$E275/_xlpm.DepreciationMonths,0))</f>
        <v>0</v>
      </c>
    </row>
    <row r="276" spans="3:81" hidden="1" outlineLevel="2">
      <c r="C276" s="664">
        <f t="shared" si="267"/>
        <v>46081</v>
      </c>
      <c r="D276" s="508"/>
      <c r="E276" s="508" cm="1">
        <f t="array" ref="E276">SUMPRODUCT(($AH$26:$CC$31)*($AH$5:$CC$5=$C276)*($E$26:$E$31=E$237))-SUMPRODUCT(($AH$26:$CC$31)*($AH$5:$CC$5=EOMONTH($C276,-1))*($E$26:$E$31=E$237))</f>
        <v>0</v>
      </c>
      <c r="F276" s="508"/>
      <c r="G276" s="508"/>
      <c r="H276" s="508"/>
      <c r="I276" s="508"/>
      <c r="J276" s="504">
        <f t="shared" si="265"/>
        <v>0</v>
      </c>
      <c r="K276" s="504">
        <f t="shared" si="265"/>
        <v>0</v>
      </c>
      <c r="L276" s="504">
        <f t="shared" si="265"/>
        <v>0</v>
      </c>
      <c r="M276" s="504">
        <f t="shared" si="265"/>
        <v>0</v>
      </c>
      <c r="N276" s="504"/>
      <c r="O276" s="504"/>
      <c r="P276" s="504">
        <f t="shared" si="271"/>
        <v>0</v>
      </c>
      <c r="Q276" s="504">
        <f t="shared" si="271"/>
        <v>0</v>
      </c>
      <c r="R276" s="504">
        <f t="shared" si="271"/>
        <v>0</v>
      </c>
      <c r="S276" s="504">
        <f t="shared" si="271"/>
        <v>0</v>
      </c>
      <c r="T276" s="504">
        <f t="shared" si="271"/>
        <v>0</v>
      </c>
      <c r="U276" s="504">
        <f t="shared" si="271"/>
        <v>0</v>
      </c>
      <c r="V276" s="504">
        <f t="shared" si="271"/>
        <v>0</v>
      </c>
      <c r="W276" s="504">
        <f t="shared" si="271"/>
        <v>0</v>
      </c>
      <c r="X276" s="504">
        <f t="shared" si="271"/>
        <v>0</v>
      </c>
      <c r="Y276" s="504">
        <f t="shared" si="271"/>
        <v>0</v>
      </c>
      <c r="Z276" s="504">
        <f t="shared" si="271"/>
        <v>0</v>
      </c>
      <c r="AA276" s="504">
        <f t="shared" si="271"/>
        <v>0</v>
      </c>
      <c r="AB276" s="504">
        <f t="shared" si="271"/>
        <v>0</v>
      </c>
      <c r="AC276" s="504">
        <f t="shared" si="271"/>
        <v>0</v>
      </c>
      <c r="AD276" s="504">
        <f t="shared" si="271"/>
        <v>0</v>
      </c>
      <c r="AE276" s="504">
        <f t="shared" si="271"/>
        <v>0</v>
      </c>
      <c r="AF276" s="508"/>
      <c r="AG276" s="508"/>
      <c r="AH276" s="507" cm="1">
        <f t="array" ref="AH276">_xlfn.LET(_xlpm.DepreciationMonths,INDEX(FixedAssets[Depreciation
/ Amortization Months],_xlfn.XMATCH($E$237,FixedAssets[Asset ID])),IF(AND((_xlfn.XMATCH(AH$8,$AH$8:$CC$8))-_xlfn.XMATCH($C276,$C$35:$C$82)+1&lt;=_xlpm.DepreciationMonths,$C276&lt;=AH$8),$E276/_xlpm.DepreciationMonths,0))</f>
        <v>0</v>
      </c>
      <c r="AI276" s="507" cm="1">
        <f t="array" ref="AI276">_xlfn.LET(_xlpm.DepreciationMonths,INDEX(FixedAssets[Depreciation
/ Amortization Months],_xlfn.XMATCH($E$237,FixedAssets[Asset ID])),IF(AND((_xlfn.XMATCH(AI$8,$AH$8:$CC$8))-_xlfn.XMATCH($C276,$C$35:$C$82)+1&lt;=_xlpm.DepreciationMonths,$C276&lt;=AI$8),$E276/_xlpm.DepreciationMonths,0))</f>
        <v>0</v>
      </c>
      <c r="AJ276" s="507" cm="1">
        <f t="array" ref="AJ276">_xlfn.LET(_xlpm.DepreciationMonths,INDEX(FixedAssets[Depreciation
/ Amortization Months],_xlfn.XMATCH($E$237,FixedAssets[Asset ID])),IF(AND((_xlfn.XMATCH(AJ$8,$AH$8:$CC$8))-_xlfn.XMATCH($C276,$C$35:$C$82)+1&lt;=_xlpm.DepreciationMonths,$C276&lt;=AJ$8),$E276/_xlpm.DepreciationMonths,0))</f>
        <v>0</v>
      </c>
      <c r="AK276" s="507" cm="1">
        <f t="array" ref="AK276">_xlfn.LET(_xlpm.DepreciationMonths,INDEX(FixedAssets[Depreciation
/ Amortization Months],_xlfn.XMATCH($E$237,FixedAssets[Asset ID])),IF(AND((_xlfn.XMATCH(AK$8,$AH$8:$CC$8))-_xlfn.XMATCH($C276,$C$35:$C$82)+1&lt;=_xlpm.DepreciationMonths,$C276&lt;=AK$8),$E276/_xlpm.DepreciationMonths,0))</f>
        <v>0</v>
      </c>
      <c r="AL276" s="507" cm="1">
        <f t="array" ref="AL276">_xlfn.LET(_xlpm.DepreciationMonths,INDEX(FixedAssets[Depreciation
/ Amortization Months],_xlfn.XMATCH($E$237,FixedAssets[Asset ID])),IF(AND((_xlfn.XMATCH(AL$8,$AH$8:$CC$8))-_xlfn.XMATCH($C276,$C$35:$C$82)+1&lt;=_xlpm.DepreciationMonths,$C276&lt;=AL$8),$E276/_xlpm.DepreciationMonths,0))</f>
        <v>0</v>
      </c>
      <c r="AM276" s="507" cm="1">
        <f t="array" ref="AM276">_xlfn.LET(_xlpm.DepreciationMonths,INDEX(FixedAssets[Depreciation
/ Amortization Months],_xlfn.XMATCH($E$237,FixedAssets[Asset ID])),IF(AND((_xlfn.XMATCH(AM$8,$AH$8:$CC$8))-_xlfn.XMATCH($C276,$C$35:$C$82)+1&lt;=_xlpm.DepreciationMonths,$C276&lt;=AM$8),$E276/_xlpm.DepreciationMonths,0))</f>
        <v>0</v>
      </c>
      <c r="AN276" s="507" cm="1">
        <f t="array" ref="AN276">_xlfn.LET(_xlpm.DepreciationMonths,INDEX(FixedAssets[Depreciation
/ Amortization Months],_xlfn.XMATCH($E$237,FixedAssets[Asset ID])),IF(AND((_xlfn.XMATCH(AN$8,$AH$8:$CC$8))-_xlfn.XMATCH($C276,$C$35:$C$82)+1&lt;=_xlpm.DepreciationMonths,$C276&lt;=AN$8),$E276/_xlpm.DepreciationMonths,0))</f>
        <v>0</v>
      </c>
      <c r="AO276" s="507" cm="1">
        <f t="array" ref="AO276">_xlfn.LET(_xlpm.DepreciationMonths,INDEX(FixedAssets[Depreciation
/ Amortization Months],_xlfn.XMATCH($E$237,FixedAssets[Asset ID])),IF(AND((_xlfn.XMATCH(AO$8,$AH$8:$CC$8))-_xlfn.XMATCH($C276,$C$35:$C$82)+1&lt;=_xlpm.DepreciationMonths,$C276&lt;=AO$8),$E276/_xlpm.DepreciationMonths,0))</f>
        <v>0</v>
      </c>
      <c r="AP276" s="507" cm="1">
        <f t="array" ref="AP276">_xlfn.LET(_xlpm.DepreciationMonths,INDEX(FixedAssets[Depreciation
/ Amortization Months],_xlfn.XMATCH($E$237,FixedAssets[Asset ID])),IF(AND((_xlfn.XMATCH(AP$8,$AH$8:$CC$8))-_xlfn.XMATCH($C276,$C$35:$C$82)+1&lt;=_xlpm.DepreciationMonths,$C276&lt;=AP$8),$E276/_xlpm.DepreciationMonths,0))</f>
        <v>0</v>
      </c>
      <c r="AQ276" s="507" cm="1">
        <f t="array" ref="AQ276">_xlfn.LET(_xlpm.DepreciationMonths,INDEX(FixedAssets[Depreciation
/ Amortization Months],_xlfn.XMATCH($E$237,FixedAssets[Asset ID])),IF(AND((_xlfn.XMATCH(AQ$8,$AH$8:$CC$8))-_xlfn.XMATCH($C276,$C$35:$C$82)+1&lt;=_xlpm.DepreciationMonths,$C276&lt;=AQ$8),$E276/_xlpm.DepreciationMonths,0))</f>
        <v>0</v>
      </c>
      <c r="AR276" s="507" cm="1">
        <f t="array" ref="AR276">_xlfn.LET(_xlpm.DepreciationMonths,INDEX(FixedAssets[Depreciation
/ Amortization Months],_xlfn.XMATCH($E$237,FixedAssets[Asset ID])),IF(AND((_xlfn.XMATCH(AR$8,$AH$8:$CC$8))-_xlfn.XMATCH($C276,$C$35:$C$82)+1&lt;=_xlpm.DepreciationMonths,$C276&lt;=AR$8),$E276/_xlpm.DepreciationMonths,0))</f>
        <v>0</v>
      </c>
      <c r="AS276" s="507" cm="1">
        <f t="array" ref="AS276">_xlfn.LET(_xlpm.DepreciationMonths,INDEX(FixedAssets[Depreciation
/ Amortization Months],_xlfn.XMATCH($E$237,FixedAssets[Asset ID])),IF(AND((_xlfn.XMATCH(AS$8,$AH$8:$CC$8))-_xlfn.XMATCH($C276,$C$35:$C$82)+1&lt;=_xlpm.DepreciationMonths,$C276&lt;=AS$8),$E276/_xlpm.DepreciationMonths,0))</f>
        <v>0</v>
      </c>
      <c r="AT276" s="507" cm="1">
        <f t="array" ref="AT276">_xlfn.LET(_xlpm.DepreciationMonths,INDEX(FixedAssets[Depreciation
/ Amortization Months],_xlfn.XMATCH($E$237,FixedAssets[Asset ID])),IF(AND((_xlfn.XMATCH(AT$8,$AH$8:$CC$8))-_xlfn.XMATCH($C276,$C$35:$C$82)+1&lt;=_xlpm.DepreciationMonths,$C276&lt;=AT$8),$E276/_xlpm.DepreciationMonths,0))</f>
        <v>0</v>
      </c>
      <c r="AU276" s="507" cm="1">
        <f t="array" ref="AU276">_xlfn.LET(_xlpm.DepreciationMonths,INDEX(FixedAssets[Depreciation
/ Amortization Months],_xlfn.XMATCH($E$237,FixedAssets[Asset ID])),IF(AND((_xlfn.XMATCH(AU$8,$AH$8:$CC$8))-_xlfn.XMATCH($C276,$C$35:$C$82)+1&lt;=_xlpm.DepreciationMonths,$C276&lt;=AU$8),$E276/_xlpm.DepreciationMonths,0))</f>
        <v>0</v>
      </c>
      <c r="AV276" s="507" cm="1">
        <f t="array" ref="AV276">_xlfn.LET(_xlpm.DepreciationMonths,INDEX(FixedAssets[Depreciation
/ Amortization Months],_xlfn.XMATCH($E$237,FixedAssets[Asset ID])),IF(AND((_xlfn.XMATCH(AV$8,$AH$8:$CC$8))-_xlfn.XMATCH($C276,$C$35:$C$82)+1&lt;=_xlpm.DepreciationMonths,$C276&lt;=AV$8),$E276/_xlpm.DepreciationMonths,0))</f>
        <v>0</v>
      </c>
      <c r="AW276" s="507" cm="1">
        <f t="array" ref="AW276">_xlfn.LET(_xlpm.DepreciationMonths,INDEX(FixedAssets[Depreciation
/ Amortization Months],_xlfn.XMATCH($E$237,FixedAssets[Asset ID])),IF(AND((_xlfn.XMATCH(AW$8,$AH$8:$CC$8))-_xlfn.XMATCH($C276,$C$35:$C$82)+1&lt;=_xlpm.DepreciationMonths,$C276&lt;=AW$8),$E276/_xlpm.DepreciationMonths,0))</f>
        <v>0</v>
      </c>
      <c r="AX276" s="507" cm="1">
        <f t="array" ref="AX276">_xlfn.LET(_xlpm.DepreciationMonths,INDEX(FixedAssets[Depreciation
/ Amortization Months],_xlfn.XMATCH($E$237,FixedAssets[Asset ID])),IF(AND((_xlfn.XMATCH(AX$8,$AH$8:$CC$8))-_xlfn.XMATCH($C276,$C$35:$C$82)+1&lt;=_xlpm.DepreciationMonths,$C276&lt;=AX$8),$E276/_xlpm.DepreciationMonths,0))</f>
        <v>0</v>
      </c>
      <c r="AY276" s="507" cm="1">
        <f t="array" ref="AY276">_xlfn.LET(_xlpm.DepreciationMonths,INDEX(FixedAssets[Depreciation
/ Amortization Months],_xlfn.XMATCH($E$237,FixedAssets[Asset ID])),IF(AND((_xlfn.XMATCH(AY$8,$AH$8:$CC$8))-_xlfn.XMATCH($C276,$C$35:$C$82)+1&lt;=_xlpm.DepreciationMonths,$C276&lt;=AY$8),$E276/_xlpm.DepreciationMonths,0))</f>
        <v>0</v>
      </c>
      <c r="AZ276" s="507" cm="1">
        <f t="array" ref="AZ276">_xlfn.LET(_xlpm.DepreciationMonths,INDEX(FixedAssets[Depreciation
/ Amortization Months],_xlfn.XMATCH($E$237,FixedAssets[Asset ID])),IF(AND((_xlfn.XMATCH(AZ$8,$AH$8:$CC$8))-_xlfn.XMATCH($C276,$C$35:$C$82)+1&lt;=_xlpm.DepreciationMonths,$C276&lt;=AZ$8),$E276/_xlpm.DepreciationMonths,0))</f>
        <v>0</v>
      </c>
      <c r="BA276" s="507" cm="1">
        <f t="array" ref="BA276">_xlfn.LET(_xlpm.DepreciationMonths,INDEX(FixedAssets[Depreciation
/ Amortization Months],_xlfn.XMATCH($E$237,FixedAssets[Asset ID])),IF(AND((_xlfn.XMATCH(BA$8,$AH$8:$CC$8))-_xlfn.XMATCH($C276,$C$35:$C$82)+1&lt;=_xlpm.DepreciationMonths,$C276&lt;=BA$8),$E276/_xlpm.DepreciationMonths,0))</f>
        <v>0</v>
      </c>
      <c r="BB276" s="507" cm="1">
        <f t="array" ref="BB276">_xlfn.LET(_xlpm.DepreciationMonths,INDEX(FixedAssets[Depreciation
/ Amortization Months],_xlfn.XMATCH($E$237,FixedAssets[Asset ID])),IF(AND((_xlfn.XMATCH(BB$8,$AH$8:$CC$8))-_xlfn.XMATCH($C276,$C$35:$C$82)+1&lt;=_xlpm.DepreciationMonths,$C276&lt;=BB$8),$E276/_xlpm.DepreciationMonths,0))</f>
        <v>0</v>
      </c>
      <c r="BC276" s="507" cm="1">
        <f t="array" ref="BC276">_xlfn.LET(_xlpm.DepreciationMonths,INDEX(FixedAssets[Depreciation
/ Amortization Months],_xlfn.XMATCH($E$237,FixedAssets[Asset ID])),IF(AND((_xlfn.XMATCH(BC$8,$AH$8:$CC$8))-_xlfn.XMATCH($C276,$C$35:$C$82)+1&lt;=_xlpm.DepreciationMonths,$C276&lt;=BC$8),$E276/_xlpm.DepreciationMonths,0))</f>
        <v>0</v>
      </c>
      <c r="BD276" s="507" cm="1">
        <f t="array" ref="BD276">_xlfn.LET(_xlpm.DepreciationMonths,INDEX(FixedAssets[Depreciation
/ Amortization Months],_xlfn.XMATCH($E$237,FixedAssets[Asset ID])),IF(AND((_xlfn.XMATCH(BD$8,$AH$8:$CC$8))-_xlfn.XMATCH($C276,$C$35:$C$82)+1&lt;=_xlpm.DepreciationMonths,$C276&lt;=BD$8),$E276/_xlpm.DepreciationMonths,0))</f>
        <v>0</v>
      </c>
      <c r="BE276" s="507" cm="1">
        <f t="array" ref="BE276">_xlfn.LET(_xlpm.DepreciationMonths,INDEX(FixedAssets[Depreciation
/ Amortization Months],_xlfn.XMATCH($E$237,FixedAssets[Asset ID])),IF(AND((_xlfn.XMATCH(BE$8,$AH$8:$CC$8))-_xlfn.XMATCH($C276,$C$35:$C$82)+1&lt;=_xlpm.DepreciationMonths,$C276&lt;=BE$8),$E276/_xlpm.DepreciationMonths,0))</f>
        <v>0</v>
      </c>
      <c r="BF276" s="507" cm="1">
        <f t="array" ref="BF276">_xlfn.LET(_xlpm.DepreciationMonths,INDEX(FixedAssets[Depreciation
/ Amortization Months],_xlfn.XMATCH($E$237,FixedAssets[Asset ID])),IF(AND((_xlfn.XMATCH(BF$8,$AH$8:$CC$8))-_xlfn.XMATCH($C276,$C$35:$C$82)+1&lt;=_xlpm.DepreciationMonths,$C276&lt;=BF$8),$E276/_xlpm.DepreciationMonths,0))</f>
        <v>0</v>
      </c>
      <c r="BG276" s="507" cm="1">
        <f t="array" ref="BG276">_xlfn.LET(_xlpm.DepreciationMonths,INDEX(FixedAssets[Depreciation
/ Amortization Months],_xlfn.XMATCH($E$237,FixedAssets[Asset ID])),IF(AND((_xlfn.XMATCH(BG$8,$AH$8:$CC$8))-_xlfn.XMATCH($C276,$C$35:$C$82)+1&lt;=_xlpm.DepreciationMonths,$C276&lt;=BG$8),$E276/_xlpm.DepreciationMonths,0))</f>
        <v>0</v>
      </c>
      <c r="BH276" s="507" cm="1">
        <f t="array" ref="BH276">_xlfn.LET(_xlpm.DepreciationMonths,INDEX(FixedAssets[Depreciation
/ Amortization Months],_xlfn.XMATCH($E$237,FixedAssets[Asset ID])),IF(AND((_xlfn.XMATCH(BH$8,$AH$8:$CC$8))-_xlfn.XMATCH($C276,$C$35:$C$82)+1&lt;=_xlpm.DepreciationMonths,$C276&lt;=BH$8),$E276/_xlpm.DepreciationMonths,0))</f>
        <v>0</v>
      </c>
      <c r="BI276" s="507" cm="1">
        <f t="array" ref="BI276">_xlfn.LET(_xlpm.DepreciationMonths,INDEX(FixedAssets[Depreciation
/ Amortization Months],_xlfn.XMATCH($E$237,FixedAssets[Asset ID])),IF(AND((_xlfn.XMATCH(BI$8,$AH$8:$CC$8))-_xlfn.XMATCH($C276,$C$35:$C$82)+1&lt;=_xlpm.DepreciationMonths,$C276&lt;=BI$8),$E276/_xlpm.DepreciationMonths,0))</f>
        <v>0</v>
      </c>
      <c r="BJ276" s="507" cm="1">
        <f t="array" ref="BJ276">_xlfn.LET(_xlpm.DepreciationMonths,INDEX(FixedAssets[Depreciation
/ Amortization Months],_xlfn.XMATCH($E$237,FixedAssets[Asset ID])),IF(AND((_xlfn.XMATCH(BJ$8,$AH$8:$CC$8))-_xlfn.XMATCH($C276,$C$35:$C$82)+1&lt;=_xlpm.DepreciationMonths,$C276&lt;=BJ$8),$E276/_xlpm.DepreciationMonths,0))</f>
        <v>0</v>
      </c>
      <c r="BK276" s="507" cm="1">
        <f t="array" ref="BK276">_xlfn.LET(_xlpm.DepreciationMonths,INDEX(FixedAssets[Depreciation
/ Amortization Months],_xlfn.XMATCH($E$237,FixedAssets[Asset ID])),IF(AND((_xlfn.XMATCH(BK$8,$AH$8:$CC$8))-_xlfn.XMATCH($C276,$C$35:$C$82)+1&lt;=_xlpm.DepreciationMonths,$C276&lt;=BK$8),$E276/_xlpm.DepreciationMonths,0))</f>
        <v>0</v>
      </c>
      <c r="BL276" s="507" cm="1">
        <f t="array" ref="BL276">_xlfn.LET(_xlpm.DepreciationMonths,INDEX(FixedAssets[Depreciation
/ Amortization Months],_xlfn.XMATCH($E$237,FixedAssets[Asset ID])),IF(AND((_xlfn.XMATCH(BL$8,$AH$8:$CC$8))-_xlfn.XMATCH($C276,$C$35:$C$82)+1&lt;=_xlpm.DepreciationMonths,$C276&lt;=BL$8),$E276/_xlpm.DepreciationMonths,0))</f>
        <v>0</v>
      </c>
      <c r="BM276" s="507" cm="1">
        <f t="array" ref="BM276">_xlfn.LET(_xlpm.DepreciationMonths,INDEX(FixedAssets[Depreciation
/ Amortization Months],_xlfn.XMATCH($E$237,FixedAssets[Asset ID])),IF(AND((_xlfn.XMATCH(BM$8,$AH$8:$CC$8))-_xlfn.XMATCH($C276,$C$35:$C$82)+1&lt;=_xlpm.DepreciationMonths,$C276&lt;=BM$8),$E276/_xlpm.DepreciationMonths,0))</f>
        <v>0</v>
      </c>
      <c r="BN276" s="507" cm="1">
        <f t="array" ref="BN276">_xlfn.LET(_xlpm.DepreciationMonths,INDEX(FixedAssets[Depreciation
/ Amortization Months],_xlfn.XMATCH($E$237,FixedAssets[Asset ID])),IF(AND((_xlfn.XMATCH(BN$8,$AH$8:$CC$8))-_xlfn.XMATCH($C276,$C$35:$C$82)+1&lt;=_xlpm.DepreciationMonths,$C276&lt;=BN$8),$E276/_xlpm.DepreciationMonths,0))</f>
        <v>0</v>
      </c>
      <c r="BO276" s="507" cm="1">
        <f t="array" ref="BO276">_xlfn.LET(_xlpm.DepreciationMonths,INDEX(FixedAssets[Depreciation
/ Amortization Months],_xlfn.XMATCH($E$237,FixedAssets[Asset ID])),IF(AND((_xlfn.XMATCH(BO$8,$AH$8:$CC$8))-_xlfn.XMATCH($C276,$C$35:$C$82)+1&lt;=_xlpm.DepreciationMonths,$C276&lt;=BO$8),$E276/_xlpm.DepreciationMonths,0))</f>
        <v>0</v>
      </c>
      <c r="BP276" s="507" cm="1">
        <f t="array" ref="BP276">_xlfn.LET(_xlpm.DepreciationMonths,INDEX(FixedAssets[Depreciation
/ Amortization Months],_xlfn.XMATCH($E$237,FixedAssets[Asset ID])),IF(AND((_xlfn.XMATCH(BP$8,$AH$8:$CC$8))-_xlfn.XMATCH($C276,$C$35:$C$82)+1&lt;=_xlpm.DepreciationMonths,$C276&lt;=BP$8),$E276/_xlpm.DepreciationMonths,0))</f>
        <v>0</v>
      </c>
      <c r="BQ276" s="507" cm="1">
        <f t="array" ref="BQ276">_xlfn.LET(_xlpm.DepreciationMonths,INDEX(FixedAssets[Depreciation
/ Amortization Months],_xlfn.XMATCH($E$237,FixedAssets[Asset ID])),IF(AND((_xlfn.XMATCH(BQ$8,$AH$8:$CC$8))-_xlfn.XMATCH($C276,$C$35:$C$82)+1&lt;=_xlpm.DepreciationMonths,$C276&lt;=BQ$8),$E276/_xlpm.DepreciationMonths,0))</f>
        <v>0</v>
      </c>
      <c r="BR276" s="507" cm="1">
        <f t="array" ref="BR276">_xlfn.LET(_xlpm.DepreciationMonths,INDEX(FixedAssets[Depreciation
/ Amortization Months],_xlfn.XMATCH($E$237,FixedAssets[Asset ID])),IF(AND((_xlfn.XMATCH(BR$8,$AH$8:$CC$8))-_xlfn.XMATCH($C276,$C$35:$C$82)+1&lt;=_xlpm.DepreciationMonths,$C276&lt;=BR$8),$E276/_xlpm.DepreciationMonths,0))</f>
        <v>0</v>
      </c>
      <c r="BS276" s="507" cm="1">
        <f t="array" ref="BS276">_xlfn.LET(_xlpm.DepreciationMonths,INDEX(FixedAssets[Depreciation
/ Amortization Months],_xlfn.XMATCH($E$237,FixedAssets[Asset ID])),IF(AND((_xlfn.XMATCH(BS$8,$AH$8:$CC$8))-_xlfn.XMATCH($C276,$C$35:$C$82)+1&lt;=_xlpm.DepreciationMonths,$C276&lt;=BS$8),$E276/_xlpm.DepreciationMonths,0))</f>
        <v>0</v>
      </c>
      <c r="BT276" s="507" cm="1">
        <f t="array" ref="BT276">_xlfn.LET(_xlpm.DepreciationMonths,INDEX(FixedAssets[Depreciation
/ Amortization Months],_xlfn.XMATCH($E$237,FixedAssets[Asset ID])),IF(AND((_xlfn.XMATCH(BT$8,$AH$8:$CC$8))-_xlfn.XMATCH($C276,$C$35:$C$82)+1&lt;=_xlpm.DepreciationMonths,$C276&lt;=BT$8),$E276/_xlpm.DepreciationMonths,0))</f>
        <v>0</v>
      </c>
      <c r="BU276" s="507" cm="1">
        <f t="array" ref="BU276">_xlfn.LET(_xlpm.DepreciationMonths,INDEX(FixedAssets[Depreciation
/ Amortization Months],_xlfn.XMATCH($E$237,FixedAssets[Asset ID])),IF(AND((_xlfn.XMATCH(BU$8,$AH$8:$CC$8))-_xlfn.XMATCH($C276,$C$35:$C$82)+1&lt;=_xlpm.DepreciationMonths,$C276&lt;=BU$8),$E276/_xlpm.DepreciationMonths,0))</f>
        <v>0</v>
      </c>
      <c r="BV276" s="507" cm="1">
        <f t="array" ref="BV276">_xlfn.LET(_xlpm.DepreciationMonths,INDEX(FixedAssets[Depreciation
/ Amortization Months],_xlfn.XMATCH($E$237,FixedAssets[Asset ID])),IF(AND((_xlfn.XMATCH(BV$8,$AH$8:$CC$8))-_xlfn.XMATCH($C276,$C$35:$C$82)+1&lt;=_xlpm.DepreciationMonths,$C276&lt;=BV$8),$E276/_xlpm.DepreciationMonths,0))</f>
        <v>0</v>
      </c>
      <c r="BW276" s="507" cm="1">
        <f t="array" ref="BW276">_xlfn.LET(_xlpm.DepreciationMonths,INDEX(FixedAssets[Depreciation
/ Amortization Months],_xlfn.XMATCH($E$237,FixedAssets[Asset ID])),IF(AND((_xlfn.XMATCH(BW$8,$AH$8:$CC$8))-_xlfn.XMATCH($C276,$C$35:$C$82)+1&lt;=_xlpm.DepreciationMonths,$C276&lt;=BW$8),$E276/_xlpm.DepreciationMonths,0))</f>
        <v>0</v>
      </c>
      <c r="BX276" s="507" cm="1">
        <f t="array" ref="BX276">_xlfn.LET(_xlpm.DepreciationMonths,INDEX(FixedAssets[Depreciation
/ Amortization Months],_xlfn.XMATCH($E$237,FixedAssets[Asset ID])),IF(AND((_xlfn.XMATCH(BX$8,$AH$8:$CC$8))-_xlfn.XMATCH($C276,$C$35:$C$82)+1&lt;=_xlpm.DepreciationMonths,$C276&lt;=BX$8),$E276/_xlpm.DepreciationMonths,0))</f>
        <v>0</v>
      </c>
      <c r="BY276" s="507" cm="1">
        <f t="array" ref="BY276">_xlfn.LET(_xlpm.DepreciationMonths,INDEX(FixedAssets[Depreciation
/ Amortization Months],_xlfn.XMATCH($E$237,FixedAssets[Asset ID])),IF(AND((_xlfn.XMATCH(BY$8,$AH$8:$CC$8))-_xlfn.XMATCH($C276,$C$35:$C$82)+1&lt;=_xlpm.DepreciationMonths,$C276&lt;=BY$8),$E276/_xlpm.DepreciationMonths,0))</f>
        <v>0</v>
      </c>
      <c r="BZ276" s="507" cm="1">
        <f t="array" ref="BZ276">_xlfn.LET(_xlpm.DepreciationMonths,INDEX(FixedAssets[Depreciation
/ Amortization Months],_xlfn.XMATCH($E$237,FixedAssets[Asset ID])),IF(AND((_xlfn.XMATCH(BZ$8,$AH$8:$CC$8))-_xlfn.XMATCH($C276,$C$35:$C$82)+1&lt;=_xlpm.DepreciationMonths,$C276&lt;=BZ$8),$E276/_xlpm.DepreciationMonths,0))</f>
        <v>0</v>
      </c>
      <c r="CA276" s="507" cm="1">
        <f t="array" ref="CA276">_xlfn.LET(_xlpm.DepreciationMonths,INDEX(FixedAssets[Depreciation
/ Amortization Months],_xlfn.XMATCH($E$237,FixedAssets[Asset ID])),IF(AND((_xlfn.XMATCH(CA$8,$AH$8:$CC$8))-_xlfn.XMATCH($C276,$C$35:$C$82)+1&lt;=_xlpm.DepreciationMonths,$C276&lt;=CA$8),$E276/_xlpm.DepreciationMonths,0))</f>
        <v>0</v>
      </c>
      <c r="CB276" s="507" cm="1">
        <f t="array" ref="CB276">_xlfn.LET(_xlpm.DepreciationMonths,INDEX(FixedAssets[Depreciation
/ Amortization Months],_xlfn.XMATCH($E$237,FixedAssets[Asset ID])),IF(AND((_xlfn.XMATCH(CB$8,$AH$8:$CC$8))-_xlfn.XMATCH($C276,$C$35:$C$82)+1&lt;=_xlpm.DepreciationMonths,$C276&lt;=CB$8),$E276/_xlpm.DepreciationMonths,0))</f>
        <v>0</v>
      </c>
      <c r="CC276" s="507" cm="1">
        <f t="array" ref="CC276">_xlfn.LET(_xlpm.DepreciationMonths,INDEX(FixedAssets[Depreciation
/ Amortization Months],_xlfn.XMATCH($E$237,FixedAssets[Asset ID])),IF(AND((_xlfn.XMATCH(CC$8,$AH$8:$CC$8))-_xlfn.XMATCH($C276,$C$35:$C$82)+1&lt;=_xlpm.DepreciationMonths,$C276&lt;=CC$8),$E276/_xlpm.DepreciationMonths,0))</f>
        <v>0</v>
      </c>
    </row>
    <row r="277" spans="3:81" hidden="1" outlineLevel="2">
      <c r="C277" s="664">
        <f t="shared" si="267"/>
        <v>46112</v>
      </c>
      <c r="D277" s="508"/>
      <c r="E277" s="508" cm="1">
        <f t="array" ref="E277">SUMPRODUCT(($AH$26:$CC$31)*($AH$5:$CC$5=$C277)*($E$26:$E$31=E$237))-SUMPRODUCT(($AH$26:$CC$31)*($AH$5:$CC$5=EOMONTH($C277,-1))*($E$26:$E$31=E$237))</f>
        <v>0</v>
      </c>
      <c r="F277" s="508"/>
      <c r="G277" s="508"/>
      <c r="H277" s="508"/>
      <c r="I277" s="508"/>
      <c r="J277" s="504">
        <f t="shared" si="265"/>
        <v>0</v>
      </c>
      <c r="K277" s="504">
        <f t="shared" si="265"/>
        <v>0</v>
      </c>
      <c r="L277" s="504">
        <f t="shared" si="265"/>
        <v>0</v>
      </c>
      <c r="M277" s="504">
        <f t="shared" si="265"/>
        <v>0</v>
      </c>
      <c r="N277" s="504"/>
      <c r="O277" s="504"/>
      <c r="P277" s="504">
        <f t="shared" si="271"/>
        <v>0</v>
      </c>
      <c r="Q277" s="504">
        <f t="shared" si="271"/>
        <v>0</v>
      </c>
      <c r="R277" s="504">
        <f t="shared" si="271"/>
        <v>0</v>
      </c>
      <c r="S277" s="504">
        <f t="shared" si="271"/>
        <v>0</v>
      </c>
      <c r="T277" s="504">
        <f t="shared" si="271"/>
        <v>0</v>
      </c>
      <c r="U277" s="504">
        <f t="shared" si="271"/>
        <v>0</v>
      </c>
      <c r="V277" s="504">
        <f t="shared" si="271"/>
        <v>0</v>
      </c>
      <c r="W277" s="504">
        <f t="shared" si="271"/>
        <v>0</v>
      </c>
      <c r="X277" s="504">
        <f t="shared" si="271"/>
        <v>0</v>
      </c>
      <c r="Y277" s="504">
        <f t="shared" si="271"/>
        <v>0</v>
      </c>
      <c r="Z277" s="504">
        <f t="shared" si="271"/>
        <v>0</v>
      </c>
      <c r="AA277" s="504">
        <f t="shared" si="271"/>
        <v>0</v>
      </c>
      <c r="AB277" s="504">
        <f t="shared" si="271"/>
        <v>0</v>
      </c>
      <c r="AC277" s="504">
        <f t="shared" si="271"/>
        <v>0</v>
      </c>
      <c r="AD277" s="504">
        <f t="shared" si="271"/>
        <v>0</v>
      </c>
      <c r="AE277" s="504">
        <f t="shared" si="271"/>
        <v>0</v>
      </c>
      <c r="AF277" s="508"/>
      <c r="AG277" s="508"/>
      <c r="AH277" s="507" cm="1">
        <f t="array" ref="AH277">_xlfn.LET(_xlpm.DepreciationMonths,INDEX(FixedAssets[Depreciation
/ Amortization Months],_xlfn.XMATCH($E$237,FixedAssets[Asset ID])),IF(AND((_xlfn.XMATCH(AH$8,$AH$8:$CC$8))-_xlfn.XMATCH($C277,$C$35:$C$82)+1&lt;=_xlpm.DepreciationMonths,$C277&lt;=AH$8),$E277/_xlpm.DepreciationMonths,0))</f>
        <v>0</v>
      </c>
      <c r="AI277" s="507" cm="1">
        <f t="array" ref="AI277">_xlfn.LET(_xlpm.DepreciationMonths,INDEX(FixedAssets[Depreciation
/ Amortization Months],_xlfn.XMATCH($E$237,FixedAssets[Asset ID])),IF(AND((_xlfn.XMATCH(AI$8,$AH$8:$CC$8))-_xlfn.XMATCH($C277,$C$35:$C$82)+1&lt;=_xlpm.DepreciationMonths,$C277&lt;=AI$8),$E277/_xlpm.DepreciationMonths,0))</f>
        <v>0</v>
      </c>
      <c r="AJ277" s="507" cm="1">
        <f t="array" ref="AJ277">_xlfn.LET(_xlpm.DepreciationMonths,INDEX(FixedAssets[Depreciation
/ Amortization Months],_xlfn.XMATCH($E$237,FixedAssets[Asset ID])),IF(AND((_xlfn.XMATCH(AJ$8,$AH$8:$CC$8))-_xlfn.XMATCH($C277,$C$35:$C$82)+1&lt;=_xlpm.DepreciationMonths,$C277&lt;=AJ$8),$E277/_xlpm.DepreciationMonths,0))</f>
        <v>0</v>
      </c>
      <c r="AK277" s="507" cm="1">
        <f t="array" ref="AK277">_xlfn.LET(_xlpm.DepreciationMonths,INDEX(FixedAssets[Depreciation
/ Amortization Months],_xlfn.XMATCH($E$237,FixedAssets[Asset ID])),IF(AND((_xlfn.XMATCH(AK$8,$AH$8:$CC$8))-_xlfn.XMATCH($C277,$C$35:$C$82)+1&lt;=_xlpm.DepreciationMonths,$C277&lt;=AK$8),$E277/_xlpm.DepreciationMonths,0))</f>
        <v>0</v>
      </c>
      <c r="AL277" s="507" cm="1">
        <f t="array" ref="AL277">_xlfn.LET(_xlpm.DepreciationMonths,INDEX(FixedAssets[Depreciation
/ Amortization Months],_xlfn.XMATCH($E$237,FixedAssets[Asset ID])),IF(AND((_xlfn.XMATCH(AL$8,$AH$8:$CC$8))-_xlfn.XMATCH($C277,$C$35:$C$82)+1&lt;=_xlpm.DepreciationMonths,$C277&lt;=AL$8),$E277/_xlpm.DepreciationMonths,0))</f>
        <v>0</v>
      </c>
      <c r="AM277" s="507" cm="1">
        <f t="array" ref="AM277">_xlfn.LET(_xlpm.DepreciationMonths,INDEX(FixedAssets[Depreciation
/ Amortization Months],_xlfn.XMATCH($E$237,FixedAssets[Asset ID])),IF(AND((_xlfn.XMATCH(AM$8,$AH$8:$CC$8))-_xlfn.XMATCH($C277,$C$35:$C$82)+1&lt;=_xlpm.DepreciationMonths,$C277&lt;=AM$8),$E277/_xlpm.DepreciationMonths,0))</f>
        <v>0</v>
      </c>
      <c r="AN277" s="507" cm="1">
        <f t="array" ref="AN277">_xlfn.LET(_xlpm.DepreciationMonths,INDEX(FixedAssets[Depreciation
/ Amortization Months],_xlfn.XMATCH($E$237,FixedAssets[Asset ID])),IF(AND((_xlfn.XMATCH(AN$8,$AH$8:$CC$8))-_xlfn.XMATCH($C277,$C$35:$C$82)+1&lt;=_xlpm.DepreciationMonths,$C277&lt;=AN$8),$E277/_xlpm.DepreciationMonths,0))</f>
        <v>0</v>
      </c>
      <c r="AO277" s="507" cm="1">
        <f t="array" ref="AO277">_xlfn.LET(_xlpm.DepreciationMonths,INDEX(FixedAssets[Depreciation
/ Amortization Months],_xlfn.XMATCH($E$237,FixedAssets[Asset ID])),IF(AND((_xlfn.XMATCH(AO$8,$AH$8:$CC$8))-_xlfn.XMATCH($C277,$C$35:$C$82)+1&lt;=_xlpm.DepreciationMonths,$C277&lt;=AO$8),$E277/_xlpm.DepreciationMonths,0))</f>
        <v>0</v>
      </c>
      <c r="AP277" s="507" cm="1">
        <f t="array" ref="AP277">_xlfn.LET(_xlpm.DepreciationMonths,INDEX(FixedAssets[Depreciation
/ Amortization Months],_xlfn.XMATCH($E$237,FixedAssets[Asset ID])),IF(AND((_xlfn.XMATCH(AP$8,$AH$8:$CC$8))-_xlfn.XMATCH($C277,$C$35:$C$82)+1&lt;=_xlpm.DepreciationMonths,$C277&lt;=AP$8),$E277/_xlpm.DepreciationMonths,0))</f>
        <v>0</v>
      </c>
      <c r="AQ277" s="507" cm="1">
        <f t="array" ref="AQ277">_xlfn.LET(_xlpm.DepreciationMonths,INDEX(FixedAssets[Depreciation
/ Amortization Months],_xlfn.XMATCH($E$237,FixedAssets[Asset ID])),IF(AND((_xlfn.XMATCH(AQ$8,$AH$8:$CC$8))-_xlfn.XMATCH($C277,$C$35:$C$82)+1&lt;=_xlpm.DepreciationMonths,$C277&lt;=AQ$8),$E277/_xlpm.DepreciationMonths,0))</f>
        <v>0</v>
      </c>
      <c r="AR277" s="507" cm="1">
        <f t="array" ref="AR277">_xlfn.LET(_xlpm.DepreciationMonths,INDEX(FixedAssets[Depreciation
/ Amortization Months],_xlfn.XMATCH($E$237,FixedAssets[Asset ID])),IF(AND((_xlfn.XMATCH(AR$8,$AH$8:$CC$8))-_xlfn.XMATCH($C277,$C$35:$C$82)+1&lt;=_xlpm.DepreciationMonths,$C277&lt;=AR$8),$E277/_xlpm.DepreciationMonths,0))</f>
        <v>0</v>
      </c>
      <c r="AS277" s="507" cm="1">
        <f t="array" ref="AS277">_xlfn.LET(_xlpm.DepreciationMonths,INDEX(FixedAssets[Depreciation
/ Amortization Months],_xlfn.XMATCH($E$237,FixedAssets[Asset ID])),IF(AND((_xlfn.XMATCH(AS$8,$AH$8:$CC$8))-_xlfn.XMATCH($C277,$C$35:$C$82)+1&lt;=_xlpm.DepreciationMonths,$C277&lt;=AS$8),$E277/_xlpm.DepreciationMonths,0))</f>
        <v>0</v>
      </c>
      <c r="AT277" s="507" cm="1">
        <f t="array" ref="AT277">_xlfn.LET(_xlpm.DepreciationMonths,INDEX(FixedAssets[Depreciation
/ Amortization Months],_xlfn.XMATCH($E$237,FixedAssets[Asset ID])),IF(AND((_xlfn.XMATCH(AT$8,$AH$8:$CC$8))-_xlfn.XMATCH($C277,$C$35:$C$82)+1&lt;=_xlpm.DepreciationMonths,$C277&lt;=AT$8),$E277/_xlpm.DepreciationMonths,0))</f>
        <v>0</v>
      </c>
      <c r="AU277" s="507" cm="1">
        <f t="array" ref="AU277">_xlfn.LET(_xlpm.DepreciationMonths,INDEX(FixedAssets[Depreciation
/ Amortization Months],_xlfn.XMATCH($E$237,FixedAssets[Asset ID])),IF(AND((_xlfn.XMATCH(AU$8,$AH$8:$CC$8))-_xlfn.XMATCH($C277,$C$35:$C$82)+1&lt;=_xlpm.DepreciationMonths,$C277&lt;=AU$8),$E277/_xlpm.DepreciationMonths,0))</f>
        <v>0</v>
      </c>
      <c r="AV277" s="507" cm="1">
        <f t="array" ref="AV277">_xlfn.LET(_xlpm.DepreciationMonths,INDEX(FixedAssets[Depreciation
/ Amortization Months],_xlfn.XMATCH($E$237,FixedAssets[Asset ID])),IF(AND((_xlfn.XMATCH(AV$8,$AH$8:$CC$8))-_xlfn.XMATCH($C277,$C$35:$C$82)+1&lt;=_xlpm.DepreciationMonths,$C277&lt;=AV$8),$E277/_xlpm.DepreciationMonths,0))</f>
        <v>0</v>
      </c>
      <c r="AW277" s="507" cm="1">
        <f t="array" ref="AW277">_xlfn.LET(_xlpm.DepreciationMonths,INDEX(FixedAssets[Depreciation
/ Amortization Months],_xlfn.XMATCH($E$237,FixedAssets[Asset ID])),IF(AND((_xlfn.XMATCH(AW$8,$AH$8:$CC$8))-_xlfn.XMATCH($C277,$C$35:$C$82)+1&lt;=_xlpm.DepreciationMonths,$C277&lt;=AW$8),$E277/_xlpm.DepreciationMonths,0))</f>
        <v>0</v>
      </c>
      <c r="AX277" s="507" cm="1">
        <f t="array" ref="AX277">_xlfn.LET(_xlpm.DepreciationMonths,INDEX(FixedAssets[Depreciation
/ Amortization Months],_xlfn.XMATCH($E$237,FixedAssets[Asset ID])),IF(AND((_xlfn.XMATCH(AX$8,$AH$8:$CC$8))-_xlfn.XMATCH($C277,$C$35:$C$82)+1&lt;=_xlpm.DepreciationMonths,$C277&lt;=AX$8),$E277/_xlpm.DepreciationMonths,0))</f>
        <v>0</v>
      </c>
      <c r="AY277" s="507" cm="1">
        <f t="array" ref="AY277">_xlfn.LET(_xlpm.DepreciationMonths,INDEX(FixedAssets[Depreciation
/ Amortization Months],_xlfn.XMATCH($E$237,FixedAssets[Asset ID])),IF(AND((_xlfn.XMATCH(AY$8,$AH$8:$CC$8))-_xlfn.XMATCH($C277,$C$35:$C$82)+1&lt;=_xlpm.DepreciationMonths,$C277&lt;=AY$8),$E277/_xlpm.DepreciationMonths,0))</f>
        <v>0</v>
      </c>
      <c r="AZ277" s="507" cm="1">
        <f t="array" ref="AZ277">_xlfn.LET(_xlpm.DepreciationMonths,INDEX(FixedAssets[Depreciation
/ Amortization Months],_xlfn.XMATCH($E$237,FixedAssets[Asset ID])),IF(AND((_xlfn.XMATCH(AZ$8,$AH$8:$CC$8))-_xlfn.XMATCH($C277,$C$35:$C$82)+1&lt;=_xlpm.DepreciationMonths,$C277&lt;=AZ$8),$E277/_xlpm.DepreciationMonths,0))</f>
        <v>0</v>
      </c>
      <c r="BA277" s="507" cm="1">
        <f t="array" ref="BA277">_xlfn.LET(_xlpm.DepreciationMonths,INDEX(FixedAssets[Depreciation
/ Amortization Months],_xlfn.XMATCH($E$237,FixedAssets[Asset ID])),IF(AND((_xlfn.XMATCH(BA$8,$AH$8:$CC$8))-_xlfn.XMATCH($C277,$C$35:$C$82)+1&lt;=_xlpm.DepreciationMonths,$C277&lt;=BA$8),$E277/_xlpm.DepreciationMonths,0))</f>
        <v>0</v>
      </c>
      <c r="BB277" s="507" cm="1">
        <f t="array" ref="BB277">_xlfn.LET(_xlpm.DepreciationMonths,INDEX(FixedAssets[Depreciation
/ Amortization Months],_xlfn.XMATCH($E$237,FixedAssets[Asset ID])),IF(AND((_xlfn.XMATCH(BB$8,$AH$8:$CC$8))-_xlfn.XMATCH($C277,$C$35:$C$82)+1&lt;=_xlpm.DepreciationMonths,$C277&lt;=BB$8),$E277/_xlpm.DepreciationMonths,0))</f>
        <v>0</v>
      </c>
      <c r="BC277" s="507" cm="1">
        <f t="array" ref="BC277">_xlfn.LET(_xlpm.DepreciationMonths,INDEX(FixedAssets[Depreciation
/ Amortization Months],_xlfn.XMATCH($E$237,FixedAssets[Asset ID])),IF(AND((_xlfn.XMATCH(BC$8,$AH$8:$CC$8))-_xlfn.XMATCH($C277,$C$35:$C$82)+1&lt;=_xlpm.DepreciationMonths,$C277&lt;=BC$8),$E277/_xlpm.DepreciationMonths,0))</f>
        <v>0</v>
      </c>
      <c r="BD277" s="507" cm="1">
        <f t="array" ref="BD277">_xlfn.LET(_xlpm.DepreciationMonths,INDEX(FixedAssets[Depreciation
/ Amortization Months],_xlfn.XMATCH($E$237,FixedAssets[Asset ID])),IF(AND((_xlfn.XMATCH(BD$8,$AH$8:$CC$8))-_xlfn.XMATCH($C277,$C$35:$C$82)+1&lt;=_xlpm.DepreciationMonths,$C277&lt;=BD$8),$E277/_xlpm.DepreciationMonths,0))</f>
        <v>0</v>
      </c>
      <c r="BE277" s="507" cm="1">
        <f t="array" ref="BE277">_xlfn.LET(_xlpm.DepreciationMonths,INDEX(FixedAssets[Depreciation
/ Amortization Months],_xlfn.XMATCH($E$237,FixedAssets[Asset ID])),IF(AND((_xlfn.XMATCH(BE$8,$AH$8:$CC$8))-_xlfn.XMATCH($C277,$C$35:$C$82)+1&lt;=_xlpm.DepreciationMonths,$C277&lt;=BE$8),$E277/_xlpm.DepreciationMonths,0))</f>
        <v>0</v>
      </c>
      <c r="BF277" s="507" cm="1">
        <f t="array" ref="BF277">_xlfn.LET(_xlpm.DepreciationMonths,INDEX(FixedAssets[Depreciation
/ Amortization Months],_xlfn.XMATCH($E$237,FixedAssets[Asset ID])),IF(AND((_xlfn.XMATCH(BF$8,$AH$8:$CC$8))-_xlfn.XMATCH($C277,$C$35:$C$82)+1&lt;=_xlpm.DepreciationMonths,$C277&lt;=BF$8),$E277/_xlpm.DepreciationMonths,0))</f>
        <v>0</v>
      </c>
      <c r="BG277" s="507" cm="1">
        <f t="array" ref="BG277">_xlfn.LET(_xlpm.DepreciationMonths,INDEX(FixedAssets[Depreciation
/ Amortization Months],_xlfn.XMATCH($E$237,FixedAssets[Asset ID])),IF(AND((_xlfn.XMATCH(BG$8,$AH$8:$CC$8))-_xlfn.XMATCH($C277,$C$35:$C$82)+1&lt;=_xlpm.DepreciationMonths,$C277&lt;=BG$8),$E277/_xlpm.DepreciationMonths,0))</f>
        <v>0</v>
      </c>
      <c r="BH277" s="507" cm="1">
        <f t="array" ref="BH277">_xlfn.LET(_xlpm.DepreciationMonths,INDEX(FixedAssets[Depreciation
/ Amortization Months],_xlfn.XMATCH($E$237,FixedAssets[Asset ID])),IF(AND((_xlfn.XMATCH(BH$8,$AH$8:$CC$8))-_xlfn.XMATCH($C277,$C$35:$C$82)+1&lt;=_xlpm.DepreciationMonths,$C277&lt;=BH$8),$E277/_xlpm.DepreciationMonths,0))</f>
        <v>0</v>
      </c>
      <c r="BI277" s="507" cm="1">
        <f t="array" ref="BI277">_xlfn.LET(_xlpm.DepreciationMonths,INDEX(FixedAssets[Depreciation
/ Amortization Months],_xlfn.XMATCH($E$237,FixedAssets[Asset ID])),IF(AND((_xlfn.XMATCH(BI$8,$AH$8:$CC$8))-_xlfn.XMATCH($C277,$C$35:$C$82)+1&lt;=_xlpm.DepreciationMonths,$C277&lt;=BI$8),$E277/_xlpm.DepreciationMonths,0))</f>
        <v>0</v>
      </c>
      <c r="BJ277" s="507" cm="1">
        <f t="array" ref="BJ277">_xlfn.LET(_xlpm.DepreciationMonths,INDEX(FixedAssets[Depreciation
/ Amortization Months],_xlfn.XMATCH($E$237,FixedAssets[Asset ID])),IF(AND((_xlfn.XMATCH(BJ$8,$AH$8:$CC$8))-_xlfn.XMATCH($C277,$C$35:$C$82)+1&lt;=_xlpm.DepreciationMonths,$C277&lt;=BJ$8),$E277/_xlpm.DepreciationMonths,0))</f>
        <v>0</v>
      </c>
      <c r="BK277" s="507" cm="1">
        <f t="array" ref="BK277">_xlfn.LET(_xlpm.DepreciationMonths,INDEX(FixedAssets[Depreciation
/ Amortization Months],_xlfn.XMATCH($E$237,FixedAssets[Asset ID])),IF(AND((_xlfn.XMATCH(BK$8,$AH$8:$CC$8))-_xlfn.XMATCH($C277,$C$35:$C$82)+1&lt;=_xlpm.DepreciationMonths,$C277&lt;=BK$8),$E277/_xlpm.DepreciationMonths,0))</f>
        <v>0</v>
      </c>
      <c r="BL277" s="507" cm="1">
        <f t="array" ref="BL277">_xlfn.LET(_xlpm.DepreciationMonths,INDEX(FixedAssets[Depreciation
/ Amortization Months],_xlfn.XMATCH($E$237,FixedAssets[Asset ID])),IF(AND((_xlfn.XMATCH(BL$8,$AH$8:$CC$8))-_xlfn.XMATCH($C277,$C$35:$C$82)+1&lt;=_xlpm.DepreciationMonths,$C277&lt;=BL$8),$E277/_xlpm.DepreciationMonths,0))</f>
        <v>0</v>
      </c>
      <c r="BM277" s="507" cm="1">
        <f t="array" ref="BM277">_xlfn.LET(_xlpm.DepreciationMonths,INDEX(FixedAssets[Depreciation
/ Amortization Months],_xlfn.XMATCH($E$237,FixedAssets[Asset ID])),IF(AND((_xlfn.XMATCH(BM$8,$AH$8:$CC$8))-_xlfn.XMATCH($C277,$C$35:$C$82)+1&lt;=_xlpm.DepreciationMonths,$C277&lt;=BM$8),$E277/_xlpm.DepreciationMonths,0))</f>
        <v>0</v>
      </c>
      <c r="BN277" s="507" cm="1">
        <f t="array" ref="BN277">_xlfn.LET(_xlpm.DepreciationMonths,INDEX(FixedAssets[Depreciation
/ Amortization Months],_xlfn.XMATCH($E$237,FixedAssets[Asset ID])),IF(AND((_xlfn.XMATCH(BN$8,$AH$8:$CC$8))-_xlfn.XMATCH($C277,$C$35:$C$82)+1&lt;=_xlpm.DepreciationMonths,$C277&lt;=BN$8),$E277/_xlpm.DepreciationMonths,0))</f>
        <v>0</v>
      </c>
      <c r="BO277" s="507" cm="1">
        <f t="array" ref="BO277">_xlfn.LET(_xlpm.DepreciationMonths,INDEX(FixedAssets[Depreciation
/ Amortization Months],_xlfn.XMATCH($E$237,FixedAssets[Asset ID])),IF(AND((_xlfn.XMATCH(BO$8,$AH$8:$CC$8))-_xlfn.XMATCH($C277,$C$35:$C$82)+1&lt;=_xlpm.DepreciationMonths,$C277&lt;=BO$8),$E277/_xlpm.DepreciationMonths,0))</f>
        <v>0</v>
      </c>
      <c r="BP277" s="507" cm="1">
        <f t="array" ref="BP277">_xlfn.LET(_xlpm.DepreciationMonths,INDEX(FixedAssets[Depreciation
/ Amortization Months],_xlfn.XMATCH($E$237,FixedAssets[Asset ID])),IF(AND((_xlfn.XMATCH(BP$8,$AH$8:$CC$8))-_xlfn.XMATCH($C277,$C$35:$C$82)+1&lt;=_xlpm.DepreciationMonths,$C277&lt;=BP$8),$E277/_xlpm.DepreciationMonths,0))</f>
        <v>0</v>
      </c>
      <c r="BQ277" s="507" cm="1">
        <f t="array" ref="BQ277">_xlfn.LET(_xlpm.DepreciationMonths,INDEX(FixedAssets[Depreciation
/ Amortization Months],_xlfn.XMATCH($E$237,FixedAssets[Asset ID])),IF(AND((_xlfn.XMATCH(BQ$8,$AH$8:$CC$8))-_xlfn.XMATCH($C277,$C$35:$C$82)+1&lt;=_xlpm.DepreciationMonths,$C277&lt;=BQ$8),$E277/_xlpm.DepreciationMonths,0))</f>
        <v>0</v>
      </c>
      <c r="BR277" s="507" cm="1">
        <f t="array" ref="BR277">_xlfn.LET(_xlpm.DepreciationMonths,INDEX(FixedAssets[Depreciation
/ Amortization Months],_xlfn.XMATCH($E$237,FixedAssets[Asset ID])),IF(AND((_xlfn.XMATCH(BR$8,$AH$8:$CC$8))-_xlfn.XMATCH($C277,$C$35:$C$82)+1&lt;=_xlpm.DepreciationMonths,$C277&lt;=BR$8),$E277/_xlpm.DepreciationMonths,0))</f>
        <v>0</v>
      </c>
      <c r="BS277" s="507" cm="1">
        <f t="array" ref="BS277">_xlfn.LET(_xlpm.DepreciationMonths,INDEX(FixedAssets[Depreciation
/ Amortization Months],_xlfn.XMATCH($E$237,FixedAssets[Asset ID])),IF(AND((_xlfn.XMATCH(BS$8,$AH$8:$CC$8))-_xlfn.XMATCH($C277,$C$35:$C$82)+1&lt;=_xlpm.DepreciationMonths,$C277&lt;=BS$8),$E277/_xlpm.DepreciationMonths,0))</f>
        <v>0</v>
      </c>
      <c r="BT277" s="507" cm="1">
        <f t="array" ref="BT277">_xlfn.LET(_xlpm.DepreciationMonths,INDEX(FixedAssets[Depreciation
/ Amortization Months],_xlfn.XMATCH($E$237,FixedAssets[Asset ID])),IF(AND((_xlfn.XMATCH(BT$8,$AH$8:$CC$8))-_xlfn.XMATCH($C277,$C$35:$C$82)+1&lt;=_xlpm.DepreciationMonths,$C277&lt;=BT$8),$E277/_xlpm.DepreciationMonths,0))</f>
        <v>0</v>
      </c>
      <c r="BU277" s="507" cm="1">
        <f t="array" ref="BU277">_xlfn.LET(_xlpm.DepreciationMonths,INDEX(FixedAssets[Depreciation
/ Amortization Months],_xlfn.XMATCH($E$237,FixedAssets[Asset ID])),IF(AND((_xlfn.XMATCH(BU$8,$AH$8:$CC$8))-_xlfn.XMATCH($C277,$C$35:$C$82)+1&lt;=_xlpm.DepreciationMonths,$C277&lt;=BU$8),$E277/_xlpm.DepreciationMonths,0))</f>
        <v>0</v>
      </c>
      <c r="BV277" s="507" cm="1">
        <f t="array" ref="BV277">_xlfn.LET(_xlpm.DepreciationMonths,INDEX(FixedAssets[Depreciation
/ Amortization Months],_xlfn.XMATCH($E$237,FixedAssets[Asset ID])),IF(AND((_xlfn.XMATCH(BV$8,$AH$8:$CC$8))-_xlfn.XMATCH($C277,$C$35:$C$82)+1&lt;=_xlpm.DepreciationMonths,$C277&lt;=BV$8),$E277/_xlpm.DepreciationMonths,0))</f>
        <v>0</v>
      </c>
      <c r="BW277" s="507" cm="1">
        <f t="array" ref="BW277">_xlfn.LET(_xlpm.DepreciationMonths,INDEX(FixedAssets[Depreciation
/ Amortization Months],_xlfn.XMATCH($E$237,FixedAssets[Asset ID])),IF(AND((_xlfn.XMATCH(BW$8,$AH$8:$CC$8))-_xlfn.XMATCH($C277,$C$35:$C$82)+1&lt;=_xlpm.DepreciationMonths,$C277&lt;=BW$8),$E277/_xlpm.DepreciationMonths,0))</f>
        <v>0</v>
      </c>
      <c r="BX277" s="507" cm="1">
        <f t="array" ref="BX277">_xlfn.LET(_xlpm.DepreciationMonths,INDEX(FixedAssets[Depreciation
/ Amortization Months],_xlfn.XMATCH($E$237,FixedAssets[Asset ID])),IF(AND((_xlfn.XMATCH(BX$8,$AH$8:$CC$8))-_xlfn.XMATCH($C277,$C$35:$C$82)+1&lt;=_xlpm.DepreciationMonths,$C277&lt;=BX$8),$E277/_xlpm.DepreciationMonths,0))</f>
        <v>0</v>
      </c>
      <c r="BY277" s="507" cm="1">
        <f t="array" ref="BY277">_xlfn.LET(_xlpm.DepreciationMonths,INDEX(FixedAssets[Depreciation
/ Amortization Months],_xlfn.XMATCH($E$237,FixedAssets[Asset ID])),IF(AND((_xlfn.XMATCH(BY$8,$AH$8:$CC$8))-_xlfn.XMATCH($C277,$C$35:$C$82)+1&lt;=_xlpm.DepreciationMonths,$C277&lt;=BY$8),$E277/_xlpm.DepreciationMonths,0))</f>
        <v>0</v>
      </c>
      <c r="BZ277" s="507" cm="1">
        <f t="array" ref="BZ277">_xlfn.LET(_xlpm.DepreciationMonths,INDEX(FixedAssets[Depreciation
/ Amortization Months],_xlfn.XMATCH($E$237,FixedAssets[Asset ID])),IF(AND((_xlfn.XMATCH(BZ$8,$AH$8:$CC$8))-_xlfn.XMATCH($C277,$C$35:$C$82)+1&lt;=_xlpm.DepreciationMonths,$C277&lt;=BZ$8),$E277/_xlpm.DepreciationMonths,0))</f>
        <v>0</v>
      </c>
      <c r="CA277" s="507" cm="1">
        <f t="array" ref="CA277">_xlfn.LET(_xlpm.DepreciationMonths,INDEX(FixedAssets[Depreciation
/ Amortization Months],_xlfn.XMATCH($E$237,FixedAssets[Asset ID])),IF(AND((_xlfn.XMATCH(CA$8,$AH$8:$CC$8))-_xlfn.XMATCH($C277,$C$35:$C$82)+1&lt;=_xlpm.DepreciationMonths,$C277&lt;=CA$8),$E277/_xlpm.DepreciationMonths,0))</f>
        <v>0</v>
      </c>
      <c r="CB277" s="507" cm="1">
        <f t="array" ref="CB277">_xlfn.LET(_xlpm.DepreciationMonths,INDEX(FixedAssets[Depreciation
/ Amortization Months],_xlfn.XMATCH($E$237,FixedAssets[Asset ID])),IF(AND((_xlfn.XMATCH(CB$8,$AH$8:$CC$8))-_xlfn.XMATCH($C277,$C$35:$C$82)+1&lt;=_xlpm.DepreciationMonths,$C277&lt;=CB$8),$E277/_xlpm.DepreciationMonths,0))</f>
        <v>0</v>
      </c>
      <c r="CC277" s="507" cm="1">
        <f t="array" ref="CC277">_xlfn.LET(_xlpm.DepreciationMonths,INDEX(FixedAssets[Depreciation
/ Amortization Months],_xlfn.XMATCH($E$237,FixedAssets[Asset ID])),IF(AND((_xlfn.XMATCH(CC$8,$AH$8:$CC$8))-_xlfn.XMATCH($C277,$C$35:$C$82)+1&lt;=_xlpm.DepreciationMonths,$C277&lt;=CC$8),$E277/_xlpm.DepreciationMonths,0))</f>
        <v>0</v>
      </c>
    </row>
    <row r="278" spans="3:81" hidden="1" outlineLevel="2">
      <c r="C278" s="664">
        <f t="shared" si="267"/>
        <v>46142</v>
      </c>
      <c r="D278" s="508"/>
      <c r="E278" s="508" cm="1">
        <f t="array" ref="E278">SUMPRODUCT(($AH$26:$CC$31)*($AH$5:$CC$5=$C278)*($E$26:$E$31=E$237))-SUMPRODUCT(($AH$26:$CC$31)*($AH$5:$CC$5=EOMONTH($C278,-1))*($E$26:$E$31=E$237))</f>
        <v>0</v>
      </c>
      <c r="F278" s="508"/>
      <c r="G278" s="508"/>
      <c r="H278" s="508"/>
      <c r="I278" s="508"/>
      <c r="J278" s="504">
        <f t="shared" si="265"/>
        <v>0</v>
      </c>
      <c r="K278" s="504">
        <f t="shared" si="265"/>
        <v>0</v>
      </c>
      <c r="L278" s="504">
        <f t="shared" si="265"/>
        <v>0</v>
      </c>
      <c r="M278" s="504">
        <f t="shared" si="265"/>
        <v>0</v>
      </c>
      <c r="N278" s="504"/>
      <c r="O278" s="504"/>
      <c r="P278" s="504">
        <f t="shared" si="271"/>
        <v>0</v>
      </c>
      <c r="Q278" s="504">
        <f t="shared" si="271"/>
        <v>0</v>
      </c>
      <c r="R278" s="504">
        <f t="shared" si="271"/>
        <v>0</v>
      </c>
      <c r="S278" s="504">
        <f t="shared" si="271"/>
        <v>0</v>
      </c>
      <c r="T278" s="504">
        <f t="shared" si="271"/>
        <v>0</v>
      </c>
      <c r="U278" s="504">
        <f t="shared" si="271"/>
        <v>0</v>
      </c>
      <c r="V278" s="504">
        <f t="shared" si="271"/>
        <v>0</v>
      </c>
      <c r="W278" s="504">
        <f t="shared" si="271"/>
        <v>0</v>
      </c>
      <c r="X278" s="504">
        <f t="shared" si="271"/>
        <v>0</v>
      </c>
      <c r="Y278" s="504">
        <f t="shared" si="271"/>
        <v>0</v>
      </c>
      <c r="Z278" s="504">
        <f t="shared" si="271"/>
        <v>0</v>
      </c>
      <c r="AA278" s="504">
        <f t="shared" si="271"/>
        <v>0</v>
      </c>
      <c r="AB278" s="504">
        <f t="shared" si="271"/>
        <v>0</v>
      </c>
      <c r="AC278" s="504">
        <f t="shared" si="271"/>
        <v>0</v>
      </c>
      <c r="AD278" s="504">
        <f t="shared" si="271"/>
        <v>0</v>
      </c>
      <c r="AE278" s="504">
        <f t="shared" si="271"/>
        <v>0</v>
      </c>
      <c r="AF278" s="508"/>
      <c r="AG278" s="508"/>
      <c r="AH278" s="507" cm="1">
        <f t="array" ref="AH278">_xlfn.LET(_xlpm.DepreciationMonths,INDEX(FixedAssets[Depreciation
/ Amortization Months],_xlfn.XMATCH($E$237,FixedAssets[Asset ID])),IF(AND((_xlfn.XMATCH(AH$8,$AH$8:$CC$8))-_xlfn.XMATCH($C278,$C$35:$C$82)+1&lt;=_xlpm.DepreciationMonths,$C278&lt;=AH$8),$E278/_xlpm.DepreciationMonths,0))</f>
        <v>0</v>
      </c>
      <c r="AI278" s="507" cm="1">
        <f t="array" ref="AI278">_xlfn.LET(_xlpm.DepreciationMonths,INDEX(FixedAssets[Depreciation
/ Amortization Months],_xlfn.XMATCH($E$237,FixedAssets[Asset ID])),IF(AND((_xlfn.XMATCH(AI$8,$AH$8:$CC$8))-_xlfn.XMATCH($C278,$C$35:$C$82)+1&lt;=_xlpm.DepreciationMonths,$C278&lt;=AI$8),$E278/_xlpm.DepreciationMonths,0))</f>
        <v>0</v>
      </c>
      <c r="AJ278" s="507" cm="1">
        <f t="array" ref="AJ278">_xlfn.LET(_xlpm.DepreciationMonths,INDEX(FixedAssets[Depreciation
/ Amortization Months],_xlfn.XMATCH($E$237,FixedAssets[Asset ID])),IF(AND((_xlfn.XMATCH(AJ$8,$AH$8:$CC$8))-_xlfn.XMATCH($C278,$C$35:$C$82)+1&lt;=_xlpm.DepreciationMonths,$C278&lt;=AJ$8),$E278/_xlpm.DepreciationMonths,0))</f>
        <v>0</v>
      </c>
      <c r="AK278" s="507" cm="1">
        <f t="array" ref="AK278">_xlfn.LET(_xlpm.DepreciationMonths,INDEX(FixedAssets[Depreciation
/ Amortization Months],_xlfn.XMATCH($E$237,FixedAssets[Asset ID])),IF(AND((_xlfn.XMATCH(AK$8,$AH$8:$CC$8))-_xlfn.XMATCH($C278,$C$35:$C$82)+1&lt;=_xlpm.DepreciationMonths,$C278&lt;=AK$8),$E278/_xlpm.DepreciationMonths,0))</f>
        <v>0</v>
      </c>
      <c r="AL278" s="507" cm="1">
        <f t="array" ref="AL278">_xlfn.LET(_xlpm.DepreciationMonths,INDEX(FixedAssets[Depreciation
/ Amortization Months],_xlfn.XMATCH($E$237,FixedAssets[Asset ID])),IF(AND((_xlfn.XMATCH(AL$8,$AH$8:$CC$8))-_xlfn.XMATCH($C278,$C$35:$C$82)+1&lt;=_xlpm.DepreciationMonths,$C278&lt;=AL$8),$E278/_xlpm.DepreciationMonths,0))</f>
        <v>0</v>
      </c>
      <c r="AM278" s="507" cm="1">
        <f t="array" ref="AM278">_xlfn.LET(_xlpm.DepreciationMonths,INDEX(FixedAssets[Depreciation
/ Amortization Months],_xlfn.XMATCH($E$237,FixedAssets[Asset ID])),IF(AND((_xlfn.XMATCH(AM$8,$AH$8:$CC$8))-_xlfn.XMATCH($C278,$C$35:$C$82)+1&lt;=_xlpm.DepreciationMonths,$C278&lt;=AM$8),$E278/_xlpm.DepreciationMonths,0))</f>
        <v>0</v>
      </c>
      <c r="AN278" s="507" cm="1">
        <f t="array" ref="AN278">_xlfn.LET(_xlpm.DepreciationMonths,INDEX(FixedAssets[Depreciation
/ Amortization Months],_xlfn.XMATCH($E$237,FixedAssets[Asset ID])),IF(AND((_xlfn.XMATCH(AN$8,$AH$8:$CC$8))-_xlfn.XMATCH($C278,$C$35:$C$82)+1&lt;=_xlpm.DepreciationMonths,$C278&lt;=AN$8),$E278/_xlpm.DepreciationMonths,0))</f>
        <v>0</v>
      </c>
      <c r="AO278" s="507" cm="1">
        <f t="array" ref="AO278">_xlfn.LET(_xlpm.DepreciationMonths,INDEX(FixedAssets[Depreciation
/ Amortization Months],_xlfn.XMATCH($E$237,FixedAssets[Asset ID])),IF(AND((_xlfn.XMATCH(AO$8,$AH$8:$CC$8))-_xlfn.XMATCH($C278,$C$35:$C$82)+1&lt;=_xlpm.DepreciationMonths,$C278&lt;=AO$8),$E278/_xlpm.DepreciationMonths,0))</f>
        <v>0</v>
      </c>
      <c r="AP278" s="507" cm="1">
        <f t="array" ref="AP278">_xlfn.LET(_xlpm.DepreciationMonths,INDEX(FixedAssets[Depreciation
/ Amortization Months],_xlfn.XMATCH($E$237,FixedAssets[Asset ID])),IF(AND((_xlfn.XMATCH(AP$8,$AH$8:$CC$8))-_xlfn.XMATCH($C278,$C$35:$C$82)+1&lt;=_xlpm.DepreciationMonths,$C278&lt;=AP$8),$E278/_xlpm.DepreciationMonths,0))</f>
        <v>0</v>
      </c>
      <c r="AQ278" s="507" cm="1">
        <f t="array" ref="AQ278">_xlfn.LET(_xlpm.DepreciationMonths,INDEX(FixedAssets[Depreciation
/ Amortization Months],_xlfn.XMATCH($E$237,FixedAssets[Asset ID])),IF(AND((_xlfn.XMATCH(AQ$8,$AH$8:$CC$8))-_xlfn.XMATCH($C278,$C$35:$C$82)+1&lt;=_xlpm.DepreciationMonths,$C278&lt;=AQ$8),$E278/_xlpm.DepreciationMonths,0))</f>
        <v>0</v>
      </c>
      <c r="AR278" s="507" cm="1">
        <f t="array" ref="AR278">_xlfn.LET(_xlpm.DepreciationMonths,INDEX(FixedAssets[Depreciation
/ Amortization Months],_xlfn.XMATCH($E$237,FixedAssets[Asset ID])),IF(AND((_xlfn.XMATCH(AR$8,$AH$8:$CC$8))-_xlfn.XMATCH($C278,$C$35:$C$82)+1&lt;=_xlpm.DepreciationMonths,$C278&lt;=AR$8),$E278/_xlpm.DepreciationMonths,0))</f>
        <v>0</v>
      </c>
      <c r="AS278" s="507" cm="1">
        <f t="array" ref="AS278">_xlfn.LET(_xlpm.DepreciationMonths,INDEX(FixedAssets[Depreciation
/ Amortization Months],_xlfn.XMATCH($E$237,FixedAssets[Asset ID])),IF(AND((_xlfn.XMATCH(AS$8,$AH$8:$CC$8))-_xlfn.XMATCH($C278,$C$35:$C$82)+1&lt;=_xlpm.DepreciationMonths,$C278&lt;=AS$8),$E278/_xlpm.DepreciationMonths,0))</f>
        <v>0</v>
      </c>
      <c r="AT278" s="507" cm="1">
        <f t="array" ref="AT278">_xlfn.LET(_xlpm.DepreciationMonths,INDEX(FixedAssets[Depreciation
/ Amortization Months],_xlfn.XMATCH($E$237,FixedAssets[Asset ID])),IF(AND((_xlfn.XMATCH(AT$8,$AH$8:$CC$8))-_xlfn.XMATCH($C278,$C$35:$C$82)+1&lt;=_xlpm.DepreciationMonths,$C278&lt;=AT$8),$E278/_xlpm.DepreciationMonths,0))</f>
        <v>0</v>
      </c>
      <c r="AU278" s="507" cm="1">
        <f t="array" ref="AU278">_xlfn.LET(_xlpm.DepreciationMonths,INDEX(FixedAssets[Depreciation
/ Amortization Months],_xlfn.XMATCH($E$237,FixedAssets[Asset ID])),IF(AND((_xlfn.XMATCH(AU$8,$AH$8:$CC$8))-_xlfn.XMATCH($C278,$C$35:$C$82)+1&lt;=_xlpm.DepreciationMonths,$C278&lt;=AU$8),$E278/_xlpm.DepreciationMonths,0))</f>
        <v>0</v>
      </c>
      <c r="AV278" s="507" cm="1">
        <f t="array" ref="AV278">_xlfn.LET(_xlpm.DepreciationMonths,INDEX(FixedAssets[Depreciation
/ Amortization Months],_xlfn.XMATCH($E$237,FixedAssets[Asset ID])),IF(AND((_xlfn.XMATCH(AV$8,$AH$8:$CC$8))-_xlfn.XMATCH($C278,$C$35:$C$82)+1&lt;=_xlpm.DepreciationMonths,$C278&lt;=AV$8),$E278/_xlpm.DepreciationMonths,0))</f>
        <v>0</v>
      </c>
      <c r="AW278" s="507" cm="1">
        <f t="array" ref="AW278">_xlfn.LET(_xlpm.DepreciationMonths,INDEX(FixedAssets[Depreciation
/ Amortization Months],_xlfn.XMATCH($E$237,FixedAssets[Asset ID])),IF(AND((_xlfn.XMATCH(AW$8,$AH$8:$CC$8))-_xlfn.XMATCH($C278,$C$35:$C$82)+1&lt;=_xlpm.DepreciationMonths,$C278&lt;=AW$8),$E278/_xlpm.DepreciationMonths,0))</f>
        <v>0</v>
      </c>
      <c r="AX278" s="507" cm="1">
        <f t="array" ref="AX278">_xlfn.LET(_xlpm.DepreciationMonths,INDEX(FixedAssets[Depreciation
/ Amortization Months],_xlfn.XMATCH($E$237,FixedAssets[Asset ID])),IF(AND((_xlfn.XMATCH(AX$8,$AH$8:$CC$8))-_xlfn.XMATCH($C278,$C$35:$C$82)+1&lt;=_xlpm.DepreciationMonths,$C278&lt;=AX$8),$E278/_xlpm.DepreciationMonths,0))</f>
        <v>0</v>
      </c>
      <c r="AY278" s="507" cm="1">
        <f t="array" ref="AY278">_xlfn.LET(_xlpm.DepreciationMonths,INDEX(FixedAssets[Depreciation
/ Amortization Months],_xlfn.XMATCH($E$237,FixedAssets[Asset ID])),IF(AND((_xlfn.XMATCH(AY$8,$AH$8:$CC$8))-_xlfn.XMATCH($C278,$C$35:$C$82)+1&lt;=_xlpm.DepreciationMonths,$C278&lt;=AY$8),$E278/_xlpm.DepreciationMonths,0))</f>
        <v>0</v>
      </c>
      <c r="AZ278" s="507" cm="1">
        <f t="array" ref="AZ278">_xlfn.LET(_xlpm.DepreciationMonths,INDEX(FixedAssets[Depreciation
/ Amortization Months],_xlfn.XMATCH($E$237,FixedAssets[Asset ID])),IF(AND((_xlfn.XMATCH(AZ$8,$AH$8:$CC$8))-_xlfn.XMATCH($C278,$C$35:$C$82)+1&lt;=_xlpm.DepreciationMonths,$C278&lt;=AZ$8),$E278/_xlpm.DepreciationMonths,0))</f>
        <v>0</v>
      </c>
      <c r="BA278" s="507" cm="1">
        <f t="array" ref="BA278">_xlfn.LET(_xlpm.DepreciationMonths,INDEX(FixedAssets[Depreciation
/ Amortization Months],_xlfn.XMATCH($E$237,FixedAssets[Asset ID])),IF(AND((_xlfn.XMATCH(BA$8,$AH$8:$CC$8))-_xlfn.XMATCH($C278,$C$35:$C$82)+1&lt;=_xlpm.DepreciationMonths,$C278&lt;=BA$8),$E278/_xlpm.DepreciationMonths,0))</f>
        <v>0</v>
      </c>
      <c r="BB278" s="507" cm="1">
        <f t="array" ref="BB278">_xlfn.LET(_xlpm.DepreciationMonths,INDEX(FixedAssets[Depreciation
/ Amortization Months],_xlfn.XMATCH($E$237,FixedAssets[Asset ID])),IF(AND((_xlfn.XMATCH(BB$8,$AH$8:$CC$8))-_xlfn.XMATCH($C278,$C$35:$C$82)+1&lt;=_xlpm.DepreciationMonths,$C278&lt;=BB$8),$E278/_xlpm.DepreciationMonths,0))</f>
        <v>0</v>
      </c>
      <c r="BC278" s="507" cm="1">
        <f t="array" ref="BC278">_xlfn.LET(_xlpm.DepreciationMonths,INDEX(FixedAssets[Depreciation
/ Amortization Months],_xlfn.XMATCH($E$237,FixedAssets[Asset ID])),IF(AND((_xlfn.XMATCH(BC$8,$AH$8:$CC$8))-_xlfn.XMATCH($C278,$C$35:$C$82)+1&lt;=_xlpm.DepreciationMonths,$C278&lt;=BC$8),$E278/_xlpm.DepreciationMonths,0))</f>
        <v>0</v>
      </c>
      <c r="BD278" s="507" cm="1">
        <f t="array" ref="BD278">_xlfn.LET(_xlpm.DepreciationMonths,INDEX(FixedAssets[Depreciation
/ Amortization Months],_xlfn.XMATCH($E$237,FixedAssets[Asset ID])),IF(AND((_xlfn.XMATCH(BD$8,$AH$8:$CC$8))-_xlfn.XMATCH($C278,$C$35:$C$82)+1&lt;=_xlpm.DepreciationMonths,$C278&lt;=BD$8),$E278/_xlpm.DepreciationMonths,0))</f>
        <v>0</v>
      </c>
      <c r="BE278" s="507" cm="1">
        <f t="array" ref="BE278">_xlfn.LET(_xlpm.DepreciationMonths,INDEX(FixedAssets[Depreciation
/ Amortization Months],_xlfn.XMATCH($E$237,FixedAssets[Asset ID])),IF(AND((_xlfn.XMATCH(BE$8,$AH$8:$CC$8))-_xlfn.XMATCH($C278,$C$35:$C$82)+1&lt;=_xlpm.DepreciationMonths,$C278&lt;=BE$8),$E278/_xlpm.DepreciationMonths,0))</f>
        <v>0</v>
      </c>
      <c r="BF278" s="507" cm="1">
        <f t="array" ref="BF278">_xlfn.LET(_xlpm.DepreciationMonths,INDEX(FixedAssets[Depreciation
/ Amortization Months],_xlfn.XMATCH($E$237,FixedAssets[Asset ID])),IF(AND((_xlfn.XMATCH(BF$8,$AH$8:$CC$8))-_xlfn.XMATCH($C278,$C$35:$C$82)+1&lt;=_xlpm.DepreciationMonths,$C278&lt;=BF$8),$E278/_xlpm.DepreciationMonths,0))</f>
        <v>0</v>
      </c>
      <c r="BG278" s="507" cm="1">
        <f t="array" ref="BG278">_xlfn.LET(_xlpm.DepreciationMonths,INDEX(FixedAssets[Depreciation
/ Amortization Months],_xlfn.XMATCH($E$237,FixedAssets[Asset ID])),IF(AND((_xlfn.XMATCH(BG$8,$AH$8:$CC$8))-_xlfn.XMATCH($C278,$C$35:$C$82)+1&lt;=_xlpm.DepreciationMonths,$C278&lt;=BG$8),$E278/_xlpm.DepreciationMonths,0))</f>
        <v>0</v>
      </c>
      <c r="BH278" s="507" cm="1">
        <f t="array" ref="BH278">_xlfn.LET(_xlpm.DepreciationMonths,INDEX(FixedAssets[Depreciation
/ Amortization Months],_xlfn.XMATCH($E$237,FixedAssets[Asset ID])),IF(AND((_xlfn.XMATCH(BH$8,$AH$8:$CC$8))-_xlfn.XMATCH($C278,$C$35:$C$82)+1&lt;=_xlpm.DepreciationMonths,$C278&lt;=BH$8),$E278/_xlpm.DepreciationMonths,0))</f>
        <v>0</v>
      </c>
      <c r="BI278" s="507" cm="1">
        <f t="array" ref="BI278">_xlfn.LET(_xlpm.DepreciationMonths,INDEX(FixedAssets[Depreciation
/ Amortization Months],_xlfn.XMATCH($E$237,FixedAssets[Asset ID])),IF(AND((_xlfn.XMATCH(BI$8,$AH$8:$CC$8))-_xlfn.XMATCH($C278,$C$35:$C$82)+1&lt;=_xlpm.DepreciationMonths,$C278&lt;=BI$8),$E278/_xlpm.DepreciationMonths,0))</f>
        <v>0</v>
      </c>
      <c r="BJ278" s="507" cm="1">
        <f t="array" ref="BJ278">_xlfn.LET(_xlpm.DepreciationMonths,INDEX(FixedAssets[Depreciation
/ Amortization Months],_xlfn.XMATCH($E$237,FixedAssets[Asset ID])),IF(AND((_xlfn.XMATCH(BJ$8,$AH$8:$CC$8))-_xlfn.XMATCH($C278,$C$35:$C$82)+1&lt;=_xlpm.DepreciationMonths,$C278&lt;=BJ$8),$E278/_xlpm.DepreciationMonths,0))</f>
        <v>0</v>
      </c>
      <c r="BK278" s="507" cm="1">
        <f t="array" ref="BK278">_xlfn.LET(_xlpm.DepreciationMonths,INDEX(FixedAssets[Depreciation
/ Amortization Months],_xlfn.XMATCH($E$237,FixedAssets[Asset ID])),IF(AND((_xlfn.XMATCH(BK$8,$AH$8:$CC$8))-_xlfn.XMATCH($C278,$C$35:$C$82)+1&lt;=_xlpm.DepreciationMonths,$C278&lt;=BK$8),$E278/_xlpm.DepreciationMonths,0))</f>
        <v>0</v>
      </c>
      <c r="BL278" s="507" cm="1">
        <f t="array" ref="BL278">_xlfn.LET(_xlpm.DepreciationMonths,INDEX(FixedAssets[Depreciation
/ Amortization Months],_xlfn.XMATCH($E$237,FixedAssets[Asset ID])),IF(AND((_xlfn.XMATCH(BL$8,$AH$8:$CC$8))-_xlfn.XMATCH($C278,$C$35:$C$82)+1&lt;=_xlpm.DepreciationMonths,$C278&lt;=BL$8),$E278/_xlpm.DepreciationMonths,0))</f>
        <v>0</v>
      </c>
      <c r="BM278" s="507" cm="1">
        <f t="array" ref="BM278">_xlfn.LET(_xlpm.DepreciationMonths,INDEX(FixedAssets[Depreciation
/ Amortization Months],_xlfn.XMATCH($E$237,FixedAssets[Asset ID])),IF(AND((_xlfn.XMATCH(BM$8,$AH$8:$CC$8))-_xlfn.XMATCH($C278,$C$35:$C$82)+1&lt;=_xlpm.DepreciationMonths,$C278&lt;=BM$8),$E278/_xlpm.DepreciationMonths,0))</f>
        <v>0</v>
      </c>
      <c r="BN278" s="507" cm="1">
        <f t="array" ref="BN278">_xlfn.LET(_xlpm.DepreciationMonths,INDEX(FixedAssets[Depreciation
/ Amortization Months],_xlfn.XMATCH($E$237,FixedAssets[Asset ID])),IF(AND((_xlfn.XMATCH(BN$8,$AH$8:$CC$8))-_xlfn.XMATCH($C278,$C$35:$C$82)+1&lt;=_xlpm.DepreciationMonths,$C278&lt;=BN$8),$E278/_xlpm.DepreciationMonths,0))</f>
        <v>0</v>
      </c>
      <c r="BO278" s="507" cm="1">
        <f t="array" ref="BO278">_xlfn.LET(_xlpm.DepreciationMonths,INDEX(FixedAssets[Depreciation
/ Amortization Months],_xlfn.XMATCH($E$237,FixedAssets[Asset ID])),IF(AND((_xlfn.XMATCH(BO$8,$AH$8:$CC$8))-_xlfn.XMATCH($C278,$C$35:$C$82)+1&lt;=_xlpm.DepreciationMonths,$C278&lt;=BO$8),$E278/_xlpm.DepreciationMonths,0))</f>
        <v>0</v>
      </c>
      <c r="BP278" s="507" cm="1">
        <f t="array" ref="BP278">_xlfn.LET(_xlpm.DepreciationMonths,INDEX(FixedAssets[Depreciation
/ Amortization Months],_xlfn.XMATCH($E$237,FixedAssets[Asset ID])),IF(AND((_xlfn.XMATCH(BP$8,$AH$8:$CC$8))-_xlfn.XMATCH($C278,$C$35:$C$82)+1&lt;=_xlpm.DepreciationMonths,$C278&lt;=BP$8),$E278/_xlpm.DepreciationMonths,0))</f>
        <v>0</v>
      </c>
      <c r="BQ278" s="507" cm="1">
        <f t="array" ref="BQ278">_xlfn.LET(_xlpm.DepreciationMonths,INDEX(FixedAssets[Depreciation
/ Amortization Months],_xlfn.XMATCH($E$237,FixedAssets[Asset ID])),IF(AND((_xlfn.XMATCH(BQ$8,$AH$8:$CC$8))-_xlfn.XMATCH($C278,$C$35:$C$82)+1&lt;=_xlpm.DepreciationMonths,$C278&lt;=BQ$8),$E278/_xlpm.DepreciationMonths,0))</f>
        <v>0</v>
      </c>
      <c r="BR278" s="507" cm="1">
        <f t="array" ref="BR278">_xlfn.LET(_xlpm.DepreciationMonths,INDEX(FixedAssets[Depreciation
/ Amortization Months],_xlfn.XMATCH($E$237,FixedAssets[Asset ID])),IF(AND((_xlfn.XMATCH(BR$8,$AH$8:$CC$8))-_xlfn.XMATCH($C278,$C$35:$C$82)+1&lt;=_xlpm.DepreciationMonths,$C278&lt;=BR$8),$E278/_xlpm.DepreciationMonths,0))</f>
        <v>0</v>
      </c>
      <c r="BS278" s="507" cm="1">
        <f t="array" ref="BS278">_xlfn.LET(_xlpm.DepreciationMonths,INDEX(FixedAssets[Depreciation
/ Amortization Months],_xlfn.XMATCH($E$237,FixedAssets[Asset ID])),IF(AND((_xlfn.XMATCH(BS$8,$AH$8:$CC$8))-_xlfn.XMATCH($C278,$C$35:$C$82)+1&lt;=_xlpm.DepreciationMonths,$C278&lt;=BS$8),$E278/_xlpm.DepreciationMonths,0))</f>
        <v>0</v>
      </c>
      <c r="BT278" s="507" cm="1">
        <f t="array" ref="BT278">_xlfn.LET(_xlpm.DepreciationMonths,INDEX(FixedAssets[Depreciation
/ Amortization Months],_xlfn.XMATCH($E$237,FixedAssets[Asset ID])),IF(AND((_xlfn.XMATCH(BT$8,$AH$8:$CC$8))-_xlfn.XMATCH($C278,$C$35:$C$82)+1&lt;=_xlpm.DepreciationMonths,$C278&lt;=BT$8),$E278/_xlpm.DepreciationMonths,0))</f>
        <v>0</v>
      </c>
      <c r="BU278" s="507" cm="1">
        <f t="array" ref="BU278">_xlfn.LET(_xlpm.DepreciationMonths,INDEX(FixedAssets[Depreciation
/ Amortization Months],_xlfn.XMATCH($E$237,FixedAssets[Asset ID])),IF(AND((_xlfn.XMATCH(BU$8,$AH$8:$CC$8))-_xlfn.XMATCH($C278,$C$35:$C$82)+1&lt;=_xlpm.DepreciationMonths,$C278&lt;=BU$8),$E278/_xlpm.DepreciationMonths,0))</f>
        <v>0</v>
      </c>
      <c r="BV278" s="507" cm="1">
        <f t="array" ref="BV278">_xlfn.LET(_xlpm.DepreciationMonths,INDEX(FixedAssets[Depreciation
/ Amortization Months],_xlfn.XMATCH($E$237,FixedAssets[Asset ID])),IF(AND((_xlfn.XMATCH(BV$8,$AH$8:$CC$8))-_xlfn.XMATCH($C278,$C$35:$C$82)+1&lt;=_xlpm.DepreciationMonths,$C278&lt;=BV$8),$E278/_xlpm.DepreciationMonths,0))</f>
        <v>0</v>
      </c>
      <c r="BW278" s="507" cm="1">
        <f t="array" ref="BW278">_xlfn.LET(_xlpm.DepreciationMonths,INDEX(FixedAssets[Depreciation
/ Amortization Months],_xlfn.XMATCH($E$237,FixedAssets[Asset ID])),IF(AND((_xlfn.XMATCH(BW$8,$AH$8:$CC$8))-_xlfn.XMATCH($C278,$C$35:$C$82)+1&lt;=_xlpm.DepreciationMonths,$C278&lt;=BW$8),$E278/_xlpm.DepreciationMonths,0))</f>
        <v>0</v>
      </c>
      <c r="BX278" s="507" cm="1">
        <f t="array" ref="BX278">_xlfn.LET(_xlpm.DepreciationMonths,INDEX(FixedAssets[Depreciation
/ Amortization Months],_xlfn.XMATCH($E$237,FixedAssets[Asset ID])),IF(AND((_xlfn.XMATCH(BX$8,$AH$8:$CC$8))-_xlfn.XMATCH($C278,$C$35:$C$82)+1&lt;=_xlpm.DepreciationMonths,$C278&lt;=BX$8),$E278/_xlpm.DepreciationMonths,0))</f>
        <v>0</v>
      </c>
      <c r="BY278" s="507" cm="1">
        <f t="array" ref="BY278">_xlfn.LET(_xlpm.DepreciationMonths,INDEX(FixedAssets[Depreciation
/ Amortization Months],_xlfn.XMATCH($E$237,FixedAssets[Asset ID])),IF(AND((_xlfn.XMATCH(BY$8,$AH$8:$CC$8))-_xlfn.XMATCH($C278,$C$35:$C$82)+1&lt;=_xlpm.DepreciationMonths,$C278&lt;=BY$8),$E278/_xlpm.DepreciationMonths,0))</f>
        <v>0</v>
      </c>
      <c r="BZ278" s="507" cm="1">
        <f t="array" ref="BZ278">_xlfn.LET(_xlpm.DepreciationMonths,INDEX(FixedAssets[Depreciation
/ Amortization Months],_xlfn.XMATCH($E$237,FixedAssets[Asset ID])),IF(AND((_xlfn.XMATCH(BZ$8,$AH$8:$CC$8))-_xlfn.XMATCH($C278,$C$35:$C$82)+1&lt;=_xlpm.DepreciationMonths,$C278&lt;=BZ$8),$E278/_xlpm.DepreciationMonths,0))</f>
        <v>0</v>
      </c>
      <c r="CA278" s="507" cm="1">
        <f t="array" ref="CA278">_xlfn.LET(_xlpm.DepreciationMonths,INDEX(FixedAssets[Depreciation
/ Amortization Months],_xlfn.XMATCH($E$237,FixedAssets[Asset ID])),IF(AND((_xlfn.XMATCH(CA$8,$AH$8:$CC$8))-_xlfn.XMATCH($C278,$C$35:$C$82)+1&lt;=_xlpm.DepreciationMonths,$C278&lt;=CA$8),$E278/_xlpm.DepreciationMonths,0))</f>
        <v>0</v>
      </c>
      <c r="CB278" s="507" cm="1">
        <f t="array" ref="CB278">_xlfn.LET(_xlpm.DepreciationMonths,INDEX(FixedAssets[Depreciation
/ Amortization Months],_xlfn.XMATCH($E$237,FixedAssets[Asset ID])),IF(AND((_xlfn.XMATCH(CB$8,$AH$8:$CC$8))-_xlfn.XMATCH($C278,$C$35:$C$82)+1&lt;=_xlpm.DepreciationMonths,$C278&lt;=CB$8),$E278/_xlpm.DepreciationMonths,0))</f>
        <v>0</v>
      </c>
      <c r="CC278" s="507" cm="1">
        <f t="array" ref="CC278">_xlfn.LET(_xlpm.DepreciationMonths,INDEX(FixedAssets[Depreciation
/ Amortization Months],_xlfn.XMATCH($E$237,FixedAssets[Asset ID])),IF(AND((_xlfn.XMATCH(CC$8,$AH$8:$CC$8))-_xlfn.XMATCH($C278,$C$35:$C$82)+1&lt;=_xlpm.DepreciationMonths,$C278&lt;=CC$8),$E278/_xlpm.DepreciationMonths,0))</f>
        <v>0</v>
      </c>
    </row>
    <row r="279" spans="3:81" hidden="1" outlineLevel="2">
      <c r="C279" s="664">
        <f t="shared" si="267"/>
        <v>46173</v>
      </c>
      <c r="D279" s="508"/>
      <c r="E279" s="508" cm="1">
        <f t="array" ref="E279">SUMPRODUCT(($AH$26:$CC$31)*($AH$5:$CC$5=$C279)*($E$26:$E$31=E$237))-SUMPRODUCT(($AH$26:$CC$31)*($AH$5:$CC$5=EOMONTH($C279,-1))*($E$26:$E$31=E$237))</f>
        <v>0</v>
      </c>
      <c r="F279" s="508"/>
      <c r="G279" s="508"/>
      <c r="H279" s="508"/>
      <c r="I279" s="508"/>
      <c r="J279" s="504">
        <f t="shared" si="265"/>
        <v>0</v>
      </c>
      <c r="K279" s="504">
        <f t="shared" si="265"/>
        <v>0</v>
      </c>
      <c r="L279" s="504">
        <f t="shared" si="265"/>
        <v>0</v>
      </c>
      <c r="M279" s="504">
        <f t="shared" si="265"/>
        <v>0</v>
      </c>
      <c r="N279" s="504"/>
      <c r="O279" s="504"/>
      <c r="P279" s="504">
        <f t="shared" si="271"/>
        <v>0</v>
      </c>
      <c r="Q279" s="504">
        <f t="shared" si="271"/>
        <v>0</v>
      </c>
      <c r="R279" s="504">
        <f t="shared" si="271"/>
        <v>0</v>
      </c>
      <c r="S279" s="504">
        <f t="shared" si="271"/>
        <v>0</v>
      </c>
      <c r="T279" s="504">
        <f t="shared" si="271"/>
        <v>0</v>
      </c>
      <c r="U279" s="504">
        <f t="shared" si="271"/>
        <v>0</v>
      </c>
      <c r="V279" s="504">
        <f t="shared" si="271"/>
        <v>0</v>
      </c>
      <c r="W279" s="504">
        <f t="shared" si="271"/>
        <v>0</v>
      </c>
      <c r="X279" s="504">
        <f t="shared" si="271"/>
        <v>0</v>
      </c>
      <c r="Y279" s="504">
        <f t="shared" si="271"/>
        <v>0</v>
      </c>
      <c r="Z279" s="504">
        <f t="shared" si="271"/>
        <v>0</v>
      </c>
      <c r="AA279" s="504">
        <f t="shared" si="271"/>
        <v>0</v>
      </c>
      <c r="AB279" s="504">
        <f t="shared" si="271"/>
        <v>0</v>
      </c>
      <c r="AC279" s="504">
        <f t="shared" si="271"/>
        <v>0</v>
      </c>
      <c r="AD279" s="504">
        <f t="shared" si="271"/>
        <v>0</v>
      </c>
      <c r="AE279" s="504">
        <f t="shared" si="271"/>
        <v>0</v>
      </c>
      <c r="AF279" s="508"/>
      <c r="AG279" s="508"/>
      <c r="AH279" s="507" cm="1">
        <f t="array" ref="AH279">_xlfn.LET(_xlpm.DepreciationMonths,INDEX(FixedAssets[Depreciation
/ Amortization Months],_xlfn.XMATCH($E$237,FixedAssets[Asset ID])),IF(AND((_xlfn.XMATCH(AH$8,$AH$8:$CC$8))-_xlfn.XMATCH($C279,$C$35:$C$82)+1&lt;=_xlpm.DepreciationMonths,$C279&lt;=AH$8),$E279/_xlpm.DepreciationMonths,0))</f>
        <v>0</v>
      </c>
      <c r="AI279" s="507" cm="1">
        <f t="array" ref="AI279">_xlfn.LET(_xlpm.DepreciationMonths,INDEX(FixedAssets[Depreciation
/ Amortization Months],_xlfn.XMATCH($E$237,FixedAssets[Asset ID])),IF(AND((_xlfn.XMATCH(AI$8,$AH$8:$CC$8))-_xlfn.XMATCH($C279,$C$35:$C$82)+1&lt;=_xlpm.DepreciationMonths,$C279&lt;=AI$8),$E279/_xlpm.DepreciationMonths,0))</f>
        <v>0</v>
      </c>
      <c r="AJ279" s="507" cm="1">
        <f t="array" ref="AJ279">_xlfn.LET(_xlpm.DepreciationMonths,INDEX(FixedAssets[Depreciation
/ Amortization Months],_xlfn.XMATCH($E$237,FixedAssets[Asset ID])),IF(AND((_xlfn.XMATCH(AJ$8,$AH$8:$CC$8))-_xlfn.XMATCH($C279,$C$35:$C$82)+1&lt;=_xlpm.DepreciationMonths,$C279&lt;=AJ$8),$E279/_xlpm.DepreciationMonths,0))</f>
        <v>0</v>
      </c>
      <c r="AK279" s="507" cm="1">
        <f t="array" ref="AK279">_xlfn.LET(_xlpm.DepreciationMonths,INDEX(FixedAssets[Depreciation
/ Amortization Months],_xlfn.XMATCH($E$237,FixedAssets[Asset ID])),IF(AND((_xlfn.XMATCH(AK$8,$AH$8:$CC$8))-_xlfn.XMATCH($C279,$C$35:$C$82)+1&lt;=_xlpm.DepreciationMonths,$C279&lt;=AK$8),$E279/_xlpm.DepreciationMonths,0))</f>
        <v>0</v>
      </c>
      <c r="AL279" s="507" cm="1">
        <f t="array" ref="AL279">_xlfn.LET(_xlpm.DepreciationMonths,INDEX(FixedAssets[Depreciation
/ Amortization Months],_xlfn.XMATCH($E$237,FixedAssets[Asset ID])),IF(AND((_xlfn.XMATCH(AL$8,$AH$8:$CC$8))-_xlfn.XMATCH($C279,$C$35:$C$82)+1&lt;=_xlpm.DepreciationMonths,$C279&lt;=AL$8),$E279/_xlpm.DepreciationMonths,0))</f>
        <v>0</v>
      </c>
      <c r="AM279" s="507" cm="1">
        <f t="array" ref="AM279">_xlfn.LET(_xlpm.DepreciationMonths,INDEX(FixedAssets[Depreciation
/ Amortization Months],_xlfn.XMATCH($E$237,FixedAssets[Asset ID])),IF(AND((_xlfn.XMATCH(AM$8,$AH$8:$CC$8))-_xlfn.XMATCH($C279,$C$35:$C$82)+1&lt;=_xlpm.DepreciationMonths,$C279&lt;=AM$8),$E279/_xlpm.DepreciationMonths,0))</f>
        <v>0</v>
      </c>
      <c r="AN279" s="507" cm="1">
        <f t="array" ref="AN279">_xlfn.LET(_xlpm.DepreciationMonths,INDEX(FixedAssets[Depreciation
/ Amortization Months],_xlfn.XMATCH($E$237,FixedAssets[Asset ID])),IF(AND((_xlfn.XMATCH(AN$8,$AH$8:$CC$8))-_xlfn.XMATCH($C279,$C$35:$C$82)+1&lt;=_xlpm.DepreciationMonths,$C279&lt;=AN$8),$E279/_xlpm.DepreciationMonths,0))</f>
        <v>0</v>
      </c>
      <c r="AO279" s="507" cm="1">
        <f t="array" ref="AO279">_xlfn.LET(_xlpm.DepreciationMonths,INDEX(FixedAssets[Depreciation
/ Amortization Months],_xlfn.XMATCH($E$237,FixedAssets[Asset ID])),IF(AND((_xlfn.XMATCH(AO$8,$AH$8:$CC$8))-_xlfn.XMATCH($C279,$C$35:$C$82)+1&lt;=_xlpm.DepreciationMonths,$C279&lt;=AO$8),$E279/_xlpm.DepreciationMonths,0))</f>
        <v>0</v>
      </c>
      <c r="AP279" s="507" cm="1">
        <f t="array" ref="AP279">_xlfn.LET(_xlpm.DepreciationMonths,INDEX(FixedAssets[Depreciation
/ Amortization Months],_xlfn.XMATCH($E$237,FixedAssets[Asset ID])),IF(AND((_xlfn.XMATCH(AP$8,$AH$8:$CC$8))-_xlfn.XMATCH($C279,$C$35:$C$82)+1&lt;=_xlpm.DepreciationMonths,$C279&lt;=AP$8),$E279/_xlpm.DepreciationMonths,0))</f>
        <v>0</v>
      </c>
      <c r="AQ279" s="507" cm="1">
        <f t="array" ref="AQ279">_xlfn.LET(_xlpm.DepreciationMonths,INDEX(FixedAssets[Depreciation
/ Amortization Months],_xlfn.XMATCH($E$237,FixedAssets[Asset ID])),IF(AND((_xlfn.XMATCH(AQ$8,$AH$8:$CC$8))-_xlfn.XMATCH($C279,$C$35:$C$82)+1&lt;=_xlpm.DepreciationMonths,$C279&lt;=AQ$8),$E279/_xlpm.DepreciationMonths,0))</f>
        <v>0</v>
      </c>
      <c r="AR279" s="507" cm="1">
        <f t="array" ref="AR279">_xlfn.LET(_xlpm.DepreciationMonths,INDEX(FixedAssets[Depreciation
/ Amortization Months],_xlfn.XMATCH($E$237,FixedAssets[Asset ID])),IF(AND((_xlfn.XMATCH(AR$8,$AH$8:$CC$8))-_xlfn.XMATCH($C279,$C$35:$C$82)+1&lt;=_xlpm.DepreciationMonths,$C279&lt;=AR$8),$E279/_xlpm.DepreciationMonths,0))</f>
        <v>0</v>
      </c>
      <c r="AS279" s="507" cm="1">
        <f t="array" ref="AS279">_xlfn.LET(_xlpm.DepreciationMonths,INDEX(FixedAssets[Depreciation
/ Amortization Months],_xlfn.XMATCH($E$237,FixedAssets[Asset ID])),IF(AND((_xlfn.XMATCH(AS$8,$AH$8:$CC$8))-_xlfn.XMATCH($C279,$C$35:$C$82)+1&lt;=_xlpm.DepreciationMonths,$C279&lt;=AS$8),$E279/_xlpm.DepreciationMonths,0))</f>
        <v>0</v>
      </c>
      <c r="AT279" s="507" cm="1">
        <f t="array" ref="AT279">_xlfn.LET(_xlpm.DepreciationMonths,INDEX(FixedAssets[Depreciation
/ Amortization Months],_xlfn.XMATCH($E$237,FixedAssets[Asset ID])),IF(AND((_xlfn.XMATCH(AT$8,$AH$8:$CC$8))-_xlfn.XMATCH($C279,$C$35:$C$82)+1&lt;=_xlpm.DepreciationMonths,$C279&lt;=AT$8),$E279/_xlpm.DepreciationMonths,0))</f>
        <v>0</v>
      </c>
      <c r="AU279" s="507" cm="1">
        <f t="array" ref="AU279">_xlfn.LET(_xlpm.DepreciationMonths,INDEX(FixedAssets[Depreciation
/ Amortization Months],_xlfn.XMATCH($E$237,FixedAssets[Asset ID])),IF(AND((_xlfn.XMATCH(AU$8,$AH$8:$CC$8))-_xlfn.XMATCH($C279,$C$35:$C$82)+1&lt;=_xlpm.DepreciationMonths,$C279&lt;=AU$8),$E279/_xlpm.DepreciationMonths,0))</f>
        <v>0</v>
      </c>
      <c r="AV279" s="507" cm="1">
        <f t="array" ref="AV279">_xlfn.LET(_xlpm.DepreciationMonths,INDEX(FixedAssets[Depreciation
/ Amortization Months],_xlfn.XMATCH($E$237,FixedAssets[Asset ID])),IF(AND((_xlfn.XMATCH(AV$8,$AH$8:$CC$8))-_xlfn.XMATCH($C279,$C$35:$C$82)+1&lt;=_xlpm.DepreciationMonths,$C279&lt;=AV$8),$E279/_xlpm.DepreciationMonths,0))</f>
        <v>0</v>
      </c>
      <c r="AW279" s="507" cm="1">
        <f t="array" ref="AW279">_xlfn.LET(_xlpm.DepreciationMonths,INDEX(FixedAssets[Depreciation
/ Amortization Months],_xlfn.XMATCH($E$237,FixedAssets[Asset ID])),IF(AND((_xlfn.XMATCH(AW$8,$AH$8:$CC$8))-_xlfn.XMATCH($C279,$C$35:$C$82)+1&lt;=_xlpm.DepreciationMonths,$C279&lt;=AW$8),$E279/_xlpm.DepreciationMonths,0))</f>
        <v>0</v>
      </c>
      <c r="AX279" s="507" cm="1">
        <f t="array" ref="AX279">_xlfn.LET(_xlpm.DepreciationMonths,INDEX(FixedAssets[Depreciation
/ Amortization Months],_xlfn.XMATCH($E$237,FixedAssets[Asset ID])),IF(AND((_xlfn.XMATCH(AX$8,$AH$8:$CC$8))-_xlfn.XMATCH($C279,$C$35:$C$82)+1&lt;=_xlpm.DepreciationMonths,$C279&lt;=AX$8),$E279/_xlpm.DepreciationMonths,0))</f>
        <v>0</v>
      </c>
      <c r="AY279" s="507" cm="1">
        <f t="array" ref="AY279">_xlfn.LET(_xlpm.DepreciationMonths,INDEX(FixedAssets[Depreciation
/ Amortization Months],_xlfn.XMATCH($E$237,FixedAssets[Asset ID])),IF(AND((_xlfn.XMATCH(AY$8,$AH$8:$CC$8))-_xlfn.XMATCH($C279,$C$35:$C$82)+1&lt;=_xlpm.DepreciationMonths,$C279&lt;=AY$8),$E279/_xlpm.DepreciationMonths,0))</f>
        <v>0</v>
      </c>
      <c r="AZ279" s="507" cm="1">
        <f t="array" ref="AZ279">_xlfn.LET(_xlpm.DepreciationMonths,INDEX(FixedAssets[Depreciation
/ Amortization Months],_xlfn.XMATCH($E$237,FixedAssets[Asset ID])),IF(AND((_xlfn.XMATCH(AZ$8,$AH$8:$CC$8))-_xlfn.XMATCH($C279,$C$35:$C$82)+1&lt;=_xlpm.DepreciationMonths,$C279&lt;=AZ$8),$E279/_xlpm.DepreciationMonths,0))</f>
        <v>0</v>
      </c>
      <c r="BA279" s="507" cm="1">
        <f t="array" ref="BA279">_xlfn.LET(_xlpm.DepreciationMonths,INDEX(FixedAssets[Depreciation
/ Amortization Months],_xlfn.XMATCH($E$237,FixedAssets[Asset ID])),IF(AND((_xlfn.XMATCH(BA$8,$AH$8:$CC$8))-_xlfn.XMATCH($C279,$C$35:$C$82)+1&lt;=_xlpm.DepreciationMonths,$C279&lt;=BA$8),$E279/_xlpm.DepreciationMonths,0))</f>
        <v>0</v>
      </c>
      <c r="BB279" s="507" cm="1">
        <f t="array" ref="BB279">_xlfn.LET(_xlpm.DepreciationMonths,INDEX(FixedAssets[Depreciation
/ Amortization Months],_xlfn.XMATCH($E$237,FixedAssets[Asset ID])),IF(AND((_xlfn.XMATCH(BB$8,$AH$8:$CC$8))-_xlfn.XMATCH($C279,$C$35:$C$82)+1&lt;=_xlpm.DepreciationMonths,$C279&lt;=BB$8),$E279/_xlpm.DepreciationMonths,0))</f>
        <v>0</v>
      </c>
      <c r="BC279" s="507" cm="1">
        <f t="array" ref="BC279">_xlfn.LET(_xlpm.DepreciationMonths,INDEX(FixedAssets[Depreciation
/ Amortization Months],_xlfn.XMATCH($E$237,FixedAssets[Asset ID])),IF(AND((_xlfn.XMATCH(BC$8,$AH$8:$CC$8))-_xlfn.XMATCH($C279,$C$35:$C$82)+1&lt;=_xlpm.DepreciationMonths,$C279&lt;=BC$8),$E279/_xlpm.DepreciationMonths,0))</f>
        <v>0</v>
      </c>
      <c r="BD279" s="507" cm="1">
        <f t="array" ref="BD279">_xlfn.LET(_xlpm.DepreciationMonths,INDEX(FixedAssets[Depreciation
/ Amortization Months],_xlfn.XMATCH($E$237,FixedAssets[Asset ID])),IF(AND((_xlfn.XMATCH(BD$8,$AH$8:$CC$8))-_xlfn.XMATCH($C279,$C$35:$C$82)+1&lt;=_xlpm.DepreciationMonths,$C279&lt;=BD$8),$E279/_xlpm.DepreciationMonths,0))</f>
        <v>0</v>
      </c>
      <c r="BE279" s="507" cm="1">
        <f t="array" ref="BE279">_xlfn.LET(_xlpm.DepreciationMonths,INDEX(FixedAssets[Depreciation
/ Amortization Months],_xlfn.XMATCH($E$237,FixedAssets[Asset ID])),IF(AND((_xlfn.XMATCH(BE$8,$AH$8:$CC$8))-_xlfn.XMATCH($C279,$C$35:$C$82)+1&lt;=_xlpm.DepreciationMonths,$C279&lt;=BE$8),$E279/_xlpm.DepreciationMonths,0))</f>
        <v>0</v>
      </c>
      <c r="BF279" s="507" cm="1">
        <f t="array" ref="BF279">_xlfn.LET(_xlpm.DepreciationMonths,INDEX(FixedAssets[Depreciation
/ Amortization Months],_xlfn.XMATCH($E$237,FixedAssets[Asset ID])),IF(AND((_xlfn.XMATCH(BF$8,$AH$8:$CC$8))-_xlfn.XMATCH($C279,$C$35:$C$82)+1&lt;=_xlpm.DepreciationMonths,$C279&lt;=BF$8),$E279/_xlpm.DepreciationMonths,0))</f>
        <v>0</v>
      </c>
      <c r="BG279" s="507" cm="1">
        <f t="array" ref="BG279">_xlfn.LET(_xlpm.DepreciationMonths,INDEX(FixedAssets[Depreciation
/ Amortization Months],_xlfn.XMATCH($E$237,FixedAssets[Asset ID])),IF(AND((_xlfn.XMATCH(BG$8,$AH$8:$CC$8))-_xlfn.XMATCH($C279,$C$35:$C$82)+1&lt;=_xlpm.DepreciationMonths,$C279&lt;=BG$8),$E279/_xlpm.DepreciationMonths,0))</f>
        <v>0</v>
      </c>
      <c r="BH279" s="507" cm="1">
        <f t="array" ref="BH279">_xlfn.LET(_xlpm.DepreciationMonths,INDEX(FixedAssets[Depreciation
/ Amortization Months],_xlfn.XMATCH($E$237,FixedAssets[Asset ID])),IF(AND((_xlfn.XMATCH(BH$8,$AH$8:$CC$8))-_xlfn.XMATCH($C279,$C$35:$C$82)+1&lt;=_xlpm.DepreciationMonths,$C279&lt;=BH$8),$E279/_xlpm.DepreciationMonths,0))</f>
        <v>0</v>
      </c>
      <c r="BI279" s="507" cm="1">
        <f t="array" ref="BI279">_xlfn.LET(_xlpm.DepreciationMonths,INDEX(FixedAssets[Depreciation
/ Amortization Months],_xlfn.XMATCH($E$237,FixedAssets[Asset ID])),IF(AND((_xlfn.XMATCH(BI$8,$AH$8:$CC$8))-_xlfn.XMATCH($C279,$C$35:$C$82)+1&lt;=_xlpm.DepreciationMonths,$C279&lt;=BI$8),$E279/_xlpm.DepreciationMonths,0))</f>
        <v>0</v>
      </c>
      <c r="BJ279" s="507" cm="1">
        <f t="array" ref="BJ279">_xlfn.LET(_xlpm.DepreciationMonths,INDEX(FixedAssets[Depreciation
/ Amortization Months],_xlfn.XMATCH($E$237,FixedAssets[Asset ID])),IF(AND((_xlfn.XMATCH(BJ$8,$AH$8:$CC$8))-_xlfn.XMATCH($C279,$C$35:$C$82)+1&lt;=_xlpm.DepreciationMonths,$C279&lt;=BJ$8),$E279/_xlpm.DepreciationMonths,0))</f>
        <v>0</v>
      </c>
      <c r="BK279" s="507" cm="1">
        <f t="array" ref="BK279">_xlfn.LET(_xlpm.DepreciationMonths,INDEX(FixedAssets[Depreciation
/ Amortization Months],_xlfn.XMATCH($E$237,FixedAssets[Asset ID])),IF(AND((_xlfn.XMATCH(BK$8,$AH$8:$CC$8))-_xlfn.XMATCH($C279,$C$35:$C$82)+1&lt;=_xlpm.DepreciationMonths,$C279&lt;=BK$8),$E279/_xlpm.DepreciationMonths,0))</f>
        <v>0</v>
      </c>
      <c r="BL279" s="507" cm="1">
        <f t="array" ref="BL279">_xlfn.LET(_xlpm.DepreciationMonths,INDEX(FixedAssets[Depreciation
/ Amortization Months],_xlfn.XMATCH($E$237,FixedAssets[Asset ID])),IF(AND((_xlfn.XMATCH(BL$8,$AH$8:$CC$8))-_xlfn.XMATCH($C279,$C$35:$C$82)+1&lt;=_xlpm.DepreciationMonths,$C279&lt;=BL$8),$E279/_xlpm.DepreciationMonths,0))</f>
        <v>0</v>
      </c>
      <c r="BM279" s="507" cm="1">
        <f t="array" ref="BM279">_xlfn.LET(_xlpm.DepreciationMonths,INDEX(FixedAssets[Depreciation
/ Amortization Months],_xlfn.XMATCH($E$237,FixedAssets[Asset ID])),IF(AND((_xlfn.XMATCH(BM$8,$AH$8:$CC$8))-_xlfn.XMATCH($C279,$C$35:$C$82)+1&lt;=_xlpm.DepreciationMonths,$C279&lt;=BM$8),$E279/_xlpm.DepreciationMonths,0))</f>
        <v>0</v>
      </c>
      <c r="BN279" s="507" cm="1">
        <f t="array" ref="BN279">_xlfn.LET(_xlpm.DepreciationMonths,INDEX(FixedAssets[Depreciation
/ Amortization Months],_xlfn.XMATCH($E$237,FixedAssets[Asset ID])),IF(AND((_xlfn.XMATCH(BN$8,$AH$8:$CC$8))-_xlfn.XMATCH($C279,$C$35:$C$82)+1&lt;=_xlpm.DepreciationMonths,$C279&lt;=BN$8),$E279/_xlpm.DepreciationMonths,0))</f>
        <v>0</v>
      </c>
      <c r="BO279" s="507" cm="1">
        <f t="array" ref="BO279">_xlfn.LET(_xlpm.DepreciationMonths,INDEX(FixedAssets[Depreciation
/ Amortization Months],_xlfn.XMATCH($E$237,FixedAssets[Asset ID])),IF(AND((_xlfn.XMATCH(BO$8,$AH$8:$CC$8))-_xlfn.XMATCH($C279,$C$35:$C$82)+1&lt;=_xlpm.DepreciationMonths,$C279&lt;=BO$8),$E279/_xlpm.DepreciationMonths,0))</f>
        <v>0</v>
      </c>
      <c r="BP279" s="507" cm="1">
        <f t="array" ref="BP279">_xlfn.LET(_xlpm.DepreciationMonths,INDEX(FixedAssets[Depreciation
/ Amortization Months],_xlfn.XMATCH($E$237,FixedAssets[Asset ID])),IF(AND((_xlfn.XMATCH(BP$8,$AH$8:$CC$8))-_xlfn.XMATCH($C279,$C$35:$C$82)+1&lt;=_xlpm.DepreciationMonths,$C279&lt;=BP$8),$E279/_xlpm.DepreciationMonths,0))</f>
        <v>0</v>
      </c>
      <c r="BQ279" s="507" cm="1">
        <f t="array" ref="BQ279">_xlfn.LET(_xlpm.DepreciationMonths,INDEX(FixedAssets[Depreciation
/ Amortization Months],_xlfn.XMATCH($E$237,FixedAssets[Asset ID])),IF(AND((_xlfn.XMATCH(BQ$8,$AH$8:$CC$8))-_xlfn.XMATCH($C279,$C$35:$C$82)+1&lt;=_xlpm.DepreciationMonths,$C279&lt;=BQ$8),$E279/_xlpm.DepreciationMonths,0))</f>
        <v>0</v>
      </c>
      <c r="BR279" s="507" cm="1">
        <f t="array" ref="BR279">_xlfn.LET(_xlpm.DepreciationMonths,INDEX(FixedAssets[Depreciation
/ Amortization Months],_xlfn.XMATCH($E$237,FixedAssets[Asset ID])),IF(AND((_xlfn.XMATCH(BR$8,$AH$8:$CC$8))-_xlfn.XMATCH($C279,$C$35:$C$82)+1&lt;=_xlpm.DepreciationMonths,$C279&lt;=BR$8),$E279/_xlpm.DepreciationMonths,0))</f>
        <v>0</v>
      </c>
      <c r="BS279" s="507" cm="1">
        <f t="array" ref="BS279">_xlfn.LET(_xlpm.DepreciationMonths,INDEX(FixedAssets[Depreciation
/ Amortization Months],_xlfn.XMATCH($E$237,FixedAssets[Asset ID])),IF(AND((_xlfn.XMATCH(BS$8,$AH$8:$CC$8))-_xlfn.XMATCH($C279,$C$35:$C$82)+1&lt;=_xlpm.DepreciationMonths,$C279&lt;=BS$8),$E279/_xlpm.DepreciationMonths,0))</f>
        <v>0</v>
      </c>
      <c r="BT279" s="507" cm="1">
        <f t="array" ref="BT279">_xlfn.LET(_xlpm.DepreciationMonths,INDEX(FixedAssets[Depreciation
/ Amortization Months],_xlfn.XMATCH($E$237,FixedAssets[Asset ID])),IF(AND((_xlfn.XMATCH(BT$8,$AH$8:$CC$8))-_xlfn.XMATCH($C279,$C$35:$C$82)+1&lt;=_xlpm.DepreciationMonths,$C279&lt;=BT$8),$E279/_xlpm.DepreciationMonths,0))</f>
        <v>0</v>
      </c>
      <c r="BU279" s="507" cm="1">
        <f t="array" ref="BU279">_xlfn.LET(_xlpm.DepreciationMonths,INDEX(FixedAssets[Depreciation
/ Amortization Months],_xlfn.XMATCH($E$237,FixedAssets[Asset ID])),IF(AND((_xlfn.XMATCH(BU$8,$AH$8:$CC$8))-_xlfn.XMATCH($C279,$C$35:$C$82)+1&lt;=_xlpm.DepreciationMonths,$C279&lt;=BU$8),$E279/_xlpm.DepreciationMonths,0))</f>
        <v>0</v>
      </c>
      <c r="BV279" s="507" cm="1">
        <f t="array" ref="BV279">_xlfn.LET(_xlpm.DepreciationMonths,INDEX(FixedAssets[Depreciation
/ Amortization Months],_xlfn.XMATCH($E$237,FixedAssets[Asset ID])),IF(AND((_xlfn.XMATCH(BV$8,$AH$8:$CC$8))-_xlfn.XMATCH($C279,$C$35:$C$82)+1&lt;=_xlpm.DepreciationMonths,$C279&lt;=BV$8),$E279/_xlpm.DepreciationMonths,0))</f>
        <v>0</v>
      </c>
      <c r="BW279" s="507" cm="1">
        <f t="array" ref="BW279">_xlfn.LET(_xlpm.DepreciationMonths,INDEX(FixedAssets[Depreciation
/ Amortization Months],_xlfn.XMATCH($E$237,FixedAssets[Asset ID])),IF(AND((_xlfn.XMATCH(BW$8,$AH$8:$CC$8))-_xlfn.XMATCH($C279,$C$35:$C$82)+1&lt;=_xlpm.DepreciationMonths,$C279&lt;=BW$8),$E279/_xlpm.DepreciationMonths,0))</f>
        <v>0</v>
      </c>
      <c r="BX279" s="507" cm="1">
        <f t="array" ref="BX279">_xlfn.LET(_xlpm.DepreciationMonths,INDEX(FixedAssets[Depreciation
/ Amortization Months],_xlfn.XMATCH($E$237,FixedAssets[Asset ID])),IF(AND((_xlfn.XMATCH(BX$8,$AH$8:$CC$8))-_xlfn.XMATCH($C279,$C$35:$C$82)+1&lt;=_xlpm.DepreciationMonths,$C279&lt;=BX$8),$E279/_xlpm.DepreciationMonths,0))</f>
        <v>0</v>
      </c>
      <c r="BY279" s="507" cm="1">
        <f t="array" ref="BY279">_xlfn.LET(_xlpm.DepreciationMonths,INDEX(FixedAssets[Depreciation
/ Amortization Months],_xlfn.XMATCH($E$237,FixedAssets[Asset ID])),IF(AND((_xlfn.XMATCH(BY$8,$AH$8:$CC$8))-_xlfn.XMATCH($C279,$C$35:$C$82)+1&lt;=_xlpm.DepreciationMonths,$C279&lt;=BY$8),$E279/_xlpm.DepreciationMonths,0))</f>
        <v>0</v>
      </c>
      <c r="BZ279" s="507" cm="1">
        <f t="array" ref="BZ279">_xlfn.LET(_xlpm.DepreciationMonths,INDEX(FixedAssets[Depreciation
/ Amortization Months],_xlfn.XMATCH($E$237,FixedAssets[Asset ID])),IF(AND((_xlfn.XMATCH(BZ$8,$AH$8:$CC$8))-_xlfn.XMATCH($C279,$C$35:$C$82)+1&lt;=_xlpm.DepreciationMonths,$C279&lt;=BZ$8),$E279/_xlpm.DepreciationMonths,0))</f>
        <v>0</v>
      </c>
      <c r="CA279" s="507" cm="1">
        <f t="array" ref="CA279">_xlfn.LET(_xlpm.DepreciationMonths,INDEX(FixedAssets[Depreciation
/ Amortization Months],_xlfn.XMATCH($E$237,FixedAssets[Asset ID])),IF(AND((_xlfn.XMATCH(CA$8,$AH$8:$CC$8))-_xlfn.XMATCH($C279,$C$35:$C$82)+1&lt;=_xlpm.DepreciationMonths,$C279&lt;=CA$8),$E279/_xlpm.DepreciationMonths,0))</f>
        <v>0</v>
      </c>
      <c r="CB279" s="507" cm="1">
        <f t="array" ref="CB279">_xlfn.LET(_xlpm.DepreciationMonths,INDEX(FixedAssets[Depreciation
/ Amortization Months],_xlfn.XMATCH($E$237,FixedAssets[Asset ID])),IF(AND((_xlfn.XMATCH(CB$8,$AH$8:$CC$8))-_xlfn.XMATCH($C279,$C$35:$C$82)+1&lt;=_xlpm.DepreciationMonths,$C279&lt;=CB$8),$E279/_xlpm.DepreciationMonths,0))</f>
        <v>0</v>
      </c>
      <c r="CC279" s="507" cm="1">
        <f t="array" ref="CC279">_xlfn.LET(_xlpm.DepreciationMonths,INDEX(FixedAssets[Depreciation
/ Amortization Months],_xlfn.XMATCH($E$237,FixedAssets[Asset ID])),IF(AND((_xlfn.XMATCH(CC$8,$AH$8:$CC$8))-_xlfn.XMATCH($C279,$C$35:$C$82)+1&lt;=_xlpm.DepreciationMonths,$C279&lt;=CC$8),$E279/_xlpm.DepreciationMonths,0))</f>
        <v>0</v>
      </c>
    </row>
    <row r="280" spans="3:81" hidden="1" outlineLevel="2">
      <c r="C280" s="664">
        <f t="shared" si="267"/>
        <v>46203</v>
      </c>
      <c r="D280" s="508"/>
      <c r="E280" s="508" cm="1">
        <f t="array" ref="E280">SUMPRODUCT(($AH$26:$CC$31)*($AH$5:$CC$5=$C280)*($E$26:$E$31=E$237))-SUMPRODUCT(($AH$26:$CC$31)*($AH$5:$CC$5=EOMONTH($C280,-1))*($E$26:$E$31=E$237))</f>
        <v>0</v>
      </c>
      <c r="F280" s="508"/>
      <c r="G280" s="508"/>
      <c r="H280" s="508"/>
      <c r="I280" s="508"/>
      <c r="J280" s="504">
        <f t="shared" si="265"/>
        <v>0</v>
      </c>
      <c r="K280" s="504">
        <f t="shared" si="265"/>
        <v>0</v>
      </c>
      <c r="L280" s="504">
        <f t="shared" si="265"/>
        <v>0</v>
      </c>
      <c r="M280" s="504">
        <f t="shared" si="265"/>
        <v>0</v>
      </c>
      <c r="N280" s="504"/>
      <c r="O280" s="504"/>
      <c r="P280" s="504">
        <f t="shared" si="271"/>
        <v>0</v>
      </c>
      <c r="Q280" s="504">
        <f t="shared" si="271"/>
        <v>0</v>
      </c>
      <c r="R280" s="504">
        <f t="shared" si="271"/>
        <v>0</v>
      </c>
      <c r="S280" s="504">
        <f t="shared" si="271"/>
        <v>0</v>
      </c>
      <c r="T280" s="504">
        <f t="shared" si="271"/>
        <v>0</v>
      </c>
      <c r="U280" s="504">
        <f t="shared" si="271"/>
        <v>0</v>
      </c>
      <c r="V280" s="504">
        <f t="shared" si="271"/>
        <v>0</v>
      </c>
      <c r="W280" s="504">
        <f t="shared" si="271"/>
        <v>0</v>
      </c>
      <c r="X280" s="504">
        <f t="shared" si="271"/>
        <v>0</v>
      </c>
      <c r="Y280" s="504">
        <f t="shared" si="271"/>
        <v>0</v>
      </c>
      <c r="Z280" s="504">
        <f t="shared" si="271"/>
        <v>0</v>
      </c>
      <c r="AA280" s="504">
        <f t="shared" si="271"/>
        <v>0</v>
      </c>
      <c r="AB280" s="504">
        <f t="shared" si="271"/>
        <v>0</v>
      </c>
      <c r="AC280" s="504">
        <f t="shared" si="271"/>
        <v>0</v>
      </c>
      <c r="AD280" s="504">
        <f t="shared" si="271"/>
        <v>0</v>
      </c>
      <c r="AE280" s="504">
        <f t="shared" si="271"/>
        <v>0</v>
      </c>
      <c r="AF280" s="508"/>
      <c r="AG280" s="508"/>
      <c r="AH280" s="507" cm="1">
        <f t="array" ref="AH280">_xlfn.LET(_xlpm.DepreciationMonths,INDEX(FixedAssets[Depreciation
/ Amortization Months],_xlfn.XMATCH($E$237,FixedAssets[Asset ID])),IF(AND((_xlfn.XMATCH(AH$8,$AH$8:$CC$8))-_xlfn.XMATCH($C280,$C$35:$C$82)+1&lt;=_xlpm.DepreciationMonths,$C280&lt;=AH$8),$E280/_xlpm.DepreciationMonths,0))</f>
        <v>0</v>
      </c>
      <c r="AI280" s="507" cm="1">
        <f t="array" ref="AI280">_xlfn.LET(_xlpm.DepreciationMonths,INDEX(FixedAssets[Depreciation
/ Amortization Months],_xlfn.XMATCH($E$237,FixedAssets[Asset ID])),IF(AND((_xlfn.XMATCH(AI$8,$AH$8:$CC$8))-_xlfn.XMATCH($C280,$C$35:$C$82)+1&lt;=_xlpm.DepreciationMonths,$C280&lt;=AI$8),$E280/_xlpm.DepreciationMonths,0))</f>
        <v>0</v>
      </c>
      <c r="AJ280" s="507" cm="1">
        <f t="array" ref="AJ280">_xlfn.LET(_xlpm.DepreciationMonths,INDEX(FixedAssets[Depreciation
/ Amortization Months],_xlfn.XMATCH($E$237,FixedAssets[Asset ID])),IF(AND((_xlfn.XMATCH(AJ$8,$AH$8:$CC$8))-_xlfn.XMATCH($C280,$C$35:$C$82)+1&lt;=_xlpm.DepreciationMonths,$C280&lt;=AJ$8),$E280/_xlpm.DepreciationMonths,0))</f>
        <v>0</v>
      </c>
      <c r="AK280" s="507" cm="1">
        <f t="array" ref="AK280">_xlfn.LET(_xlpm.DepreciationMonths,INDEX(FixedAssets[Depreciation
/ Amortization Months],_xlfn.XMATCH($E$237,FixedAssets[Asset ID])),IF(AND((_xlfn.XMATCH(AK$8,$AH$8:$CC$8))-_xlfn.XMATCH($C280,$C$35:$C$82)+1&lt;=_xlpm.DepreciationMonths,$C280&lt;=AK$8),$E280/_xlpm.DepreciationMonths,0))</f>
        <v>0</v>
      </c>
      <c r="AL280" s="507" cm="1">
        <f t="array" ref="AL280">_xlfn.LET(_xlpm.DepreciationMonths,INDEX(FixedAssets[Depreciation
/ Amortization Months],_xlfn.XMATCH($E$237,FixedAssets[Asset ID])),IF(AND((_xlfn.XMATCH(AL$8,$AH$8:$CC$8))-_xlfn.XMATCH($C280,$C$35:$C$82)+1&lt;=_xlpm.DepreciationMonths,$C280&lt;=AL$8),$E280/_xlpm.DepreciationMonths,0))</f>
        <v>0</v>
      </c>
      <c r="AM280" s="507" cm="1">
        <f t="array" ref="AM280">_xlfn.LET(_xlpm.DepreciationMonths,INDEX(FixedAssets[Depreciation
/ Amortization Months],_xlfn.XMATCH($E$237,FixedAssets[Asset ID])),IF(AND((_xlfn.XMATCH(AM$8,$AH$8:$CC$8))-_xlfn.XMATCH($C280,$C$35:$C$82)+1&lt;=_xlpm.DepreciationMonths,$C280&lt;=AM$8),$E280/_xlpm.DepreciationMonths,0))</f>
        <v>0</v>
      </c>
      <c r="AN280" s="507" cm="1">
        <f t="array" ref="AN280">_xlfn.LET(_xlpm.DepreciationMonths,INDEX(FixedAssets[Depreciation
/ Amortization Months],_xlfn.XMATCH($E$237,FixedAssets[Asset ID])),IF(AND((_xlfn.XMATCH(AN$8,$AH$8:$CC$8))-_xlfn.XMATCH($C280,$C$35:$C$82)+1&lt;=_xlpm.DepreciationMonths,$C280&lt;=AN$8),$E280/_xlpm.DepreciationMonths,0))</f>
        <v>0</v>
      </c>
      <c r="AO280" s="507" cm="1">
        <f t="array" ref="AO280">_xlfn.LET(_xlpm.DepreciationMonths,INDEX(FixedAssets[Depreciation
/ Amortization Months],_xlfn.XMATCH($E$237,FixedAssets[Asset ID])),IF(AND((_xlfn.XMATCH(AO$8,$AH$8:$CC$8))-_xlfn.XMATCH($C280,$C$35:$C$82)+1&lt;=_xlpm.DepreciationMonths,$C280&lt;=AO$8),$E280/_xlpm.DepreciationMonths,0))</f>
        <v>0</v>
      </c>
      <c r="AP280" s="507" cm="1">
        <f t="array" ref="AP280">_xlfn.LET(_xlpm.DepreciationMonths,INDEX(FixedAssets[Depreciation
/ Amortization Months],_xlfn.XMATCH($E$237,FixedAssets[Asset ID])),IF(AND((_xlfn.XMATCH(AP$8,$AH$8:$CC$8))-_xlfn.XMATCH($C280,$C$35:$C$82)+1&lt;=_xlpm.DepreciationMonths,$C280&lt;=AP$8),$E280/_xlpm.DepreciationMonths,0))</f>
        <v>0</v>
      </c>
      <c r="AQ280" s="507" cm="1">
        <f t="array" ref="AQ280">_xlfn.LET(_xlpm.DepreciationMonths,INDEX(FixedAssets[Depreciation
/ Amortization Months],_xlfn.XMATCH($E$237,FixedAssets[Asset ID])),IF(AND((_xlfn.XMATCH(AQ$8,$AH$8:$CC$8))-_xlfn.XMATCH($C280,$C$35:$C$82)+1&lt;=_xlpm.DepreciationMonths,$C280&lt;=AQ$8),$E280/_xlpm.DepreciationMonths,0))</f>
        <v>0</v>
      </c>
      <c r="AR280" s="507" cm="1">
        <f t="array" ref="AR280">_xlfn.LET(_xlpm.DepreciationMonths,INDEX(FixedAssets[Depreciation
/ Amortization Months],_xlfn.XMATCH($E$237,FixedAssets[Asset ID])),IF(AND((_xlfn.XMATCH(AR$8,$AH$8:$CC$8))-_xlfn.XMATCH($C280,$C$35:$C$82)+1&lt;=_xlpm.DepreciationMonths,$C280&lt;=AR$8),$E280/_xlpm.DepreciationMonths,0))</f>
        <v>0</v>
      </c>
      <c r="AS280" s="507" cm="1">
        <f t="array" ref="AS280">_xlfn.LET(_xlpm.DepreciationMonths,INDEX(FixedAssets[Depreciation
/ Amortization Months],_xlfn.XMATCH($E$237,FixedAssets[Asset ID])),IF(AND((_xlfn.XMATCH(AS$8,$AH$8:$CC$8))-_xlfn.XMATCH($C280,$C$35:$C$82)+1&lt;=_xlpm.DepreciationMonths,$C280&lt;=AS$8),$E280/_xlpm.DepreciationMonths,0))</f>
        <v>0</v>
      </c>
      <c r="AT280" s="507" cm="1">
        <f t="array" ref="AT280">_xlfn.LET(_xlpm.DepreciationMonths,INDEX(FixedAssets[Depreciation
/ Amortization Months],_xlfn.XMATCH($E$237,FixedAssets[Asset ID])),IF(AND((_xlfn.XMATCH(AT$8,$AH$8:$CC$8))-_xlfn.XMATCH($C280,$C$35:$C$82)+1&lt;=_xlpm.DepreciationMonths,$C280&lt;=AT$8),$E280/_xlpm.DepreciationMonths,0))</f>
        <v>0</v>
      </c>
      <c r="AU280" s="507" cm="1">
        <f t="array" ref="AU280">_xlfn.LET(_xlpm.DepreciationMonths,INDEX(FixedAssets[Depreciation
/ Amortization Months],_xlfn.XMATCH($E$237,FixedAssets[Asset ID])),IF(AND((_xlfn.XMATCH(AU$8,$AH$8:$CC$8))-_xlfn.XMATCH($C280,$C$35:$C$82)+1&lt;=_xlpm.DepreciationMonths,$C280&lt;=AU$8),$E280/_xlpm.DepreciationMonths,0))</f>
        <v>0</v>
      </c>
      <c r="AV280" s="507" cm="1">
        <f t="array" ref="AV280">_xlfn.LET(_xlpm.DepreciationMonths,INDEX(FixedAssets[Depreciation
/ Amortization Months],_xlfn.XMATCH($E$237,FixedAssets[Asset ID])),IF(AND((_xlfn.XMATCH(AV$8,$AH$8:$CC$8))-_xlfn.XMATCH($C280,$C$35:$C$82)+1&lt;=_xlpm.DepreciationMonths,$C280&lt;=AV$8),$E280/_xlpm.DepreciationMonths,0))</f>
        <v>0</v>
      </c>
      <c r="AW280" s="507" cm="1">
        <f t="array" ref="AW280">_xlfn.LET(_xlpm.DepreciationMonths,INDEX(FixedAssets[Depreciation
/ Amortization Months],_xlfn.XMATCH($E$237,FixedAssets[Asset ID])),IF(AND((_xlfn.XMATCH(AW$8,$AH$8:$CC$8))-_xlfn.XMATCH($C280,$C$35:$C$82)+1&lt;=_xlpm.DepreciationMonths,$C280&lt;=AW$8),$E280/_xlpm.DepreciationMonths,0))</f>
        <v>0</v>
      </c>
      <c r="AX280" s="507" cm="1">
        <f t="array" ref="AX280">_xlfn.LET(_xlpm.DepreciationMonths,INDEX(FixedAssets[Depreciation
/ Amortization Months],_xlfn.XMATCH($E$237,FixedAssets[Asset ID])),IF(AND((_xlfn.XMATCH(AX$8,$AH$8:$CC$8))-_xlfn.XMATCH($C280,$C$35:$C$82)+1&lt;=_xlpm.DepreciationMonths,$C280&lt;=AX$8),$E280/_xlpm.DepreciationMonths,0))</f>
        <v>0</v>
      </c>
      <c r="AY280" s="507" cm="1">
        <f t="array" ref="AY280">_xlfn.LET(_xlpm.DepreciationMonths,INDEX(FixedAssets[Depreciation
/ Amortization Months],_xlfn.XMATCH($E$237,FixedAssets[Asset ID])),IF(AND((_xlfn.XMATCH(AY$8,$AH$8:$CC$8))-_xlfn.XMATCH($C280,$C$35:$C$82)+1&lt;=_xlpm.DepreciationMonths,$C280&lt;=AY$8),$E280/_xlpm.DepreciationMonths,0))</f>
        <v>0</v>
      </c>
      <c r="AZ280" s="507" cm="1">
        <f t="array" ref="AZ280">_xlfn.LET(_xlpm.DepreciationMonths,INDEX(FixedAssets[Depreciation
/ Amortization Months],_xlfn.XMATCH($E$237,FixedAssets[Asset ID])),IF(AND((_xlfn.XMATCH(AZ$8,$AH$8:$CC$8))-_xlfn.XMATCH($C280,$C$35:$C$82)+1&lt;=_xlpm.DepreciationMonths,$C280&lt;=AZ$8),$E280/_xlpm.DepreciationMonths,0))</f>
        <v>0</v>
      </c>
      <c r="BA280" s="507" cm="1">
        <f t="array" ref="BA280">_xlfn.LET(_xlpm.DepreciationMonths,INDEX(FixedAssets[Depreciation
/ Amortization Months],_xlfn.XMATCH($E$237,FixedAssets[Asset ID])),IF(AND((_xlfn.XMATCH(BA$8,$AH$8:$CC$8))-_xlfn.XMATCH($C280,$C$35:$C$82)+1&lt;=_xlpm.DepreciationMonths,$C280&lt;=BA$8),$E280/_xlpm.DepreciationMonths,0))</f>
        <v>0</v>
      </c>
      <c r="BB280" s="507" cm="1">
        <f t="array" ref="BB280">_xlfn.LET(_xlpm.DepreciationMonths,INDEX(FixedAssets[Depreciation
/ Amortization Months],_xlfn.XMATCH($E$237,FixedAssets[Asset ID])),IF(AND((_xlfn.XMATCH(BB$8,$AH$8:$CC$8))-_xlfn.XMATCH($C280,$C$35:$C$82)+1&lt;=_xlpm.DepreciationMonths,$C280&lt;=BB$8),$E280/_xlpm.DepreciationMonths,0))</f>
        <v>0</v>
      </c>
      <c r="BC280" s="507" cm="1">
        <f t="array" ref="BC280">_xlfn.LET(_xlpm.DepreciationMonths,INDEX(FixedAssets[Depreciation
/ Amortization Months],_xlfn.XMATCH($E$237,FixedAssets[Asset ID])),IF(AND((_xlfn.XMATCH(BC$8,$AH$8:$CC$8))-_xlfn.XMATCH($C280,$C$35:$C$82)+1&lt;=_xlpm.DepreciationMonths,$C280&lt;=BC$8),$E280/_xlpm.DepreciationMonths,0))</f>
        <v>0</v>
      </c>
      <c r="BD280" s="507" cm="1">
        <f t="array" ref="BD280">_xlfn.LET(_xlpm.DepreciationMonths,INDEX(FixedAssets[Depreciation
/ Amortization Months],_xlfn.XMATCH($E$237,FixedAssets[Asset ID])),IF(AND((_xlfn.XMATCH(BD$8,$AH$8:$CC$8))-_xlfn.XMATCH($C280,$C$35:$C$82)+1&lt;=_xlpm.DepreciationMonths,$C280&lt;=BD$8),$E280/_xlpm.DepreciationMonths,0))</f>
        <v>0</v>
      </c>
      <c r="BE280" s="507" cm="1">
        <f t="array" ref="BE280">_xlfn.LET(_xlpm.DepreciationMonths,INDEX(FixedAssets[Depreciation
/ Amortization Months],_xlfn.XMATCH($E$237,FixedAssets[Asset ID])),IF(AND((_xlfn.XMATCH(BE$8,$AH$8:$CC$8))-_xlfn.XMATCH($C280,$C$35:$C$82)+1&lt;=_xlpm.DepreciationMonths,$C280&lt;=BE$8),$E280/_xlpm.DepreciationMonths,0))</f>
        <v>0</v>
      </c>
      <c r="BF280" s="507" cm="1">
        <f t="array" ref="BF280">_xlfn.LET(_xlpm.DepreciationMonths,INDEX(FixedAssets[Depreciation
/ Amortization Months],_xlfn.XMATCH($E$237,FixedAssets[Asset ID])),IF(AND((_xlfn.XMATCH(BF$8,$AH$8:$CC$8))-_xlfn.XMATCH($C280,$C$35:$C$82)+1&lt;=_xlpm.DepreciationMonths,$C280&lt;=BF$8),$E280/_xlpm.DepreciationMonths,0))</f>
        <v>0</v>
      </c>
      <c r="BG280" s="507" cm="1">
        <f t="array" ref="BG280">_xlfn.LET(_xlpm.DepreciationMonths,INDEX(FixedAssets[Depreciation
/ Amortization Months],_xlfn.XMATCH($E$237,FixedAssets[Asset ID])),IF(AND((_xlfn.XMATCH(BG$8,$AH$8:$CC$8))-_xlfn.XMATCH($C280,$C$35:$C$82)+1&lt;=_xlpm.DepreciationMonths,$C280&lt;=BG$8),$E280/_xlpm.DepreciationMonths,0))</f>
        <v>0</v>
      </c>
      <c r="BH280" s="507" cm="1">
        <f t="array" ref="BH280">_xlfn.LET(_xlpm.DepreciationMonths,INDEX(FixedAssets[Depreciation
/ Amortization Months],_xlfn.XMATCH($E$237,FixedAssets[Asset ID])),IF(AND((_xlfn.XMATCH(BH$8,$AH$8:$CC$8))-_xlfn.XMATCH($C280,$C$35:$C$82)+1&lt;=_xlpm.DepreciationMonths,$C280&lt;=BH$8),$E280/_xlpm.DepreciationMonths,0))</f>
        <v>0</v>
      </c>
      <c r="BI280" s="507" cm="1">
        <f t="array" ref="BI280">_xlfn.LET(_xlpm.DepreciationMonths,INDEX(FixedAssets[Depreciation
/ Amortization Months],_xlfn.XMATCH($E$237,FixedAssets[Asset ID])),IF(AND((_xlfn.XMATCH(BI$8,$AH$8:$CC$8))-_xlfn.XMATCH($C280,$C$35:$C$82)+1&lt;=_xlpm.DepreciationMonths,$C280&lt;=BI$8),$E280/_xlpm.DepreciationMonths,0))</f>
        <v>0</v>
      </c>
      <c r="BJ280" s="507" cm="1">
        <f t="array" ref="BJ280">_xlfn.LET(_xlpm.DepreciationMonths,INDEX(FixedAssets[Depreciation
/ Amortization Months],_xlfn.XMATCH($E$237,FixedAssets[Asset ID])),IF(AND((_xlfn.XMATCH(BJ$8,$AH$8:$CC$8))-_xlfn.XMATCH($C280,$C$35:$C$82)+1&lt;=_xlpm.DepreciationMonths,$C280&lt;=BJ$8),$E280/_xlpm.DepreciationMonths,0))</f>
        <v>0</v>
      </c>
      <c r="BK280" s="507" cm="1">
        <f t="array" ref="BK280">_xlfn.LET(_xlpm.DepreciationMonths,INDEX(FixedAssets[Depreciation
/ Amortization Months],_xlfn.XMATCH($E$237,FixedAssets[Asset ID])),IF(AND((_xlfn.XMATCH(BK$8,$AH$8:$CC$8))-_xlfn.XMATCH($C280,$C$35:$C$82)+1&lt;=_xlpm.DepreciationMonths,$C280&lt;=BK$8),$E280/_xlpm.DepreciationMonths,0))</f>
        <v>0</v>
      </c>
      <c r="BL280" s="507" cm="1">
        <f t="array" ref="BL280">_xlfn.LET(_xlpm.DepreciationMonths,INDEX(FixedAssets[Depreciation
/ Amortization Months],_xlfn.XMATCH($E$237,FixedAssets[Asset ID])),IF(AND((_xlfn.XMATCH(BL$8,$AH$8:$CC$8))-_xlfn.XMATCH($C280,$C$35:$C$82)+1&lt;=_xlpm.DepreciationMonths,$C280&lt;=BL$8),$E280/_xlpm.DepreciationMonths,0))</f>
        <v>0</v>
      </c>
      <c r="BM280" s="507" cm="1">
        <f t="array" ref="BM280">_xlfn.LET(_xlpm.DepreciationMonths,INDEX(FixedAssets[Depreciation
/ Amortization Months],_xlfn.XMATCH($E$237,FixedAssets[Asset ID])),IF(AND((_xlfn.XMATCH(BM$8,$AH$8:$CC$8))-_xlfn.XMATCH($C280,$C$35:$C$82)+1&lt;=_xlpm.DepreciationMonths,$C280&lt;=BM$8),$E280/_xlpm.DepreciationMonths,0))</f>
        <v>0</v>
      </c>
      <c r="BN280" s="507" cm="1">
        <f t="array" ref="BN280">_xlfn.LET(_xlpm.DepreciationMonths,INDEX(FixedAssets[Depreciation
/ Amortization Months],_xlfn.XMATCH($E$237,FixedAssets[Asset ID])),IF(AND((_xlfn.XMATCH(BN$8,$AH$8:$CC$8))-_xlfn.XMATCH($C280,$C$35:$C$82)+1&lt;=_xlpm.DepreciationMonths,$C280&lt;=BN$8),$E280/_xlpm.DepreciationMonths,0))</f>
        <v>0</v>
      </c>
      <c r="BO280" s="507" cm="1">
        <f t="array" ref="BO280">_xlfn.LET(_xlpm.DepreciationMonths,INDEX(FixedAssets[Depreciation
/ Amortization Months],_xlfn.XMATCH($E$237,FixedAssets[Asset ID])),IF(AND((_xlfn.XMATCH(BO$8,$AH$8:$CC$8))-_xlfn.XMATCH($C280,$C$35:$C$82)+1&lt;=_xlpm.DepreciationMonths,$C280&lt;=BO$8),$E280/_xlpm.DepreciationMonths,0))</f>
        <v>0</v>
      </c>
      <c r="BP280" s="507" cm="1">
        <f t="array" ref="BP280">_xlfn.LET(_xlpm.DepreciationMonths,INDEX(FixedAssets[Depreciation
/ Amortization Months],_xlfn.XMATCH($E$237,FixedAssets[Asset ID])),IF(AND((_xlfn.XMATCH(BP$8,$AH$8:$CC$8))-_xlfn.XMATCH($C280,$C$35:$C$82)+1&lt;=_xlpm.DepreciationMonths,$C280&lt;=BP$8),$E280/_xlpm.DepreciationMonths,0))</f>
        <v>0</v>
      </c>
      <c r="BQ280" s="507" cm="1">
        <f t="array" ref="BQ280">_xlfn.LET(_xlpm.DepreciationMonths,INDEX(FixedAssets[Depreciation
/ Amortization Months],_xlfn.XMATCH($E$237,FixedAssets[Asset ID])),IF(AND((_xlfn.XMATCH(BQ$8,$AH$8:$CC$8))-_xlfn.XMATCH($C280,$C$35:$C$82)+1&lt;=_xlpm.DepreciationMonths,$C280&lt;=BQ$8),$E280/_xlpm.DepreciationMonths,0))</f>
        <v>0</v>
      </c>
      <c r="BR280" s="507" cm="1">
        <f t="array" ref="BR280">_xlfn.LET(_xlpm.DepreciationMonths,INDEX(FixedAssets[Depreciation
/ Amortization Months],_xlfn.XMATCH($E$237,FixedAssets[Asset ID])),IF(AND((_xlfn.XMATCH(BR$8,$AH$8:$CC$8))-_xlfn.XMATCH($C280,$C$35:$C$82)+1&lt;=_xlpm.DepreciationMonths,$C280&lt;=BR$8),$E280/_xlpm.DepreciationMonths,0))</f>
        <v>0</v>
      </c>
      <c r="BS280" s="507" cm="1">
        <f t="array" ref="BS280">_xlfn.LET(_xlpm.DepreciationMonths,INDEX(FixedAssets[Depreciation
/ Amortization Months],_xlfn.XMATCH($E$237,FixedAssets[Asset ID])),IF(AND((_xlfn.XMATCH(BS$8,$AH$8:$CC$8))-_xlfn.XMATCH($C280,$C$35:$C$82)+1&lt;=_xlpm.DepreciationMonths,$C280&lt;=BS$8),$E280/_xlpm.DepreciationMonths,0))</f>
        <v>0</v>
      </c>
      <c r="BT280" s="507" cm="1">
        <f t="array" ref="BT280">_xlfn.LET(_xlpm.DepreciationMonths,INDEX(FixedAssets[Depreciation
/ Amortization Months],_xlfn.XMATCH($E$237,FixedAssets[Asset ID])),IF(AND((_xlfn.XMATCH(BT$8,$AH$8:$CC$8))-_xlfn.XMATCH($C280,$C$35:$C$82)+1&lt;=_xlpm.DepreciationMonths,$C280&lt;=BT$8),$E280/_xlpm.DepreciationMonths,0))</f>
        <v>0</v>
      </c>
      <c r="BU280" s="507" cm="1">
        <f t="array" ref="BU280">_xlfn.LET(_xlpm.DepreciationMonths,INDEX(FixedAssets[Depreciation
/ Amortization Months],_xlfn.XMATCH($E$237,FixedAssets[Asset ID])),IF(AND((_xlfn.XMATCH(BU$8,$AH$8:$CC$8))-_xlfn.XMATCH($C280,$C$35:$C$82)+1&lt;=_xlpm.DepreciationMonths,$C280&lt;=BU$8),$E280/_xlpm.DepreciationMonths,0))</f>
        <v>0</v>
      </c>
      <c r="BV280" s="507" cm="1">
        <f t="array" ref="BV280">_xlfn.LET(_xlpm.DepreciationMonths,INDEX(FixedAssets[Depreciation
/ Amortization Months],_xlfn.XMATCH($E$237,FixedAssets[Asset ID])),IF(AND((_xlfn.XMATCH(BV$8,$AH$8:$CC$8))-_xlfn.XMATCH($C280,$C$35:$C$82)+1&lt;=_xlpm.DepreciationMonths,$C280&lt;=BV$8),$E280/_xlpm.DepreciationMonths,0))</f>
        <v>0</v>
      </c>
      <c r="BW280" s="507" cm="1">
        <f t="array" ref="BW280">_xlfn.LET(_xlpm.DepreciationMonths,INDEX(FixedAssets[Depreciation
/ Amortization Months],_xlfn.XMATCH($E$237,FixedAssets[Asset ID])),IF(AND((_xlfn.XMATCH(BW$8,$AH$8:$CC$8))-_xlfn.XMATCH($C280,$C$35:$C$82)+1&lt;=_xlpm.DepreciationMonths,$C280&lt;=BW$8),$E280/_xlpm.DepreciationMonths,0))</f>
        <v>0</v>
      </c>
      <c r="BX280" s="507" cm="1">
        <f t="array" ref="BX280">_xlfn.LET(_xlpm.DepreciationMonths,INDEX(FixedAssets[Depreciation
/ Amortization Months],_xlfn.XMATCH($E$237,FixedAssets[Asset ID])),IF(AND((_xlfn.XMATCH(BX$8,$AH$8:$CC$8))-_xlfn.XMATCH($C280,$C$35:$C$82)+1&lt;=_xlpm.DepreciationMonths,$C280&lt;=BX$8),$E280/_xlpm.DepreciationMonths,0))</f>
        <v>0</v>
      </c>
      <c r="BY280" s="507" cm="1">
        <f t="array" ref="BY280">_xlfn.LET(_xlpm.DepreciationMonths,INDEX(FixedAssets[Depreciation
/ Amortization Months],_xlfn.XMATCH($E$237,FixedAssets[Asset ID])),IF(AND((_xlfn.XMATCH(BY$8,$AH$8:$CC$8))-_xlfn.XMATCH($C280,$C$35:$C$82)+1&lt;=_xlpm.DepreciationMonths,$C280&lt;=BY$8),$E280/_xlpm.DepreciationMonths,0))</f>
        <v>0</v>
      </c>
      <c r="BZ280" s="507" cm="1">
        <f t="array" ref="BZ280">_xlfn.LET(_xlpm.DepreciationMonths,INDEX(FixedAssets[Depreciation
/ Amortization Months],_xlfn.XMATCH($E$237,FixedAssets[Asset ID])),IF(AND((_xlfn.XMATCH(BZ$8,$AH$8:$CC$8))-_xlfn.XMATCH($C280,$C$35:$C$82)+1&lt;=_xlpm.DepreciationMonths,$C280&lt;=BZ$8),$E280/_xlpm.DepreciationMonths,0))</f>
        <v>0</v>
      </c>
      <c r="CA280" s="507" cm="1">
        <f t="array" ref="CA280">_xlfn.LET(_xlpm.DepreciationMonths,INDEX(FixedAssets[Depreciation
/ Amortization Months],_xlfn.XMATCH($E$237,FixedAssets[Asset ID])),IF(AND((_xlfn.XMATCH(CA$8,$AH$8:$CC$8))-_xlfn.XMATCH($C280,$C$35:$C$82)+1&lt;=_xlpm.DepreciationMonths,$C280&lt;=CA$8),$E280/_xlpm.DepreciationMonths,0))</f>
        <v>0</v>
      </c>
      <c r="CB280" s="507" cm="1">
        <f t="array" ref="CB280">_xlfn.LET(_xlpm.DepreciationMonths,INDEX(FixedAssets[Depreciation
/ Amortization Months],_xlfn.XMATCH($E$237,FixedAssets[Asset ID])),IF(AND((_xlfn.XMATCH(CB$8,$AH$8:$CC$8))-_xlfn.XMATCH($C280,$C$35:$C$82)+1&lt;=_xlpm.DepreciationMonths,$C280&lt;=CB$8),$E280/_xlpm.DepreciationMonths,0))</f>
        <v>0</v>
      </c>
      <c r="CC280" s="507" cm="1">
        <f t="array" ref="CC280">_xlfn.LET(_xlpm.DepreciationMonths,INDEX(FixedAssets[Depreciation
/ Amortization Months],_xlfn.XMATCH($E$237,FixedAssets[Asset ID])),IF(AND((_xlfn.XMATCH(CC$8,$AH$8:$CC$8))-_xlfn.XMATCH($C280,$C$35:$C$82)+1&lt;=_xlpm.DepreciationMonths,$C280&lt;=CC$8),$E280/_xlpm.DepreciationMonths,0))</f>
        <v>0</v>
      </c>
    </row>
    <row r="281" spans="3:81" hidden="1" outlineLevel="2">
      <c r="C281" s="664">
        <f t="shared" si="267"/>
        <v>46234</v>
      </c>
      <c r="D281" s="508"/>
      <c r="E281" s="508" cm="1">
        <f t="array" ref="E281">SUMPRODUCT(($AH$26:$CC$31)*($AH$5:$CC$5=$C281)*($E$26:$E$31=E$237))-SUMPRODUCT(($AH$26:$CC$31)*($AH$5:$CC$5=EOMONTH($C281,-1))*($E$26:$E$31=E$237))</f>
        <v>0</v>
      </c>
      <c r="F281" s="508"/>
      <c r="G281" s="508"/>
      <c r="H281" s="508"/>
      <c r="I281" s="508"/>
      <c r="J281" s="504">
        <f t="shared" si="265"/>
        <v>0</v>
      </c>
      <c r="K281" s="504">
        <f t="shared" si="265"/>
        <v>0</v>
      </c>
      <c r="L281" s="504">
        <f t="shared" si="265"/>
        <v>0</v>
      </c>
      <c r="M281" s="504">
        <f t="shared" si="265"/>
        <v>0</v>
      </c>
      <c r="N281" s="504"/>
      <c r="O281" s="504"/>
      <c r="P281" s="504">
        <f t="shared" si="271"/>
        <v>0</v>
      </c>
      <c r="Q281" s="504">
        <f t="shared" si="271"/>
        <v>0</v>
      </c>
      <c r="R281" s="504">
        <f t="shared" si="271"/>
        <v>0</v>
      </c>
      <c r="S281" s="504">
        <f t="shared" si="271"/>
        <v>0</v>
      </c>
      <c r="T281" s="504">
        <f t="shared" si="271"/>
        <v>0</v>
      </c>
      <c r="U281" s="504">
        <f t="shared" si="271"/>
        <v>0</v>
      </c>
      <c r="V281" s="504">
        <f t="shared" si="271"/>
        <v>0</v>
      </c>
      <c r="W281" s="504">
        <f t="shared" si="271"/>
        <v>0</v>
      </c>
      <c r="X281" s="504">
        <f t="shared" si="271"/>
        <v>0</v>
      </c>
      <c r="Y281" s="504">
        <f t="shared" si="271"/>
        <v>0</v>
      </c>
      <c r="Z281" s="504">
        <f t="shared" si="271"/>
        <v>0</v>
      </c>
      <c r="AA281" s="504">
        <f t="shared" si="271"/>
        <v>0</v>
      </c>
      <c r="AB281" s="504">
        <f t="shared" si="271"/>
        <v>0</v>
      </c>
      <c r="AC281" s="504">
        <f t="shared" si="271"/>
        <v>0</v>
      </c>
      <c r="AD281" s="504">
        <f t="shared" si="271"/>
        <v>0</v>
      </c>
      <c r="AE281" s="504">
        <f t="shared" si="271"/>
        <v>0</v>
      </c>
      <c r="AF281" s="508"/>
      <c r="AG281" s="508"/>
      <c r="AH281" s="507" cm="1">
        <f t="array" ref="AH281">_xlfn.LET(_xlpm.DepreciationMonths,INDEX(FixedAssets[Depreciation
/ Amortization Months],_xlfn.XMATCH($E$237,FixedAssets[Asset ID])),IF(AND((_xlfn.XMATCH(AH$8,$AH$8:$CC$8))-_xlfn.XMATCH($C281,$C$35:$C$82)+1&lt;=_xlpm.DepreciationMonths,$C281&lt;=AH$8),$E281/_xlpm.DepreciationMonths,0))</f>
        <v>0</v>
      </c>
      <c r="AI281" s="507" cm="1">
        <f t="array" ref="AI281">_xlfn.LET(_xlpm.DepreciationMonths,INDEX(FixedAssets[Depreciation
/ Amortization Months],_xlfn.XMATCH($E$237,FixedAssets[Asset ID])),IF(AND((_xlfn.XMATCH(AI$8,$AH$8:$CC$8))-_xlfn.XMATCH($C281,$C$35:$C$82)+1&lt;=_xlpm.DepreciationMonths,$C281&lt;=AI$8),$E281/_xlpm.DepreciationMonths,0))</f>
        <v>0</v>
      </c>
      <c r="AJ281" s="507" cm="1">
        <f t="array" ref="AJ281">_xlfn.LET(_xlpm.DepreciationMonths,INDEX(FixedAssets[Depreciation
/ Amortization Months],_xlfn.XMATCH($E$237,FixedAssets[Asset ID])),IF(AND((_xlfn.XMATCH(AJ$8,$AH$8:$CC$8))-_xlfn.XMATCH($C281,$C$35:$C$82)+1&lt;=_xlpm.DepreciationMonths,$C281&lt;=AJ$8),$E281/_xlpm.DepreciationMonths,0))</f>
        <v>0</v>
      </c>
      <c r="AK281" s="507" cm="1">
        <f t="array" ref="AK281">_xlfn.LET(_xlpm.DepreciationMonths,INDEX(FixedAssets[Depreciation
/ Amortization Months],_xlfn.XMATCH($E$237,FixedAssets[Asset ID])),IF(AND((_xlfn.XMATCH(AK$8,$AH$8:$CC$8))-_xlfn.XMATCH($C281,$C$35:$C$82)+1&lt;=_xlpm.DepreciationMonths,$C281&lt;=AK$8),$E281/_xlpm.DepreciationMonths,0))</f>
        <v>0</v>
      </c>
      <c r="AL281" s="507" cm="1">
        <f t="array" ref="AL281">_xlfn.LET(_xlpm.DepreciationMonths,INDEX(FixedAssets[Depreciation
/ Amortization Months],_xlfn.XMATCH($E$237,FixedAssets[Asset ID])),IF(AND((_xlfn.XMATCH(AL$8,$AH$8:$CC$8))-_xlfn.XMATCH($C281,$C$35:$C$82)+1&lt;=_xlpm.DepreciationMonths,$C281&lt;=AL$8),$E281/_xlpm.DepreciationMonths,0))</f>
        <v>0</v>
      </c>
      <c r="AM281" s="507" cm="1">
        <f t="array" ref="AM281">_xlfn.LET(_xlpm.DepreciationMonths,INDEX(FixedAssets[Depreciation
/ Amortization Months],_xlfn.XMATCH($E$237,FixedAssets[Asset ID])),IF(AND((_xlfn.XMATCH(AM$8,$AH$8:$CC$8))-_xlfn.XMATCH($C281,$C$35:$C$82)+1&lt;=_xlpm.DepreciationMonths,$C281&lt;=AM$8),$E281/_xlpm.DepreciationMonths,0))</f>
        <v>0</v>
      </c>
      <c r="AN281" s="507" cm="1">
        <f t="array" ref="AN281">_xlfn.LET(_xlpm.DepreciationMonths,INDEX(FixedAssets[Depreciation
/ Amortization Months],_xlfn.XMATCH($E$237,FixedAssets[Asset ID])),IF(AND((_xlfn.XMATCH(AN$8,$AH$8:$CC$8))-_xlfn.XMATCH($C281,$C$35:$C$82)+1&lt;=_xlpm.DepreciationMonths,$C281&lt;=AN$8),$E281/_xlpm.DepreciationMonths,0))</f>
        <v>0</v>
      </c>
      <c r="AO281" s="507" cm="1">
        <f t="array" ref="AO281">_xlfn.LET(_xlpm.DepreciationMonths,INDEX(FixedAssets[Depreciation
/ Amortization Months],_xlfn.XMATCH($E$237,FixedAssets[Asset ID])),IF(AND((_xlfn.XMATCH(AO$8,$AH$8:$CC$8))-_xlfn.XMATCH($C281,$C$35:$C$82)+1&lt;=_xlpm.DepreciationMonths,$C281&lt;=AO$8),$E281/_xlpm.DepreciationMonths,0))</f>
        <v>0</v>
      </c>
      <c r="AP281" s="507" cm="1">
        <f t="array" ref="AP281">_xlfn.LET(_xlpm.DepreciationMonths,INDEX(FixedAssets[Depreciation
/ Amortization Months],_xlfn.XMATCH($E$237,FixedAssets[Asset ID])),IF(AND((_xlfn.XMATCH(AP$8,$AH$8:$CC$8))-_xlfn.XMATCH($C281,$C$35:$C$82)+1&lt;=_xlpm.DepreciationMonths,$C281&lt;=AP$8),$E281/_xlpm.DepreciationMonths,0))</f>
        <v>0</v>
      </c>
      <c r="AQ281" s="507" cm="1">
        <f t="array" ref="AQ281">_xlfn.LET(_xlpm.DepreciationMonths,INDEX(FixedAssets[Depreciation
/ Amortization Months],_xlfn.XMATCH($E$237,FixedAssets[Asset ID])),IF(AND((_xlfn.XMATCH(AQ$8,$AH$8:$CC$8))-_xlfn.XMATCH($C281,$C$35:$C$82)+1&lt;=_xlpm.DepreciationMonths,$C281&lt;=AQ$8),$E281/_xlpm.DepreciationMonths,0))</f>
        <v>0</v>
      </c>
      <c r="AR281" s="507" cm="1">
        <f t="array" ref="AR281">_xlfn.LET(_xlpm.DepreciationMonths,INDEX(FixedAssets[Depreciation
/ Amortization Months],_xlfn.XMATCH($E$237,FixedAssets[Asset ID])),IF(AND((_xlfn.XMATCH(AR$8,$AH$8:$CC$8))-_xlfn.XMATCH($C281,$C$35:$C$82)+1&lt;=_xlpm.DepreciationMonths,$C281&lt;=AR$8),$E281/_xlpm.DepreciationMonths,0))</f>
        <v>0</v>
      </c>
      <c r="AS281" s="507" cm="1">
        <f t="array" ref="AS281">_xlfn.LET(_xlpm.DepreciationMonths,INDEX(FixedAssets[Depreciation
/ Amortization Months],_xlfn.XMATCH($E$237,FixedAssets[Asset ID])),IF(AND((_xlfn.XMATCH(AS$8,$AH$8:$CC$8))-_xlfn.XMATCH($C281,$C$35:$C$82)+1&lt;=_xlpm.DepreciationMonths,$C281&lt;=AS$8),$E281/_xlpm.DepreciationMonths,0))</f>
        <v>0</v>
      </c>
      <c r="AT281" s="507" cm="1">
        <f t="array" ref="AT281">_xlfn.LET(_xlpm.DepreciationMonths,INDEX(FixedAssets[Depreciation
/ Amortization Months],_xlfn.XMATCH($E$237,FixedAssets[Asset ID])),IF(AND((_xlfn.XMATCH(AT$8,$AH$8:$CC$8))-_xlfn.XMATCH($C281,$C$35:$C$82)+1&lt;=_xlpm.DepreciationMonths,$C281&lt;=AT$8),$E281/_xlpm.DepreciationMonths,0))</f>
        <v>0</v>
      </c>
      <c r="AU281" s="507" cm="1">
        <f t="array" ref="AU281">_xlfn.LET(_xlpm.DepreciationMonths,INDEX(FixedAssets[Depreciation
/ Amortization Months],_xlfn.XMATCH($E$237,FixedAssets[Asset ID])),IF(AND((_xlfn.XMATCH(AU$8,$AH$8:$CC$8))-_xlfn.XMATCH($C281,$C$35:$C$82)+1&lt;=_xlpm.DepreciationMonths,$C281&lt;=AU$8),$E281/_xlpm.DepreciationMonths,0))</f>
        <v>0</v>
      </c>
      <c r="AV281" s="507" cm="1">
        <f t="array" ref="AV281">_xlfn.LET(_xlpm.DepreciationMonths,INDEX(FixedAssets[Depreciation
/ Amortization Months],_xlfn.XMATCH($E$237,FixedAssets[Asset ID])),IF(AND((_xlfn.XMATCH(AV$8,$AH$8:$CC$8))-_xlfn.XMATCH($C281,$C$35:$C$82)+1&lt;=_xlpm.DepreciationMonths,$C281&lt;=AV$8),$E281/_xlpm.DepreciationMonths,0))</f>
        <v>0</v>
      </c>
      <c r="AW281" s="507" cm="1">
        <f t="array" ref="AW281">_xlfn.LET(_xlpm.DepreciationMonths,INDEX(FixedAssets[Depreciation
/ Amortization Months],_xlfn.XMATCH($E$237,FixedAssets[Asset ID])),IF(AND((_xlfn.XMATCH(AW$8,$AH$8:$CC$8))-_xlfn.XMATCH($C281,$C$35:$C$82)+1&lt;=_xlpm.DepreciationMonths,$C281&lt;=AW$8),$E281/_xlpm.DepreciationMonths,0))</f>
        <v>0</v>
      </c>
      <c r="AX281" s="507" cm="1">
        <f t="array" ref="AX281">_xlfn.LET(_xlpm.DepreciationMonths,INDEX(FixedAssets[Depreciation
/ Amortization Months],_xlfn.XMATCH($E$237,FixedAssets[Asset ID])),IF(AND((_xlfn.XMATCH(AX$8,$AH$8:$CC$8))-_xlfn.XMATCH($C281,$C$35:$C$82)+1&lt;=_xlpm.DepreciationMonths,$C281&lt;=AX$8),$E281/_xlpm.DepreciationMonths,0))</f>
        <v>0</v>
      </c>
      <c r="AY281" s="507" cm="1">
        <f t="array" ref="AY281">_xlfn.LET(_xlpm.DepreciationMonths,INDEX(FixedAssets[Depreciation
/ Amortization Months],_xlfn.XMATCH($E$237,FixedAssets[Asset ID])),IF(AND((_xlfn.XMATCH(AY$8,$AH$8:$CC$8))-_xlfn.XMATCH($C281,$C$35:$C$82)+1&lt;=_xlpm.DepreciationMonths,$C281&lt;=AY$8),$E281/_xlpm.DepreciationMonths,0))</f>
        <v>0</v>
      </c>
      <c r="AZ281" s="507" cm="1">
        <f t="array" ref="AZ281">_xlfn.LET(_xlpm.DepreciationMonths,INDEX(FixedAssets[Depreciation
/ Amortization Months],_xlfn.XMATCH($E$237,FixedAssets[Asset ID])),IF(AND((_xlfn.XMATCH(AZ$8,$AH$8:$CC$8))-_xlfn.XMATCH($C281,$C$35:$C$82)+1&lt;=_xlpm.DepreciationMonths,$C281&lt;=AZ$8),$E281/_xlpm.DepreciationMonths,0))</f>
        <v>0</v>
      </c>
      <c r="BA281" s="507" cm="1">
        <f t="array" ref="BA281">_xlfn.LET(_xlpm.DepreciationMonths,INDEX(FixedAssets[Depreciation
/ Amortization Months],_xlfn.XMATCH($E$237,FixedAssets[Asset ID])),IF(AND((_xlfn.XMATCH(BA$8,$AH$8:$CC$8))-_xlfn.XMATCH($C281,$C$35:$C$82)+1&lt;=_xlpm.DepreciationMonths,$C281&lt;=BA$8),$E281/_xlpm.DepreciationMonths,0))</f>
        <v>0</v>
      </c>
      <c r="BB281" s="507" cm="1">
        <f t="array" ref="BB281">_xlfn.LET(_xlpm.DepreciationMonths,INDEX(FixedAssets[Depreciation
/ Amortization Months],_xlfn.XMATCH($E$237,FixedAssets[Asset ID])),IF(AND((_xlfn.XMATCH(BB$8,$AH$8:$CC$8))-_xlfn.XMATCH($C281,$C$35:$C$82)+1&lt;=_xlpm.DepreciationMonths,$C281&lt;=BB$8),$E281/_xlpm.DepreciationMonths,0))</f>
        <v>0</v>
      </c>
      <c r="BC281" s="507" cm="1">
        <f t="array" ref="BC281">_xlfn.LET(_xlpm.DepreciationMonths,INDEX(FixedAssets[Depreciation
/ Amortization Months],_xlfn.XMATCH($E$237,FixedAssets[Asset ID])),IF(AND((_xlfn.XMATCH(BC$8,$AH$8:$CC$8))-_xlfn.XMATCH($C281,$C$35:$C$82)+1&lt;=_xlpm.DepreciationMonths,$C281&lt;=BC$8),$E281/_xlpm.DepreciationMonths,0))</f>
        <v>0</v>
      </c>
      <c r="BD281" s="507" cm="1">
        <f t="array" ref="BD281">_xlfn.LET(_xlpm.DepreciationMonths,INDEX(FixedAssets[Depreciation
/ Amortization Months],_xlfn.XMATCH($E$237,FixedAssets[Asset ID])),IF(AND((_xlfn.XMATCH(BD$8,$AH$8:$CC$8))-_xlfn.XMATCH($C281,$C$35:$C$82)+1&lt;=_xlpm.DepreciationMonths,$C281&lt;=BD$8),$E281/_xlpm.DepreciationMonths,0))</f>
        <v>0</v>
      </c>
      <c r="BE281" s="507" cm="1">
        <f t="array" ref="BE281">_xlfn.LET(_xlpm.DepreciationMonths,INDEX(FixedAssets[Depreciation
/ Amortization Months],_xlfn.XMATCH($E$237,FixedAssets[Asset ID])),IF(AND((_xlfn.XMATCH(BE$8,$AH$8:$CC$8))-_xlfn.XMATCH($C281,$C$35:$C$82)+1&lt;=_xlpm.DepreciationMonths,$C281&lt;=BE$8),$E281/_xlpm.DepreciationMonths,0))</f>
        <v>0</v>
      </c>
      <c r="BF281" s="507" cm="1">
        <f t="array" ref="BF281">_xlfn.LET(_xlpm.DepreciationMonths,INDEX(FixedAssets[Depreciation
/ Amortization Months],_xlfn.XMATCH($E$237,FixedAssets[Asset ID])),IF(AND((_xlfn.XMATCH(BF$8,$AH$8:$CC$8))-_xlfn.XMATCH($C281,$C$35:$C$82)+1&lt;=_xlpm.DepreciationMonths,$C281&lt;=BF$8),$E281/_xlpm.DepreciationMonths,0))</f>
        <v>0</v>
      </c>
      <c r="BG281" s="507" cm="1">
        <f t="array" ref="BG281">_xlfn.LET(_xlpm.DepreciationMonths,INDEX(FixedAssets[Depreciation
/ Amortization Months],_xlfn.XMATCH($E$237,FixedAssets[Asset ID])),IF(AND((_xlfn.XMATCH(BG$8,$AH$8:$CC$8))-_xlfn.XMATCH($C281,$C$35:$C$82)+1&lt;=_xlpm.DepreciationMonths,$C281&lt;=BG$8),$E281/_xlpm.DepreciationMonths,0))</f>
        <v>0</v>
      </c>
      <c r="BH281" s="507" cm="1">
        <f t="array" ref="BH281">_xlfn.LET(_xlpm.DepreciationMonths,INDEX(FixedAssets[Depreciation
/ Amortization Months],_xlfn.XMATCH($E$237,FixedAssets[Asset ID])),IF(AND((_xlfn.XMATCH(BH$8,$AH$8:$CC$8))-_xlfn.XMATCH($C281,$C$35:$C$82)+1&lt;=_xlpm.DepreciationMonths,$C281&lt;=BH$8),$E281/_xlpm.DepreciationMonths,0))</f>
        <v>0</v>
      </c>
      <c r="BI281" s="507" cm="1">
        <f t="array" ref="BI281">_xlfn.LET(_xlpm.DepreciationMonths,INDEX(FixedAssets[Depreciation
/ Amortization Months],_xlfn.XMATCH($E$237,FixedAssets[Asset ID])),IF(AND((_xlfn.XMATCH(BI$8,$AH$8:$CC$8))-_xlfn.XMATCH($C281,$C$35:$C$82)+1&lt;=_xlpm.DepreciationMonths,$C281&lt;=BI$8),$E281/_xlpm.DepreciationMonths,0))</f>
        <v>0</v>
      </c>
      <c r="BJ281" s="507" cm="1">
        <f t="array" ref="BJ281">_xlfn.LET(_xlpm.DepreciationMonths,INDEX(FixedAssets[Depreciation
/ Amortization Months],_xlfn.XMATCH($E$237,FixedAssets[Asset ID])),IF(AND((_xlfn.XMATCH(BJ$8,$AH$8:$CC$8))-_xlfn.XMATCH($C281,$C$35:$C$82)+1&lt;=_xlpm.DepreciationMonths,$C281&lt;=BJ$8),$E281/_xlpm.DepreciationMonths,0))</f>
        <v>0</v>
      </c>
      <c r="BK281" s="507" cm="1">
        <f t="array" ref="BK281">_xlfn.LET(_xlpm.DepreciationMonths,INDEX(FixedAssets[Depreciation
/ Amortization Months],_xlfn.XMATCH($E$237,FixedAssets[Asset ID])),IF(AND((_xlfn.XMATCH(BK$8,$AH$8:$CC$8))-_xlfn.XMATCH($C281,$C$35:$C$82)+1&lt;=_xlpm.DepreciationMonths,$C281&lt;=BK$8),$E281/_xlpm.DepreciationMonths,0))</f>
        <v>0</v>
      </c>
      <c r="BL281" s="507" cm="1">
        <f t="array" ref="BL281">_xlfn.LET(_xlpm.DepreciationMonths,INDEX(FixedAssets[Depreciation
/ Amortization Months],_xlfn.XMATCH($E$237,FixedAssets[Asset ID])),IF(AND((_xlfn.XMATCH(BL$8,$AH$8:$CC$8))-_xlfn.XMATCH($C281,$C$35:$C$82)+1&lt;=_xlpm.DepreciationMonths,$C281&lt;=BL$8),$E281/_xlpm.DepreciationMonths,0))</f>
        <v>0</v>
      </c>
      <c r="BM281" s="507" cm="1">
        <f t="array" ref="BM281">_xlfn.LET(_xlpm.DepreciationMonths,INDEX(FixedAssets[Depreciation
/ Amortization Months],_xlfn.XMATCH($E$237,FixedAssets[Asset ID])),IF(AND((_xlfn.XMATCH(BM$8,$AH$8:$CC$8))-_xlfn.XMATCH($C281,$C$35:$C$82)+1&lt;=_xlpm.DepreciationMonths,$C281&lt;=BM$8),$E281/_xlpm.DepreciationMonths,0))</f>
        <v>0</v>
      </c>
      <c r="BN281" s="507" cm="1">
        <f t="array" ref="BN281">_xlfn.LET(_xlpm.DepreciationMonths,INDEX(FixedAssets[Depreciation
/ Amortization Months],_xlfn.XMATCH($E$237,FixedAssets[Asset ID])),IF(AND((_xlfn.XMATCH(BN$8,$AH$8:$CC$8))-_xlfn.XMATCH($C281,$C$35:$C$82)+1&lt;=_xlpm.DepreciationMonths,$C281&lt;=BN$8),$E281/_xlpm.DepreciationMonths,0))</f>
        <v>0</v>
      </c>
      <c r="BO281" s="507" cm="1">
        <f t="array" ref="BO281">_xlfn.LET(_xlpm.DepreciationMonths,INDEX(FixedAssets[Depreciation
/ Amortization Months],_xlfn.XMATCH($E$237,FixedAssets[Asset ID])),IF(AND((_xlfn.XMATCH(BO$8,$AH$8:$CC$8))-_xlfn.XMATCH($C281,$C$35:$C$82)+1&lt;=_xlpm.DepreciationMonths,$C281&lt;=BO$8),$E281/_xlpm.DepreciationMonths,0))</f>
        <v>0</v>
      </c>
      <c r="BP281" s="507" cm="1">
        <f t="array" ref="BP281">_xlfn.LET(_xlpm.DepreciationMonths,INDEX(FixedAssets[Depreciation
/ Amortization Months],_xlfn.XMATCH($E$237,FixedAssets[Asset ID])),IF(AND((_xlfn.XMATCH(BP$8,$AH$8:$CC$8))-_xlfn.XMATCH($C281,$C$35:$C$82)+1&lt;=_xlpm.DepreciationMonths,$C281&lt;=BP$8),$E281/_xlpm.DepreciationMonths,0))</f>
        <v>0</v>
      </c>
      <c r="BQ281" s="507" cm="1">
        <f t="array" ref="BQ281">_xlfn.LET(_xlpm.DepreciationMonths,INDEX(FixedAssets[Depreciation
/ Amortization Months],_xlfn.XMATCH($E$237,FixedAssets[Asset ID])),IF(AND((_xlfn.XMATCH(BQ$8,$AH$8:$CC$8))-_xlfn.XMATCH($C281,$C$35:$C$82)+1&lt;=_xlpm.DepreciationMonths,$C281&lt;=BQ$8),$E281/_xlpm.DepreciationMonths,0))</f>
        <v>0</v>
      </c>
      <c r="BR281" s="507" cm="1">
        <f t="array" ref="BR281">_xlfn.LET(_xlpm.DepreciationMonths,INDEX(FixedAssets[Depreciation
/ Amortization Months],_xlfn.XMATCH($E$237,FixedAssets[Asset ID])),IF(AND((_xlfn.XMATCH(BR$8,$AH$8:$CC$8))-_xlfn.XMATCH($C281,$C$35:$C$82)+1&lt;=_xlpm.DepreciationMonths,$C281&lt;=BR$8),$E281/_xlpm.DepreciationMonths,0))</f>
        <v>0</v>
      </c>
      <c r="BS281" s="507" cm="1">
        <f t="array" ref="BS281">_xlfn.LET(_xlpm.DepreciationMonths,INDEX(FixedAssets[Depreciation
/ Amortization Months],_xlfn.XMATCH($E$237,FixedAssets[Asset ID])),IF(AND((_xlfn.XMATCH(BS$8,$AH$8:$CC$8))-_xlfn.XMATCH($C281,$C$35:$C$82)+1&lt;=_xlpm.DepreciationMonths,$C281&lt;=BS$8),$E281/_xlpm.DepreciationMonths,0))</f>
        <v>0</v>
      </c>
      <c r="BT281" s="507" cm="1">
        <f t="array" ref="BT281">_xlfn.LET(_xlpm.DepreciationMonths,INDEX(FixedAssets[Depreciation
/ Amortization Months],_xlfn.XMATCH($E$237,FixedAssets[Asset ID])),IF(AND((_xlfn.XMATCH(BT$8,$AH$8:$CC$8))-_xlfn.XMATCH($C281,$C$35:$C$82)+1&lt;=_xlpm.DepreciationMonths,$C281&lt;=BT$8),$E281/_xlpm.DepreciationMonths,0))</f>
        <v>0</v>
      </c>
      <c r="BU281" s="507" cm="1">
        <f t="array" ref="BU281">_xlfn.LET(_xlpm.DepreciationMonths,INDEX(FixedAssets[Depreciation
/ Amortization Months],_xlfn.XMATCH($E$237,FixedAssets[Asset ID])),IF(AND((_xlfn.XMATCH(BU$8,$AH$8:$CC$8))-_xlfn.XMATCH($C281,$C$35:$C$82)+1&lt;=_xlpm.DepreciationMonths,$C281&lt;=BU$8),$E281/_xlpm.DepreciationMonths,0))</f>
        <v>0</v>
      </c>
      <c r="BV281" s="507" cm="1">
        <f t="array" ref="BV281">_xlfn.LET(_xlpm.DepreciationMonths,INDEX(FixedAssets[Depreciation
/ Amortization Months],_xlfn.XMATCH($E$237,FixedAssets[Asset ID])),IF(AND((_xlfn.XMATCH(BV$8,$AH$8:$CC$8))-_xlfn.XMATCH($C281,$C$35:$C$82)+1&lt;=_xlpm.DepreciationMonths,$C281&lt;=BV$8),$E281/_xlpm.DepreciationMonths,0))</f>
        <v>0</v>
      </c>
      <c r="BW281" s="507" cm="1">
        <f t="array" ref="BW281">_xlfn.LET(_xlpm.DepreciationMonths,INDEX(FixedAssets[Depreciation
/ Amortization Months],_xlfn.XMATCH($E$237,FixedAssets[Asset ID])),IF(AND((_xlfn.XMATCH(BW$8,$AH$8:$CC$8))-_xlfn.XMATCH($C281,$C$35:$C$82)+1&lt;=_xlpm.DepreciationMonths,$C281&lt;=BW$8),$E281/_xlpm.DepreciationMonths,0))</f>
        <v>0</v>
      </c>
      <c r="BX281" s="507" cm="1">
        <f t="array" ref="BX281">_xlfn.LET(_xlpm.DepreciationMonths,INDEX(FixedAssets[Depreciation
/ Amortization Months],_xlfn.XMATCH($E$237,FixedAssets[Asset ID])),IF(AND((_xlfn.XMATCH(BX$8,$AH$8:$CC$8))-_xlfn.XMATCH($C281,$C$35:$C$82)+1&lt;=_xlpm.DepreciationMonths,$C281&lt;=BX$8),$E281/_xlpm.DepreciationMonths,0))</f>
        <v>0</v>
      </c>
      <c r="BY281" s="507" cm="1">
        <f t="array" ref="BY281">_xlfn.LET(_xlpm.DepreciationMonths,INDEX(FixedAssets[Depreciation
/ Amortization Months],_xlfn.XMATCH($E$237,FixedAssets[Asset ID])),IF(AND((_xlfn.XMATCH(BY$8,$AH$8:$CC$8))-_xlfn.XMATCH($C281,$C$35:$C$82)+1&lt;=_xlpm.DepreciationMonths,$C281&lt;=BY$8),$E281/_xlpm.DepreciationMonths,0))</f>
        <v>0</v>
      </c>
      <c r="BZ281" s="507" cm="1">
        <f t="array" ref="BZ281">_xlfn.LET(_xlpm.DepreciationMonths,INDEX(FixedAssets[Depreciation
/ Amortization Months],_xlfn.XMATCH($E$237,FixedAssets[Asset ID])),IF(AND((_xlfn.XMATCH(BZ$8,$AH$8:$CC$8))-_xlfn.XMATCH($C281,$C$35:$C$82)+1&lt;=_xlpm.DepreciationMonths,$C281&lt;=BZ$8),$E281/_xlpm.DepreciationMonths,0))</f>
        <v>0</v>
      </c>
      <c r="CA281" s="507" cm="1">
        <f t="array" ref="CA281">_xlfn.LET(_xlpm.DepreciationMonths,INDEX(FixedAssets[Depreciation
/ Amortization Months],_xlfn.XMATCH($E$237,FixedAssets[Asset ID])),IF(AND((_xlfn.XMATCH(CA$8,$AH$8:$CC$8))-_xlfn.XMATCH($C281,$C$35:$C$82)+1&lt;=_xlpm.DepreciationMonths,$C281&lt;=CA$8),$E281/_xlpm.DepreciationMonths,0))</f>
        <v>0</v>
      </c>
      <c r="CB281" s="507" cm="1">
        <f t="array" ref="CB281">_xlfn.LET(_xlpm.DepreciationMonths,INDEX(FixedAssets[Depreciation
/ Amortization Months],_xlfn.XMATCH($E$237,FixedAssets[Asset ID])),IF(AND((_xlfn.XMATCH(CB$8,$AH$8:$CC$8))-_xlfn.XMATCH($C281,$C$35:$C$82)+1&lt;=_xlpm.DepreciationMonths,$C281&lt;=CB$8),$E281/_xlpm.DepreciationMonths,0))</f>
        <v>0</v>
      </c>
      <c r="CC281" s="507" cm="1">
        <f t="array" ref="CC281">_xlfn.LET(_xlpm.DepreciationMonths,INDEX(FixedAssets[Depreciation
/ Amortization Months],_xlfn.XMATCH($E$237,FixedAssets[Asset ID])),IF(AND((_xlfn.XMATCH(CC$8,$AH$8:$CC$8))-_xlfn.XMATCH($C281,$C$35:$C$82)+1&lt;=_xlpm.DepreciationMonths,$C281&lt;=CC$8),$E281/_xlpm.DepreciationMonths,0))</f>
        <v>0</v>
      </c>
    </row>
    <row r="282" spans="3:81" hidden="1" outlineLevel="2">
      <c r="C282" s="664">
        <f t="shared" si="267"/>
        <v>46265</v>
      </c>
      <c r="D282" s="508"/>
      <c r="E282" s="508" cm="1">
        <f t="array" ref="E282">SUMPRODUCT(($AH$26:$CC$31)*($AH$5:$CC$5=$C282)*($E$26:$E$31=E$237))-SUMPRODUCT(($AH$26:$CC$31)*($AH$5:$CC$5=EOMONTH($C282,-1))*($E$26:$E$31=E$237))</f>
        <v>0</v>
      </c>
      <c r="F282" s="508"/>
      <c r="G282" s="508"/>
      <c r="H282" s="508"/>
      <c r="I282" s="508"/>
      <c r="J282" s="504">
        <f t="shared" si="265"/>
        <v>0</v>
      </c>
      <c r="K282" s="504">
        <f t="shared" si="265"/>
        <v>0</v>
      </c>
      <c r="L282" s="504">
        <f t="shared" si="265"/>
        <v>0</v>
      </c>
      <c r="M282" s="504">
        <f t="shared" si="265"/>
        <v>0</v>
      </c>
      <c r="N282" s="504"/>
      <c r="O282" s="504"/>
      <c r="P282" s="504">
        <f t="shared" si="271"/>
        <v>0</v>
      </c>
      <c r="Q282" s="504">
        <f t="shared" si="271"/>
        <v>0</v>
      </c>
      <c r="R282" s="504">
        <f t="shared" si="271"/>
        <v>0</v>
      </c>
      <c r="S282" s="504">
        <f t="shared" si="271"/>
        <v>0</v>
      </c>
      <c r="T282" s="504">
        <f t="shared" si="271"/>
        <v>0</v>
      </c>
      <c r="U282" s="504">
        <f t="shared" si="271"/>
        <v>0</v>
      </c>
      <c r="V282" s="504">
        <f t="shared" si="271"/>
        <v>0</v>
      </c>
      <c r="W282" s="504">
        <f t="shared" si="271"/>
        <v>0</v>
      </c>
      <c r="X282" s="504">
        <f t="shared" si="271"/>
        <v>0</v>
      </c>
      <c r="Y282" s="504">
        <f t="shared" si="271"/>
        <v>0</v>
      </c>
      <c r="Z282" s="504">
        <f t="shared" si="271"/>
        <v>0</v>
      </c>
      <c r="AA282" s="504">
        <f t="shared" si="271"/>
        <v>0</v>
      </c>
      <c r="AB282" s="504">
        <f t="shared" si="271"/>
        <v>0</v>
      </c>
      <c r="AC282" s="504">
        <f t="shared" si="271"/>
        <v>0</v>
      </c>
      <c r="AD282" s="504">
        <f t="shared" si="271"/>
        <v>0</v>
      </c>
      <c r="AE282" s="504">
        <f t="shared" si="271"/>
        <v>0</v>
      </c>
      <c r="AF282" s="508"/>
      <c r="AG282" s="508"/>
      <c r="AH282" s="507" cm="1">
        <f t="array" ref="AH282">_xlfn.LET(_xlpm.DepreciationMonths,INDEX(FixedAssets[Depreciation
/ Amortization Months],_xlfn.XMATCH($E$237,FixedAssets[Asset ID])),IF(AND((_xlfn.XMATCH(AH$8,$AH$8:$CC$8))-_xlfn.XMATCH($C282,$C$35:$C$82)+1&lt;=_xlpm.DepreciationMonths,$C282&lt;=AH$8),$E282/_xlpm.DepreciationMonths,0))</f>
        <v>0</v>
      </c>
      <c r="AI282" s="507" cm="1">
        <f t="array" ref="AI282">_xlfn.LET(_xlpm.DepreciationMonths,INDEX(FixedAssets[Depreciation
/ Amortization Months],_xlfn.XMATCH($E$237,FixedAssets[Asset ID])),IF(AND((_xlfn.XMATCH(AI$8,$AH$8:$CC$8))-_xlfn.XMATCH($C282,$C$35:$C$82)+1&lt;=_xlpm.DepreciationMonths,$C282&lt;=AI$8),$E282/_xlpm.DepreciationMonths,0))</f>
        <v>0</v>
      </c>
      <c r="AJ282" s="507" cm="1">
        <f t="array" ref="AJ282">_xlfn.LET(_xlpm.DepreciationMonths,INDEX(FixedAssets[Depreciation
/ Amortization Months],_xlfn.XMATCH($E$237,FixedAssets[Asset ID])),IF(AND((_xlfn.XMATCH(AJ$8,$AH$8:$CC$8))-_xlfn.XMATCH($C282,$C$35:$C$82)+1&lt;=_xlpm.DepreciationMonths,$C282&lt;=AJ$8),$E282/_xlpm.DepreciationMonths,0))</f>
        <v>0</v>
      </c>
      <c r="AK282" s="507" cm="1">
        <f t="array" ref="AK282">_xlfn.LET(_xlpm.DepreciationMonths,INDEX(FixedAssets[Depreciation
/ Amortization Months],_xlfn.XMATCH($E$237,FixedAssets[Asset ID])),IF(AND((_xlfn.XMATCH(AK$8,$AH$8:$CC$8))-_xlfn.XMATCH($C282,$C$35:$C$82)+1&lt;=_xlpm.DepreciationMonths,$C282&lt;=AK$8),$E282/_xlpm.DepreciationMonths,0))</f>
        <v>0</v>
      </c>
      <c r="AL282" s="507" cm="1">
        <f t="array" ref="AL282">_xlfn.LET(_xlpm.DepreciationMonths,INDEX(FixedAssets[Depreciation
/ Amortization Months],_xlfn.XMATCH($E$237,FixedAssets[Asset ID])),IF(AND((_xlfn.XMATCH(AL$8,$AH$8:$CC$8))-_xlfn.XMATCH($C282,$C$35:$C$82)+1&lt;=_xlpm.DepreciationMonths,$C282&lt;=AL$8),$E282/_xlpm.DepreciationMonths,0))</f>
        <v>0</v>
      </c>
      <c r="AM282" s="507" cm="1">
        <f t="array" ref="AM282">_xlfn.LET(_xlpm.DepreciationMonths,INDEX(FixedAssets[Depreciation
/ Amortization Months],_xlfn.XMATCH($E$237,FixedAssets[Asset ID])),IF(AND((_xlfn.XMATCH(AM$8,$AH$8:$CC$8))-_xlfn.XMATCH($C282,$C$35:$C$82)+1&lt;=_xlpm.DepreciationMonths,$C282&lt;=AM$8),$E282/_xlpm.DepreciationMonths,0))</f>
        <v>0</v>
      </c>
      <c r="AN282" s="507" cm="1">
        <f t="array" ref="AN282">_xlfn.LET(_xlpm.DepreciationMonths,INDEX(FixedAssets[Depreciation
/ Amortization Months],_xlfn.XMATCH($E$237,FixedAssets[Asset ID])),IF(AND((_xlfn.XMATCH(AN$8,$AH$8:$CC$8))-_xlfn.XMATCH($C282,$C$35:$C$82)+1&lt;=_xlpm.DepreciationMonths,$C282&lt;=AN$8),$E282/_xlpm.DepreciationMonths,0))</f>
        <v>0</v>
      </c>
      <c r="AO282" s="507" cm="1">
        <f t="array" ref="AO282">_xlfn.LET(_xlpm.DepreciationMonths,INDEX(FixedAssets[Depreciation
/ Amortization Months],_xlfn.XMATCH($E$237,FixedAssets[Asset ID])),IF(AND((_xlfn.XMATCH(AO$8,$AH$8:$CC$8))-_xlfn.XMATCH($C282,$C$35:$C$82)+1&lt;=_xlpm.DepreciationMonths,$C282&lt;=AO$8),$E282/_xlpm.DepreciationMonths,0))</f>
        <v>0</v>
      </c>
      <c r="AP282" s="507" cm="1">
        <f t="array" ref="AP282">_xlfn.LET(_xlpm.DepreciationMonths,INDEX(FixedAssets[Depreciation
/ Amortization Months],_xlfn.XMATCH($E$237,FixedAssets[Asset ID])),IF(AND((_xlfn.XMATCH(AP$8,$AH$8:$CC$8))-_xlfn.XMATCH($C282,$C$35:$C$82)+1&lt;=_xlpm.DepreciationMonths,$C282&lt;=AP$8),$E282/_xlpm.DepreciationMonths,0))</f>
        <v>0</v>
      </c>
      <c r="AQ282" s="507" cm="1">
        <f t="array" ref="AQ282">_xlfn.LET(_xlpm.DepreciationMonths,INDEX(FixedAssets[Depreciation
/ Amortization Months],_xlfn.XMATCH($E$237,FixedAssets[Asset ID])),IF(AND((_xlfn.XMATCH(AQ$8,$AH$8:$CC$8))-_xlfn.XMATCH($C282,$C$35:$C$82)+1&lt;=_xlpm.DepreciationMonths,$C282&lt;=AQ$8),$E282/_xlpm.DepreciationMonths,0))</f>
        <v>0</v>
      </c>
      <c r="AR282" s="507" cm="1">
        <f t="array" ref="AR282">_xlfn.LET(_xlpm.DepreciationMonths,INDEX(FixedAssets[Depreciation
/ Amortization Months],_xlfn.XMATCH($E$237,FixedAssets[Asset ID])),IF(AND((_xlfn.XMATCH(AR$8,$AH$8:$CC$8))-_xlfn.XMATCH($C282,$C$35:$C$82)+1&lt;=_xlpm.DepreciationMonths,$C282&lt;=AR$8),$E282/_xlpm.DepreciationMonths,0))</f>
        <v>0</v>
      </c>
      <c r="AS282" s="507" cm="1">
        <f t="array" ref="AS282">_xlfn.LET(_xlpm.DepreciationMonths,INDEX(FixedAssets[Depreciation
/ Amortization Months],_xlfn.XMATCH($E$237,FixedAssets[Asset ID])),IF(AND((_xlfn.XMATCH(AS$8,$AH$8:$CC$8))-_xlfn.XMATCH($C282,$C$35:$C$82)+1&lt;=_xlpm.DepreciationMonths,$C282&lt;=AS$8),$E282/_xlpm.DepreciationMonths,0))</f>
        <v>0</v>
      </c>
      <c r="AT282" s="507" cm="1">
        <f t="array" ref="AT282">_xlfn.LET(_xlpm.DepreciationMonths,INDEX(FixedAssets[Depreciation
/ Amortization Months],_xlfn.XMATCH($E$237,FixedAssets[Asset ID])),IF(AND((_xlfn.XMATCH(AT$8,$AH$8:$CC$8))-_xlfn.XMATCH($C282,$C$35:$C$82)+1&lt;=_xlpm.DepreciationMonths,$C282&lt;=AT$8),$E282/_xlpm.DepreciationMonths,0))</f>
        <v>0</v>
      </c>
      <c r="AU282" s="507" cm="1">
        <f t="array" ref="AU282">_xlfn.LET(_xlpm.DepreciationMonths,INDEX(FixedAssets[Depreciation
/ Amortization Months],_xlfn.XMATCH($E$237,FixedAssets[Asset ID])),IF(AND((_xlfn.XMATCH(AU$8,$AH$8:$CC$8))-_xlfn.XMATCH($C282,$C$35:$C$82)+1&lt;=_xlpm.DepreciationMonths,$C282&lt;=AU$8),$E282/_xlpm.DepreciationMonths,0))</f>
        <v>0</v>
      </c>
      <c r="AV282" s="507" cm="1">
        <f t="array" ref="AV282">_xlfn.LET(_xlpm.DepreciationMonths,INDEX(FixedAssets[Depreciation
/ Amortization Months],_xlfn.XMATCH($E$237,FixedAssets[Asset ID])),IF(AND((_xlfn.XMATCH(AV$8,$AH$8:$CC$8))-_xlfn.XMATCH($C282,$C$35:$C$82)+1&lt;=_xlpm.DepreciationMonths,$C282&lt;=AV$8),$E282/_xlpm.DepreciationMonths,0))</f>
        <v>0</v>
      </c>
      <c r="AW282" s="507" cm="1">
        <f t="array" ref="AW282">_xlfn.LET(_xlpm.DepreciationMonths,INDEX(FixedAssets[Depreciation
/ Amortization Months],_xlfn.XMATCH($E$237,FixedAssets[Asset ID])),IF(AND((_xlfn.XMATCH(AW$8,$AH$8:$CC$8))-_xlfn.XMATCH($C282,$C$35:$C$82)+1&lt;=_xlpm.DepreciationMonths,$C282&lt;=AW$8),$E282/_xlpm.DepreciationMonths,0))</f>
        <v>0</v>
      </c>
      <c r="AX282" s="507" cm="1">
        <f t="array" ref="AX282">_xlfn.LET(_xlpm.DepreciationMonths,INDEX(FixedAssets[Depreciation
/ Amortization Months],_xlfn.XMATCH($E$237,FixedAssets[Asset ID])),IF(AND((_xlfn.XMATCH(AX$8,$AH$8:$CC$8))-_xlfn.XMATCH($C282,$C$35:$C$82)+1&lt;=_xlpm.DepreciationMonths,$C282&lt;=AX$8),$E282/_xlpm.DepreciationMonths,0))</f>
        <v>0</v>
      </c>
      <c r="AY282" s="507" cm="1">
        <f t="array" ref="AY282">_xlfn.LET(_xlpm.DepreciationMonths,INDEX(FixedAssets[Depreciation
/ Amortization Months],_xlfn.XMATCH($E$237,FixedAssets[Asset ID])),IF(AND((_xlfn.XMATCH(AY$8,$AH$8:$CC$8))-_xlfn.XMATCH($C282,$C$35:$C$82)+1&lt;=_xlpm.DepreciationMonths,$C282&lt;=AY$8),$E282/_xlpm.DepreciationMonths,0))</f>
        <v>0</v>
      </c>
      <c r="AZ282" s="507" cm="1">
        <f t="array" ref="AZ282">_xlfn.LET(_xlpm.DepreciationMonths,INDEX(FixedAssets[Depreciation
/ Amortization Months],_xlfn.XMATCH($E$237,FixedAssets[Asset ID])),IF(AND((_xlfn.XMATCH(AZ$8,$AH$8:$CC$8))-_xlfn.XMATCH($C282,$C$35:$C$82)+1&lt;=_xlpm.DepreciationMonths,$C282&lt;=AZ$8),$E282/_xlpm.DepreciationMonths,0))</f>
        <v>0</v>
      </c>
      <c r="BA282" s="507" cm="1">
        <f t="array" ref="BA282">_xlfn.LET(_xlpm.DepreciationMonths,INDEX(FixedAssets[Depreciation
/ Amortization Months],_xlfn.XMATCH($E$237,FixedAssets[Asset ID])),IF(AND((_xlfn.XMATCH(BA$8,$AH$8:$CC$8))-_xlfn.XMATCH($C282,$C$35:$C$82)+1&lt;=_xlpm.DepreciationMonths,$C282&lt;=BA$8),$E282/_xlpm.DepreciationMonths,0))</f>
        <v>0</v>
      </c>
      <c r="BB282" s="507" cm="1">
        <f t="array" ref="BB282">_xlfn.LET(_xlpm.DepreciationMonths,INDEX(FixedAssets[Depreciation
/ Amortization Months],_xlfn.XMATCH($E$237,FixedAssets[Asset ID])),IF(AND((_xlfn.XMATCH(BB$8,$AH$8:$CC$8))-_xlfn.XMATCH($C282,$C$35:$C$82)+1&lt;=_xlpm.DepreciationMonths,$C282&lt;=BB$8),$E282/_xlpm.DepreciationMonths,0))</f>
        <v>0</v>
      </c>
      <c r="BC282" s="507" cm="1">
        <f t="array" ref="BC282">_xlfn.LET(_xlpm.DepreciationMonths,INDEX(FixedAssets[Depreciation
/ Amortization Months],_xlfn.XMATCH($E$237,FixedAssets[Asset ID])),IF(AND((_xlfn.XMATCH(BC$8,$AH$8:$CC$8))-_xlfn.XMATCH($C282,$C$35:$C$82)+1&lt;=_xlpm.DepreciationMonths,$C282&lt;=BC$8),$E282/_xlpm.DepreciationMonths,0))</f>
        <v>0</v>
      </c>
      <c r="BD282" s="507" cm="1">
        <f t="array" ref="BD282">_xlfn.LET(_xlpm.DepreciationMonths,INDEX(FixedAssets[Depreciation
/ Amortization Months],_xlfn.XMATCH($E$237,FixedAssets[Asset ID])),IF(AND((_xlfn.XMATCH(BD$8,$AH$8:$CC$8))-_xlfn.XMATCH($C282,$C$35:$C$82)+1&lt;=_xlpm.DepreciationMonths,$C282&lt;=BD$8),$E282/_xlpm.DepreciationMonths,0))</f>
        <v>0</v>
      </c>
      <c r="BE282" s="507" cm="1">
        <f t="array" ref="BE282">_xlfn.LET(_xlpm.DepreciationMonths,INDEX(FixedAssets[Depreciation
/ Amortization Months],_xlfn.XMATCH($E$237,FixedAssets[Asset ID])),IF(AND((_xlfn.XMATCH(BE$8,$AH$8:$CC$8))-_xlfn.XMATCH($C282,$C$35:$C$82)+1&lt;=_xlpm.DepreciationMonths,$C282&lt;=BE$8),$E282/_xlpm.DepreciationMonths,0))</f>
        <v>0</v>
      </c>
      <c r="BF282" s="507" cm="1">
        <f t="array" ref="BF282">_xlfn.LET(_xlpm.DepreciationMonths,INDEX(FixedAssets[Depreciation
/ Amortization Months],_xlfn.XMATCH($E$237,FixedAssets[Asset ID])),IF(AND((_xlfn.XMATCH(BF$8,$AH$8:$CC$8))-_xlfn.XMATCH($C282,$C$35:$C$82)+1&lt;=_xlpm.DepreciationMonths,$C282&lt;=BF$8),$E282/_xlpm.DepreciationMonths,0))</f>
        <v>0</v>
      </c>
      <c r="BG282" s="507" cm="1">
        <f t="array" ref="BG282">_xlfn.LET(_xlpm.DepreciationMonths,INDEX(FixedAssets[Depreciation
/ Amortization Months],_xlfn.XMATCH($E$237,FixedAssets[Asset ID])),IF(AND((_xlfn.XMATCH(BG$8,$AH$8:$CC$8))-_xlfn.XMATCH($C282,$C$35:$C$82)+1&lt;=_xlpm.DepreciationMonths,$C282&lt;=BG$8),$E282/_xlpm.DepreciationMonths,0))</f>
        <v>0</v>
      </c>
      <c r="BH282" s="507" cm="1">
        <f t="array" ref="BH282">_xlfn.LET(_xlpm.DepreciationMonths,INDEX(FixedAssets[Depreciation
/ Amortization Months],_xlfn.XMATCH($E$237,FixedAssets[Asset ID])),IF(AND((_xlfn.XMATCH(BH$8,$AH$8:$CC$8))-_xlfn.XMATCH($C282,$C$35:$C$82)+1&lt;=_xlpm.DepreciationMonths,$C282&lt;=BH$8),$E282/_xlpm.DepreciationMonths,0))</f>
        <v>0</v>
      </c>
      <c r="BI282" s="507" cm="1">
        <f t="array" ref="BI282">_xlfn.LET(_xlpm.DepreciationMonths,INDEX(FixedAssets[Depreciation
/ Amortization Months],_xlfn.XMATCH($E$237,FixedAssets[Asset ID])),IF(AND((_xlfn.XMATCH(BI$8,$AH$8:$CC$8))-_xlfn.XMATCH($C282,$C$35:$C$82)+1&lt;=_xlpm.DepreciationMonths,$C282&lt;=BI$8),$E282/_xlpm.DepreciationMonths,0))</f>
        <v>0</v>
      </c>
      <c r="BJ282" s="507" cm="1">
        <f t="array" ref="BJ282">_xlfn.LET(_xlpm.DepreciationMonths,INDEX(FixedAssets[Depreciation
/ Amortization Months],_xlfn.XMATCH($E$237,FixedAssets[Asset ID])),IF(AND((_xlfn.XMATCH(BJ$8,$AH$8:$CC$8))-_xlfn.XMATCH($C282,$C$35:$C$82)+1&lt;=_xlpm.DepreciationMonths,$C282&lt;=BJ$8),$E282/_xlpm.DepreciationMonths,0))</f>
        <v>0</v>
      </c>
      <c r="BK282" s="507" cm="1">
        <f t="array" ref="BK282">_xlfn.LET(_xlpm.DepreciationMonths,INDEX(FixedAssets[Depreciation
/ Amortization Months],_xlfn.XMATCH($E$237,FixedAssets[Asset ID])),IF(AND((_xlfn.XMATCH(BK$8,$AH$8:$CC$8))-_xlfn.XMATCH($C282,$C$35:$C$82)+1&lt;=_xlpm.DepreciationMonths,$C282&lt;=BK$8),$E282/_xlpm.DepreciationMonths,0))</f>
        <v>0</v>
      </c>
      <c r="BL282" s="507" cm="1">
        <f t="array" ref="BL282">_xlfn.LET(_xlpm.DepreciationMonths,INDEX(FixedAssets[Depreciation
/ Amortization Months],_xlfn.XMATCH($E$237,FixedAssets[Asset ID])),IF(AND((_xlfn.XMATCH(BL$8,$AH$8:$CC$8))-_xlfn.XMATCH($C282,$C$35:$C$82)+1&lt;=_xlpm.DepreciationMonths,$C282&lt;=BL$8),$E282/_xlpm.DepreciationMonths,0))</f>
        <v>0</v>
      </c>
      <c r="BM282" s="507" cm="1">
        <f t="array" ref="BM282">_xlfn.LET(_xlpm.DepreciationMonths,INDEX(FixedAssets[Depreciation
/ Amortization Months],_xlfn.XMATCH($E$237,FixedAssets[Asset ID])),IF(AND((_xlfn.XMATCH(BM$8,$AH$8:$CC$8))-_xlfn.XMATCH($C282,$C$35:$C$82)+1&lt;=_xlpm.DepreciationMonths,$C282&lt;=BM$8),$E282/_xlpm.DepreciationMonths,0))</f>
        <v>0</v>
      </c>
      <c r="BN282" s="507" cm="1">
        <f t="array" ref="BN282">_xlfn.LET(_xlpm.DepreciationMonths,INDEX(FixedAssets[Depreciation
/ Amortization Months],_xlfn.XMATCH($E$237,FixedAssets[Asset ID])),IF(AND((_xlfn.XMATCH(BN$8,$AH$8:$CC$8))-_xlfn.XMATCH($C282,$C$35:$C$82)+1&lt;=_xlpm.DepreciationMonths,$C282&lt;=BN$8),$E282/_xlpm.DepreciationMonths,0))</f>
        <v>0</v>
      </c>
      <c r="BO282" s="507" cm="1">
        <f t="array" ref="BO282">_xlfn.LET(_xlpm.DepreciationMonths,INDEX(FixedAssets[Depreciation
/ Amortization Months],_xlfn.XMATCH($E$237,FixedAssets[Asset ID])),IF(AND((_xlfn.XMATCH(BO$8,$AH$8:$CC$8))-_xlfn.XMATCH($C282,$C$35:$C$82)+1&lt;=_xlpm.DepreciationMonths,$C282&lt;=BO$8),$E282/_xlpm.DepreciationMonths,0))</f>
        <v>0</v>
      </c>
      <c r="BP282" s="507" cm="1">
        <f t="array" ref="BP282">_xlfn.LET(_xlpm.DepreciationMonths,INDEX(FixedAssets[Depreciation
/ Amortization Months],_xlfn.XMATCH($E$237,FixedAssets[Asset ID])),IF(AND((_xlfn.XMATCH(BP$8,$AH$8:$CC$8))-_xlfn.XMATCH($C282,$C$35:$C$82)+1&lt;=_xlpm.DepreciationMonths,$C282&lt;=BP$8),$E282/_xlpm.DepreciationMonths,0))</f>
        <v>0</v>
      </c>
      <c r="BQ282" s="507" cm="1">
        <f t="array" ref="BQ282">_xlfn.LET(_xlpm.DepreciationMonths,INDEX(FixedAssets[Depreciation
/ Amortization Months],_xlfn.XMATCH($E$237,FixedAssets[Asset ID])),IF(AND((_xlfn.XMATCH(BQ$8,$AH$8:$CC$8))-_xlfn.XMATCH($C282,$C$35:$C$82)+1&lt;=_xlpm.DepreciationMonths,$C282&lt;=BQ$8),$E282/_xlpm.DepreciationMonths,0))</f>
        <v>0</v>
      </c>
      <c r="BR282" s="507" cm="1">
        <f t="array" ref="BR282">_xlfn.LET(_xlpm.DepreciationMonths,INDEX(FixedAssets[Depreciation
/ Amortization Months],_xlfn.XMATCH($E$237,FixedAssets[Asset ID])),IF(AND((_xlfn.XMATCH(BR$8,$AH$8:$CC$8))-_xlfn.XMATCH($C282,$C$35:$C$82)+1&lt;=_xlpm.DepreciationMonths,$C282&lt;=BR$8),$E282/_xlpm.DepreciationMonths,0))</f>
        <v>0</v>
      </c>
      <c r="BS282" s="507" cm="1">
        <f t="array" ref="BS282">_xlfn.LET(_xlpm.DepreciationMonths,INDEX(FixedAssets[Depreciation
/ Amortization Months],_xlfn.XMATCH($E$237,FixedAssets[Asset ID])),IF(AND((_xlfn.XMATCH(BS$8,$AH$8:$CC$8))-_xlfn.XMATCH($C282,$C$35:$C$82)+1&lt;=_xlpm.DepreciationMonths,$C282&lt;=BS$8),$E282/_xlpm.DepreciationMonths,0))</f>
        <v>0</v>
      </c>
      <c r="BT282" s="507" cm="1">
        <f t="array" ref="BT282">_xlfn.LET(_xlpm.DepreciationMonths,INDEX(FixedAssets[Depreciation
/ Amortization Months],_xlfn.XMATCH($E$237,FixedAssets[Asset ID])),IF(AND((_xlfn.XMATCH(BT$8,$AH$8:$CC$8))-_xlfn.XMATCH($C282,$C$35:$C$82)+1&lt;=_xlpm.DepreciationMonths,$C282&lt;=BT$8),$E282/_xlpm.DepreciationMonths,0))</f>
        <v>0</v>
      </c>
      <c r="BU282" s="507" cm="1">
        <f t="array" ref="BU282">_xlfn.LET(_xlpm.DepreciationMonths,INDEX(FixedAssets[Depreciation
/ Amortization Months],_xlfn.XMATCH($E$237,FixedAssets[Asset ID])),IF(AND((_xlfn.XMATCH(BU$8,$AH$8:$CC$8))-_xlfn.XMATCH($C282,$C$35:$C$82)+1&lt;=_xlpm.DepreciationMonths,$C282&lt;=BU$8),$E282/_xlpm.DepreciationMonths,0))</f>
        <v>0</v>
      </c>
      <c r="BV282" s="507" cm="1">
        <f t="array" ref="BV282">_xlfn.LET(_xlpm.DepreciationMonths,INDEX(FixedAssets[Depreciation
/ Amortization Months],_xlfn.XMATCH($E$237,FixedAssets[Asset ID])),IF(AND((_xlfn.XMATCH(BV$8,$AH$8:$CC$8))-_xlfn.XMATCH($C282,$C$35:$C$82)+1&lt;=_xlpm.DepreciationMonths,$C282&lt;=BV$8),$E282/_xlpm.DepreciationMonths,0))</f>
        <v>0</v>
      </c>
      <c r="BW282" s="507" cm="1">
        <f t="array" ref="BW282">_xlfn.LET(_xlpm.DepreciationMonths,INDEX(FixedAssets[Depreciation
/ Amortization Months],_xlfn.XMATCH($E$237,FixedAssets[Asset ID])),IF(AND((_xlfn.XMATCH(BW$8,$AH$8:$CC$8))-_xlfn.XMATCH($C282,$C$35:$C$82)+1&lt;=_xlpm.DepreciationMonths,$C282&lt;=BW$8),$E282/_xlpm.DepreciationMonths,0))</f>
        <v>0</v>
      </c>
      <c r="BX282" s="507" cm="1">
        <f t="array" ref="BX282">_xlfn.LET(_xlpm.DepreciationMonths,INDEX(FixedAssets[Depreciation
/ Amortization Months],_xlfn.XMATCH($E$237,FixedAssets[Asset ID])),IF(AND((_xlfn.XMATCH(BX$8,$AH$8:$CC$8))-_xlfn.XMATCH($C282,$C$35:$C$82)+1&lt;=_xlpm.DepreciationMonths,$C282&lt;=BX$8),$E282/_xlpm.DepreciationMonths,0))</f>
        <v>0</v>
      </c>
      <c r="BY282" s="507" cm="1">
        <f t="array" ref="BY282">_xlfn.LET(_xlpm.DepreciationMonths,INDEX(FixedAssets[Depreciation
/ Amortization Months],_xlfn.XMATCH($E$237,FixedAssets[Asset ID])),IF(AND((_xlfn.XMATCH(BY$8,$AH$8:$CC$8))-_xlfn.XMATCH($C282,$C$35:$C$82)+1&lt;=_xlpm.DepreciationMonths,$C282&lt;=BY$8),$E282/_xlpm.DepreciationMonths,0))</f>
        <v>0</v>
      </c>
      <c r="BZ282" s="507" cm="1">
        <f t="array" ref="BZ282">_xlfn.LET(_xlpm.DepreciationMonths,INDEX(FixedAssets[Depreciation
/ Amortization Months],_xlfn.XMATCH($E$237,FixedAssets[Asset ID])),IF(AND((_xlfn.XMATCH(BZ$8,$AH$8:$CC$8))-_xlfn.XMATCH($C282,$C$35:$C$82)+1&lt;=_xlpm.DepreciationMonths,$C282&lt;=BZ$8),$E282/_xlpm.DepreciationMonths,0))</f>
        <v>0</v>
      </c>
      <c r="CA282" s="507" cm="1">
        <f t="array" ref="CA282">_xlfn.LET(_xlpm.DepreciationMonths,INDEX(FixedAssets[Depreciation
/ Amortization Months],_xlfn.XMATCH($E$237,FixedAssets[Asset ID])),IF(AND((_xlfn.XMATCH(CA$8,$AH$8:$CC$8))-_xlfn.XMATCH($C282,$C$35:$C$82)+1&lt;=_xlpm.DepreciationMonths,$C282&lt;=CA$8),$E282/_xlpm.DepreciationMonths,0))</f>
        <v>0</v>
      </c>
      <c r="CB282" s="507" cm="1">
        <f t="array" ref="CB282">_xlfn.LET(_xlpm.DepreciationMonths,INDEX(FixedAssets[Depreciation
/ Amortization Months],_xlfn.XMATCH($E$237,FixedAssets[Asset ID])),IF(AND((_xlfn.XMATCH(CB$8,$AH$8:$CC$8))-_xlfn.XMATCH($C282,$C$35:$C$82)+1&lt;=_xlpm.DepreciationMonths,$C282&lt;=CB$8),$E282/_xlpm.DepreciationMonths,0))</f>
        <v>0</v>
      </c>
      <c r="CC282" s="507" cm="1">
        <f t="array" ref="CC282">_xlfn.LET(_xlpm.DepreciationMonths,INDEX(FixedAssets[Depreciation
/ Amortization Months],_xlfn.XMATCH($E$237,FixedAssets[Asset ID])),IF(AND((_xlfn.XMATCH(CC$8,$AH$8:$CC$8))-_xlfn.XMATCH($C282,$C$35:$C$82)+1&lt;=_xlpm.DepreciationMonths,$C282&lt;=CC$8),$E282/_xlpm.DepreciationMonths,0))</f>
        <v>0</v>
      </c>
    </row>
    <row r="283" spans="3:81" hidden="1" outlineLevel="2">
      <c r="C283" s="664">
        <f t="shared" si="267"/>
        <v>46295</v>
      </c>
      <c r="D283" s="508"/>
      <c r="E283" s="508" cm="1">
        <f t="array" ref="E283">SUMPRODUCT(($AH$26:$CC$31)*($AH$5:$CC$5=$C283)*($E$26:$E$31=E$237))-SUMPRODUCT(($AH$26:$CC$31)*($AH$5:$CC$5=EOMONTH($C283,-1))*($E$26:$E$31=E$237))</f>
        <v>0</v>
      </c>
      <c r="F283" s="508"/>
      <c r="G283" s="508"/>
      <c r="H283" s="508"/>
      <c r="I283" s="508"/>
      <c r="J283" s="504">
        <f t="shared" si="265"/>
        <v>0</v>
      </c>
      <c r="K283" s="504">
        <f t="shared" si="265"/>
        <v>0</v>
      </c>
      <c r="L283" s="504">
        <f t="shared" si="265"/>
        <v>0</v>
      </c>
      <c r="M283" s="504">
        <f t="shared" si="265"/>
        <v>0</v>
      </c>
      <c r="N283" s="504"/>
      <c r="O283" s="504"/>
      <c r="P283" s="504">
        <f t="shared" si="271"/>
        <v>0</v>
      </c>
      <c r="Q283" s="504">
        <f t="shared" si="271"/>
        <v>0</v>
      </c>
      <c r="R283" s="504">
        <f t="shared" si="271"/>
        <v>0</v>
      </c>
      <c r="S283" s="504">
        <f t="shared" si="271"/>
        <v>0</v>
      </c>
      <c r="T283" s="504">
        <f t="shared" si="271"/>
        <v>0</v>
      </c>
      <c r="U283" s="504">
        <f t="shared" si="271"/>
        <v>0</v>
      </c>
      <c r="V283" s="504">
        <f t="shared" si="271"/>
        <v>0</v>
      </c>
      <c r="W283" s="504">
        <f t="shared" si="271"/>
        <v>0</v>
      </c>
      <c r="X283" s="504">
        <f t="shared" si="271"/>
        <v>0</v>
      </c>
      <c r="Y283" s="504">
        <f t="shared" si="271"/>
        <v>0</v>
      </c>
      <c r="Z283" s="504">
        <f t="shared" si="271"/>
        <v>0</v>
      </c>
      <c r="AA283" s="504">
        <f t="shared" si="271"/>
        <v>0</v>
      </c>
      <c r="AB283" s="504">
        <f t="shared" si="271"/>
        <v>0</v>
      </c>
      <c r="AC283" s="504">
        <f t="shared" si="271"/>
        <v>0</v>
      </c>
      <c r="AD283" s="504">
        <f t="shared" si="271"/>
        <v>0</v>
      </c>
      <c r="AE283" s="504">
        <f t="shared" si="271"/>
        <v>0</v>
      </c>
      <c r="AF283" s="508"/>
      <c r="AG283" s="508"/>
      <c r="AH283" s="507" cm="1">
        <f t="array" ref="AH283">_xlfn.LET(_xlpm.DepreciationMonths,INDEX(FixedAssets[Depreciation
/ Amortization Months],_xlfn.XMATCH($E$237,FixedAssets[Asset ID])),IF(AND((_xlfn.XMATCH(AH$8,$AH$8:$CC$8))-_xlfn.XMATCH($C283,$C$35:$C$82)+1&lt;=_xlpm.DepreciationMonths,$C283&lt;=AH$8),$E283/_xlpm.DepreciationMonths,0))</f>
        <v>0</v>
      </c>
      <c r="AI283" s="507" cm="1">
        <f t="array" ref="AI283">_xlfn.LET(_xlpm.DepreciationMonths,INDEX(FixedAssets[Depreciation
/ Amortization Months],_xlfn.XMATCH($E$237,FixedAssets[Asset ID])),IF(AND((_xlfn.XMATCH(AI$8,$AH$8:$CC$8))-_xlfn.XMATCH($C283,$C$35:$C$82)+1&lt;=_xlpm.DepreciationMonths,$C283&lt;=AI$8),$E283/_xlpm.DepreciationMonths,0))</f>
        <v>0</v>
      </c>
      <c r="AJ283" s="507" cm="1">
        <f t="array" ref="AJ283">_xlfn.LET(_xlpm.DepreciationMonths,INDEX(FixedAssets[Depreciation
/ Amortization Months],_xlfn.XMATCH($E$237,FixedAssets[Asset ID])),IF(AND((_xlfn.XMATCH(AJ$8,$AH$8:$CC$8))-_xlfn.XMATCH($C283,$C$35:$C$82)+1&lt;=_xlpm.DepreciationMonths,$C283&lt;=AJ$8),$E283/_xlpm.DepreciationMonths,0))</f>
        <v>0</v>
      </c>
      <c r="AK283" s="507" cm="1">
        <f t="array" ref="AK283">_xlfn.LET(_xlpm.DepreciationMonths,INDEX(FixedAssets[Depreciation
/ Amortization Months],_xlfn.XMATCH($E$237,FixedAssets[Asset ID])),IF(AND((_xlfn.XMATCH(AK$8,$AH$8:$CC$8))-_xlfn.XMATCH($C283,$C$35:$C$82)+1&lt;=_xlpm.DepreciationMonths,$C283&lt;=AK$8),$E283/_xlpm.DepreciationMonths,0))</f>
        <v>0</v>
      </c>
      <c r="AL283" s="507" cm="1">
        <f t="array" ref="AL283">_xlfn.LET(_xlpm.DepreciationMonths,INDEX(FixedAssets[Depreciation
/ Amortization Months],_xlfn.XMATCH($E$237,FixedAssets[Asset ID])),IF(AND((_xlfn.XMATCH(AL$8,$AH$8:$CC$8))-_xlfn.XMATCH($C283,$C$35:$C$82)+1&lt;=_xlpm.DepreciationMonths,$C283&lt;=AL$8),$E283/_xlpm.DepreciationMonths,0))</f>
        <v>0</v>
      </c>
      <c r="AM283" s="507" cm="1">
        <f t="array" ref="AM283">_xlfn.LET(_xlpm.DepreciationMonths,INDEX(FixedAssets[Depreciation
/ Amortization Months],_xlfn.XMATCH($E$237,FixedAssets[Asset ID])),IF(AND((_xlfn.XMATCH(AM$8,$AH$8:$CC$8))-_xlfn.XMATCH($C283,$C$35:$C$82)+1&lt;=_xlpm.DepreciationMonths,$C283&lt;=AM$8),$E283/_xlpm.DepreciationMonths,0))</f>
        <v>0</v>
      </c>
      <c r="AN283" s="507" cm="1">
        <f t="array" ref="AN283">_xlfn.LET(_xlpm.DepreciationMonths,INDEX(FixedAssets[Depreciation
/ Amortization Months],_xlfn.XMATCH($E$237,FixedAssets[Asset ID])),IF(AND((_xlfn.XMATCH(AN$8,$AH$8:$CC$8))-_xlfn.XMATCH($C283,$C$35:$C$82)+1&lt;=_xlpm.DepreciationMonths,$C283&lt;=AN$8),$E283/_xlpm.DepreciationMonths,0))</f>
        <v>0</v>
      </c>
      <c r="AO283" s="507" cm="1">
        <f t="array" ref="AO283">_xlfn.LET(_xlpm.DepreciationMonths,INDEX(FixedAssets[Depreciation
/ Amortization Months],_xlfn.XMATCH($E$237,FixedAssets[Asset ID])),IF(AND((_xlfn.XMATCH(AO$8,$AH$8:$CC$8))-_xlfn.XMATCH($C283,$C$35:$C$82)+1&lt;=_xlpm.DepreciationMonths,$C283&lt;=AO$8),$E283/_xlpm.DepreciationMonths,0))</f>
        <v>0</v>
      </c>
      <c r="AP283" s="507" cm="1">
        <f t="array" ref="AP283">_xlfn.LET(_xlpm.DepreciationMonths,INDEX(FixedAssets[Depreciation
/ Amortization Months],_xlfn.XMATCH($E$237,FixedAssets[Asset ID])),IF(AND((_xlfn.XMATCH(AP$8,$AH$8:$CC$8))-_xlfn.XMATCH($C283,$C$35:$C$82)+1&lt;=_xlpm.DepreciationMonths,$C283&lt;=AP$8),$E283/_xlpm.DepreciationMonths,0))</f>
        <v>0</v>
      </c>
      <c r="AQ283" s="507" cm="1">
        <f t="array" ref="AQ283">_xlfn.LET(_xlpm.DepreciationMonths,INDEX(FixedAssets[Depreciation
/ Amortization Months],_xlfn.XMATCH($E$237,FixedAssets[Asset ID])),IF(AND((_xlfn.XMATCH(AQ$8,$AH$8:$CC$8))-_xlfn.XMATCH($C283,$C$35:$C$82)+1&lt;=_xlpm.DepreciationMonths,$C283&lt;=AQ$8),$E283/_xlpm.DepreciationMonths,0))</f>
        <v>0</v>
      </c>
      <c r="AR283" s="507" cm="1">
        <f t="array" ref="AR283">_xlfn.LET(_xlpm.DepreciationMonths,INDEX(FixedAssets[Depreciation
/ Amortization Months],_xlfn.XMATCH($E$237,FixedAssets[Asset ID])),IF(AND((_xlfn.XMATCH(AR$8,$AH$8:$CC$8))-_xlfn.XMATCH($C283,$C$35:$C$82)+1&lt;=_xlpm.DepreciationMonths,$C283&lt;=AR$8),$E283/_xlpm.DepreciationMonths,0))</f>
        <v>0</v>
      </c>
      <c r="AS283" s="507" cm="1">
        <f t="array" ref="AS283">_xlfn.LET(_xlpm.DepreciationMonths,INDEX(FixedAssets[Depreciation
/ Amortization Months],_xlfn.XMATCH($E$237,FixedAssets[Asset ID])),IF(AND((_xlfn.XMATCH(AS$8,$AH$8:$CC$8))-_xlfn.XMATCH($C283,$C$35:$C$82)+1&lt;=_xlpm.DepreciationMonths,$C283&lt;=AS$8),$E283/_xlpm.DepreciationMonths,0))</f>
        <v>0</v>
      </c>
      <c r="AT283" s="507" cm="1">
        <f t="array" ref="AT283">_xlfn.LET(_xlpm.DepreciationMonths,INDEX(FixedAssets[Depreciation
/ Amortization Months],_xlfn.XMATCH($E$237,FixedAssets[Asset ID])),IF(AND((_xlfn.XMATCH(AT$8,$AH$8:$CC$8))-_xlfn.XMATCH($C283,$C$35:$C$82)+1&lt;=_xlpm.DepreciationMonths,$C283&lt;=AT$8),$E283/_xlpm.DepreciationMonths,0))</f>
        <v>0</v>
      </c>
      <c r="AU283" s="507" cm="1">
        <f t="array" ref="AU283">_xlfn.LET(_xlpm.DepreciationMonths,INDEX(FixedAssets[Depreciation
/ Amortization Months],_xlfn.XMATCH($E$237,FixedAssets[Asset ID])),IF(AND((_xlfn.XMATCH(AU$8,$AH$8:$CC$8))-_xlfn.XMATCH($C283,$C$35:$C$82)+1&lt;=_xlpm.DepreciationMonths,$C283&lt;=AU$8),$E283/_xlpm.DepreciationMonths,0))</f>
        <v>0</v>
      </c>
      <c r="AV283" s="507" cm="1">
        <f t="array" ref="AV283">_xlfn.LET(_xlpm.DepreciationMonths,INDEX(FixedAssets[Depreciation
/ Amortization Months],_xlfn.XMATCH($E$237,FixedAssets[Asset ID])),IF(AND((_xlfn.XMATCH(AV$8,$AH$8:$CC$8))-_xlfn.XMATCH($C283,$C$35:$C$82)+1&lt;=_xlpm.DepreciationMonths,$C283&lt;=AV$8),$E283/_xlpm.DepreciationMonths,0))</f>
        <v>0</v>
      </c>
      <c r="AW283" s="507" cm="1">
        <f t="array" ref="AW283">_xlfn.LET(_xlpm.DepreciationMonths,INDEX(FixedAssets[Depreciation
/ Amortization Months],_xlfn.XMATCH($E$237,FixedAssets[Asset ID])),IF(AND((_xlfn.XMATCH(AW$8,$AH$8:$CC$8))-_xlfn.XMATCH($C283,$C$35:$C$82)+1&lt;=_xlpm.DepreciationMonths,$C283&lt;=AW$8),$E283/_xlpm.DepreciationMonths,0))</f>
        <v>0</v>
      </c>
      <c r="AX283" s="507" cm="1">
        <f t="array" ref="AX283">_xlfn.LET(_xlpm.DepreciationMonths,INDEX(FixedAssets[Depreciation
/ Amortization Months],_xlfn.XMATCH($E$237,FixedAssets[Asset ID])),IF(AND((_xlfn.XMATCH(AX$8,$AH$8:$CC$8))-_xlfn.XMATCH($C283,$C$35:$C$82)+1&lt;=_xlpm.DepreciationMonths,$C283&lt;=AX$8),$E283/_xlpm.DepreciationMonths,0))</f>
        <v>0</v>
      </c>
      <c r="AY283" s="507" cm="1">
        <f t="array" ref="AY283">_xlfn.LET(_xlpm.DepreciationMonths,INDEX(FixedAssets[Depreciation
/ Amortization Months],_xlfn.XMATCH($E$237,FixedAssets[Asset ID])),IF(AND((_xlfn.XMATCH(AY$8,$AH$8:$CC$8))-_xlfn.XMATCH($C283,$C$35:$C$82)+1&lt;=_xlpm.DepreciationMonths,$C283&lt;=AY$8),$E283/_xlpm.DepreciationMonths,0))</f>
        <v>0</v>
      </c>
      <c r="AZ283" s="507" cm="1">
        <f t="array" ref="AZ283">_xlfn.LET(_xlpm.DepreciationMonths,INDEX(FixedAssets[Depreciation
/ Amortization Months],_xlfn.XMATCH($E$237,FixedAssets[Asset ID])),IF(AND((_xlfn.XMATCH(AZ$8,$AH$8:$CC$8))-_xlfn.XMATCH($C283,$C$35:$C$82)+1&lt;=_xlpm.DepreciationMonths,$C283&lt;=AZ$8),$E283/_xlpm.DepreciationMonths,0))</f>
        <v>0</v>
      </c>
      <c r="BA283" s="507" cm="1">
        <f t="array" ref="BA283">_xlfn.LET(_xlpm.DepreciationMonths,INDEX(FixedAssets[Depreciation
/ Amortization Months],_xlfn.XMATCH($E$237,FixedAssets[Asset ID])),IF(AND((_xlfn.XMATCH(BA$8,$AH$8:$CC$8))-_xlfn.XMATCH($C283,$C$35:$C$82)+1&lt;=_xlpm.DepreciationMonths,$C283&lt;=BA$8),$E283/_xlpm.DepreciationMonths,0))</f>
        <v>0</v>
      </c>
      <c r="BB283" s="507" cm="1">
        <f t="array" ref="BB283">_xlfn.LET(_xlpm.DepreciationMonths,INDEX(FixedAssets[Depreciation
/ Amortization Months],_xlfn.XMATCH($E$237,FixedAssets[Asset ID])),IF(AND((_xlfn.XMATCH(BB$8,$AH$8:$CC$8))-_xlfn.XMATCH($C283,$C$35:$C$82)+1&lt;=_xlpm.DepreciationMonths,$C283&lt;=BB$8),$E283/_xlpm.DepreciationMonths,0))</f>
        <v>0</v>
      </c>
      <c r="BC283" s="507" cm="1">
        <f t="array" ref="BC283">_xlfn.LET(_xlpm.DepreciationMonths,INDEX(FixedAssets[Depreciation
/ Amortization Months],_xlfn.XMATCH($E$237,FixedAssets[Asset ID])),IF(AND((_xlfn.XMATCH(BC$8,$AH$8:$CC$8))-_xlfn.XMATCH($C283,$C$35:$C$82)+1&lt;=_xlpm.DepreciationMonths,$C283&lt;=BC$8),$E283/_xlpm.DepreciationMonths,0))</f>
        <v>0</v>
      </c>
      <c r="BD283" s="507" cm="1">
        <f t="array" ref="BD283">_xlfn.LET(_xlpm.DepreciationMonths,INDEX(FixedAssets[Depreciation
/ Amortization Months],_xlfn.XMATCH($E$237,FixedAssets[Asset ID])),IF(AND((_xlfn.XMATCH(BD$8,$AH$8:$CC$8))-_xlfn.XMATCH($C283,$C$35:$C$82)+1&lt;=_xlpm.DepreciationMonths,$C283&lt;=BD$8),$E283/_xlpm.DepreciationMonths,0))</f>
        <v>0</v>
      </c>
      <c r="BE283" s="507" cm="1">
        <f t="array" ref="BE283">_xlfn.LET(_xlpm.DepreciationMonths,INDEX(FixedAssets[Depreciation
/ Amortization Months],_xlfn.XMATCH($E$237,FixedAssets[Asset ID])),IF(AND((_xlfn.XMATCH(BE$8,$AH$8:$CC$8))-_xlfn.XMATCH($C283,$C$35:$C$82)+1&lt;=_xlpm.DepreciationMonths,$C283&lt;=BE$8),$E283/_xlpm.DepreciationMonths,0))</f>
        <v>0</v>
      </c>
      <c r="BF283" s="507" cm="1">
        <f t="array" ref="BF283">_xlfn.LET(_xlpm.DepreciationMonths,INDEX(FixedAssets[Depreciation
/ Amortization Months],_xlfn.XMATCH($E$237,FixedAssets[Asset ID])),IF(AND((_xlfn.XMATCH(BF$8,$AH$8:$CC$8))-_xlfn.XMATCH($C283,$C$35:$C$82)+1&lt;=_xlpm.DepreciationMonths,$C283&lt;=BF$8),$E283/_xlpm.DepreciationMonths,0))</f>
        <v>0</v>
      </c>
      <c r="BG283" s="507" cm="1">
        <f t="array" ref="BG283">_xlfn.LET(_xlpm.DepreciationMonths,INDEX(FixedAssets[Depreciation
/ Amortization Months],_xlfn.XMATCH($E$237,FixedAssets[Asset ID])),IF(AND((_xlfn.XMATCH(BG$8,$AH$8:$CC$8))-_xlfn.XMATCH($C283,$C$35:$C$82)+1&lt;=_xlpm.DepreciationMonths,$C283&lt;=BG$8),$E283/_xlpm.DepreciationMonths,0))</f>
        <v>0</v>
      </c>
      <c r="BH283" s="507" cm="1">
        <f t="array" ref="BH283">_xlfn.LET(_xlpm.DepreciationMonths,INDEX(FixedAssets[Depreciation
/ Amortization Months],_xlfn.XMATCH($E$237,FixedAssets[Asset ID])),IF(AND((_xlfn.XMATCH(BH$8,$AH$8:$CC$8))-_xlfn.XMATCH($C283,$C$35:$C$82)+1&lt;=_xlpm.DepreciationMonths,$C283&lt;=BH$8),$E283/_xlpm.DepreciationMonths,0))</f>
        <v>0</v>
      </c>
      <c r="BI283" s="507" cm="1">
        <f t="array" ref="BI283">_xlfn.LET(_xlpm.DepreciationMonths,INDEX(FixedAssets[Depreciation
/ Amortization Months],_xlfn.XMATCH($E$237,FixedAssets[Asset ID])),IF(AND((_xlfn.XMATCH(BI$8,$AH$8:$CC$8))-_xlfn.XMATCH($C283,$C$35:$C$82)+1&lt;=_xlpm.DepreciationMonths,$C283&lt;=BI$8),$E283/_xlpm.DepreciationMonths,0))</f>
        <v>0</v>
      </c>
      <c r="BJ283" s="507" cm="1">
        <f t="array" ref="BJ283">_xlfn.LET(_xlpm.DepreciationMonths,INDEX(FixedAssets[Depreciation
/ Amortization Months],_xlfn.XMATCH($E$237,FixedAssets[Asset ID])),IF(AND((_xlfn.XMATCH(BJ$8,$AH$8:$CC$8))-_xlfn.XMATCH($C283,$C$35:$C$82)+1&lt;=_xlpm.DepreciationMonths,$C283&lt;=BJ$8),$E283/_xlpm.DepreciationMonths,0))</f>
        <v>0</v>
      </c>
      <c r="BK283" s="507" cm="1">
        <f t="array" ref="BK283">_xlfn.LET(_xlpm.DepreciationMonths,INDEX(FixedAssets[Depreciation
/ Amortization Months],_xlfn.XMATCH($E$237,FixedAssets[Asset ID])),IF(AND((_xlfn.XMATCH(BK$8,$AH$8:$CC$8))-_xlfn.XMATCH($C283,$C$35:$C$82)+1&lt;=_xlpm.DepreciationMonths,$C283&lt;=BK$8),$E283/_xlpm.DepreciationMonths,0))</f>
        <v>0</v>
      </c>
      <c r="BL283" s="507" cm="1">
        <f t="array" ref="BL283">_xlfn.LET(_xlpm.DepreciationMonths,INDEX(FixedAssets[Depreciation
/ Amortization Months],_xlfn.XMATCH($E$237,FixedAssets[Asset ID])),IF(AND((_xlfn.XMATCH(BL$8,$AH$8:$CC$8))-_xlfn.XMATCH($C283,$C$35:$C$82)+1&lt;=_xlpm.DepreciationMonths,$C283&lt;=BL$8),$E283/_xlpm.DepreciationMonths,0))</f>
        <v>0</v>
      </c>
      <c r="BM283" s="507" cm="1">
        <f t="array" ref="BM283">_xlfn.LET(_xlpm.DepreciationMonths,INDEX(FixedAssets[Depreciation
/ Amortization Months],_xlfn.XMATCH($E$237,FixedAssets[Asset ID])),IF(AND((_xlfn.XMATCH(BM$8,$AH$8:$CC$8))-_xlfn.XMATCH($C283,$C$35:$C$82)+1&lt;=_xlpm.DepreciationMonths,$C283&lt;=BM$8),$E283/_xlpm.DepreciationMonths,0))</f>
        <v>0</v>
      </c>
      <c r="BN283" s="507" cm="1">
        <f t="array" ref="BN283">_xlfn.LET(_xlpm.DepreciationMonths,INDEX(FixedAssets[Depreciation
/ Amortization Months],_xlfn.XMATCH($E$237,FixedAssets[Asset ID])),IF(AND((_xlfn.XMATCH(BN$8,$AH$8:$CC$8))-_xlfn.XMATCH($C283,$C$35:$C$82)+1&lt;=_xlpm.DepreciationMonths,$C283&lt;=BN$8),$E283/_xlpm.DepreciationMonths,0))</f>
        <v>0</v>
      </c>
      <c r="BO283" s="507" cm="1">
        <f t="array" ref="BO283">_xlfn.LET(_xlpm.DepreciationMonths,INDEX(FixedAssets[Depreciation
/ Amortization Months],_xlfn.XMATCH($E$237,FixedAssets[Asset ID])),IF(AND((_xlfn.XMATCH(BO$8,$AH$8:$CC$8))-_xlfn.XMATCH($C283,$C$35:$C$82)+1&lt;=_xlpm.DepreciationMonths,$C283&lt;=BO$8),$E283/_xlpm.DepreciationMonths,0))</f>
        <v>0</v>
      </c>
      <c r="BP283" s="507" cm="1">
        <f t="array" ref="BP283">_xlfn.LET(_xlpm.DepreciationMonths,INDEX(FixedAssets[Depreciation
/ Amortization Months],_xlfn.XMATCH($E$237,FixedAssets[Asset ID])),IF(AND((_xlfn.XMATCH(BP$8,$AH$8:$CC$8))-_xlfn.XMATCH($C283,$C$35:$C$82)+1&lt;=_xlpm.DepreciationMonths,$C283&lt;=BP$8),$E283/_xlpm.DepreciationMonths,0))</f>
        <v>0</v>
      </c>
      <c r="BQ283" s="507" cm="1">
        <f t="array" ref="BQ283">_xlfn.LET(_xlpm.DepreciationMonths,INDEX(FixedAssets[Depreciation
/ Amortization Months],_xlfn.XMATCH($E$237,FixedAssets[Asset ID])),IF(AND((_xlfn.XMATCH(BQ$8,$AH$8:$CC$8))-_xlfn.XMATCH($C283,$C$35:$C$82)+1&lt;=_xlpm.DepreciationMonths,$C283&lt;=BQ$8),$E283/_xlpm.DepreciationMonths,0))</f>
        <v>0</v>
      </c>
      <c r="BR283" s="507" cm="1">
        <f t="array" ref="BR283">_xlfn.LET(_xlpm.DepreciationMonths,INDEX(FixedAssets[Depreciation
/ Amortization Months],_xlfn.XMATCH($E$237,FixedAssets[Asset ID])),IF(AND((_xlfn.XMATCH(BR$8,$AH$8:$CC$8))-_xlfn.XMATCH($C283,$C$35:$C$82)+1&lt;=_xlpm.DepreciationMonths,$C283&lt;=BR$8),$E283/_xlpm.DepreciationMonths,0))</f>
        <v>0</v>
      </c>
      <c r="BS283" s="507" cm="1">
        <f t="array" ref="BS283">_xlfn.LET(_xlpm.DepreciationMonths,INDEX(FixedAssets[Depreciation
/ Amortization Months],_xlfn.XMATCH($E$237,FixedAssets[Asset ID])),IF(AND((_xlfn.XMATCH(BS$8,$AH$8:$CC$8))-_xlfn.XMATCH($C283,$C$35:$C$82)+1&lt;=_xlpm.DepreciationMonths,$C283&lt;=BS$8),$E283/_xlpm.DepreciationMonths,0))</f>
        <v>0</v>
      </c>
      <c r="BT283" s="507" cm="1">
        <f t="array" ref="BT283">_xlfn.LET(_xlpm.DepreciationMonths,INDEX(FixedAssets[Depreciation
/ Amortization Months],_xlfn.XMATCH($E$237,FixedAssets[Asset ID])),IF(AND((_xlfn.XMATCH(BT$8,$AH$8:$CC$8))-_xlfn.XMATCH($C283,$C$35:$C$82)+1&lt;=_xlpm.DepreciationMonths,$C283&lt;=BT$8),$E283/_xlpm.DepreciationMonths,0))</f>
        <v>0</v>
      </c>
      <c r="BU283" s="507" cm="1">
        <f t="array" ref="BU283">_xlfn.LET(_xlpm.DepreciationMonths,INDEX(FixedAssets[Depreciation
/ Amortization Months],_xlfn.XMATCH($E$237,FixedAssets[Asset ID])),IF(AND((_xlfn.XMATCH(BU$8,$AH$8:$CC$8))-_xlfn.XMATCH($C283,$C$35:$C$82)+1&lt;=_xlpm.DepreciationMonths,$C283&lt;=BU$8),$E283/_xlpm.DepreciationMonths,0))</f>
        <v>0</v>
      </c>
      <c r="BV283" s="507" cm="1">
        <f t="array" ref="BV283">_xlfn.LET(_xlpm.DepreciationMonths,INDEX(FixedAssets[Depreciation
/ Amortization Months],_xlfn.XMATCH($E$237,FixedAssets[Asset ID])),IF(AND((_xlfn.XMATCH(BV$8,$AH$8:$CC$8))-_xlfn.XMATCH($C283,$C$35:$C$82)+1&lt;=_xlpm.DepreciationMonths,$C283&lt;=BV$8),$E283/_xlpm.DepreciationMonths,0))</f>
        <v>0</v>
      </c>
      <c r="BW283" s="507" cm="1">
        <f t="array" ref="BW283">_xlfn.LET(_xlpm.DepreciationMonths,INDEX(FixedAssets[Depreciation
/ Amortization Months],_xlfn.XMATCH($E$237,FixedAssets[Asset ID])),IF(AND((_xlfn.XMATCH(BW$8,$AH$8:$CC$8))-_xlfn.XMATCH($C283,$C$35:$C$82)+1&lt;=_xlpm.DepreciationMonths,$C283&lt;=BW$8),$E283/_xlpm.DepreciationMonths,0))</f>
        <v>0</v>
      </c>
      <c r="BX283" s="507" cm="1">
        <f t="array" ref="BX283">_xlfn.LET(_xlpm.DepreciationMonths,INDEX(FixedAssets[Depreciation
/ Amortization Months],_xlfn.XMATCH($E$237,FixedAssets[Asset ID])),IF(AND((_xlfn.XMATCH(BX$8,$AH$8:$CC$8))-_xlfn.XMATCH($C283,$C$35:$C$82)+1&lt;=_xlpm.DepreciationMonths,$C283&lt;=BX$8),$E283/_xlpm.DepreciationMonths,0))</f>
        <v>0</v>
      </c>
      <c r="BY283" s="507" cm="1">
        <f t="array" ref="BY283">_xlfn.LET(_xlpm.DepreciationMonths,INDEX(FixedAssets[Depreciation
/ Amortization Months],_xlfn.XMATCH($E$237,FixedAssets[Asset ID])),IF(AND((_xlfn.XMATCH(BY$8,$AH$8:$CC$8))-_xlfn.XMATCH($C283,$C$35:$C$82)+1&lt;=_xlpm.DepreciationMonths,$C283&lt;=BY$8),$E283/_xlpm.DepreciationMonths,0))</f>
        <v>0</v>
      </c>
      <c r="BZ283" s="507" cm="1">
        <f t="array" ref="BZ283">_xlfn.LET(_xlpm.DepreciationMonths,INDEX(FixedAssets[Depreciation
/ Amortization Months],_xlfn.XMATCH($E$237,FixedAssets[Asset ID])),IF(AND((_xlfn.XMATCH(BZ$8,$AH$8:$CC$8))-_xlfn.XMATCH($C283,$C$35:$C$82)+1&lt;=_xlpm.DepreciationMonths,$C283&lt;=BZ$8),$E283/_xlpm.DepreciationMonths,0))</f>
        <v>0</v>
      </c>
      <c r="CA283" s="507" cm="1">
        <f t="array" ref="CA283">_xlfn.LET(_xlpm.DepreciationMonths,INDEX(FixedAssets[Depreciation
/ Amortization Months],_xlfn.XMATCH($E$237,FixedAssets[Asset ID])),IF(AND((_xlfn.XMATCH(CA$8,$AH$8:$CC$8))-_xlfn.XMATCH($C283,$C$35:$C$82)+1&lt;=_xlpm.DepreciationMonths,$C283&lt;=CA$8),$E283/_xlpm.DepreciationMonths,0))</f>
        <v>0</v>
      </c>
      <c r="CB283" s="507" cm="1">
        <f t="array" ref="CB283">_xlfn.LET(_xlpm.DepreciationMonths,INDEX(FixedAssets[Depreciation
/ Amortization Months],_xlfn.XMATCH($E$237,FixedAssets[Asset ID])),IF(AND((_xlfn.XMATCH(CB$8,$AH$8:$CC$8))-_xlfn.XMATCH($C283,$C$35:$C$82)+1&lt;=_xlpm.DepreciationMonths,$C283&lt;=CB$8),$E283/_xlpm.DepreciationMonths,0))</f>
        <v>0</v>
      </c>
      <c r="CC283" s="507" cm="1">
        <f t="array" ref="CC283">_xlfn.LET(_xlpm.DepreciationMonths,INDEX(FixedAssets[Depreciation
/ Amortization Months],_xlfn.XMATCH($E$237,FixedAssets[Asset ID])),IF(AND((_xlfn.XMATCH(CC$8,$AH$8:$CC$8))-_xlfn.XMATCH($C283,$C$35:$C$82)+1&lt;=_xlpm.DepreciationMonths,$C283&lt;=CC$8),$E283/_xlpm.DepreciationMonths,0))</f>
        <v>0</v>
      </c>
    </row>
    <row r="284" spans="3:81" hidden="1" outlineLevel="2">
      <c r="C284" s="664">
        <f t="shared" si="267"/>
        <v>46326</v>
      </c>
      <c r="D284" s="508"/>
      <c r="E284" s="508" cm="1">
        <f t="array" ref="E284">SUMPRODUCT(($AH$26:$CC$31)*($AH$5:$CC$5=$C284)*($E$26:$E$31=E$237))-SUMPRODUCT(($AH$26:$CC$31)*($AH$5:$CC$5=EOMONTH($C284,-1))*($E$26:$E$31=E$237))</f>
        <v>0</v>
      </c>
      <c r="F284" s="508"/>
      <c r="G284" s="508"/>
      <c r="H284" s="508"/>
      <c r="I284" s="508"/>
      <c r="J284" s="504">
        <f t="shared" si="265"/>
        <v>0</v>
      </c>
      <c r="K284" s="504">
        <f t="shared" si="265"/>
        <v>0</v>
      </c>
      <c r="L284" s="504">
        <f t="shared" si="265"/>
        <v>0</v>
      </c>
      <c r="M284" s="504">
        <f t="shared" si="265"/>
        <v>0</v>
      </c>
      <c r="N284" s="504"/>
      <c r="O284" s="504"/>
      <c r="P284" s="504">
        <f t="shared" si="271"/>
        <v>0</v>
      </c>
      <c r="Q284" s="504">
        <f t="shared" si="271"/>
        <v>0</v>
      </c>
      <c r="R284" s="504">
        <f t="shared" si="271"/>
        <v>0</v>
      </c>
      <c r="S284" s="504">
        <f t="shared" si="271"/>
        <v>0</v>
      </c>
      <c r="T284" s="504">
        <f t="shared" si="271"/>
        <v>0</v>
      </c>
      <c r="U284" s="504">
        <f t="shared" si="271"/>
        <v>0</v>
      </c>
      <c r="V284" s="504">
        <f t="shared" si="271"/>
        <v>0</v>
      </c>
      <c r="W284" s="504">
        <f t="shared" si="271"/>
        <v>0</v>
      </c>
      <c r="X284" s="504">
        <f t="shared" si="271"/>
        <v>0</v>
      </c>
      <c r="Y284" s="504">
        <f t="shared" si="271"/>
        <v>0</v>
      </c>
      <c r="Z284" s="504">
        <f t="shared" si="271"/>
        <v>0</v>
      </c>
      <c r="AA284" s="504">
        <f t="shared" si="271"/>
        <v>0</v>
      </c>
      <c r="AB284" s="504">
        <f t="shared" si="271"/>
        <v>0</v>
      </c>
      <c r="AC284" s="504">
        <f t="shared" si="271"/>
        <v>0</v>
      </c>
      <c r="AD284" s="504">
        <f t="shared" si="271"/>
        <v>0</v>
      </c>
      <c r="AE284" s="504">
        <f t="shared" si="271"/>
        <v>0</v>
      </c>
      <c r="AF284" s="508"/>
      <c r="AG284" s="508"/>
      <c r="AH284" s="507" cm="1">
        <f t="array" ref="AH284">_xlfn.LET(_xlpm.DepreciationMonths,INDEX(FixedAssets[Depreciation
/ Amortization Months],_xlfn.XMATCH($E$237,FixedAssets[Asset ID])),IF(AND((_xlfn.XMATCH(AH$8,$AH$8:$CC$8))-_xlfn.XMATCH($C284,$C$35:$C$82)+1&lt;=_xlpm.DepreciationMonths,$C284&lt;=AH$8),$E284/_xlpm.DepreciationMonths,0))</f>
        <v>0</v>
      </c>
      <c r="AI284" s="507" cm="1">
        <f t="array" ref="AI284">_xlfn.LET(_xlpm.DepreciationMonths,INDEX(FixedAssets[Depreciation
/ Amortization Months],_xlfn.XMATCH($E$237,FixedAssets[Asset ID])),IF(AND((_xlfn.XMATCH(AI$8,$AH$8:$CC$8))-_xlfn.XMATCH($C284,$C$35:$C$82)+1&lt;=_xlpm.DepreciationMonths,$C284&lt;=AI$8),$E284/_xlpm.DepreciationMonths,0))</f>
        <v>0</v>
      </c>
      <c r="AJ284" s="507" cm="1">
        <f t="array" ref="AJ284">_xlfn.LET(_xlpm.DepreciationMonths,INDEX(FixedAssets[Depreciation
/ Amortization Months],_xlfn.XMATCH($E$237,FixedAssets[Asset ID])),IF(AND((_xlfn.XMATCH(AJ$8,$AH$8:$CC$8))-_xlfn.XMATCH($C284,$C$35:$C$82)+1&lt;=_xlpm.DepreciationMonths,$C284&lt;=AJ$8),$E284/_xlpm.DepreciationMonths,0))</f>
        <v>0</v>
      </c>
      <c r="AK284" s="507" cm="1">
        <f t="array" ref="AK284">_xlfn.LET(_xlpm.DepreciationMonths,INDEX(FixedAssets[Depreciation
/ Amortization Months],_xlfn.XMATCH($E$237,FixedAssets[Asset ID])),IF(AND((_xlfn.XMATCH(AK$8,$AH$8:$CC$8))-_xlfn.XMATCH($C284,$C$35:$C$82)+1&lt;=_xlpm.DepreciationMonths,$C284&lt;=AK$8),$E284/_xlpm.DepreciationMonths,0))</f>
        <v>0</v>
      </c>
      <c r="AL284" s="507" cm="1">
        <f t="array" ref="AL284">_xlfn.LET(_xlpm.DepreciationMonths,INDEX(FixedAssets[Depreciation
/ Amortization Months],_xlfn.XMATCH($E$237,FixedAssets[Asset ID])),IF(AND((_xlfn.XMATCH(AL$8,$AH$8:$CC$8))-_xlfn.XMATCH($C284,$C$35:$C$82)+1&lt;=_xlpm.DepreciationMonths,$C284&lt;=AL$8),$E284/_xlpm.DepreciationMonths,0))</f>
        <v>0</v>
      </c>
      <c r="AM284" s="507" cm="1">
        <f t="array" ref="AM284">_xlfn.LET(_xlpm.DepreciationMonths,INDEX(FixedAssets[Depreciation
/ Amortization Months],_xlfn.XMATCH($E$237,FixedAssets[Asset ID])),IF(AND((_xlfn.XMATCH(AM$8,$AH$8:$CC$8))-_xlfn.XMATCH($C284,$C$35:$C$82)+1&lt;=_xlpm.DepreciationMonths,$C284&lt;=AM$8),$E284/_xlpm.DepreciationMonths,0))</f>
        <v>0</v>
      </c>
      <c r="AN284" s="507" cm="1">
        <f t="array" ref="AN284">_xlfn.LET(_xlpm.DepreciationMonths,INDEX(FixedAssets[Depreciation
/ Amortization Months],_xlfn.XMATCH($E$237,FixedAssets[Asset ID])),IF(AND((_xlfn.XMATCH(AN$8,$AH$8:$CC$8))-_xlfn.XMATCH($C284,$C$35:$C$82)+1&lt;=_xlpm.DepreciationMonths,$C284&lt;=AN$8),$E284/_xlpm.DepreciationMonths,0))</f>
        <v>0</v>
      </c>
      <c r="AO284" s="507" cm="1">
        <f t="array" ref="AO284">_xlfn.LET(_xlpm.DepreciationMonths,INDEX(FixedAssets[Depreciation
/ Amortization Months],_xlfn.XMATCH($E$237,FixedAssets[Asset ID])),IF(AND((_xlfn.XMATCH(AO$8,$AH$8:$CC$8))-_xlfn.XMATCH($C284,$C$35:$C$82)+1&lt;=_xlpm.DepreciationMonths,$C284&lt;=AO$8),$E284/_xlpm.DepreciationMonths,0))</f>
        <v>0</v>
      </c>
      <c r="AP284" s="507" cm="1">
        <f t="array" ref="AP284">_xlfn.LET(_xlpm.DepreciationMonths,INDEX(FixedAssets[Depreciation
/ Amortization Months],_xlfn.XMATCH($E$237,FixedAssets[Asset ID])),IF(AND((_xlfn.XMATCH(AP$8,$AH$8:$CC$8))-_xlfn.XMATCH($C284,$C$35:$C$82)+1&lt;=_xlpm.DepreciationMonths,$C284&lt;=AP$8),$E284/_xlpm.DepreciationMonths,0))</f>
        <v>0</v>
      </c>
      <c r="AQ284" s="507" cm="1">
        <f t="array" ref="AQ284">_xlfn.LET(_xlpm.DepreciationMonths,INDEX(FixedAssets[Depreciation
/ Amortization Months],_xlfn.XMATCH($E$237,FixedAssets[Asset ID])),IF(AND((_xlfn.XMATCH(AQ$8,$AH$8:$CC$8))-_xlfn.XMATCH($C284,$C$35:$C$82)+1&lt;=_xlpm.DepreciationMonths,$C284&lt;=AQ$8),$E284/_xlpm.DepreciationMonths,0))</f>
        <v>0</v>
      </c>
      <c r="AR284" s="507" cm="1">
        <f t="array" ref="AR284">_xlfn.LET(_xlpm.DepreciationMonths,INDEX(FixedAssets[Depreciation
/ Amortization Months],_xlfn.XMATCH($E$237,FixedAssets[Asset ID])),IF(AND((_xlfn.XMATCH(AR$8,$AH$8:$CC$8))-_xlfn.XMATCH($C284,$C$35:$C$82)+1&lt;=_xlpm.DepreciationMonths,$C284&lt;=AR$8),$E284/_xlpm.DepreciationMonths,0))</f>
        <v>0</v>
      </c>
      <c r="AS284" s="507" cm="1">
        <f t="array" ref="AS284">_xlfn.LET(_xlpm.DepreciationMonths,INDEX(FixedAssets[Depreciation
/ Amortization Months],_xlfn.XMATCH($E$237,FixedAssets[Asset ID])),IF(AND((_xlfn.XMATCH(AS$8,$AH$8:$CC$8))-_xlfn.XMATCH($C284,$C$35:$C$82)+1&lt;=_xlpm.DepreciationMonths,$C284&lt;=AS$8),$E284/_xlpm.DepreciationMonths,0))</f>
        <v>0</v>
      </c>
      <c r="AT284" s="507" cm="1">
        <f t="array" ref="AT284">_xlfn.LET(_xlpm.DepreciationMonths,INDEX(FixedAssets[Depreciation
/ Amortization Months],_xlfn.XMATCH($E$237,FixedAssets[Asset ID])),IF(AND((_xlfn.XMATCH(AT$8,$AH$8:$CC$8))-_xlfn.XMATCH($C284,$C$35:$C$82)+1&lt;=_xlpm.DepreciationMonths,$C284&lt;=AT$8),$E284/_xlpm.DepreciationMonths,0))</f>
        <v>0</v>
      </c>
      <c r="AU284" s="507" cm="1">
        <f t="array" ref="AU284">_xlfn.LET(_xlpm.DepreciationMonths,INDEX(FixedAssets[Depreciation
/ Amortization Months],_xlfn.XMATCH($E$237,FixedAssets[Asset ID])),IF(AND((_xlfn.XMATCH(AU$8,$AH$8:$CC$8))-_xlfn.XMATCH($C284,$C$35:$C$82)+1&lt;=_xlpm.DepreciationMonths,$C284&lt;=AU$8),$E284/_xlpm.DepreciationMonths,0))</f>
        <v>0</v>
      </c>
      <c r="AV284" s="507" cm="1">
        <f t="array" ref="AV284">_xlfn.LET(_xlpm.DepreciationMonths,INDEX(FixedAssets[Depreciation
/ Amortization Months],_xlfn.XMATCH($E$237,FixedAssets[Asset ID])),IF(AND((_xlfn.XMATCH(AV$8,$AH$8:$CC$8))-_xlfn.XMATCH($C284,$C$35:$C$82)+1&lt;=_xlpm.DepreciationMonths,$C284&lt;=AV$8),$E284/_xlpm.DepreciationMonths,0))</f>
        <v>0</v>
      </c>
      <c r="AW284" s="507" cm="1">
        <f t="array" ref="AW284">_xlfn.LET(_xlpm.DepreciationMonths,INDEX(FixedAssets[Depreciation
/ Amortization Months],_xlfn.XMATCH($E$237,FixedAssets[Asset ID])),IF(AND((_xlfn.XMATCH(AW$8,$AH$8:$CC$8))-_xlfn.XMATCH($C284,$C$35:$C$82)+1&lt;=_xlpm.DepreciationMonths,$C284&lt;=AW$8),$E284/_xlpm.DepreciationMonths,0))</f>
        <v>0</v>
      </c>
      <c r="AX284" s="507" cm="1">
        <f t="array" ref="AX284">_xlfn.LET(_xlpm.DepreciationMonths,INDEX(FixedAssets[Depreciation
/ Amortization Months],_xlfn.XMATCH($E$237,FixedAssets[Asset ID])),IF(AND((_xlfn.XMATCH(AX$8,$AH$8:$CC$8))-_xlfn.XMATCH($C284,$C$35:$C$82)+1&lt;=_xlpm.DepreciationMonths,$C284&lt;=AX$8),$E284/_xlpm.DepreciationMonths,0))</f>
        <v>0</v>
      </c>
      <c r="AY284" s="507" cm="1">
        <f t="array" ref="AY284">_xlfn.LET(_xlpm.DepreciationMonths,INDEX(FixedAssets[Depreciation
/ Amortization Months],_xlfn.XMATCH($E$237,FixedAssets[Asset ID])),IF(AND((_xlfn.XMATCH(AY$8,$AH$8:$CC$8))-_xlfn.XMATCH($C284,$C$35:$C$82)+1&lt;=_xlpm.DepreciationMonths,$C284&lt;=AY$8),$E284/_xlpm.DepreciationMonths,0))</f>
        <v>0</v>
      </c>
      <c r="AZ284" s="507" cm="1">
        <f t="array" ref="AZ284">_xlfn.LET(_xlpm.DepreciationMonths,INDEX(FixedAssets[Depreciation
/ Amortization Months],_xlfn.XMATCH($E$237,FixedAssets[Asset ID])),IF(AND((_xlfn.XMATCH(AZ$8,$AH$8:$CC$8))-_xlfn.XMATCH($C284,$C$35:$C$82)+1&lt;=_xlpm.DepreciationMonths,$C284&lt;=AZ$8),$E284/_xlpm.DepreciationMonths,0))</f>
        <v>0</v>
      </c>
      <c r="BA284" s="507" cm="1">
        <f t="array" ref="BA284">_xlfn.LET(_xlpm.DepreciationMonths,INDEX(FixedAssets[Depreciation
/ Amortization Months],_xlfn.XMATCH($E$237,FixedAssets[Asset ID])),IF(AND((_xlfn.XMATCH(BA$8,$AH$8:$CC$8))-_xlfn.XMATCH($C284,$C$35:$C$82)+1&lt;=_xlpm.DepreciationMonths,$C284&lt;=BA$8),$E284/_xlpm.DepreciationMonths,0))</f>
        <v>0</v>
      </c>
      <c r="BB284" s="507" cm="1">
        <f t="array" ref="BB284">_xlfn.LET(_xlpm.DepreciationMonths,INDEX(FixedAssets[Depreciation
/ Amortization Months],_xlfn.XMATCH($E$237,FixedAssets[Asset ID])),IF(AND((_xlfn.XMATCH(BB$8,$AH$8:$CC$8))-_xlfn.XMATCH($C284,$C$35:$C$82)+1&lt;=_xlpm.DepreciationMonths,$C284&lt;=BB$8),$E284/_xlpm.DepreciationMonths,0))</f>
        <v>0</v>
      </c>
      <c r="BC284" s="507" cm="1">
        <f t="array" ref="BC284">_xlfn.LET(_xlpm.DepreciationMonths,INDEX(FixedAssets[Depreciation
/ Amortization Months],_xlfn.XMATCH($E$237,FixedAssets[Asset ID])),IF(AND((_xlfn.XMATCH(BC$8,$AH$8:$CC$8))-_xlfn.XMATCH($C284,$C$35:$C$82)+1&lt;=_xlpm.DepreciationMonths,$C284&lt;=BC$8),$E284/_xlpm.DepreciationMonths,0))</f>
        <v>0</v>
      </c>
      <c r="BD284" s="507" cm="1">
        <f t="array" ref="BD284">_xlfn.LET(_xlpm.DepreciationMonths,INDEX(FixedAssets[Depreciation
/ Amortization Months],_xlfn.XMATCH($E$237,FixedAssets[Asset ID])),IF(AND((_xlfn.XMATCH(BD$8,$AH$8:$CC$8))-_xlfn.XMATCH($C284,$C$35:$C$82)+1&lt;=_xlpm.DepreciationMonths,$C284&lt;=BD$8),$E284/_xlpm.DepreciationMonths,0))</f>
        <v>0</v>
      </c>
      <c r="BE284" s="507" cm="1">
        <f t="array" ref="BE284">_xlfn.LET(_xlpm.DepreciationMonths,INDEX(FixedAssets[Depreciation
/ Amortization Months],_xlfn.XMATCH($E$237,FixedAssets[Asset ID])),IF(AND((_xlfn.XMATCH(BE$8,$AH$8:$CC$8))-_xlfn.XMATCH($C284,$C$35:$C$82)+1&lt;=_xlpm.DepreciationMonths,$C284&lt;=BE$8),$E284/_xlpm.DepreciationMonths,0))</f>
        <v>0</v>
      </c>
      <c r="BF284" s="507" cm="1">
        <f t="array" ref="BF284">_xlfn.LET(_xlpm.DepreciationMonths,INDEX(FixedAssets[Depreciation
/ Amortization Months],_xlfn.XMATCH($E$237,FixedAssets[Asset ID])),IF(AND((_xlfn.XMATCH(BF$8,$AH$8:$CC$8))-_xlfn.XMATCH($C284,$C$35:$C$82)+1&lt;=_xlpm.DepreciationMonths,$C284&lt;=BF$8),$E284/_xlpm.DepreciationMonths,0))</f>
        <v>0</v>
      </c>
      <c r="BG284" s="507" cm="1">
        <f t="array" ref="BG284">_xlfn.LET(_xlpm.DepreciationMonths,INDEX(FixedAssets[Depreciation
/ Amortization Months],_xlfn.XMATCH($E$237,FixedAssets[Asset ID])),IF(AND((_xlfn.XMATCH(BG$8,$AH$8:$CC$8))-_xlfn.XMATCH($C284,$C$35:$C$82)+1&lt;=_xlpm.DepreciationMonths,$C284&lt;=BG$8),$E284/_xlpm.DepreciationMonths,0))</f>
        <v>0</v>
      </c>
      <c r="BH284" s="507" cm="1">
        <f t="array" ref="BH284">_xlfn.LET(_xlpm.DepreciationMonths,INDEX(FixedAssets[Depreciation
/ Amortization Months],_xlfn.XMATCH($E$237,FixedAssets[Asset ID])),IF(AND((_xlfn.XMATCH(BH$8,$AH$8:$CC$8))-_xlfn.XMATCH($C284,$C$35:$C$82)+1&lt;=_xlpm.DepreciationMonths,$C284&lt;=BH$8),$E284/_xlpm.DepreciationMonths,0))</f>
        <v>0</v>
      </c>
      <c r="BI284" s="507" cm="1">
        <f t="array" ref="BI284">_xlfn.LET(_xlpm.DepreciationMonths,INDEX(FixedAssets[Depreciation
/ Amortization Months],_xlfn.XMATCH($E$237,FixedAssets[Asset ID])),IF(AND((_xlfn.XMATCH(BI$8,$AH$8:$CC$8))-_xlfn.XMATCH($C284,$C$35:$C$82)+1&lt;=_xlpm.DepreciationMonths,$C284&lt;=BI$8),$E284/_xlpm.DepreciationMonths,0))</f>
        <v>0</v>
      </c>
      <c r="BJ284" s="507" cm="1">
        <f t="array" ref="BJ284">_xlfn.LET(_xlpm.DepreciationMonths,INDEX(FixedAssets[Depreciation
/ Amortization Months],_xlfn.XMATCH($E$237,FixedAssets[Asset ID])),IF(AND((_xlfn.XMATCH(BJ$8,$AH$8:$CC$8))-_xlfn.XMATCH($C284,$C$35:$C$82)+1&lt;=_xlpm.DepreciationMonths,$C284&lt;=BJ$8),$E284/_xlpm.DepreciationMonths,0))</f>
        <v>0</v>
      </c>
      <c r="BK284" s="507" cm="1">
        <f t="array" ref="BK284">_xlfn.LET(_xlpm.DepreciationMonths,INDEX(FixedAssets[Depreciation
/ Amortization Months],_xlfn.XMATCH($E$237,FixedAssets[Asset ID])),IF(AND((_xlfn.XMATCH(BK$8,$AH$8:$CC$8))-_xlfn.XMATCH($C284,$C$35:$C$82)+1&lt;=_xlpm.DepreciationMonths,$C284&lt;=BK$8),$E284/_xlpm.DepreciationMonths,0))</f>
        <v>0</v>
      </c>
      <c r="BL284" s="507" cm="1">
        <f t="array" ref="BL284">_xlfn.LET(_xlpm.DepreciationMonths,INDEX(FixedAssets[Depreciation
/ Amortization Months],_xlfn.XMATCH($E$237,FixedAssets[Asset ID])),IF(AND((_xlfn.XMATCH(BL$8,$AH$8:$CC$8))-_xlfn.XMATCH($C284,$C$35:$C$82)+1&lt;=_xlpm.DepreciationMonths,$C284&lt;=BL$8),$E284/_xlpm.DepreciationMonths,0))</f>
        <v>0</v>
      </c>
      <c r="BM284" s="507" cm="1">
        <f t="array" ref="BM284">_xlfn.LET(_xlpm.DepreciationMonths,INDEX(FixedAssets[Depreciation
/ Amortization Months],_xlfn.XMATCH($E$237,FixedAssets[Asset ID])),IF(AND((_xlfn.XMATCH(BM$8,$AH$8:$CC$8))-_xlfn.XMATCH($C284,$C$35:$C$82)+1&lt;=_xlpm.DepreciationMonths,$C284&lt;=BM$8),$E284/_xlpm.DepreciationMonths,0))</f>
        <v>0</v>
      </c>
      <c r="BN284" s="507" cm="1">
        <f t="array" ref="BN284">_xlfn.LET(_xlpm.DepreciationMonths,INDEX(FixedAssets[Depreciation
/ Amortization Months],_xlfn.XMATCH($E$237,FixedAssets[Asset ID])),IF(AND((_xlfn.XMATCH(BN$8,$AH$8:$CC$8))-_xlfn.XMATCH($C284,$C$35:$C$82)+1&lt;=_xlpm.DepreciationMonths,$C284&lt;=BN$8),$E284/_xlpm.DepreciationMonths,0))</f>
        <v>0</v>
      </c>
      <c r="BO284" s="507" cm="1">
        <f t="array" ref="BO284">_xlfn.LET(_xlpm.DepreciationMonths,INDEX(FixedAssets[Depreciation
/ Amortization Months],_xlfn.XMATCH($E$237,FixedAssets[Asset ID])),IF(AND((_xlfn.XMATCH(BO$8,$AH$8:$CC$8))-_xlfn.XMATCH($C284,$C$35:$C$82)+1&lt;=_xlpm.DepreciationMonths,$C284&lt;=BO$8),$E284/_xlpm.DepreciationMonths,0))</f>
        <v>0</v>
      </c>
      <c r="BP284" s="507" cm="1">
        <f t="array" ref="BP284">_xlfn.LET(_xlpm.DepreciationMonths,INDEX(FixedAssets[Depreciation
/ Amortization Months],_xlfn.XMATCH($E$237,FixedAssets[Asset ID])),IF(AND((_xlfn.XMATCH(BP$8,$AH$8:$CC$8))-_xlfn.XMATCH($C284,$C$35:$C$82)+1&lt;=_xlpm.DepreciationMonths,$C284&lt;=BP$8),$E284/_xlpm.DepreciationMonths,0))</f>
        <v>0</v>
      </c>
      <c r="BQ284" s="507" cm="1">
        <f t="array" ref="BQ284">_xlfn.LET(_xlpm.DepreciationMonths,INDEX(FixedAssets[Depreciation
/ Amortization Months],_xlfn.XMATCH($E$237,FixedAssets[Asset ID])),IF(AND((_xlfn.XMATCH(BQ$8,$AH$8:$CC$8))-_xlfn.XMATCH($C284,$C$35:$C$82)+1&lt;=_xlpm.DepreciationMonths,$C284&lt;=BQ$8),$E284/_xlpm.DepreciationMonths,0))</f>
        <v>0</v>
      </c>
      <c r="BR284" s="507" cm="1">
        <f t="array" ref="BR284">_xlfn.LET(_xlpm.DepreciationMonths,INDEX(FixedAssets[Depreciation
/ Amortization Months],_xlfn.XMATCH($E$237,FixedAssets[Asset ID])),IF(AND((_xlfn.XMATCH(BR$8,$AH$8:$CC$8))-_xlfn.XMATCH($C284,$C$35:$C$82)+1&lt;=_xlpm.DepreciationMonths,$C284&lt;=BR$8),$E284/_xlpm.DepreciationMonths,0))</f>
        <v>0</v>
      </c>
      <c r="BS284" s="507" cm="1">
        <f t="array" ref="BS284">_xlfn.LET(_xlpm.DepreciationMonths,INDEX(FixedAssets[Depreciation
/ Amortization Months],_xlfn.XMATCH($E$237,FixedAssets[Asset ID])),IF(AND((_xlfn.XMATCH(BS$8,$AH$8:$CC$8))-_xlfn.XMATCH($C284,$C$35:$C$82)+1&lt;=_xlpm.DepreciationMonths,$C284&lt;=BS$8),$E284/_xlpm.DepreciationMonths,0))</f>
        <v>0</v>
      </c>
      <c r="BT284" s="507" cm="1">
        <f t="array" ref="BT284">_xlfn.LET(_xlpm.DepreciationMonths,INDEX(FixedAssets[Depreciation
/ Amortization Months],_xlfn.XMATCH($E$237,FixedAssets[Asset ID])),IF(AND((_xlfn.XMATCH(BT$8,$AH$8:$CC$8))-_xlfn.XMATCH($C284,$C$35:$C$82)+1&lt;=_xlpm.DepreciationMonths,$C284&lt;=BT$8),$E284/_xlpm.DepreciationMonths,0))</f>
        <v>0</v>
      </c>
      <c r="BU284" s="507" cm="1">
        <f t="array" ref="BU284">_xlfn.LET(_xlpm.DepreciationMonths,INDEX(FixedAssets[Depreciation
/ Amortization Months],_xlfn.XMATCH($E$237,FixedAssets[Asset ID])),IF(AND((_xlfn.XMATCH(BU$8,$AH$8:$CC$8))-_xlfn.XMATCH($C284,$C$35:$C$82)+1&lt;=_xlpm.DepreciationMonths,$C284&lt;=BU$8),$E284/_xlpm.DepreciationMonths,0))</f>
        <v>0</v>
      </c>
      <c r="BV284" s="507" cm="1">
        <f t="array" ref="BV284">_xlfn.LET(_xlpm.DepreciationMonths,INDEX(FixedAssets[Depreciation
/ Amortization Months],_xlfn.XMATCH($E$237,FixedAssets[Asset ID])),IF(AND((_xlfn.XMATCH(BV$8,$AH$8:$CC$8))-_xlfn.XMATCH($C284,$C$35:$C$82)+1&lt;=_xlpm.DepreciationMonths,$C284&lt;=BV$8),$E284/_xlpm.DepreciationMonths,0))</f>
        <v>0</v>
      </c>
      <c r="BW284" s="507" cm="1">
        <f t="array" ref="BW284">_xlfn.LET(_xlpm.DepreciationMonths,INDEX(FixedAssets[Depreciation
/ Amortization Months],_xlfn.XMATCH($E$237,FixedAssets[Asset ID])),IF(AND((_xlfn.XMATCH(BW$8,$AH$8:$CC$8))-_xlfn.XMATCH($C284,$C$35:$C$82)+1&lt;=_xlpm.DepreciationMonths,$C284&lt;=BW$8),$E284/_xlpm.DepreciationMonths,0))</f>
        <v>0</v>
      </c>
      <c r="BX284" s="507" cm="1">
        <f t="array" ref="BX284">_xlfn.LET(_xlpm.DepreciationMonths,INDEX(FixedAssets[Depreciation
/ Amortization Months],_xlfn.XMATCH($E$237,FixedAssets[Asset ID])),IF(AND((_xlfn.XMATCH(BX$8,$AH$8:$CC$8))-_xlfn.XMATCH($C284,$C$35:$C$82)+1&lt;=_xlpm.DepreciationMonths,$C284&lt;=BX$8),$E284/_xlpm.DepreciationMonths,0))</f>
        <v>0</v>
      </c>
      <c r="BY284" s="507" cm="1">
        <f t="array" ref="BY284">_xlfn.LET(_xlpm.DepreciationMonths,INDEX(FixedAssets[Depreciation
/ Amortization Months],_xlfn.XMATCH($E$237,FixedAssets[Asset ID])),IF(AND((_xlfn.XMATCH(BY$8,$AH$8:$CC$8))-_xlfn.XMATCH($C284,$C$35:$C$82)+1&lt;=_xlpm.DepreciationMonths,$C284&lt;=BY$8),$E284/_xlpm.DepreciationMonths,0))</f>
        <v>0</v>
      </c>
      <c r="BZ284" s="507" cm="1">
        <f t="array" ref="BZ284">_xlfn.LET(_xlpm.DepreciationMonths,INDEX(FixedAssets[Depreciation
/ Amortization Months],_xlfn.XMATCH($E$237,FixedAssets[Asset ID])),IF(AND((_xlfn.XMATCH(BZ$8,$AH$8:$CC$8))-_xlfn.XMATCH($C284,$C$35:$C$82)+1&lt;=_xlpm.DepreciationMonths,$C284&lt;=BZ$8),$E284/_xlpm.DepreciationMonths,0))</f>
        <v>0</v>
      </c>
      <c r="CA284" s="507" cm="1">
        <f t="array" ref="CA284">_xlfn.LET(_xlpm.DepreciationMonths,INDEX(FixedAssets[Depreciation
/ Amortization Months],_xlfn.XMATCH($E$237,FixedAssets[Asset ID])),IF(AND((_xlfn.XMATCH(CA$8,$AH$8:$CC$8))-_xlfn.XMATCH($C284,$C$35:$C$82)+1&lt;=_xlpm.DepreciationMonths,$C284&lt;=CA$8),$E284/_xlpm.DepreciationMonths,0))</f>
        <v>0</v>
      </c>
      <c r="CB284" s="507" cm="1">
        <f t="array" ref="CB284">_xlfn.LET(_xlpm.DepreciationMonths,INDEX(FixedAssets[Depreciation
/ Amortization Months],_xlfn.XMATCH($E$237,FixedAssets[Asset ID])),IF(AND((_xlfn.XMATCH(CB$8,$AH$8:$CC$8))-_xlfn.XMATCH($C284,$C$35:$C$82)+1&lt;=_xlpm.DepreciationMonths,$C284&lt;=CB$8),$E284/_xlpm.DepreciationMonths,0))</f>
        <v>0</v>
      </c>
      <c r="CC284" s="507" cm="1">
        <f t="array" ref="CC284">_xlfn.LET(_xlpm.DepreciationMonths,INDEX(FixedAssets[Depreciation
/ Amortization Months],_xlfn.XMATCH($E$237,FixedAssets[Asset ID])),IF(AND((_xlfn.XMATCH(CC$8,$AH$8:$CC$8))-_xlfn.XMATCH($C284,$C$35:$C$82)+1&lt;=_xlpm.DepreciationMonths,$C284&lt;=CC$8),$E284/_xlpm.DepreciationMonths,0))</f>
        <v>0</v>
      </c>
    </row>
    <row r="285" spans="3:81" hidden="1" outlineLevel="2">
      <c r="C285" s="664">
        <f t="shared" si="267"/>
        <v>46356</v>
      </c>
      <c r="D285" s="508"/>
      <c r="E285" s="508" cm="1">
        <f t="array" ref="E285">SUMPRODUCT(($AH$26:$CC$31)*($AH$5:$CC$5=$C285)*($E$26:$E$31=E$237))-SUMPRODUCT(($AH$26:$CC$31)*($AH$5:$CC$5=EOMONTH($C285,-1))*($E$26:$E$31=E$237))</f>
        <v>0</v>
      </c>
      <c r="F285" s="508"/>
      <c r="G285" s="508"/>
      <c r="H285" s="508"/>
      <c r="I285" s="508"/>
      <c r="J285" s="504">
        <f t="shared" si="265"/>
        <v>0</v>
      </c>
      <c r="K285" s="504">
        <f t="shared" si="265"/>
        <v>0</v>
      </c>
      <c r="L285" s="504">
        <f t="shared" si="265"/>
        <v>0</v>
      </c>
      <c r="M285" s="504">
        <f t="shared" si="265"/>
        <v>0</v>
      </c>
      <c r="N285" s="504"/>
      <c r="O285" s="504"/>
      <c r="P285" s="504">
        <f t="shared" si="271"/>
        <v>0</v>
      </c>
      <c r="Q285" s="504">
        <f t="shared" si="271"/>
        <v>0</v>
      </c>
      <c r="R285" s="504">
        <f t="shared" si="271"/>
        <v>0</v>
      </c>
      <c r="S285" s="504">
        <f t="shared" si="271"/>
        <v>0</v>
      </c>
      <c r="T285" s="504">
        <f t="shared" si="271"/>
        <v>0</v>
      </c>
      <c r="U285" s="504">
        <f t="shared" si="271"/>
        <v>0</v>
      </c>
      <c r="V285" s="504">
        <f t="shared" si="271"/>
        <v>0</v>
      </c>
      <c r="W285" s="504">
        <f t="shared" si="271"/>
        <v>0</v>
      </c>
      <c r="X285" s="504">
        <f t="shared" si="271"/>
        <v>0</v>
      </c>
      <c r="Y285" s="504">
        <f t="shared" si="271"/>
        <v>0</v>
      </c>
      <c r="Z285" s="504">
        <f t="shared" si="271"/>
        <v>0</v>
      </c>
      <c r="AA285" s="504">
        <f t="shared" si="271"/>
        <v>0</v>
      </c>
      <c r="AB285" s="504">
        <f t="shared" si="271"/>
        <v>0</v>
      </c>
      <c r="AC285" s="504">
        <f t="shared" si="271"/>
        <v>0</v>
      </c>
      <c r="AD285" s="504">
        <f t="shared" si="271"/>
        <v>0</v>
      </c>
      <c r="AE285" s="504">
        <f t="shared" si="271"/>
        <v>0</v>
      </c>
      <c r="AF285" s="508"/>
      <c r="AG285" s="508"/>
      <c r="AH285" s="507" cm="1">
        <f t="array" ref="AH285">_xlfn.LET(_xlpm.DepreciationMonths,INDEX(FixedAssets[Depreciation
/ Amortization Months],_xlfn.XMATCH($E$237,FixedAssets[Asset ID])),IF(AND((_xlfn.XMATCH(AH$8,$AH$8:$CC$8))-_xlfn.XMATCH($C285,$C$35:$C$82)+1&lt;=_xlpm.DepreciationMonths,$C285&lt;=AH$8),$E285/_xlpm.DepreciationMonths,0))</f>
        <v>0</v>
      </c>
      <c r="AI285" s="507" cm="1">
        <f t="array" ref="AI285">_xlfn.LET(_xlpm.DepreciationMonths,INDEX(FixedAssets[Depreciation
/ Amortization Months],_xlfn.XMATCH($E$237,FixedAssets[Asset ID])),IF(AND((_xlfn.XMATCH(AI$8,$AH$8:$CC$8))-_xlfn.XMATCH($C285,$C$35:$C$82)+1&lt;=_xlpm.DepreciationMonths,$C285&lt;=AI$8),$E285/_xlpm.DepreciationMonths,0))</f>
        <v>0</v>
      </c>
      <c r="AJ285" s="507" cm="1">
        <f t="array" ref="AJ285">_xlfn.LET(_xlpm.DepreciationMonths,INDEX(FixedAssets[Depreciation
/ Amortization Months],_xlfn.XMATCH($E$237,FixedAssets[Asset ID])),IF(AND((_xlfn.XMATCH(AJ$8,$AH$8:$CC$8))-_xlfn.XMATCH($C285,$C$35:$C$82)+1&lt;=_xlpm.DepreciationMonths,$C285&lt;=AJ$8),$E285/_xlpm.DepreciationMonths,0))</f>
        <v>0</v>
      </c>
      <c r="AK285" s="507" cm="1">
        <f t="array" ref="AK285">_xlfn.LET(_xlpm.DepreciationMonths,INDEX(FixedAssets[Depreciation
/ Amortization Months],_xlfn.XMATCH($E$237,FixedAssets[Asset ID])),IF(AND((_xlfn.XMATCH(AK$8,$AH$8:$CC$8))-_xlfn.XMATCH($C285,$C$35:$C$82)+1&lt;=_xlpm.DepreciationMonths,$C285&lt;=AK$8),$E285/_xlpm.DepreciationMonths,0))</f>
        <v>0</v>
      </c>
      <c r="AL285" s="507" cm="1">
        <f t="array" ref="AL285">_xlfn.LET(_xlpm.DepreciationMonths,INDEX(FixedAssets[Depreciation
/ Amortization Months],_xlfn.XMATCH($E$237,FixedAssets[Asset ID])),IF(AND((_xlfn.XMATCH(AL$8,$AH$8:$CC$8))-_xlfn.XMATCH($C285,$C$35:$C$82)+1&lt;=_xlpm.DepreciationMonths,$C285&lt;=AL$8),$E285/_xlpm.DepreciationMonths,0))</f>
        <v>0</v>
      </c>
      <c r="AM285" s="507" cm="1">
        <f t="array" ref="AM285">_xlfn.LET(_xlpm.DepreciationMonths,INDEX(FixedAssets[Depreciation
/ Amortization Months],_xlfn.XMATCH($E$237,FixedAssets[Asset ID])),IF(AND((_xlfn.XMATCH(AM$8,$AH$8:$CC$8))-_xlfn.XMATCH($C285,$C$35:$C$82)+1&lt;=_xlpm.DepreciationMonths,$C285&lt;=AM$8),$E285/_xlpm.DepreciationMonths,0))</f>
        <v>0</v>
      </c>
      <c r="AN285" s="507" cm="1">
        <f t="array" ref="AN285">_xlfn.LET(_xlpm.DepreciationMonths,INDEX(FixedAssets[Depreciation
/ Amortization Months],_xlfn.XMATCH($E$237,FixedAssets[Asset ID])),IF(AND((_xlfn.XMATCH(AN$8,$AH$8:$CC$8))-_xlfn.XMATCH($C285,$C$35:$C$82)+1&lt;=_xlpm.DepreciationMonths,$C285&lt;=AN$8),$E285/_xlpm.DepreciationMonths,0))</f>
        <v>0</v>
      </c>
      <c r="AO285" s="507" cm="1">
        <f t="array" ref="AO285">_xlfn.LET(_xlpm.DepreciationMonths,INDEX(FixedAssets[Depreciation
/ Amortization Months],_xlfn.XMATCH($E$237,FixedAssets[Asset ID])),IF(AND((_xlfn.XMATCH(AO$8,$AH$8:$CC$8))-_xlfn.XMATCH($C285,$C$35:$C$82)+1&lt;=_xlpm.DepreciationMonths,$C285&lt;=AO$8),$E285/_xlpm.DepreciationMonths,0))</f>
        <v>0</v>
      </c>
      <c r="AP285" s="507" cm="1">
        <f t="array" ref="AP285">_xlfn.LET(_xlpm.DepreciationMonths,INDEX(FixedAssets[Depreciation
/ Amortization Months],_xlfn.XMATCH($E$237,FixedAssets[Asset ID])),IF(AND((_xlfn.XMATCH(AP$8,$AH$8:$CC$8))-_xlfn.XMATCH($C285,$C$35:$C$82)+1&lt;=_xlpm.DepreciationMonths,$C285&lt;=AP$8),$E285/_xlpm.DepreciationMonths,0))</f>
        <v>0</v>
      </c>
      <c r="AQ285" s="507" cm="1">
        <f t="array" ref="AQ285">_xlfn.LET(_xlpm.DepreciationMonths,INDEX(FixedAssets[Depreciation
/ Amortization Months],_xlfn.XMATCH($E$237,FixedAssets[Asset ID])),IF(AND((_xlfn.XMATCH(AQ$8,$AH$8:$CC$8))-_xlfn.XMATCH($C285,$C$35:$C$82)+1&lt;=_xlpm.DepreciationMonths,$C285&lt;=AQ$8),$E285/_xlpm.DepreciationMonths,0))</f>
        <v>0</v>
      </c>
      <c r="AR285" s="507" cm="1">
        <f t="array" ref="AR285">_xlfn.LET(_xlpm.DepreciationMonths,INDEX(FixedAssets[Depreciation
/ Amortization Months],_xlfn.XMATCH($E$237,FixedAssets[Asset ID])),IF(AND((_xlfn.XMATCH(AR$8,$AH$8:$CC$8))-_xlfn.XMATCH($C285,$C$35:$C$82)+1&lt;=_xlpm.DepreciationMonths,$C285&lt;=AR$8),$E285/_xlpm.DepreciationMonths,0))</f>
        <v>0</v>
      </c>
      <c r="AS285" s="507" cm="1">
        <f t="array" ref="AS285">_xlfn.LET(_xlpm.DepreciationMonths,INDEX(FixedAssets[Depreciation
/ Amortization Months],_xlfn.XMATCH($E$237,FixedAssets[Asset ID])),IF(AND((_xlfn.XMATCH(AS$8,$AH$8:$CC$8))-_xlfn.XMATCH($C285,$C$35:$C$82)+1&lt;=_xlpm.DepreciationMonths,$C285&lt;=AS$8),$E285/_xlpm.DepreciationMonths,0))</f>
        <v>0</v>
      </c>
      <c r="AT285" s="507" cm="1">
        <f t="array" ref="AT285">_xlfn.LET(_xlpm.DepreciationMonths,INDEX(FixedAssets[Depreciation
/ Amortization Months],_xlfn.XMATCH($E$237,FixedAssets[Asset ID])),IF(AND((_xlfn.XMATCH(AT$8,$AH$8:$CC$8))-_xlfn.XMATCH($C285,$C$35:$C$82)+1&lt;=_xlpm.DepreciationMonths,$C285&lt;=AT$8),$E285/_xlpm.DepreciationMonths,0))</f>
        <v>0</v>
      </c>
      <c r="AU285" s="507" cm="1">
        <f t="array" ref="AU285">_xlfn.LET(_xlpm.DepreciationMonths,INDEX(FixedAssets[Depreciation
/ Amortization Months],_xlfn.XMATCH($E$237,FixedAssets[Asset ID])),IF(AND((_xlfn.XMATCH(AU$8,$AH$8:$CC$8))-_xlfn.XMATCH($C285,$C$35:$C$82)+1&lt;=_xlpm.DepreciationMonths,$C285&lt;=AU$8),$E285/_xlpm.DepreciationMonths,0))</f>
        <v>0</v>
      </c>
      <c r="AV285" s="507" cm="1">
        <f t="array" ref="AV285">_xlfn.LET(_xlpm.DepreciationMonths,INDEX(FixedAssets[Depreciation
/ Amortization Months],_xlfn.XMATCH($E$237,FixedAssets[Asset ID])),IF(AND((_xlfn.XMATCH(AV$8,$AH$8:$CC$8))-_xlfn.XMATCH($C285,$C$35:$C$82)+1&lt;=_xlpm.DepreciationMonths,$C285&lt;=AV$8),$E285/_xlpm.DepreciationMonths,0))</f>
        <v>0</v>
      </c>
      <c r="AW285" s="507" cm="1">
        <f t="array" ref="AW285">_xlfn.LET(_xlpm.DepreciationMonths,INDEX(FixedAssets[Depreciation
/ Amortization Months],_xlfn.XMATCH($E$237,FixedAssets[Asset ID])),IF(AND((_xlfn.XMATCH(AW$8,$AH$8:$CC$8))-_xlfn.XMATCH($C285,$C$35:$C$82)+1&lt;=_xlpm.DepreciationMonths,$C285&lt;=AW$8),$E285/_xlpm.DepreciationMonths,0))</f>
        <v>0</v>
      </c>
      <c r="AX285" s="507" cm="1">
        <f t="array" ref="AX285">_xlfn.LET(_xlpm.DepreciationMonths,INDEX(FixedAssets[Depreciation
/ Amortization Months],_xlfn.XMATCH($E$237,FixedAssets[Asset ID])),IF(AND((_xlfn.XMATCH(AX$8,$AH$8:$CC$8))-_xlfn.XMATCH($C285,$C$35:$C$82)+1&lt;=_xlpm.DepreciationMonths,$C285&lt;=AX$8),$E285/_xlpm.DepreciationMonths,0))</f>
        <v>0</v>
      </c>
      <c r="AY285" s="507" cm="1">
        <f t="array" ref="AY285">_xlfn.LET(_xlpm.DepreciationMonths,INDEX(FixedAssets[Depreciation
/ Amortization Months],_xlfn.XMATCH($E$237,FixedAssets[Asset ID])),IF(AND((_xlfn.XMATCH(AY$8,$AH$8:$CC$8))-_xlfn.XMATCH($C285,$C$35:$C$82)+1&lt;=_xlpm.DepreciationMonths,$C285&lt;=AY$8),$E285/_xlpm.DepreciationMonths,0))</f>
        <v>0</v>
      </c>
      <c r="AZ285" s="507" cm="1">
        <f t="array" ref="AZ285">_xlfn.LET(_xlpm.DepreciationMonths,INDEX(FixedAssets[Depreciation
/ Amortization Months],_xlfn.XMATCH($E$237,FixedAssets[Asset ID])),IF(AND((_xlfn.XMATCH(AZ$8,$AH$8:$CC$8))-_xlfn.XMATCH($C285,$C$35:$C$82)+1&lt;=_xlpm.DepreciationMonths,$C285&lt;=AZ$8),$E285/_xlpm.DepreciationMonths,0))</f>
        <v>0</v>
      </c>
      <c r="BA285" s="507" cm="1">
        <f t="array" ref="BA285">_xlfn.LET(_xlpm.DepreciationMonths,INDEX(FixedAssets[Depreciation
/ Amortization Months],_xlfn.XMATCH($E$237,FixedAssets[Asset ID])),IF(AND((_xlfn.XMATCH(BA$8,$AH$8:$CC$8))-_xlfn.XMATCH($C285,$C$35:$C$82)+1&lt;=_xlpm.DepreciationMonths,$C285&lt;=BA$8),$E285/_xlpm.DepreciationMonths,0))</f>
        <v>0</v>
      </c>
      <c r="BB285" s="507" cm="1">
        <f t="array" ref="BB285">_xlfn.LET(_xlpm.DepreciationMonths,INDEX(FixedAssets[Depreciation
/ Amortization Months],_xlfn.XMATCH($E$237,FixedAssets[Asset ID])),IF(AND((_xlfn.XMATCH(BB$8,$AH$8:$CC$8))-_xlfn.XMATCH($C285,$C$35:$C$82)+1&lt;=_xlpm.DepreciationMonths,$C285&lt;=BB$8),$E285/_xlpm.DepreciationMonths,0))</f>
        <v>0</v>
      </c>
      <c r="BC285" s="507" cm="1">
        <f t="array" ref="BC285">_xlfn.LET(_xlpm.DepreciationMonths,INDEX(FixedAssets[Depreciation
/ Amortization Months],_xlfn.XMATCH($E$237,FixedAssets[Asset ID])),IF(AND((_xlfn.XMATCH(BC$8,$AH$8:$CC$8))-_xlfn.XMATCH($C285,$C$35:$C$82)+1&lt;=_xlpm.DepreciationMonths,$C285&lt;=BC$8),$E285/_xlpm.DepreciationMonths,0))</f>
        <v>0</v>
      </c>
      <c r="BD285" s="507" cm="1">
        <f t="array" ref="BD285">_xlfn.LET(_xlpm.DepreciationMonths,INDEX(FixedAssets[Depreciation
/ Amortization Months],_xlfn.XMATCH($E$237,FixedAssets[Asset ID])),IF(AND((_xlfn.XMATCH(BD$8,$AH$8:$CC$8))-_xlfn.XMATCH($C285,$C$35:$C$82)+1&lt;=_xlpm.DepreciationMonths,$C285&lt;=BD$8),$E285/_xlpm.DepreciationMonths,0))</f>
        <v>0</v>
      </c>
      <c r="BE285" s="507" cm="1">
        <f t="array" ref="BE285">_xlfn.LET(_xlpm.DepreciationMonths,INDEX(FixedAssets[Depreciation
/ Amortization Months],_xlfn.XMATCH($E$237,FixedAssets[Asset ID])),IF(AND((_xlfn.XMATCH(BE$8,$AH$8:$CC$8))-_xlfn.XMATCH($C285,$C$35:$C$82)+1&lt;=_xlpm.DepreciationMonths,$C285&lt;=BE$8),$E285/_xlpm.DepreciationMonths,0))</f>
        <v>0</v>
      </c>
      <c r="BF285" s="507" cm="1">
        <f t="array" ref="BF285">_xlfn.LET(_xlpm.DepreciationMonths,INDEX(FixedAssets[Depreciation
/ Amortization Months],_xlfn.XMATCH($E$237,FixedAssets[Asset ID])),IF(AND((_xlfn.XMATCH(BF$8,$AH$8:$CC$8))-_xlfn.XMATCH($C285,$C$35:$C$82)+1&lt;=_xlpm.DepreciationMonths,$C285&lt;=BF$8),$E285/_xlpm.DepreciationMonths,0))</f>
        <v>0</v>
      </c>
      <c r="BG285" s="507" cm="1">
        <f t="array" ref="BG285">_xlfn.LET(_xlpm.DepreciationMonths,INDEX(FixedAssets[Depreciation
/ Amortization Months],_xlfn.XMATCH($E$237,FixedAssets[Asset ID])),IF(AND((_xlfn.XMATCH(BG$8,$AH$8:$CC$8))-_xlfn.XMATCH($C285,$C$35:$C$82)+1&lt;=_xlpm.DepreciationMonths,$C285&lt;=BG$8),$E285/_xlpm.DepreciationMonths,0))</f>
        <v>0</v>
      </c>
      <c r="BH285" s="507" cm="1">
        <f t="array" ref="BH285">_xlfn.LET(_xlpm.DepreciationMonths,INDEX(FixedAssets[Depreciation
/ Amortization Months],_xlfn.XMATCH($E$237,FixedAssets[Asset ID])),IF(AND((_xlfn.XMATCH(BH$8,$AH$8:$CC$8))-_xlfn.XMATCH($C285,$C$35:$C$82)+1&lt;=_xlpm.DepreciationMonths,$C285&lt;=BH$8),$E285/_xlpm.DepreciationMonths,0))</f>
        <v>0</v>
      </c>
      <c r="BI285" s="507" cm="1">
        <f t="array" ref="BI285">_xlfn.LET(_xlpm.DepreciationMonths,INDEX(FixedAssets[Depreciation
/ Amortization Months],_xlfn.XMATCH($E$237,FixedAssets[Asset ID])),IF(AND((_xlfn.XMATCH(BI$8,$AH$8:$CC$8))-_xlfn.XMATCH($C285,$C$35:$C$82)+1&lt;=_xlpm.DepreciationMonths,$C285&lt;=BI$8),$E285/_xlpm.DepreciationMonths,0))</f>
        <v>0</v>
      </c>
      <c r="BJ285" s="507" cm="1">
        <f t="array" ref="BJ285">_xlfn.LET(_xlpm.DepreciationMonths,INDEX(FixedAssets[Depreciation
/ Amortization Months],_xlfn.XMATCH($E$237,FixedAssets[Asset ID])),IF(AND((_xlfn.XMATCH(BJ$8,$AH$8:$CC$8))-_xlfn.XMATCH($C285,$C$35:$C$82)+1&lt;=_xlpm.DepreciationMonths,$C285&lt;=BJ$8),$E285/_xlpm.DepreciationMonths,0))</f>
        <v>0</v>
      </c>
      <c r="BK285" s="507" cm="1">
        <f t="array" ref="BK285">_xlfn.LET(_xlpm.DepreciationMonths,INDEX(FixedAssets[Depreciation
/ Amortization Months],_xlfn.XMATCH($E$237,FixedAssets[Asset ID])),IF(AND((_xlfn.XMATCH(BK$8,$AH$8:$CC$8))-_xlfn.XMATCH($C285,$C$35:$C$82)+1&lt;=_xlpm.DepreciationMonths,$C285&lt;=BK$8),$E285/_xlpm.DepreciationMonths,0))</f>
        <v>0</v>
      </c>
      <c r="BL285" s="507" cm="1">
        <f t="array" ref="BL285">_xlfn.LET(_xlpm.DepreciationMonths,INDEX(FixedAssets[Depreciation
/ Amortization Months],_xlfn.XMATCH($E$237,FixedAssets[Asset ID])),IF(AND((_xlfn.XMATCH(BL$8,$AH$8:$CC$8))-_xlfn.XMATCH($C285,$C$35:$C$82)+1&lt;=_xlpm.DepreciationMonths,$C285&lt;=BL$8),$E285/_xlpm.DepreciationMonths,0))</f>
        <v>0</v>
      </c>
      <c r="BM285" s="507" cm="1">
        <f t="array" ref="BM285">_xlfn.LET(_xlpm.DepreciationMonths,INDEX(FixedAssets[Depreciation
/ Amortization Months],_xlfn.XMATCH($E$237,FixedAssets[Asset ID])),IF(AND((_xlfn.XMATCH(BM$8,$AH$8:$CC$8))-_xlfn.XMATCH($C285,$C$35:$C$82)+1&lt;=_xlpm.DepreciationMonths,$C285&lt;=BM$8),$E285/_xlpm.DepreciationMonths,0))</f>
        <v>0</v>
      </c>
      <c r="BN285" s="507" cm="1">
        <f t="array" ref="BN285">_xlfn.LET(_xlpm.DepreciationMonths,INDEX(FixedAssets[Depreciation
/ Amortization Months],_xlfn.XMATCH($E$237,FixedAssets[Asset ID])),IF(AND((_xlfn.XMATCH(BN$8,$AH$8:$CC$8))-_xlfn.XMATCH($C285,$C$35:$C$82)+1&lt;=_xlpm.DepreciationMonths,$C285&lt;=BN$8),$E285/_xlpm.DepreciationMonths,0))</f>
        <v>0</v>
      </c>
      <c r="BO285" s="507" cm="1">
        <f t="array" ref="BO285">_xlfn.LET(_xlpm.DepreciationMonths,INDEX(FixedAssets[Depreciation
/ Amortization Months],_xlfn.XMATCH($E$237,FixedAssets[Asset ID])),IF(AND((_xlfn.XMATCH(BO$8,$AH$8:$CC$8))-_xlfn.XMATCH($C285,$C$35:$C$82)+1&lt;=_xlpm.DepreciationMonths,$C285&lt;=BO$8),$E285/_xlpm.DepreciationMonths,0))</f>
        <v>0</v>
      </c>
      <c r="BP285" s="507" cm="1">
        <f t="array" ref="BP285">_xlfn.LET(_xlpm.DepreciationMonths,INDEX(FixedAssets[Depreciation
/ Amortization Months],_xlfn.XMATCH($E$237,FixedAssets[Asset ID])),IF(AND((_xlfn.XMATCH(BP$8,$AH$8:$CC$8))-_xlfn.XMATCH($C285,$C$35:$C$82)+1&lt;=_xlpm.DepreciationMonths,$C285&lt;=BP$8),$E285/_xlpm.DepreciationMonths,0))</f>
        <v>0</v>
      </c>
      <c r="BQ285" s="507" cm="1">
        <f t="array" ref="BQ285">_xlfn.LET(_xlpm.DepreciationMonths,INDEX(FixedAssets[Depreciation
/ Amortization Months],_xlfn.XMATCH($E$237,FixedAssets[Asset ID])),IF(AND((_xlfn.XMATCH(BQ$8,$AH$8:$CC$8))-_xlfn.XMATCH($C285,$C$35:$C$82)+1&lt;=_xlpm.DepreciationMonths,$C285&lt;=BQ$8),$E285/_xlpm.DepreciationMonths,0))</f>
        <v>0</v>
      </c>
      <c r="BR285" s="507" cm="1">
        <f t="array" ref="BR285">_xlfn.LET(_xlpm.DepreciationMonths,INDEX(FixedAssets[Depreciation
/ Amortization Months],_xlfn.XMATCH($E$237,FixedAssets[Asset ID])),IF(AND((_xlfn.XMATCH(BR$8,$AH$8:$CC$8))-_xlfn.XMATCH($C285,$C$35:$C$82)+1&lt;=_xlpm.DepreciationMonths,$C285&lt;=BR$8),$E285/_xlpm.DepreciationMonths,0))</f>
        <v>0</v>
      </c>
      <c r="BS285" s="507" cm="1">
        <f t="array" ref="BS285">_xlfn.LET(_xlpm.DepreciationMonths,INDEX(FixedAssets[Depreciation
/ Amortization Months],_xlfn.XMATCH($E$237,FixedAssets[Asset ID])),IF(AND((_xlfn.XMATCH(BS$8,$AH$8:$CC$8))-_xlfn.XMATCH($C285,$C$35:$C$82)+1&lt;=_xlpm.DepreciationMonths,$C285&lt;=BS$8),$E285/_xlpm.DepreciationMonths,0))</f>
        <v>0</v>
      </c>
      <c r="BT285" s="507" cm="1">
        <f t="array" ref="BT285">_xlfn.LET(_xlpm.DepreciationMonths,INDEX(FixedAssets[Depreciation
/ Amortization Months],_xlfn.XMATCH($E$237,FixedAssets[Asset ID])),IF(AND((_xlfn.XMATCH(BT$8,$AH$8:$CC$8))-_xlfn.XMATCH($C285,$C$35:$C$82)+1&lt;=_xlpm.DepreciationMonths,$C285&lt;=BT$8),$E285/_xlpm.DepreciationMonths,0))</f>
        <v>0</v>
      </c>
      <c r="BU285" s="507" cm="1">
        <f t="array" ref="BU285">_xlfn.LET(_xlpm.DepreciationMonths,INDEX(FixedAssets[Depreciation
/ Amortization Months],_xlfn.XMATCH($E$237,FixedAssets[Asset ID])),IF(AND((_xlfn.XMATCH(BU$8,$AH$8:$CC$8))-_xlfn.XMATCH($C285,$C$35:$C$82)+1&lt;=_xlpm.DepreciationMonths,$C285&lt;=BU$8),$E285/_xlpm.DepreciationMonths,0))</f>
        <v>0</v>
      </c>
      <c r="BV285" s="507" cm="1">
        <f t="array" ref="BV285">_xlfn.LET(_xlpm.DepreciationMonths,INDEX(FixedAssets[Depreciation
/ Amortization Months],_xlfn.XMATCH($E$237,FixedAssets[Asset ID])),IF(AND((_xlfn.XMATCH(BV$8,$AH$8:$CC$8))-_xlfn.XMATCH($C285,$C$35:$C$82)+1&lt;=_xlpm.DepreciationMonths,$C285&lt;=BV$8),$E285/_xlpm.DepreciationMonths,0))</f>
        <v>0</v>
      </c>
      <c r="BW285" s="507" cm="1">
        <f t="array" ref="BW285">_xlfn.LET(_xlpm.DepreciationMonths,INDEX(FixedAssets[Depreciation
/ Amortization Months],_xlfn.XMATCH($E$237,FixedAssets[Asset ID])),IF(AND((_xlfn.XMATCH(BW$8,$AH$8:$CC$8))-_xlfn.XMATCH($C285,$C$35:$C$82)+1&lt;=_xlpm.DepreciationMonths,$C285&lt;=BW$8),$E285/_xlpm.DepreciationMonths,0))</f>
        <v>0</v>
      </c>
      <c r="BX285" s="507" cm="1">
        <f t="array" ref="BX285">_xlfn.LET(_xlpm.DepreciationMonths,INDEX(FixedAssets[Depreciation
/ Amortization Months],_xlfn.XMATCH($E$237,FixedAssets[Asset ID])),IF(AND((_xlfn.XMATCH(BX$8,$AH$8:$CC$8))-_xlfn.XMATCH($C285,$C$35:$C$82)+1&lt;=_xlpm.DepreciationMonths,$C285&lt;=BX$8),$E285/_xlpm.DepreciationMonths,0))</f>
        <v>0</v>
      </c>
      <c r="BY285" s="507" cm="1">
        <f t="array" ref="BY285">_xlfn.LET(_xlpm.DepreciationMonths,INDEX(FixedAssets[Depreciation
/ Amortization Months],_xlfn.XMATCH($E$237,FixedAssets[Asset ID])),IF(AND((_xlfn.XMATCH(BY$8,$AH$8:$CC$8))-_xlfn.XMATCH($C285,$C$35:$C$82)+1&lt;=_xlpm.DepreciationMonths,$C285&lt;=BY$8),$E285/_xlpm.DepreciationMonths,0))</f>
        <v>0</v>
      </c>
      <c r="BZ285" s="507" cm="1">
        <f t="array" ref="BZ285">_xlfn.LET(_xlpm.DepreciationMonths,INDEX(FixedAssets[Depreciation
/ Amortization Months],_xlfn.XMATCH($E$237,FixedAssets[Asset ID])),IF(AND((_xlfn.XMATCH(BZ$8,$AH$8:$CC$8))-_xlfn.XMATCH($C285,$C$35:$C$82)+1&lt;=_xlpm.DepreciationMonths,$C285&lt;=BZ$8),$E285/_xlpm.DepreciationMonths,0))</f>
        <v>0</v>
      </c>
      <c r="CA285" s="507" cm="1">
        <f t="array" ref="CA285">_xlfn.LET(_xlpm.DepreciationMonths,INDEX(FixedAssets[Depreciation
/ Amortization Months],_xlfn.XMATCH($E$237,FixedAssets[Asset ID])),IF(AND((_xlfn.XMATCH(CA$8,$AH$8:$CC$8))-_xlfn.XMATCH($C285,$C$35:$C$82)+1&lt;=_xlpm.DepreciationMonths,$C285&lt;=CA$8),$E285/_xlpm.DepreciationMonths,0))</f>
        <v>0</v>
      </c>
      <c r="CB285" s="507" cm="1">
        <f t="array" ref="CB285">_xlfn.LET(_xlpm.DepreciationMonths,INDEX(FixedAssets[Depreciation
/ Amortization Months],_xlfn.XMATCH($E$237,FixedAssets[Asset ID])),IF(AND((_xlfn.XMATCH(CB$8,$AH$8:$CC$8))-_xlfn.XMATCH($C285,$C$35:$C$82)+1&lt;=_xlpm.DepreciationMonths,$C285&lt;=CB$8),$E285/_xlpm.DepreciationMonths,0))</f>
        <v>0</v>
      </c>
      <c r="CC285" s="507" cm="1">
        <f t="array" ref="CC285">_xlfn.LET(_xlpm.DepreciationMonths,INDEX(FixedAssets[Depreciation
/ Amortization Months],_xlfn.XMATCH($E$237,FixedAssets[Asset ID])),IF(AND((_xlfn.XMATCH(CC$8,$AH$8:$CC$8))-_xlfn.XMATCH($C285,$C$35:$C$82)+1&lt;=_xlpm.DepreciationMonths,$C285&lt;=CC$8),$E285/_xlpm.DepreciationMonths,0))</f>
        <v>0</v>
      </c>
    </row>
    <row r="286" spans="3:81" hidden="1" outlineLevel="2">
      <c r="C286" s="664">
        <f t="shared" si="267"/>
        <v>46387</v>
      </c>
      <c r="D286" s="508"/>
      <c r="E286" s="508" cm="1">
        <f t="array" ref="E286">SUMPRODUCT(($AH$26:$CC$31)*($AH$5:$CC$5=$C286)*($E$26:$E$31=E$237))-SUMPRODUCT(($AH$26:$CC$31)*($AH$5:$CC$5=EOMONTH($C286,-1))*($E$26:$E$31=E$237))</f>
        <v>0</v>
      </c>
      <c r="F286" s="508"/>
      <c r="G286" s="508"/>
      <c r="H286" s="508"/>
      <c r="I286" s="508"/>
      <c r="J286" s="504">
        <f t="shared" si="265"/>
        <v>0</v>
      </c>
      <c r="K286" s="504">
        <f t="shared" si="265"/>
        <v>0</v>
      </c>
      <c r="L286" s="504">
        <f t="shared" si="265"/>
        <v>0</v>
      </c>
      <c r="M286" s="504">
        <f t="shared" si="265"/>
        <v>0</v>
      </c>
      <c r="N286" s="504"/>
      <c r="O286" s="504"/>
      <c r="P286" s="504">
        <f t="shared" si="271"/>
        <v>0</v>
      </c>
      <c r="Q286" s="504">
        <f t="shared" si="271"/>
        <v>0</v>
      </c>
      <c r="R286" s="504">
        <f t="shared" si="271"/>
        <v>0</v>
      </c>
      <c r="S286" s="504">
        <f t="shared" si="271"/>
        <v>0</v>
      </c>
      <c r="T286" s="504">
        <f t="shared" si="271"/>
        <v>0</v>
      </c>
      <c r="U286" s="504">
        <f t="shared" si="271"/>
        <v>0</v>
      </c>
      <c r="V286" s="504">
        <f t="shared" si="271"/>
        <v>0</v>
      </c>
      <c r="W286" s="504">
        <f t="shared" si="271"/>
        <v>0</v>
      </c>
      <c r="X286" s="504">
        <f t="shared" si="271"/>
        <v>0</v>
      </c>
      <c r="Y286" s="504">
        <f t="shared" si="271"/>
        <v>0</v>
      </c>
      <c r="Z286" s="504">
        <f t="shared" si="271"/>
        <v>0</v>
      </c>
      <c r="AA286" s="504">
        <f t="shared" si="271"/>
        <v>0</v>
      </c>
      <c r="AB286" s="504">
        <f t="shared" si="271"/>
        <v>0</v>
      </c>
      <c r="AC286" s="504">
        <f t="shared" si="271"/>
        <v>0</v>
      </c>
      <c r="AD286" s="504">
        <f t="shared" si="271"/>
        <v>0</v>
      </c>
      <c r="AE286" s="504">
        <f t="shared" ref="AE286" si="272">SUMIFS($AH286:$CC286,$AH$4:$CC$4,"&gt;="&amp;AE$4,$AH$5:$CC$5,"&lt;="&amp;AE$5)</f>
        <v>0</v>
      </c>
      <c r="AF286" s="508"/>
      <c r="AG286" s="508"/>
      <c r="AH286" s="507" cm="1">
        <f t="array" ref="AH286">_xlfn.LET(_xlpm.DepreciationMonths,INDEX(FixedAssets[Depreciation
/ Amortization Months],_xlfn.XMATCH($E$237,FixedAssets[Asset ID])),IF(AND((_xlfn.XMATCH(AH$8,$AH$8:$CC$8))-_xlfn.XMATCH($C286,$C$35:$C$82)+1&lt;=_xlpm.DepreciationMonths,$C286&lt;=AH$8),$E286/_xlpm.DepreciationMonths,0))</f>
        <v>0</v>
      </c>
      <c r="AI286" s="507" cm="1">
        <f t="array" ref="AI286">_xlfn.LET(_xlpm.DepreciationMonths,INDEX(FixedAssets[Depreciation
/ Amortization Months],_xlfn.XMATCH($E$237,FixedAssets[Asset ID])),IF(AND((_xlfn.XMATCH(AI$8,$AH$8:$CC$8))-_xlfn.XMATCH($C286,$C$35:$C$82)+1&lt;=_xlpm.DepreciationMonths,$C286&lt;=AI$8),$E286/_xlpm.DepreciationMonths,0))</f>
        <v>0</v>
      </c>
      <c r="AJ286" s="507" cm="1">
        <f t="array" ref="AJ286">_xlfn.LET(_xlpm.DepreciationMonths,INDEX(FixedAssets[Depreciation
/ Amortization Months],_xlfn.XMATCH($E$237,FixedAssets[Asset ID])),IF(AND((_xlfn.XMATCH(AJ$8,$AH$8:$CC$8))-_xlfn.XMATCH($C286,$C$35:$C$82)+1&lt;=_xlpm.DepreciationMonths,$C286&lt;=AJ$8),$E286/_xlpm.DepreciationMonths,0))</f>
        <v>0</v>
      </c>
      <c r="AK286" s="507" cm="1">
        <f t="array" ref="AK286">_xlfn.LET(_xlpm.DepreciationMonths,INDEX(FixedAssets[Depreciation
/ Amortization Months],_xlfn.XMATCH($E$237,FixedAssets[Asset ID])),IF(AND((_xlfn.XMATCH(AK$8,$AH$8:$CC$8))-_xlfn.XMATCH($C286,$C$35:$C$82)+1&lt;=_xlpm.DepreciationMonths,$C286&lt;=AK$8),$E286/_xlpm.DepreciationMonths,0))</f>
        <v>0</v>
      </c>
      <c r="AL286" s="507" cm="1">
        <f t="array" ref="AL286">_xlfn.LET(_xlpm.DepreciationMonths,INDEX(FixedAssets[Depreciation
/ Amortization Months],_xlfn.XMATCH($E$237,FixedAssets[Asset ID])),IF(AND((_xlfn.XMATCH(AL$8,$AH$8:$CC$8))-_xlfn.XMATCH($C286,$C$35:$C$82)+1&lt;=_xlpm.DepreciationMonths,$C286&lt;=AL$8),$E286/_xlpm.DepreciationMonths,0))</f>
        <v>0</v>
      </c>
      <c r="AM286" s="507" cm="1">
        <f t="array" ref="AM286">_xlfn.LET(_xlpm.DepreciationMonths,INDEX(FixedAssets[Depreciation
/ Amortization Months],_xlfn.XMATCH($E$237,FixedAssets[Asset ID])),IF(AND((_xlfn.XMATCH(AM$8,$AH$8:$CC$8))-_xlfn.XMATCH($C286,$C$35:$C$82)+1&lt;=_xlpm.DepreciationMonths,$C286&lt;=AM$8),$E286/_xlpm.DepreciationMonths,0))</f>
        <v>0</v>
      </c>
      <c r="AN286" s="507" cm="1">
        <f t="array" ref="AN286">_xlfn.LET(_xlpm.DepreciationMonths,INDEX(FixedAssets[Depreciation
/ Amortization Months],_xlfn.XMATCH($E$237,FixedAssets[Asset ID])),IF(AND((_xlfn.XMATCH(AN$8,$AH$8:$CC$8))-_xlfn.XMATCH($C286,$C$35:$C$82)+1&lt;=_xlpm.DepreciationMonths,$C286&lt;=AN$8),$E286/_xlpm.DepreciationMonths,0))</f>
        <v>0</v>
      </c>
      <c r="AO286" s="507" cm="1">
        <f t="array" ref="AO286">_xlfn.LET(_xlpm.DepreciationMonths,INDEX(FixedAssets[Depreciation
/ Amortization Months],_xlfn.XMATCH($E$237,FixedAssets[Asset ID])),IF(AND((_xlfn.XMATCH(AO$8,$AH$8:$CC$8))-_xlfn.XMATCH($C286,$C$35:$C$82)+1&lt;=_xlpm.DepreciationMonths,$C286&lt;=AO$8),$E286/_xlpm.DepreciationMonths,0))</f>
        <v>0</v>
      </c>
      <c r="AP286" s="507" cm="1">
        <f t="array" ref="AP286">_xlfn.LET(_xlpm.DepreciationMonths,INDEX(FixedAssets[Depreciation
/ Amortization Months],_xlfn.XMATCH($E$237,FixedAssets[Asset ID])),IF(AND((_xlfn.XMATCH(AP$8,$AH$8:$CC$8))-_xlfn.XMATCH($C286,$C$35:$C$82)+1&lt;=_xlpm.DepreciationMonths,$C286&lt;=AP$8),$E286/_xlpm.DepreciationMonths,0))</f>
        <v>0</v>
      </c>
      <c r="AQ286" s="507" cm="1">
        <f t="array" ref="AQ286">_xlfn.LET(_xlpm.DepreciationMonths,INDEX(FixedAssets[Depreciation
/ Amortization Months],_xlfn.XMATCH($E$237,FixedAssets[Asset ID])),IF(AND((_xlfn.XMATCH(AQ$8,$AH$8:$CC$8))-_xlfn.XMATCH($C286,$C$35:$C$82)+1&lt;=_xlpm.DepreciationMonths,$C286&lt;=AQ$8),$E286/_xlpm.DepreciationMonths,0))</f>
        <v>0</v>
      </c>
      <c r="AR286" s="507" cm="1">
        <f t="array" ref="AR286">_xlfn.LET(_xlpm.DepreciationMonths,INDEX(FixedAssets[Depreciation
/ Amortization Months],_xlfn.XMATCH($E$237,FixedAssets[Asset ID])),IF(AND((_xlfn.XMATCH(AR$8,$AH$8:$CC$8))-_xlfn.XMATCH($C286,$C$35:$C$82)+1&lt;=_xlpm.DepreciationMonths,$C286&lt;=AR$8),$E286/_xlpm.DepreciationMonths,0))</f>
        <v>0</v>
      </c>
      <c r="AS286" s="507" cm="1">
        <f t="array" ref="AS286">_xlfn.LET(_xlpm.DepreciationMonths,INDEX(FixedAssets[Depreciation
/ Amortization Months],_xlfn.XMATCH($E$237,FixedAssets[Asset ID])),IF(AND((_xlfn.XMATCH(AS$8,$AH$8:$CC$8))-_xlfn.XMATCH($C286,$C$35:$C$82)+1&lt;=_xlpm.DepreciationMonths,$C286&lt;=AS$8),$E286/_xlpm.DepreciationMonths,0))</f>
        <v>0</v>
      </c>
      <c r="AT286" s="507" cm="1">
        <f t="array" ref="AT286">_xlfn.LET(_xlpm.DepreciationMonths,INDEX(FixedAssets[Depreciation
/ Amortization Months],_xlfn.XMATCH($E$237,FixedAssets[Asset ID])),IF(AND((_xlfn.XMATCH(AT$8,$AH$8:$CC$8))-_xlfn.XMATCH($C286,$C$35:$C$82)+1&lt;=_xlpm.DepreciationMonths,$C286&lt;=AT$8),$E286/_xlpm.DepreciationMonths,0))</f>
        <v>0</v>
      </c>
      <c r="AU286" s="507" cm="1">
        <f t="array" ref="AU286">_xlfn.LET(_xlpm.DepreciationMonths,INDEX(FixedAssets[Depreciation
/ Amortization Months],_xlfn.XMATCH($E$237,FixedAssets[Asset ID])),IF(AND((_xlfn.XMATCH(AU$8,$AH$8:$CC$8))-_xlfn.XMATCH($C286,$C$35:$C$82)+1&lt;=_xlpm.DepreciationMonths,$C286&lt;=AU$8),$E286/_xlpm.DepreciationMonths,0))</f>
        <v>0</v>
      </c>
      <c r="AV286" s="507" cm="1">
        <f t="array" ref="AV286">_xlfn.LET(_xlpm.DepreciationMonths,INDEX(FixedAssets[Depreciation
/ Amortization Months],_xlfn.XMATCH($E$237,FixedAssets[Asset ID])),IF(AND((_xlfn.XMATCH(AV$8,$AH$8:$CC$8))-_xlfn.XMATCH($C286,$C$35:$C$82)+1&lt;=_xlpm.DepreciationMonths,$C286&lt;=AV$8),$E286/_xlpm.DepreciationMonths,0))</f>
        <v>0</v>
      </c>
      <c r="AW286" s="507" cm="1">
        <f t="array" ref="AW286">_xlfn.LET(_xlpm.DepreciationMonths,INDEX(FixedAssets[Depreciation
/ Amortization Months],_xlfn.XMATCH($E$237,FixedAssets[Asset ID])),IF(AND((_xlfn.XMATCH(AW$8,$AH$8:$CC$8))-_xlfn.XMATCH($C286,$C$35:$C$82)+1&lt;=_xlpm.DepreciationMonths,$C286&lt;=AW$8),$E286/_xlpm.DepreciationMonths,0))</f>
        <v>0</v>
      </c>
      <c r="AX286" s="507" cm="1">
        <f t="array" ref="AX286">_xlfn.LET(_xlpm.DepreciationMonths,INDEX(FixedAssets[Depreciation
/ Amortization Months],_xlfn.XMATCH($E$237,FixedAssets[Asset ID])),IF(AND((_xlfn.XMATCH(AX$8,$AH$8:$CC$8))-_xlfn.XMATCH($C286,$C$35:$C$82)+1&lt;=_xlpm.DepreciationMonths,$C286&lt;=AX$8),$E286/_xlpm.DepreciationMonths,0))</f>
        <v>0</v>
      </c>
      <c r="AY286" s="507" cm="1">
        <f t="array" ref="AY286">_xlfn.LET(_xlpm.DepreciationMonths,INDEX(FixedAssets[Depreciation
/ Amortization Months],_xlfn.XMATCH($E$237,FixedAssets[Asset ID])),IF(AND((_xlfn.XMATCH(AY$8,$AH$8:$CC$8))-_xlfn.XMATCH($C286,$C$35:$C$82)+1&lt;=_xlpm.DepreciationMonths,$C286&lt;=AY$8),$E286/_xlpm.DepreciationMonths,0))</f>
        <v>0</v>
      </c>
      <c r="AZ286" s="507" cm="1">
        <f t="array" ref="AZ286">_xlfn.LET(_xlpm.DepreciationMonths,INDEX(FixedAssets[Depreciation
/ Amortization Months],_xlfn.XMATCH($E$237,FixedAssets[Asset ID])),IF(AND((_xlfn.XMATCH(AZ$8,$AH$8:$CC$8))-_xlfn.XMATCH($C286,$C$35:$C$82)+1&lt;=_xlpm.DepreciationMonths,$C286&lt;=AZ$8),$E286/_xlpm.DepreciationMonths,0))</f>
        <v>0</v>
      </c>
      <c r="BA286" s="507" cm="1">
        <f t="array" ref="BA286">_xlfn.LET(_xlpm.DepreciationMonths,INDEX(FixedAssets[Depreciation
/ Amortization Months],_xlfn.XMATCH($E$237,FixedAssets[Asset ID])),IF(AND((_xlfn.XMATCH(BA$8,$AH$8:$CC$8))-_xlfn.XMATCH($C286,$C$35:$C$82)+1&lt;=_xlpm.DepreciationMonths,$C286&lt;=BA$8),$E286/_xlpm.DepreciationMonths,0))</f>
        <v>0</v>
      </c>
      <c r="BB286" s="507" cm="1">
        <f t="array" ref="BB286">_xlfn.LET(_xlpm.DepreciationMonths,INDEX(FixedAssets[Depreciation
/ Amortization Months],_xlfn.XMATCH($E$237,FixedAssets[Asset ID])),IF(AND((_xlfn.XMATCH(BB$8,$AH$8:$CC$8))-_xlfn.XMATCH($C286,$C$35:$C$82)+1&lt;=_xlpm.DepreciationMonths,$C286&lt;=BB$8),$E286/_xlpm.DepreciationMonths,0))</f>
        <v>0</v>
      </c>
      <c r="BC286" s="507" cm="1">
        <f t="array" ref="BC286">_xlfn.LET(_xlpm.DepreciationMonths,INDEX(FixedAssets[Depreciation
/ Amortization Months],_xlfn.XMATCH($E$237,FixedAssets[Asset ID])),IF(AND((_xlfn.XMATCH(BC$8,$AH$8:$CC$8))-_xlfn.XMATCH($C286,$C$35:$C$82)+1&lt;=_xlpm.DepreciationMonths,$C286&lt;=BC$8),$E286/_xlpm.DepreciationMonths,0))</f>
        <v>0</v>
      </c>
      <c r="BD286" s="507" cm="1">
        <f t="array" ref="BD286">_xlfn.LET(_xlpm.DepreciationMonths,INDEX(FixedAssets[Depreciation
/ Amortization Months],_xlfn.XMATCH($E$237,FixedAssets[Asset ID])),IF(AND((_xlfn.XMATCH(BD$8,$AH$8:$CC$8))-_xlfn.XMATCH($C286,$C$35:$C$82)+1&lt;=_xlpm.DepreciationMonths,$C286&lt;=BD$8),$E286/_xlpm.DepreciationMonths,0))</f>
        <v>0</v>
      </c>
      <c r="BE286" s="507" cm="1">
        <f t="array" ref="BE286">_xlfn.LET(_xlpm.DepreciationMonths,INDEX(FixedAssets[Depreciation
/ Amortization Months],_xlfn.XMATCH($E$237,FixedAssets[Asset ID])),IF(AND((_xlfn.XMATCH(BE$8,$AH$8:$CC$8))-_xlfn.XMATCH($C286,$C$35:$C$82)+1&lt;=_xlpm.DepreciationMonths,$C286&lt;=BE$8),$E286/_xlpm.DepreciationMonths,0))</f>
        <v>0</v>
      </c>
      <c r="BF286" s="507" cm="1">
        <f t="array" ref="BF286">_xlfn.LET(_xlpm.DepreciationMonths,INDEX(FixedAssets[Depreciation
/ Amortization Months],_xlfn.XMATCH($E$237,FixedAssets[Asset ID])),IF(AND((_xlfn.XMATCH(BF$8,$AH$8:$CC$8))-_xlfn.XMATCH($C286,$C$35:$C$82)+1&lt;=_xlpm.DepreciationMonths,$C286&lt;=BF$8),$E286/_xlpm.DepreciationMonths,0))</f>
        <v>0</v>
      </c>
      <c r="BG286" s="507" cm="1">
        <f t="array" ref="BG286">_xlfn.LET(_xlpm.DepreciationMonths,INDEX(FixedAssets[Depreciation
/ Amortization Months],_xlfn.XMATCH($E$237,FixedAssets[Asset ID])),IF(AND((_xlfn.XMATCH(BG$8,$AH$8:$CC$8))-_xlfn.XMATCH($C286,$C$35:$C$82)+1&lt;=_xlpm.DepreciationMonths,$C286&lt;=BG$8),$E286/_xlpm.DepreciationMonths,0))</f>
        <v>0</v>
      </c>
      <c r="BH286" s="507" cm="1">
        <f t="array" ref="BH286">_xlfn.LET(_xlpm.DepreciationMonths,INDEX(FixedAssets[Depreciation
/ Amortization Months],_xlfn.XMATCH($E$237,FixedAssets[Asset ID])),IF(AND((_xlfn.XMATCH(BH$8,$AH$8:$CC$8))-_xlfn.XMATCH($C286,$C$35:$C$82)+1&lt;=_xlpm.DepreciationMonths,$C286&lt;=BH$8),$E286/_xlpm.DepreciationMonths,0))</f>
        <v>0</v>
      </c>
      <c r="BI286" s="507" cm="1">
        <f t="array" ref="BI286">_xlfn.LET(_xlpm.DepreciationMonths,INDEX(FixedAssets[Depreciation
/ Amortization Months],_xlfn.XMATCH($E$237,FixedAssets[Asset ID])),IF(AND((_xlfn.XMATCH(BI$8,$AH$8:$CC$8))-_xlfn.XMATCH($C286,$C$35:$C$82)+1&lt;=_xlpm.DepreciationMonths,$C286&lt;=BI$8),$E286/_xlpm.DepreciationMonths,0))</f>
        <v>0</v>
      </c>
      <c r="BJ286" s="507" cm="1">
        <f t="array" ref="BJ286">_xlfn.LET(_xlpm.DepreciationMonths,INDEX(FixedAssets[Depreciation
/ Amortization Months],_xlfn.XMATCH($E$237,FixedAssets[Asset ID])),IF(AND((_xlfn.XMATCH(BJ$8,$AH$8:$CC$8))-_xlfn.XMATCH($C286,$C$35:$C$82)+1&lt;=_xlpm.DepreciationMonths,$C286&lt;=BJ$8),$E286/_xlpm.DepreciationMonths,0))</f>
        <v>0</v>
      </c>
      <c r="BK286" s="507" cm="1">
        <f t="array" ref="BK286">_xlfn.LET(_xlpm.DepreciationMonths,INDEX(FixedAssets[Depreciation
/ Amortization Months],_xlfn.XMATCH($E$237,FixedAssets[Asset ID])),IF(AND((_xlfn.XMATCH(BK$8,$AH$8:$CC$8))-_xlfn.XMATCH($C286,$C$35:$C$82)+1&lt;=_xlpm.DepreciationMonths,$C286&lt;=BK$8),$E286/_xlpm.DepreciationMonths,0))</f>
        <v>0</v>
      </c>
      <c r="BL286" s="507" cm="1">
        <f t="array" ref="BL286">_xlfn.LET(_xlpm.DepreciationMonths,INDEX(FixedAssets[Depreciation
/ Amortization Months],_xlfn.XMATCH($E$237,FixedAssets[Asset ID])),IF(AND((_xlfn.XMATCH(BL$8,$AH$8:$CC$8))-_xlfn.XMATCH($C286,$C$35:$C$82)+1&lt;=_xlpm.DepreciationMonths,$C286&lt;=BL$8),$E286/_xlpm.DepreciationMonths,0))</f>
        <v>0</v>
      </c>
      <c r="BM286" s="507" cm="1">
        <f t="array" ref="BM286">_xlfn.LET(_xlpm.DepreciationMonths,INDEX(FixedAssets[Depreciation
/ Amortization Months],_xlfn.XMATCH($E$237,FixedAssets[Asset ID])),IF(AND((_xlfn.XMATCH(BM$8,$AH$8:$CC$8))-_xlfn.XMATCH($C286,$C$35:$C$82)+1&lt;=_xlpm.DepreciationMonths,$C286&lt;=BM$8),$E286/_xlpm.DepreciationMonths,0))</f>
        <v>0</v>
      </c>
      <c r="BN286" s="507" cm="1">
        <f t="array" ref="BN286">_xlfn.LET(_xlpm.DepreciationMonths,INDEX(FixedAssets[Depreciation
/ Amortization Months],_xlfn.XMATCH($E$237,FixedAssets[Asset ID])),IF(AND((_xlfn.XMATCH(BN$8,$AH$8:$CC$8))-_xlfn.XMATCH($C286,$C$35:$C$82)+1&lt;=_xlpm.DepreciationMonths,$C286&lt;=BN$8),$E286/_xlpm.DepreciationMonths,0))</f>
        <v>0</v>
      </c>
      <c r="BO286" s="507" cm="1">
        <f t="array" ref="BO286">_xlfn.LET(_xlpm.DepreciationMonths,INDEX(FixedAssets[Depreciation
/ Amortization Months],_xlfn.XMATCH($E$237,FixedAssets[Asset ID])),IF(AND((_xlfn.XMATCH(BO$8,$AH$8:$CC$8))-_xlfn.XMATCH($C286,$C$35:$C$82)+1&lt;=_xlpm.DepreciationMonths,$C286&lt;=BO$8),$E286/_xlpm.DepreciationMonths,0))</f>
        <v>0</v>
      </c>
      <c r="BP286" s="507" cm="1">
        <f t="array" ref="BP286">_xlfn.LET(_xlpm.DepreciationMonths,INDEX(FixedAssets[Depreciation
/ Amortization Months],_xlfn.XMATCH($E$237,FixedAssets[Asset ID])),IF(AND((_xlfn.XMATCH(BP$8,$AH$8:$CC$8))-_xlfn.XMATCH($C286,$C$35:$C$82)+1&lt;=_xlpm.DepreciationMonths,$C286&lt;=BP$8),$E286/_xlpm.DepreciationMonths,0))</f>
        <v>0</v>
      </c>
      <c r="BQ286" s="507" cm="1">
        <f t="array" ref="BQ286">_xlfn.LET(_xlpm.DepreciationMonths,INDEX(FixedAssets[Depreciation
/ Amortization Months],_xlfn.XMATCH($E$237,FixedAssets[Asset ID])),IF(AND((_xlfn.XMATCH(BQ$8,$AH$8:$CC$8))-_xlfn.XMATCH($C286,$C$35:$C$82)+1&lt;=_xlpm.DepreciationMonths,$C286&lt;=BQ$8),$E286/_xlpm.DepreciationMonths,0))</f>
        <v>0</v>
      </c>
      <c r="BR286" s="507" cm="1">
        <f t="array" ref="BR286">_xlfn.LET(_xlpm.DepreciationMonths,INDEX(FixedAssets[Depreciation
/ Amortization Months],_xlfn.XMATCH($E$237,FixedAssets[Asset ID])),IF(AND((_xlfn.XMATCH(BR$8,$AH$8:$CC$8))-_xlfn.XMATCH($C286,$C$35:$C$82)+1&lt;=_xlpm.DepreciationMonths,$C286&lt;=BR$8),$E286/_xlpm.DepreciationMonths,0))</f>
        <v>0</v>
      </c>
      <c r="BS286" s="507" cm="1">
        <f t="array" ref="BS286">_xlfn.LET(_xlpm.DepreciationMonths,INDEX(FixedAssets[Depreciation
/ Amortization Months],_xlfn.XMATCH($E$237,FixedAssets[Asset ID])),IF(AND((_xlfn.XMATCH(BS$8,$AH$8:$CC$8))-_xlfn.XMATCH($C286,$C$35:$C$82)+1&lt;=_xlpm.DepreciationMonths,$C286&lt;=BS$8),$E286/_xlpm.DepreciationMonths,0))</f>
        <v>0</v>
      </c>
      <c r="BT286" s="507" cm="1">
        <f t="array" ref="BT286">_xlfn.LET(_xlpm.DepreciationMonths,INDEX(FixedAssets[Depreciation
/ Amortization Months],_xlfn.XMATCH($E$237,FixedAssets[Asset ID])),IF(AND((_xlfn.XMATCH(BT$8,$AH$8:$CC$8))-_xlfn.XMATCH($C286,$C$35:$C$82)+1&lt;=_xlpm.DepreciationMonths,$C286&lt;=BT$8),$E286/_xlpm.DepreciationMonths,0))</f>
        <v>0</v>
      </c>
      <c r="BU286" s="507" cm="1">
        <f t="array" ref="BU286">_xlfn.LET(_xlpm.DepreciationMonths,INDEX(FixedAssets[Depreciation
/ Amortization Months],_xlfn.XMATCH($E$237,FixedAssets[Asset ID])),IF(AND((_xlfn.XMATCH(BU$8,$AH$8:$CC$8))-_xlfn.XMATCH($C286,$C$35:$C$82)+1&lt;=_xlpm.DepreciationMonths,$C286&lt;=BU$8),$E286/_xlpm.DepreciationMonths,0))</f>
        <v>0</v>
      </c>
      <c r="BV286" s="507" cm="1">
        <f t="array" ref="BV286">_xlfn.LET(_xlpm.DepreciationMonths,INDEX(FixedAssets[Depreciation
/ Amortization Months],_xlfn.XMATCH($E$237,FixedAssets[Asset ID])),IF(AND((_xlfn.XMATCH(BV$8,$AH$8:$CC$8))-_xlfn.XMATCH($C286,$C$35:$C$82)+1&lt;=_xlpm.DepreciationMonths,$C286&lt;=BV$8),$E286/_xlpm.DepreciationMonths,0))</f>
        <v>0</v>
      </c>
      <c r="BW286" s="507" cm="1">
        <f t="array" ref="BW286">_xlfn.LET(_xlpm.DepreciationMonths,INDEX(FixedAssets[Depreciation
/ Amortization Months],_xlfn.XMATCH($E$237,FixedAssets[Asset ID])),IF(AND((_xlfn.XMATCH(BW$8,$AH$8:$CC$8))-_xlfn.XMATCH($C286,$C$35:$C$82)+1&lt;=_xlpm.DepreciationMonths,$C286&lt;=BW$8),$E286/_xlpm.DepreciationMonths,0))</f>
        <v>0</v>
      </c>
      <c r="BX286" s="507" cm="1">
        <f t="array" ref="BX286">_xlfn.LET(_xlpm.DepreciationMonths,INDEX(FixedAssets[Depreciation
/ Amortization Months],_xlfn.XMATCH($E$237,FixedAssets[Asset ID])),IF(AND((_xlfn.XMATCH(BX$8,$AH$8:$CC$8))-_xlfn.XMATCH($C286,$C$35:$C$82)+1&lt;=_xlpm.DepreciationMonths,$C286&lt;=BX$8),$E286/_xlpm.DepreciationMonths,0))</f>
        <v>0</v>
      </c>
      <c r="BY286" s="507" cm="1">
        <f t="array" ref="BY286">_xlfn.LET(_xlpm.DepreciationMonths,INDEX(FixedAssets[Depreciation
/ Amortization Months],_xlfn.XMATCH($E$237,FixedAssets[Asset ID])),IF(AND((_xlfn.XMATCH(BY$8,$AH$8:$CC$8))-_xlfn.XMATCH($C286,$C$35:$C$82)+1&lt;=_xlpm.DepreciationMonths,$C286&lt;=BY$8),$E286/_xlpm.DepreciationMonths,0))</f>
        <v>0</v>
      </c>
      <c r="BZ286" s="507" cm="1">
        <f t="array" ref="BZ286">_xlfn.LET(_xlpm.DepreciationMonths,INDEX(FixedAssets[Depreciation
/ Amortization Months],_xlfn.XMATCH($E$237,FixedAssets[Asset ID])),IF(AND((_xlfn.XMATCH(BZ$8,$AH$8:$CC$8))-_xlfn.XMATCH($C286,$C$35:$C$82)+1&lt;=_xlpm.DepreciationMonths,$C286&lt;=BZ$8),$E286/_xlpm.DepreciationMonths,0))</f>
        <v>0</v>
      </c>
      <c r="CA286" s="507" cm="1">
        <f t="array" ref="CA286">_xlfn.LET(_xlpm.DepreciationMonths,INDEX(FixedAssets[Depreciation
/ Amortization Months],_xlfn.XMATCH($E$237,FixedAssets[Asset ID])),IF(AND((_xlfn.XMATCH(CA$8,$AH$8:$CC$8))-_xlfn.XMATCH($C286,$C$35:$C$82)+1&lt;=_xlpm.DepreciationMonths,$C286&lt;=CA$8),$E286/_xlpm.DepreciationMonths,0))</f>
        <v>0</v>
      </c>
      <c r="CB286" s="507" cm="1">
        <f t="array" ref="CB286">_xlfn.LET(_xlpm.DepreciationMonths,INDEX(FixedAssets[Depreciation
/ Amortization Months],_xlfn.XMATCH($E$237,FixedAssets[Asset ID])),IF(AND((_xlfn.XMATCH(CB$8,$AH$8:$CC$8))-_xlfn.XMATCH($C286,$C$35:$C$82)+1&lt;=_xlpm.DepreciationMonths,$C286&lt;=CB$8),$E286/_xlpm.DepreciationMonths,0))</f>
        <v>0</v>
      </c>
      <c r="CC286" s="507" cm="1">
        <f t="array" ref="CC286">_xlfn.LET(_xlpm.DepreciationMonths,INDEX(FixedAssets[Depreciation
/ Amortization Months],_xlfn.XMATCH($E$237,FixedAssets[Asset ID])),IF(AND((_xlfn.XMATCH(CC$8,$AH$8:$CC$8))-_xlfn.XMATCH($C286,$C$35:$C$82)+1&lt;=_xlpm.DepreciationMonths,$C286&lt;=CC$8),$E286/_xlpm.DepreciationMonths,0))</f>
        <v>0</v>
      </c>
    </row>
    <row r="287" spans="3:81" hidden="1" outlineLevel="2">
      <c r="AH287" s="507"/>
      <c r="AI287" s="507"/>
      <c r="AJ287" s="507"/>
      <c r="AK287" s="507"/>
      <c r="AL287" s="507"/>
      <c r="AM287" s="507"/>
      <c r="AN287" s="507"/>
      <c r="AO287" s="507"/>
      <c r="AP287" s="507"/>
      <c r="AQ287" s="507"/>
      <c r="AR287" s="507"/>
      <c r="AS287" s="507"/>
      <c r="AT287" s="507"/>
      <c r="AU287" s="507"/>
      <c r="AV287" s="507"/>
      <c r="AW287" s="507"/>
      <c r="AX287" s="507"/>
      <c r="AY287" s="507"/>
      <c r="AZ287" s="507"/>
      <c r="BA287" s="507"/>
      <c r="BB287" s="507"/>
      <c r="BC287" s="507"/>
      <c r="BD287" s="507"/>
      <c r="BE287" s="507"/>
      <c r="BF287" s="507"/>
      <c r="BG287" s="507"/>
      <c r="BH287" s="507"/>
      <c r="BI287" s="507"/>
      <c r="BJ287" s="507"/>
      <c r="BK287" s="507"/>
      <c r="BL287" s="507"/>
      <c r="BM287" s="507"/>
      <c r="BN287" s="507"/>
      <c r="BO287" s="507"/>
      <c r="BP287" s="507"/>
      <c r="BQ287" s="507"/>
      <c r="BR287" s="507"/>
      <c r="BS287" s="507"/>
      <c r="BT287" s="507"/>
      <c r="BU287" s="507"/>
      <c r="BV287" s="507"/>
      <c r="BW287" s="507"/>
      <c r="BX287" s="507"/>
      <c r="BY287" s="507"/>
      <c r="BZ287" s="507"/>
      <c r="CA287" s="507"/>
      <c r="CB287" s="507"/>
      <c r="CC287" s="507"/>
    </row>
    <row r="289" spans="2:81" s="503" customFormat="1">
      <c r="B289" s="506" t="s">
        <v>450</v>
      </c>
      <c r="C289" s="168"/>
      <c r="D289" s="168"/>
      <c r="E289" s="168"/>
      <c r="F289" s="168"/>
      <c r="G289" s="168"/>
      <c r="J289" s="505">
        <f>_xlfn.AGGREGATE(9,0,J290:J291)</f>
        <v>15202.5</v>
      </c>
      <c r="K289" s="505">
        <f t="shared" ref="K289:M289" si="273">_xlfn.AGGREGATE(9,0,K290:K291)</f>
        <v>36612</v>
      </c>
      <c r="L289" s="505">
        <f t="shared" si="273"/>
        <v>36735.07666666666</v>
      </c>
      <c r="M289" s="505">
        <f t="shared" si="273"/>
        <v>31786.577777777769</v>
      </c>
      <c r="P289" s="505">
        <f t="shared" ref="P289:AE289" si="274">_xlfn.AGGREGATE(9,0,P290:P291)</f>
        <v>277</v>
      </c>
      <c r="Q289" s="505">
        <f t="shared" si="274"/>
        <v>3695.5</v>
      </c>
      <c r="R289" s="505">
        <f t="shared" si="274"/>
        <v>4347</v>
      </c>
      <c r="S289" s="505">
        <f t="shared" si="274"/>
        <v>6883</v>
      </c>
      <c r="T289" s="505">
        <f t="shared" si="274"/>
        <v>9153</v>
      </c>
      <c r="U289" s="505">
        <f t="shared" si="274"/>
        <v>9153</v>
      </c>
      <c r="V289" s="505">
        <f t="shared" si="274"/>
        <v>9153</v>
      </c>
      <c r="W289" s="505">
        <f t="shared" si="274"/>
        <v>9153</v>
      </c>
      <c r="X289" s="505">
        <f t="shared" si="274"/>
        <v>9151.98</v>
      </c>
      <c r="Y289" s="505">
        <f t="shared" si="274"/>
        <v>9151.98</v>
      </c>
      <c r="Z289" s="505">
        <f t="shared" si="274"/>
        <v>9151.98</v>
      </c>
      <c r="AA289" s="505">
        <f t="shared" si="274"/>
        <v>9279.1366666666654</v>
      </c>
      <c r="AB289" s="505">
        <f t="shared" si="274"/>
        <v>9811.2277777777781</v>
      </c>
      <c r="AC289" s="505">
        <f t="shared" si="274"/>
        <v>7505.6722222222306</v>
      </c>
      <c r="AD289" s="505">
        <f t="shared" si="274"/>
        <v>7269.5611111111066</v>
      </c>
      <c r="AE289" s="505">
        <f t="shared" si="274"/>
        <v>7200.1166666666541</v>
      </c>
      <c r="AH289" s="505">
        <f t="shared" ref="AH289:CC289" si="275">_xlfn.AGGREGATE(9,0,AH290:AH291)</f>
        <v>69</v>
      </c>
      <c r="AI289" s="505">
        <f t="shared" si="275"/>
        <v>69</v>
      </c>
      <c r="AJ289" s="505">
        <f t="shared" si="275"/>
        <v>139</v>
      </c>
      <c r="AK289" s="505">
        <f t="shared" si="275"/>
        <v>1111.5</v>
      </c>
      <c r="AL289" s="505">
        <f t="shared" si="275"/>
        <v>1181</v>
      </c>
      <c r="AM289" s="505">
        <f t="shared" si="275"/>
        <v>1403</v>
      </c>
      <c r="AN289" s="505">
        <f t="shared" si="275"/>
        <v>1403</v>
      </c>
      <c r="AO289" s="505">
        <f t="shared" si="275"/>
        <v>1472</v>
      </c>
      <c r="AP289" s="505">
        <f t="shared" si="275"/>
        <v>1472</v>
      </c>
      <c r="AQ289" s="505">
        <f t="shared" si="275"/>
        <v>1472</v>
      </c>
      <c r="AR289" s="505">
        <f t="shared" si="275"/>
        <v>2360</v>
      </c>
      <c r="AS289" s="505">
        <f t="shared" si="275"/>
        <v>3051</v>
      </c>
      <c r="AT289" s="505">
        <f t="shared" si="275"/>
        <v>3051</v>
      </c>
      <c r="AU289" s="505">
        <f t="shared" si="275"/>
        <v>3051</v>
      </c>
      <c r="AV289" s="505">
        <f t="shared" si="275"/>
        <v>3051</v>
      </c>
      <c r="AW289" s="505">
        <f t="shared" si="275"/>
        <v>3051</v>
      </c>
      <c r="AX289" s="505">
        <f t="shared" si="275"/>
        <v>3051</v>
      </c>
      <c r="AY289" s="505">
        <f t="shared" si="275"/>
        <v>3051</v>
      </c>
      <c r="AZ289" s="505">
        <f t="shared" si="275"/>
        <v>3051</v>
      </c>
      <c r="BA289" s="505">
        <f t="shared" si="275"/>
        <v>3051</v>
      </c>
      <c r="BB289" s="505">
        <f t="shared" si="275"/>
        <v>3051</v>
      </c>
      <c r="BC289" s="505">
        <f t="shared" si="275"/>
        <v>3051</v>
      </c>
      <c r="BD289" s="505">
        <f t="shared" si="275"/>
        <v>3051</v>
      </c>
      <c r="BE289" s="505">
        <f t="shared" si="275"/>
        <v>3051</v>
      </c>
      <c r="BF289" s="505">
        <f t="shared" si="275"/>
        <v>3050.66</v>
      </c>
      <c r="BG289" s="505">
        <f t="shared" si="275"/>
        <v>3050.66</v>
      </c>
      <c r="BH289" s="505">
        <f t="shared" si="275"/>
        <v>3050.66</v>
      </c>
      <c r="BI289" s="505">
        <f t="shared" si="275"/>
        <v>3050.66</v>
      </c>
      <c r="BJ289" s="505">
        <f t="shared" si="275"/>
        <v>3050.66</v>
      </c>
      <c r="BK289" s="505">
        <f t="shared" si="275"/>
        <v>3050.66</v>
      </c>
      <c r="BL289" s="505">
        <f t="shared" si="275"/>
        <v>3050.66</v>
      </c>
      <c r="BM289" s="505">
        <f t="shared" si="275"/>
        <v>3050.66</v>
      </c>
      <c r="BN289" s="505">
        <f t="shared" si="275"/>
        <v>3050.66</v>
      </c>
      <c r="BO289" s="505">
        <f t="shared" si="275"/>
        <v>3050.66</v>
      </c>
      <c r="BP289" s="505">
        <f t="shared" si="275"/>
        <v>3050.66</v>
      </c>
      <c r="BQ289" s="505">
        <f t="shared" si="275"/>
        <v>3177.8166666666657</v>
      </c>
      <c r="BR289" s="505">
        <f t="shared" si="275"/>
        <v>3108.3722222222277</v>
      </c>
      <c r="BS289" s="505">
        <f t="shared" si="275"/>
        <v>3386.1499999999942</v>
      </c>
      <c r="BT289" s="505">
        <f t="shared" si="275"/>
        <v>3316.7055555555562</v>
      </c>
      <c r="BU289" s="505">
        <f t="shared" si="275"/>
        <v>2344.4833333333372</v>
      </c>
      <c r="BV289" s="505">
        <f t="shared" si="275"/>
        <v>2691.7055555555562</v>
      </c>
      <c r="BW289" s="505">
        <f t="shared" si="275"/>
        <v>2469.4833333333372</v>
      </c>
      <c r="BX289" s="505">
        <f t="shared" si="275"/>
        <v>2469.4833333333372</v>
      </c>
      <c r="BY289" s="505">
        <f t="shared" si="275"/>
        <v>2400.0388888888847</v>
      </c>
      <c r="BZ289" s="505">
        <f t="shared" si="275"/>
        <v>2400.0388888888847</v>
      </c>
      <c r="CA289" s="505">
        <f t="shared" si="275"/>
        <v>2400.0388888888847</v>
      </c>
      <c r="CB289" s="505">
        <f t="shared" si="275"/>
        <v>2400.0388888888847</v>
      </c>
      <c r="CC289" s="505">
        <f t="shared" si="275"/>
        <v>2400.0388888888847</v>
      </c>
    </row>
    <row r="290" spans="2:81" outlineLevel="1">
      <c r="C290" s="502" t="str" cm="1">
        <f t="array" ref="C290">INDEX(PBC_ACCOUNT_LIST[Name],_xlfn.XMATCH(F290,PBC_ACCOUNT_LIST[Id]))</f>
        <v>Depreciation Expense</v>
      </c>
      <c r="F290" s="502">
        <v>191</v>
      </c>
      <c r="G290" s="502">
        <v>194</v>
      </c>
      <c r="J290" s="504">
        <f>SUMIFS($AH290:$CC290,$AH$4:$CC$4,"&gt;="&amp;J$4,$AH$5:$CC$5,"&lt;="&amp;J$5)</f>
        <v>15202.5</v>
      </c>
      <c r="K290" s="504">
        <f>SUMIFS($AH290:$CC290,$AH$4:$CC$4,"&gt;="&amp;K$4,$AH$5:$CC$5,"&lt;="&amp;K$5)</f>
        <v>36612</v>
      </c>
      <c r="L290" s="504">
        <f>SUMIFS($AH290:$CC290,$AH$4:$CC$4,"&gt;="&amp;L$4,$AH$5:$CC$5,"&lt;="&amp;L$5)</f>
        <v>36735.07666666666</v>
      </c>
      <c r="M290" s="504">
        <f>SUMIFS($AH290:$CC290,$AH$4:$CC$4,"&gt;="&amp;M$4,$AH$5:$CC$5,"&lt;="&amp;M$5)</f>
        <v>31786.577777777769</v>
      </c>
      <c r="N290" s="504"/>
      <c r="O290" s="504"/>
      <c r="P290" s="504">
        <f t="shared" ref="P290:AE290" si="276">SUMIFS($AH290:$CC290,$AH$4:$CC$4,"&gt;="&amp;P$4,$AH$5:$CC$5,"&lt;="&amp;P$5)</f>
        <v>277</v>
      </c>
      <c r="Q290" s="504">
        <f t="shared" si="276"/>
        <v>3695.5</v>
      </c>
      <c r="R290" s="504">
        <f t="shared" si="276"/>
        <v>4347</v>
      </c>
      <c r="S290" s="504">
        <f t="shared" si="276"/>
        <v>6883</v>
      </c>
      <c r="T290" s="504">
        <f t="shared" si="276"/>
        <v>9153</v>
      </c>
      <c r="U290" s="504">
        <f t="shared" si="276"/>
        <v>9153</v>
      </c>
      <c r="V290" s="504">
        <f t="shared" si="276"/>
        <v>9153</v>
      </c>
      <c r="W290" s="504">
        <f t="shared" si="276"/>
        <v>9153</v>
      </c>
      <c r="X290" s="504">
        <f t="shared" si="276"/>
        <v>9151.98</v>
      </c>
      <c r="Y290" s="504">
        <f t="shared" si="276"/>
        <v>9151.98</v>
      </c>
      <c r="Z290" s="504">
        <f t="shared" si="276"/>
        <v>9151.98</v>
      </c>
      <c r="AA290" s="504">
        <f t="shared" si="276"/>
        <v>9279.1366666666654</v>
      </c>
      <c r="AB290" s="504">
        <f t="shared" si="276"/>
        <v>9811.2277777777781</v>
      </c>
      <c r="AC290" s="504">
        <f t="shared" si="276"/>
        <v>7505.6722222222306</v>
      </c>
      <c r="AD290" s="504">
        <f t="shared" si="276"/>
        <v>7269.5611111111066</v>
      </c>
      <c r="AE290" s="504">
        <f t="shared" si="276"/>
        <v>7200.1166666666541</v>
      </c>
      <c r="AH290" s="507">
        <f>IF(AH$8&lt;=LatestMonthOfActuals,SUMIFS('Data Summary'!M$38:M$74,dataGLPLAcctIDs,$F290),-(SUMIFS(AH$293:AH$294,$G$293:$G$294,$G290)-SUMIFS(AG$293:AG$294,$G$293:$G$294,$G290)))</f>
        <v>69</v>
      </c>
      <c r="AI290" s="507">
        <f>IF(AI$8&lt;=LatestMonthOfActuals,SUMIFS('Data Summary'!N$38:N$74,dataGLPLAcctIDs,$F290),-(SUMIFS(AI$293:AI$294,$G$293:$G$294,$G290)-SUMIFS(AH$293:AH$294,$G$293:$G$294,$G290)))</f>
        <v>69</v>
      </c>
      <c r="AJ290" s="507">
        <f>IF(AJ$8&lt;=LatestMonthOfActuals,SUMIFS('Data Summary'!O$38:O$74,dataGLPLAcctIDs,$F290),-(SUMIFS(AJ$293:AJ$294,$G$293:$G$294,$G290)-SUMIFS(AI$293:AI$294,$G$293:$G$294,$G290)))</f>
        <v>139</v>
      </c>
      <c r="AK290" s="507">
        <f>IF(AK$8&lt;=LatestMonthOfActuals,SUMIFS('Data Summary'!P$38:P$74,dataGLPLAcctIDs,$F290),-(SUMIFS(AK$293:AK$294,$G$293:$G$294,$G290)-SUMIFS(AJ$293:AJ$294,$G$293:$G$294,$G290)))</f>
        <v>1111.5</v>
      </c>
      <c r="AL290" s="507">
        <f>IF(AL$8&lt;=LatestMonthOfActuals,SUMIFS('Data Summary'!Q$38:Q$74,dataGLPLAcctIDs,$F290),-(SUMIFS(AL$293:AL$294,$G$293:$G$294,$G290)-SUMIFS(AK$293:AK$294,$G$293:$G$294,$G290)))</f>
        <v>1181</v>
      </c>
      <c r="AM290" s="507">
        <f>IF(AM$8&lt;=LatestMonthOfActuals,SUMIFS('Data Summary'!R$38:R$74,dataGLPLAcctIDs,$F290),-(SUMIFS(AM$293:AM$294,$G$293:$G$294,$G290)-SUMIFS(AL$293:AL$294,$G$293:$G$294,$G290)))</f>
        <v>1403</v>
      </c>
      <c r="AN290" s="507">
        <f>IF(AN$8&lt;=LatestMonthOfActuals,SUMIFS('Data Summary'!S$38:S$74,dataGLPLAcctIDs,$F290),-(SUMIFS(AN$293:AN$294,$G$293:$G$294,$G290)-SUMIFS(AM$293:AM$294,$G$293:$G$294,$G290)))</f>
        <v>1403</v>
      </c>
      <c r="AO290" s="507">
        <f>IF(AO$8&lt;=LatestMonthOfActuals,SUMIFS('Data Summary'!T$38:T$74,dataGLPLAcctIDs,$F290),-(SUMIFS(AO$293:AO$294,$G$293:$G$294,$G290)-SUMIFS(AN$293:AN$294,$G$293:$G$294,$G290)))</f>
        <v>1472</v>
      </c>
      <c r="AP290" s="507">
        <f>IF(AP$8&lt;=LatestMonthOfActuals,SUMIFS('Data Summary'!U$38:U$74,dataGLPLAcctIDs,$F290),-(SUMIFS(AP$293:AP$294,$G$293:$G$294,$G290)-SUMIFS(AO$293:AO$294,$G$293:$G$294,$G290)))</f>
        <v>1472</v>
      </c>
      <c r="AQ290" s="507">
        <f>IF(AQ$8&lt;=LatestMonthOfActuals,SUMIFS('Data Summary'!V$38:V$74,dataGLPLAcctIDs,$F290),-(SUMIFS(AQ$293:AQ$294,$G$293:$G$294,$G290)-SUMIFS(AP$293:AP$294,$G$293:$G$294,$G290)))</f>
        <v>1472</v>
      </c>
      <c r="AR290" s="507">
        <f>IF(AR$8&lt;=LatestMonthOfActuals,SUMIFS('Data Summary'!W$38:W$74,dataGLPLAcctIDs,$F290),-(SUMIFS(AR$293:AR$294,$G$293:$G$294,$G290)-SUMIFS(AQ$293:AQ$294,$G$293:$G$294,$G290)))</f>
        <v>2360</v>
      </c>
      <c r="AS290" s="507">
        <f>IF(AS$8&lt;=LatestMonthOfActuals,SUMIFS('Data Summary'!X$38:X$74,dataGLPLAcctIDs,$F290),-(SUMIFS(AS$293:AS$294,$G$293:$G$294,$G290)-SUMIFS(AR$293:AR$294,$G$293:$G$294,$G290)))</f>
        <v>3051</v>
      </c>
      <c r="AT290" s="507">
        <f>IF(AT$8&lt;=LatestMonthOfActuals,SUMIFS('Data Summary'!Y$38:Y$74,dataGLPLAcctIDs,$F290),-(SUMIFS(AT$293:AT$294,$G$293:$G$294,$G290)-SUMIFS(AS$293:AS$294,$G$293:$G$294,$G290)))</f>
        <v>3051</v>
      </c>
      <c r="AU290" s="507">
        <f>IF(AU$8&lt;=LatestMonthOfActuals,SUMIFS('Data Summary'!Z$38:Z$74,dataGLPLAcctIDs,$F290),-(SUMIFS(AU$293:AU$294,$G$293:$G$294,$G290)-SUMIFS(AT$293:AT$294,$G$293:$G$294,$G290)))</f>
        <v>3051</v>
      </c>
      <c r="AV290" s="507">
        <f>IF(AV$8&lt;=LatestMonthOfActuals,SUMIFS('Data Summary'!AA$38:AA$74,dataGLPLAcctIDs,$F290),-(SUMIFS(AV$293:AV$294,$G$293:$G$294,$G290)-SUMIFS(AU$293:AU$294,$G$293:$G$294,$G290)))</f>
        <v>3051</v>
      </c>
      <c r="AW290" s="507">
        <f>IF(AW$8&lt;=LatestMonthOfActuals,SUMIFS('Data Summary'!AB$38:AB$74,dataGLPLAcctIDs,$F290),-(SUMIFS(AW$293:AW$294,$G$293:$G$294,$G290)-SUMIFS(AV$293:AV$294,$G$293:$G$294,$G290)))</f>
        <v>3051</v>
      </c>
      <c r="AX290" s="507">
        <f>IF(AX$8&lt;=LatestMonthOfActuals,SUMIFS('Data Summary'!AC$38:AC$74,dataGLPLAcctIDs,$F290),-(SUMIFS(AX$293:AX$294,$G$293:$G$294,$G290)-SUMIFS(AW$293:AW$294,$G$293:$G$294,$G290)))</f>
        <v>3051</v>
      </c>
      <c r="AY290" s="507">
        <f>IF(AY$8&lt;=LatestMonthOfActuals,SUMIFS('Data Summary'!AD$38:AD$74,dataGLPLAcctIDs,$F290),-(SUMIFS(AY$293:AY$294,$G$293:$G$294,$G290)-SUMIFS(AX$293:AX$294,$G$293:$G$294,$G290)))</f>
        <v>3051</v>
      </c>
      <c r="AZ290" s="507">
        <f>IF(AZ$8&lt;=LatestMonthOfActuals,SUMIFS('Data Summary'!AE$38:AE$74,dataGLPLAcctIDs,$F290),-(SUMIFS(AZ$293:AZ$294,$G$293:$G$294,$G290)-SUMIFS(AY$293:AY$294,$G$293:$G$294,$G290)))</f>
        <v>3051</v>
      </c>
      <c r="BA290" s="507">
        <f>IF(BA$8&lt;=LatestMonthOfActuals,SUMIFS('Data Summary'!AF$38:AF$74,dataGLPLAcctIDs,$F290),-(SUMIFS(BA$293:BA$294,$G$293:$G$294,$G290)-SUMIFS(AZ$293:AZ$294,$G$293:$G$294,$G290)))</f>
        <v>3051</v>
      </c>
      <c r="BB290" s="507">
        <f>IF(BB$8&lt;=LatestMonthOfActuals,SUMIFS('Data Summary'!AG$38:AG$74,dataGLPLAcctIDs,$F290),-(SUMIFS(BB$293:BB$294,$G$293:$G$294,$G290)-SUMIFS(BA$293:BA$294,$G$293:$G$294,$G290)))</f>
        <v>3051</v>
      </c>
      <c r="BC290" s="507">
        <f>IF(BC$8&lt;=LatestMonthOfActuals,SUMIFS('Data Summary'!AH$38:AH$74,dataGLPLAcctIDs,$F290),-(SUMIFS(BC$293:BC$294,$G$293:$G$294,$G290)-SUMIFS(BB$293:BB$294,$G$293:$G$294,$G290)))</f>
        <v>3051</v>
      </c>
      <c r="BD290" s="507">
        <f>IF(BD$8&lt;=LatestMonthOfActuals,SUMIFS('Data Summary'!AI$38:AI$74,dataGLPLAcctIDs,$F290),-(SUMIFS(BD$293:BD$294,$G$293:$G$294,$G290)-SUMIFS(BC$293:BC$294,$G$293:$G$294,$G290)))</f>
        <v>3051</v>
      </c>
      <c r="BE290" s="507">
        <f>IF(BE$8&lt;=LatestMonthOfActuals,SUMIFS('Data Summary'!AJ$38:AJ$74,dataGLPLAcctIDs,$F290),-(SUMIFS(BE$293:BE$294,$G$293:$G$294,$G290)-SUMIFS(BD$293:BD$294,$G$293:$G$294,$G290)))</f>
        <v>3051</v>
      </c>
      <c r="BF290" s="507">
        <f>IF(BF$8&lt;=LatestMonthOfActuals,SUMIFS('Data Summary'!AK$38:AK$74,dataGLPLAcctIDs,$F290),-(SUMIFS(BF$293:BF$294,$G$293:$G$294,$G290)-SUMIFS(BE$293:BE$294,$G$293:$G$294,$G290)))</f>
        <v>3050.66</v>
      </c>
      <c r="BG290" s="507">
        <f>IF(BG$8&lt;=LatestMonthOfActuals,SUMIFS('Data Summary'!AL$38:AL$74,dataGLPLAcctIDs,$F290),-(SUMIFS(BG$293:BG$294,$G$293:$G$294,$G290)-SUMIFS(BF$293:BF$294,$G$293:$G$294,$G290)))</f>
        <v>3050.66</v>
      </c>
      <c r="BH290" s="507">
        <f>IF(BH$8&lt;=LatestMonthOfActuals,SUMIFS('Data Summary'!AM$38:AM$74,dataGLPLAcctIDs,$F290),-(SUMIFS(BH$293:BH$294,$G$293:$G$294,$G290)-SUMIFS(BG$293:BG$294,$G$293:$G$294,$G290)))</f>
        <v>3050.66</v>
      </c>
      <c r="BI290" s="507">
        <f>IF(BI$8&lt;=LatestMonthOfActuals,SUMIFS('Data Summary'!AN$38:AN$74,dataGLPLAcctIDs,$F290),-(SUMIFS(BI$293:BI$294,$G$293:$G$294,$G290)-SUMIFS(BH$293:BH$294,$G$293:$G$294,$G290)))</f>
        <v>3050.66</v>
      </c>
      <c r="BJ290" s="507">
        <f>IF(BJ$8&lt;=LatestMonthOfActuals,SUMIFS('Data Summary'!AO$38:AO$74,dataGLPLAcctIDs,$F290),-(SUMIFS(BJ$293:BJ$294,$G$293:$G$294,$G290)-SUMIFS(BI$293:BI$294,$G$293:$G$294,$G290)))</f>
        <v>3050.66</v>
      </c>
      <c r="BK290" s="507">
        <f>IF(BK$8&lt;=LatestMonthOfActuals,SUMIFS('Data Summary'!AP$38:AP$74,dataGLPLAcctIDs,$F290),-(SUMIFS(BK$293:BK$294,$G$293:$G$294,$G290)-SUMIFS(BJ$293:BJ$294,$G$293:$G$294,$G290)))</f>
        <v>3050.66</v>
      </c>
      <c r="BL290" s="507">
        <f>IF(BL$8&lt;=LatestMonthOfActuals,SUMIFS('Data Summary'!AQ$38:AQ$74,dataGLPLAcctIDs,$F290),-(SUMIFS(BL$293:BL$294,$G$293:$G$294,$G290)-SUMIFS(BK$293:BK$294,$G$293:$G$294,$G290)))</f>
        <v>3050.66</v>
      </c>
      <c r="BM290" s="507">
        <f>IF(BM$8&lt;=LatestMonthOfActuals,SUMIFS('Data Summary'!AR$38:AR$74,dataGLPLAcctIDs,$F290),-(SUMIFS(BM$293:BM$294,$G$293:$G$294,$G290)-SUMIFS(BL$293:BL$294,$G$293:$G$294,$G290)))</f>
        <v>3050.66</v>
      </c>
      <c r="BN290" s="507">
        <f>IF(BN$8&lt;=LatestMonthOfActuals,SUMIFS('Data Summary'!AS$38:AS$74,dataGLPLAcctIDs,$F290),-(SUMIFS(BN$293:BN$294,$G$293:$G$294,$G290)-SUMIFS(BM$293:BM$294,$G$293:$G$294,$G290)))</f>
        <v>3050.66</v>
      </c>
      <c r="BO290" s="507">
        <f>IF(BO$8&lt;=LatestMonthOfActuals,SUMIFS('Data Summary'!AT$38:AT$74,dataGLPLAcctIDs,$F290),-(SUMIFS(BO$293:BO$294,$G$293:$G$294,$G290)-SUMIFS(BN$293:BN$294,$G$293:$G$294,$G290)))</f>
        <v>3050.66</v>
      </c>
      <c r="BP290" s="507">
        <f>IF(BP$8&lt;=LatestMonthOfActuals,SUMIFS('Data Summary'!AU$38:AU$74,dataGLPLAcctIDs,$F290),-(SUMIFS(BP$293:BP$294,$G$293:$G$294,$G290)-SUMIFS(BO$293:BO$294,$G$293:$G$294,$G290)))</f>
        <v>3050.66</v>
      </c>
      <c r="BQ290" s="507">
        <f>IF(BQ$8&lt;=LatestMonthOfActuals,SUMIFS('Data Summary'!AV$38:AV$74,dataGLPLAcctIDs,$F290),-(SUMIFS(BQ$293:BQ$294,$G$293:$G$294,$G290)-SUMIFS(BP$293:BP$294,$G$293:$G$294,$G290)))</f>
        <v>3177.8166666666657</v>
      </c>
      <c r="BR290" s="507">
        <f>IF(BR$8&lt;=LatestMonthOfActuals,SUMIFS('Data Summary'!AW$38:AW$74,dataGLPLAcctIDs,$F290),-(SUMIFS(BR$293:BR$294,$G$293:$G$294,$G290)-SUMIFS(BQ$293:BQ$294,$G$293:$G$294,$G290)))</f>
        <v>3108.3722222222277</v>
      </c>
      <c r="BS290" s="507">
        <f>IF(BS$8&lt;=LatestMonthOfActuals,SUMIFS('Data Summary'!AX$38:AX$74,dataGLPLAcctIDs,$F290),-(SUMIFS(BS$293:BS$294,$G$293:$G$294,$G290)-SUMIFS(BR$293:BR$294,$G$293:$G$294,$G290)))</f>
        <v>3386.1499999999942</v>
      </c>
      <c r="BT290" s="507">
        <f>IF(BT$8&lt;=LatestMonthOfActuals,SUMIFS('Data Summary'!AY$38:AY$74,dataGLPLAcctIDs,$F290),-(SUMIFS(BT$293:BT$294,$G$293:$G$294,$G290)-SUMIFS(BS$293:BS$294,$G$293:$G$294,$G290)))</f>
        <v>3316.7055555555562</v>
      </c>
      <c r="BU290" s="507">
        <f>IF(BU$8&lt;=LatestMonthOfActuals,SUMIFS('Data Summary'!AZ$38:AZ$74,dataGLPLAcctIDs,$F290),-(SUMIFS(BU$293:BU$294,$G$293:$G$294,$G290)-SUMIFS(BT$293:BT$294,$G$293:$G$294,$G290)))</f>
        <v>2344.4833333333372</v>
      </c>
      <c r="BV290" s="507">
        <f>IF(BV$8&lt;=LatestMonthOfActuals,SUMIFS('Data Summary'!BA$38:BA$74,dataGLPLAcctIDs,$F290),-(SUMIFS(BV$293:BV$294,$G$293:$G$294,$G290)-SUMIFS(BU$293:BU$294,$G$293:$G$294,$G290)))</f>
        <v>2691.7055555555562</v>
      </c>
      <c r="BW290" s="507">
        <f>IF(BW$8&lt;=LatestMonthOfActuals,SUMIFS('Data Summary'!BB$38:BB$74,dataGLPLAcctIDs,$F290),-(SUMIFS(BW$293:BW$294,$G$293:$G$294,$G290)-SUMIFS(BV$293:BV$294,$G$293:$G$294,$G290)))</f>
        <v>2469.4833333333372</v>
      </c>
      <c r="BX290" s="507">
        <f>IF(BX$8&lt;=LatestMonthOfActuals,SUMIFS('Data Summary'!BC$38:BC$74,dataGLPLAcctIDs,$F290),-(SUMIFS(BX$293:BX$294,$G$293:$G$294,$G290)-SUMIFS(BW$293:BW$294,$G$293:$G$294,$G290)))</f>
        <v>2469.4833333333372</v>
      </c>
      <c r="BY290" s="507">
        <f>IF(BY$8&lt;=LatestMonthOfActuals,SUMIFS('Data Summary'!BD$38:BD$74,dataGLPLAcctIDs,$F290),-(SUMIFS(BY$293:BY$294,$G$293:$G$294,$G290)-SUMIFS(BX$293:BX$294,$G$293:$G$294,$G290)))</f>
        <v>2400.0388888888847</v>
      </c>
      <c r="BZ290" s="507">
        <f>IF(BZ$8&lt;=LatestMonthOfActuals,SUMIFS('Data Summary'!BE$38:BE$74,dataGLPLAcctIDs,$F290),-(SUMIFS(BZ$293:BZ$294,$G$293:$G$294,$G290)-SUMIFS(BY$293:BY$294,$G$293:$G$294,$G290)))</f>
        <v>2400.0388888888847</v>
      </c>
      <c r="CA290" s="507">
        <f>IF(CA$8&lt;=LatestMonthOfActuals,SUMIFS('Data Summary'!BF$38:BF$74,dataGLPLAcctIDs,$F290),-(SUMIFS(CA$293:CA$294,$G$293:$G$294,$G290)-SUMIFS(BZ$293:BZ$294,$G$293:$G$294,$G290)))</f>
        <v>2400.0388888888847</v>
      </c>
      <c r="CB290" s="507">
        <f>IF(CB$8&lt;=LatestMonthOfActuals,SUMIFS('Data Summary'!BG$38:BG$74,dataGLPLAcctIDs,$F290),-(SUMIFS(CB$293:CB$294,$G$293:$G$294,$G290)-SUMIFS(CA$293:CA$294,$G$293:$G$294,$G290)))</f>
        <v>2400.0388888888847</v>
      </c>
      <c r="CC290" s="507">
        <f>IF(CC$8&lt;=LatestMonthOfActuals,SUMIFS('Data Summary'!BH$38:BH$74,dataGLPLAcctIDs,$F290),-(SUMIFS(CC$293:CC$294,$G$293:$G$294,$G290)-SUMIFS(CB$293:CB$294,$G$293:$G$294,$G290)))</f>
        <v>2400.0388888888847</v>
      </c>
    </row>
    <row r="292" spans="2:81" s="503" customFormat="1">
      <c r="B292" s="506" t="s">
        <v>451</v>
      </c>
      <c r="C292" s="168"/>
      <c r="D292" s="168"/>
      <c r="E292" s="168"/>
      <c r="F292" s="168"/>
      <c r="G292" s="168"/>
      <c r="J292" s="505">
        <f>SUM(J293:J293)</f>
        <v>-15202</v>
      </c>
      <c r="K292" s="505">
        <f>SUM(K293:K293)</f>
        <v>-51811.5</v>
      </c>
      <c r="L292" s="505">
        <f>SUM(L293:L293)</f>
        <v>-88546.57666666666</v>
      </c>
      <c r="M292" s="505">
        <f>SUM(M293:M293)</f>
        <v>-120333.15444444443</v>
      </c>
      <c r="P292" s="505">
        <f t="shared" ref="P292:AE292" si="277">SUM(P293:P293)</f>
        <v>-277</v>
      </c>
      <c r="Q292" s="505">
        <f t="shared" si="277"/>
        <v>-3972</v>
      </c>
      <c r="R292" s="505">
        <f t="shared" si="277"/>
        <v>-8319</v>
      </c>
      <c r="S292" s="505">
        <f t="shared" si="277"/>
        <v>-15202</v>
      </c>
      <c r="T292" s="505">
        <f t="shared" si="277"/>
        <v>-24354</v>
      </c>
      <c r="U292" s="505">
        <f t="shared" si="277"/>
        <v>-33506</v>
      </c>
      <c r="V292" s="505">
        <f t="shared" si="277"/>
        <v>-42659</v>
      </c>
      <c r="W292" s="505">
        <f t="shared" si="277"/>
        <v>-51811.5</v>
      </c>
      <c r="X292" s="505">
        <f t="shared" si="277"/>
        <v>-60963.48</v>
      </c>
      <c r="Y292" s="505">
        <f t="shared" si="277"/>
        <v>-70115.460000000006</v>
      </c>
      <c r="Z292" s="505">
        <f t="shared" si="277"/>
        <v>-79267.44</v>
      </c>
      <c r="AA292" s="505">
        <f t="shared" si="277"/>
        <v>-88546.57666666666</v>
      </c>
      <c r="AB292" s="505">
        <f t="shared" si="277"/>
        <v>-98357.804444444439</v>
      </c>
      <c r="AC292" s="505">
        <f t="shared" si="277"/>
        <v>-105863.47666666667</v>
      </c>
      <c r="AD292" s="505">
        <f t="shared" si="277"/>
        <v>-113133.03777777778</v>
      </c>
      <c r="AE292" s="505">
        <f t="shared" si="277"/>
        <v>-120333.15444444443</v>
      </c>
      <c r="AH292" s="505">
        <f t="shared" ref="AH292:CB292" si="278">SUM(AH293:AH294)</f>
        <v>-69</v>
      </c>
      <c r="AI292" s="505">
        <f t="shared" si="278"/>
        <v>-138</v>
      </c>
      <c r="AJ292" s="505">
        <f t="shared" si="278"/>
        <v>-277</v>
      </c>
      <c r="AK292" s="505">
        <f t="shared" si="278"/>
        <v>-1388</v>
      </c>
      <c r="AL292" s="505">
        <f t="shared" si="278"/>
        <v>-2569</v>
      </c>
      <c r="AM292" s="505">
        <f t="shared" si="278"/>
        <v>-3972</v>
      </c>
      <c r="AN292" s="505">
        <f t="shared" si="278"/>
        <v>-5375</v>
      </c>
      <c r="AO292" s="505">
        <f t="shared" si="278"/>
        <v>-6847</v>
      </c>
      <c r="AP292" s="505">
        <f t="shared" si="278"/>
        <v>-8319</v>
      </c>
      <c r="AQ292" s="505">
        <f t="shared" si="278"/>
        <v>-9791</v>
      </c>
      <c r="AR292" s="505">
        <f t="shared" si="278"/>
        <v>-12151</v>
      </c>
      <c r="AS292" s="505">
        <f t="shared" si="278"/>
        <v>-15202</v>
      </c>
      <c r="AT292" s="505">
        <f t="shared" si="278"/>
        <v>-18252.5</v>
      </c>
      <c r="AU292" s="505">
        <f t="shared" si="278"/>
        <v>-21303.5</v>
      </c>
      <c r="AV292" s="505">
        <f t="shared" si="278"/>
        <v>-24354</v>
      </c>
      <c r="AW292" s="505">
        <f t="shared" si="278"/>
        <v>-27404.5</v>
      </c>
      <c r="AX292" s="505">
        <f t="shared" si="278"/>
        <v>-30455</v>
      </c>
      <c r="AY292" s="505">
        <f t="shared" si="278"/>
        <v>-33506</v>
      </c>
      <c r="AZ292" s="505">
        <f t="shared" si="278"/>
        <v>-36557</v>
      </c>
      <c r="BA292" s="505">
        <f t="shared" si="278"/>
        <v>-39608</v>
      </c>
      <c r="BB292" s="505">
        <f t="shared" si="278"/>
        <v>-42659</v>
      </c>
      <c r="BC292" s="505">
        <f t="shared" si="278"/>
        <v>-45710</v>
      </c>
      <c r="BD292" s="505">
        <f t="shared" si="278"/>
        <v>-48761</v>
      </c>
      <c r="BE292" s="505">
        <f t="shared" si="278"/>
        <v>-51811.5</v>
      </c>
      <c r="BF292" s="505">
        <f t="shared" si="278"/>
        <v>-54862.16</v>
      </c>
      <c r="BG292" s="505">
        <f t="shared" si="278"/>
        <v>-57912.82</v>
      </c>
      <c r="BH292" s="505">
        <f t="shared" si="278"/>
        <v>-60963.48</v>
      </c>
      <c r="BI292" s="505">
        <f t="shared" si="278"/>
        <v>-64014.14</v>
      </c>
      <c r="BJ292" s="505">
        <f t="shared" si="278"/>
        <v>-67064.800000000003</v>
      </c>
      <c r="BK292" s="505">
        <f t="shared" si="278"/>
        <v>-70115.460000000006</v>
      </c>
      <c r="BL292" s="505">
        <f t="shared" si="278"/>
        <v>-73166.12</v>
      </c>
      <c r="BM292" s="505">
        <f t="shared" si="278"/>
        <v>-76216.78</v>
      </c>
      <c r="BN292" s="505">
        <f t="shared" si="278"/>
        <v>-79267.44</v>
      </c>
      <c r="BO292" s="505">
        <f t="shared" si="278"/>
        <v>-82318.100000000006</v>
      </c>
      <c r="BP292" s="505">
        <f t="shared" si="278"/>
        <v>-85368.76</v>
      </c>
      <c r="BQ292" s="505">
        <f t="shared" si="278"/>
        <v>-88546.57666666666</v>
      </c>
      <c r="BR292" s="505">
        <f t="shared" si="278"/>
        <v>-91654.948888888888</v>
      </c>
      <c r="BS292" s="505">
        <f t="shared" si="278"/>
        <v>-95041.098888888882</v>
      </c>
      <c r="BT292" s="505">
        <f t="shared" si="278"/>
        <v>-98357.804444444439</v>
      </c>
      <c r="BU292" s="505">
        <f t="shared" si="278"/>
        <v>-100702.28777777778</v>
      </c>
      <c r="BV292" s="505">
        <f t="shared" si="278"/>
        <v>-103393.99333333333</v>
      </c>
      <c r="BW292" s="505">
        <f t="shared" si="278"/>
        <v>-105863.47666666667</v>
      </c>
      <c r="BX292" s="505">
        <f t="shared" si="278"/>
        <v>-108332.96</v>
      </c>
      <c r="BY292" s="505">
        <f t="shared" si="278"/>
        <v>-110732.99888888889</v>
      </c>
      <c r="BZ292" s="505">
        <f t="shared" si="278"/>
        <v>-113133.03777777778</v>
      </c>
      <c r="CA292" s="505">
        <f t="shared" si="278"/>
        <v>-115533.07666666666</v>
      </c>
      <c r="CB292" s="505">
        <f t="shared" si="278"/>
        <v>-117933.11555555555</v>
      </c>
      <c r="CC292" s="505">
        <f>SUM(CC293:CC294)</f>
        <v>-120333.15444444443</v>
      </c>
    </row>
    <row r="293" spans="2:81" outlineLevel="1">
      <c r="C293" s="502" t="str" cm="1">
        <f t="array" ref="C293">INDEX(PBC_ACCOUNT_LIST[Name],_xlfn.XMATCH(G293,PBC_ACCOUNT_LIST[Id]))</f>
        <v>Accumulated Depreciation</v>
      </c>
      <c r="F293" s="502">
        <v>191</v>
      </c>
      <c r="G293" s="502">
        <v>194</v>
      </c>
      <c r="J293" s="504" cm="1">
        <f t="array" ref="J293">INDEX($AH293:$CC293,_xlfn.XMATCH(J$5,$AH$5:$CC$5))</f>
        <v>-15202</v>
      </c>
      <c r="K293" s="504" cm="1">
        <f t="array" ref="K293">INDEX($AH293:$CC293,_xlfn.XMATCH(K$5,$AH$5:$CC$5))</f>
        <v>-51811.5</v>
      </c>
      <c r="L293" s="504" cm="1">
        <f t="array" ref="L293">INDEX($AH293:$CC293,_xlfn.XMATCH(L$5,$AH$5:$CC$5))</f>
        <v>-88546.57666666666</v>
      </c>
      <c r="M293" s="504" cm="1">
        <f t="array" ref="M293">INDEX($AH293:$CC293,_xlfn.XMATCH(M$5,$AH$5:$CC$5))</f>
        <v>-120333.15444444443</v>
      </c>
      <c r="N293" s="504"/>
      <c r="O293" s="504"/>
      <c r="P293" s="504" cm="1">
        <f t="array" ref="P293">INDEX($AH293:$CC293,_xlfn.XMATCH(P$5,$AH$5:$CC$5))</f>
        <v>-277</v>
      </c>
      <c r="Q293" s="504" cm="1">
        <f t="array" ref="Q293">INDEX($AH293:$CC293,_xlfn.XMATCH(Q$5,$AH$5:$CC$5))</f>
        <v>-3972</v>
      </c>
      <c r="R293" s="504" cm="1">
        <f t="array" ref="R293">INDEX($AH293:$CC293,_xlfn.XMATCH(R$5,$AH$5:$CC$5))</f>
        <v>-8319</v>
      </c>
      <c r="S293" s="504" cm="1">
        <f t="array" ref="S293">INDEX($AH293:$CC293,_xlfn.XMATCH(S$5,$AH$5:$CC$5))</f>
        <v>-15202</v>
      </c>
      <c r="T293" s="504" cm="1">
        <f t="array" ref="T293">INDEX($AH293:$CC293,_xlfn.XMATCH(T$5,$AH$5:$CC$5))</f>
        <v>-24354</v>
      </c>
      <c r="U293" s="504" cm="1">
        <f t="array" ref="U293">INDEX($AH293:$CC293,_xlfn.XMATCH(U$5,$AH$5:$CC$5))</f>
        <v>-33506</v>
      </c>
      <c r="V293" s="504" cm="1">
        <f t="array" ref="V293">INDEX($AH293:$CC293,_xlfn.XMATCH(V$5,$AH$5:$CC$5))</f>
        <v>-42659</v>
      </c>
      <c r="W293" s="504" cm="1">
        <f t="array" ref="W293">INDEX($AH293:$CC293,_xlfn.XMATCH(W$5,$AH$5:$CC$5))</f>
        <v>-51811.5</v>
      </c>
      <c r="X293" s="504" cm="1">
        <f t="array" ref="X293">INDEX($AH293:$CC293,_xlfn.XMATCH(X$5,$AH$5:$CC$5))</f>
        <v>-60963.48</v>
      </c>
      <c r="Y293" s="504" cm="1">
        <f t="array" ref="Y293">INDEX($AH293:$CC293,_xlfn.XMATCH(Y$5,$AH$5:$CC$5))</f>
        <v>-70115.460000000006</v>
      </c>
      <c r="Z293" s="504" cm="1">
        <f t="array" ref="Z293">INDEX($AH293:$CC293,_xlfn.XMATCH(Z$5,$AH$5:$CC$5))</f>
        <v>-79267.44</v>
      </c>
      <c r="AA293" s="504" cm="1">
        <f t="array" ref="AA293">INDEX($AH293:$CC293,_xlfn.XMATCH(AA$5,$AH$5:$CC$5))</f>
        <v>-88546.57666666666</v>
      </c>
      <c r="AB293" s="504" cm="1">
        <f t="array" ref="AB293">INDEX($AH293:$CC293,_xlfn.XMATCH(AB$5,$AH$5:$CC$5))</f>
        <v>-98357.804444444439</v>
      </c>
      <c r="AC293" s="504" cm="1">
        <f t="array" ref="AC293">INDEX($AH293:$CC293,_xlfn.XMATCH(AC$5,$AH$5:$CC$5))</f>
        <v>-105863.47666666667</v>
      </c>
      <c r="AD293" s="504" cm="1">
        <f t="array" ref="AD293">INDEX($AH293:$CC293,_xlfn.XMATCH(AD$5,$AH$5:$CC$5))</f>
        <v>-113133.03777777778</v>
      </c>
      <c r="AE293" s="504" cm="1">
        <f t="array" ref="AE293">INDEX($AH293:$CC293,_xlfn.XMATCH(AE$5,$AH$5:$CC$5))</f>
        <v>-120333.15444444443</v>
      </c>
      <c r="AH293" s="410">
        <f>IF(AH$8&lt;=LatestMonthOfActuals,SUMIFS('Data Summary'!M$77:M$105,dataGLBSAcctIDs,$G293),MAX(AG293-SUMIFS(AH$33:AH$288,$G$33:$G$288,$G293),-SUMIFS(AH$26:AH$31,$G$26:$G$31,$G293)))</f>
        <v>-69</v>
      </c>
      <c r="AI293" s="410">
        <f>IF(AI$8&lt;=LatestMonthOfActuals,SUMIFS('Data Summary'!N$77:N$105,dataGLBSAcctIDs,$G293),MAX(AH293-SUMIFS(AI$33:AI$288,$G$33:$G$288,$G293),-SUMIFS(AI$26:AI$31,$G$26:$G$31,$G293)))</f>
        <v>-138</v>
      </c>
      <c r="AJ293" s="410">
        <f>IF(AJ$8&lt;=LatestMonthOfActuals,SUMIFS('Data Summary'!O$77:O$105,dataGLBSAcctIDs,$G293),MAX(AI293-SUMIFS(AJ$33:AJ$288,$G$33:$G$288,$G293),-SUMIFS(AJ$26:AJ$31,$G$26:$G$31,$G293)))</f>
        <v>-277</v>
      </c>
      <c r="AK293" s="410">
        <f>IF(AK$8&lt;=LatestMonthOfActuals,SUMIFS('Data Summary'!P$77:P$105,dataGLBSAcctIDs,$G293),MAX(AJ293-SUMIFS(AK$33:AK$288,$G$33:$G$288,$G293),-SUMIFS(AK$26:AK$31,$G$26:$G$31,$G293)))</f>
        <v>-1388</v>
      </c>
      <c r="AL293" s="410">
        <f>IF(AL$8&lt;=LatestMonthOfActuals,SUMIFS('Data Summary'!Q$77:Q$105,dataGLBSAcctIDs,$G293),MAX(AK293-SUMIFS(AL$33:AL$288,$G$33:$G$288,$G293),-SUMIFS(AL$26:AL$31,$G$26:$G$31,$G293)))</f>
        <v>-2569</v>
      </c>
      <c r="AM293" s="410">
        <f>IF(AM$8&lt;=LatestMonthOfActuals,SUMIFS('Data Summary'!R$77:R$105,dataGLBSAcctIDs,$G293),MAX(AL293-SUMIFS(AM$33:AM$288,$G$33:$G$288,$G293),-SUMIFS(AM$26:AM$31,$G$26:$G$31,$G293)))</f>
        <v>-3972</v>
      </c>
      <c r="AN293" s="410">
        <f>IF(AN$8&lt;=LatestMonthOfActuals,SUMIFS('Data Summary'!S$77:S$105,dataGLBSAcctIDs,$G293),MAX(AM293-SUMIFS(AN$33:AN$288,$G$33:$G$288,$G293),-SUMIFS(AN$26:AN$31,$G$26:$G$31,$G293)))</f>
        <v>-5375</v>
      </c>
      <c r="AO293" s="410">
        <f>IF(AO$8&lt;=LatestMonthOfActuals,SUMIFS('Data Summary'!T$77:T$105,dataGLBSAcctIDs,$G293),MAX(AN293-SUMIFS(AO$33:AO$288,$G$33:$G$288,$G293),-SUMIFS(AO$26:AO$31,$G$26:$G$31,$G293)))</f>
        <v>-6847</v>
      </c>
      <c r="AP293" s="410">
        <f>IF(AP$8&lt;=LatestMonthOfActuals,SUMIFS('Data Summary'!U$77:U$105,dataGLBSAcctIDs,$G293),MAX(AO293-SUMIFS(AP$33:AP$288,$G$33:$G$288,$G293),-SUMIFS(AP$26:AP$31,$G$26:$G$31,$G293)))</f>
        <v>-8319</v>
      </c>
      <c r="AQ293" s="410">
        <f>IF(AQ$8&lt;=LatestMonthOfActuals,SUMIFS('Data Summary'!V$77:V$105,dataGLBSAcctIDs,$G293),MAX(AP293-SUMIFS(AQ$33:AQ$288,$G$33:$G$288,$G293),-SUMIFS(AQ$26:AQ$31,$G$26:$G$31,$G293)))</f>
        <v>-9791</v>
      </c>
      <c r="AR293" s="410">
        <f>IF(AR$8&lt;=LatestMonthOfActuals,SUMIFS('Data Summary'!W$77:W$105,dataGLBSAcctIDs,$G293),MAX(AQ293-SUMIFS(AR$33:AR$288,$G$33:$G$288,$G293),-SUMIFS(AR$26:AR$31,$G$26:$G$31,$G293)))</f>
        <v>-12151</v>
      </c>
      <c r="AS293" s="410">
        <f>IF(AS$8&lt;=LatestMonthOfActuals,SUMIFS('Data Summary'!X$77:X$105,dataGLBSAcctIDs,$G293),MAX(AR293-SUMIFS(AS$33:AS$288,$G$33:$G$288,$G293),-SUMIFS(AS$26:AS$31,$G$26:$G$31,$G293)))</f>
        <v>-15202</v>
      </c>
      <c r="AT293" s="410">
        <f>IF(AT$8&lt;=LatestMonthOfActuals,SUMIFS('Data Summary'!Y$77:Y$105,dataGLBSAcctIDs,$G293),MAX(AS293-SUMIFS(AT$33:AT$288,$G$33:$G$288,$G293),-SUMIFS(AT$26:AT$31,$G$26:$G$31,$G293)))</f>
        <v>-18252.5</v>
      </c>
      <c r="AU293" s="410">
        <f>IF(AU$8&lt;=LatestMonthOfActuals,SUMIFS('Data Summary'!Z$77:Z$105,dataGLBSAcctIDs,$G293),MAX(AT293-SUMIFS(AU$33:AU$288,$G$33:$G$288,$G293),-SUMIFS(AU$26:AU$31,$G$26:$G$31,$G293)))</f>
        <v>-21303.5</v>
      </c>
      <c r="AV293" s="410">
        <f>IF(AV$8&lt;=LatestMonthOfActuals,SUMIFS('Data Summary'!AA$77:AA$105,dataGLBSAcctIDs,$G293),MAX(AU293-SUMIFS(AV$33:AV$288,$G$33:$G$288,$G293),-SUMIFS(AV$26:AV$31,$G$26:$G$31,$G293)))</f>
        <v>-24354</v>
      </c>
      <c r="AW293" s="410">
        <f>IF(AW$8&lt;=LatestMonthOfActuals,SUMIFS('Data Summary'!AB$77:AB$105,dataGLBSAcctIDs,$G293),MAX(AV293-SUMIFS(AW$33:AW$288,$G$33:$G$288,$G293),-SUMIFS(AW$26:AW$31,$G$26:$G$31,$G293)))</f>
        <v>-27404.5</v>
      </c>
      <c r="AX293" s="410">
        <f>IF(AX$8&lt;=LatestMonthOfActuals,SUMIFS('Data Summary'!AC$77:AC$105,dataGLBSAcctIDs,$G293),MAX(AW293-SUMIFS(AX$33:AX$288,$G$33:$G$288,$G293),-SUMIFS(AX$26:AX$31,$G$26:$G$31,$G293)))</f>
        <v>-30455</v>
      </c>
      <c r="AY293" s="410">
        <f>IF(AY$8&lt;=LatestMonthOfActuals,SUMIFS('Data Summary'!AD$77:AD$105,dataGLBSAcctIDs,$G293),MAX(AX293-SUMIFS(AY$33:AY$288,$G$33:$G$288,$G293),-SUMIFS(AY$26:AY$31,$G$26:$G$31,$G293)))</f>
        <v>-33506</v>
      </c>
      <c r="AZ293" s="410">
        <f>IF(AZ$8&lt;=LatestMonthOfActuals,SUMIFS('Data Summary'!AE$77:AE$105,dataGLBSAcctIDs,$G293),MAX(AY293-SUMIFS(AZ$33:AZ$288,$G$33:$G$288,$G293),-SUMIFS(AZ$26:AZ$31,$G$26:$G$31,$G293)))</f>
        <v>-36557</v>
      </c>
      <c r="BA293" s="410">
        <f>IF(BA$8&lt;=LatestMonthOfActuals,SUMIFS('Data Summary'!AF$77:AF$105,dataGLBSAcctIDs,$G293),MAX(AZ293-SUMIFS(BA$33:BA$288,$G$33:$G$288,$G293),-SUMIFS(BA$26:BA$31,$G$26:$G$31,$G293)))</f>
        <v>-39608</v>
      </c>
      <c r="BB293" s="410">
        <f>IF(BB$8&lt;=LatestMonthOfActuals,SUMIFS('Data Summary'!AG$77:AG$105,dataGLBSAcctIDs,$G293),MAX(BA293-SUMIFS(BB$33:BB$288,$G$33:$G$288,$G293),-SUMIFS(BB$26:BB$31,$G$26:$G$31,$G293)))</f>
        <v>-42659</v>
      </c>
      <c r="BC293" s="410">
        <f>IF(BC$8&lt;=LatestMonthOfActuals,SUMIFS('Data Summary'!AH$77:AH$105,dataGLBSAcctIDs,$G293),MAX(BB293-SUMIFS(BC$33:BC$288,$G$33:$G$288,$G293),-SUMIFS(BC$26:BC$31,$G$26:$G$31,$G293)))</f>
        <v>-45710</v>
      </c>
      <c r="BD293" s="410">
        <f>IF(BD$8&lt;=LatestMonthOfActuals,SUMIFS('Data Summary'!AI$77:AI$105,dataGLBSAcctIDs,$G293),MAX(BC293-SUMIFS(BD$33:BD$288,$G$33:$G$288,$G293),-SUMIFS(BD$26:BD$31,$G$26:$G$31,$G293)))</f>
        <v>-48761</v>
      </c>
      <c r="BE293" s="410">
        <f>IF(BE$8&lt;=LatestMonthOfActuals,SUMIFS('Data Summary'!AJ$77:AJ$105,dataGLBSAcctIDs,$G293),MAX(BD293-SUMIFS(BE$33:BE$288,$G$33:$G$288,$G293),-SUMIFS(BE$26:BE$31,$G$26:$G$31,$G293)))</f>
        <v>-51811.5</v>
      </c>
      <c r="BF293" s="410">
        <f>IF(BF$8&lt;=LatestMonthOfActuals,SUMIFS('Data Summary'!AK$77:AK$105,dataGLBSAcctIDs,$G293),MAX(BE293-SUMIFS(BF$33:BF$288,$G$33:$G$288,$G293),-SUMIFS(BF$26:BF$31,$G$26:$G$31,$G293)))</f>
        <v>-54862.16</v>
      </c>
      <c r="BG293" s="410">
        <f>IF(BG$8&lt;=LatestMonthOfActuals,SUMIFS('Data Summary'!AL$77:AL$105,dataGLBSAcctIDs,$G293),MAX(BF293-SUMIFS(BG$33:BG$288,$G$33:$G$288,$G293),-SUMIFS(BG$26:BG$31,$G$26:$G$31,$G293)))</f>
        <v>-57912.82</v>
      </c>
      <c r="BH293" s="410">
        <f>IF(BH$8&lt;=LatestMonthOfActuals,SUMIFS('Data Summary'!AM$77:AM$105,dataGLBSAcctIDs,$G293),MAX(BG293-SUMIFS(BH$33:BH$288,$G$33:$G$288,$G293),-SUMIFS(BH$26:BH$31,$G$26:$G$31,$G293)))</f>
        <v>-60963.48</v>
      </c>
      <c r="BI293" s="410">
        <f>IF(BI$8&lt;=LatestMonthOfActuals,SUMIFS('Data Summary'!AN$77:AN$105,dataGLBSAcctIDs,$G293),MAX(BH293-SUMIFS(BI$33:BI$288,$G$33:$G$288,$G293),-SUMIFS(BI$26:BI$31,$G$26:$G$31,$G293)))</f>
        <v>-64014.14</v>
      </c>
      <c r="BJ293" s="410">
        <f>IF(BJ$8&lt;=LatestMonthOfActuals,SUMIFS('Data Summary'!AO$77:AO$105,dataGLBSAcctIDs,$G293),MAX(BI293-SUMIFS(BJ$33:BJ$288,$G$33:$G$288,$G293),-SUMIFS(BJ$26:BJ$31,$G$26:$G$31,$G293)))</f>
        <v>-67064.800000000003</v>
      </c>
      <c r="BK293" s="410">
        <f>IF(BK$8&lt;=LatestMonthOfActuals,SUMIFS('Data Summary'!AP$77:AP$105,dataGLBSAcctIDs,$G293),MAX(BJ293-SUMIFS(BK$33:BK$288,$G$33:$G$288,$G293),-SUMIFS(BK$26:BK$31,$G$26:$G$31,$G293)))</f>
        <v>-70115.460000000006</v>
      </c>
      <c r="BL293" s="410">
        <f>IF(BL$8&lt;=LatestMonthOfActuals,SUMIFS('Data Summary'!AQ$77:AQ$105,dataGLBSAcctIDs,$G293),MAX(BK293-SUMIFS(BL$33:BL$288,$G$33:$G$288,$G293),-SUMIFS(BL$26:BL$31,$G$26:$G$31,$G293)))</f>
        <v>-73166.12</v>
      </c>
      <c r="BM293" s="410">
        <f>IF(BM$8&lt;=LatestMonthOfActuals,SUMIFS('Data Summary'!AR$77:AR$105,dataGLBSAcctIDs,$G293),MAX(BL293-SUMIFS(BM$33:BM$288,$G$33:$G$288,$G293),-SUMIFS(BM$26:BM$31,$G$26:$G$31,$G293)))</f>
        <v>-76216.78</v>
      </c>
      <c r="BN293" s="410">
        <f>IF(BN$8&lt;=LatestMonthOfActuals,SUMIFS('Data Summary'!AS$77:AS$105,dataGLBSAcctIDs,$G293),MAX(BM293-SUMIFS(BN$33:BN$288,$G$33:$G$288,$G293),-SUMIFS(BN$26:BN$31,$G$26:$G$31,$G293)))</f>
        <v>-79267.44</v>
      </c>
      <c r="BO293" s="410">
        <f>IF(BO$8&lt;=LatestMonthOfActuals,SUMIFS('Data Summary'!AT$77:AT$105,dataGLBSAcctIDs,$G293),MAX(BN293-SUMIFS(BO$33:BO$288,$G$33:$G$288,$G293),-SUMIFS(BO$26:BO$31,$G$26:$G$31,$G293)))</f>
        <v>-82318.100000000006</v>
      </c>
      <c r="BP293" s="410">
        <f>IF(BP$8&lt;=LatestMonthOfActuals,SUMIFS('Data Summary'!AU$77:AU$105,dataGLBSAcctIDs,$G293),MAX(BO293-SUMIFS(BP$33:BP$288,$G$33:$G$288,$G293),-SUMIFS(BP$26:BP$31,$G$26:$G$31,$G293)))</f>
        <v>-85368.76</v>
      </c>
      <c r="BQ293" s="410">
        <f>IF(BQ$8&lt;=LatestMonthOfActuals,SUMIFS('Data Summary'!AV$77:AV$105,dataGLBSAcctIDs,$G293),MAX(BP293-SUMIFS(BQ$33:BQ$288,$G$33:$G$288,$G293),-SUMIFS(BQ$26:BQ$31,$G$26:$G$31,$G293)))</f>
        <v>-88546.57666666666</v>
      </c>
      <c r="BR293" s="410">
        <f>IF(BR$8&lt;=LatestMonthOfActuals,SUMIFS('Data Summary'!AW$77:AW$105,dataGLBSAcctIDs,$G293),MAX(BQ293-SUMIFS(BR$33:BR$288,$G$33:$G$288,$G293),-SUMIFS(BR$26:BR$31,$G$26:$G$31,$G293)))</f>
        <v>-91654.948888888888</v>
      </c>
      <c r="BS293" s="410">
        <f>IF(BS$8&lt;=LatestMonthOfActuals,SUMIFS('Data Summary'!AX$77:AX$105,dataGLBSAcctIDs,$G293),MAX(BR293-SUMIFS(BS$33:BS$288,$G$33:$G$288,$G293),-SUMIFS(BS$26:BS$31,$G$26:$G$31,$G293)))</f>
        <v>-95041.098888888882</v>
      </c>
      <c r="BT293" s="410">
        <f>IF(BT$8&lt;=LatestMonthOfActuals,SUMIFS('Data Summary'!AY$77:AY$105,dataGLBSAcctIDs,$G293),MAX(BS293-SUMIFS(BT$33:BT$288,$G$33:$G$288,$G293),-SUMIFS(BT$26:BT$31,$G$26:$G$31,$G293)))</f>
        <v>-98357.804444444439</v>
      </c>
      <c r="BU293" s="410">
        <f>IF(BU$8&lt;=LatestMonthOfActuals,SUMIFS('Data Summary'!AZ$77:AZ$105,dataGLBSAcctIDs,$G293),MAX(BT293-SUMIFS(BU$33:BU$288,$G$33:$G$288,$G293),-SUMIFS(BU$26:BU$31,$G$26:$G$31,$G293)))</f>
        <v>-100702.28777777778</v>
      </c>
      <c r="BV293" s="410">
        <f>IF(BV$8&lt;=LatestMonthOfActuals,SUMIFS('Data Summary'!BA$77:BA$105,dataGLBSAcctIDs,$G293),MAX(BU293-SUMIFS(BV$33:BV$288,$G$33:$G$288,$G293),-SUMIFS(BV$26:BV$31,$G$26:$G$31,$G293)))</f>
        <v>-103393.99333333333</v>
      </c>
      <c r="BW293" s="410">
        <f>IF(BW$8&lt;=LatestMonthOfActuals,SUMIFS('Data Summary'!BB$77:BB$105,dataGLBSAcctIDs,$G293),MAX(BV293-SUMIFS(BW$33:BW$288,$G$33:$G$288,$G293),-SUMIFS(BW$26:BW$31,$G$26:$G$31,$G293)))</f>
        <v>-105863.47666666667</v>
      </c>
      <c r="BX293" s="410">
        <f>IF(BX$8&lt;=LatestMonthOfActuals,SUMIFS('Data Summary'!BC$77:BC$105,dataGLBSAcctIDs,$G293),MAX(BW293-SUMIFS(BX$33:BX$288,$G$33:$G$288,$G293),-SUMIFS(BX$26:BX$31,$G$26:$G$31,$G293)))</f>
        <v>-108332.96</v>
      </c>
      <c r="BY293" s="410">
        <f>IF(BY$8&lt;=LatestMonthOfActuals,SUMIFS('Data Summary'!BD$77:BD$105,dataGLBSAcctIDs,$G293),MAX(BX293-SUMIFS(BY$33:BY$288,$G$33:$G$288,$G293),-SUMIFS(BY$26:BY$31,$G$26:$G$31,$G293)))</f>
        <v>-110732.99888888889</v>
      </c>
      <c r="BZ293" s="410">
        <f>IF(BZ$8&lt;=LatestMonthOfActuals,SUMIFS('Data Summary'!BE$77:BE$105,dataGLBSAcctIDs,$G293),MAX(BY293-SUMIFS(BZ$33:BZ$288,$G$33:$G$288,$G293),-SUMIFS(BZ$26:BZ$31,$G$26:$G$31,$G293)))</f>
        <v>-113133.03777777778</v>
      </c>
      <c r="CA293" s="410">
        <f>IF(CA$8&lt;=LatestMonthOfActuals,SUMIFS('Data Summary'!BF$77:BF$105,dataGLBSAcctIDs,$G293),MAX(BZ293-SUMIFS(CA$33:CA$288,$G$33:$G$288,$G293),-SUMIFS(CA$26:CA$31,$G$26:$G$31,$G293)))</f>
        <v>-115533.07666666666</v>
      </c>
      <c r="CB293" s="410">
        <f>IF(CB$8&lt;=LatestMonthOfActuals,SUMIFS('Data Summary'!BG$77:BG$105,dataGLBSAcctIDs,$G293),MAX(CA293-SUMIFS(CB$33:CB$288,$G$33:$G$288,$G293),-SUMIFS(CB$26:CB$31,$G$26:$G$31,$G293)))</f>
        <v>-117933.11555555555</v>
      </c>
      <c r="CC293" s="410">
        <f>IF(CC$8&lt;=LatestMonthOfActuals,SUMIFS('Data Summary'!BH$77:BH$105,dataGLBSAcctIDs,$G293),MAX(CB293-SUMIFS(CC$33:CC$288,$G$33:$G$288,$G293),-SUMIFS(CC$26:CC$31,$G$26:$G$31,$G293)))</f>
        <v>-120333.15444444443</v>
      </c>
    </row>
    <row r="295" spans="2:81" s="503" customFormat="1">
      <c r="B295" s="506" t="s">
        <v>49</v>
      </c>
      <c r="C295" s="168"/>
      <c r="D295" s="168"/>
      <c r="E295" s="168"/>
      <c r="F295" s="168"/>
      <c r="G295" s="168"/>
      <c r="J295" s="168"/>
      <c r="K295" s="168"/>
      <c r="L295" s="168"/>
      <c r="M295" s="168"/>
      <c r="P295" s="168"/>
      <c r="Q295" s="168"/>
      <c r="R295" s="168"/>
      <c r="S295" s="168"/>
      <c r="T295" s="168"/>
      <c r="U295" s="168"/>
      <c r="V295" s="168"/>
      <c r="W295" s="168"/>
      <c r="X295" s="168"/>
      <c r="Y295" s="168"/>
      <c r="Z295" s="168"/>
      <c r="AA295" s="168"/>
      <c r="AB295" s="168"/>
      <c r="AC295" s="168"/>
      <c r="AD295" s="168"/>
      <c r="AE295" s="168"/>
      <c r="AH295" s="168"/>
      <c r="AI295" s="168"/>
      <c r="AJ295" s="168"/>
      <c r="AK295" s="168"/>
      <c r="AL295" s="168"/>
      <c r="AM295" s="168"/>
      <c r="AN295" s="168"/>
      <c r="AO295" s="168"/>
      <c r="AP295" s="168"/>
      <c r="AQ295" s="168"/>
      <c r="AR295" s="168"/>
      <c r="AS295" s="168"/>
      <c r="AT295" s="168"/>
      <c r="AU295" s="168"/>
      <c r="AV295" s="168"/>
      <c r="AW295" s="168"/>
      <c r="AX295" s="168"/>
      <c r="AY295" s="168"/>
      <c r="AZ295" s="168"/>
      <c r="BA295" s="168"/>
      <c r="BB295" s="168"/>
      <c r="BC295" s="168"/>
      <c r="BD295" s="168"/>
      <c r="BE295" s="168"/>
      <c r="BF295" s="168"/>
      <c r="BG295" s="168"/>
      <c r="BH295" s="168"/>
      <c r="BI295" s="168"/>
      <c r="BJ295" s="168"/>
      <c r="BK295" s="168"/>
      <c r="BL295" s="168"/>
      <c r="BM295" s="168"/>
      <c r="BN295" s="168"/>
      <c r="BO295" s="168"/>
      <c r="BP295" s="168"/>
      <c r="BQ295" s="168"/>
      <c r="BR295" s="168"/>
      <c r="BS295" s="168"/>
      <c r="BT295" s="168"/>
      <c r="BU295" s="168"/>
      <c r="BV295" s="168"/>
      <c r="BW295" s="168"/>
      <c r="BX295" s="168"/>
      <c r="BY295" s="168"/>
      <c r="BZ295" s="168"/>
      <c r="CA295" s="168"/>
      <c r="CB295" s="168"/>
      <c r="CC295" s="168"/>
    </row>
    <row r="296" spans="2:81" outlineLevel="1">
      <c r="C296" s="502" t="s">
        <v>452</v>
      </c>
      <c r="E296" s="502">
        <v>152</v>
      </c>
      <c r="J296" s="504" cm="1">
        <f t="array" ref="J296">INDEX($AH296:$CC296,_xlfn.XMATCH(J$5,$AH$5:$CC$5))</f>
        <v>10000</v>
      </c>
      <c r="K296" s="504" cm="1">
        <f t="array" ref="K296">INDEX($AH296:$CC296,_xlfn.XMATCH(K$5,$AH$5:$CC$5))</f>
        <v>15000</v>
      </c>
      <c r="L296" s="504" cm="1">
        <f t="array" ref="L296">INDEX($AH296:$CC296,_xlfn.XMATCH(L$5,$AH$5:$CC$5))</f>
        <v>35000</v>
      </c>
      <c r="M296" s="504" cm="1">
        <f t="array" ref="M296">INDEX($AH296:$CC296,_xlfn.XMATCH(M$5,$AH$5:$CC$5))</f>
        <v>35000</v>
      </c>
      <c r="N296" s="504"/>
      <c r="O296" s="504"/>
      <c r="P296" s="504" cm="1">
        <f t="array" ref="P296">INDEX($AH296:$CC296,_xlfn.XMATCH(P$5,$AH$5:$CC$5))</f>
        <v>5000</v>
      </c>
      <c r="Q296" s="504" cm="1">
        <f t="array" ref="Q296">INDEX($AH296:$CC296,_xlfn.XMATCH(Q$5,$AH$5:$CC$5))</f>
        <v>7500</v>
      </c>
      <c r="R296" s="504" cm="1">
        <f t="array" ref="R296">INDEX($AH296:$CC296,_xlfn.XMATCH(R$5,$AH$5:$CC$5))</f>
        <v>10000</v>
      </c>
      <c r="S296" s="504" cm="1">
        <f t="array" ref="S296">INDEX($AH296:$CC296,_xlfn.XMATCH(S$5,$AH$5:$CC$5))</f>
        <v>10000</v>
      </c>
      <c r="T296" s="504" cm="1">
        <f t="array" ref="T296">INDEX($AH296:$CC296,_xlfn.XMATCH(T$5,$AH$5:$CC$5))</f>
        <v>15000</v>
      </c>
      <c r="U296" s="504" cm="1">
        <f t="array" ref="U296">INDEX($AH296:$CC296,_xlfn.XMATCH(U$5,$AH$5:$CC$5))</f>
        <v>15000</v>
      </c>
      <c r="V296" s="504" cm="1">
        <f t="array" ref="V296">INDEX($AH296:$CC296,_xlfn.XMATCH(V$5,$AH$5:$CC$5))</f>
        <v>15000</v>
      </c>
      <c r="W296" s="504" cm="1">
        <f t="array" ref="W296">INDEX($AH296:$CC296,_xlfn.XMATCH(W$5,$AH$5:$CC$5))</f>
        <v>15000</v>
      </c>
      <c r="X296" s="504" cm="1">
        <f t="array" ref="X296">INDEX($AH296:$CC296,_xlfn.XMATCH(X$5,$AH$5:$CC$5))</f>
        <v>15000</v>
      </c>
      <c r="Y296" s="504" cm="1">
        <f t="array" ref="Y296">INDEX($AH296:$CC296,_xlfn.XMATCH(Y$5,$AH$5:$CC$5))</f>
        <v>15000</v>
      </c>
      <c r="Z296" s="504" cm="1">
        <f t="array" ref="Z296">INDEX($AH296:$CC296,_xlfn.XMATCH(Z$5,$AH$5:$CC$5))</f>
        <v>15000</v>
      </c>
      <c r="AA296" s="504" cm="1">
        <f t="array" ref="AA296">INDEX($AH296:$CC296,_xlfn.XMATCH(AA$5,$AH$5:$CC$5))</f>
        <v>35000</v>
      </c>
      <c r="AB296" s="504" cm="1">
        <f t="array" ref="AB296">INDEX($AH296:$CC296,_xlfn.XMATCH(AB$5,$AH$5:$CC$5))</f>
        <v>35000</v>
      </c>
      <c r="AC296" s="504" cm="1">
        <f t="array" ref="AC296">INDEX($AH296:$CC296,_xlfn.XMATCH(AC$5,$AH$5:$CC$5))</f>
        <v>35000</v>
      </c>
      <c r="AD296" s="504" cm="1">
        <f t="array" ref="AD296">INDEX($AH296:$CC296,_xlfn.XMATCH(AD$5,$AH$5:$CC$5))</f>
        <v>35000</v>
      </c>
      <c r="AE296" s="504" cm="1">
        <f t="array" ref="AE296">INDEX($AH296:$CC296,_xlfn.XMATCH(AE$5,$AH$5:$CC$5))</f>
        <v>35000</v>
      </c>
      <c r="AH296" s="507">
        <f>AH26</f>
        <v>2500</v>
      </c>
      <c r="AI296" s="507">
        <f t="shared" ref="AI296:CC300" si="279">AI26</f>
        <v>2500</v>
      </c>
      <c r="AJ296" s="507">
        <f t="shared" si="279"/>
        <v>5000</v>
      </c>
      <c r="AK296" s="507">
        <f t="shared" si="279"/>
        <v>5000</v>
      </c>
      <c r="AL296" s="507">
        <f t="shared" si="279"/>
        <v>7500</v>
      </c>
      <c r="AM296" s="507">
        <f t="shared" si="279"/>
        <v>7500</v>
      </c>
      <c r="AN296" s="507">
        <f t="shared" si="279"/>
        <v>7500</v>
      </c>
      <c r="AO296" s="507">
        <f t="shared" si="279"/>
        <v>10000</v>
      </c>
      <c r="AP296" s="507">
        <f t="shared" si="279"/>
        <v>10000</v>
      </c>
      <c r="AQ296" s="507">
        <f t="shared" si="279"/>
        <v>10000</v>
      </c>
      <c r="AR296" s="507">
        <f t="shared" si="279"/>
        <v>10000</v>
      </c>
      <c r="AS296" s="507">
        <f t="shared" si="279"/>
        <v>10000</v>
      </c>
      <c r="AT296" s="507">
        <f t="shared" si="279"/>
        <v>15000</v>
      </c>
      <c r="AU296" s="507">
        <f t="shared" si="279"/>
        <v>15000</v>
      </c>
      <c r="AV296" s="507">
        <f t="shared" si="279"/>
        <v>15000</v>
      </c>
      <c r="AW296" s="507">
        <f t="shared" si="279"/>
        <v>15000</v>
      </c>
      <c r="AX296" s="507">
        <f t="shared" si="279"/>
        <v>15000</v>
      </c>
      <c r="AY296" s="507">
        <f t="shared" si="279"/>
        <v>15000</v>
      </c>
      <c r="AZ296" s="507">
        <f t="shared" si="279"/>
        <v>15000</v>
      </c>
      <c r="BA296" s="507">
        <f t="shared" si="279"/>
        <v>15000</v>
      </c>
      <c r="BB296" s="507">
        <f t="shared" si="279"/>
        <v>15000</v>
      </c>
      <c r="BC296" s="507">
        <f t="shared" si="279"/>
        <v>15000</v>
      </c>
      <c r="BD296" s="507">
        <f t="shared" si="279"/>
        <v>15000</v>
      </c>
      <c r="BE296" s="507">
        <f t="shared" si="279"/>
        <v>15000</v>
      </c>
      <c r="BF296" s="507">
        <f t="shared" si="279"/>
        <v>15000</v>
      </c>
      <c r="BG296" s="507">
        <f t="shared" si="279"/>
        <v>15000</v>
      </c>
      <c r="BH296" s="507">
        <f t="shared" si="279"/>
        <v>15000</v>
      </c>
      <c r="BI296" s="507">
        <f t="shared" si="279"/>
        <v>15000</v>
      </c>
      <c r="BJ296" s="507">
        <f t="shared" si="279"/>
        <v>15000</v>
      </c>
      <c r="BK296" s="507">
        <f t="shared" si="279"/>
        <v>15000</v>
      </c>
      <c r="BL296" s="507">
        <f t="shared" si="279"/>
        <v>15000</v>
      </c>
      <c r="BM296" s="507">
        <f t="shared" si="279"/>
        <v>15000</v>
      </c>
      <c r="BN296" s="507">
        <f t="shared" si="279"/>
        <v>15000</v>
      </c>
      <c r="BO296" s="507">
        <f t="shared" si="279"/>
        <v>15000</v>
      </c>
      <c r="BP296" s="507">
        <f t="shared" si="279"/>
        <v>15000</v>
      </c>
      <c r="BQ296" s="507">
        <f t="shared" si="279"/>
        <v>35000</v>
      </c>
      <c r="BR296" s="507">
        <f t="shared" si="279"/>
        <v>35000</v>
      </c>
      <c r="BS296" s="507">
        <f t="shared" si="279"/>
        <v>35000</v>
      </c>
      <c r="BT296" s="507">
        <f t="shared" si="279"/>
        <v>35000</v>
      </c>
      <c r="BU296" s="507">
        <f t="shared" si="279"/>
        <v>35000</v>
      </c>
      <c r="BV296" s="507">
        <f t="shared" si="279"/>
        <v>35000</v>
      </c>
      <c r="BW296" s="507">
        <f t="shared" si="279"/>
        <v>35000</v>
      </c>
      <c r="BX296" s="507">
        <f t="shared" si="279"/>
        <v>35000</v>
      </c>
      <c r="BY296" s="507">
        <f t="shared" si="279"/>
        <v>35000</v>
      </c>
      <c r="BZ296" s="507">
        <f t="shared" si="279"/>
        <v>35000</v>
      </c>
      <c r="CA296" s="507">
        <f t="shared" si="279"/>
        <v>35000</v>
      </c>
      <c r="CB296" s="507">
        <f t="shared" si="279"/>
        <v>35000</v>
      </c>
      <c r="CC296" s="507">
        <f t="shared" si="279"/>
        <v>35000</v>
      </c>
    </row>
    <row r="297" spans="2:81" outlineLevel="1">
      <c r="C297" s="502" t="s">
        <v>453</v>
      </c>
      <c r="E297" s="502">
        <v>153</v>
      </c>
      <c r="J297" s="504" cm="1">
        <f t="array" ref="J297">INDEX($AH297:$CC297,_xlfn.XMATCH(J$5,$AH$5:$CC$5))</f>
        <v>35000</v>
      </c>
      <c r="K297" s="504" cm="1">
        <f t="array" ref="K297">INDEX($AH297:$CC297,_xlfn.XMATCH(K$5,$AH$5:$CC$5))</f>
        <v>35000</v>
      </c>
      <c r="L297" s="504" cm="1">
        <f t="array" ref="L297">INDEX($AH297:$CC297,_xlfn.XMATCH(L$5,$AH$5:$CC$5))</f>
        <v>35000</v>
      </c>
      <c r="M297" s="504" cm="1">
        <f t="array" ref="M297">INDEX($AH297:$CC297,_xlfn.XMATCH(M$5,$AH$5:$CC$5))</f>
        <v>50000</v>
      </c>
      <c r="N297" s="504"/>
      <c r="O297" s="504"/>
      <c r="P297" s="504" cm="1">
        <f t="array" ref="P297">INDEX($AH297:$CC297,_xlfn.XMATCH(P$5,$AH$5:$CC$5))</f>
        <v>0</v>
      </c>
      <c r="Q297" s="504" cm="1">
        <f t="array" ref="Q297">INDEX($AH297:$CC297,_xlfn.XMATCH(Q$5,$AH$5:$CC$5))</f>
        <v>35000</v>
      </c>
      <c r="R297" s="504" cm="1">
        <f t="array" ref="R297">INDEX($AH297:$CC297,_xlfn.XMATCH(R$5,$AH$5:$CC$5))</f>
        <v>35000</v>
      </c>
      <c r="S297" s="504" cm="1">
        <f t="array" ref="S297">INDEX($AH297:$CC297,_xlfn.XMATCH(S$5,$AH$5:$CC$5))</f>
        <v>35000</v>
      </c>
      <c r="T297" s="504" cm="1">
        <f t="array" ref="T297">INDEX($AH297:$CC297,_xlfn.XMATCH(T$5,$AH$5:$CC$5))</f>
        <v>35000</v>
      </c>
      <c r="U297" s="504" cm="1">
        <f t="array" ref="U297">INDEX($AH297:$CC297,_xlfn.XMATCH(U$5,$AH$5:$CC$5))</f>
        <v>35000</v>
      </c>
      <c r="V297" s="504" cm="1">
        <f t="array" ref="V297">INDEX($AH297:$CC297,_xlfn.XMATCH(V$5,$AH$5:$CC$5))</f>
        <v>35000</v>
      </c>
      <c r="W297" s="504" cm="1">
        <f t="array" ref="W297">INDEX($AH297:$CC297,_xlfn.XMATCH(W$5,$AH$5:$CC$5))</f>
        <v>35000</v>
      </c>
      <c r="X297" s="504" cm="1">
        <f t="array" ref="X297">INDEX($AH297:$CC297,_xlfn.XMATCH(X$5,$AH$5:$CC$5))</f>
        <v>35000</v>
      </c>
      <c r="Y297" s="504" cm="1">
        <f t="array" ref="Y297">INDEX($AH297:$CC297,_xlfn.XMATCH(Y$5,$AH$5:$CC$5))</f>
        <v>35000</v>
      </c>
      <c r="Z297" s="504" cm="1">
        <f t="array" ref="Z297">INDEX($AH297:$CC297,_xlfn.XMATCH(Z$5,$AH$5:$CC$5))</f>
        <v>35000</v>
      </c>
      <c r="AA297" s="504" cm="1">
        <f t="array" ref="AA297">INDEX($AH297:$CC297,_xlfn.XMATCH(AA$5,$AH$5:$CC$5))</f>
        <v>35000</v>
      </c>
      <c r="AB297" s="504" cm="1">
        <f t="array" ref="AB297">INDEX($AH297:$CC297,_xlfn.XMATCH(AB$5,$AH$5:$CC$5))</f>
        <v>35000</v>
      </c>
      <c r="AC297" s="504" cm="1">
        <f t="array" ref="AC297">INDEX($AH297:$CC297,_xlfn.XMATCH(AC$5,$AH$5:$CC$5))</f>
        <v>50000</v>
      </c>
      <c r="AD297" s="504" cm="1">
        <f t="array" ref="AD297">INDEX($AH297:$CC297,_xlfn.XMATCH(AD$5,$AH$5:$CC$5))</f>
        <v>50000</v>
      </c>
      <c r="AE297" s="504" cm="1">
        <f t="array" ref="AE297">INDEX($AH297:$CC297,_xlfn.XMATCH(AE$5,$AH$5:$CC$5))</f>
        <v>50000</v>
      </c>
      <c r="AH297" s="507">
        <f t="shared" ref="AH297:AW300" si="280">AH27</f>
        <v>0</v>
      </c>
      <c r="AI297" s="507">
        <f t="shared" si="280"/>
        <v>0</v>
      </c>
      <c r="AJ297" s="507">
        <f t="shared" si="280"/>
        <v>0</v>
      </c>
      <c r="AK297" s="507">
        <f t="shared" si="280"/>
        <v>35000</v>
      </c>
      <c r="AL297" s="507">
        <f t="shared" si="280"/>
        <v>35000</v>
      </c>
      <c r="AM297" s="507">
        <f t="shared" si="280"/>
        <v>35000</v>
      </c>
      <c r="AN297" s="507">
        <f t="shared" si="280"/>
        <v>35000</v>
      </c>
      <c r="AO297" s="507">
        <f t="shared" si="280"/>
        <v>35000</v>
      </c>
      <c r="AP297" s="507">
        <f t="shared" si="280"/>
        <v>35000</v>
      </c>
      <c r="AQ297" s="507">
        <f t="shared" si="280"/>
        <v>35000</v>
      </c>
      <c r="AR297" s="507">
        <f t="shared" si="280"/>
        <v>35000</v>
      </c>
      <c r="AS297" s="507">
        <f t="shared" si="280"/>
        <v>35000</v>
      </c>
      <c r="AT297" s="507">
        <f t="shared" si="280"/>
        <v>45000</v>
      </c>
      <c r="AU297" s="507">
        <f t="shared" si="280"/>
        <v>35000</v>
      </c>
      <c r="AV297" s="507">
        <f t="shared" si="280"/>
        <v>35000</v>
      </c>
      <c r="AW297" s="507">
        <f t="shared" si="280"/>
        <v>35000</v>
      </c>
      <c r="AX297" s="507">
        <f t="shared" si="279"/>
        <v>35000</v>
      </c>
      <c r="AY297" s="507">
        <f t="shared" si="279"/>
        <v>35000</v>
      </c>
      <c r="AZ297" s="507">
        <f t="shared" si="279"/>
        <v>35000</v>
      </c>
      <c r="BA297" s="507">
        <f t="shared" si="279"/>
        <v>35000</v>
      </c>
      <c r="BB297" s="507">
        <f t="shared" si="279"/>
        <v>35000</v>
      </c>
      <c r="BC297" s="507">
        <f t="shared" si="279"/>
        <v>35000</v>
      </c>
      <c r="BD297" s="507">
        <f t="shared" si="279"/>
        <v>35000</v>
      </c>
      <c r="BE297" s="507">
        <f t="shared" si="279"/>
        <v>35000</v>
      </c>
      <c r="BF297" s="507">
        <f t="shared" si="279"/>
        <v>35000</v>
      </c>
      <c r="BG297" s="507">
        <f t="shared" si="279"/>
        <v>35000</v>
      </c>
      <c r="BH297" s="507">
        <f t="shared" si="279"/>
        <v>35000</v>
      </c>
      <c r="BI297" s="507">
        <f t="shared" si="279"/>
        <v>35000</v>
      </c>
      <c r="BJ297" s="507">
        <f t="shared" si="279"/>
        <v>35000</v>
      </c>
      <c r="BK297" s="507">
        <f t="shared" si="279"/>
        <v>35000</v>
      </c>
      <c r="BL297" s="507">
        <f t="shared" si="279"/>
        <v>35000</v>
      </c>
      <c r="BM297" s="507">
        <f t="shared" si="279"/>
        <v>35000</v>
      </c>
      <c r="BN297" s="507">
        <f t="shared" si="279"/>
        <v>35000</v>
      </c>
      <c r="BO297" s="507">
        <f t="shared" si="279"/>
        <v>35000</v>
      </c>
      <c r="BP297" s="507">
        <f t="shared" si="279"/>
        <v>35000</v>
      </c>
      <c r="BQ297" s="507">
        <f t="shared" si="279"/>
        <v>35000</v>
      </c>
      <c r="BR297" s="507">
        <f t="shared" si="279"/>
        <v>35000</v>
      </c>
      <c r="BS297" s="507">
        <f t="shared" si="279"/>
        <v>35000</v>
      </c>
      <c r="BT297" s="507">
        <f t="shared" si="279"/>
        <v>35000</v>
      </c>
      <c r="BU297" s="507">
        <f t="shared" si="279"/>
        <v>35000</v>
      </c>
      <c r="BV297" s="507">
        <f t="shared" si="279"/>
        <v>50000</v>
      </c>
      <c r="BW297" s="507">
        <f t="shared" si="279"/>
        <v>50000</v>
      </c>
      <c r="BX297" s="507">
        <f t="shared" si="279"/>
        <v>50000</v>
      </c>
      <c r="BY297" s="507">
        <f t="shared" si="279"/>
        <v>50000</v>
      </c>
      <c r="BZ297" s="507">
        <f t="shared" si="279"/>
        <v>50000</v>
      </c>
      <c r="CA297" s="507">
        <f t="shared" si="279"/>
        <v>50000</v>
      </c>
      <c r="CB297" s="507">
        <f t="shared" si="279"/>
        <v>50000</v>
      </c>
      <c r="CC297" s="507">
        <f t="shared" si="279"/>
        <v>50000</v>
      </c>
    </row>
    <row r="298" spans="2:81" outlineLevel="1">
      <c r="C298" s="502" t="s">
        <v>454</v>
      </c>
      <c r="E298" s="502">
        <v>154</v>
      </c>
      <c r="J298" s="504" cm="1">
        <f t="array" ref="J298">INDEX($AH298:$CC298,_xlfn.XMATCH(J$5,$AH$5:$CC$5))</f>
        <v>8000</v>
      </c>
      <c r="K298" s="504" cm="1">
        <f t="array" ref="K298">INDEX($AH298:$CC298,_xlfn.XMATCH(K$5,$AH$5:$CC$5))</f>
        <v>8000</v>
      </c>
      <c r="L298" s="504" cm="1">
        <f t="array" ref="L298">INDEX($AH298:$CC298,_xlfn.XMATCH(L$5,$AH$5:$CC$5))</f>
        <v>8000</v>
      </c>
      <c r="M298" s="504" cm="1">
        <f t="array" ref="M298">INDEX($AH298:$CC298,_xlfn.XMATCH(M$5,$AH$5:$CC$5))</f>
        <v>18000</v>
      </c>
      <c r="N298" s="504"/>
      <c r="O298" s="504"/>
      <c r="P298" s="504" cm="1">
        <f t="array" ref="P298">INDEX($AH298:$CC298,_xlfn.XMATCH(P$5,$AH$5:$CC$5))</f>
        <v>0</v>
      </c>
      <c r="Q298" s="504" cm="1">
        <f t="array" ref="Q298">INDEX($AH298:$CC298,_xlfn.XMATCH(Q$5,$AH$5:$CC$5))</f>
        <v>8000</v>
      </c>
      <c r="R298" s="504" cm="1">
        <f t="array" ref="R298">INDEX($AH298:$CC298,_xlfn.XMATCH(R$5,$AH$5:$CC$5))</f>
        <v>8000</v>
      </c>
      <c r="S298" s="504" cm="1">
        <f t="array" ref="S298">INDEX($AH298:$CC298,_xlfn.XMATCH(S$5,$AH$5:$CC$5))</f>
        <v>8000</v>
      </c>
      <c r="T298" s="504" cm="1">
        <f t="array" ref="T298">INDEX($AH298:$CC298,_xlfn.XMATCH(T$5,$AH$5:$CC$5))</f>
        <v>8000</v>
      </c>
      <c r="U298" s="504" cm="1">
        <f t="array" ref="U298">INDEX($AH298:$CC298,_xlfn.XMATCH(U$5,$AH$5:$CC$5))</f>
        <v>8000</v>
      </c>
      <c r="V298" s="504" cm="1">
        <f t="array" ref="V298">INDEX($AH298:$CC298,_xlfn.XMATCH(V$5,$AH$5:$CC$5))</f>
        <v>8000</v>
      </c>
      <c r="W298" s="504" cm="1">
        <f t="array" ref="W298">INDEX($AH298:$CC298,_xlfn.XMATCH(W$5,$AH$5:$CC$5))</f>
        <v>8000</v>
      </c>
      <c r="X298" s="504" cm="1">
        <f t="array" ref="X298">INDEX($AH298:$CC298,_xlfn.XMATCH(X$5,$AH$5:$CC$5))</f>
        <v>8000</v>
      </c>
      <c r="Y298" s="504" cm="1">
        <f t="array" ref="Y298">INDEX($AH298:$CC298,_xlfn.XMATCH(Y$5,$AH$5:$CC$5))</f>
        <v>8000</v>
      </c>
      <c r="Z298" s="504" cm="1">
        <f t="array" ref="Z298">INDEX($AH298:$CC298,_xlfn.XMATCH(Z$5,$AH$5:$CC$5))</f>
        <v>8000</v>
      </c>
      <c r="AA298" s="504" cm="1">
        <f t="array" ref="AA298">INDEX($AH298:$CC298,_xlfn.XMATCH(AA$5,$AH$5:$CC$5))</f>
        <v>8000</v>
      </c>
      <c r="AB298" s="504" cm="1">
        <f t="array" ref="AB298">INDEX($AH298:$CC298,_xlfn.XMATCH(AB$5,$AH$5:$CC$5))</f>
        <v>18000</v>
      </c>
      <c r="AC298" s="504" cm="1">
        <f t="array" ref="AC298">INDEX($AH298:$CC298,_xlfn.XMATCH(AC$5,$AH$5:$CC$5))</f>
        <v>18000</v>
      </c>
      <c r="AD298" s="504" cm="1">
        <f t="array" ref="AD298">INDEX($AH298:$CC298,_xlfn.XMATCH(AD$5,$AH$5:$CC$5))</f>
        <v>18000</v>
      </c>
      <c r="AE298" s="504" cm="1">
        <f t="array" ref="AE298">INDEX($AH298:$CC298,_xlfn.XMATCH(AE$5,$AH$5:$CC$5))</f>
        <v>18000</v>
      </c>
      <c r="AH298" s="507">
        <f t="shared" si="280"/>
        <v>0</v>
      </c>
      <c r="AI298" s="507">
        <f t="shared" si="279"/>
        <v>0</v>
      </c>
      <c r="AJ298" s="507">
        <f t="shared" si="279"/>
        <v>0</v>
      </c>
      <c r="AK298" s="507">
        <f t="shared" si="279"/>
        <v>0</v>
      </c>
      <c r="AL298" s="507">
        <f t="shared" si="279"/>
        <v>0</v>
      </c>
      <c r="AM298" s="507">
        <f t="shared" si="279"/>
        <v>8000</v>
      </c>
      <c r="AN298" s="507">
        <f t="shared" si="279"/>
        <v>8000</v>
      </c>
      <c r="AO298" s="507">
        <f t="shared" si="279"/>
        <v>8000</v>
      </c>
      <c r="AP298" s="507">
        <f t="shared" si="279"/>
        <v>8000</v>
      </c>
      <c r="AQ298" s="507">
        <f t="shared" si="279"/>
        <v>8000</v>
      </c>
      <c r="AR298" s="507">
        <f t="shared" si="279"/>
        <v>8000</v>
      </c>
      <c r="AS298" s="507">
        <f t="shared" si="279"/>
        <v>8000</v>
      </c>
      <c r="AT298" s="507">
        <f t="shared" si="279"/>
        <v>10000</v>
      </c>
      <c r="AU298" s="507">
        <f t="shared" si="279"/>
        <v>8000</v>
      </c>
      <c r="AV298" s="507">
        <f t="shared" si="279"/>
        <v>8000</v>
      </c>
      <c r="AW298" s="507">
        <f t="shared" si="279"/>
        <v>8000</v>
      </c>
      <c r="AX298" s="507">
        <f t="shared" si="279"/>
        <v>8000</v>
      </c>
      <c r="AY298" s="507">
        <f t="shared" si="279"/>
        <v>8000</v>
      </c>
      <c r="AZ298" s="507">
        <f t="shared" si="279"/>
        <v>8000</v>
      </c>
      <c r="BA298" s="507">
        <f t="shared" si="279"/>
        <v>8000</v>
      </c>
      <c r="BB298" s="507">
        <f t="shared" si="279"/>
        <v>8000</v>
      </c>
      <c r="BC298" s="507">
        <f t="shared" si="279"/>
        <v>8000</v>
      </c>
      <c r="BD298" s="507">
        <f t="shared" si="279"/>
        <v>8000</v>
      </c>
      <c r="BE298" s="507">
        <f t="shared" si="279"/>
        <v>8000</v>
      </c>
      <c r="BF298" s="507">
        <f t="shared" si="279"/>
        <v>8000</v>
      </c>
      <c r="BG298" s="507">
        <f t="shared" si="279"/>
        <v>8000</v>
      </c>
      <c r="BH298" s="507">
        <f t="shared" si="279"/>
        <v>8000</v>
      </c>
      <c r="BI298" s="507">
        <f t="shared" si="279"/>
        <v>8000</v>
      </c>
      <c r="BJ298" s="507">
        <f t="shared" si="279"/>
        <v>8000</v>
      </c>
      <c r="BK298" s="507">
        <f t="shared" si="279"/>
        <v>8000</v>
      </c>
      <c r="BL298" s="507">
        <f t="shared" si="279"/>
        <v>8000</v>
      </c>
      <c r="BM298" s="507">
        <f t="shared" si="279"/>
        <v>8000</v>
      </c>
      <c r="BN298" s="507">
        <f t="shared" si="279"/>
        <v>8000</v>
      </c>
      <c r="BO298" s="507">
        <f t="shared" si="279"/>
        <v>8000</v>
      </c>
      <c r="BP298" s="507">
        <f t="shared" si="279"/>
        <v>8000</v>
      </c>
      <c r="BQ298" s="507">
        <f t="shared" si="279"/>
        <v>8000</v>
      </c>
      <c r="BR298" s="507">
        <f t="shared" si="279"/>
        <v>8000</v>
      </c>
      <c r="BS298" s="507">
        <f t="shared" si="279"/>
        <v>18000</v>
      </c>
      <c r="BT298" s="507">
        <f t="shared" si="279"/>
        <v>18000</v>
      </c>
      <c r="BU298" s="507">
        <f t="shared" si="279"/>
        <v>18000</v>
      </c>
      <c r="BV298" s="507">
        <f t="shared" si="279"/>
        <v>18000</v>
      </c>
      <c r="BW298" s="507">
        <f t="shared" si="279"/>
        <v>18000</v>
      </c>
      <c r="BX298" s="507">
        <f t="shared" si="279"/>
        <v>18000</v>
      </c>
      <c r="BY298" s="507">
        <f t="shared" si="279"/>
        <v>18000</v>
      </c>
      <c r="BZ298" s="507">
        <f t="shared" si="279"/>
        <v>18000</v>
      </c>
      <c r="CA298" s="507">
        <f t="shared" si="279"/>
        <v>18000</v>
      </c>
      <c r="CB298" s="507">
        <f t="shared" si="279"/>
        <v>18000</v>
      </c>
      <c r="CC298" s="507">
        <f t="shared" si="279"/>
        <v>18000</v>
      </c>
    </row>
    <row r="299" spans="2:81" outlineLevel="1">
      <c r="C299" s="502" t="s">
        <v>294</v>
      </c>
      <c r="E299" s="502">
        <v>60</v>
      </c>
      <c r="J299" s="504" cm="1">
        <f t="array" ref="J299">INDEX($AH299:$CC299,_xlfn.XMATCH(J$5,$AH$5:$CC$5))</f>
        <v>52718</v>
      </c>
      <c r="K299" s="504" cm="1">
        <f t="array" ref="K299">INDEX($AH299:$CC299,_xlfn.XMATCH(K$5,$AH$5:$CC$5))</f>
        <v>52718</v>
      </c>
      <c r="L299" s="504" cm="1">
        <f t="array" ref="L299">INDEX($AH299:$CC299,_xlfn.XMATCH(L$5,$AH$5:$CC$5))</f>
        <v>52718</v>
      </c>
      <c r="M299" s="504" cm="1">
        <f t="array" ref="M299">INDEX($AH299:$CC299,_xlfn.XMATCH(M$5,$AH$5:$CC$5))</f>
        <v>52718</v>
      </c>
      <c r="N299" s="504"/>
      <c r="O299" s="504"/>
      <c r="P299" s="504" cm="1">
        <f t="array" ref="P299">INDEX($AH299:$CC299,_xlfn.XMATCH(P$5,$AH$5:$CC$5))</f>
        <v>52718</v>
      </c>
      <c r="Q299" s="504" cm="1">
        <f t="array" ref="Q299">INDEX($AH299:$CC299,_xlfn.XMATCH(Q$5,$AH$5:$CC$5))</f>
        <v>52718</v>
      </c>
      <c r="R299" s="504" cm="1">
        <f t="array" ref="R299">INDEX($AH299:$CC299,_xlfn.XMATCH(R$5,$AH$5:$CC$5))</f>
        <v>52718</v>
      </c>
      <c r="S299" s="504" cm="1">
        <f t="array" ref="S299">INDEX($AH299:$CC299,_xlfn.XMATCH(S$5,$AH$5:$CC$5))</f>
        <v>52718</v>
      </c>
      <c r="T299" s="504" cm="1">
        <f t="array" ref="T299">INDEX($AH299:$CC299,_xlfn.XMATCH(T$5,$AH$5:$CC$5))</f>
        <v>52718</v>
      </c>
      <c r="U299" s="504" cm="1">
        <f t="array" ref="U299">INDEX($AH299:$CC299,_xlfn.XMATCH(U$5,$AH$5:$CC$5))</f>
        <v>52718</v>
      </c>
      <c r="V299" s="504" cm="1">
        <f t="array" ref="V299">INDEX($AH299:$CC299,_xlfn.XMATCH(V$5,$AH$5:$CC$5))</f>
        <v>52718</v>
      </c>
      <c r="W299" s="504" cm="1">
        <f t="array" ref="W299">INDEX($AH299:$CC299,_xlfn.XMATCH(W$5,$AH$5:$CC$5))</f>
        <v>52718</v>
      </c>
      <c r="X299" s="504" cm="1">
        <f t="array" ref="X299">INDEX($AH299:$CC299,_xlfn.XMATCH(X$5,$AH$5:$CC$5))</f>
        <v>52718</v>
      </c>
      <c r="Y299" s="504" cm="1">
        <f t="array" ref="Y299">INDEX($AH299:$CC299,_xlfn.XMATCH(Y$5,$AH$5:$CC$5))</f>
        <v>52718</v>
      </c>
      <c r="Z299" s="504" cm="1">
        <f t="array" ref="Z299">INDEX($AH299:$CC299,_xlfn.XMATCH(Z$5,$AH$5:$CC$5))</f>
        <v>52718</v>
      </c>
      <c r="AA299" s="504" cm="1">
        <f t="array" ref="AA299">INDEX($AH299:$CC299,_xlfn.XMATCH(AA$5,$AH$5:$CC$5))</f>
        <v>52718</v>
      </c>
      <c r="AB299" s="504" cm="1">
        <f t="array" ref="AB299">INDEX($AH299:$CC299,_xlfn.XMATCH(AB$5,$AH$5:$CC$5))</f>
        <v>52718</v>
      </c>
      <c r="AC299" s="504" cm="1">
        <f t="array" ref="AC299">INDEX($AH299:$CC299,_xlfn.XMATCH(AC$5,$AH$5:$CC$5))</f>
        <v>52718</v>
      </c>
      <c r="AD299" s="504" cm="1">
        <f t="array" ref="AD299">INDEX($AH299:$CC299,_xlfn.XMATCH(AD$5,$AH$5:$CC$5))</f>
        <v>52718</v>
      </c>
      <c r="AE299" s="504" cm="1">
        <f t="array" ref="AE299">INDEX($AH299:$CC299,_xlfn.XMATCH(AE$5,$AH$5:$CC$5))</f>
        <v>52718</v>
      </c>
      <c r="AH299" s="507">
        <f t="shared" si="280"/>
        <v>52718</v>
      </c>
      <c r="AI299" s="507">
        <f t="shared" si="279"/>
        <v>52718</v>
      </c>
      <c r="AJ299" s="507">
        <f t="shared" si="279"/>
        <v>52718</v>
      </c>
      <c r="AK299" s="507">
        <f t="shared" si="279"/>
        <v>52718</v>
      </c>
      <c r="AL299" s="507">
        <f t="shared" si="279"/>
        <v>52718</v>
      </c>
      <c r="AM299" s="507">
        <f t="shared" si="279"/>
        <v>52718</v>
      </c>
      <c r="AN299" s="507">
        <f t="shared" si="279"/>
        <v>52718</v>
      </c>
      <c r="AO299" s="507">
        <f t="shared" si="279"/>
        <v>52718</v>
      </c>
      <c r="AP299" s="507">
        <f t="shared" si="279"/>
        <v>52718</v>
      </c>
      <c r="AQ299" s="507">
        <f t="shared" si="279"/>
        <v>52718</v>
      </c>
      <c r="AR299" s="507">
        <f t="shared" si="279"/>
        <v>52718</v>
      </c>
      <c r="AS299" s="507">
        <f t="shared" si="279"/>
        <v>52718</v>
      </c>
      <c r="AT299" s="507">
        <f t="shared" si="279"/>
        <v>52718</v>
      </c>
      <c r="AU299" s="507">
        <f t="shared" si="279"/>
        <v>52718</v>
      </c>
      <c r="AV299" s="507">
        <f t="shared" si="279"/>
        <v>52718</v>
      </c>
      <c r="AW299" s="507">
        <f t="shared" si="279"/>
        <v>52718</v>
      </c>
      <c r="AX299" s="507">
        <f t="shared" si="279"/>
        <v>52718</v>
      </c>
      <c r="AY299" s="507">
        <f t="shared" si="279"/>
        <v>52718</v>
      </c>
      <c r="AZ299" s="507">
        <f t="shared" si="279"/>
        <v>52718</v>
      </c>
      <c r="BA299" s="507">
        <f t="shared" si="279"/>
        <v>52718</v>
      </c>
      <c r="BB299" s="507">
        <f t="shared" si="279"/>
        <v>52718</v>
      </c>
      <c r="BC299" s="507">
        <f t="shared" si="279"/>
        <v>52718</v>
      </c>
      <c r="BD299" s="507">
        <f t="shared" si="279"/>
        <v>52718</v>
      </c>
      <c r="BE299" s="507">
        <f t="shared" si="279"/>
        <v>52718</v>
      </c>
      <c r="BF299" s="507">
        <f t="shared" si="279"/>
        <v>52718</v>
      </c>
      <c r="BG299" s="507">
        <f t="shared" si="279"/>
        <v>52718</v>
      </c>
      <c r="BH299" s="507">
        <f t="shared" si="279"/>
        <v>52718</v>
      </c>
      <c r="BI299" s="507">
        <f t="shared" si="279"/>
        <v>52718</v>
      </c>
      <c r="BJ299" s="507">
        <f t="shared" si="279"/>
        <v>52718</v>
      </c>
      <c r="BK299" s="507">
        <f t="shared" si="279"/>
        <v>52718</v>
      </c>
      <c r="BL299" s="507">
        <f t="shared" si="279"/>
        <v>52718</v>
      </c>
      <c r="BM299" s="507">
        <f t="shared" si="279"/>
        <v>52718</v>
      </c>
      <c r="BN299" s="507">
        <f t="shared" si="279"/>
        <v>52718</v>
      </c>
      <c r="BO299" s="507">
        <f t="shared" si="279"/>
        <v>52718</v>
      </c>
      <c r="BP299" s="507">
        <f t="shared" si="279"/>
        <v>52718</v>
      </c>
      <c r="BQ299" s="507">
        <f t="shared" si="279"/>
        <v>52718</v>
      </c>
      <c r="BR299" s="507">
        <f t="shared" si="279"/>
        <v>52718</v>
      </c>
      <c r="BS299" s="507">
        <f t="shared" si="279"/>
        <v>52718</v>
      </c>
      <c r="BT299" s="507">
        <f t="shared" si="279"/>
        <v>52718</v>
      </c>
      <c r="BU299" s="507">
        <f t="shared" si="279"/>
        <v>52718</v>
      </c>
      <c r="BV299" s="507">
        <f t="shared" si="279"/>
        <v>52718</v>
      </c>
      <c r="BW299" s="507">
        <f t="shared" si="279"/>
        <v>52718</v>
      </c>
      <c r="BX299" s="507">
        <f t="shared" si="279"/>
        <v>52718</v>
      </c>
      <c r="BY299" s="507">
        <f t="shared" si="279"/>
        <v>52718</v>
      </c>
      <c r="BZ299" s="507">
        <f t="shared" si="279"/>
        <v>52718</v>
      </c>
      <c r="CA299" s="507">
        <f t="shared" si="279"/>
        <v>52718</v>
      </c>
      <c r="CB299" s="507">
        <f t="shared" si="279"/>
        <v>52718</v>
      </c>
      <c r="CC299" s="507">
        <f t="shared" si="279"/>
        <v>52718</v>
      </c>
    </row>
    <row r="300" spans="2:81" outlineLevel="1">
      <c r="C300" s="502" t="s">
        <v>295</v>
      </c>
      <c r="E300" s="502">
        <v>1150040001</v>
      </c>
      <c r="J300" s="504" cm="1">
        <f t="array" ref="J300">INDEX($AH300:$CC300,_xlfn.XMATCH(J$5,$AH$5:$CC$5))</f>
        <v>7951</v>
      </c>
      <c r="K300" s="504" cm="1">
        <f t="array" ref="K300">INDEX($AH300:$CC300,_xlfn.XMATCH(K$5,$AH$5:$CC$5))</f>
        <v>7951</v>
      </c>
      <c r="L300" s="504" cm="1">
        <f t="array" ref="L300">INDEX($AH300:$CC300,_xlfn.XMATCH(L$5,$AH$5:$CC$5))</f>
        <v>7951</v>
      </c>
      <c r="M300" s="504" cm="1">
        <f t="array" ref="M300">INDEX($AH300:$CC300,_xlfn.XMATCH(M$5,$AH$5:$CC$5))</f>
        <v>7951</v>
      </c>
      <c r="N300" s="504"/>
      <c r="O300" s="504"/>
      <c r="P300" s="504" cm="1">
        <f t="array" ref="P300">INDEX($AH300:$CC300,_xlfn.XMATCH(P$5,$AH$5:$CC$5))</f>
        <v>7951</v>
      </c>
      <c r="Q300" s="504" cm="1">
        <f t="array" ref="Q300">INDEX($AH300:$CC300,_xlfn.XMATCH(Q$5,$AH$5:$CC$5))</f>
        <v>7951</v>
      </c>
      <c r="R300" s="504" cm="1">
        <f t="array" ref="R300">INDEX($AH300:$CC300,_xlfn.XMATCH(R$5,$AH$5:$CC$5))</f>
        <v>7951</v>
      </c>
      <c r="S300" s="504" cm="1">
        <f t="array" ref="S300">INDEX($AH300:$CC300,_xlfn.XMATCH(S$5,$AH$5:$CC$5))</f>
        <v>7951</v>
      </c>
      <c r="T300" s="504" cm="1">
        <f t="array" ref="T300">INDEX($AH300:$CC300,_xlfn.XMATCH(T$5,$AH$5:$CC$5))</f>
        <v>7951</v>
      </c>
      <c r="U300" s="504" cm="1">
        <f t="array" ref="U300">INDEX($AH300:$CC300,_xlfn.XMATCH(U$5,$AH$5:$CC$5))</f>
        <v>7951</v>
      </c>
      <c r="V300" s="504" cm="1">
        <f t="array" ref="V300">INDEX($AH300:$CC300,_xlfn.XMATCH(V$5,$AH$5:$CC$5))</f>
        <v>7951</v>
      </c>
      <c r="W300" s="504" cm="1">
        <f t="array" ref="W300">INDEX($AH300:$CC300,_xlfn.XMATCH(W$5,$AH$5:$CC$5))</f>
        <v>7951</v>
      </c>
      <c r="X300" s="504" cm="1">
        <f t="array" ref="X300">INDEX($AH300:$CC300,_xlfn.XMATCH(X$5,$AH$5:$CC$5))</f>
        <v>7951</v>
      </c>
      <c r="Y300" s="504" cm="1">
        <f t="array" ref="Y300">INDEX($AH300:$CC300,_xlfn.XMATCH(Y$5,$AH$5:$CC$5))</f>
        <v>7951</v>
      </c>
      <c r="Z300" s="504" cm="1">
        <f t="array" ref="Z300">INDEX($AH300:$CC300,_xlfn.XMATCH(Z$5,$AH$5:$CC$5))</f>
        <v>7951</v>
      </c>
      <c r="AA300" s="504" cm="1">
        <f t="array" ref="AA300">INDEX($AH300:$CC300,_xlfn.XMATCH(AA$5,$AH$5:$CC$5))</f>
        <v>7951</v>
      </c>
      <c r="AB300" s="504" cm="1">
        <f t="array" ref="AB300">INDEX($AH300:$CC300,_xlfn.XMATCH(AB$5,$AH$5:$CC$5))</f>
        <v>7951</v>
      </c>
      <c r="AC300" s="504" cm="1">
        <f t="array" ref="AC300">INDEX($AH300:$CC300,_xlfn.XMATCH(AC$5,$AH$5:$CC$5))</f>
        <v>7951</v>
      </c>
      <c r="AD300" s="504" cm="1">
        <f t="array" ref="AD300">INDEX($AH300:$CC300,_xlfn.XMATCH(AD$5,$AH$5:$CC$5))</f>
        <v>7951</v>
      </c>
      <c r="AE300" s="504" cm="1">
        <f t="array" ref="AE300">INDEX($AH300:$CC300,_xlfn.XMATCH(AE$5,$AH$5:$CC$5))</f>
        <v>7951</v>
      </c>
      <c r="AH300" s="507">
        <f t="shared" si="280"/>
        <v>7951</v>
      </c>
      <c r="AI300" s="507">
        <f t="shared" si="279"/>
        <v>7951</v>
      </c>
      <c r="AJ300" s="507">
        <f t="shared" si="279"/>
        <v>7951</v>
      </c>
      <c r="AK300" s="507">
        <f t="shared" si="279"/>
        <v>7951</v>
      </c>
      <c r="AL300" s="507">
        <f t="shared" si="279"/>
        <v>7951</v>
      </c>
      <c r="AM300" s="507">
        <f t="shared" si="279"/>
        <v>7951</v>
      </c>
      <c r="AN300" s="507">
        <f t="shared" si="279"/>
        <v>7951</v>
      </c>
      <c r="AO300" s="507">
        <f t="shared" si="279"/>
        <v>7951</v>
      </c>
      <c r="AP300" s="507">
        <f t="shared" si="279"/>
        <v>7951</v>
      </c>
      <c r="AQ300" s="507">
        <f t="shared" si="279"/>
        <v>7951</v>
      </c>
      <c r="AR300" s="507">
        <f t="shared" si="279"/>
        <v>7951</v>
      </c>
      <c r="AS300" s="507">
        <f t="shared" si="279"/>
        <v>7951</v>
      </c>
      <c r="AT300" s="507">
        <f t="shared" si="279"/>
        <v>7951</v>
      </c>
      <c r="AU300" s="507">
        <f t="shared" si="279"/>
        <v>7951</v>
      </c>
      <c r="AV300" s="507">
        <f t="shared" si="279"/>
        <v>7951</v>
      </c>
      <c r="AW300" s="507">
        <f t="shared" si="279"/>
        <v>7951</v>
      </c>
      <c r="AX300" s="507">
        <f t="shared" si="279"/>
        <v>7951</v>
      </c>
      <c r="AY300" s="507">
        <f t="shared" si="279"/>
        <v>7951</v>
      </c>
      <c r="AZ300" s="507">
        <f t="shared" si="279"/>
        <v>7951</v>
      </c>
      <c r="BA300" s="507">
        <f t="shared" si="279"/>
        <v>7951</v>
      </c>
      <c r="BB300" s="507">
        <f t="shared" si="279"/>
        <v>7951</v>
      </c>
      <c r="BC300" s="507">
        <f t="shared" si="279"/>
        <v>7951</v>
      </c>
      <c r="BD300" s="507">
        <f t="shared" si="279"/>
        <v>7951</v>
      </c>
      <c r="BE300" s="507">
        <f t="shared" si="279"/>
        <v>7951</v>
      </c>
      <c r="BF300" s="507">
        <f t="shared" si="279"/>
        <v>7951</v>
      </c>
      <c r="BG300" s="507">
        <f t="shared" si="279"/>
        <v>7951</v>
      </c>
      <c r="BH300" s="507">
        <f t="shared" si="279"/>
        <v>7951</v>
      </c>
      <c r="BI300" s="507">
        <f t="shared" si="279"/>
        <v>7951</v>
      </c>
      <c r="BJ300" s="507">
        <f t="shared" si="279"/>
        <v>7951</v>
      </c>
      <c r="BK300" s="507">
        <f t="shared" si="279"/>
        <v>7951</v>
      </c>
      <c r="BL300" s="507">
        <f t="shared" si="279"/>
        <v>7951</v>
      </c>
      <c r="BM300" s="507">
        <f t="shared" si="279"/>
        <v>7951</v>
      </c>
      <c r="BN300" s="507">
        <f t="shared" si="279"/>
        <v>7951</v>
      </c>
      <c r="BO300" s="507">
        <f t="shared" si="279"/>
        <v>7951</v>
      </c>
      <c r="BP300" s="507">
        <f t="shared" si="279"/>
        <v>7951</v>
      </c>
      <c r="BQ300" s="507">
        <f t="shared" si="279"/>
        <v>7951</v>
      </c>
      <c r="BR300" s="507">
        <f t="shared" si="279"/>
        <v>7951</v>
      </c>
      <c r="BS300" s="507">
        <f t="shared" si="279"/>
        <v>7951</v>
      </c>
      <c r="BT300" s="507">
        <f t="shared" si="279"/>
        <v>7951</v>
      </c>
      <c r="BU300" s="507">
        <f t="shared" si="279"/>
        <v>7951</v>
      </c>
      <c r="BV300" s="507">
        <f t="shared" si="279"/>
        <v>7951</v>
      </c>
      <c r="BW300" s="507">
        <f t="shared" si="279"/>
        <v>7951</v>
      </c>
      <c r="BX300" s="507">
        <f t="shared" si="279"/>
        <v>7951</v>
      </c>
      <c r="BY300" s="507">
        <f t="shared" si="279"/>
        <v>7951</v>
      </c>
      <c r="BZ300" s="507">
        <f t="shared" si="279"/>
        <v>7951</v>
      </c>
      <c r="CA300" s="507">
        <f t="shared" si="279"/>
        <v>7951</v>
      </c>
      <c r="CB300" s="507">
        <f t="shared" si="279"/>
        <v>7951</v>
      </c>
      <c r="CC300" s="507">
        <f t="shared" si="279"/>
        <v>7951</v>
      </c>
    </row>
    <row r="301" spans="2:81" outlineLevel="1">
      <c r="C301" s="502" t="s">
        <v>455</v>
      </c>
      <c r="E301" s="502">
        <v>191</v>
      </c>
      <c r="J301" s="504">
        <f t="shared" ref="J301:M301" si="281">SUMIFS($AH301:$CC301,$AH$4:$CC$4,"&gt;="&amp;J$4,$AH$5:$CC$5,"&lt;="&amp;J$5)</f>
        <v>15202.5</v>
      </c>
      <c r="K301" s="504">
        <f t="shared" si="281"/>
        <v>36612</v>
      </c>
      <c r="L301" s="504">
        <f t="shared" si="281"/>
        <v>36735.07666666666</v>
      </c>
      <c r="M301" s="504">
        <f t="shared" si="281"/>
        <v>31786.577777777769</v>
      </c>
      <c r="N301" s="504"/>
      <c r="O301" s="504"/>
      <c r="P301" s="504">
        <f t="shared" ref="P301:AE301" si="282">SUMIFS($AH301:$CC301,$AH$4:$CC$4,"&gt;="&amp;P$4,$AH$5:$CC$5,"&lt;="&amp;P$5)</f>
        <v>277</v>
      </c>
      <c r="Q301" s="504">
        <f t="shared" si="282"/>
        <v>3695.5</v>
      </c>
      <c r="R301" s="504">
        <f t="shared" si="282"/>
        <v>4347</v>
      </c>
      <c r="S301" s="504">
        <f t="shared" si="282"/>
        <v>6883</v>
      </c>
      <c r="T301" s="504">
        <f t="shared" si="282"/>
        <v>9153</v>
      </c>
      <c r="U301" s="504">
        <f t="shared" si="282"/>
        <v>9153</v>
      </c>
      <c r="V301" s="504">
        <f t="shared" si="282"/>
        <v>9153</v>
      </c>
      <c r="W301" s="504">
        <f t="shared" si="282"/>
        <v>9153</v>
      </c>
      <c r="X301" s="504">
        <f t="shared" si="282"/>
        <v>9151.98</v>
      </c>
      <c r="Y301" s="504">
        <f t="shared" si="282"/>
        <v>9151.98</v>
      </c>
      <c r="Z301" s="504">
        <f t="shared" si="282"/>
        <v>9151.98</v>
      </c>
      <c r="AA301" s="504">
        <f t="shared" si="282"/>
        <v>9279.1366666666654</v>
      </c>
      <c r="AB301" s="504">
        <f t="shared" si="282"/>
        <v>9811.2277777777781</v>
      </c>
      <c r="AC301" s="504">
        <f t="shared" si="282"/>
        <v>7505.6722222222306</v>
      </c>
      <c r="AD301" s="504">
        <f t="shared" si="282"/>
        <v>7269.5611111111066</v>
      </c>
      <c r="AE301" s="504">
        <f t="shared" si="282"/>
        <v>7200.1166666666541</v>
      </c>
      <c r="AH301" s="507">
        <f>AH290</f>
        <v>69</v>
      </c>
      <c r="AI301" s="507">
        <f t="shared" ref="AI301:CC301" si="283">AI290</f>
        <v>69</v>
      </c>
      <c r="AJ301" s="507">
        <f t="shared" si="283"/>
        <v>139</v>
      </c>
      <c r="AK301" s="507">
        <f t="shared" si="283"/>
        <v>1111.5</v>
      </c>
      <c r="AL301" s="507">
        <f t="shared" si="283"/>
        <v>1181</v>
      </c>
      <c r="AM301" s="507">
        <f t="shared" si="283"/>
        <v>1403</v>
      </c>
      <c r="AN301" s="507">
        <f t="shared" si="283"/>
        <v>1403</v>
      </c>
      <c r="AO301" s="507">
        <f t="shared" si="283"/>
        <v>1472</v>
      </c>
      <c r="AP301" s="507">
        <f t="shared" si="283"/>
        <v>1472</v>
      </c>
      <c r="AQ301" s="507">
        <f t="shared" si="283"/>
        <v>1472</v>
      </c>
      <c r="AR301" s="507">
        <f t="shared" si="283"/>
        <v>2360</v>
      </c>
      <c r="AS301" s="507">
        <f t="shared" si="283"/>
        <v>3051</v>
      </c>
      <c r="AT301" s="507">
        <f t="shared" si="283"/>
        <v>3051</v>
      </c>
      <c r="AU301" s="507">
        <f t="shared" si="283"/>
        <v>3051</v>
      </c>
      <c r="AV301" s="507">
        <f t="shared" si="283"/>
        <v>3051</v>
      </c>
      <c r="AW301" s="507">
        <f t="shared" si="283"/>
        <v>3051</v>
      </c>
      <c r="AX301" s="507">
        <f t="shared" si="283"/>
        <v>3051</v>
      </c>
      <c r="AY301" s="507">
        <f t="shared" si="283"/>
        <v>3051</v>
      </c>
      <c r="AZ301" s="507">
        <f t="shared" si="283"/>
        <v>3051</v>
      </c>
      <c r="BA301" s="507">
        <f t="shared" si="283"/>
        <v>3051</v>
      </c>
      <c r="BB301" s="507">
        <f t="shared" si="283"/>
        <v>3051</v>
      </c>
      <c r="BC301" s="507">
        <f t="shared" si="283"/>
        <v>3051</v>
      </c>
      <c r="BD301" s="507">
        <f t="shared" si="283"/>
        <v>3051</v>
      </c>
      <c r="BE301" s="507">
        <f t="shared" si="283"/>
        <v>3051</v>
      </c>
      <c r="BF301" s="507">
        <f t="shared" si="283"/>
        <v>3050.66</v>
      </c>
      <c r="BG301" s="507">
        <f t="shared" si="283"/>
        <v>3050.66</v>
      </c>
      <c r="BH301" s="507">
        <f t="shared" si="283"/>
        <v>3050.66</v>
      </c>
      <c r="BI301" s="507">
        <f t="shared" si="283"/>
        <v>3050.66</v>
      </c>
      <c r="BJ301" s="507">
        <f t="shared" si="283"/>
        <v>3050.66</v>
      </c>
      <c r="BK301" s="507">
        <f t="shared" si="283"/>
        <v>3050.66</v>
      </c>
      <c r="BL301" s="507">
        <f t="shared" si="283"/>
        <v>3050.66</v>
      </c>
      <c r="BM301" s="507">
        <f t="shared" si="283"/>
        <v>3050.66</v>
      </c>
      <c r="BN301" s="507">
        <f t="shared" si="283"/>
        <v>3050.66</v>
      </c>
      <c r="BO301" s="507">
        <f t="shared" si="283"/>
        <v>3050.66</v>
      </c>
      <c r="BP301" s="507">
        <f t="shared" si="283"/>
        <v>3050.66</v>
      </c>
      <c r="BQ301" s="507">
        <f t="shared" si="283"/>
        <v>3177.8166666666657</v>
      </c>
      <c r="BR301" s="507">
        <f t="shared" si="283"/>
        <v>3108.3722222222277</v>
      </c>
      <c r="BS301" s="507">
        <f t="shared" si="283"/>
        <v>3386.1499999999942</v>
      </c>
      <c r="BT301" s="507">
        <f t="shared" si="283"/>
        <v>3316.7055555555562</v>
      </c>
      <c r="BU301" s="507">
        <f t="shared" si="283"/>
        <v>2344.4833333333372</v>
      </c>
      <c r="BV301" s="507">
        <f t="shared" si="283"/>
        <v>2691.7055555555562</v>
      </c>
      <c r="BW301" s="507">
        <f t="shared" si="283"/>
        <v>2469.4833333333372</v>
      </c>
      <c r="BX301" s="507">
        <f t="shared" si="283"/>
        <v>2469.4833333333372</v>
      </c>
      <c r="BY301" s="507">
        <f t="shared" si="283"/>
        <v>2400.0388888888847</v>
      </c>
      <c r="BZ301" s="507">
        <f t="shared" si="283"/>
        <v>2400.0388888888847</v>
      </c>
      <c r="CA301" s="507">
        <f t="shared" si="283"/>
        <v>2400.0388888888847</v>
      </c>
      <c r="CB301" s="507">
        <f t="shared" si="283"/>
        <v>2400.0388888888847</v>
      </c>
      <c r="CC301" s="507">
        <f t="shared" si="283"/>
        <v>2400.0388888888847</v>
      </c>
    </row>
    <row r="302" spans="2:81" outlineLevel="1">
      <c r="C302" s="502" t="s">
        <v>451</v>
      </c>
      <c r="E302" s="502">
        <v>194</v>
      </c>
      <c r="J302" s="504" cm="1">
        <f t="array" ref="J302">INDEX($AH302:$CC302,_xlfn.XMATCH(J$5,$AH$5:$CC$5))</f>
        <v>-15202</v>
      </c>
      <c r="K302" s="504" cm="1">
        <f t="array" ref="K302">INDEX($AH302:$CC302,_xlfn.XMATCH(K$5,$AH$5:$CC$5))</f>
        <v>-51811.5</v>
      </c>
      <c r="L302" s="504" cm="1">
        <f t="array" ref="L302">INDEX($AH302:$CC302,_xlfn.XMATCH(L$5,$AH$5:$CC$5))</f>
        <v>-88546.57666666666</v>
      </c>
      <c r="M302" s="504" cm="1">
        <f t="array" ref="M302">INDEX($AH302:$CC302,_xlfn.XMATCH(M$5,$AH$5:$CC$5))</f>
        <v>-120333.15444444443</v>
      </c>
      <c r="N302" s="504"/>
      <c r="O302" s="504"/>
      <c r="P302" s="504" cm="1">
        <f t="array" ref="P302">INDEX($AH302:$CC302,_xlfn.XMATCH(P$5,$AH$5:$CC$5))</f>
        <v>-277</v>
      </c>
      <c r="Q302" s="504" cm="1">
        <f t="array" ref="Q302">INDEX($AH302:$CC302,_xlfn.XMATCH(Q$5,$AH$5:$CC$5))</f>
        <v>-3972</v>
      </c>
      <c r="R302" s="504" cm="1">
        <f t="array" ref="R302">INDEX($AH302:$CC302,_xlfn.XMATCH(R$5,$AH$5:$CC$5))</f>
        <v>-8319</v>
      </c>
      <c r="S302" s="504" cm="1">
        <f t="array" ref="S302">INDEX($AH302:$CC302,_xlfn.XMATCH(S$5,$AH$5:$CC$5))</f>
        <v>-15202</v>
      </c>
      <c r="T302" s="504" cm="1">
        <f t="array" ref="T302">INDEX($AH302:$CC302,_xlfn.XMATCH(T$5,$AH$5:$CC$5))</f>
        <v>-24354</v>
      </c>
      <c r="U302" s="504" cm="1">
        <f t="array" ref="U302">INDEX($AH302:$CC302,_xlfn.XMATCH(U$5,$AH$5:$CC$5))</f>
        <v>-33506</v>
      </c>
      <c r="V302" s="504" cm="1">
        <f t="array" ref="V302">INDEX($AH302:$CC302,_xlfn.XMATCH(V$5,$AH$5:$CC$5))</f>
        <v>-42659</v>
      </c>
      <c r="W302" s="504" cm="1">
        <f t="array" ref="W302">INDEX($AH302:$CC302,_xlfn.XMATCH(W$5,$AH$5:$CC$5))</f>
        <v>-51811.5</v>
      </c>
      <c r="X302" s="504" cm="1">
        <f t="array" ref="X302">INDEX($AH302:$CC302,_xlfn.XMATCH(X$5,$AH$5:$CC$5))</f>
        <v>-60963.48</v>
      </c>
      <c r="Y302" s="504" cm="1">
        <f t="array" ref="Y302">INDEX($AH302:$CC302,_xlfn.XMATCH(Y$5,$AH$5:$CC$5))</f>
        <v>-70115.460000000006</v>
      </c>
      <c r="Z302" s="504" cm="1">
        <f t="array" ref="Z302">INDEX($AH302:$CC302,_xlfn.XMATCH(Z$5,$AH$5:$CC$5))</f>
        <v>-79267.44</v>
      </c>
      <c r="AA302" s="504" cm="1">
        <f t="array" ref="AA302">INDEX($AH302:$CC302,_xlfn.XMATCH(AA$5,$AH$5:$CC$5))</f>
        <v>-88546.57666666666</v>
      </c>
      <c r="AB302" s="504" cm="1">
        <f t="array" ref="AB302">INDEX($AH302:$CC302,_xlfn.XMATCH(AB$5,$AH$5:$CC$5))</f>
        <v>-98357.804444444439</v>
      </c>
      <c r="AC302" s="504" cm="1">
        <f t="array" ref="AC302">INDEX($AH302:$CC302,_xlfn.XMATCH(AC$5,$AH$5:$CC$5))</f>
        <v>-105863.47666666667</v>
      </c>
      <c r="AD302" s="504" cm="1">
        <f t="array" ref="AD302">INDEX($AH302:$CC302,_xlfn.XMATCH(AD$5,$AH$5:$CC$5))</f>
        <v>-113133.03777777778</v>
      </c>
      <c r="AE302" s="504" cm="1">
        <f t="array" ref="AE302">INDEX($AH302:$CC302,_xlfn.XMATCH(AE$5,$AH$5:$CC$5))</f>
        <v>-120333.15444444443</v>
      </c>
      <c r="AH302" s="507">
        <f>AH293</f>
        <v>-69</v>
      </c>
      <c r="AI302" s="507">
        <f t="shared" ref="AI302:CC302" si="284">AI293</f>
        <v>-138</v>
      </c>
      <c r="AJ302" s="507">
        <f t="shared" si="284"/>
        <v>-277</v>
      </c>
      <c r="AK302" s="507">
        <f t="shared" si="284"/>
        <v>-1388</v>
      </c>
      <c r="AL302" s="507">
        <f t="shared" si="284"/>
        <v>-2569</v>
      </c>
      <c r="AM302" s="507">
        <f t="shared" si="284"/>
        <v>-3972</v>
      </c>
      <c r="AN302" s="507">
        <f t="shared" si="284"/>
        <v>-5375</v>
      </c>
      <c r="AO302" s="507">
        <f t="shared" si="284"/>
        <v>-6847</v>
      </c>
      <c r="AP302" s="507">
        <f t="shared" si="284"/>
        <v>-8319</v>
      </c>
      <c r="AQ302" s="507">
        <f t="shared" si="284"/>
        <v>-9791</v>
      </c>
      <c r="AR302" s="507">
        <f t="shared" si="284"/>
        <v>-12151</v>
      </c>
      <c r="AS302" s="507">
        <f t="shared" si="284"/>
        <v>-15202</v>
      </c>
      <c r="AT302" s="507">
        <f t="shared" si="284"/>
        <v>-18252.5</v>
      </c>
      <c r="AU302" s="507">
        <f t="shared" si="284"/>
        <v>-21303.5</v>
      </c>
      <c r="AV302" s="507">
        <f t="shared" si="284"/>
        <v>-24354</v>
      </c>
      <c r="AW302" s="507">
        <f t="shared" si="284"/>
        <v>-27404.5</v>
      </c>
      <c r="AX302" s="507">
        <f t="shared" si="284"/>
        <v>-30455</v>
      </c>
      <c r="AY302" s="507">
        <f t="shared" si="284"/>
        <v>-33506</v>
      </c>
      <c r="AZ302" s="507">
        <f t="shared" si="284"/>
        <v>-36557</v>
      </c>
      <c r="BA302" s="507">
        <f t="shared" si="284"/>
        <v>-39608</v>
      </c>
      <c r="BB302" s="507">
        <f t="shared" si="284"/>
        <v>-42659</v>
      </c>
      <c r="BC302" s="507">
        <f t="shared" si="284"/>
        <v>-45710</v>
      </c>
      <c r="BD302" s="507">
        <f t="shared" si="284"/>
        <v>-48761</v>
      </c>
      <c r="BE302" s="507">
        <f t="shared" si="284"/>
        <v>-51811.5</v>
      </c>
      <c r="BF302" s="507">
        <f t="shared" si="284"/>
        <v>-54862.16</v>
      </c>
      <c r="BG302" s="507">
        <f t="shared" si="284"/>
        <v>-57912.82</v>
      </c>
      <c r="BH302" s="507">
        <f t="shared" si="284"/>
        <v>-60963.48</v>
      </c>
      <c r="BI302" s="507">
        <f t="shared" si="284"/>
        <v>-64014.14</v>
      </c>
      <c r="BJ302" s="507">
        <f t="shared" si="284"/>
        <v>-67064.800000000003</v>
      </c>
      <c r="BK302" s="507">
        <f t="shared" si="284"/>
        <v>-70115.460000000006</v>
      </c>
      <c r="BL302" s="507">
        <f t="shared" si="284"/>
        <v>-73166.12</v>
      </c>
      <c r="BM302" s="507">
        <f t="shared" si="284"/>
        <v>-76216.78</v>
      </c>
      <c r="BN302" s="507">
        <f t="shared" si="284"/>
        <v>-79267.44</v>
      </c>
      <c r="BO302" s="507">
        <f t="shared" si="284"/>
        <v>-82318.100000000006</v>
      </c>
      <c r="BP302" s="507">
        <f t="shared" si="284"/>
        <v>-85368.76</v>
      </c>
      <c r="BQ302" s="507">
        <f t="shared" si="284"/>
        <v>-88546.57666666666</v>
      </c>
      <c r="BR302" s="507">
        <f t="shared" si="284"/>
        <v>-91654.948888888888</v>
      </c>
      <c r="BS302" s="507">
        <f t="shared" si="284"/>
        <v>-95041.098888888882</v>
      </c>
      <c r="BT302" s="507">
        <f t="shared" si="284"/>
        <v>-98357.804444444439</v>
      </c>
      <c r="BU302" s="507">
        <f t="shared" si="284"/>
        <v>-100702.28777777778</v>
      </c>
      <c r="BV302" s="507">
        <f t="shared" si="284"/>
        <v>-103393.99333333333</v>
      </c>
      <c r="BW302" s="507">
        <f t="shared" si="284"/>
        <v>-105863.47666666667</v>
      </c>
      <c r="BX302" s="507">
        <f t="shared" si="284"/>
        <v>-108332.96</v>
      </c>
      <c r="BY302" s="507">
        <f t="shared" si="284"/>
        <v>-110732.99888888889</v>
      </c>
      <c r="BZ302" s="507">
        <f t="shared" si="284"/>
        <v>-113133.03777777778</v>
      </c>
      <c r="CA302" s="507">
        <f t="shared" si="284"/>
        <v>-115533.07666666666</v>
      </c>
      <c r="CB302" s="507">
        <f t="shared" si="284"/>
        <v>-117933.11555555555</v>
      </c>
      <c r="CC302" s="507">
        <f t="shared" si="284"/>
        <v>-120333.15444444443</v>
      </c>
    </row>
  </sheetData>
  <mergeCells count="3">
    <mergeCell ref="I2:I8"/>
    <mergeCell ref="O2:O8"/>
    <mergeCell ref="AG2:AG8"/>
  </mergeCells>
  <pageMargins left="0.7" right="0.7" top="0.75" bottom="0.75" header="0.3" footer="0.3"/>
  <pageSetup orientation="portrait" r:id="rId1"/>
  <customProperties>
    <customPr name="mw_flags_replaced" r:id="rId2"/>
    <customPr name="sourceTemplate" r:id="rId3"/>
  </customProperties>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3F7FC-D37F-4CF4-B3DC-D5D325C4419A}">
  <sheetPr>
    <tabColor theme="3" tint="0.89999084444715716"/>
    <outlinePr summaryBelow="0" summaryRight="0"/>
  </sheetPr>
  <dimension ref="A1:CA110"/>
  <sheetViews>
    <sheetView showGridLines="0" zoomScaleNormal="100" workbookViewId="0">
      <pane xSplit="6" ySplit="8" topLeftCell="BF9" activePane="bottomRight" state="frozen"/>
      <selection pane="topRight" activeCell="B93" sqref="B93"/>
      <selection pane="bottomLeft" activeCell="B93" sqref="B93"/>
      <selection pane="bottomRight" activeCell="BH20" sqref="BH20"/>
    </sheetView>
  </sheetViews>
  <sheetFormatPr defaultColWidth="9.28515625" defaultRowHeight="18.75" outlineLevelRow="2" outlineLevelCol="2"/>
  <cols>
    <col min="1" max="1" width="2.42578125" style="50" customWidth="1"/>
    <col min="2" max="2" width="2.42578125" style="356" customWidth="1"/>
    <col min="3" max="3" width="2.42578125" style="355" customWidth="1"/>
    <col min="4" max="4" width="39.140625" style="50" bestFit="1" customWidth="1"/>
    <col min="5" max="5" width="15" style="50" bestFit="1" customWidth="1"/>
    <col min="6" max="6" width="2.7109375" style="50" customWidth="1"/>
    <col min="7" max="7" width="2.7109375" style="55" customWidth="1"/>
    <col min="8" max="11" width="12.7109375" style="50" customWidth="1" outlineLevel="2"/>
    <col min="12" max="12" width="2.7109375" style="50" customWidth="1"/>
    <col min="13" max="13" width="2.7109375" style="55" customWidth="1" collapsed="1"/>
    <col min="14" max="29" width="11.42578125" style="50" hidden="1" customWidth="1" outlineLevel="2"/>
    <col min="30" max="30" width="2.7109375" style="50" customWidth="1"/>
    <col min="31" max="31" width="2.7109375" style="55" customWidth="1"/>
    <col min="32" max="79" width="12.7109375" style="50" customWidth="1" outlineLevel="1"/>
    <col min="80" max="16384" width="9.28515625" style="50"/>
  </cols>
  <sheetData>
    <row r="1" spans="1:79" ht="21" customHeight="1">
      <c r="A1" s="193" t="str">
        <f>Company_Name</f>
        <v>Model Wiz Demo *</v>
      </c>
      <c r="E1" s="357"/>
    </row>
    <row r="2" spans="1:79" ht="18" customHeight="1">
      <c r="A2" s="148" t="str" cm="1">
        <f t="array" aca="1" ref="A2" ca="1">IFERROR(MID(CELL("filename",A1),FIND("]",CELL("filename",A1))+1,LEN(CELL("filename",A1))),"")</f>
        <v>Inventory</v>
      </c>
      <c r="G2" s="853" t="s">
        <v>159</v>
      </c>
      <c r="H2" s="148"/>
      <c r="I2" s="148"/>
      <c r="J2" s="148"/>
      <c r="K2" s="148"/>
      <c r="L2" s="148"/>
      <c r="M2" s="853" t="s">
        <v>160</v>
      </c>
      <c r="N2" s="403"/>
      <c r="O2" s="148"/>
      <c r="P2" s="148"/>
      <c r="Q2" s="148"/>
      <c r="R2" s="148"/>
      <c r="S2" s="148"/>
      <c r="T2" s="148"/>
      <c r="U2" s="148"/>
      <c r="V2" s="148"/>
      <c r="W2" s="148"/>
      <c r="X2" s="148"/>
      <c r="Y2" s="148"/>
      <c r="Z2" s="148"/>
      <c r="AA2" s="148"/>
      <c r="AB2" s="148"/>
      <c r="AC2" s="148"/>
      <c r="AD2" s="407"/>
      <c r="AE2" s="853" t="s">
        <v>161</v>
      </c>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row>
    <row r="3" spans="1:79" collapsed="1">
      <c r="A3" s="192" t="str">
        <f>Error_Check</f>
        <v>Model Functioning Properly</v>
      </c>
      <c r="G3" s="853"/>
      <c r="H3" s="405" t="str">
        <f>IF(H$5&lt;=_xlfn.SINGLE(LatestMonthOfActuals),"Actual","Projected")</f>
        <v>Actual</v>
      </c>
      <c r="I3" s="405" t="str">
        <f>IF(I$5&lt;=_xlfn.SINGLE(LatestMonthOfActuals),"Actual","Projected")</f>
        <v>Actual</v>
      </c>
      <c r="J3" s="405" t="str">
        <f>IF(J$5&lt;=_xlfn.SINGLE(LatestMonthOfActuals),"Actual","Projected")</f>
        <v>Projected</v>
      </c>
      <c r="K3" s="405" t="str">
        <f>IF(K$5&lt;=_xlfn.SINGLE(LatestMonthOfActuals),"Actual","Projected")</f>
        <v>Projected</v>
      </c>
      <c r="L3" s="148"/>
      <c r="M3" s="853"/>
      <c r="N3" s="405" t="str">
        <f t="shared" ref="N3:AC3" si="0">IF(N$5&lt;=_xlfn.SINGLE(LatestMonthOfActuals),"Actual","Projected")</f>
        <v>Actual</v>
      </c>
      <c r="O3" s="405" t="str">
        <f t="shared" si="0"/>
        <v>Actual</v>
      </c>
      <c r="P3" s="405" t="str">
        <f t="shared" si="0"/>
        <v>Actual</v>
      </c>
      <c r="Q3" s="405" t="str">
        <f t="shared" si="0"/>
        <v>Actual</v>
      </c>
      <c r="R3" s="405" t="str">
        <f t="shared" si="0"/>
        <v>Actual</v>
      </c>
      <c r="S3" s="405" t="str">
        <f t="shared" si="0"/>
        <v>Actual</v>
      </c>
      <c r="T3" s="405" t="str">
        <f t="shared" si="0"/>
        <v>Actual</v>
      </c>
      <c r="U3" s="405" t="str">
        <f t="shared" si="0"/>
        <v>Actual</v>
      </c>
      <c r="V3" s="405" t="str">
        <f t="shared" si="0"/>
        <v>Actual</v>
      </c>
      <c r="W3" s="405" t="str">
        <f t="shared" si="0"/>
        <v>Actual</v>
      </c>
      <c r="X3" s="405" t="str">
        <f t="shared" si="0"/>
        <v>Actual</v>
      </c>
      <c r="Y3" s="405" t="str">
        <f t="shared" si="0"/>
        <v>Projected</v>
      </c>
      <c r="Z3" s="405" t="str">
        <f t="shared" si="0"/>
        <v>Projected</v>
      </c>
      <c r="AA3" s="405" t="str">
        <f t="shared" si="0"/>
        <v>Projected</v>
      </c>
      <c r="AB3" s="405" t="str">
        <f t="shared" si="0"/>
        <v>Projected</v>
      </c>
      <c r="AC3" s="405" t="str">
        <f t="shared" si="0"/>
        <v>Projected</v>
      </c>
      <c r="AD3" s="406"/>
      <c r="AE3" s="853"/>
      <c r="AF3" s="405" t="str">
        <f t="shared" ref="AF3:BK3" si="1">IF(AF$5&lt;=_xlfn.SINGLE(LatestMonthOfActuals),"Actual","Projected")</f>
        <v>Actual</v>
      </c>
      <c r="AG3" s="405" t="str">
        <f t="shared" si="1"/>
        <v>Actual</v>
      </c>
      <c r="AH3" s="405" t="str">
        <f t="shared" si="1"/>
        <v>Actual</v>
      </c>
      <c r="AI3" s="405" t="str">
        <f t="shared" si="1"/>
        <v>Actual</v>
      </c>
      <c r="AJ3" s="405" t="str">
        <f t="shared" si="1"/>
        <v>Actual</v>
      </c>
      <c r="AK3" s="405" t="str">
        <f t="shared" si="1"/>
        <v>Actual</v>
      </c>
      <c r="AL3" s="405" t="str">
        <f t="shared" si="1"/>
        <v>Actual</v>
      </c>
      <c r="AM3" s="405" t="str">
        <f t="shared" si="1"/>
        <v>Actual</v>
      </c>
      <c r="AN3" s="405" t="str">
        <f t="shared" si="1"/>
        <v>Actual</v>
      </c>
      <c r="AO3" s="405" t="str">
        <f t="shared" si="1"/>
        <v>Actual</v>
      </c>
      <c r="AP3" s="405" t="str">
        <f t="shared" si="1"/>
        <v>Actual</v>
      </c>
      <c r="AQ3" s="405" t="str">
        <f t="shared" si="1"/>
        <v>Actual</v>
      </c>
      <c r="AR3" s="405" t="str">
        <f t="shared" si="1"/>
        <v>Actual</v>
      </c>
      <c r="AS3" s="405" t="str">
        <f t="shared" si="1"/>
        <v>Actual</v>
      </c>
      <c r="AT3" s="405" t="str">
        <f t="shared" si="1"/>
        <v>Actual</v>
      </c>
      <c r="AU3" s="405" t="str">
        <f t="shared" si="1"/>
        <v>Actual</v>
      </c>
      <c r="AV3" s="405" t="str">
        <f t="shared" si="1"/>
        <v>Actual</v>
      </c>
      <c r="AW3" s="405" t="str">
        <f t="shared" si="1"/>
        <v>Actual</v>
      </c>
      <c r="AX3" s="405" t="str">
        <f t="shared" si="1"/>
        <v>Actual</v>
      </c>
      <c r="AY3" s="405" t="str">
        <f t="shared" si="1"/>
        <v>Actual</v>
      </c>
      <c r="AZ3" s="405" t="str">
        <f t="shared" si="1"/>
        <v>Actual</v>
      </c>
      <c r="BA3" s="405" t="str">
        <f t="shared" si="1"/>
        <v>Actual</v>
      </c>
      <c r="BB3" s="405" t="str">
        <f t="shared" si="1"/>
        <v>Actual</v>
      </c>
      <c r="BC3" s="405" t="str">
        <f t="shared" si="1"/>
        <v>Actual</v>
      </c>
      <c r="BD3" s="405" t="str">
        <f t="shared" si="1"/>
        <v>Actual</v>
      </c>
      <c r="BE3" s="405" t="str">
        <f t="shared" si="1"/>
        <v>Actual</v>
      </c>
      <c r="BF3" s="405" t="str">
        <f t="shared" si="1"/>
        <v>Actual</v>
      </c>
      <c r="BG3" s="405" t="str">
        <f t="shared" si="1"/>
        <v>Actual</v>
      </c>
      <c r="BH3" s="405" t="str">
        <f t="shared" si="1"/>
        <v>Actual</v>
      </c>
      <c r="BI3" s="405" t="str">
        <f t="shared" si="1"/>
        <v>Actual</v>
      </c>
      <c r="BJ3" s="405" t="str">
        <f t="shared" si="1"/>
        <v>Actual</v>
      </c>
      <c r="BK3" s="405" t="str">
        <f t="shared" si="1"/>
        <v>Actual</v>
      </c>
      <c r="BL3" s="405" t="str">
        <f t="shared" ref="BL3:CA3" si="2">IF(BL$5&lt;=_xlfn.SINGLE(LatestMonthOfActuals),"Actual","Projected")</f>
        <v>Actual</v>
      </c>
      <c r="BM3" s="405" t="str">
        <f t="shared" si="2"/>
        <v>Actual</v>
      </c>
      <c r="BN3" s="405" t="str">
        <f t="shared" si="2"/>
        <v>Actual</v>
      </c>
      <c r="BO3" s="405" t="str">
        <f t="shared" si="2"/>
        <v>Projected</v>
      </c>
      <c r="BP3" s="405" t="str">
        <f t="shared" si="2"/>
        <v>Projected</v>
      </c>
      <c r="BQ3" s="405" t="str">
        <f t="shared" si="2"/>
        <v>Projected</v>
      </c>
      <c r="BR3" s="405" t="str">
        <f t="shared" si="2"/>
        <v>Projected</v>
      </c>
      <c r="BS3" s="405" t="str">
        <f t="shared" si="2"/>
        <v>Projected</v>
      </c>
      <c r="BT3" s="405" t="str">
        <f t="shared" si="2"/>
        <v>Projected</v>
      </c>
      <c r="BU3" s="405" t="str">
        <f t="shared" si="2"/>
        <v>Projected</v>
      </c>
      <c r="BV3" s="405" t="str">
        <f t="shared" si="2"/>
        <v>Projected</v>
      </c>
      <c r="BW3" s="405" t="str">
        <f t="shared" si="2"/>
        <v>Projected</v>
      </c>
      <c r="BX3" s="405" t="str">
        <f t="shared" si="2"/>
        <v>Projected</v>
      </c>
      <c r="BY3" s="405" t="str">
        <f t="shared" si="2"/>
        <v>Projected</v>
      </c>
      <c r="BZ3" s="405" t="str">
        <f t="shared" si="2"/>
        <v>Projected</v>
      </c>
      <c r="CA3" s="405" t="str">
        <f t="shared" si="2"/>
        <v>Projected</v>
      </c>
    </row>
    <row r="4" spans="1:79" s="399" customFormat="1" ht="15" hidden="1" outlineLevel="1">
      <c r="B4" s="500"/>
      <c r="C4" s="500"/>
      <c r="G4" s="853"/>
      <c r="H4" s="403">
        <f>Start_Date</f>
        <v>44927</v>
      </c>
      <c r="I4" s="403">
        <f>H5+1</f>
        <v>45292</v>
      </c>
      <c r="J4" s="403">
        <f>I5+1</f>
        <v>45658</v>
      </c>
      <c r="K4" s="403">
        <f>J5+1</f>
        <v>46023</v>
      </c>
      <c r="L4" s="148"/>
      <c r="M4" s="853"/>
      <c r="N4" s="403">
        <f>Start_Date</f>
        <v>44927</v>
      </c>
      <c r="O4" s="402">
        <f>N5+1</f>
        <v>45017</v>
      </c>
      <c r="P4" s="402">
        <f t="shared" ref="P4:AC4" si="3">O5+1</f>
        <v>45108</v>
      </c>
      <c r="Q4" s="402">
        <f t="shared" si="3"/>
        <v>45200</v>
      </c>
      <c r="R4" s="402">
        <f t="shared" si="3"/>
        <v>45292</v>
      </c>
      <c r="S4" s="402">
        <f t="shared" si="3"/>
        <v>45383</v>
      </c>
      <c r="T4" s="402">
        <f t="shared" si="3"/>
        <v>45474</v>
      </c>
      <c r="U4" s="402">
        <f t="shared" si="3"/>
        <v>45566</v>
      </c>
      <c r="V4" s="402">
        <f t="shared" si="3"/>
        <v>45658</v>
      </c>
      <c r="W4" s="402">
        <f t="shared" si="3"/>
        <v>45748</v>
      </c>
      <c r="X4" s="402">
        <f t="shared" si="3"/>
        <v>45839</v>
      </c>
      <c r="Y4" s="402">
        <f t="shared" si="3"/>
        <v>45931</v>
      </c>
      <c r="Z4" s="402">
        <f t="shared" si="3"/>
        <v>46023</v>
      </c>
      <c r="AA4" s="402">
        <f t="shared" si="3"/>
        <v>46113</v>
      </c>
      <c r="AB4" s="402">
        <f t="shared" si="3"/>
        <v>46204</v>
      </c>
      <c r="AC4" s="402">
        <f t="shared" si="3"/>
        <v>46296</v>
      </c>
      <c r="AD4" s="404"/>
      <c r="AE4" s="853"/>
      <c r="AF4" s="403">
        <f>Start_Date</f>
        <v>44927</v>
      </c>
      <c r="AG4" s="403">
        <f t="shared" ref="AG4:CA4" si="4">EOMONTH(AG5,-1)+1</f>
        <v>44958</v>
      </c>
      <c r="AH4" s="403">
        <f t="shared" si="4"/>
        <v>44986</v>
      </c>
      <c r="AI4" s="403">
        <f t="shared" si="4"/>
        <v>45017</v>
      </c>
      <c r="AJ4" s="403">
        <f t="shared" si="4"/>
        <v>45047</v>
      </c>
      <c r="AK4" s="403">
        <f t="shared" si="4"/>
        <v>45078</v>
      </c>
      <c r="AL4" s="403">
        <f t="shared" si="4"/>
        <v>45108</v>
      </c>
      <c r="AM4" s="403">
        <f t="shared" si="4"/>
        <v>45139</v>
      </c>
      <c r="AN4" s="403">
        <f t="shared" si="4"/>
        <v>45170</v>
      </c>
      <c r="AO4" s="403">
        <f t="shared" si="4"/>
        <v>45200</v>
      </c>
      <c r="AP4" s="403">
        <f t="shared" si="4"/>
        <v>45231</v>
      </c>
      <c r="AQ4" s="403">
        <f t="shared" si="4"/>
        <v>45261</v>
      </c>
      <c r="AR4" s="403">
        <f t="shared" si="4"/>
        <v>45292</v>
      </c>
      <c r="AS4" s="403">
        <f t="shared" si="4"/>
        <v>45323</v>
      </c>
      <c r="AT4" s="403">
        <f t="shared" si="4"/>
        <v>45352</v>
      </c>
      <c r="AU4" s="403">
        <f t="shared" si="4"/>
        <v>45383</v>
      </c>
      <c r="AV4" s="403">
        <f t="shared" si="4"/>
        <v>45413</v>
      </c>
      <c r="AW4" s="403">
        <f t="shared" si="4"/>
        <v>45444</v>
      </c>
      <c r="AX4" s="403">
        <f t="shared" si="4"/>
        <v>45474</v>
      </c>
      <c r="AY4" s="403">
        <f t="shared" si="4"/>
        <v>45505</v>
      </c>
      <c r="AZ4" s="403">
        <f t="shared" si="4"/>
        <v>45536</v>
      </c>
      <c r="BA4" s="403">
        <f t="shared" si="4"/>
        <v>45566</v>
      </c>
      <c r="BB4" s="403">
        <f t="shared" si="4"/>
        <v>45597</v>
      </c>
      <c r="BC4" s="403">
        <f t="shared" si="4"/>
        <v>45627</v>
      </c>
      <c r="BD4" s="403">
        <f t="shared" si="4"/>
        <v>45658</v>
      </c>
      <c r="BE4" s="403">
        <f t="shared" si="4"/>
        <v>45689</v>
      </c>
      <c r="BF4" s="403">
        <f t="shared" si="4"/>
        <v>45717</v>
      </c>
      <c r="BG4" s="403">
        <f t="shared" si="4"/>
        <v>45748</v>
      </c>
      <c r="BH4" s="403">
        <f t="shared" si="4"/>
        <v>45778</v>
      </c>
      <c r="BI4" s="403">
        <f t="shared" si="4"/>
        <v>45809</v>
      </c>
      <c r="BJ4" s="403">
        <f t="shared" si="4"/>
        <v>45839</v>
      </c>
      <c r="BK4" s="403">
        <f t="shared" si="4"/>
        <v>45870</v>
      </c>
      <c r="BL4" s="403">
        <f t="shared" si="4"/>
        <v>45901</v>
      </c>
      <c r="BM4" s="403">
        <f t="shared" si="4"/>
        <v>45931</v>
      </c>
      <c r="BN4" s="403">
        <f t="shared" si="4"/>
        <v>45962</v>
      </c>
      <c r="BO4" s="403">
        <f t="shared" si="4"/>
        <v>45992</v>
      </c>
      <c r="BP4" s="403">
        <f t="shared" si="4"/>
        <v>46023</v>
      </c>
      <c r="BQ4" s="403">
        <f t="shared" si="4"/>
        <v>46054</v>
      </c>
      <c r="BR4" s="403">
        <f t="shared" si="4"/>
        <v>46082</v>
      </c>
      <c r="BS4" s="403">
        <f t="shared" si="4"/>
        <v>46113</v>
      </c>
      <c r="BT4" s="403">
        <f t="shared" si="4"/>
        <v>46143</v>
      </c>
      <c r="BU4" s="403">
        <f t="shared" si="4"/>
        <v>46174</v>
      </c>
      <c r="BV4" s="403">
        <f t="shared" si="4"/>
        <v>46204</v>
      </c>
      <c r="BW4" s="403">
        <f t="shared" si="4"/>
        <v>46235</v>
      </c>
      <c r="BX4" s="403">
        <f t="shared" si="4"/>
        <v>46266</v>
      </c>
      <c r="BY4" s="403">
        <f t="shared" si="4"/>
        <v>46296</v>
      </c>
      <c r="BZ4" s="403">
        <f t="shared" si="4"/>
        <v>46327</v>
      </c>
      <c r="CA4" s="403">
        <f t="shared" si="4"/>
        <v>46357</v>
      </c>
    </row>
    <row r="5" spans="1:79" s="399" customFormat="1" ht="15" hidden="1" outlineLevel="1">
      <c r="B5" s="500"/>
      <c r="C5" s="500"/>
      <c r="G5" s="853"/>
      <c r="H5" s="403">
        <f>EOMONTH(DATE(YEAR(Start_Date),1,1),Fiscal_Offset+IF(N6&lt;YEAR(Start_Date),-1,11))</f>
        <v>45291</v>
      </c>
      <c r="I5" s="402">
        <f>MIN(EOMONTH(H5,12),End_Date)</f>
        <v>45657</v>
      </c>
      <c r="J5" s="402">
        <f>MIN(EOMONTH(I5,12),End_Date)</f>
        <v>46022</v>
      </c>
      <c r="K5" s="402">
        <f>MIN(EOMONTH(J5,12),End_Date)</f>
        <v>46387</v>
      </c>
      <c r="L5" s="148"/>
      <c r="M5" s="853"/>
      <c r="N5" s="402">
        <f>EOMONTH(DATE(YEAR(Start_Date),1,1),MOD(ROUNDUP(MONTH(EOMONTH(Start_Date,-Fiscal_Offset))/3,0)*3+Fiscal_Offset-1,12))</f>
        <v>45016</v>
      </c>
      <c r="O5" s="402">
        <f>MIN(EOMONTH(O$4,2),End_Date)</f>
        <v>45107</v>
      </c>
      <c r="P5" s="402">
        <f t="shared" ref="P5:AC5" si="5">MIN(EOMONTH(P$4,2),End_Date)</f>
        <v>45199</v>
      </c>
      <c r="Q5" s="402">
        <f t="shared" si="5"/>
        <v>45291</v>
      </c>
      <c r="R5" s="402">
        <f t="shared" si="5"/>
        <v>45382</v>
      </c>
      <c r="S5" s="402">
        <f t="shared" si="5"/>
        <v>45473</v>
      </c>
      <c r="T5" s="402">
        <f t="shared" si="5"/>
        <v>45565</v>
      </c>
      <c r="U5" s="402">
        <f t="shared" si="5"/>
        <v>45657</v>
      </c>
      <c r="V5" s="402">
        <f t="shared" si="5"/>
        <v>45747</v>
      </c>
      <c r="W5" s="402">
        <f t="shared" si="5"/>
        <v>45838</v>
      </c>
      <c r="X5" s="402">
        <f t="shared" si="5"/>
        <v>45930</v>
      </c>
      <c r="Y5" s="402">
        <f t="shared" si="5"/>
        <v>46022</v>
      </c>
      <c r="Z5" s="402">
        <f t="shared" si="5"/>
        <v>46112</v>
      </c>
      <c r="AA5" s="402">
        <f t="shared" si="5"/>
        <v>46203</v>
      </c>
      <c r="AB5" s="402">
        <f t="shared" si="5"/>
        <v>46295</v>
      </c>
      <c r="AC5" s="402">
        <f t="shared" si="5"/>
        <v>46387</v>
      </c>
      <c r="AD5" s="404"/>
      <c r="AE5" s="853"/>
      <c r="AF5" s="403" cm="1">
        <f t="array" ref="AF5">EOM_Start_Date</f>
        <v>44957</v>
      </c>
      <c r="AG5" s="402">
        <f t="shared" ref="AG5:CA5" si="6">EOMONTH(AF5,1)</f>
        <v>44985</v>
      </c>
      <c r="AH5" s="402">
        <f t="shared" si="6"/>
        <v>45016</v>
      </c>
      <c r="AI5" s="402">
        <f t="shared" si="6"/>
        <v>45046</v>
      </c>
      <c r="AJ5" s="402">
        <f t="shared" si="6"/>
        <v>45077</v>
      </c>
      <c r="AK5" s="402">
        <f t="shared" si="6"/>
        <v>45107</v>
      </c>
      <c r="AL5" s="402">
        <f t="shared" si="6"/>
        <v>45138</v>
      </c>
      <c r="AM5" s="402">
        <f t="shared" si="6"/>
        <v>45169</v>
      </c>
      <c r="AN5" s="402">
        <f t="shared" si="6"/>
        <v>45199</v>
      </c>
      <c r="AO5" s="402">
        <f t="shared" si="6"/>
        <v>45230</v>
      </c>
      <c r="AP5" s="402">
        <f t="shared" si="6"/>
        <v>45260</v>
      </c>
      <c r="AQ5" s="402">
        <f t="shared" si="6"/>
        <v>45291</v>
      </c>
      <c r="AR5" s="402">
        <f t="shared" si="6"/>
        <v>45322</v>
      </c>
      <c r="AS5" s="402">
        <f t="shared" si="6"/>
        <v>45351</v>
      </c>
      <c r="AT5" s="402">
        <f t="shared" si="6"/>
        <v>45382</v>
      </c>
      <c r="AU5" s="402">
        <f t="shared" si="6"/>
        <v>45412</v>
      </c>
      <c r="AV5" s="402">
        <f t="shared" si="6"/>
        <v>45443</v>
      </c>
      <c r="AW5" s="402">
        <f t="shared" si="6"/>
        <v>45473</v>
      </c>
      <c r="AX5" s="402">
        <f t="shared" si="6"/>
        <v>45504</v>
      </c>
      <c r="AY5" s="402">
        <f t="shared" si="6"/>
        <v>45535</v>
      </c>
      <c r="AZ5" s="402">
        <f t="shared" si="6"/>
        <v>45565</v>
      </c>
      <c r="BA5" s="402">
        <f t="shared" si="6"/>
        <v>45596</v>
      </c>
      <c r="BB5" s="402">
        <f t="shared" si="6"/>
        <v>45626</v>
      </c>
      <c r="BC5" s="402">
        <f t="shared" si="6"/>
        <v>45657</v>
      </c>
      <c r="BD5" s="402">
        <f t="shared" si="6"/>
        <v>45688</v>
      </c>
      <c r="BE5" s="402">
        <f t="shared" si="6"/>
        <v>45716</v>
      </c>
      <c r="BF5" s="402">
        <f t="shared" si="6"/>
        <v>45747</v>
      </c>
      <c r="BG5" s="402">
        <f t="shared" si="6"/>
        <v>45777</v>
      </c>
      <c r="BH5" s="402">
        <f t="shared" si="6"/>
        <v>45808</v>
      </c>
      <c r="BI5" s="402">
        <f t="shared" si="6"/>
        <v>45838</v>
      </c>
      <c r="BJ5" s="402">
        <f t="shared" si="6"/>
        <v>45869</v>
      </c>
      <c r="BK5" s="402">
        <f t="shared" si="6"/>
        <v>45900</v>
      </c>
      <c r="BL5" s="402">
        <f t="shared" si="6"/>
        <v>45930</v>
      </c>
      <c r="BM5" s="402">
        <f t="shared" si="6"/>
        <v>45961</v>
      </c>
      <c r="BN5" s="402">
        <f t="shared" si="6"/>
        <v>45991</v>
      </c>
      <c r="BO5" s="402">
        <f t="shared" si="6"/>
        <v>46022</v>
      </c>
      <c r="BP5" s="402">
        <f t="shared" si="6"/>
        <v>46053</v>
      </c>
      <c r="BQ5" s="402">
        <f t="shared" si="6"/>
        <v>46081</v>
      </c>
      <c r="BR5" s="402">
        <f t="shared" si="6"/>
        <v>46112</v>
      </c>
      <c r="BS5" s="402">
        <f t="shared" si="6"/>
        <v>46142</v>
      </c>
      <c r="BT5" s="402">
        <f t="shared" si="6"/>
        <v>46173</v>
      </c>
      <c r="BU5" s="402">
        <f t="shared" si="6"/>
        <v>46203</v>
      </c>
      <c r="BV5" s="402">
        <f t="shared" si="6"/>
        <v>46234</v>
      </c>
      <c r="BW5" s="402">
        <f t="shared" si="6"/>
        <v>46265</v>
      </c>
      <c r="BX5" s="402">
        <f t="shared" si="6"/>
        <v>46295</v>
      </c>
      <c r="BY5" s="402">
        <f t="shared" si="6"/>
        <v>46326</v>
      </c>
      <c r="BZ5" s="402">
        <f t="shared" si="6"/>
        <v>46356</v>
      </c>
      <c r="CA5" s="402">
        <f t="shared" si="6"/>
        <v>46387</v>
      </c>
    </row>
    <row r="6" spans="1:79" s="399" customFormat="1" ht="15" hidden="1" outlineLevel="1">
      <c r="B6" s="500"/>
      <c r="C6" s="500"/>
      <c r="G6" s="853"/>
      <c r="H6" s="369">
        <f>YEAR(EOMONTH(H5,-Fiscal_Offset))</f>
        <v>2023</v>
      </c>
      <c r="I6" s="369">
        <f>YEAR(EOMONTH(I5,-Fiscal_Offset))</f>
        <v>2024</v>
      </c>
      <c r="J6" s="369">
        <f>YEAR(EOMONTH(J5,-Fiscal_Offset))</f>
        <v>2025</v>
      </c>
      <c r="K6" s="369">
        <f>YEAR(EOMONTH(K5,-Fiscal_Offset))</f>
        <v>2026</v>
      </c>
      <c r="L6" s="148"/>
      <c r="M6" s="853"/>
      <c r="N6" s="369">
        <f>YEAR(EOMONTH(N5,-Fiscal_Offset))</f>
        <v>2023</v>
      </c>
      <c r="O6" s="369">
        <f t="shared" ref="O6:AC6" si="7">YEAR(EOMONTH(O5,-Fiscal_Offset))</f>
        <v>2023</v>
      </c>
      <c r="P6" s="369">
        <f t="shared" si="7"/>
        <v>2023</v>
      </c>
      <c r="Q6" s="369">
        <f t="shared" si="7"/>
        <v>2023</v>
      </c>
      <c r="R6" s="369">
        <f t="shared" si="7"/>
        <v>2024</v>
      </c>
      <c r="S6" s="369">
        <f t="shared" si="7"/>
        <v>2024</v>
      </c>
      <c r="T6" s="369">
        <f t="shared" si="7"/>
        <v>2024</v>
      </c>
      <c r="U6" s="369">
        <f t="shared" si="7"/>
        <v>2024</v>
      </c>
      <c r="V6" s="369">
        <f t="shared" si="7"/>
        <v>2025</v>
      </c>
      <c r="W6" s="369">
        <f t="shared" si="7"/>
        <v>2025</v>
      </c>
      <c r="X6" s="369">
        <f t="shared" si="7"/>
        <v>2025</v>
      </c>
      <c r="Y6" s="369">
        <f t="shared" si="7"/>
        <v>2025</v>
      </c>
      <c r="Z6" s="369">
        <f t="shared" si="7"/>
        <v>2026</v>
      </c>
      <c r="AA6" s="369">
        <f t="shared" si="7"/>
        <v>2026</v>
      </c>
      <c r="AB6" s="369">
        <f t="shared" si="7"/>
        <v>2026</v>
      </c>
      <c r="AC6" s="369">
        <f t="shared" si="7"/>
        <v>2026</v>
      </c>
      <c r="AE6" s="853"/>
      <c r="AF6" s="369">
        <f t="shared" ref="AF6:BK6" si="8">YEAR(EOMONTH(AF5,-Fiscal_Offset))</f>
        <v>2023</v>
      </c>
      <c r="AG6" s="369">
        <f t="shared" si="8"/>
        <v>2023</v>
      </c>
      <c r="AH6" s="369">
        <f t="shared" si="8"/>
        <v>2023</v>
      </c>
      <c r="AI6" s="369">
        <f t="shared" si="8"/>
        <v>2023</v>
      </c>
      <c r="AJ6" s="369">
        <f t="shared" si="8"/>
        <v>2023</v>
      </c>
      <c r="AK6" s="369">
        <f t="shared" si="8"/>
        <v>2023</v>
      </c>
      <c r="AL6" s="369">
        <f t="shared" si="8"/>
        <v>2023</v>
      </c>
      <c r="AM6" s="369">
        <f t="shared" si="8"/>
        <v>2023</v>
      </c>
      <c r="AN6" s="369">
        <f t="shared" si="8"/>
        <v>2023</v>
      </c>
      <c r="AO6" s="369">
        <f t="shared" si="8"/>
        <v>2023</v>
      </c>
      <c r="AP6" s="369">
        <f t="shared" si="8"/>
        <v>2023</v>
      </c>
      <c r="AQ6" s="369">
        <f t="shared" si="8"/>
        <v>2023</v>
      </c>
      <c r="AR6" s="369">
        <f t="shared" si="8"/>
        <v>2024</v>
      </c>
      <c r="AS6" s="369">
        <f t="shared" si="8"/>
        <v>2024</v>
      </c>
      <c r="AT6" s="369">
        <f t="shared" si="8"/>
        <v>2024</v>
      </c>
      <c r="AU6" s="369">
        <f t="shared" si="8"/>
        <v>2024</v>
      </c>
      <c r="AV6" s="369">
        <f t="shared" si="8"/>
        <v>2024</v>
      </c>
      <c r="AW6" s="369">
        <f t="shared" si="8"/>
        <v>2024</v>
      </c>
      <c r="AX6" s="369">
        <f t="shared" si="8"/>
        <v>2024</v>
      </c>
      <c r="AY6" s="369">
        <f t="shared" si="8"/>
        <v>2024</v>
      </c>
      <c r="AZ6" s="369">
        <f t="shared" si="8"/>
        <v>2024</v>
      </c>
      <c r="BA6" s="369">
        <f t="shared" si="8"/>
        <v>2024</v>
      </c>
      <c r="BB6" s="369">
        <f t="shared" si="8"/>
        <v>2024</v>
      </c>
      <c r="BC6" s="369">
        <f t="shared" si="8"/>
        <v>2024</v>
      </c>
      <c r="BD6" s="369">
        <f t="shared" si="8"/>
        <v>2025</v>
      </c>
      <c r="BE6" s="369">
        <f t="shared" si="8"/>
        <v>2025</v>
      </c>
      <c r="BF6" s="369">
        <f t="shared" si="8"/>
        <v>2025</v>
      </c>
      <c r="BG6" s="369">
        <f t="shared" si="8"/>
        <v>2025</v>
      </c>
      <c r="BH6" s="369">
        <f t="shared" si="8"/>
        <v>2025</v>
      </c>
      <c r="BI6" s="369">
        <f t="shared" si="8"/>
        <v>2025</v>
      </c>
      <c r="BJ6" s="369">
        <f t="shared" si="8"/>
        <v>2025</v>
      </c>
      <c r="BK6" s="369">
        <f t="shared" si="8"/>
        <v>2025</v>
      </c>
      <c r="BL6" s="369">
        <f t="shared" ref="BL6:CA6" si="9">YEAR(EOMONTH(BL5,-Fiscal_Offset))</f>
        <v>2025</v>
      </c>
      <c r="BM6" s="369">
        <f t="shared" si="9"/>
        <v>2025</v>
      </c>
      <c r="BN6" s="369">
        <f t="shared" si="9"/>
        <v>2025</v>
      </c>
      <c r="BO6" s="369">
        <f t="shared" si="9"/>
        <v>2025</v>
      </c>
      <c r="BP6" s="369">
        <f t="shared" si="9"/>
        <v>2026</v>
      </c>
      <c r="BQ6" s="369">
        <f t="shared" si="9"/>
        <v>2026</v>
      </c>
      <c r="BR6" s="369">
        <f t="shared" si="9"/>
        <v>2026</v>
      </c>
      <c r="BS6" s="369">
        <f t="shared" si="9"/>
        <v>2026</v>
      </c>
      <c r="BT6" s="369">
        <f t="shared" si="9"/>
        <v>2026</v>
      </c>
      <c r="BU6" s="369">
        <f t="shared" si="9"/>
        <v>2026</v>
      </c>
      <c r="BV6" s="369">
        <f t="shared" si="9"/>
        <v>2026</v>
      </c>
      <c r="BW6" s="369">
        <f t="shared" si="9"/>
        <v>2026</v>
      </c>
      <c r="BX6" s="369">
        <f t="shared" si="9"/>
        <v>2026</v>
      </c>
      <c r="BY6" s="369">
        <f t="shared" si="9"/>
        <v>2026</v>
      </c>
      <c r="BZ6" s="369">
        <f t="shared" si="9"/>
        <v>2026</v>
      </c>
      <c r="CA6" s="369">
        <f t="shared" si="9"/>
        <v>2026</v>
      </c>
    </row>
    <row r="7" spans="1:79" s="399" customFormat="1" ht="15" hidden="1" outlineLevel="1">
      <c r="B7" s="500"/>
      <c r="C7" s="500"/>
      <c r="G7" s="853"/>
      <c r="H7" s="369" t="str">
        <f>"Q"&amp; ROUNDUP(MONTH(EOMONTH(H5,-Fiscal_Offset))/3,0)</f>
        <v>Q4</v>
      </c>
      <c r="I7" s="369" t="str">
        <f>"Q"&amp; ROUNDUP(MONTH(EOMONTH(I5,-Fiscal_Offset))/3,0)</f>
        <v>Q4</v>
      </c>
      <c r="J7" s="369" t="str">
        <f>"Q"&amp; ROUNDUP(MONTH(EOMONTH(J5,-Fiscal_Offset))/3,0)</f>
        <v>Q4</v>
      </c>
      <c r="K7" s="369" t="str">
        <f>"Q"&amp; ROUNDUP(MONTH(EOMONTH(K5,-Fiscal_Offset))/3,0)</f>
        <v>Q4</v>
      </c>
      <c r="L7" s="148"/>
      <c r="M7" s="853"/>
      <c r="N7" s="369" t="str">
        <f t="shared" ref="N7:AC7" si="10">"Q"&amp; ROUNDUP(MONTH(EOMONTH(N5,-Fiscal_Offset))/3,0)</f>
        <v>Q1</v>
      </c>
      <c r="O7" s="369" t="str">
        <f t="shared" si="10"/>
        <v>Q2</v>
      </c>
      <c r="P7" s="369" t="str">
        <f t="shared" si="10"/>
        <v>Q3</v>
      </c>
      <c r="Q7" s="369" t="str">
        <f t="shared" si="10"/>
        <v>Q4</v>
      </c>
      <c r="R7" s="369" t="str">
        <f t="shared" si="10"/>
        <v>Q1</v>
      </c>
      <c r="S7" s="369" t="str">
        <f t="shared" si="10"/>
        <v>Q2</v>
      </c>
      <c r="T7" s="369" t="str">
        <f t="shared" si="10"/>
        <v>Q3</v>
      </c>
      <c r="U7" s="369" t="str">
        <f t="shared" si="10"/>
        <v>Q4</v>
      </c>
      <c r="V7" s="369" t="str">
        <f t="shared" si="10"/>
        <v>Q1</v>
      </c>
      <c r="W7" s="369" t="str">
        <f t="shared" si="10"/>
        <v>Q2</v>
      </c>
      <c r="X7" s="369" t="str">
        <f t="shared" si="10"/>
        <v>Q3</v>
      </c>
      <c r="Y7" s="369" t="str">
        <f t="shared" si="10"/>
        <v>Q4</v>
      </c>
      <c r="Z7" s="369" t="str">
        <f t="shared" si="10"/>
        <v>Q1</v>
      </c>
      <c r="AA7" s="369" t="str">
        <f t="shared" si="10"/>
        <v>Q2</v>
      </c>
      <c r="AB7" s="369" t="str">
        <f t="shared" si="10"/>
        <v>Q3</v>
      </c>
      <c r="AC7" s="369" t="str">
        <f t="shared" si="10"/>
        <v>Q4</v>
      </c>
      <c r="AE7" s="853"/>
      <c r="AF7" s="369" t="str">
        <f t="shared" ref="AF7:BK7" si="11">"Q"&amp; ROUNDUP(MONTH(EOMONTH(AF5,-Fiscal_Offset))/3,0)</f>
        <v>Q1</v>
      </c>
      <c r="AG7" s="369" t="str">
        <f t="shared" si="11"/>
        <v>Q1</v>
      </c>
      <c r="AH7" s="369" t="str">
        <f t="shared" si="11"/>
        <v>Q1</v>
      </c>
      <c r="AI7" s="369" t="str">
        <f t="shared" si="11"/>
        <v>Q2</v>
      </c>
      <c r="AJ7" s="369" t="str">
        <f t="shared" si="11"/>
        <v>Q2</v>
      </c>
      <c r="AK7" s="369" t="str">
        <f t="shared" si="11"/>
        <v>Q2</v>
      </c>
      <c r="AL7" s="369" t="str">
        <f t="shared" si="11"/>
        <v>Q3</v>
      </c>
      <c r="AM7" s="369" t="str">
        <f t="shared" si="11"/>
        <v>Q3</v>
      </c>
      <c r="AN7" s="369" t="str">
        <f t="shared" si="11"/>
        <v>Q3</v>
      </c>
      <c r="AO7" s="369" t="str">
        <f t="shared" si="11"/>
        <v>Q4</v>
      </c>
      <c r="AP7" s="369" t="str">
        <f t="shared" si="11"/>
        <v>Q4</v>
      </c>
      <c r="AQ7" s="369" t="str">
        <f t="shared" si="11"/>
        <v>Q4</v>
      </c>
      <c r="AR7" s="369" t="str">
        <f t="shared" si="11"/>
        <v>Q1</v>
      </c>
      <c r="AS7" s="369" t="str">
        <f t="shared" si="11"/>
        <v>Q1</v>
      </c>
      <c r="AT7" s="369" t="str">
        <f t="shared" si="11"/>
        <v>Q1</v>
      </c>
      <c r="AU7" s="369" t="str">
        <f t="shared" si="11"/>
        <v>Q2</v>
      </c>
      <c r="AV7" s="369" t="str">
        <f t="shared" si="11"/>
        <v>Q2</v>
      </c>
      <c r="AW7" s="369" t="str">
        <f t="shared" si="11"/>
        <v>Q2</v>
      </c>
      <c r="AX7" s="369" t="str">
        <f t="shared" si="11"/>
        <v>Q3</v>
      </c>
      <c r="AY7" s="369" t="str">
        <f t="shared" si="11"/>
        <v>Q3</v>
      </c>
      <c r="AZ7" s="369" t="str">
        <f t="shared" si="11"/>
        <v>Q3</v>
      </c>
      <c r="BA7" s="369" t="str">
        <f t="shared" si="11"/>
        <v>Q4</v>
      </c>
      <c r="BB7" s="369" t="str">
        <f t="shared" si="11"/>
        <v>Q4</v>
      </c>
      <c r="BC7" s="369" t="str">
        <f t="shared" si="11"/>
        <v>Q4</v>
      </c>
      <c r="BD7" s="369" t="str">
        <f t="shared" si="11"/>
        <v>Q1</v>
      </c>
      <c r="BE7" s="369" t="str">
        <f t="shared" si="11"/>
        <v>Q1</v>
      </c>
      <c r="BF7" s="369" t="str">
        <f t="shared" si="11"/>
        <v>Q1</v>
      </c>
      <c r="BG7" s="369" t="str">
        <f t="shared" si="11"/>
        <v>Q2</v>
      </c>
      <c r="BH7" s="369" t="str">
        <f t="shared" si="11"/>
        <v>Q2</v>
      </c>
      <c r="BI7" s="369" t="str">
        <f t="shared" si="11"/>
        <v>Q2</v>
      </c>
      <c r="BJ7" s="369" t="str">
        <f t="shared" si="11"/>
        <v>Q3</v>
      </c>
      <c r="BK7" s="369" t="str">
        <f t="shared" si="11"/>
        <v>Q3</v>
      </c>
      <c r="BL7" s="369" t="str">
        <f t="shared" ref="BL7:CA7" si="12">"Q"&amp; ROUNDUP(MONTH(EOMONTH(BL5,-Fiscal_Offset))/3,0)</f>
        <v>Q3</v>
      </c>
      <c r="BM7" s="369" t="str">
        <f t="shared" si="12"/>
        <v>Q4</v>
      </c>
      <c r="BN7" s="369" t="str">
        <f t="shared" si="12"/>
        <v>Q4</v>
      </c>
      <c r="BO7" s="369" t="str">
        <f t="shared" si="12"/>
        <v>Q4</v>
      </c>
      <c r="BP7" s="369" t="str">
        <f t="shared" si="12"/>
        <v>Q1</v>
      </c>
      <c r="BQ7" s="369" t="str">
        <f t="shared" si="12"/>
        <v>Q1</v>
      </c>
      <c r="BR7" s="369" t="str">
        <f t="shared" si="12"/>
        <v>Q1</v>
      </c>
      <c r="BS7" s="369" t="str">
        <f t="shared" si="12"/>
        <v>Q2</v>
      </c>
      <c r="BT7" s="369" t="str">
        <f t="shared" si="12"/>
        <v>Q2</v>
      </c>
      <c r="BU7" s="369" t="str">
        <f t="shared" si="12"/>
        <v>Q2</v>
      </c>
      <c r="BV7" s="369" t="str">
        <f t="shared" si="12"/>
        <v>Q3</v>
      </c>
      <c r="BW7" s="369" t="str">
        <f t="shared" si="12"/>
        <v>Q3</v>
      </c>
      <c r="BX7" s="369" t="str">
        <f t="shared" si="12"/>
        <v>Q3</v>
      </c>
      <c r="BY7" s="369" t="str">
        <f t="shared" si="12"/>
        <v>Q4</v>
      </c>
      <c r="BZ7" s="369" t="str">
        <f t="shared" si="12"/>
        <v>Q4</v>
      </c>
      <c r="CA7" s="369" t="str">
        <f t="shared" si="12"/>
        <v>Q4</v>
      </c>
    </row>
    <row r="8" spans="1:79" s="369" customFormat="1" ht="33.6" customHeight="1">
      <c r="B8" s="641"/>
      <c r="C8" s="642"/>
      <c r="G8" s="853"/>
      <c r="H8" s="398">
        <f>H6</f>
        <v>2023</v>
      </c>
      <c r="I8" s="398">
        <f>I6</f>
        <v>2024</v>
      </c>
      <c r="J8" s="398">
        <f>J6</f>
        <v>2025</v>
      </c>
      <c r="K8" s="398">
        <f>K6</f>
        <v>2026</v>
      </c>
      <c r="L8" s="172"/>
      <c r="M8" s="853"/>
      <c r="N8" s="397" t="str">
        <f t="shared" ref="N8:AC8" si="13">CONCATENATE(CONCATENATE(N$7," ",N$6))</f>
        <v>Q1 2023</v>
      </c>
      <c r="O8" s="397" t="str">
        <f t="shared" si="13"/>
        <v>Q2 2023</v>
      </c>
      <c r="P8" s="397" t="str">
        <f t="shared" si="13"/>
        <v>Q3 2023</v>
      </c>
      <c r="Q8" s="397" t="str">
        <f t="shared" si="13"/>
        <v>Q4 2023</v>
      </c>
      <c r="R8" s="397" t="str">
        <f t="shared" si="13"/>
        <v>Q1 2024</v>
      </c>
      <c r="S8" s="397" t="str">
        <f t="shared" si="13"/>
        <v>Q2 2024</v>
      </c>
      <c r="T8" s="397" t="str">
        <f t="shared" si="13"/>
        <v>Q3 2024</v>
      </c>
      <c r="U8" s="397" t="str">
        <f t="shared" si="13"/>
        <v>Q4 2024</v>
      </c>
      <c r="V8" s="397" t="str">
        <f t="shared" si="13"/>
        <v>Q1 2025</v>
      </c>
      <c r="W8" s="397" t="str">
        <f t="shared" si="13"/>
        <v>Q2 2025</v>
      </c>
      <c r="X8" s="397" t="str">
        <f t="shared" si="13"/>
        <v>Q3 2025</v>
      </c>
      <c r="Y8" s="397" t="str">
        <f t="shared" si="13"/>
        <v>Q4 2025</v>
      </c>
      <c r="Z8" s="397" t="str">
        <f t="shared" si="13"/>
        <v>Q1 2026</v>
      </c>
      <c r="AA8" s="397" t="str">
        <f t="shared" si="13"/>
        <v>Q2 2026</v>
      </c>
      <c r="AB8" s="397" t="str">
        <f t="shared" si="13"/>
        <v>Q3 2026</v>
      </c>
      <c r="AC8" s="397" t="str">
        <f t="shared" si="13"/>
        <v>Q4 2026</v>
      </c>
      <c r="AD8" s="396"/>
      <c r="AE8" s="853"/>
      <c r="AF8" s="395">
        <f>AF5</f>
        <v>44957</v>
      </c>
      <c r="AG8" s="395">
        <f t="shared" ref="AG8:CA8" si="14">AG5</f>
        <v>44985</v>
      </c>
      <c r="AH8" s="395">
        <f t="shared" si="14"/>
        <v>45016</v>
      </c>
      <c r="AI8" s="395">
        <f t="shared" si="14"/>
        <v>45046</v>
      </c>
      <c r="AJ8" s="395">
        <f t="shared" si="14"/>
        <v>45077</v>
      </c>
      <c r="AK8" s="395">
        <f t="shared" si="14"/>
        <v>45107</v>
      </c>
      <c r="AL8" s="395">
        <f t="shared" si="14"/>
        <v>45138</v>
      </c>
      <c r="AM8" s="395">
        <f t="shared" si="14"/>
        <v>45169</v>
      </c>
      <c r="AN8" s="395">
        <f t="shared" si="14"/>
        <v>45199</v>
      </c>
      <c r="AO8" s="395">
        <f t="shared" si="14"/>
        <v>45230</v>
      </c>
      <c r="AP8" s="395">
        <f t="shared" si="14"/>
        <v>45260</v>
      </c>
      <c r="AQ8" s="395">
        <f t="shared" si="14"/>
        <v>45291</v>
      </c>
      <c r="AR8" s="395">
        <f t="shared" si="14"/>
        <v>45322</v>
      </c>
      <c r="AS8" s="395">
        <f t="shared" si="14"/>
        <v>45351</v>
      </c>
      <c r="AT8" s="395">
        <f t="shared" si="14"/>
        <v>45382</v>
      </c>
      <c r="AU8" s="395">
        <f t="shared" si="14"/>
        <v>45412</v>
      </c>
      <c r="AV8" s="395">
        <f t="shared" si="14"/>
        <v>45443</v>
      </c>
      <c r="AW8" s="395">
        <f t="shared" si="14"/>
        <v>45473</v>
      </c>
      <c r="AX8" s="395">
        <f t="shared" si="14"/>
        <v>45504</v>
      </c>
      <c r="AY8" s="395">
        <f t="shared" si="14"/>
        <v>45535</v>
      </c>
      <c r="AZ8" s="395">
        <f t="shared" si="14"/>
        <v>45565</v>
      </c>
      <c r="BA8" s="395">
        <f t="shared" si="14"/>
        <v>45596</v>
      </c>
      <c r="BB8" s="395">
        <f t="shared" si="14"/>
        <v>45626</v>
      </c>
      <c r="BC8" s="395">
        <f t="shared" si="14"/>
        <v>45657</v>
      </c>
      <c r="BD8" s="395">
        <f t="shared" si="14"/>
        <v>45688</v>
      </c>
      <c r="BE8" s="395">
        <f t="shared" si="14"/>
        <v>45716</v>
      </c>
      <c r="BF8" s="395">
        <f t="shared" si="14"/>
        <v>45747</v>
      </c>
      <c r="BG8" s="395">
        <f t="shared" si="14"/>
        <v>45777</v>
      </c>
      <c r="BH8" s="395">
        <f t="shared" si="14"/>
        <v>45808</v>
      </c>
      <c r="BI8" s="395">
        <f t="shared" si="14"/>
        <v>45838</v>
      </c>
      <c r="BJ8" s="395">
        <f t="shared" si="14"/>
        <v>45869</v>
      </c>
      <c r="BK8" s="395">
        <f t="shared" si="14"/>
        <v>45900</v>
      </c>
      <c r="BL8" s="395">
        <f t="shared" si="14"/>
        <v>45930</v>
      </c>
      <c r="BM8" s="395">
        <f t="shared" si="14"/>
        <v>45961</v>
      </c>
      <c r="BN8" s="395">
        <f t="shared" si="14"/>
        <v>45991</v>
      </c>
      <c r="BO8" s="395">
        <f t="shared" si="14"/>
        <v>46022</v>
      </c>
      <c r="BP8" s="395">
        <f t="shared" si="14"/>
        <v>46053</v>
      </c>
      <c r="BQ8" s="395">
        <f t="shared" si="14"/>
        <v>46081</v>
      </c>
      <c r="BR8" s="395">
        <f t="shared" si="14"/>
        <v>46112</v>
      </c>
      <c r="BS8" s="395">
        <f t="shared" si="14"/>
        <v>46142</v>
      </c>
      <c r="BT8" s="395">
        <f t="shared" si="14"/>
        <v>46173</v>
      </c>
      <c r="BU8" s="395">
        <f t="shared" si="14"/>
        <v>46203</v>
      </c>
      <c r="BV8" s="395">
        <f t="shared" si="14"/>
        <v>46234</v>
      </c>
      <c r="BW8" s="395">
        <f t="shared" si="14"/>
        <v>46265</v>
      </c>
      <c r="BX8" s="395">
        <f t="shared" si="14"/>
        <v>46295</v>
      </c>
      <c r="BY8" s="395">
        <f t="shared" si="14"/>
        <v>46326</v>
      </c>
      <c r="BZ8" s="395">
        <f t="shared" si="14"/>
        <v>46356</v>
      </c>
      <c r="CA8" s="395">
        <f t="shared" si="14"/>
        <v>46387</v>
      </c>
    </row>
    <row r="9" spans="1:79" s="51" customFormat="1" ht="24">
      <c r="B9" s="635" t="s">
        <v>411</v>
      </c>
      <c r="C9" s="475"/>
      <c r="D9" s="475"/>
      <c r="E9" s="632"/>
      <c r="F9" s="50"/>
      <c r="G9" s="359"/>
      <c r="H9" s="634"/>
      <c r="I9" s="634"/>
      <c r="J9" s="634"/>
      <c r="K9" s="634"/>
      <c r="L9" s="50"/>
      <c r="M9" s="359"/>
      <c r="N9" s="634"/>
      <c r="O9" s="634"/>
      <c r="P9" s="634"/>
      <c r="Q9" s="634"/>
      <c r="R9" s="634"/>
      <c r="S9" s="634"/>
      <c r="T9" s="634"/>
      <c r="U9" s="634"/>
      <c r="V9" s="634"/>
      <c r="W9" s="634"/>
      <c r="X9" s="634"/>
      <c r="Y9" s="634"/>
      <c r="Z9" s="634"/>
      <c r="AA9" s="634"/>
      <c r="AB9" s="634"/>
      <c r="AC9" s="634"/>
      <c r="AD9" s="50"/>
      <c r="AE9" s="359"/>
      <c r="AF9" s="634"/>
      <c r="AG9" s="634"/>
      <c r="AH9" s="634"/>
      <c r="AI9" s="634"/>
      <c r="AJ9" s="634"/>
      <c r="AK9" s="634"/>
      <c r="AL9" s="634"/>
      <c r="AM9" s="634"/>
      <c r="AN9" s="634"/>
      <c r="AO9" s="634"/>
      <c r="AP9" s="634"/>
      <c r="AQ9" s="634"/>
      <c r="AR9" s="634"/>
      <c r="AS9" s="634"/>
      <c r="AT9" s="634"/>
      <c r="AU9" s="634"/>
      <c r="AV9" s="634"/>
      <c r="AW9" s="634"/>
      <c r="AX9" s="634"/>
      <c r="AY9" s="634"/>
      <c r="AZ9" s="634"/>
      <c r="BA9" s="634"/>
      <c r="BB9" s="634"/>
      <c r="BC9" s="634"/>
      <c r="BD9" s="634"/>
      <c r="BE9" s="634"/>
      <c r="BF9" s="634"/>
      <c r="BG9" s="634"/>
      <c r="BH9" s="634"/>
      <c r="BI9" s="634"/>
      <c r="BJ9" s="634"/>
      <c r="BK9" s="634"/>
      <c r="BL9" s="634"/>
      <c r="BM9" s="634"/>
      <c r="BN9" s="634"/>
      <c r="BO9" s="634"/>
      <c r="BP9" s="634"/>
      <c r="BQ9" s="634"/>
      <c r="BR9" s="634"/>
      <c r="BS9" s="634"/>
      <c r="BT9" s="634"/>
      <c r="BU9" s="634"/>
      <c r="BV9" s="634"/>
      <c r="BW9" s="634"/>
      <c r="BX9" s="634"/>
      <c r="BY9" s="634"/>
      <c r="BZ9" s="634"/>
      <c r="CA9" s="634"/>
    </row>
    <row r="10" spans="1:79" outlineLevel="1">
      <c r="D10" s="50" t="s">
        <v>456</v>
      </c>
      <c r="E10" s="646" t="s">
        <v>415</v>
      </c>
    </row>
    <row r="11" spans="1:79" outlineLevel="2">
      <c r="D11" s="647">
        <v>0</v>
      </c>
      <c r="E11" s="453">
        <v>0</v>
      </c>
    </row>
    <row r="12" spans="1:79" outlineLevel="2">
      <c r="D12" s="647">
        <f>D11-1</f>
        <v>-1</v>
      </c>
      <c r="E12" s="453">
        <v>0.5</v>
      </c>
    </row>
    <row r="13" spans="1:79" outlineLevel="2">
      <c r="D13" s="647">
        <f t="shared" ref="D13:D23" si="15">D12-1</f>
        <v>-2</v>
      </c>
      <c r="E13" s="453">
        <v>0</v>
      </c>
    </row>
    <row r="14" spans="1:79" outlineLevel="2">
      <c r="D14" s="647">
        <f t="shared" si="15"/>
        <v>-3</v>
      </c>
      <c r="E14" s="453">
        <v>0.5</v>
      </c>
    </row>
    <row r="15" spans="1:79" outlineLevel="2">
      <c r="D15" s="647">
        <f t="shared" si="15"/>
        <v>-4</v>
      </c>
      <c r="E15" s="453">
        <v>0</v>
      </c>
    </row>
    <row r="16" spans="1:79" outlineLevel="2">
      <c r="D16" s="647">
        <f t="shared" si="15"/>
        <v>-5</v>
      </c>
      <c r="E16" s="453">
        <v>0</v>
      </c>
    </row>
    <row r="17" spans="2:79" outlineLevel="2">
      <c r="D17" s="647">
        <f t="shared" si="15"/>
        <v>-6</v>
      </c>
      <c r="E17" s="453">
        <v>0</v>
      </c>
    </row>
    <row r="18" spans="2:79" outlineLevel="2">
      <c r="D18" s="647">
        <f t="shared" si="15"/>
        <v>-7</v>
      </c>
      <c r="E18" s="453">
        <v>0</v>
      </c>
    </row>
    <row r="19" spans="2:79" outlineLevel="2">
      <c r="D19" s="647">
        <f t="shared" si="15"/>
        <v>-8</v>
      </c>
      <c r="E19" s="453">
        <v>0</v>
      </c>
    </row>
    <row r="20" spans="2:79" outlineLevel="2">
      <c r="D20" s="647">
        <f t="shared" si="15"/>
        <v>-9</v>
      </c>
      <c r="E20" s="453">
        <v>0</v>
      </c>
    </row>
    <row r="21" spans="2:79" outlineLevel="2">
      <c r="D21" s="647">
        <f t="shared" si="15"/>
        <v>-10</v>
      </c>
      <c r="E21" s="453">
        <v>0</v>
      </c>
    </row>
    <row r="22" spans="2:79" outlineLevel="2">
      <c r="D22" s="647">
        <f t="shared" si="15"/>
        <v>-11</v>
      </c>
      <c r="E22" s="453">
        <v>0</v>
      </c>
    </row>
    <row r="23" spans="2:79" outlineLevel="2">
      <c r="D23" s="647">
        <f t="shared" si="15"/>
        <v>-12</v>
      </c>
      <c r="E23" s="453">
        <v>0</v>
      </c>
    </row>
    <row r="24" spans="2:79" outlineLevel="2">
      <c r="D24" s="647"/>
      <c r="E24" s="648"/>
    </row>
    <row r="25" spans="2:79" outlineLevel="1">
      <c r="D25" s="50" t="s">
        <v>457</v>
      </c>
      <c r="E25" s="646"/>
      <c r="AF25" s="660">
        <v>1000000</v>
      </c>
      <c r="AG25" s="660">
        <v>1000000</v>
      </c>
      <c r="AH25" s="660">
        <v>1000000</v>
      </c>
      <c r="AI25" s="660">
        <v>1000000</v>
      </c>
      <c r="AJ25" s="660">
        <v>1000000</v>
      </c>
      <c r="AK25" s="660">
        <v>1000000</v>
      </c>
      <c r="AL25" s="660">
        <v>1000000</v>
      </c>
      <c r="AM25" s="660">
        <v>1000000</v>
      </c>
      <c r="AN25" s="660">
        <v>1000000</v>
      </c>
      <c r="AO25" s="660">
        <v>1000000</v>
      </c>
      <c r="AP25" s="660">
        <v>1000000</v>
      </c>
      <c r="AQ25" s="660">
        <v>1000000</v>
      </c>
      <c r="AR25" s="660">
        <v>1000000</v>
      </c>
      <c r="AS25" s="660">
        <v>1000000</v>
      </c>
      <c r="AT25" s="660">
        <v>1000000</v>
      </c>
      <c r="AU25" s="660">
        <v>1000000</v>
      </c>
      <c r="AV25" s="660">
        <v>1000000</v>
      </c>
      <c r="AW25" s="660">
        <v>1000000</v>
      </c>
      <c r="AX25" s="660">
        <v>1000000</v>
      </c>
      <c r="AY25" s="660">
        <v>1000000</v>
      </c>
      <c r="AZ25" s="660">
        <v>1000000</v>
      </c>
      <c r="BA25" s="660">
        <v>1000000</v>
      </c>
      <c r="BB25" s="660">
        <v>1000000</v>
      </c>
      <c r="BC25" s="660">
        <v>1000000</v>
      </c>
      <c r="BD25" s="660">
        <v>1000000</v>
      </c>
      <c r="BE25" s="660">
        <v>1000000</v>
      </c>
      <c r="BF25" s="660">
        <v>1000000</v>
      </c>
      <c r="BG25" s="660">
        <v>1000000</v>
      </c>
      <c r="BH25" s="660">
        <v>1000000</v>
      </c>
      <c r="BI25" s="660">
        <v>1000000</v>
      </c>
      <c r="BJ25" s="660">
        <v>1000000</v>
      </c>
      <c r="BK25" s="660">
        <v>1000000</v>
      </c>
      <c r="BL25" s="660">
        <v>1000000</v>
      </c>
      <c r="BM25" s="660">
        <v>1000000</v>
      </c>
      <c r="BN25" s="660">
        <v>1000000</v>
      </c>
      <c r="BO25" s="660">
        <v>1000000</v>
      </c>
      <c r="BP25" s="660">
        <v>1000000</v>
      </c>
      <c r="BQ25" s="660">
        <v>1000000</v>
      </c>
      <c r="BR25" s="660">
        <v>1000000</v>
      </c>
      <c r="BS25" s="660">
        <v>1000000</v>
      </c>
      <c r="BT25" s="660">
        <v>1000000</v>
      </c>
      <c r="BU25" s="660">
        <v>1000000</v>
      </c>
      <c r="BV25" s="660">
        <v>1000000</v>
      </c>
      <c r="BW25" s="660">
        <v>1000000</v>
      </c>
      <c r="BX25" s="660">
        <v>1000000</v>
      </c>
      <c r="BY25" s="660">
        <v>1000000</v>
      </c>
      <c r="BZ25" s="660">
        <v>1000000</v>
      </c>
      <c r="CA25" s="660">
        <v>1000000</v>
      </c>
    </row>
    <row r="26" spans="2:79">
      <c r="D26" s="455"/>
      <c r="E26" s="648"/>
      <c r="G26" s="359"/>
    </row>
    <row r="27" spans="2:79" s="51" customFormat="1" ht="24">
      <c r="B27" s="635" t="s">
        <v>418</v>
      </c>
      <c r="C27" s="475"/>
      <c r="D27" s="475"/>
      <c r="E27" s="632"/>
      <c r="F27" s="50"/>
      <c r="G27" s="359"/>
      <c r="H27" s="634"/>
      <c r="I27" s="634"/>
      <c r="J27" s="634"/>
      <c r="K27" s="634"/>
      <c r="L27" s="50"/>
      <c r="M27" s="359"/>
      <c r="N27" s="634"/>
      <c r="O27" s="634"/>
      <c r="P27" s="634"/>
      <c r="Q27" s="634"/>
      <c r="R27" s="634"/>
      <c r="S27" s="634"/>
      <c r="T27" s="634"/>
      <c r="U27" s="634"/>
      <c r="V27" s="634"/>
      <c r="W27" s="634"/>
      <c r="X27" s="634"/>
      <c r="Y27" s="634"/>
      <c r="Z27" s="634"/>
      <c r="AA27" s="634"/>
      <c r="AB27" s="634"/>
      <c r="AC27" s="634"/>
      <c r="AD27" s="50"/>
      <c r="AE27" s="359"/>
      <c r="AF27" s="634"/>
      <c r="AG27" s="634"/>
      <c r="AH27" s="634"/>
      <c r="AI27" s="634"/>
      <c r="AJ27" s="634"/>
      <c r="AK27" s="634"/>
      <c r="AL27" s="634"/>
      <c r="AM27" s="634"/>
      <c r="AN27" s="634"/>
      <c r="AO27" s="634"/>
      <c r="AP27" s="634"/>
      <c r="AQ27" s="634"/>
      <c r="AR27" s="634"/>
      <c r="AS27" s="634"/>
      <c r="AT27" s="634"/>
      <c r="AU27" s="634"/>
      <c r="AV27" s="634"/>
      <c r="AW27" s="634"/>
      <c r="AX27" s="634"/>
      <c r="AY27" s="634"/>
      <c r="AZ27" s="634"/>
      <c r="BA27" s="634"/>
      <c r="BB27" s="634"/>
      <c r="BC27" s="634"/>
      <c r="BD27" s="634"/>
      <c r="BE27" s="634"/>
      <c r="BF27" s="634"/>
      <c r="BG27" s="634"/>
      <c r="BH27" s="634"/>
      <c r="BI27" s="634"/>
      <c r="BJ27" s="634"/>
      <c r="BK27" s="634"/>
      <c r="BL27" s="634"/>
      <c r="BM27" s="634"/>
      <c r="BN27" s="634"/>
      <c r="BO27" s="634"/>
      <c r="BP27" s="634"/>
      <c r="BQ27" s="634"/>
      <c r="BR27" s="634"/>
      <c r="BS27" s="634"/>
      <c r="BT27" s="634"/>
      <c r="BU27" s="634"/>
      <c r="BV27" s="634"/>
      <c r="BW27" s="634"/>
      <c r="BX27" s="634"/>
      <c r="BY27" s="634"/>
      <c r="BZ27" s="634"/>
      <c r="CA27" s="634"/>
    </row>
    <row r="28" spans="2:79" ht="15" outlineLevel="1">
      <c r="B28" s="367"/>
      <c r="C28" s="523"/>
      <c r="D28" s="419" t="s">
        <v>80</v>
      </c>
      <c r="E28" s="523"/>
      <c r="G28" s="359"/>
      <c r="H28" s="408">
        <f>SUMIFS($AF28:$CA28,$AF$4:$CA$4,"&gt;="&amp;H$4,$AF$5:$CA$5,"&lt;="&amp;H$5)</f>
        <v>0</v>
      </c>
      <c r="I28" s="408">
        <f>SUMIFS($AF28:$CA28,$AF$4:$CA$4,"&gt;="&amp;I$4,$AF$5:$CA$5,"&lt;="&amp;I$5)</f>
        <v>0</v>
      </c>
      <c r="J28" s="408">
        <f>SUMIFS($AF28:$CA28,$AF$4:$CA$4,"&gt;="&amp;J$4,$AF$5:$CA$5,"&lt;="&amp;J$5)</f>
        <v>30000</v>
      </c>
      <c r="K28" s="408">
        <f>SUMIFS($AF28:$CA28,$AF$4:$CA$4,"&gt;="&amp;K$4,$AF$5:$CA$5,"&lt;="&amp;K$5)</f>
        <v>360000</v>
      </c>
      <c r="L28" s="643"/>
      <c r="M28" s="644"/>
      <c r="N28" s="408">
        <f t="shared" ref="N28:AC28" si="16">SUMIFS($AF28:$CA28,$AF$4:$CA$4,"&gt;="&amp;N$4,$AF$5:$CA$5,"&lt;="&amp;N$5)</f>
        <v>0</v>
      </c>
      <c r="O28" s="408">
        <f t="shared" si="16"/>
        <v>0</v>
      </c>
      <c r="P28" s="408">
        <f t="shared" si="16"/>
        <v>0</v>
      </c>
      <c r="Q28" s="408">
        <f t="shared" si="16"/>
        <v>0</v>
      </c>
      <c r="R28" s="408">
        <f t="shared" si="16"/>
        <v>0</v>
      </c>
      <c r="S28" s="408">
        <f t="shared" si="16"/>
        <v>0</v>
      </c>
      <c r="T28" s="408">
        <f t="shared" si="16"/>
        <v>0</v>
      </c>
      <c r="U28" s="408">
        <f t="shared" si="16"/>
        <v>0</v>
      </c>
      <c r="V28" s="408">
        <f t="shared" si="16"/>
        <v>0</v>
      </c>
      <c r="W28" s="408">
        <f t="shared" si="16"/>
        <v>0</v>
      </c>
      <c r="X28" s="408">
        <f t="shared" si="16"/>
        <v>0</v>
      </c>
      <c r="Y28" s="408">
        <f t="shared" si="16"/>
        <v>30000</v>
      </c>
      <c r="Z28" s="408">
        <f t="shared" si="16"/>
        <v>90000</v>
      </c>
      <c r="AA28" s="408">
        <f t="shared" si="16"/>
        <v>90000</v>
      </c>
      <c r="AB28" s="408">
        <f t="shared" si="16"/>
        <v>90000</v>
      </c>
      <c r="AC28" s="408">
        <f t="shared" si="16"/>
        <v>90000</v>
      </c>
      <c r="AE28" s="359"/>
      <c r="AF28" s="663">
        <f>IF(AF$8&lt;=LatestMonthOfActuals,0,AF90)</f>
        <v>0</v>
      </c>
      <c r="AG28" s="657">
        <f t="shared" ref="AG28:AJ28" si="17">IF(AG$8&lt;=LatestMonthOfActuals,0,AG90)</f>
        <v>0</v>
      </c>
      <c r="AH28" s="657">
        <f t="shared" si="17"/>
        <v>0</v>
      </c>
      <c r="AI28" s="657">
        <f t="shared" si="17"/>
        <v>0</v>
      </c>
      <c r="AJ28" s="657">
        <f t="shared" si="17"/>
        <v>0</v>
      </c>
      <c r="AK28" s="657">
        <f t="shared" ref="AK28:BN28" si="18">IF(AK$8&lt;=LatestMonthOfActuals,0,AK90)</f>
        <v>0</v>
      </c>
      <c r="AL28" s="657">
        <f t="shared" si="18"/>
        <v>0</v>
      </c>
      <c r="AM28" s="657">
        <f t="shared" si="18"/>
        <v>0</v>
      </c>
      <c r="AN28" s="657">
        <f t="shared" si="18"/>
        <v>0</v>
      </c>
      <c r="AO28" s="657">
        <f t="shared" si="18"/>
        <v>0</v>
      </c>
      <c r="AP28" s="657">
        <f t="shared" si="18"/>
        <v>0</v>
      </c>
      <c r="AQ28" s="657">
        <f t="shared" si="18"/>
        <v>0</v>
      </c>
      <c r="AR28" s="657">
        <f t="shared" si="18"/>
        <v>0</v>
      </c>
      <c r="AS28" s="657">
        <f t="shared" si="18"/>
        <v>0</v>
      </c>
      <c r="AT28" s="657">
        <f t="shared" si="18"/>
        <v>0</v>
      </c>
      <c r="AU28" s="657">
        <f t="shared" si="18"/>
        <v>0</v>
      </c>
      <c r="AV28" s="657">
        <f t="shared" si="18"/>
        <v>0</v>
      </c>
      <c r="AW28" s="657">
        <f t="shared" si="18"/>
        <v>0</v>
      </c>
      <c r="AX28" s="657">
        <f t="shared" si="18"/>
        <v>0</v>
      </c>
      <c r="AY28" s="657">
        <f t="shared" si="18"/>
        <v>0</v>
      </c>
      <c r="AZ28" s="657">
        <f t="shared" si="18"/>
        <v>0</v>
      </c>
      <c r="BA28" s="657">
        <f t="shared" si="18"/>
        <v>0</v>
      </c>
      <c r="BB28" s="657">
        <f t="shared" si="18"/>
        <v>0</v>
      </c>
      <c r="BC28" s="657">
        <f t="shared" si="18"/>
        <v>0</v>
      </c>
      <c r="BD28" s="657">
        <f t="shared" si="18"/>
        <v>0</v>
      </c>
      <c r="BE28" s="657">
        <f t="shared" si="18"/>
        <v>0</v>
      </c>
      <c r="BF28" s="657">
        <f t="shared" si="18"/>
        <v>0</v>
      </c>
      <c r="BG28" s="657">
        <f t="shared" si="18"/>
        <v>0</v>
      </c>
      <c r="BH28" s="657">
        <f t="shared" si="18"/>
        <v>0</v>
      </c>
      <c r="BI28" s="657">
        <f t="shared" si="18"/>
        <v>0</v>
      </c>
      <c r="BJ28" s="657">
        <f t="shared" si="18"/>
        <v>0</v>
      </c>
      <c r="BK28" s="657">
        <f t="shared" si="18"/>
        <v>0</v>
      </c>
      <c r="BL28" s="657">
        <f t="shared" si="18"/>
        <v>0</v>
      </c>
      <c r="BM28" s="657">
        <f t="shared" si="18"/>
        <v>0</v>
      </c>
      <c r="BN28" s="657">
        <f t="shared" si="18"/>
        <v>0</v>
      </c>
      <c r="BO28" s="657">
        <f>IF(BO$8&lt;=LatestMonthOfActuals,0,BO90)</f>
        <v>30000</v>
      </c>
      <c r="BP28" s="657">
        <f t="shared" ref="BP28:CA28" si="19">IF(BP$8&lt;=LatestMonthOfActuals,0,BP90)</f>
        <v>30000</v>
      </c>
      <c r="BQ28" s="657">
        <f t="shared" si="19"/>
        <v>30000</v>
      </c>
      <c r="BR28" s="657">
        <f t="shared" si="19"/>
        <v>30000</v>
      </c>
      <c r="BS28" s="657">
        <f t="shared" si="19"/>
        <v>30000</v>
      </c>
      <c r="BT28" s="657">
        <f t="shared" si="19"/>
        <v>30000</v>
      </c>
      <c r="BU28" s="657">
        <f t="shared" si="19"/>
        <v>30000</v>
      </c>
      <c r="BV28" s="657">
        <f t="shared" si="19"/>
        <v>30000</v>
      </c>
      <c r="BW28" s="657">
        <f t="shared" si="19"/>
        <v>30000</v>
      </c>
      <c r="BX28" s="657">
        <f t="shared" si="19"/>
        <v>30000</v>
      </c>
      <c r="BY28" s="657">
        <f t="shared" si="19"/>
        <v>30000</v>
      </c>
      <c r="BZ28" s="657">
        <f t="shared" si="19"/>
        <v>30000</v>
      </c>
      <c r="CA28" s="657">
        <f t="shared" si="19"/>
        <v>30000</v>
      </c>
    </row>
    <row r="29" spans="2:79" ht="15">
      <c r="B29" s="367"/>
      <c r="C29" s="523"/>
      <c r="D29" s="419"/>
      <c r="E29" s="523"/>
      <c r="G29" s="359"/>
      <c r="H29" s="408"/>
      <c r="I29" s="408"/>
      <c r="J29" s="408"/>
      <c r="K29" s="408"/>
      <c r="L29" s="643"/>
      <c r="M29" s="644"/>
      <c r="N29" s="408"/>
      <c r="O29" s="408"/>
      <c r="P29" s="408"/>
      <c r="Q29" s="408"/>
      <c r="R29" s="408"/>
      <c r="S29" s="408"/>
      <c r="T29" s="408"/>
      <c r="U29" s="408"/>
      <c r="V29" s="408"/>
      <c r="W29" s="408"/>
      <c r="X29" s="408"/>
      <c r="Y29" s="408"/>
      <c r="Z29" s="408"/>
      <c r="AA29" s="408"/>
      <c r="AB29" s="408"/>
      <c r="AC29" s="408"/>
      <c r="AE29" s="359"/>
      <c r="AF29" s="645"/>
      <c r="AG29" s="645"/>
      <c r="AH29" s="645"/>
      <c r="AI29" s="645"/>
      <c r="AJ29" s="645"/>
      <c r="AK29" s="645"/>
      <c r="AL29" s="645"/>
      <c r="AM29" s="645"/>
      <c r="AN29" s="645"/>
      <c r="AO29" s="645"/>
      <c r="AP29" s="645"/>
      <c r="AQ29" s="645"/>
      <c r="AR29" s="645"/>
      <c r="AS29" s="645"/>
      <c r="AT29" s="645"/>
      <c r="AU29" s="645"/>
      <c r="AV29" s="645"/>
      <c r="AW29" s="645"/>
      <c r="AX29" s="645"/>
      <c r="AY29" s="645"/>
      <c r="AZ29" s="645"/>
      <c r="BA29" s="645"/>
      <c r="BB29" s="645"/>
      <c r="BC29" s="645"/>
      <c r="BD29" s="645"/>
      <c r="BE29" s="645"/>
      <c r="BF29" s="645"/>
      <c r="BG29" s="645"/>
      <c r="BH29" s="645"/>
      <c r="BI29" s="645"/>
      <c r="BJ29" s="645"/>
      <c r="BK29" s="645"/>
      <c r="BL29" s="645"/>
      <c r="BM29" s="645"/>
      <c r="BN29" s="645"/>
      <c r="BO29" s="645"/>
      <c r="BP29" s="645"/>
      <c r="BQ29" s="645"/>
      <c r="BR29" s="645"/>
      <c r="BS29" s="645"/>
      <c r="BT29" s="645"/>
      <c r="BU29" s="645"/>
      <c r="BV29" s="645"/>
      <c r="BW29" s="645"/>
      <c r="BX29" s="645"/>
      <c r="BY29" s="645"/>
      <c r="BZ29" s="645"/>
      <c r="CA29" s="645"/>
    </row>
    <row r="30" spans="2:79" s="51" customFormat="1" ht="24">
      <c r="B30" s="635" t="s">
        <v>260</v>
      </c>
      <c r="C30" s="475"/>
      <c r="D30" s="475"/>
      <c r="E30" s="632"/>
      <c r="F30" s="50"/>
      <c r="G30" s="359"/>
      <c r="H30" s="634"/>
      <c r="I30" s="634"/>
      <c r="J30" s="634"/>
      <c r="K30" s="634"/>
      <c r="L30" s="50"/>
      <c r="M30" s="359"/>
      <c r="N30" s="634"/>
      <c r="O30" s="634"/>
      <c r="P30" s="634"/>
      <c r="Q30" s="634"/>
      <c r="R30" s="634"/>
      <c r="S30" s="634"/>
      <c r="T30" s="634"/>
      <c r="U30" s="634"/>
      <c r="V30" s="634"/>
      <c r="W30" s="634"/>
      <c r="X30" s="634"/>
      <c r="Y30" s="634"/>
      <c r="Z30" s="634"/>
      <c r="AA30" s="634"/>
      <c r="AB30" s="634"/>
      <c r="AC30" s="634"/>
      <c r="AD30" s="50"/>
      <c r="AE30" s="359"/>
      <c r="AF30" s="634"/>
      <c r="AG30" s="634"/>
      <c r="AH30" s="634"/>
      <c r="AI30" s="634"/>
      <c r="AJ30" s="634"/>
      <c r="AK30" s="634"/>
      <c r="AL30" s="634"/>
      <c r="AM30" s="634"/>
      <c r="AN30" s="634"/>
      <c r="AO30" s="634"/>
      <c r="AP30" s="634"/>
      <c r="AQ30" s="634"/>
      <c r="AR30" s="634"/>
      <c r="AS30" s="634"/>
      <c r="AT30" s="634"/>
      <c r="AU30" s="634"/>
      <c r="AV30" s="634"/>
      <c r="AW30" s="634"/>
      <c r="AX30" s="634"/>
      <c r="AY30" s="634"/>
      <c r="AZ30" s="634"/>
      <c r="BA30" s="634"/>
      <c r="BB30" s="634"/>
      <c r="BC30" s="634"/>
      <c r="BD30" s="634"/>
      <c r="BE30" s="634"/>
      <c r="BF30" s="634"/>
      <c r="BG30" s="634"/>
      <c r="BH30" s="634"/>
      <c r="BI30" s="634"/>
      <c r="BJ30" s="634"/>
      <c r="BK30" s="634"/>
      <c r="BL30" s="634"/>
      <c r="BM30" s="634"/>
      <c r="BN30" s="634"/>
      <c r="BO30" s="634"/>
      <c r="BP30" s="634"/>
      <c r="BQ30" s="634"/>
      <c r="BR30" s="634"/>
      <c r="BS30" s="634"/>
      <c r="BT30" s="634"/>
      <c r="BU30" s="634"/>
      <c r="BV30" s="634"/>
      <c r="BW30" s="634"/>
      <c r="BX30" s="634"/>
      <c r="BY30" s="634"/>
      <c r="BZ30" s="634"/>
      <c r="CA30" s="634"/>
    </row>
    <row r="31" spans="2:79" outlineLevel="1" collapsed="1">
      <c r="D31" s="455" t="s">
        <v>458</v>
      </c>
      <c r="E31" s="651" t="s">
        <v>415</v>
      </c>
      <c r="G31" s="359"/>
      <c r="H31" s="433">
        <f>SUM(H33:H80)</f>
        <v>0</v>
      </c>
      <c r="I31" s="433">
        <f>SUM(I33:I80)</f>
        <v>0</v>
      </c>
      <c r="J31" s="433">
        <f>SUM(J33:J80)</f>
        <v>90000</v>
      </c>
      <c r="K31" s="433">
        <f>SUM(K33:K80)</f>
        <v>300000</v>
      </c>
      <c r="L31" s="643"/>
      <c r="M31" s="644"/>
      <c r="N31" s="433">
        <f t="shared" ref="N31:AC31" si="20">SUM(N33:N80)</f>
        <v>0</v>
      </c>
      <c r="O31" s="433">
        <f t="shared" si="20"/>
        <v>0</v>
      </c>
      <c r="P31" s="433">
        <f t="shared" si="20"/>
        <v>0</v>
      </c>
      <c r="Q31" s="433">
        <f t="shared" si="20"/>
        <v>0</v>
      </c>
      <c r="R31" s="433">
        <f t="shared" si="20"/>
        <v>0</v>
      </c>
      <c r="S31" s="433">
        <f t="shared" si="20"/>
        <v>0</v>
      </c>
      <c r="T31" s="433">
        <f t="shared" si="20"/>
        <v>0</v>
      </c>
      <c r="U31" s="433">
        <f t="shared" si="20"/>
        <v>0</v>
      </c>
      <c r="V31" s="433">
        <f t="shared" si="20"/>
        <v>0</v>
      </c>
      <c r="W31" s="433">
        <f t="shared" si="20"/>
        <v>0</v>
      </c>
      <c r="X31" s="433">
        <f t="shared" si="20"/>
        <v>15000</v>
      </c>
      <c r="Y31" s="433">
        <f t="shared" si="20"/>
        <v>75000</v>
      </c>
      <c r="Z31" s="433">
        <f t="shared" si="20"/>
        <v>90000</v>
      </c>
      <c r="AA31" s="433">
        <f t="shared" si="20"/>
        <v>90000</v>
      </c>
      <c r="AB31" s="433">
        <f t="shared" si="20"/>
        <v>90000</v>
      </c>
      <c r="AC31" s="433">
        <f t="shared" si="20"/>
        <v>30000</v>
      </c>
      <c r="AF31" s="433">
        <f>IF(AF$8&lt;=LatestMonthOfActuals,0,SUM(AF33:AF80))</f>
        <v>0</v>
      </c>
      <c r="AG31" s="433">
        <f t="shared" ref="AG31:CA31" si="21">IF(AG$8&lt;=LatestMonthOfActuals,0,SUM(AG33:AG80))</f>
        <v>0</v>
      </c>
      <c r="AH31" s="433">
        <f t="shared" si="21"/>
        <v>0</v>
      </c>
      <c r="AI31" s="433">
        <f t="shared" si="21"/>
        <v>0</v>
      </c>
      <c r="AJ31" s="433">
        <f t="shared" si="21"/>
        <v>0</v>
      </c>
      <c r="AK31" s="433">
        <f t="shared" si="21"/>
        <v>0</v>
      </c>
      <c r="AL31" s="433">
        <f t="shared" si="21"/>
        <v>0</v>
      </c>
      <c r="AM31" s="433">
        <f t="shared" si="21"/>
        <v>0</v>
      </c>
      <c r="AN31" s="433">
        <f t="shared" si="21"/>
        <v>0</v>
      </c>
      <c r="AO31" s="433">
        <f t="shared" si="21"/>
        <v>0</v>
      </c>
      <c r="AP31" s="433">
        <f t="shared" si="21"/>
        <v>0</v>
      </c>
      <c r="AQ31" s="433">
        <f t="shared" si="21"/>
        <v>0</v>
      </c>
      <c r="AR31" s="433">
        <f t="shared" si="21"/>
        <v>0</v>
      </c>
      <c r="AS31" s="433">
        <f t="shared" si="21"/>
        <v>0</v>
      </c>
      <c r="AT31" s="433">
        <f t="shared" si="21"/>
        <v>0</v>
      </c>
      <c r="AU31" s="433">
        <f t="shared" si="21"/>
        <v>0</v>
      </c>
      <c r="AV31" s="433">
        <f t="shared" si="21"/>
        <v>0</v>
      </c>
      <c r="AW31" s="433">
        <f t="shared" si="21"/>
        <v>0</v>
      </c>
      <c r="AX31" s="433">
        <f t="shared" si="21"/>
        <v>0</v>
      </c>
      <c r="AY31" s="433">
        <f t="shared" si="21"/>
        <v>0</v>
      </c>
      <c r="AZ31" s="433">
        <f t="shared" si="21"/>
        <v>0</v>
      </c>
      <c r="BA31" s="433">
        <f t="shared" si="21"/>
        <v>0</v>
      </c>
      <c r="BB31" s="433">
        <f t="shared" si="21"/>
        <v>0</v>
      </c>
      <c r="BC31" s="433">
        <f t="shared" si="21"/>
        <v>0</v>
      </c>
      <c r="BD31" s="433">
        <f t="shared" si="21"/>
        <v>0</v>
      </c>
      <c r="BE31" s="433">
        <f t="shared" si="21"/>
        <v>0</v>
      </c>
      <c r="BF31" s="433">
        <f t="shared" si="21"/>
        <v>0</v>
      </c>
      <c r="BG31" s="433">
        <f t="shared" si="21"/>
        <v>0</v>
      </c>
      <c r="BH31" s="433">
        <f t="shared" si="21"/>
        <v>0</v>
      </c>
      <c r="BI31" s="433">
        <f t="shared" si="21"/>
        <v>0</v>
      </c>
      <c r="BJ31" s="433">
        <f t="shared" si="21"/>
        <v>0</v>
      </c>
      <c r="BK31" s="433">
        <f t="shared" si="21"/>
        <v>0</v>
      </c>
      <c r="BL31" s="433">
        <f t="shared" si="21"/>
        <v>0</v>
      </c>
      <c r="BM31" s="433">
        <f t="shared" si="21"/>
        <v>0</v>
      </c>
      <c r="BN31" s="433">
        <f t="shared" si="21"/>
        <v>0</v>
      </c>
      <c r="BO31" s="433">
        <f t="shared" si="21"/>
        <v>30000</v>
      </c>
      <c r="BP31" s="433">
        <f t="shared" si="21"/>
        <v>30000</v>
      </c>
      <c r="BQ31" s="433">
        <f t="shared" si="21"/>
        <v>30000</v>
      </c>
      <c r="BR31" s="433">
        <f t="shared" si="21"/>
        <v>30000</v>
      </c>
      <c r="BS31" s="433">
        <f t="shared" si="21"/>
        <v>30000</v>
      </c>
      <c r="BT31" s="433">
        <f t="shared" si="21"/>
        <v>30000</v>
      </c>
      <c r="BU31" s="433">
        <f t="shared" si="21"/>
        <v>30000</v>
      </c>
      <c r="BV31" s="433">
        <f t="shared" si="21"/>
        <v>30000</v>
      </c>
      <c r="BW31" s="433">
        <f t="shared" si="21"/>
        <v>30000</v>
      </c>
      <c r="BX31" s="433">
        <f t="shared" si="21"/>
        <v>30000</v>
      </c>
      <c r="BY31" s="433">
        <f t="shared" si="21"/>
        <v>15000</v>
      </c>
      <c r="BZ31" s="433">
        <f t="shared" si="21"/>
        <v>15000</v>
      </c>
      <c r="CA31" s="433">
        <f t="shared" si="21"/>
        <v>0</v>
      </c>
    </row>
    <row r="32" spans="2:79" hidden="1" outlineLevel="2">
      <c r="D32" s="455"/>
      <c r="E32" s="651"/>
      <c r="G32" s="359"/>
      <c r="H32" s="649"/>
      <c r="I32" s="649"/>
      <c r="J32" s="649"/>
      <c r="K32" s="649"/>
      <c r="L32" s="643"/>
      <c r="M32" s="644"/>
      <c r="N32" s="649"/>
      <c r="O32" s="649"/>
      <c r="P32" s="649"/>
      <c r="Q32" s="649"/>
      <c r="R32" s="649"/>
      <c r="S32" s="649"/>
      <c r="T32" s="649"/>
      <c r="U32" s="649"/>
      <c r="V32" s="649"/>
      <c r="W32" s="649"/>
      <c r="X32" s="649"/>
      <c r="Y32" s="649"/>
      <c r="Z32" s="649"/>
      <c r="AA32" s="649"/>
      <c r="AB32" s="649"/>
      <c r="AC32" s="649"/>
      <c r="AF32" s="652"/>
      <c r="AG32" s="652"/>
      <c r="AH32" s="652"/>
      <c r="AI32" s="652"/>
      <c r="AJ32" s="652"/>
      <c r="AK32" s="652"/>
      <c r="AL32" s="652"/>
      <c r="AM32" s="652"/>
      <c r="AN32" s="652"/>
      <c r="AO32" s="652"/>
      <c r="AP32" s="652"/>
      <c r="AQ32" s="652"/>
      <c r="AR32" s="652"/>
      <c r="AS32" s="652"/>
      <c r="AT32" s="652"/>
      <c r="AU32" s="652"/>
      <c r="AV32" s="652"/>
      <c r="AW32" s="652"/>
      <c r="AX32" s="652"/>
      <c r="AY32" s="652"/>
      <c r="AZ32" s="652"/>
      <c r="BA32" s="652"/>
      <c r="BB32" s="652"/>
      <c r="BC32" s="652"/>
      <c r="BD32" s="652"/>
      <c r="BE32" s="652"/>
      <c r="BF32" s="652"/>
      <c r="BG32" s="652"/>
      <c r="BH32" s="652"/>
      <c r="BI32" s="652"/>
      <c r="BJ32" s="652"/>
      <c r="BK32" s="652"/>
      <c r="BL32" s="652"/>
      <c r="BM32" s="652"/>
      <c r="BN32" s="652"/>
      <c r="BO32" s="652"/>
      <c r="BP32" s="652"/>
      <c r="BQ32" s="652"/>
      <c r="BR32" s="652"/>
      <c r="BS32" s="652"/>
      <c r="BT32" s="652"/>
      <c r="BU32" s="652"/>
      <c r="BV32" s="652"/>
      <c r="BW32" s="652"/>
      <c r="BX32" s="652"/>
      <c r="BY32" s="652"/>
      <c r="BZ32" s="652"/>
      <c r="CA32" s="652"/>
    </row>
    <row r="33" spans="2:79" ht="21" hidden="1" customHeight="1" outlineLevel="2">
      <c r="B33" s="367"/>
      <c r="C33" s="370"/>
      <c r="D33" s="374" cm="1">
        <f t="array" ref="D33">EOM_Start_Date</f>
        <v>44957</v>
      </c>
      <c r="E33" s="653" cm="1">
        <f t="array" ref="E33">IF($D33&lt;=LatestMonthOfActuals,0,INDEX($AF$28:$CA$28,0,MATCH($D33,$AF$8:$CA$8,0)))</f>
        <v>0</v>
      </c>
      <c r="F33" s="643"/>
      <c r="G33" s="644"/>
      <c r="H33" s="408">
        <f t="shared" ref="H33:K52" si="22">SUMIFS($AF33:$CA33,$AF$4:$CA$4,"&gt;="&amp;H$4,$AF$5:$CA$5,"&lt;="&amp;H$5)</f>
        <v>0</v>
      </c>
      <c r="I33" s="408">
        <f t="shared" si="22"/>
        <v>0</v>
      </c>
      <c r="J33" s="408">
        <f t="shared" si="22"/>
        <v>0</v>
      </c>
      <c r="K33" s="408">
        <f t="shared" si="22"/>
        <v>0</v>
      </c>
      <c r="L33" s="643"/>
      <c r="M33" s="644"/>
      <c r="N33" s="408">
        <f t="shared" ref="N33:AC42" si="23">SUMIFS($AF33:$CA33,$AF$4:$CA$4,"&gt;="&amp;N$4,$AF$5:$CA$5,"&lt;="&amp;N$5)</f>
        <v>0</v>
      </c>
      <c r="O33" s="408">
        <f t="shared" si="23"/>
        <v>0</v>
      </c>
      <c r="P33" s="408">
        <f t="shared" si="23"/>
        <v>0</v>
      </c>
      <c r="Q33" s="408">
        <f t="shared" si="23"/>
        <v>0</v>
      </c>
      <c r="R33" s="408">
        <f t="shared" si="23"/>
        <v>0</v>
      </c>
      <c r="S33" s="408">
        <f t="shared" si="23"/>
        <v>0</v>
      </c>
      <c r="T33" s="408">
        <f t="shared" si="23"/>
        <v>0</v>
      </c>
      <c r="U33" s="408">
        <f t="shared" si="23"/>
        <v>0</v>
      </c>
      <c r="V33" s="408">
        <f t="shared" si="23"/>
        <v>0</v>
      </c>
      <c r="W33" s="408">
        <f t="shared" si="23"/>
        <v>0</v>
      </c>
      <c r="X33" s="408">
        <f t="shared" si="23"/>
        <v>0</v>
      </c>
      <c r="Y33" s="408">
        <f t="shared" si="23"/>
        <v>0</v>
      </c>
      <c r="Z33" s="408">
        <f t="shared" si="23"/>
        <v>0</v>
      </c>
      <c r="AA33" s="408">
        <f t="shared" si="23"/>
        <v>0</v>
      </c>
      <c r="AB33" s="408">
        <f t="shared" si="23"/>
        <v>0</v>
      </c>
      <c r="AC33" s="408">
        <f t="shared" si="23"/>
        <v>0</v>
      </c>
      <c r="AD33" s="643"/>
      <c r="AE33" s="644"/>
      <c r="AF33" s="654" cm="1">
        <f t="array" ref="AF33">$E33*IFERROR(INDEX($E$11:$E$23,MATCH(MATCH(AF$8,$AF$8:$CA$8,0)-MATCH($D33,$D$33:$D$80,0),$D$11:$D$23,0),0),0)</f>
        <v>0</v>
      </c>
      <c r="AG33" s="654" cm="1">
        <f t="array" ref="AG33">$E33*IFERROR(INDEX($E$11:$E$23,MATCH(MATCH(AG$8,$AF$8:$CA$8,0)-MATCH($D33,$D$33:$D$80,0),$D$11:$D$23,0),0),0)</f>
        <v>0</v>
      </c>
      <c r="AH33" s="654" cm="1">
        <f t="array" ref="AH33">$E33*IFERROR(INDEX($E$11:$E$23,MATCH(MATCH(AH$8,$AF$8:$CA$8,0)-MATCH($D33,$D$33:$D$80,0),$D$11:$D$23,0),0),0)</f>
        <v>0</v>
      </c>
      <c r="AI33" s="654" cm="1">
        <f t="array" ref="AI33">$E33*IFERROR(INDEX($E$11:$E$23,MATCH(MATCH(AI$8,$AF$8:$CA$8,0)-MATCH($D33,$D$33:$D$80,0),$D$11:$D$23,0),0),0)</f>
        <v>0</v>
      </c>
      <c r="AJ33" s="654" cm="1">
        <f t="array" ref="AJ33">$E33*IFERROR(INDEX($E$11:$E$23,MATCH(MATCH(AJ$8,$AF$8:$CA$8,0)-MATCH($D33,$D$33:$D$80,0),$D$11:$D$23,0),0),0)</f>
        <v>0</v>
      </c>
      <c r="AK33" s="654" cm="1">
        <f t="array" ref="AK33">$E33*IFERROR(INDEX($E$11:$E$23,MATCH(MATCH(AK$8,$AF$8:$CA$8,0)-MATCH($D33,$D$33:$D$80,0),$D$11:$D$23,0),0),0)</f>
        <v>0</v>
      </c>
      <c r="AL33" s="654" cm="1">
        <f t="array" ref="AL33">$E33*IFERROR(INDEX($E$11:$E$23,MATCH(MATCH(AL$8,$AF$8:$CA$8,0)-MATCH($D33,$D$33:$D$80,0),$D$11:$D$23,0),0),0)</f>
        <v>0</v>
      </c>
      <c r="AM33" s="654" cm="1">
        <f t="array" ref="AM33">$E33*IFERROR(INDEX($E$11:$E$23,MATCH(MATCH(AM$8,$AF$8:$CA$8,0)-MATCH($D33,$D$33:$D$80,0),$D$11:$D$23,0),0),0)</f>
        <v>0</v>
      </c>
      <c r="AN33" s="654" cm="1">
        <f t="array" ref="AN33">$E33*IFERROR(INDEX($E$11:$E$23,MATCH(MATCH(AN$8,$AF$8:$CA$8,0)-MATCH($D33,$D$33:$D$80,0),$D$11:$D$23,0),0),0)</f>
        <v>0</v>
      </c>
      <c r="AO33" s="654" cm="1">
        <f t="array" ref="AO33">$E33*IFERROR(INDEX($E$11:$E$23,MATCH(MATCH(AO$8,$AF$8:$CA$8,0)-MATCH($D33,$D$33:$D$80,0),$D$11:$D$23,0),0),0)</f>
        <v>0</v>
      </c>
      <c r="AP33" s="654" cm="1">
        <f t="array" ref="AP33">$E33*IFERROR(INDEX($E$11:$E$23,MATCH(MATCH(AP$8,$AF$8:$CA$8,0)-MATCH($D33,$D$33:$D$80,0),$D$11:$D$23,0),0),0)</f>
        <v>0</v>
      </c>
      <c r="AQ33" s="654" cm="1">
        <f t="array" ref="AQ33">$E33*IFERROR(INDEX($E$11:$E$23,MATCH(MATCH(AQ$8,$AF$8:$CA$8,0)-MATCH($D33,$D$33:$D$80,0),$D$11:$D$23,0),0),0)</f>
        <v>0</v>
      </c>
      <c r="AR33" s="654" cm="1">
        <f t="array" ref="AR33">$E33*IFERROR(INDEX($E$11:$E$23,MATCH(MATCH(AR$8,$AF$8:$CA$8,0)-MATCH($D33,$D$33:$D$80,0),$D$11:$D$23,0),0),0)</f>
        <v>0</v>
      </c>
      <c r="AS33" s="654" cm="1">
        <f t="array" ref="AS33">$E33*IFERROR(INDEX($E$11:$E$23,MATCH(MATCH(AS$8,$AF$8:$CA$8,0)-MATCH($D33,$D$33:$D$80,0),$D$11:$D$23,0),0),0)</f>
        <v>0</v>
      </c>
      <c r="AT33" s="654" cm="1">
        <f t="array" ref="AT33">$E33*IFERROR(INDEX($E$11:$E$23,MATCH(MATCH(AT$8,$AF$8:$CA$8,0)-MATCH($D33,$D$33:$D$80,0),$D$11:$D$23,0),0),0)</f>
        <v>0</v>
      </c>
      <c r="AU33" s="654" cm="1">
        <f t="array" ref="AU33">$E33*IFERROR(INDEX($E$11:$E$23,MATCH(MATCH(AU$8,$AF$8:$CA$8,0)-MATCH($D33,$D$33:$D$80,0),$D$11:$D$23,0),0),0)</f>
        <v>0</v>
      </c>
      <c r="AV33" s="654" cm="1">
        <f t="array" ref="AV33">$E33*IFERROR(INDEX($E$11:$E$23,MATCH(MATCH(AV$8,$AF$8:$CA$8,0)-MATCH($D33,$D$33:$D$80,0),$D$11:$D$23,0),0),0)</f>
        <v>0</v>
      </c>
      <c r="AW33" s="654" cm="1">
        <f t="array" ref="AW33">$E33*IFERROR(INDEX($E$11:$E$23,MATCH(MATCH(AW$8,$AF$8:$CA$8,0)-MATCH($D33,$D$33:$D$80,0),$D$11:$D$23,0),0),0)</f>
        <v>0</v>
      </c>
      <c r="AX33" s="654" cm="1">
        <f t="array" ref="AX33">$E33*IFERROR(INDEX($E$11:$E$23,MATCH(MATCH(AX$8,$AF$8:$CA$8,0)-MATCH($D33,$D$33:$D$80,0),$D$11:$D$23,0),0),0)</f>
        <v>0</v>
      </c>
      <c r="AY33" s="654" cm="1">
        <f t="array" ref="AY33">$E33*IFERROR(INDEX($E$11:$E$23,MATCH(MATCH(AY$8,$AF$8:$CA$8,0)-MATCH($D33,$D$33:$D$80,0),$D$11:$D$23,0),0),0)</f>
        <v>0</v>
      </c>
      <c r="AZ33" s="654" cm="1">
        <f t="array" ref="AZ33">$E33*IFERROR(INDEX($E$11:$E$23,MATCH(MATCH(AZ$8,$AF$8:$CA$8,0)-MATCH($D33,$D$33:$D$80,0),$D$11:$D$23,0),0),0)</f>
        <v>0</v>
      </c>
      <c r="BA33" s="654" cm="1">
        <f t="array" ref="BA33">$E33*IFERROR(INDEX($E$11:$E$23,MATCH(MATCH(BA$8,$AF$8:$CA$8,0)-MATCH($D33,$D$33:$D$80,0),$D$11:$D$23,0),0),0)</f>
        <v>0</v>
      </c>
      <c r="BB33" s="654" cm="1">
        <f t="array" ref="BB33">$E33*IFERROR(INDEX($E$11:$E$23,MATCH(MATCH(BB$8,$AF$8:$CA$8,0)-MATCH($D33,$D$33:$D$80,0),$D$11:$D$23,0),0),0)</f>
        <v>0</v>
      </c>
      <c r="BC33" s="654" cm="1">
        <f t="array" ref="BC33">$E33*IFERROR(INDEX($E$11:$E$23,MATCH(MATCH(BC$8,$AF$8:$CA$8,0)-MATCH($D33,$D$33:$D$80,0),$D$11:$D$23,0),0),0)</f>
        <v>0</v>
      </c>
      <c r="BD33" s="654" cm="1">
        <f t="array" ref="BD33">$E33*IFERROR(INDEX($E$11:$E$23,MATCH(MATCH(BD$8,$AF$8:$CA$8,0)-MATCH($D33,$D$33:$D$80,0),$D$11:$D$23,0),0),0)</f>
        <v>0</v>
      </c>
      <c r="BE33" s="654" cm="1">
        <f t="array" ref="BE33">$E33*IFERROR(INDEX($E$11:$E$23,MATCH(MATCH(BE$8,$AF$8:$CA$8,0)-MATCH($D33,$D$33:$D$80,0),$D$11:$D$23,0),0),0)</f>
        <v>0</v>
      </c>
      <c r="BF33" s="654" cm="1">
        <f t="array" ref="BF33">$E33*IFERROR(INDEX($E$11:$E$23,MATCH(MATCH(BF$8,$AF$8:$CA$8,0)-MATCH($D33,$D$33:$D$80,0),$D$11:$D$23,0),0),0)</f>
        <v>0</v>
      </c>
      <c r="BG33" s="654" cm="1">
        <f t="array" ref="BG33">$E33*IFERROR(INDEX($E$11:$E$23,MATCH(MATCH(BG$8,$AF$8:$CA$8,0)-MATCH($D33,$D$33:$D$80,0),$D$11:$D$23,0),0),0)</f>
        <v>0</v>
      </c>
      <c r="BH33" s="654" cm="1">
        <f t="array" ref="BH33">$E33*IFERROR(INDEX($E$11:$E$23,MATCH(MATCH(BH$8,$AF$8:$CA$8,0)-MATCH($D33,$D$33:$D$80,0),$D$11:$D$23,0),0),0)</f>
        <v>0</v>
      </c>
      <c r="BI33" s="654" cm="1">
        <f t="array" ref="BI33">$E33*IFERROR(INDEX($E$11:$E$23,MATCH(MATCH(BI$8,$AF$8:$CA$8,0)-MATCH($D33,$D$33:$D$80,0),$D$11:$D$23,0),0),0)</f>
        <v>0</v>
      </c>
      <c r="BJ33" s="654" cm="1">
        <f t="array" ref="BJ33">$E33*IFERROR(INDEX($E$11:$E$23,MATCH(MATCH(BJ$8,$AF$8:$CA$8,0)-MATCH($D33,$D$33:$D$80,0),$D$11:$D$23,0),0),0)</f>
        <v>0</v>
      </c>
      <c r="BK33" s="654" cm="1">
        <f t="array" ref="BK33">$E33*IFERROR(INDEX($E$11:$E$23,MATCH(MATCH(BK$8,$AF$8:$CA$8,0)-MATCH($D33,$D$33:$D$80,0),$D$11:$D$23,0),0),0)</f>
        <v>0</v>
      </c>
      <c r="BL33" s="654" cm="1">
        <f t="array" ref="BL33">$E33*IFERROR(INDEX($E$11:$E$23,MATCH(MATCH(BL$8,$AF$8:$CA$8,0)-MATCH($D33,$D$33:$D$80,0),$D$11:$D$23,0),0),0)</f>
        <v>0</v>
      </c>
      <c r="BM33" s="654" cm="1">
        <f t="array" ref="BM33">$E33*IFERROR(INDEX($E$11:$E$23,MATCH(MATCH(BM$8,$AF$8:$CA$8,0)-MATCH($D33,$D$33:$D$80,0),$D$11:$D$23,0),0),0)</f>
        <v>0</v>
      </c>
      <c r="BN33" s="654" cm="1">
        <f t="array" ref="BN33">$E33*IFERROR(INDEX($E$11:$E$23,MATCH(MATCH(BN$8,$AF$8:$CA$8,0)-MATCH($D33,$D$33:$D$80,0),$D$11:$D$23,0),0),0)</f>
        <v>0</v>
      </c>
      <c r="BO33" s="654" cm="1">
        <f t="array" ref="BO33">$E33*IFERROR(INDEX($E$11:$E$23,MATCH(MATCH(BO$8,$AF$8:$CA$8,0)-MATCH($D33,$D$33:$D$80,0),$D$11:$D$23,0),0),0)</f>
        <v>0</v>
      </c>
      <c r="BP33" s="654" cm="1">
        <f t="array" ref="BP33">$E33*IFERROR(INDEX($E$11:$E$23,MATCH(MATCH(BP$8,$AF$8:$CA$8,0)-MATCH($D33,$D$33:$D$80,0),$D$11:$D$23,0),0),0)</f>
        <v>0</v>
      </c>
      <c r="BQ33" s="654" cm="1">
        <f t="array" ref="BQ33">$E33*IFERROR(INDEX($E$11:$E$23,MATCH(MATCH(BQ$8,$AF$8:$CA$8,0)-MATCH($D33,$D$33:$D$80,0),$D$11:$D$23,0),0),0)</f>
        <v>0</v>
      </c>
      <c r="BR33" s="654" cm="1">
        <f t="array" ref="BR33">$E33*IFERROR(INDEX($E$11:$E$23,MATCH(MATCH(BR$8,$AF$8:$CA$8,0)-MATCH($D33,$D$33:$D$80,0),$D$11:$D$23,0),0),0)</f>
        <v>0</v>
      </c>
      <c r="BS33" s="654" cm="1">
        <f t="array" ref="BS33">$E33*IFERROR(INDEX($E$11:$E$23,MATCH(MATCH(BS$8,$AF$8:$CA$8,0)-MATCH($D33,$D$33:$D$80,0),$D$11:$D$23,0),0),0)</f>
        <v>0</v>
      </c>
      <c r="BT33" s="654" cm="1">
        <f t="array" ref="BT33">$E33*IFERROR(INDEX($E$11:$E$23,MATCH(MATCH(BT$8,$AF$8:$CA$8,0)-MATCH($D33,$D$33:$D$80,0),$D$11:$D$23,0),0),0)</f>
        <v>0</v>
      </c>
      <c r="BU33" s="654" cm="1">
        <f t="array" ref="BU33">$E33*IFERROR(INDEX($E$11:$E$23,MATCH(MATCH(BU$8,$AF$8:$CA$8,0)-MATCH($D33,$D$33:$D$80,0),$D$11:$D$23,0),0),0)</f>
        <v>0</v>
      </c>
      <c r="BV33" s="654" cm="1">
        <f t="array" ref="BV33">$E33*IFERROR(INDEX($E$11:$E$23,MATCH(MATCH(BV$8,$AF$8:$CA$8,0)-MATCH($D33,$D$33:$D$80,0),$D$11:$D$23,0),0),0)</f>
        <v>0</v>
      </c>
      <c r="BW33" s="654" cm="1">
        <f t="array" ref="BW33">$E33*IFERROR(INDEX($E$11:$E$23,MATCH(MATCH(BW$8,$AF$8:$CA$8,0)-MATCH($D33,$D$33:$D$80,0),$D$11:$D$23,0),0),0)</f>
        <v>0</v>
      </c>
      <c r="BX33" s="654" cm="1">
        <f t="array" ref="BX33">$E33*IFERROR(INDEX($E$11:$E$23,MATCH(MATCH(BX$8,$AF$8:$CA$8,0)-MATCH($D33,$D$33:$D$80,0),$D$11:$D$23,0),0),0)</f>
        <v>0</v>
      </c>
      <c r="BY33" s="654" cm="1">
        <f t="array" ref="BY33">$E33*IFERROR(INDEX($E$11:$E$23,MATCH(MATCH(BY$8,$AF$8:$CA$8,0)-MATCH($D33,$D$33:$D$80,0),$D$11:$D$23,0),0),0)</f>
        <v>0</v>
      </c>
      <c r="BZ33" s="654" cm="1">
        <f t="array" ref="BZ33">$E33*IFERROR(INDEX($E$11:$E$23,MATCH(MATCH(BZ$8,$AF$8:$CA$8,0)-MATCH($D33,$D$33:$D$80,0),$D$11:$D$23,0),0),0)</f>
        <v>0</v>
      </c>
      <c r="CA33" s="654" cm="1">
        <f t="array" ref="CA33">$E33*IFERROR(INDEX($E$11:$E$23,MATCH(MATCH(CA$8,$AF$8:$CA$8,0)-MATCH($D33,$D$33:$D$80,0),$D$11:$D$23,0),0),0)</f>
        <v>0</v>
      </c>
    </row>
    <row r="34" spans="2:79" ht="21" hidden="1" customHeight="1" outlineLevel="2">
      <c r="B34" s="367"/>
      <c r="C34" s="370"/>
      <c r="D34" s="374">
        <f>EOMONTH(D33,1)</f>
        <v>44985</v>
      </c>
      <c r="E34" s="653" cm="1">
        <f t="array" ref="E34">IF($D34&lt;=LatestMonthOfActuals,0,INDEX($AF$28:$CA$28,0,MATCH($D34,$AF$8:$CA$8,0)))</f>
        <v>0</v>
      </c>
      <c r="F34" s="643"/>
      <c r="G34" s="644"/>
      <c r="H34" s="408">
        <f t="shared" si="22"/>
        <v>0</v>
      </c>
      <c r="I34" s="408">
        <f t="shared" si="22"/>
        <v>0</v>
      </c>
      <c r="J34" s="408">
        <f t="shared" si="22"/>
        <v>0</v>
      </c>
      <c r="K34" s="408">
        <f t="shared" si="22"/>
        <v>0</v>
      </c>
      <c r="L34" s="643"/>
      <c r="M34" s="644"/>
      <c r="N34" s="408">
        <f t="shared" si="23"/>
        <v>0</v>
      </c>
      <c r="O34" s="408">
        <f t="shared" si="23"/>
        <v>0</v>
      </c>
      <c r="P34" s="408">
        <f t="shared" si="23"/>
        <v>0</v>
      </c>
      <c r="Q34" s="408">
        <f t="shared" si="23"/>
        <v>0</v>
      </c>
      <c r="R34" s="408">
        <f t="shared" si="23"/>
        <v>0</v>
      </c>
      <c r="S34" s="408">
        <f t="shared" si="23"/>
        <v>0</v>
      </c>
      <c r="T34" s="408">
        <f t="shared" si="23"/>
        <v>0</v>
      </c>
      <c r="U34" s="408">
        <f t="shared" si="23"/>
        <v>0</v>
      </c>
      <c r="V34" s="408">
        <f t="shared" si="23"/>
        <v>0</v>
      </c>
      <c r="W34" s="408">
        <f t="shared" si="23"/>
        <v>0</v>
      </c>
      <c r="X34" s="408">
        <f t="shared" si="23"/>
        <v>0</v>
      </c>
      <c r="Y34" s="408">
        <f t="shared" si="23"/>
        <v>0</v>
      </c>
      <c r="Z34" s="408">
        <f t="shared" si="23"/>
        <v>0</v>
      </c>
      <c r="AA34" s="408">
        <f t="shared" si="23"/>
        <v>0</v>
      </c>
      <c r="AB34" s="408">
        <f t="shared" si="23"/>
        <v>0</v>
      </c>
      <c r="AC34" s="408">
        <f t="shared" si="23"/>
        <v>0</v>
      </c>
      <c r="AD34" s="643"/>
      <c r="AE34" s="644"/>
      <c r="AF34" s="654" cm="1">
        <f t="array" ref="AF34">$E34*IFERROR(INDEX($E$11:$E$23,MATCH(MATCH(AF$8,$AF$8:$CA$8,0)-MATCH($D34,$D$33:$D$80,0),$D$11:$D$23,0),0),0)</f>
        <v>0</v>
      </c>
      <c r="AG34" s="654" cm="1">
        <f t="array" ref="AG34">$E34*IFERROR(INDEX($E$11:$E$23,MATCH(MATCH(AG$8,$AF$8:$CA$8,0)-MATCH($D34,$D$33:$D$80,0),$D$11:$D$23,0),0),0)</f>
        <v>0</v>
      </c>
      <c r="AH34" s="654" cm="1">
        <f t="array" ref="AH34">$E34*IFERROR(INDEX($E$11:$E$23,MATCH(MATCH(AH$8,$AF$8:$CA$8,0)-MATCH($D34,$D$33:$D$80,0),$D$11:$D$23,0),0),0)</f>
        <v>0</v>
      </c>
      <c r="AI34" s="654" cm="1">
        <f t="array" ref="AI34">$E34*IFERROR(INDEX($E$11:$E$23,MATCH(MATCH(AI$8,$AF$8:$CA$8,0)-MATCH($D34,$D$33:$D$80,0),$D$11:$D$23,0),0),0)</f>
        <v>0</v>
      </c>
      <c r="AJ34" s="654" cm="1">
        <f t="array" ref="AJ34">$E34*IFERROR(INDEX($E$11:$E$23,MATCH(MATCH(AJ$8,$AF$8:$CA$8,0)-MATCH($D34,$D$33:$D$80,0),$D$11:$D$23,0),0),0)</f>
        <v>0</v>
      </c>
      <c r="AK34" s="654" cm="1">
        <f t="array" ref="AK34">$E34*IFERROR(INDEX($E$11:$E$23,MATCH(MATCH(AK$8,$AF$8:$CA$8,0)-MATCH($D34,$D$33:$D$80,0),$D$11:$D$23,0),0),0)</f>
        <v>0</v>
      </c>
      <c r="AL34" s="654" cm="1">
        <f t="array" ref="AL34">$E34*IFERROR(INDEX($E$11:$E$23,MATCH(MATCH(AL$8,$AF$8:$CA$8,0)-MATCH($D34,$D$33:$D$80,0),$D$11:$D$23,0),0),0)</f>
        <v>0</v>
      </c>
      <c r="AM34" s="654" cm="1">
        <f t="array" ref="AM34">$E34*IFERROR(INDEX($E$11:$E$23,MATCH(MATCH(AM$8,$AF$8:$CA$8,0)-MATCH($D34,$D$33:$D$80,0),$D$11:$D$23,0),0),0)</f>
        <v>0</v>
      </c>
      <c r="AN34" s="654" cm="1">
        <f t="array" ref="AN34">$E34*IFERROR(INDEX($E$11:$E$23,MATCH(MATCH(AN$8,$AF$8:$CA$8,0)-MATCH($D34,$D$33:$D$80,0),$D$11:$D$23,0),0),0)</f>
        <v>0</v>
      </c>
      <c r="AO34" s="654" cm="1">
        <f t="array" ref="AO34">$E34*IFERROR(INDEX($E$11:$E$23,MATCH(MATCH(AO$8,$AF$8:$CA$8,0)-MATCH($D34,$D$33:$D$80,0),$D$11:$D$23,0),0),0)</f>
        <v>0</v>
      </c>
      <c r="AP34" s="654" cm="1">
        <f t="array" ref="AP34">$E34*IFERROR(INDEX($E$11:$E$23,MATCH(MATCH(AP$8,$AF$8:$CA$8,0)-MATCH($D34,$D$33:$D$80,0),$D$11:$D$23,0),0),0)</f>
        <v>0</v>
      </c>
      <c r="AQ34" s="654" cm="1">
        <f t="array" ref="AQ34">$E34*IFERROR(INDEX($E$11:$E$23,MATCH(MATCH(AQ$8,$AF$8:$CA$8,0)-MATCH($D34,$D$33:$D$80,0),$D$11:$D$23,0),0),0)</f>
        <v>0</v>
      </c>
      <c r="AR34" s="654" cm="1">
        <f t="array" ref="AR34">$E34*IFERROR(INDEX($E$11:$E$23,MATCH(MATCH(AR$8,$AF$8:$CA$8,0)-MATCH($D34,$D$33:$D$80,0),$D$11:$D$23,0),0),0)</f>
        <v>0</v>
      </c>
      <c r="AS34" s="654" cm="1">
        <f t="array" ref="AS34">$E34*IFERROR(INDEX($E$11:$E$23,MATCH(MATCH(AS$8,$AF$8:$CA$8,0)-MATCH($D34,$D$33:$D$80,0),$D$11:$D$23,0),0),0)</f>
        <v>0</v>
      </c>
      <c r="AT34" s="654" cm="1">
        <f t="array" ref="AT34">$E34*IFERROR(INDEX($E$11:$E$23,MATCH(MATCH(AT$8,$AF$8:$CA$8,0)-MATCH($D34,$D$33:$D$80,0),$D$11:$D$23,0),0),0)</f>
        <v>0</v>
      </c>
      <c r="AU34" s="654" cm="1">
        <f t="array" ref="AU34">$E34*IFERROR(INDEX($E$11:$E$23,MATCH(MATCH(AU$8,$AF$8:$CA$8,0)-MATCH($D34,$D$33:$D$80,0),$D$11:$D$23,0),0),0)</f>
        <v>0</v>
      </c>
      <c r="AV34" s="654" cm="1">
        <f t="array" ref="AV34">$E34*IFERROR(INDEX($E$11:$E$23,MATCH(MATCH(AV$8,$AF$8:$CA$8,0)-MATCH($D34,$D$33:$D$80,0),$D$11:$D$23,0),0),0)</f>
        <v>0</v>
      </c>
      <c r="AW34" s="654" cm="1">
        <f t="array" ref="AW34">$E34*IFERROR(INDEX($E$11:$E$23,MATCH(MATCH(AW$8,$AF$8:$CA$8,0)-MATCH($D34,$D$33:$D$80,0),$D$11:$D$23,0),0),0)</f>
        <v>0</v>
      </c>
      <c r="AX34" s="654" cm="1">
        <f t="array" ref="AX34">$E34*IFERROR(INDEX($E$11:$E$23,MATCH(MATCH(AX$8,$AF$8:$CA$8,0)-MATCH($D34,$D$33:$D$80,0),$D$11:$D$23,0),0),0)</f>
        <v>0</v>
      </c>
      <c r="AY34" s="654" cm="1">
        <f t="array" ref="AY34">$E34*IFERROR(INDEX($E$11:$E$23,MATCH(MATCH(AY$8,$AF$8:$CA$8,0)-MATCH($D34,$D$33:$D$80,0),$D$11:$D$23,0),0),0)</f>
        <v>0</v>
      </c>
      <c r="AZ34" s="654" cm="1">
        <f t="array" ref="AZ34">$E34*IFERROR(INDEX($E$11:$E$23,MATCH(MATCH(AZ$8,$AF$8:$CA$8,0)-MATCH($D34,$D$33:$D$80,0),$D$11:$D$23,0),0),0)</f>
        <v>0</v>
      </c>
      <c r="BA34" s="654" cm="1">
        <f t="array" ref="BA34">$E34*IFERROR(INDEX($E$11:$E$23,MATCH(MATCH(BA$8,$AF$8:$CA$8,0)-MATCH($D34,$D$33:$D$80,0),$D$11:$D$23,0),0),0)</f>
        <v>0</v>
      </c>
      <c r="BB34" s="654" cm="1">
        <f t="array" ref="BB34">$E34*IFERROR(INDEX($E$11:$E$23,MATCH(MATCH(BB$8,$AF$8:$CA$8,0)-MATCH($D34,$D$33:$D$80,0),$D$11:$D$23,0),0),0)</f>
        <v>0</v>
      </c>
      <c r="BC34" s="654" cm="1">
        <f t="array" ref="BC34">$E34*IFERROR(INDEX($E$11:$E$23,MATCH(MATCH(BC$8,$AF$8:$CA$8,0)-MATCH($D34,$D$33:$D$80,0),$D$11:$D$23,0),0),0)</f>
        <v>0</v>
      </c>
      <c r="BD34" s="654" cm="1">
        <f t="array" ref="BD34">$E34*IFERROR(INDEX($E$11:$E$23,MATCH(MATCH(BD$8,$AF$8:$CA$8,0)-MATCH($D34,$D$33:$D$80,0),$D$11:$D$23,0),0),0)</f>
        <v>0</v>
      </c>
      <c r="BE34" s="654" cm="1">
        <f t="array" ref="BE34">$E34*IFERROR(INDEX($E$11:$E$23,MATCH(MATCH(BE$8,$AF$8:$CA$8,0)-MATCH($D34,$D$33:$D$80,0),$D$11:$D$23,0),0),0)</f>
        <v>0</v>
      </c>
      <c r="BF34" s="654" cm="1">
        <f t="array" ref="BF34">$E34*IFERROR(INDEX($E$11:$E$23,MATCH(MATCH(BF$8,$AF$8:$CA$8,0)-MATCH($D34,$D$33:$D$80,0),$D$11:$D$23,0),0),0)</f>
        <v>0</v>
      </c>
      <c r="BG34" s="654" cm="1">
        <f t="array" ref="BG34">$E34*IFERROR(INDEX($E$11:$E$23,MATCH(MATCH(BG$8,$AF$8:$CA$8,0)-MATCH($D34,$D$33:$D$80,0),$D$11:$D$23,0),0),0)</f>
        <v>0</v>
      </c>
      <c r="BH34" s="654" cm="1">
        <f t="array" ref="BH34">$E34*IFERROR(INDEX($E$11:$E$23,MATCH(MATCH(BH$8,$AF$8:$CA$8,0)-MATCH($D34,$D$33:$D$80,0),$D$11:$D$23,0),0),0)</f>
        <v>0</v>
      </c>
      <c r="BI34" s="654" cm="1">
        <f t="array" ref="BI34">$E34*IFERROR(INDEX($E$11:$E$23,MATCH(MATCH(BI$8,$AF$8:$CA$8,0)-MATCH($D34,$D$33:$D$80,0),$D$11:$D$23,0),0),0)</f>
        <v>0</v>
      </c>
      <c r="BJ34" s="654" cm="1">
        <f t="array" ref="BJ34">$E34*IFERROR(INDEX($E$11:$E$23,MATCH(MATCH(BJ$8,$AF$8:$CA$8,0)-MATCH($D34,$D$33:$D$80,0),$D$11:$D$23,0),0),0)</f>
        <v>0</v>
      </c>
      <c r="BK34" s="654" cm="1">
        <f t="array" ref="BK34">$E34*IFERROR(INDEX($E$11:$E$23,MATCH(MATCH(BK$8,$AF$8:$CA$8,0)-MATCH($D34,$D$33:$D$80,0),$D$11:$D$23,0),0),0)</f>
        <v>0</v>
      </c>
      <c r="BL34" s="654" cm="1">
        <f t="array" ref="BL34">$E34*IFERROR(INDEX($E$11:$E$23,MATCH(MATCH(BL$8,$AF$8:$CA$8,0)-MATCH($D34,$D$33:$D$80,0),$D$11:$D$23,0),0),0)</f>
        <v>0</v>
      </c>
      <c r="BM34" s="654" cm="1">
        <f t="array" ref="BM34">$E34*IFERROR(INDEX($E$11:$E$23,MATCH(MATCH(BM$8,$AF$8:$CA$8,0)-MATCH($D34,$D$33:$D$80,0),$D$11:$D$23,0),0),0)</f>
        <v>0</v>
      </c>
      <c r="BN34" s="654" cm="1">
        <f t="array" ref="BN34">$E34*IFERROR(INDEX($E$11:$E$23,MATCH(MATCH(BN$8,$AF$8:$CA$8,0)-MATCH($D34,$D$33:$D$80,0),$D$11:$D$23,0),0),0)</f>
        <v>0</v>
      </c>
      <c r="BO34" s="654" cm="1">
        <f t="array" ref="BO34">$E34*IFERROR(INDEX($E$11:$E$23,MATCH(MATCH(BO$8,$AF$8:$CA$8,0)-MATCH($D34,$D$33:$D$80,0),$D$11:$D$23,0),0),0)</f>
        <v>0</v>
      </c>
      <c r="BP34" s="654" cm="1">
        <f t="array" ref="BP34">$E34*IFERROR(INDEX($E$11:$E$23,MATCH(MATCH(BP$8,$AF$8:$CA$8,0)-MATCH($D34,$D$33:$D$80,0),$D$11:$D$23,0),0),0)</f>
        <v>0</v>
      </c>
      <c r="BQ34" s="654" cm="1">
        <f t="array" ref="BQ34">$E34*IFERROR(INDEX($E$11:$E$23,MATCH(MATCH(BQ$8,$AF$8:$CA$8,0)-MATCH($D34,$D$33:$D$80,0),$D$11:$D$23,0),0),0)</f>
        <v>0</v>
      </c>
      <c r="BR34" s="654" cm="1">
        <f t="array" ref="BR34">$E34*IFERROR(INDEX($E$11:$E$23,MATCH(MATCH(BR$8,$AF$8:$CA$8,0)-MATCH($D34,$D$33:$D$80,0),$D$11:$D$23,0),0),0)</f>
        <v>0</v>
      </c>
      <c r="BS34" s="654" cm="1">
        <f t="array" ref="BS34">$E34*IFERROR(INDEX($E$11:$E$23,MATCH(MATCH(BS$8,$AF$8:$CA$8,0)-MATCH($D34,$D$33:$D$80,0),$D$11:$D$23,0),0),0)</f>
        <v>0</v>
      </c>
      <c r="BT34" s="654" cm="1">
        <f t="array" ref="BT34">$E34*IFERROR(INDEX($E$11:$E$23,MATCH(MATCH(BT$8,$AF$8:$CA$8,0)-MATCH($D34,$D$33:$D$80,0),$D$11:$D$23,0),0),0)</f>
        <v>0</v>
      </c>
      <c r="BU34" s="654" cm="1">
        <f t="array" ref="BU34">$E34*IFERROR(INDEX($E$11:$E$23,MATCH(MATCH(BU$8,$AF$8:$CA$8,0)-MATCH($D34,$D$33:$D$80,0),$D$11:$D$23,0),0),0)</f>
        <v>0</v>
      </c>
      <c r="BV34" s="654" cm="1">
        <f t="array" ref="BV34">$E34*IFERROR(INDEX($E$11:$E$23,MATCH(MATCH(BV$8,$AF$8:$CA$8,0)-MATCH($D34,$D$33:$D$80,0),$D$11:$D$23,0),0),0)</f>
        <v>0</v>
      </c>
      <c r="BW34" s="654" cm="1">
        <f t="array" ref="BW34">$E34*IFERROR(INDEX($E$11:$E$23,MATCH(MATCH(BW$8,$AF$8:$CA$8,0)-MATCH($D34,$D$33:$D$80,0),$D$11:$D$23,0),0),0)</f>
        <v>0</v>
      </c>
      <c r="BX34" s="654" cm="1">
        <f t="array" ref="BX34">$E34*IFERROR(INDEX($E$11:$E$23,MATCH(MATCH(BX$8,$AF$8:$CA$8,0)-MATCH($D34,$D$33:$D$80,0),$D$11:$D$23,0),0),0)</f>
        <v>0</v>
      </c>
      <c r="BY34" s="654" cm="1">
        <f t="array" ref="BY34">$E34*IFERROR(INDEX($E$11:$E$23,MATCH(MATCH(BY$8,$AF$8:$CA$8,0)-MATCH($D34,$D$33:$D$80,0),$D$11:$D$23,0),0),0)</f>
        <v>0</v>
      </c>
      <c r="BZ34" s="654" cm="1">
        <f t="array" ref="BZ34">$E34*IFERROR(INDEX($E$11:$E$23,MATCH(MATCH(BZ$8,$AF$8:$CA$8,0)-MATCH($D34,$D$33:$D$80,0),$D$11:$D$23,0),0),0)</f>
        <v>0</v>
      </c>
      <c r="CA34" s="654" cm="1">
        <f t="array" ref="CA34">$E34*IFERROR(INDEX($E$11:$E$23,MATCH(MATCH(CA$8,$AF$8:$CA$8,0)-MATCH($D34,$D$33:$D$80,0),$D$11:$D$23,0),0),0)</f>
        <v>0</v>
      </c>
    </row>
    <row r="35" spans="2:79" ht="21" hidden="1" customHeight="1" outlineLevel="2">
      <c r="B35" s="367"/>
      <c r="C35" s="370"/>
      <c r="D35" s="374">
        <f t="shared" ref="D35:D80" si="24">EOMONTH(D34,1)</f>
        <v>45016</v>
      </c>
      <c r="E35" s="653" cm="1">
        <f t="array" ref="E35">IF($D35&lt;=LatestMonthOfActuals,0,INDEX($AF$28:$CA$28,0,MATCH($D35,$AF$8:$CA$8,0)))</f>
        <v>0</v>
      </c>
      <c r="F35" s="643"/>
      <c r="G35" s="644"/>
      <c r="H35" s="408">
        <f t="shared" si="22"/>
        <v>0</v>
      </c>
      <c r="I35" s="408">
        <f t="shared" si="22"/>
        <v>0</v>
      </c>
      <c r="J35" s="408">
        <f t="shared" si="22"/>
        <v>0</v>
      </c>
      <c r="K35" s="408">
        <f t="shared" si="22"/>
        <v>0</v>
      </c>
      <c r="L35" s="643"/>
      <c r="M35" s="644"/>
      <c r="N35" s="408">
        <f t="shared" si="23"/>
        <v>0</v>
      </c>
      <c r="O35" s="408">
        <f t="shared" si="23"/>
        <v>0</v>
      </c>
      <c r="P35" s="408">
        <f t="shared" si="23"/>
        <v>0</v>
      </c>
      <c r="Q35" s="408">
        <f t="shared" si="23"/>
        <v>0</v>
      </c>
      <c r="R35" s="408">
        <f t="shared" si="23"/>
        <v>0</v>
      </c>
      <c r="S35" s="408">
        <f t="shared" si="23"/>
        <v>0</v>
      </c>
      <c r="T35" s="408">
        <f t="shared" si="23"/>
        <v>0</v>
      </c>
      <c r="U35" s="408">
        <f t="shared" si="23"/>
        <v>0</v>
      </c>
      <c r="V35" s="408">
        <f t="shared" si="23"/>
        <v>0</v>
      </c>
      <c r="W35" s="408">
        <f t="shared" si="23"/>
        <v>0</v>
      </c>
      <c r="X35" s="408">
        <f t="shared" si="23"/>
        <v>0</v>
      </c>
      <c r="Y35" s="408">
        <f t="shared" si="23"/>
        <v>0</v>
      </c>
      <c r="Z35" s="408">
        <f t="shared" si="23"/>
        <v>0</v>
      </c>
      <c r="AA35" s="408">
        <f t="shared" si="23"/>
        <v>0</v>
      </c>
      <c r="AB35" s="408">
        <f t="shared" si="23"/>
        <v>0</v>
      </c>
      <c r="AC35" s="408">
        <f t="shared" si="23"/>
        <v>0</v>
      </c>
      <c r="AD35" s="643"/>
      <c r="AE35" s="644"/>
      <c r="AF35" s="654" cm="1">
        <f t="array" ref="AF35">$E35*IFERROR(INDEX($E$11:$E$23,MATCH(MATCH(AF$8,$AF$8:$CA$8,0)-MATCH($D35,$D$33:$D$80,0),$D$11:$D$23,0),0),0)</f>
        <v>0</v>
      </c>
      <c r="AG35" s="654" cm="1">
        <f t="array" ref="AG35">$E35*IFERROR(INDEX($E$11:$E$23,MATCH(MATCH(AG$8,$AF$8:$CA$8,0)-MATCH($D35,$D$33:$D$80,0),$D$11:$D$23,0),0),0)</f>
        <v>0</v>
      </c>
      <c r="AH35" s="654" cm="1">
        <f t="array" ref="AH35">$E35*IFERROR(INDEX($E$11:$E$23,MATCH(MATCH(AH$8,$AF$8:$CA$8,0)-MATCH($D35,$D$33:$D$80,0),$D$11:$D$23,0),0),0)</f>
        <v>0</v>
      </c>
      <c r="AI35" s="654" cm="1">
        <f t="array" ref="AI35">$E35*IFERROR(INDEX($E$11:$E$23,MATCH(MATCH(AI$8,$AF$8:$CA$8,0)-MATCH($D35,$D$33:$D$80,0),$D$11:$D$23,0),0),0)</f>
        <v>0</v>
      </c>
      <c r="AJ35" s="654" cm="1">
        <f t="array" ref="AJ35">$E35*IFERROR(INDEX($E$11:$E$23,MATCH(MATCH(AJ$8,$AF$8:$CA$8,0)-MATCH($D35,$D$33:$D$80,0),$D$11:$D$23,0),0),0)</f>
        <v>0</v>
      </c>
      <c r="AK35" s="654" cm="1">
        <f t="array" ref="AK35">$E35*IFERROR(INDEX($E$11:$E$23,MATCH(MATCH(AK$8,$AF$8:$CA$8,0)-MATCH($D35,$D$33:$D$80,0),$D$11:$D$23,0),0),0)</f>
        <v>0</v>
      </c>
      <c r="AL35" s="654" cm="1">
        <f t="array" ref="AL35">$E35*IFERROR(INDEX($E$11:$E$23,MATCH(MATCH(AL$8,$AF$8:$CA$8,0)-MATCH($D35,$D$33:$D$80,0),$D$11:$D$23,0),0),0)</f>
        <v>0</v>
      </c>
      <c r="AM35" s="654" cm="1">
        <f t="array" ref="AM35">$E35*IFERROR(INDEX($E$11:$E$23,MATCH(MATCH(AM$8,$AF$8:$CA$8,0)-MATCH($D35,$D$33:$D$80,0),$D$11:$D$23,0),0),0)</f>
        <v>0</v>
      </c>
      <c r="AN35" s="654" cm="1">
        <f t="array" ref="AN35">$E35*IFERROR(INDEX($E$11:$E$23,MATCH(MATCH(AN$8,$AF$8:$CA$8,0)-MATCH($D35,$D$33:$D$80,0),$D$11:$D$23,0),0),0)</f>
        <v>0</v>
      </c>
      <c r="AO35" s="654" cm="1">
        <f t="array" ref="AO35">$E35*IFERROR(INDEX($E$11:$E$23,MATCH(MATCH(AO$8,$AF$8:$CA$8,0)-MATCH($D35,$D$33:$D$80,0),$D$11:$D$23,0),0),0)</f>
        <v>0</v>
      </c>
      <c r="AP35" s="654" cm="1">
        <f t="array" ref="AP35">$E35*IFERROR(INDEX($E$11:$E$23,MATCH(MATCH(AP$8,$AF$8:$CA$8,0)-MATCH($D35,$D$33:$D$80,0),$D$11:$D$23,0),0),0)</f>
        <v>0</v>
      </c>
      <c r="AQ35" s="654" cm="1">
        <f t="array" ref="AQ35">$E35*IFERROR(INDEX($E$11:$E$23,MATCH(MATCH(AQ$8,$AF$8:$CA$8,0)-MATCH($D35,$D$33:$D$80,0),$D$11:$D$23,0),0),0)</f>
        <v>0</v>
      </c>
      <c r="AR35" s="654" cm="1">
        <f t="array" ref="AR35">$E35*IFERROR(INDEX($E$11:$E$23,MATCH(MATCH(AR$8,$AF$8:$CA$8,0)-MATCH($D35,$D$33:$D$80,0),$D$11:$D$23,0),0),0)</f>
        <v>0</v>
      </c>
      <c r="AS35" s="654" cm="1">
        <f t="array" ref="AS35">$E35*IFERROR(INDEX($E$11:$E$23,MATCH(MATCH(AS$8,$AF$8:$CA$8,0)-MATCH($D35,$D$33:$D$80,0),$D$11:$D$23,0),0),0)</f>
        <v>0</v>
      </c>
      <c r="AT35" s="654" cm="1">
        <f t="array" ref="AT35">$E35*IFERROR(INDEX($E$11:$E$23,MATCH(MATCH(AT$8,$AF$8:$CA$8,0)-MATCH($D35,$D$33:$D$80,0),$D$11:$D$23,0),0),0)</f>
        <v>0</v>
      </c>
      <c r="AU35" s="654" cm="1">
        <f t="array" ref="AU35">$E35*IFERROR(INDEX($E$11:$E$23,MATCH(MATCH(AU$8,$AF$8:$CA$8,0)-MATCH($D35,$D$33:$D$80,0),$D$11:$D$23,0),0),0)</f>
        <v>0</v>
      </c>
      <c r="AV35" s="654" cm="1">
        <f t="array" ref="AV35">$E35*IFERROR(INDEX($E$11:$E$23,MATCH(MATCH(AV$8,$AF$8:$CA$8,0)-MATCH($D35,$D$33:$D$80,0),$D$11:$D$23,0),0),0)</f>
        <v>0</v>
      </c>
      <c r="AW35" s="654" cm="1">
        <f t="array" ref="AW35">$E35*IFERROR(INDEX($E$11:$E$23,MATCH(MATCH(AW$8,$AF$8:$CA$8,0)-MATCH($D35,$D$33:$D$80,0),$D$11:$D$23,0),0),0)</f>
        <v>0</v>
      </c>
      <c r="AX35" s="654" cm="1">
        <f t="array" ref="AX35">$E35*IFERROR(INDEX($E$11:$E$23,MATCH(MATCH(AX$8,$AF$8:$CA$8,0)-MATCH($D35,$D$33:$D$80,0),$D$11:$D$23,0),0),0)</f>
        <v>0</v>
      </c>
      <c r="AY35" s="654" cm="1">
        <f t="array" ref="AY35">$E35*IFERROR(INDEX($E$11:$E$23,MATCH(MATCH(AY$8,$AF$8:$CA$8,0)-MATCH($D35,$D$33:$D$80,0),$D$11:$D$23,0),0),0)</f>
        <v>0</v>
      </c>
      <c r="AZ35" s="654" cm="1">
        <f t="array" ref="AZ35">$E35*IFERROR(INDEX($E$11:$E$23,MATCH(MATCH(AZ$8,$AF$8:$CA$8,0)-MATCH($D35,$D$33:$D$80,0),$D$11:$D$23,0),0),0)</f>
        <v>0</v>
      </c>
      <c r="BA35" s="654" cm="1">
        <f t="array" ref="BA35">$E35*IFERROR(INDEX($E$11:$E$23,MATCH(MATCH(BA$8,$AF$8:$CA$8,0)-MATCH($D35,$D$33:$D$80,0),$D$11:$D$23,0),0),0)</f>
        <v>0</v>
      </c>
      <c r="BB35" s="654" cm="1">
        <f t="array" ref="BB35">$E35*IFERROR(INDEX($E$11:$E$23,MATCH(MATCH(BB$8,$AF$8:$CA$8,0)-MATCH($D35,$D$33:$D$80,0),$D$11:$D$23,0),0),0)</f>
        <v>0</v>
      </c>
      <c r="BC35" s="654" cm="1">
        <f t="array" ref="BC35">$E35*IFERROR(INDEX($E$11:$E$23,MATCH(MATCH(BC$8,$AF$8:$CA$8,0)-MATCH($D35,$D$33:$D$80,0),$D$11:$D$23,0),0),0)</f>
        <v>0</v>
      </c>
      <c r="BD35" s="654" cm="1">
        <f t="array" ref="BD35">$E35*IFERROR(INDEX($E$11:$E$23,MATCH(MATCH(BD$8,$AF$8:$CA$8,0)-MATCH($D35,$D$33:$D$80,0),$D$11:$D$23,0),0),0)</f>
        <v>0</v>
      </c>
      <c r="BE35" s="654" cm="1">
        <f t="array" ref="BE35">$E35*IFERROR(INDEX($E$11:$E$23,MATCH(MATCH(BE$8,$AF$8:$CA$8,0)-MATCH($D35,$D$33:$D$80,0),$D$11:$D$23,0),0),0)</f>
        <v>0</v>
      </c>
      <c r="BF35" s="654" cm="1">
        <f t="array" ref="BF35">$E35*IFERROR(INDEX($E$11:$E$23,MATCH(MATCH(BF$8,$AF$8:$CA$8,0)-MATCH($D35,$D$33:$D$80,0),$D$11:$D$23,0),0),0)</f>
        <v>0</v>
      </c>
      <c r="BG35" s="654" cm="1">
        <f t="array" ref="BG35">$E35*IFERROR(INDEX($E$11:$E$23,MATCH(MATCH(BG$8,$AF$8:$CA$8,0)-MATCH($D35,$D$33:$D$80,0),$D$11:$D$23,0),0),0)</f>
        <v>0</v>
      </c>
      <c r="BH35" s="654" cm="1">
        <f t="array" ref="BH35">$E35*IFERROR(INDEX($E$11:$E$23,MATCH(MATCH(BH$8,$AF$8:$CA$8,0)-MATCH($D35,$D$33:$D$80,0),$D$11:$D$23,0),0),0)</f>
        <v>0</v>
      </c>
      <c r="BI35" s="654" cm="1">
        <f t="array" ref="BI35">$E35*IFERROR(INDEX($E$11:$E$23,MATCH(MATCH(BI$8,$AF$8:$CA$8,0)-MATCH($D35,$D$33:$D$80,0),$D$11:$D$23,0),0),0)</f>
        <v>0</v>
      </c>
      <c r="BJ35" s="654" cm="1">
        <f t="array" ref="BJ35">$E35*IFERROR(INDEX($E$11:$E$23,MATCH(MATCH(BJ$8,$AF$8:$CA$8,0)-MATCH($D35,$D$33:$D$80,0),$D$11:$D$23,0),0),0)</f>
        <v>0</v>
      </c>
      <c r="BK35" s="654" cm="1">
        <f t="array" ref="BK35">$E35*IFERROR(INDEX($E$11:$E$23,MATCH(MATCH(BK$8,$AF$8:$CA$8,0)-MATCH($D35,$D$33:$D$80,0),$D$11:$D$23,0),0),0)</f>
        <v>0</v>
      </c>
      <c r="BL35" s="654" cm="1">
        <f t="array" ref="BL35">$E35*IFERROR(INDEX($E$11:$E$23,MATCH(MATCH(BL$8,$AF$8:$CA$8,0)-MATCH($D35,$D$33:$D$80,0),$D$11:$D$23,0),0),0)</f>
        <v>0</v>
      </c>
      <c r="BM35" s="654" cm="1">
        <f t="array" ref="BM35">$E35*IFERROR(INDEX($E$11:$E$23,MATCH(MATCH(BM$8,$AF$8:$CA$8,0)-MATCH($D35,$D$33:$D$80,0),$D$11:$D$23,0),0),0)</f>
        <v>0</v>
      </c>
      <c r="BN35" s="654" cm="1">
        <f t="array" ref="BN35">$E35*IFERROR(INDEX($E$11:$E$23,MATCH(MATCH(BN$8,$AF$8:$CA$8,0)-MATCH($D35,$D$33:$D$80,0),$D$11:$D$23,0),0),0)</f>
        <v>0</v>
      </c>
      <c r="BO35" s="654" cm="1">
        <f t="array" ref="BO35">$E35*IFERROR(INDEX($E$11:$E$23,MATCH(MATCH(BO$8,$AF$8:$CA$8,0)-MATCH($D35,$D$33:$D$80,0),$D$11:$D$23,0),0),0)</f>
        <v>0</v>
      </c>
      <c r="BP35" s="654" cm="1">
        <f t="array" ref="BP35">$E35*IFERROR(INDEX($E$11:$E$23,MATCH(MATCH(BP$8,$AF$8:$CA$8,0)-MATCH($D35,$D$33:$D$80,0),$D$11:$D$23,0),0),0)</f>
        <v>0</v>
      </c>
      <c r="BQ35" s="654" cm="1">
        <f t="array" ref="BQ35">$E35*IFERROR(INDEX($E$11:$E$23,MATCH(MATCH(BQ$8,$AF$8:$CA$8,0)-MATCH($D35,$D$33:$D$80,0),$D$11:$D$23,0),0),0)</f>
        <v>0</v>
      </c>
      <c r="BR35" s="654" cm="1">
        <f t="array" ref="BR35">$E35*IFERROR(INDEX($E$11:$E$23,MATCH(MATCH(BR$8,$AF$8:$CA$8,0)-MATCH($D35,$D$33:$D$80,0),$D$11:$D$23,0),0),0)</f>
        <v>0</v>
      </c>
      <c r="BS35" s="654" cm="1">
        <f t="array" ref="BS35">$E35*IFERROR(INDEX($E$11:$E$23,MATCH(MATCH(BS$8,$AF$8:$CA$8,0)-MATCH($D35,$D$33:$D$80,0),$D$11:$D$23,0),0),0)</f>
        <v>0</v>
      </c>
      <c r="BT35" s="654" cm="1">
        <f t="array" ref="BT35">$E35*IFERROR(INDEX($E$11:$E$23,MATCH(MATCH(BT$8,$AF$8:$CA$8,0)-MATCH($D35,$D$33:$D$80,0),$D$11:$D$23,0),0),0)</f>
        <v>0</v>
      </c>
      <c r="BU35" s="654" cm="1">
        <f t="array" ref="BU35">$E35*IFERROR(INDEX($E$11:$E$23,MATCH(MATCH(BU$8,$AF$8:$CA$8,0)-MATCH($D35,$D$33:$D$80,0),$D$11:$D$23,0),0),0)</f>
        <v>0</v>
      </c>
      <c r="BV35" s="654" cm="1">
        <f t="array" ref="BV35">$E35*IFERROR(INDEX($E$11:$E$23,MATCH(MATCH(BV$8,$AF$8:$CA$8,0)-MATCH($D35,$D$33:$D$80,0),$D$11:$D$23,0),0),0)</f>
        <v>0</v>
      </c>
      <c r="BW35" s="654" cm="1">
        <f t="array" ref="BW35">$E35*IFERROR(INDEX($E$11:$E$23,MATCH(MATCH(BW$8,$AF$8:$CA$8,0)-MATCH($D35,$D$33:$D$80,0),$D$11:$D$23,0),0),0)</f>
        <v>0</v>
      </c>
      <c r="BX35" s="654" cm="1">
        <f t="array" ref="BX35">$E35*IFERROR(INDEX($E$11:$E$23,MATCH(MATCH(BX$8,$AF$8:$CA$8,0)-MATCH($D35,$D$33:$D$80,0),$D$11:$D$23,0),0),0)</f>
        <v>0</v>
      </c>
      <c r="BY35" s="654" cm="1">
        <f t="array" ref="BY35">$E35*IFERROR(INDEX($E$11:$E$23,MATCH(MATCH(BY$8,$AF$8:$CA$8,0)-MATCH($D35,$D$33:$D$80,0),$D$11:$D$23,0),0),0)</f>
        <v>0</v>
      </c>
      <c r="BZ35" s="654" cm="1">
        <f t="array" ref="BZ35">$E35*IFERROR(INDEX($E$11:$E$23,MATCH(MATCH(BZ$8,$AF$8:$CA$8,0)-MATCH($D35,$D$33:$D$80,0),$D$11:$D$23,0),0),0)</f>
        <v>0</v>
      </c>
      <c r="CA35" s="654" cm="1">
        <f t="array" ref="CA35">$E35*IFERROR(INDEX($E$11:$E$23,MATCH(MATCH(CA$8,$AF$8:$CA$8,0)-MATCH($D35,$D$33:$D$80,0),$D$11:$D$23,0),0),0)</f>
        <v>0</v>
      </c>
    </row>
    <row r="36" spans="2:79" ht="21" hidden="1" customHeight="1" outlineLevel="2">
      <c r="B36" s="367"/>
      <c r="C36" s="370"/>
      <c r="D36" s="374">
        <f t="shared" si="24"/>
        <v>45046</v>
      </c>
      <c r="E36" s="653" cm="1">
        <f t="array" ref="E36">IF($D36&lt;=LatestMonthOfActuals,0,INDEX($AF$28:$CA$28,0,MATCH($D36,$AF$8:$CA$8,0)))</f>
        <v>0</v>
      </c>
      <c r="F36" s="643"/>
      <c r="G36" s="644"/>
      <c r="H36" s="408">
        <f t="shared" si="22"/>
        <v>0</v>
      </c>
      <c r="I36" s="408">
        <f t="shared" si="22"/>
        <v>0</v>
      </c>
      <c r="J36" s="408">
        <f t="shared" si="22"/>
        <v>0</v>
      </c>
      <c r="K36" s="408">
        <f t="shared" si="22"/>
        <v>0</v>
      </c>
      <c r="L36" s="643"/>
      <c r="M36" s="644"/>
      <c r="N36" s="408">
        <f t="shared" si="23"/>
        <v>0</v>
      </c>
      <c r="O36" s="408">
        <f t="shared" si="23"/>
        <v>0</v>
      </c>
      <c r="P36" s="408">
        <f t="shared" si="23"/>
        <v>0</v>
      </c>
      <c r="Q36" s="408">
        <f t="shared" si="23"/>
        <v>0</v>
      </c>
      <c r="R36" s="408">
        <f t="shared" si="23"/>
        <v>0</v>
      </c>
      <c r="S36" s="408">
        <f t="shared" si="23"/>
        <v>0</v>
      </c>
      <c r="T36" s="408">
        <f t="shared" si="23"/>
        <v>0</v>
      </c>
      <c r="U36" s="408">
        <f t="shared" si="23"/>
        <v>0</v>
      </c>
      <c r="V36" s="408">
        <f t="shared" si="23"/>
        <v>0</v>
      </c>
      <c r="W36" s="408">
        <f t="shared" si="23"/>
        <v>0</v>
      </c>
      <c r="X36" s="408">
        <f t="shared" si="23"/>
        <v>0</v>
      </c>
      <c r="Y36" s="408">
        <f t="shared" si="23"/>
        <v>0</v>
      </c>
      <c r="Z36" s="408">
        <f t="shared" si="23"/>
        <v>0</v>
      </c>
      <c r="AA36" s="408">
        <f t="shared" si="23"/>
        <v>0</v>
      </c>
      <c r="AB36" s="408">
        <f t="shared" si="23"/>
        <v>0</v>
      </c>
      <c r="AC36" s="408">
        <f t="shared" si="23"/>
        <v>0</v>
      </c>
      <c r="AD36" s="643"/>
      <c r="AE36" s="644"/>
      <c r="AF36" s="654" cm="1">
        <f t="array" ref="AF36">$E36*IFERROR(INDEX($E$11:$E$23,MATCH(MATCH(AF$8,$AF$8:$CA$8,0)-MATCH($D36,$D$33:$D$80,0),$D$11:$D$23,0),0),0)</f>
        <v>0</v>
      </c>
      <c r="AG36" s="654" cm="1">
        <f t="array" ref="AG36">$E36*IFERROR(INDEX($E$11:$E$23,MATCH(MATCH(AG$8,$AF$8:$CA$8,0)-MATCH($D36,$D$33:$D$80,0),$D$11:$D$23,0),0),0)</f>
        <v>0</v>
      </c>
      <c r="AH36" s="654" cm="1">
        <f t="array" ref="AH36">$E36*IFERROR(INDEX($E$11:$E$23,MATCH(MATCH(AH$8,$AF$8:$CA$8,0)-MATCH($D36,$D$33:$D$80,0),$D$11:$D$23,0),0),0)</f>
        <v>0</v>
      </c>
      <c r="AI36" s="654" cm="1">
        <f t="array" ref="AI36">$E36*IFERROR(INDEX($E$11:$E$23,MATCH(MATCH(AI$8,$AF$8:$CA$8,0)-MATCH($D36,$D$33:$D$80,0),$D$11:$D$23,0),0),0)</f>
        <v>0</v>
      </c>
      <c r="AJ36" s="654" cm="1">
        <f t="array" ref="AJ36">$E36*IFERROR(INDEX($E$11:$E$23,MATCH(MATCH(AJ$8,$AF$8:$CA$8,0)-MATCH($D36,$D$33:$D$80,0),$D$11:$D$23,0),0),0)</f>
        <v>0</v>
      </c>
      <c r="AK36" s="654" cm="1">
        <f t="array" ref="AK36">$E36*IFERROR(INDEX($E$11:$E$23,MATCH(MATCH(AK$8,$AF$8:$CA$8,0)-MATCH($D36,$D$33:$D$80,0),$D$11:$D$23,0),0),0)</f>
        <v>0</v>
      </c>
      <c r="AL36" s="654" cm="1">
        <f t="array" ref="AL36">$E36*IFERROR(INDEX($E$11:$E$23,MATCH(MATCH(AL$8,$AF$8:$CA$8,0)-MATCH($D36,$D$33:$D$80,0),$D$11:$D$23,0),0),0)</f>
        <v>0</v>
      </c>
      <c r="AM36" s="654" cm="1">
        <f t="array" ref="AM36">$E36*IFERROR(INDEX($E$11:$E$23,MATCH(MATCH(AM$8,$AF$8:$CA$8,0)-MATCH($D36,$D$33:$D$80,0),$D$11:$D$23,0),0),0)</f>
        <v>0</v>
      </c>
      <c r="AN36" s="654" cm="1">
        <f t="array" ref="AN36">$E36*IFERROR(INDEX($E$11:$E$23,MATCH(MATCH(AN$8,$AF$8:$CA$8,0)-MATCH($D36,$D$33:$D$80,0),$D$11:$D$23,0),0),0)</f>
        <v>0</v>
      </c>
      <c r="AO36" s="654" cm="1">
        <f t="array" ref="AO36">$E36*IFERROR(INDEX($E$11:$E$23,MATCH(MATCH(AO$8,$AF$8:$CA$8,0)-MATCH($D36,$D$33:$D$80,0),$D$11:$D$23,0),0),0)</f>
        <v>0</v>
      </c>
      <c r="AP36" s="654" cm="1">
        <f t="array" ref="AP36">$E36*IFERROR(INDEX($E$11:$E$23,MATCH(MATCH(AP$8,$AF$8:$CA$8,0)-MATCH($D36,$D$33:$D$80,0),$D$11:$D$23,0),0),0)</f>
        <v>0</v>
      </c>
      <c r="AQ36" s="654" cm="1">
        <f t="array" ref="AQ36">$E36*IFERROR(INDEX($E$11:$E$23,MATCH(MATCH(AQ$8,$AF$8:$CA$8,0)-MATCH($D36,$D$33:$D$80,0),$D$11:$D$23,0),0),0)</f>
        <v>0</v>
      </c>
      <c r="AR36" s="654" cm="1">
        <f t="array" ref="AR36">$E36*IFERROR(INDEX($E$11:$E$23,MATCH(MATCH(AR$8,$AF$8:$CA$8,0)-MATCH($D36,$D$33:$D$80,0),$D$11:$D$23,0),0),0)</f>
        <v>0</v>
      </c>
      <c r="AS36" s="654" cm="1">
        <f t="array" ref="AS36">$E36*IFERROR(INDEX($E$11:$E$23,MATCH(MATCH(AS$8,$AF$8:$CA$8,0)-MATCH($D36,$D$33:$D$80,0),$D$11:$D$23,0),0),0)</f>
        <v>0</v>
      </c>
      <c r="AT36" s="654" cm="1">
        <f t="array" ref="AT36">$E36*IFERROR(INDEX($E$11:$E$23,MATCH(MATCH(AT$8,$AF$8:$CA$8,0)-MATCH($D36,$D$33:$D$80,0),$D$11:$D$23,0),0),0)</f>
        <v>0</v>
      </c>
      <c r="AU36" s="654" cm="1">
        <f t="array" ref="AU36">$E36*IFERROR(INDEX($E$11:$E$23,MATCH(MATCH(AU$8,$AF$8:$CA$8,0)-MATCH($D36,$D$33:$D$80,0),$D$11:$D$23,0),0),0)</f>
        <v>0</v>
      </c>
      <c r="AV36" s="654" cm="1">
        <f t="array" ref="AV36">$E36*IFERROR(INDEX($E$11:$E$23,MATCH(MATCH(AV$8,$AF$8:$CA$8,0)-MATCH($D36,$D$33:$D$80,0),$D$11:$D$23,0),0),0)</f>
        <v>0</v>
      </c>
      <c r="AW36" s="654" cm="1">
        <f t="array" ref="AW36">$E36*IFERROR(INDEX($E$11:$E$23,MATCH(MATCH(AW$8,$AF$8:$CA$8,0)-MATCH($D36,$D$33:$D$80,0),$D$11:$D$23,0),0),0)</f>
        <v>0</v>
      </c>
      <c r="AX36" s="654" cm="1">
        <f t="array" ref="AX36">$E36*IFERROR(INDEX($E$11:$E$23,MATCH(MATCH(AX$8,$AF$8:$CA$8,0)-MATCH($D36,$D$33:$D$80,0),$D$11:$D$23,0),0),0)</f>
        <v>0</v>
      </c>
      <c r="AY36" s="654" cm="1">
        <f t="array" ref="AY36">$E36*IFERROR(INDEX($E$11:$E$23,MATCH(MATCH(AY$8,$AF$8:$CA$8,0)-MATCH($D36,$D$33:$D$80,0),$D$11:$D$23,0),0),0)</f>
        <v>0</v>
      </c>
      <c r="AZ36" s="654" cm="1">
        <f t="array" ref="AZ36">$E36*IFERROR(INDEX($E$11:$E$23,MATCH(MATCH(AZ$8,$AF$8:$CA$8,0)-MATCH($D36,$D$33:$D$80,0),$D$11:$D$23,0),0),0)</f>
        <v>0</v>
      </c>
      <c r="BA36" s="654" cm="1">
        <f t="array" ref="BA36">$E36*IFERROR(INDEX($E$11:$E$23,MATCH(MATCH(BA$8,$AF$8:$CA$8,0)-MATCH($D36,$D$33:$D$80,0),$D$11:$D$23,0),0),0)</f>
        <v>0</v>
      </c>
      <c r="BB36" s="654" cm="1">
        <f t="array" ref="BB36">$E36*IFERROR(INDEX($E$11:$E$23,MATCH(MATCH(BB$8,$AF$8:$CA$8,0)-MATCH($D36,$D$33:$D$80,0),$D$11:$D$23,0),0),0)</f>
        <v>0</v>
      </c>
      <c r="BC36" s="654" cm="1">
        <f t="array" ref="BC36">$E36*IFERROR(INDEX($E$11:$E$23,MATCH(MATCH(BC$8,$AF$8:$CA$8,0)-MATCH($D36,$D$33:$D$80,0),$D$11:$D$23,0),0),0)</f>
        <v>0</v>
      </c>
      <c r="BD36" s="654" cm="1">
        <f t="array" ref="BD36">$E36*IFERROR(INDEX($E$11:$E$23,MATCH(MATCH(BD$8,$AF$8:$CA$8,0)-MATCH($D36,$D$33:$D$80,0),$D$11:$D$23,0),0),0)</f>
        <v>0</v>
      </c>
      <c r="BE36" s="654" cm="1">
        <f t="array" ref="BE36">$E36*IFERROR(INDEX($E$11:$E$23,MATCH(MATCH(BE$8,$AF$8:$CA$8,0)-MATCH($D36,$D$33:$D$80,0),$D$11:$D$23,0),0),0)</f>
        <v>0</v>
      </c>
      <c r="BF36" s="654" cm="1">
        <f t="array" ref="BF36">$E36*IFERROR(INDEX($E$11:$E$23,MATCH(MATCH(BF$8,$AF$8:$CA$8,0)-MATCH($D36,$D$33:$D$80,0),$D$11:$D$23,0),0),0)</f>
        <v>0</v>
      </c>
      <c r="BG36" s="654" cm="1">
        <f t="array" ref="BG36">$E36*IFERROR(INDEX($E$11:$E$23,MATCH(MATCH(BG$8,$AF$8:$CA$8,0)-MATCH($D36,$D$33:$D$80,0),$D$11:$D$23,0),0),0)</f>
        <v>0</v>
      </c>
      <c r="BH36" s="654" cm="1">
        <f t="array" ref="BH36">$E36*IFERROR(INDEX($E$11:$E$23,MATCH(MATCH(BH$8,$AF$8:$CA$8,0)-MATCH($D36,$D$33:$D$80,0),$D$11:$D$23,0),0),0)</f>
        <v>0</v>
      </c>
      <c r="BI36" s="654" cm="1">
        <f t="array" ref="BI36">$E36*IFERROR(INDEX($E$11:$E$23,MATCH(MATCH(BI$8,$AF$8:$CA$8,0)-MATCH($D36,$D$33:$D$80,0),$D$11:$D$23,0),0),0)</f>
        <v>0</v>
      </c>
      <c r="BJ36" s="654" cm="1">
        <f t="array" ref="BJ36">$E36*IFERROR(INDEX($E$11:$E$23,MATCH(MATCH(BJ$8,$AF$8:$CA$8,0)-MATCH($D36,$D$33:$D$80,0),$D$11:$D$23,0),0),0)</f>
        <v>0</v>
      </c>
      <c r="BK36" s="654" cm="1">
        <f t="array" ref="BK36">$E36*IFERROR(INDEX($E$11:$E$23,MATCH(MATCH(BK$8,$AF$8:$CA$8,0)-MATCH($D36,$D$33:$D$80,0),$D$11:$D$23,0),0),0)</f>
        <v>0</v>
      </c>
      <c r="BL36" s="654" cm="1">
        <f t="array" ref="BL36">$E36*IFERROR(INDEX($E$11:$E$23,MATCH(MATCH(BL$8,$AF$8:$CA$8,0)-MATCH($D36,$D$33:$D$80,0),$D$11:$D$23,0),0),0)</f>
        <v>0</v>
      </c>
      <c r="BM36" s="654" cm="1">
        <f t="array" ref="BM36">$E36*IFERROR(INDEX($E$11:$E$23,MATCH(MATCH(BM$8,$AF$8:$CA$8,0)-MATCH($D36,$D$33:$D$80,0),$D$11:$D$23,0),0),0)</f>
        <v>0</v>
      </c>
      <c r="BN36" s="654" cm="1">
        <f t="array" ref="BN36">$E36*IFERROR(INDEX($E$11:$E$23,MATCH(MATCH(BN$8,$AF$8:$CA$8,0)-MATCH($D36,$D$33:$D$80,0),$D$11:$D$23,0),0),0)</f>
        <v>0</v>
      </c>
      <c r="BO36" s="654" cm="1">
        <f t="array" ref="BO36">$E36*IFERROR(INDEX($E$11:$E$23,MATCH(MATCH(BO$8,$AF$8:$CA$8,0)-MATCH($D36,$D$33:$D$80,0),$D$11:$D$23,0),0),0)</f>
        <v>0</v>
      </c>
      <c r="BP36" s="654" cm="1">
        <f t="array" ref="BP36">$E36*IFERROR(INDEX($E$11:$E$23,MATCH(MATCH(BP$8,$AF$8:$CA$8,0)-MATCH($D36,$D$33:$D$80,0),$D$11:$D$23,0),0),0)</f>
        <v>0</v>
      </c>
      <c r="BQ36" s="654" cm="1">
        <f t="array" ref="BQ36">$E36*IFERROR(INDEX($E$11:$E$23,MATCH(MATCH(BQ$8,$AF$8:$CA$8,0)-MATCH($D36,$D$33:$D$80,0),$D$11:$D$23,0),0),0)</f>
        <v>0</v>
      </c>
      <c r="BR36" s="654" cm="1">
        <f t="array" ref="BR36">$E36*IFERROR(INDEX($E$11:$E$23,MATCH(MATCH(BR$8,$AF$8:$CA$8,0)-MATCH($D36,$D$33:$D$80,0),$D$11:$D$23,0),0),0)</f>
        <v>0</v>
      </c>
      <c r="BS36" s="654" cm="1">
        <f t="array" ref="BS36">$E36*IFERROR(INDEX($E$11:$E$23,MATCH(MATCH(BS$8,$AF$8:$CA$8,0)-MATCH($D36,$D$33:$D$80,0),$D$11:$D$23,0),0),0)</f>
        <v>0</v>
      </c>
      <c r="BT36" s="654" cm="1">
        <f t="array" ref="BT36">$E36*IFERROR(INDEX($E$11:$E$23,MATCH(MATCH(BT$8,$AF$8:$CA$8,0)-MATCH($D36,$D$33:$D$80,0),$D$11:$D$23,0),0),0)</f>
        <v>0</v>
      </c>
      <c r="BU36" s="654" cm="1">
        <f t="array" ref="BU36">$E36*IFERROR(INDEX($E$11:$E$23,MATCH(MATCH(BU$8,$AF$8:$CA$8,0)-MATCH($D36,$D$33:$D$80,0),$D$11:$D$23,0),0),0)</f>
        <v>0</v>
      </c>
      <c r="BV36" s="654" cm="1">
        <f t="array" ref="BV36">$E36*IFERROR(INDEX($E$11:$E$23,MATCH(MATCH(BV$8,$AF$8:$CA$8,0)-MATCH($D36,$D$33:$D$80,0),$D$11:$D$23,0),0),0)</f>
        <v>0</v>
      </c>
      <c r="BW36" s="654" cm="1">
        <f t="array" ref="BW36">$E36*IFERROR(INDEX($E$11:$E$23,MATCH(MATCH(BW$8,$AF$8:$CA$8,0)-MATCH($D36,$D$33:$D$80,0),$D$11:$D$23,0),0),0)</f>
        <v>0</v>
      </c>
      <c r="BX36" s="654" cm="1">
        <f t="array" ref="BX36">$E36*IFERROR(INDEX($E$11:$E$23,MATCH(MATCH(BX$8,$AF$8:$CA$8,0)-MATCH($D36,$D$33:$D$80,0),$D$11:$D$23,0),0),0)</f>
        <v>0</v>
      </c>
      <c r="BY36" s="654" cm="1">
        <f t="array" ref="BY36">$E36*IFERROR(INDEX($E$11:$E$23,MATCH(MATCH(BY$8,$AF$8:$CA$8,0)-MATCH($D36,$D$33:$D$80,0),$D$11:$D$23,0),0),0)</f>
        <v>0</v>
      </c>
      <c r="BZ36" s="654" cm="1">
        <f t="array" ref="BZ36">$E36*IFERROR(INDEX($E$11:$E$23,MATCH(MATCH(BZ$8,$AF$8:$CA$8,0)-MATCH($D36,$D$33:$D$80,0),$D$11:$D$23,0),0),0)</f>
        <v>0</v>
      </c>
      <c r="CA36" s="654" cm="1">
        <f t="array" ref="CA36">$E36*IFERROR(INDEX($E$11:$E$23,MATCH(MATCH(CA$8,$AF$8:$CA$8,0)-MATCH($D36,$D$33:$D$80,0),$D$11:$D$23,0),0),0)</f>
        <v>0</v>
      </c>
    </row>
    <row r="37" spans="2:79" ht="21" hidden="1" customHeight="1" outlineLevel="2">
      <c r="B37" s="367"/>
      <c r="C37" s="370"/>
      <c r="D37" s="374">
        <f t="shared" si="24"/>
        <v>45077</v>
      </c>
      <c r="E37" s="653" cm="1">
        <f t="array" ref="E37">IF($D37&lt;=LatestMonthOfActuals,0,INDEX($AF$28:$CA$28,0,MATCH($D37,$AF$8:$CA$8,0)))</f>
        <v>0</v>
      </c>
      <c r="F37" s="643"/>
      <c r="G37" s="644"/>
      <c r="H37" s="408">
        <f t="shared" si="22"/>
        <v>0</v>
      </c>
      <c r="I37" s="408">
        <f t="shared" si="22"/>
        <v>0</v>
      </c>
      <c r="J37" s="408">
        <f t="shared" si="22"/>
        <v>0</v>
      </c>
      <c r="K37" s="408">
        <f t="shared" si="22"/>
        <v>0</v>
      </c>
      <c r="L37" s="643"/>
      <c r="M37" s="644"/>
      <c r="N37" s="408">
        <f t="shared" si="23"/>
        <v>0</v>
      </c>
      <c r="O37" s="408">
        <f t="shared" si="23"/>
        <v>0</v>
      </c>
      <c r="P37" s="408">
        <f t="shared" si="23"/>
        <v>0</v>
      </c>
      <c r="Q37" s="408">
        <f t="shared" si="23"/>
        <v>0</v>
      </c>
      <c r="R37" s="408">
        <f t="shared" si="23"/>
        <v>0</v>
      </c>
      <c r="S37" s="408">
        <f t="shared" si="23"/>
        <v>0</v>
      </c>
      <c r="T37" s="408">
        <f t="shared" si="23"/>
        <v>0</v>
      </c>
      <c r="U37" s="408">
        <f t="shared" si="23"/>
        <v>0</v>
      </c>
      <c r="V37" s="408">
        <f t="shared" si="23"/>
        <v>0</v>
      </c>
      <c r="W37" s="408">
        <f t="shared" si="23"/>
        <v>0</v>
      </c>
      <c r="X37" s="408">
        <f t="shared" si="23"/>
        <v>0</v>
      </c>
      <c r="Y37" s="408">
        <f t="shared" si="23"/>
        <v>0</v>
      </c>
      <c r="Z37" s="408">
        <f t="shared" si="23"/>
        <v>0</v>
      </c>
      <c r="AA37" s="408">
        <f t="shared" si="23"/>
        <v>0</v>
      </c>
      <c r="AB37" s="408">
        <f t="shared" si="23"/>
        <v>0</v>
      </c>
      <c r="AC37" s="408">
        <f t="shared" si="23"/>
        <v>0</v>
      </c>
      <c r="AD37" s="643"/>
      <c r="AE37" s="644"/>
      <c r="AF37" s="654" cm="1">
        <f t="array" ref="AF37">$E37*IFERROR(INDEX($E$11:$E$23,MATCH(MATCH(AF$8,$AF$8:$CA$8,0)-MATCH($D37,$D$33:$D$80,0),$D$11:$D$23,0),0),0)</f>
        <v>0</v>
      </c>
      <c r="AG37" s="654" cm="1">
        <f t="array" ref="AG37">$E37*IFERROR(INDEX($E$11:$E$23,MATCH(MATCH(AG$8,$AF$8:$CA$8,0)-MATCH($D37,$D$33:$D$80,0),$D$11:$D$23,0),0),0)</f>
        <v>0</v>
      </c>
      <c r="AH37" s="654" cm="1">
        <f t="array" ref="AH37">$E37*IFERROR(INDEX($E$11:$E$23,MATCH(MATCH(AH$8,$AF$8:$CA$8,0)-MATCH($D37,$D$33:$D$80,0),$D$11:$D$23,0),0),0)</f>
        <v>0</v>
      </c>
      <c r="AI37" s="654" cm="1">
        <f t="array" ref="AI37">$E37*IFERROR(INDEX($E$11:$E$23,MATCH(MATCH(AI$8,$AF$8:$CA$8,0)-MATCH($D37,$D$33:$D$80,0),$D$11:$D$23,0),0),0)</f>
        <v>0</v>
      </c>
      <c r="AJ37" s="654" cm="1">
        <f t="array" ref="AJ37">$E37*IFERROR(INDEX($E$11:$E$23,MATCH(MATCH(AJ$8,$AF$8:$CA$8,0)-MATCH($D37,$D$33:$D$80,0),$D$11:$D$23,0),0),0)</f>
        <v>0</v>
      </c>
      <c r="AK37" s="654" cm="1">
        <f t="array" ref="AK37">$E37*IFERROR(INDEX($E$11:$E$23,MATCH(MATCH(AK$8,$AF$8:$CA$8,0)-MATCH($D37,$D$33:$D$80,0),$D$11:$D$23,0),0),0)</f>
        <v>0</v>
      </c>
      <c r="AL37" s="654" cm="1">
        <f t="array" ref="AL37">$E37*IFERROR(INDEX($E$11:$E$23,MATCH(MATCH(AL$8,$AF$8:$CA$8,0)-MATCH($D37,$D$33:$D$80,0),$D$11:$D$23,0),0),0)</f>
        <v>0</v>
      </c>
      <c r="AM37" s="654" cm="1">
        <f t="array" ref="AM37">$E37*IFERROR(INDEX($E$11:$E$23,MATCH(MATCH(AM$8,$AF$8:$CA$8,0)-MATCH($D37,$D$33:$D$80,0),$D$11:$D$23,0),0),0)</f>
        <v>0</v>
      </c>
      <c r="AN37" s="654" cm="1">
        <f t="array" ref="AN37">$E37*IFERROR(INDEX($E$11:$E$23,MATCH(MATCH(AN$8,$AF$8:$CA$8,0)-MATCH($D37,$D$33:$D$80,0),$D$11:$D$23,0),0),0)</f>
        <v>0</v>
      </c>
      <c r="AO37" s="654" cm="1">
        <f t="array" ref="AO37">$E37*IFERROR(INDEX($E$11:$E$23,MATCH(MATCH(AO$8,$AF$8:$CA$8,0)-MATCH($D37,$D$33:$D$80,0),$D$11:$D$23,0),0),0)</f>
        <v>0</v>
      </c>
      <c r="AP37" s="654" cm="1">
        <f t="array" ref="AP37">$E37*IFERROR(INDEX($E$11:$E$23,MATCH(MATCH(AP$8,$AF$8:$CA$8,0)-MATCH($D37,$D$33:$D$80,0),$D$11:$D$23,0),0),0)</f>
        <v>0</v>
      </c>
      <c r="AQ37" s="654" cm="1">
        <f t="array" ref="AQ37">$E37*IFERROR(INDEX($E$11:$E$23,MATCH(MATCH(AQ$8,$AF$8:$CA$8,0)-MATCH($D37,$D$33:$D$80,0),$D$11:$D$23,0),0),0)</f>
        <v>0</v>
      </c>
      <c r="AR37" s="654" cm="1">
        <f t="array" ref="AR37">$E37*IFERROR(INDEX($E$11:$E$23,MATCH(MATCH(AR$8,$AF$8:$CA$8,0)-MATCH($D37,$D$33:$D$80,0),$D$11:$D$23,0),0),0)</f>
        <v>0</v>
      </c>
      <c r="AS37" s="654" cm="1">
        <f t="array" ref="AS37">$E37*IFERROR(INDEX($E$11:$E$23,MATCH(MATCH(AS$8,$AF$8:$CA$8,0)-MATCH($D37,$D$33:$D$80,0),$D$11:$D$23,0),0),0)</f>
        <v>0</v>
      </c>
      <c r="AT37" s="654" cm="1">
        <f t="array" ref="AT37">$E37*IFERROR(INDEX($E$11:$E$23,MATCH(MATCH(AT$8,$AF$8:$CA$8,0)-MATCH($D37,$D$33:$D$80,0),$D$11:$D$23,0),0),0)</f>
        <v>0</v>
      </c>
      <c r="AU37" s="654" cm="1">
        <f t="array" ref="AU37">$E37*IFERROR(INDEX($E$11:$E$23,MATCH(MATCH(AU$8,$AF$8:$CA$8,0)-MATCH($D37,$D$33:$D$80,0),$D$11:$D$23,0),0),0)</f>
        <v>0</v>
      </c>
      <c r="AV37" s="654" cm="1">
        <f t="array" ref="AV37">$E37*IFERROR(INDEX($E$11:$E$23,MATCH(MATCH(AV$8,$AF$8:$CA$8,0)-MATCH($D37,$D$33:$D$80,0),$D$11:$D$23,0),0),0)</f>
        <v>0</v>
      </c>
      <c r="AW37" s="654" cm="1">
        <f t="array" ref="AW37">$E37*IFERROR(INDEX($E$11:$E$23,MATCH(MATCH(AW$8,$AF$8:$CA$8,0)-MATCH($D37,$D$33:$D$80,0),$D$11:$D$23,0),0),0)</f>
        <v>0</v>
      </c>
      <c r="AX37" s="654" cm="1">
        <f t="array" ref="AX37">$E37*IFERROR(INDEX($E$11:$E$23,MATCH(MATCH(AX$8,$AF$8:$CA$8,0)-MATCH($D37,$D$33:$D$80,0),$D$11:$D$23,0),0),0)</f>
        <v>0</v>
      </c>
      <c r="AY37" s="654" cm="1">
        <f t="array" ref="AY37">$E37*IFERROR(INDEX($E$11:$E$23,MATCH(MATCH(AY$8,$AF$8:$CA$8,0)-MATCH($D37,$D$33:$D$80,0),$D$11:$D$23,0),0),0)</f>
        <v>0</v>
      </c>
      <c r="AZ37" s="654" cm="1">
        <f t="array" ref="AZ37">$E37*IFERROR(INDEX($E$11:$E$23,MATCH(MATCH(AZ$8,$AF$8:$CA$8,0)-MATCH($D37,$D$33:$D$80,0),$D$11:$D$23,0),0),0)</f>
        <v>0</v>
      </c>
      <c r="BA37" s="654" cm="1">
        <f t="array" ref="BA37">$E37*IFERROR(INDEX($E$11:$E$23,MATCH(MATCH(BA$8,$AF$8:$CA$8,0)-MATCH($D37,$D$33:$D$80,0),$D$11:$D$23,0),0),0)</f>
        <v>0</v>
      </c>
      <c r="BB37" s="654" cm="1">
        <f t="array" ref="BB37">$E37*IFERROR(INDEX($E$11:$E$23,MATCH(MATCH(BB$8,$AF$8:$CA$8,0)-MATCH($D37,$D$33:$D$80,0),$D$11:$D$23,0),0),0)</f>
        <v>0</v>
      </c>
      <c r="BC37" s="654" cm="1">
        <f t="array" ref="BC37">$E37*IFERROR(INDEX($E$11:$E$23,MATCH(MATCH(BC$8,$AF$8:$CA$8,0)-MATCH($D37,$D$33:$D$80,0),$D$11:$D$23,0),0),0)</f>
        <v>0</v>
      </c>
      <c r="BD37" s="654" cm="1">
        <f t="array" ref="BD37">$E37*IFERROR(INDEX($E$11:$E$23,MATCH(MATCH(BD$8,$AF$8:$CA$8,0)-MATCH($D37,$D$33:$D$80,0),$D$11:$D$23,0),0),0)</f>
        <v>0</v>
      </c>
      <c r="BE37" s="654" cm="1">
        <f t="array" ref="BE37">$E37*IFERROR(INDEX($E$11:$E$23,MATCH(MATCH(BE$8,$AF$8:$CA$8,0)-MATCH($D37,$D$33:$D$80,0),$D$11:$D$23,0),0),0)</f>
        <v>0</v>
      </c>
      <c r="BF37" s="654" cm="1">
        <f t="array" ref="BF37">$E37*IFERROR(INDEX($E$11:$E$23,MATCH(MATCH(BF$8,$AF$8:$CA$8,0)-MATCH($D37,$D$33:$D$80,0),$D$11:$D$23,0),0),0)</f>
        <v>0</v>
      </c>
      <c r="BG37" s="654" cm="1">
        <f t="array" ref="BG37">$E37*IFERROR(INDEX($E$11:$E$23,MATCH(MATCH(BG$8,$AF$8:$CA$8,0)-MATCH($D37,$D$33:$D$80,0),$D$11:$D$23,0),0),0)</f>
        <v>0</v>
      </c>
      <c r="BH37" s="654" cm="1">
        <f t="array" ref="BH37">$E37*IFERROR(INDEX($E$11:$E$23,MATCH(MATCH(BH$8,$AF$8:$CA$8,0)-MATCH($D37,$D$33:$D$80,0),$D$11:$D$23,0),0),0)</f>
        <v>0</v>
      </c>
      <c r="BI37" s="654" cm="1">
        <f t="array" ref="BI37">$E37*IFERROR(INDEX($E$11:$E$23,MATCH(MATCH(BI$8,$AF$8:$CA$8,0)-MATCH($D37,$D$33:$D$80,0),$D$11:$D$23,0),0),0)</f>
        <v>0</v>
      </c>
      <c r="BJ37" s="654" cm="1">
        <f t="array" ref="BJ37">$E37*IFERROR(INDEX($E$11:$E$23,MATCH(MATCH(BJ$8,$AF$8:$CA$8,0)-MATCH($D37,$D$33:$D$80,0),$D$11:$D$23,0),0),0)</f>
        <v>0</v>
      </c>
      <c r="BK37" s="654" cm="1">
        <f t="array" ref="BK37">$E37*IFERROR(INDEX($E$11:$E$23,MATCH(MATCH(BK$8,$AF$8:$CA$8,0)-MATCH($D37,$D$33:$D$80,0),$D$11:$D$23,0),0),0)</f>
        <v>0</v>
      </c>
      <c r="BL37" s="654" cm="1">
        <f t="array" ref="BL37">$E37*IFERROR(INDEX($E$11:$E$23,MATCH(MATCH(BL$8,$AF$8:$CA$8,0)-MATCH($D37,$D$33:$D$80,0),$D$11:$D$23,0),0),0)</f>
        <v>0</v>
      </c>
      <c r="BM37" s="654" cm="1">
        <f t="array" ref="BM37">$E37*IFERROR(INDEX($E$11:$E$23,MATCH(MATCH(BM$8,$AF$8:$CA$8,0)-MATCH($D37,$D$33:$D$80,0),$D$11:$D$23,0),0),0)</f>
        <v>0</v>
      </c>
      <c r="BN37" s="654" cm="1">
        <f t="array" ref="BN37">$E37*IFERROR(INDEX($E$11:$E$23,MATCH(MATCH(BN$8,$AF$8:$CA$8,0)-MATCH($D37,$D$33:$D$80,0),$D$11:$D$23,0),0),0)</f>
        <v>0</v>
      </c>
      <c r="BO37" s="654" cm="1">
        <f t="array" ref="BO37">$E37*IFERROR(INDEX($E$11:$E$23,MATCH(MATCH(BO$8,$AF$8:$CA$8,0)-MATCH($D37,$D$33:$D$80,0),$D$11:$D$23,0),0),0)</f>
        <v>0</v>
      </c>
      <c r="BP37" s="654" cm="1">
        <f t="array" ref="BP37">$E37*IFERROR(INDEX($E$11:$E$23,MATCH(MATCH(BP$8,$AF$8:$CA$8,0)-MATCH($D37,$D$33:$D$80,0),$D$11:$D$23,0),0),0)</f>
        <v>0</v>
      </c>
      <c r="BQ37" s="654" cm="1">
        <f t="array" ref="BQ37">$E37*IFERROR(INDEX($E$11:$E$23,MATCH(MATCH(BQ$8,$AF$8:$CA$8,0)-MATCH($D37,$D$33:$D$80,0),$D$11:$D$23,0),0),0)</f>
        <v>0</v>
      </c>
      <c r="BR37" s="654" cm="1">
        <f t="array" ref="BR37">$E37*IFERROR(INDEX($E$11:$E$23,MATCH(MATCH(BR$8,$AF$8:$CA$8,0)-MATCH($D37,$D$33:$D$80,0),$D$11:$D$23,0),0),0)</f>
        <v>0</v>
      </c>
      <c r="BS37" s="654" cm="1">
        <f t="array" ref="BS37">$E37*IFERROR(INDEX($E$11:$E$23,MATCH(MATCH(BS$8,$AF$8:$CA$8,0)-MATCH($D37,$D$33:$D$80,0),$D$11:$D$23,0),0),0)</f>
        <v>0</v>
      </c>
      <c r="BT37" s="654" cm="1">
        <f t="array" ref="BT37">$E37*IFERROR(INDEX($E$11:$E$23,MATCH(MATCH(BT$8,$AF$8:$CA$8,0)-MATCH($D37,$D$33:$D$80,0),$D$11:$D$23,0),0),0)</f>
        <v>0</v>
      </c>
      <c r="BU37" s="654" cm="1">
        <f t="array" ref="BU37">$E37*IFERROR(INDEX($E$11:$E$23,MATCH(MATCH(BU$8,$AF$8:$CA$8,0)-MATCH($D37,$D$33:$D$80,0),$D$11:$D$23,0),0),0)</f>
        <v>0</v>
      </c>
      <c r="BV37" s="654" cm="1">
        <f t="array" ref="BV37">$E37*IFERROR(INDEX($E$11:$E$23,MATCH(MATCH(BV$8,$AF$8:$CA$8,0)-MATCH($D37,$D$33:$D$80,0),$D$11:$D$23,0),0),0)</f>
        <v>0</v>
      </c>
      <c r="BW37" s="654" cm="1">
        <f t="array" ref="BW37">$E37*IFERROR(INDEX($E$11:$E$23,MATCH(MATCH(BW$8,$AF$8:$CA$8,0)-MATCH($D37,$D$33:$D$80,0),$D$11:$D$23,0),0),0)</f>
        <v>0</v>
      </c>
      <c r="BX37" s="654" cm="1">
        <f t="array" ref="BX37">$E37*IFERROR(INDEX($E$11:$E$23,MATCH(MATCH(BX$8,$AF$8:$CA$8,0)-MATCH($D37,$D$33:$D$80,0),$D$11:$D$23,0),0),0)</f>
        <v>0</v>
      </c>
      <c r="BY37" s="654" cm="1">
        <f t="array" ref="BY37">$E37*IFERROR(INDEX($E$11:$E$23,MATCH(MATCH(BY$8,$AF$8:$CA$8,0)-MATCH($D37,$D$33:$D$80,0),$D$11:$D$23,0),0),0)</f>
        <v>0</v>
      </c>
      <c r="BZ37" s="654" cm="1">
        <f t="array" ref="BZ37">$E37*IFERROR(INDEX($E$11:$E$23,MATCH(MATCH(BZ$8,$AF$8:$CA$8,0)-MATCH($D37,$D$33:$D$80,0),$D$11:$D$23,0),0),0)</f>
        <v>0</v>
      </c>
      <c r="CA37" s="654" cm="1">
        <f t="array" ref="CA37">$E37*IFERROR(INDEX($E$11:$E$23,MATCH(MATCH(CA$8,$AF$8:$CA$8,0)-MATCH($D37,$D$33:$D$80,0),$D$11:$D$23,0),0),0)</f>
        <v>0</v>
      </c>
    </row>
    <row r="38" spans="2:79" ht="21" hidden="1" customHeight="1" outlineLevel="2">
      <c r="B38" s="367"/>
      <c r="C38" s="370"/>
      <c r="D38" s="374">
        <f t="shared" si="24"/>
        <v>45107</v>
      </c>
      <c r="E38" s="653" cm="1">
        <f t="array" ref="E38">IF($D38&lt;=LatestMonthOfActuals,0,INDEX($AF$28:$CA$28,0,MATCH($D38,$AF$8:$CA$8,0)))</f>
        <v>0</v>
      </c>
      <c r="F38" s="643"/>
      <c r="G38" s="644"/>
      <c r="H38" s="408">
        <f t="shared" si="22"/>
        <v>0</v>
      </c>
      <c r="I38" s="408">
        <f t="shared" si="22"/>
        <v>0</v>
      </c>
      <c r="J38" s="408">
        <f t="shared" si="22"/>
        <v>0</v>
      </c>
      <c r="K38" s="408">
        <f t="shared" si="22"/>
        <v>0</v>
      </c>
      <c r="L38" s="643"/>
      <c r="M38" s="644"/>
      <c r="N38" s="408">
        <f t="shared" si="23"/>
        <v>0</v>
      </c>
      <c r="O38" s="408">
        <f t="shared" si="23"/>
        <v>0</v>
      </c>
      <c r="P38" s="408">
        <f t="shared" si="23"/>
        <v>0</v>
      </c>
      <c r="Q38" s="408">
        <f t="shared" si="23"/>
        <v>0</v>
      </c>
      <c r="R38" s="408">
        <f t="shared" si="23"/>
        <v>0</v>
      </c>
      <c r="S38" s="408">
        <f t="shared" si="23"/>
        <v>0</v>
      </c>
      <c r="T38" s="408">
        <f t="shared" si="23"/>
        <v>0</v>
      </c>
      <c r="U38" s="408">
        <f t="shared" si="23"/>
        <v>0</v>
      </c>
      <c r="V38" s="408">
        <f t="shared" si="23"/>
        <v>0</v>
      </c>
      <c r="W38" s="408">
        <f t="shared" si="23"/>
        <v>0</v>
      </c>
      <c r="X38" s="408">
        <f t="shared" si="23"/>
        <v>0</v>
      </c>
      <c r="Y38" s="408">
        <f t="shared" si="23"/>
        <v>0</v>
      </c>
      <c r="Z38" s="408">
        <f t="shared" si="23"/>
        <v>0</v>
      </c>
      <c r="AA38" s="408">
        <f t="shared" si="23"/>
        <v>0</v>
      </c>
      <c r="AB38" s="408">
        <f t="shared" si="23"/>
        <v>0</v>
      </c>
      <c r="AC38" s="408">
        <f t="shared" si="23"/>
        <v>0</v>
      </c>
      <c r="AD38" s="643"/>
      <c r="AE38" s="644"/>
      <c r="AF38" s="654" cm="1">
        <f t="array" ref="AF38">$E38*IFERROR(INDEX($E$11:$E$23,MATCH(MATCH(AF$8,$AF$8:$CA$8,0)-MATCH($D38,$D$33:$D$80,0),$D$11:$D$23,0),0),0)</f>
        <v>0</v>
      </c>
      <c r="AG38" s="654" cm="1">
        <f t="array" ref="AG38">$E38*IFERROR(INDEX($E$11:$E$23,MATCH(MATCH(AG$8,$AF$8:$CA$8,0)-MATCH($D38,$D$33:$D$80,0),$D$11:$D$23,0),0),0)</f>
        <v>0</v>
      </c>
      <c r="AH38" s="654" cm="1">
        <f t="array" ref="AH38">$E38*IFERROR(INDEX($E$11:$E$23,MATCH(MATCH(AH$8,$AF$8:$CA$8,0)-MATCH($D38,$D$33:$D$80,0),$D$11:$D$23,0),0),0)</f>
        <v>0</v>
      </c>
      <c r="AI38" s="654" cm="1">
        <f t="array" ref="AI38">$E38*IFERROR(INDEX($E$11:$E$23,MATCH(MATCH(AI$8,$AF$8:$CA$8,0)-MATCH($D38,$D$33:$D$80,0),$D$11:$D$23,0),0),0)</f>
        <v>0</v>
      </c>
      <c r="AJ38" s="654" cm="1">
        <f t="array" ref="AJ38">$E38*IFERROR(INDEX($E$11:$E$23,MATCH(MATCH(AJ$8,$AF$8:$CA$8,0)-MATCH($D38,$D$33:$D$80,0),$D$11:$D$23,0),0),0)</f>
        <v>0</v>
      </c>
      <c r="AK38" s="654" cm="1">
        <f t="array" ref="AK38">$E38*IFERROR(INDEX($E$11:$E$23,MATCH(MATCH(AK$8,$AF$8:$CA$8,0)-MATCH($D38,$D$33:$D$80,0),$D$11:$D$23,0),0),0)</f>
        <v>0</v>
      </c>
      <c r="AL38" s="654" cm="1">
        <f t="array" ref="AL38">$E38*IFERROR(INDEX($E$11:$E$23,MATCH(MATCH(AL$8,$AF$8:$CA$8,0)-MATCH($D38,$D$33:$D$80,0),$D$11:$D$23,0),0),0)</f>
        <v>0</v>
      </c>
      <c r="AM38" s="654" cm="1">
        <f t="array" ref="AM38">$E38*IFERROR(INDEX($E$11:$E$23,MATCH(MATCH(AM$8,$AF$8:$CA$8,0)-MATCH($D38,$D$33:$D$80,0),$D$11:$D$23,0),0),0)</f>
        <v>0</v>
      </c>
      <c r="AN38" s="654" cm="1">
        <f t="array" ref="AN38">$E38*IFERROR(INDEX($E$11:$E$23,MATCH(MATCH(AN$8,$AF$8:$CA$8,0)-MATCH($D38,$D$33:$D$80,0),$D$11:$D$23,0),0),0)</f>
        <v>0</v>
      </c>
      <c r="AO38" s="654" cm="1">
        <f t="array" ref="AO38">$E38*IFERROR(INDEX($E$11:$E$23,MATCH(MATCH(AO$8,$AF$8:$CA$8,0)-MATCH($D38,$D$33:$D$80,0),$D$11:$D$23,0),0),0)</f>
        <v>0</v>
      </c>
      <c r="AP38" s="654" cm="1">
        <f t="array" ref="AP38">$E38*IFERROR(INDEX($E$11:$E$23,MATCH(MATCH(AP$8,$AF$8:$CA$8,0)-MATCH($D38,$D$33:$D$80,0),$D$11:$D$23,0),0),0)</f>
        <v>0</v>
      </c>
      <c r="AQ38" s="654" cm="1">
        <f t="array" ref="AQ38">$E38*IFERROR(INDEX($E$11:$E$23,MATCH(MATCH(AQ$8,$AF$8:$CA$8,0)-MATCH($D38,$D$33:$D$80,0),$D$11:$D$23,0),0),0)</f>
        <v>0</v>
      </c>
      <c r="AR38" s="654" cm="1">
        <f t="array" ref="AR38">$E38*IFERROR(INDEX($E$11:$E$23,MATCH(MATCH(AR$8,$AF$8:$CA$8,0)-MATCH($D38,$D$33:$D$80,0),$D$11:$D$23,0),0),0)</f>
        <v>0</v>
      </c>
      <c r="AS38" s="654" cm="1">
        <f t="array" ref="AS38">$E38*IFERROR(INDEX($E$11:$E$23,MATCH(MATCH(AS$8,$AF$8:$CA$8,0)-MATCH($D38,$D$33:$D$80,0),$D$11:$D$23,0),0),0)</f>
        <v>0</v>
      </c>
      <c r="AT38" s="654" cm="1">
        <f t="array" ref="AT38">$E38*IFERROR(INDEX($E$11:$E$23,MATCH(MATCH(AT$8,$AF$8:$CA$8,0)-MATCH($D38,$D$33:$D$80,0),$D$11:$D$23,0),0),0)</f>
        <v>0</v>
      </c>
      <c r="AU38" s="654" cm="1">
        <f t="array" ref="AU38">$E38*IFERROR(INDEX($E$11:$E$23,MATCH(MATCH(AU$8,$AF$8:$CA$8,0)-MATCH($D38,$D$33:$D$80,0),$D$11:$D$23,0),0),0)</f>
        <v>0</v>
      </c>
      <c r="AV38" s="654" cm="1">
        <f t="array" ref="AV38">$E38*IFERROR(INDEX($E$11:$E$23,MATCH(MATCH(AV$8,$AF$8:$CA$8,0)-MATCH($D38,$D$33:$D$80,0),$D$11:$D$23,0),0),0)</f>
        <v>0</v>
      </c>
      <c r="AW38" s="654" cm="1">
        <f t="array" ref="AW38">$E38*IFERROR(INDEX($E$11:$E$23,MATCH(MATCH(AW$8,$AF$8:$CA$8,0)-MATCH($D38,$D$33:$D$80,0),$D$11:$D$23,0),0),0)</f>
        <v>0</v>
      </c>
      <c r="AX38" s="654" cm="1">
        <f t="array" ref="AX38">$E38*IFERROR(INDEX($E$11:$E$23,MATCH(MATCH(AX$8,$AF$8:$CA$8,0)-MATCH($D38,$D$33:$D$80,0),$D$11:$D$23,0),0),0)</f>
        <v>0</v>
      </c>
      <c r="AY38" s="654" cm="1">
        <f t="array" ref="AY38">$E38*IFERROR(INDEX($E$11:$E$23,MATCH(MATCH(AY$8,$AF$8:$CA$8,0)-MATCH($D38,$D$33:$D$80,0),$D$11:$D$23,0),0),0)</f>
        <v>0</v>
      </c>
      <c r="AZ38" s="654" cm="1">
        <f t="array" ref="AZ38">$E38*IFERROR(INDEX($E$11:$E$23,MATCH(MATCH(AZ$8,$AF$8:$CA$8,0)-MATCH($D38,$D$33:$D$80,0),$D$11:$D$23,0),0),0)</f>
        <v>0</v>
      </c>
      <c r="BA38" s="654" cm="1">
        <f t="array" ref="BA38">$E38*IFERROR(INDEX($E$11:$E$23,MATCH(MATCH(BA$8,$AF$8:$CA$8,0)-MATCH($D38,$D$33:$D$80,0),$D$11:$D$23,0),0),0)</f>
        <v>0</v>
      </c>
      <c r="BB38" s="654" cm="1">
        <f t="array" ref="BB38">$E38*IFERROR(INDEX($E$11:$E$23,MATCH(MATCH(BB$8,$AF$8:$CA$8,0)-MATCH($D38,$D$33:$D$80,0),$D$11:$D$23,0),0),0)</f>
        <v>0</v>
      </c>
      <c r="BC38" s="654" cm="1">
        <f t="array" ref="BC38">$E38*IFERROR(INDEX($E$11:$E$23,MATCH(MATCH(BC$8,$AF$8:$CA$8,0)-MATCH($D38,$D$33:$D$80,0),$D$11:$D$23,0),0),0)</f>
        <v>0</v>
      </c>
      <c r="BD38" s="654" cm="1">
        <f t="array" ref="BD38">$E38*IFERROR(INDEX($E$11:$E$23,MATCH(MATCH(BD$8,$AF$8:$CA$8,0)-MATCH($D38,$D$33:$D$80,0),$D$11:$D$23,0),0),0)</f>
        <v>0</v>
      </c>
      <c r="BE38" s="654" cm="1">
        <f t="array" ref="BE38">$E38*IFERROR(INDEX($E$11:$E$23,MATCH(MATCH(BE$8,$AF$8:$CA$8,0)-MATCH($D38,$D$33:$D$80,0),$D$11:$D$23,0),0),0)</f>
        <v>0</v>
      </c>
      <c r="BF38" s="654" cm="1">
        <f t="array" ref="BF38">$E38*IFERROR(INDEX($E$11:$E$23,MATCH(MATCH(BF$8,$AF$8:$CA$8,0)-MATCH($D38,$D$33:$D$80,0),$D$11:$D$23,0),0),0)</f>
        <v>0</v>
      </c>
      <c r="BG38" s="654" cm="1">
        <f t="array" ref="BG38">$E38*IFERROR(INDEX($E$11:$E$23,MATCH(MATCH(BG$8,$AF$8:$CA$8,0)-MATCH($D38,$D$33:$D$80,0),$D$11:$D$23,0),0),0)</f>
        <v>0</v>
      </c>
      <c r="BH38" s="654" cm="1">
        <f t="array" ref="BH38">$E38*IFERROR(INDEX($E$11:$E$23,MATCH(MATCH(BH$8,$AF$8:$CA$8,0)-MATCH($D38,$D$33:$D$80,0),$D$11:$D$23,0),0),0)</f>
        <v>0</v>
      </c>
      <c r="BI38" s="654" cm="1">
        <f t="array" ref="BI38">$E38*IFERROR(INDEX($E$11:$E$23,MATCH(MATCH(BI$8,$AF$8:$CA$8,0)-MATCH($D38,$D$33:$D$80,0),$D$11:$D$23,0),0),0)</f>
        <v>0</v>
      </c>
      <c r="BJ38" s="654" cm="1">
        <f t="array" ref="BJ38">$E38*IFERROR(INDEX($E$11:$E$23,MATCH(MATCH(BJ$8,$AF$8:$CA$8,0)-MATCH($D38,$D$33:$D$80,0),$D$11:$D$23,0),0),0)</f>
        <v>0</v>
      </c>
      <c r="BK38" s="654" cm="1">
        <f t="array" ref="BK38">$E38*IFERROR(INDEX($E$11:$E$23,MATCH(MATCH(BK$8,$AF$8:$CA$8,0)-MATCH($D38,$D$33:$D$80,0),$D$11:$D$23,0),0),0)</f>
        <v>0</v>
      </c>
      <c r="BL38" s="654" cm="1">
        <f t="array" ref="BL38">$E38*IFERROR(INDEX($E$11:$E$23,MATCH(MATCH(BL$8,$AF$8:$CA$8,0)-MATCH($D38,$D$33:$D$80,0),$D$11:$D$23,0),0),0)</f>
        <v>0</v>
      </c>
      <c r="BM38" s="654" cm="1">
        <f t="array" ref="BM38">$E38*IFERROR(INDEX($E$11:$E$23,MATCH(MATCH(BM$8,$AF$8:$CA$8,0)-MATCH($D38,$D$33:$D$80,0),$D$11:$D$23,0),0),0)</f>
        <v>0</v>
      </c>
      <c r="BN38" s="654" cm="1">
        <f t="array" ref="BN38">$E38*IFERROR(INDEX($E$11:$E$23,MATCH(MATCH(BN$8,$AF$8:$CA$8,0)-MATCH($D38,$D$33:$D$80,0),$D$11:$D$23,0),0),0)</f>
        <v>0</v>
      </c>
      <c r="BO38" s="654" cm="1">
        <f t="array" ref="BO38">$E38*IFERROR(INDEX($E$11:$E$23,MATCH(MATCH(BO$8,$AF$8:$CA$8,0)-MATCH($D38,$D$33:$D$80,0),$D$11:$D$23,0),0),0)</f>
        <v>0</v>
      </c>
      <c r="BP38" s="654" cm="1">
        <f t="array" ref="BP38">$E38*IFERROR(INDEX($E$11:$E$23,MATCH(MATCH(BP$8,$AF$8:$CA$8,0)-MATCH($D38,$D$33:$D$80,0),$D$11:$D$23,0),0),0)</f>
        <v>0</v>
      </c>
      <c r="BQ38" s="654" cm="1">
        <f t="array" ref="BQ38">$E38*IFERROR(INDEX($E$11:$E$23,MATCH(MATCH(BQ$8,$AF$8:$CA$8,0)-MATCH($D38,$D$33:$D$80,0),$D$11:$D$23,0),0),0)</f>
        <v>0</v>
      </c>
      <c r="BR38" s="654" cm="1">
        <f t="array" ref="BR38">$E38*IFERROR(INDEX($E$11:$E$23,MATCH(MATCH(BR$8,$AF$8:$CA$8,0)-MATCH($D38,$D$33:$D$80,0),$D$11:$D$23,0),0),0)</f>
        <v>0</v>
      </c>
      <c r="BS38" s="654" cm="1">
        <f t="array" ref="BS38">$E38*IFERROR(INDEX($E$11:$E$23,MATCH(MATCH(BS$8,$AF$8:$CA$8,0)-MATCH($D38,$D$33:$D$80,0),$D$11:$D$23,0),0),0)</f>
        <v>0</v>
      </c>
      <c r="BT38" s="654" cm="1">
        <f t="array" ref="BT38">$E38*IFERROR(INDEX($E$11:$E$23,MATCH(MATCH(BT$8,$AF$8:$CA$8,0)-MATCH($D38,$D$33:$D$80,0),$D$11:$D$23,0),0),0)</f>
        <v>0</v>
      </c>
      <c r="BU38" s="654" cm="1">
        <f t="array" ref="BU38">$E38*IFERROR(INDEX($E$11:$E$23,MATCH(MATCH(BU$8,$AF$8:$CA$8,0)-MATCH($D38,$D$33:$D$80,0),$D$11:$D$23,0),0),0)</f>
        <v>0</v>
      </c>
      <c r="BV38" s="654" cm="1">
        <f t="array" ref="BV38">$E38*IFERROR(INDEX($E$11:$E$23,MATCH(MATCH(BV$8,$AF$8:$CA$8,0)-MATCH($D38,$D$33:$D$80,0),$D$11:$D$23,0),0),0)</f>
        <v>0</v>
      </c>
      <c r="BW38" s="654" cm="1">
        <f t="array" ref="BW38">$E38*IFERROR(INDEX($E$11:$E$23,MATCH(MATCH(BW$8,$AF$8:$CA$8,0)-MATCH($D38,$D$33:$D$80,0),$D$11:$D$23,0),0),0)</f>
        <v>0</v>
      </c>
      <c r="BX38" s="654" cm="1">
        <f t="array" ref="BX38">$E38*IFERROR(INDEX($E$11:$E$23,MATCH(MATCH(BX$8,$AF$8:$CA$8,0)-MATCH($D38,$D$33:$D$80,0),$D$11:$D$23,0),0),0)</f>
        <v>0</v>
      </c>
      <c r="BY38" s="654" cm="1">
        <f t="array" ref="BY38">$E38*IFERROR(INDEX($E$11:$E$23,MATCH(MATCH(BY$8,$AF$8:$CA$8,0)-MATCH($D38,$D$33:$D$80,0),$D$11:$D$23,0),0),0)</f>
        <v>0</v>
      </c>
      <c r="BZ38" s="654" cm="1">
        <f t="array" ref="BZ38">$E38*IFERROR(INDEX($E$11:$E$23,MATCH(MATCH(BZ$8,$AF$8:$CA$8,0)-MATCH($D38,$D$33:$D$80,0),$D$11:$D$23,0),0),0)</f>
        <v>0</v>
      </c>
      <c r="CA38" s="654" cm="1">
        <f t="array" ref="CA38">$E38*IFERROR(INDEX($E$11:$E$23,MATCH(MATCH(CA$8,$AF$8:$CA$8,0)-MATCH($D38,$D$33:$D$80,0),$D$11:$D$23,0),0),0)</f>
        <v>0</v>
      </c>
    </row>
    <row r="39" spans="2:79" ht="21" hidden="1" customHeight="1" outlineLevel="2">
      <c r="B39" s="367"/>
      <c r="C39" s="370"/>
      <c r="D39" s="374">
        <f t="shared" si="24"/>
        <v>45138</v>
      </c>
      <c r="E39" s="653" cm="1">
        <f t="array" ref="E39">IF($D39&lt;=LatestMonthOfActuals,0,INDEX($AF$28:$CA$28,0,MATCH($D39,$AF$8:$CA$8,0)))</f>
        <v>0</v>
      </c>
      <c r="F39" s="643"/>
      <c r="G39" s="644"/>
      <c r="H39" s="408">
        <f t="shared" si="22"/>
        <v>0</v>
      </c>
      <c r="I39" s="408">
        <f t="shared" si="22"/>
        <v>0</v>
      </c>
      <c r="J39" s="408">
        <f t="shared" si="22"/>
        <v>0</v>
      </c>
      <c r="K39" s="408">
        <f t="shared" si="22"/>
        <v>0</v>
      </c>
      <c r="L39" s="643"/>
      <c r="M39" s="644"/>
      <c r="N39" s="408">
        <f t="shared" si="23"/>
        <v>0</v>
      </c>
      <c r="O39" s="408">
        <f t="shared" si="23"/>
        <v>0</v>
      </c>
      <c r="P39" s="408">
        <f t="shared" si="23"/>
        <v>0</v>
      </c>
      <c r="Q39" s="408">
        <f t="shared" si="23"/>
        <v>0</v>
      </c>
      <c r="R39" s="408">
        <f t="shared" si="23"/>
        <v>0</v>
      </c>
      <c r="S39" s="408">
        <f t="shared" si="23"/>
        <v>0</v>
      </c>
      <c r="T39" s="408">
        <f t="shared" si="23"/>
        <v>0</v>
      </c>
      <c r="U39" s="408">
        <f t="shared" si="23"/>
        <v>0</v>
      </c>
      <c r="V39" s="408">
        <f t="shared" si="23"/>
        <v>0</v>
      </c>
      <c r="W39" s="408">
        <f t="shared" si="23"/>
        <v>0</v>
      </c>
      <c r="X39" s="408">
        <f t="shared" si="23"/>
        <v>0</v>
      </c>
      <c r="Y39" s="408">
        <f t="shared" si="23"/>
        <v>0</v>
      </c>
      <c r="Z39" s="408">
        <f t="shared" si="23"/>
        <v>0</v>
      </c>
      <c r="AA39" s="408">
        <f t="shared" si="23"/>
        <v>0</v>
      </c>
      <c r="AB39" s="408">
        <f t="shared" si="23"/>
        <v>0</v>
      </c>
      <c r="AC39" s="408">
        <f t="shared" si="23"/>
        <v>0</v>
      </c>
      <c r="AD39" s="643"/>
      <c r="AE39" s="644"/>
      <c r="AF39" s="654" cm="1">
        <f t="array" ref="AF39">$E39*IFERROR(INDEX($E$11:$E$23,MATCH(MATCH(AF$8,$AF$8:$CA$8,0)-MATCH($D39,$D$33:$D$80,0),$D$11:$D$23,0),0),0)</f>
        <v>0</v>
      </c>
      <c r="AG39" s="654" cm="1">
        <f t="array" ref="AG39">$E39*IFERROR(INDEX($E$11:$E$23,MATCH(MATCH(AG$8,$AF$8:$CA$8,0)-MATCH($D39,$D$33:$D$80,0),$D$11:$D$23,0),0),0)</f>
        <v>0</v>
      </c>
      <c r="AH39" s="654" cm="1">
        <f t="array" ref="AH39">$E39*IFERROR(INDEX($E$11:$E$23,MATCH(MATCH(AH$8,$AF$8:$CA$8,0)-MATCH($D39,$D$33:$D$80,0),$D$11:$D$23,0),0),0)</f>
        <v>0</v>
      </c>
      <c r="AI39" s="654" cm="1">
        <f t="array" ref="AI39">$E39*IFERROR(INDEX($E$11:$E$23,MATCH(MATCH(AI$8,$AF$8:$CA$8,0)-MATCH($D39,$D$33:$D$80,0),$D$11:$D$23,0),0),0)</f>
        <v>0</v>
      </c>
      <c r="AJ39" s="654" cm="1">
        <f t="array" ref="AJ39">$E39*IFERROR(INDEX($E$11:$E$23,MATCH(MATCH(AJ$8,$AF$8:$CA$8,0)-MATCH($D39,$D$33:$D$80,0),$D$11:$D$23,0),0),0)</f>
        <v>0</v>
      </c>
      <c r="AK39" s="654" cm="1">
        <f t="array" ref="AK39">$E39*IFERROR(INDEX($E$11:$E$23,MATCH(MATCH(AK$8,$AF$8:$CA$8,0)-MATCH($D39,$D$33:$D$80,0),$D$11:$D$23,0),0),0)</f>
        <v>0</v>
      </c>
      <c r="AL39" s="654" cm="1">
        <f t="array" ref="AL39">$E39*IFERROR(INDEX($E$11:$E$23,MATCH(MATCH(AL$8,$AF$8:$CA$8,0)-MATCH($D39,$D$33:$D$80,0),$D$11:$D$23,0),0),0)</f>
        <v>0</v>
      </c>
      <c r="AM39" s="654" cm="1">
        <f t="array" ref="AM39">$E39*IFERROR(INDEX($E$11:$E$23,MATCH(MATCH(AM$8,$AF$8:$CA$8,0)-MATCH($D39,$D$33:$D$80,0),$D$11:$D$23,0),0),0)</f>
        <v>0</v>
      </c>
      <c r="AN39" s="654" cm="1">
        <f t="array" ref="AN39">$E39*IFERROR(INDEX($E$11:$E$23,MATCH(MATCH(AN$8,$AF$8:$CA$8,0)-MATCH($D39,$D$33:$D$80,0),$D$11:$D$23,0),0),0)</f>
        <v>0</v>
      </c>
      <c r="AO39" s="654" cm="1">
        <f t="array" ref="AO39">$E39*IFERROR(INDEX($E$11:$E$23,MATCH(MATCH(AO$8,$AF$8:$CA$8,0)-MATCH($D39,$D$33:$D$80,0),$D$11:$D$23,0),0),0)</f>
        <v>0</v>
      </c>
      <c r="AP39" s="654" cm="1">
        <f t="array" ref="AP39">$E39*IFERROR(INDEX($E$11:$E$23,MATCH(MATCH(AP$8,$AF$8:$CA$8,0)-MATCH($D39,$D$33:$D$80,0),$D$11:$D$23,0),0),0)</f>
        <v>0</v>
      </c>
      <c r="AQ39" s="654" cm="1">
        <f t="array" ref="AQ39">$E39*IFERROR(INDEX($E$11:$E$23,MATCH(MATCH(AQ$8,$AF$8:$CA$8,0)-MATCH($D39,$D$33:$D$80,0),$D$11:$D$23,0),0),0)</f>
        <v>0</v>
      </c>
      <c r="AR39" s="654" cm="1">
        <f t="array" ref="AR39">$E39*IFERROR(INDEX($E$11:$E$23,MATCH(MATCH(AR$8,$AF$8:$CA$8,0)-MATCH($D39,$D$33:$D$80,0),$D$11:$D$23,0),0),0)</f>
        <v>0</v>
      </c>
      <c r="AS39" s="654" cm="1">
        <f t="array" ref="AS39">$E39*IFERROR(INDEX($E$11:$E$23,MATCH(MATCH(AS$8,$AF$8:$CA$8,0)-MATCH($D39,$D$33:$D$80,0),$D$11:$D$23,0),0),0)</f>
        <v>0</v>
      </c>
      <c r="AT39" s="654" cm="1">
        <f t="array" ref="AT39">$E39*IFERROR(INDEX($E$11:$E$23,MATCH(MATCH(AT$8,$AF$8:$CA$8,0)-MATCH($D39,$D$33:$D$80,0),$D$11:$D$23,0),0),0)</f>
        <v>0</v>
      </c>
      <c r="AU39" s="654" cm="1">
        <f t="array" ref="AU39">$E39*IFERROR(INDEX($E$11:$E$23,MATCH(MATCH(AU$8,$AF$8:$CA$8,0)-MATCH($D39,$D$33:$D$80,0),$D$11:$D$23,0),0),0)</f>
        <v>0</v>
      </c>
      <c r="AV39" s="654" cm="1">
        <f t="array" ref="AV39">$E39*IFERROR(INDEX($E$11:$E$23,MATCH(MATCH(AV$8,$AF$8:$CA$8,0)-MATCH($D39,$D$33:$D$80,0),$D$11:$D$23,0),0),0)</f>
        <v>0</v>
      </c>
      <c r="AW39" s="654" cm="1">
        <f t="array" ref="AW39">$E39*IFERROR(INDEX($E$11:$E$23,MATCH(MATCH(AW$8,$AF$8:$CA$8,0)-MATCH($D39,$D$33:$D$80,0),$D$11:$D$23,0),0),0)</f>
        <v>0</v>
      </c>
      <c r="AX39" s="654" cm="1">
        <f t="array" ref="AX39">$E39*IFERROR(INDEX($E$11:$E$23,MATCH(MATCH(AX$8,$AF$8:$CA$8,0)-MATCH($D39,$D$33:$D$80,0),$D$11:$D$23,0),0),0)</f>
        <v>0</v>
      </c>
      <c r="AY39" s="654" cm="1">
        <f t="array" ref="AY39">$E39*IFERROR(INDEX($E$11:$E$23,MATCH(MATCH(AY$8,$AF$8:$CA$8,0)-MATCH($D39,$D$33:$D$80,0),$D$11:$D$23,0),0),0)</f>
        <v>0</v>
      </c>
      <c r="AZ39" s="654" cm="1">
        <f t="array" ref="AZ39">$E39*IFERROR(INDEX($E$11:$E$23,MATCH(MATCH(AZ$8,$AF$8:$CA$8,0)-MATCH($D39,$D$33:$D$80,0),$D$11:$D$23,0),0),0)</f>
        <v>0</v>
      </c>
      <c r="BA39" s="654" cm="1">
        <f t="array" ref="BA39">$E39*IFERROR(INDEX($E$11:$E$23,MATCH(MATCH(BA$8,$AF$8:$CA$8,0)-MATCH($D39,$D$33:$D$80,0),$D$11:$D$23,0),0),0)</f>
        <v>0</v>
      </c>
      <c r="BB39" s="654" cm="1">
        <f t="array" ref="BB39">$E39*IFERROR(INDEX($E$11:$E$23,MATCH(MATCH(BB$8,$AF$8:$CA$8,0)-MATCH($D39,$D$33:$D$80,0),$D$11:$D$23,0),0),0)</f>
        <v>0</v>
      </c>
      <c r="BC39" s="654" cm="1">
        <f t="array" ref="BC39">$E39*IFERROR(INDEX($E$11:$E$23,MATCH(MATCH(BC$8,$AF$8:$CA$8,0)-MATCH($D39,$D$33:$D$80,0),$D$11:$D$23,0),0),0)</f>
        <v>0</v>
      </c>
      <c r="BD39" s="654" cm="1">
        <f t="array" ref="BD39">$E39*IFERROR(INDEX($E$11:$E$23,MATCH(MATCH(BD$8,$AF$8:$CA$8,0)-MATCH($D39,$D$33:$D$80,0),$D$11:$D$23,0),0),0)</f>
        <v>0</v>
      </c>
      <c r="BE39" s="654" cm="1">
        <f t="array" ref="BE39">$E39*IFERROR(INDEX($E$11:$E$23,MATCH(MATCH(BE$8,$AF$8:$CA$8,0)-MATCH($D39,$D$33:$D$80,0),$D$11:$D$23,0),0),0)</f>
        <v>0</v>
      </c>
      <c r="BF39" s="654" cm="1">
        <f t="array" ref="BF39">$E39*IFERROR(INDEX($E$11:$E$23,MATCH(MATCH(BF$8,$AF$8:$CA$8,0)-MATCH($D39,$D$33:$D$80,0),$D$11:$D$23,0),0),0)</f>
        <v>0</v>
      </c>
      <c r="BG39" s="654" cm="1">
        <f t="array" ref="BG39">$E39*IFERROR(INDEX($E$11:$E$23,MATCH(MATCH(BG$8,$AF$8:$CA$8,0)-MATCH($D39,$D$33:$D$80,0),$D$11:$D$23,0),0),0)</f>
        <v>0</v>
      </c>
      <c r="BH39" s="654" cm="1">
        <f t="array" ref="BH39">$E39*IFERROR(INDEX($E$11:$E$23,MATCH(MATCH(BH$8,$AF$8:$CA$8,0)-MATCH($D39,$D$33:$D$80,0),$D$11:$D$23,0),0),0)</f>
        <v>0</v>
      </c>
      <c r="BI39" s="654" cm="1">
        <f t="array" ref="BI39">$E39*IFERROR(INDEX($E$11:$E$23,MATCH(MATCH(BI$8,$AF$8:$CA$8,0)-MATCH($D39,$D$33:$D$80,0),$D$11:$D$23,0),0),0)</f>
        <v>0</v>
      </c>
      <c r="BJ39" s="654" cm="1">
        <f t="array" ref="BJ39">$E39*IFERROR(INDEX($E$11:$E$23,MATCH(MATCH(BJ$8,$AF$8:$CA$8,0)-MATCH($D39,$D$33:$D$80,0),$D$11:$D$23,0),0),0)</f>
        <v>0</v>
      </c>
      <c r="BK39" s="654" cm="1">
        <f t="array" ref="BK39">$E39*IFERROR(INDEX($E$11:$E$23,MATCH(MATCH(BK$8,$AF$8:$CA$8,0)-MATCH($D39,$D$33:$D$80,0),$D$11:$D$23,0),0),0)</f>
        <v>0</v>
      </c>
      <c r="BL39" s="654" cm="1">
        <f t="array" ref="BL39">$E39*IFERROR(INDEX($E$11:$E$23,MATCH(MATCH(BL$8,$AF$8:$CA$8,0)-MATCH($D39,$D$33:$D$80,0),$D$11:$D$23,0),0),0)</f>
        <v>0</v>
      </c>
      <c r="BM39" s="654" cm="1">
        <f t="array" ref="BM39">$E39*IFERROR(INDEX($E$11:$E$23,MATCH(MATCH(BM$8,$AF$8:$CA$8,0)-MATCH($D39,$D$33:$D$80,0),$D$11:$D$23,0),0),0)</f>
        <v>0</v>
      </c>
      <c r="BN39" s="654" cm="1">
        <f t="array" ref="BN39">$E39*IFERROR(INDEX($E$11:$E$23,MATCH(MATCH(BN$8,$AF$8:$CA$8,0)-MATCH($D39,$D$33:$D$80,0),$D$11:$D$23,0),0),0)</f>
        <v>0</v>
      </c>
      <c r="BO39" s="654" cm="1">
        <f t="array" ref="BO39">$E39*IFERROR(INDEX($E$11:$E$23,MATCH(MATCH(BO$8,$AF$8:$CA$8,0)-MATCH($D39,$D$33:$D$80,0),$D$11:$D$23,0),0),0)</f>
        <v>0</v>
      </c>
      <c r="BP39" s="654" cm="1">
        <f t="array" ref="BP39">$E39*IFERROR(INDEX($E$11:$E$23,MATCH(MATCH(BP$8,$AF$8:$CA$8,0)-MATCH($D39,$D$33:$D$80,0),$D$11:$D$23,0),0),0)</f>
        <v>0</v>
      </c>
      <c r="BQ39" s="654" cm="1">
        <f t="array" ref="BQ39">$E39*IFERROR(INDEX($E$11:$E$23,MATCH(MATCH(BQ$8,$AF$8:$CA$8,0)-MATCH($D39,$D$33:$D$80,0),$D$11:$D$23,0),0),0)</f>
        <v>0</v>
      </c>
      <c r="BR39" s="654" cm="1">
        <f t="array" ref="BR39">$E39*IFERROR(INDEX($E$11:$E$23,MATCH(MATCH(BR$8,$AF$8:$CA$8,0)-MATCH($D39,$D$33:$D$80,0),$D$11:$D$23,0),0),0)</f>
        <v>0</v>
      </c>
      <c r="BS39" s="654" cm="1">
        <f t="array" ref="BS39">$E39*IFERROR(INDEX($E$11:$E$23,MATCH(MATCH(BS$8,$AF$8:$CA$8,0)-MATCH($D39,$D$33:$D$80,0),$D$11:$D$23,0),0),0)</f>
        <v>0</v>
      </c>
      <c r="BT39" s="654" cm="1">
        <f t="array" ref="BT39">$E39*IFERROR(INDEX($E$11:$E$23,MATCH(MATCH(BT$8,$AF$8:$CA$8,0)-MATCH($D39,$D$33:$D$80,0),$D$11:$D$23,0),0),0)</f>
        <v>0</v>
      </c>
      <c r="BU39" s="654" cm="1">
        <f t="array" ref="BU39">$E39*IFERROR(INDEX($E$11:$E$23,MATCH(MATCH(BU$8,$AF$8:$CA$8,0)-MATCH($D39,$D$33:$D$80,0),$D$11:$D$23,0),0),0)</f>
        <v>0</v>
      </c>
      <c r="BV39" s="654" cm="1">
        <f t="array" ref="BV39">$E39*IFERROR(INDEX($E$11:$E$23,MATCH(MATCH(BV$8,$AF$8:$CA$8,0)-MATCH($D39,$D$33:$D$80,0),$D$11:$D$23,0),0),0)</f>
        <v>0</v>
      </c>
      <c r="BW39" s="654" cm="1">
        <f t="array" ref="BW39">$E39*IFERROR(INDEX($E$11:$E$23,MATCH(MATCH(BW$8,$AF$8:$CA$8,0)-MATCH($D39,$D$33:$D$80,0),$D$11:$D$23,0),0),0)</f>
        <v>0</v>
      </c>
      <c r="BX39" s="654" cm="1">
        <f t="array" ref="BX39">$E39*IFERROR(INDEX($E$11:$E$23,MATCH(MATCH(BX$8,$AF$8:$CA$8,0)-MATCH($D39,$D$33:$D$80,0),$D$11:$D$23,0),0),0)</f>
        <v>0</v>
      </c>
      <c r="BY39" s="654" cm="1">
        <f t="array" ref="BY39">$E39*IFERROR(INDEX($E$11:$E$23,MATCH(MATCH(BY$8,$AF$8:$CA$8,0)-MATCH($D39,$D$33:$D$80,0),$D$11:$D$23,0),0),0)</f>
        <v>0</v>
      </c>
      <c r="BZ39" s="654" cm="1">
        <f t="array" ref="BZ39">$E39*IFERROR(INDEX($E$11:$E$23,MATCH(MATCH(BZ$8,$AF$8:$CA$8,0)-MATCH($D39,$D$33:$D$80,0),$D$11:$D$23,0),0),0)</f>
        <v>0</v>
      </c>
      <c r="CA39" s="654" cm="1">
        <f t="array" ref="CA39">$E39*IFERROR(INDEX($E$11:$E$23,MATCH(MATCH(CA$8,$AF$8:$CA$8,0)-MATCH($D39,$D$33:$D$80,0),$D$11:$D$23,0),0),0)</f>
        <v>0</v>
      </c>
    </row>
    <row r="40" spans="2:79" ht="21" hidden="1" customHeight="1" outlineLevel="2">
      <c r="B40" s="367"/>
      <c r="C40" s="370"/>
      <c r="D40" s="374">
        <f t="shared" si="24"/>
        <v>45169</v>
      </c>
      <c r="E40" s="653" cm="1">
        <f t="array" ref="E40">IF($D40&lt;=LatestMonthOfActuals,0,INDEX($AF$28:$CA$28,0,MATCH($D40,$AF$8:$CA$8,0)))</f>
        <v>0</v>
      </c>
      <c r="F40" s="643"/>
      <c r="G40" s="644"/>
      <c r="H40" s="408">
        <f t="shared" si="22"/>
        <v>0</v>
      </c>
      <c r="I40" s="408">
        <f t="shared" si="22"/>
        <v>0</v>
      </c>
      <c r="J40" s="408">
        <f t="shared" si="22"/>
        <v>0</v>
      </c>
      <c r="K40" s="408">
        <f t="shared" si="22"/>
        <v>0</v>
      </c>
      <c r="L40" s="643"/>
      <c r="M40" s="644"/>
      <c r="N40" s="408">
        <f t="shared" si="23"/>
        <v>0</v>
      </c>
      <c r="O40" s="408">
        <f t="shared" si="23"/>
        <v>0</v>
      </c>
      <c r="P40" s="408">
        <f t="shared" si="23"/>
        <v>0</v>
      </c>
      <c r="Q40" s="408">
        <f t="shared" si="23"/>
        <v>0</v>
      </c>
      <c r="R40" s="408">
        <f t="shared" si="23"/>
        <v>0</v>
      </c>
      <c r="S40" s="408">
        <f t="shared" si="23"/>
        <v>0</v>
      </c>
      <c r="T40" s="408">
        <f t="shared" si="23"/>
        <v>0</v>
      </c>
      <c r="U40" s="408">
        <f t="shared" si="23"/>
        <v>0</v>
      </c>
      <c r="V40" s="408">
        <f t="shared" si="23"/>
        <v>0</v>
      </c>
      <c r="W40" s="408">
        <f t="shared" si="23"/>
        <v>0</v>
      </c>
      <c r="X40" s="408">
        <f t="shared" si="23"/>
        <v>0</v>
      </c>
      <c r="Y40" s="408">
        <f t="shared" si="23"/>
        <v>0</v>
      </c>
      <c r="Z40" s="408">
        <f t="shared" si="23"/>
        <v>0</v>
      </c>
      <c r="AA40" s="408">
        <f t="shared" si="23"/>
        <v>0</v>
      </c>
      <c r="AB40" s="408">
        <f t="shared" si="23"/>
        <v>0</v>
      </c>
      <c r="AC40" s="408">
        <f t="shared" si="23"/>
        <v>0</v>
      </c>
      <c r="AD40" s="643"/>
      <c r="AE40" s="644"/>
      <c r="AF40" s="654" cm="1">
        <f t="array" ref="AF40">$E40*IFERROR(INDEX($E$11:$E$23,MATCH(MATCH(AF$8,$AF$8:$CA$8,0)-MATCH($D40,$D$33:$D$80,0),$D$11:$D$23,0),0),0)</f>
        <v>0</v>
      </c>
      <c r="AG40" s="654" cm="1">
        <f t="array" ref="AG40">$E40*IFERROR(INDEX($E$11:$E$23,MATCH(MATCH(AG$8,$AF$8:$CA$8,0)-MATCH($D40,$D$33:$D$80,0),$D$11:$D$23,0),0),0)</f>
        <v>0</v>
      </c>
      <c r="AH40" s="654" cm="1">
        <f t="array" ref="AH40">$E40*IFERROR(INDEX($E$11:$E$23,MATCH(MATCH(AH$8,$AF$8:$CA$8,0)-MATCH($D40,$D$33:$D$80,0),$D$11:$D$23,0),0),0)</f>
        <v>0</v>
      </c>
      <c r="AI40" s="654" cm="1">
        <f t="array" ref="AI40">$E40*IFERROR(INDEX($E$11:$E$23,MATCH(MATCH(AI$8,$AF$8:$CA$8,0)-MATCH($D40,$D$33:$D$80,0),$D$11:$D$23,0),0),0)</f>
        <v>0</v>
      </c>
      <c r="AJ40" s="654" cm="1">
        <f t="array" ref="AJ40">$E40*IFERROR(INDEX($E$11:$E$23,MATCH(MATCH(AJ$8,$AF$8:$CA$8,0)-MATCH($D40,$D$33:$D$80,0),$D$11:$D$23,0),0),0)</f>
        <v>0</v>
      </c>
      <c r="AK40" s="654" cm="1">
        <f t="array" ref="AK40">$E40*IFERROR(INDEX($E$11:$E$23,MATCH(MATCH(AK$8,$AF$8:$CA$8,0)-MATCH($D40,$D$33:$D$80,0),$D$11:$D$23,0),0),0)</f>
        <v>0</v>
      </c>
      <c r="AL40" s="654" cm="1">
        <f t="array" ref="AL40">$E40*IFERROR(INDEX($E$11:$E$23,MATCH(MATCH(AL$8,$AF$8:$CA$8,0)-MATCH($D40,$D$33:$D$80,0),$D$11:$D$23,0),0),0)</f>
        <v>0</v>
      </c>
      <c r="AM40" s="654" cm="1">
        <f t="array" ref="AM40">$E40*IFERROR(INDEX($E$11:$E$23,MATCH(MATCH(AM$8,$AF$8:$CA$8,0)-MATCH($D40,$D$33:$D$80,0),$D$11:$D$23,0),0),0)</f>
        <v>0</v>
      </c>
      <c r="AN40" s="654" cm="1">
        <f t="array" ref="AN40">$E40*IFERROR(INDEX($E$11:$E$23,MATCH(MATCH(AN$8,$AF$8:$CA$8,0)-MATCH($D40,$D$33:$D$80,0),$D$11:$D$23,0),0),0)</f>
        <v>0</v>
      </c>
      <c r="AO40" s="654" cm="1">
        <f t="array" ref="AO40">$E40*IFERROR(INDEX($E$11:$E$23,MATCH(MATCH(AO$8,$AF$8:$CA$8,0)-MATCH($D40,$D$33:$D$80,0),$D$11:$D$23,0),0),0)</f>
        <v>0</v>
      </c>
      <c r="AP40" s="654" cm="1">
        <f t="array" ref="AP40">$E40*IFERROR(INDEX($E$11:$E$23,MATCH(MATCH(AP$8,$AF$8:$CA$8,0)-MATCH($D40,$D$33:$D$80,0),$D$11:$D$23,0),0),0)</f>
        <v>0</v>
      </c>
      <c r="AQ40" s="654" cm="1">
        <f t="array" ref="AQ40">$E40*IFERROR(INDEX($E$11:$E$23,MATCH(MATCH(AQ$8,$AF$8:$CA$8,0)-MATCH($D40,$D$33:$D$80,0),$D$11:$D$23,0),0),0)</f>
        <v>0</v>
      </c>
      <c r="AR40" s="654" cm="1">
        <f t="array" ref="AR40">$E40*IFERROR(INDEX($E$11:$E$23,MATCH(MATCH(AR$8,$AF$8:$CA$8,0)-MATCH($D40,$D$33:$D$80,0),$D$11:$D$23,0),0),0)</f>
        <v>0</v>
      </c>
      <c r="AS40" s="654" cm="1">
        <f t="array" ref="AS40">$E40*IFERROR(INDEX($E$11:$E$23,MATCH(MATCH(AS$8,$AF$8:$CA$8,0)-MATCH($D40,$D$33:$D$80,0),$D$11:$D$23,0),0),0)</f>
        <v>0</v>
      </c>
      <c r="AT40" s="654" cm="1">
        <f t="array" ref="AT40">$E40*IFERROR(INDEX($E$11:$E$23,MATCH(MATCH(AT$8,$AF$8:$CA$8,0)-MATCH($D40,$D$33:$D$80,0),$D$11:$D$23,0),0),0)</f>
        <v>0</v>
      </c>
      <c r="AU40" s="654" cm="1">
        <f t="array" ref="AU40">$E40*IFERROR(INDEX($E$11:$E$23,MATCH(MATCH(AU$8,$AF$8:$CA$8,0)-MATCH($D40,$D$33:$D$80,0),$D$11:$D$23,0),0),0)</f>
        <v>0</v>
      </c>
      <c r="AV40" s="654" cm="1">
        <f t="array" ref="AV40">$E40*IFERROR(INDEX($E$11:$E$23,MATCH(MATCH(AV$8,$AF$8:$CA$8,0)-MATCH($D40,$D$33:$D$80,0),$D$11:$D$23,0),0),0)</f>
        <v>0</v>
      </c>
      <c r="AW40" s="654" cm="1">
        <f t="array" ref="AW40">$E40*IFERROR(INDEX($E$11:$E$23,MATCH(MATCH(AW$8,$AF$8:$CA$8,0)-MATCH($D40,$D$33:$D$80,0),$D$11:$D$23,0),0),0)</f>
        <v>0</v>
      </c>
      <c r="AX40" s="654" cm="1">
        <f t="array" ref="AX40">$E40*IFERROR(INDEX($E$11:$E$23,MATCH(MATCH(AX$8,$AF$8:$CA$8,0)-MATCH($D40,$D$33:$D$80,0),$D$11:$D$23,0),0),0)</f>
        <v>0</v>
      </c>
      <c r="AY40" s="654" cm="1">
        <f t="array" ref="AY40">$E40*IFERROR(INDEX($E$11:$E$23,MATCH(MATCH(AY$8,$AF$8:$CA$8,0)-MATCH($D40,$D$33:$D$80,0),$D$11:$D$23,0),0),0)</f>
        <v>0</v>
      </c>
      <c r="AZ40" s="654" cm="1">
        <f t="array" ref="AZ40">$E40*IFERROR(INDEX($E$11:$E$23,MATCH(MATCH(AZ$8,$AF$8:$CA$8,0)-MATCH($D40,$D$33:$D$80,0),$D$11:$D$23,0),0),0)</f>
        <v>0</v>
      </c>
      <c r="BA40" s="654" cm="1">
        <f t="array" ref="BA40">$E40*IFERROR(INDEX($E$11:$E$23,MATCH(MATCH(BA$8,$AF$8:$CA$8,0)-MATCH($D40,$D$33:$D$80,0),$D$11:$D$23,0),0),0)</f>
        <v>0</v>
      </c>
      <c r="BB40" s="654" cm="1">
        <f t="array" ref="BB40">$E40*IFERROR(INDEX($E$11:$E$23,MATCH(MATCH(BB$8,$AF$8:$CA$8,0)-MATCH($D40,$D$33:$D$80,0),$D$11:$D$23,0),0),0)</f>
        <v>0</v>
      </c>
      <c r="BC40" s="654" cm="1">
        <f t="array" ref="BC40">$E40*IFERROR(INDEX($E$11:$E$23,MATCH(MATCH(BC$8,$AF$8:$CA$8,0)-MATCH($D40,$D$33:$D$80,0),$D$11:$D$23,0),0),0)</f>
        <v>0</v>
      </c>
      <c r="BD40" s="654" cm="1">
        <f t="array" ref="BD40">$E40*IFERROR(INDEX($E$11:$E$23,MATCH(MATCH(BD$8,$AF$8:$CA$8,0)-MATCH($D40,$D$33:$D$80,0),$D$11:$D$23,0),0),0)</f>
        <v>0</v>
      </c>
      <c r="BE40" s="654" cm="1">
        <f t="array" ref="BE40">$E40*IFERROR(INDEX($E$11:$E$23,MATCH(MATCH(BE$8,$AF$8:$CA$8,0)-MATCH($D40,$D$33:$D$80,0),$D$11:$D$23,0),0),0)</f>
        <v>0</v>
      </c>
      <c r="BF40" s="654" cm="1">
        <f t="array" ref="BF40">$E40*IFERROR(INDEX($E$11:$E$23,MATCH(MATCH(BF$8,$AF$8:$CA$8,0)-MATCH($D40,$D$33:$D$80,0),$D$11:$D$23,0),0),0)</f>
        <v>0</v>
      </c>
      <c r="BG40" s="654" cm="1">
        <f t="array" ref="BG40">$E40*IFERROR(INDEX($E$11:$E$23,MATCH(MATCH(BG$8,$AF$8:$CA$8,0)-MATCH($D40,$D$33:$D$80,0),$D$11:$D$23,0),0),0)</f>
        <v>0</v>
      </c>
      <c r="BH40" s="654" cm="1">
        <f t="array" ref="BH40">$E40*IFERROR(INDEX($E$11:$E$23,MATCH(MATCH(BH$8,$AF$8:$CA$8,0)-MATCH($D40,$D$33:$D$80,0),$D$11:$D$23,0),0),0)</f>
        <v>0</v>
      </c>
      <c r="BI40" s="654" cm="1">
        <f t="array" ref="BI40">$E40*IFERROR(INDEX($E$11:$E$23,MATCH(MATCH(BI$8,$AF$8:$CA$8,0)-MATCH($D40,$D$33:$D$80,0),$D$11:$D$23,0),0),0)</f>
        <v>0</v>
      </c>
      <c r="BJ40" s="654" cm="1">
        <f t="array" ref="BJ40">$E40*IFERROR(INDEX($E$11:$E$23,MATCH(MATCH(BJ$8,$AF$8:$CA$8,0)-MATCH($D40,$D$33:$D$80,0),$D$11:$D$23,0),0),0)</f>
        <v>0</v>
      </c>
      <c r="BK40" s="654" cm="1">
        <f t="array" ref="BK40">$E40*IFERROR(INDEX($E$11:$E$23,MATCH(MATCH(BK$8,$AF$8:$CA$8,0)-MATCH($D40,$D$33:$D$80,0),$D$11:$D$23,0),0),0)</f>
        <v>0</v>
      </c>
      <c r="BL40" s="654" cm="1">
        <f t="array" ref="BL40">$E40*IFERROR(INDEX($E$11:$E$23,MATCH(MATCH(BL$8,$AF$8:$CA$8,0)-MATCH($D40,$D$33:$D$80,0),$D$11:$D$23,0),0),0)</f>
        <v>0</v>
      </c>
      <c r="BM40" s="654" cm="1">
        <f t="array" ref="BM40">$E40*IFERROR(INDEX($E$11:$E$23,MATCH(MATCH(BM$8,$AF$8:$CA$8,0)-MATCH($D40,$D$33:$D$80,0),$D$11:$D$23,0),0),0)</f>
        <v>0</v>
      </c>
      <c r="BN40" s="654" cm="1">
        <f t="array" ref="BN40">$E40*IFERROR(INDEX($E$11:$E$23,MATCH(MATCH(BN$8,$AF$8:$CA$8,0)-MATCH($D40,$D$33:$D$80,0),$D$11:$D$23,0),0),0)</f>
        <v>0</v>
      </c>
      <c r="BO40" s="654" cm="1">
        <f t="array" ref="BO40">$E40*IFERROR(INDEX($E$11:$E$23,MATCH(MATCH(BO$8,$AF$8:$CA$8,0)-MATCH($D40,$D$33:$D$80,0),$D$11:$D$23,0),0),0)</f>
        <v>0</v>
      </c>
      <c r="BP40" s="654" cm="1">
        <f t="array" ref="BP40">$E40*IFERROR(INDEX($E$11:$E$23,MATCH(MATCH(BP$8,$AF$8:$CA$8,0)-MATCH($D40,$D$33:$D$80,0),$D$11:$D$23,0),0),0)</f>
        <v>0</v>
      </c>
      <c r="BQ40" s="654" cm="1">
        <f t="array" ref="BQ40">$E40*IFERROR(INDEX($E$11:$E$23,MATCH(MATCH(BQ$8,$AF$8:$CA$8,0)-MATCH($D40,$D$33:$D$80,0),$D$11:$D$23,0),0),0)</f>
        <v>0</v>
      </c>
      <c r="BR40" s="654" cm="1">
        <f t="array" ref="BR40">$E40*IFERROR(INDEX($E$11:$E$23,MATCH(MATCH(BR$8,$AF$8:$CA$8,0)-MATCH($D40,$D$33:$D$80,0),$D$11:$D$23,0),0),0)</f>
        <v>0</v>
      </c>
      <c r="BS40" s="654" cm="1">
        <f t="array" ref="BS40">$E40*IFERROR(INDEX($E$11:$E$23,MATCH(MATCH(BS$8,$AF$8:$CA$8,0)-MATCH($D40,$D$33:$D$80,0),$D$11:$D$23,0),0),0)</f>
        <v>0</v>
      </c>
      <c r="BT40" s="654" cm="1">
        <f t="array" ref="BT40">$E40*IFERROR(INDEX($E$11:$E$23,MATCH(MATCH(BT$8,$AF$8:$CA$8,0)-MATCH($D40,$D$33:$D$80,0),$D$11:$D$23,0),0),0)</f>
        <v>0</v>
      </c>
      <c r="BU40" s="654" cm="1">
        <f t="array" ref="BU40">$E40*IFERROR(INDEX($E$11:$E$23,MATCH(MATCH(BU$8,$AF$8:$CA$8,0)-MATCH($D40,$D$33:$D$80,0),$D$11:$D$23,0),0),0)</f>
        <v>0</v>
      </c>
      <c r="BV40" s="654" cm="1">
        <f t="array" ref="BV40">$E40*IFERROR(INDEX($E$11:$E$23,MATCH(MATCH(BV$8,$AF$8:$CA$8,0)-MATCH($D40,$D$33:$D$80,0),$D$11:$D$23,0),0),0)</f>
        <v>0</v>
      </c>
      <c r="BW40" s="654" cm="1">
        <f t="array" ref="BW40">$E40*IFERROR(INDEX($E$11:$E$23,MATCH(MATCH(BW$8,$AF$8:$CA$8,0)-MATCH($D40,$D$33:$D$80,0),$D$11:$D$23,0),0),0)</f>
        <v>0</v>
      </c>
      <c r="BX40" s="654" cm="1">
        <f t="array" ref="BX40">$E40*IFERROR(INDEX($E$11:$E$23,MATCH(MATCH(BX$8,$AF$8:$CA$8,0)-MATCH($D40,$D$33:$D$80,0),$D$11:$D$23,0),0),0)</f>
        <v>0</v>
      </c>
      <c r="BY40" s="654" cm="1">
        <f t="array" ref="BY40">$E40*IFERROR(INDEX($E$11:$E$23,MATCH(MATCH(BY$8,$AF$8:$CA$8,0)-MATCH($D40,$D$33:$D$80,0),$D$11:$D$23,0),0),0)</f>
        <v>0</v>
      </c>
      <c r="BZ40" s="654" cm="1">
        <f t="array" ref="BZ40">$E40*IFERROR(INDEX($E$11:$E$23,MATCH(MATCH(BZ$8,$AF$8:$CA$8,0)-MATCH($D40,$D$33:$D$80,0),$D$11:$D$23,0),0),0)</f>
        <v>0</v>
      </c>
      <c r="CA40" s="654" cm="1">
        <f t="array" ref="CA40">$E40*IFERROR(INDEX($E$11:$E$23,MATCH(MATCH(CA$8,$AF$8:$CA$8,0)-MATCH($D40,$D$33:$D$80,0),$D$11:$D$23,0),0),0)</f>
        <v>0</v>
      </c>
    </row>
    <row r="41" spans="2:79" ht="21" hidden="1" customHeight="1" outlineLevel="2">
      <c r="B41" s="367"/>
      <c r="C41" s="370"/>
      <c r="D41" s="374">
        <f t="shared" si="24"/>
        <v>45199</v>
      </c>
      <c r="E41" s="653" cm="1">
        <f t="array" ref="E41">IF($D41&lt;=LatestMonthOfActuals,0,INDEX($AF$28:$CA$28,0,MATCH($D41,$AF$8:$CA$8,0)))</f>
        <v>0</v>
      </c>
      <c r="F41" s="643"/>
      <c r="G41" s="644"/>
      <c r="H41" s="408">
        <f t="shared" si="22"/>
        <v>0</v>
      </c>
      <c r="I41" s="408">
        <f t="shared" si="22"/>
        <v>0</v>
      </c>
      <c r="J41" s="408">
        <f t="shared" si="22"/>
        <v>0</v>
      </c>
      <c r="K41" s="408">
        <f t="shared" si="22"/>
        <v>0</v>
      </c>
      <c r="L41" s="643"/>
      <c r="M41" s="644"/>
      <c r="N41" s="408">
        <f t="shared" si="23"/>
        <v>0</v>
      </c>
      <c r="O41" s="408">
        <f t="shared" si="23"/>
        <v>0</v>
      </c>
      <c r="P41" s="408">
        <f t="shared" si="23"/>
        <v>0</v>
      </c>
      <c r="Q41" s="408">
        <f t="shared" si="23"/>
        <v>0</v>
      </c>
      <c r="R41" s="408">
        <f t="shared" si="23"/>
        <v>0</v>
      </c>
      <c r="S41" s="408">
        <f t="shared" si="23"/>
        <v>0</v>
      </c>
      <c r="T41" s="408">
        <f t="shared" si="23"/>
        <v>0</v>
      </c>
      <c r="U41" s="408">
        <f t="shared" si="23"/>
        <v>0</v>
      </c>
      <c r="V41" s="408">
        <f t="shared" si="23"/>
        <v>0</v>
      </c>
      <c r="W41" s="408">
        <f t="shared" si="23"/>
        <v>0</v>
      </c>
      <c r="X41" s="408">
        <f t="shared" si="23"/>
        <v>0</v>
      </c>
      <c r="Y41" s="408">
        <f t="shared" si="23"/>
        <v>0</v>
      </c>
      <c r="Z41" s="408">
        <f t="shared" si="23"/>
        <v>0</v>
      </c>
      <c r="AA41" s="408">
        <f t="shared" si="23"/>
        <v>0</v>
      </c>
      <c r="AB41" s="408">
        <f t="shared" si="23"/>
        <v>0</v>
      </c>
      <c r="AC41" s="408">
        <f t="shared" si="23"/>
        <v>0</v>
      </c>
      <c r="AD41" s="643"/>
      <c r="AE41" s="644"/>
      <c r="AF41" s="654" cm="1">
        <f t="array" ref="AF41">$E41*IFERROR(INDEX($E$11:$E$23,MATCH(MATCH(AF$8,$AF$8:$CA$8,0)-MATCH($D41,$D$33:$D$80,0),$D$11:$D$23,0),0),0)</f>
        <v>0</v>
      </c>
      <c r="AG41" s="654" cm="1">
        <f t="array" ref="AG41">$E41*IFERROR(INDEX($E$11:$E$23,MATCH(MATCH(AG$8,$AF$8:$CA$8,0)-MATCH($D41,$D$33:$D$80,0),$D$11:$D$23,0),0),0)</f>
        <v>0</v>
      </c>
      <c r="AH41" s="654" cm="1">
        <f t="array" ref="AH41">$E41*IFERROR(INDEX($E$11:$E$23,MATCH(MATCH(AH$8,$AF$8:$CA$8,0)-MATCH($D41,$D$33:$D$80,0),$D$11:$D$23,0),0),0)</f>
        <v>0</v>
      </c>
      <c r="AI41" s="654" cm="1">
        <f t="array" ref="AI41">$E41*IFERROR(INDEX($E$11:$E$23,MATCH(MATCH(AI$8,$AF$8:$CA$8,0)-MATCH($D41,$D$33:$D$80,0),$D$11:$D$23,0),0),0)</f>
        <v>0</v>
      </c>
      <c r="AJ41" s="654" cm="1">
        <f t="array" ref="AJ41">$E41*IFERROR(INDEX($E$11:$E$23,MATCH(MATCH(AJ$8,$AF$8:$CA$8,0)-MATCH($D41,$D$33:$D$80,0),$D$11:$D$23,0),0),0)</f>
        <v>0</v>
      </c>
      <c r="AK41" s="654" cm="1">
        <f t="array" ref="AK41">$E41*IFERROR(INDEX($E$11:$E$23,MATCH(MATCH(AK$8,$AF$8:$CA$8,0)-MATCH($D41,$D$33:$D$80,0),$D$11:$D$23,0),0),0)</f>
        <v>0</v>
      </c>
      <c r="AL41" s="654" cm="1">
        <f t="array" ref="AL41">$E41*IFERROR(INDEX($E$11:$E$23,MATCH(MATCH(AL$8,$AF$8:$CA$8,0)-MATCH($D41,$D$33:$D$80,0),$D$11:$D$23,0),0),0)</f>
        <v>0</v>
      </c>
      <c r="AM41" s="654" cm="1">
        <f t="array" ref="AM41">$E41*IFERROR(INDEX($E$11:$E$23,MATCH(MATCH(AM$8,$AF$8:$CA$8,0)-MATCH($D41,$D$33:$D$80,0),$D$11:$D$23,0),0),0)</f>
        <v>0</v>
      </c>
      <c r="AN41" s="654" cm="1">
        <f t="array" ref="AN41">$E41*IFERROR(INDEX($E$11:$E$23,MATCH(MATCH(AN$8,$AF$8:$CA$8,0)-MATCH($D41,$D$33:$D$80,0),$D$11:$D$23,0),0),0)</f>
        <v>0</v>
      </c>
      <c r="AO41" s="654" cm="1">
        <f t="array" ref="AO41">$E41*IFERROR(INDEX($E$11:$E$23,MATCH(MATCH(AO$8,$AF$8:$CA$8,0)-MATCH($D41,$D$33:$D$80,0),$D$11:$D$23,0),0),0)</f>
        <v>0</v>
      </c>
      <c r="AP41" s="654" cm="1">
        <f t="array" ref="AP41">$E41*IFERROR(INDEX($E$11:$E$23,MATCH(MATCH(AP$8,$AF$8:$CA$8,0)-MATCH($D41,$D$33:$D$80,0),$D$11:$D$23,0),0),0)</f>
        <v>0</v>
      </c>
      <c r="AQ41" s="654" cm="1">
        <f t="array" ref="AQ41">$E41*IFERROR(INDEX($E$11:$E$23,MATCH(MATCH(AQ$8,$AF$8:$CA$8,0)-MATCH($D41,$D$33:$D$80,0),$D$11:$D$23,0),0),0)</f>
        <v>0</v>
      </c>
      <c r="AR41" s="654" cm="1">
        <f t="array" ref="AR41">$E41*IFERROR(INDEX($E$11:$E$23,MATCH(MATCH(AR$8,$AF$8:$CA$8,0)-MATCH($D41,$D$33:$D$80,0),$D$11:$D$23,0),0),0)</f>
        <v>0</v>
      </c>
      <c r="AS41" s="654" cm="1">
        <f t="array" ref="AS41">$E41*IFERROR(INDEX($E$11:$E$23,MATCH(MATCH(AS$8,$AF$8:$CA$8,0)-MATCH($D41,$D$33:$D$80,0),$D$11:$D$23,0),0),0)</f>
        <v>0</v>
      </c>
      <c r="AT41" s="654" cm="1">
        <f t="array" ref="AT41">$E41*IFERROR(INDEX($E$11:$E$23,MATCH(MATCH(AT$8,$AF$8:$CA$8,0)-MATCH($D41,$D$33:$D$80,0),$D$11:$D$23,0),0),0)</f>
        <v>0</v>
      </c>
      <c r="AU41" s="654" cm="1">
        <f t="array" ref="AU41">$E41*IFERROR(INDEX($E$11:$E$23,MATCH(MATCH(AU$8,$AF$8:$CA$8,0)-MATCH($D41,$D$33:$D$80,0),$D$11:$D$23,0),0),0)</f>
        <v>0</v>
      </c>
      <c r="AV41" s="654" cm="1">
        <f t="array" ref="AV41">$E41*IFERROR(INDEX($E$11:$E$23,MATCH(MATCH(AV$8,$AF$8:$CA$8,0)-MATCH($D41,$D$33:$D$80,0),$D$11:$D$23,0),0),0)</f>
        <v>0</v>
      </c>
      <c r="AW41" s="654" cm="1">
        <f t="array" ref="AW41">$E41*IFERROR(INDEX($E$11:$E$23,MATCH(MATCH(AW$8,$AF$8:$CA$8,0)-MATCH($D41,$D$33:$D$80,0),$D$11:$D$23,0),0),0)</f>
        <v>0</v>
      </c>
      <c r="AX41" s="654" cm="1">
        <f t="array" ref="AX41">$E41*IFERROR(INDEX($E$11:$E$23,MATCH(MATCH(AX$8,$AF$8:$CA$8,0)-MATCH($D41,$D$33:$D$80,0),$D$11:$D$23,0),0),0)</f>
        <v>0</v>
      </c>
      <c r="AY41" s="654" cm="1">
        <f t="array" ref="AY41">$E41*IFERROR(INDEX($E$11:$E$23,MATCH(MATCH(AY$8,$AF$8:$CA$8,0)-MATCH($D41,$D$33:$D$80,0),$D$11:$D$23,0),0),0)</f>
        <v>0</v>
      </c>
      <c r="AZ41" s="654" cm="1">
        <f t="array" ref="AZ41">$E41*IFERROR(INDEX($E$11:$E$23,MATCH(MATCH(AZ$8,$AF$8:$CA$8,0)-MATCH($D41,$D$33:$D$80,0),$D$11:$D$23,0),0),0)</f>
        <v>0</v>
      </c>
      <c r="BA41" s="654" cm="1">
        <f t="array" ref="BA41">$E41*IFERROR(INDEX($E$11:$E$23,MATCH(MATCH(BA$8,$AF$8:$CA$8,0)-MATCH($D41,$D$33:$D$80,0),$D$11:$D$23,0),0),0)</f>
        <v>0</v>
      </c>
      <c r="BB41" s="654" cm="1">
        <f t="array" ref="BB41">$E41*IFERROR(INDEX($E$11:$E$23,MATCH(MATCH(BB$8,$AF$8:$CA$8,0)-MATCH($D41,$D$33:$D$80,0),$D$11:$D$23,0),0),0)</f>
        <v>0</v>
      </c>
      <c r="BC41" s="654" cm="1">
        <f t="array" ref="BC41">$E41*IFERROR(INDEX($E$11:$E$23,MATCH(MATCH(BC$8,$AF$8:$CA$8,0)-MATCH($D41,$D$33:$D$80,0),$D$11:$D$23,0),0),0)</f>
        <v>0</v>
      </c>
      <c r="BD41" s="654" cm="1">
        <f t="array" ref="BD41">$E41*IFERROR(INDEX($E$11:$E$23,MATCH(MATCH(BD$8,$AF$8:$CA$8,0)-MATCH($D41,$D$33:$D$80,0),$D$11:$D$23,0),0),0)</f>
        <v>0</v>
      </c>
      <c r="BE41" s="654" cm="1">
        <f t="array" ref="BE41">$E41*IFERROR(INDEX($E$11:$E$23,MATCH(MATCH(BE$8,$AF$8:$CA$8,0)-MATCH($D41,$D$33:$D$80,0),$D$11:$D$23,0),0),0)</f>
        <v>0</v>
      </c>
      <c r="BF41" s="654" cm="1">
        <f t="array" ref="BF41">$E41*IFERROR(INDEX($E$11:$E$23,MATCH(MATCH(BF$8,$AF$8:$CA$8,0)-MATCH($D41,$D$33:$D$80,0),$D$11:$D$23,0),0),0)</f>
        <v>0</v>
      </c>
      <c r="BG41" s="654" cm="1">
        <f t="array" ref="BG41">$E41*IFERROR(INDEX($E$11:$E$23,MATCH(MATCH(BG$8,$AF$8:$CA$8,0)-MATCH($D41,$D$33:$D$80,0),$D$11:$D$23,0),0),0)</f>
        <v>0</v>
      </c>
      <c r="BH41" s="654" cm="1">
        <f t="array" ref="BH41">$E41*IFERROR(INDEX($E$11:$E$23,MATCH(MATCH(BH$8,$AF$8:$CA$8,0)-MATCH($D41,$D$33:$D$80,0),$D$11:$D$23,0),0),0)</f>
        <v>0</v>
      </c>
      <c r="BI41" s="654" cm="1">
        <f t="array" ref="BI41">$E41*IFERROR(INDEX($E$11:$E$23,MATCH(MATCH(BI$8,$AF$8:$CA$8,0)-MATCH($D41,$D$33:$D$80,0),$D$11:$D$23,0),0),0)</f>
        <v>0</v>
      </c>
      <c r="BJ41" s="654" cm="1">
        <f t="array" ref="BJ41">$E41*IFERROR(INDEX($E$11:$E$23,MATCH(MATCH(BJ$8,$AF$8:$CA$8,0)-MATCH($D41,$D$33:$D$80,0),$D$11:$D$23,0),0),0)</f>
        <v>0</v>
      </c>
      <c r="BK41" s="654" cm="1">
        <f t="array" ref="BK41">$E41*IFERROR(INDEX($E$11:$E$23,MATCH(MATCH(BK$8,$AF$8:$CA$8,0)-MATCH($D41,$D$33:$D$80,0),$D$11:$D$23,0),0),0)</f>
        <v>0</v>
      </c>
      <c r="BL41" s="654" cm="1">
        <f t="array" ref="BL41">$E41*IFERROR(INDEX($E$11:$E$23,MATCH(MATCH(BL$8,$AF$8:$CA$8,0)-MATCH($D41,$D$33:$D$80,0),$D$11:$D$23,0),0),0)</f>
        <v>0</v>
      </c>
      <c r="BM41" s="654" cm="1">
        <f t="array" ref="BM41">$E41*IFERROR(INDEX($E$11:$E$23,MATCH(MATCH(BM$8,$AF$8:$CA$8,0)-MATCH($D41,$D$33:$D$80,0),$D$11:$D$23,0),0),0)</f>
        <v>0</v>
      </c>
      <c r="BN41" s="654" cm="1">
        <f t="array" ref="BN41">$E41*IFERROR(INDEX($E$11:$E$23,MATCH(MATCH(BN$8,$AF$8:$CA$8,0)-MATCH($D41,$D$33:$D$80,0),$D$11:$D$23,0),0),0)</f>
        <v>0</v>
      </c>
      <c r="BO41" s="654" cm="1">
        <f t="array" ref="BO41">$E41*IFERROR(INDEX($E$11:$E$23,MATCH(MATCH(BO$8,$AF$8:$CA$8,0)-MATCH($D41,$D$33:$D$80,0),$D$11:$D$23,0),0),0)</f>
        <v>0</v>
      </c>
      <c r="BP41" s="654" cm="1">
        <f t="array" ref="BP41">$E41*IFERROR(INDEX($E$11:$E$23,MATCH(MATCH(BP$8,$AF$8:$CA$8,0)-MATCH($D41,$D$33:$D$80,0),$D$11:$D$23,0),0),0)</f>
        <v>0</v>
      </c>
      <c r="BQ41" s="654" cm="1">
        <f t="array" ref="BQ41">$E41*IFERROR(INDEX($E$11:$E$23,MATCH(MATCH(BQ$8,$AF$8:$CA$8,0)-MATCH($D41,$D$33:$D$80,0),$D$11:$D$23,0),0),0)</f>
        <v>0</v>
      </c>
      <c r="BR41" s="654" cm="1">
        <f t="array" ref="BR41">$E41*IFERROR(INDEX($E$11:$E$23,MATCH(MATCH(BR$8,$AF$8:$CA$8,0)-MATCH($D41,$D$33:$D$80,0),$D$11:$D$23,0),0),0)</f>
        <v>0</v>
      </c>
      <c r="BS41" s="654" cm="1">
        <f t="array" ref="BS41">$E41*IFERROR(INDEX($E$11:$E$23,MATCH(MATCH(BS$8,$AF$8:$CA$8,0)-MATCH($D41,$D$33:$D$80,0),$D$11:$D$23,0),0),0)</f>
        <v>0</v>
      </c>
      <c r="BT41" s="654" cm="1">
        <f t="array" ref="BT41">$E41*IFERROR(INDEX($E$11:$E$23,MATCH(MATCH(BT$8,$AF$8:$CA$8,0)-MATCH($D41,$D$33:$D$80,0),$D$11:$D$23,0),0),0)</f>
        <v>0</v>
      </c>
      <c r="BU41" s="654" cm="1">
        <f t="array" ref="BU41">$E41*IFERROR(INDEX($E$11:$E$23,MATCH(MATCH(BU$8,$AF$8:$CA$8,0)-MATCH($D41,$D$33:$D$80,0),$D$11:$D$23,0),0),0)</f>
        <v>0</v>
      </c>
      <c r="BV41" s="654" cm="1">
        <f t="array" ref="BV41">$E41*IFERROR(INDEX($E$11:$E$23,MATCH(MATCH(BV$8,$AF$8:$CA$8,0)-MATCH($D41,$D$33:$D$80,0),$D$11:$D$23,0),0),0)</f>
        <v>0</v>
      </c>
      <c r="BW41" s="654" cm="1">
        <f t="array" ref="BW41">$E41*IFERROR(INDEX($E$11:$E$23,MATCH(MATCH(BW$8,$AF$8:$CA$8,0)-MATCH($D41,$D$33:$D$80,0),$D$11:$D$23,0),0),0)</f>
        <v>0</v>
      </c>
      <c r="BX41" s="654" cm="1">
        <f t="array" ref="BX41">$E41*IFERROR(INDEX($E$11:$E$23,MATCH(MATCH(BX$8,$AF$8:$CA$8,0)-MATCH($D41,$D$33:$D$80,0),$D$11:$D$23,0),0),0)</f>
        <v>0</v>
      </c>
      <c r="BY41" s="654" cm="1">
        <f t="array" ref="BY41">$E41*IFERROR(INDEX($E$11:$E$23,MATCH(MATCH(BY$8,$AF$8:$CA$8,0)-MATCH($D41,$D$33:$D$80,0),$D$11:$D$23,0),0),0)</f>
        <v>0</v>
      </c>
      <c r="BZ41" s="654" cm="1">
        <f t="array" ref="BZ41">$E41*IFERROR(INDEX($E$11:$E$23,MATCH(MATCH(BZ$8,$AF$8:$CA$8,0)-MATCH($D41,$D$33:$D$80,0),$D$11:$D$23,0),0),0)</f>
        <v>0</v>
      </c>
      <c r="CA41" s="654" cm="1">
        <f t="array" ref="CA41">$E41*IFERROR(INDEX($E$11:$E$23,MATCH(MATCH(CA$8,$AF$8:$CA$8,0)-MATCH($D41,$D$33:$D$80,0),$D$11:$D$23,0),0),0)</f>
        <v>0</v>
      </c>
    </row>
    <row r="42" spans="2:79" ht="21" hidden="1" customHeight="1" outlineLevel="2">
      <c r="B42" s="367"/>
      <c r="C42" s="370"/>
      <c r="D42" s="374">
        <f t="shared" si="24"/>
        <v>45230</v>
      </c>
      <c r="E42" s="653" cm="1">
        <f t="array" ref="E42">IF($D42&lt;=LatestMonthOfActuals,0,INDEX($AF$28:$CA$28,0,MATCH($D42,$AF$8:$CA$8,0)))</f>
        <v>0</v>
      </c>
      <c r="F42" s="643"/>
      <c r="G42" s="644"/>
      <c r="H42" s="408">
        <f t="shared" si="22"/>
        <v>0</v>
      </c>
      <c r="I42" s="408">
        <f t="shared" si="22"/>
        <v>0</v>
      </c>
      <c r="J42" s="408">
        <f t="shared" si="22"/>
        <v>0</v>
      </c>
      <c r="K42" s="408">
        <f t="shared" si="22"/>
        <v>0</v>
      </c>
      <c r="L42" s="643"/>
      <c r="M42" s="644"/>
      <c r="N42" s="408">
        <f t="shared" si="23"/>
        <v>0</v>
      </c>
      <c r="O42" s="408">
        <f t="shared" si="23"/>
        <v>0</v>
      </c>
      <c r="P42" s="408">
        <f t="shared" si="23"/>
        <v>0</v>
      </c>
      <c r="Q42" s="408">
        <f t="shared" si="23"/>
        <v>0</v>
      </c>
      <c r="R42" s="408">
        <f t="shared" si="23"/>
        <v>0</v>
      </c>
      <c r="S42" s="408">
        <f t="shared" si="23"/>
        <v>0</v>
      </c>
      <c r="T42" s="408">
        <f t="shared" si="23"/>
        <v>0</v>
      </c>
      <c r="U42" s="408">
        <f t="shared" si="23"/>
        <v>0</v>
      </c>
      <c r="V42" s="408">
        <f t="shared" si="23"/>
        <v>0</v>
      </c>
      <c r="W42" s="408">
        <f t="shared" si="23"/>
        <v>0</v>
      </c>
      <c r="X42" s="408">
        <f t="shared" si="23"/>
        <v>0</v>
      </c>
      <c r="Y42" s="408">
        <f t="shared" si="23"/>
        <v>0</v>
      </c>
      <c r="Z42" s="408">
        <f t="shared" si="23"/>
        <v>0</v>
      </c>
      <c r="AA42" s="408">
        <f t="shared" si="23"/>
        <v>0</v>
      </c>
      <c r="AB42" s="408">
        <f t="shared" si="23"/>
        <v>0</v>
      </c>
      <c r="AC42" s="408">
        <f t="shared" si="23"/>
        <v>0</v>
      </c>
      <c r="AD42" s="643"/>
      <c r="AE42" s="644"/>
      <c r="AF42" s="654" cm="1">
        <f t="array" ref="AF42">$E42*IFERROR(INDEX($E$11:$E$23,MATCH(MATCH(AF$8,$AF$8:$CA$8,0)-MATCH($D42,$D$33:$D$80,0),$D$11:$D$23,0),0),0)</f>
        <v>0</v>
      </c>
      <c r="AG42" s="654" cm="1">
        <f t="array" ref="AG42">$E42*IFERROR(INDEX($E$11:$E$23,MATCH(MATCH(AG$8,$AF$8:$CA$8,0)-MATCH($D42,$D$33:$D$80,0),$D$11:$D$23,0),0),0)</f>
        <v>0</v>
      </c>
      <c r="AH42" s="654" cm="1">
        <f t="array" ref="AH42">$E42*IFERROR(INDEX($E$11:$E$23,MATCH(MATCH(AH$8,$AF$8:$CA$8,0)-MATCH($D42,$D$33:$D$80,0),$D$11:$D$23,0),0),0)</f>
        <v>0</v>
      </c>
      <c r="AI42" s="654" cm="1">
        <f t="array" ref="AI42">$E42*IFERROR(INDEX($E$11:$E$23,MATCH(MATCH(AI$8,$AF$8:$CA$8,0)-MATCH($D42,$D$33:$D$80,0),$D$11:$D$23,0),0),0)</f>
        <v>0</v>
      </c>
      <c r="AJ42" s="654" cm="1">
        <f t="array" ref="AJ42">$E42*IFERROR(INDEX($E$11:$E$23,MATCH(MATCH(AJ$8,$AF$8:$CA$8,0)-MATCH($D42,$D$33:$D$80,0),$D$11:$D$23,0),0),0)</f>
        <v>0</v>
      </c>
      <c r="AK42" s="654" cm="1">
        <f t="array" ref="AK42">$E42*IFERROR(INDEX($E$11:$E$23,MATCH(MATCH(AK$8,$AF$8:$CA$8,0)-MATCH($D42,$D$33:$D$80,0),$D$11:$D$23,0),0),0)</f>
        <v>0</v>
      </c>
      <c r="AL42" s="654" cm="1">
        <f t="array" ref="AL42">$E42*IFERROR(INDEX($E$11:$E$23,MATCH(MATCH(AL$8,$AF$8:$CA$8,0)-MATCH($D42,$D$33:$D$80,0),$D$11:$D$23,0),0),0)</f>
        <v>0</v>
      </c>
      <c r="AM42" s="654" cm="1">
        <f t="array" ref="AM42">$E42*IFERROR(INDEX($E$11:$E$23,MATCH(MATCH(AM$8,$AF$8:$CA$8,0)-MATCH($D42,$D$33:$D$80,0),$D$11:$D$23,0),0),0)</f>
        <v>0</v>
      </c>
      <c r="AN42" s="654" cm="1">
        <f t="array" ref="AN42">$E42*IFERROR(INDEX($E$11:$E$23,MATCH(MATCH(AN$8,$AF$8:$CA$8,0)-MATCH($D42,$D$33:$D$80,0),$D$11:$D$23,0),0),0)</f>
        <v>0</v>
      </c>
      <c r="AO42" s="654" cm="1">
        <f t="array" ref="AO42">$E42*IFERROR(INDEX($E$11:$E$23,MATCH(MATCH(AO$8,$AF$8:$CA$8,0)-MATCH($D42,$D$33:$D$80,0),$D$11:$D$23,0),0),0)</f>
        <v>0</v>
      </c>
      <c r="AP42" s="654" cm="1">
        <f t="array" ref="AP42">$E42*IFERROR(INDEX($E$11:$E$23,MATCH(MATCH(AP$8,$AF$8:$CA$8,0)-MATCH($D42,$D$33:$D$80,0),$D$11:$D$23,0),0),0)</f>
        <v>0</v>
      </c>
      <c r="AQ42" s="654" cm="1">
        <f t="array" ref="AQ42">$E42*IFERROR(INDEX($E$11:$E$23,MATCH(MATCH(AQ$8,$AF$8:$CA$8,0)-MATCH($D42,$D$33:$D$80,0),$D$11:$D$23,0),0),0)</f>
        <v>0</v>
      </c>
      <c r="AR42" s="654" cm="1">
        <f t="array" ref="AR42">$E42*IFERROR(INDEX($E$11:$E$23,MATCH(MATCH(AR$8,$AF$8:$CA$8,0)-MATCH($D42,$D$33:$D$80,0),$D$11:$D$23,0),0),0)</f>
        <v>0</v>
      </c>
      <c r="AS42" s="654" cm="1">
        <f t="array" ref="AS42">$E42*IFERROR(INDEX($E$11:$E$23,MATCH(MATCH(AS$8,$AF$8:$CA$8,0)-MATCH($D42,$D$33:$D$80,0),$D$11:$D$23,0),0),0)</f>
        <v>0</v>
      </c>
      <c r="AT42" s="654" cm="1">
        <f t="array" ref="AT42">$E42*IFERROR(INDEX($E$11:$E$23,MATCH(MATCH(AT$8,$AF$8:$CA$8,0)-MATCH($D42,$D$33:$D$80,0),$D$11:$D$23,0),0),0)</f>
        <v>0</v>
      </c>
      <c r="AU42" s="654" cm="1">
        <f t="array" ref="AU42">$E42*IFERROR(INDEX($E$11:$E$23,MATCH(MATCH(AU$8,$AF$8:$CA$8,0)-MATCH($D42,$D$33:$D$80,0),$D$11:$D$23,0),0),0)</f>
        <v>0</v>
      </c>
      <c r="AV42" s="654" cm="1">
        <f t="array" ref="AV42">$E42*IFERROR(INDEX($E$11:$E$23,MATCH(MATCH(AV$8,$AF$8:$CA$8,0)-MATCH($D42,$D$33:$D$80,0),$D$11:$D$23,0),0),0)</f>
        <v>0</v>
      </c>
      <c r="AW42" s="654" cm="1">
        <f t="array" ref="AW42">$E42*IFERROR(INDEX($E$11:$E$23,MATCH(MATCH(AW$8,$AF$8:$CA$8,0)-MATCH($D42,$D$33:$D$80,0),$D$11:$D$23,0),0),0)</f>
        <v>0</v>
      </c>
      <c r="AX42" s="654" cm="1">
        <f t="array" ref="AX42">$E42*IFERROR(INDEX($E$11:$E$23,MATCH(MATCH(AX$8,$AF$8:$CA$8,0)-MATCH($D42,$D$33:$D$80,0),$D$11:$D$23,0),0),0)</f>
        <v>0</v>
      </c>
      <c r="AY42" s="654" cm="1">
        <f t="array" ref="AY42">$E42*IFERROR(INDEX($E$11:$E$23,MATCH(MATCH(AY$8,$AF$8:$CA$8,0)-MATCH($D42,$D$33:$D$80,0),$D$11:$D$23,0),0),0)</f>
        <v>0</v>
      </c>
      <c r="AZ42" s="654" cm="1">
        <f t="array" ref="AZ42">$E42*IFERROR(INDEX($E$11:$E$23,MATCH(MATCH(AZ$8,$AF$8:$CA$8,0)-MATCH($D42,$D$33:$D$80,0),$D$11:$D$23,0),0),0)</f>
        <v>0</v>
      </c>
      <c r="BA42" s="654" cm="1">
        <f t="array" ref="BA42">$E42*IFERROR(INDEX($E$11:$E$23,MATCH(MATCH(BA$8,$AF$8:$CA$8,0)-MATCH($D42,$D$33:$D$80,0),$D$11:$D$23,0),0),0)</f>
        <v>0</v>
      </c>
      <c r="BB42" s="654" cm="1">
        <f t="array" ref="BB42">$E42*IFERROR(INDEX($E$11:$E$23,MATCH(MATCH(BB$8,$AF$8:$CA$8,0)-MATCH($D42,$D$33:$D$80,0),$D$11:$D$23,0),0),0)</f>
        <v>0</v>
      </c>
      <c r="BC42" s="654" cm="1">
        <f t="array" ref="BC42">$E42*IFERROR(INDEX($E$11:$E$23,MATCH(MATCH(BC$8,$AF$8:$CA$8,0)-MATCH($D42,$D$33:$D$80,0),$D$11:$D$23,0),0),0)</f>
        <v>0</v>
      </c>
      <c r="BD42" s="654" cm="1">
        <f t="array" ref="BD42">$E42*IFERROR(INDEX($E$11:$E$23,MATCH(MATCH(BD$8,$AF$8:$CA$8,0)-MATCH($D42,$D$33:$D$80,0),$D$11:$D$23,0),0),0)</f>
        <v>0</v>
      </c>
      <c r="BE42" s="654" cm="1">
        <f t="array" ref="BE42">$E42*IFERROR(INDEX($E$11:$E$23,MATCH(MATCH(BE$8,$AF$8:$CA$8,0)-MATCH($D42,$D$33:$D$80,0),$D$11:$D$23,0),0),0)</f>
        <v>0</v>
      </c>
      <c r="BF42" s="654" cm="1">
        <f t="array" ref="BF42">$E42*IFERROR(INDEX($E$11:$E$23,MATCH(MATCH(BF$8,$AF$8:$CA$8,0)-MATCH($D42,$D$33:$D$80,0),$D$11:$D$23,0),0),0)</f>
        <v>0</v>
      </c>
      <c r="BG42" s="654" cm="1">
        <f t="array" ref="BG42">$E42*IFERROR(INDEX($E$11:$E$23,MATCH(MATCH(BG$8,$AF$8:$CA$8,0)-MATCH($D42,$D$33:$D$80,0),$D$11:$D$23,0),0),0)</f>
        <v>0</v>
      </c>
      <c r="BH42" s="654" cm="1">
        <f t="array" ref="BH42">$E42*IFERROR(INDEX($E$11:$E$23,MATCH(MATCH(BH$8,$AF$8:$CA$8,0)-MATCH($D42,$D$33:$D$80,0),$D$11:$D$23,0),0),0)</f>
        <v>0</v>
      </c>
      <c r="BI42" s="654" cm="1">
        <f t="array" ref="BI42">$E42*IFERROR(INDEX($E$11:$E$23,MATCH(MATCH(BI$8,$AF$8:$CA$8,0)-MATCH($D42,$D$33:$D$80,0),$D$11:$D$23,0),0),0)</f>
        <v>0</v>
      </c>
      <c r="BJ42" s="654" cm="1">
        <f t="array" ref="BJ42">$E42*IFERROR(INDEX($E$11:$E$23,MATCH(MATCH(BJ$8,$AF$8:$CA$8,0)-MATCH($D42,$D$33:$D$80,0),$D$11:$D$23,0),0),0)</f>
        <v>0</v>
      </c>
      <c r="BK42" s="654" cm="1">
        <f t="array" ref="BK42">$E42*IFERROR(INDEX($E$11:$E$23,MATCH(MATCH(BK$8,$AF$8:$CA$8,0)-MATCH($D42,$D$33:$D$80,0),$D$11:$D$23,0),0),0)</f>
        <v>0</v>
      </c>
      <c r="BL42" s="654" cm="1">
        <f t="array" ref="BL42">$E42*IFERROR(INDEX($E$11:$E$23,MATCH(MATCH(BL$8,$AF$8:$CA$8,0)-MATCH($D42,$D$33:$D$80,0),$D$11:$D$23,0),0),0)</f>
        <v>0</v>
      </c>
      <c r="BM42" s="654" cm="1">
        <f t="array" ref="BM42">$E42*IFERROR(INDEX($E$11:$E$23,MATCH(MATCH(BM$8,$AF$8:$CA$8,0)-MATCH($D42,$D$33:$D$80,0),$D$11:$D$23,0),0),0)</f>
        <v>0</v>
      </c>
      <c r="BN42" s="654" cm="1">
        <f t="array" ref="BN42">$E42*IFERROR(INDEX($E$11:$E$23,MATCH(MATCH(BN$8,$AF$8:$CA$8,0)-MATCH($D42,$D$33:$D$80,0),$D$11:$D$23,0),0),0)</f>
        <v>0</v>
      </c>
      <c r="BO42" s="654" cm="1">
        <f t="array" ref="BO42">$E42*IFERROR(INDEX($E$11:$E$23,MATCH(MATCH(BO$8,$AF$8:$CA$8,0)-MATCH($D42,$D$33:$D$80,0),$D$11:$D$23,0),0),0)</f>
        <v>0</v>
      </c>
      <c r="BP42" s="654" cm="1">
        <f t="array" ref="BP42">$E42*IFERROR(INDEX($E$11:$E$23,MATCH(MATCH(BP$8,$AF$8:$CA$8,0)-MATCH($D42,$D$33:$D$80,0),$D$11:$D$23,0),0),0)</f>
        <v>0</v>
      </c>
      <c r="BQ42" s="654" cm="1">
        <f t="array" ref="BQ42">$E42*IFERROR(INDEX($E$11:$E$23,MATCH(MATCH(BQ$8,$AF$8:$CA$8,0)-MATCH($D42,$D$33:$D$80,0),$D$11:$D$23,0),0),0)</f>
        <v>0</v>
      </c>
      <c r="BR42" s="654" cm="1">
        <f t="array" ref="BR42">$E42*IFERROR(INDEX($E$11:$E$23,MATCH(MATCH(BR$8,$AF$8:$CA$8,0)-MATCH($D42,$D$33:$D$80,0),$D$11:$D$23,0),0),0)</f>
        <v>0</v>
      </c>
      <c r="BS42" s="654" cm="1">
        <f t="array" ref="BS42">$E42*IFERROR(INDEX($E$11:$E$23,MATCH(MATCH(BS$8,$AF$8:$CA$8,0)-MATCH($D42,$D$33:$D$80,0),$D$11:$D$23,0),0),0)</f>
        <v>0</v>
      </c>
      <c r="BT42" s="654" cm="1">
        <f t="array" ref="BT42">$E42*IFERROR(INDEX($E$11:$E$23,MATCH(MATCH(BT$8,$AF$8:$CA$8,0)-MATCH($D42,$D$33:$D$80,0),$D$11:$D$23,0),0),0)</f>
        <v>0</v>
      </c>
      <c r="BU42" s="654" cm="1">
        <f t="array" ref="BU42">$E42*IFERROR(INDEX($E$11:$E$23,MATCH(MATCH(BU$8,$AF$8:$CA$8,0)-MATCH($D42,$D$33:$D$80,0),$D$11:$D$23,0),0),0)</f>
        <v>0</v>
      </c>
      <c r="BV42" s="654" cm="1">
        <f t="array" ref="BV42">$E42*IFERROR(INDEX($E$11:$E$23,MATCH(MATCH(BV$8,$AF$8:$CA$8,0)-MATCH($D42,$D$33:$D$80,0),$D$11:$D$23,0),0),0)</f>
        <v>0</v>
      </c>
      <c r="BW42" s="654" cm="1">
        <f t="array" ref="BW42">$E42*IFERROR(INDEX($E$11:$E$23,MATCH(MATCH(BW$8,$AF$8:$CA$8,0)-MATCH($D42,$D$33:$D$80,0),$D$11:$D$23,0),0),0)</f>
        <v>0</v>
      </c>
      <c r="BX42" s="654" cm="1">
        <f t="array" ref="BX42">$E42*IFERROR(INDEX($E$11:$E$23,MATCH(MATCH(BX$8,$AF$8:$CA$8,0)-MATCH($D42,$D$33:$D$80,0),$D$11:$D$23,0),0),0)</f>
        <v>0</v>
      </c>
      <c r="BY42" s="654" cm="1">
        <f t="array" ref="BY42">$E42*IFERROR(INDEX($E$11:$E$23,MATCH(MATCH(BY$8,$AF$8:$CA$8,0)-MATCH($D42,$D$33:$D$80,0),$D$11:$D$23,0),0),0)</f>
        <v>0</v>
      </c>
      <c r="BZ42" s="654" cm="1">
        <f t="array" ref="BZ42">$E42*IFERROR(INDEX($E$11:$E$23,MATCH(MATCH(BZ$8,$AF$8:$CA$8,0)-MATCH($D42,$D$33:$D$80,0),$D$11:$D$23,0),0),0)</f>
        <v>0</v>
      </c>
      <c r="CA42" s="654" cm="1">
        <f t="array" ref="CA42">$E42*IFERROR(INDEX($E$11:$E$23,MATCH(MATCH(CA$8,$AF$8:$CA$8,0)-MATCH($D42,$D$33:$D$80,0),$D$11:$D$23,0),0),0)</f>
        <v>0</v>
      </c>
    </row>
    <row r="43" spans="2:79" ht="21" hidden="1" customHeight="1" outlineLevel="2">
      <c r="B43" s="367"/>
      <c r="C43" s="370"/>
      <c r="D43" s="374">
        <f t="shared" si="24"/>
        <v>45260</v>
      </c>
      <c r="E43" s="653" cm="1">
        <f t="array" ref="E43">IF($D43&lt;=LatestMonthOfActuals,0,INDEX($AF$28:$CA$28,0,MATCH($D43,$AF$8:$CA$8,0)))</f>
        <v>0</v>
      </c>
      <c r="F43" s="643"/>
      <c r="G43" s="644"/>
      <c r="H43" s="408">
        <f t="shared" si="22"/>
        <v>0</v>
      </c>
      <c r="I43" s="408">
        <f t="shared" si="22"/>
        <v>0</v>
      </c>
      <c r="J43" s="408">
        <f t="shared" si="22"/>
        <v>0</v>
      </c>
      <c r="K43" s="408">
        <f t="shared" si="22"/>
        <v>0</v>
      </c>
      <c r="L43" s="643"/>
      <c r="M43" s="644"/>
      <c r="N43" s="408">
        <f t="shared" ref="N43:AC52" si="25">SUMIFS($AF43:$CA43,$AF$4:$CA$4,"&gt;="&amp;N$4,$AF$5:$CA$5,"&lt;="&amp;N$5)</f>
        <v>0</v>
      </c>
      <c r="O43" s="408">
        <f t="shared" si="25"/>
        <v>0</v>
      </c>
      <c r="P43" s="408">
        <f t="shared" si="25"/>
        <v>0</v>
      </c>
      <c r="Q43" s="408">
        <f t="shared" si="25"/>
        <v>0</v>
      </c>
      <c r="R43" s="408">
        <f t="shared" si="25"/>
        <v>0</v>
      </c>
      <c r="S43" s="408">
        <f t="shared" si="25"/>
        <v>0</v>
      </c>
      <c r="T43" s="408">
        <f t="shared" si="25"/>
        <v>0</v>
      </c>
      <c r="U43" s="408">
        <f t="shared" si="25"/>
        <v>0</v>
      </c>
      <c r="V43" s="408">
        <f t="shared" si="25"/>
        <v>0</v>
      </c>
      <c r="W43" s="408">
        <f t="shared" si="25"/>
        <v>0</v>
      </c>
      <c r="X43" s="408">
        <f t="shared" si="25"/>
        <v>0</v>
      </c>
      <c r="Y43" s="408">
        <f t="shared" si="25"/>
        <v>0</v>
      </c>
      <c r="Z43" s="408">
        <f t="shared" si="25"/>
        <v>0</v>
      </c>
      <c r="AA43" s="408">
        <f t="shared" si="25"/>
        <v>0</v>
      </c>
      <c r="AB43" s="408">
        <f t="shared" si="25"/>
        <v>0</v>
      </c>
      <c r="AC43" s="408">
        <f t="shared" si="25"/>
        <v>0</v>
      </c>
      <c r="AD43" s="643"/>
      <c r="AE43" s="644"/>
      <c r="AF43" s="654" cm="1">
        <f t="array" ref="AF43">$E43*IFERROR(INDEX($E$11:$E$23,MATCH(MATCH(AF$8,$AF$8:$CA$8,0)-MATCH($D43,$D$33:$D$80,0),$D$11:$D$23,0),0),0)</f>
        <v>0</v>
      </c>
      <c r="AG43" s="654" cm="1">
        <f t="array" ref="AG43">$E43*IFERROR(INDEX($E$11:$E$23,MATCH(MATCH(AG$8,$AF$8:$CA$8,0)-MATCH($D43,$D$33:$D$80,0),$D$11:$D$23,0),0),0)</f>
        <v>0</v>
      </c>
      <c r="AH43" s="654" cm="1">
        <f t="array" ref="AH43">$E43*IFERROR(INDEX($E$11:$E$23,MATCH(MATCH(AH$8,$AF$8:$CA$8,0)-MATCH($D43,$D$33:$D$80,0),$D$11:$D$23,0),0),0)</f>
        <v>0</v>
      </c>
      <c r="AI43" s="654" cm="1">
        <f t="array" ref="AI43">$E43*IFERROR(INDEX($E$11:$E$23,MATCH(MATCH(AI$8,$AF$8:$CA$8,0)-MATCH($D43,$D$33:$D$80,0),$D$11:$D$23,0),0),0)</f>
        <v>0</v>
      </c>
      <c r="AJ43" s="654" cm="1">
        <f t="array" ref="AJ43">$E43*IFERROR(INDEX($E$11:$E$23,MATCH(MATCH(AJ$8,$AF$8:$CA$8,0)-MATCH($D43,$D$33:$D$80,0),$D$11:$D$23,0),0),0)</f>
        <v>0</v>
      </c>
      <c r="AK43" s="654" cm="1">
        <f t="array" ref="AK43">$E43*IFERROR(INDEX($E$11:$E$23,MATCH(MATCH(AK$8,$AF$8:$CA$8,0)-MATCH($D43,$D$33:$D$80,0),$D$11:$D$23,0),0),0)</f>
        <v>0</v>
      </c>
      <c r="AL43" s="654" cm="1">
        <f t="array" ref="AL43">$E43*IFERROR(INDEX($E$11:$E$23,MATCH(MATCH(AL$8,$AF$8:$CA$8,0)-MATCH($D43,$D$33:$D$80,0),$D$11:$D$23,0),0),0)</f>
        <v>0</v>
      </c>
      <c r="AM43" s="654" cm="1">
        <f t="array" ref="AM43">$E43*IFERROR(INDEX($E$11:$E$23,MATCH(MATCH(AM$8,$AF$8:$CA$8,0)-MATCH($D43,$D$33:$D$80,0),$D$11:$D$23,0),0),0)</f>
        <v>0</v>
      </c>
      <c r="AN43" s="654" cm="1">
        <f t="array" ref="AN43">$E43*IFERROR(INDEX($E$11:$E$23,MATCH(MATCH(AN$8,$AF$8:$CA$8,0)-MATCH($D43,$D$33:$D$80,0),$D$11:$D$23,0),0),0)</f>
        <v>0</v>
      </c>
      <c r="AO43" s="654" cm="1">
        <f t="array" ref="AO43">$E43*IFERROR(INDEX($E$11:$E$23,MATCH(MATCH(AO$8,$AF$8:$CA$8,0)-MATCH($D43,$D$33:$D$80,0),$D$11:$D$23,0),0),0)</f>
        <v>0</v>
      </c>
      <c r="AP43" s="654" cm="1">
        <f t="array" ref="AP43">$E43*IFERROR(INDEX($E$11:$E$23,MATCH(MATCH(AP$8,$AF$8:$CA$8,0)-MATCH($D43,$D$33:$D$80,0),$D$11:$D$23,0),0),0)</f>
        <v>0</v>
      </c>
      <c r="AQ43" s="654" cm="1">
        <f t="array" ref="AQ43">$E43*IFERROR(INDEX($E$11:$E$23,MATCH(MATCH(AQ$8,$AF$8:$CA$8,0)-MATCH($D43,$D$33:$D$80,0),$D$11:$D$23,0),0),0)</f>
        <v>0</v>
      </c>
      <c r="AR43" s="654" cm="1">
        <f t="array" ref="AR43">$E43*IFERROR(INDEX($E$11:$E$23,MATCH(MATCH(AR$8,$AF$8:$CA$8,0)-MATCH($D43,$D$33:$D$80,0),$D$11:$D$23,0),0),0)</f>
        <v>0</v>
      </c>
      <c r="AS43" s="654" cm="1">
        <f t="array" ref="AS43">$E43*IFERROR(INDEX($E$11:$E$23,MATCH(MATCH(AS$8,$AF$8:$CA$8,0)-MATCH($D43,$D$33:$D$80,0),$D$11:$D$23,0),0),0)</f>
        <v>0</v>
      </c>
      <c r="AT43" s="654" cm="1">
        <f t="array" ref="AT43">$E43*IFERROR(INDEX($E$11:$E$23,MATCH(MATCH(AT$8,$AF$8:$CA$8,0)-MATCH($D43,$D$33:$D$80,0),$D$11:$D$23,0),0),0)</f>
        <v>0</v>
      </c>
      <c r="AU43" s="654" cm="1">
        <f t="array" ref="AU43">$E43*IFERROR(INDEX($E$11:$E$23,MATCH(MATCH(AU$8,$AF$8:$CA$8,0)-MATCH($D43,$D$33:$D$80,0),$D$11:$D$23,0),0),0)</f>
        <v>0</v>
      </c>
      <c r="AV43" s="654" cm="1">
        <f t="array" ref="AV43">$E43*IFERROR(INDEX($E$11:$E$23,MATCH(MATCH(AV$8,$AF$8:$CA$8,0)-MATCH($D43,$D$33:$D$80,0),$D$11:$D$23,0),0),0)</f>
        <v>0</v>
      </c>
      <c r="AW43" s="654" cm="1">
        <f t="array" ref="AW43">$E43*IFERROR(INDEX($E$11:$E$23,MATCH(MATCH(AW$8,$AF$8:$CA$8,0)-MATCH($D43,$D$33:$D$80,0),$D$11:$D$23,0),0),0)</f>
        <v>0</v>
      </c>
      <c r="AX43" s="654" cm="1">
        <f t="array" ref="AX43">$E43*IFERROR(INDEX($E$11:$E$23,MATCH(MATCH(AX$8,$AF$8:$CA$8,0)-MATCH($D43,$D$33:$D$80,0),$D$11:$D$23,0),0),0)</f>
        <v>0</v>
      </c>
      <c r="AY43" s="654" cm="1">
        <f t="array" ref="AY43">$E43*IFERROR(INDEX($E$11:$E$23,MATCH(MATCH(AY$8,$AF$8:$CA$8,0)-MATCH($D43,$D$33:$D$80,0),$D$11:$D$23,0),0),0)</f>
        <v>0</v>
      </c>
      <c r="AZ43" s="654" cm="1">
        <f t="array" ref="AZ43">$E43*IFERROR(INDEX($E$11:$E$23,MATCH(MATCH(AZ$8,$AF$8:$CA$8,0)-MATCH($D43,$D$33:$D$80,0),$D$11:$D$23,0),0),0)</f>
        <v>0</v>
      </c>
      <c r="BA43" s="654" cm="1">
        <f t="array" ref="BA43">$E43*IFERROR(INDEX($E$11:$E$23,MATCH(MATCH(BA$8,$AF$8:$CA$8,0)-MATCH($D43,$D$33:$D$80,0),$D$11:$D$23,0),0),0)</f>
        <v>0</v>
      </c>
      <c r="BB43" s="654" cm="1">
        <f t="array" ref="BB43">$E43*IFERROR(INDEX($E$11:$E$23,MATCH(MATCH(BB$8,$AF$8:$CA$8,0)-MATCH($D43,$D$33:$D$80,0),$D$11:$D$23,0),0),0)</f>
        <v>0</v>
      </c>
      <c r="BC43" s="654" cm="1">
        <f t="array" ref="BC43">$E43*IFERROR(INDEX($E$11:$E$23,MATCH(MATCH(BC$8,$AF$8:$CA$8,0)-MATCH($D43,$D$33:$D$80,0),$D$11:$D$23,0),0),0)</f>
        <v>0</v>
      </c>
      <c r="BD43" s="654" cm="1">
        <f t="array" ref="BD43">$E43*IFERROR(INDEX($E$11:$E$23,MATCH(MATCH(BD$8,$AF$8:$CA$8,0)-MATCH($D43,$D$33:$D$80,0),$D$11:$D$23,0),0),0)</f>
        <v>0</v>
      </c>
      <c r="BE43" s="654" cm="1">
        <f t="array" ref="BE43">$E43*IFERROR(INDEX($E$11:$E$23,MATCH(MATCH(BE$8,$AF$8:$CA$8,0)-MATCH($D43,$D$33:$D$80,0),$D$11:$D$23,0),0),0)</f>
        <v>0</v>
      </c>
      <c r="BF43" s="654" cm="1">
        <f t="array" ref="BF43">$E43*IFERROR(INDEX($E$11:$E$23,MATCH(MATCH(BF$8,$AF$8:$CA$8,0)-MATCH($D43,$D$33:$D$80,0),$D$11:$D$23,0),0),0)</f>
        <v>0</v>
      </c>
      <c r="BG43" s="654" cm="1">
        <f t="array" ref="BG43">$E43*IFERROR(INDEX($E$11:$E$23,MATCH(MATCH(BG$8,$AF$8:$CA$8,0)-MATCH($D43,$D$33:$D$80,0),$D$11:$D$23,0),0),0)</f>
        <v>0</v>
      </c>
      <c r="BH43" s="654" cm="1">
        <f t="array" ref="BH43">$E43*IFERROR(INDEX($E$11:$E$23,MATCH(MATCH(BH$8,$AF$8:$CA$8,0)-MATCH($D43,$D$33:$D$80,0),$D$11:$D$23,0),0),0)</f>
        <v>0</v>
      </c>
      <c r="BI43" s="654" cm="1">
        <f t="array" ref="BI43">$E43*IFERROR(INDEX($E$11:$E$23,MATCH(MATCH(BI$8,$AF$8:$CA$8,0)-MATCH($D43,$D$33:$D$80,0),$D$11:$D$23,0),0),0)</f>
        <v>0</v>
      </c>
      <c r="BJ43" s="654" cm="1">
        <f t="array" ref="BJ43">$E43*IFERROR(INDEX($E$11:$E$23,MATCH(MATCH(BJ$8,$AF$8:$CA$8,0)-MATCH($D43,$D$33:$D$80,0),$D$11:$D$23,0),0),0)</f>
        <v>0</v>
      </c>
      <c r="BK43" s="654" cm="1">
        <f t="array" ref="BK43">$E43*IFERROR(INDEX($E$11:$E$23,MATCH(MATCH(BK$8,$AF$8:$CA$8,0)-MATCH($D43,$D$33:$D$80,0),$D$11:$D$23,0),0),0)</f>
        <v>0</v>
      </c>
      <c r="BL43" s="654" cm="1">
        <f t="array" ref="BL43">$E43*IFERROR(INDEX($E$11:$E$23,MATCH(MATCH(BL$8,$AF$8:$CA$8,0)-MATCH($D43,$D$33:$D$80,0),$D$11:$D$23,0),0),0)</f>
        <v>0</v>
      </c>
      <c r="BM43" s="654" cm="1">
        <f t="array" ref="BM43">$E43*IFERROR(INDEX($E$11:$E$23,MATCH(MATCH(BM$8,$AF$8:$CA$8,0)-MATCH($D43,$D$33:$D$80,0),$D$11:$D$23,0),0),0)</f>
        <v>0</v>
      </c>
      <c r="BN43" s="654" cm="1">
        <f t="array" ref="BN43">$E43*IFERROR(INDEX($E$11:$E$23,MATCH(MATCH(BN$8,$AF$8:$CA$8,0)-MATCH($D43,$D$33:$D$80,0),$D$11:$D$23,0),0),0)</f>
        <v>0</v>
      </c>
      <c r="BO43" s="654" cm="1">
        <f t="array" ref="BO43">$E43*IFERROR(INDEX($E$11:$E$23,MATCH(MATCH(BO$8,$AF$8:$CA$8,0)-MATCH($D43,$D$33:$D$80,0),$D$11:$D$23,0),0),0)</f>
        <v>0</v>
      </c>
      <c r="BP43" s="654" cm="1">
        <f t="array" ref="BP43">$E43*IFERROR(INDEX($E$11:$E$23,MATCH(MATCH(BP$8,$AF$8:$CA$8,0)-MATCH($D43,$D$33:$D$80,0),$D$11:$D$23,0),0),0)</f>
        <v>0</v>
      </c>
      <c r="BQ43" s="654" cm="1">
        <f t="array" ref="BQ43">$E43*IFERROR(INDEX($E$11:$E$23,MATCH(MATCH(BQ$8,$AF$8:$CA$8,0)-MATCH($D43,$D$33:$D$80,0),$D$11:$D$23,0),0),0)</f>
        <v>0</v>
      </c>
      <c r="BR43" s="654" cm="1">
        <f t="array" ref="BR43">$E43*IFERROR(INDEX($E$11:$E$23,MATCH(MATCH(BR$8,$AF$8:$CA$8,0)-MATCH($D43,$D$33:$D$80,0),$D$11:$D$23,0),0),0)</f>
        <v>0</v>
      </c>
      <c r="BS43" s="654" cm="1">
        <f t="array" ref="BS43">$E43*IFERROR(INDEX($E$11:$E$23,MATCH(MATCH(BS$8,$AF$8:$CA$8,0)-MATCH($D43,$D$33:$D$80,0),$D$11:$D$23,0),0),0)</f>
        <v>0</v>
      </c>
      <c r="BT43" s="654" cm="1">
        <f t="array" ref="BT43">$E43*IFERROR(INDEX($E$11:$E$23,MATCH(MATCH(BT$8,$AF$8:$CA$8,0)-MATCH($D43,$D$33:$D$80,0),$D$11:$D$23,0),0),0)</f>
        <v>0</v>
      </c>
      <c r="BU43" s="654" cm="1">
        <f t="array" ref="BU43">$E43*IFERROR(INDEX($E$11:$E$23,MATCH(MATCH(BU$8,$AF$8:$CA$8,0)-MATCH($D43,$D$33:$D$80,0),$D$11:$D$23,0),0),0)</f>
        <v>0</v>
      </c>
      <c r="BV43" s="654" cm="1">
        <f t="array" ref="BV43">$E43*IFERROR(INDEX($E$11:$E$23,MATCH(MATCH(BV$8,$AF$8:$CA$8,0)-MATCH($D43,$D$33:$D$80,0),$D$11:$D$23,0),0),0)</f>
        <v>0</v>
      </c>
      <c r="BW43" s="654" cm="1">
        <f t="array" ref="BW43">$E43*IFERROR(INDEX($E$11:$E$23,MATCH(MATCH(BW$8,$AF$8:$CA$8,0)-MATCH($D43,$D$33:$D$80,0),$D$11:$D$23,0),0),0)</f>
        <v>0</v>
      </c>
      <c r="BX43" s="654" cm="1">
        <f t="array" ref="BX43">$E43*IFERROR(INDEX($E$11:$E$23,MATCH(MATCH(BX$8,$AF$8:$CA$8,0)-MATCH($D43,$D$33:$D$80,0),$D$11:$D$23,0),0),0)</f>
        <v>0</v>
      </c>
      <c r="BY43" s="654" cm="1">
        <f t="array" ref="BY43">$E43*IFERROR(INDEX($E$11:$E$23,MATCH(MATCH(BY$8,$AF$8:$CA$8,0)-MATCH($D43,$D$33:$D$80,0),$D$11:$D$23,0),0),0)</f>
        <v>0</v>
      </c>
      <c r="BZ43" s="654" cm="1">
        <f t="array" ref="BZ43">$E43*IFERROR(INDEX($E$11:$E$23,MATCH(MATCH(BZ$8,$AF$8:$CA$8,0)-MATCH($D43,$D$33:$D$80,0),$D$11:$D$23,0),0),0)</f>
        <v>0</v>
      </c>
      <c r="CA43" s="654" cm="1">
        <f t="array" ref="CA43">$E43*IFERROR(INDEX($E$11:$E$23,MATCH(MATCH(CA$8,$AF$8:$CA$8,0)-MATCH($D43,$D$33:$D$80,0),$D$11:$D$23,0),0),0)</f>
        <v>0</v>
      </c>
    </row>
    <row r="44" spans="2:79" ht="21" hidden="1" customHeight="1" outlineLevel="2">
      <c r="B44" s="367"/>
      <c r="C44" s="370"/>
      <c r="D44" s="374">
        <f t="shared" si="24"/>
        <v>45291</v>
      </c>
      <c r="E44" s="653" cm="1">
        <f t="array" ref="E44">IF($D44&lt;=LatestMonthOfActuals,0,INDEX($AF$28:$CA$28,0,MATCH($D44,$AF$8:$CA$8,0)))</f>
        <v>0</v>
      </c>
      <c r="F44" s="643"/>
      <c r="G44" s="644"/>
      <c r="H44" s="408">
        <f t="shared" si="22"/>
        <v>0</v>
      </c>
      <c r="I44" s="408">
        <f t="shared" si="22"/>
        <v>0</v>
      </c>
      <c r="J44" s="408">
        <f t="shared" si="22"/>
        <v>0</v>
      </c>
      <c r="K44" s="408">
        <f t="shared" si="22"/>
        <v>0</v>
      </c>
      <c r="L44" s="643"/>
      <c r="M44" s="644"/>
      <c r="N44" s="408">
        <f t="shared" si="25"/>
        <v>0</v>
      </c>
      <c r="O44" s="408">
        <f t="shared" si="25"/>
        <v>0</v>
      </c>
      <c r="P44" s="408">
        <f t="shared" si="25"/>
        <v>0</v>
      </c>
      <c r="Q44" s="408">
        <f t="shared" si="25"/>
        <v>0</v>
      </c>
      <c r="R44" s="408">
        <f t="shared" si="25"/>
        <v>0</v>
      </c>
      <c r="S44" s="408">
        <f t="shared" si="25"/>
        <v>0</v>
      </c>
      <c r="T44" s="408">
        <f t="shared" si="25"/>
        <v>0</v>
      </c>
      <c r="U44" s="408">
        <f t="shared" si="25"/>
        <v>0</v>
      </c>
      <c r="V44" s="408">
        <f t="shared" si="25"/>
        <v>0</v>
      </c>
      <c r="W44" s="408">
        <f t="shared" si="25"/>
        <v>0</v>
      </c>
      <c r="X44" s="408">
        <f t="shared" si="25"/>
        <v>0</v>
      </c>
      <c r="Y44" s="408">
        <f t="shared" si="25"/>
        <v>0</v>
      </c>
      <c r="Z44" s="408">
        <f t="shared" si="25"/>
        <v>0</v>
      </c>
      <c r="AA44" s="408">
        <f t="shared" si="25"/>
        <v>0</v>
      </c>
      <c r="AB44" s="408">
        <f t="shared" si="25"/>
        <v>0</v>
      </c>
      <c r="AC44" s="408">
        <f t="shared" si="25"/>
        <v>0</v>
      </c>
      <c r="AD44" s="643"/>
      <c r="AE44" s="644"/>
      <c r="AF44" s="654" cm="1">
        <f t="array" ref="AF44">$E44*IFERROR(INDEX($E$11:$E$23,MATCH(MATCH(AF$8,$AF$8:$CA$8,0)-MATCH($D44,$D$33:$D$80,0),$D$11:$D$23,0),0),0)</f>
        <v>0</v>
      </c>
      <c r="AG44" s="654" cm="1">
        <f t="array" ref="AG44">$E44*IFERROR(INDEX($E$11:$E$23,MATCH(MATCH(AG$8,$AF$8:$CA$8,0)-MATCH($D44,$D$33:$D$80,0),$D$11:$D$23,0),0),0)</f>
        <v>0</v>
      </c>
      <c r="AH44" s="654" cm="1">
        <f t="array" ref="AH44">$E44*IFERROR(INDEX($E$11:$E$23,MATCH(MATCH(AH$8,$AF$8:$CA$8,0)-MATCH($D44,$D$33:$D$80,0),$D$11:$D$23,0),0),0)</f>
        <v>0</v>
      </c>
      <c r="AI44" s="654" cm="1">
        <f t="array" ref="AI44">$E44*IFERROR(INDEX($E$11:$E$23,MATCH(MATCH(AI$8,$AF$8:$CA$8,0)-MATCH($D44,$D$33:$D$80,0),$D$11:$D$23,0),0),0)</f>
        <v>0</v>
      </c>
      <c r="AJ44" s="654" cm="1">
        <f t="array" ref="AJ44">$E44*IFERROR(INDEX($E$11:$E$23,MATCH(MATCH(AJ$8,$AF$8:$CA$8,0)-MATCH($D44,$D$33:$D$80,0),$D$11:$D$23,0),0),0)</f>
        <v>0</v>
      </c>
      <c r="AK44" s="654" cm="1">
        <f t="array" ref="AK44">$E44*IFERROR(INDEX($E$11:$E$23,MATCH(MATCH(AK$8,$AF$8:$CA$8,0)-MATCH($D44,$D$33:$D$80,0),$D$11:$D$23,0),0),0)</f>
        <v>0</v>
      </c>
      <c r="AL44" s="654" cm="1">
        <f t="array" ref="AL44">$E44*IFERROR(INDEX($E$11:$E$23,MATCH(MATCH(AL$8,$AF$8:$CA$8,0)-MATCH($D44,$D$33:$D$80,0),$D$11:$D$23,0),0),0)</f>
        <v>0</v>
      </c>
      <c r="AM44" s="654" cm="1">
        <f t="array" ref="AM44">$E44*IFERROR(INDEX($E$11:$E$23,MATCH(MATCH(AM$8,$AF$8:$CA$8,0)-MATCH($D44,$D$33:$D$80,0),$D$11:$D$23,0),0),0)</f>
        <v>0</v>
      </c>
      <c r="AN44" s="654" cm="1">
        <f t="array" ref="AN44">$E44*IFERROR(INDEX($E$11:$E$23,MATCH(MATCH(AN$8,$AF$8:$CA$8,0)-MATCH($D44,$D$33:$D$80,0),$D$11:$D$23,0),0),0)</f>
        <v>0</v>
      </c>
      <c r="AO44" s="654" cm="1">
        <f t="array" ref="AO44">$E44*IFERROR(INDEX($E$11:$E$23,MATCH(MATCH(AO$8,$AF$8:$CA$8,0)-MATCH($D44,$D$33:$D$80,0),$D$11:$D$23,0),0),0)</f>
        <v>0</v>
      </c>
      <c r="AP44" s="654" cm="1">
        <f t="array" ref="AP44">$E44*IFERROR(INDEX($E$11:$E$23,MATCH(MATCH(AP$8,$AF$8:$CA$8,0)-MATCH($D44,$D$33:$D$80,0),$D$11:$D$23,0),0),0)</f>
        <v>0</v>
      </c>
      <c r="AQ44" s="654" cm="1">
        <f t="array" ref="AQ44">$E44*IFERROR(INDEX($E$11:$E$23,MATCH(MATCH(AQ$8,$AF$8:$CA$8,0)-MATCH($D44,$D$33:$D$80,0),$D$11:$D$23,0),0),0)</f>
        <v>0</v>
      </c>
      <c r="AR44" s="654" cm="1">
        <f t="array" ref="AR44">$E44*IFERROR(INDEX($E$11:$E$23,MATCH(MATCH(AR$8,$AF$8:$CA$8,0)-MATCH($D44,$D$33:$D$80,0),$D$11:$D$23,0),0),0)</f>
        <v>0</v>
      </c>
      <c r="AS44" s="654" cm="1">
        <f t="array" ref="AS44">$E44*IFERROR(INDEX($E$11:$E$23,MATCH(MATCH(AS$8,$AF$8:$CA$8,0)-MATCH($D44,$D$33:$D$80,0),$D$11:$D$23,0),0),0)</f>
        <v>0</v>
      </c>
      <c r="AT44" s="654" cm="1">
        <f t="array" ref="AT44">$E44*IFERROR(INDEX($E$11:$E$23,MATCH(MATCH(AT$8,$AF$8:$CA$8,0)-MATCH($D44,$D$33:$D$80,0),$D$11:$D$23,0),0),0)</f>
        <v>0</v>
      </c>
      <c r="AU44" s="654" cm="1">
        <f t="array" ref="AU44">$E44*IFERROR(INDEX($E$11:$E$23,MATCH(MATCH(AU$8,$AF$8:$CA$8,0)-MATCH($D44,$D$33:$D$80,0),$D$11:$D$23,0),0),0)</f>
        <v>0</v>
      </c>
      <c r="AV44" s="654" cm="1">
        <f t="array" ref="AV44">$E44*IFERROR(INDEX($E$11:$E$23,MATCH(MATCH(AV$8,$AF$8:$CA$8,0)-MATCH($D44,$D$33:$D$80,0),$D$11:$D$23,0),0),0)</f>
        <v>0</v>
      </c>
      <c r="AW44" s="654" cm="1">
        <f t="array" ref="AW44">$E44*IFERROR(INDEX($E$11:$E$23,MATCH(MATCH(AW$8,$AF$8:$CA$8,0)-MATCH($D44,$D$33:$D$80,0),$D$11:$D$23,0),0),0)</f>
        <v>0</v>
      </c>
      <c r="AX44" s="654" cm="1">
        <f t="array" ref="AX44">$E44*IFERROR(INDEX($E$11:$E$23,MATCH(MATCH(AX$8,$AF$8:$CA$8,0)-MATCH($D44,$D$33:$D$80,0),$D$11:$D$23,0),0),0)</f>
        <v>0</v>
      </c>
      <c r="AY44" s="654" cm="1">
        <f t="array" ref="AY44">$E44*IFERROR(INDEX($E$11:$E$23,MATCH(MATCH(AY$8,$AF$8:$CA$8,0)-MATCH($D44,$D$33:$D$80,0),$D$11:$D$23,0),0),0)</f>
        <v>0</v>
      </c>
      <c r="AZ44" s="654" cm="1">
        <f t="array" ref="AZ44">$E44*IFERROR(INDEX($E$11:$E$23,MATCH(MATCH(AZ$8,$AF$8:$CA$8,0)-MATCH($D44,$D$33:$D$80,0),$D$11:$D$23,0),0),0)</f>
        <v>0</v>
      </c>
      <c r="BA44" s="654" cm="1">
        <f t="array" ref="BA44">$E44*IFERROR(INDEX($E$11:$E$23,MATCH(MATCH(BA$8,$AF$8:$CA$8,0)-MATCH($D44,$D$33:$D$80,0),$D$11:$D$23,0),0),0)</f>
        <v>0</v>
      </c>
      <c r="BB44" s="654" cm="1">
        <f t="array" ref="BB44">$E44*IFERROR(INDEX($E$11:$E$23,MATCH(MATCH(BB$8,$AF$8:$CA$8,0)-MATCH($D44,$D$33:$D$80,0),$D$11:$D$23,0),0),0)</f>
        <v>0</v>
      </c>
      <c r="BC44" s="654" cm="1">
        <f t="array" ref="BC44">$E44*IFERROR(INDEX($E$11:$E$23,MATCH(MATCH(BC$8,$AF$8:$CA$8,0)-MATCH($D44,$D$33:$D$80,0),$D$11:$D$23,0),0),0)</f>
        <v>0</v>
      </c>
      <c r="BD44" s="654" cm="1">
        <f t="array" ref="BD44">$E44*IFERROR(INDEX($E$11:$E$23,MATCH(MATCH(BD$8,$AF$8:$CA$8,0)-MATCH($D44,$D$33:$D$80,0),$D$11:$D$23,0),0),0)</f>
        <v>0</v>
      </c>
      <c r="BE44" s="654" cm="1">
        <f t="array" ref="BE44">$E44*IFERROR(INDEX($E$11:$E$23,MATCH(MATCH(BE$8,$AF$8:$CA$8,0)-MATCH($D44,$D$33:$D$80,0),$D$11:$D$23,0),0),0)</f>
        <v>0</v>
      </c>
      <c r="BF44" s="654" cm="1">
        <f t="array" ref="BF44">$E44*IFERROR(INDEX($E$11:$E$23,MATCH(MATCH(BF$8,$AF$8:$CA$8,0)-MATCH($D44,$D$33:$D$80,0),$D$11:$D$23,0),0),0)</f>
        <v>0</v>
      </c>
      <c r="BG44" s="654" cm="1">
        <f t="array" ref="BG44">$E44*IFERROR(INDEX($E$11:$E$23,MATCH(MATCH(BG$8,$AF$8:$CA$8,0)-MATCH($D44,$D$33:$D$80,0),$D$11:$D$23,0),0),0)</f>
        <v>0</v>
      </c>
      <c r="BH44" s="654" cm="1">
        <f t="array" ref="BH44">$E44*IFERROR(INDEX($E$11:$E$23,MATCH(MATCH(BH$8,$AF$8:$CA$8,0)-MATCH($D44,$D$33:$D$80,0),$D$11:$D$23,0),0),0)</f>
        <v>0</v>
      </c>
      <c r="BI44" s="654" cm="1">
        <f t="array" ref="BI44">$E44*IFERROR(INDEX($E$11:$E$23,MATCH(MATCH(BI$8,$AF$8:$CA$8,0)-MATCH($D44,$D$33:$D$80,0),$D$11:$D$23,0),0),0)</f>
        <v>0</v>
      </c>
      <c r="BJ44" s="654" cm="1">
        <f t="array" ref="BJ44">$E44*IFERROR(INDEX($E$11:$E$23,MATCH(MATCH(BJ$8,$AF$8:$CA$8,0)-MATCH($D44,$D$33:$D$80,0),$D$11:$D$23,0),0),0)</f>
        <v>0</v>
      </c>
      <c r="BK44" s="654" cm="1">
        <f t="array" ref="BK44">$E44*IFERROR(INDEX($E$11:$E$23,MATCH(MATCH(BK$8,$AF$8:$CA$8,0)-MATCH($D44,$D$33:$D$80,0),$D$11:$D$23,0),0),0)</f>
        <v>0</v>
      </c>
      <c r="BL44" s="654" cm="1">
        <f t="array" ref="BL44">$E44*IFERROR(INDEX($E$11:$E$23,MATCH(MATCH(BL$8,$AF$8:$CA$8,0)-MATCH($D44,$D$33:$D$80,0),$D$11:$D$23,0),0),0)</f>
        <v>0</v>
      </c>
      <c r="BM44" s="654" cm="1">
        <f t="array" ref="BM44">$E44*IFERROR(INDEX($E$11:$E$23,MATCH(MATCH(BM$8,$AF$8:$CA$8,0)-MATCH($D44,$D$33:$D$80,0),$D$11:$D$23,0),0),0)</f>
        <v>0</v>
      </c>
      <c r="BN44" s="654" cm="1">
        <f t="array" ref="BN44">$E44*IFERROR(INDEX($E$11:$E$23,MATCH(MATCH(BN$8,$AF$8:$CA$8,0)-MATCH($D44,$D$33:$D$80,0),$D$11:$D$23,0),0),0)</f>
        <v>0</v>
      </c>
      <c r="BO44" s="654" cm="1">
        <f t="array" ref="BO44">$E44*IFERROR(INDEX($E$11:$E$23,MATCH(MATCH(BO$8,$AF$8:$CA$8,0)-MATCH($D44,$D$33:$D$80,0),$D$11:$D$23,0),0),0)</f>
        <v>0</v>
      </c>
      <c r="BP44" s="654" cm="1">
        <f t="array" ref="BP44">$E44*IFERROR(INDEX($E$11:$E$23,MATCH(MATCH(BP$8,$AF$8:$CA$8,0)-MATCH($D44,$D$33:$D$80,0),$D$11:$D$23,0),0),0)</f>
        <v>0</v>
      </c>
      <c r="BQ44" s="654" cm="1">
        <f t="array" ref="BQ44">$E44*IFERROR(INDEX($E$11:$E$23,MATCH(MATCH(BQ$8,$AF$8:$CA$8,0)-MATCH($D44,$D$33:$D$80,0),$D$11:$D$23,0),0),0)</f>
        <v>0</v>
      </c>
      <c r="BR44" s="654" cm="1">
        <f t="array" ref="BR44">$E44*IFERROR(INDEX($E$11:$E$23,MATCH(MATCH(BR$8,$AF$8:$CA$8,0)-MATCH($D44,$D$33:$D$80,0),$D$11:$D$23,0),0),0)</f>
        <v>0</v>
      </c>
      <c r="BS44" s="654" cm="1">
        <f t="array" ref="BS44">$E44*IFERROR(INDEX($E$11:$E$23,MATCH(MATCH(BS$8,$AF$8:$CA$8,0)-MATCH($D44,$D$33:$D$80,0),$D$11:$D$23,0),0),0)</f>
        <v>0</v>
      </c>
      <c r="BT44" s="654" cm="1">
        <f t="array" ref="BT44">$E44*IFERROR(INDEX($E$11:$E$23,MATCH(MATCH(BT$8,$AF$8:$CA$8,0)-MATCH($D44,$D$33:$D$80,0),$D$11:$D$23,0),0),0)</f>
        <v>0</v>
      </c>
      <c r="BU44" s="654" cm="1">
        <f t="array" ref="BU44">$E44*IFERROR(INDEX($E$11:$E$23,MATCH(MATCH(BU$8,$AF$8:$CA$8,0)-MATCH($D44,$D$33:$D$80,0),$D$11:$D$23,0),0),0)</f>
        <v>0</v>
      </c>
      <c r="BV44" s="654" cm="1">
        <f t="array" ref="BV44">$E44*IFERROR(INDEX($E$11:$E$23,MATCH(MATCH(BV$8,$AF$8:$CA$8,0)-MATCH($D44,$D$33:$D$80,0),$D$11:$D$23,0),0),0)</f>
        <v>0</v>
      </c>
      <c r="BW44" s="654" cm="1">
        <f t="array" ref="BW44">$E44*IFERROR(INDEX($E$11:$E$23,MATCH(MATCH(BW$8,$AF$8:$CA$8,0)-MATCH($D44,$D$33:$D$80,0),$D$11:$D$23,0),0),0)</f>
        <v>0</v>
      </c>
      <c r="BX44" s="654" cm="1">
        <f t="array" ref="BX44">$E44*IFERROR(INDEX($E$11:$E$23,MATCH(MATCH(BX$8,$AF$8:$CA$8,0)-MATCH($D44,$D$33:$D$80,0),$D$11:$D$23,0),0),0)</f>
        <v>0</v>
      </c>
      <c r="BY44" s="654" cm="1">
        <f t="array" ref="BY44">$E44*IFERROR(INDEX($E$11:$E$23,MATCH(MATCH(BY$8,$AF$8:$CA$8,0)-MATCH($D44,$D$33:$D$80,0),$D$11:$D$23,0),0),0)</f>
        <v>0</v>
      </c>
      <c r="BZ44" s="654" cm="1">
        <f t="array" ref="BZ44">$E44*IFERROR(INDEX($E$11:$E$23,MATCH(MATCH(BZ$8,$AF$8:$CA$8,0)-MATCH($D44,$D$33:$D$80,0),$D$11:$D$23,0),0),0)</f>
        <v>0</v>
      </c>
      <c r="CA44" s="654" cm="1">
        <f t="array" ref="CA44">$E44*IFERROR(INDEX($E$11:$E$23,MATCH(MATCH(CA$8,$AF$8:$CA$8,0)-MATCH($D44,$D$33:$D$80,0),$D$11:$D$23,0),0),0)</f>
        <v>0</v>
      </c>
    </row>
    <row r="45" spans="2:79" ht="21" hidden="1" customHeight="1" outlineLevel="2">
      <c r="B45" s="367"/>
      <c r="C45" s="370"/>
      <c r="D45" s="374">
        <f t="shared" si="24"/>
        <v>45322</v>
      </c>
      <c r="E45" s="653" cm="1">
        <f t="array" ref="E45">IF($D45&lt;=LatestMonthOfActuals,0,INDEX($AF$28:$CA$28,0,MATCH($D45,$AF$8:$CA$8,0)))</f>
        <v>0</v>
      </c>
      <c r="F45" s="643"/>
      <c r="G45" s="644"/>
      <c r="H45" s="408">
        <f t="shared" si="22"/>
        <v>0</v>
      </c>
      <c r="I45" s="408">
        <f t="shared" si="22"/>
        <v>0</v>
      </c>
      <c r="J45" s="408">
        <f t="shared" si="22"/>
        <v>0</v>
      </c>
      <c r="K45" s="408">
        <f t="shared" si="22"/>
        <v>0</v>
      </c>
      <c r="L45" s="643"/>
      <c r="M45" s="644"/>
      <c r="N45" s="408">
        <f t="shared" si="25"/>
        <v>0</v>
      </c>
      <c r="O45" s="408">
        <f t="shared" si="25"/>
        <v>0</v>
      </c>
      <c r="P45" s="408">
        <f t="shared" si="25"/>
        <v>0</v>
      </c>
      <c r="Q45" s="408">
        <f t="shared" si="25"/>
        <v>0</v>
      </c>
      <c r="R45" s="408">
        <f t="shared" si="25"/>
        <v>0</v>
      </c>
      <c r="S45" s="408">
        <f t="shared" si="25"/>
        <v>0</v>
      </c>
      <c r="T45" s="408">
        <f t="shared" si="25"/>
        <v>0</v>
      </c>
      <c r="U45" s="408">
        <f t="shared" si="25"/>
        <v>0</v>
      </c>
      <c r="V45" s="408">
        <f t="shared" si="25"/>
        <v>0</v>
      </c>
      <c r="W45" s="408">
        <f t="shared" si="25"/>
        <v>0</v>
      </c>
      <c r="X45" s="408">
        <f t="shared" si="25"/>
        <v>0</v>
      </c>
      <c r="Y45" s="408">
        <f t="shared" si="25"/>
        <v>0</v>
      </c>
      <c r="Z45" s="408">
        <f t="shared" si="25"/>
        <v>0</v>
      </c>
      <c r="AA45" s="408">
        <f t="shared" si="25"/>
        <v>0</v>
      </c>
      <c r="AB45" s="408">
        <f t="shared" si="25"/>
        <v>0</v>
      </c>
      <c r="AC45" s="408">
        <f t="shared" si="25"/>
        <v>0</v>
      </c>
      <c r="AD45" s="643"/>
      <c r="AE45" s="644"/>
      <c r="AF45" s="654" cm="1">
        <f t="array" ref="AF45">$E45*IFERROR(INDEX($E$11:$E$23,MATCH(MATCH(AF$8,$AF$8:$CA$8,0)-MATCH($D45,$D$33:$D$80,0),$D$11:$D$23,0),0),0)</f>
        <v>0</v>
      </c>
      <c r="AG45" s="654" cm="1">
        <f t="array" ref="AG45">$E45*IFERROR(INDEX($E$11:$E$23,MATCH(MATCH(AG$8,$AF$8:$CA$8,0)-MATCH($D45,$D$33:$D$80,0),$D$11:$D$23,0),0),0)</f>
        <v>0</v>
      </c>
      <c r="AH45" s="654" cm="1">
        <f t="array" ref="AH45">$E45*IFERROR(INDEX($E$11:$E$23,MATCH(MATCH(AH$8,$AF$8:$CA$8,0)-MATCH($D45,$D$33:$D$80,0),$D$11:$D$23,0),0),0)</f>
        <v>0</v>
      </c>
      <c r="AI45" s="654" cm="1">
        <f t="array" ref="AI45">$E45*IFERROR(INDEX($E$11:$E$23,MATCH(MATCH(AI$8,$AF$8:$CA$8,0)-MATCH($D45,$D$33:$D$80,0),$D$11:$D$23,0),0),0)</f>
        <v>0</v>
      </c>
      <c r="AJ45" s="654" cm="1">
        <f t="array" ref="AJ45">$E45*IFERROR(INDEX($E$11:$E$23,MATCH(MATCH(AJ$8,$AF$8:$CA$8,0)-MATCH($D45,$D$33:$D$80,0),$D$11:$D$23,0),0),0)</f>
        <v>0</v>
      </c>
      <c r="AK45" s="654" cm="1">
        <f t="array" ref="AK45">$E45*IFERROR(INDEX($E$11:$E$23,MATCH(MATCH(AK$8,$AF$8:$CA$8,0)-MATCH($D45,$D$33:$D$80,0),$D$11:$D$23,0),0),0)</f>
        <v>0</v>
      </c>
      <c r="AL45" s="654" cm="1">
        <f t="array" ref="AL45">$E45*IFERROR(INDEX($E$11:$E$23,MATCH(MATCH(AL$8,$AF$8:$CA$8,0)-MATCH($D45,$D$33:$D$80,0),$D$11:$D$23,0),0),0)</f>
        <v>0</v>
      </c>
      <c r="AM45" s="654" cm="1">
        <f t="array" ref="AM45">$E45*IFERROR(INDEX($E$11:$E$23,MATCH(MATCH(AM$8,$AF$8:$CA$8,0)-MATCH($D45,$D$33:$D$80,0),$D$11:$D$23,0),0),0)</f>
        <v>0</v>
      </c>
      <c r="AN45" s="654" cm="1">
        <f t="array" ref="AN45">$E45*IFERROR(INDEX($E$11:$E$23,MATCH(MATCH(AN$8,$AF$8:$CA$8,0)-MATCH($D45,$D$33:$D$80,0),$D$11:$D$23,0),0),0)</f>
        <v>0</v>
      </c>
      <c r="AO45" s="654" cm="1">
        <f t="array" ref="AO45">$E45*IFERROR(INDEX($E$11:$E$23,MATCH(MATCH(AO$8,$AF$8:$CA$8,0)-MATCH($D45,$D$33:$D$80,0),$D$11:$D$23,0),0),0)</f>
        <v>0</v>
      </c>
      <c r="AP45" s="654" cm="1">
        <f t="array" ref="AP45">$E45*IFERROR(INDEX($E$11:$E$23,MATCH(MATCH(AP$8,$AF$8:$CA$8,0)-MATCH($D45,$D$33:$D$80,0),$D$11:$D$23,0),0),0)</f>
        <v>0</v>
      </c>
      <c r="AQ45" s="654" cm="1">
        <f t="array" ref="AQ45">$E45*IFERROR(INDEX($E$11:$E$23,MATCH(MATCH(AQ$8,$AF$8:$CA$8,0)-MATCH($D45,$D$33:$D$80,0),$D$11:$D$23,0),0),0)</f>
        <v>0</v>
      </c>
      <c r="AR45" s="654" cm="1">
        <f t="array" ref="AR45">$E45*IFERROR(INDEX($E$11:$E$23,MATCH(MATCH(AR$8,$AF$8:$CA$8,0)-MATCH($D45,$D$33:$D$80,0),$D$11:$D$23,0),0),0)</f>
        <v>0</v>
      </c>
      <c r="AS45" s="654" cm="1">
        <f t="array" ref="AS45">$E45*IFERROR(INDEX($E$11:$E$23,MATCH(MATCH(AS$8,$AF$8:$CA$8,0)-MATCH($D45,$D$33:$D$80,0),$D$11:$D$23,0),0),0)</f>
        <v>0</v>
      </c>
      <c r="AT45" s="654" cm="1">
        <f t="array" ref="AT45">$E45*IFERROR(INDEX($E$11:$E$23,MATCH(MATCH(AT$8,$AF$8:$CA$8,0)-MATCH($D45,$D$33:$D$80,0),$D$11:$D$23,0),0),0)</f>
        <v>0</v>
      </c>
      <c r="AU45" s="654" cm="1">
        <f t="array" ref="AU45">$E45*IFERROR(INDEX($E$11:$E$23,MATCH(MATCH(AU$8,$AF$8:$CA$8,0)-MATCH($D45,$D$33:$D$80,0),$D$11:$D$23,0),0),0)</f>
        <v>0</v>
      </c>
      <c r="AV45" s="654" cm="1">
        <f t="array" ref="AV45">$E45*IFERROR(INDEX($E$11:$E$23,MATCH(MATCH(AV$8,$AF$8:$CA$8,0)-MATCH($D45,$D$33:$D$80,0),$D$11:$D$23,0),0),0)</f>
        <v>0</v>
      </c>
      <c r="AW45" s="654" cm="1">
        <f t="array" ref="AW45">$E45*IFERROR(INDEX($E$11:$E$23,MATCH(MATCH(AW$8,$AF$8:$CA$8,0)-MATCH($D45,$D$33:$D$80,0),$D$11:$D$23,0),0),0)</f>
        <v>0</v>
      </c>
      <c r="AX45" s="654" cm="1">
        <f t="array" ref="AX45">$E45*IFERROR(INDEX($E$11:$E$23,MATCH(MATCH(AX$8,$AF$8:$CA$8,0)-MATCH($D45,$D$33:$D$80,0),$D$11:$D$23,0),0),0)</f>
        <v>0</v>
      </c>
      <c r="AY45" s="654" cm="1">
        <f t="array" ref="AY45">$E45*IFERROR(INDEX($E$11:$E$23,MATCH(MATCH(AY$8,$AF$8:$CA$8,0)-MATCH($D45,$D$33:$D$80,0),$D$11:$D$23,0),0),0)</f>
        <v>0</v>
      </c>
      <c r="AZ45" s="654" cm="1">
        <f t="array" ref="AZ45">$E45*IFERROR(INDEX($E$11:$E$23,MATCH(MATCH(AZ$8,$AF$8:$CA$8,0)-MATCH($D45,$D$33:$D$80,0),$D$11:$D$23,0),0),0)</f>
        <v>0</v>
      </c>
      <c r="BA45" s="654" cm="1">
        <f t="array" ref="BA45">$E45*IFERROR(INDEX($E$11:$E$23,MATCH(MATCH(BA$8,$AF$8:$CA$8,0)-MATCH($D45,$D$33:$D$80,0),$D$11:$D$23,0),0),0)</f>
        <v>0</v>
      </c>
      <c r="BB45" s="654" cm="1">
        <f t="array" ref="BB45">$E45*IFERROR(INDEX($E$11:$E$23,MATCH(MATCH(BB$8,$AF$8:$CA$8,0)-MATCH($D45,$D$33:$D$80,0),$D$11:$D$23,0),0),0)</f>
        <v>0</v>
      </c>
      <c r="BC45" s="654" cm="1">
        <f t="array" ref="BC45">$E45*IFERROR(INDEX($E$11:$E$23,MATCH(MATCH(BC$8,$AF$8:$CA$8,0)-MATCH($D45,$D$33:$D$80,0),$D$11:$D$23,0),0),0)</f>
        <v>0</v>
      </c>
      <c r="BD45" s="654" cm="1">
        <f t="array" ref="BD45">$E45*IFERROR(INDEX($E$11:$E$23,MATCH(MATCH(BD$8,$AF$8:$CA$8,0)-MATCH($D45,$D$33:$D$80,0),$D$11:$D$23,0),0),0)</f>
        <v>0</v>
      </c>
      <c r="BE45" s="654" cm="1">
        <f t="array" ref="BE45">$E45*IFERROR(INDEX($E$11:$E$23,MATCH(MATCH(BE$8,$AF$8:$CA$8,0)-MATCH($D45,$D$33:$D$80,0),$D$11:$D$23,0),0),0)</f>
        <v>0</v>
      </c>
      <c r="BF45" s="654" cm="1">
        <f t="array" ref="BF45">$E45*IFERROR(INDEX($E$11:$E$23,MATCH(MATCH(BF$8,$AF$8:$CA$8,0)-MATCH($D45,$D$33:$D$80,0),$D$11:$D$23,0),0),0)</f>
        <v>0</v>
      </c>
      <c r="BG45" s="654" cm="1">
        <f t="array" ref="BG45">$E45*IFERROR(INDEX($E$11:$E$23,MATCH(MATCH(BG$8,$AF$8:$CA$8,0)-MATCH($D45,$D$33:$D$80,0),$D$11:$D$23,0),0),0)</f>
        <v>0</v>
      </c>
      <c r="BH45" s="654" cm="1">
        <f t="array" ref="BH45">$E45*IFERROR(INDEX($E$11:$E$23,MATCH(MATCH(BH$8,$AF$8:$CA$8,0)-MATCH($D45,$D$33:$D$80,0),$D$11:$D$23,0),0),0)</f>
        <v>0</v>
      </c>
      <c r="BI45" s="654" cm="1">
        <f t="array" ref="BI45">$E45*IFERROR(INDEX($E$11:$E$23,MATCH(MATCH(BI$8,$AF$8:$CA$8,0)-MATCH($D45,$D$33:$D$80,0),$D$11:$D$23,0),0),0)</f>
        <v>0</v>
      </c>
      <c r="BJ45" s="654" cm="1">
        <f t="array" ref="BJ45">$E45*IFERROR(INDEX($E$11:$E$23,MATCH(MATCH(BJ$8,$AF$8:$CA$8,0)-MATCH($D45,$D$33:$D$80,0),$D$11:$D$23,0),0),0)</f>
        <v>0</v>
      </c>
      <c r="BK45" s="654" cm="1">
        <f t="array" ref="BK45">$E45*IFERROR(INDEX($E$11:$E$23,MATCH(MATCH(BK$8,$AF$8:$CA$8,0)-MATCH($D45,$D$33:$D$80,0),$D$11:$D$23,0),0),0)</f>
        <v>0</v>
      </c>
      <c r="BL45" s="654" cm="1">
        <f t="array" ref="BL45">$E45*IFERROR(INDEX($E$11:$E$23,MATCH(MATCH(BL$8,$AF$8:$CA$8,0)-MATCH($D45,$D$33:$D$80,0),$D$11:$D$23,0),0),0)</f>
        <v>0</v>
      </c>
      <c r="BM45" s="654" cm="1">
        <f t="array" ref="BM45">$E45*IFERROR(INDEX($E$11:$E$23,MATCH(MATCH(BM$8,$AF$8:$CA$8,0)-MATCH($D45,$D$33:$D$80,0),$D$11:$D$23,0),0),0)</f>
        <v>0</v>
      </c>
      <c r="BN45" s="654" cm="1">
        <f t="array" ref="BN45">$E45*IFERROR(INDEX($E$11:$E$23,MATCH(MATCH(BN$8,$AF$8:$CA$8,0)-MATCH($D45,$D$33:$D$80,0),$D$11:$D$23,0),0),0)</f>
        <v>0</v>
      </c>
      <c r="BO45" s="654" cm="1">
        <f t="array" ref="BO45">$E45*IFERROR(INDEX($E$11:$E$23,MATCH(MATCH(BO$8,$AF$8:$CA$8,0)-MATCH($D45,$D$33:$D$80,0),$D$11:$D$23,0),0),0)</f>
        <v>0</v>
      </c>
      <c r="BP45" s="654" cm="1">
        <f t="array" ref="BP45">$E45*IFERROR(INDEX($E$11:$E$23,MATCH(MATCH(BP$8,$AF$8:$CA$8,0)-MATCH($D45,$D$33:$D$80,0),$D$11:$D$23,0),0),0)</f>
        <v>0</v>
      </c>
      <c r="BQ45" s="654" cm="1">
        <f t="array" ref="BQ45">$E45*IFERROR(INDEX($E$11:$E$23,MATCH(MATCH(BQ$8,$AF$8:$CA$8,0)-MATCH($D45,$D$33:$D$80,0),$D$11:$D$23,0),0),0)</f>
        <v>0</v>
      </c>
      <c r="BR45" s="654" cm="1">
        <f t="array" ref="BR45">$E45*IFERROR(INDEX($E$11:$E$23,MATCH(MATCH(BR$8,$AF$8:$CA$8,0)-MATCH($D45,$D$33:$D$80,0),$D$11:$D$23,0),0),0)</f>
        <v>0</v>
      </c>
      <c r="BS45" s="654" cm="1">
        <f t="array" ref="BS45">$E45*IFERROR(INDEX($E$11:$E$23,MATCH(MATCH(BS$8,$AF$8:$CA$8,0)-MATCH($D45,$D$33:$D$80,0),$D$11:$D$23,0),0),0)</f>
        <v>0</v>
      </c>
      <c r="BT45" s="654" cm="1">
        <f t="array" ref="BT45">$E45*IFERROR(INDEX($E$11:$E$23,MATCH(MATCH(BT$8,$AF$8:$CA$8,0)-MATCH($D45,$D$33:$D$80,0),$D$11:$D$23,0),0),0)</f>
        <v>0</v>
      </c>
      <c r="BU45" s="654" cm="1">
        <f t="array" ref="BU45">$E45*IFERROR(INDEX($E$11:$E$23,MATCH(MATCH(BU$8,$AF$8:$CA$8,0)-MATCH($D45,$D$33:$D$80,0),$D$11:$D$23,0),0),0)</f>
        <v>0</v>
      </c>
      <c r="BV45" s="654" cm="1">
        <f t="array" ref="BV45">$E45*IFERROR(INDEX($E$11:$E$23,MATCH(MATCH(BV$8,$AF$8:$CA$8,0)-MATCH($D45,$D$33:$D$80,0),$D$11:$D$23,0),0),0)</f>
        <v>0</v>
      </c>
      <c r="BW45" s="654" cm="1">
        <f t="array" ref="BW45">$E45*IFERROR(INDEX($E$11:$E$23,MATCH(MATCH(BW$8,$AF$8:$CA$8,0)-MATCH($D45,$D$33:$D$80,0),$D$11:$D$23,0),0),0)</f>
        <v>0</v>
      </c>
      <c r="BX45" s="654" cm="1">
        <f t="array" ref="BX45">$E45*IFERROR(INDEX($E$11:$E$23,MATCH(MATCH(BX$8,$AF$8:$CA$8,0)-MATCH($D45,$D$33:$D$80,0),$D$11:$D$23,0),0),0)</f>
        <v>0</v>
      </c>
      <c r="BY45" s="654" cm="1">
        <f t="array" ref="BY45">$E45*IFERROR(INDEX($E$11:$E$23,MATCH(MATCH(BY$8,$AF$8:$CA$8,0)-MATCH($D45,$D$33:$D$80,0),$D$11:$D$23,0),0),0)</f>
        <v>0</v>
      </c>
      <c r="BZ45" s="654" cm="1">
        <f t="array" ref="BZ45">$E45*IFERROR(INDEX($E$11:$E$23,MATCH(MATCH(BZ$8,$AF$8:$CA$8,0)-MATCH($D45,$D$33:$D$80,0),$D$11:$D$23,0),0),0)</f>
        <v>0</v>
      </c>
      <c r="CA45" s="654" cm="1">
        <f t="array" ref="CA45">$E45*IFERROR(INDEX($E$11:$E$23,MATCH(MATCH(CA$8,$AF$8:$CA$8,0)-MATCH($D45,$D$33:$D$80,0),$D$11:$D$23,0),0),0)</f>
        <v>0</v>
      </c>
    </row>
    <row r="46" spans="2:79" ht="21" hidden="1" customHeight="1" outlineLevel="2">
      <c r="B46" s="367"/>
      <c r="C46" s="370"/>
      <c r="D46" s="374">
        <f t="shared" si="24"/>
        <v>45351</v>
      </c>
      <c r="E46" s="653" cm="1">
        <f t="array" ref="E46">IF($D46&lt;=LatestMonthOfActuals,0,INDEX($AF$28:$CA$28,0,MATCH($D46,$AF$8:$CA$8,0)))</f>
        <v>0</v>
      </c>
      <c r="F46" s="643"/>
      <c r="G46" s="644"/>
      <c r="H46" s="408">
        <f t="shared" si="22"/>
        <v>0</v>
      </c>
      <c r="I46" s="408">
        <f t="shared" si="22"/>
        <v>0</v>
      </c>
      <c r="J46" s="408">
        <f t="shared" si="22"/>
        <v>0</v>
      </c>
      <c r="K46" s="408">
        <f t="shared" si="22"/>
        <v>0</v>
      </c>
      <c r="L46" s="643"/>
      <c r="M46" s="644"/>
      <c r="N46" s="408">
        <f t="shared" si="25"/>
        <v>0</v>
      </c>
      <c r="O46" s="408">
        <f t="shared" si="25"/>
        <v>0</v>
      </c>
      <c r="P46" s="408">
        <f t="shared" si="25"/>
        <v>0</v>
      </c>
      <c r="Q46" s="408">
        <f t="shared" si="25"/>
        <v>0</v>
      </c>
      <c r="R46" s="408">
        <f t="shared" si="25"/>
        <v>0</v>
      </c>
      <c r="S46" s="408">
        <f t="shared" si="25"/>
        <v>0</v>
      </c>
      <c r="T46" s="408">
        <f t="shared" si="25"/>
        <v>0</v>
      </c>
      <c r="U46" s="408">
        <f t="shared" si="25"/>
        <v>0</v>
      </c>
      <c r="V46" s="408">
        <f t="shared" si="25"/>
        <v>0</v>
      </c>
      <c r="W46" s="408">
        <f t="shared" si="25"/>
        <v>0</v>
      </c>
      <c r="X46" s="408">
        <f t="shared" si="25"/>
        <v>0</v>
      </c>
      <c r="Y46" s="408">
        <f t="shared" si="25"/>
        <v>0</v>
      </c>
      <c r="Z46" s="408">
        <f t="shared" si="25"/>
        <v>0</v>
      </c>
      <c r="AA46" s="408">
        <f t="shared" si="25"/>
        <v>0</v>
      </c>
      <c r="AB46" s="408">
        <f t="shared" si="25"/>
        <v>0</v>
      </c>
      <c r="AC46" s="408">
        <f t="shared" si="25"/>
        <v>0</v>
      </c>
      <c r="AD46" s="643"/>
      <c r="AE46" s="644"/>
      <c r="AF46" s="654" cm="1">
        <f t="array" ref="AF46">$E46*IFERROR(INDEX($E$11:$E$23,MATCH(MATCH(AF$8,$AF$8:$CA$8,0)-MATCH($D46,$D$33:$D$80,0),$D$11:$D$23,0),0),0)</f>
        <v>0</v>
      </c>
      <c r="AG46" s="654" cm="1">
        <f t="array" ref="AG46">$E46*IFERROR(INDEX($E$11:$E$23,MATCH(MATCH(AG$8,$AF$8:$CA$8,0)-MATCH($D46,$D$33:$D$80,0),$D$11:$D$23,0),0),0)</f>
        <v>0</v>
      </c>
      <c r="AH46" s="654" cm="1">
        <f t="array" ref="AH46">$E46*IFERROR(INDEX($E$11:$E$23,MATCH(MATCH(AH$8,$AF$8:$CA$8,0)-MATCH($D46,$D$33:$D$80,0),$D$11:$D$23,0),0),0)</f>
        <v>0</v>
      </c>
      <c r="AI46" s="654" cm="1">
        <f t="array" ref="AI46">$E46*IFERROR(INDEX($E$11:$E$23,MATCH(MATCH(AI$8,$AF$8:$CA$8,0)-MATCH($D46,$D$33:$D$80,0),$D$11:$D$23,0),0),0)</f>
        <v>0</v>
      </c>
      <c r="AJ46" s="654" cm="1">
        <f t="array" ref="AJ46">$E46*IFERROR(INDEX($E$11:$E$23,MATCH(MATCH(AJ$8,$AF$8:$CA$8,0)-MATCH($D46,$D$33:$D$80,0),$D$11:$D$23,0),0),0)</f>
        <v>0</v>
      </c>
      <c r="AK46" s="654" cm="1">
        <f t="array" ref="AK46">$E46*IFERROR(INDEX($E$11:$E$23,MATCH(MATCH(AK$8,$AF$8:$CA$8,0)-MATCH($D46,$D$33:$D$80,0),$D$11:$D$23,0),0),0)</f>
        <v>0</v>
      </c>
      <c r="AL46" s="654" cm="1">
        <f t="array" ref="AL46">$E46*IFERROR(INDEX($E$11:$E$23,MATCH(MATCH(AL$8,$AF$8:$CA$8,0)-MATCH($D46,$D$33:$D$80,0),$D$11:$D$23,0),0),0)</f>
        <v>0</v>
      </c>
      <c r="AM46" s="654" cm="1">
        <f t="array" ref="AM46">$E46*IFERROR(INDEX($E$11:$E$23,MATCH(MATCH(AM$8,$AF$8:$CA$8,0)-MATCH($D46,$D$33:$D$80,0),$D$11:$D$23,0),0),0)</f>
        <v>0</v>
      </c>
      <c r="AN46" s="654" cm="1">
        <f t="array" ref="AN46">$E46*IFERROR(INDEX($E$11:$E$23,MATCH(MATCH(AN$8,$AF$8:$CA$8,0)-MATCH($D46,$D$33:$D$80,0),$D$11:$D$23,0),0),0)</f>
        <v>0</v>
      </c>
      <c r="AO46" s="654" cm="1">
        <f t="array" ref="AO46">$E46*IFERROR(INDEX($E$11:$E$23,MATCH(MATCH(AO$8,$AF$8:$CA$8,0)-MATCH($D46,$D$33:$D$80,0),$D$11:$D$23,0),0),0)</f>
        <v>0</v>
      </c>
      <c r="AP46" s="654" cm="1">
        <f t="array" ref="AP46">$E46*IFERROR(INDEX($E$11:$E$23,MATCH(MATCH(AP$8,$AF$8:$CA$8,0)-MATCH($D46,$D$33:$D$80,0),$D$11:$D$23,0),0),0)</f>
        <v>0</v>
      </c>
      <c r="AQ46" s="654" cm="1">
        <f t="array" ref="AQ46">$E46*IFERROR(INDEX($E$11:$E$23,MATCH(MATCH(AQ$8,$AF$8:$CA$8,0)-MATCH($D46,$D$33:$D$80,0),$D$11:$D$23,0),0),0)</f>
        <v>0</v>
      </c>
      <c r="AR46" s="654" cm="1">
        <f t="array" ref="AR46">$E46*IFERROR(INDEX($E$11:$E$23,MATCH(MATCH(AR$8,$AF$8:$CA$8,0)-MATCH($D46,$D$33:$D$80,0),$D$11:$D$23,0),0),0)</f>
        <v>0</v>
      </c>
      <c r="AS46" s="654" cm="1">
        <f t="array" ref="AS46">$E46*IFERROR(INDEX($E$11:$E$23,MATCH(MATCH(AS$8,$AF$8:$CA$8,0)-MATCH($D46,$D$33:$D$80,0),$D$11:$D$23,0),0),0)</f>
        <v>0</v>
      </c>
      <c r="AT46" s="654" cm="1">
        <f t="array" ref="AT46">$E46*IFERROR(INDEX($E$11:$E$23,MATCH(MATCH(AT$8,$AF$8:$CA$8,0)-MATCH($D46,$D$33:$D$80,0),$D$11:$D$23,0),0),0)</f>
        <v>0</v>
      </c>
      <c r="AU46" s="654" cm="1">
        <f t="array" ref="AU46">$E46*IFERROR(INDEX($E$11:$E$23,MATCH(MATCH(AU$8,$AF$8:$CA$8,0)-MATCH($D46,$D$33:$D$80,0),$D$11:$D$23,0),0),0)</f>
        <v>0</v>
      </c>
      <c r="AV46" s="654" cm="1">
        <f t="array" ref="AV46">$E46*IFERROR(INDEX($E$11:$E$23,MATCH(MATCH(AV$8,$AF$8:$CA$8,0)-MATCH($D46,$D$33:$D$80,0),$D$11:$D$23,0),0),0)</f>
        <v>0</v>
      </c>
      <c r="AW46" s="654" cm="1">
        <f t="array" ref="AW46">$E46*IFERROR(INDEX($E$11:$E$23,MATCH(MATCH(AW$8,$AF$8:$CA$8,0)-MATCH($D46,$D$33:$D$80,0),$D$11:$D$23,0),0),0)</f>
        <v>0</v>
      </c>
      <c r="AX46" s="654" cm="1">
        <f t="array" ref="AX46">$E46*IFERROR(INDEX($E$11:$E$23,MATCH(MATCH(AX$8,$AF$8:$CA$8,0)-MATCH($D46,$D$33:$D$80,0),$D$11:$D$23,0),0),0)</f>
        <v>0</v>
      </c>
      <c r="AY46" s="654" cm="1">
        <f t="array" ref="AY46">$E46*IFERROR(INDEX($E$11:$E$23,MATCH(MATCH(AY$8,$AF$8:$CA$8,0)-MATCH($D46,$D$33:$D$80,0),$D$11:$D$23,0),0),0)</f>
        <v>0</v>
      </c>
      <c r="AZ46" s="654" cm="1">
        <f t="array" ref="AZ46">$E46*IFERROR(INDEX($E$11:$E$23,MATCH(MATCH(AZ$8,$AF$8:$CA$8,0)-MATCH($D46,$D$33:$D$80,0),$D$11:$D$23,0),0),0)</f>
        <v>0</v>
      </c>
      <c r="BA46" s="654" cm="1">
        <f t="array" ref="BA46">$E46*IFERROR(INDEX($E$11:$E$23,MATCH(MATCH(BA$8,$AF$8:$CA$8,0)-MATCH($D46,$D$33:$D$80,0),$D$11:$D$23,0),0),0)</f>
        <v>0</v>
      </c>
      <c r="BB46" s="654" cm="1">
        <f t="array" ref="BB46">$E46*IFERROR(INDEX($E$11:$E$23,MATCH(MATCH(BB$8,$AF$8:$CA$8,0)-MATCH($D46,$D$33:$D$80,0),$D$11:$D$23,0),0),0)</f>
        <v>0</v>
      </c>
      <c r="BC46" s="654" cm="1">
        <f t="array" ref="BC46">$E46*IFERROR(INDEX($E$11:$E$23,MATCH(MATCH(BC$8,$AF$8:$CA$8,0)-MATCH($D46,$D$33:$D$80,0),$D$11:$D$23,0),0),0)</f>
        <v>0</v>
      </c>
      <c r="BD46" s="654" cm="1">
        <f t="array" ref="BD46">$E46*IFERROR(INDEX($E$11:$E$23,MATCH(MATCH(BD$8,$AF$8:$CA$8,0)-MATCH($D46,$D$33:$D$80,0),$D$11:$D$23,0),0),0)</f>
        <v>0</v>
      </c>
      <c r="BE46" s="654" cm="1">
        <f t="array" ref="BE46">$E46*IFERROR(INDEX($E$11:$E$23,MATCH(MATCH(BE$8,$AF$8:$CA$8,0)-MATCH($D46,$D$33:$D$80,0),$D$11:$D$23,0),0),0)</f>
        <v>0</v>
      </c>
      <c r="BF46" s="654" cm="1">
        <f t="array" ref="BF46">$E46*IFERROR(INDEX($E$11:$E$23,MATCH(MATCH(BF$8,$AF$8:$CA$8,0)-MATCH($D46,$D$33:$D$80,0),$D$11:$D$23,0),0),0)</f>
        <v>0</v>
      </c>
      <c r="BG46" s="654" cm="1">
        <f t="array" ref="BG46">$E46*IFERROR(INDEX($E$11:$E$23,MATCH(MATCH(BG$8,$AF$8:$CA$8,0)-MATCH($D46,$D$33:$D$80,0),$D$11:$D$23,0),0),0)</f>
        <v>0</v>
      </c>
      <c r="BH46" s="654" cm="1">
        <f t="array" ref="BH46">$E46*IFERROR(INDEX($E$11:$E$23,MATCH(MATCH(BH$8,$AF$8:$CA$8,0)-MATCH($D46,$D$33:$D$80,0),$D$11:$D$23,0),0),0)</f>
        <v>0</v>
      </c>
      <c r="BI46" s="654" cm="1">
        <f t="array" ref="BI46">$E46*IFERROR(INDEX($E$11:$E$23,MATCH(MATCH(BI$8,$AF$8:$CA$8,0)-MATCH($D46,$D$33:$D$80,0),$D$11:$D$23,0),0),0)</f>
        <v>0</v>
      </c>
      <c r="BJ46" s="654" cm="1">
        <f t="array" ref="BJ46">$E46*IFERROR(INDEX($E$11:$E$23,MATCH(MATCH(BJ$8,$AF$8:$CA$8,0)-MATCH($D46,$D$33:$D$80,0),$D$11:$D$23,0),0),0)</f>
        <v>0</v>
      </c>
      <c r="BK46" s="654" cm="1">
        <f t="array" ref="BK46">$E46*IFERROR(INDEX($E$11:$E$23,MATCH(MATCH(BK$8,$AF$8:$CA$8,0)-MATCH($D46,$D$33:$D$80,0),$D$11:$D$23,0),0),0)</f>
        <v>0</v>
      </c>
      <c r="BL46" s="654" cm="1">
        <f t="array" ref="BL46">$E46*IFERROR(INDEX($E$11:$E$23,MATCH(MATCH(BL$8,$AF$8:$CA$8,0)-MATCH($D46,$D$33:$D$80,0),$D$11:$D$23,0),0),0)</f>
        <v>0</v>
      </c>
      <c r="BM46" s="654" cm="1">
        <f t="array" ref="BM46">$E46*IFERROR(INDEX($E$11:$E$23,MATCH(MATCH(BM$8,$AF$8:$CA$8,0)-MATCH($D46,$D$33:$D$80,0),$D$11:$D$23,0),0),0)</f>
        <v>0</v>
      </c>
      <c r="BN46" s="654" cm="1">
        <f t="array" ref="BN46">$E46*IFERROR(INDEX($E$11:$E$23,MATCH(MATCH(BN$8,$AF$8:$CA$8,0)-MATCH($D46,$D$33:$D$80,0),$D$11:$D$23,0),0),0)</f>
        <v>0</v>
      </c>
      <c r="BO46" s="654" cm="1">
        <f t="array" ref="BO46">$E46*IFERROR(INDEX($E$11:$E$23,MATCH(MATCH(BO$8,$AF$8:$CA$8,0)-MATCH($D46,$D$33:$D$80,0),$D$11:$D$23,0),0),0)</f>
        <v>0</v>
      </c>
      <c r="BP46" s="654" cm="1">
        <f t="array" ref="BP46">$E46*IFERROR(INDEX($E$11:$E$23,MATCH(MATCH(BP$8,$AF$8:$CA$8,0)-MATCH($D46,$D$33:$D$80,0),$D$11:$D$23,0),0),0)</f>
        <v>0</v>
      </c>
      <c r="BQ46" s="654" cm="1">
        <f t="array" ref="BQ46">$E46*IFERROR(INDEX($E$11:$E$23,MATCH(MATCH(BQ$8,$AF$8:$CA$8,0)-MATCH($D46,$D$33:$D$80,0),$D$11:$D$23,0),0),0)</f>
        <v>0</v>
      </c>
      <c r="BR46" s="654" cm="1">
        <f t="array" ref="BR46">$E46*IFERROR(INDEX($E$11:$E$23,MATCH(MATCH(BR$8,$AF$8:$CA$8,0)-MATCH($D46,$D$33:$D$80,0),$D$11:$D$23,0),0),0)</f>
        <v>0</v>
      </c>
      <c r="BS46" s="654" cm="1">
        <f t="array" ref="BS46">$E46*IFERROR(INDEX($E$11:$E$23,MATCH(MATCH(BS$8,$AF$8:$CA$8,0)-MATCH($D46,$D$33:$D$80,0),$D$11:$D$23,0),0),0)</f>
        <v>0</v>
      </c>
      <c r="BT46" s="654" cm="1">
        <f t="array" ref="BT46">$E46*IFERROR(INDEX($E$11:$E$23,MATCH(MATCH(BT$8,$AF$8:$CA$8,0)-MATCH($D46,$D$33:$D$80,0),$D$11:$D$23,0),0),0)</f>
        <v>0</v>
      </c>
      <c r="BU46" s="654" cm="1">
        <f t="array" ref="BU46">$E46*IFERROR(INDEX($E$11:$E$23,MATCH(MATCH(BU$8,$AF$8:$CA$8,0)-MATCH($D46,$D$33:$D$80,0),$D$11:$D$23,0),0),0)</f>
        <v>0</v>
      </c>
      <c r="BV46" s="654" cm="1">
        <f t="array" ref="BV46">$E46*IFERROR(INDEX($E$11:$E$23,MATCH(MATCH(BV$8,$AF$8:$CA$8,0)-MATCH($D46,$D$33:$D$80,0),$D$11:$D$23,0),0),0)</f>
        <v>0</v>
      </c>
      <c r="BW46" s="654" cm="1">
        <f t="array" ref="BW46">$E46*IFERROR(INDEX($E$11:$E$23,MATCH(MATCH(BW$8,$AF$8:$CA$8,0)-MATCH($D46,$D$33:$D$80,0),$D$11:$D$23,0),0),0)</f>
        <v>0</v>
      </c>
      <c r="BX46" s="654" cm="1">
        <f t="array" ref="BX46">$E46*IFERROR(INDEX($E$11:$E$23,MATCH(MATCH(BX$8,$AF$8:$CA$8,0)-MATCH($D46,$D$33:$D$80,0),$D$11:$D$23,0),0),0)</f>
        <v>0</v>
      </c>
      <c r="BY46" s="654" cm="1">
        <f t="array" ref="BY46">$E46*IFERROR(INDEX($E$11:$E$23,MATCH(MATCH(BY$8,$AF$8:$CA$8,0)-MATCH($D46,$D$33:$D$80,0),$D$11:$D$23,0),0),0)</f>
        <v>0</v>
      </c>
      <c r="BZ46" s="654" cm="1">
        <f t="array" ref="BZ46">$E46*IFERROR(INDEX($E$11:$E$23,MATCH(MATCH(BZ$8,$AF$8:$CA$8,0)-MATCH($D46,$D$33:$D$80,0),$D$11:$D$23,0),0),0)</f>
        <v>0</v>
      </c>
      <c r="CA46" s="654" cm="1">
        <f t="array" ref="CA46">$E46*IFERROR(INDEX($E$11:$E$23,MATCH(MATCH(CA$8,$AF$8:$CA$8,0)-MATCH($D46,$D$33:$D$80,0),$D$11:$D$23,0),0),0)</f>
        <v>0</v>
      </c>
    </row>
    <row r="47" spans="2:79" ht="21" hidden="1" customHeight="1" outlineLevel="2">
      <c r="B47" s="367"/>
      <c r="C47" s="370"/>
      <c r="D47" s="374">
        <f t="shared" si="24"/>
        <v>45382</v>
      </c>
      <c r="E47" s="653" cm="1">
        <f t="array" ref="E47">IF($D47&lt;=LatestMonthOfActuals,0,INDEX($AF$28:$CA$28,0,MATCH($D47,$AF$8:$CA$8,0)))</f>
        <v>0</v>
      </c>
      <c r="F47" s="643"/>
      <c r="G47" s="644"/>
      <c r="H47" s="408">
        <f t="shared" si="22"/>
        <v>0</v>
      </c>
      <c r="I47" s="408">
        <f t="shared" si="22"/>
        <v>0</v>
      </c>
      <c r="J47" s="408">
        <f t="shared" si="22"/>
        <v>0</v>
      </c>
      <c r="K47" s="408">
        <f t="shared" si="22"/>
        <v>0</v>
      </c>
      <c r="L47" s="643"/>
      <c r="M47" s="644"/>
      <c r="N47" s="408">
        <f t="shared" si="25"/>
        <v>0</v>
      </c>
      <c r="O47" s="408">
        <f t="shared" si="25"/>
        <v>0</v>
      </c>
      <c r="P47" s="408">
        <f t="shared" si="25"/>
        <v>0</v>
      </c>
      <c r="Q47" s="408">
        <f t="shared" si="25"/>
        <v>0</v>
      </c>
      <c r="R47" s="408">
        <f t="shared" si="25"/>
        <v>0</v>
      </c>
      <c r="S47" s="408">
        <f t="shared" si="25"/>
        <v>0</v>
      </c>
      <c r="T47" s="408">
        <f t="shared" si="25"/>
        <v>0</v>
      </c>
      <c r="U47" s="408">
        <f t="shared" si="25"/>
        <v>0</v>
      </c>
      <c r="V47" s="408">
        <f t="shared" si="25"/>
        <v>0</v>
      </c>
      <c r="W47" s="408">
        <f t="shared" si="25"/>
        <v>0</v>
      </c>
      <c r="X47" s="408">
        <f t="shared" si="25"/>
        <v>0</v>
      </c>
      <c r="Y47" s="408">
        <f t="shared" si="25"/>
        <v>0</v>
      </c>
      <c r="Z47" s="408">
        <f t="shared" si="25"/>
        <v>0</v>
      </c>
      <c r="AA47" s="408">
        <f t="shared" si="25"/>
        <v>0</v>
      </c>
      <c r="AB47" s="408">
        <f t="shared" si="25"/>
        <v>0</v>
      </c>
      <c r="AC47" s="408">
        <f t="shared" si="25"/>
        <v>0</v>
      </c>
      <c r="AD47" s="643"/>
      <c r="AE47" s="644"/>
      <c r="AF47" s="654" cm="1">
        <f t="array" ref="AF47">$E47*IFERROR(INDEX($E$11:$E$23,MATCH(MATCH(AF$8,$AF$8:$CA$8,0)-MATCH($D47,$D$33:$D$80,0),$D$11:$D$23,0),0),0)</f>
        <v>0</v>
      </c>
      <c r="AG47" s="654" cm="1">
        <f t="array" ref="AG47">$E47*IFERROR(INDEX($E$11:$E$23,MATCH(MATCH(AG$8,$AF$8:$CA$8,0)-MATCH($D47,$D$33:$D$80,0),$D$11:$D$23,0),0),0)</f>
        <v>0</v>
      </c>
      <c r="AH47" s="654" cm="1">
        <f t="array" ref="AH47">$E47*IFERROR(INDEX($E$11:$E$23,MATCH(MATCH(AH$8,$AF$8:$CA$8,0)-MATCH($D47,$D$33:$D$80,0),$D$11:$D$23,0),0),0)</f>
        <v>0</v>
      </c>
      <c r="AI47" s="654" cm="1">
        <f t="array" ref="AI47">$E47*IFERROR(INDEX($E$11:$E$23,MATCH(MATCH(AI$8,$AF$8:$CA$8,0)-MATCH($D47,$D$33:$D$80,0),$D$11:$D$23,0),0),0)</f>
        <v>0</v>
      </c>
      <c r="AJ47" s="654" cm="1">
        <f t="array" ref="AJ47">$E47*IFERROR(INDEX($E$11:$E$23,MATCH(MATCH(AJ$8,$AF$8:$CA$8,0)-MATCH($D47,$D$33:$D$80,0),$D$11:$D$23,0),0),0)</f>
        <v>0</v>
      </c>
      <c r="AK47" s="654" cm="1">
        <f t="array" ref="AK47">$E47*IFERROR(INDEX($E$11:$E$23,MATCH(MATCH(AK$8,$AF$8:$CA$8,0)-MATCH($D47,$D$33:$D$80,0),$D$11:$D$23,0),0),0)</f>
        <v>0</v>
      </c>
      <c r="AL47" s="654" cm="1">
        <f t="array" ref="AL47">$E47*IFERROR(INDEX($E$11:$E$23,MATCH(MATCH(AL$8,$AF$8:$CA$8,0)-MATCH($D47,$D$33:$D$80,0),$D$11:$D$23,0),0),0)</f>
        <v>0</v>
      </c>
      <c r="AM47" s="654" cm="1">
        <f t="array" ref="AM47">$E47*IFERROR(INDEX($E$11:$E$23,MATCH(MATCH(AM$8,$AF$8:$CA$8,0)-MATCH($D47,$D$33:$D$80,0),$D$11:$D$23,0),0),0)</f>
        <v>0</v>
      </c>
      <c r="AN47" s="654" cm="1">
        <f t="array" ref="AN47">$E47*IFERROR(INDEX($E$11:$E$23,MATCH(MATCH(AN$8,$AF$8:$CA$8,0)-MATCH($D47,$D$33:$D$80,0),$D$11:$D$23,0),0),0)</f>
        <v>0</v>
      </c>
      <c r="AO47" s="654" cm="1">
        <f t="array" ref="AO47">$E47*IFERROR(INDEX($E$11:$E$23,MATCH(MATCH(AO$8,$AF$8:$CA$8,0)-MATCH($D47,$D$33:$D$80,0),$D$11:$D$23,0),0),0)</f>
        <v>0</v>
      </c>
      <c r="AP47" s="654" cm="1">
        <f t="array" ref="AP47">$E47*IFERROR(INDEX($E$11:$E$23,MATCH(MATCH(AP$8,$AF$8:$CA$8,0)-MATCH($D47,$D$33:$D$80,0),$D$11:$D$23,0),0),0)</f>
        <v>0</v>
      </c>
      <c r="AQ47" s="654" cm="1">
        <f t="array" ref="AQ47">$E47*IFERROR(INDEX($E$11:$E$23,MATCH(MATCH(AQ$8,$AF$8:$CA$8,0)-MATCH($D47,$D$33:$D$80,0),$D$11:$D$23,0),0),0)</f>
        <v>0</v>
      </c>
      <c r="AR47" s="654" cm="1">
        <f t="array" ref="AR47">$E47*IFERROR(INDEX($E$11:$E$23,MATCH(MATCH(AR$8,$AF$8:$CA$8,0)-MATCH($D47,$D$33:$D$80,0),$D$11:$D$23,0),0),0)</f>
        <v>0</v>
      </c>
      <c r="AS47" s="654" cm="1">
        <f t="array" ref="AS47">$E47*IFERROR(INDEX($E$11:$E$23,MATCH(MATCH(AS$8,$AF$8:$CA$8,0)-MATCH($D47,$D$33:$D$80,0),$D$11:$D$23,0),0),0)</f>
        <v>0</v>
      </c>
      <c r="AT47" s="654" cm="1">
        <f t="array" ref="AT47">$E47*IFERROR(INDEX($E$11:$E$23,MATCH(MATCH(AT$8,$AF$8:$CA$8,0)-MATCH($D47,$D$33:$D$80,0),$D$11:$D$23,0),0),0)</f>
        <v>0</v>
      </c>
      <c r="AU47" s="654" cm="1">
        <f t="array" ref="AU47">$E47*IFERROR(INDEX($E$11:$E$23,MATCH(MATCH(AU$8,$AF$8:$CA$8,0)-MATCH($D47,$D$33:$D$80,0),$D$11:$D$23,0),0),0)</f>
        <v>0</v>
      </c>
      <c r="AV47" s="654" cm="1">
        <f t="array" ref="AV47">$E47*IFERROR(INDEX($E$11:$E$23,MATCH(MATCH(AV$8,$AF$8:$CA$8,0)-MATCH($D47,$D$33:$D$80,0),$D$11:$D$23,0),0),0)</f>
        <v>0</v>
      </c>
      <c r="AW47" s="654" cm="1">
        <f t="array" ref="AW47">$E47*IFERROR(INDEX($E$11:$E$23,MATCH(MATCH(AW$8,$AF$8:$CA$8,0)-MATCH($D47,$D$33:$D$80,0),$D$11:$D$23,0),0),0)</f>
        <v>0</v>
      </c>
      <c r="AX47" s="654" cm="1">
        <f t="array" ref="AX47">$E47*IFERROR(INDEX($E$11:$E$23,MATCH(MATCH(AX$8,$AF$8:$CA$8,0)-MATCH($D47,$D$33:$D$80,0),$D$11:$D$23,0),0),0)</f>
        <v>0</v>
      </c>
      <c r="AY47" s="654" cm="1">
        <f t="array" ref="AY47">$E47*IFERROR(INDEX($E$11:$E$23,MATCH(MATCH(AY$8,$AF$8:$CA$8,0)-MATCH($D47,$D$33:$D$80,0),$D$11:$D$23,0),0),0)</f>
        <v>0</v>
      </c>
      <c r="AZ47" s="654" cm="1">
        <f t="array" ref="AZ47">$E47*IFERROR(INDEX($E$11:$E$23,MATCH(MATCH(AZ$8,$AF$8:$CA$8,0)-MATCH($D47,$D$33:$D$80,0),$D$11:$D$23,0),0),0)</f>
        <v>0</v>
      </c>
      <c r="BA47" s="654" cm="1">
        <f t="array" ref="BA47">$E47*IFERROR(INDEX($E$11:$E$23,MATCH(MATCH(BA$8,$AF$8:$CA$8,0)-MATCH($D47,$D$33:$D$80,0),$D$11:$D$23,0),0),0)</f>
        <v>0</v>
      </c>
      <c r="BB47" s="654" cm="1">
        <f t="array" ref="BB47">$E47*IFERROR(INDEX($E$11:$E$23,MATCH(MATCH(BB$8,$AF$8:$CA$8,0)-MATCH($D47,$D$33:$D$80,0),$D$11:$D$23,0),0),0)</f>
        <v>0</v>
      </c>
      <c r="BC47" s="654" cm="1">
        <f t="array" ref="BC47">$E47*IFERROR(INDEX($E$11:$E$23,MATCH(MATCH(BC$8,$AF$8:$CA$8,0)-MATCH($D47,$D$33:$D$80,0),$D$11:$D$23,0),0),0)</f>
        <v>0</v>
      </c>
      <c r="BD47" s="654" cm="1">
        <f t="array" ref="BD47">$E47*IFERROR(INDEX($E$11:$E$23,MATCH(MATCH(BD$8,$AF$8:$CA$8,0)-MATCH($D47,$D$33:$D$80,0),$D$11:$D$23,0),0),0)</f>
        <v>0</v>
      </c>
      <c r="BE47" s="654" cm="1">
        <f t="array" ref="BE47">$E47*IFERROR(INDEX($E$11:$E$23,MATCH(MATCH(BE$8,$AF$8:$CA$8,0)-MATCH($D47,$D$33:$D$80,0),$D$11:$D$23,0),0),0)</f>
        <v>0</v>
      </c>
      <c r="BF47" s="654" cm="1">
        <f t="array" ref="BF47">$E47*IFERROR(INDEX($E$11:$E$23,MATCH(MATCH(BF$8,$AF$8:$CA$8,0)-MATCH($D47,$D$33:$D$80,0),$D$11:$D$23,0),0),0)</f>
        <v>0</v>
      </c>
      <c r="BG47" s="654" cm="1">
        <f t="array" ref="BG47">$E47*IFERROR(INDEX($E$11:$E$23,MATCH(MATCH(BG$8,$AF$8:$CA$8,0)-MATCH($D47,$D$33:$D$80,0),$D$11:$D$23,0),0),0)</f>
        <v>0</v>
      </c>
      <c r="BH47" s="654" cm="1">
        <f t="array" ref="BH47">$E47*IFERROR(INDEX($E$11:$E$23,MATCH(MATCH(BH$8,$AF$8:$CA$8,0)-MATCH($D47,$D$33:$D$80,0),$D$11:$D$23,0),0),0)</f>
        <v>0</v>
      </c>
      <c r="BI47" s="654" cm="1">
        <f t="array" ref="BI47">$E47*IFERROR(INDEX($E$11:$E$23,MATCH(MATCH(BI$8,$AF$8:$CA$8,0)-MATCH($D47,$D$33:$D$80,0),$D$11:$D$23,0),0),0)</f>
        <v>0</v>
      </c>
      <c r="BJ47" s="654" cm="1">
        <f t="array" ref="BJ47">$E47*IFERROR(INDEX($E$11:$E$23,MATCH(MATCH(BJ$8,$AF$8:$CA$8,0)-MATCH($D47,$D$33:$D$80,0),$D$11:$D$23,0),0),0)</f>
        <v>0</v>
      </c>
      <c r="BK47" s="654" cm="1">
        <f t="array" ref="BK47">$E47*IFERROR(INDEX($E$11:$E$23,MATCH(MATCH(BK$8,$AF$8:$CA$8,0)-MATCH($D47,$D$33:$D$80,0),$D$11:$D$23,0),0),0)</f>
        <v>0</v>
      </c>
      <c r="BL47" s="654" cm="1">
        <f t="array" ref="BL47">$E47*IFERROR(INDEX($E$11:$E$23,MATCH(MATCH(BL$8,$AF$8:$CA$8,0)-MATCH($D47,$D$33:$D$80,0),$D$11:$D$23,0),0),0)</f>
        <v>0</v>
      </c>
      <c r="BM47" s="654" cm="1">
        <f t="array" ref="BM47">$E47*IFERROR(INDEX($E$11:$E$23,MATCH(MATCH(BM$8,$AF$8:$CA$8,0)-MATCH($D47,$D$33:$D$80,0),$D$11:$D$23,0),0),0)</f>
        <v>0</v>
      </c>
      <c r="BN47" s="654" cm="1">
        <f t="array" ref="BN47">$E47*IFERROR(INDEX($E$11:$E$23,MATCH(MATCH(BN$8,$AF$8:$CA$8,0)-MATCH($D47,$D$33:$D$80,0),$D$11:$D$23,0),0),0)</f>
        <v>0</v>
      </c>
      <c r="BO47" s="654" cm="1">
        <f t="array" ref="BO47">$E47*IFERROR(INDEX($E$11:$E$23,MATCH(MATCH(BO$8,$AF$8:$CA$8,0)-MATCH($D47,$D$33:$D$80,0),$D$11:$D$23,0),0),0)</f>
        <v>0</v>
      </c>
      <c r="BP47" s="654" cm="1">
        <f t="array" ref="BP47">$E47*IFERROR(INDEX($E$11:$E$23,MATCH(MATCH(BP$8,$AF$8:$CA$8,0)-MATCH($D47,$D$33:$D$80,0),$D$11:$D$23,0),0),0)</f>
        <v>0</v>
      </c>
      <c r="BQ47" s="654" cm="1">
        <f t="array" ref="BQ47">$E47*IFERROR(INDEX($E$11:$E$23,MATCH(MATCH(BQ$8,$AF$8:$CA$8,0)-MATCH($D47,$D$33:$D$80,0),$D$11:$D$23,0),0),0)</f>
        <v>0</v>
      </c>
      <c r="BR47" s="654" cm="1">
        <f t="array" ref="BR47">$E47*IFERROR(INDEX($E$11:$E$23,MATCH(MATCH(BR$8,$AF$8:$CA$8,0)-MATCH($D47,$D$33:$D$80,0),$D$11:$D$23,0),0),0)</f>
        <v>0</v>
      </c>
      <c r="BS47" s="654" cm="1">
        <f t="array" ref="BS47">$E47*IFERROR(INDEX($E$11:$E$23,MATCH(MATCH(BS$8,$AF$8:$CA$8,0)-MATCH($D47,$D$33:$D$80,0),$D$11:$D$23,0),0),0)</f>
        <v>0</v>
      </c>
      <c r="BT47" s="654" cm="1">
        <f t="array" ref="BT47">$E47*IFERROR(INDEX($E$11:$E$23,MATCH(MATCH(BT$8,$AF$8:$CA$8,0)-MATCH($D47,$D$33:$D$80,0),$D$11:$D$23,0),0),0)</f>
        <v>0</v>
      </c>
      <c r="BU47" s="654" cm="1">
        <f t="array" ref="BU47">$E47*IFERROR(INDEX($E$11:$E$23,MATCH(MATCH(BU$8,$AF$8:$CA$8,0)-MATCH($D47,$D$33:$D$80,0),$D$11:$D$23,0),0),0)</f>
        <v>0</v>
      </c>
      <c r="BV47" s="654" cm="1">
        <f t="array" ref="BV47">$E47*IFERROR(INDEX($E$11:$E$23,MATCH(MATCH(BV$8,$AF$8:$CA$8,0)-MATCH($D47,$D$33:$D$80,0),$D$11:$D$23,0),0),0)</f>
        <v>0</v>
      </c>
      <c r="BW47" s="654" cm="1">
        <f t="array" ref="BW47">$E47*IFERROR(INDEX($E$11:$E$23,MATCH(MATCH(BW$8,$AF$8:$CA$8,0)-MATCH($D47,$D$33:$D$80,0),$D$11:$D$23,0),0),0)</f>
        <v>0</v>
      </c>
      <c r="BX47" s="654" cm="1">
        <f t="array" ref="BX47">$E47*IFERROR(INDEX($E$11:$E$23,MATCH(MATCH(BX$8,$AF$8:$CA$8,0)-MATCH($D47,$D$33:$D$80,0),$D$11:$D$23,0),0),0)</f>
        <v>0</v>
      </c>
      <c r="BY47" s="654" cm="1">
        <f t="array" ref="BY47">$E47*IFERROR(INDEX($E$11:$E$23,MATCH(MATCH(BY$8,$AF$8:$CA$8,0)-MATCH($D47,$D$33:$D$80,0),$D$11:$D$23,0),0),0)</f>
        <v>0</v>
      </c>
      <c r="BZ47" s="654" cm="1">
        <f t="array" ref="BZ47">$E47*IFERROR(INDEX($E$11:$E$23,MATCH(MATCH(BZ$8,$AF$8:$CA$8,0)-MATCH($D47,$D$33:$D$80,0),$D$11:$D$23,0),0),0)</f>
        <v>0</v>
      </c>
      <c r="CA47" s="654" cm="1">
        <f t="array" ref="CA47">$E47*IFERROR(INDEX($E$11:$E$23,MATCH(MATCH(CA$8,$AF$8:$CA$8,0)-MATCH($D47,$D$33:$D$80,0),$D$11:$D$23,0),0),0)</f>
        <v>0</v>
      </c>
    </row>
    <row r="48" spans="2:79" ht="21" hidden="1" customHeight="1" outlineLevel="2">
      <c r="B48" s="367"/>
      <c r="C48" s="370"/>
      <c r="D48" s="374">
        <f t="shared" si="24"/>
        <v>45412</v>
      </c>
      <c r="E48" s="653" cm="1">
        <f t="array" ref="E48">IF($D48&lt;=LatestMonthOfActuals,0,INDEX($AF$28:$CA$28,0,MATCH($D48,$AF$8:$CA$8,0)))</f>
        <v>0</v>
      </c>
      <c r="F48" s="643"/>
      <c r="G48" s="644"/>
      <c r="H48" s="408">
        <f t="shared" si="22"/>
        <v>0</v>
      </c>
      <c r="I48" s="408">
        <f t="shared" si="22"/>
        <v>0</v>
      </c>
      <c r="J48" s="408">
        <f t="shared" si="22"/>
        <v>0</v>
      </c>
      <c r="K48" s="408">
        <f t="shared" si="22"/>
        <v>0</v>
      </c>
      <c r="L48" s="643"/>
      <c r="M48" s="644"/>
      <c r="N48" s="408">
        <f t="shared" si="25"/>
        <v>0</v>
      </c>
      <c r="O48" s="408">
        <f t="shared" si="25"/>
        <v>0</v>
      </c>
      <c r="P48" s="408">
        <f t="shared" si="25"/>
        <v>0</v>
      </c>
      <c r="Q48" s="408">
        <f t="shared" si="25"/>
        <v>0</v>
      </c>
      <c r="R48" s="408">
        <f t="shared" si="25"/>
        <v>0</v>
      </c>
      <c r="S48" s="408">
        <f t="shared" si="25"/>
        <v>0</v>
      </c>
      <c r="T48" s="408">
        <f t="shared" si="25"/>
        <v>0</v>
      </c>
      <c r="U48" s="408">
        <f t="shared" si="25"/>
        <v>0</v>
      </c>
      <c r="V48" s="408">
        <f t="shared" si="25"/>
        <v>0</v>
      </c>
      <c r="W48" s="408">
        <f t="shared" si="25"/>
        <v>0</v>
      </c>
      <c r="X48" s="408">
        <f t="shared" si="25"/>
        <v>0</v>
      </c>
      <c r="Y48" s="408">
        <f t="shared" si="25"/>
        <v>0</v>
      </c>
      <c r="Z48" s="408">
        <f t="shared" si="25"/>
        <v>0</v>
      </c>
      <c r="AA48" s="408">
        <f t="shared" si="25"/>
        <v>0</v>
      </c>
      <c r="AB48" s="408">
        <f t="shared" si="25"/>
        <v>0</v>
      </c>
      <c r="AC48" s="408">
        <f t="shared" si="25"/>
        <v>0</v>
      </c>
      <c r="AD48" s="643"/>
      <c r="AE48" s="644"/>
      <c r="AF48" s="654" cm="1">
        <f t="array" ref="AF48">$E48*IFERROR(INDEX($E$11:$E$23,MATCH(MATCH(AF$8,$AF$8:$CA$8,0)-MATCH($D48,$D$33:$D$80,0),$D$11:$D$23,0),0),0)</f>
        <v>0</v>
      </c>
      <c r="AG48" s="654" cm="1">
        <f t="array" ref="AG48">$E48*IFERROR(INDEX($E$11:$E$23,MATCH(MATCH(AG$8,$AF$8:$CA$8,0)-MATCH($D48,$D$33:$D$80,0),$D$11:$D$23,0),0),0)</f>
        <v>0</v>
      </c>
      <c r="AH48" s="654" cm="1">
        <f t="array" ref="AH48">$E48*IFERROR(INDEX($E$11:$E$23,MATCH(MATCH(AH$8,$AF$8:$CA$8,0)-MATCH($D48,$D$33:$D$80,0),$D$11:$D$23,0),0),0)</f>
        <v>0</v>
      </c>
      <c r="AI48" s="654" cm="1">
        <f t="array" ref="AI48">$E48*IFERROR(INDEX($E$11:$E$23,MATCH(MATCH(AI$8,$AF$8:$CA$8,0)-MATCH($D48,$D$33:$D$80,0),$D$11:$D$23,0),0),0)</f>
        <v>0</v>
      </c>
      <c r="AJ48" s="654" cm="1">
        <f t="array" ref="AJ48">$E48*IFERROR(INDEX($E$11:$E$23,MATCH(MATCH(AJ$8,$AF$8:$CA$8,0)-MATCH($D48,$D$33:$D$80,0),$D$11:$D$23,0),0),0)</f>
        <v>0</v>
      </c>
      <c r="AK48" s="654" cm="1">
        <f t="array" ref="AK48">$E48*IFERROR(INDEX($E$11:$E$23,MATCH(MATCH(AK$8,$AF$8:$CA$8,0)-MATCH($D48,$D$33:$D$80,0),$D$11:$D$23,0),0),0)</f>
        <v>0</v>
      </c>
      <c r="AL48" s="654" cm="1">
        <f t="array" ref="AL48">$E48*IFERROR(INDEX($E$11:$E$23,MATCH(MATCH(AL$8,$AF$8:$CA$8,0)-MATCH($D48,$D$33:$D$80,0),$D$11:$D$23,0),0),0)</f>
        <v>0</v>
      </c>
      <c r="AM48" s="654" cm="1">
        <f t="array" ref="AM48">$E48*IFERROR(INDEX($E$11:$E$23,MATCH(MATCH(AM$8,$AF$8:$CA$8,0)-MATCH($D48,$D$33:$D$80,0),$D$11:$D$23,0),0),0)</f>
        <v>0</v>
      </c>
      <c r="AN48" s="654" cm="1">
        <f t="array" ref="AN48">$E48*IFERROR(INDEX($E$11:$E$23,MATCH(MATCH(AN$8,$AF$8:$CA$8,0)-MATCH($D48,$D$33:$D$80,0),$D$11:$D$23,0),0),0)</f>
        <v>0</v>
      </c>
      <c r="AO48" s="654" cm="1">
        <f t="array" ref="AO48">$E48*IFERROR(INDEX($E$11:$E$23,MATCH(MATCH(AO$8,$AF$8:$CA$8,0)-MATCH($D48,$D$33:$D$80,0),$D$11:$D$23,0),0),0)</f>
        <v>0</v>
      </c>
      <c r="AP48" s="654" cm="1">
        <f t="array" ref="AP48">$E48*IFERROR(INDEX($E$11:$E$23,MATCH(MATCH(AP$8,$AF$8:$CA$8,0)-MATCH($D48,$D$33:$D$80,0),$D$11:$D$23,0),0),0)</f>
        <v>0</v>
      </c>
      <c r="AQ48" s="654" cm="1">
        <f t="array" ref="AQ48">$E48*IFERROR(INDEX($E$11:$E$23,MATCH(MATCH(AQ$8,$AF$8:$CA$8,0)-MATCH($D48,$D$33:$D$80,0),$D$11:$D$23,0),0),0)</f>
        <v>0</v>
      </c>
      <c r="AR48" s="654" cm="1">
        <f t="array" ref="AR48">$E48*IFERROR(INDEX($E$11:$E$23,MATCH(MATCH(AR$8,$AF$8:$CA$8,0)-MATCH($D48,$D$33:$D$80,0),$D$11:$D$23,0),0),0)</f>
        <v>0</v>
      </c>
      <c r="AS48" s="654" cm="1">
        <f t="array" ref="AS48">$E48*IFERROR(INDEX($E$11:$E$23,MATCH(MATCH(AS$8,$AF$8:$CA$8,0)-MATCH($D48,$D$33:$D$80,0),$D$11:$D$23,0),0),0)</f>
        <v>0</v>
      </c>
      <c r="AT48" s="654" cm="1">
        <f t="array" ref="AT48">$E48*IFERROR(INDEX($E$11:$E$23,MATCH(MATCH(AT$8,$AF$8:$CA$8,0)-MATCH($D48,$D$33:$D$80,0),$D$11:$D$23,0),0),0)</f>
        <v>0</v>
      </c>
      <c r="AU48" s="654" cm="1">
        <f t="array" ref="AU48">$E48*IFERROR(INDEX($E$11:$E$23,MATCH(MATCH(AU$8,$AF$8:$CA$8,0)-MATCH($D48,$D$33:$D$80,0),$D$11:$D$23,0),0),0)</f>
        <v>0</v>
      </c>
      <c r="AV48" s="654" cm="1">
        <f t="array" ref="AV48">$E48*IFERROR(INDEX($E$11:$E$23,MATCH(MATCH(AV$8,$AF$8:$CA$8,0)-MATCH($D48,$D$33:$D$80,0),$D$11:$D$23,0),0),0)</f>
        <v>0</v>
      </c>
      <c r="AW48" s="654" cm="1">
        <f t="array" ref="AW48">$E48*IFERROR(INDEX($E$11:$E$23,MATCH(MATCH(AW$8,$AF$8:$CA$8,0)-MATCH($D48,$D$33:$D$80,0),$D$11:$D$23,0),0),0)</f>
        <v>0</v>
      </c>
      <c r="AX48" s="654" cm="1">
        <f t="array" ref="AX48">$E48*IFERROR(INDEX($E$11:$E$23,MATCH(MATCH(AX$8,$AF$8:$CA$8,0)-MATCH($D48,$D$33:$D$80,0),$D$11:$D$23,0),0),0)</f>
        <v>0</v>
      </c>
      <c r="AY48" s="654" cm="1">
        <f t="array" ref="AY48">$E48*IFERROR(INDEX($E$11:$E$23,MATCH(MATCH(AY$8,$AF$8:$CA$8,0)-MATCH($D48,$D$33:$D$80,0),$D$11:$D$23,0),0),0)</f>
        <v>0</v>
      </c>
      <c r="AZ48" s="654" cm="1">
        <f t="array" ref="AZ48">$E48*IFERROR(INDEX($E$11:$E$23,MATCH(MATCH(AZ$8,$AF$8:$CA$8,0)-MATCH($D48,$D$33:$D$80,0),$D$11:$D$23,0),0),0)</f>
        <v>0</v>
      </c>
      <c r="BA48" s="654" cm="1">
        <f t="array" ref="BA48">$E48*IFERROR(INDEX($E$11:$E$23,MATCH(MATCH(BA$8,$AF$8:$CA$8,0)-MATCH($D48,$D$33:$D$80,0),$D$11:$D$23,0),0),0)</f>
        <v>0</v>
      </c>
      <c r="BB48" s="654" cm="1">
        <f t="array" ref="BB48">$E48*IFERROR(INDEX($E$11:$E$23,MATCH(MATCH(BB$8,$AF$8:$CA$8,0)-MATCH($D48,$D$33:$D$80,0),$D$11:$D$23,0),0),0)</f>
        <v>0</v>
      </c>
      <c r="BC48" s="654" cm="1">
        <f t="array" ref="BC48">$E48*IFERROR(INDEX($E$11:$E$23,MATCH(MATCH(BC$8,$AF$8:$CA$8,0)-MATCH($D48,$D$33:$D$80,0),$D$11:$D$23,0),0),0)</f>
        <v>0</v>
      </c>
      <c r="BD48" s="654" cm="1">
        <f t="array" ref="BD48">$E48*IFERROR(INDEX($E$11:$E$23,MATCH(MATCH(BD$8,$AF$8:$CA$8,0)-MATCH($D48,$D$33:$D$80,0),$D$11:$D$23,0),0),0)</f>
        <v>0</v>
      </c>
      <c r="BE48" s="654" cm="1">
        <f t="array" ref="BE48">$E48*IFERROR(INDEX($E$11:$E$23,MATCH(MATCH(BE$8,$AF$8:$CA$8,0)-MATCH($D48,$D$33:$D$80,0),$D$11:$D$23,0),0),0)</f>
        <v>0</v>
      </c>
      <c r="BF48" s="654" cm="1">
        <f t="array" ref="BF48">$E48*IFERROR(INDEX($E$11:$E$23,MATCH(MATCH(BF$8,$AF$8:$CA$8,0)-MATCH($D48,$D$33:$D$80,0),$D$11:$D$23,0),0),0)</f>
        <v>0</v>
      </c>
      <c r="BG48" s="654" cm="1">
        <f t="array" ref="BG48">$E48*IFERROR(INDEX($E$11:$E$23,MATCH(MATCH(BG$8,$AF$8:$CA$8,0)-MATCH($D48,$D$33:$D$80,0),$D$11:$D$23,0),0),0)</f>
        <v>0</v>
      </c>
      <c r="BH48" s="654" cm="1">
        <f t="array" ref="BH48">$E48*IFERROR(INDEX($E$11:$E$23,MATCH(MATCH(BH$8,$AF$8:$CA$8,0)-MATCH($D48,$D$33:$D$80,0),$D$11:$D$23,0),0),0)</f>
        <v>0</v>
      </c>
      <c r="BI48" s="654" cm="1">
        <f t="array" ref="BI48">$E48*IFERROR(INDEX($E$11:$E$23,MATCH(MATCH(BI$8,$AF$8:$CA$8,0)-MATCH($D48,$D$33:$D$80,0),$D$11:$D$23,0),0),0)</f>
        <v>0</v>
      </c>
      <c r="BJ48" s="654" cm="1">
        <f t="array" ref="BJ48">$E48*IFERROR(INDEX($E$11:$E$23,MATCH(MATCH(BJ$8,$AF$8:$CA$8,0)-MATCH($D48,$D$33:$D$80,0),$D$11:$D$23,0),0),0)</f>
        <v>0</v>
      </c>
      <c r="BK48" s="654" cm="1">
        <f t="array" ref="BK48">$E48*IFERROR(INDEX($E$11:$E$23,MATCH(MATCH(BK$8,$AF$8:$CA$8,0)-MATCH($D48,$D$33:$D$80,0),$D$11:$D$23,0),0),0)</f>
        <v>0</v>
      </c>
      <c r="BL48" s="654" cm="1">
        <f t="array" ref="BL48">$E48*IFERROR(INDEX($E$11:$E$23,MATCH(MATCH(BL$8,$AF$8:$CA$8,0)-MATCH($D48,$D$33:$D$80,0),$D$11:$D$23,0),0),0)</f>
        <v>0</v>
      </c>
      <c r="BM48" s="654" cm="1">
        <f t="array" ref="BM48">$E48*IFERROR(INDEX($E$11:$E$23,MATCH(MATCH(BM$8,$AF$8:$CA$8,0)-MATCH($D48,$D$33:$D$80,0),$D$11:$D$23,0),0),0)</f>
        <v>0</v>
      </c>
      <c r="BN48" s="654" cm="1">
        <f t="array" ref="BN48">$E48*IFERROR(INDEX($E$11:$E$23,MATCH(MATCH(BN$8,$AF$8:$CA$8,0)-MATCH($D48,$D$33:$D$80,0),$D$11:$D$23,0),0),0)</f>
        <v>0</v>
      </c>
      <c r="BO48" s="654" cm="1">
        <f t="array" ref="BO48">$E48*IFERROR(INDEX($E$11:$E$23,MATCH(MATCH(BO$8,$AF$8:$CA$8,0)-MATCH($D48,$D$33:$D$80,0),$D$11:$D$23,0),0),0)</f>
        <v>0</v>
      </c>
      <c r="BP48" s="654" cm="1">
        <f t="array" ref="BP48">$E48*IFERROR(INDEX($E$11:$E$23,MATCH(MATCH(BP$8,$AF$8:$CA$8,0)-MATCH($D48,$D$33:$D$80,0),$D$11:$D$23,0),0),0)</f>
        <v>0</v>
      </c>
      <c r="BQ48" s="654" cm="1">
        <f t="array" ref="BQ48">$E48*IFERROR(INDEX($E$11:$E$23,MATCH(MATCH(BQ$8,$AF$8:$CA$8,0)-MATCH($D48,$D$33:$D$80,0),$D$11:$D$23,0),0),0)</f>
        <v>0</v>
      </c>
      <c r="BR48" s="654" cm="1">
        <f t="array" ref="BR48">$E48*IFERROR(INDEX($E$11:$E$23,MATCH(MATCH(BR$8,$AF$8:$CA$8,0)-MATCH($D48,$D$33:$D$80,0),$D$11:$D$23,0),0),0)</f>
        <v>0</v>
      </c>
      <c r="BS48" s="654" cm="1">
        <f t="array" ref="BS48">$E48*IFERROR(INDEX($E$11:$E$23,MATCH(MATCH(BS$8,$AF$8:$CA$8,0)-MATCH($D48,$D$33:$D$80,0),$D$11:$D$23,0),0),0)</f>
        <v>0</v>
      </c>
      <c r="BT48" s="654" cm="1">
        <f t="array" ref="BT48">$E48*IFERROR(INDEX($E$11:$E$23,MATCH(MATCH(BT$8,$AF$8:$CA$8,0)-MATCH($D48,$D$33:$D$80,0),$D$11:$D$23,0),0),0)</f>
        <v>0</v>
      </c>
      <c r="BU48" s="654" cm="1">
        <f t="array" ref="BU48">$E48*IFERROR(INDEX($E$11:$E$23,MATCH(MATCH(BU$8,$AF$8:$CA$8,0)-MATCH($D48,$D$33:$D$80,0),$D$11:$D$23,0),0),0)</f>
        <v>0</v>
      </c>
      <c r="BV48" s="654" cm="1">
        <f t="array" ref="BV48">$E48*IFERROR(INDEX($E$11:$E$23,MATCH(MATCH(BV$8,$AF$8:$CA$8,0)-MATCH($D48,$D$33:$D$80,0),$D$11:$D$23,0),0),0)</f>
        <v>0</v>
      </c>
      <c r="BW48" s="654" cm="1">
        <f t="array" ref="BW48">$E48*IFERROR(INDEX($E$11:$E$23,MATCH(MATCH(BW$8,$AF$8:$CA$8,0)-MATCH($D48,$D$33:$D$80,0),$D$11:$D$23,0),0),0)</f>
        <v>0</v>
      </c>
      <c r="BX48" s="654" cm="1">
        <f t="array" ref="BX48">$E48*IFERROR(INDEX($E$11:$E$23,MATCH(MATCH(BX$8,$AF$8:$CA$8,0)-MATCH($D48,$D$33:$D$80,0),$D$11:$D$23,0),0),0)</f>
        <v>0</v>
      </c>
      <c r="BY48" s="654" cm="1">
        <f t="array" ref="BY48">$E48*IFERROR(INDEX($E$11:$E$23,MATCH(MATCH(BY$8,$AF$8:$CA$8,0)-MATCH($D48,$D$33:$D$80,0),$D$11:$D$23,0),0),0)</f>
        <v>0</v>
      </c>
      <c r="BZ48" s="654" cm="1">
        <f t="array" ref="BZ48">$E48*IFERROR(INDEX($E$11:$E$23,MATCH(MATCH(BZ$8,$AF$8:$CA$8,0)-MATCH($D48,$D$33:$D$80,0),$D$11:$D$23,0),0),0)</f>
        <v>0</v>
      </c>
      <c r="CA48" s="654" cm="1">
        <f t="array" ref="CA48">$E48*IFERROR(INDEX($E$11:$E$23,MATCH(MATCH(CA$8,$AF$8:$CA$8,0)-MATCH($D48,$D$33:$D$80,0),$D$11:$D$23,0),0),0)</f>
        <v>0</v>
      </c>
    </row>
    <row r="49" spans="2:79" ht="21" hidden="1" customHeight="1" outlineLevel="2">
      <c r="B49" s="367"/>
      <c r="C49" s="370"/>
      <c r="D49" s="374">
        <f t="shared" si="24"/>
        <v>45443</v>
      </c>
      <c r="E49" s="653" cm="1">
        <f t="array" ref="E49">IF($D49&lt;=LatestMonthOfActuals,0,INDEX($AF$28:$CA$28,0,MATCH($D49,$AF$8:$CA$8,0)))</f>
        <v>0</v>
      </c>
      <c r="F49" s="643"/>
      <c r="G49" s="644"/>
      <c r="H49" s="408">
        <f t="shared" si="22"/>
        <v>0</v>
      </c>
      <c r="I49" s="408">
        <f t="shared" si="22"/>
        <v>0</v>
      </c>
      <c r="J49" s="408">
        <f t="shared" si="22"/>
        <v>0</v>
      </c>
      <c r="K49" s="408">
        <f t="shared" si="22"/>
        <v>0</v>
      </c>
      <c r="L49" s="643"/>
      <c r="M49" s="644"/>
      <c r="N49" s="408">
        <f t="shared" si="25"/>
        <v>0</v>
      </c>
      <c r="O49" s="408">
        <f t="shared" si="25"/>
        <v>0</v>
      </c>
      <c r="P49" s="408">
        <f t="shared" si="25"/>
        <v>0</v>
      </c>
      <c r="Q49" s="408">
        <f t="shared" si="25"/>
        <v>0</v>
      </c>
      <c r="R49" s="408">
        <f t="shared" si="25"/>
        <v>0</v>
      </c>
      <c r="S49" s="408">
        <f t="shared" si="25"/>
        <v>0</v>
      </c>
      <c r="T49" s="408">
        <f t="shared" si="25"/>
        <v>0</v>
      </c>
      <c r="U49" s="408">
        <f t="shared" si="25"/>
        <v>0</v>
      </c>
      <c r="V49" s="408">
        <f t="shared" si="25"/>
        <v>0</v>
      </c>
      <c r="W49" s="408">
        <f t="shared" si="25"/>
        <v>0</v>
      </c>
      <c r="X49" s="408">
        <f t="shared" si="25"/>
        <v>0</v>
      </c>
      <c r="Y49" s="408">
        <f t="shared" si="25"/>
        <v>0</v>
      </c>
      <c r="Z49" s="408">
        <f t="shared" si="25"/>
        <v>0</v>
      </c>
      <c r="AA49" s="408">
        <f t="shared" si="25"/>
        <v>0</v>
      </c>
      <c r="AB49" s="408">
        <f t="shared" si="25"/>
        <v>0</v>
      </c>
      <c r="AC49" s="408">
        <f t="shared" si="25"/>
        <v>0</v>
      </c>
      <c r="AD49" s="643"/>
      <c r="AE49" s="644"/>
      <c r="AF49" s="654" cm="1">
        <f t="array" ref="AF49">$E49*IFERROR(INDEX($E$11:$E$23,MATCH(MATCH(AF$8,$AF$8:$CA$8,0)-MATCH($D49,$D$33:$D$80,0),$D$11:$D$23,0),0),0)</f>
        <v>0</v>
      </c>
      <c r="AG49" s="654" cm="1">
        <f t="array" ref="AG49">$E49*IFERROR(INDEX($E$11:$E$23,MATCH(MATCH(AG$8,$AF$8:$CA$8,0)-MATCH($D49,$D$33:$D$80,0),$D$11:$D$23,0),0),0)</f>
        <v>0</v>
      </c>
      <c r="AH49" s="654" cm="1">
        <f t="array" ref="AH49">$E49*IFERROR(INDEX($E$11:$E$23,MATCH(MATCH(AH$8,$AF$8:$CA$8,0)-MATCH($D49,$D$33:$D$80,0),$D$11:$D$23,0),0),0)</f>
        <v>0</v>
      </c>
      <c r="AI49" s="654" cm="1">
        <f t="array" ref="AI49">$E49*IFERROR(INDEX($E$11:$E$23,MATCH(MATCH(AI$8,$AF$8:$CA$8,0)-MATCH($D49,$D$33:$D$80,0),$D$11:$D$23,0),0),0)</f>
        <v>0</v>
      </c>
      <c r="AJ49" s="654" cm="1">
        <f t="array" ref="AJ49">$E49*IFERROR(INDEX($E$11:$E$23,MATCH(MATCH(AJ$8,$AF$8:$CA$8,0)-MATCH($D49,$D$33:$D$80,0),$D$11:$D$23,0),0),0)</f>
        <v>0</v>
      </c>
      <c r="AK49" s="654" cm="1">
        <f t="array" ref="AK49">$E49*IFERROR(INDEX($E$11:$E$23,MATCH(MATCH(AK$8,$AF$8:$CA$8,0)-MATCH($D49,$D$33:$D$80,0),$D$11:$D$23,0),0),0)</f>
        <v>0</v>
      </c>
      <c r="AL49" s="654" cm="1">
        <f t="array" ref="AL49">$E49*IFERROR(INDEX($E$11:$E$23,MATCH(MATCH(AL$8,$AF$8:$CA$8,0)-MATCH($D49,$D$33:$D$80,0),$D$11:$D$23,0),0),0)</f>
        <v>0</v>
      </c>
      <c r="AM49" s="654" cm="1">
        <f t="array" ref="AM49">$E49*IFERROR(INDEX($E$11:$E$23,MATCH(MATCH(AM$8,$AF$8:$CA$8,0)-MATCH($D49,$D$33:$D$80,0),$D$11:$D$23,0),0),0)</f>
        <v>0</v>
      </c>
      <c r="AN49" s="654" cm="1">
        <f t="array" ref="AN49">$E49*IFERROR(INDEX($E$11:$E$23,MATCH(MATCH(AN$8,$AF$8:$CA$8,0)-MATCH($D49,$D$33:$D$80,0),$D$11:$D$23,0),0),0)</f>
        <v>0</v>
      </c>
      <c r="AO49" s="654" cm="1">
        <f t="array" ref="AO49">$E49*IFERROR(INDEX($E$11:$E$23,MATCH(MATCH(AO$8,$AF$8:$CA$8,0)-MATCH($D49,$D$33:$D$80,0),$D$11:$D$23,0),0),0)</f>
        <v>0</v>
      </c>
      <c r="AP49" s="654" cm="1">
        <f t="array" ref="AP49">$E49*IFERROR(INDEX($E$11:$E$23,MATCH(MATCH(AP$8,$AF$8:$CA$8,0)-MATCH($D49,$D$33:$D$80,0),$D$11:$D$23,0),0),0)</f>
        <v>0</v>
      </c>
      <c r="AQ49" s="654" cm="1">
        <f t="array" ref="AQ49">$E49*IFERROR(INDEX($E$11:$E$23,MATCH(MATCH(AQ$8,$AF$8:$CA$8,0)-MATCH($D49,$D$33:$D$80,0),$D$11:$D$23,0),0),0)</f>
        <v>0</v>
      </c>
      <c r="AR49" s="654" cm="1">
        <f t="array" ref="AR49">$E49*IFERROR(INDEX($E$11:$E$23,MATCH(MATCH(AR$8,$AF$8:$CA$8,0)-MATCH($D49,$D$33:$D$80,0),$D$11:$D$23,0),0),0)</f>
        <v>0</v>
      </c>
      <c r="AS49" s="654" cm="1">
        <f t="array" ref="AS49">$E49*IFERROR(INDEX($E$11:$E$23,MATCH(MATCH(AS$8,$AF$8:$CA$8,0)-MATCH($D49,$D$33:$D$80,0),$D$11:$D$23,0),0),0)</f>
        <v>0</v>
      </c>
      <c r="AT49" s="654" cm="1">
        <f t="array" ref="AT49">$E49*IFERROR(INDEX($E$11:$E$23,MATCH(MATCH(AT$8,$AF$8:$CA$8,0)-MATCH($D49,$D$33:$D$80,0),$D$11:$D$23,0),0),0)</f>
        <v>0</v>
      </c>
      <c r="AU49" s="654" cm="1">
        <f t="array" ref="AU49">$E49*IFERROR(INDEX($E$11:$E$23,MATCH(MATCH(AU$8,$AF$8:$CA$8,0)-MATCH($D49,$D$33:$D$80,0),$D$11:$D$23,0),0),0)</f>
        <v>0</v>
      </c>
      <c r="AV49" s="654" cm="1">
        <f t="array" ref="AV49">$E49*IFERROR(INDEX($E$11:$E$23,MATCH(MATCH(AV$8,$AF$8:$CA$8,0)-MATCH($D49,$D$33:$D$80,0),$D$11:$D$23,0),0),0)</f>
        <v>0</v>
      </c>
      <c r="AW49" s="654" cm="1">
        <f t="array" ref="AW49">$E49*IFERROR(INDEX($E$11:$E$23,MATCH(MATCH(AW$8,$AF$8:$CA$8,0)-MATCH($D49,$D$33:$D$80,0),$D$11:$D$23,0),0),0)</f>
        <v>0</v>
      </c>
      <c r="AX49" s="654" cm="1">
        <f t="array" ref="AX49">$E49*IFERROR(INDEX($E$11:$E$23,MATCH(MATCH(AX$8,$AF$8:$CA$8,0)-MATCH($D49,$D$33:$D$80,0),$D$11:$D$23,0),0),0)</f>
        <v>0</v>
      </c>
      <c r="AY49" s="654" cm="1">
        <f t="array" ref="AY49">$E49*IFERROR(INDEX($E$11:$E$23,MATCH(MATCH(AY$8,$AF$8:$CA$8,0)-MATCH($D49,$D$33:$D$80,0),$D$11:$D$23,0),0),0)</f>
        <v>0</v>
      </c>
      <c r="AZ49" s="654" cm="1">
        <f t="array" ref="AZ49">$E49*IFERROR(INDEX($E$11:$E$23,MATCH(MATCH(AZ$8,$AF$8:$CA$8,0)-MATCH($D49,$D$33:$D$80,0),$D$11:$D$23,0),0),0)</f>
        <v>0</v>
      </c>
      <c r="BA49" s="654" cm="1">
        <f t="array" ref="BA49">$E49*IFERROR(INDEX($E$11:$E$23,MATCH(MATCH(BA$8,$AF$8:$CA$8,0)-MATCH($D49,$D$33:$D$80,0),$D$11:$D$23,0),0),0)</f>
        <v>0</v>
      </c>
      <c r="BB49" s="654" cm="1">
        <f t="array" ref="BB49">$E49*IFERROR(INDEX($E$11:$E$23,MATCH(MATCH(BB$8,$AF$8:$CA$8,0)-MATCH($D49,$D$33:$D$80,0),$D$11:$D$23,0),0),0)</f>
        <v>0</v>
      </c>
      <c r="BC49" s="654" cm="1">
        <f t="array" ref="BC49">$E49*IFERROR(INDEX($E$11:$E$23,MATCH(MATCH(BC$8,$AF$8:$CA$8,0)-MATCH($D49,$D$33:$D$80,0),$D$11:$D$23,0),0),0)</f>
        <v>0</v>
      </c>
      <c r="BD49" s="654" cm="1">
        <f t="array" ref="BD49">$E49*IFERROR(INDEX($E$11:$E$23,MATCH(MATCH(BD$8,$AF$8:$CA$8,0)-MATCH($D49,$D$33:$D$80,0),$D$11:$D$23,0),0),0)</f>
        <v>0</v>
      </c>
      <c r="BE49" s="654" cm="1">
        <f t="array" ref="BE49">$E49*IFERROR(INDEX($E$11:$E$23,MATCH(MATCH(BE$8,$AF$8:$CA$8,0)-MATCH($D49,$D$33:$D$80,0),$D$11:$D$23,0),0),0)</f>
        <v>0</v>
      </c>
      <c r="BF49" s="654" cm="1">
        <f t="array" ref="BF49">$E49*IFERROR(INDEX($E$11:$E$23,MATCH(MATCH(BF$8,$AF$8:$CA$8,0)-MATCH($D49,$D$33:$D$80,0),$D$11:$D$23,0),0),0)</f>
        <v>0</v>
      </c>
      <c r="BG49" s="654" cm="1">
        <f t="array" ref="BG49">$E49*IFERROR(INDEX($E$11:$E$23,MATCH(MATCH(BG$8,$AF$8:$CA$8,0)-MATCH($D49,$D$33:$D$80,0),$D$11:$D$23,0),0),0)</f>
        <v>0</v>
      </c>
      <c r="BH49" s="654" cm="1">
        <f t="array" ref="BH49">$E49*IFERROR(INDEX($E$11:$E$23,MATCH(MATCH(BH$8,$AF$8:$CA$8,0)-MATCH($D49,$D$33:$D$80,0),$D$11:$D$23,0),0),0)</f>
        <v>0</v>
      </c>
      <c r="BI49" s="654" cm="1">
        <f t="array" ref="BI49">$E49*IFERROR(INDEX($E$11:$E$23,MATCH(MATCH(BI$8,$AF$8:$CA$8,0)-MATCH($D49,$D$33:$D$80,0),$D$11:$D$23,0),0),0)</f>
        <v>0</v>
      </c>
      <c r="BJ49" s="654" cm="1">
        <f t="array" ref="BJ49">$E49*IFERROR(INDEX($E$11:$E$23,MATCH(MATCH(BJ$8,$AF$8:$CA$8,0)-MATCH($D49,$D$33:$D$80,0),$D$11:$D$23,0),0),0)</f>
        <v>0</v>
      </c>
      <c r="BK49" s="654" cm="1">
        <f t="array" ref="BK49">$E49*IFERROR(INDEX($E$11:$E$23,MATCH(MATCH(BK$8,$AF$8:$CA$8,0)-MATCH($D49,$D$33:$D$80,0),$D$11:$D$23,0),0),0)</f>
        <v>0</v>
      </c>
      <c r="BL49" s="654" cm="1">
        <f t="array" ref="BL49">$E49*IFERROR(INDEX($E$11:$E$23,MATCH(MATCH(BL$8,$AF$8:$CA$8,0)-MATCH($D49,$D$33:$D$80,0),$D$11:$D$23,0),0),0)</f>
        <v>0</v>
      </c>
      <c r="BM49" s="654" cm="1">
        <f t="array" ref="BM49">$E49*IFERROR(INDEX($E$11:$E$23,MATCH(MATCH(BM$8,$AF$8:$CA$8,0)-MATCH($D49,$D$33:$D$80,0),$D$11:$D$23,0),0),0)</f>
        <v>0</v>
      </c>
      <c r="BN49" s="654" cm="1">
        <f t="array" ref="BN49">$E49*IFERROR(INDEX($E$11:$E$23,MATCH(MATCH(BN$8,$AF$8:$CA$8,0)-MATCH($D49,$D$33:$D$80,0),$D$11:$D$23,0),0),0)</f>
        <v>0</v>
      </c>
      <c r="BO49" s="654" cm="1">
        <f t="array" ref="BO49">$E49*IFERROR(INDEX($E$11:$E$23,MATCH(MATCH(BO$8,$AF$8:$CA$8,0)-MATCH($D49,$D$33:$D$80,0),$D$11:$D$23,0),0),0)</f>
        <v>0</v>
      </c>
      <c r="BP49" s="654" cm="1">
        <f t="array" ref="BP49">$E49*IFERROR(INDEX($E$11:$E$23,MATCH(MATCH(BP$8,$AF$8:$CA$8,0)-MATCH($D49,$D$33:$D$80,0),$D$11:$D$23,0),0),0)</f>
        <v>0</v>
      </c>
      <c r="BQ49" s="654" cm="1">
        <f t="array" ref="BQ49">$E49*IFERROR(INDEX($E$11:$E$23,MATCH(MATCH(BQ$8,$AF$8:$CA$8,0)-MATCH($D49,$D$33:$D$80,0),$D$11:$D$23,0),0),0)</f>
        <v>0</v>
      </c>
      <c r="BR49" s="654" cm="1">
        <f t="array" ref="BR49">$E49*IFERROR(INDEX($E$11:$E$23,MATCH(MATCH(BR$8,$AF$8:$CA$8,0)-MATCH($D49,$D$33:$D$80,0),$D$11:$D$23,0),0),0)</f>
        <v>0</v>
      </c>
      <c r="BS49" s="654" cm="1">
        <f t="array" ref="BS49">$E49*IFERROR(INDEX($E$11:$E$23,MATCH(MATCH(BS$8,$AF$8:$CA$8,0)-MATCH($D49,$D$33:$D$80,0),$D$11:$D$23,0),0),0)</f>
        <v>0</v>
      </c>
      <c r="BT49" s="654" cm="1">
        <f t="array" ref="BT49">$E49*IFERROR(INDEX($E$11:$E$23,MATCH(MATCH(BT$8,$AF$8:$CA$8,0)-MATCH($D49,$D$33:$D$80,0),$D$11:$D$23,0),0),0)</f>
        <v>0</v>
      </c>
      <c r="BU49" s="654" cm="1">
        <f t="array" ref="BU49">$E49*IFERROR(INDEX($E$11:$E$23,MATCH(MATCH(BU$8,$AF$8:$CA$8,0)-MATCH($D49,$D$33:$D$80,0),$D$11:$D$23,0),0),0)</f>
        <v>0</v>
      </c>
      <c r="BV49" s="654" cm="1">
        <f t="array" ref="BV49">$E49*IFERROR(INDEX($E$11:$E$23,MATCH(MATCH(BV$8,$AF$8:$CA$8,0)-MATCH($D49,$D$33:$D$80,0),$D$11:$D$23,0),0),0)</f>
        <v>0</v>
      </c>
      <c r="BW49" s="654" cm="1">
        <f t="array" ref="BW49">$E49*IFERROR(INDEX($E$11:$E$23,MATCH(MATCH(BW$8,$AF$8:$CA$8,0)-MATCH($D49,$D$33:$D$80,0),$D$11:$D$23,0),0),0)</f>
        <v>0</v>
      </c>
      <c r="BX49" s="654" cm="1">
        <f t="array" ref="BX49">$E49*IFERROR(INDEX($E$11:$E$23,MATCH(MATCH(BX$8,$AF$8:$CA$8,0)-MATCH($D49,$D$33:$D$80,0),$D$11:$D$23,0),0),0)</f>
        <v>0</v>
      </c>
      <c r="BY49" s="654" cm="1">
        <f t="array" ref="BY49">$E49*IFERROR(INDEX($E$11:$E$23,MATCH(MATCH(BY$8,$AF$8:$CA$8,0)-MATCH($D49,$D$33:$D$80,0),$D$11:$D$23,0),0),0)</f>
        <v>0</v>
      </c>
      <c r="BZ49" s="654" cm="1">
        <f t="array" ref="BZ49">$E49*IFERROR(INDEX($E$11:$E$23,MATCH(MATCH(BZ$8,$AF$8:$CA$8,0)-MATCH($D49,$D$33:$D$80,0),$D$11:$D$23,0),0),0)</f>
        <v>0</v>
      </c>
      <c r="CA49" s="654" cm="1">
        <f t="array" ref="CA49">$E49*IFERROR(INDEX($E$11:$E$23,MATCH(MATCH(CA$8,$AF$8:$CA$8,0)-MATCH($D49,$D$33:$D$80,0),$D$11:$D$23,0),0),0)</f>
        <v>0</v>
      </c>
    </row>
    <row r="50" spans="2:79" ht="21" hidden="1" customHeight="1" outlineLevel="2">
      <c r="B50" s="367"/>
      <c r="C50" s="370"/>
      <c r="D50" s="374">
        <f t="shared" si="24"/>
        <v>45473</v>
      </c>
      <c r="E50" s="653" cm="1">
        <f t="array" ref="E50">IF($D50&lt;=LatestMonthOfActuals,0,INDEX($AF$28:$CA$28,0,MATCH($D50,$AF$8:$CA$8,0)))</f>
        <v>0</v>
      </c>
      <c r="F50" s="643"/>
      <c r="G50" s="644"/>
      <c r="H50" s="408">
        <f t="shared" si="22"/>
        <v>0</v>
      </c>
      <c r="I50" s="408">
        <f t="shared" si="22"/>
        <v>0</v>
      </c>
      <c r="J50" s="408">
        <f t="shared" si="22"/>
        <v>0</v>
      </c>
      <c r="K50" s="408">
        <f t="shared" si="22"/>
        <v>0</v>
      </c>
      <c r="L50" s="643"/>
      <c r="M50" s="644"/>
      <c r="N50" s="408">
        <f t="shared" si="25"/>
        <v>0</v>
      </c>
      <c r="O50" s="408">
        <f t="shared" si="25"/>
        <v>0</v>
      </c>
      <c r="P50" s="408">
        <f t="shared" si="25"/>
        <v>0</v>
      </c>
      <c r="Q50" s="408">
        <f t="shared" si="25"/>
        <v>0</v>
      </c>
      <c r="R50" s="408">
        <f t="shared" si="25"/>
        <v>0</v>
      </c>
      <c r="S50" s="408">
        <f t="shared" si="25"/>
        <v>0</v>
      </c>
      <c r="T50" s="408">
        <f t="shared" si="25"/>
        <v>0</v>
      </c>
      <c r="U50" s="408">
        <f t="shared" si="25"/>
        <v>0</v>
      </c>
      <c r="V50" s="408">
        <f t="shared" si="25"/>
        <v>0</v>
      </c>
      <c r="W50" s="408">
        <f t="shared" si="25"/>
        <v>0</v>
      </c>
      <c r="X50" s="408">
        <f t="shared" si="25"/>
        <v>0</v>
      </c>
      <c r="Y50" s="408">
        <f t="shared" si="25"/>
        <v>0</v>
      </c>
      <c r="Z50" s="408">
        <f t="shared" si="25"/>
        <v>0</v>
      </c>
      <c r="AA50" s="408">
        <f t="shared" si="25"/>
        <v>0</v>
      </c>
      <c r="AB50" s="408">
        <f t="shared" si="25"/>
        <v>0</v>
      </c>
      <c r="AC50" s="408">
        <f t="shared" si="25"/>
        <v>0</v>
      </c>
      <c r="AD50" s="643"/>
      <c r="AE50" s="644"/>
      <c r="AF50" s="654" cm="1">
        <f t="array" ref="AF50">$E50*IFERROR(INDEX($E$11:$E$23,MATCH(MATCH(AF$8,$AF$8:$CA$8,0)-MATCH($D50,$D$33:$D$80,0),$D$11:$D$23,0),0),0)</f>
        <v>0</v>
      </c>
      <c r="AG50" s="654" cm="1">
        <f t="array" ref="AG50">$E50*IFERROR(INDEX($E$11:$E$23,MATCH(MATCH(AG$8,$AF$8:$CA$8,0)-MATCH($D50,$D$33:$D$80,0),$D$11:$D$23,0),0),0)</f>
        <v>0</v>
      </c>
      <c r="AH50" s="654" cm="1">
        <f t="array" ref="AH50">$E50*IFERROR(INDEX($E$11:$E$23,MATCH(MATCH(AH$8,$AF$8:$CA$8,0)-MATCH($D50,$D$33:$D$80,0),$D$11:$D$23,0),0),0)</f>
        <v>0</v>
      </c>
      <c r="AI50" s="654" cm="1">
        <f t="array" ref="AI50">$E50*IFERROR(INDEX($E$11:$E$23,MATCH(MATCH(AI$8,$AF$8:$CA$8,0)-MATCH($D50,$D$33:$D$80,0),$D$11:$D$23,0),0),0)</f>
        <v>0</v>
      </c>
      <c r="AJ50" s="654" cm="1">
        <f t="array" ref="AJ50">$E50*IFERROR(INDEX($E$11:$E$23,MATCH(MATCH(AJ$8,$AF$8:$CA$8,0)-MATCH($D50,$D$33:$D$80,0),$D$11:$D$23,0),0),0)</f>
        <v>0</v>
      </c>
      <c r="AK50" s="654" cm="1">
        <f t="array" ref="AK50">$E50*IFERROR(INDEX($E$11:$E$23,MATCH(MATCH(AK$8,$AF$8:$CA$8,0)-MATCH($D50,$D$33:$D$80,0),$D$11:$D$23,0),0),0)</f>
        <v>0</v>
      </c>
      <c r="AL50" s="654" cm="1">
        <f t="array" ref="AL50">$E50*IFERROR(INDEX($E$11:$E$23,MATCH(MATCH(AL$8,$AF$8:$CA$8,0)-MATCH($D50,$D$33:$D$80,0),$D$11:$D$23,0),0),0)</f>
        <v>0</v>
      </c>
      <c r="AM50" s="654" cm="1">
        <f t="array" ref="AM50">$E50*IFERROR(INDEX($E$11:$E$23,MATCH(MATCH(AM$8,$AF$8:$CA$8,0)-MATCH($D50,$D$33:$D$80,0),$D$11:$D$23,0),0),0)</f>
        <v>0</v>
      </c>
      <c r="AN50" s="654" cm="1">
        <f t="array" ref="AN50">$E50*IFERROR(INDEX($E$11:$E$23,MATCH(MATCH(AN$8,$AF$8:$CA$8,0)-MATCH($D50,$D$33:$D$80,0),$D$11:$D$23,0),0),0)</f>
        <v>0</v>
      </c>
      <c r="AO50" s="654" cm="1">
        <f t="array" ref="AO50">$E50*IFERROR(INDEX($E$11:$E$23,MATCH(MATCH(AO$8,$AF$8:$CA$8,0)-MATCH($D50,$D$33:$D$80,0),$D$11:$D$23,0),0),0)</f>
        <v>0</v>
      </c>
      <c r="AP50" s="654" cm="1">
        <f t="array" ref="AP50">$E50*IFERROR(INDEX($E$11:$E$23,MATCH(MATCH(AP$8,$AF$8:$CA$8,0)-MATCH($D50,$D$33:$D$80,0),$D$11:$D$23,0),0),0)</f>
        <v>0</v>
      </c>
      <c r="AQ50" s="654" cm="1">
        <f t="array" ref="AQ50">$E50*IFERROR(INDEX($E$11:$E$23,MATCH(MATCH(AQ$8,$AF$8:$CA$8,0)-MATCH($D50,$D$33:$D$80,0),$D$11:$D$23,0),0),0)</f>
        <v>0</v>
      </c>
      <c r="AR50" s="654" cm="1">
        <f t="array" ref="AR50">$E50*IFERROR(INDEX($E$11:$E$23,MATCH(MATCH(AR$8,$AF$8:$CA$8,0)-MATCH($D50,$D$33:$D$80,0),$D$11:$D$23,0),0),0)</f>
        <v>0</v>
      </c>
      <c r="AS50" s="654" cm="1">
        <f t="array" ref="AS50">$E50*IFERROR(INDEX($E$11:$E$23,MATCH(MATCH(AS$8,$AF$8:$CA$8,0)-MATCH($D50,$D$33:$D$80,0),$D$11:$D$23,0),0),0)</f>
        <v>0</v>
      </c>
      <c r="AT50" s="654" cm="1">
        <f t="array" ref="AT50">$E50*IFERROR(INDEX($E$11:$E$23,MATCH(MATCH(AT$8,$AF$8:$CA$8,0)-MATCH($D50,$D$33:$D$80,0),$D$11:$D$23,0),0),0)</f>
        <v>0</v>
      </c>
      <c r="AU50" s="654" cm="1">
        <f t="array" ref="AU50">$E50*IFERROR(INDEX($E$11:$E$23,MATCH(MATCH(AU$8,$AF$8:$CA$8,0)-MATCH($D50,$D$33:$D$80,0),$D$11:$D$23,0),0),0)</f>
        <v>0</v>
      </c>
      <c r="AV50" s="654" cm="1">
        <f t="array" ref="AV50">$E50*IFERROR(INDEX($E$11:$E$23,MATCH(MATCH(AV$8,$AF$8:$CA$8,0)-MATCH($D50,$D$33:$D$80,0),$D$11:$D$23,0),0),0)</f>
        <v>0</v>
      </c>
      <c r="AW50" s="654" cm="1">
        <f t="array" ref="AW50">$E50*IFERROR(INDEX($E$11:$E$23,MATCH(MATCH(AW$8,$AF$8:$CA$8,0)-MATCH($D50,$D$33:$D$80,0),$D$11:$D$23,0),0),0)</f>
        <v>0</v>
      </c>
      <c r="AX50" s="654" cm="1">
        <f t="array" ref="AX50">$E50*IFERROR(INDEX($E$11:$E$23,MATCH(MATCH(AX$8,$AF$8:$CA$8,0)-MATCH($D50,$D$33:$D$80,0),$D$11:$D$23,0),0),0)</f>
        <v>0</v>
      </c>
      <c r="AY50" s="654" cm="1">
        <f t="array" ref="AY50">$E50*IFERROR(INDEX($E$11:$E$23,MATCH(MATCH(AY$8,$AF$8:$CA$8,0)-MATCH($D50,$D$33:$D$80,0),$D$11:$D$23,0),0),0)</f>
        <v>0</v>
      </c>
      <c r="AZ50" s="654" cm="1">
        <f t="array" ref="AZ50">$E50*IFERROR(INDEX($E$11:$E$23,MATCH(MATCH(AZ$8,$AF$8:$CA$8,0)-MATCH($D50,$D$33:$D$80,0),$D$11:$D$23,0),0),0)</f>
        <v>0</v>
      </c>
      <c r="BA50" s="654" cm="1">
        <f t="array" ref="BA50">$E50*IFERROR(INDEX($E$11:$E$23,MATCH(MATCH(BA$8,$AF$8:$CA$8,0)-MATCH($D50,$D$33:$D$80,0),$D$11:$D$23,0),0),0)</f>
        <v>0</v>
      </c>
      <c r="BB50" s="654" cm="1">
        <f t="array" ref="BB50">$E50*IFERROR(INDEX($E$11:$E$23,MATCH(MATCH(BB$8,$AF$8:$CA$8,0)-MATCH($D50,$D$33:$D$80,0),$D$11:$D$23,0),0),0)</f>
        <v>0</v>
      </c>
      <c r="BC50" s="654" cm="1">
        <f t="array" ref="BC50">$E50*IFERROR(INDEX($E$11:$E$23,MATCH(MATCH(BC$8,$AF$8:$CA$8,0)-MATCH($D50,$D$33:$D$80,0),$D$11:$D$23,0),0),0)</f>
        <v>0</v>
      </c>
      <c r="BD50" s="654" cm="1">
        <f t="array" ref="BD50">$E50*IFERROR(INDEX($E$11:$E$23,MATCH(MATCH(BD$8,$AF$8:$CA$8,0)-MATCH($D50,$D$33:$D$80,0),$D$11:$D$23,0),0),0)</f>
        <v>0</v>
      </c>
      <c r="BE50" s="654" cm="1">
        <f t="array" ref="BE50">$E50*IFERROR(INDEX($E$11:$E$23,MATCH(MATCH(BE$8,$AF$8:$CA$8,0)-MATCH($D50,$D$33:$D$80,0),$D$11:$D$23,0),0),0)</f>
        <v>0</v>
      </c>
      <c r="BF50" s="654" cm="1">
        <f t="array" ref="BF50">$E50*IFERROR(INDEX($E$11:$E$23,MATCH(MATCH(BF$8,$AF$8:$CA$8,0)-MATCH($D50,$D$33:$D$80,0),$D$11:$D$23,0),0),0)</f>
        <v>0</v>
      </c>
      <c r="BG50" s="654" cm="1">
        <f t="array" ref="BG50">$E50*IFERROR(INDEX($E$11:$E$23,MATCH(MATCH(BG$8,$AF$8:$CA$8,0)-MATCH($D50,$D$33:$D$80,0),$D$11:$D$23,0),0),0)</f>
        <v>0</v>
      </c>
      <c r="BH50" s="654" cm="1">
        <f t="array" ref="BH50">$E50*IFERROR(INDEX($E$11:$E$23,MATCH(MATCH(BH$8,$AF$8:$CA$8,0)-MATCH($D50,$D$33:$D$80,0),$D$11:$D$23,0),0),0)</f>
        <v>0</v>
      </c>
      <c r="BI50" s="654" cm="1">
        <f t="array" ref="BI50">$E50*IFERROR(INDEX($E$11:$E$23,MATCH(MATCH(BI$8,$AF$8:$CA$8,0)-MATCH($D50,$D$33:$D$80,0),$D$11:$D$23,0),0),0)</f>
        <v>0</v>
      </c>
      <c r="BJ50" s="654" cm="1">
        <f t="array" ref="BJ50">$E50*IFERROR(INDEX($E$11:$E$23,MATCH(MATCH(BJ$8,$AF$8:$CA$8,0)-MATCH($D50,$D$33:$D$80,0),$D$11:$D$23,0),0),0)</f>
        <v>0</v>
      </c>
      <c r="BK50" s="654" cm="1">
        <f t="array" ref="BK50">$E50*IFERROR(INDEX($E$11:$E$23,MATCH(MATCH(BK$8,$AF$8:$CA$8,0)-MATCH($D50,$D$33:$D$80,0),$D$11:$D$23,0),0),0)</f>
        <v>0</v>
      </c>
      <c r="BL50" s="654" cm="1">
        <f t="array" ref="BL50">$E50*IFERROR(INDEX($E$11:$E$23,MATCH(MATCH(BL$8,$AF$8:$CA$8,0)-MATCH($D50,$D$33:$D$80,0),$D$11:$D$23,0),0),0)</f>
        <v>0</v>
      </c>
      <c r="BM50" s="654" cm="1">
        <f t="array" ref="BM50">$E50*IFERROR(INDEX($E$11:$E$23,MATCH(MATCH(BM$8,$AF$8:$CA$8,0)-MATCH($D50,$D$33:$D$80,0),$D$11:$D$23,0),0),0)</f>
        <v>0</v>
      </c>
      <c r="BN50" s="654" cm="1">
        <f t="array" ref="BN50">$E50*IFERROR(INDEX($E$11:$E$23,MATCH(MATCH(BN$8,$AF$8:$CA$8,0)-MATCH($D50,$D$33:$D$80,0),$D$11:$D$23,0),0),0)</f>
        <v>0</v>
      </c>
      <c r="BO50" s="654" cm="1">
        <f t="array" ref="BO50">$E50*IFERROR(INDEX($E$11:$E$23,MATCH(MATCH(BO$8,$AF$8:$CA$8,0)-MATCH($D50,$D$33:$D$80,0),$D$11:$D$23,0),0),0)</f>
        <v>0</v>
      </c>
      <c r="BP50" s="654" cm="1">
        <f t="array" ref="BP50">$E50*IFERROR(INDEX($E$11:$E$23,MATCH(MATCH(BP$8,$AF$8:$CA$8,0)-MATCH($D50,$D$33:$D$80,0),$D$11:$D$23,0),0),0)</f>
        <v>0</v>
      </c>
      <c r="BQ50" s="654" cm="1">
        <f t="array" ref="BQ50">$E50*IFERROR(INDEX($E$11:$E$23,MATCH(MATCH(BQ$8,$AF$8:$CA$8,0)-MATCH($D50,$D$33:$D$80,0),$D$11:$D$23,0),0),0)</f>
        <v>0</v>
      </c>
      <c r="BR50" s="654" cm="1">
        <f t="array" ref="BR50">$E50*IFERROR(INDEX($E$11:$E$23,MATCH(MATCH(BR$8,$AF$8:$CA$8,0)-MATCH($D50,$D$33:$D$80,0),$D$11:$D$23,0),0),0)</f>
        <v>0</v>
      </c>
      <c r="BS50" s="654" cm="1">
        <f t="array" ref="BS50">$E50*IFERROR(INDEX($E$11:$E$23,MATCH(MATCH(BS$8,$AF$8:$CA$8,0)-MATCH($D50,$D$33:$D$80,0),$D$11:$D$23,0),0),0)</f>
        <v>0</v>
      </c>
      <c r="BT50" s="654" cm="1">
        <f t="array" ref="BT50">$E50*IFERROR(INDEX($E$11:$E$23,MATCH(MATCH(BT$8,$AF$8:$CA$8,0)-MATCH($D50,$D$33:$D$80,0),$D$11:$D$23,0),0),0)</f>
        <v>0</v>
      </c>
      <c r="BU50" s="654" cm="1">
        <f t="array" ref="BU50">$E50*IFERROR(INDEX($E$11:$E$23,MATCH(MATCH(BU$8,$AF$8:$CA$8,0)-MATCH($D50,$D$33:$D$80,0),$D$11:$D$23,0),0),0)</f>
        <v>0</v>
      </c>
      <c r="BV50" s="654" cm="1">
        <f t="array" ref="BV50">$E50*IFERROR(INDEX($E$11:$E$23,MATCH(MATCH(BV$8,$AF$8:$CA$8,0)-MATCH($D50,$D$33:$D$80,0),$D$11:$D$23,0),0),0)</f>
        <v>0</v>
      </c>
      <c r="BW50" s="654" cm="1">
        <f t="array" ref="BW50">$E50*IFERROR(INDEX($E$11:$E$23,MATCH(MATCH(BW$8,$AF$8:$CA$8,0)-MATCH($D50,$D$33:$D$80,0),$D$11:$D$23,0),0),0)</f>
        <v>0</v>
      </c>
      <c r="BX50" s="654" cm="1">
        <f t="array" ref="BX50">$E50*IFERROR(INDEX($E$11:$E$23,MATCH(MATCH(BX$8,$AF$8:$CA$8,0)-MATCH($D50,$D$33:$D$80,0),$D$11:$D$23,0),0),0)</f>
        <v>0</v>
      </c>
      <c r="BY50" s="654" cm="1">
        <f t="array" ref="BY50">$E50*IFERROR(INDEX($E$11:$E$23,MATCH(MATCH(BY$8,$AF$8:$CA$8,0)-MATCH($D50,$D$33:$D$80,0),$D$11:$D$23,0),0),0)</f>
        <v>0</v>
      </c>
      <c r="BZ50" s="654" cm="1">
        <f t="array" ref="BZ50">$E50*IFERROR(INDEX($E$11:$E$23,MATCH(MATCH(BZ$8,$AF$8:$CA$8,0)-MATCH($D50,$D$33:$D$80,0),$D$11:$D$23,0),0),0)</f>
        <v>0</v>
      </c>
      <c r="CA50" s="654" cm="1">
        <f t="array" ref="CA50">$E50*IFERROR(INDEX($E$11:$E$23,MATCH(MATCH(CA$8,$AF$8:$CA$8,0)-MATCH($D50,$D$33:$D$80,0),$D$11:$D$23,0),0),0)</f>
        <v>0</v>
      </c>
    </row>
    <row r="51" spans="2:79" ht="21" hidden="1" customHeight="1" outlineLevel="2">
      <c r="B51" s="367"/>
      <c r="C51" s="370"/>
      <c r="D51" s="374">
        <f t="shared" si="24"/>
        <v>45504</v>
      </c>
      <c r="E51" s="653" cm="1">
        <f t="array" ref="E51">IF($D51&lt;=LatestMonthOfActuals,0,INDEX($AF$28:$CA$28,0,MATCH($D51,$AF$8:$CA$8,0)))</f>
        <v>0</v>
      </c>
      <c r="F51" s="643"/>
      <c r="G51" s="644"/>
      <c r="H51" s="408">
        <f t="shared" si="22"/>
        <v>0</v>
      </c>
      <c r="I51" s="408">
        <f t="shared" si="22"/>
        <v>0</v>
      </c>
      <c r="J51" s="408">
        <f t="shared" si="22"/>
        <v>0</v>
      </c>
      <c r="K51" s="408">
        <f t="shared" si="22"/>
        <v>0</v>
      </c>
      <c r="L51" s="643"/>
      <c r="M51" s="644"/>
      <c r="N51" s="408">
        <f t="shared" si="25"/>
        <v>0</v>
      </c>
      <c r="O51" s="408">
        <f t="shared" si="25"/>
        <v>0</v>
      </c>
      <c r="P51" s="408">
        <f t="shared" si="25"/>
        <v>0</v>
      </c>
      <c r="Q51" s="408">
        <f t="shared" si="25"/>
        <v>0</v>
      </c>
      <c r="R51" s="408">
        <f t="shared" si="25"/>
        <v>0</v>
      </c>
      <c r="S51" s="408">
        <f t="shared" si="25"/>
        <v>0</v>
      </c>
      <c r="T51" s="408">
        <f t="shared" si="25"/>
        <v>0</v>
      </c>
      <c r="U51" s="408">
        <f t="shared" si="25"/>
        <v>0</v>
      </c>
      <c r="V51" s="408">
        <f t="shared" si="25"/>
        <v>0</v>
      </c>
      <c r="W51" s="408">
        <f t="shared" si="25"/>
        <v>0</v>
      </c>
      <c r="X51" s="408">
        <f t="shared" si="25"/>
        <v>0</v>
      </c>
      <c r="Y51" s="408">
        <f t="shared" si="25"/>
        <v>0</v>
      </c>
      <c r="Z51" s="408">
        <f t="shared" si="25"/>
        <v>0</v>
      </c>
      <c r="AA51" s="408">
        <f t="shared" si="25"/>
        <v>0</v>
      </c>
      <c r="AB51" s="408">
        <f t="shared" si="25"/>
        <v>0</v>
      </c>
      <c r="AC51" s="408">
        <f t="shared" si="25"/>
        <v>0</v>
      </c>
      <c r="AD51" s="643"/>
      <c r="AE51" s="644"/>
      <c r="AF51" s="654" cm="1">
        <f t="array" ref="AF51">$E51*IFERROR(INDEX($E$11:$E$23,MATCH(MATCH(AF$8,$AF$8:$CA$8,0)-MATCH($D51,$D$33:$D$80,0),$D$11:$D$23,0),0),0)</f>
        <v>0</v>
      </c>
      <c r="AG51" s="654" cm="1">
        <f t="array" ref="AG51">$E51*IFERROR(INDEX($E$11:$E$23,MATCH(MATCH(AG$8,$AF$8:$CA$8,0)-MATCH($D51,$D$33:$D$80,0),$D$11:$D$23,0),0),0)</f>
        <v>0</v>
      </c>
      <c r="AH51" s="654" cm="1">
        <f t="array" ref="AH51">$E51*IFERROR(INDEX($E$11:$E$23,MATCH(MATCH(AH$8,$AF$8:$CA$8,0)-MATCH($D51,$D$33:$D$80,0),$D$11:$D$23,0),0),0)</f>
        <v>0</v>
      </c>
      <c r="AI51" s="654" cm="1">
        <f t="array" ref="AI51">$E51*IFERROR(INDEX($E$11:$E$23,MATCH(MATCH(AI$8,$AF$8:$CA$8,0)-MATCH($D51,$D$33:$D$80,0),$D$11:$D$23,0),0),0)</f>
        <v>0</v>
      </c>
      <c r="AJ51" s="654" cm="1">
        <f t="array" ref="AJ51">$E51*IFERROR(INDEX($E$11:$E$23,MATCH(MATCH(AJ$8,$AF$8:$CA$8,0)-MATCH($D51,$D$33:$D$80,0),$D$11:$D$23,0),0),0)</f>
        <v>0</v>
      </c>
      <c r="AK51" s="654" cm="1">
        <f t="array" ref="AK51">$E51*IFERROR(INDEX($E$11:$E$23,MATCH(MATCH(AK$8,$AF$8:$CA$8,0)-MATCH($D51,$D$33:$D$80,0),$D$11:$D$23,0),0),0)</f>
        <v>0</v>
      </c>
      <c r="AL51" s="654" cm="1">
        <f t="array" ref="AL51">$E51*IFERROR(INDEX($E$11:$E$23,MATCH(MATCH(AL$8,$AF$8:$CA$8,0)-MATCH($D51,$D$33:$D$80,0),$D$11:$D$23,0),0),0)</f>
        <v>0</v>
      </c>
      <c r="AM51" s="654" cm="1">
        <f t="array" ref="AM51">$E51*IFERROR(INDEX($E$11:$E$23,MATCH(MATCH(AM$8,$AF$8:$CA$8,0)-MATCH($D51,$D$33:$D$80,0),$D$11:$D$23,0),0),0)</f>
        <v>0</v>
      </c>
      <c r="AN51" s="654" cm="1">
        <f t="array" ref="AN51">$E51*IFERROR(INDEX($E$11:$E$23,MATCH(MATCH(AN$8,$AF$8:$CA$8,0)-MATCH($D51,$D$33:$D$80,0),$D$11:$D$23,0),0),0)</f>
        <v>0</v>
      </c>
      <c r="AO51" s="654" cm="1">
        <f t="array" ref="AO51">$E51*IFERROR(INDEX($E$11:$E$23,MATCH(MATCH(AO$8,$AF$8:$CA$8,0)-MATCH($D51,$D$33:$D$80,0),$D$11:$D$23,0),0),0)</f>
        <v>0</v>
      </c>
      <c r="AP51" s="654" cm="1">
        <f t="array" ref="AP51">$E51*IFERROR(INDEX($E$11:$E$23,MATCH(MATCH(AP$8,$AF$8:$CA$8,0)-MATCH($D51,$D$33:$D$80,0),$D$11:$D$23,0),0),0)</f>
        <v>0</v>
      </c>
      <c r="AQ51" s="654" cm="1">
        <f t="array" ref="AQ51">$E51*IFERROR(INDEX($E$11:$E$23,MATCH(MATCH(AQ$8,$AF$8:$CA$8,0)-MATCH($D51,$D$33:$D$80,0),$D$11:$D$23,0),0),0)</f>
        <v>0</v>
      </c>
      <c r="AR51" s="654" cm="1">
        <f t="array" ref="AR51">$E51*IFERROR(INDEX($E$11:$E$23,MATCH(MATCH(AR$8,$AF$8:$CA$8,0)-MATCH($D51,$D$33:$D$80,0),$D$11:$D$23,0),0),0)</f>
        <v>0</v>
      </c>
      <c r="AS51" s="654" cm="1">
        <f t="array" ref="AS51">$E51*IFERROR(INDEX($E$11:$E$23,MATCH(MATCH(AS$8,$AF$8:$CA$8,0)-MATCH($D51,$D$33:$D$80,0),$D$11:$D$23,0),0),0)</f>
        <v>0</v>
      </c>
      <c r="AT51" s="654" cm="1">
        <f t="array" ref="AT51">$E51*IFERROR(INDEX($E$11:$E$23,MATCH(MATCH(AT$8,$AF$8:$CA$8,0)-MATCH($D51,$D$33:$D$80,0),$D$11:$D$23,0),0),0)</f>
        <v>0</v>
      </c>
      <c r="AU51" s="654" cm="1">
        <f t="array" ref="AU51">$E51*IFERROR(INDEX($E$11:$E$23,MATCH(MATCH(AU$8,$AF$8:$CA$8,0)-MATCH($D51,$D$33:$D$80,0),$D$11:$D$23,0),0),0)</f>
        <v>0</v>
      </c>
      <c r="AV51" s="654" cm="1">
        <f t="array" ref="AV51">$E51*IFERROR(INDEX($E$11:$E$23,MATCH(MATCH(AV$8,$AF$8:$CA$8,0)-MATCH($D51,$D$33:$D$80,0),$D$11:$D$23,0),0),0)</f>
        <v>0</v>
      </c>
      <c r="AW51" s="654" cm="1">
        <f t="array" ref="AW51">$E51*IFERROR(INDEX($E$11:$E$23,MATCH(MATCH(AW$8,$AF$8:$CA$8,0)-MATCH($D51,$D$33:$D$80,0),$D$11:$D$23,0),0),0)</f>
        <v>0</v>
      </c>
      <c r="AX51" s="654" cm="1">
        <f t="array" ref="AX51">$E51*IFERROR(INDEX($E$11:$E$23,MATCH(MATCH(AX$8,$AF$8:$CA$8,0)-MATCH($D51,$D$33:$D$80,0),$D$11:$D$23,0),0),0)</f>
        <v>0</v>
      </c>
      <c r="AY51" s="654" cm="1">
        <f t="array" ref="AY51">$E51*IFERROR(INDEX($E$11:$E$23,MATCH(MATCH(AY$8,$AF$8:$CA$8,0)-MATCH($D51,$D$33:$D$80,0),$D$11:$D$23,0),0),0)</f>
        <v>0</v>
      </c>
      <c r="AZ51" s="654" cm="1">
        <f t="array" ref="AZ51">$E51*IFERROR(INDEX($E$11:$E$23,MATCH(MATCH(AZ$8,$AF$8:$CA$8,0)-MATCH($D51,$D$33:$D$80,0),$D$11:$D$23,0),0),0)</f>
        <v>0</v>
      </c>
      <c r="BA51" s="654" cm="1">
        <f t="array" ref="BA51">$E51*IFERROR(INDEX($E$11:$E$23,MATCH(MATCH(BA$8,$AF$8:$CA$8,0)-MATCH($D51,$D$33:$D$80,0),$D$11:$D$23,0),0),0)</f>
        <v>0</v>
      </c>
      <c r="BB51" s="654" cm="1">
        <f t="array" ref="BB51">$E51*IFERROR(INDEX($E$11:$E$23,MATCH(MATCH(BB$8,$AF$8:$CA$8,0)-MATCH($D51,$D$33:$D$80,0),$D$11:$D$23,0),0),0)</f>
        <v>0</v>
      </c>
      <c r="BC51" s="654" cm="1">
        <f t="array" ref="BC51">$E51*IFERROR(INDEX($E$11:$E$23,MATCH(MATCH(BC$8,$AF$8:$CA$8,0)-MATCH($D51,$D$33:$D$80,0),$D$11:$D$23,0),0),0)</f>
        <v>0</v>
      </c>
      <c r="BD51" s="654" cm="1">
        <f t="array" ref="BD51">$E51*IFERROR(INDEX($E$11:$E$23,MATCH(MATCH(BD$8,$AF$8:$CA$8,0)-MATCH($D51,$D$33:$D$80,0),$D$11:$D$23,0),0),0)</f>
        <v>0</v>
      </c>
      <c r="BE51" s="654" cm="1">
        <f t="array" ref="BE51">$E51*IFERROR(INDEX($E$11:$E$23,MATCH(MATCH(BE$8,$AF$8:$CA$8,0)-MATCH($D51,$D$33:$D$80,0),$D$11:$D$23,0),0),0)</f>
        <v>0</v>
      </c>
      <c r="BF51" s="654" cm="1">
        <f t="array" ref="BF51">$E51*IFERROR(INDEX($E$11:$E$23,MATCH(MATCH(BF$8,$AF$8:$CA$8,0)-MATCH($D51,$D$33:$D$80,0),$D$11:$D$23,0),0),0)</f>
        <v>0</v>
      </c>
      <c r="BG51" s="654" cm="1">
        <f t="array" ref="BG51">$E51*IFERROR(INDEX($E$11:$E$23,MATCH(MATCH(BG$8,$AF$8:$CA$8,0)-MATCH($D51,$D$33:$D$80,0),$D$11:$D$23,0),0),0)</f>
        <v>0</v>
      </c>
      <c r="BH51" s="654" cm="1">
        <f t="array" ref="BH51">$E51*IFERROR(INDEX($E$11:$E$23,MATCH(MATCH(BH$8,$AF$8:$CA$8,0)-MATCH($D51,$D$33:$D$80,0),$D$11:$D$23,0),0),0)</f>
        <v>0</v>
      </c>
      <c r="BI51" s="654" cm="1">
        <f t="array" ref="BI51">$E51*IFERROR(INDEX($E$11:$E$23,MATCH(MATCH(BI$8,$AF$8:$CA$8,0)-MATCH($D51,$D$33:$D$80,0),$D$11:$D$23,0),0),0)</f>
        <v>0</v>
      </c>
      <c r="BJ51" s="654" cm="1">
        <f t="array" ref="BJ51">$E51*IFERROR(INDEX($E$11:$E$23,MATCH(MATCH(BJ$8,$AF$8:$CA$8,0)-MATCH($D51,$D$33:$D$80,0),$D$11:$D$23,0),0),0)</f>
        <v>0</v>
      </c>
      <c r="BK51" s="654" cm="1">
        <f t="array" ref="BK51">$E51*IFERROR(INDEX($E$11:$E$23,MATCH(MATCH(BK$8,$AF$8:$CA$8,0)-MATCH($D51,$D$33:$D$80,0),$D$11:$D$23,0),0),0)</f>
        <v>0</v>
      </c>
      <c r="BL51" s="654" cm="1">
        <f t="array" ref="BL51">$E51*IFERROR(INDEX($E$11:$E$23,MATCH(MATCH(BL$8,$AF$8:$CA$8,0)-MATCH($D51,$D$33:$D$80,0),$D$11:$D$23,0),0),0)</f>
        <v>0</v>
      </c>
      <c r="BM51" s="654" cm="1">
        <f t="array" ref="BM51">$E51*IFERROR(INDEX($E$11:$E$23,MATCH(MATCH(BM$8,$AF$8:$CA$8,0)-MATCH($D51,$D$33:$D$80,0),$D$11:$D$23,0),0),0)</f>
        <v>0</v>
      </c>
      <c r="BN51" s="654" cm="1">
        <f t="array" ref="BN51">$E51*IFERROR(INDEX($E$11:$E$23,MATCH(MATCH(BN$8,$AF$8:$CA$8,0)-MATCH($D51,$D$33:$D$80,0),$D$11:$D$23,0),0),0)</f>
        <v>0</v>
      </c>
      <c r="BO51" s="654" cm="1">
        <f t="array" ref="BO51">$E51*IFERROR(INDEX($E$11:$E$23,MATCH(MATCH(BO$8,$AF$8:$CA$8,0)-MATCH($D51,$D$33:$D$80,0),$D$11:$D$23,0),0),0)</f>
        <v>0</v>
      </c>
      <c r="BP51" s="654" cm="1">
        <f t="array" ref="BP51">$E51*IFERROR(INDEX($E$11:$E$23,MATCH(MATCH(BP$8,$AF$8:$CA$8,0)-MATCH($D51,$D$33:$D$80,0),$D$11:$D$23,0),0),0)</f>
        <v>0</v>
      </c>
      <c r="BQ51" s="654" cm="1">
        <f t="array" ref="BQ51">$E51*IFERROR(INDEX($E$11:$E$23,MATCH(MATCH(BQ$8,$AF$8:$CA$8,0)-MATCH($D51,$D$33:$D$80,0),$D$11:$D$23,0),0),0)</f>
        <v>0</v>
      </c>
      <c r="BR51" s="654" cm="1">
        <f t="array" ref="BR51">$E51*IFERROR(INDEX($E$11:$E$23,MATCH(MATCH(BR$8,$AF$8:$CA$8,0)-MATCH($D51,$D$33:$D$80,0),$D$11:$D$23,0),0),0)</f>
        <v>0</v>
      </c>
      <c r="BS51" s="654" cm="1">
        <f t="array" ref="BS51">$E51*IFERROR(INDEX($E$11:$E$23,MATCH(MATCH(BS$8,$AF$8:$CA$8,0)-MATCH($D51,$D$33:$D$80,0),$D$11:$D$23,0),0),0)</f>
        <v>0</v>
      </c>
      <c r="BT51" s="654" cm="1">
        <f t="array" ref="BT51">$E51*IFERROR(INDEX($E$11:$E$23,MATCH(MATCH(BT$8,$AF$8:$CA$8,0)-MATCH($D51,$D$33:$D$80,0),$D$11:$D$23,0),0),0)</f>
        <v>0</v>
      </c>
      <c r="BU51" s="654" cm="1">
        <f t="array" ref="BU51">$E51*IFERROR(INDEX($E$11:$E$23,MATCH(MATCH(BU$8,$AF$8:$CA$8,0)-MATCH($D51,$D$33:$D$80,0),$D$11:$D$23,0),0),0)</f>
        <v>0</v>
      </c>
      <c r="BV51" s="654" cm="1">
        <f t="array" ref="BV51">$E51*IFERROR(INDEX($E$11:$E$23,MATCH(MATCH(BV$8,$AF$8:$CA$8,0)-MATCH($D51,$D$33:$D$80,0),$D$11:$D$23,0),0),0)</f>
        <v>0</v>
      </c>
      <c r="BW51" s="654" cm="1">
        <f t="array" ref="BW51">$E51*IFERROR(INDEX($E$11:$E$23,MATCH(MATCH(BW$8,$AF$8:$CA$8,0)-MATCH($D51,$D$33:$D$80,0),$D$11:$D$23,0),0),0)</f>
        <v>0</v>
      </c>
      <c r="BX51" s="654" cm="1">
        <f t="array" ref="BX51">$E51*IFERROR(INDEX($E$11:$E$23,MATCH(MATCH(BX$8,$AF$8:$CA$8,0)-MATCH($D51,$D$33:$D$80,0),$D$11:$D$23,0),0),0)</f>
        <v>0</v>
      </c>
      <c r="BY51" s="654" cm="1">
        <f t="array" ref="BY51">$E51*IFERROR(INDEX($E$11:$E$23,MATCH(MATCH(BY$8,$AF$8:$CA$8,0)-MATCH($D51,$D$33:$D$80,0),$D$11:$D$23,0),0),0)</f>
        <v>0</v>
      </c>
      <c r="BZ51" s="654" cm="1">
        <f t="array" ref="BZ51">$E51*IFERROR(INDEX($E$11:$E$23,MATCH(MATCH(BZ$8,$AF$8:$CA$8,0)-MATCH($D51,$D$33:$D$80,0),$D$11:$D$23,0),0),0)</f>
        <v>0</v>
      </c>
      <c r="CA51" s="654" cm="1">
        <f t="array" ref="CA51">$E51*IFERROR(INDEX($E$11:$E$23,MATCH(MATCH(CA$8,$AF$8:$CA$8,0)-MATCH($D51,$D$33:$D$80,0),$D$11:$D$23,0),0),0)</f>
        <v>0</v>
      </c>
    </row>
    <row r="52" spans="2:79" ht="21" hidden="1" customHeight="1" outlineLevel="2">
      <c r="B52" s="367"/>
      <c r="C52" s="370"/>
      <c r="D52" s="374">
        <f t="shared" si="24"/>
        <v>45535</v>
      </c>
      <c r="E52" s="653" cm="1">
        <f t="array" ref="E52">IF($D52&lt;=LatestMonthOfActuals,0,INDEX($AF$28:$CA$28,0,MATCH($D52,$AF$8:$CA$8,0)))</f>
        <v>0</v>
      </c>
      <c r="F52" s="643"/>
      <c r="G52" s="644"/>
      <c r="H52" s="408">
        <f t="shared" si="22"/>
        <v>0</v>
      </c>
      <c r="I52" s="408">
        <f t="shared" si="22"/>
        <v>0</v>
      </c>
      <c r="J52" s="408">
        <f t="shared" si="22"/>
        <v>0</v>
      </c>
      <c r="K52" s="408">
        <f t="shared" si="22"/>
        <v>0</v>
      </c>
      <c r="L52" s="643"/>
      <c r="M52" s="644"/>
      <c r="N52" s="408">
        <f t="shared" si="25"/>
        <v>0</v>
      </c>
      <c r="O52" s="408">
        <f t="shared" si="25"/>
        <v>0</v>
      </c>
      <c r="P52" s="408">
        <f t="shared" si="25"/>
        <v>0</v>
      </c>
      <c r="Q52" s="408">
        <f t="shared" si="25"/>
        <v>0</v>
      </c>
      <c r="R52" s="408">
        <f t="shared" si="25"/>
        <v>0</v>
      </c>
      <c r="S52" s="408">
        <f t="shared" si="25"/>
        <v>0</v>
      </c>
      <c r="T52" s="408">
        <f t="shared" si="25"/>
        <v>0</v>
      </c>
      <c r="U52" s="408">
        <f t="shared" si="25"/>
        <v>0</v>
      </c>
      <c r="V52" s="408">
        <f t="shared" si="25"/>
        <v>0</v>
      </c>
      <c r="W52" s="408">
        <f t="shared" si="25"/>
        <v>0</v>
      </c>
      <c r="X52" s="408">
        <f t="shared" si="25"/>
        <v>0</v>
      </c>
      <c r="Y52" s="408">
        <f t="shared" si="25"/>
        <v>0</v>
      </c>
      <c r="Z52" s="408">
        <f t="shared" si="25"/>
        <v>0</v>
      </c>
      <c r="AA52" s="408">
        <f t="shared" si="25"/>
        <v>0</v>
      </c>
      <c r="AB52" s="408">
        <f t="shared" si="25"/>
        <v>0</v>
      </c>
      <c r="AC52" s="408">
        <f t="shared" si="25"/>
        <v>0</v>
      </c>
      <c r="AD52" s="643"/>
      <c r="AE52" s="644"/>
      <c r="AF52" s="654" cm="1">
        <f t="array" ref="AF52">$E52*IFERROR(INDEX($E$11:$E$23,MATCH(MATCH(AF$8,$AF$8:$CA$8,0)-MATCH($D52,$D$33:$D$80,0),$D$11:$D$23,0),0),0)</f>
        <v>0</v>
      </c>
      <c r="AG52" s="654" cm="1">
        <f t="array" ref="AG52">$E52*IFERROR(INDEX($E$11:$E$23,MATCH(MATCH(AG$8,$AF$8:$CA$8,0)-MATCH($D52,$D$33:$D$80,0),$D$11:$D$23,0),0),0)</f>
        <v>0</v>
      </c>
      <c r="AH52" s="654" cm="1">
        <f t="array" ref="AH52">$E52*IFERROR(INDEX($E$11:$E$23,MATCH(MATCH(AH$8,$AF$8:$CA$8,0)-MATCH($D52,$D$33:$D$80,0),$D$11:$D$23,0),0),0)</f>
        <v>0</v>
      </c>
      <c r="AI52" s="654" cm="1">
        <f t="array" ref="AI52">$E52*IFERROR(INDEX($E$11:$E$23,MATCH(MATCH(AI$8,$AF$8:$CA$8,0)-MATCH($D52,$D$33:$D$80,0),$D$11:$D$23,0),0),0)</f>
        <v>0</v>
      </c>
      <c r="AJ52" s="654" cm="1">
        <f t="array" ref="AJ52">$E52*IFERROR(INDEX($E$11:$E$23,MATCH(MATCH(AJ$8,$AF$8:$CA$8,0)-MATCH($D52,$D$33:$D$80,0),$D$11:$D$23,0),0),0)</f>
        <v>0</v>
      </c>
      <c r="AK52" s="654" cm="1">
        <f t="array" ref="AK52">$E52*IFERROR(INDEX($E$11:$E$23,MATCH(MATCH(AK$8,$AF$8:$CA$8,0)-MATCH($D52,$D$33:$D$80,0),$D$11:$D$23,0),0),0)</f>
        <v>0</v>
      </c>
      <c r="AL52" s="654" cm="1">
        <f t="array" ref="AL52">$E52*IFERROR(INDEX($E$11:$E$23,MATCH(MATCH(AL$8,$AF$8:$CA$8,0)-MATCH($D52,$D$33:$D$80,0),$D$11:$D$23,0),0),0)</f>
        <v>0</v>
      </c>
      <c r="AM52" s="654" cm="1">
        <f t="array" ref="AM52">$E52*IFERROR(INDEX($E$11:$E$23,MATCH(MATCH(AM$8,$AF$8:$CA$8,0)-MATCH($D52,$D$33:$D$80,0),$D$11:$D$23,0),0),0)</f>
        <v>0</v>
      </c>
      <c r="AN52" s="654" cm="1">
        <f t="array" ref="AN52">$E52*IFERROR(INDEX($E$11:$E$23,MATCH(MATCH(AN$8,$AF$8:$CA$8,0)-MATCH($D52,$D$33:$D$80,0),$D$11:$D$23,0),0),0)</f>
        <v>0</v>
      </c>
      <c r="AO52" s="654" cm="1">
        <f t="array" ref="AO52">$E52*IFERROR(INDEX($E$11:$E$23,MATCH(MATCH(AO$8,$AF$8:$CA$8,0)-MATCH($D52,$D$33:$D$80,0),$D$11:$D$23,0),0),0)</f>
        <v>0</v>
      </c>
      <c r="AP52" s="654" cm="1">
        <f t="array" ref="AP52">$E52*IFERROR(INDEX($E$11:$E$23,MATCH(MATCH(AP$8,$AF$8:$CA$8,0)-MATCH($D52,$D$33:$D$80,0),$D$11:$D$23,0),0),0)</f>
        <v>0</v>
      </c>
      <c r="AQ52" s="654" cm="1">
        <f t="array" ref="AQ52">$E52*IFERROR(INDEX($E$11:$E$23,MATCH(MATCH(AQ$8,$AF$8:$CA$8,0)-MATCH($D52,$D$33:$D$80,0),$D$11:$D$23,0),0),0)</f>
        <v>0</v>
      </c>
      <c r="AR52" s="654" cm="1">
        <f t="array" ref="AR52">$E52*IFERROR(INDEX($E$11:$E$23,MATCH(MATCH(AR$8,$AF$8:$CA$8,0)-MATCH($D52,$D$33:$D$80,0),$D$11:$D$23,0),0),0)</f>
        <v>0</v>
      </c>
      <c r="AS52" s="654" cm="1">
        <f t="array" ref="AS52">$E52*IFERROR(INDEX($E$11:$E$23,MATCH(MATCH(AS$8,$AF$8:$CA$8,0)-MATCH($D52,$D$33:$D$80,0),$D$11:$D$23,0),0),0)</f>
        <v>0</v>
      </c>
      <c r="AT52" s="654" cm="1">
        <f t="array" ref="AT52">$E52*IFERROR(INDEX($E$11:$E$23,MATCH(MATCH(AT$8,$AF$8:$CA$8,0)-MATCH($D52,$D$33:$D$80,0),$D$11:$D$23,0),0),0)</f>
        <v>0</v>
      </c>
      <c r="AU52" s="654" cm="1">
        <f t="array" ref="AU52">$E52*IFERROR(INDEX($E$11:$E$23,MATCH(MATCH(AU$8,$AF$8:$CA$8,0)-MATCH($D52,$D$33:$D$80,0),$D$11:$D$23,0),0),0)</f>
        <v>0</v>
      </c>
      <c r="AV52" s="654" cm="1">
        <f t="array" ref="AV52">$E52*IFERROR(INDEX($E$11:$E$23,MATCH(MATCH(AV$8,$AF$8:$CA$8,0)-MATCH($D52,$D$33:$D$80,0),$D$11:$D$23,0),0),0)</f>
        <v>0</v>
      </c>
      <c r="AW52" s="654" cm="1">
        <f t="array" ref="AW52">$E52*IFERROR(INDEX($E$11:$E$23,MATCH(MATCH(AW$8,$AF$8:$CA$8,0)-MATCH($D52,$D$33:$D$80,0),$D$11:$D$23,0),0),0)</f>
        <v>0</v>
      </c>
      <c r="AX52" s="654" cm="1">
        <f t="array" ref="AX52">$E52*IFERROR(INDEX($E$11:$E$23,MATCH(MATCH(AX$8,$AF$8:$CA$8,0)-MATCH($D52,$D$33:$D$80,0),$D$11:$D$23,0),0),0)</f>
        <v>0</v>
      </c>
      <c r="AY52" s="654" cm="1">
        <f t="array" ref="AY52">$E52*IFERROR(INDEX($E$11:$E$23,MATCH(MATCH(AY$8,$AF$8:$CA$8,0)-MATCH($D52,$D$33:$D$80,0),$D$11:$D$23,0),0),0)</f>
        <v>0</v>
      </c>
      <c r="AZ52" s="654" cm="1">
        <f t="array" ref="AZ52">$E52*IFERROR(INDEX($E$11:$E$23,MATCH(MATCH(AZ$8,$AF$8:$CA$8,0)-MATCH($D52,$D$33:$D$80,0),$D$11:$D$23,0),0),0)</f>
        <v>0</v>
      </c>
      <c r="BA52" s="654" cm="1">
        <f t="array" ref="BA52">$E52*IFERROR(INDEX($E$11:$E$23,MATCH(MATCH(BA$8,$AF$8:$CA$8,0)-MATCH($D52,$D$33:$D$80,0),$D$11:$D$23,0),0),0)</f>
        <v>0</v>
      </c>
      <c r="BB52" s="654" cm="1">
        <f t="array" ref="BB52">$E52*IFERROR(INDEX($E$11:$E$23,MATCH(MATCH(BB$8,$AF$8:$CA$8,0)-MATCH($D52,$D$33:$D$80,0),$D$11:$D$23,0),0),0)</f>
        <v>0</v>
      </c>
      <c r="BC52" s="654" cm="1">
        <f t="array" ref="BC52">$E52*IFERROR(INDEX($E$11:$E$23,MATCH(MATCH(BC$8,$AF$8:$CA$8,0)-MATCH($D52,$D$33:$D$80,0),$D$11:$D$23,0),0),0)</f>
        <v>0</v>
      </c>
      <c r="BD52" s="654" cm="1">
        <f t="array" ref="BD52">$E52*IFERROR(INDEX($E$11:$E$23,MATCH(MATCH(BD$8,$AF$8:$CA$8,0)-MATCH($D52,$D$33:$D$80,0),$D$11:$D$23,0),0),0)</f>
        <v>0</v>
      </c>
      <c r="BE52" s="654" cm="1">
        <f t="array" ref="BE52">$E52*IFERROR(INDEX($E$11:$E$23,MATCH(MATCH(BE$8,$AF$8:$CA$8,0)-MATCH($D52,$D$33:$D$80,0),$D$11:$D$23,0),0),0)</f>
        <v>0</v>
      </c>
      <c r="BF52" s="654" cm="1">
        <f t="array" ref="BF52">$E52*IFERROR(INDEX($E$11:$E$23,MATCH(MATCH(BF$8,$AF$8:$CA$8,0)-MATCH($D52,$D$33:$D$80,0),$D$11:$D$23,0),0),0)</f>
        <v>0</v>
      </c>
      <c r="BG52" s="654" cm="1">
        <f t="array" ref="BG52">$E52*IFERROR(INDEX($E$11:$E$23,MATCH(MATCH(BG$8,$AF$8:$CA$8,0)-MATCH($D52,$D$33:$D$80,0),$D$11:$D$23,0),0),0)</f>
        <v>0</v>
      </c>
      <c r="BH52" s="654" cm="1">
        <f t="array" ref="BH52">$E52*IFERROR(INDEX($E$11:$E$23,MATCH(MATCH(BH$8,$AF$8:$CA$8,0)-MATCH($D52,$D$33:$D$80,0),$D$11:$D$23,0),0),0)</f>
        <v>0</v>
      </c>
      <c r="BI52" s="654" cm="1">
        <f t="array" ref="BI52">$E52*IFERROR(INDEX($E$11:$E$23,MATCH(MATCH(BI$8,$AF$8:$CA$8,0)-MATCH($D52,$D$33:$D$80,0),$D$11:$D$23,0),0),0)</f>
        <v>0</v>
      </c>
      <c r="BJ52" s="654" cm="1">
        <f t="array" ref="BJ52">$E52*IFERROR(INDEX($E$11:$E$23,MATCH(MATCH(BJ$8,$AF$8:$CA$8,0)-MATCH($D52,$D$33:$D$80,0),$D$11:$D$23,0),0),0)</f>
        <v>0</v>
      </c>
      <c r="BK52" s="654" cm="1">
        <f t="array" ref="BK52">$E52*IFERROR(INDEX($E$11:$E$23,MATCH(MATCH(BK$8,$AF$8:$CA$8,0)-MATCH($D52,$D$33:$D$80,0),$D$11:$D$23,0),0),0)</f>
        <v>0</v>
      </c>
      <c r="BL52" s="654" cm="1">
        <f t="array" ref="BL52">$E52*IFERROR(INDEX($E$11:$E$23,MATCH(MATCH(BL$8,$AF$8:$CA$8,0)-MATCH($D52,$D$33:$D$80,0),$D$11:$D$23,0),0),0)</f>
        <v>0</v>
      </c>
      <c r="BM52" s="654" cm="1">
        <f t="array" ref="BM52">$E52*IFERROR(INDEX($E$11:$E$23,MATCH(MATCH(BM$8,$AF$8:$CA$8,0)-MATCH($D52,$D$33:$D$80,0),$D$11:$D$23,0),0),0)</f>
        <v>0</v>
      </c>
      <c r="BN52" s="654" cm="1">
        <f t="array" ref="BN52">$E52*IFERROR(INDEX($E$11:$E$23,MATCH(MATCH(BN$8,$AF$8:$CA$8,0)-MATCH($D52,$D$33:$D$80,0),$D$11:$D$23,0),0),0)</f>
        <v>0</v>
      </c>
      <c r="BO52" s="654" cm="1">
        <f t="array" ref="BO52">$E52*IFERROR(INDEX($E$11:$E$23,MATCH(MATCH(BO$8,$AF$8:$CA$8,0)-MATCH($D52,$D$33:$D$80,0),$D$11:$D$23,0),0),0)</f>
        <v>0</v>
      </c>
      <c r="BP52" s="654" cm="1">
        <f t="array" ref="BP52">$E52*IFERROR(INDEX($E$11:$E$23,MATCH(MATCH(BP$8,$AF$8:$CA$8,0)-MATCH($D52,$D$33:$D$80,0),$D$11:$D$23,0),0),0)</f>
        <v>0</v>
      </c>
      <c r="BQ52" s="654" cm="1">
        <f t="array" ref="BQ52">$E52*IFERROR(INDEX($E$11:$E$23,MATCH(MATCH(BQ$8,$AF$8:$CA$8,0)-MATCH($D52,$D$33:$D$80,0),$D$11:$D$23,0),0),0)</f>
        <v>0</v>
      </c>
      <c r="BR52" s="654" cm="1">
        <f t="array" ref="BR52">$E52*IFERROR(INDEX($E$11:$E$23,MATCH(MATCH(BR$8,$AF$8:$CA$8,0)-MATCH($D52,$D$33:$D$80,0),$D$11:$D$23,0),0),0)</f>
        <v>0</v>
      </c>
      <c r="BS52" s="654" cm="1">
        <f t="array" ref="BS52">$E52*IFERROR(INDEX($E$11:$E$23,MATCH(MATCH(BS$8,$AF$8:$CA$8,0)-MATCH($D52,$D$33:$D$80,0),$D$11:$D$23,0),0),0)</f>
        <v>0</v>
      </c>
      <c r="BT52" s="654" cm="1">
        <f t="array" ref="BT52">$E52*IFERROR(INDEX($E$11:$E$23,MATCH(MATCH(BT$8,$AF$8:$CA$8,0)-MATCH($D52,$D$33:$D$80,0),$D$11:$D$23,0),0),0)</f>
        <v>0</v>
      </c>
      <c r="BU52" s="654" cm="1">
        <f t="array" ref="BU52">$E52*IFERROR(INDEX($E$11:$E$23,MATCH(MATCH(BU$8,$AF$8:$CA$8,0)-MATCH($D52,$D$33:$D$80,0),$D$11:$D$23,0),0),0)</f>
        <v>0</v>
      </c>
      <c r="BV52" s="654" cm="1">
        <f t="array" ref="BV52">$E52*IFERROR(INDEX($E$11:$E$23,MATCH(MATCH(BV$8,$AF$8:$CA$8,0)-MATCH($D52,$D$33:$D$80,0),$D$11:$D$23,0),0),0)</f>
        <v>0</v>
      </c>
      <c r="BW52" s="654" cm="1">
        <f t="array" ref="BW52">$E52*IFERROR(INDEX($E$11:$E$23,MATCH(MATCH(BW$8,$AF$8:$CA$8,0)-MATCH($D52,$D$33:$D$80,0),$D$11:$D$23,0),0),0)</f>
        <v>0</v>
      </c>
      <c r="BX52" s="654" cm="1">
        <f t="array" ref="BX52">$E52*IFERROR(INDEX($E$11:$E$23,MATCH(MATCH(BX$8,$AF$8:$CA$8,0)-MATCH($D52,$D$33:$D$80,0),$D$11:$D$23,0),0),0)</f>
        <v>0</v>
      </c>
      <c r="BY52" s="654" cm="1">
        <f t="array" ref="BY52">$E52*IFERROR(INDEX($E$11:$E$23,MATCH(MATCH(BY$8,$AF$8:$CA$8,0)-MATCH($D52,$D$33:$D$80,0),$D$11:$D$23,0),0),0)</f>
        <v>0</v>
      </c>
      <c r="BZ52" s="654" cm="1">
        <f t="array" ref="BZ52">$E52*IFERROR(INDEX($E$11:$E$23,MATCH(MATCH(BZ$8,$AF$8:$CA$8,0)-MATCH($D52,$D$33:$D$80,0),$D$11:$D$23,0),0),0)</f>
        <v>0</v>
      </c>
      <c r="CA52" s="654" cm="1">
        <f t="array" ref="CA52">$E52*IFERROR(INDEX($E$11:$E$23,MATCH(MATCH(CA$8,$AF$8:$CA$8,0)-MATCH($D52,$D$33:$D$80,0),$D$11:$D$23,0),0),0)</f>
        <v>0</v>
      </c>
    </row>
    <row r="53" spans="2:79" ht="21" hidden="1" customHeight="1" outlineLevel="2">
      <c r="B53" s="367"/>
      <c r="C53" s="370"/>
      <c r="D53" s="374">
        <f t="shared" si="24"/>
        <v>45565</v>
      </c>
      <c r="E53" s="653" cm="1">
        <f t="array" ref="E53">IF($D53&lt;=LatestMonthOfActuals,0,INDEX($AF$28:$CA$28,0,MATCH($D53,$AF$8:$CA$8,0)))</f>
        <v>0</v>
      </c>
      <c r="F53" s="643"/>
      <c r="G53" s="644"/>
      <c r="H53" s="408">
        <f t="shared" ref="H53:K72" si="26">SUMIFS($AF53:$CA53,$AF$4:$CA$4,"&gt;="&amp;H$4,$AF$5:$CA$5,"&lt;="&amp;H$5)</f>
        <v>0</v>
      </c>
      <c r="I53" s="408">
        <f t="shared" si="26"/>
        <v>0</v>
      </c>
      <c r="J53" s="408">
        <f t="shared" si="26"/>
        <v>0</v>
      </c>
      <c r="K53" s="408">
        <f t="shared" si="26"/>
        <v>0</v>
      </c>
      <c r="L53" s="643"/>
      <c r="M53" s="644"/>
      <c r="N53" s="408">
        <f t="shared" ref="N53:AC62" si="27">SUMIFS($AF53:$CA53,$AF$4:$CA$4,"&gt;="&amp;N$4,$AF$5:$CA$5,"&lt;="&amp;N$5)</f>
        <v>0</v>
      </c>
      <c r="O53" s="408">
        <f t="shared" si="27"/>
        <v>0</v>
      </c>
      <c r="P53" s="408">
        <f t="shared" si="27"/>
        <v>0</v>
      </c>
      <c r="Q53" s="408">
        <f t="shared" si="27"/>
        <v>0</v>
      </c>
      <c r="R53" s="408">
        <f t="shared" si="27"/>
        <v>0</v>
      </c>
      <c r="S53" s="408">
        <f t="shared" si="27"/>
        <v>0</v>
      </c>
      <c r="T53" s="408">
        <f t="shared" si="27"/>
        <v>0</v>
      </c>
      <c r="U53" s="408">
        <f t="shared" si="27"/>
        <v>0</v>
      </c>
      <c r="V53" s="408">
        <f t="shared" si="27"/>
        <v>0</v>
      </c>
      <c r="W53" s="408">
        <f t="shared" si="27"/>
        <v>0</v>
      </c>
      <c r="X53" s="408">
        <f t="shared" si="27"/>
        <v>0</v>
      </c>
      <c r="Y53" s="408">
        <f t="shared" si="27"/>
        <v>0</v>
      </c>
      <c r="Z53" s="408">
        <f t="shared" si="27"/>
        <v>0</v>
      </c>
      <c r="AA53" s="408">
        <f t="shared" si="27"/>
        <v>0</v>
      </c>
      <c r="AB53" s="408">
        <f t="shared" si="27"/>
        <v>0</v>
      </c>
      <c r="AC53" s="408">
        <f t="shared" si="27"/>
        <v>0</v>
      </c>
      <c r="AD53" s="643"/>
      <c r="AE53" s="644"/>
      <c r="AF53" s="654" cm="1">
        <f t="array" ref="AF53">$E53*IFERROR(INDEX($E$11:$E$23,MATCH(MATCH(AF$8,$AF$8:$CA$8,0)-MATCH($D53,$D$33:$D$80,0),$D$11:$D$23,0),0),0)</f>
        <v>0</v>
      </c>
      <c r="AG53" s="654" cm="1">
        <f t="array" ref="AG53">$E53*IFERROR(INDEX($E$11:$E$23,MATCH(MATCH(AG$8,$AF$8:$CA$8,0)-MATCH($D53,$D$33:$D$80,0),$D$11:$D$23,0),0),0)</f>
        <v>0</v>
      </c>
      <c r="AH53" s="654" cm="1">
        <f t="array" ref="AH53">$E53*IFERROR(INDEX($E$11:$E$23,MATCH(MATCH(AH$8,$AF$8:$CA$8,0)-MATCH($D53,$D$33:$D$80,0),$D$11:$D$23,0),0),0)</f>
        <v>0</v>
      </c>
      <c r="AI53" s="654" cm="1">
        <f t="array" ref="AI53">$E53*IFERROR(INDEX($E$11:$E$23,MATCH(MATCH(AI$8,$AF$8:$CA$8,0)-MATCH($D53,$D$33:$D$80,0),$D$11:$D$23,0),0),0)</f>
        <v>0</v>
      </c>
      <c r="AJ53" s="654" cm="1">
        <f t="array" ref="AJ53">$E53*IFERROR(INDEX($E$11:$E$23,MATCH(MATCH(AJ$8,$AF$8:$CA$8,0)-MATCH($D53,$D$33:$D$80,0),$D$11:$D$23,0),0),0)</f>
        <v>0</v>
      </c>
      <c r="AK53" s="654" cm="1">
        <f t="array" ref="AK53">$E53*IFERROR(INDEX($E$11:$E$23,MATCH(MATCH(AK$8,$AF$8:$CA$8,0)-MATCH($D53,$D$33:$D$80,0),$D$11:$D$23,0),0),0)</f>
        <v>0</v>
      </c>
      <c r="AL53" s="654" cm="1">
        <f t="array" ref="AL53">$E53*IFERROR(INDEX($E$11:$E$23,MATCH(MATCH(AL$8,$AF$8:$CA$8,0)-MATCH($D53,$D$33:$D$80,0),$D$11:$D$23,0),0),0)</f>
        <v>0</v>
      </c>
      <c r="AM53" s="654" cm="1">
        <f t="array" ref="AM53">$E53*IFERROR(INDEX($E$11:$E$23,MATCH(MATCH(AM$8,$AF$8:$CA$8,0)-MATCH($D53,$D$33:$D$80,0),$D$11:$D$23,0),0),0)</f>
        <v>0</v>
      </c>
      <c r="AN53" s="654" cm="1">
        <f t="array" ref="AN53">$E53*IFERROR(INDEX($E$11:$E$23,MATCH(MATCH(AN$8,$AF$8:$CA$8,0)-MATCH($D53,$D$33:$D$80,0),$D$11:$D$23,0),0),0)</f>
        <v>0</v>
      </c>
      <c r="AO53" s="654" cm="1">
        <f t="array" ref="AO53">$E53*IFERROR(INDEX($E$11:$E$23,MATCH(MATCH(AO$8,$AF$8:$CA$8,0)-MATCH($D53,$D$33:$D$80,0),$D$11:$D$23,0),0),0)</f>
        <v>0</v>
      </c>
      <c r="AP53" s="654" cm="1">
        <f t="array" ref="AP53">$E53*IFERROR(INDEX($E$11:$E$23,MATCH(MATCH(AP$8,$AF$8:$CA$8,0)-MATCH($D53,$D$33:$D$80,0),$D$11:$D$23,0),0),0)</f>
        <v>0</v>
      </c>
      <c r="AQ53" s="654" cm="1">
        <f t="array" ref="AQ53">$E53*IFERROR(INDEX($E$11:$E$23,MATCH(MATCH(AQ$8,$AF$8:$CA$8,0)-MATCH($D53,$D$33:$D$80,0),$D$11:$D$23,0),0),0)</f>
        <v>0</v>
      </c>
      <c r="AR53" s="654" cm="1">
        <f t="array" ref="AR53">$E53*IFERROR(INDEX($E$11:$E$23,MATCH(MATCH(AR$8,$AF$8:$CA$8,0)-MATCH($D53,$D$33:$D$80,0),$D$11:$D$23,0),0),0)</f>
        <v>0</v>
      </c>
      <c r="AS53" s="654" cm="1">
        <f t="array" ref="AS53">$E53*IFERROR(INDEX($E$11:$E$23,MATCH(MATCH(AS$8,$AF$8:$CA$8,0)-MATCH($D53,$D$33:$D$80,0),$D$11:$D$23,0),0),0)</f>
        <v>0</v>
      </c>
      <c r="AT53" s="654" cm="1">
        <f t="array" ref="AT53">$E53*IFERROR(INDEX($E$11:$E$23,MATCH(MATCH(AT$8,$AF$8:$CA$8,0)-MATCH($D53,$D$33:$D$80,0),$D$11:$D$23,0),0),0)</f>
        <v>0</v>
      </c>
      <c r="AU53" s="654" cm="1">
        <f t="array" ref="AU53">$E53*IFERROR(INDEX($E$11:$E$23,MATCH(MATCH(AU$8,$AF$8:$CA$8,0)-MATCH($D53,$D$33:$D$80,0),$D$11:$D$23,0),0),0)</f>
        <v>0</v>
      </c>
      <c r="AV53" s="654" cm="1">
        <f t="array" ref="AV53">$E53*IFERROR(INDEX($E$11:$E$23,MATCH(MATCH(AV$8,$AF$8:$CA$8,0)-MATCH($D53,$D$33:$D$80,0),$D$11:$D$23,0),0),0)</f>
        <v>0</v>
      </c>
      <c r="AW53" s="654" cm="1">
        <f t="array" ref="AW53">$E53*IFERROR(INDEX($E$11:$E$23,MATCH(MATCH(AW$8,$AF$8:$CA$8,0)-MATCH($D53,$D$33:$D$80,0),$D$11:$D$23,0),0),0)</f>
        <v>0</v>
      </c>
      <c r="AX53" s="654" cm="1">
        <f t="array" ref="AX53">$E53*IFERROR(INDEX($E$11:$E$23,MATCH(MATCH(AX$8,$AF$8:$CA$8,0)-MATCH($D53,$D$33:$D$80,0),$D$11:$D$23,0),0),0)</f>
        <v>0</v>
      </c>
      <c r="AY53" s="654" cm="1">
        <f t="array" ref="AY53">$E53*IFERROR(INDEX($E$11:$E$23,MATCH(MATCH(AY$8,$AF$8:$CA$8,0)-MATCH($D53,$D$33:$D$80,0),$D$11:$D$23,0),0),0)</f>
        <v>0</v>
      </c>
      <c r="AZ53" s="654" cm="1">
        <f t="array" ref="AZ53">$E53*IFERROR(INDEX($E$11:$E$23,MATCH(MATCH(AZ$8,$AF$8:$CA$8,0)-MATCH($D53,$D$33:$D$80,0),$D$11:$D$23,0),0),0)</f>
        <v>0</v>
      </c>
      <c r="BA53" s="654" cm="1">
        <f t="array" ref="BA53">$E53*IFERROR(INDEX($E$11:$E$23,MATCH(MATCH(BA$8,$AF$8:$CA$8,0)-MATCH($D53,$D$33:$D$80,0),$D$11:$D$23,0),0),0)</f>
        <v>0</v>
      </c>
      <c r="BB53" s="654" cm="1">
        <f t="array" ref="BB53">$E53*IFERROR(INDEX($E$11:$E$23,MATCH(MATCH(BB$8,$AF$8:$CA$8,0)-MATCH($D53,$D$33:$D$80,0),$D$11:$D$23,0),0),0)</f>
        <v>0</v>
      </c>
      <c r="BC53" s="654" cm="1">
        <f t="array" ref="BC53">$E53*IFERROR(INDEX($E$11:$E$23,MATCH(MATCH(BC$8,$AF$8:$CA$8,0)-MATCH($D53,$D$33:$D$80,0),$D$11:$D$23,0),0),0)</f>
        <v>0</v>
      </c>
      <c r="BD53" s="654" cm="1">
        <f t="array" ref="BD53">$E53*IFERROR(INDEX($E$11:$E$23,MATCH(MATCH(BD$8,$AF$8:$CA$8,0)-MATCH($D53,$D$33:$D$80,0),$D$11:$D$23,0),0),0)</f>
        <v>0</v>
      </c>
      <c r="BE53" s="654" cm="1">
        <f t="array" ref="BE53">$E53*IFERROR(INDEX($E$11:$E$23,MATCH(MATCH(BE$8,$AF$8:$CA$8,0)-MATCH($D53,$D$33:$D$80,0),$D$11:$D$23,0),0),0)</f>
        <v>0</v>
      </c>
      <c r="BF53" s="654" cm="1">
        <f t="array" ref="BF53">$E53*IFERROR(INDEX($E$11:$E$23,MATCH(MATCH(BF$8,$AF$8:$CA$8,0)-MATCH($D53,$D$33:$D$80,0),$D$11:$D$23,0),0),0)</f>
        <v>0</v>
      </c>
      <c r="BG53" s="654" cm="1">
        <f t="array" ref="BG53">$E53*IFERROR(INDEX($E$11:$E$23,MATCH(MATCH(BG$8,$AF$8:$CA$8,0)-MATCH($D53,$D$33:$D$80,0),$D$11:$D$23,0),0),0)</f>
        <v>0</v>
      </c>
      <c r="BH53" s="654" cm="1">
        <f t="array" ref="BH53">$E53*IFERROR(INDEX($E$11:$E$23,MATCH(MATCH(BH$8,$AF$8:$CA$8,0)-MATCH($D53,$D$33:$D$80,0),$D$11:$D$23,0),0),0)</f>
        <v>0</v>
      </c>
      <c r="BI53" s="654" cm="1">
        <f t="array" ref="BI53">$E53*IFERROR(INDEX($E$11:$E$23,MATCH(MATCH(BI$8,$AF$8:$CA$8,0)-MATCH($D53,$D$33:$D$80,0),$D$11:$D$23,0),0),0)</f>
        <v>0</v>
      </c>
      <c r="BJ53" s="654" cm="1">
        <f t="array" ref="BJ53">$E53*IFERROR(INDEX($E$11:$E$23,MATCH(MATCH(BJ$8,$AF$8:$CA$8,0)-MATCH($D53,$D$33:$D$80,0),$D$11:$D$23,0),0),0)</f>
        <v>0</v>
      </c>
      <c r="BK53" s="654" cm="1">
        <f t="array" ref="BK53">$E53*IFERROR(INDEX($E$11:$E$23,MATCH(MATCH(BK$8,$AF$8:$CA$8,0)-MATCH($D53,$D$33:$D$80,0),$D$11:$D$23,0),0),0)</f>
        <v>0</v>
      </c>
      <c r="BL53" s="654" cm="1">
        <f t="array" ref="BL53">$E53*IFERROR(INDEX($E$11:$E$23,MATCH(MATCH(BL$8,$AF$8:$CA$8,0)-MATCH($D53,$D$33:$D$80,0),$D$11:$D$23,0),0),0)</f>
        <v>0</v>
      </c>
      <c r="BM53" s="654" cm="1">
        <f t="array" ref="BM53">$E53*IFERROR(INDEX($E$11:$E$23,MATCH(MATCH(BM$8,$AF$8:$CA$8,0)-MATCH($D53,$D$33:$D$80,0),$D$11:$D$23,0),0),0)</f>
        <v>0</v>
      </c>
      <c r="BN53" s="654" cm="1">
        <f t="array" ref="BN53">$E53*IFERROR(INDEX($E$11:$E$23,MATCH(MATCH(BN$8,$AF$8:$CA$8,0)-MATCH($D53,$D$33:$D$80,0),$D$11:$D$23,0),0),0)</f>
        <v>0</v>
      </c>
      <c r="BO53" s="654" cm="1">
        <f t="array" ref="BO53">$E53*IFERROR(INDEX($E$11:$E$23,MATCH(MATCH(BO$8,$AF$8:$CA$8,0)-MATCH($D53,$D$33:$D$80,0),$D$11:$D$23,0),0),0)</f>
        <v>0</v>
      </c>
      <c r="BP53" s="654" cm="1">
        <f t="array" ref="BP53">$E53*IFERROR(INDEX($E$11:$E$23,MATCH(MATCH(BP$8,$AF$8:$CA$8,0)-MATCH($D53,$D$33:$D$80,0),$D$11:$D$23,0),0),0)</f>
        <v>0</v>
      </c>
      <c r="BQ53" s="654" cm="1">
        <f t="array" ref="BQ53">$E53*IFERROR(INDEX($E$11:$E$23,MATCH(MATCH(BQ$8,$AF$8:$CA$8,0)-MATCH($D53,$D$33:$D$80,0),$D$11:$D$23,0),0),0)</f>
        <v>0</v>
      </c>
      <c r="BR53" s="654" cm="1">
        <f t="array" ref="BR53">$E53*IFERROR(INDEX($E$11:$E$23,MATCH(MATCH(BR$8,$AF$8:$CA$8,0)-MATCH($D53,$D$33:$D$80,0),$D$11:$D$23,0),0),0)</f>
        <v>0</v>
      </c>
      <c r="BS53" s="654" cm="1">
        <f t="array" ref="BS53">$E53*IFERROR(INDEX($E$11:$E$23,MATCH(MATCH(BS$8,$AF$8:$CA$8,0)-MATCH($D53,$D$33:$D$80,0),$D$11:$D$23,0),0),0)</f>
        <v>0</v>
      </c>
      <c r="BT53" s="654" cm="1">
        <f t="array" ref="BT53">$E53*IFERROR(INDEX($E$11:$E$23,MATCH(MATCH(BT$8,$AF$8:$CA$8,0)-MATCH($D53,$D$33:$D$80,0),$D$11:$D$23,0),0),0)</f>
        <v>0</v>
      </c>
      <c r="BU53" s="654" cm="1">
        <f t="array" ref="BU53">$E53*IFERROR(INDEX($E$11:$E$23,MATCH(MATCH(BU$8,$AF$8:$CA$8,0)-MATCH($D53,$D$33:$D$80,0),$D$11:$D$23,0),0),0)</f>
        <v>0</v>
      </c>
      <c r="BV53" s="654" cm="1">
        <f t="array" ref="BV53">$E53*IFERROR(INDEX($E$11:$E$23,MATCH(MATCH(BV$8,$AF$8:$CA$8,0)-MATCH($D53,$D$33:$D$80,0),$D$11:$D$23,0),0),0)</f>
        <v>0</v>
      </c>
      <c r="BW53" s="654" cm="1">
        <f t="array" ref="BW53">$E53*IFERROR(INDEX($E$11:$E$23,MATCH(MATCH(BW$8,$AF$8:$CA$8,0)-MATCH($D53,$D$33:$D$80,0),$D$11:$D$23,0),0),0)</f>
        <v>0</v>
      </c>
      <c r="BX53" s="654" cm="1">
        <f t="array" ref="BX53">$E53*IFERROR(INDEX($E$11:$E$23,MATCH(MATCH(BX$8,$AF$8:$CA$8,0)-MATCH($D53,$D$33:$D$80,0),$D$11:$D$23,0),0),0)</f>
        <v>0</v>
      </c>
      <c r="BY53" s="654" cm="1">
        <f t="array" ref="BY53">$E53*IFERROR(INDEX($E$11:$E$23,MATCH(MATCH(BY$8,$AF$8:$CA$8,0)-MATCH($D53,$D$33:$D$80,0),$D$11:$D$23,0),0),0)</f>
        <v>0</v>
      </c>
      <c r="BZ53" s="654" cm="1">
        <f t="array" ref="BZ53">$E53*IFERROR(INDEX($E$11:$E$23,MATCH(MATCH(BZ$8,$AF$8:$CA$8,0)-MATCH($D53,$D$33:$D$80,0),$D$11:$D$23,0),0),0)</f>
        <v>0</v>
      </c>
      <c r="CA53" s="654" cm="1">
        <f t="array" ref="CA53">$E53*IFERROR(INDEX($E$11:$E$23,MATCH(MATCH(CA$8,$AF$8:$CA$8,0)-MATCH($D53,$D$33:$D$80,0),$D$11:$D$23,0),0),0)</f>
        <v>0</v>
      </c>
    </row>
    <row r="54" spans="2:79" ht="21" hidden="1" customHeight="1" outlineLevel="2">
      <c r="B54" s="367"/>
      <c r="C54" s="370"/>
      <c r="D54" s="374">
        <f t="shared" si="24"/>
        <v>45596</v>
      </c>
      <c r="E54" s="653" cm="1">
        <f t="array" ref="E54">IF($D54&lt;=LatestMonthOfActuals,0,INDEX($AF$28:$CA$28,0,MATCH($D54,$AF$8:$CA$8,0)))</f>
        <v>0</v>
      </c>
      <c r="F54" s="643"/>
      <c r="G54" s="644"/>
      <c r="H54" s="408">
        <f t="shared" si="26"/>
        <v>0</v>
      </c>
      <c r="I54" s="408">
        <f t="shared" si="26"/>
        <v>0</v>
      </c>
      <c r="J54" s="408">
        <f t="shared" si="26"/>
        <v>0</v>
      </c>
      <c r="K54" s="408">
        <f t="shared" si="26"/>
        <v>0</v>
      </c>
      <c r="L54" s="643"/>
      <c r="M54" s="644"/>
      <c r="N54" s="408">
        <f t="shared" si="27"/>
        <v>0</v>
      </c>
      <c r="O54" s="408">
        <f t="shared" si="27"/>
        <v>0</v>
      </c>
      <c r="P54" s="408">
        <f t="shared" si="27"/>
        <v>0</v>
      </c>
      <c r="Q54" s="408">
        <f t="shared" si="27"/>
        <v>0</v>
      </c>
      <c r="R54" s="408">
        <f t="shared" si="27"/>
        <v>0</v>
      </c>
      <c r="S54" s="408">
        <f t="shared" si="27"/>
        <v>0</v>
      </c>
      <c r="T54" s="408">
        <f t="shared" si="27"/>
        <v>0</v>
      </c>
      <c r="U54" s="408">
        <f t="shared" si="27"/>
        <v>0</v>
      </c>
      <c r="V54" s="408">
        <f t="shared" si="27"/>
        <v>0</v>
      </c>
      <c r="W54" s="408">
        <f t="shared" si="27"/>
        <v>0</v>
      </c>
      <c r="X54" s="408">
        <f t="shared" si="27"/>
        <v>0</v>
      </c>
      <c r="Y54" s="408">
        <f t="shared" si="27"/>
        <v>0</v>
      </c>
      <c r="Z54" s="408">
        <f t="shared" si="27"/>
        <v>0</v>
      </c>
      <c r="AA54" s="408">
        <f t="shared" si="27"/>
        <v>0</v>
      </c>
      <c r="AB54" s="408">
        <f t="shared" si="27"/>
        <v>0</v>
      </c>
      <c r="AC54" s="408">
        <f t="shared" si="27"/>
        <v>0</v>
      </c>
      <c r="AD54" s="643"/>
      <c r="AE54" s="644"/>
      <c r="AF54" s="654" cm="1">
        <f t="array" ref="AF54">$E54*IFERROR(INDEX($E$11:$E$23,MATCH(MATCH(AF$8,$AF$8:$CA$8,0)-MATCH($D54,$D$33:$D$80,0),$D$11:$D$23,0),0),0)</f>
        <v>0</v>
      </c>
      <c r="AG54" s="654" cm="1">
        <f t="array" ref="AG54">$E54*IFERROR(INDEX($E$11:$E$23,MATCH(MATCH(AG$8,$AF$8:$CA$8,0)-MATCH($D54,$D$33:$D$80,0),$D$11:$D$23,0),0),0)</f>
        <v>0</v>
      </c>
      <c r="AH54" s="654" cm="1">
        <f t="array" ref="AH54">$E54*IFERROR(INDEX($E$11:$E$23,MATCH(MATCH(AH$8,$AF$8:$CA$8,0)-MATCH($D54,$D$33:$D$80,0),$D$11:$D$23,0),0),0)</f>
        <v>0</v>
      </c>
      <c r="AI54" s="654" cm="1">
        <f t="array" ref="AI54">$E54*IFERROR(INDEX($E$11:$E$23,MATCH(MATCH(AI$8,$AF$8:$CA$8,0)-MATCH($D54,$D$33:$D$80,0),$D$11:$D$23,0),0),0)</f>
        <v>0</v>
      </c>
      <c r="AJ54" s="654" cm="1">
        <f t="array" ref="AJ54">$E54*IFERROR(INDEX($E$11:$E$23,MATCH(MATCH(AJ$8,$AF$8:$CA$8,0)-MATCH($D54,$D$33:$D$80,0),$D$11:$D$23,0),0),0)</f>
        <v>0</v>
      </c>
      <c r="AK54" s="654" cm="1">
        <f t="array" ref="AK54">$E54*IFERROR(INDEX($E$11:$E$23,MATCH(MATCH(AK$8,$AF$8:$CA$8,0)-MATCH($D54,$D$33:$D$80,0),$D$11:$D$23,0),0),0)</f>
        <v>0</v>
      </c>
      <c r="AL54" s="654" cm="1">
        <f t="array" ref="AL54">$E54*IFERROR(INDEX($E$11:$E$23,MATCH(MATCH(AL$8,$AF$8:$CA$8,0)-MATCH($D54,$D$33:$D$80,0),$D$11:$D$23,0),0),0)</f>
        <v>0</v>
      </c>
      <c r="AM54" s="654" cm="1">
        <f t="array" ref="AM54">$E54*IFERROR(INDEX($E$11:$E$23,MATCH(MATCH(AM$8,$AF$8:$CA$8,0)-MATCH($D54,$D$33:$D$80,0),$D$11:$D$23,0),0),0)</f>
        <v>0</v>
      </c>
      <c r="AN54" s="654" cm="1">
        <f t="array" ref="AN54">$E54*IFERROR(INDEX($E$11:$E$23,MATCH(MATCH(AN$8,$AF$8:$CA$8,0)-MATCH($D54,$D$33:$D$80,0),$D$11:$D$23,0),0),0)</f>
        <v>0</v>
      </c>
      <c r="AO54" s="654" cm="1">
        <f t="array" ref="AO54">$E54*IFERROR(INDEX($E$11:$E$23,MATCH(MATCH(AO$8,$AF$8:$CA$8,0)-MATCH($D54,$D$33:$D$80,0),$D$11:$D$23,0),0),0)</f>
        <v>0</v>
      </c>
      <c r="AP54" s="654" cm="1">
        <f t="array" ref="AP54">$E54*IFERROR(INDEX($E$11:$E$23,MATCH(MATCH(AP$8,$AF$8:$CA$8,0)-MATCH($D54,$D$33:$D$80,0),$D$11:$D$23,0),0),0)</f>
        <v>0</v>
      </c>
      <c r="AQ54" s="654" cm="1">
        <f t="array" ref="AQ54">$E54*IFERROR(INDEX($E$11:$E$23,MATCH(MATCH(AQ$8,$AF$8:$CA$8,0)-MATCH($D54,$D$33:$D$80,0),$D$11:$D$23,0),0),0)</f>
        <v>0</v>
      </c>
      <c r="AR54" s="654" cm="1">
        <f t="array" ref="AR54">$E54*IFERROR(INDEX($E$11:$E$23,MATCH(MATCH(AR$8,$AF$8:$CA$8,0)-MATCH($D54,$D$33:$D$80,0),$D$11:$D$23,0),0),0)</f>
        <v>0</v>
      </c>
      <c r="AS54" s="654" cm="1">
        <f t="array" ref="AS54">$E54*IFERROR(INDEX($E$11:$E$23,MATCH(MATCH(AS$8,$AF$8:$CA$8,0)-MATCH($D54,$D$33:$D$80,0),$D$11:$D$23,0),0),0)</f>
        <v>0</v>
      </c>
      <c r="AT54" s="654" cm="1">
        <f t="array" ref="AT54">$E54*IFERROR(INDEX($E$11:$E$23,MATCH(MATCH(AT$8,$AF$8:$CA$8,0)-MATCH($D54,$D$33:$D$80,0),$D$11:$D$23,0),0),0)</f>
        <v>0</v>
      </c>
      <c r="AU54" s="654" cm="1">
        <f t="array" ref="AU54">$E54*IFERROR(INDEX($E$11:$E$23,MATCH(MATCH(AU$8,$AF$8:$CA$8,0)-MATCH($D54,$D$33:$D$80,0),$D$11:$D$23,0),0),0)</f>
        <v>0</v>
      </c>
      <c r="AV54" s="654" cm="1">
        <f t="array" ref="AV54">$E54*IFERROR(INDEX($E$11:$E$23,MATCH(MATCH(AV$8,$AF$8:$CA$8,0)-MATCH($D54,$D$33:$D$80,0),$D$11:$D$23,0),0),0)</f>
        <v>0</v>
      </c>
      <c r="AW54" s="654" cm="1">
        <f t="array" ref="AW54">$E54*IFERROR(INDEX($E$11:$E$23,MATCH(MATCH(AW$8,$AF$8:$CA$8,0)-MATCH($D54,$D$33:$D$80,0),$D$11:$D$23,0),0),0)</f>
        <v>0</v>
      </c>
      <c r="AX54" s="654" cm="1">
        <f t="array" ref="AX54">$E54*IFERROR(INDEX($E$11:$E$23,MATCH(MATCH(AX$8,$AF$8:$CA$8,0)-MATCH($D54,$D$33:$D$80,0),$D$11:$D$23,0),0),0)</f>
        <v>0</v>
      </c>
      <c r="AY54" s="654" cm="1">
        <f t="array" ref="AY54">$E54*IFERROR(INDEX($E$11:$E$23,MATCH(MATCH(AY$8,$AF$8:$CA$8,0)-MATCH($D54,$D$33:$D$80,0),$D$11:$D$23,0),0),0)</f>
        <v>0</v>
      </c>
      <c r="AZ54" s="654" cm="1">
        <f t="array" ref="AZ54">$E54*IFERROR(INDEX($E$11:$E$23,MATCH(MATCH(AZ$8,$AF$8:$CA$8,0)-MATCH($D54,$D$33:$D$80,0),$D$11:$D$23,0),0),0)</f>
        <v>0</v>
      </c>
      <c r="BA54" s="654" cm="1">
        <f t="array" ref="BA54">$E54*IFERROR(INDEX($E$11:$E$23,MATCH(MATCH(BA$8,$AF$8:$CA$8,0)-MATCH($D54,$D$33:$D$80,0),$D$11:$D$23,0),0),0)</f>
        <v>0</v>
      </c>
      <c r="BB54" s="654" cm="1">
        <f t="array" ref="BB54">$E54*IFERROR(INDEX($E$11:$E$23,MATCH(MATCH(BB$8,$AF$8:$CA$8,0)-MATCH($D54,$D$33:$D$80,0),$D$11:$D$23,0),0),0)</f>
        <v>0</v>
      </c>
      <c r="BC54" s="654" cm="1">
        <f t="array" ref="BC54">$E54*IFERROR(INDEX($E$11:$E$23,MATCH(MATCH(BC$8,$AF$8:$CA$8,0)-MATCH($D54,$D$33:$D$80,0),$D$11:$D$23,0),0),0)</f>
        <v>0</v>
      </c>
      <c r="BD54" s="654" cm="1">
        <f t="array" ref="BD54">$E54*IFERROR(INDEX($E$11:$E$23,MATCH(MATCH(BD$8,$AF$8:$CA$8,0)-MATCH($D54,$D$33:$D$80,0),$D$11:$D$23,0),0),0)</f>
        <v>0</v>
      </c>
      <c r="BE54" s="654" cm="1">
        <f t="array" ref="BE54">$E54*IFERROR(INDEX($E$11:$E$23,MATCH(MATCH(BE$8,$AF$8:$CA$8,0)-MATCH($D54,$D$33:$D$80,0),$D$11:$D$23,0),0),0)</f>
        <v>0</v>
      </c>
      <c r="BF54" s="654" cm="1">
        <f t="array" ref="BF54">$E54*IFERROR(INDEX($E$11:$E$23,MATCH(MATCH(BF$8,$AF$8:$CA$8,0)-MATCH($D54,$D$33:$D$80,0),$D$11:$D$23,0),0),0)</f>
        <v>0</v>
      </c>
      <c r="BG54" s="654" cm="1">
        <f t="array" ref="BG54">$E54*IFERROR(INDEX($E$11:$E$23,MATCH(MATCH(BG$8,$AF$8:$CA$8,0)-MATCH($D54,$D$33:$D$80,0),$D$11:$D$23,0),0),0)</f>
        <v>0</v>
      </c>
      <c r="BH54" s="654" cm="1">
        <f t="array" ref="BH54">$E54*IFERROR(INDEX($E$11:$E$23,MATCH(MATCH(BH$8,$AF$8:$CA$8,0)-MATCH($D54,$D$33:$D$80,0),$D$11:$D$23,0),0),0)</f>
        <v>0</v>
      </c>
      <c r="BI54" s="654" cm="1">
        <f t="array" ref="BI54">$E54*IFERROR(INDEX($E$11:$E$23,MATCH(MATCH(BI$8,$AF$8:$CA$8,0)-MATCH($D54,$D$33:$D$80,0),$D$11:$D$23,0),0),0)</f>
        <v>0</v>
      </c>
      <c r="BJ54" s="654" cm="1">
        <f t="array" ref="BJ54">$E54*IFERROR(INDEX($E$11:$E$23,MATCH(MATCH(BJ$8,$AF$8:$CA$8,0)-MATCH($D54,$D$33:$D$80,0),$D$11:$D$23,0),0),0)</f>
        <v>0</v>
      </c>
      <c r="BK54" s="654" cm="1">
        <f t="array" ref="BK54">$E54*IFERROR(INDEX($E$11:$E$23,MATCH(MATCH(BK$8,$AF$8:$CA$8,0)-MATCH($D54,$D$33:$D$80,0),$D$11:$D$23,0),0),0)</f>
        <v>0</v>
      </c>
      <c r="BL54" s="654" cm="1">
        <f t="array" ref="BL54">$E54*IFERROR(INDEX($E$11:$E$23,MATCH(MATCH(BL$8,$AF$8:$CA$8,0)-MATCH($D54,$D$33:$D$80,0),$D$11:$D$23,0),0),0)</f>
        <v>0</v>
      </c>
      <c r="BM54" s="654" cm="1">
        <f t="array" ref="BM54">$E54*IFERROR(INDEX($E$11:$E$23,MATCH(MATCH(BM$8,$AF$8:$CA$8,0)-MATCH($D54,$D$33:$D$80,0),$D$11:$D$23,0),0),0)</f>
        <v>0</v>
      </c>
      <c r="BN54" s="654" cm="1">
        <f t="array" ref="BN54">$E54*IFERROR(INDEX($E$11:$E$23,MATCH(MATCH(BN$8,$AF$8:$CA$8,0)-MATCH($D54,$D$33:$D$80,0),$D$11:$D$23,0),0),0)</f>
        <v>0</v>
      </c>
      <c r="BO54" s="654" cm="1">
        <f t="array" ref="BO54">$E54*IFERROR(INDEX($E$11:$E$23,MATCH(MATCH(BO$8,$AF$8:$CA$8,0)-MATCH($D54,$D$33:$D$80,0),$D$11:$D$23,0),0),0)</f>
        <v>0</v>
      </c>
      <c r="BP54" s="654" cm="1">
        <f t="array" ref="BP54">$E54*IFERROR(INDEX($E$11:$E$23,MATCH(MATCH(BP$8,$AF$8:$CA$8,0)-MATCH($D54,$D$33:$D$80,0),$D$11:$D$23,0),0),0)</f>
        <v>0</v>
      </c>
      <c r="BQ54" s="654" cm="1">
        <f t="array" ref="BQ54">$E54*IFERROR(INDEX($E$11:$E$23,MATCH(MATCH(BQ$8,$AF$8:$CA$8,0)-MATCH($D54,$D$33:$D$80,0),$D$11:$D$23,0),0),0)</f>
        <v>0</v>
      </c>
      <c r="BR54" s="654" cm="1">
        <f t="array" ref="BR54">$E54*IFERROR(INDEX($E$11:$E$23,MATCH(MATCH(BR$8,$AF$8:$CA$8,0)-MATCH($D54,$D$33:$D$80,0),$D$11:$D$23,0),0),0)</f>
        <v>0</v>
      </c>
      <c r="BS54" s="654" cm="1">
        <f t="array" ref="BS54">$E54*IFERROR(INDEX($E$11:$E$23,MATCH(MATCH(BS$8,$AF$8:$CA$8,0)-MATCH($D54,$D$33:$D$80,0),$D$11:$D$23,0),0),0)</f>
        <v>0</v>
      </c>
      <c r="BT54" s="654" cm="1">
        <f t="array" ref="BT54">$E54*IFERROR(INDEX($E$11:$E$23,MATCH(MATCH(BT$8,$AF$8:$CA$8,0)-MATCH($D54,$D$33:$D$80,0),$D$11:$D$23,0),0),0)</f>
        <v>0</v>
      </c>
      <c r="BU54" s="654" cm="1">
        <f t="array" ref="BU54">$E54*IFERROR(INDEX($E$11:$E$23,MATCH(MATCH(BU$8,$AF$8:$CA$8,0)-MATCH($D54,$D$33:$D$80,0),$D$11:$D$23,0),0),0)</f>
        <v>0</v>
      </c>
      <c r="BV54" s="654" cm="1">
        <f t="array" ref="BV54">$E54*IFERROR(INDEX($E$11:$E$23,MATCH(MATCH(BV$8,$AF$8:$CA$8,0)-MATCH($D54,$D$33:$D$80,0),$D$11:$D$23,0),0),0)</f>
        <v>0</v>
      </c>
      <c r="BW54" s="654" cm="1">
        <f t="array" ref="BW54">$E54*IFERROR(INDEX($E$11:$E$23,MATCH(MATCH(BW$8,$AF$8:$CA$8,0)-MATCH($D54,$D$33:$D$80,0),$D$11:$D$23,0),0),0)</f>
        <v>0</v>
      </c>
      <c r="BX54" s="654" cm="1">
        <f t="array" ref="BX54">$E54*IFERROR(INDEX($E$11:$E$23,MATCH(MATCH(BX$8,$AF$8:$CA$8,0)-MATCH($D54,$D$33:$D$80,0),$D$11:$D$23,0),0),0)</f>
        <v>0</v>
      </c>
      <c r="BY54" s="654" cm="1">
        <f t="array" ref="BY54">$E54*IFERROR(INDEX($E$11:$E$23,MATCH(MATCH(BY$8,$AF$8:$CA$8,0)-MATCH($D54,$D$33:$D$80,0),$D$11:$D$23,0),0),0)</f>
        <v>0</v>
      </c>
      <c r="BZ54" s="654" cm="1">
        <f t="array" ref="BZ54">$E54*IFERROR(INDEX($E$11:$E$23,MATCH(MATCH(BZ$8,$AF$8:$CA$8,0)-MATCH($D54,$D$33:$D$80,0),$D$11:$D$23,0),0),0)</f>
        <v>0</v>
      </c>
      <c r="CA54" s="654" cm="1">
        <f t="array" ref="CA54">$E54*IFERROR(INDEX($E$11:$E$23,MATCH(MATCH(CA$8,$AF$8:$CA$8,0)-MATCH($D54,$D$33:$D$80,0),$D$11:$D$23,0),0),0)</f>
        <v>0</v>
      </c>
    </row>
    <row r="55" spans="2:79" ht="21" hidden="1" customHeight="1" outlineLevel="2">
      <c r="B55" s="367"/>
      <c r="C55" s="370"/>
      <c r="D55" s="374">
        <f t="shared" si="24"/>
        <v>45626</v>
      </c>
      <c r="E55" s="653" cm="1">
        <f t="array" ref="E55">IF($D55&lt;=LatestMonthOfActuals,0,INDEX($AF$28:$CA$28,0,MATCH($D55,$AF$8:$CA$8,0)))</f>
        <v>0</v>
      </c>
      <c r="F55" s="643"/>
      <c r="G55" s="644"/>
      <c r="H55" s="408">
        <f t="shared" si="26"/>
        <v>0</v>
      </c>
      <c r="I55" s="408">
        <f t="shared" si="26"/>
        <v>0</v>
      </c>
      <c r="J55" s="408">
        <f t="shared" si="26"/>
        <v>0</v>
      </c>
      <c r="K55" s="408">
        <f t="shared" si="26"/>
        <v>0</v>
      </c>
      <c r="L55" s="643"/>
      <c r="M55" s="644"/>
      <c r="N55" s="408">
        <f t="shared" si="27"/>
        <v>0</v>
      </c>
      <c r="O55" s="408">
        <f t="shared" si="27"/>
        <v>0</v>
      </c>
      <c r="P55" s="408">
        <f t="shared" si="27"/>
        <v>0</v>
      </c>
      <c r="Q55" s="408">
        <f t="shared" si="27"/>
        <v>0</v>
      </c>
      <c r="R55" s="408">
        <f t="shared" si="27"/>
        <v>0</v>
      </c>
      <c r="S55" s="408">
        <f t="shared" si="27"/>
        <v>0</v>
      </c>
      <c r="T55" s="408">
        <f t="shared" si="27"/>
        <v>0</v>
      </c>
      <c r="U55" s="408">
        <f t="shared" si="27"/>
        <v>0</v>
      </c>
      <c r="V55" s="408">
        <f t="shared" si="27"/>
        <v>0</v>
      </c>
      <c r="W55" s="408">
        <f t="shared" si="27"/>
        <v>0</v>
      </c>
      <c r="X55" s="408">
        <f t="shared" si="27"/>
        <v>0</v>
      </c>
      <c r="Y55" s="408">
        <f t="shared" si="27"/>
        <v>0</v>
      </c>
      <c r="Z55" s="408">
        <f t="shared" si="27"/>
        <v>0</v>
      </c>
      <c r="AA55" s="408">
        <f t="shared" si="27"/>
        <v>0</v>
      </c>
      <c r="AB55" s="408">
        <f t="shared" si="27"/>
        <v>0</v>
      </c>
      <c r="AC55" s="408">
        <f t="shared" si="27"/>
        <v>0</v>
      </c>
      <c r="AD55" s="643"/>
      <c r="AE55" s="644"/>
      <c r="AF55" s="654" cm="1">
        <f t="array" ref="AF55">$E55*IFERROR(INDEX($E$11:$E$23,MATCH(MATCH(AF$8,$AF$8:$CA$8,0)-MATCH($D55,$D$33:$D$80,0),$D$11:$D$23,0),0),0)</f>
        <v>0</v>
      </c>
      <c r="AG55" s="654" cm="1">
        <f t="array" ref="AG55">$E55*IFERROR(INDEX($E$11:$E$23,MATCH(MATCH(AG$8,$AF$8:$CA$8,0)-MATCH($D55,$D$33:$D$80,0),$D$11:$D$23,0),0),0)</f>
        <v>0</v>
      </c>
      <c r="AH55" s="654" cm="1">
        <f t="array" ref="AH55">$E55*IFERROR(INDEX($E$11:$E$23,MATCH(MATCH(AH$8,$AF$8:$CA$8,0)-MATCH($D55,$D$33:$D$80,0),$D$11:$D$23,0),0),0)</f>
        <v>0</v>
      </c>
      <c r="AI55" s="654" cm="1">
        <f t="array" ref="AI55">$E55*IFERROR(INDEX($E$11:$E$23,MATCH(MATCH(AI$8,$AF$8:$CA$8,0)-MATCH($D55,$D$33:$D$80,0),$D$11:$D$23,0),0),0)</f>
        <v>0</v>
      </c>
      <c r="AJ55" s="654" cm="1">
        <f t="array" ref="AJ55">$E55*IFERROR(INDEX($E$11:$E$23,MATCH(MATCH(AJ$8,$AF$8:$CA$8,0)-MATCH($D55,$D$33:$D$80,0),$D$11:$D$23,0),0),0)</f>
        <v>0</v>
      </c>
      <c r="AK55" s="654" cm="1">
        <f t="array" ref="AK55">$E55*IFERROR(INDEX($E$11:$E$23,MATCH(MATCH(AK$8,$AF$8:$CA$8,0)-MATCH($D55,$D$33:$D$80,0),$D$11:$D$23,0),0),0)</f>
        <v>0</v>
      </c>
      <c r="AL55" s="654" cm="1">
        <f t="array" ref="AL55">$E55*IFERROR(INDEX($E$11:$E$23,MATCH(MATCH(AL$8,$AF$8:$CA$8,0)-MATCH($D55,$D$33:$D$80,0),$D$11:$D$23,0),0),0)</f>
        <v>0</v>
      </c>
      <c r="AM55" s="654" cm="1">
        <f t="array" ref="AM55">$E55*IFERROR(INDEX($E$11:$E$23,MATCH(MATCH(AM$8,$AF$8:$CA$8,0)-MATCH($D55,$D$33:$D$80,0),$D$11:$D$23,0),0),0)</f>
        <v>0</v>
      </c>
      <c r="AN55" s="654" cm="1">
        <f t="array" ref="AN55">$E55*IFERROR(INDEX($E$11:$E$23,MATCH(MATCH(AN$8,$AF$8:$CA$8,0)-MATCH($D55,$D$33:$D$80,0),$D$11:$D$23,0),0),0)</f>
        <v>0</v>
      </c>
      <c r="AO55" s="654" cm="1">
        <f t="array" ref="AO55">$E55*IFERROR(INDEX($E$11:$E$23,MATCH(MATCH(AO$8,$AF$8:$CA$8,0)-MATCH($D55,$D$33:$D$80,0),$D$11:$D$23,0),0),0)</f>
        <v>0</v>
      </c>
      <c r="AP55" s="654" cm="1">
        <f t="array" ref="AP55">$E55*IFERROR(INDEX($E$11:$E$23,MATCH(MATCH(AP$8,$AF$8:$CA$8,0)-MATCH($D55,$D$33:$D$80,0),$D$11:$D$23,0),0),0)</f>
        <v>0</v>
      </c>
      <c r="AQ55" s="654" cm="1">
        <f t="array" ref="AQ55">$E55*IFERROR(INDEX($E$11:$E$23,MATCH(MATCH(AQ$8,$AF$8:$CA$8,0)-MATCH($D55,$D$33:$D$80,0),$D$11:$D$23,0),0),0)</f>
        <v>0</v>
      </c>
      <c r="AR55" s="654" cm="1">
        <f t="array" ref="AR55">$E55*IFERROR(INDEX($E$11:$E$23,MATCH(MATCH(AR$8,$AF$8:$CA$8,0)-MATCH($D55,$D$33:$D$80,0),$D$11:$D$23,0),0),0)</f>
        <v>0</v>
      </c>
      <c r="AS55" s="654" cm="1">
        <f t="array" ref="AS55">$E55*IFERROR(INDEX($E$11:$E$23,MATCH(MATCH(AS$8,$AF$8:$CA$8,0)-MATCH($D55,$D$33:$D$80,0),$D$11:$D$23,0),0),0)</f>
        <v>0</v>
      </c>
      <c r="AT55" s="654" cm="1">
        <f t="array" ref="AT55">$E55*IFERROR(INDEX($E$11:$E$23,MATCH(MATCH(AT$8,$AF$8:$CA$8,0)-MATCH($D55,$D$33:$D$80,0),$D$11:$D$23,0),0),0)</f>
        <v>0</v>
      </c>
      <c r="AU55" s="654" cm="1">
        <f t="array" ref="AU55">$E55*IFERROR(INDEX($E$11:$E$23,MATCH(MATCH(AU$8,$AF$8:$CA$8,0)-MATCH($D55,$D$33:$D$80,0),$D$11:$D$23,0),0),0)</f>
        <v>0</v>
      </c>
      <c r="AV55" s="654" cm="1">
        <f t="array" ref="AV55">$E55*IFERROR(INDEX($E$11:$E$23,MATCH(MATCH(AV$8,$AF$8:$CA$8,0)-MATCH($D55,$D$33:$D$80,0),$D$11:$D$23,0),0),0)</f>
        <v>0</v>
      </c>
      <c r="AW55" s="654" cm="1">
        <f t="array" ref="AW55">$E55*IFERROR(INDEX($E$11:$E$23,MATCH(MATCH(AW$8,$AF$8:$CA$8,0)-MATCH($D55,$D$33:$D$80,0),$D$11:$D$23,0),0),0)</f>
        <v>0</v>
      </c>
      <c r="AX55" s="654" cm="1">
        <f t="array" ref="AX55">$E55*IFERROR(INDEX($E$11:$E$23,MATCH(MATCH(AX$8,$AF$8:$CA$8,0)-MATCH($D55,$D$33:$D$80,0),$D$11:$D$23,0),0),0)</f>
        <v>0</v>
      </c>
      <c r="AY55" s="654" cm="1">
        <f t="array" ref="AY55">$E55*IFERROR(INDEX($E$11:$E$23,MATCH(MATCH(AY$8,$AF$8:$CA$8,0)-MATCH($D55,$D$33:$D$80,0),$D$11:$D$23,0),0),0)</f>
        <v>0</v>
      </c>
      <c r="AZ55" s="654" cm="1">
        <f t="array" ref="AZ55">$E55*IFERROR(INDEX($E$11:$E$23,MATCH(MATCH(AZ$8,$AF$8:$CA$8,0)-MATCH($D55,$D$33:$D$80,0),$D$11:$D$23,0),0),0)</f>
        <v>0</v>
      </c>
      <c r="BA55" s="654" cm="1">
        <f t="array" ref="BA55">$E55*IFERROR(INDEX($E$11:$E$23,MATCH(MATCH(BA$8,$AF$8:$CA$8,0)-MATCH($D55,$D$33:$D$80,0),$D$11:$D$23,0),0),0)</f>
        <v>0</v>
      </c>
      <c r="BB55" s="654" cm="1">
        <f t="array" ref="BB55">$E55*IFERROR(INDEX($E$11:$E$23,MATCH(MATCH(BB$8,$AF$8:$CA$8,0)-MATCH($D55,$D$33:$D$80,0),$D$11:$D$23,0),0),0)</f>
        <v>0</v>
      </c>
      <c r="BC55" s="654" cm="1">
        <f t="array" ref="BC55">$E55*IFERROR(INDEX($E$11:$E$23,MATCH(MATCH(BC$8,$AF$8:$CA$8,0)-MATCH($D55,$D$33:$D$80,0),$D$11:$D$23,0),0),0)</f>
        <v>0</v>
      </c>
      <c r="BD55" s="654" cm="1">
        <f t="array" ref="BD55">$E55*IFERROR(INDEX($E$11:$E$23,MATCH(MATCH(BD$8,$AF$8:$CA$8,0)-MATCH($D55,$D$33:$D$80,0),$D$11:$D$23,0),0),0)</f>
        <v>0</v>
      </c>
      <c r="BE55" s="654" cm="1">
        <f t="array" ref="BE55">$E55*IFERROR(INDEX($E$11:$E$23,MATCH(MATCH(BE$8,$AF$8:$CA$8,0)-MATCH($D55,$D$33:$D$80,0),$D$11:$D$23,0),0),0)</f>
        <v>0</v>
      </c>
      <c r="BF55" s="654" cm="1">
        <f t="array" ref="BF55">$E55*IFERROR(INDEX($E$11:$E$23,MATCH(MATCH(BF$8,$AF$8:$CA$8,0)-MATCH($D55,$D$33:$D$80,0),$D$11:$D$23,0),0),0)</f>
        <v>0</v>
      </c>
      <c r="BG55" s="654" cm="1">
        <f t="array" ref="BG55">$E55*IFERROR(INDEX($E$11:$E$23,MATCH(MATCH(BG$8,$AF$8:$CA$8,0)-MATCH($D55,$D$33:$D$80,0),$D$11:$D$23,0),0),0)</f>
        <v>0</v>
      </c>
      <c r="BH55" s="654" cm="1">
        <f t="array" ref="BH55">$E55*IFERROR(INDEX($E$11:$E$23,MATCH(MATCH(BH$8,$AF$8:$CA$8,0)-MATCH($D55,$D$33:$D$80,0),$D$11:$D$23,0),0),0)</f>
        <v>0</v>
      </c>
      <c r="BI55" s="654" cm="1">
        <f t="array" ref="BI55">$E55*IFERROR(INDEX($E$11:$E$23,MATCH(MATCH(BI$8,$AF$8:$CA$8,0)-MATCH($D55,$D$33:$D$80,0),$D$11:$D$23,0),0),0)</f>
        <v>0</v>
      </c>
      <c r="BJ55" s="654" cm="1">
        <f t="array" ref="BJ55">$E55*IFERROR(INDEX($E$11:$E$23,MATCH(MATCH(BJ$8,$AF$8:$CA$8,0)-MATCH($D55,$D$33:$D$80,0),$D$11:$D$23,0),0),0)</f>
        <v>0</v>
      </c>
      <c r="BK55" s="654" cm="1">
        <f t="array" ref="BK55">$E55*IFERROR(INDEX($E$11:$E$23,MATCH(MATCH(BK$8,$AF$8:$CA$8,0)-MATCH($D55,$D$33:$D$80,0),$D$11:$D$23,0),0),0)</f>
        <v>0</v>
      </c>
      <c r="BL55" s="654" cm="1">
        <f t="array" ref="BL55">$E55*IFERROR(INDEX($E$11:$E$23,MATCH(MATCH(BL$8,$AF$8:$CA$8,0)-MATCH($D55,$D$33:$D$80,0),$D$11:$D$23,0),0),0)</f>
        <v>0</v>
      </c>
      <c r="BM55" s="654" cm="1">
        <f t="array" ref="BM55">$E55*IFERROR(INDEX($E$11:$E$23,MATCH(MATCH(BM$8,$AF$8:$CA$8,0)-MATCH($D55,$D$33:$D$80,0),$D$11:$D$23,0),0),0)</f>
        <v>0</v>
      </c>
      <c r="BN55" s="654" cm="1">
        <f t="array" ref="BN55">$E55*IFERROR(INDEX($E$11:$E$23,MATCH(MATCH(BN$8,$AF$8:$CA$8,0)-MATCH($D55,$D$33:$D$80,0),$D$11:$D$23,0),0),0)</f>
        <v>0</v>
      </c>
      <c r="BO55" s="654" cm="1">
        <f t="array" ref="BO55">$E55*IFERROR(INDEX($E$11:$E$23,MATCH(MATCH(BO$8,$AF$8:$CA$8,0)-MATCH($D55,$D$33:$D$80,0),$D$11:$D$23,0),0),0)</f>
        <v>0</v>
      </c>
      <c r="BP55" s="654" cm="1">
        <f t="array" ref="BP55">$E55*IFERROR(INDEX($E$11:$E$23,MATCH(MATCH(BP$8,$AF$8:$CA$8,0)-MATCH($D55,$D$33:$D$80,0),$D$11:$D$23,0),0),0)</f>
        <v>0</v>
      </c>
      <c r="BQ55" s="654" cm="1">
        <f t="array" ref="BQ55">$E55*IFERROR(INDEX($E$11:$E$23,MATCH(MATCH(BQ$8,$AF$8:$CA$8,0)-MATCH($D55,$D$33:$D$80,0),$D$11:$D$23,0),0),0)</f>
        <v>0</v>
      </c>
      <c r="BR55" s="654" cm="1">
        <f t="array" ref="BR55">$E55*IFERROR(INDEX($E$11:$E$23,MATCH(MATCH(BR$8,$AF$8:$CA$8,0)-MATCH($D55,$D$33:$D$80,0),$D$11:$D$23,0),0),0)</f>
        <v>0</v>
      </c>
      <c r="BS55" s="654" cm="1">
        <f t="array" ref="BS55">$E55*IFERROR(INDEX($E$11:$E$23,MATCH(MATCH(BS$8,$AF$8:$CA$8,0)-MATCH($D55,$D$33:$D$80,0),$D$11:$D$23,0),0),0)</f>
        <v>0</v>
      </c>
      <c r="BT55" s="654" cm="1">
        <f t="array" ref="BT55">$E55*IFERROR(INDEX($E$11:$E$23,MATCH(MATCH(BT$8,$AF$8:$CA$8,0)-MATCH($D55,$D$33:$D$80,0),$D$11:$D$23,0),0),0)</f>
        <v>0</v>
      </c>
      <c r="BU55" s="654" cm="1">
        <f t="array" ref="BU55">$E55*IFERROR(INDEX($E$11:$E$23,MATCH(MATCH(BU$8,$AF$8:$CA$8,0)-MATCH($D55,$D$33:$D$80,0),$D$11:$D$23,0),0),0)</f>
        <v>0</v>
      </c>
      <c r="BV55" s="654" cm="1">
        <f t="array" ref="BV55">$E55*IFERROR(INDEX($E$11:$E$23,MATCH(MATCH(BV$8,$AF$8:$CA$8,0)-MATCH($D55,$D$33:$D$80,0),$D$11:$D$23,0),0),0)</f>
        <v>0</v>
      </c>
      <c r="BW55" s="654" cm="1">
        <f t="array" ref="BW55">$E55*IFERROR(INDEX($E$11:$E$23,MATCH(MATCH(BW$8,$AF$8:$CA$8,0)-MATCH($D55,$D$33:$D$80,0),$D$11:$D$23,0),0),0)</f>
        <v>0</v>
      </c>
      <c r="BX55" s="654" cm="1">
        <f t="array" ref="BX55">$E55*IFERROR(INDEX($E$11:$E$23,MATCH(MATCH(BX$8,$AF$8:$CA$8,0)-MATCH($D55,$D$33:$D$80,0),$D$11:$D$23,0),0),0)</f>
        <v>0</v>
      </c>
      <c r="BY55" s="654" cm="1">
        <f t="array" ref="BY55">$E55*IFERROR(INDEX($E$11:$E$23,MATCH(MATCH(BY$8,$AF$8:$CA$8,0)-MATCH($D55,$D$33:$D$80,0),$D$11:$D$23,0),0),0)</f>
        <v>0</v>
      </c>
      <c r="BZ55" s="654" cm="1">
        <f t="array" ref="BZ55">$E55*IFERROR(INDEX($E$11:$E$23,MATCH(MATCH(BZ$8,$AF$8:$CA$8,0)-MATCH($D55,$D$33:$D$80,0),$D$11:$D$23,0),0),0)</f>
        <v>0</v>
      </c>
      <c r="CA55" s="654" cm="1">
        <f t="array" ref="CA55">$E55*IFERROR(INDEX($E$11:$E$23,MATCH(MATCH(CA$8,$AF$8:$CA$8,0)-MATCH($D55,$D$33:$D$80,0),$D$11:$D$23,0),0),0)</f>
        <v>0</v>
      </c>
    </row>
    <row r="56" spans="2:79" ht="21" hidden="1" customHeight="1" outlineLevel="2">
      <c r="B56" s="367"/>
      <c r="C56" s="370"/>
      <c r="D56" s="374">
        <f t="shared" si="24"/>
        <v>45657</v>
      </c>
      <c r="E56" s="653" cm="1">
        <f t="array" ref="E56">IF($D56&lt;=LatestMonthOfActuals,0,INDEX($AF$28:$CA$28,0,MATCH($D56,$AF$8:$CA$8,0)))</f>
        <v>0</v>
      </c>
      <c r="F56" s="643"/>
      <c r="G56" s="644"/>
      <c r="H56" s="408">
        <f t="shared" si="26"/>
        <v>0</v>
      </c>
      <c r="I56" s="408">
        <f t="shared" si="26"/>
        <v>0</v>
      </c>
      <c r="J56" s="408">
        <f t="shared" si="26"/>
        <v>0</v>
      </c>
      <c r="K56" s="408">
        <f t="shared" si="26"/>
        <v>0</v>
      </c>
      <c r="L56" s="643"/>
      <c r="M56" s="644"/>
      <c r="N56" s="408">
        <f t="shared" si="27"/>
        <v>0</v>
      </c>
      <c r="O56" s="408">
        <f t="shared" si="27"/>
        <v>0</v>
      </c>
      <c r="P56" s="408">
        <f t="shared" si="27"/>
        <v>0</v>
      </c>
      <c r="Q56" s="408">
        <f t="shared" si="27"/>
        <v>0</v>
      </c>
      <c r="R56" s="408">
        <f t="shared" si="27"/>
        <v>0</v>
      </c>
      <c r="S56" s="408">
        <f t="shared" si="27"/>
        <v>0</v>
      </c>
      <c r="T56" s="408">
        <f t="shared" si="27"/>
        <v>0</v>
      </c>
      <c r="U56" s="408">
        <f t="shared" si="27"/>
        <v>0</v>
      </c>
      <c r="V56" s="408">
        <f t="shared" si="27"/>
        <v>0</v>
      </c>
      <c r="W56" s="408">
        <f t="shared" si="27"/>
        <v>0</v>
      </c>
      <c r="X56" s="408">
        <f t="shared" si="27"/>
        <v>0</v>
      </c>
      <c r="Y56" s="408">
        <f t="shared" si="27"/>
        <v>0</v>
      </c>
      <c r="Z56" s="408">
        <f t="shared" si="27"/>
        <v>0</v>
      </c>
      <c r="AA56" s="408">
        <f t="shared" si="27"/>
        <v>0</v>
      </c>
      <c r="AB56" s="408">
        <f t="shared" si="27"/>
        <v>0</v>
      </c>
      <c r="AC56" s="408">
        <f t="shared" si="27"/>
        <v>0</v>
      </c>
      <c r="AD56" s="643"/>
      <c r="AE56" s="644"/>
      <c r="AF56" s="654" cm="1">
        <f t="array" ref="AF56">$E56*IFERROR(INDEX($E$11:$E$23,MATCH(MATCH(AF$8,$AF$8:$CA$8,0)-MATCH($D56,$D$33:$D$80,0),$D$11:$D$23,0),0),0)</f>
        <v>0</v>
      </c>
      <c r="AG56" s="654" cm="1">
        <f t="array" ref="AG56">$E56*IFERROR(INDEX($E$11:$E$23,MATCH(MATCH(AG$8,$AF$8:$CA$8,0)-MATCH($D56,$D$33:$D$80,0),$D$11:$D$23,0),0),0)</f>
        <v>0</v>
      </c>
      <c r="AH56" s="654" cm="1">
        <f t="array" ref="AH56">$E56*IFERROR(INDEX($E$11:$E$23,MATCH(MATCH(AH$8,$AF$8:$CA$8,0)-MATCH($D56,$D$33:$D$80,0),$D$11:$D$23,0),0),0)</f>
        <v>0</v>
      </c>
      <c r="AI56" s="654" cm="1">
        <f t="array" ref="AI56">$E56*IFERROR(INDEX($E$11:$E$23,MATCH(MATCH(AI$8,$AF$8:$CA$8,0)-MATCH($D56,$D$33:$D$80,0),$D$11:$D$23,0),0),0)</f>
        <v>0</v>
      </c>
      <c r="AJ56" s="654" cm="1">
        <f t="array" ref="AJ56">$E56*IFERROR(INDEX($E$11:$E$23,MATCH(MATCH(AJ$8,$AF$8:$CA$8,0)-MATCH($D56,$D$33:$D$80,0),$D$11:$D$23,0),0),0)</f>
        <v>0</v>
      </c>
      <c r="AK56" s="654" cm="1">
        <f t="array" ref="AK56">$E56*IFERROR(INDEX($E$11:$E$23,MATCH(MATCH(AK$8,$AF$8:$CA$8,0)-MATCH($D56,$D$33:$D$80,0),$D$11:$D$23,0),0),0)</f>
        <v>0</v>
      </c>
      <c r="AL56" s="654" cm="1">
        <f t="array" ref="AL56">$E56*IFERROR(INDEX($E$11:$E$23,MATCH(MATCH(AL$8,$AF$8:$CA$8,0)-MATCH($D56,$D$33:$D$80,0),$D$11:$D$23,0),0),0)</f>
        <v>0</v>
      </c>
      <c r="AM56" s="654" cm="1">
        <f t="array" ref="AM56">$E56*IFERROR(INDEX($E$11:$E$23,MATCH(MATCH(AM$8,$AF$8:$CA$8,0)-MATCH($D56,$D$33:$D$80,0),$D$11:$D$23,0),0),0)</f>
        <v>0</v>
      </c>
      <c r="AN56" s="654" cm="1">
        <f t="array" ref="AN56">$E56*IFERROR(INDEX($E$11:$E$23,MATCH(MATCH(AN$8,$AF$8:$CA$8,0)-MATCH($D56,$D$33:$D$80,0),$D$11:$D$23,0),0),0)</f>
        <v>0</v>
      </c>
      <c r="AO56" s="654" cm="1">
        <f t="array" ref="AO56">$E56*IFERROR(INDEX($E$11:$E$23,MATCH(MATCH(AO$8,$AF$8:$CA$8,0)-MATCH($D56,$D$33:$D$80,0),$D$11:$D$23,0),0),0)</f>
        <v>0</v>
      </c>
      <c r="AP56" s="654" cm="1">
        <f t="array" ref="AP56">$E56*IFERROR(INDEX($E$11:$E$23,MATCH(MATCH(AP$8,$AF$8:$CA$8,0)-MATCH($D56,$D$33:$D$80,0),$D$11:$D$23,0),0),0)</f>
        <v>0</v>
      </c>
      <c r="AQ56" s="654" cm="1">
        <f t="array" ref="AQ56">$E56*IFERROR(INDEX($E$11:$E$23,MATCH(MATCH(AQ$8,$AF$8:$CA$8,0)-MATCH($D56,$D$33:$D$80,0),$D$11:$D$23,0),0),0)</f>
        <v>0</v>
      </c>
      <c r="AR56" s="654" cm="1">
        <f t="array" ref="AR56">$E56*IFERROR(INDEX($E$11:$E$23,MATCH(MATCH(AR$8,$AF$8:$CA$8,0)-MATCH($D56,$D$33:$D$80,0),$D$11:$D$23,0),0),0)</f>
        <v>0</v>
      </c>
      <c r="AS56" s="654" cm="1">
        <f t="array" ref="AS56">$E56*IFERROR(INDEX($E$11:$E$23,MATCH(MATCH(AS$8,$AF$8:$CA$8,0)-MATCH($D56,$D$33:$D$80,0),$D$11:$D$23,0),0),0)</f>
        <v>0</v>
      </c>
      <c r="AT56" s="654" cm="1">
        <f t="array" ref="AT56">$E56*IFERROR(INDEX($E$11:$E$23,MATCH(MATCH(AT$8,$AF$8:$CA$8,0)-MATCH($D56,$D$33:$D$80,0),$D$11:$D$23,0),0),0)</f>
        <v>0</v>
      </c>
      <c r="AU56" s="654" cm="1">
        <f t="array" ref="AU56">$E56*IFERROR(INDEX($E$11:$E$23,MATCH(MATCH(AU$8,$AF$8:$CA$8,0)-MATCH($D56,$D$33:$D$80,0),$D$11:$D$23,0),0),0)</f>
        <v>0</v>
      </c>
      <c r="AV56" s="654" cm="1">
        <f t="array" ref="AV56">$E56*IFERROR(INDEX($E$11:$E$23,MATCH(MATCH(AV$8,$AF$8:$CA$8,0)-MATCH($D56,$D$33:$D$80,0),$D$11:$D$23,0),0),0)</f>
        <v>0</v>
      </c>
      <c r="AW56" s="654" cm="1">
        <f t="array" ref="AW56">$E56*IFERROR(INDEX($E$11:$E$23,MATCH(MATCH(AW$8,$AF$8:$CA$8,0)-MATCH($D56,$D$33:$D$80,0),$D$11:$D$23,0),0),0)</f>
        <v>0</v>
      </c>
      <c r="AX56" s="654" cm="1">
        <f t="array" ref="AX56">$E56*IFERROR(INDEX($E$11:$E$23,MATCH(MATCH(AX$8,$AF$8:$CA$8,0)-MATCH($D56,$D$33:$D$80,0),$D$11:$D$23,0),0),0)</f>
        <v>0</v>
      </c>
      <c r="AY56" s="654" cm="1">
        <f t="array" ref="AY56">$E56*IFERROR(INDEX($E$11:$E$23,MATCH(MATCH(AY$8,$AF$8:$CA$8,0)-MATCH($D56,$D$33:$D$80,0),$D$11:$D$23,0),0),0)</f>
        <v>0</v>
      </c>
      <c r="AZ56" s="654" cm="1">
        <f t="array" ref="AZ56">$E56*IFERROR(INDEX($E$11:$E$23,MATCH(MATCH(AZ$8,$AF$8:$CA$8,0)-MATCH($D56,$D$33:$D$80,0),$D$11:$D$23,0),0),0)</f>
        <v>0</v>
      </c>
      <c r="BA56" s="654" cm="1">
        <f t="array" ref="BA56">$E56*IFERROR(INDEX($E$11:$E$23,MATCH(MATCH(BA$8,$AF$8:$CA$8,0)-MATCH($D56,$D$33:$D$80,0),$D$11:$D$23,0),0),0)</f>
        <v>0</v>
      </c>
      <c r="BB56" s="654" cm="1">
        <f t="array" ref="BB56">$E56*IFERROR(INDEX($E$11:$E$23,MATCH(MATCH(BB$8,$AF$8:$CA$8,0)-MATCH($D56,$D$33:$D$80,0),$D$11:$D$23,0),0),0)</f>
        <v>0</v>
      </c>
      <c r="BC56" s="654" cm="1">
        <f t="array" ref="BC56">$E56*IFERROR(INDEX($E$11:$E$23,MATCH(MATCH(BC$8,$AF$8:$CA$8,0)-MATCH($D56,$D$33:$D$80,0),$D$11:$D$23,0),0),0)</f>
        <v>0</v>
      </c>
      <c r="BD56" s="654" cm="1">
        <f t="array" ref="BD56">$E56*IFERROR(INDEX($E$11:$E$23,MATCH(MATCH(BD$8,$AF$8:$CA$8,0)-MATCH($D56,$D$33:$D$80,0),$D$11:$D$23,0),0),0)</f>
        <v>0</v>
      </c>
      <c r="BE56" s="654" cm="1">
        <f t="array" ref="BE56">$E56*IFERROR(INDEX($E$11:$E$23,MATCH(MATCH(BE$8,$AF$8:$CA$8,0)-MATCH($D56,$D$33:$D$80,0),$D$11:$D$23,0),0),0)</f>
        <v>0</v>
      </c>
      <c r="BF56" s="654" cm="1">
        <f t="array" ref="BF56">$E56*IFERROR(INDEX($E$11:$E$23,MATCH(MATCH(BF$8,$AF$8:$CA$8,0)-MATCH($D56,$D$33:$D$80,0),$D$11:$D$23,0),0),0)</f>
        <v>0</v>
      </c>
      <c r="BG56" s="654" cm="1">
        <f t="array" ref="BG56">$E56*IFERROR(INDEX($E$11:$E$23,MATCH(MATCH(BG$8,$AF$8:$CA$8,0)-MATCH($D56,$D$33:$D$80,0),$D$11:$D$23,0),0),0)</f>
        <v>0</v>
      </c>
      <c r="BH56" s="654" cm="1">
        <f t="array" ref="BH56">$E56*IFERROR(INDEX($E$11:$E$23,MATCH(MATCH(BH$8,$AF$8:$CA$8,0)-MATCH($D56,$D$33:$D$80,0),$D$11:$D$23,0),0),0)</f>
        <v>0</v>
      </c>
      <c r="BI56" s="654" cm="1">
        <f t="array" ref="BI56">$E56*IFERROR(INDEX($E$11:$E$23,MATCH(MATCH(BI$8,$AF$8:$CA$8,0)-MATCH($D56,$D$33:$D$80,0),$D$11:$D$23,0),0),0)</f>
        <v>0</v>
      </c>
      <c r="BJ56" s="654" cm="1">
        <f t="array" ref="BJ56">$E56*IFERROR(INDEX($E$11:$E$23,MATCH(MATCH(BJ$8,$AF$8:$CA$8,0)-MATCH($D56,$D$33:$D$80,0),$D$11:$D$23,0),0),0)</f>
        <v>0</v>
      </c>
      <c r="BK56" s="654" cm="1">
        <f t="array" ref="BK56">$E56*IFERROR(INDEX($E$11:$E$23,MATCH(MATCH(BK$8,$AF$8:$CA$8,0)-MATCH($D56,$D$33:$D$80,0),$D$11:$D$23,0),0),0)</f>
        <v>0</v>
      </c>
      <c r="BL56" s="654" cm="1">
        <f t="array" ref="BL56">$E56*IFERROR(INDEX($E$11:$E$23,MATCH(MATCH(BL$8,$AF$8:$CA$8,0)-MATCH($D56,$D$33:$D$80,0),$D$11:$D$23,0),0),0)</f>
        <v>0</v>
      </c>
      <c r="BM56" s="654" cm="1">
        <f t="array" ref="BM56">$E56*IFERROR(INDEX($E$11:$E$23,MATCH(MATCH(BM$8,$AF$8:$CA$8,0)-MATCH($D56,$D$33:$D$80,0),$D$11:$D$23,0),0),0)</f>
        <v>0</v>
      </c>
      <c r="BN56" s="654" cm="1">
        <f t="array" ref="BN56">$E56*IFERROR(INDEX($E$11:$E$23,MATCH(MATCH(BN$8,$AF$8:$CA$8,0)-MATCH($D56,$D$33:$D$80,0),$D$11:$D$23,0),0),0)</f>
        <v>0</v>
      </c>
      <c r="BO56" s="654" cm="1">
        <f t="array" ref="BO56">$E56*IFERROR(INDEX($E$11:$E$23,MATCH(MATCH(BO$8,$AF$8:$CA$8,0)-MATCH($D56,$D$33:$D$80,0),$D$11:$D$23,0),0),0)</f>
        <v>0</v>
      </c>
      <c r="BP56" s="654" cm="1">
        <f t="array" ref="BP56">$E56*IFERROR(INDEX($E$11:$E$23,MATCH(MATCH(BP$8,$AF$8:$CA$8,0)-MATCH($D56,$D$33:$D$80,0),$D$11:$D$23,0),0),0)</f>
        <v>0</v>
      </c>
      <c r="BQ56" s="654" cm="1">
        <f t="array" ref="BQ56">$E56*IFERROR(INDEX($E$11:$E$23,MATCH(MATCH(BQ$8,$AF$8:$CA$8,0)-MATCH($D56,$D$33:$D$80,0),$D$11:$D$23,0),0),0)</f>
        <v>0</v>
      </c>
      <c r="BR56" s="654" cm="1">
        <f t="array" ref="BR56">$E56*IFERROR(INDEX($E$11:$E$23,MATCH(MATCH(BR$8,$AF$8:$CA$8,0)-MATCH($D56,$D$33:$D$80,0),$D$11:$D$23,0),0),0)</f>
        <v>0</v>
      </c>
      <c r="BS56" s="654" cm="1">
        <f t="array" ref="BS56">$E56*IFERROR(INDEX($E$11:$E$23,MATCH(MATCH(BS$8,$AF$8:$CA$8,0)-MATCH($D56,$D$33:$D$80,0),$D$11:$D$23,0),0),0)</f>
        <v>0</v>
      </c>
      <c r="BT56" s="654" cm="1">
        <f t="array" ref="BT56">$E56*IFERROR(INDEX($E$11:$E$23,MATCH(MATCH(BT$8,$AF$8:$CA$8,0)-MATCH($D56,$D$33:$D$80,0),$D$11:$D$23,0),0),0)</f>
        <v>0</v>
      </c>
      <c r="BU56" s="654" cm="1">
        <f t="array" ref="BU56">$E56*IFERROR(INDEX($E$11:$E$23,MATCH(MATCH(BU$8,$AF$8:$CA$8,0)-MATCH($D56,$D$33:$D$80,0),$D$11:$D$23,0),0),0)</f>
        <v>0</v>
      </c>
      <c r="BV56" s="654" cm="1">
        <f t="array" ref="BV56">$E56*IFERROR(INDEX($E$11:$E$23,MATCH(MATCH(BV$8,$AF$8:$CA$8,0)-MATCH($D56,$D$33:$D$80,0),$D$11:$D$23,0),0),0)</f>
        <v>0</v>
      </c>
      <c r="BW56" s="654" cm="1">
        <f t="array" ref="BW56">$E56*IFERROR(INDEX($E$11:$E$23,MATCH(MATCH(BW$8,$AF$8:$CA$8,0)-MATCH($D56,$D$33:$D$80,0),$D$11:$D$23,0),0),0)</f>
        <v>0</v>
      </c>
      <c r="BX56" s="654" cm="1">
        <f t="array" ref="BX56">$E56*IFERROR(INDEX($E$11:$E$23,MATCH(MATCH(BX$8,$AF$8:$CA$8,0)-MATCH($D56,$D$33:$D$80,0),$D$11:$D$23,0),0),0)</f>
        <v>0</v>
      </c>
      <c r="BY56" s="654" cm="1">
        <f t="array" ref="BY56">$E56*IFERROR(INDEX($E$11:$E$23,MATCH(MATCH(BY$8,$AF$8:$CA$8,0)-MATCH($D56,$D$33:$D$80,0),$D$11:$D$23,0),0),0)</f>
        <v>0</v>
      </c>
      <c r="BZ56" s="654" cm="1">
        <f t="array" ref="BZ56">$E56*IFERROR(INDEX($E$11:$E$23,MATCH(MATCH(BZ$8,$AF$8:$CA$8,0)-MATCH($D56,$D$33:$D$80,0),$D$11:$D$23,0),0),0)</f>
        <v>0</v>
      </c>
      <c r="CA56" s="654" cm="1">
        <f t="array" ref="CA56">$E56*IFERROR(INDEX($E$11:$E$23,MATCH(MATCH(CA$8,$AF$8:$CA$8,0)-MATCH($D56,$D$33:$D$80,0),$D$11:$D$23,0),0),0)</f>
        <v>0</v>
      </c>
    </row>
    <row r="57" spans="2:79" ht="21" hidden="1" customHeight="1" outlineLevel="2">
      <c r="B57" s="367"/>
      <c r="C57" s="370"/>
      <c r="D57" s="374">
        <f t="shared" si="24"/>
        <v>45688</v>
      </c>
      <c r="E57" s="653" cm="1">
        <f t="array" ref="E57">IF($D57&lt;=LatestMonthOfActuals,0,INDEX($AF$28:$CA$28,0,MATCH($D57,$AF$8:$CA$8,0)))</f>
        <v>0</v>
      </c>
      <c r="F57" s="643"/>
      <c r="G57" s="644"/>
      <c r="H57" s="408">
        <f t="shared" si="26"/>
        <v>0</v>
      </c>
      <c r="I57" s="408">
        <f t="shared" si="26"/>
        <v>0</v>
      </c>
      <c r="J57" s="408">
        <f t="shared" si="26"/>
        <v>0</v>
      </c>
      <c r="K57" s="408">
        <f t="shared" si="26"/>
        <v>0</v>
      </c>
      <c r="L57" s="643"/>
      <c r="M57" s="644"/>
      <c r="N57" s="408">
        <f t="shared" si="27"/>
        <v>0</v>
      </c>
      <c r="O57" s="408">
        <f t="shared" si="27"/>
        <v>0</v>
      </c>
      <c r="P57" s="408">
        <f t="shared" si="27"/>
        <v>0</v>
      </c>
      <c r="Q57" s="408">
        <f t="shared" si="27"/>
        <v>0</v>
      </c>
      <c r="R57" s="408">
        <f t="shared" si="27"/>
        <v>0</v>
      </c>
      <c r="S57" s="408">
        <f t="shared" si="27"/>
        <v>0</v>
      </c>
      <c r="T57" s="408">
        <f t="shared" si="27"/>
        <v>0</v>
      </c>
      <c r="U57" s="408">
        <f t="shared" si="27"/>
        <v>0</v>
      </c>
      <c r="V57" s="408">
        <f t="shared" si="27"/>
        <v>0</v>
      </c>
      <c r="W57" s="408">
        <f t="shared" si="27"/>
        <v>0</v>
      </c>
      <c r="X57" s="408">
        <f t="shared" si="27"/>
        <v>0</v>
      </c>
      <c r="Y57" s="408">
        <f t="shared" si="27"/>
        <v>0</v>
      </c>
      <c r="Z57" s="408">
        <f t="shared" si="27"/>
        <v>0</v>
      </c>
      <c r="AA57" s="408">
        <f t="shared" si="27"/>
        <v>0</v>
      </c>
      <c r="AB57" s="408">
        <f t="shared" si="27"/>
        <v>0</v>
      </c>
      <c r="AC57" s="408">
        <f t="shared" si="27"/>
        <v>0</v>
      </c>
      <c r="AD57" s="643"/>
      <c r="AE57" s="644"/>
      <c r="AF57" s="654" cm="1">
        <f t="array" ref="AF57">$E57*IFERROR(INDEX($E$11:$E$23,MATCH(MATCH(AF$8,$AF$8:$CA$8,0)-MATCH($D57,$D$33:$D$80,0),$D$11:$D$23,0),0),0)</f>
        <v>0</v>
      </c>
      <c r="AG57" s="654" cm="1">
        <f t="array" ref="AG57">$E57*IFERROR(INDEX($E$11:$E$23,MATCH(MATCH(AG$8,$AF$8:$CA$8,0)-MATCH($D57,$D$33:$D$80,0),$D$11:$D$23,0),0),0)</f>
        <v>0</v>
      </c>
      <c r="AH57" s="654" cm="1">
        <f t="array" ref="AH57">$E57*IFERROR(INDEX($E$11:$E$23,MATCH(MATCH(AH$8,$AF$8:$CA$8,0)-MATCH($D57,$D$33:$D$80,0),$D$11:$D$23,0),0),0)</f>
        <v>0</v>
      </c>
      <c r="AI57" s="654" cm="1">
        <f t="array" ref="AI57">$E57*IFERROR(INDEX($E$11:$E$23,MATCH(MATCH(AI$8,$AF$8:$CA$8,0)-MATCH($D57,$D$33:$D$80,0),$D$11:$D$23,0),0),0)</f>
        <v>0</v>
      </c>
      <c r="AJ57" s="654" cm="1">
        <f t="array" ref="AJ57">$E57*IFERROR(INDEX($E$11:$E$23,MATCH(MATCH(AJ$8,$AF$8:$CA$8,0)-MATCH($D57,$D$33:$D$80,0),$D$11:$D$23,0),0),0)</f>
        <v>0</v>
      </c>
      <c r="AK57" s="654" cm="1">
        <f t="array" ref="AK57">$E57*IFERROR(INDEX($E$11:$E$23,MATCH(MATCH(AK$8,$AF$8:$CA$8,0)-MATCH($D57,$D$33:$D$80,0),$D$11:$D$23,0),0),0)</f>
        <v>0</v>
      </c>
      <c r="AL57" s="654" cm="1">
        <f t="array" ref="AL57">$E57*IFERROR(INDEX($E$11:$E$23,MATCH(MATCH(AL$8,$AF$8:$CA$8,0)-MATCH($D57,$D$33:$D$80,0),$D$11:$D$23,0),0),0)</f>
        <v>0</v>
      </c>
      <c r="AM57" s="654" cm="1">
        <f t="array" ref="AM57">$E57*IFERROR(INDEX($E$11:$E$23,MATCH(MATCH(AM$8,$AF$8:$CA$8,0)-MATCH($D57,$D$33:$D$80,0),$D$11:$D$23,0),0),0)</f>
        <v>0</v>
      </c>
      <c r="AN57" s="654" cm="1">
        <f t="array" ref="AN57">$E57*IFERROR(INDEX($E$11:$E$23,MATCH(MATCH(AN$8,$AF$8:$CA$8,0)-MATCH($D57,$D$33:$D$80,0),$D$11:$D$23,0),0),0)</f>
        <v>0</v>
      </c>
      <c r="AO57" s="654" cm="1">
        <f t="array" ref="AO57">$E57*IFERROR(INDEX($E$11:$E$23,MATCH(MATCH(AO$8,$AF$8:$CA$8,0)-MATCH($D57,$D$33:$D$80,0),$D$11:$D$23,0),0),0)</f>
        <v>0</v>
      </c>
      <c r="AP57" s="654" cm="1">
        <f t="array" ref="AP57">$E57*IFERROR(INDEX($E$11:$E$23,MATCH(MATCH(AP$8,$AF$8:$CA$8,0)-MATCH($D57,$D$33:$D$80,0),$D$11:$D$23,0),0),0)</f>
        <v>0</v>
      </c>
      <c r="AQ57" s="654" cm="1">
        <f t="array" ref="AQ57">$E57*IFERROR(INDEX($E$11:$E$23,MATCH(MATCH(AQ$8,$AF$8:$CA$8,0)-MATCH($D57,$D$33:$D$80,0),$D$11:$D$23,0),0),0)</f>
        <v>0</v>
      </c>
      <c r="AR57" s="654" cm="1">
        <f t="array" ref="AR57">$E57*IFERROR(INDEX($E$11:$E$23,MATCH(MATCH(AR$8,$AF$8:$CA$8,0)-MATCH($D57,$D$33:$D$80,0),$D$11:$D$23,0),0),0)</f>
        <v>0</v>
      </c>
      <c r="AS57" s="654" cm="1">
        <f t="array" ref="AS57">$E57*IFERROR(INDEX($E$11:$E$23,MATCH(MATCH(AS$8,$AF$8:$CA$8,0)-MATCH($D57,$D$33:$D$80,0),$D$11:$D$23,0),0),0)</f>
        <v>0</v>
      </c>
      <c r="AT57" s="654" cm="1">
        <f t="array" ref="AT57">$E57*IFERROR(INDEX($E$11:$E$23,MATCH(MATCH(AT$8,$AF$8:$CA$8,0)-MATCH($D57,$D$33:$D$80,0),$D$11:$D$23,0),0),0)</f>
        <v>0</v>
      </c>
      <c r="AU57" s="654" cm="1">
        <f t="array" ref="AU57">$E57*IFERROR(INDEX($E$11:$E$23,MATCH(MATCH(AU$8,$AF$8:$CA$8,0)-MATCH($D57,$D$33:$D$80,0),$D$11:$D$23,0),0),0)</f>
        <v>0</v>
      </c>
      <c r="AV57" s="654" cm="1">
        <f t="array" ref="AV57">$E57*IFERROR(INDEX($E$11:$E$23,MATCH(MATCH(AV$8,$AF$8:$CA$8,0)-MATCH($D57,$D$33:$D$80,0),$D$11:$D$23,0),0),0)</f>
        <v>0</v>
      </c>
      <c r="AW57" s="654" cm="1">
        <f t="array" ref="AW57">$E57*IFERROR(INDEX($E$11:$E$23,MATCH(MATCH(AW$8,$AF$8:$CA$8,0)-MATCH($D57,$D$33:$D$80,0),$D$11:$D$23,0),0),0)</f>
        <v>0</v>
      </c>
      <c r="AX57" s="654" cm="1">
        <f t="array" ref="AX57">$E57*IFERROR(INDEX($E$11:$E$23,MATCH(MATCH(AX$8,$AF$8:$CA$8,0)-MATCH($D57,$D$33:$D$80,0),$D$11:$D$23,0),0),0)</f>
        <v>0</v>
      </c>
      <c r="AY57" s="654" cm="1">
        <f t="array" ref="AY57">$E57*IFERROR(INDEX($E$11:$E$23,MATCH(MATCH(AY$8,$AF$8:$CA$8,0)-MATCH($D57,$D$33:$D$80,0),$D$11:$D$23,0),0),0)</f>
        <v>0</v>
      </c>
      <c r="AZ57" s="654" cm="1">
        <f t="array" ref="AZ57">$E57*IFERROR(INDEX($E$11:$E$23,MATCH(MATCH(AZ$8,$AF$8:$CA$8,0)-MATCH($D57,$D$33:$D$80,0),$D$11:$D$23,0),0),0)</f>
        <v>0</v>
      </c>
      <c r="BA57" s="654" cm="1">
        <f t="array" ref="BA57">$E57*IFERROR(INDEX($E$11:$E$23,MATCH(MATCH(BA$8,$AF$8:$CA$8,0)-MATCH($D57,$D$33:$D$80,0),$D$11:$D$23,0),0),0)</f>
        <v>0</v>
      </c>
      <c r="BB57" s="654" cm="1">
        <f t="array" ref="BB57">$E57*IFERROR(INDEX($E$11:$E$23,MATCH(MATCH(BB$8,$AF$8:$CA$8,0)-MATCH($D57,$D$33:$D$80,0),$D$11:$D$23,0),0),0)</f>
        <v>0</v>
      </c>
      <c r="BC57" s="654" cm="1">
        <f t="array" ref="BC57">$E57*IFERROR(INDEX($E$11:$E$23,MATCH(MATCH(BC$8,$AF$8:$CA$8,0)-MATCH($D57,$D$33:$D$80,0),$D$11:$D$23,0),0),0)</f>
        <v>0</v>
      </c>
      <c r="BD57" s="654" cm="1">
        <f t="array" ref="BD57">$E57*IFERROR(INDEX($E$11:$E$23,MATCH(MATCH(BD$8,$AF$8:$CA$8,0)-MATCH($D57,$D$33:$D$80,0),$D$11:$D$23,0),0),0)</f>
        <v>0</v>
      </c>
      <c r="BE57" s="654" cm="1">
        <f t="array" ref="BE57">$E57*IFERROR(INDEX($E$11:$E$23,MATCH(MATCH(BE$8,$AF$8:$CA$8,0)-MATCH($D57,$D$33:$D$80,0),$D$11:$D$23,0),0),0)</f>
        <v>0</v>
      </c>
      <c r="BF57" s="654" cm="1">
        <f t="array" ref="BF57">$E57*IFERROR(INDEX($E$11:$E$23,MATCH(MATCH(BF$8,$AF$8:$CA$8,0)-MATCH($D57,$D$33:$D$80,0),$D$11:$D$23,0),0),0)</f>
        <v>0</v>
      </c>
      <c r="BG57" s="654" cm="1">
        <f t="array" ref="BG57">$E57*IFERROR(INDEX($E$11:$E$23,MATCH(MATCH(BG$8,$AF$8:$CA$8,0)-MATCH($D57,$D$33:$D$80,0),$D$11:$D$23,0),0),0)</f>
        <v>0</v>
      </c>
      <c r="BH57" s="654" cm="1">
        <f t="array" ref="BH57">$E57*IFERROR(INDEX($E$11:$E$23,MATCH(MATCH(BH$8,$AF$8:$CA$8,0)-MATCH($D57,$D$33:$D$80,0),$D$11:$D$23,0),0),0)</f>
        <v>0</v>
      </c>
      <c r="BI57" s="654" cm="1">
        <f t="array" ref="BI57">$E57*IFERROR(INDEX($E$11:$E$23,MATCH(MATCH(BI$8,$AF$8:$CA$8,0)-MATCH($D57,$D$33:$D$80,0),$D$11:$D$23,0),0),0)</f>
        <v>0</v>
      </c>
      <c r="BJ57" s="654" cm="1">
        <f t="array" ref="BJ57">$E57*IFERROR(INDEX($E$11:$E$23,MATCH(MATCH(BJ$8,$AF$8:$CA$8,0)-MATCH($D57,$D$33:$D$80,0),$D$11:$D$23,0),0),0)</f>
        <v>0</v>
      </c>
      <c r="BK57" s="654" cm="1">
        <f t="array" ref="BK57">$E57*IFERROR(INDEX($E$11:$E$23,MATCH(MATCH(BK$8,$AF$8:$CA$8,0)-MATCH($D57,$D$33:$D$80,0),$D$11:$D$23,0),0),0)</f>
        <v>0</v>
      </c>
      <c r="BL57" s="654" cm="1">
        <f t="array" ref="BL57">$E57*IFERROR(INDEX($E$11:$E$23,MATCH(MATCH(BL$8,$AF$8:$CA$8,0)-MATCH($D57,$D$33:$D$80,0),$D$11:$D$23,0),0),0)</f>
        <v>0</v>
      </c>
      <c r="BM57" s="654" cm="1">
        <f t="array" ref="BM57">$E57*IFERROR(INDEX($E$11:$E$23,MATCH(MATCH(BM$8,$AF$8:$CA$8,0)-MATCH($D57,$D$33:$D$80,0),$D$11:$D$23,0),0),0)</f>
        <v>0</v>
      </c>
      <c r="BN57" s="654" cm="1">
        <f t="array" ref="BN57">$E57*IFERROR(INDEX($E$11:$E$23,MATCH(MATCH(BN$8,$AF$8:$CA$8,0)-MATCH($D57,$D$33:$D$80,0),$D$11:$D$23,0),0),0)</f>
        <v>0</v>
      </c>
      <c r="BO57" s="654" cm="1">
        <f t="array" ref="BO57">$E57*IFERROR(INDEX($E$11:$E$23,MATCH(MATCH(BO$8,$AF$8:$CA$8,0)-MATCH($D57,$D$33:$D$80,0),$D$11:$D$23,0),0),0)</f>
        <v>0</v>
      </c>
      <c r="BP57" s="654" cm="1">
        <f t="array" ref="BP57">$E57*IFERROR(INDEX($E$11:$E$23,MATCH(MATCH(BP$8,$AF$8:$CA$8,0)-MATCH($D57,$D$33:$D$80,0),$D$11:$D$23,0),0),0)</f>
        <v>0</v>
      </c>
      <c r="BQ57" s="654" cm="1">
        <f t="array" ref="BQ57">$E57*IFERROR(INDEX($E$11:$E$23,MATCH(MATCH(BQ$8,$AF$8:$CA$8,0)-MATCH($D57,$D$33:$D$80,0),$D$11:$D$23,0),0),0)</f>
        <v>0</v>
      </c>
      <c r="BR57" s="654" cm="1">
        <f t="array" ref="BR57">$E57*IFERROR(INDEX($E$11:$E$23,MATCH(MATCH(BR$8,$AF$8:$CA$8,0)-MATCH($D57,$D$33:$D$80,0),$D$11:$D$23,0),0),0)</f>
        <v>0</v>
      </c>
      <c r="BS57" s="654" cm="1">
        <f t="array" ref="BS57">$E57*IFERROR(INDEX($E$11:$E$23,MATCH(MATCH(BS$8,$AF$8:$CA$8,0)-MATCH($D57,$D$33:$D$80,0),$D$11:$D$23,0),0),0)</f>
        <v>0</v>
      </c>
      <c r="BT57" s="654" cm="1">
        <f t="array" ref="BT57">$E57*IFERROR(INDEX($E$11:$E$23,MATCH(MATCH(BT$8,$AF$8:$CA$8,0)-MATCH($D57,$D$33:$D$80,0),$D$11:$D$23,0),0),0)</f>
        <v>0</v>
      </c>
      <c r="BU57" s="654" cm="1">
        <f t="array" ref="BU57">$E57*IFERROR(INDEX($E$11:$E$23,MATCH(MATCH(BU$8,$AF$8:$CA$8,0)-MATCH($D57,$D$33:$D$80,0),$D$11:$D$23,0),0),0)</f>
        <v>0</v>
      </c>
      <c r="BV57" s="654" cm="1">
        <f t="array" ref="BV57">$E57*IFERROR(INDEX($E$11:$E$23,MATCH(MATCH(BV$8,$AF$8:$CA$8,0)-MATCH($D57,$D$33:$D$80,0),$D$11:$D$23,0),0),0)</f>
        <v>0</v>
      </c>
      <c r="BW57" s="654" cm="1">
        <f t="array" ref="BW57">$E57*IFERROR(INDEX($E$11:$E$23,MATCH(MATCH(BW$8,$AF$8:$CA$8,0)-MATCH($D57,$D$33:$D$80,0),$D$11:$D$23,0),0),0)</f>
        <v>0</v>
      </c>
      <c r="BX57" s="654" cm="1">
        <f t="array" ref="BX57">$E57*IFERROR(INDEX($E$11:$E$23,MATCH(MATCH(BX$8,$AF$8:$CA$8,0)-MATCH($D57,$D$33:$D$80,0),$D$11:$D$23,0),0),0)</f>
        <v>0</v>
      </c>
      <c r="BY57" s="654" cm="1">
        <f t="array" ref="BY57">$E57*IFERROR(INDEX($E$11:$E$23,MATCH(MATCH(BY$8,$AF$8:$CA$8,0)-MATCH($D57,$D$33:$D$80,0),$D$11:$D$23,0),0),0)</f>
        <v>0</v>
      </c>
      <c r="BZ57" s="654" cm="1">
        <f t="array" ref="BZ57">$E57*IFERROR(INDEX($E$11:$E$23,MATCH(MATCH(BZ$8,$AF$8:$CA$8,0)-MATCH($D57,$D$33:$D$80,0),$D$11:$D$23,0),0),0)</f>
        <v>0</v>
      </c>
      <c r="CA57" s="654" cm="1">
        <f t="array" ref="CA57">$E57*IFERROR(INDEX($E$11:$E$23,MATCH(MATCH(CA$8,$AF$8:$CA$8,0)-MATCH($D57,$D$33:$D$80,0),$D$11:$D$23,0),0),0)</f>
        <v>0</v>
      </c>
    </row>
    <row r="58" spans="2:79" ht="21" hidden="1" customHeight="1" outlineLevel="2">
      <c r="B58" s="367"/>
      <c r="C58" s="370"/>
      <c r="D58" s="374">
        <f t="shared" si="24"/>
        <v>45716</v>
      </c>
      <c r="E58" s="653" cm="1">
        <f t="array" ref="E58">IF($D58&lt;=LatestMonthOfActuals,0,INDEX($AF$28:$CA$28,0,MATCH($D58,$AF$8:$CA$8,0)))</f>
        <v>0</v>
      </c>
      <c r="F58" s="643"/>
      <c r="G58" s="644"/>
      <c r="H58" s="408">
        <f t="shared" si="26"/>
        <v>0</v>
      </c>
      <c r="I58" s="408">
        <f t="shared" si="26"/>
        <v>0</v>
      </c>
      <c r="J58" s="408">
        <f t="shared" si="26"/>
        <v>0</v>
      </c>
      <c r="K58" s="408">
        <f t="shared" si="26"/>
        <v>0</v>
      </c>
      <c r="L58" s="643"/>
      <c r="M58" s="644"/>
      <c r="N58" s="408">
        <f t="shared" si="27"/>
        <v>0</v>
      </c>
      <c r="O58" s="408">
        <f t="shared" si="27"/>
        <v>0</v>
      </c>
      <c r="P58" s="408">
        <f t="shared" si="27"/>
        <v>0</v>
      </c>
      <c r="Q58" s="408">
        <f t="shared" si="27"/>
        <v>0</v>
      </c>
      <c r="R58" s="408">
        <f t="shared" si="27"/>
        <v>0</v>
      </c>
      <c r="S58" s="408">
        <f t="shared" si="27"/>
        <v>0</v>
      </c>
      <c r="T58" s="408">
        <f t="shared" si="27"/>
        <v>0</v>
      </c>
      <c r="U58" s="408">
        <f t="shared" si="27"/>
        <v>0</v>
      </c>
      <c r="V58" s="408">
        <f t="shared" si="27"/>
        <v>0</v>
      </c>
      <c r="W58" s="408">
        <f t="shared" si="27"/>
        <v>0</v>
      </c>
      <c r="X58" s="408">
        <f t="shared" si="27"/>
        <v>0</v>
      </c>
      <c r="Y58" s="408">
        <f t="shared" si="27"/>
        <v>0</v>
      </c>
      <c r="Z58" s="408">
        <f t="shared" si="27"/>
        <v>0</v>
      </c>
      <c r="AA58" s="408">
        <f t="shared" si="27"/>
        <v>0</v>
      </c>
      <c r="AB58" s="408">
        <f t="shared" si="27"/>
        <v>0</v>
      </c>
      <c r="AC58" s="408">
        <f t="shared" si="27"/>
        <v>0</v>
      </c>
      <c r="AD58" s="643"/>
      <c r="AE58" s="644"/>
      <c r="AF58" s="654" cm="1">
        <f t="array" ref="AF58">$E58*IFERROR(INDEX($E$11:$E$23,MATCH(MATCH(AF$8,$AF$8:$CA$8,0)-MATCH($D58,$D$33:$D$80,0),$D$11:$D$23,0),0),0)</f>
        <v>0</v>
      </c>
      <c r="AG58" s="654" cm="1">
        <f t="array" ref="AG58">$E58*IFERROR(INDEX($E$11:$E$23,MATCH(MATCH(AG$8,$AF$8:$CA$8,0)-MATCH($D58,$D$33:$D$80,0),$D$11:$D$23,0),0),0)</f>
        <v>0</v>
      </c>
      <c r="AH58" s="654" cm="1">
        <f t="array" ref="AH58">$E58*IFERROR(INDEX($E$11:$E$23,MATCH(MATCH(AH$8,$AF$8:$CA$8,0)-MATCH($D58,$D$33:$D$80,0),$D$11:$D$23,0),0),0)</f>
        <v>0</v>
      </c>
      <c r="AI58" s="654" cm="1">
        <f t="array" ref="AI58">$E58*IFERROR(INDEX($E$11:$E$23,MATCH(MATCH(AI$8,$AF$8:$CA$8,0)-MATCH($D58,$D$33:$D$80,0),$D$11:$D$23,0),0),0)</f>
        <v>0</v>
      </c>
      <c r="AJ58" s="654" cm="1">
        <f t="array" ref="AJ58">$E58*IFERROR(INDEX($E$11:$E$23,MATCH(MATCH(AJ$8,$AF$8:$CA$8,0)-MATCH($D58,$D$33:$D$80,0),$D$11:$D$23,0),0),0)</f>
        <v>0</v>
      </c>
      <c r="AK58" s="654" cm="1">
        <f t="array" ref="AK58">$E58*IFERROR(INDEX($E$11:$E$23,MATCH(MATCH(AK$8,$AF$8:$CA$8,0)-MATCH($D58,$D$33:$D$80,0),$D$11:$D$23,0),0),0)</f>
        <v>0</v>
      </c>
      <c r="AL58" s="654" cm="1">
        <f t="array" ref="AL58">$E58*IFERROR(INDEX($E$11:$E$23,MATCH(MATCH(AL$8,$AF$8:$CA$8,0)-MATCH($D58,$D$33:$D$80,0),$D$11:$D$23,0),0),0)</f>
        <v>0</v>
      </c>
      <c r="AM58" s="654" cm="1">
        <f t="array" ref="AM58">$E58*IFERROR(INDEX($E$11:$E$23,MATCH(MATCH(AM$8,$AF$8:$CA$8,0)-MATCH($D58,$D$33:$D$80,0),$D$11:$D$23,0),0),0)</f>
        <v>0</v>
      </c>
      <c r="AN58" s="654" cm="1">
        <f t="array" ref="AN58">$E58*IFERROR(INDEX($E$11:$E$23,MATCH(MATCH(AN$8,$AF$8:$CA$8,0)-MATCH($D58,$D$33:$D$80,0),$D$11:$D$23,0),0),0)</f>
        <v>0</v>
      </c>
      <c r="AO58" s="654" cm="1">
        <f t="array" ref="AO58">$E58*IFERROR(INDEX($E$11:$E$23,MATCH(MATCH(AO$8,$AF$8:$CA$8,0)-MATCH($D58,$D$33:$D$80,0),$D$11:$D$23,0),0),0)</f>
        <v>0</v>
      </c>
      <c r="AP58" s="654" cm="1">
        <f t="array" ref="AP58">$E58*IFERROR(INDEX($E$11:$E$23,MATCH(MATCH(AP$8,$AF$8:$CA$8,0)-MATCH($D58,$D$33:$D$80,0),$D$11:$D$23,0),0),0)</f>
        <v>0</v>
      </c>
      <c r="AQ58" s="654" cm="1">
        <f t="array" ref="AQ58">$E58*IFERROR(INDEX($E$11:$E$23,MATCH(MATCH(AQ$8,$AF$8:$CA$8,0)-MATCH($D58,$D$33:$D$80,0),$D$11:$D$23,0),0),0)</f>
        <v>0</v>
      </c>
      <c r="AR58" s="654" cm="1">
        <f t="array" ref="AR58">$E58*IFERROR(INDEX($E$11:$E$23,MATCH(MATCH(AR$8,$AF$8:$CA$8,0)-MATCH($D58,$D$33:$D$80,0),$D$11:$D$23,0),0),0)</f>
        <v>0</v>
      </c>
      <c r="AS58" s="654" cm="1">
        <f t="array" ref="AS58">$E58*IFERROR(INDEX($E$11:$E$23,MATCH(MATCH(AS$8,$AF$8:$CA$8,0)-MATCH($D58,$D$33:$D$80,0),$D$11:$D$23,0),0),0)</f>
        <v>0</v>
      </c>
      <c r="AT58" s="654" cm="1">
        <f t="array" ref="AT58">$E58*IFERROR(INDEX($E$11:$E$23,MATCH(MATCH(AT$8,$AF$8:$CA$8,0)-MATCH($D58,$D$33:$D$80,0),$D$11:$D$23,0),0),0)</f>
        <v>0</v>
      </c>
      <c r="AU58" s="654" cm="1">
        <f t="array" ref="AU58">$E58*IFERROR(INDEX($E$11:$E$23,MATCH(MATCH(AU$8,$AF$8:$CA$8,0)-MATCH($D58,$D$33:$D$80,0),$D$11:$D$23,0),0),0)</f>
        <v>0</v>
      </c>
      <c r="AV58" s="654" cm="1">
        <f t="array" ref="AV58">$E58*IFERROR(INDEX($E$11:$E$23,MATCH(MATCH(AV$8,$AF$8:$CA$8,0)-MATCH($D58,$D$33:$D$80,0),$D$11:$D$23,0),0),0)</f>
        <v>0</v>
      </c>
      <c r="AW58" s="654" cm="1">
        <f t="array" ref="AW58">$E58*IFERROR(INDEX($E$11:$E$23,MATCH(MATCH(AW$8,$AF$8:$CA$8,0)-MATCH($D58,$D$33:$D$80,0),$D$11:$D$23,0),0),0)</f>
        <v>0</v>
      </c>
      <c r="AX58" s="654" cm="1">
        <f t="array" ref="AX58">$E58*IFERROR(INDEX($E$11:$E$23,MATCH(MATCH(AX$8,$AF$8:$CA$8,0)-MATCH($D58,$D$33:$D$80,0),$D$11:$D$23,0),0),0)</f>
        <v>0</v>
      </c>
      <c r="AY58" s="654" cm="1">
        <f t="array" ref="AY58">$E58*IFERROR(INDEX($E$11:$E$23,MATCH(MATCH(AY$8,$AF$8:$CA$8,0)-MATCH($D58,$D$33:$D$80,0),$D$11:$D$23,0),0),0)</f>
        <v>0</v>
      </c>
      <c r="AZ58" s="654" cm="1">
        <f t="array" ref="AZ58">$E58*IFERROR(INDEX($E$11:$E$23,MATCH(MATCH(AZ$8,$AF$8:$CA$8,0)-MATCH($D58,$D$33:$D$80,0),$D$11:$D$23,0),0),0)</f>
        <v>0</v>
      </c>
      <c r="BA58" s="654" cm="1">
        <f t="array" ref="BA58">$E58*IFERROR(INDEX($E$11:$E$23,MATCH(MATCH(BA$8,$AF$8:$CA$8,0)-MATCH($D58,$D$33:$D$80,0),$D$11:$D$23,0),0),0)</f>
        <v>0</v>
      </c>
      <c r="BB58" s="654" cm="1">
        <f t="array" ref="BB58">$E58*IFERROR(INDEX($E$11:$E$23,MATCH(MATCH(BB$8,$AF$8:$CA$8,0)-MATCH($D58,$D$33:$D$80,0),$D$11:$D$23,0),0),0)</f>
        <v>0</v>
      </c>
      <c r="BC58" s="654" cm="1">
        <f t="array" ref="BC58">$E58*IFERROR(INDEX($E$11:$E$23,MATCH(MATCH(BC$8,$AF$8:$CA$8,0)-MATCH($D58,$D$33:$D$80,0),$D$11:$D$23,0),0),0)</f>
        <v>0</v>
      </c>
      <c r="BD58" s="654" cm="1">
        <f t="array" ref="BD58">$E58*IFERROR(INDEX($E$11:$E$23,MATCH(MATCH(BD$8,$AF$8:$CA$8,0)-MATCH($D58,$D$33:$D$80,0),$D$11:$D$23,0),0),0)</f>
        <v>0</v>
      </c>
      <c r="BE58" s="654" cm="1">
        <f t="array" ref="BE58">$E58*IFERROR(INDEX($E$11:$E$23,MATCH(MATCH(BE$8,$AF$8:$CA$8,0)-MATCH($D58,$D$33:$D$80,0),$D$11:$D$23,0),0),0)</f>
        <v>0</v>
      </c>
      <c r="BF58" s="654" cm="1">
        <f t="array" ref="BF58">$E58*IFERROR(INDEX($E$11:$E$23,MATCH(MATCH(BF$8,$AF$8:$CA$8,0)-MATCH($D58,$D$33:$D$80,0),$D$11:$D$23,0),0),0)</f>
        <v>0</v>
      </c>
      <c r="BG58" s="654" cm="1">
        <f t="array" ref="BG58">$E58*IFERROR(INDEX($E$11:$E$23,MATCH(MATCH(BG$8,$AF$8:$CA$8,0)-MATCH($D58,$D$33:$D$80,0),$D$11:$D$23,0),0),0)</f>
        <v>0</v>
      </c>
      <c r="BH58" s="654" cm="1">
        <f t="array" ref="BH58">$E58*IFERROR(INDEX($E$11:$E$23,MATCH(MATCH(BH$8,$AF$8:$CA$8,0)-MATCH($D58,$D$33:$D$80,0),$D$11:$D$23,0),0),0)</f>
        <v>0</v>
      </c>
      <c r="BI58" s="654" cm="1">
        <f t="array" ref="BI58">$E58*IFERROR(INDEX($E$11:$E$23,MATCH(MATCH(BI$8,$AF$8:$CA$8,0)-MATCH($D58,$D$33:$D$80,0),$D$11:$D$23,0),0),0)</f>
        <v>0</v>
      </c>
      <c r="BJ58" s="654" cm="1">
        <f t="array" ref="BJ58">$E58*IFERROR(INDEX($E$11:$E$23,MATCH(MATCH(BJ$8,$AF$8:$CA$8,0)-MATCH($D58,$D$33:$D$80,0),$D$11:$D$23,0),0),0)</f>
        <v>0</v>
      </c>
      <c r="BK58" s="654" cm="1">
        <f t="array" ref="BK58">$E58*IFERROR(INDEX($E$11:$E$23,MATCH(MATCH(BK$8,$AF$8:$CA$8,0)-MATCH($D58,$D$33:$D$80,0),$D$11:$D$23,0),0),0)</f>
        <v>0</v>
      </c>
      <c r="BL58" s="654" cm="1">
        <f t="array" ref="BL58">$E58*IFERROR(INDEX($E$11:$E$23,MATCH(MATCH(BL$8,$AF$8:$CA$8,0)-MATCH($D58,$D$33:$D$80,0),$D$11:$D$23,0),0),0)</f>
        <v>0</v>
      </c>
      <c r="BM58" s="654" cm="1">
        <f t="array" ref="BM58">$E58*IFERROR(INDEX($E$11:$E$23,MATCH(MATCH(BM$8,$AF$8:$CA$8,0)-MATCH($D58,$D$33:$D$80,0),$D$11:$D$23,0),0),0)</f>
        <v>0</v>
      </c>
      <c r="BN58" s="654" cm="1">
        <f t="array" ref="BN58">$E58*IFERROR(INDEX($E$11:$E$23,MATCH(MATCH(BN$8,$AF$8:$CA$8,0)-MATCH($D58,$D$33:$D$80,0),$D$11:$D$23,0),0),0)</f>
        <v>0</v>
      </c>
      <c r="BO58" s="654" cm="1">
        <f t="array" ref="BO58">$E58*IFERROR(INDEX($E$11:$E$23,MATCH(MATCH(BO$8,$AF$8:$CA$8,0)-MATCH($D58,$D$33:$D$80,0),$D$11:$D$23,0),0),0)</f>
        <v>0</v>
      </c>
      <c r="BP58" s="654" cm="1">
        <f t="array" ref="BP58">$E58*IFERROR(INDEX($E$11:$E$23,MATCH(MATCH(BP$8,$AF$8:$CA$8,0)-MATCH($D58,$D$33:$D$80,0),$D$11:$D$23,0),0),0)</f>
        <v>0</v>
      </c>
      <c r="BQ58" s="654" cm="1">
        <f t="array" ref="BQ58">$E58*IFERROR(INDEX($E$11:$E$23,MATCH(MATCH(BQ$8,$AF$8:$CA$8,0)-MATCH($D58,$D$33:$D$80,0),$D$11:$D$23,0),0),0)</f>
        <v>0</v>
      </c>
      <c r="BR58" s="654" cm="1">
        <f t="array" ref="BR58">$E58*IFERROR(INDEX($E$11:$E$23,MATCH(MATCH(BR$8,$AF$8:$CA$8,0)-MATCH($D58,$D$33:$D$80,0),$D$11:$D$23,0),0),0)</f>
        <v>0</v>
      </c>
      <c r="BS58" s="654" cm="1">
        <f t="array" ref="BS58">$E58*IFERROR(INDEX($E$11:$E$23,MATCH(MATCH(BS$8,$AF$8:$CA$8,0)-MATCH($D58,$D$33:$D$80,0),$D$11:$D$23,0),0),0)</f>
        <v>0</v>
      </c>
      <c r="BT58" s="654" cm="1">
        <f t="array" ref="BT58">$E58*IFERROR(INDEX($E$11:$E$23,MATCH(MATCH(BT$8,$AF$8:$CA$8,0)-MATCH($D58,$D$33:$D$80,0),$D$11:$D$23,0),0),0)</f>
        <v>0</v>
      </c>
      <c r="BU58" s="654" cm="1">
        <f t="array" ref="BU58">$E58*IFERROR(INDEX($E$11:$E$23,MATCH(MATCH(BU$8,$AF$8:$CA$8,0)-MATCH($D58,$D$33:$D$80,0),$D$11:$D$23,0),0),0)</f>
        <v>0</v>
      </c>
      <c r="BV58" s="654" cm="1">
        <f t="array" ref="BV58">$E58*IFERROR(INDEX($E$11:$E$23,MATCH(MATCH(BV$8,$AF$8:$CA$8,0)-MATCH($D58,$D$33:$D$80,0),$D$11:$D$23,0),0),0)</f>
        <v>0</v>
      </c>
      <c r="BW58" s="654" cm="1">
        <f t="array" ref="BW58">$E58*IFERROR(INDEX($E$11:$E$23,MATCH(MATCH(BW$8,$AF$8:$CA$8,0)-MATCH($D58,$D$33:$D$80,0),$D$11:$D$23,0),0),0)</f>
        <v>0</v>
      </c>
      <c r="BX58" s="654" cm="1">
        <f t="array" ref="BX58">$E58*IFERROR(INDEX($E$11:$E$23,MATCH(MATCH(BX$8,$AF$8:$CA$8,0)-MATCH($D58,$D$33:$D$80,0),$D$11:$D$23,0),0),0)</f>
        <v>0</v>
      </c>
      <c r="BY58" s="654" cm="1">
        <f t="array" ref="BY58">$E58*IFERROR(INDEX($E$11:$E$23,MATCH(MATCH(BY$8,$AF$8:$CA$8,0)-MATCH($D58,$D$33:$D$80,0),$D$11:$D$23,0),0),0)</f>
        <v>0</v>
      </c>
      <c r="BZ58" s="654" cm="1">
        <f t="array" ref="BZ58">$E58*IFERROR(INDEX($E$11:$E$23,MATCH(MATCH(BZ$8,$AF$8:$CA$8,0)-MATCH($D58,$D$33:$D$80,0),$D$11:$D$23,0),0),0)</f>
        <v>0</v>
      </c>
      <c r="CA58" s="654" cm="1">
        <f t="array" ref="CA58">$E58*IFERROR(INDEX($E$11:$E$23,MATCH(MATCH(CA$8,$AF$8:$CA$8,0)-MATCH($D58,$D$33:$D$80,0),$D$11:$D$23,0),0),0)</f>
        <v>0</v>
      </c>
    </row>
    <row r="59" spans="2:79" ht="21" hidden="1" customHeight="1" outlineLevel="2">
      <c r="B59" s="367"/>
      <c r="C59" s="370"/>
      <c r="D59" s="374">
        <f t="shared" si="24"/>
        <v>45747</v>
      </c>
      <c r="E59" s="653" cm="1">
        <f t="array" ref="E59">IF($D59&lt;=LatestMonthOfActuals,0,INDEX($AF$28:$CA$28,0,MATCH($D59,$AF$8:$CA$8,0)))</f>
        <v>0</v>
      </c>
      <c r="F59" s="643"/>
      <c r="G59" s="644"/>
      <c r="H59" s="408">
        <f t="shared" si="26"/>
        <v>0</v>
      </c>
      <c r="I59" s="408">
        <f t="shared" si="26"/>
        <v>0</v>
      </c>
      <c r="J59" s="408">
        <f t="shared" si="26"/>
        <v>0</v>
      </c>
      <c r="K59" s="408">
        <f t="shared" si="26"/>
        <v>0</v>
      </c>
      <c r="L59" s="643"/>
      <c r="M59" s="644"/>
      <c r="N59" s="408">
        <f t="shared" si="27"/>
        <v>0</v>
      </c>
      <c r="O59" s="408">
        <f t="shared" si="27"/>
        <v>0</v>
      </c>
      <c r="P59" s="408">
        <f t="shared" si="27"/>
        <v>0</v>
      </c>
      <c r="Q59" s="408">
        <f t="shared" si="27"/>
        <v>0</v>
      </c>
      <c r="R59" s="408">
        <f t="shared" si="27"/>
        <v>0</v>
      </c>
      <c r="S59" s="408">
        <f t="shared" si="27"/>
        <v>0</v>
      </c>
      <c r="T59" s="408">
        <f t="shared" si="27"/>
        <v>0</v>
      </c>
      <c r="U59" s="408">
        <f t="shared" si="27"/>
        <v>0</v>
      </c>
      <c r="V59" s="408">
        <f t="shared" si="27"/>
        <v>0</v>
      </c>
      <c r="W59" s="408">
        <f t="shared" si="27"/>
        <v>0</v>
      </c>
      <c r="X59" s="408">
        <f t="shared" si="27"/>
        <v>0</v>
      </c>
      <c r="Y59" s="408">
        <f t="shared" si="27"/>
        <v>0</v>
      </c>
      <c r="Z59" s="408">
        <f t="shared" si="27"/>
        <v>0</v>
      </c>
      <c r="AA59" s="408">
        <f t="shared" si="27"/>
        <v>0</v>
      </c>
      <c r="AB59" s="408">
        <f t="shared" si="27"/>
        <v>0</v>
      </c>
      <c r="AC59" s="408">
        <f t="shared" si="27"/>
        <v>0</v>
      </c>
      <c r="AD59" s="643"/>
      <c r="AE59" s="644"/>
      <c r="AF59" s="654" cm="1">
        <f t="array" ref="AF59">$E59*IFERROR(INDEX($E$11:$E$23,MATCH(MATCH(AF$8,$AF$8:$CA$8,0)-MATCH($D59,$D$33:$D$80,0),$D$11:$D$23,0),0),0)</f>
        <v>0</v>
      </c>
      <c r="AG59" s="654" cm="1">
        <f t="array" ref="AG59">$E59*IFERROR(INDEX($E$11:$E$23,MATCH(MATCH(AG$8,$AF$8:$CA$8,0)-MATCH($D59,$D$33:$D$80,0),$D$11:$D$23,0),0),0)</f>
        <v>0</v>
      </c>
      <c r="AH59" s="654" cm="1">
        <f t="array" ref="AH59">$E59*IFERROR(INDEX($E$11:$E$23,MATCH(MATCH(AH$8,$AF$8:$CA$8,0)-MATCH($D59,$D$33:$D$80,0),$D$11:$D$23,0),0),0)</f>
        <v>0</v>
      </c>
      <c r="AI59" s="654" cm="1">
        <f t="array" ref="AI59">$E59*IFERROR(INDEX($E$11:$E$23,MATCH(MATCH(AI$8,$AF$8:$CA$8,0)-MATCH($D59,$D$33:$D$80,0),$D$11:$D$23,0),0),0)</f>
        <v>0</v>
      </c>
      <c r="AJ59" s="654" cm="1">
        <f t="array" ref="AJ59">$E59*IFERROR(INDEX($E$11:$E$23,MATCH(MATCH(AJ$8,$AF$8:$CA$8,0)-MATCH($D59,$D$33:$D$80,0),$D$11:$D$23,0),0),0)</f>
        <v>0</v>
      </c>
      <c r="AK59" s="654" cm="1">
        <f t="array" ref="AK59">$E59*IFERROR(INDEX($E$11:$E$23,MATCH(MATCH(AK$8,$AF$8:$CA$8,0)-MATCH($D59,$D$33:$D$80,0),$D$11:$D$23,0),0),0)</f>
        <v>0</v>
      </c>
      <c r="AL59" s="654" cm="1">
        <f t="array" ref="AL59">$E59*IFERROR(INDEX($E$11:$E$23,MATCH(MATCH(AL$8,$AF$8:$CA$8,0)-MATCH($D59,$D$33:$D$80,0),$D$11:$D$23,0),0),0)</f>
        <v>0</v>
      </c>
      <c r="AM59" s="654" cm="1">
        <f t="array" ref="AM59">$E59*IFERROR(INDEX($E$11:$E$23,MATCH(MATCH(AM$8,$AF$8:$CA$8,0)-MATCH($D59,$D$33:$D$80,0),$D$11:$D$23,0),0),0)</f>
        <v>0</v>
      </c>
      <c r="AN59" s="654" cm="1">
        <f t="array" ref="AN59">$E59*IFERROR(INDEX($E$11:$E$23,MATCH(MATCH(AN$8,$AF$8:$CA$8,0)-MATCH($D59,$D$33:$D$80,0),$D$11:$D$23,0),0),0)</f>
        <v>0</v>
      </c>
      <c r="AO59" s="654" cm="1">
        <f t="array" ref="AO59">$E59*IFERROR(INDEX($E$11:$E$23,MATCH(MATCH(AO$8,$AF$8:$CA$8,0)-MATCH($D59,$D$33:$D$80,0),$D$11:$D$23,0),0),0)</f>
        <v>0</v>
      </c>
      <c r="AP59" s="654" cm="1">
        <f t="array" ref="AP59">$E59*IFERROR(INDEX($E$11:$E$23,MATCH(MATCH(AP$8,$AF$8:$CA$8,0)-MATCH($D59,$D$33:$D$80,0),$D$11:$D$23,0),0),0)</f>
        <v>0</v>
      </c>
      <c r="AQ59" s="654" cm="1">
        <f t="array" ref="AQ59">$E59*IFERROR(INDEX($E$11:$E$23,MATCH(MATCH(AQ$8,$AF$8:$CA$8,0)-MATCH($D59,$D$33:$D$80,0),$D$11:$D$23,0),0),0)</f>
        <v>0</v>
      </c>
      <c r="AR59" s="654" cm="1">
        <f t="array" ref="AR59">$E59*IFERROR(INDEX($E$11:$E$23,MATCH(MATCH(AR$8,$AF$8:$CA$8,0)-MATCH($D59,$D$33:$D$80,0),$D$11:$D$23,0),0),0)</f>
        <v>0</v>
      </c>
      <c r="AS59" s="654" cm="1">
        <f t="array" ref="AS59">$E59*IFERROR(INDEX($E$11:$E$23,MATCH(MATCH(AS$8,$AF$8:$CA$8,0)-MATCH($D59,$D$33:$D$80,0),$D$11:$D$23,0),0),0)</f>
        <v>0</v>
      </c>
      <c r="AT59" s="654" cm="1">
        <f t="array" ref="AT59">$E59*IFERROR(INDEX($E$11:$E$23,MATCH(MATCH(AT$8,$AF$8:$CA$8,0)-MATCH($D59,$D$33:$D$80,0),$D$11:$D$23,0),0),0)</f>
        <v>0</v>
      </c>
      <c r="AU59" s="654" cm="1">
        <f t="array" ref="AU59">$E59*IFERROR(INDEX($E$11:$E$23,MATCH(MATCH(AU$8,$AF$8:$CA$8,0)-MATCH($D59,$D$33:$D$80,0),$D$11:$D$23,0),0),0)</f>
        <v>0</v>
      </c>
      <c r="AV59" s="654" cm="1">
        <f t="array" ref="AV59">$E59*IFERROR(INDEX($E$11:$E$23,MATCH(MATCH(AV$8,$AF$8:$CA$8,0)-MATCH($D59,$D$33:$D$80,0),$D$11:$D$23,0),0),0)</f>
        <v>0</v>
      </c>
      <c r="AW59" s="654" cm="1">
        <f t="array" ref="AW59">$E59*IFERROR(INDEX($E$11:$E$23,MATCH(MATCH(AW$8,$AF$8:$CA$8,0)-MATCH($D59,$D$33:$D$80,0),$D$11:$D$23,0),0),0)</f>
        <v>0</v>
      </c>
      <c r="AX59" s="654" cm="1">
        <f t="array" ref="AX59">$E59*IFERROR(INDEX($E$11:$E$23,MATCH(MATCH(AX$8,$AF$8:$CA$8,0)-MATCH($D59,$D$33:$D$80,0),$D$11:$D$23,0),0),0)</f>
        <v>0</v>
      </c>
      <c r="AY59" s="654" cm="1">
        <f t="array" ref="AY59">$E59*IFERROR(INDEX($E$11:$E$23,MATCH(MATCH(AY$8,$AF$8:$CA$8,0)-MATCH($D59,$D$33:$D$80,0),$D$11:$D$23,0),0),0)</f>
        <v>0</v>
      </c>
      <c r="AZ59" s="654" cm="1">
        <f t="array" ref="AZ59">$E59*IFERROR(INDEX($E$11:$E$23,MATCH(MATCH(AZ$8,$AF$8:$CA$8,0)-MATCH($D59,$D$33:$D$80,0),$D$11:$D$23,0),0),0)</f>
        <v>0</v>
      </c>
      <c r="BA59" s="654" cm="1">
        <f t="array" ref="BA59">$E59*IFERROR(INDEX($E$11:$E$23,MATCH(MATCH(BA$8,$AF$8:$CA$8,0)-MATCH($D59,$D$33:$D$80,0),$D$11:$D$23,0),0),0)</f>
        <v>0</v>
      </c>
      <c r="BB59" s="654" cm="1">
        <f t="array" ref="BB59">$E59*IFERROR(INDEX($E$11:$E$23,MATCH(MATCH(BB$8,$AF$8:$CA$8,0)-MATCH($D59,$D$33:$D$80,0),$D$11:$D$23,0),0),0)</f>
        <v>0</v>
      </c>
      <c r="BC59" s="654" cm="1">
        <f t="array" ref="BC59">$E59*IFERROR(INDEX($E$11:$E$23,MATCH(MATCH(BC$8,$AF$8:$CA$8,0)-MATCH($D59,$D$33:$D$80,0),$D$11:$D$23,0),0),0)</f>
        <v>0</v>
      </c>
      <c r="BD59" s="654" cm="1">
        <f t="array" ref="BD59">$E59*IFERROR(INDEX($E$11:$E$23,MATCH(MATCH(BD$8,$AF$8:$CA$8,0)-MATCH($D59,$D$33:$D$80,0),$D$11:$D$23,0),0),0)</f>
        <v>0</v>
      </c>
      <c r="BE59" s="654" cm="1">
        <f t="array" ref="BE59">$E59*IFERROR(INDEX($E$11:$E$23,MATCH(MATCH(BE$8,$AF$8:$CA$8,0)-MATCH($D59,$D$33:$D$80,0),$D$11:$D$23,0),0),0)</f>
        <v>0</v>
      </c>
      <c r="BF59" s="654" cm="1">
        <f t="array" ref="BF59">$E59*IFERROR(INDEX($E$11:$E$23,MATCH(MATCH(BF$8,$AF$8:$CA$8,0)-MATCH($D59,$D$33:$D$80,0),$D$11:$D$23,0),0),0)</f>
        <v>0</v>
      </c>
      <c r="BG59" s="654" cm="1">
        <f t="array" ref="BG59">$E59*IFERROR(INDEX($E$11:$E$23,MATCH(MATCH(BG$8,$AF$8:$CA$8,0)-MATCH($D59,$D$33:$D$80,0),$D$11:$D$23,0),0),0)</f>
        <v>0</v>
      </c>
      <c r="BH59" s="654" cm="1">
        <f t="array" ref="BH59">$E59*IFERROR(INDEX($E$11:$E$23,MATCH(MATCH(BH$8,$AF$8:$CA$8,0)-MATCH($D59,$D$33:$D$80,0),$D$11:$D$23,0),0),0)</f>
        <v>0</v>
      </c>
      <c r="BI59" s="654" cm="1">
        <f t="array" ref="BI59">$E59*IFERROR(INDEX($E$11:$E$23,MATCH(MATCH(BI$8,$AF$8:$CA$8,0)-MATCH($D59,$D$33:$D$80,0),$D$11:$D$23,0),0),0)</f>
        <v>0</v>
      </c>
      <c r="BJ59" s="654" cm="1">
        <f t="array" ref="BJ59">$E59*IFERROR(INDEX($E$11:$E$23,MATCH(MATCH(BJ$8,$AF$8:$CA$8,0)-MATCH($D59,$D$33:$D$80,0),$D$11:$D$23,0),0),0)</f>
        <v>0</v>
      </c>
      <c r="BK59" s="654" cm="1">
        <f t="array" ref="BK59">$E59*IFERROR(INDEX($E$11:$E$23,MATCH(MATCH(BK$8,$AF$8:$CA$8,0)-MATCH($D59,$D$33:$D$80,0),$D$11:$D$23,0),0),0)</f>
        <v>0</v>
      </c>
      <c r="BL59" s="654" cm="1">
        <f t="array" ref="BL59">$E59*IFERROR(INDEX($E$11:$E$23,MATCH(MATCH(BL$8,$AF$8:$CA$8,0)-MATCH($D59,$D$33:$D$80,0),$D$11:$D$23,0),0),0)</f>
        <v>0</v>
      </c>
      <c r="BM59" s="654" cm="1">
        <f t="array" ref="BM59">$E59*IFERROR(INDEX($E$11:$E$23,MATCH(MATCH(BM$8,$AF$8:$CA$8,0)-MATCH($D59,$D$33:$D$80,0),$D$11:$D$23,0),0),0)</f>
        <v>0</v>
      </c>
      <c r="BN59" s="654" cm="1">
        <f t="array" ref="BN59">$E59*IFERROR(INDEX($E$11:$E$23,MATCH(MATCH(BN$8,$AF$8:$CA$8,0)-MATCH($D59,$D$33:$D$80,0),$D$11:$D$23,0),0),0)</f>
        <v>0</v>
      </c>
      <c r="BO59" s="654" cm="1">
        <f t="array" ref="BO59">$E59*IFERROR(INDEX($E$11:$E$23,MATCH(MATCH(BO$8,$AF$8:$CA$8,0)-MATCH($D59,$D$33:$D$80,0),$D$11:$D$23,0),0),0)</f>
        <v>0</v>
      </c>
      <c r="BP59" s="654" cm="1">
        <f t="array" ref="BP59">$E59*IFERROR(INDEX($E$11:$E$23,MATCH(MATCH(BP$8,$AF$8:$CA$8,0)-MATCH($D59,$D$33:$D$80,0),$D$11:$D$23,0),0),0)</f>
        <v>0</v>
      </c>
      <c r="BQ59" s="654" cm="1">
        <f t="array" ref="BQ59">$E59*IFERROR(INDEX($E$11:$E$23,MATCH(MATCH(BQ$8,$AF$8:$CA$8,0)-MATCH($D59,$D$33:$D$80,0),$D$11:$D$23,0),0),0)</f>
        <v>0</v>
      </c>
      <c r="BR59" s="654" cm="1">
        <f t="array" ref="BR59">$E59*IFERROR(INDEX($E$11:$E$23,MATCH(MATCH(BR$8,$AF$8:$CA$8,0)-MATCH($D59,$D$33:$D$80,0),$D$11:$D$23,0),0),0)</f>
        <v>0</v>
      </c>
      <c r="BS59" s="654" cm="1">
        <f t="array" ref="BS59">$E59*IFERROR(INDEX($E$11:$E$23,MATCH(MATCH(BS$8,$AF$8:$CA$8,0)-MATCH($D59,$D$33:$D$80,0),$D$11:$D$23,0),0),0)</f>
        <v>0</v>
      </c>
      <c r="BT59" s="654" cm="1">
        <f t="array" ref="BT59">$E59*IFERROR(INDEX($E$11:$E$23,MATCH(MATCH(BT$8,$AF$8:$CA$8,0)-MATCH($D59,$D$33:$D$80,0),$D$11:$D$23,0),0),0)</f>
        <v>0</v>
      </c>
      <c r="BU59" s="654" cm="1">
        <f t="array" ref="BU59">$E59*IFERROR(INDEX($E$11:$E$23,MATCH(MATCH(BU$8,$AF$8:$CA$8,0)-MATCH($D59,$D$33:$D$80,0),$D$11:$D$23,0),0),0)</f>
        <v>0</v>
      </c>
      <c r="BV59" s="654" cm="1">
        <f t="array" ref="BV59">$E59*IFERROR(INDEX($E$11:$E$23,MATCH(MATCH(BV$8,$AF$8:$CA$8,0)-MATCH($D59,$D$33:$D$80,0),$D$11:$D$23,0),0),0)</f>
        <v>0</v>
      </c>
      <c r="BW59" s="654" cm="1">
        <f t="array" ref="BW59">$E59*IFERROR(INDEX($E$11:$E$23,MATCH(MATCH(BW$8,$AF$8:$CA$8,0)-MATCH($D59,$D$33:$D$80,0),$D$11:$D$23,0),0),0)</f>
        <v>0</v>
      </c>
      <c r="BX59" s="654" cm="1">
        <f t="array" ref="BX59">$E59*IFERROR(INDEX($E$11:$E$23,MATCH(MATCH(BX$8,$AF$8:$CA$8,0)-MATCH($D59,$D$33:$D$80,0),$D$11:$D$23,0),0),0)</f>
        <v>0</v>
      </c>
      <c r="BY59" s="654" cm="1">
        <f t="array" ref="BY59">$E59*IFERROR(INDEX($E$11:$E$23,MATCH(MATCH(BY$8,$AF$8:$CA$8,0)-MATCH($D59,$D$33:$D$80,0),$D$11:$D$23,0),0),0)</f>
        <v>0</v>
      </c>
      <c r="BZ59" s="654" cm="1">
        <f t="array" ref="BZ59">$E59*IFERROR(INDEX($E$11:$E$23,MATCH(MATCH(BZ$8,$AF$8:$CA$8,0)-MATCH($D59,$D$33:$D$80,0),$D$11:$D$23,0),0),0)</f>
        <v>0</v>
      </c>
      <c r="CA59" s="654" cm="1">
        <f t="array" ref="CA59">$E59*IFERROR(INDEX($E$11:$E$23,MATCH(MATCH(CA$8,$AF$8:$CA$8,0)-MATCH($D59,$D$33:$D$80,0),$D$11:$D$23,0),0),0)</f>
        <v>0</v>
      </c>
    </row>
    <row r="60" spans="2:79" ht="21" hidden="1" customHeight="1" outlineLevel="2">
      <c r="B60" s="367"/>
      <c r="C60" s="370"/>
      <c r="D60" s="374">
        <f t="shared" si="24"/>
        <v>45777</v>
      </c>
      <c r="E60" s="653" cm="1">
        <f t="array" ref="E60">IF($D60&lt;=LatestMonthOfActuals,0,INDEX($AF$28:$CA$28,0,MATCH($D60,$AF$8:$CA$8,0)))</f>
        <v>0</v>
      </c>
      <c r="F60" s="643"/>
      <c r="G60" s="644"/>
      <c r="H60" s="408">
        <f t="shared" si="26"/>
        <v>0</v>
      </c>
      <c r="I60" s="408">
        <f t="shared" si="26"/>
        <v>0</v>
      </c>
      <c r="J60" s="408">
        <f t="shared" si="26"/>
        <v>0</v>
      </c>
      <c r="K60" s="408">
        <f t="shared" si="26"/>
        <v>0</v>
      </c>
      <c r="L60" s="643"/>
      <c r="M60" s="644"/>
      <c r="N60" s="408">
        <f t="shared" si="27"/>
        <v>0</v>
      </c>
      <c r="O60" s="408">
        <f t="shared" si="27"/>
        <v>0</v>
      </c>
      <c r="P60" s="408">
        <f t="shared" si="27"/>
        <v>0</v>
      </c>
      <c r="Q60" s="408">
        <f t="shared" si="27"/>
        <v>0</v>
      </c>
      <c r="R60" s="408">
        <f t="shared" si="27"/>
        <v>0</v>
      </c>
      <c r="S60" s="408">
        <f t="shared" si="27"/>
        <v>0</v>
      </c>
      <c r="T60" s="408">
        <f t="shared" si="27"/>
        <v>0</v>
      </c>
      <c r="U60" s="408">
        <f t="shared" si="27"/>
        <v>0</v>
      </c>
      <c r="V60" s="408">
        <f t="shared" si="27"/>
        <v>0</v>
      </c>
      <c r="W60" s="408">
        <f t="shared" si="27"/>
        <v>0</v>
      </c>
      <c r="X60" s="408">
        <f t="shared" si="27"/>
        <v>0</v>
      </c>
      <c r="Y60" s="408">
        <f t="shared" si="27"/>
        <v>0</v>
      </c>
      <c r="Z60" s="408">
        <f t="shared" si="27"/>
        <v>0</v>
      </c>
      <c r="AA60" s="408">
        <f t="shared" si="27"/>
        <v>0</v>
      </c>
      <c r="AB60" s="408">
        <f t="shared" si="27"/>
        <v>0</v>
      </c>
      <c r="AC60" s="408">
        <f t="shared" si="27"/>
        <v>0</v>
      </c>
      <c r="AD60" s="643"/>
      <c r="AE60" s="644"/>
      <c r="AF60" s="654" cm="1">
        <f t="array" ref="AF60">$E60*IFERROR(INDEX($E$11:$E$23,MATCH(MATCH(AF$8,$AF$8:$CA$8,0)-MATCH($D60,$D$33:$D$80,0),$D$11:$D$23,0),0),0)</f>
        <v>0</v>
      </c>
      <c r="AG60" s="654" cm="1">
        <f t="array" ref="AG60">$E60*IFERROR(INDEX($E$11:$E$23,MATCH(MATCH(AG$8,$AF$8:$CA$8,0)-MATCH($D60,$D$33:$D$80,0),$D$11:$D$23,0),0),0)</f>
        <v>0</v>
      </c>
      <c r="AH60" s="654" cm="1">
        <f t="array" ref="AH60">$E60*IFERROR(INDEX($E$11:$E$23,MATCH(MATCH(AH$8,$AF$8:$CA$8,0)-MATCH($D60,$D$33:$D$80,0),$D$11:$D$23,0),0),0)</f>
        <v>0</v>
      </c>
      <c r="AI60" s="654" cm="1">
        <f t="array" ref="AI60">$E60*IFERROR(INDEX($E$11:$E$23,MATCH(MATCH(AI$8,$AF$8:$CA$8,0)-MATCH($D60,$D$33:$D$80,0),$D$11:$D$23,0),0),0)</f>
        <v>0</v>
      </c>
      <c r="AJ60" s="654" cm="1">
        <f t="array" ref="AJ60">$E60*IFERROR(INDEX($E$11:$E$23,MATCH(MATCH(AJ$8,$AF$8:$CA$8,0)-MATCH($D60,$D$33:$D$80,0),$D$11:$D$23,0),0),0)</f>
        <v>0</v>
      </c>
      <c r="AK60" s="654" cm="1">
        <f t="array" ref="AK60">$E60*IFERROR(INDEX($E$11:$E$23,MATCH(MATCH(AK$8,$AF$8:$CA$8,0)-MATCH($D60,$D$33:$D$80,0),$D$11:$D$23,0),0),0)</f>
        <v>0</v>
      </c>
      <c r="AL60" s="654" cm="1">
        <f t="array" ref="AL60">$E60*IFERROR(INDEX($E$11:$E$23,MATCH(MATCH(AL$8,$AF$8:$CA$8,0)-MATCH($D60,$D$33:$D$80,0),$D$11:$D$23,0),0),0)</f>
        <v>0</v>
      </c>
      <c r="AM60" s="654" cm="1">
        <f t="array" ref="AM60">$E60*IFERROR(INDEX($E$11:$E$23,MATCH(MATCH(AM$8,$AF$8:$CA$8,0)-MATCH($D60,$D$33:$D$80,0),$D$11:$D$23,0),0),0)</f>
        <v>0</v>
      </c>
      <c r="AN60" s="654" cm="1">
        <f t="array" ref="AN60">$E60*IFERROR(INDEX($E$11:$E$23,MATCH(MATCH(AN$8,$AF$8:$CA$8,0)-MATCH($D60,$D$33:$D$80,0),$D$11:$D$23,0),0),0)</f>
        <v>0</v>
      </c>
      <c r="AO60" s="654" cm="1">
        <f t="array" ref="AO60">$E60*IFERROR(INDEX($E$11:$E$23,MATCH(MATCH(AO$8,$AF$8:$CA$8,0)-MATCH($D60,$D$33:$D$80,0),$D$11:$D$23,0),0),0)</f>
        <v>0</v>
      </c>
      <c r="AP60" s="654" cm="1">
        <f t="array" ref="AP60">$E60*IFERROR(INDEX($E$11:$E$23,MATCH(MATCH(AP$8,$AF$8:$CA$8,0)-MATCH($D60,$D$33:$D$80,0),$D$11:$D$23,0),0),0)</f>
        <v>0</v>
      </c>
      <c r="AQ60" s="654" cm="1">
        <f t="array" ref="AQ60">$E60*IFERROR(INDEX($E$11:$E$23,MATCH(MATCH(AQ$8,$AF$8:$CA$8,0)-MATCH($D60,$D$33:$D$80,0),$D$11:$D$23,0),0),0)</f>
        <v>0</v>
      </c>
      <c r="AR60" s="654" cm="1">
        <f t="array" ref="AR60">$E60*IFERROR(INDEX($E$11:$E$23,MATCH(MATCH(AR$8,$AF$8:$CA$8,0)-MATCH($D60,$D$33:$D$80,0),$D$11:$D$23,0),0),0)</f>
        <v>0</v>
      </c>
      <c r="AS60" s="654" cm="1">
        <f t="array" ref="AS60">$E60*IFERROR(INDEX($E$11:$E$23,MATCH(MATCH(AS$8,$AF$8:$CA$8,0)-MATCH($D60,$D$33:$D$80,0),$D$11:$D$23,0),0),0)</f>
        <v>0</v>
      </c>
      <c r="AT60" s="654" cm="1">
        <f t="array" ref="AT60">$E60*IFERROR(INDEX($E$11:$E$23,MATCH(MATCH(AT$8,$AF$8:$CA$8,0)-MATCH($D60,$D$33:$D$80,0),$D$11:$D$23,0),0),0)</f>
        <v>0</v>
      </c>
      <c r="AU60" s="654" cm="1">
        <f t="array" ref="AU60">$E60*IFERROR(INDEX($E$11:$E$23,MATCH(MATCH(AU$8,$AF$8:$CA$8,0)-MATCH($D60,$D$33:$D$80,0),$D$11:$D$23,0),0),0)</f>
        <v>0</v>
      </c>
      <c r="AV60" s="654" cm="1">
        <f t="array" ref="AV60">$E60*IFERROR(INDEX($E$11:$E$23,MATCH(MATCH(AV$8,$AF$8:$CA$8,0)-MATCH($D60,$D$33:$D$80,0),$D$11:$D$23,0),0),0)</f>
        <v>0</v>
      </c>
      <c r="AW60" s="654" cm="1">
        <f t="array" ref="AW60">$E60*IFERROR(INDEX($E$11:$E$23,MATCH(MATCH(AW$8,$AF$8:$CA$8,0)-MATCH($D60,$D$33:$D$80,0),$D$11:$D$23,0),0),0)</f>
        <v>0</v>
      </c>
      <c r="AX60" s="654" cm="1">
        <f t="array" ref="AX60">$E60*IFERROR(INDEX($E$11:$E$23,MATCH(MATCH(AX$8,$AF$8:$CA$8,0)-MATCH($D60,$D$33:$D$80,0),$D$11:$D$23,0),0),0)</f>
        <v>0</v>
      </c>
      <c r="AY60" s="654" cm="1">
        <f t="array" ref="AY60">$E60*IFERROR(INDEX($E$11:$E$23,MATCH(MATCH(AY$8,$AF$8:$CA$8,0)-MATCH($D60,$D$33:$D$80,0),$D$11:$D$23,0),0),0)</f>
        <v>0</v>
      </c>
      <c r="AZ60" s="654" cm="1">
        <f t="array" ref="AZ60">$E60*IFERROR(INDEX($E$11:$E$23,MATCH(MATCH(AZ$8,$AF$8:$CA$8,0)-MATCH($D60,$D$33:$D$80,0),$D$11:$D$23,0),0),0)</f>
        <v>0</v>
      </c>
      <c r="BA60" s="654" cm="1">
        <f t="array" ref="BA60">$E60*IFERROR(INDEX($E$11:$E$23,MATCH(MATCH(BA$8,$AF$8:$CA$8,0)-MATCH($D60,$D$33:$D$80,0),$D$11:$D$23,0),0),0)</f>
        <v>0</v>
      </c>
      <c r="BB60" s="654" cm="1">
        <f t="array" ref="BB60">$E60*IFERROR(INDEX($E$11:$E$23,MATCH(MATCH(BB$8,$AF$8:$CA$8,0)-MATCH($D60,$D$33:$D$80,0),$D$11:$D$23,0),0),0)</f>
        <v>0</v>
      </c>
      <c r="BC60" s="654" cm="1">
        <f t="array" ref="BC60">$E60*IFERROR(INDEX($E$11:$E$23,MATCH(MATCH(BC$8,$AF$8:$CA$8,0)-MATCH($D60,$D$33:$D$80,0),$D$11:$D$23,0),0),0)</f>
        <v>0</v>
      </c>
      <c r="BD60" s="654" cm="1">
        <f t="array" ref="BD60">$E60*IFERROR(INDEX($E$11:$E$23,MATCH(MATCH(BD$8,$AF$8:$CA$8,0)-MATCH($D60,$D$33:$D$80,0),$D$11:$D$23,0),0),0)</f>
        <v>0</v>
      </c>
      <c r="BE60" s="654" cm="1">
        <f t="array" ref="BE60">$E60*IFERROR(INDEX($E$11:$E$23,MATCH(MATCH(BE$8,$AF$8:$CA$8,0)-MATCH($D60,$D$33:$D$80,0),$D$11:$D$23,0),0),0)</f>
        <v>0</v>
      </c>
      <c r="BF60" s="654" cm="1">
        <f t="array" ref="BF60">$E60*IFERROR(INDEX($E$11:$E$23,MATCH(MATCH(BF$8,$AF$8:$CA$8,0)-MATCH($D60,$D$33:$D$80,0),$D$11:$D$23,0),0),0)</f>
        <v>0</v>
      </c>
      <c r="BG60" s="654" cm="1">
        <f t="array" ref="BG60">$E60*IFERROR(INDEX($E$11:$E$23,MATCH(MATCH(BG$8,$AF$8:$CA$8,0)-MATCH($D60,$D$33:$D$80,0),$D$11:$D$23,0),0),0)</f>
        <v>0</v>
      </c>
      <c r="BH60" s="654" cm="1">
        <f t="array" ref="BH60">$E60*IFERROR(INDEX($E$11:$E$23,MATCH(MATCH(BH$8,$AF$8:$CA$8,0)-MATCH($D60,$D$33:$D$80,0),$D$11:$D$23,0),0),0)</f>
        <v>0</v>
      </c>
      <c r="BI60" s="654" cm="1">
        <f t="array" ref="BI60">$E60*IFERROR(INDEX($E$11:$E$23,MATCH(MATCH(BI$8,$AF$8:$CA$8,0)-MATCH($D60,$D$33:$D$80,0),$D$11:$D$23,0),0),0)</f>
        <v>0</v>
      </c>
      <c r="BJ60" s="654" cm="1">
        <f t="array" ref="BJ60">$E60*IFERROR(INDEX($E$11:$E$23,MATCH(MATCH(BJ$8,$AF$8:$CA$8,0)-MATCH($D60,$D$33:$D$80,0),$D$11:$D$23,0),0),0)</f>
        <v>0</v>
      </c>
      <c r="BK60" s="654" cm="1">
        <f t="array" ref="BK60">$E60*IFERROR(INDEX($E$11:$E$23,MATCH(MATCH(BK$8,$AF$8:$CA$8,0)-MATCH($D60,$D$33:$D$80,0),$D$11:$D$23,0),0),0)</f>
        <v>0</v>
      </c>
      <c r="BL60" s="654" cm="1">
        <f t="array" ref="BL60">$E60*IFERROR(INDEX($E$11:$E$23,MATCH(MATCH(BL$8,$AF$8:$CA$8,0)-MATCH($D60,$D$33:$D$80,0),$D$11:$D$23,0),0),0)</f>
        <v>0</v>
      </c>
      <c r="BM60" s="654" cm="1">
        <f t="array" ref="BM60">$E60*IFERROR(INDEX($E$11:$E$23,MATCH(MATCH(BM$8,$AF$8:$CA$8,0)-MATCH($D60,$D$33:$D$80,0),$D$11:$D$23,0),0),0)</f>
        <v>0</v>
      </c>
      <c r="BN60" s="654" cm="1">
        <f t="array" ref="BN60">$E60*IFERROR(INDEX($E$11:$E$23,MATCH(MATCH(BN$8,$AF$8:$CA$8,0)-MATCH($D60,$D$33:$D$80,0),$D$11:$D$23,0),0),0)</f>
        <v>0</v>
      </c>
      <c r="BO60" s="654" cm="1">
        <f t="array" ref="BO60">$E60*IFERROR(INDEX($E$11:$E$23,MATCH(MATCH(BO$8,$AF$8:$CA$8,0)-MATCH($D60,$D$33:$D$80,0),$D$11:$D$23,0),0),0)</f>
        <v>0</v>
      </c>
      <c r="BP60" s="654" cm="1">
        <f t="array" ref="BP60">$E60*IFERROR(INDEX($E$11:$E$23,MATCH(MATCH(BP$8,$AF$8:$CA$8,0)-MATCH($D60,$D$33:$D$80,0),$D$11:$D$23,0),0),0)</f>
        <v>0</v>
      </c>
      <c r="BQ60" s="654" cm="1">
        <f t="array" ref="BQ60">$E60*IFERROR(INDEX($E$11:$E$23,MATCH(MATCH(BQ$8,$AF$8:$CA$8,0)-MATCH($D60,$D$33:$D$80,0),$D$11:$D$23,0),0),0)</f>
        <v>0</v>
      </c>
      <c r="BR60" s="654" cm="1">
        <f t="array" ref="BR60">$E60*IFERROR(INDEX($E$11:$E$23,MATCH(MATCH(BR$8,$AF$8:$CA$8,0)-MATCH($D60,$D$33:$D$80,0),$D$11:$D$23,0),0),0)</f>
        <v>0</v>
      </c>
      <c r="BS60" s="654" cm="1">
        <f t="array" ref="BS60">$E60*IFERROR(INDEX($E$11:$E$23,MATCH(MATCH(BS$8,$AF$8:$CA$8,0)-MATCH($D60,$D$33:$D$80,0),$D$11:$D$23,0),0),0)</f>
        <v>0</v>
      </c>
      <c r="BT60" s="654" cm="1">
        <f t="array" ref="BT60">$E60*IFERROR(INDEX($E$11:$E$23,MATCH(MATCH(BT$8,$AF$8:$CA$8,0)-MATCH($D60,$D$33:$D$80,0),$D$11:$D$23,0),0),0)</f>
        <v>0</v>
      </c>
      <c r="BU60" s="654" cm="1">
        <f t="array" ref="BU60">$E60*IFERROR(INDEX($E$11:$E$23,MATCH(MATCH(BU$8,$AF$8:$CA$8,0)-MATCH($D60,$D$33:$D$80,0),$D$11:$D$23,0),0),0)</f>
        <v>0</v>
      </c>
      <c r="BV60" s="654" cm="1">
        <f t="array" ref="BV60">$E60*IFERROR(INDEX($E$11:$E$23,MATCH(MATCH(BV$8,$AF$8:$CA$8,0)-MATCH($D60,$D$33:$D$80,0),$D$11:$D$23,0),0),0)</f>
        <v>0</v>
      </c>
      <c r="BW60" s="654" cm="1">
        <f t="array" ref="BW60">$E60*IFERROR(INDEX($E$11:$E$23,MATCH(MATCH(BW$8,$AF$8:$CA$8,0)-MATCH($D60,$D$33:$D$80,0),$D$11:$D$23,0),0),0)</f>
        <v>0</v>
      </c>
      <c r="BX60" s="654" cm="1">
        <f t="array" ref="BX60">$E60*IFERROR(INDEX($E$11:$E$23,MATCH(MATCH(BX$8,$AF$8:$CA$8,0)-MATCH($D60,$D$33:$D$80,0),$D$11:$D$23,0),0),0)</f>
        <v>0</v>
      </c>
      <c r="BY60" s="654" cm="1">
        <f t="array" ref="BY60">$E60*IFERROR(INDEX($E$11:$E$23,MATCH(MATCH(BY$8,$AF$8:$CA$8,0)-MATCH($D60,$D$33:$D$80,0),$D$11:$D$23,0),0),0)</f>
        <v>0</v>
      </c>
      <c r="BZ60" s="654" cm="1">
        <f t="array" ref="BZ60">$E60*IFERROR(INDEX($E$11:$E$23,MATCH(MATCH(BZ$8,$AF$8:$CA$8,0)-MATCH($D60,$D$33:$D$80,0),$D$11:$D$23,0),0),0)</f>
        <v>0</v>
      </c>
      <c r="CA60" s="654" cm="1">
        <f t="array" ref="CA60">$E60*IFERROR(INDEX($E$11:$E$23,MATCH(MATCH(CA$8,$AF$8:$CA$8,0)-MATCH($D60,$D$33:$D$80,0),$D$11:$D$23,0),0),0)</f>
        <v>0</v>
      </c>
    </row>
    <row r="61" spans="2:79" ht="21" hidden="1" customHeight="1" outlineLevel="2">
      <c r="B61" s="367"/>
      <c r="C61" s="370"/>
      <c r="D61" s="374">
        <f t="shared" si="24"/>
        <v>45808</v>
      </c>
      <c r="E61" s="653" cm="1">
        <f t="array" ref="E61">IF($D61&lt;=LatestMonthOfActuals,0,INDEX($AF$28:$CA$28,0,MATCH($D61,$AF$8:$CA$8,0)))</f>
        <v>0</v>
      </c>
      <c r="F61" s="643"/>
      <c r="G61" s="644"/>
      <c r="H61" s="408">
        <f t="shared" si="26"/>
        <v>0</v>
      </c>
      <c r="I61" s="408">
        <f t="shared" si="26"/>
        <v>0</v>
      </c>
      <c r="J61" s="408">
        <f t="shared" si="26"/>
        <v>0</v>
      </c>
      <c r="K61" s="408">
        <f t="shared" si="26"/>
        <v>0</v>
      </c>
      <c r="L61" s="643"/>
      <c r="M61" s="644"/>
      <c r="N61" s="408">
        <f t="shared" si="27"/>
        <v>0</v>
      </c>
      <c r="O61" s="408">
        <f t="shared" si="27"/>
        <v>0</v>
      </c>
      <c r="P61" s="408">
        <f t="shared" si="27"/>
        <v>0</v>
      </c>
      <c r="Q61" s="408">
        <f t="shared" si="27"/>
        <v>0</v>
      </c>
      <c r="R61" s="408">
        <f t="shared" si="27"/>
        <v>0</v>
      </c>
      <c r="S61" s="408">
        <f t="shared" si="27"/>
        <v>0</v>
      </c>
      <c r="T61" s="408">
        <f t="shared" si="27"/>
        <v>0</v>
      </c>
      <c r="U61" s="408">
        <f t="shared" si="27"/>
        <v>0</v>
      </c>
      <c r="V61" s="408">
        <f t="shared" si="27"/>
        <v>0</v>
      </c>
      <c r="W61" s="408">
        <f t="shared" si="27"/>
        <v>0</v>
      </c>
      <c r="X61" s="408">
        <f t="shared" si="27"/>
        <v>0</v>
      </c>
      <c r="Y61" s="408">
        <f t="shared" si="27"/>
        <v>0</v>
      </c>
      <c r="Z61" s="408">
        <f t="shared" si="27"/>
        <v>0</v>
      </c>
      <c r="AA61" s="408">
        <f t="shared" si="27"/>
        <v>0</v>
      </c>
      <c r="AB61" s="408">
        <f t="shared" si="27"/>
        <v>0</v>
      </c>
      <c r="AC61" s="408">
        <f t="shared" si="27"/>
        <v>0</v>
      </c>
      <c r="AD61" s="643"/>
      <c r="AE61" s="644"/>
      <c r="AF61" s="654" cm="1">
        <f t="array" ref="AF61">$E61*IFERROR(INDEX($E$11:$E$23,MATCH(MATCH(AF$8,$AF$8:$CA$8,0)-MATCH($D61,$D$33:$D$80,0),$D$11:$D$23,0),0),0)</f>
        <v>0</v>
      </c>
      <c r="AG61" s="654" cm="1">
        <f t="array" ref="AG61">$E61*IFERROR(INDEX($E$11:$E$23,MATCH(MATCH(AG$8,$AF$8:$CA$8,0)-MATCH($D61,$D$33:$D$80,0),$D$11:$D$23,0),0),0)</f>
        <v>0</v>
      </c>
      <c r="AH61" s="654" cm="1">
        <f t="array" ref="AH61">$E61*IFERROR(INDEX($E$11:$E$23,MATCH(MATCH(AH$8,$AF$8:$CA$8,0)-MATCH($D61,$D$33:$D$80,0),$D$11:$D$23,0),0),0)</f>
        <v>0</v>
      </c>
      <c r="AI61" s="654" cm="1">
        <f t="array" ref="AI61">$E61*IFERROR(INDEX($E$11:$E$23,MATCH(MATCH(AI$8,$AF$8:$CA$8,0)-MATCH($D61,$D$33:$D$80,0),$D$11:$D$23,0),0),0)</f>
        <v>0</v>
      </c>
      <c r="AJ61" s="654" cm="1">
        <f t="array" ref="AJ61">$E61*IFERROR(INDEX($E$11:$E$23,MATCH(MATCH(AJ$8,$AF$8:$CA$8,0)-MATCH($D61,$D$33:$D$80,0),$D$11:$D$23,0),0),0)</f>
        <v>0</v>
      </c>
      <c r="AK61" s="654" cm="1">
        <f t="array" ref="AK61">$E61*IFERROR(INDEX($E$11:$E$23,MATCH(MATCH(AK$8,$AF$8:$CA$8,0)-MATCH($D61,$D$33:$D$80,0),$D$11:$D$23,0),0),0)</f>
        <v>0</v>
      </c>
      <c r="AL61" s="654" cm="1">
        <f t="array" ref="AL61">$E61*IFERROR(INDEX($E$11:$E$23,MATCH(MATCH(AL$8,$AF$8:$CA$8,0)-MATCH($D61,$D$33:$D$80,0),$D$11:$D$23,0),0),0)</f>
        <v>0</v>
      </c>
      <c r="AM61" s="654" cm="1">
        <f t="array" ref="AM61">$E61*IFERROR(INDEX($E$11:$E$23,MATCH(MATCH(AM$8,$AF$8:$CA$8,0)-MATCH($D61,$D$33:$D$80,0),$D$11:$D$23,0),0),0)</f>
        <v>0</v>
      </c>
      <c r="AN61" s="654" cm="1">
        <f t="array" ref="AN61">$E61*IFERROR(INDEX($E$11:$E$23,MATCH(MATCH(AN$8,$AF$8:$CA$8,0)-MATCH($D61,$D$33:$D$80,0),$D$11:$D$23,0),0),0)</f>
        <v>0</v>
      </c>
      <c r="AO61" s="654" cm="1">
        <f t="array" ref="AO61">$E61*IFERROR(INDEX($E$11:$E$23,MATCH(MATCH(AO$8,$AF$8:$CA$8,0)-MATCH($D61,$D$33:$D$80,0),$D$11:$D$23,0),0),0)</f>
        <v>0</v>
      </c>
      <c r="AP61" s="654" cm="1">
        <f t="array" ref="AP61">$E61*IFERROR(INDEX($E$11:$E$23,MATCH(MATCH(AP$8,$AF$8:$CA$8,0)-MATCH($D61,$D$33:$D$80,0),$D$11:$D$23,0),0),0)</f>
        <v>0</v>
      </c>
      <c r="AQ61" s="654" cm="1">
        <f t="array" ref="AQ61">$E61*IFERROR(INDEX($E$11:$E$23,MATCH(MATCH(AQ$8,$AF$8:$CA$8,0)-MATCH($D61,$D$33:$D$80,0),$D$11:$D$23,0),0),0)</f>
        <v>0</v>
      </c>
      <c r="AR61" s="654" cm="1">
        <f t="array" ref="AR61">$E61*IFERROR(INDEX($E$11:$E$23,MATCH(MATCH(AR$8,$AF$8:$CA$8,0)-MATCH($D61,$D$33:$D$80,0),$D$11:$D$23,0),0),0)</f>
        <v>0</v>
      </c>
      <c r="AS61" s="654" cm="1">
        <f t="array" ref="AS61">$E61*IFERROR(INDEX($E$11:$E$23,MATCH(MATCH(AS$8,$AF$8:$CA$8,0)-MATCH($D61,$D$33:$D$80,0),$D$11:$D$23,0),0),0)</f>
        <v>0</v>
      </c>
      <c r="AT61" s="654" cm="1">
        <f t="array" ref="AT61">$E61*IFERROR(INDEX($E$11:$E$23,MATCH(MATCH(AT$8,$AF$8:$CA$8,0)-MATCH($D61,$D$33:$D$80,0),$D$11:$D$23,0),0),0)</f>
        <v>0</v>
      </c>
      <c r="AU61" s="654" cm="1">
        <f t="array" ref="AU61">$E61*IFERROR(INDEX($E$11:$E$23,MATCH(MATCH(AU$8,$AF$8:$CA$8,0)-MATCH($D61,$D$33:$D$80,0),$D$11:$D$23,0),0),0)</f>
        <v>0</v>
      </c>
      <c r="AV61" s="654" cm="1">
        <f t="array" ref="AV61">$E61*IFERROR(INDEX($E$11:$E$23,MATCH(MATCH(AV$8,$AF$8:$CA$8,0)-MATCH($D61,$D$33:$D$80,0),$D$11:$D$23,0),0),0)</f>
        <v>0</v>
      </c>
      <c r="AW61" s="654" cm="1">
        <f t="array" ref="AW61">$E61*IFERROR(INDEX($E$11:$E$23,MATCH(MATCH(AW$8,$AF$8:$CA$8,0)-MATCH($D61,$D$33:$D$80,0),$D$11:$D$23,0),0),0)</f>
        <v>0</v>
      </c>
      <c r="AX61" s="654" cm="1">
        <f t="array" ref="AX61">$E61*IFERROR(INDEX($E$11:$E$23,MATCH(MATCH(AX$8,$AF$8:$CA$8,0)-MATCH($D61,$D$33:$D$80,0),$D$11:$D$23,0),0),0)</f>
        <v>0</v>
      </c>
      <c r="AY61" s="654" cm="1">
        <f t="array" ref="AY61">$E61*IFERROR(INDEX($E$11:$E$23,MATCH(MATCH(AY$8,$AF$8:$CA$8,0)-MATCH($D61,$D$33:$D$80,0),$D$11:$D$23,0),0),0)</f>
        <v>0</v>
      </c>
      <c r="AZ61" s="654" cm="1">
        <f t="array" ref="AZ61">$E61*IFERROR(INDEX($E$11:$E$23,MATCH(MATCH(AZ$8,$AF$8:$CA$8,0)-MATCH($D61,$D$33:$D$80,0),$D$11:$D$23,0),0),0)</f>
        <v>0</v>
      </c>
      <c r="BA61" s="654" cm="1">
        <f t="array" ref="BA61">$E61*IFERROR(INDEX($E$11:$E$23,MATCH(MATCH(BA$8,$AF$8:$CA$8,0)-MATCH($D61,$D$33:$D$80,0),$D$11:$D$23,0),0),0)</f>
        <v>0</v>
      </c>
      <c r="BB61" s="654" cm="1">
        <f t="array" ref="BB61">$E61*IFERROR(INDEX($E$11:$E$23,MATCH(MATCH(BB$8,$AF$8:$CA$8,0)-MATCH($D61,$D$33:$D$80,0),$D$11:$D$23,0),0),0)</f>
        <v>0</v>
      </c>
      <c r="BC61" s="654" cm="1">
        <f t="array" ref="BC61">$E61*IFERROR(INDEX($E$11:$E$23,MATCH(MATCH(BC$8,$AF$8:$CA$8,0)-MATCH($D61,$D$33:$D$80,0),$D$11:$D$23,0),0),0)</f>
        <v>0</v>
      </c>
      <c r="BD61" s="654" cm="1">
        <f t="array" ref="BD61">$E61*IFERROR(INDEX($E$11:$E$23,MATCH(MATCH(BD$8,$AF$8:$CA$8,0)-MATCH($D61,$D$33:$D$80,0),$D$11:$D$23,0),0),0)</f>
        <v>0</v>
      </c>
      <c r="BE61" s="654" cm="1">
        <f t="array" ref="BE61">$E61*IFERROR(INDEX($E$11:$E$23,MATCH(MATCH(BE$8,$AF$8:$CA$8,0)-MATCH($D61,$D$33:$D$80,0),$D$11:$D$23,0),0),0)</f>
        <v>0</v>
      </c>
      <c r="BF61" s="654" cm="1">
        <f t="array" ref="BF61">$E61*IFERROR(INDEX($E$11:$E$23,MATCH(MATCH(BF$8,$AF$8:$CA$8,0)-MATCH($D61,$D$33:$D$80,0),$D$11:$D$23,0),0),0)</f>
        <v>0</v>
      </c>
      <c r="BG61" s="654" cm="1">
        <f t="array" ref="BG61">$E61*IFERROR(INDEX($E$11:$E$23,MATCH(MATCH(BG$8,$AF$8:$CA$8,0)-MATCH($D61,$D$33:$D$80,0),$D$11:$D$23,0),0),0)</f>
        <v>0</v>
      </c>
      <c r="BH61" s="654" cm="1">
        <f t="array" ref="BH61">$E61*IFERROR(INDEX($E$11:$E$23,MATCH(MATCH(BH$8,$AF$8:$CA$8,0)-MATCH($D61,$D$33:$D$80,0),$D$11:$D$23,0),0),0)</f>
        <v>0</v>
      </c>
      <c r="BI61" s="654" cm="1">
        <f t="array" ref="BI61">$E61*IFERROR(INDEX($E$11:$E$23,MATCH(MATCH(BI$8,$AF$8:$CA$8,0)-MATCH($D61,$D$33:$D$80,0),$D$11:$D$23,0),0),0)</f>
        <v>0</v>
      </c>
      <c r="BJ61" s="654" cm="1">
        <f t="array" ref="BJ61">$E61*IFERROR(INDEX($E$11:$E$23,MATCH(MATCH(BJ$8,$AF$8:$CA$8,0)-MATCH($D61,$D$33:$D$80,0),$D$11:$D$23,0),0),0)</f>
        <v>0</v>
      </c>
      <c r="BK61" s="654" cm="1">
        <f t="array" ref="BK61">$E61*IFERROR(INDEX($E$11:$E$23,MATCH(MATCH(BK$8,$AF$8:$CA$8,0)-MATCH($D61,$D$33:$D$80,0),$D$11:$D$23,0),0),0)</f>
        <v>0</v>
      </c>
      <c r="BL61" s="654" cm="1">
        <f t="array" ref="BL61">$E61*IFERROR(INDEX($E$11:$E$23,MATCH(MATCH(BL$8,$AF$8:$CA$8,0)-MATCH($D61,$D$33:$D$80,0),$D$11:$D$23,0),0),0)</f>
        <v>0</v>
      </c>
      <c r="BM61" s="654" cm="1">
        <f t="array" ref="BM61">$E61*IFERROR(INDEX($E$11:$E$23,MATCH(MATCH(BM$8,$AF$8:$CA$8,0)-MATCH($D61,$D$33:$D$80,0),$D$11:$D$23,0),0),0)</f>
        <v>0</v>
      </c>
      <c r="BN61" s="654" cm="1">
        <f t="array" ref="BN61">$E61*IFERROR(INDEX($E$11:$E$23,MATCH(MATCH(BN$8,$AF$8:$CA$8,0)-MATCH($D61,$D$33:$D$80,0),$D$11:$D$23,0),0),0)</f>
        <v>0</v>
      </c>
      <c r="BO61" s="654" cm="1">
        <f t="array" ref="BO61">$E61*IFERROR(INDEX($E$11:$E$23,MATCH(MATCH(BO$8,$AF$8:$CA$8,0)-MATCH($D61,$D$33:$D$80,0),$D$11:$D$23,0),0),0)</f>
        <v>0</v>
      </c>
      <c r="BP61" s="654" cm="1">
        <f t="array" ref="BP61">$E61*IFERROR(INDEX($E$11:$E$23,MATCH(MATCH(BP$8,$AF$8:$CA$8,0)-MATCH($D61,$D$33:$D$80,0),$D$11:$D$23,0),0),0)</f>
        <v>0</v>
      </c>
      <c r="BQ61" s="654" cm="1">
        <f t="array" ref="BQ61">$E61*IFERROR(INDEX($E$11:$E$23,MATCH(MATCH(BQ$8,$AF$8:$CA$8,0)-MATCH($D61,$D$33:$D$80,0),$D$11:$D$23,0),0),0)</f>
        <v>0</v>
      </c>
      <c r="BR61" s="654" cm="1">
        <f t="array" ref="BR61">$E61*IFERROR(INDEX($E$11:$E$23,MATCH(MATCH(BR$8,$AF$8:$CA$8,0)-MATCH($D61,$D$33:$D$80,0),$D$11:$D$23,0),0),0)</f>
        <v>0</v>
      </c>
      <c r="BS61" s="654" cm="1">
        <f t="array" ref="BS61">$E61*IFERROR(INDEX($E$11:$E$23,MATCH(MATCH(BS$8,$AF$8:$CA$8,0)-MATCH($D61,$D$33:$D$80,0),$D$11:$D$23,0),0),0)</f>
        <v>0</v>
      </c>
      <c r="BT61" s="654" cm="1">
        <f t="array" ref="BT61">$E61*IFERROR(INDEX($E$11:$E$23,MATCH(MATCH(BT$8,$AF$8:$CA$8,0)-MATCH($D61,$D$33:$D$80,0),$D$11:$D$23,0),0),0)</f>
        <v>0</v>
      </c>
      <c r="BU61" s="654" cm="1">
        <f t="array" ref="BU61">$E61*IFERROR(INDEX($E$11:$E$23,MATCH(MATCH(BU$8,$AF$8:$CA$8,0)-MATCH($D61,$D$33:$D$80,0),$D$11:$D$23,0),0),0)</f>
        <v>0</v>
      </c>
      <c r="BV61" s="654" cm="1">
        <f t="array" ref="BV61">$E61*IFERROR(INDEX($E$11:$E$23,MATCH(MATCH(BV$8,$AF$8:$CA$8,0)-MATCH($D61,$D$33:$D$80,0),$D$11:$D$23,0),0),0)</f>
        <v>0</v>
      </c>
      <c r="BW61" s="654" cm="1">
        <f t="array" ref="BW61">$E61*IFERROR(INDEX($E$11:$E$23,MATCH(MATCH(BW$8,$AF$8:$CA$8,0)-MATCH($D61,$D$33:$D$80,0),$D$11:$D$23,0),0),0)</f>
        <v>0</v>
      </c>
      <c r="BX61" s="654" cm="1">
        <f t="array" ref="BX61">$E61*IFERROR(INDEX($E$11:$E$23,MATCH(MATCH(BX$8,$AF$8:$CA$8,0)-MATCH($D61,$D$33:$D$80,0),$D$11:$D$23,0),0),0)</f>
        <v>0</v>
      </c>
      <c r="BY61" s="654" cm="1">
        <f t="array" ref="BY61">$E61*IFERROR(INDEX($E$11:$E$23,MATCH(MATCH(BY$8,$AF$8:$CA$8,0)-MATCH($D61,$D$33:$D$80,0),$D$11:$D$23,0),0),0)</f>
        <v>0</v>
      </c>
      <c r="BZ61" s="654" cm="1">
        <f t="array" ref="BZ61">$E61*IFERROR(INDEX($E$11:$E$23,MATCH(MATCH(BZ$8,$AF$8:$CA$8,0)-MATCH($D61,$D$33:$D$80,0),$D$11:$D$23,0),0),0)</f>
        <v>0</v>
      </c>
      <c r="CA61" s="654" cm="1">
        <f t="array" ref="CA61">$E61*IFERROR(INDEX($E$11:$E$23,MATCH(MATCH(CA$8,$AF$8:$CA$8,0)-MATCH($D61,$D$33:$D$80,0),$D$11:$D$23,0),0),0)</f>
        <v>0</v>
      </c>
    </row>
    <row r="62" spans="2:79" ht="21" hidden="1" customHeight="1" outlineLevel="2">
      <c r="B62" s="367"/>
      <c r="C62" s="370"/>
      <c r="D62" s="374">
        <f t="shared" si="24"/>
        <v>45838</v>
      </c>
      <c r="E62" s="653" cm="1">
        <f t="array" ref="E62">IF($D62&lt;=LatestMonthOfActuals,0,INDEX($AF$28:$CA$28,0,MATCH($D62,$AF$8:$CA$8,0)))</f>
        <v>0</v>
      </c>
      <c r="F62" s="643"/>
      <c r="G62" s="644"/>
      <c r="H62" s="408">
        <f t="shared" si="26"/>
        <v>0</v>
      </c>
      <c r="I62" s="408">
        <f t="shared" si="26"/>
        <v>0</v>
      </c>
      <c r="J62" s="408">
        <f t="shared" si="26"/>
        <v>0</v>
      </c>
      <c r="K62" s="408">
        <f t="shared" si="26"/>
        <v>0</v>
      </c>
      <c r="L62" s="643"/>
      <c r="M62" s="644"/>
      <c r="N62" s="408">
        <f t="shared" si="27"/>
        <v>0</v>
      </c>
      <c r="O62" s="408">
        <f t="shared" si="27"/>
        <v>0</v>
      </c>
      <c r="P62" s="408">
        <f t="shared" si="27"/>
        <v>0</v>
      </c>
      <c r="Q62" s="408">
        <f t="shared" si="27"/>
        <v>0</v>
      </c>
      <c r="R62" s="408">
        <f t="shared" si="27"/>
        <v>0</v>
      </c>
      <c r="S62" s="408">
        <f t="shared" si="27"/>
        <v>0</v>
      </c>
      <c r="T62" s="408">
        <f t="shared" si="27"/>
        <v>0</v>
      </c>
      <c r="U62" s="408">
        <f t="shared" si="27"/>
        <v>0</v>
      </c>
      <c r="V62" s="408">
        <f t="shared" si="27"/>
        <v>0</v>
      </c>
      <c r="W62" s="408">
        <f t="shared" si="27"/>
        <v>0</v>
      </c>
      <c r="X62" s="408">
        <f t="shared" si="27"/>
        <v>0</v>
      </c>
      <c r="Y62" s="408">
        <f t="shared" si="27"/>
        <v>0</v>
      </c>
      <c r="Z62" s="408">
        <f t="shared" si="27"/>
        <v>0</v>
      </c>
      <c r="AA62" s="408">
        <f t="shared" si="27"/>
        <v>0</v>
      </c>
      <c r="AB62" s="408">
        <f t="shared" si="27"/>
        <v>0</v>
      </c>
      <c r="AC62" s="408">
        <f t="shared" si="27"/>
        <v>0</v>
      </c>
      <c r="AD62" s="643"/>
      <c r="AE62" s="644"/>
      <c r="AF62" s="654" cm="1">
        <f t="array" ref="AF62">$E62*IFERROR(INDEX($E$11:$E$23,MATCH(MATCH(AF$8,$AF$8:$CA$8,0)-MATCH($D62,$D$33:$D$80,0),$D$11:$D$23,0),0),0)</f>
        <v>0</v>
      </c>
      <c r="AG62" s="654" cm="1">
        <f t="array" ref="AG62">$E62*IFERROR(INDEX($E$11:$E$23,MATCH(MATCH(AG$8,$AF$8:$CA$8,0)-MATCH($D62,$D$33:$D$80,0),$D$11:$D$23,0),0),0)</f>
        <v>0</v>
      </c>
      <c r="AH62" s="654" cm="1">
        <f t="array" ref="AH62">$E62*IFERROR(INDEX($E$11:$E$23,MATCH(MATCH(AH$8,$AF$8:$CA$8,0)-MATCH($D62,$D$33:$D$80,0),$D$11:$D$23,0),0),0)</f>
        <v>0</v>
      </c>
      <c r="AI62" s="654" cm="1">
        <f t="array" ref="AI62">$E62*IFERROR(INDEX($E$11:$E$23,MATCH(MATCH(AI$8,$AF$8:$CA$8,0)-MATCH($D62,$D$33:$D$80,0),$D$11:$D$23,0),0),0)</f>
        <v>0</v>
      </c>
      <c r="AJ62" s="654" cm="1">
        <f t="array" ref="AJ62">$E62*IFERROR(INDEX($E$11:$E$23,MATCH(MATCH(AJ$8,$AF$8:$CA$8,0)-MATCH($D62,$D$33:$D$80,0),$D$11:$D$23,0),0),0)</f>
        <v>0</v>
      </c>
      <c r="AK62" s="654" cm="1">
        <f t="array" ref="AK62">$E62*IFERROR(INDEX($E$11:$E$23,MATCH(MATCH(AK$8,$AF$8:$CA$8,0)-MATCH($D62,$D$33:$D$80,0),$D$11:$D$23,0),0),0)</f>
        <v>0</v>
      </c>
      <c r="AL62" s="654" cm="1">
        <f t="array" ref="AL62">$E62*IFERROR(INDEX($E$11:$E$23,MATCH(MATCH(AL$8,$AF$8:$CA$8,0)-MATCH($D62,$D$33:$D$80,0),$D$11:$D$23,0),0),0)</f>
        <v>0</v>
      </c>
      <c r="AM62" s="654" cm="1">
        <f t="array" ref="AM62">$E62*IFERROR(INDEX($E$11:$E$23,MATCH(MATCH(AM$8,$AF$8:$CA$8,0)-MATCH($D62,$D$33:$D$80,0),$D$11:$D$23,0),0),0)</f>
        <v>0</v>
      </c>
      <c r="AN62" s="654" cm="1">
        <f t="array" ref="AN62">$E62*IFERROR(INDEX($E$11:$E$23,MATCH(MATCH(AN$8,$AF$8:$CA$8,0)-MATCH($D62,$D$33:$D$80,0),$D$11:$D$23,0),0),0)</f>
        <v>0</v>
      </c>
      <c r="AO62" s="654" cm="1">
        <f t="array" ref="AO62">$E62*IFERROR(INDEX($E$11:$E$23,MATCH(MATCH(AO$8,$AF$8:$CA$8,0)-MATCH($D62,$D$33:$D$80,0),$D$11:$D$23,0),0),0)</f>
        <v>0</v>
      </c>
      <c r="AP62" s="654" cm="1">
        <f t="array" ref="AP62">$E62*IFERROR(INDEX($E$11:$E$23,MATCH(MATCH(AP$8,$AF$8:$CA$8,0)-MATCH($D62,$D$33:$D$80,0),$D$11:$D$23,0),0),0)</f>
        <v>0</v>
      </c>
      <c r="AQ62" s="654" cm="1">
        <f t="array" ref="AQ62">$E62*IFERROR(INDEX($E$11:$E$23,MATCH(MATCH(AQ$8,$AF$8:$CA$8,0)-MATCH($D62,$D$33:$D$80,0),$D$11:$D$23,0),0),0)</f>
        <v>0</v>
      </c>
      <c r="AR62" s="654" cm="1">
        <f t="array" ref="AR62">$E62*IFERROR(INDEX($E$11:$E$23,MATCH(MATCH(AR$8,$AF$8:$CA$8,0)-MATCH($D62,$D$33:$D$80,0),$D$11:$D$23,0),0),0)</f>
        <v>0</v>
      </c>
      <c r="AS62" s="654" cm="1">
        <f t="array" ref="AS62">$E62*IFERROR(INDEX($E$11:$E$23,MATCH(MATCH(AS$8,$AF$8:$CA$8,0)-MATCH($D62,$D$33:$D$80,0),$D$11:$D$23,0),0),0)</f>
        <v>0</v>
      </c>
      <c r="AT62" s="654" cm="1">
        <f t="array" ref="AT62">$E62*IFERROR(INDEX($E$11:$E$23,MATCH(MATCH(AT$8,$AF$8:$CA$8,0)-MATCH($D62,$D$33:$D$80,0),$D$11:$D$23,0),0),0)</f>
        <v>0</v>
      </c>
      <c r="AU62" s="654" cm="1">
        <f t="array" ref="AU62">$E62*IFERROR(INDEX($E$11:$E$23,MATCH(MATCH(AU$8,$AF$8:$CA$8,0)-MATCH($D62,$D$33:$D$80,0),$D$11:$D$23,0),0),0)</f>
        <v>0</v>
      </c>
      <c r="AV62" s="654" cm="1">
        <f t="array" ref="AV62">$E62*IFERROR(INDEX($E$11:$E$23,MATCH(MATCH(AV$8,$AF$8:$CA$8,0)-MATCH($D62,$D$33:$D$80,0),$D$11:$D$23,0),0),0)</f>
        <v>0</v>
      </c>
      <c r="AW62" s="654" cm="1">
        <f t="array" ref="AW62">$E62*IFERROR(INDEX($E$11:$E$23,MATCH(MATCH(AW$8,$AF$8:$CA$8,0)-MATCH($D62,$D$33:$D$80,0),$D$11:$D$23,0),0),0)</f>
        <v>0</v>
      </c>
      <c r="AX62" s="654" cm="1">
        <f t="array" ref="AX62">$E62*IFERROR(INDEX($E$11:$E$23,MATCH(MATCH(AX$8,$AF$8:$CA$8,0)-MATCH($D62,$D$33:$D$80,0),$D$11:$D$23,0),0),0)</f>
        <v>0</v>
      </c>
      <c r="AY62" s="654" cm="1">
        <f t="array" ref="AY62">$E62*IFERROR(INDEX($E$11:$E$23,MATCH(MATCH(AY$8,$AF$8:$CA$8,0)-MATCH($D62,$D$33:$D$80,0),$D$11:$D$23,0),0),0)</f>
        <v>0</v>
      </c>
      <c r="AZ62" s="654" cm="1">
        <f t="array" ref="AZ62">$E62*IFERROR(INDEX($E$11:$E$23,MATCH(MATCH(AZ$8,$AF$8:$CA$8,0)-MATCH($D62,$D$33:$D$80,0),$D$11:$D$23,0),0),0)</f>
        <v>0</v>
      </c>
      <c r="BA62" s="654" cm="1">
        <f t="array" ref="BA62">$E62*IFERROR(INDEX($E$11:$E$23,MATCH(MATCH(BA$8,$AF$8:$CA$8,0)-MATCH($D62,$D$33:$D$80,0),$D$11:$D$23,0),0),0)</f>
        <v>0</v>
      </c>
      <c r="BB62" s="654" cm="1">
        <f t="array" ref="BB62">$E62*IFERROR(INDEX($E$11:$E$23,MATCH(MATCH(BB$8,$AF$8:$CA$8,0)-MATCH($D62,$D$33:$D$80,0),$D$11:$D$23,0),0),0)</f>
        <v>0</v>
      </c>
      <c r="BC62" s="654" cm="1">
        <f t="array" ref="BC62">$E62*IFERROR(INDEX($E$11:$E$23,MATCH(MATCH(BC$8,$AF$8:$CA$8,0)-MATCH($D62,$D$33:$D$80,0),$D$11:$D$23,0),0),0)</f>
        <v>0</v>
      </c>
      <c r="BD62" s="654" cm="1">
        <f t="array" ref="BD62">$E62*IFERROR(INDEX($E$11:$E$23,MATCH(MATCH(BD$8,$AF$8:$CA$8,0)-MATCH($D62,$D$33:$D$80,0),$D$11:$D$23,0),0),0)</f>
        <v>0</v>
      </c>
      <c r="BE62" s="654" cm="1">
        <f t="array" ref="BE62">$E62*IFERROR(INDEX($E$11:$E$23,MATCH(MATCH(BE$8,$AF$8:$CA$8,0)-MATCH($D62,$D$33:$D$80,0),$D$11:$D$23,0),0),0)</f>
        <v>0</v>
      </c>
      <c r="BF62" s="654" cm="1">
        <f t="array" ref="BF62">$E62*IFERROR(INDEX($E$11:$E$23,MATCH(MATCH(BF$8,$AF$8:$CA$8,0)-MATCH($D62,$D$33:$D$80,0),$D$11:$D$23,0),0),0)</f>
        <v>0</v>
      </c>
      <c r="BG62" s="654" cm="1">
        <f t="array" ref="BG62">$E62*IFERROR(INDEX($E$11:$E$23,MATCH(MATCH(BG$8,$AF$8:$CA$8,0)-MATCH($D62,$D$33:$D$80,0),$D$11:$D$23,0),0),0)</f>
        <v>0</v>
      </c>
      <c r="BH62" s="654" cm="1">
        <f t="array" ref="BH62">$E62*IFERROR(INDEX($E$11:$E$23,MATCH(MATCH(BH$8,$AF$8:$CA$8,0)-MATCH($D62,$D$33:$D$80,0),$D$11:$D$23,0),0),0)</f>
        <v>0</v>
      </c>
      <c r="BI62" s="654" cm="1">
        <f t="array" ref="BI62">$E62*IFERROR(INDEX($E$11:$E$23,MATCH(MATCH(BI$8,$AF$8:$CA$8,0)-MATCH($D62,$D$33:$D$80,0),$D$11:$D$23,0),0),0)</f>
        <v>0</v>
      </c>
      <c r="BJ62" s="654" cm="1">
        <f t="array" ref="BJ62">$E62*IFERROR(INDEX($E$11:$E$23,MATCH(MATCH(BJ$8,$AF$8:$CA$8,0)-MATCH($D62,$D$33:$D$80,0),$D$11:$D$23,0),0),0)</f>
        <v>0</v>
      </c>
      <c r="BK62" s="654" cm="1">
        <f t="array" ref="BK62">$E62*IFERROR(INDEX($E$11:$E$23,MATCH(MATCH(BK$8,$AF$8:$CA$8,0)-MATCH($D62,$D$33:$D$80,0),$D$11:$D$23,0),0),0)</f>
        <v>0</v>
      </c>
      <c r="BL62" s="654" cm="1">
        <f t="array" ref="BL62">$E62*IFERROR(INDEX($E$11:$E$23,MATCH(MATCH(BL$8,$AF$8:$CA$8,0)-MATCH($D62,$D$33:$D$80,0),$D$11:$D$23,0),0),0)</f>
        <v>0</v>
      </c>
      <c r="BM62" s="654" cm="1">
        <f t="array" ref="BM62">$E62*IFERROR(INDEX($E$11:$E$23,MATCH(MATCH(BM$8,$AF$8:$CA$8,0)-MATCH($D62,$D$33:$D$80,0),$D$11:$D$23,0),0),0)</f>
        <v>0</v>
      </c>
      <c r="BN62" s="654" cm="1">
        <f t="array" ref="BN62">$E62*IFERROR(INDEX($E$11:$E$23,MATCH(MATCH(BN$8,$AF$8:$CA$8,0)-MATCH($D62,$D$33:$D$80,0),$D$11:$D$23,0),0),0)</f>
        <v>0</v>
      </c>
      <c r="BO62" s="654" cm="1">
        <f t="array" ref="BO62">$E62*IFERROR(INDEX($E$11:$E$23,MATCH(MATCH(BO$8,$AF$8:$CA$8,0)-MATCH($D62,$D$33:$D$80,0),$D$11:$D$23,0),0),0)</f>
        <v>0</v>
      </c>
      <c r="BP62" s="654" cm="1">
        <f t="array" ref="BP62">$E62*IFERROR(INDEX($E$11:$E$23,MATCH(MATCH(BP$8,$AF$8:$CA$8,0)-MATCH($D62,$D$33:$D$80,0),$D$11:$D$23,0),0),0)</f>
        <v>0</v>
      </c>
      <c r="BQ62" s="654" cm="1">
        <f t="array" ref="BQ62">$E62*IFERROR(INDEX($E$11:$E$23,MATCH(MATCH(BQ$8,$AF$8:$CA$8,0)-MATCH($D62,$D$33:$D$80,0),$D$11:$D$23,0),0),0)</f>
        <v>0</v>
      </c>
      <c r="BR62" s="654" cm="1">
        <f t="array" ref="BR62">$E62*IFERROR(INDEX($E$11:$E$23,MATCH(MATCH(BR$8,$AF$8:$CA$8,0)-MATCH($D62,$D$33:$D$80,0),$D$11:$D$23,0),0),0)</f>
        <v>0</v>
      </c>
      <c r="BS62" s="654" cm="1">
        <f t="array" ref="BS62">$E62*IFERROR(INDEX($E$11:$E$23,MATCH(MATCH(BS$8,$AF$8:$CA$8,0)-MATCH($D62,$D$33:$D$80,0),$D$11:$D$23,0),0),0)</f>
        <v>0</v>
      </c>
      <c r="BT62" s="654" cm="1">
        <f t="array" ref="BT62">$E62*IFERROR(INDEX($E$11:$E$23,MATCH(MATCH(BT$8,$AF$8:$CA$8,0)-MATCH($D62,$D$33:$D$80,0),$D$11:$D$23,0),0),0)</f>
        <v>0</v>
      </c>
      <c r="BU62" s="654" cm="1">
        <f t="array" ref="BU62">$E62*IFERROR(INDEX($E$11:$E$23,MATCH(MATCH(BU$8,$AF$8:$CA$8,0)-MATCH($D62,$D$33:$D$80,0),$D$11:$D$23,0),0),0)</f>
        <v>0</v>
      </c>
      <c r="BV62" s="654" cm="1">
        <f t="array" ref="BV62">$E62*IFERROR(INDEX($E$11:$E$23,MATCH(MATCH(BV$8,$AF$8:$CA$8,0)-MATCH($D62,$D$33:$D$80,0),$D$11:$D$23,0),0),0)</f>
        <v>0</v>
      </c>
      <c r="BW62" s="654" cm="1">
        <f t="array" ref="BW62">$E62*IFERROR(INDEX($E$11:$E$23,MATCH(MATCH(BW$8,$AF$8:$CA$8,0)-MATCH($D62,$D$33:$D$80,0),$D$11:$D$23,0),0),0)</f>
        <v>0</v>
      </c>
      <c r="BX62" s="654" cm="1">
        <f t="array" ref="BX62">$E62*IFERROR(INDEX($E$11:$E$23,MATCH(MATCH(BX$8,$AF$8:$CA$8,0)-MATCH($D62,$D$33:$D$80,0),$D$11:$D$23,0),0),0)</f>
        <v>0</v>
      </c>
      <c r="BY62" s="654" cm="1">
        <f t="array" ref="BY62">$E62*IFERROR(INDEX($E$11:$E$23,MATCH(MATCH(BY$8,$AF$8:$CA$8,0)-MATCH($D62,$D$33:$D$80,0),$D$11:$D$23,0),0),0)</f>
        <v>0</v>
      </c>
      <c r="BZ62" s="654" cm="1">
        <f t="array" ref="BZ62">$E62*IFERROR(INDEX($E$11:$E$23,MATCH(MATCH(BZ$8,$AF$8:$CA$8,0)-MATCH($D62,$D$33:$D$80,0),$D$11:$D$23,0),0),0)</f>
        <v>0</v>
      </c>
      <c r="CA62" s="654" cm="1">
        <f t="array" ref="CA62">$E62*IFERROR(INDEX($E$11:$E$23,MATCH(MATCH(CA$8,$AF$8:$CA$8,0)-MATCH($D62,$D$33:$D$80,0),$D$11:$D$23,0),0),0)</f>
        <v>0</v>
      </c>
    </row>
    <row r="63" spans="2:79" ht="21" hidden="1" customHeight="1" outlineLevel="2">
      <c r="B63" s="367"/>
      <c r="C63" s="370"/>
      <c r="D63" s="374">
        <f t="shared" si="24"/>
        <v>45869</v>
      </c>
      <c r="E63" s="653" cm="1">
        <f t="array" ref="E63">IF($D63&lt;=LatestMonthOfActuals,0,INDEX($AF$28:$CA$28,0,MATCH($D63,$AF$8:$CA$8,0)))</f>
        <v>0</v>
      </c>
      <c r="F63" s="643"/>
      <c r="G63" s="644"/>
      <c r="H63" s="408">
        <f t="shared" si="26"/>
        <v>0</v>
      </c>
      <c r="I63" s="408">
        <f t="shared" si="26"/>
        <v>0</v>
      </c>
      <c r="J63" s="408">
        <f t="shared" si="26"/>
        <v>0</v>
      </c>
      <c r="K63" s="408">
        <f t="shared" si="26"/>
        <v>0</v>
      </c>
      <c r="L63" s="643"/>
      <c r="M63" s="644"/>
      <c r="N63" s="408">
        <f t="shared" ref="N63:AC72" si="28">SUMIFS($AF63:$CA63,$AF$4:$CA$4,"&gt;="&amp;N$4,$AF$5:$CA$5,"&lt;="&amp;N$5)</f>
        <v>0</v>
      </c>
      <c r="O63" s="408">
        <f t="shared" si="28"/>
        <v>0</v>
      </c>
      <c r="P63" s="408">
        <f t="shared" si="28"/>
        <v>0</v>
      </c>
      <c r="Q63" s="408">
        <f t="shared" si="28"/>
        <v>0</v>
      </c>
      <c r="R63" s="408">
        <f t="shared" si="28"/>
        <v>0</v>
      </c>
      <c r="S63" s="408">
        <f t="shared" si="28"/>
        <v>0</v>
      </c>
      <c r="T63" s="408">
        <f t="shared" si="28"/>
        <v>0</v>
      </c>
      <c r="U63" s="408">
        <f t="shared" si="28"/>
        <v>0</v>
      </c>
      <c r="V63" s="408">
        <f t="shared" si="28"/>
        <v>0</v>
      </c>
      <c r="W63" s="408">
        <f t="shared" si="28"/>
        <v>0</v>
      </c>
      <c r="X63" s="408">
        <f t="shared" si="28"/>
        <v>0</v>
      </c>
      <c r="Y63" s="408">
        <f t="shared" si="28"/>
        <v>0</v>
      </c>
      <c r="Z63" s="408">
        <f t="shared" si="28"/>
        <v>0</v>
      </c>
      <c r="AA63" s="408">
        <f t="shared" si="28"/>
        <v>0</v>
      </c>
      <c r="AB63" s="408">
        <f t="shared" si="28"/>
        <v>0</v>
      </c>
      <c r="AC63" s="408">
        <f t="shared" si="28"/>
        <v>0</v>
      </c>
      <c r="AD63" s="643"/>
      <c r="AE63" s="644"/>
      <c r="AF63" s="654" cm="1">
        <f t="array" ref="AF63">$E63*IFERROR(INDEX($E$11:$E$23,MATCH(MATCH(AF$8,$AF$8:$CA$8,0)-MATCH($D63,$D$33:$D$80,0),$D$11:$D$23,0),0),0)</f>
        <v>0</v>
      </c>
      <c r="AG63" s="654" cm="1">
        <f t="array" ref="AG63">$E63*IFERROR(INDEX($E$11:$E$23,MATCH(MATCH(AG$8,$AF$8:$CA$8,0)-MATCH($D63,$D$33:$D$80,0),$D$11:$D$23,0),0),0)</f>
        <v>0</v>
      </c>
      <c r="AH63" s="654" cm="1">
        <f t="array" ref="AH63">$E63*IFERROR(INDEX($E$11:$E$23,MATCH(MATCH(AH$8,$AF$8:$CA$8,0)-MATCH($D63,$D$33:$D$80,0),$D$11:$D$23,0),0),0)</f>
        <v>0</v>
      </c>
      <c r="AI63" s="654" cm="1">
        <f t="array" ref="AI63">$E63*IFERROR(INDEX($E$11:$E$23,MATCH(MATCH(AI$8,$AF$8:$CA$8,0)-MATCH($D63,$D$33:$D$80,0),$D$11:$D$23,0),0),0)</f>
        <v>0</v>
      </c>
      <c r="AJ63" s="654" cm="1">
        <f t="array" ref="AJ63">$E63*IFERROR(INDEX($E$11:$E$23,MATCH(MATCH(AJ$8,$AF$8:$CA$8,0)-MATCH($D63,$D$33:$D$80,0),$D$11:$D$23,0),0),0)</f>
        <v>0</v>
      </c>
      <c r="AK63" s="654" cm="1">
        <f t="array" ref="AK63">$E63*IFERROR(INDEX($E$11:$E$23,MATCH(MATCH(AK$8,$AF$8:$CA$8,0)-MATCH($D63,$D$33:$D$80,0),$D$11:$D$23,0),0),0)</f>
        <v>0</v>
      </c>
      <c r="AL63" s="654" cm="1">
        <f t="array" ref="AL63">$E63*IFERROR(INDEX($E$11:$E$23,MATCH(MATCH(AL$8,$AF$8:$CA$8,0)-MATCH($D63,$D$33:$D$80,0),$D$11:$D$23,0),0),0)</f>
        <v>0</v>
      </c>
      <c r="AM63" s="654" cm="1">
        <f t="array" ref="AM63">$E63*IFERROR(INDEX($E$11:$E$23,MATCH(MATCH(AM$8,$AF$8:$CA$8,0)-MATCH($D63,$D$33:$D$80,0),$D$11:$D$23,0),0),0)</f>
        <v>0</v>
      </c>
      <c r="AN63" s="654" cm="1">
        <f t="array" ref="AN63">$E63*IFERROR(INDEX($E$11:$E$23,MATCH(MATCH(AN$8,$AF$8:$CA$8,0)-MATCH($D63,$D$33:$D$80,0),$D$11:$D$23,0),0),0)</f>
        <v>0</v>
      </c>
      <c r="AO63" s="654" cm="1">
        <f t="array" ref="AO63">$E63*IFERROR(INDEX($E$11:$E$23,MATCH(MATCH(AO$8,$AF$8:$CA$8,0)-MATCH($D63,$D$33:$D$80,0),$D$11:$D$23,0),0),0)</f>
        <v>0</v>
      </c>
      <c r="AP63" s="654" cm="1">
        <f t="array" ref="AP63">$E63*IFERROR(INDEX($E$11:$E$23,MATCH(MATCH(AP$8,$AF$8:$CA$8,0)-MATCH($D63,$D$33:$D$80,0),$D$11:$D$23,0),0),0)</f>
        <v>0</v>
      </c>
      <c r="AQ63" s="654" cm="1">
        <f t="array" ref="AQ63">$E63*IFERROR(INDEX($E$11:$E$23,MATCH(MATCH(AQ$8,$AF$8:$CA$8,0)-MATCH($D63,$D$33:$D$80,0),$D$11:$D$23,0),0),0)</f>
        <v>0</v>
      </c>
      <c r="AR63" s="654" cm="1">
        <f t="array" ref="AR63">$E63*IFERROR(INDEX($E$11:$E$23,MATCH(MATCH(AR$8,$AF$8:$CA$8,0)-MATCH($D63,$D$33:$D$80,0),$D$11:$D$23,0),0),0)</f>
        <v>0</v>
      </c>
      <c r="AS63" s="654" cm="1">
        <f t="array" ref="AS63">$E63*IFERROR(INDEX($E$11:$E$23,MATCH(MATCH(AS$8,$AF$8:$CA$8,0)-MATCH($D63,$D$33:$D$80,0),$D$11:$D$23,0),0),0)</f>
        <v>0</v>
      </c>
      <c r="AT63" s="654" cm="1">
        <f t="array" ref="AT63">$E63*IFERROR(INDEX($E$11:$E$23,MATCH(MATCH(AT$8,$AF$8:$CA$8,0)-MATCH($D63,$D$33:$D$80,0),$D$11:$D$23,0),0),0)</f>
        <v>0</v>
      </c>
      <c r="AU63" s="654" cm="1">
        <f t="array" ref="AU63">$E63*IFERROR(INDEX($E$11:$E$23,MATCH(MATCH(AU$8,$AF$8:$CA$8,0)-MATCH($D63,$D$33:$D$80,0),$D$11:$D$23,0),0),0)</f>
        <v>0</v>
      </c>
      <c r="AV63" s="654" cm="1">
        <f t="array" ref="AV63">$E63*IFERROR(INDEX($E$11:$E$23,MATCH(MATCH(AV$8,$AF$8:$CA$8,0)-MATCH($D63,$D$33:$D$80,0),$D$11:$D$23,0),0),0)</f>
        <v>0</v>
      </c>
      <c r="AW63" s="654" cm="1">
        <f t="array" ref="AW63">$E63*IFERROR(INDEX($E$11:$E$23,MATCH(MATCH(AW$8,$AF$8:$CA$8,0)-MATCH($D63,$D$33:$D$80,0),$D$11:$D$23,0),0),0)</f>
        <v>0</v>
      </c>
      <c r="AX63" s="654" cm="1">
        <f t="array" ref="AX63">$E63*IFERROR(INDEX($E$11:$E$23,MATCH(MATCH(AX$8,$AF$8:$CA$8,0)-MATCH($D63,$D$33:$D$80,0),$D$11:$D$23,0),0),0)</f>
        <v>0</v>
      </c>
      <c r="AY63" s="654" cm="1">
        <f t="array" ref="AY63">$E63*IFERROR(INDEX($E$11:$E$23,MATCH(MATCH(AY$8,$AF$8:$CA$8,0)-MATCH($D63,$D$33:$D$80,0),$D$11:$D$23,0),0),0)</f>
        <v>0</v>
      </c>
      <c r="AZ63" s="654" cm="1">
        <f t="array" ref="AZ63">$E63*IFERROR(INDEX($E$11:$E$23,MATCH(MATCH(AZ$8,$AF$8:$CA$8,0)-MATCH($D63,$D$33:$D$80,0),$D$11:$D$23,0),0),0)</f>
        <v>0</v>
      </c>
      <c r="BA63" s="654" cm="1">
        <f t="array" ref="BA63">$E63*IFERROR(INDEX($E$11:$E$23,MATCH(MATCH(BA$8,$AF$8:$CA$8,0)-MATCH($D63,$D$33:$D$80,0),$D$11:$D$23,0),0),0)</f>
        <v>0</v>
      </c>
      <c r="BB63" s="654" cm="1">
        <f t="array" ref="BB63">$E63*IFERROR(INDEX($E$11:$E$23,MATCH(MATCH(BB$8,$AF$8:$CA$8,0)-MATCH($D63,$D$33:$D$80,0),$D$11:$D$23,0),0),0)</f>
        <v>0</v>
      </c>
      <c r="BC63" s="654" cm="1">
        <f t="array" ref="BC63">$E63*IFERROR(INDEX($E$11:$E$23,MATCH(MATCH(BC$8,$AF$8:$CA$8,0)-MATCH($D63,$D$33:$D$80,0),$D$11:$D$23,0),0),0)</f>
        <v>0</v>
      </c>
      <c r="BD63" s="654" cm="1">
        <f t="array" ref="BD63">$E63*IFERROR(INDEX($E$11:$E$23,MATCH(MATCH(BD$8,$AF$8:$CA$8,0)-MATCH($D63,$D$33:$D$80,0),$D$11:$D$23,0),0),0)</f>
        <v>0</v>
      </c>
      <c r="BE63" s="654" cm="1">
        <f t="array" ref="BE63">$E63*IFERROR(INDEX($E$11:$E$23,MATCH(MATCH(BE$8,$AF$8:$CA$8,0)-MATCH($D63,$D$33:$D$80,0),$D$11:$D$23,0),0),0)</f>
        <v>0</v>
      </c>
      <c r="BF63" s="654" cm="1">
        <f t="array" ref="BF63">$E63*IFERROR(INDEX($E$11:$E$23,MATCH(MATCH(BF$8,$AF$8:$CA$8,0)-MATCH($D63,$D$33:$D$80,0),$D$11:$D$23,0),0),0)</f>
        <v>0</v>
      </c>
      <c r="BG63" s="654" cm="1">
        <f t="array" ref="BG63">$E63*IFERROR(INDEX($E$11:$E$23,MATCH(MATCH(BG$8,$AF$8:$CA$8,0)-MATCH($D63,$D$33:$D$80,0),$D$11:$D$23,0),0),0)</f>
        <v>0</v>
      </c>
      <c r="BH63" s="654" cm="1">
        <f t="array" ref="BH63">$E63*IFERROR(INDEX($E$11:$E$23,MATCH(MATCH(BH$8,$AF$8:$CA$8,0)-MATCH($D63,$D$33:$D$80,0),$D$11:$D$23,0),0),0)</f>
        <v>0</v>
      </c>
      <c r="BI63" s="654" cm="1">
        <f t="array" ref="BI63">$E63*IFERROR(INDEX($E$11:$E$23,MATCH(MATCH(BI$8,$AF$8:$CA$8,0)-MATCH($D63,$D$33:$D$80,0),$D$11:$D$23,0),0),0)</f>
        <v>0</v>
      </c>
      <c r="BJ63" s="654" cm="1">
        <f t="array" ref="BJ63">$E63*IFERROR(INDEX($E$11:$E$23,MATCH(MATCH(BJ$8,$AF$8:$CA$8,0)-MATCH($D63,$D$33:$D$80,0),$D$11:$D$23,0),0),0)</f>
        <v>0</v>
      </c>
      <c r="BK63" s="654" cm="1">
        <f t="array" ref="BK63">$E63*IFERROR(INDEX($E$11:$E$23,MATCH(MATCH(BK$8,$AF$8:$CA$8,0)-MATCH($D63,$D$33:$D$80,0),$D$11:$D$23,0),0),0)</f>
        <v>0</v>
      </c>
      <c r="BL63" s="654" cm="1">
        <f t="array" ref="BL63">$E63*IFERROR(INDEX($E$11:$E$23,MATCH(MATCH(BL$8,$AF$8:$CA$8,0)-MATCH($D63,$D$33:$D$80,0),$D$11:$D$23,0),0),0)</f>
        <v>0</v>
      </c>
      <c r="BM63" s="654" cm="1">
        <f t="array" ref="BM63">$E63*IFERROR(INDEX($E$11:$E$23,MATCH(MATCH(BM$8,$AF$8:$CA$8,0)-MATCH($D63,$D$33:$D$80,0),$D$11:$D$23,0),0),0)</f>
        <v>0</v>
      </c>
      <c r="BN63" s="654" cm="1">
        <f t="array" ref="BN63">$E63*IFERROR(INDEX($E$11:$E$23,MATCH(MATCH(BN$8,$AF$8:$CA$8,0)-MATCH($D63,$D$33:$D$80,0),$D$11:$D$23,0),0),0)</f>
        <v>0</v>
      </c>
      <c r="BO63" s="654" cm="1">
        <f t="array" ref="BO63">$E63*IFERROR(INDEX($E$11:$E$23,MATCH(MATCH(BO$8,$AF$8:$CA$8,0)-MATCH($D63,$D$33:$D$80,0),$D$11:$D$23,0),0),0)</f>
        <v>0</v>
      </c>
      <c r="BP63" s="654" cm="1">
        <f t="array" ref="BP63">$E63*IFERROR(INDEX($E$11:$E$23,MATCH(MATCH(BP$8,$AF$8:$CA$8,0)-MATCH($D63,$D$33:$D$80,0),$D$11:$D$23,0),0),0)</f>
        <v>0</v>
      </c>
      <c r="BQ63" s="654" cm="1">
        <f t="array" ref="BQ63">$E63*IFERROR(INDEX($E$11:$E$23,MATCH(MATCH(BQ$8,$AF$8:$CA$8,0)-MATCH($D63,$D$33:$D$80,0),$D$11:$D$23,0),0),0)</f>
        <v>0</v>
      </c>
      <c r="BR63" s="654" cm="1">
        <f t="array" ref="BR63">$E63*IFERROR(INDEX($E$11:$E$23,MATCH(MATCH(BR$8,$AF$8:$CA$8,0)-MATCH($D63,$D$33:$D$80,0),$D$11:$D$23,0),0),0)</f>
        <v>0</v>
      </c>
      <c r="BS63" s="654" cm="1">
        <f t="array" ref="BS63">$E63*IFERROR(INDEX($E$11:$E$23,MATCH(MATCH(BS$8,$AF$8:$CA$8,0)-MATCH($D63,$D$33:$D$80,0),$D$11:$D$23,0),0),0)</f>
        <v>0</v>
      </c>
      <c r="BT63" s="654" cm="1">
        <f t="array" ref="BT63">$E63*IFERROR(INDEX($E$11:$E$23,MATCH(MATCH(BT$8,$AF$8:$CA$8,0)-MATCH($D63,$D$33:$D$80,0),$D$11:$D$23,0),0),0)</f>
        <v>0</v>
      </c>
      <c r="BU63" s="654" cm="1">
        <f t="array" ref="BU63">$E63*IFERROR(INDEX($E$11:$E$23,MATCH(MATCH(BU$8,$AF$8:$CA$8,0)-MATCH($D63,$D$33:$D$80,0),$D$11:$D$23,0),0),0)</f>
        <v>0</v>
      </c>
      <c r="BV63" s="654" cm="1">
        <f t="array" ref="BV63">$E63*IFERROR(INDEX($E$11:$E$23,MATCH(MATCH(BV$8,$AF$8:$CA$8,0)-MATCH($D63,$D$33:$D$80,0),$D$11:$D$23,0),0),0)</f>
        <v>0</v>
      </c>
      <c r="BW63" s="654" cm="1">
        <f t="array" ref="BW63">$E63*IFERROR(INDEX($E$11:$E$23,MATCH(MATCH(BW$8,$AF$8:$CA$8,0)-MATCH($D63,$D$33:$D$80,0),$D$11:$D$23,0),0),0)</f>
        <v>0</v>
      </c>
      <c r="BX63" s="654" cm="1">
        <f t="array" ref="BX63">$E63*IFERROR(INDEX($E$11:$E$23,MATCH(MATCH(BX$8,$AF$8:$CA$8,0)-MATCH($D63,$D$33:$D$80,0),$D$11:$D$23,0),0),0)</f>
        <v>0</v>
      </c>
      <c r="BY63" s="654" cm="1">
        <f t="array" ref="BY63">$E63*IFERROR(INDEX($E$11:$E$23,MATCH(MATCH(BY$8,$AF$8:$CA$8,0)-MATCH($D63,$D$33:$D$80,0),$D$11:$D$23,0),0),0)</f>
        <v>0</v>
      </c>
      <c r="BZ63" s="654" cm="1">
        <f t="array" ref="BZ63">$E63*IFERROR(INDEX($E$11:$E$23,MATCH(MATCH(BZ$8,$AF$8:$CA$8,0)-MATCH($D63,$D$33:$D$80,0),$D$11:$D$23,0),0),0)</f>
        <v>0</v>
      </c>
      <c r="CA63" s="654" cm="1">
        <f t="array" ref="CA63">$E63*IFERROR(INDEX($E$11:$E$23,MATCH(MATCH(CA$8,$AF$8:$CA$8,0)-MATCH($D63,$D$33:$D$80,0),$D$11:$D$23,0),0),0)</f>
        <v>0</v>
      </c>
    </row>
    <row r="64" spans="2:79" ht="21" hidden="1" customHeight="1" outlineLevel="2">
      <c r="B64" s="367"/>
      <c r="C64" s="370"/>
      <c r="D64" s="374">
        <f t="shared" si="24"/>
        <v>45900</v>
      </c>
      <c r="E64" s="653" cm="1">
        <f t="array" ref="E64">IF($D64&lt;=LatestMonthOfActuals,0,INDEX($AF$28:$CA$28,0,MATCH($D64,$AF$8:$CA$8,0)))</f>
        <v>0</v>
      </c>
      <c r="F64" s="643"/>
      <c r="G64" s="644"/>
      <c r="H64" s="408">
        <f t="shared" si="26"/>
        <v>0</v>
      </c>
      <c r="I64" s="408">
        <f t="shared" si="26"/>
        <v>0</v>
      </c>
      <c r="J64" s="408">
        <f t="shared" si="26"/>
        <v>0</v>
      </c>
      <c r="K64" s="408">
        <f t="shared" si="26"/>
        <v>0</v>
      </c>
      <c r="L64" s="643"/>
      <c r="M64" s="644"/>
      <c r="N64" s="408">
        <f t="shared" si="28"/>
        <v>0</v>
      </c>
      <c r="O64" s="408">
        <f t="shared" si="28"/>
        <v>0</v>
      </c>
      <c r="P64" s="408">
        <f t="shared" si="28"/>
        <v>0</v>
      </c>
      <c r="Q64" s="408">
        <f t="shared" si="28"/>
        <v>0</v>
      </c>
      <c r="R64" s="408">
        <f t="shared" si="28"/>
        <v>0</v>
      </c>
      <c r="S64" s="408">
        <f t="shared" si="28"/>
        <v>0</v>
      </c>
      <c r="T64" s="408">
        <f t="shared" si="28"/>
        <v>0</v>
      </c>
      <c r="U64" s="408">
        <f t="shared" si="28"/>
        <v>0</v>
      </c>
      <c r="V64" s="408">
        <f t="shared" si="28"/>
        <v>0</v>
      </c>
      <c r="W64" s="408">
        <f t="shared" si="28"/>
        <v>0</v>
      </c>
      <c r="X64" s="408">
        <f t="shared" si="28"/>
        <v>0</v>
      </c>
      <c r="Y64" s="408">
        <f t="shared" si="28"/>
        <v>0</v>
      </c>
      <c r="Z64" s="408">
        <f t="shared" si="28"/>
        <v>0</v>
      </c>
      <c r="AA64" s="408">
        <f t="shared" si="28"/>
        <v>0</v>
      </c>
      <c r="AB64" s="408">
        <f t="shared" si="28"/>
        <v>0</v>
      </c>
      <c r="AC64" s="408">
        <f t="shared" si="28"/>
        <v>0</v>
      </c>
      <c r="AD64" s="643"/>
      <c r="AE64" s="644"/>
      <c r="AF64" s="654" cm="1">
        <f t="array" ref="AF64">$E64*IFERROR(INDEX($E$11:$E$23,MATCH(MATCH(AF$8,$AF$8:$CA$8,0)-MATCH($D64,$D$33:$D$80,0),$D$11:$D$23,0),0),0)</f>
        <v>0</v>
      </c>
      <c r="AG64" s="654" cm="1">
        <f t="array" ref="AG64">$E64*IFERROR(INDEX($E$11:$E$23,MATCH(MATCH(AG$8,$AF$8:$CA$8,0)-MATCH($D64,$D$33:$D$80,0),$D$11:$D$23,0),0),0)</f>
        <v>0</v>
      </c>
      <c r="AH64" s="654" cm="1">
        <f t="array" ref="AH64">$E64*IFERROR(INDEX($E$11:$E$23,MATCH(MATCH(AH$8,$AF$8:$CA$8,0)-MATCH($D64,$D$33:$D$80,0),$D$11:$D$23,0),0),0)</f>
        <v>0</v>
      </c>
      <c r="AI64" s="654" cm="1">
        <f t="array" ref="AI64">$E64*IFERROR(INDEX($E$11:$E$23,MATCH(MATCH(AI$8,$AF$8:$CA$8,0)-MATCH($D64,$D$33:$D$80,0),$D$11:$D$23,0),0),0)</f>
        <v>0</v>
      </c>
      <c r="AJ64" s="654" cm="1">
        <f t="array" ref="AJ64">$E64*IFERROR(INDEX($E$11:$E$23,MATCH(MATCH(AJ$8,$AF$8:$CA$8,0)-MATCH($D64,$D$33:$D$80,0),$D$11:$D$23,0),0),0)</f>
        <v>0</v>
      </c>
      <c r="AK64" s="654" cm="1">
        <f t="array" ref="AK64">$E64*IFERROR(INDEX($E$11:$E$23,MATCH(MATCH(AK$8,$AF$8:$CA$8,0)-MATCH($D64,$D$33:$D$80,0),$D$11:$D$23,0),0),0)</f>
        <v>0</v>
      </c>
      <c r="AL64" s="654" cm="1">
        <f t="array" ref="AL64">$E64*IFERROR(INDEX($E$11:$E$23,MATCH(MATCH(AL$8,$AF$8:$CA$8,0)-MATCH($D64,$D$33:$D$80,0),$D$11:$D$23,0),0),0)</f>
        <v>0</v>
      </c>
      <c r="AM64" s="654" cm="1">
        <f t="array" ref="AM64">$E64*IFERROR(INDEX($E$11:$E$23,MATCH(MATCH(AM$8,$AF$8:$CA$8,0)-MATCH($D64,$D$33:$D$80,0),$D$11:$D$23,0),0),0)</f>
        <v>0</v>
      </c>
      <c r="AN64" s="654" cm="1">
        <f t="array" ref="AN64">$E64*IFERROR(INDEX($E$11:$E$23,MATCH(MATCH(AN$8,$AF$8:$CA$8,0)-MATCH($D64,$D$33:$D$80,0),$D$11:$D$23,0),0),0)</f>
        <v>0</v>
      </c>
      <c r="AO64" s="654" cm="1">
        <f t="array" ref="AO64">$E64*IFERROR(INDEX($E$11:$E$23,MATCH(MATCH(AO$8,$AF$8:$CA$8,0)-MATCH($D64,$D$33:$D$80,0),$D$11:$D$23,0),0),0)</f>
        <v>0</v>
      </c>
      <c r="AP64" s="654" cm="1">
        <f t="array" ref="AP64">$E64*IFERROR(INDEX($E$11:$E$23,MATCH(MATCH(AP$8,$AF$8:$CA$8,0)-MATCH($D64,$D$33:$D$80,0),$D$11:$D$23,0),0),0)</f>
        <v>0</v>
      </c>
      <c r="AQ64" s="654" cm="1">
        <f t="array" ref="AQ64">$E64*IFERROR(INDEX($E$11:$E$23,MATCH(MATCH(AQ$8,$AF$8:$CA$8,0)-MATCH($D64,$D$33:$D$80,0),$D$11:$D$23,0),0),0)</f>
        <v>0</v>
      </c>
      <c r="AR64" s="654" cm="1">
        <f t="array" ref="AR64">$E64*IFERROR(INDEX($E$11:$E$23,MATCH(MATCH(AR$8,$AF$8:$CA$8,0)-MATCH($D64,$D$33:$D$80,0),$D$11:$D$23,0),0),0)</f>
        <v>0</v>
      </c>
      <c r="AS64" s="654" cm="1">
        <f t="array" ref="AS64">$E64*IFERROR(INDEX($E$11:$E$23,MATCH(MATCH(AS$8,$AF$8:$CA$8,0)-MATCH($D64,$D$33:$D$80,0),$D$11:$D$23,0),0),0)</f>
        <v>0</v>
      </c>
      <c r="AT64" s="654" cm="1">
        <f t="array" ref="AT64">$E64*IFERROR(INDEX($E$11:$E$23,MATCH(MATCH(AT$8,$AF$8:$CA$8,0)-MATCH($D64,$D$33:$D$80,0),$D$11:$D$23,0),0),0)</f>
        <v>0</v>
      </c>
      <c r="AU64" s="654" cm="1">
        <f t="array" ref="AU64">$E64*IFERROR(INDEX($E$11:$E$23,MATCH(MATCH(AU$8,$AF$8:$CA$8,0)-MATCH($D64,$D$33:$D$80,0),$D$11:$D$23,0),0),0)</f>
        <v>0</v>
      </c>
      <c r="AV64" s="654" cm="1">
        <f t="array" ref="AV64">$E64*IFERROR(INDEX($E$11:$E$23,MATCH(MATCH(AV$8,$AF$8:$CA$8,0)-MATCH($D64,$D$33:$D$80,0),$D$11:$D$23,0),0),0)</f>
        <v>0</v>
      </c>
      <c r="AW64" s="654" cm="1">
        <f t="array" ref="AW64">$E64*IFERROR(INDEX($E$11:$E$23,MATCH(MATCH(AW$8,$AF$8:$CA$8,0)-MATCH($D64,$D$33:$D$80,0),$D$11:$D$23,0),0),0)</f>
        <v>0</v>
      </c>
      <c r="AX64" s="654" cm="1">
        <f t="array" ref="AX64">$E64*IFERROR(INDEX($E$11:$E$23,MATCH(MATCH(AX$8,$AF$8:$CA$8,0)-MATCH($D64,$D$33:$D$80,0),$D$11:$D$23,0),0),0)</f>
        <v>0</v>
      </c>
      <c r="AY64" s="654" cm="1">
        <f t="array" ref="AY64">$E64*IFERROR(INDEX($E$11:$E$23,MATCH(MATCH(AY$8,$AF$8:$CA$8,0)-MATCH($D64,$D$33:$D$80,0),$D$11:$D$23,0),0),0)</f>
        <v>0</v>
      </c>
      <c r="AZ64" s="654" cm="1">
        <f t="array" ref="AZ64">$E64*IFERROR(INDEX($E$11:$E$23,MATCH(MATCH(AZ$8,$AF$8:$CA$8,0)-MATCH($D64,$D$33:$D$80,0),$D$11:$D$23,0),0),0)</f>
        <v>0</v>
      </c>
      <c r="BA64" s="654" cm="1">
        <f t="array" ref="BA64">$E64*IFERROR(INDEX($E$11:$E$23,MATCH(MATCH(BA$8,$AF$8:$CA$8,0)-MATCH($D64,$D$33:$D$80,0),$D$11:$D$23,0),0),0)</f>
        <v>0</v>
      </c>
      <c r="BB64" s="654" cm="1">
        <f t="array" ref="BB64">$E64*IFERROR(INDEX($E$11:$E$23,MATCH(MATCH(BB$8,$AF$8:$CA$8,0)-MATCH($D64,$D$33:$D$80,0),$D$11:$D$23,0),0),0)</f>
        <v>0</v>
      </c>
      <c r="BC64" s="654" cm="1">
        <f t="array" ref="BC64">$E64*IFERROR(INDEX($E$11:$E$23,MATCH(MATCH(BC$8,$AF$8:$CA$8,0)-MATCH($D64,$D$33:$D$80,0),$D$11:$D$23,0),0),0)</f>
        <v>0</v>
      </c>
      <c r="BD64" s="654" cm="1">
        <f t="array" ref="BD64">$E64*IFERROR(INDEX($E$11:$E$23,MATCH(MATCH(BD$8,$AF$8:$CA$8,0)-MATCH($D64,$D$33:$D$80,0),$D$11:$D$23,0),0),0)</f>
        <v>0</v>
      </c>
      <c r="BE64" s="654" cm="1">
        <f t="array" ref="BE64">$E64*IFERROR(INDEX($E$11:$E$23,MATCH(MATCH(BE$8,$AF$8:$CA$8,0)-MATCH($D64,$D$33:$D$80,0),$D$11:$D$23,0),0),0)</f>
        <v>0</v>
      </c>
      <c r="BF64" s="654" cm="1">
        <f t="array" ref="BF64">$E64*IFERROR(INDEX($E$11:$E$23,MATCH(MATCH(BF$8,$AF$8:$CA$8,0)-MATCH($D64,$D$33:$D$80,0),$D$11:$D$23,0),0),0)</f>
        <v>0</v>
      </c>
      <c r="BG64" s="654" cm="1">
        <f t="array" ref="BG64">$E64*IFERROR(INDEX($E$11:$E$23,MATCH(MATCH(BG$8,$AF$8:$CA$8,0)-MATCH($D64,$D$33:$D$80,0),$D$11:$D$23,0),0),0)</f>
        <v>0</v>
      </c>
      <c r="BH64" s="654" cm="1">
        <f t="array" ref="BH64">$E64*IFERROR(INDEX($E$11:$E$23,MATCH(MATCH(BH$8,$AF$8:$CA$8,0)-MATCH($D64,$D$33:$D$80,0),$D$11:$D$23,0),0),0)</f>
        <v>0</v>
      </c>
      <c r="BI64" s="654" cm="1">
        <f t="array" ref="BI64">$E64*IFERROR(INDEX($E$11:$E$23,MATCH(MATCH(BI$8,$AF$8:$CA$8,0)-MATCH($D64,$D$33:$D$80,0),$D$11:$D$23,0),0),0)</f>
        <v>0</v>
      </c>
      <c r="BJ64" s="654" cm="1">
        <f t="array" ref="BJ64">$E64*IFERROR(INDEX($E$11:$E$23,MATCH(MATCH(BJ$8,$AF$8:$CA$8,0)-MATCH($D64,$D$33:$D$80,0),$D$11:$D$23,0),0),0)</f>
        <v>0</v>
      </c>
      <c r="BK64" s="654" cm="1">
        <f t="array" ref="BK64">$E64*IFERROR(INDEX($E$11:$E$23,MATCH(MATCH(BK$8,$AF$8:$CA$8,0)-MATCH($D64,$D$33:$D$80,0),$D$11:$D$23,0),0),0)</f>
        <v>0</v>
      </c>
      <c r="BL64" s="654" cm="1">
        <f t="array" ref="BL64">$E64*IFERROR(INDEX($E$11:$E$23,MATCH(MATCH(BL$8,$AF$8:$CA$8,0)-MATCH($D64,$D$33:$D$80,0),$D$11:$D$23,0),0),0)</f>
        <v>0</v>
      </c>
      <c r="BM64" s="654" cm="1">
        <f t="array" ref="BM64">$E64*IFERROR(INDEX($E$11:$E$23,MATCH(MATCH(BM$8,$AF$8:$CA$8,0)-MATCH($D64,$D$33:$D$80,0),$D$11:$D$23,0),0),0)</f>
        <v>0</v>
      </c>
      <c r="BN64" s="654" cm="1">
        <f t="array" ref="BN64">$E64*IFERROR(INDEX($E$11:$E$23,MATCH(MATCH(BN$8,$AF$8:$CA$8,0)-MATCH($D64,$D$33:$D$80,0),$D$11:$D$23,0),0),0)</f>
        <v>0</v>
      </c>
      <c r="BO64" s="654" cm="1">
        <f t="array" ref="BO64">$E64*IFERROR(INDEX($E$11:$E$23,MATCH(MATCH(BO$8,$AF$8:$CA$8,0)-MATCH($D64,$D$33:$D$80,0),$D$11:$D$23,0),0),0)</f>
        <v>0</v>
      </c>
      <c r="BP64" s="654" cm="1">
        <f t="array" ref="BP64">$E64*IFERROR(INDEX($E$11:$E$23,MATCH(MATCH(BP$8,$AF$8:$CA$8,0)-MATCH($D64,$D$33:$D$80,0),$D$11:$D$23,0),0),0)</f>
        <v>0</v>
      </c>
      <c r="BQ64" s="654" cm="1">
        <f t="array" ref="BQ64">$E64*IFERROR(INDEX($E$11:$E$23,MATCH(MATCH(BQ$8,$AF$8:$CA$8,0)-MATCH($D64,$D$33:$D$80,0),$D$11:$D$23,0),0),0)</f>
        <v>0</v>
      </c>
      <c r="BR64" s="654" cm="1">
        <f t="array" ref="BR64">$E64*IFERROR(INDEX($E$11:$E$23,MATCH(MATCH(BR$8,$AF$8:$CA$8,0)-MATCH($D64,$D$33:$D$80,0),$D$11:$D$23,0),0),0)</f>
        <v>0</v>
      </c>
      <c r="BS64" s="654" cm="1">
        <f t="array" ref="BS64">$E64*IFERROR(INDEX($E$11:$E$23,MATCH(MATCH(BS$8,$AF$8:$CA$8,0)-MATCH($D64,$D$33:$D$80,0),$D$11:$D$23,0),0),0)</f>
        <v>0</v>
      </c>
      <c r="BT64" s="654" cm="1">
        <f t="array" ref="BT64">$E64*IFERROR(INDEX($E$11:$E$23,MATCH(MATCH(BT$8,$AF$8:$CA$8,0)-MATCH($D64,$D$33:$D$80,0),$D$11:$D$23,0),0),0)</f>
        <v>0</v>
      </c>
      <c r="BU64" s="654" cm="1">
        <f t="array" ref="BU64">$E64*IFERROR(INDEX($E$11:$E$23,MATCH(MATCH(BU$8,$AF$8:$CA$8,0)-MATCH($D64,$D$33:$D$80,0),$D$11:$D$23,0),0),0)</f>
        <v>0</v>
      </c>
      <c r="BV64" s="654" cm="1">
        <f t="array" ref="BV64">$E64*IFERROR(INDEX($E$11:$E$23,MATCH(MATCH(BV$8,$AF$8:$CA$8,0)-MATCH($D64,$D$33:$D$80,0),$D$11:$D$23,0),0),0)</f>
        <v>0</v>
      </c>
      <c r="BW64" s="654" cm="1">
        <f t="array" ref="BW64">$E64*IFERROR(INDEX($E$11:$E$23,MATCH(MATCH(BW$8,$AF$8:$CA$8,0)-MATCH($D64,$D$33:$D$80,0),$D$11:$D$23,0),0),0)</f>
        <v>0</v>
      </c>
      <c r="BX64" s="654" cm="1">
        <f t="array" ref="BX64">$E64*IFERROR(INDEX($E$11:$E$23,MATCH(MATCH(BX$8,$AF$8:$CA$8,0)-MATCH($D64,$D$33:$D$80,0),$D$11:$D$23,0),0),0)</f>
        <v>0</v>
      </c>
      <c r="BY64" s="654" cm="1">
        <f t="array" ref="BY64">$E64*IFERROR(INDEX($E$11:$E$23,MATCH(MATCH(BY$8,$AF$8:$CA$8,0)-MATCH($D64,$D$33:$D$80,0),$D$11:$D$23,0),0),0)</f>
        <v>0</v>
      </c>
      <c r="BZ64" s="654" cm="1">
        <f t="array" ref="BZ64">$E64*IFERROR(INDEX($E$11:$E$23,MATCH(MATCH(BZ$8,$AF$8:$CA$8,0)-MATCH($D64,$D$33:$D$80,0),$D$11:$D$23,0),0),0)</f>
        <v>0</v>
      </c>
      <c r="CA64" s="654" cm="1">
        <f t="array" ref="CA64">$E64*IFERROR(INDEX($E$11:$E$23,MATCH(MATCH(CA$8,$AF$8:$CA$8,0)-MATCH($D64,$D$33:$D$80,0),$D$11:$D$23,0),0),0)</f>
        <v>0</v>
      </c>
    </row>
    <row r="65" spans="2:79" ht="21" hidden="1" customHeight="1" outlineLevel="2">
      <c r="B65" s="367"/>
      <c r="C65" s="370"/>
      <c r="D65" s="374">
        <f t="shared" si="24"/>
        <v>45930</v>
      </c>
      <c r="E65" s="653" cm="1">
        <f t="array" ref="E65">IF($D65&lt;=LatestMonthOfActuals,0,INDEX($AF$28:$CA$28,0,MATCH($D65,$AF$8:$CA$8,0)))</f>
        <v>0</v>
      </c>
      <c r="F65" s="643"/>
      <c r="G65" s="644"/>
      <c r="H65" s="408">
        <f t="shared" si="26"/>
        <v>0</v>
      </c>
      <c r="I65" s="408">
        <f t="shared" si="26"/>
        <v>0</v>
      </c>
      <c r="J65" s="408">
        <f t="shared" si="26"/>
        <v>0</v>
      </c>
      <c r="K65" s="408">
        <f t="shared" si="26"/>
        <v>0</v>
      </c>
      <c r="L65" s="643"/>
      <c r="M65" s="644"/>
      <c r="N65" s="408">
        <f t="shared" si="28"/>
        <v>0</v>
      </c>
      <c r="O65" s="408">
        <f t="shared" si="28"/>
        <v>0</v>
      </c>
      <c r="P65" s="408">
        <f t="shared" si="28"/>
        <v>0</v>
      </c>
      <c r="Q65" s="408">
        <f t="shared" si="28"/>
        <v>0</v>
      </c>
      <c r="R65" s="408">
        <f t="shared" si="28"/>
        <v>0</v>
      </c>
      <c r="S65" s="408">
        <f t="shared" si="28"/>
        <v>0</v>
      </c>
      <c r="T65" s="408">
        <f t="shared" si="28"/>
        <v>0</v>
      </c>
      <c r="U65" s="408">
        <f t="shared" si="28"/>
        <v>0</v>
      </c>
      <c r="V65" s="408">
        <f t="shared" si="28"/>
        <v>0</v>
      </c>
      <c r="W65" s="408">
        <f t="shared" si="28"/>
        <v>0</v>
      </c>
      <c r="X65" s="408">
        <f t="shared" si="28"/>
        <v>0</v>
      </c>
      <c r="Y65" s="408">
        <f t="shared" si="28"/>
        <v>0</v>
      </c>
      <c r="Z65" s="408">
        <f t="shared" si="28"/>
        <v>0</v>
      </c>
      <c r="AA65" s="408">
        <f t="shared" si="28"/>
        <v>0</v>
      </c>
      <c r="AB65" s="408">
        <f t="shared" si="28"/>
        <v>0</v>
      </c>
      <c r="AC65" s="408">
        <f t="shared" si="28"/>
        <v>0</v>
      </c>
      <c r="AD65" s="643"/>
      <c r="AE65" s="644"/>
      <c r="AF65" s="654" cm="1">
        <f t="array" ref="AF65">$E65*IFERROR(INDEX($E$11:$E$23,MATCH(MATCH(AF$8,$AF$8:$CA$8,0)-MATCH($D65,$D$33:$D$80,0),$D$11:$D$23,0),0),0)</f>
        <v>0</v>
      </c>
      <c r="AG65" s="654" cm="1">
        <f t="array" ref="AG65">$E65*IFERROR(INDEX($E$11:$E$23,MATCH(MATCH(AG$8,$AF$8:$CA$8,0)-MATCH($D65,$D$33:$D$80,0),$D$11:$D$23,0),0),0)</f>
        <v>0</v>
      </c>
      <c r="AH65" s="654" cm="1">
        <f t="array" ref="AH65">$E65*IFERROR(INDEX($E$11:$E$23,MATCH(MATCH(AH$8,$AF$8:$CA$8,0)-MATCH($D65,$D$33:$D$80,0),$D$11:$D$23,0),0),0)</f>
        <v>0</v>
      </c>
      <c r="AI65" s="654" cm="1">
        <f t="array" ref="AI65">$E65*IFERROR(INDEX($E$11:$E$23,MATCH(MATCH(AI$8,$AF$8:$CA$8,0)-MATCH($D65,$D$33:$D$80,0),$D$11:$D$23,0),0),0)</f>
        <v>0</v>
      </c>
      <c r="AJ65" s="654" cm="1">
        <f t="array" ref="AJ65">$E65*IFERROR(INDEX($E$11:$E$23,MATCH(MATCH(AJ$8,$AF$8:$CA$8,0)-MATCH($D65,$D$33:$D$80,0),$D$11:$D$23,0),0),0)</f>
        <v>0</v>
      </c>
      <c r="AK65" s="654" cm="1">
        <f t="array" ref="AK65">$E65*IFERROR(INDEX($E$11:$E$23,MATCH(MATCH(AK$8,$AF$8:$CA$8,0)-MATCH($D65,$D$33:$D$80,0),$D$11:$D$23,0),0),0)</f>
        <v>0</v>
      </c>
      <c r="AL65" s="654" cm="1">
        <f t="array" ref="AL65">$E65*IFERROR(INDEX($E$11:$E$23,MATCH(MATCH(AL$8,$AF$8:$CA$8,0)-MATCH($D65,$D$33:$D$80,0),$D$11:$D$23,0),0),0)</f>
        <v>0</v>
      </c>
      <c r="AM65" s="654" cm="1">
        <f t="array" ref="AM65">$E65*IFERROR(INDEX($E$11:$E$23,MATCH(MATCH(AM$8,$AF$8:$CA$8,0)-MATCH($D65,$D$33:$D$80,0),$D$11:$D$23,0),0),0)</f>
        <v>0</v>
      </c>
      <c r="AN65" s="654" cm="1">
        <f t="array" ref="AN65">$E65*IFERROR(INDEX($E$11:$E$23,MATCH(MATCH(AN$8,$AF$8:$CA$8,0)-MATCH($D65,$D$33:$D$80,0),$D$11:$D$23,0),0),0)</f>
        <v>0</v>
      </c>
      <c r="AO65" s="654" cm="1">
        <f t="array" ref="AO65">$E65*IFERROR(INDEX($E$11:$E$23,MATCH(MATCH(AO$8,$AF$8:$CA$8,0)-MATCH($D65,$D$33:$D$80,0),$D$11:$D$23,0),0),0)</f>
        <v>0</v>
      </c>
      <c r="AP65" s="654" cm="1">
        <f t="array" ref="AP65">$E65*IFERROR(INDEX($E$11:$E$23,MATCH(MATCH(AP$8,$AF$8:$CA$8,0)-MATCH($D65,$D$33:$D$80,0),$D$11:$D$23,0),0),0)</f>
        <v>0</v>
      </c>
      <c r="AQ65" s="654" cm="1">
        <f t="array" ref="AQ65">$E65*IFERROR(INDEX($E$11:$E$23,MATCH(MATCH(AQ$8,$AF$8:$CA$8,0)-MATCH($D65,$D$33:$D$80,0),$D$11:$D$23,0),0),0)</f>
        <v>0</v>
      </c>
      <c r="AR65" s="654" cm="1">
        <f t="array" ref="AR65">$E65*IFERROR(INDEX($E$11:$E$23,MATCH(MATCH(AR$8,$AF$8:$CA$8,0)-MATCH($D65,$D$33:$D$80,0),$D$11:$D$23,0),0),0)</f>
        <v>0</v>
      </c>
      <c r="AS65" s="654" cm="1">
        <f t="array" ref="AS65">$E65*IFERROR(INDEX($E$11:$E$23,MATCH(MATCH(AS$8,$AF$8:$CA$8,0)-MATCH($D65,$D$33:$D$80,0),$D$11:$D$23,0),0),0)</f>
        <v>0</v>
      </c>
      <c r="AT65" s="654" cm="1">
        <f t="array" ref="AT65">$E65*IFERROR(INDEX($E$11:$E$23,MATCH(MATCH(AT$8,$AF$8:$CA$8,0)-MATCH($D65,$D$33:$D$80,0),$D$11:$D$23,0),0),0)</f>
        <v>0</v>
      </c>
      <c r="AU65" s="654" cm="1">
        <f t="array" ref="AU65">$E65*IFERROR(INDEX($E$11:$E$23,MATCH(MATCH(AU$8,$AF$8:$CA$8,0)-MATCH($D65,$D$33:$D$80,0),$D$11:$D$23,0),0),0)</f>
        <v>0</v>
      </c>
      <c r="AV65" s="654" cm="1">
        <f t="array" ref="AV65">$E65*IFERROR(INDEX($E$11:$E$23,MATCH(MATCH(AV$8,$AF$8:$CA$8,0)-MATCH($D65,$D$33:$D$80,0),$D$11:$D$23,0),0),0)</f>
        <v>0</v>
      </c>
      <c r="AW65" s="654" cm="1">
        <f t="array" ref="AW65">$E65*IFERROR(INDEX($E$11:$E$23,MATCH(MATCH(AW$8,$AF$8:$CA$8,0)-MATCH($D65,$D$33:$D$80,0),$D$11:$D$23,0),0),0)</f>
        <v>0</v>
      </c>
      <c r="AX65" s="654" cm="1">
        <f t="array" ref="AX65">$E65*IFERROR(INDEX($E$11:$E$23,MATCH(MATCH(AX$8,$AF$8:$CA$8,0)-MATCH($D65,$D$33:$D$80,0),$D$11:$D$23,0),0),0)</f>
        <v>0</v>
      </c>
      <c r="AY65" s="654" cm="1">
        <f t="array" ref="AY65">$E65*IFERROR(INDEX($E$11:$E$23,MATCH(MATCH(AY$8,$AF$8:$CA$8,0)-MATCH($D65,$D$33:$D$80,0),$D$11:$D$23,0),0),0)</f>
        <v>0</v>
      </c>
      <c r="AZ65" s="654" cm="1">
        <f t="array" ref="AZ65">$E65*IFERROR(INDEX($E$11:$E$23,MATCH(MATCH(AZ$8,$AF$8:$CA$8,0)-MATCH($D65,$D$33:$D$80,0),$D$11:$D$23,0),0),0)</f>
        <v>0</v>
      </c>
      <c r="BA65" s="654" cm="1">
        <f t="array" ref="BA65">$E65*IFERROR(INDEX($E$11:$E$23,MATCH(MATCH(BA$8,$AF$8:$CA$8,0)-MATCH($D65,$D$33:$D$80,0),$D$11:$D$23,0),0),0)</f>
        <v>0</v>
      </c>
      <c r="BB65" s="654" cm="1">
        <f t="array" ref="BB65">$E65*IFERROR(INDEX($E$11:$E$23,MATCH(MATCH(BB$8,$AF$8:$CA$8,0)-MATCH($D65,$D$33:$D$80,0),$D$11:$D$23,0),0),0)</f>
        <v>0</v>
      </c>
      <c r="BC65" s="654" cm="1">
        <f t="array" ref="BC65">$E65*IFERROR(INDEX($E$11:$E$23,MATCH(MATCH(BC$8,$AF$8:$CA$8,0)-MATCH($D65,$D$33:$D$80,0),$D$11:$D$23,0),0),0)</f>
        <v>0</v>
      </c>
      <c r="BD65" s="654" cm="1">
        <f t="array" ref="BD65">$E65*IFERROR(INDEX($E$11:$E$23,MATCH(MATCH(BD$8,$AF$8:$CA$8,0)-MATCH($D65,$D$33:$D$80,0),$D$11:$D$23,0),0),0)</f>
        <v>0</v>
      </c>
      <c r="BE65" s="654" cm="1">
        <f t="array" ref="BE65">$E65*IFERROR(INDEX($E$11:$E$23,MATCH(MATCH(BE$8,$AF$8:$CA$8,0)-MATCH($D65,$D$33:$D$80,0),$D$11:$D$23,0),0),0)</f>
        <v>0</v>
      </c>
      <c r="BF65" s="654" cm="1">
        <f t="array" ref="BF65">$E65*IFERROR(INDEX($E$11:$E$23,MATCH(MATCH(BF$8,$AF$8:$CA$8,0)-MATCH($D65,$D$33:$D$80,0),$D$11:$D$23,0),0),0)</f>
        <v>0</v>
      </c>
      <c r="BG65" s="654" cm="1">
        <f t="array" ref="BG65">$E65*IFERROR(INDEX($E$11:$E$23,MATCH(MATCH(BG$8,$AF$8:$CA$8,0)-MATCH($D65,$D$33:$D$80,0),$D$11:$D$23,0),0),0)</f>
        <v>0</v>
      </c>
      <c r="BH65" s="654" cm="1">
        <f t="array" ref="BH65">$E65*IFERROR(INDEX($E$11:$E$23,MATCH(MATCH(BH$8,$AF$8:$CA$8,0)-MATCH($D65,$D$33:$D$80,0),$D$11:$D$23,0),0),0)</f>
        <v>0</v>
      </c>
      <c r="BI65" s="654" cm="1">
        <f t="array" ref="BI65">$E65*IFERROR(INDEX($E$11:$E$23,MATCH(MATCH(BI$8,$AF$8:$CA$8,0)-MATCH($D65,$D$33:$D$80,0),$D$11:$D$23,0),0),0)</f>
        <v>0</v>
      </c>
      <c r="BJ65" s="654" cm="1">
        <f t="array" ref="BJ65">$E65*IFERROR(INDEX($E$11:$E$23,MATCH(MATCH(BJ$8,$AF$8:$CA$8,0)-MATCH($D65,$D$33:$D$80,0),$D$11:$D$23,0),0),0)</f>
        <v>0</v>
      </c>
      <c r="BK65" s="654" cm="1">
        <f t="array" ref="BK65">$E65*IFERROR(INDEX($E$11:$E$23,MATCH(MATCH(BK$8,$AF$8:$CA$8,0)-MATCH($D65,$D$33:$D$80,0),$D$11:$D$23,0),0),0)</f>
        <v>0</v>
      </c>
      <c r="BL65" s="654" cm="1">
        <f t="array" ref="BL65">$E65*IFERROR(INDEX($E$11:$E$23,MATCH(MATCH(BL$8,$AF$8:$CA$8,0)-MATCH($D65,$D$33:$D$80,0),$D$11:$D$23,0),0),0)</f>
        <v>0</v>
      </c>
      <c r="BM65" s="654" cm="1">
        <f t="array" ref="BM65">$E65*IFERROR(INDEX($E$11:$E$23,MATCH(MATCH(BM$8,$AF$8:$CA$8,0)-MATCH($D65,$D$33:$D$80,0),$D$11:$D$23,0),0),0)</f>
        <v>0</v>
      </c>
      <c r="BN65" s="654" cm="1">
        <f t="array" ref="BN65">$E65*IFERROR(INDEX($E$11:$E$23,MATCH(MATCH(BN$8,$AF$8:$CA$8,0)-MATCH($D65,$D$33:$D$80,0),$D$11:$D$23,0),0),0)</f>
        <v>0</v>
      </c>
      <c r="BO65" s="654" cm="1">
        <f t="array" ref="BO65">$E65*IFERROR(INDEX($E$11:$E$23,MATCH(MATCH(BO$8,$AF$8:$CA$8,0)-MATCH($D65,$D$33:$D$80,0),$D$11:$D$23,0),0),0)</f>
        <v>0</v>
      </c>
      <c r="BP65" s="654" cm="1">
        <f t="array" ref="BP65">$E65*IFERROR(INDEX($E$11:$E$23,MATCH(MATCH(BP$8,$AF$8:$CA$8,0)-MATCH($D65,$D$33:$D$80,0),$D$11:$D$23,0),0),0)</f>
        <v>0</v>
      </c>
      <c r="BQ65" s="654" cm="1">
        <f t="array" ref="BQ65">$E65*IFERROR(INDEX($E$11:$E$23,MATCH(MATCH(BQ$8,$AF$8:$CA$8,0)-MATCH($D65,$D$33:$D$80,0),$D$11:$D$23,0),0),0)</f>
        <v>0</v>
      </c>
      <c r="BR65" s="654" cm="1">
        <f t="array" ref="BR65">$E65*IFERROR(INDEX($E$11:$E$23,MATCH(MATCH(BR$8,$AF$8:$CA$8,0)-MATCH($D65,$D$33:$D$80,0),$D$11:$D$23,0),0),0)</f>
        <v>0</v>
      </c>
      <c r="BS65" s="654" cm="1">
        <f t="array" ref="BS65">$E65*IFERROR(INDEX($E$11:$E$23,MATCH(MATCH(BS$8,$AF$8:$CA$8,0)-MATCH($D65,$D$33:$D$80,0),$D$11:$D$23,0),0),0)</f>
        <v>0</v>
      </c>
      <c r="BT65" s="654" cm="1">
        <f t="array" ref="BT65">$E65*IFERROR(INDEX($E$11:$E$23,MATCH(MATCH(BT$8,$AF$8:$CA$8,0)-MATCH($D65,$D$33:$D$80,0),$D$11:$D$23,0),0),0)</f>
        <v>0</v>
      </c>
      <c r="BU65" s="654" cm="1">
        <f t="array" ref="BU65">$E65*IFERROR(INDEX($E$11:$E$23,MATCH(MATCH(BU$8,$AF$8:$CA$8,0)-MATCH($D65,$D$33:$D$80,0),$D$11:$D$23,0),0),0)</f>
        <v>0</v>
      </c>
      <c r="BV65" s="654" cm="1">
        <f t="array" ref="BV65">$E65*IFERROR(INDEX($E$11:$E$23,MATCH(MATCH(BV$8,$AF$8:$CA$8,0)-MATCH($D65,$D$33:$D$80,0),$D$11:$D$23,0),0),0)</f>
        <v>0</v>
      </c>
      <c r="BW65" s="654" cm="1">
        <f t="array" ref="BW65">$E65*IFERROR(INDEX($E$11:$E$23,MATCH(MATCH(BW$8,$AF$8:$CA$8,0)-MATCH($D65,$D$33:$D$80,0),$D$11:$D$23,0),0),0)</f>
        <v>0</v>
      </c>
      <c r="BX65" s="654" cm="1">
        <f t="array" ref="BX65">$E65*IFERROR(INDEX($E$11:$E$23,MATCH(MATCH(BX$8,$AF$8:$CA$8,0)-MATCH($D65,$D$33:$D$80,0),$D$11:$D$23,0),0),0)</f>
        <v>0</v>
      </c>
      <c r="BY65" s="654" cm="1">
        <f t="array" ref="BY65">$E65*IFERROR(INDEX($E$11:$E$23,MATCH(MATCH(BY$8,$AF$8:$CA$8,0)-MATCH($D65,$D$33:$D$80,0),$D$11:$D$23,0),0),0)</f>
        <v>0</v>
      </c>
      <c r="BZ65" s="654" cm="1">
        <f t="array" ref="BZ65">$E65*IFERROR(INDEX($E$11:$E$23,MATCH(MATCH(BZ$8,$AF$8:$CA$8,0)-MATCH($D65,$D$33:$D$80,0),$D$11:$D$23,0),0),0)</f>
        <v>0</v>
      </c>
      <c r="CA65" s="654" cm="1">
        <f t="array" ref="CA65">$E65*IFERROR(INDEX($E$11:$E$23,MATCH(MATCH(CA$8,$AF$8:$CA$8,0)-MATCH($D65,$D$33:$D$80,0),$D$11:$D$23,0),0),0)</f>
        <v>0</v>
      </c>
    </row>
    <row r="66" spans="2:79" ht="21" hidden="1" customHeight="1" outlineLevel="2">
      <c r="B66" s="367"/>
      <c r="C66" s="370"/>
      <c r="D66" s="374">
        <f t="shared" si="24"/>
        <v>45961</v>
      </c>
      <c r="E66" s="653" cm="1">
        <f t="array" ref="E66">IF($D66&lt;=LatestMonthOfActuals,0,INDEX($AF$28:$CA$28,0,MATCH($D66,$AF$8:$CA$8,0)))</f>
        <v>0</v>
      </c>
      <c r="F66" s="643"/>
      <c r="G66" s="644"/>
      <c r="H66" s="408">
        <f t="shared" si="26"/>
        <v>0</v>
      </c>
      <c r="I66" s="408">
        <f t="shared" si="26"/>
        <v>0</v>
      </c>
      <c r="J66" s="408">
        <f t="shared" si="26"/>
        <v>0</v>
      </c>
      <c r="K66" s="408">
        <f t="shared" si="26"/>
        <v>0</v>
      </c>
      <c r="L66" s="643"/>
      <c r="M66" s="644"/>
      <c r="N66" s="408">
        <f t="shared" si="28"/>
        <v>0</v>
      </c>
      <c r="O66" s="408">
        <f t="shared" si="28"/>
        <v>0</v>
      </c>
      <c r="P66" s="408">
        <f t="shared" si="28"/>
        <v>0</v>
      </c>
      <c r="Q66" s="408">
        <f t="shared" si="28"/>
        <v>0</v>
      </c>
      <c r="R66" s="408">
        <f t="shared" si="28"/>
        <v>0</v>
      </c>
      <c r="S66" s="408">
        <f t="shared" si="28"/>
        <v>0</v>
      </c>
      <c r="T66" s="408">
        <f t="shared" si="28"/>
        <v>0</v>
      </c>
      <c r="U66" s="408">
        <f t="shared" si="28"/>
        <v>0</v>
      </c>
      <c r="V66" s="408">
        <f t="shared" si="28"/>
        <v>0</v>
      </c>
      <c r="W66" s="408">
        <f t="shared" si="28"/>
        <v>0</v>
      </c>
      <c r="X66" s="408">
        <f t="shared" si="28"/>
        <v>0</v>
      </c>
      <c r="Y66" s="408">
        <f t="shared" si="28"/>
        <v>0</v>
      </c>
      <c r="Z66" s="408">
        <f t="shared" si="28"/>
        <v>0</v>
      </c>
      <c r="AA66" s="408">
        <f t="shared" si="28"/>
        <v>0</v>
      </c>
      <c r="AB66" s="408">
        <f t="shared" si="28"/>
        <v>0</v>
      </c>
      <c r="AC66" s="408">
        <f t="shared" si="28"/>
        <v>0</v>
      </c>
      <c r="AD66" s="643"/>
      <c r="AE66" s="644"/>
      <c r="AF66" s="654" cm="1">
        <f t="array" ref="AF66">$E66*IFERROR(INDEX($E$11:$E$23,MATCH(MATCH(AF$8,$AF$8:$CA$8,0)-MATCH($D66,$D$33:$D$80,0),$D$11:$D$23,0),0),0)</f>
        <v>0</v>
      </c>
      <c r="AG66" s="654" cm="1">
        <f t="array" ref="AG66">$E66*IFERROR(INDEX($E$11:$E$23,MATCH(MATCH(AG$8,$AF$8:$CA$8,0)-MATCH($D66,$D$33:$D$80,0),$D$11:$D$23,0),0),0)</f>
        <v>0</v>
      </c>
      <c r="AH66" s="654" cm="1">
        <f t="array" ref="AH66">$E66*IFERROR(INDEX($E$11:$E$23,MATCH(MATCH(AH$8,$AF$8:$CA$8,0)-MATCH($D66,$D$33:$D$80,0),$D$11:$D$23,0),0),0)</f>
        <v>0</v>
      </c>
      <c r="AI66" s="654" cm="1">
        <f t="array" ref="AI66">$E66*IFERROR(INDEX($E$11:$E$23,MATCH(MATCH(AI$8,$AF$8:$CA$8,0)-MATCH($D66,$D$33:$D$80,0),$D$11:$D$23,0),0),0)</f>
        <v>0</v>
      </c>
      <c r="AJ66" s="654" cm="1">
        <f t="array" ref="AJ66">$E66*IFERROR(INDEX($E$11:$E$23,MATCH(MATCH(AJ$8,$AF$8:$CA$8,0)-MATCH($D66,$D$33:$D$80,0),$D$11:$D$23,0),0),0)</f>
        <v>0</v>
      </c>
      <c r="AK66" s="654" cm="1">
        <f t="array" ref="AK66">$E66*IFERROR(INDEX($E$11:$E$23,MATCH(MATCH(AK$8,$AF$8:$CA$8,0)-MATCH($D66,$D$33:$D$80,0),$D$11:$D$23,0),0),0)</f>
        <v>0</v>
      </c>
      <c r="AL66" s="654" cm="1">
        <f t="array" ref="AL66">$E66*IFERROR(INDEX($E$11:$E$23,MATCH(MATCH(AL$8,$AF$8:$CA$8,0)-MATCH($D66,$D$33:$D$80,0),$D$11:$D$23,0),0),0)</f>
        <v>0</v>
      </c>
      <c r="AM66" s="654" cm="1">
        <f t="array" ref="AM66">$E66*IFERROR(INDEX($E$11:$E$23,MATCH(MATCH(AM$8,$AF$8:$CA$8,0)-MATCH($D66,$D$33:$D$80,0),$D$11:$D$23,0),0),0)</f>
        <v>0</v>
      </c>
      <c r="AN66" s="654" cm="1">
        <f t="array" ref="AN66">$E66*IFERROR(INDEX($E$11:$E$23,MATCH(MATCH(AN$8,$AF$8:$CA$8,0)-MATCH($D66,$D$33:$D$80,0),$D$11:$D$23,0),0),0)</f>
        <v>0</v>
      </c>
      <c r="AO66" s="654" cm="1">
        <f t="array" ref="AO66">$E66*IFERROR(INDEX($E$11:$E$23,MATCH(MATCH(AO$8,$AF$8:$CA$8,0)-MATCH($D66,$D$33:$D$80,0),$D$11:$D$23,0),0),0)</f>
        <v>0</v>
      </c>
      <c r="AP66" s="654" cm="1">
        <f t="array" ref="AP66">$E66*IFERROR(INDEX($E$11:$E$23,MATCH(MATCH(AP$8,$AF$8:$CA$8,0)-MATCH($D66,$D$33:$D$80,0),$D$11:$D$23,0),0),0)</f>
        <v>0</v>
      </c>
      <c r="AQ66" s="654" cm="1">
        <f t="array" ref="AQ66">$E66*IFERROR(INDEX($E$11:$E$23,MATCH(MATCH(AQ$8,$AF$8:$CA$8,0)-MATCH($D66,$D$33:$D$80,0),$D$11:$D$23,0),0),0)</f>
        <v>0</v>
      </c>
      <c r="AR66" s="654" cm="1">
        <f t="array" ref="AR66">$E66*IFERROR(INDEX($E$11:$E$23,MATCH(MATCH(AR$8,$AF$8:$CA$8,0)-MATCH($D66,$D$33:$D$80,0),$D$11:$D$23,0),0),0)</f>
        <v>0</v>
      </c>
      <c r="AS66" s="654" cm="1">
        <f t="array" ref="AS66">$E66*IFERROR(INDEX($E$11:$E$23,MATCH(MATCH(AS$8,$AF$8:$CA$8,0)-MATCH($D66,$D$33:$D$80,0),$D$11:$D$23,0),0),0)</f>
        <v>0</v>
      </c>
      <c r="AT66" s="654" cm="1">
        <f t="array" ref="AT66">$E66*IFERROR(INDEX($E$11:$E$23,MATCH(MATCH(AT$8,$AF$8:$CA$8,0)-MATCH($D66,$D$33:$D$80,0),$D$11:$D$23,0),0),0)</f>
        <v>0</v>
      </c>
      <c r="AU66" s="654" cm="1">
        <f t="array" ref="AU66">$E66*IFERROR(INDEX($E$11:$E$23,MATCH(MATCH(AU$8,$AF$8:$CA$8,0)-MATCH($D66,$D$33:$D$80,0),$D$11:$D$23,0),0),0)</f>
        <v>0</v>
      </c>
      <c r="AV66" s="654" cm="1">
        <f t="array" ref="AV66">$E66*IFERROR(INDEX($E$11:$E$23,MATCH(MATCH(AV$8,$AF$8:$CA$8,0)-MATCH($D66,$D$33:$D$80,0),$D$11:$D$23,0),0),0)</f>
        <v>0</v>
      </c>
      <c r="AW66" s="654" cm="1">
        <f t="array" ref="AW66">$E66*IFERROR(INDEX($E$11:$E$23,MATCH(MATCH(AW$8,$AF$8:$CA$8,0)-MATCH($D66,$D$33:$D$80,0),$D$11:$D$23,0),0),0)</f>
        <v>0</v>
      </c>
      <c r="AX66" s="654" cm="1">
        <f t="array" ref="AX66">$E66*IFERROR(INDEX($E$11:$E$23,MATCH(MATCH(AX$8,$AF$8:$CA$8,0)-MATCH($D66,$D$33:$D$80,0),$D$11:$D$23,0),0),0)</f>
        <v>0</v>
      </c>
      <c r="AY66" s="654" cm="1">
        <f t="array" ref="AY66">$E66*IFERROR(INDEX($E$11:$E$23,MATCH(MATCH(AY$8,$AF$8:$CA$8,0)-MATCH($D66,$D$33:$D$80,0),$D$11:$D$23,0),0),0)</f>
        <v>0</v>
      </c>
      <c r="AZ66" s="654" cm="1">
        <f t="array" ref="AZ66">$E66*IFERROR(INDEX($E$11:$E$23,MATCH(MATCH(AZ$8,$AF$8:$CA$8,0)-MATCH($D66,$D$33:$D$80,0),$D$11:$D$23,0),0),0)</f>
        <v>0</v>
      </c>
      <c r="BA66" s="654" cm="1">
        <f t="array" ref="BA66">$E66*IFERROR(INDEX($E$11:$E$23,MATCH(MATCH(BA$8,$AF$8:$CA$8,0)-MATCH($D66,$D$33:$D$80,0),$D$11:$D$23,0),0),0)</f>
        <v>0</v>
      </c>
      <c r="BB66" s="654" cm="1">
        <f t="array" ref="BB66">$E66*IFERROR(INDEX($E$11:$E$23,MATCH(MATCH(BB$8,$AF$8:$CA$8,0)-MATCH($D66,$D$33:$D$80,0),$D$11:$D$23,0),0),0)</f>
        <v>0</v>
      </c>
      <c r="BC66" s="654" cm="1">
        <f t="array" ref="BC66">$E66*IFERROR(INDEX($E$11:$E$23,MATCH(MATCH(BC$8,$AF$8:$CA$8,0)-MATCH($D66,$D$33:$D$80,0),$D$11:$D$23,0),0),0)</f>
        <v>0</v>
      </c>
      <c r="BD66" s="654" cm="1">
        <f t="array" ref="BD66">$E66*IFERROR(INDEX($E$11:$E$23,MATCH(MATCH(BD$8,$AF$8:$CA$8,0)-MATCH($D66,$D$33:$D$80,0),$D$11:$D$23,0),0),0)</f>
        <v>0</v>
      </c>
      <c r="BE66" s="654" cm="1">
        <f t="array" ref="BE66">$E66*IFERROR(INDEX($E$11:$E$23,MATCH(MATCH(BE$8,$AF$8:$CA$8,0)-MATCH($D66,$D$33:$D$80,0),$D$11:$D$23,0),0),0)</f>
        <v>0</v>
      </c>
      <c r="BF66" s="654" cm="1">
        <f t="array" ref="BF66">$E66*IFERROR(INDEX($E$11:$E$23,MATCH(MATCH(BF$8,$AF$8:$CA$8,0)-MATCH($D66,$D$33:$D$80,0),$D$11:$D$23,0),0),0)</f>
        <v>0</v>
      </c>
      <c r="BG66" s="654" cm="1">
        <f t="array" ref="BG66">$E66*IFERROR(INDEX($E$11:$E$23,MATCH(MATCH(BG$8,$AF$8:$CA$8,0)-MATCH($D66,$D$33:$D$80,0),$D$11:$D$23,0),0),0)</f>
        <v>0</v>
      </c>
      <c r="BH66" s="654" cm="1">
        <f t="array" ref="BH66">$E66*IFERROR(INDEX($E$11:$E$23,MATCH(MATCH(BH$8,$AF$8:$CA$8,0)-MATCH($D66,$D$33:$D$80,0),$D$11:$D$23,0),0),0)</f>
        <v>0</v>
      </c>
      <c r="BI66" s="654" cm="1">
        <f t="array" ref="BI66">$E66*IFERROR(INDEX($E$11:$E$23,MATCH(MATCH(BI$8,$AF$8:$CA$8,0)-MATCH($D66,$D$33:$D$80,0),$D$11:$D$23,0),0),0)</f>
        <v>0</v>
      </c>
      <c r="BJ66" s="654" cm="1">
        <f t="array" ref="BJ66">$E66*IFERROR(INDEX($E$11:$E$23,MATCH(MATCH(BJ$8,$AF$8:$CA$8,0)-MATCH($D66,$D$33:$D$80,0),$D$11:$D$23,0),0),0)</f>
        <v>0</v>
      </c>
      <c r="BK66" s="654" cm="1">
        <f t="array" ref="BK66">$E66*IFERROR(INDEX($E$11:$E$23,MATCH(MATCH(BK$8,$AF$8:$CA$8,0)-MATCH($D66,$D$33:$D$80,0),$D$11:$D$23,0),0),0)</f>
        <v>0</v>
      </c>
      <c r="BL66" s="654" cm="1">
        <f t="array" ref="BL66">$E66*IFERROR(INDEX($E$11:$E$23,MATCH(MATCH(BL$8,$AF$8:$CA$8,0)-MATCH($D66,$D$33:$D$80,0),$D$11:$D$23,0),0),0)</f>
        <v>0</v>
      </c>
      <c r="BM66" s="654" cm="1">
        <f t="array" ref="BM66">$E66*IFERROR(INDEX($E$11:$E$23,MATCH(MATCH(BM$8,$AF$8:$CA$8,0)-MATCH($D66,$D$33:$D$80,0),$D$11:$D$23,0),0),0)</f>
        <v>0</v>
      </c>
      <c r="BN66" s="654" cm="1">
        <f t="array" ref="BN66">$E66*IFERROR(INDEX($E$11:$E$23,MATCH(MATCH(BN$8,$AF$8:$CA$8,0)-MATCH($D66,$D$33:$D$80,0),$D$11:$D$23,0),0),0)</f>
        <v>0</v>
      </c>
      <c r="BO66" s="654" cm="1">
        <f t="array" ref="BO66">$E66*IFERROR(INDEX($E$11:$E$23,MATCH(MATCH(BO$8,$AF$8:$CA$8,0)-MATCH($D66,$D$33:$D$80,0),$D$11:$D$23,0),0),0)</f>
        <v>0</v>
      </c>
      <c r="BP66" s="654" cm="1">
        <f t="array" ref="BP66">$E66*IFERROR(INDEX($E$11:$E$23,MATCH(MATCH(BP$8,$AF$8:$CA$8,0)-MATCH($D66,$D$33:$D$80,0),$D$11:$D$23,0),0),0)</f>
        <v>0</v>
      </c>
      <c r="BQ66" s="654" cm="1">
        <f t="array" ref="BQ66">$E66*IFERROR(INDEX($E$11:$E$23,MATCH(MATCH(BQ$8,$AF$8:$CA$8,0)-MATCH($D66,$D$33:$D$80,0),$D$11:$D$23,0),0),0)</f>
        <v>0</v>
      </c>
      <c r="BR66" s="654" cm="1">
        <f t="array" ref="BR66">$E66*IFERROR(INDEX($E$11:$E$23,MATCH(MATCH(BR$8,$AF$8:$CA$8,0)-MATCH($D66,$D$33:$D$80,0),$D$11:$D$23,0),0),0)</f>
        <v>0</v>
      </c>
      <c r="BS66" s="654" cm="1">
        <f t="array" ref="BS66">$E66*IFERROR(INDEX($E$11:$E$23,MATCH(MATCH(BS$8,$AF$8:$CA$8,0)-MATCH($D66,$D$33:$D$80,0),$D$11:$D$23,0),0),0)</f>
        <v>0</v>
      </c>
      <c r="BT66" s="654" cm="1">
        <f t="array" ref="BT66">$E66*IFERROR(INDEX($E$11:$E$23,MATCH(MATCH(BT$8,$AF$8:$CA$8,0)-MATCH($D66,$D$33:$D$80,0),$D$11:$D$23,0),0),0)</f>
        <v>0</v>
      </c>
      <c r="BU66" s="654" cm="1">
        <f t="array" ref="BU66">$E66*IFERROR(INDEX($E$11:$E$23,MATCH(MATCH(BU$8,$AF$8:$CA$8,0)-MATCH($D66,$D$33:$D$80,0),$D$11:$D$23,0),0),0)</f>
        <v>0</v>
      </c>
      <c r="BV66" s="654" cm="1">
        <f t="array" ref="BV66">$E66*IFERROR(INDEX($E$11:$E$23,MATCH(MATCH(BV$8,$AF$8:$CA$8,0)-MATCH($D66,$D$33:$D$80,0),$D$11:$D$23,0),0),0)</f>
        <v>0</v>
      </c>
      <c r="BW66" s="654" cm="1">
        <f t="array" ref="BW66">$E66*IFERROR(INDEX($E$11:$E$23,MATCH(MATCH(BW$8,$AF$8:$CA$8,0)-MATCH($D66,$D$33:$D$80,0),$D$11:$D$23,0),0),0)</f>
        <v>0</v>
      </c>
      <c r="BX66" s="654" cm="1">
        <f t="array" ref="BX66">$E66*IFERROR(INDEX($E$11:$E$23,MATCH(MATCH(BX$8,$AF$8:$CA$8,0)-MATCH($D66,$D$33:$D$80,0),$D$11:$D$23,0),0),0)</f>
        <v>0</v>
      </c>
      <c r="BY66" s="654" cm="1">
        <f t="array" ref="BY66">$E66*IFERROR(INDEX($E$11:$E$23,MATCH(MATCH(BY$8,$AF$8:$CA$8,0)-MATCH($D66,$D$33:$D$80,0),$D$11:$D$23,0),0),0)</f>
        <v>0</v>
      </c>
      <c r="BZ66" s="654" cm="1">
        <f t="array" ref="BZ66">$E66*IFERROR(INDEX($E$11:$E$23,MATCH(MATCH(BZ$8,$AF$8:$CA$8,0)-MATCH($D66,$D$33:$D$80,0),$D$11:$D$23,0),0),0)</f>
        <v>0</v>
      </c>
      <c r="CA66" s="654" cm="1">
        <f t="array" ref="CA66">$E66*IFERROR(INDEX($E$11:$E$23,MATCH(MATCH(CA$8,$AF$8:$CA$8,0)-MATCH($D66,$D$33:$D$80,0),$D$11:$D$23,0),0),0)</f>
        <v>0</v>
      </c>
    </row>
    <row r="67" spans="2:79" ht="21" hidden="1" customHeight="1" outlineLevel="2">
      <c r="B67" s="367"/>
      <c r="C67" s="370"/>
      <c r="D67" s="374">
        <f t="shared" si="24"/>
        <v>45991</v>
      </c>
      <c r="E67" s="653" cm="1">
        <f t="array" ref="E67">IF($D67&lt;=LatestMonthOfActuals,0,INDEX($AF$28:$CA$28,0,MATCH($D67,$AF$8:$CA$8,0)))</f>
        <v>0</v>
      </c>
      <c r="F67" s="643"/>
      <c r="G67" s="644"/>
      <c r="H67" s="408">
        <f t="shared" si="26"/>
        <v>0</v>
      </c>
      <c r="I67" s="408">
        <f t="shared" si="26"/>
        <v>0</v>
      </c>
      <c r="J67" s="408">
        <f t="shared" si="26"/>
        <v>0</v>
      </c>
      <c r="K67" s="408">
        <f t="shared" si="26"/>
        <v>0</v>
      </c>
      <c r="L67" s="643"/>
      <c r="M67" s="644"/>
      <c r="N67" s="408">
        <f t="shared" si="28"/>
        <v>0</v>
      </c>
      <c r="O67" s="408">
        <f t="shared" si="28"/>
        <v>0</v>
      </c>
      <c r="P67" s="408">
        <f t="shared" si="28"/>
        <v>0</v>
      </c>
      <c r="Q67" s="408">
        <f t="shared" si="28"/>
        <v>0</v>
      </c>
      <c r="R67" s="408">
        <f t="shared" si="28"/>
        <v>0</v>
      </c>
      <c r="S67" s="408">
        <f t="shared" si="28"/>
        <v>0</v>
      </c>
      <c r="T67" s="408">
        <f t="shared" si="28"/>
        <v>0</v>
      </c>
      <c r="U67" s="408">
        <f t="shared" si="28"/>
        <v>0</v>
      </c>
      <c r="V67" s="408">
        <f t="shared" si="28"/>
        <v>0</v>
      </c>
      <c r="W67" s="408">
        <f t="shared" si="28"/>
        <v>0</v>
      </c>
      <c r="X67" s="408">
        <f t="shared" si="28"/>
        <v>0</v>
      </c>
      <c r="Y67" s="408">
        <f t="shared" si="28"/>
        <v>0</v>
      </c>
      <c r="Z67" s="408">
        <f t="shared" si="28"/>
        <v>0</v>
      </c>
      <c r="AA67" s="408">
        <f t="shared" si="28"/>
        <v>0</v>
      </c>
      <c r="AB67" s="408">
        <f t="shared" si="28"/>
        <v>0</v>
      </c>
      <c r="AC67" s="408">
        <f t="shared" si="28"/>
        <v>0</v>
      </c>
      <c r="AD67" s="643"/>
      <c r="AE67" s="644"/>
      <c r="AF67" s="654" cm="1">
        <f t="array" ref="AF67">$E67*IFERROR(INDEX($E$11:$E$23,MATCH(MATCH(AF$8,$AF$8:$CA$8,0)-MATCH($D67,$D$33:$D$80,0),$D$11:$D$23,0),0),0)</f>
        <v>0</v>
      </c>
      <c r="AG67" s="654" cm="1">
        <f t="array" ref="AG67">$E67*IFERROR(INDEX($E$11:$E$23,MATCH(MATCH(AG$8,$AF$8:$CA$8,0)-MATCH($D67,$D$33:$D$80,0),$D$11:$D$23,0),0),0)</f>
        <v>0</v>
      </c>
      <c r="AH67" s="654" cm="1">
        <f t="array" ref="AH67">$E67*IFERROR(INDEX($E$11:$E$23,MATCH(MATCH(AH$8,$AF$8:$CA$8,0)-MATCH($D67,$D$33:$D$80,0),$D$11:$D$23,0),0),0)</f>
        <v>0</v>
      </c>
      <c r="AI67" s="654" cm="1">
        <f t="array" ref="AI67">$E67*IFERROR(INDEX($E$11:$E$23,MATCH(MATCH(AI$8,$AF$8:$CA$8,0)-MATCH($D67,$D$33:$D$80,0),$D$11:$D$23,0),0),0)</f>
        <v>0</v>
      </c>
      <c r="AJ67" s="654" cm="1">
        <f t="array" ref="AJ67">$E67*IFERROR(INDEX($E$11:$E$23,MATCH(MATCH(AJ$8,$AF$8:$CA$8,0)-MATCH($D67,$D$33:$D$80,0),$D$11:$D$23,0),0),0)</f>
        <v>0</v>
      </c>
      <c r="AK67" s="654" cm="1">
        <f t="array" ref="AK67">$E67*IFERROR(INDEX($E$11:$E$23,MATCH(MATCH(AK$8,$AF$8:$CA$8,0)-MATCH($D67,$D$33:$D$80,0),$D$11:$D$23,0),0),0)</f>
        <v>0</v>
      </c>
      <c r="AL67" s="654" cm="1">
        <f t="array" ref="AL67">$E67*IFERROR(INDEX($E$11:$E$23,MATCH(MATCH(AL$8,$AF$8:$CA$8,0)-MATCH($D67,$D$33:$D$80,0),$D$11:$D$23,0),0),0)</f>
        <v>0</v>
      </c>
      <c r="AM67" s="654" cm="1">
        <f t="array" ref="AM67">$E67*IFERROR(INDEX($E$11:$E$23,MATCH(MATCH(AM$8,$AF$8:$CA$8,0)-MATCH($D67,$D$33:$D$80,0),$D$11:$D$23,0),0),0)</f>
        <v>0</v>
      </c>
      <c r="AN67" s="654" cm="1">
        <f t="array" ref="AN67">$E67*IFERROR(INDEX($E$11:$E$23,MATCH(MATCH(AN$8,$AF$8:$CA$8,0)-MATCH($D67,$D$33:$D$80,0),$D$11:$D$23,0),0),0)</f>
        <v>0</v>
      </c>
      <c r="AO67" s="654" cm="1">
        <f t="array" ref="AO67">$E67*IFERROR(INDEX($E$11:$E$23,MATCH(MATCH(AO$8,$AF$8:$CA$8,0)-MATCH($D67,$D$33:$D$80,0),$D$11:$D$23,0),0),0)</f>
        <v>0</v>
      </c>
      <c r="AP67" s="654" cm="1">
        <f t="array" ref="AP67">$E67*IFERROR(INDEX($E$11:$E$23,MATCH(MATCH(AP$8,$AF$8:$CA$8,0)-MATCH($D67,$D$33:$D$80,0),$D$11:$D$23,0),0),0)</f>
        <v>0</v>
      </c>
      <c r="AQ67" s="654" cm="1">
        <f t="array" ref="AQ67">$E67*IFERROR(INDEX($E$11:$E$23,MATCH(MATCH(AQ$8,$AF$8:$CA$8,0)-MATCH($D67,$D$33:$D$80,0),$D$11:$D$23,0),0),0)</f>
        <v>0</v>
      </c>
      <c r="AR67" s="654" cm="1">
        <f t="array" ref="AR67">$E67*IFERROR(INDEX($E$11:$E$23,MATCH(MATCH(AR$8,$AF$8:$CA$8,0)-MATCH($D67,$D$33:$D$80,0),$D$11:$D$23,0),0),0)</f>
        <v>0</v>
      </c>
      <c r="AS67" s="654" cm="1">
        <f t="array" ref="AS67">$E67*IFERROR(INDEX($E$11:$E$23,MATCH(MATCH(AS$8,$AF$8:$CA$8,0)-MATCH($D67,$D$33:$D$80,0),$D$11:$D$23,0),0),0)</f>
        <v>0</v>
      </c>
      <c r="AT67" s="654" cm="1">
        <f t="array" ref="AT67">$E67*IFERROR(INDEX($E$11:$E$23,MATCH(MATCH(AT$8,$AF$8:$CA$8,0)-MATCH($D67,$D$33:$D$80,0),$D$11:$D$23,0),0),0)</f>
        <v>0</v>
      </c>
      <c r="AU67" s="654" cm="1">
        <f t="array" ref="AU67">$E67*IFERROR(INDEX($E$11:$E$23,MATCH(MATCH(AU$8,$AF$8:$CA$8,0)-MATCH($D67,$D$33:$D$80,0),$D$11:$D$23,0),0),0)</f>
        <v>0</v>
      </c>
      <c r="AV67" s="654" cm="1">
        <f t="array" ref="AV67">$E67*IFERROR(INDEX($E$11:$E$23,MATCH(MATCH(AV$8,$AF$8:$CA$8,0)-MATCH($D67,$D$33:$D$80,0),$D$11:$D$23,0),0),0)</f>
        <v>0</v>
      </c>
      <c r="AW67" s="654" cm="1">
        <f t="array" ref="AW67">$E67*IFERROR(INDEX($E$11:$E$23,MATCH(MATCH(AW$8,$AF$8:$CA$8,0)-MATCH($D67,$D$33:$D$80,0),$D$11:$D$23,0),0),0)</f>
        <v>0</v>
      </c>
      <c r="AX67" s="654" cm="1">
        <f t="array" ref="AX67">$E67*IFERROR(INDEX($E$11:$E$23,MATCH(MATCH(AX$8,$AF$8:$CA$8,0)-MATCH($D67,$D$33:$D$80,0),$D$11:$D$23,0),0),0)</f>
        <v>0</v>
      </c>
      <c r="AY67" s="654" cm="1">
        <f t="array" ref="AY67">$E67*IFERROR(INDEX($E$11:$E$23,MATCH(MATCH(AY$8,$AF$8:$CA$8,0)-MATCH($D67,$D$33:$D$80,0),$D$11:$D$23,0),0),0)</f>
        <v>0</v>
      </c>
      <c r="AZ67" s="654" cm="1">
        <f t="array" ref="AZ67">$E67*IFERROR(INDEX($E$11:$E$23,MATCH(MATCH(AZ$8,$AF$8:$CA$8,0)-MATCH($D67,$D$33:$D$80,0),$D$11:$D$23,0),0),0)</f>
        <v>0</v>
      </c>
      <c r="BA67" s="654" cm="1">
        <f t="array" ref="BA67">$E67*IFERROR(INDEX($E$11:$E$23,MATCH(MATCH(BA$8,$AF$8:$CA$8,0)-MATCH($D67,$D$33:$D$80,0),$D$11:$D$23,0),0),0)</f>
        <v>0</v>
      </c>
      <c r="BB67" s="654" cm="1">
        <f t="array" ref="BB67">$E67*IFERROR(INDEX($E$11:$E$23,MATCH(MATCH(BB$8,$AF$8:$CA$8,0)-MATCH($D67,$D$33:$D$80,0),$D$11:$D$23,0),0),0)</f>
        <v>0</v>
      </c>
      <c r="BC67" s="654" cm="1">
        <f t="array" ref="BC67">$E67*IFERROR(INDEX($E$11:$E$23,MATCH(MATCH(BC$8,$AF$8:$CA$8,0)-MATCH($D67,$D$33:$D$80,0),$D$11:$D$23,0),0),0)</f>
        <v>0</v>
      </c>
      <c r="BD67" s="654" cm="1">
        <f t="array" ref="BD67">$E67*IFERROR(INDEX($E$11:$E$23,MATCH(MATCH(BD$8,$AF$8:$CA$8,0)-MATCH($D67,$D$33:$D$80,0),$D$11:$D$23,0),0),0)</f>
        <v>0</v>
      </c>
      <c r="BE67" s="654" cm="1">
        <f t="array" ref="BE67">$E67*IFERROR(INDEX($E$11:$E$23,MATCH(MATCH(BE$8,$AF$8:$CA$8,0)-MATCH($D67,$D$33:$D$80,0),$D$11:$D$23,0),0),0)</f>
        <v>0</v>
      </c>
      <c r="BF67" s="654" cm="1">
        <f t="array" ref="BF67">$E67*IFERROR(INDEX($E$11:$E$23,MATCH(MATCH(BF$8,$AF$8:$CA$8,0)-MATCH($D67,$D$33:$D$80,0),$D$11:$D$23,0),0),0)</f>
        <v>0</v>
      </c>
      <c r="BG67" s="654" cm="1">
        <f t="array" ref="BG67">$E67*IFERROR(INDEX($E$11:$E$23,MATCH(MATCH(BG$8,$AF$8:$CA$8,0)-MATCH($D67,$D$33:$D$80,0),$D$11:$D$23,0),0),0)</f>
        <v>0</v>
      </c>
      <c r="BH67" s="654" cm="1">
        <f t="array" ref="BH67">$E67*IFERROR(INDEX($E$11:$E$23,MATCH(MATCH(BH$8,$AF$8:$CA$8,0)-MATCH($D67,$D$33:$D$80,0),$D$11:$D$23,0),0),0)</f>
        <v>0</v>
      </c>
      <c r="BI67" s="654" cm="1">
        <f t="array" ref="BI67">$E67*IFERROR(INDEX($E$11:$E$23,MATCH(MATCH(BI$8,$AF$8:$CA$8,0)-MATCH($D67,$D$33:$D$80,0),$D$11:$D$23,0),0),0)</f>
        <v>0</v>
      </c>
      <c r="BJ67" s="654" cm="1">
        <f t="array" ref="BJ67">$E67*IFERROR(INDEX($E$11:$E$23,MATCH(MATCH(BJ$8,$AF$8:$CA$8,0)-MATCH($D67,$D$33:$D$80,0),$D$11:$D$23,0),0),0)</f>
        <v>0</v>
      </c>
      <c r="BK67" s="654" cm="1">
        <f t="array" ref="BK67">$E67*IFERROR(INDEX($E$11:$E$23,MATCH(MATCH(BK$8,$AF$8:$CA$8,0)-MATCH($D67,$D$33:$D$80,0),$D$11:$D$23,0),0),0)</f>
        <v>0</v>
      </c>
      <c r="BL67" s="654" cm="1">
        <f t="array" ref="BL67">$E67*IFERROR(INDEX($E$11:$E$23,MATCH(MATCH(BL$8,$AF$8:$CA$8,0)-MATCH($D67,$D$33:$D$80,0),$D$11:$D$23,0),0),0)</f>
        <v>0</v>
      </c>
      <c r="BM67" s="654" cm="1">
        <f t="array" ref="BM67">$E67*IFERROR(INDEX($E$11:$E$23,MATCH(MATCH(BM$8,$AF$8:$CA$8,0)-MATCH($D67,$D$33:$D$80,0),$D$11:$D$23,0),0),0)</f>
        <v>0</v>
      </c>
      <c r="BN67" s="654" cm="1">
        <f t="array" ref="BN67">$E67*IFERROR(INDEX($E$11:$E$23,MATCH(MATCH(BN$8,$AF$8:$CA$8,0)-MATCH($D67,$D$33:$D$80,0),$D$11:$D$23,0),0),0)</f>
        <v>0</v>
      </c>
      <c r="BO67" s="654" cm="1">
        <f t="array" ref="BO67">$E67*IFERROR(INDEX($E$11:$E$23,MATCH(MATCH(BO$8,$AF$8:$CA$8,0)-MATCH($D67,$D$33:$D$80,0),$D$11:$D$23,0),0),0)</f>
        <v>0</v>
      </c>
      <c r="BP67" s="654" cm="1">
        <f t="array" ref="BP67">$E67*IFERROR(INDEX($E$11:$E$23,MATCH(MATCH(BP$8,$AF$8:$CA$8,0)-MATCH($D67,$D$33:$D$80,0),$D$11:$D$23,0),0),0)</f>
        <v>0</v>
      </c>
      <c r="BQ67" s="654" cm="1">
        <f t="array" ref="BQ67">$E67*IFERROR(INDEX($E$11:$E$23,MATCH(MATCH(BQ$8,$AF$8:$CA$8,0)-MATCH($D67,$D$33:$D$80,0),$D$11:$D$23,0),0),0)</f>
        <v>0</v>
      </c>
      <c r="BR67" s="654" cm="1">
        <f t="array" ref="BR67">$E67*IFERROR(INDEX($E$11:$E$23,MATCH(MATCH(BR$8,$AF$8:$CA$8,0)-MATCH($D67,$D$33:$D$80,0),$D$11:$D$23,0),0),0)</f>
        <v>0</v>
      </c>
      <c r="BS67" s="654" cm="1">
        <f t="array" ref="BS67">$E67*IFERROR(INDEX($E$11:$E$23,MATCH(MATCH(BS$8,$AF$8:$CA$8,0)-MATCH($D67,$D$33:$D$80,0),$D$11:$D$23,0),0),0)</f>
        <v>0</v>
      </c>
      <c r="BT67" s="654" cm="1">
        <f t="array" ref="BT67">$E67*IFERROR(INDEX($E$11:$E$23,MATCH(MATCH(BT$8,$AF$8:$CA$8,0)-MATCH($D67,$D$33:$D$80,0),$D$11:$D$23,0),0),0)</f>
        <v>0</v>
      </c>
      <c r="BU67" s="654" cm="1">
        <f t="array" ref="BU67">$E67*IFERROR(INDEX($E$11:$E$23,MATCH(MATCH(BU$8,$AF$8:$CA$8,0)-MATCH($D67,$D$33:$D$80,0),$D$11:$D$23,0),0),0)</f>
        <v>0</v>
      </c>
      <c r="BV67" s="654" cm="1">
        <f t="array" ref="BV67">$E67*IFERROR(INDEX($E$11:$E$23,MATCH(MATCH(BV$8,$AF$8:$CA$8,0)-MATCH($D67,$D$33:$D$80,0),$D$11:$D$23,0),0),0)</f>
        <v>0</v>
      </c>
      <c r="BW67" s="654" cm="1">
        <f t="array" ref="BW67">$E67*IFERROR(INDEX($E$11:$E$23,MATCH(MATCH(BW$8,$AF$8:$CA$8,0)-MATCH($D67,$D$33:$D$80,0),$D$11:$D$23,0),0),0)</f>
        <v>0</v>
      </c>
      <c r="BX67" s="654" cm="1">
        <f t="array" ref="BX67">$E67*IFERROR(INDEX($E$11:$E$23,MATCH(MATCH(BX$8,$AF$8:$CA$8,0)-MATCH($D67,$D$33:$D$80,0),$D$11:$D$23,0),0),0)</f>
        <v>0</v>
      </c>
      <c r="BY67" s="654" cm="1">
        <f t="array" ref="BY67">$E67*IFERROR(INDEX($E$11:$E$23,MATCH(MATCH(BY$8,$AF$8:$CA$8,0)-MATCH($D67,$D$33:$D$80,0),$D$11:$D$23,0),0),0)</f>
        <v>0</v>
      </c>
      <c r="BZ67" s="654" cm="1">
        <f t="array" ref="BZ67">$E67*IFERROR(INDEX($E$11:$E$23,MATCH(MATCH(BZ$8,$AF$8:$CA$8,0)-MATCH($D67,$D$33:$D$80,0),$D$11:$D$23,0),0),0)</f>
        <v>0</v>
      </c>
      <c r="CA67" s="654" cm="1">
        <f t="array" ref="CA67">$E67*IFERROR(INDEX($E$11:$E$23,MATCH(MATCH(CA$8,$AF$8:$CA$8,0)-MATCH($D67,$D$33:$D$80,0),$D$11:$D$23,0),0),0)</f>
        <v>0</v>
      </c>
    </row>
    <row r="68" spans="2:79" ht="21" hidden="1" customHeight="1" outlineLevel="2">
      <c r="B68" s="367"/>
      <c r="C68" s="370"/>
      <c r="D68" s="374">
        <f t="shared" si="24"/>
        <v>46022</v>
      </c>
      <c r="E68" s="653" cm="1">
        <f t="array" ref="E68">IF($D68&lt;=LatestMonthOfActuals,0,INDEX($AF$28:$CA$28,0,MATCH($D68,$AF$8:$CA$8,0)))</f>
        <v>30000</v>
      </c>
      <c r="F68" s="643"/>
      <c r="G68" s="644"/>
      <c r="H68" s="408">
        <f t="shared" si="26"/>
        <v>0</v>
      </c>
      <c r="I68" s="408">
        <f t="shared" si="26"/>
        <v>0</v>
      </c>
      <c r="J68" s="408">
        <f t="shared" si="26"/>
        <v>30000</v>
      </c>
      <c r="K68" s="408">
        <f t="shared" si="26"/>
        <v>0</v>
      </c>
      <c r="L68" s="643"/>
      <c r="M68" s="644"/>
      <c r="N68" s="408">
        <f t="shared" si="28"/>
        <v>0</v>
      </c>
      <c r="O68" s="408">
        <f t="shared" si="28"/>
        <v>0</v>
      </c>
      <c r="P68" s="408">
        <f t="shared" si="28"/>
        <v>0</v>
      </c>
      <c r="Q68" s="408">
        <f t="shared" si="28"/>
        <v>0</v>
      </c>
      <c r="R68" s="408">
        <f t="shared" si="28"/>
        <v>0</v>
      </c>
      <c r="S68" s="408">
        <f t="shared" si="28"/>
        <v>0</v>
      </c>
      <c r="T68" s="408">
        <f t="shared" si="28"/>
        <v>0</v>
      </c>
      <c r="U68" s="408">
        <f t="shared" si="28"/>
        <v>0</v>
      </c>
      <c r="V68" s="408">
        <f t="shared" si="28"/>
        <v>0</v>
      </c>
      <c r="W68" s="408">
        <f t="shared" si="28"/>
        <v>0</v>
      </c>
      <c r="X68" s="408">
        <f t="shared" si="28"/>
        <v>15000</v>
      </c>
      <c r="Y68" s="408">
        <f t="shared" si="28"/>
        <v>15000</v>
      </c>
      <c r="Z68" s="408">
        <f t="shared" si="28"/>
        <v>0</v>
      </c>
      <c r="AA68" s="408">
        <f t="shared" si="28"/>
        <v>0</v>
      </c>
      <c r="AB68" s="408">
        <f t="shared" si="28"/>
        <v>0</v>
      </c>
      <c r="AC68" s="408">
        <f t="shared" si="28"/>
        <v>0</v>
      </c>
      <c r="AD68" s="643"/>
      <c r="AE68" s="644"/>
      <c r="AF68" s="654" cm="1">
        <f t="array" ref="AF68">$E68*IFERROR(INDEX($E$11:$E$23,MATCH(MATCH(AF$8,$AF$8:$CA$8,0)-MATCH($D68,$D$33:$D$80,0),$D$11:$D$23,0),0),0)</f>
        <v>0</v>
      </c>
      <c r="AG68" s="654" cm="1">
        <f t="array" ref="AG68">$E68*IFERROR(INDEX($E$11:$E$23,MATCH(MATCH(AG$8,$AF$8:$CA$8,0)-MATCH($D68,$D$33:$D$80,0),$D$11:$D$23,0),0),0)</f>
        <v>0</v>
      </c>
      <c r="AH68" s="654" cm="1">
        <f t="array" ref="AH68">$E68*IFERROR(INDEX($E$11:$E$23,MATCH(MATCH(AH$8,$AF$8:$CA$8,0)-MATCH($D68,$D$33:$D$80,0),$D$11:$D$23,0),0),0)</f>
        <v>0</v>
      </c>
      <c r="AI68" s="654" cm="1">
        <f t="array" ref="AI68">$E68*IFERROR(INDEX($E$11:$E$23,MATCH(MATCH(AI$8,$AF$8:$CA$8,0)-MATCH($D68,$D$33:$D$80,0),$D$11:$D$23,0),0),0)</f>
        <v>0</v>
      </c>
      <c r="AJ68" s="654" cm="1">
        <f t="array" ref="AJ68">$E68*IFERROR(INDEX($E$11:$E$23,MATCH(MATCH(AJ$8,$AF$8:$CA$8,0)-MATCH($D68,$D$33:$D$80,0),$D$11:$D$23,0),0),0)</f>
        <v>0</v>
      </c>
      <c r="AK68" s="654" cm="1">
        <f t="array" ref="AK68">$E68*IFERROR(INDEX($E$11:$E$23,MATCH(MATCH(AK$8,$AF$8:$CA$8,0)-MATCH($D68,$D$33:$D$80,0),$D$11:$D$23,0),0),0)</f>
        <v>0</v>
      </c>
      <c r="AL68" s="654" cm="1">
        <f t="array" ref="AL68">$E68*IFERROR(INDEX($E$11:$E$23,MATCH(MATCH(AL$8,$AF$8:$CA$8,0)-MATCH($D68,$D$33:$D$80,0),$D$11:$D$23,0),0),0)</f>
        <v>0</v>
      </c>
      <c r="AM68" s="654" cm="1">
        <f t="array" ref="AM68">$E68*IFERROR(INDEX($E$11:$E$23,MATCH(MATCH(AM$8,$AF$8:$CA$8,0)-MATCH($D68,$D$33:$D$80,0),$D$11:$D$23,0),0),0)</f>
        <v>0</v>
      </c>
      <c r="AN68" s="654" cm="1">
        <f t="array" ref="AN68">$E68*IFERROR(INDEX($E$11:$E$23,MATCH(MATCH(AN$8,$AF$8:$CA$8,0)-MATCH($D68,$D$33:$D$80,0),$D$11:$D$23,0),0),0)</f>
        <v>0</v>
      </c>
      <c r="AO68" s="654" cm="1">
        <f t="array" ref="AO68">$E68*IFERROR(INDEX($E$11:$E$23,MATCH(MATCH(AO$8,$AF$8:$CA$8,0)-MATCH($D68,$D$33:$D$80,0),$D$11:$D$23,0),0),0)</f>
        <v>0</v>
      </c>
      <c r="AP68" s="654" cm="1">
        <f t="array" ref="AP68">$E68*IFERROR(INDEX($E$11:$E$23,MATCH(MATCH(AP$8,$AF$8:$CA$8,0)-MATCH($D68,$D$33:$D$80,0),$D$11:$D$23,0),0),0)</f>
        <v>0</v>
      </c>
      <c r="AQ68" s="654" cm="1">
        <f t="array" ref="AQ68">$E68*IFERROR(INDEX($E$11:$E$23,MATCH(MATCH(AQ$8,$AF$8:$CA$8,0)-MATCH($D68,$D$33:$D$80,0),$D$11:$D$23,0),0),0)</f>
        <v>0</v>
      </c>
      <c r="AR68" s="654" cm="1">
        <f t="array" ref="AR68">$E68*IFERROR(INDEX($E$11:$E$23,MATCH(MATCH(AR$8,$AF$8:$CA$8,0)-MATCH($D68,$D$33:$D$80,0),$D$11:$D$23,0),0),0)</f>
        <v>0</v>
      </c>
      <c r="AS68" s="654" cm="1">
        <f t="array" ref="AS68">$E68*IFERROR(INDEX($E$11:$E$23,MATCH(MATCH(AS$8,$AF$8:$CA$8,0)-MATCH($D68,$D$33:$D$80,0),$D$11:$D$23,0),0),0)</f>
        <v>0</v>
      </c>
      <c r="AT68" s="654" cm="1">
        <f t="array" ref="AT68">$E68*IFERROR(INDEX($E$11:$E$23,MATCH(MATCH(AT$8,$AF$8:$CA$8,0)-MATCH($D68,$D$33:$D$80,0),$D$11:$D$23,0),0),0)</f>
        <v>0</v>
      </c>
      <c r="AU68" s="654" cm="1">
        <f t="array" ref="AU68">$E68*IFERROR(INDEX($E$11:$E$23,MATCH(MATCH(AU$8,$AF$8:$CA$8,0)-MATCH($D68,$D$33:$D$80,0),$D$11:$D$23,0),0),0)</f>
        <v>0</v>
      </c>
      <c r="AV68" s="654" cm="1">
        <f t="array" ref="AV68">$E68*IFERROR(INDEX($E$11:$E$23,MATCH(MATCH(AV$8,$AF$8:$CA$8,0)-MATCH($D68,$D$33:$D$80,0),$D$11:$D$23,0),0),0)</f>
        <v>0</v>
      </c>
      <c r="AW68" s="654" cm="1">
        <f t="array" ref="AW68">$E68*IFERROR(INDEX($E$11:$E$23,MATCH(MATCH(AW$8,$AF$8:$CA$8,0)-MATCH($D68,$D$33:$D$80,0),$D$11:$D$23,0),0),0)</f>
        <v>0</v>
      </c>
      <c r="AX68" s="654" cm="1">
        <f t="array" ref="AX68">$E68*IFERROR(INDEX($E$11:$E$23,MATCH(MATCH(AX$8,$AF$8:$CA$8,0)-MATCH($D68,$D$33:$D$80,0),$D$11:$D$23,0),0),0)</f>
        <v>0</v>
      </c>
      <c r="AY68" s="654" cm="1">
        <f t="array" ref="AY68">$E68*IFERROR(INDEX($E$11:$E$23,MATCH(MATCH(AY$8,$AF$8:$CA$8,0)-MATCH($D68,$D$33:$D$80,0),$D$11:$D$23,0),0),0)</f>
        <v>0</v>
      </c>
      <c r="AZ68" s="654" cm="1">
        <f t="array" ref="AZ68">$E68*IFERROR(INDEX($E$11:$E$23,MATCH(MATCH(AZ$8,$AF$8:$CA$8,0)-MATCH($D68,$D$33:$D$80,0),$D$11:$D$23,0),0),0)</f>
        <v>0</v>
      </c>
      <c r="BA68" s="654" cm="1">
        <f t="array" ref="BA68">$E68*IFERROR(INDEX($E$11:$E$23,MATCH(MATCH(BA$8,$AF$8:$CA$8,0)-MATCH($D68,$D$33:$D$80,0),$D$11:$D$23,0),0),0)</f>
        <v>0</v>
      </c>
      <c r="BB68" s="654" cm="1">
        <f t="array" ref="BB68">$E68*IFERROR(INDEX($E$11:$E$23,MATCH(MATCH(BB$8,$AF$8:$CA$8,0)-MATCH($D68,$D$33:$D$80,0),$D$11:$D$23,0),0),0)</f>
        <v>0</v>
      </c>
      <c r="BC68" s="654" cm="1">
        <f t="array" ref="BC68">$E68*IFERROR(INDEX($E$11:$E$23,MATCH(MATCH(BC$8,$AF$8:$CA$8,0)-MATCH($D68,$D$33:$D$80,0),$D$11:$D$23,0),0),0)</f>
        <v>0</v>
      </c>
      <c r="BD68" s="654" cm="1">
        <f t="array" ref="BD68">$E68*IFERROR(INDEX($E$11:$E$23,MATCH(MATCH(BD$8,$AF$8:$CA$8,0)-MATCH($D68,$D$33:$D$80,0),$D$11:$D$23,0),0),0)</f>
        <v>0</v>
      </c>
      <c r="BE68" s="654" cm="1">
        <f t="array" ref="BE68">$E68*IFERROR(INDEX($E$11:$E$23,MATCH(MATCH(BE$8,$AF$8:$CA$8,0)-MATCH($D68,$D$33:$D$80,0),$D$11:$D$23,0),0),0)</f>
        <v>0</v>
      </c>
      <c r="BF68" s="654" cm="1">
        <f t="array" ref="BF68">$E68*IFERROR(INDEX($E$11:$E$23,MATCH(MATCH(BF$8,$AF$8:$CA$8,0)-MATCH($D68,$D$33:$D$80,0),$D$11:$D$23,0),0),0)</f>
        <v>0</v>
      </c>
      <c r="BG68" s="654" cm="1">
        <f t="array" ref="BG68">$E68*IFERROR(INDEX($E$11:$E$23,MATCH(MATCH(BG$8,$AF$8:$CA$8,0)-MATCH($D68,$D$33:$D$80,0),$D$11:$D$23,0),0),0)</f>
        <v>0</v>
      </c>
      <c r="BH68" s="654" cm="1">
        <f t="array" ref="BH68">$E68*IFERROR(INDEX($E$11:$E$23,MATCH(MATCH(BH$8,$AF$8:$CA$8,0)-MATCH($D68,$D$33:$D$80,0),$D$11:$D$23,0),0),0)</f>
        <v>0</v>
      </c>
      <c r="BI68" s="654" cm="1">
        <f t="array" ref="BI68">$E68*IFERROR(INDEX($E$11:$E$23,MATCH(MATCH(BI$8,$AF$8:$CA$8,0)-MATCH($D68,$D$33:$D$80,0),$D$11:$D$23,0),0),0)</f>
        <v>0</v>
      </c>
      <c r="BJ68" s="654" cm="1">
        <f t="array" ref="BJ68">$E68*IFERROR(INDEX($E$11:$E$23,MATCH(MATCH(BJ$8,$AF$8:$CA$8,0)-MATCH($D68,$D$33:$D$80,0),$D$11:$D$23,0),0),0)</f>
        <v>0</v>
      </c>
      <c r="BK68" s="654" cm="1">
        <f t="array" ref="BK68">$E68*IFERROR(INDEX($E$11:$E$23,MATCH(MATCH(BK$8,$AF$8:$CA$8,0)-MATCH($D68,$D$33:$D$80,0),$D$11:$D$23,0),0),0)</f>
        <v>0</v>
      </c>
      <c r="BL68" s="654" cm="1">
        <f t="array" ref="BL68">$E68*IFERROR(INDEX($E$11:$E$23,MATCH(MATCH(BL$8,$AF$8:$CA$8,0)-MATCH($D68,$D$33:$D$80,0),$D$11:$D$23,0),0),0)</f>
        <v>15000</v>
      </c>
      <c r="BM68" s="654" cm="1">
        <f t="array" ref="BM68">$E68*IFERROR(INDEX($E$11:$E$23,MATCH(MATCH(BM$8,$AF$8:$CA$8,0)-MATCH($D68,$D$33:$D$80,0),$D$11:$D$23,0),0),0)</f>
        <v>0</v>
      </c>
      <c r="BN68" s="654" cm="1">
        <f t="array" ref="BN68">$E68*IFERROR(INDEX($E$11:$E$23,MATCH(MATCH(BN$8,$AF$8:$CA$8,0)-MATCH($D68,$D$33:$D$80,0),$D$11:$D$23,0),0),0)</f>
        <v>15000</v>
      </c>
      <c r="BO68" s="654" cm="1">
        <f t="array" ref="BO68">$E68*IFERROR(INDEX($E$11:$E$23,MATCH(MATCH(BO$8,$AF$8:$CA$8,0)-MATCH($D68,$D$33:$D$80,0),$D$11:$D$23,0),0),0)</f>
        <v>0</v>
      </c>
      <c r="BP68" s="654" cm="1">
        <f t="array" ref="BP68">$E68*IFERROR(INDEX($E$11:$E$23,MATCH(MATCH(BP$8,$AF$8:$CA$8,0)-MATCH($D68,$D$33:$D$80,0),$D$11:$D$23,0),0),0)</f>
        <v>0</v>
      </c>
      <c r="BQ68" s="654" cm="1">
        <f t="array" ref="BQ68">$E68*IFERROR(INDEX($E$11:$E$23,MATCH(MATCH(BQ$8,$AF$8:$CA$8,0)-MATCH($D68,$D$33:$D$80,0),$D$11:$D$23,0),0),0)</f>
        <v>0</v>
      </c>
      <c r="BR68" s="654" cm="1">
        <f t="array" ref="BR68">$E68*IFERROR(INDEX($E$11:$E$23,MATCH(MATCH(BR$8,$AF$8:$CA$8,0)-MATCH($D68,$D$33:$D$80,0),$D$11:$D$23,0),0),0)</f>
        <v>0</v>
      </c>
      <c r="BS68" s="654" cm="1">
        <f t="array" ref="BS68">$E68*IFERROR(INDEX($E$11:$E$23,MATCH(MATCH(BS$8,$AF$8:$CA$8,0)-MATCH($D68,$D$33:$D$80,0),$D$11:$D$23,0),0),0)</f>
        <v>0</v>
      </c>
      <c r="BT68" s="654" cm="1">
        <f t="array" ref="BT68">$E68*IFERROR(INDEX($E$11:$E$23,MATCH(MATCH(BT$8,$AF$8:$CA$8,0)-MATCH($D68,$D$33:$D$80,0),$D$11:$D$23,0),0),0)</f>
        <v>0</v>
      </c>
      <c r="BU68" s="654" cm="1">
        <f t="array" ref="BU68">$E68*IFERROR(INDEX($E$11:$E$23,MATCH(MATCH(BU$8,$AF$8:$CA$8,0)-MATCH($D68,$D$33:$D$80,0),$D$11:$D$23,0),0),0)</f>
        <v>0</v>
      </c>
      <c r="BV68" s="654" cm="1">
        <f t="array" ref="BV68">$E68*IFERROR(INDEX($E$11:$E$23,MATCH(MATCH(BV$8,$AF$8:$CA$8,0)-MATCH($D68,$D$33:$D$80,0),$D$11:$D$23,0),0),0)</f>
        <v>0</v>
      </c>
      <c r="BW68" s="654" cm="1">
        <f t="array" ref="BW68">$E68*IFERROR(INDEX($E$11:$E$23,MATCH(MATCH(BW$8,$AF$8:$CA$8,0)-MATCH($D68,$D$33:$D$80,0),$D$11:$D$23,0),0),0)</f>
        <v>0</v>
      </c>
      <c r="BX68" s="654" cm="1">
        <f t="array" ref="BX68">$E68*IFERROR(INDEX($E$11:$E$23,MATCH(MATCH(BX$8,$AF$8:$CA$8,0)-MATCH($D68,$D$33:$D$80,0),$D$11:$D$23,0),0),0)</f>
        <v>0</v>
      </c>
      <c r="BY68" s="654" cm="1">
        <f t="array" ref="BY68">$E68*IFERROR(INDEX($E$11:$E$23,MATCH(MATCH(BY$8,$AF$8:$CA$8,0)-MATCH($D68,$D$33:$D$80,0),$D$11:$D$23,0),0),0)</f>
        <v>0</v>
      </c>
      <c r="BZ68" s="654" cm="1">
        <f t="array" ref="BZ68">$E68*IFERROR(INDEX($E$11:$E$23,MATCH(MATCH(BZ$8,$AF$8:$CA$8,0)-MATCH($D68,$D$33:$D$80,0),$D$11:$D$23,0),0),0)</f>
        <v>0</v>
      </c>
      <c r="CA68" s="654" cm="1">
        <f t="array" ref="CA68">$E68*IFERROR(INDEX($E$11:$E$23,MATCH(MATCH(CA$8,$AF$8:$CA$8,0)-MATCH($D68,$D$33:$D$80,0),$D$11:$D$23,0),0),0)</f>
        <v>0</v>
      </c>
    </row>
    <row r="69" spans="2:79" ht="21" hidden="1" customHeight="1" outlineLevel="2">
      <c r="B69" s="367"/>
      <c r="C69" s="370"/>
      <c r="D69" s="374">
        <f t="shared" si="24"/>
        <v>46053</v>
      </c>
      <c r="E69" s="653" cm="1">
        <f t="array" ref="E69">IF($D69&lt;=LatestMonthOfActuals,0,INDEX($AF$28:$CA$28,0,MATCH($D69,$AF$8:$CA$8,0)))</f>
        <v>30000</v>
      </c>
      <c r="F69" s="643"/>
      <c r="G69" s="644"/>
      <c r="H69" s="408">
        <f t="shared" si="26"/>
        <v>0</v>
      </c>
      <c r="I69" s="408">
        <f t="shared" si="26"/>
        <v>0</v>
      </c>
      <c r="J69" s="408">
        <f t="shared" si="26"/>
        <v>30000</v>
      </c>
      <c r="K69" s="408">
        <f t="shared" si="26"/>
        <v>0</v>
      </c>
      <c r="L69" s="643"/>
      <c r="M69" s="644"/>
      <c r="N69" s="408">
        <f t="shared" si="28"/>
        <v>0</v>
      </c>
      <c r="O69" s="408">
        <f t="shared" si="28"/>
        <v>0</v>
      </c>
      <c r="P69" s="408">
        <f t="shared" si="28"/>
        <v>0</v>
      </c>
      <c r="Q69" s="408">
        <f t="shared" si="28"/>
        <v>0</v>
      </c>
      <c r="R69" s="408">
        <f t="shared" si="28"/>
        <v>0</v>
      </c>
      <c r="S69" s="408">
        <f t="shared" si="28"/>
        <v>0</v>
      </c>
      <c r="T69" s="408">
        <f t="shared" si="28"/>
        <v>0</v>
      </c>
      <c r="U69" s="408">
        <f t="shared" si="28"/>
        <v>0</v>
      </c>
      <c r="V69" s="408">
        <f t="shared" si="28"/>
        <v>0</v>
      </c>
      <c r="W69" s="408">
        <f t="shared" si="28"/>
        <v>0</v>
      </c>
      <c r="X69" s="408">
        <f t="shared" si="28"/>
        <v>0</v>
      </c>
      <c r="Y69" s="408">
        <f t="shared" si="28"/>
        <v>30000</v>
      </c>
      <c r="Z69" s="408">
        <f t="shared" si="28"/>
        <v>0</v>
      </c>
      <c r="AA69" s="408">
        <f t="shared" si="28"/>
        <v>0</v>
      </c>
      <c r="AB69" s="408">
        <f t="shared" si="28"/>
        <v>0</v>
      </c>
      <c r="AC69" s="408">
        <f t="shared" si="28"/>
        <v>0</v>
      </c>
      <c r="AD69" s="643"/>
      <c r="AE69" s="644"/>
      <c r="AF69" s="654" cm="1">
        <f t="array" ref="AF69">$E69*IFERROR(INDEX($E$11:$E$23,MATCH(MATCH(AF$8,$AF$8:$CA$8,0)-MATCH($D69,$D$33:$D$80,0),$D$11:$D$23,0),0),0)</f>
        <v>0</v>
      </c>
      <c r="AG69" s="654" cm="1">
        <f t="array" ref="AG69">$E69*IFERROR(INDEX($E$11:$E$23,MATCH(MATCH(AG$8,$AF$8:$CA$8,0)-MATCH($D69,$D$33:$D$80,0),$D$11:$D$23,0),0),0)</f>
        <v>0</v>
      </c>
      <c r="AH69" s="654" cm="1">
        <f t="array" ref="AH69">$E69*IFERROR(INDEX($E$11:$E$23,MATCH(MATCH(AH$8,$AF$8:$CA$8,0)-MATCH($D69,$D$33:$D$80,0),$D$11:$D$23,0),0),0)</f>
        <v>0</v>
      </c>
      <c r="AI69" s="654" cm="1">
        <f t="array" ref="AI69">$E69*IFERROR(INDEX($E$11:$E$23,MATCH(MATCH(AI$8,$AF$8:$CA$8,0)-MATCH($D69,$D$33:$D$80,0),$D$11:$D$23,0),0),0)</f>
        <v>0</v>
      </c>
      <c r="AJ69" s="654" cm="1">
        <f t="array" ref="AJ69">$E69*IFERROR(INDEX($E$11:$E$23,MATCH(MATCH(AJ$8,$AF$8:$CA$8,0)-MATCH($D69,$D$33:$D$80,0),$D$11:$D$23,0),0),0)</f>
        <v>0</v>
      </c>
      <c r="AK69" s="654" cm="1">
        <f t="array" ref="AK69">$E69*IFERROR(INDEX($E$11:$E$23,MATCH(MATCH(AK$8,$AF$8:$CA$8,0)-MATCH($D69,$D$33:$D$80,0),$D$11:$D$23,0),0),0)</f>
        <v>0</v>
      </c>
      <c r="AL69" s="654" cm="1">
        <f t="array" ref="AL69">$E69*IFERROR(INDEX($E$11:$E$23,MATCH(MATCH(AL$8,$AF$8:$CA$8,0)-MATCH($D69,$D$33:$D$80,0),$D$11:$D$23,0),0),0)</f>
        <v>0</v>
      </c>
      <c r="AM69" s="654" cm="1">
        <f t="array" ref="AM69">$E69*IFERROR(INDEX($E$11:$E$23,MATCH(MATCH(AM$8,$AF$8:$CA$8,0)-MATCH($D69,$D$33:$D$80,0),$D$11:$D$23,0),0),0)</f>
        <v>0</v>
      </c>
      <c r="AN69" s="654" cm="1">
        <f t="array" ref="AN69">$E69*IFERROR(INDEX($E$11:$E$23,MATCH(MATCH(AN$8,$AF$8:$CA$8,0)-MATCH($D69,$D$33:$D$80,0),$D$11:$D$23,0),0),0)</f>
        <v>0</v>
      </c>
      <c r="AO69" s="654" cm="1">
        <f t="array" ref="AO69">$E69*IFERROR(INDEX($E$11:$E$23,MATCH(MATCH(AO$8,$AF$8:$CA$8,0)-MATCH($D69,$D$33:$D$80,0),$D$11:$D$23,0),0),0)</f>
        <v>0</v>
      </c>
      <c r="AP69" s="654" cm="1">
        <f t="array" ref="AP69">$E69*IFERROR(INDEX($E$11:$E$23,MATCH(MATCH(AP$8,$AF$8:$CA$8,0)-MATCH($D69,$D$33:$D$80,0),$D$11:$D$23,0),0),0)</f>
        <v>0</v>
      </c>
      <c r="AQ69" s="654" cm="1">
        <f t="array" ref="AQ69">$E69*IFERROR(INDEX($E$11:$E$23,MATCH(MATCH(AQ$8,$AF$8:$CA$8,0)-MATCH($D69,$D$33:$D$80,0),$D$11:$D$23,0),0),0)</f>
        <v>0</v>
      </c>
      <c r="AR69" s="654" cm="1">
        <f t="array" ref="AR69">$E69*IFERROR(INDEX($E$11:$E$23,MATCH(MATCH(AR$8,$AF$8:$CA$8,0)-MATCH($D69,$D$33:$D$80,0),$D$11:$D$23,0),0),0)</f>
        <v>0</v>
      </c>
      <c r="AS69" s="654" cm="1">
        <f t="array" ref="AS69">$E69*IFERROR(INDEX($E$11:$E$23,MATCH(MATCH(AS$8,$AF$8:$CA$8,0)-MATCH($D69,$D$33:$D$80,0),$D$11:$D$23,0),0),0)</f>
        <v>0</v>
      </c>
      <c r="AT69" s="654" cm="1">
        <f t="array" ref="AT69">$E69*IFERROR(INDEX($E$11:$E$23,MATCH(MATCH(AT$8,$AF$8:$CA$8,0)-MATCH($D69,$D$33:$D$80,0),$D$11:$D$23,0),0),0)</f>
        <v>0</v>
      </c>
      <c r="AU69" s="654" cm="1">
        <f t="array" ref="AU69">$E69*IFERROR(INDEX($E$11:$E$23,MATCH(MATCH(AU$8,$AF$8:$CA$8,0)-MATCH($D69,$D$33:$D$80,0),$D$11:$D$23,0),0),0)</f>
        <v>0</v>
      </c>
      <c r="AV69" s="654" cm="1">
        <f t="array" ref="AV69">$E69*IFERROR(INDEX($E$11:$E$23,MATCH(MATCH(AV$8,$AF$8:$CA$8,0)-MATCH($D69,$D$33:$D$80,0),$D$11:$D$23,0),0),0)</f>
        <v>0</v>
      </c>
      <c r="AW69" s="654" cm="1">
        <f t="array" ref="AW69">$E69*IFERROR(INDEX($E$11:$E$23,MATCH(MATCH(AW$8,$AF$8:$CA$8,0)-MATCH($D69,$D$33:$D$80,0),$D$11:$D$23,0),0),0)</f>
        <v>0</v>
      </c>
      <c r="AX69" s="654" cm="1">
        <f t="array" ref="AX69">$E69*IFERROR(INDEX($E$11:$E$23,MATCH(MATCH(AX$8,$AF$8:$CA$8,0)-MATCH($D69,$D$33:$D$80,0),$D$11:$D$23,0),0),0)</f>
        <v>0</v>
      </c>
      <c r="AY69" s="654" cm="1">
        <f t="array" ref="AY69">$E69*IFERROR(INDEX($E$11:$E$23,MATCH(MATCH(AY$8,$AF$8:$CA$8,0)-MATCH($D69,$D$33:$D$80,0),$D$11:$D$23,0),0),0)</f>
        <v>0</v>
      </c>
      <c r="AZ69" s="654" cm="1">
        <f t="array" ref="AZ69">$E69*IFERROR(INDEX($E$11:$E$23,MATCH(MATCH(AZ$8,$AF$8:$CA$8,0)-MATCH($D69,$D$33:$D$80,0),$D$11:$D$23,0),0),0)</f>
        <v>0</v>
      </c>
      <c r="BA69" s="654" cm="1">
        <f t="array" ref="BA69">$E69*IFERROR(INDEX($E$11:$E$23,MATCH(MATCH(BA$8,$AF$8:$CA$8,0)-MATCH($D69,$D$33:$D$80,0),$D$11:$D$23,0),0),0)</f>
        <v>0</v>
      </c>
      <c r="BB69" s="654" cm="1">
        <f t="array" ref="BB69">$E69*IFERROR(INDEX($E$11:$E$23,MATCH(MATCH(BB$8,$AF$8:$CA$8,0)-MATCH($D69,$D$33:$D$80,0),$D$11:$D$23,0),0),0)</f>
        <v>0</v>
      </c>
      <c r="BC69" s="654" cm="1">
        <f t="array" ref="BC69">$E69*IFERROR(INDEX($E$11:$E$23,MATCH(MATCH(BC$8,$AF$8:$CA$8,0)-MATCH($D69,$D$33:$D$80,0),$D$11:$D$23,0),0),0)</f>
        <v>0</v>
      </c>
      <c r="BD69" s="654" cm="1">
        <f t="array" ref="BD69">$E69*IFERROR(INDEX($E$11:$E$23,MATCH(MATCH(BD$8,$AF$8:$CA$8,0)-MATCH($D69,$D$33:$D$80,0),$D$11:$D$23,0),0),0)</f>
        <v>0</v>
      </c>
      <c r="BE69" s="654" cm="1">
        <f t="array" ref="BE69">$E69*IFERROR(INDEX($E$11:$E$23,MATCH(MATCH(BE$8,$AF$8:$CA$8,0)-MATCH($D69,$D$33:$D$80,0),$D$11:$D$23,0),0),0)</f>
        <v>0</v>
      </c>
      <c r="BF69" s="654" cm="1">
        <f t="array" ref="BF69">$E69*IFERROR(INDEX($E$11:$E$23,MATCH(MATCH(BF$8,$AF$8:$CA$8,0)-MATCH($D69,$D$33:$D$80,0),$D$11:$D$23,0),0),0)</f>
        <v>0</v>
      </c>
      <c r="BG69" s="654" cm="1">
        <f t="array" ref="BG69">$E69*IFERROR(INDEX($E$11:$E$23,MATCH(MATCH(BG$8,$AF$8:$CA$8,0)-MATCH($D69,$D$33:$D$80,0),$D$11:$D$23,0),0),0)</f>
        <v>0</v>
      </c>
      <c r="BH69" s="654" cm="1">
        <f t="array" ref="BH69">$E69*IFERROR(INDEX($E$11:$E$23,MATCH(MATCH(BH$8,$AF$8:$CA$8,0)-MATCH($D69,$D$33:$D$80,0),$D$11:$D$23,0),0),0)</f>
        <v>0</v>
      </c>
      <c r="BI69" s="654" cm="1">
        <f t="array" ref="BI69">$E69*IFERROR(INDEX($E$11:$E$23,MATCH(MATCH(BI$8,$AF$8:$CA$8,0)-MATCH($D69,$D$33:$D$80,0),$D$11:$D$23,0),0),0)</f>
        <v>0</v>
      </c>
      <c r="BJ69" s="654" cm="1">
        <f t="array" ref="BJ69">$E69*IFERROR(INDEX($E$11:$E$23,MATCH(MATCH(BJ$8,$AF$8:$CA$8,0)-MATCH($D69,$D$33:$D$80,0),$D$11:$D$23,0),0),0)</f>
        <v>0</v>
      </c>
      <c r="BK69" s="654" cm="1">
        <f t="array" ref="BK69">$E69*IFERROR(INDEX($E$11:$E$23,MATCH(MATCH(BK$8,$AF$8:$CA$8,0)-MATCH($D69,$D$33:$D$80,0),$D$11:$D$23,0),0),0)</f>
        <v>0</v>
      </c>
      <c r="BL69" s="654" cm="1">
        <f t="array" ref="BL69">$E69*IFERROR(INDEX($E$11:$E$23,MATCH(MATCH(BL$8,$AF$8:$CA$8,0)-MATCH($D69,$D$33:$D$80,0),$D$11:$D$23,0),0),0)</f>
        <v>0</v>
      </c>
      <c r="BM69" s="654" cm="1">
        <f t="array" ref="BM69">$E69*IFERROR(INDEX($E$11:$E$23,MATCH(MATCH(BM$8,$AF$8:$CA$8,0)-MATCH($D69,$D$33:$D$80,0),$D$11:$D$23,0),0),0)</f>
        <v>15000</v>
      </c>
      <c r="BN69" s="654" cm="1">
        <f t="array" ref="BN69">$E69*IFERROR(INDEX($E$11:$E$23,MATCH(MATCH(BN$8,$AF$8:$CA$8,0)-MATCH($D69,$D$33:$D$80,0),$D$11:$D$23,0),0),0)</f>
        <v>0</v>
      </c>
      <c r="BO69" s="654" cm="1">
        <f t="array" ref="BO69">$E69*IFERROR(INDEX($E$11:$E$23,MATCH(MATCH(BO$8,$AF$8:$CA$8,0)-MATCH($D69,$D$33:$D$80,0),$D$11:$D$23,0),0),0)</f>
        <v>15000</v>
      </c>
      <c r="BP69" s="654" cm="1">
        <f t="array" ref="BP69">$E69*IFERROR(INDEX($E$11:$E$23,MATCH(MATCH(BP$8,$AF$8:$CA$8,0)-MATCH($D69,$D$33:$D$80,0),$D$11:$D$23,0),0),0)</f>
        <v>0</v>
      </c>
      <c r="BQ69" s="654" cm="1">
        <f t="array" ref="BQ69">$E69*IFERROR(INDEX($E$11:$E$23,MATCH(MATCH(BQ$8,$AF$8:$CA$8,0)-MATCH($D69,$D$33:$D$80,0),$D$11:$D$23,0),0),0)</f>
        <v>0</v>
      </c>
      <c r="BR69" s="654" cm="1">
        <f t="array" ref="BR69">$E69*IFERROR(INDEX($E$11:$E$23,MATCH(MATCH(BR$8,$AF$8:$CA$8,0)-MATCH($D69,$D$33:$D$80,0),$D$11:$D$23,0),0),0)</f>
        <v>0</v>
      </c>
      <c r="BS69" s="654" cm="1">
        <f t="array" ref="BS69">$E69*IFERROR(INDEX($E$11:$E$23,MATCH(MATCH(BS$8,$AF$8:$CA$8,0)-MATCH($D69,$D$33:$D$80,0),$D$11:$D$23,0),0),0)</f>
        <v>0</v>
      </c>
      <c r="BT69" s="654" cm="1">
        <f t="array" ref="BT69">$E69*IFERROR(INDEX($E$11:$E$23,MATCH(MATCH(BT$8,$AF$8:$CA$8,0)-MATCH($D69,$D$33:$D$80,0),$D$11:$D$23,0),0),0)</f>
        <v>0</v>
      </c>
      <c r="BU69" s="654" cm="1">
        <f t="array" ref="BU69">$E69*IFERROR(INDEX($E$11:$E$23,MATCH(MATCH(BU$8,$AF$8:$CA$8,0)-MATCH($D69,$D$33:$D$80,0),$D$11:$D$23,0),0),0)</f>
        <v>0</v>
      </c>
      <c r="BV69" s="654" cm="1">
        <f t="array" ref="BV69">$E69*IFERROR(INDEX($E$11:$E$23,MATCH(MATCH(BV$8,$AF$8:$CA$8,0)-MATCH($D69,$D$33:$D$80,0),$D$11:$D$23,0),0),0)</f>
        <v>0</v>
      </c>
      <c r="BW69" s="654" cm="1">
        <f t="array" ref="BW69">$E69*IFERROR(INDEX($E$11:$E$23,MATCH(MATCH(BW$8,$AF$8:$CA$8,0)-MATCH($D69,$D$33:$D$80,0),$D$11:$D$23,0),0),0)</f>
        <v>0</v>
      </c>
      <c r="BX69" s="654" cm="1">
        <f t="array" ref="BX69">$E69*IFERROR(INDEX($E$11:$E$23,MATCH(MATCH(BX$8,$AF$8:$CA$8,0)-MATCH($D69,$D$33:$D$80,0),$D$11:$D$23,0),0),0)</f>
        <v>0</v>
      </c>
      <c r="BY69" s="654" cm="1">
        <f t="array" ref="BY69">$E69*IFERROR(INDEX($E$11:$E$23,MATCH(MATCH(BY$8,$AF$8:$CA$8,0)-MATCH($D69,$D$33:$D$80,0),$D$11:$D$23,0),0),0)</f>
        <v>0</v>
      </c>
      <c r="BZ69" s="654" cm="1">
        <f t="array" ref="BZ69">$E69*IFERROR(INDEX($E$11:$E$23,MATCH(MATCH(BZ$8,$AF$8:$CA$8,0)-MATCH($D69,$D$33:$D$80,0),$D$11:$D$23,0),0),0)</f>
        <v>0</v>
      </c>
      <c r="CA69" s="654" cm="1">
        <f t="array" ref="CA69">$E69*IFERROR(INDEX($E$11:$E$23,MATCH(MATCH(CA$8,$AF$8:$CA$8,0)-MATCH($D69,$D$33:$D$80,0),$D$11:$D$23,0),0),0)</f>
        <v>0</v>
      </c>
    </row>
    <row r="70" spans="2:79" ht="21" hidden="1" customHeight="1" outlineLevel="2">
      <c r="B70" s="367"/>
      <c r="C70" s="370"/>
      <c r="D70" s="374">
        <f t="shared" si="24"/>
        <v>46081</v>
      </c>
      <c r="E70" s="653" cm="1">
        <f t="array" ref="E70">IF($D70&lt;=LatestMonthOfActuals,0,INDEX($AF$28:$CA$28,0,MATCH($D70,$AF$8:$CA$8,0)))</f>
        <v>30000</v>
      </c>
      <c r="F70" s="643"/>
      <c r="G70" s="644"/>
      <c r="H70" s="408">
        <f t="shared" si="26"/>
        <v>0</v>
      </c>
      <c r="I70" s="408">
        <f t="shared" si="26"/>
        <v>0</v>
      </c>
      <c r="J70" s="408">
        <f t="shared" si="26"/>
        <v>15000</v>
      </c>
      <c r="K70" s="408">
        <f t="shared" si="26"/>
        <v>15000</v>
      </c>
      <c r="L70" s="643"/>
      <c r="M70" s="644"/>
      <c r="N70" s="408">
        <f t="shared" si="28"/>
        <v>0</v>
      </c>
      <c r="O70" s="408">
        <f t="shared" si="28"/>
        <v>0</v>
      </c>
      <c r="P70" s="408">
        <f t="shared" si="28"/>
        <v>0</v>
      </c>
      <c r="Q70" s="408">
        <f t="shared" si="28"/>
        <v>0</v>
      </c>
      <c r="R70" s="408">
        <f t="shared" si="28"/>
        <v>0</v>
      </c>
      <c r="S70" s="408">
        <f t="shared" si="28"/>
        <v>0</v>
      </c>
      <c r="T70" s="408">
        <f t="shared" si="28"/>
        <v>0</v>
      </c>
      <c r="U70" s="408">
        <f t="shared" si="28"/>
        <v>0</v>
      </c>
      <c r="V70" s="408">
        <f t="shared" si="28"/>
        <v>0</v>
      </c>
      <c r="W70" s="408">
        <f t="shared" si="28"/>
        <v>0</v>
      </c>
      <c r="X70" s="408">
        <f t="shared" si="28"/>
        <v>0</v>
      </c>
      <c r="Y70" s="408">
        <f t="shared" si="28"/>
        <v>15000</v>
      </c>
      <c r="Z70" s="408">
        <f t="shared" si="28"/>
        <v>15000</v>
      </c>
      <c r="AA70" s="408">
        <f t="shared" si="28"/>
        <v>0</v>
      </c>
      <c r="AB70" s="408">
        <f t="shared" si="28"/>
        <v>0</v>
      </c>
      <c r="AC70" s="408">
        <f t="shared" si="28"/>
        <v>0</v>
      </c>
      <c r="AD70" s="643"/>
      <c r="AE70" s="644"/>
      <c r="AF70" s="654" cm="1">
        <f t="array" ref="AF70">$E70*IFERROR(INDEX($E$11:$E$23,MATCH(MATCH(AF$8,$AF$8:$CA$8,0)-MATCH($D70,$D$33:$D$80,0),$D$11:$D$23,0),0),0)</f>
        <v>0</v>
      </c>
      <c r="AG70" s="654" cm="1">
        <f t="array" ref="AG70">$E70*IFERROR(INDEX($E$11:$E$23,MATCH(MATCH(AG$8,$AF$8:$CA$8,0)-MATCH($D70,$D$33:$D$80,0),$D$11:$D$23,0),0),0)</f>
        <v>0</v>
      </c>
      <c r="AH70" s="654" cm="1">
        <f t="array" ref="AH70">$E70*IFERROR(INDEX($E$11:$E$23,MATCH(MATCH(AH$8,$AF$8:$CA$8,0)-MATCH($D70,$D$33:$D$80,0),$D$11:$D$23,0),0),0)</f>
        <v>0</v>
      </c>
      <c r="AI70" s="654" cm="1">
        <f t="array" ref="AI70">$E70*IFERROR(INDEX($E$11:$E$23,MATCH(MATCH(AI$8,$AF$8:$CA$8,0)-MATCH($D70,$D$33:$D$80,0),$D$11:$D$23,0),0),0)</f>
        <v>0</v>
      </c>
      <c r="AJ70" s="654" cm="1">
        <f t="array" ref="AJ70">$E70*IFERROR(INDEX($E$11:$E$23,MATCH(MATCH(AJ$8,$AF$8:$CA$8,0)-MATCH($D70,$D$33:$D$80,0),$D$11:$D$23,0),0),0)</f>
        <v>0</v>
      </c>
      <c r="AK70" s="654" cm="1">
        <f t="array" ref="AK70">$E70*IFERROR(INDEX($E$11:$E$23,MATCH(MATCH(AK$8,$AF$8:$CA$8,0)-MATCH($D70,$D$33:$D$80,0),$D$11:$D$23,0),0),0)</f>
        <v>0</v>
      </c>
      <c r="AL70" s="654" cm="1">
        <f t="array" ref="AL70">$E70*IFERROR(INDEX($E$11:$E$23,MATCH(MATCH(AL$8,$AF$8:$CA$8,0)-MATCH($D70,$D$33:$D$80,0),$D$11:$D$23,0),0),0)</f>
        <v>0</v>
      </c>
      <c r="AM70" s="654" cm="1">
        <f t="array" ref="AM70">$E70*IFERROR(INDEX($E$11:$E$23,MATCH(MATCH(AM$8,$AF$8:$CA$8,0)-MATCH($D70,$D$33:$D$80,0),$D$11:$D$23,0),0),0)</f>
        <v>0</v>
      </c>
      <c r="AN70" s="654" cm="1">
        <f t="array" ref="AN70">$E70*IFERROR(INDEX($E$11:$E$23,MATCH(MATCH(AN$8,$AF$8:$CA$8,0)-MATCH($D70,$D$33:$D$80,0),$D$11:$D$23,0),0),0)</f>
        <v>0</v>
      </c>
      <c r="AO70" s="654" cm="1">
        <f t="array" ref="AO70">$E70*IFERROR(INDEX($E$11:$E$23,MATCH(MATCH(AO$8,$AF$8:$CA$8,0)-MATCH($D70,$D$33:$D$80,0),$D$11:$D$23,0),0),0)</f>
        <v>0</v>
      </c>
      <c r="AP70" s="654" cm="1">
        <f t="array" ref="AP70">$E70*IFERROR(INDEX($E$11:$E$23,MATCH(MATCH(AP$8,$AF$8:$CA$8,0)-MATCH($D70,$D$33:$D$80,0),$D$11:$D$23,0),0),0)</f>
        <v>0</v>
      </c>
      <c r="AQ70" s="654" cm="1">
        <f t="array" ref="AQ70">$E70*IFERROR(INDEX($E$11:$E$23,MATCH(MATCH(AQ$8,$AF$8:$CA$8,0)-MATCH($D70,$D$33:$D$80,0),$D$11:$D$23,0),0),0)</f>
        <v>0</v>
      </c>
      <c r="AR70" s="654" cm="1">
        <f t="array" ref="AR70">$E70*IFERROR(INDEX($E$11:$E$23,MATCH(MATCH(AR$8,$AF$8:$CA$8,0)-MATCH($D70,$D$33:$D$80,0),$D$11:$D$23,0),0),0)</f>
        <v>0</v>
      </c>
      <c r="AS70" s="654" cm="1">
        <f t="array" ref="AS70">$E70*IFERROR(INDEX($E$11:$E$23,MATCH(MATCH(AS$8,$AF$8:$CA$8,0)-MATCH($D70,$D$33:$D$80,0),$D$11:$D$23,0),0),0)</f>
        <v>0</v>
      </c>
      <c r="AT70" s="654" cm="1">
        <f t="array" ref="AT70">$E70*IFERROR(INDEX($E$11:$E$23,MATCH(MATCH(AT$8,$AF$8:$CA$8,0)-MATCH($D70,$D$33:$D$80,0),$D$11:$D$23,0),0),0)</f>
        <v>0</v>
      </c>
      <c r="AU70" s="654" cm="1">
        <f t="array" ref="AU70">$E70*IFERROR(INDEX($E$11:$E$23,MATCH(MATCH(AU$8,$AF$8:$CA$8,0)-MATCH($D70,$D$33:$D$80,0),$D$11:$D$23,0),0),0)</f>
        <v>0</v>
      </c>
      <c r="AV70" s="654" cm="1">
        <f t="array" ref="AV70">$E70*IFERROR(INDEX($E$11:$E$23,MATCH(MATCH(AV$8,$AF$8:$CA$8,0)-MATCH($D70,$D$33:$D$80,0),$D$11:$D$23,0),0),0)</f>
        <v>0</v>
      </c>
      <c r="AW70" s="654" cm="1">
        <f t="array" ref="AW70">$E70*IFERROR(INDEX($E$11:$E$23,MATCH(MATCH(AW$8,$AF$8:$CA$8,0)-MATCH($D70,$D$33:$D$80,0),$D$11:$D$23,0),0),0)</f>
        <v>0</v>
      </c>
      <c r="AX70" s="654" cm="1">
        <f t="array" ref="AX70">$E70*IFERROR(INDEX($E$11:$E$23,MATCH(MATCH(AX$8,$AF$8:$CA$8,0)-MATCH($D70,$D$33:$D$80,0),$D$11:$D$23,0),0),0)</f>
        <v>0</v>
      </c>
      <c r="AY70" s="654" cm="1">
        <f t="array" ref="AY70">$E70*IFERROR(INDEX($E$11:$E$23,MATCH(MATCH(AY$8,$AF$8:$CA$8,0)-MATCH($D70,$D$33:$D$80,0),$D$11:$D$23,0),0),0)</f>
        <v>0</v>
      </c>
      <c r="AZ70" s="654" cm="1">
        <f t="array" ref="AZ70">$E70*IFERROR(INDEX($E$11:$E$23,MATCH(MATCH(AZ$8,$AF$8:$CA$8,0)-MATCH($D70,$D$33:$D$80,0),$D$11:$D$23,0),0),0)</f>
        <v>0</v>
      </c>
      <c r="BA70" s="654" cm="1">
        <f t="array" ref="BA70">$E70*IFERROR(INDEX($E$11:$E$23,MATCH(MATCH(BA$8,$AF$8:$CA$8,0)-MATCH($D70,$D$33:$D$80,0),$D$11:$D$23,0),0),0)</f>
        <v>0</v>
      </c>
      <c r="BB70" s="654" cm="1">
        <f t="array" ref="BB70">$E70*IFERROR(INDEX($E$11:$E$23,MATCH(MATCH(BB$8,$AF$8:$CA$8,0)-MATCH($D70,$D$33:$D$80,0),$D$11:$D$23,0),0),0)</f>
        <v>0</v>
      </c>
      <c r="BC70" s="654" cm="1">
        <f t="array" ref="BC70">$E70*IFERROR(INDEX($E$11:$E$23,MATCH(MATCH(BC$8,$AF$8:$CA$8,0)-MATCH($D70,$D$33:$D$80,0),$D$11:$D$23,0),0),0)</f>
        <v>0</v>
      </c>
      <c r="BD70" s="654" cm="1">
        <f t="array" ref="BD70">$E70*IFERROR(INDEX($E$11:$E$23,MATCH(MATCH(BD$8,$AF$8:$CA$8,0)-MATCH($D70,$D$33:$D$80,0),$D$11:$D$23,0),0),0)</f>
        <v>0</v>
      </c>
      <c r="BE70" s="654" cm="1">
        <f t="array" ref="BE70">$E70*IFERROR(INDEX($E$11:$E$23,MATCH(MATCH(BE$8,$AF$8:$CA$8,0)-MATCH($D70,$D$33:$D$80,0),$D$11:$D$23,0),0),0)</f>
        <v>0</v>
      </c>
      <c r="BF70" s="654" cm="1">
        <f t="array" ref="BF70">$E70*IFERROR(INDEX($E$11:$E$23,MATCH(MATCH(BF$8,$AF$8:$CA$8,0)-MATCH($D70,$D$33:$D$80,0),$D$11:$D$23,0),0),0)</f>
        <v>0</v>
      </c>
      <c r="BG70" s="654" cm="1">
        <f t="array" ref="BG70">$E70*IFERROR(INDEX($E$11:$E$23,MATCH(MATCH(BG$8,$AF$8:$CA$8,0)-MATCH($D70,$D$33:$D$80,0),$D$11:$D$23,0),0),0)</f>
        <v>0</v>
      </c>
      <c r="BH70" s="654" cm="1">
        <f t="array" ref="BH70">$E70*IFERROR(INDEX($E$11:$E$23,MATCH(MATCH(BH$8,$AF$8:$CA$8,0)-MATCH($D70,$D$33:$D$80,0),$D$11:$D$23,0),0),0)</f>
        <v>0</v>
      </c>
      <c r="BI70" s="654" cm="1">
        <f t="array" ref="BI70">$E70*IFERROR(INDEX($E$11:$E$23,MATCH(MATCH(BI$8,$AF$8:$CA$8,0)-MATCH($D70,$D$33:$D$80,0),$D$11:$D$23,0),0),0)</f>
        <v>0</v>
      </c>
      <c r="BJ70" s="654" cm="1">
        <f t="array" ref="BJ70">$E70*IFERROR(INDEX($E$11:$E$23,MATCH(MATCH(BJ$8,$AF$8:$CA$8,0)-MATCH($D70,$D$33:$D$80,0),$D$11:$D$23,0),0),0)</f>
        <v>0</v>
      </c>
      <c r="BK70" s="654" cm="1">
        <f t="array" ref="BK70">$E70*IFERROR(INDEX($E$11:$E$23,MATCH(MATCH(BK$8,$AF$8:$CA$8,0)-MATCH($D70,$D$33:$D$80,0),$D$11:$D$23,0),0),0)</f>
        <v>0</v>
      </c>
      <c r="BL70" s="654" cm="1">
        <f t="array" ref="BL70">$E70*IFERROR(INDEX($E$11:$E$23,MATCH(MATCH(BL$8,$AF$8:$CA$8,0)-MATCH($D70,$D$33:$D$80,0),$D$11:$D$23,0),0),0)</f>
        <v>0</v>
      </c>
      <c r="BM70" s="654" cm="1">
        <f t="array" ref="BM70">$E70*IFERROR(INDEX($E$11:$E$23,MATCH(MATCH(BM$8,$AF$8:$CA$8,0)-MATCH($D70,$D$33:$D$80,0),$D$11:$D$23,0),0),0)</f>
        <v>0</v>
      </c>
      <c r="BN70" s="654" cm="1">
        <f t="array" ref="BN70">$E70*IFERROR(INDEX($E$11:$E$23,MATCH(MATCH(BN$8,$AF$8:$CA$8,0)-MATCH($D70,$D$33:$D$80,0),$D$11:$D$23,0),0),0)</f>
        <v>15000</v>
      </c>
      <c r="BO70" s="654" cm="1">
        <f t="array" ref="BO70">$E70*IFERROR(INDEX($E$11:$E$23,MATCH(MATCH(BO$8,$AF$8:$CA$8,0)-MATCH($D70,$D$33:$D$80,0),$D$11:$D$23,0),0),0)</f>
        <v>0</v>
      </c>
      <c r="BP70" s="654" cm="1">
        <f t="array" ref="BP70">$E70*IFERROR(INDEX($E$11:$E$23,MATCH(MATCH(BP$8,$AF$8:$CA$8,0)-MATCH($D70,$D$33:$D$80,0),$D$11:$D$23,0),0),0)</f>
        <v>15000</v>
      </c>
      <c r="BQ70" s="654" cm="1">
        <f t="array" ref="BQ70">$E70*IFERROR(INDEX($E$11:$E$23,MATCH(MATCH(BQ$8,$AF$8:$CA$8,0)-MATCH($D70,$D$33:$D$80,0),$D$11:$D$23,0),0),0)</f>
        <v>0</v>
      </c>
      <c r="BR70" s="654" cm="1">
        <f t="array" ref="BR70">$E70*IFERROR(INDEX($E$11:$E$23,MATCH(MATCH(BR$8,$AF$8:$CA$8,0)-MATCH($D70,$D$33:$D$80,0),$D$11:$D$23,0),0),0)</f>
        <v>0</v>
      </c>
      <c r="BS70" s="654" cm="1">
        <f t="array" ref="BS70">$E70*IFERROR(INDEX($E$11:$E$23,MATCH(MATCH(BS$8,$AF$8:$CA$8,0)-MATCH($D70,$D$33:$D$80,0),$D$11:$D$23,0),0),0)</f>
        <v>0</v>
      </c>
      <c r="BT70" s="654" cm="1">
        <f t="array" ref="BT70">$E70*IFERROR(INDEX($E$11:$E$23,MATCH(MATCH(BT$8,$AF$8:$CA$8,0)-MATCH($D70,$D$33:$D$80,0),$D$11:$D$23,0),0),0)</f>
        <v>0</v>
      </c>
      <c r="BU70" s="654" cm="1">
        <f t="array" ref="BU70">$E70*IFERROR(INDEX($E$11:$E$23,MATCH(MATCH(BU$8,$AF$8:$CA$8,0)-MATCH($D70,$D$33:$D$80,0),$D$11:$D$23,0),0),0)</f>
        <v>0</v>
      </c>
      <c r="BV70" s="654" cm="1">
        <f t="array" ref="BV70">$E70*IFERROR(INDEX($E$11:$E$23,MATCH(MATCH(BV$8,$AF$8:$CA$8,0)-MATCH($D70,$D$33:$D$80,0),$D$11:$D$23,0),0),0)</f>
        <v>0</v>
      </c>
      <c r="BW70" s="654" cm="1">
        <f t="array" ref="BW70">$E70*IFERROR(INDEX($E$11:$E$23,MATCH(MATCH(BW$8,$AF$8:$CA$8,0)-MATCH($D70,$D$33:$D$80,0),$D$11:$D$23,0),0),0)</f>
        <v>0</v>
      </c>
      <c r="BX70" s="654" cm="1">
        <f t="array" ref="BX70">$E70*IFERROR(INDEX($E$11:$E$23,MATCH(MATCH(BX$8,$AF$8:$CA$8,0)-MATCH($D70,$D$33:$D$80,0),$D$11:$D$23,0),0),0)</f>
        <v>0</v>
      </c>
      <c r="BY70" s="654" cm="1">
        <f t="array" ref="BY70">$E70*IFERROR(INDEX($E$11:$E$23,MATCH(MATCH(BY$8,$AF$8:$CA$8,0)-MATCH($D70,$D$33:$D$80,0),$D$11:$D$23,0),0),0)</f>
        <v>0</v>
      </c>
      <c r="BZ70" s="654" cm="1">
        <f t="array" ref="BZ70">$E70*IFERROR(INDEX($E$11:$E$23,MATCH(MATCH(BZ$8,$AF$8:$CA$8,0)-MATCH($D70,$D$33:$D$80,0),$D$11:$D$23,0),0),0)</f>
        <v>0</v>
      </c>
      <c r="CA70" s="654" cm="1">
        <f t="array" ref="CA70">$E70*IFERROR(INDEX($E$11:$E$23,MATCH(MATCH(CA$8,$AF$8:$CA$8,0)-MATCH($D70,$D$33:$D$80,0),$D$11:$D$23,0),0),0)</f>
        <v>0</v>
      </c>
    </row>
    <row r="71" spans="2:79" ht="21" hidden="1" customHeight="1" outlineLevel="2">
      <c r="B71" s="367"/>
      <c r="C71" s="370"/>
      <c r="D71" s="374">
        <f t="shared" si="24"/>
        <v>46112</v>
      </c>
      <c r="E71" s="653" cm="1">
        <f t="array" ref="E71">IF($D71&lt;=LatestMonthOfActuals,0,INDEX($AF$28:$CA$28,0,MATCH($D71,$AF$8:$CA$8,0)))</f>
        <v>30000</v>
      </c>
      <c r="F71" s="643"/>
      <c r="G71" s="644"/>
      <c r="H71" s="408">
        <f t="shared" si="26"/>
        <v>0</v>
      </c>
      <c r="I71" s="408">
        <f t="shared" si="26"/>
        <v>0</v>
      </c>
      <c r="J71" s="408">
        <f t="shared" si="26"/>
        <v>15000</v>
      </c>
      <c r="K71" s="408">
        <f t="shared" si="26"/>
        <v>15000</v>
      </c>
      <c r="L71" s="643"/>
      <c r="M71" s="644"/>
      <c r="N71" s="408">
        <f t="shared" si="28"/>
        <v>0</v>
      </c>
      <c r="O71" s="408">
        <f t="shared" si="28"/>
        <v>0</v>
      </c>
      <c r="P71" s="408">
        <f t="shared" si="28"/>
        <v>0</v>
      </c>
      <c r="Q71" s="408">
        <f t="shared" si="28"/>
        <v>0</v>
      </c>
      <c r="R71" s="408">
        <f t="shared" si="28"/>
        <v>0</v>
      </c>
      <c r="S71" s="408">
        <f t="shared" si="28"/>
        <v>0</v>
      </c>
      <c r="T71" s="408">
        <f t="shared" si="28"/>
        <v>0</v>
      </c>
      <c r="U71" s="408">
        <f t="shared" si="28"/>
        <v>0</v>
      </c>
      <c r="V71" s="408">
        <f t="shared" si="28"/>
        <v>0</v>
      </c>
      <c r="W71" s="408">
        <f t="shared" si="28"/>
        <v>0</v>
      </c>
      <c r="X71" s="408">
        <f t="shared" si="28"/>
        <v>0</v>
      </c>
      <c r="Y71" s="408">
        <f t="shared" si="28"/>
        <v>15000</v>
      </c>
      <c r="Z71" s="408">
        <f t="shared" si="28"/>
        <v>15000</v>
      </c>
      <c r="AA71" s="408">
        <f t="shared" si="28"/>
        <v>0</v>
      </c>
      <c r="AB71" s="408">
        <f t="shared" si="28"/>
        <v>0</v>
      </c>
      <c r="AC71" s="408">
        <f t="shared" si="28"/>
        <v>0</v>
      </c>
      <c r="AD71" s="643"/>
      <c r="AE71" s="644"/>
      <c r="AF71" s="654" cm="1">
        <f t="array" ref="AF71">$E71*IFERROR(INDEX($E$11:$E$23,MATCH(MATCH(AF$8,$AF$8:$CA$8,0)-MATCH($D71,$D$33:$D$80,0),$D$11:$D$23,0),0),0)</f>
        <v>0</v>
      </c>
      <c r="AG71" s="654" cm="1">
        <f t="array" ref="AG71">$E71*IFERROR(INDEX($E$11:$E$23,MATCH(MATCH(AG$8,$AF$8:$CA$8,0)-MATCH($D71,$D$33:$D$80,0),$D$11:$D$23,0),0),0)</f>
        <v>0</v>
      </c>
      <c r="AH71" s="654" cm="1">
        <f t="array" ref="AH71">$E71*IFERROR(INDEX($E$11:$E$23,MATCH(MATCH(AH$8,$AF$8:$CA$8,0)-MATCH($D71,$D$33:$D$80,0),$D$11:$D$23,0),0),0)</f>
        <v>0</v>
      </c>
      <c r="AI71" s="654" cm="1">
        <f t="array" ref="AI71">$E71*IFERROR(INDEX($E$11:$E$23,MATCH(MATCH(AI$8,$AF$8:$CA$8,0)-MATCH($D71,$D$33:$D$80,0),$D$11:$D$23,0),0),0)</f>
        <v>0</v>
      </c>
      <c r="AJ71" s="654" cm="1">
        <f t="array" ref="AJ71">$E71*IFERROR(INDEX($E$11:$E$23,MATCH(MATCH(AJ$8,$AF$8:$CA$8,0)-MATCH($D71,$D$33:$D$80,0),$D$11:$D$23,0),0),0)</f>
        <v>0</v>
      </c>
      <c r="AK71" s="654" cm="1">
        <f t="array" ref="AK71">$E71*IFERROR(INDEX($E$11:$E$23,MATCH(MATCH(AK$8,$AF$8:$CA$8,0)-MATCH($D71,$D$33:$D$80,0),$D$11:$D$23,0),0),0)</f>
        <v>0</v>
      </c>
      <c r="AL71" s="654" cm="1">
        <f t="array" ref="AL71">$E71*IFERROR(INDEX($E$11:$E$23,MATCH(MATCH(AL$8,$AF$8:$CA$8,0)-MATCH($D71,$D$33:$D$80,0),$D$11:$D$23,0),0),0)</f>
        <v>0</v>
      </c>
      <c r="AM71" s="654" cm="1">
        <f t="array" ref="AM71">$E71*IFERROR(INDEX($E$11:$E$23,MATCH(MATCH(AM$8,$AF$8:$CA$8,0)-MATCH($D71,$D$33:$D$80,0),$D$11:$D$23,0),0),0)</f>
        <v>0</v>
      </c>
      <c r="AN71" s="654" cm="1">
        <f t="array" ref="AN71">$E71*IFERROR(INDEX($E$11:$E$23,MATCH(MATCH(AN$8,$AF$8:$CA$8,0)-MATCH($D71,$D$33:$D$80,0),$D$11:$D$23,0),0),0)</f>
        <v>0</v>
      </c>
      <c r="AO71" s="654" cm="1">
        <f t="array" ref="AO71">$E71*IFERROR(INDEX($E$11:$E$23,MATCH(MATCH(AO$8,$AF$8:$CA$8,0)-MATCH($D71,$D$33:$D$80,0),$D$11:$D$23,0),0),0)</f>
        <v>0</v>
      </c>
      <c r="AP71" s="654" cm="1">
        <f t="array" ref="AP71">$E71*IFERROR(INDEX($E$11:$E$23,MATCH(MATCH(AP$8,$AF$8:$CA$8,0)-MATCH($D71,$D$33:$D$80,0),$D$11:$D$23,0),0),0)</f>
        <v>0</v>
      </c>
      <c r="AQ71" s="654" cm="1">
        <f t="array" ref="AQ71">$E71*IFERROR(INDEX($E$11:$E$23,MATCH(MATCH(AQ$8,$AF$8:$CA$8,0)-MATCH($D71,$D$33:$D$80,0),$D$11:$D$23,0),0),0)</f>
        <v>0</v>
      </c>
      <c r="AR71" s="654" cm="1">
        <f t="array" ref="AR71">$E71*IFERROR(INDEX($E$11:$E$23,MATCH(MATCH(AR$8,$AF$8:$CA$8,0)-MATCH($D71,$D$33:$D$80,0),$D$11:$D$23,0),0),0)</f>
        <v>0</v>
      </c>
      <c r="AS71" s="654" cm="1">
        <f t="array" ref="AS71">$E71*IFERROR(INDEX($E$11:$E$23,MATCH(MATCH(AS$8,$AF$8:$CA$8,0)-MATCH($D71,$D$33:$D$80,0),$D$11:$D$23,0),0),0)</f>
        <v>0</v>
      </c>
      <c r="AT71" s="654" cm="1">
        <f t="array" ref="AT71">$E71*IFERROR(INDEX($E$11:$E$23,MATCH(MATCH(AT$8,$AF$8:$CA$8,0)-MATCH($D71,$D$33:$D$80,0),$D$11:$D$23,0),0),0)</f>
        <v>0</v>
      </c>
      <c r="AU71" s="654" cm="1">
        <f t="array" ref="AU71">$E71*IFERROR(INDEX($E$11:$E$23,MATCH(MATCH(AU$8,$AF$8:$CA$8,0)-MATCH($D71,$D$33:$D$80,0),$D$11:$D$23,0),0),0)</f>
        <v>0</v>
      </c>
      <c r="AV71" s="654" cm="1">
        <f t="array" ref="AV71">$E71*IFERROR(INDEX($E$11:$E$23,MATCH(MATCH(AV$8,$AF$8:$CA$8,0)-MATCH($D71,$D$33:$D$80,0),$D$11:$D$23,0),0),0)</f>
        <v>0</v>
      </c>
      <c r="AW71" s="654" cm="1">
        <f t="array" ref="AW71">$E71*IFERROR(INDEX($E$11:$E$23,MATCH(MATCH(AW$8,$AF$8:$CA$8,0)-MATCH($D71,$D$33:$D$80,0),$D$11:$D$23,0),0),0)</f>
        <v>0</v>
      </c>
      <c r="AX71" s="654" cm="1">
        <f t="array" ref="AX71">$E71*IFERROR(INDEX($E$11:$E$23,MATCH(MATCH(AX$8,$AF$8:$CA$8,0)-MATCH($D71,$D$33:$D$80,0),$D$11:$D$23,0),0),0)</f>
        <v>0</v>
      </c>
      <c r="AY71" s="654" cm="1">
        <f t="array" ref="AY71">$E71*IFERROR(INDEX($E$11:$E$23,MATCH(MATCH(AY$8,$AF$8:$CA$8,0)-MATCH($D71,$D$33:$D$80,0),$D$11:$D$23,0),0),0)</f>
        <v>0</v>
      </c>
      <c r="AZ71" s="654" cm="1">
        <f t="array" ref="AZ71">$E71*IFERROR(INDEX($E$11:$E$23,MATCH(MATCH(AZ$8,$AF$8:$CA$8,0)-MATCH($D71,$D$33:$D$80,0),$D$11:$D$23,0),0),0)</f>
        <v>0</v>
      </c>
      <c r="BA71" s="654" cm="1">
        <f t="array" ref="BA71">$E71*IFERROR(INDEX($E$11:$E$23,MATCH(MATCH(BA$8,$AF$8:$CA$8,0)-MATCH($D71,$D$33:$D$80,0),$D$11:$D$23,0),0),0)</f>
        <v>0</v>
      </c>
      <c r="BB71" s="654" cm="1">
        <f t="array" ref="BB71">$E71*IFERROR(INDEX($E$11:$E$23,MATCH(MATCH(BB$8,$AF$8:$CA$8,0)-MATCH($D71,$D$33:$D$80,0),$D$11:$D$23,0),0),0)</f>
        <v>0</v>
      </c>
      <c r="BC71" s="654" cm="1">
        <f t="array" ref="BC71">$E71*IFERROR(INDEX($E$11:$E$23,MATCH(MATCH(BC$8,$AF$8:$CA$8,0)-MATCH($D71,$D$33:$D$80,0),$D$11:$D$23,0),0),0)</f>
        <v>0</v>
      </c>
      <c r="BD71" s="654" cm="1">
        <f t="array" ref="BD71">$E71*IFERROR(INDEX($E$11:$E$23,MATCH(MATCH(BD$8,$AF$8:$CA$8,0)-MATCH($D71,$D$33:$D$80,0),$D$11:$D$23,0),0),0)</f>
        <v>0</v>
      </c>
      <c r="BE71" s="654" cm="1">
        <f t="array" ref="BE71">$E71*IFERROR(INDEX($E$11:$E$23,MATCH(MATCH(BE$8,$AF$8:$CA$8,0)-MATCH($D71,$D$33:$D$80,0),$D$11:$D$23,0),0),0)</f>
        <v>0</v>
      </c>
      <c r="BF71" s="654" cm="1">
        <f t="array" ref="BF71">$E71*IFERROR(INDEX($E$11:$E$23,MATCH(MATCH(BF$8,$AF$8:$CA$8,0)-MATCH($D71,$D$33:$D$80,0),$D$11:$D$23,0),0),0)</f>
        <v>0</v>
      </c>
      <c r="BG71" s="654" cm="1">
        <f t="array" ref="BG71">$E71*IFERROR(INDEX($E$11:$E$23,MATCH(MATCH(BG$8,$AF$8:$CA$8,0)-MATCH($D71,$D$33:$D$80,0),$D$11:$D$23,0),0),0)</f>
        <v>0</v>
      </c>
      <c r="BH71" s="654" cm="1">
        <f t="array" ref="BH71">$E71*IFERROR(INDEX($E$11:$E$23,MATCH(MATCH(BH$8,$AF$8:$CA$8,0)-MATCH($D71,$D$33:$D$80,0),$D$11:$D$23,0),0),0)</f>
        <v>0</v>
      </c>
      <c r="BI71" s="654" cm="1">
        <f t="array" ref="BI71">$E71*IFERROR(INDEX($E$11:$E$23,MATCH(MATCH(BI$8,$AF$8:$CA$8,0)-MATCH($D71,$D$33:$D$80,0),$D$11:$D$23,0),0),0)</f>
        <v>0</v>
      </c>
      <c r="BJ71" s="654" cm="1">
        <f t="array" ref="BJ71">$E71*IFERROR(INDEX($E$11:$E$23,MATCH(MATCH(BJ$8,$AF$8:$CA$8,0)-MATCH($D71,$D$33:$D$80,0),$D$11:$D$23,0),0),0)</f>
        <v>0</v>
      </c>
      <c r="BK71" s="654" cm="1">
        <f t="array" ref="BK71">$E71*IFERROR(INDEX($E$11:$E$23,MATCH(MATCH(BK$8,$AF$8:$CA$8,0)-MATCH($D71,$D$33:$D$80,0),$D$11:$D$23,0),0),0)</f>
        <v>0</v>
      </c>
      <c r="BL71" s="654" cm="1">
        <f t="array" ref="BL71">$E71*IFERROR(INDEX($E$11:$E$23,MATCH(MATCH(BL$8,$AF$8:$CA$8,0)-MATCH($D71,$D$33:$D$80,0),$D$11:$D$23,0),0),0)</f>
        <v>0</v>
      </c>
      <c r="BM71" s="654" cm="1">
        <f t="array" ref="BM71">$E71*IFERROR(INDEX($E$11:$E$23,MATCH(MATCH(BM$8,$AF$8:$CA$8,0)-MATCH($D71,$D$33:$D$80,0),$D$11:$D$23,0),0),0)</f>
        <v>0</v>
      </c>
      <c r="BN71" s="654" cm="1">
        <f t="array" ref="BN71">$E71*IFERROR(INDEX($E$11:$E$23,MATCH(MATCH(BN$8,$AF$8:$CA$8,0)-MATCH($D71,$D$33:$D$80,0),$D$11:$D$23,0),0),0)</f>
        <v>0</v>
      </c>
      <c r="BO71" s="654" cm="1">
        <f t="array" ref="BO71">$E71*IFERROR(INDEX($E$11:$E$23,MATCH(MATCH(BO$8,$AF$8:$CA$8,0)-MATCH($D71,$D$33:$D$80,0),$D$11:$D$23,0),0),0)</f>
        <v>15000</v>
      </c>
      <c r="BP71" s="654" cm="1">
        <f t="array" ref="BP71">$E71*IFERROR(INDEX($E$11:$E$23,MATCH(MATCH(BP$8,$AF$8:$CA$8,0)-MATCH($D71,$D$33:$D$80,0),$D$11:$D$23,0),0),0)</f>
        <v>0</v>
      </c>
      <c r="BQ71" s="654" cm="1">
        <f t="array" ref="BQ71">$E71*IFERROR(INDEX($E$11:$E$23,MATCH(MATCH(BQ$8,$AF$8:$CA$8,0)-MATCH($D71,$D$33:$D$80,0),$D$11:$D$23,0),0),0)</f>
        <v>15000</v>
      </c>
      <c r="BR71" s="654" cm="1">
        <f t="array" ref="BR71">$E71*IFERROR(INDEX($E$11:$E$23,MATCH(MATCH(BR$8,$AF$8:$CA$8,0)-MATCH($D71,$D$33:$D$80,0),$D$11:$D$23,0),0),0)</f>
        <v>0</v>
      </c>
      <c r="BS71" s="654" cm="1">
        <f t="array" ref="BS71">$E71*IFERROR(INDEX($E$11:$E$23,MATCH(MATCH(BS$8,$AF$8:$CA$8,0)-MATCH($D71,$D$33:$D$80,0),$D$11:$D$23,0),0),0)</f>
        <v>0</v>
      </c>
      <c r="BT71" s="654" cm="1">
        <f t="array" ref="BT71">$E71*IFERROR(INDEX($E$11:$E$23,MATCH(MATCH(BT$8,$AF$8:$CA$8,0)-MATCH($D71,$D$33:$D$80,0),$D$11:$D$23,0),0),0)</f>
        <v>0</v>
      </c>
      <c r="BU71" s="654" cm="1">
        <f t="array" ref="BU71">$E71*IFERROR(INDEX($E$11:$E$23,MATCH(MATCH(BU$8,$AF$8:$CA$8,0)-MATCH($D71,$D$33:$D$80,0),$D$11:$D$23,0),0),0)</f>
        <v>0</v>
      </c>
      <c r="BV71" s="654" cm="1">
        <f t="array" ref="BV71">$E71*IFERROR(INDEX($E$11:$E$23,MATCH(MATCH(BV$8,$AF$8:$CA$8,0)-MATCH($D71,$D$33:$D$80,0),$D$11:$D$23,0),0),0)</f>
        <v>0</v>
      </c>
      <c r="BW71" s="654" cm="1">
        <f t="array" ref="BW71">$E71*IFERROR(INDEX($E$11:$E$23,MATCH(MATCH(BW$8,$AF$8:$CA$8,0)-MATCH($D71,$D$33:$D$80,0),$D$11:$D$23,0),0),0)</f>
        <v>0</v>
      </c>
      <c r="BX71" s="654" cm="1">
        <f t="array" ref="BX71">$E71*IFERROR(INDEX($E$11:$E$23,MATCH(MATCH(BX$8,$AF$8:$CA$8,0)-MATCH($D71,$D$33:$D$80,0),$D$11:$D$23,0),0),0)</f>
        <v>0</v>
      </c>
      <c r="BY71" s="654" cm="1">
        <f t="array" ref="BY71">$E71*IFERROR(INDEX($E$11:$E$23,MATCH(MATCH(BY$8,$AF$8:$CA$8,0)-MATCH($D71,$D$33:$D$80,0),$D$11:$D$23,0),0),0)</f>
        <v>0</v>
      </c>
      <c r="BZ71" s="654" cm="1">
        <f t="array" ref="BZ71">$E71*IFERROR(INDEX($E$11:$E$23,MATCH(MATCH(BZ$8,$AF$8:$CA$8,0)-MATCH($D71,$D$33:$D$80,0),$D$11:$D$23,0),0),0)</f>
        <v>0</v>
      </c>
      <c r="CA71" s="654" cm="1">
        <f t="array" ref="CA71">$E71*IFERROR(INDEX($E$11:$E$23,MATCH(MATCH(CA$8,$AF$8:$CA$8,0)-MATCH($D71,$D$33:$D$80,0),$D$11:$D$23,0),0),0)</f>
        <v>0</v>
      </c>
    </row>
    <row r="72" spans="2:79" ht="21" hidden="1" customHeight="1" outlineLevel="2">
      <c r="B72" s="367"/>
      <c r="C72" s="370"/>
      <c r="D72" s="374">
        <f t="shared" si="24"/>
        <v>46142</v>
      </c>
      <c r="E72" s="653" cm="1">
        <f t="array" ref="E72">IF($D72&lt;=LatestMonthOfActuals,0,INDEX($AF$28:$CA$28,0,MATCH($D72,$AF$8:$CA$8,0)))</f>
        <v>30000</v>
      </c>
      <c r="F72" s="643"/>
      <c r="G72" s="644"/>
      <c r="H72" s="408">
        <f t="shared" si="26"/>
        <v>0</v>
      </c>
      <c r="I72" s="408">
        <f t="shared" si="26"/>
        <v>0</v>
      </c>
      <c r="J72" s="408">
        <f t="shared" si="26"/>
        <v>0</v>
      </c>
      <c r="K72" s="408">
        <f t="shared" si="26"/>
        <v>30000</v>
      </c>
      <c r="L72" s="643"/>
      <c r="M72" s="644"/>
      <c r="N72" s="408">
        <f t="shared" si="28"/>
        <v>0</v>
      </c>
      <c r="O72" s="408">
        <f t="shared" si="28"/>
        <v>0</v>
      </c>
      <c r="P72" s="408">
        <f t="shared" si="28"/>
        <v>0</v>
      </c>
      <c r="Q72" s="408">
        <f t="shared" si="28"/>
        <v>0</v>
      </c>
      <c r="R72" s="408">
        <f t="shared" si="28"/>
        <v>0</v>
      </c>
      <c r="S72" s="408">
        <f t="shared" si="28"/>
        <v>0</v>
      </c>
      <c r="T72" s="408">
        <f t="shared" si="28"/>
        <v>0</v>
      </c>
      <c r="U72" s="408">
        <f t="shared" si="28"/>
        <v>0</v>
      </c>
      <c r="V72" s="408">
        <f t="shared" si="28"/>
        <v>0</v>
      </c>
      <c r="W72" s="408">
        <f t="shared" si="28"/>
        <v>0</v>
      </c>
      <c r="X72" s="408">
        <f t="shared" si="28"/>
        <v>0</v>
      </c>
      <c r="Y72" s="408">
        <f t="shared" si="28"/>
        <v>0</v>
      </c>
      <c r="Z72" s="408">
        <f t="shared" si="28"/>
        <v>30000</v>
      </c>
      <c r="AA72" s="408">
        <f t="shared" si="28"/>
        <v>0</v>
      </c>
      <c r="AB72" s="408">
        <f t="shared" si="28"/>
        <v>0</v>
      </c>
      <c r="AC72" s="408">
        <f t="shared" si="28"/>
        <v>0</v>
      </c>
      <c r="AD72" s="643"/>
      <c r="AE72" s="644"/>
      <c r="AF72" s="654" cm="1">
        <f t="array" ref="AF72">$E72*IFERROR(INDEX($E$11:$E$23,MATCH(MATCH(AF$8,$AF$8:$CA$8,0)-MATCH($D72,$D$33:$D$80,0),$D$11:$D$23,0),0),0)</f>
        <v>0</v>
      </c>
      <c r="AG72" s="654" cm="1">
        <f t="array" ref="AG72">$E72*IFERROR(INDEX($E$11:$E$23,MATCH(MATCH(AG$8,$AF$8:$CA$8,0)-MATCH($D72,$D$33:$D$80,0),$D$11:$D$23,0),0),0)</f>
        <v>0</v>
      </c>
      <c r="AH72" s="654" cm="1">
        <f t="array" ref="AH72">$E72*IFERROR(INDEX($E$11:$E$23,MATCH(MATCH(AH$8,$AF$8:$CA$8,0)-MATCH($D72,$D$33:$D$80,0),$D$11:$D$23,0),0),0)</f>
        <v>0</v>
      </c>
      <c r="AI72" s="654" cm="1">
        <f t="array" ref="AI72">$E72*IFERROR(INDEX($E$11:$E$23,MATCH(MATCH(AI$8,$AF$8:$CA$8,0)-MATCH($D72,$D$33:$D$80,0),$D$11:$D$23,0),0),0)</f>
        <v>0</v>
      </c>
      <c r="AJ72" s="654" cm="1">
        <f t="array" ref="AJ72">$E72*IFERROR(INDEX($E$11:$E$23,MATCH(MATCH(AJ$8,$AF$8:$CA$8,0)-MATCH($D72,$D$33:$D$80,0),$D$11:$D$23,0),0),0)</f>
        <v>0</v>
      </c>
      <c r="AK72" s="654" cm="1">
        <f t="array" ref="AK72">$E72*IFERROR(INDEX($E$11:$E$23,MATCH(MATCH(AK$8,$AF$8:$CA$8,0)-MATCH($D72,$D$33:$D$80,0),$D$11:$D$23,0),0),0)</f>
        <v>0</v>
      </c>
      <c r="AL72" s="654" cm="1">
        <f t="array" ref="AL72">$E72*IFERROR(INDEX($E$11:$E$23,MATCH(MATCH(AL$8,$AF$8:$CA$8,0)-MATCH($D72,$D$33:$D$80,0),$D$11:$D$23,0),0),0)</f>
        <v>0</v>
      </c>
      <c r="AM72" s="654" cm="1">
        <f t="array" ref="AM72">$E72*IFERROR(INDEX($E$11:$E$23,MATCH(MATCH(AM$8,$AF$8:$CA$8,0)-MATCH($D72,$D$33:$D$80,0),$D$11:$D$23,0),0),0)</f>
        <v>0</v>
      </c>
      <c r="AN72" s="654" cm="1">
        <f t="array" ref="AN72">$E72*IFERROR(INDEX($E$11:$E$23,MATCH(MATCH(AN$8,$AF$8:$CA$8,0)-MATCH($D72,$D$33:$D$80,0),$D$11:$D$23,0),0),0)</f>
        <v>0</v>
      </c>
      <c r="AO72" s="654" cm="1">
        <f t="array" ref="AO72">$E72*IFERROR(INDEX($E$11:$E$23,MATCH(MATCH(AO$8,$AF$8:$CA$8,0)-MATCH($D72,$D$33:$D$80,0),$D$11:$D$23,0),0),0)</f>
        <v>0</v>
      </c>
      <c r="AP72" s="654" cm="1">
        <f t="array" ref="AP72">$E72*IFERROR(INDEX($E$11:$E$23,MATCH(MATCH(AP$8,$AF$8:$CA$8,0)-MATCH($D72,$D$33:$D$80,0),$D$11:$D$23,0),0),0)</f>
        <v>0</v>
      </c>
      <c r="AQ72" s="654" cm="1">
        <f t="array" ref="AQ72">$E72*IFERROR(INDEX($E$11:$E$23,MATCH(MATCH(AQ$8,$AF$8:$CA$8,0)-MATCH($D72,$D$33:$D$80,0),$D$11:$D$23,0),0),0)</f>
        <v>0</v>
      </c>
      <c r="AR72" s="654" cm="1">
        <f t="array" ref="AR72">$E72*IFERROR(INDEX($E$11:$E$23,MATCH(MATCH(AR$8,$AF$8:$CA$8,0)-MATCH($D72,$D$33:$D$80,0),$D$11:$D$23,0),0),0)</f>
        <v>0</v>
      </c>
      <c r="AS72" s="654" cm="1">
        <f t="array" ref="AS72">$E72*IFERROR(INDEX($E$11:$E$23,MATCH(MATCH(AS$8,$AF$8:$CA$8,0)-MATCH($D72,$D$33:$D$80,0),$D$11:$D$23,0),0),0)</f>
        <v>0</v>
      </c>
      <c r="AT72" s="654" cm="1">
        <f t="array" ref="AT72">$E72*IFERROR(INDEX($E$11:$E$23,MATCH(MATCH(AT$8,$AF$8:$CA$8,0)-MATCH($D72,$D$33:$D$80,0),$D$11:$D$23,0),0),0)</f>
        <v>0</v>
      </c>
      <c r="AU72" s="654" cm="1">
        <f t="array" ref="AU72">$E72*IFERROR(INDEX($E$11:$E$23,MATCH(MATCH(AU$8,$AF$8:$CA$8,0)-MATCH($D72,$D$33:$D$80,0),$D$11:$D$23,0),0),0)</f>
        <v>0</v>
      </c>
      <c r="AV72" s="654" cm="1">
        <f t="array" ref="AV72">$E72*IFERROR(INDEX($E$11:$E$23,MATCH(MATCH(AV$8,$AF$8:$CA$8,0)-MATCH($D72,$D$33:$D$80,0),$D$11:$D$23,0),0),0)</f>
        <v>0</v>
      </c>
      <c r="AW72" s="654" cm="1">
        <f t="array" ref="AW72">$E72*IFERROR(INDEX($E$11:$E$23,MATCH(MATCH(AW$8,$AF$8:$CA$8,0)-MATCH($D72,$D$33:$D$80,0),$D$11:$D$23,0),0),0)</f>
        <v>0</v>
      </c>
      <c r="AX72" s="654" cm="1">
        <f t="array" ref="AX72">$E72*IFERROR(INDEX($E$11:$E$23,MATCH(MATCH(AX$8,$AF$8:$CA$8,0)-MATCH($D72,$D$33:$D$80,0),$D$11:$D$23,0),0),0)</f>
        <v>0</v>
      </c>
      <c r="AY72" s="654" cm="1">
        <f t="array" ref="AY72">$E72*IFERROR(INDEX($E$11:$E$23,MATCH(MATCH(AY$8,$AF$8:$CA$8,0)-MATCH($D72,$D$33:$D$80,0),$D$11:$D$23,0),0),0)</f>
        <v>0</v>
      </c>
      <c r="AZ72" s="654" cm="1">
        <f t="array" ref="AZ72">$E72*IFERROR(INDEX($E$11:$E$23,MATCH(MATCH(AZ$8,$AF$8:$CA$8,0)-MATCH($D72,$D$33:$D$80,0),$D$11:$D$23,0),0),0)</f>
        <v>0</v>
      </c>
      <c r="BA72" s="654" cm="1">
        <f t="array" ref="BA72">$E72*IFERROR(INDEX($E$11:$E$23,MATCH(MATCH(BA$8,$AF$8:$CA$8,0)-MATCH($D72,$D$33:$D$80,0),$D$11:$D$23,0),0),0)</f>
        <v>0</v>
      </c>
      <c r="BB72" s="654" cm="1">
        <f t="array" ref="BB72">$E72*IFERROR(INDEX($E$11:$E$23,MATCH(MATCH(BB$8,$AF$8:$CA$8,0)-MATCH($D72,$D$33:$D$80,0),$D$11:$D$23,0),0),0)</f>
        <v>0</v>
      </c>
      <c r="BC72" s="654" cm="1">
        <f t="array" ref="BC72">$E72*IFERROR(INDEX($E$11:$E$23,MATCH(MATCH(BC$8,$AF$8:$CA$8,0)-MATCH($D72,$D$33:$D$80,0),$D$11:$D$23,0),0),0)</f>
        <v>0</v>
      </c>
      <c r="BD72" s="654" cm="1">
        <f t="array" ref="BD72">$E72*IFERROR(INDEX($E$11:$E$23,MATCH(MATCH(BD$8,$AF$8:$CA$8,0)-MATCH($D72,$D$33:$D$80,0),$D$11:$D$23,0),0),0)</f>
        <v>0</v>
      </c>
      <c r="BE72" s="654" cm="1">
        <f t="array" ref="BE72">$E72*IFERROR(INDEX($E$11:$E$23,MATCH(MATCH(BE$8,$AF$8:$CA$8,0)-MATCH($D72,$D$33:$D$80,0),$D$11:$D$23,0),0),0)</f>
        <v>0</v>
      </c>
      <c r="BF72" s="654" cm="1">
        <f t="array" ref="BF72">$E72*IFERROR(INDEX($E$11:$E$23,MATCH(MATCH(BF$8,$AF$8:$CA$8,0)-MATCH($D72,$D$33:$D$80,0),$D$11:$D$23,0),0),0)</f>
        <v>0</v>
      </c>
      <c r="BG72" s="654" cm="1">
        <f t="array" ref="BG72">$E72*IFERROR(INDEX($E$11:$E$23,MATCH(MATCH(BG$8,$AF$8:$CA$8,0)-MATCH($D72,$D$33:$D$80,0),$D$11:$D$23,0),0),0)</f>
        <v>0</v>
      </c>
      <c r="BH72" s="654" cm="1">
        <f t="array" ref="BH72">$E72*IFERROR(INDEX($E$11:$E$23,MATCH(MATCH(BH$8,$AF$8:$CA$8,0)-MATCH($D72,$D$33:$D$80,0),$D$11:$D$23,0),0),0)</f>
        <v>0</v>
      </c>
      <c r="BI72" s="654" cm="1">
        <f t="array" ref="BI72">$E72*IFERROR(INDEX($E$11:$E$23,MATCH(MATCH(BI$8,$AF$8:$CA$8,0)-MATCH($D72,$D$33:$D$80,0),$D$11:$D$23,0),0),0)</f>
        <v>0</v>
      </c>
      <c r="BJ72" s="654" cm="1">
        <f t="array" ref="BJ72">$E72*IFERROR(INDEX($E$11:$E$23,MATCH(MATCH(BJ$8,$AF$8:$CA$8,0)-MATCH($D72,$D$33:$D$80,0),$D$11:$D$23,0),0),0)</f>
        <v>0</v>
      </c>
      <c r="BK72" s="654" cm="1">
        <f t="array" ref="BK72">$E72*IFERROR(INDEX($E$11:$E$23,MATCH(MATCH(BK$8,$AF$8:$CA$8,0)-MATCH($D72,$D$33:$D$80,0),$D$11:$D$23,0),0),0)</f>
        <v>0</v>
      </c>
      <c r="BL72" s="654" cm="1">
        <f t="array" ref="BL72">$E72*IFERROR(INDEX($E$11:$E$23,MATCH(MATCH(BL$8,$AF$8:$CA$8,0)-MATCH($D72,$D$33:$D$80,0),$D$11:$D$23,0),0),0)</f>
        <v>0</v>
      </c>
      <c r="BM72" s="654" cm="1">
        <f t="array" ref="BM72">$E72*IFERROR(INDEX($E$11:$E$23,MATCH(MATCH(BM$8,$AF$8:$CA$8,0)-MATCH($D72,$D$33:$D$80,0),$D$11:$D$23,0),0),0)</f>
        <v>0</v>
      </c>
      <c r="BN72" s="654" cm="1">
        <f t="array" ref="BN72">$E72*IFERROR(INDEX($E$11:$E$23,MATCH(MATCH(BN$8,$AF$8:$CA$8,0)-MATCH($D72,$D$33:$D$80,0),$D$11:$D$23,0),0),0)</f>
        <v>0</v>
      </c>
      <c r="BO72" s="654" cm="1">
        <f t="array" ref="BO72">$E72*IFERROR(INDEX($E$11:$E$23,MATCH(MATCH(BO$8,$AF$8:$CA$8,0)-MATCH($D72,$D$33:$D$80,0),$D$11:$D$23,0),0),0)</f>
        <v>0</v>
      </c>
      <c r="BP72" s="654" cm="1">
        <f t="array" ref="BP72">$E72*IFERROR(INDEX($E$11:$E$23,MATCH(MATCH(BP$8,$AF$8:$CA$8,0)-MATCH($D72,$D$33:$D$80,0),$D$11:$D$23,0),0),0)</f>
        <v>15000</v>
      </c>
      <c r="BQ72" s="654" cm="1">
        <f t="array" ref="BQ72">$E72*IFERROR(INDEX($E$11:$E$23,MATCH(MATCH(BQ$8,$AF$8:$CA$8,0)-MATCH($D72,$D$33:$D$80,0),$D$11:$D$23,0),0),0)</f>
        <v>0</v>
      </c>
      <c r="BR72" s="654" cm="1">
        <f t="array" ref="BR72">$E72*IFERROR(INDEX($E$11:$E$23,MATCH(MATCH(BR$8,$AF$8:$CA$8,0)-MATCH($D72,$D$33:$D$80,0),$D$11:$D$23,0),0),0)</f>
        <v>15000</v>
      </c>
      <c r="BS72" s="654" cm="1">
        <f t="array" ref="BS72">$E72*IFERROR(INDEX($E$11:$E$23,MATCH(MATCH(BS$8,$AF$8:$CA$8,0)-MATCH($D72,$D$33:$D$80,0),$D$11:$D$23,0),0),0)</f>
        <v>0</v>
      </c>
      <c r="BT72" s="654" cm="1">
        <f t="array" ref="BT72">$E72*IFERROR(INDEX($E$11:$E$23,MATCH(MATCH(BT$8,$AF$8:$CA$8,0)-MATCH($D72,$D$33:$D$80,0),$D$11:$D$23,0),0),0)</f>
        <v>0</v>
      </c>
      <c r="BU72" s="654" cm="1">
        <f t="array" ref="BU72">$E72*IFERROR(INDEX($E$11:$E$23,MATCH(MATCH(BU$8,$AF$8:$CA$8,0)-MATCH($D72,$D$33:$D$80,0),$D$11:$D$23,0),0),0)</f>
        <v>0</v>
      </c>
      <c r="BV72" s="654" cm="1">
        <f t="array" ref="BV72">$E72*IFERROR(INDEX($E$11:$E$23,MATCH(MATCH(BV$8,$AF$8:$CA$8,0)-MATCH($D72,$D$33:$D$80,0),$D$11:$D$23,0),0),0)</f>
        <v>0</v>
      </c>
      <c r="BW72" s="654" cm="1">
        <f t="array" ref="BW72">$E72*IFERROR(INDEX($E$11:$E$23,MATCH(MATCH(BW$8,$AF$8:$CA$8,0)-MATCH($D72,$D$33:$D$80,0),$D$11:$D$23,0),0),0)</f>
        <v>0</v>
      </c>
      <c r="BX72" s="654" cm="1">
        <f t="array" ref="BX72">$E72*IFERROR(INDEX($E$11:$E$23,MATCH(MATCH(BX$8,$AF$8:$CA$8,0)-MATCH($D72,$D$33:$D$80,0),$D$11:$D$23,0),0),0)</f>
        <v>0</v>
      </c>
      <c r="BY72" s="654" cm="1">
        <f t="array" ref="BY72">$E72*IFERROR(INDEX($E$11:$E$23,MATCH(MATCH(BY$8,$AF$8:$CA$8,0)-MATCH($D72,$D$33:$D$80,0),$D$11:$D$23,0),0),0)</f>
        <v>0</v>
      </c>
      <c r="BZ72" s="654" cm="1">
        <f t="array" ref="BZ72">$E72*IFERROR(INDEX($E$11:$E$23,MATCH(MATCH(BZ$8,$AF$8:$CA$8,0)-MATCH($D72,$D$33:$D$80,0),$D$11:$D$23,0),0),0)</f>
        <v>0</v>
      </c>
      <c r="CA72" s="654" cm="1">
        <f t="array" ref="CA72">$E72*IFERROR(INDEX($E$11:$E$23,MATCH(MATCH(CA$8,$AF$8:$CA$8,0)-MATCH($D72,$D$33:$D$80,0),$D$11:$D$23,0),0),0)</f>
        <v>0</v>
      </c>
    </row>
    <row r="73" spans="2:79" ht="21" hidden="1" customHeight="1" outlineLevel="2">
      <c r="B73" s="367"/>
      <c r="C73" s="370"/>
      <c r="D73" s="374">
        <f t="shared" si="24"/>
        <v>46173</v>
      </c>
      <c r="E73" s="653" cm="1">
        <f t="array" ref="E73">IF($D73&lt;=LatestMonthOfActuals,0,INDEX($AF$28:$CA$28,0,MATCH($D73,$AF$8:$CA$8,0)))</f>
        <v>30000</v>
      </c>
      <c r="F73" s="643"/>
      <c r="G73" s="644"/>
      <c r="H73" s="408">
        <f t="shared" ref="H73:K81" si="29">SUMIFS($AF73:$CA73,$AF$4:$CA$4,"&gt;="&amp;H$4,$AF$5:$CA$5,"&lt;="&amp;H$5)</f>
        <v>0</v>
      </c>
      <c r="I73" s="408">
        <f t="shared" si="29"/>
        <v>0</v>
      </c>
      <c r="J73" s="408">
        <f t="shared" si="29"/>
        <v>0</v>
      </c>
      <c r="K73" s="408">
        <f t="shared" si="29"/>
        <v>30000</v>
      </c>
      <c r="L73" s="643"/>
      <c r="M73" s="644"/>
      <c r="N73" s="408">
        <f t="shared" ref="N73:AC81" si="30">SUMIFS($AF73:$CA73,$AF$4:$CA$4,"&gt;="&amp;N$4,$AF$5:$CA$5,"&lt;="&amp;N$5)</f>
        <v>0</v>
      </c>
      <c r="O73" s="408">
        <f t="shared" si="30"/>
        <v>0</v>
      </c>
      <c r="P73" s="408">
        <f t="shared" si="30"/>
        <v>0</v>
      </c>
      <c r="Q73" s="408">
        <f t="shared" si="30"/>
        <v>0</v>
      </c>
      <c r="R73" s="408">
        <f t="shared" si="30"/>
        <v>0</v>
      </c>
      <c r="S73" s="408">
        <f t="shared" si="30"/>
        <v>0</v>
      </c>
      <c r="T73" s="408">
        <f t="shared" si="30"/>
        <v>0</v>
      </c>
      <c r="U73" s="408">
        <f t="shared" si="30"/>
        <v>0</v>
      </c>
      <c r="V73" s="408">
        <f t="shared" si="30"/>
        <v>0</v>
      </c>
      <c r="W73" s="408">
        <f t="shared" si="30"/>
        <v>0</v>
      </c>
      <c r="X73" s="408">
        <f t="shared" si="30"/>
        <v>0</v>
      </c>
      <c r="Y73" s="408">
        <f t="shared" si="30"/>
        <v>0</v>
      </c>
      <c r="Z73" s="408">
        <f t="shared" si="30"/>
        <v>15000</v>
      </c>
      <c r="AA73" s="408">
        <f t="shared" si="30"/>
        <v>15000</v>
      </c>
      <c r="AB73" s="408">
        <f t="shared" si="30"/>
        <v>0</v>
      </c>
      <c r="AC73" s="408">
        <f t="shared" si="30"/>
        <v>0</v>
      </c>
      <c r="AD73" s="643"/>
      <c r="AE73" s="644"/>
      <c r="AF73" s="654" cm="1">
        <f t="array" ref="AF73">$E73*IFERROR(INDEX($E$11:$E$23,MATCH(MATCH(AF$8,$AF$8:$CA$8,0)-MATCH($D73,$D$33:$D$80,0),$D$11:$D$23,0),0),0)</f>
        <v>0</v>
      </c>
      <c r="AG73" s="654" cm="1">
        <f t="array" ref="AG73">$E73*IFERROR(INDEX($E$11:$E$23,MATCH(MATCH(AG$8,$AF$8:$CA$8,0)-MATCH($D73,$D$33:$D$80,0),$D$11:$D$23,0),0),0)</f>
        <v>0</v>
      </c>
      <c r="AH73" s="654" cm="1">
        <f t="array" ref="AH73">$E73*IFERROR(INDEX($E$11:$E$23,MATCH(MATCH(AH$8,$AF$8:$CA$8,0)-MATCH($D73,$D$33:$D$80,0),$D$11:$D$23,0),0),0)</f>
        <v>0</v>
      </c>
      <c r="AI73" s="654" cm="1">
        <f t="array" ref="AI73">$E73*IFERROR(INDEX($E$11:$E$23,MATCH(MATCH(AI$8,$AF$8:$CA$8,0)-MATCH($D73,$D$33:$D$80,0),$D$11:$D$23,0),0),0)</f>
        <v>0</v>
      </c>
      <c r="AJ73" s="654" cm="1">
        <f t="array" ref="AJ73">$E73*IFERROR(INDEX($E$11:$E$23,MATCH(MATCH(AJ$8,$AF$8:$CA$8,0)-MATCH($D73,$D$33:$D$80,0),$D$11:$D$23,0),0),0)</f>
        <v>0</v>
      </c>
      <c r="AK73" s="654" cm="1">
        <f t="array" ref="AK73">$E73*IFERROR(INDEX($E$11:$E$23,MATCH(MATCH(AK$8,$AF$8:$CA$8,0)-MATCH($D73,$D$33:$D$80,0),$D$11:$D$23,0),0),0)</f>
        <v>0</v>
      </c>
      <c r="AL73" s="654" cm="1">
        <f t="array" ref="AL73">$E73*IFERROR(INDEX($E$11:$E$23,MATCH(MATCH(AL$8,$AF$8:$CA$8,0)-MATCH($D73,$D$33:$D$80,0),$D$11:$D$23,0),0),0)</f>
        <v>0</v>
      </c>
      <c r="AM73" s="654" cm="1">
        <f t="array" ref="AM73">$E73*IFERROR(INDEX($E$11:$E$23,MATCH(MATCH(AM$8,$AF$8:$CA$8,0)-MATCH($D73,$D$33:$D$80,0),$D$11:$D$23,0),0),0)</f>
        <v>0</v>
      </c>
      <c r="AN73" s="654" cm="1">
        <f t="array" ref="AN73">$E73*IFERROR(INDEX($E$11:$E$23,MATCH(MATCH(AN$8,$AF$8:$CA$8,0)-MATCH($D73,$D$33:$D$80,0),$D$11:$D$23,0),0),0)</f>
        <v>0</v>
      </c>
      <c r="AO73" s="654" cm="1">
        <f t="array" ref="AO73">$E73*IFERROR(INDEX($E$11:$E$23,MATCH(MATCH(AO$8,$AF$8:$CA$8,0)-MATCH($D73,$D$33:$D$80,0),$D$11:$D$23,0),0),0)</f>
        <v>0</v>
      </c>
      <c r="AP73" s="654" cm="1">
        <f t="array" ref="AP73">$E73*IFERROR(INDEX($E$11:$E$23,MATCH(MATCH(AP$8,$AF$8:$CA$8,0)-MATCH($D73,$D$33:$D$80,0),$D$11:$D$23,0),0),0)</f>
        <v>0</v>
      </c>
      <c r="AQ73" s="654" cm="1">
        <f t="array" ref="AQ73">$E73*IFERROR(INDEX($E$11:$E$23,MATCH(MATCH(AQ$8,$AF$8:$CA$8,0)-MATCH($D73,$D$33:$D$80,0),$D$11:$D$23,0),0),0)</f>
        <v>0</v>
      </c>
      <c r="AR73" s="654" cm="1">
        <f t="array" ref="AR73">$E73*IFERROR(INDEX($E$11:$E$23,MATCH(MATCH(AR$8,$AF$8:$CA$8,0)-MATCH($D73,$D$33:$D$80,0),$D$11:$D$23,0),0),0)</f>
        <v>0</v>
      </c>
      <c r="AS73" s="654" cm="1">
        <f t="array" ref="AS73">$E73*IFERROR(INDEX($E$11:$E$23,MATCH(MATCH(AS$8,$AF$8:$CA$8,0)-MATCH($D73,$D$33:$D$80,0),$D$11:$D$23,0),0),0)</f>
        <v>0</v>
      </c>
      <c r="AT73" s="654" cm="1">
        <f t="array" ref="AT73">$E73*IFERROR(INDEX($E$11:$E$23,MATCH(MATCH(AT$8,$AF$8:$CA$8,0)-MATCH($D73,$D$33:$D$80,0),$D$11:$D$23,0),0),0)</f>
        <v>0</v>
      </c>
      <c r="AU73" s="654" cm="1">
        <f t="array" ref="AU73">$E73*IFERROR(INDEX($E$11:$E$23,MATCH(MATCH(AU$8,$AF$8:$CA$8,0)-MATCH($D73,$D$33:$D$80,0),$D$11:$D$23,0),0),0)</f>
        <v>0</v>
      </c>
      <c r="AV73" s="654" cm="1">
        <f t="array" ref="AV73">$E73*IFERROR(INDEX($E$11:$E$23,MATCH(MATCH(AV$8,$AF$8:$CA$8,0)-MATCH($D73,$D$33:$D$80,0),$D$11:$D$23,0),0),0)</f>
        <v>0</v>
      </c>
      <c r="AW73" s="654" cm="1">
        <f t="array" ref="AW73">$E73*IFERROR(INDEX($E$11:$E$23,MATCH(MATCH(AW$8,$AF$8:$CA$8,0)-MATCH($D73,$D$33:$D$80,0),$D$11:$D$23,0),0),0)</f>
        <v>0</v>
      </c>
      <c r="AX73" s="654" cm="1">
        <f t="array" ref="AX73">$E73*IFERROR(INDEX($E$11:$E$23,MATCH(MATCH(AX$8,$AF$8:$CA$8,0)-MATCH($D73,$D$33:$D$80,0),$D$11:$D$23,0),0),0)</f>
        <v>0</v>
      </c>
      <c r="AY73" s="654" cm="1">
        <f t="array" ref="AY73">$E73*IFERROR(INDEX($E$11:$E$23,MATCH(MATCH(AY$8,$AF$8:$CA$8,0)-MATCH($D73,$D$33:$D$80,0),$D$11:$D$23,0),0),0)</f>
        <v>0</v>
      </c>
      <c r="AZ73" s="654" cm="1">
        <f t="array" ref="AZ73">$E73*IFERROR(INDEX($E$11:$E$23,MATCH(MATCH(AZ$8,$AF$8:$CA$8,0)-MATCH($D73,$D$33:$D$80,0),$D$11:$D$23,0),0),0)</f>
        <v>0</v>
      </c>
      <c r="BA73" s="654" cm="1">
        <f t="array" ref="BA73">$E73*IFERROR(INDEX($E$11:$E$23,MATCH(MATCH(BA$8,$AF$8:$CA$8,0)-MATCH($D73,$D$33:$D$80,0),$D$11:$D$23,0),0),0)</f>
        <v>0</v>
      </c>
      <c r="BB73" s="654" cm="1">
        <f t="array" ref="BB73">$E73*IFERROR(INDEX($E$11:$E$23,MATCH(MATCH(BB$8,$AF$8:$CA$8,0)-MATCH($D73,$D$33:$D$80,0),$D$11:$D$23,0),0),0)</f>
        <v>0</v>
      </c>
      <c r="BC73" s="654" cm="1">
        <f t="array" ref="BC73">$E73*IFERROR(INDEX($E$11:$E$23,MATCH(MATCH(BC$8,$AF$8:$CA$8,0)-MATCH($D73,$D$33:$D$80,0),$D$11:$D$23,0),0),0)</f>
        <v>0</v>
      </c>
      <c r="BD73" s="654" cm="1">
        <f t="array" ref="BD73">$E73*IFERROR(INDEX($E$11:$E$23,MATCH(MATCH(BD$8,$AF$8:$CA$8,0)-MATCH($D73,$D$33:$D$80,0),$D$11:$D$23,0),0),0)</f>
        <v>0</v>
      </c>
      <c r="BE73" s="654" cm="1">
        <f t="array" ref="BE73">$E73*IFERROR(INDEX($E$11:$E$23,MATCH(MATCH(BE$8,$AF$8:$CA$8,0)-MATCH($D73,$D$33:$D$80,0),$D$11:$D$23,0),0),0)</f>
        <v>0</v>
      </c>
      <c r="BF73" s="654" cm="1">
        <f t="array" ref="BF73">$E73*IFERROR(INDEX($E$11:$E$23,MATCH(MATCH(BF$8,$AF$8:$CA$8,0)-MATCH($D73,$D$33:$D$80,0),$D$11:$D$23,0),0),0)</f>
        <v>0</v>
      </c>
      <c r="BG73" s="654" cm="1">
        <f t="array" ref="BG73">$E73*IFERROR(INDEX($E$11:$E$23,MATCH(MATCH(BG$8,$AF$8:$CA$8,0)-MATCH($D73,$D$33:$D$80,0),$D$11:$D$23,0),0),0)</f>
        <v>0</v>
      </c>
      <c r="BH73" s="654" cm="1">
        <f t="array" ref="BH73">$E73*IFERROR(INDEX($E$11:$E$23,MATCH(MATCH(BH$8,$AF$8:$CA$8,0)-MATCH($D73,$D$33:$D$80,0),$D$11:$D$23,0),0),0)</f>
        <v>0</v>
      </c>
      <c r="BI73" s="654" cm="1">
        <f t="array" ref="BI73">$E73*IFERROR(INDEX($E$11:$E$23,MATCH(MATCH(BI$8,$AF$8:$CA$8,0)-MATCH($D73,$D$33:$D$80,0),$D$11:$D$23,0),0),0)</f>
        <v>0</v>
      </c>
      <c r="BJ73" s="654" cm="1">
        <f t="array" ref="BJ73">$E73*IFERROR(INDEX($E$11:$E$23,MATCH(MATCH(BJ$8,$AF$8:$CA$8,0)-MATCH($D73,$D$33:$D$80,0),$D$11:$D$23,0),0),0)</f>
        <v>0</v>
      </c>
      <c r="BK73" s="654" cm="1">
        <f t="array" ref="BK73">$E73*IFERROR(INDEX($E$11:$E$23,MATCH(MATCH(BK$8,$AF$8:$CA$8,0)-MATCH($D73,$D$33:$D$80,0),$D$11:$D$23,0),0),0)</f>
        <v>0</v>
      </c>
      <c r="BL73" s="654" cm="1">
        <f t="array" ref="BL73">$E73*IFERROR(INDEX($E$11:$E$23,MATCH(MATCH(BL$8,$AF$8:$CA$8,0)-MATCH($D73,$D$33:$D$80,0),$D$11:$D$23,0),0),0)</f>
        <v>0</v>
      </c>
      <c r="BM73" s="654" cm="1">
        <f t="array" ref="BM73">$E73*IFERROR(INDEX($E$11:$E$23,MATCH(MATCH(BM$8,$AF$8:$CA$8,0)-MATCH($D73,$D$33:$D$80,0),$D$11:$D$23,0),0),0)</f>
        <v>0</v>
      </c>
      <c r="BN73" s="654" cm="1">
        <f t="array" ref="BN73">$E73*IFERROR(INDEX($E$11:$E$23,MATCH(MATCH(BN$8,$AF$8:$CA$8,0)-MATCH($D73,$D$33:$D$80,0),$D$11:$D$23,0),0),0)</f>
        <v>0</v>
      </c>
      <c r="BO73" s="654" cm="1">
        <f t="array" ref="BO73">$E73*IFERROR(INDEX($E$11:$E$23,MATCH(MATCH(BO$8,$AF$8:$CA$8,0)-MATCH($D73,$D$33:$D$80,0),$D$11:$D$23,0),0),0)</f>
        <v>0</v>
      </c>
      <c r="BP73" s="654" cm="1">
        <f t="array" ref="BP73">$E73*IFERROR(INDEX($E$11:$E$23,MATCH(MATCH(BP$8,$AF$8:$CA$8,0)-MATCH($D73,$D$33:$D$80,0),$D$11:$D$23,0),0),0)</f>
        <v>0</v>
      </c>
      <c r="BQ73" s="654" cm="1">
        <f t="array" ref="BQ73">$E73*IFERROR(INDEX($E$11:$E$23,MATCH(MATCH(BQ$8,$AF$8:$CA$8,0)-MATCH($D73,$D$33:$D$80,0),$D$11:$D$23,0),0),0)</f>
        <v>15000</v>
      </c>
      <c r="BR73" s="654" cm="1">
        <f t="array" ref="BR73">$E73*IFERROR(INDEX($E$11:$E$23,MATCH(MATCH(BR$8,$AF$8:$CA$8,0)-MATCH($D73,$D$33:$D$80,0),$D$11:$D$23,0),0),0)</f>
        <v>0</v>
      </c>
      <c r="BS73" s="654" cm="1">
        <f t="array" ref="BS73">$E73*IFERROR(INDEX($E$11:$E$23,MATCH(MATCH(BS$8,$AF$8:$CA$8,0)-MATCH($D73,$D$33:$D$80,0),$D$11:$D$23,0),0),0)</f>
        <v>15000</v>
      </c>
      <c r="BT73" s="654" cm="1">
        <f t="array" ref="BT73">$E73*IFERROR(INDEX($E$11:$E$23,MATCH(MATCH(BT$8,$AF$8:$CA$8,0)-MATCH($D73,$D$33:$D$80,0),$D$11:$D$23,0),0),0)</f>
        <v>0</v>
      </c>
      <c r="BU73" s="654" cm="1">
        <f t="array" ref="BU73">$E73*IFERROR(INDEX($E$11:$E$23,MATCH(MATCH(BU$8,$AF$8:$CA$8,0)-MATCH($D73,$D$33:$D$80,0),$D$11:$D$23,0),0),0)</f>
        <v>0</v>
      </c>
      <c r="BV73" s="654" cm="1">
        <f t="array" ref="BV73">$E73*IFERROR(INDEX($E$11:$E$23,MATCH(MATCH(BV$8,$AF$8:$CA$8,0)-MATCH($D73,$D$33:$D$80,0),$D$11:$D$23,0),0),0)</f>
        <v>0</v>
      </c>
      <c r="BW73" s="654" cm="1">
        <f t="array" ref="BW73">$E73*IFERROR(INDEX($E$11:$E$23,MATCH(MATCH(BW$8,$AF$8:$CA$8,0)-MATCH($D73,$D$33:$D$80,0),$D$11:$D$23,0),0),0)</f>
        <v>0</v>
      </c>
      <c r="BX73" s="654" cm="1">
        <f t="array" ref="BX73">$E73*IFERROR(INDEX($E$11:$E$23,MATCH(MATCH(BX$8,$AF$8:$CA$8,0)-MATCH($D73,$D$33:$D$80,0),$D$11:$D$23,0),0),0)</f>
        <v>0</v>
      </c>
      <c r="BY73" s="654" cm="1">
        <f t="array" ref="BY73">$E73*IFERROR(INDEX($E$11:$E$23,MATCH(MATCH(BY$8,$AF$8:$CA$8,0)-MATCH($D73,$D$33:$D$80,0),$D$11:$D$23,0),0),0)</f>
        <v>0</v>
      </c>
      <c r="BZ73" s="654" cm="1">
        <f t="array" ref="BZ73">$E73*IFERROR(INDEX($E$11:$E$23,MATCH(MATCH(BZ$8,$AF$8:$CA$8,0)-MATCH($D73,$D$33:$D$80,0),$D$11:$D$23,0),0),0)</f>
        <v>0</v>
      </c>
      <c r="CA73" s="654" cm="1">
        <f t="array" ref="CA73">$E73*IFERROR(INDEX($E$11:$E$23,MATCH(MATCH(CA$8,$AF$8:$CA$8,0)-MATCH($D73,$D$33:$D$80,0),$D$11:$D$23,0),0),0)</f>
        <v>0</v>
      </c>
    </row>
    <row r="74" spans="2:79" ht="21" hidden="1" customHeight="1" outlineLevel="2">
      <c r="B74" s="367"/>
      <c r="C74" s="370"/>
      <c r="D74" s="374">
        <f t="shared" si="24"/>
        <v>46203</v>
      </c>
      <c r="E74" s="653" cm="1">
        <f t="array" ref="E74">IF($D74&lt;=LatestMonthOfActuals,0,INDEX($AF$28:$CA$28,0,MATCH($D74,$AF$8:$CA$8,0)))</f>
        <v>30000</v>
      </c>
      <c r="F74" s="643"/>
      <c r="G74" s="644"/>
      <c r="H74" s="408">
        <f t="shared" si="29"/>
        <v>0</v>
      </c>
      <c r="I74" s="408">
        <f t="shared" si="29"/>
        <v>0</v>
      </c>
      <c r="J74" s="408">
        <f t="shared" si="29"/>
        <v>0</v>
      </c>
      <c r="K74" s="408">
        <f t="shared" si="29"/>
        <v>30000</v>
      </c>
      <c r="L74" s="643"/>
      <c r="M74" s="644"/>
      <c r="N74" s="408">
        <f t="shared" si="30"/>
        <v>0</v>
      </c>
      <c r="O74" s="408">
        <f t="shared" si="30"/>
        <v>0</v>
      </c>
      <c r="P74" s="408">
        <f t="shared" si="30"/>
        <v>0</v>
      </c>
      <c r="Q74" s="408">
        <f t="shared" si="30"/>
        <v>0</v>
      </c>
      <c r="R74" s="408">
        <f t="shared" si="30"/>
        <v>0</v>
      </c>
      <c r="S74" s="408">
        <f t="shared" si="30"/>
        <v>0</v>
      </c>
      <c r="T74" s="408">
        <f t="shared" si="30"/>
        <v>0</v>
      </c>
      <c r="U74" s="408">
        <f t="shared" si="30"/>
        <v>0</v>
      </c>
      <c r="V74" s="408">
        <f t="shared" si="30"/>
        <v>0</v>
      </c>
      <c r="W74" s="408">
        <f t="shared" si="30"/>
        <v>0</v>
      </c>
      <c r="X74" s="408">
        <f t="shared" si="30"/>
        <v>0</v>
      </c>
      <c r="Y74" s="408">
        <f t="shared" si="30"/>
        <v>0</v>
      </c>
      <c r="Z74" s="408">
        <f t="shared" si="30"/>
        <v>15000</v>
      </c>
      <c r="AA74" s="408">
        <f t="shared" si="30"/>
        <v>15000</v>
      </c>
      <c r="AB74" s="408">
        <f t="shared" si="30"/>
        <v>0</v>
      </c>
      <c r="AC74" s="408">
        <f t="shared" si="30"/>
        <v>0</v>
      </c>
      <c r="AD74" s="643"/>
      <c r="AE74" s="644"/>
      <c r="AF74" s="654" cm="1">
        <f t="array" ref="AF74">$E74*IFERROR(INDEX($E$11:$E$23,MATCH(MATCH(AF$8,$AF$8:$CA$8,0)-MATCH($D74,$D$33:$D$80,0),$D$11:$D$23,0),0),0)</f>
        <v>0</v>
      </c>
      <c r="AG74" s="654" cm="1">
        <f t="array" ref="AG74">$E74*IFERROR(INDEX($E$11:$E$23,MATCH(MATCH(AG$8,$AF$8:$CA$8,0)-MATCH($D74,$D$33:$D$80,0),$D$11:$D$23,0),0),0)</f>
        <v>0</v>
      </c>
      <c r="AH74" s="654" cm="1">
        <f t="array" ref="AH74">$E74*IFERROR(INDEX($E$11:$E$23,MATCH(MATCH(AH$8,$AF$8:$CA$8,0)-MATCH($D74,$D$33:$D$80,0),$D$11:$D$23,0),0),0)</f>
        <v>0</v>
      </c>
      <c r="AI74" s="654" cm="1">
        <f t="array" ref="AI74">$E74*IFERROR(INDEX($E$11:$E$23,MATCH(MATCH(AI$8,$AF$8:$CA$8,0)-MATCH($D74,$D$33:$D$80,0),$D$11:$D$23,0),0),0)</f>
        <v>0</v>
      </c>
      <c r="AJ74" s="654" cm="1">
        <f t="array" ref="AJ74">$E74*IFERROR(INDEX($E$11:$E$23,MATCH(MATCH(AJ$8,$AF$8:$CA$8,0)-MATCH($D74,$D$33:$D$80,0),$D$11:$D$23,0),0),0)</f>
        <v>0</v>
      </c>
      <c r="AK74" s="654" cm="1">
        <f t="array" ref="AK74">$E74*IFERROR(INDEX($E$11:$E$23,MATCH(MATCH(AK$8,$AF$8:$CA$8,0)-MATCH($D74,$D$33:$D$80,0),$D$11:$D$23,0),0),0)</f>
        <v>0</v>
      </c>
      <c r="AL74" s="654" cm="1">
        <f t="array" ref="AL74">$E74*IFERROR(INDEX($E$11:$E$23,MATCH(MATCH(AL$8,$AF$8:$CA$8,0)-MATCH($D74,$D$33:$D$80,0),$D$11:$D$23,0),0),0)</f>
        <v>0</v>
      </c>
      <c r="AM74" s="654" cm="1">
        <f t="array" ref="AM74">$E74*IFERROR(INDEX($E$11:$E$23,MATCH(MATCH(AM$8,$AF$8:$CA$8,0)-MATCH($D74,$D$33:$D$80,0),$D$11:$D$23,0),0),0)</f>
        <v>0</v>
      </c>
      <c r="AN74" s="654" cm="1">
        <f t="array" ref="AN74">$E74*IFERROR(INDEX($E$11:$E$23,MATCH(MATCH(AN$8,$AF$8:$CA$8,0)-MATCH($D74,$D$33:$D$80,0),$D$11:$D$23,0),0),0)</f>
        <v>0</v>
      </c>
      <c r="AO74" s="654" cm="1">
        <f t="array" ref="AO74">$E74*IFERROR(INDEX($E$11:$E$23,MATCH(MATCH(AO$8,$AF$8:$CA$8,0)-MATCH($D74,$D$33:$D$80,0),$D$11:$D$23,0),0),0)</f>
        <v>0</v>
      </c>
      <c r="AP74" s="654" cm="1">
        <f t="array" ref="AP74">$E74*IFERROR(INDEX($E$11:$E$23,MATCH(MATCH(AP$8,$AF$8:$CA$8,0)-MATCH($D74,$D$33:$D$80,0),$D$11:$D$23,0),0),0)</f>
        <v>0</v>
      </c>
      <c r="AQ74" s="654" cm="1">
        <f t="array" ref="AQ74">$E74*IFERROR(INDEX($E$11:$E$23,MATCH(MATCH(AQ$8,$AF$8:$CA$8,0)-MATCH($D74,$D$33:$D$80,0),$D$11:$D$23,0),0),0)</f>
        <v>0</v>
      </c>
      <c r="AR74" s="654" cm="1">
        <f t="array" ref="AR74">$E74*IFERROR(INDEX($E$11:$E$23,MATCH(MATCH(AR$8,$AF$8:$CA$8,0)-MATCH($D74,$D$33:$D$80,0),$D$11:$D$23,0),0),0)</f>
        <v>0</v>
      </c>
      <c r="AS74" s="654" cm="1">
        <f t="array" ref="AS74">$E74*IFERROR(INDEX($E$11:$E$23,MATCH(MATCH(AS$8,$AF$8:$CA$8,0)-MATCH($D74,$D$33:$D$80,0),$D$11:$D$23,0),0),0)</f>
        <v>0</v>
      </c>
      <c r="AT74" s="654" cm="1">
        <f t="array" ref="AT74">$E74*IFERROR(INDEX($E$11:$E$23,MATCH(MATCH(AT$8,$AF$8:$CA$8,0)-MATCH($D74,$D$33:$D$80,0),$D$11:$D$23,0),0),0)</f>
        <v>0</v>
      </c>
      <c r="AU74" s="654" cm="1">
        <f t="array" ref="AU74">$E74*IFERROR(INDEX($E$11:$E$23,MATCH(MATCH(AU$8,$AF$8:$CA$8,0)-MATCH($D74,$D$33:$D$80,0),$D$11:$D$23,0),0),0)</f>
        <v>0</v>
      </c>
      <c r="AV74" s="654" cm="1">
        <f t="array" ref="AV74">$E74*IFERROR(INDEX($E$11:$E$23,MATCH(MATCH(AV$8,$AF$8:$CA$8,0)-MATCH($D74,$D$33:$D$80,0),$D$11:$D$23,0),0),0)</f>
        <v>0</v>
      </c>
      <c r="AW74" s="654" cm="1">
        <f t="array" ref="AW74">$E74*IFERROR(INDEX($E$11:$E$23,MATCH(MATCH(AW$8,$AF$8:$CA$8,0)-MATCH($D74,$D$33:$D$80,0),$D$11:$D$23,0),0),0)</f>
        <v>0</v>
      </c>
      <c r="AX74" s="654" cm="1">
        <f t="array" ref="AX74">$E74*IFERROR(INDEX($E$11:$E$23,MATCH(MATCH(AX$8,$AF$8:$CA$8,0)-MATCH($D74,$D$33:$D$80,0),$D$11:$D$23,0),0),0)</f>
        <v>0</v>
      </c>
      <c r="AY74" s="654" cm="1">
        <f t="array" ref="AY74">$E74*IFERROR(INDEX($E$11:$E$23,MATCH(MATCH(AY$8,$AF$8:$CA$8,0)-MATCH($D74,$D$33:$D$80,0),$D$11:$D$23,0),0),0)</f>
        <v>0</v>
      </c>
      <c r="AZ74" s="654" cm="1">
        <f t="array" ref="AZ74">$E74*IFERROR(INDEX($E$11:$E$23,MATCH(MATCH(AZ$8,$AF$8:$CA$8,0)-MATCH($D74,$D$33:$D$80,0),$D$11:$D$23,0),0),0)</f>
        <v>0</v>
      </c>
      <c r="BA74" s="654" cm="1">
        <f t="array" ref="BA74">$E74*IFERROR(INDEX($E$11:$E$23,MATCH(MATCH(BA$8,$AF$8:$CA$8,0)-MATCH($D74,$D$33:$D$80,0),$D$11:$D$23,0),0),0)</f>
        <v>0</v>
      </c>
      <c r="BB74" s="654" cm="1">
        <f t="array" ref="BB74">$E74*IFERROR(INDEX($E$11:$E$23,MATCH(MATCH(BB$8,$AF$8:$CA$8,0)-MATCH($D74,$D$33:$D$80,0),$D$11:$D$23,0),0),0)</f>
        <v>0</v>
      </c>
      <c r="BC74" s="654" cm="1">
        <f t="array" ref="BC74">$E74*IFERROR(INDEX($E$11:$E$23,MATCH(MATCH(BC$8,$AF$8:$CA$8,0)-MATCH($D74,$D$33:$D$80,0),$D$11:$D$23,0),0),0)</f>
        <v>0</v>
      </c>
      <c r="BD74" s="654" cm="1">
        <f t="array" ref="BD74">$E74*IFERROR(INDEX($E$11:$E$23,MATCH(MATCH(BD$8,$AF$8:$CA$8,0)-MATCH($D74,$D$33:$D$80,0),$D$11:$D$23,0),0),0)</f>
        <v>0</v>
      </c>
      <c r="BE74" s="654" cm="1">
        <f t="array" ref="BE74">$E74*IFERROR(INDEX($E$11:$E$23,MATCH(MATCH(BE$8,$AF$8:$CA$8,0)-MATCH($D74,$D$33:$D$80,0),$D$11:$D$23,0),0),0)</f>
        <v>0</v>
      </c>
      <c r="BF74" s="654" cm="1">
        <f t="array" ref="BF74">$E74*IFERROR(INDEX($E$11:$E$23,MATCH(MATCH(BF$8,$AF$8:$CA$8,0)-MATCH($D74,$D$33:$D$80,0),$D$11:$D$23,0),0),0)</f>
        <v>0</v>
      </c>
      <c r="BG74" s="654" cm="1">
        <f t="array" ref="BG74">$E74*IFERROR(INDEX($E$11:$E$23,MATCH(MATCH(BG$8,$AF$8:$CA$8,0)-MATCH($D74,$D$33:$D$80,0),$D$11:$D$23,0),0),0)</f>
        <v>0</v>
      </c>
      <c r="BH74" s="654" cm="1">
        <f t="array" ref="BH74">$E74*IFERROR(INDEX($E$11:$E$23,MATCH(MATCH(BH$8,$AF$8:$CA$8,0)-MATCH($D74,$D$33:$D$80,0),$D$11:$D$23,0),0),0)</f>
        <v>0</v>
      </c>
      <c r="BI74" s="654" cm="1">
        <f t="array" ref="BI74">$E74*IFERROR(INDEX($E$11:$E$23,MATCH(MATCH(BI$8,$AF$8:$CA$8,0)-MATCH($D74,$D$33:$D$80,0),$D$11:$D$23,0),0),0)</f>
        <v>0</v>
      </c>
      <c r="BJ74" s="654" cm="1">
        <f t="array" ref="BJ74">$E74*IFERROR(INDEX($E$11:$E$23,MATCH(MATCH(BJ$8,$AF$8:$CA$8,0)-MATCH($D74,$D$33:$D$80,0),$D$11:$D$23,0),0),0)</f>
        <v>0</v>
      </c>
      <c r="BK74" s="654" cm="1">
        <f t="array" ref="BK74">$E74*IFERROR(INDEX($E$11:$E$23,MATCH(MATCH(BK$8,$AF$8:$CA$8,0)-MATCH($D74,$D$33:$D$80,0),$D$11:$D$23,0),0),0)</f>
        <v>0</v>
      </c>
      <c r="BL74" s="654" cm="1">
        <f t="array" ref="BL74">$E74*IFERROR(INDEX($E$11:$E$23,MATCH(MATCH(BL$8,$AF$8:$CA$8,0)-MATCH($D74,$D$33:$D$80,0),$D$11:$D$23,0),0),0)</f>
        <v>0</v>
      </c>
      <c r="BM74" s="654" cm="1">
        <f t="array" ref="BM74">$E74*IFERROR(INDEX($E$11:$E$23,MATCH(MATCH(BM$8,$AF$8:$CA$8,0)-MATCH($D74,$D$33:$D$80,0),$D$11:$D$23,0),0),0)</f>
        <v>0</v>
      </c>
      <c r="BN74" s="654" cm="1">
        <f t="array" ref="BN74">$E74*IFERROR(INDEX($E$11:$E$23,MATCH(MATCH(BN$8,$AF$8:$CA$8,0)-MATCH($D74,$D$33:$D$80,0),$D$11:$D$23,0),0),0)</f>
        <v>0</v>
      </c>
      <c r="BO74" s="654" cm="1">
        <f t="array" ref="BO74">$E74*IFERROR(INDEX($E$11:$E$23,MATCH(MATCH(BO$8,$AF$8:$CA$8,0)-MATCH($D74,$D$33:$D$80,0),$D$11:$D$23,0),0),0)</f>
        <v>0</v>
      </c>
      <c r="BP74" s="654" cm="1">
        <f t="array" ref="BP74">$E74*IFERROR(INDEX($E$11:$E$23,MATCH(MATCH(BP$8,$AF$8:$CA$8,0)-MATCH($D74,$D$33:$D$80,0),$D$11:$D$23,0),0),0)</f>
        <v>0</v>
      </c>
      <c r="BQ74" s="654" cm="1">
        <f t="array" ref="BQ74">$E74*IFERROR(INDEX($E$11:$E$23,MATCH(MATCH(BQ$8,$AF$8:$CA$8,0)-MATCH($D74,$D$33:$D$80,0),$D$11:$D$23,0),0),0)</f>
        <v>0</v>
      </c>
      <c r="BR74" s="654" cm="1">
        <f t="array" ref="BR74">$E74*IFERROR(INDEX($E$11:$E$23,MATCH(MATCH(BR$8,$AF$8:$CA$8,0)-MATCH($D74,$D$33:$D$80,0),$D$11:$D$23,0),0),0)</f>
        <v>15000</v>
      </c>
      <c r="BS74" s="654" cm="1">
        <f t="array" ref="BS74">$E74*IFERROR(INDEX($E$11:$E$23,MATCH(MATCH(BS$8,$AF$8:$CA$8,0)-MATCH($D74,$D$33:$D$80,0),$D$11:$D$23,0),0),0)</f>
        <v>0</v>
      </c>
      <c r="BT74" s="654" cm="1">
        <f t="array" ref="BT74">$E74*IFERROR(INDEX($E$11:$E$23,MATCH(MATCH(BT$8,$AF$8:$CA$8,0)-MATCH($D74,$D$33:$D$80,0),$D$11:$D$23,0),0),0)</f>
        <v>15000</v>
      </c>
      <c r="BU74" s="654" cm="1">
        <f t="array" ref="BU74">$E74*IFERROR(INDEX($E$11:$E$23,MATCH(MATCH(BU$8,$AF$8:$CA$8,0)-MATCH($D74,$D$33:$D$80,0),$D$11:$D$23,0),0),0)</f>
        <v>0</v>
      </c>
      <c r="BV74" s="654" cm="1">
        <f t="array" ref="BV74">$E74*IFERROR(INDEX($E$11:$E$23,MATCH(MATCH(BV$8,$AF$8:$CA$8,0)-MATCH($D74,$D$33:$D$80,0),$D$11:$D$23,0),0),0)</f>
        <v>0</v>
      </c>
      <c r="BW74" s="654" cm="1">
        <f t="array" ref="BW74">$E74*IFERROR(INDEX($E$11:$E$23,MATCH(MATCH(BW$8,$AF$8:$CA$8,0)-MATCH($D74,$D$33:$D$80,0),$D$11:$D$23,0),0),0)</f>
        <v>0</v>
      </c>
      <c r="BX74" s="654" cm="1">
        <f t="array" ref="BX74">$E74*IFERROR(INDEX($E$11:$E$23,MATCH(MATCH(BX$8,$AF$8:$CA$8,0)-MATCH($D74,$D$33:$D$80,0),$D$11:$D$23,0),0),0)</f>
        <v>0</v>
      </c>
      <c r="BY74" s="654" cm="1">
        <f t="array" ref="BY74">$E74*IFERROR(INDEX($E$11:$E$23,MATCH(MATCH(BY$8,$AF$8:$CA$8,0)-MATCH($D74,$D$33:$D$80,0),$D$11:$D$23,0),0),0)</f>
        <v>0</v>
      </c>
      <c r="BZ74" s="654" cm="1">
        <f t="array" ref="BZ74">$E74*IFERROR(INDEX($E$11:$E$23,MATCH(MATCH(BZ$8,$AF$8:$CA$8,0)-MATCH($D74,$D$33:$D$80,0),$D$11:$D$23,0),0),0)</f>
        <v>0</v>
      </c>
      <c r="CA74" s="654" cm="1">
        <f t="array" ref="CA74">$E74*IFERROR(INDEX($E$11:$E$23,MATCH(MATCH(CA$8,$AF$8:$CA$8,0)-MATCH($D74,$D$33:$D$80,0),$D$11:$D$23,0),0),0)</f>
        <v>0</v>
      </c>
    </row>
    <row r="75" spans="2:79" ht="21" hidden="1" customHeight="1" outlineLevel="2">
      <c r="B75" s="367"/>
      <c r="C75" s="370"/>
      <c r="D75" s="374">
        <f t="shared" si="24"/>
        <v>46234</v>
      </c>
      <c r="E75" s="653" cm="1">
        <f t="array" ref="E75">IF($D75&lt;=LatestMonthOfActuals,0,INDEX($AF$28:$CA$28,0,MATCH($D75,$AF$8:$CA$8,0)))</f>
        <v>30000</v>
      </c>
      <c r="F75" s="643"/>
      <c r="G75" s="644"/>
      <c r="H75" s="408">
        <f t="shared" si="29"/>
        <v>0</v>
      </c>
      <c r="I75" s="408">
        <f t="shared" si="29"/>
        <v>0</v>
      </c>
      <c r="J75" s="408">
        <f t="shared" si="29"/>
        <v>0</v>
      </c>
      <c r="K75" s="408">
        <f t="shared" si="29"/>
        <v>30000</v>
      </c>
      <c r="L75" s="643"/>
      <c r="M75" s="644"/>
      <c r="N75" s="408">
        <f t="shared" si="30"/>
        <v>0</v>
      </c>
      <c r="O75" s="408">
        <f t="shared" si="30"/>
        <v>0</v>
      </c>
      <c r="P75" s="408">
        <f t="shared" si="30"/>
        <v>0</v>
      </c>
      <c r="Q75" s="408">
        <f t="shared" si="30"/>
        <v>0</v>
      </c>
      <c r="R75" s="408">
        <f t="shared" si="30"/>
        <v>0</v>
      </c>
      <c r="S75" s="408">
        <f t="shared" si="30"/>
        <v>0</v>
      </c>
      <c r="T75" s="408">
        <f t="shared" si="30"/>
        <v>0</v>
      </c>
      <c r="U75" s="408">
        <f t="shared" si="30"/>
        <v>0</v>
      </c>
      <c r="V75" s="408">
        <f t="shared" si="30"/>
        <v>0</v>
      </c>
      <c r="W75" s="408">
        <f t="shared" si="30"/>
        <v>0</v>
      </c>
      <c r="X75" s="408">
        <f t="shared" si="30"/>
        <v>0</v>
      </c>
      <c r="Y75" s="408">
        <f t="shared" si="30"/>
        <v>0</v>
      </c>
      <c r="Z75" s="408">
        <f t="shared" si="30"/>
        <v>0</v>
      </c>
      <c r="AA75" s="408">
        <f t="shared" si="30"/>
        <v>30000</v>
      </c>
      <c r="AB75" s="408">
        <f t="shared" si="30"/>
        <v>0</v>
      </c>
      <c r="AC75" s="408">
        <f t="shared" si="30"/>
        <v>0</v>
      </c>
      <c r="AD75" s="643"/>
      <c r="AE75" s="644"/>
      <c r="AF75" s="654" cm="1">
        <f t="array" ref="AF75">$E75*IFERROR(INDEX($E$11:$E$23,MATCH(MATCH(AF$8,$AF$8:$CA$8,0)-MATCH($D75,$D$33:$D$80,0),$D$11:$D$23,0),0),0)</f>
        <v>0</v>
      </c>
      <c r="AG75" s="654" cm="1">
        <f t="array" ref="AG75">$E75*IFERROR(INDEX($E$11:$E$23,MATCH(MATCH(AG$8,$AF$8:$CA$8,0)-MATCH($D75,$D$33:$D$80,0),$D$11:$D$23,0),0),0)</f>
        <v>0</v>
      </c>
      <c r="AH75" s="654" cm="1">
        <f t="array" ref="AH75">$E75*IFERROR(INDEX($E$11:$E$23,MATCH(MATCH(AH$8,$AF$8:$CA$8,0)-MATCH($D75,$D$33:$D$80,0),$D$11:$D$23,0),0),0)</f>
        <v>0</v>
      </c>
      <c r="AI75" s="654" cm="1">
        <f t="array" ref="AI75">$E75*IFERROR(INDEX($E$11:$E$23,MATCH(MATCH(AI$8,$AF$8:$CA$8,0)-MATCH($D75,$D$33:$D$80,0),$D$11:$D$23,0),0),0)</f>
        <v>0</v>
      </c>
      <c r="AJ75" s="654" cm="1">
        <f t="array" ref="AJ75">$E75*IFERROR(INDEX($E$11:$E$23,MATCH(MATCH(AJ$8,$AF$8:$CA$8,0)-MATCH($D75,$D$33:$D$80,0),$D$11:$D$23,0),0),0)</f>
        <v>0</v>
      </c>
      <c r="AK75" s="654" cm="1">
        <f t="array" ref="AK75">$E75*IFERROR(INDEX($E$11:$E$23,MATCH(MATCH(AK$8,$AF$8:$CA$8,0)-MATCH($D75,$D$33:$D$80,0),$D$11:$D$23,0),0),0)</f>
        <v>0</v>
      </c>
      <c r="AL75" s="654" cm="1">
        <f t="array" ref="AL75">$E75*IFERROR(INDEX($E$11:$E$23,MATCH(MATCH(AL$8,$AF$8:$CA$8,0)-MATCH($D75,$D$33:$D$80,0),$D$11:$D$23,0),0),0)</f>
        <v>0</v>
      </c>
      <c r="AM75" s="654" cm="1">
        <f t="array" ref="AM75">$E75*IFERROR(INDEX($E$11:$E$23,MATCH(MATCH(AM$8,$AF$8:$CA$8,0)-MATCH($D75,$D$33:$D$80,0),$D$11:$D$23,0),0),0)</f>
        <v>0</v>
      </c>
      <c r="AN75" s="654" cm="1">
        <f t="array" ref="AN75">$E75*IFERROR(INDEX($E$11:$E$23,MATCH(MATCH(AN$8,$AF$8:$CA$8,0)-MATCH($D75,$D$33:$D$80,0),$D$11:$D$23,0),0),0)</f>
        <v>0</v>
      </c>
      <c r="AO75" s="654" cm="1">
        <f t="array" ref="AO75">$E75*IFERROR(INDEX($E$11:$E$23,MATCH(MATCH(AO$8,$AF$8:$CA$8,0)-MATCH($D75,$D$33:$D$80,0),$D$11:$D$23,0),0),0)</f>
        <v>0</v>
      </c>
      <c r="AP75" s="654" cm="1">
        <f t="array" ref="AP75">$E75*IFERROR(INDEX($E$11:$E$23,MATCH(MATCH(AP$8,$AF$8:$CA$8,0)-MATCH($D75,$D$33:$D$80,0),$D$11:$D$23,0),0),0)</f>
        <v>0</v>
      </c>
      <c r="AQ75" s="654" cm="1">
        <f t="array" ref="AQ75">$E75*IFERROR(INDEX($E$11:$E$23,MATCH(MATCH(AQ$8,$AF$8:$CA$8,0)-MATCH($D75,$D$33:$D$80,0),$D$11:$D$23,0),0),0)</f>
        <v>0</v>
      </c>
      <c r="AR75" s="654" cm="1">
        <f t="array" ref="AR75">$E75*IFERROR(INDEX($E$11:$E$23,MATCH(MATCH(AR$8,$AF$8:$CA$8,0)-MATCH($D75,$D$33:$D$80,0),$D$11:$D$23,0),0),0)</f>
        <v>0</v>
      </c>
      <c r="AS75" s="654" cm="1">
        <f t="array" ref="AS75">$E75*IFERROR(INDEX($E$11:$E$23,MATCH(MATCH(AS$8,$AF$8:$CA$8,0)-MATCH($D75,$D$33:$D$80,0),$D$11:$D$23,0),0),0)</f>
        <v>0</v>
      </c>
      <c r="AT75" s="654" cm="1">
        <f t="array" ref="AT75">$E75*IFERROR(INDEX($E$11:$E$23,MATCH(MATCH(AT$8,$AF$8:$CA$8,0)-MATCH($D75,$D$33:$D$80,0),$D$11:$D$23,0),0),0)</f>
        <v>0</v>
      </c>
      <c r="AU75" s="654" cm="1">
        <f t="array" ref="AU75">$E75*IFERROR(INDEX($E$11:$E$23,MATCH(MATCH(AU$8,$AF$8:$CA$8,0)-MATCH($D75,$D$33:$D$80,0),$D$11:$D$23,0),0),0)</f>
        <v>0</v>
      </c>
      <c r="AV75" s="654" cm="1">
        <f t="array" ref="AV75">$E75*IFERROR(INDEX($E$11:$E$23,MATCH(MATCH(AV$8,$AF$8:$CA$8,0)-MATCH($D75,$D$33:$D$80,0),$D$11:$D$23,0),0),0)</f>
        <v>0</v>
      </c>
      <c r="AW75" s="654" cm="1">
        <f t="array" ref="AW75">$E75*IFERROR(INDEX($E$11:$E$23,MATCH(MATCH(AW$8,$AF$8:$CA$8,0)-MATCH($D75,$D$33:$D$80,0),$D$11:$D$23,0),0),0)</f>
        <v>0</v>
      </c>
      <c r="AX75" s="654" cm="1">
        <f t="array" ref="AX75">$E75*IFERROR(INDEX($E$11:$E$23,MATCH(MATCH(AX$8,$AF$8:$CA$8,0)-MATCH($D75,$D$33:$D$80,0),$D$11:$D$23,0),0),0)</f>
        <v>0</v>
      </c>
      <c r="AY75" s="654" cm="1">
        <f t="array" ref="AY75">$E75*IFERROR(INDEX($E$11:$E$23,MATCH(MATCH(AY$8,$AF$8:$CA$8,0)-MATCH($D75,$D$33:$D$80,0),$D$11:$D$23,0),0),0)</f>
        <v>0</v>
      </c>
      <c r="AZ75" s="654" cm="1">
        <f t="array" ref="AZ75">$E75*IFERROR(INDEX($E$11:$E$23,MATCH(MATCH(AZ$8,$AF$8:$CA$8,0)-MATCH($D75,$D$33:$D$80,0),$D$11:$D$23,0),0),0)</f>
        <v>0</v>
      </c>
      <c r="BA75" s="654" cm="1">
        <f t="array" ref="BA75">$E75*IFERROR(INDEX($E$11:$E$23,MATCH(MATCH(BA$8,$AF$8:$CA$8,0)-MATCH($D75,$D$33:$D$80,0),$D$11:$D$23,0),0),0)</f>
        <v>0</v>
      </c>
      <c r="BB75" s="654" cm="1">
        <f t="array" ref="BB75">$E75*IFERROR(INDEX($E$11:$E$23,MATCH(MATCH(BB$8,$AF$8:$CA$8,0)-MATCH($D75,$D$33:$D$80,0),$D$11:$D$23,0),0),0)</f>
        <v>0</v>
      </c>
      <c r="BC75" s="654" cm="1">
        <f t="array" ref="BC75">$E75*IFERROR(INDEX($E$11:$E$23,MATCH(MATCH(BC$8,$AF$8:$CA$8,0)-MATCH($D75,$D$33:$D$80,0),$D$11:$D$23,0),0),0)</f>
        <v>0</v>
      </c>
      <c r="BD75" s="654" cm="1">
        <f t="array" ref="BD75">$E75*IFERROR(INDEX($E$11:$E$23,MATCH(MATCH(BD$8,$AF$8:$CA$8,0)-MATCH($D75,$D$33:$D$80,0),$D$11:$D$23,0),0),0)</f>
        <v>0</v>
      </c>
      <c r="BE75" s="654" cm="1">
        <f t="array" ref="BE75">$E75*IFERROR(INDEX($E$11:$E$23,MATCH(MATCH(BE$8,$AF$8:$CA$8,0)-MATCH($D75,$D$33:$D$80,0),$D$11:$D$23,0),0),0)</f>
        <v>0</v>
      </c>
      <c r="BF75" s="654" cm="1">
        <f t="array" ref="BF75">$E75*IFERROR(INDEX($E$11:$E$23,MATCH(MATCH(BF$8,$AF$8:$CA$8,0)-MATCH($D75,$D$33:$D$80,0),$D$11:$D$23,0),0),0)</f>
        <v>0</v>
      </c>
      <c r="BG75" s="654" cm="1">
        <f t="array" ref="BG75">$E75*IFERROR(INDEX($E$11:$E$23,MATCH(MATCH(BG$8,$AF$8:$CA$8,0)-MATCH($D75,$D$33:$D$80,0),$D$11:$D$23,0),0),0)</f>
        <v>0</v>
      </c>
      <c r="BH75" s="654" cm="1">
        <f t="array" ref="BH75">$E75*IFERROR(INDEX($E$11:$E$23,MATCH(MATCH(BH$8,$AF$8:$CA$8,0)-MATCH($D75,$D$33:$D$80,0),$D$11:$D$23,0),0),0)</f>
        <v>0</v>
      </c>
      <c r="BI75" s="654" cm="1">
        <f t="array" ref="BI75">$E75*IFERROR(INDEX($E$11:$E$23,MATCH(MATCH(BI$8,$AF$8:$CA$8,0)-MATCH($D75,$D$33:$D$80,0),$D$11:$D$23,0),0),0)</f>
        <v>0</v>
      </c>
      <c r="BJ75" s="654" cm="1">
        <f t="array" ref="BJ75">$E75*IFERROR(INDEX($E$11:$E$23,MATCH(MATCH(BJ$8,$AF$8:$CA$8,0)-MATCH($D75,$D$33:$D$80,0),$D$11:$D$23,0),0),0)</f>
        <v>0</v>
      </c>
      <c r="BK75" s="654" cm="1">
        <f t="array" ref="BK75">$E75*IFERROR(INDEX($E$11:$E$23,MATCH(MATCH(BK$8,$AF$8:$CA$8,0)-MATCH($D75,$D$33:$D$80,0),$D$11:$D$23,0),0),0)</f>
        <v>0</v>
      </c>
      <c r="BL75" s="654" cm="1">
        <f t="array" ref="BL75">$E75*IFERROR(INDEX($E$11:$E$23,MATCH(MATCH(BL$8,$AF$8:$CA$8,0)-MATCH($D75,$D$33:$D$80,0),$D$11:$D$23,0),0),0)</f>
        <v>0</v>
      </c>
      <c r="BM75" s="654" cm="1">
        <f t="array" ref="BM75">$E75*IFERROR(INDEX($E$11:$E$23,MATCH(MATCH(BM$8,$AF$8:$CA$8,0)-MATCH($D75,$D$33:$D$80,0),$D$11:$D$23,0),0),0)</f>
        <v>0</v>
      </c>
      <c r="BN75" s="654" cm="1">
        <f t="array" ref="BN75">$E75*IFERROR(INDEX($E$11:$E$23,MATCH(MATCH(BN$8,$AF$8:$CA$8,0)-MATCH($D75,$D$33:$D$80,0),$D$11:$D$23,0),0),0)</f>
        <v>0</v>
      </c>
      <c r="BO75" s="654" cm="1">
        <f t="array" ref="BO75">$E75*IFERROR(INDEX($E$11:$E$23,MATCH(MATCH(BO$8,$AF$8:$CA$8,0)-MATCH($D75,$D$33:$D$80,0),$D$11:$D$23,0),0),0)</f>
        <v>0</v>
      </c>
      <c r="BP75" s="654" cm="1">
        <f t="array" ref="BP75">$E75*IFERROR(INDEX($E$11:$E$23,MATCH(MATCH(BP$8,$AF$8:$CA$8,0)-MATCH($D75,$D$33:$D$80,0),$D$11:$D$23,0),0),0)</f>
        <v>0</v>
      </c>
      <c r="BQ75" s="654" cm="1">
        <f t="array" ref="BQ75">$E75*IFERROR(INDEX($E$11:$E$23,MATCH(MATCH(BQ$8,$AF$8:$CA$8,0)-MATCH($D75,$D$33:$D$80,0),$D$11:$D$23,0),0),0)</f>
        <v>0</v>
      </c>
      <c r="BR75" s="654" cm="1">
        <f t="array" ref="BR75">$E75*IFERROR(INDEX($E$11:$E$23,MATCH(MATCH(BR$8,$AF$8:$CA$8,0)-MATCH($D75,$D$33:$D$80,0),$D$11:$D$23,0),0),0)</f>
        <v>0</v>
      </c>
      <c r="BS75" s="654" cm="1">
        <f t="array" ref="BS75">$E75*IFERROR(INDEX($E$11:$E$23,MATCH(MATCH(BS$8,$AF$8:$CA$8,0)-MATCH($D75,$D$33:$D$80,0),$D$11:$D$23,0),0),0)</f>
        <v>15000</v>
      </c>
      <c r="BT75" s="654" cm="1">
        <f t="array" ref="BT75">$E75*IFERROR(INDEX($E$11:$E$23,MATCH(MATCH(BT$8,$AF$8:$CA$8,0)-MATCH($D75,$D$33:$D$80,0),$D$11:$D$23,0),0),0)</f>
        <v>0</v>
      </c>
      <c r="BU75" s="654" cm="1">
        <f t="array" ref="BU75">$E75*IFERROR(INDEX($E$11:$E$23,MATCH(MATCH(BU$8,$AF$8:$CA$8,0)-MATCH($D75,$D$33:$D$80,0),$D$11:$D$23,0),0),0)</f>
        <v>15000</v>
      </c>
      <c r="BV75" s="654" cm="1">
        <f t="array" ref="BV75">$E75*IFERROR(INDEX($E$11:$E$23,MATCH(MATCH(BV$8,$AF$8:$CA$8,0)-MATCH($D75,$D$33:$D$80,0),$D$11:$D$23,0),0),0)</f>
        <v>0</v>
      </c>
      <c r="BW75" s="654" cm="1">
        <f t="array" ref="BW75">$E75*IFERROR(INDEX($E$11:$E$23,MATCH(MATCH(BW$8,$AF$8:$CA$8,0)-MATCH($D75,$D$33:$D$80,0),$D$11:$D$23,0),0),0)</f>
        <v>0</v>
      </c>
      <c r="BX75" s="654" cm="1">
        <f t="array" ref="BX75">$E75*IFERROR(INDEX($E$11:$E$23,MATCH(MATCH(BX$8,$AF$8:$CA$8,0)-MATCH($D75,$D$33:$D$80,0),$D$11:$D$23,0),0),0)</f>
        <v>0</v>
      </c>
      <c r="BY75" s="654" cm="1">
        <f t="array" ref="BY75">$E75*IFERROR(INDEX($E$11:$E$23,MATCH(MATCH(BY$8,$AF$8:$CA$8,0)-MATCH($D75,$D$33:$D$80,0),$D$11:$D$23,0),0),0)</f>
        <v>0</v>
      </c>
      <c r="BZ75" s="654" cm="1">
        <f t="array" ref="BZ75">$E75*IFERROR(INDEX($E$11:$E$23,MATCH(MATCH(BZ$8,$AF$8:$CA$8,0)-MATCH($D75,$D$33:$D$80,0),$D$11:$D$23,0),0),0)</f>
        <v>0</v>
      </c>
      <c r="CA75" s="654" cm="1">
        <f t="array" ref="CA75">$E75*IFERROR(INDEX($E$11:$E$23,MATCH(MATCH(CA$8,$AF$8:$CA$8,0)-MATCH($D75,$D$33:$D$80,0),$D$11:$D$23,0),0),0)</f>
        <v>0</v>
      </c>
    </row>
    <row r="76" spans="2:79" ht="21" hidden="1" customHeight="1" outlineLevel="2">
      <c r="B76" s="367"/>
      <c r="C76" s="370"/>
      <c r="D76" s="374">
        <f t="shared" si="24"/>
        <v>46265</v>
      </c>
      <c r="E76" s="653" cm="1">
        <f t="array" ref="E76">IF($D76&lt;=LatestMonthOfActuals,0,INDEX($AF$28:$CA$28,0,MATCH($D76,$AF$8:$CA$8,0)))</f>
        <v>30000</v>
      </c>
      <c r="F76" s="643"/>
      <c r="G76" s="644"/>
      <c r="H76" s="408">
        <f t="shared" si="29"/>
        <v>0</v>
      </c>
      <c r="I76" s="408">
        <f t="shared" si="29"/>
        <v>0</v>
      </c>
      <c r="J76" s="408">
        <f t="shared" si="29"/>
        <v>0</v>
      </c>
      <c r="K76" s="408">
        <f t="shared" si="29"/>
        <v>30000</v>
      </c>
      <c r="L76" s="643"/>
      <c r="M76" s="644"/>
      <c r="N76" s="408">
        <f t="shared" si="30"/>
        <v>0</v>
      </c>
      <c r="O76" s="408">
        <f t="shared" si="30"/>
        <v>0</v>
      </c>
      <c r="P76" s="408">
        <f t="shared" si="30"/>
        <v>0</v>
      </c>
      <c r="Q76" s="408">
        <f t="shared" si="30"/>
        <v>0</v>
      </c>
      <c r="R76" s="408">
        <f t="shared" si="30"/>
        <v>0</v>
      </c>
      <c r="S76" s="408">
        <f t="shared" si="30"/>
        <v>0</v>
      </c>
      <c r="T76" s="408">
        <f t="shared" si="30"/>
        <v>0</v>
      </c>
      <c r="U76" s="408">
        <f t="shared" si="30"/>
        <v>0</v>
      </c>
      <c r="V76" s="408">
        <f t="shared" si="30"/>
        <v>0</v>
      </c>
      <c r="W76" s="408">
        <f t="shared" si="30"/>
        <v>0</v>
      </c>
      <c r="X76" s="408">
        <f t="shared" si="30"/>
        <v>0</v>
      </c>
      <c r="Y76" s="408">
        <f t="shared" si="30"/>
        <v>0</v>
      </c>
      <c r="Z76" s="408">
        <f t="shared" si="30"/>
        <v>0</v>
      </c>
      <c r="AA76" s="408">
        <f t="shared" si="30"/>
        <v>15000</v>
      </c>
      <c r="AB76" s="408">
        <f t="shared" si="30"/>
        <v>15000</v>
      </c>
      <c r="AC76" s="408">
        <f t="shared" si="30"/>
        <v>0</v>
      </c>
      <c r="AD76" s="643"/>
      <c r="AE76" s="644"/>
      <c r="AF76" s="654" cm="1">
        <f t="array" ref="AF76">$E76*IFERROR(INDEX($E$11:$E$23,MATCH(MATCH(AF$8,$AF$8:$CA$8,0)-MATCH($D76,$D$33:$D$80,0),$D$11:$D$23,0),0),0)</f>
        <v>0</v>
      </c>
      <c r="AG76" s="654" cm="1">
        <f t="array" ref="AG76">$E76*IFERROR(INDEX($E$11:$E$23,MATCH(MATCH(AG$8,$AF$8:$CA$8,0)-MATCH($D76,$D$33:$D$80,0),$D$11:$D$23,0),0),0)</f>
        <v>0</v>
      </c>
      <c r="AH76" s="654" cm="1">
        <f t="array" ref="AH76">$E76*IFERROR(INDEX($E$11:$E$23,MATCH(MATCH(AH$8,$AF$8:$CA$8,0)-MATCH($D76,$D$33:$D$80,0),$D$11:$D$23,0),0),0)</f>
        <v>0</v>
      </c>
      <c r="AI76" s="654" cm="1">
        <f t="array" ref="AI76">$E76*IFERROR(INDEX($E$11:$E$23,MATCH(MATCH(AI$8,$AF$8:$CA$8,0)-MATCH($D76,$D$33:$D$80,0),$D$11:$D$23,0),0),0)</f>
        <v>0</v>
      </c>
      <c r="AJ76" s="654" cm="1">
        <f t="array" ref="AJ76">$E76*IFERROR(INDEX($E$11:$E$23,MATCH(MATCH(AJ$8,$AF$8:$CA$8,0)-MATCH($D76,$D$33:$D$80,0),$D$11:$D$23,0),0),0)</f>
        <v>0</v>
      </c>
      <c r="AK76" s="654" cm="1">
        <f t="array" ref="AK76">$E76*IFERROR(INDEX($E$11:$E$23,MATCH(MATCH(AK$8,$AF$8:$CA$8,0)-MATCH($D76,$D$33:$D$80,0),$D$11:$D$23,0),0),0)</f>
        <v>0</v>
      </c>
      <c r="AL76" s="654" cm="1">
        <f t="array" ref="AL76">$E76*IFERROR(INDEX($E$11:$E$23,MATCH(MATCH(AL$8,$AF$8:$CA$8,0)-MATCH($D76,$D$33:$D$80,0),$D$11:$D$23,0),0),0)</f>
        <v>0</v>
      </c>
      <c r="AM76" s="654" cm="1">
        <f t="array" ref="AM76">$E76*IFERROR(INDEX($E$11:$E$23,MATCH(MATCH(AM$8,$AF$8:$CA$8,0)-MATCH($D76,$D$33:$D$80,0),$D$11:$D$23,0),0),0)</f>
        <v>0</v>
      </c>
      <c r="AN76" s="654" cm="1">
        <f t="array" ref="AN76">$E76*IFERROR(INDEX($E$11:$E$23,MATCH(MATCH(AN$8,$AF$8:$CA$8,0)-MATCH($D76,$D$33:$D$80,0),$D$11:$D$23,0),0),0)</f>
        <v>0</v>
      </c>
      <c r="AO76" s="654" cm="1">
        <f t="array" ref="AO76">$E76*IFERROR(INDEX($E$11:$E$23,MATCH(MATCH(AO$8,$AF$8:$CA$8,0)-MATCH($D76,$D$33:$D$80,0),$D$11:$D$23,0),0),0)</f>
        <v>0</v>
      </c>
      <c r="AP76" s="654" cm="1">
        <f t="array" ref="AP76">$E76*IFERROR(INDEX($E$11:$E$23,MATCH(MATCH(AP$8,$AF$8:$CA$8,0)-MATCH($D76,$D$33:$D$80,0),$D$11:$D$23,0),0),0)</f>
        <v>0</v>
      </c>
      <c r="AQ76" s="654" cm="1">
        <f t="array" ref="AQ76">$E76*IFERROR(INDEX($E$11:$E$23,MATCH(MATCH(AQ$8,$AF$8:$CA$8,0)-MATCH($D76,$D$33:$D$80,0),$D$11:$D$23,0),0),0)</f>
        <v>0</v>
      </c>
      <c r="AR76" s="654" cm="1">
        <f t="array" ref="AR76">$E76*IFERROR(INDEX($E$11:$E$23,MATCH(MATCH(AR$8,$AF$8:$CA$8,0)-MATCH($D76,$D$33:$D$80,0),$D$11:$D$23,0),0),0)</f>
        <v>0</v>
      </c>
      <c r="AS76" s="654" cm="1">
        <f t="array" ref="AS76">$E76*IFERROR(INDEX($E$11:$E$23,MATCH(MATCH(AS$8,$AF$8:$CA$8,0)-MATCH($D76,$D$33:$D$80,0),$D$11:$D$23,0),0),0)</f>
        <v>0</v>
      </c>
      <c r="AT76" s="654" cm="1">
        <f t="array" ref="AT76">$E76*IFERROR(INDEX($E$11:$E$23,MATCH(MATCH(AT$8,$AF$8:$CA$8,0)-MATCH($D76,$D$33:$D$80,0),$D$11:$D$23,0),0),0)</f>
        <v>0</v>
      </c>
      <c r="AU76" s="654" cm="1">
        <f t="array" ref="AU76">$E76*IFERROR(INDEX($E$11:$E$23,MATCH(MATCH(AU$8,$AF$8:$CA$8,0)-MATCH($D76,$D$33:$D$80,0),$D$11:$D$23,0),0),0)</f>
        <v>0</v>
      </c>
      <c r="AV76" s="654" cm="1">
        <f t="array" ref="AV76">$E76*IFERROR(INDEX($E$11:$E$23,MATCH(MATCH(AV$8,$AF$8:$CA$8,0)-MATCH($D76,$D$33:$D$80,0),$D$11:$D$23,0),0),0)</f>
        <v>0</v>
      </c>
      <c r="AW76" s="654" cm="1">
        <f t="array" ref="AW76">$E76*IFERROR(INDEX($E$11:$E$23,MATCH(MATCH(AW$8,$AF$8:$CA$8,0)-MATCH($D76,$D$33:$D$80,0),$D$11:$D$23,0),0),0)</f>
        <v>0</v>
      </c>
      <c r="AX76" s="654" cm="1">
        <f t="array" ref="AX76">$E76*IFERROR(INDEX($E$11:$E$23,MATCH(MATCH(AX$8,$AF$8:$CA$8,0)-MATCH($D76,$D$33:$D$80,0),$D$11:$D$23,0),0),0)</f>
        <v>0</v>
      </c>
      <c r="AY76" s="654" cm="1">
        <f t="array" ref="AY76">$E76*IFERROR(INDEX($E$11:$E$23,MATCH(MATCH(AY$8,$AF$8:$CA$8,0)-MATCH($D76,$D$33:$D$80,0),$D$11:$D$23,0),0),0)</f>
        <v>0</v>
      </c>
      <c r="AZ76" s="654" cm="1">
        <f t="array" ref="AZ76">$E76*IFERROR(INDEX($E$11:$E$23,MATCH(MATCH(AZ$8,$AF$8:$CA$8,0)-MATCH($D76,$D$33:$D$80,0),$D$11:$D$23,0),0),0)</f>
        <v>0</v>
      </c>
      <c r="BA76" s="654" cm="1">
        <f t="array" ref="BA76">$E76*IFERROR(INDEX($E$11:$E$23,MATCH(MATCH(BA$8,$AF$8:$CA$8,0)-MATCH($D76,$D$33:$D$80,0),$D$11:$D$23,0),0),0)</f>
        <v>0</v>
      </c>
      <c r="BB76" s="654" cm="1">
        <f t="array" ref="BB76">$E76*IFERROR(INDEX($E$11:$E$23,MATCH(MATCH(BB$8,$AF$8:$CA$8,0)-MATCH($D76,$D$33:$D$80,0),$D$11:$D$23,0),0),0)</f>
        <v>0</v>
      </c>
      <c r="BC76" s="654" cm="1">
        <f t="array" ref="BC76">$E76*IFERROR(INDEX($E$11:$E$23,MATCH(MATCH(BC$8,$AF$8:$CA$8,0)-MATCH($D76,$D$33:$D$80,0),$D$11:$D$23,0),0),0)</f>
        <v>0</v>
      </c>
      <c r="BD76" s="654" cm="1">
        <f t="array" ref="BD76">$E76*IFERROR(INDEX($E$11:$E$23,MATCH(MATCH(BD$8,$AF$8:$CA$8,0)-MATCH($D76,$D$33:$D$80,0),$D$11:$D$23,0),0),0)</f>
        <v>0</v>
      </c>
      <c r="BE76" s="654" cm="1">
        <f t="array" ref="BE76">$E76*IFERROR(INDEX($E$11:$E$23,MATCH(MATCH(BE$8,$AF$8:$CA$8,0)-MATCH($D76,$D$33:$D$80,0),$D$11:$D$23,0),0),0)</f>
        <v>0</v>
      </c>
      <c r="BF76" s="654" cm="1">
        <f t="array" ref="BF76">$E76*IFERROR(INDEX($E$11:$E$23,MATCH(MATCH(BF$8,$AF$8:$CA$8,0)-MATCH($D76,$D$33:$D$80,0),$D$11:$D$23,0),0),0)</f>
        <v>0</v>
      </c>
      <c r="BG76" s="654" cm="1">
        <f t="array" ref="BG76">$E76*IFERROR(INDEX($E$11:$E$23,MATCH(MATCH(BG$8,$AF$8:$CA$8,0)-MATCH($D76,$D$33:$D$80,0),$D$11:$D$23,0),0),0)</f>
        <v>0</v>
      </c>
      <c r="BH76" s="654" cm="1">
        <f t="array" ref="BH76">$E76*IFERROR(INDEX($E$11:$E$23,MATCH(MATCH(BH$8,$AF$8:$CA$8,0)-MATCH($D76,$D$33:$D$80,0),$D$11:$D$23,0),0),0)</f>
        <v>0</v>
      </c>
      <c r="BI76" s="654" cm="1">
        <f t="array" ref="BI76">$E76*IFERROR(INDEX($E$11:$E$23,MATCH(MATCH(BI$8,$AF$8:$CA$8,0)-MATCH($D76,$D$33:$D$80,0),$D$11:$D$23,0),0),0)</f>
        <v>0</v>
      </c>
      <c r="BJ76" s="654" cm="1">
        <f t="array" ref="BJ76">$E76*IFERROR(INDEX($E$11:$E$23,MATCH(MATCH(BJ$8,$AF$8:$CA$8,0)-MATCH($D76,$D$33:$D$80,0),$D$11:$D$23,0),0),0)</f>
        <v>0</v>
      </c>
      <c r="BK76" s="654" cm="1">
        <f t="array" ref="BK76">$E76*IFERROR(INDEX($E$11:$E$23,MATCH(MATCH(BK$8,$AF$8:$CA$8,0)-MATCH($D76,$D$33:$D$80,0),$D$11:$D$23,0),0),0)</f>
        <v>0</v>
      </c>
      <c r="BL76" s="654" cm="1">
        <f t="array" ref="BL76">$E76*IFERROR(INDEX($E$11:$E$23,MATCH(MATCH(BL$8,$AF$8:$CA$8,0)-MATCH($D76,$D$33:$D$80,0),$D$11:$D$23,0),0),0)</f>
        <v>0</v>
      </c>
      <c r="BM76" s="654" cm="1">
        <f t="array" ref="BM76">$E76*IFERROR(INDEX($E$11:$E$23,MATCH(MATCH(BM$8,$AF$8:$CA$8,0)-MATCH($D76,$D$33:$D$80,0),$D$11:$D$23,0),0),0)</f>
        <v>0</v>
      </c>
      <c r="BN76" s="654" cm="1">
        <f t="array" ref="BN76">$E76*IFERROR(INDEX($E$11:$E$23,MATCH(MATCH(BN$8,$AF$8:$CA$8,0)-MATCH($D76,$D$33:$D$80,0),$D$11:$D$23,0),0),0)</f>
        <v>0</v>
      </c>
      <c r="BO76" s="654" cm="1">
        <f t="array" ref="BO76">$E76*IFERROR(INDEX($E$11:$E$23,MATCH(MATCH(BO$8,$AF$8:$CA$8,0)-MATCH($D76,$D$33:$D$80,0),$D$11:$D$23,0),0),0)</f>
        <v>0</v>
      </c>
      <c r="BP76" s="654" cm="1">
        <f t="array" ref="BP76">$E76*IFERROR(INDEX($E$11:$E$23,MATCH(MATCH(BP$8,$AF$8:$CA$8,0)-MATCH($D76,$D$33:$D$80,0),$D$11:$D$23,0),0),0)</f>
        <v>0</v>
      </c>
      <c r="BQ76" s="654" cm="1">
        <f t="array" ref="BQ76">$E76*IFERROR(INDEX($E$11:$E$23,MATCH(MATCH(BQ$8,$AF$8:$CA$8,0)-MATCH($D76,$D$33:$D$80,0),$D$11:$D$23,0),0),0)</f>
        <v>0</v>
      </c>
      <c r="BR76" s="654" cm="1">
        <f t="array" ref="BR76">$E76*IFERROR(INDEX($E$11:$E$23,MATCH(MATCH(BR$8,$AF$8:$CA$8,0)-MATCH($D76,$D$33:$D$80,0),$D$11:$D$23,0),0),0)</f>
        <v>0</v>
      </c>
      <c r="BS76" s="654" cm="1">
        <f t="array" ref="BS76">$E76*IFERROR(INDEX($E$11:$E$23,MATCH(MATCH(BS$8,$AF$8:$CA$8,0)-MATCH($D76,$D$33:$D$80,0),$D$11:$D$23,0),0),0)</f>
        <v>0</v>
      </c>
      <c r="BT76" s="654" cm="1">
        <f t="array" ref="BT76">$E76*IFERROR(INDEX($E$11:$E$23,MATCH(MATCH(BT$8,$AF$8:$CA$8,0)-MATCH($D76,$D$33:$D$80,0),$D$11:$D$23,0),0),0)</f>
        <v>15000</v>
      </c>
      <c r="BU76" s="654" cm="1">
        <f t="array" ref="BU76">$E76*IFERROR(INDEX($E$11:$E$23,MATCH(MATCH(BU$8,$AF$8:$CA$8,0)-MATCH($D76,$D$33:$D$80,0),$D$11:$D$23,0),0),0)</f>
        <v>0</v>
      </c>
      <c r="BV76" s="654" cm="1">
        <f t="array" ref="BV76">$E76*IFERROR(INDEX($E$11:$E$23,MATCH(MATCH(BV$8,$AF$8:$CA$8,0)-MATCH($D76,$D$33:$D$80,0),$D$11:$D$23,0),0),0)</f>
        <v>15000</v>
      </c>
      <c r="BW76" s="654" cm="1">
        <f t="array" ref="BW76">$E76*IFERROR(INDEX($E$11:$E$23,MATCH(MATCH(BW$8,$AF$8:$CA$8,0)-MATCH($D76,$D$33:$D$80,0),$D$11:$D$23,0),0),0)</f>
        <v>0</v>
      </c>
      <c r="BX76" s="654" cm="1">
        <f t="array" ref="BX76">$E76*IFERROR(INDEX($E$11:$E$23,MATCH(MATCH(BX$8,$AF$8:$CA$8,0)-MATCH($D76,$D$33:$D$80,0),$D$11:$D$23,0),0),0)</f>
        <v>0</v>
      </c>
      <c r="BY76" s="654" cm="1">
        <f t="array" ref="BY76">$E76*IFERROR(INDEX($E$11:$E$23,MATCH(MATCH(BY$8,$AF$8:$CA$8,0)-MATCH($D76,$D$33:$D$80,0),$D$11:$D$23,0),0),0)</f>
        <v>0</v>
      </c>
      <c r="BZ76" s="654" cm="1">
        <f t="array" ref="BZ76">$E76*IFERROR(INDEX($E$11:$E$23,MATCH(MATCH(BZ$8,$AF$8:$CA$8,0)-MATCH($D76,$D$33:$D$80,0),$D$11:$D$23,0),0),0)</f>
        <v>0</v>
      </c>
      <c r="CA76" s="654" cm="1">
        <f t="array" ref="CA76">$E76*IFERROR(INDEX($E$11:$E$23,MATCH(MATCH(CA$8,$AF$8:$CA$8,0)-MATCH($D76,$D$33:$D$80,0),$D$11:$D$23,0),0),0)</f>
        <v>0</v>
      </c>
    </row>
    <row r="77" spans="2:79" ht="21" hidden="1" customHeight="1" outlineLevel="2">
      <c r="B77" s="367"/>
      <c r="C77" s="370"/>
      <c r="D77" s="374">
        <f t="shared" si="24"/>
        <v>46295</v>
      </c>
      <c r="E77" s="653" cm="1">
        <f t="array" ref="E77">IF($D77&lt;=LatestMonthOfActuals,0,INDEX($AF$28:$CA$28,0,MATCH($D77,$AF$8:$CA$8,0)))</f>
        <v>30000</v>
      </c>
      <c r="F77" s="643"/>
      <c r="G77" s="644"/>
      <c r="H77" s="408">
        <f t="shared" si="29"/>
        <v>0</v>
      </c>
      <c r="I77" s="408">
        <f t="shared" si="29"/>
        <v>0</v>
      </c>
      <c r="J77" s="408">
        <f t="shared" si="29"/>
        <v>0</v>
      </c>
      <c r="K77" s="408">
        <f t="shared" si="29"/>
        <v>30000</v>
      </c>
      <c r="L77" s="643"/>
      <c r="M77" s="644"/>
      <c r="N77" s="408">
        <f t="shared" si="30"/>
        <v>0</v>
      </c>
      <c r="O77" s="408">
        <f t="shared" si="30"/>
        <v>0</v>
      </c>
      <c r="P77" s="408">
        <f t="shared" si="30"/>
        <v>0</v>
      </c>
      <c r="Q77" s="408">
        <f t="shared" si="30"/>
        <v>0</v>
      </c>
      <c r="R77" s="408">
        <f t="shared" si="30"/>
        <v>0</v>
      </c>
      <c r="S77" s="408">
        <f t="shared" si="30"/>
        <v>0</v>
      </c>
      <c r="T77" s="408">
        <f t="shared" si="30"/>
        <v>0</v>
      </c>
      <c r="U77" s="408">
        <f t="shared" si="30"/>
        <v>0</v>
      </c>
      <c r="V77" s="408">
        <f t="shared" si="30"/>
        <v>0</v>
      </c>
      <c r="W77" s="408">
        <f t="shared" si="30"/>
        <v>0</v>
      </c>
      <c r="X77" s="408">
        <f t="shared" si="30"/>
        <v>0</v>
      </c>
      <c r="Y77" s="408">
        <f t="shared" si="30"/>
        <v>0</v>
      </c>
      <c r="Z77" s="408">
        <f t="shared" si="30"/>
        <v>0</v>
      </c>
      <c r="AA77" s="408">
        <f t="shared" si="30"/>
        <v>15000</v>
      </c>
      <c r="AB77" s="408">
        <f t="shared" si="30"/>
        <v>15000</v>
      </c>
      <c r="AC77" s="408">
        <f t="shared" si="30"/>
        <v>0</v>
      </c>
      <c r="AD77" s="643"/>
      <c r="AE77" s="644"/>
      <c r="AF77" s="654" cm="1">
        <f t="array" ref="AF77">$E77*IFERROR(INDEX($E$11:$E$23,MATCH(MATCH(AF$8,$AF$8:$CA$8,0)-MATCH($D77,$D$33:$D$80,0),$D$11:$D$23,0),0),0)</f>
        <v>0</v>
      </c>
      <c r="AG77" s="654" cm="1">
        <f t="array" ref="AG77">$E77*IFERROR(INDEX($E$11:$E$23,MATCH(MATCH(AG$8,$AF$8:$CA$8,0)-MATCH($D77,$D$33:$D$80,0),$D$11:$D$23,0),0),0)</f>
        <v>0</v>
      </c>
      <c r="AH77" s="654" cm="1">
        <f t="array" ref="AH77">$E77*IFERROR(INDEX($E$11:$E$23,MATCH(MATCH(AH$8,$AF$8:$CA$8,0)-MATCH($D77,$D$33:$D$80,0),$D$11:$D$23,0),0),0)</f>
        <v>0</v>
      </c>
      <c r="AI77" s="654" cm="1">
        <f t="array" ref="AI77">$E77*IFERROR(INDEX($E$11:$E$23,MATCH(MATCH(AI$8,$AF$8:$CA$8,0)-MATCH($D77,$D$33:$D$80,0),$D$11:$D$23,0),0),0)</f>
        <v>0</v>
      </c>
      <c r="AJ77" s="654" cm="1">
        <f t="array" ref="AJ77">$E77*IFERROR(INDEX($E$11:$E$23,MATCH(MATCH(AJ$8,$AF$8:$CA$8,0)-MATCH($D77,$D$33:$D$80,0),$D$11:$D$23,0),0),0)</f>
        <v>0</v>
      </c>
      <c r="AK77" s="654" cm="1">
        <f t="array" ref="AK77">$E77*IFERROR(INDEX($E$11:$E$23,MATCH(MATCH(AK$8,$AF$8:$CA$8,0)-MATCH($D77,$D$33:$D$80,0),$D$11:$D$23,0),0),0)</f>
        <v>0</v>
      </c>
      <c r="AL77" s="654" cm="1">
        <f t="array" ref="AL77">$E77*IFERROR(INDEX($E$11:$E$23,MATCH(MATCH(AL$8,$AF$8:$CA$8,0)-MATCH($D77,$D$33:$D$80,0),$D$11:$D$23,0),0),0)</f>
        <v>0</v>
      </c>
      <c r="AM77" s="654" cm="1">
        <f t="array" ref="AM77">$E77*IFERROR(INDEX($E$11:$E$23,MATCH(MATCH(AM$8,$AF$8:$CA$8,0)-MATCH($D77,$D$33:$D$80,0),$D$11:$D$23,0),0),0)</f>
        <v>0</v>
      </c>
      <c r="AN77" s="654" cm="1">
        <f t="array" ref="AN77">$E77*IFERROR(INDEX($E$11:$E$23,MATCH(MATCH(AN$8,$AF$8:$CA$8,0)-MATCH($D77,$D$33:$D$80,0),$D$11:$D$23,0),0),0)</f>
        <v>0</v>
      </c>
      <c r="AO77" s="654" cm="1">
        <f t="array" ref="AO77">$E77*IFERROR(INDEX($E$11:$E$23,MATCH(MATCH(AO$8,$AF$8:$CA$8,0)-MATCH($D77,$D$33:$D$80,0),$D$11:$D$23,0),0),0)</f>
        <v>0</v>
      </c>
      <c r="AP77" s="654" cm="1">
        <f t="array" ref="AP77">$E77*IFERROR(INDEX($E$11:$E$23,MATCH(MATCH(AP$8,$AF$8:$CA$8,0)-MATCH($D77,$D$33:$D$80,0),$D$11:$D$23,0),0),0)</f>
        <v>0</v>
      </c>
      <c r="AQ77" s="654" cm="1">
        <f t="array" ref="AQ77">$E77*IFERROR(INDEX($E$11:$E$23,MATCH(MATCH(AQ$8,$AF$8:$CA$8,0)-MATCH($D77,$D$33:$D$80,0),$D$11:$D$23,0),0),0)</f>
        <v>0</v>
      </c>
      <c r="AR77" s="654" cm="1">
        <f t="array" ref="AR77">$E77*IFERROR(INDEX($E$11:$E$23,MATCH(MATCH(AR$8,$AF$8:$CA$8,0)-MATCH($D77,$D$33:$D$80,0),$D$11:$D$23,0),0),0)</f>
        <v>0</v>
      </c>
      <c r="AS77" s="654" cm="1">
        <f t="array" ref="AS77">$E77*IFERROR(INDEX($E$11:$E$23,MATCH(MATCH(AS$8,$AF$8:$CA$8,0)-MATCH($D77,$D$33:$D$80,0),$D$11:$D$23,0),0),0)</f>
        <v>0</v>
      </c>
      <c r="AT77" s="654" cm="1">
        <f t="array" ref="AT77">$E77*IFERROR(INDEX($E$11:$E$23,MATCH(MATCH(AT$8,$AF$8:$CA$8,0)-MATCH($D77,$D$33:$D$80,0),$D$11:$D$23,0),0),0)</f>
        <v>0</v>
      </c>
      <c r="AU77" s="654" cm="1">
        <f t="array" ref="AU77">$E77*IFERROR(INDEX($E$11:$E$23,MATCH(MATCH(AU$8,$AF$8:$CA$8,0)-MATCH($D77,$D$33:$D$80,0),$D$11:$D$23,0),0),0)</f>
        <v>0</v>
      </c>
      <c r="AV77" s="654" cm="1">
        <f t="array" ref="AV77">$E77*IFERROR(INDEX($E$11:$E$23,MATCH(MATCH(AV$8,$AF$8:$CA$8,0)-MATCH($D77,$D$33:$D$80,0),$D$11:$D$23,0),0),0)</f>
        <v>0</v>
      </c>
      <c r="AW77" s="654" cm="1">
        <f t="array" ref="AW77">$E77*IFERROR(INDEX($E$11:$E$23,MATCH(MATCH(AW$8,$AF$8:$CA$8,0)-MATCH($D77,$D$33:$D$80,0),$D$11:$D$23,0),0),0)</f>
        <v>0</v>
      </c>
      <c r="AX77" s="654" cm="1">
        <f t="array" ref="AX77">$E77*IFERROR(INDEX($E$11:$E$23,MATCH(MATCH(AX$8,$AF$8:$CA$8,0)-MATCH($D77,$D$33:$D$80,0),$D$11:$D$23,0),0),0)</f>
        <v>0</v>
      </c>
      <c r="AY77" s="654" cm="1">
        <f t="array" ref="AY77">$E77*IFERROR(INDEX($E$11:$E$23,MATCH(MATCH(AY$8,$AF$8:$CA$8,0)-MATCH($D77,$D$33:$D$80,0),$D$11:$D$23,0),0),0)</f>
        <v>0</v>
      </c>
      <c r="AZ77" s="654" cm="1">
        <f t="array" ref="AZ77">$E77*IFERROR(INDEX($E$11:$E$23,MATCH(MATCH(AZ$8,$AF$8:$CA$8,0)-MATCH($D77,$D$33:$D$80,0),$D$11:$D$23,0),0),0)</f>
        <v>0</v>
      </c>
      <c r="BA77" s="654" cm="1">
        <f t="array" ref="BA77">$E77*IFERROR(INDEX($E$11:$E$23,MATCH(MATCH(BA$8,$AF$8:$CA$8,0)-MATCH($D77,$D$33:$D$80,0),$D$11:$D$23,0),0),0)</f>
        <v>0</v>
      </c>
      <c r="BB77" s="654" cm="1">
        <f t="array" ref="BB77">$E77*IFERROR(INDEX($E$11:$E$23,MATCH(MATCH(BB$8,$AF$8:$CA$8,0)-MATCH($D77,$D$33:$D$80,0),$D$11:$D$23,0),0),0)</f>
        <v>0</v>
      </c>
      <c r="BC77" s="654" cm="1">
        <f t="array" ref="BC77">$E77*IFERROR(INDEX($E$11:$E$23,MATCH(MATCH(BC$8,$AF$8:$CA$8,0)-MATCH($D77,$D$33:$D$80,0),$D$11:$D$23,0),0),0)</f>
        <v>0</v>
      </c>
      <c r="BD77" s="654" cm="1">
        <f t="array" ref="BD77">$E77*IFERROR(INDEX($E$11:$E$23,MATCH(MATCH(BD$8,$AF$8:$CA$8,0)-MATCH($D77,$D$33:$D$80,0),$D$11:$D$23,0),0),0)</f>
        <v>0</v>
      </c>
      <c r="BE77" s="654" cm="1">
        <f t="array" ref="BE77">$E77*IFERROR(INDEX($E$11:$E$23,MATCH(MATCH(BE$8,$AF$8:$CA$8,0)-MATCH($D77,$D$33:$D$80,0),$D$11:$D$23,0),0),0)</f>
        <v>0</v>
      </c>
      <c r="BF77" s="654" cm="1">
        <f t="array" ref="BF77">$E77*IFERROR(INDEX($E$11:$E$23,MATCH(MATCH(BF$8,$AF$8:$CA$8,0)-MATCH($D77,$D$33:$D$80,0),$D$11:$D$23,0),0),0)</f>
        <v>0</v>
      </c>
      <c r="BG77" s="654" cm="1">
        <f t="array" ref="BG77">$E77*IFERROR(INDEX($E$11:$E$23,MATCH(MATCH(BG$8,$AF$8:$CA$8,0)-MATCH($D77,$D$33:$D$80,0),$D$11:$D$23,0),0),0)</f>
        <v>0</v>
      </c>
      <c r="BH77" s="654" cm="1">
        <f t="array" ref="BH77">$E77*IFERROR(INDEX($E$11:$E$23,MATCH(MATCH(BH$8,$AF$8:$CA$8,0)-MATCH($D77,$D$33:$D$80,0),$D$11:$D$23,0),0),0)</f>
        <v>0</v>
      </c>
      <c r="BI77" s="654" cm="1">
        <f t="array" ref="BI77">$E77*IFERROR(INDEX($E$11:$E$23,MATCH(MATCH(BI$8,$AF$8:$CA$8,0)-MATCH($D77,$D$33:$D$80,0),$D$11:$D$23,0),0),0)</f>
        <v>0</v>
      </c>
      <c r="BJ77" s="654" cm="1">
        <f t="array" ref="BJ77">$E77*IFERROR(INDEX($E$11:$E$23,MATCH(MATCH(BJ$8,$AF$8:$CA$8,0)-MATCH($D77,$D$33:$D$80,0),$D$11:$D$23,0),0),0)</f>
        <v>0</v>
      </c>
      <c r="BK77" s="654" cm="1">
        <f t="array" ref="BK77">$E77*IFERROR(INDEX($E$11:$E$23,MATCH(MATCH(BK$8,$AF$8:$CA$8,0)-MATCH($D77,$D$33:$D$80,0),$D$11:$D$23,0),0),0)</f>
        <v>0</v>
      </c>
      <c r="BL77" s="654" cm="1">
        <f t="array" ref="BL77">$E77*IFERROR(INDEX($E$11:$E$23,MATCH(MATCH(BL$8,$AF$8:$CA$8,0)-MATCH($D77,$D$33:$D$80,0),$D$11:$D$23,0),0),0)</f>
        <v>0</v>
      </c>
      <c r="BM77" s="654" cm="1">
        <f t="array" ref="BM77">$E77*IFERROR(INDEX($E$11:$E$23,MATCH(MATCH(BM$8,$AF$8:$CA$8,0)-MATCH($D77,$D$33:$D$80,0),$D$11:$D$23,0),0),0)</f>
        <v>0</v>
      </c>
      <c r="BN77" s="654" cm="1">
        <f t="array" ref="BN77">$E77*IFERROR(INDEX($E$11:$E$23,MATCH(MATCH(BN$8,$AF$8:$CA$8,0)-MATCH($D77,$D$33:$D$80,0),$D$11:$D$23,0),0),0)</f>
        <v>0</v>
      </c>
      <c r="BO77" s="654" cm="1">
        <f t="array" ref="BO77">$E77*IFERROR(INDEX($E$11:$E$23,MATCH(MATCH(BO$8,$AF$8:$CA$8,0)-MATCH($D77,$D$33:$D$80,0),$D$11:$D$23,0),0),0)</f>
        <v>0</v>
      </c>
      <c r="BP77" s="654" cm="1">
        <f t="array" ref="BP77">$E77*IFERROR(INDEX($E$11:$E$23,MATCH(MATCH(BP$8,$AF$8:$CA$8,0)-MATCH($D77,$D$33:$D$80,0),$D$11:$D$23,0),0),0)</f>
        <v>0</v>
      </c>
      <c r="BQ77" s="654" cm="1">
        <f t="array" ref="BQ77">$E77*IFERROR(INDEX($E$11:$E$23,MATCH(MATCH(BQ$8,$AF$8:$CA$8,0)-MATCH($D77,$D$33:$D$80,0),$D$11:$D$23,0),0),0)</f>
        <v>0</v>
      </c>
      <c r="BR77" s="654" cm="1">
        <f t="array" ref="BR77">$E77*IFERROR(INDEX($E$11:$E$23,MATCH(MATCH(BR$8,$AF$8:$CA$8,0)-MATCH($D77,$D$33:$D$80,0),$D$11:$D$23,0),0),0)</f>
        <v>0</v>
      </c>
      <c r="BS77" s="654" cm="1">
        <f t="array" ref="BS77">$E77*IFERROR(INDEX($E$11:$E$23,MATCH(MATCH(BS$8,$AF$8:$CA$8,0)-MATCH($D77,$D$33:$D$80,0),$D$11:$D$23,0),0),0)</f>
        <v>0</v>
      </c>
      <c r="BT77" s="654" cm="1">
        <f t="array" ref="BT77">$E77*IFERROR(INDEX($E$11:$E$23,MATCH(MATCH(BT$8,$AF$8:$CA$8,0)-MATCH($D77,$D$33:$D$80,0),$D$11:$D$23,0),0),0)</f>
        <v>0</v>
      </c>
      <c r="BU77" s="654" cm="1">
        <f t="array" ref="BU77">$E77*IFERROR(INDEX($E$11:$E$23,MATCH(MATCH(BU$8,$AF$8:$CA$8,0)-MATCH($D77,$D$33:$D$80,0),$D$11:$D$23,0),0),0)</f>
        <v>15000</v>
      </c>
      <c r="BV77" s="654" cm="1">
        <f t="array" ref="BV77">$E77*IFERROR(INDEX($E$11:$E$23,MATCH(MATCH(BV$8,$AF$8:$CA$8,0)-MATCH($D77,$D$33:$D$80,0),$D$11:$D$23,0),0),0)</f>
        <v>0</v>
      </c>
      <c r="BW77" s="654" cm="1">
        <f t="array" ref="BW77">$E77*IFERROR(INDEX($E$11:$E$23,MATCH(MATCH(BW$8,$AF$8:$CA$8,0)-MATCH($D77,$D$33:$D$80,0),$D$11:$D$23,0),0),0)</f>
        <v>15000</v>
      </c>
      <c r="BX77" s="654" cm="1">
        <f t="array" ref="BX77">$E77*IFERROR(INDEX($E$11:$E$23,MATCH(MATCH(BX$8,$AF$8:$CA$8,0)-MATCH($D77,$D$33:$D$80,0),$D$11:$D$23,0),0),0)</f>
        <v>0</v>
      </c>
      <c r="BY77" s="654" cm="1">
        <f t="array" ref="BY77">$E77*IFERROR(INDEX($E$11:$E$23,MATCH(MATCH(BY$8,$AF$8:$CA$8,0)-MATCH($D77,$D$33:$D$80,0),$D$11:$D$23,0),0),0)</f>
        <v>0</v>
      </c>
      <c r="BZ77" s="654" cm="1">
        <f t="array" ref="BZ77">$E77*IFERROR(INDEX($E$11:$E$23,MATCH(MATCH(BZ$8,$AF$8:$CA$8,0)-MATCH($D77,$D$33:$D$80,0),$D$11:$D$23,0),0),0)</f>
        <v>0</v>
      </c>
      <c r="CA77" s="654" cm="1">
        <f t="array" ref="CA77">$E77*IFERROR(INDEX($E$11:$E$23,MATCH(MATCH(CA$8,$AF$8:$CA$8,0)-MATCH($D77,$D$33:$D$80,0),$D$11:$D$23,0),0),0)</f>
        <v>0</v>
      </c>
    </row>
    <row r="78" spans="2:79" ht="21" hidden="1" customHeight="1" outlineLevel="2">
      <c r="B78" s="367"/>
      <c r="C78" s="370"/>
      <c r="D78" s="374">
        <f t="shared" si="24"/>
        <v>46326</v>
      </c>
      <c r="E78" s="653" cm="1">
        <f t="array" ref="E78">IF($D78&lt;=LatestMonthOfActuals,0,INDEX($AF$28:$CA$28,0,MATCH($D78,$AF$8:$CA$8,0)))</f>
        <v>30000</v>
      </c>
      <c r="F78" s="643"/>
      <c r="G78" s="644"/>
      <c r="H78" s="408">
        <f t="shared" si="29"/>
        <v>0</v>
      </c>
      <c r="I78" s="408">
        <f t="shared" si="29"/>
        <v>0</v>
      </c>
      <c r="J78" s="408">
        <f t="shared" si="29"/>
        <v>0</v>
      </c>
      <c r="K78" s="408">
        <f t="shared" si="29"/>
        <v>30000</v>
      </c>
      <c r="L78" s="643"/>
      <c r="M78" s="644"/>
      <c r="N78" s="408">
        <f t="shared" si="30"/>
        <v>0</v>
      </c>
      <c r="O78" s="408">
        <f t="shared" si="30"/>
        <v>0</v>
      </c>
      <c r="P78" s="408">
        <f t="shared" si="30"/>
        <v>0</v>
      </c>
      <c r="Q78" s="408">
        <f t="shared" si="30"/>
        <v>0</v>
      </c>
      <c r="R78" s="408">
        <f t="shared" si="30"/>
        <v>0</v>
      </c>
      <c r="S78" s="408">
        <f t="shared" si="30"/>
        <v>0</v>
      </c>
      <c r="T78" s="408">
        <f t="shared" si="30"/>
        <v>0</v>
      </c>
      <c r="U78" s="408">
        <f t="shared" si="30"/>
        <v>0</v>
      </c>
      <c r="V78" s="408">
        <f t="shared" si="30"/>
        <v>0</v>
      </c>
      <c r="W78" s="408">
        <f t="shared" si="30"/>
        <v>0</v>
      </c>
      <c r="X78" s="408">
        <f t="shared" si="30"/>
        <v>0</v>
      </c>
      <c r="Y78" s="408">
        <f t="shared" si="30"/>
        <v>0</v>
      </c>
      <c r="Z78" s="408">
        <f t="shared" si="30"/>
        <v>0</v>
      </c>
      <c r="AA78" s="408">
        <f t="shared" si="30"/>
        <v>0</v>
      </c>
      <c r="AB78" s="408">
        <f t="shared" si="30"/>
        <v>30000</v>
      </c>
      <c r="AC78" s="408">
        <f t="shared" si="30"/>
        <v>0</v>
      </c>
      <c r="AD78" s="643"/>
      <c r="AE78" s="644"/>
      <c r="AF78" s="654" cm="1">
        <f t="array" ref="AF78">$E78*IFERROR(INDEX($E$11:$E$23,MATCH(MATCH(AF$8,$AF$8:$CA$8,0)-MATCH($D78,$D$33:$D$80,0),$D$11:$D$23,0),0),0)</f>
        <v>0</v>
      </c>
      <c r="AG78" s="654" cm="1">
        <f t="array" ref="AG78">$E78*IFERROR(INDEX($E$11:$E$23,MATCH(MATCH(AG$8,$AF$8:$CA$8,0)-MATCH($D78,$D$33:$D$80,0),$D$11:$D$23,0),0),0)</f>
        <v>0</v>
      </c>
      <c r="AH78" s="654" cm="1">
        <f t="array" ref="AH78">$E78*IFERROR(INDEX($E$11:$E$23,MATCH(MATCH(AH$8,$AF$8:$CA$8,0)-MATCH($D78,$D$33:$D$80,0),$D$11:$D$23,0),0),0)</f>
        <v>0</v>
      </c>
      <c r="AI78" s="654" cm="1">
        <f t="array" ref="AI78">$E78*IFERROR(INDEX($E$11:$E$23,MATCH(MATCH(AI$8,$AF$8:$CA$8,0)-MATCH($D78,$D$33:$D$80,0),$D$11:$D$23,0),0),0)</f>
        <v>0</v>
      </c>
      <c r="AJ78" s="654" cm="1">
        <f t="array" ref="AJ78">$E78*IFERROR(INDEX($E$11:$E$23,MATCH(MATCH(AJ$8,$AF$8:$CA$8,0)-MATCH($D78,$D$33:$D$80,0),$D$11:$D$23,0),0),0)</f>
        <v>0</v>
      </c>
      <c r="AK78" s="654" cm="1">
        <f t="array" ref="AK78">$E78*IFERROR(INDEX($E$11:$E$23,MATCH(MATCH(AK$8,$AF$8:$CA$8,0)-MATCH($D78,$D$33:$D$80,0),$D$11:$D$23,0),0),0)</f>
        <v>0</v>
      </c>
      <c r="AL78" s="654" cm="1">
        <f t="array" ref="AL78">$E78*IFERROR(INDEX($E$11:$E$23,MATCH(MATCH(AL$8,$AF$8:$CA$8,0)-MATCH($D78,$D$33:$D$80,0),$D$11:$D$23,0),0),0)</f>
        <v>0</v>
      </c>
      <c r="AM78" s="654" cm="1">
        <f t="array" ref="AM78">$E78*IFERROR(INDEX($E$11:$E$23,MATCH(MATCH(AM$8,$AF$8:$CA$8,0)-MATCH($D78,$D$33:$D$80,0),$D$11:$D$23,0),0),0)</f>
        <v>0</v>
      </c>
      <c r="AN78" s="654" cm="1">
        <f t="array" ref="AN78">$E78*IFERROR(INDEX($E$11:$E$23,MATCH(MATCH(AN$8,$AF$8:$CA$8,0)-MATCH($D78,$D$33:$D$80,0),$D$11:$D$23,0),0),0)</f>
        <v>0</v>
      </c>
      <c r="AO78" s="654" cm="1">
        <f t="array" ref="AO78">$E78*IFERROR(INDEX($E$11:$E$23,MATCH(MATCH(AO$8,$AF$8:$CA$8,0)-MATCH($D78,$D$33:$D$80,0),$D$11:$D$23,0),0),0)</f>
        <v>0</v>
      </c>
      <c r="AP78" s="654" cm="1">
        <f t="array" ref="AP78">$E78*IFERROR(INDEX($E$11:$E$23,MATCH(MATCH(AP$8,$AF$8:$CA$8,0)-MATCH($D78,$D$33:$D$80,0),$D$11:$D$23,0),0),0)</f>
        <v>0</v>
      </c>
      <c r="AQ78" s="654" cm="1">
        <f t="array" ref="AQ78">$E78*IFERROR(INDEX($E$11:$E$23,MATCH(MATCH(AQ$8,$AF$8:$CA$8,0)-MATCH($D78,$D$33:$D$80,0),$D$11:$D$23,0),0),0)</f>
        <v>0</v>
      </c>
      <c r="AR78" s="654" cm="1">
        <f t="array" ref="AR78">$E78*IFERROR(INDEX($E$11:$E$23,MATCH(MATCH(AR$8,$AF$8:$CA$8,0)-MATCH($D78,$D$33:$D$80,0),$D$11:$D$23,0),0),0)</f>
        <v>0</v>
      </c>
      <c r="AS78" s="654" cm="1">
        <f t="array" ref="AS78">$E78*IFERROR(INDEX($E$11:$E$23,MATCH(MATCH(AS$8,$AF$8:$CA$8,0)-MATCH($D78,$D$33:$D$80,0),$D$11:$D$23,0),0),0)</f>
        <v>0</v>
      </c>
      <c r="AT78" s="654" cm="1">
        <f t="array" ref="AT78">$E78*IFERROR(INDEX($E$11:$E$23,MATCH(MATCH(AT$8,$AF$8:$CA$8,0)-MATCH($D78,$D$33:$D$80,0),$D$11:$D$23,0),0),0)</f>
        <v>0</v>
      </c>
      <c r="AU78" s="654" cm="1">
        <f t="array" ref="AU78">$E78*IFERROR(INDEX($E$11:$E$23,MATCH(MATCH(AU$8,$AF$8:$CA$8,0)-MATCH($D78,$D$33:$D$80,0),$D$11:$D$23,0),0),0)</f>
        <v>0</v>
      </c>
      <c r="AV78" s="654" cm="1">
        <f t="array" ref="AV78">$E78*IFERROR(INDEX($E$11:$E$23,MATCH(MATCH(AV$8,$AF$8:$CA$8,0)-MATCH($D78,$D$33:$D$80,0),$D$11:$D$23,0),0),0)</f>
        <v>0</v>
      </c>
      <c r="AW78" s="654" cm="1">
        <f t="array" ref="AW78">$E78*IFERROR(INDEX($E$11:$E$23,MATCH(MATCH(AW$8,$AF$8:$CA$8,0)-MATCH($D78,$D$33:$D$80,0),$D$11:$D$23,0),0),0)</f>
        <v>0</v>
      </c>
      <c r="AX78" s="654" cm="1">
        <f t="array" ref="AX78">$E78*IFERROR(INDEX($E$11:$E$23,MATCH(MATCH(AX$8,$AF$8:$CA$8,0)-MATCH($D78,$D$33:$D$80,0),$D$11:$D$23,0),0),0)</f>
        <v>0</v>
      </c>
      <c r="AY78" s="654" cm="1">
        <f t="array" ref="AY78">$E78*IFERROR(INDEX($E$11:$E$23,MATCH(MATCH(AY$8,$AF$8:$CA$8,0)-MATCH($D78,$D$33:$D$80,0),$D$11:$D$23,0),0),0)</f>
        <v>0</v>
      </c>
      <c r="AZ78" s="654" cm="1">
        <f t="array" ref="AZ78">$E78*IFERROR(INDEX($E$11:$E$23,MATCH(MATCH(AZ$8,$AF$8:$CA$8,0)-MATCH($D78,$D$33:$D$80,0),$D$11:$D$23,0),0),0)</f>
        <v>0</v>
      </c>
      <c r="BA78" s="654" cm="1">
        <f t="array" ref="BA78">$E78*IFERROR(INDEX($E$11:$E$23,MATCH(MATCH(BA$8,$AF$8:$CA$8,0)-MATCH($D78,$D$33:$D$80,0),$D$11:$D$23,0),0),0)</f>
        <v>0</v>
      </c>
      <c r="BB78" s="654" cm="1">
        <f t="array" ref="BB78">$E78*IFERROR(INDEX($E$11:$E$23,MATCH(MATCH(BB$8,$AF$8:$CA$8,0)-MATCH($D78,$D$33:$D$80,0),$D$11:$D$23,0),0),0)</f>
        <v>0</v>
      </c>
      <c r="BC78" s="654" cm="1">
        <f t="array" ref="BC78">$E78*IFERROR(INDEX($E$11:$E$23,MATCH(MATCH(BC$8,$AF$8:$CA$8,0)-MATCH($D78,$D$33:$D$80,0),$D$11:$D$23,0),0),0)</f>
        <v>0</v>
      </c>
      <c r="BD78" s="654" cm="1">
        <f t="array" ref="BD78">$E78*IFERROR(INDEX($E$11:$E$23,MATCH(MATCH(BD$8,$AF$8:$CA$8,0)-MATCH($D78,$D$33:$D$80,0),$D$11:$D$23,0),0),0)</f>
        <v>0</v>
      </c>
      <c r="BE78" s="654" cm="1">
        <f t="array" ref="BE78">$E78*IFERROR(INDEX($E$11:$E$23,MATCH(MATCH(BE$8,$AF$8:$CA$8,0)-MATCH($D78,$D$33:$D$80,0),$D$11:$D$23,0),0),0)</f>
        <v>0</v>
      </c>
      <c r="BF78" s="654" cm="1">
        <f t="array" ref="BF78">$E78*IFERROR(INDEX($E$11:$E$23,MATCH(MATCH(BF$8,$AF$8:$CA$8,0)-MATCH($D78,$D$33:$D$80,0),$D$11:$D$23,0),0),0)</f>
        <v>0</v>
      </c>
      <c r="BG78" s="654" cm="1">
        <f t="array" ref="BG78">$E78*IFERROR(INDEX($E$11:$E$23,MATCH(MATCH(BG$8,$AF$8:$CA$8,0)-MATCH($D78,$D$33:$D$80,0),$D$11:$D$23,0),0),0)</f>
        <v>0</v>
      </c>
      <c r="BH78" s="654" cm="1">
        <f t="array" ref="BH78">$E78*IFERROR(INDEX($E$11:$E$23,MATCH(MATCH(BH$8,$AF$8:$CA$8,0)-MATCH($D78,$D$33:$D$80,0),$D$11:$D$23,0),0),0)</f>
        <v>0</v>
      </c>
      <c r="BI78" s="654" cm="1">
        <f t="array" ref="BI78">$E78*IFERROR(INDEX($E$11:$E$23,MATCH(MATCH(BI$8,$AF$8:$CA$8,0)-MATCH($D78,$D$33:$D$80,0),$D$11:$D$23,0),0),0)</f>
        <v>0</v>
      </c>
      <c r="BJ78" s="654" cm="1">
        <f t="array" ref="BJ78">$E78*IFERROR(INDEX($E$11:$E$23,MATCH(MATCH(BJ$8,$AF$8:$CA$8,0)-MATCH($D78,$D$33:$D$80,0),$D$11:$D$23,0),0),0)</f>
        <v>0</v>
      </c>
      <c r="BK78" s="654" cm="1">
        <f t="array" ref="BK78">$E78*IFERROR(INDEX($E$11:$E$23,MATCH(MATCH(BK$8,$AF$8:$CA$8,0)-MATCH($D78,$D$33:$D$80,0),$D$11:$D$23,0),0),0)</f>
        <v>0</v>
      </c>
      <c r="BL78" s="654" cm="1">
        <f t="array" ref="BL78">$E78*IFERROR(INDEX($E$11:$E$23,MATCH(MATCH(BL$8,$AF$8:$CA$8,0)-MATCH($D78,$D$33:$D$80,0),$D$11:$D$23,0),0),0)</f>
        <v>0</v>
      </c>
      <c r="BM78" s="654" cm="1">
        <f t="array" ref="BM78">$E78*IFERROR(INDEX($E$11:$E$23,MATCH(MATCH(BM$8,$AF$8:$CA$8,0)-MATCH($D78,$D$33:$D$80,0),$D$11:$D$23,0),0),0)</f>
        <v>0</v>
      </c>
      <c r="BN78" s="654" cm="1">
        <f t="array" ref="BN78">$E78*IFERROR(INDEX($E$11:$E$23,MATCH(MATCH(BN$8,$AF$8:$CA$8,0)-MATCH($D78,$D$33:$D$80,0),$D$11:$D$23,0),0),0)</f>
        <v>0</v>
      </c>
      <c r="BO78" s="654" cm="1">
        <f t="array" ref="BO78">$E78*IFERROR(INDEX($E$11:$E$23,MATCH(MATCH(BO$8,$AF$8:$CA$8,0)-MATCH($D78,$D$33:$D$80,0),$D$11:$D$23,0),0),0)</f>
        <v>0</v>
      </c>
      <c r="BP78" s="654" cm="1">
        <f t="array" ref="BP78">$E78*IFERROR(INDEX($E$11:$E$23,MATCH(MATCH(BP$8,$AF$8:$CA$8,0)-MATCH($D78,$D$33:$D$80,0),$D$11:$D$23,0),0),0)</f>
        <v>0</v>
      </c>
      <c r="BQ78" s="654" cm="1">
        <f t="array" ref="BQ78">$E78*IFERROR(INDEX($E$11:$E$23,MATCH(MATCH(BQ$8,$AF$8:$CA$8,0)-MATCH($D78,$D$33:$D$80,0),$D$11:$D$23,0),0),0)</f>
        <v>0</v>
      </c>
      <c r="BR78" s="654" cm="1">
        <f t="array" ref="BR78">$E78*IFERROR(INDEX($E$11:$E$23,MATCH(MATCH(BR$8,$AF$8:$CA$8,0)-MATCH($D78,$D$33:$D$80,0),$D$11:$D$23,0),0),0)</f>
        <v>0</v>
      </c>
      <c r="BS78" s="654" cm="1">
        <f t="array" ref="BS78">$E78*IFERROR(INDEX($E$11:$E$23,MATCH(MATCH(BS$8,$AF$8:$CA$8,0)-MATCH($D78,$D$33:$D$80,0),$D$11:$D$23,0),0),0)</f>
        <v>0</v>
      </c>
      <c r="BT78" s="654" cm="1">
        <f t="array" ref="BT78">$E78*IFERROR(INDEX($E$11:$E$23,MATCH(MATCH(BT$8,$AF$8:$CA$8,0)-MATCH($D78,$D$33:$D$80,0),$D$11:$D$23,0),0),0)</f>
        <v>0</v>
      </c>
      <c r="BU78" s="654" cm="1">
        <f t="array" ref="BU78">$E78*IFERROR(INDEX($E$11:$E$23,MATCH(MATCH(BU$8,$AF$8:$CA$8,0)-MATCH($D78,$D$33:$D$80,0),$D$11:$D$23,0),0),0)</f>
        <v>0</v>
      </c>
      <c r="BV78" s="654" cm="1">
        <f t="array" ref="BV78">$E78*IFERROR(INDEX($E$11:$E$23,MATCH(MATCH(BV$8,$AF$8:$CA$8,0)-MATCH($D78,$D$33:$D$80,0),$D$11:$D$23,0),0),0)</f>
        <v>15000</v>
      </c>
      <c r="BW78" s="654" cm="1">
        <f t="array" ref="BW78">$E78*IFERROR(INDEX($E$11:$E$23,MATCH(MATCH(BW$8,$AF$8:$CA$8,0)-MATCH($D78,$D$33:$D$80,0),$D$11:$D$23,0),0),0)</f>
        <v>0</v>
      </c>
      <c r="BX78" s="654" cm="1">
        <f t="array" ref="BX78">$E78*IFERROR(INDEX($E$11:$E$23,MATCH(MATCH(BX$8,$AF$8:$CA$8,0)-MATCH($D78,$D$33:$D$80,0),$D$11:$D$23,0),0),0)</f>
        <v>15000</v>
      </c>
      <c r="BY78" s="654" cm="1">
        <f t="array" ref="BY78">$E78*IFERROR(INDEX($E$11:$E$23,MATCH(MATCH(BY$8,$AF$8:$CA$8,0)-MATCH($D78,$D$33:$D$80,0),$D$11:$D$23,0),0),0)</f>
        <v>0</v>
      </c>
      <c r="BZ78" s="654" cm="1">
        <f t="array" ref="BZ78">$E78*IFERROR(INDEX($E$11:$E$23,MATCH(MATCH(BZ$8,$AF$8:$CA$8,0)-MATCH($D78,$D$33:$D$80,0),$D$11:$D$23,0),0),0)</f>
        <v>0</v>
      </c>
      <c r="CA78" s="654" cm="1">
        <f t="array" ref="CA78">$E78*IFERROR(INDEX($E$11:$E$23,MATCH(MATCH(CA$8,$AF$8:$CA$8,0)-MATCH($D78,$D$33:$D$80,0),$D$11:$D$23,0),0),0)</f>
        <v>0</v>
      </c>
    </row>
    <row r="79" spans="2:79" ht="21" hidden="1" customHeight="1" outlineLevel="2">
      <c r="B79" s="367"/>
      <c r="C79" s="370"/>
      <c r="D79" s="374">
        <f t="shared" si="24"/>
        <v>46356</v>
      </c>
      <c r="E79" s="653" cm="1">
        <f t="array" ref="E79">IF($D79&lt;=LatestMonthOfActuals,0,INDEX($AF$28:$CA$28,0,MATCH($D79,$AF$8:$CA$8,0)))</f>
        <v>30000</v>
      </c>
      <c r="F79" s="643"/>
      <c r="G79" s="644"/>
      <c r="H79" s="408">
        <f t="shared" si="29"/>
        <v>0</v>
      </c>
      <c r="I79" s="408">
        <f t="shared" si="29"/>
        <v>0</v>
      </c>
      <c r="J79" s="408">
        <f t="shared" si="29"/>
        <v>0</v>
      </c>
      <c r="K79" s="408">
        <f t="shared" si="29"/>
        <v>30000</v>
      </c>
      <c r="L79" s="643"/>
      <c r="M79" s="644"/>
      <c r="N79" s="408">
        <f t="shared" si="30"/>
        <v>0</v>
      </c>
      <c r="O79" s="408">
        <f t="shared" si="30"/>
        <v>0</v>
      </c>
      <c r="P79" s="408">
        <f t="shared" si="30"/>
        <v>0</v>
      </c>
      <c r="Q79" s="408">
        <f t="shared" si="30"/>
        <v>0</v>
      </c>
      <c r="R79" s="408">
        <f t="shared" si="30"/>
        <v>0</v>
      </c>
      <c r="S79" s="408">
        <f t="shared" si="30"/>
        <v>0</v>
      </c>
      <c r="T79" s="408">
        <f t="shared" si="30"/>
        <v>0</v>
      </c>
      <c r="U79" s="408">
        <f t="shared" si="30"/>
        <v>0</v>
      </c>
      <c r="V79" s="408">
        <f t="shared" si="30"/>
        <v>0</v>
      </c>
      <c r="W79" s="408">
        <f t="shared" si="30"/>
        <v>0</v>
      </c>
      <c r="X79" s="408">
        <f t="shared" si="30"/>
        <v>0</v>
      </c>
      <c r="Y79" s="408">
        <f t="shared" si="30"/>
        <v>0</v>
      </c>
      <c r="Z79" s="408">
        <f t="shared" si="30"/>
        <v>0</v>
      </c>
      <c r="AA79" s="408">
        <f t="shared" si="30"/>
        <v>0</v>
      </c>
      <c r="AB79" s="408">
        <f t="shared" si="30"/>
        <v>15000</v>
      </c>
      <c r="AC79" s="408">
        <f t="shared" si="30"/>
        <v>15000</v>
      </c>
      <c r="AD79" s="643"/>
      <c r="AE79" s="644"/>
      <c r="AF79" s="654" cm="1">
        <f t="array" ref="AF79">$E79*IFERROR(INDEX($E$11:$E$23,MATCH(MATCH(AF$8,$AF$8:$CA$8,0)-MATCH($D79,$D$33:$D$80,0),$D$11:$D$23,0),0),0)</f>
        <v>0</v>
      </c>
      <c r="AG79" s="654" cm="1">
        <f t="array" ref="AG79">$E79*IFERROR(INDEX($E$11:$E$23,MATCH(MATCH(AG$8,$AF$8:$CA$8,0)-MATCH($D79,$D$33:$D$80,0),$D$11:$D$23,0),0),0)</f>
        <v>0</v>
      </c>
      <c r="AH79" s="654" cm="1">
        <f t="array" ref="AH79">$E79*IFERROR(INDEX($E$11:$E$23,MATCH(MATCH(AH$8,$AF$8:$CA$8,0)-MATCH($D79,$D$33:$D$80,0),$D$11:$D$23,0),0),0)</f>
        <v>0</v>
      </c>
      <c r="AI79" s="654" cm="1">
        <f t="array" ref="AI79">$E79*IFERROR(INDEX($E$11:$E$23,MATCH(MATCH(AI$8,$AF$8:$CA$8,0)-MATCH($D79,$D$33:$D$80,0),$D$11:$D$23,0),0),0)</f>
        <v>0</v>
      </c>
      <c r="AJ79" s="654" cm="1">
        <f t="array" ref="AJ79">$E79*IFERROR(INDEX($E$11:$E$23,MATCH(MATCH(AJ$8,$AF$8:$CA$8,0)-MATCH($D79,$D$33:$D$80,0),$D$11:$D$23,0),0),0)</f>
        <v>0</v>
      </c>
      <c r="AK79" s="654" cm="1">
        <f t="array" ref="AK79">$E79*IFERROR(INDEX($E$11:$E$23,MATCH(MATCH(AK$8,$AF$8:$CA$8,0)-MATCH($D79,$D$33:$D$80,0),$D$11:$D$23,0),0),0)</f>
        <v>0</v>
      </c>
      <c r="AL79" s="654" cm="1">
        <f t="array" ref="AL79">$E79*IFERROR(INDEX($E$11:$E$23,MATCH(MATCH(AL$8,$AF$8:$CA$8,0)-MATCH($D79,$D$33:$D$80,0),$D$11:$D$23,0),0),0)</f>
        <v>0</v>
      </c>
      <c r="AM79" s="654" cm="1">
        <f t="array" ref="AM79">$E79*IFERROR(INDEX($E$11:$E$23,MATCH(MATCH(AM$8,$AF$8:$CA$8,0)-MATCH($D79,$D$33:$D$80,0),$D$11:$D$23,0),0),0)</f>
        <v>0</v>
      </c>
      <c r="AN79" s="654" cm="1">
        <f t="array" ref="AN79">$E79*IFERROR(INDEX($E$11:$E$23,MATCH(MATCH(AN$8,$AF$8:$CA$8,0)-MATCH($D79,$D$33:$D$80,0),$D$11:$D$23,0),0),0)</f>
        <v>0</v>
      </c>
      <c r="AO79" s="654" cm="1">
        <f t="array" ref="AO79">$E79*IFERROR(INDEX($E$11:$E$23,MATCH(MATCH(AO$8,$AF$8:$CA$8,0)-MATCH($D79,$D$33:$D$80,0),$D$11:$D$23,0),0),0)</f>
        <v>0</v>
      </c>
      <c r="AP79" s="654" cm="1">
        <f t="array" ref="AP79">$E79*IFERROR(INDEX($E$11:$E$23,MATCH(MATCH(AP$8,$AF$8:$CA$8,0)-MATCH($D79,$D$33:$D$80,0),$D$11:$D$23,0),0),0)</f>
        <v>0</v>
      </c>
      <c r="AQ79" s="654" cm="1">
        <f t="array" ref="AQ79">$E79*IFERROR(INDEX($E$11:$E$23,MATCH(MATCH(AQ$8,$AF$8:$CA$8,0)-MATCH($D79,$D$33:$D$80,0),$D$11:$D$23,0),0),0)</f>
        <v>0</v>
      </c>
      <c r="AR79" s="654" cm="1">
        <f t="array" ref="AR79">$E79*IFERROR(INDEX($E$11:$E$23,MATCH(MATCH(AR$8,$AF$8:$CA$8,0)-MATCH($D79,$D$33:$D$80,0),$D$11:$D$23,0),0),0)</f>
        <v>0</v>
      </c>
      <c r="AS79" s="654" cm="1">
        <f t="array" ref="AS79">$E79*IFERROR(INDEX($E$11:$E$23,MATCH(MATCH(AS$8,$AF$8:$CA$8,0)-MATCH($D79,$D$33:$D$80,0),$D$11:$D$23,0),0),0)</f>
        <v>0</v>
      </c>
      <c r="AT79" s="654" cm="1">
        <f t="array" ref="AT79">$E79*IFERROR(INDEX($E$11:$E$23,MATCH(MATCH(AT$8,$AF$8:$CA$8,0)-MATCH($D79,$D$33:$D$80,0),$D$11:$D$23,0),0),0)</f>
        <v>0</v>
      </c>
      <c r="AU79" s="654" cm="1">
        <f t="array" ref="AU79">$E79*IFERROR(INDEX($E$11:$E$23,MATCH(MATCH(AU$8,$AF$8:$CA$8,0)-MATCH($D79,$D$33:$D$80,0),$D$11:$D$23,0),0),0)</f>
        <v>0</v>
      </c>
      <c r="AV79" s="654" cm="1">
        <f t="array" ref="AV79">$E79*IFERROR(INDEX($E$11:$E$23,MATCH(MATCH(AV$8,$AF$8:$CA$8,0)-MATCH($D79,$D$33:$D$80,0),$D$11:$D$23,0),0),0)</f>
        <v>0</v>
      </c>
      <c r="AW79" s="654" cm="1">
        <f t="array" ref="AW79">$E79*IFERROR(INDEX($E$11:$E$23,MATCH(MATCH(AW$8,$AF$8:$CA$8,0)-MATCH($D79,$D$33:$D$80,0),$D$11:$D$23,0),0),0)</f>
        <v>0</v>
      </c>
      <c r="AX79" s="654" cm="1">
        <f t="array" ref="AX79">$E79*IFERROR(INDEX($E$11:$E$23,MATCH(MATCH(AX$8,$AF$8:$CA$8,0)-MATCH($D79,$D$33:$D$80,0),$D$11:$D$23,0),0),0)</f>
        <v>0</v>
      </c>
      <c r="AY79" s="654" cm="1">
        <f t="array" ref="AY79">$E79*IFERROR(INDEX($E$11:$E$23,MATCH(MATCH(AY$8,$AF$8:$CA$8,0)-MATCH($D79,$D$33:$D$80,0),$D$11:$D$23,0),0),0)</f>
        <v>0</v>
      </c>
      <c r="AZ79" s="654" cm="1">
        <f t="array" ref="AZ79">$E79*IFERROR(INDEX($E$11:$E$23,MATCH(MATCH(AZ$8,$AF$8:$CA$8,0)-MATCH($D79,$D$33:$D$80,0),$D$11:$D$23,0),0),0)</f>
        <v>0</v>
      </c>
      <c r="BA79" s="654" cm="1">
        <f t="array" ref="BA79">$E79*IFERROR(INDEX($E$11:$E$23,MATCH(MATCH(BA$8,$AF$8:$CA$8,0)-MATCH($D79,$D$33:$D$80,0),$D$11:$D$23,0),0),0)</f>
        <v>0</v>
      </c>
      <c r="BB79" s="654" cm="1">
        <f t="array" ref="BB79">$E79*IFERROR(INDEX($E$11:$E$23,MATCH(MATCH(BB$8,$AF$8:$CA$8,0)-MATCH($D79,$D$33:$D$80,0),$D$11:$D$23,0),0),0)</f>
        <v>0</v>
      </c>
      <c r="BC79" s="654" cm="1">
        <f t="array" ref="BC79">$E79*IFERROR(INDEX($E$11:$E$23,MATCH(MATCH(BC$8,$AF$8:$CA$8,0)-MATCH($D79,$D$33:$D$80,0),$D$11:$D$23,0),0),0)</f>
        <v>0</v>
      </c>
      <c r="BD79" s="654" cm="1">
        <f t="array" ref="BD79">$E79*IFERROR(INDEX($E$11:$E$23,MATCH(MATCH(BD$8,$AF$8:$CA$8,0)-MATCH($D79,$D$33:$D$80,0),$D$11:$D$23,0),0),0)</f>
        <v>0</v>
      </c>
      <c r="BE79" s="654" cm="1">
        <f t="array" ref="BE79">$E79*IFERROR(INDEX($E$11:$E$23,MATCH(MATCH(BE$8,$AF$8:$CA$8,0)-MATCH($D79,$D$33:$D$80,0),$D$11:$D$23,0),0),0)</f>
        <v>0</v>
      </c>
      <c r="BF79" s="654" cm="1">
        <f t="array" ref="BF79">$E79*IFERROR(INDEX($E$11:$E$23,MATCH(MATCH(BF$8,$AF$8:$CA$8,0)-MATCH($D79,$D$33:$D$80,0),$D$11:$D$23,0),0),0)</f>
        <v>0</v>
      </c>
      <c r="BG79" s="654" cm="1">
        <f t="array" ref="BG79">$E79*IFERROR(INDEX($E$11:$E$23,MATCH(MATCH(BG$8,$AF$8:$CA$8,0)-MATCH($D79,$D$33:$D$80,0),$D$11:$D$23,0),0),0)</f>
        <v>0</v>
      </c>
      <c r="BH79" s="654" cm="1">
        <f t="array" ref="BH79">$E79*IFERROR(INDEX($E$11:$E$23,MATCH(MATCH(BH$8,$AF$8:$CA$8,0)-MATCH($D79,$D$33:$D$80,0),$D$11:$D$23,0),0),0)</f>
        <v>0</v>
      </c>
      <c r="BI79" s="654" cm="1">
        <f t="array" ref="BI79">$E79*IFERROR(INDEX($E$11:$E$23,MATCH(MATCH(BI$8,$AF$8:$CA$8,0)-MATCH($D79,$D$33:$D$80,0),$D$11:$D$23,0),0),0)</f>
        <v>0</v>
      </c>
      <c r="BJ79" s="654" cm="1">
        <f t="array" ref="BJ79">$E79*IFERROR(INDEX($E$11:$E$23,MATCH(MATCH(BJ$8,$AF$8:$CA$8,0)-MATCH($D79,$D$33:$D$80,0),$D$11:$D$23,0),0),0)</f>
        <v>0</v>
      </c>
      <c r="BK79" s="654" cm="1">
        <f t="array" ref="BK79">$E79*IFERROR(INDEX($E$11:$E$23,MATCH(MATCH(BK$8,$AF$8:$CA$8,0)-MATCH($D79,$D$33:$D$80,0),$D$11:$D$23,0),0),0)</f>
        <v>0</v>
      </c>
      <c r="BL79" s="654" cm="1">
        <f t="array" ref="BL79">$E79*IFERROR(INDEX($E$11:$E$23,MATCH(MATCH(BL$8,$AF$8:$CA$8,0)-MATCH($D79,$D$33:$D$80,0),$D$11:$D$23,0),0),0)</f>
        <v>0</v>
      </c>
      <c r="BM79" s="654" cm="1">
        <f t="array" ref="BM79">$E79*IFERROR(INDEX($E$11:$E$23,MATCH(MATCH(BM$8,$AF$8:$CA$8,0)-MATCH($D79,$D$33:$D$80,0),$D$11:$D$23,0),0),0)</f>
        <v>0</v>
      </c>
      <c r="BN79" s="654" cm="1">
        <f t="array" ref="BN79">$E79*IFERROR(INDEX($E$11:$E$23,MATCH(MATCH(BN$8,$AF$8:$CA$8,0)-MATCH($D79,$D$33:$D$80,0),$D$11:$D$23,0),0),0)</f>
        <v>0</v>
      </c>
      <c r="BO79" s="654" cm="1">
        <f t="array" ref="BO79">$E79*IFERROR(INDEX($E$11:$E$23,MATCH(MATCH(BO$8,$AF$8:$CA$8,0)-MATCH($D79,$D$33:$D$80,0),$D$11:$D$23,0),0),0)</f>
        <v>0</v>
      </c>
      <c r="BP79" s="654" cm="1">
        <f t="array" ref="BP79">$E79*IFERROR(INDEX($E$11:$E$23,MATCH(MATCH(BP$8,$AF$8:$CA$8,0)-MATCH($D79,$D$33:$D$80,0),$D$11:$D$23,0),0),0)</f>
        <v>0</v>
      </c>
      <c r="BQ79" s="654" cm="1">
        <f t="array" ref="BQ79">$E79*IFERROR(INDEX($E$11:$E$23,MATCH(MATCH(BQ$8,$AF$8:$CA$8,0)-MATCH($D79,$D$33:$D$80,0),$D$11:$D$23,0),0),0)</f>
        <v>0</v>
      </c>
      <c r="BR79" s="654" cm="1">
        <f t="array" ref="BR79">$E79*IFERROR(INDEX($E$11:$E$23,MATCH(MATCH(BR$8,$AF$8:$CA$8,0)-MATCH($D79,$D$33:$D$80,0),$D$11:$D$23,0),0),0)</f>
        <v>0</v>
      </c>
      <c r="BS79" s="654" cm="1">
        <f t="array" ref="BS79">$E79*IFERROR(INDEX($E$11:$E$23,MATCH(MATCH(BS$8,$AF$8:$CA$8,0)-MATCH($D79,$D$33:$D$80,0),$D$11:$D$23,0),0),0)</f>
        <v>0</v>
      </c>
      <c r="BT79" s="654" cm="1">
        <f t="array" ref="BT79">$E79*IFERROR(INDEX($E$11:$E$23,MATCH(MATCH(BT$8,$AF$8:$CA$8,0)-MATCH($D79,$D$33:$D$80,0),$D$11:$D$23,0),0),0)</f>
        <v>0</v>
      </c>
      <c r="BU79" s="654" cm="1">
        <f t="array" ref="BU79">$E79*IFERROR(INDEX($E$11:$E$23,MATCH(MATCH(BU$8,$AF$8:$CA$8,0)-MATCH($D79,$D$33:$D$80,0),$D$11:$D$23,0),0),0)</f>
        <v>0</v>
      </c>
      <c r="BV79" s="654" cm="1">
        <f t="array" ref="BV79">$E79*IFERROR(INDEX($E$11:$E$23,MATCH(MATCH(BV$8,$AF$8:$CA$8,0)-MATCH($D79,$D$33:$D$80,0),$D$11:$D$23,0),0),0)</f>
        <v>0</v>
      </c>
      <c r="BW79" s="654" cm="1">
        <f t="array" ref="BW79">$E79*IFERROR(INDEX($E$11:$E$23,MATCH(MATCH(BW$8,$AF$8:$CA$8,0)-MATCH($D79,$D$33:$D$80,0),$D$11:$D$23,0),0),0)</f>
        <v>15000</v>
      </c>
      <c r="BX79" s="654" cm="1">
        <f t="array" ref="BX79">$E79*IFERROR(INDEX($E$11:$E$23,MATCH(MATCH(BX$8,$AF$8:$CA$8,0)-MATCH($D79,$D$33:$D$80,0),$D$11:$D$23,0),0),0)</f>
        <v>0</v>
      </c>
      <c r="BY79" s="654" cm="1">
        <f t="array" ref="BY79">$E79*IFERROR(INDEX($E$11:$E$23,MATCH(MATCH(BY$8,$AF$8:$CA$8,0)-MATCH($D79,$D$33:$D$80,0),$D$11:$D$23,0),0),0)</f>
        <v>15000</v>
      </c>
      <c r="BZ79" s="654" cm="1">
        <f t="array" ref="BZ79">$E79*IFERROR(INDEX($E$11:$E$23,MATCH(MATCH(BZ$8,$AF$8:$CA$8,0)-MATCH($D79,$D$33:$D$80,0),$D$11:$D$23,0),0),0)</f>
        <v>0</v>
      </c>
      <c r="CA79" s="654" cm="1">
        <f t="array" ref="CA79">$E79*IFERROR(INDEX($E$11:$E$23,MATCH(MATCH(CA$8,$AF$8:$CA$8,0)-MATCH($D79,$D$33:$D$80,0),$D$11:$D$23,0),0),0)</f>
        <v>0</v>
      </c>
    </row>
    <row r="80" spans="2:79" ht="21" hidden="1" customHeight="1" outlineLevel="2">
      <c r="B80" s="367"/>
      <c r="C80" s="370"/>
      <c r="D80" s="374">
        <f t="shared" si="24"/>
        <v>46387</v>
      </c>
      <c r="E80" s="653" cm="1">
        <f t="array" ref="E80">IF($D80&lt;=LatestMonthOfActuals,0,INDEX($AF$28:$CA$28,0,MATCH($D80,$AF$8:$CA$8,0)))</f>
        <v>30000</v>
      </c>
      <c r="F80" s="643"/>
      <c r="G80" s="644"/>
      <c r="H80" s="408">
        <f t="shared" si="29"/>
        <v>0</v>
      </c>
      <c r="I80" s="408">
        <f t="shared" si="29"/>
        <v>0</v>
      </c>
      <c r="J80" s="408">
        <f t="shared" si="29"/>
        <v>0</v>
      </c>
      <c r="K80" s="408">
        <f t="shared" si="29"/>
        <v>30000</v>
      </c>
      <c r="L80" s="643"/>
      <c r="M80" s="644"/>
      <c r="N80" s="408">
        <f t="shared" si="30"/>
        <v>0</v>
      </c>
      <c r="O80" s="408">
        <f t="shared" si="30"/>
        <v>0</v>
      </c>
      <c r="P80" s="408">
        <f t="shared" si="30"/>
        <v>0</v>
      </c>
      <c r="Q80" s="408">
        <f t="shared" si="30"/>
        <v>0</v>
      </c>
      <c r="R80" s="408">
        <f t="shared" si="30"/>
        <v>0</v>
      </c>
      <c r="S80" s="408">
        <f t="shared" si="30"/>
        <v>0</v>
      </c>
      <c r="T80" s="408">
        <f t="shared" si="30"/>
        <v>0</v>
      </c>
      <c r="U80" s="408">
        <f t="shared" si="30"/>
        <v>0</v>
      </c>
      <c r="V80" s="408">
        <f t="shared" si="30"/>
        <v>0</v>
      </c>
      <c r="W80" s="408">
        <f t="shared" si="30"/>
        <v>0</v>
      </c>
      <c r="X80" s="408">
        <f t="shared" si="30"/>
        <v>0</v>
      </c>
      <c r="Y80" s="408">
        <f t="shared" si="30"/>
        <v>0</v>
      </c>
      <c r="Z80" s="408">
        <f t="shared" si="30"/>
        <v>0</v>
      </c>
      <c r="AA80" s="408">
        <f t="shared" si="30"/>
        <v>0</v>
      </c>
      <c r="AB80" s="408">
        <f t="shared" si="30"/>
        <v>15000</v>
      </c>
      <c r="AC80" s="408">
        <f t="shared" si="30"/>
        <v>15000</v>
      </c>
      <c r="AD80" s="643"/>
      <c r="AE80" s="644"/>
      <c r="AF80" s="654" cm="1">
        <f t="array" ref="AF80">$E80*IFERROR(INDEX($E$11:$E$23,MATCH(MATCH(AF$8,$AF$8:$CA$8,0)-MATCH($D80,$D$33:$D$80,0),$D$11:$D$23,0),0),0)</f>
        <v>0</v>
      </c>
      <c r="AG80" s="654" cm="1">
        <f t="array" ref="AG80">$E80*IFERROR(INDEX($E$11:$E$23,MATCH(MATCH(AG$8,$AF$8:$CA$8,0)-MATCH($D80,$D$33:$D$80,0),$D$11:$D$23,0),0),0)</f>
        <v>0</v>
      </c>
      <c r="AH80" s="654" cm="1">
        <f t="array" ref="AH80">$E80*IFERROR(INDEX($E$11:$E$23,MATCH(MATCH(AH$8,$AF$8:$CA$8,0)-MATCH($D80,$D$33:$D$80,0),$D$11:$D$23,0),0),0)</f>
        <v>0</v>
      </c>
      <c r="AI80" s="654" cm="1">
        <f t="array" ref="AI80">$E80*IFERROR(INDEX($E$11:$E$23,MATCH(MATCH(AI$8,$AF$8:$CA$8,0)-MATCH($D80,$D$33:$D$80,0),$D$11:$D$23,0),0),0)</f>
        <v>0</v>
      </c>
      <c r="AJ80" s="654" cm="1">
        <f t="array" ref="AJ80">$E80*IFERROR(INDEX($E$11:$E$23,MATCH(MATCH(AJ$8,$AF$8:$CA$8,0)-MATCH($D80,$D$33:$D$80,0),$D$11:$D$23,0),0),0)</f>
        <v>0</v>
      </c>
      <c r="AK80" s="654" cm="1">
        <f t="array" ref="AK80">$E80*IFERROR(INDEX($E$11:$E$23,MATCH(MATCH(AK$8,$AF$8:$CA$8,0)-MATCH($D80,$D$33:$D$80,0),$D$11:$D$23,0),0),0)</f>
        <v>0</v>
      </c>
      <c r="AL80" s="654" cm="1">
        <f t="array" ref="AL80">$E80*IFERROR(INDEX($E$11:$E$23,MATCH(MATCH(AL$8,$AF$8:$CA$8,0)-MATCH($D80,$D$33:$D$80,0),$D$11:$D$23,0),0),0)</f>
        <v>0</v>
      </c>
      <c r="AM80" s="654" cm="1">
        <f t="array" ref="AM80">$E80*IFERROR(INDEX($E$11:$E$23,MATCH(MATCH(AM$8,$AF$8:$CA$8,0)-MATCH($D80,$D$33:$D$80,0),$D$11:$D$23,0),0),0)</f>
        <v>0</v>
      </c>
      <c r="AN80" s="654" cm="1">
        <f t="array" ref="AN80">$E80*IFERROR(INDEX($E$11:$E$23,MATCH(MATCH(AN$8,$AF$8:$CA$8,0)-MATCH($D80,$D$33:$D$80,0),$D$11:$D$23,0),0),0)</f>
        <v>0</v>
      </c>
      <c r="AO80" s="654" cm="1">
        <f t="array" ref="AO80">$E80*IFERROR(INDEX($E$11:$E$23,MATCH(MATCH(AO$8,$AF$8:$CA$8,0)-MATCH($D80,$D$33:$D$80,0),$D$11:$D$23,0),0),0)</f>
        <v>0</v>
      </c>
      <c r="AP80" s="654" cm="1">
        <f t="array" ref="AP80">$E80*IFERROR(INDEX($E$11:$E$23,MATCH(MATCH(AP$8,$AF$8:$CA$8,0)-MATCH($D80,$D$33:$D$80,0),$D$11:$D$23,0),0),0)</f>
        <v>0</v>
      </c>
      <c r="AQ80" s="654" cm="1">
        <f t="array" ref="AQ80">$E80*IFERROR(INDEX($E$11:$E$23,MATCH(MATCH(AQ$8,$AF$8:$CA$8,0)-MATCH($D80,$D$33:$D$80,0),$D$11:$D$23,0),0),0)</f>
        <v>0</v>
      </c>
      <c r="AR80" s="654" cm="1">
        <f t="array" ref="AR80">$E80*IFERROR(INDEX($E$11:$E$23,MATCH(MATCH(AR$8,$AF$8:$CA$8,0)-MATCH($D80,$D$33:$D$80,0),$D$11:$D$23,0),0),0)</f>
        <v>0</v>
      </c>
      <c r="AS80" s="654" cm="1">
        <f t="array" ref="AS80">$E80*IFERROR(INDEX($E$11:$E$23,MATCH(MATCH(AS$8,$AF$8:$CA$8,0)-MATCH($D80,$D$33:$D$80,0),$D$11:$D$23,0),0),0)</f>
        <v>0</v>
      </c>
      <c r="AT80" s="654" cm="1">
        <f t="array" ref="AT80">$E80*IFERROR(INDEX($E$11:$E$23,MATCH(MATCH(AT$8,$AF$8:$CA$8,0)-MATCH($D80,$D$33:$D$80,0),$D$11:$D$23,0),0),0)</f>
        <v>0</v>
      </c>
      <c r="AU80" s="654" cm="1">
        <f t="array" ref="AU80">$E80*IFERROR(INDEX($E$11:$E$23,MATCH(MATCH(AU$8,$AF$8:$CA$8,0)-MATCH($D80,$D$33:$D$80,0),$D$11:$D$23,0),0),0)</f>
        <v>0</v>
      </c>
      <c r="AV80" s="654" cm="1">
        <f t="array" ref="AV80">$E80*IFERROR(INDEX($E$11:$E$23,MATCH(MATCH(AV$8,$AF$8:$CA$8,0)-MATCH($D80,$D$33:$D$80,0),$D$11:$D$23,0),0),0)</f>
        <v>0</v>
      </c>
      <c r="AW80" s="654" cm="1">
        <f t="array" ref="AW80">$E80*IFERROR(INDEX($E$11:$E$23,MATCH(MATCH(AW$8,$AF$8:$CA$8,0)-MATCH($D80,$D$33:$D$80,0),$D$11:$D$23,0),0),0)</f>
        <v>0</v>
      </c>
      <c r="AX80" s="654" cm="1">
        <f t="array" ref="AX80">$E80*IFERROR(INDEX($E$11:$E$23,MATCH(MATCH(AX$8,$AF$8:$CA$8,0)-MATCH($D80,$D$33:$D$80,0),$D$11:$D$23,0),0),0)</f>
        <v>0</v>
      </c>
      <c r="AY80" s="654" cm="1">
        <f t="array" ref="AY80">$E80*IFERROR(INDEX($E$11:$E$23,MATCH(MATCH(AY$8,$AF$8:$CA$8,0)-MATCH($D80,$D$33:$D$80,0),$D$11:$D$23,0),0),0)</f>
        <v>0</v>
      </c>
      <c r="AZ80" s="654" cm="1">
        <f t="array" ref="AZ80">$E80*IFERROR(INDEX($E$11:$E$23,MATCH(MATCH(AZ$8,$AF$8:$CA$8,0)-MATCH($D80,$D$33:$D$80,0),$D$11:$D$23,0),0),0)</f>
        <v>0</v>
      </c>
      <c r="BA80" s="654" cm="1">
        <f t="array" ref="BA80">$E80*IFERROR(INDEX($E$11:$E$23,MATCH(MATCH(BA$8,$AF$8:$CA$8,0)-MATCH($D80,$D$33:$D$80,0),$D$11:$D$23,0),0),0)</f>
        <v>0</v>
      </c>
      <c r="BB80" s="654" cm="1">
        <f t="array" ref="BB80">$E80*IFERROR(INDEX($E$11:$E$23,MATCH(MATCH(BB$8,$AF$8:$CA$8,0)-MATCH($D80,$D$33:$D$80,0),$D$11:$D$23,0),0),0)</f>
        <v>0</v>
      </c>
      <c r="BC80" s="654" cm="1">
        <f t="array" ref="BC80">$E80*IFERROR(INDEX($E$11:$E$23,MATCH(MATCH(BC$8,$AF$8:$CA$8,0)-MATCH($D80,$D$33:$D$80,0),$D$11:$D$23,0),0),0)</f>
        <v>0</v>
      </c>
      <c r="BD80" s="654" cm="1">
        <f t="array" ref="BD80">$E80*IFERROR(INDEX($E$11:$E$23,MATCH(MATCH(BD$8,$AF$8:$CA$8,0)-MATCH($D80,$D$33:$D$80,0),$D$11:$D$23,0),0),0)</f>
        <v>0</v>
      </c>
      <c r="BE80" s="654" cm="1">
        <f t="array" ref="BE80">$E80*IFERROR(INDEX($E$11:$E$23,MATCH(MATCH(BE$8,$AF$8:$CA$8,0)-MATCH($D80,$D$33:$D$80,0),$D$11:$D$23,0),0),0)</f>
        <v>0</v>
      </c>
      <c r="BF80" s="654" cm="1">
        <f t="array" ref="BF80">$E80*IFERROR(INDEX($E$11:$E$23,MATCH(MATCH(BF$8,$AF$8:$CA$8,0)-MATCH($D80,$D$33:$D$80,0),$D$11:$D$23,0),0),0)</f>
        <v>0</v>
      </c>
      <c r="BG80" s="654" cm="1">
        <f t="array" ref="BG80">$E80*IFERROR(INDEX($E$11:$E$23,MATCH(MATCH(BG$8,$AF$8:$CA$8,0)-MATCH($D80,$D$33:$D$80,0),$D$11:$D$23,0),0),0)</f>
        <v>0</v>
      </c>
      <c r="BH80" s="654" cm="1">
        <f t="array" ref="BH80">$E80*IFERROR(INDEX($E$11:$E$23,MATCH(MATCH(BH$8,$AF$8:$CA$8,0)-MATCH($D80,$D$33:$D$80,0),$D$11:$D$23,0),0),0)</f>
        <v>0</v>
      </c>
      <c r="BI80" s="654" cm="1">
        <f t="array" ref="BI80">$E80*IFERROR(INDEX($E$11:$E$23,MATCH(MATCH(BI$8,$AF$8:$CA$8,0)-MATCH($D80,$D$33:$D$80,0),$D$11:$D$23,0),0),0)</f>
        <v>0</v>
      </c>
      <c r="BJ80" s="654" cm="1">
        <f t="array" ref="BJ80">$E80*IFERROR(INDEX($E$11:$E$23,MATCH(MATCH(BJ$8,$AF$8:$CA$8,0)-MATCH($D80,$D$33:$D$80,0),$D$11:$D$23,0),0),0)</f>
        <v>0</v>
      </c>
      <c r="BK80" s="654" cm="1">
        <f t="array" ref="BK80">$E80*IFERROR(INDEX($E$11:$E$23,MATCH(MATCH(BK$8,$AF$8:$CA$8,0)-MATCH($D80,$D$33:$D$80,0),$D$11:$D$23,0),0),0)</f>
        <v>0</v>
      </c>
      <c r="BL80" s="654" cm="1">
        <f t="array" ref="BL80">$E80*IFERROR(INDEX($E$11:$E$23,MATCH(MATCH(BL$8,$AF$8:$CA$8,0)-MATCH($D80,$D$33:$D$80,0),$D$11:$D$23,0),0),0)</f>
        <v>0</v>
      </c>
      <c r="BM80" s="654" cm="1">
        <f t="array" ref="BM80">$E80*IFERROR(INDEX($E$11:$E$23,MATCH(MATCH(BM$8,$AF$8:$CA$8,0)-MATCH($D80,$D$33:$D$80,0),$D$11:$D$23,0),0),0)</f>
        <v>0</v>
      </c>
      <c r="BN80" s="654" cm="1">
        <f t="array" ref="BN80">$E80*IFERROR(INDEX($E$11:$E$23,MATCH(MATCH(BN$8,$AF$8:$CA$8,0)-MATCH($D80,$D$33:$D$80,0),$D$11:$D$23,0),0),0)</f>
        <v>0</v>
      </c>
      <c r="BO80" s="654" cm="1">
        <f t="array" ref="BO80">$E80*IFERROR(INDEX($E$11:$E$23,MATCH(MATCH(BO$8,$AF$8:$CA$8,0)-MATCH($D80,$D$33:$D$80,0),$D$11:$D$23,0),0),0)</f>
        <v>0</v>
      </c>
      <c r="BP80" s="654" cm="1">
        <f t="array" ref="BP80">$E80*IFERROR(INDEX($E$11:$E$23,MATCH(MATCH(BP$8,$AF$8:$CA$8,0)-MATCH($D80,$D$33:$D$80,0),$D$11:$D$23,0),0),0)</f>
        <v>0</v>
      </c>
      <c r="BQ80" s="654" cm="1">
        <f t="array" ref="BQ80">$E80*IFERROR(INDEX($E$11:$E$23,MATCH(MATCH(BQ$8,$AF$8:$CA$8,0)-MATCH($D80,$D$33:$D$80,0),$D$11:$D$23,0),0),0)</f>
        <v>0</v>
      </c>
      <c r="BR80" s="654" cm="1">
        <f t="array" ref="BR80">$E80*IFERROR(INDEX($E$11:$E$23,MATCH(MATCH(BR$8,$AF$8:$CA$8,0)-MATCH($D80,$D$33:$D$80,0),$D$11:$D$23,0),0),0)</f>
        <v>0</v>
      </c>
      <c r="BS80" s="654" cm="1">
        <f t="array" ref="BS80">$E80*IFERROR(INDEX($E$11:$E$23,MATCH(MATCH(BS$8,$AF$8:$CA$8,0)-MATCH($D80,$D$33:$D$80,0),$D$11:$D$23,0),0),0)</f>
        <v>0</v>
      </c>
      <c r="BT80" s="654" cm="1">
        <f t="array" ref="BT80">$E80*IFERROR(INDEX($E$11:$E$23,MATCH(MATCH(BT$8,$AF$8:$CA$8,0)-MATCH($D80,$D$33:$D$80,0),$D$11:$D$23,0),0),0)</f>
        <v>0</v>
      </c>
      <c r="BU80" s="654" cm="1">
        <f t="array" ref="BU80">$E80*IFERROR(INDEX($E$11:$E$23,MATCH(MATCH(BU$8,$AF$8:$CA$8,0)-MATCH($D80,$D$33:$D$80,0),$D$11:$D$23,0),0),0)</f>
        <v>0</v>
      </c>
      <c r="BV80" s="654" cm="1">
        <f t="array" ref="BV80">$E80*IFERROR(INDEX($E$11:$E$23,MATCH(MATCH(BV$8,$AF$8:$CA$8,0)-MATCH($D80,$D$33:$D$80,0),$D$11:$D$23,0),0),0)</f>
        <v>0</v>
      </c>
      <c r="BW80" s="654" cm="1">
        <f t="array" ref="BW80">$E80*IFERROR(INDEX($E$11:$E$23,MATCH(MATCH(BW$8,$AF$8:$CA$8,0)-MATCH($D80,$D$33:$D$80,0),$D$11:$D$23,0),0),0)</f>
        <v>0</v>
      </c>
      <c r="BX80" s="654" cm="1">
        <f t="array" ref="BX80">$E80*IFERROR(INDEX($E$11:$E$23,MATCH(MATCH(BX$8,$AF$8:$CA$8,0)-MATCH($D80,$D$33:$D$80,0),$D$11:$D$23,0),0),0)</f>
        <v>15000</v>
      </c>
      <c r="BY80" s="654" cm="1">
        <f t="array" ref="BY80">$E80*IFERROR(INDEX($E$11:$E$23,MATCH(MATCH(BY$8,$AF$8:$CA$8,0)-MATCH($D80,$D$33:$D$80,0),$D$11:$D$23,0),0),0)</f>
        <v>0</v>
      </c>
      <c r="BZ80" s="654" cm="1">
        <f t="array" ref="BZ80">$E80*IFERROR(INDEX($E$11:$E$23,MATCH(MATCH(BZ$8,$AF$8:$CA$8,0)-MATCH($D80,$D$33:$D$80,0),$D$11:$D$23,0),0),0)</f>
        <v>15000</v>
      </c>
      <c r="CA80" s="654" cm="1">
        <f t="array" ref="CA80">$E80*IFERROR(INDEX($E$11:$E$23,MATCH(MATCH(CA$8,$AF$8:$CA$8,0)-MATCH($D80,$D$33:$D$80,0),$D$11:$D$23,0),0),0)</f>
        <v>0</v>
      </c>
    </row>
    <row r="81" spans="2:79" outlineLevel="1" collapsed="1">
      <c r="D81" s="455" t="s">
        <v>459</v>
      </c>
      <c r="E81" s="651"/>
      <c r="G81" s="359"/>
      <c r="H81" s="408">
        <f>SUMIFS($AF81:$CA81,$AF$4:$CA$4,"&gt;="&amp;H$4,$AF$5:$CA$5,"&lt;="&amp;H$5)</f>
        <v>0</v>
      </c>
      <c r="I81" s="408">
        <f t="shared" si="29"/>
        <v>0</v>
      </c>
      <c r="J81" s="408">
        <f t="shared" si="29"/>
        <v>999300</v>
      </c>
      <c r="K81" s="408">
        <f t="shared" si="29"/>
        <v>0</v>
      </c>
      <c r="L81" s="643"/>
      <c r="M81" s="644"/>
      <c r="N81" s="408">
        <f>SUMIFS($AF81:$CA81,$AF$4:$CA$4,"&gt;="&amp;N$4,$AF$5:$CA$5,"&lt;="&amp;N$5)</f>
        <v>0</v>
      </c>
      <c r="O81" s="408">
        <f t="shared" si="30"/>
        <v>0</v>
      </c>
      <c r="P81" s="408">
        <f t="shared" si="30"/>
        <v>0</v>
      </c>
      <c r="Q81" s="408">
        <f t="shared" si="30"/>
        <v>0</v>
      </c>
      <c r="R81" s="408">
        <f t="shared" si="30"/>
        <v>0</v>
      </c>
      <c r="S81" s="408">
        <f t="shared" si="30"/>
        <v>0</v>
      </c>
      <c r="T81" s="408">
        <f t="shared" si="30"/>
        <v>0</v>
      </c>
      <c r="U81" s="408">
        <f t="shared" si="30"/>
        <v>0</v>
      </c>
      <c r="V81" s="408">
        <f t="shared" si="30"/>
        <v>0</v>
      </c>
      <c r="W81" s="408">
        <f t="shared" si="30"/>
        <v>0</v>
      </c>
      <c r="X81" s="408">
        <f t="shared" si="30"/>
        <v>0</v>
      </c>
      <c r="Y81" s="408">
        <f t="shared" si="30"/>
        <v>999300</v>
      </c>
      <c r="Z81" s="408">
        <f t="shared" si="30"/>
        <v>0</v>
      </c>
      <c r="AA81" s="408">
        <f t="shared" si="30"/>
        <v>0</v>
      </c>
      <c r="AB81" s="408">
        <f t="shared" si="30"/>
        <v>0</v>
      </c>
      <c r="AC81" s="408">
        <f t="shared" si="30"/>
        <v>0</v>
      </c>
      <c r="AF81" s="433">
        <f>IF(AF$8&lt;=LatestMonthOfActuals,0,MAX(AF25-AF84+AF31-AF28,0))</f>
        <v>0</v>
      </c>
      <c r="AG81" s="433">
        <f t="shared" ref="AG81:BN81" si="31">IF(AG$8&lt;=LatestMonthOfActuals,0,MAX(AG25-AG84+AG31-AG28,0))</f>
        <v>0</v>
      </c>
      <c r="AH81" s="433">
        <f t="shared" si="31"/>
        <v>0</v>
      </c>
      <c r="AI81" s="433">
        <f t="shared" si="31"/>
        <v>0</v>
      </c>
      <c r="AJ81" s="433">
        <f t="shared" si="31"/>
        <v>0</v>
      </c>
      <c r="AK81" s="433">
        <f t="shared" si="31"/>
        <v>0</v>
      </c>
      <c r="AL81" s="433">
        <f t="shared" si="31"/>
        <v>0</v>
      </c>
      <c r="AM81" s="433">
        <f t="shared" si="31"/>
        <v>0</v>
      </c>
      <c r="AN81" s="433">
        <f t="shared" si="31"/>
        <v>0</v>
      </c>
      <c r="AO81" s="433">
        <f t="shared" si="31"/>
        <v>0</v>
      </c>
      <c r="AP81" s="433">
        <f t="shared" si="31"/>
        <v>0</v>
      </c>
      <c r="AQ81" s="433">
        <f t="shared" si="31"/>
        <v>0</v>
      </c>
      <c r="AR81" s="433">
        <f t="shared" si="31"/>
        <v>0</v>
      </c>
      <c r="AS81" s="433">
        <f t="shared" si="31"/>
        <v>0</v>
      </c>
      <c r="AT81" s="433">
        <f t="shared" si="31"/>
        <v>0</v>
      </c>
      <c r="AU81" s="433">
        <f t="shared" si="31"/>
        <v>0</v>
      </c>
      <c r="AV81" s="433">
        <f t="shared" si="31"/>
        <v>0</v>
      </c>
      <c r="AW81" s="433">
        <f t="shared" si="31"/>
        <v>0</v>
      </c>
      <c r="AX81" s="433">
        <f t="shared" si="31"/>
        <v>0</v>
      </c>
      <c r="AY81" s="433">
        <f t="shared" si="31"/>
        <v>0</v>
      </c>
      <c r="AZ81" s="433">
        <f t="shared" si="31"/>
        <v>0</v>
      </c>
      <c r="BA81" s="433">
        <f t="shared" si="31"/>
        <v>0</v>
      </c>
      <c r="BB81" s="433">
        <f t="shared" si="31"/>
        <v>0</v>
      </c>
      <c r="BC81" s="433">
        <f t="shared" si="31"/>
        <v>0</v>
      </c>
      <c r="BD81" s="433">
        <f t="shared" si="31"/>
        <v>0</v>
      </c>
      <c r="BE81" s="433">
        <f t="shared" si="31"/>
        <v>0</v>
      </c>
      <c r="BF81" s="433">
        <f t="shared" si="31"/>
        <v>0</v>
      </c>
      <c r="BG81" s="433">
        <f t="shared" si="31"/>
        <v>0</v>
      </c>
      <c r="BH81" s="433">
        <f t="shared" si="31"/>
        <v>0</v>
      </c>
      <c r="BI81" s="433">
        <f t="shared" si="31"/>
        <v>0</v>
      </c>
      <c r="BJ81" s="433">
        <f t="shared" si="31"/>
        <v>0</v>
      </c>
      <c r="BK81" s="433">
        <f t="shared" si="31"/>
        <v>0</v>
      </c>
      <c r="BL81" s="433">
        <f t="shared" si="31"/>
        <v>0</v>
      </c>
      <c r="BM81" s="433">
        <f t="shared" si="31"/>
        <v>0</v>
      </c>
      <c r="BN81" s="433">
        <f t="shared" si="31"/>
        <v>0</v>
      </c>
      <c r="BO81" s="433">
        <f>IF(BO$8&lt;=LatestMonthOfActuals,0,MAX(BO25-BO84+BO31-BO28,0))</f>
        <v>999300</v>
      </c>
      <c r="BP81" s="433">
        <f t="shared" ref="BP81:CA81" si="32">IF(BP$8&lt;=LatestMonthOfActuals,0,MAX(BP25-BP84+BP31-BP28,0))</f>
        <v>0</v>
      </c>
      <c r="BQ81" s="433">
        <f t="shared" si="32"/>
        <v>0</v>
      </c>
      <c r="BR81" s="433">
        <f t="shared" si="32"/>
        <v>0</v>
      </c>
      <c r="BS81" s="433">
        <f t="shared" si="32"/>
        <v>0</v>
      </c>
      <c r="BT81" s="433">
        <f t="shared" si="32"/>
        <v>0</v>
      </c>
      <c r="BU81" s="433">
        <f t="shared" si="32"/>
        <v>0</v>
      </c>
      <c r="BV81" s="433">
        <f t="shared" si="32"/>
        <v>0</v>
      </c>
      <c r="BW81" s="433">
        <f t="shared" si="32"/>
        <v>0</v>
      </c>
      <c r="BX81" s="433">
        <f t="shared" si="32"/>
        <v>0</v>
      </c>
      <c r="BY81" s="433">
        <f t="shared" si="32"/>
        <v>0</v>
      </c>
      <c r="BZ81" s="433">
        <f t="shared" si="32"/>
        <v>0</v>
      </c>
      <c r="CA81" s="433">
        <f t="shared" si="32"/>
        <v>0</v>
      </c>
    </row>
    <row r="83" spans="2:79" s="51" customFormat="1" ht="24">
      <c r="B83" s="635" t="s">
        <v>460</v>
      </c>
      <c r="C83" s="475"/>
      <c r="D83" s="475"/>
      <c r="E83" s="632"/>
      <c r="F83" s="50"/>
      <c r="G83" s="359"/>
      <c r="H83" s="634"/>
      <c r="I83" s="634"/>
      <c r="J83" s="634"/>
      <c r="K83" s="634"/>
      <c r="L83" s="50"/>
      <c r="M83" s="359"/>
      <c r="N83" s="634"/>
      <c r="O83" s="634"/>
      <c r="P83" s="634"/>
      <c r="Q83" s="634"/>
      <c r="R83" s="634"/>
      <c r="S83" s="634"/>
      <c r="T83" s="634"/>
      <c r="U83" s="634"/>
      <c r="V83" s="634"/>
      <c r="W83" s="634"/>
      <c r="X83" s="634"/>
      <c r="Y83" s="634"/>
      <c r="Z83" s="634"/>
      <c r="AA83" s="634"/>
      <c r="AB83" s="634"/>
      <c r="AC83" s="634"/>
      <c r="AD83" s="50"/>
      <c r="AE83" s="359"/>
      <c r="AF83" s="634"/>
      <c r="AG83" s="634"/>
      <c r="AH83" s="634"/>
      <c r="AI83" s="634"/>
      <c r="AJ83" s="634"/>
      <c r="AK83" s="634"/>
      <c r="AL83" s="634"/>
      <c r="AM83" s="634"/>
      <c r="AN83" s="634"/>
      <c r="AO83" s="634"/>
      <c r="AP83" s="634"/>
      <c r="AQ83" s="634"/>
      <c r="AR83" s="634"/>
      <c r="AS83" s="634"/>
      <c r="AT83" s="634"/>
      <c r="AU83" s="634"/>
      <c r="AV83" s="634"/>
      <c r="AW83" s="634"/>
      <c r="AX83" s="634"/>
      <c r="AY83" s="634"/>
      <c r="AZ83" s="634"/>
      <c r="BA83" s="634"/>
      <c r="BB83" s="634"/>
      <c r="BC83" s="634"/>
      <c r="BD83" s="634"/>
      <c r="BE83" s="634"/>
      <c r="BF83" s="634"/>
      <c r="BG83" s="634"/>
      <c r="BH83" s="634"/>
      <c r="BI83" s="634"/>
      <c r="BJ83" s="634"/>
      <c r="BK83" s="634"/>
      <c r="BL83" s="634"/>
      <c r="BM83" s="634"/>
      <c r="BN83" s="634"/>
      <c r="BO83" s="634"/>
      <c r="BP83" s="634"/>
      <c r="BQ83" s="634"/>
      <c r="BR83" s="634"/>
      <c r="BS83" s="634"/>
      <c r="BT83" s="634"/>
      <c r="BU83" s="634"/>
      <c r="BV83" s="634"/>
      <c r="BW83" s="634"/>
      <c r="BX83" s="634"/>
      <c r="BY83" s="634"/>
      <c r="BZ83" s="634"/>
      <c r="CA83" s="634"/>
    </row>
    <row r="84" spans="2:79" outlineLevel="1">
      <c r="D84" s="455" t="s">
        <v>423</v>
      </c>
      <c r="E84" s="648"/>
      <c r="G84" s="359"/>
      <c r="H84" s="649">
        <f>INDEX($AF84:$CA84,MATCH(H$4,$AF$4:$CA$4,0))</f>
        <v>0</v>
      </c>
      <c r="I84" s="649">
        <f>INDEX($AF84:$CA84,MATCH(I$4,$AF$4:$CA$4,0))</f>
        <v>0</v>
      </c>
      <c r="J84" s="649">
        <f>INDEX($AF84:$CA84,MATCH(J$4,$AF$4:$CA$4,0))</f>
        <v>0</v>
      </c>
      <c r="K84" s="649">
        <f>INDEX($AF84:$CA84,MATCH(K$4,$AF$4:$CA$4,0))</f>
        <v>1000000</v>
      </c>
      <c r="N84" s="649">
        <f t="shared" ref="N84:AC84" si="33">INDEX($AF84:$CA84,MATCH(N$4,$AF$4:$CA$4,0))</f>
        <v>0</v>
      </c>
      <c r="O84" s="649">
        <f t="shared" si="33"/>
        <v>0</v>
      </c>
      <c r="P84" s="649">
        <f t="shared" si="33"/>
        <v>0</v>
      </c>
      <c r="Q84" s="649">
        <f t="shared" si="33"/>
        <v>0</v>
      </c>
      <c r="R84" s="649">
        <f t="shared" si="33"/>
        <v>0</v>
      </c>
      <c r="S84" s="649">
        <f t="shared" si="33"/>
        <v>0</v>
      </c>
      <c r="T84" s="649">
        <f t="shared" si="33"/>
        <v>0</v>
      </c>
      <c r="U84" s="649">
        <f t="shared" si="33"/>
        <v>0</v>
      </c>
      <c r="V84" s="649">
        <f t="shared" si="33"/>
        <v>0</v>
      </c>
      <c r="W84" s="649">
        <f t="shared" si="33"/>
        <v>0</v>
      </c>
      <c r="X84" s="649">
        <f t="shared" si="33"/>
        <v>-300</v>
      </c>
      <c r="Y84" s="649">
        <f t="shared" si="33"/>
        <v>700</v>
      </c>
      <c r="Z84" s="649">
        <f t="shared" si="33"/>
        <v>1000000</v>
      </c>
      <c r="AA84" s="649">
        <f t="shared" si="33"/>
        <v>1000000</v>
      </c>
      <c r="AB84" s="649">
        <f t="shared" si="33"/>
        <v>1000000</v>
      </c>
      <c r="AC84" s="649">
        <f t="shared" si="33"/>
        <v>1000000</v>
      </c>
      <c r="AF84" s="650">
        <f t="shared" ref="AF84:CA84" si="34">AE87</f>
        <v>0</v>
      </c>
      <c r="AG84" s="643">
        <f t="shared" si="34"/>
        <v>0</v>
      </c>
      <c r="AH84" s="643">
        <f t="shared" si="34"/>
        <v>0</v>
      </c>
      <c r="AI84" s="643">
        <f t="shared" si="34"/>
        <v>0</v>
      </c>
      <c r="AJ84" s="643">
        <f t="shared" si="34"/>
        <v>0</v>
      </c>
      <c r="AK84" s="643">
        <f t="shared" si="34"/>
        <v>0</v>
      </c>
      <c r="AL84" s="643">
        <f t="shared" si="34"/>
        <v>0</v>
      </c>
      <c r="AM84" s="643">
        <f t="shared" si="34"/>
        <v>0</v>
      </c>
      <c r="AN84" s="643">
        <f t="shared" si="34"/>
        <v>0</v>
      </c>
      <c r="AO84" s="643">
        <f t="shared" si="34"/>
        <v>0</v>
      </c>
      <c r="AP84" s="643">
        <f t="shared" si="34"/>
        <v>0</v>
      </c>
      <c r="AQ84" s="643">
        <f t="shared" si="34"/>
        <v>0</v>
      </c>
      <c r="AR84" s="643">
        <f t="shared" si="34"/>
        <v>0</v>
      </c>
      <c r="AS84" s="643">
        <f t="shared" si="34"/>
        <v>0</v>
      </c>
      <c r="AT84" s="643">
        <f t="shared" si="34"/>
        <v>0</v>
      </c>
      <c r="AU84" s="643">
        <f t="shared" si="34"/>
        <v>0</v>
      </c>
      <c r="AV84" s="643">
        <f t="shared" si="34"/>
        <v>0</v>
      </c>
      <c r="AW84" s="643">
        <f t="shared" si="34"/>
        <v>0</v>
      </c>
      <c r="AX84" s="643">
        <f t="shared" si="34"/>
        <v>0</v>
      </c>
      <c r="AY84" s="643">
        <f t="shared" si="34"/>
        <v>0</v>
      </c>
      <c r="AZ84" s="643">
        <f t="shared" si="34"/>
        <v>0</v>
      </c>
      <c r="BA84" s="643">
        <f t="shared" si="34"/>
        <v>0</v>
      </c>
      <c r="BB84" s="643">
        <f t="shared" si="34"/>
        <v>0</v>
      </c>
      <c r="BC84" s="643">
        <f t="shared" si="34"/>
        <v>0</v>
      </c>
      <c r="BD84" s="643">
        <f t="shared" si="34"/>
        <v>0</v>
      </c>
      <c r="BE84" s="643">
        <f t="shared" si="34"/>
        <v>0</v>
      </c>
      <c r="BF84" s="643">
        <f t="shared" si="34"/>
        <v>0</v>
      </c>
      <c r="BG84" s="643">
        <f t="shared" si="34"/>
        <v>0</v>
      </c>
      <c r="BH84" s="643">
        <f t="shared" si="34"/>
        <v>0</v>
      </c>
      <c r="BI84" s="643">
        <f t="shared" si="34"/>
        <v>0</v>
      </c>
      <c r="BJ84" s="643">
        <f>BI87</f>
        <v>-300</v>
      </c>
      <c r="BK84" s="643">
        <f t="shared" si="34"/>
        <v>700</v>
      </c>
      <c r="BL84" s="643">
        <f t="shared" si="34"/>
        <v>700</v>
      </c>
      <c r="BM84" s="643">
        <f t="shared" si="34"/>
        <v>700</v>
      </c>
      <c r="BN84" s="643">
        <f t="shared" si="34"/>
        <v>700</v>
      </c>
      <c r="BO84" s="643">
        <f t="shared" si="34"/>
        <v>700</v>
      </c>
      <c r="BP84" s="643">
        <f t="shared" si="34"/>
        <v>1000000</v>
      </c>
      <c r="BQ84" s="643">
        <f t="shared" si="34"/>
        <v>1000000</v>
      </c>
      <c r="BR84" s="643">
        <f t="shared" si="34"/>
        <v>1000000</v>
      </c>
      <c r="BS84" s="643">
        <f t="shared" si="34"/>
        <v>1000000</v>
      </c>
      <c r="BT84" s="643">
        <f t="shared" si="34"/>
        <v>1000000</v>
      </c>
      <c r="BU84" s="643">
        <f t="shared" si="34"/>
        <v>1000000</v>
      </c>
      <c r="BV84" s="643">
        <f t="shared" si="34"/>
        <v>1000000</v>
      </c>
      <c r="BW84" s="643">
        <f t="shared" si="34"/>
        <v>1000000</v>
      </c>
      <c r="BX84" s="643">
        <f t="shared" si="34"/>
        <v>1000000</v>
      </c>
      <c r="BY84" s="643">
        <f t="shared" si="34"/>
        <v>1000000</v>
      </c>
      <c r="BZ84" s="643">
        <f t="shared" si="34"/>
        <v>985000</v>
      </c>
      <c r="CA84" s="643">
        <f t="shared" si="34"/>
        <v>970000</v>
      </c>
    </row>
    <row r="85" spans="2:79" outlineLevel="1">
      <c r="D85" s="455" t="s">
        <v>461</v>
      </c>
      <c r="E85" s="648"/>
      <c r="G85" s="359"/>
      <c r="H85" s="408">
        <f t="shared" ref="H85:K86" si="35">SUMIFS($AF85:$CA85,$AF$4:$CA$4,"&gt;="&amp;H$4,$AF$5:$CA$5,"&lt;="&amp;H$5)</f>
        <v>0</v>
      </c>
      <c r="I85" s="408">
        <f t="shared" si="35"/>
        <v>0</v>
      </c>
      <c r="J85" s="408">
        <f t="shared" si="35"/>
        <v>1029300</v>
      </c>
      <c r="K85" s="408">
        <f t="shared" si="35"/>
        <v>300000</v>
      </c>
      <c r="L85" s="643"/>
      <c r="M85" s="644"/>
      <c r="N85" s="408">
        <f t="shared" ref="N85:AC86" si="36">SUMIFS($AF85:$CA85,$AF$4:$CA$4,"&gt;="&amp;N$4,$AF$5:$CA$5,"&lt;="&amp;N$5)</f>
        <v>0</v>
      </c>
      <c r="O85" s="408">
        <f t="shared" si="36"/>
        <v>0</v>
      </c>
      <c r="P85" s="408">
        <f t="shared" si="36"/>
        <v>0</v>
      </c>
      <c r="Q85" s="408">
        <f t="shared" si="36"/>
        <v>0</v>
      </c>
      <c r="R85" s="408">
        <f t="shared" si="36"/>
        <v>0</v>
      </c>
      <c r="S85" s="408">
        <f t="shared" si="36"/>
        <v>0</v>
      </c>
      <c r="T85" s="408">
        <f t="shared" si="36"/>
        <v>0</v>
      </c>
      <c r="U85" s="408">
        <f t="shared" si="36"/>
        <v>0</v>
      </c>
      <c r="V85" s="408">
        <f t="shared" si="36"/>
        <v>0</v>
      </c>
      <c r="W85" s="408">
        <f t="shared" si="36"/>
        <v>0</v>
      </c>
      <c r="X85" s="408">
        <f t="shared" si="36"/>
        <v>0</v>
      </c>
      <c r="Y85" s="408">
        <f t="shared" si="36"/>
        <v>1029300</v>
      </c>
      <c r="Z85" s="408">
        <f t="shared" si="36"/>
        <v>90000</v>
      </c>
      <c r="AA85" s="408">
        <f t="shared" si="36"/>
        <v>90000</v>
      </c>
      <c r="AB85" s="408">
        <f t="shared" si="36"/>
        <v>90000</v>
      </c>
      <c r="AC85" s="408">
        <f t="shared" si="36"/>
        <v>30000</v>
      </c>
      <c r="AF85" s="661">
        <f t="shared" ref="AF85:BN85" si="37">AF31+AF81</f>
        <v>0</v>
      </c>
      <c r="AG85" s="661">
        <f t="shared" si="37"/>
        <v>0</v>
      </c>
      <c r="AH85" s="661">
        <f t="shared" si="37"/>
        <v>0</v>
      </c>
      <c r="AI85" s="661">
        <f t="shared" si="37"/>
        <v>0</v>
      </c>
      <c r="AJ85" s="661">
        <f t="shared" si="37"/>
        <v>0</v>
      </c>
      <c r="AK85" s="661">
        <f t="shared" si="37"/>
        <v>0</v>
      </c>
      <c r="AL85" s="661">
        <f t="shared" si="37"/>
        <v>0</v>
      </c>
      <c r="AM85" s="661">
        <f t="shared" si="37"/>
        <v>0</v>
      </c>
      <c r="AN85" s="661">
        <f t="shared" si="37"/>
        <v>0</v>
      </c>
      <c r="AO85" s="661">
        <f t="shared" si="37"/>
        <v>0</v>
      </c>
      <c r="AP85" s="661">
        <f t="shared" si="37"/>
        <v>0</v>
      </c>
      <c r="AQ85" s="661">
        <f t="shared" si="37"/>
        <v>0</v>
      </c>
      <c r="AR85" s="661">
        <f t="shared" si="37"/>
        <v>0</v>
      </c>
      <c r="AS85" s="661">
        <f t="shared" si="37"/>
        <v>0</v>
      </c>
      <c r="AT85" s="661">
        <f t="shared" si="37"/>
        <v>0</v>
      </c>
      <c r="AU85" s="661">
        <f t="shared" si="37"/>
        <v>0</v>
      </c>
      <c r="AV85" s="661">
        <f t="shared" si="37"/>
        <v>0</v>
      </c>
      <c r="AW85" s="661">
        <f t="shared" si="37"/>
        <v>0</v>
      </c>
      <c r="AX85" s="661">
        <f t="shared" si="37"/>
        <v>0</v>
      </c>
      <c r="AY85" s="661">
        <f t="shared" si="37"/>
        <v>0</v>
      </c>
      <c r="AZ85" s="661">
        <f t="shared" si="37"/>
        <v>0</v>
      </c>
      <c r="BA85" s="661">
        <f t="shared" si="37"/>
        <v>0</v>
      </c>
      <c r="BB85" s="661">
        <f t="shared" si="37"/>
        <v>0</v>
      </c>
      <c r="BC85" s="661">
        <f t="shared" si="37"/>
        <v>0</v>
      </c>
      <c r="BD85" s="661">
        <f t="shared" si="37"/>
        <v>0</v>
      </c>
      <c r="BE85" s="661">
        <f t="shared" si="37"/>
        <v>0</v>
      </c>
      <c r="BF85" s="661">
        <f t="shared" si="37"/>
        <v>0</v>
      </c>
      <c r="BG85" s="661">
        <f t="shared" si="37"/>
        <v>0</v>
      </c>
      <c r="BH85" s="661">
        <f t="shared" si="37"/>
        <v>0</v>
      </c>
      <c r="BI85" s="661">
        <f t="shared" si="37"/>
        <v>0</v>
      </c>
      <c r="BJ85" s="661">
        <f t="shared" si="37"/>
        <v>0</v>
      </c>
      <c r="BK85" s="661">
        <f t="shared" si="37"/>
        <v>0</v>
      </c>
      <c r="BL85" s="661">
        <f t="shared" si="37"/>
        <v>0</v>
      </c>
      <c r="BM85" s="661">
        <f t="shared" si="37"/>
        <v>0</v>
      </c>
      <c r="BN85" s="661">
        <f t="shared" si="37"/>
        <v>0</v>
      </c>
      <c r="BO85" s="661">
        <f>BO31+BO81</f>
        <v>1029300</v>
      </c>
      <c r="BP85" s="661">
        <f t="shared" ref="BP85:CA85" si="38">BP31+BP81</f>
        <v>30000</v>
      </c>
      <c r="BQ85" s="661">
        <f t="shared" si="38"/>
        <v>30000</v>
      </c>
      <c r="BR85" s="661">
        <f t="shared" si="38"/>
        <v>30000</v>
      </c>
      <c r="BS85" s="661">
        <f t="shared" si="38"/>
        <v>30000</v>
      </c>
      <c r="BT85" s="661">
        <f t="shared" si="38"/>
        <v>30000</v>
      </c>
      <c r="BU85" s="661">
        <f t="shared" si="38"/>
        <v>30000</v>
      </c>
      <c r="BV85" s="661">
        <f t="shared" si="38"/>
        <v>30000</v>
      </c>
      <c r="BW85" s="661">
        <f t="shared" si="38"/>
        <v>30000</v>
      </c>
      <c r="BX85" s="661">
        <f t="shared" si="38"/>
        <v>30000</v>
      </c>
      <c r="BY85" s="661">
        <f t="shared" si="38"/>
        <v>15000</v>
      </c>
      <c r="BZ85" s="661">
        <f t="shared" si="38"/>
        <v>15000</v>
      </c>
      <c r="CA85" s="661">
        <f t="shared" si="38"/>
        <v>0</v>
      </c>
    </row>
    <row r="86" spans="2:79" outlineLevel="1">
      <c r="D86" s="455" t="s">
        <v>462</v>
      </c>
      <c r="E86" s="648"/>
      <c r="G86" s="359"/>
      <c r="H86" s="408">
        <f t="shared" si="35"/>
        <v>0</v>
      </c>
      <c r="I86" s="408">
        <f t="shared" si="35"/>
        <v>0</v>
      </c>
      <c r="J86" s="408">
        <f t="shared" si="35"/>
        <v>30000</v>
      </c>
      <c r="K86" s="408">
        <f t="shared" si="35"/>
        <v>360000</v>
      </c>
      <c r="L86" s="643"/>
      <c r="M86" s="644"/>
      <c r="N86" s="408">
        <f t="shared" si="36"/>
        <v>0</v>
      </c>
      <c r="O86" s="408">
        <f t="shared" si="36"/>
        <v>0</v>
      </c>
      <c r="P86" s="408">
        <f t="shared" si="36"/>
        <v>0</v>
      </c>
      <c r="Q86" s="408">
        <f t="shared" si="36"/>
        <v>0</v>
      </c>
      <c r="R86" s="408">
        <f t="shared" si="36"/>
        <v>0</v>
      </c>
      <c r="S86" s="408">
        <f t="shared" si="36"/>
        <v>0</v>
      </c>
      <c r="T86" s="408">
        <f t="shared" si="36"/>
        <v>0</v>
      </c>
      <c r="U86" s="408">
        <f t="shared" si="36"/>
        <v>0</v>
      </c>
      <c r="V86" s="408">
        <f t="shared" si="36"/>
        <v>0</v>
      </c>
      <c r="W86" s="408">
        <f t="shared" si="36"/>
        <v>0</v>
      </c>
      <c r="X86" s="408">
        <f t="shared" si="36"/>
        <v>0</v>
      </c>
      <c r="Y86" s="408">
        <f t="shared" si="36"/>
        <v>30000</v>
      </c>
      <c r="Z86" s="408">
        <f t="shared" si="36"/>
        <v>90000</v>
      </c>
      <c r="AA86" s="408">
        <f t="shared" si="36"/>
        <v>90000</v>
      </c>
      <c r="AB86" s="408">
        <f t="shared" si="36"/>
        <v>90000</v>
      </c>
      <c r="AC86" s="408">
        <f t="shared" si="36"/>
        <v>90000</v>
      </c>
      <c r="AF86" s="662">
        <f t="shared" ref="AF86:CA86" si="39">AF28</f>
        <v>0</v>
      </c>
      <c r="AG86" s="662">
        <f t="shared" si="39"/>
        <v>0</v>
      </c>
      <c r="AH86" s="662">
        <f t="shared" si="39"/>
        <v>0</v>
      </c>
      <c r="AI86" s="662">
        <f t="shared" si="39"/>
        <v>0</v>
      </c>
      <c r="AJ86" s="662">
        <f t="shared" si="39"/>
        <v>0</v>
      </c>
      <c r="AK86" s="662">
        <f t="shared" si="39"/>
        <v>0</v>
      </c>
      <c r="AL86" s="662">
        <f t="shared" si="39"/>
        <v>0</v>
      </c>
      <c r="AM86" s="662">
        <f t="shared" si="39"/>
        <v>0</v>
      </c>
      <c r="AN86" s="662">
        <f t="shared" si="39"/>
        <v>0</v>
      </c>
      <c r="AO86" s="662">
        <f t="shared" si="39"/>
        <v>0</v>
      </c>
      <c r="AP86" s="662">
        <f t="shared" si="39"/>
        <v>0</v>
      </c>
      <c r="AQ86" s="662">
        <f t="shared" si="39"/>
        <v>0</v>
      </c>
      <c r="AR86" s="662">
        <f t="shared" si="39"/>
        <v>0</v>
      </c>
      <c r="AS86" s="662">
        <f t="shared" si="39"/>
        <v>0</v>
      </c>
      <c r="AT86" s="662">
        <f t="shared" si="39"/>
        <v>0</v>
      </c>
      <c r="AU86" s="662">
        <f t="shared" si="39"/>
        <v>0</v>
      </c>
      <c r="AV86" s="662">
        <f t="shared" si="39"/>
        <v>0</v>
      </c>
      <c r="AW86" s="662">
        <f t="shared" si="39"/>
        <v>0</v>
      </c>
      <c r="AX86" s="662">
        <f t="shared" si="39"/>
        <v>0</v>
      </c>
      <c r="AY86" s="662">
        <f t="shared" si="39"/>
        <v>0</v>
      </c>
      <c r="AZ86" s="662">
        <f t="shared" si="39"/>
        <v>0</v>
      </c>
      <c r="BA86" s="662">
        <f t="shared" si="39"/>
        <v>0</v>
      </c>
      <c r="BB86" s="662">
        <f t="shared" si="39"/>
        <v>0</v>
      </c>
      <c r="BC86" s="662">
        <f t="shared" si="39"/>
        <v>0</v>
      </c>
      <c r="BD86" s="662">
        <f t="shared" si="39"/>
        <v>0</v>
      </c>
      <c r="BE86" s="662">
        <f t="shared" si="39"/>
        <v>0</v>
      </c>
      <c r="BF86" s="662">
        <f t="shared" si="39"/>
        <v>0</v>
      </c>
      <c r="BG86" s="662">
        <f t="shared" si="39"/>
        <v>0</v>
      </c>
      <c r="BH86" s="662">
        <f t="shared" si="39"/>
        <v>0</v>
      </c>
      <c r="BI86" s="662">
        <f t="shared" si="39"/>
        <v>0</v>
      </c>
      <c r="BJ86" s="662">
        <f t="shared" si="39"/>
        <v>0</v>
      </c>
      <c r="BK86" s="662">
        <f t="shared" si="39"/>
        <v>0</v>
      </c>
      <c r="BL86" s="662">
        <f t="shared" si="39"/>
        <v>0</v>
      </c>
      <c r="BM86" s="662">
        <f t="shared" si="39"/>
        <v>0</v>
      </c>
      <c r="BN86" s="662">
        <f t="shared" si="39"/>
        <v>0</v>
      </c>
      <c r="BO86" s="662">
        <f t="shared" si="39"/>
        <v>30000</v>
      </c>
      <c r="BP86" s="662">
        <f t="shared" si="39"/>
        <v>30000</v>
      </c>
      <c r="BQ86" s="662">
        <f t="shared" si="39"/>
        <v>30000</v>
      </c>
      <c r="BR86" s="662">
        <f t="shared" si="39"/>
        <v>30000</v>
      </c>
      <c r="BS86" s="662">
        <f t="shared" si="39"/>
        <v>30000</v>
      </c>
      <c r="BT86" s="662">
        <f t="shared" si="39"/>
        <v>30000</v>
      </c>
      <c r="BU86" s="662">
        <f t="shared" si="39"/>
        <v>30000</v>
      </c>
      <c r="BV86" s="662">
        <f t="shared" si="39"/>
        <v>30000</v>
      </c>
      <c r="BW86" s="662">
        <f t="shared" si="39"/>
        <v>30000</v>
      </c>
      <c r="BX86" s="662">
        <f t="shared" si="39"/>
        <v>30000</v>
      </c>
      <c r="BY86" s="662">
        <f t="shared" si="39"/>
        <v>30000</v>
      </c>
      <c r="BZ86" s="662">
        <f t="shared" si="39"/>
        <v>30000</v>
      </c>
      <c r="CA86" s="662">
        <f t="shared" si="39"/>
        <v>30000</v>
      </c>
    </row>
    <row r="87" spans="2:79" s="357" customFormat="1" outlineLevel="1">
      <c r="B87" s="356"/>
      <c r="C87" s="355"/>
      <c r="D87" s="357" t="s">
        <v>426</v>
      </c>
      <c r="G87" s="432"/>
      <c r="H87" s="535">
        <f>INDEX($AF87:$CA87,MATCH(H$5,$AF$5:$CA$5,0))</f>
        <v>0</v>
      </c>
      <c r="I87" s="535">
        <f>INDEX($AF87:$CA87,MATCH(I$5,$AF$5:$CA$5,0))</f>
        <v>0</v>
      </c>
      <c r="J87" s="535">
        <f>INDEX($AF87:$CA87,MATCH(J$5,$AF$5:$CA$5,0))</f>
        <v>1000000</v>
      </c>
      <c r="K87" s="535">
        <f>INDEX($AF87:$CA87,MATCH(K$5,$AF$5:$CA$5,0))</f>
        <v>940000</v>
      </c>
      <c r="M87" s="432"/>
      <c r="N87" s="535">
        <f t="shared" ref="N87:AC87" si="40">INDEX($AF87:$CA87,MATCH(N$5,$AF$5:$CA$5,0))</f>
        <v>0</v>
      </c>
      <c r="O87" s="535">
        <f t="shared" si="40"/>
        <v>0</v>
      </c>
      <c r="P87" s="535">
        <f t="shared" si="40"/>
        <v>0</v>
      </c>
      <c r="Q87" s="535">
        <f t="shared" si="40"/>
        <v>0</v>
      </c>
      <c r="R87" s="535">
        <f t="shared" si="40"/>
        <v>0</v>
      </c>
      <c r="S87" s="535">
        <f t="shared" si="40"/>
        <v>0</v>
      </c>
      <c r="T87" s="535">
        <f t="shared" si="40"/>
        <v>0</v>
      </c>
      <c r="U87" s="535">
        <f t="shared" si="40"/>
        <v>0</v>
      </c>
      <c r="V87" s="535">
        <f t="shared" si="40"/>
        <v>0</v>
      </c>
      <c r="W87" s="535">
        <f t="shared" si="40"/>
        <v>-300</v>
      </c>
      <c r="X87" s="535">
        <f t="shared" si="40"/>
        <v>700</v>
      </c>
      <c r="Y87" s="535">
        <f t="shared" si="40"/>
        <v>1000000</v>
      </c>
      <c r="Z87" s="535">
        <f t="shared" si="40"/>
        <v>1000000</v>
      </c>
      <c r="AA87" s="535">
        <f t="shared" si="40"/>
        <v>1000000</v>
      </c>
      <c r="AB87" s="535">
        <f t="shared" si="40"/>
        <v>1000000</v>
      </c>
      <c r="AC87" s="535">
        <f t="shared" si="40"/>
        <v>940000</v>
      </c>
      <c r="AE87" s="432"/>
      <c r="AF87" s="483">
        <f>IF(AF$8&lt;=LatestMonthOfActuals,AF91,AF84+AF85-AF86)</f>
        <v>0</v>
      </c>
      <c r="AG87" s="483">
        <f t="shared" ref="AG87:CA87" si="41">IF(AG$8&lt;=LatestMonthOfActuals,AG91,AG84+AG85-AG86)</f>
        <v>0</v>
      </c>
      <c r="AH87" s="483">
        <f t="shared" si="41"/>
        <v>0</v>
      </c>
      <c r="AI87" s="483">
        <f t="shared" si="41"/>
        <v>0</v>
      </c>
      <c r="AJ87" s="483">
        <f t="shared" si="41"/>
        <v>0</v>
      </c>
      <c r="AK87" s="483">
        <f t="shared" si="41"/>
        <v>0</v>
      </c>
      <c r="AL87" s="483">
        <f t="shared" si="41"/>
        <v>0</v>
      </c>
      <c r="AM87" s="483">
        <f t="shared" si="41"/>
        <v>0</v>
      </c>
      <c r="AN87" s="483">
        <f t="shared" si="41"/>
        <v>0</v>
      </c>
      <c r="AO87" s="483">
        <f t="shared" si="41"/>
        <v>0</v>
      </c>
      <c r="AP87" s="483">
        <f t="shared" si="41"/>
        <v>0</v>
      </c>
      <c r="AQ87" s="483">
        <f t="shared" si="41"/>
        <v>0</v>
      </c>
      <c r="AR87" s="483">
        <f t="shared" si="41"/>
        <v>0</v>
      </c>
      <c r="AS87" s="483">
        <f t="shared" si="41"/>
        <v>0</v>
      </c>
      <c r="AT87" s="483">
        <f t="shared" si="41"/>
        <v>0</v>
      </c>
      <c r="AU87" s="483">
        <f t="shared" si="41"/>
        <v>0</v>
      </c>
      <c r="AV87" s="483">
        <f t="shared" si="41"/>
        <v>0</v>
      </c>
      <c r="AW87" s="483">
        <f t="shared" si="41"/>
        <v>0</v>
      </c>
      <c r="AX87" s="483">
        <f t="shared" si="41"/>
        <v>0</v>
      </c>
      <c r="AY87" s="483">
        <f t="shared" si="41"/>
        <v>0</v>
      </c>
      <c r="AZ87" s="483">
        <f t="shared" si="41"/>
        <v>0</v>
      </c>
      <c r="BA87" s="483">
        <f t="shared" si="41"/>
        <v>0</v>
      </c>
      <c r="BB87" s="483">
        <f t="shared" si="41"/>
        <v>0</v>
      </c>
      <c r="BC87" s="483">
        <f t="shared" si="41"/>
        <v>0</v>
      </c>
      <c r="BD87" s="483">
        <f t="shared" si="41"/>
        <v>0</v>
      </c>
      <c r="BE87" s="483">
        <f t="shared" si="41"/>
        <v>0</v>
      </c>
      <c r="BF87" s="483">
        <f t="shared" si="41"/>
        <v>0</v>
      </c>
      <c r="BG87" s="483">
        <f t="shared" si="41"/>
        <v>0</v>
      </c>
      <c r="BH87" s="483">
        <f t="shared" si="41"/>
        <v>0</v>
      </c>
      <c r="BI87" s="483">
        <f>IF(BI$8&lt;=LatestMonthOfActuals,BI91,BI84+BI85-BI86)</f>
        <v>-300</v>
      </c>
      <c r="BJ87" s="483">
        <f t="shared" si="41"/>
        <v>700</v>
      </c>
      <c r="BK87" s="483">
        <f t="shared" si="41"/>
        <v>700</v>
      </c>
      <c r="BL87" s="483">
        <f t="shared" si="41"/>
        <v>700</v>
      </c>
      <c r="BM87" s="483">
        <f t="shared" si="41"/>
        <v>700</v>
      </c>
      <c r="BN87" s="483">
        <f t="shared" si="41"/>
        <v>700</v>
      </c>
      <c r="BO87" s="483">
        <f t="shared" si="41"/>
        <v>1000000</v>
      </c>
      <c r="BP87" s="483">
        <f t="shared" si="41"/>
        <v>1000000</v>
      </c>
      <c r="BQ87" s="483">
        <f t="shared" si="41"/>
        <v>1000000</v>
      </c>
      <c r="BR87" s="483">
        <f t="shared" si="41"/>
        <v>1000000</v>
      </c>
      <c r="BS87" s="483">
        <f t="shared" si="41"/>
        <v>1000000</v>
      </c>
      <c r="BT87" s="483">
        <f t="shared" si="41"/>
        <v>1000000</v>
      </c>
      <c r="BU87" s="483">
        <f t="shared" si="41"/>
        <v>1000000</v>
      </c>
      <c r="BV87" s="483">
        <f t="shared" si="41"/>
        <v>1000000</v>
      </c>
      <c r="BW87" s="483">
        <f t="shared" si="41"/>
        <v>1000000</v>
      </c>
      <c r="BX87" s="483">
        <f t="shared" si="41"/>
        <v>1000000</v>
      </c>
      <c r="BY87" s="483">
        <f t="shared" si="41"/>
        <v>985000</v>
      </c>
      <c r="BZ87" s="483">
        <f t="shared" si="41"/>
        <v>970000</v>
      </c>
      <c r="CA87" s="483">
        <f t="shared" si="41"/>
        <v>940000</v>
      </c>
    </row>
    <row r="89" spans="2:79" s="51" customFormat="1" ht="24">
      <c r="B89" s="635" t="s">
        <v>49</v>
      </c>
      <c r="C89" s="475"/>
      <c r="D89" s="475"/>
      <c r="E89" s="632"/>
      <c r="F89" s="50"/>
      <c r="G89" s="359"/>
      <c r="H89" s="634"/>
      <c r="I89" s="634"/>
      <c r="J89" s="634"/>
      <c r="K89" s="634"/>
      <c r="L89" s="50"/>
      <c r="M89" s="359"/>
      <c r="N89" s="634"/>
      <c r="O89" s="634"/>
      <c r="P89" s="634"/>
      <c r="Q89" s="634"/>
      <c r="R89" s="634"/>
      <c r="S89" s="634"/>
      <c r="T89" s="634"/>
      <c r="U89" s="634"/>
      <c r="V89" s="634"/>
      <c r="W89" s="634"/>
      <c r="X89" s="634"/>
      <c r="Y89" s="634"/>
      <c r="Z89" s="634"/>
      <c r="AA89" s="634"/>
      <c r="AB89" s="634"/>
      <c r="AC89" s="634"/>
      <c r="AD89" s="50"/>
      <c r="AE89" s="359"/>
      <c r="AF89" s="634"/>
      <c r="AG89" s="634"/>
      <c r="AH89" s="634"/>
      <c r="AI89" s="634"/>
      <c r="AJ89" s="634"/>
      <c r="AK89" s="634"/>
      <c r="AL89" s="634"/>
      <c r="AM89" s="634"/>
      <c r="AN89" s="634"/>
      <c r="AO89" s="634"/>
      <c r="AP89" s="634"/>
      <c r="AQ89" s="634"/>
      <c r="AR89" s="634"/>
      <c r="AS89" s="634"/>
      <c r="AT89" s="634"/>
      <c r="AU89" s="634"/>
      <c r="AV89" s="634"/>
      <c r="AW89" s="634"/>
      <c r="AX89" s="634"/>
      <c r="AY89" s="634"/>
      <c r="AZ89" s="634"/>
      <c r="BA89" s="634"/>
      <c r="BB89" s="634"/>
      <c r="BC89" s="634"/>
      <c r="BD89" s="634"/>
      <c r="BE89" s="634"/>
      <c r="BF89" s="634"/>
      <c r="BG89" s="634"/>
      <c r="BH89" s="634"/>
      <c r="BI89" s="634"/>
      <c r="BJ89" s="634"/>
      <c r="BK89" s="634"/>
      <c r="BL89" s="634"/>
      <c r="BM89" s="634"/>
      <c r="BN89" s="634"/>
      <c r="BO89" s="634"/>
      <c r="BP89" s="634"/>
      <c r="BQ89" s="634"/>
      <c r="BR89" s="634"/>
      <c r="BS89" s="634"/>
      <c r="BT89" s="634"/>
      <c r="BU89" s="634"/>
      <c r="BV89" s="634"/>
      <c r="BW89" s="634"/>
      <c r="BX89" s="634"/>
      <c r="BY89" s="634"/>
      <c r="BZ89" s="634"/>
      <c r="CA89" s="634"/>
    </row>
    <row r="90" spans="2:79">
      <c r="D90" s="50" t="s">
        <v>80</v>
      </c>
      <c r="E90" s="421">
        <v>24</v>
      </c>
      <c r="H90" s="408">
        <f>SUMIFS($AF90:$CA90,$AF$4:$CA$4,"&gt;="&amp;H$4,$AF$5:$CA$5,"&lt;="&amp;H$5)</f>
        <v>0</v>
      </c>
      <c r="I90" s="408">
        <f>SUMIFS($AF90:$CA90,$AF$4:$CA$4,"&gt;="&amp;I$4,$AF$5:$CA$5,"&lt;="&amp;I$5)</f>
        <v>0</v>
      </c>
      <c r="J90" s="408">
        <f>SUMIFS($AF90:$CA90,$AF$4:$CA$4,"&gt;="&amp;J$4,$AF$5:$CA$5,"&lt;="&amp;J$5)</f>
        <v>30300</v>
      </c>
      <c r="K90" s="408">
        <f>SUMIFS($AF90:$CA90,$AF$4:$CA$4,"&gt;="&amp;K$4,$AF$5:$CA$5,"&lt;="&amp;K$5)</f>
        <v>360000</v>
      </c>
      <c r="L90" s="643"/>
      <c r="M90" s="644"/>
      <c r="N90" s="408">
        <f t="shared" ref="N90:AC90" si="42">SUMIFS($AF90:$CA90,$AF$4:$CA$4,"&gt;="&amp;N$4,$AF$5:$CA$5,"&lt;="&amp;N$5)</f>
        <v>0</v>
      </c>
      <c r="O90" s="408">
        <f t="shared" si="42"/>
        <v>0</v>
      </c>
      <c r="P90" s="408">
        <f t="shared" si="42"/>
        <v>0</v>
      </c>
      <c r="Q90" s="408">
        <f t="shared" si="42"/>
        <v>0</v>
      </c>
      <c r="R90" s="408">
        <f t="shared" si="42"/>
        <v>0</v>
      </c>
      <c r="S90" s="408">
        <f t="shared" si="42"/>
        <v>0</v>
      </c>
      <c r="T90" s="408">
        <f t="shared" si="42"/>
        <v>0</v>
      </c>
      <c r="U90" s="408">
        <f t="shared" si="42"/>
        <v>0</v>
      </c>
      <c r="V90" s="408">
        <f t="shared" si="42"/>
        <v>0</v>
      </c>
      <c r="W90" s="408">
        <f t="shared" si="42"/>
        <v>300</v>
      </c>
      <c r="X90" s="408">
        <f t="shared" si="42"/>
        <v>0</v>
      </c>
      <c r="Y90" s="408">
        <f t="shared" si="42"/>
        <v>30000</v>
      </c>
      <c r="Z90" s="408">
        <f t="shared" si="42"/>
        <v>90000</v>
      </c>
      <c r="AA90" s="408">
        <f t="shared" si="42"/>
        <v>90000</v>
      </c>
      <c r="AB90" s="408">
        <f t="shared" si="42"/>
        <v>90000</v>
      </c>
      <c r="AC90" s="408">
        <f t="shared" si="42"/>
        <v>90000</v>
      </c>
      <c r="AF90" s="433">
        <f>SUMIFS('Data Summary'!M$38:M$74,dataGLPLAcctIDs,$E$90)</f>
        <v>0</v>
      </c>
      <c r="AG90" s="433">
        <f>SUMIFS('Data Summary'!N$38:N$74,dataGLPLAcctIDs,$E$90)</f>
        <v>0</v>
      </c>
      <c r="AH90" s="433">
        <f>SUMIFS('Data Summary'!O$38:O$74,dataGLPLAcctIDs,$E$90)</f>
        <v>0</v>
      </c>
      <c r="AI90" s="433">
        <f>SUMIFS('Data Summary'!P$38:P$74,dataGLPLAcctIDs,$E$90)</f>
        <v>0</v>
      </c>
      <c r="AJ90" s="433">
        <f>SUMIFS('Data Summary'!Q$38:Q$74,dataGLPLAcctIDs,$E$90)</f>
        <v>0</v>
      </c>
      <c r="AK90" s="433">
        <f>SUMIFS('Data Summary'!R$38:R$74,dataGLPLAcctIDs,$E$90)</f>
        <v>0</v>
      </c>
      <c r="AL90" s="433">
        <f>SUMIFS('Data Summary'!S$38:S$74,dataGLPLAcctIDs,$E$90)</f>
        <v>0</v>
      </c>
      <c r="AM90" s="433">
        <f>SUMIFS('Data Summary'!T$38:T$74,dataGLPLAcctIDs,$E$90)</f>
        <v>0</v>
      </c>
      <c r="AN90" s="433">
        <f>SUMIFS('Data Summary'!U$38:U$74,dataGLPLAcctIDs,$E$90)</f>
        <v>0</v>
      </c>
      <c r="AO90" s="433">
        <f>SUMIFS('Data Summary'!V$38:V$74,dataGLPLAcctIDs,$E$90)</f>
        <v>0</v>
      </c>
      <c r="AP90" s="433">
        <f>SUMIFS('Data Summary'!W$38:W$74,dataGLPLAcctIDs,$E$90)</f>
        <v>0</v>
      </c>
      <c r="AQ90" s="433">
        <f>SUMIFS('Data Summary'!X$38:X$74,dataGLPLAcctIDs,$E$90)</f>
        <v>0</v>
      </c>
      <c r="AR90" s="433">
        <f>SUMIFS('Data Summary'!Y$38:Y$74,dataGLPLAcctIDs,$E$90)</f>
        <v>0</v>
      </c>
      <c r="AS90" s="433">
        <f>SUMIFS('Data Summary'!Z$38:Z$74,dataGLPLAcctIDs,$E$90)</f>
        <v>0</v>
      </c>
      <c r="AT90" s="433">
        <f>SUMIFS('Data Summary'!AA$38:AA$74,dataGLPLAcctIDs,$E$90)</f>
        <v>0</v>
      </c>
      <c r="AU90" s="433">
        <f>SUMIFS('Data Summary'!AB$38:AB$74,dataGLPLAcctIDs,$E$90)</f>
        <v>0</v>
      </c>
      <c r="AV90" s="433">
        <f>SUMIFS('Data Summary'!AC$38:AC$74,dataGLPLAcctIDs,$E$90)</f>
        <v>0</v>
      </c>
      <c r="AW90" s="433">
        <f>SUMIFS('Data Summary'!AD$38:AD$74,dataGLPLAcctIDs,$E$90)</f>
        <v>0</v>
      </c>
      <c r="AX90" s="433">
        <f>SUMIFS('Data Summary'!AE$38:AE$74,dataGLPLAcctIDs,$E$90)</f>
        <v>0</v>
      </c>
      <c r="AY90" s="433">
        <f>SUMIFS('Data Summary'!AF$38:AF$74,dataGLPLAcctIDs,$E$90)</f>
        <v>0</v>
      </c>
      <c r="AZ90" s="433">
        <f>SUMIFS('Data Summary'!AG$38:AG$74,dataGLPLAcctIDs,$E$90)</f>
        <v>0</v>
      </c>
      <c r="BA90" s="433">
        <f>SUMIFS('Data Summary'!AH$38:AH$74,dataGLPLAcctIDs,$E$90)</f>
        <v>0</v>
      </c>
      <c r="BB90" s="433">
        <f>SUMIFS('Data Summary'!AI$38:AI$74,dataGLPLAcctIDs,$E$90)</f>
        <v>0</v>
      </c>
      <c r="BC90" s="433">
        <f>SUMIFS('Data Summary'!AJ$38:AJ$74,dataGLPLAcctIDs,$E$90)</f>
        <v>0</v>
      </c>
      <c r="BD90" s="433">
        <f>SUMIFS('Data Summary'!AK$38:AK$74,dataGLPLAcctIDs,$E$90)</f>
        <v>0</v>
      </c>
      <c r="BE90" s="433">
        <f>SUMIFS('Data Summary'!AL$38:AL$74,dataGLPLAcctIDs,$E$90)</f>
        <v>0</v>
      </c>
      <c r="BF90" s="433">
        <f>SUMIFS('Data Summary'!AM$38:AM$74,dataGLPLAcctIDs,$E$90)</f>
        <v>0</v>
      </c>
      <c r="BG90" s="433">
        <f>SUMIFS('Data Summary'!AN$38:AN$74,dataGLPLAcctIDs,$E$90)</f>
        <v>0</v>
      </c>
      <c r="BH90" s="433">
        <f>SUMIFS('Data Summary'!AO$38:AO$74,dataGLPLAcctIDs,$E$90)</f>
        <v>0</v>
      </c>
      <c r="BI90" s="433">
        <f>SUMIFS('Data Summary'!AP$38:AP$74,dataGLPLAcctIDs,$E$90)</f>
        <v>300</v>
      </c>
      <c r="BJ90" s="433">
        <f>SUMIFS('Data Summary'!AQ$38:AQ$74,dataGLPLAcctIDs,$E$90)</f>
        <v>0</v>
      </c>
      <c r="BK90" s="433">
        <f>SUMIFS('Data Summary'!AR$38:AR$74,dataGLPLAcctIDs,$E$90)</f>
        <v>0</v>
      </c>
      <c r="BL90" s="433">
        <f>SUMIFS('Data Summary'!AS$38:AS$74,dataGLPLAcctIDs,$E$90)</f>
        <v>0</v>
      </c>
      <c r="BM90" s="433">
        <f>SUMIFS('Data Summary'!AT$38:AT$74,dataGLPLAcctIDs,$E$90)</f>
        <v>0</v>
      </c>
      <c r="BN90" s="433">
        <f>SUMIFS('Data Summary'!AU$38:AU$74,dataGLPLAcctIDs,$E$90)</f>
        <v>0</v>
      </c>
      <c r="BO90" s="433">
        <f>SUMIFS('Data Summary'!AV$38:AV$74,dataGLPLAcctIDs,$E$90)</f>
        <v>30000</v>
      </c>
      <c r="BP90" s="433">
        <f>SUMIFS('Data Summary'!AW$38:AW$74,dataGLPLAcctIDs,$E$90)</f>
        <v>30000</v>
      </c>
      <c r="BQ90" s="433">
        <f>SUMIFS('Data Summary'!AX$38:AX$74,dataGLPLAcctIDs,$E$90)</f>
        <v>30000</v>
      </c>
      <c r="BR90" s="433">
        <f>SUMIFS('Data Summary'!AY$38:AY$74,dataGLPLAcctIDs,$E$90)</f>
        <v>30000</v>
      </c>
      <c r="BS90" s="433">
        <f>SUMIFS('Data Summary'!AZ$38:AZ$74,dataGLPLAcctIDs,$E$90)</f>
        <v>30000</v>
      </c>
      <c r="BT90" s="433">
        <f>SUMIFS('Data Summary'!BA$38:BA$74,dataGLPLAcctIDs,$E$90)</f>
        <v>30000</v>
      </c>
      <c r="BU90" s="433">
        <f>SUMIFS('Data Summary'!BB$38:BB$74,dataGLPLAcctIDs,$E$90)</f>
        <v>30000</v>
      </c>
      <c r="BV90" s="433">
        <f>SUMIFS('Data Summary'!BC$38:BC$74,dataGLPLAcctIDs,$E$90)</f>
        <v>30000</v>
      </c>
      <c r="BW90" s="433">
        <f>SUMIFS('Data Summary'!BD$38:BD$74,dataGLPLAcctIDs,$E$90)</f>
        <v>30000</v>
      </c>
      <c r="BX90" s="433">
        <f>SUMIFS('Data Summary'!BE$38:BE$74,dataGLPLAcctIDs,$E$90)</f>
        <v>30000</v>
      </c>
      <c r="BY90" s="433">
        <f>SUMIFS('Data Summary'!BF$38:BF$74,dataGLPLAcctIDs,$E$90)</f>
        <v>30000</v>
      </c>
      <c r="BZ90" s="433">
        <f>SUMIFS('Data Summary'!BG$38:BG$74,dataGLPLAcctIDs,$E$90)</f>
        <v>30000</v>
      </c>
      <c r="CA90" s="433">
        <f>SUMIFS('Data Summary'!BH$38:BH$74,dataGLPLAcctIDs,$E$90)</f>
        <v>30000</v>
      </c>
    </row>
    <row r="91" spans="2:79">
      <c r="D91" s="50" t="s">
        <v>463</v>
      </c>
      <c r="E91" s="421">
        <v>42</v>
      </c>
      <c r="H91" s="535">
        <f>INDEX($AF91:$CA91,MATCH(H$5,$AF$5:$CA$5,0))</f>
        <v>0</v>
      </c>
      <c r="I91" s="535">
        <f>INDEX($AF91:$CA91,MATCH(I$5,$AF$5:$CA$5,0))</f>
        <v>0</v>
      </c>
      <c r="J91" s="535">
        <f>INDEX($AF91:$CA91,MATCH(J$5,$AF$5:$CA$5,0))</f>
        <v>1000000</v>
      </c>
      <c r="K91" s="535">
        <f>INDEX($AF91:$CA91,MATCH(K$5,$AF$5:$CA$5,0))</f>
        <v>940000</v>
      </c>
      <c r="L91" s="357"/>
      <c r="M91" s="432"/>
      <c r="N91" s="535">
        <f t="shared" ref="N91:AC91" si="43">INDEX($AF91:$CA91,MATCH(N$5,$AF$5:$CA$5,0))</f>
        <v>0</v>
      </c>
      <c r="O91" s="535">
        <f t="shared" si="43"/>
        <v>0</v>
      </c>
      <c r="P91" s="535">
        <f t="shared" si="43"/>
        <v>0</v>
      </c>
      <c r="Q91" s="535">
        <f t="shared" si="43"/>
        <v>0</v>
      </c>
      <c r="R91" s="535">
        <f t="shared" si="43"/>
        <v>0</v>
      </c>
      <c r="S91" s="535">
        <f t="shared" si="43"/>
        <v>0</v>
      </c>
      <c r="T91" s="535">
        <f t="shared" si="43"/>
        <v>0</v>
      </c>
      <c r="U91" s="535">
        <f t="shared" si="43"/>
        <v>0</v>
      </c>
      <c r="V91" s="535">
        <f t="shared" si="43"/>
        <v>0</v>
      </c>
      <c r="W91" s="535">
        <f t="shared" si="43"/>
        <v>-300</v>
      </c>
      <c r="X91" s="535">
        <f t="shared" si="43"/>
        <v>700</v>
      </c>
      <c r="Y91" s="535">
        <f t="shared" si="43"/>
        <v>1000000</v>
      </c>
      <c r="Z91" s="535">
        <f t="shared" si="43"/>
        <v>1000000</v>
      </c>
      <c r="AA91" s="535">
        <f t="shared" si="43"/>
        <v>1000000</v>
      </c>
      <c r="AB91" s="535">
        <f t="shared" si="43"/>
        <v>1000000</v>
      </c>
      <c r="AC91" s="535">
        <f t="shared" si="43"/>
        <v>940000</v>
      </c>
      <c r="AF91" s="433">
        <f>IF(AF$8&lt;=LatestMonthOfActuals,SUMIFS('Data Summary'!M$77:M$105,dataGLBSAcctIDs,$E$91),AF87)</f>
        <v>0</v>
      </c>
      <c r="AG91" s="433">
        <f>IF(AG$8&lt;=LatestMonthOfActuals,SUMIFS('Data Summary'!N$77:N$105,dataGLBSAcctIDs,$E$91),AG87)</f>
        <v>0</v>
      </c>
      <c r="AH91" s="433">
        <f>IF(AH$8&lt;=LatestMonthOfActuals,SUMIFS('Data Summary'!O$77:O$105,dataGLBSAcctIDs,$E$91),AH87)</f>
        <v>0</v>
      </c>
      <c r="AI91" s="433">
        <f>IF(AI$8&lt;=LatestMonthOfActuals,SUMIFS('Data Summary'!P$77:P$105,dataGLBSAcctIDs,$E$91),AI87)</f>
        <v>0</v>
      </c>
      <c r="AJ91" s="433">
        <f>IF(AJ$8&lt;=LatestMonthOfActuals,SUMIFS('Data Summary'!Q$77:Q$105,dataGLBSAcctIDs,$E$91),AJ87)</f>
        <v>0</v>
      </c>
      <c r="AK91" s="433">
        <f>IF(AK$8&lt;=LatestMonthOfActuals,SUMIFS('Data Summary'!R$77:R$105,dataGLBSAcctIDs,$E$91),AK87)</f>
        <v>0</v>
      </c>
      <c r="AL91" s="433">
        <f>IF(AL$8&lt;=LatestMonthOfActuals,SUMIFS('Data Summary'!S$77:S$105,dataGLBSAcctIDs,$E$91),AL87)</f>
        <v>0</v>
      </c>
      <c r="AM91" s="433">
        <f>IF(AM$8&lt;=LatestMonthOfActuals,SUMIFS('Data Summary'!T$77:T$105,dataGLBSAcctIDs,$E$91),AM87)</f>
        <v>0</v>
      </c>
      <c r="AN91" s="433">
        <f>IF(AN$8&lt;=LatestMonthOfActuals,SUMIFS('Data Summary'!U$77:U$105,dataGLBSAcctIDs,$E$91),AN87)</f>
        <v>0</v>
      </c>
      <c r="AO91" s="433">
        <f>IF(AO$8&lt;=LatestMonthOfActuals,SUMIFS('Data Summary'!V$77:V$105,dataGLBSAcctIDs,$E$91),AO87)</f>
        <v>0</v>
      </c>
      <c r="AP91" s="433">
        <f>IF(AP$8&lt;=LatestMonthOfActuals,SUMIFS('Data Summary'!W$77:W$105,dataGLBSAcctIDs,$E$91),AP87)</f>
        <v>0</v>
      </c>
      <c r="AQ91" s="433">
        <f>IF(AQ$8&lt;=LatestMonthOfActuals,SUMIFS('Data Summary'!X$77:X$105,dataGLBSAcctIDs,$E$91),AQ87)</f>
        <v>0</v>
      </c>
      <c r="AR91" s="433">
        <f>IF(AR$8&lt;=LatestMonthOfActuals,SUMIFS('Data Summary'!Y$77:Y$105,dataGLBSAcctIDs,$E$91),AR87)</f>
        <v>0</v>
      </c>
      <c r="AS91" s="433">
        <f>IF(AS$8&lt;=LatestMonthOfActuals,SUMIFS('Data Summary'!Z$77:Z$105,dataGLBSAcctIDs,$E$91),AS87)</f>
        <v>0</v>
      </c>
      <c r="AT91" s="433">
        <f>IF(AT$8&lt;=LatestMonthOfActuals,SUMIFS('Data Summary'!AA$77:AA$105,dataGLBSAcctIDs,$E$91),AT87)</f>
        <v>0</v>
      </c>
      <c r="AU91" s="433">
        <f>IF(AU$8&lt;=LatestMonthOfActuals,SUMIFS('Data Summary'!AB$77:AB$105,dataGLBSAcctIDs,$E$91),AU87)</f>
        <v>0</v>
      </c>
      <c r="AV91" s="433">
        <f>IF(AV$8&lt;=LatestMonthOfActuals,SUMIFS('Data Summary'!AC$77:AC$105,dataGLBSAcctIDs,$E$91),AV87)</f>
        <v>0</v>
      </c>
      <c r="AW91" s="433">
        <f>IF(AW$8&lt;=LatestMonthOfActuals,SUMIFS('Data Summary'!AD$77:AD$105,dataGLBSAcctIDs,$E$91),AW87)</f>
        <v>0</v>
      </c>
      <c r="AX91" s="433">
        <f>IF(AX$8&lt;=LatestMonthOfActuals,SUMIFS('Data Summary'!AE$77:AE$105,dataGLBSAcctIDs,$E$91),AX87)</f>
        <v>0</v>
      </c>
      <c r="AY91" s="433">
        <f>IF(AY$8&lt;=LatestMonthOfActuals,SUMIFS('Data Summary'!AF$77:AF$105,dataGLBSAcctIDs,$E$91),AY87)</f>
        <v>0</v>
      </c>
      <c r="AZ91" s="433">
        <f>IF(AZ$8&lt;=LatestMonthOfActuals,SUMIFS('Data Summary'!AG$77:AG$105,dataGLBSAcctIDs,$E$91),AZ87)</f>
        <v>0</v>
      </c>
      <c r="BA91" s="433">
        <f>IF(BA$8&lt;=LatestMonthOfActuals,SUMIFS('Data Summary'!AH$77:AH$105,dataGLBSAcctIDs,$E$91),BA87)</f>
        <v>0</v>
      </c>
      <c r="BB91" s="433">
        <f>IF(BB$8&lt;=LatestMonthOfActuals,SUMIFS('Data Summary'!AI$77:AI$105,dataGLBSAcctIDs,$E$91),BB87)</f>
        <v>0</v>
      </c>
      <c r="BC91" s="433">
        <f>IF(BC$8&lt;=LatestMonthOfActuals,SUMIFS('Data Summary'!AJ$77:AJ$105,dataGLBSAcctIDs,$E$91),BC87)</f>
        <v>0</v>
      </c>
      <c r="BD91" s="433">
        <f>IF(BD$8&lt;=LatestMonthOfActuals,SUMIFS('Data Summary'!AK$77:AK$105,dataGLBSAcctIDs,$E$91),BD87)</f>
        <v>0</v>
      </c>
      <c r="BE91" s="433">
        <f>IF(BE$8&lt;=LatestMonthOfActuals,SUMIFS('Data Summary'!AL$77:AL$105,dataGLBSAcctIDs,$E$91),BE87)</f>
        <v>0</v>
      </c>
      <c r="BF91" s="433">
        <f>IF(BF$8&lt;=LatestMonthOfActuals,SUMIFS('Data Summary'!AM$77:AM$105,dataGLBSAcctIDs,$E$91),BF87)</f>
        <v>0</v>
      </c>
      <c r="BG91" s="433">
        <f>IF(BG$8&lt;=LatestMonthOfActuals,SUMIFS('Data Summary'!AN$77:AN$105,dataGLBSAcctIDs,$E$91),BG87)</f>
        <v>0</v>
      </c>
      <c r="BH91" s="433">
        <f>IF(BH$8&lt;=LatestMonthOfActuals,SUMIFS('Data Summary'!AO$77:AO$105,dataGLBSAcctIDs,$E$91),BH87)</f>
        <v>0</v>
      </c>
      <c r="BI91" s="433">
        <f>IF(BI$8&lt;=LatestMonthOfActuals,SUMIFS('Data Summary'!AP$77:AP$105,dataGLBSAcctIDs,$E$91),BI87)</f>
        <v>-300</v>
      </c>
      <c r="BJ91" s="433">
        <f>IF(BJ$8&lt;=LatestMonthOfActuals,SUMIFS('Data Summary'!AQ$77:AQ$105,dataGLBSAcctIDs,$E$91),BJ87)</f>
        <v>700</v>
      </c>
      <c r="BK91" s="433">
        <f>IF(BK$8&lt;=LatestMonthOfActuals,SUMIFS('Data Summary'!AR$77:AR$105,dataGLBSAcctIDs,$E$91),BK87)</f>
        <v>700</v>
      </c>
      <c r="BL91" s="433">
        <f>IF(BL$8&lt;=LatestMonthOfActuals,SUMIFS('Data Summary'!AS$77:AS$105,dataGLBSAcctIDs,$E$91),BL87)</f>
        <v>700</v>
      </c>
      <c r="BM91" s="433">
        <f>IF(BM$8&lt;=LatestMonthOfActuals,SUMIFS('Data Summary'!AT$77:AT$105,dataGLBSAcctIDs,$E$91),BM87)</f>
        <v>700</v>
      </c>
      <c r="BN91" s="433">
        <f>IF(BN$8&lt;=LatestMonthOfActuals,SUMIFS('Data Summary'!AU$77:AU$105,dataGLBSAcctIDs,$E$91),BN87)</f>
        <v>700</v>
      </c>
      <c r="BO91" s="433">
        <f>IF(BO$8&lt;=LatestMonthOfActuals,SUMIFS('Data Summary'!AV$77:AV$105,dataGLBSAcctIDs,$E$91),BO87)</f>
        <v>1000000</v>
      </c>
      <c r="BP91" s="433">
        <f>IF(BP$8&lt;=LatestMonthOfActuals,SUMIFS('Data Summary'!AW$77:AW$105,dataGLBSAcctIDs,$E$91),BP87)</f>
        <v>1000000</v>
      </c>
      <c r="BQ91" s="433">
        <f>IF(BQ$8&lt;=LatestMonthOfActuals,SUMIFS('Data Summary'!AX$77:AX$105,dataGLBSAcctIDs,$E$91),BQ87)</f>
        <v>1000000</v>
      </c>
      <c r="BR91" s="433">
        <f>IF(BR$8&lt;=LatestMonthOfActuals,SUMIFS('Data Summary'!AY$77:AY$105,dataGLBSAcctIDs,$E$91),BR87)</f>
        <v>1000000</v>
      </c>
      <c r="BS91" s="433">
        <f>IF(BS$8&lt;=LatestMonthOfActuals,SUMIFS('Data Summary'!AZ$77:AZ$105,dataGLBSAcctIDs,$E$91),BS87)</f>
        <v>1000000</v>
      </c>
      <c r="BT91" s="433">
        <f>IF(BT$8&lt;=LatestMonthOfActuals,SUMIFS('Data Summary'!BA$77:BA$105,dataGLBSAcctIDs,$E$91),BT87)</f>
        <v>1000000</v>
      </c>
      <c r="BU91" s="433">
        <f>IF(BU$8&lt;=LatestMonthOfActuals,SUMIFS('Data Summary'!BB$77:BB$105,dataGLBSAcctIDs,$E$91),BU87)</f>
        <v>1000000</v>
      </c>
      <c r="BV91" s="433">
        <f>IF(BV$8&lt;=LatestMonthOfActuals,SUMIFS('Data Summary'!BC$77:BC$105,dataGLBSAcctIDs,$E$91),BV87)</f>
        <v>1000000</v>
      </c>
      <c r="BW91" s="433">
        <f>IF(BW$8&lt;=LatestMonthOfActuals,SUMIFS('Data Summary'!BD$77:BD$105,dataGLBSAcctIDs,$E$91),BW87)</f>
        <v>1000000</v>
      </c>
      <c r="BX91" s="433">
        <f>IF(BX$8&lt;=LatestMonthOfActuals,SUMIFS('Data Summary'!BE$77:BE$105,dataGLBSAcctIDs,$E$91),BX87)</f>
        <v>1000000</v>
      </c>
      <c r="BY91" s="433">
        <f>IF(BY$8&lt;=LatestMonthOfActuals,SUMIFS('Data Summary'!BF$77:BF$105,dataGLBSAcctIDs,$E$91),BY87)</f>
        <v>985000</v>
      </c>
      <c r="BZ91" s="433">
        <f>IF(BZ$8&lt;=LatestMonthOfActuals,SUMIFS('Data Summary'!BG$77:BG$105,dataGLBSAcctIDs,$E$91),BZ87)</f>
        <v>970000</v>
      </c>
      <c r="CA91" s="433">
        <f>IF(CA$8&lt;=LatestMonthOfActuals,SUMIFS('Data Summary'!BH$77:BH$105,dataGLBSAcctIDs,$E$91),CA87)</f>
        <v>940000</v>
      </c>
    </row>
    <row r="102" spans="33:35">
      <c r="AG102" s="655"/>
      <c r="AI102" s="655"/>
    </row>
    <row r="103" spans="33:35">
      <c r="AG103" s="655"/>
    </row>
    <row r="104" spans="33:35">
      <c r="AG104" s="655"/>
    </row>
    <row r="105" spans="33:35">
      <c r="AG105" s="655"/>
    </row>
    <row r="106" spans="33:35">
      <c r="AG106" s="655"/>
    </row>
    <row r="107" spans="33:35">
      <c r="AG107" s="655"/>
    </row>
    <row r="108" spans="33:35">
      <c r="AG108" s="655"/>
    </row>
    <row r="109" spans="33:35">
      <c r="AG109" s="655"/>
    </row>
    <row r="110" spans="33:35">
      <c r="AG110" s="655"/>
    </row>
  </sheetData>
  <mergeCells count="3">
    <mergeCell ref="G2:G8"/>
    <mergeCell ref="M2:M8"/>
    <mergeCell ref="AE2:AE8"/>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CDDA1-E8ED-B649-9D92-7911B39FC00C}">
  <sheetPr>
    <outlinePr summaryBelow="0" summaryRight="0"/>
  </sheetPr>
  <dimension ref="A1:BH166"/>
  <sheetViews>
    <sheetView showGridLines="0" zoomScale="90" zoomScaleNormal="90" workbookViewId="0">
      <pane xSplit="4" ySplit="8" topLeftCell="AL103" activePane="bottomRight" state="frozen"/>
      <selection pane="topRight" activeCell="E1" sqref="E1"/>
      <selection pane="bottomLeft" activeCell="A9" sqref="A9"/>
      <selection pane="bottomRight" activeCell="AU119" sqref="AU119"/>
    </sheetView>
  </sheetViews>
  <sheetFormatPr defaultColWidth="10.28515625" defaultRowHeight="18.75" customHeight="1" outlineLevelRow="2" outlineLevelCol="2"/>
  <cols>
    <col min="1" max="1" width="3.28515625" style="265" customWidth="1"/>
    <col min="2" max="2" width="3.7109375" style="270" customWidth="1"/>
    <col min="3" max="3" width="1.85546875" style="309" customWidth="1"/>
    <col min="4" max="4" width="31.28515625" style="268" customWidth="1" collapsed="1"/>
    <col min="5" max="5" width="35.28515625" style="265" hidden="1" customWidth="1" outlineLevel="2"/>
    <col min="6" max="6" width="17" style="265" hidden="1" customWidth="1" outlineLevel="2"/>
    <col min="7" max="7" width="10" style="265" hidden="1" customWidth="1" outlineLevel="2"/>
    <col min="8" max="8" width="30" style="265" hidden="1" customWidth="1" outlineLevel="2"/>
    <col min="9" max="9" width="13.42578125" style="265" hidden="1" customWidth="1" outlineLevel="2"/>
    <col min="10" max="10" width="2.140625" style="267" customWidth="1"/>
    <col min="11" max="11" width="3.140625" style="267" customWidth="1"/>
    <col min="12" max="12" width="11.140625" style="265" bestFit="1" customWidth="1" outlineLevel="1"/>
    <col min="13" max="14" width="8.7109375" style="265" bestFit="1" customWidth="1" outlineLevel="1"/>
    <col min="15" max="17" width="9.140625" style="265" bestFit="1" customWidth="1" outlineLevel="1"/>
    <col min="18" max="27" width="10.140625" style="265" bestFit="1" customWidth="1" outlineLevel="1"/>
    <col min="28" max="60" width="10.7109375" style="265" bestFit="1" customWidth="1" outlineLevel="1"/>
    <col min="61" max="61" width="10.28515625" style="265" customWidth="1"/>
    <col min="62" max="16384" width="10.28515625" style="265"/>
  </cols>
  <sheetData>
    <row r="1" spans="1:60" ht="21" customHeight="1">
      <c r="A1" s="285" t="str">
        <f>Company_Name</f>
        <v>Model Wiz Demo *</v>
      </c>
    </row>
    <row r="2" spans="1:60" ht="18" customHeight="1">
      <c r="A2" t="str" cm="1">
        <f t="array" aca="1" ref="A2" ca="1">IFERROR(MID(CELL("filename",A1),FIND("]",CELL("filename",A1))+1,LEN(CELL("filename",A1))),"")</f>
        <v>Data Summary</v>
      </c>
      <c r="K2" s="852" t="s">
        <v>161</v>
      </c>
    </row>
    <row r="3" spans="1:60" ht="21">
      <c r="A3" s="308" t="str">
        <f>Error_Check</f>
        <v>Model Functioning Properly</v>
      </c>
      <c r="K3" s="852"/>
      <c r="L3" s="178" t="str">
        <f t="shared" ref="L3:AQ3" si="0">IF(L$5&lt;=LatestMonthOfActuals,"Actual","Projected")</f>
        <v>Actual</v>
      </c>
      <c r="M3" s="178" t="str">
        <f t="shared" si="0"/>
        <v>Actual</v>
      </c>
      <c r="N3" s="178" t="str">
        <f t="shared" si="0"/>
        <v>Actual</v>
      </c>
      <c r="O3" s="178" t="str">
        <f t="shared" si="0"/>
        <v>Actual</v>
      </c>
      <c r="P3" s="178" t="str">
        <f t="shared" si="0"/>
        <v>Actual</v>
      </c>
      <c r="Q3" s="178" t="str">
        <f t="shared" si="0"/>
        <v>Actual</v>
      </c>
      <c r="R3" s="178" t="str">
        <f t="shared" si="0"/>
        <v>Actual</v>
      </c>
      <c r="S3" s="178" t="str">
        <f t="shared" si="0"/>
        <v>Actual</v>
      </c>
      <c r="T3" s="178" t="str">
        <f t="shared" si="0"/>
        <v>Actual</v>
      </c>
      <c r="U3" s="178" t="str">
        <f t="shared" si="0"/>
        <v>Actual</v>
      </c>
      <c r="V3" s="178" t="str">
        <f t="shared" si="0"/>
        <v>Actual</v>
      </c>
      <c r="W3" s="178" t="str">
        <f t="shared" si="0"/>
        <v>Actual</v>
      </c>
      <c r="X3" s="178" t="str">
        <f t="shared" si="0"/>
        <v>Actual</v>
      </c>
      <c r="Y3" s="178" t="str">
        <f t="shared" si="0"/>
        <v>Actual</v>
      </c>
      <c r="Z3" s="178" t="str">
        <f t="shared" si="0"/>
        <v>Actual</v>
      </c>
      <c r="AA3" s="178" t="str">
        <f t="shared" si="0"/>
        <v>Actual</v>
      </c>
      <c r="AB3" s="178" t="str">
        <f t="shared" si="0"/>
        <v>Actual</v>
      </c>
      <c r="AC3" s="178" t="str">
        <f t="shared" si="0"/>
        <v>Actual</v>
      </c>
      <c r="AD3" s="178" t="str">
        <f t="shared" si="0"/>
        <v>Actual</v>
      </c>
      <c r="AE3" s="178" t="str">
        <f t="shared" si="0"/>
        <v>Actual</v>
      </c>
      <c r="AF3" s="178" t="str">
        <f t="shared" si="0"/>
        <v>Actual</v>
      </c>
      <c r="AG3" s="178" t="str">
        <f t="shared" si="0"/>
        <v>Actual</v>
      </c>
      <c r="AH3" s="178" t="str">
        <f t="shared" si="0"/>
        <v>Actual</v>
      </c>
      <c r="AI3" s="178" t="str">
        <f t="shared" si="0"/>
        <v>Actual</v>
      </c>
      <c r="AJ3" s="178" t="str">
        <f t="shared" si="0"/>
        <v>Actual</v>
      </c>
      <c r="AK3" s="178" t="str">
        <f t="shared" si="0"/>
        <v>Actual</v>
      </c>
      <c r="AL3" s="178" t="str">
        <f t="shared" si="0"/>
        <v>Actual</v>
      </c>
      <c r="AM3" s="178" t="str">
        <f t="shared" si="0"/>
        <v>Actual</v>
      </c>
      <c r="AN3" s="178" t="str">
        <f t="shared" si="0"/>
        <v>Actual</v>
      </c>
      <c r="AO3" s="178" t="str">
        <f t="shared" si="0"/>
        <v>Actual</v>
      </c>
      <c r="AP3" s="178" t="str">
        <f t="shared" si="0"/>
        <v>Actual</v>
      </c>
      <c r="AQ3" s="178" t="str">
        <f t="shared" si="0"/>
        <v>Actual</v>
      </c>
      <c r="AR3" s="178" t="str">
        <f t="shared" ref="AR3:BH3" si="1">IF(AR$5&lt;=LatestMonthOfActuals,"Actual","Projected")</f>
        <v>Actual</v>
      </c>
      <c r="AS3" s="178" t="str">
        <f t="shared" si="1"/>
        <v>Actual</v>
      </c>
      <c r="AT3" s="178" t="str">
        <f t="shared" si="1"/>
        <v>Actual</v>
      </c>
      <c r="AU3" s="178" t="str">
        <f t="shared" si="1"/>
        <v>Actual</v>
      </c>
      <c r="AV3" s="178" t="str">
        <f t="shared" si="1"/>
        <v>Projected</v>
      </c>
      <c r="AW3" s="178" t="str">
        <f t="shared" si="1"/>
        <v>Projected</v>
      </c>
      <c r="AX3" s="178" t="str">
        <f t="shared" si="1"/>
        <v>Projected</v>
      </c>
      <c r="AY3" s="178" t="str">
        <f t="shared" si="1"/>
        <v>Projected</v>
      </c>
      <c r="AZ3" s="178" t="str">
        <f t="shared" si="1"/>
        <v>Projected</v>
      </c>
      <c r="BA3" s="178" t="str">
        <f t="shared" si="1"/>
        <v>Projected</v>
      </c>
      <c r="BB3" s="178" t="str">
        <f t="shared" si="1"/>
        <v>Projected</v>
      </c>
      <c r="BC3" s="178" t="str">
        <f t="shared" si="1"/>
        <v>Projected</v>
      </c>
      <c r="BD3" s="178" t="str">
        <f t="shared" si="1"/>
        <v>Projected</v>
      </c>
      <c r="BE3" s="178" t="str">
        <f t="shared" si="1"/>
        <v>Projected</v>
      </c>
      <c r="BF3" s="178" t="str">
        <f t="shared" si="1"/>
        <v>Projected</v>
      </c>
      <c r="BG3" s="178" t="str">
        <f t="shared" si="1"/>
        <v>Projected</v>
      </c>
      <c r="BH3" s="178" t="str">
        <f t="shared" si="1"/>
        <v>Projected</v>
      </c>
    </row>
    <row r="4" spans="1:60" ht="18" customHeight="1" outlineLevel="2">
      <c r="K4" s="852"/>
      <c r="L4" s="176">
        <f>EOMONTH(L5,-1)+1</f>
        <v>44896</v>
      </c>
      <c r="M4" s="176">
        <f>Start_Date</f>
        <v>44927</v>
      </c>
      <c r="N4" s="176">
        <f t="shared" ref="N4:BH4" si="2">EOMONTH(N5,-1)+1</f>
        <v>44958</v>
      </c>
      <c r="O4" s="176">
        <f t="shared" si="2"/>
        <v>44986</v>
      </c>
      <c r="P4" s="176">
        <f t="shared" si="2"/>
        <v>45017</v>
      </c>
      <c r="Q4" s="176">
        <f t="shared" si="2"/>
        <v>45047</v>
      </c>
      <c r="R4" s="176">
        <f t="shared" si="2"/>
        <v>45078</v>
      </c>
      <c r="S4" s="176">
        <f t="shared" si="2"/>
        <v>45108</v>
      </c>
      <c r="T4" s="176">
        <f t="shared" si="2"/>
        <v>45139</v>
      </c>
      <c r="U4" s="176">
        <f t="shared" si="2"/>
        <v>45170</v>
      </c>
      <c r="V4" s="176">
        <f t="shared" si="2"/>
        <v>45200</v>
      </c>
      <c r="W4" s="176">
        <f t="shared" si="2"/>
        <v>45231</v>
      </c>
      <c r="X4" s="176">
        <f t="shared" si="2"/>
        <v>45261</v>
      </c>
      <c r="Y4" s="176">
        <f t="shared" si="2"/>
        <v>45292</v>
      </c>
      <c r="Z4" s="176">
        <f t="shared" si="2"/>
        <v>45323</v>
      </c>
      <c r="AA4" s="176">
        <f t="shared" si="2"/>
        <v>45352</v>
      </c>
      <c r="AB4" s="176">
        <f t="shared" si="2"/>
        <v>45383</v>
      </c>
      <c r="AC4" s="176">
        <f t="shared" si="2"/>
        <v>45413</v>
      </c>
      <c r="AD4" s="176">
        <f t="shared" si="2"/>
        <v>45444</v>
      </c>
      <c r="AE4" s="176">
        <f t="shared" si="2"/>
        <v>45474</v>
      </c>
      <c r="AF4" s="176">
        <f t="shared" si="2"/>
        <v>45505</v>
      </c>
      <c r="AG4" s="176">
        <f t="shared" si="2"/>
        <v>45536</v>
      </c>
      <c r="AH4" s="176">
        <f t="shared" si="2"/>
        <v>45566</v>
      </c>
      <c r="AI4" s="176">
        <f t="shared" si="2"/>
        <v>45597</v>
      </c>
      <c r="AJ4" s="176">
        <f t="shared" si="2"/>
        <v>45627</v>
      </c>
      <c r="AK4" s="176">
        <f t="shared" si="2"/>
        <v>45658</v>
      </c>
      <c r="AL4" s="176">
        <f t="shared" si="2"/>
        <v>45689</v>
      </c>
      <c r="AM4" s="176">
        <f t="shared" si="2"/>
        <v>45717</v>
      </c>
      <c r="AN4" s="176">
        <f t="shared" si="2"/>
        <v>45748</v>
      </c>
      <c r="AO4" s="176">
        <f t="shared" si="2"/>
        <v>45778</v>
      </c>
      <c r="AP4" s="176">
        <f t="shared" si="2"/>
        <v>45809</v>
      </c>
      <c r="AQ4" s="176">
        <f t="shared" si="2"/>
        <v>45839</v>
      </c>
      <c r="AR4" s="176">
        <f t="shared" si="2"/>
        <v>45870</v>
      </c>
      <c r="AS4" s="176">
        <f t="shared" si="2"/>
        <v>45901</v>
      </c>
      <c r="AT4" s="176">
        <f t="shared" si="2"/>
        <v>45931</v>
      </c>
      <c r="AU4" s="176">
        <f t="shared" si="2"/>
        <v>45962</v>
      </c>
      <c r="AV4" s="176">
        <f t="shared" si="2"/>
        <v>45992</v>
      </c>
      <c r="AW4" s="176">
        <f t="shared" si="2"/>
        <v>46023</v>
      </c>
      <c r="AX4" s="176">
        <f t="shared" si="2"/>
        <v>46054</v>
      </c>
      <c r="AY4" s="176">
        <f t="shared" si="2"/>
        <v>46082</v>
      </c>
      <c r="AZ4" s="176">
        <f t="shared" si="2"/>
        <v>46113</v>
      </c>
      <c r="BA4" s="176">
        <f t="shared" si="2"/>
        <v>46143</v>
      </c>
      <c r="BB4" s="176">
        <f t="shared" si="2"/>
        <v>46174</v>
      </c>
      <c r="BC4" s="176">
        <f t="shared" si="2"/>
        <v>46204</v>
      </c>
      <c r="BD4" s="176">
        <f t="shared" si="2"/>
        <v>46235</v>
      </c>
      <c r="BE4" s="176">
        <f t="shared" si="2"/>
        <v>46266</v>
      </c>
      <c r="BF4" s="176">
        <f t="shared" si="2"/>
        <v>46296</v>
      </c>
      <c r="BG4" s="176">
        <f t="shared" si="2"/>
        <v>46327</v>
      </c>
      <c r="BH4" s="176">
        <f t="shared" si="2"/>
        <v>46357</v>
      </c>
    </row>
    <row r="5" spans="1:60" ht="18" customHeight="1" outlineLevel="2">
      <c r="K5" s="852"/>
      <c r="L5" s="176">
        <f>EOMONTH(M5,-1)</f>
        <v>44926</v>
      </c>
      <c r="M5" s="176">
        <f>EOM_Start_Date</f>
        <v>44957</v>
      </c>
      <c r="N5" s="4">
        <f t="shared" ref="N5:BH5" si="3">EOMONTH(M5,1)</f>
        <v>44985</v>
      </c>
      <c r="O5" s="4">
        <f t="shared" si="3"/>
        <v>45016</v>
      </c>
      <c r="P5" s="4">
        <f t="shared" si="3"/>
        <v>45046</v>
      </c>
      <c r="Q5" s="4">
        <f t="shared" si="3"/>
        <v>45077</v>
      </c>
      <c r="R5" s="4">
        <f t="shared" si="3"/>
        <v>45107</v>
      </c>
      <c r="S5" s="4">
        <f t="shared" si="3"/>
        <v>45138</v>
      </c>
      <c r="T5" s="4">
        <f t="shared" si="3"/>
        <v>45169</v>
      </c>
      <c r="U5" s="4">
        <f t="shared" si="3"/>
        <v>45199</v>
      </c>
      <c r="V5" s="4">
        <f t="shared" si="3"/>
        <v>45230</v>
      </c>
      <c r="W5" s="4">
        <f t="shared" si="3"/>
        <v>45260</v>
      </c>
      <c r="X5" s="4">
        <f t="shared" si="3"/>
        <v>45291</v>
      </c>
      <c r="Y5" s="4">
        <f t="shared" si="3"/>
        <v>45322</v>
      </c>
      <c r="Z5" s="4">
        <f t="shared" si="3"/>
        <v>45351</v>
      </c>
      <c r="AA5" s="4">
        <f t="shared" si="3"/>
        <v>45382</v>
      </c>
      <c r="AB5" s="4">
        <f t="shared" si="3"/>
        <v>45412</v>
      </c>
      <c r="AC5" s="4">
        <f t="shared" si="3"/>
        <v>45443</v>
      </c>
      <c r="AD5" s="4">
        <f t="shared" si="3"/>
        <v>45473</v>
      </c>
      <c r="AE5" s="4">
        <f t="shared" si="3"/>
        <v>45504</v>
      </c>
      <c r="AF5" s="4">
        <f t="shared" si="3"/>
        <v>45535</v>
      </c>
      <c r="AG5" s="4">
        <f t="shared" si="3"/>
        <v>45565</v>
      </c>
      <c r="AH5" s="4">
        <f t="shared" si="3"/>
        <v>45596</v>
      </c>
      <c r="AI5" s="4">
        <f t="shared" si="3"/>
        <v>45626</v>
      </c>
      <c r="AJ5" s="4">
        <f t="shared" si="3"/>
        <v>45657</v>
      </c>
      <c r="AK5" s="4">
        <f t="shared" si="3"/>
        <v>45688</v>
      </c>
      <c r="AL5" s="4">
        <f t="shared" si="3"/>
        <v>45716</v>
      </c>
      <c r="AM5" s="4">
        <f t="shared" si="3"/>
        <v>45747</v>
      </c>
      <c r="AN5" s="4">
        <f t="shared" si="3"/>
        <v>45777</v>
      </c>
      <c r="AO5" s="4">
        <f t="shared" si="3"/>
        <v>45808</v>
      </c>
      <c r="AP5" s="4">
        <f t="shared" si="3"/>
        <v>45838</v>
      </c>
      <c r="AQ5" s="4">
        <f t="shared" si="3"/>
        <v>45869</v>
      </c>
      <c r="AR5" s="4">
        <f t="shared" si="3"/>
        <v>45900</v>
      </c>
      <c r="AS5" s="4">
        <f t="shared" si="3"/>
        <v>45930</v>
      </c>
      <c r="AT5" s="4">
        <f t="shared" si="3"/>
        <v>45961</v>
      </c>
      <c r="AU5" s="4">
        <f t="shared" si="3"/>
        <v>45991</v>
      </c>
      <c r="AV5" s="4">
        <f t="shared" si="3"/>
        <v>46022</v>
      </c>
      <c r="AW5" s="4">
        <f t="shared" si="3"/>
        <v>46053</v>
      </c>
      <c r="AX5" s="4">
        <f t="shared" si="3"/>
        <v>46081</v>
      </c>
      <c r="AY5" s="4">
        <f t="shared" si="3"/>
        <v>46112</v>
      </c>
      <c r="AZ5" s="4">
        <f t="shared" si="3"/>
        <v>46142</v>
      </c>
      <c r="BA5" s="4">
        <f t="shared" si="3"/>
        <v>46173</v>
      </c>
      <c r="BB5" s="4">
        <f t="shared" si="3"/>
        <v>46203</v>
      </c>
      <c r="BC5" s="4">
        <f t="shared" si="3"/>
        <v>46234</v>
      </c>
      <c r="BD5" s="4">
        <f t="shared" si="3"/>
        <v>46265</v>
      </c>
      <c r="BE5" s="4">
        <f t="shared" si="3"/>
        <v>46295</v>
      </c>
      <c r="BF5" s="4">
        <f t="shared" si="3"/>
        <v>46326</v>
      </c>
      <c r="BG5" s="4">
        <f t="shared" si="3"/>
        <v>46356</v>
      </c>
      <c r="BH5" s="4">
        <f t="shared" si="3"/>
        <v>46387</v>
      </c>
    </row>
    <row r="6" spans="1:60" ht="18" customHeight="1" outlineLevel="2">
      <c r="K6" s="852"/>
      <c r="L6" s="12">
        <f>YEAR(EOMONTH(L4,-Fiscal_Offset))</f>
        <v>2022</v>
      </c>
      <c r="M6" s="12">
        <f t="shared" ref="M6:BH6" si="4">YEAR(EOMONTH(M5,-Fiscal_Offset))</f>
        <v>2023</v>
      </c>
      <c r="N6" s="12">
        <f t="shared" si="4"/>
        <v>2023</v>
      </c>
      <c r="O6" s="12">
        <f t="shared" si="4"/>
        <v>2023</v>
      </c>
      <c r="P6" s="12">
        <f t="shared" si="4"/>
        <v>2023</v>
      </c>
      <c r="Q6" s="12">
        <f t="shared" si="4"/>
        <v>2023</v>
      </c>
      <c r="R6" s="12">
        <f t="shared" si="4"/>
        <v>2023</v>
      </c>
      <c r="S6" s="12">
        <f t="shared" si="4"/>
        <v>2023</v>
      </c>
      <c r="T6" s="12">
        <f t="shared" si="4"/>
        <v>2023</v>
      </c>
      <c r="U6" s="12">
        <f t="shared" si="4"/>
        <v>2023</v>
      </c>
      <c r="V6" s="12">
        <f t="shared" si="4"/>
        <v>2023</v>
      </c>
      <c r="W6" s="12">
        <f t="shared" si="4"/>
        <v>2023</v>
      </c>
      <c r="X6" s="12">
        <f t="shared" si="4"/>
        <v>2023</v>
      </c>
      <c r="Y6" s="12">
        <f t="shared" si="4"/>
        <v>2024</v>
      </c>
      <c r="Z6" s="12">
        <f t="shared" si="4"/>
        <v>2024</v>
      </c>
      <c r="AA6" s="12">
        <f t="shared" si="4"/>
        <v>2024</v>
      </c>
      <c r="AB6" s="12">
        <f t="shared" si="4"/>
        <v>2024</v>
      </c>
      <c r="AC6" s="12">
        <f t="shared" si="4"/>
        <v>2024</v>
      </c>
      <c r="AD6" s="12">
        <f t="shared" si="4"/>
        <v>2024</v>
      </c>
      <c r="AE6" s="12">
        <f t="shared" si="4"/>
        <v>2024</v>
      </c>
      <c r="AF6" s="12">
        <f t="shared" si="4"/>
        <v>2024</v>
      </c>
      <c r="AG6" s="12">
        <f t="shared" si="4"/>
        <v>2024</v>
      </c>
      <c r="AH6" s="12">
        <f t="shared" si="4"/>
        <v>2024</v>
      </c>
      <c r="AI6" s="12">
        <f t="shared" si="4"/>
        <v>2024</v>
      </c>
      <c r="AJ6" s="12">
        <f t="shared" si="4"/>
        <v>2024</v>
      </c>
      <c r="AK6" s="12">
        <f t="shared" si="4"/>
        <v>2025</v>
      </c>
      <c r="AL6" s="12">
        <f t="shared" si="4"/>
        <v>2025</v>
      </c>
      <c r="AM6" s="12">
        <f t="shared" si="4"/>
        <v>2025</v>
      </c>
      <c r="AN6" s="12">
        <f t="shared" si="4"/>
        <v>2025</v>
      </c>
      <c r="AO6" s="12">
        <f t="shared" si="4"/>
        <v>2025</v>
      </c>
      <c r="AP6" s="12">
        <f t="shared" si="4"/>
        <v>2025</v>
      </c>
      <c r="AQ6" s="12">
        <f t="shared" si="4"/>
        <v>2025</v>
      </c>
      <c r="AR6" s="12">
        <f t="shared" si="4"/>
        <v>2025</v>
      </c>
      <c r="AS6" s="12">
        <f t="shared" si="4"/>
        <v>2025</v>
      </c>
      <c r="AT6" s="12">
        <f t="shared" si="4"/>
        <v>2025</v>
      </c>
      <c r="AU6" s="12">
        <f t="shared" si="4"/>
        <v>2025</v>
      </c>
      <c r="AV6" s="12">
        <f t="shared" si="4"/>
        <v>2025</v>
      </c>
      <c r="AW6" s="12">
        <f t="shared" si="4"/>
        <v>2026</v>
      </c>
      <c r="AX6" s="12">
        <f t="shared" si="4"/>
        <v>2026</v>
      </c>
      <c r="AY6" s="12">
        <f t="shared" si="4"/>
        <v>2026</v>
      </c>
      <c r="AZ6" s="12">
        <f t="shared" si="4"/>
        <v>2026</v>
      </c>
      <c r="BA6" s="12">
        <f t="shared" si="4"/>
        <v>2026</v>
      </c>
      <c r="BB6" s="12">
        <f t="shared" si="4"/>
        <v>2026</v>
      </c>
      <c r="BC6" s="12">
        <f t="shared" si="4"/>
        <v>2026</v>
      </c>
      <c r="BD6" s="12">
        <f t="shared" si="4"/>
        <v>2026</v>
      </c>
      <c r="BE6" s="12">
        <f t="shared" si="4"/>
        <v>2026</v>
      </c>
      <c r="BF6" s="12">
        <f t="shared" si="4"/>
        <v>2026</v>
      </c>
      <c r="BG6" s="12">
        <f t="shared" si="4"/>
        <v>2026</v>
      </c>
      <c r="BH6" s="12">
        <f t="shared" si="4"/>
        <v>2026</v>
      </c>
    </row>
    <row r="7" spans="1:60" s="290" customFormat="1" ht="18" customHeight="1" outlineLevel="2">
      <c r="B7" s="307"/>
      <c r="C7" s="330"/>
      <c r="D7" s="305"/>
      <c r="J7" s="267"/>
      <c r="K7" s="852"/>
      <c r="L7" s="12" t="str">
        <f t="shared" ref="L7:AQ7" si="5">"Q"&amp; ROUNDUP(MONTH(EOMONTH(L5,-Fiscal_Offset))/3,0)</f>
        <v>Q4</v>
      </c>
      <c r="M7" s="12" t="str">
        <f t="shared" si="5"/>
        <v>Q1</v>
      </c>
      <c r="N7" s="12" t="str">
        <f t="shared" si="5"/>
        <v>Q1</v>
      </c>
      <c r="O7" s="12" t="str">
        <f t="shared" si="5"/>
        <v>Q1</v>
      </c>
      <c r="P7" s="12" t="str">
        <f t="shared" si="5"/>
        <v>Q2</v>
      </c>
      <c r="Q7" s="12" t="str">
        <f t="shared" si="5"/>
        <v>Q2</v>
      </c>
      <c r="R7" s="12" t="str">
        <f t="shared" si="5"/>
        <v>Q2</v>
      </c>
      <c r="S7" s="12" t="str">
        <f t="shared" si="5"/>
        <v>Q3</v>
      </c>
      <c r="T7" s="12" t="str">
        <f t="shared" si="5"/>
        <v>Q3</v>
      </c>
      <c r="U7" s="12" t="str">
        <f t="shared" si="5"/>
        <v>Q3</v>
      </c>
      <c r="V7" s="12" t="str">
        <f t="shared" si="5"/>
        <v>Q4</v>
      </c>
      <c r="W7" s="12" t="str">
        <f t="shared" si="5"/>
        <v>Q4</v>
      </c>
      <c r="X7" s="12" t="str">
        <f t="shared" si="5"/>
        <v>Q4</v>
      </c>
      <c r="Y7" s="12" t="str">
        <f t="shared" si="5"/>
        <v>Q1</v>
      </c>
      <c r="Z7" s="12" t="str">
        <f t="shared" si="5"/>
        <v>Q1</v>
      </c>
      <c r="AA7" s="12" t="str">
        <f t="shared" si="5"/>
        <v>Q1</v>
      </c>
      <c r="AB7" s="12" t="str">
        <f t="shared" si="5"/>
        <v>Q2</v>
      </c>
      <c r="AC7" s="12" t="str">
        <f t="shared" si="5"/>
        <v>Q2</v>
      </c>
      <c r="AD7" s="12" t="str">
        <f t="shared" si="5"/>
        <v>Q2</v>
      </c>
      <c r="AE7" s="12" t="str">
        <f t="shared" si="5"/>
        <v>Q3</v>
      </c>
      <c r="AF7" s="12" t="str">
        <f t="shared" si="5"/>
        <v>Q3</v>
      </c>
      <c r="AG7" s="12" t="str">
        <f t="shared" si="5"/>
        <v>Q3</v>
      </c>
      <c r="AH7" s="12" t="str">
        <f t="shared" si="5"/>
        <v>Q4</v>
      </c>
      <c r="AI7" s="12" t="str">
        <f t="shared" si="5"/>
        <v>Q4</v>
      </c>
      <c r="AJ7" s="12" t="str">
        <f t="shared" si="5"/>
        <v>Q4</v>
      </c>
      <c r="AK7" s="12" t="str">
        <f t="shared" si="5"/>
        <v>Q1</v>
      </c>
      <c r="AL7" s="12" t="str">
        <f t="shared" si="5"/>
        <v>Q1</v>
      </c>
      <c r="AM7" s="12" t="str">
        <f t="shared" si="5"/>
        <v>Q1</v>
      </c>
      <c r="AN7" s="12" t="str">
        <f t="shared" si="5"/>
        <v>Q2</v>
      </c>
      <c r="AO7" s="12" t="str">
        <f t="shared" si="5"/>
        <v>Q2</v>
      </c>
      <c r="AP7" s="12" t="str">
        <f t="shared" si="5"/>
        <v>Q2</v>
      </c>
      <c r="AQ7" s="12" t="str">
        <f t="shared" si="5"/>
        <v>Q3</v>
      </c>
      <c r="AR7" s="12" t="str">
        <f t="shared" ref="AR7:BH7" si="6">"Q"&amp; ROUNDUP(MONTH(EOMONTH(AR5,-Fiscal_Offset))/3,0)</f>
        <v>Q3</v>
      </c>
      <c r="AS7" s="12" t="str">
        <f t="shared" si="6"/>
        <v>Q3</v>
      </c>
      <c r="AT7" s="12" t="str">
        <f t="shared" si="6"/>
        <v>Q4</v>
      </c>
      <c r="AU7" s="12" t="str">
        <f t="shared" si="6"/>
        <v>Q4</v>
      </c>
      <c r="AV7" s="12" t="str">
        <f t="shared" si="6"/>
        <v>Q4</v>
      </c>
      <c r="AW7" s="12" t="str">
        <f t="shared" si="6"/>
        <v>Q1</v>
      </c>
      <c r="AX7" s="12" t="str">
        <f t="shared" si="6"/>
        <v>Q1</v>
      </c>
      <c r="AY7" s="12" t="str">
        <f t="shared" si="6"/>
        <v>Q1</v>
      </c>
      <c r="AZ7" s="12" t="str">
        <f t="shared" si="6"/>
        <v>Q2</v>
      </c>
      <c r="BA7" s="12" t="str">
        <f t="shared" si="6"/>
        <v>Q2</v>
      </c>
      <c r="BB7" s="12" t="str">
        <f t="shared" si="6"/>
        <v>Q2</v>
      </c>
      <c r="BC7" s="12" t="str">
        <f t="shared" si="6"/>
        <v>Q3</v>
      </c>
      <c r="BD7" s="12" t="str">
        <f t="shared" si="6"/>
        <v>Q3</v>
      </c>
      <c r="BE7" s="12" t="str">
        <f t="shared" si="6"/>
        <v>Q3</v>
      </c>
      <c r="BF7" s="12" t="str">
        <f t="shared" si="6"/>
        <v>Q4</v>
      </c>
      <c r="BG7" s="12" t="str">
        <f t="shared" si="6"/>
        <v>Q4</v>
      </c>
      <c r="BH7" s="12" t="str">
        <f t="shared" si="6"/>
        <v>Q4</v>
      </c>
    </row>
    <row r="8" spans="1:60" s="290" customFormat="1" ht="21">
      <c r="B8" s="307"/>
      <c r="C8" s="330"/>
      <c r="D8" s="304" t="s">
        <v>83</v>
      </c>
      <c r="E8" s="304" t="s">
        <v>348</v>
      </c>
      <c r="F8" s="304" t="s">
        <v>119</v>
      </c>
      <c r="G8" s="304" t="s">
        <v>350</v>
      </c>
      <c r="H8" s="304" t="s">
        <v>349</v>
      </c>
      <c r="I8" s="304" t="s">
        <v>176</v>
      </c>
      <c r="J8" s="267"/>
      <c r="K8" s="852"/>
      <c r="L8" s="169">
        <f t="shared" ref="L8:AQ8" si="7">L5</f>
        <v>44926</v>
      </c>
      <c r="M8" s="169">
        <f t="shared" si="7"/>
        <v>44957</v>
      </c>
      <c r="N8" s="169">
        <f t="shared" si="7"/>
        <v>44985</v>
      </c>
      <c r="O8" s="169">
        <f t="shared" si="7"/>
        <v>45016</v>
      </c>
      <c r="P8" s="169">
        <f t="shared" si="7"/>
        <v>45046</v>
      </c>
      <c r="Q8" s="169">
        <f t="shared" si="7"/>
        <v>45077</v>
      </c>
      <c r="R8" s="169">
        <f t="shared" si="7"/>
        <v>45107</v>
      </c>
      <c r="S8" s="169">
        <f t="shared" si="7"/>
        <v>45138</v>
      </c>
      <c r="T8" s="169">
        <f t="shared" si="7"/>
        <v>45169</v>
      </c>
      <c r="U8" s="169">
        <f t="shared" si="7"/>
        <v>45199</v>
      </c>
      <c r="V8" s="169">
        <f t="shared" si="7"/>
        <v>45230</v>
      </c>
      <c r="W8" s="169">
        <f t="shared" si="7"/>
        <v>45260</v>
      </c>
      <c r="X8" s="169">
        <f t="shared" si="7"/>
        <v>45291</v>
      </c>
      <c r="Y8" s="169">
        <f t="shared" si="7"/>
        <v>45322</v>
      </c>
      <c r="Z8" s="169">
        <f t="shared" si="7"/>
        <v>45351</v>
      </c>
      <c r="AA8" s="169">
        <f t="shared" si="7"/>
        <v>45382</v>
      </c>
      <c r="AB8" s="169">
        <f t="shared" si="7"/>
        <v>45412</v>
      </c>
      <c r="AC8" s="169">
        <f t="shared" si="7"/>
        <v>45443</v>
      </c>
      <c r="AD8" s="169">
        <f t="shared" si="7"/>
        <v>45473</v>
      </c>
      <c r="AE8" s="169">
        <f t="shared" si="7"/>
        <v>45504</v>
      </c>
      <c r="AF8" s="169">
        <f t="shared" si="7"/>
        <v>45535</v>
      </c>
      <c r="AG8" s="169">
        <f t="shared" si="7"/>
        <v>45565</v>
      </c>
      <c r="AH8" s="169">
        <f t="shared" si="7"/>
        <v>45596</v>
      </c>
      <c r="AI8" s="169">
        <f t="shared" si="7"/>
        <v>45626</v>
      </c>
      <c r="AJ8" s="169">
        <f t="shared" si="7"/>
        <v>45657</v>
      </c>
      <c r="AK8" s="169">
        <f t="shared" si="7"/>
        <v>45688</v>
      </c>
      <c r="AL8" s="169">
        <f t="shared" si="7"/>
        <v>45716</v>
      </c>
      <c r="AM8" s="169">
        <f t="shared" si="7"/>
        <v>45747</v>
      </c>
      <c r="AN8" s="169">
        <f t="shared" si="7"/>
        <v>45777</v>
      </c>
      <c r="AO8" s="169">
        <f t="shared" si="7"/>
        <v>45808</v>
      </c>
      <c r="AP8" s="169">
        <f t="shared" si="7"/>
        <v>45838</v>
      </c>
      <c r="AQ8" s="169">
        <f t="shared" si="7"/>
        <v>45869</v>
      </c>
      <c r="AR8" s="169">
        <f t="shared" ref="AR8:BH8" si="8">AR5</f>
        <v>45900</v>
      </c>
      <c r="AS8" s="169">
        <f t="shared" si="8"/>
        <v>45930</v>
      </c>
      <c r="AT8" s="169">
        <f t="shared" si="8"/>
        <v>45961</v>
      </c>
      <c r="AU8" s="169">
        <f t="shared" si="8"/>
        <v>45991</v>
      </c>
      <c r="AV8" s="169">
        <f t="shared" si="8"/>
        <v>46022</v>
      </c>
      <c r="AW8" s="169">
        <f t="shared" si="8"/>
        <v>46053</v>
      </c>
      <c r="AX8" s="169">
        <f t="shared" si="8"/>
        <v>46081</v>
      </c>
      <c r="AY8" s="169">
        <f t="shared" si="8"/>
        <v>46112</v>
      </c>
      <c r="AZ8" s="169">
        <f t="shared" si="8"/>
        <v>46142</v>
      </c>
      <c r="BA8" s="169">
        <f t="shared" si="8"/>
        <v>46173</v>
      </c>
      <c r="BB8" s="169">
        <f t="shared" si="8"/>
        <v>46203</v>
      </c>
      <c r="BC8" s="169">
        <f t="shared" si="8"/>
        <v>46234</v>
      </c>
      <c r="BD8" s="169">
        <f t="shared" si="8"/>
        <v>46265</v>
      </c>
      <c r="BE8" s="169">
        <f t="shared" si="8"/>
        <v>46295</v>
      </c>
      <c r="BF8" s="169">
        <f t="shared" si="8"/>
        <v>46326</v>
      </c>
      <c r="BG8" s="169">
        <f t="shared" si="8"/>
        <v>46356</v>
      </c>
      <c r="BH8" s="169">
        <f t="shared" si="8"/>
        <v>46387</v>
      </c>
    </row>
    <row r="9" spans="1:60" s="290" customFormat="1" ht="24">
      <c r="B9" s="299" t="s">
        <v>464</v>
      </c>
      <c r="C9" s="320"/>
      <c r="D9" s="292"/>
      <c r="E9" s="292"/>
      <c r="F9" s="292"/>
      <c r="G9" s="297"/>
      <c r="H9" s="292"/>
      <c r="I9" s="292"/>
      <c r="J9" s="296"/>
      <c r="K9" s="296"/>
      <c r="L9" s="292"/>
      <c r="M9" s="291"/>
      <c r="N9" s="291"/>
      <c r="O9" s="291"/>
      <c r="P9" s="291"/>
      <c r="Q9" s="291"/>
      <c r="R9" s="291"/>
      <c r="S9" s="291"/>
      <c r="T9" s="291"/>
      <c r="U9" s="291"/>
      <c r="V9" s="291"/>
      <c r="W9" s="291"/>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1"/>
      <c r="BG9" s="291"/>
      <c r="BH9" s="291"/>
    </row>
    <row r="10" spans="1:60" ht="6" customHeight="1">
      <c r="B10" s="284"/>
      <c r="C10" s="323"/>
      <c r="D10" s="316"/>
      <c r="E10" s="329"/>
      <c r="F10" s="276"/>
      <c r="G10" s="277"/>
      <c r="H10" s="276"/>
      <c r="I10" s="27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6"/>
      <c r="BE10" s="286"/>
      <c r="BF10" s="286"/>
      <c r="BG10" s="286"/>
      <c r="BH10" s="286"/>
    </row>
    <row r="11" spans="1:60" ht="21">
      <c r="B11" s="284"/>
      <c r="C11" s="315" t="s">
        <v>465</v>
      </c>
      <c r="D11" s="316"/>
      <c r="E11" s="277"/>
      <c r="F11" s="277"/>
      <c r="G11" s="277"/>
      <c r="H11" s="277"/>
      <c r="I11" s="277"/>
      <c r="J11" s="314"/>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c r="AJ11" s="286"/>
      <c r="AK11" s="286"/>
      <c r="AL11" s="286"/>
      <c r="AM11" s="286"/>
      <c r="AN11" s="286"/>
      <c r="AO11" s="286"/>
      <c r="AP11" s="286"/>
      <c r="AQ11" s="286"/>
      <c r="AR11" s="286"/>
      <c r="AS11" s="286"/>
      <c r="AT11" s="286"/>
      <c r="AU11" s="286"/>
      <c r="AV11" s="286"/>
      <c r="AW11" s="286"/>
      <c r="AX11" s="286"/>
      <c r="AY11" s="286"/>
      <c r="AZ11" s="286"/>
      <c r="BA11" s="286"/>
      <c r="BB11" s="286"/>
      <c r="BC11" s="286"/>
      <c r="BD11" s="286"/>
      <c r="BE11" s="286"/>
      <c r="BF11" s="286"/>
      <c r="BG11" s="286"/>
      <c r="BH11" s="286"/>
    </row>
    <row r="12" spans="1:60" ht="16.5" customHeight="1" outlineLevel="1">
      <c r="B12" s="326"/>
      <c r="C12" s="328"/>
      <c r="D12" s="288" t="s">
        <v>98</v>
      </c>
      <c r="E12" s="277" t="s">
        <v>98</v>
      </c>
      <c r="F12" s="277" t="s">
        <v>98</v>
      </c>
      <c r="G12" s="277"/>
      <c r="H12" s="277"/>
      <c r="I12" s="277"/>
      <c r="J12" s="314"/>
      <c r="L12" s="322" cm="1">
        <f t="array" ref="L12">IFERROR(SUM(_xlfn._xlws.FILTER(Drivers!AN$10:AN$69,(PLSections=$E12)*(PLSummarys=$F12))),0)</f>
        <v>0</v>
      </c>
      <c r="M12" s="322" cm="1">
        <f t="array" ref="M12">IFERROR(SUM(_xlfn._xlws.FILTER(Drivers!AO$10:AO$69,(PLSections=$E12)*(PLSummarys=$F12))),0)</f>
        <v>10000</v>
      </c>
      <c r="N12" s="322" cm="1">
        <f t="array" ref="N12">IFERROR(SUM(_xlfn._xlws.FILTER(Drivers!AP$10:AP$69,(PLSections=$E12)*(PLSummarys=$F12))),0)</f>
        <v>11000</v>
      </c>
      <c r="O12" s="322" cm="1">
        <f t="array" ref="O12">IFERROR(SUM(_xlfn._xlws.FILTER(Drivers!AQ$10:AQ$69,(PLSections=$E12)*(PLSummarys=$F12))),0)</f>
        <v>12100</v>
      </c>
      <c r="P12" s="322" cm="1">
        <f t="array" ref="P12">IFERROR(SUM(_xlfn._xlws.FILTER(Drivers!AR$10:AR$69,(PLSections=$E12)*(PLSummarys=$F12))),0)</f>
        <v>13310</v>
      </c>
      <c r="Q12" s="322" cm="1">
        <f t="array" ref="Q12">IFERROR(SUM(_xlfn._xlws.FILTER(Drivers!AS$10:AS$69,(PLSections=$E12)*(PLSummarys=$F12))),0)</f>
        <v>14641</v>
      </c>
      <c r="R12" s="322" cm="1">
        <f t="array" ref="R12">IFERROR(SUM(_xlfn._xlws.FILTER(Drivers!AT$10:AT$69,(PLSections=$E12)*(PLSummarys=$F12))),0)</f>
        <v>16105</v>
      </c>
      <c r="S12" s="322" cm="1">
        <f t="array" ref="S12">IFERROR(SUM(_xlfn._xlws.FILTER(Drivers!AU$10:AU$69,(PLSections=$E12)*(PLSummarys=$F12))),0)</f>
        <v>17716</v>
      </c>
      <c r="T12" s="322" cm="1">
        <f t="array" ref="T12">IFERROR(SUM(_xlfn._xlws.FILTER(Drivers!AV$10:AV$69,(PLSections=$E12)*(PLSummarys=$F12))),0)</f>
        <v>19487</v>
      </c>
      <c r="U12" s="322" cm="1">
        <f t="array" ref="U12">IFERROR(SUM(_xlfn._xlws.FILTER(Drivers!AW$10:AW$69,(PLSections=$E12)*(PLSummarys=$F12))),0)</f>
        <v>21436</v>
      </c>
      <c r="V12" s="322" cm="1">
        <f t="array" ref="V12">IFERROR(SUM(_xlfn._xlws.FILTER(Drivers!AX$10:AX$69,(PLSections=$E12)*(PLSummarys=$F12))),0)</f>
        <v>23579</v>
      </c>
      <c r="W12" s="322" cm="1">
        <f t="array" ref="W12">IFERROR(SUM(_xlfn._xlws.FILTER(Drivers!AY$10:AY$69,(PLSections=$E12)*(PLSummarys=$F12))),0)</f>
        <v>46149</v>
      </c>
      <c r="X12" s="322" cm="1">
        <f t="array" ref="X12">IFERROR(SUM(_xlfn._xlws.FILTER(Drivers!AZ$10:AZ$69,(PLSections=$E12)*(PLSummarys=$F12))),0)</f>
        <v>40000</v>
      </c>
      <c r="Y12" s="322" cm="1">
        <f t="array" ref="Y12">IFERROR(SUM(_xlfn._xlws.FILTER(Drivers!BA$10:BA$69,(PLSections=$E12)*(PLSummarys=$F12))),0)</f>
        <v>48456.5</v>
      </c>
      <c r="Z12" s="322" cm="1">
        <f t="array" ref="Z12">IFERROR(SUM(_xlfn._xlws.FILTER(Drivers!BB$10:BB$69,(PLSections=$E12)*(PLSummarys=$F12))),0)</f>
        <v>42000</v>
      </c>
      <c r="AA12" s="322" cm="1">
        <f t="array" ref="AA12">IFERROR(SUM(_xlfn._xlws.FILTER(Drivers!BC$10:BC$69,(PLSections=$E12)*(PLSummarys=$F12))),0)</f>
        <v>50879.5</v>
      </c>
      <c r="AB12" s="322" cm="1">
        <f t="array" ref="AB12">IFERROR(SUM(_xlfn._xlws.FILTER(Drivers!BD$10:BD$69,(PLSections=$E12)*(PLSummarys=$F12))),0)</f>
        <v>44100</v>
      </c>
      <c r="AC12" s="322" cm="1">
        <f t="array" ref="AC12">IFERROR(SUM(_xlfn._xlws.FILTER(Drivers!BE$10:BE$69,(PLSections=$E12)*(PLSummarys=$F12))),0)</f>
        <v>53424</v>
      </c>
      <c r="AD12" s="322" cm="1">
        <f t="array" ref="AD12">IFERROR(SUM(_xlfn._xlws.FILTER(Drivers!BF$10:BF$69,(PLSections=$E12)*(PLSummarys=$F12))),0)</f>
        <v>46305</v>
      </c>
      <c r="AE12" s="322" cm="1">
        <f t="array" ref="AE12">IFERROR(SUM(_xlfn._xlws.FILTER(Drivers!BG$10:BG$69,(PLSections=$E12)*(PLSummarys=$F12))),0)</f>
        <v>48620</v>
      </c>
      <c r="AF12" s="322" cm="1">
        <f t="array" ref="AF12">IFERROR(SUM(_xlfn._xlws.FILTER(Drivers!BH$10:BH$69,(PLSections=$E12)*(PLSummarys=$F12))),0)</f>
        <v>48620</v>
      </c>
      <c r="AG12" s="322" cm="1">
        <f t="array" ref="AG12">IFERROR(SUM(_xlfn._xlws.FILTER(Drivers!BI$10:BI$69,(PLSections=$E12)*(PLSummarys=$F12))),0)</f>
        <v>51051</v>
      </c>
      <c r="AH12" s="322" cm="1">
        <f t="array" ref="AH12">IFERROR(SUM(_xlfn._xlws.FILTER(Drivers!BJ$10:BJ$69,(PLSections=$E12)*(PLSummarys=$F12))),0)</f>
        <v>51051</v>
      </c>
      <c r="AI12" s="322" cm="1">
        <f t="array" ref="AI12">IFERROR(SUM(_xlfn._xlws.FILTER(Drivers!BK$10:BK$69,(PLSections=$E12)*(PLSummarys=$F12))),0)</f>
        <v>53604</v>
      </c>
      <c r="AJ12" s="322" cm="1">
        <f t="array" ref="AJ12">IFERROR(SUM(_xlfn._xlws.FILTER(Drivers!BL$10:BL$69,(PLSections=$E12)*(PLSummarys=$F12))),0)</f>
        <v>56284</v>
      </c>
      <c r="AK12" s="322" cm="1">
        <f t="array" ref="AK12">IFERROR(SUM(_xlfn._xlws.FILTER(Drivers!BM$10:BM$69,(PLSections=$E12)*(PLSummarys=$F12))),0)</f>
        <v>59098.22</v>
      </c>
      <c r="AL12" s="322" cm="1">
        <f t="array" ref="AL12">IFERROR(SUM(_xlfn._xlws.FILTER(Drivers!BN$10:BN$69,(PLSections=$E12)*(PLSummarys=$F12))),0)</f>
        <v>62053</v>
      </c>
      <c r="AM12" s="322" cm="1">
        <f t="array" ref="AM12">IFERROR(SUM(_xlfn._xlws.FILTER(Drivers!BO$10:BO$69,(PLSections=$E12)*(PLSummarys=$F12))),0)</f>
        <v>65156</v>
      </c>
      <c r="AN12" s="322" cm="1">
        <f t="array" ref="AN12">IFERROR(SUM(_xlfn._xlws.FILTER(Drivers!BP$10:BP$69,(PLSections=$E12)*(PLSummarys=$F12))),0)</f>
        <v>68414</v>
      </c>
      <c r="AO12" s="322" cm="1">
        <f t="array" ref="AO12">IFERROR(SUM(_xlfn._xlws.FILTER(Drivers!BQ$10:BQ$69,(PLSections=$E12)*(PLSummarys=$F12))),0)</f>
        <v>71834</v>
      </c>
      <c r="AP12" s="322" cm="1">
        <f t="array" ref="AP12">IFERROR(SUM(_xlfn._xlws.FILTER(Drivers!BR$10:BR$69,(PLSections=$E12)*(PLSummarys=$F12))),0)</f>
        <v>84125.97</v>
      </c>
      <c r="AQ12" s="322" cm="1">
        <f t="array" ref="AQ12">IFERROR(SUM(_xlfn._xlws.FILTER(Drivers!BS$10:BS$69,(PLSections=$E12)*(PLSummarys=$F12))),0)</f>
        <v>85697.26</v>
      </c>
      <c r="AR12" s="322" cm="1">
        <f t="array" ref="AR12">IFERROR(SUM(_xlfn._xlws.FILTER(Drivers!BT$10:BT$69,(PLSections=$E12)*(PLSummarys=$F12))),0)</f>
        <v>83157.13</v>
      </c>
      <c r="AS12" s="322" cm="1">
        <f t="array" ref="AS12">IFERROR(SUM(_xlfn._xlws.FILTER(Drivers!BU$10:BU$69,(PLSections=$E12)*(PLSummarys=$F12))),0)</f>
        <v>105314.98</v>
      </c>
      <c r="AT12" s="322" cm="1">
        <f t="array" ref="AT12">IFERROR(SUM(_xlfn._xlws.FILTER(Drivers!BV$10:BV$69,(PLSections=$E12)*(PLSummarys=$F12))),0)</f>
        <v>101680.73</v>
      </c>
      <c r="AU12" s="322" cm="1">
        <f t="array" ref="AU12">IFERROR(SUM(_xlfn._xlws.FILTER(Drivers!BW$10:BW$69,(PLSections=$E12)*(PLSummarys=$F12))),0)</f>
        <v>111764.77</v>
      </c>
      <c r="AV12" s="322" cm="1">
        <f t="array" ref="AV12">IFERROR(SUM(_xlfn._xlws.FILTER(Drivers!BX$10:BX$69,(PLSections=$E12)*(PLSummarys=$F12))),0)</f>
        <v>44439.166666666664</v>
      </c>
      <c r="AW12" s="322" cm="1">
        <f t="array" ref="AW12">IFERROR(SUM(_xlfn._xlws.FILTER(Drivers!BY$10:BY$69,(PLSections=$E12)*(PLSummarys=$F12))),0)</f>
        <v>84439.166666666672</v>
      </c>
      <c r="AX12" s="322" cm="1">
        <f t="array" ref="AX12">IFERROR(SUM(_xlfn._xlws.FILTER(Drivers!BZ$10:BZ$69,(PLSections=$E12)*(PLSummarys=$F12))),0)</f>
        <v>124439.16666666667</v>
      </c>
      <c r="AY12" s="322" cm="1">
        <f t="array" ref="AY12">IFERROR(SUM(_xlfn._xlws.FILTER(Drivers!CA$10:CA$69,(PLSections=$E12)*(PLSummarys=$F12))),0)</f>
        <v>124439.16666666667</v>
      </c>
      <c r="AZ12" s="322" cm="1">
        <f t="array" ref="AZ12">IFERROR(SUM(_xlfn._xlws.FILTER(Drivers!CB$10:CB$69,(PLSections=$E12)*(PLSummarys=$F12))),0)</f>
        <v>124439.16666666667</v>
      </c>
      <c r="BA12" s="322" cm="1">
        <f t="array" ref="BA12">IFERROR(SUM(_xlfn._xlws.FILTER(Drivers!CC$10:CC$69,(PLSections=$E12)*(PLSummarys=$F12))),0)</f>
        <v>124439.16666666667</v>
      </c>
      <c r="BB12" s="322" cm="1">
        <f t="array" ref="BB12">IFERROR(SUM(_xlfn._xlws.FILTER(Drivers!CD$10:CD$69,(PLSections=$E12)*(PLSummarys=$F12))),0)</f>
        <v>124439.16666666667</v>
      </c>
      <c r="BC12" s="322" cm="1">
        <f t="array" ref="BC12">IFERROR(SUM(_xlfn._xlws.FILTER(Drivers!CE$10:CE$69,(PLSections=$E12)*(PLSummarys=$F12))),0)</f>
        <v>124439.16666666667</v>
      </c>
      <c r="BD12" s="322" cm="1">
        <f t="array" ref="BD12">IFERROR(SUM(_xlfn._xlws.FILTER(Drivers!CF$10:CF$69,(PLSections=$E12)*(PLSummarys=$F12))),0)</f>
        <v>124439.16666666667</v>
      </c>
      <c r="BE12" s="322" cm="1">
        <f t="array" ref="BE12">IFERROR(SUM(_xlfn._xlws.FILTER(Drivers!CG$10:CG$69,(PLSections=$E12)*(PLSummarys=$F12))),0)</f>
        <v>124439.16666666667</v>
      </c>
      <c r="BF12" s="322" cm="1">
        <f t="array" ref="BF12">IFERROR(SUM(_xlfn._xlws.FILTER(Drivers!CH$10:CH$69,(PLSections=$E12)*(PLSummarys=$F12))),0)</f>
        <v>124439.16666666667</v>
      </c>
      <c r="BG12" s="322" cm="1">
        <f t="array" ref="BG12">IFERROR(SUM(_xlfn._xlws.FILTER(Drivers!CI$10:CI$69,(PLSections=$E12)*(PLSummarys=$F12))),0)</f>
        <v>124439.16666666667</v>
      </c>
      <c r="BH12" s="322" cm="1">
        <f t="array" ref="BH12">IFERROR(SUM(_xlfn._xlws.FILTER(Drivers!CJ$10:CJ$69,(PLSections=$E12)*(PLSummarys=$F12))),0)</f>
        <v>122500</v>
      </c>
    </row>
    <row r="13" spans="1:60" ht="16.5" customHeight="1" outlineLevel="1">
      <c r="B13" s="326"/>
      <c r="C13" s="328"/>
      <c r="D13" s="288" t="s">
        <v>124</v>
      </c>
      <c r="E13" s="277" t="s">
        <v>101</v>
      </c>
      <c r="F13" s="277" t="s">
        <v>124</v>
      </c>
      <c r="G13" s="277"/>
      <c r="H13" s="277"/>
      <c r="I13" s="277"/>
      <c r="J13" s="314"/>
      <c r="L13" s="322" cm="1">
        <f t="array" ref="L13">IFERROR(SUM(_xlfn._xlws.FILTER(Drivers!AN$10:AN$69,(PLSections=$E13)*(PLSummarys=$F13))),0)</f>
        <v>0</v>
      </c>
      <c r="M13" s="322" cm="1">
        <f t="array" ref="M13">IFERROR(SUM(_xlfn._xlws.FILTER(Drivers!AO$10:AO$69,(PLSections=$E13)*(PLSummarys=$F13))),0)</f>
        <v>13900</v>
      </c>
      <c r="N13" s="322" cm="1">
        <f t="array" ref="N13">IFERROR(SUM(_xlfn._xlws.FILTER(Drivers!AP$10:AP$69,(PLSections=$E13)*(PLSummarys=$F13))),0)</f>
        <v>14387</v>
      </c>
      <c r="O13" s="322" cm="1">
        <f t="array" ref="O13">IFERROR(SUM(_xlfn._xlws.FILTER(Drivers!AQ$10:AQ$69,(PLSections=$E13)*(PLSummarys=$F13))),0)</f>
        <v>14890</v>
      </c>
      <c r="P13" s="322" cm="1">
        <f t="array" ref="P13">IFERROR(SUM(_xlfn._xlws.FILTER(Drivers!AR$10:AR$69,(PLSections=$E13)*(PLSummarys=$F13))),0)</f>
        <v>15411</v>
      </c>
      <c r="Q13" s="322" cm="1">
        <f t="array" ref="Q13">IFERROR(SUM(_xlfn._xlws.FILTER(Drivers!AS$10:AS$69,(PLSections=$E13)*(PLSummarys=$F13))),0)</f>
        <v>15951</v>
      </c>
      <c r="R13" s="322" cm="1">
        <f t="array" ref="R13">IFERROR(SUM(_xlfn._xlws.FILTER(Drivers!AT$10:AT$69,(PLSections=$E13)*(PLSummarys=$F13))),0)</f>
        <v>16509</v>
      </c>
      <c r="S13" s="322" cm="1">
        <f t="array" ref="S13">IFERROR(SUM(_xlfn._xlws.FILTER(Drivers!AU$10:AU$69,(PLSections=$E13)*(PLSummarys=$F13))),0)</f>
        <v>17085</v>
      </c>
      <c r="T13" s="322" cm="1">
        <f t="array" ref="T13">IFERROR(SUM(_xlfn._xlws.FILTER(Drivers!AV$10:AV$69,(PLSections=$E13)*(PLSummarys=$F13))),0)</f>
        <v>17684.5</v>
      </c>
      <c r="U13" s="322" cm="1">
        <f t="array" ref="U13">IFERROR(SUM(_xlfn._xlws.FILTER(Drivers!AW$10:AW$69,(PLSections=$E13)*(PLSummarys=$F13))),0)</f>
        <v>18303.5</v>
      </c>
      <c r="V13" s="322" cm="1">
        <f t="array" ref="V13">IFERROR(SUM(_xlfn._xlws.FILTER(Drivers!AX$10:AX$69,(PLSections=$E13)*(PLSummarys=$F13))),0)</f>
        <v>18944.5</v>
      </c>
      <c r="W13" s="322" cm="1">
        <f t="array" ref="W13">IFERROR(SUM(_xlfn._xlws.FILTER(Drivers!AY$10:AY$69,(PLSections=$E13)*(PLSummarys=$F13))),0)</f>
        <v>33134</v>
      </c>
      <c r="X13" s="322" cm="1">
        <f t="array" ref="X13">IFERROR(SUM(_xlfn._xlws.FILTER(Drivers!AZ$10:AZ$69,(PLSections=$E13)*(PLSummarys=$F13))),0)</f>
        <v>41530</v>
      </c>
      <c r="Y13" s="322" cm="1">
        <f t="array" ref="Y13">IFERROR(SUM(_xlfn._xlws.FILTER(Drivers!BA$10:BA$69,(PLSections=$E13)*(PLSummarys=$F13))),0)</f>
        <v>34792.5</v>
      </c>
      <c r="Z13" s="322" cm="1">
        <f t="array" ref="Z13">IFERROR(SUM(_xlfn._xlws.FILTER(Drivers!BB$10:BB$69,(PLSections=$E13)*(PLSummarys=$F13))),0)</f>
        <v>43606</v>
      </c>
      <c r="AA13" s="322" cm="1">
        <f t="array" ref="AA13">IFERROR(SUM(_xlfn._xlws.FILTER(Drivers!BC$10:BC$69,(PLSections=$E13)*(PLSummarys=$F13))),0)</f>
        <v>36531</v>
      </c>
      <c r="AB13" s="322" cm="1">
        <f t="array" ref="AB13">IFERROR(SUM(_xlfn._xlws.FILTER(Drivers!BD$10:BD$69,(PLSections=$E13)*(PLSummarys=$F13))),0)</f>
        <v>45786</v>
      </c>
      <c r="AC13" s="322" cm="1">
        <f t="array" ref="AC13">IFERROR(SUM(_xlfn._xlws.FILTER(Drivers!BE$10:BE$69,(PLSections=$E13)*(PLSummarys=$F13))),0)</f>
        <v>38358</v>
      </c>
      <c r="AD13" s="322" cm="1">
        <f t="array" ref="AD13">IFERROR(SUM(_xlfn._xlws.FILTER(Drivers!BF$10:BF$69,(PLSections=$E13)*(PLSummarys=$F13))),0)</f>
        <v>48076.5</v>
      </c>
      <c r="AE13" s="322" cm="1">
        <f t="array" ref="AE13">IFERROR(SUM(_xlfn._xlws.FILTER(Drivers!BG$10:BG$69,(PLSections=$E13)*(PLSummarys=$F13))),0)</f>
        <v>50480</v>
      </c>
      <c r="AF13" s="322" cm="1">
        <f t="array" ref="AF13">IFERROR(SUM(_xlfn._xlws.FILTER(Drivers!BH$10:BH$69,(PLSections=$E13)*(PLSummarys=$F13))),0)</f>
        <v>50479.5</v>
      </c>
      <c r="AG13" s="322" cm="1">
        <f t="array" ref="AG13">IFERROR(SUM(_xlfn._xlws.FILTER(Drivers!BI$10:BI$69,(PLSections=$E13)*(PLSummarys=$F13))),0)</f>
        <v>53004</v>
      </c>
      <c r="AH13" s="322" cm="1">
        <f t="array" ref="AH13">IFERROR(SUM(_xlfn._xlws.FILTER(Drivers!BJ$10:BJ$69,(PLSections=$E13)*(PLSummarys=$F13))),0)</f>
        <v>53004.33</v>
      </c>
      <c r="AI13" s="322" cm="1">
        <f t="array" ref="AI13">IFERROR(SUM(_xlfn._xlws.FILTER(Drivers!BK$10:BK$69,(PLSections=$E13)*(PLSummarys=$F13))),0)</f>
        <v>55654.33</v>
      </c>
      <c r="AJ13" s="322" cm="1">
        <f t="array" ref="AJ13">IFERROR(SUM(_xlfn._xlws.FILTER(Drivers!BL$10:BL$69,(PLSections=$E13)*(PLSummarys=$F13))),0)</f>
        <v>58434.5</v>
      </c>
      <c r="AK13" s="322" cm="1">
        <f t="array" ref="AK13">IFERROR(SUM(_xlfn._xlws.FILTER(Drivers!BM$10:BM$69,(PLSections=$E13)*(PLSummarys=$F13))),0)</f>
        <v>61359.369999999995</v>
      </c>
      <c r="AL13" s="322" cm="1">
        <f t="array" ref="AL13">IFERROR(SUM(_xlfn._xlws.FILTER(Drivers!BN$10:BN$69,(PLSections=$E13)*(PLSummarys=$F13))),0)</f>
        <v>64428</v>
      </c>
      <c r="AM13" s="322" cm="1">
        <f t="array" ref="AM13">IFERROR(SUM(_xlfn._xlws.FILTER(Drivers!BO$10:BO$69,(PLSections=$E13)*(PLSummarys=$F13))),0)</f>
        <v>67649</v>
      </c>
      <c r="AN13" s="322" cm="1">
        <f t="array" ref="AN13">IFERROR(SUM(_xlfn._xlws.FILTER(Drivers!BP$10:BP$69,(PLSections=$E13)*(PLSummarys=$F13))),0)</f>
        <v>71031</v>
      </c>
      <c r="AO13" s="322" cm="1">
        <f t="array" ref="AO13">IFERROR(SUM(_xlfn._xlws.FILTER(Drivers!BQ$10:BQ$69,(PLSections=$E13)*(PLSummarys=$F13))),0)</f>
        <v>74584</v>
      </c>
      <c r="AP13" s="322" cm="1">
        <f t="array" ref="AP13">IFERROR(SUM(_xlfn._xlws.FILTER(Drivers!BR$10:BR$69,(PLSections=$E13)*(PLSummarys=$F13))),0)</f>
        <v>79311.820000000007</v>
      </c>
      <c r="AQ13" s="322" cm="1">
        <f t="array" ref="AQ13">IFERROR(SUM(_xlfn._xlws.FILTER(Drivers!BS$10:BS$69,(PLSections=$E13)*(PLSummarys=$F13))),0)</f>
        <v>82227.42</v>
      </c>
      <c r="AR13" s="322" cm="1">
        <f t="array" ref="AR13">IFERROR(SUM(_xlfn._xlws.FILTER(Drivers!BT$10:BT$69,(PLSections=$E13)*(PLSummarys=$F13))),0)</f>
        <v>86338.78</v>
      </c>
      <c r="AS13" s="322" cm="1">
        <f t="array" ref="AS13">IFERROR(SUM(_xlfn._xlws.FILTER(Drivers!BU$10:BU$69,(PLSections=$E13)*(PLSummarys=$F13))),0)</f>
        <v>90655.73</v>
      </c>
      <c r="AT13" s="322" cm="1">
        <f t="array" ref="AT13">IFERROR(SUM(_xlfn._xlws.FILTER(Drivers!BV$10:BV$69,(PLSections=$E13)*(PLSummarys=$F13))),0)</f>
        <v>95188.50999999998</v>
      </c>
      <c r="AU13" s="322" cm="1">
        <f t="array" ref="AU13">IFERROR(SUM(_xlfn._xlws.FILTER(Drivers!BW$10:BW$69,(PLSections=$E13)*(PLSummarys=$F13))),0)</f>
        <v>101297.94</v>
      </c>
      <c r="AV13" s="322" cm="1">
        <f t="array" ref="AV13">IFERROR(SUM(_xlfn._xlws.FILTER(Drivers!BX$10:BX$69,(PLSections=$E13)*(PLSummarys=$F13))),0)</f>
        <v>93628.535000000003</v>
      </c>
      <c r="AW13" s="322" cm="1">
        <f t="array" ref="AW13">IFERROR(SUM(_xlfn._xlws.FILTER(Drivers!BY$10:BY$69,(PLSections=$E13)*(PLSummarys=$F13))),0)</f>
        <v>96133.960124999998</v>
      </c>
      <c r="AX13" s="322" cm="1">
        <f t="array" ref="AX13">IFERROR(SUM(_xlfn._xlws.FILTER(Drivers!BZ$10:BZ$69,(PLSections=$E13)*(PLSummarys=$F13))),0)</f>
        <v>98567.604646875014</v>
      </c>
      <c r="AY13" s="322" cm="1">
        <f t="array" ref="AY13">IFERROR(SUM(_xlfn._xlws.FILTER(Drivers!CA$10:CA$69,(PLSections=$E13)*(PLSummarys=$F13))),0)</f>
        <v>100707.64896007814</v>
      </c>
      <c r="AZ13" s="322" cm="1">
        <f t="array" ref="AZ13">IFERROR(SUM(_xlfn._xlws.FILTER(Drivers!CB$10:CB$69,(PLSections=$E13)*(PLSummarys=$F13))),0)</f>
        <v>102466.73477809182</v>
      </c>
      <c r="BA13" s="322" cm="1">
        <f t="array" ref="BA13">IFERROR(SUM(_xlfn._xlws.FILTER(Drivers!CC$10:CC$69,(PLSections=$E13)*(PLSummarys=$F13))),0)</f>
        <v>103740.42411425787</v>
      </c>
      <c r="BB13" s="322" cm="1">
        <f t="array" ref="BB13">IFERROR(SUM(_xlfn._xlws.FILTER(Drivers!CD$10:CD$69,(PLSections=$E13)*(PLSummarys=$F13))),0)</f>
        <v>104167.85883425298</v>
      </c>
      <c r="BC13" s="322" cm="1">
        <f t="array" ref="BC13">IFERROR(SUM(_xlfn._xlws.FILTER(Drivers!CE$10:CE$69,(PLSections=$E13)*(PLSummarys=$F13))),0)</f>
        <v>106012.24050524726</v>
      </c>
      <c r="BD13" s="322" cm="1">
        <f t="array" ref="BD13">IFERROR(SUM(_xlfn._xlws.FILTER(Drivers!CF$10:CF$69,(PLSections=$E13)*(PLSummarys=$F13))),0)</f>
        <v>107740.93957179056</v>
      </c>
      <c r="BE13" s="322" cm="1">
        <f t="array" ref="BE13">IFERROR(SUM(_xlfn._xlws.FILTER(Drivers!CG$10:CG$69,(PLSections=$E13)*(PLSummarys=$F13))),0)</f>
        <v>109346.27318365076</v>
      </c>
      <c r="BF13" s="322" cm="1">
        <f t="array" ref="BF13">IFERROR(SUM(_xlfn._xlws.FILTER(Drivers!CH$10:CH$69,(PLSections=$E13)*(PLSummarys=$F13))),0)</f>
        <v>110858.03242277596</v>
      </c>
      <c r="BG13" s="322" cm="1">
        <f t="array" ref="BG13">IFERROR(SUM(_xlfn._xlws.FILTER(Drivers!CI$10:CI$69,(PLSections=$E13)*(PLSummarys=$F13))),0)</f>
        <v>112326.5095105957</v>
      </c>
      <c r="BH13" s="322" cm="1">
        <f t="array" ref="BH13">IFERROR(SUM(_xlfn._xlws.FILTER(Drivers!CJ$10:CJ$69,(PLSections=$E13)*(PLSummarys=$F13))),0)</f>
        <v>113829.07445495484</v>
      </c>
    </row>
    <row r="14" spans="1:60" ht="16.5" customHeight="1" outlineLevel="1">
      <c r="B14" s="326"/>
      <c r="C14" s="328"/>
      <c r="D14" s="288" t="s">
        <v>132</v>
      </c>
      <c r="E14" s="277" t="s">
        <v>131</v>
      </c>
      <c r="F14" s="277" t="s">
        <v>132</v>
      </c>
      <c r="G14" s="277"/>
      <c r="H14" s="277"/>
      <c r="I14" s="277"/>
      <c r="J14" s="314"/>
      <c r="L14" s="322" cm="1">
        <f t="array" ref="L14">IFERROR(SUM(_xlfn._xlws.FILTER(Drivers!AN$10:AN$69,(PLSections=$E14)*(PLSummarys=$F14))),0)</f>
        <v>0</v>
      </c>
      <c r="M14" s="322" cm="1">
        <f t="array" ref="M14">IFERROR(SUM(_xlfn._xlws.FILTER(Drivers!AO$10:AO$69,(PLSections=$E14)*(PLSummarys=$F14))),0)</f>
        <v>0</v>
      </c>
      <c r="N14" s="322" cm="1">
        <f t="array" ref="N14">IFERROR(SUM(_xlfn._xlws.FILTER(Drivers!AP$10:AP$69,(PLSections=$E14)*(PLSummarys=$F14))),0)</f>
        <v>0</v>
      </c>
      <c r="O14" s="322" cm="1">
        <f t="array" ref="O14">IFERROR(SUM(_xlfn._xlws.FILTER(Drivers!AQ$10:AQ$69,(PLSections=$E14)*(PLSummarys=$F14))),0)</f>
        <v>0</v>
      </c>
      <c r="P14" s="322" cm="1">
        <f t="array" ref="P14">IFERROR(SUM(_xlfn._xlws.FILTER(Drivers!AR$10:AR$69,(PLSections=$E14)*(PLSummarys=$F14))),0)</f>
        <v>0</v>
      </c>
      <c r="Q14" s="322" cm="1">
        <f t="array" ref="Q14">IFERROR(SUM(_xlfn._xlws.FILTER(Drivers!AS$10:AS$69,(PLSections=$E14)*(PLSummarys=$F14))),0)</f>
        <v>0</v>
      </c>
      <c r="R14" s="322" cm="1">
        <f t="array" ref="R14">IFERROR(SUM(_xlfn._xlws.FILTER(Drivers!AT$10:AT$69,(PLSections=$E14)*(PLSummarys=$F14))),0)</f>
        <v>0</v>
      </c>
      <c r="S14" s="322" cm="1">
        <f t="array" ref="S14">IFERROR(SUM(_xlfn._xlws.FILTER(Drivers!AU$10:AU$69,(PLSections=$E14)*(PLSummarys=$F14))),0)</f>
        <v>0</v>
      </c>
      <c r="T14" s="322" cm="1">
        <f t="array" ref="T14">IFERROR(SUM(_xlfn._xlws.FILTER(Drivers!AV$10:AV$69,(PLSections=$E14)*(PLSummarys=$F14))),0)</f>
        <v>0</v>
      </c>
      <c r="U14" s="322" cm="1">
        <f t="array" ref="U14">IFERROR(SUM(_xlfn._xlws.FILTER(Drivers!AW$10:AW$69,(PLSections=$E14)*(PLSummarys=$F14))),0)</f>
        <v>0</v>
      </c>
      <c r="V14" s="322" cm="1">
        <f t="array" ref="V14">IFERROR(SUM(_xlfn._xlws.FILTER(Drivers!AX$10:AX$69,(PLSections=$E14)*(PLSummarys=$F14))),0)</f>
        <v>0</v>
      </c>
      <c r="W14" s="322" cm="1">
        <f t="array" ref="W14">IFERROR(SUM(_xlfn._xlws.FILTER(Drivers!AY$10:AY$69,(PLSections=$E14)*(PLSummarys=$F14))),0)</f>
        <v>0</v>
      </c>
      <c r="X14" s="322" cm="1">
        <f t="array" ref="X14">IFERROR(SUM(_xlfn._xlws.FILTER(Drivers!AZ$10:AZ$69,(PLSections=$E14)*(PLSummarys=$F14))),0)</f>
        <v>0</v>
      </c>
      <c r="Y14" s="322" cm="1">
        <f t="array" ref="Y14">IFERROR(SUM(_xlfn._xlws.FILTER(Drivers!BA$10:BA$69,(PLSections=$E14)*(PLSummarys=$F14))),0)</f>
        <v>0</v>
      </c>
      <c r="Z14" s="322" cm="1">
        <f t="array" ref="Z14">IFERROR(SUM(_xlfn._xlws.FILTER(Drivers!BB$10:BB$69,(PLSections=$E14)*(PLSummarys=$F14))),0)</f>
        <v>0</v>
      </c>
      <c r="AA14" s="322" cm="1">
        <f t="array" ref="AA14">IFERROR(SUM(_xlfn._xlws.FILTER(Drivers!BC$10:BC$69,(PLSections=$E14)*(PLSummarys=$F14))),0)</f>
        <v>0</v>
      </c>
      <c r="AB14" s="322" cm="1">
        <f t="array" ref="AB14">IFERROR(SUM(_xlfn._xlws.FILTER(Drivers!BD$10:BD$69,(PLSections=$E14)*(PLSummarys=$F14))),0)</f>
        <v>0</v>
      </c>
      <c r="AC14" s="322" cm="1">
        <f t="array" ref="AC14">IFERROR(SUM(_xlfn._xlws.FILTER(Drivers!BE$10:BE$69,(PLSections=$E14)*(PLSummarys=$F14))),0)</f>
        <v>0</v>
      </c>
      <c r="AD14" s="322" cm="1">
        <f t="array" ref="AD14">IFERROR(SUM(_xlfn._xlws.FILTER(Drivers!BF$10:BF$69,(PLSections=$E14)*(PLSummarys=$F14))),0)</f>
        <v>0</v>
      </c>
      <c r="AE14" s="322" cm="1">
        <f t="array" ref="AE14">IFERROR(SUM(_xlfn._xlws.FILTER(Drivers!BG$10:BG$69,(PLSections=$E14)*(PLSummarys=$F14))),0)</f>
        <v>0</v>
      </c>
      <c r="AF14" s="322" cm="1">
        <f t="array" ref="AF14">IFERROR(SUM(_xlfn._xlws.FILTER(Drivers!BH$10:BH$69,(PLSections=$E14)*(PLSummarys=$F14))),0)</f>
        <v>0</v>
      </c>
      <c r="AG14" s="322" cm="1">
        <f t="array" ref="AG14">IFERROR(SUM(_xlfn._xlws.FILTER(Drivers!BI$10:BI$69,(PLSections=$E14)*(PLSummarys=$F14))),0)</f>
        <v>0</v>
      </c>
      <c r="AH14" s="322" cm="1">
        <f t="array" ref="AH14">IFERROR(SUM(_xlfn._xlws.FILTER(Drivers!BJ$10:BJ$69,(PLSections=$E14)*(PLSummarys=$F14))),0)</f>
        <v>0</v>
      </c>
      <c r="AI14" s="322" cm="1">
        <f t="array" ref="AI14">IFERROR(SUM(_xlfn._xlws.FILTER(Drivers!BK$10:BK$69,(PLSections=$E14)*(PLSummarys=$F14))),0)</f>
        <v>0</v>
      </c>
      <c r="AJ14" s="322" cm="1">
        <f t="array" ref="AJ14">IFERROR(SUM(_xlfn._xlws.FILTER(Drivers!BL$10:BL$69,(PLSections=$E14)*(PLSummarys=$F14))),0)</f>
        <v>0</v>
      </c>
      <c r="AK14" s="322" cm="1">
        <f t="array" ref="AK14">IFERROR(SUM(_xlfn._xlws.FILTER(Drivers!BM$10:BM$69,(PLSections=$E14)*(PLSummarys=$F14))),0)</f>
        <v>0</v>
      </c>
      <c r="AL14" s="322" cm="1">
        <f t="array" ref="AL14">IFERROR(SUM(_xlfn._xlws.FILTER(Drivers!BN$10:BN$69,(PLSections=$E14)*(PLSummarys=$F14))),0)</f>
        <v>0</v>
      </c>
      <c r="AM14" s="322" cm="1">
        <f t="array" ref="AM14">IFERROR(SUM(_xlfn._xlws.FILTER(Drivers!BO$10:BO$69,(PLSections=$E14)*(PLSummarys=$F14))),0)</f>
        <v>0</v>
      </c>
      <c r="AN14" s="322" cm="1">
        <f t="array" ref="AN14">IFERROR(SUM(_xlfn._xlws.FILTER(Drivers!BP$10:BP$69,(PLSections=$E14)*(PLSummarys=$F14))),0)</f>
        <v>0</v>
      </c>
      <c r="AO14" s="322" cm="1">
        <f t="array" ref="AO14">IFERROR(SUM(_xlfn._xlws.FILTER(Drivers!BQ$10:BQ$69,(PLSections=$E14)*(PLSummarys=$F14))),0)</f>
        <v>0</v>
      </c>
      <c r="AP14" s="322" cm="1">
        <f t="array" ref="AP14">IFERROR(SUM(_xlfn._xlws.FILTER(Drivers!BR$10:BR$69,(PLSections=$E14)*(PLSummarys=$F14))),0)</f>
        <v>0</v>
      </c>
      <c r="AQ14" s="322" cm="1">
        <f t="array" ref="AQ14">IFERROR(SUM(_xlfn._xlws.FILTER(Drivers!BS$10:BS$69,(PLSections=$E14)*(PLSummarys=$F14))),0)</f>
        <v>0</v>
      </c>
      <c r="AR14" s="322" cm="1">
        <f t="array" ref="AR14">IFERROR(SUM(_xlfn._xlws.FILTER(Drivers!BT$10:BT$69,(PLSections=$E14)*(PLSummarys=$F14))),0)</f>
        <v>0</v>
      </c>
      <c r="AS14" s="322" cm="1">
        <f t="array" ref="AS14">IFERROR(SUM(_xlfn._xlws.FILTER(Drivers!BU$10:BU$69,(PLSections=$E14)*(PLSummarys=$F14))),0)</f>
        <v>0</v>
      </c>
      <c r="AT14" s="322" cm="1">
        <f t="array" ref="AT14">IFERROR(SUM(_xlfn._xlws.FILTER(Drivers!BV$10:BV$69,(PLSections=$E14)*(PLSummarys=$F14))),0)</f>
        <v>0</v>
      </c>
      <c r="AU14" s="322" cm="1">
        <f t="array" ref="AU14">IFERROR(SUM(_xlfn._xlws.FILTER(Drivers!BW$10:BW$69,(PLSections=$E14)*(PLSummarys=$F14))),0)</f>
        <v>0</v>
      </c>
      <c r="AV14" s="322" cm="1">
        <f t="array" ref="AV14">IFERROR(SUM(_xlfn._xlws.FILTER(Drivers!BX$10:BX$69,(PLSections=$E14)*(PLSummarys=$F14))),0)</f>
        <v>0</v>
      </c>
      <c r="AW14" s="322" cm="1">
        <f t="array" ref="AW14">IFERROR(SUM(_xlfn._xlws.FILTER(Drivers!BY$10:BY$69,(PLSections=$E14)*(PLSummarys=$F14))),0)</f>
        <v>0</v>
      </c>
      <c r="AX14" s="322" cm="1">
        <f t="array" ref="AX14">IFERROR(SUM(_xlfn._xlws.FILTER(Drivers!BZ$10:BZ$69,(PLSections=$E14)*(PLSummarys=$F14))),0)</f>
        <v>0</v>
      </c>
      <c r="AY14" s="322" cm="1">
        <f t="array" ref="AY14">IFERROR(SUM(_xlfn._xlws.FILTER(Drivers!CA$10:CA$69,(PLSections=$E14)*(PLSummarys=$F14))),0)</f>
        <v>0</v>
      </c>
      <c r="AZ14" s="322" cm="1">
        <f t="array" ref="AZ14">IFERROR(SUM(_xlfn._xlws.FILTER(Drivers!CB$10:CB$69,(PLSections=$E14)*(PLSummarys=$F14))),0)</f>
        <v>0</v>
      </c>
      <c r="BA14" s="322" cm="1">
        <f t="array" ref="BA14">IFERROR(SUM(_xlfn._xlws.FILTER(Drivers!CC$10:CC$69,(PLSections=$E14)*(PLSummarys=$F14))),0)</f>
        <v>0</v>
      </c>
      <c r="BB14" s="322" cm="1">
        <f t="array" ref="BB14">IFERROR(SUM(_xlfn._xlws.FILTER(Drivers!CD$10:CD$69,(PLSections=$E14)*(PLSummarys=$F14))),0)</f>
        <v>0</v>
      </c>
      <c r="BC14" s="322" cm="1">
        <f t="array" ref="BC14">IFERROR(SUM(_xlfn._xlws.FILTER(Drivers!CE$10:CE$69,(PLSections=$E14)*(PLSummarys=$F14))),0)</f>
        <v>0</v>
      </c>
      <c r="BD14" s="322" cm="1">
        <f t="array" ref="BD14">IFERROR(SUM(_xlfn._xlws.FILTER(Drivers!CF$10:CF$69,(PLSections=$E14)*(PLSummarys=$F14))),0)</f>
        <v>0</v>
      </c>
      <c r="BE14" s="322" cm="1">
        <f t="array" ref="BE14">IFERROR(SUM(_xlfn._xlws.FILTER(Drivers!CG$10:CG$69,(PLSections=$E14)*(PLSummarys=$F14))),0)</f>
        <v>0</v>
      </c>
      <c r="BF14" s="322" cm="1">
        <f t="array" ref="BF14">IFERROR(SUM(_xlfn._xlws.FILTER(Drivers!CH$10:CH$69,(PLSections=$E14)*(PLSummarys=$F14))),0)</f>
        <v>0</v>
      </c>
      <c r="BG14" s="322" cm="1">
        <f t="array" ref="BG14">IFERROR(SUM(_xlfn._xlws.FILTER(Drivers!CI$10:CI$69,(PLSections=$E14)*(PLSummarys=$F14))),0)</f>
        <v>0</v>
      </c>
      <c r="BH14" s="322" cm="1">
        <f t="array" ref="BH14">IFERROR(SUM(_xlfn._xlws.FILTER(Drivers!CJ$10:CJ$69,(PLSections=$E14)*(PLSummarys=$F14))),0)</f>
        <v>0</v>
      </c>
    </row>
    <row r="15" spans="1:60" ht="16.5" customHeight="1" outlineLevel="1">
      <c r="B15" s="326"/>
      <c r="C15" s="328"/>
      <c r="D15" s="288" t="s">
        <v>80</v>
      </c>
      <c r="E15" s="277" t="s">
        <v>80</v>
      </c>
      <c r="F15" s="277" t="s">
        <v>80</v>
      </c>
      <c r="G15" s="277"/>
      <c r="H15" s="277"/>
      <c r="I15" s="277"/>
      <c r="J15" s="314"/>
      <c r="L15" s="322" cm="1">
        <f t="array" ref="L15">IFERROR(SUM(_xlfn._xlws.FILTER(Drivers!AN$10:AN$69,(PLSections=$E15)*(PLSummarys=$F15))),0)</f>
        <v>0</v>
      </c>
      <c r="M15" s="322" cm="1">
        <f t="array" ref="M15">IFERROR(SUM(_xlfn._xlws.FILTER(Drivers!AO$10:AO$69,(PLSections=$E15)*(PLSummarys=$F15))),0)</f>
        <v>1050</v>
      </c>
      <c r="N15" s="322" cm="1">
        <f t="array" ref="N15">IFERROR(SUM(_xlfn._xlws.FILTER(Drivers!AP$10:AP$69,(PLSections=$E15)*(PLSummarys=$F15))),0)</f>
        <v>1155</v>
      </c>
      <c r="O15" s="322" cm="1">
        <f t="array" ref="O15">IFERROR(SUM(_xlfn._xlws.FILTER(Drivers!AQ$10:AQ$69,(PLSections=$E15)*(PLSummarys=$F15))),0)</f>
        <v>1271</v>
      </c>
      <c r="P15" s="322" cm="1">
        <f t="array" ref="P15">IFERROR(SUM(_xlfn._xlws.FILTER(Drivers!AR$10:AR$69,(PLSections=$E15)*(PLSummarys=$F15))),0)</f>
        <v>1398</v>
      </c>
      <c r="Q15" s="322" cm="1">
        <f t="array" ref="Q15">IFERROR(SUM(_xlfn._xlws.FILTER(Drivers!AS$10:AS$69,(PLSections=$E15)*(PLSummarys=$F15))),0)</f>
        <v>1537</v>
      </c>
      <c r="R15" s="322" cm="1">
        <f t="array" ref="R15">IFERROR(SUM(_xlfn._xlws.FILTER(Drivers!AT$10:AT$69,(PLSections=$E15)*(PLSummarys=$F15))),0)</f>
        <v>1691</v>
      </c>
      <c r="S15" s="322" cm="1">
        <f t="array" ref="S15">IFERROR(SUM(_xlfn._xlws.FILTER(Drivers!AU$10:AU$69,(PLSections=$E15)*(PLSummarys=$F15))),0)</f>
        <v>1860</v>
      </c>
      <c r="T15" s="322" cm="1">
        <f t="array" ref="T15">IFERROR(SUM(_xlfn._xlws.FILTER(Drivers!AV$10:AV$69,(PLSections=$E15)*(PLSummarys=$F15))),0)</f>
        <v>2046.5</v>
      </c>
      <c r="U15" s="322" cm="1">
        <f t="array" ref="U15">IFERROR(SUM(_xlfn._xlws.FILTER(Drivers!AW$10:AW$69,(PLSections=$E15)*(PLSummarys=$F15))),0)</f>
        <v>2250.5</v>
      </c>
      <c r="V15" s="322" cm="1">
        <f t="array" ref="V15">IFERROR(SUM(_xlfn._xlws.FILTER(Drivers!AX$10:AX$69,(PLSections=$E15)*(PLSummarys=$F15))),0)</f>
        <v>2475.5</v>
      </c>
      <c r="W15" s="322" cm="1">
        <f t="array" ref="W15">IFERROR(SUM(_xlfn._xlws.FILTER(Drivers!AY$10:AY$69,(PLSections=$E15)*(PLSummarys=$F15))),0)</f>
        <v>3427.5</v>
      </c>
      <c r="X15" s="322" cm="1">
        <f t="array" ref="X15">IFERROR(SUM(_xlfn._xlws.FILTER(Drivers!AZ$10:AZ$69,(PLSections=$E15)*(PLSummarys=$F15))),0)</f>
        <v>3797.5</v>
      </c>
      <c r="Y15" s="322" cm="1">
        <f t="array" ref="Y15">IFERROR(SUM(_xlfn._xlws.FILTER(Drivers!BA$10:BA$69,(PLSections=$E15)*(PLSummarys=$F15))),0)</f>
        <v>3599</v>
      </c>
      <c r="Z15" s="322" cm="1">
        <f t="array" ref="Z15">IFERROR(SUM(_xlfn._xlws.FILTER(Drivers!BB$10:BB$69,(PLSections=$E15)*(PLSummarys=$F15))),0)</f>
        <v>3988</v>
      </c>
      <c r="AA15" s="322" cm="1">
        <f t="array" ref="AA15">IFERROR(SUM(_xlfn._xlws.FILTER(Drivers!BC$10:BC$69,(PLSections=$E15)*(PLSummarys=$F15))),0)</f>
        <v>3779</v>
      </c>
      <c r="AB15" s="322" cm="1">
        <f t="array" ref="AB15">IFERROR(SUM(_xlfn._xlws.FILTER(Drivers!BD$10:BD$69,(PLSections=$E15)*(PLSummarys=$F15))),0)</f>
        <v>4186.5</v>
      </c>
      <c r="AC15" s="322" cm="1">
        <f t="array" ref="AC15">IFERROR(SUM(_xlfn._xlws.FILTER(Drivers!BE$10:BE$69,(PLSections=$E15)*(PLSummarys=$F15))),0)</f>
        <v>3968.5</v>
      </c>
      <c r="AD15" s="322" cm="1">
        <f t="array" ref="AD15">IFERROR(SUM(_xlfn._xlws.FILTER(Drivers!BF$10:BF$69,(PLSections=$E15)*(PLSummarys=$F15))),0)</f>
        <v>4396.5</v>
      </c>
      <c r="AE15" s="322" cm="1">
        <f t="array" ref="AE15">IFERROR(SUM(_xlfn._xlws.FILTER(Drivers!BG$10:BG$69,(PLSections=$E15)*(PLSummarys=$F15))),0)</f>
        <v>4615</v>
      </c>
      <c r="AF15" s="322" cm="1">
        <f t="array" ref="AF15">IFERROR(SUM(_xlfn._xlws.FILTER(Drivers!BH$10:BH$69,(PLSections=$E15)*(PLSummarys=$F15))),0)</f>
        <v>4614.5</v>
      </c>
      <c r="AG15" s="322" cm="1">
        <f t="array" ref="AG15">IFERROR(SUM(_xlfn._xlws.FILTER(Drivers!BI$10:BI$69,(PLSections=$E15)*(PLSummarys=$F15))),0)</f>
        <v>4846</v>
      </c>
      <c r="AH15" s="322" cm="1">
        <f t="array" ref="AH15">IFERROR(SUM(_xlfn._xlws.FILTER(Drivers!BJ$10:BJ$69,(PLSections=$E15)*(PLSummarys=$F15))),0)</f>
        <v>4846.33</v>
      </c>
      <c r="AI15" s="322" cm="1">
        <f t="array" ref="AI15">IFERROR(SUM(_xlfn._xlws.FILTER(Drivers!BK$10:BK$69,(PLSections=$E15)*(PLSummarys=$F15))),0)</f>
        <v>5089.33</v>
      </c>
      <c r="AJ15" s="322" cm="1">
        <f t="array" ref="AJ15">IFERROR(SUM(_xlfn._xlws.FILTER(Drivers!BL$10:BL$69,(PLSections=$E15)*(PLSummarys=$F15))),0)</f>
        <v>5343</v>
      </c>
      <c r="AK15" s="322" cm="1">
        <f t="array" ref="AK15">IFERROR(SUM(_xlfn._xlws.FILTER(Drivers!BM$10:BM$69,(PLSections=$E15)*(PLSummarys=$F15))),0)</f>
        <v>5610.42</v>
      </c>
      <c r="AL15" s="322" cm="1">
        <f t="array" ref="AL15">IFERROR(SUM(_xlfn._xlws.FILTER(Drivers!BN$10:BN$69,(PLSections=$E15)*(PLSummarys=$F15))),0)</f>
        <v>5890</v>
      </c>
      <c r="AM15" s="322" cm="1">
        <f t="array" ref="AM15">IFERROR(SUM(_xlfn._xlws.FILTER(Drivers!BO$10:BO$69,(PLSections=$E15)*(PLSummarys=$F15))),0)</f>
        <v>6185</v>
      </c>
      <c r="AN15" s="322" cm="1">
        <f t="array" ref="AN15">IFERROR(SUM(_xlfn._xlws.FILTER(Drivers!BP$10:BP$69,(PLSections=$E15)*(PLSummarys=$F15))),0)</f>
        <v>6495</v>
      </c>
      <c r="AO15" s="322" cm="1">
        <f t="array" ref="AO15">IFERROR(SUM(_xlfn._xlws.FILTER(Drivers!BQ$10:BQ$69,(PLSections=$E15)*(PLSummarys=$F15))),0)</f>
        <v>6820</v>
      </c>
      <c r="AP15" s="322" cm="1">
        <f t="array" ref="AP15">IFERROR(SUM(_xlfn._xlws.FILTER(Drivers!BR$10:BR$69,(PLSections=$E15)*(PLSummarys=$F15))),0)</f>
        <v>7460.48</v>
      </c>
      <c r="AQ15" s="322" cm="1">
        <f t="array" ref="AQ15">IFERROR(SUM(_xlfn._xlws.FILTER(Drivers!BS$10:BS$69,(PLSections=$E15)*(PLSummarys=$F15))),0)</f>
        <v>6518.5</v>
      </c>
      <c r="AR15" s="322" cm="1">
        <f t="array" ref="AR15">IFERROR(SUM(_xlfn._xlws.FILTER(Drivers!BT$10:BT$69,(PLSections=$E15)*(PLSummarys=$F15))),0)</f>
        <v>7894.43</v>
      </c>
      <c r="AS15" s="322" cm="1">
        <f t="array" ref="AS15">IFERROR(SUM(_xlfn._xlws.FILTER(Drivers!BU$10:BU$69,(PLSections=$E15)*(PLSummarys=$F15))),0)</f>
        <v>8289.15</v>
      </c>
      <c r="AT15" s="322" cm="1">
        <f t="array" ref="AT15">IFERROR(SUM(_xlfn._xlws.FILTER(Drivers!BV$10:BV$69,(PLSections=$E15)*(PLSummarys=$F15))),0)</f>
        <v>8703.61</v>
      </c>
      <c r="AU15" s="322" cm="1">
        <f t="array" ref="AU15">IFERROR(SUM(_xlfn._xlws.FILTER(Drivers!BW$10:BW$69,(PLSections=$E15)*(PLSummarys=$F15))),0)</f>
        <v>9138.7900000000009</v>
      </c>
      <c r="AV15" s="322" cm="1">
        <f t="array" ref="AV15">IFERROR(SUM(_xlfn._xlws.FILTER(Drivers!BX$10:BX$69,(PLSections=$E15)*(PLSummarys=$F15))),0)</f>
        <v>38942.550772727271</v>
      </c>
      <c r="AW15" s="322" cm="1">
        <f t="array" ref="AW15">IFERROR(SUM(_xlfn._xlws.FILTER(Drivers!BY$10:BY$69,(PLSections=$E15)*(PLSummarys=$F15))),0)</f>
        <v>31452.469210123967</v>
      </c>
      <c r="AX15" s="322" cm="1">
        <f t="array" ref="AX15">IFERROR(SUM(_xlfn._xlws.FILTER(Drivers!BZ$10:BZ$69,(PLSections=$E15)*(PLSummarys=$F15))),0)</f>
        <v>31630.248373363072</v>
      </c>
      <c r="AY15" s="322" cm="1">
        <f t="array" ref="AY15">IFERROR(SUM(_xlfn._xlws.FILTER(Drivers!CA$10:CA$69,(PLSections=$E15)*(PLSummarys=$F15))),0)</f>
        <v>31655.041790536368</v>
      </c>
      <c r="AZ15" s="322" cm="1">
        <f t="array" ref="AZ15">IFERROR(SUM(_xlfn._xlws.FILTER(Drivers!CB$10:CB$69,(PLSections=$E15)*(PLSummarys=$F15))),0)</f>
        <v>31674.97461929921</v>
      </c>
      <c r="BA15" s="322" cm="1">
        <f t="array" ref="BA15">IFERROR(SUM(_xlfn._xlws.FILTER(Drivers!CC$10:CC$69,(PLSections=$E15)*(PLSummarys=$F15))),0)</f>
        <v>31689.134265021912</v>
      </c>
      <c r="BB15" s="322" cm="1">
        <f t="array" ref="BB15">IFERROR(SUM(_xlfn._xlws.FILTER(Drivers!CD$10:CD$69,(PLSections=$E15)*(PLSummarys=$F15))),0)</f>
        <v>31696.458261629054</v>
      </c>
      <c r="BC15" s="322" cm="1">
        <f t="array" ref="BC15">IFERROR(SUM(_xlfn._xlws.FILTER(Drivers!CE$10:CE$69,(PLSections=$E15)*(PLSummarys=$F15))),0)</f>
        <v>31726.336178118778</v>
      </c>
      <c r="BD15" s="322" cm="1">
        <f t="array" ref="BD15">IFERROR(SUM(_xlfn._xlws.FILTER(Drivers!CF$10:CF$69,(PLSections=$E15)*(PLSummarys=$F15))),0)</f>
        <v>31757.465382879651</v>
      </c>
      <c r="BE15" s="322" cm="1">
        <f t="array" ref="BE15">IFERROR(SUM(_xlfn._xlws.FILTER(Drivers!CG$10:CG$69,(PLSections=$E15)*(PLSummarys=$F15))),0)</f>
        <v>31760.439718509548</v>
      </c>
      <c r="BF15" s="322" cm="1">
        <f t="array" ref="BF15">IFERROR(SUM(_xlfn._xlws.FILTER(Drivers!CH$10:CH$69,(PLSections=$E15)*(PLSummarys=$F15))),0)</f>
        <v>31756.81534913414</v>
      </c>
      <c r="BG15" s="322" cm="1">
        <f t="array" ref="BG15">IFERROR(SUM(_xlfn._xlws.FILTER(Drivers!CI$10:CI$69,(PLSections=$E15)*(PLSummarys=$F15))),0)</f>
        <v>31745.972210347336</v>
      </c>
      <c r="BH15" s="322" cm="1">
        <f t="array" ref="BH15">IFERROR(SUM(_xlfn._xlws.FILTER(Drivers!CJ$10:CJ$69,(PLSections=$E15)*(PLSummarys=$F15))),0)</f>
        <v>31767.647907798917</v>
      </c>
    </row>
    <row r="16" spans="1:60" ht="16.5" customHeight="1" outlineLevel="1">
      <c r="B16" s="326"/>
      <c r="C16" s="328"/>
      <c r="D16" s="288" t="s">
        <v>123</v>
      </c>
      <c r="E16" s="277" t="s">
        <v>101</v>
      </c>
      <c r="F16" s="277" t="s">
        <v>123</v>
      </c>
      <c r="G16" s="277"/>
      <c r="H16" s="277"/>
      <c r="I16" s="277"/>
      <c r="J16" s="314"/>
      <c r="L16" s="322" cm="1">
        <f t="array" ref="L16">IFERROR(SUM(_xlfn._xlws.FILTER(Drivers!AN$10:AN$69,(PLSections=$E16)*(PLSummarys=$F16))),0)</f>
        <v>0</v>
      </c>
      <c r="M16" s="322" cm="1">
        <f t="array" ref="M16">IFERROR(SUM(_xlfn._xlws.FILTER(Drivers!AO$10:AO$69,(PLSections=$E16)*(PLSummarys=$F16))),0)</f>
        <v>18000</v>
      </c>
      <c r="N16" s="322" cm="1">
        <f t="array" ref="N16">IFERROR(SUM(_xlfn._xlws.FILTER(Drivers!AP$10:AP$69,(PLSections=$E16)*(PLSummarys=$F16))),0)</f>
        <v>18630</v>
      </c>
      <c r="O16" s="322" cm="1">
        <f t="array" ref="O16">IFERROR(SUM(_xlfn._xlws.FILTER(Drivers!AQ$10:AQ$69,(PLSections=$E16)*(PLSummarys=$F16))),0)</f>
        <v>19282</v>
      </c>
      <c r="P16" s="322" cm="1">
        <f t="array" ref="P16">IFERROR(SUM(_xlfn._xlws.FILTER(Drivers!AR$10:AR$69,(PLSections=$E16)*(PLSummarys=$F16))),0)</f>
        <v>19957</v>
      </c>
      <c r="Q16" s="322" cm="1">
        <f t="array" ref="Q16">IFERROR(SUM(_xlfn._xlws.FILTER(Drivers!AS$10:AS$69,(PLSections=$E16)*(PLSummarys=$F16))),0)</f>
        <v>20655</v>
      </c>
      <c r="R16" s="322" cm="1">
        <f t="array" ref="R16">IFERROR(SUM(_xlfn._xlws.FILTER(Drivers!AT$10:AT$69,(PLSections=$E16)*(PLSummarys=$F16))),0)</f>
        <v>21378</v>
      </c>
      <c r="S16" s="322" cm="1">
        <f t="array" ref="S16">IFERROR(SUM(_xlfn._xlws.FILTER(Drivers!AU$10:AU$69,(PLSections=$E16)*(PLSummarys=$F16))),0)</f>
        <v>22127</v>
      </c>
      <c r="T16" s="322" cm="1">
        <f t="array" ref="T16">IFERROR(SUM(_xlfn._xlws.FILTER(Drivers!AV$10:AV$69,(PLSections=$E16)*(PLSummarys=$F16))),0)</f>
        <v>22901.5</v>
      </c>
      <c r="U16" s="322" cm="1">
        <f t="array" ref="U16">IFERROR(SUM(_xlfn._xlws.FILTER(Drivers!AW$10:AW$69,(PLSections=$E16)*(PLSummarys=$F16))),0)</f>
        <v>23702</v>
      </c>
      <c r="V16" s="322" cm="1">
        <f t="array" ref="V16">IFERROR(SUM(_xlfn._xlws.FILTER(Drivers!AX$10:AX$69,(PLSections=$E16)*(PLSummarys=$F16))),0)</f>
        <v>24532</v>
      </c>
      <c r="W16" s="322" cm="1">
        <f t="array" ref="W16">IFERROR(SUM(_xlfn._xlws.FILTER(Drivers!AY$10:AY$69,(PLSections=$E16)*(PLSummarys=$F16))),0)</f>
        <v>26653.5</v>
      </c>
      <c r="X16" s="322" cm="1">
        <f t="array" ref="X16">IFERROR(SUM(_xlfn._xlws.FILTER(Drivers!AZ$10:AZ$69,(PLSections=$E16)*(PLSummarys=$F16))),0)</f>
        <v>41974.5</v>
      </c>
      <c r="Y16" s="322" cm="1">
        <f t="array" ref="Y16">IFERROR(SUM(_xlfn._xlws.FILTER(Drivers!BA$10:BA$69,(PLSections=$E16)*(PLSummarys=$F16))),0)</f>
        <v>27987</v>
      </c>
      <c r="Z16" s="322" cm="1">
        <f t="array" ref="Z16">IFERROR(SUM(_xlfn._xlws.FILTER(Drivers!BB$10:BB$69,(PLSections=$E16)*(PLSummarys=$F16))),0)</f>
        <v>44074</v>
      </c>
      <c r="AA16" s="322" cm="1">
        <f t="array" ref="AA16">IFERROR(SUM(_xlfn._xlws.FILTER(Drivers!BC$10:BC$69,(PLSections=$E16)*(PLSummarys=$F16))),0)</f>
        <v>29386</v>
      </c>
      <c r="AB16" s="322" cm="1">
        <f t="array" ref="AB16">IFERROR(SUM(_xlfn._xlws.FILTER(Drivers!BD$10:BD$69,(PLSections=$E16)*(PLSummarys=$F16))),0)</f>
        <v>46277</v>
      </c>
      <c r="AC16" s="322" cm="1">
        <f t="array" ref="AC16">IFERROR(SUM(_xlfn._xlws.FILTER(Drivers!BE$10:BE$69,(PLSections=$E16)*(PLSummarys=$F16))),0)</f>
        <v>30855</v>
      </c>
      <c r="AD16" s="322" cm="1">
        <f t="array" ref="AD16">IFERROR(SUM(_xlfn._xlws.FILTER(Drivers!BF$10:BF$69,(PLSections=$E16)*(PLSummarys=$F16))),0)</f>
        <v>48591</v>
      </c>
      <c r="AE16" s="322" cm="1">
        <f t="array" ref="AE16">IFERROR(SUM(_xlfn._xlws.FILTER(Drivers!BG$10:BG$69,(PLSections=$E16)*(PLSummarys=$F16))),0)</f>
        <v>51020</v>
      </c>
      <c r="AF16" s="322" cm="1">
        <f t="array" ref="AF16">IFERROR(SUM(_xlfn._xlws.FILTER(Drivers!BH$10:BH$69,(PLSections=$E16)*(PLSummarys=$F16))),0)</f>
        <v>51020</v>
      </c>
      <c r="AG16" s="322" cm="1">
        <f t="array" ref="AG16">IFERROR(SUM(_xlfn._xlws.FILTER(Drivers!BI$10:BI$69,(PLSections=$E16)*(PLSummarys=$F16))),0)</f>
        <v>53572</v>
      </c>
      <c r="AH16" s="322" cm="1">
        <f t="array" ref="AH16">IFERROR(SUM(_xlfn._xlws.FILTER(Drivers!BJ$10:BJ$69,(PLSections=$E16)*(PLSummarys=$F16))),0)</f>
        <v>53572</v>
      </c>
      <c r="AI16" s="322" cm="1">
        <f t="array" ref="AI16">IFERROR(SUM(_xlfn._xlws.FILTER(Drivers!BK$10:BK$69,(PLSections=$E16)*(PLSummarys=$F16))),0)</f>
        <v>56250</v>
      </c>
      <c r="AJ16" s="322" cm="1">
        <f t="array" ref="AJ16">IFERROR(SUM(_xlfn._xlws.FILTER(Drivers!BL$10:BL$69,(PLSections=$E16)*(PLSummarys=$F16))),0)</f>
        <v>59063</v>
      </c>
      <c r="AK16" s="322" cm="1">
        <f t="array" ref="AK16">IFERROR(SUM(_xlfn._xlws.FILTER(Drivers!BM$10:BM$69,(PLSections=$E16)*(PLSummarys=$F16))),0)</f>
        <v>62015.869999999995</v>
      </c>
      <c r="AL16" s="322" cm="1">
        <f t="array" ref="AL16">IFERROR(SUM(_xlfn._xlws.FILTER(Drivers!BN$10:BN$69,(PLSections=$E16)*(PLSummarys=$F16))),0)</f>
        <v>65117</v>
      </c>
      <c r="AM16" s="322" cm="1">
        <f t="array" ref="AM16">IFERROR(SUM(_xlfn._xlws.FILTER(Drivers!BO$10:BO$69,(PLSections=$E16)*(PLSummarys=$F16))),0)</f>
        <v>68373</v>
      </c>
      <c r="AN16" s="322" cm="1">
        <f t="array" ref="AN16">IFERROR(SUM(_xlfn._xlws.FILTER(Drivers!BP$10:BP$69,(PLSections=$E16)*(PLSummarys=$F16))),0)</f>
        <v>71791</v>
      </c>
      <c r="AO16" s="322" cm="1">
        <f t="array" ref="AO16">IFERROR(SUM(_xlfn._xlws.FILTER(Drivers!BQ$10:BQ$69,(PLSections=$E16)*(PLSummarys=$F16))),0)</f>
        <v>75380</v>
      </c>
      <c r="AP16" s="322" cm="1">
        <f t="array" ref="AP16">IFERROR(SUM(_xlfn._xlws.FILTER(Drivers!BR$10:BR$69,(PLSections=$E16)*(PLSummarys=$F16))),0)</f>
        <v>79149.72</v>
      </c>
      <c r="AQ16" s="322" cm="1">
        <f t="array" ref="AQ16">IFERROR(SUM(_xlfn._xlws.FILTER(Drivers!BS$10:BS$69,(PLSections=$E16)*(PLSummarys=$F16))),0)</f>
        <v>84907.199999999997</v>
      </c>
      <c r="AR16" s="322" cm="1">
        <f t="array" ref="AR16">IFERROR(SUM(_xlfn._xlws.FILTER(Drivers!BT$10:BT$69,(PLSections=$E16)*(PLSummarys=$F16))),0)</f>
        <v>87762.57</v>
      </c>
      <c r="AS16" s="322" cm="1">
        <f t="array" ref="AS16">IFERROR(SUM(_xlfn._xlws.FILTER(Drivers!BU$10:BU$69,(PLSections=$E16)*(PLSummarys=$F16))),0)</f>
        <v>91625.69</v>
      </c>
      <c r="AT16" s="322" cm="1">
        <f t="array" ref="AT16">IFERROR(SUM(_xlfn._xlws.FILTER(Drivers!BV$10:BV$69,(PLSections=$E16)*(PLSummarys=$F16))),0)</f>
        <v>96206.97</v>
      </c>
      <c r="AU16" s="322" cm="1">
        <f t="array" ref="AU16">IFERROR(SUM(_xlfn._xlws.FILTER(Drivers!BW$10:BW$69,(PLSections=$E16)*(PLSummarys=$F16))),0)</f>
        <v>105717.32999999999</v>
      </c>
      <c r="AV16" s="322" cm="1">
        <f t="array" ref="AV16">IFERROR(SUM(_xlfn._xlws.FILTER(Drivers!BX$10:BX$69,(PLSections=$E16)*(PLSummarys=$F16))),0)</f>
        <v>66519.060666666686</v>
      </c>
      <c r="AW16" s="322" cm="1">
        <f t="array" ref="AW16">IFERROR(SUM(_xlfn._xlws.FILTER(Drivers!BY$10:BY$69,(PLSections=$E16)*(PLSummarys=$F16))),0)</f>
        <v>68361.114866666685</v>
      </c>
      <c r="AX16" s="322" cm="1">
        <f t="array" ref="AX16">IFERROR(SUM(_xlfn._xlws.FILTER(Drivers!BZ$10:BZ$69,(PLSections=$E16)*(PLSummarys=$F16))),0)</f>
        <v>69778.922551666677</v>
      </c>
      <c r="AY16" s="322" cm="1">
        <f t="array" ref="AY16">IFERROR(SUM(_xlfn._xlws.FILTER(Drivers!CA$10:CA$69,(PLSections=$E16)*(PLSummarys=$F16))),0)</f>
        <v>71219.15958154168</v>
      </c>
      <c r="AZ16" s="322" cm="1">
        <f t="array" ref="AZ16">IFERROR(SUM(_xlfn._xlws.FILTER(Drivers!CB$10:CB$69,(PLSections=$E16)*(PLSummarys=$F16))),0)</f>
        <v>72523.093841644804</v>
      </c>
      <c r="BA16" s="322" cm="1">
        <f t="array" ref="BA16">IFERROR(SUM(_xlfn._xlws.FILTER(Drivers!CC$10:CC$69,(PLSections=$E16)*(PLSummarys=$F16))),0)</f>
        <v>73555.579347265986</v>
      </c>
      <c r="BB16" s="322" cm="1">
        <f t="array" ref="BB16">IFERROR(SUM(_xlfn._xlws.FILTER(Drivers!CD$10:CD$69,(PLSections=$E16)*(PLSummarys=$F16))),0)</f>
        <v>73509.129566370859</v>
      </c>
      <c r="BC16" s="322" cm="1">
        <f t="array" ref="BC16">IFERROR(SUM(_xlfn._xlws.FILTER(Drivers!CE$10:CE$69,(PLSections=$E16)*(PLSummarys=$F16))),0)</f>
        <v>74732.391623819101</v>
      </c>
      <c r="BD16" s="322" cm="1">
        <f t="array" ref="BD16">IFERROR(SUM(_xlfn._xlws.FILTER(Drivers!CF$10:CF$69,(PLSections=$E16)*(PLSummarys=$F16))),0)</f>
        <v>75847.365056320778</v>
      </c>
      <c r="BE16" s="322" cm="1">
        <f t="array" ref="BE16">IFERROR(SUM(_xlfn._xlws.FILTER(Drivers!CG$10:CG$69,(PLSections=$E16)*(PLSummarys=$F16))),0)</f>
        <v>76909.342494635246</v>
      </c>
      <c r="BF16" s="322" cm="1">
        <f t="array" ref="BF16">IFERROR(SUM(_xlfn._xlws.FILTER(Drivers!CH$10:CH$69,(PLSections=$E16)*(PLSummarys=$F16))),0)</f>
        <v>77905.124504426596</v>
      </c>
      <c r="BG16" s="322" cm="1">
        <f t="array" ref="BG16">IFERROR(SUM(_xlfn._xlws.FILTER(Drivers!CI$10:CI$69,(PLSections=$E16)*(PLSummarys=$F16))),0)</f>
        <v>78846.979870413401</v>
      </c>
      <c r="BH16" s="322" cm="1">
        <f t="array" ref="BH16">IFERROR(SUM(_xlfn._xlws.FILTER(Drivers!CJ$10:CJ$69,(PLSections=$E16)*(PLSummarys=$F16))),0)</f>
        <v>79772.97496196421</v>
      </c>
    </row>
    <row r="17" spans="2:60" ht="16.5" customHeight="1" outlineLevel="1">
      <c r="B17" s="326"/>
      <c r="C17" s="328"/>
      <c r="D17" s="288" t="s">
        <v>125</v>
      </c>
      <c r="E17" s="277" t="s">
        <v>101</v>
      </c>
      <c r="F17" s="277" t="s">
        <v>125</v>
      </c>
      <c r="G17" s="277"/>
      <c r="H17" s="277"/>
      <c r="I17" s="277"/>
      <c r="J17" s="314"/>
      <c r="L17" s="322" cm="1">
        <f t="array" ref="L17">IFERROR(SUM(_xlfn._xlws.FILTER(Drivers!AN$10:AN$69,(PLSections=$E17)*(PLSummarys=$F17))),0)</f>
        <v>0</v>
      </c>
      <c r="M17" s="322" cm="1">
        <f t="array" ref="M17">IFERROR(SUM(_xlfn._xlws.FILTER(Drivers!AO$10:AO$69,(PLSections=$E17)*(PLSummarys=$F17))),0)</f>
        <v>12680</v>
      </c>
      <c r="N17" s="322" cm="1">
        <f t="array" ref="N17">IFERROR(SUM(_xlfn._xlws.FILTER(Drivers!AP$10:AP$69,(PLSections=$E17)*(PLSummarys=$F17))),0)</f>
        <v>12680</v>
      </c>
      <c r="O17" s="322" cm="1">
        <f t="array" ref="O17">IFERROR(SUM(_xlfn._xlws.FILTER(Drivers!AQ$10:AQ$69,(PLSections=$E17)*(PLSummarys=$F17))),0)</f>
        <v>12680</v>
      </c>
      <c r="P17" s="322" cm="1">
        <f t="array" ref="P17">IFERROR(SUM(_xlfn._xlws.FILTER(Drivers!AR$10:AR$69,(PLSections=$E17)*(PLSummarys=$F17))),0)</f>
        <v>12680.5</v>
      </c>
      <c r="Q17" s="322" cm="1">
        <f t="array" ref="Q17">IFERROR(SUM(_xlfn._xlws.FILTER(Drivers!AS$10:AS$69,(PLSections=$E17)*(PLSummarys=$F17))),0)</f>
        <v>12680</v>
      </c>
      <c r="R17" s="322" cm="1">
        <f t="array" ref="R17">IFERROR(SUM(_xlfn._xlws.FILTER(Drivers!AT$10:AT$69,(PLSections=$E17)*(PLSummarys=$F17))),0)</f>
        <v>12680</v>
      </c>
      <c r="S17" s="322" cm="1">
        <f t="array" ref="S17">IFERROR(SUM(_xlfn._xlws.FILTER(Drivers!AU$10:AU$69,(PLSections=$E17)*(PLSummarys=$F17))),0)</f>
        <v>12680</v>
      </c>
      <c r="T17" s="322" cm="1">
        <f t="array" ref="T17">IFERROR(SUM(_xlfn._xlws.FILTER(Drivers!AV$10:AV$69,(PLSections=$E17)*(PLSummarys=$F17))),0)</f>
        <v>12680</v>
      </c>
      <c r="U17" s="322" cm="1">
        <f t="array" ref="U17">IFERROR(SUM(_xlfn._xlws.FILTER(Drivers!AW$10:AW$69,(PLSections=$E17)*(PLSummarys=$F17))),0)</f>
        <v>12680</v>
      </c>
      <c r="V17" s="322" cm="1">
        <f t="array" ref="V17">IFERROR(SUM(_xlfn._xlws.FILTER(Drivers!AX$10:AX$69,(PLSections=$E17)*(PLSummarys=$F17))),0)</f>
        <v>12680</v>
      </c>
      <c r="W17" s="322" cm="1">
        <f t="array" ref="W17">IFERROR(SUM(_xlfn._xlws.FILTER(Drivers!AY$10:AY$69,(PLSections=$E17)*(PLSummarys=$F17))),0)</f>
        <v>21132</v>
      </c>
      <c r="X17" s="322" cm="1">
        <f t="array" ref="X17">IFERROR(SUM(_xlfn._xlws.FILTER(Drivers!AZ$10:AZ$69,(PLSections=$E17)*(PLSummarys=$F17))),0)</f>
        <v>37387</v>
      </c>
      <c r="Y17" s="322" cm="1">
        <f t="array" ref="Y17">IFERROR(SUM(_xlfn._xlws.FILTER(Drivers!BA$10:BA$69,(PLSections=$E17)*(PLSummarys=$F17))),0)</f>
        <v>22188</v>
      </c>
      <c r="Z17" s="322" cm="1">
        <f t="array" ref="Z17">IFERROR(SUM(_xlfn._xlws.FILTER(Drivers!BB$10:BB$69,(PLSections=$E17)*(PLSummarys=$F17))),0)</f>
        <v>39256</v>
      </c>
      <c r="AA17" s="322" cm="1">
        <f t="array" ref="AA17">IFERROR(SUM(_xlfn._xlws.FILTER(Drivers!BC$10:BC$69,(PLSections=$E17)*(PLSummarys=$F17))),0)</f>
        <v>23297</v>
      </c>
      <c r="AB17" s="322" cm="1">
        <f t="array" ref="AB17">IFERROR(SUM(_xlfn._xlws.FILTER(Drivers!BD$10:BD$69,(PLSections=$E17)*(PLSummarys=$F17))),0)</f>
        <v>41219</v>
      </c>
      <c r="AC17" s="322" cm="1">
        <f t="array" ref="AC17">IFERROR(SUM(_xlfn._xlws.FILTER(Drivers!BE$10:BE$69,(PLSections=$E17)*(PLSummarys=$F17))),0)</f>
        <v>24463</v>
      </c>
      <c r="AD17" s="322" cm="1">
        <f t="array" ref="AD17">IFERROR(SUM(_xlfn._xlws.FILTER(Drivers!BF$10:BF$69,(PLSections=$E17)*(PLSummarys=$F17))),0)</f>
        <v>43279</v>
      </c>
      <c r="AE17" s="322" cm="1">
        <f t="array" ref="AE17">IFERROR(SUM(_xlfn._xlws.FILTER(Drivers!BG$10:BG$69,(PLSections=$E17)*(PLSummarys=$F17))),0)</f>
        <v>45443</v>
      </c>
      <c r="AF17" s="322" cm="1">
        <f t="array" ref="AF17">IFERROR(SUM(_xlfn._xlws.FILTER(Drivers!BH$10:BH$69,(PLSections=$E17)*(PLSummarys=$F17))),0)</f>
        <v>45443</v>
      </c>
      <c r="AG17" s="322" cm="1">
        <f t="array" ref="AG17">IFERROR(SUM(_xlfn._xlws.FILTER(Drivers!BI$10:BI$69,(PLSections=$E17)*(PLSummarys=$F17))),0)</f>
        <v>47716</v>
      </c>
      <c r="AH17" s="322" cm="1">
        <f t="array" ref="AH17">IFERROR(SUM(_xlfn._xlws.FILTER(Drivers!BJ$10:BJ$69,(PLSections=$E17)*(PLSummarys=$F17))),0)</f>
        <v>47716.34</v>
      </c>
      <c r="AI17" s="322" cm="1">
        <f t="array" ref="AI17">IFERROR(SUM(_xlfn._xlws.FILTER(Drivers!BK$10:BK$69,(PLSections=$E17)*(PLSummarys=$F17))),0)</f>
        <v>50101.34</v>
      </c>
      <c r="AJ17" s="322" cm="1">
        <f t="array" ref="AJ17">IFERROR(SUM(_xlfn._xlws.FILTER(Drivers!BL$10:BL$69,(PLSections=$E17)*(PLSummarys=$F17))),0)</f>
        <v>52608</v>
      </c>
      <c r="AK17" s="322" cm="1">
        <f t="array" ref="AK17">IFERROR(SUM(_xlfn._xlws.FILTER(Drivers!BM$10:BM$69,(PLSections=$E17)*(PLSummarys=$F17))),0)</f>
        <v>55236.87</v>
      </c>
      <c r="AL17" s="322" cm="1">
        <f t="array" ref="AL17">IFERROR(SUM(_xlfn._xlws.FILTER(Drivers!BN$10:BN$69,(PLSections=$E17)*(PLSummarys=$F17))),0)</f>
        <v>57999</v>
      </c>
      <c r="AM17" s="322" cm="1">
        <f t="array" ref="AM17">IFERROR(SUM(_xlfn._xlws.FILTER(Drivers!BO$10:BO$69,(PLSections=$E17)*(PLSummarys=$F17))),0)</f>
        <v>60899</v>
      </c>
      <c r="AN17" s="322" cm="1">
        <f t="array" ref="AN17">IFERROR(SUM(_xlfn._xlws.FILTER(Drivers!BP$10:BP$69,(PLSections=$E17)*(PLSummarys=$F17))),0)</f>
        <v>63944</v>
      </c>
      <c r="AO17" s="322" cm="1">
        <f t="array" ref="AO17">IFERROR(SUM(_xlfn._xlws.FILTER(Drivers!BQ$10:BQ$69,(PLSections=$E17)*(PLSummarys=$F17))),0)</f>
        <v>67141</v>
      </c>
      <c r="AP17" s="322" cm="1">
        <f t="array" ref="AP17">IFERROR(SUM(_xlfn._xlws.FILTER(Drivers!BR$10:BR$69,(PLSections=$E17)*(PLSummarys=$F17))),0)</f>
        <v>70497.840000000011</v>
      </c>
      <c r="AQ17" s="322" cm="1">
        <f t="array" ref="AQ17">IFERROR(SUM(_xlfn._xlws.FILTER(Drivers!BS$10:BS$69,(PLSections=$E17)*(PLSummarys=$F17))),0)</f>
        <v>74022.679999999993</v>
      </c>
      <c r="AR17" s="322" cm="1">
        <f t="array" ref="AR17">IFERROR(SUM(_xlfn._xlws.FILTER(Drivers!BT$10:BT$69,(PLSections=$E17)*(PLSummarys=$F17))),0)</f>
        <v>77723.81</v>
      </c>
      <c r="AS17" s="322" cm="1">
        <f t="array" ref="AS17">IFERROR(SUM(_xlfn._xlws.FILTER(Drivers!BU$10:BU$69,(PLSections=$E17)*(PLSummarys=$F17))),0)</f>
        <v>81610.000000000015</v>
      </c>
      <c r="AT17" s="322" cm="1">
        <f t="array" ref="AT17">IFERROR(SUM(_xlfn._xlws.FILTER(Drivers!BV$10:BV$69,(PLSections=$E17)*(PLSummarys=$F17))),0)</f>
        <v>85690.499999999985</v>
      </c>
      <c r="AU17" s="322" cm="1">
        <f t="array" ref="AU17">IFERROR(SUM(_xlfn._xlws.FILTER(Drivers!BW$10:BW$69,(PLSections=$E17)*(PLSummarys=$F17))),0)</f>
        <v>89975.01</v>
      </c>
      <c r="AV17" s="322" cm="1">
        <f t="array" ref="AV17">IFERROR(SUM(_xlfn._xlws.FILTER(Drivers!BX$10:BX$69,(PLSections=$E17)*(PLSummarys=$F17))),0)</f>
        <v>64270.833333333328</v>
      </c>
      <c r="AW17" s="322" cm="1">
        <f t="array" ref="AW17">IFERROR(SUM(_xlfn._xlws.FILTER(Drivers!BY$10:BY$69,(PLSections=$E17)*(PLSummarys=$F17))),0)</f>
        <v>49270.833333333328</v>
      </c>
      <c r="AX17" s="322" cm="1">
        <f t="array" ref="AX17">IFERROR(SUM(_xlfn._xlws.FILTER(Drivers!BZ$10:BZ$69,(PLSections=$E17)*(PLSummarys=$F17))),0)</f>
        <v>49270.833333333328</v>
      </c>
      <c r="AY17" s="322" cm="1">
        <f t="array" ref="AY17">IFERROR(SUM(_xlfn._xlws.FILTER(Drivers!CA$10:CA$69,(PLSections=$E17)*(PLSummarys=$F17))),0)</f>
        <v>49270.833333333328</v>
      </c>
      <c r="AZ17" s="322" cm="1">
        <f t="array" ref="AZ17">IFERROR(SUM(_xlfn._xlws.FILTER(Drivers!CB$10:CB$69,(PLSections=$E17)*(PLSummarys=$F17))),0)</f>
        <v>73906.249999999985</v>
      </c>
      <c r="BA17" s="322" cm="1">
        <f t="array" ref="BA17">IFERROR(SUM(_xlfn._xlws.FILTER(Drivers!CC$10:CC$69,(PLSections=$E17)*(PLSummarys=$F17))),0)</f>
        <v>73906.249999999985</v>
      </c>
      <c r="BB17" s="322" cm="1">
        <f t="array" ref="BB17">IFERROR(SUM(_xlfn._xlws.FILTER(Drivers!CD$10:CD$69,(PLSections=$E17)*(PLSummarys=$F17))),0)</f>
        <v>78206.25</v>
      </c>
      <c r="BC17" s="322" cm="1">
        <f t="array" ref="BC17">IFERROR(SUM(_xlfn._xlws.FILTER(Drivers!CE$10:CE$69,(PLSections=$E17)*(PLSummarys=$F17))),0)</f>
        <v>81789.583333333328</v>
      </c>
      <c r="BD17" s="322" cm="1">
        <f t="array" ref="BD17">IFERROR(SUM(_xlfn._xlws.FILTER(Drivers!CF$10:CF$69,(PLSections=$E17)*(PLSummarys=$F17))),0)</f>
        <v>81789.583333333328</v>
      </c>
      <c r="BE17" s="322" cm="1">
        <f t="array" ref="BE17">IFERROR(SUM(_xlfn._xlws.FILTER(Drivers!CG$10:CG$69,(PLSections=$E17)*(PLSummarys=$F17))),0)</f>
        <v>81789.583333333328</v>
      </c>
      <c r="BF17" s="322" cm="1">
        <f t="array" ref="BF17">IFERROR(SUM(_xlfn._xlws.FILTER(Drivers!CH$10:CH$69,(PLSections=$E17)*(PLSummarys=$F17))),0)</f>
        <v>81789.583333333328</v>
      </c>
      <c r="BG17" s="322" cm="1">
        <f t="array" ref="BG17">IFERROR(SUM(_xlfn._xlws.FILTER(Drivers!CI$10:CI$69,(PLSections=$E17)*(PLSummarys=$F17))),0)</f>
        <v>81789.583333333328</v>
      </c>
      <c r="BH17" s="322" cm="1">
        <f t="array" ref="BH17">IFERROR(SUM(_xlfn._xlws.FILTER(Drivers!CJ$10:CJ$69,(PLSections=$E17)*(PLSummarys=$F17))),0)</f>
        <v>96789.583333333328</v>
      </c>
    </row>
    <row r="18" spans="2:60" ht="16.5" customHeight="1" outlineLevel="1">
      <c r="B18" s="326"/>
      <c r="C18" s="328"/>
      <c r="D18" s="288" t="s">
        <v>126</v>
      </c>
      <c r="E18" s="277" t="s">
        <v>101</v>
      </c>
      <c r="F18" s="277" t="s">
        <v>126</v>
      </c>
      <c r="G18" s="277"/>
      <c r="H18" s="277"/>
      <c r="I18" s="277"/>
      <c r="J18" s="314"/>
      <c r="L18" s="322" cm="1">
        <f t="array" ref="L18">IFERROR(SUM(_xlfn._xlws.FILTER(Drivers!AN$10:AN$69,(PLSections=$E18)*(PLSummarys=$F18))),0)</f>
        <v>0</v>
      </c>
      <c r="M18" s="322" cm="1">
        <f t="array" ref="M18">IFERROR(SUM(_xlfn._xlws.FILTER(Drivers!AO$10:AO$69,(PLSections=$E18)*(PLSummarys=$F18))),0)</f>
        <v>4500</v>
      </c>
      <c r="N18" s="322" cm="1">
        <f t="array" ref="N18">IFERROR(SUM(_xlfn._xlws.FILTER(Drivers!AP$10:AP$69,(PLSections=$E18)*(PLSummarys=$F18))),0)</f>
        <v>4658</v>
      </c>
      <c r="O18" s="322" cm="1">
        <f t="array" ref="O18">IFERROR(SUM(_xlfn._xlws.FILTER(Drivers!AQ$10:AQ$69,(PLSections=$E18)*(PLSummarys=$F18))),0)</f>
        <v>4820</v>
      </c>
      <c r="P18" s="322" cm="1">
        <f t="array" ref="P18">IFERROR(SUM(_xlfn._xlws.FILTER(Drivers!AR$10:AR$69,(PLSections=$E18)*(PLSummarys=$F18))),0)</f>
        <v>4989</v>
      </c>
      <c r="Q18" s="322" cm="1">
        <f t="array" ref="Q18">IFERROR(SUM(_xlfn._xlws.FILTER(Drivers!AS$10:AS$69,(PLSections=$E18)*(PLSummarys=$F18))),0)</f>
        <v>5164</v>
      </c>
      <c r="R18" s="322" cm="1">
        <f t="array" ref="R18">IFERROR(SUM(_xlfn._xlws.FILTER(Drivers!AT$10:AT$69,(PLSections=$E18)*(PLSummarys=$F18))),0)</f>
        <v>5345</v>
      </c>
      <c r="S18" s="322" cm="1">
        <f t="array" ref="S18">IFERROR(SUM(_xlfn._xlws.FILTER(Drivers!AU$10:AU$69,(PLSections=$E18)*(PLSummarys=$F18))),0)</f>
        <v>5532</v>
      </c>
      <c r="T18" s="322" cm="1">
        <f t="array" ref="T18">IFERROR(SUM(_xlfn._xlws.FILTER(Drivers!AV$10:AV$69,(PLSections=$E18)*(PLSummarys=$F18))),0)</f>
        <v>5725</v>
      </c>
      <c r="U18" s="322" cm="1">
        <f t="array" ref="U18">IFERROR(SUM(_xlfn._xlws.FILTER(Drivers!AW$10:AW$69,(PLSections=$E18)*(PLSummarys=$F18))),0)</f>
        <v>5926</v>
      </c>
      <c r="V18" s="322" cm="1">
        <f t="array" ref="V18">IFERROR(SUM(_xlfn._xlws.FILTER(Drivers!AX$10:AX$69,(PLSections=$E18)*(PLSummarys=$F18))),0)</f>
        <v>6133</v>
      </c>
      <c r="W18" s="322" cm="1">
        <f t="array" ref="W18">IFERROR(SUM(_xlfn._xlws.FILTER(Drivers!AY$10:AY$69,(PLSections=$E18)*(PLSummarys=$F18))),0)</f>
        <v>7780</v>
      </c>
      <c r="X18" s="322" cm="1">
        <f t="array" ref="X18">IFERROR(SUM(_xlfn._xlws.FILTER(Drivers!AZ$10:AZ$69,(PLSections=$E18)*(PLSummarys=$F18))),0)</f>
        <v>13465</v>
      </c>
      <c r="Y18" s="322" cm="1">
        <f t="array" ref="Y18">IFERROR(SUM(_xlfn._xlws.FILTER(Drivers!BA$10:BA$69,(PLSections=$E18)*(PLSummarys=$F18))),0)</f>
        <v>8168</v>
      </c>
      <c r="Z18" s="322" cm="1">
        <f t="array" ref="Z18">IFERROR(SUM(_xlfn._xlws.FILTER(Drivers!BB$10:BB$69,(PLSections=$E18)*(PLSummarys=$F18))),0)</f>
        <v>14138</v>
      </c>
      <c r="AA18" s="322" cm="1">
        <f t="array" ref="AA18">IFERROR(SUM(_xlfn._xlws.FILTER(Drivers!BC$10:BC$69,(PLSections=$E18)*(PLSummarys=$F18))),0)</f>
        <v>8577</v>
      </c>
      <c r="AB18" s="322" cm="1">
        <f t="array" ref="AB18">IFERROR(SUM(_xlfn._xlws.FILTER(Drivers!BD$10:BD$69,(PLSections=$E18)*(PLSummarys=$F18))),0)</f>
        <v>14845</v>
      </c>
      <c r="AC18" s="322" cm="1">
        <f t="array" ref="AC18">IFERROR(SUM(_xlfn._xlws.FILTER(Drivers!BE$10:BE$69,(PLSections=$E18)*(PLSummarys=$F18))),0)</f>
        <v>9005</v>
      </c>
      <c r="AD18" s="322" cm="1">
        <f t="array" ref="AD18">IFERROR(SUM(_xlfn._xlws.FILTER(Drivers!BF$10:BF$69,(PLSections=$E18)*(PLSummarys=$F18))),0)</f>
        <v>15587</v>
      </c>
      <c r="AE18" s="322" cm="1">
        <f t="array" ref="AE18">IFERROR(SUM(_xlfn._xlws.FILTER(Drivers!BG$10:BG$69,(PLSections=$E18)*(PLSummarys=$F18))),0)</f>
        <v>16368</v>
      </c>
      <c r="AF18" s="322" cm="1">
        <f t="array" ref="AF18">IFERROR(SUM(_xlfn._xlws.FILTER(Drivers!BH$10:BH$69,(PLSections=$E18)*(PLSummarys=$F18))),0)</f>
        <v>16368</v>
      </c>
      <c r="AG18" s="322" cm="1">
        <f t="array" ref="AG18">IFERROR(SUM(_xlfn._xlws.FILTER(Drivers!BI$10:BI$69,(PLSections=$E18)*(PLSummarys=$F18))),0)</f>
        <v>17184</v>
      </c>
      <c r="AH18" s="322" cm="1">
        <f t="array" ref="AH18">IFERROR(SUM(_xlfn._xlws.FILTER(Drivers!BJ$10:BJ$69,(PLSections=$E18)*(PLSummarys=$F18))),0)</f>
        <v>17184</v>
      </c>
      <c r="AI18" s="322" cm="1">
        <f t="array" ref="AI18">IFERROR(SUM(_xlfn._xlws.FILTER(Drivers!BK$10:BK$69,(PLSections=$E18)*(PLSummarys=$F18))),0)</f>
        <v>18045</v>
      </c>
      <c r="AJ18" s="322" cm="1">
        <f t="array" ref="AJ18">IFERROR(SUM(_xlfn._xlws.FILTER(Drivers!BL$10:BL$69,(PLSections=$E18)*(PLSummarys=$F18))),0)</f>
        <v>18946</v>
      </c>
      <c r="AK18" s="322" cm="1">
        <f t="array" ref="AK18">IFERROR(SUM(_xlfn._xlws.FILTER(Drivers!BM$10:BM$69,(PLSections=$E18)*(PLSummarys=$F18))),0)</f>
        <v>19893.72</v>
      </c>
      <c r="AL18" s="322" cm="1">
        <f t="array" ref="AL18">IFERROR(SUM(_xlfn._xlws.FILTER(Drivers!BN$10:BN$69,(PLSections=$E18)*(PLSummarys=$F18))),0)</f>
        <v>20888</v>
      </c>
      <c r="AM18" s="322" cm="1">
        <f t="array" ref="AM18">IFERROR(SUM(_xlfn._xlws.FILTER(Drivers!BO$10:BO$69,(PLSections=$E18)*(PLSummarys=$F18))),0)</f>
        <v>21933</v>
      </c>
      <c r="AN18" s="322" cm="1">
        <f t="array" ref="AN18">IFERROR(SUM(_xlfn._xlws.FILTER(Drivers!BP$10:BP$69,(PLSections=$E18)*(PLSummarys=$F18))),0)</f>
        <v>23029</v>
      </c>
      <c r="AO18" s="322" cm="1">
        <f t="array" ref="AO18">IFERROR(SUM(_xlfn._xlws.FILTER(Drivers!BQ$10:BQ$69,(PLSections=$E18)*(PLSummarys=$F18))),0)</f>
        <v>24181</v>
      </c>
      <c r="AP18" s="322" cm="1">
        <f t="array" ref="AP18">IFERROR(SUM(_xlfn._xlws.FILTER(Drivers!BR$10:BR$69,(PLSections=$E18)*(PLSummarys=$F18))),0)</f>
        <v>25390</v>
      </c>
      <c r="AQ18" s="322" cm="1">
        <f t="array" ref="AQ18">IFERROR(SUM(_xlfn._xlws.FILTER(Drivers!BS$10:BS$69,(PLSections=$E18)*(PLSummarys=$F18))),0)</f>
        <v>26659.489999999998</v>
      </c>
      <c r="AR18" s="322" cm="1">
        <f t="array" ref="AR18">IFERROR(SUM(_xlfn._xlws.FILTER(Drivers!BT$10:BT$69,(PLSections=$E18)*(PLSummarys=$F18))),0)</f>
        <v>27992.46</v>
      </c>
      <c r="AS18" s="322" cm="1">
        <f t="array" ref="AS18">IFERROR(SUM(_xlfn._xlws.FILTER(Drivers!BU$10:BU$69,(PLSections=$E18)*(PLSummarys=$F18))),0)</f>
        <v>29392.09</v>
      </c>
      <c r="AT18" s="322" cm="1">
        <f t="array" ref="AT18">IFERROR(SUM(_xlfn._xlws.FILTER(Drivers!BV$10:BV$69,(PLSections=$E18)*(PLSummarys=$F18))),0)</f>
        <v>30861.69</v>
      </c>
      <c r="AU18" s="322" cm="1">
        <f t="array" ref="AU18">IFERROR(SUM(_xlfn._xlws.FILTER(Drivers!BW$10:BW$69,(PLSections=$E18)*(PLSummarys=$F18))),0)</f>
        <v>32404.78</v>
      </c>
      <c r="AV18" s="322" cm="1">
        <f t="array" ref="AV18">IFERROR(SUM(_xlfn._xlws.FILTER(Drivers!BX$10:BX$69,(PLSections=$E18)*(PLSummarys=$F18))),0)</f>
        <v>30222.589249999997</v>
      </c>
      <c r="AW18" s="322" cm="1">
        <f t="array" ref="AW18">IFERROR(SUM(_xlfn._xlws.FILTER(Drivers!BY$10:BY$69,(PLSections=$E18)*(PLSummarys=$F18))),0)</f>
        <v>31068.292368750004</v>
      </c>
      <c r="AX18" s="322" cm="1">
        <f t="array" ref="AX18">IFERROR(SUM(_xlfn._xlws.FILTER(Drivers!BZ$10:BZ$69,(PLSections=$E18)*(PLSummarys=$F18))),0)</f>
        <v>31839.83278328125</v>
      </c>
      <c r="AY18" s="322" cm="1">
        <f t="array" ref="AY18">IFERROR(SUM(_xlfn._xlws.FILTER(Drivers!CA$10:CA$69,(PLSections=$E18)*(PLSummarys=$F18))),0)</f>
        <v>32513.123020355473</v>
      </c>
      <c r="AZ18" s="322" cm="1">
        <f t="array" ref="AZ18">IFERROR(SUM(_xlfn._xlws.FILTER(Drivers!CB$10:CB$69,(PLSections=$E18)*(PLSummarys=$F18))),0)</f>
        <v>33059.303798917681</v>
      </c>
      <c r="BA18" s="322" cm="1">
        <f t="array" ref="BA18">IFERROR(SUM(_xlfn._xlws.FILTER(Drivers!CC$10:CC$69,(PLSections=$E18)*(PLSummarys=$F18))),0)</f>
        <v>33443.886213728278</v>
      </c>
      <c r="BB18" s="322" cm="1">
        <f t="array" ref="BB18">IFERROR(SUM(_xlfn._xlws.FILTER(Drivers!CD$10:CD$69,(PLSections=$E18)*(PLSummarys=$F18))),0)</f>
        <v>33625.729801130721</v>
      </c>
      <c r="BC18" s="322" cm="1">
        <f t="array" ref="BC18">IFERROR(SUM(_xlfn._xlws.FILTER(Drivers!CE$10:CE$69,(PLSections=$E18)*(PLSummarys=$F18))),0)</f>
        <v>34221.279397578597</v>
      </c>
      <c r="BD18" s="322" cm="1">
        <f t="array" ref="BD18">IFERROR(SUM(_xlfn._xlws.FILTER(Drivers!CF$10:CF$69,(PLSections=$E18)*(PLSummarys=$F18))),0)</f>
        <v>34773.052127623603</v>
      </c>
      <c r="BE18" s="322" cm="1">
        <f t="array" ref="BE18">IFERROR(SUM(_xlfn._xlws.FILTER(Drivers!CG$10:CG$69,(PLSections=$E18)*(PLSummarys=$F18))),0)</f>
        <v>35286.365512883516</v>
      </c>
      <c r="BF18" s="322" cm="1">
        <f t="array" ref="BF18">IFERROR(SUM(_xlfn._xlws.FILTER(Drivers!CH$10:CH$69,(PLSections=$E18)*(PLSummarys=$F18))),0)</f>
        <v>35771.682949075919</v>
      </c>
      <c r="BG18" s="322" cm="1">
        <f t="array" ref="BG18">IFERROR(SUM(_xlfn._xlws.FILTER(Drivers!CI$10:CI$69,(PLSections=$E18)*(PLSummarys=$F18))),0)</f>
        <v>36246.349300353613</v>
      </c>
      <c r="BH18" s="322" cm="1">
        <f t="array" ref="BH18">IFERROR(SUM(_xlfn._xlws.FILTER(Drivers!CJ$10:CJ$69,(PLSections=$E18)*(PLSummarys=$F18))),0)</f>
        <v>36736.780340513047</v>
      </c>
    </row>
    <row r="19" spans="2:60" ht="16.5" customHeight="1" outlineLevel="1">
      <c r="B19" s="326"/>
      <c r="C19" s="328"/>
      <c r="D19" s="288" t="s">
        <v>127</v>
      </c>
      <c r="E19" s="277" t="s">
        <v>101</v>
      </c>
      <c r="F19" s="277" t="s">
        <v>127</v>
      </c>
      <c r="G19" s="277"/>
      <c r="H19" s="277"/>
      <c r="I19" s="277"/>
      <c r="J19" s="314"/>
      <c r="L19" s="322" cm="1">
        <f t="array" ref="L19">IFERROR(SUM(_xlfn._xlws.FILTER(Drivers!AN$10:AN$69,(PLSections=$E19)*(PLSummarys=$F19))),0)</f>
        <v>0</v>
      </c>
      <c r="M19" s="322" cm="1">
        <f t="array" ref="M19">IFERROR(SUM(_xlfn._xlws.FILTER(Drivers!AO$10:AO$69,(PLSections=$E19)*(PLSummarys=$F19))),0)</f>
        <v>1700</v>
      </c>
      <c r="N19" s="322" cm="1">
        <f t="array" ref="N19">IFERROR(SUM(_xlfn._xlws.FILTER(Drivers!AP$10:AP$69,(PLSections=$E19)*(PLSummarys=$F19))),0)</f>
        <v>1760</v>
      </c>
      <c r="O19" s="322" cm="1">
        <f t="array" ref="O19">IFERROR(SUM(_xlfn._xlws.FILTER(Drivers!AQ$10:AQ$69,(PLSections=$E19)*(PLSummarys=$F19))),0)</f>
        <v>1822</v>
      </c>
      <c r="P19" s="322" cm="1">
        <f t="array" ref="P19">IFERROR(SUM(_xlfn._xlws.FILTER(Drivers!AR$10:AR$69,(PLSections=$E19)*(PLSummarys=$F19))),0)</f>
        <v>1884</v>
      </c>
      <c r="Q19" s="322" cm="1">
        <f t="array" ref="Q19">IFERROR(SUM(_xlfn._xlws.FILTER(Drivers!AS$10:AS$69,(PLSections=$E19)*(PLSummarys=$F19))),0)</f>
        <v>1951</v>
      </c>
      <c r="R19" s="322" cm="1">
        <f t="array" ref="R19">IFERROR(SUM(_xlfn._xlws.FILTER(Drivers!AT$10:AT$69,(PLSections=$E19)*(PLSummarys=$F19))),0)</f>
        <v>2020</v>
      </c>
      <c r="S19" s="322" cm="1">
        <f t="array" ref="S19">IFERROR(SUM(_xlfn._xlws.FILTER(Drivers!AU$10:AU$69,(PLSections=$E19)*(PLSummarys=$F19))),0)</f>
        <v>2090</v>
      </c>
      <c r="T19" s="322" cm="1">
        <f t="array" ref="T19">IFERROR(SUM(_xlfn._xlws.FILTER(Drivers!AV$10:AV$69,(PLSections=$E19)*(PLSummarys=$F19))),0)</f>
        <v>2162</v>
      </c>
      <c r="U19" s="322" cm="1">
        <f t="array" ref="U19">IFERROR(SUM(_xlfn._xlws.FILTER(Drivers!AW$10:AW$69,(PLSections=$E19)*(PLSummarys=$F19))),0)</f>
        <v>2238</v>
      </c>
      <c r="V19" s="322" cm="1">
        <f t="array" ref="V19">IFERROR(SUM(_xlfn._xlws.FILTER(Drivers!AX$10:AX$69,(PLSections=$E19)*(PLSummarys=$F19))),0)</f>
        <v>2317</v>
      </c>
      <c r="W19" s="322" cm="1">
        <f t="array" ref="W19">IFERROR(SUM(_xlfn._xlws.FILTER(Drivers!AY$10:AY$69,(PLSections=$E19)*(PLSummarys=$F19))),0)</f>
        <v>2887</v>
      </c>
      <c r="X19" s="322" cm="1">
        <f t="array" ref="X19">IFERROR(SUM(_xlfn._xlws.FILTER(Drivers!AZ$10:AZ$69,(PLSections=$E19)*(PLSummarys=$F19))),0)</f>
        <v>4535.5</v>
      </c>
      <c r="Y19" s="322" cm="1">
        <f t="array" ref="Y19">IFERROR(SUM(_xlfn._xlws.FILTER(Drivers!BA$10:BA$69,(PLSections=$E19)*(PLSummarys=$F19))),0)</f>
        <v>3031</v>
      </c>
      <c r="Z19" s="322" cm="1">
        <f t="array" ref="Z19">IFERROR(SUM(_xlfn._xlws.FILTER(Drivers!BB$10:BB$69,(PLSections=$E19)*(PLSummarys=$F19))),0)</f>
        <v>4762</v>
      </c>
      <c r="AA19" s="322" cm="1">
        <f t="array" ref="AA19">IFERROR(SUM(_xlfn._xlws.FILTER(Drivers!BC$10:BC$69,(PLSections=$E19)*(PLSummarys=$F19))),0)</f>
        <v>3183</v>
      </c>
      <c r="AB19" s="322" cm="1">
        <f t="array" ref="AB19">IFERROR(SUM(_xlfn._xlws.FILTER(Drivers!BD$10:BD$69,(PLSections=$E19)*(PLSummarys=$F19))),0)</f>
        <v>5001</v>
      </c>
      <c r="AC19" s="322" cm="1">
        <f t="array" ref="AC19">IFERROR(SUM(_xlfn._xlws.FILTER(Drivers!BE$10:BE$69,(PLSections=$E19)*(PLSummarys=$F19))),0)</f>
        <v>3341</v>
      </c>
      <c r="AD19" s="322" cm="1">
        <f t="array" ref="AD19">IFERROR(SUM(_xlfn._xlws.FILTER(Drivers!BF$10:BF$69,(PLSections=$E19)*(PLSummarys=$F19))),0)</f>
        <v>5251</v>
      </c>
      <c r="AE19" s="322" cm="1">
        <f t="array" ref="AE19">IFERROR(SUM(_xlfn._xlws.FILTER(Drivers!BG$10:BG$69,(PLSections=$E19)*(PLSummarys=$F19))),0)</f>
        <v>5514</v>
      </c>
      <c r="AF19" s="322" cm="1">
        <f t="array" ref="AF19">IFERROR(SUM(_xlfn._xlws.FILTER(Drivers!BH$10:BH$69,(PLSections=$E19)*(PLSummarys=$F19))),0)</f>
        <v>5514</v>
      </c>
      <c r="AG19" s="322" cm="1">
        <f t="array" ref="AG19">IFERROR(SUM(_xlfn._xlws.FILTER(Drivers!BI$10:BI$69,(PLSections=$E19)*(PLSummarys=$F19))),0)</f>
        <v>5789</v>
      </c>
      <c r="AH19" s="322" cm="1">
        <f t="array" ref="AH19">IFERROR(SUM(_xlfn._xlws.FILTER(Drivers!BJ$10:BJ$69,(PLSections=$E19)*(PLSummarys=$F19))),0)</f>
        <v>5789</v>
      </c>
      <c r="AI19" s="322" cm="1">
        <f t="array" ref="AI19">IFERROR(SUM(_xlfn._xlws.FILTER(Drivers!BK$10:BK$69,(PLSections=$E19)*(PLSummarys=$F19))),0)</f>
        <v>6078</v>
      </c>
      <c r="AJ19" s="322" cm="1">
        <f t="array" ref="AJ19">IFERROR(SUM(_xlfn._xlws.FILTER(Drivers!BL$10:BL$69,(PLSections=$E19)*(PLSummarys=$F19))),0)</f>
        <v>6383</v>
      </c>
      <c r="AK19" s="322" cm="1">
        <f t="array" ref="AK19">IFERROR(SUM(_xlfn._xlws.FILTER(Drivers!BM$10:BM$69,(PLSections=$E19)*(PLSummarys=$F19))),0)</f>
        <v>6701.46</v>
      </c>
      <c r="AL19" s="322" cm="1">
        <f t="array" ref="AL19">IFERROR(SUM(_xlfn._xlws.FILTER(Drivers!BN$10:BN$69,(PLSections=$E19)*(PLSummarys=$F19))),0)</f>
        <v>7036</v>
      </c>
      <c r="AM19" s="322" cm="1">
        <f t="array" ref="AM19">IFERROR(SUM(_xlfn._xlws.FILTER(Drivers!BO$10:BO$69,(PLSections=$E19)*(PLSummarys=$F19))),0)</f>
        <v>7388</v>
      </c>
      <c r="AN19" s="322" cm="1">
        <f t="array" ref="AN19">IFERROR(SUM(_xlfn._xlws.FILTER(Drivers!BP$10:BP$69,(PLSections=$E19)*(PLSummarys=$F19))),0)</f>
        <v>7758</v>
      </c>
      <c r="AO19" s="322" cm="1">
        <f t="array" ref="AO19">IFERROR(SUM(_xlfn._xlws.FILTER(Drivers!BQ$10:BQ$69,(PLSections=$E19)*(PLSummarys=$F19))),0)</f>
        <v>8146</v>
      </c>
      <c r="AP19" s="322" cm="1">
        <f t="array" ref="AP19">IFERROR(SUM(_xlfn._xlws.FILTER(Drivers!BR$10:BR$69,(PLSections=$E19)*(PLSummarys=$F19))),0)</f>
        <v>8552.9000000000015</v>
      </c>
      <c r="AQ19" s="322" cm="1">
        <f t="array" ref="AQ19">IFERROR(SUM(_xlfn._xlws.FILTER(Drivers!BS$10:BS$69,(PLSections=$E19)*(PLSummarys=$F19))),0)</f>
        <v>8980.5999999999985</v>
      </c>
      <c r="AR19" s="322" cm="1">
        <f t="array" ref="AR19">IFERROR(SUM(_xlfn._xlws.FILTER(Drivers!BT$10:BT$69,(PLSections=$E19)*(PLSummarys=$F19))),0)</f>
        <v>9429.6500000000015</v>
      </c>
      <c r="AS19" s="322" cm="1">
        <f t="array" ref="AS19">IFERROR(SUM(_xlfn._xlws.FILTER(Drivers!BU$10:BU$69,(PLSections=$E19)*(PLSummarys=$F19))),0)</f>
        <v>9901.11</v>
      </c>
      <c r="AT19" s="322" cm="1">
        <f t="array" ref="AT19">IFERROR(SUM(_xlfn._xlws.FILTER(Drivers!BV$10:BV$69,(PLSections=$E19)*(PLSummarys=$F19))),0)</f>
        <v>10396.18</v>
      </c>
      <c r="AU19" s="322" cm="1">
        <f t="array" ref="AU19">IFERROR(SUM(_xlfn._xlws.FILTER(Drivers!BW$10:BW$69,(PLSections=$E19)*(PLSummarys=$F19))),0)</f>
        <v>10915.99</v>
      </c>
      <c r="AV19" s="322" cm="1">
        <f t="array" ref="AV19">IFERROR(SUM(_xlfn._xlws.FILTER(Drivers!BX$10:BX$69,(PLSections=$E19)*(PLSummarys=$F19))),0)</f>
        <v>10180.875249999999</v>
      </c>
      <c r="AW19" s="322" cm="1">
        <f t="array" ref="AW19">IFERROR(SUM(_xlfn._xlws.FILTER(Drivers!BY$10:BY$69,(PLSections=$E19)*(PLSummarys=$F19))),0)</f>
        <v>10465.770918750002</v>
      </c>
      <c r="AX19" s="322" cm="1">
        <f t="array" ref="AX19">IFERROR(SUM(_xlfn._xlws.FILTER(Drivers!BZ$10:BZ$69,(PLSections=$E19)*(PLSummarys=$F19))),0)</f>
        <v>10725.675829531252</v>
      </c>
      <c r="AY19" s="322" cm="1">
        <f t="array" ref="AY19">IFERROR(SUM(_xlfn._xlws.FILTER(Drivers!CA$10:CA$69,(PLSections=$E19)*(PLSummarys=$F19))),0)</f>
        <v>10952.480349699219</v>
      </c>
      <c r="AZ19" s="322" cm="1">
        <f t="array" ref="AZ19">IFERROR(SUM(_xlfn._xlws.FILTER(Drivers!CB$10:CB$69,(PLSections=$E19)*(PLSummarys=$F19))),0)</f>
        <v>11136.470160896584</v>
      </c>
      <c r="BA19" s="322" cm="1">
        <f t="array" ref="BA19">IFERROR(SUM(_xlfn._xlws.FILTER(Drivers!CC$10:CC$69,(PLSections=$E19)*(PLSummarys=$F19))),0)</f>
        <v>11266.020939053484</v>
      </c>
      <c r="BB19" s="322" cm="1">
        <f t="array" ref="BB19">IFERROR(SUM(_xlfn._xlws.FILTER(Drivers!CD$10:CD$69,(PLSections=$E19)*(PLSummarys=$F19))),0)</f>
        <v>11327.276353387844</v>
      </c>
      <c r="BC19" s="322" cm="1">
        <f t="array" ref="BC19">IFERROR(SUM(_xlfn._xlws.FILTER(Drivers!CE$10:CE$69,(PLSections=$E19)*(PLSummarys=$F19))),0)</f>
        <v>11527.896546480717</v>
      </c>
      <c r="BD19" s="322" cm="1">
        <f t="array" ref="BD19">IFERROR(SUM(_xlfn._xlws.FILTER(Drivers!CF$10:CF$69,(PLSections=$E19)*(PLSummarys=$F19))),0)</f>
        <v>11713.768531333593</v>
      </c>
      <c r="BE19" s="322" cm="1">
        <f t="array" ref="BE19">IFERROR(SUM(_xlfn._xlws.FILTER(Drivers!CG$10:CG$69,(PLSections=$E19)*(PLSummarys=$F19))),0)</f>
        <v>11886.684754149002</v>
      </c>
      <c r="BF19" s="322" cm="1">
        <f t="array" ref="BF19">IFERROR(SUM(_xlfn._xlws.FILTER(Drivers!CH$10:CH$69,(PLSections=$E19)*(PLSummarys=$F19))),0)</f>
        <v>12050.170524927715</v>
      </c>
      <c r="BG19" s="322" cm="1">
        <f t="array" ref="BG19">IFERROR(SUM(_xlfn._xlws.FILTER(Drivers!CI$10:CI$69,(PLSections=$E19)*(PLSummarys=$F19))),0)</f>
        <v>12210.068088633165</v>
      </c>
      <c r="BH19" s="322" cm="1">
        <f t="array" ref="BH19">IFERROR(SUM(_xlfn._xlws.FILTER(Drivers!CJ$10:CJ$69,(PLSections=$E19)*(PLSummarys=$F19))),0)</f>
        <v>12375.276339809607</v>
      </c>
    </row>
    <row r="20" spans="2:60" ht="16.5" customHeight="1" outlineLevel="1">
      <c r="B20" s="326"/>
      <c r="C20" s="328"/>
      <c r="D20" s="288" t="s">
        <v>131</v>
      </c>
      <c r="E20" s="277" t="s">
        <v>131</v>
      </c>
      <c r="F20" s="277" t="s">
        <v>131</v>
      </c>
      <c r="G20" s="277"/>
      <c r="H20" s="277"/>
      <c r="I20" s="277"/>
      <c r="J20" s="314"/>
      <c r="L20" s="322" cm="1">
        <f t="array" ref="L20">IFERROR(SUM(_xlfn._xlws.FILTER(Drivers!AN$10:AN$69,(PLSections=$E20)*(PLSummarys=$F20))),0)</f>
        <v>0</v>
      </c>
      <c r="M20" s="322" cm="1">
        <f t="array" ref="M20">IFERROR(SUM(_xlfn._xlws.FILTER(Drivers!AO$10:AO$69,(PLSections=$E20)*(PLSummarys=$F20))),0)</f>
        <v>2569</v>
      </c>
      <c r="N20" s="322" cm="1">
        <f t="array" ref="N20">IFERROR(SUM(_xlfn._xlws.FILTER(Drivers!AP$10:AP$69,(PLSections=$E20)*(PLSummarys=$F20))),0)</f>
        <v>2569</v>
      </c>
      <c r="O20" s="322" cm="1">
        <f t="array" ref="O20">IFERROR(SUM(_xlfn._xlws.FILTER(Drivers!AQ$10:AQ$69,(PLSections=$E20)*(PLSummarys=$F20))),0)</f>
        <v>2639</v>
      </c>
      <c r="P20" s="322" cm="1">
        <f t="array" ref="P20">IFERROR(SUM(_xlfn._xlws.FILTER(Drivers!AR$10:AR$69,(PLSections=$E20)*(PLSummarys=$F20))),0)</f>
        <v>3611.5</v>
      </c>
      <c r="Q20" s="322" cm="1">
        <f t="array" ref="Q20">IFERROR(SUM(_xlfn._xlws.FILTER(Drivers!AS$10:AS$69,(PLSections=$E20)*(PLSummarys=$F20))),0)</f>
        <v>3681</v>
      </c>
      <c r="R20" s="322" cm="1">
        <f t="array" ref="R20">IFERROR(SUM(_xlfn._xlws.FILTER(Drivers!AT$10:AT$69,(PLSections=$E20)*(PLSummarys=$F20))),0)</f>
        <v>3903</v>
      </c>
      <c r="S20" s="322" cm="1">
        <f t="array" ref="S20">IFERROR(SUM(_xlfn._xlws.FILTER(Drivers!AU$10:AU$69,(PLSections=$E20)*(PLSummarys=$F20))),0)</f>
        <v>3903</v>
      </c>
      <c r="T20" s="322" cm="1">
        <f t="array" ref="T20">IFERROR(SUM(_xlfn._xlws.FILTER(Drivers!AV$10:AV$69,(PLSections=$E20)*(PLSummarys=$F20))),0)</f>
        <v>3972</v>
      </c>
      <c r="U20" s="322" cm="1">
        <f t="array" ref="U20">IFERROR(SUM(_xlfn._xlws.FILTER(Drivers!AW$10:AW$69,(PLSections=$E20)*(PLSummarys=$F20))),0)</f>
        <v>3972</v>
      </c>
      <c r="V20" s="322" cm="1">
        <f t="array" ref="V20">IFERROR(SUM(_xlfn._xlws.FILTER(Drivers!AX$10:AX$69,(PLSections=$E20)*(PLSummarys=$F20))),0)</f>
        <v>8972</v>
      </c>
      <c r="W20" s="322" cm="1">
        <f t="array" ref="W20">IFERROR(SUM(_xlfn._xlws.FILTER(Drivers!AY$10:AY$69,(PLSections=$E20)*(PLSummarys=$F20))),0)</f>
        <v>15953</v>
      </c>
      <c r="X20" s="322" cm="1">
        <f t="array" ref="X20">IFERROR(SUM(_xlfn._xlws.FILTER(Drivers!AZ$10:AZ$69,(PLSections=$E20)*(PLSummarys=$F20))),0)</f>
        <v>21495.5</v>
      </c>
      <c r="Y20" s="322" cm="1">
        <f t="array" ref="Y20">IFERROR(SUM(_xlfn._xlws.FILTER(Drivers!BA$10:BA$69,(PLSections=$E20)*(PLSummarys=$F20))),0)</f>
        <v>21495.5</v>
      </c>
      <c r="Z20" s="322" cm="1">
        <f t="array" ref="Z20">IFERROR(SUM(_xlfn._xlws.FILTER(Drivers!BB$10:BB$69,(PLSections=$E20)*(PLSummarys=$F20))),0)</f>
        <v>21496</v>
      </c>
      <c r="AA20" s="322" cm="1">
        <f t="array" ref="AA20">IFERROR(SUM(_xlfn._xlws.FILTER(Drivers!BC$10:BC$69,(PLSections=$E20)*(PLSummarys=$F20))),0)</f>
        <v>21496</v>
      </c>
      <c r="AB20" s="322" cm="1">
        <f t="array" ref="AB20">IFERROR(SUM(_xlfn._xlws.FILTER(Drivers!BD$10:BD$69,(PLSections=$E20)*(PLSummarys=$F20))),0)</f>
        <v>21496</v>
      </c>
      <c r="AC20" s="322" cm="1">
        <f t="array" ref="AC20">IFERROR(SUM(_xlfn._xlws.FILTER(Drivers!BE$10:BE$69,(PLSections=$E20)*(PLSummarys=$F20))),0)</f>
        <v>21496</v>
      </c>
      <c r="AD20" s="322" cm="1">
        <f t="array" ref="AD20">IFERROR(SUM(_xlfn._xlws.FILTER(Drivers!BF$10:BF$69,(PLSections=$E20)*(PLSummarys=$F20))),0)</f>
        <v>21496</v>
      </c>
      <c r="AE20" s="322" cm="1">
        <f t="array" ref="AE20">IFERROR(SUM(_xlfn._xlws.FILTER(Drivers!BG$10:BG$69,(PLSections=$E20)*(PLSummarys=$F20))),0)</f>
        <v>21496</v>
      </c>
      <c r="AF20" s="322" cm="1">
        <f t="array" ref="AF20">IFERROR(SUM(_xlfn._xlws.FILTER(Drivers!BH$10:BH$69,(PLSections=$E20)*(PLSummarys=$F20))),0)</f>
        <v>21496</v>
      </c>
      <c r="AG20" s="322" cm="1">
        <f t="array" ref="AG20">IFERROR(SUM(_xlfn._xlws.FILTER(Drivers!BI$10:BI$69,(PLSections=$E20)*(PLSummarys=$F20))),0)</f>
        <v>21496</v>
      </c>
      <c r="AH20" s="322" cm="1">
        <f t="array" ref="AH20">IFERROR(SUM(_xlfn._xlws.FILTER(Drivers!BJ$10:BJ$69,(PLSections=$E20)*(PLSummarys=$F20))),0)</f>
        <v>21496</v>
      </c>
      <c r="AI20" s="322" cm="1">
        <f t="array" ref="AI20">IFERROR(SUM(_xlfn._xlws.FILTER(Drivers!BK$10:BK$69,(PLSections=$E20)*(PLSummarys=$F20))),0)</f>
        <v>21496</v>
      </c>
      <c r="AJ20" s="322" cm="1">
        <f t="array" ref="AJ20">IFERROR(SUM(_xlfn._xlws.FILTER(Drivers!BL$10:BL$69,(PLSections=$E20)*(PLSummarys=$F20))),0)</f>
        <v>21496</v>
      </c>
      <c r="AK20" s="322" cm="1">
        <f t="array" ref="AK20">IFERROR(SUM(_xlfn._xlws.FILTER(Drivers!BM$10:BM$69,(PLSections=$E20)*(PLSummarys=$F20))),0)</f>
        <v>21495.42</v>
      </c>
      <c r="AL20" s="322" cm="1">
        <f t="array" ref="AL20">IFERROR(SUM(_xlfn._xlws.FILTER(Drivers!BN$10:BN$69,(PLSections=$E20)*(PLSummarys=$F20))),0)</f>
        <v>21495.66</v>
      </c>
      <c r="AM20" s="322" cm="1">
        <f t="array" ref="AM20">IFERROR(SUM(_xlfn._xlws.FILTER(Drivers!BO$10:BO$69,(PLSections=$E20)*(PLSummarys=$F20))),0)</f>
        <v>21495.66</v>
      </c>
      <c r="AN20" s="322" cm="1">
        <f t="array" ref="AN20">IFERROR(SUM(_xlfn._xlws.FILTER(Drivers!BP$10:BP$69,(PLSections=$E20)*(PLSummarys=$F20))),0)</f>
        <v>21495.66</v>
      </c>
      <c r="AO20" s="322" cm="1">
        <f t="array" ref="AO20">IFERROR(SUM(_xlfn._xlws.FILTER(Drivers!BQ$10:BQ$69,(PLSections=$E20)*(PLSummarys=$F20))),0)</f>
        <v>21495.66</v>
      </c>
      <c r="AP20" s="322" cm="1">
        <f t="array" ref="AP20">IFERROR(SUM(_xlfn._xlws.FILTER(Drivers!BR$10:BR$69,(PLSections=$E20)*(PLSummarys=$F20))),0)</f>
        <v>21495.42</v>
      </c>
      <c r="AQ20" s="322" cm="1">
        <f t="array" ref="AQ20">IFERROR(SUM(_xlfn._xlws.FILTER(Drivers!BS$10:BS$69,(PLSections=$E20)*(PLSummarys=$F20))),0)</f>
        <v>21495.42</v>
      </c>
      <c r="AR20" s="322" cm="1">
        <f t="array" ref="AR20">IFERROR(SUM(_xlfn._xlws.FILTER(Drivers!BT$10:BT$69,(PLSections=$E20)*(PLSummarys=$F20))),0)</f>
        <v>21495.42</v>
      </c>
      <c r="AS20" s="322" cm="1">
        <f t="array" ref="AS20">IFERROR(SUM(_xlfn._xlws.FILTER(Drivers!BU$10:BU$69,(PLSections=$E20)*(PLSummarys=$F20))),0)</f>
        <v>21495.42</v>
      </c>
      <c r="AT20" s="322" cm="1">
        <f t="array" ref="AT20">IFERROR(SUM(_xlfn._xlws.FILTER(Drivers!BV$10:BV$69,(PLSections=$E20)*(PLSummarys=$F20))),0)</f>
        <v>21495.42</v>
      </c>
      <c r="AU20" s="322" cm="1">
        <f t="array" ref="AU20">IFERROR(SUM(_xlfn._xlws.FILTER(Drivers!BW$10:BW$69,(PLSections=$E20)*(PLSummarys=$F20))),0)</f>
        <v>21495.42</v>
      </c>
      <c r="AV20" s="322" cm="1">
        <f t="array" ref="AV20">IFERROR(SUM(_xlfn._xlws.FILTER(Drivers!BX$10:BX$69,(PLSections=$E20)*(PLSummarys=$F20))),0)</f>
        <v>22544.814666666665</v>
      </c>
      <c r="AW20" s="322" cm="1">
        <f t="array" ref="AW20">IFERROR(SUM(_xlfn._xlws.FILTER(Drivers!BY$10:BY$69,(PLSections=$E20)*(PLSummarys=$F20))),0)</f>
        <v>22636.761872222225</v>
      </c>
      <c r="AX20" s="322" cm="1">
        <f t="array" ref="AX20">IFERROR(SUM(_xlfn._xlws.FILTER(Drivers!BZ$10:BZ$69,(PLSections=$E20)*(PLSummarys=$F20))),0)</f>
        <v>23104.174838749994</v>
      </c>
      <c r="AY20" s="322" cm="1">
        <f t="array" ref="AY20">IFERROR(SUM(_xlfn._xlws.FILTER(Drivers!CA$10:CA$69,(PLSections=$E20)*(PLSummarys=$F20))),0)</f>
        <v>23257.551741086805</v>
      </c>
      <c r="AZ20" s="322" cm="1">
        <f t="array" ref="AZ20">IFERROR(SUM(_xlfn._xlws.FILTER(Drivers!CB$10:CB$69,(PLSections=$E20)*(PLSummarys=$F20))),0)</f>
        <v>22547.144601332555</v>
      </c>
      <c r="BA20" s="322" cm="1">
        <f t="array" ref="BA20">IFERROR(SUM(_xlfn._xlws.FILTER(Drivers!CC$10:CC$69,(PLSections=$E20)*(PLSummarys=$F20))),0)</f>
        <v>23201.999545454637</v>
      </c>
      <c r="BB20" s="322" cm="1">
        <f t="array" ref="BB20">IFERROR(SUM(_xlfn._xlws.FILTER(Drivers!CD$10:CD$69,(PLSections=$E20)*(PLSummarys=$F20))),0)</f>
        <v>23341.245771464753</v>
      </c>
      <c r="BC20" s="322" cm="1">
        <f t="array" ref="BC20">IFERROR(SUM(_xlfn._xlws.FILTER(Drivers!CE$10:CE$69,(PLSections=$E20)*(PLSummarys=$F20))),0)</f>
        <v>23604.57954813775</v>
      </c>
      <c r="BD20" s="322" cm="1">
        <f t="array" ref="BD20">IFERROR(SUM(_xlfn._xlws.FILTER(Drivers!CF$10:CF$69,(PLSections=$E20)*(PLSummarys=$F20))),0)</f>
        <v>23816.308752534078</v>
      </c>
      <c r="BE20" s="322" cm="1">
        <f t="array" ref="BE20">IFERROR(SUM(_xlfn._xlws.FILTER(Drivers!CG$10:CG$69,(PLSections=$E20)*(PLSummarys=$F20))),0)</f>
        <v>24113.501631890736</v>
      </c>
      <c r="BF20" s="322" cm="1">
        <f t="array" ref="BF20">IFERROR(SUM(_xlfn._xlws.FILTER(Drivers!CH$10:CH$69,(PLSections=$E20)*(PLSummarys=$F20))),0)</f>
        <v>24423.709529448093</v>
      </c>
      <c r="BG20" s="322" cm="1">
        <f t="array" ref="BG20">IFERROR(SUM(_xlfn._xlws.FILTER(Drivers!CI$10:CI$69,(PLSections=$E20)*(PLSummarys=$F20))),0)</f>
        <v>24742.386169646088</v>
      </c>
      <c r="BH20" s="322" cm="1">
        <f t="array" ref="BH20">IFERROR(SUM(_xlfn._xlws.FILTER(Drivers!CJ$10:CJ$69,(PLSections=$E20)*(PLSummarys=$F20))),0)</f>
        <v>25062.99549554626</v>
      </c>
    </row>
    <row r="21" spans="2:60" ht="18" customHeight="1" outlineLevel="1">
      <c r="B21" s="326"/>
      <c r="C21" s="325"/>
      <c r="D21" s="288" t="s">
        <v>130</v>
      </c>
      <c r="E21" s="327" t="s">
        <v>130</v>
      </c>
      <c r="F21" s="277" t="s">
        <v>130</v>
      </c>
      <c r="G21" s="277"/>
      <c r="H21" s="277"/>
      <c r="I21" s="277"/>
      <c r="J21" s="314"/>
      <c r="L21" s="322" cm="1">
        <f t="array" ref="L21">IFERROR(SUM(_xlfn._xlws.FILTER(Drivers!AN$10:AN$69,(PLSections=$E21)*(PLSummarys=$F21))),0)</f>
        <v>0</v>
      </c>
      <c r="M21" s="322" cm="1">
        <f t="array" ref="M21">IFERROR(SUM(_xlfn._xlws.FILTER(Drivers!AO$10:AO$69,(PLSections=$E21)*(PLSummarys=$F21))),0)</f>
        <v>0</v>
      </c>
      <c r="N21" s="322" cm="1">
        <f t="array" ref="N21">IFERROR(SUM(_xlfn._xlws.FILTER(Drivers!AP$10:AP$69,(PLSections=$E21)*(PLSummarys=$F21))),0)</f>
        <v>0</v>
      </c>
      <c r="O21" s="322" cm="1">
        <f t="array" ref="O21">IFERROR(SUM(_xlfn._xlws.FILTER(Drivers!AQ$10:AQ$69,(PLSections=$E21)*(PLSummarys=$F21))),0)</f>
        <v>0</v>
      </c>
      <c r="P21" s="322" cm="1">
        <f t="array" ref="P21">IFERROR(SUM(_xlfn._xlws.FILTER(Drivers!AR$10:AR$69,(PLSections=$E21)*(PLSummarys=$F21))),0)</f>
        <v>0</v>
      </c>
      <c r="Q21" s="322" cm="1">
        <f t="array" ref="Q21">IFERROR(SUM(_xlfn._xlws.FILTER(Drivers!AS$10:AS$69,(PLSections=$E21)*(PLSummarys=$F21))),0)</f>
        <v>0</v>
      </c>
      <c r="R21" s="322" cm="1">
        <f t="array" ref="R21">IFERROR(SUM(_xlfn._xlws.FILTER(Drivers!AT$10:AT$69,(PLSections=$E21)*(PLSummarys=$F21))),0)</f>
        <v>0</v>
      </c>
      <c r="S21" s="322" cm="1">
        <f t="array" ref="S21">IFERROR(SUM(_xlfn._xlws.FILTER(Drivers!AU$10:AU$69,(PLSections=$E21)*(PLSummarys=$F21))),0)</f>
        <v>0</v>
      </c>
      <c r="T21" s="322" cm="1">
        <f t="array" ref="T21">IFERROR(SUM(_xlfn._xlws.FILTER(Drivers!AV$10:AV$69,(PLSections=$E21)*(PLSummarys=$F21))),0)</f>
        <v>0</v>
      </c>
      <c r="U21" s="322" cm="1">
        <f t="array" ref="U21">IFERROR(SUM(_xlfn._xlws.FILTER(Drivers!AW$10:AW$69,(PLSections=$E21)*(PLSummarys=$F21))),0)</f>
        <v>0</v>
      </c>
      <c r="V21" s="322" cm="1">
        <f t="array" ref="V21">IFERROR(SUM(_xlfn._xlws.FILTER(Drivers!AX$10:AX$69,(PLSections=$E21)*(PLSummarys=$F21))),0)</f>
        <v>0</v>
      </c>
      <c r="W21" s="322" cm="1">
        <f t="array" ref="W21">IFERROR(SUM(_xlfn._xlws.FILTER(Drivers!AY$10:AY$69,(PLSections=$E21)*(PLSummarys=$F21))),0)</f>
        <v>0</v>
      </c>
      <c r="X21" s="322" cm="1">
        <f t="array" ref="X21">IFERROR(SUM(_xlfn._xlws.FILTER(Drivers!AZ$10:AZ$69,(PLSections=$E21)*(PLSummarys=$F21))),0)</f>
        <v>0</v>
      </c>
      <c r="Y21" s="322" cm="1">
        <f t="array" ref="Y21">IFERROR(SUM(_xlfn._xlws.FILTER(Drivers!BA$10:BA$69,(PLSections=$E21)*(PLSummarys=$F21))),0)</f>
        <v>0</v>
      </c>
      <c r="Z21" s="322" cm="1">
        <f t="array" ref="Z21">IFERROR(SUM(_xlfn._xlws.FILTER(Drivers!BB$10:BB$69,(PLSections=$E21)*(PLSummarys=$F21))),0)</f>
        <v>0</v>
      </c>
      <c r="AA21" s="322" cm="1">
        <f t="array" ref="AA21">IFERROR(SUM(_xlfn._xlws.FILTER(Drivers!BC$10:BC$69,(PLSections=$E21)*(PLSummarys=$F21))),0)</f>
        <v>0</v>
      </c>
      <c r="AB21" s="322" cm="1">
        <f t="array" ref="AB21">IFERROR(SUM(_xlfn._xlws.FILTER(Drivers!BD$10:BD$69,(PLSections=$E21)*(PLSummarys=$F21))),0)</f>
        <v>0</v>
      </c>
      <c r="AC21" s="322" cm="1">
        <f t="array" ref="AC21">IFERROR(SUM(_xlfn._xlws.FILTER(Drivers!BE$10:BE$69,(PLSections=$E21)*(PLSummarys=$F21))),0)</f>
        <v>0</v>
      </c>
      <c r="AD21" s="322" cm="1">
        <f t="array" ref="AD21">IFERROR(SUM(_xlfn._xlws.FILTER(Drivers!BF$10:BF$69,(PLSections=$E21)*(PLSummarys=$F21))),0)</f>
        <v>0</v>
      </c>
      <c r="AE21" s="322" cm="1">
        <f t="array" ref="AE21">IFERROR(SUM(_xlfn._xlws.FILTER(Drivers!BG$10:BG$69,(PLSections=$E21)*(PLSummarys=$F21))),0)</f>
        <v>0</v>
      </c>
      <c r="AF21" s="322" cm="1">
        <f t="array" ref="AF21">IFERROR(SUM(_xlfn._xlws.FILTER(Drivers!BH$10:BH$69,(PLSections=$E21)*(PLSummarys=$F21))),0)</f>
        <v>0</v>
      </c>
      <c r="AG21" s="322" cm="1">
        <f t="array" ref="AG21">IFERROR(SUM(_xlfn._xlws.FILTER(Drivers!BI$10:BI$69,(PLSections=$E21)*(PLSummarys=$F21))),0)</f>
        <v>0</v>
      </c>
      <c r="AH21" s="322" cm="1">
        <f t="array" ref="AH21">IFERROR(SUM(_xlfn._xlws.FILTER(Drivers!BJ$10:BJ$69,(PLSections=$E21)*(PLSummarys=$F21))),0)</f>
        <v>0</v>
      </c>
      <c r="AI21" s="322" cm="1">
        <f t="array" ref="AI21">IFERROR(SUM(_xlfn._xlws.FILTER(Drivers!BK$10:BK$69,(PLSections=$E21)*(PLSummarys=$F21))),0)</f>
        <v>0</v>
      </c>
      <c r="AJ21" s="322" cm="1">
        <f t="array" ref="AJ21">IFERROR(SUM(_xlfn._xlws.FILTER(Drivers!BL$10:BL$69,(PLSections=$E21)*(PLSummarys=$F21))),0)</f>
        <v>0</v>
      </c>
      <c r="AK21" s="322" cm="1">
        <f t="array" ref="AK21">IFERROR(SUM(_xlfn._xlws.FILTER(Drivers!BM$10:BM$69,(PLSections=$E21)*(PLSummarys=$F21))),0)</f>
        <v>0</v>
      </c>
      <c r="AL21" s="322" cm="1">
        <f t="array" ref="AL21">IFERROR(SUM(_xlfn._xlws.FILTER(Drivers!BN$10:BN$69,(PLSections=$E21)*(PLSummarys=$F21))),0)</f>
        <v>0</v>
      </c>
      <c r="AM21" s="322" cm="1">
        <f t="array" ref="AM21">IFERROR(SUM(_xlfn._xlws.FILTER(Drivers!BO$10:BO$69,(PLSections=$E21)*(PLSummarys=$F21))),0)</f>
        <v>0</v>
      </c>
      <c r="AN21" s="322" cm="1">
        <f t="array" ref="AN21">IFERROR(SUM(_xlfn._xlws.FILTER(Drivers!BP$10:BP$69,(PLSections=$E21)*(PLSummarys=$F21))),0)</f>
        <v>0</v>
      </c>
      <c r="AO21" s="322" cm="1">
        <f t="array" ref="AO21">IFERROR(SUM(_xlfn._xlws.FILTER(Drivers!BQ$10:BQ$69,(PLSections=$E21)*(PLSummarys=$F21))),0)</f>
        <v>0</v>
      </c>
      <c r="AP21" s="322" cm="1">
        <f t="array" ref="AP21">IFERROR(SUM(_xlfn._xlws.FILTER(Drivers!BR$10:BR$69,(PLSections=$E21)*(PLSummarys=$F21))),0)</f>
        <v>0</v>
      </c>
      <c r="AQ21" s="322" cm="1">
        <f t="array" ref="AQ21">IFERROR(SUM(_xlfn._xlws.FILTER(Drivers!BS$10:BS$69,(PLSections=$E21)*(PLSummarys=$F21))),0)</f>
        <v>0</v>
      </c>
      <c r="AR21" s="322" cm="1">
        <f t="array" ref="AR21">IFERROR(SUM(_xlfn._xlws.FILTER(Drivers!BT$10:BT$69,(PLSections=$E21)*(PLSummarys=$F21))),0)</f>
        <v>0</v>
      </c>
      <c r="AS21" s="322" cm="1">
        <f t="array" ref="AS21">IFERROR(SUM(_xlfn._xlws.FILTER(Drivers!BU$10:BU$69,(PLSections=$E21)*(PLSummarys=$F21))),0)</f>
        <v>0</v>
      </c>
      <c r="AT21" s="322" cm="1">
        <f t="array" ref="AT21">IFERROR(SUM(_xlfn._xlws.FILTER(Drivers!BV$10:BV$69,(PLSections=$E21)*(PLSummarys=$F21))),0)</f>
        <v>0</v>
      </c>
      <c r="AU21" s="322" cm="1">
        <f t="array" ref="AU21">IFERROR(SUM(_xlfn._xlws.FILTER(Drivers!BW$10:BW$69,(PLSections=$E21)*(PLSummarys=$F21))),0)</f>
        <v>0</v>
      </c>
      <c r="AV21" s="322" cm="1">
        <f t="array" ref="AV21">IFERROR(SUM(_xlfn._xlws.FILTER(Drivers!BX$10:BX$69,(PLSections=$E21)*(PLSummarys=$F21))),0)</f>
        <v>0</v>
      </c>
      <c r="AW21" s="322" cm="1">
        <f t="array" ref="AW21">IFERROR(SUM(_xlfn._xlws.FILTER(Drivers!BY$10:BY$69,(PLSections=$E21)*(PLSummarys=$F21))),0)</f>
        <v>0</v>
      </c>
      <c r="AX21" s="322" cm="1">
        <f t="array" ref="AX21">IFERROR(SUM(_xlfn._xlws.FILTER(Drivers!BZ$10:BZ$69,(PLSections=$E21)*(PLSummarys=$F21))),0)</f>
        <v>0</v>
      </c>
      <c r="AY21" s="322" cm="1">
        <f t="array" ref="AY21">IFERROR(SUM(_xlfn._xlws.FILTER(Drivers!CA$10:CA$69,(PLSections=$E21)*(PLSummarys=$F21))),0)</f>
        <v>0</v>
      </c>
      <c r="AZ21" s="322" cm="1">
        <f t="array" ref="AZ21">IFERROR(SUM(_xlfn._xlws.FILTER(Drivers!CB$10:CB$69,(PLSections=$E21)*(PLSummarys=$F21))),0)</f>
        <v>0</v>
      </c>
      <c r="BA21" s="322" cm="1">
        <f t="array" ref="BA21">IFERROR(SUM(_xlfn._xlws.FILTER(Drivers!CC$10:CC$69,(PLSections=$E21)*(PLSummarys=$F21))),0)</f>
        <v>0</v>
      </c>
      <c r="BB21" s="322" cm="1">
        <f t="array" ref="BB21">IFERROR(SUM(_xlfn._xlws.FILTER(Drivers!CD$10:CD$69,(PLSections=$E21)*(PLSummarys=$F21))),0)</f>
        <v>0</v>
      </c>
      <c r="BC21" s="322" cm="1">
        <f t="array" ref="BC21">IFERROR(SUM(_xlfn._xlws.FILTER(Drivers!CE$10:CE$69,(PLSections=$E21)*(PLSummarys=$F21))),0)</f>
        <v>0</v>
      </c>
      <c r="BD21" s="322" cm="1">
        <f t="array" ref="BD21">IFERROR(SUM(_xlfn._xlws.FILTER(Drivers!CF$10:CF$69,(PLSections=$E21)*(PLSummarys=$F21))),0)</f>
        <v>0</v>
      </c>
      <c r="BE21" s="322" cm="1">
        <f t="array" ref="BE21">IFERROR(SUM(_xlfn._xlws.FILTER(Drivers!CG$10:CG$69,(PLSections=$E21)*(PLSummarys=$F21))),0)</f>
        <v>0</v>
      </c>
      <c r="BF21" s="322" cm="1">
        <f t="array" ref="BF21">IFERROR(SUM(_xlfn._xlws.FILTER(Drivers!CH$10:CH$69,(PLSections=$E21)*(PLSummarys=$F21))),0)</f>
        <v>0</v>
      </c>
      <c r="BG21" s="322" cm="1">
        <f t="array" ref="BG21">IFERROR(SUM(_xlfn._xlws.FILTER(Drivers!CI$10:CI$69,(PLSections=$E21)*(PLSummarys=$F21))),0)</f>
        <v>0</v>
      </c>
      <c r="BH21" s="322" cm="1">
        <f t="array" ref="BH21">IFERROR(SUM(_xlfn._xlws.FILTER(Drivers!CJ$10:CJ$69,(PLSections=$E21)*(PLSummarys=$F21))),0)</f>
        <v>0</v>
      </c>
    </row>
    <row r="22" spans="2:60" ht="6" customHeight="1">
      <c r="B22" s="326"/>
      <c r="C22" s="325"/>
      <c r="D22" s="288"/>
      <c r="E22" s="277"/>
      <c r="F22" s="277"/>
      <c r="G22" s="277"/>
      <c r="H22" s="277"/>
      <c r="I22" s="277"/>
      <c r="J22" s="314"/>
      <c r="L22" s="324"/>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row>
    <row r="23" spans="2:60" ht="21">
      <c r="B23" s="284"/>
      <c r="C23" s="315" t="s">
        <v>55</v>
      </c>
      <c r="D23" s="316"/>
      <c r="E23" s="277"/>
      <c r="F23" s="277"/>
      <c r="G23" s="277"/>
      <c r="H23" s="277"/>
      <c r="I23" s="277"/>
      <c r="J23" s="314"/>
      <c r="L23" s="324"/>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row>
    <row r="24" spans="2:60" ht="21" outlineLevel="1">
      <c r="B24" s="284"/>
      <c r="C24" s="315"/>
      <c r="D24" s="288" t="s">
        <v>136</v>
      </c>
      <c r="E24" s="277" t="s">
        <v>135</v>
      </c>
      <c r="F24" s="277" t="s">
        <v>136</v>
      </c>
      <c r="G24" s="277"/>
      <c r="H24" s="277"/>
      <c r="I24" s="277"/>
      <c r="J24" s="314"/>
      <c r="L24" s="322" cm="1">
        <f t="array" ref="L24">IFERROR(SUM(_xlfn._xlws.FILTER(Drivers!AN$71:AN$106,(BSSections=$E24)*(BSSummarys=$F24))),0)</f>
        <v>0</v>
      </c>
      <c r="M24" s="322" cm="1">
        <f t="array" ref="M24">IFERROR(SUM(_xlfn._xlws.FILTER(Drivers!AO$71:AO$106,(BSSections=$E24)*(BSSummarys=$F24))),0)</f>
        <v>10000</v>
      </c>
      <c r="N24" s="322" cm="1">
        <f t="array" ref="N24">IFERROR(SUM(_xlfn._xlws.FILTER(Drivers!AP$71:AP$106,(BSSections=$E24)*(BSSummarys=$F24))),0)</f>
        <v>16000</v>
      </c>
      <c r="O24" s="322" cm="1">
        <f t="array" ref="O24">IFERROR(SUM(_xlfn._xlws.FILTER(Drivers!AQ$71:AQ$106,(BSSections=$E24)*(BSSummarys=$F24))),0)</f>
        <v>20100</v>
      </c>
      <c r="P24" s="322" cm="1">
        <f t="array" ref="P24">IFERROR(SUM(_xlfn._xlws.FILTER(Drivers!AR$71:AR$106,(BSSections=$E24)*(BSSummarys=$F24))),0)</f>
        <v>22110</v>
      </c>
      <c r="Q24" s="322" cm="1">
        <f t="array" ref="Q24">IFERROR(SUM(_xlfn._xlws.FILTER(Drivers!AS$71:AS$106,(BSSections=$E24)*(BSSummarys=$F24))),0)</f>
        <v>24321</v>
      </c>
      <c r="R24" s="322" cm="1">
        <f t="array" ref="R24">IFERROR(SUM(_xlfn._xlws.FILTER(Drivers!AT$71:AT$106,(BSSections=$E24)*(BSSummarys=$F24))),0)</f>
        <v>26753</v>
      </c>
      <c r="S24" s="322" cm="1">
        <f t="array" ref="S24">IFERROR(SUM(_xlfn._xlws.FILTER(Drivers!AU$71:AU$106,(BSSections=$E24)*(BSSummarys=$F24))),0)</f>
        <v>29428</v>
      </c>
      <c r="T24" s="322" cm="1">
        <f t="array" ref="T24">IFERROR(SUM(_xlfn._xlws.FILTER(Drivers!AV$71:AV$106,(BSSections=$E24)*(BSSummarys=$F24))),0)</f>
        <v>32371</v>
      </c>
      <c r="U24" s="322" cm="1">
        <f t="array" ref="U24">IFERROR(SUM(_xlfn._xlws.FILTER(Drivers!AW$71:AW$106,(BSSections=$E24)*(BSSummarys=$F24))),0)</f>
        <v>35608</v>
      </c>
      <c r="V24" s="322" cm="1">
        <f t="array" ref="V24">IFERROR(SUM(_xlfn._xlws.FILTER(Drivers!AX$71:AX$106,(BSSections=$E24)*(BSSummarys=$F24))),0)</f>
        <v>39169</v>
      </c>
      <c r="W24" s="322" cm="1">
        <f t="array" ref="W24">IFERROR(SUM(_xlfn._xlws.FILTER(Drivers!AY$71:AY$106,(BSSections=$E24)*(BSSummarys=$F24))),0)</f>
        <v>44169</v>
      </c>
      <c r="X24" s="322" cm="1">
        <f t="array" ref="X24">IFERROR(SUM(_xlfn._xlws.FILTER(Drivers!AZ$71:AZ$106,(BSSections=$E24)*(BSSummarys=$F24))),0)</f>
        <v>34169</v>
      </c>
      <c r="Y24" s="322" cm="1">
        <f t="array" ref="Y24">IFERROR(SUM(_xlfn._xlws.FILTER(Drivers!BA$71:BA$106,(BSSections=$E24)*(BSSummarys=$F24))),0)</f>
        <v>41127</v>
      </c>
      <c r="Z24" s="322" cm="1">
        <f t="array" ref="Z24">IFERROR(SUM(_xlfn._xlws.FILTER(Drivers!BB$71:BB$106,(BSSections=$E24)*(BSSummarys=$F24))),0)</f>
        <v>41812</v>
      </c>
      <c r="AA24" s="322" cm="1">
        <f t="array" ref="AA24">IFERROR(SUM(_xlfn._xlws.FILTER(Drivers!BC$71:BC$106,(BSSections=$E24)*(BSSummarys=$F24))),0)</f>
        <v>40987</v>
      </c>
      <c r="AB24" s="322" cm="1">
        <f t="array" ref="AB24">IFERROR(SUM(_xlfn._xlws.FILTER(Drivers!BD$71:BD$106,(BSSections=$E24)*(BSSummarys=$F24))),0)</f>
        <v>43374</v>
      </c>
      <c r="AC24" s="322" cm="1">
        <f t="array" ref="AC24">IFERROR(SUM(_xlfn._xlws.FILTER(Drivers!BE$71:BE$106,(BSSections=$E24)*(BSSummarys=$F24))),0)</f>
        <v>44161</v>
      </c>
      <c r="AD24" s="322" cm="1">
        <f t="array" ref="AD24">IFERROR(SUM(_xlfn._xlws.FILTER(Drivers!BF$71:BF$106,(BSSections=$E24)*(BSSummarys=$F24))),0)</f>
        <v>44983</v>
      </c>
      <c r="AE24" s="322" cm="1">
        <f t="array" ref="AE24">IFERROR(SUM(_xlfn._xlws.FILTER(Drivers!BG$71:BG$106,(BSSections=$E24)*(BSSummarys=$F24))),0)</f>
        <v>46381</v>
      </c>
      <c r="AF24" s="322" cm="1">
        <f t="array" ref="AF24">IFERROR(SUM(_xlfn._xlws.FILTER(Drivers!BH$71:BH$106,(BSSections=$E24)*(BSSummarys=$F24))),0)</f>
        <v>47434</v>
      </c>
      <c r="AG24" s="322" cm="1">
        <f t="array" ref="AG24">IFERROR(SUM(_xlfn._xlws.FILTER(Drivers!BI$71:BI$106,(BSSections=$E24)*(BSSummarys=$F24))),0)</f>
        <v>48580</v>
      </c>
      <c r="AH24" s="322" cm="1">
        <f t="array" ref="AH24">IFERROR(SUM(_xlfn._xlws.FILTER(Drivers!BJ$71:BJ$106,(BSSections=$E24)*(BSSummarys=$F24))),0)</f>
        <v>49839</v>
      </c>
      <c r="AI24" s="322" cm="1">
        <f t="array" ref="AI24">IFERROR(SUM(_xlfn._xlws.FILTER(Drivers!BK$71:BK$106,(BSSections=$E24)*(BSSummarys=$F24))),0)</f>
        <v>51049</v>
      </c>
      <c r="AJ24" s="322" cm="1">
        <f t="array" ref="AJ24">IFERROR(SUM(_xlfn._xlws.FILTER(Drivers!BL$71:BL$106,(BSSections=$E24)*(BSSummarys=$F24))),0)</f>
        <v>52314</v>
      </c>
      <c r="AK24" s="322" cm="1">
        <f t="array" ref="AK24">IFERROR(SUM(_xlfn._xlws.FILTER(Drivers!BM$71:BM$106,(BSSections=$E24)*(BSSummarys=$F24))),0)</f>
        <v>53620.77</v>
      </c>
      <c r="AL24" s="322" cm="1">
        <f t="array" ref="AL24">IFERROR(SUM(_xlfn._xlws.FILTER(Drivers!BN$71:BN$106,(BSSections=$E24)*(BSSummarys=$F24))),0)</f>
        <v>54944.77</v>
      </c>
      <c r="AM24" s="322" cm="1">
        <f t="array" ref="AM24">IFERROR(SUM(_xlfn._xlws.FILTER(Drivers!BO$71:BO$106,(BSSections=$E24)*(BSSummarys=$F24))),0)</f>
        <v>56307.77</v>
      </c>
      <c r="AN24" s="322" cm="1">
        <f t="array" ref="AN24">IFERROR(SUM(_xlfn._xlws.FILTER(Drivers!BP$71:BP$106,(BSSections=$E24)*(BSSummarys=$F24))),0)</f>
        <v>57705.77</v>
      </c>
      <c r="AO24" s="322" cm="1">
        <f t="array" ref="AO24">IFERROR(SUM(_xlfn._xlws.FILTER(Drivers!BQ$71:BQ$106,(BSSections=$E24)*(BSSummarys=$F24))),0)</f>
        <v>59135.77</v>
      </c>
      <c r="AP24" s="322" cm="1">
        <f t="array" ref="AP24">IFERROR(SUM(_xlfn._xlws.FILTER(Drivers!BR$71:BR$106,(BSSections=$E24)*(BSSummarys=$F24))),0)</f>
        <v>69302.55</v>
      </c>
      <c r="AQ24" s="322" cm="1">
        <f t="array" ref="AQ24">IFERROR(SUM(_xlfn._xlws.FILTER(Drivers!BS$71:BS$106,(BSSections=$E24)*(BSSummarys=$F24))),0)</f>
        <v>77305.53</v>
      </c>
      <c r="AR24" s="322" cm="1">
        <f t="array" ref="AR24">IFERROR(SUM(_xlfn._xlws.FILTER(Drivers!BT$71:BT$106,(BSSections=$E24)*(BSSummarys=$F24))),0)</f>
        <v>78845.320000000007</v>
      </c>
      <c r="AS24" s="322" cm="1">
        <f t="array" ref="AS24">IFERROR(SUM(_xlfn._xlws.FILTER(Drivers!BU$71:BU$106,(BSSections=$E24)*(BSSummarys=$F24))),0)</f>
        <v>98423.66</v>
      </c>
      <c r="AT24" s="322" cm="1">
        <f t="array" ref="AT24">IFERROR(SUM(_xlfn._xlws.FILTER(Drivers!BV$71:BV$106,(BSSections=$E24)*(BSSummarys=$F24))),0)</f>
        <v>110041.05</v>
      </c>
      <c r="AU24" s="322" cm="1">
        <f t="array" ref="AU24">IFERROR(SUM(_xlfn._xlws.FILTER(Drivers!BW$71:BW$106,(BSSections=$E24)*(BSSummarys=$F24))),0)</f>
        <v>127198.48</v>
      </c>
      <c r="AV24" s="322" cm="1">
        <f t="array" ref="AV24">IFERROR(SUM(_xlfn._xlws.FILTER(Drivers!BX$71:BX$106,(BSSections=$E24)*(BSSummarys=$F24))),0)</f>
        <v>183599.24</v>
      </c>
      <c r="AW24" s="322" cm="1">
        <f t="array" ref="AW24">IFERROR(SUM(_xlfn._xlws.FILTER(Drivers!BY$71:BY$106,(BSSections=$E24)*(BSSummarys=$F24))),0)</f>
        <v>91799.62</v>
      </c>
      <c r="AX24" s="322" cm="1">
        <f t="array" ref="AX24">IFERROR(SUM(_xlfn._xlws.FILTER(Drivers!BZ$71:BZ$106,(BSSections=$E24)*(BSSummarys=$F24))),0)</f>
        <v>0</v>
      </c>
      <c r="AY24" s="322" cm="1">
        <f t="array" ref="AY24">IFERROR(SUM(_xlfn._xlws.FILTER(Drivers!CA$71:CA$106,(BSSections=$E24)*(BSSummarys=$F24))),0)</f>
        <v>0</v>
      </c>
      <c r="AZ24" s="322" cm="1">
        <f t="array" ref="AZ24">IFERROR(SUM(_xlfn._xlws.FILTER(Drivers!CB$71:CB$106,(BSSections=$E24)*(BSSummarys=$F24))),0)</f>
        <v>0</v>
      </c>
      <c r="BA24" s="322" cm="1">
        <f t="array" ref="BA24">IFERROR(SUM(_xlfn._xlws.FILTER(Drivers!CC$71:CC$106,(BSSections=$E24)*(BSSummarys=$F24))),0)</f>
        <v>0</v>
      </c>
      <c r="BB24" s="322" cm="1">
        <f t="array" ref="BB24">IFERROR(SUM(_xlfn._xlws.FILTER(Drivers!CD$71:CD$106,(BSSections=$E24)*(BSSummarys=$F24))),0)</f>
        <v>0</v>
      </c>
      <c r="BC24" s="322" cm="1">
        <f t="array" ref="BC24">IFERROR(SUM(_xlfn._xlws.FILTER(Drivers!CE$71:CE$106,(BSSections=$E24)*(BSSummarys=$F24))),0)</f>
        <v>0</v>
      </c>
      <c r="BD24" s="322" cm="1">
        <f t="array" ref="BD24">IFERROR(SUM(_xlfn._xlws.FILTER(Drivers!CF$71:CF$106,(BSSections=$E24)*(BSSummarys=$F24))),0)</f>
        <v>0</v>
      </c>
      <c r="BE24" s="322" cm="1">
        <f t="array" ref="BE24">IFERROR(SUM(_xlfn._xlws.FILTER(Drivers!CG$71:CG$106,(BSSections=$E24)*(BSSummarys=$F24))),0)</f>
        <v>0</v>
      </c>
      <c r="BF24" s="322" cm="1">
        <f t="array" ref="BF24">IFERROR(SUM(_xlfn._xlws.FILTER(Drivers!CH$71:CH$106,(BSSections=$E24)*(BSSummarys=$F24))),0)</f>
        <v>0</v>
      </c>
      <c r="BG24" s="322" cm="1">
        <f t="array" ref="BG24">IFERROR(SUM(_xlfn._xlws.FILTER(Drivers!CI$71:CI$106,(BSSections=$E24)*(BSSummarys=$F24))),0)</f>
        <v>0</v>
      </c>
      <c r="BH24" s="322" cm="1">
        <f t="array" ref="BH24">IFERROR(SUM(_xlfn._xlws.FILTER(Drivers!CJ$71:CJ$106,(BSSections=$E24)*(BSSummarys=$F24))),0)</f>
        <v>0</v>
      </c>
    </row>
    <row r="25" spans="2:60" ht="21" outlineLevel="1">
      <c r="B25" s="284"/>
      <c r="C25" s="315"/>
      <c r="D25" s="288" t="s">
        <v>140</v>
      </c>
      <c r="E25" s="277" t="s">
        <v>135</v>
      </c>
      <c r="F25" s="277" t="s">
        <v>140</v>
      </c>
      <c r="G25" s="277"/>
      <c r="H25" s="277"/>
      <c r="I25" s="277"/>
      <c r="J25" s="314"/>
      <c r="L25" s="322" cm="1">
        <f t="array" ref="L25">IFERROR(SUM(_xlfn._xlws.FILTER(Drivers!AN$71:AN$106,(BSSections=$E25)*(BSSummarys=$F25))),0)</f>
        <v>0</v>
      </c>
      <c r="M25" s="322" cm="1">
        <f t="array" ref="M25">IFERROR(SUM(_xlfn._xlws.FILTER(Drivers!AO$71:AO$106,(BSSections=$E25)*(BSSummarys=$F25))),0)</f>
        <v>0</v>
      </c>
      <c r="N25" s="322" cm="1">
        <f t="array" ref="N25">IFERROR(SUM(_xlfn._xlws.FILTER(Drivers!AP$71:AP$106,(BSSections=$E25)*(BSSummarys=$F25))),0)</f>
        <v>0</v>
      </c>
      <c r="O25" s="322" cm="1">
        <f t="array" ref="O25">IFERROR(SUM(_xlfn._xlws.FILTER(Drivers!AQ$71:AQ$106,(BSSections=$E25)*(BSSummarys=$F25))),0)</f>
        <v>0</v>
      </c>
      <c r="P25" s="322" cm="1">
        <f t="array" ref="P25">IFERROR(SUM(_xlfn._xlws.FILTER(Drivers!AR$71:AR$106,(BSSections=$E25)*(BSSummarys=$F25))),0)</f>
        <v>0</v>
      </c>
      <c r="Q25" s="322" cm="1">
        <f t="array" ref="Q25">IFERROR(SUM(_xlfn._xlws.FILTER(Drivers!AS$71:AS$106,(BSSections=$E25)*(BSSummarys=$F25))),0)</f>
        <v>0</v>
      </c>
      <c r="R25" s="322" cm="1">
        <f t="array" ref="R25">IFERROR(SUM(_xlfn._xlws.FILTER(Drivers!AT$71:AT$106,(BSSections=$E25)*(BSSummarys=$F25))),0)</f>
        <v>0</v>
      </c>
      <c r="S25" s="322" cm="1">
        <f t="array" ref="S25">IFERROR(SUM(_xlfn._xlws.FILTER(Drivers!AU$71:AU$106,(BSSections=$E25)*(BSSummarys=$F25))),0)</f>
        <v>0</v>
      </c>
      <c r="T25" s="322" cm="1">
        <f t="array" ref="T25">IFERROR(SUM(_xlfn._xlws.FILTER(Drivers!AV$71:AV$106,(BSSections=$E25)*(BSSummarys=$F25))),0)</f>
        <v>0</v>
      </c>
      <c r="U25" s="322" cm="1">
        <f t="array" ref="U25">IFERROR(SUM(_xlfn._xlws.FILTER(Drivers!AW$71:AW$106,(BSSections=$E25)*(BSSummarys=$F25))),0)</f>
        <v>0</v>
      </c>
      <c r="V25" s="322" cm="1">
        <f t="array" ref="V25">IFERROR(SUM(_xlfn._xlws.FILTER(Drivers!AX$71:AX$106,(BSSections=$E25)*(BSSummarys=$F25))),0)</f>
        <v>0</v>
      </c>
      <c r="W25" s="322" cm="1">
        <f t="array" ref="W25">IFERROR(SUM(_xlfn._xlws.FILTER(Drivers!AY$71:AY$106,(BSSections=$E25)*(BSSummarys=$F25))),0)</f>
        <v>0</v>
      </c>
      <c r="X25" s="322" cm="1">
        <f t="array" ref="X25">IFERROR(SUM(_xlfn._xlws.FILTER(Drivers!AZ$71:AZ$106,(BSSections=$E25)*(BSSummarys=$F25))),0)</f>
        <v>0</v>
      </c>
      <c r="Y25" s="322" cm="1">
        <f t="array" ref="Y25">IFERROR(SUM(_xlfn._xlws.FILTER(Drivers!BA$71:BA$106,(BSSections=$E25)*(BSSummarys=$F25))),0)</f>
        <v>0</v>
      </c>
      <c r="Z25" s="322" cm="1">
        <f t="array" ref="Z25">IFERROR(SUM(_xlfn._xlws.FILTER(Drivers!BB$71:BB$106,(BSSections=$E25)*(BSSummarys=$F25))),0)</f>
        <v>0</v>
      </c>
      <c r="AA25" s="322" cm="1">
        <f t="array" ref="AA25">IFERROR(SUM(_xlfn._xlws.FILTER(Drivers!BC$71:BC$106,(BSSections=$E25)*(BSSummarys=$F25))),0)</f>
        <v>0</v>
      </c>
      <c r="AB25" s="322" cm="1">
        <f t="array" ref="AB25">IFERROR(SUM(_xlfn._xlws.FILTER(Drivers!BD$71:BD$106,(BSSections=$E25)*(BSSummarys=$F25))),0)</f>
        <v>0</v>
      </c>
      <c r="AC25" s="322" cm="1">
        <f t="array" ref="AC25">IFERROR(SUM(_xlfn._xlws.FILTER(Drivers!BE$71:BE$106,(BSSections=$E25)*(BSSummarys=$F25))),0)</f>
        <v>0</v>
      </c>
      <c r="AD25" s="322" cm="1">
        <f t="array" ref="AD25">IFERROR(SUM(_xlfn._xlws.FILTER(Drivers!BF$71:BF$106,(BSSections=$E25)*(BSSummarys=$F25))),0)</f>
        <v>0</v>
      </c>
      <c r="AE25" s="322" cm="1">
        <f t="array" ref="AE25">IFERROR(SUM(_xlfn._xlws.FILTER(Drivers!BG$71:BG$106,(BSSections=$E25)*(BSSummarys=$F25))),0)</f>
        <v>0</v>
      </c>
      <c r="AF25" s="322" cm="1">
        <f t="array" ref="AF25">IFERROR(SUM(_xlfn._xlws.FILTER(Drivers!BH$71:BH$106,(BSSections=$E25)*(BSSummarys=$F25))),0)</f>
        <v>0</v>
      </c>
      <c r="AG25" s="322" cm="1">
        <f t="array" ref="AG25">IFERROR(SUM(_xlfn._xlws.FILTER(Drivers!BI$71:BI$106,(BSSections=$E25)*(BSSummarys=$F25))),0)</f>
        <v>0</v>
      </c>
      <c r="AH25" s="322" cm="1">
        <f t="array" ref="AH25">IFERROR(SUM(_xlfn._xlws.FILTER(Drivers!BJ$71:BJ$106,(BSSections=$E25)*(BSSummarys=$F25))),0)</f>
        <v>0</v>
      </c>
      <c r="AI25" s="322" cm="1">
        <f t="array" ref="AI25">IFERROR(SUM(_xlfn._xlws.FILTER(Drivers!BK$71:BK$106,(BSSections=$E25)*(BSSummarys=$F25))),0)</f>
        <v>0</v>
      </c>
      <c r="AJ25" s="322" cm="1">
        <f t="array" ref="AJ25">IFERROR(SUM(_xlfn._xlws.FILTER(Drivers!BL$71:BL$106,(BSSections=$E25)*(BSSummarys=$F25))),0)</f>
        <v>0</v>
      </c>
      <c r="AK25" s="322" cm="1">
        <f t="array" ref="AK25">IFERROR(SUM(_xlfn._xlws.FILTER(Drivers!BM$71:BM$106,(BSSections=$E25)*(BSSummarys=$F25))),0)</f>
        <v>0</v>
      </c>
      <c r="AL25" s="322" cm="1">
        <f t="array" ref="AL25">IFERROR(SUM(_xlfn._xlws.FILTER(Drivers!BN$71:BN$106,(BSSections=$E25)*(BSSummarys=$F25))),0)</f>
        <v>0</v>
      </c>
      <c r="AM25" s="322" cm="1">
        <f t="array" ref="AM25">IFERROR(SUM(_xlfn._xlws.FILTER(Drivers!BO$71:BO$106,(BSSections=$E25)*(BSSummarys=$F25))),0)</f>
        <v>0</v>
      </c>
      <c r="AN25" s="322" cm="1">
        <f t="array" ref="AN25">IFERROR(SUM(_xlfn._xlws.FILTER(Drivers!BP$71:BP$106,(BSSections=$E25)*(BSSummarys=$F25))),0)</f>
        <v>0</v>
      </c>
      <c r="AO25" s="322" cm="1">
        <f t="array" ref="AO25">IFERROR(SUM(_xlfn._xlws.FILTER(Drivers!BQ$71:BQ$106,(BSSections=$E25)*(BSSummarys=$F25))),0)</f>
        <v>0</v>
      </c>
      <c r="AP25" s="322" cm="1">
        <f t="array" ref="AP25">IFERROR(SUM(_xlfn._xlws.FILTER(Drivers!BR$71:BR$106,(BSSections=$E25)*(BSSummarys=$F25))),0)</f>
        <v>0</v>
      </c>
      <c r="AQ25" s="322" cm="1">
        <f t="array" ref="AQ25">IFERROR(SUM(_xlfn._xlws.FILTER(Drivers!BS$71:BS$106,(BSSections=$E25)*(BSSummarys=$F25))),0)</f>
        <v>0</v>
      </c>
      <c r="AR25" s="322" cm="1">
        <f t="array" ref="AR25">IFERROR(SUM(_xlfn._xlws.FILTER(Drivers!BT$71:BT$106,(BSSections=$E25)*(BSSummarys=$F25))),0)</f>
        <v>0</v>
      </c>
      <c r="AS25" s="322" cm="1">
        <f t="array" ref="AS25">IFERROR(SUM(_xlfn._xlws.FILTER(Drivers!BU$71:BU$106,(BSSections=$E25)*(BSSummarys=$F25))),0)</f>
        <v>0</v>
      </c>
      <c r="AT25" s="322" cm="1">
        <f t="array" ref="AT25">IFERROR(SUM(_xlfn._xlws.FILTER(Drivers!BV$71:BV$106,(BSSections=$E25)*(BSSummarys=$F25))),0)</f>
        <v>0</v>
      </c>
      <c r="AU25" s="322" cm="1">
        <f t="array" ref="AU25">IFERROR(SUM(_xlfn._xlws.FILTER(Drivers!BW$71:BW$106,(BSSections=$E25)*(BSSummarys=$F25))),0)</f>
        <v>0</v>
      </c>
      <c r="AV25" s="322" cm="1">
        <f t="array" ref="AV25">IFERROR(SUM(_xlfn._xlws.FILTER(Drivers!BX$71:BX$106,(BSSections=$E25)*(BSSummarys=$F25))),0)</f>
        <v>0</v>
      </c>
      <c r="AW25" s="322" cm="1">
        <f t="array" ref="AW25">IFERROR(SUM(_xlfn._xlws.FILTER(Drivers!BY$71:BY$106,(BSSections=$E25)*(BSSummarys=$F25))),0)</f>
        <v>0</v>
      </c>
      <c r="AX25" s="322" cm="1">
        <f t="array" ref="AX25">IFERROR(SUM(_xlfn._xlws.FILTER(Drivers!BZ$71:BZ$106,(BSSections=$E25)*(BSSummarys=$F25))),0)</f>
        <v>0</v>
      </c>
      <c r="AY25" s="322" cm="1">
        <f t="array" ref="AY25">IFERROR(SUM(_xlfn._xlws.FILTER(Drivers!CA$71:CA$106,(BSSections=$E25)*(BSSummarys=$F25))),0)</f>
        <v>0</v>
      </c>
      <c r="AZ25" s="322" cm="1">
        <f t="array" ref="AZ25">IFERROR(SUM(_xlfn._xlws.FILTER(Drivers!CB$71:CB$106,(BSSections=$E25)*(BSSummarys=$F25))),0)</f>
        <v>0</v>
      </c>
      <c r="BA25" s="322" cm="1">
        <f t="array" ref="BA25">IFERROR(SUM(_xlfn._xlws.FILTER(Drivers!CC$71:CC$106,(BSSections=$E25)*(BSSummarys=$F25))),0)</f>
        <v>0</v>
      </c>
      <c r="BB25" s="322" cm="1">
        <f t="array" ref="BB25">IFERROR(SUM(_xlfn._xlws.FILTER(Drivers!CD$71:CD$106,(BSSections=$E25)*(BSSummarys=$F25))),0)</f>
        <v>0</v>
      </c>
      <c r="BC25" s="322" cm="1">
        <f t="array" ref="BC25">IFERROR(SUM(_xlfn._xlws.FILTER(Drivers!CE$71:CE$106,(BSSections=$E25)*(BSSummarys=$F25))),0)</f>
        <v>0</v>
      </c>
      <c r="BD25" s="322" cm="1">
        <f t="array" ref="BD25">IFERROR(SUM(_xlfn._xlws.FILTER(Drivers!CF$71:CF$106,(BSSections=$E25)*(BSSummarys=$F25))),0)</f>
        <v>0</v>
      </c>
      <c r="BE25" s="322" cm="1">
        <f t="array" ref="BE25">IFERROR(SUM(_xlfn._xlws.FILTER(Drivers!CG$71:CG$106,(BSSections=$E25)*(BSSummarys=$F25))),0)</f>
        <v>0</v>
      </c>
      <c r="BF25" s="322" cm="1">
        <f t="array" ref="BF25">IFERROR(SUM(_xlfn._xlws.FILTER(Drivers!CH$71:CH$106,(BSSections=$E25)*(BSSummarys=$F25))),0)</f>
        <v>0</v>
      </c>
      <c r="BG25" s="322" cm="1">
        <f t="array" ref="BG25">IFERROR(SUM(_xlfn._xlws.FILTER(Drivers!CI$71:CI$106,(BSSections=$E25)*(BSSummarys=$F25))),0)</f>
        <v>0</v>
      </c>
      <c r="BH25" s="322" cm="1">
        <f t="array" ref="BH25">IFERROR(SUM(_xlfn._xlws.FILTER(Drivers!CJ$71:CJ$106,(BSSections=$E25)*(BSSummarys=$F25))),0)</f>
        <v>0</v>
      </c>
    </row>
    <row r="26" spans="2:60" ht="21" outlineLevel="1">
      <c r="B26" s="284"/>
      <c r="C26" s="315"/>
      <c r="D26" s="288" t="s">
        <v>137</v>
      </c>
      <c r="E26" s="277" t="s">
        <v>135</v>
      </c>
      <c r="F26" s="277" t="s">
        <v>137</v>
      </c>
      <c r="G26" s="277"/>
      <c r="H26" s="277"/>
      <c r="I26" s="277"/>
      <c r="J26" s="314"/>
      <c r="L26" s="322" cm="1">
        <f t="array" ref="L26">IFERROR(SUM(_xlfn._xlws.FILTER(Drivers!AN$71:AN$106,(BSSections=$E26)*(BSSummarys=$F26))),0)</f>
        <v>0</v>
      </c>
      <c r="M26" s="322" cm="1">
        <f t="array" ref="M26">IFERROR(SUM(_xlfn._xlws.FILTER(Drivers!AO$71:AO$106,(BSSections=$E26)*(BSSummarys=$F26))),0)</f>
        <v>912877</v>
      </c>
      <c r="N26" s="322" cm="1">
        <f t="array" ref="N26">IFERROR(SUM(_xlfn._xlws.FILTER(Drivers!AP$71:AP$106,(BSSections=$E26)*(BSSummarys=$F26))),0)</f>
        <v>872266.5</v>
      </c>
      <c r="O26" s="322" cm="1">
        <f t="array" ref="O26">IFERROR(SUM(_xlfn._xlws.FILTER(Drivers!AQ$71:AQ$106,(BSSections=$E26)*(BSSummarys=$F26))),0)</f>
        <v>822468.5</v>
      </c>
      <c r="P26" s="322" cm="1">
        <f t="array" ref="P26">IFERROR(SUM(_xlfn._xlws.FILTER(Drivers!AR$71:AR$106,(BSSections=$E26)*(BSSummarys=$F26))),0)</f>
        <v>740459</v>
      </c>
      <c r="Q26" s="322" cm="1">
        <f t="array" ref="Q26">IFERROR(SUM(_xlfn._xlws.FILTER(Drivers!AS$71:AS$106,(BSSections=$E26)*(BSSummarys=$F26))),0)</f>
        <v>698801.5</v>
      </c>
      <c r="R26" s="322" cm="1">
        <f t="array" ref="R26">IFERROR(SUM(_xlfn._xlws.FILTER(Drivers!AT$71:AT$106,(BSSections=$E26)*(BSSummarys=$F26))),0)</f>
        <v>2139776.5</v>
      </c>
      <c r="S26" s="322" cm="1">
        <f t="array" ref="S26">IFERROR(SUM(_xlfn._xlws.FILTER(Drivers!AU$71:AU$106,(BSSections=$E26)*(BSSummarys=$F26))),0)</f>
        <v>2100546</v>
      </c>
      <c r="T26" s="322" cm="1">
        <f t="array" ref="T26">IFERROR(SUM(_xlfn._xlws.FILTER(Drivers!AV$71:AV$106,(BSSections=$E26)*(BSSummarys=$F26))),0)</f>
        <v>2050413.5</v>
      </c>
      <c r="U26" s="322" cm="1">
        <f t="array" ref="U26">IFERROR(SUM(_xlfn._xlws.FILTER(Drivers!AW$71:AW$106,(BSSections=$E26)*(BSSummarys=$F26))),0)</f>
        <v>2007838.5</v>
      </c>
      <c r="V26" s="322" cm="1">
        <f t="array" ref="V26">IFERROR(SUM(_xlfn._xlws.FILTER(Drivers!AX$71:AX$106,(BSSections=$E26)*(BSSummarys=$F26))),0)</f>
        <v>2963592.5</v>
      </c>
      <c r="W26" s="322" cm="1">
        <f t="array" ref="W26">IFERROR(SUM(_xlfn._xlws.FILTER(Drivers!AY$71:AY$106,(BSSections=$E26)*(BSSummarys=$F26))),0)</f>
        <v>3396134.5</v>
      </c>
      <c r="X26" s="322" cm="1">
        <f t="array" ref="X26">IFERROR(SUM(_xlfn._xlws.FILTER(Drivers!AZ$71:AZ$106,(BSSections=$E26)*(BSSummarys=$F26))),0)</f>
        <v>4285000.5</v>
      </c>
      <c r="Y26" s="322" cm="1">
        <f t="array" ref="Y26">IFERROR(SUM(_xlfn._xlws.FILTER(Drivers!BA$71:BA$106,(BSSections=$E26)*(BSSummarys=$F26))),0)</f>
        <v>4191288.5</v>
      </c>
      <c r="Z26" s="322" cm="1">
        <f t="array" ref="Z26">IFERROR(SUM(_xlfn._xlws.FILTER(Drivers!BB$71:BB$106,(BSSections=$E26)*(BSSummarys=$F26))),0)</f>
        <v>4076334.5</v>
      </c>
      <c r="AA26" s="322" cm="1">
        <f t="array" ref="AA26">IFERROR(SUM(_xlfn._xlws.FILTER(Drivers!BC$71:BC$106,(BSSections=$E26)*(BSSummarys=$F26))),0)</f>
        <v>4004840.5</v>
      </c>
      <c r="AB26" s="322" cm="1">
        <f t="array" ref="AB26">IFERROR(SUM(_xlfn._xlws.FILTER(Drivers!BD$71:BD$106,(BSSections=$E26)*(BSSummarys=$F26))),0)</f>
        <v>3870793.5</v>
      </c>
      <c r="AC26" s="322" cm="1">
        <f t="array" ref="AC26">IFERROR(SUM(_xlfn._xlws.FILTER(Drivers!BE$71:BE$106,(BSSections=$E26)*(BSSummarys=$F26))),0)</f>
        <v>3794994.5</v>
      </c>
      <c r="AD26" s="322" cm="1">
        <f t="array" ref="AD26">IFERROR(SUM(_xlfn._xlws.FILTER(Drivers!BF$71:BF$106,(BSSections=$E26)*(BSSummarys=$F26))),0)</f>
        <v>3656851.5</v>
      </c>
      <c r="AE26" s="322" cm="1">
        <f t="array" ref="AE26">IFERROR(SUM(_xlfn._xlws.FILTER(Drivers!BG$71:BG$106,(BSSections=$E26)*(BSSummarys=$F26))),0)</f>
        <v>3512188.5</v>
      </c>
      <c r="AF26" s="322" cm="1">
        <f t="array" ref="AF26">IFERROR(SUM(_xlfn._xlws.FILTER(Drivers!BH$71:BH$106,(BSSections=$E26)*(BSSummarys=$F26))),0)</f>
        <v>3367871.5</v>
      </c>
      <c r="AG26" s="322" cm="1">
        <f t="array" ref="AG26">IFERROR(SUM(_xlfn._xlws.FILTER(Drivers!BI$71:BI$106,(BSSections=$E26)*(BSSummarys=$F26))),0)</f>
        <v>3217220.5</v>
      </c>
      <c r="AH26" s="322" cm="1">
        <f t="array" ref="AH26">IFERROR(SUM(_xlfn._xlws.FILTER(Drivers!BJ$71:BJ$106,(BSSections=$E26)*(BSSummarys=$F26))),0)</f>
        <v>3066455.5</v>
      </c>
      <c r="AI26" s="322" cm="1">
        <f t="array" ref="AI26">IFERROR(SUM(_xlfn._xlws.FILTER(Drivers!BK$71:BK$106,(BSSections=$E26)*(BSSummarys=$F26))),0)</f>
        <v>2909186.5</v>
      </c>
      <c r="AJ26" s="322" cm="1">
        <f t="array" ref="AJ26">IFERROR(SUM(_xlfn._xlws.FILTER(Drivers!BL$71:BL$106,(BSSections=$E26)*(BSSummarys=$F26))),0)</f>
        <v>2744982.5</v>
      </c>
      <c r="AK26" s="322" cm="1">
        <f t="array" ref="AK26">IFERROR(SUM(_xlfn._xlws.FILTER(Drivers!BM$71:BM$106,(BSSections=$E26)*(BSSummarys=$F26))),0)</f>
        <v>2573511.48</v>
      </c>
      <c r="AL26" s="322" cm="1">
        <f t="array" ref="AL26">IFERROR(SUM(_xlfn._xlws.FILTER(Drivers!BN$71:BN$106,(BSSections=$E26)*(BSSummarys=$F26))),0)</f>
        <v>2394437.48</v>
      </c>
      <c r="AM26" s="322" cm="1">
        <f t="array" ref="AM26">IFERROR(SUM(_xlfn._xlws.FILTER(Drivers!BO$71:BO$106,(BSSections=$E26)*(BSSummarys=$F26))),0)</f>
        <v>2207358.48</v>
      </c>
      <c r="AN26" s="322" cm="1">
        <f t="array" ref="AN26">IFERROR(SUM(_xlfn._xlws.FILTER(Drivers!BP$71:BP$106,(BSSections=$E26)*(BSSummarys=$F26))),0)</f>
        <v>2011881.48</v>
      </c>
      <c r="AO26" s="322" cm="1">
        <f t="array" ref="AO26">IFERROR(SUM(_xlfn._xlws.FILTER(Drivers!BQ$71:BQ$106,(BSSections=$E26)*(BSSummarys=$F26))),0)</f>
        <v>1807588.48</v>
      </c>
      <c r="AP26" s="322" cm="1">
        <f t="array" ref="AP26">IFERROR(SUM(_xlfn._xlws.FILTER(Drivers!BR$71:BR$106,(BSSections=$E26)*(BSSummarys=$F26))),0)</f>
        <v>1594040.15</v>
      </c>
      <c r="AQ26" s="322" cm="1">
        <f t="array" ref="AQ26">IFERROR(SUM(_xlfn._xlws.FILTER(Drivers!BS$71:BS$106,(BSSections=$E26)*(BSSummarys=$F26))),0)</f>
        <v>1370773.78</v>
      </c>
      <c r="AR26" s="322" cm="1">
        <f t="array" ref="AR26">IFERROR(SUM(_xlfn._xlws.FILTER(Drivers!BT$71:BT$106,(BSSections=$E26)*(BSSummarys=$F26))),0)</f>
        <v>1137304.6599999999</v>
      </c>
      <c r="AS26" s="322" cm="1">
        <f t="array" ref="AS26">IFERROR(SUM(_xlfn._xlws.FILTER(Drivers!BU$71:BU$106,(BSSections=$E26)*(BSSummarys=$F26))),0)</f>
        <v>893122.77</v>
      </c>
      <c r="AT26" s="322" cm="1">
        <f t="array" ref="AT26">IFERROR(SUM(_xlfn._xlws.FILTER(Drivers!BV$71:BV$106,(BSSections=$E26)*(BSSummarys=$F26))),0)</f>
        <v>637693.89</v>
      </c>
      <c r="AU26" s="322" cm="1">
        <f t="array" ref="AU26">IFERROR(SUM(_xlfn._xlws.FILTER(Drivers!BW$71:BW$106,(BSSections=$E26)*(BSSummarys=$F26))),0)</f>
        <v>370456.63</v>
      </c>
      <c r="AV26" s="322" cm="1">
        <f t="array" ref="AV26">IFERROR(SUM(_xlfn._xlws.FILTER(Drivers!BX$71:BX$106,(BSSections=$E26)*(BSSummarys=$F26))),0)</f>
        <v>1156879.011009091</v>
      </c>
      <c r="AW26" s="322" cm="1">
        <f t="array" ref="AW26">IFERROR(SUM(_xlfn._xlws.FILTER(Drivers!BY$71:BY$106,(BSSections=$E26)*(BSSummarys=$F26))),0)</f>
        <v>1045956.8245014361</v>
      </c>
      <c r="AX26" s="322" cm="1">
        <f t="array" ref="AX26">IFERROR(SUM(_xlfn._xlws.FILTER(Drivers!BZ$71:BZ$106,(BSSections=$E26)*(BSSummarys=$F26))),0)</f>
        <v>926406.13015326345</v>
      </c>
      <c r="AY26" s="322" cm="1">
        <f t="array" ref="AY26">IFERROR(SUM(_xlfn._xlws.FILTER(Drivers!CA$71:CA$106,(BSSections=$E26)*(BSSummarys=$F26))),0)</f>
        <v>733998.54778743605</v>
      </c>
      <c r="AZ26" s="322" cm="1">
        <f t="array" ref="AZ26">IFERROR(SUM(_xlfn._xlws.FILTER(Drivers!CB$71:CB$106,(BSSections=$E26)*(BSSummarys=$F26))),0)</f>
        <v>520063.62136957853</v>
      </c>
      <c r="BA26" s="322" cm="1">
        <f t="array" ref="BA26">IFERROR(SUM(_xlfn._xlws.FILTER(Drivers!CC$71:CC$106,(BSSections=$E26)*(BSSummarys=$F26))),0)</f>
        <v>280302.37280449527</v>
      </c>
      <c r="BB26" s="322" cm="1">
        <f t="array" ref="BB26">IFERROR(SUM(_xlfn._xlws.FILTER(Drivers!CD$71:CD$106,(BSSections=$E26)*(BSSummarys=$F26))),0)</f>
        <v>50877.329930825552</v>
      </c>
      <c r="BC26" s="322" cm="1">
        <f t="array" ref="BC26">IFERROR(SUM(_xlfn._xlws.FILTER(Drivers!CE$71:CE$106,(BSSections=$E26)*(BSSummarys=$F26))),0)</f>
        <v>-185524.38643821474</v>
      </c>
      <c r="BD26" s="322" cm="1">
        <f t="array" ref="BD26">IFERROR(SUM(_xlfn._xlws.FILTER(Drivers!CF$71:CF$106,(BSSections=$E26)*(BSSummarys=$F26))),0)</f>
        <v>-426979.09637953027</v>
      </c>
      <c r="BE26" s="322" cm="1">
        <f t="array" ref="BE26">IFERROR(SUM(_xlfn._xlws.FILTER(Drivers!CG$71:CG$106,(BSSections=$E26)*(BSSummarys=$F26))),0)</f>
        <v>-672164.29362152971</v>
      </c>
      <c r="BF26" s="322" cm="1">
        <f t="array" ref="BF26">IFERROR(SUM(_xlfn._xlws.FILTER(Drivers!CH$71:CH$106,(BSSections=$E26)*(BSSummarys=$F26))),0)</f>
        <v>-920873.55731980898</v>
      </c>
      <c r="BG26" s="322" cm="1">
        <f t="array" ref="BG26">IFERROR(SUM(_xlfn._xlws.FILTER(Drivers!CI$71:CI$106,(BSSections=$E26)*(BSSummarys=$F26))),0)</f>
        <v>-1172971.1509452418</v>
      </c>
      <c r="BH26" s="322" cm="1">
        <f t="array" ref="BH26">IFERROR(SUM(_xlfn._xlws.FILTER(Drivers!CJ$71:CJ$106,(BSSections=$E26)*(BSSummarys=$F26))),0)</f>
        <v>-1438973.6823828642</v>
      </c>
    </row>
    <row r="27" spans="2:60" ht="21" outlineLevel="1">
      <c r="B27" s="284"/>
      <c r="C27" s="315"/>
      <c r="D27" s="288" t="s">
        <v>138</v>
      </c>
      <c r="E27" s="277" t="s">
        <v>135</v>
      </c>
      <c r="F27" s="277" t="s">
        <v>138</v>
      </c>
      <c r="G27" s="277"/>
      <c r="H27" s="277"/>
      <c r="I27" s="277"/>
      <c r="J27" s="314"/>
      <c r="L27" s="322" cm="1">
        <f t="array" ref="L27">IFERROR(SUM(_xlfn._xlws.FILTER(Drivers!AN$71:AN$106,(BSSections=$E27)*(BSSummarys=$F27))),0)</f>
        <v>0</v>
      </c>
      <c r="M27" s="322" cm="1">
        <f t="array" ref="M27">IFERROR(SUM(_xlfn._xlws.FILTER(Drivers!AO$71:AO$106,(BSSections=$E27)*(BSSummarys=$F27))),0)</f>
        <v>28970</v>
      </c>
      <c r="N27" s="322" cm="1">
        <f t="array" ref="N27">IFERROR(SUM(_xlfn._xlws.FILTER(Drivers!AP$71:AP$106,(BSSections=$E27)*(BSSummarys=$F27))),0)</f>
        <v>26333.5</v>
      </c>
      <c r="O27" s="322" cm="1">
        <f t="array" ref="O27">IFERROR(SUM(_xlfn._xlws.FILTER(Drivers!AQ$71:AQ$106,(BSSections=$E27)*(BSSummarys=$F27))),0)</f>
        <v>25623.5</v>
      </c>
      <c r="P27" s="322" cm="1">
        <f t="array" ref="P27">IFERROR(SUM(_xlfn._xlws.FILTER(Drivers!AR$71:AR$106,(BSSections=$E27)*(BSSummarys=$F27))),0)</f>
        <v>31437.5</v>
      </c>
      <c r="Q27" s="322" cm="1">
        <f t="array" ref="Q27">IFERROR(SUM(_xlfn._xlws.FILTER(Drivers!AS$71:AS$106,(BSSections=$E27)*(BSSummarys=$F27))),0)</f>
        <v>26713</v>
      </c>
      <c r="R27" s="322" cm="1">
        <f t="array" ref="R27">IFERROR(SUM(_xlfn._xlws.FILTER(Drivers!AT$71:AT$106,(BSSections=$E27)*(BSSummarys=$F27))),0)</f>
        <v>31402</v>
      </c>
      <c r="S27" s="322" cm="1">
        <f t="array" ref="S27">IFERROR(SUM(_xlfn._xlws.FILTER(Drivers!AU$71:AU$106,(BSSections=$E27)*(BSSummarys=$F27))),0)</f>
        <v>27773.5</v>
      </c>
      <c r="T27" s="322" cm="1">
        <f t="array" ref="T27">IFERROR(SUM(_xlfn._xlws.FILTER(Drivers!AV$71:AV$106,(BSSections=$E27)*(BSSummarys=$F27))),0)</f>
        <v>30752.5</v>
      </c>
      <c r="U27" s="322" cm="1">
        <f t="array" ref="U27">IFERROR(SUM(_xlfn._xlws.FILTER(Drivers!AW$71:AW$106,(BSSections=$E27)*(BSSummarys=$F27))),0)</f>
        <v>31222.5</v>
      </c>
      <c r="V27" s="322" cm="1">
        <f t="array" ref="V27">IFERROR(SUM(_xlfn._xlws.FILTER(Drivers!AX$71:AX$106,(BSSections=$E27)*(BSSummarys=$F27))),0)</f>
        <v>26119.5</v>
      </c>
      <c r="W27" s="322" cm="1">
        <f t="array" ref="W27">IFERROR(SUM(_xlfn._xlws.FILTER(Drivers!AY$71:AY$106,(BSSections=$E27)*(BSSummarys=$F27))),0)</f>
        <v>26119.5</v>
      </c>
      <c r="X27" s="322" cm="1">
        <f t="array" ref="X27">IFERROR(SUM(_xlfn._xlws.FILTER(Drivers!AZ$71:AZ$106,(BSSections=$E27)*(BSSummarys=$F27))),0)</f>
        <v>26119.5</v>
      </c>
      <c r="Y27" s="322" cm="1">
        <f t="array" ref="Y27">IFERROR(SUM(_xlfn._xlws.FILTER(Drivers!BA$71:BA$106,(BSSections=$E27)*(BSSummarys=$F27))),0)</f>
        <v>26119.5</v>
      </c>
      <c r="Z27" s="322" cm="1">
        <f t="array" ref="Z27">IFERROR(SUM(_xlfn._xlws.FILTER(Drivers!BB$71:BB$106,(BSSections=$E27)*(BSSummarys=$F27))),0)</f>
        <v>26119.5</v>
      </c>
      <c r="AA27" s="322" cm="1">
        <f t="array" ref="AA27">IFERROR(SUM(_xlfn._xlws.FILTER(Drivers!BC$71:BC$106,(BSSections=$E27)*(BSSummarys=$F27))),0)</f>
        <v>26119.5</v>
      </c>
      <c r="AB27" s="322" cm="1">
        <f t="array" ref="AB27">IFERROR(SUM(_xlfn._xlws.FILTER(Drivers!BD$71:BD$106,(BSSections=$E27)*(BSSummarys=$F27))),0)</f>
        <v>26119.5</v>
      </c>
      <c r="AC27" s="322" cm="1">
        <f t="array" ref="AC27">IFERROR(SUM(_xlfn._xlws.FILTER(Drivers!BE$71:BE$106,(BSSections=$E27)*(BSSummarys=$F27))),0)</f>
        <v>26119.5</v>
      </c>
      <c r="AD27" s="322" cm="1">
        <f t="array" ref="AD27">IFERROR(SUM(_xlfn._xlws.FILTER(Drivers!BF$71:BF$106,(BSSections=$E27)*(BSSummarys=$F27))),0)</f>
        <v>26119.5</v>
      </c>
      <c r="AE27" s="322" cm="1">
        <f t="array" ref="AE27">IFERROR(SUM(_xlfn._xlws.FILTER(Drivers!BG$71:BG$106,(BSSections=$E27)*(BSSummarys=$F27))),0)</f>
        <v>26119.5</v>
      </c>
      <c r="AF27" s="322" cm="1">
        <f t="array" ref="AF27">IFERROR(SUM(_xlfn._xlws.FILTER(Drivers!BH$71:BH$106,(BSSections=$E27)*(BSSummarys=$F27))),0)</f>
        <v>26119.5</v>
      </c>
      <c r="AG27" s="322" cm="1">
        <f t="array" ref="AG27">IFERROR(SUM(_xlfn._xlws.FILTER(Drivers!BI$71:BI$106,(BSSections=$E27)*(BSSummarys=$F27))),0)</f>
        <v>26119.5</v>
      </c>
      <c r="AH27" s="322" cm="1">
        <f t="array" ref="AH27">IFERROR(SUM(_xlfn._xlws.FILTER(Drivers!BJ$71:BJ$106,(BSSections=$E27)*(BSSummarys=$F27))),0)</f>
        <v>26119.5</v>
      </c>
      <c r="AI27" s="322" cm="1">
        <f t="array" ref="AI27">IFERROR(SUM(_xlfn._xlws.FILTER(Drivers!BK$71:BK$106,(BSSections=$E27)*(BSSummarys=$F27))),0)</f>
        <v>26119.5</v>
      </c>
      <c r="AJ27" s="322" cm="1">
        <f t="array" ref="AJ27">IFERROR(SUM(_xlfn._xlws.FILTER(Drivers!BL$71:BL$106,(BSSections=$E27)*(BSSummarys=$F27))),0)</f>
        <v>26119.5</v>
      </c>
      <c r="AK27" s="322" cm="1">
        <f t="array" ref="AK27">IFERROR(SUM(_xlfn._xlws.FILTER(Drivers!BM$71:BM$106,(BSSections=$E27)*(BSSummarys=$F27))),0)</f>
        <v>26119.5</v>
      </c>
      <c r="AL27" s="322" cm="1">
        <f t="array" ref="AL27">IFERROR(SUM(_xlfn._xlws.FILTER(Drivers!BN$71:BN$106,(BSSections=$E27)*(BSSummarys=$F27))),0)</f>
        <v>26119.5</v>
      </c>
      <c r="AM27" s="322" cm="1">
        <f t="array" ref="AM27">IFERROR(SUM(_xlfn._xlws.FILTER(Drivers!BO$71:BO$106,(BSSections=$E27)*(BSSummarys=$F27))),0)</f>
        <v>26119.5</v>
      </c>
      <c r="AN27" s="322" cm="1">
        <f t="array" ref="AN27">IFERROR(SUM(_xlfn._xlws.FILTER(Drivers!BP$71:BP$106,(BSSections=$E27)*(BSSummarys=$F27))),0)</f>
        <v>26119.5</v>
      </c>
      <c r="AO27" s="322" cm="1">
        <f t="array" ref="AO27">IFERROR(SUM(_xlfn._xlws.FILTER(Drivers!BQ$71:BQ$106,(BSSections=$E27)*(BSSummarys=$F27))),0)</f>
        <v>26119.5</v>
      </c>
      <c r="AP27" s="322" cm="1">
        <f t="array" ref="AP27">IFERROR(SUM(_xlfn._xlws.FILTER(Drivers!BR$71:BR$106,(BSSections=$E27)*(BSSummarys=$F27))),0)</f>
        <v>25819.5</v>
      </c>
      <c r="AQ27" s="322" cm="1">
        <f t="array" ref="AQ27">IFERROR(SUM(_xlfn._xlws.FILTER(Drivers!BS$71:BS$106,(BSSections=$E27)*(BSSummarys=$F27))),0)</f>
        <v>25019.5</v>
      </c>
      <c r="AR27" s="322" cm="1">
        <f t="array" ref="AR27">IFERROR(SUM(_xlfn._xlws.FILTER(Drivers!BT$71:BT$106,(BSSections=$E27)*(BSSummarys=$F27))),0)</f>
        <v>25019.5</v>
      </c>
      <c r="AS27" s="322" cm="1">
        <f t="array" ref="AS27">IFERROR(SUM(_xlfn._xlws.FILTER(Drivers!BU$71:BU$106,(BSSections=$E27)*(BSSummarys=$F27))),0)</f>
        <v>25019.5</v>
      </c>
      <c r="AT27" s="322" cm="1">
        <f t="array" ref="AT27">IFERROR(SUM(_xlfn._xlws.FILTER(Drivers!BV$71:BV$106,(BSSections=$E27)*(BSSummarys=$F27))),0)</f>
        <v>25019.5</v>
      </c>
      <c r="AU27" s="322" cm="1">
        <f t="array" ref="AU27">IFERROR(SUM(_xlfn._xlws.FILTER(Drivers!BW$71:BW$106,(BSSections=$E27)*(BSSummarys=$F27))),0)</f>
        <v>19969.5</v>
      </c>
      <c r="AV27" s="322" cm="1">
        <f t="array" ref="AV27">IFERROR(SUM(_xlfn._xlws.FILTER(Drivers!BX$71:BX$106,(BSSections=$E27)*(BSSummarys=$F27))),0)</f>
        <v>19969.5</v>
      </c>
      <c r="AW27" s="322" cm="1">
        <f t="array" ref="AW27">IFERROR(SUM(_xlfn._xlws.FILTER(Drivers!BY$71:BY$106,(BSSections=$E27)*(BSSummarys=$F27))),0)</f>
        <v>19969.5</v>
      </c>
      <c r="AX27" s="322" cm="1">
        <f t="array" ref="AX27">IFERROR(SUM(_xlfn._xlws.FILTER(Drivers!BZ$71:BZ$106,(BSSections=$E27)*(BSSummarys=$F27))),0)</f>
        <v>19969.5</v>
      </c>
      <c r="AY27" s="322" cm="1">
        <f t="array" ref="AY27">IFERROR(SUM(_xlfn._xlws.FILTER(Drivers!CA$71:CA$106,(BSSections=$E27)*(BSSummarys=$F27))),0)</f>
        <v>19969.5</v>
      </c>
      <c r="AZ27" s="322" cm="1">
        <f t="array" ref="AZ27">IFERROR(SUM(_xlfn._xlws.FILTER(Drivers!CB$71:CB$106,(BSSections=$E27)*(BSSummarys=$F27))),0)</f>
        <v>19969.5</v>
      </c>
      <c r="BA27" s="322" cm="1">
        <f t="array" ref="BA27">IFERROR(SUM(_xlfn._xlws.FILTER(Drivers!CC$71:CC$106,(BSSections=$E27)*(BSSummarys=$F27))),0)</f>
        <v>19969.5</v>
      </c>
      <c r="BB27" s="322" cm="1">
        <f t="array" ref="BB27">IFERROR(SUM(_xlfn._xlws.FILTER(Drivers!CD$71:CD$106,(BSSections=$E27)*(BSSummarys=$F27))),0)</f>
        <v>19969.5</v>
      </c>
      <c r="BC27" s="322" cm="1">
        <f t="array" ref="BC27">IFERROR(SUM(_xlfn._xlws.FILTER(Drivers!CE$71:CE$106,(BSSections=$E27)*(BSSummarys=$F27))),0)</f>
        <v>19969.5</v>
      </c>
      <c r="BD27" s="322" cm="1">
        <f t="array" ref="BD27">IFERROR(SUM(_xlfn._xlws.FILTER(Drivers!CF$71:CF$106,(BSSections=$E27)*(BSSummarys=$F27))),0)</f>
        <v>19969.5</v>
      </c>
      <c r="BE27" s="322" cm="1">
        <f t="array" ref="BE27">IFERROR(SUM(_xlfn._xlws.FILTER(Drivers!CG$71:CG$106,(BSSections=$E27)*(BSSummarys=$F27))),0)</f>
        <v>19969.5</v>
      </c>
      <c r="BF27" s="322" cm="1">
        <f t="array" ref="BF27">IFERROR(SUM(_xlfn._xlws.FILTER(Drivers!CH$71:CH$106,(BSSections=$E27)*(BSSummarys=$F27))),0)</f>
        <v>19969.5</v>
      </c>
      <c r="BG27" s="322" cm="1">
        <f t="array" ref="BG27">IFERROR(SUM(_xlfn._xlws.FILTER(Drivers!CI$71:CI$106,(BSSections=$E27)*(BSSummarys=$F27))),0)</f>
        <v>19969.5</v>
      </c>
      <c r="BH27" s="322" cm="1">
        <f t="array" ref="BH27">IFERROR(SUM(_xlfn._xlws.FILTER(Drivers!CJ$71:CJ$106,(BSSections=$E27)*(BSSummarys=$F27))),0)</f>
        <v>19969.5</v>
      </c>
    </row>
    <row r="28" spans="2:60" ht="21" outlineLevel="1">
      <c r="B28" s="284"/>
      <c r="C28" s="315"/>
      <c r="D28" s="288" t="s">
        <v>139</v>
      </c>
      <c r="E28" s="277" t="s">
        <v>135</v>
      </c>
      <c r="F28" s="277" t="s">
        <v>139</v>
      </c>
      <c r="G28" s="277"/>
      <c r="H28" s="277"/>
      <c r="I28" s="277"/>
      <c r="J28" s="314"/>
      <c r="L28" s="322" cm="1">
        <f t="array" ref="L28">IFERROR(SUM(_xlfn._xlws.FILTER(Drivers!AN$71:AN$106,(BSSections=$E28)*(BSSummarys=$F28))),0)</f>
        <v>0</v>
      </c>
      <c r="M28" s="322" cm="1">
        <f t="array" ref="M28">IFERROR(SUM(_xlfn._xlws.FILTER(Drivers!AO$71:AO$106,(BSSections=$E28)*(BSSummarys=$F28))),0)</f>
        <v>63100</v>
      </c>
      <c r="N28" s="322" cm="1">
        <f t="array" ref="N28">IFERROR(SUM(_xlfn._xlws.FILTER(Drivers!AP$71:AP$106,(BSSections=$E28)*(BSSummarys=$F28))),0)</f>
        <v>63031</v>
      </c>
      <c r="O28" s="322" cm="1">
        <f t="array" ref="O28">IFERROR(SUM(_xlfn._xlws.FILTER(Drivers!AQ$71:AQ$106,(BSSections=$E28)*(BSSummarys=$F28))),0)</f>
        <v>65392</v>
      </c>
      <c r="P28" s="322" cm="1">
        <f t="array" ref="P28">IFERROR(SUM(_xlfn._xlws.FILTER(Drivers!AR$71:AR$106,(BSSections=$E28)*(BSSummarys=$F28))),0)</f>
        <v>99281</v>
      </c>
      <c r="Q28" s="322" cm="1">
        <f t="array" ref="Q28">IFERROR(SUM(_xlfn._xlws.FILTER(Drivers!AS$71:AS$106,(BSSections=$E28)*(BSSummarys=$F28))),0)</f>
        <v>100600</v>
      </c>
      <c r="R28" s="322" cm="1">
        <f t="array" ref="R28">IFERROR(SUM(_xlfn._xlws.FILTER(Drivers!AT$71:AT$106,(BSSections=$E28)*(BSSummarys=$F28))),0)</f>
        <v>107197</v>
      </c>
      <c r="S28" s="322" cm="1">
        <f t="array" ref="S28">IFERROR(SUM(_xlfn._xlws.FILTER(Drivers!AU$71:AU$106,(BSSections=$E28)*(BSSummarys=$F28))),0)</f>
        <v>105794</v>
      </c>
      <c r="T28" s="322" cm="1">
        <f t="array" ref="T28">IFERROR(SUM(_xlfn._xlws.FILTER(Drivers!AV$71:AV$106,(BSSections=$E28)*(BSSummarys=$F28))),0)</f>
        <v>106822</v>
      </c>
      <c r="U28" s="322" cm="1">
        <f t="array" ref="U28">IFERROR(SUM(_xlfn._xlws.FILTER(Drivers!AW$71:AW$106,(BSSections=$E28)*(BSSummarys=$F28))),0)</f>
        <v>105350</v>
      </c>
      <c r="V28" s="322" cm="1">
        <f t="array" ref="V28">IFERROR(SUM(_xlfn._xlws.FILTER(Drivers!AX$71:AX$106,(BSSections=$E28)*(BSSummarys=$F28))),0)</f>
        <v>103878</v>
      </c>
      <c r="W28" s="322" cm="1">
        <f t="array" ref="W28">IFERROR(SUM(_xlfn._xlws.FILTER(Drivers!AY$71:AY$106,(BSSections=$E28)*(BSSummarys=$F28))),0)</f>
        <v>101518</v>
      </c>
      <c r="X28" s="322" cm="1">
        <f t="array" ref="X28">IFERROR(SUM(_xlfn._xlws.FILTER(Drivers!AZ$71:AZ$106,(BSSections=$E28)*(BSSummarys=$F28))),0)</f>
        <v>98467</v>
      </c>
      <c r="Y28" s="322" cm="1">
        <f t="array" ref="Y28">IFERROR(SUM(_xlfn._xlws.FILTER(Drivers!BA$71:BA$106,(BSSections=$E28)*(BSSummarys=$F28))),0)</f>
        <v>112416.5</v>
      </c>
      <c r="Z28" s="322" cm="1">
        <f t="array" ref="Z28">IFERROR(SUM(_xlfn._xlws.FILTER(Drivers!BB$71:BB$106,(BSSections=$E28)*(BSSummarys=$F28))),0)</f>
        <v>97365.5</v>
      </c>
      <c r="AA28" s="322" cm="1">
        <f t="array" ref="AA28">IFERROR(SUM(_xlfn._xlws.FILTER(Drivers!BC$71:BC$106,(BSSections=$E28)*(BSSummarys=$F28))),0)</f>
        <v>94315</v>
      </c>
      <c r="AB28" s="322" cm="1">
        <f t="array" ref="AB28">IFERROR(SUM(_xlfn._xlws.FILTER(Drivers!BD$71:BD$106,(BSSections=$E28)*(BSSummarys=$F28))),0)</f>
        <v>91264.5</v>
      </c>
      <c r="AC28" s="322" cm="1">
        <f t="array" ref="AC28">IFERROR(SUM(_xlfn._xlws.FILTER(Drivers!BE$71:BE$106,(BSSections=$E28)*(BSSummarys=$F28))),0)</f>
        <v>88214</v>
      </c>
      <c r="AD28" s="322" cm="1">
        <f t="array" ref="AD28">IFERROR(SUM(_xlfn._xlws.FILTER(Drivers!BF$71:BF$106,(BSSections=$E28)*(BSSummarys=$F28))),0)</f>
        <v>85163</v>
      </c>
      <c r="AE28" s="322" cm="1">
        <f t="array" ref="AE28">IFERROR(SUM(_xlfn._xlws.FILTER(Drivers!BG$71:BG$106,(BSSections=$E28)*(BSSummarys=$F28))),0)</f>
        <v>82112</v>
      </c>
      <c r="AF28" s="322" cm="1">
        <f t="array" ref="AF28">IFERROR(SUM(_xlfn._xlws.FILTER(Drivers!BH$71:BH$106,(BSSections=$E28)*(BSSummarys=$F28))),0)</f>
        <v>79061</v>
      </c>
      <c r="AG28" s="322" cm="1">
        <f t="array" ref="AG28">IFERROR(SUM(_xlfn._xlws.FILTER(Drivers!BI$71:BI$106,(BSSections=$E28)*(BSSummarys=$F28))),0)</f>
        <v>76010</v>
      </c>
      <c r="AH28" s="322" cm="1">
        <f t="array" ref="AH28">IFERROR(SUM(_xlfn._xlws.FILTER(Drivers!BJ$71:BJ$106,(BSSections=$E28)*(BSSummarys=$F28))),0)</f>
        <v>72959</v>
      </c>
      <c r="AI28" s="322" cm="1">
        <f t="array" ref="AI28">IFERROR(SUM(_xlfn._xlws.FILTER(Drivers!BK$71:BK$106,(BSSections=$E28)*(BSSummarys=$F28))),0)</f>
        <v>69908</v>
      </c>
      <c r="AJ28" s="322" cm="1">
        <f t="array" ref="AJ28">IFERROR(SUM(_xlfn._xlws.FILTER(Drivers!BL$71:BL$106,(BSSections=$E28)*(BSSummarys=$F28))),0)</f>
        <v>66857.5</v>
      </c>
      <c r="AK28" s="322" cm="1">
        <f t="array" ref="AK28">IFERROR(SUM(_xlfn._xlws.FILTER(Drivers!BM$71:BM$106,(BSSections=$E28)*(BSSummarys=$F28))),0)</f>
        <v>63806.84</v>
      </c>
      <c r="AL28" s="322" cm="1">
        <f t="array" ref="AL28">IFERROR(SUM(_xlfn._xlws.FILTER(Drivers!BN$71:BN$106,(BSSections=$E28)*(BSSummarys=$F28))),0)</f>
        <v>60756.18</v>
      </c>
      <c r="AM28" s="322" cm="1">
        <f t="array" ref="AM28">IFERROR(SUM(_xlfn._xlws.FILTER(Drivers!BO$71:BO$106,(BSSections=$E28)*(BSSummarys=$F28))),0)</f>
        <v>57705.52</v>
      </c>
      <c r="AN28" s="322" cm="1">
        <f t="array" ref="AN28">IFERROR(SUM(_xlfn._xlws.FILTER(Drivers!BP$71:BP$106,(BSSections=$E28)*(BSSummarys=$F28))),0)</f>
        <v>54654.86</v>
      </c>
      <c r="AO28" s="322" cm="1">
        <f t="array" ref="AO28">IFERROR(SUM(_xlfn._xlws.FILTER(Drivers!BQ$71:BQ$106,(BSSections=$E28)*(BSSummarys=$F28))),0)</f>
        <v>51604.2</v>
      </c>
      <c r="AP28" s="322" cm="1">
        <f t="array" ref="AP28">IFERROR(SUM(_xlfn._xlws.FILTER(Drivers!BR$71:BR$106,(BSSections=$E28)*(BSSummarys=$F28))),0)</f>
        <v>48553.539999999994</v>
      </c>
      <c r="AQ28" s="322" cm="1">
        <f t="array" ref="AQ28">IFERROR(SUM(_xlfn._xlws.FILTER(Drivers!BS$71:BS$106,(BSSections=$E28)*(BSSummarys=$F28))),0)</f>
        <v>45502.880000000005</v>
      </c>
      <c r="AR28" s="322" cm="1">
        <f t="array" ref="AR28">IFERROR(SUM(_xlfn._xlws.FILTER(Drivers!BT$71:BT$106,(BSSections=$E28)*(BSSummarys=$F28))),0)</f>
        <v>42452.22</v>
      </c>
      <c r="AS28" s="322" cm="1">
        <f t="array" ref="AS28">IFERROR(SUM(_xlfn._xlws.FILTER(Drivers!BU$71:BU$106,(BSSections=$E28)*(BSSummarys=$F28))),0)</f>
        <v>39401.56</v>
      </c>
      <c r="AT28" s="322" cm="1">
        <f t="array" ref="AT28">IFERROR(SUM(_xlfn._xlws.FILTER(Drivers!BV$71:BV$106,(BSSections=$E28)*(BSSummarys=$F28))),0)</f>
        <v>36350.899999999994</v>
      </c>
      <c r="AU28" s="322" cm="1">
        <f t="array" ref="AU28">IFERROR(SUM(_xlfn._xlws.FILTER(Drivers!BW$71:BW$106,(BSSections=$E28)*(BSSummarys=$F28))),0)</f>
        <v>33300.240000000005</v>
      </c>
      <c r="AV28" s="322" cm="1">
        <f t="array" ref="AV28">IFERROR(SUM(_xlfn._xlws.FILTER(Drivers!BX$71:BX$106,(BSSections=$E28)*(BSSummarys=$F28))),0)</f>
        <v>50122.42333333334</v>
      </c>
      <c r="AW28" s="322" cm="1">
        <f t="array" ref="AW28">IFERROR(SUM(_xlfn._xlws.FILTER(Drivers!BY$71:BY$106,(BSSections=$E28)*(BSSummarys=$F28))),0)</f>
        <v>47014.051111111112</v>
      </c>
      <c r="AX28" s="322" cm="1">
        <f t="array" ref="AX28">IFERROR(SUM(_xlfn._xlws.FILTER(Drivers!BZ$71:BZ$106,(BSSections=$E28)*(BSSummarys=$F28))),0)</f>
        <v>53627.901111111118</v>
      </c>
      <c r="AY28" s="322" cm="1">
        <f t="array" ref="AY28">IFERROR(SUM(_xlfn._xlws.FILTER(Drivers!CA$71:CA$106,(BSSections=$E28)*(BSSummarys=$F28))),0)</f>
        <v>50311.195555555561</v>
      </c>
      <c r="AZ28" s="322" cm="1">
        <f t="array" ref="AZ28">IFERROR(SUM(_xlfn._xlws.FILTER(Drivers!CB$71:CB$106,(BSSections=$E28)*(BSSummarys=$F28))),0)</f>
        <v>47966.712222222224</v>
      </c>
      <c r="BA28" s="322" cm="1">
        <f t="array" ref="BA28">IFERROR(SUM(_xlfn._xlws.FILTER(Drivers!CC$71:CC$106,(BSSections=$E28)*(BSSummarys=$F28))),0)</f>
        <v>60275.006666666668</v>
      </c>
      <c r="BB28" s="322" cm="1">
        <f t="array" ref="BB28">IFERROR(SUM(_xlfn._xlws.FILTER(Drivers!CD$71:CD$106,(BSSections=$E28)*(BSSummarys=$F28))),0)</f>
        <v>57805.523333333331</v>
      </c>
      <c r="BC28" s="322" cm="1">
        <f t="array" ref="BC28">IFERROR(SUM(_xlfn._xlws.FILTER(Drivers!CE$71:CE$106,(BSSections=$E28)*(BSSummarys=$F28))),0)</f>
        <v>55336.039999999994</v>
      </c>
      <c r="BD28" s="322" cm="1">
        <f t="array" ref="BD28">IFERROR(SUM(_xlfn._xlws.FILTER(Drivers!CF$71:CF$106,(BSSections=$E28)*(BSSummarys=$F28))),0)</f>
        <v>52936.001111111109</v>
      </c>
      <c r="BE28" s="322" cm="1">
        <f t="array" ref="BE28">IFERROR(SUM(_xlfn._xlws.FILTER(Drivers!CG$71:CG$106,(BSSections=$E28)*(BSSummarys=$F28))),0)</f>
        <v>50535.962222222224</v>
      </c>
      <c r="BF28" s="322" cm="1">
        <f t="array" ref="BF28">IFERROR(SUM(_xlfn._xlws.FILTER(Drivers!CH$71:CH$106,(BSSections=$E28)*(BSSummarys=$F28))),0)</f>
        <v>48135.92333333334</v>
      </c>
      <c r="BG28" s="322" cm="1">
        <f t="array" ref="BG28">IFERROR(SUM(_xlfn._xlws.FILTER(Drivers!CI$71:CI$106,(BSSections=$E28)*(BSSummarys=$F28))),0)</f>
        <v>45735.884444444455</v>
      </c>
      <c r="BH28" s="322" cm="1">
        <f t="array" ref="BH28">IFERROR(SUM(_xlfn._xlws.FILTER(Drivers!CJ$71:CJ$106,(BSSections=$E28)*(BSSummarys=$F28))),0)</f>
        <v>43335.84555555557</v>
      </c>
    </row>
    <row r="29" spans="2:60" ht="21" outlineLevel="1">
      <c r="B29" s="284"/>
      <c r="C29" s="315"/>
      <c r="D29" s="288" t="s">
        <v>142</v>
      </c>
      <c r="E29" s="277" t="s">
        <v>141</v>
      </c>
      <c r="F29" s="277" t="s">
        <v>142</v>
      </c>
      <c r="G29" s="277"/>
      <c r="H29" s="277"/>
      <c r="I29" s="277"/>
      <c r="J29" s="314"/>
      <c r="L29" s="322" cm="1">
        <f t="array" ref="L29">IFERROR(SUM(_xlfn._xlws.FILTER(Drivers!AN$71:AN$106,(BSSections=$E29)*(BSSummarys=$F29))),0)</f>
        <v>0</v>
      </c>
      <c r="M29" s="322" cm="1">
        <f t="array" ref="M29">IFERROR(SUM(_xlfn._xlws.FILTER(Drivers!AO$71:AO$106,(BSSections=$E29)*(BSSummarys=$F29))),0)</f>
        <v>37350</v>
      </c>
      <c r="N29" s="322" cm="1">
        <f t="array" ref="N29">IFERROR(SUM(_xlfn._xlws.FILTER(Drivers!AP$71:AP$106,(BSSections=$E29)*(BSSummarys=$F29))),0)</f>
        <v>42033</v>
      </c>
      <c r="O29" s="322" cm="1">
        <f t="array" ref="O29">IFERROR(SUM(_xlfn._xlws.FILTER(Drivers!AQ$71:AQ$106,(BSSections=$E29)*(BSSummarys=$F29))),0)</f>
        <v>43504</v>
      </c>
      <c r="P29" s="322" cm="1">
        <f t="array" ref="P29">IFERROR(SUM(_xlfn._xlws.FILTER(Drivers!AR$71:AR$106,(BSSections=$E29)*(BSSummarys=$F29))),0)</f>
        <v>45027</v>
      </c>
      <c r="Q29" s="322" cm="1">
        <f t="array" ref="Q29">IFERROR(SUM(_xlfn._xlws.FILTER(Drivers!AS$71:AS$106,(BSSections=$E29)*(BSSummarys=$F29))),0)</f>
        <v>46603</v>
      </c>
      <c r="R29" s="322" cm="1">
        <f t="array" ref="R29">IFERROR(SUM(_xlfn._xlws.FILTER(Drivers!AT$71:AT$106,(BSSections=$E29)*(BSSummarys=$F29))),0)</f>
        <v>48234</v>
      </c>
      <c r="S29" s="322" cm="1">
        <f t="array" ref="S29">IFERROR(SUM(_xlfn._xlws.FILTER(Drivers!AU$71:AU$106,(BSSections=$E29)*(BSSummarys=$F29))),0)</f>
        <v>49922</v>
      </c>
      <c r="T29" s="322" cm="1">
        <f t="array" ref="T29">IFERROR(SUM(_xlfn._xlws.FILTER(Drivers!AV$71:AV$106,(BSSections=$E29)*(BSSummarys=$F29))),0)</f>
        <v>51669.5</v>
      </c>
      <c r="U29" s="322" cm="1">
        <f t="array" ref="U29">IFERROR(SUM(_xlfn._xlws.FILTER(Drivers!AW$71:AW$106,(BSSections=$E29)*(BSSummarys=$F29))),0)</f>
        <v>53477.5</v>
      </c>
      <c r="V29" s="322" cm="1">
        <f t="array" ref="V29">IFERROR(SUM(_xlfn._xlws.FILTER(Drivers!AX$71:AX$106,(BSSections=$E29)*(BSSummarys=$F29))),0)</f>
        <v>55349.5</v>
      </c>
      <c r="W29" s="322" cm="1">
        <f t="array" ref="W29">IFERROR(SUM(_xlfn._xlws.FILTER(Drivers!AY$71:AY$106,(BSSections=$E29)*(BSSummarys=$F29))),0)</f>
        <v>55349.5</v>
      </c>
      <c r="X29" s="322" cm="1">
        <f t="array" ref="X29">IFERROR(SUM(_xlfn._xlws.FILTER(Drivers!AZ$71:AZ$106,(BSSections=$E29)*(BSSummarys=$F29))),0)</f>
        <v>55349.5</v>
      </c>
      <c r="Y29" s="322" cm="1">
        <f t="array" ref="Y29">IFERROR(SUM(_xlfn._xlws.FILTER(Drivers!BA$71:BA$106,(BSSections=$E29)*(BSSummarys=$F29))),0)</f>
        <v>55349.5</v>
      </c>
      <c r="Z29" s="322" cm="1">
        <f t="array" ref="Z29">IFERROR(SUM(_xlfn._xlws.FILTER(Drivers!BB$71:BB$106,(BSSections=$E29)*(BSSummarys=$F29))),0)</f>
        <v>55349.5</v>
      </c>
      <c r="AA29" s="322" cm="1">
        <f t="array" ref="AA29">IFERROR(SUM(_xlfn._xlws.FILTER(Drivers!BC$71:BC$106,(BSSections=$E29)*(BSSummarys=$F29))),0)</f>
        <v>55349.5</v>
      </c>
      <c r="AB29" s="322" cm="1">
        <f t="array" ref="AB29">IFERROR(SUM(_xlfn._xlws.FILTER(Drivers!BD$71:BD$106,(BSSections=$E29)*(BSSummarys=$F29))),0)</f>
        <v>55349.5</v>
      </c>
      <c r="AC29" s="322" cm="1">
        <f t="array" ref="AC29">IFERROR(SUM(_xlfn._xlws.FILTER(Drivers!BE$71:BE$106,(BSSections=$E29)*(BSSummarys=$F29))),0)</f>
        <v>55349.5</v>
      </c>
      <c r="AD29" s="322" cm="1">
        <f t="array" ref="AD29">IFERROR(SUM(_xlfn._xlws.FILTER(Drivers!BF$71:BF$106,(BSSections=$E29)*(BSSummarys=$F29))),0)</f>
        <v>55349.5</v>
      </c>
      <c r="AE29" s="322" cm="1">
        <f t="array" ref="AE29">IFERROR(SUM(_xlfn._xlws.FILTER(Drivers!BG$71:BG$106,(BSSections=$E29)*(BSSummarys=$F29))),0)</f>
        <v>55349.5</v>
      </c>
      <c r="AF29" s="322" cm="1">
        <f t="array" ref="AF29">IFERROR(SUM(_xlfn._xlws.FILTER(Drivers!BH$71:BH$106,(BSSections=$E29)*(BSSummarys=$F29))),0)</f>
        <v>55349.5</v>
      </c>
      <c r="AG29" s="322" cm="1">
        <f t="array" ref="AG29">IFERROR(SUM(_xlfn._xlws.FILTER(Drivers!BI$71:BI$106,(BSSections=$E29)*(BSSummarys=$F29))),0)</f>
        <v>55349.5</v>
      </c>
      <c r="AH29" s="322" cm="1">
        <f t="array" ref="AH29">IFERROR(SUM(_xlfn._xlws.FILTER(Drivers!BJ$71:BJ$106,(BSSections=$E29)*(BSSummarys=$F29))),0)</f>
        <v>55349.5</v>
      </c>
      <c r="AI29" s="322" cm="1">
        <f t="array" ref="AI29">IFERROR(SUM(_xlfn._xlws.FILTER(Drivers!BK$71:BK$106,(BSSections=$E29)*(BSSummarys=$F29))),0)</f>
        <v>55349.5</v>
      </c>
      <c r="AJ29" s="322" cm="1">
        <f t="array" ref="AJ29">IFERROR(SUM(_xlfn._xlws.FILTER(Drivers!BL$71:BL$106,(BSSections=$E29)*(BSSummarys=$F29))),0)</f>
        <v>55349.5</v>
      </c>
      <c r="AK29" s="322" cm="1">
        <f t="array" ref="AK29">IFERROR(SUM(_xlfn._xlws.FILTER(Drivers!BM$71:BM$106,(BSSections=$E29)*(BSSummarys=$F29))),0)</f>
        <v>55349.5</v>
      </c>
      <c r="AL29" s="322" cm="1">
        <f t="array" ref="AL29">IFERROR(SUM(_xlfn._xlws.FILTER(Drivers!BN$71:BN$106,(BSSections=$E29)*(BSSummarys=$F29))),0)</f>
        <v>55349.5</v>
      </c>
      <c r="AM29" s="322" cm="1">
        <f t="array" ref="AM29">IFERROR(SUM(_xlfn._xlws.FILTER(Drivers!BO$71:BO$106,(BSSections=$E29)*(BSSummarys=$F29))),0)</f>
        <v>55349.5</v>
      </c>
      <c r="AN29" s="322" cm="1">
        <f t="array" ref="AN29">IFERROR(SUM(_xlfn._xlws.FILTER(Drivers!BP$71:BP$106,(BSSections=$E29)*(BSSummarys=$F29))),0)</f>
        <v>55349.5</v>
      </c>
      <c r="AO29" s="322" cm="1">
        <f t="array" ref="AO29">IFERROR(SUM(_xlfn._xlws.FILTER(Drivers!BQ$71:BQ$106,(BSSections=$E29)*(BSSummarys=$F29))),0)</f>
        <v>55349.5</v>
      </c>
      <c r="AP29" s="322" cm="1">
        <f t="array" ref="AP29">IFERROR(SUM(_xlfn._xlws.FILTER(Drivers!BR$71:BR$106,(BSSections=$E29)*(BSSummarys=$F29))),0)</f>
        <v>56349.5</v>
      </c>
      <c r="AQ29" s="322" cm="1">
        <f t="array" ref="AQ29">IFERROR(SUM(_xlfn._xlws.FILTER(Drivers!BS$71:BS$106,(BSSections=$E29)*(BSSummarys=$F29))),0)</f>
        <v>56349.5</v>
      </c>
      <c r="AR29" s="322" cm="1">
        <f t="array" ref="AR29">IFERROR(SUM(_xlfn._xlws.FILTER(Drivers!BT$71:BT$106,(BSSections=$E29)*(BSSummarys=$F29))),0)</f>
        <v>56849.5</v>
      </c>
      <c r="AS29" s="322" cm="1">
        <f t="array" ref="AS29">IFERROR(SUM(_xlfn._xlws.FILTER(Drivers!BU$71:BU$106,(BSSections=$E29)*(BSSummarys=$F29))),0)</f>
        <v>56849.5</v>
      </c>
      <c r="AT29" s="322" cm="1">
        <f t="array" ref="AT29">IFERROR(SUM(_xlfn._xlws.FILTER(Drivers!BV$71:BV$106,(BSSections=$E29)*(BSSummarys=$F29))),0)</f>
        <v>56849.5</v>
      </c>
      <c r="AU29" s="322" cm="1">
        <f t="array" ref="AU29">IFERROR(SUM(_xlfn._xlws.FILTER(Drivers!BW$71:BW$106,(BSSections=$E29)*(BSSummarys=$F29))),0)</f>
        <v>57849.5</v>
      </c>
      <c r="AV29" s="322" cm="1">
        <f t="array" ref="AV29">IFERROR(SUM(_xlfn._xlws.FILTER(Drivers!BX$71:BX$106,(BSSections=$E29)*(BSSummarys=$F29))),0)</f>
        <v>121304.0832818182</v>
      </c>
      <c r="AW29" s="322" cm="1">
        <f t="array" ref="AW29">IFERROR(SUM(_xlfn._xlws.FILTER(Drivers!BY$71:BY$106,(BSSections=$E29)*(BSSummarys=$F29))),0)</f>
        <v>102363.10724678721</v>
      </c>
      <c r="AX29" s="322" cm="1">
        <f t="array" ref="AX29">IFERROR(SUM(_xlfn._xlws.FILTER(Drivers!BZ$71:BZ$106,(BSSections=$E29)*(BSSummarys=$F29))),0)</f>
        <v>90043.935255415185</v>
      </c>
      <c r="AY29" s="322" cm="1">
        <f t="array" ref="AY29">IFERROR(SUM(_xlfn._xlws.FILTER(Drivers!CA$71:CA$106,(BSSections=$E29)*(BSSummarys=$F29))),0)</f>
        <v>91395.486110663274</v>
      </c>
      <c r="AZ29" s="322" cm="1">
        <f t="array" ref="AZ29">IFERROR(SUM(_xlfn._xlws.FILTER(Drivers!CB$71:CB$106,(BSSections=$E29)*(BSSummarys=$F29))),0)</f>
        <v>99930.048159655038</v>
      </c>
      <c r="BA29" s="322" cm="1">
        <f t="array" ref="BA29">IFERROR(SUM(_xlfn._xlws.FILTER(Drivers!CC$71:CC$106,(BSSections=$E29)*(BSSummarys=$F29))),0)</f>
        <v>100780.38846379826</v>
      </c>
      <c r="BB29" s="322" cm="1">
        <f t="array" ref="BB29">IFERROR(SUM(_xlfn._xlws.FILTER(Drivers!CD$71:CD$106,(BSSections=$E29)*(BSSummarys=$F29))),0)</f>
        <v>102259.81084503142</v>
      </c>
      <c r="BC29" s="322" cm="1">
        <f t="array" ref="BC29">IFERROR(SUM(_xlfn._xlws.FILTER(Drivers!CE$71:CE$106,(BSSections=$E29)*(BSSummarys=$F29))),0)</f>
        <v>104502.91827537332</v>
      </c>
      <c r="BD29" s="322" cm="1">
        <f t="array" ref="BD29">IFERROR(SUM(_xlfn._xlws.FILTER(Drivers!CF$71:CF$106,(BSSections=$E29)*(BSSummarys=$F29))),0)</f>
        <v>105586.65220098443</v>
      </c>
      <c r="BE29" s="322" cm="1">
        <f t="array" ref="BE29">IFERROR(SUM(_xlfn._xlws.FILTER(Drivers!CG$71:CG$106,(BSSections=$E29)*(BSSummarys=$F29))),0)</f>
        <v>106593.6066991484</v>
      </c>
      <c r="BF29" s="322" cm="1">
        <f t="array" ref="BF29">IFERROR(SUM(_xlfn._xlws.FILTER(Drivers!CH$71:CH$106,(BSSections=$E29)*(BSSummarys=$F29))),0)</f>
        <v>107539.42272510206</v>
      </c>
      <c r="BG29" s="322" cm="1">
        <f t="array" ref="BG29">IFERROR(SUM(_xlfn._xlws.FILTER(Drivers!CI$71:CI$106,(BSSections=$E29)*(BSSummarys=$F29))),0)</f>
        <v>108449.63869410295</v>
      </c>
      <c r="BH29" s="322" cm="1">
        <f t="array" ref="BH29">IFERROR(SUM(_xlfn._xlws.FILTER(Drivers!CJ$71:CJ$106,(BSSections=$E29)*(BSSummarys=$F29))),0)</f>
        <v>113881.40120151216</v>
      </c>
    </row>
    <row r="30" spans="2:60" ht="21" outlineLevel="1">
      <c r="B30" s="284"/>
      <c r="C30" s="315"/>
      <c r="D30" s="288" t="s">
        <v>143</v>
      </c>
      <c r="E30" s="277" t="s">
        <v>141</v>
      </c>
      <c r="F30" s="277" t="s">
        <v>143</v>
      </c>
      <c r="G30" s="277"/>
      <c r="H30" s="277"/>
      <c r="I30" s="277"/>
      <c r="J30" s="314"/>
      <c r="L30" s="322" cm="1">
        <f t="array" ref="L30">IFERROR(SUM(_xlfn._xlws.FILTER(Drivers!AN$71:AN$106,(BSSections=$E30)*(BSSummarys=$F30))),0)</f>
        <v>0</v>
      </c>
      <c r="M30" s="322" cm="1">
        <f t="array" ref="M30">IFERROR(SUM(_xlfn._xlws.FILTER(Drivers!AO$71:AO$106,(BSSections=$E30)*(BSSummarys=$F30))),0)</f>
        <v>4496</v>
      </c>
      <c r="N30" s="322" cm="1">
        <f t="array" ref="N30">IFERROR(SUM(_xlfn._xlws.FILTER(Drivers!AP$71:AP$106,(BSSections=$E30)*(BSSummarys=$F30))),0)</f>
        <v>4086</v>
      </c>
      <c r="O30" s="322" cm="1">
        <f t="array" ref="O30">IFERROR(SUM(_xlfn._xlws.FILTER(Drivers!AQ$71:AQ$106,(BSSections=$E30)*(BSSummarys=$F30))),0)</f>
        <v>584</v>
      </c>
      <c r="P30" s="322" cm="1">
        <f t="array" ref="P30">IFERROR(SUM(_xlfn._xlws.FILTER(Drivers!AR$71:AR$106,(BSSections=$E30)*(BSSummarys=$F30))),0)</f>
        <v>2058.5</v>
      </c>
      <c r="Q30" s="322" cm="1">
        <f t="array" ref="Q30">IFERROR(SUM(_xlfn._xlws.FILTER(Drivers!AS$71:AS$106,(BSSections=$E30)*(BSSummarys=$F30))),0)</f>
        <v>1240.5</v>
      </c>
      <c r="R30" s="322" cm="1">
        <f t="array" ref="R30">IFERROR(SUM(_xlfn._xlws.FILTER(Drivers!AT$71:AT$106,(BSSections=$E30)*(BSSummarys=$F30))),0)</f>
        <v>-1688.5</v>
      </c>
      <c r="S30" s="322" cm="1">
        <f t="array" ref="S30">IFERROR(SUM(_xlfn._xlws.FILTER(Drivers!AU$71:AU$106,(BSSections=$E30)*(BSSummarys=$F30))),0)</f>
        <v>-859.5</v>
      </c>
      <c r="T30" s="322" cm="1">
        <f t="array" ref="T30">IFERROR(SUM(_xlfn._xlws.FILTER(Drivers!AV$71:AV$106,(BSSections=$E30)*(BSSummarys=$F30))),0)</f>
        <v>-1610</v>
      </c>
      <c r="U30" s="322" cm="1">
        <f t="array" ref="U30">IFERROR(SUM(_xlfn._xlws.FILTER(Drivers!AW$71:AW$106,(BSSections=$E30)*(BSSummarys=$F30))),0)</f>
        <v>323</v>
      </c>
      <c r="V30" s="322" cm="1">
        <f t="array" ref="V30">IFERROR(SUM(_xlfn._xlws.FILTER(Drivers!AX$71:AX$106,(BSSections=$E30)*(BSSummarys=$F30))),0)</f>
        <v>-4942</v>
      </c>
      <c r="W30" s="322" cm="1">
        <f t="array" ref="W30">IFERROR(SUM(_xlfn._xlws.FILTER(Drivers!AY$71:AY$106,(BSSections=$E30)*(BSSummarys=$F30))),0)</f>
        <v>-4942</v>
      </c>
      <c r="X30" s="322" cm="1">
        <f t="array" ref="X30">IFERROR(SUM(_xlfn._xlws.FILTER(Drivers!AZ$71:AZ$106,(BSSections=$E30)*(BSSummarys=$F30))),0)</f>
        <v>-4942</v>
      </c>
      <c r="Y30" s="322" cm="1">
        <f t="array" ref="Y30">IFERROR(SUM(_xlfn._xlws.FILTER(Drivers!BA$71:BA$106,(BSSections=$E30)*(BSSummarys=$F30))),0)</f>
        <v>-4942</v>
      </c>
      <c r="Z30" s="322" cm="1">
        <f t="array" ref="Z30">IFERROR(SUM(_xlfn._xlws.FILTER(Drivers!BB$71:BB$106,(BSSections=$E30)*(BSSummarys=$F30))),0)</f>
        <v>-4942</v>
      </c>
      <c r="AA30" s="322" cm="1">
        <f t="array" ref="AA30">IFERROR(SUM(_xlfn._xlws.FILTER(Drivers!BC$71:BC$106,(BSSections=$E30)*(BSSummarys=$F30))),0)</f>
        <v>-4942</v>
      </c>
      <c r="AB30" s="322" cm="1">
        <f t="array" ref="AB30">IFERROR(SUM(_xlfn._xlws.FILTER(Drivers!BD$71:BD$106,(BSSections=$E30)*(BSSummarys=$F30))),0)</f>
        <v>-4942</v>
      </c>
      <c r="AC30" s="322" cm="1">
        <f t="array" ref="AC30">IFERROR(SUM(_xlfn._xlws.FILTER(Drivers!BE$71:BE$106,(BSSections=$E30)*(BSSummarys=$F30))),0)</f>
        <v>-4942</v>
      </c>
      <c r="AD30" s="322" cm="1">
        <f t="array" ref="AD30">IFERROR(SUM(_xlfn._xlws.FILTER(Drivers!BF$71:BF$106,(BSSections=$E30)*(BSSummarys=$F30))),0)</f>
        <v>-4942</v>
      </c>
      <c r="AE30" s="322" cm="1">
        <f t="array" ref="AE30">IFERROR(SUM(_xlfn._xlws.FILTER(Drivers!BG$71:BG$106,(BSSections=$E30)*(BSSummarys=$F30))),0)</f>
        <v>-4942</v>
      </c>
      <c r="AF30" s="322" cm="1">
        <f t="array" ref="AF30">IFERROR(SUM(_xlfn._xlws.FILTER(Drivers!BH$71:BH$106,(BSSections=$E30)*(BSSummarys=$F30))),0)</f>
        <v>-4942</v>
      </c>
      <c r="AG30" s="322" cm="1">
        <f t="array" ref="AG30">IFERROR(SUM(_xlfn._xlws.FILTER(Drivers!BI$71:BI$106,(BSSections=$E30)*(BSSummarys=$F30))),0)</f>
        <v>-4942</v>
      </c>
      <c r="AH30" s="322" cm="1">
        <f t="array" ref="AH30">IFERROR(SUM(_xlfn._xlws.FILTER(Drivers!BJ$71:BJ$106,(BSSections=$E30)*(BSSummarys=$F30))),0)</f>
        <v>-4942</v>
      </c>
      <c r="AI30" s="322" cm="1">
        <f t="array" ref="AI30">IFERROR(SUM(_xlfn._xlws.FILTER(Drivers!BK$71:BK$106,(BSSections=$E30)*(BSSummarys=$F30))),0)</f>
        <v>-4942</v>
      </c>
      <c r="AJ30" s="322" cm="1">
        <f t="array" ref="AJ30">IFERROR(SUM(_xlfn._xlws.FILTER(Drivers!BL$71:BL$106,(BSSections=$E30)*(BSSummarys=$F30))),0)</f>
        <v>-4942</v>
      </c>
      <c r="AK30" s="322" cm="1">
        <f t="array" ref="AK30">IFERROR(SUM(_xlfn._xlws.FILTER(Drivers!BM$71:BM$106,(BSSections=$E30)*(BSSummarys=$F30))),0)</f>
        <v>-4942</v>
      </c>
      <c r="AL30" s="322" cm="1">
        <f t="array" ref="AL30">IFERROR(SUM(_xlfn._xlws.FILTER(Drivers!BN$71:BN$106,(BSSections=$E30)*(BSSummarys=$F30))),0)</f>
        <v>-4942</v>
      </c>
      <c r="AM30" s="322" cm="1">
        <f t="array" ref="AM30">IFERROR(SUM(_xlfn._xlws.FILTER(Drivers!BO$71:BO$106,(BSSections=$E30)*(BSSummarys=$F30))),0)</f>
        <v>-4942</v>
      </c>
      <c r="AN30" s="322" cm="1">
        <f t="array" ref="AN30">IFERROR(SUM(_xlfn._xlws.FILTER(Drivers!BP$71:BP$106,(BSSections=$E30)*(BSSummarys=$F30))),0)</f>
        <v>-4942</v>
      </c>
      <c r="AO30" s="322" cm="1">
        <f t="array" ref="AO30">IFERROR(SUM(_xlfn._xlws.FILTER(Drivers!BQ$71:BQ$106,(BSSections=$E30)*(BSSummarys=$F30))),0)</f>
        <v>-4942</v>
      </c>
      <c r="AP30" s="322" cm="1">
        <f t="array" ref="AP30">IFERROR(SUM(_xlfn._xlws.FILTER(Drivers!BR$71:BR$106,(BSSections=$E30)*(BSSummarys=$F30))),0)</f>
        <v>-4942</v>
      </c>
      <c r="AQ30" s="322" cm="1">
        <f t="array" ref="AQ30">IFERROR(SUM(_xlfn._xlws.FILTER(Drivers!BS$71:BS$106,(BSSections=$E30)*(BSSummarys=$F30))),0)</f>
        <v>-4942</v>
      </c>
      <c r="AR30" s="322" cm="1">
        <f t="array" ref="AR30">IFERROR(SUM(_xlfn._xlws.FILTER(Drivers!BT$71:BT$106,(BSSections=$E30)*(BSSummarys=$F30))),0)</f>
        <v>-4942</v>
      </c>
      <c r="AS30" s="322" cm="1">
        <f t="array" ref="AS30">IFERROR(SUM(_xlfn._xlws.FILTER(Drivers!BU$71:BU$106,(BSSections=$E30)*(BSSummarys=$F30))),0)</f>
        <v>-4942</v>
      </c>
      <c r="AT30" s="322" cm="1">
        <f t="array" ref="AT30">IFERROR(SUM(_xlfn._xlws.FILTER(Drivers!BV$71:BV$106,(BSSections=$E30)*(BSSummarys=$F30))),0)</f>
        <v>-4942</v>
      </c>
      <c r="AU30" s="322" cm="1">
        <f t="array" ref="AU30">IFERROR(SUM(_xlfn._xlws.FILTER(Drivers!BW$71:BW$106,(BSSections=$E30)*(BSSummarys=$F30))),0)</f>
        <v>-4942</v>
      </c>
      <c r="AV30" s="322" cm="1">
        <f t="array" ref="AV30">IFERROR(SUM(_xlfn._xlws.FILTER(Drivers!BX$71:BX$106,(BSSections=$E30)*(BSSummarys=$F30))),0)</f>
        <v>-4942</v>
      </c>
      <c r="AW30" s="322" cm="1">
        <f t="array" ref="AW30">IFERROR(SUM(_xlfn._xlws.FILTER(Drivers!BY$71:BY$106,(BSSections=$E30)*(BSSummarys=$F30))),0)</f>
        <v>-4942</v>
      </c>
      <c r="AX30" s="322" cm="1">
        <f t="array" ref="AX30">IFERROR(SUM(_xlfn._xlws.FILTER(Drivers!BZ$71:BZ$106,(BSSections=$E30)*(BSSummarys=$F30))),0)</f>
        <v>-4942</v>
      </c>
      <c r="AY30" s="322" cm="1">
        <f t="array" ref="AY30">IFERROR(SUM(_xlfn._xlws.FILTER(Drivers!CA$71:CA$106,(BSSections=$E30)*(BSSummarys=$F30))),0)</f>
        <v>-4942</v>
      </c>
      <c r="AZ30" s="322" cm="1">
        <f t="array" ref="AZ30">IFERROR(SUM(_xlfn._xlws.FILTER(Drivers!CB$71:CB$106,(BSSections=$E30)*(BSSummarys=$F30))),0)</f>
        <v>-4942</v>
      </c>
      <c r="BA30" s="322" cm="1">
        <f t="array" ref="BA30">IFERROR(SUM(_xlfn._xlws.FILTER(Drivers!CC$71:CC$106,(BSSections=$E30)*(BSSummarys=$F30))),0)</f>
        <v>-4942</v>
      </c>
      <c r="BB30" s="322" cm="1">
        <f t="array" ref="BB30">IFERROR(SUM(_xlfn._xlws.FILTER(Drivers!CD$71:CD$106,(BSSections=$E30)*(BSSummarys=$F30))),0)</f>
        <v>-4942</v>
      </c>
      <c r="BC30" s="322" cm="1">
        <f t="array" ref="BC30">IFERROR(SUM(_xlfn._xlws.FILTER(Drivers!CE$71:CE$106,(BSSections=$E30)*(BSSummarys=$F30))),0)</f>
        <v>-4942</v>
      </c>
      <c r="BD30" s="322" cm="1">
        <f t="array" ref="BD30">IFERROR(SUM(_xlfn._xlws.FILTER(Drivers!CF$71:CF$106,(BSSections=$E30)*(BSSummarys=$F30))),0)</f>
        <v>-4942</v>
      </c>
      <c r="BE30" s="322" cm="1">
        <f t="array" ref="BE30">IFERROR(SUM(_xlfn._xlws.FILTER(Drivers!CG$71:CG$106,(BSSections=$E30)*(BSSummarys=$F30))),0)</f>
        <v>-4942</v>
      </c>
      <c r="BF30" s="322" cm="1">
        <f t="array" ref="BF30">IFERROR(SUM(_xlfn._xlws.FILTER(Drivers!CH$71:CH$106,(BSSections=$E30)*(BSSummarys=$F30))),0)</f>
        <v>-4942</v>
      </c>
      <c r="BG30" s="322" cm="1">
        <f t="array" ref="BG30">IFERROR(SUM(_xlfn._xlws.FILTER(Drivers!CI$71:CI$106,(BSSections=$E30)*(BSSummarys=$F30))),0)</f>
        <v>-4942</v>
      </c>
      <c r="BH30" s="322" cm="1">
        <f t="array" ref="BH30">IFERROR(SUM(_xlfn._xlws.FILTER(Drivers!CJ$71:CJ$106,(BSSections=$E30)*(BSSummarys=$F30))),0)</f>
        <v>-4942</v>
      </c>
    </row>
    <row r="31" spans="2:60" ht="21" outlineLevel="1">
      <c r="B31" s="284"/>
      <c r="C31" s="315"/>
      <c r="D31" s="288" t="s">
        <v>144</v>
      </c>
      <c r="E31" s="277" t="s">
        <v>141</v>
      </c>
      <c r="F31" s="277" t="s">
        <v>144</v>
      </c>
      <c r="G31" s="277"/>
      <c r="H31" s="277"/>
      <c r="I31" s="277"/>
      <c r="J31" s="314"/>
      <c r="L31" s="322" cm="1">
        <f t="array" ref="L31">IFERROR(SUM(_xlfn._xlws.FILTER(Drivers!AN$71:AN$106,(BSSections=$E31)*(BSSummarys=$F31))),0)</f>
        <v>0</v>
      </c>
      <c r="M31" s="322" cm="1">
        <f t="array" ref="M31">IFERROR(SUM(_xlfn._xlws.FILTER(Drivers!AO$71:AO$106,(BSSections=$E31)*(BSSummarys=$F31))),0)</f>
        <v>502500</v>
      </c>
      <c r="N31" s="322" cm="1">
        <f t="array" ref="N31">IFERROR(SUM(_xlfn._xlws.FILTER(Drivers!AP$71:AP$106,(BSSections=$E31)*(BSSummarys=$F31))),0)</f>
        <v>505000</v>
      </c>
      <c r="O31" s="322" cm="1">
        <f t="array" ref="O31">IFERROR(SUM(_xlfn._xlws.FILTER(Drivers!AQ$71:AQ$106,(BSSections=$E31)*(BSSummarys=$F31))),0)</f>
        <v>507500</v>
      </c>
      <c r="P31" s="322" cm="1">
        <f t="array" ref="P31">IFERROR(SUM(_xlfn._xlws.FILTER(Drivers!AR$71:AR$106,(BSSections=$E31)*(BSSummarys=$F31))),0)</f>
        <v>510000</v>
      </c>
      <c r="Q31" s="322" cm="1">
        <f t="array" ref="Q31">IFERROR(SUM(_xlfn._xlws.FILTER(Drivers!AS$71:AS$106,(BSSections=$E31)*(BSSummarys=$F31))),0)</f>
        <v>512500</v>
      </c>
      <c r="R31" s="322" cm="1">
        <f t="array" ref="R31">IFERROR(SUM(_xlfn._xlws.FILTER(Drivers!AT$71:AT$106,(BSSections=$E31)*(BSSummarys=$F31))),0)</f>
        <v>515000</v>
      </c>
      <c r="S31" s="322" cm="1">
        <f t="array" ref="S31">IFERROR(SUM(_xlfn._xlws.FILTER(Drivers!AU$71:AU$106,(BSSections=$E31)*(BSSummarys=$F31))),0)</f>
        <v>517500</v>
      </c>
      <c r="T31" s="322" cm="1">
        <f t="array" ref="T31">IFERROR(SUM(_xlfn._xlws.FILTER(Drivers!AV$71:AV$106,(BSSections=$E31)*(BSSummarys=$F31))),0)</f>
        <v>520000</v>
      </c>
      <c r="U31" s="322" cm="1">
        <f t="array" ref="U31">IFERROR(SUM(_xlfn._xlws.FILTER(Drivers!AW$71:AW$106,(BSSections=$E31)*(BSSummarys=$F31))),0)</f>
        <v>522500</v>
      </c>
      <c r="V31" s="322" cm="1">
        <f t="array" ref="V31">IFERROR(SUM(_xlfn._xlws.FILTER(Drivers!AX$71:AX$106,(BSSections=$E31)*(BSSummarys=$F31))),0)</f>
        <v>1530000</v>
      </c>
      <c r="W31" s="322" cm="1">
        <f t="array" ref="W31">IFERROR(SUM(_xlfn._xlws.FILTER(Drivers!AY$71:AY$106,(BSSections=$E31)*(BSSummarys=$F31))),0)</f>
        <v>1530000</v>
      </c>
      <c r="X31" s="322" cm="1">
        <f t="array" ref="X31">IFERROR(SUM(_xlfn._xlws.FILTER(Drivers!AZ$71:AZ$106,(BSSections=$E31)*(BSSummarys=$F31))),0)</f>
        <v>1530000</v>
      </c>
      <c r="Y31" s="322" cm="1">
        <f t="array" ref="Y31">IFERROR(SUM(_xlfn._xlws.FILTER(Drivers!BA$71:BA$106,(BSSections=$E31)*(BSSummarys=$F31))),0)</f>
        <v>1530000</v>
      </c>
      <c r="Z31" s="322" cm="1">
        <f t="array" ref="Z31">IFERROR(SUM(_xlfn._xlws.FILTER(Drivers!BB$71:BB$106,(BSSections=$E31)*(BSSummarys=$F31))),0)</f>
        <v>1530000</v>
      </c>
      <c r="AA31" s="322" cm="1">
        <f t="array" ref="AA31">IFERROR(SUM(_xlfn._xlws.FILTER(Drivers!BC$71:BC$106,(BSSections=$E31)*(BSSummarys=$F31))),0)</f>
        <v>1530000</v>
      </c>
      <c r="AB31" s="322" cm="1">
        <f t="array" ref="AB31">IFERROR(SUM(_xlfn._xlws.FILTER(Drivers!BD$71:BD$106,(BSSections=$E31)*(BSSummarys=$F31))),0)</f>
        <v>1530000</v>
      </c>
      <c r="AC31" s="322" cm="1">
        <f t="array" ref="AC31">IFERROR(SUM(_xlfn._xlws.FILTER(Drivers!BE$71:BE$106,(BSSections=$E31)*(BSSummarys=$F31))),0)</f>
        <v>1530000</v>
      </c>
      <c r="AD31" s="322" cm="1">
        <f t="array" ref="AD31">IFERROR(SUM(_xlfn._xlws.FILTER(Drivers!BF$71:BF$106,(BSSections=$E31)*(BSSummarys=$F31))),0)</f>
        <v>1530000</v>
      </c>
      <c r="AE31" s="322" cm="1">
        <f t="array" ref="AE31">IFERROR(SUM(_xlfn._xlws.FILTER(Drivers!BG$71:BG$106,(BSSections=$E31)*(BSSummarys=$F31))),0)</f>
        <v>1530000</v>
      </c>
      <c r="AF31" s="322" cm="1">
        <f t="array" ref="AF31">IFERROR(SUM(_xlfn._xlws.FILTER(Drivers!BH$71:BH$106,(BSSections=$E31)*(BSSummarys=$F31))),0)</f>
        <v>1530000</v>
      </c>
      <c r="AG31" s="322" cm="1">
        <f t="array" ref="AG31">IFERROR(SUM(_xlfn._xlws.FILTER(Drivers!BI$71:BI$106,(BSSections=$E31)*(BSSummarys=$F31))),0)</f>
        <v>1530000</v>
      </c>
      <c r="AH31" s="322" cm="1">
        <f t="array" ref="AH31">IFERROR(SUM(_xlfn._xlws.FILTER(Drivers!BJ$71:BJ$106,(BSSections=$E31)*(BSSummarys=$F31))),0)</f>
        <v>1530000</v>
      </c>
      <c r="AI31" s="322" cm="1">
        <f t="array" ref="AI31">IFERROR(SUM(_xlfn._xlws.FILTER(Drivers!BK$71:BK$106,(BSSections=$E31)*(BSSummarys=$F31))),0)</f>
        <v>1530000</v>
      </c>
      <c r="AJ31" s="322" cm="1">
        <f t="array" ref="AJ31">IFERROR(SUM(_xlfn._xlws.FILTER(Drivers!BL$71:BL$106,(BSSections=$E31)*(BSSummarys=$F31))),0)</f>
        <v>1530000</v>
      </c>
      <c r="AK31" s="322" cm="1">
        <f t="array" ref="AK31">IFERROR(SUM(_xlfn._xlws.FILTER(Drivers!BM$71:BM$106,(BSSections=$E31)*(BSSummarys=$F31))),0)</f>
        <v>1530000</v>
      </c>
      <c r="AL31" s="322" cm="1">
        <f t="array" ref="AL31">IFERROR(SUM(_xlfn._xlws.FILTER(Drivers!BN$71:BN$106,(BSSections=$E31)*(BSSummarys=$F31))),0)</f>
        <v>1530000</v>
      </c>
      <c r="AM31" s="322" cm="1">
        <f t="array" ref="AM31">IFERROR(SUM(_xlfn._xlws.FILTER(Drivers!BO$71:BO$106,(BSSections=$E31)*(BSSummarys=$F31))),0)</f>
        <v>1530000</v>
      </c>
      <c r="AN31" s="322" cm="1">
        <f t="array" ref="AN31">IFERROR(SUM(_xlfn._xlws.FILTER(Drivers!BP$71:BP$106,(BSSections=$E31)*(BSSummarys=$F31))),0)</f>
        <v>1530000</v>
      </c>
      <c r="AO31" s="322" cm="1">
        <f t="array" ref="AO31">IFERROR(SUM(_xlfn._xlws.FILTER(Drivers!BQ$71:BQ$106,(BSSections=$E31)*(BSSummarys=$F31))),0)</f>
        <v>1530000</v>
      </c>
      <c r="AP31" s="322" cm="1">
        <f t="array" ref="AP31">IFERROR(SUM(_xlfn._xlws.FILTER(Drivers!BR$71:BR$106,(BSSections=$E31)*(BSSummarys=$F31))),0)</f>
        <v>1530000</v>
      </c>
      <c r="AQ31" s="322" cm="1">
        <f t="array" ref="AQ31">IFERROR(SUM(_xlfn._xlws.FILTER(Drivers!BS$71:BS$106,(BSSections=$E31)*(BSSummarys=$F31))),0)</f>
        <v>1530000</v>
      </c>
      <c r="AR31" s="322" cm="1">
        <f t="array" ref="AR31">IFERROR(SUM(_xlfn._xlws.FILTER(Drivers!BT$71:BT$106,(BSSections=$E31)*(BSSummarys=$F31))),0)</f>
        <v>1530000</v>
      </c>
      <c r="AS31" s="322" cm="1">
        <f t="array" ref="AS31">IFERROR(SUM(_xlfn._xlws.FILTER(Drivers!BU$71:BU$106,(BSSections=$E31)*(BSSummarys=$F31))),0)</f>
        <v>1530000</v>
      </c>
      <c r="AT31" s="322" cm="1">
        <f t="array" ref="AT31">IFERROR(SUM(_xlfn._xlws.FILTER(Drivers!BV$71:BV$106,(BSSections=$E31)*(BSSummarys=$F31))),0)</f>
        <v>1530000</v>
      </c>
      <c r="AU31" s="322" cm="1">
        <f t="array" ref="AU31">IFERROR(SUM(_xlfn._xlws.FILTER(Drivers!BW$71:BW$106,(BSSections=$E31)*(BSSummarys=$F31))),0)</f>
        <v>1530000</v>
      </c>
      <c r="AV31" s="322" cm="1">
        <f t="array" ref="AV31">IFERROR(SUM(_xlfn._xlws.FILTER(Drivers!BX$71:BX$106,(BSSections=$E31)*(BSSummarys=$F31))),0)</f>
        <v>1530000</v>
      </c>
      <c r="AW31" s="322" cm="1">
        <f t="array" ref="AW31">IFERROR(SUM(_xlfn._xlws.FILTER(Drivers!BY$71:BY$106,(BSSections=$E31)*(BSSummarys=$F31))),0)</f>
        <v>1530000</v>
      </c>
      <c r="AX31" s="322" cm="1">
        <f t="array" ref="AX31">IFERROR(SUM(_xlfn._xlws.FILTER(Drivers!BZ$71:BZ$106,(BSSections=$E31)*(BSSummarys=$F31))),0)</f>
        <v>1530000</v>
      </c>
      <c r="AY31" s="322" cm="1">
        <f t="array" ref="AY31">IFERROR(SUM(_xlfn._xlws.FILTER(Drivers!CA$71:CA$106,(BSSections=$E31)*(BSSummarys=$F31))),0)</f>
        <v>1530000</v>
      </c>
      <c r="AZ31" s="322" cm="1">
        <f t="array" ref="AZ31">IFERROR(SUM(_xlfn._xlws.FILTER(Drivers!CB$71:CB$106,(BSSections=$E31)*(BSSummarys=$F31))),0)</f>
        <v>1530000</v>
      </c>
      <c r="BA31" s="322" cm="1">
        <f t="array" ref="BA31">IFERROR(SUM(_xlfn._xlws.FILTER(Drivers!CC$71:CC$106,(BSSections=$E31)*(BSSummarys=$F31))),0)</f>
        <v>1530000</v>
      </c>
      <c r="BB31" s="322" cm="1">
        <f t="array" ref="BB31">IFERROR(SUM(_xlfn._xlws.FILTER(Drivers!CD$71:CD$106,(BSSections=$E31)*(BSSummarys=$F31))),0)</f>
        <v>1530000</v>
      </c>
      <c r="BC31" s="322" cm="1">
        <f t="array" ref="BC31">IFERROR(SUM(_xlfn._xlws.FILTER(Drivers!CE$71:CE$106,(BSSections=$E31)*(BSSummarys=$F31))),0)</f>
        <v>1530000</v>
      </c>
      <c r="BD31" s="322" cm="1">
        <f t="array" ref="BD31">IFERROR(SUM(_xlfn._xlws.FILTER(Drivers!CF$71:CF$106,(BSSections=$E31)*(BSSummarys=$F31))),0)</f>
        <v>1530000</v>
      </c>
      <c r="BE31" s="322" cm="1">
        <f t="array" ref="BE31">IFERROR(SUM(_xlfn._xlws.FILTER(Drivers!CG$71:CG$106,(BSSections=$E31)*(BSSummarys=$F31))),0)</f>
        <v>1530000</v>
      </c>
      <c r="BF31" s="322" cm="1">
        <f t="array" ref="BF31">IFERROR(SUM(_xlfn._xlws.FILTER(Drivers!CH$71:CH$106,(BSSections=$E31)*(BSSummarys=$F31))),0)</f>
        <v>1530000</v>
      </c>
      <c r="BG31" s="322" cm="1">
        <f t="array" ref="BG31">IFERROR(SUM(_xlfn._xlws.FILTER(Drivers!CI$71:CI$106,(BSSections=$E31)*(BSSummarys=$F31))),0)</f>
        <v>1530000</v>
      </c>
      <c r="BH31" s="322" cm="1">
        <f t="array" ref="BH31">IFERROR(SUM(_xlfn._xlws.FILTER(Drivers!CJ$71:CJ$106,(BSSections=$E31)*(BSSummarys=$F31))),0)</f>
        <v>1530000</v>
      </c>
    </row>
    <row r="32" spans="2:60" ht="21" outlineLevel="1">
      <c r="B32" s="284"/>
      <c r="C32" s="315"/>
      <c r="D32" s="288" t="s">
        <v>145</v>
      </c>
      <c r="E32" s="277" t="s">
        <v>141</v>
      </c>
      <c r="F32" s="277" t="s">
        <v>145</v>
      </c>
      <c r="G32" s="277"/>
      <c r="H32" s="277"/>
      <c r="I32" s="277"/>
      <c r="J32" s="314"/>
      <c r="L32" s="322" cm="1">
        <f t="array" ref="L32">IFERROR(SUM(_xlfn._xlws.FILTER(Drivers!AN$71:AN$106,(BSSections=$E32)*(BSSummarys=$F32))),0)</f>
        <v>0</v>
      </c>
      <c r="M32" s="322" cm="1">
        <f t="array" ref="M32">IFERROR(SUM(_xlfn._xlws.FILTER(Drivers!AO$71:AO$106,(BSSections=$E32)*(BSSummarys=$F32))),0)</f>
        <v>15000</v>
      </c>
      <c r="N32" s="322" cm="1">
        <f t="array" ref="N32">IFERROR(SUM(_xlfn._xlws.FILTER(Drivers!AP$71:AP$106,(BSSections=$E32)*(BSSummarys=$F32))),0)</f>
        <v>15750</v>
      </c>
      <c r="O32" s="322" cm="1">
        <f t="array" ref="O32">IFERROR(SUM(_xlfn._xlws.FILTER(Drivers!AQ$71:AQ$106,(BSSections=$E32)*(BSSummarys=$F32))),0)</f>
        <v>16538</v>
      </c>
      <c r="P32" s="322" cm="1">
        <f t="array" ref="P32">IFERROR(SUM(_xlfn._xlws.FILTER(Drivers!AR$71:AR$106,(BSSections=$E32)*(BSSummarys=$F32))),0)</f>
        <v>17365</v>
      </c>
      <c r="Q32" s="322" cm="1">
        <f t="array" ref="Q32">IFERROR(SUM(_xlfn._xlws.FILTER(Drivers!AS$71:AS$106,(BSSections=$E32)*(BSSummarys=$F32))),0)</f>
        <v>18233</v>
      </c>
      <c r="R32" s="322" cm="1">
        <f t="array" ref="R32">IFERROR(SUM(_xlfn._xlws.FILTER(Drivers!AT$71:AT$106,(BSSections=$E32)*(BSSummarys=$F32))),0)</f>
        <v>19145</v>
      </c>
      <c r="S32" s="322" cm="1">
        <f t="array" ref="S32">IFERROR(SUM(_xlfn._xlws.FILTER(Drivers!AU$71:AU$106,(BSSections=$E32)*(BSSummarys=$F32))),0)</f>
        <v>20102</v>
      </c>
      <c r="T32" s="322" cm="1">
        <f t="array" ref="T32">IFERROR(SUM(_xlfn._xlws.FILTER(Drivers!AV$71:AV$106,(BSSections=$E32)*(BSSummarys=$F32))),0)</f>
        <v>21107</v>
      </c>
      <c r="U32" s="322" cm="1">
        <f t="array" ref="U32">IFERROR(SUM(_xlfn._xlws.FILTER(Drivers!AW$71:AW$106,(BSSections=$E32)*(BSSummarys=$F32))),0)</f>
        <v>22162</v>
      </c>
      <c r="V32" s="322" cm="1">
        <f t="array" ref="V32">IFERROR(SUM(_xlfn._xlws.FILTER(Drivers!AX$71:AX$106,(BSSections=$E32)*(BSSummarys=$F32))),0)</f>
        <v>23270</v>
      </c>
      <c r="W32" s="322" cm="1">
        <f t="array" ref="W32">IFERROR(SUM(_xlfn._xlws.FILTER(Drivers!AY$71:AY$106,(BSSections=$E32)*(BSSummarys=$F32))),0)</f>
        <v>23270</v>
      </c>
      <c r="X32" s="322" cm="1">
        <f t="array" ref="X32">IFERROR(SUM(_xlfn._xlws.FILTER(Drivers!AZ$71:AZ$106,(BSSections=$E32)*(BSSummarys=$F32))),0)</f>
        <v>23270</v>
      </c>
      <c r="Y32" s="322" cm="1">
        <f t="array" ref="Y32">IFERROR(SUM(_xlfn._xlws.FILTER(Drivers!BA$71:BA$106,(BSSections=$E32)*(BSSummarys=$F32))),0)</f>
        <v>23270</v>
      </c>
      <c r="Z32" s="322" cm="1">
        <f t="array" ref="Z32">IFERROR(SUM(_xlfn._xlws.FILTER(Drivers!BB$71:BB$106,(BSSections=$E32)*(BSSummarys=$F32))),0)</f>
        <v>23270</v>
      </c>
      <c r="AA32" s="322" cm="1">
        <f t="array" ref="AA32">IFERROR(SUM(_xlfn._xlws.FILTER(Drivers!BC$71:BC$106,(BSSections=$E32)*(BSSummarys=$F32))),0)</f>
        <v>23270</v>
      </c>
      <c r="AB32" s="322" cm="1">
        <f t="array" ref="AB32">IFERROR(SUM(_xlfn._xlws.FILTER(Drivers!BD$71:BD$106,(BSSections=$E32)*(BSSummarys=$F32))),0)</f>
        <v>23270</v>
      </c>
      <c r="AC32" s="322" cm="1">
        <f t="array" ref="AC32">IFERROR(SUM(_xlfn._xlws.FILTER(Drivers!BE$71:BE$106,(BSSections=$E32)*(BSSummarys=$F32))),0)</f>
        <v>23270</v>
      </c>
      <c r="AD32" s="322" cm="1">
        <f t="array" ref="AD32">IFERROR(SUM(_xlfn._xlws.FILTER(Drivers!BF$71:BF$106,(BSSections=$E32)*(BSSummarys=$F32))),0)</f>
        <v>23270</v>
      </c>
      <c r="AE32" s="322" cm="1">
        <f t="array" ref="AE32">IFERROR(SUM(_xlfn._xlws.FILTER(Drivers!BG$71:BG$106,(BSSections=$E32)*(BSSummarys=$F32))),0)</f>
        <v>23270</v>
      </c>
      <c r="AF32" s="322" cm="1">
        <f t="array" ref="AF32">IFERROR(SUM(_xlfn._xlws.FILTER(Drivers!BH$71:BH$106,(BSSections=$E32)*(BSSummarys=$F32))),0)</f>
        <v>23270</v>
      </c>
      <c r="AG32" s="322" cm="1">
        <f t="array" ref="AG32">IFERROR(SUM(_xlfn._xlws.FILTER(Drivers!BI$71:BI$106,(BSSections=$E32)*(BSSummarys=$F32))),0)</f>
        <v>23270</v>
      </c>
      <c r="AH32" s="322" cm="1">
        <f t="array" ref="AH32">IFERROR(SUM(_xlfn._xlws.FILTER(Drivers!BJ$71:BJ$106,(BSSections=$E32)*(BSSummarys=$F32))),0)</f>
        <v>23270</v>
      </c>
      <c r="AI32" s="322" cm="1">
        <f t="array" ref="AI32">IFERROR(SUM(_xlfn._xlws.FILTER(Drivers!BK$71:BK$106,(BSSections=$E32)*(BSSummarys=$F32))),0)</f>
        <v>23270</v>
      </c>
      <c r="AJ32" s="322" cm="1">
        <f t="array" ref="AJ32">IFERROR(SUM(_xlfn._xlws.FILTER(Drivers!BL$71:BL$106,(BSSections=$E32)*(BSSummarys=$F32))),0)</f>
        <v>23270</v>
      </c>
      <c r="AK32" s="322" cm="1">
        <f t="array" ref="AK32">IFERROR(SUM(_xlfn._xlws.FILTER(Drivers!BM$71:BM$106,(BSSections=$E32)*(BSSummarys=$F32))),0)</f>
        <v>23270</v>
      </c>
      <c r="AL32" s="322" cm="1">
        <f t="array" ref="AL32">IFERROR(SUM(_xlfn._xlws.FILTER(Drivers!BN$71:BN$106,(BSSections=$E32)*(BSSummarys=$F32))),0)</f>
        <v>23270</v>
      </c>
      <c r="AM32" s="322" cm="1">
        <f t="array" ref="AM32">IFERROR(SUM(_xlfn._xlws.FILTER(Drivers!BO$71:BO$106,(BSSections=$E32)*(BSSummarys=$F32))),0)</f>
        <v>23270</v>
      </c>
      <c r="AN32" s="322" cm="1">
        <f t="array" ref="AN32">IFERROR(SUM(_xlfn._xlws.FILTER(Drivers!BP$71:BP$106,(BSSections=$E32)*(BSSummarys=$F32))),0)</f>
        <v>23270</v>
      </c>
      <c r="AO32" s="322" cm="1">
        <f t="array" ref="AO32">IFERROR(SUM(_xlfn._xlws.FILTER(Drivers!BQ$71:BQ$106,(BSSections=$E32)*(BSSummarys=$F32))),0)</f>
        <v>23270</v>
      </c>
      <c r="AP32" s="322" cm="1">
        <f t="array" ref="AP32">IFERROR(SUM(_xlfn._xlws.FILTER(Drivers!BR$71:BR$106,(BSSections=$E32)*(BSSummarys=$F32))),0)</f>
        <v>23270</v>
      </c>
      <c r="AQ32" s="322" cm="1">
        <f t="array" ref="AQ32">IFERROR(SUM(_xlfn._xlws.FILTER(Drivers!BS$71:BS$106,(BSSections=$E32)*(BSSummarys=$F32))),0)</f>
        <v>23270</v>
      </c>
      <c r="AR32" s="322" cm="1">
        <f t="array" ref="AR32">IFERROR(SUM(_xlfn._xlws.FILTER(Drivers!BT$71:BT$106,(BSSections=$E32)*(BSSummarys=$F32))),0)</f>
        <v>23270</v>
      </c>
      <c r="AS32" s="322" cm="1">
        <f t="array" ref="AS32">IFERROR(SUM(_xlfn._xlws.FILTER(Drivers!BU$71:BU$106,(BSSections=$E32)*(BSSummarys=$F32))),0)</f>
        <v>23270</v>
      </c>
      <c r="AT32" s="322" cm="1">
        <f t="array" ref="AT32">IFERROR(SUM(_xlfn._xlws.FILTER(Drivers!BV$71:BV$106,(BSSections=$E32)*(BSSummarys=$F32))),0)</f>
        <v>23270</v>
      </c>
      <c r="AU32" s="322" cm="1">
        <f t="array" ref="AU32">IFERROR(SUM(_xlfn._xlws.FILTER(Drivers!BW$71:BW$106,(BSSections=$E32)*(BSSummarys=$F32))),0)</f>
        <v>23270</v>
      </c>
      <c r="AV32" s="322" cm="1">
        <f t="array" ref="AV32">IFERROR(SUM(_xlfn._xlws.FILTER(Drivers!BX$71:BX$106,(BSSections=$E32)*(BSSummarys=$F32))),0)</f>
        <v>101330.83333333334</v>
      </c>
      <c r="AW32" s="322" cm="1">
        <f t="array" ref="AW32">IFERROR(SUM(_xlfn._xlws.FILTER(Drivers!BY$71:BY$106,(BSSections=$E32)*(BSSummarys=$F32))),0)</f>
        <v>139391.66666666669</v>
      </c>
      <c r="AX32" s="322" cm="1">
        <f t="array" ref="AX32">IFERROR(SUM(_xlfn._xlws.FILTER(Drivers!BZ$71:BZ$106,(BSSections=$E32)*(BSSummarys=$F32))),0)</f>
        <v>137452.5</v>
      </c>
      <c r="AY32" s="322" cm="1">
        <f t="array" ref="AY32">IFERROR(SUM(_xlfn._xlws.FILTER(Drivers!CA$71:CA$106,(BSSections=$E32)*(BSSummarys=$F32))),0)</f>
        <v>135513.33333333331</v>
      </c>
      <c r="AZ32" s="322" cm="1">
        <f t="array" ref="AZ32">IFERROR(SUM(_xlfn._xlws.FILTER(Drivers!CB$71:CB$106,(BSSections=$E32)*(BSSummarys=$F32))),0)</f>
        <v>133574.16666666663</v>
      </c>
      <c r="BA32" s="322" cm="1">
        <f t="array" ref="BA32">IFERROR(SUM(_xlfn._xlws.FILTER(Drivers!CC$71:CC$106,(BSSections=$E32)*(BSSummarys=$F32))),0)</f>
        <v>131634.99999999994</v>
      </c>
      <c r="BB32" s="322" cm="1">
        <f t="array" ref="BB32">IFERROR(SUM(_xlfn._xlws.FILTER(Drivers!CD$71:CD$106,(BSSections=$E32)*(BSSummarys=$F32))),0)</f>
        <v>129695.83333333327</v>
      </c>
      <c r="BC32" s="322" cm="1">
        <f t="array" ref="BC32">IFERROR(SUM(_xlfn._xlws.FILTER(Drivers!CE$71:CE$106,(BSSections=$E32)*(BSSummarys=$F32))),0)</f>
        <v>127756.66666666658</v>
      </c>
      <c r="BD32" s="322" cm="1">
        <f t="array" ref="BD32">IFERROR(SUM(_xlfn._xlws.FILTER(Drivers!CF$71:CF$106,(BSSections=$E32)*(BSSummarys=$F32))),0)</f>
        <v>125817.4999999999</v>
      </c>
      <c r="BE32" s="322" cm="1">
        <f t="array" ref="BE32">IFERROR(SUM(_xlfn._xlws.FILTER(Drivers!CG$71:CG$106,(BSSections=$E32)*(BSSummarys=$F32))),0)</f>
        <v>123878.33333333321</v>
      </c>
      <c r="BF32" s="322" cm="1">
        <f t="array" ref="BF32">IFERROR(SUM(_xlfn._xlws.FILTER(Drivers!CH$71:CH$106,(BSSections=$E32)*(BSSummarys=$F32))),0)</f>
        <v>121939.16666666653</v>
      </c>
      <c r="BG32" s="322" cm="1">
        <f t="array" ref="BG32">IFERROR(SUM(_xlfn._xlws.FILTER(Drivers!CI$71:CI$106,(BSSections=$E32)*(BSSummarys=$F32))),0)</f>
        <v>119999.99999999984</v>
      </c>
      <c r="BH32" s="322" cm="1">
        <f t="array" ref="BH32">IFERROR(SUM(_xlfn._xlws.FILTER(Drivers!CJ$71:CJ$106,(BSSections=$E32)*(BSSummarys=$F32))),0)</f>
        <v>119999.99999999983</v>
      </c>
    </row>
    <row r="33" spans="2:60" ht="21" outlineLevel="1">
      <c r="B33" s="284"/>
      <c r="C33" s="315"/>
      <c r="D33" s="288" t="s">
        <v>147</v>
      </c>
      <c r="E33" s="277" t="s">
        <v>146</v>
      </c>
      <c r="F33" s="277" t="s">
        <v>147</v>
      </c>
      <c r="G33" s="277"/>
      <c r="H33" s="277"/>
      <c r="I33" s="277"/>
      <c r="J33" s="314"/>
      <c r="L33" s="322" cm="1">
        <f t="array" ref="L33">IFERROR(SUM(_xlfn._xlws.FILTER(Drivers!AN$71:AN$106,(BSSections=$E33)*(BSSummarys=$F33))),0)</f>
        <v>0</v>
      </c>
      <c r="M33" s="322" cm="1">
        <f t="array" ref="M33">IFERROR(SUM(_xlfn._xlws.FILTER(Drivers!AO$71:AO$106,(BSSections=$E33)*(BSSummarys=$F33))),0)</f>
        <v>500000</v>
      </c>
      <c r="N33" s="322" cm="1">
        <f t="array" ref="N33">IFERROR(SUM(_xlfn._xlws.FILTER(Drivers!AP$71:AP$106,(BSSections=$E33)*(BSSummarys=$F33))),0)</f>
        <v>500000</v>
      </c>
      <c r="O33" s="322" cm="1">
        <f t="array" ref="O33">IFERROR(SUM(_xlfn._xlws.FILTER(Drivers!AQ$71:AQ$106,(BSSections=$E33)*(BSSummarys=$F33))),0)</f>
        <v>500000</v>
      </c>
      <c r="P33" s="322" cm="1">
        <f t="array" ref="P33">IFERROR(SUM(_xlfn._xlws.FILTER(Drivers!AR$71:AR$106,(BSSections=$E33)*(BSSummarys=$F33))),0)</f>
        <v>500000</v>
      </c>
      <c r="Q33" s="322" cm="1">
        <f t="array" ref="Q33">IFERROR(SUM(_xlfn._xlws.FILTER(Drivers!AS$71:AS$106,(BSSections=$E33)*(BSSummarys=$F33))),0)</f>
        <v>500000</v>
      </c>
      <c r="R33" s="322" cm="1">
        <f t="array" ref="R33">IFERROR(SUM(_xlfn._xlws.FILTER(Drivers!AT$71:AT$106,(BSSections=$E33)*(BSSummarys=$F33))),0)</f>
        <v>2000000</v>
      </c>
      <c r="S33" s="322" cm="1">
        <f t="array" ref="S33">IFERROR(SUM(_xlfn._xlws.FILTER(Drivers!AU$71:AU$106,(BSSections=$E33)*(BSSummarys=$F33))),0)</f>
        <v>2000000</v>
      </c>
      <c r="T33" s="322" cm="1">
        <f t="array" ref="T33">IFERROR(SUM(_xlfn._xlws.FILTER(Drivers!AV$71:AV$106,(BSSections=$E33)*(BSSummarys=$F33))),0)</f>
        <v>2000000</v>
      </c>
      <c r="U33" s="322" cm="1">
        <f t="array" ref="U33">IFERROR(SUM(_xlfn._xlws.FILTER(Drivers!AW$71:AW$106,(BSSections=$E33)*(BSSummarys=$F33))),0)</f>
        <v>2000000</v>
      </c>
      <c r="V33" s="322" cm="1">
        <f t="array" ref="V33">IFERROR(SUM(_xlfn._xlws.FILTER(Drivers!AX$71:AX$106,(BSSections=$E33)*(BSSummarys=$F33))),0)</f>
        <v>2000000</v>
      </c>
      <c r="W33" s="322" cm="1">
        <f t="array" ref="W33">IFERROR(SUM(_xlfn._xlws.FILTER(Drivers!AY$71:AY$106,(BSSections=$E33)*(BSSummarys=$F33))),0)</f>
        <v>2500000</v>
      </c>
      <c r="X33" s="322" cm="1">
        <f t="array" ref="X33">IFERROR(SUM(_xlfn._xlws.FILTER(Drivers!AZ$71:AZ$106,(BSSections=$E33)*(BSSummarys=$F33))),0)</f>
        <v>3500000</v>
      </c>
      <c r="Y33" s="322" cm="1">
        <f t="array" ref="Y33">IFERROR(SUM(_xlfn._xlws.FILTER(Drivers!BA$71:BA$106,(BSSections=$E33)*(BSSummarys=$F33))),0)</f>
        <v>3500000</v>
      </c>
      <c r="Z33" s="322" cm="1">
        <f t="array" ref="Z33">IFERROR(SUM(_xlfn._xlws.FILTER(Drivers!BB$71:BB$106,(BSSections=$E33)*(BSSummarys=$F33))),0)</f>
        <v>3500000</v>
      </c>
      <c r="AA33" s="322" cm="1">
        <f t="array" ref="AA33">IFERROR(SUM(_xlfn._xlws.FILTER(Drivers!BC$71:BC$106,(BSSections=$E33)*(BSSummarys=$F33))),0)</f>
        <v>3500000</v>
      </c>
      <c r="AB33" s="322" cm="1">
        <f t="array" ref="AB33">IFERROR(SUM(_xlfn._xlws.FILTER(Drivers!BD$71:BD$106,(BSSections=$E33)*(BSSummarys=$F33))),0)</f>
        <v>3500000</v>
      </c>
      <c r="AC33" s="322" cm="1">
        <f t="array" ref="AC33">IFERROR(SUM(_xlfn._xlws.FILTER(Drivers!BE$71:BE$106,(BSSections=$E33)*(BSSummarys=$F33))),0)</f>
        <v>3500000</v>
      </c>
      <c r="AD33" s="322" cm="1">
        <f t="array" ref="AD33">IFERROR(SUM(_xlfn._xlws.FILTER(Drivers!BF$71:BF$106,(BSSections=$E33)*(BSSummarys=$F33))),0)</f>
        <v>3500000</v>
      </c>
      <c r="AE33" s="322" cm="1">
        <f t="array" ref="AE33">IFERROR(SUM(_xlfn._xlws.FILTER(Drivers!BG$71:BG$106,(BSSections=$E33)*(BSSummarys=$F33))),0)</f>
        <v>3500000</v>
      </c>
      <c r="AF33" s="322" cm="1">
        <f t="array" ref="AF33">IFERROR(SUM(_xlfn._xlws.FILTER(Drivers!BH$71:BH$106,(BSSections=$E33)*(BSSummarys=$F33))),0)</f>
        <v>3500000</v>
      </c>
      <c r="AG33" s="322" cm="1">
        <f t="array" ref="AG33">IFERROR(SUM(_xlfn._xlws.FILTER(Drivers!BI$71:BI$106,(BSSections=$E33)*(BSSummarys=$F33))),0)</f>
        <v>3500000</v>
      </c>
      <c r="AH33" s="322" cm="1">
        <f t="array" ref="AH33">IFERROR(SUM(_xlfn._xlws.FILTER(Drivers!BJ$71:BJ$106,(BSSections=$E33)*(BSSummarys=$F33))),0)</f>
        <v>3500000</v>
      </c>
      <c r="AI33" s="322" cm="1">
        <f t="array" ref="AI33">IFERROR(SUM(_xlfn._xlws.FILTER(Drivers!BK$71:BK$106,(BSSections=$E33)*(BSSummarys=$F33))),0)</f>
        <v>3500000</v>
      </c>
      <c r="AJ33" s="322" cm="1">
        <f t="array" ref="AJ33">IFERROR(SUM(_xlfn._xlws.FILTER(Drivers!BL$71:BL$106,(BSSections=$E33)*(BSSummarys=$F33))),0)</f>
        <v>3500000</v>
      </c>
      <c r="AK33" s="322" cm="1">
        <f t="array" ref="AK33">IFERROR(SUM(_xlfn._xlws.FILTER(Drivers!BM$71:BM$106,(BSSections=$E33)*(BSSummarys=$F33))),0)</f>
        <v>3500000</v>
      </c>
      <c r="AL33" s="322" cm="1">
        <f t="array" ref="AL33">IFERROR(SUM(_xlfn._xlws.FILTER(Drivers!BN$71:BN$106,(BSSections=$E33)*(BSSummarys=$F33))),0)</f>
        <v>3500000</v>
      </c>
      <c r="AM33" s="322" cm="1">
        <f t="array" ref="AM33">IFERROR(SUM(_xlfn._xlws.FILTER(Drivers!BO$71:BO$106,(BSSections=$E33)*(BSSummarys=$F33))),0)</f>
        <v>3500000</v>
      </c>
      <c r="AN33" s="322" cm="1">
        <f t="array" ref="AN33">IFERROR(SUM(_xlfn._xlws.FILTER(Drivers!BP$71:BP$106,(BSSections=$E33)*(BSSummarys=$F33))),0)</f>
        <v>3500000</v>
      </c>
      <c r="AO33" s="322" cm="1">
        <f t="array" ref="AO33">IFERROR(SUM(_xlfn._xlws.FILTER(Drivers!BQ$71:BQ$106,(BSSections=$E33)*(BSSummarys=$F33))),0)</f>
        <v>3500000</v>
      </c>
      <c r="AP33" s="322" cm="1">
        <f t="array" ref="AP33">IFERROR(SUM(_xlfn._xlws.FILTER(Drivers!BR$71:BR$106,(BSSections=$E33)*(BSSummarys=$F33))),0)</f>
        <v>3500000</v>
      </c>
      <c r="AQ33" s="322" cm="1">
        <f t="array" ref="AQ33">IFERROR(SUM(_xlfn._xlws.FILTER(Drivers!BS$71:BS$106,(BSSections=$E33)*(BSSummarys=$F33))),0)</f>
        <v>3500000</v>
      </c>
      <c r="AR33" s="322" cm="1">
        <f t="array" ref="AR33">IFERROR(SUM(_xlfn._xlws.FILTER(Drivers!BT$71:BT$106,(BSSections=$E33)*(BSSummarys=$F33))),0)</f>
        <v>3500000</v>
      </c>
      <c r="AS33" s="322" cm="1">
        <f t="array" ref="AS33">IFERROR(SUM(_xlfn._xlws.FILTER(Drivers!BU$71:BU$106,(BSSections=$E33)*(BSSummarys=$F33))),0)</f>
        <v>3500000</v>
      </c>
      <c r="AT33" s="322" cm="1">
        <f t="array" ref="AT33">IFERROR(SUM(_xlfn._xlws.FILTER(Drivers!BV$71:BV$106,(BSSections=$E33)*(BSSummarys=$F33))),0)</f>
        <v>3500000</v>
      </c>
      <c r="AU33" s="322" cm="1">
        <f t="array" ref="AU33">IFERROR(SUM(_xlfn._xlws.FILTER(Drivers!BW$71:BW$106,(BSSections=$E33)*(BSSummarys=$F33))),0)</f>
        <v>3500000</v>
      </c>
      <c r="AV33" s="322" cm="1">
        <f t="array" ref="AV33">IFERROR(SUM(_xlfn._xlws.FILTER(Drivers!BX$71:BX$106,(BSSections=$E33)*(BSSummarys=$F33))),0)</f>
        <v>4500000</v>
      </c>
      <c r="AW33" s="322" cm="1">
        <f t="array" ref="AW33">IFERROR(SUM(_xlfn._xlws.FILTER(Drivers!BY$71:BY$106,(BSSections=$E33)*(BSSummarys=$F33))),0)</f>
        <v>4500000</v>
      </c>
      <c r="AX33" s="322" cm="1">
        <f t="array" ref="AX33">IFERROR(SUM(_xlfn._xlws.FILTER(Drivers!BZ$71:BZ$106,(BSSections=$E33)*(BSSummarys=$F33))),0)</f>
        <v>4500000</v>
      </c>
      <c r="AY33" s="322" cm="1">
        <f t="array" ref="AY33">IFERROR(SUM(_xlfn._xlws.FILTER(Drivers!CA$71:CA$106,(BSSections=$E33)*(BSSummarys=$F33))),0)</f>
        <v>4500000</v>
      </c>
      <c r="AZ33" s="322" cm="1">
        <f t="array" ref="AZ33">IFERROR(SUM(_xlfn._xlws.FILTER(Drivers!CB$71:CB$106,(BSSections=$E33)*(BSSummarys=$F33))),0)</f>
        <v>4500000</v>
      </c>
      <c r="BA33" s="322" cm="1">
        <f t="array" ref="BA33">IFERROR(SUM(_xlfn._xlws.FILTER(Drivers!CC$71:CC$106,(BSSections=$E33)*(BSSummarys=$F33))),0)</f>
        <v>4500000</v>
      </c>
      <c r="BB33" s="322" cm="1">
        <f t="array" ref="BB33">IFERROR(SUM(_xlfn._xlws.FILTER(Drivers!CD$71:CD$106,(BSSections=$E33)*(BSSummarys=$F33))),0)</f>
        <v>4500000</v>
      </c>
      <c r="BC33" s="322" cm="1">
        <f t="array" ref="BC33">IFERROR(SUM(_xlfn._xlws.FILTER(Drivers!CE$71:CE$106,(BSSections=$E33)*(BSSummarys=$F33))),0)</f>
        <v>4500000</v>
      </c>
      <c r="BD33" s="322" cm="1">
        <f t="array" ref="BD33">IFERROR(SUM(_xlfn._xlws.FILTER(Drivers!CF$71:CF$106,(BSSections=$E33)*(BSSummarys=$F33))),0)</f>
        <v>4500000</v>
      </c>
      <c r="BE33" s="322" cm="1">
        <f t="array" ref="BE33">IFERROR(SUM(_xlfn._xlws.FILTER(Drivers!CG$71:CG$106,(BSSections=$E33)*(BSSummarys=$F33))),0)</f>
        <v>4500000</v>
      </c>
      <c r="BF33" s="322" cm="1">
        <f t="array" ref="BF33">IFERROR(SUM(_xlfn._xlws.FILTER(Drivers!CH$71:CH$106,(BSSections=$E33)*(BSSummarys=$F33))),0)</f>
        <v>4500000</v>
      </c>
      <c r="BG33" s="322" cm="1">
        <f t="array" ref="BG33">IFERROR(SUM(_xlfn._xlws.FILTER(Drivers!CI$71:CI$106,(BSSections=$E33)*(BSSummarys=$F33))),0)</f>
        <v>4500000</v>
      </c>
      <c r="BH33" s="322" cm="1">
        <f t="array" ref="BH33">IFERROR(SUM(_xlfn._xlws.FILTER(Drivers!CJ$71:CJ$106,(BSSections=$E33)*(BSSummarys=$F33))),0)</f>
        <v>4500000</v>
      </c>
    </row>
    <row r="34" spans="2:60" ht="15" outlineLevel="1">
      <c r="B34" s="284"/>
      <c r="C34" s="323"/>
      <c r="D34" s="288" t="s">
        <v>148</v>
      </c>
      <c r="E34" s="277" t="s">
        <v>146</v>
      </c>
      <c r="F34" s="277" t="s">
        <v>148</v>
      </c>
      <c r="G34" s="277"/>
      <c r="H34" s="277"/>
      <c r="I34" s="277"/>
      <c r="J34" s="314"/>
      <c r="L34" s="322" cm="1">
        <f t="array" ref="L34">IFERROR(SUM(_xlfn._xlws.FILTER(Drivers!AN$71:AN$106,(BSSections=$E34)*(BSSummarys=$F34))),0)</f>
        <v>0</v>
      </c>
      <c r="M34" s="322" cm="1">
        <f t="array" ref="M34">IFERROR(SUM(_xlfn._xlws.FILTER(Drivers!AO$71:AO$106,(BSSections=$E34)*(BSSummarys=$F34))),0)</f>
        <v>-44399</v>
      </c>
      <c r="N34" s="322" cm="1">
        <f t="array" ref="N34">IFERROR(SUM(_xlfn._xlws.FILTER(Drivers!AP$71:AP$106,(BSSections=$E34)*(BSSummarys=$F34))),0)</f>
        <v>-89238</v>
      </c>
      <c r="O34" s="322" cm="1">
        <f t="array" ref="O34">IFERROR(SUM(_xlfn._xlws.FILTER(Drivers!AQ$71:AQ$106,(BSSections=$E34)*(BSSummarys=$F34))),0)</f>
        <v>-134542</v>
      </c>
      <c r="P34" s="322" cm="1">
        <f t="array" ref="P34">IFERROR(SUM(_xlfn._xlws.FILTER(Drivers!AR$71:AR$106,(BSSections=$E34)*(BSSummarys=$F34))),0)</f>
        <v>-181163</v>
      </c>
      <c r="Q34" s="322" cm="1">
        <f t="array" ref="Q34">IFERROR(SUM(_xlfn._xlws.FILTER(Drivers!AS$71:AS$106,(BSSections=$E34)*(BSSummarys=$F34))),0)</f>
        <v>-228141</v>
      </c>
      <c r="R34" s="322" cm="1">
        <f t="array" ref="R34">IFERROR(SUM(_xlfn._xlws.FILTER(Drivers!AT$71:AT$106,(BSSections=$E34)*(BSSummarys=$F34))),0)</f>
        <v>-275562</v>
      </c>
      <c r="S34" s="322" cm="1">
        <f t="array" ref="S34">IFERROR(SUM(_xlfn._xlws.FILTER(Drivers!AU$71:AU$106,(BSSections=$E34)*(BSSummarys=$F34))),0)</f>
        <v>-323123</v>
      </c>
      <c r="T34" s="322" cm="1">
        <f t="array" ref="T34">IFERROR(SUM(_xlfn._xlws.FILTER(Drivers!AV$71:AV$106,(BSSections=$E34)*(BSSummarys=$F34))),0)</f>
        <v>-370807.5</v>
      </c>
      <c r="U34" s="322" cm="1">
        <f t="array" ref="U34">IFERROR(SUM(_xlfn._xlws.FILTER(Drivers!AW$71:AW$106,(BSSections=$E34)*(BSSummarys=$F34))),0)</f>
        <v>-418443.5</v>
      </c>
      <c r="V34" s="322" cm="1">
        <f t="array" ref="V34">IFERROR(SUM(_xlfn._xlws.FILTER(Drivers!AX$71:AX$106,(BSSections=$E34)*(BSSummarys=$F34))),0)</f>
        <v>-470918.5</v>
      </c>
      <c r="W34" s="322" cm="1">
        <f t="array" ref="W34">IFERROR(SUM(_xlfn._xlws.FILTER(Drivers!AY$71:AY$106,(BSSections=$E34)*(BSSummarys=$F34))),0)</f>
        <v>-535736.5</v>
      </c>
      <c r="X34" s="322" cm="1">
        <f t="array" ref="X34">IFERROR(SUM(_xlfn._xlws.FILTER(Drivers!AZ$71:AZ$106,(BSSections=$E34)*(BSSummarys=$F34))),0)</f>
        <v>-659921.5</v>
      </c>
      <c r="Y34" s="322" cm="1">
        <f t="array" ref="Y34">IFERROR(SUM(_xlfn._xlws.FILTER(Drivers!BA$71:BA$106,(BSSections=$E34)*(BSSummarys=$F34))),0)</f>
        <v>-732726</v>
      </c>
      <c r="Z34" s="322" cm="1">
        <f t="array" ref="Z34">IFERROR(SUM(_xlfn._xlws.FILTER(Drivers!BB$71:BB$106,(BSSections=$E34)*(BSSummarys=$F34))),0)</f>
        <v>-862046</v>
      </c>
      <c r="AA34" s="322" cm="1">
        <f t="array" ref="AA34">IFERROR(SUM(_xlfn._xlws.FILTER(Drivers!BC$71:BC$106,(BSSections=$E34)*(BSSummarys=$F34))),0)</f>
        <v>-937415.5</v>
      </c>
      <c r="AB34" s="322" cm="1">
        <f t="array" ref="AB34">IFERROR(SUM(_xlfn._xlws.FILTER(Drivers!BD$71:BD$106,(BSSections=$E34)*(BSSummarys=$F34))),0)</f>
        <v>-1072126</v>
      </c>
      <c r="AC34" s="322" cm="1">
        <f t="array" ref="AC34">IFERROR(SUM(_xlfn._xlws.FILTER(Drivers!BE$71:BE$106,(BSSections=$E34)*(BSSummarys=$F34))),0)</f>
        <v>-1150188.5</v>
      </c>
      <c r="AD34" s="322" cm="1">
        <f t="array" ref="AD34">IFERROR(SUM(_xlfn._xlws.FILTER(Drivers!BF$71:BF$106,(BSSections=$E34)*(BSSummarys=$F34))),0)</f>
        <v>-1290560.5</v>
      </c>
      <c r="AE34" s="322" cm="1">
        <f t="array" ref="AE34">IFERROR(SUM(_xlfn._xlws.FILTER(Drivers!BG$71:BG$106,(BSSections=$E34)*(BSSummarys=$F34))),0)</f>
        <v>-1436876.5</v>
      </c>
      <c r="AF34" s="322" cm="1">
        <f t="array" ref="AF34">IFERROR(SUM(_xlfn._xlws.FILTER(Drivers!BH$71:BH$106,(BSSections=$E34)*(BSSummarys=$F34))),0)</f>
        <v>-1583191.5</v>
      </c>
      <c r="AG34" s="322" cm="1">
        <f t="array" ref="AG34">IFERROR(SUM(_xlfn._xlws.FILTER(Drivers!BI$71:BI$106,(BSSections=$E34)*(BSSummarys=$F34))),0)</f>
        <v>-1735747.5</v>
      </c>
      <c r="AH34" s="322" cm="1">
        <f t="array" ref="AH34">IFERROR(SUM(_xlfn._xlws.FILTER(Drivers!BJ$71:BJ$106,(BSSections=$E34)*(BSSummarys=$F34))),0)</f>
        <v>-1888304.5</v>
      </c>
      <c r="AI34" s="322" cm="1">
        <f t="array" ref="AI34">IFERROR(SUM(_xlfn._xlws.FILTER(Drivers!BK$71:BK$106,(BSSections=$E34)*(BSSummarys=$F34))),0)</f>
        <v>-2047414.5</v>
      </c>
      <c r="AJ34" s="322" cm="1">
        <f t="array" ref="AJ34">IFERROR(SUM(_xlfn._xlws.FILTER(Drivers!BL$71:BL$106,(BSSections=$E34)*(BSSummarys=$F34))),0)</f>
        <v>-2213404</v>
      </c>
      <c r="AK34" s="322" cm="1">
        <f t="array" ref="AK34">IFERROR(SUM(_xlfn._xlws.FILTER(Drivers!BM$71:BM$106,(BSSections=$E34)*(BSSummarys=$F34))),0)</f>
        <v>-2386618.91</v>
      </c>
      <c r="AL34" s="322" cm="1">
        <f t="array" ref="AL34">IFERROR(SUM(_xlfn._xlws.FILTER(Drivers!BN$71:BN$106,(BSSections=$E34)*(BSSummarys=$F34))),0)</f>
        <v>-2567419.5699999998</v>
      </c>
      <c r="AM34" s="322" cm="1">
        <f t="array" ref="AM34">IFERROR(SUM(_xlfn._xlws.FILTER(Drivers!BO$71:BO$106,(BSSections=$E34)*(BSSummarys=$F34))),0)</f>
        <v>-2756186.23</v>
      </c>
      <c r="AN34" s="322" cm="1">
        <f t="array" ref="AN34">IFERROR(SUM(_xlfn._xlws.FILTER(Drivers!BP$71:BP$106,(BSSections=$E34)*(BSSummarys=$F34))),0)</f>
        <v>-2953315.89</v>
      </c>
      <c r="AO34" s="322" cm="1">
        <f t="array" ref="AO34">IFERROR(SUM(_xlfn._xlws.FILTER(Drivers!BQ$71:BQ$106,(BSSections=$E34)*(BSSummarys=$F34))),0)</f>
        <v>-3159229.55</v>
      </c>
      <c r="AP34" s="322" cm="1">
        <f t="array" ref="AP34">IFERROR(SUM(_xlfn._xlws.FILTER(Drivers!BR$71:BR$106,(BSSections=$E34)*(BSSummarys=$F34))),0)</f>
        <v>-3366961.76</v>
      </c>
      <c r="AQ34" s="322" cm="1">
        <f t="array" ref="AQ34">IFERROR(SUM(_xlfn._xlws.FILTER(Drivers!BS$71:BS$106,(BSSections=$E34)*(BSSummarys=$F34))),0)</f>
        <v>-3586075.81</v>
      </c>
      <c r="AR34" s="322" cm="1">
        <f t="array" ref="AR34">IFERROR(SUM(_xlfn._xlws.FILTER(Drivers!BT$71:BT$106,(BSSections=$E34)*(BSSummarys=$F34))),0)</f>
        <v>-3821555.8</v>
      </c>
      <c r="AS34" s="322" cm="1">
        <f t="array" ref="AS34">IFERROR(SUM(_xlfn._xlws.FILTER(Drivers!BU$71:BU$106,(BSSections=$E34)*(BSSummarys=$F34))),0)</f>
        <v>-4049210.01</v>
      </c>
      <c r="AT34" s="322" cm="1">
        <f t="array" ref="AT34">IFERROR(SUM(_xlfn._xlws.FILTER(Drivers!BV$71:BV$106,(BSSections=$E34)*(BSSummarys=$F34))),0)</f>
        <v>-4296072.16</v>
      </c>
      <c r="AU34" s="322" cm="1">
        <f t="array" ref="AU34">IFERROR(SUM(_xlfn._xlws.FILTER(Drivers!BW$71:BW$106,(BSSections=$E34)*(BSSummarys=$F34))),0)</f>
        <v>-4555252.6500000004</v>
      </c>
      <c r="AV34" s="322" cm="1">
        <f t="array" ref="AV34">IFERROR(SUM(_xlfn._xlws.FILTER(Drivers!BX$71:BX$106,(BSSections=$E34)*(BSSummarys=$F34))),0)</f>
        <v>-4837122.7422727272</v>
      </c>
      <c r="AW34" s="322" cm="1">
        <f t="array" ref="AW34">IFERROR(SUM(_xlfn._xlws.FILTER(Drivers!BY$71:BY$106,(BSSections=$E34)*(BSSummarys=$F34))),0)</f>
        <v>-5062072.7783009065</v>
      </c>
      <c r="AX34" s="322" cm="1">
        <f t="array" ref="AX34">IFERROR(SUM(_xlfn._xlws.FILTER(Drivers!BZ$71:BZ$106,(BSSections=$E34)*(BSSummarys=$F34))),0)</f>
        <v>-5252550.9039910408</v>
      </c>
      <c r="AY34" s="322" cm="1">
        <f t="array" ref="AY34">IFERROR(SUM(_xlfn._xlws.FILTER(Drivers!CA$71:CA$106,(BSSections=$E34)*(BSSummarys=$F34))),0)</f>
        <v>-5447687.5761010051</v>
      </c>
      <c r="AZ34" s="322" cm="1">
        <f t="array" ref="AZ34">IFERROR(SUM(_xlfn._xlws.FILTER(Drivers!CB$71:CB$106,(BSSections=$E34)*(BSSummarys=$F34))),0)</f>
        <v>-5670562.381234521</v>
      </c>
      <c r="BA34" s="322" cm="1">
        <f t="array" ref="BA34">IFERROR(SUM(_xlfn._xlws.FILTER(Drivers!CC$71:CC$106,(BSSections=$E34)*(BSSummarys=$F34))),0)</f>
        <v>-5896926.5089926366</v>
      </c>
      <c r="BB34" s="322" cm="1">
        <f t="array" ref="BB34">IFERROR(SUM(_xlfn._xlws.FILTER(Drivers!CD$71:CD$106,(BSSections=$E34)*(BSSummarys=$F34))),0)</f>
        <v>-6128361.2909142058</v>
      </c>
      <c r="BC34" s="322" cm="1">
        <f t="array" ref="BC34">IFERROR(SUM(_xlfn._xlws.FILTER(Drivers!CE$71:CE$106,(BSSections=$E34)*(BSSummarys=$F34))),0)</f>
        <v>-6367536.4313802551</v>
      </c>
      <c r="BD34" s="322" cm="1">
        <f t="array" ref="BD34">IFERROR(SUM(_xlfn._xlws.FILTER(Drivers!CF$71:CF$106,(BSSections=$E34)*(BSSummarys=$F34))),0)</f>
        <v>-6610535.7474694038</v>
      </c>
      <c r="BE34" s="322" cm="1">
        <f t="array" ref="BE34">IFERROR(SUM(_xlfn._xlws.FILTER(Drivers!CG$71:CG$106,(BSSections=$E34)*(BSSummarys=$F34))),0)</f>
        <v>-6857188.7714317888</v>
      </c>
      <c r="BF34" s="322" cm="1">
        <f t="array" ref="BF34">IFERROR(SUM(_xlfn._xlws.FILTER(Drivers!CH$71:CH$106,(BSSections=$E34)*(BSSummarys=$F34))),0)</f>
        <v>-7107304.7233782439</v>
      </c>
      <c r="BG34" s="322" cm="1">
        <f t="array" ref="BG34">IFERROR(SUM(_xlfn._xlws.FILTER(Drivers!CI$71:CI$106,(BSSections=$E34)*(BSSummarys=$F34))),0)</f>
        <v>-7360773.4051949</v>
      </c>
      <c r="BH34" s="322" cm="1">
        <f t="array" ref="BH34">IFERROR(SUM(_xlfn._xlws.FILTER(Drivers!CJ$71:CJ$106,(BSSections=$E34)*(BSSummarys=$F34))),0)</f>
        <v>-7634607.7380288206</v>
      </c>
    </row>
    <row r="35" spans="2:60" ht="18.75" customHeight="1">
      <c r="D35" s="321"/>
      <c r="E35" s="277"/>
      <c r="F35" s="277"/>
      <c r="G35" s="277"/>
      <c r="H35" s="277"/>
      <c r="I35" s="277"/>
      <c r="J35" s="314"/>
    </row>
    <row r="36" spans="2:60" s="290" customFormat="1" ht="24">
      <c r="B36" s="299" t="s">
        <v>466</v>
      </c>
      <c r="C36" s="320"/>
      <c r="D36" s="292"/>
      <c r="E36" s="297"/>
      <c r="F36" s="297"/>
      <c r="G36" s="297"/>
      <c r="H36" s="297"/>
      <c r="I36" s="297"/>
      <c r="J36" s="319"/>
      <c r="K36" s="296"/>
      <c r="L36" s="292"/>
      <c r="M36" s="291"/>
      <c r="N36" s="291"/>
      <c r="O36" s="291"/>
      <c r="P36" s="291"/>
      <c r="Q36" s="291"/>
      <c r="R36" s="291"/>
      <c r="S36" s="291"/>
      <c r="T36" s="291"/>
      <c r="U36" s="291"/>
      <c r="V36" s="291"/>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row>
    <row r="37" spans="2:60" ht="21">
      <c r="B37" s="284"/>
      <c r="C37" s="315" t="s">
        <v>465</v>
      </c>
      <c r="D37" s="316"/>
      <c r="E37" s="318"/>
      <c r="F37" s="318"/>
      <c r="G37" s="318"/>
      <c r="H37" s="277"/>
      <c r="I37" s="277"/>
      <c r="J37" s="314"/>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6"/>
      <c r="BG37" s="286"/>
      <c r="BH37" s="286"/>
    </row>
    <row r="38" spans="2:60" ht="18.75" customHeight="1" outlineLevel="1">
      <c r="B38" s="284"/>
      <c r="C38" s="315"/>
      <c r="D38" s="288" t="s">
        <v>219</v>
      </c>
      <c r="E38" s="277" t="str">
        <f>IFERROR(INDEX(PBC_ACCOUNT_LIST[Drivers Section],MATCH('Data Summary'!I38,PBC_ACCOUNT_LIST[Id],0)),"")</f>
        <v>Revenue</v>
      </c>
      <c r="F38" s="277" t="str">
        <f>IFERROR(INDEX(PBC_ACCOUNT_LIST[Summary Grouping],MATCH('Data Summary'!I38,PBC_ACCOUNT_LIST[Id],0)),"")</f>
        <v>Revenue</v>
      </c>
      <c r="G38" s="277"/>
      <c r="H38" s="277">
        <f>IFERROR(INDEX(PBC_ACCOUNT_LIST[Cash Flow Section],MATCH('Data Summary'!I38,PBC_ACCOUNT_LIST[Id],0)),"")</f>
        <v>0</v>
      </c>
      <c r="I38" s="277">
        <v>199</v>
      </c>
      <c r="J38" s="314"/>
      <c r="L38" s="313">
        <f>SUMIFS(Drivers!AN$10:AN$69,PLAcctIDs,$I38)</f>
        <v>0</v>
      </c>
      <c r="M38" s="313">
        <f>SUMIFS(Drivers!AO$10:AO$69,PLAcctIDs,$I38)</f>
        <v>10000</v>
      </c>
      <c r="N38" s="313">
        <f>SUMIFS(Drivers!AP$10:AP$69,PLAcctIDs,$I38)</f>
        <v>11000</v>
      </c>
      <c r="O38" s="313">
        <f>SUMIFS(Drivers!AQ$10:AQ$69,PLAcctIDs,$I38)</f>
        <v>12100</v>
      </c>
      <c r="P38" s="313">
        <f>SUMIFS(Drivers!AR$10:AR$69,PLAcctIDs,$I38)</f>
        <v>13310</v>
      </c>
      <c r="Q38" s="313">
        <f>SUMIFS(Drivers!AS$10:AS$69,PLAcctIDs,$I38)</f>
        <v>14641</v>
      </c>
      <c r="R38" s="313">
        <f>SUMIFS(Drivers!AT$10:AT$69,PLAcctIDs,$I38)</f>
        <v>16105</v>
      </c>
      <c r="S38" s="313">
        <f>SUMIFS(Drivers!AU$10:AU$69,PLAcctIDs,$I38)</f>
        <v>17716</v>
      </c>
      <c r="T38" s="313">
        <f>SUMIFS(Drivers!AV$10:AV$69,PLAcctIDs,$I38)</f>
        <v>19487</v>
      </c>
      <c r="U38" s="313">
        <f>SUMIFS(Drivers!AW$10:AW$69,PLAcctIDs,$I38)</f>
        <v>21436</v>
      </c>
      <c r="V38" s="313">
        <f>SUMIFS(Drivers!AX$10:AX$69,PLAcctIDs,$I38)</f>
        <v>23579</v>
      </c>
      <c r="W38" s="313">
        <f>SUMIFS(Drivers!AY$10:AY$69,PLAcctIDs,$I38)</f>
        <v>46149</v>
      </c>
      <c r="X38" s="313">
        <f>SUMIFS(Drivers!AZ$10:AZ$69,PLAcctIDs,$I38)</f>
        <v>40000</v>
      </c>
      <c r="Y38" s="313">
        <f>SUMIFS(Drivers!BA$10:BA$69,PLAcctIDs,$I38)</f>
        <v>48456.5</v>
      </c>
      <c r="Z38" s="313">
        <f>SUMIFS(Drivers!BB$10:BB$69,PLAcctIDs,$I38)</f>
        <v>42000</v>
      </c>
      <c r="AA38" s="313">
        <f>SUMIFS(Drivers!BC$10:BC$69,PLAcctIDs,$I38)</f>
        <v>50879.5</v>
      </c>
      <c r="AB38" s="313">
        <f>SUMIFS(Drivers!BD$10:BD$69,PLAcctIDs,$I38)</f>
        <v>44100</v>
      </c>
      <c r="AC38" s="313">
        <f>SUMIFS(Drivers!BE$10:BE$69,PLAcctIDs,$I38)</f>
        <v>53424</v>
      </c>
      <c r="AD38" s="313">
        <f>SUMIFS(Drivers!BF$10:BF$69,PLAcctIDs,$I38)</f>
        <v>46305</v>
      </c>
      <c r="AE38" s="313">
        <f>SUMIFS(Drivers!BG$10:BG$69,PLAcctIDs,$I38)</f>
        <v>48620</v>
      </c>
      <c r="AF38" s="313">
        <f>SUMIFS(Drivers!BH$10:BH$69,PLAcctIDs,$I38)</f>
        <v>48620</v>
      </c>
      <c r="AG38" s="313">
        <f>SUMIFS(Drivers!BI$10:BI$69,PLAcctIDs,$I38)</f>
        <v>51051</v>
      </c>
      <c r="AH38" s="313">
        <f>SUMIFS(Drivers!BJ$10:BJ$69,PLAcctIDs,$I38)</f>
        <v>51051</v>
      </c>
      <c r="AI38" s="313">
        <f>SUMIFS(Drivers!BK$10:BK$69,PLAcctIDs,$I38)</f>
        <v>53604</v>
      </c>
      <c r="AJ38" s="313">
        <f>SUMIFS(Drivers!BL$10:BL$69,PLAcctIDs,$I38)</f>
        <v>56284</v>
      </c>
      <c r="AK38" s="313">
        <f>SUMIFS(Drivers!BM$10:BM$69,PLAcctIDs,$I38)</f>
        <v>59098.22</v>
      </c>
      <c r="AL38" s="313">
        <f>SUMIFS(Drivers!BN$10:BN$69,PLAcctIDs,$I38)</f>
        <v>62053</v>
      </c>
      <c r="AM38" s="313">
        <f>SUMIFS(Drivers!BO$10:BO$69,PLAcctIDs,$I38)</f>
        <v>65156</v>
      </c>
      <c r="AN38" s="313">
        <f>SUMIFS(Drivers!BP$10:BP$69,PLAcctIDs,$I38)</f>
        <v>68414</v>
      </c>
      <c r="AO38" s="313">
        <f>SUMIFS(Drivers!BQ$10:BQ$69,PLAcctIDs,$I38)</f>
        <v>71834</v>
      </c>
      <c r="AP38" s="313">
        <f>SUMIFS(Drivers!BR$10:BR$69,PLAcctIDs,$I38)</f>
        <v>83825.97</v>
      </c>
      <c r="AQ38" s="313">
        <f>SUMIFS(Drivers!BS$10:BS$69,PLAcctIDs,$I38)</f>
        <v>81697.259999999995</v>
      </c>
      <c r="AR38" s="313">
        <f>SUMIFS(Drivers!BT$10:BT$69,PLAcctIDs,$I38)</f>
        <v>83157.13</v>
      </c>
      <c r="AS38" s="313">
        <f>SUMIFS(Drivers!BU$10:BU$69,PLAcctIDs,$I38)</f>
        <v>87314.98</v>
      </c>
      <c r="AT38" s="313">
        <f>SUMIFS(Drivers!BV$10:BV$69,PLAcctIDs,$I38)</f>
        <v>91680.73</v>
      </c>
      <c r="AU38" s="313">
        <f>SUMIFS(Drivers!BW$10:BW$69,PLAcctIDs,$I38)</f>
        <v>96264.77</v>
      </c>
      <c r="AV38" s="313">
        <f>SUMIFS(Drivers!BX$10:BX$69,PLAcctIDs,$I38)</f>
        <v>41939.166666666664</v>
      </c>
      <c r="AW38" s="313">
        <f>SUMIFS(Drivers!BY$10:BY$69,PLAcctIDs,$I38)</f>
        <v>81939.166666666672</v>
      </c>
      <c r="AX38" s="313">
        <f>SUMIFS(Drivers!BZ$10:BZ$69,PLAcctIDs,$I38)</f>
        <v>121939.16666666667</v>
      </c>
      <c r="AY38" s="313">
        <f>SUMIFS(Drivers!CA$10:CA$69,PLAcctIDs,$I38)</f>
        <v>121939.16666666667</v>
      </c>
      <c r="AZ38" s="313">
        <f>SUMIFS(Drivers!CB$10:CB$69,PLAcctIDs,$I38)</f>
        <v>121939.16666666667</v>
      </c>
      <c r="BA38" s="313">
        <f>SUMIFS(Drivers!CC$10:CC$69,PLAcctIDs,$I38)</f>
        <v>121939.16666666667</v>
      </c>
      <c r="BB38" s="313">
        <f>SUMIFS(Drivers!CD$10:CD$69,PLAcctIDs,$I38)</f>
        <v>121939.16666666667</v>
      </c>
      <c r="BC38" s="313">
        <f>SUMIFS(Drivers!CE$10:CE$69,PLAcctIDs,$I38)</f>
        <v>121939.16666666667</v>
      </c>
      <c r="BD38" s="313">
        <f>SUMIFS(Drivers!CF$10:CF$69,PLAcctIDs,$I38)</f>
        <v>121939.16666666667</v>
      </c>
      <c r="BE38" s="313">
        <f>SUMIFS(Drivers!CG$10:CG$69,PLAcctIDs,$I38)</f>
        <v>121939.16666666667</v>
      </c>
      <c r="BF38" s="313">
        <f>SUMIFS(Drivers!CH$10:CH$69,PLAcctIDs,$I38)</f>
        <v>121939.16666666667</v>
      </c>
      <c r="BG38" s="313">
        <f>SUMIFS(Drivers!CI$10:CI$69,PLAcctIDs,$I38)</f>
        <v>121939.16666666667</v>
      </c>
      <c r="BH38" s="313">
        <f>SUMIFS(Drivers!CJ$10:CJ$69,PLAcctIDs,$I38)</f>
        <v>120000</v>
      </c>
    </row>
    <row r="39" spans="2:60" ht="18.75" customHeight="1" outlineLevel="1">
      <c r="B39" s="284"/>
      <c r="C39" s="315"/>
      <c r="D39" s="288" t="s">
        <v>467</v>
      </c>
      <c r="E39" s="277" t="str">
        <f>IFERROR(INDEX(PBC_ACCOUNT_LIST[Drivers Section],MATCH(I39,PBC_ACCOUNT_LIST[Id],0)),"")</f>
        <v>Other Expenses</v>
      </c>
      <c r="F39" s="277" t="str">
        <f>IFERROR(INDEX(PBC_ACCOUNT_LIST[Summary Grouping],MATCH(I39,PBC_ACCOUNT_LIST[Id],0)),"")</f>
        <v>Depreciation &amp; Amortization</v>
      </c>
      <c r="G39" s="277"/>
      <c r="H39" s="277">
        <f>IFERROR(INDEX(PBC_ACCOUNT_LIST[Cash Flow Section],MATCH(I39,PBC_ACCOUNT_LIST[Id],0)),"")</f>
        <v>0</v>
      </c>
      <c r="I39" s="277">
        <v>14</v>
      </c>
      <c r="J39" s="314"/>
      <c r="L39" s="313">
        <f>SUMIFS(Drivers!AN$10:AN$69,PLAcctIDs,$I39)</f>
        <v>0</v>
      </c>
      <c r="M39" s="313">
        <f>SUMIFS(Drivers!AO$10:AO$69,PLAcctIDs,$I39)</f>
        <v>0</v>
      </c>
      <c r="N39" s="313">
        <f>SUMIFS(Drivers!AP$10:AP$69,PLAcctIDs,$I39)</f>
        <v>0</v>
      </c>
      <c r="O39" s="313">
        <f>SUMIFS(Drivers!AQ$10:AQ$69,PLAcctIDs,$I39)</f>
        <v>0</v>
      </c>
      <c r="P39" s="313">
        <f>SUMIFS(Drivers!AR$10:AR$69,PLAcctIDs,$I39)</f>
        <v>0</v>
      </c>
      <c r="Q39" s="313">
        <f>SUMIFS(Drivers!AS$10:AS$69,PLAcctIDs,$I39)</f>
        <v>0</v>
      </c>
      <c r="R39" s="313">
        <f>SUMIFS(Drivers!AT$10:AT$69,PLAcctIDs,$I39)</f>
        <v>0</v>
      </c>
      <c r="S39" s="313">
        <f>SUMIFS(Drivers!AU$10:AU$69,PLAcctIDs,$I39)</f>
        <v>0</v>
      </c>
      <c r="T39" s="313">
        <f>SUMIFS(Drivers!AV$10:AV$69,PLAcctIDs,$I39)</f>
        <v>0</v>
      </c>
      <c r="U39" s="313">
        <f>SUMIFS(Drivers!AW$10:AW$69,PLAcctIDs,$I39)</f>
        <v>0</v>
      </c>
      <c r="V39" s="313">
        <f>SUMIFS(Drivers!AX$10:AX$69,PLAcctIDs,$I39)</f>
        <v>0</v>
      </c>
      <c r="W39" s="313">
        <f>SUMIFS(Drivers!AY$10:AY$69,PLAcctIDs,$I39)</f>
        <v>0</v>
      </c>
      <c r="X39" s="313">
        <f>SUMIFS(Drivers!AZ$10:AZ$69,PLAcctIDs,$I39)</f>
        <v>0</v>
      </c>
      <c r="Y39" s="313">
        <f>SUMIFS(Drivers!BA$10:BA$69,PLAcctIDs,$I39)</f>
        <v>0</v>
      </c>
      <c r="Z39" s="313">
        <f>SUMIFS(Drivers!BB$10:BB$69,PLAcctIDs,$I39)</f>
        <v>0</v>
      </c>
      <c r="AA39" s="313">
        <f>SUMIFS(Drivers!BC$10:BC$69,PLAcctIDs,$I39)</f>
        <v>0</v>
      </c>
      <c r="AB39" s="313">
        <f>SUMIFS(Drivers!BD$10:BD$69,PLAcctIDs,$I39)</f>
        <v>0</v>
      </c>
      <c r="AC39" s="313">
        <f>SUMIFS(Drivers!BE$10:BE$69,PLAcctIDs,$I39)</f>
        <v>0</v>
      </c>
      <c r="AD39" s="313">
        <f>SUMIFS(Drivers!BF$10:BF$69,PLAcctIDs,$I39)</f>
        <v>0</v>
      </c>
      <c r="AE39" s="313">
        <f>SUMIFS(Drivers!BG$10:BG$69,PLAcctIDs,$I39)</f>
        <v>0</v>
      </c>
      <c r="AF39" s="313">
        <f>SUMIFS(Drivers!BH$10:BH$69,PLAcctIDs,$I39)</f>
        <v>0</v>
      </c>
      <c r="AG39" s="313">
        <f>SUMIFS(Drivers!BI$10:BI$69,PLAcctIDs,$I39)</f>
        <v>0</v>
      </c>
      <c r="AH39" s="313">
        <f>SUMIFS(Drivers!BJ$10:BJ$69,PLAcctIDs,$I39)</f>
        <v>0</v>
      </c>
      <c r="AI39" s="313">
        <f>SUMIFS(Drivers!BK$10:BK$69,PLAcctIDs,$I39)</f>
        <v>0</v>
      </c>
      <c r="AJ39" s="313">
        <f>SUMIFS(Drivers!BL$10:BL$69,PLAcctIDs,$I39)</f>
        <v>0</v>
      </c>
      <c r="AK39" s="313">
        <f>SUMIFS(Drivers!BM$10:BM$69,PLAcctIDs,$I39)</f>
        <v>0</v>
      </c>
      <c r="AL39" s="313">
        <f>SUMIFS(Drivers!BN$10:BN$69,PLAcctIDs,$I39)</f>
        <v>0</v>
      </c>
      <c r="AM39" s="313">
        <f>SUMIFS(Drivers!BO$10:BO$69,PLAcctIDs,$I39)</f>
        <v>0</v>
      </c>
      <c r="AN39" s="313">
        <f>SUMIFS(Drivers!BP$10:BP$69,PLAcctIDs,$I39)</f>
        <v>0</v>
      </c>
      <c r="AO39" s="313">
        <f>SUMIFS(Drivers!BQ$10:BQ$69,PLAcctIDs,$I39)</f>
        <v>0</v>
      </c>
      <c r="AP39" s="313">
        <f>SUMIFS(Drivers!BR$10:BR$69,PLAcctIDs,$I39)</f>
        <v>0</v>
      </c>
      <c r="AQ39" s="313">
        <f>SUMIFS(Drivers!BS$10:BS$69,PLAcctIDs,$I39)</f>
        <v>0</v>
      </c>
      <c r="AR39" s="313">
        <f>SUMIFS(Drivers!BT$10:BT$69,PLAcctIDs,$I39)</f>
        <v>0</v>
      </c>
      <c r="AS39" s="313">
        <f>SUMIFS(Drivers!BU$10:BU$69,PLAcctIDs,$I39)</f>
        <v>0</v>
      </c>
      <c r="AT39" s="313">
        <f>SUMIFS(Drivers!BV$10:BV$69,PLAcctIDs,$I39)</f>
        <v>0</v>
      </c>
      <c r="AU39" s="313">
        <f>SUMIFS(Drivers!BW$10:BW$69,PLAcctIDs,$I39)</f>
        <v>0</v>
      </c>
      <c r="AV39" s="313">
        <f>SUMIFS(Drivers!BX$10:BX$69,PLAcctIDs,$I39)</f>
        <v>0</v>
      </c>
      <c r="AW39" s="313">
        <f>SUMIFS(Drivers!BY$10:BY$69,PLAcctIDs,$I39)</f>
        <v>0</v>
      </c>
      <c r="AX39" s="313">
        <f>SUMIFS(Drivers!BZ$10:BZ$69,PLAcctIDs,$I39)</f>
        <v>0</v>
      </c>
      <c r="AY39" s="313">
        <f>SUMIFS(Drivers!CA$10:CA$69,PLAcctIDs,$I39)</f>
        <v>0</v>
      </c>
      <c r="AZ39" s="313">
        <f>SUMIFS(Drivers!CB$10:CB$69,PLAcctIDs,$I39)</f>
        <v>0</v>
      </c>
      <c r="BA39" s="313">
        <f>SUMIFS(Drivers!CC$10:CC$69,PLAcctIDs,$I39)</f>
        <v>0</v>
      </c>
      <c r="BB39" s="313">
        <f>SUMIFS(Drivers!CD$10:CD$69,PLAcctIDs,$I39)</f>
        <v>0</v>
      </c>
      <c r="BC39" s="313">
        <f>SUMIFS(Drivers!CE$10:CE$69,PLAcctIDs,$I39)</f>
        <v>0</v>
      </c>
      <c r="BD39" s="313">
        <f>SUMIFS(Drivers!CF$10:CF$69,PLAcctIDs,$I39)</f>
        <v>0</v>
      </c>
      <c r="BE39" s="313">
        <f>SUMIFS(Drivers!CG$10:CG$69,PLAcctIDs,$I39)</f>
        <v>0</v>
      </c>
      <c r="BF39" s="313">
        <f>SUMIFS(Drivers!CH$10:CH$69,PLAcctIDs,$I39)</f>
        <v>0</v>
      </c>
      <c r="BG39" s="313">
        <f>SUMIFS(Drivers!CI$10:CI$69,PLAcctIDs,$I39)</f>
        <v>0</v>
      </c>
      <c r="BH39" s="313">
        <f>SUMIFS(Drivers!CJ$10:CJ$69,PLAcctIDs,$I39)</f>
        <v>0</v>
      </c>
    </row>
    <row r="40" spans="2:60" ht="18.75" customHeight="1" outlineLevel="1">
      <c r="B40" s="284"/>
      <c r="C40" s="315"/>
      <c r="D40" s="288" t="s">
        <v>220</v>
      </c>
      <c r="E40" s="277" t="str">
        <f>IFERROR(INDEX(PBC_ACCOUNT_LIST[Drivers Section],MATCH('Data Summary'!I40,PBC_ACCOUNT_LIST[Id],0)),"")</f>
        <v>Revenue</v>
      </c>
      <c r="F40" s="277" t="str">
        <f>IFERROR(INDEX(PBC_ACCOUNT_LIST[Summary Grouping],MATCH('Data Summary'!I40,PBC_ACCOUNT_LIST[Id],0)),"")</f>
        <v>Revenue</v>
      </c>
      <c r="G40" s="277"/>
      <c r="H40" s="277">
        <f>IFERROR(INDEX(PBC_ACCOUNT_LIST[Cash Flow Section],MATCH('Data Summary'!I40,PBC_ACCOUNT_LIST[Id],0)),"")</f>
        <v>0</v>
      </c>
      <c r="I40" s="277">
        <v>73</v>
      </c>
      <c r="J40" s="314"/>
      <c r="L40" s="313">
        <f>SUMIFS(Drivers!AN$10:AN$69,PLAcctIDs,$I40)</f>
        <v>0</v>
      </c>
      <c r="M40" s="313">
        <f>SUMIFS(Drivers!AO$10:AO$69,PLAcctIDs,$I40)</f>
        <v>0</v>
      </c>
      <c r="N40" s="313">
        <f>SUMIFS(Drivers!AP$10:AP$69,PLAcctIDs,$I40)</f>
        <v>0</v>
      </c>
      <c r="O40" s="313">
        <f>SUMIFS(Drivers!AQ$10:AQ$69,PLAcctIDs,$I40)</f>
        <v>0</v>
      </c>
      <c r="P40" s="313">
        <f>SUMIFS(Drivers!AR$10:AR$69,PLAcctIDs,$I40)</f>
        <v>0</v>
      </c>
      <c r="Q40" s="313">
        <f>SUMIFS(Drivers!AS$10:AS$69,PLAcctIDs,$I40)</f>
        <v>0</v>
      </c>
      <c r="R40" s="313">
        <f>SUMIFS(Drivers!AT$10:AT$69,PLAcctIDs,$I40)</f>
        <v>0</v>
      </c>
      <c r="S40" s="313">
        <f>SUMIFS(Drivers!AU$10:AU$69,PLAcctIDs,$I40)</f>
        <v>0</v>
      </c>
      <c r="T40" s="313">
        <f>SUMIFS(Drivers!AV$10:AV$69,PLAcctIDs,$I40)</f>
        <v>0</v>
      </c>
      <c r="U40" s="313">
        <f>SUMIFS(Drivers!AW$10:AW$69,PLAcctIDs,$I40)</f>
        <v>0</v>
      </c>
      <c r="V40" s="313">
        <f>SUMIFS(Drivers!AX$10:AX$69,PLAcctIDs,$I40)</f>
        <v>0</v>
      </c>
      <c r="W40" s="313">
        <f>SUMIFS(Drivers!AY$10:AY$69,PLAcctIDs,$I40)</f>
        <v>0</v>
      </c>
      <c r="X40" s="313">
        <f>SUMIFS(Drivers!AZ$10:AZ$69,PLAcctIDs,$I40)</f>
        <v>0</v>
      </c>
      <c r="Y40" s="313">
        <f>SUMIFS(Drivers!BA$10:BA$69,PLAcctIDs,$I40)</f>
        <v>0</v>
      </c>
      <c r="Z40" s="313">
        <f>SUMIFS(Drivers!BB$10:BB$69,PLAcctIDs,$I40)</f>
        <v>0</v>
      </c>
      <c r="AA40" s="313">
        <f>SUMIFS(Drivers!BC$10:BC$69,PLAcctIDs,$I40)</f>
        <v>0</v>
      </c>
      <c r="AB40" s="313">
        <f>SUMIFS(Drivers!BD$10:BD$69,PLAcctIDs,$I40)</f>
        <v>0</v>
      </c>
      <c r="AC40" s="313">
        <f>SUMIFS(Drivers!BE$10:BE$69,PLAcctIDs,$I40)</f>
        <v>0</v>
      </c>
      <c r="AD40" s="313">
        <f>SUMIFS(Drivers!BF$10:BF$69,PLAcctIDs,$I40)</f>
        <v>0</v>
      </c>
      <c r="AE40" s="313">
        <f>SUMIFS(Drivers!BG$10:BG$69,PLAcctIDs,$I40)</f>
        <v>0</v>
      </c>
      <c r="AF40" s="313">
        <f>SUMIFS(Drivers!BH$10:BH$69,PLAcctIDs,$I40)</f>
        <v>0</v>
      </c>
      <c r="AG40" s="313">
        <f>SUMIFS(Drivers!BI$10:BI$69,PLAcctIDs,$I40)</f>
        <v>0</v>
      </c>
      <c r="AH40" s="313">
        <f>SUMIFS(Drivers!BJ$10:BJ$69,PLAcctIDs,$I40)</f>
        <v>0</v>
      </c>
      <c r="AI40" s="313">
        <f>SUMIFS(Drivers!BK$10:BK$69,PLAcctIDs,$I40)</f>
        <v>0</v>
      </c>
      <c r="AJ40" s="313">
        <f>SUMIFS(Drivers!BL$10:BL$69,PLAcctIDs,$I40)</f>
        <v>0</v>
      </c>
      <c r="AK40" s="313">
        <f>SUMIFS(Drivers!BM$10:BM$69,PLAcctIDs,$I40)</f>
        <v>0</v>
      </c>
      <c r="AL40" s="313">
        <f>SUMIFS(Drivers!BN$10:BN$69,PLAcctIDs,$I40)</f>
        <v>0</v>
      </c>
      <c r="AM40" s="313">
        <f>SUMIFS(Drivers!BO$10:BO$69,PLAcctIDs,$I40)</f>
        <v>0</v>
      </c>
      <c r="AN40" s="313">
        <f>SUMIFS(Drivers!BP$10:BP$69,PLAcctIDs,$I40)</f>
        <v>0</v>
      </c>
      <c r="AO40" s="313">
        <f>SUMIFS(Drivers!BQ$10:BQ$69,PLAcctIDs,$I40)</f>
        <v>0</v>
      </c>
      <c r="AP40" s="313">
        <f>SUMIFS(Drivers!BR$10:BR$69,PLAcctIDs,$I40)</f>
        <v>300</v>
      </c>
      <c r="AQ40" s="313">
        <f>SUMIFS(Drivers!BS$10:BS$69,PLAcctIDs,$I40)</f>
        <v>0</v>
      </c>
      <c r="AR40" s="313">
        <f>SUMIFS(Drivers!BT$10:BT$69,PLAcctIDs,$I40)</f>
        <v>0</v>
      </c>
      <c r="AS40" s="313">
        <f>SUMIFS(Drivers!BU$10:BU$69,PLAcctIDs,$I40)</f>
        <v>0</v>
      </c>
      <c r="AT40" s="313">
        <f>SUMIFS(Drivers!BV$10:BV$69,PLAcctIDs,$I40)</f>
        <v>0</v>
      </c>
      <c r="AU40" s="313">
        <f>SUMIFS(Drivers!BW$10:BW$69,PLAcctIDs,$I40)</f>
        <v>0</v>
      </c>
      <c r="AV40" s="313">
        <f>SUMIFS(Drivers!BX$10:BX$69,PLAcctIDs,$I40)</f>
        <v>0</v>
      </c>
      <c r="AW40" s="313">
        <f>SUMIFS(Drivers!BY$10:BY$69,PLAcctIDs,$I40)</f>
        <v>0</v>
      </c>
      <c r="AX40" s="313">
        <f>SUMIFS(Drivers!BZ$10:BZ$69,PLAcctIDs,$I40)</f>
        <v>0</v>
      </c>
      <c r="AY40" s="313">
        <f>SUMIFS(Drivers!CA$10:CA$69,PLAcctIDs,$I40)</f>
        <v>0</v>
      </c>
      <c r="AZ40" s="313">
        <f>SUMIFS(Drivers!CB$10:CB$69,PLAcctIDs,$I40)</f>
        <v>0</v>
      </c>
      <c r="BA40" s="313">
        <f>SUMIFS(Drivers!CC$10:CC$69,PLAcctIDs,$I40)</f>
        <v>0</v>
      </c>
      <c r="BB40" s="313">
        <f>SUMIFS(Drivers!CD$10:CD$69,PLAcctIDs,$I40)</f>
        <v>0</v>
      </c>
      <c r="BC40" s="313">
        <f>SUMIFS(Drivers!CE$10:CE$69,PLAcctIDs,$I40)</f>
        <v>0</v>
      </c>
      <c r="BD40" s="313">
        <f>SUMIFS(Drivers!CF$10:CF$69,PLAcctIDs,$I40)</f>
        <v>0</v>
      </c>
      <c r="BE40" s="313">
        <f>SUMIFS(Drivers!CG$10:CG$69,PLAcctIDs,$I40)</f>
        <v>0</v>
      </c>
      <c r="BF40" s="313">
        <f>SUMIFS(Drivers!CH$10:CH$69,PLAcctIDs,$I40)</f>
        <v>0</v>
      </c>
      <c r="BG40" s="313">
        <f>SUMIFS(Drivers!CI$10:CI$69,PLAcctIDs,$I40)</f>
        <v>0</v>
      </c>
      <c r="BH40" s="313">
        <f>SUMIFS(Drivers!CJ$10:CJ$69,PLAcctIDs,$I40)</f>
        <v>0</v>
      </c>
    </row>
    <row r="41" spans="2:60" ht="18.75" customHeight="1" outlineLevel="1">
      <c r="B41" s="284"/>
      <c r="C41" s="315"/>
      <c r="D41" s="288" t="s">
        <v>221</v>
      </c>
      <c r="E41" s="277" t="str">
        <f>IFERROR(INDEX(PBC_ACCOUNT_LIST[Drivers Section],MATCH('Data Summary'!I41,PBC_ACCOUNT_LIST[Id],0)),"")</f>
        <v>Revenue</v>
      </c>
      <c r="F41" s="277" t="str">
        <f>IFERROR(INDEX(PBC_ACCOUNT_LIST[Summary Grouping],MATCH('Data Summary'!I41,PBC_ACCOUNT_LIST[Id],0)),"")</f>
        <v>Revenue</v>
      </c>
      <c r="G41" s="277"/>
      <c r="H41" s="277">
        <f>IFERROR(INDEX(PBC_ACCOUNT_LIST[Cash Flow Section],MATCH('Data Summary'!I41,PBC_ACCOUNT_LIST[Id],0)),"")</f>
        <v>0</v>
      </c>
      <c r="I41" s="277">
        <v>5</v>
      </c>
      <c r="J41" s="314"/>
      <c r="L41" s="313">
        <f>SUMIFS(Drivers!AN$10:AN$69,PLAcctIDs,$I41)</f>
        <v>0</v>
      </c>
      <c r="M41" s="313">
        <f>SUMIFS(Drivers!AO$10:AO$69,PLAcctIDs,$I41)</f>
        <v>0</v>
      </c>
      <c r="N41" s="313">
        <f>SUMIFS(Drivers!AP$10:AP$69,PLAcctIDs,$I41)</f>
        <v>0</v>
      </c>
      <c r="O41" s="313">
        <f>SUMIFS(Drivers!AQ$10:AQ$69,PLAcctIDs,$I41)</f>
        <v>0</v>
      </c>
      <c r="P41" s="313">
        <f>SUMIFS(Drivers!AR$10:AR$69,PLAcctIDs,$I41)</f>
        <v>0</v>
      </c>
      <c r="Q41" s="313">
        <f>SUMIFS(Drivers!AS$10:AS$69,PLAcctIDs,$I41)</f>
        <v>0</v>
      </c>
      <c r="R41" s="313">
        <f>SUMIFS(Drivers!AT$10:AT$69,PLAcctIDs,$I41)</f>
        <v>0</v>
      </c>
      <c r="S41" s="313">
        <f>SUMIFS(Drivers!AU$10:AU$69,PLAcctIDs,$I41)</f>
        <v>0</v>
      </c>
      <c r="T41" s="313">
        <f>SUMIFS(Drivers!AV$10:AV$69,PLAcctIDs,$I41)</f>
        <v>0</v>
      </c>
      <c r="U41" s="313">
        <f>SUMIFS(Drivers!AW$10:AW$69,PLAcctIDs,$I41)</f>
        <v>0</v>
      </c>
      <c r="V41" s="313">
        <f>SUMIFS(Drivers!AX$10:AX$69,PLAcctIDs,$I41)</f>
        <v>0</v>
      </c>
      <c r="W41" s="313">
        <f>SUMIFS(Drivers!AY$10:AY$69,PLAcctIDs,$I41)</f>
        <v>0</v>
      </c>
      <c r="X41" s="313">
        <f>SUMIFS(Drivers!AZ$10:AZ$69,PLAcctIDs,$I41)</f>
        <v>0</v>
      </c>
      <c r="Y41" s="313">
        <f>SUMIFS(Drivers!BA$10:BA$69,PLAcctIDs,$I41)</f>
        <v>0</v>
      </c>
      <c r="Z41" s="313">
        <f>SUMIFS(Drivers!BB$10:BB$69,PLAcctIDs,$I41)</f>
        <v>0</v>
      </c>
      <c r="AA41" s="313">
        <f>SUMIFS(Drivers!BC$10:BC$69,PLAcctIDs,$I41)</f>
        <v>0</v>
      </c>
      <c r="AB41" s="313">
        <f>SUMIFS(Drivers!BD$10:BD$69,PLAcctIDs,$I41)</f>
        <v>0</v>
      </c>
      <c r="AC41" s="313">
        <f>SUMIFS(Drivers!BE$10:BE$69,PLAcctIDs,$I41)</f>
        <v>0</v>
      </c>
      <c r="AD41" s="313">
        <f>SUMIFS(Drivers!BF$10:BF$69,PLAcctIDs,$I41)</f>
        <v>0</v>
      </c>
      <c r="AE41" s="313">
        <f>SUMIFS(Drivers!BG$10:BG$69,PLAcctIDs,$I41)</f>
        <v>0</v>
      </c>
      <c r="AF41" s="313">
        <f>SUMIFS(Drivers!BH$10:BH$69,PLAcctIDs,$I41)</f>
        <v>0</v>
      </c>
      <c r="AG41" s="313">
        <f>SUMIFS(Drivers!BI$10:BI$69,PLAcctIDs,$I41)</f>
        <v>0</v>
      </c>
      <c r="AH41" s="313">
        <f>SUMIFS(Drivers!BJ$10:BJ$69,PLAcctIDs,$I41)</f>
        <v>0</v>
      </c>
      <c r="AI41" s="313">
        <f>SUMIFS(Drivers!BK$10:BK$69,PLAcctIDs,$I41)</f>
        <v>0</v>
      </c>
      <c r="AJ41" s="313">
        <f>SUMIFS(Drivers!BL$10:BL$69,PLAcctIDs,$I41)</f>
        <v>0</v>
      </c>
      <c r="AK41" s="313">
        <f>SUMIFS(Drivers!BM$10:BM$69,PLAcctIDs,$I41)</f>
        <v>0</v>
      </c>
      <c r="AL41" s="313">
        <f>SUMIFS(Drivers!BN$10:BN$69,PLAcctIDs,$I41)</f>
        <v>0</v>
      </c>
      <c r="AM41" s="313">
        <f>SUMIFS(Drivers!BO$10:BO$69,PLAcctIDs,$I41)</f>
        <v>0</v>
      </c>
      <c r="AN41" s="313">
        <f>SUMIFS(Drivers!BP$10:BP$69,PLAcctIDs,$I41)</f>
        <v>0</v>
      </c>
      <c r="AO41" s="313">
        <f>SUMIFS(Drivers!BQ$10:BQ$69,PLAcctIDs,$I41)</f>
        <v>0</v>
      </c>
      <c r="AP41" s="313">
        <f>SUMIFS(Drivers!BR$10:BR$69,PLAcctIDs,$I41)</f>
        <v>0</v>
      </c>
      <c r="AQ41" s="313">
        <f>SUMIFS(Drivers!BS$10:BS$69,PLAcctIDs,$I41)</f>
        <v>4000</v>
      </c>
      <c r="AR41" s="313">
        <f>SUMIFS(Drivers!BT$10:BT$69,PLAcctIDs,$I41)</f>
        <v>0</v>
      </c>
      <c r="AS41" s="313">
        <f>SUMIFS(Drivers!BU$10:BU$69,PLAcctIDs,$I41)</f>
        <v>18000</v>
      </c>
      <c r="AT41" s="313">
        <f>SUMIFS(Drivers!BV$10:BV$69,PLAcctIDs,$I41)</f>
        <v>10000</v>
      </c>
      <c r="AU41" s="313">
        <f>SUMIFS(Drivers!BW$10:BW$69,PLAcctIDs,$I41)</f>
        <v>15500</v>
      </c>
      <c r="AV41" s="313">
        <f>SUMIFS(Drivers!BX$10:BX$69,PLAcctIDs,$I41)</f>
        <v>2500</v>
      </c>
      <c r="AW41" s="313">
        <f>SUMIFS(Drivers!BY$10:BY$69,PLAcctIDs,$I41)</f>
        <v>2500</v>
      </c>
      <c r="AX41" s="313">
        <f>SUMIFS(Drivers!BZ$10:BZ$69,PLAcctIDs,$I41)</f>
        <v>2500</v>
      </c>
      <c r="AY41" s="313">
        <f>SUMIFS(Drivers!CA$10:CA$69,PLAcctIDs,$I41)</f>
        <v>2500</v>
      </c>
      <c r="AZ41" s="313">
        <f>SUMIFS(Drivers!CB$10:CB$69,PLAcctIDs,$I41)</f>
        <v>2500</v>
      </c>
      <c r="BA41" s="313">
        <f>SUMIFS(Drivers!CC$10:CC$69,PLAcctIDs,$I41)</f>
        <v>2500</v>
      </c>
      <c r="BB41" s="313">
        <f>SUMIFS(Drivers!CD$10:CD$69,PLAcctIDs,$I41)</f>
        <v>2500</v>
      </c>
      <c r="BC41" s="313">
        <f>SUMIFS(Drivers!CE$10:CE$69,PLAcctIDs,$I41)</f>
        <v>2500</v>
      </c>
      <c r="BD41" s="313">
        <f>SUMIFS(Drivers!CF$10:CF$69,PLAcctIDs,$I41)</f>
        <v>2500</v>
      </c>
      <c r="BE41" s="313">
        <f>SUMIFS(Drivers!CG$10:CG$69,PLAcctIDs,$I41)</f>
        <v>2500</v>
      </c>
      <c r="BF41" s="313">
        <f>SUMIFS(Drivers!CH$10:CH$69,PLAcctIDs,$I41)</f>
        <v>2500</v>
      </c>
      <c r="BG41" s="313">
        <f>SUMIFS(Drivers!CI$10:CI$69,PLAcctIDs,$I41)</f>
        <v>2500</v>
      </c>
      <c r="BH41" s="313">
        <f>SUMIFS(Drivers!CJ$10:CJ$69,PLAcctIDs,$I41)</f>
        <v>2500</v>
      </c>
    </row>
    <row r="42" spans="2:60" ht="18.75" customHeight="1" outlineLevel="1">
      <c r="B42" s="284"/>
      <c r="C42" s="315"/>
      <c r="D42" s="288" t="s">
        <v>225</v>
      </c>
      <c r="E42" s="277" t="str">
        <f>IFERROR(INDEX(PBC_ACCOUNT_LIST[Drivers Section],MATCH('Data Summary'!I42,PBC_ACCOUNT_LIST[Id],0)),"")</f>
        <v>COGS</v>
      </c>
      <c r="F42" s="277" t="str">
        <f>IFERROR(INDEX(PBC_ACCOUNT_LIST[Summary Grouping],MATCH('Data Summary'!I42,PBC_ACCOUNT_LIST[Id],0)),"")</f>
        <v>COGS</v>
      </c>
      <c r="G42" s="277"/>
      <c r="H42" s="277">
        <f>IFERROR(INDEX(PBC_ACCOUNT_LIST[Cash Flow Section],MATCH('Data Summary'!I42,PBC_ACCOUNT_LIST[Id],0)),"")</f>
        <v>0</v>
      </c>
      <c r="I42" s="277">
        <v>164</v>
      </c>
      <c r="J42" s="314"/>
      <c r="L42" s="313">
        <f>SUMIFS(Drivers!AN$10:AN$69,PLAcctIDs,$I42)</f>
        <v>0</v>
      </c>
      <c r="M42" s="313">
        <f>SUMIFS(Drivers!AO$10:AO$69,PLAcctIDs,$I42)</f>
        <v>800</v>
      </c>
      <c r="N42" s="313">
        <f>SUMIFS(Drivers!AP$10:AP$69,PLAcctIDs,$I42)</f>
        <v>880</v>
      </c>
      <c r="O42" s="313">
        <f>SUMIFS(Drivers!AQ$10:AQ$69,PLAcctIDs,$I42)</f>
        <v>968</v>
      </c>
      <c r="P42" s="313">
        <f>SUMIFS(Drivers!AR$10:AR$69,PLAcctIDs,$I42)</f>
        <v>1065</v>
      </c>
      <c r="Q42" s="313">
        <f>SUMIFS(Drivers!AS$10:AS$69,PLAcctIDs,$I42)</f>
        <v>1171</v>
      </c>
      <c r="R42" s="313">
        <f>SUMIFS(Drivers!AT$10:AT$69,PLAcctIDs,$I42)</f>
        <v>1288</v>
      </c>
      <c r="S42" s="313">
        <f>SUMIFS(Drivers!AU$10:AU$69,PLAcctIDs,$I42)</f>
        <v>1417</v>
      </c>
      <c r="T42" s="313">
        <f>SUMIFS(Drivers!AV$10:AV$69,PLAcctIDs,$I42)</f>
        <v>1559</v>
      </c>
      <c r="U42" s="313">
        <f>SUMIFS(Drivers!AW$10:AW$69,PLAcctIDs,$I42)</f>
        <v>1715</v>
      </c>
      <c r="V42" s="313">
        <f>SUMIFS(Drivers!AX$10:AX$69,PLAcctIDs,$I42)</f>
        <v>1886</v>
      </c>
      <c r="W42" s="313">
        <f>SUMIFS(Drivers!AY$10:AY$69,PLAcctIDs,$I42)</f>
        <v>2721</v>
      </c>
      <c r="X42" s="313">
        <f>SUMIFS(Drivers!AZ$10:AZ$69,PLAcctIDs,$I42)</f>
        <v>2990</v>
      </c>
      <c r="Y42" s="313">
        <f>SUMIFS(Drivers!BA$10:BA$69,PLAcctIDs,$I42)</f>
        <v>2857</v>
      </c>
      <c r="Z42" s="313">
        <f>SUMIFS(Drivers!BB$10:BB$69,PLAcctIDs,$I42)</f>
        <v>3140</v>
      </c>
      <c r="AA42" s="313">
        <f>SUMIFS(Drivers!BC$10:BC$69,PLAcctIDs,$I42)</f>
        <v>3000</v>
      </c>
      <c r="AB42" s="313">
        <f>SUMIFS(Drivers!BD$10:BD$69,PLAcctIDs,$I42)</f>
        <v>3296</v>
      </c>
      <c r="AC42" s="313">
        <f>SUMIFS(Drivers!BE$10:BE$69,PLAcctIDs,$I42)</f>
        <v>3150</v>
      </c>
      <c r="AD42" s="313">
        <f>SUMIFS(Drivers!BF$10:BF$69,PLAcctIDs,$I42)</f>
        <v>3461</v>
      </c>
      <c r="AE42" s="313">
        <f>SUMIFS(Drivers!BG$10:BG$69,PLAcctIDs,$I42)</f>
        <v>3634</v>
      </c>
      <c r="AF42" s="313">
        <f>SUMIFS(Drivers!BH$10:BH$69,PLAcctIDs,$I42)</f>
        <v>3634</v>
      </c>
      <c r="AG42" s="313">
        <f>SUMIFS(Drivers!BI$10:BI$69,PLAcctIDs,$I42)</f>
        <v>3816</v>
      </c>
      <c r="AH42" s="313">
        <f>SUMIFS(Drivers!BJ$10:BJ$69,PLAcctIDs,$I42)</f>
        <v>3816</v>
      </c>
      <c r="AI42" s="313">
        <f>SUMIFS(Drivers!BK$10:BK$69,PLAcctIDs,$I42)</f>
        <v>4007</v>
      </c>
      <c r="AJ42" s="313">
        <f>SUMIFS(Drivers!BL$10:BL$69,PLAcctIDs,$I42)</f>
        <v>4207</v>
      </c>
      <c r="AK42" s="313">
        <f>SUMIFS(Drivers!BM$10:BM$69,PLAcctIDs,$I42)</f>
        <v>4417.6099999999997</v>
      </c>
      <c r="AL42" s="313">
        <f>SUMIFS(Drivers!BN$10:BN$69,PLAcctIDs,$I42)</f>
        <v>4638</v>
      </c>
      <c r="AM42" s="313">
        <f>SUMIFS(Drivers!BO$10:BO$69,PLAcctIDs,$I42)</f>
        <v>4870</v>
      </c>
      <c r="AN42" s="313">
        <f>SUMIFS(Drivers!BP$10:BP$69,PLAcctIDs,$I42)</f>
        <v>5114</v>
      </c>
      <c r="AO42" s="313">
        <f>SUMIFS(Drivers!BQ$10:BQ$69,PLAcctIDs,$I42)</f>
        <v>5370</v>
      </c>
      <c r="AP42" s="313">
        <f>SUMIFS(Drivers!BR$10:BR$69,PLAcctIDs,$I42)</f>
        <v>5638.12</v>
      </c>
      <c r="AQ42" s="313">
        <f>SUMIFS(Drivers!BS$10:BS$69,PLAcctIDs,$I42)</f>
        <v>5920.02</v>
      </c>
      <c r="AR42" s="313">
        <f>SUMIFS(Drivers!BT$10:BT$69,PLAcctIDs,$I42)</f>
        <v>6216.03</v>
      </c>
      <c r="AS42" s="313">
        <f>SUMIFS(Drivers!BU$10:BU$69,PLAcctIDs,$I42)</f>
        <v>6526.83</v>
      </c>
      <c r="AT42" s="313">
        <f>SUMIFS(Drivers!BV$10:BV$69,PLAcctIDs,$I42)</f>
        <v>6853.17</v>
      </c>
      <c r="AU42" s="313">
        <f>SUMIFS(Drivers!BW$10:BW$69,PLAcctIDs,$I42)</f>
        <v>7195.83</v>
      </c>
      <c r="AV42" s="313">
        <f>SUMIFS(Drivers!BX$10:BX$69,PLAcctIDs,$I42)</f>
        <v>7500</v>
      </c>
      <c r="AW42" s="313">
        <f>SUMIFS(Drivers!BY$10:BY$69,PLAcctIDs,$I42)</f>
        <v>0</v>
      </c>
      <c r="AX42" s="313">
        <f>SUMIFS(Drivers!BZ$10:BZ$69,PLAcctIDs,$I42)</f>
        <v>0</v>
      </c>
      <c r="AY42" s="313">
        <f>SUMIFS(Drivers!CA$10:CA$69,PLAcctIDs,$I42)</f>
        <v>0</v>
      </c>
      <c r="AZ42" s="313">
        <f>SUMIFS(Drivers!CB$10:CB$69,PLAcctIDs,$I42)</f>
        <v>0</v>
      </c>
      <c r="BA42" s="313">
        <f>SUMIFS(Drivers!CC$10:CC$69,PLAcctIDs,$I42)</f>
        <v>0</v>
      </c>
      <c r="BB42" s="313">
        <f>SUMIFS(Drivers!CD$10:CD$69,PLAcctIDs,$I42)</f>
        <v>0</v>
      </c>
      <c r="BC42" s="313">
        <f>SUMIFS(Drivers!CE$10:CE$69,PLAcctIDs,$I42)</f>
        <v>0</v>
      </c>
      <c r="BD42" s="313">
        <f>SUMIFS(Drivers!CF$10:CF$69,PLAcctIDs,$I42)</f>
        <v>0</v>
      </c>
      <c r="BE42" s="313">
        <f>SUMIFS(Drivers!CG$10:CG$69,PLAcctIDs,$I42)</f>
        <v>0</v>
      </c>
      <c r="BF42" s="313">
        <f>SUMIFS(Drivers!CH$10:CH$69,PLAcctIDs,$I42)</f>
        <v>0</v>
      </c>
      <c r="BG42" s="313">
        <f>SUMIFS(Drivers!CI$10:CI$69,PLAcctIDs,$I42)</f>
        <v>0</v>
      </c>
      <c r="BH42" s="313">
        <f>SUMIFS(Drivers!CJ$10:CJ$69,PLAcctIDs,$I42)</f>
        <v>0</v>
      </c>
    </row>
    <row r="43" spans="2:60" ht="18.75" customHeight="1" outlineLevel="1">
      <c r="B43" s="284"/>
      <c r="C43" s="315"/>
      <c r="D43" s="288" t="s">
        <v>226</v>
      </c>
      <c r="E43" s="277" t="str">
        <f>IFERROR(INDEX(PBC_ACCOUNT_LIST[Drivers Section],MATCH('Data Summary'!I43,PBC_ACCOUNT_LIST[Id],0)),"")</f>
        <v>COGS</v>
      </c>
      <c r="F43" s="277" t="str">
        <f>IFERROR(INDEX(PBC_ACCOUNT_LIST[Summary Grouping],MATCH('Data Summary'!I43,PBC_ACCOUNT_LIST[Id],0)),"")</f>
        <v>COGS</v>
      </c>
      <c r="G43" s="277"/>
      <c r="H43" s="277">
        <f>IFERROR(INDEX(PBC_ACCOUNT_LIST[Cash Flow Section],MATCH('Data Summary'!I43,PBC_ACCOUNT_LIST[Id],0)),"")</f>
        <v>0</v>
      </c>
      <c r="I43" s="277">
        <v>165</v>
      </c>
      <c r="J43" s="314"/>
      <c r="L43" s="313">
        <f>SUMIFS(Drivers!AN$10:AN$69,PLAcctIDs,$I43)</f>
        <v>0</v>
      </c>
      <c r="M43" s="313">
        <f>SUMIFS(Drivers!AO$10:AO$69,PLAcctIDs,$I43)</f>
        <v>250</v>
      </c>
      <c r="N43" s="313">
        <f>SUMIFS(Drivers!AP$10:AP$69,PLAcctIDs,$I43)</f>
        <v>275</v>
      </c>
      <c r="O43" s="313">
        <f>SUMIFS(Drivers!AQ$10:AQ$69,PLAcctIDs,$I43)</f>
        <v>303</v>
      </c>
      <c r="P43" s="313">
        <f>SUMIFS(Drivers!AR$10:AR$69,PLAcctIDs,$I43)</f>
        <v>333</v>
      </c>
      <c r="Q43" s="313">
        <f>SUMIFS(Drivers!AS$10:AS$69,PLAcctIDs,$I43)</f>
        <v>366</v>
      </c>
      <c r="R43" s="313">
        <f>SUMIFS(Drivers!AT$10:AT$69,PLAcctIDs,$I43)</f>
        <v>403</v>
      </c>
      <c r="S43" s="313">
        <f>SUMIFS(Drivers!AU$10:AU$69,PLAcctIDs,$I43)</f>
        <v>443</v>
      </c>
      <c r="T43" s="313">
        <f>SUMIFS(Drivers!AV$10:AV$69,PLAcctIDs,$I43)</f>
        <v>487.5</v>
      </c>
      <c r="U43" s="313">
        <f>SUMIFS(Drivers!AW$10:AW$69,PLAcctIDs,$I43)</f>
        <v>535.5</v>
      </c>
      <c r="V43" s="313">
        <f>SUMIFS(Drivers!AX$10:AX$69,PLAcctIDs,$I43)</f>
        <v>589.5</v>
      </c>
      <c r="W43" s="313">
        <f>SUMIFS(Drivers!AY$10:AY$69,PLAcctIDs,$I43)</f>
        <v>706.5</v>
      </c>
      <c r="X43" s="313">
        <f>SUMIFS(Drivers!AZ$10:AZ$69,PLAcctIDs,$I43)</f>
        <v>807.5</v>
      </c>
      <c r="Y43" s="313">
        <f>SUMIFS(Drivers!BA$10:BA$69,PLAcctIDs,$I43)</f>
        <v>742</v>
      </c>
      <c r="Z43" s="313">
        <f>SUMIFS(Drivers!BB$10:BB$69,PLAcctIDs,$I43)</f>
        <v>848</v>
      </c>
      <c r="AA43" s="313">
        <f>SUMIFS(Drivers!BC$10:BC$69,PLAcctIDs,$I43)</f>
        <v>779</v>
      </c>
      <c r="AB43" s="313">
        <f>SUMIFS(Drivers!BD$10:BD$69,PLAcctIDs,$I43)</f>
        <v>890.5</v>
      </c>
      <c r="AC43" s="313">
        <f>SUMIFS(Drivers!BE$10:BE$69,PLAcctIDs,$I43)</f>
        <v>818.5</v>
      </c>
      <c r="AD43" s="313">
        <f>SUMIFS(Drivers!BF$10:BF$69,PLAcctIDs,$I43)</f>
        <v>935.5</v>
      </c>
      <c r="AE43" s="313">
        <f>SUMIFS(Drivers!BG$10:BG$69,PLAcctIDs,$I43)</f>
        <v>981</v>
      </c>
      <c r="AF43" s="313">
        <f>SUMIFS(Drivers!BH$10:BH$69,PLAcctIDs,$I43)</f>
        <v>980.5</v>
      </c>
      <c r="AG43" s="313">
        <f>SUMIFS(Drivers!BI$10:BI$69,PLAcctIDs,$I43)</f>
        <v>1030</v>
      </c>
      <c r="AH43" s="313">
        <f>SUMIFS(Drivers!BJ$10:BJ$69,PLAcctIDs,$I43)</f>
        <v>1030.33</v>
      </c>
      <c r="AI43" s="313">
        <f>SUMIFS(Drivers!BK$10:BK$69,PLAcctIDs,$I43)</f>
        <v>1082.33</v>
      </c>
      <c r="AJ43" s="313">
        <f>SUMIFS(Drivers!BL$10:BL$69,PLAcctIDs,$I43)</f>
        <v>1136</v>
      </c>
      <c r="AK43" s="313">
        <f>SUMIFS(Drivers!BM$10:BM$69,PLAcctIDs,$I43)</f>
        <v>1192.81</v>
      </c>
      <c r="AL43" s="313">
        <f>SUMIFS(Drivers!BN$10:BN$69,PLAcctIDs,$I43)</f>
        <v>1252</v>
      </c>
      <c r="AM43" s="313">
        <f>SUMIFS(Drivers!BO$10:BO$69,PLAcctIDs,$I43)</f>
        <v>1315</v>
      </c>
      <c r="AN43" s="313">
        <f>SUMIFS(Drivers!BP$10:BP$69,PLAcctIDs,$I43)</f>
        <v>1381</v>
      </c>
      <c r="AO43" s="313">
        <f>SUMIFS(Drivers!BQ$10:BQ$69,PLAcctIDs,$I43)</f>
        <v>1450</v>
      </c>
      <c r="AP43" s="313">
        <f>SUMIFS(Drivers!BR$10:BR$69,PLAcctIDs,$I43)</f>
        <v>1522.36</v>
      </c>
      <c r="AQ43" s="313">
        <f>SUMIFS(Drivers!BS$10:BS$69,PLAcctIDs,$I43)</f>
        <v>1598.48</v>
      </c>
      <c r="AR43" s="313">
        <f>SUMIFS(Drivers!BT$10:BT$69,PLAcctIDs,$I43)</f>
        <v>1678.4</v>
      </c>
      <c r="AS43" s="313">
        <f>SUMIFS(Drivers!BU$10:BU$69,PLAcctIDs,$I43)</f>
        <v>1762.32</v>
      </c>
      <c r="AT43" s="313">
        <f>SUMIFS(Drivers!BV$10:BV$69,PLAcctIDs,$I43)</f>
        <v>1850.44</v>
      </c>
      <c r="AU43" s="313">
        <f>SUMIFS(Drivers!BW$10:BW$69,PLAcctIDs,$I43)</f>
        <v>1942.96</v>
      </c>
      <c r="AV43" s="313">
        <f>SUMIFS(Drivers!BX$10:BX$69,PLAcctIDs,$I43)</f>
        <v>1617.5507727272727</v>
      </c>
      <c r="AW43" s="313">
        <f>SUMIFS(Drivers!BY$10:BY$69,PLAcctIDs,$I43)</f>
        <v>1658.0942101239671</v>
      </c>
      <c r="AX43" s="313">
        <f>SUMIFS(Drivers!BZ$10:BZ$69,PLAcctIDs,$I43)</f>
        <v>1696.8577483630729</v>
      </c>
      <c r="AY43" s="313">
        <f>SUMIFS(Drivers!CA$10:CA$69,PLAcctIDs,$I43)</f>
        <v>1733.3078061613662</v>
      </c>
      <c r="AZ43" s="313">
        <f>SUMIFS(Drivers!CB$10:CB$69,PLAcctIDs,$I43)</f>
        <v>1766.9371876585878</v>
      </c>
      <c r="BA43" s="313">
        <f>SUMIFS(Drivers!CC$10:CC$69,PLAcctIDs,$I43)</f>
        <v>1797.1902828441796</v>
      </c>
      <c r="BB43" s="313">
        <f>SUMIFS(Drivers!CD$10:CD$69,PLAcctIDs,$I43)</f>
        <v>1823.4240825702152</v>
      </c>
      <c r="BC43" s="313">
        <f>SUMIFS(Drivers!CE$10:CE$69,PLAcctIDs,$I43)</f>
        <v>1844.8960177246452</v>
      </c>
      <c r="BD43" s="313">
        <f>SUMIFS(Drivers!CF$10:CF$69,PLAcctIDs,$I43)</f>
        <v>1860.7888194165428</v>
      </c>
      <c r="BE43" s="313">
        <f>SUMIFS(Drivers!CG$10:CG$69,PLAcctIDs,$I43)</f>
        <v>1870.1881158153949</v>
      </c>
      <c r="BF43" s="313">
        <f>SUMIFS(Drivers!CH$10:CH$69,PLAcctIDs,$I43)</f>
        <v>1872.0731632341372</v>
      </c>
      <c r="BG43" s="313">
        <f>SUMIFS(Drivers!CI$10:CI$69,PLAcctIDs,$I43)</f>
        <v>1865.306692451941</v>
      </c>
      <c r="BH43" s="313">
        <f>SUMIFS(Drivers!CJ$10:CJ$69,PLAcctIDs,$I43)</f>
        <v>1888.9561211529319</v>
      </c>
    </row>
    <row r="44" spans="2:60" ht="18.75" customHeight="1" outlineLevel="1">
      <c r="B44" s="284"/>
      <c r="C44" s="315"/>
      <c r="D44" s="288" t="s">
        <v>227</v>
      </c>
      <c r="E44" s="277" t="str">
        <f>IFERROR(INDEX(PBC_ACCOUNT_LIST[Drivers Section],MATCH('Data Summary'!I44,PBC_ACCOUNT_LIST[Id],0)),"")</f>
        <v>COGS</v>
      </c>
      <c r="F44" s="277" t="str">
        <f>IFERROR(INDEX(PBC_ACCOUNT_LIST[Summary Grouping],MATCH('Data Summary'!I44,PBC_ACCOUNT_LIST[Id],0)),"")</f>
        <v>COGS</v>
      </c>
      <c r="G44" s="277"/>
      <c r="H44" s="277">
        <f>IFERROR(INDEX(PBC_ACCOUNT_LIST[Cash Flow Section],MATCH('Data Summary'!I44,PBC_ACCOUNT_LIST[Id],0)),"")</f>
        <v>0</v>
      </c>
      <c r="I44" s="277">
        <v>24</v>
      </c>
      <c r="J44" s="314"/>
      <c r="L44" s="313">
        <f>SUMIFS(Drivers!AN$10:AN$69,PLAcctIDs,$I44)</f>
        <v>0</v>
      </c>
      <c r="M44" s="313">
        <f>SUMIFS(Drivers!AO$10:AO$69,PLAcctIDs,$I44)</f>
        <v>0</v>
      </c>
      <c r="N44" s="313">
        <f>SUMIFS(Drivers!AP$10:AP$69,PLAcctIDs,$I44)</f>
        <v>0</v>
      </c>
      <c r="O44" s="313">
        <f>SUMIFS(Drivers!AQ$10:AQ$69,PLAcctIDs,$I44)</f>
        <v>0</v>
      </c>
      <c r="P44" s="313">
        <f>SUMIFS(Drivers!AR$10:AR$69,PLAcctIDs,$I44)</f>
        <v>0</v>
      </c>
      <c r="Q44" s="313">
        <f>SUMIFS(Drivers!AS$10:AS$69,PLAcctIDs,$I44)</f>
        <v>0</v>
      </c>
      <c r="R44" s="313">
        <f>SUMIFS(Drivers!AT$10:AT$69,PLAcctIDs,$I44)</f>
        <v>0</v>
      </c>
      <c r="S44" s="313">
        <f>SUMIFS(Drivers!AU$10:AU$69,PLAcctIDs,$I44)</f>
        <v>0</v>
      </c>
      <c r="T44" s="313">
        <f>SUMIFS(Drivers!AV$10:AV$69,PLAcctIDs,$I44)</f>
        <v>0</v>
      </c>
      <c r="U44" s="313">
        <f>SUMIFS(Drivers!AW$10:AW$69,PLAcctIDs,$I44)</f>
        <v>0</v>
      </c>
      <c r="V44" s="313">
        <f>SUMIFS(Drivers!AX$10:AX$69,PLAcctIDs,$I44)</f>
        <v>0</v>
      </c>
      <c r="W44" s="313">
        <f>SUMIFS(Drivers!AY$10:AY$69,PLAcctIDs,$I44)</f>
        <v>0</v>
      </c>
      <c r="X44" s="313">
        <f>SUMIFS(Drivers!AZ$10:AZ$69,PLAcctIDs,$I44)</f>
        <v>0</v>
      </c>
      <c r="Y44" s="313">
        <f>SUMIFS(Drivers!BA$10:BA$69,PLAcctIDs,$I44)</f>
        <v>0</v>
      </c>
      <c r="Z44" s="313">
        <f>SUMIFS(Drivers!BB$10:BB$69,PLAcctIDs,$I44)</f>
        <v>0</v>
      </c>
      <c r="AA44" s="313">
        <f>SUMIFS(Drivers!BC$10:BC$69,PLAcctIDs,$I44)</f>
        <v>0</v>
      </c>
      <c r="AB44" s="313">
        <f>SUMIFS(Drivers!BD$10:BD$69,PLAcctIDs,$I44)</f>
        <v>0</v>
      </c>
      <c r="AC44" s="313">
        <f>SUMIFS(Drivers!BE$10:BE$69,PLAcctIDs,$I44)</f>
        <v>0</v>
      </c>
      <c r="AD44" s="313">
        <f>SUMIFS(Drivers!BF$10:BF$69,PLAcctIDs,$I44)</f>
        <v>0</v>
      </c>
      <c r="AE44" s="313">
        <f>SUMIFS(Drivers!BG$10:BG$69,PLAcctIDs,$I44)</f>
        <v>0</v>
      </c>
      <c r="AF44" s="313">
        <f>SUMIFS(Drivers!BH$10:BH$69,PLAcctIDs,$I44)</f>
        <v>0</v>
      </c>
      <c r="AG44" s="313">
        <f>SUMIFS(Drivers!BI$10:BI$69,PLAcctIDs,$I44)</f>
        <v>0</v>
      </c>
      <c r="AH44" s="313">
        <f>SUMIFS(Drivers!BJ$10:BJ$69,PLAcctIDs,$I44)</f>
        <v>0</v>
      </c>
      <c r="AI44" s="313">
        <f>SUMIFS(Drivers!BK$10:BK$69,PLAcctIDs,$I44)</f>
        <v>0</v>
      </c>
      <c r="AJ44" s="313">
        <f>SUMIFS(Drivers!BL$10:BL$69,PLAcctIDs,$I44)</f>
        <v>0</v>
      </c>
      <c r="AK44" s="313">
        <f>SUMIFS(Drivers!BM$10:BM$69,PLAcctIDs,$I44)</f>
        <v>0</v>
      </c>
      <c r="AL44" s="313">
        <f>SUMIFS(Drivers!BN$10:BN$69,PLAcctIDs,$I44)</f>
        <v>0</v>
      </c>
      <c r="AM44" s="313">
        <f>SUMIFS(Drivers!BO$10:BO$69,PLAcctIDs,$I44)</f>
        <v>0</v>
      </c>
      <c r="AN44" s="313">
        <f>SUMIFS(Drivers!BP$10:BP$69,PLAcctIDs,$I44)</f>
        <v>0</v>
      </c>
      <c r="AO44" s="313">
        <f>SUMIFS(Drivers!BQ$10:BQ$69,PLAcctIDs,$I44)</f>
        <v>0</v>
      </c>
      <c r="AP44" s="313">
        <f>SUMIFS(Drivers!BR$10:BR$69,PLAcctIDs,$I44)</f>
        <v>300</v>
      </c>
      <c r="AQ44" s="313">
        <f>SUMIFS(Drivers!BS$10:BS$69,PLAcctIDs,$I44)</f>
        <v>0</v>
      </c>
      <c r="AR44" s="313">
        <f>SUMIFS(Drivers!BT$10:BT$69,PLAcctIDs,$I44)</f>
        <v>0</v>
      </c>
      <c r="AS44" s="313">
        <f>SUMIFS(Drivers!BU$10:BU$69,PLAcctIDs,$I44)</f>
        <v>0</v>
      </c>
      <c r="AT44" s="313">
        <f>SUMIFS(Drivers!BV$10:BV$69,PLAcctIDs,$I44)</f>
        <v>0</v>
      </c>
      <c r="AU44" s="313">
        <f>SUMIFS(Drivers!BW$10:BW$69,PLAcctIDs,$I44)</f>
        <v>0</v>
      </c>
      <c r="AV44" s="313">
        <f>SUMIFS(Drivers!BX$10:BX$69,PLAcctIDs,$I44)</f>
        <v>30000</v>
      </c>
      <c r="AW44" s="313">
        <f>SUMIFS(Drivers!BY$10:BY$69,PLAcctIDs,$I44)</f>
        <v>30000</v>
      </c>
      <c r="AX44" s="313">
        <f>SUMIFS(Drivers!BZ$10:BZ$69,PLAcctIDs,$I44)</f>
        <v>30000</v>
      </c>
      <c r="AY44" s="313">
        <f>SUMIFS(Drivers!CA$10:CA$69,PLAcctIDs,$I44)</f>
        <v>30000</v>
      </c>
      <c r="AZ44" s="313">
        <f>SUMIFS(Drivers!CB$10:CB$69,PLAcctIDs,$I44)</f>
        <v>30000</v>
      </c>
      <c r="BA44" s="313">
        <f>SUMIFS(Drivers!CC$10:CC$69,PLAcctIDs,$I44)</f>
        <v>30000</v>
      </c>
      <c r="BB44" s="313">
        <f>SUMIFS(Drivers!CD$10:CD$69,PLAcctIDs,$I44)</f>
        <v>30000</v>
      </c>
      <c r="BC44" s="313">
        <f>SUMIFS(Drivers!CE$10:CE$69,PLAcctIDs,$I44)</f>
        <v>30000</v>
      </c>
      <c r="BD44" s="313">
        <f>SUMIFS(Drivers!CF$10:CF$69,PLAcctIDs,$I44)</f>
        <v>30000</v>
      </c>
      <c r="BE44" s="313">
        <f>SUMIFS(Drivers!CG$10:CG$69,PLAcctIDs,$I44)</f>
        <v>30000</v>
      </c>
      <c r="BF44" s="313">
        <f>SUMIFS(Drivers!CH$10:CH$69,PLAcctIDs,$I44)</f>
        <v>30000</v>
      </c>
      <c r="BG44" s="313">
        <f>SUMIFS(Drivers!CI$10:CI$69,PLAcctIDs,$I44)</f>
        <v>30000</v>
      </c>
      <c r="BH44" s="313">
        <f>SUMIFS(Drivers!CJ$10:CJ$69,PLAcctIDs,$I44)</f>
        <v>30000</v>
      </c>
    </row>
    <row r="45" spans="2:60" ht="18.75" customHeight="1" outlineLevel="1">
      <c r="B45" s="284"/>
      <c r="C45" s="315"/>
      <c r="D45" s="288" t="s">
        <v>228</v>
      </c>
      <c r="E45" s="277" t="str">
        <f>IFERROR(INDEX(PBC_ACCOUNT_LIST[Drivers Section],MATCH('Data Summary'!I45,PBC_ACCOUNT_LIST[Id],0)),"")</f>
        <v>COGS</v>
      </c>
      <c r="F45" s="277" t="str">
        <f>IFERROR(INDEX(PBC_ACCOUNT_LIST[Summary Grouping],MATCH('Data Summary'!I45,PBC_ACCOUNT_LIST[Id],0)),"")</f>
        <v>COGS</v>
      </c>
      <c r="G45" s="277"/>
      <c r="H45" s="277">
        <f>IFERROR(INDEX(PBC_ACCOUNT_LIST[Cash Flow Section],MATCH('Data Summary'!I45,PBC_ACCOUNT_LIST[Id],0)),"")</f>
        <v>0</v>
      </c>
      <c r="I45" s="277">
        <v>207</v>
      </c>
      <c r="J45" s="314"/>
      <c r="L45" s="313">
        <f>SUMIFS(Drivers!AN$10:AN$69,PLAcctIDs,$I45)</f>
        <v>0</v>
      </c>
      <c r="M45" s="313">
        <f>SUMIFS(Drivers!AO$10:AO$69,PLAcctIDs,$I45)</f>
        <v>0</v>
      </c>
      <c r="N45" s="313">
        <f>SUMIFS(Drivers!AP$10:AP$69,PLAcctIDs,$I45)</f>
        <v>0</v>
      </c>
      <c r="O45" s="313">
        <f>SUMIFS(Drivers!AQ$10:AQ$69,PLAcctIDs,$I45)</f>
        <v>0</v>
      </c>
      <c r="P45" s="313">
        <f>SUMIFS(Drivers!AR$10:AR$69,PLAcctIDs,$I45)</f>
        <v>0</v>
      </c>
      <c r="Q45" s="313">
        <f>SUMIFS(Drivers!AS$10:AS$69,PLAcctIDs,$I45)</f>
        <v>0</v>
      </c>
      <c r="R45" s="313">
        <f>SUMIFS(Drivers!AT$10:AT$69,PLAcctIDs,$I45)</f>
        <v>0</v>
      </c>
      <c r="S45" s="313">
        <f>SUMIFS(Drivers!AU$10:AU$69,PLAcctIDs,$I45)</f>
        <v>0</v>
      </c>
      <c r="T45" s="313">
        <f>SUMIFS(Drivers!AV$10:AV$69,PLAcctIDs,$I45)</f>
        <v>0</v>
      </c>
      <c r="U45" s="313">
        <f>SUMIFS(Drivers!AW$10:AW$69,PLAcctIDs,$I45)</f>
        <v>0</v>
      </c>
      <c r="V45" s="313">
        <f>SUMIFS(Drivers!AX$10:AX$69,PLAcctIDs,$I45)</f>
        <v>0</v>
      </c>
      <c r="W45" s="313">
        <f>SUMIFS(Drivers!AY$10:AY$69,PLAcctIDs,$I45)</f>
        <v>0</v>
      </c>
      <c r="X45" s="313">
        <f>SUMIFS(Drivers!AZ$10:AZ$69,PLAcctIDs,$I45)</f>
        <v>0</v>
      </c>
      <c r="Y45" s="313">
        <f>SUMIFS(Drivers!BA$10:BA$69,PLAcctIDs,$I45)</f>
        <v>0</v>
      </c>
      <c r="Z45" s="313">
        <f>SUMIFS(Drivers!BB$10:BB$69,PLAcctIDs,$I45)</f>
        <v>0</v>
      </c>
      <c r="AA45" s="313">
        <f>SUMIFS(Drivers!BC$10:BC$69,PLAcctIDs,$I45)</f>
        <v>0</v>
      </c>
      <c r="AB45" s="313">
        <f>SUMIFS(Drivers!BD$10:BD$69,PLAcctIDs,$I45)</f>
        <v>0</v>
      </c>
      <c r="AC45" s="313">
        <f>SUMIFS(Drivers!BE$10:BE$69,PLAcctIDs,$I45)</f>
        <v>0</v>
      </c>
      <c r="AD45" s="313">
        <f>SUMIFS(Drivers!BF$10:BF$69,PLAcctIDs,$I45)</f>
        <v>0</v>
      </c>
      <c r="AE45" s="313">
        <f>SUMIFS(Drivers!BG$10:BG$69,PLAcctIDs,$I45)</f>
        <v>0</v>
      </c>
      <c r="AF45" s="313">
        <f>SUMIFS(Drivers!BH$10:BH$69,PLAcctIDs,$I45)</f>
        <v>0</v>
      </c>
      <c r="AG45" s="313">
        <f>SUMIFS(Drivers!BI$10:BI$69,PLAcctIDs,$I45)</f>
        <v>0</v>
      </c>
      <c r="AH45" s="313">
        <f>SUMIFS(Drivers!BJ$10:BJ$69,PLAcctIDs,$I45)</f>
        <v>0</v>
      </c>
      <c r="AI45" s="313">
        <f>SUMIFS(Drivers!BK$10:BK$69,PLAcctIDs,$I45)</f>
        <v>0</v>
      </c>
      <c r="AJ45" s="313">
        <f>SUMIFS(Drivers!BL$10:BL$69,PLAcctIDs,$I45)</f>
        <v>0</v>
      </c>
      <c r="AK45" s="313">
        <f>SUMIFS(Drivers!BM$10:BM$69,PLAcctIDs,$I45)</f>
        <v>0</v>
      </c>
      <c r="AL45" s="313">
        <f>SUMIFS(Drivers!BN$10:BN$69,PLAcctIDs,$I45)</f>
        <v>0</v>
      </c>
      <c r="AM45" s="313">
        <f>SUMIFS(Drivers!BO$10:BO$69,PLAcctIDs,$I45)</f>
        <v>0</v>
      </c>
      <c r="AN45" s="313">
        <f>SUMIFS(Drivers!BP$10:BP$69,PLAcctIDs,$I45)</f>
        <v>0</v>
      </c>
      <c r="AO45" s="313">
        <f>SUMIFS(Drivers!BQ$10:BQ$69,PLAcctIDs,$I45)</f>
        <v>0</v>
      </c>
      <c r="AP45" s="313">
        <f>SUMIFS(Drivers!BR$10:BR$69,PLAcctIDs,$I45)</f>
        <v>0</v>
      </c>
      <c r="AQ45" s="313">
        <f>SUMIFS(Drivers!BS$10:BS$69,PLAcctIDs,$I45)</f>
        <v>-1000</v>
      </c>
      <c r="AR45" s="313">
        <f>SUMIFS(Drivers!BT$10:BT$69,PLAcctIDs,$I45)</f>
        <v>0</v>
      </c>
      <c r="AS45" s="313">
        <f>SUMIFS(Drivers!BU$10:BU$69,PLAcctIDs,$I45)</f>
        <v>0</v>
      </c>
      <c r="AT45" s="313">
        <f>SUMIFS(Drivers!BV$10:BV$69,PLAcctIDs,$I45)</f>
        <v>0</v>
      </c>
      <c r="AU45" s="313">
        <f>SUMIFS(Drivers!BW$10:BW$69,PLAcctIDs,$I45)</f>
        <v>0</v>
      </c>
      <c r="AV45" s="313">
        <f>SUMIFS(Drivers!BX$10:BX$69,PLAcctIDs,$I45)</f>
        <v>-175</v>
      </c>
      <c r="AW45" s="313">
        <f>SUMIFS(Drivers!BY$10:BY$69,PLAcctIDs,$I45)</f>
        <v>-205.62500000000003</v>
      </c>
      <c r="AX45" s="313">
        <f>SUMIFS(Drivers!BZ$10:BZ$69,PLAcctIDs,$I45)</f>
        <v>-66.609375</v>
      </c>
      <c r="AY45" s="313">
        <f>SUMIFS(Drivers!CA$10:CA$69,PLAcctIDs,$I45)</f>
        <v>-78.266015625000009</v>
      </c>
      <c r="AZ45" s="313">
        <f>SUMIFS(Drivers!CB$10:CB$69,PLAcctIDs,$I45)</f>
        <v>-91.962568359375013</v>
      </c>
      <c r="BA45" s="313">
        <f>SUMIFS(Drivers!CC$10:CC$69,PLAcctIDs,$I45)</f>
        <v>-108.05601782226564</v>
      </c>
      <c r="BB45" s="313">
        <f>SUMIFS(Drivers!CD$10:CD$69,PLAcctIDs,$I45)</f>
        <v>-126.96582094116214</v>
      </c>
      <c r="BC45" s="313">
        <f>SUMIFS(Drivers!CE$10:CE$69,PLAcctIDs,$I45)</f>
        <v>-118.55983960586551</v>
      </c>
      <c r="BD45" s="313">
        <f>SUMIFS(Drivers!CF$10:CF$69,PLAcctIDs,$I45)</f>
        <v>-103.32343653689196</v>
      </c>
      <c r="BE45" s="313">
        <f>SUMIFS(Drivers!CG$10:CG$69,PLAcctIDs,$I45)</f>
        <v>-109.74839730584804</v>
      </c>
      <c r="BF45" s="313">
        <f>SUMIFS(Drivers!CH$10:CH$69,PLAcctIDs,$I45)</f>
        <v>-115.25781409999647</v>
      </c>
      <c r="BG45" s="313">
        <f>SUMIFS(Drivers!CI$10:CI$69,PLAcctIDs,$I45)</f>
        <v>-119.33448210460521</v>
      </c>
      <c r="BH45" s="313">
        <f>SUMIFS(Drivers!CJ$10:CJ$69,PLAcctIDs,$I45)</f>
        <v>-121.30821335401464</v>
      </c>
    </row>
    <row r="46" spans="2:60" ht="18.75" customHeight="1" outlineLevel="1">
      <c r="B46" s="284"/>
      <c r="C46" s="315"/>
      <c r="D46" s="288" t="s">
        <v>244</v>
      </c>
      <c r="E46" s="277" t="str">
        <f>IFERROR(INDEX(PBC_ACCOUNT_LIST[Drivers Section],MATCH('Data Summary'!I46,PBC_ACCOUNT_LIST[Id],0)),"")</f>
        <v>Opex</v>
      </c>
      <c r="F46" s="277" t="str">
        <f>IFERROR(INDEX(PBC_ACCOUNT_LIST[Summary Grouping],MATCH('Data Summary'!I46,PBC_ACCOUNT_LIST[Id],0)),"")</f>
        <v>Marketing &amp; Advertising</v>
      </c>
      <c r="G46" s="277"/>
      <c r="H46" s="277">
        <f>IFERROR(INDEX(PBC_ACCOUNT_LIST[Cash Flow Section],MATCH('Data Summary'!I46,PBC_ACCOUNT_LIST[Id],0)),"")</f>
        <v>0</v>
      </c>
      <c r="I46" s="277">
        <v>200</v>
      </c>
      <c r="J46" s="314"/>
      <c r="L46" s="313">
        <f>SUMIFS(Drivers!AN$10:AN$69,PLAcctIDs,$I46)</f>
        <v>0</v>
      </c>
      <c r="M46" s="313">
        <f>SUMIFS(Drivers!AO$10:AO$69,PLAcctIDs,$I46)</f>
        <v>8000</v>
      </c>
      <c r="N46" s="313">
        <f>SUMIFS(Drivers!AP$10:AP$69,PLAcctIDs,$I46)</f>
        <v>8280</v>
      </c>
      <c r="O46" s="313">
        <f>SUMIFS(Drivers!AQ$10:AQ$69,PLAcctIDs,$I46)</f>
        <v>8570</v>
      </c>
      <c r="P46" s="313">
        <f>SUMIFS(Drivers!AR$10:AR$69,PLAcctIDs,$I46)</f>
        <v>8870</v>
      </c>
      <c r="Q46" s="313">
        <f>SUMIFS(Drivers!AS$10:AS$69,PLAcctIDs,$I46)</f>
        <v>9180</v>
      </c>
      <c r="R46" s="313">
        <f>SUMIFS(Drivers!AT$10:AT$69,PLAcctIDs,$I46)</f>
        <v>9501</v>
      </c>
      <c r="S46" s="313">
        <f>SUMIFS(Drivers!AU$10:AU$69,PLAcctIDs,$I46)</f>
        <v>9834</v>
      </c>
      <c r="T46" s="313">
        <f>SUMIFS(Drivers!AV$10:AV$69,PLAcctIDs,$I46)</f>
        <v>10178</v>
      </c>
      <c r="U46" s="313">
        <f>SUMIFS(Drivers!AW$10:AW$69,PLAcctIDs,$I46)</f>
        <v>10534</v>
      </c>
      <c r="V46" s="313">
        <f>SUMIFS(Drivers!AX$10:AX$69,PLAcctIDs,$I46)</f>
        <v>10903</v>
      </c>
      <c r="W46" s="313">
        <f>SUMIFS(Drivers!AY$10:AY$69,PLAcctIDs,$I46)</f>
        <v>11416.5</v>
      </c>
      <c r="X46" s="313">
        <f>SUMIFS(Drivers!AZ$10:AZ$69,PLAcctIDs,$I46)</f>
        <v>15816</v>
      </c>
      <c r="Y46" s="313">
        <f>SUMIFS(Drivers!BA$10:BA$69,PLAcctIDs,$I46)</f>
        <v>11988</v>
      </c>
      <c r="Z46" s="313">
        <f>SUMIFS(Drivers!BB$10:BB$69,PLAcctIDs,$I46)</f>
        <v>16607</v>
      </c>
      <c r="AA46" s="313">
        <f>SUMIFS(Drivers!BC$10:BC$69,PLAcctIDs,$I46)</f>
        <v>12587</v>
      </c>
      <c r="AB46" s="313">
        <f>SUMIFS(Drivers!BD$10:BD$69,PLAcctIDs,$I46)</f>
        <v>17437</v>
      </c>
      <c r="AC46" s="313">
        <f>SUMIFS(Drivers!BE$10:BE$69,PLAcctIDs,$I46)</f>
        <v>13216</v>
      </c>
      <c r="AD46" s="313">
        <f>SUMIFS(Drivers!BF$10:BF$69,PLAcctIDs,$I46)</f>
        <v>18309</v>
      </c>
      <c r="AE46" s="313">
        <f>SUMIFS(Drivers!BG$10:BG$69,PLAcctIDs,$I46)</f>
        <v>19224</v>
      </c>
      <c r="AF46" s="313">
        <f>SUMIFS(Drivers!BH$10:BH$69,PLAcctIDs,$I46)</f>
        <v>19224</v>
      </c>
      <c r="AG46" s="313">
        <f>SUMIFS(Drivers!BI$10:BI$69,PLAcctIDs,$I46)</f>
        <v>20186</v>
      </c>
      <c r="AH46" s="313">
        <f>SUMIFS(Drivers!BJ$10:BJ$69,PLAcctIDs,$I46)</f>
        <v>20186</v>
      </c>
      <c r="AI46" s="313">
        <f>SUMIFS(Drivers!BK$10:BK$69,PLAcctIDs,$I46)</f>
        <v>21195</v>
      </c>
      <c r="AJ46" s="313">
        <f>SUMIFS(Drivers!BL$10:BL$69,PLAcctIDs,$I46)</f>
        <v>22255</v>
      </c>
      <c r="AK46" s="313">
        <f>SUMIFS(Drivers!BM$10:BM$69,PLAcctIDs,$I46)</f>
        <v>23367.37</v>
      </c>
      <c r="AL46" s="313">
        <f>SUMIFS(Drivers!BN$10:BN$69,PLAcctIDs,$I46)</f>
        <v>24536</v>
      </c>
      <c r="AM46" s="313">
        <f>SUMIFS(Drivers!BO$10:BO$69,PLAcctIDs,$I46)</f>
        <v>25763</v>
      </c>
      <c r="AN46" s="313">
        <f>SUMIFS(Drivers!BP$10:BP$69,PLAcctIDs,$I46)</f>
        <v>27051</v>
      </c>
      <c r="AO46" s="313">
        <f>SUMIFS(Drivers!BQ$10:BQ$69,PLAcctIDs,$I46)</f>
        <v>28403</v>
      </c>
      <c r="AP46" s="313">
        <f>SUMIFS(Drivers!BR$10:BR$69,PLAcctIDs,$I46)</f>
        <v>29823.35</v>
      </c>
      <c r="AQ46" s="313">
        <f>SUMIFS(Drivers!BS$10:BS$69,PLAcctIDs,$I46)</f>
        <v>31314.51</v>
      </c>
      <c r="AR46" s="313">
        <f>SUMIFS(Drivers!BT$10:BT$69,PLAcctIDs,$I46)</f>
        <v>32880.239999999998</v>
      </c>
      <c r="AS46" s="313">
        <f>SUMIFS(Drivers!BU$10:BU$69,PLAcctIDs,$I46)</f>
        <v>34524.25</v>
      </c>
      <c r="AT46" s="313">
        <f>SUMIFS(Drivers!BV$10:BV$69,PLAcctIDs,$I46)</f>
        <v>36250.46</v>
      </c>
      <c r="AU46" s="313">
        <f>SUMIFS(Drivers!BW$10:BW$69,PLAcctIDs,$I46)</f>
        <v>38562.99</v>
      </c>
      <c r="AV46" s="313">
        <f>SUMIFS(Drivers!BX$10:BX$69,PLAcctIDs,$I46)</f>
        <v>6666.666666666667</v>
      </c>
      <c r="AW46" s="313">
        <f>SUMIFS(Drivers!BY$10:BY$69,PLAcctIDs,$I46)</f>
        <v>6666.666666666667</v>
      </c>
      <c r="AX46" s="313">
        <f>SUMIFS(Drivers!BZ$10:BZ$69,PLAcctIDs,$I46)</f>
        <v>6666.666666666667</v>
      </c>
      <c r="AY46" s="313">
        <f>SUMIFS(Drivers!CA$10:CA$69,PLAcctIDs,$I46)</f>
        <v>6666.666666666667</v>
      </c>
      <c r="AZ46" s="313">
        <f>SUMIFS(Drivers!CB$10:CB$69,PLAcctIDs,$I46)</f>
        <v>6666.666666666667</v>
      </c>
      <c r="BA46" s="313">
        <f>SUMIFS(Drivers!CC$10:CC$69,PLAcctIDs,$I46)</f>
        <v>6666.666666666667</v>
      </c>
      <c r="BB46" s="313">
        <f>SUMIFS(Drivers!CD$10:CD$69,PLAcctIDs,$I46)</f>
        <v>6666.666666666667</v>
      </c>
      <c r="BC46" s="313">
        <f>SUMIFS(Drivers!CE$10:CE$69,PLAcctIDs,$I46)</f>
        <v>6666.666666666667</v>
      </c>
      <c r="BD46" s="313">
        <f>SUMIFS(Drivers!CF$10:CF$69,PLAcctIDs,$I46)</f>
        <v>6666.666666666667</v>
      </c>
      <c r="BE46" s="313">
        <f>SUMIFS(Drivers!CG$10:CG$69,PLAcctIDs,$I46)</f>
        <v>6666.666666666667</v>
      </c>
      <c r="BF46" s="313">
        <f>SUMIFS(Drivers!CH$10:CH$69,PLAcctIDs,$I46)</f>
        <v>6666.666666666667</v>
      </c>
      <c r="BG46" s="313">
        <f>SUMIFS(Drivers!CI$10:CI$69,PLAcctIDs,$I46)</f>
        <v>6666.666666666667</v>
      </c>
      <c r="BH46" s="313">
        <f>SUMIFS(Drivers!CJ$10:CJ$69,PLAcctIDs,$I46)</f>
        <v>6666.666666666667</v>
      </c>
    </row>
    <row r="47" spans="2:60" ht="18.75" customHeight="1" outlineLevel="1">
      <c r="B47" s="284"/>
      <c r="C47" s="315"/>
      <c r="D47" s="288" t="s">
        <v>245</v>
      </c>
      <c r="E47" s="277" t="str">
        <f>IFERROR(INDEX(PBC_ACCOUNT_LIST[Drivers Section],MATCH('Data Summary'!I47,PBC_ACCOUNT_LIST[Id],0)),"")</f>
        <v>Opex</v>
      </c>
      <c r="F47" s="277" t="str">
        <f>IFERROR(INDEX(PBC_ACCOUNT_LIST[Summary Grouping],MATCH('Data Summary'!I47,PBC_ACCOUNT_LIST[Id],0)),"")</f>
        <v>G&amp;A</v>
      </c>
      <c r="G47" s="277"/>
      <c r="H47" s="277">
        <f>IFERROR(INDEX(PBC_ACCOUNT_LIST[Cash Flow Section],MATCH('Data Summary'!I47,PBC_ACCOUNT_LIST[Id],0)),"")</f>
        <v>0</v>
      </c>
      <c r="I47" s="277">
        <v>166</v>
      </c>
      <c r="J47" s="314"/>
      <c r="L47" s="313">
        <f>SUMIFS(Drivers!AN$10:AN$69,PLAcctIDs,$I47)</f>
        <v>0</v>
      </c>
      <c r="M47" s="313">
        <f>SUMIFS(Drivers!AO$10:AO$69,PLAcctIDs,$I47)</f>
        <v>350</v>
      </c>
      <c r="N47" s="313">
        <f>SUMIFS(Drivers!AP$10:AP$69,PLAcctIDs,$I47)</f>
        <v>362</v>
      </c>
      <c r="O47" s="313">
        <f>SUMIFS(Drivers!AQ$10:AQ$69,PLAcctIDs,$I47)</f>
        <v>375</v>
      </c>
      <c r="P47" s="313">
        <f>SUMIFS(Drivers!AR$10:AR$69,PLAcctIDs,$I47)</f>
        <v>388</v>
      </c>
      <c r="Q47" s="313">
        <f>SUMIFS(Drivers!AS$10:AS$69,PLAcctIDs,$I47)</f>
        <v>402</v>
      </c>
      <c r="R47" s="313">
        <f>SUMIFS(Drivers!AT$10:AT$69,PLAcctIDs,$I47)</f>
        <v>416</v>
      </c>
      <c r="S47" s="313">
        <f>SUMIFS(Drivers!AU$10:AU$69,PLAcctIDs,$I47)</f>
        <v>430</v>
      </c>
      <c r="T47" s="313">
        <f>SUMIFS(Drivers!AV$10:AV$69,PLAcctIDs,$I47)</f>
        <v>445.5</v>
      </c>
      <c r="U47" s="313">
        <f>SUMIFS(Drivers!AW$10:AW$69,PLAcctIDs,$I47)</f>
        <v>461</v>
      </c>
      <c r="V47" s="313">
        <f>SUMIFS(Drivers!AX$10:AX$69,PLAcctIDs,$I47)</f>
        <v>477.5</v>
      </c>
      <c r="W47" s="313">
        <f>SUMIFS(Drivers!AY$10:AY$69,PLAcctIDs,$I47)</f>
        <v>821.5</v>
      </c>
      <c r="X47" s="313">
        <f>SUMIFS(Drivers!AZ$10:AZ$69,PLAcctIDs,$I47)</f>
        <v>1088.5</v>
      </c>
      <c r="Y47" s="313">
        <f>SUMIFS(Drivers!BA$10:BA$69,PLAcctIDs,$I47)</f>
        <v>863.5</v>
      </c>
      <c r="Z47" s="313">
        <f>SUMIFS(Drivers!BB$10:BB$69,PLAcctIDs,$I47)</f>
        <v>1143</v>
      </c>
      <c r="AA47" s="313">
        <f>SUMIFS(Drivers!BC$10:BC$69,PLAcctIDs,$I47)</f>
        <v>906</v>
      </c>
      <c r="AB47" s="313">
        <f>SUMIFS(Drivers!BD$10:BD$69,PLAcctIDs,$I47)</f>
        <v>1200</v>
      </c>
      <c r="AC47" s="313">
        <f>SUMIFS(Drivers!BE$10:BE$69,PLAcctIDs,$I47)</f>
        <v>952</v>
      </c>
      <c r="AD47" s="313">
        <f>SUMIFS(Drivers!BF$10:BF$69,PLAcctIDs,$I47)</f>
        <v>1260.5</v>
      </c>
      <c r="AE47" s="313">
        <f>SUMIFS(Drivers!BG$10:BG$69,PLAcctIDs,$I47)</f>
        <v>1323</v>
      </c>
      <c r="AF47" s="313">
        <f>SUMIFS(Drivers!BH$10:BH$69,PLAcctIDs,$I47)</f>
        <v>1322.5</v>
      </c>
      <c r="AG47" s="313">
        <f>SUMIFS(Drivers!BI$10:BI$69,PLAcctIDs,$I47)</f>
        <v>1389</v>
      </c>
      <c r="AH47" s="313">
        <f>SUMIFS(Drivers!BJ$10:BJ$69,PLAcctIDs,$I47)</f>
        <v>1389.33</v>
      </c>
      <c r="AI47" s="313">
        <f>SUMIFS(Drivers!BK$10:BK$69,PLAcctIDs,$I47)</f>
        <v>1459.33</v>
      </c>
      <c r="AJ47" s="313">
        <f>SUMIFS(Drivers!BL$10:BL$69,PLAcctIDs,$I47)</f>
        <v>1529.5</v>
      </c>
      <c r="AK47" s="313">
        <f>SUMIFS(Drivers!BM$10:BM$69,PLAcctIDs,$I47)</f>
        <v>1608.28</v>
      </c>
      <c r="AL47" s="313">
        <f>SUMIFS(Drivers!BN$10:BN$69,PLAcctIDs,$I47)</f>
        <v>1691</v>
      </c>
      <c r="AM47" s="313">
        <f>SUMIFS(Drivers!BO$10:BO$69,PLAcctIDs,$I47)</f>
        <v>1773</v>
      </c>
      <c r="AN47" s="313">
        <f>SUMIFS(Drivers!BP$10:BP$69,PLAcctIDs,$I47)</f>
        <v>1862</v>
      </c>
      <c r="AO47" s="313">
        <f>SUMIFS(Drivers!BQ$10:BQ$69,PLAcctIDs,$I47)</f>
        <v>1955</v>
      </c>
      <c r="AP47" s="313">
        <f>SUMIFS(Drivers!BR$10:BR$69,PLAcctIDs,$I47)</f>
        <v>2052.62</v>
      </c>
      <c r="AQ47" s="313">
        <f>SUMIFS(Drivers!BS$10:BS$69,PLAcctIDs,$I47)</f>
        <v>2155.25</v>
      </c>
      <c r="AR47" s="313">
        <f>SUMIFS(Drivers!BT$10:BT$69,PLAcctIDs,$I47)</f>
        <v>2263.0100000000002</v>
      </c>
      <c r="AS47" s="313">
        <f>SUMIFS(Drivers!BU$10:BU$69,PLAcctIDs,$I47)</f>
        <v>2376.16</v>
      </c>
      <c r="AT47" s="313">
        <f>SUMIFS(Drivers!BV$10:BV$69,PLAcctIDs,$I47)</f>
        <v>2494.9699999999998</v>
      </c>
      <c r="AU47" s="313">
        <f>SUMIFS(Drivers!BW$10:BW$69,PLAcctIDs,$I47)</f>
        <v>2619.7199999999998</v>
      </c>
      <c r="AV47" s="313">
        <f>SUMIFS(Drivers!BX$10:BX$69,PLAcctIDs,$I47)</f>
        <v>2443.3027499999998</v>
      </c>
      <c r="AW47" s="313">
        <f>SUMIFS(Drivers!BY$10:BY$69,PLAcctIDs,$I47)</f>
        <v>2511.6722312500001</v>
      </c>
      <c r="AX47" s="313">
        <f>SUMIFS(Drivers!BZ$10:BZ$69,PLAcctIDs,$I47)</f>
        <v>2574.0461217187503</v>
      </c>
      <c r="AY47" s="313">
        <f>SUMIFS(Drivers!CA$10:CA$69,PLAcctIDs,$I47)</f>
        <v>2628.4774430195307</v>
      </c>
      <c r="AZ47" s="313">
        <f>SUMIFS(Drivers!CB$10:CB$69,PLAcctIDs,$I47)</f>
        <v>2672.6329955479496</v>
      </c>
      <c r="BA47" s="313">
        <f>SUMIFS(Drivers!CC$10:CC$69,PLAcctIDs,$I47)</f>
        <v>2703.7240197688407</v>
      </c>
      <c r="BB47" s="313">
        <f>SUMIFS(Drivers!CD$10:CD$69,PLAcctIDs,$I47)</f>
        <v>2718.4247232283874</v>
      </c>
      <c r="BC47" s="313">
        <f>SUMIFS(Drivers!CE$10:CE$69,PLAcctIDs,$I47)</f>
        <v>2766.5710685433555</v>
      </c>
      <c r="BD47" s="313">
        <f>SUMIFS(Drivers!CF$10:CF$69,PLAcctIDs,$I47)</f>
        <v>2811.178365069693</v>
      </c>
      <c r="BE47" s="313">
        <f>SUMIFS(Drivers!CG$10:CG$69,PLAcctIDs,$I47)</f>
        <v>2852.6765076561073</v>
      </c>
      <c r="BF47" s="313">
        <f>SUMIFS(Drivers!CH$10:CH$69,PLAcctIDs,$I47)</f>
        <v>2891.9113439675079</v>
      </c>
      <c r="BG47" s="313">
        <f>SUMIFS(Drivers!CI$10:CI$69,PLAcctIDs,$I47)</f>
        <v>2930.2850549409313</v>
      </c>
      <c r="BH47" s="313">
        <f>SUMIFS(Drivers!CJ$10:CJ$69,PLAcctIDs,$I47)</f>
        <v>2969.933236096047</v>
      </c>
    </row>
    <row r="48" spans="2:60" ht="18.75" customHeight="1" outlineLevel="1">
      <c r="B48" s="284"/>
      <c r="C48" s="315"/>
      <c r="D48" s="288" t="s">
        <v>246</v>
      </c>
      <c r="E48" s="277" t="str">
        <f>IFERROR(INDEX(PBC_ACCOUNT_LIST[Drivers Section],MATCH('Data Summary'!I48,PBC_ACCOUNT_LIST[Id],0)),"")</f>
        <v>Opex</v>
      </c>
      <c r="F48" s="277" t="str">
        <f>IFERROR(INDEX(PBC_ACCOUNT_LIST[Summary Grouping],MATCH('Data Summary'!I48,PBC_ACCOUNT_LIST[Id],0)),"")</f>
        <v>Marketing &amp; Advertising</v>
      </c>
      <c r="G48" s="277"/>
      <c r="H48" s="277">
        <f>IFERROR(INDEX(PBC_ACCOUNT_LIST[Cash Flow Section],MATCH('Data Summary'!I48,PBC_ACCOUNT_LIST[Id],0)),"")</f>
        <v>0</v>
      </c>
      <c r="I48" s="277">
        <v>167</v>
      </c>
      <c r="J48" s="314"/>
      <c r="L48" s="313">
        <f>SUMIFS(Drivers!AN$10:AN$69,PLAcctIDs,$I48)</f>
        <v>0</v>
      </c>
      <c r="M48" s="313">
        <f>SUMIFS(Drivers!AO$10:AO$69,PLAcctIDs,$I48)</f>
        <v>10000</v>
      </c>
      <c r="N48" s="313">
        <f>SUMIFS(Drivers!AP$10:AP$69,PLAcctIDs,$I48)</f>
        <v>10350</v>
      </c>
      <c r="O48" s="313">
        <f>SUMIFS(Drivers!AQ$10:AQ$69,PLAcctIDs,$I48)</f>
        <v>10712</v>
      </c>
      <c r="P48" s="313">
        <f>SUMIFS(Drivers!AR$10:AR$69,PLAcctIDs,$I48)</f>
        <v>11087</v>
      </c>
      <c r="Q48" s="313">
        <f>SUMIFS(Drivers!AS$10:AS$69,PLAcctIDs,$I48)</f>
        <v>11475</v>
      </c>
      <c r="R48" s="313">
        <f>SUMIFS(Drivers!AT$10:AT$69,PLAcctIDs,$I48)</f>
        <v>11877</v>
      </c>
      <c r="S48" s="313">
        <f>SUMIFS(Drivers!AU$10:AU$69,PLAcctIDs,$I48)</f>
        <v>12293</v>
      </c>
      <c r="T48" s="313">
        <f>SUMIFS(Drivers!AV$10:AV$69,PLAcctIDs,$I48)</f>
        <v>12723.5</v>
      </c>
      <c r="U48" s="313">
        <f>SUMIFS(Drivers!AW$10:AW$69,PLAcctIDs,$I48)</f>
        <v>13168</v>
      </c>
      <c r="V48" s="313">
        <f>SUMIFS(Drivers!AX$10:AX$69,PLAcctIDs,$I48)</f>
        <v>13629</v>
      </c>
      <c r="W48" s="313">
        <f>SUMIFS(Drivers!AY$10:AY$69,PLAcctIDs,$I48)</f>
        <v>15237</v>
      </c>
      <c r="X48" s="313">
        <f>SUMIFS(Drivers!AZ$10:AZ$69,PLAcctIDs,$I48)</f>
        <v>26158.5</v>
      </c>
      <c r="Y48" s="313">
        <f>SUMIFS(Drivers!BA$10:BA$69,PLAcctIDs,$I48)</f>
        <v>15999</v>
      </c>
      <c r="Z48" s="313">
        <f>SUMIFS(Drivers!BB$10:BB$69,PLAcctIDs,$I48)</f>
        <v>27467</v>
      </c>
      <c r="AA48" s="313">
        <f>SUMIFS(Drivers!BC$10:BC$69,PLAcctIDs,$I48)</f>
        <v>16799</v>
      </c>
      <c r="AB48" s="313">
        <f>SUMIFS(Drivers!BD$10:BD$69,PLAcctIDs,$I48)</f>
        <v>28840</v>
      </c>
      <c r="AC48" s="313">
        <f>SUMIFS(Drivers!BE$10:BE$69,PLAcctIDs,$I48)</f>
        <v>17639</v>
      </c>
      <c r="AD48" s="313">
        <f>SUMIFS(Drivers!BF$10:BF$69,PLAcctIDs,$I48)</f>
        <v>30282</v>
      </c>
      <c r="AE48" s="313">
        <f>SUMIFS(Drivers!BG$10:BG$69,PLAcctIDs,$I48)</f>
        <v>31796</v>
      </c>
      <c r="AF48" s="313">
        <f>SUMIFS(Drivers!BH$10:BH$69,PLAcctIDs,$I48)</f>
        <v>31796</v>
      </c>
      <c r="AG48" s="313">
        <f>SUMIFS(Drivers!BI$10:BI$69,PLAcctIDs,$I48)</f>
        <v>33386</v>
      </c>
      <c r="AH48" s="313">
        <f>SUMIFS(Drivers!BJ$10:BJ$69,PLAcctIDs,$I48)</f>
        <v>33386</v>
      </c>
      <c r="AI48" s="313">
        <f>SUMIFS(Drivers!BK$10:BK$69,PLAcctIDs,$I48)</f>
        <v>35055</v>
      </c>
      <c r="AJ48" s="313">
        <f>SUMIFS(Drivers!BL$10:BL$69,PLAcctIDs,$I48)</f>
        <v>36808</v>
      </c>
      <c r="AK48" s="313">
        <f>SUMIFS(Drivers!BM$10:BM$69,PLAcctIDs,$I48)</f>
        <v>38648.5</v>
      </c>
      <c r="AL48" s="313">
        <f>SUMIFS(Drivers!BN$10:BN$69,PLAcctIDs,$I48)</f>
        <v>40581</v>
      </c>
      <c r="AM48" s="313">
        <f>SUMIFS(Drivers!BO$10:BO$69,PLAcctIDs,$I48)</f>
        <v>42610</v>
      </c>
      <c r="AN48" s="313">
        <f>SUMIFS(Drivers!BP$10:BP$69,PLAcctIDs,$I48)</f>
        <v>44740</v>
      </c>
      <c r="AO48" s="313">
        <f>SUMIFS(Drivers!BQ$10:BQ$69,PLAcctIDs,$I48)</f>
        <v>46977</v>
      </c>
      <c r="AP48" s="313">
        <f>SUMIFS(Drivers!BR$10:BR$69,PLAcctIDs,$I48)</f>
        <v>49326.37</v>
      </c>
      <c r="AQ48" s="313">
        <f>SUMIFS(Drivers!BS$10:BS$69,PLAcctIDs,$I48)</f>
        <v>51792.69</v>
      </c>
      <c r="AR48" s="313">
        <f>SUMIFS(Drivers!BT$10:BT$69,PLAcctIDs,$I48)</f>
        <v>54382.33</v>
      </c>
      <c r="AS48" s="313">
        <f>SUMIFS(Drivers!BU$10:BU$69,PLAcctIDs,$I48)</f>
        <v>57101.440000000002</v>
      </c>
      <c r="AT48" s="313">
        <f>SUMIFS(Drivers!BV$10:BV$69,PLAcctIDs,$I48)</f>
        <v>59956.51</v>
      </c>
      <c r="AU48" s="313">
        <f>SUMIFS(Drivers!BW$10:BW$69,PLAcctIDs,$I48)</f>
        <v>62954.34</v>
      </c>
      <c r="AV48" s="313">
        <f>SUMIFS(Drivers!BX$10:BX$69,PLAcctIDs,$I48)</f>
        <v>58714.894000000015</v>
      </c>
      <c r="AW48" s="313">
        <f>SUMIFS(Drivers!BY$10:BY$69,PLAcctIDs,$I48)</f>
        <v>60357.885700000013</v>
      </c>
      <c r="AX48" s="313">
        <f>SUMIFS(Drivers!BZ$10:BZ$69,PLAcctIDs,$I48)</f>
        <v>61856.794947500013</v>
      </c>
      <c r="AY48" s="313">
        <f>SUMIFS(Drivers!CA$10:CA$69,PLAcctIDs,$I48)</f>
        <v>63164.8263133125</v>
      </c>
      <c r="AZ48" s="313">
        <f>SUMIFS(Drivers!CB$10:CB$69,PLAcctIDs,$I48)</f>
        <v>64225.918918142204</v>
      </c>
      <c r="BA48" s="313">
        <f>SUMIFS(Drivers!CC$10:CC$69,PLAcctIDs,$I48)</f>
        <v>64973.065478817087</v>
      </c>
      <c r="BB48" s="313">
        <f>SUMIFS(Drivers!CD$10:CD$69,PLAcctIDs,$I48)</f>
        <v>65326.342437610074</v>
      </c>
      <c r="BC48" s="313">
        <f>SUMIFS(Drivers!CE$10:CE$69,PLAcctIDs,$I48)</f>
        <v>66483.345914191843</v>
      </c>
      <c r="BD48" s="313">
        <f>SUMIFS(Drivers!CF$10:CF$69,PLAcctIDs,$I48)</f>
        <v>67555.301451675405</v>
      </c>
      <c r="BE48" s="313">
        <f>SUMIFS(Drivers!CG$10:CG$69,PLAcctIDs,$I48)</f>
        <v>68552.540089906106</v>
      </c>
      <c r="BF48" s="313">
        <f>SUMIFS(Drivers!CH$10:CH$69,PLAcctIDs,$I48)</f>
        <v>69495.390000809974</v>
      </c>
      <c r="BG48" s="313">
        <f>SUMIFS(Drivers!CI$10:CI$69,PLAcctIDs,$I48)</f>
        <v>70417.54744027683</v>
      </c>
      <c r="BH48" s="313">
        <f>SUMIFS(Drivers!CJ$10:CJ$69,PLAcctIDs,$I48)</f>
        <v>71370.331783532281</v>
      </c>
    </row>
    <row r="49" spans="2:60" ht="18.75" customHeight="1" outlineLevel="1">
      <c r="B49" s="284"/>
      <c r="C49" s="315"/>
      <c r="D49" s="288" t="s">
        <v>247</v>
      </c>
      <c r="E49" s="277" t="str">
        <f>IFERROR(INDEX(PBC_ACCOUNT_LIST[Drivers Section],MATCH('Data Summary'!I49,PBC_ACCOUNT_LIST[Id],0)),"")</f>
        <v>Opex</v>
      </c>
      <c r="F49" s="277" t="str">
        <f>IFERROR(INDEX(PBC_ACCOUNT_LIST[Summary Grouping],MATCH('Data Summary'!I49,PBC_ACCOUNT_LIST[Id],0)),"")</f>
        <v>G&amp;A</v>
      </c>
      <c r="G49" s="277"/>
      <c r="H49" s="277">
        <f>IFERROR(INDEX(PBC_ACCOUNT_LIST[Cash Flow Section],MATCH('Data Summary'!I49,PBC_ACCOUNT_LIST[Id],0)),"")</f>
        <v>0</v>
      </c>
      <c r="I49" s="277">
        <v>168</v>
      </c>
      <c r="J49" s="314"/>
      <c r="L49" s="313">
        <f>SUMIFS(Drivers!AN$10:AN$69,PLAcctIDs,$I49)</f>
        <v>0</v>
      </c>
      <c r="M49" s="313">
        <f>SUMIFS(Drivers!AO$10:AO$69,PLAcctIDs,$I49)</f>
        <v>8500</v>
      </c>
      <c r="N49" s="313">
        <f>SUMIFS(Drivers!AP$10:AP$69,PLAcctIDs,$I49)</f>
        <v>8798</v>
      </c>
      <c r="O49" s="313">
        <f>SUMIFS(Drivers!AQ$10:AQ$69,PLAcctIDs,$I49)</f>
        <v>9105</v>
      </c>
      <c r="P49" s="313">
        <f>SUMIFS(Drivers!AR$10:AR$69,PLAcctIDs,$I49)</f>
        <v>9424</v>
      </c>
      <c r="Q49" s="313">
        <f>SUMIFS(Drivers!AS$10:AS$69,PLAcctIDs,$I49)</f>
        <v>9754</v>
      </c>
      <c r="R49" s="313">
        <f>SUMIFS(Drivers!AT$10:AT$69,PLAcctIDs,$I49)</f>
        <v>10095</v>
      </c>
      <c r="S49" s="313">
        <f>SUMIFS(Drivers!AU$10:AU$69,PLAcctIDs,$I49)</f>
        <v>10449</v>
      </c>
      <c r="T49" s="313">
        <f>SUMIFS(Drivers!AV$10:AV$69,PLAcctIDs,$I49)</f>
        <v>10814</v>
      </c>
      <c r="U49" s="313">
        <f>SUMIFS(Drivers!AW$10:AW$69,PLAcctIDs,$I49)</f>
        <v>11193</v>
      </c>
      <c r="V49" s="313">
        <f>SUMIFS(Drivers!AX$10:AX$69,PLAcctIDs,$I49)</f>
        <v>11585</v>
      </c>
      <c r="W49" s="313">
        <f>SUMIFS(Drivers!AY$10:AY$69,PLAcctIDs,$I49)</f>
        <v>20234</v>
      </c>
      <c r="X49" s="313">
        <f>SUMIFS(Drivers!AZ$10:AZ$69,PLAcctIDs,$I49)</f>
        <v>25029</v>
      </c>
      <c r="Y49" s="313">
        <f>SUMIFS(Drivers!BA$10:BA$69,PLAcctIDs,$I49)</f>
        <v>21246</v>
      </c>
      <c r="Z49" s="313">
        <f>SUMIFS(Drivers!BB$10:BB$69,PLAcctIDs,$I49)</f>
        <v>26280</v>
      </c>
      <c r="AA49" s="313">
        <f>SUMIFS(Drivers!BC$10:BC$69,PLAcctIDs,$I49)</f>
        <v>22308</v>
      </c>
      <c r="AB49" s="313">
        <f>SUMIFS(Drivers!BD$10:BD$69,PLAcctIDs,$I49)</f>
        <v>27594</v>
      </c>
      <c r="AC49" s="313">
        <f>SUMIFS(Drivers!BE$10:BE$69,PLAcctIDs,$I49)</f>
        <v>23424</v>
      </c>
      <c r="AD49" s="313">
        <f>SUMIFS(Drivers!BF$10:BF$69,PLAcctIDs,$I49)</f>
        <v>28974</v>
      </c>
      <c r="AE49" s="313">
        <f>SUMIFS(Drivers!BG$10:BG$69,PLAcctIDs,$I49)</f>
        <v>30423</v>
      </c>
      <c r="AF49" s="313">
        <f>SUMIFS(Drivers!BH$10:BH$69,PLAcctIDs,$I49)</f>
        <v>30423</v>
      </c>
      <c r="AG49" s="313">
        <f>SUMIFS(Drivers!BI$10:BI$69,PLAcctIDs,$I49)</f>
        <v>31944</v>
      </c>
      <c r="AH49" s="313">
        <f>SUMIFS(Drivers!BJ$10:BJ$69,PLAcctIDs,$I49)</f>
        <v>31944</v>
      </c>
      <c r="AI49" s="313">
        <f>SUMIFS(Drivers!BK$10:BK$69,PLAcctIDs,$I49)</f>
        <v>33541</v>
      </c>
      <c r="AJ49" s="313">
        <f>SUMIFS(Drivers!BL$10:BL$69,PLAcctIDs,$I49)</f>
        <v>35218</v>
      </c>
      <c r="AK49" s="313">
        <f>SUMIFS(Drivers!BM$10:BM$69,PLAcctIDs,$I49)</f>
        <v>36979.269999999997</v>
      </c>
      <c r="AL49" s="313">
        <f>SUMIFS(Drivers!BN$10:BN$69,PLAcctIDs,$I49)</f>
        <v>38828</v>
      </c>
      <c r="AM49" s="313">
        <f>SUMIFS(Drivers!BO$10:BO$69,PLAcctIDs,$I49)</f>
        <v>40770</v>
      </c>
      <c r="AN49" s="313">
        <f>SUMIFS(Drivers!BP$10:BP$69,PLAcctIDs,$I49)</f>
        <v>42808</v>
      </c>
      <c r="AO49" s="313">
        <f>SUMIFS(Drivers!BQ$10:BQ$69,PLAcctIDs,$I49)</f>
        <v>44949</v>
      </c>
      <c r="AP49" s="313">
        <f>SUMIFS(Drivers!BR$10:BR$69,PLAcctIDs,$I49)</f>
        <v>47195.96</v>
      </c>
      <c r="AQ49" s="313">
        <f>SUMIFS(Drivers!BS$10:BS$69,PLAcctIDs,$I49)</f>
        <v>49555.75</v>
      </c>
      <c r="AR49" s="313">
        <f>SUMIFS(Drivers!BT$10:BT$69,PLAcctIDs,$I49)</f>
        <v>52033.54</v>
      </c>
      <c r="AS49" s="313">
        <f>SUMIFS(Drivers!BU$10:BU$69,PLAcctIDs,$I49)</f>
        <v>54635.22</v>
      </c>
      <c r="AT49" s="313">
        <f>SUMIFS(Drivers!BV$10:BV$69,PLAcctIDs,$I49)</f>
        <v>57366.98</v>
      </c>
      <c r="AU49" s="313">
        <f>SUMIFS(Drivers!BW$10:BW$69,PLAcctIDs,$I49)</f>
        <v>60235.33</v>
      </c>
      <c r="AV49" s="313">
        <f>SUMIFS(Drivers!BX$10:BX$69,PLAcctIDs,$I49)</f>
        <v>56178.986500000006</v>
      </c>
      <c r="AW49" s="313">
        <f>SUMIFS(Drivers!BY$10:BY$69,PLAcctIDs,$I49)</f>
        <v>57751.016137500003</v>
      </c>
      <c r="AX49" s="313">
        <f>SUMIFS(Drivers!BZ$10:BZ$69,PLAcctIDs,$I49)</f>
        <v>59185.187711562503</v>
      </c>
      <c r="AY49" s="313">
        <f>SUMIFS(Drivers!CA$10:CA$69,PLAcctIDs,$I49)</f>
        <v>60436.726061085945</v>
      </c>
      <c r="AZ49" s="313">
        <f>SUMIFS(Drivers!CB$10:CB$69,PLAcctIDs,$I49)</f>
        <v>61451.989621775982</v>
      </c>
      <c r="BA49" s="313">
        <f>SUMIFS(Drivers!CC$10:CC$69,PLAcctIDs,$I49)</f>
        <v>62166.86630558678</v>
      </c>
      <c r="BB49" s="313">
        <f>SUMIFS(Drivers!CD$10:CD$69,PLAcctIDs,$I49)</f>
        <v>62504.885159064455</v>
      </c>
      <c r="BC49" s="313">
        <f>SUMIFS(Drivers!CE$10:CE$69,PLAcctIDs,$I49)</f>
        <v>63611.91742440073</v>
      </c>
      <c r="BD49" s="313">
        <f>SUMIFS(Drivers!CF$10:CF$69,PLAcctIDs,$I49)</f>
        <v>64637.575149608361</v>
      </c>
      <c r="BE49" s="313">
        <f>SUMIFS(Drivers!CG$10:CG$69,PLAcctIDs,$I49)</f>
        <v>65591.742951266395</v>
      </c>
      <c r="BF49" s="313">
        <f>SUMIFS(Drivers!CH$10:CH$69,PLAcctIDs,$I49)</f>
        <v>66493.870907047967</v>
      </c>
      <c r="BG49" s="313">
        <f>SUMIFS(Drivers!CI$10:CI$69,PLAcctIDs,$I49)</f>
        <v>67376.200131970574</v>
      </c>
      <c r="BH49" s="313">
        <f>SUMIFS(Drivers!CJ$10:CJ$69,PLAcctIDs,$I49)</f>
        <v>68287.833551587741</v>
      </c>
    </row>
    <row r="50" spans="2:60" ht="18.75" customHeight="1" outlineLevel="1">
      <c r="B50" s="284"/>
      <c r="C50" s="315"/>
      <c r="D50" s="288" t="s">
        <v>248</v>
      </c>
      <c r="E50" s="277" t="str">
        <f>IFERROR(INDEX(PBC_ACCOUNT_LIST[Drivers Section],MATCH('Data Summary'!I50,PBC_ACCOUNT_LIST[Id],0)),"")</f>
        <v>Opex</v>
      </c>
      <c r="F50" s="277" t="str">
        <f>IFERROR(INDEX(PBC_ACCOUNT_LIST[Summary Grouping],MATCH('Data Summary'!I50,PBC_ACCOUNT_LIST[Id],0)),"")</f>
        <v>G&amp;A</v>
      </c>
      <c r="G50" s="277"/>
      <c r="H50" s="277">
        <f>IFERROR(INDEX(PBC_ACCOUNT_LIST[Cash Flow Section],MATCH('Data Summary'!I50,PBC_ACCOUNT_LIST[Id],0)),"")</f>
        <v>0</v>
      </c>
      <c r="I50" s="277">
        <v>201</v>
      </c>
      <c r="J50" s="314"/>
      <c r="L50" s="313">
        <f>SUMIFS(Drivers!AN$10:AN$69,PLAcctIDs,$I50)</f>
        <v>0</v>
      </c>
      <c r="M50" s="313">
        <f>SUMIFS(Drivers!AO$10:AO$69,PLAcctIDs,$I50)</f>
        <v>250</v>
      </c>
      <c r="N50" s="313">
        <f>SUMIFS(Drivers!AP$10:AP$69,PLAcctIDs,$I50)</f>
        <v>259</v>
      </c>
      <c r="O50" s="313">
        <f>SUMIFS(Drivers!AQ$10:AQ$69,PLAcctIDs,$I50)</f>
        <v>268</v>
      </c>
      <c r="P50" s="313">
        <f>SUMIFS(Drivers!AR$10:AR$69,PLAcctIDs,$I50)</f>
        <v>277</v>
      </c>
      <c r="Q50" s="313">
        <f>SUMIFS(Drivers!AS$10:AS$69,PLAcctIDs,$I50)</f>
        <v>287</v>
      </c>
      <c r="R50" s="313">
        <f>SUMIFS(Drivers!AT$10:AT$69,PLAcctIDs,$I50)</f>
        <v>297</v>
      </c>
      <c r="S50" s="313">
        <f>SUMIFS(Drivers!AU$10:AU$69,PLAcctIDs,$I50)</f>
        <v>307</v>
      </c>
      <c r="T50" s="313">
        <f>SUMIFS(Drivers!AV$10:AV$69,PLAcctIDs,$I50)</f>
        <v>318</v>
      </c>
      <c r="U50" s="313">
        <f>SUMIFS(Drivers!AW$10:AW$69,PLAcctIDs,$I50)</f>
        <v>329</v>
      </c>
      <c r="V50" s="313">
        <f>SUMIFS(Drivers!AX$10:AX$69,PLAcctIDs,$I50)</f>
        <v>341</v>
      </c>
      <c r="W50" s="313">
        <f>SUMIFS(Drivers!AY$10:AY$69,PLAcctIDs,$I50)</f>
        <v>508</v>
      </c>
      <c r="X50" s="313">
        <f>SUMIFS(Drivers!AZ$10:AZ$69,PLAcctIDs,$I50)</f>
        <v>972</v>
      </c>
      <c r="Y50" s="313">
        <f>SUMIFS(Drivers!BA$10:BA$69,PLAcctIDs,$I50)</f>
        <v>533</v>
      </c>
      <c r="Z50" s="313">
        <f>SUMIFS(Drivers!BB$10:BB$69,PLAcctIDs,$I50)</f>
        <v>1020</v>
      </c>
      <c r="AA50" s="313">
        <f>SUMIFS(Drivers!BC$10:BC$69,PLAcctIDs,$I50)</f>
        <v>560</v>
      </c>
      <c r="AB50" s="313">
        <f>SUMIFS(Drivers!BD$10:BD$69,PLAcctIDs,$I50)</f>
        <v>1071</v>
      </c>
      <c r="AC50" s="313">
        <f>SUMIFS(Drivers!BE$10:BE$69,PLAcctIDs,$I50)</f>
        <v>588</v>
      </c>
      <c r="AD50" s="313">
        <f>SUMIFS(Drivers!BF$10:BF$69,PLAcctIDs,$I50)</f>
        <v>1125</v>
      </c>
      <c r="AE50" s="313">
        <f>SUMIFS(Drivers!BG$10:BG$69,PLAcctIDs,$I50)</f>
        <v>1181</v>
      </c>
      <c r="AF50" s="313">
        <f>SUMIFS(Drivers!BH$10:BH$69,PLAcctIDs,$I50)</f>
        <v>1181</v>
      </c>
      <c r="AG50" s="313">
        <f>SUMIFS(Drivers!BI$10:BI$69,PLAcctIDs,$I50)</f>
        <v>1240</v>
      </c>
      <c r="AH50" s="313">
        <f>SUMIFS(Drivers!BJ$10:BJ$69,PLAcctIDs,$I50)</f>
        <v>1240</v>
      </c>
      <c r="AI50" s="313">
        <f>SUMIFS(Drivers!BK$10:BK$69,PLAcctIDs,$I50)</f>
        <v>1302</v>
      </c>
      <c r="AJ50" s="313">
        <f>SUMIFS(Drivers!BL$10:BL$69,PLAcctIDs,$I50)</f>
        <v>1367</v>
      </c>
      <c r="AK50" s="313">
        <f>SUMIFS(Drivers!BM$10:BM$69,PLAcctIDs,$I50)</f>
        <v>1435.7</v>
      </c>
      <c r="AL50" s="313">
        <f>SUMIFS(Drivers!BN$10:BN$69,PLAcctIDs,$I50)</f>
        <v>1507</v>
      </c>
      <c r="AM50" s="313">
        <f>SUMIFS(Drivers!BO$10:BO$69,PLAcctIDs,$I50)</f>
        <v>1583</v>
      </c>
      <c r="AN50" s="313">
        <f>SUMIFS(Drivers!BP$10:BP$69,PLAcctIDs,$I50)</f>
        <v>1662</v>
      </c>
      <c r="AO50" s="313">
        <f>SUMIFS(Drivers!BQ$10:BQ$69,PLAcctIDs,$I50)</f>
        <v>1745</v>
      </c>
      <c r="AP50" s="313">
        <f>SUMIFS(Drivers!BR$10:BR$69,PLAcctIDs,$I50)</f>
        <v>1832.35</v>
      </c>
      <c r="AQ50" s="313">
        <f>SUMIFS(Drivers!BS$10:BS$69,PLAcctIDs,$I50)</f>
        <v>1923.97</v>
      </c>
      <c r="AR50" s="313">
        <f>SUMIFS(Drivers!BT$10:BT$69,PLAcctIDs,$I50)</f>
        <v>2020.17</v>
      </c>
      <c r="AS50" s="313">
        <f>SUMIFS(Drivers!BU$10:BU$69,PLAcctIDs,$I50)</f>
        <v>2121.1799999999998</v>
      </c>
      <c r="AT50" s="313">
        <f>SUMIFS(Drivers!BV$10:BV$69,PLAcctIDs,$I50)</f>
        <v>2227.2399999999998</v>
      </c>
      <c r="AU50" s="313">
        <f>SUMIFS(Drivers!BW$10:BW$69,PLAcctIDs,$I50)</f>
        <v>2338.6</v>
      </c>
      <c r="AV50" s="313">
        <f>SUMIFS(Drivers!BX$10:BX$69,PLAcctIDs,$I50)</f>
        <v>2181.1142500000001</v>
      </c>
      <c r="AW50" s="313">
        <f>SUMIFS(Drivers!BY$10:BY$69,PLAcctIDs,$I50)</f>
        <v>2242.1479937499998</v>
      </c>
      <c r="AX50" s="313">
        <f>SUMIFS(Drivers!BZ$10:BZ$69,PLAcctIDs,$I50)</f>
        <v>2297.82914265625</v>
      </c>
      <c r="AY50" s="313">
        <f>SUMIFS(Drivers!CA$10:CA$69,PLAcctIDs,$I50)</f>
        <v>2346.4194926210935</v>
      </c>
      <c r="AZ50" s="313">
        <f>SUMIFS(Drivers!CB$10:CB$69,PLAcctIDs,$I50)</f>
        <v>2385.836403829785</v>
      </c>
      <c r="BA50" s="313">
        <f>SUMIFS(Drivers!CC$10:CC$69,PLAcctIDs,$I50)</f>
        <v>2413.5907744999977</v>
      </c>
      <c r="BB50" s="313">
        <f>SUMIFS(Drivers!CD$10:CD$69,PLAcctIDs,$I50)</f>
        <v>2426.7141600374971</v>
      </c>
      <c r="BC50" s="313">
        <f>SUMIFS(Drivers!CE$10:CE$69,PLAcctIDs,$I50)</f>
        <v>2469.6941442940592</v>
      </c>
      <c r="BD50" s="313">
        <f>SUMIFS(Drivers!CF$10:CF$69,PLAcctIDs,$I50)</f>
        <v>2509.5147206392689</v>
      </c>
      <c r="BE50" s="313">
        <f>SUMIFS(Drivers!CG$10:CG$69,PLAcctIDs,$I50)</f>
        <v>2546.559696786298</v>
      </c>
      <c r="BF50" s="313">
        <f>SUMIFS(Drivers!CH$10:CH$69,PLAcctIDs,$I50)</f>
        <v>2581.5842325152089</v>
      </c>
      <c r="BG50" s="313">
        <f>SUMIFS(Drivers!CI$10:CI$69,PLAcctIDs,$I50)</f>
        <v>2615.8401025351577</v>
      </c>
      <c r="BH50" s="313">
        <f>SUMIFS(Drivers!CJ$10:CJ$69,PLAcctIDs,$I50)</f>
        <v>2651.233734941311</v>
      </c>
    </row>
    <row r="51" spans="2:60" ht="18.75" customHeight="1" outlineLevel="1">
      <c r="B51" s="284"/>
      <c r="C51" s="315"/>
      <c r="D51" s="288" t="s">
        <v>249</v>
      </c>
      <c r="E51" s="277" t="str">
        <f>IFERROR(INDEX(PBC_ACCOUNT_LIST[Drivers Section],MATCH('Data Summary'!I51,PBC_ACCOUNT_LIST[Id],0)),"")</f>
        <v>Opex</v>
      </c>
      <c r="F51" s="277" t="str">
        <f>IFERROR(INDEX(PBC_ACCOUNT_LIST[Summary Grouping],MATCH('Data Summary'!I51,PBC_ACCOUNT_LIST[Id],0)),"")</f>
        <v>G&amp;A</v>
      </c>
      <c r="G51" s="277"/>
      <c r="H51" s="277">
        <f>IFERROR(INDEX(PBC_ACCOUNT_LIST[Cash Flow Section],MATCH('Data Summary'!I51,PBC_ACCOUNT_LIST[Id],0)),"")</f>
        <v>0</v>
      </c>
      <c r="I51" s="277">
        <v>170</v>
      </c>
      <c r="J51" s="314"/>
      <c r="L51" s="313">
        <f>SUMIFS(Drivers!AN$10:AN$69,PLAcctIDs,$I51)</f>
        <v>0</v>
      </c>
      <c r="M51" s="313">
        <f>SUMIFS(Drivers!AO$10:AO$69,PLAcctIDs,$I51)</f>
        <v>800</v>
      </c>
      <c r="N51" s="313">
        <f>SUMIFS(Drivers!AP$10:AP$69,PLAcctIDs,$I51)</f>
        <v>828</v>
      </c>
      <c r="O51" s="313">
        <f>SUMIFS(Drivers!AQ$10:AQ$69,PLAcctIDs,$I51)</f>
        <v>857</v>
      </c>
      <c r="P51" s="313">
        <f>SUMIFS(Drivers!AR$10:AR$69,PLAcctIDs,$I51)</f>
        <v>887</v>
      </c>
      <c r="Q51" s="313">
        <f>SUMIFS(Drivers!AS$10:AS$69,PLAcctIDs,$I51)</f>
        <v>918</v>
      </c>
      <c r="R51" s="313">
        <f>SUMIFS(Drivers!AT$10:AT$69,PLAcctIDs,$I51)</f>
        <v>950</v>
      </c>
      <c r="S51" s="313">
        <f>SUMIFS(Drivers!AU$10:AU$69,PLAcctIDs,$I51)</f>
        <v>983</v>
      </c>
      <c r="T51" s="313">
        <f>SUMIFS(Drivers!AV$10:AV$69,PLAcctIDs,$I51)</f>
        <v>1018</v>
      </c>
      <c r="U51" s="313">
        <f>SUMIFS(Drivers!AW$10:AW$69,PLAcctIDs,$I51)</f>
        <v>1053</v>
      </c>
      <c r="V51" s="313">
        <f>SUMIFS(Drivers!AX$10:AX$69,PLAcctIDs,$I51)</f>
        <v>1090</v>
      </c>
      <c r="W51" s="313">
        <f>SUMIFS(Drivers!AY$10:AY$69,PLAcctIDs,$I51)</f>
        <v>1790.5</v>
      </c>
      <c r="X51" s="313">
        <f>SUMIFS(Drivers!AZ$10:AZ$69,PLAcctIDs,$I51)</f>
        <v>2123.5</v>
      </c>
      <c r="Y51" s="313">
        <f>SUMIFS(Drivers!BA$10:BA$69,PLAcctIDs,$I51)</f>
        <v>1880</v>
      </c>
      <c r="Z51" s="313">
        <f>SUMIFS(Drivers!BB$10:BB$69,PLAcctIDs,$I51)</f>
        <v>2230</v>
      </c>
      <c r="AA51" s="313">
        <f>SUMIFS(Drivers!BC$10:BC$69,PLAcctIDs,$I51)</f>
        <v>1974</v>
      </c>
      <c r="AB51" s="313">
        <f>SUMIFS(Drivers!BD$10:BD$69,PLAcctIDs,$I51)</f>
        <v>2341</v>
      </c>
      <c r="AC51" s="313">
        <f>SUMIFS(Drivers!BE$10:BE$69,PLAcctIDs,$I51)</f>
        <v>2073</v>
      </c>
      <c r="AD51" s="313">
        <f>SUMIFS(Drivers!BF$10:BF$69,PLAcctIDs,$I51)</f>
        <v>2458</v>
      </c>
      <c r="AE51" s="313">
        <f>SUMIFS(Drivers!BG$10:BG$69,PLAcctIDs,$I51)</f>
        <v>2581</v>
      </c>
      <c r="AF51" s="313">
        <f>SUMIFS(Drivers!BH$10:BH$69,PLAcctIDs,$I51)</f>
        <v>2581</v>
      </c>
      <c r="AG51" s="313">
        <f>SUMIFS(Drivers!BI$10:BI$69,PLAcctIDs,$I51)</f>
        <v>2710</v>
      </c>
      <c r="AH51" s="313">
        <f>SUMIFS(Drivers!BJ$10:BJ$69,PLAcctIDs,$I51)</f>
        <v>2710</v>
      </c>
      <c r="AI51" s="313">
        <f>SUMIFS(Drivers!BK$10:BK$69,PLAcctIDs,$I51)</f>
        <v>2846</v>
      </c>
      <c r="AJ51" s="313">
        <f>SUMIFS(Drivers!BL$10:BL$69,PLAcctIDs,$I51)</f>
        <v>2988</v>
      </c>
      <c r="AK51" s="313">
        <f>SUMIFS(Drivers!BM$10:BM$69,PLAcctIDs,$I51)</f>
        <v>3137.43</v>
      </c>
      <c r="AL51" s="313">
        <f>SUMIFS(Drivers!BN$10:BN$69,PLAcctIDs,$I51)</f>
        <v>3294</v>
      </c>
      <c r="AM51" s="313">
        <f>SUMIFS(Drivers!BO$10:BO$69,PLAcctIDs,$I51)</f>
        <v>3459</v>
      </c>
      <c r="AN51" s="313">
        <f>SUMIFS(Drivers!BP$10:BP$69,PLAcctIDs,$I51)</f>
        <v>3632</v>
      </c>
      <c r="AO51" s="313">
        <f>SUMIFS(Drivers!BQ$10:BQ$69,PLAcctIDs,$I51)</f>
        <v>3814</v>
      </c>
      <c r="AP51" s="313">
        <f>SUMIFS(Drivers!BR$10:BR$69,PLAcctIDs,$I51)</f>
        <v>4004.25</v>
      </c>
      <c r="AQ51" s="313">
        <f>SUMIFS(Drivers!BS$10:BS$69,PLAcctIDs,$I51)</f>
        <v>4204.46</v>
      </c>
      <c r="AR51" s="313">
        <f>SUMIFS(Drivers!BT$10:BT$69,PLAcctIDs,$I51)</f>
        <v>4414.68</v>
      </c>
      <c r="AS51" s="313">
        <f>SUMIFS(Drivers!BU$10:BU$69,PLAcctIDs,$I51)</f>
        <v>4635.41</v>
      </c>
      <c r="AT51" s="313">
        <f>SUMIFS(Drivers!BV$10:BV$69,PLAcctIDs,$I51)</f>
        <v>4867.18</v>
      </c>
      <c r="AU51" s="313">
        <f>SUMIFS(Drivers!BW$10:BW$69,PLAcctIDs,$I51)</f>
        <v>5460.54</v>
      </c>
      <c r="AV51" s="313">
        <f>SUMIFS(Drivers!BX$10:BX$69,PLAcctIDs,$I51)</f>
        <v>4827.6409999999996</v>
      </c>
      <c r="AW51" s="313">
        <f>SUMIFS(Drivers!BY$10:BY$69,PLAcctIDs,$I51)</f>
        <v>4971.7344249999996</v>
      </c>
      <c r="AX51" s="313">
        <f>SUMIFS(Drivers!BZ$10:BZ$69,PLAcctIDs,$I51)</f>
        <v>5106.0074493749999</v>
      </c>
      <c r="AY51" s="313">
        <f>SUMIFS(Drivers!CA$10:CA$69,PLAcctIDs,$I51)</f>
        <v>5226.989753015625</v>
      </c>
      <c r="AZ51" s="313">
        <f>SUMIFS(Drivers!CB$10:CB$69,PLAcctIDs,$I51)</f>
        <v>5330.5162097933598</v>
      </c>
      <c r="BA51" s="313">
        <f>SUMIFS(Drivers!CC$10:CC$69,PLAcctIDs,$I51)</f>
        <v>5411.6000465071975</v>
      </c>
      <c r="BB51" s="313">
        <f>SUMIFS(Drivers!CD$10:CD$69,PLAcctIDs,$I51)</f>
        <v>5403.0355546459559</v>
      </c>
      <c r="BC51" s="313">
        <f>SUMIFS(Drivers!CE$10:CE$69,PLAcctIDs,$I51)</f>
        <v>5503.7296017089993</v>
      </c>
      <c r="BD51" s="313">
        <f>SUMIFS(Drivers!CF$10:CF$69,PLAcctIDs,$I51)</f>
        <v>5596.8287576330731</v>
      </c>
      <c r="BE51" s="313">
        <f>SUMIFS(Drivers!CG$10:CG$69,PLAcctIDs,$I51)</f>
        <v>5682.7224865782373</v>
      </c>
      <c r="BF51" s="313">
        <f>SUMIFS(Drivers!CH$10:CH$69,PLAcctIDs,$I51)</f>
        <v>5762.4757149516936</v>
      </c>
      <c r="BG51" s="313">
        <f>SUMIFS(Drivers!CI$10:CI$69,PLAcctIDs,$I51)</f>
        <v>5838.0686283544028</v>
      </c>
      <c r="BH51" s="313">
        <f>SUMIFS(Drivers!CJ$10:CJ$69,PLAcctIDs,$I51)</f>
        <v>5912.7006301776637</v>
      </c>
    </row>
    <row r="52" spans="2:60" ht="18.75" customHeight="1" outlineLevel="1">
      <c r="B52" s="284"/>
      <c r="C52" s="315"/>
      <c r="D52" s="288" t="s">
        <v>250</v>
      </c>
      <c r="E52" s="277" t="str">
        <f>IFERROR(INDEX(PBC_ACCOUNT_LIST[Drivers Section],MATCH('Data Summary'!I52,PBC_ACCOUNT_LIST[Id],0)),"")</f>
        <v>Opex</v>
      </c>
      <c r="F52" s="277" t="str">
        <f>IFERROR(INDEX(PBC_ACCOUNT_LIST[Summary Grouping],MATCH('Data Summary'!I52,PBC_ACCOUNT_LIST[Id],0)),"")</f>
        <v>G&amp;A</v>
      </c>
      <c r="G52" s="277"/>
      <c r="H52" s="277">
        <f>IFERROR(INDEX(PBC_ACCOUNT_LIST[Cash Flow Section],MATCH('Data Summary'!I52,PBC_ACCOUNT_LIST[Id],0)),"")</f>
        <v>0</v>
      </c>
      <c r="I52" s="277">
        <v>171</v>
      </c>
      <c r="J52" s="314"/>
      <c r="L52" s="313">
        <f>SUMIFS(Drivers!AN$10:AN$69,PLAcctIDs,$I52)</f>
        <v>0</v>
      </c>
      <c r="M52" s="313">
        <f>SUMIFS(Drivers!AO$10:AO$69,PLAcctIDs,$I52)</f>
        <v>3500</v>
      </c>
      <c r="N52" s="313">
        <f>SUMIFS(Drivers!AP$10:AP$69,PLAcctIDs,$I52)</f>
        <v>3623</v>
      </c>
      <c r="O52" s="313">
        <f>SUMIFS(Drivers!AQ$10:AQ$69,PLAcctIDs,$I52)</f>
        <v>3749</v>
      </c>
      <c r="P52" s="313">
        <f>SUMIFS(Drivers!AR$10:AR$69,PLAcctIDs,$I52)</f>
        <v>3881</v>
      </c>
      <c r="Q52" s="313">
        <f>SUMIFS(Drivers!AS$10:AS$69,PLAcctIDs,$I52)</f>
        <v>4016</v>
      </c>
      <c r="R52" s="313">
        <f>SUMIFS(Drivers!AT$10:AT$69,PLAcctIDs,$I52)</f>
        <v>4157</v>
      </c>
      <c r="S52" s="313">
        <f>SUMIFS(Drivers!AU$10:AU$69,PLAcctIDs,$I52)</f>
        <v>4302</v>
      </c>
      <c r="T52" s="313">
        <f>SUMIFS(Drivers!AV$10:AV$69,PLAcctIDs,$I52)</f>
        <v>4453</v>
      </c>
      <c r="U52" s="313">
        <f>SUMIFS(Drivers!AW$10:AW$69,PLAcctIDs,$I52)</f>
        <v>4609</v>
      </c>
      <c r="V52" s="313">
        <f>SUMIFS(Drivers!AX$10:AX$69,PLAcctIDs,$I52)</f>
        <v>4770</v>
      </c>
      <c r="W52" s="313">
        <f>SUMIFS(Drivers!AY$10:AY$69,PLAcctIDs,$I52)</f>
        <v>8625</v>
      </c>
      <c r="X52" s="313">
        <f>SUMIFS(Drivers!AZ$10:AZ$69,PLAcctIDs,$I52)</f>
        <v>10367</v>
      </c>
      <c r="Y52" s="313">
        <f>SUMIFS(Drivers!BA$10:BA$69,PLAcctIDs,$I52)</f>
        <v>9056</v>
      </c>
      <c r="Z52" s="313">
        <f>SUMIFS(Drivers!BB$10:BB$69,PLAcctIDs,$I52)</f>
        <v>10886</v>
      </c>
      <c r="AA52" s="313">
        <f>SUMIFS(Drivers!BC$10:BC$69,PLAcctIDs,$I52)</f>
        <v>9509</v>
      </c>
      <c r="AB52" s="313">
        <f>SUMIFS(Drivers!BD$10:BD$69,PLAcctIDs,$I52)</f>
        <v>11430</v>
      </c>
      <c r="AC52" s="313">
        <f>SUMIFS(Drivers!BE$10:BE$69,PLAcctIDs,$I52)</f>
        <v>9984</v>
      </c>
      <c r="AD52" s="313">
        <f>SUMIFS(Drivers!BF$10:BF$69,PLAcctIDs,$I52)</f>
        <v>12002</v>
      </c>
      <c r="AE52" s="313">
        <f>SUMIFS(Drivers!BG$10:BG$69,PLAcctIDs,$I52)</f>
        <v>12602</v>
      </c>
      <c r="AF52" s="313">
        <f>SUMIFS(Drivers!BH$10:BH$69,PLAcctIDs,$I52)</f>
        <v>12602</v>
      </c>
      <c r="AG52" s="313">
        <f>SUMIFS(Drivers!BI$10:BI$69,PLAcctIDs,$I52)</f>
        <v>13232</v>
      </c>
      <c r="AH52" s="313">
        <f>SUMIFS(Drivers!BJ$10:BJ$69,PLAcctIDs,$I52)</f>
        <v>13232</v>
      </c>
      <c r="AI52" s="313">
        <f>SUMIFS(Drivers!BK$10:BK$69,PLAcctIDs,$I52)</f>
        <v>13893</v>
      </c>
      <c r="AJ52" s="313">
        <f>SUMIFS(Drivers!BL$10:BL$69,PLAcctIDs,$I52)</f>
        <v>14588</v>
      </c>
      <c r="AK52" s="313">
        <f>SUMIFS(Drivers!BM$10:BM$69,PLAcctIDs,$I52)</f>
        <v>15317.51</v>
      </c>
      <c r="AL52" s="313">
        <f>SUMIFS(Drivers!BN$10:BN$69,PLAcctIDs,$I52)</f>
        <v>16083</v>
      </c>
      <c r="AM52" s="313">
        <f>SUMIFS(Drivers!BO$10:BO$69,PLAcctIDs,$I52)</f>
        <v>16888</v>
      </c>
      <c r="AN52" s="313">
        <f>SUMIFS(Drivers!BP$10:BP$69,PLAcctIDs,$I52)</f>
        <v>17732</v>
      </c>
      <c r="AO52" s="313">
        <f>SUMIFS(Drivers!BQ$10:BQ$69,PLAcctIDs,$I52)</f>
        <v>18619</v>
      </c>
      <c r="AP52" s="313">
        <f>SUMIFS(Drivers!BR$10:BR$69,PLAcctIDs,$I52)</f>
        <v>19549.45</v>
      </c>
      <c r="AQ52" s="313">
        <f>SUMIFS(Drivers!BS$10:BS$69,PLAcctIDs,$I52)</f>
        <v>20526.93</v>
      </c>
      <c r="AR52" s="313">
        <f>SUMIFS(Drivers!BT$10:BT$69,PLAcctIDs,$I52)</f>
        <v>21553.27</v>
      </c>
      <c r="AS52" s="313">
        <f>SUMIFS(Drivers!BU$10:BU$69,PLAcctIDs,$I52)</f>
        <v>22630.94</v>
      </c>
      <c r="AT52" s="313">
        <f>SUMIFS(Drivers!BV$10:BV$69,PLAcctIDs,$I52)</f>
        <v>23762.48</v>
      </c>
      <c r="AU52" s="313">
        <f>SUMIFS(Drivers!BW$10:BW$69,PLAcctIDs,$I52)</f>
        <v>24950.61</v>
      </c>
      <c r="AV52" s="313">
        <f>SUMIFS(Drivers!BX$10:BX$69,PLAcctIDs,$I52)</f>
        <v>23270.394</v>
      </c>
      <c r="AW52" s="313">
        <f>SUMIFS(Drivers!BY$10:BY$69,PLAcctIDs,$I52)</f>
        <v>23921.559200000003</v>
      </c>
      <c r="AX52" s="313">
        <f>SUMIFS(Drivers!BZ$10:BZ$69,PLAcctIDs,$I52)</f>
        <v>24515.619310000002</v>
      </c>
      <c r="AY52" s="313">
        <f>SUMIFS(Drivers!CA$10:CA$69,PLAcctIDs,$I52)</f>
        <v>25034.03043925</v>
      </c>
      <c r="AZ52" s="313">
        <f>SUMIFS(Drivers!CB$10:CB$69,PLAcctIDs,$I52)</f>
        <v>25454.57126611875</v>
      </c>
      <c r="BA52" s="313">
        <f>SUMIFS(Drivers!CC$10:CC$69,PLAcctIDs,$I52)</f>
        <v>25750.687237689534</v>
      </c>
      <c r="BB52" s="313">
        <f>SUMIFS(Drivers!CD$10:CD$69,PLAcctIDs,$I52)</f>
        <v>25890.700754285201</v>
      </c>
      <c r="BC52" s="313">
        <f>SUMIFS(Drivers!CE$10:CE$69,PLAcctIDs,$I52)</f>
        <v>26349.254436285115</v>
      </c>
      <c r="BD52" s="313">
        <f>SUMIFS(Drivers!CF$10:CF$69,PLAcctIDs,$I52)</f>
        <v>26774.10110263501</v>
      </c>
      <c r="BE52" s="313">
        <f>SUMIFS(Drivers!CG$10:CG$69,PLAcctIDs,$I52)</f>
        <v>27169.335416346134</v>
      </c>
      <c r="BF52" s="313">
        <f>SUMIFS(Drivers!CH$10:CH$69,PLAcctIDs,$I52)</f>
        <v>27543.013787337957</v>
      </c>
      <c r="BG52" s="313">
        <f>SUMIFS(Drivers!CI$10:CI$69,PLAcctIDs,$I52)</f>
        <v>27908.49122855132</v>
      </c>
      <c r="BH52" s="313">
        <f>SUMIFS(Drivers!CJ$10:CJ$69,PLAcctIDs,$I52)</f>
        <v>28286.106926952132</v>
      </c>
    </row>
    <row r="53" spans="2:60" ht="18.75" customHeight="1" outlineLevel="1">
      <c r="B53" s="284"/>
      <c r="C53" s="315"/>
      <c r="D53" s="288" t="s">
        <v>251</v>
      </c>
      <c r="E53" s="277" t="str">
        <f>IFERROR(INDEX(PBC_ACCOUNT_LIST[Drivers Section],MATCH('Data Summary'!I53,PBC_ACCOUNT_LIST[Id],0)),"")</f>
        <v>Opex</v>
      </c>
      <c r="F53" s="277" t="str">
        <f>IFERROR(INDEX(PBC_ACCOUNT_LIST[Summary Grouping],MATCH('Data Summary'!I53,PBC_ACCOUNT_LIST[Id],0)),"")</f>
        <v>G&amp;A</v>
      </c>
      <c r="G53" s="277"/>
      <c r="H53" s="277">
        <f>IFERROR(INDEX(PBC_ACCOUNT_LIST[Cash Flow Section],MATCH('Data Summary'!I53,PBC_ACCOUNT_LIST[Id],0)),"")</f>
        <v>0</v>
      </c>
      <c r="I53" s="277">
        <v>203</v>
      </c>
      <c r="J53" s="314"/>
      <c r="L53" s="313">
        <f>SUMIFS(Drivers!AN$10:AN$69,PLAcctIDs,$I53)</f>
        <v>0</v>
      </c>
      <c r="M53" s="313">
        <f>SUMIFS(Drivers!AO$10:AO$69,PLAcctIDs,$I53)</f>
        <v>350</v>
      </c>
      <c r="N53" s="313">
        <f>SUMIFS(Drivers!AP$10:AP$69,PLAcctIDs,$I53)</f>
        <v>362</v>
      </c>
      <c r="O53" s="313">
        <f>SUMIFS(Drivers!AQ$10:AQ$69,PLAcctIDs,$I53)</f>
        <v>375</v>
      </c>
      <c r="P53" s="313">
        <f>SUMIFS(Drivers!AR$10:AR$69,PLAcctIDs,$I53)</f>
        <v>388</v>
      </c>
      <c r="Q53" s="313">
        <f>SUMIFS(Drivers!AS$10:AS$69,PLAcctIDs,$I53)</f>
        <v>402</v>
      </c>
      <c r="R53" s="313">
        <f>SUMIFS(Drivers!AT$10:AT$69,PLAcctIDs,$I53)</f>
        <v>416</v>
      </c>
      <c r="S53" s="313">
        <f>SUMIFS(Drivers!AU$10:AU$69,PLAcctIDs,$I53)</f>
        <v>430</v>
      </c>
      <c r="T53" s="313">
        <f>SUMIFS(Drivers!AV$10:AV$69,PLAcctIDs,$I53)</f>
        <v>445</v>
      </c>
      <c r="U53" s="313">
        <f>SUMIFS(Drivers!AW$10:AW$69,PLAcctIDs,$I53)</f>
        <v>460.5</v>
      </c>
      <c r="V53" s="313">
        <f>SUMIFS(Drivers!AX$10:AX$69,PLAcctIDs,$I53)</f>
        <v>477</v>
      </c>
      <c r="W53" s="313">
        <f>SUMIFS(Drivers!AY$10:AY$69,PLAcctIDs,$I53)</f>
        <v>769</v>
      </c>
      <c r="X53" s="313">
        <f>SUMIFS(Drivers!AZ$10:AZ$69,PLAcctIDs,$I53)</f>
        <v>1364</v>
      </c>
      <c r="Y53" s="313">
        <f>SUMIFS(Drivers!BA$10:BA$69,PLAcctIDs,$I53)</f>
        <v>808</v>
      </c>
      <c r="Z53" s="313">
        <f>SUMIFS(Drivers!BB$10:BB$69,PLAcctIDs,$I53)</f>
        <v>1432</v>
      </c>
      <c r="AA53" s="313">
        <f>SUMIFS(Drivers!BC$10:BC$69,PLAcctIDs,$I53)</f>
        <v>848</v>
      </c>
      <c r="AB53" s="313">
        <f>SUMIFS(Drivers!BD$10:BD$69,PLAcctIDs,$I53)</f>
        <v>1504</v>
      </c>
      <c r="AC53" s="313">
        <f>SUMIFS(Drivers!BE$10:BE$69,PLAcctIDs,$I53)</f>
        <v>890</v>
      </c>
      <c r="AD53" s="313">
        <f>SUMIFS(Drivers!BF$10:BF$69,PLAcctIDs,$I53)</f>
        <v>1579</v>
      </c>
      <c r="AE53" s="313">
        <f>SUMIFS(Drivers!BG$10:BG$69,PLAcctIDs,$I53)</f>
        <v>1658</v>
      </c>
      <c r="AF53" s="313">
        <f>SUMIFS(Drivers!BH$10:BH$69,PLAcctIDs,$I53)</f>
        <v>1658</v>
      </c>
      <c r="AG53" s="313">
        <f>SUMIFS(Drivers!BI$10:BI$69,PLAcctIDs,$I53)</f>
        <v>1741</v>
      </c>
      <c r="AH53" s="313">
        <f>SUMIFS(Drivers!BJ$10:BJ$69,PLAcctIDs,$I53)</f>
        <v>1741</v>
      </c>
      <c r="AI53" s="313">
        <f>SUMIFS(Drivers!BK$10:BK$69,PLAcctIDs,$I53)</f>
        <v>1828</v>
      </c>
      <c r="AJ53" s="313">
        <f>SUMIFS(Drivers!BL$10:BL$69,PLAcctIDs,$I53)</f>
        <v>1920</v>
      </c>
      <c r="AK53" s="313">
        <f>SUMIFS(Drivers!BM$10:BM$69,PLAcctIDs,$I53)</f>
        <v>2015.65</v>
      </c>
      <c r="AL53" s="313">
        <f>SUMIFS(Drivers!BN$10:BN$69,PLAcctIDs,$I53)</f>
        <v>2116</v>
      </c>
      <c r="AM53" s="313">
        <f>SUMIFS(Drivers!BO$10:BO$69,PLAcctIDs,$I53)</f>
        <v>2222</v>
      </c>
      <c r="AN53" s="313">
        <f>SUMIFS(Drivers!BP$10:BP$69,PLAcctIDs,$I53)</f>
        <v>2333</v>
      </c>
      <c r="AO53" s="313">
        <f>SUMIFS(Drivers!BQ$10:BQ$69,PLAcctIDs,$I53)</f>
        <v>2450</v>
      </c>
      <c r="AP53" s="313">
        <f>SUMIFS(Drivers!BR$10:BR$69,PLAcctIDs,$I53)</f>
        <v>2572.5300000000002</v>
      </c>
      <c r="AQ53" s="313">
        <f>SUMIFS(Drivers!BS$10:BS$69,PLAcctIDs,$I53)</f>
        <v>2701.16</v>
      </c>
      <c r="AR53" s="313">
        <f>SUMIFS(Drivers!BT$10:BT$69,PLAcctIDs,$I53)</f>
        <v>2836.22</v>
      </c>
      <c r="AS53" s="313">
        <f>SUMIFS(Drivers!BU$10:BU$69,PLAcctIDs,$I53)</f>
        <v>2978.03</v>
      </c>
      <c r="AT53" s="313">
        <f>SUMIFS(Drivers!BV$10:BV$69,PLAcctIDs,$I53)</f>
        <v>3126.93</v>
      </c>
      <c r="AU53" s="313">
        <f>SUMIFS(Drivers!BW$10:BW$69,PLAcctIDs,$I53)</f>
        <v>3283.28</v>
      </c>
      <c r="AV53" s="313">
        <f>SUMIFS(Drivers!BX$10:BX$69,PLAcctIDs,$I53)</f>
        <v>3062.1762500000004</v>
      </c>
      <c r="AW53" s="313">
        <f>SUMIFS(Drivers!BY$10:BY$69,PLAcctIDs,$I53)</f>
        <v>3147.86434375</v>
      </c>
      <c r="AX53" s="313">
        <f>SUMIFS(Drivers!BZ$10:BZ$69,PLAcctIDs,$I53)</f>
        <v>3226.0376039062508</v>
      </c>
      <c r="AY53" s="313">
        <f>SUMIFS(Drivers!CA$10:CA$69,PLAcctIDs,$I53)</f>
        <v>3294.2556845898439</v>
      </c>
      <c r="AZ53" s="313">
        <f>SUMIFS(Drivers!CB$10:CB$69,PLAcctIDs,$I53)</f>
        <v>3349.5951793930662</v>
      </c>
      <c r="BA53" s="313">
        <f>SUMIFS(Drivers!CC$10:CC$69,PLAcctIDs,$I53)</f>
        <v>3388.5615857868534</v>
      </c>
      <c r="BB53" s="313">
        <f>SUMIFS(Drivers!CD$10:CD$69,PLAcctIDs,$I53)</f>
        <v>3406.9858632995524</v>
      </c>
      <c r="BC53" s="313">
        <f>SUMIFS(Drivers!CE$10:CE$69,PLAcctIDs,$I53)</f>
        <v>3467.3275456269748</v>
      </c>
      <c r="BD53" s="313">
        <f>SUMIFS(Drivers!CF$10:CF$69,PLAcctIDs,$I53)</f>
        <v>3523.2336059554445</v>
      </c>
      <c r="BE53" s="313">
        <f>SUMIFS(Drivers!CG$10:CG$69,PLAcctIDs,$I53)</f>
        <v>3575.2429063140539</v>
      </c>
      <c r="BF53" s="313">
        <f>SUMIFS(Drivers!CH$10:CH$69,PLAcctIDs,$I53)</f>
        <v>3624.4156701157913</v>
      </c>
      <c r="BG53" s="313">
        <f>SUMIFS(Drivers!CI$10:CI$69,PLAcctIDs,$I53)</f>
        <v>3672.5092559922678</v>
      </c>
      <c r="BH53" s="313">
        <f>SUMIFS(Drivers!CJ$10:CJ$69,PLAcctIDs,$I53)</f>
        <v>3722.2000982782147</v>
      </c>
    </row>
    <row r="54" spans="2:60" ht="18.75" customHeight="1" outlineLevel="1">
      <c r="B54" s="284"/>
      <c r="C54" s="315"/>
      <c r="D54" s="288" t="s">
        <v>232</v>
      </c>
      <c r="E54" s="277" t="str">
        <f>IFERROR(INDEX(PBC_ACCOUNT_LIST[Drivers Section],MATCH('Data Summary'!I54,PBC_ACCOUNT_LIST[Id],0)),"")</f>
        <v>Opex</v>
      </c>
      <c r="F54" s="277" t="str">
        <f>IFERROR(INDEX(PBC_ACCOUNT_LIST[Summary Grouping],MATCH('Data Summary'!I54,PBC_ACCOUNT_LIST[Id],0)),"")</f>
        <v>Professional Services</v>
      </c>
      <c r="G54" s="277"/>
      <c r="H54" s="277">
        <f>IFERROR(INDEX(PBC_ACCOUNT_LIST[Cash Flow Section],MATCH('Data Summary'!I54,PBC_ACCOUNT_LIST[Id],0)),"")</f>
        <v>0</v>
      </c>
      <c r="I54" s="277">
        <v>172</v>
      </c>
      <c r="J54" s="314"/>
      <c r="L54" s="313">
        <f>SUMIFS(Drivers!AN$10:AN$69,PLAcctIDs,$I54)</f>
        <v>0</v>
      </c>
      <c r="M54" s="313">
        <f>SUMIFS(Drivers!AO$10:AO$69,PLAcctIDs,$I54)</f>
        <v>0</v>
      </c>
      <c r="N54" s="313">
        <f>SUMIFS(Drivers!AP$10:AP$69,PLAcctIDs,$I54)</f>
        <v>0</v>
      </c>
      <c r="O54" s="313">
        <f>SUMIFS(Drivers!AQ$10:AQ$69,PLAcctIDs,$I54)</f>
        <v>0</v>
      </c>
      <c r="P54" s="313">
        <f>SUMIFS(Drivers!AR$10:AR$69,PLAcctIDs,$I54)</f>
        <v>0</v>
      </c>
      <c r="Q54" s="313">
        <f>SUMIFS(Drivers!AS$10:AS$69,PLAcctIDs,$I54)</f>
        <v>0</v>
      </c>
      <c r="R54" s="313">
        <f>SUMIFS(Drivers!AT$10:AT$69,PLAcctIDs,$I54)</f>
        <v>0</v>
      </c>
      <c r="S54" s="313">
        <f>SUMIFS(Drivers!AU$10:AU$69,PLAcctIDs,$I54)</f>
        <v>0</v>
      </c>
      <c r="T54" s="313">
        <f>SUMIFS(Drivers!AV$10:AV$69,PLAcctIDs,$I54)</f>
        <v>0</v>
      </c>
      <c r="U54" s="313">
        <f>SUMIFS(Drivers!AW$10:AW$69,PLAcctIDs,$I54)</f>
        <v>0</v>
      </c>
      <c r="V54" s="313">
        <f>SUMIFS(Drivers!AX$10:AX$69,PLAcctIDs,$I54)</f>
        <v>0</v>
      </c>
      <c r="W54" s="313">
        <f>SUMIFS(Drivers!AY$10:AY$69,PLAcctIDs,$I54)</f>
        <v>0</v>
      </c>
      <c r="X54" s="313">
        <f>SUMIFS(Drivers!AZ$10:AZ$69,PLAcctIDs,$I54)</f>
        <v>0</v>
      </c>
      <c r="Y54" s="313">
        <f>SUMIFS(Drivers!BA$10:BA$69,PLAcctIDs,$I54)</f>
        <v>0</v>
      </c>
      <c r="Z54" s="313">
        <f>SUMIFS(Drivers!BB$10:BB$69,PLAcctIDs,$I54)</f>
        <v>0</v>
      </c>
      <c r="AA54" s="313">
        <f>SUMIFS(Drivers!BC$10:BC$69,PLAcctIDs,$I54)</f>
        <v>0</v>
      </c>
      <c r="AB54" s="313">
        <f>SUMIFS(Drivers!BD$10:BD$69,PLAcctIDs,$I54)</f>
        <v>0</v>
      </c>
      <c r="AC54" s="313">
        <f>SUMIFS(Drivers!BE$10:BE$69,PLAcctIDs,$I54)</f>
        <v>0</v>
      </c>
      <c r="AD54" s="313">
        <f>SUMIFS(Drivers!BF$10:BF$69,PLAcctIDs,$I54)</f>
        <v>0</v>
      </c>
      <c r="AE54" s="313">
        <f>SUMIFS(Drivers!BG$10:BG$69,PLAcctIDs,$I54)</f>
        <v>0</v>
      </c>
      <c r="AF54" s="313">
        <f>SUMIFS(Drivers!BH$10:BH$69,PLAcctIDs,$I54)</f>
        <v>0</v>
      </c>
      <c r="AG54" s="313">
        <f>SUMIFS(Drivers!BI$10:BI$69,PLAcctIDs,$I54)</f>
        <v>0</v>
      </c>
      <c r="AH54" s="313">
        <f>SUMIFS(Drivers!BJ$10:BJ$69,PLAcctIDs,$I54)</f>
        <v>0</v>
      </c>
      <c r="AI54" s="313">
        <f>SUMIFS(Drivers!BK$10:BK$69,PLAcctIDs,$I54)</f>
        <v>0</v>
      </c>
      <c r="AJ54" s="313">
        <f>SUMIFS(Drivers!BL$10:BL$69,PLAcctIDs,$I54)</f>
        <v>0</v>
      </c>
      <c r="AK54" s="313">
        <f>SUMIFS(Drivers!BM$10:BM$69,PLAcctIDs,$I54)</f>
        <v>0</v>
      </c>
      <c r="AL54" s="313">
        <f>SUMIFS(Drivers!BN$10:BN$69,PLAcctIDs,$I54)</f>
        <v>0</v>
      </c>
      <c r="AM54" s="313">
        <f>SUMIFS(Drivers!BO$10:BO$69,PLAcctIDs,$I54)</f>
        <v>0</v>
      </c>
      <c r="AN54" s="313">
        <f>SUMIFS(Drivers!BP$10:BP$69,PLAcctIDs,$I54)</f>
        <v>0</v>
      </c>
      <c r="AO54" s="313">
        <f>SUMIFS(Drivers!BQ$10:BQ$69,PLAcctIDs,$I54)</f>
        <v>0</v>
      </c>
      <c r="AP54" s="313">
        <f>SUMIFS(Drivers!BR$10:BR$69,PLAcctIDs,$I54)</f>
        <v>0</v>
      </c>
      <c r="AQ54" s="313">
        <f>SUMIFS(Drivers!BS$10:BS$69,PLAcctIDs,$I54)</f>
        <v>0</v>
      </c>
      <c r="AR54" s="313">
        <f>SUMIFS(Drivers!BT$10:BT$69,PLAcctIDs,$I54)</f>
        <v>0</v>
      </c>
      <c r="AS54" s="313">
        <f>SUMIFS(Drivers!BU$10:BU$69,PLAcctIDs,$I54)</f>
        <v>0</v>
      </c>
      <c r="AT54" s="313">
        <f>SUMIFS(Drivers!BV$10:BV$69,PLAcctIDs,$I54)</f>
        <v>0</v>
      </c>
      <c r="AU54" s="313">
        <f>SUMIFS(Drivers!BW$10:BW$69,PLAcctIDs,$I54)</f>
        <v>0</v>
      </c>
      <c r="AV54" s="313">
        <f>SUMIFS(Drivers!BX$10:BX$69,PLAcctIDs,$I54)</f>
        <v>0</v>
      </c>
      <c r="AW54" s="313">
        <f>SUMIFS(Drivers!BY$10:BY$69,PLAcctIDs,$I54)</f>
        <v>0</v>
      </c>
      <c r="AX54" s="313">
        <f>SUMIFS(Drivers!BZ$10:BZ$69,PLAcctIDs,$I54)</f>
        <v>0</v>
      </c>
      <c r="AY54" s="313">
        <f>SUMIFS(Drivers!CA$10:CA$69,PLAcctIDs,$I54)</f>
        <v>0</v>
      </c>
      <c r="AZ54" s="313">
        <f>SUMIFS(Drivers!CB$10:CB$69,PLAcctIDs,$I54)</f>
        <v>0</v>
      </c>
      <c r="BA54" s="313">
        <f>SUMIFS(Drivers!CC$10:CC$69,PLAcctIDs,$I54)</f>
        <v>0</v>
      </c>
      <c r="BB54" s="313">
        <f>SUMIFS(Drivers!CD$10:CD$69,PLAcctIDs,$I54)</f>
        <v>0</v>
      </c>
      <c r="BC54" s="313">
        <f>SUMIFS(Drivers!CE$10:CE$69,PLAcctIDs,$I54)</f>
        <v>0</v>
      </c>
      <c r="BD54" s="313">
        <f>SUMIFS(Drivers!CF$10:CF$69,PLAcctIDs,$I54)</f>
        <v>0</v>
      </c>
      <c r="BE54" s="313">
        <f>SUMIFS(Drivers!CG$10:CG$69,PLAcctIDs,$I54)</f>
        <v>0</v>
      </c>
      <c r="BF54" s="313">
        <f>SUMIFS(Drivers!CH$10:CH$69,PLAcctIDs,$I54)</f>
        <v>0</v>
      </c>
      <c r="BG54" s="313">
        <f>SUMIFS(Drivers!CI$10:CI$69,PLAcctIDs,$I54)</f>
        <v>0</v>
      </c>
      <c r="BH54" s="313">
        <f>SUMIFS(Drivers!CJ$10:CJ$69,PLAcctIDs,$I54)</f>
        <v>0</v>
      </c>
    </row>
    <row r="55" spans="2:60" ht="18.75" customHeight="1" outlineLevel="1">
      <c r="B55" s="284"/>
      <c r="C55" s="315"/>
      <c r="D55" s="288" t="s">
        <v>233</v>
      </c>
      <c r="E55" s="277" t="str">
        <f>IFERROR(INDEX(PBC_ACCOUNT_LIST[Drivers Section],MATCH('Data Summary'!I55,PBC_ACCOUNT_LIST[Id],0)),"")</f>
        <v>Opex</v>
      </c>
      <c r="F55" s="277" t="str">
        <f>IFERROR(INDEX(PBC_ACCOUNT_LIST[Summary Grouping],MATCH('Data Summary'!I55,PBC_ACCOUNT_LIST[Id],0)),"")</f>
        <v>Professional Services</v>
      </c>
      <c r="G55" s="277"/>
      <c r="H55" s="277">
        <f>IFERROR(INDEX(PBC_ACCOUNT_LIST[Cash Flow Section],MATCH('Data Summary'!I55,PBC_ACCOUNT_LIST[Id],0)),"")</f>
        <v>0</v>
      </c>
      <c r="I55" s="277">
        <v>173</v>
      </c>
      <c r="J55" s="314"/>
      <c r="L55" s="313">
        <f>SUMIFS(Drivers!AN$10:AN$69,PLAcctIDs,$I55)</f>
        <v>0</v>
      </c>
      <c r="M55" s="313">
        <f>SUMIFS(Drivers!AO$10:AO$69,PLAcctIDs,$I55)</f>
        <v>1000</v>
      </c>
      <c r="N55" s="313">
        <f>SUMIFS(Drivers!AP$10:AP$69,PLAcctIDs,$I55)</f>
        <v>1035</v>
      </c>
      <c r="O55" s="313">
        <f>SUMIFS(Drivers!AQ$10:AQ$69,PLAcctIDs,$I55)</f>
        <v>1071</v>
      </c>
      <c r="P55" s="313">
        <f>SUMIFS(Drivers!AR$10:AR$69,PLAcctIDs,$I55)</f>
        <v>1109</v>
      </c>
      <c r="Q55" s="313">
        <f>SUMIFS(Drivers!AS$10:AS$69,PLAcctIDs,$I55)</f>
        <v>1148</v>
      </c>
      <c r="R55" s="313">
        <f>SUMIFS(Drivers!AT$10:AT$69,PLAcctIDs,$I55)</f>
        <v>1188</v>
      </c>
      <c r="S55" s="313">
        <f>SUMIFS(Drivers!AU$10:AU$69,PLAcctIDs,$I55)</f>
        <v>1229</v>
      </c>
      <c r="T55" s="313">
        <f>SUMIFS(Drivers!AV$10:AV$69,PLAcctIDs,$I55)</f>
        <v>1272</v>
      </c>
      <c r="U55" s="313">
        <f>SUMIFS(Drivers!AW$10:AW$69,PLAcctIDs,$I55)</f>
        <v>1317</v>
      </c>
      <c r="V55" s="313">
        <f>SUMIFS(Drivers!AX$10:AX$69,PLAcctIDs,$I55)</f>
        <v>1363</v>
      </c>
      <c r="W55" s="313">
        <f>SUMIFS(Drivers!AY$10:AY$69,PLAcctIDs,$I55)</f>
        <v>2218</v>
      </c>
      <c r="X55" s="313">
        <f>SUMIFS(Drivers!AZ$10:AZ$69,PLAcctIDs,$I55)</f>
        <v>2810</v>
      </c>
      <c r="Y55" s="313">
        <f>SUMIFS(Drivers!BA$10:BA$69,PLAcctIDs,$I55)</f>
        <v>2328</v>
      </c>
      <c r="Z55" s="313">
        <f>SUMIFS(Drivers!BB$10:BB$69,PLAcctIDs,$I55)</f>
        <v>2950</v>
      </c>
      <c r="AA55" s="313">
        <f>SUMIFS(Drivers!BC$10:BC$69,PLAcctIDs,$I55)</f>
        <v>2445</v>
      </c>
      <c r="AB55" s="313">
        <f>SUMIFS(Drivers!BD$10:BD$69,PLAcctIDs,$I55)</f>
        <v>3098</v>
      </c>
      <c r="AC55" s="313">
        <f>SUMIFS(Drivers!BE$10:BE$69,PLAcctIDs,$I55)</f>
        <v>2567</v>
      </c>
      <c r="AD55" s="313">
        <f>SUMIFS(Drivers!BF$10:BF$69,PLAcctIDs,$I55)</f>
        <v>3253</v>
      </c>
      <c r="AE55" s="313">
        <f>SUMIFS(Drivers!BG$10:BG$69,PLAcctIDs,$I55)</f>
        <v>3416</v>
      </c>
      <c r="AF55" s="313">
        <f>SUMIFS(Drivers!BH$10:BH$69,PLAcctIDs,$I55)</f>
        <v>3416</v>
      </c>
      <c r="AG55" s="313">
        <f>SUMIFS(Drivers!BI$10:BI$69,PLAcctIDs,$I55)</f>
        <v>3586</v>
      </c>
      <c r="AH55" s="313">
        <f>SUMIFS(Drivers!BJ$10:BJ$69,PLAcctIDs,$I55)</f>
        <v>3586</v>
      </c>
      <c r="AI55" s="313">
        <f>SUMIFS(Drivers!BK$10:BK$69,PLAcctIDs,$I55)</f>
        <v>3766</v>
      </c>
      <c r="AJ55" s="313">
        <f>SUMIFS(Drivers!BL$10:BL$69,PLAcctIDs,$I55)</f>
        <v>3954</v>
      </c>
      <c r="AK55" s="313">
        <f>SUMIFS(Drivers!BM$10:BM$69,PLAcctIDs,$I55)</f>
        <v>4151.6099999999997</v>
      </c>
      <c r="AL55" s="313">
        <f>SUMIFS(Drivers!BN$10:BN$69,PLAcctIDs,$I55)</f>
        <v>4359</v>
      </c>
      <c r="AM55" s="313">
        <f>SUMIFS(Drivers!BO$10:BO$69,PLAcctIDs,$I55)</f>
        <v>4577</v>
      </c>
      <c r="AN55" s="313">
        <f>SUMIFS(Drivers!BP$10:BP$69,PLAcctIDs,$I55)</f>
        <v>4806</v>
      </c>
      <c r="AO55" s="313">
        <f>SUMIFS(Drivers!BQ$10:BQ$69,PLAcctIDs,$I55)</f>
        <v>5046</v>
      </c>
      <c r="AP55" s="313">
        <f>SUMIFS(Drivers!BR$10:BR$69,PLAcctIDs,$I55)</f>
        <v>5298.63</v>
      </c>
      <c r="AQ55" s="313">
        <f>SUMIFS(Drivers!BS$10:BS$69,PLAcctIDs,$I55)</f>
        <v>5563.56</v>
      </c>
      <c r="AR55" s="313">
        <f>SUMIFS(Drivers!BT$10:BT$69,PLAcctIDs,$I55)</f>
        <v>5841.73</v>
      </c>
      <c r="AS55" s="313">
        <f>SUMIFS(Drivers!BU$10:BU$69,PLAcctIDs,$I55)</f>
        <v>6133.82</v>
      </c>
      <c r="AT55" s="313">
        <f>SUMIFS(Drivers!BV$10:BV$69,PLAcctIDs,$I55)</f>
        <v>6440.51</v>
      </c>
      <c r="AU55" s="313">
        <f>SUMIFS(Drivers!BW$10:BW$69,PLAcctIDs,$I55)</f>
        <v>6762.54</v>
      </c>
      <c r="AV55" s="313">
        <f>SUMIFS(Drivers!BX$10:BX$69,PLAcctIDs,$I55)</f>
        <v>6307.13825</v>
      </c>
      <c r="AW55" s="313">
        <f>SUMIFS(Drivers!BY$10:BY$69,PLAcctIDs,$I55)</f>
        <v>6483.6271937500014</v>
      </c>
      <c r="AX55" s="313">
        <f>SUMIFS(Drivers!BZ$10:BZ$69,PLAcctIDs,$I55)</f>
        <v>6644.6389526562507</v>
      </c>
      <c r="AY55" s="313">
        <f>SUMIFS(Drivers!CA$10:CA$69,PLAcctIDs,$I55)</f>
        <v>6785.148019371095</v>
      </c>
      <c r="AZ55" s="313">
        <f>SUMIFS(Drivers!CB$10:CB$69,PLAcctIDs,$I55)</f>
        <v>6899.1304227610372</v>
      </c>
      <c r="BA55" s="313">
        <f>SUMIFS(Drivers!CC$10:CC$69,PLAcctIDs,$I55)</f>
        <v>6979.3889967442183</v>
      </c>
      <c r="BB55" s="313">
        <f>SUMIFS(Drivers!CD$10:CD$69,PLAcctIDs,$I55)</f>
        <v>7017.3375711744548</v>
      </c>
      <c r="BC55" s="313">
        <f>SUMIFS(Drivers!CE$10:CE$69,PLAcctIDs,$I55)</f>
        <v>7141.6224523799856</v>
      </c>
      <c r="BD55" s="313">
        <f>SUMIFS(Drivers!CF$10:CF$69,PLAcctIDs,$I55)</f>
        <v>7256.7716226402317</v>
      </c>
      <c r="BE55" s="313">
        <f>SUMIFS(Drivers!CG$10:CG$69,PLAcctIDs,$I55)</f>
        <v>7363.89483988743</v>
      </c>
      <c r="BF55" s="313">
        <f>SUMIFS(Drivers!CH$10:CH$69,PLAcctIDs,$I55)</f>
        <v>7465.1755334777872</v>
      </c>
      <c r="BG55" s="313">
        <f>SUMIFS(Drivers!CI$10:CI$69,PLAcctIDs,$I55)</f>
        <v>7564.233427853218</v>
      </c>
      <c r="BH55" s="313">
        <f>SUMIFS(Drivers!CJ$10:CJ$69,PLAcctIDs,$I55)</f>
        <v>7666.5812032972935</v>
      </c>
    </row>
    <row r="56" spans="2:60" ht="18.75" customHeight="1" outlineLevel="1">
      <c r="B56" s="284"/>
      <c r="C56" s="315"/>
      <c r="D56" s="288" t="s">
        <v>234</v>
      </c>
      <c r="E56" s="277" t="str">
        <f>IFERROR(INDEX(PBC_ACCOUNT_LIST[Drivers Section],MATCH('Data Summary'!I56,PBC_ACCOUNT_LIST[Id],0)),"")</f>
        <v>Opex</v>
      </c>
      <c r="F56" s="277" t="str">
        <f>IFERROR(INDEX(PBC_ACCOUNT_LIST[Summary Grouping],MATCH('Data Summary'!I56,PBC_ACCOUNT_LIST[Id],0)),"")</f>
        <v>Marketing &amp; Advertising</v>
      </c>
      <c r="G56" s="277"/>
      <c r="H56" s="277">
        <f>IFERROR(INDEX(PBC_ACCOUNT_LIST[Cash Flow Section],MATCH('Data Summary'!I56,PBC_ACCOUNT_LIST[Id],0)),"")</f>
        <v>0</v>
      </c>
      <c r="I56" s="277">
        <v>174</v>
      </c>
      <c r="J56" s="314"/>
      <c r="L56" s="313">
        <f>SUMIFS(Drivers!AN$10:AN$69,PLAcctIDs,$I56)</f>
        <v>0</v>
      </c>
      <c r="M56" s="313">
        <f>SUMIFS(Drivers!AO$10:AO$69,PLAcctIDs,$I56)</f>
        <v>0</v>
      </c>
      <c r="N56" s="313">
        <f>SUMIFS(Drivers!AP$10:AP$69,PLAcctIDs,$I56)</f>
        <v>0</v>
      </c>
      <c r="O56" s="313">
        <f>SUMIFS(Drivers!AQ$10:AQ$69,PLAcctIDs,$I56)</f>
        <v>0</v>
      </c>
      <c r="P56" s="313">
        <f>SUMIFS(Drivers!AR$10:AR$69,PLAcctIDs,$I56)</f>
        <v>0</v>
      </c>
      <c r="Q56" s="313">
        <f>SUMIFS(Drivers!AS$10:AS$69,PLAcctIDs,$I56)</f>
        <v>0</v>
      </c>
      <c r="R56" s="313">
        <f>SUMIFS(Drivers!AT$10:AT$69,PLAcctIDs,$I56)</f>
        <v>0</v>
      </c>
      <c r="S56" s="313">
        <f>SUMIFS(Drivers!AU$10:AU$69,PLAcctIDs,$I56)</f>
        <v>0</v>
      </c>
      <c r="T56" s="313">
        <f>SUMIFS(Drivers!AV$10:AV$69,PLAcctIDs,$I56)</f>
        <v>0</v>
      </c>
      <c r="U56" s="313">
        <f>SUMIFS(Drivers!AW$10:AW$69,PLAcctIDs,$I56)</f>
        <v>0</v>
      </c>
      <c r="V56" s="313">
        <f>SUMIFS(Drivers!AX$10:AX$69,PLAcctIDs,$I56)</f>
        <v>0</v>
      </c>
      <c r="W56" s="313">
        <f>SUMIFS(Drivers!AY$10:AY$69,PLAcctIDs,$I56)</f>
        <v>0</v>
      </c>
      <c r="X56" s="313">
        <f>SUMIFS(Drivers!AZ$10:AZ$69,PLAcctIDs,$I56)</f>
        <v>0</v>
      </c>
      <c r="Y56" s="313">
        <f>SUMIFS(Drivers!BA$10:BA$69,PLAcctIDs,$I56)</f>
        <v>0</v>
      </c>
      <c r="Z56" s="313">
        <f>SUMIFS(Drivers!BB$10:BB$69,PLAcctIDs,$I56)</f>
        <v>0</v>
      </c>
      <c r="AA56" s="313">
        <f>SUMIFS(Drivers!BC$10:BC$69,PLAcctIDs,$I56)</f>
        <v>0</v>
      </c>
      <c r="AB56" s="313">
        <f>SUMIFS(Drivers!BD$10:BD$69,PLAcctIDs,$I56)</f>
        <v>0</v>
      </c>
      <c r="AC56" s="313">
        <f>SUMIFS(Drivers!BE$10:BE$69,PLAcctIDs,$I56)</f>
        <v>0</v>
      </c>
      <c r="AD56" s="313">
        <f>SUMIFS(Drivers!BF$10:BF$69,PLAcctIDs,$I56)</f>
        <v>0</v>
      </c>
      <c r="AE56" s="313">
        <f>SUMIFS(Drivers!BG$10:BG$69,PLAcctIDs,$I56)</f>
        <v>0</v>
      </c>
      <c r="AF56" s="313">
        <f>SUMIFS(Drivers!BH$10:BH$69,PLAcctIDs,$I56)</f>
        <v>0</v>
      </c>
      <c r="AG56" s="313">
        <f>SUMIFS(Drivers!BI$10:BI$69,PLAcctIDs,$I56)</f>
        <v>0</v>
      </c>
      <c r="AH56" s="313">
        <f>SUMIFS(Drivers!BJ$10:BJ$69,PLAcctIDs,$I56)</f>
        <v>0</v>
      </c>
      <c r="AI56" s="313">
        <f>SUMIFS(Drivers!BK$10:BK$69,PLAcctIDs,$I56)</f>
        <v>0</v>
      </c>
      <c r="AJ56" s="313">
        <f>SUMIFS(Drivers!BL$10:BL$69,PLAcctIDs,$I56)</f>
        <v>0</v>
      </c>
      <c r="AK56" s="313">
        <f>SUMIFS(Drivers!BM$10:BM$69,PLAcctIDs,$I56)</f>
        <v>0</v>
      </c>
      <c r="AL56" s="313">
        <f>SUMIFS(Drivers!BN$10:BN$69,PLAcctIDs,$I56)</f>
        <v>0</v>
      </c>
      <c r="AM56" s="313">
        <f>SUMIFS(Drivers!BO$10:BO$69,PLAcctIDs,$I56)</f>
        <v>0</v>
      </c>
      <c r="AN56" s="313">
        <f>SUMIFS(Drivers!BP$10:BP$69,PLAcctIDs,$I56)</f>
        <v>0</v>
      </c>
      <c r="AO56" s="313">
        <f>SUMIFS(Drivers!BQ$10:BQ$69,PLAcctIDs,$I56)</f>
        <v>0</v>
      </c>
      <c r="AP56" s="313">
        <f>SUMIFS(Drivers!BR$10:BR$69,PLAcctIDs,$I56)</f>
        <v>0</v>
      </c>
      <c r="AQ56" s="313">
        <f>SUMIFS(Drivers!BS$10:BS$69,PLAcctIDs,$I56)</f>
        <v>0</v>
      </c>
      <c r="AR56" s="313">
        <f>SUMIFS(Drivers!BT$10:BT$69,PLAcctIDs,$I56)</f>
        <v>500</v>
      </c>
      <c r="AS56" s="313">
        <f>SUMIFS(Drivers!BU$10:BU$69,PLAcctIDs,$I56)</f>
        <v>0</v>
      </c>
      <c r="AT56" s="313">
        <f>SUMIFS(Drivers!BV$10:BV$69,PLAcctIDs,$I56)</f>
        <v>0</v>
      </c>
      <c r="AU56" s="313">
        <f>SUMIFS(Drivers!BW$10:BW$69,PLAcctIDs,$I56)</f>
        <v>0</v>
      </c>
      <c r="AV56" s="313">
        <f>SUMIFS(Drivers!BX$10:BX$69,PLAcctIDs,$I56)</f>
        <v>87.5</v>
      </c>
      <c r="AW56" s="313">
        <f>SUMIFS(Drivers!BY$10:BY$69,PLAcctIDs,$I56)</f>
        <v>102.81250000000001</v>
      </c>
      <c r="AX56" s="313">
        <f>SUMIFS(Drivers!BZ$10:BZ$69,PLAcctIDs,$I56)</f>
        <v>120.8046875</v>
      </c>
      <c r="AY56" s="313">
        <f>SUMIFS(Drivers!CA$10:CA$69,PLAcctIDs,$I56)</f>
        <v>54.445507812500004</v>
      </c>
      <c r="AZ56" s="313">
        <f>SUMIFS(Drivers!CB$10:CB$69,PLAcctIDs,$I56)</f>
        <v>63.973471679687506</v>
      </c>
      <c r="BA56" s="313">
        <f>SUMIFS(Drivers!CC$10:CC$69,PLAcctIDs,$I56)</f>
        <v>75.168829223632827</v>
      </c>
      <c r="BB56" s="313">
        <f>SUMIFS(Drivers!CD$10:CD$69,PLAcctIDs,$I56)</f>
        <v>88.323374337768556</v>
      </c>
      <c r="BC56" s="313">
        <f>SUMIFS(Drivers!CE$10:CE$69,PLAcctIDs,$I56)</f>
        <v>88.467464846878059</v>
      </c>
      <c r="BD56" s="313">
        <f>SUMIFS(Drivers!CF$10:CF$69,PLAcctIDs,$I56)</f>
        <v>85.957083695081721</v>
      </c>
      <c r="BE56" s="313">
        <f>SUMIFS(Drivers!CG$10:CG$69,PLAcctIDs,$I56)</f>
        <v>79.85875302922102</v>
      </c>
      <c r="BF56" s="313">
        <f>SUMIFS(Drivers!CH$10:CH$69,PLAcctIDs,$I56)</f>
        <v>84.306070942147201</v>
      </c>
      <c r="BG56" s="313">
        <f>SUMIFS(Drivers!CI$10:CI$69,PLAcctIDs,$I56)</f>
        <v>87.86427581307764</v>
      </c>
      <c r="BH56" s="313">
        <f>SUMIFS(Drivers!CJ$10:CJ$69,PLAcctIDs,$I56)</f>
        <v>90.085978966230485</v>
      </c>
    </row>
    <row r="57" spans="2:60" ht="18.75" customHeight="1" outlineLevel="1">
      <c r="B57" s="284"/>
      <c r="C57" s="315"/>
      <c r="D57" s="288" t="s">
        <v>235</v>
      </c>
      <c r="E57" s="277" t="str">
        <f>IFERROR(INDEX(PBC_ACCOUNT_LIST[Drivers Section],MATCH('Data Summary'!I57,PBC_ACCOUNT_LIST[Id],0)),"")</f>
        <v>Opex</v>
      </c>
      <c r="F57" s="277" t="str">
        <f>IFERROR(INDEX(PBC_ACCOUNT_LIST[Summary Grouping],MATCH('Data Summary'!I57,PBC_ACCOUNT_LIST[Id],0)),"")</f>
        <v>Professional Services</v>
      </c>
      <c r="G57" s="277"/>
      <c r="H57" s="277">
        <f>IFERROR(INDEX(PBC_ACCOUNT_LIST[Cash Flow Section],MATCH('Data Summary'!I57,PBC_ACCOUNT_LIST[Id],0)),"")</f>
        <v>0</v>
      </c>
      <c r="I57" s="277">
        <v>175</v>
      </c>
      <c r="J57" s="314"/>
      <c r="L57" s="313">
        <f>SUMIFS(Drivers!AN$10:AN$69,PLAcctIDs,$I57)</f>
        <v>0</v>
      </c>
      <c r="M57" s="313">
        <f>SUMIFS(Drivers!AO$10:AO$69,PLAcctIDs,$I57)</f>
        <v>1500</v>
      </c>
      <c r="N57" s="313">
        <f>SUMIFS(Drivers!AP$10:AP$69,PLAcctIDs,$I57)</f>
        <v>1553</v>
      </c>
      <c r="O57" s="313">
        <f>SUMIFS(Drivers!AQ$10:AQ$69,PLAcctIDs,$I57)</f>
        <v>1607</v>
      </c>
      <c r="P57" s="313">
        <f>SUMIFS(Drivers!AR$10:AR$69,PLAcctIDs,$I57)</f>
        <v>1663</v>
      </c>
      <c r="Q57" s="313">
        <f>SUMIFS(Drivers!AS$10:AS$69,PLAcctIDs,$I57)</f>
        <v>1721</v>
      </c>
      <c r="R57" s="313">
        <f>SUMIFS(Drivers!AT$10:AT$69,PLAcctIDs,$I57)</f>
        <v>1782</v>
      </c>
      <c r="S57" s="313">
        <f>SUMIFS(Drivers!AU$10:AU$69,PLAcctIDs,$I57)</f>
        <v>1844</v>
      </c>
      <c r="T57" s="313">
        <f>SUMIFS(Drivers!AV$10:AV$69,PLAcctIDs,$I57)</f>
        <v>1908</v>
      </c>
      <c r="U57" s="313">
        <f>SUMIFS(Drivers!AW$10:AW$69,PLAcctIDs,$I57)</f>
        <v>1975</v>
      </c>
      <c r="V57" s="313">
        <f>SUMIFS(Drivers!AX$10:AX$69,PLAcctIDs,$I57)</f>
        <v>2044</v>
      </c>
      <c r="W57" s="313">
        <f>SUMIFS(Drivers!AY$10:AY$69,PLAcctIDs,$I57)</f>
        <v>2378</v>
      </c>
      <c r="X57" s="313">
        <f>SUMIFS(Drivers!AZ$10:AZ$69,PLAcctIDs,$I57)</f>
        <v>4752</v>
      </c>
      <c r="Y57" s="313">
        <f>SUMIFS(Drivers!BA$10:BA$69,PLAcctIDs,$I57)</f>
        <v>2497</v>
      </c>
      <c r="Z57" s="313">
        <f>SUMIFS(Drivers!BB$10:BB$69,PLAcctIDs,$I57)</f>
        <v>4990</v>
      </c>
      <c r="AA57" s="313">
        <f>SUMIFS(Drivers!BC$10:BC$69,PLAcctIDs,$I57)</f>
        <v>2622</v>
      </c>
      <c r="AB57" s="313">
        <f>SUMIFS(Drivers!BD$10:BD$69,PLAcctIDs,$I57)</f>
        <v>5239</v>
      </c>
      <c r="AC57" s="313">
        <f>SUMIFS(Drivers!BE$10:BE$69,PLAcctIDs,$I57)</f>
        <v>2753</v>
      </c>
      <c r="AD57" s="313">
        <f>SUMIFS(Drivers!BF$10:BF$69,PLAcctIDs,$I57)</f>
        <v>5501</v>
      </c>
      <c r="AE57" s="313">
        <f>SUMIFS(Drivers!BG$10:BG$69,PLAcctIDs,$I57)</f>
        <v>5777</v>
      </c>
      <c r="AF57" s="313">
        <f>SUMIFS(Drivers!BH$10:BH$69,PLAcctIDs,$I57)</f>
        <v>5777</v>
      </c>
      <c r="AG57" s="313">
        <f>SUMIFS(Drivers!BI$10:BI$69,PLAcctIDs,$I57)</f>
        <v>6065</v>
      </c>
      <c r="AH57" s="313">
        <f>SUMIFS(Drivers!BJ$10:BJ$69,PLAcctIDs,$I57)</f>
        <v>6065</v>
      </c>
      <c r="AI57" s="313">
        <f>SUMIFS(Drivers!BK$10:BK$69,PLAcctIDs,$I57)</f>
        <v>6369</v>
      </c>
      <c r="AJ57" s="313">
        <f>SUMIFS(Drivers!BL$10:BL$69,PLAcctIDs,$I57)</f>
        <v>6687</v>
      </c>
      <c r="AK57" s="313">
        <f>SUMIFS(Drivers!BM$10:BM$69,PLAcctIDs,$I57)</f>
        <v>7021.37</v>
      </c>
      <c r="AL57" s="313">
        <f>SUMIFS(Drivers!BN$10:BN$69,PLAcctIDs,$I57)</f>
        <v>7372</v>
      </c>
      <c r="AM57" s="313">
        <f>SUMIFS(Drivers!BO$10:BO$69,PLAcctIDs,$I57)</f>
        <v>7741</v>
      </c>
      <c r="AN57" s="313">
        <f>SUMIFS(Drivers!BP$10:BP$69,PLAcctIDs,$I57)</f>
        <v>8128</v>
      </c>
      <c r="AO57" s="313">
        <f>SUMIFS(Drivers!BQ$10:BQ$69,PLAcctIDs,$I57)</f>
        <v>8535</v>
      </c>
      <c r="AP57" s="313">
        <f>SUMIFS(Drivers!BR$10:BR$69,PLAcctIDs,$I57)</f>
        <v>8961.25</v>
      </c>
      <c r="AQ57" s="313">
        <f>SUMIFS(Drivers!BS$10:BS$69,PLAcctIDs,$I57)</f>
        <v>9409.31</v>
      </c>
      <c r="AR57" s="313">
        <f>SUMIFS(Drivers!BT$10:BT$69,PLAcctIDs,$I57)</f>
        <v>9879.7800000000007</v>
      </c>
      <c r="AS57" s="313">
        <f>SUMIFS(Drivers!BU$10:BU$69,PLAcctIDs,$I57)</f>
        <v>10373.77</v>
      </c>
      <c r="AT57" s="313">
        <f>SUMIFS(Drivers!BV$10:BV$69,PLAcctIDs,$I57)</f>
        <v>10892.45</v>
      </c>
      <c r="AU57" s="313">
        <f>SUMIFS(Drivers!BW$10:BW$69,PLAcctIDs,$I57)</f>
        <v>11437.08</v>
      </c>
      <c r="AV57" s="313">
        <f>SUMIFS(Drivers!BX$10:BX$69,PLAcctIDs,$I57)</f>
        <v>10666.887000000001</v>
      </c>
      <c r="AW57" s="313">
        <f>SUMIFS(Drivers!BY$10:BY$69,PLAcctIDs,$I57)</f>
        <v>10965.373475</v>
      </c>
      <c r="AX57" s="313">
        <f>SUMIFS(Drivers!BZ$10:BZ$69,PLAcctIDs,$I57)</f>
        <v>11237.684583125001</v>
      </c>
      <c r="AY57" s="313">
        <f>SUMIFS(Drivers!CA$10:CA$69,PLAcctIDs,$I57)</f>
        <v>11475.317885171877</v>
      </c>
      <c r="AZ57" s="313">
        <f>SUMIFS(Drivers!CB$10:CB$69,PLAcctIDs,$I57)</f>
        <v>11668.088765076955</v>
      </c>
      <c r="BA57" s="313">
        <f>SUMIFS(Drivers!CC$10:CC$69,PLAcctIDs,$I57)</f>
        <v>11803.825548965422</v>
      </c>
      <c r="BB57" s="313">
        <f>SUMIFS(Drivers!CD$10:CD$69,PLAcctIDs,$I57)</f>
        <v>11868.006020034372</v>
      </c>
      <c r="BC57" s="313">
        <f>SUMIFS(Drivers!CE$10:CE$69,PLAcctIDs,$I57)</f>
        <v>12078.201848540388</v>
      </c>
      <c r="BD57" s="313">
        <f>SUMIFS(Drivers!CF$10:CF$69,PLAcctIDs,$I57)</f>
        <v>12272.946813909954</v>
      </c>
      <c r="BE57" s="313">
        <f>SUMIFS(Drivers!CG$10:CG$69,PLAcctIDs,$I57)</f>
        <v>12454.11770429732</v>
      </c>
      <c r="BF57" s="313">
        <f>SUMIFS(Drivers!CH$10:CH$69,PLAcctIDs,$I57)</f>
        <v>12625.407672644273</v>
      </c>
      <c r="BG57" s="313">
        <f>SUMIFS(Drivers!CI$10:CI$69,PLAcctIDs,$I57)</f>
        <v>12792.938481468555</v>
      </c>
      <c r="BH57" s="313">
        <f>SUMIFS(Drivers!CJ$10:CJ$69,PLAcctIDs,$I57)</f>
        <v>12966.033244656603</v>
      </c>
    </row>
    <row r="58" spans="2:60" ht="18.75" customHeight="1" outlineLevel="1">
      <c r="B58" s="284"/>
      <c r="C58" s="315"/>
      <c r="D58" s="288" t="s">
        <v>252</v>
      </c>
      <c r="E58" s="277" t="str">
        <f>IFERROR(INDEX(PBC_ACCOUNT_LIST[Drivers Section],MATCH('Data Summary'!I58,PBC_ACCOUNT_LIST[Id],0)),"")</f>
        <v>Opex</v>
      </c>
      <c r="F58" s="277" t="str">
        <f>IFERROR(INDEX(PBC_ACCOUNT_LIST[Summary Grouping],MATCH('Data Summary'!I58,PBC_ACCOUNT_LIST[Id],0)),"")</f>
        <v>Professional Services</v>
      </c>
      <c r="G58" s="277"/>
      <c r="H58" s="277">
        <f>IFERROR(INDEX(PBC_ACCOUNT_LIST[Cash Flow Section],MATCH('Data Summary'!I58,PBC_ACCOUNT_LIST[Id],0)),"")</f>
        <v>0</v>
      </c>
      <c r="I58" s="277">
        <v>176</v>
      </c>
      <c r="J58" s="314"/>
      <c r="L58" s="313">
        <f>SUMIFS(Drivers!AN$10:AN$69,PLAcctIDs,$I58)</f>
        <v>0</v>
      </c>
      <c r="M58" s="313">
        <f>SUMIFS(Drivers!AO$10:AO$69,PLAcctIDs,$I58)</f>
        <v>2000</v>
      </c>
      <c r="N58" s="313">
        <f>SUMIFS(Drivers!AP$10:AP$69,PLAcctIDs,$I58)</f>
        <v>2070</v>
      </c>
      <c r="O58" s="313">
        <f>SUMIFS(Drivers!AQ$10:AQ$69,PLAcctIDs,$I58)</f>
        <v>2142</v>
      </c>
      <c r="P58" s="313">
        <f>SUMIFS(Drivers!AR$10:AR$69,PLAcctIDs,$I58)</f>
        <v>2217</v>
      </c>
      <c r="Q58" s="313">
        <f>SUMIFS(Drivers!AS$10:AS$69,PLAcctIDs,$I58)</f>
        <v>2295</v>
      </c>
      <c r="R58" s="313">
        <f>SUMIFS(Drivers!AT$10:AT$69,PLAcctIDs,$I58)</f>
        <v>2375</v>
      </c>
      <c r="S58" s="313">
        <f>SUMIFS(Drivers!AU$10:AU$69,PLAcctIDs,$I58)</f>
        <v>2459</v>
      </c>
      <c r="T58" s="313">
        <f>SUMIFS(Drivers!AV$10:AV$69,PLAcctIDs,$I58)</f>
        <v>2545</v>
      </c>
      <c r="U58" s="313">
        <f>SUMIFS(Drivers!AW$10:AW$69,PLAcctIDs,$I58)</f>
        <v>2634</v>
      </c>
      <c r="V58" s="313">
        <f>SUMIFS(Drivers!AX$10:AX$69,PLAcctIDs,$I58)</f>
        <v>2726</v>
      </c>
      <c r="W58" s="313">
        <f>SUMIFS(Drivers!AY$10:AY$69,PLAcctIDs,$I58)</f>
        <v>3184</v>
      </c>
      <c r="X58" s="313">
        <f>SUMIFS(Drivers!AZ$10:AZ$69,PLAcctIDs,$I58)</f>
        <v>5903</v>
      </c>
      <c r="Y58" s="313">
        <f>SUMIFS(Drivers!BA$10:BA$69,PLAcctIDs,$I58)</f>
        <v>3343</v>
      </c>
      <c r="Z58" s="313">
        <f>SUMIFS(Drivers!BB$10:BB$69,PLAcctIDs,$I58)</f>
        <v>6198</v>
      </c>
      <c r="AA58" s="313">
        <f>SUMIFS(Drivers!BC$10:BC$69,PLAcctIDs,$I58)</f>
        <v>3510</v>
      </c>
      <c r="AB58" s="313">
        <f>SUMIFS(Drivers!BD$10:BD$69,PLAcctIDs,$I58)</f>
        <v>6508</v>
      </c>
      <c r="AC58" s="313">
        <f>SUMIFS(Drivers!BE$10:BE$69,PLAcctIDs,$I58)</f>
        <v>3685</v>
      </c>
      <c r="AD58" s="313">
        <f>SUMIFS(Drivers!BF$10:BF$69,PLAcctIDs,$I58)</f>
        <v>6833</v>
      </c>
      <c r="AE58" s="313">
        <f>SUMIFS(Drivers!BG$10:BG$69,PLAcctIDs,$I58)</f>
        <v>7175</v>
      </c>
      <c r="AF58" s="313">
        <f>SUMIFS(Drivers!BH$10:BH$69,PLAcctIDs,$I58)</f>
        <v>7175</v>
      </c>
      <c r="AG58" s="313">
        <f>SUMIFS(Drivers!BI$10:BI$69,PLAcctIDs,$I58)</f>
        <v>7533</v>
      </c>
      <c r="AH58" s="313">
        <f>SUMIFS(Drivers!BJ$10:BJ$69,PLAcctIDs,$I58)</f>
        <v>7533</v>
      </c>
      <c r="AI58" s="313">
        <f>SUMIFS(Drivers!BK$10:BK$69,PLAcctIDs,$I58)</f>
        <v>7910</v>
      </c>
      <c r="AJ58" s="313">
        <f>SUMIFS(Drivers!BL$10:BL$69,PLAcctIDs,$I58)</f>
        <v>8305</v>
      </c>
      <c r="AK58" s="313">
        <f>SUMIFS(Drivers!BM$10:BM$69,PLAcctIDs,$I58)</f>
        <v>8720.74</v>
      </c>
      <c r="AL58" s="313">
        <f>SUMIFS(Drivers!BN$10:BN$69,PLAcctIDs,$I58)</f>
        <v>9157</v>
      </c>
      <c r="AM58" s="313">
        <f>SUMIFS(Drivers!BO$10:BO$69,PLAcctIDs,$I58)</f>
        <v>9615</v>
      </c>
      <c r="AN58" s="313">
        <f>SUMIFS(Drivers!BP$10:BP$69,PLAcctIDs,$I58)</f>
        <v>10095</v>
      </c>
      <c r="AO58" s="313">
        <f>SUMIFS(Drivers!BQ$10:BQ$69,PLAcctIDs,$I58)</f>
        <v>10600</v>
      </c>
      <c r="AP58" s="313">
        <f>SUMIFS(Drivers!BR$10:BR$69,PLAcctIDs,$I58)</f>
        <v>11130.12</v>
      </c>
      <c r="AQ58" s="313">
        <f>SUMIFS(Drivers!BS$10:BS$69,PLAcctIDs,$I58)</f>
        <v>11686.62</v>
      </c>
      <c r="AR58" s="313">
        <f>SUMIFS(Drivers!BT$10:BT$69,PLAcctIDs,$I58)</f>
        <v>12270.95</v>
      </c>
      <c r="AS58" s="313">
        <f>SUMIFS(Drivers!BU$10:BU$69,PLAcctIDs,$I58)</f>
        <v>12884.5</v>
      </c>
      <c r="AT58" s="313">
        <f>SUMIFS(Drivers!BV$10:BV$69,PLAcctIDs,$I58)</f>
        <v>13528.73</v>
      </c>
      <c r="AU58" s="313">
        <f>SUMIFS(Drivers!BW$10:BW$69,PLAcctIDs,$I58)</f>
        <v>14205.16</v>
      </c>
      <c r="AV58" s="313">
        <f>SUMIFS(Drivers!BX$10:BX$69,PLAcctIDs,$I58)</f>
        <v>13248.564</v>
      </c>
      <c r="AW58" s="313">
        <f>SUMIFS(Drivers!BY$10:BY$69,PLAcctIDs,$I58)</f>
        <v>13619.291700000002</v>
      </c>
      <c r="AX58" s="313">
        <f>SUMIFS(Drivers!BZ$10:BZ$69,PLAcctIDs,$I58)</f>
        <v>13957.5092475</v>
      </c>
      <c r="AY58" s="313">
        <f>SUMIFS(Drivers!CA$10:CA$69,PLAcctIDs,$I58)</f>
        <v>14252.657115812501</v>
      </c>
      <c r="AZ58" s="313">
        <f>SUMIFS(Drivers!CB$10:CB$69,PLAcctIDs,$I58)</f>
        <v>14492.084611079688</v>
      </c>
      <c r="BA58" s="313">
        <f>SUMIFS(Drivers!CC$10:CC$69,PLAcctIDs,$I58)</f>
        <v>14660.671668018635</v>
      </c>
      <c r="BB58" s="313">
        <f>SUMIFS(Drivers!CD$10:CD$69,PLAcctIDs,$I58)</f>
        <v>14740.386209921893</v>
      </c>
      <c r="BC58" s="313">
        <f>SUMIFS(Drivers!CE$10:CE$69,PLAcctIDs,$I58)</f>
        <v>15001.455096658226</v>
      </c>
      <c r="BD58" s="313">
        <f>SUMIFS(Drivers!CF$10:CF$69,PLAcctIDs,$I58)</f>
        <v>15243.333691073418</v>
      </c>
      <c r="BE58" s="313">
        <f>SUMIFS(Drivers!CG$10:CG$69,PLAcctIDs,$I58)</f>
        <v>15468.352968698766</v>
      </c>
      <c r="BF58" s="313">
        <f>SUMIFS(Drivers!CH$10:CH$69,PLAcctIDs,$I58)</f>
        <v>15681.099742953858</v>
      </c>
      <c r="BG58" s="313">
        <f>SUMIFS(Drivers!CI$10:CI$69,PLAcctIDs,$I58)</f>
        <v>15889.177391031839</v>
      </c>
      <c r="BH58" s="313">
        <f>SUMIFS(Drivers!CJ$10:CJ$69,PLAcctIDs,$I58)</f>
        <v>16104.165892559153</v>
      </c>
    </row>
    <row r="59" spans="2:60" ht="18.75" customHeight="1" outlineLevel="1">
      <c r="B59" s="284"/>
      <c r="C59" s="315"/>
      <c r="D59" s="288" t="s">
        <v>253</v>
      </c>
      <c r="E59" s="277" t="str">
        <f>IFERROR(INDEX(PBC_ACCOUNT_LIST[Drivers Section],MATCH('Data Summary'!I59,PBC_ACCOUNT_LIST[Id],0)),"")</f>
        <v>Opex</v>
      </c>
      <c r="F59" s="277" t="str">
        <f>IFERROR(INDEX(PBC_ACCOUNT_LIST[Summary Grouping],MATCH('Data Summary'!I59,PBC_ACCOUNT_LIST[Id],0)),"")</f>
        <v>Marketing &amp; Advertising</v>
      </c>
      <c r="G59" s="277"/>
      <c r="H59" s="277">
        <f>IFERROR(INDEX(PBC_ACCOUNT_LIST[Cash Flow Section],MATCH('Data Summary'!I59,PBC_ACCOUNT_LIST[Id],0)),"")</f>
        <v>0</v>
      </c>
      <c r="I59" s="277">
        <v>177</v>
      </c>
      <c r="J59" s="314"/>
      <c r="L59" s="313">
        <f>SUMIFS(Drivers!AN$10:AN$69,PLAcctIDs,$I59)</f>
        <v>0</v>
      </c>
      <c r="M59" s="313">
        <f>SUMIFS(Drivers!AO$10:AO$69,PLAcctIDs,$I59)</f>
        <v>0</v>
      </c>
      <c r="N59" s="313">
        <f>SUMIFS(Drivers!AP$10:AP$69,PLAcctIDs,$I59)</f>
        <v>0</v>
      </c>
      <c r="O59" s="313">
        <f>SUMIFS(Drivers!AQ$10:AQ$69,PLAcctIDs,$I59)</f>
        <v>0</v>
      </c>
      <c r="P59" s="313">
        <f>SUMIFS(Drivers!AR$10:AR$69,PLAcctIDs,$I59)</f>
        <v>0</v>
      </c>
      <c r="Q59" s="313">
        <f>SUMIFS(Drivers!AS$10:AS$69,PLAcctIDs,$I59)</f>
        <v>0</v>
      </c>
      <c r="R59" s="313">
        <f>SUMIFS(Drivers!AT$10:AT$69,PLAcctIDs,$I59)</f>
        <v>0</v>
      </c>
      <c r="S59" s="313">
        <f>SUMIFS(Drivers!AU$10:AU$69,PLAcctIDs,$I59)</f>
        <v>0</v>
      </c>
      <c r="T59" s="313">
        <f>SUMIFS(Drivers!AV$10:AV$69,PLAcctIDs,$I59)</f>
        <v>0</v>
      </c>
      <c r="U59" s="313">
        <f>SUMIFS(Drivers!AW$10:AW$69,PLAcctIDs,$I59)</f>
        <v>0</v>
      </c>
      <c r="V59" s="313">
        <f>SUMIFS(Drivers!AX$10:AX$69,PLAcctIDs,$I59)</f>
        <v>0</v>
      </c>
      <c r="W59" s="313">
        <f>SUMIFS(Drivers!AY$10:AY$69,PLAcctIDs,$I59)</f>
        <v>0</v>
      </c>
      <c r="X59" s="313">
        <f>SUMIFS(Drivers!AZ$10:AZ$69,PLAcctIDs,$I59)</f>
        <v>0</v>
      </c>
      <c r="Y59" s="313">
        <f>SUMIFS(Drivers!BA$10:BA$69,PLAcctIDs,$I59)</f>
        <v>0</v>
      </c>
      <c r="Z59" s="313">
        <f>SUMIFS(Drivers!BB$10:BB$69,PLAcctIDs,$I59)</f>
        <v>0</v>
      </c>
      <c r="AA59" s="313">
        <f>SUMIFS(Drivers!BC$10:BC$69,PLAcctIDs,$I59)</f>
        <v>0</v>
      </c>
      <c r="AB59" s="313">
        <f>SUMIFS(Drivers!BD$10:BD$69,PLAcctIDs,$I59)</f>
        <v>0</v>
      </c>
      <c r="AC59" s="313">
        <f>SUMIFS(Drivers!BE$10:BE$69,PLAcctIDs,$I59)</f>
        <v>0</v>
      </c>
      <c r="AD59" s="313">
        <f>SUMIFS(Drivers!BF$10:BF$69,PLAcctIDs,$I59)</f>
        <v>0</v>
      </c>
      <c r="AE59" s="313">
        <f>SUMIFS(Drivers!BG$10:BG$69,PLAcctIDs,$I59)</f>
        <v>0</v>
      </c>
      <c r="AF59" s="313">
        <f>SUMIFS(Drivers!BH$10:BH$69,PLAcctIDs,$I59)</f>
        <v>0</v>
      </c>
      <c r="AG59" s="313">
        <f>SUMIFS(Drivers!BI$10:BI$69,PLAcctIDs,$I59)</f>
        <v>0</v>
      </c>
      <c r="AH59" s="313">
        <f>SUMIFS(Drivers!BJ$10:BJ$69,PLAcctIDs,$I59)</f>
        <v>0</v>
      </c>
      <c r="AI59" s="313">
        <f>SUMIFS(Drivers!BK$10:BK$69,PLAcctIDs,$I59)</f>
        <v>0</v>
      </c>
      <c r="AJ59" s="313">
        <f>SUMIFS(Drivers!BL$10:BL$69,PLAcctIDs,$I59)</f>
        <v>0</v>
      </c>
      <c r="AK59" s="313">
        <f>SUMIFS(Drivers!BM$10:BM$69,PLAcctIDs,$I59)</f>
        <v>0</v>
      </c>
      <c r="AL59" s="313">
        <f>SUMIFS(Drivers!BN$10:BN$69,PLAcctIDs,$I59)</f>
        <v>0</v>
      </c>
      <c r="AM59" s="313">
        <f>SUMIFS(Drivers!BO$10:BO$69,PLAcctIDs,$I59)</f>
        <v>0</v>
      </c>
      <c r="AN59" s="313">
        <f>SUMIFS(Drivers!BP$10:BP$69,PLAcctIDs,$I59)</f>
        <v>0</v>
      </c>
      <c r="AO59" s="313">
        <f>SUMIFS(Drivers!BQ$10:BQ$69,PLAcctIDs,$I59)</f>
        <v>0</v>
      </c>
      <c r="AP59" s="313">
        <f>SUMIFS(Drivers!BR$10:BR$69,PLAcctIDs,$I59)</f>
        <v>0</v>
      </c>
      <c r="AQ59" s="313">
        <f>SUMIFS(Drivers!BS$10:BS$69,PLAcctIDs,$I59)</f>
        <v>1800</v>
      </c>
      <c r="AR59" s="313">
        <f>SUMIFS(Drivers!BT$10:BT$69,PLAcctIDs,$I59)</f>
        <v>0</v>
      </c>
      <c r="AS59" s="313">
        <f>SUMIFS(Drivers!BU$10:BU$69,PLAcctIDs,$I59)</f>
        <v>0</v>
      </c>
      <c r="AT59" s="313">
        <f>SUMIFS(Drivers!BV$10:BV$69,PLAcctIDs,$I59)</f>
        <v>0</v>
      </c>
      <c r="AU59" s="313">
        <f>SUMIFS(Drivers!BW$10:BW$69,PLAcctIDs,$I59)</f>
        <v>4200</v>
      </c>
      <c r="AV59" s="313">
        <f>SUMIFS(Drivers!BX$10:BX$69,PLAcctIDs,$I59)</f>
        <v>1050</v>
      </c>
      <c r="AW59" s="313">
        <f>SUMIFS(Drivers!BY$10:BY$69,PLAcctIDs,$I59)</f>
        <v>1233.75</v>
      </c>
      <c r="AX59" s="313">
        <f>SUMIFS(Drivers!BZ$10:BZ$69,PLAcctIDs,$I59)</f>
        <v>1134.65625</v>
      </c>
      <c r="AY59" s="313">
        <f>SUMIFS(Drivers!CA$10:CA$69,PLAcctIDs,$I59)</f>
        <v>1333.2210937500001</v>
      </c>
      <c r="AZ59" s="313">
        <f>SUMIFS(Drivers!CB$10:CB$69,PLAcctIDs,$I59)</f>
        <v>1566.5347851562501</v>
      </c>
      <c r="BA59" s="313">
        <f>SUMIFS(Drivers!CC$10:CC$69,PLAcctIDs,$I59)</f>
        <v>1840.6783725585938</v>
      </c>
      <c r="BB59" s="313">
        <f>SUMIFS(Drivers!CD$10:CD$69,PLAcctIDs,$I59)</f>
        <v>1427.7970877563478</v>
      </c>
      <c r="BC59" s="313">
        <f>SUMIFS(Drivers!CE$10:CE$69,PLAcctIDs,$I59)</f>
        <v>1493.9115781137086</v>
      </c>
      <c r="BD59" s="313">
        <f>SUMIFS(Drivers!CF$10:CF$69,PLAcctIDs,$I59)</f>
        <v>1539.4398542836077</v>
      </c>
      <c r="BE59" s="313">
        <f>SUMIFS(Drivers!CG$10:CG$69,PLAcctIDs,$I59)</f>
        <v>1610.276985033239</v>
      </c>
      <c r="BF59" s="313">
        <f>SUMIFS(Drivers!CH$10:CH$69,PLAcctIDs,$I59)</f>
        <v>1658.7617660078058</v>
      </c>
      <c r="BG59" s="313">
        <f>SUMIFS(Drivers!CI$10:CI$69,PLAcctIDs,$I59)</f>
        <v>1674.9014876568281</v>
      </c>
      <c r="BH59" s="313">
        <f>SUMIFS(Drivers!CJ$10:CJ$69,PLAcctIDs,$I59)</f>
        <v>1645.8905327990187</v>
      </c>
    </row>
    <row r="60" spans="2:60" ht="18.75" customHeight="1" outlineLevel="1">
      <c r="B60" s="284"/>
      <c r="C60" s="315"/>
      <c r="D60" s="288" t="s">
        <v>254</v>
      </c>
      <c r="E60" s="277" t="str">
        <f>IFERROR(INDEX(PBC_ACCOUNT_LIST[Drivers Section],MATCH('Data Summary'!I60,PBC_ACCOUNT_LIST[Id],0)),"")</f>
        <v>Opex</v>
      </c>
      <c r="F60" s="277" t="str">
        <f>IFERROR(INDEX(PBC_ACCOUNT_LIST[Summary Grouping],MATCH('Data Summary'!I60,PBC_ACCOUNT_LIST[Id],0)),"")</f>
        <v>Payroll</v>
      </c>
      <c r="G60" s="277"/>
      <c r="H60" s="277">
        <f>IFERROR(INDEX(PBC_ACCOUNT_LIST[Cash Flow Section],MATCH('Data Summary'!I60,PBC_ACCOUNT_LIST[Id],0)),"")</f>
        <v>0</v>
      </c>
      <c r="I60" s="277">
        <v>178</v>
      </c>
      <c r="J60" s="314"/>
      <c r="L60" s="313">
        <f>SUMIFS(Drivers!AN$10:AN$69,PLAcctIDs,$I60)</f>
        <v>0</v>
      </c>
      <c r="M60" s="313">
        <f>SUMIFS(Drivers!AO$10:AO$69,PLAcctIDs,$I60)</f>
        <v>11475</v>
      </c>
      <c r="N60" s="313">
        <f>SUMIFS(Drivers!AP$10:AP$69,PLAcctIDs,$I60)</f>
        <v>11475</v>
      </c>
      <c r="O60" s="313">
        <f>SUMIFS(Drivers!AQ$10:AQ$69,PLAcctIDs,$I60)</f>
        <v>11475</v>
      </c>
      <c r="P60" s="313">
        <f>SUMIFS(Drivers!AR$10:AR$69,PLAcctIDs,$I60)</f>
        <v>11475</v>
      </c>
      <c r="Q60" s="313">
        <f>SUMIFS(Drivers!AS$10:AS$69,PLAcctIDs,$I60)</f>
        <v>11475</v>
      </c>
      <c r="R60" s="313">
        <f>SUMIFS(Drivers!AT$10:AT$69,PLAcctIDs,$I60)</f>
        <v>11475</v>
      </c>
      <c r="S60" s="313">
        <f>SUMIFS(Drivers!AU$10:AU$69,PLAcctIDs,$I60)</f>
        <v>11475</v>
      </c>
      <c r="T60" s="313">
        <f>SUMIFS(Drivers!AV$10:AV$69,PLAcctIDs,$I60)</f>
        <v>11475</v>
      </c>
      <c r="U60" s="313">
        <f>SUMIFS(Drivers!AW$10:AW$69,PLAcctIDs,$I60)</f>
        <v>11475</v>
      </c>
      <c r="V60" s="313">
        <f>SUMIFS(Drivers!AX$10:AX$69,PLAcctIDs,$I60)</f>
        <v>11475</v>
      </c>
      <c r="W60" s="313">
        <f>SUMIFS(Drivers!AY$10:AY$69,PLAcctIDs,$I60)</f>
        <v>18166</v>
      </c>
      <c r="X60" s="313">
        <f>SUMIFS(Drivers!AZ$10:AZ$69,PLAcctIDs,$I60)</f>
        <v>32623</v>
      </c>
      <c r="Y60" s="313">
        <f>SUMIFS(Drivers!BA$10:BA$69,PLAcctIDs,$I60)</f>
        <v>19075</v>
      </c>
      <c r="Z60" s="313">
        <f>SUMIFS(Drivers!BB$10:BB$69,PLAcctIDs,$I60)</f>
        <v>34254</v>
      </c>
      <c r="AA60" s="313">
        <f>SUMIFS(Drivers!BC$10:BC$69,PLAcctIDs,$I60)</f>
        <v>20028</v>
      </c>
      <c r="AB60" s="313">
        <f>SUMIFS(Drivers!BD$10:BD$69,PLAcctIDs,$I60)</f>
        <v>35967</v>
      </c>
      <c r="AC60" s="313">
        <f>SUMIFS(Drivers!BE$10:BE$69,PLAcctIDs,$I60)</f>
        <v>21030</v>
      </c>
      <c r="AD60" s="313">
        <f>SUMIFS(Drivers!BF$10:BF$69,PLAcctIDs,$I60)</f>
        <v>37765</v>
      </c>
      <c r="AE60" s="313">
        <f>SUMIFS(Drivers!BG$10:BG$69,PLAcctIDs,$I60)</f>
        <v>39653</v>
      </c>
      <c r="AF60" s="313">
        <f>SUMIFS(Drivers!BH$10:BH$69,PLAcctIDs,$I60)</f>
        <v>39653</v>
      </c>
      <c r="AG60" s="313">
        <f>SUMIFS(Drivers!BI$10:BI$69,PLAcctIDs,$I60)</f>
        <v>41636</v>
      </c>
      <c r="AH60" s="313">
        <f>SUMIFS(Drivers!BJ$10:BJ$69,PLAcctIDs,$I60)</f>
        <v>41636</v>
      </c>
      <c r="AI60" s="313">
        <f>SUMIFS(Drivers!BK$10:BK$69,PLAcctIDs,$I60)</f>
        <v>43718</v>
      </c>
      <c r="AJ60" s="313">
        <f>SUMIFS(Drivers!BL$10:BL$69,PLAcctIDs,$I60)</f>
        <v>45904</v>
      </c>
      <c r="AK60" s="313">
        <f>SUMIFS(Drivers!BM$10:BM$69,PLAcctIDs,$I60)</f>
        <v>48198.73</v>
      </c>
      <c r="AL60" s="313">
        <f>SUMIFS(Drivers!BN$10:BN$69,PLAcctIDs,$I60)</f>
        <v>50609</v>
      </c>
      <c r="AM60" s="313">
        <f>SUMIFS(Drivers!BO$10:BO$69,PLAcctIDs,$I60)</f>
        <v>53139</v>
      </c>
      <c r="AN60" s="313">
        <f>SUMIFS(Drivers!BP$10:BP$69,PLAcctIDs,$I60)</f>
        <v>55796</v>
      </c>
      <c r="AO60" s="313">
        <f>SUMIFS(Drivers!BQ$10:BQ$69,PLAcctIDs,$I60)</f>
        <v>58586</v>
      </c>
      <c r="AP60" s="313">
        <f>SUMIFS(Drivers!BR$10:BR$69,PLAcctIDs,$I60)</f>
        <v>61515.15</v>
      </c>
      <c r="AQ60" s="313">
        <f>SUMIFS(Drivers!BS$10:BS$69,PLAcctIDs,$I60)</f>
        <v>64590.9</v>
      </c>
      <c r="AR60" s="313">
        <f>SUMIFS(Drivers!BT$10:BT$69,PLAcctIDs,$I60)</f>
        <v>67820.45</v>
      </c>
      <c r="AS60" s="313">
        <f>SUMIFS(Drivers!BU$10:BU$69,PLAcctIDs,$I60)</f>
        <v>71211.47</v>
      </c>
      <c r="AT60" s="313">
        <f>SUMIFS(Drivers!BV$10:BV$69,PLAcctIDs,$I60)</f>
        <v>74772.039999999994</v>
      </c>
      <c r="AU60" s="313">
        <f>SUMIFS(Drivers!BW$10:BW$69,PLAcctIDs,$I60)</f>
        <v>78510.64</v>
      </c>
      <c r="AV60" s="313">
        <f>SUMIFS(Drivers!BX$10:BX$69,PLAcctIDs,$I60)</f>
        <v>56666.666666666664</v>
      </c>
      <c r="AW60" s="313">
        <f>SUMIFS(Drivers!BY$10:BY$69,PLAcctIDs,$I60)</f>
        <v>41666.666666666664</v>
      </c>
      <c r="AX60" s="313">
        <f>SUMIFS(Drivers!BZ$10:BZ$69,PLAcctIDs,$I60)</f>
        <v>41666.666666666664</v>
      </c>
      <c r="AY60" s="313">
        <f>SUMIFS(Drivers!CA$10:CA$69,PLAcctIDs,$I60)</f>
        <v>41666.666666666664</v>
      </c>
      <c r="AZ60" s="313">
        <f>SUMIFS(Drivers!CB$10:CB$69,PLAcctIDs,$I60)</f>
        <v>62499.999999999993</v>
      </c>
      <c r="BA60" s="313">
        <f>SUMIFS(Drivers!CC$10:CC$69,PLAcctIDs,$I60)</f>
        <v>62499.999999999993</v>
      </c>
      <c r="BB60" s="313">
        <f>SUMIFS(Drivers!CD$10:CD$69,PLAcctIDs,$I60)</f>
        <v>66136.363636363632</v>
      </c>
      <c r="BC60" s="313">
        <f>SUMIFS(Drivers!CE$10:CE$69,PLAcctIDs,$I60)</f>
        <v>69166.666666666657</v>
      </c>
      <c r="BD60" s="313">
        <f>SUMIFS(Drivers!CF$10:CF$69,PLAcctIDs,$I60)</f>
        <v>69166.666666666657</v>
      </c>
      <c r="BE60" s="313">
        <f>SUMIFS(Drivers!CG$10:CG$69,PLAcctIDs,$I60)</f>
        <v>69166.666666666657</v>
      </c>
      <c r="BF60" s="313">
        <f>SUMIFS(Drivers!CH$10:CH$69,PLAcctIDs,$I60)</f>
        <v>69166.666666666657</v>
      </c>
      <c r="BG60" s="313">
        <f>SUMIFS(Drivers!CI$10:CI$69,PLAcctIDs,$I60)</f>
        <v>69166.666666666657</v>
      </c>
      <c r="BH60" s="313">
        <f>SUMIFS(Drivers!CJ$10:CJ$69,PLAcctIDs,$I60)</f>
        <v>84166.666666666657</v>
      </c>
    </row>
    <row r="61" spans="2:60" ht="18.75" customHeight="1" outlineLevel="1">
      <c r="B61" s="284"/>
      <c r="C61" s="315"/>
      <c r="D61" s="288" t="s">
        <v>255</v>
      </c>
      <c r="E61" s="277" t="str">
        <f>IFERROR(INDEX(PBC_ACCOUNT_LIST[Drivers Section],MATCH('Data Summary'!I61,PBC_ACCOUNT_LIST[Id],0)),"")</f>
        <v>Opex</v>
      </c>
      <c r="F61" s="277" t="str">
        <f>IFERROR(INDEX(PBC_ACCOUNT_LIST[Summary Grouping],MATCH('Data Summary'!I61,PBC_ACCOUNT_LIST[Id],0)),"")</f>
        <v>Payroll</v>
      </c>
      <c r="G61" s="277"/>
      <c r="H61" s="277">
        <f>IFERROR(INDEX(PBC_ACCOUNT_LIST[Cash Flow Section],MATCH('Data Summary'!I61,PBC_ACCOUNT_LIST[Id],0)),"")</f>
        <v>0</v>
      </c>
      <c r="I61" s="277">
        <v>179</v>
      </c>
      <c r="J61" s="314"/>
      <c r="L61" s="313">
        <f>SUMIFS(Drivers!AN$10:AN$69,PLAcctIDs,$I61)</f>
        <v>0</v>
      </c>
      <c r="M61" s="313">
        <f>SUMIFS(Drivers!AO$10:AO$69,PLAcctIDs,$I61)</f>
        <v>0</v>
      </c>
      <c r="N61" s="313">
        <f>SUMIFS(Drivers!AP$10:AP$69,PLAcctIDs,$I61)</f>
        <v>0</v>
      </c>
      <c r="O61" s="313">
        <f>SUMIFS(Drivers!AQ$10:AQ$69,PLAcctIDs,$I61)</f>
        <v>0</v>
      </c>
      <c r="P61" s="313">
        <f>SUMIFS(Drivers!AR$10:AR$69,PLAcctIDs,$I61)</f>
        <v>0</v>
      </c>
      <c r="Q61" s="313">
        <f>SUMIFS(Drivers!AS$10:AS$69,PLAcctIDs,$I61)</f>
        <v>0</v>
      </c>
      <c r="R61" s="313">
        <f>SUMIFS(Drivers!AT$10:AT$69,PLAcctIDs,$I61)</f>
        <v>0</v>
      </c>
      <c r="S61" s="313">
        <f>SUMIFS(Drivers!AU$10:AU$69,PLAcctIDs,$I61)</f>
        <v>0</v>
      </c>
      <c r="T61" s="313">
        <f>SUMIFS(Drivers!AV$10:AV$69,PLAcctIDs,$I61)</f>
        <v>0</v>
      </c>
      <c r="U61" s="313">
        <f>SUMIFS(Drivers!AW$10:AW$69,PLAcctIDs,$I61)</f>
        <v>0</v>
      </c>
      <c r="V61" s="313">
        <f>SUMIFS(Drivers!AX$10:AX$69,PLAcctIDs,$I61)</f>
        <v>0</v>
      </c>
      <c r="W61" s="313">
        <f>SUMIFS(Drivers!AY$10:AY$69,PLAcctIDs,$I61)</f>
        <v>1684</v>
      </c>
      <c r="X61" s="313">
        <f>SUMIFS(Drivers!AZ$10:AZ$69,PLAcctIDs,$I61)</f>
        <v>3229</v>
      </c>
      <c r="Y61" s="313">
        <f>SUMIFS(Drivers!BA$10:BA$69,PLAcctIDs,$I61)</f>
        <v>1768</v>
      </c>
      <c r="Z61" s="313">
        <f>SUMIFS(Drivers!BB$10:BB$69,PLAcctIDs,$I61)</f>
        <v>3390</v>
      </c>
      <c r="AA61" s="313">
        <f>SUMIFS(Drivers!BC$10:BC$69,PLAcctIDs,$I61)</f>
        <v>1857</v>
      </c>
      <c r="AB61" s="313">
        <f>SUMIFS(Drivers!BD$10:BD$69,PLAcctIDs,$I61)</f>
        <v>3560</v>
      </c>
      <c r="AC61" s="313">
        <f>SUMIFS(Drivers!BE$10:BE$69,PLAcctIDs,$I61)</f>
        <v>1950</v>
      </c>
      <c r="AD61" s="313">
        <f>SUMIFS(Drivers!BF$10:BF$69,PLAcctIDs,$I61)</f>
        <v>3738</v>
      </c>
      <c r="AE61" s="313">
        <f>SUMIFS(Drivers!BG$10:BG$69,PLAcctIDs,$I61)</f>
        <v>3925</v>
      </c>
      <c r="AF61" s="313">
        <f>SUMIFS(Drivers!BH$10:BH$69,PLAcctIDs,$I61)</f>
        <v>3925</v>
      </c>
      <c r="AG61" s="313">
        <f>SUMIFS(Drivers!BI$10:BI$69,PLAcctIDs,$I61)</f>
        <v>4121</v>
      </c>
      <c r="AH61" s="313">
        <f>SUMIFS(Drivers!BJ$10:BJ$69,PLAcctIDs,$I61)</f>
        <v>4121</v>
      </c>
      <c r="AI61" s="313">
        <f>SUMIFS(Drivers!BK$10:BK$69,PLAcctIDs,$I61)</f>
        <v>4327</v>
      </c>
      <c r="AJ61" s="313">
        <f>SUMIFS(Drivers!BL$10:BL$69,PLAcctIDs,$I61)</f>
        <v>4544</v>
      </c>
      <c r="AK61" s="313">
        <f>SUMIFS(Drivers!BM$10:BM$69,PLAcctIDs,$I61)</f>
        <v>4770.7</v>
      </c>
      <c r="AL61" s="313">
        <f>SUMIFS(Drivers!BN$10:BN$69,PLAcctIDs,$I61)</f>
        <v>5009</v>
      </c>
      <c r="AM61" s="313">
        <f>SUMIFS(Drivers!BO$10:BO$69,PLAcctIDs,$I61)</f>
        <v>5260</v>
      </c>
      <c r="AN61" s="313">
        <f>SUMIFS(Drivers!BP$10:BP$69,PLAcctIDs,$I61)</f>
        <v>5523</v>
      </c>
      <c r="AO61" s="313">
        <f>SUMIFS(Drivers!BQ$10:BQ$69,PLAcctIDs,$I61)</f>
        <v>5799</v>
      </c>
      <c r="AP61" s="313">
        <f>SUMIFS(Drivers!BR$10:BR$69,PLAcctIDs,$I61)</f>
        <v>6088.78</v>
      </c>
      <c r="AQ61" s="313">
        <f>SUMIFS(Drivers!BS$10:BS$69,PLAcctIDs,$I61)</f>
        <v>6393.19</v>
      </c>
      <c r="AR61" s="313">
        <f>SUMIFS(Drivers!BT$10:BT$69,PLAcctIDs,$I61)</f>
        <v>6712.85</v>
      </c>
      <c r="AS61" s="313">
        <f>SUMIFS(Drivers!BU$10:BU$69,PLAcctIDs,$I61)</f>
        <v>7048.49</v>
      </c>
      <c r="AT61" s="313">
        <f>SUMIFS(Drivers!BV$10:BV$69,PLAcctIDs,$I61)</f>
        <v>7400.92</v>
      </c>
      <c r="AU61" s="313">
        <f>SUMIFS(Drivers!BW$10:BW$69,PLAcctIDs,$I61)</f>
        <v>7770.96</v>
      </c>
      <c r="AV61" s="313">
        <f>SUMIFS(Drivers!BX$10:BX$69,PLAcctIDs,$I61)</f>
        <v>3333.333333333333</v>
      </c>
      <c r="AW61" s="313">
        <f>SUMIFS(Drivers!BY$10:BY$69,PLAcctIDs,$I61)</f>
        <v>3333.333333333333</v>
      </c>
      <c r="AX61" s="313">
        <f>SUMIFS(Drivers!BZ$10:BZ$69,PLAcctIDs,$I61)</f>
        <v>3333.333333333333</v>
      </c>
      <c r="AY61" s="313">
        <f>SUMIFS(Drivers!CA$10:CA$69,PLAcctIDs,$I61)</f>
        <v>3333.333333333333</v>
      </c>
      <c r="AZ61" s="313">
        <f>SUMIFS(Drivers!CB$10:CB$69,PLAcctIDs,$I61)</f>
        <v>4999.9999999999991</v>
      </c>
      <c r="BA61" s="313">
        <f>SUMIFS(Drivers!CC$10:CC$69,PLAcctIDs,$I61)</f>
        <v>4999.9999999999991</v>
      </c>
      <c r="BB61" s="313">
        <f>SUMIFS(Drivers!CD$10:CD$69,PLAcctIDs,$I61)</f>
        <v>5290.9090909090901</v>
      </c>
      <c r="BC61" s="313">
        <f>SUMIFS(Drivers!CE$10:CE$69,PLAcctIDs,$I61)</f>
        <v>5533.3333333333321</v>
      </c>
      <c r="BD61" s="313">
        <f>SUMIFS(Drivers!CF$10:CF$69,PLAcctIDs,$I61)</f>
        <v>5533.3333333333321</v>
      </c>
      <c r="BE61" s="313">
        <f>SUMIFS(Drivers!CG$10:CG$69,PLAcctIDs,$I61)</f>
        <v>5533.3333333333321</v>
      </c>
      <c r="BF61" s="313">
        <f>SUMIFS(Drivers!CH$10:CH$69,PLAcctIDs,$I61)</f>
        <v>5533.3333333333321</v>
      </c>
      <c r="BG61" s="313">
        <f>SUMIFS(Drivers!CI$10:CI$69,PLAcctIDs,$I61)</f>
        <v>5533.3333333333321</v>
      </c>
      <c r="BH61" s="313">
        <f>SUMIFS(Drivers!CJ$10:CJ$69,PLAcctIDs,$I61)</f>
        <v>5533.3333333333321</v>
      </c>
    </row>
    <row r="62" spans="2:60" ht="18.75" customHeight="1" outlineLevel="1">
      <c r="B62" s="284"/>
      <c r="C62" s="315"/>
      <c r="D62" s="288" t="s">
        <v>256</v>
      </c>
      <c r="E62" s="277" t="str">
        <f>IFERROR(INDEX(PBC_ACCOUNT_LIST[Drivers Section],MATCH('Data Summary'!I62,PBC_ACCOUNT_LIST[Id],0)),"")</f>
        <v>Opex</v>
      </c>
      <c r="F62" s="277" t="str">
        <f>IFERROR(INDEX(PBC_ACCOUNT_LIST[Summary Grouping],MATCH('Data Summary'!I62,PBC_ACCOUNT_LIST[Id],0)),"")</f>
        <v>Payroll</v>
      </c>
      <c r="G62" s="277"/>
      <c r="H62" s="277">
        <f>IFERROR(INDEX(PBC_ACCOUNT_LIST[Cash Flow Section],MATCH('Data Summary'!I62,PBC_ACCOUNT_LIST[Id],0)),"")</f>
        <v>0</v>
      </c>
      <c r="I62" s="277">
        <v>180</v>
      </c>
      <c r="J62" s="314"/>
      <c r="L62" s="313">
        <f>SUMIFS(Drivers!AN$10:AN$69,PLAcctIDs,$I62)</f>
        <v>0</v>
      </c>
      <c r="M62" s="313">
        <f>SUMIFS(Drivers!AO$10:AO$69,PLAcctIDs,$I62)</f>
        <v>1148</v>
      </c>
      <c r="N62" s="313">
        <f>SUMIFS(Drivers!AP$10:AP$69,PLAcctIDs,$I62)</f>
        <v>1148</v>
      </c>
      <c r="O62" s="313">
        <f>SUMIFS(Drivers!AQ$10:AQ$69,PLAcctIDs,$I62)</f>
        <v>1148</v>
      </c>
      <c r="P62" s="313">
        <f>SUMIFS(Drivers!AR$10:AR$69,PLAcctIDs,$I62)</f>
        <v>1148</v>
      </c>
      <c r="Q62" s="313">
        <f>SUMIFS(Drivers!AS$10:AS$69,PLAcctIDs,$I62)</f>
        <v>1148</v>
      </c>
      <c r="R62" s="313">
        <f>SUMIFS(Drivers!AT$10:AT$69,PLAcctIDs,$I62)</f>
        <v>1148</v>
      </c>
      <c r="S62" s="313">
        <f>SUMIFS(Drivers!AU$10:AU$69,PLAcctIDs,$I62)</f>
        <v>1148</v>
      </c>
      <c r="T62" s="313">
        <f>SUMIFS(Drivers!AV$10:AV$69,PLAcctIDs,$I62)</f>
        <v>1148</v>
      </c>
      <c r="U62" s="313">
        <f>SUMIFS(Drivers!AW$10:AW$69,PLAcctIDs,$I62)</f>
        <v>1148</v>
      </c>
      <c r="V62" s="313">
        <f>SUMIFS(Drivers!AX$10:AX$69,PLAcctIDs,$I62)</f>
        <v>1148</v>
      </c>
      <c r="W62" s="313">
        <f>SUMIFS(Drivers!AY$10:AY$69,PLAcctIDs,$I62)</f>
        <v>1224</v>
      </c>
      <c r="X62" s="313">
        <f>SUMIFS(Drivers!AZ$10:AZ$69,PLAcctIDs,$I62)</f>
        <v>1436</v>
      </c>
      <c r="Y62" s="313">
        <f>SUMIFS(Drivers!BA$10:BA$69,PLAcctIDs,$I62)</f>
        <v>1285</v>
      </c>
      <c r="Z62" s="313">
        <f>SUMIFS(Drivers!BB$10:BB$69,PLAcctIDs,$I62)</f>
        <v>1508</v>
      </c>
      <c r="AA62" s="313">
        <f>SUMIFS(Drivers!BC$10:BC$69,PLAcctIDs,$I62)</f>
        <v>1349</v>
      </c>
      <c r="AB62" s="313">
        <f>SUMIFS(Drivers!BD$10:BD$69,PLAcctIDs,$I62)</f>
        <v>1583</v>
      </c>
      <c r="AC62" s="313">
        <f>SUMIFS(Drivers!BE$10:BE$69,PLAcctIDs,$I62)</f>
        <v>1416</v>
      </c>
      <c r="AD62" s="313">
        <f>SUMIFS(Drivers!BF$10:BF$69,PLAcctIDs,$I62)</f>
        <v>1662</v>
      </c>
      <c r="AE62" s="313">
        <f>SUMIFS(Drivers!BG$10:BG$69,PLAcctIDs,$I62)</f>
        <v>1745</v>
      </c>
      <c r="AF62" s="313">
        <f>SUMIFS(Drivers!BH$10:BH$69,PLAcctIDs,$I62)</f>
        <v>1745</v>
      </c>
      <c r="AG62" s="313">
        <f>SUMIFS(Drivers!BI$10:BI$69,PLAcctIDs,$I62)</f>
        <v>1833</v>
      </c>
      <c r="AH62" s="313">
        <f>SUMIFS(Drivers!BJ$10:BJ$69,PLAcctIDs,$I62)</f>
        <v>1833</v>
      </c>
      <c r="AI62" s="313">
        <f>SUMIFS(Drivers!BK$10:BK$69,PLAcctIDs,$I62)</f>
        <v>1924</v>
      </c>
      <c r="AJ62" s="313">
        <f>SUMIFS(Drivers!BL$10:BL$69,PLAcctIDs,$I62)</f>
        <v>2021</v>
      </c>
      <c r="AK62" s="313">
        <f>SUMIFS(Drivers!BM$10:BM$69,PLAcctIDs,$I62)</f>
        <v>2121.61</v>
      </c>
      <c r="AL62" s="313">
        <f>SUMIFS(Drivers!BN$10:BN$69,PLAcctIDs,$I62)</f>
        <v>2228</v>
      </c>
      <c r="AM62" s="313">
        <f>SUMIFS(Drivers!BO$10:BO$69,PLAcctIDs,$I62)</f>
        <v>2339</v>
      </c>
      <c r="AN62" s="313">
        <f>SUMIFS(Drivers!BP$10:BP$69,PLAcctIDs,$I62)</f>
        <v>2456</v>
      </c>
      <c r="AO62" s="313">
        <f>SUMIFS(Drivers!BQ$10:BQ$69,PLAcctIDs,$I62)</f>
        <v>2579</v>
      </c>
      <c r="AP62" s="313">
        <f>SUMIFS(Drivers!BR$10:BR$69,PLAcctIDs,$I62)</f>
        <v>2707.78</v>
      </c>
      <c r="AQ62" s="313">
        <f>SUMIFS(Drivers!BS$10:BS$69,PLAcctIDs,$I62)</f>
        <v>2843.16</v>
      </c>
      <c r="AR62" s="313">
        <f>SUMIFS(Drivers!BT$10:BT$69,PLAcctIDs,$I62)</f>
        <v>2985.31</v>
      </c>
      <c r="AS62" s="313">
        <f>SUMIFS(Drivers!BU$10:BU$69,PLAcctIDs,$I62)</f>
        <v>3134.58</v>
      </c>
      <c r="AT62" s="313">
        <f>SUMIFS(Drivers!BV$10:BV$69,PLAcctIDs,$I62)</f>
        <v>3291.31</v>
      </c>
      <c r="AU62" s="313">
        <f>SUMIFS(Drivers!BW$10:BW$69,PLAcctIDs,$I62)</f>
        <v>3455.87</v>
      </c>
      <c r="AV62" s="313">
        <f>SUMIFS(Drivers!BX$10:BX$69,PLAcctIDs,$I62)</f>
        <v>4166.666666666667</v>
      </c>
      <c r="AW62" s="313">
        <f>SUMIFS(Drivers!BY$10:BY$69,PLAcctIDs,$I62)</f>
        <v>4166.666666666667</v>
      </c>
      <c r="AX62" s="313">
        <f>SUMIFS(Drivers!BZ$10:BZ$69,PLAcctIDs,$I62)</f>
        <v>4166.666666666667</v>
      </c>
      <c r="AY62" s="313">
        <f>SUMIFS(Drivers!CA$10:CA$69,PLAcctIDs,$I62)</f>
        <v>4166.666666666667</v>
      </c>
      <c r="AZ62" s="313">
        <f>SUMIFS(Drivers!CB$10:CB$69,PLAcctIDs,$I62)</f>
        <v>6250</v>
      </c>
      <c r="BA62" s="313">
        <f>SUMIFS(Drivers!CC$10:CC$69,PLAcctIDs,$I62)</f>
        <v>6250</v>
      </c>
      <c r="BB62" s="313">
        <f>SUMIFS(Drivers!CD$10:CD$69,PLAcctIDs,$I62)</f>
        <v>6613.6363636363631</v>
      </c>
      <c r="BC62" s="313">
        <f>SUMIFS(Drivers!CE$10:CE$69,PLAcctIDs,$I62)</f>
        <v>6916.6666666666661</v>
      </c>
      <c r="BD62" s="313">
        <f>SUMIFS(Drivers!CF$10:CF$69,PLAcctIDs,$I62)</f>
        <v>6916.6666666666661</v>
      </c>
      <c r="BE62" s="313">
        <f>SUMIFS(Drivers!CG$10:CG$69,PLAcctIDs,$I62)</f>
        <v>6916.6666666666661</v>
      </c>
      <c r="BF62" s="313">
        <f>SUMIFS(Drivers!CH$10:CH$69,PLAcctIDs,$I62)</f>
        <v>6916.6666666666661</v>
      </c>
      <c r="BG62" s="313">
        <f>SUMIFS(Drivers!CI$10:CI$69,PLAcctIDs,$I62)</f>
        <v>6916.6666666666661</v>
      </c>
      <c r="BH62" s="313">
        <f>SUMIFS(Drivers!CJ$10:CJ$69,PLAcctIDs,$I62)</f>
        <v>6916.6666666666661</v>
      </c>
    </row>
    <row r="63" spans="2:60" ht="18.75" customHeight="1" outlineLevel="1">
      <c r="B63" s="284"/>
      <c r="C63" s="315"/>
      <c r="D63" s="288" t="s">
        <v>257</v>
      </c>
      <c r="E63" s="277" t="str">
        <f>IFERROR(INDEX(PBC_ACCOUNT_LIST[Drivers Section],MATCH('Data Summary'!I63,PBC_ACCOUNT_LIST[Id],0)),"")</f>
        <v>Opex</v>
      </c>
      <c r="F63" s="277" t="str">
        <f>IFERROR(INDEX(PBC_ACCOUNT_LIST[Summary Grouping],MATCH('Data Summary'!I63,PBC_ACCOUNT_LIST[Id],0)),"")</f>
        <v>Payroll</v>
      </c>
      <c r="G63" s="277"/>
      <c r="H63" s="277">
        <f>IFERROR(INDEX(PBC_ACCOUNT_LIST[Cash Flow Section],MATCH('Data Summary'!I63,PBC_ACCOUNT_LIST[Id],0)),"")</f>
        <v>0</v>
      </c>
      <c r="I63" s="277">
        <v>181</v>
      </c>
      <c r="J63" s="314"/>
      <c r="L63" s="313">
        <f>SUMIFS(Drivers!AN$10:AN$69,PLAcctIDs,$I63)</f>
        <v>0</v>
      </c>
      <c r="M63" s="313">
        <f>SUMIFS(Drivers!AO$10:AO$69,PLAcctIDs,$I63)</f>
        <v>57</v>
      </c>
      <c r="N63" s="313">
        <f>SUMIFS(Drivers!AP$10:AP$69,PLAcctIDs,$I63)</f>
        <v>57</v>
      </c>
      <c r="O63" s="313">
        <f>SUMIFS(Drivers!AQ$10:AQ$69,PLAcctIDs,$I63)</f>
        <v>57</v>
      </c>
      <c r="P63" s="313">
        <f>SUMIFS(Drivers!AR$10:AR$69,PLAcctIDs,$I63)</f>
        <v>57.5</v>
      </c>
      <c r="Q63" s="313">
        <f>SUMIFS(Drivers!AS$10:AS$69,PLAcctIDs,$I63)</f>
        <v>57</v>
      </c>
      <c r="R63" s="313">
        <f>SUMIFS(Drivers!AT$10:AT$69,PLAcctIDs,$I63)</f>
        <v>57</v>
      </c>
      <c r="S63" s="313">
        <f>SUMIFS(Drivers!AU$10:AU$69,PLAcctIDs,$I63)</f>
        <v>57</v>
      </c>
      <c r="T63" s="313">
        <f>SUMIFS(Drivers!AV$10:AV$69,PLAcctIDs,$I63)</f>
        <v>57</v>
      </c>
      <c r="U63" s="313">
        <f>SUMIFS(Drivers!AW$10:AW$69,PLAcctIDs,$I63)</f>
        <v>57</v>
      </c>
      <c r="V63" s="313">
        <f>SUMIFS(Drivers!AX$10:AX$69,PLAcctIDs,$I63)</f>
        <v>57</v>
      </c>
      <c r="W63" s="313">
        <f>SUMIFS(Drivers!AY$10:AY$69,PLAcctIDs,$I63)</f>
        <v>58</v>
      </c>
      <c r="X63" s="313">
        <f>SUMIFS(Drivers!AZ$10:AZ$69,PLAcctIDs,$I63)</f>
        <v>99</v>
      </c>
      <c r="Y63" s="313">
        <f>SUMIFS(Drivers!BA$10:BA$69,PLAcctIDs,$I63)</f>
        <v>60</v>
      </c>
      <c r="Z63" s="313">
        <f>SUMIFS(Drivers!BB$10:BB$69,PLAcctIDs,$I63)</f>
        <v>104</v>
      </c>
      <c r="AA63" s="313">
        <f>SUMIFS(Drivers!BC$10:BC$69,PLAcctIDs,$I63)</f>
        <v>63</v>
      </c>
      <c r="AB63" s="313">
        <f>SUMIFS(Drivers!BD$10:BD$69,PLAcctIDs,$I63)</f>
        <v>109</v>
      </c>
      <c r="AC63" s="313">
        <f>SUMIFS(Drivers!BE$10:BE$69,PLAcctIDs,$I63)</f>
        <v>67</v>
      </c>
      <c r="AD63" s="313">
        <f>SUMIFS(Drivers!BF$10:BF$69,PLAcctIDs,$I63)</f>
        <v>114</v>
      </c>
      <c r="AE63" s="313">
        <f>SUMIFS(Drivers!BG$10:BG$69,PLAcctIDs,$I63)</f>
        <v>120</v>
      </c>
      <c r="AF63" s="313">
        <f>SUMIFS(Drivers!BH$10:BH$69,PLAcctIDs,$I63)</f>
        <v>120</v>
      </c>
      <c r="AG63" s="313">
        <f>SUMIFS(Drivers!BI$10:BI$69,PLAcctIDs,$I63)</f>
        <v>126</v>
      </c>
      <c r="AH63" s="313">
        <f>SUMIFS(Drivers!BJ$10:BJ$69,PLAcctIDs,$I63)</f>
        <v>126.34</v>
      </c>
      <c r="AI63" s="313">
        <f>SUMIFS(Drivers!BK$10:BK$69,PLAcctIDs,$I63)</f>
        <v>132.34</v>
      </c>
      <c r="AJ63" s="313">
        <f>SUMIFS(Drivers!BL$10:BL$69,PLAcctIDs,$I63)</f>
        <v>139</v>
      </c>
      <c r="AK63" s="313">
        <f>SUMIFS(Drivers!BM$10:BM$69,PLAcctIDs,$I63)</f>
        <v>145.83000000000001</v>
      </c>
      <c r="AL63" s="313">
        <f>SUMIFS(Drivers!BN$10:BN$69,PLAcctIDs,$I63)</f>
        <v>153</v>
      </c>
      <c r="AM63" s="313">
        <f>SUMIFS(Drivers!BO$10:BO$69,PLAcctIDs,$I63)</f>
        <v>161</v>
      </c>
      <c r="AN63" s="313">
        <f>SUMIFS(Drivers!BP$10:BP$69,PLAcctIDs,$I63)</f>
        <v>169</v>
      </c>
      <c r="AO63" s="313">
        <f>SUMIFS(Drivers!BQ$10:BQ$69,PLAcctIDs,$I63)</f>
        <v>177</v>
      </c>
      <c r="AP63" s="313">
        <f>SUMIFS(Drivers!BR$10:BR$69,PLAcctIDs,$I63)</f>
        <v>186.13</v>
      </c>
      <c r="AQ63" s="313">
        <f>SUMIFS(Drivers!BS$10:BS$69,PLAcctIDs,$I63)</f>
        <v>195.43</v>
      </c>
      <c r="AR63" s="313">
        <f>SUMIFS(Drivers!BT$10:BT$69,PLAcctIDs,$I63)</f>
        <v>205.2</v>
      </c>
      <c r="AS63" s="313">
        <f>SUMIFS(Drivers!BU$10:BU$69,PLAcctIDs,$I63)</f>
        <v>215.46</v>
      </c>
      <c r="AT63" s="313">
        <f>SUMIFS(Drivers!BV$10:BV$69,PLAcctIDs,$I63)</f>
        <v>226.23</v>
      </c>
      <c r="AU63" s="313">
        <f>SUMIFS(Drivers!BW$10:BW$69,PLAcctIDs,$I63)</f>
        <v>237.54</v>
      </c>
      <c r="AV63" s="313">
        <f>SUMIFS(Drivers!BX$10:BX$69,PLAcctIDs,$I63)</f>
        <v>104.16666666666666</v>
      </c>
      <c r="AW63" s="313">
        <f>SUMIFS(Drivers!BY$10:BY$69,PLAcctIDs,$I63)</f>
        <v>104.16666666666666</v>
      </c>
      <c r="AX63" s="313">
        <f>SUMIFS(Drivers!BZ$10:BZ$69,PLAcctIDs,$I63)</f>
        <v>104.16666666666666</v>
      </c>
      <c r="AY63" s="313">
        <f>SUMIFS(Drivers!CA$10:CA$69,PLAcctIDs,$I63)</f>
        <v>104.16666666666666</v>
      </c>
      <c r="AZ63" s="313">
        <f>SUMIFS(Drivers!CB$10:CB$69,PLAcctIDs,$I63)</f>
        <v>156.24999999999997</v>
      </c>
      <c r="BA63" s="313">
        <f>SUMIFS(Drivers!CC$10:CC$69,PLAcctIDs,$I63)</f>
        <v>156.24999999999997</v>
      </c>
      <c r="BB63" s="313">
        <f>SUMIFS(Drivers!CD$10:CD$69,PLAcctIDs,$I63)</f>
        <v>165.34090909090907</v>
      </c>
      <c r="BC63" s="313">
        <f>SUMIFS(Drivers!CE$10:CE$69,PLAcctIDs,$I63)</f>
        <v>172.91666666666663</v>
      </c>
      <c r="BD63" s="313">
        <f>SUMIFS(Drivers!CF$10:CF$69,PLAcctIDs,$I63)</f>
        <v>172.91666666666663</v>
      </c>
      <c r="BE63" s="313">
        <f>SUMIFS(Drivers!CG$10:CG$69,PLAcctIDs,$I63)</f>
        <v>172.91666666666663</v>
      </c>
      <c r="BF63" s="313">
        <f>SUMIFS(Drivers!CH$10:CH$69,PLAcctIDs,$I63)</f>
        <v>172.91666666666663</v>
      </c>
      <c r="BG63" s="313">
        <f>SUMIFS(Drivers!CI$10:CI$69,PLAcctIDs,$I63)</f>
        <v>172.91666666666663</v>
      </c>
      <c r="BH63" s="313">
        <f>SUMIFS(Drivers!CJ$10:CJ$69,PLAcctIDs,$I63)</f>
        <v>172.91666666666663</v>
      </c>
    </row>
    <row r="64" spans="2:60" ht="18.75" customHeight="1" outlineLevel="1">
      <c r="B64" s="284"/>
      <c r="C64" s="315"/>
      <c r="D64" s="288" t="s">
        <v>258</v>
      </c>
      <c r="E64" s="277" t="str">
        <f>IFERROR(INDEX(PBC_ACCOUNT_LIST[Drivers Section],MATCH('Data Summary'!I64,PBC_ACCOUNT_LIST[Id],0)),"")</f>
        <v>Opex</v>
      </c>
      <c r="F64" s="277" t="str">
        <f>IFERROR(INDEX(PBC_ACCOUNT_LIST[Summary Grouping],MATCH('Data Summary'!I64,PBC_ACCOUNT_LIST[Id],0)),"")</f>
        <v>Other G&amp;A</v>
      </c>
      <c r="G64" s="277"/>
      <c r="H64" s="277">
        <f>IFERROR(INDEX(PBC_ACCOUNT_LIST[Cash Flow Section],MATCH('Data Summary'!I64,PBC_ACCOUNT_LIST[Id],0)),"")</f>
        <v>0</v>
      </c>
      <c r="I64" s="277">
        <v>182</v>
      </c>
      <c r="J64" s="314"/>
      <c r="L64" s="313">
        <f>SUMIFS(Drivers!AN$10:AN$69,PLAcctIDs,$I64)</f>
        <v>0</v>
      </c>
      <c r="M64" s="313">
        <f>SUMIFS(Drivers!AO$10:AO$69,PLAcctIDs,$I64)</f>
        <v>0</v>
      </c>
      <c r="N64" s="313">
        <f>SUMIFS(Drivers!AP$10:AP$69,PLAcctIDs,$I64)</f>
        <v>0</v>
      </c>
      <c r="O64" s="313">
        <f>SUMIFS(Drivers!AQ$10:AQ$69,PLAcctIDs,$I64)</f>
        <v>0</v>
      </c>
      <c r="P64" s="313">
        <f>SUMIFS(Drivers!AR$10:AR$69,PLAcctIDs,$I64)</f>
        <v>0</v>
      </c>
      <c r="Q64" s="313">
        <f>SUMIFS(Drivers!AS$10:AS$69,PLAcctIDs,$I64)</f>
        <v>0</v>
      </c>
      <c r="R64" s="313">
        <f>SUMIFS(Drivers!AT$10:AT$69,PLAcctIDs,$I64)</f>
        <v>0</v>
      </c>
      <c r="S64" s="313">
        <f>SUMIFS(Drivers!AU$10:AU$69,PLAcctIDs,$I64)</f>
        <v>0</v>
      </c>
      <c r="T64" s="313">
        <f>SUMIFS(Drivers!AV$10:AV$69,PLAcctIDs,$I64)</f>
        <v>0</v>
      </c>
      <c r="U64" s="313">
        <f>SUMIFS(Drivers!AW$10:AW$69,PLAcctIDs,$I64)</f>
        <v>0</v>
      </c>
      <c r="V64" s="313">
        <f>SUMIFS(Drivers!AX$10:AX$69,PLAcctIDs,$I64)</f>
        <v>0</v>
      </c>
      <c r="W64" s="313">
        <f>SUMIFS(Drivers!AY$10:AY$69,PLAcctIDs,$I64)</f>
        <v>0</v>
      </c>
      <c r="X64" s="313">
        <f>SUMIFS(Drivers!AZ$10:AZ$69,PLAcctIDs,$I64)</f>
        <v>0</v>
      </c>
      <c r="Y64" s="313">
        <f>SUMIFS(Drivers!BA$10:BA$69,PLAcctIDs,$I64)</f>
        <v>0</v>
      </c>
      <c r="Z64" s="313">
        <f>SUMIFS(Drivers!BB$10:BB$69,PLAcctIDs,$I64)</f>
        <v>0</v>
      </c>
      <c r="AA64" s="313">
        <f>SUMIFS(Drivers!BC$10:BC$69,PLAcctIDs,$I64)</f>
        <v>0</v>
      </c>
      <c r="AB64" s="313">
        <f>SUMIFS(Drivers!BD$10:BD$69,PLAcctIDs,$I64)</f>
        <v>0</v>
      </c>
      <c r="AC64" s="313">
        <f>SUMIFS(Drivers!BE$10:BE$69,PLAcctIDs,$I64)</f>
        <v>0</v>
      </c>
      <c r="AD64" s="313">
        <f>SUMIFS(Drivers!BF$10:BF$69,PLAcctIDs,$I64)</f>
        <v>0</v>
      </c>
      <c r="AE64" s="313">
        <f>SUMIFS(Drivers!BG$10:BG$69,PLAcctIDs,$I64)</f>
        <v>0</v>
      </c>
      <c r="AF64" s="313">
        <f>SUMIFS(Drivers!BH$10:BH$69,PLAcctIDs,$I64)</f>
        <v>0</v>
      </c>
      <c r="AG64" s="313">
        <f>SUMIFS(Drivers!BI$10:BI$69,PLAcctIDs,$I64)</f>
        <v>0</v>
      </c>
      <c r="AH64" s="313">
        <f>SUMIFS(Drivers!BJ$10:BJ$69,PLAcctIDs,$I64)</f>
        <v>0</v>
      </c>
      <c r="AI64" s="313">
        <f>SUMIFS(Drivers!BK$10:BK$69,PLAcctIDs,$I64)</f>
        <v>0</v>
      </c>
      <c r="AJ64" s="313">
        <f>SUMIFS(Drivers!BL$10:BL$69,PLAcctIDs,$I64)</f>
        <v>0</v>
      </c>
      <c r="AK64" s="313">
        <f>SUMIFS(Drivers!BM$10:BM$69,PLAcctIDs,$I64)</f>
        <v>0</v>
      </c>
      <c r="AL64" s="313">
        <f>SUMIFS(Drivers!BN$10:BN$69,PLAcctIDs,$I64)</f>
        <v>0</v>
      </c>
      <c r="AM64" s="313">
        <f>SUMIFS(Drivers!BO$10:BO$69,PLAcctIDs,$I64)</f>
        <v>0</v>
      </c>
      <c r="AN64" s="313">
        <f>SUMIFS(Drivers!BP$10:BP$69,PLAcctIDs,$I64)</f>
        <v>0</v>
      </c>
      <c r="AO64" s="313">
        <f>SUMIFS(Drivers!BQ$10:BQ$69,PLAcctIDs,$I64)</f>
        <v>0</v>
      </c>
      <c r="AP64" s="313">
        <f>SUMIFS(Drivers!BR$10:BR$69,PLAcctIDs,$I64)</f>
        <v>0</v>
      </c>
      <c r="AQ64" s="313">
        <f>SUMIFS(Drivers!BS$10:BS$69,PLAcctIDs,$I64)</f>
        <v>0</v>
      </c>
      <c r="AR64" s="313">
        <f>SUMIFS(Drivers!BT$10:BT$69,PLAcctIDs,$I64)</f>
        <v>0</v>
      </c>
      <c r="AS64" s="313">
        <f>SUMIFS(Drivers!BU$10:BU$69,PLAcctIDs,$I64)</f>
        <v>0</v>
      </c>
      <c r="AT64" s="313">
        <f>SUMIFS(Drivers!BV$10:BV$69,PLAcctIDs,$I64)</f>
        <v>0</v>
      </c>
      <c r="AU64" s="313">
        <f>SUMIFS(Drivers!BW$10:BW$69,PLAcctIDs,$I64)</f>
        <v>0</v>
      </c>
      <c r="AV64" s="313">
        <f>SUMIFS(Drivers!BX$10:BX$69,PLAcctIDs,$I64)</f>
        <v>0</v>
      </c>
      <c r="AW64" s="313">
        <f>SUMIFS(Drivers!BY$10:BY$69,PLAcctIDs,$I64)</f>
        <v>0</v>
      </c>
      <c r="AX64" s="313">
        <f>SUMIFS(Drivers!BZ$10:BZ$69,PLAcctIDs,$I64)</f>
        <v>0</v>
      </c>
      <c r="AY64" s="313">
        <f>SUMIFS(Drivers!CA$10:CA$69,PLAcctIDs,$I64)</f>
        <v>0</v>
      </c>
      <c r="AZ64" s="313">
        <f>SUMIFS(Drivers!CB$10:CB$69,PLAcctIDs,$I64)</f>
        <v>0</v>
      </c>
      <c r="BA64" s="313">
        <f>SUMIFS(Drivers!CC$10:CC$69,PLAcctIDs,$I64)</f>
        <v>0</v>
      </c>
      <c r="BB64" s="313">
        <f>SUMIFS(Drivers!CD$10:CD$69,PLAcctIDs,$I64)</f>
        <v>0</v>
      </c>
      <c r="BC64" s="313">
        <f>SUMIFS(Drivers!CE$10:CE$69,PLAcctIDs,$I64)</f>
        <v>0</v>
      </c>
      <c r="BD64" s="313">
        <f>SUMIFS(Drivers!CF$10:CF$69,PLAcctIDs,$I64)</f>
        <v>0</v>
      </c>
      <c r="BE64" s="313">
        <f>SUMIFS(Drivers!CG$10:CG$69,PLAcctIDs,$I64)</f>
        <v>0</v>
      </c>
      <c r="BF64" s="313">
        <f>SUMIFS(Drivers!CH$10:CH$69,PLAcctIDs,$I64)</f>
        <v>0</v>
      </c>
      <c r="BG64" s="313">
        <f>SUMIFS(Drivers!CI$10:CI$69,PLAcctIDs,$I64)</f>
        <v>0</v>
      </c>
      <c r="BH64" s="313">
        <f>SUMIFS(Drivers!CJ$10:CJ$69,PLAcctIDs,$I64)</f>
        <v>0</v>
      </c>
    </row>
    <row r="65" spans="2:60" ht="18.75" customHeight="1" outlineLevel="1">
      <c r="B65" s="284"/>
      <c r="C65" s="315"/>
      <c r="D65" s="288" t="s">
        <v>259</v>
      </c>
      <c r="E65" s="277" t="str">
        <f>IFERROR(INDEX(PBC_ACCOUNT_LIST[Drivers Section],MATCH('Data Summary'!I65,PBC_ACCOUNT_LIST[Id],0)),"")</f>
        <v>Opex</v>
      </c>
      <c r="F65" s="277" t="str">
        <f>IFERROR(INDEX(PBC_ACCOUNT_LIST[Summary Grouping],MATCH('Data Summary'!I65,PBC_ACCOUNT_LIST[Id],0)),"")</f>
        <v>G&amp;A</v>
      </c>
      <c r="G65" s="277"/>
      <c r="H65" s="277">
        <f>IFERROR(INDEX(PBC_ACCOUNT_LIST[Cash Flow Section],MATCH('Data Summary'!I65,PBC_ACCOUNT_LIST[Id],0)),"")</f>
        <v>0</v>
      </c>
      <c r="I65" s="277">
        <v>183</v>
      </c>
      <c r="J65" s="314"/>
      <c r="L65" s="313">
        <f>SUMIFS(Drivers!AN$10:AN$69,PLAcctIDs,$I65)</f>
        <v>0</v>
      </c>
      <c r="M65" s="313">
        <f>SUMIFS(Drivers!AO$10:AO$69,PLAcctIDs,$I65)</f>
        <v>150</v>
      </c>
      <c r="N65" s="313">
        <f>SUMIFS(Drivers!AP$10:AP$69,PLAcctIDs,$I65)</f>
        <v>155</v>
      </c>
      <c r="O65" s="313">
        <f>SUMIFS(Drivers!AQ$10:AQ$69,PLAcctIDs,$I65)</f>
        <v>161</v>
      </c>
      <c r="P65" s="313">
        <f>SUMIFS(Drivers!AR$10:AR$69,PLAcctIDs,$I65)</f>
        <v>166</v>
      </c>
      <c r="Q65" s="313">
        <f>SUMIFS(Drivers!AS$10:AS$69,PLAcctIDs,$I65)</f>
        <v>172</v>
      </c>
      <c r="R65" s="313">
        <f>SUMIFS(Drivers!AT$10:AT$69,PLAcctIDs,$I65)</f>
        <v>178</v>
      </c>
      <c r="S65" s="313">
        <f>SUMIFS(Drivers!AU$10:AU$69,PLAcctIDs,$I65)</f>
        <v>184</v>
      </c>
      <c r="T65" s="313">
        <f>SUMIFS(Drivers!AV$10:AV$69,PLAcctIDs,$I65)</f>
        <v>191</v>
      </c>
      <c r="U65" s="313">
        <f>SUMIFS(Drivers!AW$10:AW$69,PLAcctIDs,$I65)</f>
        <v>198</v>
      </c>
      <c r="V65" s="313">
        <f>SUMIFS(Drivers!AX$10:AX$69,PLAcctIDs,$I65)</f>
        <v>204</v>
      </c>
      <c r="W65" s="313">
        <f>SUMIFS(Drivers!AY$10:AY$69,PLAcctIDs,$I65)</f>
        <v>386</v>
      </c>
      <c r="X65" s="313">
        <f>SUMIFS(Drivers!AZ$10:AZ$69,PLAcctIDs,$I65)</f>
        <v>586</v>
      </c>
      <c r="Y65" s="313">
        <f>SUMIFS(Drivers!BA$10:BA$69,PLAcctIDs,$I65)</f>
        <v>406</v>
      </c>
      <c r="Z65" s="313">
        <f>SUMIFS(Drivers!BB$10:BB$69,PLAcctIDs,$I65)</f>
        <v>615</v>
      </c>
      <c r="AA65" s="313">
        <f>SUMIFS(Drivers!BC$10:BC$69,PLAcctIDs,$I65)</f>
        <v>426</v>
      </c>
      <c r="AB65" s="313">
        <f>SUMIFS(Drivers!BD$10:BD$69,PLAcctIDs,$I65)</f>
        <v>646</v>
      </c>
      <c r="AC65" s="313">
        <f>SUMIFS(Drivers!BE$10:BE$69,PLAcctIDs,$I65)</f>
        <v>447</v>
      </c>
      <c r="AD65" s="313">
        <f>SUMIFS(Drivers!BF$10:BF$69,PLAcctIDs,$I65)</f>
        <v>678</v>
      </c>
      <c r="AE65" s="313">
        <f>SUMIFS(Drivers!BG$10:BG$69,PLAcctIDs,$I65)</f>
        <v>712</v>
      </c>
      <c r="AF65" s="313">
        <f>SUMIFS(Drivers!BH$10:BH$69,PLAcctIDs,$I65)</f>
        <v>712</v>
      </c>
      <c r="AG65" s="313">
        <f>SUMIFS(Drivers!BI$10:BI$69,PLAcctIDs,$I65)</f>
        <v>748</v>
      </c>
      <c r="AH65" s="313">
        <f>SUMIFS(Drivers!BJ$10:BJ$69,PLAcctIDs,$I65)</f>
        <v>748</v>
      </c>
      <c r="AI65" s="313">
        <f>SUMIFS(Drivers!BK$10:BK$69,PLAcctIDs,$I65)</f>
        <v>785</v>
      </c>
      <c r="AJ65" s="313">
        <f>SUMIFS(Drivers!BL$10:BL$69,PLAcctIDs,$I65)</f>
        <v>824</v>
      </c>
      <c r="AK65" s="313">
        <f>SUMIFS(Drivers!BM$10:BM$69,PLAcctIDs,$I65)</f>
        <v>865.53</v>
      </c>
      <c r="AL65" s="313">
        <f>SUMIFS(Drivers!BN$10:BN$69,PLAcctIDs,$I65)</f>
        <v>909</v>
      </c>
      <c r="AM65" s="313">
        <f>SUMIFS(Drivers!BO$10:BO$69,PLAcctIDs,$I65)</f>
        <v>954</v>
      </c>
      <c r="AN65" s="313">
        <f>SUMIFS(Drivers!BP$10:BP$69,PLAcctIDs,$I65)</f>
        <v>1002</v>
      </c>
      <c r="AO65" s="313">
        <f>SUMIFS(Drivers!BQ$10:BQ$69,PLAcctIDs,$I65)</f>
        <v>1052</v>
      </c>
      <c r="AP65" s="313">
        <f>SUMIFS(Drivers!BR$10:BR$69,PLAcctIDs,$I65)</f>
        <v>1104.6600000000001</v>
      </c>
      <c r="AQ65" s="313">
        <f>SUMIFS(Drivers!BS$10:BS$69,PLAcctIDs,$I65)</f>
        <v>1159.9000000000001</v>
      </c>
      <c r="AR65" s="313">
        <f>SUMIFS(Drivers!BT$10:BT$69,PLAcctIDs,$I65)</f>
        <v>1217.8900000000001</v>
      </c>
      <c r="AS65" s="313">
        <f>SUMIFS(Drivers!BU$10:BU$69,PLAcctIDs,$I65)</f>
        <v>1278.79</v>
      </c>
      <c r="AT65" s="313">
        <f>SUMIFS(Drivers!BV$10:BV$69,PLAcctIDs,$I65)</f>
        <v>1342.73</v>
      </c>
      <c r="AU65" s="313">
        <f>SUMIFS(Drivers!BW$10:BW$69,PLAcctIDs,$I65)</f>
        <v>1409.86</v>
      </c>
      <c r="AV65" s="313">
        <f>SUMIFS(Drivers!BX$10:BX$69,PLAcctIDs,$I65)</f>
        <v>1314.9202500000001</v>
      </c>
      <c r="AW65" s="313">
        <f>SUMIFS(Drivers!BY$10:BY$69,PLAcctIDs,$I65)</f>
        <v>1351.7157937499999</v>
      </c>
      <c r="AX65" s="313">
        <f>SUMIFS(Drivers!BZ$10:BZ$69,PLAcctIDs,$I65)</f>
        <v>1385.2835576562502</v>
      </c>
      <c r="AY65" s="313">
        <f>SUMIFS(Drivers!CA$10:CA$69,PLAcctIDs,$I65)</f>
        <v>1414.5774302460939</v>
      </c>
      <c r="AZ65" s="313">
        <f>SUMIFS(Drivers!CB$10:CB$69,PLAcctIDs,$I65)</f>
        <v>1438.3402305391601</v>
      </c>
      <c r="BA65" s="313">
        <f>SUMIFS(Drivers!CC$10:CC$69,PLAcctIDs,$I65)</f>
        <v>1455.0720208835135</v>
      </c>
      <c r="BB65" s="313">
        <f>SUMIFS(Drivers!CD$10:CD$69,PLAcctIDs,$I65)</f>
        <v>1462.9841245381281</v>
      </c>
      <c r="BC65" s="313">
        <f>SUMIFS(Drivers!CE$10:CE$69,PLAcctIDs,$I65)</f>
        <v>1488.8953025823005</v>
      </c>
      <c r="BD65" s="313">
        <f>SUMIFS(Drivers!CF$10:CF$69,PLAcctIDs,$I65)</f>
        <v>1512.9017166279532</v>
      </c>
      <c r="BE65" s="313">
        <f>SUMIFS(Drivers!CG$10:CG$69,PLAcctIDs,$I65)</f>
        <v>1535.2348944480009</v>
      </c>
      <c r="BF65" s="313">
        <f>SUMIFS(Drivers!CH$10:CH$69,PLAcctIDs,$I65)</f>
        <v>1556.3499506833348</v>
      </c>
      <c r="BG65" s="313">
        <f>SUMIFS(Drivers!CI$10:CI$69,PLAcctIDs,$I65)</f>
        <v>1577.0016517085655</v>
      </c>
      <c r="BH65" s="313">
        <f>SUMIFS(Drivers!CJ$10:CJ$69,PLAcctIDs,$I65)</f>
        <v>1598.3393371029497</v>
      </c>
    </row>
    <row r="66" spans="2:60" ht="18.75" customHeight="1" outlineLevel="1">
      <c r="B66" s="284"/>
      <c r="C66" s="315"/>
      <c r="D66" s="288" t="s">
        <v>238</v>
      </c>
      <c r="E66" s="277" t="str">
        <f>IFERROR(INDEX(PBC_ACCOUNT_LIST[Drivers Section],MATCH('Data Summary'!I66,PBC_ACCOUNT_LIST[Id],0)),"")</f>
        <v>Opex</v>
      </c>
      <c r="F66" s="277" t="str">
        <f>IFERROR(INDEX(PBC_ACCOUNT_LIST[Summary Grouping],MATCH('Data Summary'!I66,PBC_ACCOUNT_LIST[Id],0)),"")</f>
        <v>Travel &amp; Entertainment</v>
      </c>
      <c r="G66" s="277"/>
      <c r="H66" s="277">
        <f>IFERROR(INDEX(PBC_ACCOUNT_LIST[Cash Flow Section],MATCH('Data Summary'!I66,PBC_ACCOUNT_LIST[Id],0)),"")</f>
        <v>0</v>
      </c>
      <c r="I66" s="277">
        <v>184</v>
      </c>
      <c r="J66" s="314"/>
      <c r="L66" s="313">
        <f>SUMIFS(Drivers!AN$10:AN$69,PLAcctIDs,$I66)</f>
        <v>0</v>
      </c>
      <c r="M66" s="313">
        <f>SUMIFS(Drivers!AO$10:AO$69,PLAcctIDs,$I66)</f>
        <v>0</v>
      </c>
      <c r="N66" s="313">
        <f>SUMIFS(Drivers!AP$10:AP$69,PLAcctIDs,$I66)</f>
        <v>0</v>
      </c>
      <c r="O66" s="313">
        <f>SUMIFS(Drivers!AQ$10:AQ$69,PLAcctIDs,$I66)</f>
        <v>0</v>
      </c>
      <c r="P66" s="313">
        <f>SUMIFS(Drivers!AR$10:AR$69,PLAcctIDs,$I66)</f>
        <v>0</v>
      </c>
      <c r="Q66" s="313">
        <f>SUMIFS(Drivers!AS$10:AS$69,PLAcctIDs,$I66)</f>
        <v>0</v>
      </c>
      <c r="R66" s="313">
        <f>SUMIFS(Drivers!AT$10:AT$69,PLAcctIDs,$I66)</f>
        <v>0</v>
      </c>
      <c r="S66" s="313">
        <f>SUMIFS(Drivers!AU$10:AU$69,PLAcctIDs,$I66)</f>
        <v>0</v>
      </c>
      <c r="T66" s="313">
        <f>SUMIFS(Drivers!AV$10:AV$69,PLAcctIDs,$I66)</f>
        <v>0</v>
      </c>
      <c r="U66" s="313">
        <f>SUMIFS(Drivers!AW$10:AW$69,PLAcctIDs,$I66)</f>
        <v>0</v>
      </c>
      <c r="V66" s="313">
        <f>SUMIFS(Drivers!AX$10:AX$69,PLAcctIDs,$I66)</f>
        <v>0</v>
      </c>
      <c r="W66" s="313">
        <f>SUMIFS(Drivers!AY$10:AY$69,PLAcctIDs,$I66)</f>
        <v>0</v>
      </c>
      <c r="X66" s="313">
        <f>SUMIFS(Drivers!AZ$10:AZ$69,PLAcctIDs,$I66)</f>
        <v>0</v>
      </c>
      <c r="Y66" s="313">
        <f>SUMIFS(Drivers!BA$10:BA$69,PLAcctIDs,$I66)</f>
        <v>0</v>
      </c>
      <c r="Z66" s="313">
        <f>SUMIFS(Drivers!BB$10:BB$69,PLAcctIDs,$I66)</f>
        <v>0</v>
      </c>
      <c r="AA66" s="313">
        <f>SUMIFS(Drivers!BC$10:BC$69,PLAcctIDs,$I66)</f>
        <v>0</v>
      </c>
      <c r="AB66" s="313">
        <f>SUMIFS(Drivers!BD$10:BD$69,PLAcctIDs,$I66)</f>
        <v>0</v>
      </c>
      <c r="AC66" s="313">
        <f>SUMIFS(Drivers!BE$10:BE$69,PLAcctIDs,$I66)</f>
        <v>0</v>
      </c>
      <c r="AD66" s="313">
        <f>SUMIFS(Drivers!BF$10:BF$69,PLAcctIDs,$I66)</f>
        <v>0</v>
      </c>
      <c r="AE66" s="313">
        <f>SUMIFS(Drivers!BG$10:BG$69,PLAcctIDs,$I66)</f>
        <v>0</v>
      </c>
      <c r="AF66" s="313">
        <f>SUMIFS(Drivers!BH$10:BH$69,PLAcctIDs,$I66)</f>
        <v>0</v>
      </c>
      <c r="AG66" s="313">
        <f>SUMIFS(Drivers!BI$10:BI$69,PLAcctIDs,$I66)</f>
        <v>0</v>
      </c>
      <c r="AH66" s="313">
        <f>SUMIFS(Drivers!BJ$10:BJ$69,PLAcctIDs,$I66)</f>
        <v>0</v>
      </c>
      <c r="AI66" s="313">
        <f>SUMIFS(Drivers!BK$10:BK$69,PLAcctIDs,$I66)</f>
        <v>0</v>
      </c>
      <c r="AJ66" s="313">
        <f>SUMIFS(Drivers!BL$10:BL$69,PLAcctIDs,$I66)</f>
        <v>0</v>
      </c>
      <c r="AK66" s="313">
        <f>SUMIFS(Drivers!BM$10:BM$69,PLAcctIDs,$I66)</f>
        <v>0</v>
      </c>
      <c r="AL66" s="313">
        <f>SUMIFS(Drivers!BN$10:BN$69,PLAcctIDs,$I66)</f>
        <v>0</v>
      </c>
      <c r="AM66" s="313">
        <f>SUMIFS(Drivers!BO$10:BO$69,PLAcctIDs,$I66)</f>
        <v>0</v>
      </c>
      <c r="AN66" s="313">
        <f>SUMIFS(Drivers!BP$10:BP$69,PLAcctIDs,$I66)</f>
        <v>0</v>
      </c>
      <c r="AO66" s="313">
        <f>SUMIFS(Drivers!BQ$10:BQ$69,PLAcctIDs,$I66)</f>
        <v>0</v>
      </c>
      <c r="AP66" s="313">
        <f>SUMIFS(Drivers!BR$10:BR$69,PLAcctIDs,$I66)</f>
        <v>0</v>
      </c>
      <c r="AQ66" s="313">
        <f>SUMIFS(Drivers!BS$10:BS$69,PLAcctIDs,$I66)</f>
        <v>0</v>
      </c>
      <c r="AR66" s="313">
        <f>SUMIFS(Drivers!BT$10:BT$69,PLAcctIDs,$I66)</f>
        <v>0</v>
      </c>
      <c r="AS66" s="313">
        <f>SUMIFS(Drivers!BU$10:BU$69,PLAcctIDs,$I66)</f>
        <v>0</v>
      </c>
      <c r="AT66" s="313">
        <f>SUMIFS(Drivers!BV$10:BV$69,PLAcctIDs,$I66)</f>
        <v>0</v>
      </c>
      <c r="AU66" s="313">
        <f>SUMIFS(Drivers!BW$10:BW$69,PLAcctIDs,$I66)</f>
        <v>0</v>
      </c>
      <c r="AV66" s="313">
        <f>SUMIFS(Drivers!BX$10:BX$69,PLAcctIDs,$I66)</f>
        <v>0</v>
      </c>
      <c r="AW66" s="313">
        <f>SUMIFS(Drivers!BY$10:BY$69,PLAcctIDs,$I66)</f>
        <v>0</v>
      </c>
      <c r="AX66" s="313">
        <f>SUMIFS(Drivers!BZ$10:BZ$69,PLAcctIDs,$I66)</f>
        <v>0</v>
      </c>
      <c r="AY66" s="313">
        <f>SUMIFS(Drivers!CA$10:CA$69,PLAcctIDs,$I66)</f>
        <v>0</v>
      </c>
      <c r="AZ66" s="313">
        <f>SUMIFS(Drivers!CB$10:CB$69,PLAcctIDs,$I66)</f>
        <v>0</v>
      </c>
      <c r="BA66" s="313">
        <f>SUMIFS(Drivers!CC$10:CC$69,PLAcctIDs,$I66)</f>
        <v>0</v>
      </c>
      <c r="BB66" s="313">
        <f>SUMIFS(Drivers!CD$10:CD$69,PLAcctIDs,$I66)</f>
        <v>0</v>
      </c>
      <c r="BC66" s="313">
        <f>SUMIFS(Drivers!CE$10:CE$69,PLAcctIDs,$I66)</f>
        <v>0</v>
      </c>
      <c r="BD66" s="313">
        <f>SUMIFS(Drivers!CF$10:CF$69,PLAcctIDs,$I66)</f>
        <v>0</v>
      </c>
      <c r="BE66" s="313">
        <f>SUMIFS(Drivers!CG$10:CG$69,PLAcctIDs,$I66)</f>
        <v>0</v>
      </c>
      <c r="BF66" s="313">
        <f>SUMIFS(Drivers!CH$10:CH$69,PLAcctIDs,$I66)</f>
        <v>0</v>
      </c>
      <c r="BG66" s="313">
        <f>SUMIFS(Drivers!CI$10:CI$69,PLAcctIDs,$I66)</f>
        <v>0</v>
      </c>
      <c r="BH66" s="313">
        <f>SUMIFS(Drivers!CJ$10:CJ$69,PLAcctIDs,$I66)</f>
        <v>0</v>
      </c>
    </row>
    <row r="67" spans="2:60" ht="18.75" customHeight="1" outlineLevel="1">
      <c r="B67" s="284"/>
      <c r="C67" s="315"/>
      <c r="D67" s="288" t="s">
        <v>239</v>
      </c>
      <c r="E67" s="277" t="str">
        <f>IFERROR(INDEX(PBC_ACCOUNT_LIST[Drivers Section],MATCH('Data Summary'!I67,PBC_ACCOUNT_LIST[Id],0)),"")</f>
        <v>Opex</v>
      </c>
      <c r="F67" s="277" t="str">
        <f>IFERROR(INDEX(PBC_ACCOUNT_LIST[Summary Grouping],MATCH('Data Summary'!I67,PBC_ACCOUNT_LIST[Id],0)),"")</f>
        <v>Travel &amp; Entertainment</v>
      </c>
      <c r="G67" s="277"/>
      <c r="H67" s="277">
        <f>IFERROR(INDEX(PBC_ACCOUNT_LIST[Cash Flow Section],MATCH('Data Summary'!I67,PBC_ACCOUNT_LIST[Id],0)),"")</f>
        <v>0</v>
      </c>
      <c r="I67" s="277">
        <v>185</v>
      </c>
      <c r="J67" s="314"/>
      <c r="L67" s="313">
        <f>SUMIFS(Drivers!AN$10:AN$69,PLAcctIDs,$I67)</f>
        <v>0</v>
      </c>
      <c r="M67" s="313">
        <f>SUMIFS(Drivers!AO$10:AO$69,PLAcctIDs,$I67)</f>
        <v>850</v>
      </c>
      <c r="N67" s="313">
        <f>SUMIFS(Drivers!AP$10:AP$69,PLAcctIDs,$I67)</f>
        <v>880</v>
      </c>
      <c r="O67" s="313">
        <f>SUMIFS(Drivers!AQ$10:AQ$69,PLAcctIDs,$I67)</f>
        <v>911</v>
      </c>
      <c r="P67" s="313">
        <f>SUMIFS(Drivers!AR$10:AR$69,PLAcctIDs,$I67)</f>
        <v>942</v>
      </c>
      <c r="Q67" s="313">
        <f>SUMIFS(Drivers!AS$10:AS$69,PLAcctIDs,$I67)</f>
        <v>975</v>
      </c>
      <c r="R67" s="313">
        <f>SUMIFS(Drivers!AT$10:AT$69,PLAcctIDs,$I67)</f>
        <v>1010</v>
      </c>
      <c r="S67" s="313">
        <f>SUMIFS(Drivers!AU$10:AU$69,PLAcctIDs,$I67)</f>
        <v>1045</v>
      </c>
      <c r="T67" s="313">
        <f>SUMIFS(Drivers!AV$10:AV$69,PLAcctIDs,$I67)</f>
        <v>1081</v>
      </c>
      <c r="U67" s="313">
        <f>SUMIFS(Drivers!AW$10:AW$69,PLAcctIDs,$I67)</f>
        <v>1119</v>
      </c>
      <c r="V67" s="313">
        <f>SUMIFS(Drivers!AX$10:AX$69,PLAcctIDs,$I67)</f>
        <v>1158</v>
      </c>
      <c r="W67" s="313">
        <f>SUMIFS(Drivers!AY$10:AY$69,PLAcctIDs,$I67)</f>
        <v>1180</v>
      </c>
      <c r="X67" s="313">
        <f>SUMIFS(Drivers!AZ$10:AZ$69,PLAcctIDs,$I67)</f>
        <v>1796</v>
      </c>
      <c r="Y67" s="313">
        <f>SUMIFS(Drivers!BA$10:BA$69,PLAcctIDs,$I67)</f>
        <v>1238</v>
      </c>
      <c r="Z67" s="313">
        <f>SUMIFS(Drivers!BB$10:BB$69,PLAcctIDs,$I67)</f>
        <v>1886</v>
      </c>
      <c r="AA67" s="313">
        <f>SUMIFS(Drivers!BC$10:BC$69,PLAcctIDs,$I67)</f>
        <v>1300</v>
      </c>
      <c r="AB67" s="313">
        <f>SUMIFS(Drivers!BD$10:BD$69,PLAcctIDs,$I67)</f>
        <v>1981</v>
      </c>
      <c r="AC67" s="313">
        <f>SUMIFS(Drivers!BE$10:BE$69,PLAcctIDs,$I67)</f>
        <v>1365</v>
      </c>
      <c r="AD67" s="313">
        <f>SUMIFS(Drivers!BF$10:BF$69,PLAcctIDs,$I67)</f>
        <v>2080</v>
      </c>
      <c r="AE67" s="313">
        <f>SUMIFS(Drivers!BG$10:BG$69,PLAcctIDs,$I67)</f>
        <v>2184</v>
      </c>
      <c r="AF67" s="313">
        <f>SUMIFS(Drivers!BH$10:BH$69,PLAcctIDs,$I67)</f>
        <v>2184</v>
      </c>
      <c r="AG67" s="313">
        <f>SUMIFS(Drivers!BI$10:BI$69,PLAcctIDs,$I67)</f>
        <v>2293</v>
      </c>
      <c r="AH67" s="313">
        <f>SUMIFS(Drivers!BJ$10:BJ$69,PLAcctIDs,$I67)</f>
        <v>2293</v>
      </c>
      <c r="AI67" s="313">
        <f>SUMIFS(Drivers!BK$10:BK$69,PLAcctIDs,$I67)</f>
        <v>2407</v>
      </c>
      <c r="AJ67" s="313">
        <f>SUMIFS(Drivers!BL$10:BL$69,PLAcctIDs,$I67)</f>
        <v>2528</v>
      </c>
      <c r="AK67" s="313">
        <f>SUMIFS(Drivers!BM$10:BM$69,PLAcctIDs,$I67)</f>
        <v>2654.23</v>
      </c>
      <c r="AL67" s="313">
        <f>SUMIFS(Drivers!BN$10:BN$69,PLAcctIDs,$I67)</f>
        <v>2787</v>
      </c>
      <c r="AM67" s="313">
        <f>SUMIFS(Drivers!BO$10:BO$69,PLAcctIDs,$I67)</f>
        <v>2926</v>
      </c>
      <c r="AN67" s="313">
        <f>SUMIFS(Drivers!BP$10:BP$69,PLAcctIDs,$I67)</f>
        <v>3073</v>
      </c>
      <c r="AO67" s="313">
        <f>SUMIFS(Drivers!BQ$10:BQ$69,PLAcctIDs,$I67)</f>
        <v>3226</v>
      </c>
      <c r="AP67" s="313">
        <f>SUMIFS(Drivers!BR$10:BR$69,PLAcctIDs,$I67)</f>
        <v>3387.55</v>
      </c>
      <c r="AQ67" s="313">
        <f>SUMIFS(Drivers!BS$10:BS$69,PLAcctIDs,$I67)</f>
        <v>3556.93</v>
      </c>
      <c r="AR67" s="313">
        <f>SUMIFS(Drivers!BT$10:BT$69,PLAcctIDs,$I67)</f>
        <v>3734.77</v>
      </c>
      <c r="AS67" s="313">
        <f>SUMIFS(Drivers!BU$10:BU$69,PLAcctIDs,$I67)</f>
        <v>3921.51</v>
      </c>
      <c r="AT67" s="313">
        <f>SUMIFS(Drivers!BV$10:BV$69,PLAcctIDs,$I67)</f>
        <v>4117.59</v>
      </c>
      <c r="AU67" s="313">
        <f>SUMIFS(Drivers!BW$10:BW$69,PLAcctIDs,$I67)</f>
        <v>4323.47</v>
      </c>
      <c r="AV67" s="313">
        <f>SUMIFS(Drivers!BX$10:BX$69,PLAcctIDs,$I67)</f>
        <v>4032.3185000000003</v>
      </c>
      <c r="AW67" s="313">
        <f>SUMIFS(Drivers!BY$10:BY$69,PLAcctIDs,$I67)</f>
        <v>4145.1529875000006</v>
      </c>
      <c r="AX67" s="313">
        <f>SUMIFS(Drivers!BZ$10:BZ$69,PLAcctIDs,$I67)</f>
        <v>4248.0920103125009</v>
      </c>
      <c r="AY67" s="313">
        <f>SUMIFS(Drivers!CA$10:CA$69,PLAcctIDs,$I67)</f>
        <v>4337.9233621171879</v>
      </c>
      <c r="AZ67" s="313">
        <f>SUMIFS(Drivers!CB$10:CB$69,PLAcctIDs,$I67)</f>
        <v>4410.7957004876962</v>
      </c>
      <c r="BA67" s="313">
        <f>SUMIFS(Drivers!CC$10:CC$69,PLAcctIDs,$I67)</f>
        <v>4462.1066980730429</v>
      </c>
      <c r="BB67" s="313">
        <f>SUMIFS(Drivers!CD$10:CD$69,PLAcctIDs,$I67)</f>
        <v>4486.3681202358248</v>
      </c>
      <c r="BC67" s="313">
        <f>SUMIFS(Drivers!CE$10:CE$69,PLAcctIDs,$I67)</f>
        <v>4565.826803777094</v>
      </c>
      <c r="BD67" s="313">
        <f>SUMIFS(Drivers!CF$10:CF$69,PLAcctIDs,$I67)</f>
        <v>4639.4447216255858</v>
      </c>
      <c r="BE67" s="313">
        <f>SUMIFS(Drivers!CG$10:CG$69,PLAcctIDs,$I67)</f>
        <v>4707.9314461053755</v>
      </c>
      <c r="BF67" s="313">
        <f>SUMIFS(Drivers!CH$10:CH$69,PLAcctIDs,$I67)</f>
        <v>4772.6828608033084</v>
      </c>
      <c r="BG67" s="313">
        <f>SUMIFS(Drivers!CI$10:CI$69,PLAcctIDs,$I67)</f>
        <v>4836.0131138585411</v>
      </c>
      <c r="BH67" s="313">
        <f>SUMIFS(Drivers!CJ$10:CJ$69,PLAcctIDs,$I67)</f>
        <v>4901.4467366210029</v>
      </c>
    </row>
    <row r="68" spans="2:60" ht="18.75" customHeight="1" outlineLevel="1">
      <c r="B68" s="284"/>
      <c r="C68" s="315"/>
      <c r="D68" s="288" t="s">
        <v>240</v>
      </c>
      <c r="E68" s="277" t="str">
        <f>IFERROR(INDEX(PBC_ACCOUNT_LIST[Drivers Section],MATCH('Data Summary'!I68,PBC_ACCOUNT_LIST[Id],0)),"")</f>
        <v>Opex</v>
      </c>
      <c r="F68" s="277" t="str">
        <f>IFERROR(INDEX(PBC_ACCOUNT_LIST[Summary Grouping],MATCH('Data Summary'!I68,PBC_ACCOUNT_LIST[Id],0)),"")</f>
        <v>Travel &amp; Entertainment</v>
      </c>
      <c r="G68" s="277"/>
      <c r="H68" s="277">
        <f>IFERROR(INDEX(PBC_ACCOUNT_LIST[Cash Flow Section],MATCH('Data Summary'!I68,PBC_ACCOUNT_LIST[Id],0)),"")</f>
        <v>0</v>
      </c>
      <c r="I68" s="277">
        <v>186</v>
      </c>
      <c r="J68" s="314"/>
      <c r="L68" s="313">
        <f>SUMIFS(Drivers!AN$10:AN$69,PLAcctIDs,$I68)</f>
        <v>0</v>
      </c>
      <c r="M68" s="313">
        <f>SUMIFS(Drivers!AO$10:AO$69,PLAcctIDs,$I68)</f>
        <v>600</v>
      </c>
      <c r="N68" s="313">
        <f>SUMIFS(Drivers!AP$10:AP$69,PLAcctIDs,$I68)</f>
        <v>621</v>
      </c>
      <c r="O68" s="313">
        <f>SUMIFS(Drivers!AQ$10:AQ$69,PLAcctIDs,$I68)</f>
        <v>643</v>
      </c>
      <c r="P68" s="313">
        <f>SUMIFS(Drivers!AR$10:AR$69,PLAcctIDs,$I68)</f>
        <v>665</v>
      </c>
      <c r="Q68" s="313">
        <f>SUMIFS(Drivers!AS$10:AS$69,PLAcctIDs,$I68)</f>
        <v>689</v>
      </c>
      <c r="R68" s="313">
        <f>SUMIFS(Drivers!AT$10:AT$69,PLAcctIDs,$I68)</f>
        <v>713</v>
      </c>
      <c r="S68" s="313">
        <f>SUMIFS(Drivers!AU$10:AU$69,PLAcctIDs,$I68)</f>
        <v>738</v>
      </c>
      <c r="T68" s="313">
        <f>SUMIFS(Drivers!AV$10:AV$69,PLAcctIDs,$I68)</f>
        <v>763</v>
      </c>
      <c r="U68" s="313">
        <f>SUMIFS(Drivers!AW$10:AW$69,PLAcctIDs,$I68)</f>
        <v>790</v>
      </c>
      <c r="V68" s="313">
        <f>SUMIFS(Drivers!AX$10:AX$69,PLAcctIDs,$I68)</f>
        <v>818</v>
      </c>
      <c r="W68" s="313">
        <f>SUMIFS(Drivers!AY$10:AY$69,PLAcctIDs,$I68)</f>
        <v>1111</v>
      </c>
      <c r="X68" s="313">
        <f>SUMIFS(Drivers!AZ$10:AZ$69,PLAcctIDs,$I68)</f>
        <v>1973</v>
      </c>
      <c r="Y68" s="313">
        <f>SUMIFS(Drivers!BA$10:BA$69,PLAcctIDs,$I68)</f>
        <v>1167</v>
      </c>
      <c r="Z68" s="313">
        <f>SUMIFS(Drivers!BB$10:BB$69,PLAcctIDs,$I68)</f>
        <v>2071</v>
      </c>
      <c r="AA68" s="313">
        <f>SUMIFS(Drivers!BC$10:BC$69,PLAcctIDs,$I68)</f>
        <v>1225</v>
      </c>
      <c r="AB68" s="313">
        <f>SUMIFS(Drivers!BD$10:BD$69,PLAcctIDs,$I68)</f>
        <v>2175</v>
      </c>
      <c r="AC68" s="313">
        <f>SUMIFS(Drivers!BE$10:BE$69,PLAcctIDs,$I68)</f>
        <v>1286</v>
      </c>
      <c r="AD68" s="313">
        <f>SUMIFS(Drivers!BF$10:BF$69,PLAcctIDs,$I68)</f>
        <v>2284</v>
      </c>
      <c r="AE68" s="313">
        <f>SUMIFS(Drivers!BG$10:BG$69,PLAcctIDs,$I68)</f>
        <v>2398</v>
      </c>
      <c r="AF68" s="313">
        <f>SUMIFS(Drivers!BH$10:BH$69,PLAcctIDs,$I68)</f>
        <v>2398</v>
      </c>
      <c r="AG68" s="313">
        <f>SUMIFS(Drivers!BI$10:BI$69,PLAcctIDs,$I68)</f>
        <v>2518</v>
      </c>
      <c r="AH68" s="313">
        <f>SUMIFS(Drivers!BJ$10:BJ$69,PLAcctIDs,$I68)</f>
        <v>2518</v>
      </c>
      <c r="AI68" s="313">
        <f>SUMIFS(Drivers!BK$10:BK$69,PLAcctIDs,$I68)</f>
        <v>2644</v>
      </c>
      <c r="AJ68" s="313">
        <f>SUMIFS(Drivers!BL$10:BL$69,PLAcctIDs,$I68)</f>
        <v>2776</v>
      </c>
      <c r="AK68" s="313">
        <f>SUMIFS(Drivers!BM$10:BM$69,PLAcctIDs,$I68)</f>
        <v>2914.68</v>
      </c>
      <c r="AL68" s="313">
        <f>SUMIFS(Drivers!BN$10:BN$69,PLAcctIDs,$I68)</f>
        <v>3060</v>
      </c>
      <c r="AM68" s="313">
        <f>SUMIFS(Drivers!BO$10:BO$69,PLAcctIDs,$I68)</f>
        <v>3213</v>
      </c>
      <c r="AN68" s="313">
        <f>SUMIFS(Drivers!BP$10:BP$69,PLAcctIDs,$I68)</f>
        <v>3374</v>
      </c>
      <c r="AO68" s="313">
        <f>SUMIFS(Drivers!BQ$10:BQ$69,PLAcctIDs,$I68)</f>
        <v>3543</v>
      </c>
      <c r="AP68" s="313">
        <f>SUMIFS(Drivers!BR$10:BR$69,PLAcctIDs,$I68)</f>
        <v>3719.9</v>
      </c>
      <c r="AQ68" s="313">
        <f>SUMIFS(Drivers!BS$10:BS$69,PLAcctIDs,$I68)</f>
        <v>3905.95</v>
      </c>
      <c r="AR68" s="313">
        <f>SUMIFS(Drivers!BT$10:BT$69,PLAcctIDs,$I68)</f>
        <v>4101.25</v>
      </c>
      <c r="AS68" s="313">
        <f>SUMIFS(Drivers!BU$10:BU$69,PLAcctIDs,$I68)</f>
        <v>4306.32</v>
      </c>
      <c r="AT68" s="313">
        <f>SUMIFS(Drivers!BV$10:BV$69,PLAcctIDs,$I68)</f>
        <v>4521.63</v>
      </c>
      <c r="AU68" s="313">
        <f>SUMIFS(Drivers!BW$10:BW$69,PLAcctIDs,$I68)</f>
        <v>4747.71</v>
      </c>
      <c r="AV68" s="313">
        <f>SUMIFS(Drivers!BX$10:BX$69,PLAcctIDs,$I68)</f>
        <v>4427.9829999999993</v>
      </c>
      <c r="AW68" s="313">
        <f>SUMIFS(Drivers!BY$10:BY$69,PLAcctIDs,$I68)</f>
        <v>4551.8975250000003</v>
      </c>
      <c r="AX68" s="313">
        <f>SUMIFS(Drivers!BZ$10:BZ$69,PLAcctIDs,$I68)</f>
        <v>4664.9383418750003</v>
      </c>
      <c r="AY68" s="313">
        <f>SUMIFS(Drivers!CA$10:CA$69,PLAcctIDs,$I68)</f>
        <v>4763.5838017031256</v>
      </c>
      <c r="AZ68" s="313">
        <f>SUMIFS(Drivers!CB$10:CB$69,PLAcctIDs,$I68)</f>
        <v>4843.6049670011726</v>
      </c>
      <c r="BA68" s="313">
        <f>SUMIFS(Drivers!CC$10:CC$69,PLAcctIDs,$I68)</f>
        <v>4899.9505862263768</v>
      </c>
      <c r="BB68" s="313">
        <f>SUMIFS(Drivers!CD$10:CD$69,PLAcctIDs,$I68)</f>
        <v>4926.5926888159929</v>
      </c>
      <c r="BC68" s="313">
        <f>SUMIFS(Drivers!CE$10:CE$69,PLAcctIDs,$I68)</f>
        <v>5013.8493843587921</v>
      </c>
      <c r="BD68" s="313">
        <f>SUMIFS(Drivers!CF$10:CF$69,PLAcctIDs,$I68)</f>
        <v>5094.690959746581</v>
      </c>
      <c r="BE68" s="313">
        <f>SUMIFS(Drivers!CG$10:CG$69,PLAcctIDs,$I68)</f>
        <v>5169.8976678741074</v>
      </c>
      <c r="BF68" s="313">
        <f>SUMIFS(Drivers!CH$10:CH$69,PLAcctIDs,$I68)</f>
        <v>5241.0025944540293</v>
      </c>
      <c r="BG68" s="313">
        <f>SUMIFS(Drivers!CI$10:CI$69,PLAcctIDs,$I68)</f>
        <v>5310.5471792582794</v>
      </c>
      <c r="BH68" s="313">
        <f>SUMIFS(Drivers!CJ$10:CJ$69,PLAcctIDs,$I68)</f>
        <v>5382.4015830388626</v>
      </c>
    </row>
    <row r="69" spans="2:60" ht="18.75" customHeight="1" outlineLevel="1">
      <c r="B69" s="284"/>
      <c r="C69" s="315"/>
      <c r="D69" s="288" t="s">
        <v>241</v>
      </c>
      <c r="E69" s="277" t="str">
        <f>IFERROR(INDEX(PBC_ACCOUNT_LIST[Drivers Section],MATCH('Data Summary'!I69,PBC_ACCOUNT_LIST[Id],0)),"")</f>
        <v>Opex</v>
      </c>
      <c r="F69" s="277" t="str">
        <f>IFERROR(INDEX(PBC_ACCOUNT_LIST[Summary Grouping],MATCH('Data Summary'!I69,PBC_ACCOUNT_LIST[Id],0)),"")</f>
        <v>Travel &amp; Entertainment</v>
      </c>
      <c r="G69" s="277"/>
      <c r="H69" s="277">
        <f>IFERROR(INDEX(PBC_ACCOUNT_LIST[Cash Flow Section],MATCH('Data Summary'!I69,PBC_ACCOUNT_LIST[Id],0)),"")</f>
        <v>0</v>
      </c>
      <c r="I69" s="277">
        <v>205</v>
      </c>
      <c r="J69" s="314"/>
      <c r="L69" s="313">
        <f>SUMIFS(Drivers!AN$10:AN$69,PLAcctIDs,$I69)</f>
        <v>0</v>
      </c>
      <c r="M69" s="313">
        <f>SUMIFS(Drivers!AO$10:AO$69,PLAcctIDs,$I69)</f>
        <v>250</v>
      </c>
      <c r="N69" s="313">
        <f>SUMIFS(Drivers!AP$10:AP$69,PLAcctIDs,$I69)</f>
        <v>259</v>
      </c>
      <c r="O69" s="313">
        <f>SUMIFS(Drivers!AQ$10:AQ$69,PLAcctIDs,$I69)</f>
        <v>268</v>
      </c>
      <c r="P69" s="313">
        <f>SUMIFS(Drivers!AR$10:AR$69,PLAcctIDs,$I69)</f>
        <v>277</v>
      </c>
      <c r="Q69" s="313">
        <f>SUMIFS(Drivers!AS$10:AS$69,PLAcctIDs,$I69)</f>
        <v>287</v>
      </c>
      <c r="R69" s="313">
        <f>SUMIFS(Drivers!AT$10:AT$69,PLAcctIDs,$I69)</f>
        <v>297</v>
      </c>
      <c r="S69" s="313">
        <f>SUMIFS(Drivers!AU$10:AU$69,PLAcctIDs,$I69)</f>
        <v>307</v>
      </c>
      <c r="T69" s="313">
        <f>SUMIFS(Drivers!AV$10:AV$69,PLAcctIDs,$I69)</f>
        <v>318</v>
      </c>
      <c r="U69" s="313">
        <f>SUMIFS(Drivers!AW$10:AW$69,PLAcctIDs,$I69)</f>
        <v>329</v>
      </c>
      <c r="V69" s="313">
        <f>SUMIFS(Drivers!AX$10:AX$69,PLAcctIDs,$I69)</f>
        <v>341</v>
      </c>
      <c r="W69" s="313">
        <f>SUMIFS(Drivers!AY$10:AY$69,PLAcctIDs,$I69)</f>
        <v>596</v>
      </c>
      <c r="X69" s="313">
        <f>SUMIFS(Drivers!AZ$10:AZ$69,PLAcctIDs,$I69)</f>
        <v>766.5</v>
      </c>
      <c r="Y69" s="313">
        <f>SUMIFS(Drivers!BA$10:BA$69,PLAcctIDs,$I69)</f>
        <v>626</v>
      </c>
      <c r="Z69" s="313">
        <f>SUMIFS(Drivers!BB$10:BB$69,PLAcctIDs,$I69)</f>
        <v>805</v>
      </c>
      <c r="AA69" s="313">
        <f>SUMIFS(Drivers!BC$10:BC$69,PLAcctIDs,$I69)</f>
        <v>658</v>
      </c>
      <c r="AB69" s="313">
        <f>SUMIFS(Drivers!BD$10:BD$69,PLAcctIDs,$I69)</f>
        <v>845</v>
      </c>
      <c r="AC69" s="313">
        <f>SUMIFS(Drivers!BE$10:BE$69,PLAcctIDs,$I69)</f>
        <v>690</v>
      </c>
      <c r="AD69" s="313">
        <f>SUMIFS(Drivers!BF$10:BF$69,PLAcctIDs,$I69)</f>
        <v>887</v>
      </c>
      <c r="AE69" s="313">
        <f>SUMIFS(Drivers!BG$10:BG$69,PLAcctIDs,$I69)</f>
        <v>932</v>
      </c>
      <c r="AF69" s="313">
        <f>SUMIFS(Drivers!BH$10:BH$69,PLAcctIDs,$I69)</f>
        <v>932</v>
      </c>
      <c r="AG69" s="313">
        <f>SUMIFS(Drivers!BI$10:BI$69,PLAcctIDs,$I69)</f>
        <v>978</v>
      </c>
      <c r="AH69" s="313">
        <f>SUMIFS(Drivers!BJ$10:BJ$69,PLAcctIDs,$I69)</f>
        <v>978</v>
      </c>
      <c r="AI69" s="313">
        <f>SUMIFS(Drivers!BK$10:BK$69,PLAcctIDs,$I69)</f>
        <v>1027</v>
      </c>
      <c r="AJ69" s="313">
        <f>SUMIFS(Drivers!BL$10:BL$69,PLAcctIDs,$I69)</f>
        <v>1079</v>
      </c>
      <c r="AK69" s="313">
        <f>SUMIFS(Drivers!BM$10:BM$69,PLAcctIDs,$I69)</f>
        <v>1132.55</v>
      </c>
      <c r="AL69" s="313">
        <f>SUMIFS(Drivers!BN$10:BN$69,PLAcctIDs,$I69)</f>
        <v>1189</v>
      </c>
      <c r="AM69" s="313">
        <f>SUMIFS(Drivers!BO$10:BO$69,PLAcctIDs,$I69)</f>
        <v>1249</v>
      </c>
      <c r="AN69" s="313">
        <f>SUMIFS(Drivers!BP$10:BP$69,PLAcctIDs,$I69)</f>
        <v>1311</v>
      </c>
      <c r="AO69" s="313">
        <f>SUMIFS(Drivers!BQ$10:BQ$69,PLAcctIDs,$I69)</f>
        <v>1377</v>
      </c>
      <c r="AP69" s="313">
        <f>SUMIFS(Drivers!BR$10:BR$69,PLAcctIDs,$I69)</f>
        <v>1445.45</v>
      </c>
      <c r="AQ69" s="313">
        <f>SUMIFS(Drivers!BS$10:BS$69,PLAcctIDs,$I69)</f>
        <v>1517.72</v>
      </c>
      <c r="AR69" s="313">
        <f>SUMIFS(Drivers!BT$10:BT$69,PLAcctIDs,$I69)</f>
        <v>1593.63</v>
      </c>
      <c r="AS69" s="313">
        <f>SUMIFS(Drivers!BU$10:BU$69,PLAcctIDs,$I69)</f>
        <v>1673.28</v>
      </c>
      <c r="AT69" s="313">
        <f>SUMIFS(Drivers!BV$10:BV$69,PLAcctIDs,$I69)</f>
        <v>1756.96</v>
      </c>
      <c r="AU69" s="313">
        <f>SUMIFS(Drivers!BW$10:BW$69,PLAcctIDs,$I69)</f>
        <v>1844.81</v>
      </c>
      <c r="AV69" s="313">
        <f>SUMIFS(Drivers!BX$10:BX$69,PLAcctIDs,$I69)</f>
        <v>1720.57375</v>
      </c>
      <c r="AW69" s="313">
        <f>SUMIFS(Drivers!BY$10:BY$69,PLAcctIDs,$I69)</f>
        <v>1768.7204062499998</v>
      </c>
      <c r="AX69" s="313">
        <f>SUMIFS(Drivers!BZ$10:BZ$69,PLAcctIDs,$I69)</f>
        <v>1812.6454773437501</v>
      </c>
      <c r="AY69" s="313">
        <f>SUMIFS(Drivers!CA$10:CA$69,PLAcctIDs,$I69)</f>
        <v>1850.9731858789062</v>
      </c>
      <c r="AZ69" s="313">
        <f>SUMIFS(Drivers!CB$10:CB$69,PLAcctIDs,$I69)</f>
        <v>1882.0694934077146</v>
      </c>
      <c r="BA69" s="313">
        <f>SUMIFS(Drivers!CC$10:CC$69,PLAcctIDs,$I69)</f>
        <v>1903.9636547540649</v>
      </c>
      <c r="BB69" s="313">
        <f>SUMIFS(Drivers!CD$10:CD$69,PLAcctIDs,$I69)</f>
        <v>1914.3155443360263</v>
      </c>
      <c r="BC69" s="313">
        <f>SUMIFS(Drivers!CE$10:CE$69,PLAcctIDs,$I69)</f>
        <v>1948.2203583448306</v>
      </c>
      <c r="BD69" s="313">
        <f>SUMIFS(Drivers!CF$10:CF$69,PLAcctIDs,$I69)</f>
        <v>1979.6328499614262</v>
      </c>
      <c r="BE69" s="313">
        <f>SUMIFS(Drivers!CG$10:CG$69,PLAcctIDs,$I69)</f>
        <v>2008.8556401695198</v>
      </c>
      <c r="BF69" s="313">
        <f>SUMIFS(Drivers!CH$10:CH$69,PLAcctIDs,$I69)</f>
        <v>2036.485069670377</v>
      </c>
      <c r="BG69" s="313">
        <f>SUMIFS(Drivers!CI$10:CI$69,PLAcctIDs,$I69)</f>
        <v>2063.5077955163429</v>
      </c>
      <c r="BH69" s="313">
        <f>SUMIFS(Drivers!CJ$10:CJ$69,PLAcctIDs,$I69)</f>
        <v>2091.4280201497418</v>
      </c>
    </row>
    <row r="70" spans="2:60" ht="18.75" customHeight="1" outlineLevel="1">
      <c r="B70" s="284"/>
      <c r="C70" s="315"/>
      <c r="D70" s="288" t="s">
        <v>260</v>
      </c>
      <c r="E70" s="277" t="str">
        <f>IFERROR(INDEX(PBC_ACCOUNT_LIST[Drivers Section],MATCH('Data Summary'!I70,PBC_ACCOUNT_LIST[Id],0)),"")</f>
        <v>Opex</v>
      </c>
      <c r="F70" s="277" t="str">
        <f>IFERROR(INDEX(PBC_ACCOUNT_LIST[Summary Grouping],MATCH('Data Summary'!I70,PBC_ACCOUNT_LIST[Id],0)),"")</f>
        <v>G&amp;A</v>
      </c>
      <c r="G70" s="277"/>
      <c r="H70" s="277">
        <f>IFERROR(INDEX(PBC_ACCOUNT_LIST[Cash Flow Section],MATCH('Data Summary'!I70,PBC_ACCOUNT_LIST[Id],0)),"")</f>
        <v>0</v>
      </c>
      <c r="I70" s="277">
        <v>206</v>
      </c>
      <c r="J70" s="314"/>
      <c r="L70" s="313">
        <f>SUMIFS(Drivers!AN$10:AN$69,PLAcctIDs,$I70)</f>
        <v>0</v>
      </c>
      <c r="M70" s="313">
        <f>SUMIFS(Drivers!AO$10:AO$69,PLAcctIDs,$I70)</f>
        <v>0</v>
      </c>
      <c r="N70" s="313">
        <f>SUMIFS(Drivers!AP$10:AP$69,PLAcctIDs,$I70)</f>
        <v>0</v>
      </c>
      <c r="O70" s="313">
        <f>SUMIFS(Drivers!AQ$10:AQ$69,PLAcctIDs,$I70)</f>
        <v>0</v>
      </c>
      <c r="P70" s="313">
        <f>SUMIFS(Drivers!AR$10:AR$69,PLAcctIDs,$I70)</f>
        <v>0</v>
      </c>
      <c r="Q70" s="313">
        <f>SUMIFS(Drivers!AS$10:AS$69,PLAcctIDs,$I70)</f>
        <v>0</v>
      </c>
      <c r="R70" s="313">
        <f>SUMIFS(Drivers!AT$10:AT$69,PLAcctIDs,$I70)</f>
        <v>0</v>
      </c>
      <c r="S70" s="313">
        <f>SUMIFS(Drivers!AU$10:AU$69,PLAcctIDs,$I70)</f>
        <v>0</v>
      </c>
      <c r="T70" s="313">
        <f>SUMIFS(Drivers!AV$10:AV$69,PLAcctIDs,$I70)</f>
        <v>0</v>
      </c>
      <c r="U70" s="313">
        <f>SUMIFS(Drivers!AW$10:AW$69,PLAcctIDs,$I70)</f>
        <v>0</v>
      </c>
      <c r="V70" s="313">
        <f>SUMIFS(Drivers!AX$10:AX$69,PLAcctIDs,$I70)</f>
        <v>0</v>
      </c>
      <c r="W70" s="313">
        <f>SUMIFS(Drivers!AY$10:AY$69,PLAcctIDs,$I70)</f>
        <v>0</v>
      </c>
      <c r="X70" s="313">
        <f>SUMIFS(Drivers!AZ$10:AZ$69,PLAcctIDs,$I70)</f>
        <v>0</v>
      </c>
      <c r="Y70" s="313">
        <f>SUMIFS(Drivers!BA$10:BA$69,PLAcctIDs,$I70)</f>
        <v>0</v>
      </c>
      <c r="Z70" s="313">
        <f>SUMIFS(Drivers!BB$10:BB$69,PLAcctIDs,$I70)</f>
        <v>0</v>
      </c>
      <c r="AA70" s="313">
        <f>SUMIFS(Drivers!BC$10:BC$69,PLAcctIDs,$I70)</f>
        <v>0</v>
      </c>
      <c r="AB70" s="313">
        <f>SUMIFS(Drivers!BD$10:BD$69,PLAcctIDs,$I70)</f>
        <v>0</v>
      </c>
      <c r="AC70" s="313">
        <f>SUMIFS(Drivers!BE$10:BE$69,PLAcctIDs,$I70)</f>
        <v>0</v>
      </c>
      <c r="AD70" s="313">
        <f>SUMIFS(Drivers!BF$10:BF$69,PLAcctIDs,$I70)</f>
        <v>0</v>
      </c>
      <c r="AE70" s="313">
        <f>SUMIFS(Drivers!BG$10:BG$69,PLAcctIDs,$I70)</f>
        <v>0</v>
      </c>
      <c r="AF70" s="313">
        <f>SUMIFS(Drivers!BH$10:BH$69,PLAcctIDs,$I70)</f>
        <v>0</v>
      </c>
      <c r="AG70" s="313">
        <f>SUMIFS(Drivers!BI$10:BI$69,PLAcctIDs,$I70)</f>
        <v>0</v>
      </c>
      <c r="AH70" s="313">
        <f>SUMIFS(Drivers!BJ$10:BJ$69,PLAcctIDs,$I70)</f>
        <v>0</v>
      </c>
      <c r="AI70" s="313">
        <f>SUMIFS(Drivers!BK$10:BK$69,PLAcctIDs,$I70)</f>
        <v>0</v>
      </c>
      <c r="AJ70" s="313">
        <f>SUMIFS(Drivers!BL$10:BL$69,PLAcctIDs,$I70)</f>
        <v>0</v>
      </c>
      <c r="AK70" s="313">
        <f>SUMIFS(Drivers!BM$10:BM$69,PLAcctIDs,$I70)</f>
        <v>0</v>
      </c>
      <c r="AL70" s="313">
        <f>SUMIFS(Drivers!BN$10:BN$69,PLAcctIDs,$I70)</f>
        <v>0</v>
      </c>
      <c r="AM70" s="313">
        <f>SUMIFS(Drivers!BO$10:BO$69,PLAcctIDs,$I70)</f>
        <v>0</v>
      </c>
      <c r="AN70" s="313">
        <f>SUMIFS(Drivers!BP$10:BP$69,PLAcctIDs,$I70)</f>
        <v>0</v>
      </c>
      <c r="AO70" s="313">
        <f>SUMIFS(Drivers!BQ$10:BQ$69,PLAcctIDs,$I70)</f>
        <v>0</v>
      </c>
      <c r="AP70" s="313">
        <f>SUMIFS(Drivers!BR$10:BR$69,PLAcctIDs,$I70)</f>
        <v>1000</v>
      </c>
      <c r="AQ70" s="313">
        <f>SUMIFS(Drivers!BS$10:BS$69,PLAcctIDs,$I70)</f>
        <v>0</v>
      </c>
      <c r="AR70" s="313">
        <f>SUMIFS(Drivers!BT$10:BT$69,PLAcctIDs,$I70)</f>
        <v>0</v>
      </c>
      <c r="AS70" s="313">
        <f>SUMIFS(Drivers!BU$10:BU$69,PLAcctIDs,$I70)</f>
        <v>0</v>
      </c>
      <c r="AT70" s="313">
        <f>SUMIFS(Drivers!BV$10:BV$69,PLAcctIDs,$I70)</f>
        <v>0</v>
      </c>
      <c r="AU70" s="313">
        <f>SUMIFS(Drivers!BW$10:BW$69,PLAcctIDs,$I70)</f>
        <v>1000</v>
      </c>
      <c r="AV70" s="313">
        <f>SUMIFS(Drivers!BX$10:BX$69,PLAcctIDs,$I70)</f>
        <v>350</v>
      </c>
      <c r="AW70" s="313">
        <f>SUMIFS(Drivers!BY$10:BY$69,PLAcctIDs,$I70)</f>
        <v>236.25</v>
      </c>
      <c r="AX70" s="313">
        <f>SUMIFS(Drivers!BZ$10:BZ$69,PLAcctIDs,$I70)</f>
        <v>277.59375</v>
      </c>
      <c r="AY70" s="313">
        <f>SUMIFS(Drivers!CA$10:CA$69,PLAcctIDs,$I70)</f>
        <v>326.17265624999999</v>
      </c>
      <c r="AZ70" s="313">
        <f>SUMIFS(Drivers!CB$10:CB$69,PLAcctIDs,$I70)</f>
        <v>383.25287109375</v>
      </c>
      <c r="BA70" s="313">
        <f>SUMIFS(Drivers!CC$10:CC$69,PLAcctIDs,$I70)</f>
        <v>450.32212353515627</v>
      </c>
      <c r="BB70" s="313">
        <f>SUMIFS(Drivers!CD$10:CD$69,PLAcctIDs,$I70)</f>
        <v>354.12849515380861</v>
      </c>
      <c r="BC70" s="313">
        <f>SUMIFS(Drivers!CE$10:CE$69,PLAcctIDs,$I70)</f>
        <v>354.85098180572516</v>
      </c>
      <c r="BD70" s="313">
        <f>SUMIFS(Drivers!CF$10:CF$69,PLAcctIDs,$I70)</f>
        <v>375.606153621727</v>
      </c>
      <c r="BE70" s="313">
        <f>SUMIFS(Drivers!CG$10:CG$69,PLAcctIDs,$I70)</f>
        <v>392.75832425552932</v>
      </c>
      <c r="BF70" s="313">
        <f>SUMIFS(Drivers!CH$10:CH$69,PLAcctIDs,$I70)</f>
        <v>404.41081615649694</v>
      </c>
      <c r="BG70" s="313">
        <f>SUMIFS(Drivers!CI$10:CI$69,PLAcctIDs,$I70)</f>
        <v>408.11345654247754</v>
      </c>
      <c r="BH70" s="313">
        <f>SUMIFS(Drivers!CJ$10:CJ$69,PLAcctIDs,$I70)</f>
        <v>400.72693981875886</v>
      </c>
    </row>
    <row r="71" spans="2:60" ht="18.75" customHeight="1" outlineLevel="1">
      <c r="B71" s="284"/>
      <c r="C71" s="315"/>
      <c r="D71" s="288" t="s">
        <v>264</v>
      </c>
      <c r="E71" s="277" t="str">
        <f>IFERROR(INDEX(PBC_ACCOUNT_LIST[Drivers Section],MATCH('Data Summary'!I71,PBC_ACCOUNT_LIST[Id],0)),"")</f>
        <v>Other Income</v>
      </c>
      <c r="F71" s="277" t="str">
        <f>IFERROR(INDEX(PBC_ACCOUNT_LIST[Summary Grouping],MATCH('Data Summary'!I71,PBC_ACCOUNT_LIST[Id],0)),"")</f>
        <v>Other Income</v>
      </c>
      <c r="G71" s="277"/>
      <c r="H71" s="277">
        <f>IFERROR(INDEX(PBC_ACCOUNT_LIST[Cash Flow Section],MATCH('Data Summary'!I71,PBC_ACCOUNT_LIST[Id],0)),"")</f>
        <v>0</v>
      </c>
      <c r="I71" s="277">
        <v>189</v>
      </c>
      <c r="J71" s="314"/>
      <c r="L71" s="313">
        <f>SUMIFS(Drivers!AN$10:AN$69,PLAcctIDs,$I71)</f>
        <v>0</v>
      </c>
      <c r="M71" s="313">
        <f>SUMIFS(Drivers!AO$10:AO$69,PLAcctIDs,$I71)</f>
        <v>0</v>
      </c>
      <c r="N71" s="313">
        <f>SUMIFS(Drivers!AP$10:AP$69,PLAcctIDs,$I71)</f>
        <v>0</v>
      </c>
      <c r="O71" s="313">
        <f>SUMIFS(Drivers!AQ$10:AQ$69,PLAcctIDs,$I71)</f>
        <v>0</v>
      </c>
      <c r="P71" s="313">
        <f>SUMIFS(Drivers!AR$10:AR$69,PLAcctIDs,$I71)</f>
        <v>0</v>
      </c>
      <c r="Q71" s="313">
        <f>SUMIFS(Drivers!AS$10:AS$69,PLAcctIDs,$I71)</f>
        <v>0</v>
      </c>
      <c r="R71" s="313">
        <f>SUMIFS(Drivers!AT$10:AT$69,PLAcctIDs,$I71)</f>
        <v>0</v>
      </c>
      <c r="S71" s="313">
        <f>SUMIFS(Drivers!AU$10:AU$69,PLAcctIDs,$I71)</f>
        <v>0</v>
      </c>
      <c r="T71" s="313">
        <f>SUMIFS(Drivers!AV$10:AV$69,PLAcctIDs,$I71)</f>
        <v>0</v>
      </c>
      <c r="U71" s="313">
        <f>SUMIFS(Drivers!AW$10:AW$69,PLAcctIDs,$I71)</f>
        <v>0</v>
      </c>
      <c r="V71" s="313">
        <f>SUMIFS(Drivers!AX$10:AX$69,PLAcctIDs,$I71)</f>
        <v>0</v>
      </c>
      <c r="W71" s="313">
        <f>SUMIFS(Drivers!AY$10:AY$69,PLAcctIDs,$I71)</f>
        <v>0</v>
      </c>
      <c r="X71" s="313">
        <f>SUMIFS(Drivers!AZ$10:AZ$69,PLAcctIDs,$I71)</f>
        <v>0</v>
      </c>
      <c r="Y71" s="313">
        <f>SUMIFS(Drivers!BA$10:BA$69,PLAcctIDs,$I71)</f>
        <v>0</v>
      </c>
      <c r="Z71" s="313">
        <f>SUMIFS(Drivers!BB$10:BB$69,PLAcctIDs,$I71)</f>
        <v>0</v>
      </c>
      <c r="AA71" s="313">
        <f>SUMIFS(Drivers!BC$10:BC$69,PLAcctIDs,$I71)</f>
        <v>0</v>
      </c>
      <c r="AB71" s="313">
        <f>SUMIFS(Drivers!BD$10:BD$69,PLAcctIDs,$I71)</f>
        <v>0</v>
      </c>
      <c r="AC71" s="313">
        <f>SUMIFS(Drivers!BE$10:BE$69,PLAcctIDs,$I71)</f>
        <v>0</v>
      </c>
      <c r="AD71" s="313">
        <f>SUMIFS(Drivers!BF$10:BF$69,PLAcctIDs,$I71)</f>
        <v>0</v>
      </c>
      <c r="AE71" s="313">
        <f>SUMIFS(Drivers!BG$10:BG$69,PLAcctIDs,$I71)</f>
        <v>0</v>
      </c>
      <c r="AF71" s="313">
        <f>SUMIFS(Drivers!BH$10:BH$69,PLAcctIDs,$I71)</f>
        <v>0</v>
      </c>
      <c r="AG71" s="313">
        <f>SUMIFS(Drivers!BI$10:BI$69,PLAcctIDs,$I71)</f>
        <v>0</v>
      </c>
      <c r="AH71" s="313">
        <f>SUMIFS(Drivers!BJ$10:BJ$69,PLAcctIDs,$I71)</f>
        <v>0</v>
      </c>
      <c r="AI71" s="313">
        <f>SUMIFS(Drivers!BK$10:BK$69,PLAcctIDs,$I71)</f>
        <v>0</v>
      </c>
      <c r="AJ71" s="313">
        <f>SUMIFS(Drivers!BL$10:BL$69,PLAcctIDs,$I71)</f>
        <v>0</v>
      </c>
      <c r="AK71" s="313">
        <f>SUMIFS(Drivers!BM$10:BM$69,PLAcctIDs,$I71)</f>
        <v>0</v>
      </c>
      <c r="AL71" s="313">
        <f>SUMIFS(Drivers!BN$10:BN$69,PLAcctIDs,$I71)</f>
        <v>0</v>
      </c>
      <c r="AM71" s="313">
        <f>SUMIFS(Drivers!BO$10:BO$69,PLAcctIDs,$I71)</f>
        <v>0</v>
      </c>
      <c r="AN71" s="313">
        <f>SUMIFS(Drivers!BP$10:BP$69,PLAcctIDs,$I71)</f>
        <v>0</v>
      </c>
      <c r="AO71" s="313">
        <f>SUMIFS(Drivers!BQ$10:BQ$69,PLAcctIDs,$I71)</f>
        <v>0</v>
      </c>
      <c r="AP71" s="313">
        <f>SUMIFS(Drivers!BR$10:BR$69,PLAcctIDs,$I71)</f>
        <v>0</v>
      </c>
      <c r="AQ71" s="313">
        <f>SUMIFS(Drivers!BS$10:BS$69,PLAcctIDs,$I71)</f>
        <v>0</v>
      </c>
      <c r="AR71" s="313">
        <f>SUMIFS(Drivers!BT$10:BT$69,PLAcctIDs,$I71)</f>
        <v>0</v>
      </c>
      <c r="AS71" s="313">
        <f>SUMIFS(Drivers!BU$10:BU$69,PLAcctIDs,$I71)</f>
        <v>0</v>
      </c>
      <c r="AT71" s="313">
        <f>SUMIFS(Drivers!BV$10:BV$69,PLAcctIDs,$I71)</f>
        <v>0</v>
      </c>
      <c r="AU71" s="313">
        <f>SUMIFS(Drivers!BW$10:BW$69,PLAcctIDs,$I71)</f>
        <v>0</v>
      </c>
      <c r="AV71" s="313">
        <f>SUMIFS(Drivers!BX$10:BX$69,PLAcctIDs,$I71)</f>
        <v>0</v>
      </c>
      <c r="AW71" s="313">
        <f>SUMIFS(Drivers!BY$10:BY$69,PLAcctIDs,$I71)</f>
        <v>0</v>
      </c>
      <c r="AX71" s="313">
        <f>SUMIFS(Drivers!BZ$10:BZ$69,PLAcctIDs,$I71)</f>
        <v>0</v>
      </c>
      <c r="AY71" s="313">
        <f>SUMIFS(Drivers!CA$10:CA$69,PLAcctIDs,$I71)</f>
        <v>0</v>
      </c>
      <c r="AZ71" s="313">
        <f>SUMIFS(Drivers!CB$10:CB$69,PLAcctIDs,$I71)</f>
        <v>0</v>
      </c>
      <c r="BA71" s="313">
        <f>SUMIFS(Drivers!CC$10:CC$69,PLAcctIDs,$I71)</f>
        <v>0</v>
      </c>
      <c r="BB71" s="313">
        <f>SUMIFS(Drivers!CD$10:CD$69,PLAcctIDs,$I71)</f>
        <v>0</v>
      </c>
      <c r="BC71" s="313">
        <f>SUMIFS(Drivers!CE$10:CE$69,PLAcctIDs,$I71)</f>
        <v>0</v>
      </c>
      <c r="BD71" s="313">
        <f>SUMIFS(Drivers!CF$10:CF$69,PLAcctIDs,$I71)</f>
        <v>0</v>
      </c>
      <c r="BE71" s="313">
        <f>SUMIFS(Drivers!CG$10:CG$69,PLAcctIDs,$I71)</f>
        <v>0</v>
      </c>
      <c r="BF71" s="313">
        <f>SUMIFS(Drivers!CH$10:CH$69,PLAcctIDs,$I71)</f>
        <v>0</v>
      </c>
      <c r="BG71" s="313">
        <f>SUMIFS(Drivers!CI$10:CI$69,PLAcctIDs,$I71)</f>
        <v>0</v>
      </c>
      <c r="BH71" s="313">
        <f>SUMIFS(Drivers!CJ$10:CJ$69,PLAcctIDs,$I71)</f>
        <v>0</v>
      </c>
    </row>
    <row r="72" spans="2:60" ht="18.75" customHeight="1" outlineLevel="1">
      <c r="B72" s="284"/>
      <c r="C72" s="315"/>
      <c r="D72" s="288" t="s">
        <v>265</v>
      </c>
      <c r="E72" s="277" t="str">
        <f>IFERROR(INDEX(PBC_ACCOUNT_LIST[Drivers Section],MATCH('Data Summary'!I72,PBC_ACCOUNT_LIST[Id],0)),"")</f>
        <v>Other Income</v>
      </c>
      <c r="F72" s="277" t="str">
        <f>IFERROR(INDEX(PBC_ACCOUNT_LIST[Summary Grouping],MATCH('Data Summary'!I72,PBC_ACCOUNT_LIST[Id],0)),"")</f>
        <v>Other Income</v>
      </c>
      <c r="G72" s="277"/>
      <c r="H72" s="277">
        <f>IFERROR(INDEX(PBC_ACCOUNT_LIST[Cash Flow Section],MATCH('Data Summary'!I72,PBC_ACCOUNT_LIST[Id],0)),"")</f>
        <v>0</v>
      </c>
      <c r="I72" s="277">
        <v>190</v>
      </c>
      <c r="J72" s="314"/>
      <c r="L72" s="313">
        <f>SUMIFS(Drivers!AN$10:AN$69,PLAcctIDs,$I72)</f>
        <v>0</v>
      </c>
      <c r="M72" s="313">
        <f>SUMIFS(Drivers!AO$10:AO$69,PLAcctIDs,$I72)</f>
        <v>0</v>
      </c>
      <c r="N72" s="313">
        <f>SUMIFS(Drivers!AP$10:AP$69,PLAcctIDs,$I72)</f>
        <v>0</v>
      </c>
      <c r="O72" s="313">
        <f>SUMIFS(Drivers!AQ$10:AQ$69,PLAcctIDs,$I72)</f>
        <v>0</v>
      </c>
      <c r="P72" s="313">
        <f>SUMIFS(Drivers!AR$10:AR$69,PLAcctIDs,$I72)</f>
        <v>0</v>
      </c>
      <c r="Q72" s="313">
        <f>SUMIFS(Drivers!AS$10:AS$69,PLAcctIDs,$I72)</f>
        <v>0</v>
      </c>
      <c r="R72" s="313">
        <f>SUMIFS(Drivers!AT$10:AT$69,PLAcctIDs,$I72)</f>
        <v>0</v>
      </c>
      <c r="S72" s="313">
        <f>SUMIFS(Drivers!AU$10:AU$69,PLAcctIDs,$I72)</f>
        <v>0</v>
      </c>
      <c r="T72" s="313">
        <f>SUMIFS(Drivers!AV$10:AV$69,PLAcctIDs,$I72)</f>
        <v>0</v>
      </c>
      <c r="U72" s="313">
        <f>SUMIFS(Drivers!AW$10:AW$69,PLAcctIDs,$I72)</f>
        <v>0</v>
      </c>
      <c r="V72" s="313">
        <f>SUMIFS(Drivers!AX$10:AX$69,PLAcctIDs,$I72)</f>
        <v>0</v>
      </c>
      <c r="W72" s="313">
        <f>SUMIFS(Drivers!AY$10:AY$69,PLAcctIDs,$I72)</f>
        <v>0</v>
      </c>
      <c r="X72" s="313">
        <f>SUMIFS(Drivers!AZ$10:AZ$69,PLAcctIDs,$I72)</f>
        <v>0</v>
      </c>
      <c r="Y72" s="313">
        <f>SUMIFS(Drivers!BA$10:BA$69,PLAcctIDs,$I72)</f>
        <v>0</v>
      </c>
      <c r="Z72" s="313">
        <f>SUMIFS(Drivers!BB$10:BB$69,PLAcctIDs,$I72)</f>
        <v>0</v>
      </c>
      <c r="AA72" s="313">
        <f>SUMIFS(Drivers!BC$10:BC$69,PLAcctIDs,$I72)</f>
        <v>0</v>
      </c>
      <c r="AB72" s="313">
        <f>SUMIFS(Drivers!BD$10:BD$69,PLAcctIDs,$I72)</f>
        <v>0</v>
      </c>
      <c r="AC72" s="313">
        <f>SUMIFS(Drivers!BE$10:BE$69,PLAcctIDs,$I72)</f>
        <v>0</v>
      </c>
      <c r="AD72" s="313">
        <f>SUMIFS(Drivers!BF$10:BF$69,PLAcctIDs,$I72)</f>
        <v>0</v>
      </c>
      <c r="AE72" s="313">
        <f>SUMIFS(Drivers!BG$10:BG$69,PLAcctIDs,$I72)</f>
        <v>0</v>
      </c>
      <c r="AF72" s="313">
        <f>SUMIFS(Drivers!BH$10:BH$69,PLAcctIDs,$I72)</f>
        <v>0</v>
      </c>
      <c r="AG72" s="313">
        <f>SUMIFS(Drivers!BI$10:BI$69,PLAcctIDs,$I72)</f>
        <v>0</v>
      </c>
      <c r="AH72" s="313">
        <f>SUMIFS(Drivers!BJ$10:BJ$69,PLAcctIDs,$I72)</f>
        <v>0</v>
      </c>
      <c r="AI72" s="313">
        <f>SUMIFS(Drivers!BK$10:BK$69,PLAcctIDs,$I72)</f>
        <v>0</v>
      </c>
      <c r="AJ72" s="313">
        <f>SUMIFS(Drivers!BL$10:BL$69,PLAcctIDs,$I72)</f>
        <v>0</v>
      </c>
      <c r="AK72" s="313">
        <f>SUMIFS(Drivers!BM$10:BM$69,PLAcctIDs,$I72)</f>
        <v>0</v>
      </c>
      <c r="AL72" s="313">
        <f>SUMIFS(Drivers!BN$10:BN$69,PLAcctIDs,$I72)</f>
        <v>0</v>
      </c>
      <c r="AM72" s="313">
        <f>SUMIFS(Drivers!BO$10:BO$69,PLAcctIDs,$I72)</f>
        <v>0</v>
      </c>
      <c r="AN72" s="313">
        <f>SUMIFS(Drivers!BP$10:BP$69,PLAcctIDs,$I72)</f>
        <v>0</v>
      </c>
      <c r="AO72" s="313">
        <f>SUMIFS(Drivers!BQ$10:BQ$69,PLAcctIDs,$I72)</f>
        <v>0</v>
      </c>
      <c r="AP72" s="313">
        <f>SUMIFS(Drivers!BR$10:BR$69,PLAcctIDs,$I72)</f>
        <v>0</v>
      </c>
      <c r="AQ72" s="313">
        <f>SUMIFS(Drivers!BS$10:BS$69,PLAcctIDs,$I72)</f>
        <v>0</v>
      </c>
      <c r="AR72" s="313">
        <f>SUMIFS(Drivers!BT$10:BT$69,PLAcctIDs,$I72)</f>
        <v>0</v>
      </c>
      <c r="AS72" s="313">
        <f>SUMIFS(Drivers!BU$10:BU$69,PLAcctIDs,$I72)</f>
        <v>0</v>
      </c>
      <c r="AT72" s="313">
        <f>SUMIFS(Drivers!BV$10:BV$69,PLAcctIDs,$I72)</f>
        <v>0</v>
      </c>
      <c r="AU72" s="313">
        <f>SUMIFS(Drivers!BW$10:BW$69,PLAcctIDs,$I72)</f>
        <v>0</v>
      </c>
      <c r="AV72" s="313">
        <f>SUMIFS(Drivers!BX$10:BX$69,PLAcctIDs,$I72)</f>
        <v>0</v>
      </c>
      <c r="AW72" s="313">
        <f>SUMIFS(Drivers!BY$10:BY$69,PLAcctIDs,$I72)</f>
        <v>0</v>
      </c>
      <c r="AX72" s="313">
        <f>SUMIFS(Drivers!BZ$10:BZ$69,PLAcctIDs,$I72)</f>
        <v>0</v>
      </c>
      <c r="AY72" s="313">
        <f>SUMIFS(Drivers!CA$10:CA$69,PLAcctIDs,$I72)</f>
        <v>0</v>
      </c>
      <c r="AZ72" s="313">
        <f>SUMIFS(Drivers!CB$10:CB$69,PLAcctIDs,$I72)</f>
        <v>0</v>
      </c>
      <c r="BA72" s="313">
        <f>SUMIFS(Drivers!CC$10:CC$69,PLAcctIDs,$I72)</f>
        <v>0</v>
      </c>
      <c r="BB72" s="313">
        <f>SUMIFS(Drivers!CD$10:CD$69,PLAcctIDs,$I72)</f>
        <v>0</v>
      </c>
      <c r="BC72" s="313">
        <f>SUMIFS(Drivers!CE$10:CE$69,PLAcctIDs,$I72)</f>
        <v>0</v>
      </c>
      <c r="BD72" s="313">
        <f>SUMIFS(Drivers!CF$10:CF$69,PLAcctIDs,$I72)</f>
        <v>0</v>
      </c>
      <c r="BE72" s="313">
        <f>SUMIFS(Drivers!CG$10:CG$69,PLAcctIDs,$I72)</f>
        <v>0</v>
      </c>
      <c r="BF72" s="313">
        <f>SUMIFS(Drivers!CH$10:CH$69,PLAcctIDs,$I72)</f>
        <v>0</v>
      </c>
      <c r="BG72" s="313">
        <f>SUMIFS(Drivers!CI$10:CI$69,PLAcctIDs,$I72)</f>
        <v>0</v>
      </c>
      <c r="BH72" s="313">
        <f>SUMIFS(Drivers!CJ$10:CJ$69,PLAcctIDs,$I72)</f>
        <v>0</v>
      </c>
    </row>
    <row r="73" spans="2:60" ht="18.75" customHeight="1" outlineLevel="1">
      <c r="B73" s="284"/>
      <c r="C73" s="315"/>
      <c r="D73" s="288" t="s">
        <v>268</v>
      </c>
      <c r="E73" s="277" t="str">
        <f>IFERROR(INDEX(PBC_ACCOUNT_LIST[Drivers Section],MATCH('Data Summary'!I73,PBC_ACCOUNT_LIST[Id],0)),"")</f>
        <v>Other Expenses</v>
      </c>
      <c r="F73" s="277" t="str">
        <f>IFERROR(INDEX(PBC_ACCOUNT_LIST[Summary Grouping],MATCH('Data Summary'!I73,PBC_ACCOUNT_LIST[Id],0)),"")</f>
        <v>Other Expenses</v>
      </c>
      <c r="G73" s="277"/>
      <c r="H73" s="277">
        <f>IFERROR(INDEX(PBC_ACCOUNT_LIST[Cash Flow Section],MATCH('Data Summary'!I73,PBC_ACCOUNT_LIST[Id],0)),"")</f>
        <v>0</v>
      </c>
      <c r="I73" s="277">
        <v>191</v>
      </c>
      <c r="J73" s="314"/>
      <c r="L73" s="313">
        <f>SUMIFS(Drivers!AN$10:AN$69,PLAcctIDs,$I73)</f>
        <v>0</v>
      </c>
      <c r="M73" s="313">
        <f>SUMIFS(Drivers!AO$10:AO$69,PLAcctIDs,$I73)</f>
        <v>69</v>
      </c>
      <c r="N73" s="313">
        <f>SUMIFS(Drivers!AP$10:AP$69,PLAcctIDs,$I73)</f>
        <v>69</v>
      </c>
      <c r="O73" s="313">
        <f>SUMIFS(Drivers!AQ$10:AQ$69,PLAcctIDs,$I73)</f>
        <v>139</v>
      </c>
      <c r="P73" s="313">
        <f>SUMIFS(Drivers!AR$10:AR$69,PLAcctIDs,$I73)</f>
        <v>1111.5</v>
      </c>
      <c r="Q73" s="313">
        <f>SUMIFS(Drivers!AS$10:AS$69,PLAcctIDs,$I73)</f>
        <v>1181</v>
      </c>
      <c r="R73" s="313">
        <f>SUMIFS(Drivers!AT$10:AT$69,PLAcctIDs,$I73)</f>
        <v>1403</v>
      </c>
      <c r="S73" s="313">
        <f>SUMIFS(Drivers!AU$10:AU$69,PLAcctIDs,$I73)</f>
        <v>1403</v>
      </c>
      <c r="T73" s="313">
        <f>SUMIFS(Drivers!AV$10:AV$69,PLAcctIDs,$I73)</f>
        <v>1472</v>
      </c>
      <c r="U73" s="313">
        <f>SUMIFS(Drivers!AW$10:AW$69,PLAcctIDs,$I73)</f>
        <v>1472</v>
      </c>
      <c r="V73" s="313">
        <f>SUMIFS(Drivers!AX$10:AX$69,PLAcctIDs,$I73)</f>
        <v>1472</v>
      </c>
      <c r="W73" s="313">
        <f>SUMIFS(Drivers!AY$10:AY$69,PLAcctIDs,$I73)</f>
        <v>2360</v>
      </c>
      <c r="X73" s="313">
        <f>SUMIFS(Drivers!AZ$10:AZ$69,PLAcctIDs,$I73)</f>
        <v>3051</v>
      </c>
      <c r="Y73" s="313">
        <f>SUMIFS(Drivers!BA$10:BA$69,PLAcctIDs,$I73)</f>
        <v>3051</v>
      </c>
      <c r="Z73" s="313">
        <f>SUMIFS(Drivers!BB$10:BB$69,PLAcctIDs,$I73)</f>
        <v>3051</v>
      </c>
      <c r="AA73" s="313">
        <f>SUMIFS(Drivers!BC$10:BC$69,PLAcctIDs,$I73)</f>
        <v>3051</v>
      </c>
      <c r="AB73" s="313">
        <f>SUMIFS(Drivers!BD$10:BD$69,PLAcctIDs,$I73)</f>
        <v>3051</v>
      </c>
      <c r="AC73" s="313">
        <f>SUMIFS(Drivers!BE$10:BE$69,PLAcctIDs,$I73)</f>
        <v>3051</v>
      </c>
      <c r="AD73" s="313">
        <f>SUMIFS(Drivers!BF$10:BF$69,PLAcctIDs,$I73)</f>
        <v>3051</v>
      </c>
      <c r="AE73" s="313">
        <f>SUMIFS(Drivers!BG$10:BG$69,PLAcctIDs,$I73)</f>
        <v>3051</v>
      </c>
      <c r="AF73" s="313">
        <f>SUMIFS(Drivers!BH$10:BH$69,PLAcctIDs,$I73)</f>
        <v>3051</v>
      </c>
      <c r="AG73" s="313">
        <f>SUMIFS(Drivers!BI$10:BI$69,PLAcctIDs,$I73)</f>
        <v>3051</v>
      </c>
      <c r="AH73" s="313">
        <f>SUMIFS(Drivers!BJ$10:BJ$69,PLAcctIDs,$I73)</f>
        <v>3051</v>
      </c>
      <c r="AI73" s="313">
        <f>SUMIFS(Drivers!BK$10:BK$69,PLAcctIDs,$I73)</f>
        <v>3051</v>
      </c>
      <c r="AJ73" s="313">
        <f>SUMIFS(Drivers!BL$10:BL$69,PLAcctIDs,$I73)</f>
        <v>3051</v>
      </c>
      <c r="AK73" s="313">
        <f>SUMIFS(Drivers!BM$10:BM$69,PLAcctIDs,$I73)</f>
        <v>3050.66</v>
      </c>
      <c r="AL73" s="313">
        <f>SUMIFS(Drivers!BN$10:BN$69,PLAcctIDs,$I73)</f>
        <v>3050.66</v>
      </c>
      <c r="AM73" s="313">
        <f>SUMIFS(Drivers!BO$10:BO$69,PLAcctIDs,$I73)</f>
        <v>3050.66</v>
      </c>
      <c r="AN73" s="313">
        <f>SUMIFS(Drivers!BP$10:BP$69,PLAcctIDs,$I73)</f>
        <v>3050.66</v>
      </c>
      <c r="AO73" s="313">
        <f>SUMIFS(Drivers!BQ$10:BQ$69,PLAcctIDs,$I73)</f>
        <v>3050.66</v>
      </c>
      <c r="AP73" s="313">
        <f>SUMIFS(Drivers!BR$10:BR$69,PLAcctIDs,$I73)</f>
        <v>3050.66</v>
      </c>
      <c r="AQ73" s="313">
        <f>SUMIFS(Drivers!BS$10:BS$69,PLAcctIDs,$I73)</f>
        <v>3050.66</v>
      </c>
      <c r="AR73" s="313">
        <f>SUMIFS(Drivers!BT$10:BT$69,PLAcctIDs,$I73)</f>
        <v>3050.66</v>
      </c>
      <c r="AS73" s="313">
        <f>SUMIFS(Drivers!BU$10:BU$69,PLAcctIDs,$I73)</f>
        <v>3050.66</v>
      </c>
      <c r="AT73" s="313">
        <f>SUMIFS(Drivers!BV$10:BV$69,PLAcctIDs,$I73)</f>
        <v>3050.66</v>
      </c>
      <c r="AU73" s="313">
        <f>SUMIFS(Drivers!BW$10:BW$69,PLAcctIDs,$I73)</f>
        <v>3050.66</v>
      </c>
      <c r="AV73" s="313">
        <f>SUMIFS(Drivers!BX$10:BX$69,PLAcctIDs,$I73)</f>
        <v>3177.8166666666657</v>
      </c>
      <c r="AW73" s="313">
        <f>SUMIFS(Drivers!BY$10:BY$69,PLAcctIDs,$I73)</f>
        <v>3108.3722222222277</v>
      </c>
      <c r="AX73" s="313">
        <f>SUMIFS(Drivers!BZ$10:BZ$69,PLAcctIDs,$I73)</f>
        <v>3386.1499999999942</v>
      </c>
      <c r="AY73" s="313">
        <f>SUMIFS(Drivers!CA$10:CA$69,PLAcctIDs,$I73)</f>
        <v>3316.7055555555562</v>
      </c>
      <c r="AZ73" s="313">
        <f>SUMIFS(Drivers!CB$10:CB$69,PLAcctIDs,$I73)</f>
        <v>2344.4833333333372</v>
      </c>
      <c r="BA73" s="313">
        <f>SUMIFS(Drivers!CC$10:CC$69,PLAcctIDs,$I73)</f>
        <v>2691.7055555555562</v>
      </c>
      <c r="BB73" s="313">
        <f>SUMIFS(Drivers!CD$10:CD$69,PLAcctIDs,$I73)</f>
        <v>2469.4833333333372</v>
      </c>
      <c r="BC73" s="313">
        <f>SUMIFS(Drivers!CE$10:CE$69,PLAcctIDs,$I73)</f>
        <v>2469.4833333333372</v>
      </c>
      <c r="BD73" s="313">
        <f>SUMIFS(Drivers!CF$10:CF$69,PLAcctIDs,$I73)</f>
        <v>2400.0388888888847</v>
      </c>
      <c r="BE73" s="313">
        <f>SUMIFS(Drivers!CG$10:CG$69,PLAcctIDs,$I73)</f>
        <v>2400.0388888888847</v>
      </c>
      <c r="BF73" s="313">
        <f>SUMIFS(Drivers!CH$10:CH$69,PLAcctIDs,$I73)</f>
        <v>2400.0388888888847</v>
      </c>
      <c r="BG73" s="313">
        <f>SUMIFS(Drivers!CI$10:CI$69,PLAcctIDs,$I73)</f>
        <v>2400.0388888888847</v>
      </c>
      <c r="BH73" s="313">
        <f>SUMIFS(Drivers!CJ$10:CJ$69,PLAcctIDs,$I73)</f>
        <v>2400.0388888888847</v>
      </c>
    </row>
    <row r="74" spans="2:60" ht="18.75" customHeight="1" outlineLevel="1">
      <c r="D74" s="268" t="s">
        <v>269</v>
      </c>
      <c r="E74" s="277" t="str">
        <f>IFERROR(INDEX(PBC_ACCOUNT_LIST[Drivers Section],MATCH('Data Summary'!I74,PBC_ACCOUNT_LIST[Id],0)),"")</f>
        <v>Other Expenses</v>
      </c>
      <c r="F74" s="277" t="str">
        <f>IFERROR(INDEX(PBC_ACCOUNT_LIST[Summary Grouping],MATCH('Data Summary'!I74,PBC_ACCOUNT_LIST[Id],0)),"")</f>
        <v>Other Expenses</v>
      </c>
      <c r="G74" s="277"/>
      <c r="H74" s="317">
        <f>IFERROR(INDEX(PBC_ACCOUNT_LIST[Cash Flow Section],MATCH('Data Summary'!I74,PBC_ACCOUNT_LIST[Id],0)),"")</f>
        <v>0</v>
      </c>
      <c r="I74" s="317">
        <v>192</v>
      </c>
      <c r="J74" s="314"/>
      <c r="L74" s="313">
        <f>SUMIFS(Drivers!AN$10:AN$69,PLAcctIDs,$I74)</f>
        <v>0</v>
      </c>
      <c r="M74" s="313">
        <f>SUMIFS(Drivers!AO$10:AO$69,PLAcctIDs,$I74)</f>
        <v>2500</v>
      </c>
      <c r="N74" s="313">
        <f>SUMIFS(Drivers!AP$10:AP$69,PLAcctIDs,$I74)</f>
        <v>2500</v>
      </c>
      <c r="O74" s="313">
        <f>SUMIFS(Drivers!AQ$10:AQ$69,PLAcctIDs,$I74)</f>
        <v>2500</v>
      </c>
      <c r="P74" s="313">
        <f>SUMIFS(Drivers!AR$10:AR$69,PLAcctIDs,$I74)</f>
        <v>2500</v>
      </c>
      <c r="Q74" s="313">
        <f>SUMIFS(Drivers!AS$10:AS$69,PLAcctIDs,$I74)</f>
        <v>2500</v>
      </c>
      <c r="R74" s="313">
        <f>SUMIFS(Drivers!AT$10:AT$69,PLAcctIDs,$I74)</f>
        <v>2500</v>
      </c>
      <c r="S74" s="313">
        <f>SUMIFS(Drivers!AU$10:AU$69,PLAcctIDs,$I74)</f>
        <v>2500</v>
      </c>
      <c r="T74" s="313">
        <f>SUMIFS(Drivers!AV$10:AV$69,PLAcctIDs,$I74)</f>
        <v>2500</v>
      </c>
      <c r="U74" s="313">
        <f>SUMIFS(Drivers!AW$10:AW$69,PLAcctIDs,$I74)</f>
        <v>2500</v>
      </c>
      <c r="V74" s="313">
        <f>SUMIFS(Drivers!AX$10:AX$69,PLAcctIDs,$I74)</f>
        <v>7500</v>
      </c>
      <c r="W74" s="313">
        <f>SUMIFS(Drivers!AY$10:AY$69,PLAcctIDs,$I74)</f>
        <v>13593</v>
      </c>
      <c r="X74" s="313">
        <f>SUMIFS(Drivers!AZ$10:AZ$69,PLAcctIDs,$I74)</f>
        <v>18444.5</v>
      </c>
      <c r="Y74" s="313">
        <f>SUMIFS(Drivers!BA$10:BA$69,PLAcctIDs,$I74)</f>
        <v>18444.5</v>
      </c>
      <c r="Z74" s="313">
        <f>SUMIFS(Drivers!BB$10:BB$69,PLAcctIDs,$I74)</f>
        <v>18445</v>
      </c>
      <c r="AA74" s="313">
        <f>SUMIFS(Drivers!BC$10:BC$69,PLAcctIDs,$I74)</f>
        <v>18445</v>
      </c>
      <c r="AB74" s="313">
        <f>SUMIFS(Drivers!BD$10:BD$69,PLAcctIDs,$I74)</f>
        <v>18445</v>
      </c>
      <c r="AC74" s="313">
        <f>SUMIFS(Drivers!BE$10:BE$69,PLAcctIDs,$I74)</f>
        <v>18445</v>
      </c>
      <c r="AD74" s="313">
        <f>SUMIFS(Drivers!BF$10:BF$69,PLAcctIDs,$I74)</f>
        <v>18445</v>
      </c>
      <c r="AE74" s="313">
        <f>SUMIFS(Drivers!BG$10:BG$69,PLAcctIDs,$I74)</f>
        <v>18445</v>
      </c>
      <c r="AF74" s="313">
        <f>SUMIFS(Drivers!BH$10:BH$69,PLAcctIDs,$I74)</f>
        <v>18445</v>
      </c>
      <c r="AG74" s="313">
        <f>SUMIFS(Drivers!BI$10:BI$69,PLAcctIDs,$I74)</f>
        <v>18445</v>
      </c>
      <c r="AH74" s="313">
        <f>SUMIFS(Drivers!BJ$10:BJ$69,PLAcctIDs,$I74)</f>
        <v>18445</v>
      </c>
      <c r="AI74" s="313">
        <f>SUMIFS(Drivers!BK$10:BK$69,PLAcctIDs,$I74)</f>
        <v>18445</v>
      </c>
      <c r="AJ74" s="313">
        <f>SUMIFS(Drivers!BL$10:BL$69,PLAcctIDs,$I74)</f>
        <v>18445</v>
      </c>
      <c r="AK74" s="313">
        <f>SUMIFS(Drivers!BM$10:BM$69,PLAcctIDs,$I74)</f>
        <v>18444.759999999998</v>
      </c>
      <c r="AL74" s="313">
        <f>SUMIFS(Drivers!BN$10:BN$69,PLAcctIDs,$I74)</f>
        <v>18445</v>
      </c>
      <c r="AM74" s="313">
        <f>SUMIFS(Drivers!BO$10:BO$69,PLAcctIDs,$I74)</f>
        <v>18445</v>
      </c>
      <c r="AN74" s="313">
        <f>SUMIFS(Drivers!BP$10:BP$69,PLAcctIDs,$I74)</f>
        <v>18445</v>
      </c>
      <c r="AO74" s="313">
        <f>SUMIFS(Drivers!BQ$10:BQ$69,PLAcctIDs,$I74)</f>
        <v>18445</v>
      </c>
      <c r="AP74" s="313">
        <f>SUMIFS(Drivers!BR$10:BR$69,PLAcctIDs,$I74)</f>
        <v>18444.759999999998</v>
      </c>
      <c r="AQ74" s="313">
        <f>SUMIFS(Drivers!BS$10:BS$69,PLAcctIDs,$I74)</f>
        <v>18444.759999999998</v>
      </c>
      <c r="AR74" s="313">
        <f>SUMIFS(Drivers!BT$10:BT$69,PLAcctIDs,$I74)</f>
        <v>18444.759999999998</v>
      </c>
      <c r="AS74" s="313">
        <f>SUMIFS(Drivers!BU$10:BU$69,PLAcctIDs,$I74)</f>
        <v>18444.759999999998</v>
      </c>
      <c r="AT74" s="313">
        <f>SUMIFS(Drivers!BV$10:BV$69,PLAcctIDs,$I74)</f>
        <v>18444.759999999998</v>
      </c>
      <c r="AU74" s="313">
        <f>SUMIFS(Drivers!BW$10:BW$69,PLAcctIDs,$I74)</f>
        <v>18444.759999999998</v>
      </c>
      <c r="AV74" s="313">
        <f>SUMIFS(Drivers!BX$10:BX$69,PLAcctIDs,$I74)</f>
        <v>19366.998</v>
      </c>
      <c r="AW74" s="313">
        <f>SUMIFS(Drivers!BY$10:BY$69,PLAcctIDs,$I74)</f>
        <v>19528.389649999997</v>
      </c>
      <c r="AX74" s="313">
        <f>SUMIFS(Drivers!BZ$10:BZ$69,PLAcctIDs,$I74)</f>
        <v>19718.02483875</v>
      </c>
      <c r="AY74" s="313">
        <f>SUMIFS(Drivers!CA$10:CA$69,PLAcctIDs,$I74)</f>
        <v>19940.846185531249</v>
      </c>
      <c r="AZ74" s="313">
        <f>SUMIFS(Drivers!CB$10:CB$69,PLAcctIDs,$I74)</f>
        <v>20202.661267999218</v>
      </c>
      <c r="BA74" s="313">
        <f>SUMIFS(Drivers!CC$10:CC$69,PLAcctIDs,$I74)</f>
        <v>20510.293989899081</v>
      </c>
      <c r="BB74" s="313">
        <f>SUMIFS(Drivers!CD$10:CD$69,PLAcctIDs,$I74)</f>
        <v>20871.762438131416</v>
      </c>
      <c r="BC74" s="313">
        <f>SUMIFS(Drivers!CE$10:CE$69,PLAcctIDs,$I74)</f>
        <v>21135.096214804413</v>
      </c>
      <c r="BD74" s="313">
        <f>SUMIFS(Drivers!CF$10:CF$69,PLAcctIDs,$I74)</f>
        <v>21416.269863645193</v>
      </c>
      <c r="BE74" s="313">
        <f>SUMIFS(Drivers!CG$10:CG$69,PLAcctIDs,$I74)</f>
        <v>21713.462743001852</v>
      </c>
      <c r="BF74" s="313">
        <f>SUMIFS(Drivers!CH$10:CH$69,PLAcctIDs,$I74)</f>
        <v>22023.670640559209</v>
      </c>
      <c r="BG74" s="313">
        <f>SUMIFS(Drivers!CI$10:CI$69,PLAcctIDs,$I74)</f>
        <v>22342.347280757203</v>
      </c>
      <c r="BH74" s="313">
        <f>SUMIFS(Drivers!CJ$10:CJ$69,PLAcctIDs,$I74)</f>
        <v>22662.956606657375</v>
      </c>
    </row>
    <row r="75" spans="2:60" ht="18.75" customHeight="1">
      <c r="E75" s="317"/>
      <c r="F75" s="317"/>
      <c r="G75" s="317"/>
      <c r="H75" s="277"/>
      <c r="I75" s="277"/>
      <c r="J75" s="314"/>
    </row>
    <row r="76" spans="2:60" ht="21">
      <c r="B76" s="284"/>
      <c r="C76" s="315" t="s">
        <v>55</v>
      </c>
      <c r="D76" s="316"/>
      <c r="E76" s="277"/>
      <c r="F76" s="277"/>
      <c r="G76" s="277"/>
      <c r="H76" s="277"/>
      <c r="I76" s="277"/>
      <c r="J76" s="314"/>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c r="AJ76" s="286"/>
      <c r="AK76" s="286"/>
      <c r="AL76" s="286"/>
      <c r="AM76" s="286"/>
      <c r="AN76" s="286"/>
      <c r="AO76" s="286"/>
      <c r="AP76" s="286"/>
      <c r="AQ76" s="286"/>
      <c r="AR76" s="286"/>
      <c r="AS76" s="286"/>
      <c r="AT76" s="286"/>
      <c r="AU76" s="286"/>
      <c r="AV76" s="286"/>
      <c r="AW76" s="286"/>
      <c r="AX76" s="286"/>
      <c r="AY76" s="286"/>
      <c r="AZ76" s="286"/>
      <c r="BA76" s="286"/>
      <c r="BB76" s="286"/>
      <c r="BC76" s="286"/>
      <c r="BD76" s="286"/>
      <c r="BE76" s="286"/>
      <c r="BF76" s="286"/>
      <c r="BG76" s="286"/>
      <c r="BH76" s="286"/>
    </row>
    <row r="77" spans="2:60" ht="19.5" customHeight="1" outlineLevel="1">
      <c r="B77" s="284"/>
      <c r="C77" s="315"/>
      <c r="D77" s="288" t="s">
        <v>275</v>
      </c>
      <c r="E77" s="277"/>
      <c r="F77" s="277"/>
      <c r="G77" s="277"/>
      <c r="H77" s="277">
        <f>IFERROR(INDEX(PBC_ACCOUNT_LIST[Cash Flow Section],MATCH('Data Summary'!I77,PBC_ACCOUNT_LIST[Id],0)),"")</f>
        <v>0</v>
      </c>
      <c r="I77" s="277">
        <v>1150040000</v>
      </c>
      <c r="J77" s="314"/>
      <c r="L77" s="313">
        <f>SUMIFS(Drivers!AN$71:AN$106,BSAcctIDs,$I77)</f>
        <v>0</v>
      </c>
      <c r="M77" s="313">
        <f>SUMIFS(Drivers!AO$71:AO$106,BSAcctIDs,$I77)</f>
        <v>912877</v>
      </c>
      <c r="N77" s="313">
        <f>SUMIFS(Drivers!AP$71:AP$106,BSAcctIDs,$I77)</f>
        <v>872266.5</v>
      </c>
      <c r="O77" s="313">
        <f>SUMIFS(Drivers!AQ$71:AQ$106,BSAcctIDs,$I77)</f>
        <v>822468.5</v>
      </c>
      <c r="P77" s="313">
        <f>SUMIFS(Drivers!AR$71:AR$106,BSAcctIDs,$I77)</f>
        <v>740459</v>
      </c>
      <c r="Q77" s="313">
        <f>SUMIFS(Drivers!AS$71:AS$106,BSAcctIDs,$I77)</f>
        <v>698801.5</v>
      </c>
      <c r="R77" s="313">
        <f>SUMIFS(Drivers!AT$71:AT$106,BSAcctIDs,$I77)</f>
        <v>2139776.5</v>
      </c>
      <c r="S77" s="313">
        <f>SUMIFS(Drivers!AU$71:AU$106,BSAcctIDs,$I77)</f>
        <v>2100546</v>
      </c>
      <c r="T77" s="313">
        <f>SUMIFS(Drivers!AV$71:AV$106,BSAcctIDs,$I77)</f>
        <v>2050413.5</v>
      </c>
      <c r="U77" s="313">
        <f>SUMIFS(Drivers!AW$71:AW$106,BSAcctIDs,$I77)</f>
        <v>2007838.5</v>
      </c>
      <c r="V77" s="313">
        <f>SUMIFS(Drivers!AX$71:AX$106,BSAcctIDs,$I77)</f>
        <v>2963592.5</v>
      </c>
      <c r="W77" s="313">
        <f>SUMIFS(Drivers!AY$71:AY$106,BSAcctIDs,$I77)</f>
        <v>3396134.5</v>
      </c>
      <c r="X77" s="313">
        <f>SUMIFS(Drivers!AZ$71:AZ$106,BSAcctIDs,$I77)</f>
        <v>4285000.5</v>
      </c>
      <c r="Y77" s="313">
        <f>SUMIFS(Drivers!BA$71:BA$106,BSAcctIDs,$I77)</f>
        <v>4191288.5</v>
      </c>
      <c r="Z77" s="313">
        <f>SUMIFS(Drivers!BB$71:BB$106,BSAcctIDs,$I77)</f>
        <v>4076334.5</v>
      </c>
      <c r="AA77" s="313">
        <f>SUMIFS(Drivers!BC$71:BC$106,BSAcctIDs,$I77)</f>
        <v>4004840.5</v>
      </c>
      <c r="AB77" s="313">
        <f>SUMIFS(Drivers!BD$71:BD$106,BSAcctIDs,$I77)</f>
        <v>3870793.5</v>
      </c>
      <c r="AC77" s="313">
        <f>SUMIFS(Drivers!BE$71:BE$106,BSAcctIDs,$I77)</f>
        <v>3794994.5</v>
      </c>
      <c r="AD77" s="313">
        <f>SUMIFS(Drivers!BF$71:BF$106,BSAcctIDs,$I77)</f>
        <v>3656851.5</v>
      </c>
      <c r="AE77" s="313">
        <f>SUMIFS(Drivers!BG$71:BG$106,BSAcctIDs,$I77)</f>
        <v>3512188.5</v>
      </c>
      <c r="AF77" s="313">
        <f>SUMIFS(Drivers!BH$71:BH$106,BSAcctIDs,$I77)</f>
        <v>3367871.5</v>
      </c>
      <c r="AG77" s="313">
        <f>SUMIFS(Drivers!BI$71:BI$106,BSAcctIDs,$I77)</f>
        <v>3217220.5</v>
      </c>
      <c r="AH77" s="313">
        <f>SUMIFS(Drivers!BJ$71:BJ$106,BSAcctIDs,$I77)</f>
        <v>3066455.5</v>
      </c>
      <c r="AI77" s="313">
        <f>SUMIFS(Drivers!BK$71:BK$106,BSAcctIDs,$I77)</f>
        <v>2909186.5</v>
      </c>
      <c r="AJ77" s="313">
        <f>SUMIFS(Drivers!BL$71:BL$106,BSAcctIDs,$I77)</f>
        <v>2744982.5</v>
      </c>
      <c r="AK77" s="313">
        <f>SUMIFS(Drivers!BM$71:BM$106,BSAcctIDs,$I77)</f>
        <v>2573511.48</v>
      </c>
      <c r="AL77" s="313">
        <f>SUMIFS(Drivers!BN$71:BN$106,BSAcctIDs,$I77)</f>
        <v>2394437.48</v>
      </c>
      <c r="AM77" s="313">
        <f>SUMIFS(Drivers!BO$71:BO$106,BSAcctIDs,$I77)</f>
        <v>2207358.48</v>
      </c>
      <c r="AN77" s="313">
        <f>SUMIFS(Drivers!BP$71:BP$106,BSAcctIDs,$I77)</f>
        <v>2011881.48</v>
      </c>
      <c r="AO77" s="313">
        <f>SUMIFS(Drivers!BQ$71:BQ$106,BSAcctIDs,$I77)</f>
        <v>1807588.48</v>
      </c>
      <c r="AP77" s="313">
        <f>SUMIFS(Drivers!BR$71:BR$106,BSAcctIDs,$I77)</f>
        <v>1594040.15</v>
      </c>
      <c r="AQ77" s="313">
        <f>SUMIFS(Drivers!BS$71:BS$106,BSAcctIDs,$I77)</f>
        <v>1370773.78</v>
      </c>
      <c r="AR77" s="313">
        <f>SUMIFS(Drivers!BT$71:BT$106,BSAcctIDs,$I77)</f>
        <v>1137304.6599999999</v>
      </c>
      <c r="AS77" s="313">
        <f>SUMIFS(Drivers!BU$71:BU$106,BSAcctIDs,$I77)</f>
        <v>893122.77</v>
      </c>
      <c r="AT77" s="313">
        <f>SUMIFS(Drivers!BV$71:BV$106,BSAcctIDs,$I77)</f>
        <v>637693.89</v>
      </c>
      <c r="AU77" s="313">
        <f>SUMIFS(Drivers!BW$71:BW$106,BSAcctIDs,$I77)</f>
        <v>370456.63</v>
      </c>
      <c r="AV77" s="313">
        <f>SUMIFS(Drivers!BX$71:BX$106,BSAcctIDs,$I77)</f>
        <v>0</v>
      </c>
      <c r="AW77" s="313">
        <f>SUMIFS(Drivers!BY$71:BY$106,BSAcctIDs,$I77)</f>
        <v>0</v>
      </c>
      <c r="AX77" s="313">
        <f>SUMIFS(Drivers!BZ$71:BZ$106,BSAcctIDs,$I77)</f>
        <v>0</v>
      </c>
      <c r="AY77" s="313">
        <f>SUMIFS(Drivers!CA$71:CA$106,BSAcctIDs,$I77)</f>
        <v>0</v>
      </c>
      <c r="AZ77" s="313">
        <f>SUMIFS(Drivers!CB$71:CB$106,BSAcctIDs,$I77)</f>
        <v>0</v>
      </c>
      <c r="BA77" s="313">
        <f>SUMIFS(Drivers!CC$71:CC$106,BSAcctIDs,$I77)</f>
        <v>0</v>
      </c>
      <c r="BB77" s="313">
        <f>SUMIFS(Drivers!CD$71:CD$106,BSAcctIDs,$I77)</f>
        <v>0</v>
      </c>
      <c r="BC77" s="313">
        <f>SUMIFS(Drivers!CE$71:CE$106,BSAcctIDs,$I77)</f>
        <v>0</v>
      </c>
      <c r="BD77" s="313">
        <f>SUMIFS(Drivers!CF$71:CF$106,BSAcctIDs,$I77)</f>
        <v>0</v>
      </c>
      <c r="BE77" s="313">
        <f>SUMIFS(Drivers!CG$71:CG$106,BSAcctIDs,$I77)</f>
        <v>0</v>
      </c>
      <c r="BF77" s="313">
        <f>SUMIFS(Drivers!CH$71:CH$106,BSAcctIDs,$I77)</f>
        <v>0</v>
      </c>
      <c r="BG77" s="313">
        <f>SUMIFS(Drivers!CI$71:CI$106,BSAcctIDs,$I77)</f>
        <v>0</v>
      </c>
      <c r="BH77" s="313">
        <f>SUMIFS(Drivers!CJ$71:CJ$106,BSAcctIDs,$I77)</f>
        <v>0</v>
      </c>
    </row>
    <row r="78" spans="2:60" ht="19.5" customHeight="1" outlineLevel="1">
      <c r="B78" s="284"/>
      <c r="C78" s="315"/>
      <c r="D78" s="288" t="s">
        <v>337</v>
      </c>
      <c r="E78" s="277" t="str">
        <f>IFERROR(INDEX(PBC_ACCOUNT_LIST[Drivers Section],MATCH(I78,PBC_ACCOUNT_LIST[Id],0)),"")</f>
        <v>Assets</v>
      </c>
      <c r="F78" s="277" t="str">
        <f>IFERROR(INDEX(PBC_ACCOUNT_LIST[Summary Grouping],MATCH(I78,PBC_ACCOUNT_LIST[Id],0)),"")</f>
        <v>Intangible Assets</v>
      </c>
      <c r="G78" s="277"/>
      <c r="H78" s="277" t="str">
        <f>IFERROR(INDEX(PBC_ACCOUNT_LIST[Cash Flow Section],MATCH(I78,PBC_ACCOUNT_LIST[Id],0)),"")</f>
        <v>Cash From Operating Activities</v>
      </c>
      <c r="I78" s="277">
        <v>195</v>
      </c>
      <c r="J78" s="314"/>
      <c r="L78" s="313">
        <f>SUMIFS(Drivers!AN$71:AN$106,BSAcctIDs,$I78)</f>
        <v>0</v>
      </c>
      <c r="M78" s="313">
        <f>SUMIFS(Drivers!AO$71:AO$106,BSAcctIDs,$I78)</f>
        <v>0</v>
      </c>
      <c r="N78" s="313">
        <f>SUMIFS(Drivers!AP$71:AP$106,BSAcctIDs,$I78)</f>
        <v>0</v>
      </c>
      <c r="O78" s="313">
        <f>SUMIFS(Drivers!AQ$71:AQ$106,BSAcctIDs,$I78)</f>
        <v>0</v>
      </c>
      <c r="P78" s="313">
        <f>SUMIFS(Drivers!AR$71:AR$106,BSAcctIDs,$I78)</f>
        <v>0</v>
      </c>
      <c r="Q78" s="313">
        <f>SUMIFS(Drivers!AS$71:AS$106,BSAcctIDs,$I78)</f>
        <v>0</v>
      </c>
      <c r="R78" s="313">
        <f>SUMIFS(Drivers!AT$71:AT$106,BSAcctIDs,$I78)</f>
        <v>0</v>
      </c>
      <c r="S78" s="313">
        <f>SUMIFS(Drivers!AU$71:AU$106,BSAcctIDs,$I78)</f>
        <v>0</v>
      </c>
      <c r="T78" s="313">
        <f>SUMIFS(Drivers!AV$71:AV$106,BSAcctIDs,$I78)</f>
        <v>0</v>
      </c>
      <c r="U78" s="313">
        <f>SUMIFS(Drivers!AW$71:AW$106,BSAcctIDs,$I78)</f>
        <v>0</v>
      </c>
      <c r="V78" s="313">
        <f>SUMIFS(Drivers!AX$71:AX$106,BSAcctIDs,$I78)</f>
        <v>0</v>
      </c>
      <c r="W78" s="313">
        <f>SUMIFS(Drivers!AY$71:AY$106,BSAcctIDs,$I78)</f>
        <v>0</v>
      </c>
      <c r="X78" s="313">
        <f>SUMIFS(Drivers!AZ$71:AZ$106,BSAcctIDs,$I78)</f>
        <v>0</v>
      </c>
      <c r="Y78" s="313">
        <f>SUMIFS(Drivers!BA$71:BA$106,BSAcctIDs,$I78)</f>
        <v>0</v>
      </c>
      <c r="Z78" s="313">
        <f>SUMIFS(Drivers!BB$71:BB$106,BSAcctIDs,$I78)</f>
        <v>0</v>
      </c>
      <c r="AA78" s="313">
        <f>SUMIFS(Drivers!BC$71:BC$106,BSAcctIDs,$I78)</f>
        <v>0</v>
      </c>
      <c r="AB78" s="313">
        <f>SUMIFS(Drivers!BD$71:BD$106,BSAcctIDs,$I78)</f>
        <v>0</v>
      </c>
      <c r="AC78" s="313">
        <f>SUMIFS(Drivers!BE$71:BE$106,BSAcctIDs,$I78)</f>
        <v>0</v>
      </c>
      <c r="AD78" s="313">
        <f>SUMIFS(Drivers!BF$71:BF$106,BSAcctIDs,$I78)</f>
        <v>0</v>
      </c>
      <c r="AE78" s="313">
        <f>SUMIFS(Drivers!BG$71:BG$106,BSAcctIDs,$I78)</f>
        <v>0</v>
      </c>
      <c r="AF78" s="313">
        <f>SUMIFS(Drivers!BH$71:BH$106,BSAcctIDs,$I78)</f>
        <v>0</v>
      </c>
      <c r="AG78" s="313">
        <f>SUMIFS(Drivers!BI$71:BI$106,BSAcctIDs,$I78)</f>
        <v>0</v>
      </c>
      <c r="AH78" s="313">
        <f>SUMIFS(Drivers!BJ$71:BJ$106,BSAcctIDs,$I78)</f>
        <v>0</v>
      </c>
      <c r="AI78" s="313">
        <f>SUMIFS(Drivers!BK$71:BK$106,BSAcctIDs,$I78)</f>
        <v>0</v>
      </c>
      <c r="AJ78" s="313">
        <f>SUMIFS(Drivers!BL$71:BL$106,BSAcctIDs,$I78)</f>
        <v>0</v>
      </c>
      <c r="AK78" s="313">
        <f>SUMIFS(Drivers!BM$71:BM$106,BSAcctIDs,$I78)</f>
        <v>0</v>
      </c>
      <c r="AL78" s="313">
        <f>SUMIFS(Drivers!BN$71:BN$106,BSAcctIDs,$I78)</f>
        <v>0</v>
      </c>
      <c r="AM78" s="313">
        <f>SUMIFS(Drivers!BO$71:BO$106,BSAcctIDs,$I78)</f>
        <v>0</v>
      </c>
      <c r="AN78" s="313">
        <f>SUMIFS(Drivers!BP$71:BP$106,BSAcctIDs,$I78)</f>
        <v>0</v>
      </c>
      <c r="AO78" s="313">
        <f>SUMIFS(Drivers!BQ$71:BQ$106,BSAcctIDs,$I78)</f>
        <v>0</v>
      </c>
      <c r="AP78" s="313">
        <f>SUMIFS(Drivers!BR$71:BR$106,BSAcctIDs,$I78)</f>
        <v>0</v>
      </c>
      <c r="AQ78" s="313">
        <f>SUMIFS(Drivers!BS$71:BS$106,BSAcctIDs,$I78)</f>
        <v>0</v>
      </c>
      <c r="AR78" s="313">
        <f>SUMIFS(Drivers!BT$71:BT$106,BSAcctIDs,$I78)</f>
        <v>0</v>
      </c>
      <c r="AS78" s="313">
        <f>SUMIFS(Drivers!BU$71:BU$106,BSAcctIDs,$I78)</f>
        <v>0</v>
      </c>
      <c r="AT78" s="313">
        <f>SUMIFS(Drivers!BV$71:BV$106,BSAcctIDs,$I78)</f>
        <v>0</v>
      </c>
      <c r="AU78" s="313">
        <f>SUMIFS(Drivers!BW$71:BW$106,BSAcctIDs,$I78)</f>
        <v>0</v>
      </c>
      <c r="AV78" s="313">
        <f>SUMIFS(Drivers!BX$71:BX$106,BSAcctIDs,$I78)</f>
        <v>0</v>
      </c>
      <c r="AW78" s="313">
        <f>SUMIFS(Drivers!BY$71:BY$106,BSAcctIDs,$I78)</f>
        <v>0</v>
      </c>
      <c r="AX78" s="313">
        <f>SUMIFS(Drivers!BZ$71:BZ$106,BSAcctIDs,$I78)</f>
        <v>0</v>
      </c>
      <c r="AY78" s="313">
        <f>SUMIFS(Drivers!CA$71:CA$106,BSAcctIDs,$I78)</f>
        <v>0</v>
      </c>
      <c r="AZ78" s="313">
        <f>SUMIFS(Drivers!CB$71:CB$106,BSAcctIDs,$I78)</f>
        <v>0</v>
      </c>
      <c r="BA78" s="313">
        <f>SUMIFS(Drivers!CC$71:CC$106,BSAcctIDs,$I78)</f>
        <v>0</v>
      </c>
      <c r="BB78" s="313">
        <f>SUMIFS(Drivers!CD$71:CD$106,BSAcctIDs,$I78)</f>
        <v>0</v>
      </c>
      <c r="BC78" s="313">
        <f>SUMIFS(Drivers!CE$71:CE$106,BSAcctIDs,$I78)</f>
        <v>0</v>
      </c>
      <c r="BD78" s="313">
        <f>SUMIFS(Drivers!CF$71:CF$106,BSAcctIDs,$I78)</f>
        <v>0</v>
      </c>
      <c r="BE78" s="313">
        <f>SUMIFS(Drivers!CG$71:CG$106,BSAcctIDs,$I78)</f>
        <v>0</v>
      </c>
      <c r="BF78" s="313">
        <f>SUMIFS(Drivers!CH$71:CH$106,BSAcctIDs,$I78)</f>
        <v>0</v>
      </c>
      <c r="BG78" s="313">
        <f>SUMIFS(Drivers!CI$71:CI$106,BSAcctIDs,$I78)</f>
        <v>0</v>
      </c>
      <c r="BH78" s="313">
        <f>SUMIFS(Drivers!CJ$71:CJ$106,BSAcctIDs,$I78)</f>
        <v>0</v>
      </c>
    </row>
    <row r="79" spans="2:60" ht="19.5" customHeight="1" outlineLevel="1">
      <c r="B79" s="284"/>
      <c r="C79" s="315"/>
      <c r="D79" s="288" t="s">
        <v>276</v>
      </c>
      <c r="E79" s="277" t="s">
        <v>135</v>
      </c>
      <c r="F79" s="277" t="s">
        <v>137</v>
      </c>
      <c r="G79" s="277" t="s">
        <v>106</v>
      </c>
      <c r="H79" s="277"/>
      <c r="I79" s="277" t="s">
        <v>277</v>
      </c>
      <c r="J79" s="314"/>
      <c r="L79" s="313">
        <f>SUMIFS(Drivers!AN$71:AN$106,BSAcctIDs,$I79)</f>
        <v>0</v>
      </c>
      <c r="M79" s="313">
        <f>SUMIFS(Drivers!AO$71:AO$106,BSAcctIDs,$I79)</f>
        <v>912877</v>
      </c>
      <c r="N79" s="313">
        <f>SUMIFS(Drivers!AP$71:AP$106,BSAcctIDs,$I79)</f>
        <v>872266.5</v>
      </c>
      <c r="O79" s="313">
        <f>SUMIFS(Drivers!AQ$71:AQ$106,BSAcctIDs,$I79)</f>
        <v>822468.5</v>
      </c>
      <c r="P79" s="313">
        <f>SUMIFS(Drivers!AR$71:AR$106,BSAcctIDs,$I79)</f>
        <v>740459</v>
      </c>
      <c r="Q79" s="313">
        <f>SUMIFS(Drivers!AS$71:AS$106,BSAcctIDs,$I79)</f>
        <v>698801.5</v>
      </c>
      <c r="R79" s="313">
        <f>SUMIFS(Drivers!AT$71:AT$106,BSAcctIDs,$I79)</f>
        <v>2139776.5</v>
      </c>
      <c r="S79" s="313">
        <f>SUMIFS(Drivers!AU$71:AU$106,BSAcctIDs,$I79)</f>
        <v>2100546</v>
      </c>
      <c r="T79" s="313">
        <f>SUMIFS(Drivers!AV$71:AV$106,BSAcctIDs,$I79)</f>
        <v>2050413.5</v>
      </c>
      <c r="U79" s="313">
        <f>SUMIFS(Drivers!AW$71:AW$106,BSAcctIDs,$I79)</f>
        <v>2007838.5</v>
      </c>
      <c r="V79" s="313">
        <f>SUMIFS(Drivers!AX$71:AX$106,BSAcctIDs,$I79)</f>
        <v>2963592.5</v>
      </c>
      <c r="W79" s="313">
        <f>SUMIFS(Drivers!AY$71:AY$106,BSAcctIDs,$I79)</f>
        <v>3396134.5</v>
      </c>
      <c r="X79" s="313">
        <f>SUMIFS(Drivers!AZ$71:AZ$106,BSAcctIDs,$I79)</f>
        <v>4285000.5</v>
      </c>
      <c r="Y79" s="313">
        <f>SUMIFS(Drivers!BA$71:BA$106,BSAcctIDs,$I79)</f>
        <v>4191288.5</v>
      </c>
      <c r="Z79" s="313">
        <f>SUMIFS(Drivers!BB$71:BB$106,BSAcctIDs,$I79)</f>
        <v>4076334.5</v>
      </c>
      <c r="AA79" s="313">
        <f>SUMIFS(Drivers!BC$71:BC$106,BSAcctIDs,$I79)</f>
        <v>4004840.5</v>
      </c>
      <c r="AB79" s="313">
        <f>SUMIFS(Drivers!BD$71:BD$106,BSAcctIDs,$I79)</f>
        <v>3870793.5</v>
      </c>
      <c r="AC79" s="313">
        <f>SUMIFS(Drivers!BE$71:BE$106,BSAcctIDs,$I79)</f>
        <v>3794994.5</v>
      </c>
      <c r="AD79" s="313">
        <f>SUMIFS(Drivers!BF$71:BF$106,BSAcctIDs,$I79)</f>
        <v>3656851.5</v>
      </c>
      <c r="AE79" s="313">
        <f>SUMIFS(Drivers!BG$71:BG$106,BSAcctIDs,$I79)</f>
        <v>3512188.5</v>
      </c>
      <c r="AF79" s="313">
        <f>SUMIFS(Drivers!BH$71:BH$106,BSAcctIDs,$I79)</f>
        <v>3367871.5</v>
      </c>
      <c r="AG79" s="313">
        <f>SUMIFS(Drivers!BI$71:BI$106,BSAcctIDs,$I79)</f>
        <v>3217220.5</v>
      </c>
      <c r="AH79" s="313">
        <f>SUMIFS(Drivers!BJ$71:BJ$106,BSAcctIDs,$I79)</f>
        <v>3066455.5</v>
      </c>
      <c r="AI79" s="313">
        <f>SUMIFS(Drivers!BK$71:BK$106,BSAcctIDs,$I79)</f>
        <v>2909186.5</v>
      </c>
      <c r="AJ79" s="313">
        <f>SUMIFS(Drivers!BL$71:BL$106,BSAcctIDs,$I79)</f>
        <v>2744982.5</v>
      </c>
      <c r="AK79" s="313">
        <f>SUMIFS(Drivers!BM$71:BM$106,BSAcctIDs,$I79)</f>
        <v>2573511.48</v>
      </c>
      <c r="AL79" s="313">
        <f>SUMIFS(Drivers!BN$71:BN$106,BSAcctIDs,$I79)</f>
        <v>2394437.48</v>
      </c>
      <c r="AM79" s="313">
        <f>SUMIFS(Drivers!BO$71:BO$106,BSAcctIDs,$I79)</f>
        <v>2207358.48</v>
      </c>
      <c r="AN79" s="313">
        <f>SUMIFS(Drivers!BP$71:BP$106,BSAcctIDs,$I79)</f>
        <v>2011881.48</v>
      </c>
      <c r="AO79" s="313">
        <f>SUMIFS(Drivers!BQ$71:BQ$106,BSAcctIDs,$I79)</f>
        <v>1807588.48</v>
      </c>
      <c r="AP79" s="313">
        <f>SUMIFS(Drivers!BR$71:BR$106,BSAcctIDs,$I79)</f>
        <v>1594040.15</v>
      </c>
      <c r="AQ79" s="313">
        <f>SUMIFS(Drivers!BS$71:BS$106,BSAcctIDs,$I79)</f>
        <v>1370773.78</v>
      </c>
      <c r="AR79" s="313">
        <f>SUMIFS(Drivers!BT$71:BT$106,BSAcctIDs,$I79)</f>
        <v>1137304.6599999999</v>
      </c>
      <c r="AS79" s="313">
        <f>SUMIFS(Drivers!BU$71:BU$106,BSAcctIDs,$I79)</f>
        <v>893122.77</v>
      </c>
      <c r="AT79" s="313">
        <f>SUMIFS(Drivers!BV$71:BV$106,BSAcctIDs,$I79)</f>
        <v>637693.89</v>
      </c>
      <c r="AU79" s="313">
        <f>SUMIFS(Drivers!BW$71:BW$106,BSAcctIDs,$I79)</f>
        <v>370456.63</v>
      </c>
      <c r="AV79" s="313">
        <f>SUMIFS(Drivers!BX$71:BX$106,BSAcctIDs,$I79)</f>
        <v>1156879.011009091</v>
      </c>
      <c r="AW79" s="313">
        <f>SUMIFS(Drivers!BY$71:BY$106,BSAcctIDs,$I79)</f>
        <v>1045956.8245014361</v>
      </c>
      <c r="AX79" s="313">
        <f>SUMIFS(Drivers!BZ$71:BZ$106,BSAcctIDs,$I79)</f>
        <v>926406.13015326345</v>
      </c>
      <c r="AY79" s="313">
        <f>SUMIFS(Drivers!CA$71:CA$106,BSAcctIDs,$I79)</f>
        <v>733998.54778743605</v>
      </c>
      <c r="AZ79" s="313">
        <f>SUMIFS(Drivers!CB$71:CB$106,BSAcctIDs,$I79)</f>
        <v>520063.62136957853</v>
      </c>
      <c r="BA79" s="313">
        <f>SUMIFS(Drivers!CC$71:CC$106,BSAcctIDs,$I79)</f>
        <v>280302.37280449527</v>
      </c>
      <c r="BB79" s="313">
        <f>SUMIFS(Drivers!CD$71:CD$106,BSAcctIDs,$I79)</f>
        <v>50877.329930825552</v>
      </c>
      <c r="BC79" s="313">
        <f>SUMIFS(Drivers!CE$71:CE$106,BSAcctIDs,$I79)</f>
        <v>-185524.38643821474</v>
      </c>
      <c r="BD79" s="313">
        <f>SUMIFS(Drivers!CF$71:CF$106,BSAcctIDs,$I79)</f>
        <v>-426979.09637953027</v>
      </c>
      <c r="BE79" s="313">
        <f>SUMIFS(Drivers!CG$71:CG$106,BSAcctIDs,$I79)</f>
        <v>-672164.29362152971</v>
      </c>
      <c r="BF79" s="313">
        <f>SUMIFS(Drivers!CH$71:CH$106,BSAcctIDs,$I79)</f>
        <v>-920873.55731980898</v>
      </c>
      <c r="BG79" s="313">
        <f>SUMIFS(Drivers!CI$71:CI$106,BSAcctIDs,$I79)</f>
        <v>-1172971.1509452418</v>
      </c>
      <c r="BH79" s="313">
        <f>SUMIFS(Drivers!CJ$71:CJ$106,BSAcctIDs,$I79)</f>
        <v>-1438973.6823828642</v>
      </c>
    </row>
    <row r="80" spans="2:60" ht="19.5" customHeight="1" outlineLevel="1">
      <c r="B80" s="284"/>
      <c r="C80" s="315"/>
      <c r="D80" s="288" t="s">
        <v>278</v>
      </c>
      <c r="E80" s="277" t="str">
        <f>IFERROR(INDEX(PBC_ACCOUNT_LIST[Drivers Section],MATCH('Data Summary'!I80,PBC_ACCOUNT_LIST[Id],0)),"")</f>
        <v>Assets</v>
      </c>
      <c r="F80" s="277" t="str">
        <f>IFERROR(INDEX(PBC_ACCOUNT_LIST[Summary Grouping],MATCH('Data Summary'!I80,PBC_ACCOUNT_LIST[Id],0)),"")</f>
        <v>Accounts Receivable</v>
      </c>
      <c r="G80" s="277"/>
      <c r="H80" s="277" t="str">
        <f>IFERROR(INDEX(PBC_ACCOUNT_LIST[Cash Flow Section],MATCH('Data Summary'!I80,PBC_ACCOUNT_LIST[Id],0)),"")</f>
        <v>Cash from Operating Activities</v>
      </c>
      <c r="I80" s="277">
        <v>8</v>
      </c>
      <c r="J80" s="314"/>
      <c r="L80" s="313">
        <f>SUMIFS(Drivers!AN$71:AN$106,BSAcctIDs,$I80)</f>
        <v>0</v>
      </c>
      <c r="M80" s="313">
        <f>SUMIFS(Drivers!AO$71:AO$106,BSAcctIDs,$I80)</f>
        <v>10000</v>
      </c>
      <c r="N80" s="313">
        <f>SUMIFS(Drivers!AP$71:AP$106,BSAcctIDs,$I80)</f>
        <v>16000</v>
      </c>
      <c r="O80" s="313">
        <f>SUMIFS(Drivers!AQ$71:AQ$106,BSAcctIDs,$I80)</f>
        <v>20100</v>
      </c>
      <c r="P80" s="313">
        <f>SUMIFS(Drivers!AR$71:AR$106,BSAcctIDs,$I80)</f>
        <v>22110</v>
      </c>
      <c r="Q80" s="313">
        <f>SUMIFS(Drivers!AS$71:AS$106,BSAcctIDs,$I80)</f>
        <v>24321</v>
      </c>
      <c r="R80" s="313">
        <f>SUMIFS(Drivers!AT$71:AT$106,BSAcctIDs,$I80)</f>
        <v>26753</v>
      </c>
      <c r="S80" s="313">
        <f>SUMIFS(Drivers!AU$71:AU$106,BSAcctIDs,$I80)</f>
        <v>29428</v>
      </c>
      <c r="T80" s="313">
        <f>SUMIFS(Drivers!AV$71:AV$106,BSAcctIDs,$I80)</f>
        <v>32371</v>
      </c>
      <c r="U80" s="313">
        <f>SUMIFS(Drivers!AW$71:AW$106,BSAcctIDs,$I80)</f>
        <v>35608</v>
      </c>
      <c r="V80" s="313">
        <f>SUMIFS(Drivers!AX$71:AX$106,BSAcctIDs,$I80)</f>
        <v>39169</v>
      </c>
      <c r="W80" s="313">
        <f>SUMIFS(Drivers!AY$71:AY$106,BSAcctIDs,$I80)</f>
        <v>44169</v>
      </c>
      <c r="X80" s="313">
        <f>SUMIFS(Drivers!AZ$71:AZ$106,BSAcctIDs,$I80)</f>
        <v>34169</v>
      </c>
      <c r="Y80" s="313">
        <f>SUMIFS(Drivers!BA$71:BA$106,BSAcctIDs,$I80)</f>
        <v>41127</v>
      </c>
      <c r="Z80" s="313">
        <f>SUMIFS(Drivers!BB$71:BB$106,BSAcctIDs,$I80)</f>
        <v>41812</v>
      </c>
      <c r="AA80" s="313">
        <f>SUMIFS(Drivers!BC$71:BC$106,BSAcctIDs,$I80)</f>
        <v>40987</v>
      </c>
      <c r="AB80" s="313">
        <f>SUMIFS(Drivers!BD$71:BD$106,BSAcctIDs,$I80)</f>
        <v>43374</v>
      </c>
      <c r="AC80" s="313">
        <f>SUMIFS(Drivers!BE$71:BE$106,BSAcctIDs,$I80)</f>
        <v>44161</v>
      </c>
      <c r="AD80" s="313">
        <f>SUMIFS(Drivers!BF$71:BF$106,BSAcctIDs,$I80)</f>
        <v>44983</v>
      </c>
      <c r="AE80" s="313">
        <f>SUMIFS(Drivers!BG$71:BG$106,BSAcctIDs,$I80)</f>
        <v>46381</v>
      </c>
      <c r="AF80" s="313">
        <f>SUMIFS(Drivers!BH$71:BH$106,BSAcctIDs,$I80)</f>
        <v>47434</v>
      </c>
      <c r="AG80" s="313">
        <f>SUMIFS(Drivers!BI$71:BI$106,BSAcctIDs,$I80)</f>
        <v>48580</v>
      </c>
      <c r="AH80" s="313">
        <f>SUMIFS(Drivers!BJ$71:BJ$106,BSAcctIDs,$I80)</f>
        <v>49839</v>
      </c>
      <c r="AI80" s="313">
        <f>SUMIFS(Drivers!BK$71:BK$106,BSAcctIDs,$I80)</f>
        <v>51049</v>
      </c>
      <c r="AJ80" s="313">
        <f>SUMIFS(Drivers!BL$71:BL$106,BSAcctIDs,$I80)</f>
        <v>52314</v>
      </c>
      <c r="AK80" s="313">
        <f>SUMIFS(Drivers!BM$71:BM$106,BSAcctIDs,$I80)</f>
        <v>53620.77</v>
      </c>
      <c r="AL80" s="313">
        <f>SUMIFS(Drivers!BN$71:BN$106,BSAcctIDs,$I80)</f>
        <v>54944.77</v>
      </c>
      <c r="AM80" s="313">
        <f>SUMIFS(Drivers!BO$71:BO$106,BSAcctIDs,$I80)</f>
        <v>56307.77</v>
      </c>
      <c r="AN80" s="313">
        <f>SUMIFS(Drivers!BP$71:BP$106,BSAcctIDs,$I80)</f>
        <v>57705.77</v>
      </c>
      <c r="AO80" s="313">
        <f>SUMIFS(Drivers!BQ$71:BQ$106,BSAcctIDs,$I80)</f>
        <v>59135.77</v>
      </c>
      <c r="AP80" s="313">
        <f>SUMIFS(Drivers!BR$71:BR$106,BSAcctIDs,$I80)</f>
        <v>69302.55</v>
      </c>
      <c r="AQ80" s="313">
        <f>SUMIFS(Drivers!BS$71:BS$106,BSAcctIDs,$I80)</f>
        <v>77305.53</v>
      </c>
      <c r="AR80" s="313">
        <f>SUMIFS(Drivers!BT$71:BT$106,BSAcctIDs,$I80)</f>
        <v>78845.320000000007</v>
      </c>
      <c r="AS80" s="313">
        <f>SUMIFS(Drivers!BU$71:BU$106,BSAcctIDs,$I80)</f>
        <v>98423.66</v>
      </c>
      <c r="AT80" s="313">
        <f>SUMIFS(Drivers!BV$71:BV$106,BSAcctIDs,$I80)</f>
        <v>110041.05</v>
      </c>
      <c r="AU80" s="313">
        <f>SUMIFS(Drivers!BW$71:BW$106,BSAcctIDs,$I80)</f>
        <v>127198.48</v>
      </c>
      <c r="AV80" s="313">
        <f>SUMIFS(Drivers!BX$71:BX$106,BSAcctIDs,$I80)</f>
        <v>183599.24</v>
      </c>
      <c r="AW80" s="313">
        <f>SUMIFS(Drivers!BY$71:BY$106,BSAcctIDs,$I80)</f>
        <v>91799.62</v>
      </c>
      <c r="AX80" s="313">
        <f>SUMIFS(Drivers!BZ$71:BZ$106,BSAcctIDs,$I80)</f>
        <v>0</v>
      </c>
      <c r="AY80" s="313">
        <f>SUMIFS(Drivers!CA$71:CA$106,BSAcctIDs,$I80)</f>
        <v>0</v>
      </c>
      <c r="AZ80" s="313">
        <f>SUMIFS(Drivers!CB$71:CB$106,BSAcctIDs,$I80)</f>
        <v>0</v>
      </c>
      <c r="BA80" s="313">
        <f>SUMIFS(Drivers!CC$71:CC$106,BSAcctIDs,$I80)</f>
        <v>0</v>
      </c>
      <c r="BB80" s="313">
        <f>SUMIFS(Drivers!CD$71:CD$106,BSAcctIDs,$I80)</f>
        <v>0</v>
      </c>
      <c r="BC80" s="313">
        <f>SUMIFS(Drivers!CE$71:CE$106,BSAcctIDs,$I80)</f>
        <v>0</v>
      </c>
      <c r="BD80" s="313">
        <f>SUMIFS(Drivers!CF$71:CF$106,BSAcctIDs,$I80)</f>
        <v>0</v>
      </c>
      <c r="BE80" s="313">
        <f>SUMIFS(Drivers!CG$71:CG$106,BSAcctIDs,$I80)</f>
        <v>0</v>
      </c>
      <c r="BF80" s="313">
        <f>SUMIFS(Drivers!CH$71:CH$106,BSAcctIDs,$I80)</f>
        <v>0</v>
      </c>
      <c r="BG80" s="313">
        <f>SUMIFS(Drivers!CI$71:CI$106,BSAcctIDs,$I80)</f>
        <v>0</v>
      </c>
      <c r="BH80" s="313">
        <f>SUMIFS(Drivers!CJ$71:CJ$106,BSAcctIDs,$I80)</f>
        <v>0</v>
      </c>
    </row>
    <row r="81" spans="2:60" ht="19.5" customHeight="1" outlineLevel="1">
      <c r="B81" s="284"/>
      <c r="C81" s="315"/>
      <c r="D81" s="288" t="s">
        <v>282</v>
      </c>
      <c r="E81" s="277" t="str">
        <f>IFERROR(INDEX(PBC_ACCOUNT_LIST[Drivers Section],MATCH('Data Summary'!I81,PBC_ACCOUNT_LIST[Id],0)),"")</f>
        <v>Assets</v>
      </c>
      <c r="F81" s="277" t="str">
        <f>IFERROR(INDEX(PBC_ACCOUNT_LIST[Summary Grouping],MATCH('Data Summary'!I81,PBC_ACCOUNT_LIST[Id],0)),"")</f>
        <v>Current Assets</v>
      </c>
      <c r="G81" s="277"/>
      <c r="H81" s="277" t="str">
        <f>IFERROR(INDEX(PBC_ACCOUNT_LIST[Cash Flow Section],MATCH('Data Summary'!I81,PBC_ACCOUNT_LIST[Id],0)),"")</f>
        <v>Cash from Operating Activities</v>
      </c>
      <c r="I81" s="277">
        <v>193</v>
      </c>
      <c r="J81" s="314"/>
      <c r="L81" s="313">
        <f>SUMIFS(Drivers!AN$71:AN$106,BSAcctIDs,$I81)</f>
        <v>0</v>
      </c>
      <c r="M81" s="313">
        <f>SUMIFS(Drivers!AO$71:AO$106,BSAcctIDs,$I81)</f>
        <v>3970</v>
      </c>
      <c r="N81" s="313">
        <f>SUMIFS(Drivers!AP$71:AP$106,BSAcctIDs,$I81)</f>
        <v>1333.5</v>
      </c>
      <c r="O81" s="313">
        <f>SUMIFS(Drivers!AQ$71:AQ$106,BSAcctIDs,$I81)</f>
        <v>623.5</v>
      </c>
      <c r="P81" s="313">
        <f>SUMIFS(Drivers!AR$71:AR$106,BSAcctIDs,$I81)</f>
        <v>6437.5</v>
      </c>
      <c r="Q81" s="313">
        <f>SUMIFS(Drivers!AS$71:AS$106,BSAcctIDs,$I81)</f>
        <v>1713</v>
      </c>
      <c r="R81" s="313">
        <f>SUMIFS(Drivers!AT$71:AT$106,BSAcctIDs,$I81)</f>
        <v>6402</v>
      </c>
      <c r="S81" s="313">
        <f>SUMIFS(Drivers!AU$71:AU$106,BSAcctIDs,$I81)</f>
        <v>2773.5</v>
      </c>
      <c r="T81" s="313">
        <f>SUMIFS(Drivers!AV$71:AV$106,BSAcctIDs,$I81)</f>
        <v>5752.5</v>
      </c>
      <c r="U81" s="313">
        <f>SUMIFS(Drivers!AW$71:AW$106,BSAcctIDs,$I81)</f>
        <v>6222.5</v>
      </c>
      <c r="V81" s="313">
        <f>SUMIFS(Drivers!AX$71:AX$106,BSAcctIDs,$I81)</f>
        <v>1119.5</v>
      </c>
      <c r="W81" s="313">
        <f>SUMIFS(Drivers!AY$71:AY$106,BSAcctIDs,$I81)</f>
        <v>1119.5</v>
      </c>
      <c r="X81" s="313">
        <f>SUMIFS(Drivers!AZ$71:AZ$106,BSAcctIDs,$I81)</f>
        <v>1119.5</v>
      </c>
      <c r="Y81" s="313">
        <f>SUMIFS(Drivers!BA$71:BA$106,BSAcctIDs,$I81)</f>
        <v>1119.5</v>
      </c>
      <c r="Z81" s="313">
        <f>SUMIFS(Drivers!BB$71:BB$106,BSAcctIDs,$I81)</f>
        <v>1119.5</v>
      </c>
      <c r="AA81" s="313">
        <f>SUMIFS(Drivers!BC$71:BC$106,BSAcctIDs,$I81)</f>
        <v>1119.5</v>
      </c>
      <c r="AB81" s="313">
        <f>SUMIFS(Drivers!BD$71:BD$106,BSAcctIDs,$I81)</f>
        <v>1119.5</v>
      </c>
      <c r="AC81" s="313">
        <f>SUMIFS(Drivers!BE$71:BE$106,BSAcctIDs,$I81)</f>
        <v>1119.5</v>
      </c>
      <c r="AD81" s="313">
        <f>SUMIFS(Drivers!BF$71:BF$106,BSAcctIDs,$I81)</f>
        <v>1119.5</v>
      </c>
      <c r="AE81" s="313">
        <f>SUMIFS(Drivers!BG$71:BG$106,BSAcctIDs,$I81)</f>
        <v>1119.5</v>
      </c>
      <c r="AF81" s="313">
        <f>SUMIFS(Drivers!BH$71:BH$106,BSAcctIDs,$I81)</f>
        <v>1119.5</v>
      </c>
      <c r="AG81" s="313">
        <f>SUMIFS(Drivers!BI$71:BI$106,BSAcctIDs,$I81)</f>
        <v>1119.5</v>
      </c>
      <c r="AH81" s="313">
        <f>SUMIFS(Drivers!BJ$71:BJ$106,BSAcctIDs,$I81)</f>
        <v>1119.5</v>
      </c>
      <c r="AI81" s="313">
        <f>SUMIFS(Drivers!BK$71:BK$106,BSAcctIDs,$I81)</f>
        <v>1119.5</v>
      </c>
      <c r="AJ81" s="313">
        <f>SUMIFS(Drivers!BL$71:BL$106,BSAcctIDs,$I81)</f>
        <v>1119.5</v>
      </c>
      <c r="AK81" s="313">
        <f>SUMIFS(Drivers!BM$71:BM$106,BSAcctIDs,$I81)</f>
        <v>1119.5</v>
      </c>
      <c r="AL81" s="313">
        <f>SUMIFS(Drivers!BN$71:BN$106,BSAcctIDs,$I81)</f>
        <v>1119.5</v>
      </c>
      <c r="AM81" s="313">
        <f>SUMIFS(Drivers!BO$71:BO$106,BSAcctIDs,$I81)</f>
        <v>1119.5</v>
      </c>
      <c r="AN81" s="313">
        <f>SUMIFS(Drivers!BP$71:BP$106,BSAcctIDs,$I81)</f>
        <v>1119.5</v>
      </c>
      <c r="AO81" s="313">
        <f>SUMIFS(Drivers!BQ$71:BQ$106,BSAcctIDs,$I81)</f>
        <v>1119.5</v>
      </c>
      <c r="AP81" s="313">
        <f>SUMIFS(Drivers!BR$71:BR$106,BSAcctIDs,$I81)</f>
        <v>1119.5</v>
      </c>
      <c r="AQ81" s="313">
        <f>SUMIFS(Drivers!BS$71:BS$106,BSAcctIDs,$I81)</f>
        <v>-680.5</v>
      </c>
      <c r="AR81" s="313">
        <f>SUMIFS(Drivers!BT$71:BT$106,BSAcctIDs,$I81)</f>
        <v>-680.5</v>
      </c>
      <c r="AS81" s="313">
        <f>SUMIFS(Drivers!BU$71:BU$106,BSAcctIDs,$I81)</f>
        <v>-680.5</v>
      </c>
      <c r="AT81" s="313">
        <f>SUMIFS(Drivers!BV$71:BV$106,BSAcctIDs,$I81)</f>
        <v>-680.5</v>
      </c>
      <c r="AU81" s="313">
        <f>SUMIFS(Drivers!BW$71:BW$106,BSAcctIDs,$I81)</f>
        <v>-5730.5</v>
      </c>
      <c r="AV81" s="313">
        <f>SUMIFS(Drivers!BX$71:BX$106,BSAcctIDs,$I81)</f>
        <v>-5730.5</v>
      </c>
      <c r="AW81" s="313">
        <f>SUMIFS(Drivers!BY$71:BY$106,BSAcctIDs,$I81)</f>
        <v>-5730.5</v>
      </c>
      <c r="AX81" s="313">
        <f>SUMIFS(Drivers!BZ$71:BZ$106,BSAcctIDs,$I81)</f>
        <v>-5730.5</v>
      </c>
      <c r="AY81" s="313">
        <f>SUMIFS(Drivers!CA$71:CA$106,BSAcctIDs,$I81)</f>
        <v>-5730.5</v>
      </c>
      <c r="AZ81" s="313">
        <f>SUMIFS(Drivers!CB$71:CB$106,BSAcctIDs,$I81)</f>
        <v>-5730.5</v>
      </c>
      <c r="BA81" s="313">
        <f>SUMIFS(Drivers!CC$71:CC$106,BSAcctIDs,$I81)</f>
        <v>-5730.5</v>
      </c>
      <c r="BB81" s="313">
        <f>SUMIFS(Drivers!CD$71:CD$106,BSAcctIDs,$I81)</f>
        <v>-5730.5</v>
      </c>
      <c r="BC81" s="313">
        <f>SUMIFS(Drivers!CE$71:CE$106,BSAcctIDs,$I81)</f>
        <v>-5730.5</v>
      </c>
      <c r="BD81" s="313">
        <f>SUMIFS(Drivers!CF$71:CF$106,BSAcctIDs,$I81)</f>
        <v>-5730.5</v>
      </c>
      <c r="BE81" s="313">
        <f>SUMIFS(Drivers!CG$71:CG$106,BSAcctIDs,$I81)</f>
        <v>-5730.5</v>
      </c>
      <c r="BF81" s="313">
        <f>SUMIFS(Drivers!CH$71:CH$106,BSAcctIDs,$I81)</f>
        <v>-5730.5</v>
      </c>
      <c r="BG81" s="313">
        <f>SUMIFS(Drivers!CI$71:CI$106,BSAcctIDs,$I81)</f>
        <v>-5730.5</v>
      </c>
      <c r="BH81" s="313">
        <f>SUMIFS(Drivers!CJ$71:CJ$106,BSAcctIDs,$I81)</f>
        <v>-5730.5</v>
      </c>
    </row>
    <row r="82" spans="2:60" ht="19.5" customHeight="1" outlineLevel="1">
      <c r="B82" s="284"/>
      <c r="C82" s="315"/>
      <c r="D82" s="288" t="s">
        <v>283</v>
      </c>
      <c r="E82" s="277" t="str">
        <f>IFERROR(INDEX(PBC_ACCOUNT_LIST[Drivers Section],MATCH('Data Summary'!I82,PBC_ACCOUNT_LIST[Id],0)),"")</f>
        <v>Assets</v>
      </c>
      <c r="F82" s="277" t="str">
        <f>IFERROR(INDEX(PBC_ACCOUNT_LIST[Summary Grouping],MATCH('Data Summary'!I82,PBC_ACCOUNT_LIST[Id],0)),"")</f>
        <v>Current Assets</v>
      </c>
      <c r="G82" s="277"/>
      <c r="H82" s="277" t="str">
        <f>IFERROR(INDEX(PBC_ACCOUNT_LIST[Cash Flow Section],MATCH('Data Summary'!I82,PBC_ACCOUNT_LIST[Id],0)),"")</f>
        <v>Cash from Operating Activities</v>
      </c>
      <c r="I82" s="277">
        <v>150</v>
      </c>
      <c r="J82" s="314"/>
      <c r="L82" s="313">
        <f>SUMIFS(Drivers!AN$71:AN$106,BSAcctIDs,$I82)</f>
        <v>0</v>
      </c>
      <c r="M82" s="313">
        <f>SUMIFS(Drivers!AO$71:AO$106,BSAcctIDs,$I82)</f>
        <v>25000</v>
      </c>
      <c r="N82" s="313">
        <f>SUMIFS(Drivers!AP$71:AP$106,BSAcctIDs,$I82)</f>
        <v>25000</v>
      </c>
      <c r="O82" s="313">
        <f>SUMIFS(Drivers!AQ$71:AQ$106,BSAcctIDs,$I82)</f>
        <v>25000</v>
      </c>
      <c r="P82" s="313">
        <f>SUMIFS(Drivers!AR$71:AR$106,BSAcctIDs,$I82)</f>
        <v>25000</v>
      </c>
      <c r="Q82" s="313">
        <f>SUMIFS(Drivers!AS$71:AS$106,BSAcctIDs,$I82)</f>
        <v>25000</v>
      </c>
      <c r="R82" s="313">
        <f>SUMIFS(Drivers!AT$71:AT$106,BSAcctIDs,$I82)</f>
        <v>25000</v>
      </c>
      <c r="S82" s="313">
        <f>SUMIFS(Drivers!AU$71:AU$106,BSAcctIDs,$I82)</f>
        <v>25000</v>
      </c>
      <c r="T82" s="313">
        <f>SUMIFS(Drivers!AV$71:AV$106,BSAcctIDs,$I82)</f>
        <v>25000</v>
      </c>
      <c r="U82" s="313">
        <f>SUMIFS(Drivers!AW$71:AW$106,BSAcctIDs,$I82)</f>
        <v>25000</v>
      </c>
      <c r="V82" s="313">
        <f>SUMIFS(Drivers!AX$71:AX$106,BSAcctIDs,$I82)</f>
        <v>25000</v>
      </c>
      <c r="W82" s="313">
        <f>SUMIFS(Drivers!AY$71:AY$106,BSAcctIDs,$I82)</f>
        <v>25000</v>
      </c>
      <c r="X82" s="313">
        <f>SUMIFS(Drivers!AZ$71:AZ$106,BSAcctIDs,$I82)</f>
        <v>25000</v>
      </c>
      <c r="Y82" s="313">
        <f>SUMIFS(Drivers!BA$71:BA$106,BSAcctIDs,$I82)</f>
        <v>25000</v>
      </c>
      <c r="Z82" s="313">
        <f>SUMIFS(Drivers!BB$71:BB$106,BSAcctIDs,$I82)</f>
        <v>25000</v>
      </c>
      <c r="AA82" s="313">
        <f>SUMIFS(Drivers!BC$71:BC$106,BSAcctIDs,$I82)</f>
        <v>25000</v>
      </c>
      <c r="AB82" s="313">
        <f>SUMIFS(Drivers!BD$71:BD$106,BSAcctIDs,$I82)</f>
        <v>25000</v>
      </c>
      <c r="AC82" s="313">
        <f>SUMIFS(Drivers!BE$71:BE$106,BSAcctIDs,$I82)</f>
        <v>25000</v>
      </c>
      <c r="AD82" s="313">
        <f>SUMIFS(Drivers!BF$71:BF$106,BSAcctIDs,$I82)</f>
        <v>25000</v>
      </c>
      <c r="AE82" s="313">
        <f>SUMIFS(Drivers!BG$71:BG$106,BSAcctIDs,$I82)</f>
        <v>25000</v>
      </c>
      <c r="AF82" s="313">
        <f>SUMIFS(Drivers!BH$71:BH$106,BSAcctIDs,$I82)</f>
        <v>25000</v>
      </c>
      <c r="AG82" s="313">
        <f>SUMIFS(Drivers!BI$71:BI$106,BSAcctIDs,$I82)</f>
        <v>25000</v>
      </c>
      <c r="AH82" s="313">
        <f>SUMIFS(Drivers!BJ$71:BJ$106,BSAcctIDs,$I82)</f>
        <v>25000</v>
      </c>
      <c r="AI82" s="313">
        <f>SUMIFS(Drivers!BK$71:BK$106,BSAcctIDs,$I82)</f>
        <v>25000</v>
      </c>
      <c r="AJ82" s="313">
        <f>SUMIFS(Drivers!BL$71:BL$106,BSAcctIDs,$I82)</f>
        <v>25000</v>
      </c>
      <c r="AK82" s="313">
        <f>SUMIFS(Drivers!BM$71:BM$106,BSAcctIDs,$I82)</f>
        <v>25000</v>
      </c>
      <c r="AL82" s="313">
        <f>SUMIFS(Drivers!BN$71:BN$106,BSAcctIDs,$I82)</f>
        <v>25000</v>
      </c>
      <c r="AM82" s="313">
        <f>SUMIFS(Drivers!BO$71:BO$106,BSAcctIDs,$I82)</f>
        <v>25000</v>
      </c>
      <c r="AN82" s="313">
        <f>SUMIFS(Drivers!BP$71:BP$106,BSAcctIDs,$I82)</f>
        <v>25000</v>
      </c>
      <c r="AO82" s="313">
        <f>SUMIFS(Drivers!BQ$71:BQ$106,BSAcctIDs,$I82)</f>
        <v>25000</v>
      </c>
      <c r="AP82" s="313">
        <f>SUMIFS(Drivers!BR$71:BR$106,BSAcctIDs,$I82)</f>
        <v>25000</v>
      </c>
      <c r="AQ82" s="313">
        <f>SUMIFS(Drivers!BS$71:BS$106,BSAcctIDs,$I82)</f>
        <v>25000</v>
      </c>
      <c r="AR82" s="313">
        <f>SUMIFS(Drivers!BT$71:BT$106,BSAcctIDs,$I82)</f>
        <v>25000</v>
      </c>
      <c r="AS82" s="313">
        <f>SUMIFS(Drivers!BU$71:BU$106,BSAcctIDs,$I82)</f>
        <v>25000</v>
      </c>
      <c r="AT82" s="313">
        <f>SUMIFS(Drivers!BV$71:BV$106,BSAcctIDs,$I82)</f>
        <v>25000</v>
      </c>
      <c r="AU82" s="313">
        <f>SUMIFS(Drivers!BW$71:BW$106,BSAcctIDs,$I82)</f>
        <v>25000</v>
      </c>
      <c r="AV82" s="313">
        <f>SUMIFS(Drivers!BX$71:BX$106,BSAcctIDs,$I82)</f>
        <v>25000</v>
      </c>
      <c r="AW82" s="313">
        <f>SUMIFS(Drivers!BY$71:BY$106,BSAcctIDs,$I82)</f>
        <v>25000</v>
      </c>
      <c r="AX82" s="313">
        <f>SUMIFS(Drivers!BZ$71:BZ$106,BSAcctIDs,$I82)</f>
        <v>25000</v>
      </c>
      <c r="AY82" s="313">
        <f>SUMIFS(Drivers!CA$71:CA$106,BSAcctIDs,$I82)</f>
        <v>25000</v>
      </c>
      <c r="AZ82" s="313">
        <f>SUMIFS(Drivers!CB$71:CB$106,BSAcctIDs,$I82)</f>
        <v>25000</v>
      </c>
      <c r="BA82" s="313">
        <f>SUMIFS(Drivers!CC$71:CC$106,BSAcctIDs,$I82)</f>
        <v>25000</v>
      </c>
      <c r="BB82" s="313">
        <f>SUMIFS(Drivers!CD$71:CD$106,BSAcctIDs,$I82)</f>
        <v>25000</v>
      </c>
      <c r="BC82" s="313">
        <f>SUMIFS(Drivers!CE$71:CE$106,BSAcctIDs,$I82)</f>
        <v>25000</v>
      </c>
      <c r="BD82" s="313">
        <f>SUMIFS(Drivers!CF$71:CF$106,BSAcctIDs,$I82)</f>
        <v>25000</v>
      </c>
      <c r="BE82" s="313">
        <f>SUMIFS(Drivers!CG$71:CG$106,BSAcctIDs,$I82)</f>
        <v>25000</v>
      </c>
      <c r="BF82" s="313">
        <f>SUMIFS(Drivers!CH$71:CH$106,BSAcctIDs,$I82)</f>
        <v>25000</v>
      </c>
      <c r="BG82" s="313">
        <f>SUMIFS(Drivers!CI$71:CI$106,BSAcctIDs,$I82)</f>
        <v>25000</v>
      </c>
      <c r="BH82" s="313">
        <f>SUMIFS(Drivers!CJ$71:CJ$106,BSAcctIDs,$I82)</f>
        <v>25000</v>
      </c>
    </row>
    <row r="83" spans="2:60" ht="19.5" customHeight="1" outlineLevel="1">
      <c r="B83" s="284"/>
      <c r="C83" s="315"/>
      <c r="D83" s="288" t="s">
        <v>284</v>
      </c>
      <c r="E83" s="277" t="str">
        <f>IFERROR(INDEX(PBC_ACCOUNT_LIST[Drivers Section],MATCH('Data Summary'!I83,PBC_ACCOUNT_LIST[Id],0)),"")</f>
        <v>Assets</v>
      </c>
      <c r="F83" s="277" t="str">
        <f>IFERROR(INDEX(PBC_ACCOUNT_LIST[Summary Grouping],MATCH('Data Summary'!I83,PBC_ACCOUNT_LIST[Id],0)),"")</f>
        <v>Other Current Assets</v>
      </c>
      <c r="G83" s="277"/>
      <c r="H83" s="277" t="str">
        <f>IFERROR(INDEX(PBC_ACCOUNT_LIST[Cash Flow Section],MATCH('Data Summary'!I83,PBC_ACCOUNT_LIST[Id],0)),"")</f>
        <v>Cash from Operating Activities</v>
      </c>
      <c r="I83" s="277">
        <v>151</v>
      </c>
      <c r="J83" s="314"/>
      <c r="L83" s="313">
        <f>SUMIFS(Drivers!AN$71:AN$106,BSAcctIDs,$I83)</f>
        <v>0</v>
      </c>
      <c r="M83" s="313">
        <f>SUMIFS(Drivers!AO$71:AO$106,BSAcctIDs,$I83)</f>
        <v>0</v>
      </c>
      <c r="N83" s="313">
        <f>SUMIFS(Drivers!AP$71:AP$106,BSAcctIDs,$I83)</f>
        <v>0</v>
      </c>
      <c r="O83" s="313">
        <f>SUMIFS(Drivers!AQ$71:AQ$106,BSAcctIDs,$I83)</f>
        <v>0</v>
      </c>
      <c r="P83" s="313">
        <f>SUMIFS(Drivers!AR$71:AR$106,BSAcctIDs,$I83)</f>
        <v>0</v>
      </c>
      <c r="Q83" s="313">
        <f>SUMIFS(Drivers!AS$71:AS$106,BSAcctIDs,$I83)</f>
        <v>0</v>
      </c>
      <c r="R83" s="313">
        <f>SUMIFS(Drivers!AT$71:AT$106,BSAcctIDs,$I83)</f>
        <v>0</v>
      </c>
      <c r="S83" s="313">
        <f>SUMIFS(Drivers!AU$71:AU$106,BSAcctIDs,$I83)</f>
        <v>0</v>
      </c>
      <c r="T83" s="313">
        <f>SUMIFS(Drivers!AV$71:AV$106,BSAcctIDs,$I83)</f>
        <v>0</v>
      </c>
      <c r="U83" s="313">
        <f>SUMIFS(Drivers!AW$71:AW$106,BSAcctIDs,$I83)</f>
        <v>0</v>
      </c>
      <c r="V83" s="313">
        <f>SUMIFS(Drivers!AX$71:AX$106,BSAcctIDs,$I83)</f>
        <v>0</v>
      </c>
      <c r="W83" s="313">
        <f>SUMIFS(Drivers!AY$71:AY$106,BSAcctIDs,$I83)</f>
        <v>0</v>
      </c>
      <c r="X83" s="313">
        <f>SUMIFS(Drivers!AZ$71:AZ$106,BSAcctIDs,$I83)</f>
        <v>0</v>
      </c>
      <c r="Y83" s="313">
        <f>SUMIFS(Drivers!BA$71:BA$106,BSAcctIDs,$I83)</f>
        <v>0</v>
      </c>
      <c r="Z83" s="313">
        <f>SUMIFS(Drivers!BB$71:BB$106,BSAcctIDs,$I83)</f>
        <v>0</v>
      </c>
      <c r="AA83" s="313">
        <f>SUMIFS(Drivers!BC$71:BC$106,BSAcctIDs,$I83)</f>
        <v>0</v>
      </c>
      <c r="AB83" s="313">
        <f>SUMIFS(Drivers!BD$71:BD$106,BSAcctIDs,$I83)</f>
        <v>0</v>
      </c>
      <c r="AC83" s="313">
        <f>SUMIFS(Drivers!BE$71:BE$106,BSAcctIDs,$I83)</f>
        <v>0</v>
      </c>
      <c r="AD83" s="313">
        <f>SUMIFS(Drivers!BF$71:BF$106,BSAcctIDs,$I83)</f>
        <v>0</v>
      </c>
      <c r="AE83" s="313">
        <f>SUMIFS(Drivers!BG$71:BG$106,BSAcctIDs,$I83)</f>
        <v>0</v>
      </c>
      <c r="AF83" s="313">
        <f>SUMIFS(Drivers!BH$71:BH$106,BSAcctIDs,$I83)</f>
        <v>0</v>
      </c>
      <c r="AG83" s="313">
        <f>SUMIFS(Drivers!BI$71:BI$106,BSAcctIDs,$I83)</f>
        <v>0</v>
      </c>
      <c r="AH83" s="313">
        <f>SUMIFS(Drivers!BJ$71:BJ$106,BSAcctIDs,$I83)</f>
        <v>0</v>
      </c>
      <c r="AI83" s="313">
        <f>SUMIFS(Drivers!BK$71:BK$106,BSAcctIDs,$I83)</f>
        <v>0</v>
      </c>
      <c r="AJ83" s="313">
        <f>SUMIFS(Drivers!BL$71:BL$106,BSAcctIDs,$I83)</f>
        <v>0</v>
      </c>
      <c r="AK83" s="313">
        <f>SUMIFS(Drivers!BM$71:BM$106,BSAcctIDs,$I83)</f>
        <v>0</v>
      </c>
      <c r="AL83" s="313">
        <f>SUMIFS(Drivers!BN$71:BN$106,BSAcctIDs,$I83)</f>
        <v>0</v>
      </c>
      <c r="AM83" s="313">
        <f>SUMIFS(Drivers!BO$71:BO$106,BSAcctIDs,$I83)</f>
        <v>0</v>
      </c>
      <c r="AN83" s="313">
        <f>SUMIFS(Drivers!BP$71:BP$106,BSAcctIDs,$I83)</f>
        <v>0</v>
      </c>
      <c r="AO83" s="313">
        <f>SUMIFS(Drivers!BQ$71:BQ$106,BSAcctIDs,$I83)</f>
        <v>0</v>
      </c>
      <c r="AP83" s="313">
        <f>SUMIFS(Drivers!BR$71:BR$106,BSAcctIDs,$I83)</f>
        <v>0</v>
      </c>
      <c r="AQ83" s="313">
        <f>SUMIFS(Drivers!BS$71:BS$106,BSAcctIDs,$I83)</f>
        <v>0</v>
      </c>
      <c r="AR83" s="313">
        <f>SUMIFS(Drivers!BT$71:BT$106,BSAcctIDs,$I83)</f>
        <v>0</v>
      </c>
      <c r="AS83" s="313">
        <f>SUMIFS(Drivers!BU$71:BU$106,BSAcctIDs,$I83)</f>
        <v>0</v>
      </c>
      <c r="AT83" s="313">
        <f>SUMIFS(Drivers!BV$71:BV$106,BSAcctIDs,$I83)</f>
        <v>0</v>
      </c>
      <c r="AU83" s="313">
        <f>SUMIFS(Drivers!BW$71:BW$106,BSAcctIDs,$I83)</f>
        <v>0</v>
      </c>
      <c r="AV83" s="313">
        <f>SUMIFS(Drivers!BX$71:BX$106,BSAcctIDs,$I83)</f>
        <v>0</v>
      </c>
      <c r="AW83" s="313">
        <f>SUMIFS(Drivers!BY$71:BY$106,BSAcctIDs,$I83)</f>
        <v>0</v>
      </c>
      <c r="AX83" s="313">
        <f>SUMIFS(Drivers!BZ$71:BZ$106,BSAcctIDs,$I83)</f>
        <v>0</v>
      </c>
      <c r="AY83" s="313">
        <f>SUMIFS(Drivers!CA$71:CA$106,BSAcctIDs,$I83)</f>
        <v>0</v>
      </c>
      <c r="AZ83" s="313">
        <f>SUMIFS(Drivers!CB$71:CB$106,BSAcctIDs,$I83)</f>
        <v>0</v>
      </c>
      <c r="BA83" s="313">
        <f>SUMIFS(Drivers!CC$71:CC$106,BSAcctIDs,$I83)</f>
        <v>0</v>
      </c>
      <c r="BB83" s="313">
        <f>SUMIFS(Drivers!CD$71:CD$106,BSAcctIDs,$I83)</f>
        <v>0</v>
      </c>
      <c r="BC83" s="313">
        <f>SUMIFS(Drivers!CE$71:CE$106,BSAcctIDs,$I83)</f>
        <v>0</v>
      </c>
      <c r="BD83" s="313">
        <f>SUMIFS(Drivers!CF$71:CF$106,BSAcctIDs,$I83)</f>
        <v>0</v>
      </c>
      <c r="BE83" s="313">
        <f>SUMIFS(Drivers!CG$71:CG$106,BSAcctIDs,$I83)</f>
        <v>0</v>
      </c>
      <c r="BF83" s="313">
        <f>SUMIFS(Drivers!CH$71:CH$106,BSAcctIDs,$I83)</f>
        <v>0</v>
      </c>
      <c r="BG83" s="313">
        <f>SUMIFS(Drivers!CI$71:CI$106,BSAcctIDs,$I83)</f>
        <v>0</v>
      </c>
      <c r="BH83" s="313">
        <f>SUMIFS(Drivers!CJ$71:CJ$106,BSAcctIDs,$I83)</f>
        <v>0</v>
      </c>
    </row>
    <row r="84" spans="2:60" ht="19.5" customHeight="1" outlineLevel="1">
      <c r="B84" s="284"/>
      <c r="C84" s="315"/>
      <c r="D84" s="288" t="s">
        <v>285</v>
      </c>
      <c r="E84" s="277" t="str">
        <f>IFERROR(INDEX(PBC_ACCOUNT_LIST[Drivers Section],MATCH('Data Summary'!I84,PBC_ACCOUNT_LIST[Id],0)),"")</f>
        <v>Assets</v>
      </c>
      <c r="F84" s="277" t="str">
        <f>IFERROR(INDEX(PBC_ACCOUNT_LIST[Summary Grouping],MATCH('Data Summary'!I84,PBC_ACCOUNT_LIST[Id],0)),"")</f>
        <v>Current Assets</v>
      </c>
      <c r="G84" s="277"/>
      <c r="H84" s="277" t="str">
        <f>IFERROR(INDEX(PBC_ACCOUNT_LIST[Cash Flow Section],MATCH('Data Summary'!I84,PBC_ACCOUNT_LIST[Id],0)),"")</f>
        <v>Cash from Operating Activities</v>
      </c>
      <c r="I84" s="277">
        <v>42</v>
      </c>
      <c r="J84" s="314"/>
      <c r="L84" s="313">
        <f>SUMIFS(Drivers!AN$71:AN$106,BSAcctIDs,$I84)</f>
        <v>0</v>
      </c>
      <c r="M84" s="313">
        <f>SUMIFS(Drivers!AO$71:AO$106,BSAcctIDs,$I84)</f>
        <v>0</v>
      </c>
      <c r="N84" s="313">
        <f>SUMIFS(Drivers!AP$71:AP$106,BSAcctIDs,$I84)</f>
        <v>0</v>
      </c>
      <c r="O84" s="313">
        <f>SUMIFS(Drivers!AQ$71:AQ$106,BSAcctIDs,$I84)</f>
        <v>0</v>
      </c>
      <c r="P84" s="313">
        <f>SUMIFS(Drivers!AR$71:AR$106,BSAcctIDs,$I84)</f>
        <v>0</v>
      </c>
      <c r="Q84" s="313">
        <f>SUMIFS(Drivers!AS$71:AS$106,BSAcctIDs,$I84)</f>
        <v>0</v>
      </c>
      <c r="R84" s="313">
        <f>SUMIFS(Drivers!AT$71:AT$106,BSAcctIDs,$I84)</f>
        <v>0</v>
      </c>
      <c r="S84" s="313">
        <f>SUMIFS(Drivers!AU$71:AU$106,BSAcctIDs,$I84)</f>
        <v>0</v>
      </c>
      <c r="T84" s="313">
        <f>SUMIFS(Drivers!AV$71:AV$106,BSAcctIDs,$I84)</f>
        <v>0</v>
      </c>
      <c r="U84" s="313">
        <f>SUMIFS(Drivers!AW$71:AW$106,BSAcctIDs,$I84)</f>
        <v>0</v>
      </c>
      <c r="V84" s="313">
        <f>SUMIFS(Drivers!AX$71:AX$106,BSAcctIDs,$I84)</f>
        <v>0</v>
      </c>
      <c r="W84" s="313">
        <f>SUMIFS(Drivers!AY$71:AY$106,BSAcctIDs,$I84)</f>
        <v>0</v>
      </c>
      <c r="X84" s="313">
        <f>SUMIFS(Drivers!AZ$71:AZ$106,BSAcctIDs,$I84)</f>
        <v>0</v>
      </c>
      <c r="Y84" s="313">
        <f>SUMIFS(Drivers!BA$71:BA$106,BSAcctIDs,$I84)</f>
        <v>0</v>
      </c>
      <c r="Z84" s="313">
        <f>SUMIFS(Drivers!BB$71:BB$106,BSAcctIDs,$I84)</f>
        <v>0</v>
      </c>
      <c r="AA84" s="313">
        <f>SUMIFS(Drivers!BC$71:BC$106,BSAcctIDs,$I84)</f>
        <v>0</v>
      </c>
      <c r="AB84" s="313">
        <f>SUMIFS(Drivers!BD$71:BD$106,BSAcctIDs,$I84)</f>
        <v>0</v>
      </c>
      <c r="AC84" s="313">
        <f>SUMIFS(Drivers!BE$71:BE$106,BSAcctIDs,$I84)</f>
        <v>0</v>
      </c>
      <c r="AD84" s="313">
        <f>SUMIFS(Drivers!BF$71:BF$106,BSAcctIDs,$I84)</f>
        <v>0</v>
      </c>
      <c r="AE84" s="313">
        <f>SUMIFS(Drivers!BG$71:BG$106,BSAcctIDs,$I84)</f>
        <v>0</v>
      </c>
      <c r="AF84" s="313">
        <f>SUMIFS(Drivers!BH$71:BH$106,BSAcctIDs,$I84)</f>
        <v>0</v>
      </c>
      <c r="AG84" s="313">
        <f>SUMIFS(Drivers!BI$71:BI$106,BSAcctIDs,$I84)</f>
        <v>0</v>
      </c>
      <c r="AH84" s="313">
        <f>SUMIFS(Drivers!BJ$71:BJ$106,BSAcctIDs,$I84)</f>
        <v>0</v>
      </c>
      <c r="AI84" s="313">
        <f>SUMIFS(Drivers!BK$71:BK$106,BSAcctIDs,$I84)</f>
        <v>0</v>
      </c>
      <c r="AJ84" s="313">
        <f>SUMIFS(Drivers!BL$71:BL$106,BSAcctIDs,$I84)</f>
        <v>0</v>
      </c>
      <c r="AK84" s="313">
        <f>SUMIFS(Drivers!BM$71:BM$106,BSAcctIDs,$I84)</f>
        <v>0</v>
      </c>
      <c r="AL84" s="313">
        <f>SUMIFS(Drivers!BN$71:BN$106,BSAcctIDs,$I84)</f>
        <v>0</v>
      </c>
      <c r="AM84" s="313">
        <f>SUMIFS(Drivers!BO$71:BO$106,BSAcctIDs,$I84)</f>
        <v>0</v>
      </c>
      <c r="AN84" s="313">
        <f>SUMIFS(Drivers!BP$71:BP$106,BSAcctIDs,$I84)</f>
        <v>0</v>
      </c>
      <c r="AO84" s="313">
        <f>SUMIFS(Drivers!BQ$71:BQ$106,BSAcctIDs,$I84)</f>
        <v>0</v>
      </c>
      <c r="AP84" s="313">
        <f>SUMIFS(Drivers!BR$71:BR$106,BSAcctIDs,$I84)</f>
        <v>-300</v>
      </c>
      <c r="AQ84" s="313">
        <f>SUMIFS(Drivers!BS$71:BS$106,BSAcctIDs,$I84)</f>
        <v>700</v>
      </c>
      <c r="AR84" s="313">
        <f>SUMIFS(Drivers!BT$71:BT$106,BSAcctIDs,$I84)</f>
        <v>700</v>
      </c>
      <c r="AS84" s="313">
        <f>SUMIFS(Drivers!BU$71:BU$106,BSAcctIDs,$I84)</f>
        <v>700</v>
      </c>
      <c r="AT84" s="313">
        <f>SUMIFS(Drivers!BV$71:BV$106,BSAcctIDs,$I84)</f>
        <v>700</v>
      </c>
      <c r="AU84" s="313">
        <f>SUMIFS(Drivers!BW$71:BW$106,BSAcctIDs,$I84)</f>
        <v>700</v>
      </c>
      <c r="AV84" s="313">
        <f>SUMIFS(Drivers!BX$71:BX$106,BSAcctIDs,$I84)</f>
        <v>700</v>
      </c>
      <c r="AW84" s="313">
        <f>SUMIFS(Drivers!BY$71:BY$106,BSAcctIDs,$I84)</f>
        <v>700</v>
      </c>
      <c r="AX84" s="313">
        <f>SUMIFS(Drivers!BZ$71:BZ$106,BSAcctIDs,$I84)</f>
        <v>700</v>
      </c>
      <c r="AY84" s="313">
        <f>SUMIFS(Drivers!CA$71:CA$106,BSAcctIDs,$I84)</f>
        <v>700</v>
      </c>
      <c r="AZ84" s="313">
        <f>SUMIFS(Drivers!CB$71:CB$106,BSAcctIDs,$I84)</f>
        <v>700</v>
      </c>
      <c r="BA84" s="313">
        <f>SUMIFS(Drivers!CC$71:CC$106,BSAcctIDs,$I84)</f>
        <v>700</v>
      </c>
      <c r="BB84" s="313">
        <f>SUMIFS(Drivers!CD$71:CD$106,BSAcctIDs,$I84)</f>
        <v>700</v>
      </c>
      <c r="BC84" s="313">
        <f>SUMIFS(Drivers!CE$71:CE$106,BSAcctIDs,$I84)</f>
        <v>700</v>
      </c>
      <c r="BD84" s="313">
        <f>SUMIFS(Drivers!CF$71:CF$106,BSAcctIDs,$I84)</f>
        <v>700</v>
      </c>
      <c r="BE84" s="313">
        <f>SUMIFS(Drivers!CG$71:CG$106,BSAcctIDs,$I84)</f>
        <v>700</v>
      </c>
      <c r="BF84" s="313">
        <f>SUMIFS(Drivers!CH$71:CH$106,BSAcctIDs,$I84)</f>
        <v>700</v>
      </c>
      <c r="BG84" s="313">
        <f>SUMIFS(Drivers!CI$71:CI$106,BSAcctIDs,$I84)</f>
        <v>700</v>
      </c>
      <c r="BH84" s="313">
        <f>SUMIFS(Drivers!CJ$71:CJ$106,BSAcctIDs,$I84)</f>
        <v>700</v>
      </c>
    </row>
    <row r="85" spans="2:60" ht="19.5" customHeight="1" outlineLevel="1">
      <c r="B85" s="284"/>
      <c r="C85" s="315"/>
      <c r="D85" s="288" t="s">
        <v>290</v>
      </c>
      <c r="E85" s="277" t="str">
        <f>IFERROR(INDEX(PBC_ACCOUNT_LIST[Drivers Section],MATCH('Data Summary'!I85,PBC_ACCOUNT_LIST[Id],0)),"")</f>
        <v>Assets</v>
      </c>
      <c r="F85" s="277" t="str">
        <f>IFERROR(INDEX(PBC_ACCOUNT_LIST[Summary Grouping],MATCH('Data Summary'!I85,PBC_ACCOUNT_LIST[Id],0)),"")</f>
        <v>Fixed Assets</v>
      </c>
      <c r="G85" s="277"/>
      <c r="H85" s="277" t="str">
        <f>IFERROR(INDEX(PBC_ACCOUNT_LIST[Cash Flow Section],MATCH('Data Summary'!I85,PBC_ACCOUNT_LIST[Id],0)),"")</f>
        <v>Cash From Investing Activities</v>
      </c>
      <c r="I85" s="277">
        <v>152</v>
      </c>
      <c r="J85" s="314"/>
      <c r="L85" s="313">
        <f>SUMIFS(Drivers!AN$71:AN$106,BSAcctIDs,$I85)</f>
        <v>0</v>
      </c>
      <c r="M85" s="313">
        <f>SUMIFS(Drivers!AO$71:AO$106,BSAcctIDs,$I85)</f>
        <v>2500</v>
      </c>
      <c r="N85" s="313">
        <f>SUMIFS(Drivers!AP$71:AP$106,BSAcctIDs,$I85)</f>
        <v>2500</v>
      </c>
      <c r="O85" s="313">
        <f>SUMIFS(Drivers!AQ$71:AQ$106,BSAcctIDs,$I85)</f>
        <v>5000</v>
      </c>
      <c r="P85" s="313">
        <f>SUMIFS(Drivers!AR$71:AR$106,BSAcctIDs,$I85)</f>
        <v>5000</v>
      </c>
      <c r="Q85" s="313">
        <f>SUMIFS(Drivers!AS$71:AS$106,BSAcctIDs,$I85)</f>
        <v>7500</v>
      </c>
      <c r="R85" s="313">
        <f>SUMIFS(Drivers!AT$71:AT$106,BSAcctIDs,$I85)</f>
        <v>7500</v>
      </c>
      <c r="S85" s="313">
        <f>SUMIFS(Drivers!AU$71:AU$106,BSAcctIDs,$I85)</f>
        <v>7500</v>
      </c>
      <c r="T85" s="313">
        <f>SUMIFS(Drivers!AV$71:AV$106,BSAcctIDs,$I85)</f>
        <v>10000</v>
      </c>
      <c r="U85" s="313">
        <f>SUMIFS(Drivers!AW$71:AW$106,BSAcctIDs,$I85)</f>
        <v>10000</v>
      </c>
      <c r="V85" s="313">
        <f>SUMIFS(Drivers!AX$71:AX$106,BSAcctIDs,$I85)</f>
        <v>10000</v>
      </c>
      <c r="W85" s="313">
        <f>SUMIFS(Drivers!AY$71:AY$106,BSAcctIDs,$I85)</f>
        <v>10000</v>
      </c>
      <c r="X85" s="313">
        <f>SUMIFS(Drivers!AZ$71:AZ$106,BSAcctIDs,$I85)</f>
        <v>10000</v>
      </c>
      <c r="Y85" s="313">
        <f>SUMIFS(Drivers!BA$71:BA$106,BSAcctIDs,$I85)</f>
        <v>15000</v>
      </c>
      <c r="Z85" s="313">
        <f>SUMIFS(Drivers!BB$71:BB$106,BSAcctIDs,$I85)</f>
        <v>15000</v>
      </c>
      <c r="AA85" s="313">
        <f>SUMIFS(Drivers!BC$71:BC$106,BSAcctIDs,$I85)</f>
        <v>15000</v>
      </c>
      <c r="AB85" s="313">
        <f>SUMIFS(Drivers!BD$71:BD$106,BSAcctIDs,$I85)</f>
        <v>15000</v>
      </c>
      <c r="AC85" s="313">
        <f>SUMIFS(Drivers!BE$71:BE$106,BSAcctIDs,$I85)</f>
        <v>15000</v>
      </c>
      <c r="AD85" s="313">
        <f>SUMIFS(Drivers!BF$71:BF$106,BSAcctIDs,$I85)</f>
        <v>15000</v>
      </c>
      <c r="AE85" s="313">
        <f>SUMIFS(Drivers!BG$71:BG$106,BSAcctIDs,$I85)</f>
        <v>15000</v>
      </c>
      <c r="AF85" s="313">
        <f>SUMIFS(Drivers!BH$71:BH$106,BSAcctIDs,$I85)</f>
        <v>15000</v>
      </c>
      <c r="AG85" s="313">
        <f>SUMIFS(Drivers!BI$71:BI$106,BSAcctIDs,$I85)</f>
        <v>15000</v>
      </c>
      <c r="AH85" s="313">
        <f>SUMIFS(Drivers!BJ$71:BJ$106,BSAcctIDs,$I85)</f>
        <v>15000</v>
      </c>
      <c r="AI85" s="313">
        <f>SUMIFS(Drivers!BK$71:BK$106,BSAcctIDs,$I85)</f>
        <v>15000</v>
      </c>
      <c r="AJ85" s="313">
        <f>SUMIFS(Drivers!BL$71:BL$106,BSAcctIDs,$I85)</f>
        <v>15000</v>
      </c>
      <c r="AK85" s="313">
        <f>SUMIFS(Drivers!BM$71:BM$106,BSAcctIDs,$I85)</f>
        <v>15000</v>
      </c>
      <c r="AL85" s="313">
        <f>SUMIFS(Drivers!BN$71:BN$106,BSAcctIDs,$I85)</f>
        <v>15000</v>
      </c>
      <c r="AM85" s="313">
        <f>SUMIFS(Drivers!BO$71:BO$106,BSAcctIDs,$I85)</f>
        <v>15000</v>
      </c>
      <c r="AN85" s="313">
        <f>SUMIFS(Drivers!BP$71:BP$106,BSAcctIDs,$I85)</f>
        <v>15000</v>
      </c>
      <c r="AO85" s="313">
        <f>SUMIFS(Drivers!BQ$71:BQ$106,BSAcctIDs,$I85)</f>
        <v>15000</v>
      </c>
      <c r="AP85" s="313">
        <f>SUMIFS(Drivers!BR$71:BR$106,BSAcctIDs,$I85)</f>
        <v>15000</v>
      </c>
      <c r="AQ85" s="313">
        <f>SUMIFS(Drivers!BS$71:BS$106,BSAcctIDs,$I85)</f>
        <v>15000</v>
      </c>
      <c r="AR85" s="313">
        <f>SUMIFS(Drivers!BT$71:BT$106,BSAcctIDs,$I85)</f>
        <v>15000</v>
      </c>
      <c r="AS85" s="313">
        <f>SUMIFS(Drivers!BU$71:BU$106,BSAcctIDs,$I85)</f>
        <v>15000</v>
      </c>
      <c r="AT85" s="313">
        <f>SUMIFS(Drivers!BV$71:BV$106,BSAcctIDs,$I85)</f>
        <v>15000</v>
      </c>
      <c r="AU85" s="313">
        <f>SUMIFS(Drivers!BW$71:BW$106,BSAcctIDs,$I85)</f>
        <v>15000</v>
      </c>
      <c r="AV85" s="313">
        <f>SUMIFS(Drivers!BX$71:BX$106,BSAcctIDs,$I85)</f>
        <v>35000</v>
      </c>
      <c r="AW85" s="313">
        <f>SUMIFS(Drivers!BY$71:BY$106,BSAcctIDs,$I85)</f>
        <v>35000</v>
      </c>
      <c r="AX85" s="313">
        <f>SUMIFS(Drivers!BZ$71:BZ$106,BSAcctIDs,$I85)</f>
        <v>35000</v>
      </c>
      <c r="AY85" s="313">
        <f>SUMIFS(Drivers!CA$71:CA$106,BSAcctIDs,$I85)</f>
        <v>35000</v>
      </c>
      <c r="AZ85" s="313">
        <f>SUMIFS(Drivers!CB$71:CB$106,BSAcctIDs,$I85)</f>
        <v>35000</v>
      </c>
      <c r="BA85" s="313">
        <f>SUMIFS(Drivers!CC$71:CC$106,BSAcctIDs,$I85)</f>
        <v>35000</v>
      </c>
      <c r="BB85" s="313">
        <f>SUMIFS(Drivers!CD$71:CD$106,BSAcctIDs,$I85)</f>
        <v>35000</v>
      </c>
      <c r="BC85" s="313">
        <f>SUMIFS(Drivers!CE$71:CE$106,BSAcctIDs,$I85)</f>
        <v>35000</v>
      </c>
      <c r="BD85" s="313">
        <f>SUMIFS(Drivers!CF$71:CF$106,BSAcctIDs,$I85)</f>
        <v>35000</v>
      </c>
      <c r="BE85" s="313">
        <f>SUMIFS(Drivers!CG$71:CG$106,BSAcctIDs,$I85)</f>
        <v>35000</v>
      </c>
      <c r="BF85" s="313">
        <f>SUMIFS(Drivers!CH$71:CH$106,BSAcctIDs,$I85)</f>
        <v>35000</v>
      </c>
      <c r="BG85" s="313">
        <f>SUMIFS(Drivers!CI$71:CI$106,BSAcctIDs,$I85)</f>
        <v>35000</v>
      </c>
      <c r="BH85" s="313">
        <f>SUMIFS(Drivers!CJ$71:CJ$106,BSAcctIDs,$I85)</f>
        <v>35000</v>
      </c>
    </row>
    <row r="86" spans="2:60" ht="19.5" customHeight="1" outlineLevel="1">
      <c r="B86" s="284"/>
      <c r="C86" s="315"/>
      <c r="D86" s="288" t="s">
        <v>291</v>
      </c>
      <c r="E86" s="277" t="str">
        <f>IFERROR(INDEX(PBC_ACCOUNT_LIST[Drivers Section],MATCH('Data Summary'!I86,PBC_ACCOUNT_LIST[Id],0)),"")</f>
        <v>Assets</v>
      </c>
      <c r="F86" s="277" t="str">
        <f>IFERROR(INDEX(PBC_ACCOUNT_LIST[Summary Grouping],MATCH('Data Summary'!I86,PBC_ACCOUNT_LIST[Id],0)),"")</f>
        <v>Fixed Assets</v>
      </c>
      <c r="G86" s="277"/>
      <c r="H86" s="277" t="str">
        <f>IFERROR(INDEX(PBC_ACCOUNT_LIST[Cash Flow Section],MATCH('Data Summary'!I86,PBC_ACCOUNT_LIST[Id],0)),"")</f>
        <v>Cash From Investing Activities</v>
      </c>
      <c r="I86" s="277">
        <v>153</v>
      </c>
      <c r="J86" s="314"/>
      <c r="L86" s="313">
        <f>SUMIFS(Drivers!AN$71:AN$106,BSAcctIDs,$I86)</f>
        <v>0</v>
      </c>
      <c r="M86" s="313">
        <f>SUMIFS(Drivers!AO$71:AO$106,BSAcctIDs,$I86)</f>
        <v>0</v>
      </c>
      <c r="N86" s="313">
        <f>SUMIFS(Drivers!AP$71:AP$106,BSAcctIDs,$I86)</f>
        <v>0</v>
      </c>
      <c r="O86" s="313">
        <f>SUMIFS(Drivers!AQ$71:AQ$106,BSAcctIDs,$I86)</f>
        <v>0</v>
      </c>
      <c r="P86" s="313">
        <f>SUMIFS(Drivers!AR$71:AR$106,BSAcctIDs,$I86)</f>
        <v>35000</v>
      </c>
      <c r="Q86" s="313">
        <f>SUMIFS(Drivers!AS$71:AS$106,BSAcctIDs,$I86)</f>
        <v>35000</v>
      </c>
      <c r="R86" s="313">
        <f>SUMIFS(Drivers!AT$71:AT$106,BSAcctIDs,$I86)</f>
        <v>35000</v>
      </c>
      <c r="S86" s="313">
        <f>SUMIFS(Drivers!AU$71:AU$106,BSAcctIDs,$I86)</f>
        <v>35000</v>
      </c>
      <c r="T86" s="313">
        <f>SUMIFS(Drivers!AV$71:AV$106,BSAcctIDs,$I86)</f>
        <v>35000</v>
      </c>
      <c r="U86" s="313">
        <f>SUMIFS(Drivers!AW$71:AW$106,BSAcctIDs,$I86)</f>
        <v>35000</v>
      </c>
      <c r="V86" s="313">
        <f>SUMIFS(Drivers!AX$71:AX$106,BSAcctIDs,$I86)</f>
        <v>35000</v>
      </c>
      <c r="W86" s="313">
        <f>SUMIFS(Drivers!AY$71:AY$106,BSAcctIDs,$I86)</f>
        <v>35000</v>
      </c>
      <c r="X86" s="313">
        <f>SUMIFS(Drivers!AZ$71:AZ$106,BSAcctIDs,$I86)</f>
        <v>35000</v>
      </c>
      <c r="Y86" s="313">
        <f>SUMIFS(Drivers!BA$71:BA$106,BSAcctIDs,$I86)</f>
        <v>45000</v>
      </c>
      <c r="Z86" s="313">
        <f>SUMIFS(Drivers!BB$71:BB$106,BSAcctIDs,$I86)</f>
        <v>35000</v>
      </c>
      <c r="AA86" s="313">
        <f>SUMIFS(Drivers!BC$71:BC$106,BSAcctIDs,$I86)</f>
        <v>35000</v>
      </c>
      <c r="AB86" s="313">
        <f>SUMIFS(Drivers!BD$71:BD$106,BSAcctIDs,$I86)</f>
        <v>35000</v>
      </c>
      <c r="AC86" s="313">
        <f>SUMIFS(Drivers!BE$71:BE$106,BSAcctIDs,$I86)</f>
        <v>35000</v>
      </c>
      <c r="AD86" s="313">
        <f>SUMIFS(Drivers!BF$71:BF$106,BSAcctIDs,$I86)</f>
        <v>35000</v>
      </c>
      <c r="AE86" s="313">
        <f>SUMIFS(Drivers!BG$71:BG$106,BSAcctIDs,$I86)</f>
        <v>35000</v>
      </c>
      <c r="AF86" s="313">
        <f>SUMIFS(Drivers!BH$71:BH$106,BSAcctIDs,$I86)</f>
        <v>35000</v>
      </c>
      <c r="AG86" s="313">
        <f>SUMIFS(Drivers!BI$71:BI$106,BSAcctIDs,$I86)</f>
        <v>35000</v>
      </c>
      <c r="AH86" s="313">
        <f>SUMIFS(Drivers!BJ$71:BJ$106,BSAcctIDs,$I86)</f>
        <v>35000</v>
      </c>
      <c r="AI86" s="313">
        <f>SUMIFS(Drivers!BK$71:BK$106,BSAcctIDs,$I86)</f>
        <v>35000</v>
      </c>
      <c r="AJ86" s="313">
        <f>SUMIFS(Drivers!BL$71:BL$106,BSAcctIDs,$I86)</f>
        <v>35000</v>
      </c>
      <c r="AK86" s="313">
        <f>SUMIFS(Drivers!BM$71:BM$106,BSAcctIDs,$I86)</f>
        <v>35000</v>
      </c>
      <c r="AL86" s="313">
        <f>SUMIFS(Drivers!BN$71:BN$106,BSAcctIDs,$I86)</f>
        <v>35000</v>
      </c>
      <c r="AM86" s="313">
        <f>SUMIFS(Drivers!BO$71:BO$106,BSAcctIDs,$I86)</f>
        <v>35000</v>
      </c>
      <c r="AN86" s="313">
        <f>SUMIFS(Drivers!BP$71:BP$106,BSAcctIDs,$I86)</f>
        <v>35000</v>
      </c>
      <c r="AO86" s="313">
        <f>SUMIFS(Drivers!BQ$71:BQ$106,BSAcctIDs,$I86)</f>
        <v>35000</v>
      </c>
      <c r="AP86" s="313">
        <f>SUMIFS(Drivers!BR$71:BR$106,BSAcctIDs,$I86)</f>
        <v>35000</v>
      </c>
      <c r="AQ86" s="313">
        <f>SUMIFS(Drivers!BS$71:BS$106,BSAcctIDs,$I86)</f>
        <v>35000</v>
      </c>
      <c r="AR86" s="313">
        <f>SUMIFS(Drivers!BT$71:BT$106,BSAcctIDs,$I86)</f>
        <v>35000</v>
      </c>
      <c r="AS86" s="313">
        <f>SUMIFS(Drivers!BU$71:BU$106,BSAcctIDs,$I86)</f>
        <v>35000</v>
      </c>
      <c r="AT86" s="313">
        <f>SUMIFS(Drivers!BV$71:BV$106,BSAcctIDs,$I86)</f>
        <v>35000</v>
      </c>
      <c r="AU86" s="313">
        <f>SUMIFS(Drivers!BW$71:BW$106,BSAcctIDs,$I86)</f>
        <v>35000</v>
      </c>
      <c r="AV86" s="313">
        <f>SUMIFS(Drivers!BX$71:BX$106,BSAcctIDs,$I86)</f>
        <v>35000</v>
      </c>
      <c r="AW86" s="313">
        <f>SUMIFS(Drivers!BY$71:BY$106,BSAcctIDs,$I86)</f>
        <v>35000</v>
      </c>
      <c r="AX86" s="313">
        <f>SUMIFS(Drivers!BZ$71:BZ$106,BSAcctIDs,$I86)</f>
        <v>35000</v>
      </c>
      <c r="AY86" s="313">
        <f>SUMIFS(Drivers!CA$71:CA$106,BSAcctIDs,$I86)</f>
        <v>35000</v>
      </c>
      <c r="AZ86" s="313">
        <f>SUMIFS(Drivers!CB$71:CB$106,BSAcctIDs,$I86)</f>
        <v>35000</v>
      </c>
      <c r="BA86" s="313">
        <f>SUMIFS(Drivers!CC$71:CC$106,BSAcctIDs,$I86)</f>
        <v>50000</v>
      </c>
      <c r="BB86" s="313">
        <f>SUMIFS(Drivers!CD$71:CD$106,BSAcctIDs,$I86)</f>
        <v>50000</v>
      </c>
      <c r="BC86" s="313">
        <f>SUMIFS(Drivers!CE$71:CE$106,BSAcctIDs,$I86)</f>
        <v>50000</v>
      </c>
      <c r="BD86" s="313">
        <f>SUMIFS(Drivers!CF$71:CF$106,BSAcctIDs,$I86)</f>
        <v>50000</v>
      </c>
      <c r="BE86" s="313">
        <f>SUMIFS(Drivers!CG$71:CG$106,BSAcctIDs,$I86)</f>
        <v>50000</v>
      </c>
      <c r="BF86" s="313">
        <f>SUMIFS(Drivers!CH$71:CH$106,BSAcctIDs,$I86)</f>
        <v>50000</v>
      </c>
      <c r="BG86" s="313">
        <f>SUMIFS(Drivers!CI$71:CI$106,BSAcctIDs,$I86)</f>
        <v>50000</v>
      </c>
      <c r="BH86" s="313">
        <f>SUMIFS(Drivers!CJ$71:CJ$106,BSAcctIDs,$I86)</f>
        <v>50000</v>
      </c>
    </row>
    <row r="87" spans="2:60" ht="19.5" customHeight="1" outlineLevel="1">
      <c r="B87" s="284"/>
      <c r="C87" s="315"/>
      <c r="D87" s="288" t="s">
        <v>292</v>
      </c>
      <c r="E87" s="277" t="str">
        <f>IFERROR(INDEX(PBC_ACCOUNT_LIST[Drivers Section],MATCH('Data Summary'!I87,PBC_ACCOUNT_LIST[Id],0)),"")</f>
        <v>Assets</v>
      </c>
      <c r="F87" s="277" t="str">
        <f>IFERROR(INDEX(PBC_ACCOUNT_LIST[Summary Grouping],MATCH('Data Summary'!I87,PBC_ACCOUNT_LIST[Id],0)),"")</f>
        <v>Fixed Assets</v>
      </c>
      <c r="G87" s="277"/>
      <c r="H87" s="277" t="str">
        <f>IFERROR(INDEX(PBC_ACCOUNT_LIST[Cash Flow Section],MATCH('Data Summary'!I87,PBC_ACCOUNT_LIST[Id],0)),"")</f>
        <v>Cash From Investing Activities</v>
      </c>
      <c r="I87" s="277">
        <v>154</v>
      </c>
      <c r="J87" s="314"/>
      <c r="L87" s="313">
        <f>SUMIFS(Drivers!AN$71:AN$106,BSAcctIDs,$I87)</f>
        <v>0</v>
      </c>
      <c r="M87" s="313">
        <f>SUMIFS(Drivers!AO$71:AO$106,BSAcctIDs,$I87)</f>
        <v>0</v>
      </c>
      <c r="N87" s="313">
        <f>SUMIFS(Drivers!AP$71:AP$106,BSAcctIDs,$I87)</f>
        <v>0</v>
      </c>
      <c r="O87" s="313">
        <f>SUMIFS(Drivers!AQ$71:AQ$106,BSAcctIDs,$I87)</f>
        <v>0</v>
      </c>
      <c r="P87" s="313">
        <f>SUMIFS(Drivers!AR$71:AR$106,BSAcctIDs,$I87)</f>
        <v>0</v>
      </c>
      <c r="Q87" s="313">
        <f>SUMIFS(Drivers!AS$71:AS$106,BSAcctIDs,$I87)</f>
        <v>0</v>
      </c>
      <c r="R87" s="313">
        <f>SUMIFS(Drivers!AT$71:AT$106,BSAcctIDs,$I87)</f>
        <v>8000</v>
      </c>
      <c r="S87" s="313">
        <f>SUMIFS(Drivers!AU$71:AU$106,BSAcctIDs,$I87)</f>
        <v>8000</v>
      </c>
      <c r="T87" s="313">
        <f>SUMIFS(Drivers!AV$71:AV$106,BSAcctIDs,$I87)</f>
        <v>8000</v>
      </c>
      <c r="U87" s="313">
        <f>SUMIFS(Drivers!AW$71:AW$106,BSAcctIDs,$I87)</f>
        <v>8000</v>
      </c>
      <c r="V87" s="313">
        <f>SUMIFS(Drivers!AX$71:AX$106,BSAcctIDs,$I87)</f>
        <v>8000</v>
      </c>
      <c r="W87" s="313">
        <f>SUMIFS(Drivers!AY$71:AY$106,BSAcctIDs,$I87)</f>
        <v>8000</v>
      </c>
      <c r="X87" s="313">
        <f>SUMIFS(Drivers!AZ$71:AZ$106,BSAcctIDs,$I87)</f>
        <v>8000</v>
      </c>
      <c r="Y87" s="313">
        <f>SUMIFS(Drivers!BA$71:BA$106,BSAcctIDs,$I87)</f>
        <v>10000</v>
      </c>
      <c r="Z87" s="313">
        <f>SUMIFS(Drivers!BB$71:BB$106,BSAcctIDs,$I87)</f>
        <v>8000</v>
      </c>
      <c r="AA87" s="313">
        <f>SUMIFS(Drivers!BC$71:BC$106,BSAcctIDs,$I87)</f>
        <v>8000</v>
      </c>
      <c r="AB87" s="313">
        <f>SUMIFS(Drivers!BD$71:BD$106,BSAcctIDs,$I87)</f>
        <v>8000</v>
      </c>
      <c r="AC87" s="313">
        <f>SUMIFS(Drivers!BE$71:BE$106,BSAcctIDs,$I87)</f>
        <v>8000</v>
      </c>
      <c r="AD87" s="313">
        <f>SUMIFS(Drivers!BF$71:BF$106,BSAcctIDs,$I87)</f>
        <v>8000</v>
      </c>
      <c r="AE87" s="313">
        <f>SUMIFS(Drivers!BG$71:BG$106,BSAcctIDs,$I87)</f>
        <v>8000</v>
      </c>
      <c r="AF87" s="313">
        <f>SUMIFS(Drivers!BH$71:BH$106,BSAcctIDs,$I87)</f>
        <v>8000</v>
      </c>
      <c r="AG87" s="313">
        <f>SUMIFS(Drivers!BI$71:BI$106,BSAcctIDs,$I87)</f>
        <v>8000</v>
      </c>
      <c r="AH87" s="313">
        <f>SUMIFS(Drivers!BJ$71:BJ$106,BSAcctIDs,$I87)</f>
        <v>8000</v>
      </c>
      <c r="AI87" s="313">
        <f>SUMIFS(Drivers!BK$71:BK$106,BSAcctIDs,$I87)</f>
        <v>8000</v>
      </c>
      <c r="AJ87" s="313">
        <f>SUMIFS(Drivers!BL$71:BL$106,BSAcctIDs,$I87)</f>
        <v>8000</v>
      </c>
      <c r="AK87" s="313">
        <f>SUMIFS(Drivers!BM$71:BM$106,BSAcctIDs,$I87)</f>
        <v>8000</v>
      </c>
      <c r="AL87" s="313">
        <f>SUMIFS(Drivers!BN$71:BN$106,BSAcctIDs,$I87)</f>
        <v>8000</v>
      </c>
      <c r="AM87" s="313">
        <f>SUMIFS(Drivers!BO$71:BO$106,BSAcctIDs,$I87)</f>
        <v>8000</v>
      </c>
      <c r="AN87" s="313">
        <f>SUMIFS(Drivers!BP$71:BP$106,BSAcctIDs,$I87)</f>
        <v>8000</v>
      </c>
      <c r="AO87" s="313">
        <f>SUMIFS(Drivers!BQ$71:BQ$106,BSAcctIDs,$I87)</f>
        <v>8000</v>
      </c>
      <c r="AP87" s="313">
        <f>SUMIFS(Drivers!BR$71:BR$106,BSAcctIDs,$I87)</f>
        <v>8000</v>
      </c>
      <c r="AQ87" s="313">
        <f>SUMIFS(Drivers!BS$71:BS$106,BSAcctIDs,$I87)</f>
        <v>8000</v>
      </c>
      <c r="AR87" s="313">
        <f>SUMIFS(Drivers!BT$71:BT$106,BSAcctIDs,$I87)</f>
        <v>8000</v>
      </c>
      <c r="AS87" s="313">
        <f>SUMIFS(Drivers!BU$71:BU$106,BSAcctIDs,$I87)</f>
        <v>8000</v>
      </c>
      <c r="AT87" s="313">
        <f>SUMIFS(Drivers!BV$71:BV$106,BSAcctIDs,$I87)</f>
        <v>8000</v>
      </c>
      <c r="AU87" s="313">
        <f>SUMIFS(Drivers!BW$71:BW$106,BSAcctIDs,$I87)</f>
        <v>8000</v>
      </c>
      <c r="AV87" s="313">
        <f>SUMIFS(Drivers!BX$71:BX$106,BSAcctIDs,$I87)</f>
        <v>8000</v>
      </c>
      <c r="AW87" s="313">
        <f>SUMIFS(Drivers!BY$71:BY$106,BSAcctIDs,$I87)</f>
        <v>8000</v>
      </c>
      <c r="AX87" s="313">
        <f>SUMIFS(Drivers!BZ$71:BZ$106,BSAcctIDs,$I87)</f>
        <v>18000</v>
      </c>
      <c r="AY87" s="313">
        <f>SUMIFS(Drivers!CA$71:CA$106,BSAcctIDs,$I87)</f>
        <v>18000</v>
      </c>
      <c r="AZ87" s="313">
        <f>SUMIFS(Drivers!CB$71:CB$106,BSAcctIDs,$I87)</f>
        <v>18000</v>
      </c>
      <c r="BA87" s="313">
        <f>SUMIFS(Drivers!CC$71:CC$106,BSAcctIDs,$I87)</f>
        <v>18000</v>
      </c>
      <c r="BB87" s="313">
        <f>SUMIFS(Drivers!CD$71:CD$106,BSAcctIDs,$I87)</f>
        <v>18000</v>
      </c>
      <c r="BC87" s="313">
        <f>SUMIFS(Drivers!CE$71:CE$106,BSAcctIDs,$I87)</f>
        <v>18000</v>
      </c>
      <c r="BD87" s="313">
        <f>SUMIFS(Drivers!CF$71:CF$106,BSAcctIDs,$I87)</f>
        <v>18000</v>
      </c>
      <c r="BE87" s="313">
        <f>SUMIFS(Drivers!CG$71:CG$106,BSAcctIDs,$I87)</f>
        <v>18000</v>
      </c>
      <c r="BF87" s="313">
        <f>SUMIFS(Drivers!CH$71:CH$106,BSAcctIDs,$I87)</f>
        <v>18000</v>
      </c>
      <c r="BG87" s="313">
        <f>SUMIFS(Drivers!CI$71:CI$106,BSAcctIDs,$I87)</f>
        <v>18000</v>
      </c>
      <c r="BH87" s="313">
        <f>SUMIFS(Drivers!CJ$71:CJ$106,BSAcctIDs,$I87)</f>
        <v>18000</v>
      </c>
    </row>
    <row r="88" spans="2:60" ht="19.5" customHeight="1" outlineLevel="1">
      <c r="B88" s="284"/>
      <c r="C88" s="315"/>
      <c r="D88" s="288" t="s">
        <v>293</v>
      </c>
      <c r="E88" s="277" t="str">
        <f>IFERROR(INDEX(PBC_ACCOUNT_LIST[Drivers Section],MATCH('Data Summary'!I88,PBC_ACCOUNT_LIST[Id],0)),"")</f>
        <v>Assets</v>
      </c>
      <c r="F88" s="277" t="str">
        <f>IFERROR(INDEX(PBC_ACCOUNT_LIST[Summary Grouping],MATCH('Data Summary'!I88,PBC_ACCOUNT_LIST[Id],0)),"")</f>
        <v>Fixed Assets</v>
      </c>
      <c r="G88" s="277"/>
      <c r="H88" s="277" t="str">
        <f>IFERROR(INDEX(PBC_ACCOUNT_LIST[Cash Flow Section],MATCH('Data Summary'!I88,PBC_ACCOUNT_LIST[Id],0)),"")</f>
        <v>Cash From Operating Activities</v>
      </c>
      <c r="I88" s="277">
        <v>194</v>
      </c>
      <c r="J88" s="314"/>
      <c r="L88" s="313">
        <f>SUMIFS(Drivers!AN$71:AN$106,BSAcctIDs,$I88)</f>
        <v>0</v>
      </c>
      <c r="M88" s="313">
        <f>SUMIFS(Drivers!AO$71:AO$106,BSAcctIDs,$I88)</f>
        <v>-69</v>
      </c>
      <c r="N88" s="313">
        <f>SUMIFS(Drivers!AP$71:AP$106,BSAcctIDs,$I88)</f>
        <v>-138</v>
      </c>
      <c r="O88" s="313">
        <f>SUMIFS(Drivers!AQ$71:AQ$106,BSAcctIDs,$I88)</f>
        <v>-277</v>
      </c>
      <c r="P88" s="313">
        <f>SUMIFS(Drivers!AR$71:AR$106,BSAcctIDs,$I88)</f>
        <v>-1388</v>
      </c>
      <c r="Q88" s="313">
        <f>SUMIFS(Drivers!AS$71:AS$106,BSAcctIDs,$I88)</f>
        <v>-2569</v>
      </c>
      <c r="R88" s="313">
        <f>SUMIFS(Drivers!AT$71:AT$106,BSAcctIDs,$I88)</f>
        <v>-3972</v>
      </c>
      <c r="S88" s="313">
        <f>SUMIFS(Drivers!AU$71:AU$106,BSAcctIDs,$I88)</f>
        <v>-5375</v>
      </c>
      <c r="T88" s="313">
        <f>SUMIFS(Drivers!AV$71:AV$106,BSAcctIDs,$I88)</f>
        <v>-6847</v>
      </c>
      <c r="U88" s="313">
        <f>SUMIFS(Drivers!AW$71:AW$106,BSAcctIDs,$I88)</f>
        <v>-8319</v>
      </c>
      <c r="V88" s="313">
        <f>SUMIFS(Drivers!AX$71:AX$106,BSAcctIDs,$I88)</f>
        <v>-9791</v>
      </c>
      <c r="W88" s="313">
        <f>SUMIFS(Drivers!AY$71:AY$106,BSAcctIDs,$I88)</f>
        <v>-12151</v>
      </c>
      <c r="X88" s="313">
        <f>SUMIFS(Drivers!AZ$71:AZ$106,BSAcctIDs,$I88)</f>
        <v>-15202</v>
      </c>
      <c r="Y88" s="313">
        <f>SUMIFS(Drivers!BA$71:BA$106,BSAcctIDs,$I88)</f>
        <v>-18252.5</v>
      </c>
      <c r="Z88" s="313">
        <f>SUMIFS(Drivers!BB$71:BB$106,BSAcctIDs,$I88)</f>
        <v>-21303.5</v>
      </c>
      <c r="AA88" s="313">
        <f>SUMIFS(Drivers!BC$71:BC$106,BSAcctIDs,$I88)</f>
        <v>-24354</v>
      </c>
      <c r="AB88" s="313">
        <f>SUMIFS(Drivers!BD$71:BD$106,BSAcctIDs,$I88)</f>
        <v>-27404.5</v>
      </c>
      <c r="AC88" s="313">
        <f>SUMIFS(Drivers!BE$71:BE$106,BSAcctIDs,$I88)</f>
        <v>-30455</v>
      </c>
      <c r="AD88" s="313">
        <f>SUMIFS(Drivers!BF$71:BF$106,BSAcctIDs,$I88)</f>
        <v>-33506</v>
      </c>
      <c r="AE88" s="313">
        <f>SUMIFS(Drivers!BG$71:BG$106,BSAcctIDs,$I88)</f>
        <v>-36557</v>
      </c>
      <c r="AF88" s="313">
        <f>SUMIFS(Drivers!BH$71:BH$106,BSAcctIDs,$I88)</f>
        <v>-39608</v>
      </c>
      <c r="AG88" s="313">
        <f>SUMIFS(Drivers!BI$71:BI$106,BSAcctIDs,$I88)</f>
        <v>-42659</v>
      </c>
      <c r="AH88" s="313">
        <f>SUMIFS(Drivers!BJ$71:BJ$106,BSAcctIDs,$I88)</f>
        <v>-45710</v>
      </c>
      <c r="AI88" s="313">
        <f>SUMIFS(Drivers!BK$71:BK$106,BSAcctIDs,$I88)</f>
        <v>-48761</v>
      </c>
      <c r="AJ88" s="313">
        <f>SUMIFS(Drivers!BL$71:BL$106,BSAcctIDs,$I88)</f>
        <v>-51811.5</v>
      </c>
      <c r="AK88" s="313">
        <f>SUMIFS(Drivers!BM$71:BM$106,BSAcctIDs,$I88)</f>
        <v>-54862.16</v>
      </c>
      <c r="AL88" s="313">
        <f>SUMIFS(Drivers!BN$71:BN$106,BSAcctIDs,$I88)</f>
        <v>-57912.82</v>
      </c>
      <c r="AM88" s="313">
        <f>SUMIFS(Drivers!BO$71:BO$106,BSAcctIDs,$I88)</f>
        <v>-60963.48</v>
      </c>
      <c r="AN88" s="313">
        <f>SUMIFS(Drivers!BP$71:BP$106,BSAcctIDs,$I88)</f>
        <v>-64014.14</v>
      </c>
      <c r="AO88" s="313">
        <f>SUMIFS(Drivers!BQ$71:BQ$106,BSAcctIDs,$I88)</f>
        <v>-67064.800000000003</v>
      </c>
      <c r="AP88" s="313">
        <f>SUMIFS(Drivers!BR$71:BR$106,BSAcctIDs,$I88)</f>
        <v>-70115.460000000006</v>
      </c>
      <c r="AQ88" s="313">
        <f>SUMIFS(Drivers!BS$71:BS$106,BSAcctIDs,$I88)</f>
        <v>-73166.12</v>
      </c>
      <c r="AR88" s="313">
        <f>SUMIFS(Drivers!BT$71:BT$106,BSAcctIDs,$I88)</f>
        <v>-76216.78</v>
      </c>
      <c r="AS88" s="313">
        <f>SUMIFS(Drivers!BU$71:BU$106,BSAcctIDs,$I88)</f>
        <v>-79267.44</v>
      </c>
      <c r="AT88" s="313">
        <f>SUMIFS(Drivers!BV$71:BV$106,BSAcctIDs,$I88)</f>
        <v>-82318.100000000006</v>
      </c>
      <c r="AU88" s="313">
        <f>SUMIFS(Drivers!BW$71:BW$106,BSAcctIDs,$I88)</f>
        <v>-85368.76</v>
      </c>
      <c r="AV88" s="313">
        <f>SUMIFS(Drivers!BX$71:BX$106,BSAcctIDs,$I88)</f>
        <v>-88546.57666666666</v>
      </c>
      <c r="AW88" s="313">
        <f>SUMIFS(Drivers!BY$71:BY$106,BSAcctIDs,$I88)</f>
        <v>-91654.948888888888</v>
      </c>
      <c r="AX88" s="313">
        <f>SUMIFS(Drivers!BZ$71:BZ$106,BSAcctIDs,$I88)</f>
        <v>-95041.098888888882</v>
      </c>
      <c r="AY88" s="313">
        <f>SUMIFS(Drivers!CA$71:CA$106,BSAcctIDs,$I88)</f>
        <v>-98357.804444444439</v>
      </c>
      <c r="AZ88" s="313">
        <f>SUMIFS(Drivers!CB$71:CB$106,BSAcctIDs,$I88)</f>
        <v>-100702.28777777778</v>
      </c>
      <c r="BA88" s="313">
        <f>SUMIFS(Drivers!CC$71:CC$106,BSAcctIDs,$I88)</f>
        <v>-103393.99333333333</v>
      </c>
      <c r="BB88" s="313">
        <f>SUMIFS(Drivers!CD$71:CD$106,BSAcctIDs,$I88)</f>
        <v>-105863.47666666667</v>
      </c>
      <c r="BC88" s="313">
        <f>SUMIFS(Drivers!CE$71:CE$106,BSAcctIDs,$I88)</f>
        <v>-108332.96</v>
      </c>
      <c r="BD88" s="313">
        <f>SUMIFS(Drivers!CF$71:CF$106,BSAcctIDs,$I88)</f>
        <v>-110732.99888888889</v>
      </c>
      <c r="BE88" s="313">
        <f>SUMIFS(Drivers!CG$71:CG$106,BSAcctIDs,$I88)</f>
        <v>-113133.03777777778</v>
      </c>
      <c r="BF88" s="313">
        <f>SUMIFS(Drivers!CH$71:CH$106,BSAcctIDs,$I88)</f>
        <v>-115533.07666666666</v>
      </c>
      <c r="BG88" s="313">
        <f>SUMIFS(Drivers!CI$71:CI$106,BSAcctIDs,$I88)</f>
        <v>-117933.11555555555</v>
      </c>
      <c r="BH88" s="313">
        <f>SUMIFS(Drivers!CJ$71:CJ$106,BSAcctIDs,$I88)</f>
        <v>-120333.15444444443</v>
      </c>
    </row>
    <row r="89" spans="2:60" ht="19.5" customHeight="1" outlineLevel="1">
      <c r="B89" s="284"/>
      <c r="C89" s="315"/>
      <c r="D89" s="288" t="s">
        <v>294</v>
      </c>
      <c r="E89" s="277" t="str">
        <f>IFERROR(INDEX(PBC_ACCOUNT_LIST[Drivers Section],MATCH('Data Summary'!I89,PBC_ACCOUNT_LIST[Id],0)),"")</f>
        <v>Assets</v>
      </c>
      <c r="F89" s="277" t="str">
        <f>IFERROR(INDEX(PBC_ACCOUNT_LIST[Summary Grouping],MATCH('Data Summary'!I89,PBC_ACCOUNT_LIST[Id],0)),"")</f>
        <v>Fixed Assets</v>
      </c>
      <c r="G89" s="277"/>
      <c r="H89" s="277" t="str">
        <f>IFERROR(INDEX(PBC_ACCOUNT_LIST[Cash Flow Section],MATCH('Data Summary'!I89,PBC_ACCOUNT_LIST[Id],0)),"")</f>
        <v>Cash From Investing Activities</v>
      </c>
      <c r="I89" s="277">
        <v>60</v>
      </c>
      <c r="J89" s="314"/>
      <c r="L89" s="313">
        <f>SUMIFS(Drivers!AN$71:AN$106,BSAcctIDs,$I89)</f>
        <v>0</v>
      </c>
      <c r="M89" s="313">
        <f>SUMIFS(Drivers!AO$71:AO$106,BSAcctIDs,$I89)</f>
        <v>52718</v>
      </c>
      <c r="N89" s="313">
        <f>SUMIFS(Drivers!AP$71:AP$106,BSAcctIDs,$I89)</f>
        <v>52718</v>
      </c>
      <c r="O89" s="313">
        <f>SUMIFS(Drivers!AQ$71:AQ$106,BSAcctIDs,$I89)</f>
        <v>52718</v>
      </c>
      <c r="P89" s="313">
        <f>SUMIFS(Drivers!AR$71:AR$106,BSAcctIDs,$I89)</f>
        <v>52718</v>
      </c>
      <c r="Q89" s="313">
        <f>SUMIFS(Drivers!AS$71:AS$106,BSAcctIDs,$I89)</f>
        <v>52718</v>
      </c>
      <c r="R89" s="313">
        <f>SUMIFS(Drivers!AT$71:AT$106,BSAcctIDs,$I89)</f>
        <v>52718</v>
      </c>
      <c r="S89" s="313">
        <f>SUMIFS(Drivers!AU$71:AU$106,BSAcctIDs,$I89)</f>
        <v>52718</v>
      </c>
      <c r="T89" s="313">
        <f>SUMIFS(Drivers!AV$71:AV$106,BSAcctIDs,$I89)</f>
        <v>52718</v>
      </c>
      <c r="U89" s="313">
        <f>SUMIFS(Drivers!AW$71:AW$106,BSAcctIDs,$I89)</f>
        <v>52718</v>
      </c>
      <c r="V89" s="313">
        <f>SUMIFS(Drivers!AX$71:AX$106,BSAcctIDs,$I89)</f>
        <v>52718</v>
      </c>
      <c r="W89" s="313">
        <f>SUMIFS(Drivers!AY$71:AY$106,BSAcctIDs,$I89)</f>
        <v>52718</v>
      </c>
      <c r="X89" s="313">
        <f>SUMIFS(Drivers!AZ$71:AZ$106,BSAcctIDs,$I89)</f>
        <v>52718</v>
      </c>
      <c r="Y89" s="313">
        <f>SUMIFS(Drivers!BA$71:BA$106,BSAcctIDs,$I89)</f>
        <v>52718</v>
      </c>
      <c r="Z89" s="313">
        <f>SUMIFS(Drivers!BB$71:BB$106,BSAcctIDs,$I89)</f>
        <v>52718</v>
      </c>
      <c r="AA89" s="313">
        <f>SUMIFS(Drivers!BC$71:BC$106,BSAcctIDs,$I89)</f>
        <v>52718</v>
      </c>
      <c r="AB89" s="313">
        <f>SUMIFS(Drivers!BD$71:BD$106,BSAcctIDs,$I89)</f>
        <v>52718</v>
      </c>
      <c r="AC89" s="313">
        <f>SUMIFS(Drivers!BE$71:BE$106,BSAcctIDs,$I89)</f>
        <v>52718</v>
      </c>
      <c r="AD89" s="313">
        <f>SUMIFS(Drivers!BF$71:BF$106,BSAcctIDs,$I89)</f>
        <v>52718</v>
      </c>
      <c r="AE89" s="313">
        <f>SUMIFS(Drivers!BG$71:BG$106,BSAcctIDs,$I89)</f>
        <v>52718</v>
      </c>
      <c r="AF89" s="313">
        <f>SUMIFS(Drivers!BH$71:BH$106,BSAcctIDs,$I89)</f>
        <v>52718</v>
      </c>
      <c r="AG89" s="313">
        <f>SUMIFS(Drivers!BI$71:BI$106,BSAcctIDs,$I89)</f>
        <v>52718</v>
      </c>
      <c r="AH89" s="313">
        <f>SUMIFS(Drivers!BJ$71:BJ$106,BSAcctIDs,$I89)</f>
        <v>52718</v>
      </c>
      <c r="AI89" s="313">
        <f>SUMIFS(Drivers!BK$71:BK$106,BSAcctIDs,$I89)</f>
        <v>52718</v>
      </c>
      <c r="AJ89" s="313">
        <f>SUMIFS(Drivers!BL$71:BL$106,BSAcctIDs,$I89)</f>
        <v>52718</v>
      </c>
      <c r="AK89" s="313">
        <f>SUMIFS(Drivers!BM$71:BM$106,BSAcctIDs,$I89)</f>
        <v>52718</v>
      </c>
      <c r="AL89" s="313">
        <f>SUMIFS(Drivers!BN$71:BN$106,BSAcctIDs,$I89)</f>
        <v>52718</v>
      </c>
      <c r="AM89" s="313">
        <f>SUMIFS(Drivers!BO$71:BO$106,BSAcctIDs,$I89)</f>
        <v>52718</v>
      </c>
      <c r="AN89" s="313">
        <f>SUMIFS(Drivers!BP$71:BP$106,BSAcctIDs,$I89)</f>
        <v>52718</v>
      </c>
      <c r="AO89" s="313">
        <f>SUMIFS(Drivers!BQ$71:BQ$106,BSAcctIDs,$I89)</f>
        <v>52718</v>
      </c>
      <c r="AP89" s="313">
        <f>SUMIFS(Drivers!BR$71:BR$106,BSAcctIDs,$I89)</f>
        <v>52718</v>
      </c>
      <c r="AQ89" s="313">
        <f>SUMIFS(Drivers!BS$71:BS$106,BSAcctIDs,$I89)</f>
        <v>52718</v>
      </c>
      <c r="AR89" s="313">
        <f>SUMIFS(Drivers!BT$71:BT$106,BSAcctIDs,$I89)</f>
        <v>52718</v>
      </c>
      <c r="AS89" s="313">
        <f>SUMIFS(Drivers!BU$71:BU$106,BSAcctIDs,$I89)</f>
        <v>52718</v>
      </c>
      <c r="AT89" s="313">
        <f>SUMIFS(Drivers!BV$71:BV$106,BSAcctIDs,$I89)</f>
        <v>52718</v>
      </c>
      <c r="AU89" s="313">
        <f>SUMIFS(Drivers!BW$71:BW$106,BSAcctIDs,$I89)</f>
        <v>52718</v>
      </c>
      <c r="AV89" s="313">
        <f>SUMIFS(Drivers!BX$71:BX$106,BSAcctIDs,$I89)</f>
        <v>52718</v>
      </c>
      <c r="AW89" s="313">
        <f>SUMIFS(Drivers!BY$71:BY$106,BSAcctIDs,$I89)</f>
        <v>52718</v>
      </c>
      <c r="AX89" s="313">
        <f>SUMIFS(Drivers!BZ$71:BZ$106,BSAcctIDs,$I89)</f>
        <v>52718</v>
      </c>
      <c r="AY89" s="313">
        <f>SUMIFS(Drivers!CA$71:CA$106,BSAcctIDs,$I89)</f>
        <v>52718</v>
      </c>
      <c r="AZ89" s="313">
        <f>SUMIFS(Drivers!CB$71:CB$106,BSAcctIDs,$I89)</f>
        <v>52718</v>
      </c>
      <c r="BA89" s="313">
        <f>SUMIFS(Drivers!CC$71:CC$106,BSAcctIDs,$I89)</f>
        <v>52718</v>
      </c>
      <c r="BB89" s="313">
        <f>SUMIFS(Drivers!CD$71:CD$106,BSAcctIDs,$I89)</f>
        <v>52718</v>
      </c>
      <c r="BC89" s="313">
        <f>SUMIFS(Drivers!CE$71:CE$106,BSAcctIDs,$I89)</f>
        <v>52718</v>
      </c>
      <c r="BD89" s="313">
        <f>SUMIFS(Drivers!CF$71:CF$106,BSAcctIDs,$I89)</f>
        <v>52718</v>
      </c>
      <c r="BE89" s="313">
        <f>SUMIFS(Drivers!CG$71:CG$106,BSAcctIDs,$I89)</f>
        <v>52718</v>
      </c>
      <c r="BF89" s="313">
        <f>SUMIFS(Drivers!CH$71:CH$106,BSAcctIDs,$I89)</f>
        <v>52718</v>
      </c>
      <c r="BG89" s="313">
        <f>SUMIFS(Drivers!CI$71:CI$106,BSAcctIDs,$I89)</f>
        <v>52718</v>
      </c>
      <c r="BH89" s="313">
        <f>SUMIFS(Drivers!CJ$71:CJ$106,BSAcctIDs,$I89)</f>
        <v>52718</v>
      </c>
    </row>
    <row r="90" spans="2:60" ht="19.5" customHeight="1" outlineLevel="1">
      <c r="B90" s="284"/>
      <c r="C90" s="315"/>
      <c r="D90" s="288" t="s">
        <v>295</v>
      </c>
      <c r="E90" s="277" t="str">
        <f>IFERROR(INDEX(PBC_ACCOUNT_LIST[Drivers Section],MATCH('Data Summary'!I90,PBC_ACCOUNT_LIST[Id],0)),"")</f>
        <v>Assets</v>
      </c>
      <c r="F90" s="277" t="str">
        <f>IFERROR(INDEX(PBC_ACCOUNT_LIST[Summary Grouping],MATCH('Data Summary'!I90,PBC_ACCOUNT_LIST[Id],0)),"")</f>
        <v>Fixed Assets</v>
      </c>
      <c r="G90" s="277"/>
      <c r="H90" s="277" t="str">
        <f>IFERROR(INDEX(PBC_ACCOUNT_LIST[Cash Flow Section],MATCH('Data Summary'!I90,PBC_ACCOUNT_LIST[Id],0)),"")</f>
        <v>Cash From Investing Activities</v>
      </c>
      <c r="I90" s="277">
        <v>1150040001</v>
      </c>
      <c r="J90" s="314"/>
      <c r="L90" s="313">
        <f>SUMIFS(Drivers!AN$71:AN$106,BSAcctIDs,$I90)</f>
        <v>0</v>
      </c>
      <c r="M90" s="313">
        <f>SUMIFS(Drivers!AO$71:AO$106,BSAcctIDs,$I90)</f>
        <v>7951</v>
      </c>
      <c r="N90" s="313">
        <f>SUMIFS(Drivers!AP$71:AP$106,BSAcctIDs,$I90)</f>
        <v>7951</v>
      </c>
      <c r="O90" s="313">
        <f>SUMIFS(Drivers!AQ$71:AQ$106,BSAcctIDs,$I90)</f>
        <v>7951</v>
      </c>
      <c r="P90" s="313">
        <f>SUMIFS(Drivers!AR$71:AR$106,BSAcctIDs,$I90)</f>
        <v>7951</v>
      </c>
      <c r="Q90" s="313">
        <f>SUMIFS(Drivers!AS$71:AS$106,BSAcctIDs,$I90)</f>
        <v>7951</v>
      </c>
      <c r="R90" s="313">
        <f>SUMIFS(Drivers!AT$71:AT$106,BSAcctIDs,$I90)</f>
        <v>7951</v>
      </c>
      <c r="S90" s="313">
        <f>SUMIFS(Drivers!AU$71:AU$106,BSAcctIDs,$I90)</f>
        <v>7951</v>
      </c>
      <c r="T90" s="313">
        <f>SUMIFS(Drivers!AV$71:AV$106,BSAcctIDs,$I90)</f>
        <v>7951</v>
      </c>
      <c r="U90" s="313">
        <f>SUMIFS(Drivers!AW$71:AW$106,BSAcctIDs,$I90)</f>
        <v>7951</v>
      </c>
      <c r="V90" s="313">
        <f>SUMIFS(Drivers!AX$71:AX$106,BSAcctIDs,$I90)</f>
        <v>7951</v>
      </c>
      <c r="W90" s="313">
        <f>SUMIFS(Drivers!AY$71:AY$106,BSAcctIDs,$I90)</f>
        <v>7951</v>
      </c>
      <c r="X90" s="313">
        <f>SUMIFS(Drivers!AZ$71:AZ$106,BSAcctIDs,$I90)</f>
        <v>7951</v>
      </c>
      <c r="Y90" s="313">
        <f>SUMIFS(Drivers!BA$71:BA$106,BSAcctIDs,$I90)</f>
        <v>7951</v>
      </c>
      <c r="Z90" s="313">
        <f>SUMIFS(Drivers!BB$71:BB$106,BSAcctIDs,$I90)</f>
        <v>7951</v>
      </c>
      <c r="AA90" s="313">
        <f>SUMIFS(Drivers!BC$71:BC$106,BSAcctIDs,$I90)</f>
        <v>7951</v>
      </c>
      <c r="AB90" s="313">
        <f>SUMIFS(Drivers!BD$71:BD$106,BSAcctIDs,$I90)</f>
        <v>7951</v>
      </c>
      <c r="AC90" s="313">
        <f>SUMIFS(Drivers!BE$71:BE$106,BSAcctIDs,$I90)</f>
        <v>7951</v>
      </c>
      <c r="AD90" s="313">
        <f>SUMIFS(Drivers!BF$71:BF$106,BSAcctIDs,$I90)</f>
        <v>7951</v>
      </c>
      <c r="AE90" s="313">
        <f>SUMIFS(Drivers!BG$71:BG$106,BSAcctIDs,$I90)</f>
        <v>7951</v>
      </c>
      <c r="AF90" s="313">
        <f>SUMIFS(Drivers!BH$71:BH$106,BSAcctIDs,$I90)</f>
        <v>7951</v>
      </c>
      <c r="AG90" s="313">
        <f>SUMIFS(Drivers!BI$71:BI$106,BSAcctIDs,$I90)</f>
        <v>7951</v>
      </c>
      <c r="AH90" s="313">
        <f>SUMIFS(Drivers!BJ$71:BJ$106,BSAcctIDs,$I90)</f>
        <v>7951</v>
      </c>
      <c r="AI90" s="313">
        <f>SUMIFS(Drivers!BK$71:BK$106,BSAcctIDs,$I90)</f>
        <v>7951</v>
      </c>
      <c r="AJ90" s="313">
        <f>SUMIFS(Drivers!BL$71:BL$106,BSAcctIDs,$I90)</f>
        <v>7951</v>
      </c>
      <c r="AK90" s="313">
        <f>SUMIFS(Drivers!BM$71:BM$106,BSAcctIDs,$I90)</f>
        <v>7951</v>
      </c>
      <c r="AL90" s="313">
        <f>SUMIFS(Drivers!BN$71:BN$106,BSAcctIDs,$I90)</f>
        <v>7951</v>
      </c>
      <c r="AM90" s="313">
        <f>SUMIFS(Drivers!BO$71:BO$106,BSAcctIDs,$I90)</f>
        <v>7951</v>
      </c>
      <c r="AN90" s="313">
        <f>SUMIFS(Drivers!BP$71:BP$106,BSAcctIDs,$I90)</f>
        <v>7951</v>
      </c>
      <c r="AO90" s="313">
        <f>SUMIFS(Drivers!BQ$71:BQ$106,BSAcctIDs,$I90)</f>
        <v>7951</v>
      </c>
      <c r="AP90" s="313">
        <f>SUMIFS(Drivers!BR$71:BR$106,BSAcctIDs,$I90)</f>
        <v>7951</v>
      </c>
      <c r="AQ90" s="313">
        <f>SUMIFS(Drivers!BS$71:BS$106,BSAcctIDs,$I90)</f>
        <v>7951</v>
      </c>
      <c r="AR90" s="313">
        <f>SUMIFS(Drivers!BT$71:BT$106,BSAcctIDs,$I90)</f>
        <v>7951</v>
      </c>
      <c r="AS90" s="313">
        <f>SUMIFS(Drivers!BU$71:BU$106,BSAcctIDs,$I90)</f>
        <v>7951</v>
      </c>
      <c r="AT90" s="313">
        <f>SUMIFS(Drivers!BV$71:BV$106,BSAcctIDs,$I90)</f>
        <v>7951</v>
      </c>
      <c r="AU90" s="313">
        <f>SUMIFS(Drivers!BW$71:BW$106,BSAcctIDs,$I90)</f>
        <v>7951</v>
      </c>
      <c r="AV90" s="313">
        <f>SUMIFS(Drivers!BX$71:BX$106,BSAcctIDs,$I90)</f>
        <v>7951</v>
      </c>
      <c r="AW90" s="313">
        <f>SUMIFS(Drivers!BY$71:BY$106,BSAcctIDs,$I90)</f>
        <v>7951</v>
      </c>
      <c r="AX90" s="313">
        <f>SUMIFS(Drivers!BZ$71:BZ$106,BSAcctIDs,$I90)</f>
        <v>7951</v>
      </c>
      <c r="AY90" s="313">
        <f>SUMIFS(Drivers!CA$71:CA$106,BSAcctIDs,$I90)</f>
        <v>7951</v>
      </c>
      <c r="AZ90" s="313">
        <f>SUMIFS(Drivers!CB$71:CB$106,BSAcctIDs,$I90)</f>
        <v>7951</v>
      </c>
      <c r="BA90" s="313">
        <f>SUMIFS(Drivers!CC$71:CC$106,BSAcctIDs,$I90)</f>
        <v>7951</v>
      </c>
      <c r="BB90" s="313">
        <f>SUMIFS(Drivers!CD$71:CD$106,BSAcctIDs,$I90)</f>
        <v>7951</v>
      </c>
      <c r="BC90" s="313">
        <f>SUMIFS(Drivers!CE$71:CE$106,BSAcctIDs,$I90)</f>
        <v>7951</v>
      </c>
      <c r="BD90" s="313">
        <f>SUMIFS(Drivers!CF$71:CF$106,BSAcctIDs,$I90)</f>
        <v>7951</v>
      </c>
      <c r="BE90" s="313">
        <f>SUMIFS(Drivers!CG$71:CG$106,BSAcctIDs,$I90)</f>
        <v>7951</v>
      </c>
      <c r="BF90" s="313">
        <f>SUMIFS(Drivers!CH$71:CH$106,BSAcctIDs,$I90)</f>
        <v>7951</v>
      </c>
      <c r="BG90" s="313">
        <f>SUMIFS(Drivers!CI$71:CI$106,BSAcctIDs,$I90)</f>
        <v>7951</v>
      </c>
      <c r="BH90" s="313">
        <f>SUMIFS(Drivers!CJ$71:CJ$106,BSAcctIDs,$I90)</f>
        <v>7951</v>
      </c>
    </row>
    <row r="91" spans="2:60" ht="19.5" customHeight="1" outlineLevel="1">
      <c r="B91" s="284"/>
      <c r="C91" s="315"/>
      <c r="D91" s="288" t="s">
        <v>301</v>
      </c>
      <c r="E91" s="277" t="str">
        <f>IFERROR(INDEX(PBC_ACCOUNT_LIST[Drivers Section],MATCH('Data Summary'!I91,PBC_ACCOUNT_LIST[Id],0)),"")</f>
        <v>Liabilities</v>
      </c>
      <c r="F91" s="277" t="str">
        <f>IFERROR(INDEX(PBC_ACCOUNT_LIST[Summary Grouping],MATCH('Data Summary'!I91,PBC_ACCOUNT_LIST[Id],0)),"")</f>
        <v>Accounts Payable</v>
      </c>
      <c r="G91" s="277"/>
      <c r="H91" s="277" t="str">
        <f>IFERROR(INDEX(PBC_ACCOUNT_LIST[Cash Flow Section],MATCH('Data Summary'!I91,PBC_ACCOUNT_LIST[Id],0)),"")</f>
        <v>Cash from Operating Activities</v>
      </c>
      <c r="I91" s="277">
        <v>155</v>
      </c>
      <c r="J91" s="314"/>
      <c r="L91" s="313">
        <f>SUMIFS(Drivers!AN$71:AN$106,BSAcctIDs,$I91)</f>
        <v>0</v>
      </c>
      <c r="M91" s="313">
        <f>SUMIFS(Drivers!AO$71:AO$106,BSAcctIDs,$I91)</f>
        <v>37350</v>
      </c>
      <c r="N91" s="313">
        <f>SUMIFS(Drivers!AP$71:AP$106,BSAcctIDs,$I91)</f>
        <v>42033</v>
      </c>
      <c r="O91" s="313">
        <f>SUMIFS(Drivers!AQ$71:AQ$106,BSAcctIDs,$I91)</f>
        <v>43504</v>
      </c>
      <c r="P91" s="313">
        <f>SUMIFS(Drivers!AR$71:AR$106,BSAcctIDs,$I91)</f>
        <v>45027</v>
      </c>
      <c r="Q91" s="313">
        <f>SUMIFS(Drivers!AS$71:AS$106,BSAcctIDs,$I91)</f>
        <v>46603</v>
      </c>
      <c r="R91" s="313">
        <f>SUMIFS(Drivers!AT$71:AT$106,BSAcctIDs,$I91)</f>
        <v>48234</v>
      </c>
      <c r="S91" s="313">
        <f>SUMIFS(Drivers!AU$71:AU$106,BSAcctIDs,$I91)</f>
        <v>49922</v>
      </c>
      <c r="T91" s="313">
        <f>SUMIFS(Drivers!AV$71:AV$106,BSAcctIDs,$I91)</f>
        <v>51669.5</v>
      </c>
      <c r="U91" s="313">
        <f>SUMIFS(Drivers!AW$71:AW$106,BSAcctIDs,$I91)</f>
        <v>53477.5</v>
      </c>
      <c r="V91" s="313">
        <f>SUMIFS(Drivers!AX$71:AX$106,BSAcctIDs,$I91)</f>
        <v>55349.5</v>
      </c>
      <c r="W91" s="313">
        <f>SUMIFS(Drivers!AY$71:AY$106,BSAcctIDs,$I91)</f>
        <v>55349.5</v>
      </c>
      <c r="X91" s="313">
        <f>SUMIFS(Drivers!AZ$71:AZ$106,BSAcctIDs,$I91)</f>
        <v>55349.5</v>
      </c>
      <c r="Y91" s="313">
        <f>SUMIFS(Drivers!BA$71:BA$106,BSAcctIDs,$I91)</f>
        <v>55349.5</v>
      </c>
      <c r="Z91" s="313">
        <f>SUMIFS(Drivers!BB$71:BB$106,BSAcctIDs,$I91)</f>
        <v>55349.5</v>
      </c>
      <c r="AA91" s="313">
        <f>SUMIFS(Drivers!BC$71:BC$106,BSAcctIDs,$I91)</f>
        <v>55349.5</v>
      </c>
      <c r="AB91" s="313">
        <f>SUMIFS(Drivers!BD$71:BD$106,BSAcctIDs,$I91)</f>
        <v>55349.5</v>
      </c>
      <c r="AC91" s="313">
        <f>SUMIFS(Drivers!BE$71:BE$106,BSAcctIDs,$I91)</f>
        <v>55349.5</v>
      </c>
      <c r="AD91" s="313">
        <f>SUMIFS(Drivers!BF$71:BF$106,BSAcctIDs,$I91)</f>
        <v>55349.5</v>
      </c>
      <c r="AE91" s="313">
        <f>SUMIFS(Drivers!BG$71:BG$106,BSAcctIDs,$I91)</f>
        <v>55349.5</v>
      </c>
      <c r="AF91" s="313">
        <f>SUMIFS(Drivers!BH$71:BH$106,BSAcctIDs,$I91)</f>
        <v>55349.5</v>
      </c>
      <c r="AG91" s="313">
        <f>SUMIFS(Drivers!BI$71:BI$106,BSAcctIDs,$I91)</f>
        <v>55349.5</v>
      </c>
      <c r="AH91" s="313">
        <f>SUMIFS(Drivers!BJ$71:BJ$106,BSAcctIDs,$I91)</f>
        <v>55349.5</v>
      </c>
      <c r="AI91" s="313">
        <f>SUMIFS(Drivers!BK$71:BK$106,BSAcctIDs,$I91)</f>
        <v>55349.5</v>
      </c>
      <c r="AJ91" s="313">
        <f>SUMIFS(Drivers!BL$71:BL$106,BSAcctIDs,$I91)</f>
        <v>55349.5</v>
      </c>
      <c r="AK91" s="313">
        <f>SUMIFS(Drivers!BM$71:BM$106,BSAcctIDs,$I91)</f>
        <v>55349.5</v>
      </c>
      <c r="AL91" s="313">
        <f>SUMIFS(Drivers!BN$71:BN$106,BSAcctIDs,$I91)</f>
        <v>55349.5</v>
      </c>
      <c r="AM91" s="313">
        <f>SUMIFS(Drivers!BO$71:BO$106,BSAcctIDs,$I91)</f>
        <v>55349.5</v>
      </c>
      <c r="AN91" s="313">
        <f>SUMIFS(Drivers!BP$71:BP$106,BSAcctIDs,$I91)</f>
        <v>55349.5</v>
      </c>
      <c r="AO91" s="313">
        <f>SUMIFS(Drivers!BQ$71:BQ$106,BSAcctIDs,$I91)</f>
        <v>55349.5</v>
      </c>
      <c r="AP91" s="313">
        <f>SUMIFS(Drivers!BR$71:BR$106,BSAcctIDs,$I91)</f>
        <v>55349.5</v>
      </c>
      <c r="AQ91" s="313">
        <f>SUMIFS(Drivers!BS$71:BS$106,BSAcctIDs,$I91)</f>
        <v>55349.5</v>
      </c>
      <c r="AR91" s="313">
        <f>SUMIFS(Drivers!BT$71:BT$106,BSAcctIDs,$I91)</f>
        <v>55349.5</v>
      </c>
      <c r="AS91" s="313">
        <f>SUMIFS(Drivers!BU$71:BU$106,BSAcctIDs,$I91)</f>
        <v>55349.5</v>
      </c>
      <c r="AT91" s="313">
        <f>SUMIFS(Drivers!BV$71:BV$106,BSAcctIDs,$I91)</f>
        <v>55349.5</v>
      </c>
      <c r="AU91" s="313">
        <f>SUMIFS(Drivers!BW$71:BW$106,BSAcctIDs,$I91)</f>
        <v>55349.5</v>
      </c>
      <c r="AV91" s="313">
        <f>SUMIFS(Drivers!BX$71:BX$106,BSAcctIDs,$I91)</f>
        <v>118804.0832818182</v>
      </c>
      <c r="AW91" s="313">
        <f>SUMIFS(Drivers!BY$71:BY$106,BSAcctIDs,$I91)</f>
        <v>99863.107246787215</v>
      </c>
      <c r="AX91" s="313">
        <f>SUMIFS(Drivers!BZ$71:BZ$106,BSAcctIDs,$I91)</f>
        <v>87543.935255415185</v>
      </c>
      <c r="AY91" s="313">
        <f>SUMIFS(Drivers!CA$71:CA$106,BSAcctIDs,$I91)</f>
        <v>88895.486110663274</v>
      </c>
      <c r="AZ91" s="313">
        <f>SUMIFS(Drivers!CB$71:CB$106,BSAcctIDs,$I91)</f>
        <v>97430.048159655038</v>
      </c>
      <c r="BA91" s="313">
        <f>SUMIFS(Drivers!CC$71:CC$106,BSAcctIDs,$I91)</f>
        <v>98280.388463798256</v>
      </c>
      <c r="BB91" s="313">
        <f>SUMIFS(Drivers!CD$71:CD$106,BSAcctIDs,$I91)</f>
        <v>99759.810845031418</v>
      </c>
      <c r="BC91" s="313">
        <f>SUMIFS(Drivers!CE$71:CE$106,BSAcctIDs,$I91)</f>
        <v>102002.91827537332</v>
      </c>
      <c r="BD91" s="313">
        <f>SUMIFS(Drivers!CF$71:CF$106,BSAcctIDs,$I91)</f>
        <v>103086.65220098443</v>
      </c>
      <c r="BE91" s="313">
        <f>SUMIFS(Drivers!CG$71:CG$106,BSAcctIDs,$I91)</f>
        <v>104093.6066991484</v>
      </c>
      <c r="BF91" s="313">
        <f>SUMIFS(Drivers!CH$71:CH$106,BSAcctIDs,$I91)</f>
        <v>105039.42272510206</v>
      </c>
      <c r="BG91" s="313">
        <f>SUMIFS(Drivers!CI$71:CI$106,BSAcctIDs,$I91)</f>
        <v>105949.63869410295</v>
      </c>
      <c r="BH91" s="313">
        <f>SUMIFS(Drivers!CJ$71:CJ$106,BSAcctIDs,$I91)</f>
        <v>111381.40120151216</v>
      </c>
    </row>
    <row r="92" spans="2:60" ht="19.5" customHeight="1" outlineLevel="1">
      <c r="B92" s="284"/>
      <c r="C92" s="315"/>
      <c r="D92" s="288" t="s">
        <v>306</v>
      </c>
      <c r="E92" s="277" t="str">
        <f>IFERROR(INDEX(PBC_ACCOUNT_LIST[Drivers Section],MATCH('Data Summary'!I92,PBC_ACCOUNT_LIST[Id],0)),"")</f>
        <v>Liabilities</v>
      </c>
      <c r="F92" s="277" t="str">
        <f>IFERROR(INDEX(PBC_ACCOUNT_LIST[Summary Grouping],MATCH('Data Summary'!I92,PBC_ACCOUNT_LIST[Id],0)),"")</f>
        <v>Current Liabilities</v>
      </c>
      <c r="G92" s="277"/>
      <c r="H92" s="277" t="str">
        <f>IFERROR(INDEX(PBC_ACCOUNT_LIST[Cash Flow Section],MATCH('Data Summary'!I92,PBC_ACCOUNT_LIST[Id],0)),"")</f>
        <v>Cash from Operating Activities</v>
      </c>
      <c r="I92" s="277">
        <v>156</v>
      </c>
      <c r="J92" s="314"/>
      <c r="L92" s="313">
        <f>SUMIFS(Drivers!AN$71:AN$106,BSAcctIDs,$I92)</f>
        <v>0</v>
      </c>
      <c r="M92" s="313">
        <f>SUMIFS(Drivers!AO$71:AO$106,BSAcctIDs,$I92)</f>
        <v>2942</v>
      </c>
      <c r="N92" s="313">
        <f>SUMIFS(Drivers!AP$71:AP$106,BSAcctIDs,$I92)</f>
        <v>1584</v>
      </c>
      <c r="O92" s="313">
        <f>SUMIFS(Drivers!AQ$71:AQ$106,BSAcctIDs,$I92)</f>
        <v>1026</v>
      </c>
      <c r="P92" s="313">
        <f>SUMIFS(Drivers!AR$71:AR$106,BSAcctIDs,$I92)</f>
        <v>1024</v>
      </c>
      <c r="Q92" s="313">
        <f>SUMIFS(Drivers!AS$71:AS$106,BSAcctIDs,$I92)</f>
        <v>2667</v>
      </c>
      <c r="R92" s="313">
        <f>SUMIFS(Drivers!AT$71:AT$106,BSAcctIDs,$I92)</f>
        <v>1160.5</v>
      </c>
      <c r="S92" s="313">
        <f>SUMIFS(Drivers!AU$71:AU$106,BSAcctIDs,$I92)</f>
        <v>2328.5</v>
      </c>
      <c r="T92" s="313">
        <f>SUMIFS(Drivers!AV$71:AV$106,BSAcctIDs,$I92)</f>
        <v>2690.5</v>
      </c>
      <c r="U92" s="313">
        <f>SUMIFS(Drivers!AW$71:AW$106,BSAcctIDs,$I92)</f>
        <v>1940.5</v>
      </c>
      <c r="V92" s="313">
        <f>SUMIFS(Drivers!AX$71:AX$106,BSAcctIDs,$I92)</f>
        <v>1624.5</v>
      </c>
      <c r="W92" s="313">
        <f>SUMIFS(Drivers!AY$71:AY$106,BSAcctIDs,$I92)</f>
        <v>1624.5</v>
      </c>
      <c r="X92" s="313">
        <f>SUMIFS(Drivers!AZ$71:AZ$106,BSAcctIDs,$I92)</f>
        <v>1624.5</v>
      </c>
      <c r="Y92" s="313">
        <f>SUMIFS(Drivers!BA$71:BA$106,BSAcctIDs,$I92)</f>
        <v>1624.5</v>
      </c>
      <c r="Z92" s="313">
        <f>SUMIFS(Drivers!BB$71:BB$106,BSAcctIDs,$I92)</f>
        <v>1624.5</v>
      </c>
      <c r="AA92" s="313">
        <f>SUMIFS(Drivers!BC$71:BC$106,BSAcctIDs,$I92)</f>
        <v>1624.5</v>
      </c>
      <c r="AB92" s="313">
        <f>SUMIFS(Drivers!BD$71:BD$106,BSAcctIDs,$I92)</f>
        <v>1624.5</v>
      </c>
      <c r="AC92" s="313">
        <f>SUMIFS(Drivers!BE$71:BE$106,BSAcctIDs,$I92)</f>
        <v>1624.5</v>
      </c>
      <c r="AD92" s="313">
        <f>SUMIFS(Drivers!BF$71:BF$106,BSAcctIDs,$I92)</f>
        <v>1624.5</v>
      </c>
      <c r="AE92" s="313">
        <f>SUMIFS(Drivers!BG$71:BG$106,BSAcctIDs,$I92)</f>
        <v>1624.5</v>
      </c>
      <c r="AF92" s="313">
        <f>SUMIFS(Drivers!BH$71:BH$106,BSAcctIDs,$I92)</f>
        <v>1624.5</v>
      </c>
      <c r="AG92" s="313">
        <f>SUMIFS(Drivers!BI$71:BI$106,BSAcctIDs,$I92)</f>
        <v>1624.5</v>
      </c>
      <c r="AH92" s="313">
        <f>SUMIFS(Drivers!BJ$71:BJ$106,BSAcctIDs,$I92)</f>
        <v>1624.5</v>
      </c>
      <c r="AI92" s="313">
        <f>SUMIFS(Drivers!BK$71:BK$106,BSAcctIDs,$I92)</f>
        <v>1624.5</v>
      </c>
      <c r="AJ92" s="313">
        <f>SUMIFS(Drivers!BL$71:BL$106,BSAcctIDs,$I92)</f>
        <v>1624.5</v>
      </c>
      <c r="AK92" s="313">
        <f>SUMIFS(Drivers!BM$71:BM$106,BSAcctIDs,$I92)</f>
        <v>1624.5</v>
      </c>
      <c r="AL92" s="313">
        <f>SUMIFS(Drivers!BN$71:BN$106,BSAcctIDs,$I92)</f>
        <v>1624.5</v>
      </c>
      <c r="AM92" s="313">
        <f>SUMIFS(Drivers!BO$71:BO$106,BSAcctIDs,$I92)</f>
        <v>1624.5</v>
      </c>
      <c r="AN92" s="313">
        <f>SUMIFS(Drivers!BP$71:BP$106,BSAcctIDs,$I92)</f>
        <v>1624.5</v>
      </c>
      <c r="AO92" s="313">
        <f>SUMIFS(Drivers!BQ$71:BQ$106,BSAcctIDs,$I92)</f>
        <v>1624.5</v>
      </c>
      <c r="AP92" s="313">
        <f>SUMIFS(Drivers!BR$71:BR$106,BSAcctIDs,$I92)</f>
        <v>1624.5</v>
      </c>
      <c r="AQ92" s="313">
        <f>SUMIFS(Drivers!BS$71:BS$106,BSAcctIDs,$I92)</f>
        <v>1624.5</v>
      </c>
      <c r="AR92" s="313">
        <f>SUMIFS(Drivers!BT$71:BT$106,BSAcctIDs,$I92)</f>
        <v>1624.5</v>
      </c>
      <c r="AS92" s="313">
        <f>SUMIFS(Drivers!BU$71:BU$106,BSAcctIDs,$I92)</f>
        <v>1624.5</v>
      </c>
      <c r="AT92" s="313">
        <f>SUMIFS(Drivers!BV$71:BV$106,BSAcctIDs,$I92)</f>
        <v>1624.5</v>
      </c>
      <c r="AU92" s="313">
        <f>SUMIFS(Drivers!BW$71:BW$106,BSAcctIDs,$I92)</f>
        <v>1624.5</v>
      </c>
      <c r="AV92" s="313">
        <f>SUMIFS(Drivers!BX$71:BX$106,BSAcctIDs,$I92)</f>
        <v>1624.5</v>
      </c>
      <c r="AW92" s="313">
        <f>SUMIFS(Drivers!BY$71:BY$106,BSAcctIDs,$I92)</f>
        <v>1624.5</v>
      </c>
      <c r="AX92" s="313">
        <f>SUMIFS(Drivers!BZ$71:BZ$106,BSAcctIDs,$I92)</f>
        <v>1624.5</v>
      </c>
      <c r="AY92" s="313">
        <f>SUMIFS(Drivers!CA$71:CA$106,BSAcctIDs,$I92)</f>
        <v>1624.5</v>
      </c>
      <c r="AZ92" s="313">
        <f>SUMIFS(Drivers!CB$71:CB$106,BSAcctIDs,$I92)</f>
        <v>1624.5</v>
      </c>
      <c r="BA92" s="313">
        <f>SUMIFS(Drivers!CC$71:CC$106,BSAcctIDs,$I92)</f>
        <v>1624.5</v>
      </c>
      <c r="BB92" s="313">
        <f>SUMIFS(Drivers!CD$71:CD$106,BSAcctIDs,$I92)</f>
        <v>1624.5</v>
      </c>
      <c r="BC92" s="313">
        <f>SUMIFS(Drivers!CE$71:CE$106,BSAcctIDs,$I92)</f>
        <v>1624.5</v>
      </c>
      <c r="BD92" s="313">
        <f>SUMIFS(Drivers!CF$71:CF$106,BSAcctIDs,$I92)</f>
        <v>1624.5</v>
      </c>
      <c r="BE92" s="313">
        <f>SUMIFS(Drivers!CG$71:CG$106,BSAcctIDs,$I92)</f>
        <v>1624.5</v>
      </c>
      <c r="BF92" s="313">
        <f>SUMIFS(Drivers!CH$71:CH$106,BSAcctIDs,$I92)</f>
        <v>1624.5</v>
      </c>
      <c r="BG92" s="313">
        <f>SUMIFS(Drivers!CI$71:CI$106,BSAcctIDs,$I92)</f>
        <v>1624.5</v>
      </c>
      <c r="BH92" s="313">
        <f>SUMIFS(Drivers!CJ$71:CJ$106,BSAcctIDs,$I92)</f>
        <v>1624.5</v>
      </c>
    </row>
    <row r="93" spans="2:60" ht="19.5" customHeight="1" outlineLevel="1">
      <c r="B93" s="284"/>
      <c r="C93" s="315"/>
      <c r="D93" s="288" t="s">
        <v>307</v>
      </c>
      <c r="E93" s="277" t="str">
        <f>IFERROR(INDEX(PBC_ACCOUNT_LIST[Drivers Section],MATCH('Data Summary'!I93,PBC_ACCOUNT_LIST[Id],0)),"")</f>
        <v>Liabilities</v>
      </c>
      <c r="F93" s="277" t="str">
        <f>IFERROR(INDEX(PBC_ACCOUNT_LIST[Summary Grouping],MATCH('Data Summary'!I93,PBC_ACCOUNT_LIST[Id],0)),"")</f>
        <v>Current Liabilities</v>
      </c>
      <c r="G93" s="277"/>
      <c r="H93" s="277" t="str">
        <f>IFERROR(INDEX(PBC_ACCOUNT_LIST[Cash Flow Section],MATCH('Data Summary'!I93,PBC_ACCOUNT_LIST[Id],0)),"")</f>
        <v>Cash from Operating Activities</v>
      </c>
      <c r="I93" s="277">
        <v>157</v>
      </c>
      <c r="J93" s="314"/>
      <c r="L93" s="313">
        <f>SUMIFS(Drivers!AN$71:AN$106,BSAcctIDs,$I93)</f>
        <v>0</v>
      </c>
      <c r="M93" s="313">
        <f>SUMIFS(Drivers!AO$71:AO$106,BSAcctIDs,$I93)</f>
        <v>2150</v>
      </c>
      <c r="N93" s="313">
        <f>SUMIFS(Drivers!AP$71:AP$106,BSAcctIDs,$I93)</f>
        <v>3394</v>
      </c>
      <c r="O93" s="313">
        <f>SUMIFS(Drivers!AQ$71:AQ$106,BSAcctIDs,$I93)</f>
        <v>676</v>
      </c>
      <c r="P93" s="313">
        <f>SUMIFS(Drivers!AR$71:AR$106,BSAcctIDs,$I93)</f>
        <v>2390</v>
      </c>
      <c r="Q93" s="313">
        <f>SUMIFS(Drivers!AS$71:AS$106,BSAcctIDs,$I93)</f>
        <v>1981</v>
      </c>
      <c r="R93" s="313">
        <f>SUMIFS(Drivers!AT$71:AT$106,BSAcctIDs,$I93)</f>
        <v>1486.5</v>
      </c>
      <c r="S93" s="313">
        <f>SUMIFS(Drivers!AU$71:AU$106,BSAcctIDs,$I93)</f>
        <v>433.5</v>
      </c>
      <c r="T93" s="313">
        <f>SUMIFS(Drivers!AV$71:AV$106,BSAcctIDs,$I93)</f>
        <v>2928.5</v>
      </c>
      <c r="U93" s="313">
        <f>SUMIFS(Drivers!AW$71:AW$106,BSAcctIDs,$I93)</f>
        <v>3274.5</v>
      </c>
      <c r="V93" s="313">
        <f>SUMIFS(Drivers!AX$71:AX$106,BSAcctIDs,$I93)</f>
        <v>1353.5</v>
      </c>
      <c r="W93" s="313">
        <f>SUMIFS(Drivers!AY$71:AY$106,BSAcctIDs,$I93)</f>
        <v>1353.5</v>
      </c>
      <c r="X93" s="313">
        <f>SUMIFS(Drivers!AZ$71:AZ$106,BSAcctIDs,$I93)</f>
        <v>1353.5</v>
      </c>
      <c r="Y93" s="313">
        <f>SUMIFS(Drivers!BA$71:BA$106,BSAcctIDs,$I93)</f>
        <v>1353.5</v>
      </c>
      <c r="Z93" s="313">
        <f>SUMIFS(Drivers!BB$71:BB$106,BSAcctIDs,$I93)</f>
        <v>1353.5</v>
      </c>
      <c r="AA93" s="313">
        <f>SUMIFS(Drivers!BC$71:BC$106,BSAcctIDs,$I93)</f>
        <v>1353.5</v>
      </c>
      <c r="AB93" s="313">
        <f>SUMIFS(Drivers!BD$71:BD$106,BSAcctIDs,$I93)</f>
        <v>1353.5</v>
      </c>
      <c r="AC93" s="313">
        <f>SUMIFS(Drivers!BE$71:BE$106,BSAcctIDs,$I93)</f>
        <v>1353.5</v>
      </c>
      <c r="AD93" s="313">
        <f>SUMIFS(Drivers!BF$71:BF$106,BSAcctIDs,$I93)</f>
        <v>1353.5</v>
      </c>
      <c r="AE93" s="313">
        <f>SUMIFS(Drivers!BG$71:BG$106,BSAcctIDs,$I93)</f>
        <v>1353.5</v>
      </c>
      <c r="AF93" s="313">
        <f>SUMIFS(Drivers!BH$71:BH$106,BSAcctIDs,$I93)</f>
        <v>1353.5</v>
      </c>
      <c r="AG93" s="313">
        <f>SUMIFS(Drivers!BI$71:BI$106,BSAcctIDs,$I93)</f>
        <v>1353.5</v>
      </c>
      <c r="AH93" s="313">
        <f>SUMIFS(Drivers!BJ$71:BJ$106,BSAcctIDs,$I93)</f>
        <v>1353.5</v>
      </c>
      <c r="AI93" s="313">
        <f>SUMIFS(Drivers!BK$71:BK$106,BSAcctIDs,$I93)</f>
        <v>1353.5</v>
      </c>
      <c r="AJ93" s="313">
        <f>SUMIFS(Drivers!BL$71:BL$106,BSAcctIDs,$I93)</f>
        <v>1353.5</v>
      </c>
      <c r="AK93" s="313">
        <f>SUMIFS(Drivers!BM$71:BM$106,BSAcctIDs,$I93)</f>
        <v>1353.5</v>
      </c>
      <c r="AL93" s="313">
        <f>SUMIFS(Drivers!BN$71:BN$106,BSAcctIDs,$I93)</f>
        <v>1353.5</v>
      </c>
      <c r="AM93" s="313">
        <f>SUMIFS(Drivers!BO$71:BO$106,BSAcctIDs,$I93)</f>
        <v>1353.5</v>
      </c>
      <c r="AN93" s="313">
        <f>SUMIFS(Drivers!BP$71:BP$106,BSAcctIDs,$I93)</f>
        <v>1353.5</v>
      </c>
      <c r="AO93" s="313">
        <f>SUMIFS(Drivers!BQ$71:BQ$106,BSAcctIDs,$I93)</f>
        <v>1353.5</v>
      </c>
      <c r="AP93" s="313">
        <f>SUMIFS(Drivers!BR$71:BR$106,BSAcctIDs,$I93)</f>
        <v>1353.5</v>
      </c>
      <c r="AQ93" s="313">
        <f>SUMIFS(Drivers!BS$71:BS$106,BSAcctIDs,$I93)</f>
        <v>1353.5</v>
      </c>
      <c r="AR93" s="313">
        <f>SUMIFS(Drivers!BT$71:BT$106,BSAcctIDs,$I93)</f>
        <v>1353.5</v>
      </c>
      <c r="AS93" s="313">
        <f>SUMIFS(Drivers!BU$71:BU$106,BSAcctIDs,$I93)</f>
        <v>1353.5</v>
      </c>
      <c r="AT93" s="313">
        <f>SUMIFS(Drivers!BV$71:BV$106,BSAcctIDs,$I93)</f>
        <v>1353.5</v>
      </c>
      <c r="AU93" s="313">
        <f>SUMIFS(Drivers!BW$71:BW$106,BSAcctIDs,$I93)</f>
        <v>1353.5</v>
      </c>
      <c r="AV93" s="313">
        <f>SUMIFS(Drivers!BX$71:BX$106,BSAcctIDs,$I93)</f>
        <v>1353.5</v>
      </c>
      <c r="AW93" s="313">
        <f>SUMIFS(Drivers!BY$71:BY$106,BSAcctIDs,$I93)</f>
        <v>1353.5</v>
      </c>
      <c r="AX93" s="313">
        <f>SUMIFS(Drivers!BZ$71:BZ$106,BSAcctIDs,$I93)</f>
        <v>1353.5</v>
      </c>
      <c r="AY93" s="313">
        <f>SUMIFS(Drivers!CA$71:CA$106,BSAcctIDs,$I93)</f>
        <v>1353.5</v>
      </c>
      <c r="AZ93" s="313">
        <f>SUMIFS(Drivers!CB$71:CB$106,BSAcctIDs,$I93)</f>
        <v>1353.5</v>
      </c>
      <c r="BA93" s="313">
        <f>SUMIFS(Drivers!CC$71:CC$106,BSAcctIDs,$I93)</f>
        <v>1353.5</v>
      </c>
      <c r="BB93" s="313">
        <f>SUMIFS(Drivers!CD$71:CD$106,BSAcctIDs,$I93)</f>
        <v>1353.5</v>
      </c>
      <c r="BC93" s="313">
        <f>SUMIFS(Drivers!CE$71:CE$106,BSAcctIDs,$I93)</f>
        <v>1353.5</v>
      </c>
      <c r="BD93" s="313">
        <f>SUMIFS(Drivers!CF$71:CF$106,BSAcctIDs,$I93)</f>
        <v>1353.5</v>
      </c>
      <c r="BE93" s="313">
        <f>SUMIFS(Drivers!CG$71:CG$106,BSAcctIDs,$I93)</f>
        <v>1353.5</v>
      </c>
      <c r="BF93" s="313">
        <f>SUMIFS(Drivers!CH$71:CH$106,BSAcctIDs,$I93)</f>
        <v>1353.5</v>
      </c>
      <c r="BG93" s="313">
        <f>SUMIFS(Drivers!CI$71:CI$106,BSAcctIDs,$I93)</f>
        <v>1353.5</v>
      </c>
      <c r="BH93" s="313">
        <f>SUMIFS(Drivers!CJ$71:CJ$106,BSAcctIDs,$I93)</f>
        <v>1353.5</v>
      </c>
    </row>
    <row r="94" spans="2:60" ht="19.5" customHeight="1" outlineLevel="1">
      <c r="B94" s="284"/>
      <c r="C94" s="315"/>
      <c r="D94" s="288" t="s">
        <v>308</v>
      </c>
      <c r="E94" s="277" t="str">
        <f>IFERROR(INDEX(PBC_ACCOUNT_LIST[Drivers Section],MATCH('Data Summary'!I94,PBC_ACCOUNT_LIST[Id],0)),"")</f>
        <v>Liabilities</v>
      </c>
      <c r="F94" s="277" t="str">
        <f>IFERROR(INDEX(PBC_ACCOUNT_LIST[Summary Grouping],MATCH('Data Summary'!I94,PBC_ACCOUNT_LIST[Id],0)),"")</f>
        <v>Deferred Revenue</v>
      </c>
      <c r="G94" s="277"/>
      <c r="H94" s="277" t="str">
        <f>IFERROR(INDEX(PBC_ACCOUNT_LIST[Cash Flow Section],MATCH('Data Summary'!I94,PBC_ACCOUNT_LIST[Id],0)),"")</f>
        <v>Cash from Operating Activities</v>
      </c>
      <c r="I94" s="277">
        <v>158</v>
      </c>
      <c r="J94" s="314"/>
      <c r="L94" s="313">
        <f>SUMIFS(Drivers!AN$71:AN$106,BSAcctIDs,$I94)</f>
        <v>0</v>
      </c>
      <c r="M94" s="313">
        <f>SUMIFS(Drivers!AO$71:AO$106,BSAcctIDs,$I94)</f>
        <v>15000</v>
      </c>
      <c r="N94" s="313">
        <f>SUMIFS(Drivers!AP$71:AP$106,BSAcctIDs,$I94)</f>
        <v>15750</v>
      </c>
      <c r="O94" s="313">
        <f>SUMIFS(Drivers!AQ$71:AQ$106,BSAcctIDs,$I94)</f>
        <v>16538</v>
      </c>
      <c r="P94" s="313">
        <f>SUMIFS(Drivers!AR$71:AR$106,BSAcctIDs,$I94)</f>
        <v>17365</v>
      </c>
      <c r="Q94" s="313">
        <f>SUMIFS(Drivers!AS$71:AS$106,BSAcctIDs,$I94)</f>
        <v>18233</v>
      </c>
      <c r="R94" s="313">
        <f>SUMIFS(Drivers!AT$71:AT$106,BSAcctIDs,$I94)</f>
        <v>19145</v>
      </c>
      <c r="S94" s="313">
        <f>SUMIFS(Drivers!AU$71:AU$106,BSAcctIDs,$I94)</f>
        <v>20102</v>
      </c>
      <c r="T94" s="313">
        <f>SUMIFS(Drivers!AV$71:AV$106,BSAcctIDs,$I94)</f>
        <v>21107</v>
      </c>
      <c r="U94" s="313">
        <f>SUMIFS(Drivers!AW$71:AW$106,BSAcctIDs,$I94)</f>
        <v>22162</v>
      </c>
      <c r="V94" s="313">
        <f>SUMIFS(Drivers!AX$71:AX$106,BSAcctIDs,$I94)</f>
        <v>23270</v>
      </c>
      <c r="W94" s="313">
        <f>SUMIFS(Drivers!AY$71:AY$106,BSAcctIDs,$I94)</f>
        <v>23270</v>
      </c>
      <c r="X94" s="313">
        <f>SUMIFS(Drivers!AZ$71:AZ$106,BSAcctIDs,$I94)</f>
        <v>23270</v>
      </c>
      <c r="Y94" s="313">
        <f>SUMIFS(Drivers!BA$71:BA$106,BSAcctIDs,$I94)</f>
        <v>23270</v>
      </c>
      <c r="Z94" s="313">
        <f>SUMIFS(Drivers!BB$71:BB$106,BSAcctIDs,$I94)</f>
        <v>23270</v>
      </c>
      <c r="AA94" s="313">
        <f>SUMIFS(Drivers!BC$71:BC$106,BSAcctIDs,$I94)</f>
        <v>23270</v>
      </c>
      <c r="AB94" s="313">
        <f>SUMIFS(Drivers!BD$71:BD$106,BSAcctIDs,$I94)</f>
        <v>23270</v>
      </c>
      <c r="AC94" s="313">
        <f>SUMIFS(Drivers!BE$71:BE$106,BSAcctIDs,$I94)</f>
        <v>23270</v>
      </c>
      <c r="AD94" s="313">
        <f>SUMIFS(Drivers!BF$71:BF$106,BSAcctIDs,$I94)</f>
        <v>23270</v>
      </c>
      <c r="AE94" s="313">
        <f>SUMIFS(Drivers!BG$71:BG$106,BSAcctIDs,$I94)</f>
        <v>23270</v>
      </c>
      <c r="AF94" s="313">
        <f>SUMIFS(Drivers!BH$71:BH$106,BSAcctIDs,$I94)</f>
        <v>23270</v>
      </c>
      <c r="AG94" s="313">
        <f>SUMIFS(Drivers!BI$71:BI$106,BSAcctIDs,$I94)</f>
        <v>23270</v>
      </c>
      <c r="AH94" s="313">
        <f>SUMIFS(Drivers!BJ$71:BJ$106,BSAcctIDs,$I94)</f>
        <v>23270</v>
      </c>
      <c r="AI94" s="313">
        <f>SUMIFS(Drivers!BK$71:BK$106,BSAcctIDs,$I94)</f>
        <v>23270</v>
      </c>
      <c r="AJ94" s="313">
        <f>SUMIFS(Drivers!BL$71:BL$106,BSAcctIDs,$I94)</f>
        <v>23270</v>
      </c>
      <c r="AK94" s="313">
        <f>SUMIFS(Drivers!BM$71:BM$106,BSAcctIDs,$I94)</f>
        <v>23270</v>
      </c>
      <c r="AL94" s="313">
        <f>SUMIFS(Drivers!BN$71:BN$106,BSAcctIDs,$I94)</f>
        <v>23270</v>
      </c>
      <c r="AM94" s="313">
        <f>SUMIFS(Drivers!BO$71:BO$106,BSAcctIDs,$I94)</f>
        <v>23270</v>
      </c>
      <c r="AN94" s="313">
        <f>SUMIFS(Drivers!BP$71:BP$106,BSAcctIDs,$I94)</f>
        <v>23270</v>
      </c>
      <c r="AO94" s="313">
        <f>SUMIFS(Drivers!BQ$71:BQ$106,BSAcctIDs,$I94)</f>
        <v>23270</v>
      </c>
      <c r="AP94" s="313">
        <f>SUMIFS(Drivers!BR$71:BR$106,BSAcctIDs,$I94)</f>
        <v>23270</v>
      </c>
      <c r="AQ94" s="313">
        <f>SUMIFS(Drivers!BS$71:BS$106,BSAcctIDs,$I94)</f>
        <v>23270</v>
      </c>
      <c r="AR94" s="313">
        <f>SUMIFS(Drivers!BT$71:BT$106,BSAcctIDs,$I94)</f>
        <v>23270</v>
      </c>
      <c r="AS94" s="313">
        <f>SUMIFS(Drivers!BU$71:BU$106,BSAcctIDs,$I94)</f>
        <v>23270</v>
      </c>
      <c r="AT94" s="313">
        <f>SUMIFS(Drivers!BV$71:BV$106,BSAcctIDs,$I94)</f>
        <v>23270</v>
      </c>
      <c r="AU94" s="313">
        <f>SUMIFS(Drivers!BW$71:BW$106,BSAcctIDs,$I94)</f>
        <v>23270</v>
      </c>
      <c r="AV94" s="313">
        <f>SUMIFS(Drivers!BX$71:BX$106,BSAcctIDs,$I94)</f>
        <v>101330.83333333334</v>
      </c>
      <c r="AW94" s="313">
        <f>SUMIFS(Drivers!BY$71:BY$106,BSAcctIDs,$I94)</f>
        <v>139391.66666666669</v>
      </c>
      <c r="AX94" s="313">
        <f>SUMIFS(Drivers!BZ$71:BZ$106,BSAcctIDs,$I94)</f>
        <v>137452.5</v>
      </c>
      <c r="AY94" s="313">
        <f>SUMIFS(Drivers!CA$71:CA$106,BSAcctIDs,$I94)</f>
        <v>135513.33333333331</v>
      </c>
      <c r="AZ94" s="313">
        <f>SUMIFS(Drivers!CB$71:CB$106,BSAcctIDs,$I94)</f>
        <v>133574.16666666663</v>
      </c>
      <c r="BA94" s="313">
        <f>SUMIFS(Drivers!CC$71:CC$106,BSAcctIDs,$I94)</f>
        <v>131634.99999999994</v>
      </c>
      <c r="BB94" s="313">
        <f>SUMIFS(Drivers!CD$71:CD$106,BSAcctIDs,$I94)</f>
        <v>129695.83333333327</v>
      </c>
      <c r="BC94" s="313">
        <f>SUMIFS(Drivers!CE$71:CE$106,BSAcctIDs,$I94)</f>
        <v>127756.66666666658</v>
      </c>
      <c r="BD94" s="313">
        <f>SUMIFS(Drivers!CF$71:CF$106,BSAcctIDs,$I94)</f>
        <v>125817.4999999999</v>
      </c>
      <c r="BE94" s="313">
        <f>SUMIFS(Drivers!CG$71:CG$106,BSAcctIDs,$I94)</f>
        <v>123878.33333333321</v>
      </c>
      <c r="BF94" s="313">
        <f>SUMIFS(Drivers!CH$71:CH$106,BSAcctIDs,$I94)</f>
        <v>121939.16666666653</v>
      </c>
      <c r="BG94" s="313">
        <f>SUMIFS(Drivers!CI$71:CI$106,BSAcctIDs,$I94)</f>
        <v>119999.99999999984</v>
      </c>
      <c r="BH94" s="313">
        <f>SUMIFS(Drivers!CJ$71:CJ$106,BSAcctIDs,$I94)</f>
        <v>119999.99999999983</v>
      </c>
    </row>
    <row r="95" spans="2:60" ht="19.5" customHeight="1" outlineLevel="1">
      <c r="B95" s="284"/>
      <c r="C95" s="315"/>
      <c r="D95" s="288" t="s">
        <v>309</v>
      </c>
      <c r="E95" s="277" t="str">
        <f>IFERROR(INDEX(PBC_ACCOUNT_LIST[Drivers Section],MATCH('Data Summary'!I95,PBC_ACCOUNT_LIST[Id],0)),"")</f>
        <v>Liabilities</v>
      </c>
      <c r="F95" s="277" t="str">
        <f>IFERROR(INDEX(PBC_ACCOUNT_LIST[Summary Grouping],MATCH('Data Summary'!I95,PBC_ACCOUNT_LIST[Id],0)),"")</f>
        <v>Current Liabilities</v>
      </c>
      <c r="G95" s="277"/>
      <c r="H95" s="277" t="str">
        <f>IFERROR(INDEX(PBC_ACCOUNT_LIST[Cash Flow Section],MATCH('Data Summary'!I95,PBC_ACCOUNT_LIST[Id],0)),"")</f>
        <v>Cash from Operating Activities</v>
      </c>
      <c r="I95" s="277">
        <v>159</v>
      </c>
      <c r="J95" s="314"/>
      <c r="L95" s="313">
        <f>SUMIFS(Drivers!AN$71:AN$106,BSAcctIDs,$I95)</f>
        <v>0</v>
      </c>
      <c r="M95" s="313">
        <f>SUMIFS(Drivers!AO$71:AO$106,BSAcctIDs,$I95)</f>
        <v>322</v>
      </c>
      <c r="N95" s="313">
        <f>SUMIFS(Drivers!AP$71:AP$106,BSAcctIDs,$I95)</f>
        <v>944</v>
      </c>
      <c r="O95" s="313">
        <f>SUMIFS(Drivers!AQ$71:AQ$106,BSAcctIDs,$I95)</f>
        <v>1636</v>
      </c>
      <c r="P95" s="313">
        <f>SUMIFS(Drivers!AR$71:AR$106,BSAcctIDs,$I95)</f>
        <v>2317</v>
      </c>
      <c r="Q95" s="313">
        <f>SUMIFS(Drivers!AS$71:AS$106,BSAcctIDs,$I95)</f>
        <v>1183</v>
      </c>
      <c r="R95" s="313">
        <f>SUMIFS(Drivers!AT$71:AT$106,BSAcctIDs,$I95)</f>
        <v>1173</v>
      </c>
      <c r="S95" s="313">
        <f>SUMIFS(Drivers!AU$71:AU$106,BSAcctIDs,$I95)</f>
        <v>2805</v>
      </c>
      <c r="T95" s="313">
        <f>SUMIFS(Drivers!AV$71:AV$106,BSAcctIDs,$I95)</f>
        <v>115.5</v>
      </c>
      <c r="U95" s="313">
        <f>SUMIFS(Drivers!AW$71:AW$106,BSAcctIDs,$I95)</f>
        <v>3370.5</v>
      </c>
      <c r="V95" s="313">
        <f>SUMIFS(Drivers!AX$71:AX$106,BSAcctIDs,$I95)</f>
        <v>1260.5</v>
      </c>
      <c r="W95" s="313">
        <f>SUMIFS(Drivers!AY$71:AY$106,BSAcctIDs,$I95)</f>
        <v>1260.5</v>
      </c>
      <c r="X95" s="313">
        <f>SUMIFS(Drivers!AZ$71:AZ$106,BSAcctIDs,$I95)</f>
        <v>1260.5</v>
      </c>
      <c r="Y95" s="313">
        <f>SUMIFS(Drivers!BA$71:BA$106,BSAcctIDs,$I95)</f>
        <v>1260.5</v>
      </c>
      <c r="Z95" s="313">
        <f>SUMIFS(Drivers!BB$71:BB$106,BSAcctIDs,$I95)</f>
        <v>1260.5</v>
      </c>
      <c r="AA95" s="313">
        <f>SUMIFS(Drivers!BC$71:BC$106,BSAcctIDs,$I95)</f>
        <v>1260.5</v>
      </c>
      <c r="AB95" s="313">
        <f>SUMIFS(Drivers!BD$71:BD$106,BSAcctIDs,$I95)</f>
        <v>1260.5</v>
      </c>
      <c r="AC95" s="313">
        <f>SUMIFS(Drivers!BE$71:BE$106,BSAcctIDs,$I95)</f>
        <v>1260.5</v>
      </c>
      <c r="AD95" s="313">
        <f>SUMIFS(Drivers!BF$71:BF$106,BSAcctIDs,$I95)</f>
        <v>1260.5</v>
      </c>
      <c r="AE95" s="313">
        <f>SUMIFS(Drivers!BG$71:BG$106,BSAcctIDs,$I95)</f>
        <v>1260.5</v>
      </c>
      <c r="AF95" s="313">
        <f>SUMIFS(Drivers!BH$71:BH$106,BSAcctIDs,$I95)</f>
        <v>1260.5</v>
      </c>
      <c r="AG95" s="313">
        <f>SUMIFS(Drivers!BI$71:BI$106,BSAcctIDs,$I95)</f>
        <v>1260.5</v>
      </c>
      <c r="AH95" s="313">
        <f>SUMIFS(Drivers!BJ$71:BJ$106,BSAcctIDs,$I95)</f>
        <v>1260.5</v>
      </c>
      <c r="AI95" s="313">
        <f>SUMIFS(Drivers!BK$71:BK$106,BSAcctIDs,$I95)</f>
        <v>1260.5</v>
      </c>
      <c r="AJ95" s="313">
        <f>SUMIFS(Drivers!BL$71:BL$106,BSAcctIDs,$I95)</f>
        <v>1260.5</v>
      </c>
      <c r="AK95" s="313">
        <f>SUMIFS(Drivers!BM$71:BM$106,BSAcctIDs,$I95)</f>
        <v>1260.5</v>
      </c>
      <c r="AL95" s="313">
        <f>SUMIFS(Drivers!BN$71:BN$106,BSAcctIDs,$I95)</f>
        <v>1260.5</v>
      </c>
      <c r="AM95" s="313">
        <f>SUMIFS(Drivers!BO$71:BO$106,BSAcctIDs,$I95)</f>
        <v>1260.5</v>
      </c>
      <c r="AN95" s="313">
        <f>SUMIFS(Drivers!BP$71:BP$106,BSAcctIDs,$I95)</f>
        <v>1260.5</v>
      </c>
      <c r="AO95" s="313">
        <f>SUMIFS(Drivers!BQ$71:BQ$106,BSAcctIDs,$I95)</f>
        <v>1260.5</v>
      </c>
      <c r="AP95" s="313">
        <f>SUMIFS(Drivers!BR$71:BR$106,BSAcctIDs,$I95)</f>
        <v>1260.5</v>
      </c>
      <c r="AQ95" s="313">
        <f>SUMIFS(Drivers!BS$71:BS$106,BSAcctIDs,$I95)</f>
        <v>1260.5</v>
      </c>
      <c r="AR95" s="313">
        <f>SUMIFS(Drivers!BT$71:BT$106,BSAcctIDs,$I95)</f>
        <v>1260.5</v>
      </c>
      <c r="AS95" s="313">
        <f>SUMIFS(Drivers!BU$71:BU$106,BSAcctIDs,$I95)</f>
        <v>1260.5</v>
      </c>
      <c r="AT95" s="313">
        <f>SUMIFS(Drivers!BV$71:BV$106,BSAcctIDs,$I95)</f>
        <v>1260.5</v>
      </c>
      <c r="AU95" s="313">
        <f>SUMIFS(Drivers!BW$71:BW$106,BSAcctIDs,$I95)</f>
        <v>1260.5</v>
      </c>
      <c r="AV95" s="313">
        <f>SUMIFS(Drivers!BX$71:BX$106,BSAcctIDs,$I95)</f>
        <v>1260.5</v>
      </c>
      <c r="AW95" s="313">
        <f>SUMIFS(Drivers!BY$71:BY$106,BSAcctIDs,$I95)</f>
        <v>1260.5</v>
      </c>
      <c r="AX95" s="313">
        <f>SUMIFS(Drivers!BZ$71:BZ$106,BSAcctIDs,$I95)</f>
        <v>1260.5</v>
      </c>
      <c r="AY95" s="313">
        <f>SUMIFS(Drivers!CA$71:CA$106,BSAcctIDs,$I95)</f>
        <v>1260.5</v>
      </c>
      <c r="AZ95" s="313">
        <f>SUMIFS(Drivers!CB$71:CB$106,BSAcctIDs,$I95)</f>
        <v>1260.5</v>
      </c>
      <c r="BA95" s="313">
        <f>SUMIFS(Drivers!CC$71:CC$106,BSAcctIDs,$I95)</f>
        <v>1260.5</v>
      </c>
      <c r="BB95" s="313">
        <f>SUMIFS(Drivers!CD$71:CD$106,BSAcctIDs,$I95)</f>
        <v>1260.5</v>
      </c>
      <c r="BC95" s="313">
        <f>SUMIFS(Drivers!CE$71:CE$106,BSAcctIDs,$I95)</f>
        <v>1260.5</v>
      </c>
      <c r="BD95" s="313">
        <f>SUMIFS(Drivers!CF$71:CF$106,BSAcctIDs,$I95)</f>
        <v>1260.5</v>
      </c>
      <c r="BE95" s="313">
        <f>SUMIFS(Drivers!CG$71:CG$106,BSAcctIDs,$I95)</f>
        <v>1260.5</v>
      </c>
      <c r="BF95" s="313">
        <f>SUMIFS(Drivers!CH$71:CH$106,BSAcctIDs,$I95)</f>
        <v>1260.5</v>
      </c>
      <c r="BG95" s="313">
        <f>SUMIFS(Drivers!CI$71:CI$106,BSAcctIDs,$I95)</f>
        <v>1260.5</v>
      </c>
      <c r="BH95" s="313">
        <f>SUMIFS(Drivers!CJ$71:CJ$106,BSAcctIDs,$I95)</f>
        <v>1260.5</v>
      </c>
    </row>
    <row r="96" spans="2:60" ht="19.5" customHeight="1" outlineLevel="1">
      <c r="B96" s="284"/>
      <c r="C96" s="315"/>
      <c r="D96" s="288" t="s">
        <v>302</v>
      </c>
      <c r="E96" s="277" t="str">
        <f>IFERROR(INDEX(PBC_ACCOUNT_LIST[Drivers Section],MATCH('Data Summary'!I96,PBC_ACCOUNT_LIST[Id],0)),"")</f>
        <v>Liabilities</v>
      </c>
      <c r="F96" s="277" t="str">
        <f>IFERROR(INDEX(PBC_ACCOUNT_LIST[Summary Grouping],MATCH('Data Summary'!I96,PBC_ACCOUNT_LIST[Id],0)),"")</f>
        <v>Accounts Payable</v>
      </c>
      <c r="G96" s="277"/>
      <c r="H96" s="277" t="str">
        <f>IFERROR(INDEX(PBC_ACCOUNT_LIST[Cash Flow Section],MATCH('Data Summary'!I96,PBC_ACCOUNT_LIST[Id],0)),"")</f>
        <v>Cash from Operating Activities</v>
      </c>
      <c r="I96" s="277">
        <v>7</v>
      </c>
      <c r="J96" s="314"/>
      <c r="L96" s="313">
        <f>SUMIFS(Drivers!AN$71:AN$106,BSAcctIDs,$I96)</f>
        <v>0</v>
      </c>
      <c r="M96" s="313">
        <f>SUMIFS(Drivers!AO$71:AO$106,BSAcctIDs,$I96)</f>
        <v>0</v>
      </c>
      <c r="N96" s="313">
        <f>SUMIFS(Drivers!AP$71:AP$106,BSAcctIDs,$I96)</f>
        <v>0</v>
      </c>
      <c r="O96" s="313">
        <f>SUMIFS(Drivers!AQ$71:AQ$106,BSAcctIDs,$I96)</f>
        <v>0</v>
      </c>
      <c r="P96" s="313">
        <f>SUMIFS(Drivers!AR$71:AR$106,BSAcctIDs,$I96)</f>
        <v>0</v>
      </c>
      <c r="Q96" s="313">
        <f>SUMIFS(Drivers!AS$71:AS$106,BSAcctIDs,$I96)</f>
        <v>0</v>
      </c>
      <c r="R96" s="313">
        <f>SUMIFS(Drivers!AT$71:AT$106,BSAcctIDs,$I96)</f>
        <v>0</v>
      </c>
      <c r="S96" s="313">
        <f>SUMIFS(Drivers!AU$71:AU$106,BSAcctIDs,$I96)</f>
        <v>0</v>
      </c>
      <c r="T96" s="313">
        <f>SUMIFS(Drivers!AV$71:AV$106,BSAcctIDs,$I96)</f>
        <v>0</v>
      </c>
      <c r="U96" s="313">
        <f>SUMIFS(Drivers!AW$71:AW$106,BSAcctIDs,$I96)</f>
        <v>0</v>
      </c>
      <c r="V96" s="313">
        <f>SUMIFS(Drivers!AX$71:AX$106,BSAcctIDs,$I96)</f>
        <v>0</v>
      </c>
      <c r="W96" s="313">
        <f>SUMIFS(Drivers!AY$71:AY$106,BSAcctIDs,$I96)</f>
        <v>0</v>
      </c>
      <c r="X96" s="313">
        <f>SUMIFS(Drivers!AZ$71:AZ$106,BSAcctIDs,$I96)</f>
        <v>0</v>
      </c>
      <c r="Y96" s="313">
        <f>SUMIFS(Drivers!BA$71:BA$106,BSAcctIDs,$I96)</f>
        <v>0</v>
      </c>
      <c r="Z96" s="313">
        <f>SUMIFS(Drivers!BB$71:BB$106,BSAcctIDs,$I96)</f>
        <v>0</v>
      </c>
      <c r="AA96" s="313">
        <f>SUMIFS(Drivers!BC$71:BC$106,BSAcctIDs,$I96)</f>
        <v>0</v>
      </c>
      <c r="AB96" s="313">
        <f>SUMIFS(Drivers!BD$71:BD$106,BSAcctIDs,$I96)</f>
        <v>0</v>
      </c>
      <c r="AC96" s="313">
        <f>SUMIFS(Drivers!BE$71:BE$106,BSAcctIDs,$I96)</f>
        <v>0</v>
      </c>
      <c r="AD96" s="313">
        <f>SUMIFS(Drivers!BF$71:BF$106,BSAcctIDs,$I96)</f>
        <v>0</v>
      </c>
      <c r="AE96" s="313">
        <f>SUMIFS(Drivers!BG$71:BG$106,BSAcctIDs,$I96)</f>
        <v>0</v>
      </c>
      <c r="AF96" s="313">
        <f>SUMIFS(Drivers!BH$71:BH$106,BSAcctIDs,$I96)</f>
        <v>0</v>
      </c>
      <c r="AG96" s="313">
        <f>SUMIFS(Drivers!BI$71:BI$106,BSAcctIDs,$I96)</f>
        <v>0</v>
      </c>
      <c r="AH96" s="313">
        <f>SUMIFS(Drivers!BJ$71:BJ$106,BSAcctIDs,$I96)</f>
        <v>0</v>
      </c>
      <c r="AI96" s="313">
        <f>SUMIFS(Drivers!BK$71:BK$106,BSAcctIDs,$I96)</f>
        <v>0</v>
      </c>
      <c r="AJ96" s="313">
        <f>SUMIFS(Drivers!BL$71:BL$106,BSAcctIDs,$I96)</f>
        <v>0</v>
      </c>
      <c r="AK96" s="313">
        <f>SUMIFS(Drivers!BM$71:BM$106,BSAcctIDs,$I96)</f>
        <v>0</v>
      </c>
      <c r="AL96" s="313">
        <f>SUMIFS(Drivers!BN$71:BN$106,BSAcctIDs,$I96)</f>
        <v>0</v>
      </c>
      <c r="AM96" s="313">
        <f>SUMIFS(Drivers!BO$71:BO$106,BSAcctIDs,$I96)</f>
        <v>0</v>
      </c>
      <c r="AN96" s="313">
        <f>SUMIFS(Drivers!BP$71:BP$106,BSAcctIDs,$I96)</f>
        <v>0</v>
      </c>
      <c r="AO96" s="313">
        <f>SUMIFS(Drivers!BQ$71:BQ$106,BSAcctIDs,$I96)</f>
        <v>0</v>
      </c>
      <c r="AP96" s="313">
        <f>SUMIFS(Drivers!BR$71:BR$106,BSAcctIDs,$I96)</f>
        <v>1000</v>
      </c>
      <c r="AQ96" s="313">
        <f>SUMIFS(Drivers!BS$71:BS$106,BSAcctIDs,$I96)</f>
        <v>1000</v>
      </c>
      <c r="AR96" s="313">
        <f>SUMIFS(Drivers!BT$71:BT$106,BSAcctIDs,$I96)</f>
        <v>1500</v>
      </c>
      <c r="AS96" s="313">
        <f>SUMIFS(Drivers!BU$71:BU$106,BSAcctIDs,$I96)</f>
        <v>1500</v>
      </c>
      <c r="AT96" s="313">
        <f>SUMIFS(Drivers!BV$71:BV$106,BSAcctIDs,$I96)</f>
        <v>1500</v>
      </c>
      <c r="AU96" s="313">
        <f>SUMIFS(Drivers!BW$71:BW$106,BSAcctIDs,$I96)</f>
        <v>2500</v>
      </c>
      <c r="AV96" s="313">
        <f>SUMIFS(Drivers!BX$71:BX$106,BSAcctIDs,$I96)</f>
        <v>2500</v>
      </c>
      <c r="AW96" s="313">
        <f>SUMIFS(Drivers!BY$71:BY$106,BSAcctIDs,$I96)</f>
        <v>2500</v>
      </c>
      <c r="AX96" s="313">
        <f>SUMIFS(Drivers!BZ$71:BZ$106,BSAcctIDs,$I96)</f>
        <v>2500</v>
      </c>
      <c r="AY96" s="313">
        <f>SUMIFS(Drivers!CA$71:CA$106,BSAcctIDs,$I96)</f>
        <v>2500</v>
      </c>
      <c r="AZ96" s="313">
        <f>SUMIFS(Drivers!CB$71:CB$106,BSAcctIDs,$I96)</f>
        <v>2500</v>
      </c>
      <c r="BA96" s="313">
        <f>SUMIFS(Drivers!CC$71:CC$106,BSAcctIDs,$I96)</f>
        <v>2500</v>
      </c>
      <c r="BB96" s="313">
        <f>SUMIFS(Drivers!CD$71:CD$106,BSAcctIDs,$I96)</f>
        <v>2500</v>
      </c>
      <c r="BC96" s="313">
        <f>SUMIFS(Drivers!CE$71:CE$106,BSAcctIDs,$I96)</f>
        <v>2500</v>
      </c>
      <c r="BD96" s="313">
        <f>SUMIFS(Drivers!CF$71:CF$106,BSAcctIDs,$I96)</f>
        <v>2500</v>
      </c>
      <c r="BE96" s="313">
        <f>SUMIFS(Drivers!CG$71:CG$106,BSAcctIDs,$I96)</f>
        <v>2500</v>
      </c>
      <c r="BF96" s="313">
        <f>SUMIFS(Drivers!CH$71:CH$106,BSAcctIDs,$I96)</f>
        <v>2500</v>
      </c>
      <c r="BG96" s="313">
        <f>SUMIFS(Drivers!CI$71:CI$106,BSAcctIDs,$I96)</f>
        <v>2500</v>
      </c>
      <c r="BH96" s="313">
        <f>SUMIFS(Drivers!CJ$71:CJ$106,BSAcctIDs,$I96)</f>
        <v>2500</v>
      </c>
    </row>
    <row r="97" spans="2:60" ht="19.5" customHeight="1" outlineLevel="1">
      <c r="B97" s="284"/>
      <c r="C97" s="315"/>
      <c r="D97" s="288" t="s">
        <v>310</v>
      </c>
      <c r="E97" s="277" t="str">
        <f>IFERROR(INDEX(PBC_ACCOUNT_LIST[Drivers Section],MATCH('Data Summary'!I97,PBC_ACCOUNT_LIST[Id],0)),"")</f>
        <v>Liabilities</v>
      </c>
      <c r="F97" s="277" t="str">
        <f>IFERROR(INDEX(PBC_ACCOUNT_LIST[Summary Grouping],MATCH('Data Summary'!I97,PBC_ACCOUNT_LIST[Id],0)),"")</f>
        <v>Current Liabilities</v>
      </c>
      <c r="G97" s="277"/>
      <c r="H97" s="277" t="str">
        <f>IFERROR(INDEX(PBC_ACCOUNT_LIST[Cash Flow Section],MATCH('Data Summary'!I97,PBC_ACCOUNT_LIST[Id],0)),"")</f>
        <v>Cash from Operating Activities</v>
      </c>
      <c r="I97" s="277">
        <v>63</v>
      </c>
      <c r="J97" s="314"/>
      <c r="L97" s="313">
        <f>SUMIFS(Drivers!AN$71:AN$106,BSAcctIDs,$I97)</f>
        <v>0</v>
      </c>
      <c r="M97" s="313">
        <f>SUMIFS(Drivers!AO$71:AO$106,BSAcctIDs,$I97)</f>
        <v>-918</v>
      </c>
      <c r="N97" s="313">
        <f>SUMIFS(Drivers!AP$71:AP$106,BSAcctIDs,$I97)</f>
        <v>-1836</v>
      </c>
      <c r="O97" s="313">
        <f>SUMIFS(Drivers!AQ$71:AQ$106,BSAcctIDs,$I97)</f>
        <v>-2754</v>
      </c>
      <c r="P97" s="313">
        <f>SUMIFS(Drivers!AR$71:AR$106,BSAcctIDs,$I97)</f>
        <v>-3672.5</v>
      </c>
      <c r="Q97" s="313">
        <f>SUMIFS(Drivers!AS$71:AS$106,BSAcctIDs,$I97)</f>
        <v>-4590.5</v>
      </c>
      <c r="R97" s="313">
        <f>SUMIFS(Drivers!AT$71:AT$106,BSAcctIDs,$I97)</f>
        <v>-5508.5</v>
      </c>
      <c r="S97" s="313">
        <f>SUMIFS(Drivers!AU$71:AU$106,BSAcctIDs,$I97)</f>
        <v>-6426.5</v>
      </c>
      <c r="T97" s="313">
        <f>SUMIFS(Drivers!AV$71:AV$106,BSAcctIDs,$I97)</f>
        <v>-7344.5</v>
      </c>
      <c r="U97" s="313">
        <f>SUMIFS(Drivers!AW$71:AW$106,BSAcctIDs,$I97)</f>
        <v>-8262.5</v>
      </c>
      <c r="V97" s="313">
        <f>SUMIFS(Drivers!AX$71:AX$106,BSAcctIDs,$I97)</f>
        <v>-9180.5</v>
      </c>
      <c r="W97" s="313">
        <f>SUMIFS(Drivers!AY$71:AY$106,BSAcctIDs,$I97)</f>
        <v>-9180.5</v>
      </c>
      <c r="X97" s="313">
        <f>SUMIFS(Drivers!AZ$71:AZ$106,BSAcctIDs,$I97)</f>
        <v>-9180.5</v>
      </c>
      <c r="Y97" s="313">
        <f>SUMIFS(Drivers!BA$71:BA$106,BSAcctIDs,$I97)</f>
        <v>-9180.5</v>
      </c>
      <c r="Z97" s="313">
        <f>SUMIFS(Drivers!BB$71:BB$106,BSAcctIDs,$I97)</f>
        <v>-9180.5</v>
      </c>
      <c r="AA97" s="313">
        <f>SUMIFS(Drivers!BC$71:BC$106,BSAcctIDs,$I97)</f>
        <v>-9180.5</v>
      </c>
      <c r="AB97" s="313">
        <f>SUMIFS(Drivers!BD$71:BD$106,BSAcctIDs,$I97)</f>
        <v>-9180.5</v>
      </c>
      <c r="AC97" s="313">
        <f>SUMIFS(Drivers!BE$71:BE$106,BSAcctIDs,$I97)</f>
        <v>-9180.5</v>
      </c>
      <c r="AD97" s="313">
        <f>SUMIFS(Drivers!BF$71:BF$106,BSAcctIDs,$I97)</f>
        <v>-9180.5</v>
      </c>
      <c r="AE97" s="313">
        <f>SUMIFS(Drivers!BG$71:BG$106,BSAcctIDs,$I97)</f>
        <v>-9180.5</v>
      </c>
      <c r="AF97" s="313">
        <f>SUMIFS(Drivers!BH$71:BH$106,BSAcctIDs,$I97)</f>
        <v>-9180.5</v>
      </c>
      <c r="AG97" s="313">
        <f>SUMIFS(Drivers!BI$71:BI$106,BSAcctIDs,$I97)</f>
        <v>-9180.5</v>
      </c>
      <c r="AH97" s="313">
        <f>SUMIFS(Drivers!BJ$71:BJ$106,BSAcctIDs,$I97)</f>
        <v>-9180.5</v>
      </c>
      <c r="AI97" s="313">
        <f>SUMIFS(Drivers!BK$71:BK$106,BSAcctIDs,$I97)</f>
        <v>-9180.5</v>
      </c>
      <c r="AJ97" s="313">
        <f>SUMIFS(Drivers!BL$71:BL$106,BSAcctIDs,$I97)</f>
        <v>-9180.5</v>
      </c>
      <c r="AK97" s="313">
        <f>SUMIFS(Drivers!BM$71:BM$106,BSAcctIDs,$I97)</f>
        <v>-9180.5</v>
      </c>
      <c r="AL97" s="313">
        <f>SUMIFS(Drivers!BN$71:BN$106,BSAcctIDs,$I97)</f>
        <v>-9180.5</v>
      </c>
      <c r="AM97" s="313">
        <f>SUMIFS(Drivers!BO$71:BO$106,BSAcctIDs,$I97)</f>
        <v>-9180.5</v>
      </c>
      <c r="AN97" s="313">
        <f>SUMIFS(Drivers!BP$71:BP$106,BSAcctIDs,$I97)</f>
        <v>-9180.5</v>
      </c>
      <c r="AO97" s="313">
        <f>SUMIFS(Drivers!BQ$71:BQ$106,BSAcctIDs,$I97)</f>
        <v>-9180.5</v>
      </c>
      <c r="AP97" s="313">
        <f>SUMIFS(Drivers!BR$71:BR$106,BSAcctIDs,$I97)</f>
        <v>-9180.5</v>
      </c>
      <c r="AQ97" s="313">
        <f>SUMIFS(Drivers!BS$71:BS$106,BSAcctIDs,$I97)</f>
        <v>-9180.5</v>
      </c>
      <c r="AR97" s="313">
        <f>SUMIFS(Drivers!BT$71:BT$106,BSAcctIDs,$I97)</f>
        <v>-9180.5</v>
      </c>
      <c r="AS97" s="313">
        <f>SUMIFS(Drivers!BU$71:BU$106,BSAcctIDs,$I97)</f>
        <v>-9180.5</v>
      </c>
      <c r="AT97" s="313">
        <f>SUMIFS(Drivers!BV$71:BV$106,BSAcctIDs,$I97)</f>
        <v>-9180.5</v>
      </c>
      <c r="AU97" s="313">
        <f>SUMIFS(Drivers!BW$71:BW$106,BSAcctIDs,$I97)</f>
        <v>-9180.5</v>
      </c>
      <c r="AV97" s="313">
        <f>SUMIFS(Drivers!BX$71:BX$106,BSAcctIDs,$I97)</f>
        <v>-9180.5</v>
      </c>
      <c r="AW97" s="313">
        <f>SUMIFS(Drivers!BY$71:BY$106,BSAcctIDs,$I97)</f>
        <v>-9180.5</v>
      </c>
      <c r="AX97" s="313">
        <f>SUMIFS(Drivers!BZ$71:BZ$106,BSAcctIDs,$I97)</f>
        <v>-9180.5</v>
      </c>
      <c r="AY97" s="313">
        <f>SUMIFS(Drivers!CA$71:CA$106,BSAcctIDs,$I97)</f>
        <v>-9180.5</v>
      </c>
      <c r="AZ97" s="313">
        <f>SUMIFS(Drivers!CB$71:CB$106,BSAcctIDs,$I97)</f>
        <v>-9180.5</v>
      </c>
      <c r="BA97" s="313">
        <f>SUMIFS(Drivers!CC$71:CC$106,BSAcctIDs,$I97)</f>
        <v>-9180.5</v>
      </c>
      <c r="BB97" s="313">
        <f>SUMIFS(Drivers!CD$71:CD$106,BSAcctIDs,$I97)</f>
        <v>-9180.5</v>
      </c>
      <c r="BC97" s="313">
        <f>SUMIFS(Drivers!CE$71:CE$106,BSAcctIDs,$I97)</f>
        <v>-9180.5</v>
      </c>
      <c r="BD97" s="313">
        <f>SUMIFS(Drivers!CF$71:CF$106,BSAcctIDs,$I97)</f>
        <v>-9180.5</v>
      </c>
      <c r="BE97" s="313">
        <f>SUMIFS(Drivers!CG$71:CG$106,BSAcctIDs,$I97)</f>
        <v>-9180.5</v>
      </c>
      <c r="BF97" s="313">
        <f>SUMIFS(Drivers!CH$71:CH$106,BSAcctIDs,$I97)</f>
        <v>-9180.5</v>
      </c>
      <c r="BG97" s="313">
        <f>SUMIFS(Drivers!CI$71:CI$106,BSAcctIDs,$I97)</f>
        <v>-9180.5</v>
      </c>
      <c r="BH97" s="313">
        <f>SUMIFS(Drivers!CJ$71:CJ$106,BSAcctIDs,$I97)</f>
        <v>-9180.5</v>
      </c>
    </row>
    <row r="98" spans="2:60" ht="19.5" customHeight="1" outlineLevel="1">
      <c r="B98" s="284"/>
      <c r="C98" s="315"/>
      <c r="D98" s="288" t="s">
        <v>316</v>
      </c>
      <c r="E98" s="277" t="str">
        <f>IFERROR(INDEX(PBC_ACCOUNT_LIST[Drivers Section],MATCH('Data Summary'!I98,PBC_ACCOUNT_LIST[Id],0)),"")</f>
        <v>Liabilities</v>
      </c>
      <c r="F98" s="277" t="str">
        <f>IFERROR(INDEX(PBC_ACCOUNT_LIST[Summary Grouping],MATCH('Data Summary'!I98,PBC_ACCOUNT_LIST[Id],0)),"")</f>
        <v>Debt</v>
      </c>
      <c r="G98" s="277"/>
      <c r="H98" s="277" t="str">
        <f>IFERROR(INDEX(PBC_ACCOUNT_LIST[Cash Flow Section],MATCH('Data Summary'!I98,PBC_ACCOUNT_LIST[Id],0)),"")</f>
        <v>Cash From Financing Activities</v>
      </c>
      <c r="I98" s="277">
        <v>162</v>
      </c>
      <c r="J98" s="314"/>
      <c r="L98" s="313">
        <f>SUMIFS(Drivers!AN$71:AN$106,BSAcctIDs,$I98)</f>
        <v>0</v>
      </c>
      <c r="M98" s="313">
        <f>SUMIFS(Drivers!AO$71:AO$106,BSAcctIDs,$I98)</f>
        <v>500000</v>
      </c>
      <c r="N98" s="313">
        <f>SUMIFS(Drivers!AP$71:AP$106,BSAcctIDs,$I98)</f>
        <v>500000</v>
      </c>
      <c r="O98" s="313">
        <f>SUMIFS(Drivers!AQ$71:AQ$106,BSAcctIDs,$I98)</f>
        <v>500000</v>
      </c>
      <c r="P98" s="313">
        <f>SUMIFS(Drivers!AR$71:AR$106,BSAcctIDs,$I98)</f>
        <v>500000</v>
      </c>
      <c r="Q98" s="313">
        <f>SUMIFS(Drivers!AS$71:AS$106,BSAcctIDs,$I98)</f>
        <v>500000</v>
      </c>
      <c r="R98" s="313">
        <f>SUMIFS(Drivers!AT$71:AT$106,BSAcctIDs,$I98)</f>
        <v>500000</v>
      </c>
      <c r="S98" s="313">
        <f>SUMIFS(Drivers!AU$71:AU$106,BSAcctIDs,$I98)</f>
        <v>500000</v>
      </c>
      <c r="T98" s="313">
        <f>SUMIFS(Drivers!AV$71:AV$106,BSAcctIDs,$I98)</f>
        <v>500000</v>
      </c>
      <c r="U98" s="313">
        <f>SUMIFS(Drivers!AW$71:AW$106,BSAcctIDs,$I98)</f>
        <v>500000</v>
      </c>
      <c r="V98" s="313">
        <f>SUMIFS(Drivers!AX$71:AX$106,BSAcctIDs,$I98)</f>
        <v>1500000</v>
      </c>
      <c r="W98" s="313">
        <f>SUMIFS(Drivers!AY$71:AY$106,BSAcctIDs,$I98)</f>
        <v>1500000</v>
      </c>
      <c r="X98" s="313">
        <f>SUMIFS(Drivers!AZ$71:AZ$106,BSAcctIDs,$I98)</f>
        <v>1500000</v>
      </c>
      <c r="Y98" s="313">
        <f>SUMIFS(Drivers!BA$71:BA$106,BSAcctIDs,$I98)</f>
        <v>1500000</v>
      </c>
      <c r="Z98" s="313">
        <f>SUMIFS(Drivers!BB$71:BB$106,BSAcctIDs,$I98)</f>
        <v>1500000</v>
      </c>
      <c r="AA98" s="313">
        <f>SUMIFS(Drivers!BC$71:BC$106,BSAcctIDs,$I98)</f>
        <v>1500000</v>
      </c>
      <c r="AB98" s="313">
        <f>SUMIFS(Drivers!BD$71:BD$106,BSAcctIDs,$I98)</f>
        <v>1500000</v>
      </c>
      <c r="AC98" s="313">
        <f>SUMIFS(Drivers!BE$71:BE$106,BSAcctIDs,$I98)</f>
        <v>1500000</v>
      </c>
      <c r="AD98" s="313">
        <f>SUMIFS(Drivers!BF$71:BF$106,BSAcctIDs,$I98)</f>
        <v>1500000</v>
      </c>
      <c r="AE98" s="313">
        <f>SUMIFS(Drivers!BG$71:BG$106,BSAcctIDs,$I98)</f>
        <v>1500000</v>
      </c>
      <c r="AF98" s="313">
        <f>SUMIFS(Drivers!BH$71:BH$106,BSAcctIDs,$I98)</f>
        <v>1500000</v>
      </c>
      <c r="AG98" s="313">
        <f>SUMIFS(Drivers!BI$71:BI$106,BSAcctIDs,$I98)</f>
        <v>1500000</v>
      </c>
      <c r="AH98" s="313">
        <f>SUMIFS(Drivers!BJ$71:BJ$106,BSAcctIDs,$I98)</f>
        <v>1500000</v>
      </c>
      <c r="AI98" s="313">
        <f>SUMIFS(Drivers!BK$71:BK$106,BSAcctIDs,$I98)</f>
        <v>1500000</v>
      </c>
      <c r="AJ98" s="313">
        <f>SUMIFS(Drivers!BL$71:BL$106,BSAcctIDs,$I98)</f>
        <v>1500000</v>
      </c>
      <c r="AK98" s="313">
        <f>SUMIFS(Drivers!BM$71:BM$106,BSAcctIDs,$I98)</f>
        <v>1500000</v>
      </c>
      <c r="AL98" s="313">
        <f>SUMIFS(Drivers!BN$71:BN$106,BSAcctIDs,$I98)</f>
        <v>1500000</v>
      </c>
      <c r="AM98" s="313">
        <f>SUMIFS(Drivers!BO$71:BO$106,BSAcctIDs,$I98)</f>
        <v>1500000</v>
      </c>
      <c r="AN98" s="313">
        <f>SUMIFS(Drivers!BP$71:BP$106,BSAcctIDs,$I98)</f>
        <v>1500000</v>
      </c>
      <c r="AO98" s="313">
        <f>SUMIFS(Drivers!BQ$71:BQ$106,BSAcctIDs,$I98)</f>
        <v>1500000</v>
      </c>
      <c r="AP98" s="313">
        <f>SUMIFS(Drivers!BR$71:BR$106,BSAcctIDs,$I98)</f>
        <v>1500000</v>
      </c>
      <c r="AQ98" s="313">
        <f>SUMIFS(Drivers!BS$71:BS$106,BSAcctIDs,$I98)</f>
        <v>1500000</v>
      </c>
      <c r="AR98" s="313">
        <f>SUMIFS(Drivers!BT$71:BT$106,BSAcctIDs,$I98)</f>
        <v>1500000</v>
      </c>
      <c r="AS98" s="313">
        <f>SUMIFS(Drivers!BU$71:BU$106,BSAcctIDs,$I98)</f>
        <v>1500000</v>
      </c>
      <c r="AT98" s="313">
        <f>SUMIFS(Drivers!BV$71:BV$106,BSAcctIDs,$I98)</f>
        <v>1500000</v>
      </c>
      <c r="AU98" s="313">
        <f>SUMIFS(Drivers!BW$71:BW$106,BSAcctIDs,$I98)</f>
        <v>1500000</v>
      </c>
      <c r="AV98" s="313">
        <f>SUMIFS(Drivers!BX$71:BX$106,BSAcctIDs,$I98)</f>
        <v>1500000</v>
      </c>
      <c r="AW98" s="313">
        <f>SUMIFS(Drivers!BY$71:BY$106,BSAcctIDs,$I98)</f>
        <v>1500000</v>
      </c>
      <c r="AX98" s="313">
        <f>SUMIFS(Drivers!BZ$71:BZ$106,BSAcctIDs,$I98)</f>
        <v>1500000</v>
      </c>
      <c r="AY98" s="313">
        <f>SUMIFS(Drivers!CA$71:CA$106,BSAcctIDs,$I98)</f>
        <v>1500000</v>
      </c>
      <c r="AZ98" s="313">
        <f>SUMIFS(Drivers!CB$71:CB$106,BSAcctIDs,$I98)</f>
        <v>1500000</v>
      </c>
      <c r="BA98" s="313">
        <f>SUMIFS(Drivers!CC$71:CC$106,BSAcctIDs,$I98)</f>
        <v>1500000</v>
      </c>
      <c r="BB98" s="313">
        <f>SUMIFS(Drivers!CD$71:CD$106,BSAcctIDs,$I98)</f>
        <v>1500000</v>
      </c>
      <c r="BC98" s="313">
        <f>SUMIFS(Drivers!CE$71:CE$106,BSAcctIDs,$I98)</f>
        <v>1500000</v>
      </c>
      <c r="BD98" s="313">
        <f>SUMIFS(Drivers!CF$71:CF$106,BSAcctIDs,$I98)</f>
        <v>1500000</v>
      </c>
      <c r="BE98" s="313">
        <f>SUMIFS(Drivers!CG$71:CG$106,BSAcctIDs,$I98)</f>
        <v>1500000</v>
      </c>
      <c r="BF98" s="313">
        <f>SUMIFS(Drivers!CH$71:CH$106,BSAcctIDs,$I98)</f>
        <v>1500000</v>
      </c>
      <c r="BG98" s="313">
        <f>SUMIFS(Drivers!CI$71:CI$106,BSAcctIDs,$I98)</f>
        <v>1500000</v>
      </c>
      <c r="BH98" s="313">
        <f>SUMIFS(Drivers!CJ$71:CJ$106,BSAcctIDs,$I98)</f>
        <v>1500000</v>
      </c>
    </row>
    <row r="99" spans="2:60" ht="19.5" customHeight="1" outlineLevel="1">
      <c r="B99" s="284"/>
      <c r="C99" s="315"/>
      <c r="D99" s="288" t="s">
        <v>317</v>
      </c>
      <c r="E99" s="277" t="str">
        <f>IFERROR(INDEX(PBC_ACCOUNT_LIST[Drivers Section],MATCH('Data Summary'!I99,PBC_ACCOUNT_LIST[Id],0)),"")</f>
        <v>Liabilities</v>
      </c>
      <c r="F99" s="277" t="str">
        <f>IFERROR(INDEX(PBC_ACCOUNT_LIST[Summary Grouping],MATCH('Data Summary'!I99,PBC_ACCOUNT_LIST[Id],0)),"")</f>
        <v>Debt</v>
      </c>
      <c r="G99" s="277"/>
      <c r="H99" s="277" t="str">
        <f>IFERROR(INDEX(PBC_ACCOUNT_LIST[Cash Flow Section],MATCH('Data Summary'!I99,PBC_ACCOUNT_LIST[Id],0)),"")</f>
        <v>Cash From Financing Activities</v>
      </c>
      <c r="I99" s="277">
        <v>163</v>
      </c>
      <c r="J99" s="314"/>
      <c r="L99" s="313">
        <f>SUMIFS(Drivers!AN$71:AN$106,BSAcctIDs,$I99)</f>
        <v>0</v>
      </c>
      <c r="M99" s="313">
        <f>SUMIFS(Drivers!AO$71:AO$106,BSAcctIDs,$I99)</f>
        <v>2500</v>
      </c>
      <c r="N99" s="313">
        <f>SUMIFS(Drivers!AP$71:AP$106,BSAcctIDs,$I99)</f>
        <v>5000</v>
      </c>
      <c r="O99" s="313">
        <f>SUMIFS(Drivers!AQ$71:AQ$106,BSAcctIDs,$I99)</f>
        <v>7500</v>
      </c>
      <c r="P99" s="313">
        <f>SUMIFS(Drivers!AR$71:AR$106,BSAcctIDs,$I99)</f>
        <v>10000</v>
      </c>
      <c r="Q99" s="313">
        <f>SUMIFS(Drivers!AS$71:AS$106,BSAcctIDs,$I99)</f>
        <v>12500</v>
      </c>
      <c r="R99" s="313">
        <f>SUMIFS(Drivers!AT$71:AT$106,BSAcctIDs,$I99)</f>
        <v>15000</v>
      </c>
      <c r="S99" s="313">
        <f>SUMIFS(Drivers!AU$71:AU$106,BSAcctIDs,$I99)</f>
        <v>17500</v>
      </c>
      <c r="T99" s="313">
        <f>SUMIFS(Drivers!AV$71:AV$106,BSAcctIDs,$I99)</f>
        <v>20000</v>
      </c>
      <c r="U99" s="313">
        <f>SUMIFS(Drivers!AW$71:AW$106,BSAcctIDs,$I99)</f>
        <v>22500</v>
      </c>
      <c r="V99" s="313">
        <f>SUMIFS(Drivers!AX$71:AX$106,BSAcctIDs,$I99)</f>
        <v>30000</v>
      </c>
      <c r="W99" s="313">
        <f>SUMIFS(Drivers!AY$71:AY$106,BSAcctIDs,$I99)</f>
        <v>30000</v>
      </c>
      <c r="X99" s="313">
        <f>SUMIFS(Drivers!AZ$71:AZ$106,BSAcctIDs,$I99)</f>
        <v>30000</v>
      </c>
      <c r="Y99" s="313">
        <f>SUMIFS(Drivers!BA$71:BA$106,BSAcctIDs,$I99)</f>
        <v>30000</v>
      </c>
      <c r="Z99" s="313">
        <f>SUMIFS(Drivers!BB$71:BB$106,BSAcctIDs,$I99)</f>
        <v>30000</v>
      </c>
      <c r="AA99" s="313">
        <f>SUMIFS(Drivers!BC$71:BC$106,BSAcctIDs,$I99)</f>
        <v>30000</v>
      </c>
      <c r="AB99" s="313">
        <f>SUMIFS(Drivers!BD$71:BD$106,BSAcctIDs,$I99)</f>
        <v>30000</v>
      </c>
      <c r="AC99" s="313">
        <f>SUMIFS(Drivers!BE$71:BE$106,BSAcctIDs,$I99)</f>
        <v>30000</v>
      </c>
      <c r="AD99" s="313">
        <f>SUMIFS(Drivers!BF$71:BF$106,BSAcctIDs,$I99)</f>
        <v>30000</v>
      </c>
      <c r="AE99" s="313">
        <f>SUMIFS(Drivers!BG$71:BG$106,BSAcctIDs,$I99)</f>
        <v>30000</v>
      </c>
      <c r="AF99" s="313">
        <f>SUMIFS(Drivers!BH$71:BH$106,BSAcctIDs,$I99)</f>
        <v>30000</v>
      </c>
      <c r="AG99" s="313">
        <f>SUMIFS(Drivers!BI$71:BI$106,BSAcctIDs,$I99)</f>
        <v>30000</v>
      </c>
      <c r="AH99" s="313">
        <f>SUMIFS(Drivers!BJ$71:BJ$106,BSAcctIDs,$I99)</f>
        <v>30000</v>
      </c>
      <c r="AI99" s="313">
        <f>SUMIFS(Drivers!BK$71:BK$106,BSAcctIDs,$I99)</f>
        <v>30000</v>
      </c>
      <c r="AJ99" s="313">
        <f>SUMIFS(Drivers!BL$71:BL$106,BSAcctIDs,$I99)</f>
        <v>30000</v>
      </c>
      <c r="AK99" s="313">
        <f>SUMIFS(Drivers!BM$71:BM$106,BSAcctIDs,$I99)</f>
        <v>30000</v>
      </c>
      <c r="AL99" s="313">
        <f>SUMIFS(Drivers!BN$71:BN$106,BSAcctIDs,$I99)</f>
        <v>30000</v>
      </c>
      <c r="AM99" s="313">
        <f>SUMIFS(Drivers!BO$71:BO$106,BSAcctIDs,$I99)</f>
        <v>30000</v>
      </c>
      <c r="AN99" s="313">
        <f>SUMIFS(Drivers!BP$71:BP$106,BSAcctIDs,$I99)</f>
        <v>30000</v>
      </c>
      <c r="AO99" s="313">
        <f>SUMIFS(Drivers!BQ$71:BQ$106,BSAcctIDs,$I99)</f>
        <v>30000</v>
      </c>
      <c r="AP99" s="313">
        <f>SUMIFS(Drivers!BR$71:BR$106,BSAcctIDs,$I99)</f>
        <v>30000</v>
      </c>
      <c r="AQ99" s="313">
        <f>SUMIFS(Drivers!BS$71:BS$106,BSAcctIDs,$I99)</f>
        <v>30000</v>
      </c>
      <c r="AR99" s="313">
        <f>SUMIFS(Drivers!BT$71:BT$106,BSAcctIDs,$I99)</f>
        <v>30000</v>
      </c>
      <c r="AS99" s="313">
        <f>SUMIFS(Drivers!BU$71:BU$106,BSAcctIDs,$I99)</f>
        <v>30000</v>
      </c>
      <c r="AT99" s="313">
        <f>SUMIFS(Drivers!BV$71:BV$106,BSAcctIDs,$I99)</f>
        <v>30000</v>
      </c>
      <c r="AU99" s="313">
        <f>SUMIFS(Drivers!BW$71:BW$106,BSAcctIDs,$I99)</f>
        <v>30000</v>
      </c>
      <c r="AV99" s="313">
        <f>SUMIFS(Drivers!BX$71:BX$106,BSAcctIDs,$I99)</f>
        <v>30000</v>
      </c>
      <c r="AW99" s="313">
        <f>SUMIFS(Drivers!BY$71:BY$106,BSAcctIDs,$I99)</f>
        <v>30000</v>
      </c>
      <c r="AX99" s="313">
        <f>SUMIFS(Drivers!BZ$71:BZ$106,BSAcctIDs,$I99)</f>
        <v>30000</v>
      </c>
      <c r="AY99" s="313">
        <f>SUMIFS(Drivers!CA$71:CA$106,BSAcctIDs,$I99)</f>
        <v>30000</v>
      </c>
      <c r="AZ99" s="313">
        <f>SUMIFS(Drivers!CB$71:CB$106,BSAcctIDs,$I99)</f>
        <v>30000</v>
      </c>
      <c r="BA99" s="313">
        <f>SUMIFS(Drivers!CC$71:CC$106,BSAcctIDs,$I99)</f>
        <v>30000</v>
      </c>
      <c r="BB99" s="313">
        <f>SUMIFS(Drivers!CD$71:CD$106,BSAcctIDs,$I99)</f>
        <v>30000</v>
      </c>
      <c r="BC99" s="313">
        <f>SUMIFS(Drivers!CE$71:CE$106,BSAcctIDs,$I99)</f>
        <v>30000</v>
      </c>
      <c r="BD99" s="313">
        <f>SUMIFS(Drivers!CF$71:CF$106,BSAcctIDs,$I99)</f>
        <v>30000</v>
      </c>
      <c r="BE99" s="313">
        <f>SUMIFS(Drivers!CG$71:CG$106,BSAcctIDs,$I99)</f>
        <v>30000</v>
      </c>
      <c r="BF99" s="313">
        <f>SUMIFS(Drivers!CH$71:CH$106,BSAcctIDs,$I99)</f>
        <v>30000</v>
      </c>
      <c r="BG99" s="313">
        <f>SUMIFS(Drivers!CI$71:CI$106,BSAcctIDs,$I99)</f>
        <v>30000</v>
      </c>
      <c r="BH99" s="313">
        <f>SUMIFS(Drivers!CJ$71:CJ$106,BSAcctIDs,$I99)</f>
        <v>30000</v>
      </c>
    </row>
    <row r="100" spans="2:60" ht="19.5" customHeight="1" outlineLevel="1">
      <c r="B100" s="284"/>
      <c r="C100" s="315"/>
      <c r="D100" s="288" t="s">
        <v>323</v>
      </c>
      <c r="E100" s="277" t="str">
        <f>IFERROR(INDEX(PBC_ACCOUNT_LIST[Drivers Section],MATCH('Data Summary'!I100,PBC_ACCOUNT_LIST[Id],0)),"")</f>
        <v>Owners Equity</v>
      </c>
      <c r="F100" s="277" t="str">
        <f>IFERROR(INDEX(PBC_ACCOUNT_LIST[Summary Grouping],MATCH('Data Summary'!I100,PBC_ACCOUNT_LIST[Id],0)),"")</f>
        <v>Contributed Capital</v>
      </c>
      <c r="G100" s="277"/>
      <c r="H100" s="277" t="str">
        <f>IFERROR(INDEX(PBC_ACCOUNT_LIST[Cash Flow Section],MATCH('Data Summary'!I100,PBC_ACCOUNT_LIST[Id],0)),"")</f>
        <v>Cash From Financing Activities</v>
      </c>
      <c r="I100" s="277">
        <v>196</v>
      </c>
      <c r="J100" s="314"/>
      <c r="L100" s="313">
        <f>SUMIFS(Drivers!AN$71:AN$106,BSAcctIDs,$I100)</f>
        <v>0</v>
      </c>
      <c r="M100" s="313">
        <f>SUMIFS(Drivers!AO$71:AO$106,BSAcctIDs,$I100)</f>
        <v>500000</v>
      </c>
      <c r="N100" s="313">
        <f>SUMIFS(Drivers!AP$71:AP$106,BSAcctIDs,$I100)</f>
        <v>500000</v>
      </c>
      <c r="O100" s="313">
        <f>SUMIFS(Drivers!AQ$71:AQ$106,BSAcctIDs,$I100)</f>
        <v>500000</v>
      </c>
      <c r="P100" s="313">
        <f>SUMIFS(Drivers!AR$71:AR$106,BSAcctIDs,$I100)</f>
        <v>500000</v>
      </c>
      <c r="Q100" s="313">
        <f>SUMIFS(Drivers!AS$71:AS$106,BSAcctIDs,$I100)</f>
        <v>500000</v>
      </c>
      <c r="R100" s="313">
        <f>SUMIFS(Drivers!AT$71:AT$106,BSAcctIDs,$I100)</f>
        <v>500000</v>
      </c>
      <c r="S100" s="313">
        <f>SUMIFS(Drivers!AU$71:AU$106,BSAcctIDs,$I100)</f>
        <v>500000</v>
      </c>
      <c r="T100" s="313">
        <f>SUMIFS(Drivers!AV$71:AV$106,BSAcctIDs,$I100)</f>
        <v>500000</v>
      </c>
      <c r="U100" s="313">
        <f>SUMIFS(Drivers!AW$71:AW$106,BSAcctIDs,$I100)</f>
        <v>500000</v>
      </c>
      <c r="V100" s="313">
        <f>SUMIFS(Drivers!AX$71:AX$106,BSAcctIDs,$I100)</f>
        <v>500000</v>
      </c>
      <c r="W100" s="313">
        <f>SUMIFS(Drivers!AY$71:AY$106,BSAcctIDs,$I100)</f>
        <v>500000</v>
      </c>
      <c r="X100" s="313">
        <f>SUMIFS(Drivers!AZ$71:AZ$106,BSAcctIDs,$I100)</f>
        <v>500000</v>
      </c>
      <c r="Y100" s="313">
        <f>SUMIFS(Drivers!BA$71:BA$106,BSAcctIDs,$I100)</f>
        <v>500000</v>
      </c>
      <c r="Z100" s="313">
        <f>SUMIFS(Drivers!BB$71:BB$106,BSAcctIDs,$I100)</f>
        <v>500000</v>
      </c>
      <c r="AA100" s="313">
        <f>SUMIFS(Drivers!BC$71:BC$106,BSAcctIDs,$I100)</f>
        <v>500000</v>
      </c>
      <c r="AB100" s="313">
        <f>SUMIFS(Drivers!BD$71:BD$106,BSAcctIDs,$I100)</f>
        <v>500000</v>
      </c>
      <c r="AC100" s="313">
        <f>SUMIFS(Drivers!BE$71:BE$106,BSAcctIDs,$I100)</f>
        <v>500000</v>
      </c>
      <c r="AD100" s="313">
        <f>SUMIFS(Drivers!BF$71:BF$106,BSAcctIDs,$I100)</f>
        <v>500000</v>
      </c>
      <c r="AE100" s="313">
        <f>SUMIFS(Drivers!BG$71:BG$106,BSAcctIDs,$I100)</f>
        <v>500000</v>
      </c>
      <c r="AF100" s="313">
        <f>SUMIFS(Drivers!BH$71:BH$106,BSAcctIDs,$I100)</f>
        <v>500000</v>
      </c>
      <c r="AG100" s="313">
        <f>SUMIFS(Drivers!BI$71:BI$106,BSAcctIDs,$I100)</f>
        <v>500000</v>
      </c>
      <c r="AH100" s="313">
        <f>SUMIFS(Drivers!BJ$71:BJ$106,BSAcctIDs,$I100)</f>
        <v>500000</v>
      </c>
      <c r="AI100" s="313">
        <f>SUMIFS(Drivers!BK$71:BK$106,BSAcctIDs,$I100)</f>
        <v>500000</v>
      </c>
      <c r="AJ100" s="313">
        <f>SUMIFS(Drivers!BL$71:BL$106,BSAcctIDs,$I100)</f>
        <v>500000</v>
      </c>
      <c r="AK100" s="313">
        <f>SUMIFS(Drivers!BM$71:BM$106,BSAcctIDs,$I100)</f>
        <v>500000</v>
      </c>
      <c r="AL100" s="313">
        <f>SUMIFS(Drivers!BN$71:BN$106,BSAcctIDs,$I100)</f>
        <v>500000</v>
      </c>
      <c r="AM100" s="313">
        <f>SUMIFS(Drivers!BO$71:BO$106,BSAcctIDs,$I100)</f>
        <v>500000</v>
      </c>
      <c r="AN100" s="313">
        <f>SUMIFS(Drivers!BP$71:BP$106,BSAcctIDs,$I100)</f>
        <v>500000</v>
      </c>
      <c r="AO100" s="313">
        <f>SUMIFS(Drivers!BQ$71:BQ$106,BSAcctIDs,$I100)</f>
        <v>500000</v>
      </c>
      <c r="AP100" s="313">
        <f>SUMIFS(Drivers!BR$71:BR$106,BSAcctIDs,$I100)</f>
        <v>500000</v>
      </c>
      <c r="AQ100" s="313">
        <f>SUMIFS(Drivers!BS$71:BS$106,BSAcctIDs,$I100)</f>
        <v>500000</v>
      </c>
      <c r="AR100" s="313">
        <f>SUMIFS(Drivers!BT$71:BT$106,BSAcctIDs,$I100)</f>
        <v>500000</v>
      </c>
      <c r="AS100" s="313">
        <f>SUMIFS(Drivers!BU$71:BU$106,BSAcctIDs,$I100)</f>
        <v>500000</v>
      </c>
      <c r="AT100" s="313">
        <f>SUMIFS(Drivers!BV$71:BV$106,BSAcctIDs,$I100)</f>
        <v>500000</v>
      </c>
      <c r="AU100" s="313">
        <f>SUMIFS(Drivers!BW$71:BW$106,BSAcctIDs,$I100)</f>
        <v>500000</v>
      </c>
      <c r="AV100" s="313">
        <f>SUMIFS(Drivers!BX$71:BX$106,BSAcctIDs,$I100)</f>
        <v>500000</v>
      </c>
      <c r="AW100" s="313">
        <f>SUMIFS(Drivers!BY$71:BY$106,BSAcctIDs,$I100)</f>
        <v>500000</v>
      </c>
      <c r="AX100" s="313">
        <f>SUMIFS(Drivers!BZ$71:BZ$106,BSAcctIDs,$I100)</f>
        <v>500000</v>
      </c>
      <c r="AY100" s="313">
        <f>SUMIFS(Drivers!CA$71:CA$106,BSAcctIDs,$I100)</f>
        <v>500000</v>
      </c>
      <c r="AZ100" s="313">
        <f>SUMIFS(Drivers!CB$71:CB$106,BSAcctIDs,$I100)</f>
        <v>500000</v>
      </c>
      <c r="BA100" s="313">
        <f>SUMIFS(Drivers!CC$71:CC$106,BSAcctIDs,$I100)</f>
        <v>500000</v>
      </c>
      <c r="BB100" s="313">
        <f>SUMIFS(Drivers!CD$71:CD$106,BSAcctIDs,$I100)</f>
        <v>500000</v>
      </c>
      <c r="BC100" s="313">
        <f>SUMIFS(Drivers!CE$71:CE$106,BSAcctIDs,$I100)</f>
        <v>500000</v>
      </c>
      <c r="BD100" s="313">
        <f>SUMIFS(Drivers!CF$71:CF$106,BSAcctIDs,$I100)</f>
        <v>500000</v>
      </c>
      <c r="BE100" s="313">
        <f>SUMIFS(Drivers!CG$71:CG$106,BSAcctIDs,$I100)</f>
        <v>500000</v>
      </c>
      <c r="BF100" s="313">
        <f>SUMIFS(Drivers!CH$71:CH$106,BSAcctIDs,$I100)</f>
        <v>500000</v>
      </c>
      <c r="BG100" s="313">
        <f>SUMIFS(Drivers!CI$71:CI$106,BSAcctIDs,$I100)</f>
        <v>500000</v>
      </c>
      <c r="BH100" s="313">
        <f>SUMIFS(Drivers!CJ$71:CJ$106,BSAcctIDs,$I100)</f>
        <v>500000</v>
      </c>
    </row>
    <row r="101" spans="2:60" ht="19.5" customHeight="1" outlineLevel="1">
      <c r="B101" s="284"/>
      <c r="C101" s="315"/>
      <c r="D101" s="288" t="s">
        <v>324</v>
      </c>
      <c r="E101" s="277" t="str">
        <f>IFERROR(INDEX(PBC_ACCOUNT_LIST[Drivers Section],MATCH('Data Summary'!I101,PBC_ACCOUNT_LIST[Id],0)),"")</f>
        <v>Owners Equity</v>
      </c>
      <c r="F101" s="277" t="str">
        <f>IFERROR(INDEX(PBC_ACCOUNT_LIST[Summary Grouping],MATCH('Data Summary'!I101,PBC_ACCOUNT_LIST[Id],0)),"")</f>
        <v>Contributed Capital</v>
      </c>
      <c r="G101" s="277"/>
      <c r="H101" s="277" t="str">
        <f>IFERROR(INDEX(PBC_ACCOUNT_LIST[Cash Flow Section],MATCH('Data Summary'!I101,PBC_ACCOUNT_LIST[Id],0)),"")</f>
        <v>Cash From Financing Activities</v>
      </c>
      <c r="I101" s="277">
        <v>197</v>
      </c>
      <c r="J101" s="314"/>
      <c r="L101" s="313">
        <f>SUMIFS(Drivers!AN$71:AN$106,BSAcctIDs,$I101)</f>
        <v>0</v>
      </c>
      <c r="M101" s="313">
        <f>SUMIFS(Drivers!AO$71:AO$106,BSAcctIDs,$I101)</f>
        <v>0</v>
      </c>
      <c r="N101" s="313">
        <f>SUMIFS(Drivers!AP$71:AP$106,BSAcctIDs,$I101)</f>
        <v>0</v>
      </c>
      <c r="O101" s="313">
        <f>SUMIFS(Drivers!AQ$71:AQ$106,BSAcctIDs,$I101)</f>
        <v>0</v>
      </c>
      <c r="P101" s="313">
        <f>SUMIFS(Drivers!AR$71:AR$106,BSAcctIDs,$I101)</f>
        <v>0</v>
      </c>
      <c r="Q101" s="313">
        <f>SUMIFS(Drivers!AS$71:AS$106,BSAcctIDs,$I101)</f>
        <v>0</v>
      </c>
      <c r="R101" s="313">
        <f>SUMIFS(Drivers!AT$71:AT$106,BSAcctIDs,$I101)</f>
        <v>0</v>
      </c>
      <c r="S101" s="313">
        <f>SUMIFS(Drivers!AU$71:AU$106,BSAcctIDs,$I101)</f>
        <v>0</v>
      </c>
      <c r="T101" s="313">
        <f>SUMIFS(Drivers!AV$71:AV$106,BSAcctIDs,$I101)</f>
        <v>0</v>
      </c>
      <c r="U101" s="313">
        <f>SUMIFS(Drivers!AW$71:AW$106,BSAcctIDs,$I101)</f>
        <v>0</v>
      </c>
      <c r="V101" s="313">
        <f>SUMIFS(Drivers!AX$71:AX$106,BSAcctIDs,$I101)</f>
        <v>0</v>
      </c>
      <c r="W101" s="313">
        <f>SUMIFS(Drivers!AY$71:AY$106,BSAcctIDs,$I101)</f>
        <v>0</v>
      </c>
      <c r="X101" s="313">
        <f>SUMIFS(Drivers!AZ$71:AZ$106,BSAcctIDs,$I101)</f>
        <v>0</v>
      </c>
      <c r="Y101" s="313">
        <f>SUMIFS(Drivers!BA$71:BA$106,BSAcctIDs,$I101)</f>
        <v>0</v>
      </c>
      <c r="Z101" s="313">
        <f>SUMIFS(Drivers!BB$71:BB$106,BSAcctIDs,$I101)</f>
        <v>0</v>
      </c>
      <c r="AA101" s="313">
        <f>SUMIFS(Drivers!BC$71:BC$106,BSAcctIDs,$I101)</f>
        <v>0</v>
      </c>
      <c r="AB101" s="313">
        <f>SUMIFS(Drivers!BD$71:BD$106,BSAcctIDs,$I101)</f>
        <v>0</v>
      </c>
      <c r="AC101" s="313">
        <f>SUMIFS(Drivers!BE$71:BE$106,BSAcctIDs,$I101)</f>
        <v>0</v>
      </c>
      <c r="AD101" s="313">
        <f>SUMIFS(Drivers!BF$71:BF$106,BSAcctIDs,$I101)</f>
        <v>0</v>
      </c>
      <c r="AE101" s="313">
        <f>SUMIFS(Drivers!BG$71:BG$106,BSAcctIDs,$I101)</f>
        <v>0</v>
      </c>
      <c r="AF101" s="313">
        <f>SUMIFS(Drivers!BH$71:BH$106,BSAcctIDs,$I101)</f>
        <v>0</v>
      </c>
      <c r="AG101" s="313">
        <f>SUMIFS(Drivers!BI$71:BI$106,BSAcctIDs,$I101)</f>
        <v>0</v>
      </c>
      <c r="AH101" s="313">
        <f>SUMIFS(Drivers!BJ$71:BJ$106,BSAcctIDs,$I101)</f>
        <v>0</v>
      </c>
      <c r="AI101" s="313">
        <f>SUMIFS(Drivers!BK$71:BK$106,BSAcctIDs,$I101)</f>
        <v>0</v>
      </c>
      <c r="AJ101" s="313">
        <f>SUMIFS(Drivers!BL$71:BL$106,BSAcctIDs,$I101)</f>
        <v>0</v>
      </c>
      <c r="AK101" s="313">
        <f>SUMIFS(Drivers!BM$71:BM$106,BSAcctIDs,$I101)</f>
        <v>0</v>
      </c>
      <c r="AL101" s="313">
        <f>SUMIFS(Drivers!BN$71:BN$106,BSAcctIDs,$I101)</f>
        <v>0</v>
      </c>
      <c r="AM101" s="313">
        <f>SUMIFS(Drivers!BO$71:BO$106,BSAcctIDs,$I101)</f>
        <v>0</v>
      </c>
      <c r="AN101" s="313">
        <f>SUMIFS(Drivers!BP$71:BP$106,BSAcctIDs,$I101)</f>
        <v>0</v>
      </c>
      <c r="AO101" s="313">
        <f>SUMIFS(Drivers!BQ$71:BQ$106,BSAcctIDs,$I101)</f>
        <v>0</v>
      </c>
      <c r="AP101" s="313">
        <f>SUMIFS(Drivers!BR$71:BR$106,BSAcctIDs,$I101)</f>
        <v>0</v>
      </c>
      <c r="AQ101" s="313">
        <f>SUMIFS(Drivers!BS$71:BS$106,BSAcctIDs,$I101)</f>
        <v>0</v>
      </c>
      <c r="AR101" s="313">
        <f>SUMIFS(Drivers!BT$71:BT$106,BSAcctIDs,$I101)</f>
        <v>0</v>
      </c>
      <c r="AS101" s="313">
        <f>SUMIFS(Drivers!BU$71:BU$106,BSAcctIDs,$I101)</f>
        <v>0</v>
      </c>
      <c r="AT101" s="313">
        <f>SUMIFS(Drivers!BV$71:BV$106,BSAcctIDs,$I101)</f>
        <v>0</v>
      </c>
      <c r="AU101" s="313">
        <f>SUMIFS(Drivers!BW$71:BW$106,BSAcctIDs,$I101)</f>
        <v>0</v>
      </c>
      <c r="AV101" s="313">
        <f>SUMIFS(Drivers!BX$71:BX$106,BSAcctIDs,$I101)</f>
        <v>0</v>
      </c>
      <c r="AW101" s="313">
        <f>SUMIFS(Drivers!BY$71:BY$106,BSAcctIDs,$I101)</f>
        <v>0</v>
      </c>
      <c r="AX101" s="313">
        <f>SUMIFS(Drivers!BZ$71:BZ$106,BSAcctIDs,$I101)</f>
        <v>0</v>
      </c>
      <c r="AY101" s="313">
        <f>SUMIFS(Drivers!CA$71:CA$106,BSAcctIDs,$I101)</f>
        <v>0</v>
      </c>
      <c r="AZ101" s="313">
        <f>SUMIFS(Drivers!CB$71:CB$106,BSAcctIDs,$I101)</f>
        <v>0</v>
      </c>
      <c r="BA101" s="313">
        <f>SUMIFS(Drivers!CC$71:CC$106,BSAcctIDs,$I101)</f>
        <v>0</v>
      </c>
      <c r="BB101" s="313">
        <f>SUMIFS(Drivers!CD$71:CD$106,BSAcctIDs,$I101)</f>
        <v>0</v>
      </c>
      <c r="BC101" s="313">
        <f>SUMIFS(Drivers!CE$71:CE$106,BSAcctIDs,$I101)</f>
        <v>0</v>
      </c>
      <c r="BD101" s="313">
        <f>SUMIFS(Drivers!CF$71:CF$106,BSAcctIDs,$I101)</f>
        <v>0</v>
      </c>
      <c r="BE101" s="313">
        <f>SUMIFS(Drivers!CG$71:CG$106,BSAcctIDs,$I101)</f>
        <v>0</v>
      </c>
      <c r="BF101" s="313">
        <f>SUMIFS(Drivers!CH$71:CH$106,BSAcctIDs,$I101)</f>
        <v>0</v>
      </c>
      <c r="BG101" s="313">
        <f>SUMIFS(Drivers!CI$71:CI$106,BSAcctIDs,$I101)</f>
        <v>0</v>
      </c>
      <c r="BH101" s="313">
        <f>SUMIFS(Drivers!CJ$71:CJ$106,BSAcctIDs,$I101)</f>
        <v>0</v>
      </c>
    </row>
    <row r="102" spans="2:60" ht="19.5" customHeight="1" outlineLevel="1">
      <c r="B102" s="284"/>
      <c r="C102" s="315"/>
      <c r="D102" s="288" t="s">
        <v>325</v>
      </c>
      <c r="E102" s="277" t="str">
        <f>IFERROR(INDEX(PBC_ACCOUNT_LIST[Drivers Section],MATCH('Data Summary'!I102,PBC_ACCOUNT_LIST[Id],0)),"")</f>
        <v>Owners Equity</v>
      </c>
      <c r="F102" s="277" t="str">
        <f>IFERROR(INDEX(PBC_ACCOUNT_LIST[Summary Grouping],MATCH('Data Summary'!I102,PBC_ACCOUNT_LIST[Id],0)),"")</f>
        <v>Contributed Capital</v>
      </c>
      <c r="G102" s="277"/>
      <c r="H102" s="277" t="str">
        <f>IFERROR(INDEX(PBC_ACCOUNT_LIST[Cash Flow Section],MATCH('Data Summary'!I102,PBC_ACCOUNT_LIST[Id],0)),"")</f>
        <v>Cash From Financing Activities</v>
      </c>
      <c r="I102" s="277">
        <v>198</v>
      </c>
      <c r="J102" s="314"/>
      <c r="L102" s="313">
        <f>SUMIFS(Drivers!AN$71:AN$106,BSAcctIDs,$I102)</f>
        <v>0</v>
      </c>
      <c r="M102" s="313">
        <f>SUMIFS(Drivers!AO$71:AO$106,BSAcctIDs,$I102)</f>
        <v>0</v>
      </c>
      <c r="N102" s="313">
        <f>SUMIFS(Drivers!AP$71:AP$106,BSAcctIDs,$I102)</f>
        <v>0</v>
      </c>
      <c r="O102" s="313">
        <f>SUMIFS(Drivers!AQ$71:AQ$106,BSAcctIDs,$I102)</f>
        <v>0</v>
      </c>
      <c r="P102" s="313">
        <f>SUMIFS(Drivers!AR$71:AR$106,BSAcctIDs,$I102)</f>
        <v>0</v>
      </c>
      <c r="Q102" s="313">
        <f>SUMIFS(Drivers!AS$71:AS$106,BSAcctIDs,$I102)</f>
        <v>0</v>
      </c>
      <c r="R102" s="313">
        <f>SUMIFS(Drivers!AT$71:AT$106,BSAcctIDs,$I102)</f>
        <v>1500000</v>
      </c>
      <c r="S102" s="313">
        <f>SUMIFS(Drivers!AU$71:AU$106,BSAcctIDs,$I102)</f>
        <v>1500000</v>
      </c>
      <c r="T102" s="313">
        <f>SUMIFS(Drivers!AV$71:AV$106,BSAcctIDs,$I102)</f>
        <v>1500000</v>
      </c>
      <c r="U102" s="313">
        <f>SUMIFS(Drivers!AW$71:AW$106,BSAcctIDs,$I102)</f>
        <v>1500000</v>
      </c>
      <c r="V102" s="313">
        <f>SUMIFS(Drivers!AX$71:AX$106,BSAcctIDs,$I102)</f>
        <v>1500000</v>
      </c>
      <c r="W102" s="313">
        <f>SUMIFS(Drivers!AY$71:AY$106,BSAcctIDs,$I102)</f>
        <v>2000000</v>
      </c>
      <c r="X102" s="313">
        <f>SUMIFS(Drivers!AZ$71:AZ$106,BSAcctIDs,$I102)</f>
        <v>3000000</v>
      </c>
      <c r="Y102" s="313">
        <f>SUMIFS(Drivers!BA$71:BA$106,BSAcctIDs,$I102)</f>
        <v>3000000</v>
      </c>
      <c r="Z102" s="313">
        <f>SUMIFS(Drivers!BB$71:BB$106,BSAcctIDs,$I102)</f>
        <v>3000000</v>
      </c>
      <c r="AA102" s="313">
        <f>SUMIFS(Drivers!BC$71:BC$106,BSAcctIDs,$I102)</f>
        <v>3000000</v>
      </c>
      <c r="AB102" s="313">
        <f>SUMIFS(Drivers!BD$71:BD$106,BSAcctIDs,$I102)</f>
        <v>3000000</v>
      </c>
      <c r="AC102" s="313">
        <f>SUMIFS(Drivers!BE$71:BE$106,BSAcctIDs,$I102)</f>
        <v>3000000</v>
      </c>
      <c r="AD102" s="313">
        <f>SUMIFS(Drivers!BF$71:BF$106,BSAcctIDs,$I102)</f>
        <v>3000000</v>
      </c>
      <c r="AE102" s="313">
        <f>SUMIFS(Drivers!BG$71:BG$106,BSAcctIDs,$I102)</f>
        <v>3000000</v>
      </c>
      <c r="AF102" s="313">
        <f>SUMIFS(Drivers!BH$71:BH$106,BSAcctIDs,$I102)</f>
        <v>3000000</v>
      </c>
      <c r="AG102" s="313">
        <f>SUMIFS(Drivers!BI$71:BI$106,BSAcctIDs,$I102)</f>
        <v>3000000</v>
      </c>
      <c r="AH102" s="313">
        <f>SUMIFS(Drivers!BJ$71:BJ$106,BSAcctIDs,$I102)</f>
        <v>3000000</v>
      </c>
      <c r="AI102" s="313">
        <f>SUMIFS(Drivers!BK$71:BK$106,BSAcctIDs,$I102)</f>
        <v>3000000</v>
      </c>
      <c r="AJ102" s="313">
        <f>SUMIFS(Drivers!BL$71:BL$106,BSAcctIDs,$I102)</f>
        <v>3000000</v>
      </c>
      <c r="AK102" s="313">
        <f>SUMIFS(Drivers!BM$71:BM$106,BSAcctIDs,$I102)</f>
        <v>3000000</v>
      </c>
      <c r="AL102" s="313">
        <f>SUMIFS(Drivers!BN$71:BN$106,BSAcctIDs,$I102)</f>
        <v>3000000</v>
      </c>
      <c r="AM102" s="313">
        <f>SUMIFS(Drivers!BO$71:BO$106,BSAcctIDs,$I102)</f>
        <v>3000000</v>
      </c>
      <c r="AN102" s="313">
        <f>SUMIFS(Drivers!BP$71:BP$106,BSAcctIDs,$I102)</f>
        <v>3000000</v>
      </c>
      <c r="AO102" s="313">
        <f>SUMIFS(Drivers!BQ$71:BQ$106,BSAcctIDs,$I102)</f>
        <v>3000000</v>
      </c>
      <c r="AP102" s="313">
        <f>SUMIFS(Drivers!BR$71:BR$106,BSAcctIDs,$I102)</f>
        <v>3000000</v>
      </c>
      <c r="AQ102" s="313">
        <f>SUMIFS(Drivers!BS$71:BS$106,BSAcctIDs,$I102)</f>
        <v>3000000</v>
      </c>
      <c r="AR102" s="313">
        <f>SUMIFS(Drivers!BT$71:BT$106,BSAcctIDs,$I102)</f>
        <v>3000000</v>
      </c>
      <c r="AS102" s="313">
        <f>SUMIFS(Drivers!BU$71:BU$106,BSAcctIDs,$I102)</f>
        <v>3000000</v>
      </c>
      <c r="AT102" s="313">
        <f>SUMIFS(Drivers!BV$71:BV$106,BSAcctIDs,$I102)</f>
        <v>3000000</v>
      </c>
      <c r="AU102" s="313">
        <f>SUMIFS(Drivers!BW$71:BW$106,BSAcctIDs,$I102)</f>
        <v>3000000</v>
      </c>
      <c r="AV102" s="313">
        <f>SUMIFS(Drivers!BX$71:BX$106,BSAcctIDs,$I102)</f>
        <v>4000000</v>
      </c>
      <c r="AW102" s="313">
        <f>SUMIFS(Drivers!BY$71:BY$106,BSAcctIDs,$I102)</f>
        <v>4000000</v>
      </c>
      <c r="AX102" s="313">
        <f>SUMIFS(Drivers!BZ$71:BZ$106,BSAcctIDs,$I102)</f>
        <v>4000000</v>
      </c>
      <c r="AY102" s="313">
        <f>SUMIFS(Drivers!CA$71:CA$106,BSAcctIDs,$I102)</f>
        <v>4000000</v>
      </c>
      <c r="AZ102" s="313">
        <f>SUMIFS(Drivers!CB$71:CB$106,BSAcctIDs,$I102)</f>
        <v>4000000</v>
      </c>
      <c r="BA102" s="313">
        <f>SUMIFS(Drivers!CC$71:CC$106,BSAcctIDs,$I102)</f>
        <v>4000000</v>
      </c>
      <c r="BB102" s="313">
        <f>SUMIFS(Drivers!CD$71:CD$106,BSAcctIDs,$I102)</f>
        <v>4000000</v>
      </c>
      <c r="BC102" s="313">
        <f>SUMIFS(Drivers!CE$71:CE$106,BSAcctIDs,$I102)</f>
        <v>4000000</v>
      </c>
      <c r="BD102" s="313">
        <f>SUMIFS(Drivers!CF$71:CF$106,BSAcctIDs,$I102)</f>
        <v>4000000</v>
      </c>
      <c r="BE102" s="313">
        <f>SUMIFS(Drivers!CG$71:CG$106,BSAcctIDs,$I102)</f>
        <v>4000000</v>
      </c>
      <c r="BF102" s="313">
        <f>SUMIFS(Drivers!CH$71:CH$106,BSAcctIDs,$I102)</f>
        <v>4000000</v>
      </c>
      <c r="BG102" s="313">
        <f>SUMIFS(Drivers!CI$71:CI$106,BSAcctIDs,$I102)</f>
        <v>4000000</v>
      </c>
      <c r="BH102" s="313">
        <f>SUMIFS(Drivers!CJ$71:CJ$106,BSAcctIDs,$I102)</f>
        <v>4000000</v>
      </c>
    </row>
    <row r="103" spans="2:60" ht="19.5" customHeight="1" outlineLevel="1">
      <c r="B103" s="284"/>
      <c r="C103" s="315"/>
      <c r="D103" s="288" t="s">
        <v>326</v>
      </c>
      <c r="E103" s="277" t="str">
        <f>IFERROR(INDEX(PBC_ACCOUNT_LIST[Drivers Section],MATCH('Data Summary'!I103,PBC_ACCOUNT_LIST[Id],0)),"")</f>
        <v>Owners Equity</v>
      </c>
      <c r="F103" s="277" t="str">
        <f>IFERROR(INDEX(PBC_ACCOUNT_LIST[Summary Grouping],MATCH('Data Summary'!I103,PBC_ACCOUNT_LIST[Id],0)),"")</f>
        <v>Retained Earnings</v>
      </c>
      <c r="G103" s="277"/>
      <c r="H103" s="277">
        <f>IFERROR(INDEX(PBC_ACCOUNT_LIST[Cash Flow Section],MATCH('Data Summary'!I103,PBC_ACCOUNT_LIST[Id],0)),"")</f>
        <v>0</v>
      </c>
      <c r="I103" s="277">
        <v>4</v>
      </c>
      <c r="J103" s="314"/>
      <c r="L103" s="313">
        <f>SUMIFS(Drivers!AN$71:AN$106,BSAcctIDs,$I103)</f>
        <v>0</v>
      </c>
      <c r="M103" s="313">
        <f>SUMIFS(Drivers!AO$71:AO$106,BSAcctIDs,$I103)</f>
        <v>0</v>
      </c>
      <c r="N103" s="313">
        <f>SUMIFS(Drivers!AP$71:AP$106,BSAcctIDs,$I103)</f>
        <v>0</v>
      </c>
      <c r="O103" s="313">
        <f>SUMIFS(Drivers!AQ$71:AQ$106,BSAcctIDs,$I103)</f>
        <v>0</v>
      </c>
      <c r="P103" s="313">
        <f>SUMIFS(Drivers!AR$71:AR$106,BSAcctIDs,$I103)</f>
        <v>0</v>
      </c>
      <c r="Q103" s="313">
        <f>SUMIFS(Drivers!AS$71:AS$106,BSAcctIDs,$I103)</f>
        <v>0</v>
      </c>
      <c r="R103" s="313">
        <f>SUMIFS(Drivers!AT$71:AT$106,BSAcctIDs,$I103)</f>
        <v>0</v>
      </c>
      <c r="S103" s="313">
        <f>SUMIFS(Drivers!AU$71:AU$106,BSAcctIDs,$I103)</f>
        <v>0</v>
      </c>
      <c r="T103" s="313">
        <f>SUMIFS(Drivers!AV$71:AV$106,BSAcctIDs,$I103)</f>
        <v>0</v>
      </c>
      <c r="U103" s="313">
        <f>SUMIFS(Drivers!AW$71:AW$106,BSAcctIDs,$I103)</f>
        <v>0</v>
      </c>
      <c r="V103" s="313">
        <f>SUMIFS(Drivers!AX$71:AX$106,BSAcctIDs,$I103)</f>
        <v>0</v>
      </c>
      <c r="W103" s="313">
        <f>SUMIFS(Drivers!AY$71:AY$106,BSAcctIDs,$I103)</f>
        <v>0</v>
      </c>
      <c r="X103" s="313">
        <f>SUMIFS(Drivers!AZ$71:AZ$106,BSAcctIDs,$I103)</f>
        <v>0</v>
      </c>
      <c r="Y103" s="313">
        <f>SUMIFS(Drivers!BA$71:BA$106,BSAcctIDs,$I103)</f>
        <v>-659921.5</v>
      </c>
      <c r="Z103" s="313">
        <f>SUMIFS(Drivers!BB$71:BB$106,BSAcctIDs,$I103)</f>
        <v>-659921.5</v>
      </c>
      <c r="AA103" s="313">
        <f>SUMIFS(Drivers!BC$71:BC$106,BSAcctIDs,$I103)</f>
        <v>-659921.5</v>
      </c>
      <c r="AB103" s="313">
        <f>SUMIFS(Drivers!BD$71:BD$106,BSAcctIDs,$I103)</f>
        <v>-659921.5</v>
      </c>
      <c r="AC103" s="313">
        <f>SUMIFS(Drivers!BE$71:BE$106,BSAcctIDs,$I103)</f>
        <v>-659921.5</v>
      </c>
      <c r="AD103" s="313">
        <f>SUMIFS(Drivers!BF$71:BF$106,BSAcctIDs,$I103)</f>
        <v>-659921.5</v>
      </c>
      <c r="AE103" s="313">
        <f>SUMIFS(Drivers!BG$71:BG$106,BSAcctIDs,$I103)</f>
        <v>-659921.5</v>
      </c>
      <c r="AF103" s="313">
        <f>SUMIFS(Drivers!BH$71:BH$106,BSAcctIDs,$I103)</f>
        <v>-659921.5</v>
      </c>
      <c r="AG103" s="313">
        <f>SUMIFS(Drivers!BI$71:BI$106,BSAcctIDs,$I103)</f>
        <v>-659921.5</v>
      </c>
      <c r="AH103" s="313">
        <f>SUMIFS(Drivers!BJ$71:BJ$106,BSAcctIDs,$I103)</f>
        <v>-659921.5</v>
      </c>
      <c r="AI103" s="313">
        <f>SUMIFS(Drivers!BK$71:BK$106,BSAcctIDs,$I103)</f>
        <v>-659921.5</v>
      </c>
      <c r="AJ103" s="313">
        <f>SUMIFS(Drivers!BL$71:BL$106,BSAcctIDs,$I103)</f>
        <v>-659921.5</v>
      </c>
      <c r="AK103" s="313">
        <f>SUMIFS(Drivers!BM$71:BM$106,BSAcctIDs,$I103)</f>
        <v>-2213404</v>
      </c>
      <c r="AL103" s="313">
        <f>SUMIFS(Drivers!BN$71:BN$106,BSAcctIDs,$I103)</f>
        <v>-2213404</v>
      </c>
      <c r="AM103" s="313">
        <f>SUMIFS(Drivers!BO$71:BO$106,BSAcctIDs,$I103)</f>
        <v>-2213404</v>
      </c>
      <c r="AN103" s="313">
        <f>SUMIFS(Drivers!BP$71:BP$106,BSAcctIDs,$I103)</f>
        <v>-2213404</v>
      </c>
      <c r="AO103" s="313">
        <f>SUMIFS(Drivers!BQ$71:BQ$106,BSAcctIDs,$I103)</f>
        <v>-2213404</v>
      </c>
      <c r="AP103" s="313">
        <f>SUMIFS(Drivers!BR$71:BR$106,BSAcctIDs,$I103)</f>
        <v>-2213404</v>
      </c>
      <c r="AQ103" s="313">
        <f>SUMIFS(Drivers!BS$71:BS$106,BSAcctIDs,$I103)</f>
        <v>-2213404</v>
      </c>
      <c r="AR103" s="313">
        <f>SUMIFS(Drivers!BT$71:BT$106,BSAcctIDs,$I103)</f>
        <v>-2213404</v>
      </c>
      <c r="AS103" s="313">
        <f>SUMIFS(Drivers!BU$71:BU$106,BSAcctIDs,$I103)</f>
        <v>-2213404</v>
      </c>
      <c r="AT103" s="313">
        <f>SUMIFS(Drivers!BV$71:BV$106,BSAcctIDs,$I103)</f>
        <v>-2213404</v>
      </c>
      <c r="AU103" s="313">
        <f>SUMIFS(Drivers!BW$71:BW$106,BSAcctIDs,$I103)</f>
        <v>-2213404</v>
      </c>
      <c r="AV103" s="313">
        <f>SUMIFS(Drivers!BX$71:BX$106,BSAcctIDs,$I103)</f>
        <v>-4555252.6500000004</v>
      </c>
      <c r="AW103" s="313">
        <f>SUMIFS(Drivers!BY$71:BY$106,BSAcctIDs,$I103)</f>
        <v>-4837122.7422727272</v>
      </c>
      <c r="AX103" s="313">
        <f>SUMIFS(Drivers!BZ$71:BZ$106,BSAcctIDs,$I103)</f>
        <v>-5062072.7783009065</v>
      </c>
      <c r="AY103" s="313">
        <f>SUMIFS(Drivers!CA$71:CA$106,BSAcctIDs,$I103)</f>
        <v>-5252550.9039910408</v>
      </c>
      <c r="AZ103" s="313">
        <f>SUMIFS(Drivers!CB$71:CB$106,BSAcctIDs,$I103)</f>
        <v>-5447687.5761010051</v>
      </c>
      <c r="BA103" s="313">
        <f>SUMIFS(Drivers!CC$71:CC$106,BSAcctIDs,$I103)</f>
        <v>-5670562.381234521</v>
      </c>
      <c r="BB103" s="313">
        <f>SUMIFS(Drivers!CD$71:CD$106,BSAcctIDs,$I103)</f>
        <v>-5896926.5089926366</v>
      </c>
      <c r="BC103" s="313">
        <f>SUMIFS(Drivers!CE$71:CE$106,BSAcctIDs,$I103)</f>
        <v>-6128361.2909142058</v>
      </c>
      <c r="BD103" s="313">
        <f>SUMIFS(Drivers!CF$71:CF$106,BSAcctIDs,$I103)</f>
        <v>-6367536.4313802551</v>
      </c>
      <c r="BE103" s="313">
        <f>SUMIFS(Drivers!CG$71:CG$106,BSAcctIDs,$I103)</f>
        <v>-6610535.7474694038</v>
      </c>
      <c r="BF103" s="313">
        <f>SUMIFS(Drivers!CH$71:CH$106,BSAcctIDs,$I103)</f>
        <v>-6857188.7714317888</v>
      </c>
      <c r="BG103" s="313">
        <f>SUMIFS(Drivers!CI$71:CI$106,BSAcctIDs,$I103)</f>
        <v>-7107304.7233782439</v>
      </c>
      <c r="BH103" s="313">
        <f>SUMIFS(Drivers!CJ$71:CJ$106,BSAcctIDs,$I103)</f>
        <v>-7360773.4051949</v>
      </c>
    </row>
    <row r="104" spans="2:60" ht="19.5" customHeight="1" outlineLevel="1">
      <c r="B104" s="284"/>
      <c r="C104" s="315"/>
      <c r="D104" s="288" t="s">
        <v>102</v>
      </c>
      <c r="E104" s="277" t="str">
        <f>IFERROR(INDEX(PBC_ACCOUNT_LIST[Drivers Section],MATCH('Data Summary'!I104,PBC_ACCOUNT_LIST[Id],0)),"")</f>
        <v>Owners Equity</v>
      </c>
      <c r="F104" s="277" t="str">
        <f>IFERROR(INDEX(PBC_ACCOUNT_LIST[Summary Grouping],MATCH('Data Summary'!I104,PBC_ACCOUNT_LIST[Id],0)),"")</f>
        <v>Retained Earnings</v>
      </c>
      <c r="G104" s="277"/>
      <c r="H104" s="277">
        <f>IFERROR(INDEX(PBC_ACCOUNT_LIST[Cash Flow Section],MATCH('Data Summary'!I104,PBC_ACCOUNT_LIST[Id],0)),"")</f>
        <v>0</v>
      </c>
      <c r="I104" s="277">
        <v>999</v>
      </c>
      <c r="J104" s="314"/>
      <c r="L104" s="313">
        <f>SUMIFS(Drivers!AN$71:AN$106,BSAcctIDs,$I104)</f>
        <v>0</v>
      </c>
      <c r="M104" s="313">
        <f>SUMIFS(Drivers!AO$71:AO$106,BSAcctIDs,$I104)</f>
        <v>-44399</v>
      </c>
      <c r="N104" s="313">
        <f>SUMIFS(Drivers!AP$71:AP$106,BSAcctIDs,$I104)</f>
        <v>-89238</v>
      </c>
      <c r="O104" s="313">
        <f>SUMIFS(Drivers!AQ$71:AQ$106,BSAcctIDs,$I104)</f>
        <v>-134542</v>
      </c>
      <c r="P104" s="313">
        <f>SUMIFS(Drivers!AR$71:AR$106,BSAcctIDs,$I104)</f>
        <v>-181163</v>
      </c>
      <c r="Q104" s="313">
        <f>SUMIFS(Drivers!AS$71:AS$106,BSAcctIDs,$I104)</f>
        <v>-228141</v>
      </c>
      <c r="R104" s="313">
        <f>SUMIFS(Drivers!AT$71:AT$106,BSAcctIDs,$I104)</f>
        <v>-275562</v>
      </c>
      <c r="S104" s="313">
        <f>SUMIFS(Drivers!AU$71:AU$106,BSAcctIDs,$I104)</f>
        <v>-323123</v>
      </c>
      <c r="T104" s="313">
        <f>SUMIFS(Drivers!AV$71:AV$106,BSAcctIDs,$I104)</f>
        <v>-370807.5</v>
      </c>
      <c r="U104" s="313">
        <f>SUMIFS(Drivers!AW$71:AW$106,BSAcctIDs,$I104)</f>
        <v>-418443.5</v>
      </c>
      <c r="V104" s="313">
        <f>SUMIFS(Drivers!AX$71:AX$106,BSAcctIDs,$I104)</f>
        <v>-470918.5</v>
      </c>
      <c r="W104" s="313">
        <f>SUMIFS(Drivers!AY$71:AY$106,BSAcctIDs,$I104)</f>
        <v>-535736.5</v>
      </c>
      <c r="X104" s="313">
        <f>SUMIFS(Drivers!AZ$71:AZ$106,BSAcctIDs,$I104)</f>
        <v>-659921.5</v>
      </c>
      <c r="Y104" s="313">
        <f>SUMIFS(Drivers!BA$71:BA$106,BSAcctIDs,$I104)</f>
        <v>-72804.5</v>
      </c>
      <c r="Z104" s="313">
        <f>SUMIFS(Drivers!BB$71:BB$106,BSAcctIDs,$I104)</f>
        <v>-202124.5</v>
      </c>
      <c r="AA104" s="313">
        <f>SUMIFS(Drivers!BC$71:BC$106,BSAcctIDs,$I104)</f>
        <v>-277494</v>
      </c>
      <c r="AB104" s="313">
        <f>SUMIFS(Drivers!BD$71:BD$106,BSAcctIDs,$I104)</f>
        <v>-412204.5</v>
      </c>
      <c r="AC104" s="313">
        <f>SUMIFS(Drivers!BE$71:BE$106,BSAcctIDs,$I104)</f>
        <v>-490267</v>
      </c>
      <c r="AD104" s="313">
        <f>SUMIFS(Drivers!BF$71:BF$106,BSAcctIDs,$I104)</f>
        <v>-630639</v>
      </c>
      <c r="AE104" s="313">
        <f>SUMIFS(Drivers!BG$71:BG$106,BSAcctIDs,$I104)</f>
        <v>-776955</v>
      </c>
      <c r="AF104" s="313">
        <f>SUMIFS(Drivers!BH$71:BH$106,BSAcctIDs,$I104)</f>
        <v>-923270</v>
      </c>
      <c r="AG104" s="313">
        <f>SUMIFS(Drivers!BI$71:BI$106,BSAcctIDs,$I104)</f>
        <v>-1075826</v>
      </c>
      <c r="AH104" s="313">
        <f>SUMIFS(Drivers!BJ$71:BJ$106,BSAcctIDs,$I104)</f>
        <v>-1228383</v>
      </c>
      <c r="AI104" s="313">
        <f>SUMIFS(Drivers!BK$71:BK$106,BSAcctIDs,$I104)</f>
        <v>-1387493</v>
      </c>
      <c r="AJ104" s="313">
        <f>SUMIFS(Drivers!BL$71:BL$106,BSAcctIDs,$I104)</f>
        <v>-1553482.5</v>
      </c>
      <c r="AK104" s="313">
        <f>SUMIFS(Drivers!BM$71:BM$106,BSAcctIDs,$I104)</f>
        <v>-173214.91</v>
      </c>
      <c r="AL104" s="313">
        <f>SUMIFS(Drivers!BN$71:BN$106,BSAcctIDs,$I104)</f>
        <v>-354015.57</v>
      </c>
      <c r="AM104" s="313">
        <f>SUMIFS(Drivers!BO$71:BO$106,BSAcctIDs,$I104)</f>
        <v>-542782.23</v>
      </c>
      <c r="AN104" s="313">
        <f>SUMIFS(Drivers!BP$71:BP$106,BSAcctIDs,$I104)</f>
        <v>-739911.89</v>
      </c>
      <c r="AO104" s="313">
        <f>SUMIFS(Drivers!BQ$71:BQ$106,BSAcctIDs,$I104)</f>
        <v>-945825.55</v>
      </c>
      <c r="AP104" s="313">
        <f>SUMIFS(Drivers!BR$71:BR$106,BSAcctIDs,$I104)</f>
        <v>-1153557.76</v>
      </c>
      <c r="AQ104" s="313">
        <f>SUMIFS(Drivers!BS$71:BS$106,BSAcctIDs,$I104)</f>
        <v>-1372671.81</v>
      </c>
      <c r="AR104" s="313">
        <f>SUMIFS(Drivers!BT$71:BT$106,BSAcctIDs,$I104)</f>
        <v>-1608151.8</v>
      </c>
      <c r="AS104" s="313">
        <f>SUMIFS(Drivers!BU$71:BU$106,BSAcctIDs,$I104)</f>
        <v>-1835806.01</v>
      </c>
      <c r="AT104" s="313">
        <f>SUMIFS(Drivers!BV$71:BV$106,BSAcctIDs,$I104)</f>
        <v>-2082668.16</v>
      </c>
      <c r="AU104" s="313">
        <f>SUMIFS(Drivers!BW$71:BW$106,BSAcctIDs,$I104)</f>
        <v>-2341848.65</v>
      </c>
      <c r="AV104" s="313">
        <f>SUMIFS(Drivers!BX$71:BX$106,BSAcctIDs,$I104)</f>
        <v>-281870.09227272728</v>
      </c>
      <c r="AW104" s="313">
        <f>SUMIFS(Drivers!BY$71:BY$106,BSAcctIDs,$I104)</f>
        <v>-224950.03602817957</v>
      </c>
      <c r="AX104" s="313">
        <f>SUMIFS(Drivers!BZ$71:BZ$106,BSAcctIDs,$I104)</f>
        <v>-190478.12569013389</v>
      </c>
      <c r="AY104" s="313">
        <f>SUMIFS(Drivers!CA$71:CA$106,BSAcctIDs,$I104)</f>
        <v>-195136.6721099643</v>
      </c>
      <c r="AZ104" s="313">
        <f>SUMIFS(Drivers!CB$71:CB$106,BSAcctIDs,$I104)</f>
        <v>-222874.80513351597</v>
      </c>
      <c r="BA104" s="313">
        <f>SUMIFS(Drivers!CC$71:CC$106,BSAcctIDs,$I104)</f>
        <v>-226364.12775811547</v>
      </c>
      <c r="BB104" s="313">
        <f>SUMIFS(Drivers!CD$71:CD$106,BSAcctIDs,$I104)</f>
        <v>-231434.78192156955</v>
      </c>
      <c r="BC104" s="313">
        <f>SUMIFS(Drivers!CE$71:CE$106,BSAcctIDs,$I104)</f>
        <v>-239175.14046604885</v>
      </c>
      <c r="BD104" s="313">
        <f>SUMIFS(Drivers!CF$71:CF$106,BSAcctIDs,$I104)</f>
        <v>-242999.31608914887</v>
      </c>
      <c r="BE104" s="313">
        <f>SUMIFS(Drivers!CG$71:CG$106,BSAcctIDs,$I104)</f>
        <v>-246653.02396238543</v>
      </c>
      <c r="BF104" s="313">
        <f>SUMIFS(Drivers!CH$71:CH$106,BSAcctIDs,$I104)</f>
        <v>-250115.95194645505</v>
      </c>
      <c r="BG104" s="313">
        <f>SUMIFS(Drivers!CI$71:CI$106,BSAcctIDs,$I104)</f>
        <v>-253468.68181665597</v>
      </c>
      <c r="BH104" s="313">
        <f>SUMIFS(Drivers!CJ$71:CJ$106,BSAcctIDs,$I104)</f>
        <v>-273834.3328339202</v>
      </c>
    </row>
    <row r="105" spans="2:60" ht="16.5" customHeight="1" outlineLevel="1">
      <c r="D105" s="268" t="s">
        <v>327</v>
      </c>
      <c r="E105" s="277" t="str">
        <f>IFERROR(INDEX(PBC_ACCOUNT_LIST[Drivers Section],MATCH('Data Summary'!I105,PBC_ACCOUNT_LIST[Id],0)),"")</f>
        <v>Owners Equity</v>
      </c>
      <c r="F105" s="277" t="str">
        <f>IFERROR(INDEX(PBC_ACCOUNT_LIST[Summary Grouping],MATCH('Data Summary'!I105,PBC_ACCOUNT_LIST[Id],0)),"")</f>
        <v>Retained Earnings</v>
      </c>
      <c r="G105" s="277"/>
      <c r="H105" s="277" t="str">
        <f>IFERROR(INDEX(PBC_ACCOUNT_LIST[Cash Flow Section],MATCH('Data Summary'!I105,PBC_ACCOUNT_LIST[Id],0)),"")</f>
        <v>Cash From Financing Activities</v>
      </c>
      <c r="I105" s="277">
        <v>59</v>
      </c>
      <c r="J105" s="314"/>
      <c r="L105" s="313">
        <f>SUMIFS(Drivers!AN$71:AN$106,BSAcctIDs,$I105)</f>
        <v>0</v>
      </c>
      <c r="M105" s="313">
        <f>SUMIFS(Drivers!AO$71:AO$106,BSAcctIDs,$I105)</f>
        <v>0</v>
      </c>
      <c r="N105" s="313">
        <f>SUMIFS(Drivers!AP$71:AP$106,BSAcctIDs,$I105)</f>
        <v>0</v>
      </c>
      <c r="O105" s="313">
        <f>SUMIFS(Drivers!AQ$71:AQ$106,BSAcctIDs,$I105)</f>
        <v>0</v>
      </c>
      <c r="P105" s="313">
        <f>SUMIFS(Drivers!AR$71:AR$106,BSAcctIDs,$I105)</f>
        <v>0</v>
      </c>
      <c r="Q105" s="313">
        <f>SUMIFS(Drivers!AS$71:AS$106,BSAcctIDs,$I105)</f>
        <v>0</v>
      </c>
      <c r="R105" s="313">
        <f>SUMIFS(Drivers!AT$71:AT$106,BSAcctIDs,$I105)</f>
        <v>0</v>
      </c>
      <c r="S105" s="313">
        <f>SUMIFS(Drivers!AU$71:AU$106,BSAcctIDs,$I105)</f>
        <v>0</v>
      </c>
      <c r="T105" s="313">
        <f>SUMIFS(Drivers!AV$71:AV$106,BSAcctIDs,$I105)</f>
        <v>0</v>
      </c>
      <c r="U105" s="313">
        <f>SUMIFS(Drivers!AW$71:AW$106,BSAcctIDs,$I105)</f>
        <v>0</v>
      </c>
      <c r="V105" s="313">
        <f>SUMIFS(Drivers!AX$71:AX$106,BSAcctIDs,$I105)</f>
        <v>0</v>
      </c>
      <c r="W105" s="313">
        <f>SUMIFS(Drivers!AY$71:AY$106,BSAcctIDs,$I105)</f>
        <v>0</v>
      </c>
      <c r="X105" s="313">
        <f>SUMIFS(Drivers!AZ$71:AZ$106,BSAcctIDs,$I105)</f>
        <v>0</v>
      </c>
      <c r="Y105" s="313">
        <f>SUMIFS(Drivers!BA$71:BA$106,BSAcctIDs,$I105)</f>
        <v>0</v>
      </c>
      <c r="Z105" s="313">
        <f>SUMIFS(Drivers!BB$71:BB$106,BSAcctIDs,$I105)</f>
        <v>0</v>
      </c>
      <c r="AA105" s="313">
        <f>SUMIFS(Drivers!BC$71:BC$106,BSAcctIDs,$I105)</f>
        <v>0</v>
      </c>
      <c r="AB105" s="313">
        <f>SUMIFS(Drivers!BD$71:BD$106,BSAcctIDs,$I105)</f>
        <v>0</v>
      </c>
      <c r="AC105" s="313">
        <f>SUMIFS(Drivers!BE$71:BE$106,BSAcctIDs,$I105)</f>
        <v>0</v>
      </c>
      <c r="AD105" s="313">
        <f>SUMIFS(Drivers!BF$71:BF$106,BSAcctIDs,$I105)</f>
        <v>0</v>
      </c>
      <c r="AE105" s="313">
        <f>SUMIFS(Drivers!BG$71:BG$106,BSAcctIDs,$I105)</f>
        <v>0</v>
      </c>
      <c r="AF105" s="313">
        <f>SUMIFS(Drivers!BH$71:BH$106,BSAcctIDs,$I105)</f>
        <v>0</v>
      </c>
      <c r="AG105" s="313">
        <f>SUMIFS(Drivers!BI$71:BI$106,BSAcctIDs,$I105)</f>
        <v>0</v>
      </c>
      <c r="AH105" s="313">
        <f>SUMIFS(Drivers!BJ$71:BJ$106,BSAcctIDs,$I105)</f>
        <v>0</v>
      </c>
      <c r="AI105" s="313">
        <f>SUMIFS(Drivers!BK$71:BK$106,BSAcctIDs,$I105)</f>
        <v>0</v>
      </c>
      <c r="AJ105" s="313">
        <f>SUMIFS(Drivers!BL$71:BL$106,BSAcctIDs,$I105)</f>
        <v>0</v>
      </c>
      <c r="AK105" s="313">
        <f>SUMIFS(Drivers!BM$71:BM$106,BSAcctIDs,$I105)</f>
        <v>0</v>
      </c>
      <c r="AL105" s="313">
        <f>SUMIFS(Drivers!BN$71:BN$106,BSAcctIDs,$I105)</f>
        <v>0</v>
      </c>
      <c r="AM105" s="313">
        <f>SUMIFS(Drivers!BO$71:BO$106,BSAcctIDs,$I105)</f>
        <v>0</v>
      </c>
      <c r="AN105" s="313">
        <f>SUMIFS(Drivers!BP$71:BP$106,BSAcctIDs,$I105)</f>
        <v>0</v>
      </c>
      <c r="AO105" s="313">
        <f>SUMIFS(Drivers!BQ$71:BQ$106,BSAcctIDs,$I105)</f>
        <v>0</v>
      </c>
      <c r="AP105" s="313">
        <f>SUMIFS(Drivers!BR$71:BR$106,BSAcctIDs,$I105)</f>
        <v>0</v>
      </c>
      <c r="AQ105" s="313">
        <f>SUMIFS(Drivers!BS$71:BS$106,BSAcctIDs,$I105)</f>
        <v>0</v>
      </c>
      <c r="AR105" s="313">
        <f>SUMIFS(Drivers!BT$71:BT$106,BSAcctIDs,$I105)</f>
        <v>0</v>
      </c>
      <c r="AS105" s="313">
        <f>SUMIFS(Drivers!BU$71:BU$106,BSAcctIDs,$I105)</f>
        <v>0</v>
      </c>
      <c r="AT105" s="313">
        <f>SUMIFS(Drivers!BV$71:BV$106,BSAcctIDs,$I105)</f>
        <v>0</v>
      </c>
      <c r="AU105" s="313">
        <f>SUMIFS(Drivers!BW$71:BW$106,BSAcctIDs,$I105)</f>
        <v>0</v>
      </c>
      <c r="AV105" s="313">
        <f>SUMIFS(Drivers!BX$71:BX$106,BSAcctIDs,$I105)</f>
        <v>0</v>
      </c>
      <c r="AW105" s="313">
        <f>SUMIFS(Drivers!BY$71:BY$106,BSAcctIDs,$I105)</f>
        <v>0</v>
      </c>
      <c r="AX105" s="313">
        <f>SUMIFS(Drivers!BZ$71:BZ$106,BSAcctIDs,$I105)</f>
        <v>0</v>
      </c>
      <c r="AY105" s="313">
        <f>SUMIFS(Drivers!CA$71:CA$106,BSAcctIDs,$I105)</f>
        <v>0</v>
      </c>
      <c r="AZ105" s="313">
        <f>SUMIFS(Drivers!CB$71:CB$106,BSAcctIDs,$I105)</f>
        <v>0</v>
      </c>
      <c r="BA105" s="313">
        <f>SUMIFS(Drivers!CC$71:CC$106,BSAcctIDs,$I105)</f>
        <v>0</v>
      </c>
      <c r="BB105" s="313">
        <f>SUMIFS(Drivers!CD$71:CD$106,BSAcctIDs,$I105)</f>
        <v>0</v>
      </c>
      <c r="BC105" s="313">
        <f>SUMIFS(Drivers!CE$71:CE$106,BSAcctIDs,$I105)</f>
        <v>0</v>
      </c>
      <c r="BD105" s="313">
        <f>SUMIFS(Drivers!CF$71:CF$106,BSAcctIDs,$I105)</f>
        <v>0</v>
      </c>
      <c r="BE105" s="313">
        <f>SUMIFS(Drivers!CG$71:CG$106,BSAcctIDs,$I105)</f>
        <v>0</v>
      </c>
      <c r="BF105" s="313">
        <f>SUMIFS(Drivers!CH$71:CH$106,BSAcctIDs,$I105)</f>
        <v>0</v>
      </c>
      <c r="BG105" s="313">
        <f>SUMIFS(Drivers!CI$71:CI$106,BSAcctIDs,$I105)</f>
        <v>0</v>
      </c>
      <c r="BH105" s="313">
        <f>SUMIFS(Drivers!CJ$71:CJ$106,BSAcctIDs,$I105)</f>
        <v>0</v>
      </c>
    </row>
    <row r="106" spans="2:60" ht="18.75" customHeight="1">
      <c r="G106" s="317"/>
      <c r="I106" s="312"/>
    </row>
    <row r="107" spans="2:60" s="290" customFormat="1" ht="24">
      <c r="B107" s="299" t="s">
        <v>38</v>
      </c>
      <c r="C107" s="320"/>
      <c r="D107" s="292"/>
      <c r="E107" s="297"/>
      <c r="F107" s="297"/>
      <c r="G107" s="297"/>
      <c r="H107" s="297"/>
      <c r="I107" s="297"/>
      <c r="J107" s="319"/>
      <c r="K107" s="296"/>
      <c r="L107" s="292"/>
      <c r="M107" s="291"/>
      <c r="N107" s="291"/>
      <c r="O107" s="291"/>
      <c r="P107" s="291"/>
      <c r="Q107" s="291"/>
      <c r="R107" s="291"/>
      <c r="S107" s="291"/>
      <c r="T107" s="291"/>
      <c r="U107" s="291"/>
      <c r="V107" s="291"/>
      <c r="W107" s="291"/>
      <c r="X107" s="291"/>
      <c r="Y107" s="291"/>
      <c r="Z107" s="291"/>
      <c r="AA107" s="291"/>
      <c r="AB107" s="291"/>
      <c r="AC107" s="291"/>
      <c r="AD107" s="291"/>
      <c r="AE107" s="291"/>
      <c r="AF107" s="291"/>
      <c r="AG107" s="291"/>
      <c r="AH107" s="291"/>
      <c r="AI107" s="291"/>
      <c r="AJ107" s="291"/>
      <c r="AK107" s="291"/>
      <c r="AL107" s="291"/>
      <c r="AM107" s="291"/>
      <c r="AN107" s="291"/>
      <c r="AO107" s="291"/>
      <c r="AP107" s="291"/>
      <c r="AQ107" s="291"/>
      <c r="AR107" s="291"/>
      <c r="AS107" s="291"/>
      <c r="AT107" s="291"/>
      <c r="AU107" s="291"/>
      <c r="AV107" s="291"/>
      <c r="AW107" s="291"/>
      <c r="AX107" s="291"/>
      <c r="AY107" s="291"/>
      <c r="AZ107" s="291"/>
      <c r="BA107" s="291"/>
      <c r="BB107" s="291"/>
      <c r="BC107" s="291"/>
      <c r="BD107" s="291"/>
      <c r="BE107" s="291"/>
      <c r="BF107" s="291"/>
      <c r="BG107" s="291"/>
      <c r="BH107" s="291"/>
    </row>
    <row r="108" spans="2:60" ht="19.5" customHeight="1" outlineLevel="1">
      <c r="B108" s="284"/>
      <c r="C108" s="315" t="s">
        <v>177</v>
      </c>
      <c r="D108" s="288"/>
      <c r="E108" s="674" t="s">
        <v>175</v>
      </c>
      <c r="F108" s="674" t="s">
        <v>176</v>
      </c>
      <c r="G108" s="277"/>
      <c r="H108" s="277"/>
      <c r="I108" s="277"/>
      <c r="J108" s="314"/>
      <c r="L108" s="313"/>
      <c r="M108" s="673">
        <f>SUM(M109:M114)</f>
        <v>2</v>
      </c>
      <c r="N108" s="673">
        <f t="shared" ref="N108:BH108" si="9">SUM(N109:N114)</f>
        <v>2</v>
      </c>
      <c r="O108" s="673">
        <f t="shared" si="9"/>
        <v>2</v>
      </c>
      <c r="P108" s="673">
        <f t="shared" si="9"/>
        <v>2</v>
      </c>
      <c r="Q108" s="673">
        <f t="shared" si="9"/>
        <v>1</v>
      </c>
      <c r="R108" s="673">
        <f t="shared" si="9"/>
        <v>1</v>
      </c>
      <c r="S108" s="673">
        <f t="shared" si="9"/>
        <v>1</v>
      </c>
      <c r="T108" s="673">
        <f t="shared" si="9"/>
        <v>1</v>
      </c>
      <c r="U108" s="673">
        <f t="shared" si="9"/>
        <v>1</v>
      </c>
      <c r="V108" s="673">
        <f t="shared" si="9"/>
        <v>1</v>
      </c>
      <c r="W108" s="673">
        <f t="shared" si="9"/>
        <v>1</v>
      </c>
      <c r="X108" s="673">
        <f t="shared" si="9"/>
        <v>1</v>
      </c>
      <c r="Y108" s="673">
        <f t="shared" si="9"/>
        <v>1</v>
      </c>
      <c r="Z108" s="673">
        <f t="shared" si="9"/>
        <v>2</v>
      </c>
      <c r="AA108" s="673">
        <f t="shared" si="9"/>
        <v>3</v>
      </c>
      <c r="AB108" s="673">
        <f t="shared" si="9"/>
        <v>3</v>
      </c>
      <c r="AC108" s="673">
        <f t="shared" si="9"/>
        <v>3</v>
      </c>
      <c r="AD108" s="673">
        <f t="shared" si="9"/>
        <v>3</v>
      </c>
      <c r="AE108" s="673">
        <f t="shared" si="9"/>
        <v>3</v>
      </c>
      <c r="AF108" s="673">
        <f t="shared" si="9"/>
        <v>3</v>
      </c>
      <c r="AG108" s="673">
        <f t="shared" si="9"/>
        <v>3</v>
      </c>
      <c r="AH108" s="673">
        <f t="shared" si="9"/>
        <v>3</v>
      </c>
      <c r="AI108" s="673">
        <f t="shared" si="9"/>
        <v>3</v>
      </c>
      <c r="AJ108" s="673">
        <f t="shared" si="9"/>
        <v>3</v>
      </c>
      <c r="AK108" s="673">
        <f t="shared" si="9"/>
        <v>3</v>
      </c>
      <c r="AL108" s="673">
        <f t="shared" si="9"/>
        <v>3</v>
      </c>
      <c r="AM108" s="673">
        <f t="shared" si="9"/>
        <v>3</v>
      </c>
      <c r="AN108" s="673">
        <f t="shared" si="9"/>
        <v>3</v>
      </c>
      <c r="AO108" s="673">
        <f t="shared" si="9"/>
        <v>4</v>
      </c>
      <c r="AP108" s="673">
        <f t="shared" si="9"/>
        <v>6</v>
      </c>
      <c r="AQ108" s="673">
        <f t="shared" si="9"/>
        <v>6</v>
      </c>
      <c r="AR108" s="673">
        <f t="shared" si="9"/>
        <v>6</v>
      </c>
      <c r="AS108" s="673">
        <f t="shared" si="9"/>
        <v>6</v>
      </c>
      <c r="AT108" s="673">
        <f t="shared" si="9"/>
        <v>6</v>
      </c>
      <c r="AU108" s="673">
        <f t="shared" si="9"/>
        <v>6</v>
      </c>
      <c r="AV108" s="673">
        <f t="shared" si="9"/>
        <v>6</v>
      </c>
      <c r="AW108" s="673">
        <f t="shared" si="9"/>
        <v>6</v>
      </c>
      <c r="AX108" s="673">
        <f t="shared" si="9"/>
        <v>6</v>
      </c>
      <c r="AY108" s="673">
        <f t="shared" si="9"/>
        <v>6</v>
      </c>
      <c r="AZ108" s="673">
        <f t="shared" si="9"/>
        <v>7</v>
      </c>
      <c r="BA108" s="673">
        <f t="shared" si="9"/>
        <v>7</v>
      </c>
      <c r="BB108" s="673">
        <f t="shared" si="9"/>
        <v>8</v>
      </c>
      <c r="BC108" s="673">
        <f t="shared" si="9"/>
        <v>8</v>
      </c>
      <c r="BD108" s="673">
        <f t="shared" si="9"/>
        <v>9</v>
      </c>
      <c r="BE108" s="673">
        <f t="shared" si="9"/>
        <v>9</v>
      </c>
      <c r="BF108" s="673">
        <f t="shared" si="9"/>
        <v>9</v>
      </c>
      <c r="BG108" s="673">
        <f t="shared" si="9"/>
        <v>9</v>
      </c>
      <c r="BH108" s="673">
        <f t="shared" si="9"/>
        <v>9</v>
      </c>
    </row>
    <row r="109" spans="2:60" s="290" customFormat="1" ht="19.5" customHeight="1" outlineLevel="1">
      <c r="B109" s="284"/>
      <c r="C109" s="315"/>
      <c r="D109" s="680" t="s">
        <v>178</v>
      </c>
      <c r="E109" s="681" t="s">
        <v>179</v>
      </c>
      <c r="F109" s="681" t="s">
        <v>177</v>
      </c>
      <c r="G109" s="681"/>
      <c r="H109" s="681"/>
      <c r="I109" s="681"/>
      <c r="J109" s="682"/>
      <c r="K109" s="683"/>
      <c r="L109" s="684"/>
      <c r="M109" s="684">
        <f>SUMIFS(Headcount!AP$61:AP$103,Headcount!$E$61:$E$103,$E109,Headcount!$F$61:$F$103,$F109)</f>
        <v>1</v>
      </c>
      <c r="N109" s="684">
        <f>SUMIFS(Headcount!AQ$61:AQ$103,Headcount!$E$61:$E$103,$E109,Headcount!$F$61:$F$103,$F109)</f>
        <v>1</v>
      </c>
      <c r="O109" s="684">
        <f>SUMIFS(Headcount!AR$61:AR$103,Headcount!$E$61:$E$103,$E109,Headcount!$F$61:$F$103,$F109)</f>
        <v>1</v>
      </c>
      <c r="P109" s="684">
        <f>SUMIFS(Headcount!AS$61:AS$103,Headcount!$E$61:$E$103,$E109,Headcount!$F$61:$F$103,$F109)</f>
        <v>1</v>
      </c>
      <c r="Q109" s="684">
        <f>SUMIFS(Headcount!AT$61:AT$103,Headcount!$E$61:$E$103,$E109,Headcount!$F$61:$F$103,$F109)</f>
        <v>1</v>
      </c>
      <c r="R109" s="684">
        <f>SUMIFS(Headcount!AU$61:AU$103,Headcount!$E$61:$E$103,$E109,Headcount!$F$61:$F$103,$F109)</f>
        <v>1</v>
      </c>
      <c r="S109" s="684">
        <f>SUMIFS(Headcount!AV$61:AV$103,Headcount!$E$61:$E$103,$E109,Headcount!$F$61:$F$103,$F109)</f>
        <v>1</v>
      </c>
      <c r="T109" s="684">
        <f>SUMIFS(Headcount!AW$61:AW$103,Headcount!$E$61:$E$103,$E109,Headcount!$F$61:$F$103,$F109)</f>
        <v>1</v>
      </c>
      <c r="U109" s="684">
        <f>SUMIFS(Headcount!AX$61:AX$103,Headcount!$E$61:$E$103,$E109,Headcount!$F$61:$F$103,$F109)</f>
        <v>1</v>
      </c>
      <c r="V109" s="684">
        <f>SUMIFS(Headcount!AY$61:AY$103,Headcount!$E$61:$E$103,$E109,Headcount!$F$61:$F$103,$F109)</f>
        <v>1</v>
      </c>
      <c r="W109" s="684">
        <f>SUMIFS(Headcount!AZ$61:AZ$103,Headcount!$E$61:$E$103,$E109,Headcount!$F$61:$F$103,$F109)</f>
        <v>1</v>
      </c>
      <c r="X109" s="684">
        <f>SUMIFS(Headcount!BA$61:BA$103,Headcount!$E$61:$E$103,$E109,Headcount!$F$61:$F$103,$F109)</f>
        <v>1</v>
      </c>
      <c r="Y109" s="684">
        <f>SUMIFS(Headcount!BB$61:BB$103,Headcount!$E$61:$E$103,$E109,Headcount!$F$61:$F$103,$F109)</f>
        <v>1</v>
      </c>
      <c r="Z109" s="684">
        <f>SUMIFS(Headcount!BC$61:BC$103,Headcount!$E$61:$E$103,$E109,Headcount!$F$61:$F$103,$F109)</f>
        <v>1</v>
      </c>
      <c r="AA109" s="684">
        <f>SUMIFS(Headcount!BD$61:BD$103,Headcount!$E$61:$E$103,$E109,Headcount!$F$61:$F$103,$F109)</f>
        <v>1</v>
      </c>
      <c r="AB109" s="684">
        <f>SUMIFS(Headcount!BE$61:BE$103,Headcount!$E$61:$E$103,$E109,Headcount!$F$61:$F$103,$F109)</f>
        <v>1</v>
      </c>
      <c r="AC109" s="684">
        <f>SUMIFS(Headcount!BF$61:BF$103,Headcount!$E$61:$E$103,$E109,Headcount!$F$61:$F$103,$F109)</f>
        <v>1</v>
      </c>
      <c r="AD109" s="684">
        <f>SUMIFS(Headcount!BG$61:BG$103,Headcount!$E$61:$E$103,$E109,Headcount!$F$61:$F$103,$F109)</f>
        <v>1</v>
      </c>
      <c r="AE109" s="684">
        <f>SUMIFS(Headcount!BH$61:BH$103,Headcount!$E$61:$E$103,$E109,Headcount!$F$61:$F$103,$F109)</f>
        <v>1</v>
      </c>
      <c r="AF109" s="684">
        <f>SUMIFS(Headcount!BI$61:BI$103,Headcount!$E$61:$E$103,$E109,Headcount!$F$61:$F$103,$F109)</f>
        <v>1</v>
      </c>
      <c r="AG109" s="684">
        <f>SUMIFS(Headcount!BJ$61:BJ$103,Headcount!$E$61:$E$103,$E109,Headcount!$F$61:$F$103,$F109)</f>
        <v>1</v>
      </c>
      <c r="AH109" s="684">
        <f>SUMIFS(Headcount!BK$61:BK$103,Headcount!$E$61:$E$103,$E109,Headcount!$F$61:$F$103,$F109)</f>
        <v>1</v>
      </c>
      <c r="AI109" s="684">
        <f>SUMIFS(Headcount!BL$61:BL$103,Headcount!$E$61:$E$103,$E109,Headcount!$F$61:$F$103,$F109)</f>
        <v>1</v>
      </c>
      <c r="AJ109" s="684">
        <f>SUMIFS(Headcount!BM$61:BM$103,Headcount!$E$61:$E$103,$E109,Headcount!$F$61:$F$103,$F109)</f>
        <v>1</v>
      </c>
      <c r="AK109" s="684">
        <f>SUMIFS(Headcount!BN$61:BN$103,Headcount!$E$61:$E$103,$E109,Headcount!$F$61:$F$103,$F109)</f>
        <v>1</v>
      </c>
      <c r="AL109" s="684">
        <f>SUMIFS(Headcount!BO$61:BO$103,Headcount!$E$61:$E$103,$E109,Headcount!$F$61:$F$103,$F109)</f>
        <v>1</v>
      </c>
      <c r="AM109" s="684">
        <f>SUMIFS(Headcount!BP$61:BP$103,Headcount!$E$61:$E$103,$E109,Headcount!$F$61:$F$103,$F109)</f>
        <v>1</v>
      </c>
      <c r="AN109" s="684">
        <f>SUMIFS(Headcount!BQ$61:BQ$103,Headcount!$E$61:$E$103,$E109,Headcount!$F$61:$F$103,$F109)</f>
        <v>1</v>
      </c>
      <c r="AO109" s="684">
        <f>SUMIFS(Headcount!BR$61:BR$103,Headcount!$E$61:$E$103,$E109,Headcount!$F$61:$F$103,$F109)</f>
        <v>1</v>
      </c>
      <c r="AP109" s="684">
        <f>SUMIFS(Headcount!BS$61:BS$103,Headcount!$E$61:$E$103,$E109,Headcount!$F$61:$F$103,$F109)</f>
        <v>1</v>
      </c>
      <c r="AQ109" s="684">
        <f>SUMIFS(Headcount!BT$61:BT$103,Headcount!$E$61:$E$103,$E109,Headcount!$F$61:$F$103,$F109)</f>
        <v>1</v>
      </c>
      <c r="AR109" s="684">
        <f>SUMIFS(Headcount!BU$61:BU$103,Headcount!$E$61:$E$103,$E109,Headcount!$F$61:$F$103,$F109)</f>
        <v>1</v>
      </c>
      <c r="AS109" s="684">
        <f>SUMIFS(Headcount!BV$61:BV$103,Headcount!$E$61:$E$103,$E109,Headcount!$F$61:$F$103,$F109)</f>
        <v>1</v>
      </c>
      <c r="AT109" s="684">
        <f>SUMIFS(Headcount!BW$61:BW$103,Headcount!$E$61:$E$103,$E109,Headcount!$F$61:$F$103,$F109)</f>
        <v>1</v>
      </c>
      <c r="AU109" s="684">
        <f>SUMIFS(Headcount!BX$61:BX$103,Headcount!$E$61:$E$103,$E109,Headcount!$F$61:$F$103,$F109)</f>
        <v>1</v>
      </c>
      <c r="AV109" s="684">
        <f>SUMIFS(Headcount!BY$61:BY$103,Headcount!$E$61:$E$103,$E109,Headcount!$F$61:$F$103,$F109)</f>
        <v>1</v>
      </c>
      <c r="AW109" s="684">
        <f>SUMIFS(Headcount!BZ$61:BZ$103,Headcount!$E$61:$E$103,$E109,Headcount!$F$61:$F$103,$F109)</f>
        <v>1</v>
      </c>
      <c r="AX109" s="684">
        <f>SUMIFS(Headcount!CA$61:CA$103,Headcount!$E$61:$E$103,$E109,Headcount!$F$61:$F$103,$F109)</f>
        <v>1</v>
      </c>
      <c r="AY109" s="684">
        <f>SUMIFS(Headcount!CB$61:CB$103,Headcount!$E$61:$E$103,$E109,Headcount!$F$61:$F$103,$F109)</f>
        <v>1</v>
      </c>
      <c r="AZ109" s="684">
        <f>SUMIFS(Headcount!CC$61:CC$103,Headcount!$E$61:$E$103,$E109,Headcount!$F$61:$F$103,$F109)</f>
        <v>2</v>
      </c>
      <c r="BA109" s="684">
        <f>SUMIFS(Headcount!CD$61:CD$103,Headcount!$E$61:$E$103,$E109,Headcount!$F$61:$F$103,$F109)</f>
        <v>2</v>
      </c>
      <c r="BB109" s="684">
        <f>SUMIFS(Headcount!CE$61:CE$103,Headcount!$E$61:$E$103,$E109,Headcount!$F$61:$F$103,$F109)</f>
        <v>2</v>
      </c>
      <c r="BC109" s="684">
        <f>SUMIFS(Headcount!CF$61:CF$103,Headcount!$E$61:$E$103,$E109,Headcount!$F$61:$F$103,$F109)</f>
        <v>2</v>
      </c>
      <c r="BD109" s="684">
        <f>SUMIFS(Headcount!CG$61:CG$103,Headcount!$E$61:$E$103,$E109,Headcount!$F$61:$F$103,$F109)</f>
        <v>2</v>
      </c>
      <c r="BE109" s="684">
        <f>SUMIFS(Headcount!CH$61:CH$103,Headcount!$E$61:$E$103,$E109,Headcount!$F$61:$F$103,$F109)</f>
        <v>2</v>
      </c>
      <c r="BF109" s="684">
        <f>SUMIFS(Headcount!CI$61:CI$103,Headcount!$E$61:$E$103,$E109,Headcount!$F$61:$F$103,$F109)</f>
        <v>2</v>
      </c>
      <c r="BG109" s="684">
        <f>SUMIFS(Headcount!CJ$61:CJ$103,Headcount!$E$61:$E$103,$E109,Headcount!$F$61:$F$103,$F109)</f>
        <v>2</v>
      </c>
      <c r="BH109" s="684">
        <f>SUMIFS(Headcount!CK$61:CK$103,Headcount!$E$61:$E$103,$E109,Headcount!$F$61:$F$103,$F109)</f>
        <v>2</v>
      </c>
    </row>
    <row r="110" spans="2:60" s="290" customFormat="1" ht="19.5" customHeight="1" outlineLevel="1">
      <c r="B110" s="284"/>
      <c r="C110" s="315"/>
      <c r="D110" s="680" t="s">
        <v>180</v>
      </c>
      <c r="E110" s="681" t="s">
        <v>181</v>
      </c>
      <c r="F110" s="681" t="s">
        <v>177</v>
      </c>
      <c r="G110" s="681"/>
      <c r="H110" s="681"/>
      <c r="I110" s="681"/>
      <c r="J110" s="682"/>
      <c r="K110" s="683"/>
      <c r="L110" s="684"/>
      <c r="M110" s="684">
        <f>SUMIFS(Headcount!AP$61:AP$103,Headcount!$E$61:$E$103,$E110,Headcount!$F$61:$F$103,$F110)</f>
        <v>0</v>
      </c>
      <c r="N110" s="684">
        <f>SUMIFS(Headcount!AQ$61:AQ$103,Headcount!$E$61:$E$103,$E110,Headcount!$F$61:$F$103,$F110)</f>
        <v>0</v>
      </c>
      <c r="O110" s="684">
        <f>SUMIFS(Headcount!AR$61:AR$103,Headcount!$E$61:$E$103,$E110,Headcount!$F$61:$F$103,$F110)</f>
        <v>0</v>
      </c>
      <c r="P110" s="684">
        <f>SUMIFS(Headcount!AS$61:AS$103,Headcount!$E$61:$E$103,$E110,Headcount!$F$61:$F$103,$F110)</f>
        <v>0</v>
      </c>
      <c r="Q110" s="684">
        <f>SUMIFS(Headcount!AT$61:AT$103,Headcount!$E$61:$E$103,$E110,Headcount!$F$61:$F$103,$F110)</f>
        <v>0</v>
      </c>
      <c r="R110" s="684">
        <f>SUMIFS(Headcount!AU$61:AU$103,Headcount!$E$61:$E$103,$E110,Headcount!$F$61:$F$103,$F110)</f>
        <v>0</v>
      </c>
      <c r="S110" s="684">
        <f>SUMIFS(Headcount!AV$61:AV$103,Headcount!$E$61:$E$103,$E110,Headcount!$F$61:$F$103,$F110)</f>
        <v>0</v>
      </c>
      <c r="T110" s="684">
        <f>SUMIFS(Headcount!AW$61:AW$103,Headcount!$E$61:$E$103,$E110,Headcount!$F$61:$F$103,$F110)</f>
        <v>0</v>
      </c>
      <c r="U110" s="684">
        <f>SUMIFS(Headcount!AX$61:AX$103,Headcount!$E$61:$E$103,$E110,Headcount!$F$61:$F$103,$F110)</f>
        <v>0</v>
      </c>
      <c r="V110" s="684">
        <f>SUMIFS(Headcount!AY$61:AY$103,Headcount!$E$61:$E$103,$E110,Headcount!$F$61:$F$103,$F110)</f>
        <v>0</v>
      </c>
      <c r="W110" s="684">
        <f>SUMIFS(Headcount!AZ$61:AZ$103,Headcount!$E$61:$E$103,$E110,Headcount!$F$61:$F$103,$F110)</f>
        <v>0</v>
      </c>
      <c r="X110" s="684">
        <f>SUMIFS(Headcount!BA$61:BA$103,Headcount!$E$61:$E$103,$E110,Headcount!$F$61:$F$103,$F110)</f>
        <v>0</v>
      </c>
      <c r="Y110" s="684">
        <f>SUMIFS(Headcount!BB$61:BB$103,Headcount!$E$61:$E$103,$E110,Headcount!$F$61:$F$103,$F110)</f>
        <v>0</v>
      </c>
      <c r="Z110" s="684">
        <f>SUMIFS(Headcount!BC$61:BC$103,Headcount!$E$61:$E$103,$E110,Headcount!$F$61:$F$103,$F110)</f>
        <v>1</v>
      </c>
      <c r="AA110" s="684">
        <f>SUMIFS(Headcount!BD$61:BD$103,Headcount!$E$61:$E$103,$E110,Headcount!$F$61:$F$103,$F110)</f>
        <v>2</v>
      </c>
      <c r="AB110" s="684">
        <f>SUMIFS(Headcount!BE$61:BE$103,Headcount!$E$61:$E$103,$E110,Headcount!$F$61:$F$103,$F110)</f>
        <v>2</v>
      </c>
      <c r="AC110" s="684">
        <f>SUMIFS(Headcount!BF$61:BF$103,Headcount!$E$61:$E$103,$E110,Headcount!$F$61:$F$103,$F110)</f>
        <v>2</v>
      </c>
      <c r="AD110" s="684">
        <f>SUMIFS(Headcount!BG$61:BG$103,Headcount!$E$61:$E$103,$E110,Headcount!$F$61:$F$103,$F110)</f>
        <v>2</v>
      </c>
      <c r="AE110" s="684">
        <f>SUMIFS(Headcount!BH$61:BH$103,Headcount!$E$61:$E$103,$E110,Headcount!$F$61:$F$103,$F110)</f>
        <v>2</v>
      </c>
      <c r="AF110" s="684">
        <f>SUMIFS(Headcount!BI$61:BI$103,Headcount!$E$61:$E$103,$E110,Headcount!$F$61:$F$103,$F110)</f>
        <v>2</v>
      </c>
      <c r="AG110" s="684">
        <f>SUMIFS(Headcount!BJ$61:BJ$103,Headcount!$E$61:$E$103,$E110,Headcount!$F$61:$F$103,$F110)</f>
        <v>2</v>
      </c>
      <c r="AH110" s="684">
        <f>SUMIFS(Headcount!BK$61:BK$103,Headcount!$E$61:$E$103,$E110,Headcount!$F$61:$F$103,$F110)</f>
        <v>2</v>
      </c>
      <c r="AI110" s="684">
        <f>SUMIFS(Headcount!BL$61:BL$103,Headcount!$E$61:$E$103,$E110,Headcount!$F$61:$F$103,$F110)</f>
        <v>2</v>
      </c>
      <c r="AJ110" s="684">
        <f>SUMIFS(Headcount!BM$61:BM$103,Headcount!$E$61:$E$103,$E110,Headcount!$F$61:$F$103,$F110)</f>
        <v>2</v>
      </c>
      <c r="AK110" s="684">
        <f>SUMIFS(Headcount!BN$61:BN$103,Headcount!$E$61:$E$103,$E110,Headcount!$F$61:$F$103,$F110)</f>
        <v>2</v>
      </c>
      <c r="AL110" s="684">
        <f>SUMIFS(Headcount!BO$61:BO$103,Headcount!$E$61:$E$103,$E110,Headcount!$F$61:$F$103,$F110)</f>
        <v>2</v>
      </c>
      <c r="AM110" s="684">
        <f>SUMIFS(Headcount!BP$61:BP$103,Headcount!$E$61:$E$103,$E110,Headcount!$F$61:$F$103,$F110)</f>
        <v>2</v>
      </c>
      <c r="AN110" s="684">
        <f>SUMIFS(Headcount!BQ$61:BQ$103,Headcount!$E$61:$E$103,$E110,Headcount!$F$61:$F$103,$F110)</f>
        <v>2</v>
      </c>
      <c r="AO110" s="684">
        <f>SUMIFS(Headcount!BR$61:BR$103,Headcount!$E$61:$E$103,$E110,Headcount!$F$61:$F$103,$F110)</f>
        <v>2</v>
      </c>
      <c r="AP110" s="684">
        <f>SUMIFS(Headcount!BS$61:BS$103,Headcount!$E$61:$E$103,$E110,Headcount!$F$61:$F$103,$F110)</f>
        <v>4</v>
      </c>
      <c r="AQ110" s="684">
        <f>SUMIFS(Headcount!BT$61:BT$103,Headcount!$E$61:$E$103,$E110,Headcount!$F$61:$F$103,$F110)</f>
        <v>4</v>
      </c>
      <c r="AR110" s="684">
        <f>SUMIFS(Headcount!BU$61:BU$103,Headcount!$E$61:$E$103,$E110,Headcount!$F$61:$F$103,$F110)</f>
        <v>4</v>
      </c>
      <c r="AS110" s="684">
        <f>SUMIFS(Headcount!BV$61:BV$103,Headcount!$E$61:$E$103,$E110,Headcount!$F$61:$F$103,$F110)</f>
        <v>4</v>
      </c>
      <c r="AT110" s="684">
        <f>SUMIFS(Headcount!BW$61:BW$103,Headcount!$E$61:$E$103,$E110,Headcount!$F$61:$F$103,$F110)</f>
        <v>4</v>
      </c>
      <c r="AU110" s="684">
        <f>SUMIFS(Headcount!BX$61:BX$103,Headcount!$E$61:$E$103,$E110,Headcount!$F$61:$F$103,$F110)</f>
        <v>4</v>
      </c>
      <c r="AV110" s="684">
        <f>SUMIFS(Headcount!BY$61:BY$103,Headcount!$E$61:$E$103,$E110,Headcount!$F$61:$F$103,$F110)</f>
        <v>4</v>
      </c>
      <c r="AW110" s="684">
        <f>SUMIFS(Headcount!BZ$61:BZ$103,Headcount!$E$61:$E$103,$E110,Headcount!$F$61:$F$103,$F110)</f>
        <v>4</v>
      </c>
      <c r="AX110" s="684">
        <f>SUMIFS(Headcount!CA$61:CA$103,Headcount!$E$61:$E$103,$E110,Headcount!$F$61:$F$103,$F110)</f>
        <v>4</v>
      </c>
      <c r="AY110" s="684">
        <f>SUMIFS(Headcount!CB$61:CB$103,Headcount!$E$61:$E$103,$E110,Headcount!$F$61:$F$103,$F110)</f>
        <v>4</v>
      </c>
      <c r="AZ110" s="684">
        <f>SUMIFS(Headcount!CC$61:CC$103,Headcount!$E$61:$E$103,$E110,Headcount!$F$61:$F$103,$F110)</f>
        <v>4</v>
      </c>
      <c r="BA110" s="684">
        <f>SUMIFS(Headcount!CD$61:CD$103,Headcount!$E$61:$E$103,$E110,Headcount!$F$61:$F$103,$F110)</f>
        <v>4</v>
      </c>
      <c r="BB110" s="684">
        <f>SUMIFS(Headcount!CE$61:CE$103,Headcount!$E$61:$E$103,$E110,Headcount!$F$61:$F$103,$F110)</f>
        <v>4</v>
      </c>
      <c r="BC110" s="684">
        <f>SUMIFS(Headcount!CF$61:CF$103,Headcount!$E$61:$E$103,$E110,Headcount!$F$61:$F$103,$F110)</f>
        <v>4</v>
      </c>
      <c r="BD110" s="684">
        <f>SUMIFS(Headcount!CG$61:CG$103,Headcount!$E$61:$E$103,$E110,Headcount!$F$61:$F$103,$F110)</f>
        <v>4</v>
      </c>
      <c r="BE110" s="684">
        <f>SUMIFS(Headcount!CH$61:CH$103,Headcount!$E$61:$E$103,$E110,Headcount!$F$61:$F$103,$F110)</f>
        <v>4</v>
      </c>
      <c r="BF110" s="684">
        <f>SUMIFS(Headcount!CI$61:CI$103,Headcount!$E$61:$E$103,$E110,Headcount!$F$61:$F$103,$F110)</f>
        <v>4</v>
      </c>
      <c r="BG110" s="684">
        <f>SUMIFS(Headcount!CJ$61:CJ$103,Headcount!$E$61:$E$103,$E110,Headcount!$F$61:$F$103,$F110)</f>
        <v>4</v>
      </c>
      <c r="BH110" s="684">
        <f>SUMIFS(Headcount!CK$61:CK$103,Headcount!$E$61:$E$103,$E110,Headcount!$F$61:$F$103,$F110)</f>
        <v>4</v>
      </c>
    </row>
    <row r="111" spans="2:60" s="290" customFormat="1" ht="19.5" customHeight="1" outlineLevel="1">
      <c r="B111" s="284"/>
      <c r="C111" s="315"/>
      <c r="D111" s="680" t="s">
        <v>182</v>
      </c>
      <c r="E111" s="681" t="s">
        <v>183</v>
      </c>
      <c r="F111" s="681" t="s">
        <v>177</v>
      </c>
      <c r="G111" s="681"/>
      <c r="H111" s="681"/>
      <c r="I111" s="681"/>
      <c r="J111" s="682"/>
      <c r="K111" s="683"/>
      <c r="L111" s="684"/>
      <c r="M111" s="684">
        <f>SUMIFS(Headcount!AP$61:AP$103,Headcount!$E$61:$E$103,$E111,Headcount!$F$61:$F$103,$F111)</f>
        <v>0</v>
      </c>
      <c r="N111" s="684">
        <f>SUMIFS(Headcount!AQ$61:AQ$103,Headcount!$E$61:$E$103,$E111,Headcount!$F$61:$F$103,$F111)</f>
        <v>0</v>
      </c>
      <c r="O111" s="684">
        <f>SUMIFS(Headcount!AR$61:AR$103,Headcount!$E$61:$E$103,$E111,Headcount!$F$61:$F$103,$F111)</f>
        <v>0</v>
      </c>
      <c r="P111" s="684">
        <f>SUMIFS(Headcount!AS$61:AS$103,Headcount!$E$61:$E$103,$E111,Headcount!$F$61:$F$103,$F111)</f>
        <v>0</v>
      </c>
      <c r="Q111" s="684">
        <f>SUMIFS(Headcount!AT$61:AT$103,Headcount!$E$61:$E$103,$E111,Headcount!$F$61:$F$103,$F111)</f>
        <v>0</v>
      </c>
      <c r="R111" s="684">
        <f>SUMIFS(Headcount!AU$61:AU$103,Headcount!$E$61:$E$103,$E111,Headcount!$F$61:$F$103,$F111)</f>
        <v>0</v>
      </c>
      <c r="S111" s="684">
        <f>SUMIFS(Headcount!AV$61:AV$103,Headcount!$E$61:$E$103,$E111,Headcount!$F$61:$F$103,$F111)</f>
        <v>0</v>
      </c>
      <c r="T111" s="684">
        <f>SUMIFS(Headcount!AW$61:AW$103,Headcount!$E$61:$E$103,$E111,Headcount!$F$61:$F$103,$F111)</f>
        <v>0</v>
      </c>
      <c r="U111" s="684">
        <f>SUMIFS(Headcount!AX$61:AX$103,Headcount!$E$61:$E$103,$E111,Headcount!$F$61:$F$103,$F111)</f>
        <v>0</v>
      </c>
      <c r="V111" s="684">
        <f>SUMIFS(Headcount!AY$61:AY$103,Headcount!$E$61:$E$103,$E111,Headcount!$F$61:$F$103,$F111)</f>
        <v>0</v>
      </c>
      <c r="W111" s="684">
        <f>SUMIFS(Headcount!AZ$61:AZ$103,Headcount!$E$61:$E$103,$E111,Headcount!$F$61:$F$103,$F111)</f>
        <v>0</v>
      </c>
      <c r="X111" s="684">
        <f>SUMIFS(Headcount!BA$61:BA$103,Headcount!$E$61:$E$103,$E111,Headcount!$F$61:$F$103,$F111)</f>
        <v>0</v>
      </c>
      <c r="Y111" s="684">
        <f>SUMIFS(Headcount!BB$61:BB$103,Headcount!$E$61:$E$103,$E111,Headcount!$F$61:$F$103,$F111)</f>
        <v>0</v>
      </c>
      <c r="Z111" s="684">
        <f>SUMIFS(Headcount!BC$61:BC$103,Headcount!$E$61:$E$103,$E111,Headcount!$F$61:$F$103,$F111)</f>
        <v>0</v>
      </c>
      <c r="AA111" s="684">
        <f>SUMIFS(Headcount!BD$61:BD$103,Headcount!$E$61:$E$103,$E111,Headcount!$F$61:$F$103,$F111)</f>
        <v>0</v>
      </c>
      <c r="AB111" s="684">
        <f>SUMIFS(Headcount!BE$61:BE$103,Headcount!$E$61:$E$103,$E111,Headcount!$F$61:$F$103,$F111)</f>
        <v>0</v>
      </c>
      <c r="AC111" s="684">
        <f>SUMIFS(Headcount!BF$61:BF$103,Headcount!$E$61:$E$103,$E111,Headcount!$F$61:$F$103,$F111)</f>
        <v>0</v>
      </c>
      <c r="AD111" s="684">
        <f>SUMIFS(Headcount!BG$61:BG$103,Headcount!$E$61:$E$103,$E111,Headcount!$F$61:$F$103,$F111)</f>
        <v>0</v>
      </c>
      <c r="AE111" s="684">
        <f>SUMIFS(Headcount!BH$61:BH$103,Headcount!$E$61:$E$103,$E111,Headcount!$F$61:$F$103,$F111)</f>
        <v>0</v>
      </c>
      <c r="AF111" s="684">
        <f>SUMIFS(Headcount!BI$61:BI$103,Headcount!$E$61:$E$103,$E111,Headcount!$F$61:$F$103,$F111)</f>
        <v>0</v>
      </c>
      <c r="AG111" s="684">
        <f>SUMIFS(Headcount!BJ$61:BJ$103,Headcount!$E$61:$E$103,$E111,Headcount!$F$61:$F$103,$F111)</f>
        <v>0</v>
      </c>
      <c r="AH111" s="684">
        <f>SUMIFS(Headcount!BK$61:BK$103,Headcount!$E$61:$E$103,$E111,Headcount!$F$61:$F$103,$F111)</f>
        <v>0</v>
      </c>
      <c r="AI111" s="684">
        <f>SUMIFS(Headcount!BL$61:BL$103,Headcount!$E$61:$E$103,$E111,Headcount!$F$61:$F$103,$F111)</f>
        <v>0</v>
      </c>
      <c r="AJ111" s="684">
        <f>SUMIFS(Headcount!BM$61:BM$103,Headcount!$E$61:$E$103,$E111,Headcount!$F$61:$F$103,$F111)</f>
        <v>0</v>
      </c>
      <c r="AK111" s="684">
        <f>SUMIFS(Headcount!BN$61:BN$103,Headcount!$E$61:$E$103,$E111,Headcount!$F$61:$F$103,$F111)</f>
        <v>0</v>
      </c>
      <c r="AL111" s="684">
        <f>SUMIFS(Headcount!BO$61:BO$103,Headcount!$E$61:$E$103,$E111,Headcount!$F$61:$F$103,$F111)</f>
        <v>0</v>
      </c>
      <c r="AM111" s="684">
        <f>SUMIFS(Headcount!BP$61:BP$103,Headcount!$E$61:$E$103,$E111,Headcount!$F$61:$F$103,$F111)</f>
        <v>0</v>
      </c>
      <c r="AN111" s="684">
        <f>SUMIFS(Headcount!BQ$61:BQ$103,Headcount!$E$61:$E$103,$E111,Headcount!$F$61:$F$103,$F111)</f>
        <v>0</v>
      </c>
      <c r="AO111" s="684">
        <f>SUMIFS(Headcount!BR$61:BR$103,Headcount!$E$61:$E$103,$E111,Headcount!$F$61:$F$103,$F111)</f>
        <v>1</v>
      </c>
      <c r="AP111" s="684">
        <f>SUMIFS(Headcount!BS$61:BS$103,Headcount!$E$61:$E$103,$E111,Headcount!$F$61:$F$103,$F111)</f>
        <v>1</v>
      </c>
      <c r="AQ111" s="684">
        <f>SUMIFS(Headcount!BT$61:BT$103,Headcount!$E$61:$E$103,$E111,Headcount!$F$61:$F$103,$F111)</f>
        <v>1</v>
      </c>
      <c r="AR111" s="684">
        <f>SUMIFS(Headcount!BU$61:BU$103,Headcount!$E$61:$E$103,$E111,Headcount!$F$61:$F$103,$F111)</f>
        <v>1</v>
      </c>
      <c r="AS111" s="684">
        <f>SUMIFS(Headcount!BV$61:BV$103,Headcount!$E$61:$E$103,$E111,Headcount!$F$61:$F$103,$F111)</f>
        <v>1</v>
      </c>
      <c r="AT111" s="684">
        <f>SUMIFS(Headcount!BW$61:BW$103,Headcount!$E$61:$E$103,$E111,Headcount!$F$61:$F$103,$F111)</f>
        <v>1</v>
      </c>
      <c r="AU111" s="684">
        <f>SUMIFS(Headcount!BX$61:BX$103,Headcount!$E$61:$E$103,$E111,Headcount!$F$61:$F$103,$F111)</f>
        <v>1</v>
      </c>
      <c r="AV111" s="684">
        <f>SUMIFS(Headcount!BY$61:BY$103,Headcount!$E$61:$E$103,$E111,Headcount!$F$61:$F$103,$F111)</f>
        <v>1</v>
      </c>
      <c r="AW111" s="684">
        <f>SUMIFS(Headcount!BZ$61:BZ$103,Headcount!$E$61:$E$103,$E111,Headcount!$F$61:$F$103,$F111)</f>
        <v>1</v>
      </c>
      <c r="AX111" s="684">
        <f>SUMIFS(Headcount!CA$61:CA$103,Headcount!$E$61:$E$103,$E111,Headcount!$F$61:$F$103,$F111)</f>
        <v>1</v>
      </c>
      <c r="AY111" s="684">
        <f>SUMIFS(Headcount!CB$61:CB$103,Headcount!$E$61:$E$103,$E111,Headcount!$F$61:$F$103,$F111)</f>
        <v>1</v>
      </c>
      <c r="AZ111" s="684">
        <f>SUMIFS(Headcount!CC$61:CC$103,Headcount!$E$61:$E$103,$E111,Headcount!$F$61:$F$103,$F111)</f>
        <v>1</v>
      </c>
      <c r="BA111" s="684">
        <f>SUMIFS(Headcount!CD$61:CD$103,Headcount!$E$61:$E$103,$E111,Headcount!$F$61:$F$103,$F111)</f>
        <v>1</v>
      </c>
      <c r="BB111" s="684">
        <f>SUMIFS(Headcount!CE$61:CE$103,Headcount!$E$61:$E$103,$E111,Headcount!$F$61:$F$103,$F111)</f>
        <v>2</v>
      </c>
      <c r="BC111" s="684">
        <f>SUMIFS(Headcount!CF$61:CF$103,Headcount!$E$61:$E$103,$E111,Headcount!$F$61:$F$103,$F111)</f>
        <v>2</v>
      </c>
      <c r="BD111" s="684">
        <f>SUMIFS(Headcount!CG$61:CG$103,Headcount!$E$61:$E$103,$E111,Headcount!$F$61:$F$103,$F111)</f>
        <v>2</v>
      </c>
      <c r="BE111" s="684">
        <f>SUMIFS(Headcount!CH$61:CH$103,Headcount!$E$61:$E$103,$E111,Headcount!$F$61:$F$103,$F111)</f>
        <v>2</v>
      </c>
      <c r="BF111" s="684">
        <f>SUMIFS(Headcount!CI$61:CI$103,Headcount!$E$61:$E$103,$E111,Headcount!$F$61:$F$103,$F111)</f>
        <v>2</v>
      </c>
      <c r="BG111" s="684">
        <f>SUMIFS(Headcount!CJ$61:CJ$103,Headcount!$E$61:$E$103,$E111,Headcount!$F$61:$F$103,$F111)</f>
        <v>2</v>
      </c>
      <c r="BH111" s="684">
        <f>SUMIFS(Headcount!CK$61:CK$103,Headcount!$E$61:$E$103,$E111,Headcount!$F$61:$F$103,$F111)</f>
        <v>2</v>
      </c>
    </row>
    <row r="112" spans="2:60" s="290" customFormat="1" ht="19.5" customHeight="1" outlineLevel="1">
      <c r="B112" s="284"/>
      <c r="C112" s="315"/>
      <c r="D112" s="680" t="s">
        <v>184</v>
      </c>
      <c r="E112" s="681" t="s">
        <v>185</v>
      </c>
      <c r="F112" s="681" t="s">
        <v>177</v>
      </c>
      <c r="G112" s="681"/>
      <c r="H112" s="681"/>
      <c r="I112" s="681"/>
      <c r="J112" s="682"/>
      <c r="K112" s="683"/>
      <c r="L112" s="684"/>
      <c r="M112" s="684">
        <f>SUMIFS(Headcount!AP$61:AP$103,Headcount!$E$61:$E$103,$E112,Headcount!$F$61:$F$103,$F112)</f>
        <v>1</v>
      </c>
      <c r="N112" s="684">
        <f>SUMIFS(Headcount!AQ$61:AQ$103,Headcount!$E$61:$E$103,$E112,Headcount!$F$61:$F$103,$F112)</f>
        <v>1</v>
      </c>
      <c r="O112" s="684">
        <f>SUMIFS(Headcount!AR$61:AR$103,Headcount!$E$61:$E$103,$E112,Headcount!$F$61:$F$103,$F112)</f>
        <v>1</v>
      </c>
      <c r="P112" s="684">
        <f>SUMIFS(Headcount!AS$61:AS$103,Headcount!$E$61:$E$103,$E112,Headcount!$F$61:$F$103,$F112)</f>
        <v>1</v>
      </c>
      <c r="Q112" s="684">
        <f>SUMIFS(Headcount!AT$61:AT$103,Headcount!$E$61:$E$103,$E112,Headcount!$F$61:$F$103,$F112)</f>
        <v>0</v>
      </c>
      <c r="R112" s="684">
        <f>SUMIFS(Headcount!AU$61:AU$103,Headcount!$E$61:$E$103,$E112,Headcount!$F$61:$F$103,$F112)</f>
        <v>0</v>
      </c>
      <c r="S112" s="684">
        <f>SUMIFS(Headcount!AV$61:AV$103,Headcount!$E$61:$E$103,$E112,Headcount!$F$61:$F$103,$F112)</f>
        <v>0</v>
      </c>
      <c r="T112" s="684">
        <f>SUMIFS(Headcount!AW$61:AW$103,Headcount!$E$61:$E$103,$E112,Headcount!$F$61:$F$103,$F112)</f>
        <v>0</v>
      </c>
      <c r="U112" s="684">
        <f>SUMIFS(Headcount!AX$61:AX$103,Headcount!$E$61:$E$103,$E112,Headcount!$F$61:$F$103,$F112)</f>
        <v>0</v>
      </c>
      <c r="V112" s="684">
        <f>SUMIFS(Headcount!AY$61:AY$103,Headcount!$E$61:$E$103,$E112,Headcount!$F$61:$F$103,$F112)</f>
        <v>0</v>
      </c>
      <c r="W112" s="684">
        <f>SUMIFS(Headcount!AZ$61:AZ$103,Headcount!$E$61:$E$103,$E112,Headcount!$F$61:$F$103,$F112)</f>
        <v>0</v>
      </c>
      <c r="X112" s="684">
        <f>SUMIFS(Headcount!BA$61:BA$103,Headcount!$E$61:$E$103,$E112,Headcount!$F$61:$F$103,$F112)</f>
        <v>0</v>
      </c>
      <c r="Y112" s="684">
        <f>SUMIFS(Headcount!BB$61:BB$103,Headcount!$E$61:$E$103,$E112,Headcount!$F$61:$F$103,$F112)</f>
        <v>0</v>
      </c>
      <c r="Z112" s="684">
        <f>SUMIFS(Headcount!BC$61:BC$103,Headcount!$E$61:$E$103,$E112,Headcount!$F$61:$F$103,$F112)</f>
        <v>0</v>
      </c>
      <c r="AA112" s="684">
        <f>SUMIFS(Headcount!BD$61:BD$103,Headcount!$E$61:$E$103,$E112,Headcount!$F$61:$F$103,$F112)</f>
        <v>0</v>
      </c>
      <c r="AB112" s="684">
        <f>SUMIFS(Headcount!BE$61:BE$103,Headcount!$E$61:$E$103,$E112,Headcount!$F$61:$F$103,$F112)</f>
        <v>0</v>
      </c>
      <c r="AC112" s="684">
        <f>SUMIFS(Headcount!BF$61:BF$103,Headcount!$E$61:$E$103,$E112,Headcount!$F$61:$F$103,$F112)</f>
        <v>0</v>
      </c>
      <c r="AD112" s="684">
        <f>SUMIFS(Headcount!BG$61:BG$103,Headcount!$E$61:$E$103,$E112,Headcount!$F$61:$F$103,$F112)</f>
        <v>0</v>
      </c>
      <c r="AE112" s="684">
        <f>SUMIFS(Headcount!BH$61:BH$103,Headcount!$E$61:$E$103,$E112,Headcount!$F$61:$F$103,$F112)</f>
        <v>0</v>
      </c>
      <c r="AF112" s="684">
        <f>SUMIFS(Headcount!BI$61:BI$103,Headcount!$E$61:$E$103,$E112,Headcount!$F$61:$F$103,$F112)</f>
        <v>0</v>
      </c>
      <c r="AG112" s="684">
        <f>SUMIFS(Headcount!BJ$61:BJ$103,Headcount!$E$61:$E$103,$E112,Headcount!$F$61:$F$103,$F112)</f>
        <v>0</v>
      </c>
      <c r="AH112" s="684">
        <f>SUMIFS(Headcount!BK$61:BK$103,Headcount!$E$61:$E$103,$E112,Headcount!$F$61:$F$103,$F112)</f>
        <v>0</v>
      </c>
      <c r="AI112" s="684">
        <f>SUMIFS(Headcount!BL$61:BL$103,Headcount!$E$61:$E$103,$E112,Headcount!$F$61:$F$103,$F112)</f>
        <v>0</v>
      </c>
      <c r="AJ112" s="684">
        <f>SUMIFS(Headcount!BM$61:BM$103,Headcount!$E$61:$E$103,$E112,Headcount!$F$61:$F$103,$F112)</f>
        <v>0</v>
      </c>
      <c r="AK112" s="684">
        <f>SUMIFS(Headcount!BN$61:BN$103,Headcount!$E$61:$E$103,$E112,Headcount!$F$61:$F$103,$F112)</f>
        <v>0</v>
      </c>
      <c r="AL112" s="684">
        <f>SUMIFS(Headcount!BO$61:BO$103,Headcount!$E$61:$E$103,$E112,Headcount!$F$61:$F$103,$F112)</f>
        <v>0</v>
      </c>
      <c r="AM112" s="684">
        <f>SUMIFS(Headcount!BP$61:BP$103,Headcount!$E$61:$E$103,$E112,Headcount!$F$61:$F$103,$F112)</f>
        <v>0</v>
      </c>
      <c r="AN112" s="684">
        <f>SUMIFS(Headcount!BQ$61:BQ$103,Headcount!$E$61:$E$103,$E112,Headcount!$F$61:$F$103,$F112)</f>
        <v>0</v>
      </c>
      <c r="AO112" s="684">
        <f>SUMIFS(Headcount!BR$61:BR$103,Headcount!$E$61:$E$103,$E112,Headcount!$F$61:$F$103,$F112)</f>
        <v>0</v>
      </c>
      <c r="AP112" s="684">
        <f>SUMIFS(Headcount!BS$61:BS$103,Headcount!$E$61:$E$103,$E112,Headcount!$F$61:$F$103,$F112)</f>
        <v>0</v>
      </c>
      <c r="AQ112" s="684">
        <f>SUMIFS(Headcount!BT$61:BT$103,Headcount!$E$61:$E$103,$E112,Headcount!$F$61:$F$103,$F112)</f>
        <v>0</v>
      </c>
      <c r="AR112" s="684">
        <f>SUMIFS(Headcount!BU$61:BU$103,Headcount!$E$61:$E$103,$E112,Headcount!$F$61:$F$103,$F112)</f>
        <v>0</v>
      </c>
      <c r="AS112" s="684">
        <f>SUMIFS(Headcount!BV$61:BV$103,Headcount!$E$61:$E$103,$E112,Headcount!$F$61:$F$103,$F112)</f>
        <v>0</v>
      </c>
      <c r="AT112" s="684">
        <f>SUMIFS(Headcount!BW$61:BW$103,Headcount!$E$61:$E$103,$E112,Headcount!$F$61:$F$103,$F112)</f>
        <v>0</v>
      </c>
      <c r="AU112" s="684">
        <f>SUMIFS(Headcount!BX$61:BX$103,Headcount!$E$61:$E$103,$E112,Headcount!$F$61:$F$103,$F112)</f>
        <v>0</v>
      </c>
      <c r="AV112" s="684">
        <f>SUMIFS(Headcount!BY$61:BY$103,Headcount!$E$61:$E$103,$E112,Headcount!$F$61:$F$103,$F112)</f>
        <v>0</v>
      </c>
      <c r="AW112" s="684">
        <f>SUMIFS(Headcount!BZ$61:BZ$103,Headcount!$E$61:$E$103,$E112,Headcount!$F$61:$F$103,$F112)</f>
        <v>0</v>
      </c>
      <c r="AX112" s="684">
        <f>SUMIFS(Headcount!CA$61:CA$103,Headcount!$E$61:$E$103,$E112,Headcount!$F$61:$F$103,$F112)</f>
        <v>0</v>
      </c>
      <c r="AY112" s="684">
        <f>SUMIFS(Headcount!CB$61:CB$103,Headcount!$E$61:$E$103,$E112,Headcount!$F$61:$F$103,$F112)</f>
        <v>0</v>
      </c>
      <c r="AZ112" s="684">
        <f>SUMIFS(Headcount!CC$61:CC$103,Headcount!$E$61:$E$103,$E112,Headcount!$F$61:$F$103,$F112)</f>
        <v>0</v>
      </c>
      <c r="BA112" s="684">
        <f>SUMIFS(Headcount!CD$61:CD$103,Headcount!$E$61:$E$103,$E112,Headcount!$F$61:$F$103,$F112)</f>
        <v>0</v>
      </c>
      <c r="BB112" s="684">
        <f>SUMIFS(Headcount!CE$61:CE$103,Headcount!$E$61:$E$103,$E112,Headcount!$F$61:$F$103,$F112)</f>
        <v>0</v>
      </c>
      <c r="BC112" s="684">
        <f>SUMIFS(Headcount!CF$61:CF$103,Headcount!$E$61:$E$103,$E112,Headcount!$F$61:$F$103,$F112)</f>
        <v>0</v>
      </c>
      <c r="BD112" s="684">
        <f>SUMIFS(Headcount!CG$61:CG$103,Headcount!$E$61:$E$103,$E112,Headcount!$F$61:$F$103,$F112)</f>
        <v>1</v>
      </c>
      <c r="BE112" s="684">
        <f>SUMIFS(Headcount!CH$61:CH$103,Headcount!$E$61:$E$103,$E112,Headcount!$F$61:$F$103,$F112)</f>
        <v>1</v>
      </c>
      <c r="BF112" s="684">
        <f>SUMIFS(Headcount!CI$61:CI$103,Headcount!$E$61:$E$103,$E112,Headcount!$F$61:$F$103,$F112)</f>
        <v>1</v>
      </c>
      <c r="BG112" s="684">
        <f>SUMIFS(Headcount!CJ$61:CJ$103,Headcount!$E$61:$E$103,$E112,Headcount!$F$61:$F$103,$F112)</f>
        <v>1</v>
      </c>
      <c r="BH112" s="684">
        <f>SUMIFS(Headcount!CK$61:CK$103,Headcount!$E$61:$E$103,$E112,Headcount!$F$61:$F$103,$F112)</f>
        <v>1</v>
      </c>
    </row>
    <row r="113" spans="2:60" s="290" customFormat="1" ht="19.5" customHeight="1" outlineLevel="1">
      <c r="B113" s="284"/>
      <c r="C113" s="315"/>
      <c r="D113" s="680" t="s">
        <v>186</v>
      </c>
      <c r="E113" s="681" t="s">
        <v>187</v>
      </c>
      <c r="F113" s="681" t="s">
        <v>177</v>
      </c>
      <c r="G113" s="681"/>
      <c r="H113" s="681"/>
      <c r="I113" s="681"/>
      <c r="J113" s="682"/>
      <c r="K113" s="683"/>
      <c r="L113" s="684"/>
      <c r="M113" s="684">
        <f>SUMIFS(Headcount!AP$61:AP$103,Headcount!$E$61:$E$103,$E113,Headcount!$F$61:$F$103,$F113)</f>
        <v>0</v>
      </c>
      <c r="N113" s="684">
        <f>SUMIFS(Headcount!AQ$61:AQ$103,Headcount!$E$61:$E$103,$E113,Headcount!$F$61:$F$103,$F113)</f>
        <v>0</v>
      </c>
      <c r="O113" s="684">
        <f>SUMIFS(Headcount!AR$61:AR$103,Headcount!$E$61:$E$103,$E113,Headcount!$F$61:$F$103,$F113)</f>
        <v>0</v>
      </c>
      <c r="P113" s="684">
        <f>SUMIFS(Headcount!AS$61:AS$103,Headcount!$E$61:$E$103,$E113,Headcount!$F$61:$F$103,$F113)</f>
        <v>0</v>
      </c>
      <c r="Q113" s="684">
        <f>SUMIFS(Headcount!AT$61:AT$103,Headcount!$E$61:$E$103,$E113,Headcount!$F$61:$F$103,$F113)</f>
        <v>0</v>
      </c>
      <c r="R113" s="684">
        <f>SUMIFS(Headcount!AU$61:AU$103,Headcount!$E$61:$E$103,$E113,Headcount!$F$61:$F$103,$F113)</f>
        <v>0</v>
      </c>
      <c r="S113" s="684">
        <f>SUMIFS(Headcount!AV$61:AV$103,Headcount!$E$61:$E$103,$E113,Headcount!$F$61:$F$103,$F113)</f>
        <v>0</v>
      </c>
      <c r="T113" s="684">
        <f>SUMIFS(Headcount!AW$61:AW$103,Headcount!$E$61:$E$103,$E113,Headcount!$F$61:$F$103,$F113)</f>
        <v>0</v>
      </c>
      <c r="U113" s="684">
        <f>SUMIFS(Headcount!AX$61:AX$103,Headcount!$E$61:$E$103,$E113,Headcount!$F$61:$F$103,$F113)</f>
        <v>0</v>
      </c>
      <c r="V113" s="684">
        <f>SUMIFS(Headcount!AY$61:AY$103,Headcount!$E$61:$E$103,$E113,Headcount!$F$61:$F$103,$F113)</f>
        <v>0</v>
      </c>
      <c r="W113" s="684">
        <f>SUMIFS(Headcount!AZ$61:AZ$103,Headcount!$E$61:$E$103,$E113,Headcount!$F$61:$F$103,$F113)</f>
        <v>0</v>
      </c>
      <c r="X113" s="684">
        <f>SUMIFS(Headcount!BA$61:BA$103,Headcount!$E$61:$E$103,$E113,Headcount!$F$61:$F$103,$F113)</f>
        <v>0</v>
      </c>
      <c r="Y113" s="684">
        <f>SUMIFS(Headcount!BB$61:BB$103,Headcount!$E$61:$E$103,$E113,Headcount!$F$61:$F$103,$F113)</f>
        <v>0</v>
      </c>
      <c r="Z113" s="684">
        <f>SUMIFS(Headcount!BC$61:BC$103,Headcount!$E$61:$E$103,$E113,Headcount!$F$61:$F$103,$F113)</f>
        <v>0</v>
      </c>
      <c r="AA113" s="684">
        <f>SUMIFS(Headcount!BD$61:BD$103,Headcount!$E$61:$E$103,$E113,Headcount!$F$61:$F$103,$F113)</f>
        <v>0</v>
      </c>
      <c r="AB113" s="684">
        <f>SUMIFS(Headcount!BE$61:BE$103,Headcount!$E$61:$E$103,$E113,Headcount!$F$61:$F$103,$F113)</f>
        <v>0</v>
      </c>
      <c r="AC113" s="684">
        <f>SUMIFS(Headcount!BF$61:BF$103,Headcount!$E$61:$E$103,$E113,Headcount!$F$61:$F$103,$F113)</f>
        <v>0</v>
      </c>
      <c r="AD113" s="684">
        <f>SUMIFS(Headcount!BG$61:BG$103,Headcount!$E$61:$E$103,$E113,Headcount!$F$61:$F$103,$F113)</f>
        <v>0</v>
      </c>
      <c r="AE113" s="684">
        <f>SUMIFS(Headcount!BH$61:BH$103,Headcount!$E$61:$E$103,$E113,Headcount!$F$61:$F$103,$F113)</f>
        <v>0</v>
      </c>
      <c r="AF113" s="684">
        <f>SUMIFS(Headcount!BI$61:BI$103,Headcount!$E$61:$E$103,$E113,Headcount!$F$61:$F$103,$F113)</f>
        <v>0</v>
      </c>
      <c r="AG113" s="684">
        <f>SUMIFS(Headcount!BJ$61:BJ$103,Headcount!$E$61:$E$103,$E113,Headcount!$F$61:$F$103,$F113)</f>
        <v>0</v>
      </c>
      <c r="AH113" s="684">
        <f>SUMIFS(Headcount!BK$61:BK$103,Headcount!$E$61:$E$103,$E113,Headcount!$F$61:$F$103,$F113)</f>
        <v>0</v>
      </c>
      <c r="AI113" s="684">
        <f>SUMIFS(Headcount!BL$61:BL$103,Headcount!$E$61:$E$103,$E113,Headcount!$F$61:$F$103,$F113)</f>
        <v>0</v>
      </c>
      <c r="AJ113" s="684">
        <f>SUMIFS(Headcount!BM$61:BM$103,Headcount!$E$61:$E$103,$E113,Headcount!$F$61:$F$103,$F113)</f>
        <v>0</v>
      </c>
      <c r="AK113" s="684">
        <f>SUMIFS(Headcount!BN$61:BN$103,Headcount!$E$61:$E$103,$E113,Headcount!$F$61:$F$103,$F113)</f>
        <v>0</v>
      </c>
      <c r="AL113" s="684">
        <f>SUMIFS(Headcount!BO$61:BO$103,Headcount!$E$61:$E$103,$E113,Headcount!$F$61:$F$103,$F113)</f>
        <v>0</v>
      </c>
      <c r="AM113" s="684">
        <f>SUMIFS(Headcount!BP$61:BP$103,Headcount!$E$61:$E$103,$E113,Headcount!$F$61:$F$103,$F113)</f>
        <v>0</v>
      </c>
      <c r="AN113" s="684">
        <f>SUMIFS(Headcount!BQ$61:BQ$103,Headcount!$E$61:$E$103,$E113,Headcount!$F$61:$F$103,$F113)</f>
        <v>0</v>
      </c>
      <c r="AO113" s="684">
        <f>SUMIFS(Headcount!BR$61:BR$103,Headcount!$E$61:$E$103,$E113,Headcount!$F$61:$F$103,$F113)</f>
        <v>0</v>
      </c>
      <c r="AP113" s="684">
        <f>SUMIFS(Headcount!BS$61:BS$103,Headcount!$E$61:$E$103,$E113,Headcount!$F$61:$F$103,$F113)</f>
        <v>0</v>
      </c>
      <c r="AQ113" s="684">
        <f>SUMIFS(Headcount!BT$61:BT$103,Headcount!$E$61:$E$103,$E113,Headcount!$F$61:$F$103,$F113)</f>
        <v>0</v>
      </c>
      <c r="AR113" s="684">
        <f>SUMIFS(Headcount!BU$61:BU$103,Headcount!$E$61:$E$103,$E113,Headcount!$F$61:$F$103,$F113)</f>
        <v>0</v>
      </c>
      <c r="AS113" s="684">
        <f>SUMIFS(Headcount!BV$61:BV$103,Headcount!$E$61:$E$103,$E113,Headcount!$F$61:$F$103,$F113)</f>
        <v>0</v>
      </c>
      <c r="AT113" s="684">
        <f>SUMIFS(Headcount!BW$61:BW$103,Headcount!$E$61:$E$103,$E113,Headcount!$F$61:$F$103,$F113)</f>
        <v>0</v>
      </c>
      <c r="AU113" s="684">
        <f>SUMIFS(Headcount!BX$61:BX$103,Headcount!$E$61:$E$103,$E113,Headcount!$F$61:$F$103,$F113)</f>
        <v>0</v>
      </c>
      <c r="AV113" s="684">
        <f>SUMIFS(Headcount!BY$61:BY$103,Headcount!$E$61:$E$103,$E113,Headcount!$F$61:$F$103,$F113)</f>
        <v>0</v>
      </c>
      <c r="AW113" s="684">
        <f>SUMIFS(Headcount!BZ$61:BZ$103,Headcount!$E$61:$E$103,$E113,Headcount!$F$61:$F$103,$F113)</f>
        <v>0</v>
      </c>
      <c r="AX113" s="684">
        <f>SUMIFS(Headcount!CA$61:CA$103,Headcount!$E$61:$E$103,$E113,Headcount!$F$61:$F$103,$F113)</f>
        <v>0</v>
      </c>
      <c r="AY113" s="684">
        <f>SUMIFS(Headcount!CB$61:CB$103,Headcount!$E$61:$E$103,$E113,Headcount!$F$61:$F$103,$F113)</f>
        <v>0</v>
      </c>
      <c r="AZ113" s="684">
        <f>SUMIFS(Headcount!CC$61:CC$103,Headcount!$E$61:$E$103,$E113,Headcount!$F$61:$F$103,$F113)</f>
        <v>0</v>
      </c>
      <c r="BA113" s="684">
        <f>SUMIFS(Headcount!CD$61:CD$103,Headcount!$E$61:$E$103,$E113,Headcount!$F$61:$F$103,$F113)</f>
        <v>0</v>
      </c>
      <c r="BB113" s="684">
        <f>SUMIFS(Headcount!CE$61:CE$103,Headcount!$E$61:$E$103,$E113,Headcount!$F$61:$F$103,$F113)</f>
        <v>0</v>
      </c>
      <c r="BC113" s="684">
        <f>SUMIFS(Headcount!CF$61:CF$103,Headcount!$E$61:$E$103,$E113,Headcount!$F$61:$F$103,$F113)</f>
        <v>0</v>
      </c>
      <c r="BD113" s="684">
        <f>SUMIFS(Headcount!CG$61:CG$103,Headcount!$E$61:$E$103,$E113,Headcount!$F$61:$F$103,$F113)</f>
        <v>0</v>
      </c>
      <c r="BE113" s="684">
        <f>SUMIFS(Headcount!CH$61:CH$103,Headcount!$E$61:$E$103,$E113,Headcount!$F$61:$F$103,$F113)</f>
        <v>0</v>
      </c>
      <c r="BF113" s="684">
        <f>SUMIFS(Headcount!CI$61:CI$103,Headcount!$E$61:$E$103,$E113,Headcount!$F$61:$F$103,$F113)</f>
        <v>0</v>
      </c>
      <c r="BG113" s="684">
        <f>SUMIFS(Headcount!CJ$61:CJ$103,Headcount!$E$61:$E$103,$E113,Headcount!$F$61:$F$103,$F113)</f>
        <v>0</v>
      </c>
      <c r="BH113" s="684">
        <f>SUMIFS(Headcount!CK$61:CK$103,Headcount!$E$61:$E$103,$E113,Headcount!$F$61:$F$103,$F113)</f>
        <v>0</v>
      </c>
    </row>
    <row r="114" spans="2:60" ht="19.5" customHeight="1" outlineLevel="1">
      <c r="B114" s="284"/>
      <c r="C114" s="315"/>
      <c r="D114" s="288"/>
      <c r="E114" s="277"/>
      <c r="F114" s="277"/>
      <c r="G114" s="277"/>
      <c r="H114" s="277"/>
      <c r="I114" s="277"/>
      <c r="J114" s="314"/>
      <c r="L114" s="313"/>
      <c r="M114" s="313"/>
      <c r="N114" s="313"/>
      <c r="O114" s="313"/>
      <c r="P114" s="313"/>
      <c r="Q114" s="313"/>
      <c r="R114" s="313"/>
      <c r="S114" s="313"/>
      <c r="T114" s="313"/>
      <c r="U114" s="313"/>
      <c r="V114" s="313"/>
      <c r="W114" s="313"/>
      <c r="X114" s="313"/>
      <c r="Y114" s="313"/>
      <c r="Z114" s="313"/>
      <c r="AA114" s="313"/>
      <c r="AB114" s="313"/>
      <c r="AC114" s="313"/>
      <c r="AD114" s="313"/>
      <c r="AE114" s="313"/>
      <c r="AF114" s="313"/>
      <c r="AG114" s="313"/>
      <c r="AH114" s="313"/>
      <c r="AI114" s="313"/>
      <c r="AJ114" s="313"/>
      <c r="AK114" s="313"/>
      <c r="AL114" s="313"/>
      <c r="AM114" s="313"/>
      <c r="AN114" s="313"/>
      <c r="AO114" s="313"/>
      <c r="AP114" s="313"/>
      <c r="AQ114" s="313"/>
      <c r="AR114" s="313"/>
      <c r="AS114" s="313"/>
      <c r="AT114" s="313"/>
      <c r="AU114" s="313"/>
      <c r="AV114" s="313"/>
      <c r="AW114" s="313"/>
      <c r="AX114" s="313"/>
      <c r="AY114" s="313"/>
      <c r="AZ114" s="313"/>
      <c r="BA114" s="313"/>
      <c r="BB114" s="313"/>
      <c r="BC114" s="313"/>
      <c r="BD114" s="313"/>
      <c r="BE114" s="313"/>
      <c r="BF114" s="313"/>
      <c r="BG114" s="313"/>
      <c r="BH114" s="313"/>
    </row>
    <row r="115" spans="2:60" ht="19.5" customHeight="1" outlineLevel="1">
      <c r="B115" s="284"/>
      <c r="C115" s="315" t="s">
        <v>188</v>
      </c>
      <c r="D115" s="288"/>
      <c r="E115" s="674" t="s">
        <v>175</v>
      </c>
      <c r="F115" s="674" t="s">
        <v>176</v>
      </c>
      <c r="G115" s="277"/>
      <c r="H115" s="277"/>
      <c r="I115" s="277"/>
      <c r="J115" s="314"/>
      <c r="L115" s="313"/>
      <c r="M115" s="673">
        <f>SUM(M116:M146)</f>
        <v>28491.666666666668</v>
      </c>
      <c r="N115" s="673">
        <f t="shared" ref="N115:BH115" si="10">SUM(N116:N146)</f>
        <v>28491.666666666668</v>
      </c>
      <c r="O115" s="673">
        <f t="shared" si="10"/>
        <v>28491.666666666668</v>
      </c>
      <c r="P115" s="673">
        <f t="shared" si="10"/>
        <v>13491.666666666666</v>
      </c>
      <c r="Q115" s="673">
        <f t="shared" si="10"/>
        <v>11825</v>
      </c>
      <c r="R115" s="673">
        <f t="shared" si="10"/>
        <v>11825</v>
      </c>
      <c r="S115" s="673">
        <f t="shared" si="10"/>
        <v>11825</v>
      </c>
      <c r="T115" s="673">
        <f t="shared" si="10"/>
        <v>11825</v>
      </c>
      <c r="U115" s="673">
        <f t="shared" si="10"/>
        <v>11825</v>
      </c>
      <c r="V115" s="673">
        <f t="shared" si="10"/>
        <v>11825</v>
      </c>
      <c r="W115" s="673">
        <f t="shared" si="10"/>
        <v>11825</v>
      </c>
      <c r="X115" s="673">
        <f t="shared" si="10"/>
        <v>16825</v>
      </c>
      <c r="Y115" s="673">
        <f t="shared" si="10"/>
        <v>23650</v>
      </c>
      <c r="Z115" s="673">
        <f t="shared" si="10"/>
        <v>30634.126984126982</v>
      </c>
      <c r="AA115" s="673">
        <f t="shared" si="10"/>
        <v>45486.309523809519</v>
      </c>
      <c r="AB115" s="673">
        <f t="shared" si="10"/>
        <v>47597.916666666664</v>
      </c>
      <c r="AC115" s="673">
        <f t="shared" si="10"/>
        <v>47597.916666666664</v>
      </c>
      <c r="AD115" s="673">
        <f t="shared" si="10"/>
        <v>47597.916666666664</v>
      </c>
      <c r="AE115" s="673">
        <f t="shared" si="10"/>
        <v>47597.916666666664</v>
      </c>
      <c r="AF115" s="673">
        <f t="shared" si="10"/>
        <v>47597.916666666664</v>
      </c>
      <c r="AG115" s="673">
        <f t="shared" si="10"/>
        <v>47597.916666666664</v>
      </c>
      <c r="AH115" s="673">
        <f t="shared" si="10"/>
        <v>47597.916666666664</v>
      </c>
      <c r="AI115" s="673">
        <f t="shared" si="10"/>
        <v>47597.916666666664</v>
      </c>
      <c r="AJ115" s="673">
        <f t="shared" si="10"/>
        <v>57597.916666666664</v>
      </c>
      <c r="AK115" s="673">
        <f t="shared" si="10"/>
        <v>47597.916666666664</v>
      </c>
      <c r="AL115" s="673">
        <f t="shared" si="10"/>
        <v>47597.916666666664</v>
      </c>
      <c r="AM115" s="673">
        <f t="shared" si="10"/>
        <v>47597.916666666664</v>
      </c>
      <c r="AN115" s="673">
        <f t="shared" si="10"/>
        <v>47597.916666666664</v>
      </c>
      <c r="AO115" s="673">
        <f t="shared" si="10"/>
        <v>50061.458333333336</v>
      </c>
      <c r="AP115" s="673">
        <f t="shared" si="10"/>
        <v>63675.595238095237</v>
      </c>
      <c r="AQ115" s="673">
        <f t="shared" si="10"/>
        <v>68437.5</v>
      </c>
      <c r="AR115" s="673">
        <f t="shared" si="10"/>
        <v>68437.5</v>
      </c>
      <c r="AS115" s="673">
        <f t="shared" si="10"/>
        <v>68437.5</v>
      </c>
      <c r="AT115" s="673">
        <f t="shared" si="10"/>
        <v>68437.5</v>
      </c>
      <c r="AU115" s="673">
        <f t="shared" si="10"/>
        <v>68437.5</v>
      </c>
      <c r="AV115" s="673">
        <f t="shared" si="10"/>
        <v>83437.5</v>
      </c>
      <c r="AW115" s="673">
        <f t="shared" si="10"/>
        <v>68437.5</v>
      </c>
      <c r="AX115" s="673">
        <f t="shared" si="10"/>
        <v>68437.5</v>
      </c>
      <c r="AY115" s="673">
        <f t="shared" si="10"/>
        <v>68437.5</v>
      </c>
      <c r="AZ115" s="673">
        <f t="shared" si="10"/>
        <v>93072.916666666672</v>
      </c>
      <c r="BA115" s="673">
        <f t="shared" si="10"/>
        <v>93072.916666666672</v>
      </c>
      <c r="BB115" s="673">
        <f t="shared" si="10"/>
        <v>97372.916666666657</v>
      </c>
      <c r="BC115" s="673">
        <f t="shared" si="10"/>
        <v>100956.24999999999</v>
      </c>
      <c r="BD115" s="673">
        <f t="shared" si="10"/>
        <v>110956.24999999999</v>
      </c>
      <c r="BE115" s="673">
        <f t="shared" si="10"/>
        <v>110956.24999999999</v>
      </c>
      <c r="BF115" s="673">
        <f t="shared" si="10"/>
        <v>110956.24999999999</v>
      </c>
      <c r="BG115" s="673">
        <f t="shared" si="10"/>
        <v>110956.24999999999</v>
      </c>
      <c r="BH115" s="673">
        <f t="shared" si="10"/>
        <v>125956.24999999997</v>
      </c>
    </row>
    <row r="116" spans="2:60" ht="19.5" customHeight="1" outlineLevel="1">
      <c r="B116" s="284"/>
      <c r="C116" s="315"/>
      <c r="D116" s="383" t="s">
        <v>178</v>
      </c>
      <c r="E116" s="675" t="s">
        <v>179</v>
      </c>
      <c r="F116" s="383" t="s">
        <v>190</v>
      </c>
      <c r="G116" s="277"/>
      <c r="H116" s="277"/>
      <c r="I116" s="277"/>
      <c r="J116" s="314"/>
      <c r="L116" s="313"/>
      <c r="M116" s="313">
        <f>SUMIFS(Headcount!AP$61:AP$103,Headcount!$E$61:$E$103,$E116,Headcount!$F$61:$F$103,$F116)</f>
        <v>10000</v>
      </c>
      <c r="N116" s="313">
        <f>SUMIFS(Headcount!AQ$61:AQ$103,Headcount!$E$61:$E$103,$E116,Headcount!$F$61:$F$103,$F116)</f>
        <v>10000</v>
      </c>
      <c r="O116" s="313">
        <f>SUMIFS(Headcount!AR$61:AR$103,Headcount!$E$61:$E$103,$E116,Headcount!$F$61:$F$103,$F116)</f>
        <v>10000</v>
      </c>
      <c r="P116" s="313">
        <f>SUMIFS(Headcount!AS$61:AS$103,Headcount!$E$61:$E$103,$E116,Headcount!$F$61:$F$103,$F116)</f>
        <v>10000</v>
      </c>
      <c r="Q116" s="313">
        <f>SUMIFS(Headcount!AT$61:AT$103,Headcount!$E$61:$E$103,$E116,Headcount!$F$61:$F$103,$F116)</f>
        <v>10000</v>
      </c>
      <c r="R116" s="313">
        <f>SUMIFS(Headcount!AU$61:AU$103,Headcount!$E$61:$E$103,$E116,Headcount!$F$61:$F$103,$F116)</f>
        <v>10000</v>
      </c>
      <c r="S116" s="313">
        <f>SUMIFS(Headcount!AV$61:AV$103,Headcount!$E$61:$E$103,$E116,Headcount!$F$61:$F$103,$F116)</f>
        <v>10000</v>
      </c>
      <c r="T116" s="313">
        <f>SUMIFS(Headcount!AW$61:AW$103,Headcount!$E$61:$E$103,$E116,Headcount!$F$61:$F$103,$F116)</f>
        <v>10000</v>
      </c>
      <c r="U116" s="313">
        <f>SUMIFS(Headcount!AX$61:AX$103,Headcount!$E$61:$E$103,$E116,Headcount!$F$61:$F$103,$F116)</f>
        <v>10000</v>
      </c>
      <c r="V116" s="313">
        <f>SUMIFS(Headcount!AY$61:AY$103,Headcount!$E$61:$E$103,$E116,Headcount!$F$61:$F$103,$F116)</f>
        <v>10000</v>
      </c>
      <c r="W116" s="313">
        <f>SUMIFS(Headcount!AZ$61:AZ$103,Headcount!$E$61:$E$103,$E116,Headcount!$F$61:$F$103,$F116)</f>
        <v>10000</v>
      </c>
      <c r="X116" s="313">
        <f>SUMIFS(Headcount!BA$61:BA$103,Headcount!$E$61:$E$103,$E116,Headcount!$F$61:$F$103,$F116)</f>
        <v>10000</v>
      </c>
      <c r="Y116" s="313">
        <f>SUMIFS(Headcount!BB$61:BB$103,Headcount!$E$61:$E$103,$E116,Headcount!$F$61:$F$103,$F116)</f>
        <v>20000</v>
      </c>
      <c r="Z116" s="313">
        <f>SUMIFS(Headcount!BC$61:BC$103,Headcount!$E$61:$E$103,$E116,Headcount!$F$61:$F$103,$F116)</f>
        <v>20000</v>
      </c>
      <c r="AA116" s="313">
        <f>SUMIFS(Headcount!BD$61:BD$103,Headcount!$E$61:$E$103,$E116,Headcount!$F$61:$F$103,$F116)</f>
        <v>20000</v>
      </c>
      <c r="AB116" s="313">
        <f>SUMIFS(Headcount!BE$61:BE$103,Headcount!$E$61:$E$103,$E116,Headcount!$F$61:$F$103,$F116)</f>
        <v>20000</v>
      </c>
      <c r="AC116" s="313">
        <f>SUMIFS(Headcount!BF$61:BF$103,Headcount!$E$61:$E$103,$E116,Headcount!$F$61:$F$103,$F116)</f>
        <v>20000</v>
      </c>
      <c r="AD116" s="313">
        <f>SUMIFS(Headcount!BG$61:BG$103,Headcount!$E$61:$E$103,$E116,Headcount!$F$61:$F$103,$F116)</f>
        <v>20000</v>
      </c>
      <c r="AE116" s="313">
        <f>SUMIFS(Headcount!BH$61:BH$103,Headcount!$E$61:$E$103,$E116,Headcount!$F$61:$F$103,$F116)</f>
        <v>20000</v>
      </c>
      <c r="AF116" s="313">
        <f>SUMIFS(Headcount!BI$61:BI$103,Headcount!$E$61:$E$103,$E116,Headcount!$F$61:$F$103,$F116)</f>
        <v>20000</v>
      </c>
      <c r="AG116" s="313">
        <f>SUMIFS(Headcount!BJ$61:BJ$103,Headcount!$E$61:$E$103,$E116,Headcount!$F$61:$F$103,$F116)</f>
        <v>20000</v>
      </c>
      <c r="AH116" s="313">
        <f>SUMIFS(Headcount!BK$61:BK$103,Headcount!$E$61:$E$103,$E116,Headcount!$F$61:$F$103,$F116)</f>
        <v>20000</v>
      </c>
      <c r="AI116" s="313">
        <f>SUMIFS(Headcount!BL$61:BL$103,Headcount!$E$61:$E$103,$E116,Headcount!$F$61:$F$103,$F116)</f>
        <v>20000</v>
      </c>
      <c r="AJ116" s="313">
        <f>SUMIFS(Headcount!BM$61:BM$103,Headcount!$E$61:$E$103,$E116,Headcount!$F$61:$F$103,$F116)</f>
        <v>20000</v>
      </c>
      <c r="AK116" s="313">
        <f>SUMIFS(Headcount!BN$61:BN$103,Headcount!$E$61:$E$103,$E116,Headcount!$F$61:$F$103,$F116)</f>
        <v>20000</v>
      </c>
      <c r="AL116" s="313">
        <f>SUMIFS(Headcount!BO$61:BO$103,Headcount!$E$61:$E$103,$E116,Headcount!$F$61:$F$103,$F116)</f>
        <v>20000</v>
      </c>
      <c r="AM116" s="313">
        <f>SUMIFS(Headcount!BP$61:BP$103,Headcount!$E$61:$E$103,$E116,Headcount!$F$61:$F$103,$F116)</f>
        <v>20000</v>
      </c>
      <c r="AN116" s="313">
        <f>SUMIFS(Headcount!BQ$61:BQ$103,Headcount!$E$61:$E$103,$E116,Headcount!$F$61:$F$103,$F116)</f>
        <v>20000</v>
      </c>
      <c r="AO116" s="313">
        <f>SUMIFS(Headcount!BR$61:BR$103,Headcount!$E$61:$E$103,$E116,Headcount!$F$61:$F$103,$F116)</f>
        <v>20000</v>
      </c>
      <c r="AP116" s="313">
        <f>SUMIFS(Headcount!BS$61:BS$103,Headcount!$E$61:$E$103,$E116,Headcount!$F$61:$F$103,$F116)</f>
        <v>20000</v>
      </c>
      <c r="AQ116" s="313">
        <f>SUMIFS(Headcount!BT$61:BT$103,Headcount!$E$61:$E$103,$E116,Headcount!$F$61:$F$103,$F116)</f>
        <v>20000</v>
      </c>
      <c r="AR116" s="313">
        <f>SUMIFS(Headcount!BU$61:BU$103,Headcount!$E$61:$E$103,$E116,Headcount!$F$61:$F$103,$F116)</f>
        <v>20000</v>
      </c>
      <c r="AS116" s="313">
        <f>SUMIFS(Headcount!BV$61:BV$103,Headcount!$E$61:$E$103,$E116,Headcount!$F$61:$F$103,$F116)</f>
        <v>20000</v>
      </c>
      <c r="AT116" s="313">
        <f>SUMIFS(Headcount!BW$61:BW$103,Headcount!$E$61:$E$103,$E116,Headcount!$F$61:$F$103,$F116)</f>
        <v>20000</v>
      </c>
      <c r="AU116" s="313">
        <f>SUMIFS(Headcount!BX$61:BX$103,Headcount!$E$61:$E$103,$E116,Headcount!$F$61:$F$103,$F116)</f>
        <v>20000</v>
      </c>
      <c r="AV116" s="313">
        <f>SUMIFS(Headcount!BY$61:BY$103,Headcount!$E$61:$E$103,$E116,Headcount!$F$61:$F$103,$F116)</f>
        <v>20000</v>
      </c>
      <c r="AW116" s="313">
        <f>SUMIFS(Headcount!BZ$61:BZ$103,Headcount!$E$61:$E$103,$E116,Headcount!$F$61:$F$103,$F116)</f>
        <v>20000</v>
      </c>
      <c r="AX116" s="313">
        <f>SUMIFS(Headcount!CA$61:CA$103,Headcount!$E$61:$E$103,$E116,Headcount!$F$61:$F$103,$F116)</f>
        <v>20000</v>
      </c>
      <c r="AY116" s="313">
        <f>SUMIFS(Headcount!CB$61:CB$103,Headcount!$E$61:$E$103,$E116,Headcount!$F$61:$F$103,$F116)</f>
        <v>20000</v>
      </c>
      <c r="AZ116" s="313">
        <f>SUMIFS(Headcount!CC$61:CC$103,Headcount!$E$61:$E$103,$E116,Headcount!$F$61:$F$103,$F116)</f>
        <v>40833.333333333328</v>
      </c>
      <c r="BA116" s="313">
        <f>SUMIFS(Headcount!CD$61:CD$103,Headcount!$E$61:$E$103,$E116,Headcount!$F$61:$F$103,$F116)</f>
        <v>40833.333333333328</v>
      </c>
      <c r="BB116" s="313">
        <f>SUMIFS(Headcount!CE$61:CE$103,Headcount!$E$61:$E$103,$E116,Headcount!$F$61:$F$103,$F116)</f>
        <v>40833.333333333328</v>
      </c>
      <c r="BC116" s="313">
        <f>SUMIFS(Headcount!CF$61:CF$103,Headcount!$E$61:$E$103,$E116,Headcount!$F$61:$F$103,$F116)</f>
        <v>40833.333333333328</v>
      </c>
      <c r="BD116" s="313">
        <f>SUMIFS(Headcount!CG$61:CG$103,Headcount!$E$61:$E$103,$E116,Headcount!$F$61:$F$103,$F116)</f>
        <v>40833.333333333328</v>
      </c>
      <c r="BE116" s="313">
        <f>SUMIFS(Headcount!CH$61:CH$103,Headcount!$E$61:$E$103,$E116,Headcount!$F$61:$F$103,$F116)</f>
        <v>40833.333333333328</v>
      </c>
      <c r="BF116" s="313">
        <f>SUMIFS(Headcount!CI$61:CI$103,Headcount!$E$61:$E$103,$E116,Headcount!$F$61:$F$103,$F116)</f>
        <v>40833.333333333328</v>
      </c>
      <c r="BG116" s="313">
        <f>SUMIFS(Headcount!CJ$61:CJ$103,Headcount!$E$61:$E$103,$E116,Headcount!$F$61:$F$103,$F116)</f>
        <v>40833.333333333328</v>
      </c>
      <c r="BH116" s="313">
        <f>SUMIFS(Headcount!CK$61:CK$103,Headcount!$E$61:$E$103,$E116,Headcount!$F$61:$F$103,$F116)</f>
        <v>40833.333333333328</v>
      </c>
    </row>
    <row r="117" spans="2:60" ht="19.5" customHeight="1" outlineLevel="1">
      <c r="B117" s="284"/>
      <c r="C117" s="315"/>
      <c r="D117" s="383" t="str">
        <f>D116</f>
        <v>General &amp; Administrative</v>
      </c>
      <c r="E117" s="265" t="str">
        <f>E116</f>
        <v>H1</v>
      </c>
      <c r="F117" s="383" t="s">
        <v>192</v>
      </c>
      <c r="G117" s="277"/>
      <c r="H117" s="277"/>
      <c r="I117" s="277"/>
      <c r="J117" s="314"/>
      <c r="L117" s="313"/>
      <c r="M117" s="313">
        <f>SUMIFS(Headcount!AP$61:AP$103,Headcount!$E$61:$E$103,$E117,Headcount!$F$61:$F$103,$F117)</f>
        <v>0</v>
      </c>
      <c r="N117" s="313">
        <f>SUMIFS(Headcount!AQ$61:AQ$103,Headcount!$E$61:$E$103,$E117,Headcount!$F$61:$F$103,$F117)</f>
        <v>0</v>
      </c>
      <c r="O117" s="313">
        <f>SUMIFS(Headcount!AR$61:AR$103,Headcount!$E$61:$E$103,$E117,Headcount!$F$61:$F$103,$F117)</f>
        <v>0</v>
      </c>
      <c r="P117" s="313">
        <f>SUMIFS(Headcount!AS$61:AS$103,Headcount!$E$61:$E$103,$E117,Headcount!$F$61:$F$103,$F117)</f>
        <v>0</v>
      </c>
      <c r="Q117" s="313">
        <f>SUMIFS(Headcount!AT$61:AT$103,Headcount!$E$61:$E$103,$E117,Headcount!$F$61:$F$103,$F117)</f>
        <v>0</v>
      </c>
      <c r="R117" s="313">
        <f>SUMIFS(Headcount!AU$61:AU$103,Headcount!$E$61:$E$103,$E117,Headcount!$F$61:$F$103,$F117)</f>
        <v>0</v>
      </c>
      <c r="S117" s="313">
        <f>SUMIFS(Headcount!AV$61:AV$103,Headcount!$E$61:$E$103,$E117,Headcount!$F$61:$F$103,$F117)</f>
        <v>0</v>
      </c>
      <c r="T117" s="313">
        <f>SUMIFS(Headcount!AW$61:AW$103,Headcount!$E$61:$E$103,$E117,Headcount!$F$61:$F$103,$F117)</f>
        <v>0</v>
      </c>
      <c r="U117" s="313">
        <f>SUMIFS(Headcount!AX$61:AX$103,Headcount!$E$61:$E$103,$E117,Headcount!$F$61:$F$103,$F117)</f>
        <v>0</v>
      </c>
      <c r="V117" s="313">
        <f>SUMIFS(Headcount!AY$61:AY$103,Headcount!$E$61:$E$103,$E117,Headcount!$F$61:$F$103,$F117)</f>
        <v>0</v>
      </c>
      <c r="W117" s="313">
        <f>SUMIFS(Headcount!AZ$61:AZ$103,Headcount!$E$61:$E$103,$E117,Headcount!$F$61:$F$103,$F117)</f>
        <v>0</v>
      </c>
      <c r="X117" s="313">
        <f>SUMIFS(Headcount!BA$61:BA$103,Headcount!$E$61:$E$103,$E117,Headcount!$F$61:$F$103,$F117)</f>
        <v>0</v>
      </c>
      <c r="Y117" s="313">
        <f>SUMIFS(Headcount!BB$61:BB$103,Headcount!$E$61:$E$103,$E117,Headcount!$F$61:$F$103,$F117)</f>
        <v>0</v>
      </c>
      <c r="Z117" s="313">
        <f>SUMIFS(Headcount!BC$61:BC$103,Headcount!$E$61:$E$103,$E117,Headcount!$F$61:$F$103,$F117)</f>
        <v>0</v>
      </c>
      <c r="AA117" s="313">
        <f>SUMIFS(Headcount!BD$61:BD$103,Headcount!$E$61:$E$103,$E117,Headcount!$F$61:$F$103,$F117)</f>
        <v>0</v>
      </c>
      <c r="AB117" s="313">
        <f>SUMIFS(Headcount!BE$61:BE$103,Headcount!$E$61:$E$103,$E117,Headcount!$F$61:$F$103,$F117)</f>
        <v>0</v>
      </c>
      <c r="AC117" s="313">
        <f>SUMIFS(Headcount!BF$61:BF$103,Headcount!$E$61:$E$103,$E117,Headcount!$F$61:$F$103,$F117)</f>
        <v>0</v>
      </c>
      <c r="AD117" s="313">
        <f>SUMIFS(Headcount!BG$61:BG$103,Headcount!$E$61:$E$103,$E117,Headcount!$F$61:$F$103,$F117)</f>
        <v>0</v>
      </c>
      <c r="AE117" s="313">
        <f>SUMIFS(Headcount!BH$61:BH$103,Headcount!$E$61:$E$103,$E117,Headcount!$F$61:$F$103,$F117)</f>
        <v>0</v>
      </c>
      <c r="AF117" s="313">
        <f>SUMIFS(Headcount!BI$61:BI$103,Headcount!$E$61:$E$103,$E117,Headcount!$F$61:$F$103,$F117)</f>
        <v>0</v>
      </c>
      <c r="AG117" s="313">
        <f>SUMIFS(Headcount!BJ$61:BJ$103,Headcount!$E$61:$E$103,$E117,Headcount!$F$61:$F$103,$F117)</f>
        <v>0</v>
      </c>
      <c r="AH117" s="313">
        <f>SUMIFS(Headcount!BK$61:BK$103,Headcount!$E$61:$E$103,$E117,Headcount!$F$61:$F$103,$F117)</f>
        <v>0</v>
      </c>
      <c r="AI117" s="313">
        <f>SUMIFS(Headcount!BL$61:BL$103,Headcount!$E$61:$E$103,$E117,Headcount!$F$61:$F$103,$F117)</f>
        <v>0</v>
      </c>
      <c r="AJ117" s="313">
        <f>SUMIFS(Headcount!BM$61:BM$103,Headcount!$E$61:$E$103,$E117,Headcount!$F$61:$F$103,$F117)</f>
        <v>0</v>
      </c>
      <c r="AK117" s="313">
        <f>SUMIFS(Headcount!BN$61:BN$103,Headcount!$E$61:$E$103,$E117,Headcount!$F$61:$F$103,$F117)</f>
        <v>0</v>
      </c>
      <c r="AL117" s="313">
        <f>SUMIFS(Headcount!BO$61:BO$103,Headcount!$E$61:$E$103,$E117,Headcount!$F$61:$F$103,$F117)</f>
        <v>0</v>
      </c>
      <c r="AM117" s="313">
        <f>SUMIFS(Headcount!BP$61:BP$103,Headcount!$E$61:$E$103,$E117,Headcount!$F$61:$F$103,$F117)</f>
        <v>0</v>
      </c>
      <c r="AN117" s="313">
        <f>SUMIFS(Headcount!BQ$61:BQ$103,Headcount!$E$61:$E$103,$E117,Headcount!$F$61:$F$103,$F117)</f>
        <v>0</v>
      </c>
      <c r="AO117" s="313">
        <f>SUMIFS(Headcount!BR$61:BR$103,Headcount!$E$61:$E$103,$E117,Headcount!$F$61:$F$103,$F117)</f>
        <v>0</v>
      </c>
      <c r="AP117" s="313">
        <f>SUMIFS(Headcount!BS$61:BS$103,Headcount!$E$61:$E$103,$E117,Headcount!$F$61:$F$103,$F117)</f>
        <v>0</v>
      </c>
      <c r="AQ117" s="313">
        <f>SUMIFS(Headcount!BT$61:BT$103,Headcount!$E$61:$E$103,$E117,Headcount!$F$61:$F$103,$F117)</f>
        <v>0</v>
      </c>
      <c r="AR117" s="313">
        <f>SUMIFS(Headcount!BU$61:BU$103,Headcount!$E$61:$E$103,$E117,Headcount!$F$61:$F$103,$F117)</f>
        <v>0</v>
      </c>
      <c r="AS117" s="313">
        <f>SUMIFS(Headcount!BV$61:BV$103,Headcount!$E$61:$E$103,$E117,Headcount!$F$61:$F$103,$F117)</f>
        <v>0</v>
      </c>
      <c r="AT117" s="313">
        <f>SUMIFS(Headcount!BW$61:BW$103,Headcount!$E$61:$E$103,$E117,Headcount!$F$61:$F$103,$F117)</f>
        <v>0</v>
      </c>
      <c r="AU117" s="313">
        <f>SUMIFS(Headcount!BX$61:BX$103,Headcount!$E$61:$E$103,$E117,Headcount!$F$61:$F$103,$F117)</f>
        <v>0</v>
      </c>
      <c r="AV117" s="313">
        <f>SUMIFS(Headcount!BY$61:BY$103,Headcount!$E$61:$E$103,$E117,Headcount!$F$61:$F$103,$F117)</f>
        <v>0</v>
      </c>
      <c r="AW117" s="313">
        <f>SUMIFS(Headcount!BZ$61:BZ$103,Headcount!$E$61:$E$103,$E117,Headcount!$F$61:$F$103,$F117)</f>
        <v>0</v>
      </c>
      <c r="AX117" s="313">
        <f>SUMIFS(Headcount!CA$61:CA$103,Headcount!$E$61:$E$103,$E117,Headcount!$F$61:$F$103,$F117)</f>
        <v>0</v>
      </c>
      <c r="AY117" s="313">
        <f>SUMIFS(Headcount!CB$61:CB$103,Headcount!$E$61:$E$103,$E117,Headcount!$F$61:$F$103,$F117)</f>
        <v>0</v>
      </c>
      <c r="AZ117" s="313">
        <f>SUMIFS(Headcount!CC$61:CC$103,Headcount!$E$61:$E$103,$E117,Headcount!$F$61:$F$103,$F117)</f>
        <v>0</v>
      </c>
      <c r="BA117" s="313">
        <f>SUMIFS(Headcount!CD$61:CD$103,Headcount!$E$61:$E$103,$E117,Headcount!$F$61:$F$103,$F117)</f>
        <v>0</v>
      </c>
      <c r="BB117" s="313">
        <f>SUMIFS(Headcount!CE$61:CE$103,Headcount!$E$61:$E$103,$E117,Headcount!$F$61:$F$103,$F117)</f>
        <v>0</v>
      </c>
      <c r="BC117" s="313">
        <f>SUMIFS(Headcount!CF$61:CF$103,Headcount!$E$61:$E$103,$E117,Headcount!$F$61:$F$103,$F117)</f>
        <v>0</v>
      </c>
      <c r="BD117" s="313">
        <f>SUMIFS(Headcount!CG$61:CG$103,Headcount!$E$61:$E$103,$E117,Headcount!$F$61:$F$103,$F117)</f>
        <v>0</v>
      </c>
      <c r="BE117" s="313">
        <f>SUMIFS(Headcount!CH$61:CH$103,Headcount!$E$61:$E$103,$E117,Headcount!$F$61:$F$103,$F117)</f>
        <v>0</v>
      </c>
      <c r="BF117" s="313">
        <f>SUMIFS(Headcount!CI$61:CI$103,Headcount!$E$61:$E$103,$E117,Headcount!$F$61:$F$103,$F117)</f>
        <v>0</v>
      </c>
      <c r="BG117" s="313">
        <f>SUMIFS(Headcount!CJ$61:CJ$103,Headcount!$E$61:$E$103,$E117,Headcount!$F$61:$F$103,$F117)</f>
        <v>0</v>
      </c>
      <c r="BH117" s="313">
        <f>SUMIFS(Headcount!CK$61:CK$103,Headcount!$E$61:$E$103,$E117,Headcount!$F$61:$F$103,$F117)</f>
        <v>0</v>
      </c>
    </row>
    <row r="118" spans="2:60" ht="19.5" customHeight="1" outlineLevel="1">
      <c r="B118" s="284"/>
      <c r="C118" s="315"/>
      <c r="D118" s="383" t="str">
        <f t="shared" ref="D118:D121" si="11">D117</f>
        <v>General &amp; Administrative</v>
      </c>
      <c r="E118" s="265" t="str">
        <f t="shared" ref="E118:E121" si="12">E117</f>
        <v>H1</v>
      </c>
      <c r="F118" s="383" t="s">
        <v>194</v>
      </c>
      <c r="G118" s="277"/>
      <c r="H118" s="277"/>
      <c r="I118" s="277"/>
      <c r="J118" s="314"/>
      <c r="L118" s="313"/>
      <c r="M118" s="313">
        <f>SUMIFS(Headcount!AP$61:AP$103,Headcount!$E$61:$E$103,$E118,Headcount!$F$61:$F$103,$F118)</f>
        <v>800</v>
      </c>
      <c r="N118" s="313">
        <f>SUMIFS(Headcount!AQ$61:AQ$103,Headcount!$E$61:$E$103,$E118,Headcount!$F$61:$F$103,$F118)</f>
        <v>800</v>
      </c>
      <c r="O118" s="313">
        <f>SUMIFS(Headcount!AR$61:AR$103,Headcount!$E$61:$E$103,$E118,Headcount!$F$61:$F$103,$F118)</f>
        <v>800</v>
      </c>
      <c r="P118" s="313">
        <f>SUMIFS(Headcount!AS$61:AS$103,Headcount!$E$61:$E$103,$E118,Headcount!$F$61:$F$103,$F118)</f>
        <v>800</v>
      </c>
      <c r="Q118" s="313">
        <f>SUMIFS(Headcount!AT$61:AT$103,Headcount!$E$61:$E$103,$E118,Headcount!$F$61:$F$103,$F118)</f>
        <v>800</v>
      </c>
      <c r="R118" s="313">
        <f>SUMIFS(Headcount!AU$61:AU$103,Headcount!$E$61:$E$103,$E118,Headcount!$F$61:$F$103,$F118)</f>
        <v>800</v>
      </c>
      <c r="S118" s="313">
        <f>SUMIFS(Headcount!AV$61:AV$103,Headcount!$E$61:$E$103,$E118,Headcount!$F$61:$F$103,$F118)</f>
        <v>800</v>
      </c>
      <c r="T118" s="313">
        <f>SUMIFS(Headcount!AW$61:AW$103,Headcount!$E$61:$E$103,$E118,Headcount!$F$61:$F$103,$F118)</f>
        <v>800</v>
      </c>
      <c r="U118" s="313">
        <f>SUMIFS(Headcount!AX$61:AX$103,Headcount!$E$61:$E$103,$E118,Headcount!$F$61:$F$103,$F118)</f>
        <v>800</v>
      </c>
      <c r="V118" s="313">
        <f>SUMIFS(Headcount!AY$61:AY$103,Headcount!$E$61:$E$103,$E118,Headcount!$F$61:$F$103,$F118)</f>
        <v>800</v>
      </c>
      <c r="W118" s="313">
        <f>SUMIFS(Headcount!AZ$61:AZ$103,Headcount!$E$61:$E$103,$E118,Headcount!$F$61:$F$103,$F118)</f>
        <v>800</v>
      </c>
      <c r="X118" s="313">
        <f>SUMIFS(Headcount!BA$61:BA$103,Headcount!$E$61:$E$103,$E118,Headcount!$F$61:$F$103,$F118)</f>
        <v>800</v>
      </c>
      <c r="Y118" s="313">
        <f>SUMIFS(Headcount!BB$61:BB$103,Headcount!$E$61:$E$103,$E118,Headcount!$F$61:$F$103,$F118)</f>
        <v>1600</v>
      </c>
      <c r="Z118" s="313">
        <f>SUMIFS(Headcount!BC$61:BC$103,Headcount!$E$61:$E$103,$E118,Headcount!$F$61:$F$103,$F118)</f>
        <v>1600</v>
      </c>
      <c r="AA118" s="313">
        <f>SUMIFS(Headcount!BD$61:BD$103,Headcount!$E$61:$E$103,$E118,Headcount!$F$61:$F$103,$F118)</f>
        <v>1600</v>
      </c>
      <c r="AB118" s="313">
        <f>SUMIFS(Headcount!BE$61:BE$103,Headcount!$E$61:$E$103,$E118,Headcount!$F$61:$F$103,$F118)</f>
        <v>1600</v>
      </c>
      <c r="AC118" s="313">
        <f>SUMIFS(Headcount!BF$61:BF$103,Headcount!$E$61:$E$103,$E118,Headcount!$F$61:$F$103,$F118)</f>
        <v>1600</v>
      </c>
      <c r="AD118" s="313">
        <f>SUMIFS(Headcount!BG$61:BG$103,Headcount!$E$61:$E$103,$E118,Headcount!$F$61:$F$103,$F118)</f>
        <v>1600</v>
      </c>
      <c r="AE118" s="313">
        <f>SUMIFS(Headcount!BH$61:BH$103,Headcount!$E$61:$E$103,$E118,Headcount!$F$61:$F$103,$F118)</f>
        <v>1600</v>
      </c>
      <c r="AF118" s="313">
        <f>SUMIFS(Headcount!BI$61:BI$103,Headcount!$E$61:$E$103,$E118,Headcount!$F$61:$F$103,$F118)</f>
        <v>1600</v>
      </c>
      <c r="AG118" s="313">
        <f>SUMIFS(Headcount!BJ$61:BJ$103,Headcount!$E$61:$E$103,$E118,Headcount!$F$61:$F$103,$F118)</f>
        <v>1600</v>
      </c>
      <c r="AH118" s="313">
        <f>SUMIFS(Headcount!BK$61:BK$103,Headcount!$E$61:$E$103,$E118,Headcount!$F$61:$F$103,$F118)</f>
        <v>1600</v>
      </c>
      <c r="AI118" s="313">
        <f>SUMIFS(Headcount!BL$61:BL$103,Headcount!$E$61:$E$103,$E118,Headcount!$F$61:$F$103,$F118)</f>
        <v>1600</v>
      </c>
      <c r="AJ118" s="313">
        <f>SUMIFS(Headcount!BM$61:BM$103,Headcount!$E$61:$E$103,$E118,Headcount!$F$61:$F$103,$F118)</f>
        <v>1600</v>
      </c>
      <c r="AK118" s="313">
        <f>SUMIFS(Headcount!BN$61:BN$103,Headcount!$E$61:$E$103,$E118,Headcount!$F$61:$F$103,$F118)</f>
        <v>1600</v>
      </c>
      <c r="AL118" s="313">
        <f>SUMIFS(Headcount!BO$61:BO$103,Headcount!$E$61:$E$103,$E118,Headcount!$F$61:$F$103,$F118)</f>
        <v>1600</v>
      </c>
      <c r="AM118" s="313">
        <f>SUMIFS(Headcount!BP$61:BP$103,Headcount!$E$61:$E$103,$E118,Headcount!$F$61:$F$103,$F118)</f>
        <v>1600</v>
      </c>
      <c r="AN118" s="313">
        <f>SUMIFS(Headcount!BQ$61:BQ$103,Headcount!$E$61:$E$103,$E118,Headcount!$F$61:$F$103,$F118)</f>
        <v>1600</v>
      </c>
      <c r="AO118" s="313">
        <f>SUMIFS(Headcount!BR$61:BR$103,Headcount!$E$61:$E$103,$E118,Headcount!$F$61:$F$103,$F118)</f>
        <v>1600</v>
      </c>
      <c r="AP118" s="313">
        <f>SUMIFS(Headcount!BS$61:BS$103,Headcount!$E$61:$E$103,$E118,Headcount!$F$61:$F$103,$F118)</f>
        <v>1600</v>
      </c>
      <c r="AQ118" s="313">
        <f>SUMIFS(Headcount!BT$61:BT$103,Headcount!$E$61:$E$103,$E118,Headcount!$F$61:$F$103,$F118)</f>
        <v>1600</v>
      </c>
      <c r="AR118" s="313">
        <f>SUMIFS(Headcount!BU$61:BU$103,Headcount!$E$61:$E$103,$E118,Headcount!$F$61:$F$103,$F118)</f>
        <v>1600</v>
      </c>
      <c r="AS118" s="313">
        <f>SUMIFS(Headcount!BV$61:BV$103,Headcount!$E$61:$E$103,$E118,Headcount!$F$61:$F$103,$F118)</f>
        <v>1600</v>
      </c>
      <c r="AT118" s="313">
        <f>SUMIFS(Headcount!BW$61:BW$103,Headcount!$E$61:$E$103,$E118,Headcount!$F$61:$F$103,$F118)</f>
        <v>1600</v>
      </c>
      <c r="AU118" s="313">
        <f>SUMIFS(Headcount!BX$61:BX$103,Headcount!$E$61:$E$103,$E118,Headcount!$F$61:$F$103,$F118)</f>
        <v>1600</v>
      </c>
      <c r="AV118" s="313">
        <f>SUMIFS(Headcount!BY$61:BY$103,Headcount!$E$61:$E$103,$E118,Headcount!$F$61:$F$103,$F118)</f>
        <v>1600</v>
      </c>
      <c r="AW118" s="313">
        <f>SUMIFS(Headcount!BZ$61:BZ$103,Headcount!$E$61:$E$103,$E118,Headcount!$F$61:$F$103,$F118)</f>
        <v>1600</v>
      </c>
      <c r="AX118" s="313">
        <f>SUMIFS(Headcount!CA$61:CA$103,Headcount!$E$61:$E$103,$E118,Headcount!$F$61:$F$103,$F118)</f>
        <v>1600</v>
      </c>
      <c r="AY118" s="313">
        <f>SUMIFS(Headcount!CB$61:CB$103,Headcount!$E$61:$E$103,$E118,Headcount!$F$61:$F$103,$F118)</f>
        <v>1600</v>
      </c>
      <c r="AZ118" s="313">
        <f>SUMIFS(Headcount!CC$61:CC$103,Headcount!$E$61:$E$103,$E118,Headcount!$F$61:$F$103,$F118)</f>
        <v>3266.6666666666665</v>
      </c>
      <c r="BA118" s="313">
        <f>SUMIFS(Headcount!CD$61:CD$103,Headcount!$E$61:$E$103,$E118,Headcount!$F$61:$F$103,$F118)</f>
        <v>3266.6666666666665</v>
      </c>
      <c r="BB118" s="313">
        <f>SUMIFS(Headcount!CE$61:CE$103,Headcount!$E$61:$E$103,$E118,Headcount!$F$61:$F$103,$F118)</f>
        <v>3266.6666666666665</v>
      </c>
      <c r="BC118" s="313">
        <f>SUMIFS(Headcount!CF$61:CF$103,Headcount!$E$61:$E$103,$E118,Headcount!$F$61:$F$103,$F118)</f>
        <v>3266.6666666666665</v>
      </c>
      <c r="BD118" s="313">
        <f>SUMIFS(Headcount!CG$61:CG$103,Headcount!$E$61:$E$103,$E118,Headcount!$F$61:$F$103,$F118)</f>
        <v>3266.6666666666665</v>
      </c>
      <c r="BE118" s="313">
        <f>SUMIFS(Headcount!CH$61:CH$103,Headcount!$E$61:$E$103,$E118,Headcount!$F$61:$F$103,$F118)</f>
        <v>3266.6666666666665</v>
      </c>
      <c r="BF118" s="313">
        <f>SUMIFS(Headcount!CI$61:CI$103,Headcount!$E$61:$E$103,$E118,Headcount!$F$61:$F$103,$F118)</f>
        <v>3266.6666666666665</v>
      </c>
      <c r="BG118" s="313">
        <f>SUMIFS(Headcount!CJ$61:CJ$103,Headcount!$E$61:$E$103,$E118,Headcount!$F$61:$F$103,$F118)</f>
        <v>3266.6666666666665</v>
      </c>
      <c r="BH118" s="313">
        <f>SUMIFS(Headcount!CK$61:CK$103,Headcount!$E$61:$E$103,$E118,Headcount!$F$61:$F$103,$F118)</f>
        <v>3266.6666666666665</v>
      </c>
    </row>
    <row r="119" spans="2:60" ht="19.5" customHeight="1" outlineLevel="1">
      <c r="B119" s="284"/>
      <c r="C119" s="315"/>
      <c r="D119" s="383" t="str">
        <f t="shared" si="11"/>
        <v>General &amp; Administrative</v>
      </c>
      <c r="E119" s="265" t="str">
        <f t="shared" si="12"/>
        <v>H1</v>
      </c>
      <c r="F119" s="383" t="s">
        <v>196</v>
      </c>
      <c r="G119" s="277"/>
      <c r="H119" s="277"/>
      <c r="I119" s="277"/>
      <c r="J119" s="314"/>
      <c r="L119" s="313"/>
      <c r="M119" s="313">
        <f>SUMIFS(Headcount!AP$61:AP$103,Headcount!$E$61:$E$103,$E119,Headcount!$F$61:$F$103,$F119)</f>
        <v>1000</v>
      </c>
      <c r="N119" s="313">
        <f>SUMIFS(Headcount!AQ$61:AQ$103,Headcount!$E$61:$E$103,$E119,Headcount!$F$61:$F$103,$F119)</f>
        <v>1000</v>
      </c>
      <c r="O119" s="313">
        <f>SUMIFS(Headcount!AR$61:AR$103,Headcount!$E$61:$E$103,$E119,Headcount!$F$61:$F$103,$F119)</f>
        <v>1000</v>
      </c>
      <c r="P119" s="313">
        <f>SUMIFS(Headcount!AS$61:AS$103,Headcount!$E$61:$E$103,$E119,Headcount!$F$61:$F$103,$F119)</f>
        <v>1000</v>
      </c>
      <c r="Q119" s="313">
        <f>SUMIFS(Headcount!AT$61:AT$103,Headcount!$E$61:$E$103,$E119,Headcount!$F$61:$F$103,$F119)</f>
        <v>1000</v>
      </c>
      <c r="R119" s="313">
        <f>SUMIFS(Headcount!AU$61:AU$103,Headcount!$E$61:$E$103,$E119,Headcount!$F$61:$F$103,$F119)</f>
        <v>1000</v>
      </c>
      <c r="S119" s="313">
        <f>SUMIFS(Headcount!AV$61:AV$103,Headcount!$E$61:$E$103,$E119,Headcount!$F$61:$F$103,$F119)</f>
        <v>1000</v>
      </c>
      <c r="T119" s="313">
        <f>SUMIFS(Headcount!AW$61:AW$103,Headcount!$E$61:$E$103,$E119,Headcount!$F$61:$F$103,$F119)</f>
        <v>1000</v>
      </c>
      <c r="U119" s="313">
        <f>SUMIFS(Headcount!AX$61:AX$103,Headcount!$E$61:$E$103,$E119,Headcount!$F$61:$F$103,$F119)</f>
        <v>1000</v>
      </c>
      <c r="V119" s="313">
        <f>SUMIFS(Headcount!AY$61:AY$103,Headcount!$E$61:$E$103,$E119,Headcount!$F$61:$F$103,$F119)</f>
        <v>1000</v>
      </c>
      <c r="W119" s="313">
        <f>SUMIFS(Headcount!AZ$61:AZ$103,Headcount!$E$61:$E$103,$E119,Headcount!$F$61:$F$103,$F119)</f>
        <v>1000</v>
      </c>
      <c r="X119" s="313">
        <f>SUMIFS(Headcount!BA$61:BA$103,Headcount!$E$61:$E$103,$E119,Headcount!$F$61:$F$103,$F119)</f>
        <v>1000</v>
      </c>
      <c r="Y119" s="313">
        <f>SUMIFS(Headcount!BB$61:BB$103,Headcount!$E$61:$E$103,$E119,Headcount!$F$61:$F$103,$F119)</f>
        <v>2000</v>
      </c>
      <c r="Z119" s="313">
        <f>SUMIFS(Headcount!BC$61:BC$103,Headcount!$E$61:$E$103,$E119,Headcount!$F$61:$F$103,$F119)</f>
        <v>2000</v>
      </c>
      <c r="AA119" s="313">
        <f>SUMIFS(Headcount!BD$61:BD$103,Headcount!$E$61:$E$103,$E119,Headcount!$F$61:$F$103,$F119)</f>
        <v>2000</v>
      </c>
      <c r="AB119" s="313">
        <f>SUMIFS(Headcount!BE$61:BE$103,Headcount!$E$61:$E$103,$E119,Headcount!$F$61:$F$103,$F119)</f>
        <v>2000</v>
      </c>
      <c r="AC119" s="313">
        <f>SUMIFS(Headcount!BF$61:BF$103,Headcount!$E$61:$E$103,$E119,Headcount!$F$61:$F$103,$F119)</f>
        <v>2000</v>
      </c>
      <c r="AD119" s="313">
        <f>SUMIFS(Headcount!BG$61:BG$103,Headcount!$E$61:$E$103,$E119,Headcount!$F$61:$F$103,$F119)</f>
        <v>2000</v>
      </c>
      <c r="AE119" s="313">
        <f>SUMIFS(Headcount!BH$61:BH$103,Headcount!$E$61:$E$103,$E119,Headcount!$F$61:$F$103,$F119)</f>
        <v>2000</v>
      </c>
      <c r="AF119" s="313">
        <f>SUMIFS(Headcount!BI$61:BI$103,Headcount!$E$61:$E$103,$E119,Headcount!$F$61:$F$103,$F119)</f>
        <v>2000</v>
      </c>
      <c r="AG119" s="313">
        <f>SUMIFS(Headcount!BJ$61:BJ$103,Headcount!$E$61:$E$103,$E119,Headcount!$F$61:$F$103,$F119)</f>
        <v>2000</v>
      </c>
      <c r="AH119" s="313">
        <f>SUMIFS(Headcount!BK$61:BK$103,Headcount!$E$61:$E$103,$E119,Headcount!$F$61:$F$103,$F119)</f>
        <v>2000</v>
      </c>
      <c r="AI119" s="313">
        <f>SUMIFS(Headcount!BL$61:BL$103,Headcount!$E$61:$E$103,$E119,Headcount!$F$61:$F$103,$F119)</f>
        <v>2000</v>
      </c>
      <c r="AJ119" s="313">
        <f>SUMIFS(Headcount!BM$61:BM$103,Headcount!$E$61:$E$103,$E119,Headcount!$F$61:$F$103,$F119)</f>
        <v>2000</v>
      </c>
      <c r="AK119" s="313">
        <f>SUMIFS(Headcount!BN$61:BN$103,Headcount!$E$61:$E$103,$E119,Headcount!$F$61:$F$103,$F119)</f>
        <v>2000</v>
      </c>
      <c r="AL119" s="313">
        <f>SUMIFS(Headcount!BO$61:BO$103,Headcount!$E$61:$E$103,$E119,Headcount!$F$61:$F$103,$F119)</f>
        <v>2000</v>
      </c>
      <c r="AM119" s="313">
        <f>SUMIFS(Headcount!BP$61:BP$103,Headcount!$E$61:$E$103,$E119,Headcount!$F$61:$F$103,$F119)</f>
        <v>2000</v>
      </c>
      <c r="AN119" s="313">
        <f>SUMIFS(Headcount!BQ$61:BQ$103,Headcount!$E$61:$E$103,$E119,Headcount!$F$61:$F$103,$F119)</f>
        <v>2000</v>
      </c>
      <c r="AO119" s="313">
        <f>SUMIFS(Headcount!BR$61:BR$103,Headcount!$E$61:$E$103,$E119,Headcount!$F$61:$F$103,$F119)</f>
        <v>2000</v>
      </c>
      <c r="AP119" s="313">
        <f>SUMIFS(Headcount!BS$61:BS$103,Headcount!$E$61:$E$103,$E119,Headcount!$F$61:$F$103,$F119)</f>
        <v>2000</v>
      </c>
      <c r="AQ119" s="313">
        <f>SUMIFS(Headcount!BT$61:BT$103,Headcount!$E$61:$E$103,$E119,Headcount!$F$61:$F$103,$F119)</f>
        <v>2000</v>
      </c>
      <c r="AR119" s="313">
        <f>SUMIFS(Headcount!BU$61:BU$103,Headcount!$E$61:$E$103,$E119,Headcount!$F$61:$F$103,$F119)</f>
        <v>2000</v>
      </c>
      <c r="AS119" s="313">
        <f>SUMIFS(Headcount!BV$61:BV$103,Headcount!$E$61:$E$103,$E119,Headcount!$F$61:$F$103,$F119)</f>
        <v>2000</v>
      </c>
      <c r="AT119" s="313">
        <f>SUMIFS(Headcount!BW$61:BW$103,Headcount!$E$61:$E$103,$E119,Headcount!$F$61:$F$103,$F119)</f>
        <v>2000</v>
      </c>
      <c r="AU119" s="313">
        <f>SUMIFS(Headcount!BX$61:BX$103,Headcount!$E$61:$E$103,$E119,Headcount!$F$61:$F$103,$F119)</f>
        <v>2000</v>
      </c>
      <c r="AV119" s="313">
        <f>SUMIFS(Headcount!BY$61:BY$103,Headcount!$E$61:$E$103,$E119,Headcount!$F$61:$F$103,$F119)</f>
        <v>2000</v>
      </c>
      <c r="AW119" s="313">
        <f>SUMIFS(Headcount!BZ$61:BZ$103,Headcount!$E$61:$E$103,$E119,Headcount!$F$61:$F$103,$F119)</f>
        <v>2000</v>
      </c>
      <c r="AX119" s="313">
        <f>SUMIFS(Headcount!CA$61:CA$103,Headcount!$E$61:$E$103,$E119,Headcount!$F$61:$F$103,$F119)</f>
        <v>2000</v>
      </c>
      <c r="AY119" s="313">
        <f>SUMIFS(Headcount!CB$61:CB$103,Headcount!$E$61:$E$103,$E119,Headcount!$F$61:$F$103,$F119)</f>
        <v>2000</v>
      </c>
      <c r="AZ119" s="313">
        <f>SUMIFS(Headcount!CC$61:CC$103,Headcount!$E$61:$E$103,$E119,Headcount!$F$61:$F$103,$F119)</f>
        <v>4083.333333333333</v>
      </c>
      <c r="BA119" s="313">
        <f>SUMIFS(Headcount!CD$61:CD$103,Headcount!$E$61:$E$103,$E119,Headcount!$F$61:$F$103,$F119)</f>
        <v>4083.333333333333</v>
      </c>
      <c r="BB119" s="313">
        <f>SUMIFS(Headcount!CE$61:CE$103,Headcount!$E$61:$E$103,$E119,Headcount!$F$61:$F$103,$F119)</f>
        <v>4083.333333333333</v>
      </c>
      <c r="BC119" s="313">
        <f>SUMIFS(Headcount!CF$61:CF$103,Headcount!$E$61:$E$103,$E119,Headcount!$F$61:$F$103,$F119)</f>
        <v>4083.333333333333</v>
      </c>
      <c r="BD119" s="313">
        <f>SUMIFS(Headcount!CG$61:CG$103,Headcount!$E$61:$E$103,$E119,Headcount!$F$61:$F$103,$F119)</f>
        <v>4083.333333333333</v>
      </c>
      <c r="BE119" s="313">
        <f>SUMIFS(Headcount!CH$61:CH$103,Headcount!$E$61:$E$103,$E119,Headcount!$F$61:$F$103,$F119)</f>
        <v>4083.333333333333</v>
      </c>
      <c r="BF119" s="313">
        <f>SUMIFS(Headcount!CI$61:CI$103,Headcount!$E$61:$E$103,$E119,Headcount!$F$61:$F$103,$F119)</f>
        <v>4083.333333333333</v>
      </c>
      <c r="BG119" s="313">
        <f>SUMIFS(Headcount!CJ$61:CJ$103,Headcount!$E$61:$E$103,$E119,Headcount!$F$61:$F$103,$F119)</f>
        <v>4083.333333333333</v>
      </c>
      <c r="BH119" s="313">
        <f>SUMIFS(Headcount!CK$61:CK$103,Headcount!$E$61:$E$103,$E119,Headcount!$F$61:$F$103,$F119)</f>
        <v>4083.333333333333</v>
      </c>
    </row>
    <row r="120" spans="2:60" ht="19.5" customHeight="1" outlineLevel="1">
      <c r="B120" s="284"/>
      <c r="C120" s="315"/>
      <c r="D120" s="383" t="str">
        <f t="shared" si="11"/>
        <v>General &amp; Administrative</v>
      </c>
      <c r="E120" s="265" t="str">
        <f t="shared" si="12"/>
        <v>H1</v>
      </c>
      <c r="F120" s="383" t="s">
        <v>198</v>
      </c>
      <c r="G120" s="277"/>
      <c r="H120" s="277"/>
      <c r="I120" s="277"/>
      <c r="J120" s="314"/>
      <c r="L120" s="313"/>
      <c r="M120" s="313">
        <f>SUMIFS(Headcount!AP$61:AP$103,Headcount!$E$61:$E$103,$E120,Headcount!$F$61:$F$103,$F120)</f>
        <v>25</v>
      </c>
      <c r="N120" s="313">
        <f>SUMIFS(Headcount!AQ$61:AQ$103,Headcount!$E$61:$E$103,$E120,Headcount!$F$61:$F$103,$F120)</f>
        <v>25</v>
      </c>
      <c r="O120" s="313">
        <f>SUMIFS(Headcount!AR$61:AR$103,Headcount!$E$61:$E$103,$E120,Headcount!$F$61:$F$103,$F120)</f>
        <v>25</v>
      </c>
      <c r="P120" s="313">
        <f>SUMIFS(Headcount!AS$61:AS$103,Headcount!$E$61:$E$103,$E120,Headcount!$F$61:$F$103,$F120)</f>
        <v>25</v>
      </c>
      <c r="Q120" s="313">
        <f>SUMIFS(Headcount!AT$61:AT$103,Headcount!$E$61:$E$103,$E120,Headcount!$F$61:$F$103,$F120)</f>
        <v>25</v>
      </c>
      <c r="R120" s="313">
        <f>SUMIFS(Headcount!AU$61:AU$103,Headcount!$E$61:$E$103,$E120,Headcount!$F$61:$F$103,$F120)</f>
        <v>25</v>
      </c>
      <c r="S120" s="313">
        <f>SUMIFS(Headcount!AV$61:AV$103,Headcount!$E$61:$E$103,$E120,Headcount!$F$61:$F$103,$F120)</f>
        <v>25</v>
      </c>
      <c r="T120" s="313">
        <f>SUMIFS(Headcount!AW$61:AW$103,Headcount!$E$61:$E$103,$E120,Headcount!$F$61:$F$103,$F120)</f>
        <v>25</v>
      </c>
      <c r="U120" s="313">
        <f>SUMIFS(Headcount!AX$61:AX$103,Headcount!$E$61:$E$103,$E120,Headcount!$F$61:$F$103,$F120)</f>
        <v>25</v>
      </c>
      <c r="V120" s="313">
        <f>SUMIFS(Headcount!AY$61:AY$103,Headcount!$E$61:$E$103,$E120,Headcount!$F$61:$F$103,$F120)</f>
        <v>25</v>
      </c>
      <c r="W120" s="313">
        <f>SUMIFS(Headcount!AZ$61:AZ$103,Headcount!$E$61:$E$103,$E120,Headcount!$F$61:$F$103,$F120)</f>
        <v>25</v>
      </c>
      <c r="X120" s="313">
        <f>SUMIFS(Headcount!BA$61:BA$103,Headcount!$E$61:$E$103,$E120,Headcount!$F$61:$F$103,$F120)</f>
        <v>25</v>
      </c>
      <c r="Y120" s="313">
        <f>SUMIFS(Headcount!BB$61:BB$103,Headcount!$E$61:$E$103,$E120,Headcount!$F$61:$F$103,$F120)</f>
        <v>50</v>
      </c>
      <c r="Z120" s="313">
        <f>SUMIFS(Headcount!BC$61:BC$103,Headcount!$E$61:$E$103,$E120,Headcount!$F$61:$F$103,$F120)</f>
        <v>50</v>
      </c>
      <c r="AA120" s="313">
        <f>SUMIFS(Headcount!BD$61:BD$103,Headcount!$E$61:$E$103,$E120,Headcount!$F$61:$F$103,$F120)</f>
        <v>50</v>
      </c>
      <c r="AB120" s="313">
        <f>SUMIFS(Headcount!BE$61:BE$103,Headcount!$E$61:$E$103,$E120,Headcount!$F$61:$F$103,$F120)</f>
        <v>50</v>
      </c>
      <c r="AC120" s="313">
        <f>SUMIFS(Headcount!BF$61:BF$103,Headcount!$E$61:$E$103,$E120,Headcount!$F$61:$F$103,$F120)</f>
        <v>50</v>
      </c>
      <c r="AD120" s="313">
        <f>SUMIFS(Headcount!BG$61:BG$103,Headcount!$E$61:$E$103,$E120,Headcount!$F$61:$F$103,$F120)</f>
        <v>50</v>
      </c>
      <c r="AE120" s="313">
        <f>SUMIFS(Headcount!BH$61:BH$103,Headcount!$E$61:$E$103,$E120,Headcount!$F$61:$F$103,$F120)</f>
        <v>50</v>
      </c>
      <c r="AF120" s="313">
        <f>SUMIFS(Headcount!BI$61:BI$103,Headcount!$E$61:$E$103,$E120,Headcount!$F$61:$F$103,$F120)</f>
        <v>50</v>
      </c>
      <c r="AG120" s="313">
        <f>SUMIFS(Headcount!BJ$61:BJ$103,Headcount!$E$61:$E$103,$E120,Headcount!$F$61:$F$103,$F120)</f>
        <v>50</v>
      </c>
      <c r="AH120" s="313">
        <f>SUMIFS(Headcount!BK$61:BK$103,Headcount!$E$61:$E$103,$E120,Headcount!$F$61:$F$103,$F120)</f>
        <v>50</v>
      </c>
      <c r="AI120" s="313">
        <f>SUMIFS(Headcount!BL$61:BL$103,Headcount!$E$61:$E$103,$E120,Headcount!$F$61:$F$103,$F120)</f>
        <v>50</v>
      </c>
      <c r="AJ120" s="313">
        <f>SUMIFS(Headcount!BM$61:BM$103,Headcount!$E$61:$E$103,$E120,Headcount!$F$61:$F$103,$F120)</f>
        <v>50</v>
      </c>
      <c r="AK120" s="313">
        <f>SUMIFS(Headcount!BN$61:BN$103,Headcount!$E$61:$E$103,$E120,Headcount!$F$61:$F$103,$F120)</f>
        <v>50</v>
      </c>
      <c r="AL120" s="313">
        <f>SUMIFS(Headcount!BO$61:BO$103,Headcount!$E$61:$E$103,$E120,Headcount!$F$61:$F$103,$F120)</f>
        <v>50</v>
      </c>
      <c r="AM120" s="313">
        <f>SUMIFS(Headcount!BP$61:BP$103,Headcount!$E$61:$E$103,$E120,Headcount!$F$61:$F$103,$F120)</f>
        <v>50</v>
      </c>
      <c r="AN120" s="313">
        <f>SUMIFS(Headcount!BQ$61:BQ$103,Headcount!$E$61:$E$103,$E120,Headcount!$F$61:$F$103,$F120)</f>
        <v>50</v>
      </c>
      <c r="AO120" s="313">
        <f>SUMIFS(Headcount!BR$61:BR$103,Headcount!$E$61:$E$103,$E120,Headcount!$F$61:$F$103,$F120)</f>
        <v>50</v>
      </c>
      <c r="AP120" s="313">
        <f>SUMIFS(Headcount!BS$61:BS$103,Headcount!$E$61:$E$103,$E120,Headcount!$F$61:$F$103,$F120)</f>
        <v>50</v>
      </c>
      <c r="AQ120" s="313">
        <f>SUMIFS(Headcount!BT$61:BT$103,Headcount!$E$61:$E$103,$E120,Headcount!$F$61:$F$103,$F120)</f>
        <v>50</v>
      </c>
      <c r="AR120" s="313">
        <f>SUMIFS(Headcount!BU$61:BU$103,Headcount!$E$61:$E$103,$E120,Headcount!$F$61:$F$103,$F120)</f>
        <v>50</v>
      </c>
      <c r="AS120" s="313">
        <f>SUMIFS(Headcount!BV$61:BV$103,Headcount!$E$61:$E$103,$E120,Headcount!$F$61:$F$103,$F120)</f>
        <v>50</v>
      </c>
      <c r="AT120" s="313">
        <f>SUMIFS(Headcount!BW$61:BW$103,Headcount!$E$61:$E$103,$E120,Headcount!$F$61:$F$103,$F120)</f>
        <v>50</v>
      </c>
      <c r="AU120" s="313">
        <f>SUMIFS(Headcount!BX$61:BX$103,Headcount!$E$61:$E$103,$E120,Headcount!$F$61:$F$103,$F120)</f>
        <v>50</v>
      </c>
      <c r="AV120" s="313">
        <f>SUMIFS(Headcount!BY$61:BY$103,Headcount!$E$61:$E$103,$E120,Headcount!$F$61:$F$103,$F120)</f>
        <v>50</v>
      </c>
      <c r="AW120" s="313">
        <f>SUMIFS(Headcount!BZ$61:BZ$103,Headcount!$E$61:$E$103,$E120,Headcount!$F$61:$F$103,$F120)</f>
        <v>50</v>
      </c>
      <c r="AX120" s="313">
        <f>SUMIFS(Headcount!CA$61:CA$103,Headcount!$E$61:$E$103,$E120,Headcount!$F$61:$F$103,$F120)</f>
        <v>50</v>
      </c>
      <c r="AY120" s="313">
        <f>SUMIFS(Headcount!CB$61:CB$103,Headcount!$E$61:$E$103,$E120,Headcount!$F$61:$F$103,$F120)</f>
        <v>50</v>
      </c>
      <c r="AZ120" s="313">
        <f>SUMIFS(Headcount!CC$61:CC$103,Headcount!$E$61:$E$103,$E120,Headcount!$F$61:$F$103,$F120)</f>
        <v>102.08333333333333</v>
      </c>
      <c r="BA120" s="313">
        <f>SUMIFS(Headcount!CD$61:CD$103,Headcount!$E$61:$E$103,$E120,Headcount!$F$61:$F$103,$F120)</f>
        <v>102.08333333333333</v>
      </c>
      <c r="BB120" s="313">
        <f>SUMIFS(Headcount!CE$61:CE$103,Headcount!$E$61:$E$103,$E120,Headcount!$F$61:$F$103,$F120)</f>
        <v>102.08333333333333</v>
      </c>
      <c r="BC120" s="313">
        <f>SUMIFS(Headcount!CF$61:CF$103,Headcount!$E$61:$E$103,$E120,Headcount!$F$61:$F$103,$F120)</f>
        <v>102.08333333333333</v>
      </c>
      <c r="BD120" s="313">
        <f>SUMIFS(Headcount!CG$61:CG$103,Headcount!$E$61:$E$103,$E120,Headcount!$F$61:$F$103,$F120)</f>
        <v>102.08333333333333</v>
      </c>
      <c r="BE120" s="313">
        <f>SUMIFS(Headcount!CH$61:CH$103,Headcount!$E$61:$E$103,$E120,Headcount!$F$61:$F$103,$F120)</f>
        <v>102.08333333333333</v>
      </c>
      <c r="BF120" s="313">
        <f>SUMIFS(Headcount!CI$61:CI$103,Headcount!$E$61:$E$103,$E120,Headcount!$F$61:$F$103,$F120)</f>
        <v>102.08333333333333</v>
      </c>
      <c r="BG120" s="313">
        <f>SUMIFS(Headcount!CJ$61:CJ$103,Headcount!$E$61:$E$103,$E120,Headcount!$F$61:$F$103,$F120)</f>
        <v>102.08333333333333</v>
      </c>
      <c r="BH120" s="313">
        <f>SUMIFS(Headcount!CK$61:CK$103,Headcount!$E$61:$E$103,$E120,Headcount!$F$61:$F$103,$F120)</f>
        <v>102.08333333333333</v>
      </c>
    </row>
    <row r="121" spans="2:60" ht="19.5" customHeight="1" outlineLevel="1">
      <c r="B121" s="284"/>
      <c r="C121" s="315"/>
      <c r="D121" s="383" t="str">
        <f t="shared" si="11"/>
        <v>General &amp; Administrative</v>
      </c>
      <c r="E121" s="265" t="str">
        <f t="shared" si="12"/>
        <v>H1</v>
      </c>
      <c r="F121" s="383" t="s">
        <v>200</v>
      </c>
      <c r="G121" s="277"/>
      <c r="H121" s="277"/>
      <c r="I121" s="277"/>
      <c r="J121" s="314"/>
      <c r="L121" s="313"/>
      <c r="M121" s="313">
        <f>SUMIFS(Headcount!AP$61:AP$103,Headcount!$E$61:$E$103,$E121,Headcount!$F$61:$F$103,$F121)</f>
        <v>0</v>
      </c>
      <c r="N121" s="313">
        <f>SUMIFS(Headcount!AQ$61:AQ$103,Headcount!$E$61:$E$103,$E121,Headcount!$F$61:$F$103,$F121)</f>
        <v>0</v>
      </c>
      <c r="O121" s="313">
        <f>SUMIFS(Headcount!AR$61:AR$103,Headcount!$E$61:$E$103,$E121,Headcount!$F$61:$F$103,$F121)</f>
        <v>0</v>
      </c>
      <c r="P121" s="313">
        <f>SUMIFS(Headcount!AS$61:AS$103,Headcount!$E$61:$E$103,$E121,Headcount!$F$61:$F$103,$F121)</f>
        <v>0</v>
      </c>
      <c r="Q121" s="313">
        <f>SUMIFS(Headcount!AT$61:AT$103,Headcount!$E$61:$E$103,$E121,Headcount!$F$61:$F$103,$F121)</f>
        <v>0</v>
      </c>
      <c r="R121" s="313">
        <f>SUMIFS(Headcount!AU$61:AU$103,Headcount!$E$61:$E$103,$E121,Headcount!$F$61:$F$103,$F121)</f>
        <v>0</v>
      </c>
      <c r="S121" s="313">
        <f>SUMIFS(Headcount!AV$61:AV$103,Headcount!$E$61:$E$103,$E121,Headcount!$F$61:$F$103,$F121)</f>
        <v>0</v>
      </c>
      <c r="T121" s="313">
        <f>SUMIFS(Headcount!AW$61:AW$103,Headcount!$E$61:$E$103,$E121,Headcount!$F$61:$F$103,$F121)</f>
        <v>0</v>
      </c>
      <c r="U121" s="313">
        <f>SUMIFS(Headcount!AX$61:AX$103,Headcount!$E$61:$E$103,$E121,Headcount!$F$61:$F$103,$F121)</f>
        <v>0</v>
      </c>
      <c r="V121" s="313">
        <f>SUMIFS(Headcount!AY$61:AY$103,Headcount!$E$61:$E$103,$E121,Headcount!$F$61:$F$103,$F121)</f>
        <v>0</v>
      </c>
      <c r="W121" s="313">
        <f>SUMIFS(Headcount!AZ$61:AZ$103,Headcount!$E$61:$E$103,$E121,Headcount!$F$61:$F$103,$F121)</f>
        <v>0</v>
      </c>
      <c r="X121" s="313">
        <f>SUMIFS(Headcount!BA$61:BA$103,Headcount!$E$61:$E$103,$E121,Headcount!$F$61:$F$103,$F121)</f>
        <v>5000</v>
      </c>
      <c r="Y121" s="313">
        <f>SUMIFS(Headcount!BB$61:BB$103,Headcount!$E$61:$E$103,$E121,Headcount!$F$61:$F$103,$F121)</f>
        <v>0</v>
      </c>
      <c r="Z121" s="313">
        <f>SUMIFS(Headcount!BC$61:BC$103,Headcount!$E$61:$E$103,$E121,Headcount!$F$61:$F$103,$F121)</f>
        <v>0</v>
      </c>
      <c r="AA121" s="313">
        <f>SUMIFS(Headcount!BD$61:BD$103,Headcount!$E$61:$E$103,$E121,Headcount!$F$61:$F$103,$F121)</f>
        <v>0</v>
      </c>
      <c r="AB121" s="313">
        <f>SUMIFS(Headcount!BE$61:BE$103,Headcount!$E$61:$E$103,$E121,Headcount!$F$61:$F$103,$F121)</f>
        <v>0</v>
      </c>
      <c r="AC121" s="313">
        <f>SUMIFS(Headcount!BF$61:BF$103,Headcount!$E$61:$E$103,$E121,Headcount!$F$61:$F$103,$F121)</f>
        <v>0</v>
      </c>
      <c r="AD121" s="313">
        <f>SUMIFS(Headcount!BG$61:BG$103,Headcount!$E$61:$E$103,$E121,Headcount!$F$61:$F$103,$F121)</f>
        <v>0</v>
      </c>
      <c r="AE121" s="313">
        <f>SUMIFS(Headcount!BH$61:BH$103,Headcount!$E$61:$E$103,$E121,Headcount!$F$61:$F$103,$F121)</f>
        <v>0</v>
      </c>
      <c r="AF121" s="313">
        <f>SUMIFS(Headcount!BI$61:BI$103,Headcount!$E$61:$E$103,$E121,Headcount!$F$61:$F$103,$F121)</f>
        <v>0</v>
      </c>
      <c r="AG121" s="313">
        <f>SUMIFS(Headcount!BJ$61:BJ$103,Headcount!$E$61:$E$103,$E121,Headcount!$F$61:$F$103,$F121)</f>
        <v>0</v>
      </c>
      <c r="AH121" s="313">
        <f>SUMIFS(Headcount!BK$61:BK$103,Headcount!$E$61:$E$103,$E121,Headcount!$F$61:$F$103,$F121)</f>
        <v>0</v>
      </c>
      <c r="AI121" s="313">
        <f>SUMIFS(Headcount!BL$61:BL$103,Headcount!$E$61:$E$103,$E121,Headcount!$F$61:$F$103,$F121)</f>
        <v>0</v>
      </c>
      <c r="AJ121" s="313">
        <f>SUMIFS(Headcount!BM$61:BM$103,Headcount!$E$61:$E$103,$E121,Headcount!$F$61:$F$103,$F121)</f>
        <v>5000</v>
      </c>
      <c r="AK121" s="313">
        <f>SUMIFS(Headcount!BN$61:BN$103,Headcount!$E$61:$E$103,$E121,Headcount!$F$61:$F$103,$F121)</f>
        <v>0</v>
      </c>
      <c r="AL121" s="313">
        <f>SUMIFS(Headcount!BO$61:BO$103,Headcount!$E$61:$E$103,$E121,Headcount!$F$61:$F$103,$F121)</f>
        <v>0</v>
      </c>
      <c r="AM121" s="313">
        <f>SUMIFS(Headcount!BP$61:BP$103,Headcount!$E$61:$E$103,$E121,Headcount!$F$61:$F$103,$F121)</f>
        <v>0</v>
      </c>
      <c r="AN121" s="313">
        <f>SUMIFS(Headcount!BQ$61:BQ$103,Headcount!$E$61:$E$103,$E121,Headcount!$F$61:$F$103,$F121)</f>
        <v>0</v>
      </c>
      <c r="AO121" s="313">
        <f>SUMIFS(Headcount!BR$61:BR$103,Headcount!$E$61:$E$103,$E121,Headcount!$F$61:$F$103,$F121)</f>
        <v>0</v>
      </c>
      <c r="AP121" s="313">
        <f>SUMIFS(Headcount!BS$61:BS$103,Headcount!$E$61:$E$103,$E121,Headcount!$F$61:$F$103,$F121)</f>
        <v>0</v>
      </c>
      <c r="AQ121" s="313">
        <f>SUMIFS(Headcount!BT$61:BT$103,Headcount!$E$61:$E$103,$E121,Headcount!$F$61:$F$103,$F121)</f>
        <v>0</v>
      </c>
      <c r="AR121" s="313">
        <f>SUMIFS(Headcount!BU$61:BU$103,Headcount!$E$61:$E$103,$E121,Headcount!$F$61:$F$103,$F121)</f>
        <v>0</v>
      </c>
      <c r="AS121" s="313">
        <f>SUMIFS(Headcount!BV$61:BV$103,Headcount!$E$61:$E$103,$E121,Headcount!$F$61:$F$103,$F121)</f>
        <v>0</v>
      </c>
      <c r="AT121" s="313">
        <f>SUMIFS(Headcount!BW$61:BW$103,Headcount!$E$61:$E$103,$E121,Headcount!$F$61:$F$103,$F121)</f>
        <v>0</v>
      </c>
      <c r="AU121" s="313">
        <f>SUMIFS(Headcount!BX$61:BX$103,Headcount!$E$61:$E$103,$E121,Headcount!$F$61:$F$103,$F121)</f>
        <v>0</v>
      </c>
      <c r="AV121" s="313">
        <f>SUMIFS(Headcount!BY$61:BY$103,Headcount!$E$61:$E$103,$E121,Headcount!$F$61:$F$103,$F121)</f>
        <v>5000</v>
      </c>
      <c r="AW121" s="313">
        <f>SUMIFS(Headcount!BZ$61:BZ$103,Headcount!$E$61:$E$103,$E121,Headcount!$F$61:$F$103,$F121)</f>
        <v>0</v>
      </c>
      <c r="AX121" s="313">
        <f>SUMIFS(Headcount!CA$61:CA$103,Headcount!$E$61:$E$103,$E121,Headcount!$F$61:$F$103,$F121)</f>
        <v>0</v>
      </c>
      <c r="AY121" s="313">
        <f>SUMIFS(Headcount!CB$61:CB$103,Headcount!$E$61:$E$103,$E121,Headcount!$F$61:$F$103,$F121)</f>
        <v>0</v>
      </c>
      <c r="AZ121" s="313">
        <f>SUMIFS(Headcount!CC$61:CC$103,Headcount!$E$61:$E$103,$E121,Headcount!$F$61:$F$103,$F121)</f>
        <v>0</v>
      </c>
      <c r="BA121" s="313">
        <f>SUMIFS(Headcount!CD$61:CD$103,Headcount!$E$61:$E$103,$E121,Headcount!$F$61:$F$103,$F121)</f>
        <v>0</v>
      </c>
      <c r="BB121" s="313">
        <f>SUMIFS(Headcount!CE$61:CE$103,Headcount!$E$61:$E$103,$E121,Headcount!$F$61:$F$103,$F121)</f>
        <v>0</v>
      </c>
      <c r="BC121" s="313">
        <f>SUMIFS(Headcount!CF$61:CF$103,Headcount!$E$61:$E$103,$E121,Headcount!$F$61:$F$103,$F121)</f>
        <v>0</v>
      </c>
      <c r="BD121" s="313">
        <f>SUMIFS(Headcount!CG$61:CG$103,Headcount!$E$61:$E$103,$E121,Headcount!$F$61:$F$103,$F121)</f>
        <v>0</v>
      </c>
      <c r="BE121" s="313">
        <f>SUMIFS(Headcount!CH$61:CH$103,Headcount!$E$61:$E$103,$E121,Headcount!$F$61:$F$103,$F121)</f>
        <v>0</v>
      </c>
      <c r="BF121" s="313">
        <f>SUMIFS(Headcount!CI$61:CI$103,Headcount!$E$61:$E$103,$E121,Headcount!$F$61:$F$103,$F121)</f>
        <v>0</v>
      </c>
      <c r="BG121" s="313">
        <f>SUMIFS(Headcount!CJ$61:CJ$103,Headcount!$E$61:$E$103,$E121,Headcount!$F$61:$F$103,$F121)</f>
        <v>0</v>
      </c>
      <c r="BH121" s="313">
        <f>SUMIFS(Headcount!CK$61:CK$103,Headcount!$E$61:$E$103,$E121,Headcount!$F$61:$F$103,$F121)</f>
        <v>5000</v>
      </c>
    </row>
    <row r="122" spans="2:60" ht="19.5" customHeight="1" outlineLevel="1">
      <c r="B122" s="284"/>
      <c r="C122" s="315"/>
      <c r="D122" s="383" t="s">
        <v>180</v>
      </c>
      <c r="E122" s="675" t="s">
        <v>181</v>
      </c>
      <c r="F122" s="383" t="s">
        <v>190</v>
      </c>
      <c r="G122" s="277"/>
      <c r="H122" s="277"/>
      <c r="I122" s="277"/>
      <c r="J122" s="314"/>
      <c r="L122" s="313"/>
      <c r="M122" s="313">
        <f>SUMIFS(Headcount!AP$61:AP$103,Headcount!$E$61:$E$103,$E122,Headcount!$F$61:$F$103,$F122)</f>
        <v>0</v>
      </c>
      <c r="N122" s="313">
        <f>SUMIFS(Headcount!AQ$61:AQ$103,Headcount!$E$61:$E$103,$E122,Headcount!$F$61:$F$103,$F122)</f>
        <v>0</v>
      </c>
      <c r="O122" s="313">
        <f>SUMIFS(Headcount!AR$61:AR$103,Headcount!$E$61:$E$103,$E122,Headcount!$F$61:$F$103,$F122)</f>
        <v>0</v>
      </c>
      <c r="P122" s="313">
        <f>SUMIFS(Headcount!AS$61:AS$103,Headcount!$E$61:$E$103,$E122,Headcount!$F$61:$F$103,$F122)</f>
        <v>0</v>
      </c>
      <c r="Q122" s="313">
        <f>SUMIFS(Headcount!AT$61:AT$103,Headcount!$E$61:$E$103,$E122,Headcount!$F$61:$F$103,$F122)</f>
        <v>0</v>
      </c>
      <c r="R122" s="313">
        <f>SUMIFS(Headcount!AU$61:AU$103,Headcount!$E$61:$E$103,$E122,Headcount!$F$61:$F$103,$F122)</f>
        <v>0</v>
      </c>
      <c r="S122" s="313">
        <f>SUMIFS(Headcount!AV$61:AV$103,Headcount!$E$61:$E$103,$E122,Headcount!$F$61:$F$103,$F122)</f>
        <v>0</v>
      </c>
      <c r="T122" s="313">
        <f>SUMIFS(Headcount!AW$61:AW$103,Headcount!$E$61:$E$103,$E122,Headcount!$F$61:$F$103,$F122)</f>
        <v>0</v>
      </c>
      <c r="U122" s="313">
        <f>SUMIFS(Headcount!AX$61:AX$103,Headcount!$E$61:$E$103,$E122,Headcount!$F$61:$F$103,$F122)</f>
        <v>0</v>
      </c>
      <c r="V122" s="313">
        <f>SUMIFS(Headcount!AY$61:AY$103,Headcount!$E$61:$E$103,$E122,Headcount!$F$61:$F$103,$F122)</f>
        <v>0</v>
      </c>
      <c r="W122" s="313">
        <f>SUMIFS(Headcount!AZ$61:AZ$103,Headcount!$E$61:$E$103,$E122,Headcount!$F$61:$F$103,$F122)</f>
        <v>0</v>
      </c>
      <c r="X122" s="313">
        <f>SUMIFS(Headcount!BA$61:BA$103,Headcount!$E$61:$E$103,$E122,Headcount!$F$61:$F$103,$F122)</f>
        <v>0</v>
      </c>
      <c r="Y122" s="313">
        <f>SUMIFS(Headcount!BB$61:BB$103,Headcount!$E$61:$E$103,$E122,Headcount!$F$61:$F$103,$F122)</f>
        <v>0</v>
      </c>
      <c r="Z122" s="313">
        <f>SUMIFS(Headcount!BC$61:BC$103,Headcount!$E$61:$E$103,$E122,Headcount!$F$61:$F$103,$F122)</f>
        <v>0</v>
      </c>
      <c r="AA122" s="313">
        <f>SUMIFS(Headcount!BD$61:BD$103,Headcount!$E$61:$E$103,$E122,Headcount!$F$61:$F$103,$F122)</f>
        <v>10714.285714285714</v>
      </c>
      <c r="AB122" s="313">
        <f>SUMIFS(Headcount!BE$61:BE$103,Headcount!$E$61:$E$103,$E122,Headcount!$F$61:$F$103,$F122)</f>
        <v>12500</v>
      </c>
      <c r="AC122" s="313">
        <f>SUMIFS(Headcount!BF$61:BF$103,Headcount!$E$61:$E$103,$E122,Headcount!$F$61:$F$103,$F122)</f>
        <v>12500</v>
      </c>
      <c r="AD122" s="313">
        <f>SUMIFS(Headcount!BG$61:BG$103,Headcount!$E$61:$E$103,$E122,Headcount!$F$61:$F$103,$F122)</f>
        <v>12500</v>
      </c>
      <c r="AE122" s="313">
        <f>SUMIFS(Headcount!BH$61:BH$103,Headcount!$E$61:$E$103,$E122,Headcount!$F$61:$F$103,$F122)</f>
        <v>12500</v>
      </c>
      <c r="AF122" s="313">
        <f>SUMIFS(Headcount!BI$61:BI$103,Headcount!$E$61:$E$103,$E122,Headcount!$F$61:$F$103,$F122)</f>
        <v>12500</v>
      </c>
      <c r="AG122" s="313">
        <f>SUMIFS(Headcount!BJ$61:BJ$103,Headcount!$E$61:$E$103,$E122,Headcount!$F$61:$F$103,$F122)</f>
        <v>12500</v>
      </c>
      <c r="AH122" s="313">
        <f>SUMIFS(Headcount!BK$61:BK$103,Headcount!$E$61:$E$103,$E122,Headcount!$F$61:$F$103,$F122)</f>
        <v>12500</v>
      </c>
      <c r="AI122" s="313">
        <f>SUMIFS(Headcount!BL$61:BL$103,Headcount!$E$61:$E$103,$E122,Headcount!$F$61:$F$103,$F122)</f>
        <v>12500</v>
      </c>
      <c r="AJ122" s="313">
        <f>SUMIFS(Headcount!BM$61:BM$103,Headcount!$E$61:$E$103,$E122,Headcount!$F$61:$F$103,$F122)</f>
        <v>12500</v>
      </c>
      <c r="AK122" s="313">
        <f>SUMIFS(Headcount!BN$61:BN$103,Headcount!$E$61:$E$103,$E122,Headcount!$F$61:$F$103,$F122)</f>
        <v>12500</v>
      </c>
      <c r="AL122" s="313">
        <f>SUMIFS(Headcount!BO$61:BO$103,Headcount!$E$61:$E$103,$E122,Headcount!$F$61:$F$103,$F122)</f>
        <v>12500</v>
      </c>
      <c r="AM122" s="313">
        <f>SUMIFS(Headcount!BP$61:BP$103,Headcount!$E$61:$E$103,$E122,Headcount!$F$61:$F$103,$F122)</f>
        <v>12500</v>
      </c>
      <c r="AN122" s="313">
        <f>SUMIFS(Headcount!BQ$61:BQ$103,Headcount!$E$61:$E$103,$E122,Headcount!$F$61:$F$103,$F122)</f>
        <v>12500</v>
      </c>
      <c r="AO122" s="313">
        <f>SUMIFS(Headcount!BR$61:BR$103,Headcount!$E$61:$E$103,$E122,Headcount!$F$61:$F$103,$F122)</f>
        <v>12500</v>
      </c>
      <c r="AP122" s="313">
        <f>SUMIFS(Headcount!BS$61:BS$103,Headcount!$E$61:$E$103,$E122,Headcount!$F$61:$F$103,$F122)</f>
        <v>12500</v>
      </c>
      <c r="AQ122" s="313">
        <f>SUMIFS(Headcount!BT$61:BT$103,Headcount!$E$61:$E$103,$E122,Headcount!$F$61:$F$103,$F122)</f>
        <v>12500</v>
      </c>
      <c r="AR122" s="313">
        <f>SUMIFS(Headcount!BU$61:BU$103,Headcount!$E$61:$E$103,$E122,Headcount!$F$61:$F$103,$F122)</f>
        <v>12500</v>
      </c>
      <c r="AS122" s="313">
        <f>SUMIFS(Headcount!BV$61:BV$103,Headcount!$E$61:$E$103,$E122,Headcount!$F$61:$F$103,$F122)</f>
        <v>12500</v>
      </c>
      <c r="AT122" s="313">
        <f>SUMIFS(Headcount!BW$61:BW$103,Headcount!$E$61:$E$103,$E122,Headcount!$F$61:$F$103,$F122)</f>
        <v>12500</v>
      </c>
      <c r="AU122" s="313">
        <f>SUMIFS(Headcount!BX$61:BX$103,Headcount!$E$61:$E$103,$E122,Headcount!$F$61:$F$103,$F122)</f>
        <v>12500</v>
      </c>
      <c r="AV122" s="313">
        <f>SUMIFS(Headcount!BY$61:BY$103,Headcount!$E$61:$E$103,$E122,Headcount!$F$61:$F$103,$F122)</f>
        <v>12500</v>
      </c>
      <c r="AW122" s="313">
        <f>SUMIFS(Headcount!BZ$61:BZ$103,Headcount!$E$61:$E$103,$E122,Headcount!$F$61:$F$103,$F122)</f>
        <v>12500</v>
      </c>
      <c r="AX122" s="313">
        <f>SUMIFS(Headcount!CA$61:CA$103,Headcount!$E$61:$E$103,$E122,Headcount!$F$61:$F$103,$F122)</f>
        <v>12500</v>
      </c>
      <c r="AY122" s="313">
        <f>SUMIFS(Headcount!CB$61:CB$103,Headcount!$E$61:$E$103,$E122,Headcount!$F$61:$F$103,$F122)</f>
        <v>12500</v>
      </c>
      <c r="AZ122" s="313">
        <f>SUMIFS(Headcount!CC$61:CC$103,Headcount!$E$61:$E$103,$E122,Headcount!$F$61:$F$103,$F122)</f>
        <v>12500</v>
      </c>
      <c r="BA122" s="313">
        <f>SUMIFS(Headcount!CD$61:CD$103,Headcount!$E$61:$E$103,$E122,Headcount!$F$61:$F$103,$F122)</f>
        <v>12500</v>
      </c>
      <c r="BB122" s="313">
        <f>SUMIFS(Headcount!CE$61:CE$103,Headcount!$E$61:$E$103,$E122,Headcount!$F$61:$F$103,$F122)</f>
        <v>12500</v>
      </c>
      <c r="BC122" s="313">
        <f>SUMIFS(Headcount!CF$61:CF$103,Headcount!$E$61:$E$103,$E122,Headcount!$F$61:$F$103,$F122)</f>
        <v>12500</v>
      </c>
      <c r="BD122" s="313">
        <f>SUMIFS(Headcount!CG$61:CG$103,Headcount!$E$61:$E$103,$E122,Headcount!$F$61:$F$103,$F122)</f>
        <v>12500</v>
      </c>
      <c r="BE122" s="313">
        <f>SUMIFS(Headcount!CH$61:CH$103,Headcount!$E$61:$E$103,$E122,Headcount!$F$61:$F$103,$F122)</f>
        <v>12500</v>
      </c>
      <c r="BF122" s="313">
        <f>SUMIFS(Headcount!CI$61:CI$103,Headcount!$E$61:$E$103,$E122,Headcount!$F$61:$F$103,$F122)</f>
        <v>12500</v>
      </c>
      <c r="BG122" s="313">
        <f>SUMIFS(Headcount!CJ$61:CJ$103,Headcount!$E$61:$E$103,$E122,Headcount!$F$61:$F$103,$F122)</f>
        <v>12500</v>
      </c>
      <c r="BH122" s="313">
        <f>SUMIFS(Headcount!CK$61:CK$103,Headcount!$E$61:$E$103,$E122,Headcount!$F$61:$F$103,$F122)</f>
        <v>12500</v>
      </c>
    </row>
    <row r="123" spans="2:60" ht="19.5" customHeight="1" outlineLevel="1">
      <c r="B123" s="284"/>
      <c r="C123" s="315"/>
      <c r="D123" s="383" t="str">
        <f>D122</f>
        <v>Sales &amp; Marketing</v>
      </c>
      <c r="E123" s="265" t="str">
        <f>E122</f>
        <v>H2</v>
      </c>
      <c r="F123" s="383" t="s">
        <v>192</v>
      </c>
      <c r="G123" s="277"/>
      <c r="H123" s="277"/>
      <c r="I123" s="277"/>
      <c r="J123" s="314"/>
      <c r="L123" s="313"/>
      <c r="M123" s="313">
        <f>SUMIFS(Headcount!AP$61:AP$103,Headcount!$E$61:$E$103,$E123,Headcount!$F$61:$F$103,$F123)</f>
        <v>0</v>
      </c>
      <c r="N123" s="313">
        <f>SUMIFS(Headcount!AQ$61:AQ$103,Headcount!$E$61:$E$103,$E123,Headcount!$F$61:$F$103,$F123)</f>
        <v>0</v>
      </c>
      <c r="O123" s="313">
        <f>SUMIFS(Headcount!AR$61:AR$103,Headcount!$E$61:$E$103,$E123,Headcount!$F$61:$F$103,$F123)</f>
        <v>0</v>
      </c>
      <c r="P123" s="313">
        <f>SUMIFS(Headcount!AS$61:AS$103,Headcount!$E$61:$E$103,$E123,Headcount!$F$61:$F$103,$F123)</f>
        <v>0</v>
      </c>
      <c r="Q123" s="313">
        <f>SUMIFS(Headcount!AT$61:AT$103,Headcount!$E$61:$E$103,$E123,Headcount!$F$61:$F$103,$F123)</f>
        <v>0</v>
      </c>
      <c r="R123" s="313">
        <f>SUMIFS(Headcount!AU$61:AU$103,Headcount!$E$61:$E$103,$E123,Headcount!$F$61:$F$103,$F123)</f>
        <v>0</v>
      </c>
      <c r="S123" s="313">
        <f>SUMIFS(Headcount!AV$61:AV$103,Headcount!$E$61:$E$103,$E123,Headcount!$F$61:$F$103,$F123)</f>
        <v>0</v>
      </c>
      <c r="T123" s="313">
        <f>SUMIFS(Headcount!AW$61:AW$103,Headcount!$E$61:$E$103,$E123,Headcount!$F$61:$F$103,$F123)</f>
        <v>0</v>
      </c>
      <c r="U123" s="313">
        <f>SUMIFS(Headcount!AX$61:AX$103,Headcount!$E$61:$E$103,$E123,Headcount!$F$61:$F$103,$F123)</f>
        <v>0</v>
      </c>
      <c r="V123" s="313">
        <f>SUMIFS(Headcount!AY$61:AY$103,Headcount!$E$61:$E$103,$E123,Headcount!$F$61:$F$103,$F123)</f>
        <v>0</v>
      </c>
      <c r="W123" s="313">
        <f>SUMIFS(Headcount!AZ$61:AZ$103,Headcount!$E$61:$E$103,$E123,Headcount!$F$61:$F$103,$F123)</f>
        <v>0</v>
      </c>
      <c r="X123" s="313">
        <f>SUMIFS(Headcount!BA$61:BA$103,Headcount!$E$61:$E$103,$E123,Headcount!$F$61:$F$103,$F123)</f>
        <v>0</v>
      </c>
      <c r="Y123" s="313">
        <f>SUMIFS(Headcount!BB$61:BB$103,Headcount!$E$61:$E$103,$E123,Headcount!$F$61:$F$103,$F123)</f>
        <v>0</v>
      </c>
      <c r="Z123" s="313">
        <f>SUMIFS(Headcount!BC$61:BC$103,Headcount!$E$61:$E$103,$E123,Headcount!$F$61:$F$103,$F123)</f>
        <v>6984.1269841269832</v>
      </c>
      <c r="AA123" s="313">
        <f>SUMIFS(Headcount!BD$61:BD$103,Headcount!$E$61:$E$103,$E123,Headcount!$F$61:$F$103,$F123)</f>
        <v>9166.6666666666661</v>
      </c>
      <c r="AB123" s="313">
        <f>SUMIFS(Headcount!BE$61:BE$103,Headcount!$E$61:$E$103,$E123,Headcount!$F$61:$F$103,$F123)</f>
        <v>9166.6666666666661</v>
      </c>
      <c r="AC123" s="313">
        <f>SUMIFS(Headcount!BF$61:BF$103,Headcount!$E$61:$E$103,$E123,Headcount!$F$61:$F$103,$F123)</f>
        <v>9166.6666666666661</v>
      </c>
      <c r="AD123" s="313">
        <f>SUMIFS(Headcount!BG$61:BG$103,Headcount!$E$61:$E$103,$E123,Headcount!$F$61:$F$103,$F123)</f>
        <v>9166.6666666666661</v>
      </c>
      <c r="AE123" s="313">
        <f>SUMIFS(Headcount!BH$61:BH$103,Headcount!$E$61:$E$103,$E123,Headcount!$F$61:$F$103,$F123)</f>
        <v>9166.6666666666661</v>
      </c>
      <c r="AF123" s="313">
        <f>SUMIFS(Headcount!BI$61:BI$103,Headcount!$E$61:$E$103,$E123,Headcount!$F$61:$F$103,$F123)</f>
        <v>9166.6666666666661</v>
      </c>
      <c r="AG123" s="313">
        <f>SUMIFS(Headcount!BJ$61:BJ$103,Headcount!$E$61:$E$103,$E123,Headcount!$F$61:$F$103,$F123)</f>
        <v>9166.6666666666661</v>
      </c>
      <c r="AH123" s="313">
        <f>SUMIFS(Headcount!BK$61:BK$103,Headcount!$E$61:$E$103,$E123,Headcount!$F$61:$F$103,$F123)</f>
        <v>9166.6666666666661</v>
      </c>
      <c r="AI123" s="313">
        <f>SUMIFS(Headcount!BL$61:BL$103,Headcount!$E$61:$E$103,$E123,Headcount!$F$61:$F$103,$F123)</f>
        <v>9166.6666666666661</v>
      </c>
      <c r="AJ123" s="313">
        <f>SUMIFS(Headcount!BM$61:BM$103,Headcount!$E$61:$E$103,$E123,Headcount!$F$61:$F$103,$F123)</f>
        <v>9166.6666666666661</v>
      </c>
      <c r="AK123" s="313">
        <f>SUMIFS(Headcount!BN$61:BN$103,Headcount!$E$61:$E$103,$E123,Headcount!$F$61:$F$103,$F123)</f>
        <v>9166.6666666666661</v>
      </c>
      <c r="AL123" s="313">
        <f>SUMIFS(Headcount!BO$61:BO$103,Headcount!$E$61:$E$103,$E123,Headcount!$F$61:$F$103,$F123)</f>
        <v>9166.6666666666661</v>
      </c>
      <c r="AM123" s="313">
        <f>SUMIFS(Headcount!BP$61:BP$103,Headcount!$E$61:$E$103,$E123,Headcount!$F$61:$F$103,$F123)</f>
        <v>9166.6666666666661</v>
      </c>
      <c r="AN123" s="313">
        <f>SUMIFS(Headcount!BQ$61:BQ$103,Headcount!$E$61:$E$103,$E123,Headcount!$F$61:$F$103,$F123)</f>
        <v>9166.6666666666661</v>
      </c>
      <c r="AO123" s="313">
        <f>SUMIFS(Headcount!BR$61:BR$103,Headcount!$E$61:$E$103,$E123,Headcount!$F$61:$F$103,$F123)</f>
        <v>9166.6666666666661</v>
      </c>
      <c r="AP123" s="313">
        <f>SUMIFS(Headcount!BS$61:BS$103,Headcount!$E$61:$E$103,$E123,Headcount!$F$61:$F$103,$F123)</f>
        <v>14404.761904761905</v>
      </c>
      <c r="AQ123" s="313">
        <f>SUMIFS(Headcount!BT$61:BT$103,Headcount!$E$61:$E$103,$E123,Headcount!$F$61:$F$103,$F123)</f>
        <v>19166.666666666664</v>
      </c>
      <c r="AR123" s="313">
        <f>SUMIFS(Headcount!BU$61:BU$103,Headcount!$E$61:$E$103,$E123,Headcount!$F$61:$F$103,$F123)</f>
        <v>19166.666666666664</v>
      </c>
      <c r="AS123" s="313">
        <f>SUMIFS(Headcount!BV$61:BV$103,Headcount!$E$61:$E$103,$E123,Headcount!$F$61:$F$103,$F123)</f>
        <v>19166.666666666664</v>
      </c>
      <c r="AT123" s="313">
        <f>SUMIFS(Headcount!BW$61:BW$103,Headcount!$E$61:$E$103,$E123,Headcount!$F$61:$F$103,$F123)</f>
        <v>19166.666666666664</v>
      </c>
      <c r="AU123" s="313">
        <f>SUMIFS(Headcount!BX$61:BX$103,Headcount!$E$61:$E$103,$E123,Headcount!$F$61:$F$103,$F123)</f>
        <v>19166.666666666664</v>
      </c>
      <c r="AV123" s="313">
        <f>SUMIFS(Headcount!BY$61:BY$103,Headcount!$E$61:$E$103,$E123,Headcount!$F$61:$F$103,$F123)</f>
        <v>19166.666666666664</v>
      </c>
      <c r="AW123" s="313">
        <f>SUMIFS(Headcount!BZ$61:BZ$103,Headcount!$E$61:$E$103,$E123,Headcount!$F$61:$F$103,$F123)</f>
        <v>19166.666666666664</v>
      </c>
      <c r="AX123" s="313">
        <f>SUMIFS(Headcount!CA$61:CA$103,Headcount!$E$61:$E$103,$E123,Headcount!$F$61:$F$103,$F123)</f>
        <v>19166.666666666664</v>
      </c>
      <c r="AY123" s="313">
        <f>SUMIFS(Headcount!CB$61:CB$103,Headcount!$E$61:$E$103,$E123,Headcount!$F$61:$F$103,$F123)</f>
        <v>19166.666666666664</v>
      </c>
      <c r="AZ123" s="313">
        <f>SUMIFS(Headcount!CC$61:CC$103,Headcount!$E$61:$E$103,$E123,Headcount!$F$61:$F$103,$F123)</f>
        <v>19166.666666666664</v>
      </c>
      <c r="BA123" s="313">
        <f>SUMIFS(Headcount!CD$61:CD$103,Headcount!$E$61:$E$103,$E123,Headcount!$F$61:$F$103,$F123)</f>
        <v>19166.666666666664</v>
      </c>
      <c r="BB123" s="313">
        <f>SUMIFS(Headcount!CE$61:CE$103,Headcount!$E$61:$E$103,$E123,Headcount!$F$61:$F$103,$F123)</f>
        <v>19166.666666666664</v>
      </c>
      <c r="BC123" s="313">
        <f>SUMIFS(Headcount!CF$61:CF$103,Headcount!$E$61:$E$103,$E123,Headcount!$F$61:$F$103,$F123)</f>
        <v>19166.666666666664</v>
      </c>
      <c r="BD123" s="313">
        <f>SUMIFS(Headcount!CG$61:CG$103,Headcount!$E$61:$E$103,$E123,Headcount!$F$61:$F$103,$F123)</f>
        <v>19166.666666666664</v>
      </c>
      <c r="BE123" s="313">
        <f>SUMIFS(Headcount!CH$61:CH$103,Headcount!$E$61:$E$103,$E123,Headcount!$F$61:$F$103,$F123)</f>
        <v>19166.666666666664</v>
      </c>
      <c r="BF123" s="313">
        <f>SUMIFS(Headcount!CI$61:CI$103,Headcount!$E$61:$E$103,$E123,Headcount!$F$61:$F$103,$F123)</f>
        <v>19166.666666666664</v>
      </c>
      <c r="BG123" s="313">
        <f>SUMIFS(Headcount!CJ$61:CJ$103,Headcount!$E$61:$E$103,$E123,Headcount!$F$61:$F$103,$F123)</f>
        <v>19166.666666666664</v>
      </c>
      <c r="BH123" s="313">
        <f>SUMIFS(Headcount!CK$61:CK$103,Headcount!$E$61:$E$103,$E123,Headcount!$F$61:$F$103,$F123)</f>
        <v>19166.666666666664</v>
      </c>
    </row>
    <row r="124" spans="2:60" ht="19.5" customHeight="1" outlineLevel="1">
      <c r="B124" s="284"/>
      <c r="C124" s="315"/>
      <c r="D124" s="383" t="str">
        <f t="shared" ref="D124:E127" si="13">D123</f>
        <v>Sales &amp; Marketing</v>
      </c>
      <c r="E124" s="265" t="str">
        <f t="shared" si="13"/>
        <v>H2</v>
      </c>
      <c r="F124" s="383" t="s">
        <v>194</v>
      </c>
      <c r="G124" s="277"/>
      <c r="H124" s="277"/>
      <c r="I124" s="277"/>
      <c r="J124" s="314"/>
      <c r="L124" s="313"/>
      <c r="M124" s="313">
        <f>SUMIFS(Headcount!AP$61:AP$103,Headcount!$E$61:$E$103,$E124,Headcount!$F$61:$F$103,$F124)</f>
        <v>0</v>
      </c>
      <c r="N124" s="313">
        <f>SUMIFS(Headcount!AQ$61:AQ$103,Headcount!$E$61:$E$103,$E124,Headcount!$F$61:$F$103,$F124)</f>
        <v>0</v>
      </c>
      <c r="O124" s="313">
        <f>SUMIFS(Headcount!AR$61:AR$103,Headcount!$E$61:$E$103,$E124,Headcount!$F$61:$F$103,$F124)</f>
        <v>0</v>
      </c>
      <c r="P124" s="313">
        <f>SUMIFS(Headcount!AS$61:AS$103,Headcount!$E$61:$E$103,$E124,Headcount!$F$61:$F$103,$F124)</f>
        <v>0</v>
      </c>
      <c r="Q124" s="313">
        <f>SUMIFS(Headcount!AT$61:AT$103,Headcount!$E$61:$E$103,$E124,Headcount!$F$61:$F$103,$F124)</f>
        <v>0</v>
      </c>
      <c r="R124" s="313">
        <f>SUMIFS(Headcount!AU$61:AU$103,Headcount!$E$61:$E$103,$E124,Headcount!$F$61:$F$103,$F124)</f>
        <v>0</v>
      </c>
      <c r="S124" s="313">
        <f>SUMIFS(Headcount!AV$61:AV$103,Headcount!$E$61:$E$103,$E124,Headcount!$F$61:$F$103,$F124)</f>
        <v>0</v>
      </c>
      <c r="T124" s="313">
        <f>SUMIFS(Headcount!AW$61:AW$103,Headcount!$E$61:$E$103,$E124,Headcount!$F$61:$F$103,$F124)</f>
        <v>0</v>
      </c>
      <c r="U124" s="313">
        <f>SUMIFS(Headcount!AX$61:AX$103,Headcount!$E$61:$E$103,$E124,Headcount!$F$61:$F$103,$F124)</f>
        <v>0</v>
      </c>
      <c r="V124" s="313">
        <f>SUMIFS(Headcount!AY$61:AY$103,Headcount!$E$61:$E$103,$E124,Headcount!$F$61:$F$103,$F124)</f>
        <v>0</v>
      </c>
      <c r="W124" s="313">
        <f>SUMIFS(Headcount!AZ$61:AZ$103,Headcount!$E$61:$E$103,$E124,Headcount!$F$61:$F$103,$F124)</f>
        <v>0</v>
      </c>
      <c r="X124" s="313">
        <f>SUMIFS(Headcount!BA$61:BA$103,Headcount!$E$61:$E$103,$E124,Headcount!$F$61:$F$103,$F124)</f>
        <v>0</v>
      </c>
      <c r="Y124" s="313">
        <f>SUMIFS(Headcount!BB$61:BB$103,Headcount!$E$61:$E$103,$E124,Headcount!$F$61:$F$103,$F124)</f>
        <v>0</v>
      </c>
      <c r="Z124" s="313">
        <f>SUMIFS(Headcount!BC$61:BC$103,Headcount!$E$61:$E$103,$E124,Headcount!$F$61:$F$103,$F124)</f>
        <v>0</v>
      </c>
      <c r="AA124" s="313">
        <f>SUMIFS(Headcount!BD$61:BD$103,Headcount!$E$61:$E$103,$E124,Headcount!$F$61:$F$103,$F124)</f>
        <v>857.14285714285711</v>
      </c>
      <c r="AB124" s="313">
        <f>SUMIFS(Headcount!BE$61:BE$103,Headcount!$E$61:$E$103,$E124,Headcount!$F$61:$F$103,$F124)</f>
        <v>1000</v>
      </c>
      <c r="AC124" s="313">
        <f>SUMIFS(Headcount!BF$61:BF$103,Headcount!$E$61:$E$103,$E124,Headcount!$F$61:$F$103,$F124)</f>
        <v>1000</v>
      </c>
      <c r="AD124" s="313">
        <f>SUMIFS(Headcount!BG$61:BG$103,Headcount!$E$61:$E$103,$E124,Headcount!$F$61:$F$103,$F124)</f>
        <v>1000</v>
      </c>
      <c r="AE124" s="313">
        <f>SUMIFS(Headcount!BH$61:BH$103,Headcount!$E$61:$E$103,$E124,Headcount!$F$61:$F$103,$F124)</f>
        <v>1000</v>
      </c>
      <c r="AF124" s="313">
        <f>SUMIFS(Headcount!BI$61:BI$103,Headcount!$E$61:$E$103,$E124,Headcount!$F$61:$F$103,$F124)</f>
        <v>1000</v>
      </c>
      <c r="AG124" s="313">
        <f>SUMIFS(Headcount!BJ$61:BJ$103,Headcount!$E$61:$E$103,$E124,Headcount!$F$61:$F$103,$F124)</f>
        <v>1000</v>
      </c>
      <c r="AH124" s="313">
        <f>SUMIFS(Headcount!BK$61:BK$103,Headcount!$E$61:$E$103,$E124,Headcount!$F$61:$F$103,$F124)</f>
        <v>1000</v>
      </c>
      <c r="AI124" s="313">
        <f>SUMIFS(Headcount!BL$61:BL$103,Headcount!$E$61:$E$103,$E124,Headcount!$F$61:$F$103,$F124)</f>
        <v>1000</v>
      </c>
      <c r="AJ124" s="313">
        <f>SUMIFS(Headcount!BM$61:BM$103,Headcount!$E$61:$E$103,$E124,Headcount!$F$61:$F$103,$F124)</f>
        <v>1000</v>
      </c>
      <c r="AK124" s="313">
        <f>SUMIFS(Headcount!BN$61:BN$103,Headcount!$E$61:$E$103,$E124,Headcount!$F$61:$F$103,$F124)</f>
        <v>1000</v>
      </c>
      <c r="AL124" s="313">
        <f>SUMIFS(Headcount!BO$61:BO$103,Headcount!$E$61:$E$103,$E124,Headcount!$F$61:$F$103,$F124)</f>
        <v>1000</v>
      </c>
      <c r="AM124" s="313">
        <f>SUMIFS(Headcount!BP$61:BP$103,Headcount!$E$61:$E$103,$E124,Headcount!$F$61:$F$103,$F124)</f>
        <v>1000</v>
      </c>
      <c r="AN124" s="313">
        <f>SUMIFS(Headcount!BQ$61:BQ$103,Headcount!$E$61:$E$103,$E124,Headcount!$F$61:$F$103,$F124)</f>
        <v>1000</v>
      </c>
      <c r="AO124" s="313">
        <f>SUMIFS(Headcount!BR$61:BR$103,Headcount!$E$61:$E$103,$E124,Headcount!$F$61:$F$103,$F124)</f>
        <v>1000</v>
      </c>
      <c r="AP124" s="313">
        <f>SUMIFS(Headcount!BS$61:BS$103,Headcount!$E$61:$E$103,$E124,Headcount!$F$61:$F$103,$F124)</f>
        <v>1000</v>
      </c>
      <c r="AQ124" s="313">
        <f>SUMIFS(Headcount!BT$61:BT$103,Headcount!$E$61:$E$103,$E124,Headcount!$F$61:$F$103,$F124)</f>
        <v>1000</v>
      </c>
      <c r="AR124" s="313">
        <f>SUMIFS(Headcount!BU$61:BU$103,Headcount!$E$61:$E$103,$E124,Headcount!$F$61:$F$103,$F124)</f>
        <v>1000</v>
      </c>
      <c r="AS124" s="313">
        <f>SUMIFS(Headcount!BV$61:BV$103,Headcount!$E$61:$E$103,$E124,Headcount!$F$61:$F$103,$F124)</f>
        <v>1000</v>
      </c>
      <c r="AT124" s="313">
        <f>SUMIFS(Headcount!BW$61:BW$103,Headcount!$E$61:$E$103,$E124,Headcount!$F$61:$F$103,$F124)</f>
        <v>1000</v>
      </c>
      <c r="AU124" s="313">
        <f>SUMIFS(Headcount!BX$61:BX$103,Headcount!$E$61:$E$103,$E124,Headcount!$F$61:$F$103,$F124)</f>
        <v>1000</v>
      </c>
      <c r="AV124" s="313">
        <f>SUMIFS(Headcount!BY$61:BY$103,Headcount!$E$61:$E$103,$E124,Headcount!$F$61:$F$103,$F124)</f>
        <v>1000</v>
      </c>
      <c r="AW124" s="313">
        <f>SUMIFS(Headcount!BZ$61:BZ$103,Headcount!$E$61:$E$103,$E124,Headcount!$F$61:$F$103,$F124)</f>
        <v>1000</v>
      </c>
      <c r="AX124" s="313">
        <f>SUMIFS(Headcount!CA$61:CA$103,Headcount!$E$61:$E$103,$E124,Headcount!$F$61:$F$103,$F124)</f>
        <v>1000</v>
      </c>
      <c r="AY124" s="313">
        <f>SUMIFS(Headcount!CB$61:CB$103,Headcount!$E$61:$E$103,$E124,Headcount!$F$61:$F$103,$F124)</f>
        <v>1000</v>
      </c>
      <c r="AZ124" s="313">
        <f>SUMIFS(Headcount!CC$61:CC$103,Headcount!$E$61:$E$103,$E124,Headcount!$F$61:$F$103,$F124)</f>
        <v>1000</v>
      </c>
      <c r="BA124" s="313">
        <f>SUMIFS(Headcount!CD$61:CD$103,Headcount!$E$61:$E$103,$E124,Headcount!$F$61:$F$103,$F124)</f>
        <v>1000</v>
      </c>
      <c r="BB124" s="313">
        <f>SUMIFS(Headcount!CE$61:CE$103,Headcount!$E$61:$E$103,$E124,Headcount!$F$61:$F$103,$F124)</f>
        <v>1000</v>
      </c>
      <c r="BC124" s="313">
        <f>SUMIFS(Headcount!CF$61:CF$103,Headcount!$E$61:$E$103,$E124,Headcount!$F$61:$F$103,$F124)</f>
        <v>1000</v>
      </c>
      <c r="BD124" s="313">
        <f>SUMIFS(Headcount!CG$61:CG$103,Headcount!$E$61:$E$103,$E124,Headcount!$F$61:$F$103,$F124)</f>
        <v>1000</v>
      </c>
      <c r="BE124" s="313">
        <f>SUMIFS(Headcount!CH$61:CH$103,Headcount!$E$61:$E$103,$E124,Headcount!$F$61:$F$103,$F124)</f>
        <v>1000</v>
      </c>
      <c r="BF124" s="313">
        <f>SUMIFS(Headcount!CI$61:CI$103,Headcount!$E$61:$E$103,$E124,Headcount!$F$61:$F$103,$F124)</f>
        <v>1000</v>
      </c>
      <c r="BG124" s="313">
        <f>SUMIFS(Headcount!CJ$61:CJ$103,Headcount!$E$61:$E$103,$E124,Headcount!$F$61:$F$103,$F124)</f>
        <v>1000</v>
      </c>
      <c r="BH124" s="313">
        <f>SUMIFS(Headcount!CK$61:CK$103,Headcount!$E$61:$E$103,$E124,Headcount!$F$61:$F$103,$F124)</f>
        <v>1000</v>
      </c>
    </row>
    <row r="125" spans="2:60" ht="19.5" customHeight="1" outlineLevel="1">
      <c r="B125" s="284"/>
      <c r="C125" s="315"/>
      <c r="D125" s="383" t="str">
        <f t="shared" si="13"/>
        <v>Sales &amp; Marketing</v>
      </c>
      <c r="E125" s="265" t="str">
        <f t="shared" si="13"/>
        <v>H2</v>
      </c>
      <c r="F125" s="383" t="s">
        <v>196</v>
      </c>
      <c r="G125" s="277"/>
      <c r="H125" s="277"/>
      <c r="I125" s="277"/>
      <c r="J125" s="314"/>
      <c r="L125" s="313"/>
      <c r="M125" s="313">
        <f>SUMIFS(Headcount!AP$61:AP$103,Headcount!$E$61:$E$103,$E125,Headcount!$F$61:$F$103,$F125)</f>
        <v>0</v>
      </c>
      <c r="N125" s="313">
        <f>SUMIFS(Headcount!AQ$61:AQ$103,Headcount!$E$61:$E$103,$E125,Headcount!$F$61:$F$103,$F125)</f>
        <v>0</v>
      </c>
      <c r="O125" s="313">
        <f>SUMIFS(Headcount!AR$61:AR$103,Headcount!$E$61:$E$103,$E125,Headcount!$F$61:$F$103,$F125)</f>
        <v>0</v>
      </c>
      <c r="P125" s="313">
        <f>SUMIFS(Headcount!AS$61:AS$103,Headcount!$E$61:$E$103,$E125,Headcount!$F$61:$F$103,$F125)</f>
        <v>0</v>
      </c>
      <c r="Q125" s="313">
        <f>SUMIFS(Headcount!AT$61:AT$103,Headcount!$E$61:$E$103,$E125,Headcount!$F$61:$F$103,$F125)</f>
        <v>0</v>
      </c>
      <c r="R125" s="313">
        <f>SUMIFS(Headcount!AU$61:AU$103,Headcount!$E$61:$E$103,$E125,Headcount!$F$61:$F$103,$F125)</f>
        <v>0</v>
      </c>
      <c r="S125" s="313">
        <f>SUMIFS(Headcount!AV$61:AV$103,Headcount!$E$61:$E$103,$E125,Headcount!$F$61:$F$103,$F125)</f>
        <v>0</v>
      </c>
      <c r="T125" s="313">
        <f>SUMIFS(Headcount!AW$61:AW$103,Headcount!$E$61:$E$103,$E125,Headcount!$F$61:$F$103,$F125)</f>
        <v>0</v>
      </c>
      <c r="U125" s="313">
        <f>SUMIFS(Headcount!AX$61:AX$103,Headcount!$E$61:$E$103,$E125,Headcount!$F$61:$F$103,$F125)</f>
        <v>0</v>
      </c>
      <c r="V125" s="313">
        <f>SUMIFS(Headcount!AY$61:AY$103,Headcount!$E$61:$E$103,$E125,Headcount!$F$61:$F$103,$F125)</f>
        <v>0</v>
      </c>
      <c r="W125" s="313">
        <f>SUMIFS(Headcount!AZ$61:AZ$103,Headcount!$E$61:$E$103,$E125,Headcount!$F$61:$F$103,$F125)</f>
        <v>0</v>
      </c>
      <c r="X125" s="313">
        <f>SUMIFS(Headcount!BA$61:BA$103,Headcount!$E$61:$E$103,$E125,Headcount!$F$61:$F$103,$F125)</f>
        <v>0</v>
      </c>
      <c r="Y125" s="313">
        <f>SUMIFS(Headcount!BB$61:BB$103,Headcount!$E$61:$E$103,$E125,Headcount!$F$61:$F$103,$F125)</f>
        <v>0</v>
      </c>
      <c r="Z125" s="313">
        <f>SUMIFS(Headcount!BC$61:BC$103,Headcount!$E$61:$E$103,$E125,Headcount!$F$61:$F$103,$F125)</f>
        <v>0</v>
      </c>
      <c r="AA125" s="313">
        <f>SUMIFS(Headcount!BD$61:BD$103,Headcount!$E$61:$E$103,$E125,Headcount!$F$61:$F$103,$F125)</f>
        <v>1071.4285714285713</v>
      </c>
      <c r="AB125" s="313">
        <f>SUMIFS(Headcount!BE$61:BE$103,Headcount!$E$61:$E$103,$E125,Headcount!$F$61:$F$103,$F125)</f>
        <v>1250</v>
      </c>
      <c r="AC125" s="313">
        <f>SUMIFS(Headcount!BF$61:BF$103,Headcount!$E$61:$E$103,$E125,Headcount!$F$61:$F$103,$F125)</f>
        <v>1250</v>
      </c>
      <c r="AD125" s="313">
        <f>SUMIFS(Headcount!BG$61:BG$103,Headcount!$E$61:$E$103,$E125,Headcount!$F$61:$F$103,$F125)</f>
        <v>1250</v>
      </c>
      <c r="AE125" s="313">
        <f>SUMIFS(Headcount!BH$61:BH$103,Headcount!$E$61:$E$103,$E125,Headcount!$F$61:$F$103,$F125)</f>
        <v>1250</v>
      </c>
      <c r="AF125" s="313">
        <f>SUMIFS(Headcount!BI$61:BI$103,Headcount!$E$61:$E$103,$E125,Headcount!$F$61:$F$103,$F125)</f>
        <v>1250</v>
      </c>
      <c r="AG125" s="313">
        <f>SUMIFS(Headcount!BJ$61:BJ$103,Headcount!$E$61:$E$103,$E125,Headcount!$F$61:$F$103,$F125)</f>
        <v>1250</v>
      </c>
      <c r="AH125" s="313">
        <f>SUMIFS(Headcount!BK$61:BK$103,Headcount!$E$61:$E$103,$E125,Headcount!$F$61:$F$103,$F125)</f>
        <v>1250</v>
      </c>
      <c r="AI125" s="313">
        <f>SUMIFS(Headcount!BL$61:BL$103,Headcount!$E$61:$E$103,$E125,Headcount!$F$61:$F$103,$F125)</f>
        <v>1250</v>
      </c>
      <c r="AJ125" s="313">
        <f>SUMIFS(Headcount!BM$61:BM$103,Headcount!$E$61:$E$103,$E125,Headcount!$F$61:$F$103,$F125)</f>
        <v>1250</v>
      </c>
      <c r="AK125" s="313">
        <f>SUMIFS(Headcount!BN$61:BN$103,Headcount!$E$61:$E$103,$E125,Headcount!$F$61:$F$103,$F125)</f>
        <v>1250</v>
      </c>
      <c r="AL125" s="313">
        <f>SUMIFS(Headcount!BO$61:BO$103,Headcount!$E$61:$E$103,$E125,Headcount!$F$61:$F$103,$F125)</f>
        <v>1250</v>
      </c>
      <c r="AM125" s="313">
        <f>SUMIFS(Headcount!BP$61:BP$103,Headcount!$E$61:$E$103,$E125,Headcount!$F$61:$F$103,$F125)</f>
        <v>1250</v>
      </c>
      <c r="AN125" s="313">
        <f>SUMIFS(Headcount!BQ$61:BQ$103,Headcount!$E$61:$E$103,$E125,Headcount!$F$61:$F$103,$F125)</f>
        <v>1250</v>
      </c>
      <c r="AO125" s="313">
        <f>SUMIFS(Headcount!BR$61:BR$103,Headcount!$E$61:$E$103,$E125,Headcount!$F$61:$F$103,$F125)</f>
        <v>1250</v>
      </c>
      <c r="AP125" s="313">
        <f>SUMIFS(Headcount!BS$61:BS$103,Headcount!$E$61:$E$103,$E125,Headcount!$F$61:$F$103,$F125)</f>
        <v>1250</v>
      </c>
      <c r="AQ125" s="313">
        <f>SUMIFS(Headcount!BT$61:BT$103,Headcount!$E$61:$E$103,$E125,Headcount!$F$61:$F$103,$F125)</f>
        <v>1250</v>
      </c>
      <c r="AR125" s="313">
        <f>SUMIFS(Headcount!BU$61:BU$103,Headcount!$E$61:$E$103,$E125,Headcount!$F$61:$F$103,$F125)</f>
        <v>1250</v>
      </c>
      <c r="AS125" s="313">
        <f>SUMIFS(Headcount!BV$61:BV$103,Headcount!$E$61:$E$103,$E125,Headcount!$F$61:$F$103,$F125)</f>
        <v>1250</v>
      </c>
      <c r="AT125" s="313">
        <f>SUMIFS(Headcount!BW$61:BW$103,Headcount!$E$61:$E$103,$E125,Headcount!$F$61:$F$103,$F125)</f>
        <v>1250</v>
      </c>
      <c r="AU125" s="313">
        <f>SUMIFS(Headcount!BX$61:BX$103,Headcount!$E$61:$E$103,$E125,Headcount!$F$61:$F$103,$F125)</f>
        <v>1250</v>
      </c>
      <c r="AV125" s="313">
        <f>SUMIFS(Headcount!BY$61:BY$103,Headcount!$E$61:$E$103,$E125,Headcount!$F$61:$F$103,$F125)</f>
        <v>1250</v>
      </c>
      <c r="AW125" s="313">
        <f>SUMIFS(Headcount!BZ$61:BZ$103,Headcount!$E$61:$E$103,$E125,Headcount!$F$61:$F$103,$F125)</f>
        <v>1250</v>
      </c>
      <c r="AX125" s="313">
        <f>SUMIFS(Headcount!CA$61:CA$103,Headcount!$E$61:$E$103,$E125,Headcount!$F$61:$F$103,$F125)</f>
        <v>1250</v>
      </c>
      <c r="AY125" s="313">
        <f>SUMIFS(Headcount!CB$61:CB$103,Headcount!$E$61:$E$103,$E125,Headcount!$F$61:$F$103,$F125)</f>
        <v>1250</v>
      </c>
      <c r="AZ125" s="313">
        <f>SUMIFS(Headcount!CC$61:CC$103,Headcount!$E$61:$E$103,$E125,Headcount!$F$61:$F$103,$F125)</f>
        <v>1250</v>
      </c>
      <c r="BA125" s="313">
        <f>SUMIFS(Headcount!CD$61:CD$103,Headcount!$E$61:$E$103,$E125,Headcount!$F$61:$F$103,$F125)</f>
        <v>1250</v>
      </c>
      <c r="BB125" s="313">
        <f>SUMIFS(Headcount!CE$61:CE$103,Headcount!$E$61:$E$103,$E125,Headcount!$F$61:$F$103,$F125)</f>
        <v>1250</v>
      </c>
      <c r="BC125" s="313">
        <f>SUMIFS(Headcount!CF$61:CF$103,Headcount!$E$61:$E$103,$E125,Headcount!$F$61:$F$103,$F125)</f>
        <v>1250</v>
      </c>
      <c r="BD125" s="313">
        <f>SUMIFS(Headcount!CG$61:CG$103,Headcount!$E$61:$E$103,$E125,Headcount!$F$61:$F$103,$F125)</f>
        <v>1250</v>
      </c>
      <c r="BE125" s="313">
        <f>SUMIFS(Headcount!CH$61:CH$103,Headcount!$E$61:$E$103,$E125,Headcount!$F$61:$F$103,$F125)</f>
        <v>1250</v>
      </c>
      <c r="BF125" s="313">
        <f>SUMIFS(Headcount!CI$61:CI$103,Headcount!$E$61:$E$103,$E125,Headcount!$F$61:$F$103,$F125)</f>
        <v>1250</v>
      </c>
      <c r="BG125" s="313">
        <f>SUMIFS(Headcount!CJ$61:CJ$103,Headcount!$E$61:$E$103,$E125,Headcount!$F$61:$F$103,$F125)</f>
        <v>1250</v>
      </c>
      <c r="BH125" s="313">
        <f>SUMIFS(Headcount!CK$61:CK$103,Headcount!$E$61:$E$103,$E125,Headcount!$F$61:$F$103,$F125)</f>
        <v>1250</v>
      </c>
    </row>
    <row r="126" spans="2:60" ht="19.5" customHeight="1" outlineLevel="1">
      <c r="B126" s="284"/>
      <c r="C126" s="315"/>
      <c r="D126" s="383" t="str">
        <f t="shared" si="13"/>
        <v>Sales &amp; Marketing</v>
      </c>
      <c r="E126" s="265" t="str">
        <f t="shared" si="13"/>
        <v>H2</v>
      </c>
      <c r="F126" s="383" t="s">
        <v>198</v>
      </c>
      <c r="G126" s="277"/>
      <c r="H126" s="277"/>
      <c r="I126" s="277"/>
      <c r="J126" s="314"/>
      <c r="L126" s="313"/>
      <c r="M126" s="313">
        <f>SUMIFS(Headcount!AP$61:AP$103,Headcount!$E$61:$E$103,$E126,Headcount!$F$61:$F$103,$F126)</f>
        <v>0</v>
      </c>
      <c r="N126" s="313">
        <f>SUMIFS(Headcount!AQ$61:AQ$103,Headcount!$E$61:$E$103,$E126,Headcount!$F$61:$F$103,$F126)</f>
        <v>0</v>
      </c>
      <c r="O126" s="313">
        <f>SUMIFS(Headcount!AR$61:AR$103,Headcount!$E$61:$E$103,$E126,Headcount!$F$61:$F$103,$F126)</f>
        <v>0</v>
      </c>
      <c r="P126" s="313">
        <f>SUMIFS(Headcount!AS$61:AS$103,Headcount!$E$61:$E$103,$E126,Headcount!$F$61:$F$103,$F126)</f>
        <v>0</v>
      </c>
      <c r="Q126" s="313">
        <f>SUMIFS(Headcount!AT$61:AT$103,Headcount!$E$61:$E$103,$E126,Headcount!$F$61:$F$103,$F126)</f>
        <v>0</v>
      </c>
      <c r="R126" s="313">
        <f>SUMIFS(Headcount!AU$61:AU$103,Headcount!$E$61:$E$103,$E126,Headcount!$F$61:$F$103,$F126)</f>
        <v>0</v>
      </c>
      <c r="S126" s="313">
        <f>SUMIFS(Headcount!AV$61:AV$103,Headcount!$E$61:$E$103,$E126,Headcount!$F$61:$F$103,$F126)</f>
        <v>0</v>
      </c>
      <c r="T126" s="313">
        <f>SUMIFS(Headcount!AW$61:AW$103,Headcount!$E$61:$E$103,$E126,Headcount!$F$61:$F$103,$F126)</f>
        <v>0</v>
      </c>
      <c r="U126" s="313">
        <f>SUMIFS(Headcount!AX$61:AX$103,Headcount!$E$61:$E$103,$E126,Headcount!$F$61:$F$103,$F126)</f>
        <v>0</v>
      </c>
      <c r="V126" s="313">
        <f>SUMIFS(Headcount!AY$61:AY$103,Headcount!$E$61:$E$103,$E126,Headcount!$F$61:$F$103,$F126)</f>
        <v>0</v>
      </c>
      <c r="W126" s="313">
        <f>SUMIFS(Headcount!AZ$61:AZ$103,Headcount!$E$61:$E$103,$E126,Headcount!$F$61:$F$103,$F126)</f>
        <v>0</v>
      </c>
      <c r="X126" s="313">
        <f>SUMIFS(Headcount!BA$61:BA$103,Headcount!$E$61:$E$103,$E126,Headcount!$F$61:$F$103,$F126)</f>
        <v>0</v>
      </c>
      <c r="Y126" s="313">
        <f>SUMIFS(Headcount!BB$61:BB$103,Headcount!$E$61:$E$103,$E126,Headcount!$F$61:$F$103,$F126)</f>
        <v>0</v>
      </c>
      <c r="Z126" s="313">
        <f>SUMIFS(Headcount!BC$61:BC$103,Headcount!$E$61:$E$103,$E126,Headcount!$F$61:$F$103,$F126)</f>
        <v>0</v>
      </c>
      <c r="AA126" s="313">
        <f>SUMIFS(Headcount!BD$61:BD$103,Headcount!$E$61:$E$103,$E126,Headcount!$F$61:$F$103,$F126)</f>
        <v>26.785714285714285</v>
      </c>
      <c r="AB126" s="313">
        <f>SUMIFS(Headcount!BE$61:BE$103,Headcount!$E$61:$E$103,$E126,Headcount!$F$61:$F$103,$F126)</f>
        <v>31.25</v>
      </c>
      <c r="AC126" s="313">
        <f>SUMIFS(Headcount!BF$61:BF$103,Headcount!$E$61:$E$103,$E126,Headcount!$F$61:$F$103,$F126)</f>
        <v>31.25</v>
      </c>
      <c r="AD126" s="313">
        <f>SUMIFS(Headcount!BG$61:BG$103,Headcount!$E$61:$E$103,$E126,Headcount!$F$61:$F$103,$F126)</f>
        <v>31.25</v>
      </c>
      <c r="AE126" s="313">
        <f>SUMIFS(Headcount!BH$61:BH$103,Headcount!$E$61:$E$103,$E126,Headcount!$F$61:$F$103,$F126)</f>
        <v>31.25</v>
      </c>
      <c r="AF126" s="313">
        <f>SUMIFS(Headcount!BI$61:BI$103,Headcount!$E$61:$E$103,$E126,Headcount!$F$61:$F$103,$F126)</f>
        <v>31.25</v>
      </c>
      <c r="AG126" s="313">
        <f>SUMIFS(Headcount!BJ$61:BJ$103,Headcount!$E$61:$E$103,$E126,Headcount!$F$61:$F$103,$F126)</f>
        <v>31.25</v>
      </c>
      <c r="AH126" s="313">
        <f>SUMIFS(Headcount!BK$61:BK$103,Headcount!$E$61:$E$103,$E126,Headcount!$F$61:$F$103,$F126)</f>
        <v>31.25</v>
      </c>
      <c r="AI126" s="313">
        <f>SUMIFS(Headcount!BL$61:BL$103,Headcount!$E$61:$E$103,$E126,Headcount!$F$61:$F$103,$F126)</f>
        <v>31.25</v>
      </c>
      <c r="AJ126" s="313">
        <f>SUMIFS(Headcount!BM$61:BM$103,Headcount!$E$61:$E$103,$E126,Headcount!$F$61:$F$103,$F126)</f>
        <v>31.25</v>
      </c>
      <c r="AK126" s="313">
        <f>SUMIFS(Headcount!BN$61:BN$103,Headcount!$E$61:$E$103,$E126,Headcount!$F$61:$F$103,$F126)</f>
        <v>31.25</v>
      </c>
      <c r="AL126" s="313">
        <f>SUMIFS(Headcount!BO$61:BO$103,Headcount!$E$61:$E$103,$E126,Headcount!$F$61:$F$103,$F126)</f>
        <v>31.25</v>
      </c>
      <c r="AM126" s="313">
        <f>SUMIFS(Headcount!BP$61:BP$103,Headcount!$E$61:$E$103,$E126,Headcount!$F$61:$F$103,$F126)</f>
        <v>31.25</v>
      </c>
      <c r="AN126" s="313">
        <f>SUMIFS(Headcount!BQ$61:BQ$103,Headcount!$E$61:$E$103,$E126,Headcount!$F$61:$F$103,$F126)</f>
        <v>31.25</v>
      </c>
      <c r="AO126" s="313">
        <f>SUMIFS(Headcount!BR$61:BR$103,Headcount!$E$61:$E$103,$E126,Headcount!$F$61:$F$103,$F126)</f>
        <v>31.25</v>
      </c>
      <c r="AP126" s="313">
        <f>SUMIFS(Headcount!BS$61:BS$103,Headcount!$E$61:$E$103,$E126,Headcount!$F$61:$F$103,$F126)</f>
        <v>31.25</v>
      </c>
      <c r="AQ126" s="313">
        <f>SUMIFS(Headcount!BT$61:BT$103,Headcount!$E$61:$E$103,$E126,Headcount!$F$61:$F$103,$F126)</f>
        <v>31.25</v>
      </c>
      <c r="AR126" s="313">
        <f>SUMIFS(Headcount!BU$61:BU$103,Headcount!$E$61:$E$103,$E126,Headcount!$F$61:$F$103,$F126)</f>
        <v>31.25</v>
      </c>
      <c r="AS126" s="313">
        <f>SUMIFS(Headcount!BV$61:BV$103,Headcount!$E$61:$E$103,$E126,Headcount!$F$61:$F$103,$F126)</f>
        <v>31.25</v>
      </c>
      <c r="AT126" s="313">
        <f>SUMIFS(Headcount!BW$61:BW$103,Headcount!$E$61:$E$103,$E126,Headcount!$F$61:$F$103,$F126)</f>
        <v>31.25</v>
      </c>
      <c r="AU126" s="313">
        <f>SUMIFS(Headcount!BX$61:BX$103,Headcount!$E$61:$E$103,$E126,Headcount!$F$61:$F$103,$F126)</f>
        <v>31.25</v>
      </c>
      <c r="AV126" s="313">
        <f>SUMIFS(Headcount!BY$61:BY$103,Headcount!$E$61:$E$103,$E126,Headcount!$F$61:$F$103,$F126)</f>
        <v>31.25</v>
      </c>
      <c r="AW126" s="313">
        <f>SUMIFS(Headcount!BZ$61:BZ$103,Headcount!$E$61:$E$103,$E126,Headcount!$F$61:$F$103,$F126)</f>
        <v>31.25</v>
      </c>
      <c r="AX126" s="313">
        <f>SUMIFS(Headcount!CA$61:CA$103,Headcount!$E$61:$E$103,$E126,Headcount!$F$61:$F$103,$F126)</f>
        <v>31.25</v>
      </c>
      <c r="AY126" s="313">
        <f>SUMIFS(Headcount!CB$61:CB$103,Headcount!$E$61:$E$103,$E126,Headcount!$F$61:$F$103,$F126)</f>
        <v>31.25</v>
      </c>
      <c r="AZ126" s="313">
        <f>SUMIFS(Headcount!CC$61:CC$103,Headcount!$E$61:$E$103,$E126,Headcount!$F$61:$F$103,$F126)</f>
        <v>31.25</v>
      </c>
      <c r="BA126" s="313">
        <f>SUMIFS(Headcount!CD$61:CD$103,Headcount!$E$61:$E$103,$E126,Headcount!$F$61:$F$103,$F126)</f>
        <v>31.25</v>
      </c>
      <c r="BB126" s="313">
        <f>SUMIFS(Headcount!CE$61:CE$103,Headcount!$E$61:$E$103,$E126,Headcount!$F$61:$F$103,$F126)</f>
        <v>31.25</v>
      </c>
      <c r="BC126" s="313">
        <f>SUMIFS(Headcount!CF$61:CF$103,Headcount!$E$61:$E$103,$E126,Headcount!$F$61:$F$103,$F126)</f>
        <v>31.25</v>
      </c>
      <c r="BD126" s="313">
        <f>SUMIFS(Headcount!CG$61:CG$103,Headcount!$E$61:$E$103,$E126,Headcount!$F$61:$F$103,$F126)</f>
        <v>31.25</v>
      </c>
      <c r="BE126" s="313">
        <f>SUMIFS(Headcount!CH$61:CH$103,Headcount!$E$61:$E$103,$E126,Headcount!$F$61:$F$103,$F126)</f>
        <v>31.25</v>
      </c>
      <c r="BF126" s="313">
        <f>SUMIFS(Headcount!CI$61:CI$103,Headcount!$E$61:$E$103,$E126,Headcount!$F$61:$F$103,$F126)</f>
        <v>31.25</v>
      </c>
      <c r="BG126" s="313">
        <f>SUMIFS(Headcount!CJ$61:CJ$103,Headcount!$E$61:$E$103,$E126,Headcount!$F$61:$F$103,$F126)</f>
        <v>31.25</v>
      </c>
      <c r="BH126" s="313">
        <f>SUMIFS(Headcount!CK$61:CK$103,Headcount!$E$61:$E$103,$E126,Headcount!$F$61:$F$103,$F126)</f>
        <v>31.25</v>
      </c>
    </row>
    <row r="127" spans="2:60" ht="19.5" customHeight="1" outlineLevel="1">
      <c r="B127" s="284"/>
      <c r="C127" s="315"/>
      <c r="D127" s="383" t="str">
        <f t="shared" si="13"/>
        <v>Sales &amp; Marketing</v>
      </c>
      <c r="E127" s="265" t="str">
        <f t="shared" si="13"/>
        <v>H2</v>
      </c>
      <c r="F127" s="383" t="s">
        <v>200</v>
      </c>
      <c r="G127" s="277"/>
      <c r="H127" s="277"/>
      <c r="I127" s="277"/>
      <c r="J127" s="314"/>
      <c r="L127" s="313"/>
      <c r="M127" s="313">
        <f>SUMIFS(Headcount!AP$61:AP$103,Headcount!$E$61:$E$103,$E127,Headcount!$F$61:$F$103,$F127)</f>
        <v>0</v>
      </c>
      <c r="N127" s="313">
        <f>SUMIFS(Headcount!AQ$61:AQ$103,Headcount!$E$61:$E$103,$E127,Headcount!$F$61:$F$103,$F127)</f>
        <v>0</v>
      </c>
      <c r="O127" s="313">
        <f>SUMIFS(Headcount!AR$61:AR$103,Headcount!$E$61:$E$103,$E127,Headcount!$F$61:$F$103,$F127)</f>
        <v>0</v>
      </c>
      <c r="P127" s="313">
        <f>SUMIFS(Headcount!AS$61:AS$103,Headcount!$E$61:$E$103,$E127,Headcount!$F$61:$F$103,$F127)</f>
        <v>0</v>
      </c>
      <c r="Q127" s="313">
        <f>SUMIFS(Headcount!AT$61:AT$103,Headcount!$E$61:$E$103,$E127,Headcount!$F$61:$F$103,$F127)</f>
        <v>0</v>
      </c>
      <c r="R127" s="313">
        <f>SUMIFS(Headcount!AU$61:AU$103,Headcount!$E$61:$E$103,$E127,Headcount!$F$61:$F$103,$F127)</f>
        <v>0</v>
      </c>
      <c r="S127" s="313">
        <f>SUMIFS(Headcount!AV$61:AV$103,Headcount!$E$61:$E$103,$E127,Headcount!$F$61:$F$103,$F127)</f>
        <v>0</v>
      </c>
      <c r="T127" s="313">
        <f>SUMIFS(Headcount!AW$61:AW$103,Headcount!$E$61:$E$103,$E127,Headcount!$F$61:$F$103,$F127)</f>
        <v>0</v>
      </c>
      <c r="U127" s="313">
        <f>SUMIFS(Headcount!AX$61:AX$103,Headcount!$E$61:$E$103,$E127,Headcount!$F$61:$F$103,$F127)</f>
        <v>0</v>
      </c>
      <c r="V127" s="313">
        <f>SUMIFS(Headcount!AY$61:AY$103,Headcount!$E$61:$E$103,$E127,Headcount!$F$61:$F$103,$F127)</f>
        <v>0</v>
      </c>
      <c r="W127" s="313">
        <f>SUMIFS(Headcount!AZ$61:AZ$103,Headcount!$E$61:$E$103,$E127,Headcount!$F$61:$F$103,$F127)</f>
        <v>0</v>
      </c>
      <c r="X127" s="313">
        <f>SUMIFS(Headcount!BA$61:BA$103,Headcount!$E$61:$E$103,$E127,Headcount!$F$61:$F$103,$F127)</f>
        <v>0</v>
      </c>
      <c r="Y127" s="313">
        <f>SUMIFS(Headcount!BB$61:BB$103,Headcount!$E$61:$E$103,$E127,Headcount!$F$61:$F$103,$F127)</f>
        <v>0</v>
      </c>
      <c r="Z127" s="313">
        <f>SUMIFS(Headcount!BC$61:BC$103,Headcount!$E$61:$E$103,$E127,Headcount!$F$61:$F$103,$F127)</f>
        <v>0</v>
      </c>
      <c r="AA127" s="313">
        <f>SUMIFS(Headcount!BD$61:BD$103,Headcount!$E$61:$E$103,$E127,Headcount!$F$61:$F$103,$F127)</f>
        <v>0</v>
      </c>
      <c r="AB127" s="313">
        <f>SUMIFS(Headcount!BE$61:BE$103,Headcount!$E$61:$E$103,$E127,Headcount!$F$61:$F$103,$F127)</f>
        <v>0</v>
      </c>
      <c r="AC127" s="313">
        <f>SUMIFS(Headcount!BF$61:BF$103,Headcount!$E$61:$E$103,$E127,Headcount!$F$61:$F$103,$F127)</f>
        <v>0</v>
      </c>
      <c r="AD127" s="313">
        <f>SUMIFS(Headcount!BG$61:BG$103,Headcount!$E$61:$E$103,$E127,Headcount!$F$61:$F$103,$F127)</f>
        <v>0</v>
      </c>
      <c r="AE127" s="313">
        <f>SUMIFS(Headcount!BH$61:BH$103,Headcount!$E$61:$E$103,$E127,Headcount!$F$61:$F$103,$F127)</f>
        <v>0</v>
      </c>
      <c r="AF127" s="313">
        <f>SUMIFS(Headcount!BI$61:BI$103,Headcount!$E$61:$E$103,$E127,Headcount!$F$61:$F$103,$F127)</f>
        <v>0</v>
      </c>
      <c r="AG127" s="313">
        <f>SUMIFS(Headcount!BJ$61:BJ$103,Headcount!$E$61:$E$103,$E127,Headcount!$F$61:$F$103,$F127)</f>
        <v>0</v>
      </c>
      <c r="AH127" s="313">
        <f>SUMIFS(Headcount!BK$61:BK$103,Headcount!$E$61:$E$103,$E127,Headcount!$F$61:$F$103,$F127)</f>
        <v>0</v>
      </c>
      <c r="AI127" s="313">
        <f>SUMIFS(Headcount!BL$61:BL$103,Headcount!$E$61:$E$103,$E127,Headcount!$F$61:$F$103,$F127)</f>
        <v>0</v>
      </c>
      <c r="AJ127" s="313">
        <f>SUMIFS(Headcount!BM$61:BM$103,Headcount!$E$61:$E$103,$E127,Headcount!$F$61:$F$103,$F127)</f>
        <v>5000</v>
      </c>
      <c r="AK127" s="313">
        <f>SUMIFS(Headcount!BN$61:BN$103,Headcount!$E$61:$E$103,$E127,Headcount!$F$61:$F$103,$F127)</f>
        <v>0</v>
      </c>
      <c r="AL127" s="313">
        <f>SUMIFS(Headcount!BO$61:BO$103,Headcount!$E$61:$E$103,$E127,Headcount!$F$61:$F$103,$F127)</f>
        <v>0</v>
      </c>
      <c r="AM127" s="313">
        <f>SUMIFS(Headcount!BP$61:BP$103,Headcount!$E$61:$E$103,$E127,Headcount!$F$61:$F$103,$F127)</f>
        <v>0</v>
      </c>
      <c r="AN127" s="313">
        <f>SUMIFS(Headcount!BQ$61:BQ$103,Headcount!$E$61:$E$103,$E127,Headcount!$F$61:$F$103,$F127)</f>
        <v>0</v>
      </c>
      <c r="AO127" s="313">
        <f>SUMIFS(Headcount!BR$61:BR$103,Headcount!$E$61:$E$103,$E127,Headcount!$F$61:$F$103,$F127)</f>
        <v>0</v>
      </c>
      <c r="AP127" s="313">
        <f>SUMIFS(Headcount!BS$61:BS$103,Headcount!$E$61:$E$103,$E127,Headcount!$F$61:$F$103,$F127)</f>
        <v>0</v>
      </c>
      <c r="AQ127" s="313">
        <f>SUMIFS(Headcount!BT$61:BT$103,Headcount!$E$61:$E$103,$E127,Headcount!$F$61:$F$103,$F127)</f>
        <v>0</v>
      </c>
      <c r="AR127" s="313">
        <f>SUMIFS(Headcount!BU$61:BU$103,Headcount!$E$61:$E$103,$E127,Headcount!$F$61:$F$103,$F127)</f>
        <v>0</v>
      </c>
      <c r="AS127" s="313">
        <f>SUMIFS(Headcount!BV$61:BV$103,Headcount!$E$61:$E$103,$E127,Headcount!$F$61:$F$103,$F127)</f>
        <v>0</v>
      </c>
      <c r="AT127" s="313">
        <f>SUMIFS(Headcount!BW$61:BW$103,Headcount!$E$61:$E$103,$E127,Headcount!$F$61:$F$103,$F127)</f>
        <v>0</v>
      </c>
      <c r="AU127" s="313">
        <f>SUMIFS(Headcount!BX$61:BX$103,Headcount!$E$61:$E$103,$E127,Headcount!$F$61:$F$103,$F127)</f>
        <v>0</v>
      </c>
      <c r="AV127" s="313">
        <f>SUMIFS(Headcount!BY$61:BY$103,Headcount!$E$61:$E$103,$E127,Headcount!$F$61:$F$103,$F127)</f>
        <v>10000</v>
      </c>
      <c r="AW127" s="313">
        <f>SUMIFS(Headcount!BZ$61:BZ$103,Headcount!$E$61:$E$103,$E127,Headcount!$F$61:$F$103,$F127)</f>
        <v>0</v>
      </c>
      <c r="AX127" s="313">
        <f>SUMIFS(Headcount!CA$61:CA$103,Headcount!$E$61:$E$103,$E127,Headcount!$F$61:$F$103,$F127)</f>
        <v>0</v>
      </c>
      <c r="AY127" s="313">
        <f>SUMIFS(Headcount!CB$61:CB$103,Headcount!$E$61:$E$103,$E127,Headcount!$F$61:$F$103,$F127)</f>
        <v>0</v>
      </c>
      <c r="AZ127" s="313">
        <f>SUMIFS(Headcount!CC$61:CC$103,Headcount!$E$61:$E$103,$E127,Headcount!$F$61:$F$103,$F127)</f>
        <v>0</v>
      </c>
      <c r="BA127" s="313">
        <f>SUMIFS(Headcount!CD$61:CD$103,Headcount!$E$61:$E$103,$E127,Headcount!$F$61:$F$103,$F127)</f>
        <v>0</v>
      </c>
      <c r="BB127" s="313">
        <f>SUMIFS(Headcount!CE$61:CE$103,Headcount!$E$61:$E$103,$E127,Headcount!$F$61:$F$103,$F127)</f>
        <v>0</v>
      </c>
      <c r="BC127" s="313">
        <f>SUMIFS(Headcount!CF$61:CF$103,Headcount!$E$61:$E$103,$E127,Headcount!$F$61:$F$103,$F127)</f>
        <v>0</v>
      </c>
      <c r="BD127" s="313">
        <f>SUMIFS(Headcount!CG$61:CG$103,Headcount!$E$61:$E$103,$E127,Headcount!$F$61:$F$103,$F127)</f>
        <v>0</v>
      </c>
      <c r="BE127" s="313">
        <f>SUMIFS(Headcount!CH$61:CH$103,Headcount!$E$61:$E$103,$E127,Headcount!$F$61:$F$103,$F127)</f>
        <v>0</v>
      </c>
      <c r="BF127" s="313">
        <f>SUMIFS(Headcount!CI$61:CI$103,Headcount!$E$61:$E$103,$E127,Headcount!$F$61:$F$103,$F127)</f>
        <v>0</v>
      </c>
      <c r="BG127" s="313">
        <f>SUMIFS(Headcount!CJ$61:CJ$103,Headcount!$E$61:$E$103,$E127,Headcount!$F$61:$F$103,$F127)</f>
        <v>0</v>
      </c>
      <c r="BH127" s="313">
        <f>SUMIFS(Headcount!CK$61:CK$103,Headcount!$E$61:$E$103,$E127,Headcount!$F$61:$F$103,$F127)</f>
        <v>10000</v>
      </c>
    </row>
    <row r="128" spans="2:60" ht="19.5" customHeight="1" outlineLevel="1">
      <c r="B128" s="284"/>
      <c r="C128" s="315"/>
      <c r="D128" s="383" t="s">
        <v>182</v>
      </c>
      <c r="E128" s="675" t="s">
        <v>183</v>
      </c>
      <c r="F128" s="383" t="s">
        <v>190</v>
      </c>
      <c r="G128" s="277"/>
      <c r="H128" s="277"/>
      <c r="I128" s="277"/>
      <c r="J128" s="314"/>
      <c r="L128" s="313"/>
      <c r="M128" s="313">
        <f>SUMIFS(Headcount!AP$61:AP$103,Headcount!$E$61:$E$103,$E128,Headcount!$F$61:$F$103,$F128)</f>
        <v>0</v>
      </c>
      <c r="N128" s="313">
        <f>SUMIFS(Headcount!AQ$61:AQ$103,Headcount!$E$61:$E$103,$E128,Headcount!$F$61:$F$103,$F128)</f>
        <v>0</v>
      </c>
      <c r="O128" s="313">
        <f>SUMIFS(Headcount!AR$61:AR$103,Headcount!$E$61:$E$103,$E128,Headcount!$F$61:$F$103,$F128)</f>
        <v>0</v>
      </c>
      <c r="P128" s="313">
        <f>SUMIFS(Headcount!AS$61:AS$103,Headcount!$E$61:$E$103,$E128,Headcount!$F$61:$F$103,$F128)</f>
        <v>0</v>
      </c>
      <c r="Q128" s="313">
        <f>SUMIFS(Headcount!AT$61:AT$103,Headcount!$E$61:$E$103,$E128,Headcount!$F$61:$F$103,$F128)</f>
        <v>0</v>
      </c>
      <c r="R128" s="313">
        <f>SUMIFS(Headcount!AU$61:AU$103,Headcount!$E$61:$E$103,$E128,Headcount!$F$61:$F$103,$F128)</f>
        <v>0</v>
      </c>
      <c r="S128" s="313">
        <f>SUMIFS(Headcount!AV$61:AV$103,Headcount!$E$61:$E$103,$E128,Headcount!$F$61:$F$103,$F128)</f>
        <v>0</v>
      </c>
      <c r="T128" s="313">
        <f>SUMIFS(Headcount!AW$61:AW$103,Headcount!$E$61:$E$103,$E128,Headcount!$F$61:$F$103,$F128)</f>
        <v>0</v>
      </c>
      <c r="U128" s="313">
        <f>SUMIFS(Headcount!AX$61:AX$103,Headcount!$E$61:$E$103,$E128,Headcount!$F$61:$F$103,$F128)</f>
        <v>0</v>
      </c>
      <c r="V128" s="313">
        <f>SUMIFS(Headcount!AY$61:AY$103,Headcount!$E$61:$E$103,$E128,Headcount!$F$61:$F$103,$F128)</f>
        <v>0</v>
      </c>
      <c r="W128" s="313">
        <f>SUMIFS(Headcount!AZ$61:AZ$103,Headcount!$E$61:$E$103,$E128,Headcount!$F$61:$F$103,$F128)</f>
        <v>0</v>
      </c>
      <c r="X128" s="313">
        <f>SUMIFS(Headcount!BA$61:BA$103,Headcount!$E$61:$E$103,$E128,Headcount!$F$61:$F$103,$F128)</f>
        <v>0</v>
      </c>
      <c r="Y128" s="313">
        <f>SUMIFS(Headcount!BB$61:BB$103,Headcount!$E$61:$E$103,$E128,Headcount!$F$61:$F$103,$F128)</f>
        <v>0</v>
      </c>
      <c r="Z128" s="313">
        <f>SUMIFS(Headcount!BC$61:BC$103,Headcount!$E$61:$E$103,$E128,Headcount!$F$61:$F$103,$F128)</f>
        <v>0</v>
      </c>
      <c r="AA128" s="313">
        <f>SUMIFS(Headcount!BD$61:BD$103,Headcount!$E$61:$E$103,$E128,Headcount!$F$61:$F$103,$F128)</f>
        <v>0</v>
      </c>
      <c r="AB128" s="313">
        <f>SUMIFS(Headcount!BE$61:BE$103,Headcount!$E$61:$E$103,$E128,Headcount!$F$61:$F$103,$F128)</f>
        <v>0</v>
      </c>
      <c r="AC128" s="313">
        <f>SUMIFS(Headcount!BF$61:BF$103,Headcount!$E$61:$E$103,$E128,Headcount!$F$61:$F$103,$F128)</f>
        <v>0</v>
      </c>
      <c r="AD128" s="313">
        <f>SUMIFS(Headcount!BG$61:BG$103,Headcount!$E$61:$E$103,$E128,Headcount!$F$61:$F$103,$F128)</f>
        <v>0</v>
      </c>
      <c r="AE128" s="313">
        <f>SUMIFS(Headcount!BH$61:BH$103,Headcount!$E$61:$E$103,$E128,Headcount!$F$61:$F$103,$F128)</f>
        <v>0</v>
      </c>
      <c r="AF128" s="313">
        <f>SUMIFS(Headcount!BI$61:BI$103,Headcount!$E$61:$E$103,$E128,Headcount!$F$61:$F$103,$F128)</f>
        <v>0</v>
      </c>
      <c r="AG128" s="313">
        <f>SUMIFS(Headcount!BJ$61:BJ$103,Headcount!$E$61:$E$103,$E128,Headcount!$F$61:$F$103,$F128)</f>
        <v>0</v>
      </c>
      <c r="AH128" s="313">
        <f>SUMIFS(Headcount!BK$61:BK$103,Headcount!$E$61:$E$103,$E128,Headcount!$F$61:$F$103,$F128)</f>
        <v>0</v>
      </c>
      <c r="AI128" s="313">
        <f>SUMIFS(Headcount!BL$61:BL$103,Headcount!$E$61:$E$103,$E128,Headcount!$F$61:$F$103,$F128)</f>
        <v>0</v>
      </c>
      <c r="AJ128" s="313">
        <f>SUMIFS(Headcount!BM$61:BM$103,Headcount!$E$61:$E$103,$E128,Headcount!$F$61:$F$103,$F128)</f>
        <v>0</v>
      </c>
      <c r="AK128" s="313">
        <f>SUMIFS(Headcount!BN$61:BN$103,Headcount!$E$61:$E$103,$E128,Headcount!$F$61:$F$103,$F128)</f>
        <v>0</v>
      </c>
      <c r="AL128" s="313">
        <f>SUMIFS(Headcount!BO$61:BO$103,Headcount!$E$61:$E$103,$E128,Headcount!$F$61:$F$103,$F128)</f>
        <v>0</v>
      </c>
      <c r="AM128" s="313">
        <f>SUMIFS(Headcount!BP$61:BP$103,Headcount!$E$61:$E$103,$E128,Headcount!$F$61:$F$103,$F128)</f>
        <v>0</v>
      </c>
      <c r="AN128" s="313">
        <f>SUMIFS(Headcount!BQ$61:BQ$103,Headcount!$E$61:$E$103,$E128,Headcount!$F$61:$F$103,$F128)</f>
        <v>0</v>
      </c>
      <c r="AO128" s="313">
        <f>SUMIFS(Headcount!BR$61:BR$103,Headcount!$E$61:$E$103,$E128,Headcount!$F$61:$F$103,$F128)</f>
        <v>2083.3333333333335</v>
      </c>
      <c r="AP128" s="313">
        <f>SUMIFS(Headcount!BS$61:BS$103,Headcount!$E$61:$E$103,$E128,Headcount!$F$61:$F$103,$F128)</f>
        <v>9166.6666666666661</v>
      </c>
      <c r="AQ128" s="313">
        <f>SUMIFS(Headcount!BT$61:BT$103,Headcount!$E$61:$E$103,$E128,Headcount!$F$61:$F$103,$F128)</f>
        <v>9166.6666666666661</v>
      </c>
      <c r="AR128" s="313">
        <f>SUMIFS(Headcount!BU$61:BU$103,Headcount!$E$61:$E$103,$E128,Headcount!$F$61:$F$103,$F128)</f>
        <v>9166.6666666666661</v>
      </c>
      <c r="AS128" s="313">
        <f>SUMIFS(Headcount!BV$61:BV$103,Headcount!$E$61:$E$103,$E128,Headcount!$F$61:$F$103,$F128)</f>
        <v>9166.6666666666661</v>
      </c>
      <c r="AT128" s="313">
        <f>SUMIFS(Headcount!BW$61:BW$103,Headcount!$E$61:$E$103,$E128,Headcount!$F$61:$F$103,$F128)</f>
        <v>9166.6666666666661</v>
      </c>
      <c r="AU128" s="313">
        <f>SUMIFS(Headcount!BX$61:BX$103,Headcount!$E$61:$E$103,$E128,Headcount!$F$61:$F$103,$F128)</f>
        <v>9166.6666666666661</v>
      </c>
      <c r="AV128" s="313">
        <f>SUMIFS(Headcount!BY$61:BY$103,Headcount!$E$61:$E$103,$E128,Headcount!$F$61:$F$103,$F128)</f>
        <v>9166.6666666666661</v>
      </c>
      <c r="AW128" s="313">
        <f>SUMIFS(Headcount!BZ$61:BZ$103,Headcount!$E$61:$E$103,$E128,Headcount!$F$61:$F$103,$F128)</f>
        <v>9166.6666666666661</v>
      </c>
      <c r="AX128" s="313">
        <f>SUMIFS(Headcount!CA$61:CA$103,Headcount!$E$61:$E$103,$E128,Headcount!$F$61:$F$103,$F128)</f>
        <v>9166.6666666666661</v>
      </c>
      <c r="AY128" s="313">
        <f>SUMIFS(Headcount!CB$61:CB$103,Headcount!$E$61:$E$103,$E128,Headcount!$F$61:$F$103,$F128)</f>
        <v>9166.6666666666661</v>
      </c>
      <c r="AZ128" s="313">
        <f>SUMIFS(Headcount!CC$61:CC$103,Headcount!$E$61:$E$103,$E128,Headcount!$F$61:$F$103,$F128)</f>
        <v>9166.6666666666661</v>
      </c>
      <c r="BA128" s="313">
        <f>SUMIFS(Headcount!CD$61:CD$103,Headcount!$E$61:$E$103,$E128,Headcount!$F$61:$F$103,$F128)</f>
        <v>9166.6666666666661</v>
      </c>
      <c r="BB128" s="313">
        <f>SUMIFS(Headcount!CE$61:CE$103,Headcount!$E$61:$E$103,$E128,Headcount!$F$61:$F$103,$F128)</f>
        <v>12803.030303030302</v>
      </c>
      <c r="BC128" s="313">
        <f>SUMIFS(Headcount!CF$61:CF$103,Headcount!$E$61:$E$103,$E128,Headcount!$F$61:$F$103,$F128)</f>
        <v>15833.333333333332</v>
      </c>
      <c r="BD128" s="313">
        <f>SUMIFS(Headcount!CG$61:CG$103,Headcount!$E$61:$E$103,$E128,Headcount!$F$61:$F$103,$F128)</f>
        <v>15833.333333333332</v>
      </c>
      <c r="BE128" s="313">
        <f>SUMIFS(Headcount!CH$61:CH$103,Headcount!$E$61:$E$103,$E128,Headcount!$F$61:$F$103,$F128)</f>
        <v>15833.333333333332</v>
      </c>
      <c r="BF128" s="313">
        <f>SUMIFS(Headcount!CI$61:CI$103,Headcount!$E$61:$E$103,$E128,Headcount!$F$61:$F$103,$F128)</f>
        <v>15833.333333333332</v>
      </c>
      <c r="BG128" s="313">
        <f>SUMIFS(Headcount!CJ$61:CJ$103,Headcount!$E$61:$E$103,$E128,Headcount!$F$61:$F$103,$F128)</f>
        <v>15833.333333333332</v>
      </c>
      <c r="BH128" s="313">
        <f>SUMIFS(Headcount!CK$61:CK$103,Headcount!$E$61:$E$103,$E128,Headcount!$F$61:$F$103,$F128)</f>
        <v>15833.333333333332</v>
      </c>
    </row>
    <row r="129" spans="2:60" ht="19.5" customHeight="1" outlineLevel="1">
      <c r="B129" s="284"/>
      <c r="C129" s="315"/>
      <c r="D129" s="383" t="str">
        <f>D128</f>
        <v>Engineering</v>
      </c>
      <c r="E129" s="265" t="str">
        <f>E128</f>
        <v>H3</v>
      </c>
      <c r="F129" s="383" t="s">
        <v>192</v>
      </c>
      <c r="G129" s="277"/>
      <c r="H129" s="277"/>
      <c r="I129" s="277"/>
      <c r="J129" s="314"/>
      <c r="L129" s="313"/>
      <c r="M129" s="313">
        <f>SUMIFS(Headcount!AP$61:AP$103,Headcount!$E$61:$E$103,$E129,Headcount!$F$61:$F$103,$F129)</f>
        <v>0</v>
      </c>
      <c r="N129" s="313">
        <f>SUMIFS(Headcount!AQ$61:AQ$103,Headcount!$E$61:$E$103,$E129,Headcount!$F$61:$F$103,$F129)</f>
        <v>0</v>
      </c>
      <c r="O129" s="313">
        <f>SUMIFS(Headcount!AR$61:AR$103,Headcount!$E$61:$E$103,$E129,Headcount!$F$61:$F$103,$F129)</f>
        <v>0</v>
      </c>
      <c r="P129" s="313">
        <f>SUMIFS(Headcount!AS$61:AS$103,Headcount!$E$61:$E$103,$E129,Headcount!$F$61:$F$103,$F129)</f>
        <v>0</v>
      </c>
      <c r="Q129" s="313">
        <f>SUMIFS(Headcount!AT$61:AT$103,Headcount!$E$61:$E$103,$E129,Headcount!$F$61:$F$103,$F129)</f>
        <v>0</v>
      </c>
      <c r="R129" s="313">
        <f>SUMIFS(Headcount!AU$61:AU$103,Headcount!$E$61:$E$103,$E129,Headcount!$F$61:$F$103,$F129)</f>
        <v>0</v>
      </c>
      <c r="S129" s="313">
        <f>SUMIFS(Headcount!AV$61:AV$103,Headcount!$E$61:$E$103,$E129,Headcount!$F$61:$F$103,$F129)</f>
        <v>0</v>
      </c>
      <c r="T129" s="313">
        <f>SUMIFS(Headcount!AW$61:AW$103,Headcount!$E$61:$E$103,$E129,Headcount!$F$61:$F$103,$F129)</f>
        <v>0</v>
      </c>
      <c r="U129" s="313">
        <f>SUMIFS(Headcount!AX$61:AX$103,Headcount!$E$61:$E$103,$E129,Headcount!$F$61:$F$103,$F129)</f>
        <v>0</v>
      </c>
      <c r="V129" s="313">
        <f>SUMIFS(Headcount!AY$61:AY$103,Headcount!$E$61:$E$103,$E129,Headcount!$F$61:$F$103,$F129)</f>
        <v>0</v>
      </c>
      <c r="W129" s="313">
        <f>SUMIFS(Headcount!AZ$61:AZ$103,Headcount!$E$61:$E$103,$E129,Headcount!$F$61:$F$103,$F129)</f>
        <v>0</v>
      </c>
      <c r="X129" s="313">
        <f>SUMIFS(Headcount!BA$61:BA$103,Headcount!$E$61:$E$103,$E129,Headcount!$F$61:$F$103,$F129)</f>
        <v>0</v>
      </c>
      <c r="Y129" s="313">
        <f>SUMIFS(Headcount!BB$61:BB$103,Headcount!$E$61:$E$103,$E129,Headcount!$F$61:$F$103,$F129)</f>
        <v>0</v>
      </c>
      <c r="Z129" s="313">
        <f>SUMIFS(Headcount!BC$61:BC$103,Headcount!$E$61:$E$103,$E129,Headcount!$F$61:$F$103,$F129)</f>
        <v>0</v>
      </c>
      <c r="AA129" s="313">
        <f>SUMIFS(Headcount!BD$61:BD$103,Headcount!$E$61:$E$103,$E129,Headcount!$F$61:$F$103,$F129)</f>
        <v>0</v>
      </c>
      <c r="AB129" s="313">
        <f>SUMIFS(Headcount!BE$61:BE$103,Headcount!$E$61:$E$103,$E129,Headcount!$F$61:$F$103,$F129)</f>
        <v>0</v>
      </c>
      <c r="AC129" s="313">
        <f>SUMIFS(Headcount!BF$61:BF$103,Headcount!$E$61:$E$103,$E129,Headcount!$F$61:$F$103,$F129)</f>
        <v>0</v>
      </c>
      <c r="AD129" s="313">
        <f>SUMIFS(Headcount!BG$61:BG$103,Headcount!$E$61:$E$103,$E129,Headcount!$F$61:$F$103,$F129)</f>
        <v>0</v>
      </c>
      <c r="AE129" s="313">
        <f>SUMIFS(Headcount!BH$61:BH$103,Headcount!$E$61:$E$103,$E129,Headcount!$F$61:$F$103,$F129)</f>
        <v>0</v>
      </c>
      <c r="AF129" s="313">
        <f>SUMIFS(Headcount!BI$61:BI$103,Headcount!$E$61:$E$103,$E129,Headcount!$F$61:$F$103,$F129)</f>
        <v>0</v>
      </c>
      <c r="AG129" s="313">
        <f>SUMIFS(Headcount!BJ$61:BJ$103,Headcount!$E$61:$E$103,$E129,Headcount!$F$61:$F$103,$F129)</f>
        <v>0</v>
      </c>
      <c r="AH129" s="313">
        <f>SUMIFS(Headcount!BK$61:BK$103,Headcount!$E$61:$E$103,$E129,Headcount!$F$61:$F$103,$F129)</f>
        <v>0</v>
      </c>
      <c r="AI129" s="313">
        <f>SUMIFS(Headcount!BL$61:BL$103,Headcount!$E$61:$E$103,$E129,Headcount!$F$61:$F$103,$F129)</f>
        <v>0</v>
      </c>
      <c r="AJ129" s="313">
        <f>SUMIFS(Headcount!BM$61:BM$103,Headcount!$E$61:$E$103,$E129,Headcount!$F$61:$F$103,$F129)</f>
        <v>0</v>
      </c>
      <c r="AK129" s="313">
        <f>SUMIFS(Headcount!BN$61:BN$103,Headcount!$E$61:$E$103,$E129,Headcount!$F$61:$F$103,$F129)</f>
        <v>0</v>
      </c>
      <c r="AL129" s="313">
        <f>SUMIFS(Headcount!BO$61:BO$103,Headcount!$E$61:$E$103,$E129,Headcount!$F$61:$F$103,$F129)</f>
        <v>0</v>
      </c>
      <c r="AM129" s="313">
        <f>SUMIFS(Headcount!BP$61:BP$103,Headcount!$E$61:$E$103,$E129,Headcount!$F$61:$F$103,$F129)</f>
        <v>0</v>
      </c>
      <c r="AN129" s="313">
        <f>SUMIFS(Headcount!BQ$61:BQ$103,Headcount!$E$61:$E$103,$E129,Headcount!$F$61:$F$103,$F129)</f>
        <v>0</v>
      </c>
      <c r="AO129" s="313">
        <f>SUMIFS(Headcount!BR$61:BR$103,Headcount!$E$61:$E$103,$E129,Headcount!$F$61:$F$103,$F129)</f>
        <v>0</v>
      </c>
      <c r="AP129" s="313">
        <f>SUMIFS(Headcount!BS$61:BS$103,Headcount!$E$61:$E$103,$E129,Headcount!$F$61:$F$103,$F129)</f>
        <v>0</v>
      </c>
      <c r="AQ129" s="313">
        <f>SUMIFS(Headcount!BT$61:BT$103,Headcount!$E$61:$E$103,$E129,Headcount!$F$61:$F$103,$F129)</f>
        <v>0</v>
      </c>
      <c r="AR129" s="313">
        <f>SUMIFS(Headcount!BU$61:BU$103,Headcount!$E$61:$E$103,$E129,Headcount!$F$61:$F$103,$F129)</f>
        <v>0</v>
      </c>
      <c r="AS129" s="313">
        <f>SUMIFS(Headcount!BV$61:BV$103,Headcount!$E$61:$E$103,$E129,Headcount!$F$61:$F$103,$F129)</f>
        <v>0</v>
      </c>
      <c r="AT129" s="313">
        <f>SUMIFS(Headcount!BW$61:BW$103,Headcount!$E$61:$E$103,$E129,Headcount!$F$61:$F$103,$F129)</f>
        <v>0</v>
      </c>
      <c r="AU129" s="313">
        <f>SUMIFS(Headcount!BX$61:BX$103,Headcount!$E$61:$E$103,$E129,Headcount!$F$61:$F$103,$F129)</f>
        <v>0</v>
      </c>
      <c r="AV129" s="313">
        <f>SUMIFS(Headcount!BY$61:BY$103,Headcount!$E$61:$E$103,$E129,Headcount!$F$61:$F$103,$F129)</f>
        <v>0</v>
      </c>
      <c r="AW129" s="313">
        <f>SUMIFS(Headcount!BZ$61:BZ$103,Headcount!$E$61:$E$103,$E129,Headcount!$F$61:$F$103,$F129)</f>
        <v>0</v>
      </c>
      <c r="AX129" s="313">
        <f>SUMIFS(Headcount!CA$61:CA$103,Headcount!$E$61:$E$103,$E129,Headcount!$F$61:$F$103,$F129)</f>
        <v>0</v>
      </c>
      <c r="AY129" s="313">
        <f>SUMIFS(Headcount!CB$61:CB$103,Headcount!$E$61:$E$103,$E129,Headcount!$F$61:$F$103,$F129)</f>
        <v>0</v>
      </c>
      <c r="AZ129" s="313">
        <f>SUMIFS(Headcount!CC$61:CC$103,Headcount!$E$61:$E$103,$E129,Headcount!$F$61:$F$103,$F129)</f>
        <v>0</v>
      </c>
      <c r="BA129" s="313">
        <f>SUMIFS(Headcount!CD$61:CD$103,Headcount!$E$61:$E$103,$E129,Headcount!$F$61:$F$103,$F129)</f>
        <v>0</v>
      </c>
      <c r="BB129" s="313">
        <f>SUMIFS(Headcount!CE$61:CE$103,Headcount!$E$61:$E$103,$E129,Headcount!$F$61:$F$103,$F129)</f>
        <v>0</v>
      </c>
      <c r="BC129" s="313">
        <f>SUMIFS(Headcount!CF$61:CF$103,Headcount!$E$61:$E$103,$E129,Headcount!$F$61:$F$103,$F129)</f>
        <v>0</v>
      </c>
      <c r="BD129" s="313">
        <f>SUMIFS(Headcount!CG$61:CG$103,Headcount!$E$61:$E$103,$E129,Headcount!$F$61:$F$103,$F129)</f>
        <v>0</v>
      </c>
      <c r="BE129" s="313">
        <f>SUMIFS(Headcount!CH$61:CH$103,Headcount!$E$61:$E$103,$E129,Headcount!$F$61:$F$103,$F129)</f>
        <v>0</v>
      </c>
      <c r="BF129" s="313">
        <f>SUMIFS(Headcount!CI$61:CI$103,Headcount!$E$61:$E$103,$E129,Headcount!$F$61:$F$103,$F129)</f>
        <v>0</v>
      </c>
      <c r="BG129" s="313">
        <f>SUMIFS(Headcount!CJ$61:CJ$103,Headcount!$E$61:$E$103,$E129,Headcount!$F$61:$F$103,$F129)</f>
        <v>0</v>
      </c>
      <c r="BH129" s="313">
        <f>SUMIFS(Headcount!CK$61:CK$103,Headcount!$E$61:$E$103,$E129,Headcount!$F$61:$F$103,$F129)</f>
        <v>0</v>
      </c>
    </row>
    <row r="130" spans="2:60" ht="19.5" customHeight="1" outlineLevel="1">
      <c r="B130" s="284"/>
      <c r="C130" s="315"/>
      <c r="D130" s="383" t="str">
        <f t="shared" ref="D130:E133" si="14">D129</f>
        <v>Engineering</v>
      </c>
      <c r="E130" s="265" t="str">
        <f t="shared" si="14"/>
        <v>H3</v>
      </c>
      <c r="F130" s="383" t="s">
        <v>194</v>
      </c>
      <c r="G130" s="277"/>
      <c r="H130" s="277"/>
      <c r="I130" s="277"/>
      <c r="J130" s="314"/>
      <c r="L130" s="313"/>
      <c r="M130" s="313">
        <f>SUMIFS(Headcount!AP$61:AP$103,Headcount!$E$61:$E$103,$E130,Headcount!$F$61:$F$103,$F130)</f>
        <v>0</v>
      </c>
      <c r="N130" s="313">
        <f>SUMIFS(Headcount!AQ$61:AQ$103,Headcount!$E$61:$E$103,$E130,Headcount!$F$61:$F$103,$F130)</f>
        <v>0</v>
      </c>
      <c r="O130" s="313">
        <f>SUMIFS(Headcount!AR$61:AR$103,Headcount!$E$61:$E$103,$E130,Headcount!$F$61:$F$103,$F130)</f>
        <v>0</v>
      </c>
      <c r="P130" s="313">
        <f>SUMIFS(Headcount!AS$61:AS$103,Headcount!$E$61:$E$103,$E130,Headcount!$F$61:$F$103,$F130)</f>
        <v>0</v>
      </c>
      <c r="Q130" s="313">
        <f>SUMIFS(Headcount!AT$61:AT$103,Headcount!$E$61:$E$103,$E130,Headcount!$F$61:$F$103,$F130)</f>
        <v>0</v>
      </c>
      <c r="R130" s="313">
        <f>SUMIFS(Headcount!AU$61:AU$103,Headcount!$E$61:$E$103,$E130,Headcount!$F$61:$F$103,$F130)</f>
        <v>0</v>
      </c>
      <c r="S130" s="313">
        <f>SUMIFS(Headcount!AV$61:AV$103,Headcount!$E$61:$E$103,$E130,Headcount!$F$61:$F$103,$F130)</f>
        <v>0</v>
      </c>
      <c r="T130" s="313">
        <f>SUMIFS(Headcount!AW$61:AW$103,Headcount!$E$61:$E$103,$E130,Headcount!$F$61:$F$103,$F130)</f>
        <v>0</v>
      </c>
      <c r="U130" s="313">
        <f>SUMIFS(Headcount!AX$61:AX$103,Headcount!$E$61:$E$103,$E130,Headcount!$F$61:$F$103,$F130)</f>
        <v>0</v>
      </c>
      <c r="V130" s="313">
        <f>SUMIFS(Headcount!AY$61:AY$103,Headcount!$E$61:$E$103,$E130,Headcount!$F$61:$F$103,$F130)</f>
        <v>0</v>
      </c>
      <c r="W130" s="313">
        <f>SUMIFS(Headcount!AZ$61:AZ$103,Headcount!$E$61:$E$103,$E130,Headcount!$F$61:$F$103,$F130)</f>
        <v>0</v>
      </c>
      <c r="X130" s="313">
        <f>SUMIFS(Headcount!BA$61:BA$103,Headcount!$E$61:$E$103,$E130,Headcount!$F$61:$F$103,$F130)</f>
        <v>0</v>
      </c>
      <c r="Y130" s="313">
        <f>SUMIFS(Headcount!BB$61:BB$103,Headcount!$E$61:$E$103,$E130,Headcount!$F$61:$F$103,$F130)</f>
        <v>0</v>
      </c>
      <c r="Z130" s="313">
        <f>SUMIFS(Headcount!BC$61:BC$103,Headcount!$E$61:$E$103,$E130,Headcount!$F$61:$F$103,$F130)</f>
        <v>0</v>
      </c>
      <c r="AA130" s="313">
        <f>SUMIFS(Headcount!BD$61:BD$103,Headcount!$E$61:$E$103,$E130,Headcount!$F$61:$F$103,$F130)</f>
        <v>0</v>
      </c>
      <c r="AB130" s="313">
        <f>SUMIFS(Headcount!BE$61:BE$103,Headcount!$E$61:$E$103,$E130,Headcount!$F$61:$F$103,$F130)</f>
        <v>0</v>
      </c>
      <c r="AC130" s="313">
        <f>SUMIFS(Headcount!BF$61:BF$103,Headcount!$E$61:$E$103,$E130,Headcount!$F$61:$F$103,$F130)</f>
        <v>0</v>
      </c>
      <c r="AD130" s="313">
        <f>SUMIFS(Headcount!BG$61:BG$103,Headcount!$E$61:$E$103,$E130,Headcount!$F$61:$F$103,$F130)</f>
        <v>0</v>
      </c>
      <c r="AE130" s="313">
        <f>SUMIFS(Headcount!BH$61:BH$103,Headcount!$E$61:$E$103,$E130,Headcount!$F$61:$F$103,$F130)</f>
        <v>0</v>
      </c>
      <c r="AF130" s="313">
        <f>SUMIFS(Headcount!BI$61:BI$103,Headcount!$E$61:$E$103,$E130,Headcount!$F$61:$F$103,$F130)</f>
        <v>0</v>
      </c>
      <c r="AG130" s="313">
        <f>SUMIFS(Headcount!BJ$61:BJ$103,Headcount!$E$61:$E$103,$E130,Headcount!$F$61:$F$103,$F130)</f>
        <v>0</v>
      </c>
      <c r="AH130" s="313">
        <f>SUMIFS(Headcount!BK$61:BK$103,Headcount!$E$61:$E$103,$E130,Headcount!$F$61:$F$103,$F130)</f>
        <v>0</v>
      </c>
      <c r="AI130" s="313">
        <f>SUMIFS(Headcount!BL$61:BL$103,Headcount!$E$61:$E$103,$E130,Headcount!$F$61:$F$103,$F130)</f>
        <v>0</v>
      </c>
      <c r="AJ130" s="313">
        <f>SUMIFS(Headcount!BM$61:BM$103,Headcount!$E$61:$E$103,$E130,Headcount!$F$61:$F$103,$F130)</f>
        <v>0</v>
      </c>
      <c r="AK130" s="313">
        <f>SUMIFS(Headcount!BN$61:BN$103,Headcount!$E$61:$E$103,$E130,Headcount!$F$61:$F$103,$F130)</f>
        <v>0</v>
      </c>
      <c r="AL130" s="313">
        <f>SUMIFS(Headcount!BO$61:BO$103,Headcount!$E$61:$E$103,$E130,Headcount!$F$61:$F$103,$F130)</f>
        <v>0</v>
      </c>
      <c r="AM130" s="313">
        <f>SUMIFS(Headcount!BP$61:BP$103,Headcount!$E$61:$E$103,$E130,Headcount!$F$61:$F$103,$F130)</f>
        <v>0</v>
      </c>
      <c r="AN130" s="313">
        <f>SUMIFS(Headcount!BQ$61:BQ$103,Headcount!$E$61:$E$103,$E130,Headcount!$F$61:$F$103,$F130)</f>
        <v>0</v>
      </c>
      <c r="AO130" s="313">
        <f>SUMIFS(Headcount!BR$61:BR$103,Headcount!$E$61:$E$103,$E130,Headcount!$F$61:$F$103,$F130)</f>
        <v>166.66666666666669</v>
      </c>
      <c r="AP130" s="313">
        <f>SUMIFS(Headcount!BS$61:BS$103,Headcount!$E$61:$E$103,$E130,Headcount!$F$61:$F$103,$F130)</f>
        <v>733.33333333333326</v>
      </c>
      <c r="AQ130" s="313">
        <f>SUMIFS(Headcount!BT$61:BT$103,Headcount!$E$61:$E$103,$E130,Headcount!$F$61:$F$103,$F130)</f>
        <v>733.33333333333326</v>
      </c>
      <c r="AR130" s="313">
        <f>SUMIFS(Headcount!BU$61:BU$103,Headcount!$E$61:$E$103,$E130,Headcount!$F$61:$F$103,$F130)</f>
        <v>733.33333333333326</v>
      </c>
      <c r="AS130" s="313">
        <f>SUMIFS(Headcount!BV$61:BV$103,Headcount!$E$61:$E$103,$E130,Headcount!$F$61:$F$103,$F130)</f>
        <v>733.33333333333326</v>
      </c>
      <c r="AT130" s="313">
        <f>SUMIFS(Headcount!BW$61:BW$103,Headcount!$E$61:$E$103,$E130,Headcount!$F$61:$F$103,$F130)</f>
        <v>733.33333333333326</v>
      </c>
      <c r="AU130" s="313">
        <f>SUMIFS(Headcount!BX$61:BX$103,Headcount!$E$61:$E$103,$E130,Headcount!$F$61:$F$103,$F130)</f>
        <v>733.33333333333326</v>
      </c>
      <c r="AV130" s="313">
        <f>SUMIFS(Headcount!BY$61:BY$103,Headcount!$E$61:$E$103,$E130,Headcount!$F$61:$F$103,$F130)</f>
        <v>733.33333333333326</v>
      </c>
      <c r="AW130" s="313">
        <f>SUMIFS(Headcount!BZ$61:BZ$103,Headcount!$E$61:$E$103,$E130,Headcount!$F$61:$F$103,$F130)</f>
        <v>733.33333333333326</v>
      </c>
      <c r="AX130" s="313">
        <f>SUMIFS(Headcount!CA$61:CA$103,Headcount!$E$61:$E$103,$E130,Headcount!$F$61:$F$103,$F130)</f>
        <v>733.33333333333326</v>
      </c>
      <c r="AY130" s="313">
        <f>SUMIFS(Headcount!CB$61:CB$103,Headcount!$E$61:$E$103,$E130,Headcount!$F$61:$F$103,$F130)</f>
        <v>733.33333333333326</v>
      </c>
      <c r="AZ130" s="313">
        <f>SUMIFS(Headcount!CC$61:CC$103,Headcount!$E$61:$E$103,$E130,Headcount!$F$61:$F$103,$F130)</f>
        <v>733.33333333333326</v>
      </c>
      <c r="BA130" s="313">
        <f>SUMIFS(Headcount!CD$61:CD$103,Headcount!$E$61:$E$103,$E130,Headcount!$F$61:$F$103,$F130)</f>
        <v>733.33333333333326</v>
      </c>
      <c r="BB130" s="313">
        <f>SUMIFS(Headcount!CE$61:CE$103,Headcount!$E$61:$E$103,$E130,Headcount!$F$61:$F$103,$F130)</f>
        <v>1024.2424242424242</v>
      </c>
      <c r="BC130" s="313">
        <f>SUMIFS(Headcount!CF$61:CF$103,Headcount!$E$61:$E$103,$E130,Headcount!$F$61:$F$103,$F130)</f>
        <v>1266.6666666666665</v>
      </c>
      <c r="BD130" s="313">
        <f>SUMIFS(Headcount!CG$61:CG$103,Headcount!$E$61:$E$103,$E130,Headcount!$F$61:$F$103,$F130)</f>
        <v>1266.6666666666665</v>
      </c>
      <c r="BE130" s="313">
        <f>SUMIFS(Headcount!CH$61:CH$103,Headcount!$E$61:$E$103,$E130,Headcount!$F$61:$F$103,$F130)</f>
        <v>1266.6666666666665</v>
      </c>
      <c r="BF130" s="313">
        <f>SUMIFS(Headcount!CI$61:CI$103,Headcount!$E$61:$E$103,$E130,Headcount!$F$61:$F$103,$F130)</f>
        <v>1266.6666666666665</v>
      </c>
      <c r="BG130" s="313">
        <f>SUMIFS(Headcount!CJ$61:CJ$103,Headcount!$E$61:$E$103,$E130,Headcount!$F$61:$F$103,$F130)</f>
        <v>1266.6666666666665</v>
      </c>
      <c r="BH130" s="313">
        <f>SUMIFS(Headcount!CK$61:CK$103,Headcount!$E$61:$E$103,$E130,Headcount!$F$61:$F$103,$F130)</f>
        <v>1266.6666666666665</v>
      </c>
    </row>
    <row r="131" spans="2:60" ht="19.5" customHeight="1" outlineLevel="1">
      <c r="B131" s="284"/>
      <c r="C131" s="315"/>
      <c r="D131" s="383" t="str">
        <f t="shared" si="14"/>
        <v>Engineering</v>
      </c>
      <c r="E131" s="265" t="str">
        <f t="shared" si="14"/>
        <v>H3</v>
      </c>
      <c r="F131" s="383" t="s">
        <v>196</v>
      </c>
      <c r="G131" s="277"/>
      <c r="H131" s="277"/>
      <c r="I131" s="277"/>
      <c r="J131" s="314"/>
      <c r="L131" s="313"/>
      <c r="M131" s="313">
        <f>SUMIFS(Headcount!AP$61:AP$103,Headcount!$E$61:$E$103,$E131,Headcount!$F$61:$F$103,$F131)</f>
        <v>0</v>
      </c>
      <c r="N131" s="313">
        <f>SUMIFS(Headcount!AQ$61:AQ$103,Headcount!$E$61:$E$103,$E131,Headcount!$F$61:$F$103,$F131)</f>
        <v>0</v>
      </c>
      <c r="O131" s="313">
        <f>SUMIFS(Headcount!AR$61:AR$103,Headcount!$E$61:$E$103,$E131,Headcount!$F$61:$F$103,$F131)</f>
        <v>0</v>
      </c>
      <c r="P131" s="313">
        <f>SUMIFS(Headcount!AS$61:AS$103,Headcount!$E$61:$E$103,$E131,Headcount!$F$61:$F$103,$F131)</f>
        <v>0</v>
      </c>
      <c r="Q131" s="313">
        <f>SUMIFS(Headcount!AT$61:AT$103,Headcount!$E$61:$E$103,$E131,Headcount!$F$61:$F$103,$F131)</f>
        <v>0</v>
      </c>
      <c r="R131" s="313">
        <f>SUMIFS(Headcount!AU$61:AU$103,Headcount!$E$61:$E$103,$E131,Headcount!$F$61:$F$103,$F131)</f>
        <v>0</v>
      </c>
      <c r="S131" s="313">
        <f>SUMIFS(Headcount!AV$61:AV$103,Headcount!$E$61:$E$103,$E131,Headcount!$F$61:$F$103,$F131)</f>
        <v>0</v>
      </c>
      <c r="T131" s="313">
        <f>SUMIFS(Headcount!AW$61:AW$103,Headcount!$E$61:$E$103,$E131,Headcount!$F$61:$F$103,$F131)</f>
        <v>0</v>
      </c>
      <c r="U131" s="313">
        <f>SUMIFS(Headcount!AX$61:AX$103,Headcount!$E$61:$E$103,$E131,Headcount!$F$61:$F$103,$F131)</f>
        <v>0</v>
      </c>
      <c r="V131" s="313">
        <f>SUMIFS(Headcount!AY$61:AY$103,Headcount!$E$61:$E$103,$E131,Headcount!$F$61:$F$103,$F131)</f>
        <v>0</v>
      </c>
      <c r="W131" s="313">
        <f>SUMIFS(Headcount!AZ$61:AZ$103,Headcount!$E$61:$E$103,$E131,Headcount!$F$61:$F$103,$F131)</f>
        <v>0</v>
      </c>
      <c r="X131" s="313">
        <f>SUMIFS(Headcount!BA$61:BA$103,Headcount!$E$61:$E$103,$E131,Headcount!$F$61:$F$103,$F131)</f>
        <v>0</v>
      </c>
      <c r="Y131" s="313">
        <f>SUMIFS(Headcount!BB$61:BB$103,Headcount!$E$61:$E$103,$E131,Headcount!$F$61:$F$103,$F131)</f>
        <v>0</v>
      </c>
      <c r="Z131" s="313">
        <f>SUMIFS(Headcount!BC$61:BC$103,Headcount!$E$61:$E$103,$E131,Headcount!$F$61:$F$103,$F131)</f>
        <v>0</v>
      </c>
      <c r="AA131" s="313">
        <f>SUMIFS(Headcount!BD$61:BD$103,Headcount!$E$61:$E$103,$E131,Headcount!$F$61:$F$103,$F131)</f>
        <v>0</v>
      </c>
      <c r="AB131" s="313">
        <f>SUMIFS(Headcount!BE$61:BE$103,Headcount!$E$61:$E$103,$E131,Headcount!$F$61:$F$103,$F131)</f>
        <v>0</v>
      </c>
      <c r="AC131" s="313">
        <f>SUMIFS(Headcount!BF$61:BF$103,Headcount!$E$61:$E$103,$E131,Headcount!$F$61:$F$103,$F131)</f>
        <v>0</v>
      </c>
      <c r="AD131" s="313">
        <f>SUMIFS(Headcount!BG$61:BG$103,Headcount!$E$61:$E$103,$E131,Headcount!$F$61:$F$103,$F131)</f>
        <v>0</v>
      </c>
      <c r="AE131" s="313">
        <f>SUMIFS(Headcount!BH$61:BH$103,Headcount!$E$61:$E$103,$E131,Headcount!$F$61:$F$103,$F131)</f>
        <v>0</v>
      </c>
      <c r="AF131" s="313">
        <f>SUMIFS(Headcount!BI$61:BI$103,Headcount!$E$61:$E$103,$E131,Headcount!$F$61:$F$103,$F131)</f>
        <v>0</v>
      </c>
      <c r="AG131" s="313">
        <f>SUMIFS(Headcount!BJ$61:BJ$103,Headcount!$E$61:$E$103,$E131,Headcount!$F$61:$F$103,$F131)</f>
        <v>0</v>
      </c>
      <c r="AH131" s="313">
        <f>SUMIFS(Headcount!BK$61:BK$103,Headcount!$E$61:$E$103,$E131,Headcount!$F$61:$F$103,$F131)</f>
        <v>0</v>
      </c>
      <c r="AI131" s="313">
        <f>SUMIFS(Headcount!BL$61:BL$103,Headcount!$E$61:$E$103,$E131,Headcount!$F$61:$F$103,$F131)</f>
        <v>0</v>
      </c>
      <c r="AJ131" s="313">
        <f>SUMIFS(Headcount!BM$61:BM$103,Headcount!$E$61:$E$103,$E131,Headcount!$F$61:$F$103,$F131)</f>
        <v>0</v>
      </c>
      <c r="AK131" s="313">
        <f>SUMIFS(Headcount!BN$61:BN$103,Headcount!$E$61:$E$103,$E131,Headcount!$F$61:$F$103,$F131)</f>
        <v>0</v>
      </c>
      <c r="AL131" s="313">
        <f>SUMIFS(Headcount!BO$61:BO$103,Headcount!$E$61:$E$103,$E131,Headcount!$F$61:$F$103,$F131)</f>
        <v>0</v>
      </c>
      <c r="AM131" s="313">
        <f>SUMIFS(Headcount!BP$61:BP$103,Headcount!$E$61:$E$103,$E131,Headcount!$F$61:$F$103,$F131)</f>
        <v>0</v>
      </c>
      <c r="AN131" s="313">
        <f>SUMIFS(Headcount!BQ$61:BQ$103,Headcount!$E$61:$E$103,$E131,Headcount!$F$61:$F$103,$F131)</f>
        <v>0</v>
      </c>
      <c r="AO131" s="313">
        <f>SUMIFS(Headcount!BR$61:BR$103,Headcount!$E$61:$E$103,$E131,Headcount!$F$61:$F$103,$F131)</f>
        <v>208.33333333333337</v>
      </c>
      <c r="AP131" s="313">
        <f>SUMIFS(Headcount!BS$61:BS$103,Headcount!$E$61:$E$103,$E131,Headcount!$F$61:$F$103,$F131)</f>
        <v>916.66666666666663</v>
      </c>
      <c r="AQ131" s="313">
        <f>SUMIFS(Headcount!BT$61:BT$103,Headcount!$E$61:$E$103,$E131,Headcount!$F$61:$F$103,$F131)</f>
        <v>916.66666666666663</v>
      </c>
      <c r="AR131" s="313">
        <f>SUMIFS(Headcount!BU$61:BU$103,Headcount!$E$61:$E$103,$E131,Headcount!$F$61:$F$103,$F131)</f>
        <v>916.66666666666663</v>
      </c>
      <c r="AS131" s="313">
        <f>SUMIFS(Headcount!BV$61:BV$103,Headcount!$E$61:$E$103,$E131,Headcount!$F$61:$F$103,$F131)</f>
        <v>916.66666666666663</v>
      </c>
      <c r="AT131" s="313">
        <f>SUMIFS(Headcount!BW$61:BW$103,Headcount!$E$61:$E$103,$E131,Headcount!$F$61:$F$103,$F131)</f>
        <v>916.66666666666663</v>
      </c>
      <c r="AU131" s="313">
        <f>SUMIFS(Headcount!BX$61:BX$103,Headcount!$E$61:$E$103,$E131,Headcount!$F$61:$F$103,$F131)</f>
        <v>916.66666666666663</v>
      </c>
      <c r="AV131" s="313">
        <f>SUMIFS(Headcount!BY$61:BY$103,Headcount!$E$61:$E$103,$E131,Headcount!$F$61:$F$103,$F131)</f>
        <v>916.66666666666663</v>
      </c>
      <c r="AW131" s="313">
        <f>SUMIFS(Headcount!BZ$61:BZ$103,Headcount!$E$61:$E$103,$E131,Headcount!$F$61:$F$103,$F131)</f>
        <v>916.66666666666663</v>
      </c>
      <c r="AX131" s="313">
        <f>SUMIFS(Headcount!CA$61:CA$103,Headcount!$E$61:$E$103,$E131,Headcount!$F$61:$F$103,$F131)</f>
        <v>916.66666666666663</v>
      </c>
      <c r="AY131" s="313">
        <f>SUMIFS(Headcount!CB$61:CB$103,Headcount!$E$61:$E$103,$E131,Headcount!$F$61:$F$103,$F131)</f>
        <v>916.66666666666663</v>
      </c>
      <c r="AZ131" s="313">
        <f>SUMIFS(Headcount!CC$61:CC$103,Headcount!$E$61:$E$103,$E131,Headcount!$F$61:$F$103,$F131)</f>
        <v>916.66666666666663</v>
      </c>
      <c r="BA131" s="313">
        <f>SUMIFS(Headcount!CD$61:CD$103,Headcount!$E$61:$E$103,$E131,Headcount!$F$61:$F$103,$F131)</f>
        <v>916.66666666666663</v>
      </c>
      <c r="BB131" s="313">
        <f>SUMIFS(Headcount!CE$61:CE$103,Headcount!$E$61:$E$103,$E131,Headcount!$F$61:$F$103,$F131)</f>
        <v>1280.3030303030303</v>
      </c>
      <c r="BC131" s="313">
        <f>SUMIFS(Headcount!CF$61:CF$103,Headcount!$E$61:$E$103,$E131,Headcount!$F$61:$F$103,$F131)</f>
        <v>1583.3333333333333</v>
      </c>
      <c r="BD131" s="313">
        <f>SUMIFS(Headcount!CG$61:CG$103,Headcount!$E$61:$E$103,$E131,Headcount!$F$61:$F$103,$F131)</f>
        <v>1583.3333333333333</v>
      </c>
      <c r="BE131" s="313">
        <f>SUMIFS(Headcount!CH$61:CH$103,Headcount!$E$61:$E$103,$E131,Headcount!$F$61:$F$103,$F131)</f>
        <v>1583.3333333333333</v>
      </c>
      <c r="BF131" s="313">
        <f>SUMIFS(Headcount!CI$61:CI$103,Headcount!$E$61:$E$103,$E131,Headcount!$F$61:$F$103,$F131)</f>
        <v>1583.3333333333333</v>
      </c>
      <c r="BG131" s="313">
        <f>SUMIFS(Headcount!CJ$61:CJ$103,Headcount!$E$61:$E$103,$E131,Headcount!$F$61:$F$103,$F131)</f>
        <v>1583.3333333333333</v>
      </c>
      <c r="BH131" s="313">
        <f>SUMIFS(Headcount!CK$61:CK$103,Headcount!$E$61:$E$103,$E131,Headcount!$F$61:$F$103,$F131)</f>
        <v>1583.3333333333333</v>
      </c>
    </row>
    <row r="132" spans="2:60" ht="19.5" customHeight="1" outlineLevel="1">
      <c r="B132" s="284"/>
      <c r="C132" s="315"/>
      <c r="D132" s="383" t="str">
        <f t="shared" si="14"/>
        <v>Engineering</v>
      </c>
      <c r="E132" s="265" t="str">
        <f t="shared" si="14"/>
        <v>H3</v>
      </c>
      <c r="F132" s="383" t="s">
        <v>198</v>
      </c>
      <c r="G132" s="277"/>
      <c r="H132" s="277"/>
      <c r="I132" s="277"/>
      <c r="J132" s="314"/>
      <c r="L132" s="313"/>
      <c r="M132" s="313">
        <f>SUMIFS(Headcount!AP$61:AP$103,Headcount!$E$61:$E$103,$E132,Headcount!$F$61:$F$103,$F132)</f>
        <v>0</v>
      </c>
      <c r="N132" s="313">
        <f>SUMIFS(Headcount!AQ$61:AQ$103,Headcount!$E$61:$E$103,$E132,Headcount!$F$61:$F$103,$F132)</f>
        <v>0</v>
      </c>
      <c r="O132" s="313">
        <f>SUMIFS(Headcount!AR$61:AR$103,Headcount!$E$61:$E$103,$E132,Headcount!$F$61:$F$103,$F132)</f>
        <v>0</v>
      </c>
      <c r="P132" s="313">
        <f>SUMIFS(Headcount!AS$61:AS$103,Headcount!$E$61:$E$103,$E132,Headcount!$F$61:$F$103,$F132)</f>
        <v>0</v>
      </c>
      <c r="Q132" s="313">
        <f>SUMIFS(Headcount!AT$61:AT$103,Headcount!$E$61:$E$103,$E132,Headcount!$F$61:$F$103,$F132)</f>
        <v>0</v>
      </c>
      <c r="R132" s="313">
        <f>SUMIFS(Headcount!AU$61:AU$103,Headcount!$E$61:$E$103,$E132,Headcount!$F$61:$F$103,$F132)</f>
        <v>0</v>
      </c>
      <c r="S132" s="313">
        <f>SUMIFS(Headcount!AV$61:AV$103,Headcount!$E$61:$E$103,$E132,Headcount!$F$61:$F$103,$F132)</f>
        <v>0</v>
      </c>
      <c r="T132" s="313">
        <f>SUMIFS(Headcount!AW$61:AW$103,Headcount!$E$61:$E$103,$E132,Headcount!$F$61:$F$103,$F132)</f>
        <v>0</v>
      </c>
      <c r="U132" s="313">
        <f>SUMIFS(Headcount!AX$61:AX$103,Headcount!$E$61:$E$103,$E132,Headcount!$F$61:$F$103,$F132)</f>
        <v>0</v>
      </c>
      <c r="V132" s="313">
        <f>SUMIFS(Headcount!AY$61:AY$103,Headcount!$E$61:$E$103,$E132,Headcount!$F$61:$F$103,$F132)</f>
        <v>0</v>
      </c>
      <c r="W132" s="313">
        <f>SUMIFS(Headcount!AZ$61:AZ$103,Headcount!$E$61:$E$103,$E132,Headcount!$F$61:$F$103,$F132)</f>
        <v>0</v>
      </c>
      <c r="X132" s="313">
        <f>SUMIFS(Headcount!BA$61:BA$103,Headcount!$E$61:$E$103,$E132,Headcount!$F$61:$F$103,$F132)</f>
        <v>0</v>
      </c>
      <c r="Y132" s="313">
        <f>SUMIFS(Headcount!BB$61:BB$103,Headcount!$E$61:$E$103,$E132,Headcount!$F$61:$F$103,$F132)</f>
        <v>0</v>
      </c>
      <c r="Z132" s="313">
        <f>SUMIFS(Headcount!BC$61:BC$103,Headcount!$E$61:$E$103,$E132,Headcount!$F$61:$F$103,$F132)</f>
        <v>0</v>
      </c>
      <c r="AA132" s="313">
        <f>SUMIFS(Headcount!BD$61:BD$103,Headcount!$E$61:$E$103,$E132,Headcount!$F$61:$F$103,$F132)</f>
        <v>0</v>
      </c>
      <c r="AB132" s="313">
        <f>SUMIFS(Headcount!BE$61:BE$103,Headcount!$E$61:$E$103,$E132,Headcount!$F$61:$F$103,$F132)</f>
        <v>0</v>
      </c>
      <c r="AC132" s="313">
        <f>SUMIFS(Headcount!BF$61:BF$103,Headcount!$E$61:$E$103,$E132,Headcount!$F$61:$F$103,$F132)</f>
        <v>0</v>
      </c>
      <c r="AD132" s="313">
        <f>SUMIFS(Headcount!BG$61:BG$103,Headcount!$E$61:$E$103,$E132,Headcount!$F$61:$F$103,$F132)</f>
        <v>0</v>
      </c>
      <c r="AE132" s="313">
        <f>SUMIFS(Headcount!BH$61:BH$103,Headcount!$E$61:$E$103,$E132,Headcount!$F$61:$F$103,$F132)</f>
        <v>0</v>
      </c>
      <c r="AF132" s="313">
        <f>SUMIFS(Headcount!BI$61:BI$103,Headcount!$E$61:$E$103,$E132,Headcount!$F$61:$F$103,$F132)</f>
        <v>0</v>
      </c>
      <c r="AG132" s="313">
        <f>SUMIFS(Headcount!BJ$61:BJ$103,Headcount!$E$61:$E$103,$E132,Headcount!$F$61:$F$103,$F132)</f>
        <v>0</v>
      </c>
      <c r="AH132" s="313">
        <f>SUMIFS(Headcount!BK$61:BK$103,Headcount!$E$61:$E$103,$E132,Headcount!$F$61:$F$103,$F132)</f>
        <v>0</v>
      </c>
      <c r="AI132" s="313">
        <f>SUMIFS(Headcount!BL$61:BL$103,Headcount!$E$61:$E$103,$E132,Headcount!$F$61:$F$103,$F132)</f>
        <v>0</v>
      </c>
      <c r="AJ132" s="313">
        <f>SUMIFS(Headcount!BM$61:BM$103,Headcount!$E$61:$E$103,$E132,Headcount!$F$61:$F$103,$F132)</f>
        <v>0</v>
      </c>
      <c r="AK132" s="313">
        <f>SUMIFS(Headcount!BN$61:BN$103,Headcount!$E$61:$E$103,$E132,Headcount!$F$61:$F$103,$F132)</f>
        <v>0</v>
      </c>
      <c r="AL132" s="313">
        <f>SUMIFS(Headcount!BO$61:BO$103,Headcount!$E$61:$E$103,$E132,Headcount!$F$61:$F$103,$F132)</f>
        <v>0</v>
      </c>
      <c r="AM132" s="313">
        <f>SUMIFS(Headcount!BP$61:BP$103,Headcount!$E$61:$E$103,$E132,Headcount!$F$61:$F$103,$F132)</f>
        <v>0</v>
      </c>
      <c r="AN132" s="313">
        <f>SUMIFS(Headcount!BQ$61:BQ$103,Headcount!$E$61:$E$103,$E132,Headcount!$F$61:$F$103,$F132)</f>
        <v>0</v>
      </c>
      <c r="AO132" s="313">
        <f>SUMIFS(Headcount!BR$61:BR$103,Headcount!$E$61:$E$103,$E132,Headcount!$F$61:$F$103,$F132)</f>
        <v>5.2083333333333339</v>
      </c>
      <c r="AP132" s="313">
        <f>SUMIFS(Headcount!BS$61:BS$103,Headcount!$E$61:$E$103,$E132,Headcount!$F$61:$F$103,$F132)</f>
        <v>22.916666666666664</v>
      </c>
      <c r="AQ132" s="313">
        <f>SUMIFS(Headcount!BT$61:BT$103,Headcount!$E$61:$E$103,$E132,Headcount!$F$61:$F$103,$F132)</f>
        <v>22.916666666666664</v>
      </c>
      <c r="AR132" s="313">
        <f>SUMIFS(Headcount!BU$61:BU$103,Headcount!$E$61:$E$103,$E132,Headcount!$F$61:$F$103,$F132)</f>
        <v>22.916666666666664</v>
      </c>
      <c r="AS132" s="313">
        <f>SUMIFS(Headcount!BV$61:BV$103,Headcount!$E$61:$E$103,$E132,Headcount!$F$61:$F$103,$F132)</f>
        <v>22.916666666666664</v>
      </c>
      <c r="AT132" s="313">
        <f>SUMIFS(Headcount!BW$61:BW$103,Headcount!$E$61:$E$103,$E132,Headcount!$F$61:$F$103,$F132)</f>
        <v>22.916666666666664</v>
      </c>
      <c r="AU132" s="313">
        <f>SUMIFS(Headcount!BX$61:BX$103,Headcount!$E$61:$E$103,$E132,Headcount!$F$61:$F$103,$F132)</f>
        <v>22.916666666666664</v>
      </c>
      <c r="AV132" s="313">
        <f>SUMIFS(Headcount!BY$61:BY$103,Headcount!$E$61:$E$103,$E132,Headcount!$F$61:$F$103,$F132)</f>
        <v>22.916666666666664</v>
      </c>
      <c r="AW132" s="313">
        <f>SUMIFS(Headcount!BZ$61:BZ$103,Headcount!$E$61:$E$103,$E132,Headcount!$F$61:$F$103,$F132)</f>
        <v>22.916666666666664</v>
      </c>
      <c r="AX132" s="313">
        <f>SUMIFS(Headcount!CA$61:CA$103,Headcount!$E$61:$E$103,$E132,Headcount!$F$61:$F$103,$F132)</f>
        <v>22.916666666666664</v>
      </c>
      <c r="AY132" s="313">
        <f>SUMIFS(Headcount!CB$61:CB$103,Headcount!$E$61:$E$103,$E132,Headcount!$F$61:$F$103,$F132)</f>
        <v>22.916666666666664</v>
      </c>
      <c r="AZ132" s="313">
        <f>SUMIFS(Headcount!CC$61:CC$103,Headcount!$E$61:$E$103,$E132,Headcount!$F$61:$F$103,$F132)</f>
        <v>22.916666666666664</v>
      </c>
      <c r="BA132" s="313">
        <f>SUMIFS(Headcount!CD$61:CD$103,Headcount!$E$61:$E$103,$E132,Headcount!$F$61:$F$103,$F132)</f>
        <v>22.916666666666664</v>
      </c>
      <c r="BB132" s="313">
        <f>SUMIFS(Headcount!CE$61:CE$103,Headcount!$E$61:$E$103,$E132,Headcount!$F$61:$F$103,$F132)</f>
        <v>32.007575757575758</v>
      </c>
      <c r="BC132" s="313">
        <f>SUMIFS(Headcount!CF$61:CF$103,Headcount!$E$61:$E$103,$E132,Headcount!$F$61:$F$103,$F132)</f>
        <v>39.583333333333329</v>
      </c>
      <c r="BD132" s="313">
        <f>SUMIFS(Headcount!CG$61:CG$103,Headcount!$E$61:$E$103,$E132,Headcount!$F$61:$F$103,$F132)</f>
        <v>39.583333333333329</v>
      </c>
      <c r="BE132" s="313">
        <f>SUMIFS(Headcount!CH$61:CH$103,Headcount!$E$61:$E$103,$E132,Headcount!$F$61:$F$103,$F132)</f>
        <v>39.583333333333329</v>
      </c>
      <c r="BF132" s="313">
        <f>SUMIFS(Headcount!CI$61:CI$103,Headcount!$E$61:$E$103,$E132,Headcount!$F$61:$F$103,$F132)</f>
        <v>39.583333333333329</v>
      </c>
      <c r="BG132" s="313">
        <f>SUMIFS(Headcount!CJ$61:CJ$103,Headcount!$E$61:$E$103,$E132,Headcount!$F$61:$F$103,$F132)</f>
        <v>39.583333333333329</v>
      </c>
      <c r="BH132" s="313">
        <f>SUMIFS(Headcount!CK$61:CK$103,Headcount!$E$61:$E$103,$E132,Headcount!$F$61:$F$103,$F132)</f>
        <v>39.583333333333329</v>
      </c>
    </row>
    <row r="133" spans="2:60" ht="19.5" customHeight="1" outlineLevel="1">
      <c r="B133" s="284"/>
      <c r="C133" s="315"/>
      <c r="D133" s="383" t="str">
        <f t="shared" si="14"/>
        <v>Engineering</v>
      </c>
      <c r="E133" s="265" t="str">
        <f t="shared" si="14"/>
        <v>H3</v>
      </c>
      <c r="F133" s="383" t="s">
        <v>200</v>
      </c>
      <c r="G133" s="277"/>
      <c r="H133" s="277"/>
      <c r="I133" s="277"/>
      <c r="J133" s="314"/>
      <c r="L133" s="313"/>
      <c r="M133" s="313">
        <f>SUMIFS(Headcount!AP$61:AP$103,Headcount!$E$61:$E$103,$E133,Headcount!$F$61:$F$103,$F133)</f>
        <v>0</v>
      </c>
      <c r="N133" s="313">
        <f>SUMIFS(Headcount!AQ$61:AQ$103,Headcount!$E$61:$E$103,$E133,Headcount!$F$61:$F$103,$F133)</f>
        <v>0</v>
      </c>
      <c r="O133" s="313">
        <f>SUMIFS(Headcount!AR$61:AR$103,Headcount!$E$61:$E$103,$E133,Headcount!$F$61:$F$103,$F133)</f>
        <v>0</v>
      </c>
      <c r="P133" s="313">
        <f>SUMIFS(Headcount!AS$61:AS$103,Headcount!$E$61:$E$103,$E133,Headcount!$F$61:$F$103,$F133)</f>
        <v>0</v>
      </c>
      <c r="Q133" s="313">
        <f>SUMIFS(Headcount!AT$61:AT$103,Headcount!$E$61:$E$103,$E133,Headcount!$F$61:$F$103,$F133)</f>
        <v>0</v>
      </c>
      <c r="R133" s="313">
        <f>SUMIFS(Headcount!AU$61:AU$103,Headcount!$E$61:$E$103,$E133,Headcount!$F$61:$F$103,$F133)</f>
        <v>0</v>
      </c>
      <c r="S133" s="313">
        <f>SUMIFS(Headcount!AV$61:AV$103,Headcount!$E$61:$E$103,$E133,Headcount!$F$61:$F$103,$F133)</f>
        <v>0</v>
      </c>
      <c r="T133" s="313">
        <f>SUMIFS(Headcount!AW$61:AW$103,Headcount!$E$61:$E$103,$E133,Headcount!$F$61:$F$103,$F133)</f>
        <v>0</v>
      </c>
      <c r="U133" s="313">
        <f>SUMIFS(Headcount!AX$61:AX$103,Headcount!$E$61:$E$103,$E133,Headcount!$F$61:$F$103,$F133)</f>
        <v>0</v>
      </c>
      <c r="V133" s="313">
        <f>SUMIFS(Headcount!AY$61:AY$103,Headcount!$E$61:$E$103,$E133,Headcount!$F$61:$F$103,$F133)</f>
        <v>0</v>
      </c>
      <c r="W133" s="313">
        <f>SUMIFS(Headcount!AZ$61:AZ$103,Headcount!$E$61:$E$103,$E133,Headcount!$F$61:$F$103,$F133)</f>
        <v>0</v>
      </c>
      <c r="X133" s="313">
        <f>SUMIFS(Headcount!BA$61:BA$103,Headcount!$E$61:$E$103,$E133,Headcount!$F$61:$F$103,$F133)</f>
        <v>0</v>
      </c>
      <c r="Y133" s="313">
        <f>SUMIFS(Headcount!BB$61:BB$103,Headcount!$E$61:$E$103,$E133,Headcount!$F$61:$F$103,$F133)</f>
        <v>0</v>
      </c>
      <c r="Z133" s="313">
        <f>SUMIFS(Headcount!BC$61:BC$103,Headcount!$E$61:$E$103,$E133,Headcount!$F$61:$F$103,$F133)</f>
        <v>0</v>
      </c>
      <c r="AA133" s="313">
        <f>SUMIFS(Headcount!BD$61:BD$103,Headcount!$E$61:$E$103,$E133,Headcount!$F$61:$F$103,$F133)</f>
        <v>0</v>
      </c>
      <c r="AB133" s="313">
        <f>SUMIFS(Headcount!BE$61:BE$103,Headcount!$E$61:$E$103,$E133,Headcount!$F$61:$F$103,$F133)</f>
        <v>0</v>
      </c>
      <c r="AC133" s="313">
        <f>SUMIFS(Headcount!BF$61:BF$103,Headcount!$E$61:$E$103,$E133,Headcount!$F$61:$F$103,$F133)</f>
        <v>0</v>
      </c>
      <c r="AD133" s="313">
        <f>SUMIFS(Headcount!BG$61:BG$103,Headcount!$E$61:$E$103,$E133,Headcount!$F$61:$F$103,$F133)</f>
        <v>0</v>
      </c>
      <c r="AE133" s="313">
        <f>SUMIFS(Headcount!BH$61:BH$103,Headcount!$E$61:$E$103,$E133,Headcount!$F$61:$F$103,$F133)</f>
        <v>0</v>
      </c>
      <c r="AF133" s="313">
        <f>SUMIFS(Headcount!BI$61:BI$103,Headcount!$E$61:$E$103,$E133,Headcount!$F$61:$F$103,$F133)</f>
        <v>0</v>
      </c>
      <c r="AG133" s="313">
        <f>SUMIFS(Headcount!BJ$61:BJ$103,Headcount!$E$61:$E$103,$E133,Headcount!$F$61:$F$103,$F133)</f>
        <v>0</v>
      </c>
      <c r="AH133" s="313">
        <f>SUMIFS(Headcount!BK$61:BK$103,Headcount!$E$61:$E$103,$E133,Headcount!$F$61:$F$103,$F133)</f>
        <v>0</v>
      </c>
      <c r="AI133" s="313">
        <f>SUMIFS(Headcount!BL$61:BL$103,Headcount!$E$61:$E$103,$E133,Headcount!$F$61:$F$103,$F133)</f>
        <v>0</v>
      </c>
      <c r="AJ133" s="313">
        <f>SUMIFS(Headcount!BM$61:BM$103,Headcount!$E$61:$E$103,$E133,Headcount!$F$61:$F$103,$F133)</f>
        <v>0</v>
      </c>
      <c r="AK133" s="313">
        <f>SUMIFS(Headcount!BN$61:BN$103,Headcount!$E$61:$E$103,$E133,Headcount!$F$61:$F$103,$F133)</f>
        <v>0</v>
      </c>
      <c r="AL133" s="313">
        <f>SUMIFS(Headcount!BO$61:BO$103,Headcount!$E$61:$E$103,$E133,Headcount!$F$61:$F$103,$F133)</f>
        <v>0</v>
      </c>
      <c r="AM133" s="313">
        <f>SUMIFS(Headcount!BP$61:BP$103,Headcount!$E$61:$E$103,$E133,Headcount!$F$61:$F$103,$F133)</f>
        <v>0</v>
      </c>
      <c r="AN133" s="313">
        <f>SUMIFS(Headcount!BQ$61:BQ$103,Headcount!$E$61:$E$103,$E133,Headcount!$F$61:$F$103,$F133)</f>
        <v>0</v>
      </c>
      <c r="AO133" s="313">
        <f>SUMIFS(Headcount!BR$61:BR$103,Headcount!$E$61:$E$103,$E133,Headcount!$F$61:$F$103,$F133)</f>
        <v>0</v>
      </c>
      <c r="AP133" s="313">
        <f>SUMIFS(Headcount!BS$61:BS$103,Headcount!$E$61:$E$103,$E133,Headcount!$F$61:$F$103,$F133)</f>
        <v>0</v>
      </c>
      <c r="AQ133" s="313">
        <f>SUMIFS(Headcount!BT$61:BT$103,Headcount!$E$61:$E$103,$E133,Headcount!$F$61:$F$103,$F133)</f>
        <v>0</v>
      </c>
      <c r="AR133" s="313">
        <f>SUMIFS(Headcount!BU$61:BU$103,Headcount!$E$61:$E$103,$E133,Headcount!$F$61:$F$103,$F133)</f>
        <v>0</v>
      </c>
      <c r="AS133" s="313">
        <f>SUMIFS(Headcount!BV$61:BV$103,Headcount!$E$61:$E$103,$E133,Headcount!$F$61:$F$103,$F133)</f>
        <v>0</v>
      </c>
      <c r="AT133" s="313">
        <f>SUMIFS(Headcount!BW$61:BW$103,Headcount!$E$61:$E$103,$E133,Headcount!$F$61:$F$103,$F133)</f>
        <v>0</v>
      </c>
      <c r="AU133" s="313">
        <f>SUMIFS(Headcount!BX$61:BX$103,Headcount!$E$61:$E$103,$E133,Headcount!$F$61:$F$103,$F133)</f>
        <v>0</v>
      </c>
      <c r="AV133" s="313">
        <f>SUMIFS(Headcount!BY$61:BY$103,Headcount!$E$61:$E$103,$E133,Headcount!$F$61:$F$103,$F133)</f>
        <v>0</v>
      </c>
      <c r="AW133" s="313">
        <f>SUMIFS(Headcount!BZ$61:BZ$103,Headcount!$E$61:$E$103,$E133,Headcount!$F$61:$F$103,$F133)</f>
        <v>0</v>
      </c>
      <c r="AX133" s="313">
        <f>SUMIFS(Headcount!CA$61:CA$103,Headcount!$E$61:$E$103,$E133,Headcount!$F$61:$F$103,$F133)</f>
        <v>0</v>
      </c>
      <c r="AY133" s="313">
        <f>SUMIFS(Headcount!CB$61:CB$103,Headcount!$E$61:$E$103,$E133,Headcount!$F$61:$F$103,$F133)</f>
        <v>0</v>
      </c>
      <c r="AZ133" s="313">
        <f>SUMIFS(Headcount!CC$61:CC$103,Headcount!$E$61:$E$103,$E133,Headcount!$F$61:$F$103,$F133)</f>
        <v>0</v>
      </c>
      <c r="BA133" s="313">
        <f>SUMIFS(Headcount!CD$61:CD$103,Headcount!$E$61:$E$103,$E133,Headcount!$F$61:$F$103,$F133)</f>
        <v>0</v>
      </c>
      <c r="BB133" s="313">
        <f>SUMIFS(Headcount!CE$61:CE$103,Headcount!$E$61:$E$103,$E133,Headcount!$F$61:$F$103,$F133)</f>
        <v>0</v>
      </c>
      <c r="BC133" s="313">
        <f>SUMIFS(Headcount!CF$61:CF$103,Headcount!$E$61:$E$103,$E133,Headcount!$F$61:$F$103,$F133)</f>
        <v>0</v>
      </c>
      <c r="BD133" s="313">
        <f>SUMIFS(Headcount!CG$61:CG$103,Headcount!$E$61:$E$103,$E133,Headcount!$F$61:$F$103,$F133)</f>
        <v>0</v>
      </c>
      <c r="BE133" s="313">
        <f>SUMIFS(Headcount!CH$61:CH$103,Headcount!$E$61:$E$103,$E133,Headcount!$F$61:$F$103,$F133)</f>
        <v>0</v>
      </c>
      <c r="BF133" s="313">
        <f>SUMIFS(Headcount!CI$61:CI$103,Headcount!$E$61:$E$103,$E133,Headcount!$F$61:$F$103,$F133)</f>
        <v>0</v>
      </c>
      <c r="BG133" s="313">
        <f>SUMIFS(Headcount!CJ$61:CJ$103,Headcount!$E$61:$E$103,$E133,Headcount!$F$61:$F$103,$F133)</f>
        <v>0</v>
      </c>
      <c r="BH133" s="313">
        <f>SUMIFS(Headcount!CK$61:CK$103,Headcount!$E$61:$E$103,$E133,Headcount!$F$61:$F$103,$F133)</f>
        <v>0</v>
      </c>
    </row>
    <row r="134" spans="2:60" ht="19.5" customHeight="1" outlineLevel="1">
      <c r="B134" s="284"/>
      <c r="C134" s="315"/>
      <c r="D134" s="383" t="s">
        <v>184</v>
      </c>
      <c r="E134" s="675" t="s">
        <v>185</v>
      </c>
      <c r="F134" s="383" t="s">
        <v>190</v>
      </c>
      <c r="G134" s="277"/>
      <c r="H134" s="277"/>
      <c r="I134" s="277"/>
      <c r="J134" s="314"/>
      <c r="L134" s="313"/>
      <c r="M134" s="313">
        <f>SUMIFS(Headcount!AP$61:AP$103,Headcount!$E$61:$E$103,$E134,Headcount!$F$61:$F$103,$F134)</f>
        <v>0</v>
      </c>
      <c r="N134" s="313">
        <f>SUMIFS(Headcount!AQ$61:AQ$103,Headcount!$E$61:$E$103,$E134,Headcount!$F$61:$F$103,$F134)</f>
        <v>0</v>
      </c>
      <c r="O134" s="313">
        <f>SUMIFS(Headcount!AR$61:AR$103,Headcount!$E$61:$E$103,$E134,Headcount!$F$61:$F$103,$F134)</f>
        <v>0</v>
      </c>
      <c r="P134" s="313">
        <f>SUMIFS(Headcount!AS$61:AS$103,Headcount!$E$61:$E$103,$E134,Headcount!$F$61:$F$103,$F134)</f>
        <v>0</v>
      </c>
      <c r="Q134" s="313">
        <f>SUMIFS(Headcount!AT$61:AT$103,Headcount!$E$61:$E$103,$E134,Headcount!$F$61:$F$103,$F134)</f>
        <v>0</v>
      </c>
      <c r="R134" s="313">
        <f>SUMIFS(Headcount!AU$61:AU$103,Headcount!$E$61:$E$103,$E134,Headcount!$F$61:$F$103,$F134)</f>
        <v>0</v>
      </c>
      <c r="S134" s="313">
        <f>SUMIFS(Headcount!AV$61:AV$103,Headcount!$E$61:$E$103,$E134,Headcount!$F$61:$F$103,$F134)</f>
        <v>0</v>
      </c>
      <c r="T134" s="313">
        <f>SUMIFS(Headcount!AW$61:AW$103,Headcount!$E$61:$E$103,$E134,Headcount!$F$61:$F$103,$F134)</f>
        <v>0</v>
      </c>
      <c r="U134" s="313">
        <f>SUMIFS(Headcount!AX$61:AX$103,Headcount!$E$61:$E$103,$E134,Headcount!$F$61:$F$103,$F134)</f>
        <v>0</v>
      </c>
      <c r="V134" s="313">
        <f>SUMIFS(Headcount!AY$61:AY$103,Headcount!$E$61:$E$103,$E134,Headcount!$F$61:$F$103,$F134)</f>
        <v>0</v>
      </c>
      <c r="W134" s="313">
        <f>SUMIFS(Headcount!AZ$61:AZ$103,Headcount!$E$61:$E$103,$E134,Headcount!$F$61:$F$103,$F134)</f>
        <v>0</v>
      </c>
      <c r="X134" s="313">
        <f>SUMIFS(Headcount!BA$61:BA$103,Headcount!$E$61:$E$103,$E134,Headcount!$F$61:$F$103,$F134)</f>
        <v>0</v>
      </c>
      <c r="Y134" s="313">
        <f>SUMIFS(Headcount!BB$61:BB$103,Headcount!$E$61:$E$103,$E134,Headcount!$F$61:$F$103,$F134)</f>
        <v>0</v>
      </c>
      <c r="Z134" s="313">
        <f>SUMIFS(Headcount!BC$61:BC$103,Headcount!$E$61:$E$103,$E134,Headcount!$F$61:$F$103,$F134)</f>
        <v>0</v>
      </c>
      <c r="AA134" s="313">
        <f>SUMIFS(Headcount!BD$61:BD$103,Headcount!$E$61:$E$103,$E134,Headcount!$F$61:$F$103,$F134)</f>
        <v>0</v>
      </c>
      <c r="AB134" s="313">
        <f>SUMIFS(Headcount!BE$61:BE$103,Headcount!$E$61:$E$103,$E134,Headcount!$F$61:$F$103,$F134)</f>
        <v>0</v>
      </c>
      <c r="AC134" s="313">
        <f>SUMIFS(Headcount!BF$61:BF$103,Headcount!$E$61:$E$103,$E134,Headcount!$F$61:$F$103,$F134)</f>
        <v>0</v>
      </c>
      <c r="AD134" s="313">
        <f>SUMIFS(Headcount!BG$61:BG$103,Headcount!$E$61:$E$103,$E134,Headcount!$F$61:$F$103,$F134)</f>
        <v>0</v>
      </c>
      <c r="AE134" s="313">
        <f>SUMIFS(Headcount!BH$61:BH$103,Headcount!$E$61:$E$103,$E134,Headcount!$F$61:$F$103,$F134)</f>
        <v>0</v>
      </c>
      <c r="AF134" s="313">
        <f>SUMIFS(Headcount!BI$61:BI$103,Headcount!$E$61:$E$103,$E134,Headcount!$F$61:$F$103,$F134)</f>
        <v>0</v>
      </c>
      <c r="AG134" s="313">
        <f>SUMIFS(Headcount!BJ$61:BJ$103,Headcount!$E$61:$E$103,$E134,Headcount!$F$61:$F$103,$F134)</f>
        <v>0</v>
      </c>
      <c r="AH134" s="313">
        <f>SUMIFS(Headcount!BK$61:BK$103,Headcount!$E$61:$E$103,$E134,Headcount!$F$61:$F$103,$F134)</f>
        <v>0</v>
      </c>
      <c r="AI134" s="313">
        <f>SUMIFS(Headcount!BL$61:BL$103,Headcount!$E$61:$E$103,$E134,Headcount!$F$61:$F$103,$F134)</f>
        <v>0</v>
      </c>
      <c r="AJ134" s="313">
        <f>SUMIFS(Headcount!BM$61:BM$103,Headcount!$E$61:$E$103,$E134,Headcount!$F$61:$F$103,$F134)</f>
        <v>0</v>
      </c>
      <c r="AK134" s="313">
        <f>SUMIFS(Headcount!BN$61:BN$103,Headcount!$E$61:$E$103,$E134,Headcount!$F$61:$F$103,$F134)</f>
        <v>0</v>
      </c>
      <c r="AL134" s="313">
        <f>SUMIFS(Headcount!BO$61:BO$103,Headcount!$E$61:$E$103,$E134,Headcount!$F$61:$F$103,$F134)</f>
        <v>0</v>
      </c>
      <c r="AM134" s="313">
        <f>SUMIFS(Headcount!BP$61:BP$103,Headcount!$E$61:$E$103,$E134,Headcount!$F$61:$F$103,$F134)</f>
        <v>0</v>
      </c>
      <c r="AN134" s="313">
        <f>SUMIFS(Headcount!BQ$61:BQ$103,Headcount!$E$61:$E$103,$E134,Headcount!$F$61:$F$103,$F134)</f>
        <v>0</v>
      </c>
      <c r="AO134" s="313">
        <f>SUMIFS(Headcount!BR$61:BR$103,Headcount!$E$61:$E$103,$E134,Headcount!$F$61:$F$103,$F134)</f>
        <v>0</v>
      </c>
      <c r="AP134" s="313">
        <f>SUMIFS(Headcount!BS$61:BS$103,Headcount!$E$61:$E$103,$E134,Headcount!$F$61:$F$103,$F134)</f>
        <v>0</v>
      </c>
      <c r="AQ134" s="313">
        <f>SUMIFS(Headcount!BT$61:BT$103,Headcount!$E$61:$E$103,$E134,Headcount!$F$61:$F$103,$F134)</f>
        <v>0</v>
      </c>
      <c r="AR134" s="313">
        <f>SUMIFS(Headcount!BU$61:BU$103,Headcount!$E$61:$E$103,$E134,Headcount!$F$61:$F$103,$F134)</f>
        <v>0</v>
      </c>
      <c r="AS134" s="313">
        <f>SUMIFS(Headcount!BV$61:BV$103,Headcount!$E$61:$E$103,$E134,Headcount!$F$61:$F$103,$F134)</f>
        <v>0</v>
      </c>
      <c r="AT134" s="313">
        <f>SUMIFS(Headcount!BW$61:BW$103,Headcount!$E$61:$E$103,$E134,Headcount!$F$61:$F$103,$F134)</f>
        <v>0</v>
      </c>
      <c r="AU134" s="313">
        <f>SUMIFS(Headcount!BX$61:BX$103,Headcount!$E$61:$E$103,$E134,Headcount!$F$61:$F$103,$F134)</f>
        <v>0</v>
      </c>
      <c r="AV134" s="313">
        <f>SUMIFS(Headcount!BY$61:BY$103,Headcount!$E$61:$E$103,$E134,Headcount!$F$61:$F$103,$F134)</f>
        <v>0</v>
      </c>
      <c r="AW134" s="313">
        <f>SUMIFS(Headcount!BZ$61:BZ$103,Headcount!$E$61:$E$103,$E134,Headcount!$F$61:$F$103,$F134)</f>
        <v>0</v>
      </c>
      <c r="AX134" s="313">
        <f>SUMIFS(Headcount!CA$61:CA$103,Headcount!$E$61:$E$103,$E134,Headcount!$F$61:$F$103,$F134)</f>
        <v>0</v>
      </c>
      <c r="AY134" s="313">
        <f>SUMIFS(Headcount!CB$61:CB$103,Headcount!$E$61:$E$103,$E134,Headcount!$F$61:$F$103,$F134)</f>
        <v>0</v>
      </c>
      <c r="AZ134" s="313">
        <f>SUMIFS(Headcount!CC$61:CC$103,Headcount!$E$61:$E$103,$E134,Headcount!$F$61:$F$103,$F134)</f>
        <v>0</v>
      </c>
      <c r="BA134" s="313">
        <f>SUMIFS(Headcount!CD$61:CD$103,Headcount!$E$61:$E$103,$E134,Headcount!$F$61:$F$103,$F134)</f>
        <v>0</v>
      </c>
      <c r="BB134" s="313">
        <f>SUMIFS(Headcount!CE$61:CE$103,Headcount!$E$61:$E$103,$E134,Headcount!$F$61:$F$103,$F134)</f>
        <v>0</v>
      </c>
      <c r="BC134" s="313">
        <f>SUMIFS(Headcount!CF$61:CF$103,Headcount!$E$61:$E$103,$E134,Headcount!$F$61:$F$103,$F134)</f>
        <v>0</v>
      </c>
      <c r="BD134" s="313">
        <f>SUMIFS(Headcount!CG$61:CG$103,Headcount!$E$61:$E$103,$E134,Headcount!$F$61:$F$103,$F134)</f>
        <v>0</v>
      </c>
      <c r="BE134" s="313">
        <f>SUMIFS(Headcount!CH$61:CH$103,Headcount!$E$61:$E$103,$E134,Headcount!$F$61:$F$103,$F134)</f>
        <v>0</v>
      </c>
      <c r="BF134" s="313">
        <f>SUMIFS(Headcount!CI$61:CI$103,Headcount!$E$61:$E$103,$E134,Headcount!$F$61:$F$103,$F134)</f>
        <v>0</v>
      </c>
      <c r="BG134" s="313">
        <f>SUMIFS(Headcount!CJ$61:CJ$103,Headcount!$E$61:$E$103,$E134,Headcount!$F$61:$F$103,$F134)</f>
        <v>0</v>
      </c>
      <c r="BH134" s="313">
        <f>SUMIFS(Headcount!CK$61:CK$103,Headcount!$E$61:$E$103,$E134,Headcount!$F$61:$F$103,$F134)</f>
        <v>0</v>
      </c>
    </row>
    <row r="135" spans="2:60" ht="19.5" customHeight="1" outlineLevel="1">
      <c r="B135" s="284"/>
      <c r="C135" s="315"/>
      <c r="D135" s="383" t="str">
        <f>D134</f>
        <v>Product</v>
      </c>
      <c r="E135" s="265" t="str">
        <f>E134</f>
        <v>H4</v>
      </c>
      <c r="F135" s="383" t="s">
        <v>192</v>
      </c>
      <c r="G135" s="277"/>
      <c r="H135" s="277"/>
      <c r="I135" s="277"/>
      <c r="J135" s="314"/>
      <c r="L135" s="313"/>
      <c r="M135" s="313">
        <f>SUMIFS(Headcount!AP$61:AP$103,Headcount!$E$61:$E$103,$E135,Headcount!$F$61:$F$103,$F135)</f>
        <v>16666.666666666668</v>
      </c>
      <c r="N135" s="313">
        <f>SUMIFS(Headcount!AQ$61:AQ$103,Headcount!$E$61:$E$103,$E135,Headcount!$F$61:$F$103,$F135)</f>
        <v>16666.666666666668</v>
      </c>
      <c r="O135" s="313">
        <f>SUMIFS(Headcount!AR$61:AR$103,Headcount!$E$61:$E$103,$E135,Headcount!$F$61:$F$103,$F135)</f>
        <v>16666.666666666668</v>
      </c>
      <c r="P135" s="313">
        <f>SUMIFS(Headcount!AS$61:AS$103,Headcount!$E$61:$E$103,$E135,Headcount!$F$61:$F$103,$F135)</f>
        <v>1666.6666666666667</v>
      </c>
      <c r="Q135" s="313">
        <f>SUMIFS(Headcount!AT$61:AT$103,Headcount!$E$61:$E$103,$E135,Headcount!$F$61:$F$103,$F135)</f>
        <v>0</v>
      </c>
      <c r="R135" s="313">
        <f>SUMIFS(Headcount!AU$61:AU$103,Headcount!$E$61:$E$103,$E135,Headcount!$F$61:$F$103,$F135)</f>
        <v>0</v>
      </c>
      <c r="S135" s="313">
        <f>SUMIFS(Headcount!AV$61:AV$103,Headcount!$E$61:$E$103,$E135,Headcount!$F$61:$F$103,$F135)</f>
        <v>0</v>
      </c>
      <c r="T135" s="313">
        <f>SUMIFS(Headcount!AW$61:AW$103,Headcount!$E$61:$E$103,$E135,Headcount!$F$61:$F$103,$F135)</f>
        <v>0</v>
      </c>
      <c r="U135" s="313">
        <f>SUMIFS(Headcount!AX$61:AX$103,Headcount!$E$61:$E$103,$E135,Headcount!$F$61:$F$103,$F135)</f>
        <v>0</v>
      </c>
      <c r="V135" s="313">
        <f>SUMIFS(Headcount!AY$61:AY$103,Headcount!$E$61:$E$103,$E135,Headcount!$F$61:$F$103,$F135)</f>
        <v>0</v>
      </c>
      <c r="W135" s="313">
        <f>SUMIFS(Headcount!AZ$61:AZ$103,Headcount!$E$61:$E$103,$E135,Headcount!$F$61:$F$103,$F135)</f>
        <v>0</v>
      </c>
      <c r="X135" s="313">
        <f>SUMIFS(Headcount!BA$61:BA$103,Headcount!$E$61:$E$103,$E135,Headcount!$F$61:$F$103,$F135)</f>
        <v>0</v>
      </c>
      <c r="Y135" s="313">
        <f>SUMIFS(Headcount!BB$61:BB$103,Headcount!$E$61:$E$103,$E135,Headcount!$F$61:$F$103,$F135)</f>
        <v>0</v>
      </c>
      <c r="Z135" s="313">
        <f>SUMIFS(Headcount!BC$61:BC$103,Headcount!$E$61:$E$103,$E135,Headcount!$F$61:$F$103,$F135)</f>
        <v>0</v>
      </c>
      <c r="AA135" s="313">
        <f>SUMIFS(Headcount!BD$61:BD$103,Headcount!$E$61:$E$103,$E135,Headcount!$F$61:$F$103,$F135)</f>
        <v>0</v>
      </c>
      <c r="AB135" s="313">
        <f>SUMIFS(Headcount!BE$61:BE$103,Headcount!$E$61:$E$103,$E135,Headcount!$F$61:$F$103,$F135)</f>
        <v>0</v>
      </c>
      <c r="AC135" s="313">
        <f>SUMIFS(Headcount!BF$61:BF$103,Headcount!$E$61:$E$103,$E135,Headcount!$F$61:$F$103,$F135)</f>
        <v>0</v>
      </c>
      <c r="AD135" s="313">
        <f>SUMIFS(Headcount!BG$61:BG$103,Headcount!$E$61:$E$103,$E135,Headcount!$F$61:$F$103,$F135)</f>
        <v>0</v>
      </c>
      <c r="AE135" s="313">
        <f>SUMIFS(Headcount!BH$61:BH$103,Headcount!$E$61:$E$103,$E135,Headcount!$F$61:$F$103,$F135)</f>
        <v>0</v>
      </c>
      <c r="AF135" s="313">
        <f>SUMIFS(Headcount!BI$61:BI$103,Headcount!$E$61:$E$103,$E135,Headcount!$F$61:$F$103,$F135)</f>
        <v>0</v>
      </c>
      <c r="AG135" s="313">
        <f>SUMIFS(Headcount!BJ$61:BJ$103,Headcount!$E$61:$E$103,$E135,Headcount!$F$61:$F$103,$F135)</f>
        <v>0</v>
      </c>
      <c r="AH135" s="313">
        <f>SUMIFS(Headcount!BK$61:BK$103,Headcount!$E$61:$E$103,$E135,Headcount!$F$61:$F$103,$F135)</f>
        <v>0</v>
      </c>
      <c r="AI135" s="313">
        <f>SUMIFS(Headcount!BL$61:BL$103,Headcount!$E$61:$E$103,$E135,Headcount!$F$61:$F$103,$F135)</f>
        <v>0</v>
      </c>
      <c r="AJ135" s="313">
        <f>SUMIFS(Headcount!BM$61:BM$103,Headcount!$E$61:$E$103,$E135,Headcount!$F$61:$F$103,$F135)</f>
        <v>0</v>
      </c>
      <c r="AK135" s="313">
        <f>SUMIFS(Headcount!BN$61:BN$103,Headcount!$E$61:$E$103,$E135,Headcount!$F$61:$F$103,$F135)</f>
        <v>0</v>
      </c>
      <c r="AL135" s="313">
        <f>SUMIFS(Headcount!BO$61:BO$103,Headcount!$E$61:$E$103,$E135,Headcount!$F$61:$F$103,$F135)</f>
        <v>0</v>
      </c>
      <c r="AM135" s="313">
        <f>SUMIFS(Headcount!BP$61:BP$103,Headcount!$E$61:$E$103,$E135,Headcount!$F$61:$F$103,$F135)</f>
        <v>0</v>
      </c>
      <c r="AN135" s="313">
        <f>SUMIFS(Headcount!BQ$61:BQ$103,Headcount!$E$61:$E$103,$E135,Headcount!$F$61:$F$103,$F135)</f>
        <v>0</v>
      </c>
      <c r="AO135" s="313">
        <f>SUMIFS(Headcount!BR$61:BR$103,Headcount!$E$61:$E$103,$E135,Headcount!$F$61:$F$103,$F135)</f>
        <v>0</v>
      </c>
      <c r="AP135" s="313">
        <f>SUMIFS(Headcount!BS$61:BS$103,Headcount!$E$61:$E$103,$E135,Headcount!$F$61:$F$103,$F135)</f>
        <v>0</v>
      </c>
      <c r="AQ135" s="313">
        <f>SUMIFS(Headcount!BT$61:BT$103,Headcount!$E$61:$E$103,$E135,Headcount!$F$61:$F$103,$F135)</f>
        <v>0</v>
      </c>
      <c r="AR135" s="313">
        <f>SUMIFS(Headcount!BU$61:BU$103,Headcount!$E$61:$E$103,$E135,Headcount!$F$61:$F$103,$F135)</f>
        <v>0</v>
      </c>
      <c r="AS135" s="313">
        <f>SUMIFS(Headcount!BV$61:BV$103,Headcount!$E$61:$E$103,$E135,Headcount!$F$61:$F$103,$F135)</f>
        <v>0</v>
      </c>
      <c r="AT135" s="313">
        <f>SUMIFS(Headcount!BW$61:BW$103,Headcount!$E$61:$E$103,$E135,Headcount!$F$61:$F$103,$F135)</f>
        <v>0</v>
      </c>
      <c r="AU135" s="313">
        <f>SUMIFS(Headcount!BX$61:BX$103,Headcount!$E$61:$E$103,$E135,Headcount!$F$61:$F$103,$F135)</f>
        <v>0</v>
      </c>
      <c r="AV135" s="313">
        <f>SUMIFS(Headcount!BY$61:BY$103,Headcount!$E$61:$E$103,$E135,Headcount!$F$61:$F$103,$F135)</f>
        <v>0</v>
      </c>
      <c r="AW135" s="313">
        <f>SUMIFS(Headcount!BZ$61:BZ$103,Headcount!$E$61:$E$103,$E135,Headcount!$F$61:$F$103,$F135)</f>
        <v>0</v>
      </c>
      <c r="AX135" s="313">
        <f>SUMIFS(Headcount!CA$61:CA$103,Headcount!$E$61:$E$103,$E135,Headcount!$F$61:$F$103,$F135)</f>
        <v>0</v>
      </c>
      <c r="AY135" s="313">
        <f>SUMIFS(Headcount!CB$61:CB$103,Headcount!$E$61:$E$103,$E135,Headcount!$F$61:$F$103,$F135)</f>
        <v>0</v>
      </c>
      <c r="AZ135" s="313">
        <f>SUMIFS(Headcount!CC$61:CC$103,Headcount!$E$61:$E$103,$E135,Headcount!$F$61:$F$103,$F135)</f>
        <v>0</v>
      </c>
      <c r="BA135" s="313">
        <f>SUMIFS(Headcount!CD$61:CD$103,Headcount!$E$61:$E$103,$E135,Headcount!$F$61:$F$103,$F135)</f>
        <v>0</v>
      </c>
      <c r="BB135" s="313">
        <f>SUMIFS(Headcount!CE$61:CE$103,Headcount!$E$61:$E$103,$E135,Headcount!$F$61:$F$103,$F135)</f>
        <v>0</v>
      </c>
      <c r="BC135" s="313">
        <f>SUMIFS(Headcount!CF$61:CF$103,Headcount!$E$61:$E$103,$E135,Headcount!$F$61:$F$103,$F135)</f>
        <v>0</v>
      </c>
      <c r="BD135" s="313">
        <f>SUMIFS(Headcount!CG$61:CG$103,Headcount!$E$61:$E$103,$E135,Headcount!$F$61:$F$103,$F135)</f>
        <v>10000</v>
      </c>
      <c r="BE135" s="313">
        <f>SUMIFS(Headcount!CH$61:CH$103,Headcount!$E$61:$E$103,$E135,Headcount!$F$61:$F$103,$F135)</f>
        <v>10000</v>
      </c>
      <c r="BF135" s="313">
        <f>SUMIFS(Headcount!CI$61:CI$103,Headcount!$E$61:$E$103,$E135,Headcount!$F$61:$F$103,$F135)</f>
        <v>10000</v>
      </c>
      <c r="BG135" s="313">
        <f>SUMIFS(Headcount!CJ$61:CJ$103,Headcount!$E$61:$E$103,$E135,Headcount!$F$61:$F$103,$F135)</f>
        <v>10000</v>
      </c>
      <c r="BH135" s="313">
        <f>SUMIFS(Headcount!CK$61:CK$103,Headcount!$E$61:$E$103,$E135,Headcount!$F$61:$F$103,$F135)</f>
        <v>10000</v>
      </c>
    </row>
    <row r="136" spans="2:60" ht="19.5" customHeight="1" outlineLevel="1">
      <c r="B136" s="284"/>
      <c r="C136" s="315"/>
      <c r="D136" s="383" t="str">
        <f t="shared" ref="D136:E139" si="15">D135</f>
        <v>Product</v>
      </c>
      <c r="E136" s="265" t="str">
        <f t="shared" si="15"/>
        <v>H4</v>
      </c>
      <c r="F136" s="383" t="s">
        <v>194</v>
      </c>
      <c r="G136" s="277"/>
      <c r="H136" s="277"/>
      <c r="I136" s="277"/>
      <c r="J136" s="314"/>
      <c r="L136" s="313"/>
      <c r="M136" s="313">
        <f>SUMIFS(Headcount!AP$61:AP$103,Headcount!$E$61:$E$103,$E136,Headcount!$F$61:$F$103,$F136)</f>
        <v>0</v>
      </c>
      <c r="N136" s="313">
        <f>SUMIFS(Headcount!AQ$61:AQ$103,Headcount!$E$61:$E$103,$E136,Headcount!$F$61:$F$103,$F136)</f>
        <v>0</v>
      </c>
      <c r="O136" s="313">
        <f>SUMIFS(Headcount!AR$61:AR$103,Headcount!$E$61:$E$103,$E136,Headcount!$F$61:$F$103,$F136)</f>
        <v>0</v>
      </c>
      <c r="P136" s="313">
        <f>SUMIFS(Headcount!AS$61:AS$103,Headcount!$E$61:$E$103,$E136,Headcount!$F$61:$F$103,$F136)</f>
        <v>0</v>
      </c>
      <c r="Q136" s="313">
        <f>SUMIFS(Headcount!AT$61:AT$103,Headcount!$E$61:$E$103,$E136,Headcount!$F$61:$F$103,$F136)</f>
        <v>0</v>
      </c>
      <c r="R136" s="313">
        <f>SUMIFS(Headcount!AU$61:AU$103,Headcount!$E$61:$E$103,$E136,Headcount!$F$61:$F$103,$F136)</f>
        <v>0</v>
      </c>
      <c r="S136" s="313">
        <f>SUMIFS(Headcount!AV$61:AV$103,Headcount!$E$61:$E$103,$E136,Headcount!$F$61:$F$103,$F136)</f>
        <v>0</v>
      </c>
      <c r="T136" s="313">
        <f>SUMIFS(Headcount!AW$61:AW$103,Headcount!$E$61:$E$103,$E136,Headcount!$F$61:$F$103,$F136)</f>
        <v>0</v>
      </c>
      <c r="U136" s="313">
        <f>SUMIFS(Headcount!AX$61:AX$103,Headcount!$E$61:$E$103,$E136,Headcount!$F$61:$F$103,$F136)</f>
        <v>0</v>
      </c>
      <c r="V136" s="313">
        <f>SUMIFS(Headcount!AY$61:AY$103,Headcount!$E$61:$E$103,$E136,Headcount!$F$61:$F$103,$F136)</f>
        <v>0</v>
      </c>
      <c r="W136" s="313">
        <f>SUMIFS(Headcount!AZ$61:AZ$103,Headcount!$E$61:$E$103,$E136,Headcount!$F$61:$F$103,$F136)</f>
        <v>0</v>
      </c>
      <c r="X136" s="313">
        <f>SUMIFS(Headcount!BA$61:BA$103,Headcount!$E$61:$E$103,$E136,Headcount!$F$61:$F$103,$F136)</f>
        <v>0</v>
      </c>
      <c r="Y136" s="313">
        <f>SUMIFS(Headcount!BB$61:BB$103,Headcount!$E$61:$E$103,$E136,Headcount!$F$61:$F$103,$F136)</f>
        <v>0</v>
      </c>
      <c r="Z136" s="313">
        <f>SUMIFS(Headcount!BC$61:BC$103,Headcount!$E$61:$E$103,$E136,Headcount!$F$61:$F$103,$F136)</f>
        <v>0</v>
      </c>
      <c r="AA136" s="313">
        <f>SUMIFS(Headcount!BD$61:BD$103,Headcount!$E$61:$E$103,$E136,Headcount!$F$61:$F$103,$F136)</f>
        <v>0</v>
      </c>
      <c r="AB136" s="313">
        <f>SUMIFS(Headcount!BE$61:BE$103,Headcount!$E$61:$E$103,$E136,Headcount!$F$61:$F$103,$F136)</f>
        <v>0</v>
      </c>
      <c r="AC136" s="313">
        <f>SUMIFS(Headcount!BF$61:BF$103,Headcount!$E$61:$E$103,$E136,Headcount!$F$61:$F$103,$F136)</f>
        <v>0</v>
      </c>
      <c r="AD136" s="313">
        <f>SUMIFS(Headcount!BG$61:BG$103,Headcount!$E$61:$E$103,$E136,Headcount!$F$61:$F$103,$F136)</f>
        <v>0</v>
      </c>
      <c r="AE136" s="313">
        <f>SUMIFS(Headcount!BH$61:BH$103,Headcount!$E$61:$E$103,$E136,Headcount!$F$61:$F$103,$F136)</f>
        <v>0</v>
      </c>
      <c r="AF136" s="313">
        <f>SUMIFS(Headcount!BI$61:BI$103,Headcount!$E$61:$E$103,$E136,Headcount!$F$61:$F$103,$F136)</f>
        <v>0</v>
      </c>
      <c r="AG136" s="313">
        <f>SUMIFS(Headcount!BJ$61:BJ$103,Headcount!$E$61:$E$103,$E136,Headcount!$F$61:$F$103,$F136)</f>
        <v>0</v>
      </c>
      <c r="AH136" s="313">
        <f>SUMIFS(Headcount!BK$61:BK$103,Headcount!$E$61:$E$103,$E136,Headcount!$F$61:$F$103,$F136)</f>
        <v>0</v>
      </c>
      <c r="AI136" s="313">
        <f>SUMIFS(Headcount!BL$61:BL$103,Headcount!$E$61:$E$103,$E136,Headcount!$F$61:$F$103,$F136)</f>
        <v>0</v>
      </c>
      <c r="AJ136" s="313">
        <f>SUMIFS(Headcount!BM$61:BM$103,Headcount!$E$61:$E$103,$E136,Headcount!$F$61:$F$103,$F136)</f>
        <v>0</v>
      </c>
      <c r="AK136" s="313">
        <f>SUMIFS(Headcount!BN$61:BN$103,Headcount!$E$61:$E$103,$E136,Headcount!$F$61:$F$103,$F136)</f>
        <v>0</v>
      </c>
      <c r="AL136" s="313">
        <f>SUMIFS(Headcount!BO$61:BO$103,Headcount!$E$61:$E$103,$E136,Headcount!$F$61:$F$103,$F136)</f>
        <v>0</v>
      </c>
      <c r="AM136" s="313">
        <f>SUMIFS(Headcount!BP$61:BP$103,Headcount!$E$61:$E$103,$E136,Headcount!$F$61:$F$103,$F136)</f>
        <v>0</v>
      </c>
      <c r="AN136" s="313">
        <f>SUMIFS(Headcount!BQ$61:BQ$103,Headcount!$E$61:$E$103,$E136,Headcount!$F$61:$F$103,$F136)</f>
        <v>0</v>
      </c>
      <c r="AO136" s="313">
        <f>SUMIFS(Headcount!BR$61:BR$103,Headcount!$E$61:$E$103,$E136,Headcount!$F$61:$F$103,$F136)</f>
        <v>0</v>
      </c>
      <c r="AP136" s="313">
        <f>SUMIFS(Headcount!BS$61:BS$103,Headcount!$E$61:$E$103,$E136,Headcount!$F$61:$F$103,$F136)</f>
        <v>0</v>
      </c>
      <c r="AQ136" s="313">
        <f>SUMIFS(Headcount!BT$61:BT$103,Headcount!$E$61:$E$103,$E136,Headcount!$F$61:$F$103,$F136)</f>
        <v>0</v>
      </c>
      <c r="AR136" s="313">
        <f>SUMIFS(Headcount!BU$61:BU$103,Headcount!$E$61:$E$103,$E136,Headcount!$F$61:$F$103,$F136)</f>
        <v>0</v>
      </c>
      <c r="AS136" s="313">
        <f>SUMIFS(Headcount!BV$61:BV$103,Headcount!$E$61:$E$103,$E136,Headcount!$F$61:$F$103,$F136)</f>
        <v>0</v>
      </c>
      <c r="AT136" s="313">
        <f>SUMIFS(Headcount!BW$61:BW$103,Headcount!$E$61:$E$103,$E136,Headcount!$F$61:$F$103,$F136)</f>
        <v>0</v>
      </c>
      <c r="AU136" s="313">
        <f>SUMIFS(Headcount!BX$61:BX$103,Headcount!$E$61:$E$103,$E136,Headcount!$F$61:$F$103,$F136)</f>
        <v>0</v>
      </c>
      <c r="AV136" s="313">
        <f>SUMIFS(Headcount!BY$61:BY$103,Headcount!$E$61:$E$103,$E136,Headcount!$F$61:$F$103,$F136)</f>
        <v>0</v>
      </c>
      <c r="AW136" s="313">
        <f>SUMIFS(Headcount!BZ$61:BZ$103,Headcount!$E$61:$E$103,$E136,Headcount!$F$61:$F$103,$F136)</f>
        <v>0</v>
      </c>
      <c r="AX136" s="313">
        <f>SUMIFS(Headcount!CA$61:CA$103,Headcount!$E$61:$E$103,$E136,Headcount!$F$61:$F$103,$F136)</f>
        <v>0</v>
      </c>
      <c r="AY136" s="313">
        <f>SUMIFS(Headcount!CB$61:CB$103,Headcount!$E$61:$E$103,$E136,Headcount!$F$61:$F$103,$F136)</f>
        <v>0</v>
      </c>
      <c r="AZ136" s="313">
        <f>SUMIFS(Headcount!CC$61:CC$103,Headcount!$E$61:$E$103,$E136,Headcount!$F$61:$F$103,$F136)</f>
        <v>0</v>
      </c>
      <c r="BA136" s="313">
        <f>SUMIFS(Headcount!CD$61:CD$103,Headcount!$E$61:$E$103,$E136,Headcount!$F$61:$F$103,$F136)</f>
        <v>0</v>
      </c>
      <c r="BB136" s="313">
        <f>SUMIFS(Headcount!CE$61:CE$103,Headcount!$E$61:$E$103,$E136,Headcount!$F$61:$F$103,$F136)</f>
        <v>0</v>
      </c>
      <c r="BC136" s="313">
        <f>SUMIFS(Headcount!CF$61:CF$103,Headcount!$E$61:$E$103,$E136,Headcount!$F$61:$F$103,$F136)</f>
        <v>0</v>
      </c>
      <c r="BD136" s="313">
        <f>SUMIFS(Headcount!CG$61:CG$103,Headcount!$E$61:$E$103,$E136,Headcount!$F$61:$F$103,$F136)</f>
        <v>0</v>
      </c>
      <c r="BE136" s="313">
        <f>SUMIFS(Headcount!CH$61:CH$103,Headcount!$E$61:$E$103,$E136,Headcount!$F$61:$F$103,$F136)</f>
        <v>0</v>
      </c>
      <c r="BF136" s="313">
        <f>SUMIFS(Headcount!CI$61:CI$103,Headcount!$E$61:$E$103,$E136,Headcount!$F$61:$F$103,$F136)</f>
        <v>0</v>
      </c>
      <c r="BG136" s="313">
        <f>SUMIFS(Headcount!CJ$61:CJ$103,Headcount!$E$61:$E$103,$E136,Headcount!$F$61:$F$103,$F136)</f>
        <v>0</v>
      </c>
      <c r="BH136" s="313">
        <f>SUMIFS(Headcount!CK$61:CK$103,Headcount!$E$61:$E$103,$E136,Headcount!$F$61:$F$103,$F136)</f>
        <v>0</v>
      </c>
    </row>
    <row r="137" spans="2:60" ht="19.5" customHeight="1" outlineLevel="1">
      <c r="B137" s="284"/>
      <c r="C137" s="315"/>
      <c r="D137" s="383" t="str">
        <f t="shared" si="15"/>
        <v>Product</v>
      </c>
      <c r="E137" s="265" t="str">
        <f t="shared" si="15"/>
        <v>H4</v>
      </c>
      <c r="F137" s="383" t="s">
        <v>196</v>
      </c>
      <c r="G137" s="277"/>
      <c r="H137" s="277"/>
      <c r="I137" s="277"/>
      <c r="J137" s="314"/>
      <c r="L137" s="313"/>
      <c r="M137" s="313">
        <f>SUMIFS(Headcount!AP$61:AP$103,Headcount!$E$61:$E$103,$E137,Headcount!$F$61:$F$103,$F137)</f>
        <v>0</v>
      </c>
      <c r="N137" s="313">
        <f>SUMIFS(Headcount!AQ$61:AQ$103,Headcount!$E$61:$E$103,$E137,Headcount!$F$61:$F$103,$F137)</f>
        <v>0</v>
      </c>
      <c r="O137" s="313">
        <f>SUMIFS(Headcount!AR$61:AR$103,Headcount!$E$61:$E$103,$E137,Headcount!$F$61:$F$103,$F137)</f>
        <v>0</v>
      </c>
      <c r="P137" s="313">
        <f>SUMIFS(Headcount!AS$61:AS$103,Headcount!$E$61:$E$103,$E137,Headcount!$F$61:$F$103,$F137)</f>
        <v>0</v>
      </c>
      <c r="Q137" s="313">
        <f>SUMIFS(Headcount!AT$61:AT$103,Headcount!$E$61:$E$103,$E137,Headcount!$F$61:$F$103,$F137)</f>
        <v>0</v>
      </c>
      <c r="R137" s="313">
        <f>SUMIFS(Headcount!AU$61:AU$103,Headcount!$E$61:$E$103,$E137,Headcount!$F$61:$F$103,$F137)</f>
        <v>0</v>
      </c>
      <c r="S137" s="313">
        <f>SUMIFS(Headcount!AV$61:AV$103,Headcount!$E$61:$E$103,$E137,Headcount!$F$61:$F$103,$F137)</f>
        <v>0</v>
      </c>
      <c r="T137" s="313">
        <f>SUMIFS(Headcount!AW$61:AW$103,Headcount!$E$61:$E$103,$E137,Headcount!$F$61:$F$103,$F137)</f>
        <v>0</v>
      </c>
      <c r="U137" s="313">
        <f>SUMIFS(Headcount!AX$61:AX$103,Headcount!$E$61:$E$103,$E137,Headcount!$F$61:$F$103,$F137)</f>
        <v>0</v>
      </c>
      <c r="V137" s="313">
        <f>SUMIFS(Headcount!AY$61:AY$103,Headcount!$E$61:$E$103,$E137,Headcount!$F$61:$F$103,$F137)</f>
        <v>0</v>
      </c>
      <c r="W137" s="313">
        <f>SUMIFS(Headcount!AZ$61:AZ$103,Headcount!$E$61:$E$103,$E137,Headcount!$F$61:$F$103,$F137)</f>
        <v>0</v>
      </c>
      <c r="X137" s="313">
        <f>SUMIFS(Headcount!BA$61:BA$103,Headcount!$E$61:$E$103,$E137,Headcount!$F$61:$F$103,$F137)</f>
        <v>0</v>
      </c>
      <c r="Y137" s="313">
        <f>SUMIFS(Headcount!BB$61:BB$103,Headcount!$E$61:$E$103,$E137,Headcount!$F$61:$F$103,$F137)</f>
        <v>0</v>
      </c>
      <c r="Z137" s="313">
        <f>SUMIFS(Headcount!BC$61:BC$103,Headcount!$E$61:$E$103,$E137,Headcount!$F$61:$F$103,$F137)</f>
        <v>0</v>
      </c>
      <c r="AA137" s="313">
        <f>SUMIFS(Headcount!BD$61:BD$103,Headcount!$E$61:$E$103,$E137,Headcount!$F$61:$F$103,$F137)</f>
        <v>0</v>
      </c>
      <c r="AB137" s="313">
        <f>SUMIFS(Headcount!BE$61:BE$103,Headcount!$E$61:$E$103,$E137,Headcount!$F$61:$F$103,$F137)</f>
        <v>0</v>
      </c>
      <c r="AC137" s="313">
        <f>SUMIFS(Headcount!BF$61:BF$103,Headcount!$E$61:$E$103,$E137,Headcount!$F$61:$F$103,$F137)</f>
        <v>0</v>
      </c>
      <c r="AD137" s="313">
        <f>SUMIFS(Headcount!BG$61:BG$103,Headcount!$E$61:$E$103,$E137,Headcount!$F$61:$F$103,$F137)</f>
        <v>0</v>
      </c>
      <c r="AE137" s="313">
        <f>SUMIFS(Headcount!BH$61:BH$103,Headcount!$E$61:$E$103,$E137,Headcount!$F$61:$F$103,$F137)</f>
        <v>0</v>
      </c>
      <c r="AF137" s="313">
        <f>SUMIFS(Headcount!BI$61:BI$103,Headcount!$E$61:$E$103,$E137,Headcount!$F$61:$F$103,$F137)</f>
        <v>0</v>
      </c>
      <c r="AG137" s="313">
        <f>SUMIFS(Headcount!BJ$61:BJ$103,Headcount!$E$61:$E$103,$E137,Headcount!$F$61:$F$103,$F137)</f>
        <v>0</v>
      </c>
      <c r="AH137" s="313">
        <f>SUMIFS(Headcount!BK$61:BK$103,Headcount!$E$61:$E$103,$E137,Headcount!$F$61:$F$103,$F137)</f>
        <v>0</v>
      </c>
      <c r="AI137" s="313">
        <f>SUMIFS(Headcount!BL$61:BL$103,Headcount!$E$61:$E$103,$E137,Headcount!$F$61:$F$103,$F137)</f>
        <v>0</v>
      </c>
      <c r="AJ137" s="313">
        <f>SUMIFS(Headcount!BM$61:BM$103,Headcount!$E$61:$E$103,$E137,Headcount!$F$61:$F$103,$F137)</f>
        <v>0</v>
      </c>
      <c r="AK137" s="313">
        <f>SUMIFS(Headcount!BN$61:BN$103,Headcount!$E$61:$E$103,$E137,Headcount!$F$61:$F$103,$F137)</f>
        <v>0</v>
      </c>
      <c r="AL137" s="313">
        <f>SUMIFS(Headcount!BO$61:BO$103,Headcount!$E$61:$E$103,$E137,Headcount!$F$61:$F$103,$F137)</f>
        <v>0</v>
      </c>
      <c r="AM137" s="313">
        <f>SUMIFS(Headcount!BP$61:BP$103,Headcount!$E$61:$E$103,$E137,Headcount!$F$61:$F$103,$F137)</f>
        <v>0</v>
      </c>
      <c r="AN137" s="313">
        <f>SUMIFS(Headcount!BQ$61:BQ$103,Headcount!$E$61:$E$103,$E137,Headcount!$F$61:$F$103,$F137)</f>
        <v>0</v>
      </c>
      <c r="AO137" s="313">
        <f>SUMIFS(Headcount!BR$61:BR$103,Headcount!$E$61:$E$103,$E137,Headcount!$F$61:$F$103,$F137)</f>
        <v>0</v>
      </c>
      <c r="AP137" s="313">
        <f>SUMIFS(Headcount!BS$61:BS$103,Headcount!$E$61:$E$103,$E137,Headcount!$F$61:$F$103,$F137)</f>
        <v>0</v>
      </c>
      <c r="AQ137" s="313">
        <f>SUMIFS(Headcount!BT$61:BT$103,Headcount!$E$61:$E$103,$E137,Headcount!$F$61:$F$103,$F137)</f>
        <v>0</v>
      </c>
      <c r="AR137" s="313">
        <f>SUMIFS(Headcount!BU$61:BU$103,Headcount!$E$61:$E$103,$E137,Headcount!$F$61:$F$103,$F137)</f>
        <v>0</v>
      </c>
      <c r="AS137" s="313">
        <f>SUMIFS(Headcount!BV$61:BV$103,Headcount!$E$61:$E$103,$E137,Headcount!$F$61:$F$103,$F137)</f>
        <v>0</v>
      </c>
      <c r="AT137" s="313">
        <f>SUMIFS(Headcount!BW$61:BW$103,Headcount!$E$61:$E$103,$E137,Headcount!$F$61:$F$103,$F137)</f>
        <v>0</v>
      </c>
      <c r="AU137" s="313">
        <f>SUMIFS(Headcount!BX$61:BX$103,Headcount!$E$61:$E$103,$E137,Headcount!$F$61:$F$103,$F137)</f>
        <v>0</v>
      </c>
      <c r="AV137" s="313">
        <f>SUMIFS(Headcount!BY$61:BY$103,Headcount!$E$61:$E$103,$E137,Headcount!$F$61:$F$103,$F137)</f>
        <v>0</v>
      </c>
      <c r="AW137" s="313">
        <f>SUMIFS(Headcount!BZ$61:BZ$103,Headcount!$E$61:$E$103,$E137,Headcount!$F$61:$F$103,$F137)</f>
        <v>0</v>
      </c>
      <c r="AX137" s="313">
        <f>SUMIFS(Headcount!CA$61:CA$103,Headcount!$E$61:$E$103,$E137,Headcount!$F$61:$F$103,$F137)</f>
        <v>0</v>
      </c>
      <c r="AY137" s="313">
        <f>SUMIFS(Headcount!CB$61:CB$103,Headcount!$E$61:$E$103,$E137,Headcount!$F$61:$F$103,$F137)</f>
        <v>0</v>
      </c>
      <c r="AZ137" s="313">
        <f>SUMIFS(Headcount!CC$61:CC$103,Headcount!$E$61:$E$103,$E137,Headcount!$F$61:$F$103,$F137)</f>
        <v>0</v>
      </c>
      <c r="BA137" s="313">
        <f>SUMIFS(Headcount!CD$61:CD$103,Headcount!$E$61:$E$103,$E137,Headcount!$F$61:$F$103,$F137)</f>
        <v>0</v>
      </c>
      <c r="BB137" s="313">
        <f>SUMIFS(Headcount!CE$61:CE$103,Headcount!$E$61:$E$103,$E137,Headcount!$F$61:$F$103,$F137)</f>
        <v>0</v>
      </c>
      <c r="BC137" s="313">
        <f>SUMIFS(Headcount!CF$61:CF$103,Headcount!$E$61:$E$103,$E137,Headcount!$F$61:$F$103,$F137)</f>
        <v>0</v>
      </c>
      <c r="BD137" s="313">
        <f>SUMIFS(Headcount!CG$61:CG$103,Headcount!$E$61:$E$103,$E137,Headcount!$F$61:$F$103,$F137)</f>
        <v>0</v>
      </c>
      <c r="BE137" s="313">
        <f>SUMIFS(Headcount!CH$61:CH$103,Headcount!$E$61:$E$103,$E137,Headcount!$F$61:$F$103,$F137)</f>
        <v>0</v>
      </c>
      <c r="BF137" s="313">
        <f>SUMIFS(Headcount!CI$61:CI$103,Headcount!$E$61:$E$103,$E137,Headcount!$F$61:$F$103,$F137)</f>
        <v>0</v>
      </c>
      <c r="BG137" s="313">
        <f>SUMIFS(Headcount!CJ$61:CJ$103,Headcount!$E$61:$E$103,$E137,Headcount!$F$61:$F$103,$F137)</f>
        <v>0</v>
      </c>
      <c r="BH137" s="313">
        <f>SUMIFS(Headcount!CK$61:CK$103,Headcount!$E$61:$E$103,$E137,Headcount!$F$61:$F$103,$F137)</f>
        <v>0</v>
      </c>
    </row>
    <row r="138" spans="2:60" ht="19.5" customHeight="1" outlineLevel="1">
      <c r="B138" s="284"/>
      <c r="C138" s="315"/>
      <c r="D138" s="383" t="str">
        <f t="shared" si="15"/>
        <v>Product</v>
      </c>
      <c r="E138" s="265" t="str">
        <f t="shared" si="15"/>
        <v>H4</v>
      </c>
      <c r="F138" s="383" t="s">
        <v>198</v>
      </c>
      <c r="G138" s="277"/>
      <c r="H138" s="277"/>
      <c r="I138" s="277"/>
      <c r="J138" s="314"/>
      <c r="L138" s="313"/>
      <c r="M138" s="313">
        <f>SUMIFS(Headcount!AP$61:AP$103,Headcount!$E$61:$E$103,$E138,Headcount!$F$61:$F$103,$F138)</f>
        <v>0</v>
      </c>
      <c r="N138" s="313">
        <f>SUMIFS(Headcount!AQ$61:AQ$103,Headcount!$E$61:$E$103,$E138,Headcount!$F$61:$F$103,$F138)</f>
        <v>0</v>
      </c>
      <c r="O138" s="313">
        <f>SUMIFS(Headcount!AR$61:AR$103,Headcount!$E$61:$E$103,$E138,Headcount!$F$61:$F$103,$F138)</f>
        <v>0</v>
      </c>
      <c r="P138" s="313">
        <f>SUMIFS(Headcount!AS$61:AS$103,Headcount!$E$61:$E$103,$E138,Headcount!$F$61:$F$103,$F138)</f>
        <v>0</v>
      </c>
      <c r="Q138" s="313">
        <f>SUMIFS(Headcount!AT$61:AT$103,Headcount!$E$61:$E$103,$E138,Headcount!$F$61:$F$103,$F138)</f>
        <v>0</v>
      </c>
      <c r="R138" s="313">
        <f>SUMIFS(Headcount!AU$61:AU$103,Headcount!$E$61:$E$103,$E138,Headcount!$F$61:$F$103,$F138)</f>
        <v>0</v>
      </c>
      <c r="S138" s="313">
        <f>SUMIFS(Headcount!AV$61:AV$103,Headcount!$E$61:$E$103,$E138,Headcount!$F$61:$F$103,$F138)</f>
        <v>0</v>
      </c>
      <c r="T138" s="313">
        <f>SUMIFS(Headcount!AW$61:AW$103,Headcount!$E$61:$E$103,$E138,Headcount!$F$61:$F$103,$F138)</f>
        <v>0</v>
      </c>
      <c r="U138" s="313">
        <f>SUMIFS(Headcount!AX$61:AX$103,Headcount!$E$61:$E$103,$E138,Headcount!$F$61:$F$103,$F138)</f>
        <v>0</v>
      </c>
      <c r="V138" s="313">
        <f>SUMIFS(Headcount!AY$61:AY$103,Headcount!$E$61:$E$103,$E138,Headcount!$F$61:$F$103,$F138)</f>
        <v>0</v>
      </c>
      <c r="W138" s="313">
        <f>SUMIFS(Headcount!AZ$61:AZ$103,Headcount!$E$61:$E$103,$E138,Headcount!$F$61:$F$103,$F138)</f>
        <v>0</v>
      </c>
      <c r="X138" s="313">
        <f>SUMIFS(Headcount!BA$61:BA$103,Headcount!$E$61:$E$103,$E138,Headcount!$F$61:$F$103,$F138)</f>
        <v>0</v>
      </c>
      <c r="Y138" s="313">
        <f>SUMIFS(Headcount!BB$61:BB$103,Headcount!$E$61:$E$103,$E138,Headcount!$F$61:$F$103,$F138)</f>
        <v>0</v>
      </c>
      <c r="Z138" s="313">
        <f>SUMIFS(Headcount!BC$61:BC$103,Headcount!$E$61:$E$103,$E138,Headcount!$F$61:$F$103,$F138)</f>
        <v>0</v>
      </c>
      <c r="AA138" s="313">
        <f>SUMIFS(Headcount!BD$61:BD$103,Headcount!$E$61:$E$103,$E138,Headcount!$F$61:$F$103,$F138)</f>
        <v>0</v>
      </c>
      <c r="AB138" s="313">
        <f>SUMIFS(Headcount!BE$61:BE$103,Headcount!$E$61:$E$103,$E138,Headcount!$F$61:$F$103,$F138)</f>
        <v>0</v>
      </c>
      <c r="AC138" s="313">
        <f>SUMIFS(Headcount!BF$61:BF$103,Headcount!$E$61:$E$103,$E138,Headcount!$F$61:$F$103,$F138)</f>
        <v>0</v>
      </c>
      <c r="AD138" s="313">
        <f>SUMIFS(Headcount!BG$61:BG$103,Headcount!$E$61:$E$103,$E138,Headcount!$F$61:$F$103,$F138)</f>
        <v>0</v>
      </c>
      <c r="AE138" s="313">
        <f>SUMIFS(Headcount!BH$61:BH$103,Headcount!$E$61:$E$103,$E138,Headcount!$F$61:$F$103,$F138)</f>
        <v>0</v>
      </c>
      <c r="AF138" s="313">
        <f>SUMIFS(Headcount!BI$61:BI$103,Headcount!$E$61:$E$103,$E138,Headcount!$F$61:$F$103,$F138)</f>
        <v>0</v>
      </c>
      <c r="AG138" s="313">
        <f>SUMIFS(Headcount!BJ$61:BJ$103,Headcount!$E$61:$E$103,$E138,Headcount!$F$61:$F$103,$F138)</f>
        <v>0</v>
      </c>
      <c r="AH138" s="313">
        <f>SUMIFS(Headcount!BK$61:BK$103,Headcount!$E$61:$E$103,$E138,Headcount!$F$61:$F$103,$F138)</f>
        <v>0</v>
      </c>
      <c r="AI138" s="313">
        <f>SUMIFS(Headcount!BL$61:BL$103,Headcount!$E$61:$E$103,$E138,Headcount!$F$61:$F$103,$F138)</f>
        <v>0</v>
      </c>
      <c r="AJ138" s="313">
        <f>SUMIFS(Headcount!BM$61:BM$103,Headcount!$E$61:$E$103,$E138,Headcount!$F$61:$F$103,$F138)</f>
        <v>0</v>
      </c>
      <c r="AK138" s="313">
        <f>SUMIFS(Headcount!BN$61:BN$103,Headcount!$E$61:$E$103,$E138,Headcount!$F$61:$F$103,$F138)</f>
        <v>0</v>
      </c>
      <c r="AL138" s="313">
        <f>SUMIFS(Headcount!BO$61:BO$103,Headcount!$E$61:$E$103,$E138,Headcount!$F$61:$F$103,$F138)</f>
        <v>0</v>
      </c>
      <c r="AM138" s="313">
        <f>SUMIFS(Headcount!BP$61:BP$103,Headcount!$E$61:$E$103,$E138,Headcount!$F$61:$F$103,$F138)</f>
        <v>0</v>
      </c>
      <c r="AN138" s="313">
        <f>SUMIFS(Headcount!BQ$61:BQ$103,Headcount!$E$61:$E$103,$E138,Headcount!$F$61:$F$103,$F138)</f>
        <v>0</v>
      </c>
      <c r="AO138" s="313">
        <f>SUMIFS(Headcount!BR$61:BR$103,Headcount!$E$61:$E$103,$E138,Headcount!$F$61:$F$103,$F138)</f>
        <v>0</v>
      </c>
      <c r="AP138" s="313">
        <f>SUMIFS(Headcount!BS$61:BS$103,Headcount!$E$61:$E$103,$E138,Headcount!$F$61:$F$103,$F138)</f>
        <v>0</v>
      </c>
      <c r="AQ138" s="313">
        <f>SUMIFS(Headcount!BT$61:BT$103,Headcount!$E$61:$E$103,$E138,Headcount!$F$61:$F$103,$F138)</f>
        <v>0</v>
      </c>
      <c r="AR138" s="313">
        <f>SUMIFS(Headcount!BU$61:BU$103,Headcount!$E$61:$E$103,$E138,Headcount!$F$61:$F$103,$F138)</f>
        <v>0</v>
      </c>
      <c r="AS138" s="313">
        <f>SUMIFS(Headcount!BV$61:BV$103,Headcount!$E$61:$E$103,$E138,Headcount!$F$61:$F$103,$F138)</f>
        <v>0</v>
      </c>
      <c r="AT138" s="313">
        <f>SUMIFS(Headcount!BW$61:BW$103,Headcount!$E$61:$E$103,$E138,Headcount!$F$61:$F$103,$F138)</f>
        <v>0</v>
      </c>
      <c r="AU138" s="313">
        <f>SUMIFS(Headcount!BX$61:BX$103,Headcount!$E$61:$E$103,$E138,Headcount!$F$61:$F$103,$F138)</f>
        <v>0</v>
      </c>
      <c r="AV138" s="313">
        <f>SUMIFS(Headcount!BY$61:BY$103,Headcount!$E$61:$E$103,$E138,Headcount!$F$61:$F$103,$F138)</f>
        <v>0</v>
      </c>
      <c r="AW138" s="313">
        <f>SUMIFS(Headcount!BZ$61:BZ$103,Headcount!$E$61:$E$103,$E138,Headcount!$F$61:$F$103,$F138)</f>
        <v>0</v>
      </c>
      <c r="AX138" s="313">
        <f>SUMIFS(Headcount!CA$61:CA$103,Headcount!$E$61:$E$103,$E138,Headcount!$F$61:$F$103,$F138)</f>
        <v>0</v>
      </c>
      <c r="AY138" s="313">
        <f>SUMIFS(Headcount!CB$61:CB$103,Headcount!$E$61:$E$103,$E138,Headcount!$F$61:$F$103,$F138)</f>
        <v>0</v>
      </c>
      <c r="AZ138" s="313">
        <f>SUMIFS(Headcount!CC$61:CC$103,Headcount!$E$61:$E$103,$E138,Headcount!$F$61:$F$103,$F138)</f>
        <v>0</v>
      </c>
      <c r="BA138" s="313">
        <f>SUMIFS(Headcount!CD$61:CD$103,Headcount!$E$61:$E$103,$E138,Headcount!$F$61:$F$103,$F138)</f>
        <v>0</v>
      </c>
      <c r="BB138" s="313">
        <f>SUMIFS(Headcount!CE$61:CE$103,Headcount!$E$61:$E$103,$E138,Headcount!$F$61:$F$103,$F138)</f>
        <v>0</v>
      </c>
      <c r="BC138" s="313">
        <f>SUMIFS(Headcount!CF$61:CF$103,Headcount!$E$61:$E$103,$E138,Headcount!$F$61:$F$103,$F138)</f>
        <v>0</v>
      </c>
      <c r="BD138" s="313">
        <f>SUMIFS(Headcount!CG$61:CG$103,Headcount!$E$61:$E$103,$E138,Headcount!$F$61:$F$103,$F138)</f>
        <v>0</v>
      </c>
      <c r="BE138" s="313">
        <f>SUMIFS(Headcount!CH$61:CH$103,Headcount!$E$61:$E$103,$E138,Headcount!$F$61:$F$103,$F138)</f>
        <v>0</v>
      </c>
      <c r="BF138" s="313">
        <f>SUMIFS(Headcount!CI$61:CI$103,Headcount!$E$61:$E$103,$E138,Headcount!$F$61:$F$103,$F138)</f>
        <v>0</v>
      </c>
      <c r="BG138" s="313">
        <f>SUMIFS(Headcount!CJ$61:CJ$103,Headcount!$E$61:$E$103,$E138,Headcount!$F$61:$F$103,$F138)</f>
        <v>0</v>
      </c>
      <c r="BH138" s="313">
        <f>SUMIFS(Headcount!CK$61:CK$103,Headcount!$E$61:$E$103,$E138,Headcount!$F$61:$F$103,$F138)</f>
        <v>0</v>
      </c>
    </row>
    <row r="139" spans="2:60" ht="19.5" customHeight="1" outlineLevel="1">
      <c r="B139" s="284"/>
      <c r="C139" s="315"/>
      <c r="D139" s="383" t="str">
        <f t="shared" si="15"/>
        <v>Product</v>
      </c>
      <c r="E139" s="265" t="str">
        <f t="shared" si="15"/>
        <v>H4</v>
      </c>
      <c r="F139" s="383" t="s">
        <v>200</v>
      </c>
      <c r="G139" s="277"/>
      <c r="H139" s="277"/>
      <c r="I139" s="277"/>
      <c r="J139" s="314"/>
      <c r="L139" s="313"/>
      <c r="M139" s="313">
        <f>SUMIFS(Headcount!AP$61:AP$103,Headcount!$E$61:$E$103,$E139,Headcount!$F$61:$F$103,$F139)</f>
        <v>0</v>
      </c>
      <c r="N139" s="313">
        <f>SUMIFS(Headcount!AQ$61:AQ$103,Headcount!$E$61:$E$103,$E139,Headcount!$F$61:$F$103,$F139)</f>
        <v>0</v>
      </c>
      <c r="O139" s="313">
        <f>SUMIFS(Headcount!AR$61:AR$103,Headcount!$E$61:$E$103,$E139,Headcount!$F$61:$F$103,$F139)</f>
        <v>0</v>
      </c>
      <c r="P139" s="313">
        <f>SUMIFS(Headcount!AS$61:AS$103,Headcount!$E$61:$E$103,$E139,Headcount!$F$61:$F$103,$F139)</f>
        <v>0</v>
      </c>
      <c r="Q139" s="313">
        <f>SUMIFS(Headcount!AT$61:AT$103,Headcount!$E$61:$E$103,$E139,Headcount!$F$61:$F$103,$F139)</f>
        <v>0</v>
      </c>
      <c r="R139" s="313">
        <f>SUMIFS(Headcount!AU$61:AU$103,Headcount!$E$61:$E$103,$E139,Headcount!$F$61:$F$103,$F139)</f>
        <v>0</v>
      </c>
      <c r="S139" s="313">
        <f>SUMIFS(Headcount!AV$61:AV$103,Headcount!$E$61:$E$103,$E139,Headcount!$F$61:$F$103,$F139)</f>
        <v>0</v>
      </c>
      <c r="T139" s="313">
        <f>SUMIFS(Headcount!AW$61:AW$103,Headcount!$E$61:$E$103,$E139,Headcount!$F$61:$F$103,$F139)</f>
        <v>0</v>
      </c>
      <c r="U139" s="313">
        <f>SUMIFS(Headcount!AX$61:AX$103,Headcount!$E$61:$E$103,$E139,Headcount!$F$61:$F$103,$F139)</f>
        <v>0</v>
      </c>
      <c r="V139" s="313">
        <f>SUMIFS(Headcount!AY$61:AY$103,Headcount!$E$61:$E$103,$E139,Headcount!$F$61:$F$103,$F139)</f>
        <v>0</v>
      </c>
      <c r="W139" s="313">
        <f>SUMIFS(Headcount!AZ$61:AZ$103,Headcount!$E$61:$E$103,$E139,Headcount!$F$61:$F$103,$F139)</f>
        <v>0</v>
      </c>
      <c r="X139" s="313">
        <f>SUMIFS(Headcount!BA$61:BA$103,Headcount!$E$61:$E$103,$E139,Headcount!$F$61:$F$103,$F139)</f>
        <v>0</v>
      </c>
      <c r="Y139" s="313">
        <f>SUMIFS(Headcount!BB$61:BB$103,Headcount!$E$61:$E$103,$E139,Headcount!$F$61:$F$103,$F139)</f>
        <v>0</v>
      </c>
      <c r="Z139" s="313">
        <f>SUMIFS(Headcount!BC$61:BC$103,Headcount!$E$61:$E$103,$E139,Headcount!$F$61:$F$103,$F139)</f>
        <v>0</v>
      </c>
      <c r="AA139" s="313">
        <f>SUMIFS(Headcount!BD$61:BD$103,Headcount!$E$61:$E$103,$E139,Headcount!$F$61:$F$103,$F139)</f>
        <v>0</v>
      </c>
      <c r="AB139" s="313">
        <f>SUMIFS(Headcount!BE$61:BE$103,Headcount!$E$61:$E$103,$E139,Headcount!$F$61:$F$103,$F139)</f>
        <v>0</v>
      </c>
      <c r="AC139" s="313">
        <f>SUMIFS(Headcount!BF$61:BF$103,Headcount!$E$61:$E$103,$E139,Headcount!$F$61:$F$103,$F139)</f>
        <v>0</v>
      </c>
      <c r="AD139" s="313">
        <f>SUMIFS(Headcount!BG$61:BG$103,Headcount!$E$61:$E$103,$E139,Headcount!$F$61:$F$103,$F139)</f>
        <v>0</v>
      </c>
      <c r="AE139" s="313">
        <f>SUMIFS(Headcount!BH$61:BH$103,Headcount!$E$61:$E$103,$E139,Headcount!$F$61:$F$103,$F139)</f>
        <v>0</v>
      </c>
      <c r="AF139" s="313">
        <f>SUMIFS(Headcount!BI$61:BI$103,Headcount!$E$61:$E$103,$E139,Headcount!$F$61:$F$103,$F139)</f>
        <v>0</v>
      </c>
      <c r="AG139" s="313">
        <f>SUMIFS(Headcount!BJ$61:BJ$103,Headcount!$E$61:$E$103,$E139,Headcount!$F$61:$F$103,$F139)</f>
        <v>0</v>
      </c>
      <c r="AH139" s="313">
        <f>SUMIFS(Headcount!BK$61:BK$103,Headcount!$E$61:$E$103,$E139,Headcount!$F$61:$F$103,$F139)</f>
        <v>0</v>
      </c>
      <c r="AI139" s="313">
        <f>SUMIFS(Headcount!BL$61:BL$103,Headcount!$E$61:$E$103,$E139,Headcount!$F$61:$F$103,$F139)</f>
        <v>0</v>
      </c>
      <c r="AJ139" s="313">
        <f>SUMIFS(Headcount!BM$61:BM$103,Headcount!$E$61:$E$103,$E139,Headcount!$F$61:$F$103,$F139)</f>
        <v>0</v>
      </c>
      <c r="AK139" s="313">
        <f>SUMIFS(Headcount!BN$61:BN$103,Headcount!$E$61:$E$103,$E139,Headcount!$F$61:$F$103,$F139)</f>
        <v>0</v>
      </c>
      <c r="AL139" s="313">
        <f>SUMIFS(Headcount!BO$61:BO$103,Headcount!$E$61:$E$103,$E139,Headcount!$F$61:$F$103,$F139)</f>
        <v>0</v>
      </c>
      <c r="AM139" s="313">
        <f>SUMIFS(Headcount!BP$61:BP$103,Headcount!$E$61:$E$103,$E139,Headcount!$F$61:$F$103,$F139)</f>
        <v>0</v>
      </c>
      <c r="AN139" s="313">
        <f>SUMIFS(Headcount!BQ$61:BQ$103,Headcount!$E$61:$E$103,$E139,Headcount!$F$61:$F$103,$F139)</f>
        <v>0</v>
      </c>
      <c r="AO139" s="313">
        <f>SUMIFS(Headcount!BR$61:BR$103,Headcount!$E$61:$E$103,$E139,Headcount!$F$61:$F$103,$F139)</f>
        <v>0</v>
      </c>
      <c r="AP139" s="313">
        <f>SUMIFS(Headcount!BS$61:BS$103,Headcount!$E$61:$E$103,$E139,Headcount!$F$61:$F$103,$F139)</f>
        <v>0</v>
      </c>
      <c r="AQ139" s="313">
        <f>SUMIFS(Headcount!BT$61:BT$103,Headcount!$E$61:$E$103,$E139,Headcount!$F$61:$F$103,$F139)</f>
        <v>0</v>
      </c>
      <c r="AR139" s="313">
        <f>SUMIFS(Headcount!BU$61:BU$103,Headcount!$E$61:$E$103,$E139,Headcount!$F$61:$F$103,$F139)</f>
        <v>0</v>
      </c>
      <c r="AS139" s="313">
        <f>SUMIFS(Headcount!BV$61:BV$103,Headcount!$E$61:$E$103,$E139,Headcount!$F$61:$F$103,$F139)</f>
        <v>0</v>
      </c>
      <c r="AT139" s="313">
        <f>SUMIFS(Headcount!BW$61:BW$103,Headcount!$E$61:$E$103,$E139,Headcount!$F$61:$F$103,$F139)</f>
        <v>0</v>
      </c>
      <c r="AU139" s="313">
        <f>SUMIFS(Headcount!BX$61:BX$103,Headcount!$E$61:$E$103,$E139,Headcount!$F$61:$F$103,$F139)</f>
        <v>0</v>
      </c>
      <c r="AV139" s="313">
        <f>SUMIFS(Headcount!BY$61:BY$103,Headcount!$E$61:$E$103,$E139,Headcount!$F$61:$F$103,$F139)</f>
        <v>0</v>
      </c>
      <c r="AW139" s="313">
        <f>SUMIFS(Headcount!BZ$61:BZ$103,Headcount!$E$61:$E$103,$E139,Headcount!$F$61:$F$103,$F139)</f>
        <v>0</v>
      </c>
      <c r="AX139" s="313">
        <f>SUMIFS(Headcount!CA$61:CA$103,Headcount!$E$61:$E$103,$E139,Headcount!$F$61:$F$103,$F139)</f>
        <v>0</v>
      </c>
      <c r="AY139" s="313">
        <f>SUMIFS(Headcount!CB$61:CB$103,Headcount!$E$61:$E$103,$E139,Headcount!$F$61:$F$103,$F139)</f>
        <v>0</v>
      </c>
      <c r="AZ139" s="313">
        <f>SUMIFS(Headcount!CC$61:CC$103,Headcount!$E$61:$E$103,$E139,Headcount!$F$61:$F$103,$F139)</f>
        <v>0</v>
      </c>
      <c r="BA139" s="313">
        <f>SUMIFS(Headcount!CD$61:CD$103,Headcount!$E$61:$E$103,$E139,Headcount!$F$61:$F$103,$F139)</f>
        <v>0</v>
      </c>
      <c r="BB139" s="313">
        <f>SUMIFS(Headcount!CE$61:CE$103,Headcount!$E$61:$E$103,$E139,Headcount!$F$61:$F$103,$F139)</f>
        <v>0</v>
      </c>
      <c r="BC139" s="313">
        <f>SUMIFS(Headcount!CF$61:CF$103,Headcount!$E$61:$E$103,$E139,Headcount!$F$61:$F$103,$F139)</f>
        <v>0</v>
      </c>
      <c r="BD139" s="313">
        <f>SUMIFS(Headcount!CG$61:CG$103,Headcount!$E$61:$E$103,$E139,Headcount!$F$61:$F$103,$F139)</f>
        <v>0</v>
      </c>
      <c r="BE139" s="313">
        <f>SUMIFS(Headcount!CH$61:CH$103,Headcount!$E$61:$E$103,$E139,Headcount!$F$61:$F$103,$F139)</f>
        <v>0</v>
      </c>
      <c r="BF139" s="313">
        <f>SUMIFS(Headcount!CI$61:CI$103,Headcount!$E$61:$E$103,$E139,Headcount!$F$61:$F$103,$F139)</f>
        <v>0</v>
      </c>
      <c r="BG139" s="313">
        <f>SUMIFS(Headcount!CJ$61:CJ$103,Headcount!$E$61:$E$103,$E139,Headcount!$F$61:$F$103,$F139)</f>
        <v>0</v>
      </c>
      <c r="BH139" s="313">
        <f>SUMIFS(Headcount!CK$61:CK$103,Headcount!$E$61:$E$103,$E139,Headcount!$F$61:$F$103,$F139)</f>
        <v>0</v>
      </c>
    </row>
    <row r="140" spans="2:60" ht="19.5" customHeight="1" outlineLevel="1">
      <c r="B140" s="284"/>
      <c r="C140" s="315"/>
      <c r="D140" s="383" t="s">
        <v>186</v>
      </c>
      <c r="E140" s="675" t="s">
        <v>187</v>
      </c>
      <c r="F140" s="383" t="s">
        <v>190</v>
      </c>
      <c r="G140" s="277"/>
      <c r="H140" s="277"/>
      <c r="I140" s="277"/>
      <c r="J140" s="314"/>
      <c r="L140" s="313"/>
      <c r="M140" s="313">
        <f>SUMIFS(Headcount!AP$61:AP$103,Headcount!$E$61:$E$103,$E140,Headcount!$F$61:$F$103,$F140)</f>
        <v>0</v>
      </c>
      <c r="N140" s="313">
        <f>SUMIFS(Headcount!AQ$61:AQ$103,Headcount!$E$61:$E$103,$E140,Headcount!$F$61:$F$103,$F140)</f>
        <v>0</v>
      </c>
      <c r="O140" s="313">
        <f>SUMIFS(Headcount!AR$61:AR$103,Headcount!$E$61:$E$103,$E140,Headcount!$F$61:$F$103,$F140)</f>
        <v>0</v>
      </c>
      <c r="P140" s="313">
        <f>SUMIFS(Headcount!AS$61:AS$103,Headcount!$E$61:$E$103,$E140,Headcount!$F$61:$F$103,$F140)</f>
        <v>0</v>
      </c>
      <c r="Q140" s="313">
        <f>SUMIFS(Headcount!AT$61:AT$103,Headcount!$E$61:$E$103,$E140,Headcount!$F$61:$F$103,$F140)</f>
        <v>0</v>
      </c>
      <c r="R140" s="313">
        <f>SUMIFS(Headcount!AU$61:AU$103,Headcount!$E$61:$E$103,$E140,Headcount!$F$61:$F$103,$F140)</f>
        <v>0</v>
      </c>
      <c r="S140" s="313">
        <f>SUMIFS(Headcount!AV$61:AV$103,Headcount!$E$61:$E$103,$E140,Headcount!$F$61:$F$103,$F140)</f>
        <v>0</v>
      </c>
      <c r="T140" s="313">
        <f>SUMIFS(Headcount!AW$61:AW$103,Headcount!$E$61:$E$103,$E140,Headcount!$F$61:$F$103,$F140)</f>
        <v>0</v>
      </c>
      <c r="U140" s="313">
        <f>SUMIFS(Headcount!AX$61:AX$103,Headcount!$E$61:$E$103,$E140,Headcount!$F$61:$F$103,$F140)</f>
        <v>0</v>
      </c>
      <c r="V140" s="313">
        <f>SUMIFS(Headcount!AY$61:AY$103,Headcount!$E$61:$E$103,$E140,Headcount!$F$61:$F$103,$F140)</f>
        <v>0</v>
      </c>
      <c r="W140" s="313">
        <f>SUMIFS(Headcount!AZ$61:AZ$103,Headcount!$E$61:$E$103,$E140,Headcount!$F$61:$F$103,$F140)</f>
        <v>0</v>
      </c>
      <c r="X140" s="313">
        <f>SUMIFS(Headcount!BA$61:BA$103,Headcount!$E$61:$E$103,$E140,Headcount!$F$61:$F$103,$F140)</f>
        <v>0</v>
      </c>
      <c r="Y140" s="313">
        <f>SUMIFS(Headcount!BB$61:BB$103,Headcount!$E$61:$E$103,$E140,Headcount!$F$61:$F$103,$F140)</f>
        <v>0</v>
      </c>
      <c r="Z140" s="313">
        <f>SUMIFS(Headcount!BC$61:BC$103,Headcount!$E$61:$E$103,$E140,Headcount!$F$61:$F$103,$F140)</f>
        <v>0</v>
      </c>
      <c r="AA140" s="313">
        <f>SUMIFS(Headcount!BD$61:BD$103,Headcount!$E$61:$E$103,$E140,Headcount!$F$61:$F$103,$F140)</f>
        <v>0</v>
      </c>
      <c r="AB140" s="313">
        <f>SUMIFS(Headcount!BE$61:BE$103,Headcount!$E$61:$E$103,$E140,Headcount!$F$61:$F$103,$F140)</f>
        <v>0</v>
      </c>
      <c r="AC140" s="313">
        <f>SUMIFS(Headcount!BF$61:BF$103,Headcount!$E$61:$E$103,$E140,Headcount!$F$61:$F$103,$F140)</f>
        <v>0</v>
      </c>
      <c r="AD140" s="313">
        <f>SUMIFS(Headcount!BG$61:BG$103,Headcount!$E$61:$E$103,$E140,Headcount!$F$61:$F$103,$F140)</f>
        <v>0</v>
      </c>
      <c r="AE140" s="313">
        <f>SUMIFS(Headcount!BH$61:BH$103,Headcount!$E$61:$E$103,$E140,Headcount!$F$61:$F$103,$F140)</f>
        <v>0</v>
      </c>
      <c r="AF140" s="313">
        <f>SUMIFS(Headcount!BI$61:BI$103,Headcount!$E$61:$E$103,$E140,Headcount!$F$61:$F$103,$F140)</f>
        <v>0</v>
      </c>
      <c r="AG140" s="313">
        <f>SUMIFS(Headcount!BJ$61:BJ$103,Headcount!$E$61:$E$103,$E140,Headcount!$F$61:$F$103,$F140)</f>
        <v>0</v>
      </c>
      <c r="AH140" s="313">
        <f>SUMIFS(Headcount!BK$61:BK$103,Headcount!$E$61:$E$103,$E140,Headcount!$F$61:$F$103,$F140)</f>
        <v>0</v>
      </c>
      <c r="AI140" s="313">
        <f>SUMIFS(Headcount!BL$61:BL$103,Headcount!$E$61:$E$103,$E140,Headcount!$F$61:$F$103,$F140)</f>
        <v>0</v>
      </c>
      <c r="AJ140" s="313">
        <f>SUMIFS(Headcount!BM$61:BM$103,Headcount!$E$61:$E$103,$E140,Headcount!$F$61:$F$103,$F140)</f>
        <v>0</v>
      </c>
      <c r="AK140" s="313">
        <f>SUMIFS(Headcount!BN$61:BN$103,Headcount!$E$61:$E$103,$E140,Headcount!$F$61:$F$103,$F140)</f>
        <v>0</v>
      </c>
      <c r="AL140" s="313">
        <f>SUMIFS(Headcount!BO$61:BO$103,Headcount!$E$61:$E$103,$E140,Headcount!$F$61:$F$103,$F140)</f>
        <v>0</v>
      </c>
      <c r="AM140" s="313">
        <f>SUMIFS(Headcount!BP$61:BP$103,Headcount!$E$61:$E$103,$E140,Headcount!$F$61:$F$103,$F140)</f>
        <v>0</v>
      </c>
      <c r="AN140" s="313">
        <f>SUMIFS(Headcount!BQ$61:BQ$103,Headcount!$E$61:$E$103,$E140,Headcount!$F$61:$F$103,$F140)</f>
        <v>0</v>
      </c>
      <c r="AO140" s="313">
        <f>SUMIFS(Headcount!BR$61:BR$103,Headcount!$E$61:$E$103,$E140,Headcount!$F$61:$F$103,$F140)</f>
        <v>0</v>
      </c>
      <c r="AP140" s="313">
        <f>SUMIFS(Headcount!BS$61:BS$103,Headcount!$E$61:$E$103,$E140,Headcount!$F$61:$F$103,$F140)</f>
        <v>0</v>
      </c>
      <c r="AQ140" s="313">
        <f>SUMIFS(Headcount!BT$61:BT$103,Headcount!$E$61:$E$103,$E140,Headcount!$F$61:$F$103,$F140)</f>
        <v>0</v>
      </c>
      <c r="AR140" s="313">
        <f>SUMIFS(Headcount!BU$61:BU$103,Headcount!$E$61:$E$103,$E140,Headcount!$F$61:$F$103,$F140)</f>
        <v>0</v>
      </c>
      <c r="AS140" s="313">
        <f>SUMIFS(Headcount!BV$61:BV$103,Headcount!$E$61:$E$103,$E140,Headcount!$F$61:$F$103,$F140)</f>
        <v>0</v>
      </c>
      <c r="AT140" s="313">
        <f>SUMIFS(Headcount!BW$61:BW$103,Headcount!$E$61:$E$103,$E140,Headcount!$F$61:$F$103,$F140)</f>
        <v>0</v>
      </c>
      <c r="AU140" s="313">
        <f>SUMIFS(Headcount!BX$61:BX$103,Headcount!$E$61:$E$103,$E140,Headcount!$F$61:$F$103,$F140)</f>
        <v>0</v>
      </c>
      <c r="AV140" s="313">
        <f>SUMIFS(Headcount!BY$61:BY$103,Headcount!$E$61:$E$103,$E140,Headcount!$F$61:$F$103,$F140)</f>
        <v>0</v>
      </c>
      <c r="AW140" s="313">
        <f>SUMIFS(Headcount!BZ$61:BZ$103,Headcount!$E$61:$E$103,$E140,Headcount!$F$61:$F$103,$F140)</f>
        <v>0</v>
      </c>
      <c r="AX140" s="313">
        <f>SUMIFS(Headcount!CA$61:CA$103,Headcount!$E$61:$E$103,$E140,Headcount!$F$61:$F$103,$F140)</f>
        <v>0</v>
      </c>
      <c r="AY140" s="313">
        <f>SUMIFS(Headcount!CB$61:CB$103,Headcount!$E$61:$E$103,$E140,Headcount!$F$61:$F$103,$F140)</f>
        <v>0</v>
      </c>
      <c r="AZ140" s="313">
        <f>SUMIFS(Headcount!CC$61:CC$103,Headcount!$E$61:$E$103,$E140,Headcount!$F$61:$F$103,$F140)</f>
        <v>0</v>
      </c>
      <c r="BA140" s="313">
        <f>SUMIFS(Headcount!CD$61:CD$103,Headcount!$E$61:$E$103,$E140,Headcount!$F$61:$F$103,$F140)</f>
        <v>0</v>
      </c>
      <c r="BB140" s="313">
        <f>SUMIFS(Headcount!CE$61:CE$103,Headcount!$E$61:$E$103,$E140,Headcount!$F$61:$F$103,$F140)</f>
        <v>0</v>
      </c>
      <c r="BC140" s="313">
        <f>SUMIFS(Headcount!CF$61:CF$103,Headcount!$E$61:$E$103,$E140,Headcount!$F$61:$F$103,$F140)</f>
        <v>0</v>
      </c>
      <c r="BD140" s="313">
        <f>SUMIFS(Headcount!CG$61:CG$103,Headcount!$E$61:$E$103,$E140,Headcount!$F$61:$F$103,$F140)</f>
        <v>0</v>
      </c>
      <c r="BE140" s="313">
        <f>SUMIFS(Headcount!CH$61:CH$103,Headcount!$E$61:$E$103,$E140,Headcount!$F$61:$F$103,$F140)</f>
        <v>0</v>
      </c>
      <c r="BF140" s="313">
        <f>SUMIFS(Headcount!CI$61:CI$103,Headcount!$E$61:$E$103,$E140,Headcount!$F$61:$F$103,$F140)</f>
        <v>0</v>
      </c>
      <c r="BG140" s="313">
        <f>SUMIFS(Headcount!CJ$61:CJ$103,Headcount!$E$61:$E$103,$E140,Headcount!$F$61:$F$103,$F140)</f>
        <v>0</v>
      </c>
      <c r="BH140" s="313">
        <f>SUMIFS(Headcount!CK$61:CK$103,Headcount!$E$61:$E$103,$E140,Headcount!$F$61:$F$103,$F140)</f>
        <v>0</v>
      </c>
    </row>
    <row r="141" spans="2:60" ht="19.5" customHeight="1" outlineLevel="1">
      <c r="B141" s="284"/>
      <c r="C141" s="315"/>
      <c r="D141" s="383" t="str">
        <f>D140</f>
        <v>Customer Support</v>
      </c>
      <c r="E141" s="265" t="str">
        <f>E140</f>
        <v>H5</v>
      </c>
      <c r="F141" s="383" t="s">
        <v>192</v>
      </c>
      <c r="G141" s="277"/>
      <c r="H141" s="277"/>
      <c r="I141" s="277"/>
      <c r="J141" s="314"/>
      <c r="L141" s="313"/>
      <c r="M141" s="313">
        <f>SUMIFS(Headcount!AP$61:AP$103,Headcount!$E$61:$E$103,$E141,Headcount!$F$61:$F$103,$F141)</f>
        <v>0</v>
      </c>
      <c r="N141" s="313">
        <f>SUMIFS(Headcount!AQ$61:AQ$103,Headcount!$E$61:$E$103,$E141,Headcount!$F$61:$F$103,$F141)</f>
        <v>0</v>
      </c>
      <c r="O141" s="313">
        <f>SUMIFS(Headcount!AR$61:AR$103,Headcount!$E$61:$E$103,$E141,Headcount!$F$61:$F$103,$F141)</f>
        <v>0</v>
      </c>
      <c r="P141" s="313">
        <f>SUMIFS(Headcount!AS$61:AS$103,Headcount!$E$61:$E$103,$E141,Headcount!$F$61:$F$103,$F141)</f>
        <v>0</v>
      </c>
      <c r="Q141" s="313">
        <f>SUMIFS(Headcount!AT$61:AT$103,Headcount!$E$61:$E$103,$E141,Headcount!$F$61:$F$103,$F141)</f>
        <v>0</v>
      </c>
      <c r="R141" s="313">
        <f>SUMIFS(Headcount!AU$61:AU$103,Headcount!$E$61:$E$103,$E141,Headcount!$F$61:$F$103,$F141)</f>
        <v>0</v>
      </c>
      <c r="S141" s="313">
        <f>SUMIFS(Headcount!AV$61:AV$103,Headcount!$E$61:$E$103,$E141,Headcount!$F$61:$F$103,$F141)</f>
        <v>0</v>
      </c>
      <c r="T141" s="313">
        <f>SUMIFS(Headcount!AW$61:AW$103,Headcount!$E$61:$E$103,$E141,Headcount!$F$61:$F$103,$F141)</f>
        <v>0</v>
      </c>
      <c r="U141" s="313">
        <f>SUMIFS(Headcount!AX$61:AX$103,Headcount!$E$61:$E$103,$E141,Headcount!$F$61:$F$103,$F141)</f>
        <v>0</v>
      </c>
      <c r="V141" s="313">
        <f>SUMIFS(Headcount!AY$61:AY$103,Headcount!$E$61:$E$103,$E141,Headcount!$F$61:$F$103,$F141)</f>
        <v>0</v>
      </c>
      <c r="W141" s="313">
        <f>SUMIFS(Headcount!AZ$61:AZ$103,Headcount!$E$61:$E$103,$E141,Headcount!$F$61:$F$103,$F141)</f>
        <v>0</v>
      </c>
      <c r="X141" s="313">
        <f>SUMIFS(Headcount!BA$61:BA$103,Headcount!$E$61:$E$103,$E141,Headcount!$F$61:$F$103,$F141)</f>
        <v>0</v>
      </c>
      <c r="Y141" s="313">
        <f>SUMIFS(Headcount!BB$61:BB$103,Headcount!$E$61:$E$103,$E141,Headcount!$F$61:$F$103,$F141)</f>
        <v>0</v>
      </c>
      <c r="Z141" s="313">
        <f>SUMIFS(Headcount!BC$61:BC$103,Headcount!$E$61:$E$103,$E141,Headcount!$F$61:$F$103,$F141)</f>
        <v>0</v>
      </c>
      <c r="AA141" s="313">
        <f>SUMIFS(Headcount!BD$61:BD$103,Headcount!$E$61:$E$103,$E141,Headcount!$F$61:$F$103,$F141)</f>
        <v>0</v>
      </c>
      <c r="AB141" s="313">
        <f>SUMIFS(Headcount!BE$61:BE$103,Headcount!$E$61:$E$103,$E141,Headcount!$F$61:$F$103,$F141)</f>
        <v>0</v>
      </c>
      <c r="AC141" s="313">
        <f>SUMIFS(Headcount!BF$61:BF$103,Headcount!$E$61:$E$103,$E141,Headcount!$F$61:$F$103,$F141)</f>
        <v>0</v>
      </c>
      <c r="AD141" s="313">
        <f>SUMIFS(Headcount!BG$61:BG$103,Headcount!$E$61:$E$103,$E141,Headcount!$F$61:$F$103,$F141)</f>
        <v>0</v>
      </c>
      <c r="AE141" s="313">
        <f>SUMIFS(Headcount!BH$61:BH$103,Headcount!$E$61:$E$103,$E141,Headcount!$F$61:$F$103,$F141)</f>
        <v>0</v>
      </c>
      <c r="AF141" s="313">
        <f>SUMIFS(Headcount!BI$61:BI$103,Headcount!$E$61:$E$103,$E141,Headcount!$F$61:$F$103,$F141)</f>
        <v>0</v>
      </c>
      <c r="AG141" s="313">
        <f>SUMIFS(Headcount!BJ$61:BJ$103,Headcount!$E$61:$E$103,$E141,Headcount!$F$61:$F$103,$F141)</f>
        <v>0</v>
      </c>
      <c r="AH141" s="313">
        <f>SUMIFS(Headcount!BK$61:BK$103,Headcount!$E$61:$E$103,$E141,Headcount!$F$61:$F$103,$F141)</f>
        <v>0</v>
      </c>
      <c r="AI141" s="313">
        <f>SUMIFS(Headcount!BL$61:BL$103,Headcount!$E$61:$E$103,$E141,Headcount!$F$61:$F$103,$F141)</f>
        <v>0</v>
      </c>
      <c r="AJ141" s="313">
        <f>SUMIFS(Headcount!BM$61:BM$103,Headcount!$E$61:$E$103,$E141,Headcount!$F$61:$F$103,$F141)</f>
        <v>0</v>
      </c>
      <c r="AK141" s="313">
        <f>SUMIFS(Headcount!BN$61:BN$103,Headcount!$E$61:$E$103,$E141,Headcount!$F$61:$F$103,$F141)</f>
        <v>0</v>
      </c>
      <c r="AL141" s="313">
        <f>SUMIFS(Headcount!BO$61:BO$103,Headcount!$E$61:$E$103,$E141,Headcount!$F$61:$F$103,$F141)</f>
        <v>0</v>
      </c>
      <c r="AM141" s="313">
        <f>SUMIFS(Headcount!BP$61:BP$103,Headcount!$E$61:$E$103,$E141,Headcount!$F$61:$F$103,$F141)</f>
        <v>0</v>
      </c>
      <c r="AN141" s="313">
        <f>SUMIFS(Headcount!BQ$61:BQ$103,Headcount!$E$61:$E$103,$E141,Headcount!$F$61:$F$103,$F141)</f>
        <v>0</v>
      </c>
      <c r="AO141" s="313">
        <f>SUMIFS(Headcount!BR$61:BR$103,Headcount!$E$61:$E$103,$E141,Headcount!$F$61:$F$103,$F141)</f>
        <v>0</v>
      </c>
      <c r="AP141" s="313">
        <f>SUMIFS(Headcount!BS$61:BS$103,Headcount!$E$61:$E$103,$E141,Headcount!$F$61:$F$103,$F141)</f>
        <v>0</v>
      </c>
      <c r="AQ141" s="313">
        <f>SUMIFS(Headcount!BT$61:BT$103,Headcount!$E$61:$E$103,$E141,Headcount!$F$61:$F$103,$F141)</f>
        <v>0</v>
      </c>
      <c r="AR141" s="313">
        <f>SUMIFS(Headcount!BU$61:BU$103,Headcount!$E$61:$E$103,$E141,Headcount!$F$61:$F$103,$F141)</f>
        <v>0</v>
      </c>
      <c r="AS141" s="313">
        <f>SUMIFS(Headcount!BV$61:BV$103,Headcount!$E$61:$E$103,$E141,Headcount!$F$61:$F$103,$F141)</f>
        <v>0</v>
      </c>
      <c r="AT141" s="313">
        <f>SUMIFS(Headcount!BW$61:BW$103,Headcount!$E$61:$E$103,$E141,Headcount!$F$61:$F$103,$F141)</f>
        <v>0</v>
      </c>
      <c r="AU141" s="313">
        <f>SUMIFS(Headcount!BX$61:BX$103,Headcount!$E$61:$E$103,$E141,Headcount!$F$61:$F$103,$F141)</f>
        <v>0</v>
      </c>
      <c r="AV141" s="313">
        <f>SUMIFS(Headcount!BY$61:BY$103,Headcount!$E$61:$E$103,$E141,Headcount!$F$61:$F$103,$F141)</f>
        <v>0</v>
      </c>
      <c r="AW141" s="313">
        <f>SUMIFS(Headcount!BZ$61:BZ$103,Headcount!$E$61:$E$103,$E141,Headcount!$F$61:$F$103,$F141)</f>
        <v>0</v>
      </c>
      <c r="AX141" s="313">
        <f>SUMIFS(Headcount!CA$61:CA$103,Headcount!$E$61:$E$103,$E141,Headcount!$F$61:$F$103,$F141)</f>
        <v>0</v>
      </c>
      <c r="AY141" s="313">
        <f>SUMIFS(Headcount!CB$61:CB$103,Headcount!$E$61:$E$103,$E141,Headcount!$F$61:$F$103,$F141)</f>
        <v>0</v>
      </c>
      <c r="AZ141" s="313">
        <f>SUMIFS(Headcount!CC$61:CC$103,Headcount!$E$61:$E$103,$E141,Headcount!$F$61:$F$103,$F141)</f>
        <v>0</v>
      </c>
      <c r="BA141" s="313">
        <f>SUMIFS(Headcount!CD$61:CD$103,Headcount!$E$61:$E$103,$E141,Headcount!$F$61:$F$103,$F141)</f>
        <v>0</v>
      </c>
      <c r="BB141" s="313">
        <f>SUMIFS(Headcount!CE$61:CE$103,Headcount!$E$61:$E$103,$E141,Headcount!$F$61:$F$103,$F141)</f>
        <v>0</v>
      </c>
      <c r="BC141" s="313">
        <f>SUMIFS(Headcount!CF$61:CF$103,Headcount!$E$61:$E$103,$E141,Headcount!$F$61:$F$103,$F141)</f>
        <v>0</v>
      </c>
      <c r="BD141" s="313">
        <f>SUMIFS(Headcount!CG$61:CG$103,Headcount!$E$61:$E$103,$E141,Headcount!$F$61:$F$103,$F141)</f>
        <v>0</v>
      </c>
      <c r="BE141" s="313">
        <f>SUMIFS(Headcount!CH$61:CH$103,Headcount!$E$61:$E$103,$E141,Headcount!$F$61:$F$103,$F141)</f>
        <v>0</v>
      </c>
      <c r="BF141" s="313">
        <f>SUMIFS(Headcount!CI$61:CI$103,Headcount!$E$61:$E$103,$E141,Headcount!$F$61:$F$103,$F141)</f>
        <v>0</v>
      </c>
      <c r="BG141" s="313">
        <f>SUMIFS(Headcount!CJ$61:CJ$103,Headcount!$E$61:$E$103,$E141,Headcount!$F$61:$F$103,$F141)</f>
        <v>0</v>
      </c>
      <c r="BH141" s="313">
        <f>SUMIFS(Headcount!CK$61:CK$103,Headcount!$E$61:$E$103,$E141,Headcount!$F$61:$F$103,$F141)</f>
        <v>0</v>
      </c>
    </row>
    <row r="142" spans="2:60" ht="19.5" customHeight="1" outlineLevel="1">
      <c r="B142" s="284"/>
      <c r="C142" s="315"/>
      <c r="D142" s="383" t="str">
        <f t="shared" ref="D142:E145" si="16">D141</f>
        <v>Customer Support</v>
      </c>
      <c r="E142" s="265" t="str">
        <f t="shared" si="16"/>
        <v>H5</v>
      </c>
      <c r="F142" s="383" t="s">
        <v>194</v>
      </c>
      <c r="G142" s="277"/>
      <c r="H142" s="277"/>
      <c r="I142" s="277"/>
      <c r="J142" s="314"/>
      <c r="L142" s="313"/>
      <c r="M142" s="313">
        <f>SUMIFS(Headcount!AP$61:AP$103,Headcount!$E$61:$E$103,$E142,Headcount!$F$61:$F$103,$F142)</f>
        <v>0</v>
      </c>
      <c r="N142" s="313">
        <f>SUMIFS(Headcount!AQ$61:AQ$103,Headcount!$E$61:$E$103,$E142,Headcount!$F$61:$F$103,$F142)</f>
        <v>0</v>
      </c>
      <c r="O142" s="313">
        <f>SUMIFS(Headcount!AR$61:AR$103,Headcount!$E$61:$E$103,$E142,Headcount!$F$61:$F$103,$F142)</f>
        <v>0</v>
      </c>
      <c r="P142" s="313">
        <f>SUMIFS(Headcount!AS$61:AS$103,Headcount!$E$61:$E$103,$E142,Headcount!$F$61:$F$103,$F142)</f>
        <v>0</v>
      </c>
      <c r="Q142" s="313">
        <f>SUMIFS(Headcount!AT$61:AT$103,Headcount!$E$61:$E$103,$E142,Headcount!$F$61:$F$103,$F142)</f>
        <v>0</v>
      </c>
      <c r="R142" s="313">
        <f>SUMIFS(Headcount!AU$61:AU$103,Headcount!$E$61:$E$103,$E142,Headcount!$F$61:$F$103,$F142)</f>
        <v>0</v>
      </c>
      <c r="S142" s="313">
        <f>SUMIFS(Headcount!AV$61:AV$103,Headcount!$E$61:$E$103,$E142,Headcount!$F$61:$F$103,$F142)</f>
        <v>0</v>
      </c>
      <c r="T142" s="313">
        <f>SUMIFS(Headcount!AW$61:AW$103,Headcount!$E$61:$E$103,$E142,Headcount!$F$61:$F$103,$F142)</f>
        <v>0</v>
      </c>
      <c r="U142" s="313">
        <f>SUMIFS(Headcount!AX$61:AX$103,Headcount!$E$61:$E$103,$E142,Headcount!$F$61:$F$103,$F142)</f>
        <v>0</v>
      </c>
      <c r="V142" s="313">
        <f>SUMIFS(Headcount!AY$61:AY$103,Headcount!$E$61:$E$103,$E142,Headcount!$F$61:$F$103,$F142)</f>
        <v>0</v>
      </c>
      <c r="W142" s="313">
        <f>SUMIFS(Headcount!AZ$61:AZ$103,Headcount!$E$61:$E$103,$E142,Headcount!$F$61:$F$103,$F142)</f>
        <v>0</v>
      </c>
      <c r="X142" s="313">
        <f>SUMIFS(Headcount!BA$61:BA$103,Headcount!$E$61:$E$103,$E142,Headcount!$F$61:$F$103,$F142)</f>
        <v>0</v>
      </c>
      <c r="Y142" s="313">
        <f>SUMIFS(Headcount!BB$61:BB$103,Headcount!$E$61:$E$103,$E142,Headcount!$F$61:$F$103,$F142)</f>
        <v>0</v>
      </c>
      <c r="Z142" s="313">
        <f>SUMIFS(Headcount!BC$61:BC$103,Headcount!$E$61:$E$103,$E142,Headcount!$F$61:$F$103,$F142)</f>
        <v>0</v>
      </c>
      <c r="AA142" s="313">
        <f>SUMIFS(Headcount!BD$61:BD$103,Headcount!$E$61:$E$103,$E142,Headcount!$F$61:$F$103,$F142)</f>
        <v>0</v>
      </c>
      <c r="AB142" s="313">
        <f>SUMIFS(Headcount!BE$61:BE$103,Headcount!$E$61:$E$103,$E142,Headcount!$F$61:$F$103,$F142)</f>
        <v>0</v>
      </c>
      <c r="AC142" s="313">
        <f>SUMIFS(Headcount!BF$61:BF$103,Headcount!$E$61:$E$103,$E142,Headcount!$F$61:$F$103,$F142)</f>
        <v>0</v>
      </c>
      <c r="AD142" s="313">
        <f>SUMIFS(Headcount!BG$61:BG$103,Headcount!$E$61:$E$103,$E142,Headcount!$F$61:$F$103,$F142)</f>
        <v>0</v>
      </c>
      <c r="AE142" s="313">
        <f>SUMIFS(Headcount!BH$61:BH$103,Headcount!$E$61:$E$103,$E142,Headcount!$F$61:$F$103,$F142)</f>
        <v>0</v>
      </c>
      <c r="AF142" s="313">
        <f>SUMIFS(Headcount!BI$61:BI$103,Headcount!$E$61:$E$103,$E142,Headcount!$F$61:$F$103,$F142)</f>
        <v>0</v>
      </c>
      <c r="AG142" s="313">
        <f>SUMIFS(Headcount!BJ$61:BJ$103,Headcount!$E$61:$E$103,$E142,Headcount!$F$61:$F$103,$F142)</f>
        <v>0</v>
      </c>
      <c r="AH142" s="313">
        <f>SUMIFS(Headcount!BK$61:BK$103,Headcount!$E$61:$E$103,$E142,Headcount!$F$61:$F$103,$F142)</f>
        <v>0</v>
      </c>
      <c r="AI142" s="313">
        <f>SUMIFS(Headcount!BL$61:BL$103,Headcount!$E$61:$E$103,$E142,Headcount!$F$61:$F$103,$F142)</f>
        <v>0</v>
      </c>
      <c r="AJ142" s="313">
        <f>SUMIFS(Headcount!BM$61:BM$103,Headcount!$E$61:$E$103,$E142,Headcount!$F$61:$F$103,$F142)</f>
        <v>0</v>
      </c>
      <c r="AK142" s="313">
        <f>SUMIFS(Headcount!BN$61:BN$103,Headcount!$E$61:$E$103,$E142,Headcount!$F$61:$F$103,$F142)</f>
        <v>0</v>
      </c>
      <c r="AL142" s="313">
        <f>SUMIFS(Headcount!BO$61:BO$103,Headcount!$E$61:$E$103,$E142,Headcount!$F$61:$F$103,$F142)</f>
        <v>0</v>
      </c>
      <c r="AM142" s="313">
        <f>SUMIFS(Headcount!BP$61:BP$103,Headcount!$E$61:$E$103,$E142,Headcount!$F$61:$F$103,$F142)</f>
        <v>0</v>
      </c>
      <c r="AN142" s="313">
        <f>SUMIFS(Headcount!BQ$61:BQ$103,Headcount!$E$61:$E$103,$E142,Headcount!$F$61:$F$103,$F142)</f>
        <v>0</v>
      </c>
      <c r="AO142" s="313">
        <f>SUMIFS(Headcount!BR$61:BR$103,Headcount!$E$61:$E$103,$E142,Headcount!$F$61:$F$103,$F142)</f>
        <v>0</v>
      </c>
      <c r="AP142" s="313">
        <f>SUMIFS(Headcount!BS$61:BS$103,Headcount!$E$61:$E$103,$E142,Headcount!$F$61:$F$103,$F142)</f>
        <v>0</v>
      </c>
      <c r="AQ142" s="313">
        <f>SUMIFS(Headcount!BT$61:BT$103,Headcount!$E$61:$E$103,$E142,Headcount!$F$61:$F$103,$F142)</f>
        <v>0</v>
      </c>
      <c r="AR142" s="313">
        <f>SUMIFS(Headcount!BU$61:BU$103,Headcount!$E$61:$E$103,$E142,Headcount!$F$61:$F$103,$F142)</f>
        <v>0</v>
      </c>
      <c r="AS142" s="313">
        <f>SUMIFS(Headcount!BV$61:BV$103,Headcount!$E$61:$E$103,$E142,Headcount!$F$61:$F$103,$F142)</f>
        <v>0</v>
      </c>
      <c r="AT142" s="313">
        <f>SUMIFS(Headcount!BW$61:BW$103,Headcount!$E$61:$E$103,$E142,Headcount!$F$61:$F$103,$F142)</f>
        <v>0</v>
      </c>
      <c r="AU142" s="313">
        <f>SUMIFS(Headcount!BX$61:BX$103,Headcount!$E$61:$E$103,$E142,Headcount!$F$61:$F$103,$F142)</f>
        <v>0</v>
      </c>
      <c r="AV142" s="313">
        <f>SUMIFS(Headcount!BY$61:BY$103,Headcount!$E$61:$E$103,$E142,Headcount!$F$61:$F$103,$F142)</f>
        <v>0</v>
      </c>
      <c r="AW142" s="313">
        <f>SUMIFS(Headcount!BZ$61:BZ$103,Headcount!$E$61:$E$103,$E142,Headcount!$F$61:$F$103,$F142)</f>
        <v>0</v>
      </c>
      <c r="AX142" s="313">
        <f>SUMIFS(Headcount!CA$61:CA$103,Headcount!$E$61:$E$103,$E142,Headcount!$F$61:$F$103,$F142)</f>
        <v>0</v>
      </c>
      <c r="AY142" s="313">
        <f>SUMIFS(Headcount!CB$61:CB$103,Headcount!$E$61:$E$103,$E142,Headcount!$F$61:$F$103,$F142)</f>
        <v>0</v>
      </c>
      <c r="AZ142" s="313">
        <f>SUMIFS(Headcount!CC$61:CC$103,Headcount!$E$61:$E$103,$E142,Headcount!$F$61:$F$103,$F142)</f>
        <v>0</v>
      </c>
      <c r="BA142" s="313">
        <f>SUMIFS(Headcount!CD$61:CD$103,Headcount!$E$61:$E$103,$E142,Headcount!$F$61:$F$103,$F142)</f>
        <v>0</v>
      </c>
      <c r="BB142" s="313">
        <f>SUMIFS(Headcount!CE$61:CE$103,Headcount!$E$61:$E$103,$E142,Headcount!$F$61:$F$103,$F142)</f>
        <v>0</v>
      </c>
      <c r="BC142" s="313">
        <f>SUMIFS(Headcount!CF$61:CF$103,Headcount!$E$61:$E$103,$E142,Headcount!$F$61:$F$103,$F142)</f>
        <v>0</v>
      </c>
      <c r="BD142" s="313">
        <f>SUMIFS(Headcount!CG$61:CG$103,Headcount!$E$61:$E$103,$E142,Headcount!$F$61:$F$103,$F142)</f>
        <v>0</v>
      </c>
      <c r="BE142" s="313">
        <f>SUMIFS(Headcount!CH$61:CH$103,Headcount!$E$61:$E$103,$E142,Headcount!$F$61:$F$103,$F142)</f>
        <v>0</v>
      </c>
      <c r="BF142" s="313">
        <f>SUMIFS(Headcount!CI$61:CI$103,Headcount!$E$61:$E$103,$E142,Headcount!$F$61:$F$103,$F142)</f>
        <v>0</v>
      </c>
      <c r="BG142" s="313">
        <f>SUMIFS(Headcount!CJ$61:CJ$103,Headcount!$E$61:$E$103,$E142,Headcount!$F$61:$F$103,$F142)</f>
        <v>0</v>
      </c>
      <c r="BH142" s="313">
        <f>SUMIFS(Headcount!CK$61:CK$103,Headcount!$E$61:$E$103,$E142,Headcount!$F$61:$F$103,$F142)</f>
        <v>0</v>
      </c>
    </row>
    <row r="143" spans="2:60" ht="19.5" customHeight="1" outlineLevel="1">
      <c r="B143" s="284"/>
      <c r="C143" s="315"/>
      <c r="D143" s="383" t="str">
        <f t="shared" si="16"/>
        <v>Customer Support</v>
      </c>
      <c r="E143" s="265" t="str">
        <f t="shared" si="16"/>
        <v>H5</v>
      </c>
      <c r="F143" s="383" t="s">
        <v>196</v>
      </c>
      <c r="G143" s="277"/>
      <c r="H143" s="277"/>
      <c r="I143" s="277"/>
      <c r="J143" s="314"/>
      <c r="L143" s="313"/>
      <c r="M143" s="313">
        <f>SUMIFS(Headcount!AP$61:AP$103,Headcount!$E$61:$E$103,$E143,Headcount!$F$61:$F$103,$F143)</f>
        <v>0</v>
      </c>
      <c r="N143" s="313">
        <f>SUMIFS(Headcount!AQ$61:AQ$103,Headcount!$E$61:$E$103,$E143,Headcount!$F$61:$F$103,$F143)</f>
        <v>0</v>
      </c>
      <c r="O143" s="313">
        <f>SUMIFS(Headcount!AR$61:AR$103,Headcount!$E$61:$E$103,$E143,Headcount!$F$61:$F$103,$F143)</f>
        <v>0</v>
      </c>
      <c r="P143" s="313">
        <f>SUMIFS(Headcount!AS$61:AS$103,Headcount!$E$61:$E$103,$E143,Headcount!$F$61:$F$103,$F143)</f>
        <v>0</v>
      </c>
      <c r="Q143" s="313">
        <f>SUMIFS(Headcount!AT$61:AT$103,Headcount!$E$61:$E$103,$E143,Headcount!$F$61:$F$103,$F143)</f>
        <v>0</v>
      </c>
      <c r="R143" s="313">
        <f>SUMIFS(Headcount!AU$61:AU$103,Headcount!$E$61:$E$103,$E143,Headcount!$F$61:$F$103,$F143)</f>
        <v>0</v>
      </c>
      <c r="S143" s="313">
        <f>SUMIFS(Headcount!AV$61:AV$103,Headcount!$E$61:$E$103,$E143,Headcount!$F$61:$F$103,$F143)</f>
        <v>0</v>
      </c>
      <c r="T143" s="313">
        <f>SUMIFS(Headcount!AW$61:AW$103,Headcount!$E$61:$E$103,$E143,Headcount!$F$61:$F$103,$F143)</f>
        <v>0</v>
      </c>
      <c r="U143" s="313">
        <f>SUMIFS(Headcount!AX$61:AX$103,Headcount!$E$61:$E$103,$E143,Headcount!$F$61:$F$103,$F143)</f>
        <v>0</v>
      </c>
      <c r="V143" s="313">
        <f>SUMIFS(Headcount!AY$61:AY$103,Headcount!$E$61:$E$103,$E143,Headcount!$F$61:$F$103,$F143)</f>
        <v>0</v>
      </c>
      <c r="W143" s="313">
        <f>SUMIFS(Headcount!AZ$61:AZ$103,Headcount!$E$61:$E$103,$E143,Headcount!$F$61:$F$103,$F143)</f>
        <v>0</v>
      </c>
      <c r="X143" s="313">
        <f>SUMIFS(Headcount!BA$61:BA$103,Headcount!$E$61:$E$103,$E143,Headcount!$F$61:$F$103,$F143)</f>
        <v>0</v>
      </c>
      <c r="Y143" s="313">
        <f>SUMIFS(Headcount!BB$61:BB$103,Headcount!$E$61:$E$103,$E143,Headcount!$F$61:$F$103,$F143)</f>
        <v>0</v>
      </c>
      <c r="Z143" s="313">
        <f>SUMIFS(Headcount!BC$61:BC$103,Headcount!$E$61:$E$103,$E143,Headcount!$F$61:$F$103,$F143)</f>
        <v>0</v>
      </c>
      <c r="AA143" s="313">
        <f>SUMIFS(Headcount!BD$61:BD$103,Headcount!$E$61:$E$103,$E143,Headcount!$F$61:$F$103,$F143)</f>
        <v>0</v>
      </c>
      <c r="AB143" s="313">
        <f>SUMIFS(Headcount!BE$61:BE$103,Headcount!$E$61:$E$103,$E143,Headcount!$F$61:$F$103,$F143)</f>
        <v>0</v>
      </c>
      <c r="AC143" s="313">
        <f>SUMIFS(Headcount!BF$61:BF$103,Headcount!$E$61:$E$103,$E143,Headcount!$F$61:$F$103,$F143)</f>
        <v>0</v>
      </c>
      <c r="AD143" s="313">
        <f>SUMIFS(Headcount!BG$61:BG$103,Headcount!$E$61:$E$103,$E143,Headcount!$F$61:$F$103,$F143)</f>
        <v>0</v>
      </c>
      <c r="AE143" s="313">
        <f>SUMIFS(Headcount!BH$61:BH$103,Headcount!$E$61:$E$103,$E143,Headcount!$F$61:$F$103,$F143)</f>
        <v>0</v>
      </c>
      <c r="AF143" s="313">
        <f>SUMIFS(Headcount!BI$61:BI$103,Headcount!$E$61:$E$103,$E143,Headcount!$F$61:$F$103,$F143)</f>
        <v>0</v>
      </c>
      <c r="AG143" s="313">
        <f>SUMIFS(Headcount!BJ$61:BJ$103,Headcount!$E$61:$E$103,$E143,Headcount!$F$61:$F$103,$F143)</f>
        <v>0</v>
      </c>
      <c r="AH143" s="313">
        <f>SUMIFS(Headcount!BK$61:BK$103,Headcount!$E$61:$E$103,$E143,Headcount!$F$61:$F$103,$F143)</f>
        <v>0</v>
      </c>
      <c r="AI143" s="313">
        <f>SUMIFS(Headcount!BL$61:BL$103,Headcount!$E$61:$E$103,$E143,Headcount!$F$61:$F$103,$F143)</f>
        <v>0</v>
      </c>
      <c r="AJ143" s="313">
        <f>SUMIFS(Headcount!BM$61:BM$103,Headcount!$E$61:$E$103,$E143,Headcount!$F$61:$F$103,$F143)</f>
        <v>0</v>
      </c>
      <c r="AK143" s="313">
        <f>SUMIFS(Headcount!BN$61:BN$103,Headcount!$E$61:$E$103,$E143,Headcount!$F$61:$F$103,$F143)</f>
        <v>0</v>
      </c>
      <c r="AL143" s="313">
        <f>SUMIFS(Headcount!BO$61:BO$103,Headcount!$E$61:$E$103,$E143,Headcount!$F$61:$F$103,$F143)</f>
        <v>0</v>
      </c>
      <c r="AM143" s="313">
        <f>SUMIFS(Headcount!BP$61:BP$103,Headcount!$E$61:$E$103,$E143,Headcount!$F$61:$F$103,$F143)</f>
        <v>0</v>
      </c>
      <c r="AN143" s="313">
        <f>SUMIFS(Headcount!BQ$61:BQ$103,Headcount!$E$61:$E$103,$E143,Headcount!$F$61:$F$103,$F143)</f>
        <v>0</v>
      </c>
      <c r="AO143" s="313">
        <f>SUMIFS(Headcount!BR$61:BR$103,Headcount!$E$61:$E$103,$E143,Headcount!$F$61:$F$103,$F143)</f>
        <v>0</v>
      </c>
      <c r="AP143" s="313">
        <f>SUMIFS(Headcount!BS$61:BS$103,Headcount!$E$61:$E$103,$E143,Headcount!$F$61:$F$103,$F143)</f>
        <v>0</v>
      </c>
      <c r="AQ143" s="313">
        <f>SUMIFS(Headcount!BT$61:BT$103,Headcount!$E$61:$E$103,$E143,Headcount!$F$61:$F$103,$F143)</f>
        <v>0</v>
      </c>
      <c r="AR143" s="313">
        <f>SUMIFS(Headcount!BU$61:BU$103,Headcount!$E$61:$E$103,$E143,Headcount!$F$61:$F$103,$F143)</f>
        <v>0</v>
      </c>
      <c r="AS143" s="313">
        <f>SUMIFS(Headcount!BV$61:BV$103,Headcount!$E$61:$E$103,$E143,Headcount!$F$61:$F$103,$F143)</f>
        <v>0</v>
      </c>
      <c r="AT143" s="313">
        <f>SUMIFS(Headcount!BW$61:BW$103,Headcount!$E$61:$E$103,$E143,Headcount!$F$61:$F$103,$F143)</f>
        <v>0</v>
      </c>
      <c r="AU143" s="313">
        <f>SUMIFS(Headcount!BX$61:BX$103,Headcount!$E$61:$E$103,$E143,Headcount!$F$61:$F$103,$F143)</f>
        <v>0</v>
      </c>
      <c r="AV143" s="313">
        <f>SUMIFS(Headcount!BY$61:BY$103,Headcount!$E$61:$E$103,$E143,Headcount!$F$61:$F$103,$F143)</f>
        <v>0</v>
      </c>
      <c r="AW143" s="313">
        <f>SUMIFS(Headcount!BZ$61:BZ$103,Headcount!$E$61:$E$103,$E143,Headcount!$F$61:$F$103,$F143)</f>
        <v>0</v>
      </c>
      <c r="AX143" s="313">
        <f>SUMIFS(Headcount!CA$61:CA$103,Headcount!$E$61:$E$103,$E143,Headcount!$F$61:$F$103,$F143)</f>
        <v>0</v>
      </c>
      <c r="AY143" s="313">
        <f>SUMIFS(Headcount!CB$61:CB$103,Headcount!$E$61:$E$103,$E143,Headcount!$F$61:$F$103,$F143)</f>
        <v>0</v>
      </c>
      <c r="AZ143" s="313">
        <f>SUMIFS(Headcount!CC$61:CC$103,Headcount!$E$61:$E$103,$E143,Headcount!$F$61:$F$103,$F143)</f>
        <v>0</v>
      </c>
      <c r="BA143" s="313">
        <f>SUMIFS(Headcount!CD$61:CD$103,Headcount!$E$61:$E$103,$E143,Headcount!$F$61:$F$103,$F143)</f>
        <v>0</v>
      </c>
      <c r="BB143" s="313">
        <f>SUMIFS(Headcount!CE$61:CE$103,Headcount!$E$61:$E$103,$E143,Headcount!$F$61:$F$103,$F143)</f>
        <v>0</v>
      </c>
      <c r="BC143" s="313">
        <f>SUMIFS(Headcount!CF$61:CF$103,Headcount!$E$61:$E$103,$E143,Headcount!$F$61:$F$103,$F143)</f>
        <v>0</v>
      </c>
      <c r="BD143" s="313">
        <f>SUMIFS(Headcount!CG$61:CG$103,Headcount!$E$61:$E$103,$E143,Headcount!$F$61:$F$103,$F143)</f>
        <v>0</v>
      </c>
      <c r="BE143" s="313">
        <f>SUMIFS(Headcount!CH$61:CH$103,Headcount!$E$61:$E$103,$E143,Headcount!$F$61:$F$103,$F143)</f>
        <v>0</v>
      </c>
      <c r="BF143" s="313">
        <f>SUMIFS(Headcount!CI$61:CI$103,Headcount!$E$61:$E$103,$E143,Headcount!$F$61:$F$103,$F143)</f>
        <v>0</v>
      </c>
      <c r="BG143" s="313">
        <f>SUMIFS(Headcount!CJ$61:CJ$103,Headcount!$E$61:$E$103,$E143,Headcount!$F$61:$F$103,$F143)</f>
        <v>0</v>
      </c>
      <c r="BH143" s="313">
        <f>SUMIFS(Headcount!CK$61:CK$103,Headcount!$E$61:$E$103,$E143,Headcount!$F$61:$F$103,$F143)</f>
        <v>0</v>
      </c>
    </row>
    <row r="144" spans="2:60" ht="19.5" customHeight="1" outlineLevel="1">
      <c r="B144" s="284"/>
      <c r="C144" s="315"/>
      <c r="D144" s="383" t="str">
        <f t="shared" si="16"/>
        <v>Customer Support</v>
      </c>
      <c r="E144" s="265" t="str">
        <f t="shared" si="16"/>
        <v>H5</v>
      </c>
      <c r="F144" s="383" t="s">
        <v>198</v>
      </c>
      <c r="G144" s="277"/>
      <c r="H144" s="277"/>
      <c r="I144" s="277"/>
      <c r="J144" s="314"/>
      <c r="L144" s="313"/>
      <c r="M144" s="313">
        <f>SUMIFS(Headcount!AP$61:AP$103,Headcount!$E$61:$E$103,$E144,Headcount!$F$61:$F$103,$F144)</f>
        <v>0</v>
      </c>
      <c r="N144" s="313">
        <f>SUMIFS(Headcount!AQ$61:AQ$103,Headcount!$E$61:$E$103,$E144,Headcount!$F$61:$F$103,$F144)</f>
        <v>0</v>
      </c>
      <c r="O144" s="313">
        <f>SUMIFS(Headcount!AR$61:AR$103,Headcount!$E$61:$E$103,$E144,Headcount!$F$61:$F$103,$F144)</f>
        <v>0</v>
      </c>
      <c r="P144" s="313">
        <f>SUMIFS(Headcount!AS$61:AS$103,Headcount!$E$61:$E$103,$E144,Headcount!$F$61:$F$103,$F144)</f>
        <v>0</v>
      </c>
      <c r="Q144" s="313">
        <f>SUMIFS(Headcount!AT$61:AT$103,Headcount!$E$61:$E$103,$E144,Headcount!$F$61:$F$103,$F144)</f>
        <v>0</v>
      </c>
      <c r="R144" s="313">
        <f>SUMIFS(Headcount!AU$61:AU$103,Headcount!$E$61:$E$103,$E144,Headcount!$F$61:$F$103,$F144)</f>
        <v>0</v>
      </c>
      <c r="S144" s="313">
        <f>SUMIFS(Headcount!AV$61:AV$103,Headcount!$E$61:$E$103,$E144,Headcount!$F$61:$F$103,$F144)</f>
        <v>0</v>
      </c>
      <c r="T144" s="313">
        <f>SUMIFS(Headcount!AW$61:AW$103,Headcount!$E$61:$E$103,$E144,Headcount!$F$61:$F$103,$F144)</f>
        <v>0</v>
      </c>
      <c r="U144" s="313">
        <f>SUMIFS(Headcount!AX$61:AX$103,Headcount!$E$61:$E$103,$E144,Headcount!$F$61:$F$103,$F144)</f>
        <v>0</v>
      </c>
      <c r="V144" s="313">
        <f>SUMIFS(Headcount!AY$61:AY$103,Headcount!$E$61:$E$103,$E144,Headcount!$F$61:$F$103,$F144)</f>
        <v>0</v>
      </c>
      <c r="W144" s="313">
        <f>SUMIFS(Headcount!AZ$61:AZ$103,Headcount!$E$61:$E$103,$E144,Headcount!$F$61:$F$103,$F144)</f>
        <v>0</v>
      </c>
      <c r="X144" s="313">
        <f>SUMIFS(Headcount!BA$61:BA$103,Headcount!$E$61:$E$103,$E144,Headcount!$F$61:$F$103,$F144)</f>
        <v>0</v>
      </c>
      <c r="Y144" s="313">
        <f>SUMIFS(Headcount!BB$61:BB$103,Headcount!$E$61:$E$103,$E144,Headcount!$F$61:$F$103,$F144)</f>
        <v>0</v>
      </c>
      <c r="Z144" s="313">
        <f>SUMIFS(Headcount!BC$61:BC$103,Headcount!$E$61:$E$103,$E144,Headcount!$F$61:$F$103,$F144)</f>
        <v>0</v>
      </c>
      <c r="AA144" s="313">
        <f>SUMIFS(Headcount!BD$61:BD$103,Headcount!$E$61:$E$103,$E144,Headcount!$F$61:$F$103,$F144)</f>
        <v>0</v>
      </c>
      <c r="AB144" s="313">
        <f>SUMIFS(Headcount!BE$61:BE$103,Headcount!$E$61:$E$103,$E144,Headcount!$F$61:$F$103,$F144)</f>
        <v>0</v>
      </c>
      <c r="AC144" s="313">
        <f>SUMIFS(Headcount!BF$61:BF$103,Headcount!$E$61:$E$103,$E144,Headcount!$F$61:$F$103,$F144)</f>
        <v>0</v>
      </c>
      <c r="AD144" s="313">
        <f>SUMIFS(Headcount!BG$61:BG$103,Headcount!$E$61:$E$103,$E144,Headcount!$F$61:$F$103,$F144)</f>
        <v>0</v>
      </c>
      <c r="AE144" s="313">
        <f>SUMIFS(Headcount!BH$61:BH$103,Headcount!$E$61:$E$103,$E144,Headcount!$F$61:$F$103,$F144)</f>
        <v>0</v>
      </c>
      <c r="AF144" s="313">
        <f>SUMIFS(Headcount!BI$61:BI$103,Headcount!$E$61:$E$103,$E144,Headcount!$F$61:$F$103,$F144)</f>
        <v>0</v>
      </c>
      <c r="AG144" s="313">
        <f>SUMIFS(Headcount!BJ$61:BJ$103,Headcount!$E$61:$E$103,$E144,Headcount!$F$61:$F$103,$F144)</f>
        <v>0</v>
      </c>
      <c r="AH144" s="313">
        <f>SUMIFS(Headcount!BK$61:BK$103,Headcount!$E$61:$E$103,$E144,Headcount!$F$61:$F$103,$F144)</f>
        <v>0</v>
      </c>
      <c r="AI144" s="313">
        <f>SUMIFS(Headcount!BL$61:BL$103,Headcount!$E$61:$E$103,$E144,Headcount!$F$61:$F$103,$F144)</f>
        <v>0</v>
      </c>
      <c r="AJ144" s="313">
        <f>SUMIFS(Headcount!BM$61:BM$103,Headcount!$E$61:$E$103,$E144,Headcount!$F$61:$F$103,$F144)</f>
        <v>0</v>
      </c>
      <c r="AK144" s="313">
        <f>SUMIFS(Headcount!BN$61:BN$103,Headcount!$E$61:$E$103,$E144,Headcount!$F$61:$F$103,$F144)</f>
        <v>0</v>
      </c>
      <c r="AL144" s="313">
        <f>SUMIFS(Headcount!BO$61:BO$103,Headcount!$E$61:$E$103,$E144,Headcount!$F$61:$F$103,$F144)</f>
        <v>0</v>
      </c>
      <c r="AM144" s="313">
        <f>SUMIFS(Headcount!BP$61:BP$103,Headcount!$E$61:$E$103,$E144,Headcount!$F$61:$F$103,$F144)</f>
        <v>0</v>
      </c>
      <c r="AN144" s="313">
        <f>SUMIFS(Headcount!BQ$61:BQ$103,Headcount!$E$61:$E$103,$E144,Headcount!$F$61:$F$103,$F144)</f>
        <v>0</v>
      </c>
      <c r="AO144" s="313">
        <f>SUMIFS(Headcount!BR$61:BR$103,Headcount!$E$61:$E$103,$E144,Headcount!$F$61:$F$103,$F144)</f>
        <v>0</v>
      </c>
      <c r="AP144" s="313">
        <f>SUMIFS(Headcount!BS$61:BS$103,Headcount!$E$61:$E$103,$E144,Headcount!$F$61:$F$103,$F144)</f>
        <v>0</v>
      </c>
      <c r="AQ144" s="313">
        <f>SUMIFS(Headcount!BT$61:BT$103,Headcount!$E$61:$E$103,$E144,Headcount!$F$61:$F$103,$F144)</f>
        <v>0</v>
      </c>
      <c r="AR144" s="313">
        <f>SUMIFS(Headcount!BU$61:BU$103,Headcount!$E$61:$E$103,$E144,Headcount!$F$61:$F$103,$F144)</f>
        <v>0</v>
      </c>
      <c r="AS144" s="313">
        <f>SUMIFS(Headcount!BV$61:BV$103,Headcount!$E$61:$E$103,$E144,Headcount!$F$61:$F$103,$F144)</f>
        <v>0</v>
      </c>
      <c r="AT144" s="313">
        <f>SUMIFS(Headcount!BW$61:BW$103,Headcount!$E$61:$E$103,$E144,Headcount!$F$61:$F$103,$F144)</f>
        <v>0</v>
      </c>
      <c r="AU144" s="313">
        <f>SUMIFS(Headcount!BX$61:BX$103,Headcount!$E$61:$E$103,$E144,Headcount!$F$61:$F$103,$F144)</f>
        <v>0</v>
      </c>
      <c r="AV144" s="313">
        <f>SUMIFS(Headcount!BY$61:BY$103,Headcount!$E$61:$E$103,$E144,Headcount!$F$61:$F$103,$F144)</f>
        <v>0</v>
      </c>
      <c r="AW144" s="313">
        <f>SUMIFS(Headcount!BZ$61:BZ$103,Headcount!$E$61:$E$103,$E144,Headcount!$F$61:$F$103,$F144)</f>
        <v>0</v>
      </c>
      <c r="AX144" s="313">
        <f>SUMIFS(Headcount!CA$61:CA$103,Headcount!$E$61:$E$103,$E144,Headcount!$F$61:$F$103,$F144)</f>
        <v>0</v>
      </c>
      <c r="AY144" s="313">
        <f>SUMIFS(Headcount!CB$61:CB$103,Headcount!$E$61:$E$103,$E144,Headcount!$F$61:$F$103,$F144)</f>
        <v>0</v>
      </c>
      <c r="AZ144" s="313">
        <f>SUMIFS(Headcount!CC$61:CC$103,Headcount!$E$61:$E$103,$E144,Headcount!$F$61:$F$103,$F144)</f>
        <v>0</v>
      </c>
      <c r="BA144" s="313">
        <f>SUMIFS(Headcount!CD$61:CD$103,Headcount!$E$61:$E$103,$E144,Headcount!$F$61:$F$103,$F144)</f>
        <v>0</v>
      </c>
      <c r="BB144" s="313">
        <f>SUMIFS(Headcount!CE$61:CE$103,Headcount!$E$61:$E$103,$E144,Headcount!$F$61:$F$103,$F144)</f>
        <v>0</v>
      </c>
      <c r="BC144" s="313">
        <f>SUMIFS(Headcount!CF$61:CF$103,Headcount!$E$61:$E$103,$E144,Headcount!$F$61:$F$103,$F144)</f>
        <v>0</v>
      </c>
      <c r="BD144" s="313">
        <f>SUMIFS(Headcount!CG$61:CG$103,Headcount!$E$61:$E$103,$E144,Headcount!$F$61:$F$103,$F144)</f>
        <v>0</v>
      </c>
      <c r="BE144" s="313">
        <f>SUMIFS(Headcount!CH$61:CH$103,Headcount!$E$61:$E$103,$E144,Headcount!$F$61:$F$103,$F144)</f>
        <v>0</v>
      </c>
      <c r="BF144" s="313">
        <f>SUMIFS(Headcount!CI$61:CI$103,Headcount!$E$61:$E$103,$E144,Headcount!$F$61:$F$103,$F144)</f>
        <v>0</v>
      </c>
      <c r="BG144" s="313">
        <f>SUMIFS(Headcount!CJ$61:CJ$103,Headcount!$E$61:$E$103,$E144,Headcount!$F$61:$F$103,$F144)</f>
        <v>0</v>
      </c>
      <c r="BH144" s="313">
        <f>SUMIFS(Headcount!CK$61:CK$103,Headcount!$E$61:$E$103,$E144,Headcount!$F$61:$F$103,$F144)</f>
        <v>0</v>
      </c>
    </row>
    <row r="145" spans="2:60" ht="19.5" customHeight="1" outlineLevel="1">
      <c r="B145" s="284"/>
      <c r="C145" s="315"/>
      <c r="D145" s="383" t="str">
        <f t="shared" si="16"/>
        <v>Customer Support</v>
      </c>
      <c r="E145" s="265" t="str">
        <f t="shared" si="16"/>
        <v>H5</v>
      </c>
      <c r="F145" s="383" t="s">
        <v>200</v>
      </c>
      <c r="G145" s="277"/>
      <c r="H145" s="277"/>
      <c r="I145" s="277"/>
      <c r="J145" s="314"/>
      <c r="L145" s="313"/>
      <c r="M145" s="313">
        <f>SUMIFS(Headcount!AP$61:AP$103,Headcount!$E$61:$E$103,$E145,Headcount!$F$61:$F$103,$F145)</f>
        <v>0</v>
      </c>
      <c r="N145" s="313">
        <f>SUMIFS(Headcount!AQ$61:AQ$103,Headcount!$E$61:$E$103,$E145,Headcount!$F$61:$F$103,$F145)</f>
        <v>0</v>
      </c>
      <c r="O145" s="313">
        <f>SUMIFS(Headcount!AR$61:AR$103,Headcount!$E$61:$E$103,$E145,Headcount!$F$61:$F$103,$F145)</f>
        <v>0</v>
      </c>
      <c r="P145" s="313">
        <f>SUMIFS(Headcount!AS$61:AS$103,Headcount!$E$61:$E$103,$E145,Headcount!$F$61:$F$103,$F145)</f>
        <v>0</v>
      </c>
      <c r="Q145" s="313">
        <f>SUMIFS(Headcount!AT$61:AT$103,Headcount!$E$61:$E$103,$E145,Headcount!$F$61:$F$103,$F145)</f>
        <v>0</v>
      </c>
      <c r="R145" s="313">
        <f>SUMIFS(Headcount!AU$61:AU$103,Headcount!$E$61:$E$103,$E145,Headcount!$F$61:$F$103,$F145)</f>
        <v>0</v>
      </c>
      <c r="S145" s="313">
        <f>SUMIFS(Headcount!AV$61:AV$103,Headcount!$E$61:$E$103,$E145,Headcount!$F$61:$F$103,$F145)</f>
        <v>0</v>
      </c>
      <c r="T145" s="313">
        <f>SUMIFS(Headcount!AW$61:AW$103,Headcount!$E$61:$E$103,$E145,Headcount!$F$61:$F$103,$F145)</f>
        <v>0</v>
      </c>
      <c r="U145" s="313">
        <f>SUMIFS(Headcount!AX$61:AX$103,Headcount!$E$61:$E$103,$E145,Headcount!$F$61:$F$103,$F145)</f>
        <v>0</v>
      </c>
      <c r="V145" s="313">
        <f>SUMIFS(Headcount!AY$61:AY$103,Headcount!$E$61:$E$103,$E145,Headcount!$F$61:$F$103,$F145)</f>
        <v>0</v>
      </c>
      <c r="W145" s="313">
        <f>SUMIFS(Headcount!AZ$61:AZ$103,Headcount!$E$61:$E$103,$E145,Headcount!$F$61:$F$103,$F145)</f>
        <v>0</v>
      </c>
      <c r="X145" s="313">
        <f>SUMIFS(Headcount!BA$61:BA$103,Headcount!$E$61:$E$103,$E145,Headcount!$F$61:$F$103,$F145)</f>
        <v>0</v>
      </c>
      <c r="Y145" s="313">
        <f>SUMIFS(Headcount!BB$61:BB$103,Headcount!$E$61:$E$103,$E145,Headcount!$F$61:$F$103,$F145)</f>
        <v>0</v>
      </c>
      <c r="Z145" s="313">
        <f>SUMIFS(Headcount!BC$61:BC$103,Headcount!$E$61:$E$103,$E145,Headcount!$F$61:$F$103,$F145)</f>
        <v>0</v>
      </c>
      <c r="AA145" s="313">
        <f>SUMIFS(Headcount!BD$61:BD$103,Headcount!$E$61:$E$103,$E145,Headcount!$F$61:$F$103,$F145)</f>
        <v>0</v>
      </c>
      <c r="AB145" s="313">
        <f>SUMIFS(Headcount!BE$61:BE$103,Headcount!$E$61:$E$103,$E145,Headcount!$F$61:$F$103,$F145)</f>
        <v>0</v>
      </c>
      <c r="AC145" s="313">
        <f>SUMIFS(Headcount!BF$61:BF$103,Headcount!$E$61:$E$103,$E145,Headcount!$F$61:$F$103,$F145)</f>
        <v>0</v>
      </c>
      <c r="AD145" s="313">
        <f>SUMIFS(Headcount!BG$61:BG$103,Headcount!$E$61:$E$103,$E145,Headcount!$F$61:$F$103,$F145)</f>
        <v>0</v>
      </c>
      <c r="AE145" s="313">
        <f>SUMIFS(Headcount!BH$61:BH$103,Headcount!$E$61:$E$103,$E145,Headcount!$F$61:$F$103,$F145)</f>
        <v>0</v>
      </c>
      <c r="AF145" s="313">
        <f>SUMIFS(Headcount!BI$61:BI$103,Headcount!$E$61:$E$103,$E145,Headcount!$F$61:$F$103,$F145)</f>
        <v>0</v>
      </c>
      <c r="AG145" s="313">
        <f>SUMIFS(Headcount!BJ$61:BJ$103,Headcount!$E$61:$E$103,$E145,Headcount!$F$61:$F$103,$F145)</f>
        <v>0</v>
      </c>
      <c r="AH145" s="313">
        <f>SUMIFS(Headcount!BK$61:BK$103,Headcount!$E$61:$E$103,$E145,Headcount!$F$61:$F$103,$F145)</f>
        <v>0</v>
      </c>
      <c r="AI145" s="313">
        <f>SUMIFS(Headcount!BL$61:BL$103,Headcount!$E$61:$E$103,$E145,Headcount!$F$61:$F$103,$F145)</f>
        <v>0</v>
      </c>
      <c r="AJ145" s="313">
        <f>SUMIFS(Headcount!BM$61:BM$103,Headcount!$E$61:$E$103,$E145,Headcount!$F$61:$F$103,$F145)</f>
        <v>0</v>
      </c>
      <c r="AK145" s="313">
        <f>SUMIFS(Headcount!BN$61:BN$103,Headcount!$E$61:$E$103,$E145,Headcount!$F$61:$F$103,$F145)</f>
        <v>0</v>
      </c>
      <c r="AL145" s="313">
        <f>SUMIFS(Headcount!BO$61:BO$103,Headcount!$E$61:$E$103,$E145,Headcount!$F$61:$F$103,$F145)</f>
        <v>0</v>
      </c>
      <c r="AM145" s="313">
        <f>SUMIFS(Headcount!BP$61:BP$103,Headcount!$E$61:$E$103,$E145,Headcount!$F$61:$F$103,$F145)</f>
        <v>0</v>
      </c>
      <c r="AN145" s="313">
        <f>SUMIFS(Headcount!BQ$61:BQ$103,Headcount!$E$61:$E$103,$E145,Headcount!$F$61:$F$103,$F145)</f>
        <v>0</v>
      </c>
      <c r="AO145" s="313">
        <f>SUMIFS(Headcount!BR$61:BR$103,Headcount!$E$61:$E$103,$E145,Headcount!$F$61:$F$103,$F145)</f>
        <v>0</v>
      </c>
      <c r="AP145" s="313">
        <f>SUMIFS(Headcount!BS$61:BS$103,Headcount!$E$61:$E$103,$E145,Headcount!$F$61:$F$103,$F145)</f>
        <v>0</v>
      </c>
      <c r="AQ145" s="313">
        <f>SUMIFS(Headcount!BT$61:BT$103,Headcount!$E$61:$E$103,$E145,Headcount!$F$61:$F$103,$F145)</f>
        <v>0</v>
      </c>
      <c r="AR145" s="313">
        <f>SUMIFS(Headcount!BU$61:BU$103,Headcount!$E$61:$E$103,$E145,Headcount!$F$61:$F$103,$F145)</f>
        <v>0</v>
      </c>
      <c r="AS145" s="313">
        <f>SUMIFS(Headcount!BV$61:BV$103,Headcount!$E$61:$E$103,$E145,Headcount!$F$61:$F$103,$F145)</f>
        <v>0</v>
      </c>
      <c r="AT145" s="313">
        <f>SUMIFS(Headcount!BW$61:BW$103,Headcount!$E$61:$E$103,$E145,Headcount!$F$61:$F$103,$F145)</f>
        <v>0</v>
      </c>
      <c r="AU145" s="313">
        <f>SUMIFS(Headcount!BX$61:BX$103,Headcount!$E$61:$E$103,$E145,Headcount!$F$61:$F$103,$F145)</f>
        <v>0</v>
      </c>
      <c r="AV145" s="313">
        <f>SUMIFS(Headcount!BY$61:BY$103,Headcount!$E$61:$E$103,$E145,Headcount!$F$61:$F$103,$F145)</f>
        <v>0</v>
      </c>
      <c r="AW145" s="313">
        <f>SUMIFS(Headcount!BZ$61:BZ$103,Headcount!$E$61:$E$103,$E145,Headcount!$F$61:$F$103,$F145)</f>
        <v>0</v>
      </c>
      <c r="AX145" s="313">
        <f>SUMIFS(Headcount!CA$61:CA$103,Headcount!$E$61:$E$103,$E145,Headcount!$F$61:$F$103,$F145)</f>
        <v>0</v>
      </c>
      <c r="AY145" s="313">
        <f>SUMIFS(Headcount!CB$61:CB$103,Headcount!$E$61:$E$103,$E145,Headcount!$F$61:$F$103,$F145)</f>
        <v>0</v>
      </c>
      <c r="AZ145" s="313">
        <f>SUMIFS(Headcount!CC$61:CC$103,Headcount!$E$61:$E$103,$E145,Headcount!$F$61:$F$103,$F145)</f>
        <v>0</v>
      </c>
      <c r="BA145" s="313">
        <f>SUMIFS(Headcount!CD$61:CD$103,Headcount!$E$61:$E$103,$E145,Headcount!$F$61:$F$103,$F145)</f>
        <v>0</v>
      </c>
      <c r="BB145" s="313">
        <f>SUMIFS(Headcount!CE$61:CE$103,Headcount!$E$61:$E$103,$E145,Headcount!$F$61:$F$103,$F145)</f>
        <v>0</v>
      </c>
      <c r="BC145" s="313">
        <f>SUMIFS(Headcount!CF$61:CF$103,Headcount!$E$61:$E$103,$E145,Headcount!$F$61:$F$103,$F145)</f>
        <v>0</v>
      </c>
      <c r="BD145" s="313">
        <f>SUMIFS(Headcount!CG$61:CG$103,Headcount!$E$61:$E$103,$E145,Headcount!$F$61:$F$103,$F145)</f>
        <v>0</v>
      </c>
      <c r="BE145" s="313">
        <f>SUMIFS(Headcount!CH$61:CH$103,Headcount!$E$61:$E$103,$E145,Headcount!$F$61:$F$103,$F145)</f>
        <v>0</v>
      </c>
      <c r="BF145" s="313">
        <f>SUMIFS(Headcount!CI$61:CI$103,Headcount!$E$61:$E$103,$E145,Headcount!$F$61:$F$103,$F145)</f>
        <v>0</v>
      </c>
      <c r="BG145" s="313">
        <f>SUMIFS(Headcount!CJ$61:CJ$103,Headcount!$E$61:$E$103,$E145,Headcount!$F$61:$F$103,$F145)</f>
        <v>0</v>
      </c>
      <c r="BH145" s="313">
        <f>SUMIFS(Headcount!CK$61:CK$103,Headcount!$E$61:$E$103,$E145,Headcount!$F$61:$F$103,$F145)</f>
        <v>0</v>
      </c>
    </row>
    <row r="146" spans="2:60" ht="19.5" customHeight="1" outlineLevel="1">
      <c r="B146" s="284"/>
      <c r="C146" s="315"/>
      <c r="D146" s="383"/>
      <c r="F146" s="383"/>
      <c r="G146" s="277"/>
      <c r="H146" s="277"/>
      <c r="I146" s="277"/>
      <c r="J146" s="314"/>
      <c r="L146" s="313"/>
      <c r="M146" s="313"/>
      <c r="N146" s="313"/>
      <c r="O146" s="313"/>
      <c r="P146" s="313"/>
      <c r="Q146" s="313"/>
      <c r="R146" s="313"/>
      <c r="S146" s="313"/>
      <c r="T146" s="313"/>
      <c r="U146" s="313"/>
      <c r="V146" s="313"/>
      <c r="W146" s="313"/>
      <c r="X146" s="313"/>
      <c r="Y146" s="313"/>
      <c r="Z146" s="313"/>
      <c r="AA146" s="313"/>
      <c r="AB146" s="313"/>
      <c r="AC146" s="313"/>
      <c r="AD146" s="313"/>
      <c r="AE146" s="313"/>
      <c r="AF146" s="313"/>
      <c r="AG146" s="313"/>
      <c r="AH146" s="313"/>
      <c r="AI146" s="313"/>
      <c r="AJ146" s="313"/>
      <c r="AK146" s="313"/>
      <c r="AL146" s="313"/>
      <c r="AM146" s="313"/>
      <c r="AN146" s="313"/>
      <c r="AO146" s="313"/>
      <c r="AP146" s="313"/>
      <c r="AQ146" s="313"/>
      <c r="AR146" s="313"/>
      <c r="AS146" s="313"/>
      <c r="AT146" s="313"/>
      <c r="AU146" s="313"/>
      <c r="AV146" s="313"/>
      <c r="AW146" s="313"/>
      <c r="AX146" s="313"/>
      <c r="AY146" s="313"/>
      <c r="AZ146" s="313"/>
      <c r="BA146" s="313"/>
      <c r="BB146" s="313"/>
      <c r="BC146" s="313"/>
      <c r="BD146" s="313"/>
      <c r="BE146" s="313"/>
      <c r="BF146" s="313"/>
      <c r="BG146" s="313"/>
      <c r="BH146" s="313"/>
    </row>
    <row r="147" spans="2:60" ht="18.75" customHeight="1">
      <c r="B147" s="151" t="s">
        <v>155</v>
      </c>
      <c r="C147" s="156"/>
      <c r="G147" s="317"/>
    </row>
    <row r="148" spans="2:60" ht="18.75" customHeight="1" outlineLevel="2">
      <c r="B148" s="151"/>
      <c r="C148" s="151"/>
      <c r="D148" s="151" t="s">
        <v>468</v>
      </c>
      <c r="E148" s="151" t="s">
        <v>98</v>
      </c>
      <c r="G148" s="317"/>
      <c r="L148" s="310">
        <f>SUMIFS(L$12:L$21,dataSummaryPLSections,$E148)-SUMIFS(Drivers!AN$10:AN$69,PLSections,$E148)</f>
        <v>0</v>
      </c>
      <c r="M148" s="310">
        <f>SUMIFS(M$12:M$21,dataSummaryPLSections,$E148)-SUMIFS(Drivers!AO$10:AO$69,PLSections,$E148)</f>
        <v>0</v>
      </c>
      <c r="N148" s="310">
        <f>SUMIFS(N$12:N$21,dataSummaryPLSections,$E148)-SUMIFS(Drivers!AP$10:AP$69,PLSections,$E148)</f>
        <v>0</v>
      </c>
      <c r="O148" s="310">
        <f>SUMIFS(O$12:O$21,dataSummaryPLSections,$E148)-SUMIFS(Drivers!AQ$10:AQ$69,PLSections,$E148)</f>
        <v>0</v>
      </c>
      <c r="P148" s="310">
        <f>SUMIFS(P$12:P$21,dataSummaryPLSections,$E148)-SUMIFS(Drivers!AR$10:AR$69,PLSections,$E148)</f>
        <v>0</v>
      </c>
      <c r="Q148" s="310">
        <f>SUMIFS(Q$12:Q$21,dataSummaryPLSections,$E148)-SUMIFS(Drivers!AS$10:AS$69,PLSections,$E148)</f>
        <v>0</v>
      </c>
      <c r="R148" s="310">
        <f>SUMIFS(R$12:R$21,dataSummaryPLSections,$E148)-SUMIFS(Drivers!AT$10:AT$69,PLSections,$E148)</f>
        <v>0</v>
      </c>
      <c r="S148" s="310">
        <f>SUMIFS(S$12:S$21,dataSummaryPLSections,$E148)-SUMIFS(Drivers!AU$10:AU$69,PLSections,$E148)</f>
        <v>0</v>
      </c>
      <c r="T148" s="310">
        <f>SUMIFS(T$12:T$21,dataSummaryPLSections,$E148)-SUMIFS(Drivers!AV$10:AV$69,PLSections,$E148)</f>
        <v>0</v>
      </c>
      <c r="U148" s="310">
        <f>SUMIFS(U$12:U$21,dataSummaryPLSections,$E148)-SUMIFS(Drivers!AW$10:AW$69,PLSections,$E148)</f>
        <v>0</v>
      </c>
      <c r="V148" s="310">
        <f>SUMIFS(V$12:V$21,dataSummaryPLSections,$E148)-SUMIFS(Drivers!AX$10:AX$69,PLSections,$E148)</f>
        <v>0</v>
      </c>
      <c r="W148" s="310">
        <f>SUMIFS(W$12:W$21,dataSummaryPLSections,$E148)-SUMIFS(Drivers!AY$10:AY$69,PLSections,$E148)</f>
        <v>0</v>
      </c>
      <c r="X148" s="310">
        <f>SUMIFS(X$12:X$21,dataSummaryPLSections,$E148)-SUMIFS(Drivers!AZ$10:AZ$69,PLSections,$E148)</f>
        <v>0</v>
      </c>
      <c r="Y148" s="310">
        <f>SUMIFS(Y$12:Y$21,dataSummaryPLSections,$E148)-SUMIFS(Drivers!BA$10:BA$69,PLSections,$E148)</f>
        <v>0</v>
      </c>
      <c r="Z148" s="310">
        <f>SUMIFS(Z$12:Z$21,dataSummaryPLSections,$E148)-SUMIFS(Drivers!BB$10:BB$69,PLSections,$E148)</f>
        <v>0</v>
      </c>
      <c r="AA148" s="310">
        <f>SUMIFS(AA$12:AA$21,dataSummaryPLSections,$E148)-SUMIFS(Drivers!BC$10:BC$69,PLSections,$E148)</f>
        <v>0</v>
      </c>
      <c r="AB148" s="310">
        <f>SUMIFS(AB$12:AB$21,dataSummaryPLSections,$E148)-SUMIFS(Drivers!BD$10:BD$69,PLSections,$E148)</f>
        <v>0</v>
      </c>
      <c r="AC148" s="310">
        <f>SUMIFS(AC$12:AC$21,dataSummaryPLSections,$E148)-SUMIFS(Drivers!BE$10:BE$69,PLSections,$E148)</f>
        <v>0</v>
      </c>
      <c r="AD148" s="310">
        <f>SUMIFS(AD$12:AD$21,dataSummaryPLSections,$E148)-SUMIFS(Drivers!BF$10:BF$69,PLSections,$E148)</f>
        <v>0</v>
      </c>
      <c r="AE148" s="310">
        <f>SUMIFS(AE$12:AE$21,dataSummaryPLSections,$E148)-SUMIFS(Drivers!BG$10:BG$69,PLSections,$E148)</f>
        <v>0</v>
      </c>
      <c r="AF148" s="310">
        <f>SUMIFS(AF$12:AF$21,dataSummaryPLSections,$E148)-SUMIFS(Drivers!BH$10:BH$69,PLSections,$E148)</f>
        <v>0</v>
      </c>
      <c r="AG148" s="310">
        <f>SUMIFS(AG$12:AG$21,dataSummaryPLSections,$E148)-SUMIFS(Drivers!BI$10:BI$69,PLSections,$E148)</f>
        <v>0</v>
      </c>
      <c r="AH148" s="310">
        <f>SUMIFS(AH$12:AH$21,dataSummaryPLSections,$E148)-SUMIFS(Drivers!BJ$10:BJ$69,PLSections,$E148)</f>
        <v>0</v>
      </c>
      <c r="AI148" s="310">
        <f>SUMIFS(AI$12:AI$21,dataSummaryPLSections,$E148)-SUMIFS(Drivers!BK$10:BK$69,PLSections,$E148)</f>
        <v>0</v>
      </c>
      <c r="AJ148" s="310">
        <f>SUMIFS(AJ$12:AJ$21,dataSummaryPLSections,$E148)-SUMIFS(Drivers!BL$10:BL$69,PLSections,$E148)</f>
        <v>0</v>
      </c>
      <c r="AK148" s="310">
        <f>SUMIFS(AK$12:AK$21,dataSummaryPLSections,$E148)-SUMIFS(Drivers!BM$10:BM$69,PLSections,$E148)</f>
        <v>0</v>
      </c>
      <c r="AL148" s="310">
        <f>SUMIFS(AL$12:AL$21,dataSummaryPLSections,$E148)-SUMIFS(Drivers!BN$10:BN$69,PLSections,$E148)</f>
        <v>0</v>
      </c>
      <c r="AM148" s="310">
        <f>SUMIFS(AM$12:AM$21,dataSummaryPLSections,$E148)-SUMIFS(Drivers!BO$10:BO$69,PLSections,$E148)</f>
        <v>0</v>
      </c>
      <c r="AN148" s="310">
        <f>SUMIFS(AN$12:AN$21,dataSummaryPLSections,$E148)-SUMIFS(Drivers!BP$10:BP$69,PLSections,$E148)</f>
        <v>0</v>
      </c>
      <c r="AO148" s="310">
        <f>SUMIFS(AO$12:AO$21,dataSummaryPLSections,$E148)-SUMIFS(Drivers!BQ$10:BQ$69,PLSections,$E148)</f>
        <v>0</v>
      </c>
      <c r="AP148" s="310">
        <f>SUMIFS(AP$12:AP$21,dataSummaryPLSections,$E148)-SUMIFS(Drivers!BR$10:BR$69,PLSections,$E148)</f>
        <v>0</v>
      </c>
      <c r="AQ148" s="310">
        <f>SUMIFS(AQ$12:AQ$21,dataSummaryPLSections,$E148)-SUMIFS(Drivers!BS$10:BS$69,PLSections,$E148)</f>
        <v>0</v>
      </c>
      <c r="AR148" s="310">
        <f>SUMIFS(AR$12:AR$21,dataSummaryPLSections,$E148)-SUMIFS(Drivers!BT$10:BT$69,PLSections,$E148)</f>
        <v>0</v>
      </c>
      <c r="AS148" s="310">
        <f>SUMIFS(AS$12:AS$21,dataSummaryPLSections,$E148)-SUMIFS(Drivers!BU$10:BU$69,PLSections,$E148)</f>
        <v>0</v>
      </c>
      <c r="AT148" s="310">
        <f>SUMIFS(AT$12:AT$21,dataSummaryPLSections,$E148)-SUMIFS(Drivers!BV$10:BV$69,PLSections,$E148)</f>
        <v>0</v>
      </c>
      <c r="AU148" s="310">
        <f>SUMIFS(AU$12:AU$21,dataSummaryPLSections,$E148)-SUMIFS(Drivers!BW$10:BW$69,PLSections,$E148)</f>
        <v>0</v>
      </c>
      <c r="AV148" s="310">
        <f>SUMIFS(AV$12:AV$21,dataSummaryPLSections,$E148)-SUMIFS(Drivers!BX$10:BX$69,PLSections,$E148)</f>
        <v>0</v>
      </c>
      <c r="AW148" s="310">
        <f>SUMIFS(AW$12:AW$21,dataSummaryPLSections,$E148)-SUMIFS(Drivers!BY$10:BY$69,PLSections,$E148)</f>
        <v>0</v>
      </c>
      <c r="AX148" s="310">
        <f>SUMIFS(AX$12:AX$21,dataSummaryPLSections,$E148)-SUMIFS(Drivers!BZ$10:BZ$69,PLSections,$E148)</f>
        <v>0</v>
      </c>
      <c r="AY148" s="310">
        <f>SUMIFS(AY$12:AY$21,dataSummaryPLSections,$E148)-SUMIFS(Drivers!CA$10:CA$69,PLSections,$E148)</f>
        <v>0</v>
      </c>
      <c r="AZ148" s="310">
        <f>SUMIFS(AZ$12:AZ$21,dataSummaryPLSections,$E148)-SUMIFS(Drivers!CB$10:CB$69,PLSections,$E148)</f>
        <v>0</v>
      </c>
      <c r="BA148" s="310">
        <f>SUMIFS(BA$12:BA$21,dataSummaryPLSections,$E148)-SUMIFS(Drivers!CC$10:CC$69,PLSections,$E148)</f>
        <v>0</v>
      </c>
      <c r="BB148" s="310">
        <f>SUMIFS(BB$12:BB$21,dataSummaryPLSections,$E148)-SUMIFS(Drivers!CD$10:CD$69,PLSections,$E148)</f>
        <v>0</v>
      </c>
      <c r="BC148" s="310">
        <f>SUMIFS(BC$12:BC$21,dataSummaryPLSections,$E148)-SUMIFS(Drivers!CE$10:CE$69,PLSections,$E148)</f>
        <v>0</v>
      </c>
      <c r="BD148" s="310">
        <f>SUMIFS(BD$12:BD$21,dataSummaryPLSections,$E148)-SUMIFS(Drivers!CF$10:CF$69,PLSections,$E148)</f>
        <v>0</v>
      </c>
      <c r="BE148" s="310">
        <f>SUMIFS(BE$12:BE$21,dataSummaryPLSections,$E148)-SUMIFS(Drivers!CG$10:CG$69,PLSections,$E148)</f>
        <v>0</v>
      </c>
      <c r="BF148" s="310">
        <f>SUMIFS(BF$12:BF$21,dataSummaryPLSections,$E148)-SUMIFS(Drivers!CH$10:CH$69,PLSections,$E148)</f>
        <v>0</v>
      </c>
      <c r="BG148" s="310">
        <f>SUMIFS(BG$12:BG$21,dataSummaryPLSections,$E148)-SUMIFS(Drivers!CI$10:CI$69,PLSections,$E148)</f>
        <v>0</v>
      </c>
      <c r="BH148" s="310">
        <f>SUMIFS(BH$12:BH$21,dataSummaryPLSections,$E148)-SUMIFS(Drivers!CJ$10:CJ$69,PLSections,$E148)</f>
        <v>0</v>
      </c>
    </row>
    <row r="149" spans="2:60" ht="18.75" customHeight="1" outlineLevel="2">
      <c r="C149" s="151"/>
      <c r="D149" s="151" t="s">
        <v>469</v>
      </c>
      <c r="E149" s="151" t="s">
        <v>80</v>
      </c>
      <c r="G149" s="317"/>
      <c r="L149" s="310">
        <f>SUMIFS(L$12:L$21,dataSummaryPLSections,$E149)-SUMIFS(Drivers!AN$10:AN$69,PLSections,$E149)</f>
        <v>0</v>
      </c>
      <c r="M149" s="310">
        <f>SUMIFS(M$12:M$21,dataSummaryPLSections,$E149)-SUMIFS(Drivers!AO$10:AO$69,PLSections,$E149)</f>
        <v>0</v>
      </c>
      <c r="N149" s="310">
        <f>SUMIFS(N$12:N$21,dataSummaryPLSections,$E149)-SUMIFS(Drivers!AP$10:AP$69,PLSections,$E149)</f>
        <v>0</v>
      </c>
      <c r="O149" s="310">
        <f>SUMIFS(O$12:O$21,dataSummaryPLSections,$E149)-SUMIFS(Drivers!AQ$10:AQ$69,PLSections,$E149)</f>
        <v>0</v>
      </c>
      <c r="P149" s="310">
        <f>SUMIFS(P$12:P$21,dataSummaryPLSections,$E149)-SUMIFS(Drivers!AR$10:AR$69,PLSections,$E149)</f>
        <v>0</v>
      </c>
      <c r="Q149" s="310">
        <f>SUMIFS(Q$12:Q$21,dataSummaryPLSections,$E149)-SUMIFS(Drivers!AS$10:AS$69,PLSections,$E149)</f>
        <v>0</v>
      </c>
      <c r="R149" s="310">
        <f>SUMIFS(R$12:R$21,dataSummaryPLSections,$E149)-SUMIFS(Drivers!AT$10:AT$69,PLSections,$E149)</f>
        <v>0</v>
      </c>
      <c r="S149" s="310">
        <f>SUMIFS(S$12:S$21,dataSummaryPLSections,$E149)-SUMIFS(Drivers!AU$10:AU$69,PLSections,$E149)</f>
        <v>0</v>
      </c>
      <c r="T149" s="310">
        <f>SUMIFS(T$12:T$21,dataSummaryPLSections,$E149)-SUMIFS(Drivers!AV$10:AV$69,PLSections,$E149)</f>
        <v>0</v>
      </c>
      <c r="U149" s="310">
        <f>SUMIFS(U$12:U$21,dataSummaryPLSections,$E149)-SUMIFS(Drivers!AW$10:AW$69,PLSections,$E149)</f>
        <v>0</v>
      </c>
      <c r="V149" s="310">
        <f>SUMIFS(V$12:V$21,dataSummaryPLSections,$E149)-SUMIFS(Drivers!AX$10:AX$69,PLSections,$E149)</f>
        <v>0</v>
      </c>
      <c r="W149" s="310">
        <f>SUMIFS(W$12:W$21,dataSummaryPLSections,$E149)-SUMIFS(Drivers!AY$10:AY$69,PLSections,$E149)</f>
        <v>0</v>
      </c>
      <c r="X149" s="310">
        <f>SUMIFS(X$12:X$21,dataSummaryPLSections,$E149)-SUMIFS(Drivers!AZ$10:AZ$69,PLSections,$E149)</f>
        <v>0</v>
      </c>
      <c r="Y149" s="310">
        <f>SUMIFS(Y$12:Y$21,dataSummaryPLSections,$E149)-SUMIFS(Drivers!BA$10:BA$69,PLSections,$E149)</f>
        <v>0</v>
      </c>
      <c r="Z149" s="310">
        <f>SUMIFS(Z$12:Z$21,dataSummaryPLSections,$E149)-SUMIFS(Drivers!BB$10:BB$69,PLSections,$E149)</f>
        <v>0</v>
      </c>
      <c r="AA149" s="310">
        <f>SUMIFS(AA$12:AA$21,dataSummaryPLSections,$E149)-SUMIFS(Drivers!BC$10:BC$69,PLSections,$E149)</f>
        <v>0</v>
      </c>
      <c r="AB149" s="310">
        <f>SUMIFS(AB$12:AB$21,dataSummaryPLSections,$E149)-SUMIFS(Drivers!BD$10:BD$69,PLSections,$E149)</f>
        <v>0</v>
      </c>
      <c r="AC149" s="310">
        <f>SUMIFS(AC$12:AC$21,dataSummaryPLSections,$E149)-SUMIFS(Drivers!BE$10:BE$69,PLSections,$E149)</f>
        <v>0</v>
      </c>
      <c r="AD149" s="310">
        <f>SUMIFS(AD$12:AD$21,dataSummaryPLSections,$E149)-SUMIFS(Drivers!BF$10:BF$69,PLSections,$E149)</f>
        <v>0</v>
      </c>
      <c r="AE149" s="310">
        <f>SUMIFS(AE$12:AE$21,dataSummaryPLSections,$E149)-SUMIFS(Drivers!BG$10:BG$69,PLSections,$E149)</f>
        <v>0</v>
      </c>
      <c r="AF149" s="310">
        <f>SUMIFS(AF$12:AF$21,dataSummaryPLSections,$E149)-SUMIFS(Drivers!BH$10:BH$69,PLSections,$E149)</f>
        <v>0</v>
      </c>
      <c r="AG149" s="310">
        <f>SUMIFS(AG$12:AG$21,dataSummaryPLSections,$E149)-SUMIFS(Drivers!BI$10:BI$69,PLSections,$E149)</f>
        <v>0</v>
      </c>
      <c r="AH149" s="310">
        <f>SUMIFS(AH$12:AH$21,dataSummaryPLSections,$E149)-SUMIFS(Drivers!BJ$10:BJ$69,PLSections,$E149)</f>
        <v>0</v>
      </c>
      <c r="AI149" s="310">
        <f>SUMIFS(AI$12:AI$21,dataSummaryPLSections,$E149)-SUMIFS(Drivers!BK$10:BK$69,PLSections,$E149)</f>
        <v>0</v>
      </c>
      <c r="AJ149" s="310">
        <f>SUMIFS(AJ$12:AJ$21,dataSummaryPLSections,$E149)-SUMIFS(Drivers!BL$10:BL$69,PLSections,$E149)</f>
        <v>0</v>
      </c>
      <c r="AK149" s="310">
        <f>SUMIFS(AK$12:AK$21,dataSummaryPLSections,$E149)-SUMIFS(Drivers!BM$10:BM$69,PLSections,$E149)</f>
        <v>0</v>
      </c>
      <c r="AL149" s="310">
        <f>SUMIFS(AL$12:AL$21,dataSummaryPLSections,$E149)-SUMIFS(Drivers!BN$10:BN$69,PLSections,$E149)</f>
        <v>0</v>
      </c>
      <c r="AM149" s="310">
        <f>SUMIFS(AM$12:AM$21,dataSummaryPLSections,$E149)-SUMIFS(Drivers!BO$10:BO$69,PLSections,$E149)</f>
        <v>0</v>
      </c>
      <c r="AN149" s="310">
        <f>SUMIFS(AN$12:AN$21,dataSummaryPLSections,$E149)-SUMIFS(Drivers!BP$10:BP$69,PLSections,$E149)</f>
        <v>0</v>
      </c>
      <c r="AO149" s="310">
        <f>SUMIFS(AO$12:AO$21,dataSummaryPLSections,$E149)-SUMIFS(Drivers!BQ$10:BQ$69,PLSections,$E149)</f>
        <v>0</v>
      </c>
      <c r="AP149" s="310">
        <f>SUMIFS(AP$12:AP$21,dataSummaryPLSections,$E149)-SUMIFS(Drivers!BR$10:BR$69,PLSections,$E149)</f>
        <v>0</v>
      </c>
      <c r="AQ149" s="310">
        <f>SUMIFS(AQ$12:AQ$21,dataSummaryPLSections,$E149)-SUMIFS(Drivers!BS$10:BS$69,PLSections,$E149)</f>
        <v>0</v>
      </c>
      <c r="AR149" s="310">
        <f>SUMIFS(AR$12:AR$21,dataSummaryPLSections,$E149)-SUMIFS(Drivers!BT$10:BT$69,PLSections,$E149)</f>
        <v>0</v>
      </c>
      <c r="AS149" s="310">
        <f>SUMIFS(AS$12:AS$21,dataSummaryPLSections,$E149)-SUMIFS(Drivers!BU$10:BU$69,PLSections,$E149)</f>
        <v>0</v>
      </c>
      <c r="AT149" s="310">
        <f>SUMIFS(AT$12:AT$21,dataSummaryPLSections,$E149)-SUMIFS(Drivers!BV$10:BV$69,PLSections,$E149)</f>
        <v>0</v>
      </c>
      <c r="AU149" s="310">
        <f>SUMIFS(AU$12:AU$21,dataSummaryPLSections,$E149)-SUMIFS(Drivers!BW$10:BW$69,PLSections,$E149)</f>
        <v>0</v>
      </c>
      <c r="AV149" s="310">
        <f>SUMIFS(AV$12:AV$21,dataSummaryPLSections,$E149)-SUMIFS(Drivers!BX$10:BX$69,PLSections,$E149)</f>
        <v>0</v>
      </c>
      <c r="AW149" s="310">
        <f>SUMIFS(AW$12:AW$21,dataSummaryPLSections,$E149)-SUMIFS(Drivers!BY$10:BY$69,PLSections,$E149)</f>
        <v>0</v>
      </c>
      <c r="AX149" s="310">
        <f>SUMIFS(AX$12:AX$21,dataSummaryPLSections,$E149)-SUMIFS(Drivers!BZ$10:BZ$69,PLSections,$E149)</f>
        <v>0</v>
      </c>
      <c r="AY149" s="310">
        <f>SUMIFS(AY$12:AY$21,dataSummaryPLSections,$E149)-SUMIFS(Drivers!CA$10:CA$69,PLSections,$E149)</f>
        <v>0</v>
      </c>
      <c r="AZ149" s="310">
        <f>SUMIFS(AZ$12:AZ$21,dataSummaryPLSections,$E149)-SUMIFS(Drivers!CB$10:CB$69,PLSections,$E149)</f>
        <v>0</v>
      </c>
      <c r="BA149" s="310">
        <f>SUMIFS(BA$12:BA$21,dataSummaryPLSections,$E149)-SUMIFS(Drivers!CC$10:CC$69,PLSections,$E149)</f>
        <v>0</v>
      </c>
      <c r="BB149" s="310">
        <f>SUMIFS(BB$12:BB$21,dataSummaryPLSections,$E149)-SUMIFS(Drivers!CD$10:CD$69,PLSections,$E149)</f>
        <v>0</v>
      </c>
      <c r="BC149" s="310">
        <f>SUMIFS(BC$12:BC$21,dataSummaryPLSections,$E149)-SUMIFS(Drivers!CE$10:CE$69,PLSections,$E149)</f>
        <v>0</v>
      </c>
      <c r="BD149" s="310">
        <f>SUMIFS(BD$12:BD$21,dataSummaryPLSections,$E149)-SUMIFS(Drivers!CF$10:CF$69,PLSections,$E149)</f>
        <v>0</v>
      </c>
      <c r="BE149" s="310">
        <f>SUMIFS(BE$12:BE$21,dataSummaryPLSections,$E149)-SUMIFS(Drivers!CG$10:CG$69,PLSections,$E149)</f>
        <v>0</v>
      </c>
      <c r="BF149" s="310">
        <f>SUMIFS(BF$12:BF$21,dataSummaryPLSections,$E149)-SUMIFS(Drivers!CH$10:CH$69,PLSections,$E149)</f>
        <v>0</v>
      </c>
      <c r="BG149" s="310">
        <f>SUMIFS(BG$12:BG$21,dataSummaryPLSections,$E149)-SUMIFS(Drivers!CI$10:CI$69,PLSections,$E149)</f>
        <v>0</v>
      </c>
      <c r="BH149" s="310">
        <f>SUMIFS(BH$12:BH$21,dataSummaryPLSections,$E149)-SUMIFS(Drivers!CJ$10:CJ$69,PLSections,$E149)</f>
        <v>0</v>
      </c>
    </row>
    <row r="150" spans="2:60" ht="18.75" customHeight="1" outlineLevel="2">
      <c r="C150" s="151"/>
      <c r="D150" s="151" t="s">
        <v>470</v>
      </c>
      <c r="E150" s="151" t="s">
        <v>101</v>
      </c>
      <c r="G150" s="317"/>
      <c r="L150" s="310">
        <f>SUMIFS(L$12:L$21,dataSummaryPLSections,$E150)-SUMIFS(Drivers!AN$10:AN$69,PLSections,$E150)</f>
        <v>0</v>
      </c>
      <c r="M150" s="310">
        <f>SUMIFS(M$12:M$21,dataSummaryPLSections,$E150)-SUMIFS(Drivers!AO$10:AO$69,PLSections,$E150)</f>
        <v>0</v>
      </c>
      <c r="N150" s="310">
        <f>SUMIFS(N$12:N$21,dataSummaryPLSections,$E150)-SUMIFS(Drivers!AP$10:AP$69,PLSections,$E150)</f>
        <v>0</v>
      </c>
      <c r="O150" s="310">
        <f>SUMIFS(O$12:O$21,dataSummaryPLSections,$E150)-SUMIFS(Drivers!AQ$10:AQ$69,PLSections,$E150)</f>
        <v>0</v>
      </c>
      <c r="P150" s="310">
        <f>SUMIFS(P$12:P$21,dataSummaryPLSections,$E150)-SUMIFS(Drivers!AR$10:AR$69,PLSections,$E150)</f>
        <v>0</v>
      </c>
      <c r="Q150" s="310">
        <f>SUMIFS(Q$12:Q$21,dataSummaryPLSections,$E150)-SUMIFS(Drivers!AS$10:AS$69,PLSections,$E150)</f>
        <v>0</v>
      </c>
      <c r="R150" s="310">
        <f>SUMIFS(R$12:R$21,dataSummaryPLSections,$E150)-SUMIFS(Drivers!AT$10:AT$69,PLSections,$E150)</f>
        <v>0</v>
      </c>
      <c r="S150" s="310">
        <f>SUMIFS(S$12:S$21,dataSummaryPLSections,$E150)-SUMIFS(Drivers!AU$10:AU$69,PLSections,$E150)</f>
        <v>0</v>
      </c>
      <c r="T150" s="310">
        <f>SUMIFS(T$12:T$21,dataSummaryPLSections,$E150)-SUMIFS(Drivers!AV$10:AV$69,PLSections,$E150)</f>
        <v>0</v>
      </c>
      <c r="U150" s="310">
        <f>SUMIFS(U$12:U$21,dataSummaryPLSections,$E150)-SUMIFS(Drivers!AW$10:AW$69,PLSections,$E150)</f>
        <v>0</v>
      </c>
      <c r="V150" s="310">
        <f>SUMIFS(V$12:V$21,dataSummaryPLSections,$E150)-SUMIFS(Drivers!AX$10:AX$69,PLSections,$E150)</f>
        <v>0</v>
      </c>
      <c r="W150" s="310">
        <f>SUMIFS(W$12:W$21,dataSummaryPLSections,$E150)-SUMIFS(Drivers!AY$10:AY$69,PLSections,$E150)</f>
        <v>0</v>
      </c>
      <c r="X150" s="310">
        <f>SUMIFS(X$12:X$21,dataSummaryPLSections,$E150)-SUMIFS(Drivers!AZ$10:AZ$69,PLSections,$E150)</f>
        <v>0</v>
      </c>
      <c r="Y150" s="310">
        <f>SUMIFS(Y$12:Y$21,dataSummaryPLSections,$E150)-SUMIFS(Drivers!BA$10:BA$69,PLSections,$E150)</f>
        <v>0</v>
      </c>
      <c r="Z150" s="310">
        <f>SUMIFS(Z$12:Z$21,dataSummaryPLSections,$E150)-SUMIFS(Drivers!BB$10:BB$69,PLSections,$E150)</f>
        <v>0</v>
      </c>
      <c r="AA150" s="310">
        <f>SUMIFS(AA$12:AA$21,dataSummaryPLSections,$E150)-SUMIFS(Drivers!BC$10:BC$69,PLSections,$E150)</f>
        <v>0</v>
      </c>
      <c r="AB150" s="310">
        <f>SUMIFS(AB$12:AB$21,dataSummaryPLSections,$E150)-SUMIFS(Drivers!BD$10:BD$69,PLSections,$E150)</f>
        <v>0</v>
      </c>
      <c r="AC150" s="310">
        <f>SUMIFS(AC$12:AC$21,dataSummaryPLSections,$E150)-SUMIFS(Drivers!BE$10:BE$69,PLSections,$E150)</f>
        <v>0</v>
      </c>
      <c r="AD150" s="310">
        <f>SUMIFS(AD$12:AD$21,dataSummaryPLSections,$E150)-SUMIFS(Drivers!BF$10:BF$69,PLSections,$E150)</f>
        <v>0</v>
      </c>
      <c r="AE150" s="310">
        <f>SUMIFS(AE$12:AE$21,dataSummaryPLSections,$E150)-SUMIFS(Drivers!BG$10:BG$69,PLSections,$E150)</f>
        <v>0</v>
      </c>
      <c r="AF150" s="310">
        <f>SUMIFS(AF$12:AF$21,dataSummaryPLSections,$E150)-SUMIFS(Drivers!BH$10:BH$69,PLSections,$E150)</f>
        <v>0</v>
      </c>
      <c r="AG150" s="310">
        <f>SUMIFS(AG$12:AG$21,dataSummaryPLSections,$E150)-SUMIFS(Drivers!BI$10:BI$69,PLSections,$E150)</f>
        <v>0</v>
      </c>
      <c r="AH150" s="310">
        <f>SUMIFS(AH$12:AH$21,dataSummaryPLSections,$E150)-SUMIFS(Drivers!BJ$10:BJ$69,PLSections,$E150)</f>
        <v>0</v>
      </c>
      <c r="AI150" s="310">
        <f>SUMIFS(AI$12:AI$21,dataSummaryPLSections,$E150)-SUMIFS(Drivers!BK$10:BK$69,PLSections,$E150)</f>
        <v>0</v>
      </c>
      <c r="AJ150" s="310">
        <f>SUMIFS(AJ$12:AJ$21,dataSummaryPLSections,$E150)-SUMIFS(Drivers!BL$10:BL$69,PLSections,$E150)</f>
        <v>0</v>
      </c>
      <c r="AK150" s="310">
        <f>SUMIFS(AK$12:AK$21,dataSummaryPLSections,$E150)-SUMIFS(Drivers!BM$10:BM$69,PLSections,$E150)</f>
        <v>0</v>
      </c>
      <c r="AL150" s="310">
        <f>SUMIFS(AL$12:AL$21,dataSummaryPLSections,$E150)-SUMIFS(Drivers!BN$10:BN$69,PLSections,$E150)</f>
        <v>0</v>
      </c>
      <c r="AM150" s="310">
        <f>SUMIFS(AM$12:AM$21,dataSummaryPLSections,$E150)-SUMIFS(Drivers!BO$10:BO$69,PLSections,$E150)</f>
        <v>0</v>
      </c>
      <c r="AN150" s="310">
        <f>SUMIFS(AN$12:AN$21,dataSummaryPLSections,$E150)-SUMIFS(Drivers!BP$10:BP$69,PLSections,$E150)</f>
        <v>0</v>
      </c>
      <c r="AO150" s="310">
        <f>SUMIFS(AO$12:AO$21,dataSummaryPLSections,$E150)-SUMIFS(Drivers!BQ$10:BQ$69,PLSections,$E150)</f>
        <v>0</v>
      </c>
      <c r="AP150" s="310">
        <f>SUMIFS(AP$12:AP$21,dataSummaryPLSections,$E150)-SUMIFS(Drivers!BR$10:BR$69,PLSections,$E150)</f>
        <v>0</v>
      </c>
      <c r="AQ150" s="310">
        <f>SUMIFS(AQ$12:AQ$21,dataSummaryPLSections,$E150)-SUMIFS(Drivers!BS$10:BS$69,PLSections,$E150)</f>
        <v>0</v>
      </c>
      <c r="AR150" s="310">
        <f>SUMIFS(AR$12:AR$21,dataSummaryPLSections,$E150)-SUMIFS(Drivers!BT$10:BT$69,PLSections,$E150)</f>
        <v>0</v>
      </c>
      <c r="AS150" s="310">
        <f>SUMIFS(AS$12:AS$21,dataSummaryPLSections,$E150)-SUMIFS(Drivers!BU$10:BU$69,PLSections,$E150)</f>
        <v>0</v>
      </c>
      <c r="AT150" s="310">
        <f>SUMIFS(AT$12:AT$21,dataSummaryPLSections,$E150)-SUMIFS(Drivers!BV$10:BV$69,PLSections,$E150)</f>
        <v>0</v>
      </c>
      <c r="AU150" s="310">
        <f>SUMIFS(AU$12:AU$21,dataSummaryPLSections,$E150)-SUMIFS(Drivers!BW$10:BW$69,PLSections,$E150)</f>
        <v>0</v>
      </c>
      <c r="AV150" s="310">
        <f>SUMIFS(AV$12:AV$21,dataSummaryPLSections,$E150)-SUMIFS(Drivers!BX$10:BX$69,PLSections,$E150)</f>
        <v>0</v>
      </c>
      <c r="AW150" s="310">
        <f>SUMIFS(AW$12:AW$21,dataSummaryPLSections,$E150)-SUMIFS(Drivers!BY$10:BY$69,PLSections,$E150)</f>
        <v>0</v>
      </c>
      <c r="AX150" s="310">
        <f>SUMIFS(AX$12:AX$21,dataSummaryPLSections,$E150)-SUMIFS(Drivers!BZ$10:BZ$69,PLSections,$E150)</f>
        <v>0</v>
      </c>
      <c r="AY150" s="310">
        <f>SUMIFS(AY$12:AY$21,dataSummaryPLSections,$E150)-SUMIFS(Drivers!CA$10:CA$69,PLSections,$E150)</f>
        <v>0</v>
      </c>
      <c r="AZ150" s="310">
        <f>SUMIFS(AZ$12:AZ$21,dataSummaryPLSections,$E150)-SUMIFS(Drivers!CB$10:CB$69,PLSections,$E150)</f>
        <v>0</v>
      </c>
      <c r="BA150" s="310">
        <f>SUMIFS(BA$12:BA$21,dataSummaryPLSections,$E150)-SUMIFS(Drivers!CC$10:CC$69,PLSections,$E150)</f>
        <v>0</v>
      </c>
      <c r="BB150" s="310">
        <f>SUMIFS(BB$12:BB$21,dataSummaryPLSections,$E150)-SUMIFS(Drivers!CD$10:CD$69,PLSections,$E150)</f>
        <v>0</v>
      </c>
      <c r="BC150" s="310">
        <f>SUMIFS(BC$12:BC$21,dataSummaryPLSections,$E150)-SUMIFS(Drivers!CE$10:CE$69,PLSections,$E150)</f>
        <v>0</v>
      </c>
      <c r="BD150" s="310">
        <f>SUMIFS(BD$12:BD$21,dataSummaryPLSections,$E150)-SUMIFS(Drivers!CF$10:CF$69,PLSections,$E150)</f>
        <v>0</v>
      </c>
      <c r="BE150" s="310">
        <f>SUMIFS(BE$12:BE$21,dataSummaryPLSections,$E150)-SUMIFS(Drivers!CG$10:CG$69,PLSections,$E150)</f>
        <v>0</v>
      </c>
      <c r="BF150" s="310">
        <f>SUMIFS(BF$12:BF$21,dataSummaryPLSections,$E150)-SUMIFS(Drivers!CH$10:CH$69,PLSections,$E150)</f>
        <v>0</v>
      </c>
      <c r="BG150" s="310">
        <f>SUMIFS(BG$12:BG$21,dataSummaryPLSections,$E150)-SUMIFS(Drivers!CI$10:CI$69,PLSections,$E150)</f>
        <v>0</v>
      </c>
      <c r="BH150" s="310">
        <f>SUMIFS(BH$12:BH$21,dataSummaryPLSections,$E150)-SUMIFS(Drivers!CJ$10:CJ$69,PLSections,$E150)</f>
        <v>0</v>
      </c>
    </row>
    <row r="151" spans="2:60" ht="18.75" customHeight="1" outlineLevel="2">
      <c r="C151" s="151"/>
      <c r="D151" s="151" t="s">
        <v>471</v>
      </c>
      <c r="E151" s="151" t="s">
        <v>130</v>
      </c>
      <c r="G151" s="317"/>
      <c r="L151" s="310">
        <f>SUMIFS(L$12:L$21,dataSummaryPLSections,$E151)-SUMIFS(Drivers!AN$10:AN$69,PLSections,$E151)</f>
        <v>0</v>
      </c>
      <c r="M151" s="310">
        <f>SUMIFS(M$12:M$21,dataSummaryPLSections,$E151)-SUMIFS(Drivers!AO$10:AO$69,PLSections,$E151)</f>
        <v>0</v>
      </c>
      <c r="N151" s="310">
        <f>SUMIFS(N$12:N$21,dataSummaryPLSections,$E151)-SUMIFS(Drivers!AP$10:AP$69,PLSections,$E151)</f>
        <v>0</v>
      </c>
      <c r="O151" s="310">
        <f>SUMIFS(O$12:O$21,dataSummaryPLSections,$E151)-SUMIFS(Drivers!AQ$10:AQ$69,PLSections,$E151)</f>
        <v>0</v>
      </c>
      <c r="P151" s="310">
        <f>SUMIFS(P$12:P$21,dataSummaryPLSections,$E151)-SUMIFS(Drivers!AR$10:AR$69,PLSections,$E151)</f>
        <v>0</v>
      </c>
      <c r="Q151" s="310">
        <f>SUMIFS(Q$12:Q$21,dataSummaryPLSections,$E151)-SUMIFS(Drivers!AS$10:AS$69,PLSections,$E151)</f>
        <v>0</v>
      </c>
      <c r="R151" s="310">
        <f>SUMIFS(R$12:R$21,dataSummaryPLSections,$E151)-SUMIFS(Drivers!AT$10:AT$69,PLSections,$E151)</f>
        <v>0</v>
      </c>
      <c r="S151" s="310">
        <f>SUMIFS(S$12:S$21,dataSummaryPLSections,$E151)-SUMIFS(Drivers!AU$10:AU$69,PLSections,$E151)</f>
        <v>0</v>
      </c>
      <c r="T151" s="310">
        <f>SUMIFS(T$12:T$21,dataSummaryPLSections,$E151)-SUMIFS(Drivers!AV$10:AV$69,PLSections,$E151)</f>
        <v>0</v>
      </c>
      <c r="U151" s="310">
        <f>SUMIFS(U$12:U$21,dataSummaryPLSections,$E151)-SUMIFS(Drivers!AW$10:AW$69,PLSections,$E151)</f>
        <v>0</v>
      </c>
      <c r="V151" s="310">
        <f>SUMIFS(V$12:V$21,dataSummaryPLSections,$E151)-SUMIFS(Drivers!AX$10:AX$69,PLSections,$E151)</f>
        <v>0</v>
      </c>
      <c r="W151" s="310">
        <f>SUMIFS(W$12:W$21,dataSummaryPLSections,$E151)-SUMIFS(Drivers!AY$10:AY$69,PLSections,$E151)</f>
        <v>0</v>
      </c>
      <c r="X151" s="310">
        <f>SUMIFS(X$12:X$21,dataSummaryPLSections,$E151)-SUMIFS(Drivers!AZ$10:AZ$69,PLSections,$E151)</f>
        <v>0</v>
      </c>
      <c r="Y151" s="310">
        <f>SUMIFS(Y$12:Y$21,dataSummaryPLSections,$E151)-SUMIFS(Drivers!BA$10:BA$69,PLSections,$E151)</f>
        <v>0</v>
      </c>
      <c r="Z151" s="310">
        <f>SUMIFS(Z$12:Z$21,dataSummaryPLSections,$E151)-SUMIFS(Drivers!BB$10:BB$69,PLSections,$E151)</f>
        <v>0</v>
      </c>
      <c r="AA151" s="310">
        <f>SUMIFS(AA$12:AA$21,dataSummaryPLSections,$E151)-SUMIFS(Drivers!BC$10:BC$69,PLSections,$E151)</f>
        <v>0</v>
      </c>
      <c r="AB151" s="310">
        <f>SUMIFS(AB$12:AB$21,dataSummaryPLSections,$E151)-SUMIFS(Drivers!BD$10:BD$69,PLSections,$E151)</f>
        <v>0</v>
      </c>
      <c r="AC151" s="310">
        <f>SUMIFS(AC$12:AC$21,dataSummaryPLSections,$E151)-SUMIFS(Drivers!BE$10:BE$69,PLSections,$E151)</f>
        <v>0</v>
      </c>
      <c r="AD151" s="310">
        <f>SUMIFS(AD$12:AD$21,dataSummaryPLSections,$E151)-SUMIFS(Drivers!BF$10:BF$69,PLSections,$E151)</f>
        <v>0</v>
      </c>
      <c r="AE151" s="310">
        <f>SUMIFS(AE$12:AE$21,dataSummaryPLSections,$E151)-SUMIFS(Drivers!BG$10:BG$69,PLSections,$E151)</f>
        <v>0</v>
      </c>
      <c r="AF151" s="310">
        <f>SUMIFS(AF$12:AF$21,dataSummaryPLSections,$E151)-SUMIFS(Drivers!BH$10:BH$69,PLSections,$E151)</f>
        <v>0</v>
      </c>
      <c r="AG151" s="310">
        <f>SUMIFS(AG$12:AG$21,dataSummaryPLSections,$E151)-SUMIFS(Drivers!BI$10:BI$69,PLSections,$E151)</f>
        <v>0</v>
      </c>
      <c r="AH151" s="310">
        <f>SUMIFS(AH$12:AH$21,dataSummaryPLSections,$E151)-SUMIFS(Drivers!BJ$10:BJ$69,PLSections,$E151)</f>
        <v>0</v>
      </c>
      <c r="AI151" s="310">
        <f>SUMIFS(AI$12:AI$21,dataSummaryPLSections,$E151)-SUMIFS(Drivers!BK$10:BK$69,PLSections,$E151)</f>
        <v>0</v>
      </c>
      <c r="AJ151" s="310">
        <f>SUMIFS(AJ$12:AJ$21,dataSummaryPLSections,$E151)-SUMIFS(Drivers!BL$10:BL$69,PLSections,$E151)</f>
        <v>0</v>
      </c>
      <c r="AK151" s="310">
        <f>SUMIFS(AK$12:AK$21,dataSummaryPLSections,$E151)-SUMIFS(Drivers!BM$10:BM$69,PLSections,$E151)</f>
        <v>0</v>
      </c>
      <c r="AL151" s="310">
        <f>SUMIFS(AL$12:AL$21,dataSummaryPLSections,$E151)-SUMIFS(Drivers!BN$10:BN$69,PLSections,$E151)</f>
        <v>0</v>
      </c>
      <c r="AM151" s="310">
        <f>SUMIFS(AM$12:AM$21,dataSummaryPLSections,$E151)-SUMIFS(Drivers!BO$10:BO$69,PLSections,$E151)</f>
        <v>0</v>
      </c>
      <c r="AN151" s="310">
        <f>SUMIFS(AN$12:AN$21,dataSummaryPLSections,$E151)-SUMIFS(Drivers!BP$10:BP$69,PLSections,$E151)</f>
        <v>0</v>
      </c>
      <c r="AO151" s="310">
        <f>SUMIFS(AO$12:AO$21,dataSummaryPLSections,$E151)-SUMIFS(Drivers!BQ$10:BQ$69,PLSections,$E151)</f>
        <v>0</v>
      </c>
      <c r="AP151" s="310">
        <f>SUMIFS(AP$12:AP$21,dataSummaryPLSections,$E151)-SUMIFS(Drivers!BR$10:BR$69,PLSections,$E151)</f>
        <v>0</v>
      </c>
      <c r="AQ151" s="310">
        <f>SUMIFS(AQ$12:AQ$21,dataSummaryPLSections,$E151)-SUMIFS(Drivers!BS$10:BS$69,PLSections,$E151)</f>
        <v>0</v>
      </c>
      <c r="AR151" s="310">
        <f>SUMIFS(AR$12:AR$21,dataSummaryPLSections,$E151)-SUMIFS(Drivers!BT$10:BT$69,PLSections,$E151)</f>
        <v>0</v>
      </c>
      <c r="AS151" s="310">
        <f>SUMIFS(AS$12:AS$21,dataSummaryPLSections,$E151)-SUMIFS(Drivers!BU$10:BU$69,PLSections,$E151)</f>
        <v>0</v>
      </c>
      <c r="AT151" s="310">
        <f>SUMIFS(AT$12:AT$21,dataSummaryPLSections,$E151)-SUMIFS(Drivers!BV$10:BV$69,PLSections,$E151)</f>
        <v>0</v>
      </c>
      <c r="AU151" s="310">
        <f>SUMIFS(AU$12:AU$21,dataSummaryPLSections,$E151)-SUMIFS(Drivers!BW$10:BW$69,PLSections,$E151)</f>
        <v>0</v>
      </c>
      <c r="AV151" s="310">
        <f>SUMIFS(AV$12:AV$21,dataSummaryPLSections,$E151)-SUMIFS(Drivers!BX$10:BX$69,PLSections,$E151)</f>
        <v>0</v>
      </c>
      <c r="AW151" s="310">
        <f>SUMIFS(AW$12:AW$21,dataSummaryPLSections,$E151)-SUMIFS(Drivers!BY$10:BY$69,PLSections,$E151)</f>
        <v>0</v>
      </c>
      <c r="AX151" s="310">
        <f>SUMIFS(AX$12:AX$21,dataSummaryPLSections,$E151)-SUMIFS(Drivers!BZ$10:BZ$69,PLSections,$E151)</f>
        <v>0</v>
      </c>
      <c r="AY151" s="310">
        <f>SUMIFS(AY$12:AY$21,dataSummaryPLSections,$E151)-SUMIFS(Drivers!CA$10:CA$69,PLSections,$E151)</f>
        <v>0</v>
      </c>
      <c r="AZ151" s="310">
        <f>SUMIFS(AZ$12:AZ$21,dataSummaryPLSections,$E151)-SUMIFS(Drivers!CB$10:CB$69,PLSections,$E151)</f>
        <v>0</v>
      </c>
      <c r="BA151" s="310">
        <f>SUMIFS(BA$12:BA$21,dataSummaryPLSections,$E151)-SUMIFS(Drivers!CC$10:CC$69,PLSections,$E151)</f>
        <v>0</v>
      </c>
      <c r="BB151" s="310">
        <f>SUMIFS(BB$12:BB$21,dataSummaryPLSections,$E151)-SUMIFS(Drivers!CD$10:CD$69,PLSections,$E151)</f>
        <v>0</v>
      </c>
      <c r="BC151" s="310">
        <f>SUMIFS(BC$12:BC$21,dataSummaryPLSections,$E151)-SUMIFS(Drivers!CE$10:CE$69,PLSections,$E151)</f>
        <v>0</v>
      </c>
      <c r="BD151" s="310">
        <f>SUMIFS(BD$12:BD$21,dataSummaryPLSections,$E151)-SUMIFS(Drivers!CF$10:CF$69,PLSections,$E151)</f>
        <v>0</v>
      </c>
      <c r="BE151" s="310">
        <f>SUMIFS(BE$12:BE$21,dataSummaryPLSections,$E151)-SUMIFS(Drivers!CG$10:CG$69,PLSections,$E151)</f>
        <v>0</v>
      </c>
      <c r="BF151" s="310">
        <f>SUMIFS(BF$12:BF$21,dataSummaryPLSections,$E151)-SUMIFS(Drivers!CH$10:CH$69,PLSections,$E151)</f>
        <v>0</v>
      </c>
      <c r="BG151" s="310">
        <f>SUMIFS(BG$12:BG$21,dataSummaryPLSections,$E151)-SUMIFS(Drivers!CI$10:CI$69,PLSections,$E151)</f>
        <v>0</v>
      </c>
      <c r="BH151" s="310">
        <f>SUMIFS(BH$12:BH$21,dataSummaryPLSections,$E151)-SUMIFS(Drivers!CJ$10:CJ$69,PLSections,$E151)</f>
        <v>0</v>
      </c>
    </row>
    <row r="152" spans="2:60" ht="18.75" customHeight="1" outlineLevel="2">
      <c r="C152" s="151"/>
      <c r="D152" s="151" t="s">
        <v>472</v>
      </c>
      <c r="E152" s="151" t="s">
        <v>131</v>
      </c>
      <c r="G152" s="317"/>
      <c r="L152" s="310">
        <f>SUMIFS(L$12:L$21,dataSummaryPLSections,$E152)-SUMIFS(Drivers!AN$10:AN$69,PLSections,$E152)</f>
        <v>0</v>
      </c>
      <c r="M152" s="310">
        <f>SUMIFS(M$12:M$21,dataSummaryPLSections,$E152)-SUMIFS(Drivers!AO$10:AO$69,PLSections,$E152)</f>
        <v>0</v>
      </c>
      <c r="N152" s="310">
        <f>SUMIFS(N$12:N$21,dataSummaryPLSections,$E152)-SUMIFS(Drivers!AP$10:AP$69,PLSections,$E152)</f>
        <v>0</v>
      </c>
      <c r="O152" s="310">
        <f>SUMIFS(O$12:O$21,dataSummaryPLSections,$E152)-SUMIFS(Drivers!AQ$10:AQ$69,PLSections,$E152)</f>
        <v>0</v>
      </c>
      <c r="P152" s="310">
        <f>SUMIFS(P$12:P$21,dataSummaryPLSections,$E152)-SUMIFS(Drivers!AR$10:AR$69,PLSections,$E152)</f>
        <v>0</v>
      </c>
      <c r="Q152" s="310">
        <f>SUMIFS(Q$12:Q$21,dataSummaryPLSections,$E152)-SUMIFS(Drivers!AS$10:AS$69,PLSections,$E152)</f>
        <v>0</v>
      </c>
      <c r="R152" s="310">
        <f>SUMIFS(R$12:R$21,dataSummaryPLSections,$E152)-SUMIFS(Drivers!AT$10:AT$69,PLSections,$E152)</f>
        <v>0</v>
      </c>
      <c r="S152" s="310">
        <f>SUMIFS(S$12:S$21,dataSummaryPLSections,$E152)-SUMIFS(Drivers!AU$10:AU$69,PLSections,$E152)</f>
        <v>0</v>
      </c>
      <c r="T152" s="310">
        <f>SUMIFS(T$12:T$21,dataSummaryPLSections,$E152)-SUMIFS(Drivers!AV$10:AV$69,PLSections,$E152)</f>
        <v>0</v>
      </c>
      <c r="U152" s="310">
        <f>SUMIFS(U$12:U$21,dataSummaryPLSections,$E152)-SUMIFS(Drivers!AW$10:AW$69,PLSections,$E152)</f>
        <v>0</v>
      </c>
      <c r="V152" s="310">
        <f>SUMIFS(V$12:V$21,dataSummaryPLSections,$E152)-SUMIFS(Drivers!AX$10:AX$69,PLSections,$E152)</f>
        <v>0</v>
      </c>
      <c r="W152" s="310">
        <f>SUMIFS(W$12:W$21,dataSummaryPLSections,$E152)-SUMIFS(Drivers!AY$10:AY$69,PLSections,$E152)</f>
        <v>0</v>
      </c>
      <c r="X152" s="310">
        <f>SUMIFS(X$12:X$21,dataSummaryPLSections,$E152)-SUMIFS(Drivers!AZ$10:AZ$69,PLSections,$E152)</f>
        <v>0</v>
      </c>
      <c r="Y152" s="310">
        <f>SUMIFS(Y$12:Y$21,dataSummaryPLSections,$E152)-SUMIFS(Drivers!BA$10:BA$69,PLSections,$E152)</f>
        <v>0</v>
      </c>
      <c r="Z152" s="310">
        <f>SUMIFS(Z$12:Z$21,dataSummaryPLSections,$E152)-SUMIFS(Drivers!BB$10:BB$69,PLSections,$E152)</f>
        <v>0</v>
      </c>
      <c r="AA152" s="310">
        <f>SUMIFS(AA$12:AA$21,dataSummaryPLSections,$E152)-SUMIFS(Drivers!BC$10:BC$69,PLSections,$E152)</f>
        <v>0</v>
      </c>
      <c r="AB152" s="310">
        <f>SUMIFS(AB$12:AB$21,dataSummaryPLSections,$E152)-SUMIFS(Drivers!BD$10:BD$69,PLSections,$E152)</f>
        <v>0</v>
      </c>
      <c r="AC152" s="310">
        <f>SUMIFS(AC$12:AC$21,dataSummaryPLSections,$E152)-SUMIFS(Drivers!BE$10:BE$69,PLSections,$E152)</f>
        <v>0</v>
      </c>
      <c r="AD152" s="310">
        <f>SUMIFS(AD$12:AD$21,dataSummaryPLSections,$E152)-SUMIFS(Drivers!BF$10:BF$69,PLSections,$E152)</f>
        <v>0</v>
      </c>
      <c r="AE152" s="310">
        <f>SUMIFS(AE$12:AE$21,dataSummaryPLSections,$E152)-SUMIFS(Drivers!BG$10:BG$69,PLSections,$E152)</f>
        <v>0</v>
      </c>
      <c r="AF152" s="310">
        <f>SUMIFS(AF$12:AF$21,dataSummaryPLSections,$E152)-SUMIFS(Drivers!BH$10:BH$69,PLSections,$E152)</f>
        <v>0</v>
      </c>
      <c r="AG152" s="310">
        <f>SUMIFS(AG$12:AG$21,dataSummaryPLSections,$E152)-SUMIFS(Drivers!BI$10:BI$69,PLSections,$E152)</f>
        <v>0</v>
      </c>
      <c r="AH152" s="310">
        <f>SUMIFS(AH$12:AH$21,dataSummaryPLSections,$E152)-SUMIFS(Drivers!BJ$10:BJ$69,PLSections,$E152)</f>
        <v>0</v>
      </c>
      <c r="AI152" s="310">
        <f>SUMIFS(AI$12:AI$21,dataSummaryPLSections,$E152)-SUMIFS(Drivers!BK$10:BK$69,PLSections,$E152)</f>
        <v>0</v>
      </c>
      <c r="AJ152" s="310">
        <f>SUMIFS(AJ$12:AJ$21,dataSummaryPLSections,$E152)-SUMIFS(Drivers!BL$10:BL$69,PLSections,$E152)</f>
        <v>0</v>
      </c>
      <c r="AK152" s="310">
        <f>SUMIFS(AK$12:AK$21,dataSummaryPLSections,$E152)-SUMIFS(Drivers!BM$10:BM$69,PLSections,$E152)</f>
        <v>0</v>
      </c>
      <c r="AL152" s="310">
        <f>SUMIFS(AL$12:AL$21,dataSummaryPLSections,$E152)-SUMIFS(Drivers!BN$10:BN$69,PLSections,$E152)</f>
        <v>0</v>
      </c>
      <c r="AM152" s="310">
        <f>SUMIFS(AM$12:AM$21,dataSummaryPLSections,$E152)-SUMIFS(Drivers!BO$10:BO$69,PLSections,$E152)</f>
        <v>0</v>
      </c>
      <c r="AN152" s="310">
        <f>SUMIFS(AN$12:AN$21,dataSummaryPLSections,$E152)-SUMIFS(Drivers!BP$10:BP$69,PLSections,$E152)</f>
        <v>0</v>
      </c>
      <c r="AO152" s="310">
        <f>SUMIFS(AO$12:AO$21,dataSummaryPLSections,$E152)-SUMIFS(Drivers!BQ$10:BQ$69,PLSections,$E152)</f>
        <v>0</v>
      </c>
      <c r="AP152" s="310">
        <f>SUMIFS(AP$12:AP$21,dataSummaryPLSections,$E152)-SUMIFS(Drivers!BR$10:BR$69,PLSections,$E152)</f>
        <v>0</v>
      </c>
      <c r="AQ152" s="310">
        <f>SUMIFS(AQ$12:AQ$21,dataSummaryPLSections,$E152)-SUMIFS(Drivers!BS$10:BS$69,PLSections,$E152)</f>
        <v>0</v>
      </c>
      <c r="AR152" s="310">
        <f>SUMIFS(AR$12:AR$21,dataSummaryPLSections,$E152)-SUMIFS(Drivers!BT$10:BT$69,PLSections,$E152)</f>
        <v>0</v>
      </c>
      <c r="AS152" s="310">
        <f>SUMIFS(AS$12:AS$21,dataSummaryPLSections,$E152)-SUMIFS(Drivers!BU$10:BU$69,PLSections,$E152)</f>
        <v>0</v>
      </c>
      <c r="AT152" s="310">
        <f>SUMIFS(AT$12:AT$21,dataSummaryPLSections,$E152)-SUMIFS(Drivers!BV$10:BV$69,PLSections,$E152)</f>
        <v>0</v>
      </c>
      <c r="AU152" s="310">
        <f>SUMIFS(AU$12:AU$21,dataSummaryPLSections,$E152)-SUMIFS(Drivers!BW$10:BW$69,PLSections,$E152)</f>
        <v>0</v>
      </c>
      <c r="AV152" s="310">
        <f>SUMIFS(AV$12:AV$21,dataSummaryPLSections,$E152)-SUMIFS(Drivers!BX$10:BX$69,PLSections,$E152)</f>
        <v>0</v>
      </c>
      <c r="AW152" s="310">
        <f>SUMIFS(AW$12:AW$21,dataSummaryPLSections,$E152)-SUMIFS(Drivers!BY$10:BY$69,PLSections,$E152)</f>
        <v>0</v>
      </c>
      <c r="AX152" s="310">
        <f>SUMIFS(AX$12:AX$21,dataSummaryPLSections,$E152)-SUMIFS(Drivers!BZ$10:BZ$69,PLSections,$E152)</f>
        <v>0</v>
      </c>
      <c r="AY152" s="310">
        <f>SUMIFS(AY$12:AY$21,dataSummaryPLSections,$E152)-SUMIFS(Drivers!CA$10:CA$69,PLSections,$E152)</f>
        <v>0</v>
      </c>
      <c r="AZ152" s="310">
        <f>SUMIFS(AZ$12:AZ$21,dataSummaryPLSections,$E152)-SUMIFS(Drivers!CB$10:CB$69,PLSections,$E152)</f>
        <v>0</v>
      </c>
      <c r="BA152" s="310">
        <f>SUMIFS(BA$12:BA$21,dataSummaryPLSections,$E152)-SUMIFS(Drivers!CC$10:CC$69,PLSections,$E152)</f>
        <v>0</v>
      </c>
      <c r="BB152" s="310">
        <f>SUMIFS(BB$12:BB$21,dataSummaryPLSections,$E152)-SUMIFS(Drivers!CD$10:CD$69,PLSections,$E152)</f>
        <v>0</v>
      </c>
      <c r="BC152" s="310">
        <f>SUMIFS(BC$12:BC$21,dataSummaryPLSections,$E152)-SUMIFS(Drivers!CE$10:CE$69,PLSections,$E152)</f>
        <v>0</v>
      </c>
      <c r="BD152" s="310">
        <f>SUMIFS(BD$12:BD$21,dataSummaryPLSections,$E152)-SUMIFS(Drivers!CF$10:CF$69,PLSections,$E152)</f>
        <v>0</v>
      </c>
      <c r="BE152" s="310">
        <f>SUMIFS(BE$12:BE$21,dataSummaryPLSections,$E152)-SUMIFS(Drivers!CG$10:CG$69,PLSections,$E152)</f>
        <v>0</v>
      </c>
      <c r="BF152" s="310">
        <f>SUMIFS(BF$12:BF$21,dataSummaryPLSections,$E152)-SUMIFS(Drivers!CH$10:CH$69,PLSections,$E152)</f>
        <v>0</v>
      </c>
      <c r="BG152" s="310">
        <f>SUMIFS(BG$12:BG$21,dataSummaryPLSections,$E152)-SUMIFS(Drivers!CI$10:CI$69,PLSections,$E152)</f>
        <v>0</v>
      </c>
      <c r="BH152" s="310">
        <f>SUMIFS(BH$12:BH$21,dataSummaryPLSections,$E152)-SUMIFS(Drivers!CJ$10:CJ$69,PLSections,$E152)</f>
        <v>0</v>
      </c>
    </row>
    <row r="153" spans="2:60" ht="18.75" customHeight="1" outlineLevel="2">
      <c r="C153" s="151"/>
      <c r="D153" s="151" t="s">
        <v>473</v>
      </c>
      <c r="E153" s="151" t="s">
        <v>135</v>
      </c>
      <c r="G153" s="317"/>
      <c r="L153" s="311">
        <f>SUMIFS(L$24:L$34,dataSummaryBSSections,$E153)-SUMIFS(Drivers!AN$71:AN$106,BSSections,$E153)</f>
        <v>0</v>
      </c>
      <c r="M153" s="311">
        <f>SUMIFS(M$24:M$34,dataSummaryBSSections,$E153)-SUMIFS(Drivers!AO$71:AO$106,BSSections,$E153)</f>
        <v>0</v>
      </c>
      <c r="N153" s="311">
        <f>SUMIFS(N$24:N$34,dataSummaryBSSections,$E153)-SUMIFS(Drivers!AP$71:AP$106,BSSections,$E153)</f>
        <v>0</v>
      </c>
      <c r="O153" s="311">
        <f>SUMIFS(O$24:O$34,dataSummaryBSSections,$E153)-SUMIFS(Drivers!AQ$71:AQ$106,BSSections,$E153)</f>
        <v>0</v>
      </c>
      <c r="P153" s="311">
        <f>SUMIFS(P$24:P$34,dataSummaryBSSections,$E153)-SUMIFS(Drivers!AR$71:AR$106,BSSections,$E153)</f>
        <v>0</v>
      </c>
      <c r="Q153" s="311">
        <f>SUMIFS(Q$24:Q$34,dataSummaryBSSections,$E153)-SUMIFS(Drivers!AS$71:AS$106,BSSections,$E153)</f>
        <v>0</v>
      </c>
      <c r="R153" s="311">
        <f>SUMIFS(R$24:R$34,dataSummaryBSSections,$E153)-SUMIFS(Drivers!AT$71:AT$106,BSSections,$E153)</f>
        <v>0</v>
      </c>
      <c r="S153" s="311">
        <f>SUMIFS(S$24:S$34,dataSummaryBSSections,$E153)-SUMIFS(Drivers!AU$71:AU$106,BSSections,$E153)</f>
        <v>0</v>
      </c>
      <c r="T153" s="311">
        <f>SUMIFS(T$24:T$34,dataSummaryBSSections,$E153)-SUMIFS(Drivers!AV$71:AV$106,BSSections,$E153)</f>
        <v>0</v>
      </c>
      <c r="U153" s="311">
        <f>SUMIFS(U$24:U$34,dataSummaryBSSections,$E153)-SUMIFS(Drivers!AW$71:AW$106,BSSections,$E153)</f>
        <v>0</v>
      </c>
      <c r="V153" s="311">
        <f>SUMIFS(V$24:V$34,dataSummaryBSSections,$E153)-SUMIFS(Drivers!AX$71:AX$106,BSSections,$E153)</f>
        <v>0</v>
      </c>
      <c r="W153" s="311">
        <f>SUMIFS(W$24:W$34,dataSummaryBSSections,$E153)-SUMIFS(Drivers!AY$71:AY$106,BSSections,$E153)</f>
        <v>0</v>
      </c>
      <c r="X153" s="311">
        <f>SUMIFS(X$24:X$34,dataSummaryBSSections,$E153)-SUMIFS(Drivers!AZ$71:AZ$106,BSSections,$E153)</f>
        <v>0</v>
      </c>
      <c r="Y153" s="311">
        <f>SUMIFS(Y$24:Y$34,dataSummaryBSSections,$E153)-SUMIFS(Drivers!BA$71:BA$106,BSSections,$E153)</f>
        <v>0</v>
      </c>
      <c r="Z153" s="311">
        <f>SUMIFS(Z$24:Z$34,dataSummaryBSSections,$E153)-SUMIFS(Drivers!BB$71:BB$106,BSSections,$E153)</f>
        <v>0</v>
      </c>
      <c r="AA153" s="311">
        <f>SUMIFS(AA$24:AA$34,dataSummaryBSSections,$E153)-SUMIFS(Drivers!BC$71:BC$106,BSSections,$E153)</f>
        <v>0</v>
      </c>
      <c r="AB153" s="311">
        <f>SUMIFS(AB$24:AB$34,dataSummaryBSSections,$E153)-SUMIFS(Drivers!BD$71:BD$106,BSSections,$E153)</f>
        <v>0</v>
      </c>
      <c r="AC153" s="311">
        <f>SUMIFS(AC$24:AC$34,dataSummaryBSSections,$E153)-SUMIFS(Drivers!BE$71:BE$106,BSSections,$E153)</f>
        <v>0</v>
      </c>
      <c r="AD153" s="311">
        <f>SUMIFS(AD$24:AD$34,dataSummaryBSSections,$E153)-SUMIFS(Drivers!BF$71:BF$106,BSSections,$E153)</f>
        <v>0</v>
      </c>
      <c r="AE153" s="311">
        <f>SUMIFS(AE$24:AE$34,dataSummaryBSSections,$E153)-SUMIFS(Drivers!BG$71:BG$106,BSSections,$E153)</f>
        <v>0</v>
      </c>
      <c r="AF153" s="311">
        <f>SUMIFS(AF$24:AF$34,dataSummaryBSSections,$E153)-SUMIFS(Drivers!BH$71:BH$106,BSSections,$E153)</f>
        <v>0</v>
      </c>
      <c r="AG153" s="311">
        <f>SUMIFS(AG$24:AG$34,dataSummaryBSSections,$E153)-SUMIFS(Drivers!BI$71:BI$106,BSSections,$E153)</f>
        <v>0</v>
      </c>
      <c r="AH153" s="311">
        <f>SUMIFS(AH$24:AH$34,dataSummaryBSSections,$E153)-SUMIFS(Drivers!BJ$71:BJ$106,BSSections,$E153)</f>
        <v>0</v>
      </c>
      <c r="AI153" s="311">
        <f>SUMIFS(AI$24:AI$34,dataSummaryBSSections,$E153)-SUMIFS(Drivers!BK$71:BK$106,BSSections,$E153)</f>
        <v>0</v>
      </c>
      <c r="AJ153" s="311">
        <f>SUMIFS(AJ$24:AJ$34,dataSummaryBSSections,$E153)-SUMIFS(Drivers!BL$71:BL$106,BSSections,$E153)</f>
        <v>0</v>
      </c>
      <c r="AK153" s="311">
        <f>SUMIFS(AK$24:AK$34,dataSummaryBSSections,$E153)-SUMIFS(Drivers!BM$71:BM$106,BSSections,$E153)</f>
        <v>0</v>
      </c>
      <c r="AL153" s="311">
        <f>SUMIFS(AL$24:AL$34,dataSummaryBSSections,$E153)-SUMIFS(Drivers!BN$71:BN$106,BSSections,$E153)</f>
        <v>0</v>
      </c>
      <c r="AM153" s="311">
        <f>SUMIFS(AM$24:AM$34,dataSummaryBSSections,$E153)-SUMIFS(Drivers!BO$71:BO$106,BSSections,$E153)</f>
        <v>0</v>
      </c>
      <c r="AN153" s="311">
        <f>SUMIFS(AN$24:AN$34,dataSummaryBSSections,$E153)-SUMIFS(Drivers!BP$71:BP$106,BSSections,$E153)</f>
        <v>0</v>
      </c>
      <c r="AO153" s="311">
        <f>SUMIFS(AO$24:AO$34,dataSummaryBSSections,$E153)-SUMIFS(Drivers!BQ$71:BQ$106,BSSections,$E153)</f>
        <v>0</v>
      </c>
      <c r="AP153" s="311">
        <f>SUMIFS(AP$24:AP$34,dataSummaryBSSections,$E153)-SUMIFS(Drivers!BR$71:BR$106,BSSections,$E153)</f>
        <v>0</v>
      </c>
      <c r="AQ153" s="311">
        <f>SUMIFS(AQ$24:AQ$34,dataSummaryBSSections,$E153)-SUMIFS(Drivers!BS$71:BS$106,BSSections,$E153)</f>
        <v>0</v>
      </c>
      <c r="AR153" s="311">
        <f>SUMIFS(AR$24:AR$34,dataSummaryBSSections,$E153)-SUMIFS(Drivers!BT$71:BT$106,BSSections,$E153)</f>
        <v>0</v>
      </c>
      <c r="AS153" s="311">
        <f>SUMIFS(AS$24:AS$34,dataSummaryBSSections,$E153)-SUMIFS(Drivers!BU$71:BU$106,BSSections,$E153)</f>
        <v>0</v>
      </c>
      <c r="AT153" s="311">
        <f>SUMIFS(AT$24:AT$34,dataSummaryBSSections,$E153)-SUMIFS(Drivers!BV$71:BV$106,BSSections,$E153)</f>
        <v>0</v>
      </c>
      <c r="AU153" s="311">
        <f>SUMIFS(AU$24:AU$34,dataSummaryBSSections,$E153)-SUMIFS(Drivers!BW$71:BW$106,BSSections,$E153)</f>
        <v>0</v>
      </c>
      <c r="AV153" s="311">
        <f>SUMIFS(AV$24:AV$34,dataSummaryBSSections,$E153)-SUMIFS(Drivers!BX$71:BX$106,BSSections,$E153)</f>
        <v>0</v>
      </c>
      <c r="AW153" s="311">
        <f>SUMIFS(AW$24:AW$34,dataSummaryBSSections,$E153)-SUMIFS(Drivers!BY$71:BY$106,BSSections,$E153)</f>
        <v>0</v>
      </c>
      <c r="AX153" s="311">
        <f>SUMIFS(AX$24:AX$34,dataSummaryBSSections,$E153)-SUMIFS(Drivers!BZ$71:BZ$106,BSSections,$E153)</f>
        <v>0</v>
      </c>
      <c r="AY153" s="311">
        <f>SUMIFS(AY$24:AY$34,dataSummaryBSSections,$E153)-SUMIFS(Drivers!CA$71:CA$106,BSSections,$E153)</f>
        <v>0</v>
      </c>
      <c r="AZ153" s="311">
        <f>SUMIFS(AZ$24:AZ$34,dataSummaryBSSections,$E153)-SUMIFS(Drivers!CB$71:CB$106,BSSections,$E153)</f>
        <v>0</v>
      </c>
      <c r="BA153" s="311">
        <f>SUMIFS(BA$24:BA$34,dataSummaryBSSections,$E153)-SUMIFS(Drivers!CC$71:CC$106,BSSections,$E153)</f>
        <v>0</v>
      </c>
      <c r="BB153" s="311">
        <f>SUMIFS(BB$24:BB$34,dataSummaryBSSections,$E153)-SUMIFS(Drivers!CD$71:CD$106,BSSections,$E153)</f>
        <v>0</v>
      </c>
      <c r="BC153" s="311">
        <f>SUMIFS(BC$24:BC$34,dataSummaryBSSections,$E153)-SUMIFS(Drivers!CE$71:CE$106,BSSections,$E153)</f>
        <v>0</v>
      </c>
      <c r="BD153" s="311">
        <f>SUMIFS(BD$24:BD$34,dataSummaryBSSections,$E153)-SUMIFS(Drivers!CF$71:CF$106,BSSections,$E153)</f>
        <v>0</v>
      </c>
      <c r="BE153" s="311">
        <f>SUMIFS(BE$24:BE$34,dataSummaryBSSections,$E153)-SUMIFS(Drivers!CG$71:CG$106,BSSections,$E153)</f>
        <v>0</v>
      </c>
      <c r="BF153" s="311">
        <f>SUMIFS(BF$24:BF$34,dataSummaryBSSections,$E153)-SUMIFS(Drivers!CH$71:CH$106,BSSections,$E153)</f>
        <v>0</v>
      </c>
      <c r="BG153" s="311">
        <f>SUMIFS(BG$24:BG$34,dataSummaryBSSections,$E153)-SUMIFS(Drivers!CI$71:CI$106,BSSections,$E153)</f>
        <v>0</v>
      </c>
      <c r="BH153" s="311">
        <f>SUMIFS(BH$24:BH$34,dataSummaryBSSections,$E153)-SUMIFS(Drivers!CJ$71:CJ$106,BSSections,$E153)</f>
        <v>0</v>
      </c>
    </row>
    <row r="154" spans="2:60" ht="18.75" customHeight="1" outlineLevel="2">
      <c r="C154" s="151"/>
      <c r="D154" s="151" t="s">
        <v>474</v>
      </c>
      <c r="E154" s="151" t="s">
        <v>141</v>
      </c>
      <c r="G154" s="317"/>
      <c r="L154" s="311">
        <f>SUMIFS(L$24:L$34,dataSummaryBSSections,$E154)-SUMIFS(Drivers!AN$71:AN$106,BSSections,$E154)</f>
        <v>0</v>
      </c>
      <c r="M154" s="311">
        <f>SUMIFS(M$24:M$34,dataSummaryBSSections,$E154)-SUMIFS(Drivers!AO$71:AO$106,BSSections,$E154)</f>
        <v>0</v>
      </c>
      <c r="N154" s="311">
        <f>SUMIFS(N$24:N$34,dataSummaryBSSections,$E154)-SUMIFS(Drivers!AP$71:AP$106,BSSections,$E154)</f>
        <v>0</v>
      </c>
      <c r="O154" s="311">
        <f>SUMIFS(O$24:O$34,dataSummaryBSSections,$E154)-SUMIFS(Drivers!AQ$71:AQ$106,BSSections,$E154)</f>
        <v>0</v>
      </c>
      <c r="P154" s="311">
        <f>SUMIFS(P$24:P$34,dataSummaryBSSections,$E154)-SUMIFS(Drivers!AR$71:AR$106,BSSections,$E154)</f>
        <v>0</v>
      </c>
      <c r="Q154" s="311">
        <f>SUMIFS(Q$24:Q$34,dataSummaryBSSections,$E154)-SUMIFS(Drivers!AS$71:AS$106,BSSections,$E154)</f>
        <v>0</v>
      </c>
      <c r="R154" s="311">
        <f>SUMIFS(R$24:R$34,dataSummaryBSSections,$E154)-SUMIFS(Drivers!AT$71:AT$106,BSSections,$E154)</f>
        <v>0</v>
      </c>
      <c r="S154" s="311">
        <f>SUMIFS(S$24:S$34,dataSummaryBSSections,$E154)-SUMIFS(Drivers!AU$71:AU$106,BSSections,$E154)</f>
        <v>0</v>
      </c>
      <c r="T154" s="311">
        <f>SUMIFS(T$24:T$34,dataSummaryBSSections,$E154)-SUMIFS(Drivers!AV$71:AV$106,BSSections,$E154)</f>
        <v>0</v>
      </c>
      <c r="U154" s="311">
        <f>SUMIFS(U$24:U$34,dataSummaryBSSections,$E154)-SUMIFS(Drivers!AW$71:AW$106,BSSections,$E154)</f>
        <v>0</v>
      </c>
      <c r="V154" s="311">
        <f>SUMIFS(V$24:V$34,dataSummaryBSSections,$E154)-SUMIFS(Drivers!AX$71:AX$106,BSSections,$E154)</f>
        <v>0</v>
      </c>
      <c r="W154" s="311">
        <f>SUMIFS(W$24:W$34,dataSummaryBSSections,$E154)-SUMIFS(Drivers!AY$71:AY$106,BSSections,$E154)</f>
        <v>0</v>
      </c>
      <c r="X154" s="311">
        <f>SUMIFS(X$24:X$34,dataSummaryBSSections,$E154)-SUMIFS(Drivers!AZ$71:AZ$106,BSSections,$E154)</f>
        <v>0</v>
      </c>
      <c r="Y154" s="311">
        <f>SUMIFS(Y$24:Y$34,dataSummaryBSSections,$E154)-SUMIFS(Drivers!BA$71:BA$106,BSSections,$E154)</f>
        <v>0</v>
      </c>
      <c r="Z154" s="311">
        <f>SUMIFS(Z$24:Z$34,dataSummaryBSSections,$E154)-SUMIFS(Drivers!BB$71:BB$106,BSSections,$E154)</f>
        <v>0</v>
      </c>
      <c r="AA154" s="311">
        <f>SUMIFS(AA$24:AA$34,dataSummaryBSSections,$E154)-SUMIFS(Drivers!BC$71:BC$106,BSSections,$E154)</f>
        <v>0</v>
      </c>
      <c r="AB154" s="311">
        <f>SUMIFS(AB$24:AB$34,dataSummaryBSSections,$E154)-SUMIFS(Drivers!BD$71:BD$106,BSSections,$E154)</f>
        <v>0</v>
      </c>
      <c r="AC154" s="311">
        <f>SUMIFS(AC$24:AC$34,dataSummaryBSSections,$E154)-SUMIFS(Drivers!BE$71:BE$106,BSSections,$E154)</f>
        <v>0</v>
      </c>
      <c r="AD154" s="311">
        <f>SUMIFS(AD$24:AD$34,dataSummaryBSSections,$E154)-SUMIFS(Drivers!BF$71:BF$106,BSSections,$E154)</f>
        <v>0</v>
      </c>
      <c r="AE154" s="311">
        <f>SUMIFS(AE$24:AE$34,dataSummaryBSSections,$E154)-SUMIFS(Drivers!BG$71:BG$106,BSSections,$E154)</f>
        <v>0</v>
      </c>
      <c r="AF154" s="311">
        <f>SUMIFS(AF$24:AF$34,dataSummaryBSSections,$E154)-SUMIFS(Drivers!BH$71:BH$106,BSSections,$E154)</f>
        <v>0</v>
      </c>
      <c r="AG154" s="311">
        <f>SUMIFS(AG$24:AG$34,dataSummaryBSSections,$E154)-SUMIFS(Drivers!BI$71:BI$106,BSSections,$E154)</f>
        <v>0</v>
      </c>
      <c r="AH154" s="311">
        <f>SUMIFS(AH$24:AH$34,dataSummaryBSSections,$E154)-SUMIFS(Drivers!BJ$71:BJ$106,BSSections,$E154)</f>
        <v>0</v>
      </c>
      <c r="AI154" s="311">
        <f>SUMIFS(AI$24:AI$34,dataSummaryBSSections,$E154)-SUMIFS(Drivers!BK$71:BK$106,BSSections,$E154)</f>
        <v>0</v>
      </c>
      <c r="AJ154" s="311">
        <f>SUMIFS(AJ$24:AJ$34,dataSummaryBSSections,$E154)-SUMIFS(Drivers!BL$71:BL$106,BSSections,$E154)</f>
        <v>0</v>
      </c>
      <c r="AK154" s="311">
        <f>SUMIFS(AK$24:AK$34,dataSummaryBSSections,$E154)-SUMIFS(Drivers!BM$71:BM$106,BSSections,$E154)</f>
        <v>0</v>
      </c>
      <c r="AL154" s="311">
        <f>SUMIFS(AL$24:AL$34,dataSummaryBSSections,$E154)-SUMIFS(Drivers!BN$71:BN$106,BSSections,$E154)</f>
        <v>0</v>
      </c>
      <c r="AM154" s="311">
        <f>SUMIFS(AM$24:AM$34,dataSummaryBSSections,$E154)-SUMIFS(Drivers!BO$71:BO$106,BSSections,$E154)</f>
        <v>0</v>
      </c>
      <c r="AN154" s="311">
        <f>SUMIFS(AN$24:AN$34,dataSummaryBSSections,$E154)-SUMIFS(Drivers!BP$71:BP$106,BSSections,$E154)</f>
        <v>0</v>
      </c>
      <c r="AO154" s="311">
        <f>SUMIFS(AO$24:AO$34,dataSummaryBSSections,$E154)-SUMIFS(Drivers!BQ$71:BQ$106,BSSections,$E154)</f>
        <v>0</v>
      </c>
      <c r="AP154" s="311">
        <f>SUMIFS(AP$24:AP$34,dataSummaryBSSections,$E154)-SUMIFS(Drivers!BR$71:BR$106,BSSections,$E154)</f>
        <v>0</v>
      </c>
      <c r="AQ154" s="311">
        <f>SUMIFS(AQ$24:AQ$34,dataSummaryBSSections,$E154)-SUMIFS(Drivers!BS$71:BS$106,BSSections,$E154)</f>
        <v>0</v>
      </c>
      <c r="AR154" s="311">
        <f>SUMIFS(AR$24:AR$34,dataSummaryBSSections,$E154)-SUMIFS(Drivers!BT$71:BT$106,BSSections,$E154)</f>
        <v>0</v>
      </c>
      <c r="AS154" s="311">
        <f>SUMIFS(AS$24:AS$34,dataSummaryBSSections,$E154)-SUMIFS(Drivers!BU$71:BU$106,BSSections,$E154)</f>
        <v>0</v>
      </c>
      <c r="AT154" s="311">
        <f>SUMIFS(AT$24:AT$34,dataSummaryBSSections,$E154)-SUMIFS(Drivers!BV$71:BV$106,BSSections,$E154)</f>
        <v>0</v>
      </c>
      <c r="AU154" s="311">
        <f>SUMIFS(AU$24:AU$34,dataSummaryBSSections,$E154)-SUMIFS(Drivers!BW$71:BW$106,BSSections,$E154)</f>
        <v>0</v>
      </c>
      <c r="AV154" s="311">
        <f>SUMIFS(AV$24:AV$34,dataSummaryBSSections,$E154)-SUMIFS(Drivers!BX$71:BX$106,BSSections,$E154)</f>
        <v>0</v>
      </c>
      <c r="AW154" s="311">
        <f>SUMIFS(AW$24:AW$34,dataSummaryBSSections,$E154)-SUMIFS(Drivers!BY$71:BY$106,BSSections,$E154)</f>
        <v>0</v>
      </c>
      <c r="AX154" s="311">
        <f>SUMIFS(AX$24:AX$34,dataSummaryBSSections,$E154)-SUMIFS(Drivers!BZ$71:BZ$106,BSSections,$E154)</f>
        <v>0</v>
      </c>
      <c r="AY154" s="311">
        <f>SUMIFS(AY$24:AY$34,dataSummaryBSSections,$E154)-SUMIFS(Drivers!CA$71:CA$106,BSSections,$E154)</f>
        <v>0</v>
      </c>
      <c r="AZ154" s="311">
        <f>SUMIFS(AZ$24:AZ$34,dataSummaryBSSections,$E154)-SUMIFS(Drivers!CB$71:CB$106,BSSections,$E154)</f>
        <v>0</v>
      </c>
      <c r="BA154" s="311">
        <f>SUMIFS(BA$24:BA$34,dataSummaryBSSections,$E154)-SUMIFS(Drivers!CC$71:CC$106,BSSections,$E154)</f>
        <v>0</v>
      </c>
      <c r="BB154" s="311">
        <f>SUMIFS(BB$24:BB$34,dataSummaryBSSections,$E154)-SUMIFS(Drivers!CD$71:CD$106,BSSections,$E154)</f>
        <v>0</v>
      </c>
      <c r="BC154" s="311">
        <f>SUMIFS(BC$24:BC$34,dataSummaryBSSections,$E154)-SUMIFS(Drivers!CE$71:CE$106,BSSections,$E154)</f>
        <v>0</v>
      </c>
      <c r="BD154" s="311">
        <f>SUMIFS(BD$24:BD$34,dataSummaryBSSections,$E154)-SUMIFS(Drivers!CF$71:CF$106,BSSections,$E154)</f>
        <v>0</v>
      </c>
      <c r="BE154" s="311">
        <f>SUMIFS(BE$24:BE$34,dataSummaryBSSections,$E154)-SUMIFS(Drivers!CG$71:CG$106,BSSections,$E154)</f>
        <v>0</v>
      </c>
      <c r="BF154" s="311">
        <f>SUMIFS(BF$24:BF$34,dataSummaryBSSections,$E154)-SUMIFS(Drivers!CH$71:CH$106,BSSections,$E154)</f>
        <v>0</v>
      </c>
      <c r="BG154" s="311">
        <f>SUMIFS(BG$24:BG$34,dataSummaryBSSections,$E154)-SUMIFS(Drivers!CI$71:CI$106,BSSections,$E154)</f>
        <v>0</v>
      </c>
      <c r="BH154" s="311">
        <f>SUMIFS(BH$24:BH$34,dataSummaryBSSections,$E154)-SUMIFS(Drivers!CJ$71:CJ$106,BSSections,$E154)</f>
        <v>0</v>
      </c>
    </row>
    <row r="155" spans="2:60" ht="18.75" customHeight="1" outlineLevel="2">
      <c r="C155" s="151"/>
      <c r="D155" s="151" t="s">
        <v>475</v>
      </c>
      <c r="E155" s="151" t="s">
        <v>146</v>
      </c>
      <c r="G155" s="317"/>
      <c r="L155" s="311">
        <f>SUMIFS(L$24:L$34,dataSummaryBSSections,$E155)-SUMIFS(Drivers!AN$71:AN$106,BSSections,$E155)</f>
        <v>0</v>
      </c>
      <c r="M155" s="311">
        <f>SUMIFS(M$24:M$34,dataSummaryBSSections,$E155)-SUMIFS(Drivers!AO$71:AO$106,BSSections,$E155)</f>
        <v>0</v>
      </c>
      <c r="N155" s="311">
        <f>SUMIFS(N$24:N$34,dataSummaryBSSections,$E155)-SUMIFS(Drivers!AP$71:AP$106,BSSections,$E155)</f>
        <v>0</v>
      </c>
      <c r="O155" s="311">
        <f>SUMIFS(O$24:O$34,dataSummaryBSSections,$E155)-SUMIFS(Drivers!AQ$71:AQ$106,BSSections,$E155)</f>
        <v>0</v>
      </c>
      <c r="P155" s="311">
        <f>SUMIFS(P$24:P$34,dataSummaryBSSections,$E155)-SUMIFS(Drivers!AR$71:AR$106,BSSections,$E155)</f>
        <v>0</v>
      </c>
      <c r="Q155" s="311">
        <f>SUMIFS(Q$24:Q$34,dataSummaryBSSections,$E155)-SUMIFS(Drivers!AS$71:AS$106,BSSections,$E155)</f>
        <v>0</v>
      </c>
      <c r="R155" s="311">
        <f>SUMIFS(R$24:R$34,dataSummaryBSSections,$E155)-SUMIFS(Drivers!AT$71:AT$106,BSSections,$E155)</f>
        <v>0</v>
      </c>
      <c r="S155" s="311">
        <f>SUMIFS(S$24:S$34,dataSummaryBSSections,$E155)-SUMIFS(Drivers!AU$71:AU$106,BSSections,$E155)</f>
        <v>0</v>
      </c>
      <c r="T155" s="311">
        <f>SUMIFS(T$24:T$34,dataSummaryBSSections,$E155)-SUMIFS(Drivers!AV$71:AV$106,BSSections,$E155)</f>
        <v>0</v>
      </c>
      <c r="U155" s="311">
        <f>SUMIFS(U$24:U$34,dataSummaryBSSections,$E155)-SUMIFS(Drivers!AW$71:AW$106,BSSections,$E155)</f>
        <v>0</v>
      </c>
      <c r="V155" s="311">
        <f>SUMIFS(V$24:V$34,dataSummaryBSSections,$E155)-SUMIFS(Drivers!AX$71:AX$106,BSSections,$E155)</f>
        <v>0</v>
      </c>
      <c r="W155" s="311">
        <f>SUMIFS(W$24:W$34,dataSummaryBSSections,$E155)-SUMIFS(Drivers!AY$71:AY$106,BSSections,$E155)</f>
        <v>0</v>
      </c>
      <c r="X155" s="311">
        <f>SUMIFS(X$24:X$34,dataSummaryBSSections,$E155)-SUMIFS(Drivers!AZ$71:AZ$106,BSSections,$E155)</f>
        <v>0</v>
      </c>
      <c r="Y155" s="311">
        <f>SUMIFS(Y$24:Y$34,dataSummaryBSSections,$E155)-SUMIFS(Drivers!BA$71:BA$106,BSSections,$E155)</f>
        <v>0</v>
      </c>
      <c r="Z155" s="311">
        <f>SUMIFS(Z$24:Z$34,dataSummaryBSSections,$E155)-SUMIFS(Drivers!BB$71:BB$106,BSSections,$E155)</f>
        <v>0</v>
      </c>
      <c r="AA155" s="311">
        <f>SUMIFS(AA$24:AA$34,dataSummaryBSSections,$E155)-SUMIFS(Drivers!BC$71:BC$106,BSSections,$E155)</f>
        <v>0</v>
      </c>
      <c r="AB155" s="311">
        <f>SUMIFS(AB$24:AB$34,dataSummaryBSSections,$E155)-SUMIFS(Drivers!BD$71:BD$106,BSSections,$E155)</f>
        <v>0</v>
      </c>
      <c r="AC155" s="311">
        <f>SUMIFS(AC$24:AC$34,dataSummaryBSSections,$E155)-SUMIFS(Drivers!BE$71:BE$106,BSSections,$E155)</f>
        <v>0</v>
      </c>
      <c r="AD155" s="311">
        <f>SUMIFS(AD$24:AD$34,dataSummaryBSSections,$E155)-SUMIFS(Drivers!BF$71:BF$106,BSSections,$E155)</f>
        <v>0</v>
      </c>
      <c r="AE155" s="311">
        <f>SUMIFS(AE$24:AE$34,dataSummaryBSSections,$E155)-SUMIFS(Drivers!BG$71:BG$106,BSSections,$E155)</f>
        <v>0</v>
      </c>
      <c r="AF155" s="311">
        <f>SUMIFS(AF$24:AF$34,dataSummaryBSSections,$E155)-SUMIFS(Drivers!BH$71:BH$106,BSSections,$E155)</f>
        <v>0</v>
      </c>
      <c r="AG155" s="311">
        <f>SUMIFS(AG$24:AG$34,dataSummaryBSSections,$E155)-SUMIFS(Drivers!BI$71:BI$106,BSSections,$E155)</f>
        <v>0</v>
      </c>
      <c r="AH155" s="311">
        <f>SUMIFS(AH$24:AH$34,dataSummaryBSSections,$E155)-SUMIFS(Drivers!BJ$71:BJ$106,BSSections,$E155)</f>
        <v>0</v>
      </c>
      <c r="AI155" s="311">
        <f>SUMIFS(AI$24:AI$34,dataSummaryBSSections,$E155)-SUMIFS(Drivers!BK$71:BK$106,BSSections,$E155)</f>
        <v>0</v>
      </c>
      <c r="AJ155" s="311">
        <f>SUMIFS(AJ$24:AJ$34,dataSummaryBSSections,$E155)-SUMIFS(Drivers!BL$71:BL$106,BSSections,$E155)</f>
        <v>0</v>
      </c>
      <c r="AK155" s="311">
        <f>SUMIFS(AK$24:AK$34,dataSummaryBSSections,$E155)-SUMIFS(Drivers!BM$71:BM$106,BSSections,$E155)</f>
        <v>0</v>
      </c>
      <c r="AL155" s="311">
        <f>SUMIFS(AL$24:AL$34,dataSummaryBSSections,$E155)-SUMIFS(Drivers!BN$71:BN$106,BSSections,$E155)</f>
        <v>0</v>
      </c>
      <c r="AM155" s="311">
        <f>SUMIFS(AM$24:AM$34,dataSummaryBSSections,$E155)-SUMIFS(Drivers!BO$71:BO$106,BSSections,$E155)</f>
        <v>0</v>
      </c>
      <c r="AN155" s="311">
        <f>SUMIFS(AN$24:AN$34,dataSummaryBSSections,$E155)-SUMIFS(Drivers!BP$71:BP$106,BSSections,$E155)</f>
        <v>0</v>
      </c>
      <c r="AO155" s="311">
        <f>SUMIFS(AO$24:AO$34,dataSummaryBSSections,$E155)-SUMIFS(Drivers!BQ$71:BQ$106,BSSections,$E155)</f>
        <v>0</v>
      </c>
      <c r="AP155" s="311">
        <f>SUMIFS(AP$24:AP$34,dataSummaryBSSections,$E155)-SUMIFS(Drivers!BR$71:BR$106,BSSections,$E155)</f>
        <v>2.3283064365386963E-10</v>
      </c>
      <c r="AQ155" s="311">
        <f>SUMIFS(AQ$24:AQ$34,dataSummaryBSSections,$E155)-SUMIFS(Drivers!BS$71:BS$106,BSSections,$E155)</f>
        <v>0</v>
      </c>
      <c r="AR155" s="311">
        <f>SUMIFS(AR$24:AR$34,dataSummaryBSSections,$E155)-SUMIFS(Drivers!BT$71:BT$106,BSSections,$E155)</f>
        <v>0</v>
      </c>
      <c r="AS155" s="311">
        <f>SUMIFS(AS$24:AS$34,dataSummaryBSSections,$E155)-SUMIFS(Drivers!BU$71:BU$106,BSSections,$E155)</f>
        <v>0</v>
      </c>
      <c r="AT155" s="311">
        <f>SUMIFS(AT$24:AT$34,dataSummaryBSSections,$E155)-SUMIFS(Drivers!BV$71:BV$106,BSSections,$E155)</f>
        <v>0</v>
      </c>
      <c r="AU155" s="311">
        <f>SUMIFS(AU$24:AU$34,dataSummaryBSSections,$E155)-SUMIFS(Drivers!BW$71:BW$106,BSSections,$E155)</f>
        <v>0</v>
      </c>
      <c r="AV155" s="311">
        <f>SUMIFS(AV$24:AV$34,dataSummaryBSSections,$E155)-SUMIFS(Drivers!BX$71:BX$106,BSSections,$E155)</f>
        <v>4.6566128730773926E-10</v>
      </c>
      <c r="AW155" s="311">
        <f>SUMIFS(AW$24:AW$34,dataSummaryBSSections,$E155)-SUMIFS(Drivers!BY$71:BY$106,BSSections,$E155)</f>
        <v>0</v>
      </c>
      <c r="AX155" s="311">
        <f>SUMIFS(AX$24:AX$34,dataSummaryBSSections,$E155)-SUMIFS(Drivers!BZ$71:BZ$106,BSSections,$E155)</f>
        <v>0</v>
      </c>
      <c r="AY155" s="311">
        <f>SUMIFS(AY$24:AY$34,dataSummaryBSSections,$E155)-SUMIFS(Drivers!CA$71:CA$106,BSSections,$E155)</f>
        <v>0</v>
      </c>
      <c r="AZ155" s="311">
        <f>SUMIFS(AZ$24:AZ$34,dataSummaryBSSections,$E155)-SUMIFS(Drivers!CB$71:CB$106,BSSections,$E155)</f>
        <v>0</v>
      </c>
      <c r="BA155" s="311">
        <f>SUMIFS(BA$24:BA$34,dataSummaryBSSections,$E155)-SUMIFS(Drivers!CC$71:CC$106,BSSections,$E155)</f>
        <v>0</v>
      </c>
      <c r="BB155" s="311">
        <f>SUMIFS(BB$24:BB$34,dataSummaryBSSections,$E155)-SUMIFS(Drivers!CD$71:CD$106,BSSections,$E155)</f>
        <v>0</v>
      </c>
      <c r="BC155" s="311">
        <f>SUMIFS(BC$24:BC$34,dataSummaryBSSections,$E155)-SUMIFS(Drivers!CE$71:CE$106,BSSections,$E155)</f>
        <v>0</v>
      </c>
      <c r="BD155" s="311">
        <f>SUMIFS(BD$24:BD$34,dataSummaryBSSections,$E155)-SUMIFS(Drivers!CF$71:CF$106,BSSections,$E155)</f>
        <v>0</v>
      </c>
      <c r="BE155" s="311">
        <f>SUMIFS(BE$24:BE$34,dataSummaryBSSections,$E155)-SUMIFS(Drivers!CG$71:CG$106,BSSections,$E155)</f>
        <v>0</v>
      </c>
      <c r="BF155" s="311">
        <f>SUMIFS(BF$24:BF$34,dataSummaryBSSections,$E155)-SUMIFS(Drivers!CH$71:CH$106,BSSections,$E155)</f>
        <v>0</v>
      </c>
      <c r="BG155" s="311">
        <f>SUMIFS(BG$24:BG$34,dataSummaryBSSections,$E155)-SUMIFS(Drivers!CI$71:CI$106,BSSections,$E155)</f>
        <v>0</v>
      </c>
      <c r="BH155" s="311">
        <f>SUMIFS(BH$24:BH$34,dataSummaryBSSections,$E155)-SUMIFS(Drivers!CJ$71:CJ$106,BSSections,$E155)</f>
        <v>0</v>
      </c>
    </row>
    <row r="156" spans="2:60" ht="18.75" customHeight="1" outlineLevel="2">
      <c r="C156" s="151"/>
      <c r="D156" s="151" t="s">
        <v>476</v>
      </c>
      <c r="E156" s="151"/>
      <c r="G156" s="317"/>
      <c r="L156" s="310">
        <f t="shared" ref="L156:AQ156" si="17">SUMIFS(L$24:L$34,dataSummaryBSSections,"Assets")-SUMIFS(L$24:L$34,dataSummaryBSSections,"Liabilities")-SUMIFS(L$24:L$34,dataSummaryBSSections,"Owners Equity")</f>
        <v>0</v>
      </c>
      <c r="M156" s="310">
        <f t="shared" si="17"/>
        <v>0</v>
      </c>
      <c r="N156" s="310">
        <f t="shared" si="17"/>
        <v>0</v>
      </c>
      <c r="O156" s="310">
        <f t="shared" si="17"/>
        <v>0</v>
      </c>
      <c r="P156" s="310">
        <f t="shared" si="17"/>
        <v>0</v>
      </c>
      <c r="Q156" s="310">
        <f t="shared" si="17"/>
        <v>0</v>
      </c>
      <c r="R156" s="310">
        <f t="shared" si="17"/>
        <v>0</v>
      </c>
      <c r="S156" s="310">
        <f t="shared" si="17"/>
        <v>0</v>
      </c>
      <c r="T156" s="310">
        <f t="shared" si="17"/>
        <v>0</v>
      </c>
      <c r="U156" s="310">
        <f t="shared" si="17"/>
        <v>0</v>
      </c>
      <c r="V156" s="310">
        <f t="shared" si="17"/>
        <v>0</v>
      </c>
      <c r="W156" s="310">
        <f t="shared" si="17"/>
        <v>0</v>
      </c>
      <c r="X156" s="310">
        <f t="shared" si="17"/>
        <v>0</v>
      </c>
      <c r="Y156" s="310">
        <f t="shared" si="17"/>
        <v>0</v>
      </c>
      <c r="Z156" s="310">
        <f t="shared" si="17"/>
        <v>0</v>
      </c>
      <c r="AA156" s="310">
        <f t="shared" si="17"/>
        <v>0</v>
      </c>
      <c r="AB156" s="310">
        <f t="shared" si="17"/>
        <v>0</v>
      </c>
      <c r="AC156" s="310">
        <f t="shared" si="17"/>
        <v>0</v>
      </c>
      <c r="AD156" s="310">
        <f t="shared" si="17"/>
        <v>0</v>
      </c>
      <c r="AE156" s="310">
        <f t="shared" si="17"/>
        <v>0</v>
      </c>
      <c r="AF156" s="310">
        <f t="shared" si="17"/>
        <v>0</v>
      </c>
      <c r="AG156" s="310">
        <f t="shared" si="17"/>
        <v>0</v>
      </c>
      <c r="AH156" s="310">
        <f t="shared" si="17"/>
        <v>0</v>
      </c>
      <c r="AI156" s="310">
        <f t="shared" si="17"/>
        <v>0</v>
      </c>
      <c r="AJ156" s="310">
        <f t="shared" si="17"/>
        <v>0</v>
      </c>
      <c r="AK156" s="310">
        <f t="shared" si="17"/>
        <v>0</v>
      </c>
      <c r="AL156" s="310">
        <f t="shared" si="17"/>
        <v>0</v>
      </c>
      <c r="AM156" s="310">
        <f t="shared" si="17"/>
        <v>0</v>
      </c>
      <c r="AN156" s="310">
        <f t="shared" si="17"/>
        <v>0</v>
      </c>
      <c r="AO156" s="310">
        <f t="shared" si="17"/>
        <v>0</v>
      </c>
      <c r="AP156" s="310">
        <f t="shared" si="17"/>
        <v>-2.3283064365386963E-10</v>
      </c>
      <c r="AQ156" s="310">
        <f t="shared" si="17"/>
        <v>0</v>
      </c>
      <c r="AR156" s="310">
        <f t="shared" ref="AR156:BH156" si="18">SUMIFS(AR$24:AR$34,dataSummaryBSSections,"Assets")-SUMIFS(AR$24:AR$34,dataSummaryBSSections,"Liabilities")-SUMIFS(AR$24:AR$34,dataSummaryBSSections,"Owners Equity")</f>
        <v>0</v>
      </c>
      <c r="AS156" s="310">
        <f t="shared" si="18"/>
        <v>0</v>
      </c>
      <c r="AT156" s="310">
        <f t="shared" si="18"/>
        <v>0</v>
      </c>
      <c r="AU156" s="310">
        <f t="shared" si="18"/>
        <v>0</v>
      </c>
      <c r="AV156" s="310">
        <f t="shared" si="18"/>
        <v>0</v>
      </c>
      <c r="AW156" s="310">
        <f t="shared" si="18"/>
        <v>0</v>
      </c>
      <c r="AX156" s="310">
        <f t="shared" si="18"/>
        <v>0</v>
      </c>
      <c r="AY156" s="310">
        <f t="shared" si="18"/>
        <v>0</v>
      </c>
      <c r="AZ156" s="310">
        <f t="shared" si="18"/>
        <v>0</v>
      </c>
      <c r="BA156" s="310">
        <f t="shared" si="18"/>
        <v>0</v>
      </c>
      <c r="BB156" s="310">
        <f t="shared" si="18"/>
        <v>0</v>
      </c>
      <c r="BC156" s="310">
        <f t="shared" si="18"/>
        <v>0</v>
      </c>
      <c r="BD156" s="310">
        <f t="shared" si="18"/>
        <v>0</v>
      </c>
      <c r="BE156" s="310">
        <f t="shared" si="18"/>
        <v>0</v>
      </c>
      <c r="BF156" s="310">
        <f t="shared" si="18"/>
        <v>0</v>
      </c>
      <c r="BG156" s="310">
        <f t="shared" si="18"/>
        <v>0</v>
      </c>
      <c r="BH156" s="310">
        <f t="shared" si="18"/>
        <v>0</v>
      </c>
    </row>
    <row r="157" spans="2:60" ht="18.75" customHeight="1" outlineLevel="2">
      <c r="C157" s="151"/>
      <c r="D157" s="151" t="s">
        <v>477</v>
      </c>
      <c r="E157" s="151" t="s">
        <v>98</v>
      </c>
      <c r="G157" s="317"/>
      <c r="L157" s="310">
        <f>SUMIFS(L$38:L$74,dataGLPLSections,$E165)-SUMIFS(Drivers!AN$10:AN$69,PLSections,$E165)</f>
        <v>0</v>
      </c>
      <c r="M157" s="310">
        <f>SUMIFS(M$38:M$74,dataGLPLSections,$E165)-SUMIFS(Drivers!AO$10:AO$69,PLSections,$E165)</f>
        <v>0</v>
      </c>
      <c r="N157" s="310">
        <f>SUMIFS(N$38:N$74,dataGLPLSections,$E165)-SUMIFS(Drivers!AP$10:AP$69,PLSections,$E165)</f>
        <v>0</v>
      </c>
      <c r="O157" s="310">
        <f>SUMIFS(O$38:O$74,dataGLPLSections,$E165)-SUMIFS(Drivers!AQ$10:AQ$69,PLSections,$E165)</f>
        <v>0</v>
      </c>
      <c r="P157" s="310">
        <f>SUMIFS(P$38:P$74,dataGLPLSections,$E165)-SUMIFS(Drivers!AR$10:AR$69,PLSections,$E165)</f>
        <v>0</v>
      </c>
      <c r="Q157" s="310">
        <f>SUMIFS(Q$38:Q$74,dataGLPLSections,$E165)-SUMIFS(Drivers!AS$10:AS$69,PLSections,$E165)</f>
        <v>0</v>
      </c>
      <c r="R157" s="310">
        <f>SUMIFS(R$38:R$74,dataGLPLSections,$E165)-SUMIFS(Drivers!AT$10:AT$69,PLSections,$E165)</f>
        <v>0</v>
      </c>
      <c r="S157" s="310">
        <f>SUMIFS(S$38:S$74,dataGLPLSections,$E165)-SUMIFS(Drivers!AU$10:AU$69,PLSections,$E165)</f>
        <v>0</v>
      </c>
      <c r="T157" s="310">
        <f>SUMIFS(T$38:T$74,dataGLPLSections,$E165)-SUMIFS(Drivers!AV$10:AV$69,PLSections,$E165)</f>
        <v>0</v>
      </c>
      <c r="U157" s="310">
        <f>SUMIFS(U$38:U$74,dataGLPLSections,$E165)-SUMIFS(Drivers!AW$10:AW$69,PLSections,$E165)</f>
        <v>0</v>
      </c>
      <c r="V157" s="310">
        <f>SUMIFS(V$38:V$74,dataGLPLSections,$E165)-SUMIFS(Drivers!AX$10:AX$69,PLSections,$E165)</f>
        <v>0</v>
      </c>
      <c r="W157" s="310">
        <f>SUMIFS(W$38:W$74,dataGLPLSections,$E165)-SUMIFS(Drivers!AY$10:AY$69,PLSections,$E165)</f>
        <v>0</v>
      </c>
      <c r="X157" s="310">
        <f>SUMIFS(X$38:X$74,dataGLPLSections,$E165)-SUMIFS(Drivers!AZ$10:AZ$69,PLSections,$E165)</f>
        <v>0</v>
      </c>
      <c r="Y157" s="310">
        <f>SUMIFS(Y$38:Y$74,dataGLPLSections,$E165)-SUMIFS(Drivers!BA$10:BA$69,PLSections,$E165)</f>
        <v>0</v>
      </c>
      <c r="Z157" s="310">
        <f>SUMIFS(Z$38:Z$74,dataGLPLSections,$E165)-SUMIFS(Drivers!BB$10:BB$69,PLSections,$E165)</f>
        <v>0</v>
      </c>
      <c r="AA157" s="310">
        <f>SUMIFS(AA$38:AA$74,dataGLPLSections,$E165)-SUMIFS(Drivers!BC$10:BC$69,PLSections,$E165)</f>
        <v>0</v>
      </c>
      <c r="AB157" s="310">
        <f>SUMIFS(AB$38:AB$74,dataGLPLSections,$E165)-SUMIFS(Drivers!BD$10:BD$69,PLSections,$E165)</f>
        <v>0</v>
      </c>
      <c r="AC157" s="310">
        <f>SUMIFS(AC$38:AC$74,dataGLPLSections,$E165)-SUMIFS(Drivers!BE$10:BE$69,PLSections,$E165)</f>
        <v>0</v>
      </c>
      <c r="AD157" s="310">
        <f>SUMIFS(AD$38:AD$74,dataGLPLSections,$E165)-SUMIFS(Drivers!BF$10:BF$69,PLSections,$E165)</f>
        <v>0</v>
      </c>
      <c r="AE157" s="310">
        <f>SUMIFS(AE$38:AE$74,dataGLPLSections,$E165)-SUMIFS(Drivers!BG$10:BG$69,PLSections,$E165)</f>
        <v>0</v>
      </c>
      <c r="AF157" s="310">
        <f>SUMIFS(AF$38:AF$74,dataGLPLSections,$E165)-SUMIFS(Drivers!BH$10:BH$69,PLSections,$E165)</f>
        <v>0</v>
      </c>
      <c r="AG157" s="310">
        <f>SUMIFS(AG$38:AG$74,dataGLPLSections,$E165)-SUMIFS(Drivers!BI$10:BI$69,PLSections,$E165)</f>
        <v>0</v>
      </c>
      <c r="AH157" s="310">
        <f>SUMIFS(AH$38:AH$74,dataGLPLSections,$E165)-SUMIFS(Drivers!BJ$10:BJ$69,PLSections,$E165)</f>
        <v>0</v>
      </c>
      <c r="AI157" s="310">
        <f>SUMIFS(AI$38:AI$74,dataGLPLSections,$E165)-SUMIFS(Drivers!BK$10:BK$69,PLSections,$E165)</f>
        <v>0</v>
      </c>
      <c r="AJ157" s="310">
        <f>SUMIFS(AJ$38:AJ$74,dataGLPLSections,$E165)-SUMIFS(Drivers!BL$10:BL$69,PLSections,$E165)</f>
        <v>0</v>
      </c>
      <c r="AK157" s="310">
        <f>SUMIFS(AK$38:AK$74,dataGLPLSections,$E165)-SUMIFS(Drivers!BM$10:BM$69,PLSections,$E165)</f>
        <v>0</v>
      </c>
      <c r="AL157" s="310">
        <f>SUMIFS(AL$38:AL$74,dataGLPLSections,$E165)-SUMIFS(Drivers!BN$10:BN$69,PLSections,$E165)</f>
        <v>0</v>
      </c>
      <c r="AM157" s="310">
        <f>SUMIFS(AM$38:AM$74,dataGLPLSections,$E165)-SUMIFS(Drivers!BO$10:BO$69,PLSections,$E165)</f>
        <v>0</v>
      </c>
      <c r="AN157" s="310">
        <f>SUMIFS(AN$38:AN$74,dataGLPLSections,$E165)-SUMIFS(Drivers!BP$10:BP$69,PLSections,$E165)</f>
        <v>0</v>
      </c>
      <c r="AO157" s="310">
        <f>SUMIFS(AO$38:AO$74,dataGLPLSections,$E165)-SUMIFS(Drivers!BQ$10:BQ$69,PLSections,$E165)</f>
        <v>0</v>
      </c>
      <c r="AP157" s="310">
        <f>SUMIFS(AP$38:AP$74,dataGLPLSections,$E165)-SUMIFS(Drivers!BR$10:BR$69,PLSections,$E165)</f>
        <v>0</v>
      </c>
      <c r="AQ157" s="310">
        <f>SUMIFS(AQ$38:AQ$74,dataGLPLSections,$E165)-SUMIFS(Drivers!BS$10:BS$69,PLSections,$E165)</f>
        <v>0</v>
      </c>
      <c r="AR157" s="310">
        <f>SUMIFS(AR$38:AR$74,dataGLPLSections,$E165)-SUMIFS(Drivers!BT$10:BT$69,PLSections,$E165)</f>
        <v>0</v>
      </c>
      <c r="AS157" s="310">
        <f>SUMIFS(AS$38:AS$74,dataGLPLSections,$E165)-SUMIFS(Drivers!BU$10:BU$69,PLSections,$E165)</f>
        <v>0</v>
      </c>
      <c r="AT157" s="310">
        <f>SUMIFS(AT$38:AT$74,dataGLPLSections,$E165)-SUMIFS(Drivers!BV$10:BV$69,PLSections,$E165)</f>
        <v>0</v>
      </c>
      <c r="AU157" s="310">
        <f>SUMIFS(AU$38:AU$74,dataGLPLSections,$E165)-SUMIFS(Drivers!BW$10:BW$69,PLSections,$E165)</f>
        <v>0</v>
      </c>
      <c r="AV157" s="310">
        <f>SUMIFS(AV$38:AV$74,dataGLPLSections,$E165)-SUMIFS(Drivers!BX$10:BX$69,PLSections,$E165)</f>
        <v>0</v>
      </c>
      <c r="AW157" s="310">
        <f>SUMIFS(AW$38:AW$74,dataGLPLSections,$E165)-SUMIFS(Drivers!BY$10:BY$69,PLSections,$E165)</f>
        <v>0</v>
      </c>
      <c r="AX157" s="310">
        <f>SUMIFS(AX$38:AX$74,dataGLPLSections,$E165)-SUMIFS(Drivers!BZ$10:BZ$69,PLSections,$E165)</f>
        <v>0</v>
      </c>
      <c r="AY157" s="310">
        <f>SUMIFS(AY$38:AY$74,dataGLPLSections,$E165)-SUMIFS(Drivers!CA$10:CA$69,PLSections,$E165)</f>
        <v>0</v>
      </c>
      <c r="AZ157" s="310">
        <f>SUMIFS(AZ$38:AZ$74,dataGLPLSections,$E165)-SUMIFS(Drivers!CB$10:CB$69,PLSections,$E165)</f>
        <v>0</v>
      </c>
      <c r="BA157" s="310">
        <f>SUMIFS(BA$38:BA$74,dataGLPLSections,$E165)-SUMIFS(Drivers!CC$10:CC$69,PLSections,$E165)</f>
        <v>0</v>
      </c>
      <c r="BB157" s="310">
        <f>SUMIFS(BB$38:BB$74,dataGLPLSections,$E165)-SUMIFS(Drivers!CD$10:CD$69,PLSections,$E165)</f>
        <v>0</v>
      </c>
      <c r="BC157" s="310">
        <f>SUMIFS(BC$38:BC$74,dataGLPLSections,$E165)-SUMIFS(Drivers!CE$10:CE$69,PLSections,$E165)</f>
        <v>0</v>
      </c>
      <c r="BD157" s="310">
        <f>SUMIFS(BD$38:BD$74,dataGLPLSections,$E165)-SUMIFS(Drivers!CF$10:CF$69,PLSections,$E165)</f>
        <v>0</v>
      </c>
      <c r="BE157" s="310">
        <f>SUMIFS(BE$38:BE$74,dataGLPLSections,$E165)-SUMIFS(Drivers!CG$10:CG$69,PLSections,$E165)</f>
        <v>0</v>
      </c>
      <c r="BF157" s="310">
        <f>SUMIFS(BF$38:BF$74,dataGLPLSections,$E165)-SUMIFS(Drivers!CH$10:CH$69,PLSections,$E165)</f>
        <v>0</v>
      </c>
      <c r="BG157" s="310">
        <f>SUMIFS(BG$38:BG$74,dataGLPLSections,$E165)-SUMIFS(Drivers!CI$10:CI$69,PLSections,$E165)</f>
        <v>0</v>
      </c>
      <c r="BH157" s="310">
        <f>SUMIFS(BH$38:BH$74,dataGLPLSections,$E165)-SUMIFS(Drivers!CJ$10:CJ$69,PLSections,$E165)</f>
        <v>0</v>
      </c>
    </row>
    <row r="158" spans="2:60" ht="18.75" customHeight="1" outlineLevel="2">
      <c r="C158" s="151"/>
      <c r="D158" s="151" t="s">
        <v>478</v>
      </c>
      <c r="E158" s="151" t="s">
        <v>80</v>
      </c>
      <c r="G158" s="317"/>
      <c r="L158" s="310">
        <f>SUMIFS(L$38:L$74,dataGLPLSections,$E166)-SUMIFS(Drivers!AN$10:AN$69,PLSections,$E166)</f>
        <v>0</v>
      </c>
      <c r="M158" s="310">
        <f>SUMIFS(M$38:M$74,dataGLPLSections,$E166)-SUMIFS(Drivers!AO$10:AO$69,PLSections,$E166)</f>
        <v>0</v>
      </c>
      <c r="N158" s="310">
        <f>SUMIFS(N$38:N$74,dataGLPLSections,$E166)-SUMIFS(Drivers!AP$10:AP$69,PLSections,$E166)</f>
        <v>0</v>
      </c>
      <c r="O158" s="310">
        <f>SUMIFS(O$38:O$74,dataGLPLSections,$E166)-SUMIFS(Drivers!AQ$10:AQ$69,PLSections,$E166)</f>
        <v>0</v>
      </c>
      <c r="P158" s="310">
        <f>SUMIFS(P$38:P$74,dataGLPLSections,$E166)-SUMIFS(Drivers!AR$10:AR$69,PLSections,$E166)</f>
        <v>0</v>
      </c>
      <c r="Q158" s="310">
        <f>SUMIFS(Q$38:Q$74,dataGLPLSections,$E166)-SUMIFS(Drivers!AS$10:AS$69,PLSections,$E166)</f>
        <v>0</v>
      </c>
      <c r="R158" s="310">
        <f>SUMIFS(R$38:R$74,dataGLPLSections,$E166)-SUMIFS(Drivers!AT$10:AT$69,PLSections,$E166)</f>
        <v>0</v>
      </c>
      <c r="S158" s="310">
        <f>SUMIFS(S$38:S$74,dataGLPLSections,$E166)-SUMIFS(Drivers!AU$10:AU$69,PLSections,$E166)</f>
        <v>0</v>
      </c>
      <c r="T158" s="310">
        <f>SUMIFS(T$38:T$74,dataGLPLSections,$E166)-SUMIFS(Drivers!AV$10:AV$69,PLSections,$E166)</f>
        <v>0</v>
      </c>
      <c r="U158" s="310">
        <f>SUMIFS(U$38:U$74,dataGLPLSections,$E166)-SUMIFS(Drivers!AW$10:AW$69,PLSections,$E166)</f>
        <v>0</v>
      </c>
      <c r="V158" s="310">
        <f>SUMIFS(V$38:V$74,dataGLPLSections,$E166)-SUMIFS(Drivers!AX$10:AX$69,PLSections,$E166)</f>
        <v>0</v>
      </c>
      <c r="W158" s="310">
        <f>SUMIFS(W$38:W$74,dataGLPLSections,$E166)-SUMIFS(Drivers!AY$10:AY$69,PLSections,$E166)</f>
        <v>0</v>
      </c>
      <c r="X158" s="310">
        <f>SUMIFS(X$38:X$74,dataGLPLSections,$E166)-SUMIFS(Drivers!AZ$10:AZ$69,PLSections,$E166)</f>
        <v>0</v>
      </c>
      <c r="Y158" s="310">
        <f>SUMIFS(Y$38:Y$74,dataGLPLSections,$E166)-SUMIFS(Drivers!BA$10:BA$69,PLSections,$E166)</f>
        <v>0</v>
      </c>
      <c r="Z158" s="310">
        <f>SUMIFS(Z$38:Z$74,dataGLPLSections,$E166)-SUMIFS(Drivers!BB$10:BB$69,PLSections,$E166)</f>
        <v>0</v>
      </c>
      <c r="AA158" s="310">
        <f>SUMIFS(AA$38:AA$74,dataGLPLSections,$E166)-SUMIFS(Drivers!BC$10:BC$69,PLSections,$E166)</f>
        <v>0</v>
      </c>
      <c r="AB158" s="310">
        <f>SUMIFS(AB$38:AB$74,dataGLPLSections,$E166)-SUMIFS(Drivers!BD$10:BD$69,PLSections,$E166)</f>
        <v>0</v>
      </c>
      <c r="AC158" s="310">
        <f>SUMIFS(AC$38:AC$74,dataGLPLSections,$E166)-SUMIFS(Drivers!BE$10:BE$69,PLSections,$E166)</f>
        <v>0</v>
      </c>
      <c r="AD158" s="310">
        <f>SUMIFS(AD$38:AD$74,dataGLPLSections,$E166)-SUMIFS(Drivers!BF$10:BF$69,PLSections,$E166)</f>
        <v>0</v>
      </c>
      <c r="AE158" s="310">
        <f>SUMIFS(AE$38:AE$74,dataGLPLSections,$E166)-SUMIFS(Drivers!BG$10:BG$69,PLSections,$E166)</f>
        <v>0</v>
      </c>
      <c r="AF158" s="310">
        <f>SUMIFS(AF$38:AF$74,dataGLPLSections,$E166)-SUMIFS(Drivers!BH$10:BH$69,PLSections,$E166)</f>
        <v>0</v>
      </c>
      <c r="AG158" s="310">
        <f>SUMIFS(AG$38:AG$74,dataGLPLSections,$E166)-SUMIFS(Drivers!BI$10:BI$69,PLSections,$E166)</f>
        <v>0</v>
      </c>
      <c r="AH158" s="310">
        <f>SUMIFS(AH$38:AH$74,dataGLPLSections,$E166)-SUMIFS(Drivers!BJ$10:BJ$69,PLSections,$E166)</f>
        <v>0</v>
      </c>
      <c r="AI158" s="310">
        <f>SUMIFS(AI$38:AI$74,dataGLPLSections,$E166)-SUMIFS(Drivers!BK$10:BK$69,PLSections,$E166)</f>
        <v>0</v>
      </c>
      <c r="AJ158" s="310">
        <f>SUMIFS(AJ$38:AJ$74,dataGLPLSections,$E166)-SUMIFS(Drivers!BL$10:BL$69,PLSections,$E166)</f>
        <v>0</v>
      </c>
      <c r="AK158" s="310">
        <f>SUMIFS(AK$38:AK$74,dataGLPLSections,$E166)-SUMIFS(Drivers!BM$10:BM$69,PLSections,$E166)</f>
        <v>0</v>
      </c>
      <c r="AL158" s="310">
        <f>SUMIFS(AL$38:AL$74,dataGLPLSections,$E166)-SUMIFS(Drivers!BN$10:BN$69,PLSections,$E166)</f>
        <v>0</v>
      </c>
      <c r="AM158" s="310">
        <f>SUMIFS(AM$38:AM$74,dataGLPLSections,$E166)-SUMIFS(Drivers!BO$10:BO$69,PLSections,$E166)</f>
        <v>0</v>
      </c>
      <c r="AN158" s="310">
        <f>SUMIFS(AN$38:AN$74,dataGLPLSections,$E166)-SUMIFS(Drivers!BP$10:BP$69,PLSections,$E166)</f>
        <v>0</v>
      </c>
      <c r="AO158" s="310">
        <f>SUMIFS(AO$38:AO$74,dataGLPLSections,$E166)-SUMIFS(Drivers!BQ$10:BQ$69,PLSections,$E166)</f>
        <v>0</v>
      </c>
      <c r="AP158" s="310">
        <f>SUMIFS(AP$38:AP$74,dataGLPLSections,$E166)-SUMIFS(Drivers!BR$10:BR$69,PLSections,$E166)</f>
        <v>0</v>
      </c>
      <c r="AQ158" s="310">
        <f>SUMIFS(AQ$38:AQ$74,dataGLPLSections,$E166)-SUMIFS(Drivers!BS$10:BS$69,PLSections,$E166)</f>
        <v>0</v>
      </c>
      <c r="AR158" s="310">
        <f>SUMIFS(AR$38:AR$74,dataGLPLSections,$E166)-SUMIFS(Drivers!BT$10:BT$69,PLSections,$E166)</f>
        <v>0</v>
      </c>
      <c r="AS158" s="310">
        <f>SUMIFS(AS$38:AS$74,dataGLPLSections,$E166)-SUMIFS(Drivers!BU$10:BU$69,PLSections,$E166)</f>
        <v>0</v>
      </c>
      <c r="AT158" s="310">
        <f>SUMIFS(AT$38:AT$74,dataGLPLSections,$E166)-SUMIFS(Drivers!BV$10:BV$69,PLSections,$E166)</f>
        <v>0</v>
      </c>
      <c r="AU158" s="310">
        <f>SUMIFS(AU$38:AU$74,dataGLPLSections,$E166)-SUMIFS(Drivers!BW$10:BW$69,PLSections,$E166)</f>
        <v>0</v>
      </c>
      <c r="AV158" s="310">
        <f>SUMIFS(AV$38:AV$74,dataGLPLSections,$E166)-SUMIFS(Drivers!BX$10:BX$69,PLSections,$E166)</f>
        <v>0</v>
      </c>
      <c r="AW158" s="310">
        <f>SUMIFS(AW$38:AW$74,dataGLPLSections,$E166)-SUMIFS(Drivers!BY$10:BY$69,PLSections,$E166)</f>
        <v>0</v>
      </c>
      <c r="AX158" s="310">
        <f>SUMIFS(AX$38:AX$74,dataGLPLSections,$E166)-SUMIFS(Drivers!BZ$10:BZ$69,PLSections,$E166)</f>
        <v>0</v>
      </c>
      <c r="AY158" s="310">
        <f>SUMIFS(AY$38:AY$74,dataGLPLSections,$E166)-SUMIFS(Drivers!CA$10:CA$69,PLSections,$E166)</f>
        <v>0</v>
      </c>
      <c r="AZ158" s="310">
        <f>SUMIFS(AZ$38:AZ$74,dataGLPLSections,$E166)-SUMIFS(Drivers!CB$10:CB$69,PLSections,$E166)</f>
        <v>0</v>
      </c>
      <c r="BA158" s="310">
        <f>SUMIFS(BA$38:BA$74,dataGLPLSections,$E166)-SUMIFS(Drivers!CC$10:CC$69,PLSections,$E166)</f>
        <v>0</v>
      </c>
      <c r="BB158" s="310">
        <f>SUMIFS(BB$38:BB$74,dataGLPLSections,$E166)-SUMIFS(Drivers!CD$10:CD$69,PLSections,$E166)</f>
        <v>0</v>
      </c>
      <c r="BC158" s="310">
        <f>SUMIFS(BC$38:BC$74,dataGLPLSections,$E166)-SUMIFS(Drivers!CE$10:CE$69,PLSections,$E166)</f>
        <v>0</v>
      </c>
      <c r="BD158" s="310">
        <f>SUMIFS(BD$38:BD$74,dataGLPLSections,$E166)-SUMIFS(Drivers!CF$10:CF$69,PLSections,$E166)</f>
        <v>0</v>
      </c>
      <c r="BE158" s="310">
        <f>SUMIFS(BE$38:BE$74,dataGLPLSections,$E166)-SUMIFS(Drivers!CG$10:CG$69,PLSections,$E166)</f>
        <v>0</v>
      </c>
      <c r="BF158" s="310">
        <f>SUMIFS(BF$38:BF$74,dataGLPLSections,$E166)-SUMIFS(Drivers!CH$10:CH$69,PLSections,$E166)</f>
        <v>0</v>
      </c>
      <c r="BG158" s="310">
        <f>SUMIFS(BG$38:BG$74,dataGLPLSections,$E166)-SUMIFS(Drivers!CI$10:CI$69,PLSections,$E166)</f>
        <v>0</v>
      </c>
      <c r="BH158" s="310">
        <f>SUMIFS(BH$38:BH$74,dataGLPLSections,$E166)-SUMIFS(Drivers!CJ$10:CJ$69,PLSections,$E166)</f>
        <v>0</v>
      </c>
    </row>
    <row r="159" spans="2:60" ht="18.75" customHeight="1" outlineLevel="2">
      <c r="C159" s="151"/>
      <c r="D159" s="151" t="s">
        <v>479</v>
      </c>
      <c r="E159" s="151" t="s">
        <v>101</v>
      </c>
      <c r="G159" s="317"/>
      <c r="L159" s="310">
        <f>SUMIFS(L$38:L$74,dataGLPLSections,$E159)-SUMIFS(Drivers!AN$10:AN$69,PLSections,$E159)</f>
        <v>0</v>
      </c>
      <c r="M159" s="310">
        <f>SUMIFS(M$38:M$74,dataGLPLSections,$E159)-SUMIFS(Drivers!AO$10:AO$69,PLSections,$E159)</f>
        <v>0</v>
      </c>
      <c r="N159" s="310">
        <f>SUMIFS(N$38:N$74,dataGLPLSections,$E159)-SUMIFS(Drivers!AP$10:AP$69,PLSections,$E159)</f>
        <v>0</v>
      </c>
      <c r="O159" s="310">
        <f>SUMIFS(O$38:O$74,dataGLPLSections,$E159)-SUMIFS(Drivers!AQ$10:AQ$69,PLSections,$E159)</f>
        <v>0</v>
      </c>
      <c r="P159" s="310">
        <f>SUMIFS(P$38:P$74,dataGLPLSections,$E159)-SUMIFS(Drivers!AR$10:AR$69,PLSections,$E159)</f>
        <v>0</v>
      </c>
      <c r="Q159" s="310">
        <f>SUMIFS(Q$38:Q$74,dataGLPLSections,$E159)-SUMIFS(Drivers!AS$10:AS$69,PLSections,$E159)</f>
        <v>0</v>
      </c>
      <c r="R159" s="310">
        <f>SUMIFS(R$38:R$74,dataGLPLSections,$E159)-SUMIFS(Drivers!AT$10:AT$69,PLSections,$E159)</f>
        <v>0</v>
      </c>
      <c r="S159" s="310">
        <f>SUMIFS(S$38:S$74,dataGLPLSections,$E159)-SUMIFS(Drivers!AU$10:AU$69,PLSections,$E159)</f>
        <v>0</v>
      </c>
      <c r="T159" s="310">
        <f>SUMIFS(T$38:T$74,dataGLPLSections,$E159)-SUMIFS(Drivers!AV$10:AV$69,PLSections,$E159)</f>
        <v>0</v>
      </c>
      <c r="U159" s="310">
        <f>SUMIFS(U$38:U$74,dataGLPLSections,$E159)-SUMIFS(Drivers!AW$10:AW$69,PLSections,$E159)</f>
        <v>0</v>
      </c>
      <c r="V159" s="310">
        <f>SUMIFS(V$38:V$74,dataGLPLSections,$E159)-SUMIFS(Drivers!AX$10:AX$69,PLSections,$E159)</f>
        <v>0</v>
      </c>
      <c r="W159" s="310">
        <f>SUMIFS(W$38:W$74,dataGLPLSections,$E159)-SUMIFS(Drivers!AY$10:AY$69,PLSections,$E159)</f>
        <v>0</v>
      </c>
      <c r="X159" s="310">
        <f>SUMIFS(X$38:X$74,dataGLPLSections,$E159)-SUMIFS(Drivers!AZ$10:AZ$69,PLSections,$E159)</f>
        <v>0</v>
      </c>
      <c r="Y159" s="310">
        <f>SUMIFS(Y$38:Y$74,dataGLPLSections,$E159)-SUMIFS(Drivers!BA$10:BA$69,PLSections,$E159)</f>
        <v>0</v>
      </c>
      <c r="Z159" s="310">
        <f>SUMIFS(Z$38:Z$74,dataGLPLSections,$E159)-SUMIFS(Drivers!BB$10:BB$69,PLSections,$E159)</f>
        <v>0</v>
      </c>
      <c r="AA159" s="310">
        <f>SUMIFS(AA$38:AA$74,dataGLPLSections,$E159)-SUMIFS(Drivers!BC$10:BC$69,PLSections,$E159)</f>
        <v>0</v>
      </c>
      <c r="AB159" s="310">
        <f>SUMIFS(AB$38:AB$74,dataGLPLSections,$E159)-SUMIFS(Drivers!BD$10:BD$69,PLSections,$E159)</f>
        <v>0</v>
      </c>
      <c r="AC159" s="310">
        <f>SUMIFS(AC$38:AC$74,dataGLPLSections,$E159)-SUMIFS(Drivers!BE$10:BE$69,PLSections,$E159)</f>
        <v>0</v>
      </c>
      <c r="AD159" s="310">
        <f>SUMIFS(AD$38:AD$74,dataGLPLSections,$E159)-SUMIFS(Drivers!BF$10:BF$69,PLSections,$E159)</f>
        <v>0</v>
      </c>
      <c r="AE159" s="310">
        <f>SUMIFS(AE$38:AE$74,dataGLPLSections,$E159)-SUMIFS(Drivers!BG$10:BG$69,PLSections,$E159)</f>
        <v>0</v>
      </c>
      <c r="AF159" s="310">
        <f>SUMIFS(AF$38:AF$74,dataGLPLSections,$E159)-SUMIFS(Drivers!BH$10:BH$69,PLSections,$E159)</f>
        <v>0</v>
      </c>
      <c r="AG159" s="310">
        <f>SUMIFS(AG$38:AG$74,dataGLPLSections,$E159)-SUMIFS(Drivers!BI$10:BI$69,PLSections,$E159)</f>
        <v>0</v>
      </c>
      <c r="AH159" s="310">
        <f>SUMIFS(AH$38:AH$74,dataGLPLSections,$E159)-SUMIFS(Drivers!BJ$10:BJ$69,PLSections,$E159)</f>
        <v>0</v>
      </c>
      <c r="AI159" s="310">
        <f>SUMIFS(AI$38:AI$74,dataGLPLSections,$E159)-SUMIFS(Drivers!BK$10:BK$69,PLSections,$E159)</f>
        <v>0</v>
      </c>
      <c r="AJ159" s="310">
        <f>SUMIFS(AJ$38:AJ$74,dataGLPLSections,$E159)-SUMIFS(Drivers!BL$10:BL$69,PLSections,$E159)</f>
        <v>0</v>
      </c>
      <c r="AK159" s="310">
        <f>SUMIFS(AK$38:AK$74,dataGLPLSections,$E159)-SUMIFS(Drivers!BM$10:BM$69,PLSections,$E159)</f>
        <v>0</v>
      </c>
      <c r="AL159" s="310">
        <f>SUMIFS(AL$38:AL$74,dataGLPLSections,$E159)-SUMIFS(Drivers!BN$10:BN$69,PLSections,$E159)</f>
        <v>0</v>
      </c>
      <c r="AM159" s="310">
        <f>SUMIFS(AM$38:AM$74,dataGLPLSections,$E159)-SUMIFS(Drivers!BO$10:BO$69,PLSections,$E159)</f>
        <v>0</v>
      </c>
      <c r="AN159" s="310">
        <f>SUMIFS(AN$38:AN$74,dataGLPLSections,$E159)-SUMIFS(Drivers!BP$10:BP$69,PLSections,$E159)</f>
        <v>0</v>
      </c>
      <c r="AO159" s="310">
        <f>SUMIFS(AO$38:AO$74,dataGLPLSections,$E159)-SUMIFS(Drivers!BQ$10:BQ$69,PLSections,$E159)</f>
        <v>0</v>
      </c>
      <c r="AP159" s="310">
        <f>SUMIFS(AP$38:AP$74,dataGLPLSections,$E159)-SUMIFS(Drivers!BR$10:BR$69,PLSections,$E159)</f>
        <v>0</v>
      </c>
      <c r="AQ159" s="310">
        <f>SUMIFS(AQ$38:AQ$74,dataGLPLSections,$E159)-SUMIFS(Drivers!BS$10:BS$69,PLSections,$E159)</f>
        <v>0</v>
      </c>
      <c r="AR159" s="310">
        <f>SUMIFS(AR$38:AR$74,dataGLPLSections,$E159)-SUMIFS(Drivers!BT$10:BT$69,PLSections,$E159)</f>
        <v>0</v>
      </c>
      <c r="AS159" s="310">
        <f>SUMIFS(AS$38:AS$74,dataGLPLSections,$E159)-SUMIFS(Drivers!BU$10:BU$69,PLSections,$E159)</f>
        <v>0</v>
      </c>
      <c r="AT159" s="310">
        <f>SUMIFS(AT$38:AT$74,dataGLPLSections,$E159)-SUMIFS(Drivers!BV$10:BV$69,PLSections,$E159)</f>
        <v>0</v>
      </c>
      <c r="AU159" s="310">
        <f>SUMIFS(AU$38:AU$74,dataGLPLSections,$E159)-SUMIFS(Drivers!BW$10:BW$69,PLSections,$E159)</f>
        <v>0</v>
      </c>
      <c r="AV159" s="310">
        <f>SUMIFS(AV$38:AV$74,dataGLPLSections,$E159)-SUMIFS(Drivers!BX$10:BX$69,PLSections,$E159)</f>
        <v>0</v>
      </c>
      <c r="AW159" s="310">
        <f>SUMIFS(AW$38:AW$74,dataGLPLSections,$E159)-SUMIFS(Drivers!BY$10:BY$69,PLSections,$E159)</f>
        <v>0</v>
      </c>
      <c r="AX159" s="310">
        <f>SUMIFS(AX$38:AX$74,dataGLPLSections,$E159)-SUMIFS(Drivers!BZ$10:BZ$69,PLSections,$E159)</f>
        <v>0</v>
      </c>
      <c r="AY159" s="310">
        <f>SUMIFS(AY$38:AY$74,dataGLPLSections,$E159)-SUMIFS(Drivers!CA$10:CA$69,PLSections,$E159)</f>
        <v>0</v>
      </c>
      <c r="AZ159" s="310">
        <f>SUMIFS(AZ$38:AZ$74,dataGLPLSections,$E159)-SUMIFS(Drivers!CB$10:CB$69,PLSections,$E159)</f>
        <v>0</v>
      </c>
      <c r="BA159" s="310">
        <f>SUMIFS(BA$38:BA$74,dataGLPLSections,$E159)-SUMIFS(Drivers!CC$10:CC$69,PLSections,$E159)</f>
        <v>0</v>
      </c>
      <c r="BB159" s="310">
        <f>SUMIFS(BB$38:BB$74,dataGLPLSections,$E159)-SUMIFS(Drivers!CD$10:CD$69,PLSections,$E159)</f>
        <v>0</v>
      </c>
      <c r="BC159" s="310">
        <f>SUMIFS(BC$38:BC$74,dataGLPLSections,$E159)-SUMIFS(Drivers!CE$10:CE$69,PLSections,$E159)</f>
        <v>0</v>
      </c>
      <c r="BD159" s="310">
        <f>SUMIFS(BD$38:BD$74,dataGLPLSections,$E159)-SUMIFS(Drivers!CF$10:CF$69,PLSections,$E159)</f>
        <v>0</v>
      </c>
      <c r="BE159" s="310">
        <f>SUMIFS(BE$38:BE$74,dataGLPLSections,$E159)-SUMIFS(Drivers!CG$10:CG$69,PLSections,$E159)</f>
        <v>0</v>
      </c>
      <c r="BF159" s="310">
        <f>SUMIFS(BF$38:BF$74,dataGLPLSections,$E159)-SUMIFS(Drivers!CH$10:CH$69,PLSections,$E159)</f>
        <v>0</v>
      </c>
      <c r="BG159" s="310">
        <f>SUMIFS(BG$38:BG$74,dataGLPLSections,$E159)-SUMIFS(Drivers!CI$10:CI$69,PLSections,$E159)</f>
        <v>0</v>
      </c>
      <c r="BH159" s="310">
        <f>SUMIFS(BH$38:BH$74,dataGLPLSections,$E159)-SUMIFS(Drivers!CJ$10:CJ$69,PLSections,$E159)</f>
        <v>0</v>
      </c>
    </row>
    <row r="160" spans="2:60" ht="18.75" customHeight="1" outlineLevel="2">
      <c r="C160" s="151"/>
      <c r="D160" s="151" t="s">
        <v>480</v>
      </c>
      <c r="E160" s="151" t="s">
        <v>130</v>
      </c>
      <c r="G160" s="317"/>
      <c r="L160" s="310">
        <f>SUMIFS(L$38:L$74,dataGLPLSections,$E160)-SUMIFS(Drivers!AN$10:AN$69,PLSections,$E160)</f>
        <v>0</v>
      </c>
      <c r="M160" s="310">
        <f>SUMIFS(M$38:M$74,dataGLPLSections,$E160)-SUMIFS(Drivers!AO$10:AO$69,PLSections,$E160)</f>
        <v>0</v>
      </c>
      <c r="N160" s="310">
        <f>SUMIFS(N$38:N$74,dataGLPLSections,$E160)-SUMIFS(Drivers!AP$10:AP$69,PLSections,$E160)</f>
        <v>0</v>
      </c>
      <c r="O160" s="310">
        <f>SUMIFS(O$38:O$74,dataGLPLSections,$E160)-SUMIFS(Drivers!AQ$10:AQ$69,PLSections,$E160)</f>
        <v>0</v>
      </c>
      <c r="P160" s="310">
        <f>SUMIFS(P$38:P$74,dataGLPLSections,$E160)-SUMIFS(Drivers!AR$10:AR$69,PLSections,$E160)</f>
        <v>0</v>
      </c>
      <c r="Q160" s="310">
        <f>SUMIFS(Q$38:Q$74,dataGLPLSections,$E160)-SUMIFS(Drivers!AS$10:AS$69,PLSections,$E160)</f>
        <v>0</v>
      </c>
      <c r="R160" s="310">
        <f>SUMIFS(R$38:R$74,dataGLPLSections,$E160)-SUMIFS(Drivers!AT$10:AT$69,PLSections,$E160)</f>
        <v>0</v>
      </c>
      <c r="S160" s="310">
        <f>SUMIFS(S$38:S$74,dataGLPLSections,$E160)-SUMIFS(Drivers!AU$10:AU$69,PLSections,$E160)</f>
        <v>0</v>
      </c>
      <c r="T160" s="310">
        <f>SUMIFS(T$38:T$74,dataGLPLSections,$E160)-SUMIFS(Drivers!AV$10:AV$69,PLSections,$E160)</f>
        <v>0</v>
      </c>
      <c r="U160" s="310">
        <f>SUMIFS(U$38:U$74,dataGLPLSections,$E160)-SUMIFS(Drivers!AW$10:AW$69,PLSections,$E160)</f>
        <v>0</v>
      </c>
      <c r="V160" s="310">
        <f>SUMIFS(V$38:V$74,dataGLPLSections,$E160)-SUMIFS(Drivers!AX$10:AX$69,PLSections,$E160)</f>
        <v>0</v>
      </c>
      <c r="W160" s="310">
        <f>SUMIFS(W$38:W$74,dataGLPLSections,$E160)-SUMIFS(Drivers!AY$10:AY$69,PLSections,$E160)</f>
        <v>0</v>
      </c>
      <c r="X160" s="310">
        <f>SUMIFS(X$38:X$74,dataGLPLSections,$E160)-SUMIFS(Drivers!AZ$10:AZ$69,PLSections,$E160)</f>
        <v>0</v>
      </c>
      <c r="Y160" s="310">
        <f>SUMIFS(Y$38:Y$74,dataGLPLSections,$E160)-SUMIFS(Drivers!BA$10:BA$69,PLSections,$E160)</f>
        <v>0</v>
      </c>
      <c r="Z160" s="310">
        <f>SUMIFS(Z$38:Z$74,dataGLPLSections,$E160)-SUMIFS(Drivers!BB$10:BB$69,PLSections,$E160)</f>
        <v>0</v>
      </c>
      <c r="AA160" s="310">
        <f>SUMIFS(AA$38:AA$74,dataGLPLSections,$E160)-SUMIFS(Drivers!BC$10:BC$69,PLSections,$E160)</f>
        <v>0</v>
      </c>
      <c r="AB160" s="310">
        <f>SUMIFS(AB$38:AB$74,dataGLPLSections,$E160)-SUMIFS(Drivers!BD$10:BD$69,PLSections,$E160)</f>
        <v>0</v>
      </c>
      <c r="AC160" s="310">
        <f>SUMIFS(AC$38:AC$74,dataGLPLSections,$E160)-SUMIFS(Drivers!BE$10:BE$69,PLSections,$E160)</f>
        <v>0</v>
      </c>
      <c r="AD160" s="310">
        <f>SUMIFS(AD$38:AD$74,dataGLPLSections,$E160)-SUMIFS(Drivers!BF$10:BF$69,PLSections,$E160)</f>
        <v>0</v>
      </c>
      <c r="AE160" s="310">
        <f>SUMIFS(AE$38:AE$74,dataGLPLSections,$E160)-SUMIFS(Drivers!BG$10:BG$69,PLSections,$E160)</f>
        <v>0</v>
      </c>
      <c r="AF160" s="310">
        <f>SUMIFS(AF$38:AF$74,dataGLPLSections,$E160)-SUMIFS(Drivers!BH$10:BH$69,PLSections,$E160)</f>
        <v>0</v>
      </c>
      <c r="AG160" s="310">
        <f>SUMIFS(AG$38:AG$74,dataGLPLSections,$E160)-SUMIFS(Drivers!BI$10:BI$69,PLSections,$E160)</f>
        <v>0</v>
      </c>
      <c r="AH160" s="310">
        <f>SUMIFS(AH$38:AH$74,dataGLPLSections,$E160)-SUMIFS(Drivers!BJ$10:BJ$69,PLSections,$E160)</f>
        <v>0</v>
      </c>
      <c r="AI160" s="310">
        <f>SUMIFS(AI$38:AI$74,dataGLPLSections,$E160)-SUMIFS(Drivers!BK$10:BK$69,PLSections,$E160)</f>
        <v>0</v>
      </c>
      <c r="AJ160" s="310">
        <f>SUMIFS(AJ$38:AJ$74,dataGLPLSections,$E160)-SUMIFS(Drivers!BL$10:BL$69,PLSections,$E160)</f>
        <v>0</v>
      </c>
      <c r="AK160" s="310">
        <f>SUMIFS(AK$38:AK$74,dataGLPLSections,$E160)-SUMIFS(Drivers!BM$10:BM$69,PLSections,$E160)</f>
        <v>0</v>
      </c>
      <c r="AL160" s="310">
        <f>SUMIFS(AL$38:AL$74,dataGLPLSections,$E160)-SUMIFS(Drivers!BN$10:BN$69,PLSections,$E160)</f>
        <v>0</v>
      </c>
      <c r="AM160" s="310">
        <f>SUMIFS(AM$38:AM$74,dataGLPLSections,$E160)-SUMIFS(Drivers!BO$10:BO$69,PLSections,$E160)</f>
        <v>0</v>
      </c>
      <c r="AN160" s="310">
        <f>SUMIFS(AN$38:AN$74,dataGLPLSections,$E160)-SUMIFS(Drivers!BP$10:BP$69,PLSections,$E160)</f>
        <v>0</v>
      </c>
      <c r="AO160" s="310">
        <f>SUMIFS(AO$38:AO$74,dataGLPLSections,$E160)-SUMIFS(Drivers!BQ$10:BQ$69,PLSections,$E160)</f>
        <v>0</v>
      </c>
      <c r="AP160" s="310">
        <f>SUMIFS(AP$38:AP$74,dataGLPLSections,$E160)-SUMIFS(Drivers!BR$10:BR$69,PLSections,$E160)</f>
        <v>0</v>
      </c>
      <c r="AQ160" s="310">
        <f>SUMIFS(AQ$38:AQ$74,dataGLPLSections,$E160)-SUMIFS(Drivers!BS$10:BS$69,PLSections,$E160)</f>
        <v>0</v>
      </c>
      <c r="AR160" s="310">
        <f>SUMIFS(AR$38:AR$74,dataGLPLSections,$E160)-SUMIFS(Drivers!BT$10:BT$69,PLSections,$E160)</f>
        <v>0</v>
      </c>
      <c r="AS160" s="310">
        <f>SUMIFS(AS$38:AS$74,dataGLPLSections,$E160)-SUMIFS(Drivers!BU$10:BU$69,PLSections,$E160)</f>
        <v>0</v>
      </c>
      <c r="AT160" s="310">
        <f>SUMIFS(AT$38:AT$74,dataGLPLSections,$E160)-SUMIFS(Drivers!BV$10:BV$69,PLSections,$E160)</f>
        <v>0</v>
      </c>
      <c r="AU160" s="310">
        <f>SUMIFS(AU$38:AU$74,dataGLPLSections,$E160)-SUMIFS(Drivers!BW$10:BW$69,PLSections,$E160)</f>
        <v>0</v>
      </c>
      <c r="AV160" s="310">
        <f>SUMIFS(AV$38:AV$74,dataGLPLSections,$E160)-SUMIFS(Drivers!BX$10:BX$69,PLSections,$E160)</f>
        <v>0</v>
      </c>
      <c r="AW160" s="310">
        <f>SUMIFS(AW$38:AW$74,dataGLPLSections,$E160)-SUMIFS(Drivers!BY$10:BY$69,PLSections,$E160)</f>
        <v>0</v>
      </c>
      <c r="AX160" s="310">
        <f>SUMIFS(AX$38:AX$74,dataGLPLSections,$E160)-SUMIFS(Drivers!BZ$10:BZ$69,PLSections,$E160)</f>
        <v>0</v>
      </c>
      <c r="AY160" s="310">
        <f>SUMIFS(AY$38:AY$74,dataGLPLSections,$E160)-SUMIFS(Drivers!CA$10:CA$69,PLSections,$E160)</f>
        <v>0</v>
      </c>
      <c r="AZ160" s="310">
        <f>SUMIFS(AZ$38:AZ$74,dataGLPLSections,$E160)-SUMIFS(Drivers!CB$10:CB$69,PLSections,$E160)</f>
        <v>0</v>
      </c>
      <c r="BA160" s="310">
        <f>SUMIFS(BA$38:BA$74,dataGLPLSections,$E160)-SUMIFS(Drivers!CC$10:CC$69,PLSections,$E160)</f>
        <v>0</v>
      </c>
      <c r="BB160" s="310">
        <f>SUMIFS(BB$38:BB$74,dataGLPLSections,$E160)-SUMIFS(Drivers!CD$10:CD$69,PLSections,$E160)</f>
        <v>0</v>
      </c>
      <c r="BC160" s="310">
        <f>SUMIFS(BC$38:BC$74,dataGLPLSections,$E160)-SUMIFS(Drivers!CE$10:CE$69,PLSections,$E160)</f>
        <v>0</v>
      </c>
      <c r="BD160" s="310">
        <f>SUMIFS(BD$38:BD$74,dataGLPLSections,$E160)-SUMIFS(Drivers!CF$10:CF$69,PLSections,$E160)</f>
        <v>0</v>
      </c>
      <c r="BE160" s="310">
        <f>SUMIFS(BE$38:BE$74,dataGLPLSections,$E160)-SUMIFS(Drivers!CG$10:CG$69,PLSections,$E160)</f>
        <v>0</v>
      </c>
      <c r="BF160" s="310">
        <f>SUMIFS(BF$38:BF$74,dataGLPLSections,$E160)-SUMIFS(Drivers!CH$10:CH$69,PLSections,$E160)</f>
        <v>0</v>
      </c>
      <c r="BG160" s="310">
        <f>SUMIFS(BG$38:BG$74,dataGLPLSections,$E160)-SUMIFS(Drivers!CI$10:CI$69,PLSections,$E160)</f>
        <v>0</v>
      </c>
      <c r="BH160" s="310">
        <f>SUMIFS(BH$38:BH$74,dataGLPLSections,$E160)-SUMIFS(Drivers!CJ$10:CJ$69,PLSections,$E160)</f>
        <v>0</v>
      </c>
    </row>
    <row r="161" spans="3:60" ht="18.75" customHeight="1" outlineLevel="2">
      <c r="C161" s="151"/>
      <c r="D161" s="151" t="s">
        <v>481</v>
      </c>
      <c r="E161" s="151" t="s">
        <v>131</v>
      </c>
      <c r="G161" s="317"/>
      <c r="L161" s="310">
        <f>SUMIFS(L$38:L$74,dataGLPLSections,$E161)-SUMIFS(Drivers!AN$10:AN$69,PLSections,$E161)</f>
        <v>0</v>
      </c>
      <c r="M161" s="310">
        <f>SUMIFS(M$38:M$74,dataGLPLSections,$E161)-SUMIFS(Drivers!AO$10:AO$69,PLSections,$E161)</f>
        <v>0</v>
      </c>
      <c r="N161" s="310">
        <f>SUMIFS(N$38:N$74,dataGLPLSections,$E161)-SUMIFS(Drivers!AP$10:AP$69,PLSections,$E161)</f>
        <v>0</v>
      </c>
      <c r="O161" s="310">
        <f>SUMIFS(O$38:O$74,dataGLPLSections,$E161)-SUMIFS(Drivers!AQ$10:AQ$69,PLSections,$E161)</f>
        <v>0</v>
      </c>
      <c r="P161" s="310">
        <f>SUMIFS(P$38:P$74,dataGLPLSections,$E161)-SUMIFS(Drivers!AR$10:AR$69,PLSections,$E161)</f>
        <v>0</v>
      </c>
      <c r="Q161" s="310">
        <f>SUMIFS(Q$38:Q$74,dataGLPLSections,$E161)-SUMIFS(Drivers!AS$10:AS$69,PLSections,$E161)</f>
        <v>0</v>
      </c>
      <c r="R161" s="310">
        <f>SUMIFS(R$38:R$74,dataGLPLSections,$E161)-SUMIFS(Drivers!AT$10:AT$69,PLSections,$E161)</f>
        <v>0</v>
      </c>
      <c r="S161" s="310">
        <f>SUMIFS(S$38:S$74,dataGLPLSections,$E161)-SUMIFS(Drivers!AU$10:AU$69,PLSections,$E161)</f>
        <v>0</v>
      </c>
      <c r="T161" s="310">
        <f>SUMIFS(T$38:T$74,dataGLPLSections,$E161)-SUMIFS(Drivers!AV$10:AV$69,PLSections,$E161)</f>
        <v>0</v>
      </c>
      <c r="U161" s="310">
        <f>SUMIFS(U$38:U$74,dataGLPLSections,$E161)-SUMIFS(Drivers!AW$10:AW$69,PLSections,$E161)</f>
        <v>0</v>
      </c>
      <c r="V161" s="310">
        <f>SUMIFS(V$38:V$74,dataGLPLSections,$E161)-SUMIFS(Drivers!AX$10:AX$69,PLSections,$E161)</f>
        <v>0</v>
      </c>
      <c r="W161" s="310">
        <f>SUMIFS(W$38:W$74,dataGLPLSections,$E161)-SUMIFS(Drivers!AY$10:AY$69,PLSections,$E161)</f>
        <v>0</v>
      </c>
      <c r="X161" s="310">
        <f>SUMIFS(X$38:X$74,dataGLPLSections,$E161)-SUMIFS(Drivers!AZ$10:AZ$69,PLSections,$E161)</f>
        <v>0</v>
      </c>
      <c r="Y161" s="310">
        <f>SUMIFS(Y$38:Y$74,dataGLPLSections,$E161)-SUMIFS(Drivers!BA$10:BA$69,PLSections,$E161)</f>
        <v>0</v>
      </c>
      <c r="Z161" s="310">
        <f>SUMIFS(Z$38:Z$74,dataGLPLSections,$E161)-SUMIFS(Drivers!BB$10:BB$69,PLSections,$E161)</f>
        <v>0</v>
      </c>
      <c r="AA161" s="310">
        <f>SUMIFS(AA$38:AA$74,dataGLPLSections,$E161)-SUMIFS(Drivers!BC$10:BC$69,PLSections,$E161)</f>
        <v>0</v>
      </c>
      <c r="AB161" s="310">
        <f>SUMIFS(AB$38:AB$74,dataGLPLSections,$E161)-SUMIFS(Drivers!BD$10:BD$69,PLSections,$E161)</f>
        <v>0</v>
      </c>
      <c r="AC161" s="310">
        <f>SUMIFS(AC$38:AC$74,dataGLPLSections,$E161)-SUMIFS(Drivers!BE$10:BE$69,PLSections,$E161)</f>
        <v>0</v>
      </c>
      <c r="AD161" s="310">
        <f>SUMIFS(AD$38:AD$74,dataGLPLSections,$E161)-SUMIFS(Drivers!BF$10:BF$69,PLSections,$E161)</f>
        <v>0</v>
      </c>
      <c r="AE161" s="310">
        <f>SUMIFS(AE$38:AE$74,dataGLPLSections,$E161)-SUMIFS(Drivers!BG$10:BG$69,PLSections,$E161)</f>
        <v>0</v>
      </c>
      <c r="AF161" s="310">
        <f>SUMIFS(AF$38:AF$74,dataGLPLSections,$E161)-SUMIFS(Drivers!BH$10:BH$69,PLSections,$E161)</f>
        <v>0</v>
      </c>
      <c r="AG161" s="310">
        <f>SUMIFS(AG$38:AG$74,dataGLPLSections,$E161)-SUMIFS(Drivers!BI$10:BI$69,PLSections,$E161)</f>
        <v>0</v>
      </c>
      <c r="AH161" s="310">
        <f>SUMIFS(AH$38:AH$74,dataGLPLSections,$E161)-SUMIFS(Drivers!BJ$10:BJ$69,PLSections,$E161)</f>
        <v>0</v>
      </c>
      <c r="AI161" s="310">
        <f>SUMIFS(AI$38:AI$74,dataGLPLSections,$E161)-SUMIFS(Drivers!BK$10:BK$69,PLSections,$E161)</f>
        <v>0</v>
      </c>
      <c r="AJ161" s="310">
        <f>SUMIFS(AJ$38:AJ$74,dataGLPLSections,$E161)-SUMIFS(Drivers!BL$10:BL$69,PLSections,$E161)</f>
        <v>0</v>
      </c>
      <c r="AK161" s="310">
        <f>SUMIFS(AK$38:AK$74,dataGLPLSections,$E161)-SUMIFS(Drivers!BM$10:BM$69,PLSections,$E161)</f>
        <v>0</v>
      </c>
      <c r="AL161" s="310">
        <f>SUMIFS(AL$38:AL$74,dataGLPLSections,$E161)-SUMIFS(Drivers!BN$10:BN$69,PLSections,$E161)</f>
        <v>0</v>
      </c>
      <c r="AM161" s="310">
        <f>SUMIFS(AM$38:AM$74,dataGLPLSections,$E161)-SUMIFS(Drivers!BO$10:BO$69,PLSections,$E161)</f>
        <v>0</v>
      </c>
      <c r="AN161" s="310">
        <f>SUMIFS(AN$38:AN$74,dataGLPLSections,$E161)-SUMIFS(Drivers!BP$10:BP$69,PLSections,$E161)</f>
        <v>0</v>
      </c>
      <c r="AO161" s="310">
        <f>SUMIFS(AO$38:AO$74,dataGLPLSections,$E161)-SUMIFS(Drivers!BQ$10:BQ$69,PLSections,$E161)</f>
        <v>0</v>
      </c>
      <c r="AP161" s="310">
        <f>SUMIFS(AP$38:AP$74,dataGLPLSections,$E161)-SUMIFS(Drivers!BR$10:BR$69,PLSections,$E161)</f>
        <v>0</v>
      </c>
      <c r="AQ161" s="310">
        <f>SUMIFS(AQ$38:AQ$74,dataGLPLSections,$E161)-SUMIFS(Drivers!BS$10:BS$69,PLSections,$E161)</f>
        <v>0</v>
      </c>
      <c r="AR161" s="310">
        <f>SUMIFS(AR$38:AR$74,dataGLPLSections,$E161)-SUMIFS(Drivers!BT$10:BT$69,PLSections,$E161)</f>
        <v>0</v>
      </c>
      <c r="AS161" s="310">
        <f>SUMIFS(AS$38:AS$74,dataGLPLSections,$E161)-SUMIFS(Drivers!BU$10:BU$69,PLSections,$E161)</f>
        <v>0</v>
      </c>
      <c r="AT161" s="310">
        <f>SUMIFS(AT$38:AT$74,dataGLPLSections,$E161)-SUMIFS(Drivers!BV$10:BV$69,PLSections,$E161)</f>
        <v>0</v>
      </c>
      <c r="AU161" s="310">
        <f>SUMIFS(AU$38:AU$74,dataGLPLSections,$E161)-SUMIFS(Drivers!BW$10:BW$69,PLSections,$E161)</f>
        <v>0</v>
      </c>
      <c r="AV161" s="310">
        <f>SUMIFS(AV$38:AV$74,dataGLPLSections,$E161)-SUMIFS(Drivers!BX$10:BX$69,PLSections,$E161)</f>
        <v>0</v>
      </c>
      <c r="AW161" s="310">
        <f>SUMIFS(AW$38:AW$74,dataGLPLSections,$E161)-SUMIFS(Drivers!BY$10:BY$69,PLSections,$E161)</f>
        <v>0</v>
      </c>
      <c r="AX161" s="310">
        <f>SUMIFS(AX$38:AX$74,dataGLPLSections,$E161)-SUMIFS(Drivers!BZ$10:BZ$69,PLSections,$E161)</f>
        <v>0</v>
      </c>
      <c r="AY161" s="310">
        <f>SUMIFS(AY$38:AY$74,dataGLPLSections,$E161)-SUMIFS(Drivers!CA$10:CA$69,PLSections,$E161)</f>
        <v>0</v>
      </c>
      <c r="AZ161" s="310">
        <f>SUMIFS(AZ$38:AZ$74,dataGLPLSections,$E161)-SUMIFS(Drivers!CB$10:CB$69,PLSections,$E161)</f>
        <v>0</v>
      </c>
      <c r="BA161" s="310">
        <f>SUMIFS(BA$38:BA$74,dataGLPLSections,$E161)-SUMIFS(Drivers!CC$10:CC$69,PLSections,$E161)</f>
        <v>0</v>
      </c>
      <c r="BB161" s="310">
        <f>SUMIFS(BB$38:BB$74,dataGLPLSections,$E161)-SUMIFS(Drivers!CD$10:CD$69,PLSections,$E161)</f>
        <v>0</v>
      </c>
      <c r="BC161" s="310">
        <f>SUMIFS(BC$38:BC$74,dataGLPLSections,$E161)-SUMIFS(Drivers!CE$10:CE$69,PLSections,$E161)</f>
        <v>0</v>
      </c>
      <c r="BD161" s="310">
        <f>SUMIFS(BD$38:BD$74,dataGLPLSections,$E161)-SUMIFS(Drivers!CF$10:CF$69,PLSections,$E161)</f>
        <v>0</v>
      </c>
      <c r="BE161" s="310">
        <f>SUMIFS(BE$38:BE$74,dataGLPLSections,$E161)-SUMIFS(Drivers!CG$10:CG$69,PLSections,$E161)</f>
        <v>0</v>
      </c>
      <c r="BF161" s="310">
        <f>SUMIFS(BF$38:BF$74,dataGLPLSections,$E161)-SUMIFS(Drivers!CH$10:CH$69,PLSections,$E161)</f>
        <v>0</v>
      </c>
      <c r="BG161" s="310">
        <f>SUMIFS(BG$38:BG$74,dataGLPLSections,$E161)-SUMIFS(Drivers!CI$10:CI$69,PLSections,$E161)</f>
        <v>0</v>
      </c>
      <c r="BH161" s="310">
        <f>SUMIFS(BH$38:BH$74,dataGLPLSections,$E161)-SUMIFS(Drivers!CJ$10:CJ$69,PLSections,$E161)</f>
        <v>0</v>
      </c>
    </row>
    <row r="162" spans="3:60" ht="18.75" customHeight="1" outlineLevel="2">
      <c r="C162" s="151"/>
      <c r="D162" s="151" t="s">
        <v>482</v>
      </c>
      <c r="E162" s="151" t="s">
        <v>135</v>
      </c>
      <c r="G162" s="317"/>
      <c r="L162" s="310">
        <f>SUMIFS(L$77:L$105,dataGLBSSections,$E162)-SUMIFS(Drivers!AN$71:AN$106,BSSections,$E162)</f>
        <v>0</v>
      </c>
      <c r="M162" s="310">
        <f>SUMIFS(M$77:M$105,dataGLBSSections,$E162)-SUMIFS(Drivers!AO$71:AO$106,BSSections,$E162)</f>
        <v>0</v>
      </c>
      <c r="N162" s="310">
        <f>SUMIFS(N$77:N$105,dataGLBSSections,$E162)-SUMIFS(Drivers!AP$71:AP$106,BSSections,$E162)</f>
        <v>0</v>
      </c>
      <c r="O162" s="310">
        <f>SUMIFS(O$77:O$105,dataGLBSSections,$E162)-SUMIFS(Drivers!AQ$71:AQ$106,BSSections,$E162)</f>
        <v>0</v>
      </c>
      <c r="P162" s="310">
        <f>SUMIFS(P$77:P$105,dataGLBSSections,$E162)-SUMIFS(Drivers!AR$71:AR$106,BSSections,$E162)</f>
        <v>0</v>
      </c>
      <c r="Q162" s="310">
        <f>SUMIFS(Q$77:Q$105,dataGLBSSections,$E162)-SUMIFS(Drivers!AS$71:AS$106,BSSections,$E162)</f>
        <v>0</v>
      </c>
      <c r="R162" s="310">
        <f>SUMIFS(R$77:R$105,dataGLBSSections,$E162)-SUMIFS(Drivers!AT$71:AT$106,BSSections,$E162)</f>
        <v>0</v>
      </c>
      <c r="S162" s="310">
        <f>SUMIFS(S$77:S$105,dataGLBSSections,$E162)-SUMIFS(Drivers!AU$71:AU$106,BSSections,$E162)</f>
        <v>0</v>
      </c>
      <c r="T162" s="310">
        <f>SUMIFS(T$77:T$105,dataGLBSSections,$E162)-SUMIFS(Drivers!AV$71:AV$106,BSSections,$E162)</f>
        <v>0</v>
      </c>
      <c r="U162" s="310">
        <f>SUMIFS(U$77:U$105,dataGLBSSections,$E162)-SUMIFS(Drivers!AW$71:AW$106,BSSections,$E162)</f>
        <v>0</v>
      </c>
      <c r="V162" s="310">
        <f>SUMIFS(V$77:V$105,dataGLBSSections,$E162)-SUMIFS(Drivers!AX$71:AX$106,BSSections,$E162)</f>
        <v>0</v>
      </c>
      <c r="W162" s="310">
        <f>SUMIFS(W$77:W$105,dataGLBSSections,$E162)-SUMIFS(Drivers!AY$71:AY$106,BSSections,$E162)</f>
        <v>0</v>
      </c>
      <c r="X162" s="310">
        <f>SUMIFS(X$77:X$105,dataGLBSSections,$E162)-SUMIFS(Drivers!AZ$71:AZ$106,BSSections,$E162)</f>
        <v>0</v>
      </c>
      <c r="Y162" s="310">
        <f>SUMIFS(Y$77:Y$105,dataGLBSSections,$E162)-SUMIFS(Drivers!BA$71:BA$106,BSSections,$E162)</f>
        <v>0</v>
      </c>
      <c r="Z162" s="310">
        <f>SUMIFS(Z$77:Z$105,dataGLBSSections,$E162)-SUMIFS(Drivers!BB$71:BB$106,BSSections,$E162)</f>
        <v>0</v>
      </c>
      <c r="AA162" s="310">
        <f>SUMIFS(AA$77:AA$105,dataGLBSSections,$E162)-SUMIFS(Drivers!BC$71:BC$106,BSSections,$E162)</f>
        <v>0</v>
      </c>
      <c r="AB162" s="310">
        <f>SUMIFS(AB$77:AB$105,dataGLBSSections,$E162)-SUMIFS(Drivers!BD$71:BD$106,BSSections,$E162)</f>
        <v>0</v>
      </c>
      <c r="AC162" s="310">
        <f>SUMIFS(AC$77:AC$105,dataGLBSSections,$E162)-SUMIFS(Drivers!BE$71:BE$106,BSSections,$E162)</f>
        <v>0</v>
      </c>
      <c r="AD162" s="310">
        <f>SUMIFS(AD$77:AD$105,dataGLBSSections,$E162)-SUMIFS(Drivers!BF$71:BF$106,BSSections,$E162)</f>
        <v>0</v>
      </c>
      <c r="AE162" s="310">
        <f>SUMIFS(AE$77:AE$105,dataGLBSSections,$E162)-SUMIFS(Drivers!BG$71:BG$106,BSSections,$E162)</f>
        <v>0</v>
      </c>
      <c r="AF162" s="310">
        <f>SUMIFS(AF$77:AF$105,dataGLBSSections,$E162)-SUMIFS(Drivers!BH$71:BH$106,BSSections,$E162)</f>
        <v>0</v>
      </c>
      <c r="AG162" s="310">
        <f>SUMIFS(AG$77:AG$105,dataGLBSSections,$E162)-SUMIFS(Drivers!BI$71:BI$106,BSSections,$E162)</f>
        <v>0</v>
      </c>
      <c r="AH162" s="310">
        <f>SUMIFS(AH$77:AH$105,dataGLBSSections,$E162)-SUMIFS(Drivers!BJ$71:BJ$106,BSSections,$E162)</f>
        <v>0</v>
      </c>
      <c r="AI162" s="310">
        <f>SUMIFS(AI$77:AI$105,dataGLBSSections,$E162)-SUMIFS(Drivers!BK$71:BK$106,BSSections,$E162)</f>
        <v>0</v>
      </c>
      <c r="AJ162" s="310">
        <f>SUMIFS(AJ$77:AJ$105,dataGLBSSections,$E162)-SUMIFS(Drivers!BL$71:BL$106,BSSections,$E162)</f>
        <v>0</v>
      </c>
      <c r="AK162" s="310">
        <f>SUMIFS(AK$77:AK$105,dataGLBSSections,$E162)-SUMIFS(Drivers!BM$71:BM$106,BSSections,$E162)</f>
        <v>0</v>
      </c>
      <c r="AL162" s="310">
        <f>SUMIFS(AL$77:AL$105,dataGLBSSections,$E162)-SUMIFS(Drivers!BN$71:BN$106,BSSections,$E162)</f>
        <v>0</v>
      </c>
      <c r="AM162" s="310">
        <f>SUMIFS(AM$77:AM$105,dataGLBSSections,$E162)-SUMIFS(Drivers!BO$71:BO$106,BSSections,$E162)</f>
        <v>0</v>
      </c>
      <c r="AN162" s="310">
        <f>SUMIFS(AN$77:AN$105,dataGLBSSections,$E162)-SUMIFS(Drivers!BP$71:BP$106,BSSections,$E162)</f>
        <v>0</v>
      </c>
      <c r="AO162" s="310">
        <f>SUMIFS(AO$77:AO$105,dataGLBSSections,$E162)-SUMIFS(Drivers!BQ$71:BQ$106,BSSections,$E162)</f>
        <v>0</v>
      </c>
      <c r="AP162" s="310">
        <f>SUMIFS(AP$77:AP$105,dataGLBSSections,$E162)-SUMIFS(Drivers!BR$71:BR$106,BSSections,$E162)</f>
        <v>0</v>
      </c>
      <c r="AQ162" s="310">
        <f>SUMIFS(AQ$77:AQ$105,dataGLBSSections,$E162)-SUMIFS(Drivers!BS$71:BS$106,BSSections,$E162)</f>
        <v>0</v>
      </c>
      <c r="AR162" s="310">
        <f>SUMIFS(AR$77:AR$105,dataGLBSSections,$E162)-SUMIFS(Drivers!BT$71:BT$106,BSSections,$E162)</f>
        <v>0</v>
      </c>
      <c r="AS162" s="310">
        <f>SUMIFS(AS$77:AS$105,dataGLBSSections,$E162)-SUMIFS(Drivers!BU$71:BU$106,BSSections,$E162)</f>
        <v>0</v>
      </c>
      <c r="AT162" s="310">
        <f>SUMIFS(AT$77:AT$105,dataGLBSSections,$E162)-SUMIFS(Drivers!BV$71:BV$106,BSSections,$E162)</f>
        <v>0</v>
      </c>
      <c r="AU162" s="310">
        <f>SUMIFS(AU$77:AU$105,dataGLBSSections,$E162)-SUMIFS(Drivers!BW$71:BW$106,BSSections,$E162)</f>
        <v>0</v>
      </c>
      <c r="AV162" s="310">
        <f>SUMIFS(AV$77:AV$105,dataGLBSSections,$E162)-SUMIFS(Drivers!BX$71:BX$106,BSSections,$E162)</f>
        <v>0</v>
      </c>
      <c r="AW162" s="310">
        <f>SUMIFS(AW$77:AW$105,dataGLBSSections,$E162)-SUMIFS(Drivers!BY$71:BY$106,BSSections,$E162)</f>
        <v>0</v>
      </c>
      <c r="AX162" s="310">
        <f>SUMIFS(AX$77:AX$105,dataGLBSSections,$E162)-SUMIFS(Drivers!BZ$71:BZ$106,BSSections,$E162)</f>
        <v>0</v>
      </c>
      <c r="AY162" s="310">
        <f>SUMIFS(AY$77:AY$105,dataGLBSSections,$E162)-SUMIFS(Drivers!CA$71:CA$106,BSSections,$E162)</f>
        <v>0</v>
      </c>
      <c r="AZ162" s="310">
        <f>SUMIFS(AZ$77:AZ$105,dataGLBSSections,$E162)-SUMIFS(Drivers!CB$71:CB$106,BSSections,$E162)</f>
        <v>0</v>
      </c>
      <c r="BA162" s="310">
        <f>SUMIFS(BA$77:BA$105,dataGLBSSections,$E162)-SUMIFS(Drivers!CC$71:CC$106,BSSections,$E162)</f>
        <v>0</v>
      </c>
      <c r="BB162" s="310">
        <f>SUMIFS(BB$77:BB$105,dataGLBSSections,$E162)-SUMIFS(Drivers!CD$71:CD$106,BSSections,$E162)</f>
        <v>0</v>
      </c>
      <c r="BC162" s="310">
        <f>SUMIFS(BC$77:BC$105,dataGLBSSections,$E162)-SUMIFS(Drivers!CE$71:CE$106,BSSections,$E162)</f>
        <v>0</v>
      </c>
      <c r="BD162" s="310">
        <f>SUMIFS(BD$77:BD$105,dataGLBSSections,$E162)-SUMIFS(Drivers!CF$71:CF$106,BSSections,$E162)</f>
        <v>0</v>
      </c>
      <c r="BE162" s="310">
        <f>SUMIFS(BE$77:BE$105,dataGLBSSections,$E162)-SUMIFS(Drivers!CG$71:CG$106,BSSections,$E162)</f>
        <v>0</v>
      </c>
      <c r="BF162" s="310">
        <f>SUMIFS(BF$77:BF$105,dataGLBSSections,$E162)-SUMIFS(Drivers!CH$71:CH$106,BSSections,$E162)</f>
        <v>0</v>
      </c>
      <c r="BG162" s="310">
        <f>SUMIFS(BG$77:BG$105,dataGLBSSections,$E162)-SUMIFS(Drivers!CI$71:CI$106,BSSections,$E162)</f>
        <v>0</v>
      </c>
      <c r="BH162" s="310">
        <f>SUMIFS(BH$77:BH$105,dataGLBSSections,$E162)-SUMIFS(Drivers!CJ$71:CJ$106,BSSections,$E162)</f>
        <v>0</v>
      </c>
    </row>
    <row r="163" spans="3:60" ht="18.75" customHeight="1" outlineLevel="2">
      <c r="C163" s="151"/>
      <c r="D163" s="151" t="s">
        <v>483</v>
      </c>
      <c r="E163" s="151" t="s">
        <v>141</v>
      </c>
      <c r="G163" s="317"/>
      <c r="L163" s="310">
        <f>SUMIFS(L$77:L$105,dataGLBSSections,$E163)-SUMIFS(Drivers!AN$71:AN$106,BSSections,$E163)</f>
        <v>0</v>
      </c>
      <c r="M163" s="310">
        <f>SUMIFS(M$77:M$105,dataGLBSSections,$E163)-SUMIFS(Drivers!AO$71:AO$106,BSSections,$E163)</f>
        <v>0</v>
      </c>
      <c r="N163" s="310">
        <f>SUMIFS(N$77:N$105,dataGLBSSections,$E163)-SUMIFS(Drivers!AP$71:AP$106,BSSections,$E163)</f>
        <v>0</v>
      </c>
      <c r="O163" s="310">
        <f>SUMIFS(O$77:O$105,dataGLBSSections,$E163)-SUMIFS(Drivers!AQ$71:AQ$106,BSSections,$E163)</f>
        <v>0</v>
      </c>
      <c r="P163" s="310">
        <f>SUMIFS(P$77:P$105,dataGLBSSections,$E163)-SUMIFS(Drivers!AR$71:AR$106,BSSections,$E163)</f>
        <v>0</v>
      </c>
      <c r="Q163" s="310">
        <f>SUMIFS(Q$77:Q$105,dataGLBSSections,$E163)-SUMIFS(Drivers!AS$71:AS$106,BSSections,$E163)</f>
        <v>0</v>
      </c>
      <c r="R163" s="310">
        <f>SUMIFS(R$77:R$105,dataGLBSSections,$E163)-SUMIFS(Drivers!AT$71:AT$106,BSSections,$E163)</f>
        <v>0</v>
      </c>
      <c r="S163" s="310">
        <f>SUMIFS(S$77:S$105,dataGLBSSections,$E163)-SUMIFS(Drivers!AU$71:AU$106,BSSections,$E163)</f>
        <v>0</v>
      </c>
      <c r="T163" s="310">
        <f>SUMIFS(T$77:T$105,dataGLBSSections,$E163)-SUMIFS(Drivers!AV$71:AV$106,BSSections,$E163)</f>
        <v>0</v>
      </c>
      <c r="U163" s="310">
        <f>SUMIFS(U$77:U$105,dataGLBSSections,$E163)-SUMIFS(Drivers!AW$71:AW$106,BSSections,$E163)</f>
        <v>0</v>
      </c>
      <c r="V163" s="310">
        <f>SUMIFS(V$77:V$105,dataGLBSSections,$E163)-SUMIFS(Drivers!AX$71:AX$106,BSSections,$E163)</f>
        <v>0</v>
      </c>
      <c r="W163" s="310">
        <f>SUMIFS(W$77:W$105,dataGLBSSections,$E163)-SUMIFS(Drivers!AY$71:AY$106,BSSections,$E163)</f>
        <v>0</v>
      </c>
      <c r="X163" s="310">
        <f>SUMIFS(X$77:X$105,dataGLBSSections,$E163)-SUMIFS(Drivers!AZ$71:AZ$106,BSSections,$E163)</f>
        <v>0</v>
      </c>
      <c r="Y163" s="310">
        <f>SUMIFS(Y$77:Y$105,dataGLBSSections,$E163)-SUMIFS(Drivers!BA$71:BA$106,BSSections,$E163)</f>
        <v>0</v>
      </c>
      <c r="Z163" s="310">
        <f>SUMIFS(Z$77:Z$105,dataGLBSSections,$E163)-SUMIFS(Drivers!BB$71:BB$106,BSSections,$E163)</f>
        <v>0</v>
      </c>
      <c r="AA163" s="310">
        <f>SUMIFS(AA$77:AA$105,dataGLBSSections,$E163)-SUMIFS(Drivers!BC$71:BC$106,BSSections,$E163)</f>
        <v>0</v>
      </c>
      <c r="AB163" s="310">
        <f>SUMIFS(AB$77:AB$105,dataGLBSSections,$E163)-SUMIFS(Drivers!BD$71:BD$106,BSSections,$E163)</f>
        <v>0</v>
      </c>
      <c r="AC163" s="310">
        <f>SUMIFS(AC$77:AC$105,dataGLBSSections,$E163)-SUMIFS(Drivers!BE$71:BE$106,BSSections,$E163)</f>
        <v>0</v>
      </c>
      <c r="AD163" s="310">
        <f>SUMIFS(AD$77:AD$105,dataGLBSSections,$E163)-SUMIFS(Drivers!BF$71:BF$106,BSSections,$E163)</f>
        <v>0</v>
      </c>
      <c r="AE163" s="310">
        <f>SUMIFS(AE$77:AE$105,dataGLBSSections,$E163)-SUMIFS(Drivers!BG$71:BG$106,BSSections,$E163)</f>
        <v>0</v>
      </c>
      <c r="AF163" s="310">
        <f>SUMIFS(AF$77:AF$105,dataGLBSSections,$E163)-SUMIFS(Drivers!BH$71:BH$106,BSSections,$E163)</f>
        <v>0</v>
      </c>
      <c r="AG163" s="310">
        <f>SUMIFS(AG$77:AG$105,dataGLBSSections,$E163)-SUMIFS(Drivers!BI$71:BI$106,BSSections,$E163)</f>
        <v>0</v>
      </c>
      <c r="AH163" s="310">
        <f>SUMIFS(AH$77:AH$105,dataGLBSSections,$E163)-SUMIFS(Drivers!BJ$71:BJ$106,BSSections,$E163)</f>
        <v>0</v>
      </c>
      <c r="AI163" s="310">
        <f>SUMIFS(AI$77:AI$105,dataGLBSSections,$E163)-SUMIFS(Drivers!BK$71:BK$106,BSSections,$E163)</f>
        <v>0</v>
      </c>
      <c r="AJ163" s="310">
        <f>SUMIFS(AJ$77:AJ$105,dataGLBSSections,$E163)-SUMIFS(Drivers!BL$71:BL$106,BSSections,$E163)</f>
        <v>0</v>
      </c>
      <c r="AK163" s="310">
        <f>SUMIFS(AK$77:AK$105,dataGLBSSections,$E163)-SUMIFS(Drivers!BM$71:BM$106,BSSections,$E163)</f>
        <v>0</v>
      </c>
      <c r="AL163" s="310">
        <f>SUMIFS(AL$77:AL$105,dataGLBSSections,$E163)-SUMIFS(Drivers!BN$71:BN$106,BSSections,$E163)</f>
        <v>0</v>
      </c>
      <c r="AM163" s="310">
        <f>SUMIFS(AM$77:AM$105,dataGLBSSections,$E163)-SUMIFS(Drivers!BO$71:BO$106,BSSections,$E163)</f>
        <v>0</v>
      </c>
      <c r="AN163" s="310">
        <f>SUMIFS(AN$77:AN$105,dataGLBSSections,$E163)-SUMIFS(Drivers!BP$71:BP$106,BSSections,$E163)</f>
        <v>0</v>
      </c>
      <c r="AO163" s="310">
        <f>SUMIFS(AO$77:AO$105,dataGLBSSections,$E163)-SUMIFS(Drivers!BQ$71:BQ$106,BSSections,$E163)</f>
        <v>0</v>
      </c>
      <c r="AP163" s="310">
        <f>SUMIFS(AP$77:AP$105,dataGLBSSections,$E163)-SUMIFS(Drivers!BR$71:BR$106,BSSections,$E163)</f>
        <v>0</v>
      </c>
      <c r="AQ163" s="310">
        <f>SUMIFS(AQ$77:AQ$105,dataGLBSSections,$E163)-SUMIFS(Drivers!BS$71:BS$106,BSSections,$E163)</f>
        <v>0</v>
      </c>
      <c r="AR163" s="310">
        <f>SUMIFS(AR$77:AR$105,dataGLBSSections,$E163)-SUMIFS(Drivers!BT$71:BT$106,BSSections,$E163)</f>
        <v>0</v>
      </c>
      <c r="AS163" s="310">
        <f>SUMIFS(AS$77:AS$105,dataGLBSSections,$E163)-SUMIFS(Drivers!BU$71:BU$106,BSSections,$E163)</f>
        <v>0</v>
      </c>
      <c r="AT163" s="310">
        <f>SUMIFS(AT$77:AT$105,dataGLBSSections,$E163)-SUMIFS(Drivers!BV$71:BV$106,BSSections,$E163)</f>
        <v>0</v>
      </c>
      <c r="AU163" s="310">
        <f>SUMIFS(AU$77:AU$105,dataGLBSSections,$E163)-SUMIFS(Drivers!BW$71:BW$106,BSSections,$E163)</f>
        <v>0</v>
      </c>
      <c r="AV163" s="310">
        <f>SUMIFS(AV$77:AV$105,dataGLBSSections,$E163)-SUMIFS(Drivers!BX$71:BX$106,BSSections,$E163)</f>
        <v>0</v>
      </c>
      <c r="AW163" s="310">
        <f>SUMIFS(AW$77:AW$105,dataGLBSSections,$E163)-SUMIFS(Drivers!BY$71:BY$106,BSSections,$E163)</f>
        <v>0</v>
      </c>
      <c r="AX163" s="310">
        <f>SUMIFS(AX$77:AX$105,dataGLBSSections,$E163)-SUMIFS(Drivers!BZ$71:BZ$106,BSSections,$E163)</f>
        <v>0</v>
      </c>
      <c r="AY163" s="310">
        <f>SUMIFS(AY$77:AY$105,dataGLBSSections,$E163)-SUMIFS(Drivers!CA$71:CA$106,BSSections,$E163)</f>
        <v>0</v>
      </c>
      <c r="AZ163" s="310">
        <f>SUMIFS(AZ$77:AZ$105,dataGLBSSections,$E163)-SUMIFS(Drivers!CB$71:CB$106,BSSections,$E163)</f>
        <v>0</v>
      </c>
      <c r="BA163" s="310">
        <f>SUMIFS(BA$77:BA$105,dataGLBSSections,$E163)-SUMIFS(Drivers!CC$71:CC$106,BSSections,$E163)</f>
        <v>0</v>
      </c>
      <c r="BB163" s="310">
        <f>SUMIFS(BB$77:BB$105,dataGLBSSections,$E163)-SUMIFS(Drivers!CD$71:CD$106,BSSections,$E163)</f>
        <v>0</v>
      </c>
      <c r="BC163" s="310">
        <f>SUMIFS(BC$77:BC$105,dataGLBSSections,$E163)-SUMIFS(Drivers!CE$71:CE$106,BSSections,$E163)</f>
        <v>0</v>
      </c>
      <c r="BD163" s="310">
        <f>SUMIFS(BD$77:BD$105,dataGLBSSections,$E163)-SUMIFS(Drivers!CF$71:CF$106,BSSections,$E163)</f>
        <v>0</v>
      </c>
      <c r="BE163" s="310">
        <f>SUMIFS(BE$77:BE$105,dataGLBSSections,$E163)-SUMIFS(Drivers!CG$71:CG$106,BSSections,$E163)</f>
        <v>0</v>
      </c>
      <c r="BF163" s="310">
        <f>SUMIFS(BF$77:BF$105,dataGLBSSections,$E163)-SUMIFS(Drivers!CH$71:CH$106,BSSections,$E163)</f>
        <v>0</v>
      </c>
      <c r="BG163" s="310">
        <f>SUMIFS(BG$77:BG$105,dataGLBSSections,$E163)-SUMIFS(Drivers!CI$71:CI$106,BSSections,$E163)</f>
        <v>0</v>
      </c>
      <c r="BH163" s="310">
        <f>SUMIFS(BH$77:BH$105,dataGLBSSections,$E163)-SUMIFS(Drivers!CJ$71:CJ$106,BSSections,$E163)</f>
        <v>0</v>
      </c>
    </row>
    <row r="164" spans="3:60" ht="18.75" customHeight="1" outlineLevel="2">
      <c r="C164" s="151"/>
      <c r="D164" s="151" t="s">
        <v>484</v>
      </c>
      <c r="E164" s="151" t="s">
        <v>146</v>
      </c>
      <c r="G164" s="317"/>
      <c r="L164" s="310">
        <f>SUMIFS(L$77:L$105,dataGLBSSections,$E164)-SUMIFS(Drivers!AN$71:AN$106,BSSections,$E164)</f>
        <v>0</v>
      </c>
      <c r="M164" s="310">
        <f>SUMIFS(M$77:M$105,dataGLBSSections,$E164)-SUMIFS(Drivers!AO$71:AO$106,BSSections,$E164)</f>
        <v>0</v>
      </c>
      <c r="N164" s="310">
        <f>SUMIFS(N$77:N$105,dataGLBSSections,$E164)-SUMIFS(Drivers!AP$71:AP$106,BSSections,$E164)</f>
        <v>0</v>
      </c>
      <c r="O164" s="310">
        <f>SUMIFS(O$77:O$105,dataGLBSSections,$E164)-SUMIFS(Drivers!AQ$71:AQ$106,BSSections,$E164)</f>
        <v>0</v>
      </c>
      <c r="P164" s="310">
        <f>SUMIFS(P$77:P$105,dataGLBSSections,$E164)-SUMIFS(Drivers!AR$71:AR$106,BSSections,$E164)</f>
        <v>0</v>
      </c>
      <c r="Q164" s="310">
        <f>SUMIFS(Q$77:Q$105,dataGLBSSections,$E164)-SUMIFS(Drivers!AS$71:AS$106,BSSections,$E164)</f>
        <v>0</v>
      </c>
      <c r="R164" s="310">
        <f>SUMIFS(R$77:R$105,dataGLBSSections,$E164)-SUMIFS(Drivers!AT$71:AT$106,BSSections,$E164)</f>
        <v>0</v>
      </c>
      <c r="S164" s="310">
        <f>SUMIFS(S$77:S$105,dataGLBSSections,$E164)-SUMIFS(Drivers!AU$71:AU$106,BSSections,$E164)</f>
        <v>0</v>
      </c>
      <c r="T164" s="310">
        <f>SUMIFS(T$77:T$105,dataGLBSSections,$E164)-SUMIFS(Drivers!AV$71:AV$106,BSSections,$E164)</f>
        <v>0</v>
      </c>
      <c r="U164" s="310">
        <f>SUMIFS(U$77:U$105,dataGLBSSections,$E164)-SUMIFS(Drivers!AW$71:AW$106,BSSections,$E164)</f>
        <v>0</v>
      </c>
      <c r="V164" s="310">
        <f>SUMIFS(V$77:V$105,dataGLBSSections,$E164)-SUMIFS(Drivers!AX$71:AX$106,BSSections,$E164)</f>
        <v>0</v>
      </c>
      <c r="W164" s="310">
        <f>SUMIFS(W$77:W$105,dataGLBSSections,$E164)-SUMIFS(Drivers!AY$71:AY$106,BSSections,$E164)</f>
        <v>0</v>
      </c>
      <c r="X164" s="310">
        <f>SUMIFS(X$77:X$105,dataGLBSSections,$E164)-SUMIFS(Drivers!AZ$71:AZ$106,BSSections,$E164)</f>
        <v>0</v>
      </c>
      <c r="Y164" s="310">
        <f>SUMIFS(Y$77:Y$105,dataGLBSSections,$E164)-SUMIFS(Drivers!BA$71:BA$106,BSSections,$E164)</f>
        <v>0</v>
      </c>
      <c r="Z164" s="310">
        <f>SUMIFS(Z$77:Z$105,dataGLBSSections,$E164)-SUMIFS(Drivers!BB$71:BB$106,BSSections,$E164)</f>
        <v>0</v>
      </c>
      <c r="AA164" s="310">
        <f>SUMIFS(AA$77:AA$105,dataGLBSSections,$E164)-SUMIFS(Drivers!BC$71:BC$106,BSSections,$E164)</f>
        <v>0</v>
      </c>
      <c r="AB164" s="310">
        <f>SUMIFS(AB$77:AB$105,dataGLBSSections,$E164)-SUMIFS(Drivers!BD$71:BD$106,BSSections,$E164)</f>
        <v>0</v>
      </c>
      <c r="AC164" s="310">
        <f>SUMIFS(AC$77:AC$105,dataGLBSSections,$E164)-SUMIFS(Drivers!BE$71:BE$106,BSSections,$E164)</f>
        <v>0</v>
      </c>
      <c r="AD164" s="310">
        <f>SUMIFS(AD$77:AD$105,dataGLBSSections,$E164)-SUMIFS(Drivers!BF$71:BF$106,BSSections,$E164)</f>
        <v>0</v>
      </c>
      <c r="AE164" s="310">
        <f>SUMIFS(AE$77:AE$105,dataGLBSSections,$E164)-SUMIFS(Drivers!BG$71:BG$106,BSSections,$E164)</f>
        <v>0</v>
      </c>
      <c r="AF164" s="310">
        <f>SUMIFS(AF$77:AF$105,dataGLBSSections,$E164)-SUMIFS(Drivers!BH$71:BH$106,BSSections,$E164)</f>
        <v>0</v>
      </c>
      <c r="AG164" s="310">
        <f>SUMIFS(AG$77:AG$105,dataGLBSSections,$E164)-SUMIFS(Drivers!BI$71:BI$106,BSSections,$E164)</f>
        <v>0</v>
      </c>
      <c r="AH164" s="310">
        <f>SUMIFS(AH$77:AH$105,dataGLBSSections,$E164)-SUMIFS(Drivers!BJ$71:BJ$106,BSSections,$E164)</f>
        <v>0</v>
      </c>
      <c r="AI164" s="310">
        <f>SUMIFS(AI$77:AI$105,dataGLBSSections,$E164)-SUMIFS(Drivers!BK$71:BK$106,BSSections,$E164)</f>
        <v>0</v>
      </c>
      <c r="AJ164" s="310">
        <f>SUMIFS(AJ$77:AJ$105,dataGLBSSections,$E164)-SUMIFS(Drivers!BL$71:BL$106,BSSections,$E164)</f>
        <v>0</v>
      </c>
      <c r="AK164" s="310">
        <f>SUMIFS(AK$77:AK$105,dataGLBSSections,$E164)-SUMIFS(Drivers!BM$71:BM$106,BSSections,$E164)</f>
        <v>0</v>
      </c>
      <c r="AL164" s="310">
        <f>SUMIFS(AL$77:AL$105,dataGLBSSections,$E164)-SUMIFS(Drivers!BN$71:BN$106,BSSections,$E164)</f>
        <v>0</v>
      </c>
      <c r="AM164" s="310">
        <f>SUMIFS(AM$77:AM$105,dataGLBSSections,$E164)-SUMIFS(Drivers!BO$71:BO$106,BSSections,$E164)</f>
        <v>0</v>
      </c>
      <c r="AN164" s="310">
        <f>SUMIFS(AN$77:AN$105,dataGLBSSections,$E164)-SUMIFS(Drivers!BP$71:BP$106,BSSections,$E164)</f>
        <v>0</v>
      </c>
      <c r="AO164" s="310">
        <f>SUMIFS(AO$77:AO$105,dataGLBSSections,$E164)-SUMIFS(Drivers!BQ$71:BQ$106,BSSections,$E164)</f>
        <v>0</v>
      </c>
      <c r="AP164" s="310">
        <f>SUMIFS(AP$77:AP$105,dataGLBSSections,$E164)-SUMIFS(Drivers!BR$71:BR$106,BSSections,$E164)</f>
        <v>0</v>
      </c>
      <c r="AQ164" s="310">
        <f>SUMIFS(AQ$77:AQ$105,dataGLBSSections,$E164)-SUMIFS(Drivers!BS$71:BS$106,BSSections,$E164)</f>
        <v>0</v>
      </c>
      <c r="AR164" s="310">
        <f>SUMIFS(AR$77:AR$105,dataGLBSSections,$E164)-SUMIFS(Drivers!BT$71:BT$106,BSSections,$E164)</f>
        <v>0</v>
      </c>
      <c r="AS164" s="310">
        <f>SUMIFS(AS$77:AS$105,dataGLBSSections,$E164)-SUMIFS(Drivers!BU$71:BU$106,BSSections,$E164)</f>
        <v>0</v>
      </c>
      <c r="AT164" s="310">
        <f>SUMIFS(AT$77:AT$105,dataGLBSSections,$E164)-SUMIFS(Drivers!BV$71:BV$106,BSSections,$E164)</f>
        <v>0</v>
      </c>
      <c r="AU164" s="310">
        <f>SUMIFS(AU$77:AU$105,dataGLBSSections,$E164)-SUMIFS(Drivers!BW$71:BW$106,BSSections,$E164)</f>
        <v>0</v>
      </c>
      <c r="AV164" s="310">
        <f>SUMIFS(AV$77:AV$105,dataGLBSSections,$E164)-SUMIFS(Drivers!BX$71:BX$106,BSSections,$E164)</f>
        <v>0</v>
      </c>
      <c r="AW164" s="310">
        <f>SUMIFS(AW$77:AW$105,dataGLBSSections,$E164)-SUMIFS(Drivers!BY$71:BY$106,BSSections,$E164)</f>
        <v>0</v>
      </c>
      <c r="AX164" s="310">
        <f>SUMIFS(AX$77:AX$105,dataGLBSSections,$E164)-SUMIFS(Drivers!BZ$71:BZ$106,BSSections,$E164)</f>
        <v>0</v>
      </c>
      <c r="AY164" s="310">
        <f>SUMIFS(AY$77:AY$105,dataGLBSSections,$E164)-SUMIFS(Drivers!CA$71:CA$106,BSSections,$E164)</f>
        <v>0</v>
      </c>
      <c r="AZ164" s="310">
        <f>SUMIFS(AZ$77:AZ$105,dataGLBSSections,$E164)-SUMIFS(Drivers!CB$71:CB$106,BSSections,$E164)</f>
        <v>0</v>
      </c>
      <c r="BA164" s="310">
        <f>SUMIFS(BA$77:BA$105,dataGLBSSections,$E164)-SUMIFS(Drivers!CC$71:CC$106,BSSections,$E164)</f>
        <v>0</v>
      </c>
      <c r="BB164" s="310">
        <f>SUMIFS(BB$77:BB$105,dataGLBSSections,$E164)-SUMIFS(Drivers!CD$71:CD$106,BSSections,$E164)</f>
        <v>0</v>
      </c>
      <c r="BC164" s="310">
        <f>SUMIFS(BC$77:BC$105,dataGLBSSections,$E164)-SUMIFS(Drivers!CE$71:CE$106,BSSections,$E164)</f>
        <v>0</v>
      </c>
      <c r="BD164" s="310">
        <f>SUMIFS(BD$77:BD$105,dataGLBSSections,$E164)-SUMIFS(Drivers!CF$71:CF$106,BSSections,$E164)</f>
        <v>0</v>
      </c>
      <c r="BE164" s="310">
        <f>SUMIFS(BE$77:BE$105,dataGLBSSections,$E164)-SUMIFS(Drivers!CG$71:CG$106,BSSections,$E164)</f>
        <v>0</v>
      </c>
      <c r="BF164" s="310">
        <f>SUMIFS(BF$77:BF$105,dataGLBSSections,$E164)-SUMIFS(Drivers!CH$71:CH$106,BSSections,$E164)</f>
        <v>0</v>
      </c>
      <c r="BG164" s="310">
        <f>SUMIFS(BG$77:BG$105,dataGLBSSections,$E164)-SUMIFS(Drivers!CI$71:CI$106,BSSections,$E164)</f>
        <v>0</v>
      </c>
      <c r="BH164" s="310">
        <f>SUMIFS(BH$77:BH$105,dataGLBSSections,$E164)-SUMIFS(Drivers!CJ$71:CJ$106,BSSections,$E164)</f>
        <v>0</v>
      </c>
    </row>
    <row r="165" spans="3:60" ht="18.75" customHeight="1" outlineLevel="2">
      <c r="C165" s="151"/>
      <c r="D165" s="151" t="s">
        <v>485</v>
      </c>
      <c r="E165" s="151"/>
      <c r="G165" s="317"/>
      <c r="L165" s="310">
        <f t="shared" ref="L165:AQ165" si="19">SUMIFS(L$77:L$105,dataGLBSSections,"Assets")-SUMIFS(L$77:L$105,dataGLBSSections,"Liabilities")-SUMIFS(L$77:L$105,dataGLBSSections,"Owners Equity")</f>
        <v>0</v>
      </c>
      <c r="M165" s="310">
        <f t="shared" si="19"/>
        <v>0</v>
      </c>
      <c r="N165" s="310">
        <f t="shared" si="19"/>
        <v>0</v>
      </c>
      <c r="O165" s="310">
        <f t="shared" si="19"/>
        <v>0</v>
      </c>
      <c r="P165" s="310">
        <f t="shared" si="19"/>
        <v>0</v>
      </c>
      <c r="Q165" s="310">
        <f t="shared" si="19"/>
        <v>0</v>
      </c>
      <c r="R165" s="310">
        <f t="shared" si="19"/>
        <v>0</v>
      </c>
      <c r="S165" s="310">
        <f t="shared" si="19"/>
        <v>0</v>
      </c>
      <c r="T165" s="310">
        <f t="shared" si="19"/>
        <v>0</v>
      </c>
      <c r="U165" s="310">
        <f t="shared" si="19"/>
        <v>0</v>
      </c>
      <c r="V165" s="310">
        <f t="shared" si="19"/>
        <v>0</v>
      </c>
      <c r="W165" s="310">
        <f t="shared" si="19"/>
        <v>0</v>
      </c>
      <c r="X165" s="310">
        <f t="shared" si="19"/>
        <v>0</v>
      </c>
      <c r="Y165" s="310">
        <f t="shared" si="19"/>
        <v>0</v>
      </c>
      <c r="Z165" s="310">
        <f t="shared" si="19"/>
        <v>0</v>
      </c>
      <c r="AA165" s="310">
        <f t="shared" si="19"/>
        <v>0</v>
      </c>
      <c r="AB165" s="310">
        <f t="shared" si="19"/>
        <v>0</v>
      </c>
      <c r="AC165" s="310">
        <f t="shared" si="19"/>
        <v>0</v>
      </c>
      <c r="AD165" s="310">
        <f t="shared" si="19"/>
        <v>0</v>
      </c>
      <c r="AE165" s="310">
        <f t="shared" si="19"/>
        <v>0</v>
      </c>
      <c r="AF165" s="310">
        <f t="shared" si="19"/>
        <v>0</v>
      </c>
      <c r="AG165" s="310">
        <f t="shared" si="19"/>
        <v>0</v>
      </c>
      <c r="AH165" s="310">
        <f t="shared" si="19"/>
        <v>0</v>
      </c>
      <c r="AI165" s="310">
        <f t="shared" si="19"/>
        <v>0</v>
      </c>
      <c r="AJ165" s="310">
        <f t="shared" si="19"/>
        <v>0</v>
      </c>
      <c r="AK165" s="310">
        <f t="shared" si="19"/>
        <v>0</v>
      </c>
      <c r="AL165" s="310">
        <f t="shared" si="19"/>
        <v>0</v>
      </c>
      <c r="AM165" s="310">
        <f t="shared" si="19"/>
        <v>0</v>
      </c>
      <c r="AN165" s="310">
        <f t="shared" si="19"/>
        <v>0</v>
      </c>
      <c r="AO165" s="310">
        <f t="shared" si="19"/>
        <v>0</v>
      </c>
      <c r="AP165" s="310">
        <f t="shared" si="19"/>
        <v>0</v>
      </c>
      <c r="AQ165" s="310">
        <f t="shared" si="19"/>
        <v>0</v>
      </c>
      <c r="AR165" s="310">
        <f t="shared" ref="AR165:BH165" si="20">SUMIFS(AR$77:AR$105,dataGLBSSections,"Assets")-SUMIFS(AR$77:AR$105,dataGLBSSections,"Liabilities")-SUMIFS(AR$77:AR$105,dataGLBSSections,"Owners Equity")</f>
        <v>0</v>
      </c>
      <c r="AS165" s="310">
        <f t="shared" si="20"/>
        <v>0</v>
      </c>
      <c r="AT165" s="310">
        <f t="shared" si="20"/>
        <v>0</v>
      </c>
      <c r="AU165" s="310">
        <f t="shared" si="20"/>
        <v>0</v>
      </c>
      <c r="AV165" s="310">
        <f t="shared" si="20"/>
        <v>4.6566128730773926E-10</v>
      </c>
      <c r="AW165" s="310">
        <f t="shared" si="20"/>
        <v>0</v>
      </c>
      <c r="AX165" s="310">
        <f t="shared" si="20"/>
        <v>0</v>
      </c>
      <c r="AY165" s="310">
        <f t="shared" si="20"/>
        <v>0</v>
      </c>
      <c r="AZ165" s="310">
        <f t="shared" si="20"/>
        <v>0</v>
      </c>
      <c r="BA165" s="310">
        <f t="shared" si="20"/>
        <v>0</v>
      </c>
      <c r="BB165" s="310">
        <f t="shared" si="20"/>
        <v>0</v>
      </c>
      <c r="BC165" s="310">
        <f t="shared" si="20"/>
        <v>0</v>
      </c>
      <c r="BD165" s="310">
        <f t="shared" si="20"/>
        <v>0</v>
      </c>
      <c r="BE165" s="310">
        <f t="shared" si="20"/>
        <v>0</v>
      </c>
      <c r="BF165" s="310">
        <f t="shared" si="20"/>
        <v>0</v>
      </c>
      <c r="BG165" s="310">
        <f t="shared" si="20"/>
        <v>0</v>
      </c>
      <c r="BH165" s="310">
        <f t="shared" si="20"/>
        <v>0</v>
      </c>
    </row>
    <row r="166" spans="3:60" ht="18.75" customHeight="1">
      <c r="C166" s="151"/>
    </row>
  </sheetData>
  <mergeCells count="1">
    <mergeCell ref="K2:K8"/>
  </mergeCells>
  <phoneticPr fontId="50" type="noConversion"/>
  <pageMargins left="0.7" right="0.7" top="0.75" bottom="0.75" header="0.3" footer="0.3"/>
  <pageSetup orientation="portrait" r:id="rId1"/>
  <customProperties>
    <customPr name="data-inserted" r:id="rId2"/>
    <customPr name="sheetName" r:id="rId3"/>
    <customPr name="sourceTemplate" r:id="rId4"/>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E10D-B394-534A-AA8A-EF123C9BADB0}">
  <sheetPr>
    <tabColor rgb="FFF5F5E7"/>
    <pageSetUpPr fitToPage="1"/>
  </sheetPr>
  <dimension ref="A1:AH88"/>
  <sheetViews>
    <sheetView showGridLines="0" topLeftCell="A7" zoomScale="70" zoomScaleNormal="70" zoomScaleSheetLayoutView="55" workbookViewId="0">
      <selection activeCell="AF7" sqref="AF7"/>
    </sheetView>
  </sheetViews>
  <sheetFormatPr defaultColWidth="8.85546875" defaultRowHeight="15" outlineLevelRow="1"/>
  <cols>
    <col min="1" max="1" width="3.28515625" customWidth="1"/>
    <col min="2" max="2" width="4.85546875" customWidth="1"/>
    <col min="10" max="10" width="9.42578125" customWidth="1"/>
    <col min="23" max="23" width="3.28515625" customWidth="1"/>
  </cols>
  <sheetData>
    <row r="1" spans="1:23" hidden="1" outlineLevel="1">
      <c r="A1" s="59"/>
      <c r="B1" s="58"/>
      <c r="C1" s="58"/>
      <c r="D1" s="58"/>
      <c r="E1" s="58"/>
      <c r="F1" s="58"/>
      <c r="G1" s="58"/>
      <c r="H1" s="58"/>
      <c r="I1" s="58"/>
      <c r="J1" s="58"/>
      <c r="K1" s="58"/>
      <c r="L1" s="58"/>
      <c r="M1" s="58"/>
      <c r="N1" s="58"/>
      <c r="O1" s="58"/>
      <c r="P1" s="58"/>
      <c r="Q1" s="58"/>
      <c r="R1" s="58"/>
      <c r="S1" s="58"/>
      <c r="T1" s="58"/>
      <c r="U1" s="58"/>
      <c r="V1" s="58"/>
      <c r="W1" s="49"/>
    </row>
    <row r="2" spans="1:23" hidden="1" outlineLevel="1">
      <c r="A2" s="52"/>
      <c r="B2" s="51"/>
      <c r="C2" s="50"/>
      <c r="D2" s="50"/>
      <c r="E2" s="50"/>
      <c r="F2" s="50"/>
      <c r="G2" s="50"/>
      <c r="H2" s="50"/>
      <c r="I2" s="50"/>
      <c r="J2" s="50"/>
      <c r="K2" s="50"/>
      <c r="L2" s="50"/>
      <c r="N2" s="50"/>
      <c r="O2" s="50"/>
      <c r="P2" s="50"/>
      <c r="Q2" s="50"/>
      <c r="R2" s="50"/>
      <c r="S2" s="50"/>
      <c r="T2" s="50"/>
      <c r="U2" s="50"/>
      <c r="V2" s="50"/>
      <c r="W2" s="49"/>
    </row>
    <row r="3" spans="1:23" ht="20.25" hidden="1" outlineLevel="1">
      <c r="A3" s="52"/>
      <c r="B3" s="792" t="e" vm="2">
        <v>#VALUE!</v>
      </c>
      <c r="C3" s="792"/>
      <c r="D3" s="57" t="str">
        <f>Company_Name</f>
        <v>Model Wiz Demo *</v>
      </c>
      <c r="E3" s="50"/>
      <c r="F3" s="50"/>
      <c r="G3" s="50"/>
      <c r="H3" s="56" t="s">
        <v>14</v>
      </c>
      <c r="I3" s="789" t="s">
        <v>15</v>
      </c>
      <c r="J3" s="789"/>
      <c r="K3" s="789"/>
      <c r="L3" s="789"/>
      <c r="M3" s="50"/>
      <c r="N3" s="50"/>
      <c r="O3" s="50"/>
      <c r="P3" s="50"/>
      <c r="Q3" s="50"/>
      <c r="R3" s="50"/>
      <c r="S3" s="51"/>
      <c r="T3" s="51"/>
      <c r="U3" s="51"/>
      <c r="V3" s="51"/>
      <c r="W3" s="49"/>
    </row>
    <row r="4" spans="1:23" hidden="1" outlineLevel="1">
      <c r="A4" s="52"/>
      <c r="B4" s="792"/>
      <c r="C4" s="792"/>
      <c r="D4" s="54" t="str">
        <f>Error_Check</f>
        <v>Model Functioning Properly</v>
      </c>
      <c r="E4" s="50"/>
      <c r="F4" s="50"/>
      <c r="G4" s="50"/>
      <c r="H4" s="53"/>
      <c r="I4" s="50"/>
      <c r="J4" s="50"/>
      <c r="K4" s="50"/>
      <c r="L4" s="50"/>
      <c r="M4" s="50"/>
      <c r="N4" s="50"/>
      <c r="O4" s="50"/>
      <c r="P4" s="50"/>
      <c r="Q4" s="50"/>
      <c r="R4" s="50"/>
      <c r="S4" s="51"/>
      <c r="T4" s="51"/>
      <c r="U4" s="51"/>
      <c r="V4" s="51"/>
      <c r="W4" s="49"/>
    </row>
    <row r="5" spans="1:23" hidden="1" outlineLevel="1">
      <c r="A5" s="52"/>
      <c r="B5" s="51"/>
      <c r="C5" s="50"/>
      <c r="D5" s="50"/>
      <c r="E5" s="50"/>
      <c r="F5" s="50"/>
      <c r="G5" s="50"/>
      <c r="H5" s="50"/>
      <c r="I5" s="50"/>
      <c r="J5" s="50"/>
      <c r="K5" s="50"/>
      <c r="L5" s="50"/>
      <c r="M5" s="50"/>
      <c r="N5" s="50"/>
      <c r="O5" s="50"/>
      <c r="P5" s="50"/>
      <c r="Q5" s="50"/>
      <c r="R5" s="50"/>
      <c r="S5" s="50"/>
      <c r="T5" s="50"/>
      <c r="U5" s="50"/>
      <c r="V5" s="50"/>
      <c r="W5" s="49"/>
    </row>
    <row r="6" spans="1:23" ht="14.45" hidden="1" customHeight="1" outlineLevel="1">
      <c r="A6" s="49"/>
      <c r="B6" s="49"/>
      <c r="C6" s="49"/>
      <c r="D6" s="49"/>
      <c r="E6" s="49"/>
      <c r="F6" s="49"/>
      <c r="G6" s="49"/>
      <c r="H6" s="49"/>
      <c r="I6" s="49"/>
      <c r="J6" s="49"/>
      <c r="K6" s="49"/>
      <c r="L6" s="49"/>
      <c r="M6" s="49"/>
      <c r="N6" s="49"/>
      <c r="O6" s="49"/>
      <c r="P6" s="49"/>
      <c r="Q6" s="49"/>
      <c r="R6" s="49"/>
      <c r="S6" s="49"/>
      <c r="T6" s="49"/>
      <c r="U6" s="49"/>
      <c r="V6" s="49"/>
      <c r="W6" s="49"/>
    </row>
    <row r="7" spans="1:23" ht="14.45" customHeight="1" collapsed="1">
      <c r="B7" s="44"/>
      <c r="C7" s="44"/>
      <c r="D7" s="44"/>
      <c r="E7" s="44"/>
      <c r="F7" s="44"/>
      <c r="G7" s="44"/>
      <c r="H7" s="44"/>
      <c r="I7" s="44"/>
      <c r="J7" s="44"/>
      <c r="K7" s="48"/>
      <c r="L7" s="48"/>
      <c r="M7" s="48"/>
    </row>
    <row r="8" spans="1:23" ht="14.45" customHeight="1">
      <c r="B8" s="44"/>
      <c r="D8" s="46"/>
      <c r="E8" s="46"/>
      <c r="F8" s="46"/>
      <c r="G8" s="46"/>
      <c r="H8" s="46"/>
      <c r="I8" s="46"/>
      <c r="J8" s="46"/>
      <c r="K8" s="48"/>
      <c r="L8" s="48"/>
      <c r="M8" s="48"/>
    </row>
    <row r="9" spans="1:23" ht="14.45" customHeight="1">
      <c r="B9" s="44"/>
      <c r="C9" s="46"/>
      <c r="I9" s="47"/>
      <c r="J9" s="46"/>
      <c r="K9" s="48"/>
      <c r="L9" s="48"/>
      <c r="M9" s="48"/>
    </row>
    <row r="10" spans="1:23" ht="14.45" customHeight="1">
      <c r="B10" s="45"/>
      <c r="C10" s="46"/>
      <c r="I10" s="47"/>
      <c r="J10" s="46"/>
      <c r="K10" s="48"/>
      <c r="L10" s="48"/>
      <c r="M10" s="48"/>
    </row>
    <row r="11" spans="1:23" ht="14.45" customHeight="1">
      <c r="B11" s="45"/>
      <c r="C11" s="46"/>
      <c r="D11" s="46"/>
      <c r="E11" s="47"/>
      <c r="F11" s="47"/>
      <c r="G11" s="47"/>
      <c r="H11" s="47"/>
      <c r="I11" s="47"/>
      <c r="J11" s="46"/>
    </row>
    <row r="12" spans="1:23" ht="14.45" customHeight="1">
      <c r="B12" s="45"/>
      <c r="C12" s="45"/>
      <c r="D12" s="793" t="str">
        <f>Company_Name</f>
        <v>Model Wiz Demo *</v>
      </c>
      <c r="E12" s="793"/>
      <c r="F12" s="793"/>
      <c r="G12" s="793"/>
      <c r="H12" s="793"/>
      <c r="I12" s="44"/>
      <c r="J12" s="44"/>
    </row>
    <row r="13" spans="1:23" ht="14.45" customHeight="1">
      <c r="B13" s="43"/>
      <c r="C13" s="43"/>
      <c r="D13" s="793"/>
      <c r="E13" s="793"/>
      <c r="F13" s="793"/>
      <c r="G13" s="793"/>
      <c r="H13" s="793"/>
    </row>
    <row r="14" spans="1:23" ht="14.45" customHeight="1">
      <c r="B14" s="43"/>
      <c r="C14" s="43"/>
      <c r="D14" s="43"/>
      <c r="E14" s="43"/>
      <c r="F14" s="43"/>
      <c r="G14" s="43"/>
    </row>
    <row r="15" spans="1:23" ht="14.45" customHeight="1">
      <c r="B15" s="43"/>
      <c r="C15" s="43"/>
      <c r="D15" s="43"/>
      <c r="E15" s="43"/>
      <c r="F15" s="43"/>
      <c r="G15" s="43"/>
    </row>
    <row r="16" spans="1:23" ht="14.45" customHeight="1">
      <c r="B16" s="43"/>
      <c r="C16" s="43"/>
      <c r="D16" s="43"/>
      <c r="E16" s="43"/>
      <c r="F16" s="43"/>
      <c r="G16" s="43"/>
    </row>
    <row r="17" spans="2:28" ht="14.45" customHeight="1">
      <c r="B17" s="43"/>
    </row>
    <row r="18" spans="2:28" ht="14.45" customHeight="1">
      <c r="B18" s="43"/>
      <c r="C18" s="788" t="s">
        <v>16</v>
      </c>
      <c r="D18" s="788"/>
      <c r="E18" s="788"/>
      <c r="F18" s="788"/>
      <c r="G18" s="788"/>
      <c r="H18" s="788"/>
      <c r="I18" s="788"/>
      <c r="J18" s="788"/>
    </row>
    <row r="19" spans="2:28" ht="14.45" customHeight="1">
      <c r="B19" s="43"/>
      <c r="C19" s="788"/>
      <c r="D19" s="788"/>
      <c r="E19" s="788"/>
      <c r="F19" s="788"/>
      <c r="G19" s="788"/>
      <c r="H19" s="788"/>
      <c r="I19" s="788"/>
      <c r="J19" s="788"/>
      <c r="K19" s="41"/>
    </row>
    <row r="20" spans="2:28" ht="14.45" customHeight="1">
      <c r="B20" s="43"/>
      <c r="C20" s="788"/>
      <c r="D20" s="788"/>
      <c r="E20" s="788"/>
      <c r="F20" s="788"/>
      <c r="G20" s="788"/>
      <c r="H20" s="788"/>
      <c r="I20" s="788"/>
      <c r="J20" s="788"/>
      <c r="K20" s="41"/>
      <c r="L20" s="41"/>
      <c r="M20" s="41"/>
      <c r="N20" s="41"/>
    </row>
    <row r="21" spans="2:28" ht="14.45" customHeight="1">
      <c r="B21" s="43"/>
      <c r="C21" s="788"/>
      <c r="D21" s="788"/>
      <c r="E21" s="788"/>
      <c r="F21" s="788"/>
      <c r="G21" s="788"/>
      <c r="H21" s="788"/>
      <c r="I21" s="788"/>
      <c r="J21" s="788"/>
      <c r="K21" s="41"/>
      <c r="L21" s="41"/>
      <c r="M21" s="41"/>
      <c r="N21" s="41"/>
    </row>
    <row r="22" spans="2:28" ht="14.45" customHeight="1">
      <c r="B22" s="43"/>
      <c r="C22" s="788"/>
      <c r="D22" s="788"/>
      <c r="E22" s="788"/>
      <c r="F22" s="788"/>
      <c r="G22" s="788"/>
      <c r="H22" s="788"/>
      <c r="I22" s="788"/>
      <c r="J22" s="788"/>
      <c r="K22" s="41"/>
      <c r="L22" s="41"/>
      <c r="M22" s="41"/>
      <c r="N22" s="41"/>
      <c r="AB22" s="10"/>
    </row>
    <row r="23" spans="2:28" ht="14.45" customHeight="1">
      <c r="C23" s="788"/>
      <c r="D23" s="788"/>
      <c r="E23" s="788"/>
      <c r="F23" s="788"/>
      <c r="G23" s="788"/>
      <c r="H23" s="788"/>
      <c r="I23" s="788"/>
      <c r="J23" s="788"/>
      <c r="K23" s="41"/>
      <c r="L23" s="41"/>
      <c r="M23" s="41"/>
      <c r="N23" s="41"/>
    </row>
    <row r="24" spans="2:28" ht="14.45" customHeight="1">
      <c r="C24" s="788"/>
      <c r="D24" s="788"/>
      <c r="E24" s="788"/>
      <c r="F24" s="788"/>
      <c r="G24" s="788"/>
      <c r="H24" s="788"/>
      <c r="I24" s="788"/>
      <c r="J24" s="788"/>
      <c r="K24" s="41"/>
      <c r="L24" s="41"/>
      <c r="M24" s="41"/>
      <c r="N24" s="41"/>
      <c r="AB24" s="6"/>
    </row>
    <row r="25" spans="2:28" ht="14.45" customHeight="1">
      <c r="C25" s="788"/>
      <c r="D25" s="788"/>
      <c r="E25" s="788"/>
      <c r="F25" s="788"/>
      <c r="G25" s="788"/>
      <c r="H25" s="788"/>
      <c r="I25" s="788"/>
      <c r="J25" s="788"/>
      <c r="K25" s="41"/>
      <c r="L25" s="41"/>
      <c r="M25" s="41"/>
      <c r="N25" s="41"/>
    </row>
    <row r="26" spans="2:28" ht="14.45" customHeight="1">
      <c r="C26" s="788"/>
      <c r="D26" s="788"/>
      <c r="E26" s="788"/>
      <c r="F26" s="788"/>
      <c r="G26" s="788"/>
      <c r="H26" s="788"/>
      <c r="I26" s="788"/>
      <c r="J26" s="788"/>
      <c r="K26" s="41"/>
      <c r="L26" s="41"/>
      <c r="M26" s="41"/>
      <c r="N26" s="41"/>
    </row>
    <row r="27" spans="2:28" ht="14.45" customHeight="1">
      <c r="C27" s="788"/>
      <c r="D27" s="788"/>
      <c r="E27" s="788"/>
      <c r="F27" s="788"/>
      <c r="G27" s="788"/>
      <c r="H27" s="788"/>
      <c r="I27" s="788"/>
      <c r="J27" s="788"/>
      <c r="K27" s="41"/>
      <c r="L27" s="41"/>
      <c r="M27" s="41"/>
      <c r="N27" s="41"/>
    </row>
    <row r="28" spans="2:28" ht="32.1" customHeight="1">
      <c r="C28" s="788"/>
      <c r="D28" s="788"/>
      <c r="E28" s="788"/>
      <c r="F28" s="788"/>
      <c r="G28" s="788"/>
      <c r="H28" s="788"/>
      <c r="I28" s="788"/>
      <c r="J28" s="788"/>
      <c r="K28" s="41"/>
      <c r="L28" s="41"/>
      <c r="M28" s="41"/>
      <c r="N28" s="41"/>
    </row>
    <row r="29" spans="2:28" ht="14.45" customHeight="1">
      <c r="C29" s="41"/>
      <c r="D29" s="41"/>
      <c r="E29" s="41"/>
      <c r="F29" s="41"/>
      <c r="G29" s="41"/>
      <c r="H29" s="41"/>
      <c r="I29" s="41"/>
      <c r="J29" s="41"/>
      <c r="K29" s="41"/>
      <c r="L29" s="41"/>
      <c r="M29" s="41"/>
      <c r="N29" s="41"/>
    </row>
    <row r="30" spans="2:28" ht="14.45" customHeight="1">
      <c r="C30" s="41"/>
      <c r="D30" s="41"/>
      <c r="E30" s="41"/>
      <c r="F30" s="41"/>
      <c r="G30" s="41"/>
      <c r="H30" s="41"/>
      <c r="I30" s="41"/>
      <c r="J30" s="41"/>
      <c r="K30" s="41"/>
      <c r="L30" s="41"/>
      <c r="M30" s="41"/>
      <c r="N30" s="41"/>
    </row>
    <row r="31" spans="2:28" ht="14.45" customHeight="1">
      <c r="C31" s="41"/>
      <c r="D31" s="41"/>
      <c r="E31" s="41"/>
      <c r="F31" s="41"/>
      <c r="G31" s="41"/>
      <c r="H31" s="41"/>
      <c r="I31" s="41"/>
      <c r="J31" s="41"/>
      <c r="K31" s="41"/>
      <c r="L31" s="41"/>
      <c r="M31" s="41"/>
      <c r="N31" s="41"/>
    </row>
    <row r="32" spans="2:28" ht="14.45" customHeight="1">
      <c r="K32" s="41"/>
      <c r="L32" s="41"/>
      <c r="M32" s="41"/>
      <c r="N32" s="41"/>
    </row>
    <row r="33" spans="3:34" ht="14.45" customHeight="1">
      <c r="C33" s="790" t="str">
        <f>INDEX(PeriodTable[Display text],MATCH($I$3,PeriodTable[Period],0))</f>
        <v>November 2025</v>
      </c>
      <c r="D33" s="790"/>
      <c r="E33" s="790"/>
      <c r="F33" s="790"/>
      <c r="G33" s="790"/>
      <c r="H33" s="790"/>
      <c r="I33" s="790"/>
      <c r="J33" s="790"/>
      <c r="K33" s="790"/>
      <c r="L33" s="41"/>
      <c r="M33" s="41"/>
      <c r="N33" s="41"/>
      <c r="AA33" s="42"/>
      <c r="AB33" s="42"/>
      <c r="AC33" s="42"/>
      <c r="AD33" s="42"/>
      <c r="AE33" s="42"/>
      <c r="AF33" s="42"/>
      <c r="AG33" s="42"/>
      <c r="AH33" s="42"/>
    </row>
    <row r="34" spans="3:34" ht="14.45" customHeight="1">
      <c r="C34" s="790"/>
      <c r="D34" s="790"/>
      <c r="E34" s="790"/>
      <c r="F34" s="790"/>
      <c r="G34" s="790"/>
      <c r="H34" s="790"/>
      <c r="I34" s="790"/>
      <c r="J34" s="790"/>
      <c r="K34" s="790"/>
      <c r="L34" s="41"/>
      <c r="M34" s="41"/>
      <c r="N34" s="41"/>
      <c r="AA34" s="42"/>
      <c r="AB34" s="42"/>
      <c r="AC34" s="42"/>
      <c r="AD34" s="42"/>
      <c r="AE34" s="42"/>
      <c r="AF34" s="42"/>
      <c r="AG34" s="42"/>
      <c r="AH34" s="42"/>
    </row>
    <row r="35" spans="3:34" ht="14.45" customHeight="1">
      <c r="C35" s="790"/>
      <c r="D35" s="790"/>
      <c r="E35" s="790"/>
      <c r="F35" s="790"/>
      <c r="G35" s="790"/>
      <c r="H35" s="790"/>
      <c r="I35" s="790"/>
      <c r="J35" s="790"/>
      <c r="K35" s="790"/>
      <c r="L35" s="41"/>
      <c r="M35" s="41"/>
      <c r="N35" s="41"/>
      <c r="AA35" s="42"/>
      <c r="AB35" s="42"/>
      <c r="AC35" s="42"/>
      <c r="AD35" s="42"/>
      <c r="AE35" s="42"/>
      <c r="AF35" s="42"/>
      <c r="AG35" s="42"/>
      <c r="AH35" s="42"/>
    </row>
    <row r="36" spans="3:34" ht="14.45" customHeight="1">
      <c r="C36" s="40"/>
      <c r="D36" s="40"/>
      <c r="E36" s="40"/>
      <c r="F36" s="40"/>
      <c r="G36" s="40"/>
      <c r="H36" s="40"/>
      <c r="I36" s="40"/>
      <c r="J36" s="40"/>
      <c r="K36" s="41"/>
      <c r="L36" s="41"/>
      <c r="M36" s="41"/>
      <c r="N36" s="41"/>
      <c r="AA36" s="42"/>
      <c r="AB36" s="42"/>
      <c r="AC36" s="42"/>
      <c r="AD36" s="42"/>
      <c r="AE36" s="42"/>
      <c r="AF36" s="42"/>
      <c r="AG36" s="42"/>
      <c r="AH36" s="42"/>
    </row>
    <row r="37" spans="3:34" ht="14.45" customHeight="1">
      <c r="C37" s="40"/>
      <c r="D37" s="40"/>
      <c r="E37" s="40"/>
      <c r="F37" s="40"/>
      <c r="G37" s="40"/>
      <c r="H37" s="40"/>
      <c r="I37" s="40"/>
      <c r="J37" s="40"/>
      <c r="K37" s="41"/>
      <c r="L37" s="41"/>
      <c r="M37" s="41"/>
      <c r="N37" s="41"/>
      <c r="AA37" s="42"/>
      <c r="AB37" s="42"/>
      <c r="AC37" s="42"/>
      <c r="AD37" s="42"/>
      <c r="AE37" s="42"/>
      <c r="AF37" s="42"/>
      <c r="AG37" s="42"/>
      <c r="AH37" s="42"/>
    </row>
    <row r="38" spans="3:34" ht="14.45" customHeight="1">
      <c r="C38" s="40"/>
      <c r="D38" s="40"/>
      <c r="E38" s="40"/>
      <c r="F38" s="40"/>
      <c r="G38" s="40"/>
      <c r="H38" s="40"/>
      <c r="I38" s="40"/>
      <c r="J38" s="40"/>
      <c r="K38" s="41"/>
      <c r="L38" s="41"/>
      <c r="M38" s="41"/>
      <c r="N38" s="41"/>
      <c r="AA38" s="42"/>
      <c r="AB38" s="42"/>
      <c r="AC38" s="42"/>
      <c r="AD38" s="42"/>
      <c r="AE38" s="42"/>
      <c r="AF38" s="42"/>
      <c r="AG38" s="42"/>
      <c r="AH38" s="42"/>
    </row>
    <row r="39" spans="3:34" ht="14.45" customHeight="1">
      <c r="C39" s="40"/>
      <c r="D39" s="40"/>
      <c r="E39" s="40"/>
      <c r="F39" s="40"/>
      <c r="G39" s="40"/>
      <c r="H39" s="40"/>
      <c r="I39" s="40"/>
      <c r="J39" s="40"/>
      <c r="K39" s="41"/>
      <c r="L39" s="41"/>
      <c r="M39" s="41"/>
      <c r="N39" s="41"/>
      <c r="AA39" s="42"/>
      <c r="AB39" s="42"/>
      <c r="AC39" s="42"/>
      <c r="AD39" s="42"/>
      <c r="AE39" s="42"/>
      <c r="AF39" s="42"/>
      <c r="AG39" s="42"/>
      <c r="AH39" s="42"/>
    </row>
    <row r="40" spans="3:34" ht="14.45" customHeight="1">
      <c r="D40" s="791" t="s">
        <v>17</v>
      </c>
      <c r="E40" s="791"/>
      <c r="F40" s="791"/>
      <c r="G40" s="791"/>
      <c r="H40" s="791"/>
      <c r="I40" s="791"/>
      <c r="J40" s="791"/>
      <c r="K40" s="41"/>
      <c r="L40" s="41"/>
      <c r="M40" s="41"/>
      <c r="N40" s="41"/>
      <c r="AA40" s="42"/>
      <c r="AB40" s="42"/>
      <c r="AC40" s="42"/>
      <c r="AD40" s="42"/>
      <c r="AE40" s="42"/>
      <c r="AF40" s="42"/>
      <c r="AG40" s="42"/>
      <c r="AH40" s="42"/>
    </row>
    <row r="41" spans="3:34" ht="14.45" customHeight="1">
      <c r="D41" s="791"/>
      <c r="E41" s="791"/>
      <c r="F41" s="791"/>
      <c r="G41" s="791"/>
      <c r="H41" s="791"/>
      <c r="I41" s="791"/>
      <c r="J41" s="791"/>
      <c r="K41" s="41"/>
      <c r="L41" s="41"/>
      <c r="M41" s="41"/>
      <c r="N41" s="41"/>
      <c r="AA41" s="42"/>
      <c r="AB41" s="42"/>
      <c r="AC41" s="42"/>
      <c r="AD41" s="42"/>
      <c r="AE41" s="42"/>
      <c r="AF41" s="42"/>
      <c r="AG41" s="42"/>
      <c r="AH41" s="42"/>
    </row>
    <row r="42" spans="3:34" ht="14.45" customHeight="1">
      <c r="D42" s="791"/>
      <c r="E42" s="791"/>
      <c r="F42" s="791"/>
      <c r="G42" s="791"/>
      <c r="H42" s="791"/>
      <c r="I42" s="791"/>
      <c r="J42" s="791"/>
      <c r="K42" s="41"/>
      <c r="L42" s="41"/>
      <c r="M42" s="41"/>
      <c r="N42" s="41"/>
      <c r="AA42" s="42"/>
      <c r="AB42" s="42"/>
      <c r="AC42" s="42"/>
      <c r="AD42" s="42"/>
      <c r="AE42" s="42"/>
      <c r="AF42" s="42"/>
      <c r="AG42" s="42"/>
      <c r="AH42" s="42"/>
    </row>
    <row r="43" spans="3:34" ht="14.45" customHeight="1">
      <c r="D43" s="791"/>
      <c r="E43" s="791"/>
      <c r="F43" s="791"/>
      <c r="G43" s="791"/>
      <c r="H43" s="791"/>
      <c r="I43" s="791"/>
      <c r="J43" s="791"/>
      <c r="K43" s="41"/>
      <c r="L43" s="41"/>
      <c r="M43" s="41"/>
      <c r="N43" s="41"/>
      <c r="AA43" s="42"/>
      <c r="AB43" s="42"/>
      <c r="AC43" s="42"/>
      <c r="AD43" s="42"/>
      <c r="AE43" s="42"/>
      <c r="AF43" s="42"/>
      <c r="AG43" s="42"/>
      <c r="AH43" s="42"/>
    </row>
    <row r="44" spans="3:34" ht="14.45" customHeight="1">
      <c r="K44" s="41"/>
      <c r="L44" s="41"/>
      <c r="M44" s="41"/>
      <c r="N44" s="41"/>
      <c r="AA44" s="42"/>
      <c r="AB44" s="42"/>
      <c r="AC44" s="42"/>
      <c r="AD44" s="42"/>
      <c r="AE44" s="42"/>
      <c r="AF44" s="42"/>
      <c r="AG44" s="42"/>
      <c r="AH44" s="42"/>
    </row>
    <row r="45" spans="3:34" ht="14.45" customHeight="1">
      <c r="K45" s="41"/>
      <c r="L45" s="41"/>
      <c r="M45" s="41"/>
      <c r="N45" s="41"/>
    </row>
    <row r="46" spans="3:34" ht="14.45" customHeight="1">
      <c r="K46" s="41"/>
      <c r="L46" s="41"/>
      <c r="M46" s="41"/>
      <c r="N46" s="41"/>
    </row>
    <row r="47" spans="3:34" ht="14.45" customHeight="1">
      <c r="K47" s="41"/>
      <c r="L47" s="41"/>
      <c r="M47" s="41"/>
      <c r="N47" s="41"/>
    </row>
    <row r="48" spans="3:34" ht="14.45" customHeight="1">
      <c r="C48" s="40"/>
      <c r="D48" s="40"/>
      <c r="E48" s="40"/>
      <c r="F48" s="40"/>
      <c r="G48" s="40"/>
      <c r="H48" s="40"/>
      <c r="I48" s="40"/>
      <c r="J48" s="40"/>
      <c r="K48" s="41"/>
      <c r="L48" s="41"/>
      <c r="M48" s="41"/>
      <c r="N48" s="41"/>
    </row>
    <row r="49" spans="3:14" ht="14.45" customHeight="1">
      <c r="C49" s="40"/>
      <c r="D49" s="40"/>
      <c r="E49" s="40"/>
      <c r="F49" s="40"/>
      <c r="G49" s="40"/>
      <c r="H49" s="40"/>
      <c r="I49" s="40"/>
      <c r="J49" s="40"/>
      <c r="K49" s="41"/>
      <c r="L49" s="41"/>
      <c r="M49" s="41"/>
      <c r="N49" s="41"/>
    </row>
    <row r="50" spans="3:14" ht="14.45" customHeight="1">
      <c r="C50" s="40"/>
      <c r="D50" s="40"/>
      <c r="E50" s="40"/>
      <c r="F50" s="40"/>
      <c r="G50" s="40"/>
      <c r="H50" s="40"/>
      <c r="I50" s="40"/>
      <c r="J50" s="40"/>
      <c r="K50" s="41"/>
      <c r="L50" s="41"/>
      <c r="M50" s="41"/>
      <c r="N50" s="41"/>
    </row>
    <row r="51" spans="3:14" ht="14.45" customHeight="1">
      <c r="C51" s="40"/>
      <c r="D51" s="40"/>
      <c r="E51" s="40"/>
      <c r="F51" s="40"/>
      <c r="G51" s="40"/>
      <c r="H51" s="40"/>
      <c r="I51" s="40"/>
      <c r="J51" s="40"/>
      <c r="K51" s="41"/>
      <c r="L51" s="41"/>
      <c r="M51" s="41"/>
      <c r="N51" s="41"/>
    </row>
    <row r="52" spans="3:14" ht="14.45" customHeight="1">
      <c r="C52" s="40"/>
      <c r="D52" s="40"/>
      <c r="E52" s="40"/>
      <c r="F52" s="40"/>
      <c r="G52" s="40"/>
      <c r="H52" s="40"/>
      <c r="I52" s="40"/>
      <c r="J52" s="40"/>
      <c r="K52" s="41"/>
      <c r="L52" s="41"/>
      <c r="M52" s="41"/>
      <c r="N52" s="41"/>
    </row>
    <row r="53" spans="3:14" ht="14.45" customHeight="1">
      <c r="C53" s="40"/>
      <c r="D53" s="40"/>
      <c r="E53" s="40"/>
      <c r="F53" s="40"/>
      <c r="G53" s="40"/>
      <c r="H53" s="40"/>
      <c r="I53" s="40"/>
      <c r="J53" s="40"/>
      <c r="K53" s="41"/>
      <c r="L53" s="41"/>
      <c r="M53" s="41"/>
      <c r="N53" s="41"/>
    </row>
    <row r="54" spans="3:14" ht="14.45" customHeight="1">
      <c r="C54" s="40"/>
      <c r="D54" s="40"/>
      <c r="E54" s="40"/>
      <c r="F54" s="40"/>
      <c r="G54" s="40"/>
      <c r="H54" s="40"/>
      <c r="I54" s="40"/>
      <c r="J54" s="40"/>
      <c r="K54" s="41"/>
      <c r="L54" s="41"/>
      <c r="M54" s="41"/>
      <c r="N54" s="41"/>
    </row>
    <row r="55" spans="3:14" ht="14.45" customHeight="1">
      <c r="C55" s="40"/>
      <c r="D55" s="40"/>
      <c r="E55" s="40"/>
      <c r="F55" s="40"/>
      <c r="G55" s="40"/>
      <c r="H55" s="40"/>
      <c r="I55" s="40"/>
      <c r="J55" s="40"/>
      <c r="K55" s="41"/>
      <c r="L55" s="41"/>
      <c r="M55" s="41"/>
      <c r="N55" s="41"/>
    </row>
    <row r="56" spans="3:14" ht="14.45" customHeight="1">
      <c r="C56" s="40"/>
      <c r="D56" s="40"/>
      <c r="E56" s="40"/>
      <c r="F56" s="40"/>
      <c r="G56" s="40"/>
      <c r="H56" s="40"/>
      <c r="I56" s="40"/>
      <c r="J56" s="40"/>
      <c r="K56" s="41"/>
      <c r="L56" s="41"/>
      <c r="M56" s="41"/>
      <c r="N56" s="41"/>
    </row>
    <row r="57" spans="3:14" ht="14.45" customHeight="1">
      <c r="C57" s="40"/>
      <c r="D57" s="40"/>
      <c r="E57" s="40"/>
      <c r="F57" s="40"/>
      <c r="G57" s="40"/>
      <c r="H57" s="40"/>
      <c r="I57" s="40"/>
      <c r="J57" s="40"/>
      <c r="K57" s="41"/>
      <c r="L57" s="41"/>
      <c r="M57" s="41"/>
      <c r="N57" s="41"/>
    </row>
    <row r="58" spans="3:14" ht="14.45" customHeight="1">
      <c r="C58" s="40"/>
      <c r="D58" s="40"/>
      <c r="E58" s="40"/>
      <c r="F58" s="40"/>
      <c r="G58" s="40"/>
      <c r="H58" s="40"/>
      <c r="I58" s="40"/>
      <c r="J58" s="40"/>
      <c r="K58" s="41"/>
      <c r="L58" s="41"/>
      <c r="M58" s="41"/>
      <c r="N58" s="41"/>
    </row>
    <row r="59" spans="3:14" ht="14.45" customHeight="1">
      <c r="C59" s="40"/>
      <c r="D59" s="40"/>
      <c r="E59" s="40"/>
      <c r="F59" s="40"/>
      <c r="G59" s="40"/>
      <c r="H59" s="40"/>
      <c r="I59" s="40"/>
      <c r="J59" s="40"/>
      <c r="K59" s="41"/>
      <c r="L59" s="41"/>
      <c r="M59" s="41"/>
      <c r="N59" s="41"/>
    </row>
    <row r="60" spans="3:14" ht="14.45" customHeight="1">
      <c r="C60" s="40"/>
      <c r="D60" s="40"/>
      <c r="E60" s="40"/>
      <c r="F60" s="40"/>
      <c r="G60" s="40"/>
      <c r="H60" s="40"/>
      <c r="I60" s="40"/>
      <c r="J60" s="40"/>
      <c r="K60" s="41"/>
      <c r="L60" s="41"/>
      <c r="M60" s="41"/>
      <c r="N60" s="41"/>
    </row>
    <row r="61" spans="3:14" ht="14.45" customHeight="1">
      <c r="C61" s="40"/>
      <c r="D61" s="40"/>
      <c r="E61" s="40"/>
      <c r="F61" s="40"/>
      <c r="G61" s="40"/>
      <c r="H61" s="40"/>
      <c r="I61" s="40"/>
      <c r="J61" s="40"/>
      <c r="K61" s="41"/>
      <c r="L61" s="41"/>
      <c r="M61" s="41"/>
      <c r="N61" s="41"/>
    </row>
    <row r="62" spans="3:14" ht="14.45" customHeight="1">
      <c r="C62" s="40"/>
      <c r="D62" s="40"/>
      <c r="E62" s="40"/>
      <c r="F62" s="40"/>
      <c r="G62" s="40"/>
      <c r="H62" s="40"/>
      <c r="I62" s="40"/>
      <c r="J62" s="40"/>
      <c r="K62" s="41"/>
      <c r="L62" s="41"/>
      <c r="M62" s="41"/>
      <c r="N62" s="41"/>
    </row>
    <row r="63" spans="3:14" ht="14.45" customHeight="1">
      <c r="C63" s="40"/>
      <c r="D63" s="40"/>
      <c r="E63" s="40"/>
      <c r="F63" s="40"/>
      <c r="G63" s="40"/>
      <c r="H63" s="40"/>
      <c r="I63" s="40"/>
      <c r="J63" s="40"/>
      <c r="K63" s="41"/>
      <c r="L63" s="41"/>
      <c r="M63" s="41"/>
      <c r="N63" s="41"/>
    </row>
    <row r="64" spans="3:14" ht="14.45" customHeight="1">
      <c r="C64" s="40"/>
      <c r="D64" s="40"/>
      <c r="E64" s="40"/>
      <c r="F64" s="40"/>
      <c r="G64" s="40"/>
      <c r="H64" s="40"/>
      <c r="I64" s="40"/>
      <c r="J64" s="40"/>
      <c r="K64" s="41"/>
      <c r="L64" s="41"/>
      <c r="M64" s="41"/>
      <c r="N64" s="41"/>
    </row>
    <row r="65" spans="3:14" ht="14.45" customHeight="1">
      <c r="C65" s="40"/>
      <c r="D65" s="40"/>
      <c r="E65" s="40"/>
      <c r="F65" s="40"/>
      <c r="G65" s="40"/>
      <c r="H65" s="40"/>
      <c r="I65" s="40"/>
      <c r="J65" s="40"/>
      <c r="K65" s="41"/>
      <c r="L65" s="41"/>
      <c r="M65" s="41"/>
      <c r="N65" s="41"/>
    </row>
    <row r="66" spans="3:14" ht="14.45" customHeight="1">
      <c r="C66" s="40"/>
      <c r="D66" s="40"/>
      <c r="E66" s="40"/>
      <c r="F66" s="40"/>
      <c r="G66" s="40"/>
      <c r="H66" s="40"/>
      <c r="I66" s="40"/>
      <c r="J66" s="40"/>
      <c r="K66" s="41"/>
      <c r="L66" s="41"/>
      <c r="M66" s="41"/>
      <c r="N66" s="41"/>
    </row>
    <row r="67" spans="3:14" ht="14.45" customHeight="1">
      <c r="C67" s="40"/>
      <c r="D67" s="40"/>
      <c r="E67" s="40"/>
      <c r="F67" s="40"/>
      <c r="G67" s="40"/>
      <c r="H67" s="40"/>
      <c r="I67" s="40"/>
      <c r="J67" s="40"/>
      <c r="K67" s="41"/>
      <c r="L67" s="41"/>
      <c r="M67" s="41"/>
      <c r="N67" s="41"/>
    </row>
    <row r="68" spans="3:14" ht="14.45" customHeight="1">
      <c r="C68" s="40"/>
      <c r="D68" s="40"/>
      <c r="E68" s="40"/>
      <c r="F68" s="40"/>
      <c r="G68" s="40"/>
      <c r="H68" s="40"/>
      <c r="I68" s="40"/>
      <c r="J68" s="40"/>
      <c r="K68" s="41"/>
      <c r="L68" s="41"/>
      <c r="M68" s="41"/>
      <c r="N68" s="41"/>
    </row>
    <row r="69" spans="3:14" ht="14.45" customHeight="1">
      <c r="C69" s="40"/>
      <c r="D69" s="40"/>
      <c r="E69" s="40"/>
      <c r="F69" s="40"/>
      <c r="G69" s="40"/>
      <c r="H69" s="40"/>
      <c r="I69" s="40"/>
      <c r="J69" s="40"/>
      <c r="K69" s="41"/>
      <c r="L69" s="41"/>
      <c r="M69" s="41"/>
      <c r="N69" s="41"/>
    </row>
    <row r="70" spans="3:14" ht="14.45" customHeight="1">
      <c r="C70" s="40"/>
      <c r="D70" s="40"/>
      <c r="E70" s="40"/>
      <c r="F70" s="40"/>
      <c r="G70" s="40"/>
      <c r="H70" s="40"/>
      <c r="I70" s="40"/>
      <c r="J70" s="40"/>
    </row>
    <row r="71" spans="3:14" ht="14.45" customHeight="1">
      <c r="C71" s="40"/>
      <c r="D71" s="40"/>
      <c r="E71" s="40"/>
      <c r="F71" s="40"/>
      <c r="G71" s="40"/>
      <c r="H71" s="40"/>
      <c r="I71" s="40"/>
      <c r="J71" s="40"/>
    </row>
    <row r="72" spans="3:14" ht="14.45" customHeight="1">
      <c r="C72" s="40"/>
      <c r="D72" s="40"/>
      <c r="E72" s="40"/>
      <c r="F72" s="40"/>
      <c r="G72" s="40"/>
      <c r="H72" s="40"/>
      <c r="I72" s="40"/>
      <c r="J72" s="40"/>
    </row>
    <row r="73" spans="3:14" ht="14.45" customHeight="1">
      <c r="C73" s="40"/>
      <c r="D73" s="40"/>
      <c r="E73" s="40"/>
      <c r="F73" s="40"/>
      <c r="G73" s="40"/>
      <c r="H73" s="40"/>
      <c r="I73" s="40"/>
      <c r="J73" s="40"/>
    </row>
    <row r="74" spans="3:14" ht="14.45" customHeight="1">
      <c r="C74" s="40"/>
      <c r="D74" s="40"/>
      <c r="E74" s="40"/>
      <c r="F74" s="40"/>
      <c r="G74" s="40"/>
      <c r="H74" s="40"/>
      <c r="I74" s="40"/>
      <c r="J74" s="40"/>
    </row>
    <row r="75" spans="3:14" ht="14.45" customHeight="1"/>
    <row r="76" spans="3:14" ht="14.45" customHeight="1"/>
    <row r="77" spans="3:14" ht="14.45" customHeight="1"/>
    <row r="78" spans="3:14" ht="14.45" customHeight="1"/>
    <row r="79" spans="3:14" ht="14.45" customHeight="1"/>
    <row r="80" spans="3:14" ht="14.45" customHeight="1"/>
    <row r="85" ht="14.45" customHeight="1"/>
    <row r="86" ht="14.45" customHeight="1"/>
    <row r="87" ht="14.45" customHeight="1"/>
    <row r="88" ht="14.45" customHeight="1"/>
  </sheetData>
  <mergeCells count="6">
    <mergeCell ref="C18:J28"/>
    <mergeCell ref="I3:L3"/>
    <mergeCell ref="C33:K35"/>
    <mergeCell ref="D40:J43"/>
    <mergeCell ref="B3:C4"/>
    <mergeCell ref="D12:H13"/>
  </mergeCells>
  <dataValidations count="1">
    <dataValidation type="list" allowBlank="1" showInputMessage="1" showErrorMessage="1" sqref="I3" xr:uid="{C41D7E90-2602-4BD1-B085-6633A7890664}">
      <formula1>Periods</formula1>
    </dataValidation>
  </dataValidations>
  <pageMargins left="0" right="0" top="0" bottom="0.25" header="0" footer="0"/>
  <pageSetup paperSize="9" scale="65" fitToHeight="0" orientation="landscape" r:id="rId1"/>
  <customProperties>
    <customPr name="sourceTemplate"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343E6-D4EF-7947-B1A6-6237B960BEB3}">
  <sheetPr>
    <tabColor theme="5" tint="0.59999389629810485"/>
    <outlinePr summaryBelow="0" summaryRight="0"/>
  </sheetPr>
  <dimension ref="A1:CA110"/>
  <sheetViews>
    <sheetView showGridLines="0" zoomScale="90" zoomScaleNormal="90" workbookViewId="0">
      <pane xSplit="6" ySplit="8" topLeftCell="G9" activePane="bottomRight" state="frozen"/>
      <selection pane="topRight" activeCell="D54" sqref="D54"/>
      <selection pane="bottomLeft" activeCell="D54" sqref="D54"/>
      <selection pane="bottomRight" activeCell="AH28" sqref="AH28"/>
    </sheetView>
  </sheetViews>
  <sheetFormatPr defaultColWidth="9.140625" defaultRowHeight="18.75" outlineLevelRow="2" outlineLevelCol="2"/>
  <cols>
    <col min="1" max="1" width="2.42578125" style="50" customWidth="1"/>
    <col min="2" max="2" width="2.42578125" style="356" customWidth="1"/>
    <col min="3" max="3" width="2.42578125" style="355" customWidth="1"/>
    <col min="4" max="4" width="35.28515625" style="50" bestFit="1" customWidth="1" collapsed="1"/>
    <col min="5" max="5" width="16.28515625" style="50" hidden="1" customWidth="1" outlineLevel="1"/>
    <col min="6" max="6" width="2.7109375" style="50" customWidth="1"/>
    <col min="7" max="7" width="2.7109375" style="55" customWidth="1"/>
    <col min="8" max="9" width="11.140625" style="50" customWidth="1" outlineLevel="2"/>
    <col min="10" max="11" width="12.140625" style="50" customWidth="1" outlineLevel="2"/>
    <col min="12" max="12" width="2.7109375" style="50" customWidth="1"/>
    <col min="13" max="13" width="2.7109375" style="55" customWidth="1" collapsed="1"/>
    <col min="14" max="15" width="9.7109375" style="50" hidden="1" customWidth="1" outlineLevel="2"/>
    <col min="16" max="22" width="11.140625" style="50" hidden="1" customWidth="1" outlineLevel="2"/>
    <col min="23" max="29" width="12.140625" style="50" hidden="1" customWidth="1" outlineLevel="2"/>
    <col min="30" max="30" width="2.7109375" style="50" customWidth="1"/>
    <col min="31" max="31" width="2.7109375" style="55" customWidth="1"/>
    <col min="32" max="32" width="9" style="50" bestFit="1" customWidth="1" outlineLevel="1"/>
    <col min="33" max="38" width="9.7109375" style="50" bestFit="1" customWidth="1" outlineLevel="1"/>
    <col min="39" max="58" width="11.140625" style="50" bestFit="1" customWidth="1" outlineLevel="1"/>
    <col min="59" max="79" width="12.140625" style="50" bestFit="1" customWidth="1" outlineLevel="1"/>
    <col min="80" max="16384" width="9.140625" style="50"/>
  </cols>
  <sheetData>
    <row r="1" spans="1:79" ht="21" customHeight="1">
      <c r="A1" s="193" t="str">
        <f>Company_Name</f>
        <v>Model Wiz Demo *</v>
      </c>
      <c r="E1" s="357"/>
    </row>
    <row r="2" spans="1:79" ht="21" customHeight="1">
      <c r="A2" s="148" t="str" cm="1">
        <f t="array" aca="1" ref="A2" ca="1">IFERROR(MID(CELL("filename",A1),FIND("]",CELL("filename",A1))+1,LEN(CELL("filename",A1))),"")</f>
        <v>Revenue - Summary</v>
      </c>
      <c r="G2" s="853" t="s">
        <v>159</v>
      </c>
      <c r="H2" s="148"/>
      <c r="I2" s="148"/>
      <c r="J2" s="148"/>
      <c r="K2" s="148"/>
      <c r="L2" s="148"/>
      <c r="M2" s="853" t="s">
        <v>160</v>
      </c>
      <c r="N2" s="403"/>
      <c r="O2" s="148"/>
      <c r="P2" s="148"/>
      <c r="Q2" s="148"/>
      <c r="R2" s="148"/>
      <c r="S2" s="148"/>
      <c r="T2" s="148"/>
      <c r="U2" s="148"/>
      <c r="V2" s="148"/>
      <c r="W2" s="148"/>
      <c r="X2" s="148"/>
      <c r="Y2" s="148"/>
      <c r="Z2" s="148"/>
      <c r="AA2" s="148"/>
      <c r="AB2" s="148"/>
      <c r="AC2" s="148"/>
      <c r="AD2" s="407"/>
      <c r="AE2" s="853" t="s">
        <v>161</v>
      </c>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row>
    <row r="3" spans="1:79" ht="21" customHeight="1" collapsed="1">
      <c r="A3" s="192" t="str">
        <f>Error_Check</f>
        <v>Model Functioning Properly</v>
      </c>
      <c r="G3" s="853"/>
      <c r="H3" s="405" t="str">
        <f>IF(H$5&lt;=_xlfn.SINGLE(LatestMonthOfActuals),"Actual","Projected")</f>
        <v>Actual</v>
      </c>
      <c r="I3" s="405" t="str">
        <f>IF(I$5&lt;=_xlfn.SINGLE(LatestMonthOfActuals),"Actual","Projected")</f>
        <v>Actual</v>
      </c>
      <c r="J3" s="405" t="str">
        <f>IF(J$5&lt;=_xlfn.SINGLE(LatestMonthOfActuals),"Actual","Projected")</f>
        <v>Projected</v>
      </c>
      <c r="K3" s="405" t="str">
        <f>IF(K$5&lt;=_xlfn.SINGLE(LatestMonthOfActuals),"Actual","Projected")</f>
        <v>Projected</v>
      </c>
      <c r="L3" s="148"/>
      <c r="M3" s="853"/>
      <c r="N3" s="405" t="str">
        <f t="shared" ref="N3:AC3" si="0">IF(N$5&lt;=_xlfn.SINGLE(LatestMonthOfActuals),"Actual","Projected")</f>
        <v>Actual</v>
      </c>
      <c r="O3" s="405" t="str">
        <f t="shared" si="0"/>
        <v>Actual</v>
      </c>
      <c r="P3" s="405" t="str">
        <f t="shared" si="0"/>
        <v>Actual</v>
      </c>
      <c r="Q3" s="405" t="str">
        <f t="shared" si="0"/>
        <v>Actual</v>
      </c>
      <c r="R3" s="405" t="str">
        <f t="shared" si="0"/>
        <v>Actual</v>
      </c>
      <c r="S3" s="405" t="str">
        <f t="shared" si="0"/>
        <v>Actual</v>
      </c>
      <c r="T3" s="405" t="str">
        <f t="shared" si="0"/>
        <v>Actual</v>
      </c>
      <c r="U3" s="405" t="str">
        <f t="shared" si="0"/>
        <v>Actual</v>
      </c>
      <c r="V3" s="405" t="str">
        <f t="shared" si="0"/>
        <v>Actual</v>
      </c>
      <c r="W3" s="405" t="str">
        <f t="shared" si="0"/>
        <v>Actual</v>
      </c>
      <c r="X3" s="405" t="str">
        <f t="shared" si="0"/>
        <v>Actual</v>
      </c>
      <c r="Y3" s="405" t="str">
        <f t="shared" si="0"/>
        <v>Projected</v>
      </c>
      <c r="Z3" s="405" t="str">
        <f t="shared" si="0"/>
        <v>Projected</v>
      </c>
      <c r="AA3" s="405" t="str">
        <f t="shared" si="0"/>
        <v>Projected</v>
      </c>
      <c r="AB3" s="405" t="str">
        <f t="shared" si="0"/>
        <v>Projected</v>
      </c>
      <c r="AC3" s="405" t="str">
        <f t="shared" si="0"/>
        <v>Projected</v>
      </c>
      <c r="AD3" s="406"/>
      <c r="AE3" s="853"/>
      <c r="AF3" s="405" t="str">
        <f t="shared" ref="AF3:CA3" si="1">IF(AF$5&lt;=_xlfn.SINGLE(LatestMonthOfActuals),"Actual","Projected")</f>
        <v>Actual</v>
      </c>
      <c r="AG3" s="405" t="str">
        <f t="shared" si="1"/>
        <v>Actual</v>
      </c>
      <c r="AH3" s="405" t="str">
        <f t="shared" si="1"/>
        <v>Actual</v>
      </c>
      <c r="AI3" s="405" t="str">
        <f t="shared" si="1"/>
        <v>Actual</v>
      </c>
      <c r="AJ3" s="405" t="str">
        <f t="shared" si="1"/>
        <v>Actual</v>
      </c>
      <c r="AK3" s="405" t="str">
        <f t="shared" si="1"/>
        <v>Actual</v>
      </c>
      <c r="AL3" s="405" t="str">
        <f t="shared" si="1"/>
        <v>Actual</v>
      </c>
      <c r="AM3" s="405" t="str">
        <f t="shared" si="1"/>
        <v>Actual</v>
      </c>
      <c r="AN3" s="405" t="str">
        <f t="shared" si="1"/>
        <v>Actual</v>
      </c>
      <c r="AO3" s="405" t="str">
        <f t="shared" si="1"/>
        <v>Actual</v>
      </c>
      <c r="AP3" s="405" t="str">
        <f t="shared" si="1"/>
        <v>Actual</v>
      </c>
      <c r="AQ3" s="405" t="str">
        <f t="shared" si="1"/>
        <v>Actual</v>
      </c>
      <c r="AR3" s="405" t="str">
        <f t="shared" si="1"/>
        <v>Actual</v>
      </c>
      <c r="AS3" s="405" t="str">
        <f t="shared" si="1"/>
        <v>Actual</v>
      </c>
      <c r="AT3" s="405" t="str">
        <f t="shared" si="1"/>
        <v>Actual</v>
      </c>
      <c r="AU3" s="405" t="str">
        <f t="shared" si="1"/>
        <v>Actual</v>
      </c>
      <c r="AV3" s="405" t="str">
        <f t="shared" si="1"/>
        <v>Actual</v>
      </c>
      <c r="AW3" s="405" t="str">
        <f t="shared" si="1"/>
        <v>Actual</v>
      </c>
      <c r="AX3" s="405" t="str">
        <f t="shared" si="1"/>
        <v>Actual</v>
      </c>
      <c r="AY3" s="405" t="str">
        <f t="shared" si="1"/>
        <v>Actual</v>
      </c>
      <c r="AZ3" s="405" t="str">
        <f t="shared" si="1"/>
        <v>Actual</v>
      </c>
      <c r="BA3" s="405" t="str">
        <f t="shared" si="1"/>
        <v>Actual</v>
      </c>
      <c r="BB3" s="405" t="str">
        <f t="shared" si="1"/>
        <v>Actual</v>
      </c>
      <c r="BC3" s="405" t="str">
        <f t="shared" si="1"/>
        <v>Actual</v>
      </c>
      <c r="BD3" s="405" t="str">
        <f t="shared" si="1"/>
        <v>Actual</v>
      </c>
      <c r="BE3" s="405" t="str">
        <f t="shared" si="1"/>
        <v>Actual</v>
      </c>
      <c r="BF3" s="405" t="str">
        <f t="shared" si="1"/>
        <v>Actual</v>
      </c>
      <c r="BG3" s="405" t="str">
        <f t="shared" si="1"/>
        <v>Actual</v>
      </c>
      <c r="BH3" s="405" t="str">
        <f t="shared" si="1"/>
        <v>Actual</v>
      </c>
      <c r="BI3" s="405" t="str">
        <f t="shared" si="1"/>
        <v>Actual</v>
      </c>
      <c r="BJ3" s="405" t="str">
        <f t="shared" si="1"/>
        <v>Actual</v>
      </c>
      <c r="BK3" s="405" t="str">
        <f t="shared" si="1"/>
        <v>Actual</v>
      </c>
      <c r="BL3" s="405" t="str">
        <f t="shared" si="1"/>
        <v>Actual</v>
      </c>
      <c r="BM3" s="405" t="str">
        <f t="shared" si="1"/>
        <v>Actual</v>
      </c>
      <c r="BN3" s="405" t="str">
        <f t="shared" si="1"/>
        <v>Actual</v>
      </c>
      <c r="BO3" s="405" t="str">
        <f t="shared" si="1"/>
        <v>Projected</v>
      </c>
      <c r="BP3" s="405" t="str">
        <f t="shared" si="1"/>
        <v>Projected</v>
      </c>
      <c r="BQ3" s="405" t="str">
        <f t="shared" si="1"/>
        <v>Projected</v>
      </c>
      <c r="BR3" s="405" t="str">
        <f t="shared" si="1"/>
        <v>Projected</v>
      </c>
      <c r="BS3" s="405" t="str">
        <f t="shared" si="1"/>
        <v>Projected</v>
      </c>
      <c r="BT3" s="405" t="str">
        <f t="shared" si="1"/>
        <v>Projected</v>
      </c>
      <c r="BU3" s="405" t="str">
        <f t="shared" si="1"/>
        <v>Projected</v>
      </c>
      <c r="BV3" s="405" t="str">
        <f t="shared" si="1"/>
        <v>Projected</v>
      </c>
      <c r="BW3" s="405" t="str">
        <f t="shared" si="1"/>
        <v>Projected</v>
      </c>
      <c r="BX3" s="405" t="str">
        <f t="shared" si="1"/>
        <v>Projected</v>
      </c>
      <c r="BY3" s="405" t="str">
        <f t="shared" si="1"/>
        <v>Projected</v>
      </c>
      <c r="BZ3" s="405" t="str">
        <f t="shared" si="1"/>
        <v>Projected</v>
      </c>
      <c r="CA3" s="405" t="str">
        <f t="shared" si="1"/>
        <v>Projected</v>
      </c>
    </row>
    <row r="4" spans="1:79" s="55" customFormat="1" ht="18" hidden="1" customHeight="1" outlineLevel="2">
      <c r="B4" s="401"/>
      <c r="C4" s="400"/>
      <c r="G4" s="853"/>
      <c r="H4" s="403">
        <f>Start_Date</f>
        <v>44927</v>
      </c>
      <c r="I4" s="403">
        <f>H5+1</f>
        <v>45292</v>
      </c>
      <c r="J4" s="403">
        <f>I5+1</f>
        <v>45658</v>
      </c>
      <c r="K4" s="403">
        <f>J5+1</f>
        <v>46023</v>
      </c>
      <c r="L4" s="148"/>
      <c r="M4" s="853"/>
      <c r="N4" s="403">
        <f>Start_Date</f>
        <v>44927</v>
      </c>
      <c r="O4" s="402">
        <f t="shared" ref="O4:AC4" si="2">N5+1</f>
        <v>45017</v>
      </c>
      <c r="P4" s="402">
        <f t="shared" si="2"/>
        <v>45108</v>
      </c>
      <c r="Q4" s="402">
        <f t="shared" si="2"/>
        <v>45200</v>
      </c>
      <c r="R4" s="402">
        <f t="shared" si="2"/>
        <v>45292</v>
      </c>
      <c r="S4" s="402">
        <f t="shared" si="2"/>
        <v>45383</v>
      </c>
      <c r="T4" s="402">
        <f t="shared" si="2"/>
        <v>45474</v>
      </c>
      <c r="U4" s="402">
        <f t="shared" si="2"/>
        <v>45566</v>
      </c>
      <c r="V4" s="402">
        <f t="shared" si="2"/>
        <v>45658</v>
      </c>
      <c r="W4" s="402">
        <f t="shared" si="2"/>
        <v>45748</v>
      </c>
      <c r="X4" s="402">
        <f t="shared" si="2"/>
        <v>45839</v>
      </c>
      <c r="Y4" s="402">
        <f t="shared" si="2"/>
        <v>45931</v>
      </c>
      <c r="Z4" s="402">
        <f t="shared" si="2"/>
        <v>46023</v>
      </c>
      <c r="AA4" s="402">
        <f t="shared" si="2"/>
        <v>46113</v>
      </c>
      <c r="AB4" s="402">
        <f t="shared" si="2"/>
        <v>46204</v>
      </c>
      <c r="AC4" s="402">
        <f t="shared" si="2"/>
        <v>46296</v>
      </c>
      <c r="AD4" s="404"/>
      <c r="AE4" s="853"/>
      <c r="AF4" s="403">
        <f>Start_Date</f>
        <v>44927</v>
      </c>
      <c r="AG4" s="403">
        <f t="shared" ref="AG4:CA4" si="3">EOMONTH(AG5,-1)+1</f>
        <v>44958</v>
      </c>
      <c r="AH4" s="403">
        <f t="shared" si="3"/>
        <v>44986</v>
      </c>
      <c r="AI4" s="403">
        <f t="shared" si="3"/>
        <v>45017</v>
      </c>
      <c r="AJ4" s="403">
        <f t="shared" si="3"/>
        <v>45047</v>
      </c>
      <c r="AK4" s="403">
        <f t="shared" si="3"/>
        <v>45078</v>
      </c>
      <c r="AL4" s="403">
        <f t="shared" si="3"/>
        <v>45108</v>
      </c>
      <c r="AM4" s="403">
        <f t="shared" si="3"/>
        <v>45139</v>
      </c>
      <c r="AN4" s="403">
        <f t="shared" si="3"/>
        <v>45170</v>
      </c>
      <c r="AO4" s="403">
        <f t="shared" si="3"/>
        <v>45200</v>
      </c>
      <c r="AP4" s="403">
        <f t="shared" si="3"/>
        <v>45231</v>
      </c>
      <c r="AQ4" s="403">
        <f t="shared" si="3"/>
        <v>45261</v>
      </c>
      <c r="AR4" s="403">
        <f t="shared" si="3"/>
        <v>45292</v>
      </c>
      <c r="AS4" s="403">
        <f t="shared" si="3"/>
        <v>45323</v>
      </c>
      <c r="AT4" s="403">
        <f t="shared" si="3"/>
        <v>45352</v>
      </c>
      <c r="AU4" s="403">
        <f t="shared" si="3"/>
        <v>45383</v>
      </c>
      <c r="AV4" s="403">
        <f t="shared" si="3"/>
        <v>45413</v>
      </c>
      <c r="AW4" s="403">
        <f t="shared" si="3"/>
        <v>45444</v>
      </c>
      <c r="AX4" s="403">
        <f t="shared" si="3"/>
        <v>45474</v>
      </c>
      <c r="AY4" s="403">
        <f t="shared" si="3"/>
        <v>45505</v>
      </c>
      <c r="AZ4" s="403">
        <f t="shared" si="3"/>
        <v>45536</v>
      </c>
      <c r="BA4" s="403">
        <f t="shared" si="3"/>
        <v>45566</v>
      </c>
      <c r="BB4" s="403">
        <f t="shared" si="3"/>
        <v>45597</v>
      </c>
      <c r="BC4" s="403">
        <f t="shared" si="3"/>
        <v>45627</v>
      </c>
      <c r="BD4" s="403">
        <f t="shared" si="3"/>
        <v>45658</v>
      </c>
      <c r="BE4" s="403">
        <f t="shared" si="3"/>
        <v>45689</v>
      </c>
      <c r="BF4" s="403">
        <f t="shared" si="3"/>
        <v>45717</v>
      </c>
      <c r="BG4" s="403">
        <f t="shared" si="3"/>
        <v>45748</v>
      </c>
      <c r="BH4" s="403">
        <f t="shared" si="3"/>
        <v>45778</v>
      </c>
      <c r="BI4" s="403">
        <f t="shared" si="3"/>
        <v>45809</v>
      </c>
      <c r="BJ4" s="403">
        <f t="shared" si="3"/>
        <v>45839</v>
      </c>
      <c r="BK4" s="403">
        <f t="shared" si="3"/>
        <v>45870</v>
      </c>
      <c r="BL4" s="403">
        <f t="shared" si="3"/>
        <v>45901</v>
      </c>
      <c r="BM4" s="403">
        <f t="shared" si="3"/>
        <v>45931</v>
      </c>
      <c r="BN4" s="403">
        <f t="shared" si="3"/>
        <v>45962</v>
      </c>
      <c r="BO4" s="403">
        <f t="shared" si="3"/>
        <v>45992</v>
      </c>
      <c r="BP4" s="403">
        <f t="shared" si="3"/>
        <v>46023</v>
      </c>
      <c r="BQ4" s="403">
        <f t="shared" si="3"/>
        <v>46054</v>
      </c>
      <c r="BR4" s="403">
        <f t="shared" si="3"/>
        <v>46082</v>
      </c>
      <c r="BS4" s="403">
        <f t="shared" si="3"/>
        <v>46113</v>
      </c>
      <c r="BT4" s="403">
        <f t="shared" si="3"/>
        <v>46143</v>
      </c>
      <c r="BU4" s="403">
        <f t="shared" si="3"/>
        <v>46174</v>
      </c>
      <c r="BV4" s="403">
        <f t="shared" si="3"/>
        <v>46204</v>
      </c>
      <c r="BW4" s="403">
        <f t="shared" si="3"/>
        <v>46235</v>
      </c>
      <c r="BX4" s="403">
        <f t="shared" si="3"/>
        <v>46266</v>
      </c>
      <c r="BY4" s="403">
        <f t="shared" si="3"/>
        <v>46296</v>
      </c>
      <c r="BZ4" s="403">
        <f t="shared" si="3"/>
        <v>46327</v>
      </c>
      <c r="CA4" s="403">
        <f t="shared" si="3"/>
        <v>46357</v>
      </c>
    </row>
    <row r="5" spans="1:79" s="55" customFormat="1" ht="21" hidden="1" customHeight="1" outlineLevel="2">
      <c r="B5" s="401"/>
      <c r="C5" s="400"/>
      <c r="G5" s="853"/>
      <c r="H5" s="403">
        <f>EOMONTH(DATE(YEAR(Start_Date),1,1),Fiscal_Offset+IF(N6&lt;YEAR(Start_Date),-1,11))</f>
        <v>45291</v>
      </c>
      <c r="I5" s="402">
        <f>MIN(EOMONTH(H5,12),End_Date)</f>
        <v>45657</v>
      </c>
      <c r="J5" s="402">
        <f>MIN(EOMONTH(I5,12),End_Date)</f>
        <v>46022</v>
      </c>
      <c r="K5" s="402">
        <f>MIN(EOMONTH(J5,12),End_Date)</f>
        <v>46387</v>
      </c>
      <c r="L5" s="148"/>
      <c r="M5" s="853"/>
      <c r="N5" s="402">
        <f>EOMONTH(DATE(YEAR(Start_Date),1,1),MOD(ROUNDUP(MONTH(EOMONTH(Start_Date,-Fiscal_Offset))/3,0)*3+Fiscal_Offset-1,12))</f>
        <v>45016</v>
      </c>
      <c r="O5" s="402">
        <f t="shared" ref="O5:AC5" si="4">MIN(EOMONTH(O$4,2),End_Date)</f>
        <v>45107</v>
      </c>
      <c r="P5" s="402">
        <f t="shared" si="4"/>
        <v>45199</v>
      </c>
      <c r="Q5" s="402">
        <f t="shared" si="4"/>
        <v>45291</v>
      </c>
      <c r="R5" s="402">
        <f t="shared" si="4"/>
        <v>45382</v>
      </c>
      <c r="S5" s="402">
        <f t="shared" si="4"/>
        <v>45473</v>
      </c>
      <c r="T5" s="402">
        <f t="shared" si="4"/>
        <v>45565</v>
      </c>
      <c r="U5" s="402">
        <f t="shared" si="4"/>
        <v>45657</v>
      </c>
      <c r="V5" s="402">
        <f t="shared" si="4"/>
        <v>45747</v>
      </c>
      <c r="W5" s="402">
        <f t="shared" si="4"/>
        <v>45838</v>
      </c>
      <c r="X5" s="402">
        <f t="shared" si="4"/>
        <v>45930</v>
      </c>
      <c r="Y5" s="402">
        <f t="shared" si="4"/>
        <v>46022</v>
      </c>
      <c r="Z5" s="402">
        <f t="shared" si="4"/>
        <v>46112</v>
      </c>
      <c r="AA5" s="402">
        <f t="shared" si="4"/>
        <v>46203</v>
      </c>
      <c r="AB5" s="402">
        <f t="shared" si="4"/>
        <v>46295</v>
      </c>
      <c r="AC5" s="402">
        <f t="shared" si="4"/>
        <v>46387</v>
      </c>
      <c r="AD5" s="404"/>
      <c r="AE5" s="853"/>
      <c r="AF5" s="403" cm="1">
        <f t="array" ref="AF5">EOM_Start_Date</f>
        <v>44957</v>
      </c>
      <c r="AG5" s="402">
        <f t="shared" ref="AG5:CA5" si="5">EOMONTH(AF5,1)</f>
        <v>44985</v>
      </c>
      <c r="AH5" s="402">
        <f t="shared" si="5"/>
        <v>45016</v>
      </c>
      <c r="AI5" s="402">
        <f t="shared" si="5"/>
        <v>45046</v>
      </c>
      <c r="AJ5" s="402">
        <f t="shared" si="5"/>
        <v>45077</v>
      </c>
      <c r="AK5" s="402">
        <f t="shared" si="5"/>
        <v>45107</v>
      </c>
      <c r="AL5" s="402">
        <f t="shared" si="5"/>
        <v>45138</v>
      </c>
      <c r="AM5" s="402">
        <f t="shared" si="5"/>
        <v>45169</v>
      </c>
      <c r="AN5" s="402">
        <f t="shared" si="5"/>
        <v>45199</v>
      </c>
      <c r="AO5" s="402">
        <f t="shared" si="5"/>
        <v>45230</v>
      </c>
      <c r="AP5" s="402">
        <f t="shared" si="5"/>
        <v>45260</v>
      </c>
      <c r="AQ5" s="402">
        <f t="shared" si="5"/>
        <v>45291</v>
      </c>
      <c r="AR5" s="402">
        <f t="shared" si="5"/>
        <v>45322</v>
      </c>
      <c r="AS5" s="402">
        <f t="shared" si="5"/>
        <v>45351</v>
      </c>
      <c r="AT5" s="402">
        <f t="shared" si="5"/>
        <v>45382</v>
      </c>
      <c r="AU5" s="402">
        <f t="shared" si="5"/>
        <v>45412</v>
      </c>
      <c r="AV5" s="402">
        <f t="shared" si="5"/>
        <v>45443</v>
      </c>
      <c r="AW5" s="402">
        <f t="shared" si="5"/>
        <v>45473</v>
      </c>
      <c r="AX5" s="402">
        <f t="shared" si="5"/>
        <v>45504</v>
      </c>
      <c r="AY5" s="402">
        <f t="shared" si="5"/>
        <v>45535</v>
      </c>
      <c r="AZ5" s="402">
        <f t="shared" si="5"/>
        <v>45565</v>
      </c>
      <c r="BA5" s="402">
        <f t="shared" si="5"/>
        <v>45596</v>
      </c>
      <c r="BB5" s="402">
        <f t="shared" si="5"/>
        <v>45626</v>
      </c>
      <c r="BC5" s="402">
        <f t="shared" si="5"/>
        <v>45657</v>
      </c>
      <c r="BD5" s="402">
        <f t="shared" si="5"/>
        <v>45688</v>
      </c>
      <c r="BE5" s="402">
        <f t="shared" si="5"/>
        <v>45716</v>
      </c>
      <c r="BF5" s="402">
        <f t="shared" si="5"/>
        <v>45747</v>
      </c>
      <c r="BG5" s="402">
        <f t="shared" si="5"/>
        <v>45777</v>
      </c>
      <c r="BH5" s="402">
        <f t="shared" si="5"/>
        <v>45808</v>
      </c>
      <c r="BI5" s="402">
        <f t="shared" si="5"/>
        <v>45838</v>
      </c>
      <c r="BJ5" s="402">
        <f t="shared" si="5"/>
        <v>45869</v>
      </c>
      <c r="BK5" s="402">
        <f t="shared" si="5"/>
        <v>45900</v>
      </c>
      <c r="BL5" s="402">
        <f t="shared" si="5"/>
        <v>45930</v>
      </c>
      <c r="BM5" s="402">
        <f t="shared" si="5"/>
        <v>45961</v>
      </c>
      <c r="BN5" s="402">
        <f t="shared" si="5"/>
        <v>45991</v>
      </c>
      <c r="BO5" s="402">
        <f t="shared" si="5"/>
        <v>46022</v>
      </c>
      <c r="BP5" s="402">
        <f t="shared" si="5"/>
        <v>46053</v>
      </c>
      <c r="BQ5" s="402">
        <f t="shared" si="5"/>
        <v>46081</v>
      </c>
      <c r="BR5" s="402">
        <f t="shared" si="5"/>
        <v>46112</v>
      </c>
      <c r="BS5" s="402">
        <f t="shared" si="5"/>
        <v>46142</v>
      </c>
      <c r="BT5" s="402">
        <f t="shared" si="5"/>
        <v>46173</v>
      </c>
      <c r="BU5" s="402">
        <f t="shared" si="5"/>
        <v>46203</v>
      </c>
      <c r="BV5" s="402">
        <f t="shared" si="5"/>
        <v>46234</v>
      </c>
      <c r="BW5" s="402">
        <f t="shared" si="5"/>
        <v>46265</v>
      </c>
      <c r="BX5" s="402">
        <f t="shared" si="5"/>
        <v>46295</v>
      </c>
      <c r="BY5" s="402">
        <f t="shared" si="5"/>
        <v>46326</v>
      </c>
      <c r="BZ5" s="402">
        <f t="shared" si="5"/>
        <v>46356</v>
      </c>
      <c r="CA5" s="402">
        <f t="shared" si="5"/>
        <v>46387</v>
      </c>
    </row>
    <row r="6" spans="1:79" s="55" customFormat="1" ht="21" hidden="1" customHeight="1" outlineLevel="2">
      <c r="B6" s="401"/>
      <c r="C6" s="400"/>
      <c r="G6" s="853"/>
      <c r="H6" s="369">
        <f>YEAR(EOMONTH(H5,-Fiscal_Offset))</f>
        <v>2023</v>
      </c>
      <c r="I6" s="369">
        <f>YEAR(EOMONTH(I5,-Fiscal_Offset))</f>
        <v>2024</v>
      </c>
      <c r="J6" s="369">
        <f>YEAR(EOMONTH(J5,-Fiscal_Offset))</f>
        <v>2025</v>
      </c>
      <c r="K6" s="369">
        <f>YEAR(EOMONTH(K5,-Fiscal_Offset))</f>
        <v>2026</v>
      </c>
      <c r="L6" s="148"/>
      <c r="M6" s="853"/>
      <c r="N6" s="369">
        <f t="shared" ref="N6:AC6" si="6">YEAR(EOMONTH(N5,-Fiscal_Offset))</f>
        <v>2023</v>
      </c>
      <c r="O6" s="369">
        <f t="shared" si="6"/>
        <v>2023</v>
      </c>
      <c r="P6" s="369">
        <f t="shared" si="6"/>
        <v>2023</v>
      </c>
      <c r="Q6" s="369">
        <f t="shared" si="6"/>
        <v>2023</v>
      </c>
      <c r="R6" s="369">
        <f t="shared" si="6"/>
        <v>2024</v>
      </c>
      <c r="S6" s="369">
        <f t="shared" si="6"/>
        <v>2024</v>
      </c>
      <c r="T6" s="369">
        <f t="shared" si="6"/>
        <v>2024</v>
      </c>
      <c r="U6" s="369">
        <f t="shared" si="6"/>
        <v>2024</v>
      </c>
      <c r="V6" s="369">
        <f t="shared" si="6"/>
        <v>2025</v>
      </c>
      <c r="W6" s="369">
        <f t="shared" si="6"/>
        <v>2025</v>
      </c>
      <c r="X6" s="369">
        <f t="shared" si="6"/>
        <v>2025</v>
      </c>
      <c r="Y6" s="369">
        <f t="shared" si="6"/>
        <v>2025</v>
      </c>
      <c r="Z6" s="369">
        <f t="shared" si="6"/>
        <v>2026</v>
      </c>
      <c r="AA6" s="369">
        <f t="shared" si="6"/>
        <v>2026</v>
      </c>
      <c r="AB6" s="369">
        <f t="shared" si="6"/>
        <v>2026</v>
      </c>
      <c r="AC6" s="369">
        <f t="shared" si="6"/>
        <v>2026</v>
      </c>
      <c r="AD6" s="399"/>
      <c r="AE6" s="853"/>
      <c r="AF6" s="369">
        <f t="shared" ref="AF6:CA6" si="7">YEAR(EOMONTH(AF5,-Fiscal_Offset))</f>
        <v>2023</v>
      </c>
      <c r="AG6" s="369">
        <f t="shared" si="7"/>
        <v>2023</v>
      </c>
      <c r="AH6" s="369">
        <f t="shared" si="7"/>
        <v>2023</v>
      </c>
      <c r="AI6" s="369">
        <f t="shared" si="7"/>
        <v>2023</v>
      </c>
      <c r="AJ6" s="369">
        <f t="shared" si="7"/>
        <v>2023</v>
      </c>
      <c r="AK6" s="369">
        <f t="shared" si="7"/>
        <v>2023</v>
      </c>
      <c r="AL6" s="369">
        <f t="shared" si="7"/>
        <v>2023</v>
      </c>
      <c r="AM6" s="369">
        <f t="shared" si="7"/>
        <v>2023</v>
      </c>
      <c r="AN6" s="369">
        <f t="shared" si="7"/>
        <v>2023</v>
      </c>
      <c r="AO6" s="369">
        <f t="shared" si="7"/>
        <v>2023</v>
      </c>
      <c r="AP6" s="369">
        <f t="shared" si="7"/>
        <v>2023</v>
      </c>
      <c r="AQ6" s="369">
        <f t="shared" si="7"/>
        <v>2023</v>
      </c>
      <c r="AR6" s="369">
        <f t="shared" si="7"/>
        <v>2024</v>
      </c>
      <c r="AS6" s="369">
        <f t="shared" si="7"/>
        <v>2024</v>
      </c>
      <c r="AT6" s="369">
        <f t="shared" si="7"/>
        <v>2024</v>
      </c>
      <c r="AU6" s="369">
        <f t="shared" si="7"/>
        <v>2024</v>
      </c>
      <c r="AV6" s="369">
        <f t="shared" si="7"/>
        <v>2024</v>
      </c>
      <c r="AW6" s="369">
        <f t="shared" si="7"/>
        <v>2024</v>
      </c>
      <c r="AX6" s="369">
        <f t="shared" si="7"/>
        <v>2024</v>
      </c>
      <c r="AY6" s="369">
        <f t="shared" si="7"/>
        <v>2024</v>
      </c>
      <c r="AZ6" s="369">
        <f t="shared" si="7"/>
        <v>2024</v>
      </c>
      <c r="BA6" s="369">
        <f t="shared" si="7"/>
        <v>2024</v>
      </c>
      <c r="BB6" s="369">
        <f t="shared" si="7"/>
        <v>2024</v>
      </c>
      <c r="BC6" s="369">
        <f t="shared" si="7"/>
        <v>2024</v>
      </c>
      <c r="BD6" s="369">
        <f t="shared" si="7"/>
        <v>2025</v>
      </c>
      <c r="BE6" s="369">
        <f t="shared" si="7"/>
        <v>2025</v>
      </c>
      <c r="BF6" s="369">
        <f t="shared" si="7"/>
        <v>2025</v>
      </c>
      <c r="BG6" s="369">
        <f t="shared" si="7"/>
        <v>2025</v>
      </c>
      <c r="BH6" s="369">
        <f t="shared" si="7"/>
        <v>2025</v>
      </c>
      <c r="BI6" s="369">
        <f t="shared" si="7"/>
        <v>2025</v>
      </c>
      <c r="BJ6" s="369">
        <f t="shared" si="7"/>
        <v>2025</v>
      </c>
      <c r="BK6" s="369">
        <f t="shared" si="7"/>
        <v>2025</v>
      </c>
      <c r="BL6" s="369">
        <f t="shared" si="7"/>
        <v>2025</v>
      </c>
      <c r="BM6" s="369">
        <f t="shared" si="7"/>
        <v>2025</v>
      </c>
      <c r="BN6" s="369">
        <f t="shared" si="7"/>
        <v>2025</v>
      </c>
      <c r="BO6" s="369">
        <f t="shared" si="7"/>
        <v>2025</v>
      </c>
      <c r="BP6" s="369">
        <f t="shared" si="7"/>
        <v>2026</v>
      </c>
      <c r="BQ6" s="369">
        <f t="shared" si="7"/>
        <v>2026</v>
      </c>
      <c r="BR6" s="369">
        <f t="shared" si="7"/>
        <v>2026</v>
      </c>
      <c r="BS6" s="369">
        <f t="shared" si="7"/>
        <v>2026</v>
      </c>
      <c r="BT6" s="369">
        <f t="shared" si="7"/>
        <v>2026</v>
      </c>
      <c r="BU6" s="369">
        <f t="shared" si="7"/>
        <v>2026</v>
      </c>
      <c r="BV6" s="369">
        <f t="shared" si="7"/>
        <v>2026</v>
      </c>
      <c r="BW6" s="369">
        <f t="shared" si="7"/>
        <v>2026</v>
      </c>
      <c r="BX6" s="369">
        <f t="shared" si="7"/>
        <v>2026</v>
      </c>
      <c r="BY6" s="369">
        <f t="shared" si="7"/>
        <v>2026</v>
      </c>
      <c r="BZ6" s="369">
        <f t="shared" si="7"/>
        <v>2026</v>
      </c>
      <c r="CA6" s="369">
        <f t="shared" si="7"/>
        <v>2026</v>
      </c>
    </row>
    <row r="7" spans="1:79" s="55" customFormat="1" ht="21" hidden="1" customHeight="1" outlineLevel="2">
      <c r="B7" s="401"/>
      <c r="C7" s="400"/>
      <c r="G7" s="853"/>
      <c r="H7" s="369" t="str">
        <f>"Q"&amp; ROUNDUP(MONTH(EOMONTH(H5,-Fiscal_Offset))/3,0)</f>
        <v>Q4</v>
      </c>
      <c r="I7" s="369" t="str">
        <f>"Q"&amp; ROUNDUP(MONTH(EOMONTH(I5,-Fiscal_Offset))/3,0)</f>
        <v>Q4</v>
      </c>
      <c r="J7" s="369" t="str">
        <f>"Q"&amp; ROUNDUP(MONTH(EOMONTH(J5,-Fiscal_Offset))/3,0)</f>
        <v>Q4</v>
      </c>
      <c r="K7" s="369" t="str">
        <f>"Q"&amp; ROUNDUP(MONTH(EOMONTH(K5,-Fiscal_Offset))/3,0)</f>
        <v>Q4</v>
      </c>
      <c r="L7" s="148"/>
      <c r="M7" s="853"/>
      <c r="N7" s="369" t="str">
        <f t="shared" ref="N7:AC7" si="8">"Q"&amp; ROUNDUP(MONTH(EOMONTH(N5,-Fiscal_Offset))/3,0)</f>
        <v>Q1</v>
      </c>
      <c r="O7" s="369" t="str">
        <f t="shared" si="8"/>
        <v>Q2</v>
      </c>
      <c r="P7" s="369" t="str">
        <f t="shared" si="8"/>
        <v>Q3</v>
      </c>
      <c r="Q7" s="369" t="str">
        <f t="shared" si="8"/>
        <v>Q4</v>
      </c>
      <c r="R7" s="369" t="str">
        <f t="shared" si="8"/>
        <v>Q1</v>
      </c>
      <c r="S7" s="369" t="str">
        <f t="shared" si="8"/>
        <v>Q2</v>
      </c>
      <c r="T7" s="369" t="str">
        <f t="shared" si="8"/>
        <v>Q3</v>
      </c>
      <c r="U7" s="369" t="str">
        <f t="shared" si="8"/>
        <v>Q4</v>
      </c>
      <c r="V7" s="369" t="str">
        <f t="shared" si="8"/>
        <v>Q1</v>
      </c>
      <c r="W7" s="369" t="str">
        <f t="shared" si="8"/>
        <v>Q2</v>
      </c>
      <c r="X7" s="369" t="str">
        <f t="shared" si="8"/>
        <v>Q3</v>
      </c>
      <c r="Y7" s="369" t="str">
        <f t="shared" si="8"/>
        <v>Q4</v>
      </c>
      <c r="Z7" s="369" t="str">
        <f t="shared" si="8"/>
        <v>Q1</v>
      </c>
      <c r="AA7" s="369" t="str">
        <f t="shared" si="8"/>
        <v>Q2</v>
      </c>
      <c r="AB7" s="369" t="str">
        <f t="shared" si="8"/>
        <v>Q3</v>
      </c>
      <c r="AC7" s="369" t="str">
        <f t="shared" si="8"/>
        <v>Q4</v>
      </c>
      <c r="AD7" s="399"/>
      <c r="AE7" s="853"/>
      <c r="AF7" s="369" t="str">
        <f t="shared" ref="AF7:CA7" si="9">"Q"&amp; ROUNDUP(MONTH(EOMONTH(AF5,-Fiscal_Offset))/3,0)</f>
        <v>Q1</v>
      </c>
      <c r="AG7" s="369" t="str">
        <f t="shared" si="9"/>
        <v>Q1</v>
      </c>
      <c r="AH7" s="369" t="str">
        <f t="shared" si="9"/>
        <v>Q1</v>
      </c>
      <c r="AI7" s="369" t="str">
        <f t="shared" si="9"/>
        <v>Q2</v>
      </c>
      <c r="AJ7" s="369" t="str">
        <f t="shared" si="9"/>
        <v>Q2</v>
      </c>
      <c r="AK7" s="369" t="str">
        <f t="shared" si="9"/>
        <v>Q2</v>
      </c>
      <c r="AL7" s="369" t="str">
        <f t="shared" si="9"/>
        <v>Q3</v>
      </c>
      <c r="AM7" s="369" t="str">
        <f t="shared" si="9"/>
        <v>Q3</v>
      </c>
      <c r="AN7" s="369" t="str">
        <f t="shared" si="9"/>
        <v>Q3</v>
      </c>
      <c r="AO7" s="369" t="str">
        <f t="shared" si="9"/>
        <v>Q4</v>
      </c>
      <c r="AP7" s="369" t="str">
        <f t="shared" si="9"/>
        <v>Q4</v>
      </c>
      <c r="AQ7" s="369" t="str">
        <f t="shared" si="9"/>
        <v>Q4</v>
      </c>
      <c r="AR7" s="369" t="str">
        <f t="shared" si="9"/>
        <v>Q1</v>
      </c>
      <c r="AS7" s="369" t="str">
        <f t="shared" si="9"/>
        <v>Q1</v>
      </c>
      <c r="AT7" s="369" t="str">
        <f t="shared" si="9"/>
        <v>Q1</v>
      </c>
      <c r="AU7" s="369" t="str">
        <f t="shared" si="9"/>
        <v>Q2</v>
      </c>
      <c r="AV7" s="369" t="str">
        <f t="shared" si="9"/>
        <v>Q2</v>
      </c>
      <c r="AW7" s="369" t="str">
        <f t="shared" si="9"/>
        <v>Q2</v>
      </c>
      <c r="AX7" s="369" t="str">
        <f t="shared" si="9"/>
        <v>Q3</v>
      </c>
      <c r="AY7" s="369" t="str">
        <f t="shared" si="9"/>
        <v>Q3</v>
      </c>
      <c r="AZ7" s="369" t="str">
        <f t="shared" si="9"/>
        <v>Q3</v>
      </c>
      <c r="BA7" s="369" t="str">
        <f t="shared" si="9"/>
        <v>Q4</v>
      </c>
      <c r="BB7" s="369" t="str">
        <f t="shared" si="9"/>
        <v>Q4</v>
      </c>
      <c r="BC7" s="369" t="str">
        <f t="shared" si="9"/>
        <v>Q4</v>
      </c>
      <c r="BD7" s="369" t="str">
        <f t="shared" si="9"/>
        <v>Q1</v>
      </c>
      <c r="BE7" s="369" t="str">
        <f t="shared" si="9"/>
        <v>Q1</v>
      </c>
      <c r="BF7" s="369" t="str">
        <f t="shared" si="9"/>
        <v>Q1</v>
      </c>
      <c r="BG7" s="369" t="str">
        <f t="shared" si="9"/>
        <v>Q2</v>
      </c>
      <c r="BH7" s="369" t="str">
        <f t="shared" si="9"/>
        <v>Q2</v>
      </c>
      <c r="BI7" s="369" t="str">
        <f t="shared" si="9"/>
        <v>Q2</v>
      </c>
      <c r="BJ7" s="369" t="str">
        <f t="shared" si="9"/>
        <v>Q3</v>
      </c>
      <c r="BK7" s="369" t="str">
        <f t="shared" si="9"/>
        <v>Q3</v>
      </c>
      <c r="BL7" s="369" t="str">
        <f t="shared" si="9"/>
        <v>Q3</v>
      </c>
      <c r="BM7" s="369" t="str">
        <f t="shared" si="9"/>
        <v>Q4</v>
      </c>
      <c r="BN7" s="369" t="str">
        <f t="shared" si="9"/>
        <v>Q4</v>
      </c>
      <c r="BO7" s="369" t="str">
        <f t="shared" si="9"/>
        <v>Q4</v>
      </c>
      <c r="BP7" s="369" t="str">
        <f t="shared" si="9"/>
        <v>Q1</v>
      </c>
      <c r="BQ7" s="369" t="str">
        <f t="shared" si="9"/>
        <v>Q1</v>
      </c>
      <c r="BR7" s="369" t="str">
        <f t="shared" si="9"/>
        <v>Q1</v>
      </c>
      <c r="BS7" s="369" t="str">
        <f t="shared" si="9"/>
        <v>Q2</v>
      </c>
      <c r="BT7" s="369" t="str">
        <f t="shared" si="9"/>
        <v>Q2</v>
      </c>
      <c r="BU7" s="369" t="str">
        <f t="shared" si="9"/>
        <v>Q2</v>
      </c>
      <c r="BV7" s="369" t="str">
        <f t="shared" si="9"/>
        <v>Q3</v>
      </c>
      <c r="BW7" s="369" t="str">
        <f t="shared" si="9"/>
        <v>Q3</v>
      </c>
      <c r="BX7" s="369" t="str">
        <f t="shared" si="9"/>
        <v>Q3</v>
      </c>
      <c r="BY7" s="369" t="str">
        <f t="shared" si="9"/>
        <v>Q4</v>
      </c>
      <c r="BZ7" s="369" t="str">
        <f t="shared" si="9"/>
        <v>Q4</v>
      </c>
      <c r="CA7" s="369" t="str">
        <f t="shared" si="9"/>
        <v>Q4</v>
      </c>
    </row>
    <row r="8" spans="1:79" s="51" customFormat="1" ht="30" customHeight="1">
      <c r="B8" s="387"/>
      <c r="C8" s="386"/>
      <c r="F8" s="50"/>
      <c r="G8" s="853"/>
      <c r="H8" s="398">
        <f>H6</f>
        <v>2023</v>
      </c>
      <c r="I8" s="398">
        <f>I6</f>
        <v>2024</v>
      </c>
      <c r="J8" s="398">
        <f>J6</f>
        <v>2025</v>
      </c>
      <c r="K8" s="398">
        <f>K6</f>
        <v>2026</v>
      </c>
      <c r="L8" s="172"/>
      <c r="M8" s="853"/>
      <c r="N8" s="397" t="str">
        <f t="shared" ref="N8:AC8" si="10">CONCATENATE(CONCATENATE(N$7," ",N$6))</f>
        <v>Q1 2023</v>
      </c>
      <c r="O8" s="397" t="str">
        <f t="shared" si="10"/>
        <v>Q2 2023</v>
      </c>
      <c r="P8" s="397" t="str">
        <f t="shared" si="10"/>
        <v>Q3 2023</v>
      </c>
      <c r="Q8" s="397" t="str">
        <f t="shared" si="10"/>
        <v>Q4 2023</v>
      </c>
      <c r="R8" s="397" t="str">
        <f t="shared" si="10"/>
        <v>Q1 2024</v>
      </c>
      <c r="S8" s="397" t="str">
        <f t="shared" si="10"/>
        <v>Q2 2024</v>
      </c>
      <c r="T8" s="397" t="str">
        <f t="shared" si="10"/>
        <v>Q3 2024</v>
      </c>
      <c r="U8" s="397" t="str">
        <f t="shared" si="10"/>
        <v>Q4 2024</v>
      </c>
      <c r="V8" s="397" t="str">
        <f t="shared" si="10"/>
        <v>Q1 2025</v>
      </c>
      <c r="W8" s="397" t="str">
        <f t="shared" si="10"/>
        <v>Q2 2025</v>
      </c>
      <c r="X8" s="397" t="str">
        <f t="shared" si="10"/>
        <v>Q3 2025</v>
      </c>
      <c r="Y8" s="397" t="str">
        <f t="shared" si="10"/>
        <v>Q4 2025</v>
      </c>
      <c r="Z8" s="397" t="str">
        <f t="shared" si="10"/>
        <v>Q1 2026</v>
      </c>
      <c r="AA8" s="397" t="str">
        <f t="shared" si="10"/>
        <v>Q2 2026</v>
      </c>
      <c r="AB8" s="397" t="str">
        <f t="shared" si="10"/>
        <v>Q3 2026</v>
      </c>
      <c r="AC8" s="397" t="str">
        <f t="shared" si="10"/>
        <v>Q4 2026</v>
      </c>
      <c r="AD8" s="396"/>
      <c r="AE8" s="853"/>
      <c r="AF8" s="395">
        <f t="shared" ref="AF8:CA8" si="11">AF5</f>
        <v>44957</v>
      </c>
      <c r="AG8" s="395">
        <f t="shared" si="11"/>
        <v>44985</v>
      </c>
      <c r="AH8" s="395">
        <f t="shared" si="11"/>
        <v>45016</v>
      </c>
      <c r="AI8" s="395">
        <f t="shared" si="11"/>
        <v>45046</v>
      </c>
      <c r="AJ8" s="395">
        <f t="shared" si="11"/>
        <v>45077</v>
      </c>
      <c r="AK8" s="395">
        <f t="shared" si="11"/>
        <v>45107</v>
      </c>
      <c r="AL8" s="395">
        <f t="shared" si="11"/>
        <v>45138</v>
      </c>
      <c r="AM8" s="395">
        <f t="shared" si="11"/>
        <v>45169</v>
      </c>
      <c r="AN8" s="395">
        <f t="shared" si="11"/>
        <v>45199</v>
      </c>
      <c r="AO8" s="395">
        <f t="shared" si="11"/>
        <v>45230</v>
      </c>
      <c r="AP8" s="395">
        <f t="shared" si="11"/>
        <v>45260</v>
      </c>
      <c r="AQ8" s="395">
        <f t="shared" si="11"/>
        <v>45291</v>
      </c>
      <c r="AR8" s="395">
        <f t="shared" si="11"/>
        <v>45322</v>
      </c>
      <c r="AS8" s="395">
        <f t="shared" si="11"/>
        <v>45351</v>
      </c>
      <c r="AT8" s="395">
        <f t="shared" si="11"/>
        <v>45382</v>
      </c>
      <c r="AU8" s="395">
        <f t="shared" si="11"/>
        <v>45412</v>
      </c>
      <c r="AV8" s="395">
        <f t="shared" si="11"/>
        <v>45443</v>
      </c>
      <c r="AW8" s="395">
        <f t="shared" si="11"/>
        <v>45473</v>
      </c>
      <c r="AX8" s="395">
        <f t="shared" si="11"/>
        <v>45504</v>
      </c>
      <c r="AY8" s="395">
        <f t="shared" si="11"/>
        <v>45535</v>
      </c>
      <c r="AZ8" s="395">
        <f t="shared" si="11"/>
        <v>45565</v>
      </c>
      <c r="BA8" s="395">
        <f t="shared" si="11"/>
        <v>45596</v>
      </c>
      <c r="BB8" s="395">
        <f t="shared" si="11"/>
        <v>45626</v>
      </c>
      <c r="BC8" s="395">
        <f t="shared" si="11"/>
        <v>45657</v>
      </c>
      <c r="BD8" s="395">
        <f t="shared" si="11"/>
        <v>45688</v>
      </c>
      <c r="BE8" s="395">
        <f t="shared" si="11"/>
        <v>45716</v>
      </c>
      <c r="BF8" s="395">
        <f t="shared" si="11"/>
        <v>45747</v>
      </c>
      <c r="BG8" s="395">
        <f t="shared" si="11"/>
        <v>45777</v>
      </c>
      <c r="BH8" s="395">
        <f t="shared" si="11"/>
        <v>45808</v>
      </c>
      <c r="BI8" s="395">
        <f t="shared" si="11"/>
        <v>45838</v>
      </c>
      <c r="BJ8" s="395">
        <f t="shared" si="11"/>
        <v>45869</v>
      </c>
      <c r="BK8" s="395">
        <f t="shared" si="11"/>
        <v>45900</v>
      </c>
      <c r="BL8" s="395">
        <f t="shared" si="11"/>
        <v>45930</v>
      </c>
      <c r="BM8" s="395">
        <f t="shared" si="11"/>
        <v>45961</v>
      </c>
      <c r="BN8" s="395">
        <f t="shared" si="11"/>
        <v>45991</v>
      </c>
      <c r="BO8" s="395">
        <f t="shared" si="11"/>
        <v>46022</v>
      </c>
      <c r="BP8" s="395">
        <f t="shared" si="11"/>
        <v>46053</v>
      </c>
      <c r="BQ8" s="395">
        <f t="shared" si="11"/>
        <v>46081</v>
      </c>
      <c r="BR8" s="395">
        <f t="shared" si="11"/>
        <v>46112</v>
      </c>
      <c r="BS8" s="395">
        <f t="shared" si="11"/>
        <v>46142</v>
      </c>
      <c r="BT8" s="395">
        <f t="shared" si="11"/>
        <v>46173</v>
      </c>
      <c r="BU8" s="395">
        <f t="shared" si="11"/>
        <v>46203</v>
      </c>
      <c r="BV8" s="395">
        <f t="shared" si="11"/>
        <v>46234</v>
      </c>
      <c r="BW8" s="395">
        <f t="shared" si="11"/>
        <v>46265</v>
      </c>
      <c r="BX8" s="395">
        <f t="shared" si="11"/>
        <v>46295</v>
      </c>
      <c r="BY8" s="395">
        <f t="shared" si="11"/>
        <v>46326</v>
      </c>
      <c r="BZ8" s="395">
        <f t="shared" si="11"/>
        <v>46356</v>
      </c>
      <c r="CA8" s="395">
        <f t="shared" si="11"/>
        <v>46387</v>
      </c>
    </row>
    <row r="9" spans="1:79" s="51" customFormat="1" ht="24">
      <c r="B9" s="635" t="s">
        <v>411</v>
      </c>
      <c r="C9" s="475"/>
      <c r="D9" s="475"/>
      <c r="E9" s="632"/>
      <c r="F9" s="50"/>
      <c r="G9" s="359"/>
      <c r="H9" s="632"/>
      <c r="I9" s="632"/>
      <c r="J9" s="632"/>
      <c r="K9" s="632"/>
      <c r="L9" s="50"/>
      <c r="M9" s="359"/>
      <c r="N9" s="632"/>
      <c r="O9" s="632"/>
      <c r="P9" s="632"/>
      <c r="Q9" s="632"/>
      <c r="R9" s="632"/>
      <c r="S9" s="632"/>
      <c r="T9" s="632"/>
      <c r="U9" s="632"/>
      <c r="V9" s="632"/>
      <c r="W9" s="632"/>
      <c r="X9" s="632"/>
      <c r="Y9" s="632"/>
      <c r="Z9" s="632"/>
      <c r="AA9" s="632"/>
      <c r="AB9" s="632"/>
      <c r="AC9" s="632"/>
      <c r="AD9" s="50"/>
      <c r="AE9" s="359"/>
      <c r="AF9" s="632"/>
      <c r="AG9" s="632"/>
      <c r="AH9" s="632"/>
      <c r="AI9" s="632"/>
      <c r="AJ9" s="632"/>
      <c r="AK9" s="632"/>
      <c r="AL9" s="632"/>
      <c r="AM9" s="632"/>
      <c r="AN9" s="632"/>
      <c r="AO9" s="632"/>
      <c r="AP9" s="632"/>
      <c r="AQ9" s="632"/>
      <c r="AR9" s="632"/>
      <c r="AS9" s="632"/>
      <c r="AT9" s="632"/>
      <c r="AU9" s="632"/>
      <c r="AV9" s="632"/>
      <c r="AW9" s="632"/>
      <c r="AX9" s="632"/>
      <c r="AY9" s="632"/>
      <c r="AZ9" s="632"/>
      <c r="BA9" s="632"/>
      <c r="BB9" s="632"/>
      <c r="BC9" s="632"/>
      <c r="BD9" s="632"/>
      <c r="BE9" s="632"/>
      <c r="BF9" s="632"/>
      <c r="BG9" s="632"/>
      <c r="BH9" s="632"/>
      <c r="BI9" s="632"/>
      <c r="BJ9" s="632"/>
      <c r="BK9" s="632"/>
      <c r="BL9" s="632"/>
      <c r="BM9" s="632"/>
      <c r="BN9" s="632"/>
      <c r="BO9" s="632"/>
      <c r="BP9" s="632"/>
      <c r="BQ9" s="632"/>
      <c r="BR9" s="632"/>
      <c r="BS9" s="632"/>
      <c r="BT9" s="632"/>
      <c r="BU9" s="632"/>
      <c r="BV9" s="632"/>
      <c r="BW9" s="632"/>
      <c r="BX9" s="632"/>
      <c r="BY9" s="632"/>
      <c r="BZ9" s="632"/>
      <c r="CA9" s="632"/>
    </row>
    <row r="10" spans="1:79" ht="15" outlineLevel="1" collapsed="1">
      <c r="B10" s="367"/>
      <c r="C10" s="365" t="s">
        <v>115</v>
      </c>
      <c r="D10" s="366"/>
      <c r="E10" s="365"/>
      <c r="G10" s="359"/>
      <c r="H10" s="365"/>
      <c r="I10" s="365"/>
      <c r="J10" s="365"/>
      <c r="K10" s="365"/>
      <c r="M10" s="359"/>
      <c r="N10" s="365"/>
      <c r="O10" s="365"/>
      <c r="P10" s="365"/>
      <c r="Q10" s="365"/>
      <c r="R10" s="365"/>
      <c r="S10" s="365"/>
      <c r="T10" s="365"/>
      <c r="U10" s="365"/>
      <c r="V10" s="365"/>
      <c r="W10" s="365"/>
      <c r="X10" s="365"/>
      <c r="Y10" s="365"/>
      <c r="Z10" s="365"/>
      <c r="AA10" s="365"/>
      <c r="AB10" s="365"/>
      <c r="AC10" s="365"/>
      <c r="AE10" s="359"/>
      <c r="AF10" s="394">
        <f t="shared" ref="AF10:CA10" si="12">SUM(AF11:AF13)</f>
        <v>9.9999999999999967E-3</v>
      </c>
      <c r="AG10" s="394">
        <f t="shared" si="12"/>
        <v>9.9999999999999967E-3</v>
      </c>
      <c r="AH10" s="394">
        <f t="shared" si="12"/>
        <v>9.9999999999999967E-3</v>
      </c>
      <c r="AI10" s="394">
        <f t="shared" si="12"/>
        <v>9.9999999999999967E-3</v>
      </c>
      <c r="AJ10" s="394">
        <f t="shared" si="12"/>
        <v>9.9999999999999967E-3</v>
      </c>
      <c r="AK10" s="394">
        <f t="shared" si="12"/>
        <v>9.9999999999999967E-3</v>
      </c>
      <c r="AL10" s="394">
        <f t="shared" si="12"/>
        <v>9.9999999999999967E-3</v>
      </c>
      <c r="AM10" s="394">
        <f t="shared" si="12"/>
        <v>9.9999999999999967E-3</v>
      </c>
      <c r="AN10" s="394">
        <f t="shared" si="12"/>
        <v>9.9999999999999967E-3</v>
      </c>
      <c r="AO10" s="394">
        <f t="shared" si="12"/>
        <v>9.9999999999999967E-3</v>
      </c>
      <c r="AP10" s="394">
        <f t="shared" si="12"/>
        <v>9.9999999999999967E-3</v>
      </c>
      <c r="AQ10" s="394">
        <f t="shared" si="12"/>
        <v>9.9999999999999967E-3</v>
      </c>
      <c r="AR10" s="394">
        <f t="shared" si="12"/>
        <v>9.9999999999999967E-3</v>
      </c>
      <c r="AS10" s="394">
        <f t="shared" si="12"/>
        <v>9.9999999999999967E-3</v>
      </c>
      <c r="AT10" s="394">
        <f t="shared" si="12"/>
        <v>9.9999999999999967E-3</v>
      </c>
      <c r="AU10" s="394">
        <f t="shared" si="12"/>
        <v>9.9999999999999967E-3</v>
      </c>
      <c r="AV10" s="394">
        <f t="shared" si="12"/>
        <v>9.9999999999999967E-3</v>
      </c>
      <c r="AW10" s="394">
        <f t="shared" si="12"/>
        <v>9.9999999999999967E-3</v>
      </c>
      <c r="AX10" s="394">
        <f t="shared" si="12"/>
        <v>9.9999999999999967E-3</v>
      </c>
      <c r="AY10" s="394">
        <f t="shared" si="12"/>
        <v>9.9999999999999967E-3</v>
      </c>
      <c r="AZ10" s="394">
        <f t="shared" si="12"/>
        <v>9.9999999999999967E-3</v>
      </c>
      <c r="BA10" s="394">
        <f t="shared" si="12"/>
        <v>9.9999999999999967E-3</v>
      </c>
      <c r="BB10" s="394">
        <f t="shared" si="12"/>
        <v>9.9999999999999967E-3</v>
      </c>
      <c r="BC10" s="394">
        <f t="shared" si="12"/>
        <v>9.9999999999999967E-3</v>
      </c>
      <c r="BD10" s="394">
        <f t="shared" si="12"/>
        <v>9.9999999999999967E-3</v>
      </c>
      <c r="BE10" s="394">
        <f t="shared" si="12"/>
        <v>9.9999999999999967E-3</v>
      </c>
      <c r="BF10" s="394">
        <f t="shared" si="12"/>
        <v>9.9999999999999967E-3</v>
      </c>
      <c r="BG10" s="394">
        <f t="shared" si="12"/>
        <v>9.9999999999999967E-3</v>
      </c>
      <c r="BH10" s="394">
        <f t="shared" si="12"/>
        <v>9.9999999999999967E-3</v>
      </c>
      <c r="BI10" s="394">
        <f t="shared" si="12"/>
        <v>9.9999999999999967E-3</v>
      </c>
      <c r="BJ10" s="394">
        <f t="shared" si="12"/>
        <v>9.9999999999999967E-3</v>
      </c>
      <c r="BK10" s="394">
        <f t="shared" si="12"/>
        <v>9.9999999999999967E-3</v>
      </c>
      <c r="BL10" s="394">
        <f t="shared" si="12"/>
        <v>9.9999999999999967E-3</v>
      </c>
      <c r="BM10" s="394">
        <f t="shared" si="12"/>
        <v>9.9999999999999967E-3</v>
      </c>
      <c r="BN10" s="394">
        <f t="shared" si="12"/>
        <v>9.9999999999999967E-3</v>
      </c>
      <c r="BO10" s="394">
        <f t="shared" si="12"/>
        <v>9.9999999999999967E-3</v>
      </c>
      <c r="BP10" s="394">
        <f t="shared" si="12"/>
        <v>9.9999999999999967E-3</v>
      </c>
      <c r="BQ10" s="394">
        <f t="shared" si="12"/>
        <v>9.9999999999999967E-3</v>
      </c>
      <c r="BR10" s="394">
        <f t="shared" si="12"/>
        <v>9.9999999999999967E-3</v>
      </c>
      <c r="BS10" s="394">
        <f t="shared" si="12"/>
        <v>9.9999999999999967E-3</v>
      </c>
      <c r="BT10" s="394">
        <f t="shared" si="12"/>
        <v>9.9999999999999967E-3</v>
      </c>
      <c r="BU10" s="394">
        <f t="shared" si="12"/>
        <v>9.9999999999999967E-3</v>
      </c>
      <c r="BV10" s="394">
        <f t="shared" si="12"/>
        <v>9.9999999999999967E-3</v>
      </c>
      <c r="BW10" s="394">
        <f t="shared" si="12"/>
        <v>9.9999999999999967E-3</v>
      </c>
      <c r="BX10" s="394">
        <f t="shared" si="12"/>
        <v>9.9999999999999967E-3</v>
      </c>
      <c r="BY10" s="394">
        <f t="shared" si="12"/>
        <v>9.9999999999999967E-3</v>
      </c>
      <c r="BZ10" s="394">
        <f t="shared" si="12"/>
        <v>9.9999999999999967E-3</v>
      </c>
      <c r="CA10" s="394">
        <f t="shared" si="12"/>
        <v>9.9999999999999967E-3</v>
      </c>
    </row>
    <row r="11" spans="1:79" s="51" customFormat="1" hidden="1" outlineLevel="2">
      <c r="B11" s="387"/>
      <c r="C11" s="386"/>
      <c r="D11" s="383" t="s">
        <v>486</v>
      </c>
      <c r="F11" s="50"/>
      <c r="G11" s="359"/>
      <c r="H11" s="385"/>
      <c r="I11" s="385"/>
      <c r="J11" s="385"/>
      <c r="K11" s="385"/>
      <c r="L11" s="50"/>
      <c r="M11" s="359"/>
      <c r="N11" s="385"/>
      <c r="O11" s="385"/>
      <c r="P11" s="385"/>
      <c r="Q11" s="385"/>
      <c r="R11" s="385"/>
      <c r="S11" s="385"/>
      <c r="T11" s="385"/>
      <c r="U11" s="385"/>
      <c r="V11" s="385"/>
      <c r="W11" s="385"/>
      <c r="X11" s="385"/>
      <c r="Y11" s="385"/>
      <c r="Z11" s="385"/>
      <c r="AA11" s="385"/>
      <c r="AB11" s="385"/>
      <c r="AC11" s="385"/>
      <c r="AD11" s="50"/>
      <c r="AE11" s="359"/>
      <c r="AF11" s="393">
        <v>-0.01</v>
      </c>
      <c r="AG11" s="393">
        <v>-0.01</v>
      </c>
      <c r="AH11" s="393">
        <v>-0.01</v>
      </c>
      <c r="AI11" s="393">
        <v>-0.01</v>
      </c>
      <c r="AJ11" s="393">
        <v>-0.01</v>
      </c>
      <c r="AK11" s="393">
        <v>-0.01</v>
      </c>
      <c r="AL11" s="393">
        <v>-0.01</v>
      </c>
      <c r="AM11" s="393">
        <v>-0.01</v>
      </c>
      <c r="AN11" s="393">
        <v>-0.01</v>
      </c>
      <c r="AO11" s="393">
        <v>-0.01</v>
      </c>
      <c r="AP11" s="393">
        <v>-0.01</v>
      </c>
      <c r="AQ11" s="393">
        <v>-0.01</v>
      </c>
      <c r="AR11" s="393">
        <v>-0.01</v>
      </c>
      <c r="AS11" s="393">
        <v>-0.01</v>
      </c>
      <c r="AT11" s="393">
        <v>-0.01</v>
      </c>
      <c r="AU11" s="393">
        <v>-0.01</v>
      </c>
      <c r="AV11" s="393">
        <v>-0.01</v>
      </c>
      <c r="AW11" s="393">
        <v>-0.01</v>
      </c>
      <c r="AX11" s="393">
        <v>-0.01</v>
      </c>
      <c r="AY11" s="393">
        <v>-0.01</v>
      </c>
      <c r="AZ11" s="393">
        <v>-0.01</v>
      </c>
      <c r="BA11" s="393">
        <v>-0.01</v>
      </c>
      <c r="BB11" s="393">
        <v>-0.01</v>
      </c>
      <c r="BC11" s="393">
        <v>-0.01</v>
      </c>
      <c r="BD11" s="393">
        <v>-0.01</v>
      </c>
      <c r="BE11" s="393">
        <v>-0.01</v>
      </c>
      <c r="BF11" s="393">
        <v>-0.01</v>
      </c>
      <c r="BG11" s="393">
        <v>-0.01</v>
      </c>
      <c r="BH11" s="393">
        <v>-0.01</v>
      </c>
      <c r="BI11" s="393">
        <v>-0.01</v>
      </c>
      <c r="BJ11" s="393">
        <v>-0.01</v>
      </c>
      <c r="BK11" s="393">
        <v>-0.01</v>
      </c>
      <c r="BL11" s="393">
        <v>-0.01</v>
      </c>
      <c r="BM11" s="393">
        <v>-0.01</v>
      </c>
      <c r="BN11" s="393">
        <v>-0.01</v>
      </c>
      <c r="BO11" s="393">
        <v>-0.01</v>
      </c>
      <c r="BP11" s="393">
        <v>-0.01</v>
      </c>
      <c r="BQ11" s="393">
        <v>-0.01</v>
      </c>
      <c r="BR11" s="393">
        <v>-0.01</v>
      </c>
      <c r="BS11" s="393">
        <v>-0.01</v>
      </c>
      <c r="BT11" s="393">
        <v>-0.01</v>
      </c>
      <c r="BU11" s="393">
        <v>-0.01</v>
      </c>
      <c r="BV11" s="393">
        <v>-0.01</v>
      </c>
      <c r="BW11" s="393">
        <v>-0.01</v>
      </c>
      <c r="BX11" s="393">
        <v>-0.01</v>
      </c>
      <c r="BY11" s="393">
        <v>-0.01</v>
      </c>
      <c r="BZ11" s="393">
        <v>-0.01</v>
      </c>
      <c r="CA11" s="393">
        <v>-0.01</v>
      </c>
    </row>
    <row r="12" spans="1:79" s="51" customFormat="1" hidden="1" outlineLevel="2">
      <c r="B12" s="387"/>
      <c r="C12" s="386"/>
      <c r="D12" s="383" t="s">
        <v>112</v>
      </c>
      <c r="F12" s="50"/>
      <c r="G12" s="359"/>
      <c r="H12" s="385"/>
      <c r="I12" s="385"/>
      <c r="J12" s="385"/>
      <c r="K12" s="385"/>
      <c r="L12" s="50"/>
      <c r="M12" s="359"/>
      <c r="N12" s="385"/>
      <c r="O12" s="385"/>
      <c r="P12" s="385"/>
      <c r="Q12" s="385"/>
      <c r="R12" s="385"/>
      <c r="S12" s="385"/>
      <c r="T12" s="385"/>
      <c r="U12" s="385"/>
      <c r="V12" s="385"/>
      <c r="W12" s="385"/>
      <c r="X12" s="385"/>
      <c r="Y12" s="385"/>
      <c r="Z12" s="385"/>
      <c r="AA12" s="385"/>
      <c r="AB12" s="385"/>
      <c r="AC12" s="385"/>
      <c r="AD12" s="50"/>
      <c r="AE12" s="359"/>
      <c r="AF12" s="393">
        <v>0.03</v>
      </c>
      <c r="AG12" s="393">
        <v>0.03</v>
      </c>
      <c r="AH12" s="393">
        <v>0.03</v>
      </c>
      <c r="AI12" s="393">
        <v>0.03</v>
      </c>
      <c r="AJ12" s="393">
        <v>0.03</v>
      </c>
      <c r="AK12" s="393">
        <v>0.03</v>
      </c>
      <c r="AL12" s="393">
        <v>0.03</v>
      </c>
      <c r="AM12" s="393">
        <v>0.03</v>
      </c>
      <c r="AN12" s="393">
        <v>0.03</v>
      </c>
      <c r="AO12" s="393">
        <v>0.03</v>
      </c>
      <c r="AP12" s="393">
        <v>0.03</v>
      </c>
      <c r="AQ12" s="393">
        <v>0.03</v>
      </c>
      <c r="AR12" s="393">
        <v>0.03</v>
      </c>
      <c r="AS12" s="393">
        <v>0.03</v>
      </c>
      <c r="AT12" s="393">
        <v>0.03</v>
      </c>
      <c r="AU12" s="393">
        <v>0.03</v>
      </c>
      <c r="AV12" s="393">
        <v>0.03</v>
      </c>
      <c r="AW12" s="393">
        <v>0.03</v>
      </c>
      <c r="AX12" s="393">
        <v>0.03</v>
      </c>
      <c r="AY12" s="393">
        <v>0.03</v>
      </c>
      <c r="AZ12" s="393">
        <v>0.03</v>
      </c>
      <c r="BA12" s="393">
        <v>0.03</v>
      </c>
      <c r="BB12" s="393">
        <v>0.03</v>
      </c>
      <c r="BC12" s="393">
        <v>0.03</v>
      </c>
      <c r="BD12" s="393">
        <v>0.03</v>
      </c>
      <c r="BE12" s="393">
        <v>0.03</v>
      </c>
      <c r="BF12" s="393">
        <v>0.03</v>
      </c>
      <c r="BG12" s="393">
        <v>0.03</v>
      </c>
      <c r="BH12" s="393">
        <v>0.03</v>
      </c>
      <c r="BI12" s="393">
        <v>0.03</v>
      </c>
      <c r="BJ12" s="393">
        <v>0.03</v>
      </c>
      <c r="BK12" s="393">
        <v>0.03</v>
      </c>
      <c r="BL12" s="393">
        <v>0.03</v>
      </c>
      <c r="BM12" s="393">
        <v>0.03</v>
      </c>
      <c r="BN12" s="393">
        <v>0.03</v>
      </c>
      <c r="BO12" s="393">
        <v>0.03</v>
      </c>
      <c r="BP12" s="393">
        <v>0.03</v>
      </c>
      <c r="BQ12" s="393">
        <v>0.03</v>
      </c>
      <c r="BR12" s="393">
        <v>0.03</v>
      </c>
      <c r="BS12" s="393">
        <v>0.03</v>
      </c>
      <c r="BT12" s="393">
        <v>0.03</v>
      </c>
      <c r="BU12" s="393">
        <v>0.03</v>
      </c>
      <c r="BV12" s="393">
        <v>0.03</v>
      </c>
      <c r="BW12" s="393">
        <v>0.03</v>
      </c>
      <c r="BX12" s="393">
        <v>0.03</v>
      </c>
      <c r="BY12" s="393">
        <v>0.03</v>
      </c>
      <c r="BZ12" s="393">
        <v>0.03</v>
      </c>
      <c r="CA12" s="393">
        <v>0.03</v>
      </c>
    </row>
    <row r="13" spans="1:79" s="51" customFormat="1" hidden="1" outlineLevel="2">
      <c r="B13" s="387"/>
      <c r="C13" s="386"/>
      <c r="D13" s="383" t="s">
        <v>113</v>
      </c>
      <c r="F13" s="50"/>
      <c r="G13" s="359"/>
      <c r="H13" s="385"/>
      <c r="I13" s="385"/>
      <c r="J13" s="385"/>
      <c r="K13" s="385"/>
      <c r="L13" s="50"/>
      <c r="M13" s="359"/>
      <c r="N13" s="385"/>
      <c r="O13" s="385"/>
      <c r="P13" s="385"/>
      <c r="Q13" s="385"/>
      <c r="R13" s="385"/>
      <c r="S13" s="385"/>
      <c r="T13" s="385"/>
      <c r="U13" s="385"/>
      <c r="V13" s="385"/>
      <c r="W13" s="385"/>
      <c r="X13" s="385"/>
      <c r="Y13" s="385"/>
      <c r="Z13" s="385"/>
      <c r="AA13" s="385"/>
      <c r="AB13" s="385"/>
      <c r="AC13" s="385"/>
      <c r="AD13" s="50"/>
      <c r="AE13" s="359"/>
      <c r="AF13" s="393">
        <v>-0.01</v>
      </c>
      <c r="AG13" s="393">
        <v>-0.01</v>
      </c>
      <c r="AH13" s="393">
        <v>-0.01</v>
      </c>
      <c r="AI13" s="393">
        <v>-0.01</v>
      </c>
      <c r="AJ13" s="393">
        <v>-0.01</v>
      </c>
      <c r="AK13" s="393">
        <v>-0.01</v>
      </c>
      <c r="AL13" s="393">
        <v>-0.01</v>
      </c>
      <c r="AM13" s="393">
        <v>-0.01</v>
      </c>
      <c r="AN13" s="393">
        <v>-0.01</v>
      </c>
      <c r="AO13" s="393">
        <v>-0.01</v>
      </c>
      <c r="AP13" s="393">
        <v>-0.01</v>
      </c>
      <c r="AQ13" s="393">
        <v>-0.01</v>
      </c>
      <c r="AR13" s="393">
        <v>-0.01</v>
      </c>
      <c r="AS13" s="393">
        <v>-0.01</v>
      </c>
      <c r="AT13" s="393">
        <v>-0.01</v>
      </c>
      <c r="AU13" s="393">
        <v>-0.01</v>
      </c>
      <c r="AV13" s="393">
        <v>-0.01</v>
      </c>
      <c r="AW13" s="393">
        <v>-0.01</v>
      </c>
      <c r="AX13" s="393">
        <v>-0.01</v>
      </c>
      <c r="AY13" s="393">
        <v>-0.01</v>
      </c>
      <c r="AZ13" s="393">
        <v>-0.01</v>
      </c>
      <c r="BA13" s="393">
        <v>-0.01</v>
      </c>
      <c r="BB13" s="393">
        <v>-0.01</v>
      </c>
      <c r="BC13" s="393">
        <v>-0.01</v>
      </c>
      <c r="BD13" s="393">
        <v>-0.01</v>
      </c>
      <c r="BE13" s="393">
        <v>-0.01</v>
      </c>
      <c r="BF13" s="393">
        <v>-0.01</v>
      </c>
      <c r="BG13" s="393">
        <v>-0.01</v>
      </c>
      <c r="BH13" s="393">
        <v>-0.01</v>
      </c>
      <c r="BI13" s="393">
        <v>-0.01</v>
      </c>
      <c r="BJ13" s="393">
        <v>-0.01</v>
      </c>
      <c r="BK13" s="393">
        <v>-0.01</v>
      </c>
      <c r="BL13" s="393">
        <v>-0.01</v>
      </c>
      <c r="BM13" s="393">
        <v>-0.01</v>
      </c>
      <c r="BN13" s="393">
        <v>-0.01</v>
      </c>
      <c r="BO13" s="393">
        <v>-0.01</v>
      </c>
      <c r="BP13" s="393">
        <v>-0.01</v>
      </c>
      <c r="BQ13" s="393">
        <v>-0.01</v>
      </c>
      <c r="BR13" s="393">
        <v>-0.01</v>
      </c>
      <c r="BS13" s="393">
        <v>-0.01</v>
      </c>
      <c r="BT13" s="393">
        <v>-0.01</v>
      </c>
      <c r="BU13" s="393">
        <v>-0.01</v>
      </c>
      <c r="BV13" s="393">
        <v>-0.01</v>
      </c>
      <c r="BW13" s="393">
        <v>-0.01</v>
      </c>
      <c r="BX13" s="393">
        <v>-0.01</v>
      </c>
      <c r="BY13" s="393">
        <v>-0.01</v>
      </c>
      <c r="BZ13" s="393">
        <v>-0.01</v>
      </c>
      <c r="CA13" s="393">
        <v>-0.01</v>
      </c>
    </row>
    <row r="14" spans="1:79" s="51" customFormat="1" outlineLevel="1">
      <c r="B14" s="387"/>
      <c r="C14" s="386"/>
      <c r="F14" s="50"/>
      <c r="G14" s="359"/>
      <c r="H14" s="385"/>
      <c r="I14" s="385"/>
      <c r="J14" s="385"/>
      <c r="K14" s="385"/>
      <c r="L14" s="50"/>
      <c r="M14" s="359"/>
      <c r="N14" s="385"/>
      <c r="O14" s="385"/>
      <c r="P14" s="385"/>
      <c r="Q14" s="385"/>
      <c r="R14" s="385"/>
      <c r="S14" s="385"/>
      <c r="T14" s="385"/>
      <c r="U14" s="385"/>
      <c r="V14" s="385"/>
      <c r="W14" s="385"/>
      <c r="X14" s="385"/>
      <c r="Y14" s="385"/>
      <c r="Z14" s="385"/>
      <c r="AA14" s="385"/>
      <c r="AB14" s="385"/>
      <c r="AC14" s="385"/>
      <c r="AD14" s="50"/>
      <c r="AE14" s="359"/>
      <c r="AF14" s="384"/>
      <c r="AG14" s="384"/>
      <c r="AH14" s="384"/>
      <c r="AI14" s="384"/>
      <c r="AJ14" s="384"/>
      <c r="AK14" s="384"/>
      <c r="AL14" s="384"/>
      <c r="AM14" s="384"/>
      <c r="AN14" s="384"/>
      <c r="AO14" s="384"/>
      <c r="AP14" s="384"/>
      <c r="AQ14" s="384"/>
      <c r="AR14" s="384"/>
      <c r="AS14" s="384"/>
      <c r="AT14" s="384"/>
      <c r="AU14" s="384"/>
      <c r="AV14" s="384"/>
      <c r="AW14" s="384"/>
      <c r="AX14" s="384"/>
      <c r="AY14" s="384"/>
      <c r="AZ14" s="384"/>
      <c r="BA14" s="384"/>
      <c r="BB14" s="384"/>
      <c r="BC14" s="384"/>
      <c r="BD14" s="384"/>
      <c r="BE14" s="384"/>
      <c r="BF14" s="384"/>
      <c r="BG14" s="384"/>
      <c r="BH14" s="384"/>
      <c r="BI14" s="384"/>
      <c r="BJ14" s="384"/>
      <c r="BK14" s="384"/>
      <c r="BL14" s="384"/>
      <c r="BM14" s="384"/>
      <c r="BN14" s="384"/>
      <c r="BO14" s="384"/>
      <c r="BP14" s="384"/>
      <c r="BQ14" s="384"/>
      <c r="BR14" s="384"/>
      <c r="BS14" s="384"/>
      <c r="BT14" s="384"/>
      <c r="BU14" s="384"/>
      <c r="BV14" s="384"/>
      <c r="BW14" s="384"/>
      <c r="BX14" s="384"/>
      <c r="BY14" s="384"/>
      <c r="BZ14" s="384"/>
      <c r="CA14" s="384"/>
    </row>
    <row r="15" spans="1:79" ht="15" outlineLevel="1" collapsed="1">
      <c r="B15" s="367"/>
      <c r="C15" s="365" t="s">
        <v>487</v>
      </c>
      <c r="D15" s="366"/>
      <c r="E15" s="365"/>
      <c r="G15" s="359"/>
      <c r="H15" s="365"/>
      <c r="I15" s="365"/>
      <c r="J15" s="365"/>
      <c r="K15" s="365"/>
      <c r="M15" s="359"/>
      <c r="N15" s="365"/>
      <c r="O15" s="365"/>
      <c r="P15" s="365"/>
      <c r="Q15" s="365"/>
      <c r="R15" s="365"/>
      <c r="S15" s="365"/>
      <c r="T15" s="365"/>
      <c r="U15" s="365"/>
      <c r="V15" s="365"/>
      <c r="W15" s="365"/>
      <c r="X15" s="365"/>
      <c r="Y15" s="365"/>
      <c r="Z15" s="365"/>
      <c r="AA15" s="365"/>
      <c r="AB15" s="365"/>
      <c r="AC15" s="365"/>
      <c r="AE15" s="359"/>
      <c r="AF15" s="365"/>
      <c r="AG15" s="365"/>
      <c r="AH15" s="365"/>
      <c r="AI15" s="365"/>
      <c r="AJ15" s="365"/>
      <c r="AK15" s="365"/>
      <c r="AL15" s="365"/>
      <c r="AM15" s="365"/>
      <c r="AN15" s="365"/>
      <c r="AO15" s="365"/>
      <c r="AP15" s="365"/>
      <c r="AQ15" s="365"/>
      <c r="AR15" s="365"/>
      <c r="AS15" s="365"/>
      <c r="AT15" s="365"/>
      <c r="AU15" s="365"/>
      <c r="AV15" s="365"/>
      <c r="AW15" s="365"/>
      <c r="AX15" s="365"/>
      <c r="AY15" s="365"/>
      <c r="AZ15" s="365"/>
      <c r="BA15" s="365"/>
      <c r="BB15" s="365"/>
      <c r="BC15" s="365"/>
      <c r="BD15" s="365"/>
      <c r="BE15" s="365"/>
      <c r="BF15" s="365"/>
      <c r="BG15" s="365"/>
      <c r="BH15" s="365"/>
      <c r="BI15" s="365"/>
      <c r="BJ15" s="365"/>
      <c r="BK15" s="365"/>
      <c r="BL15" s="365"/>
      <c r="BM15" s="365"/>
      <c r="BN15" s="365"/>
      <c r="BO15" s="365"/>
      <c r="BP15" s="365"/>
      <c r="BQ15" s="365"/>
      <c r="BR15" s="365"/>
      <c r="BS15" s="365"/>
      <c r="BT15" s="365"/>
      <c r="BU15" s="365"/>
      <c r="BV15" s="365"/>
      <c r="BW15" s="365"/>
      <c r="BX15" s="365"/>
      <c r="BY15" s="365"/>
      <c r="BZ15" s="365"/>
      <c r="CA15" s="365"/>
    </row>
    <row r="16" spans="1:79" s="392" customFormat="1" ht="30" hidden="1" customHeight="1" outlineLevel="2">
      <c r="B16" s="387"/>
      <c r="C16" s="386"/>
      <c r="D16" s="360" t="s">
        <v>488</v>
      </c>
      <c r="E16" s="360" t="s">
        <v>489</v>
      </c>
      <c r="F16" s="357"/>
      <c r="G16" s="359"/>
      <c r="H16" s="385"/>
      <c r="I16" s="385"/>
      <c r="J16" s="385"/>
      <c r="K16" s="385"/>
      <c r="L16" s="357"/>
      <c r="M16" s="359"/>
      <c r="N16" s="385"/>
      <c r="O16" s="385"/>
      <c r="P16" s="385"/>
      <c r="Q16" s="385"/>
      <c r="R16" s="385"/>
      <c r="S16" s="385"/>
      <c r="T16" s="385"/>
      <c r="U16" s="385"/>
      <c r="V16" s="385"/>
      <c r="W16" s="385"/>
      <c r="X16" s="385"/>
      <c r="Y16" s="385"/>
      <c r="Z16" s="385"/>
      <c r="AA16" s="385"/>
      <c r="AB16" s="385"/>
      <c r="AC16" s="385"/>
      <c r="AD16" s="357"/>
      <c r="AE16" s="359"/>
      <c r="AF16" s="384"/>
      <c r="AG16" s="384"/>
      <c r="AH16" s="384"/>
      <c r="AI16" s="384"/>
      <c r="AJ16" s="384"/>
      <c r="AK16" s="384"/>
      <c r="AL16" s="384"/>
      <c r="AM16" s="384"/>
      <c r="AN16" s="384"/>
      <c r="AO16" s="384"/>
      <c r="AP16" s="384"/>
      <c r="AQ16" s="384"/>
      <c r="AR16" s="384"/>
      <c r="AS16" s="384"/>
      <c r="AT16" s="384"/>
      <c r="AU16" s="384"/>
      <c r="AV16" s="384"/>
      <c r="AW16" s="384"/>
      <c r="AX16" s="384"/>
      <c r="AY16" s="384"/>
      <c r="AZ16" s="384"/>
      <c r="BA16" s="384"/>
      <c r="BB16" s="384"/>
      <c r="BC16" s="384"/>
      <c r="BD16" s="384"/>
      <c r="BE16" s="384"/>
      <c r="BF16" s="384"/>
      <c r="BG16" s="384"/>
      <c r="BH16" s="384"/>
      <c r="BI16" s="384"/>
      <c r="BJ16" s="384"/>
      <c r="BK16" s="384"/>
      <c r="BL16" s="384"/>
      <c r="BM16" s="384"/>
      <c r="BN16" s="384"/>
      <c r="BO16" s="384"/>
      <c r="BP16" s="384"/>
      <c r="BQ16" s="384"/>
      <c r="BR16" s="384"/>
      <c r="BS16" s="384"/>
      <c r="BT16" s="384"/>
      <c r="BU16" s="384"/>
      <c r="BV16" s="384"/>
      <c r="BW16" s="384"/>
      <c r="BX16" s="384"/>
      <c r="BY16" s="384"/>
      <c r="BZ16" s="384"/>
      <c r="CA16" s="384"/>
    </row>
    <row r="17" spans="2:79" s="51" customFormat="1" hidden="1" outlineLevel="2">
      <c r="B17" s="387"/>
      <c r="C17" s="386"/>
      <c r="D17" s="391" t="s">
        <v>490</v>
      </c>
      <c r="E17" s="390">
        <v>0.25</v>
      </c>
      <c r="F17" s="50"/>
      <c r="G17" s="359"/>
      <c r="H17" s="385"/>
      <c r="I17" s="385"/>
      <c r="J17" s="385"/>
      <c r="K17" s="385"/>
      <c r="L17" s="50"/>
      <c r="M17" s="359"/>
      <c r="N17" s="385"/>
      <c r="O17" s="385"/>
      <c r="P17" s="385"/>
      <c r="Q17" s="385"/>
      <c r="R17" s="385"/>
      <c r="S17" s="385"/>
      <c r="T17" s="385"/>
      <c r="U17" s="385"/>
      <c r="V17" s="385"/>
      <c r="W17" s="385"/>
      <c r="X17" s="385"/>
      <c r="Y17" s="385"/>
      <c r="Z17" s="385"/>
      <c r="AA17" s="385"/>
      <c r="AB17" s="385"/>
      <c r="AC17" s="385"/>
      <c r="AD17" s="50"/>
      <c r="AE17" s="359"/>
      <c r="AF17" s="384"/>
      <c r="AG17" s="384"/>
      <c r="AH17" s="384"/>
      <c r="AI17" s="384"/>
      <c r="AJ17" s="384"/>
      <c r="AK17" s="384"/>
      <c r="AL17" s="384"/>
      <c r="AM17" s="384"/>
      <c r="AN17" s="384"/>
      <c r="AO17" s="384"/>
      <c r="AP17" s="384"/>
      <c r="AQ17" s="384"/>
      <c r="AR17" s="384"/>
      <c r="AS17" s="384"/>
      <c r="AT17" s="384"/>
      <c r="AU17" s="384"/>
      <c r="AV17" s="384"/>
      <c r="AW17" s="384"/>
      <c r="AX17" s="384"/>
      <c r="AY17" s="384"/>
      <c r="AZ17" s="384"/>
      <c r="BA17" s="384"/>
      <c r="BB17" s="384"/>
      <c r="BC17" s="384"/>
      <c r="BD17" s="384"/>
      <c r="BE17" s="384"/>
      <c r="BF17" s="384"/>
      <c r="BG17" s="384"/>
      <c r="BH17" s="384"/>
      <c r="BI17" s="384"/>
      <c r="BJ17" s="384"/>
      <c r="BK17" s="384"/>
      <c r="BL17" s="384"/>
      <c r="BM17" s="384"/>
      <c r="BN17" s="384"/>
      <c r="BO17" s="384"/>
      <c r="BP17" s="384"/>
      <c r="BQ17" s="384"/>
      <c r="BR17" s="384"/>
      <c r="BS17" s="384"/>
      <c r="BT17" s="384"/>
      <c r="BU17" s="384"/>
      <c r="BV17" s="384"/>
      <c r="BW17" s="384"/>
      <c r="BX17" s="384"/>
      <c r="BY17" s="384"/>
      <c r="BZ17" s="384"/>
      <c r="CA17" s="384"/>
    </row>
    <row r="18" spans="2:79" s="51" customFormat="1" hidden="1" outlineLevel="2">
      <c r="B18" s="387"/>
      <c r="C18" s="386"/>
      <c r="D18" s="391" t="s">
        <v>491</v>
      </c>
      <c r="E18" s="390">
        <v>0.5</v>
      </c>
      <c r="F18" s="50"/>
      <c r="G18" s="359"/>
      <c r="H18" s="385"/>
      <c r="I18" s="385"/>
      <c r="J18" s="385"/>
      <c r="K18" s="385"/>
      <c r="L18" s="50"/>
      <c r="M18" s="359"/>
      <c r="N18" s="385"/>
      <c r="O18" s="385"/>
      <c r="P18" s="385"/>
      <c r="Q18" s="385"/>
      <c r="R18" s="385"/>
      <c r="S18" s="385"/>
      <c r="T18" s="385"/>
      <c r="U18" s="385"/>
      <c r="V18" s="385"/>
      <c r="W18" s="385"/>
      <c r="X18" s="385"/>
      <c r="Y18" s="385"/>
      <c r="Z18" s="385"/>
      <c r="AA18" s="385"/>
      <c r="AB18" s="385"/>
      <c r="AC18" s="385"/>
      <c r="AD18" s="50"/>
      <c r="AE18" s="359"/>
      <c r="AF18" s="384"/>
      <c r="AG18" s="384"/>
      <c r="AH18" s="384"/>
      <c r="AI18" s="384"/>
      <c r="AJ18" s="384"/>
      <c r="AK18" s="384"/>
      <c r="AL18" s="384"/>
      <c r="AM18" s="384"/>
      <c r="AN18" s="384"/>
      <c r="AO18" s="384"/>
      <c r="AP18" s="384"/>
      <c r="AQ18" s="384"/>
      <c r="AR18" s="384"/>
      <c r="AS18" s="384"/>
      <c r="AT18" s="384"/>
      <c r="AU18" s="384"/>
      <c r="AV18" s="384"/>
      <c r="AW18" s="384"/>
      <c r="AX18" s="384"/>
      <c r="AY18" s="384"/>
      <c r="AZ18" s="384"/>
      <c r="BA18" s="384"/>
      <c r="BB18" s="384"/>
      <c r="BC18" s="384"/>
      <c r="BD18" s="384"/>
      <c r="BE18" s="384"/>
      <c r="BF18" s="384"/>
      <c r="BG18" s="384"/>
      <c r="BH18" s="384"/>
      <c r="BI18" s="384"/>
      <c r="BJ18" s="384"/>
      <c r="BK18" s="384"/>
      <c r="BL18" s="384"/>
      <c r="BM18" s="384"/>
      <c r="BN18" s="384"/>
      <c r="BO18" s="384"/>
      <c r="BP18" s="384"/>
      <c r="BQ18" s="384"/>
      <c r="BR18" s="384"/>
      <c r="BS18" s="384"/>
      <c r="BT18" s="384"/>
      <c r="BU18" s="384"/>
      <c r="BV18" s="384"/>
      <c r="BW18" s="384"/>
      <c r="BX18" s="384"/>
      <c r="BY18" s="384"/>
      <c r="BZ18" s="384"/>
      <c r="CA18" s="384"/>
    </row>
    <row r="19" spans="2:79" s="51" customFormat="1" hidden="1" outlineLevel="2">
      <c r="B19" s="387"/>
      <c r="C19" s="386"/>
      <c r="D19" s="391" t="s">
        <v>492</v>
      </c>
      <c r="E19" s="390">
        <v>0.8</v>
      </c>
      <c r="F19" s="50"/>
      <c r="G19" s="359"/>
      <c r="H19" s="385"/>
      <c r="I19" s="385"/>
      <c r="J19" s="385"/>
      <c r="K19" s="385"/>
      <c r="L19" s="50"/>
      <c r="M19" s="359"/>
      <c r="N19" s="385"/>
      <c r="O19" s="385"/>
      <c r="P19" s="385"/>
      <c r="Q19" s="385"/>
      <c r="R19" s="385"/>
      <c r="S19" s="385"/>
      <c r="T19" s="385"/>
      <c r="U19" s="385"/>
      <c r="V19" s="385"/>
      <c r="W19" s="385"/>
      <c r="X19" s="385"/>
      <c r="Y19" s="385"/>
      <c r="Z19" s="385"/>
      <c r="AA19" s="385"/>
      <c r="AB19" s="385"/>
      <c r="AC19" s="385"/>
      <c r="AD19" s="50"/>
      <c r="AE19" s="359"/>
      <c r="AF19" s="384"/>
      <c r="AG19" s="384"/>
      <c r="AH19" s="384"/>
      <c r="AI19" s="384"/>
      <c r="AJ19" s="384"/>
      <c r="AK19" s="384"/>
      <c r="AL19" s="384"/>
      <c r="AM19" s="384"/>
      <c r="AN19" s="384"/>
      <c r="AO19" s="384"/>
      <c r="AP19" s="384"/>
      <c r="AQ19" s="384"/>
      <c r="AR19" s="384"/>
      <c r="AS19" s="384"/>
      <c r="AT19" s="384"/>
      <c r="AU19" s="384"/>
      <c r="AV19" s="384"/>
      <c r="AW19" s="384"/>
      <c r="AX19" s="384"/>
      <c r="AY19" s="384"/>
      <c r="AZ19" s="384"/>
      <c r="BA19" s="384"/>
      <c r="BB19" s="384"/>
      <c r="BC19" s="384"/>
      <c r="BD19" s="384"/>
      <c r="BE19" s="384"/>
      <c r="BF19" s="384"/>
      <c r="BG19" s="384"/>
      <c r="BH19" s="384"/>
      <c r="BI19" s="384"/>
      <c r="BJ19" s="384"/>
      <c r="BK19" s="384"/>
      <c r="BL19" s="384"/>
      <c r="BM19" s="384"/>
      <c r="BN19" s="384"/>
      <c r="BO19" s="384"/>
      <c r="BP19" s="384"/>
      <c r="BQ19" s="384"/>
      <c r="BR19" s="384"/>
      <c r="BS19" s="384"/>
      <c r="BT19" s="384"/>
      <c r="BU19" s="384"/>
      <c r="BV19" s="384"/>
      <c r="BW19" s="384"/>
      <c r="BX19" s="384"/>
      <c r="BY19" s="384"/>
      <c r="BZ19" s="384"/>
      <c r="CA19" s="384"/>
    </row>
    <row r="20" spans="2:79" s="51" customFormat="1" hidden="1" outlineLevel="2">
      <c r="B20" s="387"/>
      <c r="C20" s="386"/>
      <c r="D20" s="391" t="s">
        <v>493</v>
      </c>
      <c r="E20" s="390">
        <v>1</v>
      </c>
      <c r="F20" s="50"/>
      <c r="G20" s="359"/>
      <c r="H20" s="385"/>
      <c r="I20" s="385"/>
      <c r="J20" s="385"/>
      <c r="K20" s="385"/>
      <c r="L20" s="50"/>
      <c r="M20" s="359"/>
      <c r="N20" s="385"/>
      <c r="O20" s="385"/>
      <c r="P20" s="385"/>
      <c r="Q20" s="385"/>
      <c r="R20" s="385"/>
      <c r="S20" s="385"/>
      <c r="T20" s="385"/>
      <c r="U20" s="385"/>
      <c r="V20" s="385"/>
      <c r="W20" s="385"/>
      <c r="X20" s="385"/>
      <c r="Y20" s="385"/>
      <c r="Z20" s="385"/>
      <c r="AA20" s="385"/>
      <c r="AB20" s="385"/>
      <c r="AC20" s="385"/>
      <c r="AD20" s="50"/>
      <c r="AE20" s="359"/>
      <c r="AF20" s="384"/>
      <c r="AG20" s="384"/>
      <c r="AH20" s="384"/>
      <c r="AI20" s="384"/>
      <c r="AJ20" s="384"/>
      <c r="AK20" s="384"/>
      <c r="AL20" s="384"/>
      <c r="AM20" s="384"/>
      <c r="AN20" s="384"/>
      <c r="AO20" s="384"/>
      <c r="AP20" s="384"/>
      <c r="AQ20" s="384"/>
      <c r="AR20" s="384"/>
      <c r="AS20" s="384"/>
      <c r="AT20" s="384"/>
      <c r="AU20" s="384"/>
      <c r="AV20" s="384"/>
      <c r="AW20" s="384"/>
      <c r="AX20" s="384"/>
      <c r="AY20" s="384"/>
      <c r="AZ20" s="384"/>
      <c r="BA20" s="384"/>
      <c r="BB20" s="384"/>
      <c r="BC20" s="384"/>
      <c r="BD20" s="384"/>
      <c r="BE20" s="384"/>
      <c r="BF20" s="384"/>
      <c r="BG20" s="384"/>
      <c r="BH20" s="384"/>
      <c r="BI20" s="384"/>
      <c r="BJ20" s="384"/>
      <c r="BK20" s="384"/>
      <c r="BL20" s="384"/>
      <c r="BM20" s="384"/>
      <c r="BN20" s="384"/>
      <c r="BO20" s="384"/>
      <c r="BP20" s="384"/>
      <c r="BQ20" s="384"/>
      <c r="BR20" s="384"/>
      <c r="BS20" s="384"/>
      <c r="BT20" s="384"/>
      <c r="BU20" s="384"/>
      <c r="BV20" s="384"/>
      <c r="BW20" s="384"/>
      <c r="BX20" s="384"/>
      <c r="BY20" s="384"/>
      <c r="BZ20" s="384"/>
      <c r="CA20" s="384"/>
    </row>
    <row r="21" spans="2:79" s="51" customFormat="1" hidden="1" outlineLevel="2">
      <c r="B21" s="387"/>
      <c r="C21" s="386"/>
      <c r="D21" s="391" t="s">
        <v>494</v>
      </c>
      <c r="E21" s="390">
        <v>0</v>
      </c>
      <c r="F21" s="50"/>
      <c r="G21" s="359"/>
      <c r="H21" s="385"/>
      <c r="I21" s="385"/>
      <c r="J21" s="385"/>
      <c r="K21" s="385"/>
      <c r="L21" s="50"/>
      <c r="M21" s="359"/>
      <c r="N21" s="385"/>
      <c r="O21" s="385"/>
      <c r="P21" s="385"/>
      <c r="Q21" s="385"/>
      <c r="R21" s="385"/>
      <c r="S21" s="385"/>
      <c r="T21" s="385"/>
      <c r="U21" s="385"/>
      <c r="V21" s="385"/>
      <c r="W21" s="385"/>
      <c r="X21" s="385"/>
      <c r="Y21" s="385"/>
      <c r="Z21" s="385"/>
      <c r="AA21" s="385"/>
      <c r="AB21" s="385"/>
      <c r="AC21" s="385"/>
      <c r="AD21" s="50"/>
      <c r="AE21" s="359"/>
      <c r="AF21" s="384"/>
      <c r="AG21" s="384"/>
      <c r="AH21" s="384"/>
      <c r="AI21" s="384"/>
      <c r="AJ21" s="384"/>
      <c r="AK21" s="384"/>
      <c r="AL21" s="384"/>
      <c r="AM21" s="384"/>
      <c r="AN21" s="384"/>
      <c r="AO21" s="384"/>
      <c r="AP21" s="384"/>
      <c r="AQ21" s="384"/>
      <c r="AR21" s="384"/>
      <c r="AS21" s="384"/>
      <c r="AT21" s="384"/>
      <c r="AU21" s="384"/>
      <c r="AV21" s="384"/>
      <c r="AW21" s="384"/>
      <c r="AX21" s="384"/>
      <c r="AY21" s="384"/>
      <c r="AZ21" s="384"/>
      <c r="BA21" s="384"/>
      <c r="BB21" s="384"/>
      <c r="BC21" s="384"/>
      <c r="BD21" s="384"/>
      <c r="BE21" s="384"/>
      <c r="BF21" s="384"/>
      <c r="BG21" s="384"/>
      <c r="BH21" s="384"/>
      <c r="BI21" s="384"/>
      <c r="BJ21" s="384"/>
      <c r="BK21" s="384"/>
      <c r="BL21" s="384"/>
      <c r="BM21" s="384"/>
      <c r="BN21" s="384"/>
      <c r="BO21" s="384"/>
      <c r="BP21" s="384"/>
      <c r="BQ21" s="384"/>
      <c r="BR21" s="384"/>
      <c r="BS21" s="384"/>
      <c r="BT21" s="384"/>
      <c r="BU21" s="384"/>
      <c r="BV21" s="384"/>
      <c r="BW21" s="384"/>
      <c r="BX21" s="384"/>
      <c r="BY21" s="384"/>
      <c r="BZ21" s="384"/>
      <c r="CA21" s="384"/>
    </row>
    <row r="22" spans="2:79" s="51" customFormat="1" hidden="1" outlineLevel="2">
      <c r="B22" s="387"/>
      <c r="C22" s="386"/>
      <c r="D22" s="389" t="s">
        <v>495</v>
      </c>
      <c r="E22" s="388">
        <v>0.9</v>
      </c>
      <c r="F22" s="50"/>
      <c r="G22" s="359"/>
      <c r="H22" s="385"/>
      <c r="I22" s="385"/>
      <c r="J22" s="385"/>
      <c r="K22" s="385"/>
      <c r="L22" s="50"/>
      <c r="M22" s="359"/>
      <c r="N22" s="385"/>
      <c r="O22" s="385"/>
      <c r="P22" s="385"/>
      <c r="Q22" s="385"/>
      <c r="R22" s="385"/>
      <c r="S22" s="385"/>
      <c r="T22" s="385"/>
      <c r="U22" s="385"/>
      <c r="V22" s="385"/>
      <c r="W22" s="385"/>
      <c r="X22" s="385"/>
      <c r="Y22" s="385"/>
      <c r="Z22" s="385"/>
      <c r="AA22" s="385"/>
      <c r="AB22" s="385"/>
      <c r="AC22" s="385"/>
      <c r="AD22" s="50"/>
      <c r="AE22" s="359"/>
      <c r="AF22" s="384"/>
      <c r="AG22" s="384"/>
      <c r="AH22" s="384"/>
      <c r="AI22" s="384"/>
      <c r="AJ22" s="384"/>
      <c r="AK22" s="384"/>
      <c r="AL22" s="384"/>
      <c r="AM22" s="384"/>
      <c r="AN22" s="384"/>
      <c r="AO22" s="384"/>
      <c r="AP22" s="384"/>
      <c r="AQ22" s="384"/>
      <c r="AR22" s="384"/>
      <c r="AS22" s="384"/>
      <c r="AT22" s="384"/>
      <c r="AU22" s="384"/>
      <c r="AV22" s="384"/>
      <c r="AW22" s="384"/>
      <c r="AX22" s="384"/>
      <c r="AY22" s="384"/>
      <c r="AZ22" s="384"/>
      <c r="BA22" s="384"/>
      <c r="BB22" s="384"/>
      <c r="BC22" s="384"/>
      <c r="BD22" s="384"/>
      <c r="BE22" s="384"/>
      <c r="BF22" s="384"/>
      <c r="BG22" s="384"/>
      <c r="BH22" s="384"/>
      <c r="BI22" s="384"/>
      <c r="BJ22" s="384"/>
      <c r="BK22" s="384"/>
      <c r="BL22" s="384"/>
      <c r="BM22" s="384"/>
      <c r="BN22" s="384"/>
      <c r="BO22" s="384"/>
      <c r="BP22" s="384"/>
      <c r="BQ22" s="384"/>
      <c r="BR22" s="384"/>
      <c r="BS22" s="384"/>
      <c r="BT22" s="384"/>
      <c r="BU22" s="384"/>
      <c r="BV22" s="384"/>
      <c r="BW22" s="384"/>
      <c r="BX22" s="384"/>
      <c r="BY22" s="384"/>
      <c r="BZ22" s="384"/>
      <c r="CA22" s="384"/>
    </row>
    <row r="23" spans="2:79" s="51" customFormat="1">
      <c r="B23" s="387"/>
      <c r="C23" s="386"/>
      <c r="F23" s="50"/>
      <c r="G23" s="359"/>
      <c r="H23" s="385"/>
      <c r="I23" s="385"/>
      <c r="J23" s="385"/>
      <c r="K23" s="385"/>
      <c r="L23" s="50"/>
      <c r="M23" s="359"/>
      <c r="N23" s="385"/>
      <c r="O23" s="385"/>
      <c r="P23" s="385"/>
      <c r="Q23" s="385"/>
      <c r="R23" s="385"/>
      <c r="S23" s="385"/>
      <c r="T23" s="385"/>
      <c r="U23" s="385"/>
      <c r="V23" s="385"/>
      <c r="W23" s="385"/>
      <c r="X23" s="385"/>
      <c r="Y23" s="385"/>
      <c r="Z23" s="385"/>
      <c r="AA23" s="385"/>
      <c r="AB23" s="385"/>
      <c r="AC23" s="385"/>
      <c r="AD23" s="50"/>
      <c r="AE23" s="359"/>
      <c r="AF23" s="384"/>
      <c r="AG23" s="384"/>
      <c r="AH23" s="384"/>
      <c r="AI23" s="384"/>
      <c r="AJ23" s="384"/>
      <c r="AK23" s="384"/>
      <c r="AL23" s="384"/>
      <c r="AM23" s="384"/>
      <c r="AN23" s="384"/>
      <c r="AO23" s="384"/>
      <c r="AP23" s="384"/>
      <c r="AQ23" s="384"/>
      <c r="AR23" s="384"/>
      <c r="AS23" s="384"/>
      <c r="AT23" s="384"/>
      <c r="AU23" s="384"/>
      <c r="AV23" s="384"/>
      <c r="AW23" s="384"/>
      <c r="AX23" s="384"/>
      <c r="AY23" s="384"/>
      <c r="AZ23" s="384"/>
      <c r="BA23" s="384"/>
      <c r="BB23" s="384"/>
      <c r="BC23" s="384"/>
      <c r="BD23" s="384"/>
      <c r="BE23" s="384"/>
      <c r="BF23" s="384"/>
      <c r="BG23" s="384"/>
      <c r="BH23" s="384"/>
      <c r="BI23" s="384"/>
      <c r="BJ23" s="384"/>
      <c r="BK23" s="384"/>
      <c r="BL23" s="384"/>
      <c r="BM23" s="384"/>
      <c r="BN23" s="384"/>
      <c r="BO23" s="384"/>
      <c r="BP23" s="384"/>
      <c r="BQ23" s="384"/>
      <c r="BR23" s="384"/>
      <c r="BS23" s="384"/>
      <c r="BT23" s="384"/>
      <c r="BU23" s="384"/>
      <c r="BV23" s="384"/>
      <c r="BW23" s="384"/>
      <c r="BX23" s="384"/>
      <c r="BY23" s="384"/>
      <c r="BZ23" s="384"/>
      <c r="CA23" s="384"/>
    </row>
    <row r="24" spans="2:79" s="51" customFormat="1" ht="24">
      <c r="B24" s="635" t="s">
        <v>496</v>
      </c>
      <c r="C24" s="475"/>
      <c r="D24" s="475"/>
      <c r="E24" s="632"/>
      <c r="F24" s="50"/>
      <c r="G24" s="359"/>
      <c r="H24" s="632"/>
      <c r="I24" s="632"/>
      <c r="J24" s="632"/>
      <c r="K24" s="632"/>
      <c r="L24" s="50"/>
      <c r="M24" s="359"/>
      <c r="N24" s="632"/>
      <c r="O24" s="632"/>
      <c r="P24" s="632"/>
      <c r="Q24" s="632"/>
      <c r="R24" s="632"/>
      <c r="S24" s="632"/>
      <c r="T24" s="632"/>
      <c r="U24" s="632"/>
      <c r="V24" s="632"/>
      <c r="W24" s="632"/>
      <c r="X24" s="632"/>
      <c r="Y24" s="632"/>
      <c r="Z24" s="632"/>
      <c r="AA24" s="632"/>
      <c r="AB24" s="632"/>
      <c r="AC24" s="632"/>
      <c r="AD24" s="50"/>
      <c r="AE24" s="359"/>
      <c r="AF24" s="632"/>
      <c r="AG24" s="632"/>
      <c r="AH24" s="632"/>
      <c r="AI24" s="632"/>
      <c r="AJ24" s="632"/>
      <c r="AK24" s="632"/>
      <c r="AL24" s="632"/>
      <c r="AM24" s="632"/>
      <c r="AN24" s="632"/>
      <c r="AO24" s="632"/>
      <c r="AP24" s="632"/>
      <c r="AQ24" s="632"/>
      <c r="AR24" s="632"/>
      <c r="AS24" s="632"/>
      <c r="AT24" s="632"/>
      <c r="AU24" s="632"/>
      <c r="AV24" s="632"/>
      <c r="AW24" s="632"/>
      <c r="AX24" s="632"/>
      <c r="AY24" s="632"/>
      <c r="AZ24" s="632"/>
      <c r="BA24" s="632"/>
      <c r="BB24" s="632"/>
      <c r="BC24" s="632"/>
      <c r="BD24" s="632"/>
      <c r="BE24" s="632"/>
      <c r="BF24" s="632"/>
      <c r="BG24" s="632"/>
      <c r="BH24" s="632"/>
      <c r="BI24" s="632"/>
      <c r="BJ24" s="632"/>
      <c r="BK24" s="632"/>
      <c r="BL24" s="632"/>
      <c r="BM24" s="632"/>
      <c r="BN24" s="632"/>
      <c r="BO24" s="632"/>
      <c r="BP24" s="632"/>
      <c r="BQ24" s="632"/>
      <c r="BR24" s="632"/>
      <c r="BS24" s="632"/>
      <c r="BT24" s="632"/>
      <c r="BU24" s="632"/>
      <c r="BV24" s="632"/>
      <c r="BW24" s="632"/>
      <c r="BX24" s="632"/>
      <c r="BY24" s="632"/>
      <c r="BZ24" s="632"/>
      <c r="CA24" s="632"/>
    </row>
    <row r="25" spans="2:79" ht="15" outlineLevel="1">
      <c r="B25" s="381"/>
      <c r="C25" s="365" t="s">
        <v>497</v>
      </c>
      <c r="D25" s="366"/>
      <c r="E25" s="365"/>
      <c r="G25" s="359"/>
      <c r="H25" s="378">
        <f>SUMIFS($AF25:$CA25,$AF$4:$CA$4,"&gt;="&amp;H$4,$AF$5:$CA$5,"&lt;="&amp;H$5)</f>
        <v>0</v>
      </c>
      <c r="I25" s="378">
        <f>SUMIFS($AF25:$CA25,$AF$4:$CA$4,"&gt;="&amp;I$4,$AF$5:$CA$5,"&lt;="&amp;I$5)</f>
        <v>303320</v>
      </c>
      <c r="J25" s="378">
        <f>SUMIFS($AF25:$CA25,$AF$4:$CA$4,"&gt;="&amp;J$4,$AF$5:$CA$5,"&lt;="&amp;J$5)</f>
        <v>878640</v>
      </c>
      <c r="K25" s="378">
        <f>SUMIFS($AF25:$CA25,$AF$4:$CA$4,"&gt;="&amp;K$4,$AF$5:$CA$5,"&lt;="&amp;K$5)</f>
        <v>878640</v>
      </c>
      <c r="L25" s="379"/>
      <c r="M25" s="359"/>
      <c r="N25" s="378">
        <f t="shared" ref="N25:AC25" si="13">SUMIFS($AF25:$CA25,$AF$4:$CA$4,"&gt;="&amp;N$4,$AF$5:$CA$5,"&lt;="&amp;N$5)</f>
        <v>0</v>
      </c>
      <c r="O25" s="378">
        <f t="shared" si="13"/>
        <v>0</v>
      </c>
      <c r="P25" s="378">
        <f t="shared" si="13"/>
        <v>0</v>
      </c>
      <c r="Q25" s="378">
        <f t="shared" si="13"/>
        <v>0</v>
      </c>
      <c r="R25" s="378">
        <f t="shared" si="13"/>
        <v>0</v>
      </c>
      <c r="S25" s="378">
        <f t="shared" si="13"/>
        <v>0</v>
      </c>
      <c r="T25" s="378">
        <f t="shared" si="13"/>
        <v>90900</v>
      </c>
      <c r="U25" s="378">
        <f t="shared" si="13"/>
        <v>212420</v>
      </c>
      <c r="V25" s="378">
        <f t="shared" si="13"/>
        <v>191360</v>
      </c>
      <c r="W25" s="378">
        <f t="shared" si="13"/>
        <v>191360</v>
      </c>
      <c r="X25" s="378">
        <f t="shared" si="13"/>
        <v>267160</v>
      </c>
      <c r="Y25" s="378">
        <f t="shared" si="13"/>
        <v>228760</v>
      </c>
      <c r="Z25" s="378">
        <f t="shared" si="13"/>
        <v>191360</v>
      </c>
      <c r="AA25" s="378">
        <f t="shared" si="13"/>
        <v>191360</v>
      </c>
      <c r="AB25" s="378">
        <f t="shared" si="13"/>
        <v>267160</v>
      </c>
      <c r="AC25" s="378">
        <f t="shared" si="13"/>
        <v>228760</v>
      </c>
      <c r="AE25" s="359"/>
      <c r="AF25" s="377">
        <f>'Revenue - Existing'!AF22</f>
        <v>0</v>
      </c>
      <c r="AG25" s="377">
        <f>'Revenue - Existing'!AG22</f>
        <v>0</v>
      </c>
      <c r="AH25" s="377">
        <f>'Revenue - Existing'!AH22</f>
        <v>0</v>
      </c>
      <c r="AI25" s="377">
        <f>'Revenue - Existing'!AI22</f>
        <v>0</v>
      </c>
      <c r="AJ25" s="377">
        <f>'Revenue - Existing'!AJ22</f>
        <v>0</v>
      </c>
      <c r="AK25" s="377">
        <f>'Revenue - Existing'!AK22</f>
        <v>0</v>
      </c>
      <c r="AL25" s="377">
        <f>'Revenue - Existing'!AL22</f>
        <v>0</v>
      </c>
      <c r="AM25" s="377">
        <f>'Revenue - Existing'!AM22</f>
        <v>0</v>
      </c>
      <c r="AN25" s="377">
        <f>'Revenue - Existing'!AN22</f>
        <v>0</v>
      </c>
      <c r="AO25" s="377">
        <f>'Revenue - Existing'!AO22</f>
        <v>0</v>
      </c>
      <c r="AP25" s="377">
        <f>'Revenue - Existing'!AP22</f>
        <v>0</v>
      </c>
      <c r="AQ25" s="377">
        <f>'Revenue - Existing'!AQ22</f>
        <v>0</v>
      </c>
      <c r="AR25" s="377">
        <f>'Revenue - Existing'!AR22</f>
        <v>0</v>
      </c>
      <c r="AS25" s="377">
        <f>'Revenue - Existing'!AS22</f>
        <v>0</v>
      </c>
      <c r="AT25" s="377">
        <f>'Revenue - Existing'!AT22</f>
        <v>0</v>
      </c>
      <c r="AU25" s="377">
        <f>'Revenue - Existing'!AU22</f>
        <v>0</v>
      </c>
      <c r="AV25" s="377">
        <f>'Revenue - Existing'!AV22</f>
        <v>0</v>
      </c>
      <c r="AW25" s="377">
        <f>'Revenue - Existing'!AW22</f>
        <v>0</v>
      </c>
      <c r="AX25" s="377">
        <f>'Revenue - Existing'!AX22</f>
        <v>0</v>
      </c>
      <c r="AY25" s="377">
        <f>'Revenue - Existing'!AY22</f>
        <v>55300</v>
      </c>
      <c r="AZ25" s="377">
        <f>'Revenue - Existing'!AZ22</f>
        <v>35600</v>
      </c>
      <c r="BA25" s="377">
        <f>'Revenue - Existing'!BA22</f>
        <v>64220</v>
      </c>
      <c r="BB25" s="377">
        <f>'Revenue - Existing'!BB22</f>
        <v>104780</v>
      </c>
      <c r="BC25" s="377">
        <f>'Revenue - Existing'!BC22</f>
        <v>43420</v>
      </c>
      <c r="BD25" s="377">
        <f>'Revenue - Existing'!BD22</f>
        <v>76060</v>
      </c>
      <c r="BE25" s="377">
        <f>'Revenue - Existing'!BE22</f>
        <v>71880</v>
      </c>
      <c r="BF25" s="377">
        <f>'Revenue - Existing'!BF22</f>
        <v>43420</v>
      </c>
      <c r="BG25" s="377">
        <f>'Revenue - Existing'!BG22</f>
        <v>76060</v>
      </c>
      <c r="BH25" s="377">
        <f>'Revenue - Existing'!BH22</f>
        <v>71880</v>
      </c>
      <c r="BI25" s="377">
        <f>'Revenue - Existing'!BI22</f>
        <v>43420</v>
      </c>
      <c r="BJ25" s="377">
        <f>'Revenue - Existing'!BJ22</f>
        <v>76060</v>
      </c>
      <c r="BK25" s="377">
        <f>'Revenue - Existing'!BK22</f>
        <v>112680</v>
      </c>
      <c r="BL25" s="377">
        <f>'Revenue - Existing'!BL22</f>
        <v>78420</v>
      </c>
      <c r="BM25" s="377">
        <f>'Revenue - Existing'!BM22</f>
        <v>76060</v>
      </c>
      <c r="BN25" s="377">
        <f>'Revenue - Existing'!BN22</f>
        <v>109280</v>
      </c>
      <c r="BO25" s="377">
        <f>'Revenue - Existing'!BO22</f>
        <v>43420</v>
      </c>
      <c r="BP25" s="377">
        <f>'Revenue - Existing'!BP22</f>
        <v>76060</v>
      </c>
      <c r="BQ25" s="377">
        <f>'Revenue - Existing'!BQ22</f>
        <v>71880</v>
      </c>
      <c r="BR25" s="377">
        <f>'Revenue - Existing'!BR22</f>
        <v>43420</v>
      </c>
      <c r="BS25" s="377">
        <f>'Revenue - Existing'!BS22</f>
        <v>76060</v>
      </c>
      <c r="BT25" s="377">
        <f>'Revenue - Existing'!BT22</f>
        <v>71880</v>
      </c>
      <c r="BU25" s="377">
        <f>'Revenue - Existing'!BU22</f>
        <v>43420</v>
      </c>
      <c r="BV25" s="377">
        <f>'Revenue - Existing'!BV22</f>
        <v>76060</v>
      </c>
      <c r="BW25" s="377">
        <f>'Revenue - Existing'!BW22</f>
        <v>112680</v>
      </c>
      <c r="BX25" s="377">
        <f>'Revenue - Existing'!BX22</f>
        <v>78420</v>
      </c>
      <c r="BY25" s="377">
        <f>'Revenue - Existing'!BY22</f>
        <v>76060</v>
      </c>
      <c r="BZ25" s="377">
        <f>'Revenue - Existing'!BZ22</f>
        <v>109280</v>
      </c>
      <c r="CA25" s="377">
        <f>'Revenue - Existing'!CA22</f>
        <v>43420</v>
      </c>
    </row>
    <row r="26" spans="2:79" outlineLevel="1">
      <c r="G26" s="359"/>
      <c r="M26" s="359"/>
      <c r="AE26" s="359"/>
    </row>
    <row r="27" spans="2:79" ht="15" outlineLevel="1">
      <c r="B27" s="367"/>
      <c r="C27" s="365" t="s">
        <v>498</v>
      </c>
      <c r="D27" s="366"/>
      <c r="E27" s="365"/>
      <c r="G27" s="359"/>
      <c r="H27" s="378">
        <f>SUMIFS($AF27:$CA27,$AF$4:$CA$4,"&gt;="&amp;H$4,$AF$5:$CA$5,"&lt;="&amp;H$5)</f>
        <v>26900</v>
      </c>
      <c r="I27" s="378">
        <f>SUMIFS($AF27:$CA27,$AF$4:$CA$4,"&gt;="&amp;I$4,$AF$5:$CA$5,"&lt;="&amp;I$5)</f>
        <v>389837.5</v>
      </c>
      <c r="J27" s="378">
        <f>SUMIFS($AF27:$CA27,$AF$4:$CA$4,"&gt;="&amp;J$4,$AF$5:$CA$5,"&lt;="&amp;J$5)</f>
        <v>867752.5</v>
      </c>
      <c r="K27" s="378">
        <f>SUMIFS($AF27:$CA27,$AF$4:$CA$4,"&gt;="&amp;K$4,$AF$5:$CA$5,"&lt;="&amp;K$5)</f>
        <v>2925985</v>
      </c>
      <c r="L27" s="379"/>
      <c r="M27" s="359"/>
      <c r="N27" s="378">
        <f t="shared" ref="N27:AC27" si="14">SUMIFS($AF27:$CA27,$AF$4:$CA$4,"&gt;="&amp;N$4,$AF$5:$CA$5,"&lt;="&amp;N$5)</f>
        <v>0</v>
      </c>
      <c r="O27" s="378">
        <f t="shared" si="14"/>
        <v>0</v>
      </c>
      <c r="P27" s="378">
        <f t="shared" si="14"/>
        <v>0</v>
      </c>
      <c r="Q27" s="378">
        <f t="shared" si="14"/>
        <v>26900</v>
      </c>
      <c r="R27" s="378">
        <f t="shared" si="14"/>
        <v>83300</v>
      </c>
      <c r="S27" s="378">
        <f t="shared" si="14"/>
        <v>86062.5</v>
      </c>
      <c r="T27" s="378">
        <f t="shared" si="14"/>
        <v>102212.5</v>
      </c>
      <c r="U27" s="378">
        <f t="shared" si="14"/>
        <v>118262.5</v>
      </c>
      <c r="V27" s="378">
        <f t="shared" si="14"/>
        <v>143587.5</v>
      </c>
      <c r="W27" s="378">
        <f t="shared" si="14"/>
        <v>150462.5</v>
      </c>
      <c r="X27" s="378">
        <f t="shared" si="14"/>
        <v>228015</v>
      </c>
      <c r="Y27" s="378">
        <f t="shared" si="14"/>
        <v>345687.5</v>
      </c>
      <c r="Z27" s="378">
        <f t="shared" si="14"/>
        <v>747175</v>
      </c>
      <c r="AA27" s="378">
        <f t="shared" si="14"/>
        <v>716432.5</v>
      </c>
      <c r="AB27" s="378">
        <f t="shared" si="14"/>
        <v>726685</v>
      </c>
      <c r="AC27" s="378">
        <f t="shared" si="14"/>
        <v>735692.5</v>
      </c>
      <c r="AE27" s="359"/>
      <c r="AF27" s="377">
        <f>'Revenue - Pipeline'!AF22</f>
        <v>0</v>
      </c>
      <c r="AG27" s="377">
        <f>'Revenue - Pipeline'!AG22</f>
        <v>0</v>
      </c>
      <c r="AH27" s="377">
        <f>'Revenue - Pipeline'!AH22</f>
        <v>0</v>
      </c>
      <c r="AI27" s="377">
        <f>'Revenue - Pipeline'!AI22</f>
        <v>0</v>
      </c>
      <c r="AJ27" s="377">
        <f>'Revenue - Pipeline'!AJ22</f>
        <v>0</v>
      </c>
      <c r="AK27" s="377">
        <f>'Revenue - Pipeline'!AK22</f>
        <v>0</v>
      </c>
      <c r="AL27" s="377">
        <f>'Revenue - Pipeline'!AL22</f>
        <v>0</v>
      </c>
      <c r="AM27" s="377">
        <f>'Revenue - Pipeline'!AM22</f>
        <v>0</v>
      </c>
      <c r="AN27" s="377">
        <f>'Revenue - Pipeline'!AN22</f>
        <v>0</v>
      </c>
      <c r="AO27" s="377">
        <f>'Revenue - Pipeline'!AO22</f>
        <v>0</v>
      </c>
      <c r="AP27" s="377">
        <f>'Revenue - Pipeline'!AP22</f>
        <v>0</v>
      </c>
      <c r="AQ27" s="377">
        <f>'Revenue - Pipeline'!AQ22</f>
        <v>26900</v>
      </c>
      <c r="AR27" s="377">
        <f>'Revenue - Pipeline'!AR22</f>
        <v>48050</v>
      </c>
      <c r="AS27" s="377">
        <f>'Revenue - Pipeline'!AS22</f>
        <v>24400</v>
      </c>
      <c r="AT27" s="377">
        <f>'Revenue - Pipeline'!AT22</f>
        <v>10850</v>
      </c>
      <c r="AU27" s="377">
        <f>'Revenue - Pipeline'!AU22</f>
        <v>27200</v>
      </c>
      <c r="AV27" s="377">
        <f>'Revenue - Pipeline'!AV22</f>
        <v>31862.5</v>
      </c>
      <c r="AW27" s="377">
        <f>'Revenue - Pipeline'!AW22</f>
        <v>27000</v>
      </c>
      <c r="AX27" s="377">
        <f>'Revenue - Pipeline'!AX22</f>
        <v>43350</v>
      </c>
      <c r="AY27" s="377">
        <f>'Revenue - Pipeline'!AY22</f>
        <v>31862.5</v>
      </c>
      <c r="AZ27" s="377">
        <f>'Revenue - Pipeline'!AZ22</f>
        <v>27000</v>
      </c>
      <c r="BA27" s="377">
        <f>'Revenue - Pipeline'!BA22</f>
        <v>43350</v>
      </c>
      <c r="BB27" s="377">
        <f>'Revenue - Pipeline'!BB22</f>
        <v>31862.5</v>
      </c>
      <c r="BC27" s="377">
        <f>'Revenue - Pipeline'!BC22</f>
        <v>43050</v>
      </c>
      <c r="BD27" s="377">
        <f>'Revenue - Pipeline'!BD22</f>
        <v>64200</v>
      </c>
      <c r="BE27" s="377">
        <f>'Revenue - Pipeline'!BE22</f>
        <v>45412.5</v>
      </c>
      <c r="BF27" s="377">
        <f>'Revenue - Pipeline'!BF22</f>
        <v>33975</v>
      </c>
      <c r="BG27" s="377">
        <f>'Revenue - Pipeline'!BG22</f>
        <v>57942.5</v>
      </c>
      <c r="BH27" s="377">
        <f>'Revenue - Pipeline'!BH22</f>
        <v>37250</v>
      </c>
      <c r="BI27" s="377">
        <f>'Revenue - Pipeline'!BI22</f>
        <v>55270</v>
      </c>
      <c r="BJ27" s="377">
        <f>'Revenue - Pipeline'!BJ22</f>
        <v>66382.5</v>
      </c>
      <c r="BK27" s="377">
        <f>'Revenue - Pipeline'!BK22</f>
        <v>93737.5</v>
      </c>
      <c r="BL27" s="377">
        <f>'Revenue - Pipeline'!BL22</f>
        <v>67895</v>
      </c>
      <c r="BM27" s="377">
        <f>'Revenue - Pipeline'!BM22</f>
        <v>97112.5</v>
      </c>
      <c r="BN27" s="377">
        <f>'Revenue - Pipeline'!BN22</f>
        <v>116975</v>
      </c>
      <c r="BO27" s="377">
        <f>'Revenue - Pipeline'!BO22</f>
        <v>131600</v>
      </c>
      <c r="BP27" s="377">
        <f>'Revenue - Pipeline'!BP22</f>
        <v>249962.5</v>
      </c>
      <c r="BQ27" s="377">
        <f>'Revenue - Pipeline'!BQ22</f>
        <v>250275</v>
      </c>
      <c r="BR27" s="377">
        <f>'Revenue - Pipeline'!BR22</f>
        <v>246937.5</v>
      </c>
      <c r="BS27" s="377">
        <f>'Revenue - Pipeline'!BS22</f>
        <v>214580</v>
      </c>
      <c r="BT27" s="377">
        <f>'Revenue - Pipeline'!BT22</f>
        <v>255375</v>
      </c>
      <c r="BU27" s="377">
        <f>'Revenue - Pipeline'!BU22</f>
        <v>246477.5</v>
      </c>
      <c r="BV27" s="377">
        <f>'Revenue - Pipeline'!BV22</f>
        <v>214580</v>
      </c>
      <c r="BW27" s="377">
        <f>'Revenue - Pipeline'!BW22</f>
        <v>271267.5</v>
      </c>
      <c r="BX27" s="377">
        <f>'Revenue - Pipeline'!BX22</f>
        <v>240837.5</v>
      </c>
      <c r="BY27" s="377">
        <f>'Revenue - Pipeline'!BY22</f>
        <v>214580</v>
      </c>
      <c r="BZ27" s="377">
        <f>'Revenue - Pipeline'!BZ22</f>
        <v>262825</v>
      </c>
      <c r="CA27" s="377">
        <f>'Revenue - Pipeline'!CA22</f>
        <v>258287.5</v>
      </c>
    </row>
    <row r="28" spans="2:79" outlineLevel="1">
      <c r="C28" s="380"/>
      <c r="G28" s="359"/>
      <c r="M28" s="359"/>
      <c r="AE28" s="359"/>
    </row>
    <row r="29" spans="2:79" ht="15" outlineLevel="1">
      <c r="B29" s="367"/>
      <c r="C29" s="365" t="s">
        <v>110</v>
      </c>
      <c r="D29" s="366"/>
      <c r="E29" s="365"/>
      <c r="G29" s="359"/>
      <c r="H29" s="378">
        <f>SUMIFS($AF29:$CA29,$AF$4:$CA$4,"&gt;="&amp;H$4,$AF$5:$CA$5,"&lt;="&amp;H$5)</f>
        <v>67500</v>
      </c>
      <c r="I29" s="378">
        <f>SUMIFS($AF29:$CA29,$AF$4:$CA$4,"&gt;="&amp;I$4,$AF$5:$CA$5,"&lt;="&amp;I$5)</f>
        <v>176660</v>
      </c>
      <c r="J29" s="378">
        <f>SUMIFS($AF29:$CA29,$AF$4:$CA$4,"&gt;="&amp;J$4,$AF$5:$CA$5,"&lt;="&amp;J$5)</f>
        <v>341920</v>
      </c>
      <c r="K29" s="378">
        <f>SUMIFS($AF29:$CA29,$AF$4:$CA$4,"&gt;="&amp;K$4,$AF$5:$CA$5,"&lt;="&amp;K$5)</f>
        <v>590320</v>
      </c>
      <c r="L29" s="379"/>
      <c r="M29" s="359"/>
      <c r="N29" s="378">
        <f t="shared" ref="N29:AC29" si="15">SUMIFS($AF29:$CA29,$AF$4:$CA$4,"&gt;="&amp;N$4,$AF$5:$CA$5,"&lt;="&amp;N$5)</f>
        <v>15000</v>
      </c>
      <c r="O29" s="378">
        <f t="shared" si="15"/>
        <v>15000</v>
      </c>
      <c r="P29" s="378">
        <f t="shared" si="15"/>
        <v>15000</v>
      </c>
      <c r="Q29" s="378">
        <f t="shared" si="15"/>
        <v>22500</v>
      </c>
      <c r="R29" s="378">
        <f t="shared" si="15"/>
        <v>38380</v>
      </c>
      <c r="S29" s="378">
        <f t="shared" si="15"/>
        <v>41180</v>
      </c>
      <c r="T29" s="378">
        <f t="shared" si="15"/>
        <v>42300</v>
      </c>
      <c r="U29" s="378">
        <f t="shared" si="15"/>
        <v>54800</v>
      </c>
      <c r="V29" s="378">
        <f t="shared" si="15"/>
        <v>73180</v>
      </c>
      <c r="W29" s="378">
        <f t="shared" si="15"/>
        <v>76460</v>
      </c>
      <c r="X29" s="378">
        <f t="shared" si="15"/>
        <v>85380</v>
      </c>
      <c r="Y29" s="378">
        <f t="shared" si="15"/>
        <v>106900</v>
      </c>
      <c r="Z29" s="378">
        <f t="shared" si="15"/>
        <v>130280</v>
      </c>
      <c r="AA29" s="378">
        <f t="shared" si="15"/>
        <v>138560</v>
      </c>
      <c r="AB29" s="378">
        <f t="shared" si="15"/>
        <v>147480</v>
      </c>
      <c r="AC29" s="378">
        <f t="shared" si="15"/>
        <v>174000</v>
      </c>
      <c r="AE29" s="359"/>
      <c r="AF29" s="377">
        <f>'Revenue - New'!AF131</f>
        <v>5000</v>
      </c>
      <c r="AG29" s="377">
        <f>'Revenue - New'!AG131</f>
        <v>5000</v>
      </c>
      <c r="AH29" s="377">
        <f>'Revenue - New'!AH131</f>
        <v>5000</v>
      </c>
      <c r="AI29" s="377">
        <f>'Revenue - New'!AI131</f>
        <v>5000</v>
      </c>
      <c r="AJ29" s="377">
        <f>'Revenue - New'!AJ131</f>
        <v>5000</v>
      </c>
      <c r="AK29" s="377">
        <f>'Revenue - New'!AK131</f>
        <v>5000</v>
      </c>
      <c r="AL29" s="377">
        <f>'Revenue - New'!AL131</f>
        <v>5000</v>
      </c>
      <c r="AM29" s="377">
        <f>'Revenue - New'!AM131</f>
        <v>5000</v>
      </c>
      <c r="AN29" s="377">
        <f>'Revenue - New'!AN131</f>
        <v>5000</v>
      </c>
      <c r="AO29" s="377">
        <f>'Revenue - New'!AO131</f>
        <v>7500</v>
      </c>
      <c r="AP29" s="377">
        <f>'Revenue - New'!AP131</f>
        <v>7500</v>
      </c>
      <c r="AQ29" s="377">
        <f>'Revenue - New'!AQ131</f>
        <v>7500</v>
      </c>
      <c r="AR29" s="377">
        <f>'Revenue - New'!AR131</f>
        <v>12500</v>
      </c>
      <c r="AS29" s="377">
        <f>'Revenue - New'!AS131</f>
        <v>12740</v>
      </c>
      <c r="AT29" s="377">
        <f>'Revenue - New'!AT131</f>
        <v>13140</v>
      </c>
      <c r="AU29" s="377">
        <f>'Revenue - New'!AU131</f>
        <v>13460</v>
      </c>
      <c r="AV29" s="377">
        <f>'Revenue - New'!AV131</f>
        <v>13740</v>
      </c>
      <c r="AW29" s="377">
        <f>'Revenue - New'!AW131</f>
        <v>13980</v>
      </c>
      <c r="AX29" s="377">
        <f>'Revenue - New'!AX131</f>
        <v>14100</v>
      </c>
      <c r="AY29" s="377">
        <f>'Revenue - New'!AY131</f>
        <v>14100</v>
      </c>
      <c r="AZ29" s="377">
        <f>'Revenue - New'!AZ131</f>
        <v>14100</v>
      </c>
      <c r="BA29" s="377">
        <f>'Revenue - New'!BA131</f>
        <v>16600</v>
      </c>
      <c r="BB29" s="377">
        <f>'Revenue - New'!BB131</f>
        <v>19100</v>
      </c>
      <c r="BC29" s="377">
        <f>'Revenue - New'!BC131</f>
        <v>19100</v>
      </c>
      <c r="BD29" s="377">
        <f>'Revenue - New'!BD131</f>
        <v>24100</v>
      </c>
      <c r="BE29" s="377">
        <f>'Revenue - New'!BE131</f>
        <v>24340</v>
      </c>
      <c r="BF29" s="377">
        <f>'Revenue - New'!BF131</f>
        <v>24740</v>
      </c>
      <c r="BG29" s="377">
        <f>'Revenue - New'!BG131</f>
        <v>25060</v>
      </c>
      <c r="BH29" s="377">
        <f>'Revenue - New'!BH131</f>
        <v>25340</v>
      </c>
      <c r="BI29" s="377">
        <f>'Revenue - New'!BI131</f>
        <v>26060</v>
      </c>
      <c r="BJ29" s="377">
        <f>'Revenue - New'!BJ131</f>
        <v>26500</v>
      </c>
      <c r="BK29" s="377">
        <f>'Revenue - New'!BK131</f>
        <v>29320</v>
      </c>
      <c r="BL29" s="377">
        <f>'Revenue - New'!BL131</f>
        <v>29560</v>
      </c>
      <c r="BM29" s="377">
        <f>'Revenue - New'!BM131</f>
        <v>32300</v>
      </c>
      <c r="BN29" s="377">
        <f>'Revenue - New'!BN131</f>
        <v>37300</v>
      </c>
      <c r="BO29" s="377">
        <f>'Revenue - New'!BO131</f>
        <v>37300</v>
      </c>
      <c r="BP29" s="377">
        <f>'Revenue - New'!BP131</f>
        <v>42300</v>
      </c>
      <c r="BQ29" s="377">
        <f>'Revenue - New'!BQ131</f>
        <v>42540</v>
      </c>
      <c r="BR29" s="377">
        <f>'Revenue - New'!BR131</f>
        <v>45440</v>
      </c>
      <c r="BS29" s="377">
        <f>'Revenue - New'!BS131</f>
        <v>45760</v>
      </c>
      <c r="BT29" s="377">
        <f>'Revenue - New'!BT131</f>
        <v>46040</v>
      </c>
      <c r="BU29" s="377">
        <f>'Revenue - New'!BU131</f>
        <v>46760</v>
      </c>
      <c r="BV29" s="377">
        <f>'Revenue - New'!BV131</f>
        <v>47200</v>
      </c>
      <c r="BW29" s="377">
        <f>'Revenue - New'!BW131</f>
        <v>50020</v>
      </c>
      <c r="BX29" s="377">
        <f>'Revenue - New'!BX131</f>
        <v>50260</v>
      </c>
      <c r="BY29" s="377">
        <f>'Revenue - New'!BY131</f>
        <v>53000</v>
      </c>
      <c r="BZ29" s="377">
        <f>'Revenue - New'!BZ131</f>
        <v>60500</v>
      </c>
      <c r="CA29" s="377">
        <f>'Revenue - New'!CA131</f>
        <v>60500</v>
      </c>
    </row>
    <row r="30" spans="2:79" outlineLevel="1">
      <c r="G30" s="359"/>
      <c r="M30" s="359"/>
      <c r="AE30" s="359"/>
    </row>
    <row r="31" spans="2:79" ht="15" outlineLevel="1" collapsed="1">
      <c r="B31" s="367"/>
      <c r="C31" s="365" t="s">
        <v>499</v>
      </c>
      <c r="D31" s="366"/>
      <c r="E31" s="365"/>
      <c r="G31" s="359"/>
      <c r="H31" s="378">
        <f>SUM(H32:H34)</f>
        <v>3487.7650659848623</v>
      </c>
      <c r="I31" s="378">
        <f>SUM(I32:I34)</f>
        <v>42487.89467889622</v>
      </c>
      <c r="J31" s="378">
        <f>SUM(J32:J34)</f>
        <v>145888.3037727201</v>
      </c>
      <c r="K31" s="378">
        <f>SUM(K32:K34)</f>
        <v>458584.89538810565</v>
      </c>
      <c r="L31" s="379"/>
      <c r="M31" s="359"/>
      <c r="N31" s="378">
        <f t="shared" ref="N31:AC31" si="16">SUM(N32:N34)</f>
        <v>150.5</v>
      </c>
      <c r="O31" s="378">
        <f t="shared" si="16"/>
        <v>609.57530050000014</v>
      </c>
      <c r="P31" s="378">
        <f t="shared" si="16"/>
        <v>1082.5610416804507</v>
      </c>
      <c r="Q31" s="378">
        <f t="shared" si="16"/>
        <v>1645.1287238044097</v>
      </c>
      <c r="R31" s="378">
        <f t="shared" si="16"/>
        <v>4554.5521692644061</v>
      </c>
      <c r="S31" s="378">
        <f t="shared" si="16"/>
        <v>8064.4213345452845</v>
      </c>
      <c r="T31" s="378">
        <f t="shared" si="16"/>
        <v>12505.435357903341</v>
      </c>
      <c r="U31" s="378">
        <f t="shared" si="16"/>
        <v>17363.485817183184</v>
      </c>
      <c r="V31" s="378">
        <f t="shared" si="16"/>
        <v>23891.318613429641</v>
      </c>
      <c r="W31" s="378">
        <f t="shared" si="16"/>
        <v>31005.416726235184</v>
      </c>
      <c r="X31" s="378">
        <f t="shared" si="16"/>
        <v>39624.153530956843</v>
      </c>
      <c r="Y31" s="378">
        <f t="shared" si="16"/>
        <v>51367.41490209836</v>
      </c>
      <c r="Z31" s="378">
        <f t="shared" si="16"/>
        <v>71296.437778546853</v>
      </c>
      <c r="AA31" s="378">
        <f t="shared" si="16"/>
        <v>99488.912844674604</v>
      </c>
      <c r="AB31" s="378">
        <f t="shared" si="16"/>
        <v>128638.32313528104</v>
      </c>
      <c r="AC31" s="378">
        <f t="shared" si="16"/>
        <v>159161.22162960315</v>
      </c>
      <c r="AE31" s="359"/>
      <c r="AF31" s="377">
        <f t="shared" ref="AF31:CA31" si="17">SUM(AF32:AF34)</f>
        <v>0</v>
      </c>
      <c r="AG31" s="377">
        <f t="shared" si="17"/>
        <v>50</v>
      </c>
      <c r="AH31" s="377">
        <f t="shared" si="17"/>
        <v>100.5</v>
      </c>
      <c r="AI31" s="377">
        <f t="shared" si="17"/>
        <v>151.505</v>
      </c>
      <c r="AJ31" s="377">
        <f t="shared" si="17"/>
        <v>203.02004999999997</v>
      </c>
      <c r="AK31" s="377">
        <f t="shared" si="17"/>
        <v>255.05025049999995</v>
      </c>
      <c r="AL31" s="377">
        <f t="shared" si="17"/>
        <v>307.600753005</v>
      </c>
      <c r="AM31" s="377">
        <f t="shared" si="17"/>
        <v>360.67676053504994</v>
      </c>
      <c r="AN31" s="377">
        <f t="shared" si="17"/>
        <v>414.28352814040051</v>
      </c>
      <c r="AO31" s="377">
        <f t="shared" si="17"/>
        <v>468.42636342180458</v>
      </c>
      <c r="AP31" s="377">
        <f t="shared" si="17"/>
        <v>548.11062705602239</v>
      </c>
      <c r="AQ31" s="377">
        <f t="shared" si="17"/>
        <v>628.59173332658258</v>
      </c>
      <c r="AR31" s="377">
        <f t="shared" si="17"/>
        <v>978.87765065984843</v>
      </c>
      <c r="AS31" s="377">
        <f t="shared" si="17"/>
        <v>1594.1664271664467</v>
      </c>
      <c r="AT31" s="377">
        <f t="shared" si="17"/>
        <v>1981.5080914381122</v>
      </c>
      <c r="AU31" s="377">
        <f t="shared" si="17"/>
        <v>2241.2231723524919</v>
      </c>
      <c r="AV31" s="377">
        <f t="shared" si="17"/>
        <v>2670.2354040760188</v>
      </c>
      <c r="AW31" s="377">
        <f t="shared" si="17"/>
        <v>3152.962758116777</v>
      </c>
      <c r="AX31" s="377">
        <f t="shared" si="17"/>
        <v>3594.2923856979455</v>
      </c>
      <c r="AY31" s="377">
        <f t="shared" si="17"/>
        <v>4204.7353095549242</v>
      </c>
      <c r="AZ31" s="377">
        <f t="shared" si="17"/>
        <v>4706.4076626504739</v>
      </c>
      <c r="BA31" s="377">
        <f t="shared" si="17"/>
        <v>5164.471739276979</v>
      </c>
      <c r="BB31" s="377">
        <f t="shared" si="17"/>
        <v>5815.616456669748</v>
      </c>
      <c r="BC31" s="377">
        <f t="shared" si="17"/>
        <v>6383.3976212364469</v>
      </c>
      <c r="BD31" s="377">
        <f t="shared" si="17"/>
        <v>7068.731597448812</v>
      </c>
      <c r="BE31" s="377">
        <f t="shared" si="17"/>
        <v>8022.4189134232984</v>
      </c>
      <c r="BF31" s="377">
        <f t="shared" si="17"/>
        <v>8800.1681025575308</v>
      </c>
      <c r="BG31" s="377">
        <f t="shared" si="17"/>
        <v>9475.3197835831088</v>
      </c>
      <c r="BH31" s="377">
        <f t="shared" si="17"/>
        <v>10400.097981418941</v>
      </c>
      <c r="BI31" s="377">
        <f t="shared" si="17"/>
        <v>11129.998961233128</v>
      </c>
      <c r="BJ31" s="377">
        <f t="shared" si="17"/>
        <v>12054.59895084546</v>
      </c>
      <c r="BK31" s="377">
        <f t="shared" si="17"/>
        <v>13103.969940353918</v>
      </c>
      <c r="BL31" s="377">
        <f t="shared" si="17"/>
        <v>14465.584639757457</v>
      </c>
      <c r="BM31" s="377">
        <f t="shared" si="17"/>
        <v>15584.790486155032</v>
      </c>
      <c r="BN31" s="377">
        <f t="shared" si="17"/>
        <v>17034.763391016579</v>
      </c>
      <c r="BO31" s="377">
        <f t="shared" si="17"/>
        <v>18747.861024926751</v>
      </c>
      <c r="BP31" s="377">
        <f t="shared" si="17"/>
        <v>20624.339635176013</v>
      </c>
      <c r="BQ31" s="377">
        <f t="shared" si="17"/>
        <v>23753.208031527771</v>
      </c>
      <c r="BR31" s="377">
        <f t="shared" si="17"/>
        <v>26918.890111843051</v>
      </c>
      <c r="BS31" s="377">
        <f t="shared" si="17"/>
        <v>30111.854012961485</v>
      </c>
      <c r="BT31" s="377">
        <f t="shared" si="17"/>
        <v>33016.372553091103</v>
      </c>
      <c r="BU31" s="377">
        <f t="shared" si="17"/>
        <v>36360.686278622015</v>
      </c>
      <c r="BV31" s="377">
        <f t="shared" si="17"/>
        <v>39656.66814140822</v>
      </c>
      <c r="BW31" s="377">
        <f t="shared" si="17"/>
        <v>42671.034822822316</v>
      </c>
      <c r="BX31" s="377">
        <f t="shared" si="17"/>
        <v>46310.620171050519</v>
      </c>
      <c r="BY31" s="377">
        <f t="shared" si="17"/>
        <v>49684.701372761025</v>
      </c>
      <c r="BZ31" s="377">
        <f t="shared" si="17"/>
        <v>52857.348386488629</v>
      </c>
      <c r="CA31" s="377">
        <f t="shared" si="17"/>
        <v>56619.171870353508</v>
      </c>
    </row>
    <row r="32" spans="2:79" hidden="1" outlineLevel="2">
      <c r="D32" s="383" t="s">
        <v>112</v>
      </c>
      <c r="G32" s="359"/>
      <c r="H32" s="361">
        <f t="shared" ref="H32:K34" si="18">SUMIFS($AF32:$CA32,$AF$4:$CA$4,"&gt;="&amp;H$4,$AF$5:$CA$5,"&lt;="&amp;H$5)</f>
        <v>10463.295197954583</v>
      </c>
      <c r="I32" s="361">
        <f t="shared" si="18"/>
        <v>127463.68403668866</v>
      </c>
      <c r="J32" s="361">
        <f t="shared" si="18"/>
        <v>437664.91131816019</v>
      </c>
      <c r="K32" s="361">
        <f t="shared" si="18"/>
        <v>1375754.6861643172</v>
      </c>
      <c r="L32" s="362"/>
      <c r="M32" s="359"/>
      <c r="N32" s="361">
        <f t="shared" ref="N32:AC34" si="19">SUMIFS($AF32:$CA32,$AF$4:$CA$4,"&gt;="&amp;N$4,$AF$5:$CA$5,"&lt;="&amp;N$5)</f>
        <v>451.5</v>
      </c>
      <c r="O32" s="361">
        <f t="shared" si="19"/>
        <v>1828.7259015</v>
      </c>
      <c r="P32" s="361">
        <f t="shared" si="19"/>
        <v>3247.683125041352</v>
      </c>
      <c r="Q32" s="361">
        <f t="shared" si="19"/>
        <v>4935.3861714132299</v>
      </c>
      <c r="R32" s="361">
        <f t="shared" si="19"/>
        <v>13663.656507793223</v>
      </c>
      <c r="S32" s="361">
        <f t="shared" si="19"/>
        <v>24193.264003635864</v>
      </c>
      <c r="T32" s="361">
        <f t="shared" si="19"/>
        <v>37516.306073710039</v>
      </c>
      <c r="U32" s="361">
        <f t="shared" si="19"/>
        <v>52090.457451549533</v>
      </c>
      <c r="V32" s="361">
        <f t="shared" si="19"/>
        <v>71673.955840288938</v>
      </c>
      <c r="W32" s="361">
        <f t="shared" si="19"/>
        <v>93016.250178705552</v>
      </c>
      <c r="X32" s="361">
        <f t="shared" si="19"/>
        <v>118872.46059287053</v>
      </c>
      <c r="Y32" s="361">
        <f t="shared" si="19"/>
        <v>154102.24470629511</v>
      </c>
      <c r="Z32" s="361">
        <f t="shared" si="19"/>
        <v>213889.31333564056</v>
      </c>
      <c r="AA32" s="361">
        <f t="shared" si="19"/>
        <v>298466.73853402381</v>
      </c>
      <c r="AB32" s="361">
        <f t="shared" si="19"/>
        <v>385914.96940584324</v>
      </c>
      <c r="AC32" s="361">
        <f t="shared" si="19"/>
        <v>477483.66488880955</v>
      </c>
      <c r="AD32" s="362"/>
      <c r="AE32" s="359"/>
      <c r="AF32" s="361">
        <f t="shared" ref="AF32:CA32" si="20">AF102</f>
        <v>0</v>
      </c>
      <c r="AG32" s="361">
        <f t="shared" si="20"/>
        <v>150</v>
      </c>
      <c r="AH32" s="361">
        <f t="shared" si="20"/>
        <v>301.5</v>
      </c>
      <c r="AI32" s="361">
        <f t="shared" si="20"/>
        <v>454.51499999999999</v>
      </c>
      <c r="AJ32" s="361">
        <f t="shared" si="20"/>
        <v>609.06014999999991</v>
      </c>
      <c r="AK32" s="361">
        <f t="shared" si="20"/>
        <v>765.15075149999996</v>
      </c>
      <c r="AL32" s="361">
        <f t="shared" si="20"/>
        <v>922.802259015</v>
      </c>
      <c r="AM32" s="361">
        <f t="shared" si="20"/>
        <v>1082.0302816051501</v>
      </c>
      <c r="AN32" s="361">
        <f t="shared" si="20"/>
        <v>1242.8505844212018</v>
      </c>
      <c r="AO32" s="361">
        <f t="shared" si="20"/>
        <v>1405.2790902654137</v>
      </c>
      <c r="AP32" s="361">
        <f t="shared" si="20"/>
        <v>1644.3318811680676</v>
      </c>
      <c r="AQ32" s="361">
        <f t="shared" si="20"/>
        <v>1885.7751999797483</v>
      </c>
      <c r="AR32" s="361">
        <f t="shared" si="20"/>
        <v>2936.6329519795459</v>
      </c>
      <c r="AS32" s="361">
        <f t="shared" si="20"/>
        <v>4782.4992814993411</v>
      </c>
      <c r="AT32" s="361">
        <f t="shared" si="20"/>
        <v>5944.5242743143353</v>
      </c>
      <c r="AU32" s="361">
        <f t="shared" si="20"/>
        <v>6723.6695170574776</v>
      </c>
      <c r="AV32" s="361">
        <f t="shared" si="20"/>
        <v>8010.706212228054</v>
      </c>
      <c r="AW32" s="361">
        <f t="shared" si="20"/>
        <v>9458.8882743503345</v>
      </c>
      <c r="AX32" s="361">
        <f t="shared" si="20"/>
        <v>10782.877157093839</v>
      </c>
      <c r="AY32" s="361">
        <f t="shared" si="20"/>
        <v>12614.205928664776</v>
      </c>
      <c r="AZ32" s="361">
        <f t="shared" si="20"/>
        <v>14119.222987951425</v>
      </c>
      <c r="BA32" s="361">
        <f t="shared" si="20"/>
        <v>15493.415217830941</v>
      </c>
      <c r="BB32" s="361">
        <f t="shared" si="20"/>
        <v>17446.849370009248</v>
      </c>
      <c r="BC32" s="361">
        <f t="shared" si="20"/>
        <v>19150.192863709341</v>
      </c>
      <c r="BD32" s="361">
        <f t="shared" si="20"/>
        <v>21206.194792346436</v>
      </c>
      <c r="BE32" s="361">
        <f t="shared" si="20"/>
        <v>24067.256740269899</v>
      </c>
      <c r="BF32" s="361">
        <f t="shared" si="20"/>
        <v>26400.5043076726</v>
      </c>
      <c r="BG32" s="361">
        <f t="shared" si="20"/>
        <v>28425.959350749326</v>
      </c>
      <c r="BH32" s="361">
        <f t="shared" si="20"/>
        <v>31200.293944256824</v>
      </c>
      <c r="BI32" s="361">
        <f t="shared" si="20"/>
        <v>33389.996883699394</v>
      </c>
      <c r="BJ32" s="361">
        <f t="shared" si="20"/>
        <v>36163.79685253639</v>
      </c>
      <c r="BK32" s="361">
        <f t="shared" si="20"/>
        <v>39311.909821061759</v>
      </c>
      <c r="BL32" s="361">
        <f t="shared" si="20"/>
        <v>43396.753919272378</v>
      </c>
      <c r="BM32" s="361">
        <f t="shared" si="20"/>
        <v>46754.371458465102</v>
      </c>
      <c r="BN32" s="361">
        <f t="shared" si="20"/>
        <v>51104.290173049754</v>
      </c>
      <c r="BO32" s="361">
        <f t="shared" si="20"/>
        <v>56243.583074780254</v>
      </c>
      <c r="BP32" s="361">
        <f t="shared" si="20"/>
        <v>61873.018905528057</v>
      </c>
      <c r="BQ32" s="361">
        <f t="shared" si="20"/>
        <v>71259.624094583327</v>
      </c>
      <c r="BR32" s="361">
        <f t="shared" si="20"/>
        <v>80756.670335529168</v>
      </c>
      <c r="BS32" s="361">
        <f t="shared" si="20"/>
        <v>90335.562038884469</v>
      </c>
      <c r="BT32" s="361">
        <f t="shared" si="20"/>
        <v>99049.11765927331</v>
      </c>
      <c r="BU32" s="361">
        <f t="shared" si="20"/>
        <v>109082.05883586605</v>
      </c>
      <c r="BV32" s="361">
        <f t="shared" si="20"/>
        <v>118970.00442422469</v>
      </c>
      <c r="BW32" s="361">
        <f t="shared" si="20"/>
        <v>128013.10446846695</v>
      </c>
      <c r="BX32" s="361">
        <f t="shared" si="20"/>
        <v>138931.86051315159</v>
      </c>
      <c r="BY32" s="361">
        <f t="shared" si="20"/>
        <v>149054.10411828311</v>
      </c>
      <c r="BZ32" s="361">
        <f t="shared" si="20"/>
        <v>158572.04515946592</v>
      </c>
      <c r="CA32" s="361">
        <f t="shared" si="20"/>
        <v>169857.51561106055</v>
      </c>
    </row>
    <row r="33" spans="2:79" hidden="1" outlineLevel="2">
      <c r="D33" s="383" t="s">
        <v>113</v>
      </c>
      <c r="G33" s="359"/>
      <c r="H33" s="361">
        <f t="shared" si="18"/>
        <v>-3487.7650659848605</v>
      </c>
      <c r="I33" s="361">
        <f t="shared" si="18"/>
        <v>-42487.89467889622</v>
      </c>
      <c r="J33" s="361">
        <f t="shared" si="18"/>
        <v>-145888.30377272004</v>
      </c>
      <c r="K33" s="361">
        <f t="shared" si="18"/>
        <v>-458584.89538810577</v>
      </c>
      <c r="L33" s="362"/>
      <c r="M33" s="359"/>
      <c r="N33" s="361">
        <f t="shared" si="19"/>
        <v>-150.5</v>
      </c>
      <c r="O33" s="361">
        <f t="shared" si="19"/>
        <v>-609.57530049999991</v>
      </c>
      <c r="P33" s="361">
        <f t="shared" si="19"/>
        <v>-1082.5610416804507</v>
      </c>
      <c r="Q33" s="361">
        <f t="shared" si="19"/>
        <v>-1645.1287238044101</v>
      </c>
      <c r="R33" s="361">
        <f t="shared" si="19"/>
        <v>-4554.5521692644079</v>
      </c>
      <c r="S33" s="361">
        <f t="shared" si="19"/>
        <v>-8064.4213345452899</v>
      </c>
      <c r="T33" s="361">
        <f t="shared" si="19"/>
        <v>-12505.435357903349</v>
      </c>
      <c r="U33" s="361">
        <f t="shared" si="19"/>
        <v>-17363.485817183177</v>
      </c>
      <c r="V33" s="361">
        <f t="shared" si="19"/>
        <v>-23891.318613429648</v>
      </c>
      <c r="W33" s="361">
        <f t="shared" si="19"/>
        <v>-31005.416726235184</v>
      </c>
      <c r="X33" s="361">
        <f t="shared" si="19"/>
        <v>-39624.153530956843</v>
      </c>
      <c r="Y33" s="361">
        <f t="shared" si="19"/>
        <v>-51367.414902098375</v>
      </c>
      <c r="Z33" s="361">
        <f t="shared" si="19"/>
        <v>-71296.437778546853</v>
      </c>
      <c r="AA33" s="361">
        <f t="shared" si="19"/>
        <v>-99488.912844674604</v>
      </c>
      <c r="AB33" s="361">
        <f t="shared" si="19"/>
        <v>-128638.3231352811</v>
      </c>
      <c r="AC33" s="361">
        <f t="shared" si="19"/>
        <v>-159161.22162960321</v>
      </c>
      <c r="AD33" s="362"/>
      <c r="AE33" s="359"/>
      <c r="AF33" s="361">
        <f t="shared" ref="AF33:CA33" si="21">AF103</f>
        <v>0</v>
      </c>
      <c r="AG33" s="361">
        <f t="shared" si="21"/>
        <v>-50</v>
      </c>
      <c r="AH33" s="361">
        <f t="shared" si="21"/>
        <v>-100.5</v>
      </c>
      <c r="AI33" s="361">
        <f t="shared" si="21"/>
        <v>-151.505</v>
      </c>
      <c r="AJ33" s="361">
        <f t="shared" si="21"/>
        <v>-203.02004999999997</v>
      </c>
      <c r="AK33" s="361">
        <f t="shared" si="21"/>
        <v>-255.0502505</v>
      </c>
      <c r="AL33" s="361">
        <f t="shared" si="21"/>
        <v>-307.600753005</v>
      </c>
      <c r="AM33" s="361">
        <f t="shared" si="21"/>
        <v>-360.67676053505005</v>
      </c>
      <c r="AN33" s="361">
        <f t="shared" si="21"/>
        <v>-414.28352814040062</v>
      </c>
      <c r="AO33" s="361">
        <f t="shared" si="21"/>
        <v>-468.42636342180458</v>
      </c>
      <c r="AP33" s="361">
        <f t="shared" si="21"/>
        <v>-548.11062705602262</v>
      </c>
      <c r="AQ33" s="361">
        <f t="shared" si="21"/>
        <v>-628.59173332658281</v>
      </c>
      <c r="AR33" s="361">
        <f t="shared" si="21"/>
        <v>-978.87765065984865</v>
      </c>
      <c r="AS33" s="361">
        <f t="shared" si="21"/>
        <v>-1594.1664271664472</v>
      </c>
      <c r="AT33" s="361">
        <f t="shared" si="21"/>
        <v>-1981.5080914381117</v>
      </c>
      <c r="AU33" s="361">
        <f t="shared" si="21"/>
        <v>-2241.2231723524928</v>
      </c>
      <c r="AV33" s="361">
        <f t="shared" si="21"/>
        <v>-2670.2354040760179</v>
      </c>
      <c r="AW33" s="361">
        <f t="shared" si="21"/>
        <v>-3152.9627581167788</v>
      </c>
      <c r="AX33" s="361">
        <f t="shared" si="21"/>
        <v>-3594.2923856979464</v>
      </c>
      <c r="AY33" s="361">
        <f t="shared" si="21"/>
        <v>-4204.7353095549261</v>
      </c>
      <c r="AZ33" s="361">
        <f t="shared" si="21"/>
        <v>-4706.4076626504757</v>
      </c>
      <c r="BA33" s="361">
        <f t="shared" si="21"/>
        <v>-5164.4717392769808</v>
      </c>
      <c r="BB33" s="361">
        <f t="shared" si="21"/>
        <v>-5815.6164566697498</v>
      </c>
      <c r="BC33" s="361">
        <f t="shared" si="21"/>
        <v>-6383.3976212364469</v>
      </c>
      <c r="BD33" s="361">
        <f t="shared" si="21"/>
        <v>-7068.731597448812</v>
      </c>
      <c r="BE33" s="361">
        <f t="shared" si="21"/>
        <v>-8022.4189134233002</v>
      </c>
      <c r="BF33" s="361">
        <f t="shared" si="21"/>
        <v>-8800.1681025575344</v>
      </c>
      <c r="BG33" s="361">
        <f t="shared" si="21"/>
        <v>-9475.3197835831088</v>
      </c>
      <c r="BH33" s="361">
        <f t="shared" si="21"/>
        <v>-10400.097981418941</v>
      </c>
      <c r="BI33" s="361">
        <f t="shared" si="21"/>
        <v>-11129.998961233132</v>
      </c>
      <c r="BJ33" s="361">
        <f t="shared" si="21"/>
        <v>-12054.598950845464</v>
      </c>
      <c r="BK33" s="361">
        <f t="shared" si="21"/>
        <v>-13103.969940353922</v>
      </c>
      <c r="BL33" s="361">
        <f t="shared" si="21"/>
        <v>-14465.584639757461</v>
      </c>
      <c r="BM33" s="361">
        <f t="shared" si="21"/>
        <v>-15584.790486155036</v>
      </c>
      <c r="BN33" s="361">
        <f t="shared" si="21"/>
        <v>-17034.763391016586</v>
      </c>
      <c r="BO33" s="361">
        <f t="shared" si="21"/>
        <v>-18747.861024926751</v>
      </c>
      <c r="BP33" s="361">
        <f t="shared" si="21"/>
        <v>-20624.33963517602</v>
      </c>
      <c r="BQ33" s="361">
        <f t="shared" si="21"/>
        <v>-23753.208031527778</v>
      </c>
      <c r="BR33" s="361">
        <f t="shared" si="21"/>
        <v>-26918.890111843059</v>
      </c>
      <c r="BS33" s="361">
        <f t="shared" si="21"/>
        <v>-30111.854012961492</v>
      </c>
      <c r="BT33" s="361">
        <f t="shared" si="21"/>
        <v>-33016.372553091103</v>
      </c>
      <c r="BU33" s="361">
        <f t="shared" si="21"/>
        <v>-36360.686278622015</v>
      </c>
      <c r="BV33" s="361">
        <f t="shared" si="21"/>
        <v>-39656.668141408234</v>
      </c>
      <c r="BW33" s="361">
        <f t="shared" si="21"/>
        <v>-42671.034822822316</v>
      </c>
      <c r="BX33" s="361">
        <f t="shared" si="21"/>
        <v>-46310.620171050534</v>
      </c>
      <c r="BY33" s="361">
        <f t="shared" si="21"/>
        <v>-49684.701372761039</v>
      </c>
      <c r="BZ33" s="361">
        <f t="shared" si="21"/>
        <v>-52857.348386488644</v>
      </c>
      <c r="CA33" s="361">
        <f t="shared" si="21"/>
        <v>-56619.171870353523</v>
      </c>
    </row>
    <row r="34" spans="2:79" hidden="1" outlineLevel="2">
      <c r="D34" s="383" t="s">
        <v>486</v>
      </c>
      <c r="G34" s="359"/>
      <c r="H34" s="361">
        <f t="shared" si="18"/>
        <v>-3487.7650659848605</v>
      </c>
      <c r="I34" s="361">
        <f t="shared" si="18"/>
        <v>-42487.89467889622</v>
      </c>
      <c r="J34" s="361">
        <f t="shared" si="18"/>
        <v>-145888.30377272004</v>
      </c>
      <c r="K34" s="361">
        <f t="shared" si="18"/>
        <v>-458584.89538810577</v>
      </c>
      <c r="L34" s="362"/>
      <c r="M34" s="359"/>
      <c r="N34" s="361">
        <f t="shared" si="19"/>
        <v>-150.5</v>
      </c>
      <c r="O34" s="361">
        <f t="shared" si="19"/>
        <v>-609.57530049999991</v>
      </c>
      <c r="P34" s="361">
        <f t="shared" si="19"/>
        <v>-1082.5610416804507</v>
      </c>
      <c r="Q34" s="361">
        <f t="shared" si="19"/>
        <v>-1645.1287238044101</v>
      </c>
      <c r="R34" s="361">
        <f t="shared" si="19"/>
        <v>-4554.5521692644079</v>
      </c>
      <c r="S34" s="361">
        <f t="shared" si="19"/>
        <v>-8064.4213345452899</v>
      </c>
      <c r="T34" s="361">
        <f t="shared" si="19"/>
        <v>-12505.435357903349</v>
      </c>
      <c r="U34" s="361">
        <f t="shared" si="19"/>
        <v>-17363.485817183177</v>
      </c>
      <c r="V34" s="361">
        <f t="shared" si="19"/>
        <v>-23891.318613429648</v>
      </c>
      <c r="W34" s="361">
        <f t="shared" si="19"/>
        <v>-31005.416726235184</v>
      </c>
      <c r="X34" s="361">
        <f t="shared" si="19"/>
        <v>-39624.153530956843</v>
      </c>
      <c r="Y34" s="361">
        <f t="shared" si="19"/>
        <v>-51367.414902098375</v>
      </c>
      <c r="Z34" s="361">
        <f t="shared" si="19"/>
        <v>-71296.437778546853</v>
      </c>
      <c r="AA34" s="361">
        <f t="shared" si="19"/>
        <v>-99488.912844674604</v>
      </c>
      <c r="AB34" s="361">
        <f t="shared" si="19"/>
        <v>-128638.3231352811</v>
      </c>
      <c r="AC34" s="361">
        <f t="shared" si="19"/>
        <v>-159161.22162960321</v>
      </c>
      <c r="AD34" s="362"/>
      <c r="AE34" s="359"/>
      <c r="AF34" s="361">
        <f t="shared" ref="AF34:CA34" si="22">AF101</f>
        <v>0</v>
      </c>
      <c r="AG34" s="361">
        <f t="shared" si="22"/>
        <v>-50</v>
      </c>
      <c r="AH34" s="361">
        <f t="shared" si="22"/>
        <v>-100.5</v>
      </c>
      <c r="AI34" s="361">
        <f t="shared" si="22"/>
        <v>-151.505</v>
      </c>
      <c r="AJ34" s="361">
        <f t="shared" si="22"/>
        <v>-203.02004999999997</v>
      </c>
      <c r="AK34" s="361">
        <f t="shared" si="22"/>
        <v>-255.0502505</v>
      </c>
      <c r="AL34" s="361">
        <f t="shared" si="22"/>
        <v>-307.600753005</v>
      </c>
      <c r="AM34" s="361">
        <f t="shared" si="22"/>
        <v>-360.67676053505005</v>
      </c>
      <c r="AN34" s="361">
        <f t="shared" si="22"/>
        <v>-414.28352814040062</v>
      </c>
      <c r="AO34" s="361">
        <f t="shared" si="22"/>
        <v>-468.42636342180458</v>
      </c>
      <c r="AP34" s="361">
        <f t="shared" si="22"/>
        <v>-548.11062705602262</v>
      </c>
      <c r="AQ34" s="361">
        <f t="shared" si="22"/>
        <v>-628.59173332658281</v>
      </c>
      <c r="AR34" s="361">
        <f t="shared" si="22"/>
        <v>-978.87765065984865</v>
      </c>
      <c r="AS34" s="361">
        <f t="shared" si="22"/>
        <v>-1594.1664271664472</v>
      </c>
      <c r="AT34" s="361">
        <f t="shared" si="22"/>
        <v>-1981.5080914381117</v>
      </c>
      <c r="AU34" s="361">
        <f t="shared" si="22"/>
        <v>-2241.2231723524928</v>
      </c>
      <c r="AV34" s="361">
        <f t="shared" si="22"/>
        <v>-2670.2354040760179</v>
      </c>
      <c r="AW34" s="361">
        <f t="shared" si="22"/>
        <v>-3152.9627581167788</v>
      </c>
      <c r="AX34" s="361">
        <f t="shared" si="22"/>
        <v>-3594.2923856979464</v>
      </c>
      <c r="AY34" s="361">
        <f t="shared" si="22"/>
        <v>-4204.7353095549261</v>
      </c>
      <c r="AZ34" s="361">
        <f t="shared" si="22"/>
        <v>-4706.4076626504757</v>
      </c>
      <c r="BA34" s="361">
        <f t="shared" si="22"/>
        <v>-5164.4717392769808</v>
      </c>
      <c r="BB34" s="361">
        <f t="shared" si="22"/>
        <v>-5815.6164566697498</v>
      </c>
      <c r="BC34" s="361">
        <f t="shared" si="22"/>
        <v>-6383.3976212364469</v>
      </c>
      <c r="BD34" s="361">
        <f t="shared" si="22"/>
        <v>-7068.731597448812</v>
      </c>
      <c r="BE34" s="361">
        <f t="shared" si="22"/>
        <v>-8022.4189134233002</v>
      </c>
      <c r="BF34" s="361">
        <f t="shared" si="22"/>
        <v>-8800.1681025575344</v>
      </c>
      <c r="BG34" s="361">
        <f t="shared" si="22"/>
        <v>-9475.3197835831088</v>
      </c>
      <c r="BH34" s="361">
        <f t="shared" si="22"/>
        <v>-10400.097981418941</v>
      </c>
      <c r="BI34" s="361">
        <f t="shared" si="22"/>
        <v>-11129.998961233132</v>
      </c>
      <c r="BJ34" s="361">
        <f t="shared" si="22"/>
        <v>-12054.598950845464</v>
      </c>
      <c r="BK34" s="361">
        <f t="shared" si="22"/>
        <v>-13103.969940353922</v>
      </c>
      <c r="BL34" s="361">
        <f t="shared" si="22"/>
        <v>-14465.584639757461</v>
      </c>
      <c r="BM34" s="361">
        <f t="shared" si="22"/>
        <v>-15584.790486155036</v>
      </c>
      <c r="BN34" s="361">
        <f t="shared" si="22"/>
        <v>-17034.763391016586</v>
      </c>
      <c r="BO34" s="361">
        <f t="shared" si="22"/>
        <v>-18747.861024926751</v>
      </c>
      <c r="BP34" s="361">
        <f t="shared" si="22"/>
        <v>-20624.33963517602</v>
      </c>
      <c r="BQ34" s="361">
        <f t="shared" si="22"/>
        <v>-23753.208031527778</v>
      </c>
      <c r="BR34" s="361">
        <f t="shared" si="22"/>
        <v>-26918.890111843059</v>
      </c>
      <c r="BS34" s="361">
        <f t="shared" si="22"/>
        <v>-30111.854012961492</v>
      </c>
      <c r="BT34" s="361">
        <f t="shared" si="22"/>
        <v>-33016.372553091103</v>
      </c>
      <c r="BU34" s="361">
        <f t="shared" si="22"/>
        <v>-36360.686278622015</v>
      </c>
      <c r="BV34" s="361">
        <f t="shared" si="22"/>
        <v>-39656.668141408234</v>
      </c>
      <c r="BW34" s="361">
        <f t="shared" si="22"/>
        <v>-42671.034822822316</v>
      </c>
      <c r="BX34" s="361">
        <f t="shared" si="22"/>
        <v>-46310.620171050534</v>
      </c>
      <c r="BY34" s="361">
        <f t="shared" si="22"/>
        <v>-49684.701372761039</v>
      </c>
      <c r="BZ34" s="361">
        <f t="shared" si="22"/>
        <v>-52857.348386488644</v>
      </c>
      <c r="CA34" s="361">
        <f t="shared" si="22"/>
        <v>-56619.171870353523</v>
      </c>
    </row>
    <row r="35" spans="2:79" outlineLevel="1">
      <c r="G35" s="359"/>
      <c r="I35" s="382"/>
      <c r="J35" s="382"/>
      <c r="K35" s="382"/>
      <c r="M35" s="359"/>
      <c r="AE35" s="359"/>
    </row>
    <row r="36" spans="2:79" s="357" customFormat="1" ht="15" outlineLevel="1">
      <c r="B36" s="367"/>
      <c r="C36" s="365" t="s">
        <v>421</v>
      </c>
      <c r="D36" s="366"/>
      <c r="E36" s="365"/>
      <c r="G36" s="359"/>
      <c r="H36" s="364">
        <f>H25+H27+H29+H31</f>
        <v>97887.765065984859</v>
      </c>
      <c r="I36" s="364">
        <f>I25+I27+I29+I31</f>
        <v>912305.39467889618</v>
      </c>
      <c r="J36" s="364">
        <f>J25+J27+J29+J31</f>
        <v>2234200.80377272</v>
      </c>
      <c r="K36" s="364">
        <f>K25+K27+K29+K31</f>
        <v>4853529.8953881059</v>
      </c>
      <c r="L36" s="358"/>
      <c r="M36" s="359"/>
      <c r="N36" s="364">
        <f t="shared" ref="N36:AC36" si="23">N25+N27+N29+N31</f>
        <v>15150.5</v>
      </c>
      <c r="O36" s="364">
        <f t="shared" si="23"/>
        <v>15609.575300500001</v>
      </c>
      <c r="P36" s="364">
        <f t="shared" si="23"/>
        <v>16082.56104168045</v>
      </c>
      <c r="Q36" s="364">
        <f t="shared" si="23"/>
        <v>51045.12872380441</v>
      </c>
      <c r="R36" s="364">
        <f t="shared" si="23"/>
        <v>126234.55216926441</v>
      </c>
      <c r="S36" s="364">
        <f t="shared" si="23"/>
        <v>135306.92133454527</v>
      </c>
      <c r="T36" s="364">
        <f t="shared" si="23"/>
        <v>247917.93535790333</v>
      </c>
      <c r="U36" s="364">
        <f t="shared" si="23"/>
        <v>402845.98581718316</v>
      </c>
      <c r="V36" s="364">
        <f t="shared" si="23"/>
        <v>432018.81861342967</v>
      </c>
      <c r="W36" s="364">
        <f t="shared" si="23"/>
        <v>449287.91672623518</v>
      </c>
      <c r="X36" s="364">
        <f t="shared" si="23"/>
        <v>620179.15353095683</v>
      </c>
      <c r="Y36" s="364">
        <f t="shared" si="23"/>
        <v>732714.91490209836</v>
      </c>
      <c r="Z36" s="364">
        <f t="shared" si="23"/>
        <v>1140111.4377785469</v>
      </c>
      <c r="AA36" s="364">
        <f t="shared" si="23"/>
        <v>1145841.4128446747</v>
      </c>
      <c r="AB36" s="364">
        <f t="shared" si="23"/>
        <v>1269963.323135281</v>
      </c>
      <c r="AC36" s="364">
        <f t="shared" si="23"/>
        <v>1297613.7216296031</v>
      </c>
      <c r="AE36" s="359"/>
      <c r="AF36" s="364">
        <f t="shared" ref="AF36:CA36" si="24">AF25+AF27+AF29+AF31</f>
        <v>5000</v>
      </c>
      <c r="AG36" s="364">
        <f t="shared" si="24"/>
        <v>5050</v>
      </c>
      <c r="AH36" s="364">
        <f t="shared" si="24"/>
        <v>5100.5</v>
      </c>
      <c r="AI36" s="364">
        <f t="shared" si="24"/>
        <v>5151.5050000000001</v>
      </c>
      <c r="AJ36" s="364">
        <f t="shared" si="24"/>
        <v>5203.0200500000001</v>
      </c>
      <c r="AK36" s="364">
        <f t="shared" si="24"/>
        <v>5255.0502505000004</v>
      </c>
      <c r="AL36" s="364">
        <f t="shared" si="24"/>
        <v>5307.6007530050001</v>
      </c>
      <c r="AM36" s="364">
        <f t="shared" si="24"/>
        <v>5360.6767605350497</v>
      </c>
      <c r="AN36" s="364">
        <f t="shared" si="24"/>
        <v>5414.2835281404004</v>
      </c>
      <c r="AO36" s="364">
        <f t="shared" si="24"/>
        <v>7968.4263634218041</v>
      </c>
      <c r="AP36" s="364">
        <f t="shared" si="24"/>
        <v>8048.1106270560222</v>
      </c>
      <c r="AQ36" s="364">
        <f t="shared" si="24"/>
        <v>35028.591733326582</v>
      </c>
      <c r="AR36" s="364">
        <f t="shared" si="24"/>
        <v>61528.877650659851</v>
      </c>
      <c r="AS36" s="364">
        <f t="shared" si="24"/>
        <v>38734.166427166449</v>
      </c>
      <c r="AT36" s="364">
        <f t="shared" si="24"/>
        <v>25971.508091438111</v>
      </c>
      <c r="AU36" s="364">
        <f t="shared" si="24"/>
        <v>42901.223172352489</v>
      </c>
      <c r="AV36" s="364">
        <f t="shared" si="24"/>
        <v>48272.735404076018</v>
      </c>
      <c r="AW36" s="364">
        <f t="shared" si="24"/>
        <v>44132.962758116773</v>
      </c>
      <c r="AX36" s="364">
        <f t="shared" si="24"/>
        <v>61044.292385697947</v>
      </c>
      <c r="AY36" s="364">
        <f t="shared" si="24"/>
        <v>105467.23530955492</v>
      </c>
      <c r="AZ36" s="364">
        <f t="shared" si="24"/>
        <v>81406.407662650468</v>
      </c>
      <c r="BA36" s="364">
        <f t="shared" si="24"/>
        <v>129334.47173927698</v>
      </c>
      <c r="BB36" s="364">
        <f t="shared" si="24"/>
        <v>161558.11645666976</v>
      </c>
      <c r="BC36" s="364">
        <f t="shared" si="24"/>
        <v>111953.39762123645</v>
      </c>
      <c r="BD36" s="364">
        <f t="shared" si="24"/>
        <v>171428.73159744882</v>
      </c>
      <c r="BE36" s="364">
        <f t="shared" si="24"/>
        <v>149654.91891342329</v>
      </c>
      <c r="BF36" s="364">
        <f t="shared" si="24"/>
        <v>110935.16810255754</v>
      </c>
      <c r="BG36" s="364">
        <f t="shared" si="24"/>
        <v>168537.81978358311</v>
      </c>
      <c r="BH36" s="364">
        <f t="shared" si="24"/>
        <v>144870.09798141895</v>
      </c>
      <c r="BI36" s="364">
        <f t="shared" si="24"/>
        <v>135879.99896123313</v>
      </c>
      <c r="BJ36" s="364">
        <f t="shared" si="24"/>
        <v>180997.09895084545</v>
      </c>
      <c r="BK36" s="364">
        <f t="shared" si="24"/>
        <v>248841.46994035391</v>
      </c>
      <c r="BL36" s="364">
        <f t="shared" si="24"/>
        <v>190340.58463975746</v>
      </c>
      <c r="BM36" s="364">
        <f t="shared" si="24"/>
        <v>221057.29048615502</v>
      </c>
      <c r="BN36" s="364">
        <f t="shared" si="24"/>
        <v>280589.76339101658</v>
      </c>
      <c r="BO36" s="364">
        <f t="shared" si="24"/>
        <v>231067.86102492677</v>
      </c>
      <c r="BP36" s="364">
        <f t="shared" si="24"/>
        <v>388946.839635176</v>
      </c>
      <c r="BQ36" s="364">
        <f t="shared" si="24"/>
        <v>388448.20803152776</v>
      </c>
      <c r="BR36" s="364">
        <f t="shared" si="24"/>
        <v>362716.39011184307</v>
      </c>
      <c r="BS36" s="364">
        <f t="shared" si="24"/>
        <v>366511.8540129615</v>
      </c>
      <c r="BT36" s="364">
        <f t="shared" si="24"/>
        <v>406311.37255309109</v>
      </c>
      <c r="BU36" s="364">
        <f t="shared" si="24"/>
        <v>373018.18627862202</v>
      </c>
      <c r="BV36" s="364">
        <f t="shared" si="24"/>
        <v>377496.66814140824</v>
      </c>
      <c r="BW36" s="364">
        <f t="shared" si="24"/>
        <v>476638.53482282232</v>
      </c>
      <c r="BX36" s="364">
        <f t="shared" si="24"/>
        <v>415828.12017105054</v>
      </c>
      <c r="BY36" s="364">
        <f t="shared" si="24"/>
        <v>393324.70137276105</v>
      </c>
      <c r="BZ36" s="364">
        <f t="shared" si="24"/>
        <v>485462.34838648862</v>
      </c>
      <c r="CA36" s="364">
        <f t="shared" si="24"/>
        <v>418826.67187035352</v>
      </c>
    </row>
    <row r="37" spans="2:79">
      <c r="G37" s="359"/>
      <c r="M37" s="359"/>
      <c r="AE37" s="359"/>
    </row>
    <row r="38" spans="2:79" s="51" customFormat="1" ht="24">
      <c r="B38" s="635" t="s">
        <v>98</v>
      </c>
      <c r="C38" s="475"/>
      <c r="D38" s="475"/>
      <c r="E38" s="632"/>
      <c r="F38" s="50"/>
      <c r="G38" s="359"/>
      <c r="H38" s="632"/>
      <c r="I38" s="632"/>
      <c r="J38" s="632"/>
      <c r="K38" s="632"/>
      <c r="L38" s="50"/>
      <c r="M38" s="359"/>
      <c r="N38" s="632"/>
      <c r="O38" s="632"/>
      <c r="P38" s="632"/>
      <c r="Q38" s="632"/>
      <c r="R38" s="632"/>
      <c r="S38" s="632"/>
      <c r="T38" s="632"/>
      <c r="U38" s="632"/>
      <c r="V38" s="632"/>
      <c r="W38" s="632"/>
      <c r="X38" s="632"/>
      <c r="Y38" s="632"/>
      <c r="Z38" s="632"/>
      <c r="AA38" s="632"/>
      <c r="AB38" s="632"/>
      <c r="AC38" s="632"/>
      <c r="AD38" s="50"/>
      <c r="AE38" s="359"/>
      <c r="AF38" s="632"/>
      <c r="AG38" s="632"/>
      <c r="AH38" s="632"/>
      <c r="AI38" s="632"/>
      <c r="AJ38" s="632"/>
      <c r="AK38" s="632"/>
      <c r="AL38" s="632"/>
      <c r="AM38" s="632"/>
      <c r="AN38" s="632"/>
      <c r="AO38" s="632"/>
      <c r="AP38" s="632"/>
      <c r="AQ38" s="632"/>
      <c r="AR38" s="632"/>
      <c r="AS38" s="632"/>
      <c r="AT38" s="632"/>
      <c r="AU38" s="632"/>
      <c r="AV38" s="632"/>
      <c r="AW38" s="632"/>
      <c r="AX38" s="632"/>
      <c r="AY38" s="632"/>
      <c r="AZ38" s="632"/>
      <c r="BA38" s="632"/>
      <c r="BB38" s="632"/>
      <c r="BC38" s="632"/>
      <c r="BD38" s="632"/>
      <c r="BE38" s="632"/>
      <c r="BF38" s="632"/>
      <c r="BG38" s="632"/>
      <c r="BH38" s="632"/>
      <c r="BI38" s="632"/>
      <c r="BJ38" s="632"/>
      <c r="BK38" s="632"/>
      <c r="BL38" s="632"/>
      <c r="BM38" s="632"/>
      <c r="BN38" s="632"/>
      <c r="BO38" s="632"/>
      <c r="BP38" s="632"/>
      <c r="BQ38" s="632"/>
      <c r="BR38" s="632"/>
      <c r="BS38" s="632"/>
      <c r="BT38" s="632"/>
      <c r="BU38" s="632"/>
      <c r="BV38" s="632"/>
      <c r="BW38" s="632"/>
      <c r="BX38" s="632"/>
      <c r="BY38" s="632"/>
      <c r="BZ38" s="632"/>
      <c r="CA38" s="632"/>
    </row>
    <row r="39" spans="2:79" ht="15" outlineLevel="1">
      <c r="B39" s="381"/>
      <c r="C39" s="365" t="s">
        <v>497</v>
      </c>
      <c r="D39" s="366"/>
      <c r="E39" s="365"/>
      <c r="G39" s="359"/>
      <c r="H39" s="378">
        <f>SUMIFS($AF39:$CA39,$AF$4:$CA$4,"&gt;="&amp;H$4,$AF$5:$CA$5,"&lt;="&amp;H$5)</f>
        <v>0</v>
      </c>
      <c r="I39" s="378">
        <f>SUMIFS($AF39:$CA39,$AF$4:$CA$4,"&gt;="&amp;I$4,$AF$5:$CA$5,"&lt;="&amp;I$5)</f>
        <v>200053.33333333331</v>
      </c>
      <c r="J39" s="378">
        <f>SUMIFS($AF39:$CA39,$AF$4:$CA$4,"&gt;="&amp;J$4,$AF$5:$CA$5,"&lt;="&amp;J$5)</f>
        <v>878640</v>
      </c>
      <c r="K39" s="378">
        <f>SUMIFS($AF39:$CA39,$AF$4:$CA$4,"&gt;="&amp;K$4,$AF$5:$CA$5,"&lt;="&amp;K$5)</f>
        <v>878640</v>
      </c>
      <c r="L39" s="379"/>
      <c r="M39" s="359"/>
      <c r="N39" s="378">
        <f t="shared" ref="N39:AC39" si="25">SUMIFS($AF39:$CA39,$AF$4:$CA$4,"&gt;="&amp;N$4,$AF$5:$CA$5,"&lt;="&amp;N$5)</f>
        <v>0</v>
      </c>
      <c r="O39" s="378">
        <f t="shared" si="25"/>
        <v>0</v>
      </c>
      <c r="P39" s="378">
        <f t="shared" si="25"/>
        <v>0</v>
      </c>
      <c r="Q39" s="378">
        <f t="shared" si="25"/>
        <v>0</v>
      </c>
      <c r="R39" s="378">
        <f t="shared" si="25"/>
        <v>0</v>
      </c>
      <c r="S39" s="378">
        <f t="shared" si="25"/>
        <v>0</v>
      </c>
      <c r="T39" s="378">
        <f t="shared" si="25"/>
        <v>19983.333333333332</v>
      </c>
      <c r="U39" s="378">
        <f t="shared" si="25"/>
        <v>180070</v>
      </c>
      <c r="V39" s="378">
        <f t="shared" si="25"/>
        <v>219660</v>
      </c>
      <c r="W39" s="378">
        <f t="shared" si="25"/>
        <v>219660</v>
      </c>
      <c r="X39" s="378">
        <f t="shared" si="25"/>
        <v>219660</v>
      </c>
      <c r="Y39" s="378">
        <f t="shared" si="25"/>
        <v>219660</v>
      </c>
      <c r="Z39" s="378">
        <f t="shared" si="25"/>
        <v>219660</v>
      </c>
      <c r="AA39" s="378">
        <f t="shared" si="25"/>
        <v>219660</v>
      </c>
      <c r="AB39" s="378">
        <f t="shared" si="25"/>
        <v>219660</v>
      </c>
      <c r="AC39" s="378">
        <f t="shared" si="25"/>
        <v>219660</v>
      </c>
      <c r="AE39" s="359"/>
      <c r="AF39" s="377">
        <f>'Revenue - Existing'!AF127</f>
        <v>0</v>
      </c>
      <c r="AG39" s="377">
        <f>'Revenue - Existing'!AG127</f>
        <v>0</v>
      </c>
      <c r="AH39" s="377">
        <f>'Revenue - Existing'!AH127</f>
        <v>0</v>
      </c>
      <c r="AI39" s="377">
        <f>'Revenue - Existing'!AI127</f>
        <v>0</v>
      </c>
      <c r="AJ39" s="377">
        <f>'Revenue - Existing'!AJ127</f>
        <v>0</v>
      </c>
      <c r="AK39" s="377">
        <f>'Revenue - Existing'!AK127</f>
        <v>0</v>
      </c>
      <c r="AL39" s="377">
        <f>'Revenue - Existing'!AL127</f>
        <v>0</v>
      </c>
      <c r="AM39" s="377">
        <f>'Revenue - Existing'!AM127</f>
        <v>0</v>
      </c>
      <c r="AN39" s="377">
        <f>'Revenue - Existing'!AN127</f>
        <v>0</v>
      </c>
      <c r="AO39" s="377">
        <f>'Revenue - Existing'!AO127</f>
        <v>0</v>
      </c>
      <c r="AP39" s="377">
        <f>'Revenue - Existing'!AP127</f>
        <v>0</v>
      </c>
      <c r="AQ39" s="377">
        <f>'Revenue - Existing'!AQ127</f>
        <v>0</v>
      </c>
      <c r="AR39" s="377">
        <f>'Revenue - Existing'!AR127</f>
        <v>0</v>
      </c>
      <c r="AS39" s="377">
        <f>'Revenue - Existing'!AS127</f>
        <v>0</v>
      </c>
      <c r="AT39" s="377">
        <f>'Revenue - Existing'!AT127</f>
        <v>0</v>
      </c>
      <c r="AU39" s="377">
        <f>'Revenue - Existing'!AU127</f>
        <v>0</v>
      </c>
      <c r="AV39" s="377">
        <f>'Revenue - Existing'!AV127</f>
        <v>0</v>
      </c>
      <c r="AW39" s="377">
        <f>'Revenue - Existing'!AW127</f>
        <v>0</v>
      </c>
      <c r="AX39" s="377">
        <f>'Revenue - Existing'!AX127</f>
        <v>0</v>
      </c>
      <c r="AY39" s="377">
        <f>'Revenue - Existing'!AY127</f>
        <v>8233.3333333333321</v>
      </c>
      <c r="AZ39" s="377">
        <f>'Revenue - Existing'!AZ127</f>
        <v>11750</v>
      </c>
      <c r="BA39" s="377">
        <f>'Revenue - Existing'!BA127</f>
        <v>43289.999999999993</v>
      </c>
      <c r="BB39" s="377">
        <f>'Revenue - Existing'!BB127</f>
        <v>63560</v>
      </c>
      <c r="BC39" s="377">
        <f>'Revenue - Existing'!BC127</f>
        <v>73220</v>
      </c>
      <c r="BD39" s="377">
        <f>'Revenue - Existing'!BD127</f>
        <v>73220</v>
      </c>
      <c r="BE39" s="377">
        <f>'Revenue - Existing'!BE127</f>
        <v>73220</v>
      </c>
      <c r="BF39" s="377">
        <f>'Revenue - Existing'!BF127</f>
        <v>73220</v>
      </c>
      <c r="BG39" s="377">
        <f>'Revenue - Existing'!BG127</f>
        <v>73220</v>
      </c>
      <c r="BH39" s="377">
        <f>'Revenue - Existing'!BH127</f>
        <v>73220</v>
      </c>
      <c r="BI39" s="377">
        <f>'Revenue - Existing'!BI127</f>
        <v>73220</v>
      </c>
      <c r="BJ39" s="377">
        <f>'Revenue - Existing'!BJ127</f>
        <v>73220</v>
      </c>
      <c r="BK39" s="377">
        <f>'Revenue - Existing'!BK127</f>
        <v>73220</v>
      </c>
      <c r="BL39" s="377">
        <f>'Revenue - Existing'!BL127</f>
        <v>73220</v>
      </c>
      <c r="BM39" s="377">
        <f>'Revenue - Existing'!BM127</f>
        <v>73220</v>
      </c>
      <c r="BN39" s="377">
        <f>'Revenue - Existing'!BN127</f>
        <v>73220</v>
      </c>
      <c r="BO39" s="377">
        <f>'Revenue - Existing'!BO127</f>
        <v>73220</v>
      </c>
      <c r="BP39" s="377">
        <f>'Revenue - Existing'!BP127</f>
        <v>73220</v>
      </c>
      <c r="BQ39" s="377">
        <f>'Revenue - Existing'!BQ127</f>
        <v>73220</v>
      </c>
      <c r="BR39" s="377">
        <f>'Revenue - Existing'!BR127</f>
        <v>73220</v>
      </c>
      <c r="BS39" s="377">
        <f>'Revenue - Existing'!BS127</f>
        <v>73220</v>
      </c>
      <c r="BT39" s="377">
        <f>'Revenue - Existing'!BT127</f>
        <v>73220</v>
      </c>
      <c r="BU39" s="377">
        <f>'Revenue - Existing'!BU127</f>
        <v>73220</v>
      </c>
      <c r="BV39" s="377">
        <f>'Revenue - Existing'!BV127</f>
        <v>73220</v>
      </c>
      <c r="BW39" s="377">
        <f>'Revenue - Existing'!BW127</f>
        <v>73220</v>
      </c>
      <c r="BX39" s="377">
        <f>'Revenue - Existing'!BX127</f>
        <v>73220</v>
      </c>
      <c r="BY39" s="377">
        <f>'Revenue - Existing'!BY127</f>
        <v>73220</v>
      </c>
      <c r="BZ39" s="377">
        <f>'Revenue - Existing'!BZ127</f>
        <v>73220</v>
      </c>
      <c r="CA39" s="377">
        <f>'Revenue - Existing'!CA127</f>
        <v>73220</v>
      </c>
    </row>
    <row r="40" spans="2:79" outlineLevel="1">
      <c r="G40" s="359"/>
      <c r="M40" s="359"/>
      <c r="AE40" s="359"/>
    </row>
    <row r="41" spans="2:79" ht="15" outlineLevel="1">
      <c r="B41" s="367"/>
      <c r="C41" s="365" t="s">
        <v>498</v>
      </c>
      <c r="D41" s="366"/>
      <c r="E41" s="365"/>
      <c r="G41" s="359"/>
      <c r="H41" s="378">
        <f>SUMIFS($AF41:$CA41,$AF$4:$CA$4,"&gt;="&amp;H$4,$AF$5:$CA$5,"&lt;="&amp;H$5)</f>
        <v>12187.5</v>
      </c>
      <c r="I41" s="378">
        <f>SUMIFS($AF41:$CA41,$AF$4:$CA$4,"&gt;="&amp;I$4,$AF$5:$CA$5,"&lt;="&amp;I$5)</f>
        <v>387087.5</v>
      </c>
      <c r="J41" s="378">
        <f>SUMIFS($AF41:$CA41,$AF$4:$CA$4,"&gt;="&amp;J$4,$AF$5:$CA$5,"&lt;="&amp;J$5)</f>
        <v>820710.20833333337</v>
      </c>
      <c r="K41" s="378">
        <f>SUMIFS($AF41:$CA41,$AF$4:$CA$4,"&gt;="&amp;K$4,$AF$5:$CA$5,"&lt;="&amp;K$5)</f>
        <v>2878876.666666667</v>
      </c>
      <c r="L41" s="379"/>
      <c r="M41" s="359"/>
      <c r="N41" s="378">
        <f t="shared" ref="N41:AC41" si="26">SUMIFS($AF41:$CA41,$AF$4:$CA$4,"&gt;="&amp;N$4,$AF$5:$CA$5,"&lt;="&amp;N$5)</f>
        <v>0</v>
      </c>
      <c r="O41" s="378">
        <f t="shared" si="26"/>
        <v>0</v>
      </c>
      <c r="P41" s="378">
        <f t="shared" si="26"/>
        <v>0</v>
      </c>
      <c r="Q41" s="378">
        <f t="shared" si="26"/>
        <v>12187.5</v>
      </c>
      <c r="R41" s="378">
        <f t="shared" si="26"/>
        <v>60383.333333333343</v>
      </c>
      <c r="S41" s="378">
        <f t="shared" si="26"/>
        <v>97054.166666666672</v>
      </c>
      <c r="T41" s="378">
        <f t="shared" si="26"/>
        <v>114825</v>
      </c>
      <c r="U41" s="378">
        <f t="shared" si="26"/>
        <v>114825</v>
      </c>
      <c r="V41" s="378">
        <f t="shared" si="26"/>
        <v>117972.91666666667</v>
      </c>
      <c r="W41" s="378">
        <f t="shared" si="26"/>
        <v>150492.91666666669</v>
      </c>
      <c r="X41" s="378">
        <f t="shared" si="26"/>
        <v>219417.5</v>
      </c>
      <c r="Y41" s="378">
        <f t="shared" si="26"/>
        <v>332826.875</v>
      </c>
      <c r="Z41" s="378">
        <f t="shared" si="26"/>
        <v>631034.79166666674</v>
      </c>
      <c r="AA41" s="378">
        <f t="shared" si="26"/>
        <v>749280.625</v>
      </c>
      <c r="AB41" s="378">
        <f t="shared" si="26"/>
        <v>749280.625</v>
      </c>
      <c r="AC41" s="378">
        <f t="shared" si="26"/>
        <v>749280.625</v>
      </c>
      <c r="AE41" s="359"/>
      <c r="AF41" s="377">
        <f>'Revenue - Pipeline'!AF127</f>
        <v>0</v>
      </c>
      <c r="AG41" s="377">
        <f>'Revenue - Pipeline'!AG127</f>
        <v>0</v>
      </c>
      <c r="AH41" s="377">
        <f>'Revenue - Pipeline'!AH127</f>
        <v>0</v>
      </c>
      <c r="AI41" s="377">
        <f>'Revenue - Pipeline'!AI127</f>
        <v>0</v>
      </c>
      <c r="AJ41" s="377">
        <f>'Revenue - Pipeline'!AJ127</f>
        <v>0</v>
      </c>
      <c r="AK41" s="377">
        <f>'Revenue - Pipeline'!AK127</f>
        <v>0</v>
      </c>
      <c r="AL41" s="377">
        <f>'Revenue - Pipeline'!AL127</f>
        <v>0</v>
      </c>
      <c r="AM41" s="377">
        <f>'Revenue - Pipeline'!AM127</f>
        <v>0</v>
      </c>
      <c r="AN41" s="377">
        <f>'Revenue - Pipeline'!AN127</f>
        <v>0</v>
      </c>
      <c r="AO41" s="377">
        <f>'Revenue - Pipeline'!AO127</f>
        <v>0</v>
      </c>
      <c r="AP41" s="377">
        <f>'Revenue - Pipeline'!AP127</f>
        <v>0</v>
      </c>
      <c r="AQ41" s="377">
        <f>'Revenue - Pipeline'!AQ127</f>
        <v>12187.5</v>
      </c>
      <c r="AR41" s="377">
        <f>'Revenue - Pipeline'!AR127</f>
        <v>19375</v>
      </c>
      <c r="AS41" s="377">
        <f>'Revenue - Pipeline'!AS127</f>
        <v>20504.166666666668</v>
      </c>
      <c r="AT41" s="377">
        <f>'Revenue - Pipeline'!AT127</f>
        <v>20504.166666666668</v>
      </c>
      <c r="AU41" s="377">
        <f>'Revenue - Pipeline'!AU127</f>
        <v>20504.166666666668</v>
      </c>
      <c r="AV41" s="377">
        <f>'Revenue - Pipeline'!AV127</f>
        <v>38275</v>
      </c>
      <c r="AW41" s="377">
        <f>'Revenue - Pipeline'!AW127</f>
        <v>38275</v>
      </c>
      <c r="AX41" s="377">
        <f>'Revenue - Pipeline'!AX127</f>
        <v>38275</v>
      </c>
      <c r="AY41" s="377">
        <f>'Revenue - Pipeline'!AY127</f>
        <v>38275</v>
      </c>
      <c r="AZ41" s="377">
        <f>'Revenue - Pipeline'!AZ127</f>
        <v>38275</v>
      </c>
      <c r="BA41" s="377">
        <f>'Revenue - Pipeline'!BA127</f>
        <v>38275</v>
      </c>
      <c r="BB41" s="377">
        <f>'Revenue - Pipeline'!BB127</f>
        <v>38275</v>
      </c>
      <c r="BC41" s="377">
        <f>'Revenue - Pipeline'!BC127</f>
        <v>38275</v>
      </c>
      <c r="BD41" s="377">
        <f>'Revenue - Pipeline'!BD127</f>
        <v>38275</v>
      </c>
      <c r="BE41" s="377">
        <f>'Revenue - Pipeline'!BE127</f>
        <v>38275</v>
      </c>
      <c r="BF41" s="377">
        <f>'Revenue - Pipeline'!BF127</f>
        <v>41422.916666666672</v>
      </c>
      <c r="BG41" s="377">
        <f>'Revenue - Pipeline'!BG127</f>
        <v>45353.750000000007</v>
      </c>
      <c r="BH41" s="377">
        <f>'Revenue - Pipeline'!BH127</f>
        <v>46216.250000000007</v>
      </c>
      <c r="BI41" s="377">
        <f>'Revenue - Pipeline'!BI127</f>
        <v>58922.916666666672</v>
      </c>
      <c r="BJ41" s="377">
        <f>'Revenue - Pipeline'!BJ127</f>
        <v>58922.916666666672</v>
      </c>
      <c r="BK41" s="377">
        <f>'Revenue - Pipeline'!BK127</f>
        <v>79282.291666666672</v>
      </c>
      <c r="BL41" s="377">
        <f>'Revenue - Pipeline'!BL127</f>
        <v>81212.291666666672</v>
      </c>
      <c r="BM41" s="377">
        <f>'Revenue - Pipeline'!BM127</f>
        <v>98967.291666666672</v>
      </c>
      <c r="BN41" s="377">
        <f>'Revenue - Pipeline'!BN127</f>
        <v>105379.79166666667</v>
      </c>
      <c r="BO41" s="377">
        <f>'Revenue - Pipeline'!BO127</f>
        <v>128479.79166666667</v>
      </c>
      <c r="BP41" s="377">
        <f>'Revenue - Pipeline'!BP127</f>
        <v>170245.625</v>
      </c>
      <c r="BQ41" s="377">
        <f>'Revenue - Pipeline'!BQ127</f>
        <v>211028.95833333334</v>
      </c>
      <c r="BR41" s="377">
        <f>'Revenue - Pipeline'!BR127</f>
        <v>249760.20833333331</v>
      </c>
      <c r="BS41" s="377">
        <f>'Revenue - Pipeline'!BS127</f>
        <v>249760.20833333331</v>
      </c>
      <c r="BT41" s="377">
        <f>'Revenue - Pipeline'!BT127</f>
        <v>249760.20833333331</v>
      </c>
      <c r="BU41" s="377">
        <f>'Revenue - Pipeline'!BU127</f>
        <v>249760.20833333331</v>
      </c>
      <c r="BV41" s="377">
        <f>'Revenue - Pipeline'!BV127</f>
        <v>249760.20833333331</v>
      </c>
      <c r="BW41" s="377">
        <f>'Revenue - Pipeline'!BW127</f>
        <v>249760.20833333331</v>
      </c>
      <c r="BX41" s="377">
        <f>'Revenue - Pipeline'!BX127</f>
        <v>249760.20833333331</v>
      </c>
      <c r="BY41" s="377">
        <f>'Revenue - Pipeline'!BY127</f>
        <v>249760.20833333331</v>
      </c>
      <c r="BZ41" s="377">
        <f>'Revenue - Pipeline'!BZ127</f>
        <v>249760.20833333331</v>
      </c>
      <c r="CA41" s="377">
        <f>'Revenue - Pipeline'!CA127</f>
        <v>249760.20833333331</v>
      </c>
    </row>
    <row r="42" spans="2:79" outlineLevel="1">
      <c r="C42" s="380"/>
      <c r="G42" s="359"/>
      <c r="M42" s="359"/>
      <c r="AE42" s="359"/>
    </row>
    <row r="43" spans="2:79" ht="15" outlineLevel="1">
      <c r="B43" s="367"/>
      <c r="C43" s="365" t="s">
        <v>110</v>
      </c>
      <c r="D43" s="366"/>
      <c r="E43" s="365"/>
      <c r="G43" s="359"/>
      <c r="H43" s="378">
        <f>SUMIFS($AF43:$CA43,$AF$4:$CA$4,"&gt;="&amp;H$4,$AF$5:$CA$5,"&lt;="&amp;H$5)</f>
        <v>33750</v>
      </c>
      <c r="I43" s="378">
        <f>SUMIFS($AF43:$CA43,$AF$4:$CA$4,"&gt;="&amp;I$4,$AF$5:$CA$5,"&lt;="&amp;I$5)</f>
        <v>122838.33333333334</v>
      </c>
      <c r="J43" s="378">
        <f>SUMIFS($AF43:$CA43,$AF$4:$CA$4,"&gt;="&amp;J$4,$AF$5:$CA$5,"&lt;="&amp;J$5)</f>
        <v>258210</v>
      </c>
      <c r="K43" s="378">
        <f>SUMIFS($AF43:$CA43,$AF$4:$CA$4,"&gt;="&amp;K$4,$AF$5:$CA$5,"&lt;="&amp;K$5)</f>
        <v>472303.33333333337</v>
      </c>
      <c r="L43" s="379"/>
      <c r="M43" s="359"/>
      <c r="N43" s="378">
        <f t="shared" ref="N43:AC43" si="27">SUMIFS($AF43:$CA43,$AF$4:$CA$4,"&gt;="&amp;N$4,$AF$5:$CA$5,"&lt;="&amp;N$5)</f>
        <v>2500</v>
      </c>
      <c r="O43" s="378">
        <f t="shared" si="27"/>
        <v>6250</v>
      </c>
      <c r="P43" s="378">
        <f t="shared" si="27"/>
        <v>10000</v>
      </c>
      <c r="Q43" s="378">
        <f t="shared" si="27"/>
        <v>15000</v>
      </c>
      <c r="R43" s="378">
        <f t="shared" si="27"/>
        <v>20718.333333333336</v>
      </c>
      <c r="S43" s="378">
        <f t="shared" si="27"/>
        <v>27040</v>
      </c>
      <c r="T43" s="378">
        <f t="shared" si="27"/>
        <v>33815</v>
      </c>
      <c r="U43" s="378">
        <f t="shared" si="27"/>
        <v>41265</v>
      </c>
      <c r="V43" s="378">
        <f t="shared" si="27"/>
        <v>49965</v>
      </c>
      <c r="W43" s="378">
        <f t="shared" si="27"/>
        <v>58705</v>
      </c>
      <c r="X43" s="378">
        <f t="shared" si="27"/>
        <v>68610</v>
      </c>
      <c r="Y43" s="378">
        <f t="shared" si="27"/>
        <v>80929.999999999985</v>
      </c>
      <c r="Z43" s="378">
        <f t="shared" si="27"/>
        <v>94788.333333333328</v>
      </c>
      <c r="AA43" s="378">
        <f t="shared" si="27"/>
        <v>110105</v>
      </c>
      <c r="AB43" s="378">
        <f t="shared" si="27"/>
        <v>125630.00000000001</v>
      </c>
      <c r="AC43" s="378">
        <f t="shared" si="27"/>
        <v>141780</v>
      </c>
      <c r="AE43" s="359"/>
      <c r="AF43" s="377">
        <f>'Revenue - New'!AF134</f>
        <v>416.66666666666669</v>
      </c>
      <c r="AG43" s="377">
        <f>'Revenue - New'!AG134</f>
        <v>833.33333333333337</v>
      </c>
      <c r="AH43" s="377">
        <f>'Revenue - New'!AH134</f>
        <v>1250</v>
      </c>
      <c r="AI43" s="377">
        <f>'Revenue - New'!AI134</f>
        <v>1666.6666666666667</v>
      </c>
      <c r="AJ43" s="377">
        <f>'Revenue - New'!AJ134</f>
        <v>2083.3333333333335</v>
      </c>
      <c r="AK43" s="377">
        <f>'Revenue - New'!AK134</f>
        <v>2500</v>
      </c>
      <c r="AL43" s="377">
        <f>'Revenue - New'!AL134</f>
        <v>2916.6666666666665</v>
      </c>
      <c r="AM43" s="377">
        <f>'Revenue - New'!AM134</f>
        <v>3333.333333333333</v>
      </c>
      <c r="AN43" s="377">
        <f>'Revenue - New'!AN134</f>
        <v>3749.9999999999995</v>
      </c>
      <c r="AO43" s="377">
        <f>'Revenue - New'!AO134</f>
        <v>4375</v>
      </c>
      <c r="AP43" s="377">
        <f>'Revenue - New'!AP134</f>
        <v>5000</v>
      </c>
      <c r="AQ43" s="377">
        <f>'Revenue - New'!AQ134</f>
        <v>5625</v>
      </c>
      <c r="AR43" s="377">
        <f>'Revenue - New'!AR134</f>
        <v>6250</v>
      </c>
      <c r="AS43" s="377">
        <f>'Revenue - New'!AS134</f>
        <v>6895</v>
      </c>
      <c r="AT43" s="377">
        <f>'Revenue - New'!AT134</f>
        <v>7573.3333333333339</v>
      </c>
      <c r="AU43" s="377">
        <f>'Revenue - New'!AU134</f>
        <v>8278.3333333333339</v>
      </c>
      <c r="AV43" s="377">
        <f>'Revenue - New'!AV134</f>
        <v>9006.6666666666679</v>
      </c>
      <c r="AW43" s="377">
        <f>'Revenue - New'!AW134</f>
        <v>9755</v>
      </c>
      <c r="AX43" s="377">
        <f>'Revenue - New'!AX134</f>
        <v>10513.333333333334</v>
      </c>
      <c r="AY43" s="377">
        <f>'Revenue - New'!AY134</f>
        <v>11271.666666666668</v>
      </c>
      <c r="AZ43" s="377">
        <f>'Revenue - New'!AZ134</f>
        <v>12030</v>
      </c>
      <c r="BA43" s="377">
        <f>'Revenue - New'!BA134</f>
        <v>12788.333333333334</v>
      </c>
      <c r="BB43" s="377">
        <f>'Revenue - New'!BB134</f>
        <v>13755</v>
      </c>
      <c r="BC43" s="377">
        <f>'Revenue - New'!BC134</f>
        <v>14721.666666666666</v>
      </c>
      <c r="BD43" s="377">
        <f>'Revenue - New'!BD134</f>
        <v>15688.333333333334</v>
      </c>
      <c r="BE43" s="377">
        <f>'Revenue - New'!BE134</f>
        <v>16655</v>
      </c>
      <c r="BF43" s="377">
        <f>'Revenue - New'!BF134</f>
        <v>17621.666666666668</v>
      </c>
      <c r="BG43" s="377">
        <f>'Revenue - New'!BG134</f>
        <v>18588.333333333332</v>
      </c>
      <c r="BH43" s="377">
        <f>'Revenue - New'!BH134</f>
        <v>19555</v>
      </c>
      <c r="BI43" s="377">
        <f>'Revenue - New'!BI134</f>
        <v>20561.666666666668</v>
      </c>
      <c r="BJ43" s="377">
        <f>'Revenue - New'!BJ134</f>
        <v>21595</v>
      </c>
      <c r="BK43" s="377">
        <f>'Revenue - New'!BK134</f>
        <v>22863.333333333332</v>
      </c>
      <c r="BL43" s="377">
        <f>'Revenue - New'!BL134</f>
        <v>24151.666666666664</v>
      </c>
      <c r="BM43" s="377">
        <f>'Revenue - New'!BM134</f>
        <v>25459.999999999996</v>
      </c>
      <c r="BN43" s="377">
        <f>'Revenue - New'!BN134</f>
        <v>26976.666666666664</v>
      </c>
      <c r="BO43" s="377">
        <f>'Revenue - New'!BO134</f>
        <v>28493.333333333328</v>
      </c>
      <c r="BP43" s="377">
        <f>'Revenue - New'!BP134</f>
        <v>30010</v>
      </c>
      <c r="BQ43" s="377">
        <f>'Revenue - New'!BQ134</f>
        <v>31526.666666666664</v>
      </c>
      <c r="BR43" s="377">
        <f>'Revenue - New'!BR134</f>
        <v>33251.666666666664</v>
      </c>
      <c r="BS43" s="377">
        <f>'Revenue - New'!BS134</f>
        <v>34976.666666666664</v>
      </c>
      <c r="BT43" s="377">
        <f>'Revenue - New'!BT134</f>
        <v>36701.666666666664</v>
      </c>
      <c r="BU43" s="377">
        <f>'Revenue - New'!BU134</f>
        <v>38426.666666666664</v>
      </c>
      <c r="BV43" s="377">
        <f>'Revenue - New'!BV134</f>
        <v>40151.666666666672</v>
      </c>
      <c r="BW43" s="377">
        <f>'Revenue - New'!BW134</f>
        <v>41876.666666666672</v>
      </c>
      <c r="BX43" s="377">
        <f>'Revenue - New'!BX134</f>
        <v>43601.666666666672</v>
      </c>
      <c r="BY43" s="377">
        <f>'Revenue - New'!BY134</f>
        <v>45326.666666666672</v>
      </c>
      <c r="BZ43" s="377">
        <f>'Revenue - New'!BZ134</f>
        <v>47260</v>
      </c>
      <c r="CA43" s="377">
        <f>'Revenue - New'!CA134</f>
        <v>49193.333333333328</v>
      </c>
    </row>
    <row r="44" spans="2:79" outlineLevel="1">
      <c r="G44" s="359"/>
      <c r="M44" s="359"/>
      <c r="AE44" s="359"/>
    </row>
    <row r="45" spans="2:79" ht="15" outlineLevel="1" collapsed="1">
      <c r="B45" s="367"/>
      <c r="C45" s="365" t="s">
        <v>500</v>
      </c>
      <c r="D45" s="366"/>
      <c r="E45" s="365"/>
      <c r="G45" s="359"/>
      <c r="H45" s="378">
        <f>SUM(H46:H94)</f>
        <v>1230.3559720392409</v>
      </c>
      <c r="I45" s="378">
        <f>SUM(I46:I94)</f>
        <v>19559.424242003897</v>
      </c>
      <c r="J45" s="378">
        <f>SUM(J46:J94)</f>
        <v>92081.151539683429</v>
      </c>
      <c r="K45" s="378">
        <f>SUM(K46:K94)</f>
        <v>288622.56276282965</v>
      </c>
      <c r="L45" s="379"/>
      <c r="M45" s="359"/>
      <c r="N45" s="378">
        <f t="shared" ref="N45:AC45" si="28">SUM(N46:N94)</f>
        <v>16.708333333333336</v>
      </c>
      <c r="O45" s="378">
        <f t="shared" si="28"/>
        <v>130.59211254166664</v>
      </c>
      <c r="P45" s="378">
        <f t="shared" si="28"/>
        <v>361.55543414379167</v>
      </c>
      <c r="Q45" s="378">
        <f t="shared" si="28"/>
        <v>721.5000920204493</v>
      </c>
      <c r="R45" s="378">
        <f t="shared" si="28"/>
        <v>1530.7724246420944</v>
      </c>
      <c r="S45" s="378">
        <f t="shared" si="28"/>
        <v>3148.0791198811748</v>
      </c>
      <c r="T45" s="378">
        <f t="shared" si="28"/>
        <v>5656.6921615426936</v>
      </c>
      <c r="U45" s="378">
        <f t="shared" si="28"/>
        <v>9223.880535937933</v>
      </c>
      <c r="V45" s="378">
        <f t="shared" si="28"/>
        <v>13784.034238390725</v>
      </c>
      <c r="W45" s="378">
        <f t="shared" si="28"/>
        <v>19217.752880056538</v>
      </c>
      <c r="X45" s="378">
        <f t="shared" si="28"/>
        <v>25602.961289866791</v>
      </c>
      <c r="Y45" s="378">
        <f t="shared" si="28"/>
        <v>33476.403131369385</v>
      </c>
      <c r="Z45" s="378">
        <f t="shared" si="28"/>
        <v>43992.669639736341</v>
      </c>
      <c r="AA45" s="378">
        <f t="shared" si="28"/>
        <v>59354.425663531678</v>
      </c>
      <c r="AB45" s="378">
        <f t="shared" si="28"/>
        <v>79926.344169729011</v>
      </c>
      <c r="AC45" s="378">
        <f t="shared" si="28"/>
        <v>105349.12328983261</v>
      </c>
      <c r="AE45" s="359"/>
      <c r="AF45" s="377">
        <f t="shared" ref="AF45:CA45" si="29">SUM(AF46:AF94)</f>
        <v>0</v>
      </c>
      <c r="AG45" s="377">
        <f t="shared" si="29"/>
        <v>4.166666666666667</v>
      </c>
      <c r="AH45" s="377">
        <f t="shared" si="29"/>
        <v>12.541666666666668</v>
      </c>
      <c r="AI45" s="377">
        <f t="shared" si="29"/>
        <v>25.167083333333334</v>
      </c>
      <c r="AJ45" s="377">
        <f t="shared" si="29"/>
        <v>42.08542083333333</v>
      </c>
      <c r="AK45" s="377">
        <f t="shared" si="29"/>
        <v>63.339608374999997</v>
      </c>
      <c r="AL45" s="377">
        <f t="shared" si="29"/>
        <v>88.973004458749998</v>
      </c>
      <c r="AM45" s="377">
        <f t="shared" si="29"/>
        <v>119.02940117000416</v>
      </c>
      <c r="AN45" s="377">
        <f t="shared" si="29"/>
        <v>153.55302851503754</v>
      </c>
      <c r="AO45" s="377">
        <f t="shared" si="29"/>
        <v>192.58855880018791</v>
      </c>
      <c r="AP45" s="377">
        <f t="shared" si="29"/>
        <v>238.26444438818979</v>
      </c>
      <c r="AQ45" s="377">
        <f t="shared" si="29"/>
        <v>290.64708883207169</v>
      </c>
      <c r="AR45" s="377">
        <f t="shared" si="29"/>
        <v>372.22022638705903</v>
      </c>
      <c r="AS45" s="377">
        <f t="shared" si="29"/>
        <v>500.900761984263</v>
      </c>
      <c r="AT45" s="377">
        <f t="shared" si="29"/>
        <v>657.65143627077236</v>
      </c>
      <c r="AU45" s="377">
        <f t="shared" si="29"/>
        <v>831.79461730014657</v>
      </c>
      <c r="AV45" s="377">
        <f t="shared" si="29"/>
        <v>1037.3958968064815</v>
      </c>
      <c r="AW45" s="377">
        <f t="shared" si="29"/>
        <v>1278.8886057745462</v>
      </c>
      <c r="AX45" s="377">
        <f t="shared" si="29"/>
        <v>1552.7795751656249</v>
      </c>
      <c r="AY45" s="377">
        <f t="shared" si="29"/>
        <v>1873.1177875839478</v>
      </c>
      <c r="AZ45" s="377">
        <f t="shared" si="29"/>
        <v>2230.7947987931207</v>
      </c>
      <c r="BA45" s="377">
        <f t="shared" si="29"/>
        <v>2622.1319134477185</v>
      </c>
      <c r="BB45" s="377">
        <f t="shared" si="29"/>
        <v>3061.0907325821954</v>
      </c>
      <c r="BC45" s="377">
        <f t="shared" si="29"/>
        <v>3540.6578899080173</v>
      </c>
      <c r="BD45" s="377">
        <f t="shared" si="29"/>
        <v>4048.1457188070976</v>
      </c>
      <c r="BE45" s="377">
        <f t="shared" si="29"/>
        <v>4583.833425995168</v>
      </c>
      <c r="BF45" s="377">
        <f t="shared" si="29"/>
        <v>5152.055093588453</v>
      </c>
      <c r="BG45" s="377">
        <f t="shared" si="29"/>
        <v>5754.896477857671</v>
      </c>
      <c r="BH45" s="377">
        <f t="shared" si="29"/>
        <v>6399.0516926362479</v>
      </c>
      <c r="BI45" s="377">
        <f t="shared" si="29"/>
        <v>7063.8047095626107</v>
      </c>
      <c r="BJ45" s="377">
        <f t="shared" si="29"/>
        <v>7768.830256658237</v>
      </c>
      <c r="BK45" s="377">
        <f t="shared" si="29"/>
        <v>8510.4331425581531</v>
      </c>
      <c r="BL45" s="377">
        <f t="shared" si="29"/>
        <v>9323.697890650401</v>
      </c>
      <c r="BM45" s="377">
        <f t="shared" si="29"/>
        <v>10192.057786223573</v>
      </c>
      <c r="BN45" s="377">
        <f t="shared" si="29"/>
        <v>11126.986697419143</v>
      </c>
      <c r="BO45" s="377">
        <f t="shared" si="29"/>
        <v>12157.358647726667</v>
      </c>
      <c r="BP45" s="377">
        <f t="shared" si="29"/>
        <v>13286.992650870601</v>
      </c>
      <c r="BQ45" s="377">
        <f t="shared" si="29"/>
        <v>14597.891744045975</v>
      </c>
      <c r="BR45" s="377">
        <f t="shared" si="29"/>
        <v>16107.785244819768</v>
      </c>
      <c r="BS45" s="377">
        <f t="shared" si="29"/>
        <v>17827.496430601299</v>
      </c>
      <c r="BT45" s="377">
        <f t="shared" si="29"/>
        <v>19712.185978240646</v>
      </c>
      <c r="BU45" s="377">
        <f t="shared" si="29"/>
        <v>21814.743254689722</v>
      </c>
      <c r="BV45" s="377">
        <f t="shared" si="29"/>
        <v>24114.915687236618</v>
      </c>
      <c r="BW45" s="377">
        <f t="shared" si="29"/>
        <v>26578.837760775648</v>
      </c>
      <c r="BX45" s="377">
        <f t="shared" si="29"/>
        <v>29232.590721716737</v>
      </c>
      <c r="BY45" s="377">
        <f t="shared" si="29"/>
        <v>32074.249962267237</v>
      </c>
      <c r="BZ45" s="377">
        <f t="shared" si="29"/>
        <v>35059.465378556575</v>
      </c>
      <c r="CA45" s="377">
        <f t="shared" si="29"/>
        <v>38215.407949008804</v>
      </c>
    </row>
    <row r="46" spans="2:79" ht="21" hidden="1" customHeight="1" outlineLevel="2">
      <c r="B46" s="367"/>
      <c r="C46" s="370"/>
      <c r="D46" s="376"/>
      <c r="E46" s="369"/>
      <c r="G46" s="359"/>
      <c r="H46" s="375"/>
      <c r="I46" s="375"/>
      <c r="J46" s="375"/>
      <c r="K46" s="375"/>
      <c r="M46" s="359"/>
      <c r="N46" s="375"/>
      <c r="O46" s="375"/>
      <c r="P46" s="375"/>
      <c r="Q46" s="375"/>
      <c r="R46" s="375"/>
      <c r="S46" s="375"/>
      <c r="T46" s="375"/>
      <c r="U46" s="375"/>
      <c r="V46" s="375"/>
      <c r="W46" s="375"/>
      <c r="X46" s="375"/>
      <c r="Y46" s="375"/>
      <c r="Z46" s="375"/>
      <c r="AA46" s="375"/>
      <c r="AB46" s="375"/>
      <c r="AC46" s="375"/>
      <c r="AE46" s="359"/>
      <c r="AF46" s="375"/>
      <c r="AG46" s="375"/>
      <c r="AH46" s="375"/>
      <c r="AI46" s="375"/>
      <c r="AJ46" s="375"/>
      <c r="AK46" s="375"/>
      <c r="AL46" s="375"/>
      <c r="AM46" s="375"/>
      <c r="AN46" s="375"/>
      <c r="AO46" s="375"/>
      <c r="AP46" s="375"/>
      <c r="AQ46" s="375"/>
      <c r="AR46" s="375"/>
      <c r="AS46" s="375"/>
      <c r="AT46" s="375"/>
      <c r="AU46" s="375"/>
      <c r="AV46" s="375"/>
      <c r="AW46" s="375"/>
      <c r="AX46" s="375"/>
      <c r="AY46" s="375"/>
      <c r="AZ46" s="375"/>
      <c r="BA46" s="375"/>
      <c r="BB46" s="375"/>
      <c r="BC46" s="375"/>
      <c r="BD46" s="375"/>
      <c r="BE46" s="375"/>
      <c r="BF46" s="375"/>
      <c r="BG46" s="375"/>
      <c r="BH46" s="375"/>
      <c r="BI46" s="375"/>
      <c r="BJ46" s="375"/>
      <c r="BK46" s="375"/>
      <c r="BL46" s="375"/>
      <c r="BM46" s="375"/>
      <c r="BN46" s="375"/>
      <c r="BO46" s="375"/>
      <c r="BP46" s="375"/>
      <c r="BQ46" s="375"/>
      <c r="BR46" s="375"/>
      <c r="BS46" s="375"/>
      <c r="BT46" s="375"/>
      <c r="BU46" s="375"/>
      <c r="BV46" s="375"/>
      <c r="BW46" s="375"/>
      <c r="BX46" s="375"/>
      <c r="BY46" s="375"/>
      <c r="BZ46" s="375"/>
      <c r="CA46" s="375"/>
    </row>
    <row r="47" spans="2:79" ht="21" hidden="1" customHeight="1" outlineLevel="2">
      <c r="B47" s="367"/>
      <c r="C47" s="370"/>
      <c r="D47" s="374" cm="1">
        <f t="array" ref="D47">EOM_Start_Date</f>
        <v>44957</v>
      </c>
      <c r="E47" s="373" cm="1">
        <f t="array" ref="E47">INDEX($AF$31:$CA$31,0,MATCH($D47,$AF$8:$CA$8,0))</f>
        <v>0</v>
      </c>
      <c r="G47" s="359"/>
      <c r="H47" s="371">
        <f t="shared" ref="H47:K66" si="30">SUMIFS($AF47:$CA47,$AF$4:$CA$4,"&gt;="&amp;H$4,$AF$5:$CA$5,"&lt;="&amp;H$5)</f>
        <v>0</v>
      </c>
      <c r="I47" s="371">
        <f t="shared" si="30"/>
        <v>0</v>
      </c>
      <c r="J47" s="371">
        <f t="shared" si="30"/>
        <v>0</v>
      </c>
      <c r="K47" s="371">
        <f t="shared" si="30"/>
        <v>0</v>
      </c>
      <c r="L47" s="372"/>
      <c r="M47" s="359"/>
      <c r="N47" s="371">
        <f t="shared" ref="N47:AC56" si="31">SUMIFS($AF47:$CA47,$AF$4:$CA$4,"&gt;="&amp;N$4,$AF$5:$CA$5,"&lt;="&amp;N$5)</f>
        <v>0</v>
      </c>
      <c r="O47" s="371">
        <f t="shared" si="31"/>
        <v>0</v>
      </c>
      <c r="P47" s="371">
        <f t="shared" si="31"/>
        <v>0</v>
      </c>
      <c r="Q47" s="371">
        <f t="shared" si="31"/>
        <v>0</v>
      </c>
      <c r="R47" s="371">
        <f t="shared" si="31"/>
        <v>0</v>
      </c>
      <c r="S47" s="371">
        <f t="shared" si="31"/>
        <v>0</v>
      </c>
      <c r="T47" s="371">
        <f t="shared" si="31"/>
        <v>0</v>
      </c>
      <c r="U47" s="371">
        <f t="shared" si="31"/>
        <v>0</v>
      </c>
      <c r="V47" s="371">
        <f t="shared" si="31"/>
        <v>0</v>
      </c>
      <c r="W47" s="371">
        <f t="shared" si="31"/>
        <v>0</v>
      </c>
      <c r="X47" s="371">
        <f t="shared" si="31"/>
        <v>0</v>
      </c>
      <c r="Y47" s="371">
        <f t="shared" si="31"/>
        <v>0</v>
      </c>
      <c r="Z47" s="371">
        <f t="shared" si="31"/>
        <v>0</v>
      </c>
      <c r="AA47" s="371">
        <f t="shared" si="31"/>
        <v>0</v>
      </c>
      <c r="AB47" s="371">
        <f t="shared" si="31"/>
        <v>0</v>
      </c>
      <c r="AC47" s="371">
        <f t="shared" si="31"/>
        <v>0</v>
      </c>
      <c r="AE47" s="359"/>
      <c r="AF47" s="371">
        <f t="shared" ref="AF47:AO56" si="32">IF(AND(AF$8&gt;=$D47,(MATCH(AF$8,$AF$8:$CA$8,0)-MATCH($D47,$AF$8:$CA$8,0))&lt;12),$E47/12,0)</f>
        <v>0</v>
      </c>
      <c r="AG47" s="371">
        <f t="shared" si="32"/>
        <v>0</v>
      </c>
      <c r="AH47" s="371">
        <f t="shared" si="32"/>
        <v>0</v>
      </c>
      <c r="AI47" s="371">
        <f t="shared" si="32"/>
        <v>0</v>
      </c>
      <c r="AJ47" s="371">
        <f t="shared" si="32"/>
        <v>0</v>
      </c>
      <c r="AK47" s="371">
        <f t="shared" si="32"/>
        <v>0</v>
      </c>
      <c r="AL47" s="371">
        <f t="shared" si="32"/>
        <v>0</v>
      </c>
      <c r="AM47" s="371">
        <f t="shared" si="32"/>
        <v>0</v>
      </c>
      <c r="AN47" s="371">
        <f t="shared" si="32"/>
        <v>0</v>
      </c>
      <c r="AO47" s="371">
        <f t="shared" si="32"/>
        <v>0</v>
      </c>
      <c r="AP47" s="371">
        <f t="shared" ref="AP47:AY56" si="33">IF(AND(AP$8&gt;=$D47,(MATCH(AP$8,$AF$8:$CA$8,0)-MATCH($D47,$AF$8:$CA$8,0))&lt;12),$E47/12,0)</f>
        <v>0</v>
      </c>
      <c r="AQ47" s="371">
        <f t="shared" si="33"/>
        <v>0</v>
      </c>
      <c r="AR47" s="371">
        <f t="shared" si="33"/>
        <v>0</v>
      </c>
      <c r="AS47" s="371">
        <f t="shared" si="33"/>
        <v>0</v>
      </c>
      <c r="AT47" s="371">
        <f t="shared" si="33"/>
        <v>0</v>
      </c>
      <c r="AU47" s="371">
        <f t="shared" si="33"/>
        <v>0</v>
      </c>
      <c r="AV47" s="371">
        <f t="shared" si="33"/>
        <v>0</v>
      </c>
      <c r="AW47" s="371">
        <f t="shared" si="33"/>
        <v>0</v>
      </c>
      <c r="AX47" s="371">
        <f t="shared" si="33"/>
        <v>0</v>
      </c>
      <c r="AY47" s="371">
        <f t="shared" si="33"/>
        <v>0</v>
      </c>
      <c r="AZ47" s="371">
        <f t="shared" ref="AZ47:BI56" si="34">IF(AND(AZ$8&gt;=$D47,(MATCH(AZ$8,$AF$8:$CA$8,0)-MATCH($D47,$AF$8:$CA$8,0))&lt;12),$E47/12,0)</f>
        <v>0</v>
      </c>
      <c r="BA47" s="371">
        <f t="shared" si="34"/>
        <v>0</v>
      </c>
      <c r="BB47" s="371">
        <f t="shared" si="34"/>
        <v>0</v>
      </c>
      <c r="BC47" s="371">
        <f t="shared" si="34"/>
        <v>0</v>
      </c>
      <c r="BD47" s="371">
        <f t="shared" si="34"/>
        <v>0</v>
      </c>
      <c r="BE47" s="371">
        <f t="shared" si="34"/>
        <v>0</v>
      </c>
      <c r="BF47" s="371">
        <f t="shared" si="34"/>
        <v>0</v>
      </c>
      <c r="BG47" s="371">
        <f t="shared" si="34"/>
        <v>0</v>
      </c>
      <c r="BH47" s="371">
        <f t="shared" si="34"/>
        <v>0</v>
      </c>
      <c r="BI47" s="371">
        <f t="shared" si="34"/>
        <v>0</v>
      </c>
      <c r="BJ47" s="371">
        <f t="shared" ref="BJ47:BS56" si="35">IF(AND(BJ$8&gt;=$D47,(MATCH(BJ$8,$AF$8:$CA$8,0)-MATCH($D47,$AF$8:$CA$8,0))&lt;12),$E47/12,0)</f>
        <v>0</v>
      </c>
      <c r="BK47" s="371">
        <f t="shared" si="35"/>
        <v>0</v>
      </c>
      <c r="BL47" s="371">
        <f t="shared" si="35"/>
        <v>0</v>
      </c>
      <c r="BM47" s="371">
        <f t="shared" si="35"/>
        <v>0</v>
      </c>
      <c r="BN47" s="371">
        <f t="shared" si="35"/>
        <v>0</v>
      </c>
      <c r="BO47" s="371">
        <f t="shared" si="35"/>
        <v>0</v>
      </c>
      <c r="BP47" s="371">
        <f t="shared" si="35"/>
        <v>0</v>
      </c>
      <c r="BQ47" s="371">
        <f t="shared" si="35"/>
        <v>0</v>
      </c>
      <c r="BR47" s="371">
        <f t="shared" si="35"/>
        <v>0</v>
      </c>
      <c r="BS47" s="371">
        <f t="shared" si="35"/>
        <v>0</v>
      </c>
      <c r="BT47" s="371">
        <f t="shared" ref="BT47:CA56" si="36">IF(AND(BT$8&gt;=$D47,(MATCH(BT$8,$AF$8:$CA$8,0)-MATCH($D47,$AF$8:$CA$8,0))&lt;12),$E47/12,0)</f>
        <v>0</v>
      </c>
      <c r="BU47" s="371">
        <f t="shared" si="36"/>
        <v>0</v>
      </c>
      <c r="BV47" s="371">
        <f t="shared" si="36"/>
        <v>0</v>
      </c>
      <c r="BW47" s="371">
        <f t="shared" si="36"/>
        <v>0</v>
      </c>
      <c r="BX47" s="371">
        <f t="shared" si="36"/>
        <v>0</v>
      </c>
      <c r="BY47" s="371">
        <f t="shared" si="36"/>
        <v>0</v>
      </c>
      <c r="BZ47" s="371">
        <f t="shared" si="36"/>
        <v>0</v>
      </c>
      <c r="CA47" s="371">
        <f t="shared" si="36"/>
        <v>0</v>
      </c>
    </row>
    <row r="48" spans="2:79" ht="21" hidden="1" customHeight="1" outlineLevel="2">
      <c r="B48" s="367"/>
      <c r="C48" s="370"/>
      <c r="D48" s="374">
        <f t="shared" ref="D48:D94" si="37">EOMONTH(D47,1)</f>
        <v>44985</v>
      </c>
      <c r="E48" s="373" cm="1">
        <f t="array" ref="E48">INDEX($AF$31:$CA$31,0,MATCH($D48,$AF$8:$CA$8,0))</f>
        <v>50</v>
      </c>
      <c r="G48" s="359"/>
      <c r="H48" s="371">
        <f t="shared" si="30"/>
        <v>45.833333333333329</v>
      </c>
      <c r="I48" s="371">
        <f t="shared" si="30"/>
        <v>4.166666666666667</v>
      </c>
      <c r="J48" s="371">
        <f t="shared" si="30"/>
        <v>0</v>
      </c>
      <c r="K48" s="371">
        <f t="shared" si="30"/>
        <v>0</v>
      </c>
      <c r="L48" s="372"/>
      <c r="M48" s="359"/>
      <c r="N48" s="371">
        <f t="shared" si="31"/>
        <v>8.3333333333333339</v>
      </c>
      <c r="O48" s="371">
        <f t="shared" si="31"/>
        <v>12.5</v>
      </c>
      <c r="P48" s="371">
        <f t="shared" si="31"/>
        <v>12.5</v>
      </c>
      <c r="Q48" s="371">
        <f t="shared" si="31"/>
        <v>12.5</v>
      </c>
      <c r="R48" s="371">
        <f t="shared" si="31"/>
        <v>4.166666666666667</v>
      </c>
      <c r="S48" s="371">
        <f t="shared" si="31"/>
        <v>0</v>
      </c>
      <c r="T48" s="371">
        <f t="shared" si="31"/>
        <v>0</v>
      </c>
      <c r="U48" s="371">
        <f t="shared" si="31"/>
        <v>0</v>
      </c>
      <c r="V48" s="371">
        <f t="shared" si="31"/>
        <v>0</v>
      </c>
      <c r="W48" s="371">
        <f t="shared" si="31"/>
        <v>0</v>
      </c>
      <c r="X48" s="371">
        <f t="shared" si="31"/>
        <v>0</v>
      </c>
      <c r="Y48" s="371">
        <f t="shared" si="31"/>
        <v>0</v>
      </c>
      <c r="Z48" s="371">
        <f t="shared" si="31"/>
        <v>0</v>
      </c>
      <c r="AA48" s="371">
        <f t="shared" si="31"/>
        <v>0</v>
      </c>
      <c r="AB48" s="371">
        <f t="shared" si="31"/>
        <v>0</v>
      </c>
      <c r="AC48" s="371">
        <f t="shared" si="31"/>
        <v>0</v>
      </c>
      <c r="AE48" s="359"/>
      <c r="AF48" s="371">
        <f t="shared" si="32"/>
        <v>0</v>
      </c>
      <c r="AG48" s="371">
        <f t="shared" si="32"/>
        <v>4.166666666666667</v>
      </c>
      <c r="AH48" s="371">
        <f t="shared" si="32"/>
        <v>4.166666666666667</v>
      </c>
      <c r="AI48" s="371">
        <f t="shared" si="32"/>
        <v>4.166666666666667</v>
      </c>
      <c r="AJ48" s="371">
        <f t="shared" si="32"/>
        <v>4.166666666666667</v>
      </c>
      <c r="AK48" s="371">
        <f t="shared" si="32"/>
        <v>4.166666666666667</v>
      </c>
      <c r="AL48" s="371">
        <f t="shared" si="32"/>
        <v>4.166666666666667</v>
      </c>
      <c r="AM48" s="371">
        <f t="shared" si="32"/>
        <v>4.166666666666667</v>
      </c>
      <c r="AN48" s="371">
        <f t="shared" si="32"/>
        <v>4.166666666666667</v>
      </c>
      <c r="AO48" s="371">
        <f t="shared" si="32"/>
        <v>4.166666666666667</v>
      </c>
      <c r="AP48" s="371">
        <f t="shared" si="33"/>
        <v>4.166666666666667</v>
      </c>
      <c r="AQ48" s="371">
        <f t="shared" si="33"/>
        <v>4.166666666666667</v>
      </c>
      <c r="AR48" s="371">
        <f t="shared" si="33"/>
        <v>4.166666666666667</v>
      </c>
      <c r="AS48" s="371">
        <f t="shared" si="33"/>
        <v>0</v>
      </c>
      <c r="AT48" s="371">
        <f t="shared" si="33"/>
        <v>0</v>
      </c>
      <c r="AU48" s="371">
        <f t="shared" si="33"/>
        <v>0</v>
      </c>
      <c r="AV48" s="371">
        <f t="shared" si="33"/>
        <v>0</v>
      </c>
      <c r="AW48" s="371">
        <f t="shared" si="33"/>
        <v>0</v>
      </c>
      <c r="AX48" s="371">
        <f t="shared" si="33"/>
        <v>0</v>
      </c>
      <c r="AY48" s="371">
        <f t="shared" si="33"/>
        <v>0</v>
      </c>
      <c r="AZ48" s="371">
        <f t="shared" si="34"/>
        <v>0</v>
      </c>
      <c r="BA48" s="371">
        <f t="shared" si="34"/>
        <v>0</v>
      </c>
      <c r="BB48" s="371">
        <f t="shared" si="34"/>
        <v>0</v>
      </c>
      <c r="BC48" s="371">
        <f t="shared" si="34"/>
        <v>0</v>
      </c>
      <c r="BD48" s="371">
        <f t="shared" si="34"/>
        <v>0</v>
      </c>
      <c r="BE48" s="371">
        <f t="shared" si="34"/>
        <v>0</v>
      </c>
      <c r="BF48" s="371">
        <f t="shared" si="34"/>
        <v>0</v>
      </c>
      <c r="BG48" s="371">
        <f t="shared" si="34"/>
        <v>0</v>
      </c>
      <c r="BH48" s="371">
        <f t="shared" si="34"/>
        <v>0</v>
      </c>
      <c r="BI48" s="371">
        <f t="shared" si="34"/>
        <v>0</v>
      </c>
      <c r="BJ48" s="371">
        <f t="shared" si="35"/>
        <v>0</v>
      </c>
      <c r="BK48" s="371">
        <f t="shared" si="35"/>
        <v>0</v>
      </c>
      <c r="BL48" s="371">
        <f t="shared" si="35"/>
        <v>0</v>
      </c>
      <c r="BM48" s="371">
        <f t="shared" si="35"/>
        <v>0</v>
      </c>
      <c r="BN48" s="371">
        <f t="shared" si="35"/>
        <v>0</v>
      </c>
      <c r="BO48" s="371">
        <f t="shared" si="35"/>
        <v>0</v>
      </c>
      <c r="BP48" s="371">
        <f t="shared" si="35"/>
        <v>0</v>
      </c>
      <c r="BQ48" s="371">
        <f t="shared" si="35"/>
        <v>0</v>
      </c>
      <c r="BR48" s="371">
        <f t="shared" si="35"/>
        <v>0</v>
      </c>
      <c r="BS48" s="371">
        <f t="shared" si="35"/>
        <v>0</v>
      </c>
      <c r="BT48" s="371">
        <f t="shared" si="36"/>
        <v>0</v>
      </c>
      <c r="BU48" s="371">
        <f t="shared" si="36"/>
        <v>0</v>
      </c>
      <c r="BV48" s="371">
        <f t="shared" si="36"/>
        <v>0</v>
      </c>
      <c r="BW48" s="371">
        <f t="shared" si="36"/>
        <v>0</v>
      </c>
      <c r="BX48" s="371">
        <f t="shared" si="36"/>
        <v>0</v>
      </c>
      <c r="BY48" s="371">
        <f t="shared" si="36"/>
        <v>0</v>
      </c>
      <c r="BZ48" s="371">
        <f t="shared" si="36"/>
        <v>0</v>
      </c>
      <c r="CA48" s="371">
        <f t="shared" si="36"/>
        <v>0</v>
      </c>
    </row>
    <row r="49" spans="2:79" ht="21" hidden="1" customHeight="1" outlineLevel="2">
      <c r="B49" s="367"/>
      <c r="C49" s="370"/>
      <c r="D49" s="374">
        <f t="shared" si="37"/>
        <v>45016</v>
      </c>
      <c r="E49" s="373" cm="1">
        <f t="array" ref="E49">INDEX($AF$31:$CA$31,0,MATCH($D49,$AF$8:$CA$8,0))</f>
        <v>100.5</v>
      </c>
      <c r="G49" s="359"/>
      <c r="H49" s="371">
        <f t="shared" si="30"/>
        <v>83.75</v>
      </c>
      <c r="I49" s="371">
        <f t="shared" si="30"/>
        <v>16.75</v>
      </c>
      <c r="J49" s="371">
        <f t="shared" si="30"/>
        <v>0</v>
      </c>
      <c r="K49" s="371">
        <f t="shared" si="30"/>
        <v>0</v>
      </c>
      <c r="L49" s="372"/>
      <c r="M49" s="359"/>
      <c r="N49" s="371">
        <f t="shared" si="31"/>
        <v>8.375</v>
      </c>
      <c r="O49" s="371">
        <f t="shared" si="31"/>
        <v>25.125</v>
      </c>
      <c r="P49" s="371">
        <f t="shared" si="31"/>
        <v>25.125</v>
      </c>
      <c r="Q49" s="371">
        <f t="shared" si="31"/>
        <v>25.125</v>
      </c>
      <c r="R49" s="371">
        <f t="shared" si="31"/>
        <v>16.75</v>
      </c>
      <c r="S49" s="371">
        <f t="shared" si="31"/>
        <v>0</v>
      </c>
      <c r="T49" s="371">
        <f t="shared" si="31"/>
        <v>0</v>
      </c>
      <c r="U49" s="371">
        <f t="shared" si="31"/>
        <v>0</v>
      </c>
      <c r="V49" s="371">
        <f t="shared" si="31"/>
        <v>0</v>
      </c>
      <c r="W49" s="371">
        <f t="shared" si="31"/>
        <v>0</v>
      </c>
      <c r="X49" s="371">
        <f t="shared" si="31"/>
        <v>0</v>
      </c>
      <c r="Y49" s="371">
        <f t="shared" si="31"/>
        <v>0</v>
      </c>
      <c r="Z49" s="371">
        <f t="shared" si="31"/>
        <v>0</v>
      </c>
      <c r="AA49" s="371">
        <f t="shared" si="31"/>
        <v>0</v>
      </c>
      <c r="AB49" s="371">
        <f t="shared" si="31"/>
        <v>0</v>
      </c>
      <c r="AC49" s="371">
        <f t="shared" si="31"/>
        <v>0</v>
      </c>
      <c r="AE49" s="359"/>
      <c r="AF49" s="371">
        <f t="shared" si="32"/>
        <v>0</v>
      </c>
      <c r="AG49" s="371">
        <f t="shared" si="32"/>
        <v>0</v>
      </c>
      <c r="AH49" s="371">
        <f t="shared" si="32"/>
        <v>8.375</v>
      </c>
      <c r="AI49" s="371">
        <f t="shared" si="32"/>
        <v>8.375</v>
      </c>
      <c r="AJ49" s="371">
        <f t="shared" si="32"/>
        <v>8.375</v>
      </c>
      <c r="AK49" s="371">
        <f t="shared" si="32"/>
        <v>8.375</v>
      </c>
      <c r="AL49" s="371">
        <f t="shared" si="32"/>
        <v>8.375</v>
      </c>
      <c r="AM49" s="371">
        <f t="shared" si="32"/>
        <v>8.375</v>
      </c>
      <c r="AN49" s="371">
        <f t="shared" si="32"/>
        <v>8.375</v>
      </c>
      <c r="AO49" s="371">
        <f t="shared" si="32"/>
        <v>8.375</v>
      </c>
      <c r="AP49" s="371">
        <f t="shared" si="33"/>
        <v>8.375</v>
      </c>
      <c r="AQ49" s="371">
        <f t="shared" si="33"/>
        <v>8.375</v>
      </c>
      <c r="AR49" s="371">
        <f t="shared" si="33"/>
        <v>8.375</v>
      </c>
      <c r="AS49" s="371">
        <f t="shared" si="33"/>
        <v>8.375</v>
      </c>
      <c r="AT49" s="371">
        <f t="shared" si="33"/>
        <v>0</v>
      </c>
      <c r="AU49" s="371">
        <f t="shared" si="33"/>
        <v>0</v>
      </c>
      <c r="AV49" s="371">
        <f t="shared" si="33"/>
        <v>0</v>
      </c>
      <c r="AW49" s="371">
        <f t="shared" si="33"/>
        <v>0</v>
      </c>
      <c r="AX49" s="371">
        <f t="shared" si="33"/>
        <v>0</v>
      </c>
      <c r="AY49" s="371">
        <f t="shared" si="33"/>
        <v>0</v>
      </c>
      <c r="AZ49" s="371">
        <f t="shared" si="34"/>
        <v>0</v>
      </c>
      <c r="BA49" s="371">
        <f t="shared" si="34"/>
        <v>0</v>
      </c>
      <c r="BB49" s="371">
        <f t="shared" si="34"/>
        <v>0</v>
      </c>
      <c r="BC49" s="371">
        <f t="shared" si="34"/>
        <v>0</v>
      </c>
      <c r="BD49" s="371">
        <f t="shared" si="34"/>
        <v>0</v>
      </c>
      <c r="BE49" s="371">
        <f t="shared" si="34"/>
        <v>0</v>
      </c>
      <c r="BF49" s="371">
        <f t="shared" si="34"/>
        <v>0</v>
      </c>
      <c r="BG49" s="371">
        <f t="shared" si="34"/>
        <v>0</v>
      </c>
      <c r="BH49" s="371">
        <f t="shared" si="34"/>
        <v>0</v>
      </c>
      <c r="BI49" s="371">
        <f t="shared" si="34"/>
        <v>0</v>
      </c>
      <c r="BJ49" s="371">
        <f t="shared" si="35"/>
        <v>0</v>
      </c>
      <c r="BK49" s="371">
        <f t="shared" si="35"/>
        <v>0</v>
      </c>
      <c r="BL49" s="371">
        <f t="shared" si="35"/>
        <v>0</v>
      </c>
      <c r="BM49" s="371">
        <f t="shared" si="35"/>
        <v>0</v>
      </c>
      <c r="BN49" s="371">
        <f t="shared" si="35"/>
        <v>0</v>
      </c>
      <c r="BO49" s="371">
        <f t="shared" si="35"/>
        <v>0</v>
      </c>
      <c r="BP49" s="371">
        <f t="shared" si="35"/>
        <v>0</v>
      </c>
      <c r="BQ49" s="371">
        <f t="shared" si="35"/>
        <v>0</v>
      </c>
      <c r="BR49" s="371">
        <f t="shared" si="35"/>
        <v>0</v>
      </c>
      <c r="BS49" s="371">
        <f t="shared" si="35"/>
        <v>0</v>
      </c>
      <c r="BT49" s="371">
        <f t="shared" si="36"/>
        <v>0</v>
      </c>
      <c r="BU49" s="371">
        <f t="shared" si="36"/>
        <v>0</v>
      </c>
      <c r="BV49" s="371">
        <f t="shared" si="36"/>
        <v>0</v>
      </c>
      <c r="BW49" s="371">
        <f t="shared" si="36"/>
        <v>0</v>
      </c>
      <c r="BX49" s="371">
        <f t="shared" si="36"/>
        <v>0</v>
      </c>
      <c r="BY49" s="371">
        <f t="shared" si="36"/>
        <v>0</v>
      </c>
      <c r="BZ49" s="371">
        <f t="shared" si="36"/>
        <v>0</v>
      </c>
      <c r="CA49" s="371">
        <f t="shared" si="36"/>
        <v>0</v>
      </c>
    </row>
    <row r="50" spans="2:79" ht="21" hidden="1" customHeight="1" outlineLevel="2">
      <c r="D50" s="374">
        <f t="shared" si="37"/>
        <v>45046</v>
      </c>
      <c r="E50" s="373" cm="1">
        <f t="array" ref="E50">INDEX($AF$31:$CA$31,0,MATCH($D50,$AF$8:$CA$8,0))</f>
        <v>151.505</v>
      </c>
      <c r="G50" s="359"/>
      <c r="H50" s="371">
        <f t="shared" si="30"/>
        <v>113.62875</v>
      </c>
      <c r="I50" s="371">
        <f t="shared" si="30"/>
        <v>37.876249999999999</v>
      </c>
      <c r="J50" s="371">
        <f t="shared" si="30"/>
        <v>0</v>
      </c>
      <c r="K50" s="371">
        <f t="shared" si="30"/>
        <v>0</v>
      </c>
      <c r="L50" s="372"/>
      <c r="M50" s="359"/>
      <c r="N50" s="371">
        <f t="shared" si="31"/>
        <v>0</v>
      </c>
      <c r="O50" s="371">
        <f t="shared" si="31"/>
        <v>37.876249999999999</v>
      </c>
      <c r="P50" s="371">
        <f t="shared" si="31"/>
        <v>37.876249999999999</v>
      </c>
      <c r="Q50" s="371">
        <f t="shared" si="31"/>
        <v>37.876249999999999</v>
      </c>
      <c r="R50" s="371">
        <f t="shared" si="31"/>
        <v>37.876249999999999</v>
      </c>
      <c r="S50" s="371">
        <f t="shared" si="31"/>
        <v>0</v>
      </c>
      <c r="T50" s="371">
        <f t="shared" si="31"/>
        <v>0</v>
      </c>
      <c r="U50" s="371">
        <f t="shared" si="31"/>
        <v>0</v>
      </c>
      <c r="V50" s="371">
        <f t="shared" si="31"/>
        <v>0</v>
      </c>
      <c r="W50" s="371">
        <f t="shared" si="31"/>
        <v>0</v>
      </c>
      <c r="X50" s="371">
        <f t="shared" si="31"/>
        <v>0</v>
      </c>
      <c r="Y50" s="371">
        <f t="shared" si="31"/>
        <v>0</v>
      </c>
      <c r="Z50" s="371">
        <f t="shared" si="31"/>
        <v>0</v>
      </c>
      <c r="AA50" s="371">
        <f t="shared" si="31"/>
        <v>0</v>
      </c>
      <c r="AB50" s="371">
        <f t="shared" si="31"/>
        <v>0</v>
      </c>
      <c r="AC50" s="371">
        <f t="shared" si="31"/>
        <v>0</v>
      </c>
      <c r="AE50" s="359"/>
      <c r="AF50" s="371">
        <f t="shared" si="32"/>
        <v>0</v>
      </c>
      <c r="AG50" s="371">
        <f t="shared" si="32"/>
        <v>0</v>
      </c>
      <c r="AH50" s="371">
        <f t="shared" si="32"/>
        <v>0</v>
      </c>
      <c r="AI50" s="371">
        <f t="shared" si="32"/>
        <v>12.625416666666666</v>
      </c>
      <c r="AJ50" s="371">
        <f t="shared" si="32"/>
        <v>12.625416666666666</v>
      </c>
      <c r="AK50" s="371">
        <f t="shared" si="32"/>
        <v>12.625416666666666</v>
      </c>
      <c r="AL50" s="371">
        <f t="shared" si="32"/>
        <v>12.625416666666666</v>
      </c>
      <c r="AM50" s="371">
        <f t="shared" si="32"/>
        <v>12.625416666666666</v>
      </c>
      <c r="AN50" s="371">
        <f t="shared" si="32"/>
        <v>12.625416666666666</v>
      </c>
      <c r="AO50" s="371">
        <f t="shared" si="32"/>
        <v>12.625416666666666</v>
      </c>
      <c r="AP50" s="371">
        <f t="shared" si="33"/>
        <v>12.625416666666666</v>
      </c>
      <c r="AQ50" s="371">
        <f t="shared" si="33"/>
        <v>12.625416666666666</v>
      </c>
      <c r="AR50" s="371">
        <f t="shared" si="33"/>
        <v>12.625416666666666</v>
      </c>
      <c r="AS50" s="371">
        <f t="shared" si="33"/>
        <v>12.625416666666666</v>
      </c>
      <c r="AT50" s="371">
        <f t="shared" si="33"/>
        <v>12.625416666666666</v>
      </c>
      <c r="AU50" s="371">
        <f t="shared" si="33"/>
        <v>0</v>
      </c>
      <c r="AV50" s="371">
        <f t="shared" si="33"/>
        <v>0</v>
      </c>
      <c r="AW50" s="371">
        <f t="shared" si="33"/>
        <v>0</v>
      </c>
      <c r="AX50" s="371">
        <f t="shared" si="33"/>
        <v>0</v>
      </c>
      <c r="AY50" s="371">
        <f t="shared" si="33"/>
        <v>0</v>
      </c>
      <c r="AZ50" s="371">
        <f t="shared" si="34"/>
        <v>0</v>
      </c>
      <c r="BA50" s="371">
        <f t="shared" si="34"/>
        <v>0</v>
      </c>
      <c r="BB50" s="371">
        <f t="shared" si="34"/>
        <v>0</v>
      </c>
      <c r="BC50" s="371">
        <f t="shared" si="34"/>
        <v>0</v>
      </c>
      <c r="BD50" s="371">
        <f t="shared" si="34"/>
        <v>0</v>
      </c>
      <c r="BE50" s="371">
        <f t="shared" si="34"/>
        <v>0</v>
      </c>
      <c r="BF50" s="371">
        <f t="shared" si="34"/>
        <v>0</v>
      </c>
      <c r="BG50" s="371">
        <f t="shared" si="34"/>
        <v>0</v>
      </c>
      <c r="BH50" s="371">
        <f t="shared" si="34"/>
        <v>0</v>
      </c>
      <c r="BI50" s="371">
        <f t="shared" si="34"/>
        <v>0</v>
      </c>
      <c r="BJ50" s="371">
        <f t="shared" si="35"/>
        <v>0</v>
      </c>
      <c r="BK50" s="371">
        <f t="shared" si="35"/>
        <v>0</v>
      </c>
      <c r="BL50" s="371">
        <f t="shared" si="35"/>
        <v>0</v>
      </c>
      <c r="BM50" s="371">
        <f t="shared" si="35"/>
        <v>0</v>
      </c>
      <c r="BN50" s="371">
        <f t="shared" si="35"/>
        <v>0</v>
      </c>
      <c r="BO50" s="371">
        <f t="shared" si="35"/>
        <v>0</v>
      </c>
      <c r="BP50" s="371">
        <f t="shared" si="35"/>
        <v>0</v>
      </c>
      <c r="BQ50" s="371">
        <f t="shared" si="35"/>
        <v>0</v>
      </c>
      <c r="BR50" s="371">
        <f t="shared" si="35"/>
        <v>0</v>
      </c>
      <c r="BS50" s="371">
        <f t="shared" si="35"/>
        <v>0</v>
      </c>
      <c r="BT50" s="371">
        <f t="shared" si="36"/>
        <v>0</v>
      </c>
      <c r="BU50" s="371">
        <f t="shared" si="36"/>
        <v>0</v>
      </c>
      <c r="BV50" s="371">
        <f t="shared" si="36"/>
        <v>0</v>
      </c>
      <c r="BW50" s="371">
        <f t="shared" si="36"/>
        <v>0</v>
      </c>
      <c r="BX50" s="371">
        <f t="shared" si="36"/>
        <v>0</v>
      </c>
      <c r="BY50" s="371">
        <f t="shared" si="36"/>
        <v>0</v>
      </c>
      <c r="BZ50" s="371">
        <f t="shared" si="36"/>
        <v>0</v>
      </c>
      <c r="CA50" s="371">
        <f t="shared" si="36"/>
        <v>0</v>
      </c>
    </row>
    <row r="51" spans="2:79" ht="21" hidden="1" customHeight="1" outlineLevel="2">
      <c r="D51" s="374">
        <f t="shared" si="37"/>
        <v>45077</v>
      </c>
      <c r="E51" s="373" cm="1">
        <f t="array" ref="E51">INDEX($AF$31:$CA$31,0,MATCH($D51,$AF$8:$CA$8,0))</f>
        <v>203.02004999999997</v>
      </c>
      <c r="G51" s="359"/>
      <c r="H51" s="371">
        <f t="shared" si="30"/>
        <v>135.34669999999997</v>
      </c>
      <c r="I51" s="371">
        <f t="shared" si="30"/>
        <v>67.673349999999985</v>
      </c>
      <c r="J51" s="371">
        <f t="shared" si="30"/>
        <v>0</v>
      </c>
      <c r="K51" s="371">
        <f t="shared" si="30"/>
        <v>0</v>
      </c>
      <c r="L51" s="372"/>
      <c r="M51" s="359"/>
      <c r="N51" s="371">
        <f t="shared" si="31"/>
        <v>0</v>
      </c>
      <c r="O51" s="371">
        <f t="shared" si="31"/>
        <v>33.836674999999993</v>
      </c>
      <c r="P51" s="371">
        <f t="shared" si="31"/>
        <v>50.755012499999992</v>
      </c>
      <c r="Q51" s="371">
        <f t="shared" si="31"/>
        <v>50.755012499999992</v>
      </c>
      <c r="R51" s="371">
        <f t="shared" si="31"/>
        <v>50.755012499999992</v>
      </c>
      <c r="S51" s="371">
        <f t="shared" si="31"/>
        <v>16.918337499999996</v>
      </c>
      <c r="T51" s="371">
        <f t="shared" si="31"/>
        <v>0</v>
      </c>
      <c r="U51" s="371">
        <f t="shared" si="31"/>
        <v>0</v>
      </c>
      <c r="V51" s="371">
        <f t="shared" si="31"/>
        <v>0</v>
      </c>
      <c r="W51" s="371">
        <f t="shared" si="31"/>
        <v>0</v>
      </c>
      <c r="X51" s="371">
        <f t="shared" si="31"/>
        <v>0</v>
      </c>
      <c r="Y51" s="371">
        <f t="shared" si="31"/>
        <v>0</v>
      </c>
      <c r="Z51" s="371">
        <f t="shared" si="31"/>
        <v>0</v>
      </c>
      <c r="AA51" s="371">
        <f t="shared" si="31"/>
        <v>0</v>
      </c>
      <c r="AB51" s="371">
        <f t="shared" si="31"/>
        <v>0</v>
      </c>
      <c r="AC51" s="371">
        <f t="shared" si="31"/>
        <v>0</v>
      </c>
      <c r="AE51" s="359"/>
      <c r="AF51" s="371">
        <f t="shared" si="32"/>
        <v>0</v>
      </c>
      <c r="AG51" s="371">
        <f t="shared" si="32"/>
        <v>0</v>
      </c>
      <c r="AH51" s="371">
        <f t="shared" si="32"/>
        <v>0</v>
      </c>
      <c r="AI51" s="371">
        <f t="shared" si="32"/>
        <v>0</v>
      </c>
      <c r="AJ51" s="371">
        <f t="shared" si="32"/>
        <v>16.918337499999996</v>
      </c>
      <c r="AK51" s="371">
        <f t="shared" si="32"/>
        <v>16.918337499999996</v>
      </c>
      <c r="AL51" s="371">
        <f t="shared" si="32"/>
        <v>16.918337499999996</v>
      </c>
      <c r="AM51" s="371">
        <f t="shared" si="32"/>
        <v>16.918337499999996</v>
      </c>
      <c r="AN51" s="371">
        <f t="shared" si="32"/>
        <v>16.918337499999996</v>
      </c>
      <c r="AO51" s="371">
        <f t="shared" si="32"/>
        <v>16.918337499999996</v>
      </c>
      <c r="AP51" s="371">
        <f t="shared" si="33"/>
        <v>16.918337499999996</v>
      </c>
      <c r="AQ51" s="371">
        <f t="shared" si="33"/>
        <v>16.918337499999996</v>
      </c>
      <c r="AR51" s="371">
        <f t="shared" si="33"/>
        <v>16.918337499999996</v>
      </c>
      <c r="AS51" s="371">
        <f t="shared" si="33"/>
        <v>16.918337499999996</v>
      </c>
      <c r="AT51" s="371">
        <f t="shared" si="33"/>
        <v>16.918337499999996</v>
      </c>
      <c r="AU51" s="371">
        <f t="shared" si="33"/>
        <v>16.918337499999996</v>
      </c>
      <c r="AV51" s="371">
        <f t="shared" si="33"/>
        <v>0</v>
      </c>
      <c r="AW51" s="371">
        <f t="shared" si="33"/>
        <v>0</v>
      </c>
      <c r="AX51" s="371">
        <f t="shared" si="33"/>
        <v>0</v>
      </c>
      <c r="AY51" s="371">
        <f t="shared" si="33"/>
        <v>0</v>
      </c>
      <c r="AZ51" s="371">
        <f t="shared" si="34"/>
        <v>0</v>
      </c>
      <c r="BA51" s="371">
        <f t="shared" si="34"/>
        <v>0</v>
      </c>
      <c r="BB51" s="371">
        <f t="shared" si="34"/>
        <v>0</v>
      </c>
      <c r="BC51" s="371">
        <f t="shared" si="34"/>
        <v>0</v>
      </c>
      <c r="BD51" s="371">
        <f t="shared" si="34"/>
        <v>0</v>
      </c>
      <c r="BE51" s="371">
        <f t="shared" si="34"/>
        <v>0</v>
      </c>
      <c r="BF51" s="371">
        <f t="shared" si="34"/>
        <v>0</v>
      </c>
      <c r="BG51" s="371">
        <f t="shared" si="34"/>
        <v>0</v>
      </c>
      <c r="BH51" s="371">
        <f t="shared" si="34"/>
        <v>0</v>
      </c>
      <c r="BI51" s="371">
        <f t="shared" si="34"/>
        <v>0</v>
      </c>
      <c r="BJ51" s="371">
        <f t="shared" si="35"/>
        <v>0</v>
      </c>
      <c r="BK51" s="371">
        <f t="shared" si="35"/>
        <v>0</v>
      </c>
      <c r="BL51" s="371">
        <f t="shared" si="35"/>
        <v>0</v>
      </c>
      <c r="BM51" s="371">
        <f t="shared" si="35"/>
        <v>0</v>
      </c>
      <c r="BN51" s="371">
        <f t="shared" si="35"/>
        <v>0</v>
      </c>
      <c r="BO51" s="371">
        <f t="shared" si="35"/>
        <v>0</v>
      </c>
      <c r="BP51" s="371">
        <f t="shared" si="35"/>
        <v>0</v>
      </c>
      <c r="BQ51" s="371">
        <f t="shared" si="35"/>
        <v>0</v>
      </c>
      <c r="BR51" s="371">
        <f t="shared" si="35"/>
        <v>0</v>
      </c>
      <c r="BS51" s="371">
        <f t="shared" si="35"/>
        <v>0</v>
      </c>
      <c r="BT51" s="371">
        <f t="shared" si="36"/>
        <v>0</v>
      </c>
      <c r="BU51" s="371">
        <f t="shared" si="36"/>
        <v>0</v>
      </c>
      <c r="BV51" s="371">
        <f t="shared" si="36"/>
        <v>0</v>
      </c>
      <c r="BW51" s="371">
        <f t="shared" si="36"/>
        <v>0</v>
      </c>
      <c r="BX51" s="371">
        <f t="shared" si="36"/>
        <v>0</v>
      </c>
      <c r="BY51" s="371">
        <f t="shared" si="36"/>
        <v>0</v>
      </c>
      <c r="BZ51" s="371">
        <f t="shared" si="36"/>
        <v>0</v>
      </c>
      <c r="CA51" s="371">
        <f t="shared" si="36"/>
        <v>0</v>
      </c>
    </row>
    <row r="52" spans="2:79" ht="21" hidden="1" customHeight="1" outlineLevel="2">
      <c r="D52" s="374">
        <f t="shared" si="37"/>
        <v>45107</v>
      </c>
      <c r="E52" s="373" cm="1">
        <f t="array" ref="E52">INDEX($AF$31:$CA$31,0,MATCH($D52,$AF$8:$CA$8,0))</f>
        <v>255.05025049999995</v>
      </c>
      <c r="G52" s="359"/>
      <c r="H52" s="371">
        <f t="shared" si="30"/>
        <v>148.77931279166665</v>
      </c>
      <c r="I52" s="371">
        <f t="shared" si="30"/>
        <v>106.27093770833332</v>
      </c>
      <c r="J52" s="371">
        <f t="shared" si="30"/>
        <v>0</v>
      </c>
      <c r="K52" s="371">
        <f t="shared" si="30"/>
        <v>0</v>
      </c>
      <c r="L52" s="372"/>
      <c r="M52" s="359"/>
      <c r="N52" s="371">
        <f t="shared" si="31"/>
        <v>0</v>
      </c>
      <c r="O52" s="371">
        <f t="shared" si="31"/>
        <v>21.254187541666663</v>
      </c>
      <c r="P52" s="371">
        <f t="shared" si="31"/>
        <v>63.762562624999987</v>
      </c>
      <c r="Q52" s="371">
        <f t="shared" si="31"/>
        <v>63.762562624999987</v>
      </c>
      <c r="R52" s="371">
        <f t="shared" si="31"/>
        <v>63.762562624999987</v>
      </c>
      <c r="S52" s="371">
        <f t="shared" si="31"/>
        <v>42.508375083333327</v>
      </c>
      <c r="T52" s="371">
        <f t="shared" si="31"/>
        <v>0</v>
      </c>
      <c r="U52" s="371">
        <f t="shared" si="31"/>
        <v>0</v>
      </c>
      <c r="V52" s="371">
        <f t="shared" si="31"/>
        <v>0</v>
      </c>
      <c r="W52" s="371">
        <f t="shared" si="31"/>
        <v>0</v>
      </c>
      <c r="X52" s="371">
        <f t="shared" si="31"/>
        <v>0</v>
      </c>
      <c r="Y52" s="371">
        <f t="shared" si="31"/>
        <v>0</v>
      </c>
      <c r="Z52" s="371">
        <f t="shared" si="31"/>
        <v>0</v>
      </c>
      <c r="AA52" s="371">
        <f t="shared" si="31"/>
        <v>0</v>
      </c>
      <c r="AB52" s="371">
        <f t="shared" si="31"/>
        <v>0</v>
      </c>
      <c r="AC52" s="371">
        <f t="shared" si="31"/>
        <v>0</v>
      </c>
      <c r="AE52" s="359"/>
      <c r="AF52" s="371">
        <f t="shared" si="32"/>
        <v>0</v>
      </c>
      <c r="AG52" s="371">
        <f t="shared" si="32"/>
        <v>0</v>
      </c>
      <c r="AH52" s="371">
        <f t="shared" si="32"/>
        <v>0</v>
      </c>
      <c r="AI52" s="371">
        <f t="shared" si="32"/>
        <v>0</v>
      </c>
      <c r="AJ52" s="371">
        <f t="shared" si="32"/>
        <v>0</v>
      </c>
      <c r="AK52" s="371">
        <f t="shared" si="32"/>
        <v>21.254187541666663</v>
      </c>
      <c r="AL52" s="371">
        <f t="shared" si="32"/>
        <v>21.254187541666663</v>
      </c>
      <c r="AM52" s="371">
        <f t="shared" si="32"/>
        <v>21.254187541666663</v>
      </c>
      <c r="AN52" s="371">
        <f t="shared" si="32"/>
        <v>21.254187541666663</v>
      </c>
      <c r="AO52" s="371">
        <f t="shared" si="32"/>
        <v>21.254187541666663</v>
      </c>
      <c r="AP52" s="371">
        <f t="shared" si="33"/>
        <v>21.254187541666663</v>
      </c>
      <c r="AQ52" s="371">
        <f t="shared" si="33"/>
        <v>21.254187541666663</v>
      </c>
      <c r="AR52" s="371">
        <f t="shared" si="33"/>
        <v>21.254187541666663</v>
      </c>
      <c r="AS52" s="371">
        <f t="shared" si="33"/>
        <v>21.254187541666663</v>
      </c>
      <c r="AT52" s="371">
        <f t="shared" si="33"/>
        <v>21.254187541666663</v>
      </c>
      <c r="AU52" s="371">
        <f t="shared" si="33"/>
        <v>21.254187541666663</v>
      </c>
      <c r="AV52" s="371">
        <f t="shared" si="33"/>
        <v>21.254187541666663</v>
      </c>
      <c r="AW52" s="371">
        <f t="shared" si="33"/>
        <v>0</v>
      </c>
      <c r="AX52" s="371">
        <f t="shared" si="33"/>
        <v>0</v>
      </c>
      <c r="AY52" s="371">
        <f t="shared" si="33"/>
        <v>0</v>
      </c>
      <c r="AZ52" s="371">
        <f t="shared" si="34"/>
        <v>0</v>
      </c>
      <c r="BA52" s="371">
        <f t="shared" si="34"/>
        <v>0</v>
      </c>
      <c r="BB52" s="371">
        <f t="shared" si="34"/>
        <v>0</v>
      </c>
      <c r="BC52" s="371">
        <f t="shared" si="34"/>
        <v>0</v>
      </c>
      <c r="BD52" s="371">
        <f t="shared" si="34"/>
        <v>0</v>
      </c>
      <c r="BE52" s="371">
        <f t="shared" si="34"/>
        <v>0</v>
      </c>
      <c r="BF52" s="371">
        <f t="shared" si="34"/>
        <v>0</v>
      </c>
      <c r="BG52" s="371">
        <f t="shared" si="34"/>
        <v>0</v>
      </c>
      <c r="BH52" s="371">
        <f t="shared" si="34"/>
        <v>0</v>
      </c>
      <c r="BI52" s="371">
        <f t="shared" si="34"/>
        <v>0</v>
      </c>
      <c r="BJ52" s="371">
        <f t="shared" si="35"/>
        <v>0</v>
      </c>
      <c r="BK52" s="371">
        <f t="shared" si="35"/>
        <v>0</v>
      </c>
      <c r="BL52" s="371">
        <f t="shared" si="35"/>
        <v>0</v>
      </c>
      <c r="BM52" s="371">
        <f t="shared" si="35"/>
        <v>0</v>
      </c>
      <c r="BN52" s="371">
        <f t="shared" si="35"/>
        <v>0</v>
      </c>
      <c r="BO52" s="371">
        <f t="shared" si="35"/>
        <v>0</v>
      </c>
      <c r="BP52" s="371">
        <f t="shared" si="35"/>
        <v>0</v>
      </c>
      <c r="BQ52" s="371">
        <f t="shared" si="35"/>
        <v>0</v>
      </c>
      <c r="BR52" s="371">
        <f t="shared" si="35"/>
        <v>0</v>
      </c>
      <c r="BS52" s="371">
        <f t="shared" si="35"/>
        <v>0</v>
      </c>
      <c r="BT52" s="371">
        <f t="shared" si="36"/>
        <v>0</v>
      </c>
      <c r="BU52" s="371">
        <f t="shared" si="36"/>
        <v>0</v>
      </c>
      <c r="BV52" s="371">
        <f t="shared" si="36"/>
        <v>0</v>
      </c>
      <c r="BW52" s="371">
        <f t="shared" si="36"/>
        <v>0</v>
      </c>
      <c r="BX52" s="371">
        <f t="shared" si="36"/>
        <v>0</v>
      </c>
      <c r="BY52" s="371">
        <f t="shared" si="36"/>
        <v>0</v>
      </c>
      <c r="BZ52" s="371">
        <f t="shared" si="36"/>
        <v>0</v>
      </c>
      <c r="CA52" s="371">
        <f t="shared" si="36"/>
        <v>0</v>
      </c>
    </row>
    <row r="53" spans="2:79" ht="21" hidden="1" customHeight="1" outlineLevel="2">
      <c r="D53" s="374">
        <f t="shared" si="37"/>
        <v>45138</v>
      </c>
      <c r="E53" s="373" cm="1">
        <f t="array" ref="E53">INDEX($AF$31:$CA$31,0,MATCH($D53,$AF$8:$CA$8,0))</f>
        <v>307.600753005</v>
      </c>
      <c r="G53" s="359"/>
      <c r="H53" s="371">
        <f t="shared" si="30"/>
        <v>153.8003765025</v>
      </c>
      <c r="I53" s="371">
        <f t="shared" si="30"/>
        <v>153.8003765025</v>
      </c>
      <c r="J53" s="371">
        <f t="shared" si="30"/>
        <v>0</v>
      </c>
      <c r="K53" s="371">
        <f t="shared" si="30"/>
        <v>0</v>
      </c>
      <c r="L53" s="372"/>
      <c r="M53" s="359"/>
      <c r="N53" s="371">
        <f t="shared" si="31"/>
        <v>0</v>
      </c>
      <c r="O53" s="371">
        <f t="shared" si="31"/>
        <v>0</v>
      </c>
      <c r="P53" s="371">
        <f t="shared" si="31"/>
        <v>76.90018825125</v>
      </c>
      <c r="Q53" s="371">
        <f t="shared" si="31"/>
        <v>76.90018825125</v>
      </c>
      <c r="R53" s="371">
        <f t="shared" si="31"/>
        <v>76.90018825125</v>
      </c>
      <c r="S53" s="371">
        <f t="shared" si="31"/>
        <v>76.90018825125</v>
      </c>
      <c r="T53" s="371">
        <f t="shared" si="31"/>
        <v>0</v>
      </c>
      <c r="U53" s="371">
        <f t="shared" si="31"/>
        <v>0</v>
      </c>
      <c r="V53" s="371">
        <f t="shared" si="31"/>
        <v>0</v>
      </c>
      <c r="W53" s="371">
        <f t="shared" si="31"/>
        <v>0</v>
      </c>
      <c r="X53" s="371">
        <f t="shared" si="31"/>
        <v>0</v>
      </c>
      <c r="Y53" s="371">
        <f t="shared" si="31"/>
        <v>0</v>
      </c>
      <c r="Z53" s="371">
        <f t="shared" si="31"/>
        <v>0</v>
      </c>
      <c r="AA53" s="371">
        <f t="shared" si="31"/>
        <v>0</v>
      </c>
      <c r="AB53" s="371">
        <f t="shared" si="31"/>
        <v>0</v>
      </c>
      <c r="AC53" s="371">
        <f t="shared" si="31"/>
        <v>0</v>
      </c>
      <c r="AE53" s="359"/>
      <c r="AF53" s="371">
        <f t="shared" si="32"/>
        <v>0</v>
      </c>
      <c r="AG53" s="371">
        <f t="shared" si="32"/>
        <v>0</v>
      </c>
      <c r="AH53" s="371">
        <f t="shared" si="32"/>
        <v>0</v>
      </c>
      <c r="AI53" s="371">
        <f t="shared" si="32"/>
        <v>0</v>
      </c>
      <c r="AJ53" s="371">
        <f t="shared" si="32"/>
        <v>0</v>
      </c>
      <c r="AK53" s="371">
        <f t="shared" si="32"/>
        <v>0</v>
      </c>
      <c r="AL53" s="371">
        <f t="shared" si="32"/>
        <v>25.63339608375</v>
      </c>
      <c r="AM53" s="371">
        <f t="shared" si="32"/>
        <v>25.63339608375</v>
      </c>
      <c r="AN53" s="371">
        <f t="shared" si="32"/>
        <v>25.63339608375</v>
      </c>
      <c r="AO53" s="371">
        <f t="shared" si="32"/>
        <v>25.63339608375</v>
      </c>
      <c r="AP53" s="371">
        <f t="shared" si="33"/>
        <v>25.63339608375</v>
      </c>
      <c r="AQ53" s="371">
        <f t="shared" si="33"/>
        <v>25.63339608375</v>
      </c>
      <c r="AR53" s="371">
        <f t="shared" si="33"/>
        <v>25.63339608375</v>
      </c>
      <c r="AS53" s="371">
        <f t="shared" si="33"/>
        <v>25.63339608375</v>
      </c>
      <c r="AT53" s="371">
        <f t="shared" si="33"/>
        <v>25.63339608375</v>
      </c>
      <c r="AU53" s="371">
        <f t="shared" si="33"/>
        <v>25.63339608375</v>
      </c>
      <c r="AV53" s="371">
        <f t="shared" si="33"/>
        <v>25.63339608375</v>
      </c>
      <c r="AW53" s="371">
        <f t="shared" si="33"/>
        <v>25.63339608375</v>
      </c>
      <c r="AX53" s="371">
        <f t="shared" si="33"/>
        <v>0</v>
      </c>
      <c r="AY53" s="371">
        <f t="shared" si="33"/>
        <v>0</v>
      </c>
      <c r="AZ53" s="371">
        <f t="shared" si="34"/>
        <v>0</v>
      </c>
      <c r="BA53" s="371">
        <f t="shared" si="34"/>
        <v>0</v>
      </c>
      <c r="BB53" s="371">
        <f t="shared" si="34"/>
        <v>0</v>
      </c>
      <c r="BC53" s="371">
        <f t="shared" si="34"/>
        <v>0</v>
      </c>
      <c r="BD53" s="371">
        <f t="shared" si="34"/>
        <v>0</v>
      </c>
      <c r="BE53" s="371">
        <f t="shared" si="34"/>
        <v>0</v>
      </c>
      <c r="BF53" s="371">
        <f t="shared" si="34"/>
        <v>0</v>
      </c>
      <c r="BG53" s="371">
        <f t="shared" si="34"/>
        <v>0</v>
      </c>
      <c r="BH53" s="371">
        <f t="shared" si="34"/>
        <v>0</v>
      </c>
      <c r="BI53" s="371">
        <f t="shared" si="34"/>
        <v>0</v>
      </c>
      <c r="BJ53" s="371">
        <f t="shared" si="35"/>
        <v>0</v>
      </c>
      <c r="BK53" s="371">
        <f t="shared" si="35"/>
        <v>0</v>
      </c>
      <c r="BL53" s="371">
        <f t="shared" si="35"/>
        <v>0</v>
      </c>
      <c r="BM53" s="371">
        <f t="shared" si="35"/>
        <v>0</v>
      </c>
      <c r="BN53" s="371">
        <f t="shared" si="35"/>
        <v>0</v>
      </c>
      <c r="BO53" s="371">
        <f t="shared" si="35"/>
        <v>0</v>
      </c>
      <c r="BP53" s="371">
        <f t="shared" si="35"/>
        <v>0</v>
      </c>
      <c r="BQ53" s="371">
        <f t="shared" si="35"/>
        <v>0</v>
      </c>
      <c r="BR53" s="371">
        <f t="shared" si="35"/>
        <v>0</v>
      </c>
      <c r="BS53" s="371">
        <f t="shared" si="35"/>
        <v>0</v>
      </c>
      <c r="BT53" s="371">
        <f t="shared" si="36"/>
        <v>0</v>
      </c>
      <c r="BU53" s="371">
        <f t="shared" si="36"/>
        <v>0</v>
      </c>
      <c r="BV53" s="371">
        <f t="shared" si="36"/>
        <v>0</v>
      </c>
      <c r="BW53" s="371">
        <f t="shared" si="36"/>
        <v>0</v>
      </c>
      <c r="BX53" s="371">
        <f t="shared" si="36"/>
        <v>0</v>
      </c>
      <c r="BY53" s="371">
        <f t="shared" si="36"/>
        <v>0</v>
      </c>
      <c r="BZ53" s="371">
        <f t="shared" si="36"/>
        <v>0</v>
      </c>
      <c r="CA53" s="371">
        <f t="shared" si="36"/>
        <v>0</v>
      </c>
    </row>
    <row r="54" spans="2:79" ht="21" hidden="1" customHeight="1" outlineLevel="2">
      <c r="D54" s="374">
        <f t="shared" si="37"/>
        <v>45169</v>
      </c>
      <c r="E54" s="373" cm="1">
        <f t="array" ref="E54">INDEX($AF$31:$CA$31,0,MATCH($D54,$AF$8:$CA$8,0))</f>
        <v>360.67676053504994</v>
      </c>
      <c r="G54" s="359"/>
      <c r="H54" s="371">
        <f t="shared" si="30"/>
        <v>150.2819835562708</v>
      </c>
      <c r="I54" s="371">
        <f t="shared" si="30"/>
        <v>210.39477697877913</v>
      </c>
      <c r="J54" s="371">
        <f t="shared" si="30"/>
        <v>0</v>
      </c>
      <c r="K54" s="371">
        <f t="shared" si="30"/>
        <v>0</v>
      </c>
      <c r="L54" s="372"/>
      <c r="M54" s="359"/>
      <c r="N54" s="371">
        <f t="shared" si="31"/>
        <v>0</v>
      </c>
      <c r="O54" s="371">
        <f t="shared" si="31"/>
        <v>0</v>
      </c>
      <c r="P54" s="371">
        <f t="shared" si="31"/>
        <v>60.112793422508325</v>
      </c>
      <c r="Q54" s="371">
        <f t="shared" si="31"/>
        <v>90.169190133762484</v>
      </c>
      <c r="R54" s="371">
        <f t="shared" si="31"/>
        <v>90.169190133762484</v>
      </c>
      <c r="S54" s="371">
        <f t="shared" si="31"/>
        <v>90.169190133762484</v>
      </c>
      <c r="T54" s="371">
        <f t="shared" si="31"/>
        <v>30.056396711254163</v>
      </c>
      <c r="U54" s="371">
        <f t="shared" si="31"/>
        <v>0</v>
      </c>
      <c r="V54" s="371">
        <f t="shared" si="31"/>
        <v>0</v>
      </c>
      <c r="W54" s="371">
        <f t="shared" si="31"/>
        <v>0</v>
      </c>
      <c r="X54" s="371">
        <f t="shared" si="31"/>
        <v>0</v>
      </c>
      <c r="Y54" s="371">
        <f t="shared" si="31"/>
        <v>0</v>
      </c>
      <c r="Z54" s="371">
        <f t="shared" si="31"/>
        <v>0</v>
      </c>
      <c r="AA54" s="371">
        <f t="shared" si="31"/>
        <v>0</v>
      </c>
      <c r="AB54" s="371">
        <f t="shared" si="31"/>
        <v>0</v>
      </c>
      <c r="AC54" s="371">
        <f t="shared" si="31"/>
        <v>0</v>
      </c>
      <c r="AE54" s="359"/>
      <c r="AF54" s="371">
        <f t="shared" si="32"/>
        <v>0</v>
      </c>
      <c r="AG54" s="371">
        <f t="shared" si="32"/>
        <v>0</v>
      </c>
      <c r="AH54" s="371">
        <f t="shared" si="32"/>
        <v>0</v>
      </c>
      <c r="AI54" s="371">
        <f t="shared" si="32"/>
        <v>0</v>
      </c>
      <c r="AJ54" s="371">
        <f t="shared" si="32"/>
        <v>0</v>
      </c>
      <c r="AK54" s="371">
        <f t="shared" si="32"/>
        <v>0</v>
      </c>
      <c r="AL54" s="371">
        <f t="shared" si="32"/>
        <v>0</v>
      </c>
      <c r="AM54" s="371">
        <f t="shared" si="32"/>
        <v>30.056396711254163</v>
      </c>
      <c r="AN54" s="371">
        <f t="shared" si="32"/>
        <v>30.056396711254163</v>
      </c>
      <c r="AO54" s="371">
        <f t="shared" si="32"/>
        <v>30.056396711254163</v>
      </c>
      <c r="AP54" s="371">
        <f t="shared" si="33"/>
        <v>30.056396711254163</v>
      </c>
      <c r="AQ54" s="371">
        <f t="shared" si="33"/>
        <v>30.056396711254163</v>
      </c>
      <c r="AR54" s="371">
        <f t="shared" si="33"/>
        <v>30.056396711254163</v>
      </c>
      <c r="AS54" s="371">
        <f t="shared" si="33"/>
        <v>30.056396711254163</v>
      </c>
      <c r="AT54" s="371">
        <f t="shared" si="33"/>
        <v>30.056396711254163</v>
      </c>
      <c r="AU54" s="371">
        <f t="shared" si="33"/>
        <v>30.056396711254163</v>
      </c>
      <c r="AV54" s="371">
        <f t="shared" si="33"/>
        <v>30.056396711254163</v>
      </c>
      <c r="AW54" s="371">
        <f t="shared" si="33"/>
        <v>30.056396711254163</v>
      </c>
      <c r="AX54" s="371">
        <f t="shared" si="33"/>
        <v>30.056396711254163</v>
      </c>
      <c r="AY54" s="371">
        <f t="shared" si="33"/>
        <v>0</v>
      </c>
      <c r="AZ54" s="371">
        <f t="shared" si="34"/>
        <v>0</v>
      </c>
      <c r="BA54" s="371">
        <f t="shared" si="34"/>
        <v>0</v>
      </c>
      <c r="BB54" s="371">
        <f t="shared" si="34"/>
        <v>0</v>
      </c>
      <c r="BC54" s="371">
        <f t="shared" si="34"/>
        <v>0</v>
      </c>
      <c r="BD54" s="371">
        <f t="shared" si="34"/>
        <v>0</v>
      </c>
      <c r="BE54" s="371">
        <f t="shared" si="34"/>
        <v>0</v>
      </c>
      <c r="BF54" s="371">
        <f t="shared" si="34"/>
        <v>0</v>
      </c>
      <c r="BG54" s="371">
        <f t="shared" si="34"/>
        <v>0</v>
      </c>
      <c r="BH54" s="371">
        <f t="shared" si="34"/>
        <v>0</v>
      </c>
      <c r="BI54" s="371">
        <f t="shared" si="34"/>
        <v>0</v>
      </c>
      <c r="BJ54" s="371">
        <f t="shared" si="35"/>
        <v>0</v>
      </c>
      <c r="BK54" s="371">
        <f t="shared" si="35"/>
        <v>0</v>
      </c>
      <c r="BL54" s="371">
        <f t="shared" si="35"/>
        <v>0</v>
      </c>
      <c r="BM54" s="371">
        <f t="shared" si="35"/>
        <v>0</v>
      </c>
      <c r="BN54" s="371">
        <f t="shared" si="35"/>
        <v>0</v>
      </c>
      <c r="BO54" s="371">
        <f t="shared" si="35"/>
        <v>0</v>
      </c>
      <c r="BP54" s="371">
        <f t="shared" si="35"/>
        <v>0</v>
      </c>
      <c r="BQ54" s="371">
        <f t="shared" si="35"/>
        <v>0</v>
      </c>
      <c r="BR54" s="371">
        <f t="shared" si="35"/>
        <v>0</v>
      </c>
      <c r="BS54" s="371">
        <f t="shared" si="35"/>
        <v>0</v>
      </c>
      <c r="BT54" s="371">
        <f t="shared" si="36"/>
        <v>0</v>
      </c>
      <c r="BU54" s="371">
        <f t="shared" si="36"/>
        <v>0</v>
      </c>
      <c r="BV54" s="371">
        <f t="shared" si="36"/>
        <v>0</v>
      </c>
      <c r="BW54" s="371">
        <f t="shared" si="36"/>
        <v>0</v>
      </c>
      <c r="BX54" s="371">
        <f t="shared" si="36"/>
        <v>0</v>
      </c>
      <c r="BY54" s="371">
        <f t="shared" si="36"/>
        <v>0</v>
      </c>
      <c r="BZ54" s="371">
        <f t="shared" si="36"/>
        <v>0</v>
      </c>
      <c r="CA54" s="371">
        <f t="shared" si="36"/>
        <v>0</v>
      </c>
    </row>
    <row r="55" spans="2:79" ht="21" hidden="1" customHeight="1" outlineLevel="2">
      <c r="D55" s="374">
        <f t="shared" si="37"/>
        <v>45199</v>
      </c>
      <c r="E55" s="373" cm="1">
        <f t="array" ref="E55">INDEX($AF$31:$CA$31,0,MATCH($D55,$AF$8:$CA$8,0))</f>
        <v>414.28352814040051</v>
      </c>
      <c r="G55" s="359"/>
      <c r="H55" s="371">
        <f t="shared" si="30"/>
        <v>138.0945093801335</v>
      </c>
      <c r="I55" s="371">
        <f t="shared" si="30"/>
        <v>276.18901876026706</v>
      </c>
      <c r="J55" s="371">
        <f t="shared" si="30"/>
        <v>0</v>
      </c>
      <c r="K55" s="371">
        <f t="shared" si="30"/>
        <v>0</v>
      </c>
      <c r="L55" s="372"/>
      <c r="M55" s="359"/>
      <c r="N55" s="371">
        <f t="shared" si="31"/>
        <v>0</v>
      </c>
      <c r="O55" s="371">
        <f t="shared" si="31"/>
        <v>0</v>
      </c>
      <c r="P55" s="371">
        <f t="shared" si="31"/>
        <v>34.523627345033375</v>
      </c>
      <c r="Q55" s="371">
        <f t="shared" si="31"/>
        <v>103.57088203510013</v>
      </c>
      <c r="R55" s="371">
        <f t="shared" si="31"/>
        <v>103.57088203510013</v>
      </c>
      <c r="S55" s="371">
        <f t="shared" si="31"/>
        <v>103.57088203510013</v>
      </c>
      <c r="T55" s="371">
        <f t="shared" si="31"/>
        <v>69.047254690066751</v>
      </c>
      <c r="U55" s="371">
        <f t="shared" si="31"/>
        <v>0</v>
      </c>
      <c r="V55" s="371">
        <f t="shared" si="31"/>
        <v>0</v>
      </c>
      <c r="W55" s="371">
        <f t="shared" si="31"/>
        <v>0</v>
      </c>
      <c r="X55" s="371">
        <f t="shared" si="31"/>
        <v>0</v>
      </c>
      <c r="Y55" s="371">
        <f t="shared" si="31"/>
        <v>0</v>
      </c>
      <c r="Z55" s="371">
        <f t="shared" si="31"/>
        <v>0</v>
      </c>
      <c r="AA55" s="371">
        <f t="shared" si="31"/>
        <v>0</v>
      </c>
      <c r="AB55" s="371">
        <f t="shared" si="31"/>
        <v>0</v>
      </c>
      <c r="AC55" s="371">
        <f t="shared" si="31"/>
        <v>0</v>
      </c>
      <c r="AE55" s="359"/>
      <c r="AF55" s="371">
        <f t="shared" si="32"/>
        <v>0</v>
      </c>
      <c r="AG55" s="371">
        <f t="shared" si="32"/>
        <v>0</v>
      </c>
      <c r="AH55" s="371">
        <f t="shared" si="32"/>
        <v>0</v>
      </c>
      <c r="AI55" s="371">
        <f t="shared" si="32"/>
        <v>0</v>
      </c>
      <c r="AJ55" s="371">
        <f t="shared" si="32"/>
        <v>0</v>
      </c>
      <c r="AK55" s="371">
        <f t="shared" si="32"/>
        <v>0</v>
      </c>
      <c r="AL55" s="371">
        <f t="shared" si="32"/>
        <v>0</v>
      </c>
      <c r="AM55" s="371">
        <f t="shared" si="32"/>
        <v>0</v>
      </c>
      <c r="AN55" s="371">
        <f t="shared" si="32"/>
        <v>34.523627345033375</v>
      </c>
      <c r="AO55" s="371">
        <f t="shared" si="32"/>
        <v>34.523627345033375</v>
      </c>
      <c r="AP55" s="371">
        <f t="shared" si="33"/>
        <v>34.523627345033375</v>
      </c>
      <c r="AQ55" s="371">
        <f t="shared" si="33"/>
        <v>34.523627345033375</v>
      </c>
      <c r="AR55" s="371">
        <f t="shared" si="33"/>
        <v>34.523627345033375</v>
      </c>
      <c r="AS55" s="371">
        <f t="shared" si="33"/>
        <v>34.523627345033375</v>
      </c>
      <c r="AT55" s="371">
        <f t="shared" si="33"/>
        <v>34.523627345033375</v>
      </c>
      <c r="AU55" s="371">
        <f t="shared" si="33"/>
        <v>34.523627345033375</v>
      </c>
      <c r="AV55" s="371">
        <f t="shared" si="33"/>
        <v>34.523627345033375</v>
      </c>
      <c r="AW55" s="371">
        <f t="shared" si="33"/>
        <v>34.523627345033375</v>
      </c>
      <c r="AX55" s="371">
        <f t="shared" si="33"/>
        <v>34.523627345033375</v>
      </c>
      <c r="AY55" s="371">
        <f t="shared" si="33"/>
        <v>34.523627345033375</v>
      </c>
      <c r="AZ55" s="371">
        <f t="shared" si="34"/>
        <v>0</v>
      </c>
      <c r="BA55" s="371">
        <f t="shared" si="34"/>
        <v>0</v>
      </c>
      <c r="BB55" s="371">
        <f t="shared" si="34"/>
        <v>0</v>
      </c>
      <c r="BC55" s="371">
        <f t="shared" si="34"/>
        <v>0</v>
      </c>
      <c r="BD55" s="371">
        <f t="shared" si="34"/>
        <v>0</v>
      </c>
      <c r="BE55" s="371">
        <f t="shared" si="34"/>
        <v>0</v>
      </c>
      <c r="BF55" s="371">
        <f t="shared" si="34"/>
        <v>0</v>
      </c>
      <c r="BG55" s="371">
        <f t="shared" si="34"/>
        <v>0</v>
      </c>
      <c r="BH55" s="371">
        <f t="shared" si="34"/>
        <v>0</v>
      </c>
      <c r="BI55" s="371">
        <f t="shared" si="34"/>
        <v>0</v>
      </c>
      <c r="BJ55" s="371">
        <f t="shared" si="35"/>
        <v>0</v>
      </c>
      <c r="BK55" s="371">
        <f t="shared" si="35"/>
        <v>0</v>
      </c>
      <c r="BL55" s="371">
        <f t="shared" si="35"/>
        <v>0</v>
      </c>
      <c r="BM55" s="371">
        <f t="shared" si="35"/>
        <v>0</v>
      </c>
      <c r="BN55" s="371">
        <f t="shared" si="35"/>
        <v>0</v>
      </c>
      <c r="BO55" s="371">
        <f t="shared" si="35"/>
        <v>0</v>
      </c>
      <c r="BP55" s="371">
        <f t="shared" si="35"/>
        <v>0</v>
      </c>
      <c r="BQ55" s="371">
        <f t="shared" si="35"/>
        <v>0</v>
      </c>
      <c r="BR55" s="371">
        <f t="shared" si="35"/>
        <v>0</v>
      </c>
      <c r="BS55" s="371">
        <f t="shared" si="35"/>
        <v>0</v>
      </c>
      <c r="BT55" s="371">
        <f t="shared" si="36"/>
        <v>0</v>
      </c>
      <c r="BU55" s="371">
        <f t="shared" si="36"/>
        <v>0</v>
      </c>
      <c r="BV55" s="371">
        <f t="shared" si="36"/>
        <v>0</v>
      </c>
      <c r="BW55" s="371">
        <f t="shared" si="36"/>
        <v>0</v>
      </c>
      <c r="BX55" s="371">
        <f t="shared" si="36"/>
        <v>0</v>
      </c>
      <c r="BY55" s="371">
        <f t="shared" si="36"/>
        <v>0</v>
      </c>
      <c r="BZ55" s="371">
        <f t="shared" si="36"/>
        <v>0</v>
      </c>
      <c r="CA55" s="371">
        <f t="shared" si="36"/>
        <v>0</v>
      </c>
    </row>
    <row r="56" spans="2:79" ht="21" hidden="1" customHeight="1" outlineLevel="2">
      <c r="D56" s="374">
        <f t="shared" si="37"/>
        <v>45230</v>
      </c>
      <c r="E56" s="373" cm="1">
        <f t="array" ref="E56">INDEX($AF$31:$CA$31,0,MATCH($D56,$AF$8:$CA$8,0))</f>
        <v>468.42636342180458</v>
      </c>
      <c r="G56" s="359"/>
      <c r="H56" s="371">
        <f t="shared" si="30"/>
        <v>117.10659085545115</v>
      </c>
      <c r="I56" s="371">
        <f t="shared" si="30"/>
        <v>351.31977256635344</v>
      </c>
      <c r="J56" s="371">
        <f t="shared" si="30"/>
        <v>0</v>
      </c>
      <c r="K56" s="371">
        <f t="shared" si="30"/>
        <v>0</v>
      </c>
      <c r="L56" s="372"/>
      <c r="M56" s="359"/>
      <c r="N56" s="371">
        <f t="shared" si="31"/>
        <v>0</v>
      </c>
      <c r="O56" s="371">
        <f t="shared" si="31"/>
        <v>0</v>
      </c>
      <c r="P56" s="371">
        <f t="shared" si="31"/>
        <v>0</v>
      </c>
      <c r="Q56" s="371">
        <f t="shared" si="31"/>
        <v>117.10659085545115</v>
      </c>
      <c r="R56" s="371">
        <f t="shared" si="31"/>
        <v>117.10659085545115</v>
      </c>
      <c r="S56" s="371">
        <f t="shared" si="31"/>
        <v>117.10659085545115</v>
      </c>
      <c r="T56" s="371">
        <f t="shared" si="31"/>
        <v>117.10659085545115</v>
      </c>
      <c r="U56" s="371">
        <f t="shared" si="31"/>
        <v>0</v>
      </c>
      <c r="V56" s="371">
        <f t="shared" si="31"/>
        <v>0</v>
      </c>
      <c r="W56" s="371">
        <f t="shared" si="31"/>
        <v>0</v>
      </c>
      <c r="X56" s="371">
        <f t="shared" si="31"/>
        <v>0</v>
      </c>
      <c r="Y56" s="371">
        <f t="shared" si="31"/>
        <v>0</v>
      </c>
      <c r="Z56" s="371">
        <f t="shared" si="31"/>
        <v>0</v>
      </c>
      <c r="AA56" s="371">
        <f t="shared" si="31"/>
        <v>0</v>
      </c>
      <c r="AB56" s="371">
        <f t="shared" si="31"/>
        <v>0</v>
      </c>
      <c r="AC56" s="371">
        <f t="shared" si="31"/>
        <v>0</v>
      </c>
      <c r="AE56" s="359"/>
      <c r="AF56" s="371">
        <f t="shared" si="32"/>
        <v>0</v>
      </c>
      <c r="AG56" s="371">
        <f t="shared" si="32"/>
        <v>0</v>
      </c>
      <c r="AH56" s="371">
        <f t="shared" si="32"/>
        <v>0</v>
      </c>
      <c r="AI56" s="371">
        <f t="shared" si="32"/>
        <v>0</v>
      </c>
      <c r="AJ56" s="371">
        <f t="shared" si="32"/>
        <v>0</v>
      </c>
      <c r="AK56" s="371">
        <f t="shared" si="32"/>
        <v>0</v>
      </c>
      <c r="AL56" s="371">
        <f t="shared" si="32"/>
        <v>0</v>
      </c>
      <c r="AM56" s="371">
        <f t="shared" si="32"/>
        <v>0</v>
      </c>
      <c r="AN56" s="371">
        <f t="shared" si="32"/>
        <v>0</v>
      </c>
      <c r="AO56" s="371">
        <f t="shared" si="32"/>
        <v>39.035530285150379</v>
      </c>
      <c r="AP56" s="371">
        <f t="shared" si="33"/>
        <v>39.035530285150379</v>
      </c>
      <c r="AQ56" s="371">
        <f t="shared" si="33"/>
        <v>39.035530285150379</v>
      </c>
      <c r="AR56" s="371">
        <f t="shared" si="33"/>
        <v>39.035530285150379</v>
      </c>
      <c r="AS56" s="371">
        <f t="shared" si="33"/>
        <v>39.035530285150379</v>
      </c>
      <c r="AT56" s="371">
        <f t="shared" si="33"/>
        <v>39.035530285150379</v>
      </c>
      <c r="AU56" s="371">
        <f t="shared" si="33"/>
        <v>39.035530285150379</v>
      </c>
      <c r="AV56" s="371">
        <f t="shared" si="33"/>
        <v>39.035530285150379</v>
      </c>
      <c r="AW56" s="371">
        <f t="shared" si="33"/>
        <v>39.035530285150379</v>
      </c>
      <c r="AX56" s="371">
        <f t="shared" si="33"/>
        <v>39.035530285150379</v>
      </c>
      <c r="AY56" s="371">
        <f t="shared" si="33"/>
        <v>39.035530285150379</v>
      </c>
      <c r="AZ56" s="371">
        <f t="shared" si="34"/>
        <v>39.035530285150379</v>
      </c>
      <c r="BA56" s="371">
        <f t="shared" si="34"/>
        <v>0</v>
      </c>
      <c r="BB56" s="371">
        <f t="shared" si="34"/>
        <v>0</v>
      </c>
      <c r="BC56" s="371">
        <f t="shared" si="34"/>
        <v>0</v>
      </c>
      <c r="BD56" s="371">
        <f t="shared" si="34"/>
        <v>0</v>
      </c>
      <c r="BE56" s="371">
        <f t="shared" si="34"/>
        <v>0</v>
      </c>
      <c r="BF56" s="371">
        <f t="shared" si="34"/>
        <v>0</v>
      </c>
      <c r="BG56" s="371">
        <f t="shared" si="34"/>
        <v>0</v>
      </c>
      <c r="BH56" s="371">
        <f t="shared" si="34"/>
        <v>0</v>
      </c>
      <c r="BI56" s="371">
        <f t="shared" si="34"/>
        <v>0</v>
      </c>
      <c r="BJ56" s="371">
        <f t="shared" si="35"/>
        <v>0</v>
      </c>
      <c r="BK56" s="371">
        <f t="shared" si="35"/>
        <v>0</v>
      </c>
      <c r="BL56" s="371">
        <f t="shared" si="35"/>
        <v>0</v>
      </c>
      <c r="BM56" s="371">
        <f t="shared" si="35"/>
        <v>0</v>
      </c>
      <c r="BN56" s="371">
        <f t="shared" si="35"/>
        <v>0</v>
      </c>
      <c r="BO56" s="371">
        <f t="shared" si="35"/>
        <v>0</v>
      </c>
      <c r="BP56" s="371">
        <f t="shared" si="35"/>
        <v>0</v>
      </c>
      <c r="BQ56" s="371">
        <f t="shared" si="35"/>
        <v>0</v>
      </c>
      <c r="BR56" s="371">
        <f t="shared" si="35"/>
        <v>0</v>
      </c>
      <c r="BS56" s="371">
        <f t="shared" si="35"/>
        <v>0</v>
      </c>
      <c r="BT56" s="371">
        <f t="shared" si="36"/>
        <v>0</v>
      </c>
      <c r="BU56" s="371">
        <f t="shared" si="36"/>
        <v>0</v>
      </c>
      <c r="BV56" s="371">
        <f t="shared" si="36"/>
        <v>0</v>
      </c>
      <c r="BW56" s="371">
        <f t="shared" si="36"/>
        <v>0</v>
      </c>
      <c r="BX56" s="371">
        <f t="shared" si="36"/>
        <v>0</v>
      </c>
      <c r="BY56" s="371">
        <f t="shared" si="36"/>
        <v>0</v>
      </c>
      <c r="BZ56" s="371">
        <f t="shared" si="36"/>
        <v>0</v>
      </c>
      <c r="CA56" s="371">
        <f t="shared" si="36"/>
        <v>0</v>
      </c>
    </row>
    <row r="57" spans="2:79" ht="21" hidden="1" customHeight="1" outlineLevel="2">
      <c r="D57" s="374">
        <f t="shared" si="37"/>
        <v>45260</v>
      </c>
      <c r="E57" s="373" cm="1">
        <f t="array" ref="E57">INDEX($AF$31:$CA$31,0,MATCH($D57,$AF$8:$CA$8,0))</f>
        <v>548.11062705602239</v>
      </c>
      <c r="G57" s="359"/>
      <c r="H57" s="371">
        <f t="shared" si="30"/>
        <v>91.351771176003737</v>
      </c>
      <c r="I57" s="371">
        <f t="shared" si="30"/>
        <v>456.75885588001859</v>
      </c>
      <c r="J57" s="371">
        <f t="shared" si="30"/>
        <v>0</v>
      </c>
      <c r="K57" s="371">
        <f t="shared" si="30"/>
        <v>0</v>
      </c>
      <c r="L57" s="372"/>
      <c r="M57" s="359"/>
      <c r="N57" s="371">
        <f t="shared" ref="N57:AC66" si="38">SUMIFS($AF57:$CA57,$AF$4:$CA$4,"&gt;="&amp;N$4,$AF$5:$CA$5,"&lt;="&amp;N$5)</f>
        <v>0</v>
      </c>
      <c r="O57" s="371">
        <f t="shared" si="38"/>
        <v>0</v>
      </c>
      <c r="P57" s="371">
        <f t="shared" si="38"/>
        <v>0</v>
      </c>
      <c r="Q57" s="371">
        <f t="shared" si="38"/>
        <v>91.351771176003737</v>
      </c>
      <c r="R57" s="371">
        <f t="shared" si="38"/>
        <v>137.0276567640056</v>
      </c>
      <c r="S57" s="371">
        <f t="shared" si="38"/>
        <v>137.0276567640056</v>
      </c>
      <c r="T57" s="371">
        <f t="shared" si="38"/>
        <v>137.0276567640056</v>
      </c>
      <c r="U57" s="371">
        <f t="shared" si="38"/>
        <v>45.675885588001869</v>
      </c>
      <c r="V57" s="371">
        <f t="shared" si="38"/>
        <v>0</v>
      </c>
      <c r="W57" s="371">
        <f t="shared" si="38"/>
        <v>0</v>
      </c>
      <c r="X57" s="371">
        <f t="shared" si="38"/>
        <v>0</v>
      </c>
      <c r="Y57" s="371">
        <f t="shared" si="38"/>
        <v>0</v>
      </c>
      <c r="Z57" s="371">
        <f t="shared" si="38"/>
        <v>0</v>
      </c>
      <c r="AA57" s="371">
        <f t="shared" si="38"/>
        <v>0</v>
      </c>
      <c r="AB57" s="371">
        <f t="shared" si="38"/>
        <v>0</v>
      </c>
      <c r="AC57" s="371">
        <f t="shared" si="38"/>
        <v>0</v>
      </c>
      <c r="AE57" s="359"/>
      <c r="AF57" s="371">
        <f t="shared" ref="AF57:AO66" si="39">IF(AND(AF$8&gt;=$D57,(MATCH(AF$8,$AF$8:$CA$8,0)-MATCH($D57,$AF$8:$CA$8,0))&lt;12),$E57/12,0)</f>
        <v>0</v>
      </c>
      <c r="AG57" s="371">
        <f t="shared" si="39"/>
        <v>0</v>
      </c>
      <c r="AH57" s="371">
        <f t="shared" si="39"/>
        <v>0</v>
      </c>
      <c r="AI57" s="371">
        <f t="shared" si="39"/>
        <v>0</v>
      </c>
      <c r="AJ57" s="371">
        <f t="shared" si="39"/>
        <v>0</v>
      </c>
      <c r="AK57" s="371">
        <f t="shared" si="39"/>
        <v>0</v>
      </c>
      <c r="AL57" s="371">
        <f t="shared" si="39"/>
        <v>0</v>
      </c>
      <c r="AM57" s="371">
        <f t="shared" si="39"/>
        <v>0</v>
      </c>
      <c r="AN57" s="371">
        <f t="shared" si="39"/>
        <v>0</v>
      </c>
      <c r="AO57" s="371">
        <f t="shared" si="39"/>
        <v>0</v>
      </c>
      <c r="AP57" s="371">
        <f t="shared" ref="AP57:AY66" si="40">IF(AND(AP$8&gt;=$D57,(MATCH(AP$8,$AF$8:$CA$8,0)-MATCH($D57,$AF$8:$CA$8,0))&lt;12),$E57/12,0)</f>
        <v>45.675885588001869</v>
      </c>
      <c r="AQ57" s="371">
        <f t="shared" si="40"/>
        <v>45.675885588001869</v>
      </c>
      <c r="AR57" s="371">
        <f t="shared" si="40"/>
        <v>45.675885588001869</v>
      </c>
      <c r="AS57" s="371">
        <f t="shared" si="40"/>
        <v>45.675885588001869</v>
      </c>
      <c r="AT57" s="371">
        <f t="shared" si="40"/>
        <v>45.675885588001869</v>
      </c>
      <c r="AU57" s="371">
        <f t="shared" si="40"/>
        <v>45.675885588001869</v>
      </c>
      <c r="AV57" s="371">
        <f t="shared" si="40"/>
        <v>45.675885588001869</v>
      </c>
      <c r="AW57" s="371">
        <f t="shared" si="40"/>
        <v>45.675885588001869</v>
      </c>
      <c r="AX57" s="371">
        <f t="shared" si="40"/>
        <v>45.675885588001869</v>
      </c>
      <c r="AY57" s="371">
        <f t="shared" si="40"/>
        <v>45.675885588001869</v>
      </c>
      <c r="AZ57" s="371">
        <f t="shared" ref="AZ57:BI66" si="41">IF(AND(AZ$8&gt;=$D57,(MATCH(AZ$8,$AF$8:$CA$8,0)-MATCH($D57,$AF$8:$CA$8,0))&lt;12),$E57/12,0)</f>
        <v>45.675885588001869</v>
      </c>
      <c r="BA57" s="371">
        <f t="shared" si="41"/>
        <v>45.675885588001869</v>
      </c>
      <c r="BB57" s="371">
        <f t="shared" si="41"/>
        <v>0</v>
      </c>
      <c r="BC57" s="371">
        <f t="shared" si="41"/>
        <v>0</v>
      </c>
      <c r="BD57" s="371">
        <f t="shared" si="41"/>
        <v>0</v>
      </c>
      <c r="BE57" s="371">
        <f t="shared" si="41"/>
        <v>0</v>
      </c>
      <c r="BF57" s="371">
        <f t="shared" si="41"/>
        <v>0</v>
      </c>
      <c r="BG57" s="371">
        <f t="shared" si="41"/>
        <v>0</v>
      </c>
      <c r="BH57" s="371">
        <f t="shared" si="41"/>
        <v>0</v>
      </c>
      <c r="BI57" s="371">
        <f t="shared" si="41"/>
        <v>0</v>
      </c>
      <c r="BJ57" s="371">
        <f t="shared" ref="BJ57:BS66" si="42">IF(AND(BJ$8&gt;=$D57,(MATCH(BJ$8,$AF$8:$CA$8,0)-MATCH($D57,$AF$8:$CA$8,0))&lt;12),$E57/12,0)</f>
        <v>0</v>
      </c>
      <c r="BK57" s="371">
        <f t="shared" si="42"/>
        <v>0</v>
      </c>
      <c r="BL57" s="371">
        <f t="shared" si="42"/>
        <v>0</v>
      </c>
      <c r="BM57" s="371">
        <f t="shared" si="42"/>
        <v>0</v>
      </c>
      <c r="BN57" s="371">
        <f t="shared" si="42"/>
        <v>0</v>
      </c>
      <c r="BO57" s="371">
        <f t="shared" si="42"/>
        <v>0</v>
      </c>
      <c r="BP57" s="371">
        <f t="shared" si="42"/>
        <v>0</v>
      </c>
      <c r="BQ57" s="371">
        <f t="shared" si="42"/>
        <v>0</v>
      </c>
      <c r="BR57" s="371">
        <f t="shared" si="42"/>
        <v>0</v>
      </c>
      <c r="BS57" s="371">
        <f t="shared" si="42"/>
        <v>0</v>
      </c>
      <c r="BT57" s="371">
        <f t="shared" ref="BT57:CA66" si="43">IF(AND(BT$8&gt;=$D57,(MATCH(BT$8,$AF$8:$CA$8,0)-MATCH($D57,$AF$8:$CA$8,0))&lt;12),$E57/12,0)</f>
        <v>0</v>
      </c>
      <c r="BU57" s="371">
        <f t="shared" si="43"/>
        <v>0</v>
      </c>
      <c r="BV57" s="371">
        <f t="shared" si="43"/>
        <v>0</v>
      </c>
      <c r="BW57" s="371">
        <f t="shared" si="43"/>
        <v>0</v>
      </c>
      <c r="BX57" s="371">
        <f t="shared" si="43"/>
        <v>0</v>
      </c>
      <c r="BY57" s="371">
        <f t="shared" si="43"/>
        <v>0</v>
      </c>
      <c r="BZ57" s="371">
        <f t="shared" si="43"/>
        <v>0</v>
      </c>
      <c r="CA57" s="371">
        <f t="shared" si="43"/>
        <v>0</v>
      </c>
    </row>
    <row r="58" spans="2:79" ht="21" hidden="1" customHeight="1" outlineLevel="2">
      <c r="D58" s="374">
        <f t="shared" si="37"/>
        <v>45291</v>
      </c>
      <c r="E58" s="373" cm="1">
        <f t="array" ref="E58">INDEX($AF$31:$CA$31,0,MATCH($D58,$AF$8:$CA$8,0))</f>
        <v>628.59173332658258</v>
      </c>
      <c r="G58" s="359"/>
      <c r="H58" s="371">
        <f t="shared" si="30"/>
        <v>52.38264444388188</v>
      </c>
      <c r="I58" s="371">
        <f t="shared" si="30"/>
        <v>576.20908888270071</v>
      </c>
      <c r="J58" s="371">
        <f t="shared" si="30"/>
        <v>0</v>
      </c>
      <c r="K58" s="371">
        <f t="shared" si="30"/>
        <v>0</v>
      </c>
      <c r="L58" s="372"/>
      <c r="M58" s="359"/>
      <c r="N58" s="371">
        <f t="shared" si="38"/>
        <v>0</v>
      </c>
      <c r="O58" s="371">
        <f t="shared" si="38"/>
        <v>0</v>
      </c>
      <c r="P58" s="371">
        <f t="shared" si="38"/>
        <v>0</v>
      </c>
      <c r="Q58" s="371">
        <f t="shared" si="38"/>
        <v>52.38264444388188</v>
      </c>
      <c r="R58" s="371">
        <f t="shared" si="38"/>
        <v>157.14793333164565</v>
      </c>
      <c r="S58" s="371">
        <f t="shared" si="38"/>
        <v>157.14793333164565</v>
      </c>
      <c r="T58" s="371">
        <f t="shared" si="38"/>
        <v>157.14793333164565</v>
      </c>
      <c r="U58" s="371">
        <f t="shared" si="38"/>
        <v>104.76528888776376</v>
      </c>
      <c r="V58" s="371">
        <f t="shared" si="38"/>
        <v>0</v>
      </c>
      <c r="W58" s="371">
        <f t="shared" si="38"/>
        <v>0</v>
      </c>
      <c r="X58" s="371">
        <f t="shared" si="38"/>
        <v>0</v>
      </c>
      <c r="Y58" s="371">
        <f t="shared" si="38"/>
        <v>0</v>
      </c>
      <c r="Z58" s="371">
        <f t="shared" si="38"/>
        <v>0</v>
      </c>
      <c r="AA58" s="371">
        <f t="shared" si="38"/>
        <v>0</v>
      </c>
      <c r="AB58" s="371">
        <f t="shared" si="38"/>
        <v>0</v>
      </c>
      <c r="AC58" s="371">
        <f t="shared" si="38"/>
        <v>0</v>
      </c>
      <c r="AE58" s="359"/>
      <c r="AF58" s="371">
        <f t="shared" si="39"/>
        <v>0</v>
      </c>
      <c r="AG58" s="371">
        <f t="shared" si="39"/>
        <v>0</v>
      </c>
      <c r="AH58" s="371">
        <f t="shared" si="39"/>
        <v>0</v>
      </c>
      <c r="AI58" s="371">
        <f t="shared" si="39"/>
        <v>0</v>
      </c>
      <c r="AJ58" s="371">
        <f t="shared" si="39"/>
        <v>0</v>
      </c>
      <c r="AK58" s="371">
        <f t="shared" si="39"/>
        <v>0</v>
      </c>
      <c r="AL58" s="371">
        <f t="shared" si="39"/>
        <v>0</v>
      </c>
      <c r="AM58" s="371">
        <f t="shared" si="39"/>
        <v>0</v>
      </c>
      <c r="AN58" s="371">
        <f t="shared" si="39"/>
        <v>0</v>
      </c>
      <c r="AO58" s="371">
        <f t="shared" si="39"/>
        <v>0</v>
      </c>
      <c r="AP58" s="371">
        <f t="shared" si="40"/>
        <v>0</v>
      </c>
      <c r="AQ58" s="371">
        <f t="shared" si="40"/>
        <v>52.38264444388188</v>
      </c>
      <c r="AR58" s="371">
        <f t="shared" si="40"/>
        <v>52.38264444388188</v>
      </c>
      <c r="AS58" s="371">
        <f t="shared" si="40"/>
        <v>52.38264444388188</v>
      </c>
      <c r="AT58" s="371">
        <f t="shared" si="40"/>
        <v>52.38264444388188</v>
      </c>
      <c r="AU58" s="371">
        <f t="shared" si="40"/>
        <v>52.38264444388188</v>
      </c>
      <c r="AV58" s="371">
        <f t="shared" si="40"/>
        <v>52.38264444388188</v>
      </c>
      <c r="AW58" s="371">
        <f t="shared" si="40"/>
        <v>52.38264444388188</v>
      </c>
      <c r="AX58" s="371">
        <f t="shared" si="40"/>
        <v>52.38264444388188</v>
      </c>
      <c r="AY58" s="371">
        <f t="shared" si="40"/>
        <v>52.38264444388188</v>
      </c>
      <c r="AZ58" s="371">
        <f t="shared" si="41"/>
        <v>52.38264444388188</v>
      </c>
      <c r="BA58" s="371">
        <f t="shared" si="41"/>
        <v>52.38264444388188</v>
      </c>
      <c r="BB58" s="371">
        <f t="shared" si="41"/>
        <v>52.38264444388188</v>
      </c>
      <c r="BC58" s="371">
        <f t="shared" si="41"/>
        <v>0</v>
      </c>
      <c r="BD58" s="371">
        <f t="shared" si="41"/>
        <v>0</v>
      </c>
      <c r="BE58" s="371">
        <f t="shared" si="41"/>
        <v>0</v>
      </c>
      <c r="BF58" s="371">
        <f t="shared" si="41"/>
        <v>0</v>
      </c>
      <c r="BG58" s="371">
        <f t="shared" si="41"/>
        <v>0</v>
      </c>
      <c r="BH58" s="371">
        <f t="shared" si="41"/>
        <v>0</v>
      </c>
      <c r="BI58" s="371">
        <f t="shared" si="41"/>
        <v>0</v>
      </c>
      <c r="BJ58" s="371">
        <f t="shared" si="42"/>
        <v>0</v>
      </c>
      <c r="BK58" s="371">
        <f t="shared" si="42"/>
        <v>0</v>
      </c>
      <c r="BL58" s="371">
        <f t="shared" si="42"/>
        <v>0</v>
      </c>
      <c r="BM58" s="371">
        <f t="shared" si="42"/>
        <v>0</v>
      </c>
      <c r="BN58" s="371">
        <f t="shared" si="42"/>
        <v>0</v>
      </c>
      <c r="BO58" s="371">
        <f t="shared" si="42"/>
        <v>0</v>
      </c>
      <c r="BP58" s="371">
        <f t="shared" si="42"/>
        <v>0</v>
      </c>
      <c r="BQ58" s="371">
        <f t="shared" si="42"/>
        <v>0</v>
      </c>
      <c r="BR58" s="371">
        <f t="shared" si="42"/>
        <v>0</v>
      </c>
      <c r="BS58" s="371">
        <f t="shared" si="42"/>
        <v>0</v>
      </c>
      <c r="BT58" s="371">
        <f t="shared" si="43"/>
        <v>0</v>
      </c>
      <c r="BU58" s="371">
        <f t="shared" si="43"/>
        <v>0</v>
      </c>
      <c r="BV58" s="371">
        <f t="shared" si="43"/>
        <v>0</v>
      </c>
      <c r="BW58" s="371">
        <f t="shared" si="43"/>
        <v>0</v>
      </c>
      <c r="BX58" s="371">
        <f t="shared" si="43"/>
        <v>0</v>
      </c>
      <c r="BY58" s="371">
        <f t="shared" si="43"/>
        <v>0</v>
      </c>
      <c r="BZ58" s="371">
        <f t="shared" si="43"/>
        <v>0</v>
      </c>
      <c r="CA58" s="371">
        <f t="shared" si="43"/>
        <v>0</v>
      </c>
    </row>
    <row r="59" spans="2:79" ht="21" hidden="1" customHeight="1" outlineLevel="2">
      <c r="D59" s="374">
        <f t="shared" si="37"/>
        <v>45322</v>
      </c>
      <c r="E59" s="373" cm="1">
        <f t="array" ref="E59">INDEX($AF$31:$CA$31,0,MATCH($D59,$AF$8:$CA$8,0))</f>
        <v>978.87765065984843</v>
      </c>
      <c r="G59" s="359"/>
      <c r="H59" s="371">
        <f t="shared" si="30"/>
        <v>0</v>
      </c>
      <c r="I59" s="371">
        <f t="shared" si="30"/>
        <v>978.87765065984865</v>
      </c>
      <c r="J59" s="371">
        <f t="shared" si="30"/>
        <v>0</v>
      </c>
      <c r="K59" s="371">
        <f t="shared" si="30"/>
        <v>0</v>
      </c>
      <c r="L59" s="372"/>
      <c r="M59" s="359"/>
      <c r="N59" s="371">
        <f t="shared" si="38"/>
        <v>0</v>
      </c>
      <c r="O59" s="371">
        <f t="shared" si="38"/>
        <v>0</v>
      </c>
      <c r="P59" s="371">
        <f t="shared" si="38"/>
        <v>0</v>
      </c>
      <c r="Q59" s="371">
        <f t="shared" si="38"/>
        <v>0</v>
      </c>
      <c r="R59" s="371">
        <f t="shared" si="38"/>
        <v>244.71941266496211</v>
      </c>
      <c r="S59" s="371">
        <f t="shared" si="38"/>
        <v>244.71941266496211</v>
      </c>
      <c r="T59" s="371">
        <f t="shared" si="38"/>
        <v>244.71941266496211</v>
      </c>
      <c r="U59" s="371">
        <f t="shared" si="38"/>
        <v>244.71941266496211</v>
      </c>
      <c r="V59" s="371">
        <f t="shared" si="38"/>
        <v>0</v>
      </c>
      <c r="W59" s="371">
        <f t="shared" si="38"/>
        <v>0</v>
      </c>
      <c r="X59" s="371">
        <f t="shared" si="38"/>
        <v>0</v>
      </c>
      <c r="Y59" s="371">
        <f t="shared" si="38"/>
        <v>0</v>
      </c>
      <c r="Z59" s="371">
        <f t="shared" si="38"/>
        <v>0</v>
      </c>
      <c r="AA59" s="371">
        <f t="shared" si="38"/>
        <v>0</v>
      </c>
      <c r="AB59" s="371">
        <f t="shared" si="38"/>
        <v>0</v>
      </c>
      <c r="AC59" s="371">
        <f t="shared" si="38"/>
        <v>0</v>
      </c>
      <c r="AE59" s="359"/>
      <c r="AF59" s="371">
        <f t="shared" si="39"/>
        <v>0</v>
      </c>
      <c r="AG59" s="371">
        <f t="shared" si="39"/>
        <v>0</v>
      </c>
      <c r="AH59" s="371">
        <f t="shared" si="39"/>
        <v>0</v>
      </c>
      <c r="AI59" s="371">
        <f t="shared" si="39"/>
        <v>0</v>
      </c>
      <c r="AJ59" s="371">
        <f t="shared" si="39"/>
        <v>0</v>
      </c>
      <c r="AK59" s="371">
        <f t="shared" si="39"/>
        <v>0</v>
      </c>
      <c r="AL59" s="371">
        <f t="shared" si="39"/>
        <v>0</v>
      </c>
      <c r="AM59" s="371">
        <f t="shared" si="39"/>
        <v>0</v>
      </c>
      <c r="AN59" s="371">
        <f t="shared" si="39"/>
        <v>0</v>
      </c>
      <c r="AO59" s="371">
        <f t="shared" si="39"/>
        <v>0</v>
      </c>
      <c r="AP59" s="371">
        <f t="shared" si="40"/>
        <v>0</v>
      </c>
      <c r="AQ59" s="371">
        <f t="shared" si="40"/>
        <v>0</v>
      </c>
      <c r="AR59" s="371">
        <f t="shared" si="40"/>
        <v>81.573137554987369</v>
      </c>
      <c r="AS59" s="371">
        <f t="shared" si="40"/>
        <v>81.573137554987369</v>
      </c>
      <c r="AT59" s="371">
        <f t="shared" si="40"/>
        <v>81.573137554987369</v>
      </c>
      <c r="AU59" s="371">
        <f t="shared" si="40"/>
        <v>81.573137554987369</v>
      </c>
      <c r="AV59" s="371">
        <f t="shared" si="40"/>
        <v>81.573137554987369</v>
      </c>
      <c r="AW59" s="371">
        <f t="shared" si="40"/>
        <v>81.573137554987369</v>
      </c>
      <c r="AX59" s="371">
        <f t="shared" si="40"/>
        <v>81.573137554987369</v>
      </c>
      <c r="AY59" s="371">
        <f t="shared" si="40"/>
        <v>81.573137554987369</v>
      </c>
      <c r="AZ59" s="371">
        <f t="shared" si="41"/>
        <v>81.573137554987369</v>
      </c>
      <c r="BA59" s="371">
        <f t="shared" si="41"/>
        <v>81.573137554987369</v>
      </c>
      <c r="BB59" s="371">
        <f t="shared" si="41"/>
        <v>81.573137554987369</v>
      </c>
      <c r="BC59" s="371">
        <f t="shared" si="41"/>
        <v>81.573137554987369</v>
      </c>
      <c r="BD59" s="371">
        <f t="shared" si="41"/>
        <v>0</v>
      </c>
      <c r="BE59" s="371">
        <f t="shared" si="41"/>
        <v>0</v>
      </c>
      <c r="BF59" s="371">
        <f t="shared" si="41"/>
        <v>0</v>
      </c>
      <c r="BG59" s="371">
        <f t="shared" si="41"/>
        <v>0</v>
      </c>
      <c r="BH59" s="371">
        <f t="shared" si="41"/>
        <v>0</v>
      </c>
      <c r="BI59" s="371">
        <f t="shared" si="41"/>
        <v>0</v>
      </c>
      <c r="BJ59" s="371">
        <f t="shared" si="42"/>
        <v>0</v>
      </c>
      <c r="BK59" s="371">
        <f t="shared" si="42"/>
        <v>0</v>
      </c>
      <c r="BL59" s="371">
        <f t="shared" si="42"/>
        <v>0</v>
      </c>
      <c r="BM59" s="371">
        <f t="shared" si="42"/>
        <v>0</v>
      </c>
      <c r="BN59" s="371">
        <f t="shared" si="42"/>
        <v>0</v>
      </c>
      <c r="BO59" s="371">
        <f t="shared" si="42"/>
        <v>0</v>
      </c>
      <c r="BP59" s="371">
        <f t="shared" si="42"/>
        <v>0</v>
      </c>
      <c r="BQ59" s="371">
        <f t="shared" si="42"/>
        <v>0</v>
      </c>
      <c r="BR59" s="371">
        <f t="shared" si="42"/>
        <v>0</v>
      </c>
      <c r="BS59" s="371">
        <f t="shared" si="42"/>
        <v>0</v>
      </c>
      <c r="BT59" s="371">
        <f t="shared" si="43"/>
        <v>0</v>
      </c>
      <c r="BU59" s="371">
        <f t="shared" si="43"/>
        <v>0</v>
      </c>
      <c r="BV59" s="371">
        <f t="shared" si="43"/>
        <v>0</v>
      </c>
      <c r="BW59" s="371">
        <f t="shared" si="43"/>
        <v>0</v>
      </c>
      <c r="BX59" s="371">
        <f t="shared" si="43"/>
        <v>0</v>
      </c>
      <c r="BY59" s="371">
        <f t="shared" si="43"/>
        <v>0</v>
      </c>
      <c r="BZ59" s="371">
        <f t="shared" si="43"/>
        <v>0</v>
      </c>
      <c r="CA59" s="371">
        <f t="shared" si="43"/>
        <v>0</v>
      </c>
    </row>
    <row r="60" spans="2:79" ht="21" hidden="1" customHeight="1" outlineLevel="2">
      <c r="D60" s="374">
        <f t="shared" si="37"/>
        <v>45351</v>
      </c>
      <c r="E60" s="373" cm="1">
        <f t="array" ref="E60">INDEX($AF$31:$CA$31,0,MATCH($D60,$AF$8:$CA$8,0))</f>
        <v>1594.1664271664467</v>
      </c>
      <c r="G60" s="359"/>
      <c r="H60" s="371">
        <f t="shared" si="30"/>
        <v>0</v>
      </c>
      <c r="I60" s="371">
        <f t="shared" si="30"/>
        <v>1461.319224902576</v>
      </c>
      <c r="J60" s="371">
        <f t="shared" si="30"/>
        <v>132.84720226387057</v>
      </c>
      <c r="K60" s="371">
        <f t="shared" si="30"/>
        <v>0</v>
      </c>
      <c r="L60" s="372"/>
      <c r="M60" s="359"/>
      <c r="N60" s="371">
        <f t="shared" si="38"/>
        <v>0</v>
      </c>
      <c r="O60" s="371">
        <f t="shared" si="38"/>
        <v>0</v>
      </c>
      <c r="P60" s="371">
        <f t="shared" si="38"/>
        <v>0</v>
      </c>
      <c r="Q60" s="371">
        <f t="shared" si="38"/>
        <v>0</v>
      </c>
      <c r="R60" s="371">
        <f t="shared" si="38"/>
        <v>265.69440452774114</v>
      </c>
      <c r="S60" s="371">
        <f t="shared" si="38"/>
        <v>398.54160679161168</v>
      </c>
      <c r="T60" s="371">
        <f t="shared" si="38"/>
        <v>398.54160679161168</v>
      </c>
      <c r="U60" s="371">
        <f t="shared" si="38"/>
        <v>398.54160679161168</v>
      </c>
      <c r="V60" s="371">
        <f t="shared" si="38"/>
        <v>132.84720226387057</v>
      </c>
      <c r="W60" s="371">
        <f t="shared" si="38"/>
        <v>0</v>
      </c>
      <c r="X60" s="371">
        <f t="shared" si="38"/>
        <v>0</v>
      </c>
      <c r="Y60" s="371">
        <f t="shared" si="38"/>
        <v>0</v>
      </c>
      <c r="Z60" s="371">
        <f t="shared" si="38"/>
        <v>0</v>
      </c>
      <c r="AA60" s="371">
        <f t="shared" si="38"/>
        <v>0</v>
      </c>
      <c r="AB60" s="371">
        <f t="shared" si="38"/>
        <v>0</v>
      </c>
      <c r="AC60" s="371">
        <f t="shared" si="38"/>
        <v>0</v>
      </c>
      <c r="AE60" s="359"/>
      <c r="AF60" s="371">
        <f t="shared" si="39"/>
        <v>0</v>
      </c>
      <c r="AG60" s="371">
        <f t="shared" si="39"/>
        <v>0</v>
      </c>
      <c r="AH60" s="371">
        <f t="shared" si="39"/>
        <v>0</v>
      </c>
      <c r="AI60" s="371">
        <f t="shared" si="39"/>
        <v>0</v>
      </c>
      <c r="AJ60" s="371">
        <f t="shared" si="39"/>
        <v>0</v>
      </c>
      <c r="AK60" s="371">
        <f t="shared" si="39"/>
        <v>0</v>
      </c>
      <c r="AL60" s="371">
        <f t="shared" si="39"/>
        <v>0</v>
      </c>
      <c r="AM60" s="371">
        <f t="shared" si="39"/>
        <v>0</v>
      </c>
      <c r="AN60" s="371">
        <f t="shared" si="39"/>
        <v>0</v>
      </c>
      <c r="AO60" s="371">
        <f t="shared" si="39"/>
        <v>0</v>
      </c>
      <c r="AP60" s="371">
        <f t="shared" si="40"/>
        <v>0</v>
      </c>
      <c r="AQ60" s="371">
        <f t="shared" si="40"/>
        <v>0</v>
      </c>
      <c r="AR60" s="371">
        <f t="shared" si="40"/>
        <v>0</v>
      </c>
      <c r="AS60" s="371">
        <f t="shared" si="40"/>
        <v>132.84720226387057</v>
      </c>
      <c r="AT60" s="371">
        <f t="shared" si="40"/>
        <v>132.84720226387057</v>
      </c>
      <c r="AU60" s="371">
        <f t="shared" si="40"/>
        <v>132.84720226387057</v>
      </c>
      <c r="AV60" s="371">
        <f t="shared" si="40"/>
        <v>132.84720226387057</v>
      </c>
      <c r="AW60" s="371">
        <f t="shared" si="40"/>
        <v>132.84720226387057</v>
      </c>
      <c r="AX60" s="371">
        <f t="shared" si="40"/>
        <v>132.84720226387057</v>
      </c>
      <c r="AY60" s="371">
        <f t="shared" si="40"/>
        <v>132.84720226387057</v>
      </c>
      <c r="AZ60" s="371">
        <f t="shared" si="41"/>
        <v>132.84720226387057</v>
      </c>
      <c r="BA60" s="371">
        <f t="shared" si="41"/>
        <v>132.84720226387057</v>
      </c>
      <c r="BB60" s="371">
        <f t="shared" si="41"/>
        <v>132.84720226387057</v>
      </c>
      <c r="BC60" s="371">
        <f t="shared" si="41"/>
        <v>132.84720226387057</v>
      </c>
      <c r="BD60" s="371">
        <f t="shared" si="41"/>
        <v>132.84720226387057</v>
      </c>
      <c r="BE60" s="371">
        <f t="shared" si="41"/>
        <v>0</v>
      </c>
      <c r="BF60" s="371">
        <f t="shared" si="41"/>
        <v>0</v>
      </c>
      <c r="BG60" s="371">
        <f t="shared" si="41"/>
        <v>0</v>
      </c>
      <c r="BH60" s="371">
        <f t="shared" si="41"/>
        <v>0</v>
      </c>
      <c r="BI60" s="371">
        <f t="shared" si="41"/>
        <v>0</v>
      </c>
      <c r="BJ60" s="371">
        <f t="shared" si="42"/>
        <v>0</v>
      </c>
      <c r="BK60" s="371">
        <f t="shared" si="42"/>
        <v>0</v>
      </c>
      <c r="BL60" s="371">
        <f t="shared" si="42"/>
        <v>0</v>
      </c>
      <c r="BM60" s="371">
        <f t="shared" si="42"/>
        <v>0</v>
      </c>
      <c r="BN60" s="371">
        <f t="shared" si="42"/>
        <v>0</v>
      </c>
      <c r="BO60" s="371">
        <f t="shared" si="42"/>
        <v>0</v>
      </c>
      <c r="BP60" s="371">
        <f t="shared" si="42"/>
        <v>0</v>
      </c>
      <c r="BQ60" s="371">
        <f t="shared" si="42"/>
        <v>0</v>
      </c>
      <c r="BR60" s="371">
        <f t="shared" si="42"/>
        <v>0</v>
      </c>
      <c r="BS60" s="371">
        <f t="shared" si="42"/>
        <v>0</v>
      </c>
      <c r="BT60" s="371">
        <f t="shared" si="43"/>
        <v>0</v>
      </c>
      <c r="BU60" s="371">
        <f t="shared" si="43"/>
        <v>0</v>
      </c>
      <c r="BV60" s="371">
        <f t="shared" si="43"/>
        <v>0</v>
      </c>
      <c r="BW60" s="371">
        <f t="shared" si="43"/>
        <v>0</v>
      </c>
      <c r="BX60" s="371">
        <f t="shared" si="43"/>
        <v>0</v>
      </c>
      <c r="BY60" s="371">
        <f t="shared" si="43"/>
        <v>0</v>
      </c>
      <c r="BZ60" s="371">
        <f t="shared" si="43"/>
        <v>0</v>
      </c>
      <c r="CA60" s="371">
        <f t="shared" si="43"/>
        <v>0</v>
      </c>
    </row>
    <row r="61" spans="2:79" ht="21" hidden="1" customHeight="1" outlineLevel="2">
      <c r="D61" s="374">
        <f t="shared" si="37"/>
        <v>45382</v>
      </c>
      <c r="E61" s="373" cm="1">
        <f t="array" ref="E61">INDEX($AF$31:$CA$31,0,MATCH($D61,$AF$8:$CA$8,0))</f>
        <v>1981.5080914381122</v>
      </c>
      <c r="G61" s="359"/>
      <c r="H61" s="371">
        <f t="shared" si="30"/>
        <v>0</v>
      </c>
      <c r="I61" s="371">
        <f t="shared" si="30"/>
        <v>1651.2567428650934</v>
      </c>
      <c r="J61" s="371">
        <f t="shared" si="30"/>
        <v>330.25134857301867</v>
      </c>
      <c r="K61" s="371">
        <f t="shared" si="30"/>
        <v>0</v>
      </c>
      <c r="L61" s="372"/>
      <c r="M61" s="359"/>
      <c r="N61" s="371">
        <f t="shared" si="38"/>
        <v>0</v>
      </c>
      <c r="O61" s="371">
        <f t="shared" si="38"/>
        <v>0</v>
      </c>
      <c r="P61" s="371">
        <f t="shared" si="38"/>
        <v>0</v>
      </c>
      <c r="Q61" s="371">
        <f t="shared" si="38"/>
        <v>0</v>
      </c>
      <c r="R61" s="371">
        <f t="shared" si="38"/>
        <v>165.12567428650934</v>
      </c>
      <c r="S61" s="371">
        <f t="shared" si="38"/>
        <v>495.37702285952798</v>
      </c>
      <c r="T61" s="371">
        <f t="shared" si="38"/>
        <v>495.37702285952798</v>
      </c>
      <c r="U61" s="371">
        <f t="shared" si="38"/>
        <v>495.37702285952798</v>
      </c>
      <c r="V61" s="371">
        <f t="shared" si="38"/>
        <v>330.25134857301867</v>
      </c>
      <c r="W61" s="371">
        <f t="shared" si="38"/>
        <v>0</v>
      </c>
      <c r="X61" s="371">
        <f t="shared" si="38"/>
        <v>0</v>
      </c>
      <c r="Y61" s="371">
        <f t="shared" si="38"/>
        <v>0</v>
      </c>
      <c r="Z61" s="371">
        <f t="shared" si="38"/>
        <v>0</v>
      </c>
      <c r="AA61" s="371">
        <f t="shared" si="38"/>
        <v>0</v>
      </c>
      <c r="AB61" s="371">
        <f t="shared" si="38"/>
        <v>0</v>
      </c>
      <c r="AC61" s="371">
        <f t="shared" si="38"/>
        <v>0</v>
      </c>
      <c r="AE61" s="359"/>
      <c r="AF61" s="371">
        <f t="shared" si="39"/>
        <v>0</v>
      </c>
      <c r="AG61" s="371">
        <f t="shared" si="39"/>
        <v>0</v>
      </c>
      <c r="AH61" s="371">
        <f t="shared" si="39"/>
        <v>0</v>
      </c>
      <c r="AI61" s="371">
        <f t="shared" si="39"/>
        <v>0</v>
      </c>
      <c r="AJ61" s="371">
        <f t="shared" si="39"/>
        <v>0</v>
      </c>
      <c r="AK61" s="371">
        <f t="shared" si="39"/>
        <v>0</v>
      </c>
      <c r="AL61" s="371">
        <f t="shared" si="39"/>
        <v>0</v>
      </c>
      <c r="AM61" s="371">
        <f t="shared" si="39"/>
        <v>0</v>
      </c>
      <c r="AN61" s="371">
        <f t="shared" si="39"/>
        <v>0</v>
      </c>
      <c r="AO61" s="371">
        <f t="shared" si="39"/>
        <v>0</v>
      </c>
      <c r="AP61" s="371">
        <f t="shared" si="40"/>
        <v>0</v>
      </c>
      <c r="AQ61" s="371">
        <f t="shared" si="40"/>
        <v>0</v>
      </c>
      <c r="AR61" s="371">
        <f t="shared" si="40"/>
        <v>0</v>
      </c>
      <c r="AS61" s="371">
        <f t="shared" si="40"/>
        <v>0</v>
      </c>
      <c r="AT61" s="371">
        <f t="shared" si="40"/>
        <v>165.12567428650934</v>
      </c>
      <c r="AU61" s="371">
        <f t="shared" si="40"/>
        <v>165.12567428650934</v>
      </c>
      <c r="AV61" s="371">
        <f t="shared" si="40"/>
        <v>165.12567428650934</v>
      </c>
      <c r="AW61" s="371">
        <f t="shared" si="40"/>
        <v>165.12567428650934</v>
      </c>
      <c r="AX61" s="371">
        <f t="shared" si="40"/>
        <v>165.12567428650934</v>
      </c>
      <c r="AY61" s="371">
        <f t="shared" si="40"/>
        <v>165.12567428650934</v>
      </c>
      <c r="AZ61" s="371">
        <f t="shared" si="41"/>
        <v>165.12567428650934</v>
      </c>
      <c r="BA61" s="371">
        <f t="shared" si="41"/>
        <v>165.12567428650934</v>
      </c>
      <c r="BB61" s="371">
        <f t="shared" si="41"/>
        <v>165.12567428650934</v>
      </c>
      <c r="BC61" s="371">
        <f t="shared" si="41"/>
        <v>165.12567428650934</v>
      </c>
      <c r="BD61" s="371">
        <f t="shared" si="41"/>
        <v>165.12567428650934</v>
      </c>
      <c r="BE61" s="371">
        <f t="shared" si="41"/>
        <v>165.12567428650934</v>
      </c>
      <c r="BF61" s="371">
        <f t="shared" si="41"/>
        <v>0</v>
      </c>
      <c r="BG61" s="371">
        <f t="shared" si="41"/>
        <v>0</v>
      </c>
      <c r="BH61" s="371">
        <f t="shared" si="41"/>
        <v>0</v>
      </c>
      <c r="BI61" s="371">
        <f t="shared" si="41"/>
        <v>0</v>
      </c>
      <c r="BJ61" s="371">
        <f t="shared" si="42"/>
        <v>0</v>
      </c>
      <c r="BK61" s="371">
        <f t="shared" si="42"/>
        <v>0</v>
      </c>
      <c r="BL61" s="371">
        <f t="shared" si="42"/>
        <v>0</v>
      </c>
      <c r="BM61" s="371">
        <f t="shared" si="42"/>
        <v>0</v>
      </c>
      <c r="BN61" s="371">
        <f t="shared" si="42"/>
        <v>0</v>
      </c>
      <c r="BO61" s="371">
        <f t="shared" si="42"/>
        <v>0</v>
      </c>
      <c r="BP61" s="371">
        <f t="shared" si="42"/>
        <v>0</v>
      </c>
      <c r="BQ61" s="371">
        <f t="shared" si="42"/>
        <v>0</v>
      </c>
      <c r="BR61" s="371">
        <f t="shared" si="42"/>
        <v>0</v>
      </c>
      <c r="BS61" s="371">
        <f t="shared" si="42"/>
        <v>0</v>
      </c>
      <c r="BT61" s="371">
        <f t="shared" si="43"/>
        <v>0</v>
      </c>
      <c r="BU61" s="371">
        <f t="shared" si="43"/>
        <v>0</v>
      </c>
      <c r="BV61" s="371">
        <f t="shared" si="43"/>
        <v>0</v>
      </c>
      <c r="BW61" s="371">
        <f t="shared" si="43"/>
        <v>0</v>
      </c>
      <c r="BX61" s="371">
        <f t="shared" si="43"/>
        <v>0</v>
      </c>
      <c r="BY61" s="371">
        <f t="shared" si="43"/>
        <v>0</v>
      </c>
      <c r="BZ61" s="371">
        <f t="shared" si="43"/>
        <v>0</v>
      </c>
      <c r="CA61" s="371">
        <f t="shared" si="43"/>
        <v>0</v>
      </c>
    </row>
    <row r="62" spans="2:79" ht="21" hidden="1" customHeight="1" outlineLevel="2">
      <c r="D62" s="374">
        <f t="shared" si="37"/>
        <v>45412</v>
      </c>
      <c r="E62" s="373" cm="1">
        <f t="array" ref="E62">INDEX($AF$31:$CA$31,0,MATCH($D62,$AF$8:$CA$8,0))</f>
        <v>2241.2231723524919</v>
      </c>
      <c r="G62" s="359"/>
      <c r="H62" s="371">
        <f t="shared" si="30"/>
        <v>0</v>
      </c>
      <c r="I62" s="371">
        <f t="shared" si="30"/>
        <v>1680.9173792643692</v>
      </c>
      <c r="J62" s="371">
        <f t="shared" si="30"/>
        <v>560.30579308812298</v>
      </c>
      <c r="K62" s="371">
        <f t="shared" si="30"/>
        <v>0</v>
      </c>
      <c r="L62" s="372"/>
      <c r="M62" s="359"/>
      <c r="N62" s="371">
        <f t="shared" si="38"/>
        <v>0</v>
      </c>
      <c r="O62" s="371">
        <f t="shared" si="38"/>
        <v>0</v>
      </c>
      <c r="P62" s="371">
        <f t="shared" si="38"/>
        <v>0</v>
      </c>
      <c r="Q62" s="371">
        <f t="shared" si="38"/>
        <v>0</v>
      </c>
      <c r="R62" s="371">
        <f t="shared" si="38"/>
        <v>0</v>
      </c>
      <c r="S62" s="371">
        <f t="shared" si="38"/>
        <v>560.30579308812298</v>
      </c>
      <c r="T62" s="371">
        <f t="shared" si="38"/>
        <v>560.30579308812298</v>
      </c>
      <c r="U62" s="371">
        <f t="shared" si="38"/>
        <v>560.30579308812298</v>
      </c>
      <c r="V62" s="371">
        <f t="shared" si="38"/>
        <v>560.30579308812298</v>
      </c>
      <c r="W62" s="371">
        <f t="shared" si="38"/>
        <v>0</v>
      </c>
      <c r="X62" s="371">
        <f t="shared" si="38"/>
        <v>0</v>
      </c>
      <c r="Y62" s="371">
        <f t="shared" si="38"/>
        <v>0</v>
      </c>
      <c r="Z62" s="371">
        <f t="shared" si="38"/>
        <v>0</v>
      </c>
      <c r="AA62" s="371">
        <f t="shared" si="38"/>
        <v>0</v>
      </c>
      <c r="AB62" s="371">
        <f t="shared" si="38"/>
        <v>0</v>
      </c>
      <c r="AC62" s="371">
        <f t="shared" si="38"/>
        <v>0</v>
      </c>
      <c r="AE62" s="359"/>
      <c r="AF62" s="371">
        <f t="shared" si="39"/>
        <v>0</v>
      </c>
      <c r="AG62" s="371">
        <f t="shared" si="39"/>
        <v>0</v>
      </c>
      <c r="AH62" s="371">
        <f t="shared" si="39"/>
        <v>0</v>
      </c>
      <c r="AI62" s="371">
        <f t="shared" si="39"/>
        <v>0</v>
      </c>
      <c r="AJ62" s="371">
        <f t="shared" si="39"/>
        <v>0</v>
      </c>
      <c r="AK62" s="371">
        <f t="shared" si="39"/>
        <v>0</v>
      </c>
      <c r="AL62" s="371">
        <f t="shared" si="39"/>
        <v>0</v>
      </c>
      <c r="AM62" s="371">
        <f t="shared" si="39"/>
        <v>0</v>
      </c>
      <c r="AN62" s="371">
        <f t="shared" si="39"/>
        <v>0</v>
      </c>
      <c r="AO62" s="371">
        <f t="shared" si="39"/>
        <v>0</v>
      </c>
      <c r="AP62" s="371">
        <f t="shared" si="40"/>
        <v>0</v>
      </c>
      <c r="AQ62" s="371">
        <f t="shared" si="40"/>
        <v>0</v>
      </c>
      <c r="AR62" s="371">
        <f t="shared" si="40"/>
        <v>0</v>
      </c>
      <c r="AS62" s="371">
        <f t="shared" si="40"/>
        <v>0</v>
      </c>
      <c r="AT62" s="371">
        <f t="shared" si="40"/>
        <v>0</v>
      </c>
      <c r="AU62" s="371">
        <f t="shared" si="40"/>
        <v>186.76859769604098</v>
      </c>
      <c r="AV62" s="371">
        <f t="shared" si="40"/>
        <v>186.76859769604098</v>
      </c>
      <c r="AW62" s="371">
        <f t="shared" si="40"/>
        <v>186.76859769604098</v>
      </c>
      <c r="AX62" s="371">
        <f t="shared" si="40"/>
        <v>186.76859769604098</v>
      </c>
      <c r="AY62" s="371">
        <f t="shared" si="40"/>
        <v>186.76859769604098</v>
      </c>
      <c r="AZ62" s="371">
        <f t="shared" si="41"/>
        <v>186.76859769604098</v>
      </c>
      <c r="BA62" s="371">
        <f t="shared" si="41"/>
        <v>186.76859769604098</v>
      </c>
      <c r="BB62" s="371">
        <f t="shared" si="41"/>
        <v>186.76859769604098</v>
      </c>
      <c r="BC62" s="371">
        <f t="shared" si="41"/>
        <v>186.76859769604098</v>
      </c>
      <c r="BD62" s="371">
        <f t="shared" si="41"/>
        <v>186.76859769604098</v>
      </c>
      <c r="BE62" s="371">
        <f t="shared" si="41"/>
        <v>186.76859769604098</v>
      </c>
      <c r="BF62" s="371">
        <f t="shared" si="41"/>
        <v>186.76859769604098</v>
      </c>
      <c r="BG62" s="371">
        <f t="shared" si="41"/>
        <v>0</v>
      </c>
      <c r="BH62" s="371">
        <f t="shared" si="41"/>
        <v>0</v>
      </c>
      <c r="BI62" s="371">
        <f t="shared" si="41"/>
        <v>0</v>
      </c>
      <c r="BJ62" s="371">
        <f t="shared" si="42"/>
        <v>0</v>
      </c>
      <c r="BK62" s="371">
        <f t="shared" si="42"/>
        <v>0</v>
      </c>
      <c r="BL62" s="371">
        <f t="shared" si="42"/>
        <v>0</v>
      </c>
      <c r="BM62" s="371">
        <f t="shared" si="42"/>
        <v>0</v>
      </c>
      <c r="BN62" s="371">
        <f t="shared" si="42"/>
        <v>0</v>
      </c>
      <c r="BO62" s="371">
        <f t="shared" si="42"/>
        <v>0</v>
      </c>
      <c r="BP62" s="371">
        <f t="shared" si="42"/>
        <v>0</v>
      </c>
      <c r="BQ62" s="371">
        <f t="shared" si="42"/>
        <v>0</v>
      </c>
      <c r="BR62" s="371">
        <f t="shared" si="42"/>
        <v>0</v>
      </c>
      <c r="BS62" s="371">
        <f t="shared" si="42"/>
        <v>0</v>
      </c>
      <c r="BT62" s="371">
        <f t="shared" si="43"/>
        <v>0</v>
      </c>
      <c r="BU62" s="371">
        <f t="shared" si="43"/>
        <v>0</v>
      </c>
      <c r="BV62" s="371">
        <f t="shared" si="43"/>
        <v>0</v>
      </c>
      <c r="BW62" s="371">
        <f t="shared" si="43"/>
        <v>0</v>
      </c>
      <c r="BX62" s="371">
        <f t="shared" si="43"/>
        <v>0</v>
      </c>
      <c r="BY62" s="371">
        <f t="shared" si="43"/>
        <v>0</v>
      </c>
      <c r="BZ62" s="371">
        <f t="shared" si="43"/>
        <v>0</v>
      </c>
      <c r="CA62" s="371">
        <f t="shared" si="43"/>
        <v>0</v>
      </c>
    </row>
    <row r="63" spans="2:79" ht="21" hidden="1" customHeight="1" outlineLevel="2">
      <c r="D63" s="374">
        <f t="shared" si="37"/>
        <v>45443</v>
      </c>
      <c r="E63" s="373" cm="1">
        <f t="array" ref="E63">INDEX($AF$31:$CA$31,0,MATCH($D63,$AF$8:$CA$8,0))</f>
        <v>2670.2354040760188</v>
      </c>
      <c r="G63" s="359"/>
      <c r="H63" s="371">
        <f t="shared" si="30"/>
        <v>0</v>
      </c>
      <c r="I63" s="371">
        <f t="shared" si="30"/>
        <v>1780.1569360506796</v>
      </c>
      <c r="J63" s="371">
        <f t="shared" si="30"/>
        <v>890.07846802533959</v>
      </c>
      <c r="K63" s="371">
        <f t="shared" si="30"/>
        <v>0</v>
      </c>
      <c r="L63" s="372"/>
      <c r="M63" s="359"/>
      <c r="N63" s="371">
        <f t="shared" si="38"/>
        <v>0</v>
      </c>
      <c r="O63" s="371">
        <f t="shared" si="38"/>
        <v>0</v>
      </c>
      <c r="P63" s="371">
        <f t="shared" si="38"/>
        <v>0</v>
      </c>
      <c r="Q63" s="371">
        <f t="shared" si="38"/>
        <v>0</v>
      </c>
      <c r="R63" s="371">
        <f t="shared" si="38"/>
        <v>0</v>
      </c>
      <c r="S63" s="371">
        <f t="shared" si="38"/>
        <v>445.03923401266979</v>
      </c>
      <c r="T63" s="371">
        <f t="shared" si="38"/>
        <v>667.55885101900469</v>
      </c>
      <c r="U63" s="371">
        <f t="shared" si="38"/>
        <v>667.55885101900469</v>
      </c>
      <c r="V63" s="371">
        <f t="shared" si="38"/>
        <v>667.55885101900469</v>
      </c>
      <c r="W63" s="371">
        <f t="shared" si="38"/>
        <v>222.5196170063349</v>
      </c>
      <c r="X63" s="371">
        <f t="shared" si="38"/>
        <v>0</v>
      </c>
      <c r="Y63" s="371">
        <f t="shared" si="38"/>
        <v>0</v>
      </c>
      <c r="Z63" s="371">
        <f t="shared" si="38"/>
        <v>0</v>
      </c>
      <c r="AA63" s="371">
        <f t="shared" si="38"/>
        <v>0</v>
      </c>
      <c r="AB63" s="371">
        <f t="shared" si="38"/>
        <v>0</v>
      </c>
      <c r="AC63" s="371">
        <f t="shared" si="38"/>
        <v>0</v>
      </c>
      <c r="AE63" s="359"/>
      <c r="AF63" s="371">
        <f t="shared" si="39"/>
        <v>0</v>
      </c>
      <c r="AG63" s="371">
        <f t="shared" si="39"/>
        <v>0</v>
      </c>
      <c r="AH63" s="371">
        <f t="shared" si="39"/>
        <v>0</v>
      </c>
      <c r="AI63" s="371">
        <f t="shared" si="39"/>
        <v>0</v>
      </c>
      <c r="AJ63" s="371">
        <f t="shared" si="39"/>
        <v>0</v>
      </c>
      <c r="AK63" s="371">
        <f t="shared" si="39"/>
        <v>0</v>
      </c>
      <c r="AL63" s="371">
        <f t="shared" si="39"/>
        <v>0</v>
      </c>
      <c r="AM63" s="371">
        <f t="shared" si="39"/>
        <v>0</v>
      </c>
      <c r="AN63" s="371">
        <f t="shared" si="39"/>
        <v>0</v>
      </c>
      <c r="AO63" s="371">
        <f t="shared" si="39"/>
        <v>0</v>
      </c>
      <c r="AP63" s="371">
        <f t="shared" si="40"/>
        <v>0</v>
      </c>
      <c r="AQ63" s="371">
        <f t="shared" si="40"/>
        <v>0</v>
      </c>
      <c r="AR63" s="371">
        <f t="shared" si="40"/>
        <v>0</v>
      </c>
      <c r="AS63" s="371">
        <f t="shared" si="40"/>
        <v>0</v>
      </c>
      <c r="AT63" s="371">
        <f t="shared" si="40"/>
        <v>0</v>
      </c>
      <c r="AU63" s="371">
        <f t="shared" si="40"/>
        <v>0</v>
      </c>
      <c r="AV63" s="371">
        <f t="shared" si="40"/>
        <v>222.5196170063349</v>
      </c>
      <c r="AW63" s="371">
        <f t="shared" si="40"/>
        <v>222.5196170063349</v>
      </c>
      <c r="AX63" s="371">
        <f t="shared" si="40"/>
        <v>222.5196170063349</v>
      </c>
      <c r="AY63" s="371">
        <f t="shared" si="40"/>
        <v>222.5196170063349</v>
      </c>
      <c r="AZ63" s="371">
        <f t="shared" si="41"/>
        <v>222.5196170063349</v>
      </c>
      <c r="BA63" s="371">
        <f t="shared" si="41"/>
        <v>222.5196170063349</v>
      </c>
      <c r="BB63" s="371">
        <f t="shared" si="41"/>
        <v>222.5196170063349</v>
      </c>
      <c r="BC63" s="371">
        <f t="shared" si="41"/>
        <v>222.5196170063349</v>
      </c>
      <c r="BD63" s="371">
        <f t="shared" si="41"/>
        <v>222.5196170063349</v>
      </c>
      <c r="BE63" s="371">
        <f t="shared" si="41"/>
        <v>222.5196170063349</v>
      </c>
      <c r="BF63" s="371">
        <f t="shared" si="41"/>
        <v>222.5196170063349</v>
      </c>
      <c r="BG63" s="371">
        <f t="shared" si="41"/>
        <v>222.5196170063349</v>
      </c>
      <c r="BH63" s="371">
        <f t="shared" si="41"/>
        <v>0</v>
      </c>
      <c r="BI63" s="371">
        <f t="shared" si="41"/>
        <v>0</v>
      </c>
      <c r="BJ63" s="371">
        <f t="shared" si="42"/>
        <v>0</v>
      </c>
      <c r="BK63" s="371">
        <f t="shared" si="42"/>
        <v>0</v>
      </c>
      <c r="BL63" s="371">
        <f t="shared" si="42"/>
        <v>0</v>
      </c>
      <c r="BM63" s="371">
        <f t="shared" si="42"/>
        <v>0</v>
      </c>
      <c r="BN63" s="371">
        <f t="shared" si="42"/>
        <v>0</v>
      </c>
      <c r="BO63" s="371">
        <f t="shared" si="42"/>
        <v>0</v>
      </c>
      <c r="BP63" s="371">
        <f t="shared" si="42"/>
        <v>0</v>
      </c>
      <c r="BQ63" s="371">
        <f t="shared" si="42"/>
        <v>0</v>
      </c>
      <c r="BR63" s="371">
        <f t="shared" si="42"/>
        <v>0</v>
      </c>
      <c r="BS63" s="371">
        <f t="shared" si="42"/>
        <v>0</v>
      </c>
      <c r="BT63" s="371">
        <f t="shared" si="43"/>
        <v>0</v>
      </c>
      <c r="BU63" s="371">
        <f t="shared" si="43"/>
        <v>0</v>
      </c>
      <c r="BV63" s="371">
        <f t="shared" si="43"/>
        <v>0</v>
      </c>
      <c r="BW63" s="371">
        <f t="shared" si="43"/>
        <v>0</v>
      </c>
      <c r="BX63" s="371">
        <f t="shared" si="43"/>
        <v>0</v>
      </c>
      <c r="BY63" s="371">
        <f t="shared" si="43"/>
        <v>0</v>
      </c>
      <c r="BZ63" s="371">
        <f t="shared" si="43"/>
        <v>0</v>
      </c>
      <c r="CA63" s="371">
        <f t="shared" si="43"/>
        <v>0</v>
      </c>
    </row>
    <row r="64" spans="2:79" ht="21" hidden="1" customHeight="1" outlineLevel="2">
      <c r="D64" s="374">
        <f t="shared" si="37"/>
        <v>45473</v>
      </c>
      <c r="E64" s="373" cm="1">
        <f t="array" ref="E64">INDEX($AF$31:$CA$31,0,MATCH($D64,$AF$8:$CA$8,0))</f>
        <v>3152.962758116777</v>
      </c>
      <c r="G64" s="359"/>
      <c r="H64" s="371">
        <f t="shared" si="30"/>
        <v>0</v>
      </c>
      <c r="I64" s="371">
        <f t="shared" si="30"/>
        <v>1839.2282755681199</v>
      </c>
      <c r="J64" s="371">
        <f t="shared" si="30"/>
        <v>1313.7344825486571</v>
      </c>
      <c r="K64" s="371">
        <f t="shared" si="30"/>
        <v>0</v>
      </c>
      <c r="L64" s="372"/>
      <c r="M64" s="359"/>
      <c r="N64" s="371">
        <f t="shared" si="38"/>
        <v>0</v>
      </c>
      <c r="O64" s="371">
        <f t="shared" si="38"/>
        <v>0</v>
      </c>
      <c r="P64" s="371">
        <f t="shared" si="38"/>
        <v>0</v>
      </c>
      <c r="Q64" s="371">
        <f t="shared" si="38"/>
        <v>0</v>
      </c>
      <c r="R64" s="371">
        <f t="shared" si="38"/>
        <v>0</v>
      </c>
      <c r="S64" s="371">
        <f t="shared" si="38"/>
        <v>262.74689650973141</v>
      </c>
      <c r="T64" s="371">
        <f t="shared" si="38"/>
        <v>788.24068952919424</v>
      </c>
      <c r="U64" s="371">
        <f t="shared" si="38"/>
        <v>788.24068952919424</v>
      </c>
      <c r="V64" s="371">
        <f t="shared" si="38"/>
        <v>788.24068952919424</v>
      </c>
      <c r="W64" s="371">
        <f t="shared" si="38"/>
        <v>525.49379301946283</v>
      </c>
      <c r="X64" s="371">
        <f t="shared" si="38"/>
        <v>0</v>
      </c>
      <c r="Y64" s="371">
        <f t="shared" si="38"/>
        <v>0</v>
      </c>
      <c r="Z64" s="371">
        <f t="shared" si="38"/>
        <v>0</v>
      </c>
      <c r="AA64" s="371">
        <f t="shared" si="38"/>
        <v>0</v>
      </c>
      <c r="AB64" s="371">
        <f t="shared" si="38"/>
        <v>0</v>
      </c>
      <c r="AC64" s="371">
        <f t="shared" si="38"/>
        <v>0</v>
      </c>
      <c r="AE64" s="359"/>
      <c r="AF64" s="371">
        <f t="shared" si="39"/>
        <v>0</v>
      </c>
      <c r="AG64" s="371">
        <f t="shared" si="39"/>
        <v>0</v>
      </c>
      <c r="AH64" s="371">
        <f t="shared" si="39"/>
        <v>0</v>
      </c>
      <c r="AI64" s="371">
        <f t="shared" si="39"/>
        <v>0</v>
      </c>
      <c r="AJ64" s="371">
        <f t="shared" si="39"/>
        <v>0</v>
      </c>
      <c r="AK64" s="371">
        <f t="shared" si="39"/>
        <v>0</v>
      </c>
      <c r="AL64" s="371">
        <f t="shared" si="39"/>
        <v>0</v>
      </c>
      <c r="AM64" s="371">
        <f t="shared" si="39"/>
        <v>0</v>
      </c>
      <c r="AN64" s="371">
        <f t="shared" si="39"/>
        <v>0</v>
      </c>
      <c r="AO64" s="371">
        <f t="shared" si="39"/>
        <v>0</v>
      </c>
      <c r="AP64" s="371">
        <f t="shared" si="40"/>
        <v>0</v>
      </c>
      <c r="AQ64" s="371">
        <f t="shared" si="40"/>
        <v>0</v>
      </c>
      <c r="AR64" s="371">
        <f t="shared" si="40"/>
        <v>0</v>
      </c>
      <c r="AS64" s="371">
        <f t="shared" si="40"/>
        <v>0</v>
      </c>
      <c r="AT64" s="371">
        <f t="shared" si="40"/>
        <v>0</v>
      </c>
      <c r="AU64" s="371">
        <f t="shared" si="40"/>
        <v>0</v>
      </c>
      <c r="AV64" s="371">
        <f t="shared" si="40"/>
        <v>0</v>
      </c>
      <c r="AW64" s="371">
        <f t="shared" si="40"/>
        <v>262.74689650973141</v>
      </c>
      <c r="AX64" s="371">
        <f t="shared" si="40"/>
        <v>262.74689650973141</v>
      </c>
      <c r="AY64" s="371">
        <f t="shared" si="40"/>
        <v>262.74689650973141</v>
      </c>
      <c r="AZ64" s="371">
        <f t="shared" si="41"/>
        <v>262.74689650973141</v>
      </c>
      <c r="BA64" s="371">
        <f t="shared" si="41"/>
        <v>262.74689650973141</v>
      </c>
      <c r="BB64" s="371">
        <f t="shared" si="41"/>
        <v>262.74689650973141</v>
      </c>
      <c r="BC64" s="371">
        <f t="shared" si="41"/>
        <v>262.74689650973141</v>
      </c>
      <c r="BD64" s="371">
        <f t="shared" si="41"/>
        <v>262.74689650973141</v>
      </c>
      <c r="BE64" s="371">
        <f t="shared" si="41"/>
        <v>262.74689650973141</v>
      </c>
      <c r="BF64" s="371">
        <f t="shared" si="41"/>
        <v>262.74689650973141</v>
      </c>
      <c r="BG64" s="371">
        <f t="shared" si="41"/>
        <v>262.74689650973141</v>
      </c>
      <c r="BH64" s="371">
        <f t="shared" si="41"/>
        <v>262.74689650973141</v>
      </c>
      <c r="BI64" s="371">
        <f t="shared" si="41"/>
        <v>0</v>
      </c>
      <c r="BJ64" s="371">
        <f t="shared" si="42"/>
        <v>0</v>
      </c>
      <c r="BK64" s="371">
        <f t="shared" si="42"/>
        <v>0</v>
      </c>
      <c r="BL64" s="371">
        <f t="shared" si="42"/>
        <v>0</v>
      </c>
      <c r="BM64" s="371">
        <f t="shared" si="42"/>
        <v>0</v>
      </c>
      <c r="BN64" s="371">
        <f t="shared" si="42"/>
        <v>0</v>
      </c>
      <c r="BO64" s="371">
        <f t="shared" si="42"/>
        <v>0</v>
      </c>
      <c r="BP64" s="371">
        <f t="shared" si="42"/>
        <v>0</v>
      </c>
      <c r="BQ64" s="371">
        <f t="shared" si="42"/>
        <v>0</v>
      </c>
      <c r="BR64" s="371">
        <f t="shared" si="42"/>
        <v>0</v>
      </c>
      <c r="BS64" s="371">
        <f t="shared" si="42"/>
        <v>0</v>
      </c>
      <c r="BT64" s="371">
        <f t="shared" si="43"/>
        <v>0</v>
      </c>
      <c r="BU64" s="371">
        <f t="shared" si="43"/>
        <v>0</v>
      </c>
      <c r="BV64" s="371">
        <f t="shared" si="43"/>
        <v>0</v>
      </c>
      <c r="BW64" s="371">
        <f t="shared" si="43"/>
        <v>0</v>
      </c>
      <c r="BX64" s="371">
        <f t="shared" si="43"/>
        <v>0</v>
      </c>
      <c r="BY64" s="371">
        <f t="shared" si="43"/>
        <v>0</v>
      </c>
      <c r="BZ64" s="371">
        <f t="shared" si="43"/>
        <v>0</v>
      </c>
      <c r="CA64" s="371">
        <f t="shared" si="43"/>
        <v>0</v>
      </c>
    </row>
    <row r="65" spans="4:79" ht="21" hidden="1" customHeight="1" outlineLevel="2">
      <c r="D65" s="374">
        <f t="shared" si="37"/>
        <v>45504</v>
      </c>
      <c r="E65" s="373" cm="1">
        <f t="array" ref="E65">INDEX($AF$31:$CA$31,0,MATCH($D65,$AF$8:$CA$8,0))</f>
        <v>3594.2923856979455</v>
      </c>
      <c r="G65" s="359"/>
      <c r="H65" s="371">
        <f t="shared" si="30"/>
        <v>0</v>
      </c>
      <c r="I65" s="371">
        <f t="shared" si="30"/>
        <v>1797.1461928489728</v>
      </c>
      <c r="J65" s="371">
        <f t="shared" si="30"/>
        <v>1797.1461928489728</v>
      </c>
      <c r="K65" s="371">
        <f t="shared" si="30"/>
        <v>0</v>
      </c>
      <c r="L65" s="372"/>
      <c r="M65" s="359"/>
      <c r="N65" s="371">
        <f t="shared" si="38"/>
        <v>0</v>
      </c>
      <c r="O65" s="371">
        <f t="shared" si="38"/>
        <v>0</v>
      </c>
      <c r="P65" s="371">
        <f t="shared" si="38"/>
        <v>0</v>
      </c>
      <c r="Q65" s="371">
        <f t="shared" si="38"/>
        <v>0</v>
      </c>
      <c r="R65" s="371">
        <f t="shared" si="38"/>
        <v>0</v>
      </c>
      <c r="S65" s="371">
        <f t="shared" si="38"/>
        <v>0</v>
      </c>
      <c r="T65" s="371">
        <f t="shared" si="38"/>
        <v>898.57309642448649</v>
      </c>
      <c r="U65" s="371">
        <f t="shared" si="38"/>
        <v>898.57309642448649</v>
      </c>
      <c r="V65" s="371">
        <f t="shared" si="38"/>
        <v>898.57309642448649</v>
      </c>
      <c r="W65" s="371">
        <f t="shared" si="38"/>
        <v>898.57309642448649</v>
      </c>
      <c r="X65" s="371">
        <f t="shared" si="38"/>
        <v>0</v>
      </c>
      <c r="Y65" s="371">
        <f t="shared" si="38"/>
        <v>0</v>
      </c>
      <c r="Z65" s="371">
        <f t="shared" si="38"/>
        <v>0</v>
      </c>
      <c r="AA65" s="371">
        <f t="shared" si="38"/>
        <v>0</v>
      </c>
      <c r="AB65" s="371">
        <f t="shared" si="38"/>
        <v>0</v>
      </c>
      <c r="AC65" s="371">
        <f t="shared" si="38"/>
        <v>0</v>
      </c>
      <c r="AE65" s="359"/>
      <c r="AF65" s="371">
        <f t="shared" si="39"/>
        <v>0</v>
      </c>
      <c r="AG65" s="371">
        <f t="shared" si="39"/>
        <v>0</v>
      </c>
      <c r="AH65" s="371">
        <f t="shared" si="39"/>
        <v>0</v>
      </c>
      <c r="AI65" s="371">
        <f t="shared" si="39"/>
        <v>0</v>
      </c>
      <c r="AJ65" s="371">
        <f t="shared" si="39"/>
        <v>0</v>
      </c>
      <c r="AK65" s="371">
        <f t="shared" si="39"/>
        <v>0</v>
      </c>
      <c r="AL65" s="371">
        <f t="shared" si="39"/>
        <v>0</v>
      </c>
      <c r="AM65" s="371">
        <f t="shared" si="39"/>
        <v>0</v>
      </c>
      <c r="AN65" s="371">
        <f t="shared" si="39"/>
        <v>0</v>
      </c>
      <c r="AO65" s="371">
        <f t="shared" si="39"/>
        <v>0</v>
      </c>
      <c r="AP65" s="371">
        <f t="shared" si="40"/>
        <v>0</v>
      </c>
      <c r="AQ65" s="371">
        <f t="shared" si="40"/>
        <v>0</v>
      </c>
      <c r="AR65" s="371">
        <f t="shared" si="40"/>
        <v>0</v>
      </c>
      <c r="AS65" s="371">
        <f t="shared" si="40"/>
        <v>0</v>
      </c>
      <c r="AT65" s="371">
        <f t="shared" si="40"/>
        <v>0</v>
      </c>
      <c r="AU65" s="371">
        <f t="shared" si="40"/>
        <v>0</v>
      </c>
      <c r="AV65" s="371">
        <f t="shared" si="40"/>
        <v>0</v>
      </c>
      <c r="AW65" s="371">
        <f t="shared" si="40"/>
        <v>0</v>
      </c>
      <c r="AX65" s="371">
        <f t="shared" si="40"/>
        <v>299.52436547482881</v>
      </c>
      <c r="AY65" s="371">
        <f t="shared" si="40"/>
        <v>299.52436547482881</v>
      </c>
      <c r="AZ65" s="371">
        <f t="shared" si="41"/>
        <v>299.52436547482881</v>
      </c>
      <c r="BA65" s="371">
        <f t="shared" si="41"/>
        <v>299.52436547482881</v>
      </c>
      <c r="BB65" s="371">
        <f t="shared" si="41"/>
        <v>299.52436547482881</v>
      </c>
      <c r="BC65" s="371">
        <f t="shared" si="41"/>
        <v>299.52436547482881</v>
      </c>
      <c r="BD65" s="371">
        <f t="shared" si="41"/>
        <v>299.52436547482881</v>
      </c>
      <c r="BE65" s="371">
        <f t="shared" si="41"/>
        <v>299.52436547482881</v>
      </c>
      <c r="BF65" s="371">
        <f t="shared" si="41"/>
        <v>299.52436547482881</v>
      </c>
      <c r="BG65" s="371">
        <f t="shared" si="41"/>
        <v>299.52436547482881</v>
      </c>
      <c r="BH65" s="371">
        <f t="shared" si="41"/>
        <v>299.52436547482881</v>
      </c>
      <c r="BI65" s="371">
        <f t="shared" si="41"/>
        <v>299.52436547482881</v>
      </c>
      <c r="BJ65" s="371">
        <f t="shared" si="42"/>
        <v>0</v>
      </c>
      <c r="BK65" s="371">
        <f t="shared" si="42"/>
        <v>0</v>
      </c>
      <c r="BL65" s="371">
        <f t="shared" si="42"/>
        <v>0</v>
      </c>
      <c r="BM65" s="371">
        <f t="shared" si="42"/>
        <v>0</v>
      </c>
      <c r="BN65" s="371">
        <f t="shared" si="42"/>
        <v>0</v>
      </c>
      <c r="BO65" s="371">
        <f t="shared" si="42"/>
        <v>0</v>
      </c>
      <c r="BP65" s="371">
        <f t="shared" si="42"/>
        <v>0</v>
      </c>
      <c r="BQ65" s="371">
        <f t="shared" si="42"/>
        <v>0</v>
      </c>
      <c r="BR65" s="371">
        <f t="shared" si="42"/>
        <v>0</v>
      </c>
      <c r="BS65" s="371">
        <f t="shared" si="42"/>
        <v>0</v>
      </c>
      <c r="BT65" s="371">
        <f t="shared" si="43"/>
        <v>0</v>
      </c>
      <c r="BU65" s="371">
        <f t="shared" si="43"/>
        <v>0</v>
      </c>
      <c r="BV65" s="371">
        <f t="shared" si="43"/>
        <v>0</v>
      </c>
      <c r="BW65" s="371">
        <f t="shared" si="43"/>
        <v>0</v>
      </c>
      <c r="BX65" s="371">
        <f t="shared" si="43"/>
        <v>0</v>
      </c>
      <c r="BY65" s="371">
        <f t="shared" si="43"/>
        <v>0</v>
      </c>
      <c r="BZ65" s="371">
        <f t="shared" si="43"/>
        <v>0</v>
      </c>
      <c r="CA65" s="371">
        <f t="shared" si="43"/>
        <v>0</v>
      </c>
    </row>
    <row r="66" spans="4:79" ht="21" hidden="1" customHeight="1" outlineLevel="2">
      <c r="D66" s="374">
        <f t="shared" si="37"/>
        <v>45535</v>
      </c>
      <c r="E66" s="373" cm="1">
        <f t="array" ref="E66">INDEX($AF$31:$CA$31,0,MATCH($D66,$AF$8:$CA$8,0))</f>
        <v>4204.7353095549242</v>
      </c>
      <c r="G66" s="359"/>
      <c r="H66" s="371">
        <f t="shared" si="30"/>
        <v>0</v>
      </c>
      <c r="I66" s="371">
        <f t="shared" si="30"/>
        <v>1751.9730456478851</v>
      </c>
      <c r="J66" s="371">
        <f t="shared" si="30"/>
        <v>2452.7622639070391</v>
      </c>
      <c r="K66" s="371">
        <f t="shared" si="30"/>
        <v>0</v>
      </c>
      <c r="L66" s="372"/>
      <c r="M66" s="359"/>
      <c r="N66" s="371">
        <f t="shared" si="38"/>
        <v>0</v>
      </c>
      <c r="O66" s="371">
        <f t="shared" si="38"/>
        <v>0</v>
      </c>
      <c r="P66" s="371">
        <f t="shared" si="38"/>
        <v>0</v>
      </c>
      <c r="Q66" s="371">
        <f t="shared" si="38"/>
        <v>0</v>
      </c>
      <c r="R66" s="371">
        <f t="shared" si="38"/>
        <v>0</v>
      </c>
      <c r="S66" s="371">
        <f t="shared" si="38"/>
        <v>0</v>
      </c>
      <c r="T66" s="371">
        <f t="shared" si="38"/>
        <v>700.78921825915404</v>
      </c>
      <c r="U66" s="371">
        <f t="shared" si="38"/>
        <v>1051.1838273887311</v>
      </c>
      <c r="V66" s="371">
        <f t="shared" si="38"/>
        <v>1051.1838273887311</v>
      </c>
      <c r="W66" s="371">
        <f t="shared" si="38"/>
        <v>1051.1838273887311</v>
      </c>
      <c r="X66" s="371">
        <f t="shared" si="38"/>
        <v>350.39460912957702</v>
      </c>
      <c r="Y66" s="371">
        <f t="shared" si="38"/>
        <v>0</v>
      </c>
      <c r="Z66" s="371">
        <f t="shared" si="38"/>
        <v>0</v>
      </c>
      <c r="AA66" s="371">
        <f t="shared" si="38"/>
        <v>0</v>
      </c>
      <c r="AB66" s="371">
        <f t="shared" si="38"/>
        <v>0</v>
      </c>
      <c r="AC66" s="371">
        <f t="shared" si="38"/>
        <v>0</v>
      </c>
      <c r="AE66" s="359"/>
      <c r="AF66" s="371">
        <f t="shared" si="39"/>
        <v>0</v>
      </c>
      <c r="AG66" s="371">
        <f t="shared" si="39"/>
        <v>0</v>
      </c>
      <c r="AH66" s="371">
        <f t="shared" si="39"/>
        <v>0</v>
      </c>
      <c r="AI66" s="371">
        <f t="shared" si="39"/>
        <v>0</v>
      </c>
      <c r="AJ66" s="371">
        <f t="shared" si="39"/>
        <v>0</v>
      </c>
      <c r="AK66" s="371">
        <f t="shared" si="39"/>
        <v>0</v>
      </c>
      <c r="AL66" s="371">
        <f t="shared" si="39"/>
        <v>0</v>
      </c>
      <c r="AM66" s="371">
        <f t="shared" si="39"/>
        <v>0</v>
      </c>
      <c r="AN66" s="371">
        <f t="shared" si="39"/>
        <v>0</v>
      </c>
      <c r="AO66" s="371">
        <f t="shared" si="39"/>
        <v>0</v>
      </c>
      <c r="AP66" s="371">
        <f t="shared" si="40"/>
        <v>0</v>
      </c>
      <c r="AQ66" s="371">
        <f t="shared" si="40"/>
        <v>0</v>
      </c>
      <c r="AR66" s="371">
        <f t="shared" si="40"/>
        <v>0</v>
      </c>
      <c r="AS66" s="371">
        <f t="shared" si="40"/>
        <v>0</v>
      </c>
      <c r="AT66" s="371">
        <f t="shared" si="40"/>
        <v>0</v>
      </c>
      <c r="AU66" s="371">
        <f t="shared" si="40"/>
        <v>0</v>
      </c>
      <c r="AV66" s="371">
        <f t="shared" si="40"/>
        <v>0</v>
      </c>
      <c r="AW66" s="371">
        <f t="shared" si="40"/>
        <v>0</v>
      </c>
      <c r="AX66" s="371">
        <f t="shared" si="40"/>
        <v>0</v>
      </c>
      <c r="AY66" s="371">
        <f t="shared" si="40"/>
        <v>350.39460912957702</v>
      </c>
      <c r="AZ66" s="371">
        <f t="shared" si="41"/>
        <v>350.39460912957702</v>
      </c>
      <c r="BA66" s="371">
        <f t="shared" si="41"/>
        <v>350.39460912957702</v>
      </c>
      <c r="BB66" s="371">
        <f t="shared" si="41"/>
        <v>350.39460912957702</v>
      </c>
      <c r="BC66" s="371">
        <f t="shared" si="41"/>
        <v>350.39460912957702</v>
      </c>
      <c r="BD66" s="371">
        <f t="shared" si="41"/>
        <v>350.39460912957702</v>
      </c>
      <c r="BE66" s="371">
        <f t="shared" si="41"/>
        <v>350.39460912957702</v>
      </c>
      <c r="BF66" s="371">
        <f t="shared" si="41"/>
        <v>350.39460912957702</v>
      </c>
      <c r="BG66" s="371">
        <f t="shared" si="41"/>
        <v>350.39460912957702</v>
      </c>
      <c r="BH66" s="371">
        <f t="shared" si="41"/>
        <v>350.39460912957702</v>
      </c>
      <c r="BI66" s="371">
        <f t="shared" si="41"/>
        <v>350.39460912957702</v>
      </c>
      <c r="BJ66" s="371">
        <f t="shared" si="42"/>
        <v>350.39460912957702</v>
      </c>
      <c r="BK66" s="371">
        <f t="shared" si="42"/>
        <v>0</v>
      </c>
      <c r="BL66" s="371">
        <f t="shared" si="42"/>
        <v>0</v>
      </c>
      <c r="BM66" s="371">
        <f t="shared" si="42"/>
        <v>0</v>
      </c>
      <c r="BN66" s="371">
        <f t="shared" si="42"/>
        <v>0</v>
      </c>
      <c r="BO66" s="371">
        <f t="shared" si="42"/>
        <v>0</v>
      </c>
      <c r="BP66" s="371">
        <f t="shared" si="42"/>
        <v>0</v>
      </c>
      <c r="BQ66" s="371">
        <f t="shared" si="42"/>
        <v>0</v>
      </c>
      <c r="BR66" s="371">
        <f t="shared" si="42"/>
        <v>0</v>
      </c>
      <c r="BS66" s="371">
        <f t="shared" si="42"/>
        <v>0</v>
      </c>
      <c r="BT66" s="371">
        <f t="shared" si="43"/>
        <v>0</v>
      </c>
      <c r="BU66" s="371">
        <f t="shared" si="43"/>
        <v>0</v>
      </c>
      <c r="BV66" s="371">
        <f t="shared" si="43"/>
        <v>0</v>
      </c>
      <c r="BW66" s="371">
        <f t="shared" si="43"/>
        <v>0</v>
      </c>
      <c r="BX66" s="371">
        <f t="shared" si="43"/>
        <v>0</v>
      </c>
      <c r="BY66" s="371">
        <f t="shared" si="43"/>
        <v>0</v>
      </c>
      <c r="BZ66" s="371">
        <f t="shared" si="43"/>
        <v>0</v>
      </c>
      <c r="CA66" s="371">
        <f t="shared" si="43"/>
        <v>0</v>
      </c>
    </row>
    <row r="67" spans="4:79" ht="21" hidden="1" customHeight="1" outlineLevel="2">
      <c r="D67" s="374">
        <f t="shared" si="37"/>
        <v>45565</v>
      </c>
      <c r="E67" s="373" cm="1">
        <f t="array" ref="E67">INDEX($AF$31:$CA$31,0,MATCH($D67,$AF$8:$CA$8,0))</f>
        <v>4706.4076626504739</v>
      </c>
      <c r="G67" s="359"/>
      <c r="H67" s="371">
        <f t="shared" ref="H67:K86" si="44">SUMIFS($AF67:$CA67,$AF$4:$CA$4,"&gt;="&amp;H$4,$AF$5:$CA$5,"&lt;="&amp;H$5)</f>
        <v>0</v>
      </c>
      <c r="I67" s="371">
        <f t="shared" si="44"/>
        <v>1568.8025542168245</v>
      </c>
      <c r="J67" s="371">
        <f t="shared" si="44"/>
        <v>3137.6051084336495</v>
      </c>
      <c r="K67" s="371">
        <f t="shared" si="44"/>
        <v>0</v>
      </c>
      <c r="L67" s="372"/>
      <c r="M67" s="359"/>
      <c r="N67" s="371">
        <f t="shared" ref="N67:AC76" si="45">SUMIFS($AF67:$CA67,$AF$4:$CA$4,"&gt;="&amp;N$4,$AF$5:$CA$5,"&lt;="&amp;N$5)</f>
        <v>0</v>
      </c>
      <c r="O67" s="371">
        <f t="shared" si="45"/>
        <v>0</v>
      </c>
      <c r="P67" s="371">
        <f t="shared" si="45"/>
        <v>0</v>
      </c>
      <c r="Q67" s="371">
        <f t="shared" si="45"/>
        <v>0</v>
      </c>
      <c r="R67" s="371">
        <f t="shared" si="45"/>
        <v>0</v>
      </c>
      <c r="S67" s="371">
        <f t="shared" si="45"/>
        <v>0</v>
      </c>
      <c r="T67" s="371">
        <f t="shared" si="45"/>
        <v>392.20063855420614</v>
      </c>
      <c r="U67" s="371">
        <f t="shared" si="45"/>
        <v>1176.6019156626185</v>
      </c>
      <c r="V67" s="371">
        <f t="shared" si="45"/>
        <v>1176.6019156626185</v>
      </c>
      <c r="W67" s="371">
        <f t="shared" si="45"/>
        <v>1176.6019156626185</v>
      </c>
      <c r="X67" s="371">
        <f t="shared" si="45"/>
        <v>784.40127710841227</v>
      </c>
      <c r="Y67" s="371">
        <f t="shared" si="45"/>
        <v>0</v>
      </c>
      <c r="Z67" s="371">
        <f t="shared" si="45"/>
        <v>0</v>
      </c>
      <c r="AA67" s="371">
        <f t="shared" si="45"/>
        <v>0</v>
      </c>
      <c r="AB67" s="371">
        <f t="shared" si="45"/>
        <v>0</v>
      </c>
      <c r="AC67" s="371">
        <f t="shared" si="45"/>
        <v>0</v>
      </c>
      <c r="AE67" s="359"/>
      <c r="AF67" s="371">
        <f t="shared" ref="AF67:AO76" si="46">IF(AND(AF$8&gt;=$D67,(MATCH(AF$8,$AF$8:$CA$8,0)-MATCH($D67,$AF$8:$CA$8,0))&lt;12),$E67/12,0)</f>
        <v>0</v>
      </c>
      <c r="AG67" s="371">
        <f t="shared" si="46"/>
        <v>0</v>
      </c>
      <c r="AH67" s="371">
        <f t="shared" si="46"/>
        <v>0</v>
      </c>
      <c r="AI67" s="371">
        <f t="shared" si="46"/>
        <v>0</v>
      </c>
      <c r="AJ67" s="371">
        <f t="shared" si="46"/>
        <v>0</v>
      </c>
      <c r="AK67" s="371">
        <f t="shared" si="46"/>
        <v>0</v>
      </c>
      <c r="AL67" s="371">
        <f t="shared" si="46"/>
        <v>0</v>
      </c>
      <c r="AM67" s="371">
        <f t="shared" si="46"/>
        <v>0</v>
      </c>
      <c r="AN67" s="371">
        <f t="shared" si="46"/>
        <v>0</v>
      </c>
      <c r="AO67" s="371">
        <f t="shared" si="46"/>
        <v>0</v>
      </c>
      <c r="AP67" s="371">
        <f t="shared" ref="AP67:AY76" si="47">IF(AND(AP$8&gt;=$D67,(MATCH(AP$8,$AF$8:$CA$8,0)-MATCH($D67,$AF$8:$CA$8,0))&lt;12),$E67/12,0)</f>
        <v>0</v>
      </c>
      <c r="AQ67" s="371">
        <f t="shared" si="47"/>
        <v>0</v>
      </c>
      <c r="AR67" s="371">
        <f t="shared" si="47"/>
        <v>0</v>
      </c>
      <c r="AS67" s="371">
        <f t="shared" si="47"/>
        <v>0</v>
      </c>
      <c r="AT67" s="371">
        <f t="shared" si="47"/>
        <v>0</v>
      </c>
      <c r="AU67" s="371">
        <f t="shared" si="47"/>
        <v>0</v>
      </c>
      <c r="AV67" s="371">
        <f t="shared" si="47"/>
        <v>0</v>
      </c>
      <c r="AW67" s="371">
        <f t="shared" si="47"/>
        <v>0</v>
      </c>
      <c r="AX67" s="371">
        <f t="shared" si="47"/>
        <v>0</v>
      </c>
      <c r="AY67" s="371">
        <f t="shared" si="47"/>
        <v>0</v>
      </c>
      <c r="AZ67" s="371">
        <f t="shared" ref="AZ67:BI76" si="48">IF(AND(AZ$8&gt;=$D67,(MATCH(AZ$8,$AF$8:$CA$8,0)-MATCH($D67,$AF$8:$CA$8,0))&lt;12),$E67/12,0)</f>
        <v>392.20063855420614</v>
      </c>
      <c r="BA67" s="371">
        <f t="shared" si="48"/>
        <v>392.20063855420614</v>
      </c>
      <c r="BB67" s="371">
        <f t="shared" si="48"/>
        <v>392.20063855420614</v>
      </c>
      <c r="BC67" s="371">
        <f t="shared" si="48"/>
        <v>392.20063855420614</v>
      </c>
      <c r="BD67" s="371">
        <f t="shared" si="48"/>
        <v>392.20063855420614</v>
      </c>
      <c r="BE67" s="371">
        <f t="shared" si="48"/>
        <v>392.20063855420614</v>
      </c>
      <c r="BF67" s="371">
        <f t="shared" si="48"/>
        <v>392.20063855420614</v>
      </c>
      <c r="BG67" s="371">
        <f t="shared" si="48"/>
        <v>392.20063855420614</v>
      </c>
      <c r="BH67" s="371">
        <f t="shared" si="48"/>
        <v>392.20063855420614</v>
      </c>
      <c r="BI67" s="371">
        <f t="shared" si="48"/>
        <v>392.20063855420614</v>
      </c>
      <c r="BJ67" s="371">
        <f t="shared" ref="BJ67:BS76" si="49">IF(AND(BJ$8&gt;=$D67,(MATCH(BJ$8,$AF$8:$CA$8,0)-MATCH($D67,$AF$8:$CA$8,0))&lt;12),$E67/12,0)</f>
        <v>392.20063855420614</v>
      </c>
      <c r="BK67" s="371">
        <f t="shared" si="49"/>
        <v>392.20063855420614</v>
      </c>
      <c r="BL67" s="371">
        <f t="shared" si="49"/>
        <v>0</v>
      </c>
      <c r="BM67" s="371">
        <f t="shared" si="49"/>
        <v>0</v>
      </c>
      <c r="BN67" s="371">
        <f t="shared" si="49"/>
        <v>0</v>
      </c>
      <c r="BO67" s="371">
        <f t="shared" si="49"/>
        <v>0</v>
      </c>
      <c r="BP67" s="371">
        <f t="shared" si="49"/>
        <v>0</v>
      </c>
      <c r="BQ67" s="371">
        <f t="shared" si="49"/>
        <v>0</v>
      </c>
      <c r="BR67" s="371">
        <f t="shared" si="49"/>
        <v>0</v>
      </c>
      <c r="BS67" s="371">
        <f t="shared" si="49"/>
        <v>0</v>
      </c>
      <c r="BT67" s="371">
        <f t="shared" ref="BT67:CA76" si="50">IF(AND(BT$8&gt;=$D67,(MATCH(BT$8,$AF$8:$CA$8,0)-MATCH($D67,$AF$8:$CA$8,0))&lt;12),$E67/12,0)</f>
        <v>0</v>
      </c>
      <c r="BU67" s="371">
        <f t="shared" si="50"/>
        <v>0</v>
      </c>
      <c r="BV67" s="371">
        <f t="shared" si="50"/>
        <v>0</v>
      </c>
      <c r="BW67" s="371">
        <f t="shared" si="50"/>
        <v>0</v>
      </c>
      <c r="BX67" s="371">
        <f t="shared" si="50"/>
        <v>0</v>
      </c>
      <c r="BY67" s="371">
        <f t="shared" si="50"/>
        <v>0</v>
      </c>
      <c r="BZ67" s="371">
        <f t="shared" si="50"/>
        <v>0</v>
      </c>
      <c r="CA67" s="371">
        <f t="shared" si="50"/>
        <v>0</v>
      </c>
    </row>
    <row r="68" spans="4:79" ht="21" hidden="1" customHeight="1" outlineLevel="2">
      <c r="D68" s="374">
        <f t="shared" si="37"/>
        <v>45596</v>
      </c>
      <c r="E68" s="373" cm="1">
        <f t="array" ref="E68">INDEX($AF$31:$CA$31,0,MATCH($D68,$AF$8:$CA$8,0))</f>
        <v>5164.471739276979</v>
      </c>
      <c r="G68" s="359"/>
      <c r="H68" s="371">
        <f t="shared" si="44"/>
        <v>0</v>
      </c>
      <c r="I68" s="371">
        <f t="shared" si="44"/>
        <v>1291.1179348192447</v>
      </c>
      <c r="J68" s="371">
        <f t="shared" si="44"/>
        <v>3873.353804457734</v>
      </c>
      <c r="K68" s="371">
        <f t="shared" si="44"/>
        <v>0</v>
      </c>
      <c r="L68" s="372"/>
      <c r="M68" s="359"/>
      <c r="N68" s="371">
        <f t="shared" si="45"/>
        <v>0</v>
      </c>
      <c r="O68" s="371">
        <f t="shared" si="45"/>
        <v>0</v>
      </c>
      <c r="P68" s="371">
        <f t="shared" si="45"/>
        <v>0</v>
      </c>
      <c r="Q68" s="371">
        <f t="shared" si="45"/>
        <v>0</v>
      </c>
      <c r="R68" s="371">
        <f t="shared" si="45"/>
        <v>0</v>
      </c>
      <c r="S68" s="371">
        <f t="shared" si="45"/>
        <v>0</v>
      </c>
      <c r="T68" s="371">
        <f t="shared" si="45"/>
        <v>0</v>
      </c>
      <c r="U68" s="371">
        <f t="shared" si="45"/>
        <v>1291.1179348192447</v>
      </c>
      <c r="V68" s="371">
        <f t="shared" si="45"/>
        <v>1291.1179348192447</v>
      </c>
      <c r="W68" s="371">
        <f t="shared" si="45"/>
        <v>1291.1179348192447</v>
      </c>
      <c r="X68" s="371">
        <f t="shared" si="45"/>
        <v>1291.1179348192447</v>
      </c>
      <c r="Y68" s="371">
        <f t="shared" si="45"/>
        <v>0</v>
      </c>
      <c r="Z68" s="371">
        <f t="shared" si="45"/>
        <v>0</v>
      </c>
      <c r="AA68" s="371">
        <f t="shared" si="45"/>
        <v>0</v>
      </c>
      <c r="AB68" s="371">
        <f t="shared" si="45"/>
        <v>0</v>
      </c>
      <c r="AC68" s="371">
        <f t="shared" si="45"/>
        <v>0</v>
      </c>
      <c r="AE68" s="359"/>
      <c r="AF68" s="371">
        <f t="shared" si="46"/>
        <v>0</v>
      </c>
      <c r="AG68" s="371">
        <f t="shared" si="46"/>
        <v>0</v>
      </c>
      <c r="AH68" s="371">
        <f t="shared" si="46"/>
        <v>0</v>
      </c>
      <c r="AI68" s="371">
        <f t="shared" si="46"/>
        <v>0</v>
      </c>
      <c r="AJ68" s="371">
        <f t="shared" si="46"/>
        <v>0</v>
      </c>
      <c r="AK68" s="371">
        <f t="shared" si="46"/>
        <v>0</v>
      </c>
      <c r="AL68" s="371">
        <f t="shared" si="46"/>
        <v>0</v>
      </c>
      <c r="AM68" s="371">
        <f t="shared" si="46"/>
        <v>0</v>
      </c>
      <c r="AN68" s="371">
        <f t="shared" si="46"/>
        <v>0</v>
      </c>
      <c r="AO68" s="371">
        <f t="shared" si="46"/>
        <v>0</v>
      </c>
      <c r="AP68" s="371">
        <f t="shared" si="47"/>
        <v>0</v>
      </c>
      <c r="AQ68" s="371">
        <f t="shared" si="47"/>
        <v>0</v>
      </c>
      <c r="AR68" s="371">
        <f t="shared" si="47"/>
        <v>0</v>
      </c>
      <c r="AS68" s="371">
        <f t="shared" si="47"/>
        <v>0</v>
      </c>
      <c r="AT68" s="371">
        <f t="shared" si="47"/>
        <v>0</v>
      </c>
      <c r="AU68" s="371">
        <f t="shared" si="47"/>
        <v>0</v>
      </c>
      <c r="AV68" s="371">
        <f t="shared" si="47"/>
        <v>0</v>
      </c>
      <c r="AW68" s="371">
        <f t="shared" si="47"/>
        <v>0</v>
      </c>
      <c r="AX68" s="371">
        <f t="shared" si="47"/>
        <v>0</v>
      </c>
      <c r="AY68" s="371">
        <f t="shared" si="47"/>
        <v>0</v>
      </c>
      <c r="AZ68" s="371">
        <f t="shared" si="48"/>
        <v>0</v>
      </c>
      <c r="BA68" s="371">
        <f t="shared" si="48"/>
        <v>430.37264493974823</v>
      </c>
      <c r="BB68" s="371">
        <f t="shared" si="48"/>
        <v>430.37264493974823</v>
      </c>
      <c r="BC68" s="371">
        <f t="shared" si="48"/>
        <v>430.37264493974823</v>
      </c>
      <c r="BD68" s="371">
        <f t="shared" si="48"/>
        <v>430.37264493974823</v>
      </c>
      <c r="BE68" s="371">
        <f t="shared" si="48"/>
        <v>430.37264493974823</v>
      </c>
      <c r="BF68" s="371">
        <f t="shared" si="48"/>
        <v>430.37264493974823</v>
      </c>
      <c r="BG68" s="371">
        <f t="shared" si="48"/>
        <v>430.37264493974823</v>
      </c>
      <c r="BH68" s="371">
        <f t="shared" si="48"/>
        <v>430.37264493974823</v>
      </c>
      <c r="BI68" s="371">
        <f t="shared" si="48"/>
        <v>430.37264493974823</v>
      </c>
      <c r="BJ68" s="371">
        <f t="shared" si="49"/>
        <v>430.37264493974823</v>
      </c>
      <c r="BK68" s="371">
        <f t="shared" si="49"/>
        <v>430.37264493974823</v>
      </c>
      <c r="BL68" s="371">
        <f t="shared" si="49"/>
        <v>430.37264493974823</v>
      </c>
      <c r="BM68" s="371">
        <f t="shared" si="49"/>
        <v>0</v>
      </c>
      <c r="BN68" s="371">
        <f t="shared" si="49"/>
        <v>0</v>
      </c>
      <c r="BO68" s="371">
        <f t="shared" si="49"/>
        <v>0</v>
      </c>
      <c r="BP68" s="371">
        <f t="shared" si="49"/>
        <v>0</v>
      </c>
      <c r="BQ68" s="371">
        <f t="shared" si="49"/>
        <v>0</v>
      </c>
      <c r="BR68" s="371">
        <f t="shared" si="49"/>
        <v>0</v>
      </c>
      <c r="BS68" s="371">
        <f t="shared" si="49"/>
        <v>0</v>
      </c>
      <c r="BT68" s="371">
        <f t="shared" si="50"/>
        <v>0</v>
      </c>
      <c r="BU68" s="371">
        <f t="shared" si="50"/>
        <v>0</v>
      </c>
      <c r="BV68" s="371">
        <f t="shared" si="50"/>
        <v>0</v>
      </c>
      <c r="BW68" s="371">
        <f t="shared" si="50"/>
        <v>0</v>
      </c>
      <c r="BX68" s="371">
        <f t="shared" si="50"/>
        <v>0</v>
      </c>
      <c r="BY68" s="371">
        <f t="shared" si="50"/>
        <v>0</v>
      </c>
      <c r="BZ68" s="371">
        <f t="shared" si="50"/>
        <v>0</v>
      </c>
      <c r="CA68" s="371">
        <f t="shared" si="50"/>
        <v>0</v>
      </c>
    </row>
    <row r="69" spans="4:79" ht="21" hidden="1" customHeight="1" outlineLevel="2">
      <c r="D69" s="374">
        <f t="shared" si="37"/>
        <v>45626</v>
      </c>
      <c r="E69" s="373" cm="1">
        <f t="array" ref="E69">INDEX($AF$31:$CA$31,0,MATCH($D69,$AF$8:$CA$8,0))</f>
        <v>5815.616456669748</v>
      </c>
      <c r="G69" s="359"/>
      <c r="H69" s="371">
        <f t="shared" si="44"/>
        <v>0</v>
      </c>
      <c r="I69" s="371">
        <f t="shared" si="44"/>
        <v>969.269409444958</v>
      </c>
      <c r="J69" s="371">
        <f t="shared" si="44"/>
        <v>4846.34704722479</v>
      </c>
      <c r="K69" s="371">
        <f t="shared" si="44"/>
        <v>0</v>
      </c>
      <c r="L69" s="372"/>
      <c r="M69" s="359"/>
      <c r="N69" s="371">
        <f t="shared" si="45"/>
        <v>0</v>
      </c>
      <c r="O69" s="371">
        <f t="shared" si="45"/>
        <v>0</v>
      </c>
      <c r="P69" s="371">
        <f t="shared" si="45"/>
        <v>0</v>
      </c>
      <c r="Q69" s="371">
        <f t="shared" si="45"/>
        <v>0</v>
      </c>
      <c r="R69" s="371">
        <f t="shared" si="45"/>
        <v>0</v>
      </c>
      <c r="S69" s="371">
        <f t="shared" si="45"/>
        <v>0</v>
      </c>
      <c r="T69" s="371">
        <f t="shared" si="45"/>
        <v>0</v>
      </c>
      <c r="U69" s="371">
        <f t="shared" si="45"/>
        <v>969.269409444958</v>
      </c>
      <c r="V69" s="371">
        <f t="shared" si="45"/>
        <v>1453.904114167437</v>
      </c>
      <c r="W69" s="371">
        <f t="shared" si="45"/>
        <v>1453.904114167437</v>
      </c>
      <c r="X69" s="371">
        <f t="shared" si="45"/>
        <v>1453.904114167437</v>
      </c>
      <c r="Y69" s="371">
        <f t="shared" si="45"/>
        <v>484.634704722479</v>
      </c>
      <c r="Z69" s="371">
        <f t="shared" si="45"/>
        <v>0</v>
      </c>
      <c r="AA69" s="371">
        <f t="shared" si="45"/>
        <v>0</v>
      </c>
      <c r="AB69" s="371">
        <f t="shared" si="45"/>
        <v>0</v>
      </c>
      <c r="AC69" s="371">
        <f t="shared" si="45"/>
        <v>0</v>
      </c>
      <c r="AE69" s="359"/>
      <c r="AF69" s="371">
        <f t="shared" si="46"/>
        <v>0</v>
      </c>
      <c r="AG69" s="371">
        <f t="shared" si="46"/>
        <v>0</v>
      </c>
      <c r="AH69" s="371">
        <f t="shared" si="46"/>
        <v>0</v>
      </c>
      <c r="AI69" s="371">
        <f t="shared" si="46"/>
        <v>0</v>
      </c>
      <c r="AJ69" s="371">
        <f t="shared" si="46"/>
        <v>0</v>
      </c>
      <c r="AK69" s="371">
        <f t="shared" si="46"/>
        <v>0</v>
      </c>
      <c r="AL69" s="371">
        <f t="shared" si="46"/>
        <v>0</v>
      </c>
      <c r="AM69" s="371">
        <f t="shared" si="46"/>
        <v>0</v>
      </c>
      <c r="AN69" s="371">
        <f t="shared" si="46"/>
        <v>0</v>
      </c>
      <c r="AO69" s="371">
        <f t="shared" si="46"/>
        <v>0</v>
      </c>
      <c r="AP69" s="371">
        <f t="shared" si="47"/>
        <v>0</v>
      </c>
      <c r="AQ69" s="371">
        <f t="shared" si="47"/>
        <v>0</v>
      </c>
      <c r="AR69" s="371">
        <f t="shared" si="47"/>
        <v>0</v>
      </c>
      <c r="AS69" s="371">
        <f t="shared" si="47"/>
        <v>0</v>
      </c>
      <c r="AT69" s="371">
        <f t="shared" si="47"/>
        <v>0</v>
      </c>
      <c r="AU69" s="371">
        <f t="shared" si="47"/>
        <v>0</v>
      </c>
      <c r="AV69" s="371">
        <f t="shared" si="47"/>
        <v>0</v>
      </c>
      <c r="AW69" s="371">
        <f t="shared" si="47"/>
        <v>0</v>
      </c>
      <c r="AX69" s="371">
        <f t="shared" si="47"/>
        <v>0</v>
      </c>
      <c r="AY69" s="371">
        <f t="shared" si="47"/>
        <v>0</v>
      </c>
      <c r="AZ69" s="371">
        <f t="shared" si="48"/>
        <v>0</v>
      </c>
      <c r="BA69" s="371">
        <f t="shared" si="48"/>
        <v>0</v>
      </c>
      <c r="BB69" s="371">
        <f t="shared" si="48"/>
        <v>484.634704722479</v>
      </c>
      <c r="BC69" s="371">
        <f t="shared" si="48"/>
        <v>484.634704722479</v>
      </c>
      <c r="BD69" s="371">
        <f t="shared" si="48"/>
        <v>484.634704722479</v>
      </c>
      <c r="BE69" s="371">
        <f t="shared" si="48"/>
        <v>484.634704722479</v>
      </c>
      <c r="BF69" s="371">
        <f t="shared" si="48"/>
        <v>484.634704722479</v>
      </c>
      <c r="BG69" s="371">
        <f t="shared" si="48"/>
        <v>484.634704722479</v>
      </c>
      <c r="BH69" s="371">
        <f t="shared" si="48"/>
        <v>484.634704722479</v>
      </c>
      <c r="BI69" s="371">
        <f t="shared" si="48"/>
        <v>484.634704722479</v>
      </c>
      <c r="BJ69" s="371">
        <f t="shared" si="49"/>
        <v>484.634704722479</v>
      </c>
      <c r="BK69" s="371">
        <f t="shared" si="49"/>
        <v>484.634704722479</v>
      </c>
      <c r="BL69" s="371">
        <f t="shared" si="49"/>
        <v>484.634704722479</v>
      </c>
      <c r="BM69" s="371">
        <f t="shared" si="49"/>
        <v>484.634704722479</v>
      </c>
      <c r="BN69" s="371">
        <f t="shared" si="49"/>
        <v>0</v>
      </c>
      <c r="BO69" s="371">
        <f t="shared" si="49"/>
        <v>0</v>
      </c>
      <c r="BP69" s="371">
        <f t="shared" si="49"/>
        <v>0</v>
      </c>
      <c r="BQ69" s="371">
        <f t="shared" si="49"/>
        <v>0</v>
      </c>
      <c r="BR69" s="371">
        <f t="shared" si="49"/>
        <v>0</v>
      </c>
      <c r="BS69" s="371">
        <f t="shared" si="49"/>
        <v>0</v>
      </c>
      <c r="BT69" s="371">
        <f t="shared" si="50"/>
        <v>0</v>
      </c>
      <c r="BU69" s="371">
        <f t="shared" si="50"/>
        <v>0</v>
      </c>
      <c r="BV69" s="371">
        <f t="shared" si="50"/>
        <v>0</v>
      </c>
      <c r="BW69" s="371">
        <f t="shared" si="50"/>
        <v>0</v>
      </c>
      <c r="BX69" s="371">
        <f t="shared" si="50"/>
        <v>0</v>
      </c>
      <c r="BY69" s="371">
        <f t="shared" si="50"/>
        <v>0</v>
      </c>
      <c r="BZ69" s="371">
        <f t="shared" si="50"/>
        <v>0</v>
      </c>
      <c r="CA69" s="371">
        <f t="shared" si="50"/>
        <v>0</v>
      </c>
    </row>
    <row r="70" spans="4:79" ht="21" hidden="1" customHeight="1" outlineLevel="2">
      <c r="D70" s="374">
        <f t="shared" si="37"/>
        <v>45657</v>
      </c>
      <c r="E70" s="373" cm="1">
        <f t="array" ref="E70">INDEX($AF$31:$CA$31,0,MATCH($D70,$AF$8:$CA$8,0))</f>
        <v>6383.3976212364469</v>
      </c>
      <c r="G70" s="359"/>
      <c r="H70" s="371">
        <f t="shared" si="44"/>
        <v>0</v>
      </c>
      <c r="I70" s="371">
        <f t="shared" si="44"/>
        <v>531.94980176970387</v>
      </c>
      <c r="J70" s="371">
        <f t="shared" si="44"/>
        <v>5851.4478194667436</v>
      </c>
      <c r="K70" s="371">
        <f t="shared" si="44"/>
        <v>0</v>
      </c>
      <c r="L70" s="372"/>
      <c r="M70" s="359"/>
      <c r="N70" s="371">
        <f t="shared" si="45"/>
        <v>0</v>
      </c>
      <c r="O70" s="371">
        <f t="shared" si="45"/>
        <v>0</v>
      </c>
      <c r="P70" s="371">
        <f t="shared" si="45"/>
        <v>0</v>
      </c>
      <c r="Q70" s="371">
        <f t="shared" si="45"/>
        <v>0</v>
      </c>
      <c r="R70" s="371">
        <f t="shared" si="45"/>
        <v>0</v>
      </c>
      <c r="S70" s="371">
        <f t="shared" si="45"/>
        <v>0</v>
      </c>
      <c r="T70" s="371">
        <f t="shared" si="45"/>
        <v>0</v>
      </c>
      <c r="U70" s="371">
        <f t="shared" si="45"/>
        <v>531.94980176970387</v>
      </c>
      <c r="V70" s="371">
        <f t="shared" si="45"/>
        <v>1595.8494053091117</v>
      </c>
      <c r="W70" s="371">
        <f t="shared" si="45"/>
        <v>1595.8494053091117</v>
      </c>
      <c r="X70" s="371">
        <f t="shared" si="45"/>
        <v>1595.8494053091117</v>
      </c>
      <c r="Y70" s="371">
        <f t="shared" si="45"/>
        <v>1063.8996035394077</v>
      </c>
      <c r="Z70" s="371">
        <f t="shared" si="45"/>
        <v>0</v>
      </c>
      <c r="AA70" s="371">
        <f t="shared" si="45"/>
        <v>0</v>
      </c>
      <c r="AB70" s="371">
        <f t="shared" si="45"/>
        <v>0</v>
      </c>
      <c r="AC70" s="371">
        <f t="shared" si="45"/>
        <v>0</v>
      </c>
      <c r="AE70" s="359"/>
      <c r="AF70" s="371">
        <f t="shared" si="46"/>
        <v>0</v>
      </c>
      <c r="AG70" s="371">
        <f t="shared" si="46"/>
        <v>0</v>
      </c>
      <c r="AH70" s="371">
        <f t="shared" si="46"/>
        <v>0</v>
      </c>
      <c r="AI70" s="371">
        <f t="shared" si="46"/>
        <v>0</v>
      </c>
      <c r="AJ70" s="371">
        <f t="shared" si="46"/>
        <v>0</v>
      </c>
      <c r="AK70" s="371">
        <f t="shared" si="46"/>
        <v>0</v>
      </c>
      <c r="AL70" s="371">
        <f t="shared" si="46"/>
        <v>0</v>
      </c>
      <c r="AM70" s="371">
        <f t="shared" si="46"/>
        <v>0</v>
      </c>
      <c r="AN70" s="371">
        <f t="shared" si="46"/>
        <v>0</v>
      </c>
      <c r="AO70" s="371">
        <f t="shared" si="46"/>
        <v>0</v>
      </c>
      <c r="AP70" s="371">
        <f t="shared" si="47"/>
        <v>0</v>
      </c>
      <c r="AQ70" s="371">
        <f t="shared" si="47"/>
        <v>0</v>
      </c>
      <c r="AR70" s="371">
        <f t="shared" si="47"/>
        <v>0</v>
      </c>
      <c r="AS70" s="371">
        <f t="shared" si="47"/>
        <v>0</v>
      </c>
      <c r="AT70" s="371">
        <f t="shared" si="47"/>
        <v>0</v>
      </c>
      <c r="AU70" s="371">
        <f t="shared" si="47"/>
        <v>0</v>
      </c>
      <c r="AV70" s="371">
        <f t="shared" si="47"/>
        <v>0</v>
      </c>
      <c r="AW70" s="371">
        <f t="shared" si="47"/>
        <v>0</v>
      </c>
      <c r="AX70" s="371">
        <f t="shared" si="47"/>
        <v>0</v>
      </c>
      <c r="AY70" s="371">
        <f t="shared" si="47"/>
        <v>0</v>
      </c>
      <c r="AZ70" s="371">
        <f t="shared" si="48"/>
        <v>0</v>
      </c>
      <c r="BA70" s="371">
        <f t="shared" si="48"/>
        <v>0</v>
      </c>
      <c r="BB70" s="371">
        <f t="shared" si="48"/>
        <v>0</v>
      </c>
      <c r="BC70" s="371">
        <f t="shared" si="48"/>
        <v>531.94980176970387</v>
      </c>
      <c r="BD70" s="371">
        <f t="shared" si="48"/>
        <v>531.94980176970387</v>
      </c>
      <c r="BE70" s="371">
        <f t="shared" si="48"/>
        <v>531.94980176970387</v>
      </c>
      <c r="BF70" s="371">
        <f t="shared" si="48"/>
        <v>531.94980176970387</v>
      </c>
      <c r="BG70" s="371">
        <f t="shared" si="48"/>
        <v>531.94980176970387</v>
      </c>
      <c r="BH70" s="371">
        <f t="shared" si="48"/>
        <v>531.94980176970387</v>
      </c>
      <c r="BI70" s="371">
        <f t="shared" si="48"/>
        <v>531.94980176970387</v>
      </c>
      <c r="BJ70" s="371">
        <f t="shared" si="49"/>
        <v>531.94980176970387</v>
      </c>
      <c r="BK70" s="371">
        <f t="shared" si="49"/>
        <v>531.94980176970387</v>
      </c>
      <c r="BL70" s="371">
        <f t="shared" si="49"/>
        <v>531.94980176970387</v>
      </c>
      <c r="BM70" s="371">
        <f t="shared" si="49"/>
        <v>531.94980176970387</v>
      </c>
      <c r="BN70" s="371">
        <f t="shared" si="49"/>
        <v>531.94980176970387</v>
      </c>
      <c r="BO70" s="371">
        <f t="shared" si="49"/>
        <v>0</v>
      </c>
      <c r="BP70" s="371">
        <f t="shared" si="49"/>
        <v>0</v>
      </c>
      <c r="BQ70" s="371">
        <f t="shared" si="49"/>
        <v>0</v>
      </c>
      <c r="BR70" s="371">
        <f t="shared" si="49"/>
        <v>0</v>
      </c>
      <c r="BS70" s="371">
        <f t="shared" si="49"/>
        <v>0</v>
      </c>
      <c r="BT70" s="371">
        <f t="shared" si="50"/>
        <v>0</v>
      </c>
      <c r="BU70" s="371">
        <f t="shared" si="50"/>
        <v>0</v>
      </c>
      <c r="BV70" s="371">
        <f t="shared" si="50"/>
        <v>0</v>
      </c>
      <c r="BW70" s="371">
        <f t="shared" si="50"/>
        <v>0</v>
      </c>
      <c r="BX70" s="371">
        <f t="shared" si="50"/>
        <v>0</v>
      </c>
      <c r="BY70" s="371">
        <f t="shared" si="50"/>
        <v>0</v>
      </c>
      <c r="BZ70" s="371">
        <f t="shared" si="50"/>
        <v>0</v>
      </c>
      <c r="CA70" s="371">
        <f t="shared" si="50"/>
        <v>0</v>
      </c>
    </row>
    <row r="71" spans="4:79" ht="21" hidden="1" customHeight="1" outlineLevel="2">
      <c r="D71" s="374">
        <f t="shared" si="37"/>
        <v>45688</v>
      </c>
      <c r="E71" s="373" cm="1">
        <f t="array" ref="E71">INDEX($AF$31:$CA$31,0,MATCH($D71,$AF$8:$CA$8,0))</f>
        <v>7068.731597448812</v>
      </c>
      <c r="G71" s="359"/>
      <c r="H71" s="371">
        <f t="shared" si="44"/>
        <v>0</v>
      </c>
      <c r="I71" s="371">
        <f t="shared" si="44"/>
        <v>0</v>
      </c>
      <c r="J71" s="371">
        <f t="shared" si="44"/>
        <v>7068.7315974488129</v>
      </c>
      <c r="K71" s="371">
        <f t="shared" si="44"/>
        <v>0</v>
      </c>
      <c r="L71" s="372"/>
      <c r="M71" s="359"/>
      <c r="N71" s="371">
        <f t="shared" si="45"/>
        <v>0</v>
      </c>
      <c r="O71" s="371">
        <f t="shared" si="45"/>
        <v>0</v>
      </c>
      <c r="P71" s="371">
        <f t="shared" si="45"/>
        <v>0</v>
      </c>
      <c r="Q71" s="371">
        <f t="shared" si="45"/>
        <v>0</v>
      </c>
      <c r="R71" s="371">
        <f t="shared" si="45"/>
        <v>0</v>
      </c>
      <c r="S71" s="371">
        <f t="shared" si="45"/>
        <v>0</v>
      </c>
      <c r="T71" s="371">
        <f t="shared" si="45"/>
        <v>0</v>
      </c>
      <c r="U71" s="371">
        <f t="shared" si="45"/>
        <v>0</v>
      </c>
      <c r="V71" s="371">
        <f t="shared" si="45"/>
        <v>1767.182899362203</v>
      </c>
      <c r="W71" s="371">
        <f t="shared" si="45"/>
        <v>1767.182899362203</v>
      </c>
      <c r="X71" s="371">
        <f t="shared" si="45"/>
        <v>1767.182899362203</v>
      </c>
      <c r="Y71" s="371">
        <f t="shared" si="45"/>
        <v>1767.182899362203</v>
      </c>
      <c r="Z71" s="371">
        <f t="shared" si="45"/>
        <v>0</v>
      </c>
      <c r="AA71" s="371">
        <f t="shared" si="45"/>
        <v>0</v>
      </c>
      <c r="AB71" s="371">
        <f t="shared" si="45"/>
        <v>0</v>
      </c>
      <c r="AC71" s="371">
        <f t="shared" si="45"/>
        <v>0</v>
      </c>
      <c r="AE71" s="359"/>
      <c r="AF71" s="371">
        <f t="shared" si="46"/>
        <v>0</v>
      </c>
      <c r="AG71" s="371">
        <f t="shared" si="46"/>
        <v>0</v>
      </c>
      <c r="AH71" s="371">
        <f t="shared" si="46"/>
        <v>0</v>
      </c>
      <c r="AI71" s="371">
        <f t="shared" si="46"/>
        <v>0</v>
      </c>
      <c r="AJ71" s="371">
        <f t="shared" si="46"/>
        <v>0</v>
      </c>
      <c r="AK71" s="371">
        <f t="shared" si="46"/>
        <v>0</v>
      </c>
      <c r="AL71" s="371">
        <f t="shared" si="46"/>
        <v>0</v>
      </c>
      <c r="AM71" s="371">
        <f t="shared" si="46"/>
        <v>0</v>
      </c>
      <c r="AN71" s="371">
        <f t="shared" si="46"/>
        <v>0</v>
      </c>
      <c r="AO71" s="371">
        <f t="shared" si="46"/>
        <v>0</v>
      </c>
      <c r="AP71" s="371">
        <f t="shared" si="47"/>
        <v>0</v>
      </c>
      <c r="AQ71" s="371">
        <f t="shared" si="47"/>
        <v>0</v>
      </c>
      <c r="AR71" s="371">
        <f t="shared" si="47"/>
        <v>0</v>
      </c>
      <c r="AS71" s="371">
        <f t="shared" si="47"/>
        <v>0</v>
      </c>
      <c r="AT71" s="371">
        <f t="shared" si="47"/>
        <v>0</v>
      </c>
      <c r="AU71" s="371">
        <f t="shared" si="47"/>
        <v>0</v>
      </c>
      <c r="AV71" s="371">
        <f t="shared" si="47"/>
        <v>0</v>
      </c>
      <c r="AW71" s="371">
        <f t="shared" si="47"/>
        <v>0</v>
      </c>
      <c r="AX71" s="371">
        <f t="shared" si="47"/>
        <v>0</v>
      </c>
      <c r="AY71" s="371">
        <f t="shared" si="47"/>
        <v>0</v>
      </c>
      <c r="AZ71" s="371">
        <f t="shared" si="48"/>
        <v>0</v>
      </c>
      <c r="BA71" s="371">
        <f t="shared" si="48"/>
        <v>0</v>
      </c>
      <c r="BB71" s="371">
        <f t="shared" si="48"/>
        <v>0</v>
      </c>
      <c r="BC71" s="371">
        <f t="shared" si="48"/>
        <v>0</v>
      </c>
      <c r="BD71" s="371">
        <f t="shared" si="48"/>
        <v>589.06096645406762</v>
      </c>
      <c r="BE71" s="371">
        <f t="shared" si="48"/>
        <v>589.06096645406762</v>
      </c>
      <c r="BF71" s="371">
        <f t="shared" si="48"/>
        <v>589.06096645406762</v>
      </c>
      <c r="BG71" s="371">
        <f t="shared" si="48"/>
        <v>589.06096645406762</v>
      </c>
      <c r="BH71" s="371">
        <f t="shared" si="48"/>
        <v>589.06096645406762</v>
      </c>
      <c r="BI71" s="371">
        <f t="shared" si="48"/>
        <v>589.06096645406762</v>
      </c>
      <c r="BJ71" s="371">
        <f t="shared" si="49"/>
        <v>589.06096645406762</v>
      </c>
      <c r="BK71" s="371">
        <f t="shared" si="49"/>
        <v>589.06096645406762</v>
      </c>
      <c r="BL71" s="371">
        <f t="shared" si="49"/>
        <v>589.06096645406762</v>
      </c>
      <c r="BM71" s="371">
        <f t="shared" si="49"/>
        <v>589.06096645406762</v>
      </c>
      <c r="BN71" s="371">
        <f t="shared" si="49"/>
        <v>589.06096645406762</v>
      </c>
      <c r="BO71" s="371">
        <f t="shared" si="49"/>
        <v>589.06096645406762</v>
      </c>
      <c r="BP71" s="371">
        <f t="shared" si="49"/>
        <v>0</v>
      </c>
      <c r="BQ71" s="371">
        <f t="shared" si="49"/>
        <v>0</v>
      </c>
      <c r="BR71" s="371">
        <f t="shared" si="49"/>
        <v>0</v>
      </c>
      <c r="BS71" s="371">
        <f t="shared" si="49"/>
        <v>0</v>
      </c>
      <c r="BT71" s="371">
        <f t="shared" si="50"/>
        <v>0</v>
      </c>
      <c r="BU71" s="371">
        <f t="shared" si="50"/>
        <v>0</v>
      </c>
      <c r="BV71" s="371">
        <f t="shared" si="50"/>
        <v>0</v>
      </c>
      <c r="BW71" s="371">
        <f t="shared" si="50"/>
        <v>0</v>
      </c>
      <c r="BX71" s="371">
        <f t="shared" si="50"/>
        <v>0</v>
      </c>
      <c r="BY71" s="371">
        <f t="shared" si="50"/>
        <v>0</v>
      </c>
      <c r="BZ71" s="371">
        <f t="shared" si="50"/>
        <v>0</v>
      </c>
      <c r="CA71" s="371">
        <f t="shared" si="50"/>
        <v>0</v>
      </c>
    </row>
    <row r="72" spans="4:79" ht="21" hidden="1" customHeight="1" outlineLevel="2">
      <c r="D72" s="374">
        <f t="shared" si="37"/>
        <v>45716</v>
      </c>
      <c r="E72" s="373" cm="1">
        <f t="array" ref="E72">INDEX($AF$31:$CA$31,0,MATCH($D72,$AF$8:$CA$8,0))</f>
        <v>8022.4189134232984</v>
      </c>
      <c r="G72" s="359"/>
      <c r="H72" s="371">
        <f t="shared" si="44"/>
        <v>0</v>
      </c>
      <c r="I72" s="371">
        <f t="shared" si="44"/>
        <v>0</v>
      </c>
      <c r="J72" s="371">
        <f t="shared" si="44"/>
        <v>7353.8840039713568</v>
      </c>
      <c r="K72" s="371">
        <f t="shared" si="44"/>
        <v>668.53490945194153</v>
      </c>
      <c r="L72" s="372"/>
      <c r="M72" s="359"/>
      <c r="N72" s="371">
        <f t="shared" si="45"/>
        <v>0</v>
      </c>
      <c r="O72" s="371">
        <f t="shared" si="45"/>
        <v>0</v>
      </c>
      <c r="P72" s="371">
        <f t="shared" si="45"/>
        <v>0</v>
      </c>
      <c r="Q72" s="371">
        <f t="shared" si="45"/>
        <v>0</v>
      </c>
      <c r="R72" s="371">
        <f t="shared" si="45"/>
        <v>0</v>
      </c>
      <c r="S72" s="371">
        <f t="shared" si="45"/>
        <v>0</v>
      </c>
      <c r="T72" s="371">
        <f t="shared" si="45"/>
        <v>0</v>
      </c>
      <c r="U72" s="371">
        <f t="shared" si="45"/>
        <v>0</v>
      </c>
      <c r="V72" s="371">
        <f t="shared" si="45"/>
        <v>1337.0698189038831</v>
      </c>
      <c r="W72" s="371">
        <f t="shared" si="45"/>
        <v>2005.6047283558246</v>
      </c>
      <c r="X72" s="371">
        <f t="shared" si="45"/>
        <v>2005.6047283558246</v>
      </c>
      <c r="Y72" s="371">
        <f t="shared" si="45"/>
        <v>2005.6047283558246</v>
      </c>
      <c r="Z72" s="371">
        <f t="shared" si="45"/>
        <v>668.53490945194153</v>
      </c>
      <c r="AA72" s="371">
        <f t="shared" si="45"/>
        <v>0</v>
      </c>
      <c r="AB72" s="371">
        <f t="shared" si="45"/>
        <v>0</v>
      </c>
      <c r="AC72" s="371">
        <f t="shared" si="45"/>
        <v>0</v>
      </c>
      <c r="AE72" s="359"/>
      <c r="AF72" s="371">
        <f t="shared" si="46"/>
        <v>0</v>
      </c>
      <c r="AG72" s="371">
        <f t="shared" si="46"/>
        <v>0</v>
      </c>
      <c r="AH72" s="371">
        <f t="shared" si="46"/>
        <v>0</v>
      </c>
      <c r="AI72" s="371">
        <f t="shared" si="46"/>
        <v>0</v>
      </c>
      <c r="AJ72" s="371">
        <f t="shared" si="46"/>
        <v>0</v>
      </c>
      <c r="AK72" s="371">
        <f t="shared" si="46"/>
        <v>0</v>
      </c>
      <c r="AL72" s="371">
        <f t="shared" si="46"/>
        <v>0</v>
      </c>
      <c r="AM72" s="371">
        <f t="shared" si="46"/>
        <v>0</v>
      </c>
      <c r="AN72" s="371">
        <f t="shared" si="46"/>
        <v>0</v>
      </c>
      <c r="AO72" s="371">
        <f t="shared" si="46"/>
        <v>0</v>
      </c>
      <c r="AP72" s="371">
        <f t="shared" si="47"/>
        <v>0</v>
      </c>
      <c r="AQ72" s="371">
        <f t="shared" si="47"/>
        <v>0</v>
      </c>
      <c r="AR72" s="371">
        <f t="shared" si="47"/>
        <v>0</v>
      </c>
      <c r="AS72" s="371">
        <f t="shared" si="47"/>
        <v>0</v>
      </c>
      <c r="AT72" s="371">
        <f t="shared" si="47"/>
        <v>0</v>
      </c>
      <c r="AU72" s="371">
        <f t="shared" si="47"/>
        <v>0</v>
      </c>
      <c r="AV72" s="371">
        <f t="shared" si="47"/>
        <v>0</v>
      </c>
      <c r="AW72" s="371">
        <f t="shared" si="47"/>
        <v>0</v>
      </c>
      <c r="AX72" s="371">
        <f t="shared" si="47"/>
        <v>0</v>
      </c>
      <c r="AY72" s="371">
        <f t="shared" si="47"/>
        <v>0</v>
      </c>
      <c r="AZ72" s="371">
        <f t="shared" si="48"/>
        <v>0</v>
      </c>
      <c r="BA72" s="371">
        <f t="shared" si="48"/>
        <v>0</v>
      </c>
      <c r="BB72" s="371">
        <f t="shared" si="48"/>
        <v>0</v>
      </c>
      <c r="BC72" s="371">
        <f t="shared" si="48"/>
        <v>0</v>
      </c>
      <c r="BD72" s="371">
        <f t="shared" si="48"/>
        <v>0</v>
      </c>
      <c r="BE72" s="371">
        <f t="shared" si="48"/>
        <v>668.53490945194153</v>
      </c>
      <c r="BF72" s="371">
        <f t="shared" si="48"/>
        <v>668.53490945194153</v>
      </c>
      <c r="BG72" s="371">
        <f t="shared" si="48"/>
        <v>668.53490945194153</v>
      </c>
      <c r="BH72" s="371">
        <f t="shared" si="48"/>
        <v>668.53490945194153</v>
      </c>
      <c r="BI72" s="371">
        <f t="shared" si="48"/>
        <v>668.53490945194153</v>
      </c>
      <c r="BJ72" s="371">
        <f t="shared" si="49"/>
        <v>668.53490945194153</v>
      </c>
      <c r="BK72" s="371">
        <f t="shared" si="49"/>
        <v>668.53490945194153</v>
      </c>
      <c r="BL72" s="371">
        <f t="shared" si="49"/>
        <v>668.53490945194153</v>
      </c>
      <c r="BM72" s="371">
        <f t="shared" si="49"/>
        <v>668.53490945194153</v>
      </c>
      <c r="BN72" s="371">
        <f t="shared" si="49"/>
        <v>668.53490945194153</v>
      </c>
      <c r="BO72" s="371">
        <f t="shared" si="49"/>
        <v>668.53490945194153</v>
      </c>
      <c r="BP72" s="371">
        <f t="shared" si="49"/>
        <v>668.53490945194153</v>
      </c>
      <c r="BQ72" s="371">
        <f t="shared" si="49"/>
        <v>0</v>
      </c>
      <c r="BR72" s="371">
        <f t="shared" si="49"/>
        <v>0</v>
      </c>
      <c r="BS72" s="371">
        <f t="shared" si="49"/>
        <v>0</v>
      </c>
      <c r="BT72" s="371">
        <f t="shared" si="50"/>
        <v>0</v>
      </c>
      <c r="BU72" s="371">
        <f t="shared" si="50"/>
        <v>0</v>
      </c>
      <c r="BV72" s="371">
        <f t="shared" si="50"/>
        <v>0</v>
      </c>
      <c r="BW72" s="371">
        <f t="shared" si="50"/>
        <v>0</v>
      </c>
      <c r="BX72" s="371">
        <f t="shared" si="50"/>
        <v>0</v>
      </c>
      <c r="BY72" s="371">
        <f t="shared" si="50"/>
        <v>0</v>
      </c>
      <c r="BZ72" s="371">
        <f t="shared" si="50"/>
        <v>0</v>
      </c>
      <c r="CA72" s="371">
        <f t="shared" si="50"/>
        <v>0</v>
      </c>
    </row>
    <row r="73" spans="4:79" ht="21" hidden="1" customHeight="1" outlineLevel="2">
      <c r="D73" s="374">
        <f t="shared" si="37"/>
        <v>45747</v>
      </c>
      <c r="E73" s="373" cm="1">
        <f t="array" ref="E73">INDEX($AF$31:$CA$31,0,MATCH($D73,$AF$8:$CA$8,0))</f>
        <v>8800.1681025575308</v>
      </c>
      <c r="G73" s="359"/>
      <c r="H73" s="371">
        <f t="shared" si="44"/>
        <v>0</v>
      </c>
      <c r="I73" s="371">
        <f t="shared" si="44"/>
        <v>0</v>
      </c>
      <c r="J73" s="371">
        <f t="shared" si="44"/>
        <v>7333.4734187979411</v>
      </c>
      <c r="K73" s="371">
        <f t="shared" si="44"/>
        <v>1466.6946837595885</v>
      </c>
      <c r="L73" s="372"/>
      <c r="M73" s="359"/>
      <c r="N73" s="371">
        <f t="shared" si="45"/>
        <v>0</v>
      </c>
      <c r="O73" s="371">
        <f t="shared" si="45"/>
        <v>0</v>
      </c>
      <c r="P73" s="371">
        <f t="shared" si="45"/>
        <v>0</v>
      </c>
      <c r="Q73" s="371">
        <f t="shared" si="45"/>
        <v>0</v>
      </c>
      <c r="R73" s="371">
        <f t="shared" si="45"/>
        <v>0</v>
      </c>
      <c r="S73" s="371">
        <f t="shared" si="45"/>
        <v>0</v>
      </c>
      <c r="T73" s="371">
        <f t="shared" si="45"/>
        <v>0</v>
      </c>
      <c r="U73" s="371">
        <f t="shared" si="45"/>
        <v>0</v>
      </c>
      <c r="V73" s="371">
        <f t="shared" si="45"/>
        <v>733.34734187979427</v>
      </c>
      <c r="W73" s="371">
        <f t="shared" si="45"/>
        <v>2200.0420256393827</v>
      </c>
      <c r="X73" s="371">
        <f t="shared" si="45"/>
        <v>2200.0420256393827</v>
      </c>
      <c r="Y73" s="371">
        <f t="shared" si="45"/>
        <v>2200.0420256393827</v>
      </c>
      <c r="Z73" s="371">
        <f t="shared" si="45"/>
        <v>1466.6946837595885</v>
      </c>
      <c r="AA73" s="371">
        <f t="shared" si="45"/>
        <v>0</v>
      </c>
      <c r="AB73" s="371">
        <f t="shared" si="45"/>
        <v>0</v>
      </c>
      <c r="AC73" s="371">
        <f t="shared" si="45"/>
        <v>0</v>
      </c>
      <c r="AE73" s="359"/>
      <c r="AF73" s="371">
        <f t="shared" si="46"/>
        <v>0</v>
      </c>
      <c r="AG73" s="371">
        <f t="shared" si="46"/>
        <v>0</v>
      </c>
      <c r="AH73" s="371">
        <f t="shared" si="46"/>
        <v>0</v>
      </c>
      <c r="AI73" s="371">
        <f t="shared" si="46"/>
        <v>0</v>
      </c>
      <c r="AJ73" s="371">
        <f t="shared" si="46"/>
        <v>0</v>
      </c>
      <c r="AK73" s="371">
        <f t="shared" si="46"/>
        <v>0</v>
      </c>
      <c r="AL73" s="371">
        <f t="shared" si="46"/>
        <v>0</v>
      </c>
      <c r="AM73" s="371">
        <f t="shared" si="46"/>
        <v>0</v>
      </c>
      <c r="AN73" s="371">
        <f t="shared" si="46"/>
        <v>0</v>
      </c>
      <c r="AO73" s="371">
        <f t="shared" si="46"/>
        <v>0</v>
      </c>
      <c r="AP73" s="371">
        <f t="shared" si="47"/>
        <v>0</v>
      </c>
      <c r="AQ73" s="371">
        <f t="shared" si="47"/>
        <v>0</v>
      </c>
      <c r="AR73" s="371">
        <f t="shared" si="47"/>
        <v>0</v>
      </c>
      <c r="AS73" s="371">
        <f t="shared" si="47"/>
        <v>0</v>
      </c>
      <c r="AT73" s="371">
        <f t="shared" si="47"/>
        <v>0</v>
      </c>
      <c r="AU73" s="371">
        <f t="shared" si="47"/>
        <v>0</v>
      </c>
      <c r="AV73" s="371">
        <f t="shared" si="47"/>
        <v>0</v>
      </c>
      <c r="AW73" s="371">
        <f t="shared" si="47"/>
        <v>0</v>
      </c>
      <c r="AX73" s="371">
        <f t="shared" si="47"/>
        <v>0</v>
      </c>
      <c r="AY73" s="371">
        <f t="shared" si="47"/>
        <v>0</v>
      </c>
      <c r="AZ73" s="371">
        <f t="shared" si="48"/>
        <v>0</v>
      </c>
      <c r="BA73" s="371">
        <f t="shared" si="48"/>
        <v>0</v>
      </c>
      <c r="BB73" s="371">
        <f t="shared" si="48"/>
        <v>0</v>
      </c>
      <c r="BC73" s="371">
        <f t="shared" si="48"/>
        <v>0</v>
      </c>
      <c r="BD73" s="371">
        <f t="shared" si="48"/>
        <v>0</v>
      </c>
      <c r="BE73" s="371">
        <f t="shared" si="48"/>
        <v>0</v>
      </c>
      <c r="BF73" s="371">
        <f t="shared" si="48"/>
        <v>733.34734187979427</v>
      </c>
      <c r="BG73" s="371">
        <f t="shared" si="48"/>
        <v>733.34734187979427</v>
      </c>
      <c r="BH73" s="371">
        <f t="shared" si="48"/>
        <v>733.34734187979427</v>
      </c>
      <c r="BI73" s="371">
        <f t="shared" si="48"/>
        <v>733.34734187979427</v>
      </c>
      <c r="BJ73" s="371">
        <f t="shared" si="49"/>
        <v>733.34734187979427</v>
      </c>
      <c r="BK73" s="371">
        <f t="shared" si="49"/>
        <v>733.34734187979427</v>
      </c>
      <c r="BL73" s="371">
        <f t="shared" si="49"/>
        <v>733.34734187979427</v>
      </c>
      <c r="BM73" s="371">
        <f t="shared" si="49"/>
        <v>733.34734187979427</v>
      </c>
      <c r="BN73" s="371">
        <f t="shared" si="49"/>
        <v>733.34734187979427</v>
      </c>
      <c r="BO73" s="371">
        <f t="shared" si="49"/>
        <v>733.34734187979427</v>
      </c>
      <c r="BP73" s="371">
        <f t="shared" si="49"/>
        <v>733.34734187979427</v>
      </c>
      <c r="BQ73" s="371">
        <f t="shared" si="49"/>
        <v>733.34734187979427</v>
      </c>
      <c r="BR73" s="371">
        <f t="shared" si="49"/>
        <v>0</v>
      </c>
      <c r="BS73" s="371">
        <f t="shared" si="49"/>
        <v>0</v>
      </c>
      <c r="BT73" s="371">
        <f t="shared" si="50"/>
        <v>0</v>
      </c>
      <c r="BU73" s="371">
        <f t="shared" si="50"/>
        <v>0</v>
      </c>
      <c r="BV73" s="371">
        <f t="shared" si="50"/>
        <v>0</v>
      </c>
      <c r="BW73" s="371">
        <f t="shared" si="50"/>
        <v>0</v>
      </c>
      <c r="BX73" s="371">
        <f t="shared" si="50"/>
        <v>0</v>
      </c>
      <c r="BY73" s="371">
        <f t="shared" si="50"/>
        <v>0</v>
      </c>
      <c r="BZ73" s="371">
        <f t="shared" si="50"/>
        <v>0</v>
      </c>
      <c r="CA73" s="371">
        <f t="shared" si="50"/>
        <v>0</v>
      </c>
    </row>
    <row r="74" spans="4:79" ht="21" hidden="1" customHeight="1" outlineLevel="2">
      <c r="D74" s="374">
        <f t="shared" si="37"/>
        <v>45777</v>
      </c>
      <c r="E74" s="373" cm="1">
        <f t="array" ref="E74">INDEX($AF$31:$CA$31,0,MATCH($D74,$AF$8:$CA$8,0))</f>
        <v>9475.3197835831088</v>
      </c>
      <c r="G74" s="359"/>
      <c r="H74" s="371">
        <f t="shared" si="44"/>
        <v>0</v>
      </c>
      <c r="I74" s="371">
        <f t="shared" si="44"/>
        <v>0</v>
      </c>
      <c r="J74" s="371">
        <f t="shared" si="44"/>
        <v>7106.4898376873316</v>
      </c>
      <c r="K74" s="371">
        <f t="shared" si="44"/>
        <v>2368.8299458957772</v>
      </c>
      <c r="L74" s="372"/>
      <c r="M74" s="359"/>
      <c r="N74" s="371">
        <f t="shared" si="45"/>
        <v>0</v>
      </c>
      <c r="O74" s="371">
        <f t="shared" si="45"/>
        <v>0</v>
      </c>
      <c r="P74" s="371">
        <f t="shared" si="45"/>
        <v>0</v>
      </c>
      <c r="Q74" s="371">
        <f t="shared" si="45"/>
        <v>0</v>
      </c>
      <c r="R74" s="371">
        <f t="shared" si="45"/>
        <v>0</v>
      </c>
      <c r="S74" s="371">
        <f t="shared" si="45"/>
        <v>0</v>
      </c>
      <c r="T74" s="371">
        <f t="shared" si="45"/>
        <v>0</v>
      </c>
      <c r="U74" s="371">
        <f t="shared" si="45"/>
        <v>0</v>
      </c>
      <c r="V74" s="371">
        <f t="shared" si="45"/>
        <v>0</v>
      </c>
      <c r="W74" s="371">
        <f t="shared" si="45"/>
        <v>2368.8299458957772</v>
      </c>
      <c r="X74" s="371">
        <f t="shared" si="45"/>
        <v>2368.8299458957772</v>
      </c>
      <c r="Y74" s="371">
        <f t="shared" si="45"/>
        <v>2368.8299458957772</v>
      </c>
      <c r="Z74" s="371">
        <f t="shared" si="45"/>
        <v>2368.8299458957772</v>
      </c>
      <c r="AA74" s="371">
        <f t="shared" si="45"/>
        <v>0</v>
      </c>
      <c r="AB74" s="371">
        <f t="shared" si="45"/>
        <v>0</v>
      </c>
      <c r="AC74" s="371">
        <f t="shared" si="45"/>
        <v>0</v>
      </c>
      <c r="AE74" s="359"/>
      <c r="AF74" s="371">
        <f t="shared" si="46"/>
        <v>0</v>
      </c>
      <c r="AG74" s="371">
        <f t="shared" si="46"/>
        <v>0</v>
      </c>
      <c r="AH74" s="371">
        <f t="shared" si="46"/>
        <v>0</v>
      </c>
      <c r="AI74" s="371">
        <f t="shared" si="46"/>
        <v>0</v>
      </c>
      <c r="AJ74" s="371">
        <f t="shared" si="46"/>
        <v>0</v>
      </c>
      <c r="AK74" s="371">
        <f t="shared" si="46"/>
        <v>0</v>
      </c>
      <c r="AL74" s="371">
        <f t="shared" si="46"/>
        <v>0</v>
      </c>
      <c r="AM74" s="371">
        <f t="shared" si="46"/>
        <v>0</v>
      </c>
      <c r="AN74" s="371">
        <f t="shared" si="46"/>
        <v>0</v>
      </c>
      <c r="AO74" s="371">
        <f t="shared" si="46"/>
        <v>0</v>
      </c>
      <c r="AP74" s="371">
        <f t="shared" si="47"/>
        <v>0</v>
      </c>
      <c r="AQ74" s="371">
        <f t="shared" si="47"/>
        <v>0</v>
      </c>
      <c r="AR74" s="371">
        <f t="shared" si="47"/>
        <v>0</v>
      </c>
      <c r="AS74" s="371">
        <f t="shared" si="47"/>
        <v>0</v>
      </c>
      <c r="AT74" s="371">
        <f t="shared" si="47"/>
        <v>0</v>
      </c>
      <c r="AU74" s="371">
        <f t="shared" si="47"/>
        <v>0</v>
      </c>
      <c r="AV74" s="371">
        <f t="shared" si="47"/>
        <v>0</v>
      </c>
      <c r="AW74" s="371">
        <f t="shared" si="47"/>
        <v>0</v>
      </c>
      <c r="AX74" s="371">
        <f t="shared" si="47"/>
        <v>0</v>
      </c>
      <c r="AY74" s="371">
        <f t="shared" si="47"/>
        <v>0</v>
      </c>
      <c r="AZ74" s="371">
        <f t="shared" si="48"/>
        <v>0</v>
      </c>
      <c r="BA74" s="371">
        <f t="shared" si="48"/>
        <v>0</v>
      </c>
      <c r="BB74" s="371">
        <f t="shared" si="48"/>
        <v>0</v>
      </c>
      <c r="BC74" s="371">
        <f t="shared" si="48"/>
        <v>0</v>
      </c>
      <c r="BD74" s="371">
        <f t="shared" si="48"/>
        <v>0</v>
      </c>
      <c r="BE74" s="371">
        <f t="shared" si="48"/>
        <v>0</v>
      </c>
      <c r="BF74" s="371">
        <f t="shared" si="48"/>
        <v>0</v>
      </c>
      <c r="BG74" s="371">
        <f t="shared" si="48"/>
        <v>789.60998196525907</v>
      </c>
      <c r="BH74" s="371">
        <f t="shared" si="48"/>
        <v>789.60998196525907</v>
      </c>
      <c r="BI74" s="371">
        <f t="shared" si="48"/>
        <v>789.60998196525907</v>
      </c>
      <c r="BJ74" s="371">
        <f t="shared" si="49"/>
        <v>789.60998196525907</v>
      </c>
      <c r="BK74" s="371">
        <f t="shared" si="49"/>
        <v>789.60998196525907</v>
      </c>
      <c r="BL74" s="371">
        <f t="shared" si="49"/>
        <v>789.60998196525907</v>
      </c>
      <c r="BM74" s="371">
        <f t="shared" si="49"/>
        <v>789.60998196525907</v>
      </c>
      <c r="BN74" s="371">
        <f t="shared" si="49"/>
        <v>789.60998196525907</v>
      </c>
      <c r="BO74" s="371">
        <f t="shared" si="49"/>
        <v>789.60998196525907</v>
      </c>
      <c r="BP74" s="371">
        <f t="shared" si="49"/>
        <v>789.60998196525907</v>
      </c>
      <c r="BQ74" s="371">
        <f t="shared" si="49"/>
        <v>789.60998196525907</v>
      </c>
      <c r="BR74" s="371">
        <f t="shared" si="49"/>
        <v>789.60998196525907</v>
      </c>
      <c r="BS74" s="371">
        <f t="shared" si="49"/>
        <v>0</v>
      </c>
      <c r="BT74" s="371">
        <f t="shared" si="50"/>
        <v>0</v>
      </c>
      <c r="BU74" s="371">
        <f t="shared" si="50"/>
        <v>0</v>
      </c>
      <c r="BV74" s="371">
        <f t="shared" si="50"/>
        <v>0</v>
      </c>
      <c r="BW74" s="371">
        <f t="shared" si="50"/>
        <v>0</v>
      </c>
      <c r="BX74" s="371">
        <f t="shared" si="50"/>
        <v>0</v>
      </c>
      <c r="BY74" s="371">
        <f t="shared" si="50"/>
        <v>0</v>
      </c>
      <c r="BZ74" s="371">
        <f t="shared" si="50"/>
        <v>0</v>
      </c>
      <c r="CA74" s="371">
        <f t="shared" si="50"/>
        <v>0</v>
      </c>
    </row>
    <row r="75" spans="4:79" ht="21" hidden="1" customHeight="1" outlineLevel="2">
      <c r="D75" s="374">
        <f t="shared" si="37"/>
        <v>45808</v>
      </c>
      <c r="E75" s="373" cm="1">
        <f t="array" ref="E75">INDEX($AF$31:$CA$31,0,MATCH($D75,$AF$8:$CA$8,0))</f>
        <v>10400.097981418941</v>
      </c>
      <c r="G75" s="359"/>
      <c r="H75" s="371">
        <f t="shared" si="44"/>
        <v>0</v>
      </c>
      <c r="I75" s="371">
        <f t="shared" si="44"/>
        <v>0</v>
      </c>
      <c r="J75" s="371">
        <f t="shared" si="44"/>
        <v>6933.3986542792936</v>
      </c>
      <c r="K75" s="371">
        <f t="shared" si="44"/>
        <v>3466.6993271396473</v>
      </c>
      <c r="L75" s="372"/>
      <c r="M75" s="359"/>
      <c r="N75" s="371">
        <f t="shared" si="45"/>
        <v>0</v>
      </c>
      <c r="O75" s="371">
        <f t="shared" si="45"/>
        <v>0</v>
      </c>
      <c r="P75" s="371">
        <f t="shared" si="45"/>
        <v>0</v>
      </c>
      <c r="Q75" s="371">
        <f t="shared" si="45"/>
        <v>0</v>
      </c>
      <c r="R75" s="371">
        <f t="shared" si="45"/>
        <v>0</v>
      </c>
      <c r="S75" s="371">
        <f t="shared" si="45"/>
        <v>0</v>
      </c>
      <c r="T75" s="371">
        <f t="shared" si="45"/>
        <v>0</v>
      </c>
      <c r="U75" s="371">
        <f t="shared" si="45"/>
        <v>0</v>
      </c>
      <c r="V75" s="371">
        <f t="shared" si="45"/>
        <v>0</v>
      </c>
      <c r="W75" s="371">
        <f t="shared" si="45"/>
        <v>1733.3496635698236</v>
      </c>
      <c r="X75" s="371">
        <f t="shared" si="45"/>
        <v>2600.0244953547353</v>
      </c>
      <c r="Y75" s="371">
        <f t="shared" si="45"/>
        <v>2600.0244953547353</v>
      </c>
      <c r="Z75" s="371">
        <f t="shared" si="45"/>
        <v>2600.0244953547353</v>
      </c>
      <c r="AA75" s="371">
        <f t="shared" si="45"/>
        <v>866.67483178491182</v>
      </c>
      <c r="AB75" s="371">
        <f t="shared" si="45"/>
        <v>0</v>
      </c>
      <c r="AC75" s="371">
        <f t="shared" si="45"/>
        <v>0</v>
      </c>
      <c r="AE75" s="359"/>
      <c r="AF75" s="371">
        <f t="shared" si="46"/>
        <v>0</v>
      </c>
      <c r="AG75" s="371">
        <f t="shared" si="46"/>
        <v>0</v>
      </c>
      <c r="AH75" s="371">
        <f t="shared" si="46"/>
        <v>0</v>
      </c>
      <c r="AI75" s="371">
        <f t="shared" si="46"/>
        <v>0</v>
      </c>
      <c r="AJ75" s="371">
        <f t="shared" si="46"/>
        <v>0</v>
      </c>
      <c r="AK75" s="371">
        <f t="shared" si="46"/>
        <v>0</v>
      </c>
      <c r="AL75" s="371">
        <f t="shared" si="46"/>
        <v>0</v>
      </c>
      <c r="AM75" s="371">
        <f t="shared" si="46"/>
        <v>0</v>
      </c>
      <c r="AN75" s="371">
        <f t="shared" si="46"/>
        <v>0</v>
      </c>
      <c r="AO75" s="371">
        <f t="shared" si="46"/>
        <v>0</v>
      </c>
      <c r="AP75" s="371">
        <f t="shared" si="47"/>
        <v>0</v>
      </c>
      <c r="AQ75" s="371">
        <f t="shared" si="47"/>
        <v>0</v>
      </c>
      <c r="AR75" s="371">
        <f t="shared" si="47"/>
        <v>0</v>
      </c>
      <c r="AS75" s="371">
        <f t="shared" si="47"/>
        <v>0</v>
      </c>
      <c r="AT75" s="371">
        <f t="shared" si="47"/>
        <v>0</v>
      </c>
      <c r="AU75" s="371">
        <f t="shared" si="47"/>
        <v>0</v>
      </c>
      <c r="AV75" s="371">
        <f t="shared" si="47"/>
        <v>0</v>
      </c>
      <c r="AW75" s="371">
        <f t="shared" si="47"/>
        <v>0</v>
      </c>
      <c r="AX75" s="371">
        <f t="shared" si="47"/>
        <v>0</v>
      </c>
      <c r="AY75" s="371">
        <f t="shared" si="47"/>
        <v>0</v>
      </c>
      <c r="AZ75" s="371">
        <f t="shared" si="48"/>
        <v>0</v>
      </c>
      <c r="BA75" s="371">
        <f t="shared" si="48"/>
        <v>0</v>
      </c>
      <c r="BB75" s="371">
        <f t="shared" si="48"/>
        <v>0</v>
      </c>
      <c r="BC75" s="371">
        <f t="shared" si="48"/>
        <v>0</v>
      </c>
      <c r="BD75" s="371">
        <f t="shared" si="48"/>
        <v>0</v>
      </c>
      <c r="BE75" s="371">
        <f t="shared" si="48"/>
        <v>0</v>
      </c>
      <c r="BF75" s="371">
        <f t="shared" si="48"/>
        <v>0</v>
      </c>
      <c r="BG75" s="371">
        <f t="shared" si="48"/>
        <v>0</v>
      </c>
      <c r="BH75" s="371">
        <f t="shared" si="48"/>
        <v>866.67483178491182</v>
      </c>
      <c r="BI75" s="371">
        <f t="shared" si="48"/>
        <v>866.67483178491182</v>
      </c>
      <c r="BJ75" s="371">
        <f t="shared" si="49"/>
        <v>866.67483178491182</v>
      </c>
      <c r="BK75" s="371">
        <f t="shared" si="49"/>
        <v>866.67483178491182</v>
      </c>
      <c r="BL75" s="371">
        <f t="shared" si="49"/>
        <v>866.67483178491182</v>
      </c>
      <c r="BM75" s="371">
        <f t="shared" si="49"/>
        <v>866.67483178491182</v>
      </c>
      <c r="BN75" s="371">
        <f t="shared" si="49"/>
        <v>866.67483178491182</v>
      </c>
      <c r="BO75" s="371">
        <f t="shared" si="49"/>
        <v>866.67483178491182</v>
      </c>
      <c r="BP75" s="371">
        <f t="shared" si="49"/>
        <v>866.67483178491182</v>
      </c>
      <c r="BQ75" s="371">
        <f t="shared" si="49"/>
        <v>866.67483178491182</v>
      </c>
      <c r="BR75" s="371">
        <f t="shared" si="49"/>
        <v>866.67483178491182</v>
      </c>
      <c r="BS75" s="371">
        <f t="shared" si="49"/>
        <v>866.67483178491182</v>
      </c>
      <c r="BT75" s="371">
        <f t="shared" si="50"/>
        <v>0</v>
      </c>
      <c r="BU75" s="371">
        <f t="shared" si="50"/>
        <v>0</v>
      </c>
      <c r="BV75" s="371">
        <f t="shared" si="50"/>
        <v>0</v>
      </c>
      <c r="BW75" s="371">
        <f t="shared" si="50"/>
        <v>0</v>
      </c>
      <c r="BX75" s="371">
        <f t="shared" si="50"/>
        <v>0</v>
      </c>
      <c r="BY75" s="371">
        <f t="shared" si="50"/>
        <v>0</v>
      </c>
      <c r="BZ75" s="371">
        <f t="shared" si="50"/>
        <v>0</v>
      </c>
      <c r="CA75" s="371">
        <f t="shared" si="50"/>
        <v>0</v>
      </c>
    </row>
    <row r="76" spans="4:79" ht="21" hidden="1" customHeight="1" outlineLevel="2">
      <c r="D76" s="374">
        <f t="shared" si="37"/>
        <v>45838</v>
      </c>
      <c r="E76" s="373" cm="1">
        <f t="array" ref="E76">INDEX($AF$31:$CA$31,0,MATCH($D76,$AF$8:$CA$8,0))</f>
        <v>11129.998961233128</v>
      </c>
      <c r="G76" s="359"/>
      <c r="H76" s="371">
        <f t="shared" si="44"/>
        <v>0</v>
      </c>
      <c r="I76" s="371">
        <f t="shared" si="44"/>
        <v>0</v>
      </c>
      <c r="J76" s="371">
        <f t="shared" si="44"/>
        <v>6492.4993940526583</v>
      </c>
      <c r="K76" s="371">
        <f t="shared" si="44"/>
        <v>4637.49956718047</v>
      </c>
      <c r="L76" s="372"/>
      <c r="M76" s="359"/>
      <c r="N76" s="371">
        <f t="shared" si="45"/>
        <v>0</v>
      </c>
      <c r="O76" s="371">
        <f t="shared" si="45"/>
        <v>0</v>
      </c>
      <c r="P76" s="371">
        <f t="shared" si="45"/>
        <v>0</v>
      </c>
      <c r="Q76" s="371">
        <f t="shared" si="45"/>
        <v>0</v>
      </c>
      <c r="R76" s="371">
        <f t="shared" si="45"/>
        <v>0</v>
      </c>
      <c r="S76" s="371">
        <f t="shared" si="45"/>
        <v>0</v>
      </c>
      <c r="T76" s="371">
        <f t="shared" si="45"/>
        <v>0</v>
      </c>
      <c r="U76" s="371">
        <f t="shared" si="45"/>
        <v>0</v>
      </c>
      <c r="V76" s="371">
        <f t="shared" si="45"/>
        <v>0</v>
      </c>
      <c r="W76" s="371">
        <f t="shared" si="45"/>
        <v>927.49991343609406</v>
      </c>
      <c r="X76" s="371">
        <f t="shared" si="45"/>
        <v>2782.4997403082821</v>
      </c>
      <c r="Y76" s="371">
        <f t="shared" si="45"/>
        <v>2782.4997403082821</v>
      </c>
      <c r="Z76" s="371">
        <f t="shared" si="45"/>
        <v>2782.4997403082821</v>
      </c>
      <c r="AA76" s="371">
        <f t="shared" si="45"/>
        <v>1854.9998268721881</v>
      </c>
      <c r="AB76" s="371">
        <f t="shared" si="45"/>
        <v>0</v>
      </c>
      <c r="AC76" s="371">
        <f t="shared" si="45"/>
        <v>0</v>
      </c>
      <c r="AE76" s="359"/>
      <c r="AF76" s="371">
        <f t="shared" si="46"/>
        <v>0</v>
      </c>
      <c r="AG76" s="371">
        <f t="shared" si="46"/>
        <v>0</v>
      </c>
      <c r="AH76" s="371">
        <f t="shared" si="46"/>
        <v>0</v>
      </c>
      <c r="AI76" s="371">
        <f t="shared" si="46"/>
        <v>0</v>
      </c>
      <c r="AJ76" s="371">
        <f t="shared" si="46"/>
        <v>0</v>
      </c>
      <c r="AK76" s="371">
        <f t="shared" si="46"/>
        <v>0</v>
      </c>
      <c r="AL76" s="371">
        <f t="shared" si="46"/>
        <v>0</v>
      </c>
      <c r="AM76" s="371">
        <f t="shared" si="46"/>
        <v>0</v>
      </c>
      <c r="AN76" s="371">
        <f t="shared" si="46"/>
        <v>0</v>
      </c>
      <c r="AO76" s="371">
        <f t="shared" si="46"/>
        <v>0</v>
      </c>
      <c r="AP76" s="371">
        <f t="shared" si="47"/>
        <v>0</v>
      </c>
      <c r="AQ76" s="371">
        <f t="shared" si="47"/>
        <v>0</v>
      </c>
      <c r="AR76" s="371">
        <f t="shared" si="47"/>
        <v>0</v>
      </c>
      <c r="AS76" s="371">
        <f t="shared" si="47"/>
        <v>0</v>
      </c>
      <c r="AT76" s="371">
        <f t="shared" si="47"/>
        <v>0</v>
      </c>
      <c r="AU76" s="371">
        <f t="shared" si="47"/>
        <v>0</v>
      </c>
      <c r="AV76" s="371">
        <f t="shared" si="47"/>
        <v>0</v>
      </c>
      <c r="AW76" s="371">
        <f t="shared" si="47"/>
        <v>0</v>
      </c>
      <c r="AX76" s="371">
        <f t="shared" si="47"/>
        <v>0</v>
      </c>
      <c r="AY76" s="371">
        <f t="shared" si="47"/>
        <v>0</v>
      </c>
      <c r="AZ76" s="371">
        <f t="shared" si="48"/>
        <v>0</v>
      </c>
      <c r="BA76" s="371">
        <f t="shared" si="48"/>
        <v>0</v>
      </c>
      <c r="BB76" s="371">
        <f t="shared" si="48"/>
        <v>0</v>
      </c>
      <c r="BC76" s="371">
        <f t="shared" si="48"/>
        <v>0</v>
      </c>
      <c r="BD76" s="371">
        <f t="shared" si="48"/>
        <v>0</v>
      </c>
      <c r="BE76" s="371">
        <f t="shared" si="48"/>
        <v>0</v>
      </c>
      <c r="BF76" s="371">
        <f t="shared" si="48"/>
        <v>0</v>
      </c>
      <c r="BG76" s="371">
        <f t="shared" si="48"/>
        <v>0</v>
      </c>
      <c r="BH76" s="371">
        <f t="shared" si="48"/>
        <v>0</v>
      </c>
      <c r="BI76" s="371">
        <f t="shared" si="48"/>
        <v>927.49991343609406</v>
      </c>
      <c r="BJ76" s="371">
        <f t="shared" si="49"/>
        <v>927.49991343609406</v>
      </c>
      <c r="BK76" s="371">
        <f t="shared" si="49"/>
        <v>927.49991343609406</v>
      </c>
      <c r="BL76" s="371">
        <f t="shared" si="49"/>
        <v>927.49991343609406</v>
      </c>
      <c r="BM76" s="371">
        <f t="shared" si="49"/>
        <v>927.49991343609406</v>
      </c>
      <c r="BN76" s="371">
        <f t="shared" si="49"/>
        <v>927.49991343609406</v>
      </c>
      <c r="BO76" s="371">
        <f t="shared" si="49"/>
        <v>927.49991343609406</v>
      </c>
      <c r="BP76" s="371">
        <f t="shared" si="49"/>
        <v>927.49991343609406</v>
      </c>
      <c r="BQ76" s="371">
        <f t="shared" si="49"/>
        <v>927.49991343609406</v>
      </c>
      <c r="BR76" s="371">
        <f t="shared" si="49"/>
        <v>927.49991343609406</v>
      </c>
      <c r="BS76" s="371">
        <f t="shared" si="49"/>
        <v>927.49991343609406</v>
      </c>
      <c r="BT76" s="371">
        <f t="shared" si="50"/>
        <v>927.49991343609406</v>
      </c>
      <c r="BU76" s="371">
        <f t="shared" si="50"/>
        <v>0</v>
      </c>
      <c r="BV76" s="371">
        <f t="shared" si="50"/>
        <v>0</v>
      </c>
      <c r="BW76" s="371">
        <f t="shared" si="50"/>
        <v>0</v>
      </c>
      <c r="BX76" s="371">
        <f t="shared" si="50"/>
        <v>0</v>
      </c>
      <c r="BY76" s="371">
        <f t="shared" si="50"/>
        <v>0</v>
      </c>
      <c r="BZ76" s="371">
        <f t="shared" si="50"/>
        <v>0</v>
      </c>
      <c r="CA76" s="371">
        <f t="shared" si="50"/>
        <v>0</v>
      </c>
    </row>
    <row r="77" spans="4:79" ht="21" hidden="1" customHeight="1" outlineLevel="2">
      <c r="D77" s="374">
        <f t="shared" si="37"/>
        <v>45869</v>
      </c>
      <c r="E77" s="373" cm="1">
        <f t="array" ref="E77">INDEX($AF$31:$CA$31,0,MATCH($D77,$AF$8:$CA$8,0))</f>
        <v>12054.59895084546</v>
      </c>
      <c r="G77" s="359"/>
      <c r="H77" s="371">
        <f t="shared" si="44"/>
        <v>0</v>
      </c>
      <c r="I77" s="371">
        <f t="shared" si="44"/>
        <v>0</v>
      </c>
      <c r="J77" s="371">
        <f t="shared" si="44"/>
        <v>6027.2994754227311</v>
      </c>
      <c r="K77" s="371">
        <f t="shared" si="44"/>
        <v>6027.2994754227311</v>
      </c>
      <c r="L77" s="372"/>
      <c r="M77" s="359"/>
      <c r="N77" s="371">
        <f t="shared" ref="N77:AC86" si="51">SUMIFS($AF77:$CA77,$AF$4:$CA$4,"&gt;="&amp;N$4,$AF$5:$CA$5,"&lt;="&amp;N$5)</f>
        <v>0</v>
      </c>
      <c r="O77" s="371">
        <f t="shared" si="51"/>
        <v>0</v>
      </c>
      <c r="P77" s="371">
        <f t="shared" si="51"/>
        <v>0</v>
      </c>
      <c r="Q77" s="371">
        <f t="shared" si="51"/>
        <v>0</v>
      </c>
      <c r="R77" s="371">
        <f t="shared" si="51"/>
        <v>0</v>
      </c>
      <c r="S77" s="371">
        <f t="shared" si="51"/>
        <v>0</v>
      </c>
      <c r="T77" s="371">
        <f t="shared" si="51"/>
        <v>0</v>
      </c>
      <c r="U77" s="371">
        <f t="shared" si="51"/>
        <v>0</v>
      </c>
      <c r="V77" s="371">
        <f t="shared" si="51"/>
        <v>0</v>
      </c>
      <c r="W77" s="371">
        <f t="shared" si="51"/>
        <v>0</v>
      </c>
      <c r="X77" s="371">
        <f t="shared" si="51"/>
        <v>3013.6497377113651</v>
      </c>
      <c r="Y77" s="371">
        <f t="shared" si="51"/>
        <v>3013.6497377113651</v>
      </c>
      <c r="Z77" s="371">
        <f t="shared" si="51"/>
        <v>3013.6497377113651</v>
      </c>
      <c r="AA77" s="371">
        <f t="shared" si="51"/>
        <v>3013.6497377113651</v>
      </c>
      <c r="AB77" s="371">
        <f t="shared" si="51"/>
        <v>0</v>
      </c>
      <c r="AC77" s="371">
        <f t="shared" si="51"/>
        <v>0</v>
      </c>
      <c r="AE77" s="359"/>
      <c r="AF77" s="371">
        <f t="shared" ref="AF77:AO86" si="52">IF(AND(AF$8&gt;=$D77,(MATCH(AF$8,$AF$8:$CA$8,0)-MATCH($D77,$AF$8:$CA$8,0))&lt;12),$E77/12,0)</f>
        <v>0</v>
      </c>
      <c r="AG77" s="371">
        <f t="shared" si="52"/>
        <v>0</v>
      </c>
      <c r="AH77" s="371">
        <f t="shared" si="52"/>
        <v>0</v>
      </c>
      <c r="AI77" s="371">
        <f t="shared" si="52"/>
        <v>0</v>
      </c>
      <c r="AJ77" s="371">
        <f t="shared" si="52"/>
        <v>0</v>
      </c>
      <c r="AK77" s="371">
        <f t="shared" si="52"/>
        <v>0</v>
      </c>
      <c r="AL77" s="371">
        <f t="shared" si="52"/>
        <v>0</v>
      </c>
      <c r="AM77" s="371">
        <f t="shared" si="52"/>
        <v>0</v>
      </c>
      <c r="AN77" s="371">
        <f t="shared" si="52"/>
        <v>0</v>
      </c>
      <c r="AO77" s="371">
        <f t="shared" si="52"/>
        <v>0</v>
      </c>
      <c r="AP77" s="371">
        <f t="shared" ref="AP77:AY86" si="53">IF(AND(AP$8&gt;=$D77,(MATCH(AP$8,$AF$8:$CA$8,0)-MATCH($D77,$AF$8:$CA$8,0))&lt;12),$E77/12,0)</f>
        <v>0</v>
      </c>
      <c r="AQ77" s="371">
        <f t="shared" si="53"/>
        <v>0</v>
      </c>
      <c r="AR77" s="371">
        <f t="shared" si="53"/>
        <v>0</v>
      </c>
      <c r="AS77" s="371">
        <f t="shared" si="53"/>
        <v>0</v>
      </c>
      <c r="AT77" s="371">
        <f t="shared" si="53"/>
        <v>0</v>
      </c>
      <c r="AU77" s="371">
        <f t="shared" si="53"/>
        <v>0</v>
      </c>
      <c r="AV77" s="371">
        <f t="shared" si="53"/>
        <v>0</v>
      </c>
      <c r="AW77" s="371">
        <f t="shared" si="53"/>
        <v>0</v>
      </c>
      <c r="AX77" s="371">
        <f t="shared" si="53"/>
        <v>0</v>
      </c>
      <c r="AY77" s="371">
        <f t="shared" si="53"/>
        <v>0</v>
      </c>
      <c r="AZ77" s="371">
        <f t="shared" ref="AZ77:BI86" si="54">IF(AND(AZ$8&gt;=$D77,(MATCH(AZ$8,$AF$8:$CA$8,0)-MATCH($D77,$AF$8:$CA$8,0))&lt;12),$E77/12,0)</f>
        <v>0</v>
      </c>
      <c r="BA77" s="371">
        <f t="shared" si="54"/>
        <v>0</v>
      </c>
      <c r="BB77" s="371">
        <f t="shared" si="54"/>
        <v>0</v>
      </c>
      <c r="BC77" s="371">
        <f t="shared" si="54"/>
        <v>0</v>
      </c>
      <c r="BD77" s="371">
        <f t="shared" si="54"/>
        <v>0</v>
      </c>
      <c r="BE77" s="371">
        <f t="shared" si="54"/>
        <v>0</v>
      </c>
      <c r="BF77" s="371">
        <f t="shared" si="54"/>
        <v>0</v>
      </c>
      <c r="BG77" s="371">
        <f t="shared" si="54"/>
        <v>0</v>
      </c>
      <c r="BH77" s="371">
        <f t="shared" si="54"/>
        <v>0</v>
      </c>
      <c r="BI77" s="371">
        <f t="shared" si="54"/>
        <v>0</v>
      </c>
      <c r="BJ77" s="371">
        <f t="shared" ref="BJ77:BS86" si="55">IF(AND(BJ$8&gt;=$D77,(MATCH(BJ$8,$AF$8:$CA$8,0)-MATCH($D77,$AF$8:$CA$8,0))&lt;12),$E77/12,0)</f>
        <v>1004.549912570455</v>
      </c>
      <c r="BK77" s="371">
        <f t="shared" si="55"/>
        <v>1004.549912570455</v>
      </c>
      <c r="BL77" s="371">
        <f t="shared" si="55"/>
        <v>1004.549912570455</v>
      </c>
      <c r="BM77" s="371">
        <f t="shared" si="55"/>
        <v>1004.549912570455</v>
      </c>
      <c r="BN77" s="371">
        <f t="shared" si="55"/>
        <v>1004.549912570455</v>
      </c>
      <c r="BO77" s="371">
        <f t="shared" si="55"/>
        <v>1004.549912570455</v>
      </c>
      <c r="BP77" s="371">
        <f t="shared" si="55"/>
        <v>1004.549912570455</v>
      </c>
      <c r="BQ77" s="371">
        <f t="shared" si="55"/>
        <v>1004.549912570455</v>
      </c>
      <c r="BR77" s="371">
        <f t="shared" si="55"/>
        <v>1004.549912570455</v>
      </c>
      <c r="BS77" s="371">
        <f t="shared" si="55"/>
        <v>1004.549912570455</v>
      </c>
      <c r="BT77" s="371">
        <f t="shared" ref="BT77:CA86" si="56">IF(AND(BT$8&gt;=$D77,(MATCH(BT$8,$AF$8:$CA$8,0)-MATCH($D77,$AF$8:$CA$8,0))&lt;12),$E77/12,0)</f>
        <v>1004.549912570455</v>
      </c>
      <c r="BU77" s="371">
        <f t="shared" si="56"/>
        <v>1004.549912570455</v>
      </c>
      <c r="BV77" s="371">
        <f t="shared" si="56"/>
        <v>0</v>
      </c>
      <c r="BW77" s="371">
        <f t="shared" si="56"/>
        <v>0</v>
      </c>
      <c r="BX77" s="371">
        <f t="shared" si="56"/>
        <v>0</v>
      </c>
      <c r="BY77" s="371">
        <f t="shared" si="56"/>
        <v>0</v>
      </c>
      <c r="BZ77" s="371">
        <f t="shared" si="56"/>
        <v>0</v>
      </c>
      <c r="CA77" s="371">
        <f t="shared" si="56"/>
        <v>0</v>
      </c>
    </row>
    <row r="78" spans="4:79" ht="21" hidden="1" customHeight="1" outlineLevel="2">
      <c r="D78" s="374">
        <f t="shared" si="37"/>
        <v>45900</v>
      </c>
      <c r="E78" s="373" cm="1">
        <f t="array" ref="E78">INDEX($AF$31:$CA$31,0,MATCH($D78,$AF$8:$CA$8,0))</f>
        <v>13103.969940353918</v>
      </c>
      <c r="G78" s="359"/>
      <c r="H78" s="371">
        <f t="shared" si="44"/>
        <v>0</v>
      </c>
      <c r="I78" s="371">
        <f t="shared" si="44"/>
        <v>0</v>
      </c>
      <c r="J78" s="371">
        <f t="shared" si="44"/>
        <v>5459.9874751474654</v>
      </c>
      <c r="K78" s="371">
        <f t="shared" si="44"/>
        <v>7643.9824652064508</v>
      </c>
      <c r="L78" s="372"/>
      <c r="M78" s="359"/>
      <c r="N78" s="371">
        <f t="shared" si="51"/>
        <v>0</v>
      </c>
      <c r="O78" s="371">
        <f t="shared" si="51"/>
        <v>0</v>
      </c>
      <c r="P78" s="371">
        <f t="shared" si="51"/>
        <v>0</v>
      </c>
      <c r="Q78" s="371">
        <f t="shared" si="51"/>
        <v>0</v>
      </c>
      <c r="R78" s="371">
        <f t="shared" si="51"/>
        <v>0</v>
      </c>
      <c r="S78" s="371">
        <f t="shared" si="51"/>
        <v>0</v>
      </c>
      <c r="T78" s="371">
        <f t="shared" si="51"/>
        <v>0</v>
      </c>
      <c r="U78" s="371">
        <f t="shared" si="51"/>
        <v>0</v>
      </c>
      <c r="V78" s="371">
        <f t="shared" si="51"/>
        <v>0</v>
      </c>
      <c r="W78" s="371">
        <f t="shared" si="51"/>
        <v>0</v>
      </c>
      <c r="X78" s="371">
        <f t="shared" si="51"/>
        <v>2183.9949900589863</v>
      </c>
      <c r="Y78" s="371">
        <f t="shared" si="51"/>
        <v>3275.9924850884795</v>
      </c>
      <c r="Z78" s="371">
        <f t="shared" si="51"/>
        <v>3275.9924850884795</v>
      </c>
      <c r="AA78" s="371">
        <f t="shared" si="51"/>
        <v>3275.9924850884795</v>
      </c>
      <c r="AB78" s="371">
        <f t="shared" si="51"/>
        <v>1091.9974950294932</v>
      </c>
      <c r="AC78" s="371">
        <f t="shared" si="51"/>
        <v>0</v>
      </c>
      <c r="AE78" s="359"/>
      <c r="AF78" s="371">
        <f t="shared" si="52"/>
        <v>0</v>
      </c>
      <c r="AG78" s="371">
        <f t="shared" si="52"/>
        <v>0</v>
      </c>
      <c r="AH78" s="371">
        <f t="shared" si="52"/>
        <v>0</v>
      </c>
      <c r="AI78" s="371">
        <f t="shared" si="52"/>
        <v>0</v>
      </c>
      <c r="AJ78" s="371">
        <f t="shared" si="52"/>
        <v>0</v>
      </c>
      <c r="AK78" s="371">
        <f t="shared" si="52"/>
        <v>0</v>
      </c>
      <c r="AL78" s="371">
        <f t="shared" si="52"/>
        <v>0</v>
      </c>
      <c r="AM78" s="371">
        <f t="shared" si="52"/>
        <v>0</v>
      </c>
      <c r="AN78" s="371">
        <f t="shared" si="52"/>
        <v>0</v>
      </c>
      <c r="AO78" s="371">
        <f t="shared" si="52"/>
        <v>0</v>
      </c>
      <c r="AP78" s="371">
        <f t="shared" si="53"/>
        <v>0</v>
      </c>
      <c r="AQ78" s="371">
        <f t="shared" si="53"/>
        <v>0</v>
      </c>
      <c r="AR78" s="371">
        <f t="shared" si="53"/>
        <v>0</v>
      </c>
      <c r="AS78" s="371">
        <f t="shared" si="53"/>
        <v>0</v>
      </c>
      <c r="AT78" s="371">
        <f t="shared" si="53"/>
        <v>0</v>
      </c>
      <c r="AU78" s="371">
        <f t="shared" si="53"/>
        <v>0</v>
      </c>
      <c r="AV78" s="371">
        <f t="shared" si="53"/>
        <v>0</v>
      </c>
      <c r="AW78" s="371">
        <f t="shared" si="53"/>
        <v>0</v>
      </c>
      <c r="AX78" s="371">
        <f t="shared" si="53"/>
        <v>0</v>
      </c>
      <c r="AY78" s="371">
        <f t="shared" si="53"/>
        <v>0</v>
      </c>
      <c r="AZ78" s="371">
        <f t="shared" si="54"/>
        <v>0</v>
      </c>
      <c r="BA78" s="371">
        <f t="shared" si="54"/>
        <v>0</v>
      </c>
      <c r="BB78" s="371">
        <f t="shared" si="54"/>
        <v>0</v>
      </c>
      <c r="BC78" s="371">
        <f t="shared" si="54"/>
        <v>0</v>
      </c>
      <c r="BD78" s="371">
        <f t="shared" si="54"/>
        <v>0</v>
      </c>
      <c r="BE78" s="371">
        <f t="shared" si="54"/>
        <v>0</v>
      </c>
      <c r="BF78" s="371">
        <f t="shared" si="54"/>
        <v>0</v>
      </c>
      <c r="BG78" s="371">
        <f t="shared" si="54"/>
        <v>0</v>
      </c>
      <c r="BH78" s="371">
        <f t="shared" si="54"/>
        <v>0</v>
      </c>
      <c r="BI78" s="371">
        <f t="shared" si="54"/>
        <v>0</v>
      </c>
      <c r="BJ78" s="371">
        <f t="shared" si="55"/>
        <v>0</v>
      </c>
      <c r="BK78" s="371">
        <f t="shared" si="55"/>
        <v>1091.9974950294932</v>
      </c>
      <c r="BL78" s="371">
        <f t="shared" si="55"/>
        <v>1091.9974950294932</v>
      </c>
      <c r="BM78" s="371">
        <f t="shared" si="55"/>
        <v>1091.9974950294932</v>
      </c>
      <c r="BN78" s="371">
        <f t="shared" si="55"/>
        <v>1091.9974950294932</v>
      </c>
      <c r="BO78" s="371">
        <f t="shared" si="55"/>
        <v>1091.9974950294932</v>
      </c>
      <c r="BP78" s="371">
        <f t="shared" si="55"/>
        <v>1091.9974950294932</v>
      </c>
      <c r="BQ78" s="371">
        <f t="shared" si="55"/>
        <v>1091.9974950294932</v>
      </c>
      <c r="BR78" s="371">
        <f t="shared" si="55"/>
        <v>1091.9974950294932</v>
      </c>
      <c r="BS78" s="371">
        <f t="shared" si="55"/>
        <v>1091.9974950294932</v>
      </c>
      <c r="BT78" s="371">
        <f t="shared" si="56"/>
        <v>1091.9974950294932</v>
      </c>
      <c r="BU78" s="371">
        <f t="shared" si="56"/>
        <v>1091.9974950294932</v>
      </c>
      <c r="BV78" s="371">
        <f t="shared" si="56"/>
        <v>1091.9974950294932</v>
      </c>
      <c r="BW78" s="371">
        <f t="shared" si="56"/>
        <v>0</v>
      </c>
      <c r="BX78" s="371">
        <f t="shared" si="56"/>
        <v>0</v>
      </c>
      <c r="BY78" s="371">
        <f t="shared" si="56"/>
        <v>0</v>
      </c>
      <c r="BZ78" s="371">
        <f t="shared" si="56"/>
        <v>0</v>
      </c>
      <c r="CA78" s="371">
        <f t="shared" si="56"/>
        <v>0</v>
      </c>
    </row>
    <row r="79" spans="4:79" ht="21" hidden="1" customHeight="1" outlineLevel="2">
      <c r="D79" s="374">
        <f t="shared" si="37"/>
        <v>45930</v>
      </c>
      <c r="E79" s="373" cm="1">
        <f t="array" ref="E79">INDEX($AF$31:$CA$31,0,MATCH($D79,$AF$8:$CA$8,0))</f>
        <v>14465.584639757457</v>
      </c>
      <c r="G79" s="359"/>
      <c r="H79" s="371">
        <f t="shared" si="44"/>
        <v>0</v>
      </c>
      <c r="I79" s="371">
        <f t="shared" si="44"/>
        <v>0</v>
      </c>
      <c r="J79" s="371">
        <f t="shared" si="44"/>
        <v>4821.8615465858193</v>
      </c>
      <c r="K79" s="371">
        <f t="shared" si="44"/>
        <v>9643.7230931716385</v>
      </c>
      <c r="L79" s="372"/>
      <c r="M79" s="359"/>
      <c r="N79" s="371">
        <f t="shared" si="51"/>
        <v>0</v>
      </c>
      <c r="O79" s="371">
        <f t="shared" si="51"/>
        <v>0</v>
      </c>
      <c r="P79" s="371">
        <f t="shared" si="51"/>
        <v>0</v>
      </c>
      <c r="Q79" s="371">
        <f t="shared" si="51"/>
        <v>0</v>
      </c>
      <c r="R79" s="371">
        <f t="shared" si="51"/>
        <v>0</v>
      </c>
      <c r="S79" s="371">
        <f t="shared" si="51"/>
        <v>0</v>
      </c>
      <c r="T79" s="371">
        <f t="shared" si="51"/>
        <v>0</v>
      </c>
      <c r="U79" s="371">
        <f t="shared" si="51"/>
        <v>0</v>
      </c>
      <c r="V79" s="371">
        <f t="shared" si="51"/>
        <v>0</v>
      </c>
      <c r="W79" s="371">
        <f t="shared" si="51"/>
        <v>0</v>
      </c>
      <c r="X79" s="371">
        <f t="shared" si="51"/>
        <v>1205.4653866464548</v>
      </c>
      <c r="Y79" s="371">
        <f t="shared" si="51"/>
        <v>3616.3961599393642</v>
      </c>
      <c r="Z79" s="371">
        <f t="shared" si="51"/>
        <v>3616.3961599393642</v>
      </c>
      <c r="AA79" s="371">
        <f t="shared" si="51"/>
        <v>3616.3961599393642</v>
      </c>
      <c r="AB79" s="371">
        <f t="shared" si="51"/>
        <v>2410.9307732929096</v>
      </c>
      <c r="AC79" s="371">
        <f t="shared" si="51"/>
        <v>0</v>
      </c>
      <c r="AE79" s="359"/>
      <c r="AF79" s="371">
        <f t="shared" si="52"/>
        <v>0</v>
      </c>
      <c r="AG79" s="371">
        <f t="shared" si="52"/>
        <v>0</v>
      </c>
      <c r="AH79" s="371">
        <f t="shared" si="52"/>
        <v>0</v>
      </c>
      <c r="AI79" s="371">
        <f t="shared" si="52"/>
        <v>0</v>
      </c>
      <c r="AJ79" s="371">
        <f t="shared" si="52"/>
        <v>0</v>
      </c>
      <c r="AK79" s="371">
        <f t="shared" si="52"/>
        <v>0</v>
      </c>
      <c r="AL79" s="371">
        <f t="shared" si="52"/>
        <v>0</v>
      </c>
      <c r="AM79" s="371">
        <f t="shared" si="52"/>
        <v>0</v>
      </c>
      <c r="AN79" s="371">
        <f t="shared" si="52"/>
        <v>0</v>
      </c>
      <c r="AO79" s="371">
        <f t="shared" si="52"/>
        <v>0</v>
      </c>
      <c r="AP79" s="371">
        <f t="shared" si="53"/>
        <v>0</v>
      </c>
      <c r="AQ79" s="371">
        <f t="shared" si="53"/>
        <v>0</v>
      </c>
      <c r="AR79" s="371">
        <f t="shared" si="53"/>
        <v>0</v>
      </c>
      <c r="AS79" s="371">
        <f t="shared" si="53"/>
        <v>0</v>
      </c>
      <c r="AT79" s="371">
        <f t="shared" si="53"/>
        <v>0</v>
      </c>
      <c r="AU79" s="371">
        <f t="shared" si="53"/>
        <v>0</v>
      </c>
      <c r="AV79" s="371">
        <f t="shared" si="53"/>
        <v>0</v>
      </c>
      <c r="AW79" s="371">
        <f t="shared" si="53"/>
        <v>0</v>
      </c>
      <c r="AX79" s="371">
        <f t="shared" si="53"/>
        <v>0</v>
      </c>
      <c r="AY79" s="371">
        <f t="shared" si="53"/>
        <v>0</v>
      </c>
      <c r="AZ79" s="371">
        <f t="shared" si="54"/>
        <v>0</v>
      </c>
      <c r="BA79" s="371">
        <f t="shared" si="54"/>
        <v>0</v>
      </c>
      <c r="BB79" s="371">
        <f t="shared" si="54"/>
        <v>0</v>
      </c>
      <c r="BC79" s="371">
        <f t="shared" si="54"/>
        <v>0</v>
      </c>
      <c r="BD79" s="371">
        <f t="shared" si="54"/>
        <v>0</v>
      </c>
      <c r="BE79" s="371">
        <f t="shared" si="54"/>
        <v>0</v>
      </c>
      <c r="BF79" s="371">
        <f t="shared" si="54"/>
        <v>0</v>
      </c>
      <c r="BG79" s="371">
        <f t="shared" si="54"/>
        <v>0</v>
      </c>
      <c r="BH79" s="371">
        <f t="shared" si="54"/>
        <v>0</v>
      </c>
      <c r="BI79" s="371">
        <f t="shared" si="54"/>
        <v>0</v>
      </c>
      <c r="BJ79" s="371">
        <f t="shared" si="55"/>
        <v>0</v>
      </c>
      <c r="BK79" s="371">
        <f t="shared" si="55"/>
        <v>0</v>
      </c>
      <c r="BL79" s="371">
        <f t="shared" si="55"/>
        <v>1205.4653866464548</v>
      </c>
      <c r="BM79" s="371">
        <f t="shared" si="55"/>
        <v>1205.4653866464548</v>
      </c>
      <c r="BN79" s="371">
        <f t="shared" si="55"/>
        <v>1205.4653866464548</v>
      </c>
      <c r="BO79" s="371">
        <f t="shared" si="55"/>
        <v>1205.4653866464548</v>
      </c>
      <c r="BP79" s="371">
        <f t="shared" si="55"/>
        <v>1205.4653866464548</v>
      </c>
      <c r="BQ79" s="371">
        <f t="shared" si="55"/>
        <v>1205.4653866464548</v>
      </c>
      <c r="BR79" s="371">
        <f t="shared" si="55"/>
        <v>1205.4653866464548</v>
      </c>
      <c r="BS79" s="371">
        <f t="shared" si="55"/>
        <v>1205.4653866464548</v>
      </c>
      <c r="BT79" s="371">
        <f t="shared" si="56"/>
        <v>1205.4653866464548</v>
      </c>
      <c r="BU79" s="371">
        <f t="shared" si="56"/>
        <v>1205.4653866464548</v>
      </c>
      <c r="BV79" s="371">
        <f t="shared" si="56"/>
        <v>1205.4653866464548</v>
      </c>
      <c r="BW79" s="371">
        <f t="shared" si="56"/>
        <v>1205.4653866464548</v>
      </c>
      <c r="BX79" s="371">
        <f t="shared" si="56"/>
        <v>0</v>
      </c>
      <c r="BY79" s="371">
        <f t="shared" si="56"/>
        <v>0</v>
      </c>
      <c r="BZ79" s="371">
        <f t="shared" si="56"/>
        <v>0</v>
      </c>
      <c r="CA79" s="371">
        <f t="shared" si="56"/>
        <v>0</v>
      </c>
    </row>
    <row r="80" spans="4:79" ht="21" hidden="1" customHeight="1" outlineLevel="2">
      <c r="D80" s="374">
        <f t="shared" si="37"/>
        <v>45961</v>
      </c>
      <c r="E80" s="373" cm="1">
        <f t="array" ref="E80">INDEX($AF$31:$CA$31,0,MATCH($D80,$AF$8:$CA$8,0))</f>
        <v>15584.790486155032</v>
      </c>
      <c r="G80" s="359"/>
      <c r="H80" s="371">
        <f t="shared" si="44"/>
        <v>0</v>
      </c>
      <c r="I80" s="371">
        <f t="shared" si="44"/>
        <v>0</v>
      </c>
      <c r="J80" s="371">
        <f t="shared" si="44"/>
        <v>3896.1976215387576</v>
      </c>
      <c r="K80" s="371">
        <f t="shared" si="44"/>
        <v>11688.592864616274</v>
      </c>
      <c r="L80" s="372"/>
      <c r="M80" s="359"/>
      <c r="N80" s="371">
        <f t="shared" si="51"/>
        <v>0</v>
      </c>
      <c r="O80" s="371">
        <f t="shared" si="51"/>
        <v>0</v>
      </c>
      <c r="P80" s="371">
        <f t="shared" si="51"/>
        <v>0</v>
      </c>
      <c r="Q80" s="371">
        <f t="shared" si="51"/>
        <v>0</v>
      </c>
      <c r="R80" s="371">
        <f t="shared" si="51"/>
        <v>0</v>
      </c>
      <c r="S80" s="371">
        <f t="shared" si="51"/>
        <v>0</v>
      </c>
      <c r="T80" s="371">
        <f t="shared" si="51"/>
        <v>0</v>
      </c>
      <c r="U80" s="371">
        <f t="shared" si="51"/>
        <v>0</v>
      </c>
      <c r="V80" s="371">
        <f t="shared" si="51"/>
        <v>0</v>
      </c>
      <c r="W80" s="371">
        <f t="shared" si="51"/>
        <v>0</v>
      </c>
      <c r="X80" s="371">
        <f t="shared" si="51"/>
        <v>0</v>
      </c>
      <c r="Y80" s="371">
        <f t="shared" si="51"/>
        <v>3896.1976215387576</v>
      </c>
      <c r="Z80" s="371">
        <f t="shared" si="51"/>
        <v>3896.1976215387576</v>
      </c>
      <c r="AA80" s="371">
        <f t="shared" si="51"/>
        <v>3896.1976215387576</v>
      </c>
      <c r="AB80" s="371">
        <f t="shared" si="51"/>
        <v>3896.1976215387576</v>
      </c>
      <c r="AC80" s="371">
        <f t="shared" si="51"/>
        <v>0</v>
      </c>
      <c r="AE80" s="359"/>
      <c r="AF80" s="371">
        <f t="shared" si="52"/>
        <v>0</v>
      </c>
      <c r="AG80" s="371">
        <f t="shared" si="52"/>
        <v>0</v>
      </c>
      <c r="AH80" s="371">
        <f t="shared" si="52"/>
        <v>0</v>
      </c>
      <c r="AI80" s="371">
        <f t="shared" si="52"/>
        <v>0</v>
      </c>
      <c r="AJ80" s="371">
        <f t="shared" si="52"/>
        <v>0</v>
      </c>
      <c r="AK80" s="371">
        <f t="shared" si="52"/>
        <v>0</v>
      </c>
      <c r="AL80" s="371">
        <f t="shared" si="52"/>
        <v>0</v>
      </c>
      <c r="AM80" s="371">
        <f t="shared" si="52"/>
        <v>0</v>
      </c>
      <c r="AN80" s="371">
        <f t="shared" si="52"/>
        <v>0</v>
      </c>
      <c r="AO80" s="371">
        <f t="shared" si="52"/>
        <v>0</v>
      </c>
      <c r="AP80" s="371">
        <f t="shared" si="53"/>
        <v>0</v>
      </c>
      <c r="AQ80" s="371">
        <f t="shared" si="53"/>
        <v>0</v>
      </c>
      <c r="AR80" s="371">
        <f t="shared" si="53"/>
        <v>0</v>
      </c>
      <c r="AS80" s="371">
        <f t="shared" si="53"/>
        <v>0</v>
      </c>
      <c r="AT80" s="371">
        <f t="shared" si="53"/>
        <v>0</v>
      </c>
      <c r="AU80" s="371">
        <f t="shared" si="53"/>
        <v>0</v>
      </c>
      <c r="AV80" s="371">
        <f t="shared" si="53"/>
        <v>0</v>
      </c>
      <c r="AW80" s="371">
        <f t="shared" si="53"/>
        <v>0</v>
      </c>
      <c r="AX80" s="371">
        <f t="shared" si="53"/>
        <v>0</v>
      </c>
      <c r="AY80" s="371">
        <f t="shared" si="53"/>
        <v>0</v>
      </c>
      <c r="AZ80" s="371">
        <f t="shared" si="54"/>
        <v>0</v>
      </c>
      <c r="BA80" s="371">
        <f t="shared" si="54"/>
        <v>0</v>
      </c>
      <c r="BB80" s="371">
        <f t="shared" si="54"/>
        <v>0</v>
      </c>
      <c r="BC80" s="371">
        <f t="shared" si="54"/>
        <v>0</v>
      </c>
      <c r="BD80" s="371">
        <f t="shared" si="54"/>
        <v>0</v>
      </c>
      <c r="BE80" s="371">
        <f t="shared" si="54"/>
        <v>0</v>
      </c>
      <c r="BF80" s="371">
        <f t="shared" si="54"/>
        <v>0</v>
      </c>
      <c r="BG80" s="371">
        <f t="shared" si="54"/>
        <v>0</v>
      </c>
      <c r="BH80" s="371">
        <f t="shared" si="54"/>
        <v>0</v>
      </c>
      <c r="BI80" s="371">
        <f t="shared" si="54"/>
        <v>0</v>
      </c>
      <c r="BJ80" s="371">
        <f t="shared" si="55"/>
        <v>0</v>
      </c>
      <c r="BK80" s="371">
        <f t="shared" si="55"/>
        <v>0</v>
      </c>
      <c r="BL80" s="371">
        <f t="shared" si="55"/>
        <v>0</v>
      </c>
      <c r="BM80" s="371">
        <f t="shared" si="55"/>
        <v>1298.7325405129193</v>
      </c>
      <c r="BN80" s="371">
        <f t="shared" si="55"/>
        <v>1298.7325405129193</v>
      </c>
      <c r="BO80" s="371">
        <f t="shared" si="55"/>
        <v>1298.7325405129193</v>
      </c>
      <c r="BP80" s="371">
        <f t="shared" si="55"/>
        <v>1298.7325405129193</v>
      </c>
      <c r="BQ80" s="371">
        <f t="shared" si="55"/>
        <v>1298.7325405129193</v>
      </c>
      <c r="BR80" s="371">
        <f t="shared" si="55"/>
        <v>1298.7325405129193</v>
      </c>
      <c r="BS80" s="371">
        <f t="shared" si="55"/>
        <v>1298.7325405129193</v>
      </c>
      <c r="BT80" s="371">
        <f t="shared" si="56"/>
        <v>1298.7325405129193</v>
      </c>
      <c r="BU80" s="371">
        <f t="shared" si="56"/>
        <v>1298.7325405129193</v>
      </c>
      <c r="BV80" s="371">
        <f t="shared" si="56"/>
        <v>1298.7325405129193</v>
      </c>
      <c r="BW80" s="371">
        <f t="shared" si="56"/>
        <v>1298.7325405129193</v>
      </c>
      <c r="BX80" s="371">
        <f t="shared" si="56"/>
        <v>1298.7325405129193</v>
      </c>
      <c r="BY80" s="371">
        <f t="shared" si="56"/>
        <v>0</v>
      </c>
      <c r="BZ80" s="371">
        <f t="shared" si="56"/>
        <v>0</v>
      </c>
      <c r="CA80" s="371">
        <f t="shared" si="56"/>
        <v>0</v>
      </c>
    </row>
    <row r="81" spans="2:79" ht="21" hidden="1" customHeight="1" outlineLevel="2">
      <c r="D81" s="374">
        <f t="shared" si="37"/>
        <v>45991</v>
      </c>
      <c r="E81" s="373" cm="1">
        <f t="array" ref="E81">INDEX($AF$31:$CA$31,0,MATCH($D81,$AF$8:$CA$8,0))</f>
        <v>17034.763391016579</v>
      </c>
      <c r="G81" s="359"/>
      <c r="H81" s="371">
        <f t="shared" si="44"/>
        <v>0</v>
      </c>
      <c r="I81" s="371">
        <f t="shared" si="44"/>
        <v>0</v>
      </c>
      <c r="J81" s="371">
        <f t="shared" si="44"/>
        <v>2839.1272318360966</v>
      </c>
      <c r="K81" s="371">
        <f t="shared" si="44"/>
        <v>14195.636159180483</v>
      </c>
      <c r="L81" s="372"/>
      <c r="M81" s="359"/>
      <c r="N81" s="371">
        <f t="shared" si="51"/>
        <v>0</v>
      </c>
      <c r="O81" s="371">
        <f t="shared" si="51"/>
        <v>0</v>
      </c>
      <c r="P81" s="371">
        <f t="shared" si="51"/>
        <v>0</v>
      </c>
      <c r="Q81" s="371">
        <f t="shared" si="51"/>
        <v>0</v>
      </c>
      <c r="R81" s="371">
        <f t="shared" si="51"/>
        <v>0</v>
      </c>
      <c r="S81" s="371">
        <f t="shared" si="51"/>
        <v>0</v>
      </c>
      <c r="T81" s="371">
        <f t="shared" si="51"/>
        <v>0</v>
      </c>
      <c r="U81" s="371">
        <f t="shared" si="51"/>
        <v>0</v>
      </c>
      <c r="V81" s="371">
        <f t="shared" si="51"/>
        <v>0</v>
      </c>
      <c r="W81" s="371">
        <f t="shared" si="51"/>
        <v>0</v>
      </c>
      <c r="X81" s="371">
        <f t="shared" si="51"/>
        <v>0</v>
      </c>
      <c r="Y81" s="371">
        <f t="shared" si="51"/>
        <v>2839.1272318360966</v>
      </c>
      <c r="Z81" s="371">
        <f t="shared" si="51"/>
        <v>4258.6908477541447</v>
      </c>
      <c r="AA81" s="371">
        <f t="shared" si="51"/>
        <v>4258.6908477541447</v>
      </c>
      <c r="AB81" s="371">
        <f t="shared" si="51"/>
        <v>4258.6908477541447</v>
      </c>
      <c r="AC81" s="371">
        <f t="shared" si="51"/>
        <v>1419.5636159180483</v>
      </c>
      <c r="AE81" s="359"/>
      <c r="AF81" s="371">
        <f t="shared" si="52"/>
        <v>0</v>
      </c>
      <c r="AG81" s="371">
        <f t="shared" si="52"/>
        <v>0</v>
      </c>
      <c r="AH81" s="371">
        <f t="shared" si="52"/>
        <v>0</v>
      </c>
      <c r="AI81" s="371">
        <f t="shared" si="52"/>
        <v>0</v>
      </c>
      <c r="AJ81" s="371">
        <f t="shared" si="52"/>
        <v>0</v>
      </c>
      <c r="AK81" s="371">
        <f t="shared" si="52"/>
        <v>0</v>
      </c>
      <c r="AL81" s="371">
        <f t="shared" si="52"/>
        <v>0</v>
      </c>
      <c r="AM81" s="371">
        <f t="shared" si="52"/>
        <v>0</v>
      </c>
      <c r="AN81" s="371">
        <f t="shared" si="52"/>
        <v>0</v>
      </c>
      <c r="AO81" s="371">
        <f t="shared" si="52"/>
        <v>0</v>
      </c>
      <c r="AP81" s="371">
        <f t="shared" si="53"/>
        <v>0</v>
      </c>
      <c r="AQ81" s="371">
        <f t="shared" si="53"/>
        <v>0</v>
      </c>
      <c r="AR81" s="371">
        <f t="shared" si="53"/>
        <v>0</v>
      </c>
      <c r="AS81" s="371">
        <f t="shared" si="53"/>
        <v>0</v>
      </c>
      <c r="AT81" s="371">
        <f t="shared" si="53"/>
        <v>0</v>
      </c>
      <c r="AU81" s="371">
        <f t="shared" si="53"/>
        <v>0</v>
      </c>
      <c r="AV81" s="371">
        <f t="shared" si="53"/>
        <v>0</v>
      </c>
      <c r="AW81" s="371">
        <f t="shared" si="53"/>
        <v>0</v>
      </c>
      <c r="AX81" s="371">
        <f t="shared" si="53"/>
        <v>0</v>
      </c>
      <c r="AY81" s="371">
        <f t="shared" si="53"/>
        <v>0</v>
      </c>
      <c r="AZ81" s="371">
        <f t="shared" si="54"/>
        <v>0</v>
      </c>
      <c r="BA81" s="371">
        <f t="shared" si="54"/>
        <v>0</v>
      </c>
      <c r="BB81" s="371">
        <f t="shared" si="54"/>
        <v>0</v>
      </c>
      <c r="BC81" s="371">
        <f t="shared" si="54"/>
        <v>0</v>
      </c>
      <c r="BD81" s="371">
        <f t="shared" si="54"/>
        <v>0</v>
      </c>
      <c r="BE81" s="371">
        <f t="shared" si="54"/>
        <v>0</v>
      </c>
      <c r="BF81" s="371">
        <f t="shared" si="54"/>
        <v>0</v>
      </c>
      <c r="BG81" s="371">
        <f t="shared" si="54"/>
        <v>0</v>
      </c>
      <c r="BH81" s="371">
        <f t="shared" si="54"/>
        <v>0</v>
      </c>
      <c r="BI81" s="371">
        <f t="shared" si="54"/>
        <v>0</v>
      </c>
      <c r="BJ81" s="371">
        <f t="shared" si="55"/>
        <v>0</v>
      </c>
      <c r="BK81" s="371">
        <f t="shared" si="55"/>
        <v>0</v>
      </c>
      <c r="BL81" s="371">
        <f t="shared" si="55"/>
        <v>0</v>
      </c>
      <c r="BM81" s="371">
        <f t="shared" si="55"/>
        <v>0</v>
      </c>
      <c r="BN81" s="371">
        <f t="shared" si="55"/>
        <v>1419.5636159180483</v>
      </c>
      <c r="BO81" s="371">
        <f t="shared" si="55"/>
        <v>1419.5636159180483</v>
      </c>
      <c r="BP81" s="371">
        <f t="shared" si="55"/>
        <v>1419.5636159180483</v>
      </c>
      <c r="BQ81" s="371">
        <f t="shared" si="55"/>
        <v>1419.5636159180483</v>
      </c>
      <c r="BR81" s="371">
        <f t="shared" si="55"/>
        <v>1419.5636159180483</v>
      </c>
      <c r="BS81" s="371">
        <f t="shared" si="55"/>
        <v>1419.5636159180483</v>
      </c>
      <c r="BT81" s="371">
        <f t="shared" si="56"/>
        <v>1419.5636159180483</v>
      </c>
      <c r="BU81" s="371">
        <f t="shared" si="56"/>
        <v>1419.5636159180483</v>
      </c>
      <c r="BV81" s="371">
        <f t="shared" si="56"/>
        <v>1419.5636159180483</v>
      </c>
      <c r="BW81" s="371">
        <f t="shared" si="56"/>
        <v>1419.5636159180483</v>
      </c>
      <c r="BX81" s="371">
        <f t="shared" si="56"/>
        <v>1419.5636159180483</v>
      </c>
      <c r="BY81" s="371">
        <f t="shared" si="56"/>
        <v>1419.5636159180483</v>
      </c>
      <c r="BZ81" s="371">
        <f t="shared" si="56"/>
        <v>0</v>
      </c>
      <c r="CA81" s="371">
        <f t="shared" si="56"/>
        <v>0</v>
      </c>
    </row>
    <row r="82" spans="2:79" ht="21" hidden="1" customHeight="1" outlineLevel="2">
      <c r="D82" s="374">
        <f t="shared" si="37"/>
        <v>46022</v>
      </c>
      <c r="E82" s="373" cm="1">
        <f t="array" ref="E82">INDEX($AF$31:$CA$31,0,MATCH($D82,$AF$8:$CA$8,0))</f>
        <v>18747.861024926751</v>
      </c>
      <c r="G82" s="359"/>
      <c r="H82" s="371">
        <f t="shared" si="44"/>
        <v>0</v>
      </c>
      <c r="I82" s="371">
        <f t="shared" si="44"/>
        <v>0</v>
      </c>
      <c r="J82" s="371">
        <f t="shared" si="44"/>
        <v>1562.3217520772293</v>
      </c>
      <c r="K82" s="371">
        <f t="shared" si="44"/>
        <v>17185.539272849521</v>
      </c>
      <c r="L82" s="372"/>
      <c r="M82" s="359"/>
      <c r="N82" s="371">
        <f t="shared" si="51"/>
        <v>0</v>
      </c>
      <c r="O82" s="371">
        <f t="shared" si="51"/>
        <v>0</v>
      </c>
      <c r="P82" s="371">
        <f t="shared" si="51"/>
        <v>0</v>
      </c>
      <c r="Q82" s="371">
        <f t="shared" si="51"/>
        <v>0</v>
      </c>
      <c r="R82" s="371">
        <f t="shared" si="51"/>
        <v>0</v>
      </c>
      <c r="S82" s="371">
        <f t="shared" si="51"/>
        <v>0</v>
      </c>
      <c r="T82" s="371">
        <f t="shared" si="51"/>
        <v>0</v>
      </c>
      <c r="U82" s="371">
        <f t="shared" si="51"/>
        <v>0</v>
      </c>
      <c r="V82" s="371">
        <f t="shared" si="51"/>
        <v>0</v>
      </c>
      <c r="W82" s="371">
        <f t="shared" si="51"/>
        <v>0</v>
      </c>
      <c r="X82" s="371">
        <f t="shared" si="51"/>
        <v>0</v>
      </c>
      <c r="Y82" s="371">
        <f t="shared" si="51"/>
        <v>1562.3217520772293</v>
      </c>
      <c r="Z82" s="371">
        <f t="shared" si="51"/>
        <v>4686.9652562316878</v>
      </c>
      <c r="AA82" s="371">
        <f t="shared" si="51"/>
        <v>4686.9652562316878</v>
      </c>
      <c r="AB82" s="371">
        <f t="shared" si="51"/>
        <v>4686.9652562316878</v>
      </c>
      <c r="AC82" s="371">
        <f t="shared" si="51"/>
        <v>3124.6435041544587</v>
      </c>
      <c r="AE82" s="359"/>
      <c r="AF82" s="371">
        <f t="shared" si="52"/>
        <v>0</v>
      </c>
      <c r="AG82" s="371">
        <f t="shared" si="52"/>
        <v>0</v>
      </c>
      <c r="AH82" s="371">
        <f t="shared" si="52"/>
        <v>0</v>
      </c>
      <c r="AI82" s="371">
        <f t="shared" si="52"/>
        <v>0</v>
      </c>
      <c r="AJ82" s="371">
        <f t="shared" si="52"/>
        <v>0</v>
      </c>
      <c r="AK82" s="371">
        <f t="shared" si="52"/>
        <v>0</v>
      </c>
      <c r="AL82" s="371">
        <f t="shared" si="52"/>
        <v>0</v>
      </c>
      <c r="AM82" s="371">
        <f t="shared" si="52"/>
        <v>0</v>
      </c>
      <c r="AN82" s="371">
        <f t="shared" si="52"/>
        <v>0</v>
      </c>
      <c r="AO82" s="371">
        <f t="shared" si="52"/>
        <v>0</v>
      </c>
      <c r="AP82" s="371">
        <f t="shared" si="53"/>
        <v>0</v>
      </c>
      <c r="AQ82" s="371">
        <f t="shared" si="53"/>
        <v>0</v>
      </c>
      <c r="AR82" s="371">
        <f t="shared" si="53"/>
        <v>0</v>
      </c>
      <c r="AS82" s="371">
        <f t="shared" si="53"/>
        <v>0</v>
      </c>
      <c r="AT82" s="371">
        <f t="shared" si="53"/>
        <v>0</v>
      </c>
      <c r="AU82" s="371">
        <f t="shared" si="53"/>
        <v>0</v>
      </c>
      <c r="AV82" s="371">
        <f t="shared" si="53"/>
        <v>0</v>
      </c>
      <c r="AW82" s="371">
        <f t="shared" si="53"/>
        <v>0</v>
      </c>
      <c r="AX82" s="371">
        <f t="shared" si="53"/>
        <v>0</v>
      </c>
      <c r="AY82" s="371">
        <f t="shared" si="53"/>
        <v>0</v>
      </c>
      <c r="AZ82" s="371">
        <f t="shared" si="54"/>
        <v>0</v>
      </c>
      <c r="BA82" s="371">
        <f t="shared" si="54"/>
        <v>0</v>
      </c>
      <c r="BB82" s="371">
        <f t="shared" si="54"/>
        <v>0</v>
      </c>
      <c r="BC82" s="371">
        <f t="shared" si="54"/>
        <v>0</v>
      </c>
      <c r="BD82" s="371">
        <f t="shared" si="54"/>
        <v>0</v>
      </c>
      <c r="BE82" s="371">
        <f t="shared" si="54"/>
        <v>0</v>
      </c>
      <c r="BF82" s="371">
        <f t="shared" si="54"/>
        <v>0</v>
      </c>
      <c r="BG82" s="371">
        <f t="shared" si="54"/>
        <v>0</v>
      </c>
      <c r="BH82" s="371">
        <f t="shared" si="54"/>
        <v>0</v>
      </c>
      <c r="BI82" s="371">
        <f t="shared" si="54"/>
        <v>0</v>
      </c>
      <c r="BJ82" s="371">
        <f t="shared" si="55"/>
        <v>0</v>
      </c>
      <c r="BK82" s="371">
        <f t="shared" si="55"/>
        <v>0</v>
      </c>
      <c r="BL82" s="371">
        <f t="shared" si="55"/>
        <v>0</v>
      </c>
      <c r="BM82" s="371">
        <f t="shared" si="55"/>
        <v>0</v>
      </c>
      <c r="BN82" s="371">
        <f t="shared" si="55"/>
        <v>0</v>
      </c>
      <c r="BO82" s="371">
        <f t="shared" si="55"/>
        <v>1562.3217520772293</v>
      </c>
      <c r="BP82" s="371">
        <f t="shared" si="55"/>
        <v>1562.3217520772293</v>
      </c>
      <c r="BQ82" s="371">
        <f t="shared" si="55"/>
        <v>1562.3217520772293</v>
      </c>
      <c r="BR82" s="371">
        <f t="shared" si="55"/>
        <v>1562.3217520772293</v>
      </c>
      <c r="BS82" s="371">
        <f t="shared" si="55"/>
        <v>1562.3217520772293</v>
      </c>
      <c r="BT82" s="371">
        <f t="shared" si="56"/>
        <v>1562.3217520772293</v>
      </c>
      <c r="BU82" s="371">
        <f t="shared" si="56"/>
        <v>1562.3217520772293</v>
      </c>
      <c r="BV82" s="371">
        <f t="shared" si="56"/>
        <v>1562.3217520772293</v>
      </c>
      <c r="BW82" s="371">
        <f t="shared" si="56"/>
        <v>1562.3217520772293</v>
      </c>
      <c r="BX82" s="371">
        <f t="shared" si="56"/>
        <v>1562.3217520772293</v>
      </c>
      <c r="BY82" s="371">
        <f t="shared" si="56"/>
        <v>1562.3217520772293</v>
      </c>
      <c r="BZ82" s="371">
        <f t="shared" si="56"/>
        <v>1562.3217520772293</v>
      </c>
      <c r="CA82" s="371">
        <f t="shared" si="56"/>
        <v>0</v>
      </c>
    </row>
    <row r="83" spans="2:79" ht="21" hidden="1" customHeight="1" outlineLevel="2">
      <c r="D83" s="374">
        <f t="shared" si="37"/>
        <v>46053</v>
      </c>
      <c r="E83" s="373" cm="1">
        <f t="array" ref="E83">INDEX($AF$31:$CA$31,0,MATCH($D83,$AF$8:$CA$8,0))</f>
        <v>20624.339635176013</v>
      </c>
      <c r="G83" s="359"/>
      <c r="H83" s="371">
        <f t="shared" si="44"/>
        <v>0</v>
      </c>
      <c r="I83" s="371">
        <f t="shared" si="44"/>
        <v>0</v>
      </c>
      <c r="J83" s="371">
        <f t="shared" si="44"/>
        <v>0</v>
      </c>
      <c r="K83" s="371">
        <f t="shared" si="44"/>
        <v>20624.339635176006</v>
      </c>
      <c r="L83" s="372"/>
      <c r="M83" s="359"/>
      <c r="N83" s="371">
        <f t="shared" si="51"/>
        <v>0</v>
      </c>
      <c r="O83" s="371">
        <f t="shared" si="51"/>
        <v>0</v>
      </c>
      <c r="P83" s="371">
        <f t="shared" si="51"/>
        <v>0</v>
      </c>
      <c r="Q83" s="371">
        <f t="shared" si="51"/>
        <v>0</v>
      </c>
      <c r="R83" s="371">
        <f t="shared" si="51"/>
        <v>0</v>
      </c>
      <c r="S83" s="371">
        <f t="shared" si="51"/>
        <v>0</v>
      </c>
      <c r="T83" s="371">
        <f t="shared" si="51"/>
        <v>0</v>
      </c>
      <c r="U83" s="371">
        <f t="shared" si="51"/>
        <v>0</v>
      </c>
      <c r="V83" s="371">
        <f t="shared" si="51"/>
        <v>0</v>
      </c>
      <c r="W83" s="371">
        <f t="shared" si="51"/>
        <v>0</v>
      </c>
      <c r="X83" s="371">
        <f t="shared" si="51"/>
        <v>0</v>
      </c>
      <c r="Y83" s="371">
        <f t="shared" si="51"/>
        <v>0</v>
      </c>
      <c r="Z83" s="371">
        <f t="shared" si="51"/>
        <v>5156.0849087940032</v>
      </c>
      <c r="AA83" s="371">
        <f t="shared" si="51"/>
        <v>5156.0849087940032</v>
      </c>
      <c r="AB83" s="371">
        <f t="shared" si="51"/>
        <v>5156.0849087940032</v>
      </c>
      <c r="AC83" s="371">
        <f t="shared" si="51"/>
        <v>5156.0849087940032</v>
      </c>
      <c r="AE83" s="359"/>
      <c r="AF83" s="371">
        <f t="shared" si="52"/>
        <v>0</v>
      </c>
      <c r="AG83" s="371">
        <f t="shared" si="52"/>
        <v>0</v>
      </c>
      <c r="AH83" s="371">
        <f t="shared" si="52"/>
        <v>0</v>
      </c>
      <c r="AI83" s="371">
        <f t="shared" si="52"/>
        <v>0</v>
      </c>
      <c r="AJ83" s="371">
        <f t="shared" si="52"/>
        <v>0</v>
      </c>
      <c r="AK83" s="371">
        <f t="shared" si="52"/>
        <v>0</v>
      </c>
      <c r="AL83" s="371">
        <f t="shared" si="52"/>
        <v>0</v>
      </c>
      <c r="AM83" s="371">
        <f t="shared" si="52"/>
        <v>0</v>
      </c>
      <c r="AN83" s="371">
        <f t="shared" si="52"/>
        <v>0</v>
      </c>
      <c r="AO83" s="371">
        <f t="shared" si="52"/>
        <v>0</v>
      </c>
      <c r="AP83" s="371">
        <f t="shared" si="53"/>
        <v>0</v>
      </c>
      <c r="AQ83" s="371">
        <f t="shared" si="53"/>
        <v>0</v>
      </c>
      <c r="AR83" s="371">
        <f t="shared" si="53"/>
        <v>0</v>
      </c>
      <c r="AS83" s="371">
        <f t="shared" si="53"/>
        <v>0</v>
      </c>
      <c r="AT83" s="371">
        <f t="shared" si="53"/>
        <v>0</v>
      </c>
      <c r="AU83" s="371">
        <f t="shared" si="53"/>
        <v>0</v>
      </c>
      <c r="AV83" s="371">
        <f t="shared" si="53"/>
        <v>0</v>
      </c>
      <c r="AW83" s="371">
        <f t="shared" si="53"/>
        <v>0</v>
      </c>
      <c r="AX83" s="371">
        <f t="shared" si="53"/>
        <v>0</v>
      </c>
      <c r="AY83" s="371">
        <f t="shared" si="53"/>
        <v>0</v>
      </c>
      <c r="AZ83" s="371">
        <f t="shared" si="54"/>
        <v>0</v>
      </c>
      <c r="BA83" s="371">
        <f t="shared" si="54"/>
        <v>0</v>
      </c>
      <c r="BB83" s="371">
        <f t="shared" si="54"/>
        <v>0</v>
      </c>
      <c r="BC83" s="371">
        <f t="shared" si="54"/>
        <v>0</v>
      </c>
      <c r="BD83" s="371">
        <f t="shared" si="54"/>
        <v>0</v>
      </c>
      <c r="BE83" s="371">
        <f t="shared" si="54"/>
        <v>0</v>
      </c>
      <c r="BF83" s="371">
        <f t="shared" si="54"/>
        <v>0</v>
      </c>
      <c r="BG83" s="371">
        <f t="shared" si="54"/>
        <v>0</v>
      </c>
      <c r="BH83" s="371">
        <f t="shared" si="54"/>
        <v>0</v>
      </c>
      <c r="BI83" s="371">
        <f t="shared" si="54"/>
        <v>0</v>
      </c>
      <c r="BJ83" s="371">
        <f t="shared" si="55"/>
        <v>0</v>
      </c>
      <c r="BK83" s="371">
        <f t="shared" si="55"/>
        <v>0</v>
      </c>
      <c r="BL83" s="371">
        <f t="shared" si="55"/>
        <v>0</v>
      </c>
      <c r="BM83" s="371">
        <f t="shared" si="55"/>
        <v>0</v>
      </c>
      <c r="BN83" s="371">
        <f t="shared" si="55"/>
        <v>0</v>
      </c>
      <c r="BO83" s="371">
        <f t="shared" si="55"/>
        <v>0</v>
      </c>
      <c r="BP83" s="371">
        <f t="shared" si="55"/>
        <v>1718.6949695980011</v>
      </c>
      <c r="BQ83" s="371">
        <f t="shared" si="55"/>
        <v>1718.6949695980011</v>
      </c>
      <c r="BR83" s="371">
        <f t="shared" si="55"/>
        <v>1718.6949695980011</v>
      </c>
      <c r="BS83" s="371">
        <f t="shared" si="55"/>
        <v>1718.6949695980011</v>
      </c>
      <c r="BT83" s="371">
        <f t="shared" si="56"/>
        <v>1718.6949695980011</v>
      </c>
      <c r="BU83" s="371">
        <f t="shared" si="56"/>
        <v>1718.6949695980011</v>
      </c>
      <c r="BV83" s="371">
        <f t="shared" si="56"/>
        <v>1718.6949695980011</v>
      </c>
      <c r="BW83" s="371">
        <f t="shared" si="56"/>
        <v>1718.6949695980011</v>
      </c>
      <c r="BX83" s="371">
        <f t="shared" si="56"/>
        <v>1718.6949695980011</v>
      </c>
      <c r="BY83" s="371">
        <f t="shared" si="56"/>
        <v>1718.6949695980011</v>
      </c>
      <c r="BZ83" s="371">
        <f t="shared" si="56"/>
        <v>1718.6949695980011</v>
      </c>
      <c r="CA83" s="371">
        <f t="shared" si="56"/>
        <v>1718.6949695980011</v>
      </c>
    </row>
    <row r="84" spans="2:79" ht="21" hidden="1" customHeight="1" outlineLevel="2">
      <c r="D84" s="374">
        <f t="shared" si="37"/>
        <v>46081</v>
      </c>
      <c r="E84" s="373" cm="1">
        <f t="array" ref="E84">INDEX($AF$31:$CA$31,0,MATCH($D84,$AF$8:$CA$8,0))</f>
        <v>23753.208031527771</v>
      </c>
      <c r="G84" s="359"/>
      <c r="H84" s="371">
        <f t="shared" si="44"/>
        <v>0</v>
      </c>
      <c r="I84" s="371">
        <f t="shared" si="44"/>
        <v>0</v>
      </c>
      <c r="J84" s="371">
        <f t="shared" si="44"/>
        <v>0</v>
      </c>
      <c r="K84" s="371">
        <f t="shared" si="44"/>
        <v>21773.774028900454</v>
      </c>
      <c r="L84" s="372"/>
      <c r="M84" s="359"/>
      <c r="N84" s="371">
        <f t="shared" si="51"/>
        <v>0</v>
      </c>
      <c r="O84" s="371">
        <f t="shared" si="51"/>
        <v>0</v>
      </c>
      <c r="P84" s="371">
        <f t="shared" si="51"/>
        <v>0</v>
      </c>
      <c r="Q84" s="371">
        <f t="shared" si="51"/>
        <v>0</v>
      </c>
      <c r="R84" s="371">
        <f t="shared" si="51"/>
        <v>0</v>
      </c>
      <c r="S84" s="371">
        <f t="shared" si="51"/>
        <v>0</v>
      </c>
      <c r="T84" s="371">
        <f t="shared" si="51"/>
        <v>0</v>
      </c>
      <c r="U84" s="371">
        <f t="shared" si="51"/>
        <v>0</v>
      </c>
      <c r="V84" s="371">
        <f t="shared" si="51"/>
        <v>0</v>
      </c>
      <c r="W84" s="371">
        <f t="shared" si="51"/>
        <v>0</v>
      </c>
      <c r="X84" s="371">
        <f t="shared" si="51"/>
        <v>0</v>
      </c>
      <c r="Y84" s="371">
        <f t="shared" si="51"/>
        <v>0</v>
      </c>
      <c r="Z84" s="371">
        <f t="shared" si="51"/>
        <v>3958.8680052546283</v>
      </c>
      <c r="AA84" s="371">
        <f t="shared" si="51"/>
        <v>5938.3020078819427</v>
      </c>
      <c r="AB84" s="371">
        <f t="shared" si="51"/>
        <v>5938.3020078819427</v>
      </c>
      <c r="AC84" s="371">
        <f t="shared" si="51"/>
        <v>5938.3020078819427</v>
      </c>
      <c r="AE84" s="359"/>
      <c r="AF84" s="371">
        <f t="shared" si="52"/>
        <v>0</v>
      </c>
      <c r="AG84" s="371">
        <f t="shared" si="52"/>
        <v>0</v>
      </c>
      <c r="AH84" s="371">
        <f t="shared" si="52"/>
        <v>0</v>
      </c>
      <c r="AI84" s="371">
        <f t="shared" si="52"/>
        <v>0</v>
      </c>
      <c r="AJ84" s="371">
        <f t="shared" si="52"/>
        <v>0</v>
      </c>
      <c r="AK84" s="371">
        <f t="shared" si="52"/>
        <v>0</v>
      </c>
      <c r="AL84" s="371">
        <f t="shared" si="52"/>
        <v>0</v>
      </c>
      <c r="AM84" s="371">
        <f t="shared" si="52"/>
        <v>0</v>
      </c>
      <c r="AN84" s="371">
        <f t="shared" si="52"/>
        <v>0</v>
      </c>
      <c r="AO84" s="371">
        <f t="shared" si="52"/>
        <v>0</v>
      </c>
      <c r="AP84" s="371">
        <f t="shared" si="53"/>
        <v>0</v>
      </c>
      <c r="AQ84" s="371">
        <f t="shared" si="53"/>
        <v>0</v>
      </c>
      <c r="AR84" s="371">
        <f t="shared" si="53"/>
        <v>0</v>
      </c>
      <c r="AS84" s="371">
        <f t="shared" si="53"/>
        <v>0</v>
      </c>
      <c r="AT84" s="371">
        <f t="shared" si="53"/>
        <v>0</v>
      </c>
      <c r="AU84" s="371">
        <f t="shared" si="53"/>
        <v>0</v>
      </c>
      <c r="AV84" s="371">
        <f t="shared" si="53"/>
        <v>0</v>
      </c>
      <c r="AW84" s="371">
        <f t="shared" si="53"/>
        <v>0</v>
      </c>
      <c r="AX84" s="371">
        <f t="shared" si="53"/>
        <v>0</v>
      </c>
      <c r="AY84" s="371">
        <f t="shared" si="53"/>
        <v>0</v>
      </c>
      <c r="AZ84" s="371">
        <f t="shared" si="54"/>
        <v>0</v>
      </c>
      <c r="BA84" s="371">
        <f t="shared" si="54"/>
        <v>0</v>
      </c>
      <c r="BB84" s="371">
        <f t="shared" si="54"/>
        <v>0</v>
      </c>
      <c r="BC84" s="371">
        <f t="shared" si="54"/>
        <v>0</v>
      </c>
      <c r="BD84" s="371">
        <f t="shared" si="54"/>
        <v>0</v>
      </c>
      <c r="BE84" s="371">
        <f t="shared" si="54"/>
        <v>0</v>
      </c>
      <c r="BF84" s="371">
        <f t="shared" si="54"/>
        <v>0</v>
      </c>
      <c r="BG84" s="371">
        <f t="shared" si="54"/>
        <v>0</v>
      </c>
      <c r="BH84" s="371">
        <f t="shared" si="54"/>
        <v>0</v>
      </c>
      <c r="BI84" s="371">
        <f t="shared" si="54"/>
        <v>0</v>
      </c>
      <c r="BJ84" s="371">
        <f t="shared" si="55"/>
        <v>0</v>
      </c>
      <c r="BK84" s="371">
        <f t="shared" si="55"/>
        <v>0</v>
      </c>
      <c r="BL84" s="371">
        <f t="shared" si="55"/>
        <v>0</v>
      </c>
      <c r="BM84" s="371">
        <f t="shared" si="55"/>
        <v>0</v>
      </c>
      <c r="BN84" s="371">
        <f t="shared" si="55"/>
        <v>0</v>
      </c>
      <c r="BO84" s="371">
        <f t="shared" si="55"/>
        <v>0</v>
      </c>
      <c r="BP84" s="371">
        <f t="shared" si="55"/>
        <v>0</v>
      </c>
      <c r="BQ84" s="371">
        <f t="shared" si="55"/>
        <v>1979.4340026273142</v>
      </c>
      <c r="BR84" s="371">
        <f t="shared" si="55"/>
        <v>1979.4340026273142</v>
      </c>
      <c r="BS84" s="371">
        <f t="shared" si="55"/>
        <v>1979.4340026273142</v>
      </c>
      <c r="BT84" s="371">
        <f t="shared" si="56"/>
        <v>1979.4340026273142</v>
      </c>
      <c r="BU84" s="371">
        <f t="shared" si="56"/>
        <v>1979.4340026273142</v>
      </c>
      <c r="BV84" s="371">
        <f t="shared" si="56"/>
        <v>1979.4340026273142</v>
      </c>
      <c r="BW84" s="371">
        <f t="shared" si="56"/>
        <v>1979.4340026273142</v>
      </c>
      <c r="BX84" s="371">
        <f t="shared" si="56"/>
        <v>1979.4340026273142</v>
      </c>
      <c r="BY84" s="371">
        <f t="shared" si="56"/>
        <v>1979.4340026273142</v>
      </c>
      <c r="BZ84" s="371">
        <f t="shared" si="56"/>
        <v>1979.4340026273142</v>
      </c>
      <c r="CA84" s="371">
        <f t="shared" si="56"/>
        <v>1979.4340026273142</v>
      </c>
    </row>
    <row r="85" spans="2:79" ht="21" hidden="1" customHeight="1" outlineLevel="2">
      <c r="D85" s="374">
        <f t="shared" si="37"/>
        <v>46112</v>
      </c>
      <c r="E85" s="373" cm="1">
        <f t="array" ref="E85">INDEX($AF$31:$CA$31,0,MATCH($D85,$AF$8:$CA$8,0))</f>
        <v>26918.890111843051</v>
      </c>
      <c r="G85" s="359"/>
      <c r="H85" s="371">
        <f t="shared" si="44"/>
        <v>0</v>
      </c>
      <c r="I85" s="371">
        <f t="shared" si="44"/>
        <v>0</v>
      </c>
      <c r="J85" s="371">
        <f t="shared" si="44"/>
        <v>0</v>
      </c>
      <c r="K85" s="371">
        <f t="shared" si="44"/>
        <v>22432.408426535876</v>
      </c>
      <c r="L85" s="372"/>
      <c r="M85" s="359"/>
      <c r="N85" s="371">
        <f t="shared" si="51"/>
        <v>0</v>
      </c>
      <c r="O85" s="371">
        <f t="shared" si="51"/>
        <v>0</v>
      </c>
      <c r="P85" s="371">
        <f t="shared" si="51"/>
        <v>0</v>
      </c>
      <c r="Q85" s="371">
        <f t="shared" si="51"/>
        <v>0</v>
      </c>
      <c r="R85" s="371">
        <f t="shared" si="51"/>
        <v>0</v>
      </c>
      <c r="S85" s="371">
        <f t="shared" si="51"/>
        <v>0</v>
      </c>
      <c r="T85" s="371">
        <f t="shared" si="51"/>
        <v>0</v>
      </c>
      <c r="U85" s="371">
        <f t="shared" si="51"/>
        <v>0</v>
      </c>
      <c r="V85" s="371">
        <f t="shared" si="51"/>
        <v>0</v>
      </c>
      <c r="W85" s="371">
        <f t="shared" si="51"/>
        <v>0</v>
      </c>
      <c r="X85" s="371">
        <f t="shared" si="51"/>
        <v>0</v>
      </c>
      <c r="Y85" s="371">
        <f t="shared" si="51"/>
        <v>0</v>
      </c>
      <c r="Z85" s="371">
        <f t="shared" si="51"/>
        <v>2243.2408426535876</v>
      </c>
      <c r="AA85" s="371">
        <f t="shared" si="51"/>
        <v>6729.7225279607628</v>
      </c>
      <c r="AB85" s="371">
        <f t="shared" si="51"/>
        <v>6729.7225279607628</v>
      </c>
      <c r="AC85" s="371">
        <f t="shared" si="51"/>
        <v>6729.7225279607628</v>
      </c>
      <c r="AE85" s="359"/>
      <c r="AF85" s="371">
        <f t="shared" si="52"/>
        <v>0</v>
      </c>
      <c r="AG85" s="371">
        <f t="shared" si="52"/>
        <v>0</v>
      </c>
      <c r="AH85" s="371">
        <f t="shared" si="52"/>
        <v>0</v>
      </c>
      <c r="AI85" s="371">
        <f t="shared" si="52"/>
        <v>0</v>
      </c>
      <c r="AJ85" s="371">
        <f t="shared" si="52"/>
        <v>0</v>
      </c>
      <c r="AK85" s="371">
        <f t="shared" si="52"/>
        <v>0</v>
      </c>
      <c r="AL85" s="371">
        <f t="shared" si="52"/>
        <v>0</v>
      </c>
      <c r="AM85" s="371">
        <f t="shared" si="52"/>
        <v>0</v>
      </c>
      <c r="AN85" s="371">
        <f t="shared" si="52"/>
        <v>0</v>
      </c>
      <c r="AO85" s="371">
        <f t="shared" si="52"/>
        <v>0</v>
      </c>
      <c r="AP85" s="371">
        <f t="shared" si="53"/>
        <v>0</v>
      </c>
      <c r="AQ85" s="371">
        <f t="shared" si="53"/>
        <v>0</v>
      </c>
      <c r="AR85" s="371">
        <f t="shared" si="53"/>
        <v>0</v>
      </c>
      <c r="AS85" s="371">
        <f t="shared" si="53"/>
        <v>0</v>
      </c>
      <c r="AT85" s="371">
        <f t="shared" si="53"/>
        <v>0</v>
      </c>
      <c r="AU85" s="371">
        <f t="shared" si="53"/>
        <v>0</v>
      </c>
      <c r="AV85" s="371">
        <f t="shared" si="53"/>
        <v>0</v>
      </c>
      <c r="AW85" s="371">
        <f t="shared" si="53"/>
        <v>0</v>
      </c>
      <c r="AX85" s="371">
        <f t="shared" si="53"/>
        <v>0</v>
      </c>
      <c r="AY85" s="371">
        <f t="shared" si="53"/>
        <v>0</v>
      </c>
      <c r="AZ85" s="371">
        <f t="shared" si="54"/>
        <v>0</v>
      </c>
      <c r="BA85" s="371">
        <f t="shared" si="54"/>
        <v>0</v>
      </c>
      <c r="BB85" s="371">
        <f t="shared" si="54"/>
        <v>0</v>
      </c>
      <c r="BC85" s="371">
        <f t="shared" si="54"/>
        <v>0</v>
      </c>
      <c r="BD85" s="371">
        <f t="shared" si="54"/>
        <v>0</v>
      </c>
      <c r="BE85" s="371">
        <f t="shared" si="54"/>
        <v>0</v>
      </c>
      <c r="BF85" s="371">
        <f t="shared" si="54"/>
        <v>0</v>
      </c>
      <c r="BG85" s="371">
        <f t="shared" si="54"/>
        <v>0</v>
      </c>
      <c r="BH85" s="371">
        <f t="shared" si="54"/>
        <v>0</v>
      </c>
      <c r="BI85" s="371">
        <f t="shared" si="54"/>
        <v>0</v>
      </c>
      <c r="BJ85" s="371">
        <f t="shared" si="55"/>
        <v>0</v>
      </c>
      <c r="BK85" s="371">
        <f t="shared" si="55"/>
        <v>0</v>
      </c>
      <c r="BL85" s="371">
        <f t="shared" si="55"/>
        <v>0</v>
      </c>
      <c r="BM85" s="371">
        <f t="shared" si="55"/>
        <v>0</v>
      </c>
      <c r="BN85" s="371">
        <f t="shared" si="55"/>
        <v>0</v>
      </c>
      <c r="BO85" s="371">
        <f t="shared" si="55"/>
        <v>0</v>
      </c>
      <c r="BP85" s="371">
        <f t="shared" si="55"/>
        <v>0</v>
      </c>
      <c r="BQ85" s="371">
        <f t="shared" si="55"/>
        <v>0</v>
      </c>
      <c r="BR85" s="371">
        <f t="shared" si="55"/>
        <v>2243.2408426535876</v>
      </c>
      <c r="BS85" s="371">
        <f t="shared" si="55"/>
        <v>2243.2408426535876</v>
      </c>
      <c r="BT85" s="371">
        <f t="shared" si="56"/>
        <v>2243.2408426535876</v>
      </c>
      <c r="BU85" s="371">
        <f t="shared" si="56"/>
        <v>2243.2408426535876</v>
      </c>
      <c r="BV85" s="371">
        <f t="shared" si="56"/>
        <v>2243.2408426535876</v>
      </c>
      <c r="BW85" s="371">
        <f t="shared" si="56"/>
        <v>2243.2408426535876</v>
      </c>
      <c r="BX85" s="371">
        <f t="shared" si="56"/>
        <v>2243.2408426535876</v>
      </c>
      <c r="BY85" s="371">
        <f t="shared" si="56"/>
        <v>2243.2408426535876</v>
      </c>
      <c r="BZ85" s="371">
        <f t="shared" si="56"/>
        <v>2243.2408426535876</v>
      </c>
      <c r="CA85" s="371">
        <f t="shared" si="56"/>
        <v>2243.2408426535876</v>
      </c>
    </row>
    <row r="86" spans="2:79" ht="21" hidden="1" customHeight="1" outlineLevel="2">
      <c r="D86" s="374">
        <f t="shared" si="37"/>
        <v>46142</v>
      </c>
      <c r="E86" s="373" cm="1">
        <f t="array" ref="E86">INDEX($AF$31:$CA$31,0,MATCH($D86,$AF$8:$CA$8,0))</f>
        <v>30111.854012961485</v>
      </c>
      <c r="G86" s="359"/>
      <c r="H86" s="371">
        <f t="shared" si="44"/>
        <v>0</v>
      </c>
      <c r="I86" s="371">
        <f t="shared" si="44"/>
        <v>0</v>
      </c>
      <c r="J86" s="371">
        <f t="shared" si="44"/>
        <v>0</v>
      </c>
      <c r="K86" s="371">
        <f t="shared" si="44"/>
        <v>22583.890509721114</v>
      </c>
      <c r="L86" s="372"/>
      <c r="M86" s="359"/>
      <c r="N86" s="371">
        <f t="shared" si="51"/>
        <v>0</v>
      </c>
      <c r="O86" s="371">
        <f t="shared" si="51"/>
        <v>0</v>
      </c>
      <c r="P86" s="371">
        <f t="shared" si="51"/>
        <v>0</v>
      </c>
      <c r="Q86" s="371">
        <f t="shared" si="51"/>
        <v>0</v>
      </c>
      <c r="R86" s="371">
        <f t="shared" si="51"/>
        <v>0</v>
      </c>
      <c r="S86" s="371">
        <f t="shared" si="51"/>
        <v>0</v>
      </c>
      <c r="T86" s="371">
        <f t="shared" si="51"/>
        <v>0</v>
      </c>
      <c r="U86" s="371">
        <f t="shared" si="51"/>
        <v>0</v>
      </c>
      <c r="V86" s="371">
        <f t="shared" si="51"/>
        <v>0</v>
      </c>
      <c r="W86" s="371">
        <f t="shared" si="51"/>
        <v>0</v>
      </c>
      <c r="X86" s="371">
        <f t="shared" si="51"/>
        <v>0</v>
      </c>
      <c r="Y86" s="371">
        <f t="shared" si="51"/>
        <v>0</v>
      </c>
      <c r="Z86" s="371">
        <f t="shared" si="51"/>
        <v>0</v>
      </c>
      <c r="AA86" s="371">
        <f t="shared" si="51"/>
        <v>7527.9635032403712</v>
      </c>
      <c r="AB86" s="371">
        <f t="shared" si="51"/>
        <v>7527.9635032403712</v>
      </c>
      <c r="AC86" s="371">
        <f t="shared" si="51"/>
        <v>7527.9635032403712</v>
      </c>
      <c r="AE86" s="359"/>
      <c r="AF86" s="371">
        <f t="shared" si="52"/>
        <v>0</v>
      </c>
      <c r="AG86" s="371">
        <f t="shared" si="52"/>
        <v>0</v>
      </c>
      <c r="AH86" s="371">
        <f t="shared" si="52"/>
        <v>0</v>
      </c>
      <c r="AI86" s="371">
        <f t="shared" si="52"/>
        <v>0</v>
      </c>
      <c r="AJ86" s="371">
        <f t="shared" si="52"/>
        <v>0</v>
      </c>
      <c r="AK86" s="371">
        <f t="shared" si="52"/>
        <v>0</v>
      </c>
      <c r="AL86" s="371">
        <f t="shared" si="52"/>
        <v>0</v>
      </c>
      <c r="AM86" s="371">
        <f t="shared" si="52"/>
        <v>0</v>
      </c>
      <c r="AN86" s="371">
        <f t="shared" si="52"/>
        <v>0</v>
      </c>
      <c r="AO86" s="371">
        <f t="shared" si="52"/>
        <v>0</v>
      </c>
      <c r="AP86" s="371">
        <f t="shared" si="53"/>
        <v>0</v>
      </c>
      <c r="AQ86" s="371">
        <f t="shared" si="53"/>
        <v>0</v>
      </c>
      <c r="AR86" s="371">
        <f t="shared" si="53"/>
        <v>0</v>
      </c>
      <c r="AS86" s="371">
        <f t="shared" si="53"/>
        <v>0</v>
      </c>
      <c r="AT86" s="371">
        <f t="shared" si="53"/>
        <v>0</v>
      </c>
      <c r="AU86" s="371">
        <f t="shared" si="53"/>
        <v>0</v>
      </c>
      <c r="AV86" s="371">
        <f t="shared" si="53"/>
        <v>0</v>
      </c>
      <c r="AW86" s="371">
        <f t="shared" si="53"/>
        <v>0</v>
      </c>
      <c r="AX86" s="371">
        <f t="shared" si="53"/>
        <v>0</v>
      </c>
      <c r="AY86" s="371">
        <f t="shared" si="53"/>
        <v>0</v>
      </c>
      <c r="AZ86" s="371">
        <f t="shared" si="54"/>
        <v>0</v>
      </c>
      <c r="BA86" s="371">
        <f t="shared" si="54"/>
        <v>0</v>
      </c>
      <c r="BB86" s="371">
        <f t="shared" si="54"/>
        <v>0</v>
      </c>
      <c r="BC86" s="371">
        <f t="shared" si="54"/>
        <v>0</v>
      </c>
      <c r="BD86" s="371">
        <f t="shared" si="54"/>
        <v>0</v>
      </c>
      <c r="BE86" s="371">
        <f t="shared" si="54"/>
        <v>0</v>
      </c>
      <c r="BF86" s="371">
        <f t="shared" si="54"/>
        <v>0</v>
      </c>
      <c r="BG86" s="371">
        <f t="shared" si="54"/>
        <v>0</v>
      </c>
      <c r="BH86" s="371">
        <f t="shared" si="54"/>
        <v>0</v>
      </c>
      <c r="BI86" s="371">
        <f t="shared" si="54"/>
        <v>0</v>
      </c>
      <c r="BJ86" s="371">
        <f t="shared" si="55"/>
        <v>0</v>
      </c>
      <c r="BK86" s="371">
        <f t="shared" si="55"/>
        <v>0</v>
      </c>
      <c r="BL86" s="371">
        <f t="shared" si="55"/>
        <v>0</v>
      </c>
      <c r="BM86" s="371">
        <f t="shared" si="55"/>
        <v>0</v>
      </c>
      <c r="BN86" s="371">
        <f t="shared" si="55"/>
        <v>0</v>
      </c>
      <c r="BO86" s="371">
        <f t="shared" si="55"/>
        <v>0</v>
      </c>
      <c r="BP86" s="371">
        <f t="shared" si="55"/>
        <v>0</v>
      </c>
      <c r="BQ86" s="371">
        <f t="shared" si="55"/>
        <v>0</v>
      </c>
      <c r="BR86" s="371">
        <f t="shared" si="55"/>
        <v>0</v>
      </c>
      <c r="BS86" s="371">
        <f t="shared" si="55"/>
        <v>2509.3211677467903</v>
      </c>
      <c r="BT86" s="371">
        <f t="shared" si="56"/>
        <v>2509.3211677467903</v>
      </c>
      <c r="BU86" s="371">
        <f t="shared" si="56"/>
        <v>2509.3211677467903</v>
      </c>
      <c r="BV86" s="371">
        <f t="shared" si="56"/>
        <v>2509.3211677467903</v>
      </c>
      <c r="BW86" s="371">
        <f t="shared" si="56"/>
        <v>2509.3211677467903</v>
      </c>
      <c r="BX86" s="371">
        <f t="shared" si="56"/>
        <v>2509.3211677467903</v>
      </c>
      <c r="BY86" s="371">
        <f t="shared" si="56"/>
        <v>2509.3211677467903</v>
      </c>
      <c r="BZ86" s="371">
        <f t="shared" si="56"/>
        <v>2509.3211677467903</v>
      </c>
      <c r="CA86" s="371">
        <f t="shared" si="56"/>
        <v>2509.3211677467903</v>
      </c>
    </row>
    <row r="87" spans="2:79" ht="21" hidden="1" customHeight="1" outlineLevel="2">
      <c r="D87" s="374">
        <f t="shared" si="37"/>
        <v>46173</v>
      </c>
      <c r="E87" s="373" cm="1">
        <f t="array" ref="E87">INDEX($AF$31:$CA$31,0,MATCH($D87,$AF$8:$CA$8,0))</f>
        <v>33016.372553091103</v>
      </c>
      <c r="G87" s="359"/>
      <c r="H87" s="371">
        <f t="shared" ref="H87:K94" si="57">SUMIFS($AF87:$CA87,$AF$4:$CA$4,"&gt;="&amp;H$4,$AF$5:$CA$5,"&lt;="&amp;H$5)</f>
        <v>0</v>
      </c>
      <c r="I87" s="371">
        <f t="shared" si="57"/>
        <v>0</v>
      </c>
      <c r="J87" s="371">
        <f t="shared" si="57"/>
        <v>0</v>
      </c>
      <c r="K87" s="371">
        <f t="shared" si="57"/>
        <v>22010.915035394071</v>
      </c>
      <c r="L87" s="372"/>
      <c r="M87" s="359"/>
      <c r="N87" s="371">
        <f t="shared" ref="N87:AC94" si="58">SUMIFS($AF87:$CA87,$AF$4:$CA$4,"&gt;="&amp;N$4,$AF$5:$CA$5,"&lt;="&amp;N$5)</f>
        <v>0</v>
      </c>
      <c r="O87" s="371">
        <f t="shared" si="58"/>
        <v>0</v>
      </c>
      <c r="P87" s="371">
        <f t="shared" si="58"/>
        <v>0</v>
      </c>
      <c r="Q87" s="371">
        <f t="shared" si="58"/>
        <v>0</v>
      </c>
      <c r="R87" s="371">
        <f t="shared" si="58"/>
        <v>0</v>
      </c>
      <c r="S87" s="371">
        <f t="shared" si="58"/>
        <v>0</v>
      </c>
      <c r="T87" s="371">
        <f t="shared" si="58"/>
        <v>0</v>
      </c>
      <c r="U87" s="371">
        <f t="shared" si="58"/>
        <v>0</v>
      </c>
      <c r="V87" s="371">
        <f t="shared" si="58"/>
        <v>0</v>
      </c>
      <c r="W87" s="371">
        <f t="shared" si="58"/>
        <v>0</v>
      </c>
      <c r="X87" s="371">
        <f t="shared" si="58"/>
        <v>0</v>
      </c>
      <c r="Y87" s="371">
        <f t="shared" si="58"/>
        <v>0</v>
      </c>
      <c r="Z87" s="371">
        <f t="shared" si="58"/>
        <v>0</v>
      </c>
      <c r="AA87" s="371">
        <f t="shared" si="58"/>
        <v>5502.7287588485169</v>
      </c>
      <c r="AB87" s="371">
        <f t="shared" si="58"/>
        <v>8254.0931382727758</v>
      </c>
      <c r="AC87" s="371">
        <f t="shared" si="58"/>
        <v>8254.0931382727758</v>
      </c>
      <c r="AE87" s="359"/>
      <c r="AF87" s="371">
        <f t="shared" ref="AF87:AO94" si="59">IF(AND(AF$8&gt;=$D87,(MATCH(AF$8,$AF$8:$CA$8,0)-MATCH($D87,$AF$8:$CA$8,0))&lt;12),$E87/12,0)</f>
        <v>0</v>
      </c>
      <c r="AG87" s="371">
        <f t="shared" si="59"/>
        <v>0</v>
      </c>
      <c r="AH87" s="371">
        <f t="shared" si="59"/>
        <v>0</v>
      </c>
      <c r="AI87" s="371">
        <f t="shared" si="59"/>
        <v>0</v>
      </c>
      <c r="AJ87" s="371">
        <f t="shared" si="59"/>
        <v>0</v>
      </c>
      <c r="AK87" s="371">
        <f t="shared" si="59"/>
        <v>0</v>
      </c>
      <c r="AL87" s="371">
        <f t="shared" si="59"/>
        <v>0</v>
      </c>
      <c r="AM87" s="371">
        <f t="shared" si="59"/>
        <v>0</v>
      </c>
      <c r="AN87" s="371">
        <f t="shared" si="59"/>
        <v>0</v>
      </c>
      <c r="AO87" s="371">
        <f t="shared" si="59"/>
        <v>0</v>
      </c>
      <c r="AP87" s="371">
        <f t="shared" ref="AP87:AY94" si="60">IF(AND(AP$8&gt;=$D87,(MATCH(AP$8,$AF$8:$CA$8,0)-MATCH($D87,$AF$8:$CA$8,0))&lt;12),$E87/12,0)</f>
        <v>0</v>
      </c>
      <c r="AQ87" s="371">
        <f t="shared" si="60"/>
        <v>0</v>
      </c>
      <c r="AR87" s="371">
        <f t="shared" si="60"/>
        <v>0</v>
      </c>
      <c r="AS87" s="371">
        <f t="shared" si="60"/>
        <v>0</v>
      </c>
      <c r="AT87" s="371">
        <f t="shared" si="60"/>
        <v>0</v>
      </c>
      <c r="AU87" s="371">
        <f t="shared" si="60"/>
        <v>0</v>
      </c>
      <c r="AV87" s="371">
        <f t="shared" si="60"/>
        <v>0</v>
      </c>
      <c r="AW87" s="371">
        <f t="shared" si="60"/>
        <v>0</v>
      </c>
      <c r="AX87" s="371">
        <f t="shared" si="60"/>
        <v>0</v>
      </c>
      <c r="AY87" s="371">
        <f t="shared" si="60"/>
        <v>0</v>
      </c>
      <c r="AZ87" s="371">
        <f t="shared" ref="AZ87:BI94" si="61">IF(AND(AZ$8&gt;=$D87,(MATCH(AZ$8,$AF$8:$CA$8,0)-MATCH($D87,$AF$8:$CA$8,0))&lt;12),$E87/12,0)</f>
        <v>0</v>
      </c>
      <c r="BA87" s="371">
        <f t="shared" si="61"/>
        <v>0</v>
      </c>
      <c r="BB87" s="371">
        <f t="shared" si="61"/>
        <v>0</v>
      </c>
      <c r="BC87" s="371">
        <f t="shared" si="61"/>
        <v>0</v>
      </c>
      <c r="BD87" s="371">
        <f t="shared" si="61"/>
        <v>0</v>
      </c>
      <c r="BE87" s="371">
        <f t="shared" si="61"/>
        <v>0</v>
      </c>
      <c r="BF87" s="371">
        <f t="shared" si="61"/>
        <v>0</v>
      </c>
      <c r="BG87" s="371">
        <f t="shared" si="61"/>
        <v>0</v>
      </c>
      <c r="BH87" s="371">
        <f t="shared" si="61"/>
        <v>0</v>
      </c>
      <c r="BI87" s="371">
        <f t="shared" si="61"/>
        <v>0</v>
      </c>
      <c r="BJ87" s="371">
        <f t="shared" ref="BJ87:BS94" si="62">IF(AND(BJ$8&gt;=$D87,(MATCH(BJ$8,$AF$8:$CA$8,0)-MATCH($D87,$AF$8:$CA$8,0))&lt;12),$E87/12,0)</f>
        <v>0</v>
      </c>
      <c r="BK87" s="371">
        <f t="shared" si="62"/>
        <v>0</v>
      </c>
      <c r="BL87" s="371">
        <f t="shared" si="62"/>
        <v>0</v>
      </c>
      <c r="BM87" s="371">
        <f t="shared" si="62"/>
        <v>0</v>
      </c>
      <c r="BN87" s="371">
        <f t="shared" si="62"/>
        <v>0</v>
      </c>
      <c r="BO87" s="371">
        <f t="shared" si="62"/>
        <v>0</v>
      </c>
      <c r="BP87" s="371">
        <f t="shared" si="62"/>
        <v>0</v>
      </c>
      <c r="BQ87" s="371">
        <f t="shared" si="62"/>
        <v>0</v>
      </c>
      <c r="BR87" s="371">
        <f t="shared" si="62"/>
        <v>0</v>
      </c>
      <c r="BS87" s="371">
        <f t="shared" si="62"/>
        <v>0</v>
      </c>
      <c r="BT87" s="371">
        <f t="shared" ref="BT87:CA94" si="63">IF(AND(BT$8&gt;=$D87,(MATCH(BT$8,$AF$8:$CA$8,0)-MATCH($D87,$AF$8:$CA$8,0))&lt;12),$E87/12,0)</f>
        <v>2751.3643794242585</v>
      </c>
      <c r="BU87" s="371">
        <f t="shared" si="63"/>
        <v>2751.3643794242585</v>
      </c>
      <c r="BV87" s="371">
        <f t="shared" si="63"/>
        <v>2751.3643794242585</v>
      </c>
      <c r="BW87" s="371">
        <f t="shared" si="63"/>
        <v>2751.3643794242585</v>
      </c>
      <c r="BX87" s="371">
        <f t="shared" si="63"/>
        <v>2751.3643794242585</v>
      </c>
      <c r="BY87" s="371">
        <f t="shared" si="63"/>
        <v>2751.3643794242585</v>
      </c>
      <c r="BZ87" s="371">
        <f t="shared" si="63"/>
        <v>2751.3643794242585</v>
      </c>
      <c r="CA87" s="371">
        <f t="shared" si="63"/>
        <v>2751.3643794242585</v>
      </c>
    </row>
    <row r="88" spans="2:79" ht="21" hidden="1" customHeight="1" outlineLevel="2">
      <c r="D88" s="374">
        <f t="shared" si="37"/>
        <v>46203</v>
      </c>
      <c r="E88" s="373" cm="1">
        <f t="array" ref="E88">INDEX($AF$31:$CA$31,0,MATCH($D88,$AF$8:$CA$8,0))</f>
        <v>36360.686278622015</v>
      </c>
      <c r="G88" s="359"/>
      <c r="H88" s="371">
        <f t="shared" si="57"/>
        <v>0</v>
      </c>
      <c r="I88" s="371">
        <f t="shared" si="57"/>
        <v>0</v>
      </c>
      <c r="J88" s="371">
        <f t="shared" si="57"/>
        <v>0</v>
      </c>
      <c r="K88" s="371">
        <f t="shared" si="57"/>
        <v>21210.400329196174</v>
      </c>
      <c r="L88" s="372"/>
      <c r="M88" s="359"/>
      <c r="N88" s="371">
        <f t="shared" si="58"/>
        <v>0</v>
      </c>
      <c r="O88" s="371">
        <f t="shared" si="58"/>
        <v>0</v>
      </c>
      <c r="P88" s="371">
        <f t="shared" si="58"/>
        <v>0</v>
      </c>
      <c r="Q88" s="371">
        <f t="shared" si="58"/>
        <v>0</v>
      </c>
      <c r="R88" s="371">
        <f t="shared" si="58"/>
        <v>0</v>
      </c>
      <c r="S88" s="371">
        <f t="shared" si="58"/>
        <v>0</v>
      </c>
      <c r="T88" s="371">
        <f t="shared" si="58"/>
        <v>0</v>
      </c>
      <c r="U88" s="371">
        <f t="shared" si="58"/>
        <v>0</v>
      </c>
      <c r="V88" s="371">
        <f t="shared" si="58"/>
        <v>0</v>
      </c>
      <c r="W88" s="371">
        <f t="shared" si="58"/>
        <v>0</v>
      </c>
      <c r="X88" s="371">
        <f t="shared" si="58"/>
        <v>0</v>
      </c>
      <c r="Y88" s="371">
        <f t="shared" si="58"/>
        <v>0</v>
      </c>
      <c r="Z88" s="371">
        <f t="shared" si="58"/>
        <v>0</v>
      </c>
      <c r="AA88" s="371">
        <f t="shared" si="58"/>
        <v>3030.0571898851681</v>
      </c>
      <c r="AB88" s="371">
        <f t="shared" si="58"/>
        <v>9090.1715696555038</v>
      </c>
      <c r="AC88" s="371">
        <f t="shared" si="58"/>
        <v>9090.1715696555038</v>
      </c>
      <c r="AE88" s="359"/>
      <c r="AF88" s="371">
        <f t="shared" si="59"/>
        <v>0</v>
      </c>
      <c r="AG88" s="371">
        <f t="shared" si="59"/>
        <v>0</v>
      </c>
      <c r="AH88" s="371">
        <f t="shared" si="59"/>
        <v>0</v>
      </c>
      <c r="AI88" s="371">
        <f t="shared" si="59"/>
        <v>0</v>
      </c>
      <c r="AJ88" s="371">
        <f t="shared" si="59"/>
        <v>0</v>
      </c>
      <c r="AK88" s="371">
        <f t="shared" si="59"/>
        <v>0</v>
      </c>
      <c r="AL88" s="371">
        <f t="shared" si="59"/>
        <v>0</v>
      </c>
      <c r="AM88" s="371">
        <f t="shared" si="59"/>
        <v>0</v>
      </c>
      <c r="AN88" s="371">
        <f t="shared" si="59"/>
        <v>0</v>
      </c>
      <c r="AO88" s="371">
        <f t="shared" si="59"/>
        <v>0</v>
      </c>
      <c r="AP88" s="371">
        <f t="shared" si="60"/>
        <v>0</v>
      </c>
      <c r="AQ88" s="371">
        <f t="shared" si="60"/>
        <v>0</v>
      </c>
      <c r="AR88" s="371">
        <f t="shared" si="60"/>
        <v>0</v>
      </c>
      <c r="AS88" s="371">
        <f t="shared" si="60"/>
        <v>0</v>
      </c>
      <c r="AT88" s="371">
        <f t="shared" si="60"/>
        <v>0</v>
      </c>
      <c r="AU88" s="371">
        <f t="shared" si="60"/>
        <v>0</v>
      </c>
      <c r="AV88" s="371">
        <f t="shared" si="60"/>
        <v>0</v>
      </c>
      <c r="AW88" s="371">
        <f t="shared" si="60"/>
        <v>0</v>
      </c>
      <c r="AX88" s="371">
        <f t="shared" si="60"/>
        <v>0</v>
      </c>
      <c r="AY88" s="371">
        <f t="shared" si="60"/>
        <v>0</v>
      </c>
      <c r="AZ88" s="371">
        <f t="shared" si="61"/>
        <v>0</v>
      </c>
      <c r="BA88" s="371">
        <f t="shared" si="61"/>
        <v>0</v>
      </c>
      <c r="BB88" s="371">
        <f t="shared" si="61"/>
        <v>0</v>
      </c>
      <c r="BC88" s="371">
        <f t="shared" si="61"/>
        <v>0</v>
      </c>
      <c r="BD88" s="371">
        <f t="shared" si="61"/>
        <v>0</v>
      </c>
      <c r="BE88" s="371">
        <f t="shared" si="61"/>
        <v>0</v>
      </c>
      <c r="BF88" s="371">
        <f t="shared" si="61"/>
        <v>0</v>
      </c>
      <c r="BG88" s="371">
        <f t="shared" si="61"/>
        <v>0</v>
      </c>
      <c r="BH88" s="371">
        <f t="shared" si="61"/>
        <v>0</v>
      </c>
      <c r="BI88" s="371">
        <f t="shared" si="61"/>
        <v>0</v>
      </c>
      <c r="BJ88" s="371">
        <f t="shared" si="62"/>
        <v>0</v>
      </c>
      <c r="BK88" s="371">
        <f t="shared" si="62"/>
        <v>0</v>
      </c>
      <c r="BL88" s="371">
        <f t="shared" si="62"/>
        <v>0</v>
      </c>
      <c r="BM88" s="371">
        <f t="shared" si="62"/>
        <v>0</v>
      </c>
      <c r="BN88" s="371">
        <f t="shared" si="62"/>
        <v>0</v>
      </c>
      <c r="BO88" s="371">
        <f t="shared" si="62"/>
        <v>0</v>
      </c>
      <c r="BP88" s="371">
        <f t="shared" si="62"/>
        <v>0</v>
      </c>
      <c r="BQ88" s="371">
        <f t="shared" si="62"/>
        <v>0</v>
      </c>
      <c r="BR88" s="371">
        <f t="shared" si="62"/>
        <v>0</v>
      </c>
      <c r="BS88" s="371">
        <f t="shared" si="62"/>
        <v>0</v>
      </c>
      <c r="BT88" s="371">
        <f t="shared" si="63"/>
        <v>0</v>
      </c>
      <c r="BU88" s="371">
        <f t="shared" si="63"/>
        <v>3030.0571898851681</v>
      </c>
      <c r="BV88" s="371">
        <f t="shared" si="63"/>
        <v>3030.0571898851681</v>
      </c>
      <c r="BW88" s="371">
        <f t="shared" si="63"/>
        <v>3030.0571898851681</v>
      </c>
      <c r="BX88" s="371">
        <f t="shared" si="63"/>
        <v>3030.0571898851681</v>
      </c>
      <c r="BY88" s="371">
        <f t="shared" si="63"/>
        <v>3030.0571898851681</v>
      </c>
      <c r="BZ88" s="371">
        <f t="shared" si="63"/>
        <v>3030.0571898851681</v>
      </c>
      <c r="CA88" s="371">
        <f t="shared" si="63"/>
        <v>3030.0571898851681</v>
      </c>
    </row>
    <row r="89" spans="2:79" ht="21" hidden="1" customHeight="1" outlineLevel="2">
      <c r="D89" s="374">
        <f t="shared" si="37"/>
        <v>46234</v>
      </c>
      <c r="E89" s="373" cm="1">
        <f t="array" ref="E89">INDEX($AF$31:$CA$31,0,MATCH($D89,$AF$8:$CA$8,0))</f>
        <v>39656.66814140822</v>
      </c>
      <c r="G89" s="359"/>
      <c r="H89" s="371">
        <f t="shared" si="57"/>
        <v>0</v>
      </c>
      <c r="I89" s="371">
        <f t="shared" si="57"/>
        <v>0</v>
      </c>
      <c r="J89" s="371">
        <f t="shared" si="57"/>
        <v>0</v>
      </c>
      <c r="K89" s="371">
        <f t="shared" si="57"/>
        <v>19828.33407070411</v>
      </c>
      <c r="L89" s="372"/>
      <c r="M89" s="359"/>
      <c r="N89" s="371">
        <f t="shared" si="58"/>
        <v>0</v>
      </c>
      <c r="O89" s="371">
        <f t="shared" si="58"/>
        <v>0</v>
      </c>
      <c r="P89" s="371">
        <f t="shared" si="58"/>
        <v>0</v>
      </c>
      <c r="Q89" s="371">
        <f t="shared" si="58"/>
        <v>0</v>
      </c>
      <c r="R89" s="371">
        <f t="shared" si="58"/>
        <v>0</v>
      </c>
      <c r="S89" s="371">
        <f t="shared" si="58"/>
        <v>0</v>
      </c>
      <c r="T89" s="371">
        <f t="shared" si="58"/>
        <v>0</v>
      </c>
      <c r="U89" s="371">
        <f t="shared" si="58"/>
        <v>0</v>
      </c>
      <c r="V89" s="371">
        <f t="shared" si="58"/>
        <v>0</v>
      </c>
      <c r="W89" s="371">
        <f t="shared" si="58"/>
        <v>0</v>
      </c>
      <c r="X89" s="371">
        <f t="shared" si="58"/>
        <v>0</v>
      </c>
      <c r="Y89" s="371">
        <f t="shared" si="58"/>
        <v>0</v>
      </c>
      <c r="Z89" s="371">
        <f t="shared" si="58"/>
        <v>0</v>
      </c>
      <c r="AA89" s="371">
        <f t="shared" si="58"/>
        <v>0</v>
      </c>
      <c r="AB89" s="371">
        <f t="shared" si="58"/>
        <v>9914.1670353520549</v>
      </c>
      <c r="AC89" s="371">
        <f t="shared" si="58"/>
        <v>9914.1670353520549</v>
      </c>
      <c r="AE89" s="359"/>
      <c r="AF89" s="371">
        <f t="shared" si="59"/>
        <v>0</v>
      </c>
      <c r="AG89" s="371">
        <f t="shared" si="59"/>
        <v>0</v>
      </c>
      <c r="AH89" s="371">
        <f t="shared" si="59"/>
        <v>0</v>
      </c>
      <c r="AI89" s="371">
        <f t="shared" si="59"/>
        <v>0</v>
      </c>
      <c r="AJ89" s="371">
        <f t="shared" si="59"/>
        <v>0</v>
      </c>
      <c r="AK89" s="371">
        <f t="shared" si="59"/>
        <v>0</v>
      </c>
      <c r="AL89" s="371">
        <f t="shared" si="59"/>
        <v>0</v>
      </c>
      <c r="AM89" s="371">
        <f t="shared" si="59"/>
        <v>0</v>
      </c>
      <c r="AN89" s="371">
        <f t="shared" si="59"/>
        <v>0</v>
      </c>
      <c r="AO89" s="371">
        <f t="shared" si="59"/>
        <v>0</v>
      </c>
      <c r="AP89" s="371">
        <f t="shared" si="60"/>
        <v>0</v>
      </c>
      <c r="AQ89" s="371">
        <f t="shared" si="60"/>
        <v>0</v>
      </c>
      <c r="AR89" s="371">
        <f t="shared" si="60"/>
        <v>0</v>
      </c>
      <c r="AS89" s="371">
        <f t="shared" si="60"/>
        <v>0</v>
      </c>
      <c r="AT89" s="371">
        <f t="shared" si="60"/>
        <v>0</v>
      </c>
      <c r="AU89" s="371">
        <f t="shared" si="60"/>
        <v>0</v>
      </c>
      <c r="AV89" s="371">
        <f t="shared" si="60"/>
        <v>0</v>
      </c>
      <c r="AW89" s="371">
        <f t="shared" si="60"/>
        <v>0</v>
      </c>
      <c r="AX89" s="371">
        <f t="shared" si="60"/>
        <v>0</v>
      </c>
      <c r="AY89" s="371">
        <f t="shared" si="60"/>
        <v>0</v>
      </c>
      <c r="AZ89" s="371">
        <f t="shared" si="61"/>
        <v>0</v>
      </c>
      <c r="BA89" s="371">
        <f t="shared" si="61"/>
        <v>0</v>
      </c>
      <c r="BB89" s="371">
        <f t="shared" si="61"/>
        <v>0</v>
      </c>
      <c r="BC89" s="371">
        <f t="shared" si="61"/>
        <v>0</v>
      </c>
      <c r="BD89" s="371">
        <f t="shared" si="61"/>
        <v>0</v>
      </c>
      <c r="BE89" s="371">
        <f t="shared" si="61"/>
        <v>0</v>
      </c>
      <c r="BF89" s="371">
        <f t="shared" si="61"/>
        <v>0</v>
      </c>
      <c r="BG89" s="371">
        <f t="shared" si="61"/>
        <v>0</v>
      </c>
      <c r="BH89" s="371">
        <f t="shared" si="61"/>
        <v>0</v>
      </c>
      <c r="BI89" s="371">
        <f t="shared" si="61"/>
        <v>0</v>
      </c>
      <c r="BJ89" s="371">
        <f t="shared" si="62"/>
        <v>0</v>
      </c>
      <c r="BK89" s="371">
        <f t="shared" si="62"/>
        <v>0</v>
      </c>
      <c r="BL89" s="371">
        <f t="shared" si="62"/>
        <v>0</v>
      </c>
      <c r="BM89" s="371">
        <f t="shared" si="62"/>
        <v>0</v>
      </c>
      <c r="BN89" s="371">
        <f t="shared" si="62"/>
        <v>0</v>
      </c>
      <c r="BO89" s="371">
        <f t="shared" si="62"/>
        <v>0</v>
      </c>
      <c r="BP89" s="371">
        <f t="shared" si="62"/>
        <v>0</v>
      </c>
      <c r="BQ89" s="371">
        <f t="shared" si="62"/>
        <v>0</v>
      </c>
      <c r="BR89" s="371">
        <f t="shared" si="62"/>
        <v>0</v>
      </c>
      <c r="BS89" s="371">
        <f t="shared" si="62"/>
        <v>0</v>
      </c>
      <c r="BT89" s="371">
        <f t="shared" si="63"/>
        <v>0</v>
      </c>
      <c r="BU89" s="371">
        <f t="shared" si="63"/>
        <v>0</v>
      </c>
      <c r="BV89" s="371">
        <f t="shared" si="63"/>
        <v>3304.7223451173518</v>
      </c>
      <c r="BW89" s="371">
        <f t="shared" si="63"/>
        <v>3304.7223451173518</v>
      </c>
      <c r="BX89" s="371">
        <f t="shared" si="63"/>
        <v>3304.7223451173518</v>
      </c>
      <c r="BY89" s="371">
        <f t="shared" si="63"/>
        <v>3304.7223451173518</v>
      </c>
      <c r="BZ89" s="371">
        <f t="shared" si="63"/>
        <v>3304.7223451173518</v>
      </c>
      <c r="CA89" s="371">
        <f t="shared" si="63"/>
        <v>3304.7223451173518</v>
      </c>
    </row>
    <row r="90" spans="2:79" ht="21" hidden="1" customHeight="1" outlineLevel="2">
      <c r="D90" s="374">
        <f t="shared" si="37"/>
        <v>46265</v>
      </c>
      <c r="E90" s="373" cm="1">
        <f t="array" ref="E90">INDEX($AF$31:$CA$31,0,MATCH($D90,$AF$8:$CA$8,0))</f>
        <v>42671.034822822316</v>
      </c>
      <c r="G90" s="359"/>
      <c r="H90" s="371">
        <f t="shared" si="57"/>
        <v>0</v>
      </c>
      <c r="I90" s="371">
        <f t="shared" si="57"/>
        <v>0</v>
      </c>
      <c r="J90" s="371">
        <f t="shared" si="57"/>
        <v>0</v>
      </c>
      <c r="K90" s="371">
        <f t="shared" si="57"/>
        <v>17779.597842842632</v>
      </c>
      <c r="L90" s="372"/>
      <c r="M90" s="359"/>
      <c r="N90" s="371">
        <f t="shared" si="58"/>
        <v>0</v>
      </c>
      <c r="O90" s="371">
        <f t="shared" si="58"/>
        <v>0</v>
      </c>
      <c r="P90" s="371">
        <f t="shared" si="58"/>
        <v>0</v>
      </c>
      <c r="Q90" s="371">
        <f t="shared" si="58"/>
        <v>0</v>
      </c>
      <c r="R90" s="371">
        <f t="shared" si="58"/>
        <v>0</v>
      </c>
      <c r="S90" s="371">
        <f t="shared" si="58"/>
        <v>0</v>
      </c>
      <c r="T90" s="371">
        <f t="shared" si="58"/>
        <v>0</v>
      </c>
      <c r="U90" s="371">
        <f t="shared" si="58"/>
        <v>0</v>
      </c>
      <c r="V90" s="371">
        <f t="shared" si="58"/>
        <v>0</v>
      </c>
      <c r="W90" s="371">
        <f t="shared" si="58"/>
        <v>0</v>
      </c>
      <c r="X90" s="371">
        <f t="shared" si="58"/>
        <v>0</v>
      </c>
      <c r="Y90" s="371">
        <f t="shared" si="58"/>
        <v>0</v>
      </c>
      <c r="Z90" s="371">
        <f t="shared" si="58"/>
        <v>0</v>
      </c>
      <c r="AA90" s="371">
        <f t="shared" si="58"/>
        <v>0</v>
      </c>
      <c r="AB90" s="371">
        <f t="shared" si="58"/>
        <v>7111.8391371370526</v>
      </c>
      <c r="AC90" s="371">
        <f t="shared" si="58"/>
        <v>10667.758705705579</v>
      </c>
      <c r="AE90" s="359"/>
      <c r="AF90" s="371">
        <f t="shared" si="59"/>
        <v>0</v>
      </c>
      <c r="AG90" s="371">
        <f t="shared" si="59"/>
        <v>0</v>
      </c>
      <c r="AH90" s="371">
        <f t="shared" si="59"/>
        <v>0</v>
      </c>
      <c r="AI90" s="371">
        <f t="shared" si="59"/>
        <v>0</v>
      </c>
      <c r="AJ90" s="371">
        <f t="shared" si="59"/>
        <v>0</v>
      </c>
      <c r="AK90" s="371">
        <f t="shared" si="59"/>
        <v>0</v>
      </c>
      <c r="AL90" s="371">
        <f t="shared" si="59"/>
        <v>0</v>
      </c>
      <c r="AM90" s="371">
        <f t="shared" si="59"/>
        <v>0</v>
      </c>
      <c r="AN90" s="371">
        <f t="shared" si="59"/>
        <v>0</v>
      </c>
      <c r="AO90" s="371">
        <f t="shared" si="59"/>
        <v>0</v>
      </c>
      <c r="AP90" s="371">
        <f t="shared" si="60"/>
        <v>0</v>
      </c>
      <c r="AQ90" s="371">
        <f t="shared" si="60"/>
        <v>0</v>
      </c>
      <c r="AR90" s="371">
        <f t="shared" si="60"/>
        <v>0</v>
      </c>
      <c r="AS90" s="371">
        <f t="shared" si="60"/>
        <v>0</v>
      </c>
      <c r="AT90" s="371">
        <f t="shared" si="60"/>
        <v>0</v>
      </c>
      <c r="AU90" s="371">
        <f t="shared" si="60"/>
        <v>0</v>
      </c>
      <c r="AV90" s="371">
        <f t="shared" si="60"/>
        <v>0</v>
      </c>
      <c r="AW90" s="371">
        <f t="shared" si="60"/>
        <v>0</v>
      </c>
      <c r="AX90" s="371">
        <f t="shared" si="60"/>
        <v>0</v>
      </c>
      <c r="AY90" s="371">
        <f t="shared" si="60"/>
        <v>0</v>
      </c>
      <c r="AZ90" s="371">
        <f t="shared" si="61"/>
        <v>0</v>
      </c>
      <c r="BA90" s="371">
        <f t="shared" si="61"/>
        <v>0</v>
      </c>
      <c r="BB90" s="371">
        <f t="shared" si="61"/>
        <v>0</v>
      </c>
      <c r="BC90" s="371">
        <f t="shared" si="61"/>
        <v>0</v>
      </c>
      <c r="BD90" s="371">
        <f t="shared" si="61"/>
        <v>0</v>
      </c>
      <c r="BE90" s="371">
        <f t="shared" si="61"/>
        <v>0</v>
      </c>
      <c r="BF90" s="371">
        <f t="shared" si="61"/>
        <v>0</v>
      </c>
      <c r="BG90" s="371">
        <f t="shared" si="61"/>
        <v>0</v>
      </c>
      <c r="BH90" s="371">
        <f t="shared" si="61"/>
        <v>0</v>
      </c>
      <c r="BI90" s="371">
        <f t="shared" si="61"/>
        <v>0</v>
      </c>
      <c r="BJ90" s="371">
        <f t="shared" si="62"/>
        <v>0</v>
      </c>
      <c r="BK90" s="371">
        <f t="shared" si="62"/>
        <v>0</v>
      </c>
      <c r="BL90" s="371">
        <f t="shared" si="62"/>
        <v>0</v>
      </c>
      <c r="BM90" s="371">
        <f t="shared" si="62"/>
        <v>0</v>
      </c>
      <c r="BN90" s="371">
        <f t="shared" si="62"/>
        <v>0</v>
      </c>
      <c r="BO90" s="371">
        <f t="shared" si="62"/>
        <v>0</v>
      </c>
      <c r="BP90" s="371">
        <f t="shared" si="62"/>
        <v>0</v>
      </c>
      <c r="BQ90" s="371">
        <f t="shared" si="62"/>
        <v>0</v>
      </c>
      <c r="BR90" s="371">
        <f t="shared" si="62"/>
        <v>0</v>
      </c>
      <c r="BS90" s="371">
        <f t="shared" si="62"/>
        <v>0</v>
      </c>
      <c r="BT90" s="371">
        <f t="shared" si="63"/>
        <v>0</v>
      </c>
      <c r="BU90" s="371">
        <f t="shared" si="63"/>
        <v>0</v>
      </c>
      <c r="BV90" s="371">
        <f t="shared" si="63"/>
        <v>0</v>
      </c>
      <c r="BW90" s="371">
        <f t="shared" si="63"/>
        <v>3555.9195685685263</v>
      </c>
      <c r="BX90" s="371">
        <f t="shared" si="63"/>
        <v>3555.9195685685263</v>
      </c>
      <c r="BY90" s="371">
        <f t="shared" si="63"/>
        <v>3555.9195685685263</v>
      </c>
      <c r="BZ90" s="371">
        <f t="shared" si="63"/>
        <v>3555.9195685685263</v>
      </c>
      <c r="CA90" s="371">
        <f t="shared" si="63"/>
        <v>3555.9195685685263</v>
      </c>
    </row>
    <row r="91" spans="2:79" ht="21" hidden="1" customHeight="1" outlineLevel="2">
      <c r="D91" s="374">
        <f t="shared" si="37"/>
        <v>46295</v>
      </c>
      <c r="E91" s="373" cm="1">
        <f t="array" ref="E91">INDEX($AF$31:$CA$31,0,MATCH($D91,$AF$8:$CA$8,0))</f>
        <v>46310.620171050519</v>
      </c>
      <c r="G91" s="359"/>
      <c r="H91" s="371">
        <f t="shared" si="57"/>
        <v>0</v>
      </c>
      <c r="I91" s="371">
        <f t="shared" si="57"/>
        <v>0</v>
      </c>
      <c r="J91" s="371">
        <f t="shared" si="57"/>
        <v>0</v>
      </c>
      <c r="K91" s="371">
        <f t="shared" si="57"/>
        <v>15436.873390350172</v>
      </c>
      <c r="L91" s="372"/>
      <c r="M91" s="359"/>
      <c r="N91" s="371">
        <f t="shared" si="58"/>
        <v>0</v>
      </c>
      <c r="O91" s="371">
        <f t="shared" si="58"/>
        <v>0</v>
      </c>
      <c r="P91" s="371">
        <f t="shared" si="58"/>
        <v>0</v>
      </c>
      <c r="Q91" s="371">
        <f t="shared" si="58"/>
        <v>0</v>
      </c>
      <c r="R91" s="371">
        <f t="shared" si="58"/>
        <v>0</v>
      </c>
      <c r="S91" s="371">
        <f t="shared" si="58"/>
        <v>0</v>
      </c>
      <c r="T91" s="371">
        <f t="shared" si="58"/>
        <v>0</v>
      </c>
      <c r="U91" s="371">
        <f t="shared" si="58"/>
        <v>0</v>
      </c>
      <c r="V91" s="371">
        <f t="shared" si="58"/>
        <v>0</v>
      </c>
      <c r="W91" s="371">
        <f t="shared" si="58"/>
        <v>0</v>
      </c>
      <c r="X91" s="371">
        <f t="shared" si="58"/>
        <v>0</v>
      </c>
      <c r="Y91" s="371">
        <f t="shared" si="58"/>
        <v>0</v>
      </c>
      <c r="Z91" s="371">
        <f t="shared" si="58"/>
        <v>0</v>
      </c>
      <c r="AA91" s="371">
        <f t="shared" si="58"/>
        <v>0</v>
      </c>
      <c r="AB91" s="371">
        <f t="shared" si="58"/>
        <v>3859.2183475875431</v>
      </c>
      <c r="AC91" s="371">
        <f t="shared" si="58"/>
        <v>11577.65504276263</v>
      </c>
      <c r="AE91" s="359"/>
      <c r="AF91" s="371">
        <f t="shared" si="59"/>
        <v>0</v>
      </c>
      <c r="AG91" s="371">
        <f t="shared" si="59"/>
        <v>0</v>
      </c>
      <c r="AH91" s="371">
        <f t="shared" si="59"/>
        <v>0</v>
      </c>
      <c r="AI91" s="371">
        <f t="shared" si="59"/>
        <v>0</v>
      </c>
      <c r="AJ91" s="371">
        <f t="shared" si="59"/>
        <v>0</v>
      </c>
      <c r="AK91" s="371">
        <f t="shared" si="59"/>
        <v>0</v>
      </c>
      <c r="AL91" s="371">
        <f t="shared" si="59"/>
        <v>0</v>
      </c>
      <c r="AM91" s="371">
        <f t="shared" si="59"/>
        <v>0</v>
      </c>
      <c r="AN91" s="371">
        <f t="shared" si="59"/>
        <v>0</v>
      </c>
      <c r="AO91" s="371">
        <f t="shared" si="59"/>
        <v>0</v>
      </c>
      <c r="AP91" s="371">
        <f t="shared" si="60"/>
        <v>0</v>
      </c>
      <c r="AQ91" s="371">
        <f t="shared" si="60"/>
        <v>0</v>
      </c>
      <c r="AR91" s="371">
        <f t="shared" si="60"/>
        <v>0</v>
      </c>
      <c r="AS91" s="371">
        <f t="shared" si="60"/>
        <v>0</v>
      </c>
      <c r="AT91" s="371">
        <f t="shared" si="60"/>
        <v>0</v>
      </c>
      <c r="AU91" s="371">
        <f t="shared" si="60"/>
        <v>0</v>
      </c>
      <c r="AV91" s="371">
        <f t="shared" si="60"/>
        <v>0</v>
      </c>
      <c r="AW91" s="371">
        <f t="shared" si="60"/>
        <v>0</v>
      </c>
      <c r="AX91" s="371">
        <f t="shared" si="60"/>
        <v>0</v>
      </c>
      <c r="AY91" s="371">
        <f t="shared" si="60"/>
        <v>0</v>
      </c>
      <c r="AZ91" s="371">
        <f t="shared" si="61"/>
        <v>0</v>
      </c>
      <c r="BA91" s="371">
        <f t="shared" si="61"/>
        <v>0</v>
      </c>
      <c r="BB91" s="371">
        <f t="shared" si="61"/>
        <v>0</v>
      </c>
      <c r="BC91" s="371">
        <f t="shared" si="61"/>
        <v>0</v>
      </c>
      <c r="BD91" s="371">
        <f t="shared" si="61"/>
        <v>0</v>
      </c>
      <c r="BE91" s="371">
        <f t="shared" si="61"/>
        <v>0</v>
      </c>
      <c r="BF91" s="371">
        <f t="shared" si="61"/>
        <v>0</v>
      </c>
      <c r="BG91" s="371">
        <f t="shared" si="61"/>
        <v>0</v>
      </c>
      <c r="BH91" s="371">
        <f t="shared" si="61"/>
        <v>0</v>
      </c>
      <c r="BI91" s="371">
        <f t="shared" si="61"/>
        <v>0</v>
      </c>
      <c r="BJ91" s="371">
        <f t="shared" si="62"/>
        <v>0</v>
      </c>
      <c r="BK91" s="371">
        <f t="shared" si="62"/>
        <v>0</v>
      </c>
      <c r="BL91" s="371">
        <f t="shared" si="62"/>
        <v>0</v>
      </c>
      <c r="BM91" s="371">
        <f t="shared" si="62"/>
        <v>0</v>
      </c>
      <c r="BN91" s="371">
        <f t="shared" si="62"/>
        <v>0</v>
      </c>
      <c r="BO91" s="371">
        <f t="shared" si="62"/>
        <v>0</v>
      </c>
      <c r="BP91" s="371">
        <f t="shared" si="62"/>
        <v>0</v>
      </c>
      <c r="BQ91" s="371">
        <f t="shared" si="62"/>
        <v>0</v>
      </c>
      <c r="BR91" s="371">
        <f t="shared" si="62"/>
        <v>0</v>
      </c>
      <c r="BS91" s="371">
        <f t="shared" si="62"/>
        <v>0</v>
      </c>
      <c r="BT91" s="371">
        <f t="shared" si="63"/>
        <v>0</v>
      </c>
      <c r="BU91" s="371">
        <f t="shared" si="63"/>
        <v>0</v>
      </c>
      <c r="BV91" s="371">
        <f t="shared" si="63"/>
        <v>0</v>
      </c>
      <c r="BW91" s="371">
        <f t="shared" si="63"/>
        <v>0</v>
      </c>
      <c r="BX91" s="371">
        <f t="shared" si="63"/>
        <v>3859.2183475875431</v>
      </c>
      <c r="BY91" s="371">
        <f t="shared" si="63"/>
        <v>3859.2183475875431</v>
      </c>
      <c r="BZ91" s="371">
        <f t="shared" si="63"/>
        <v>3859.2183475875431</v>
      </c>
      <c r="CA91" s="371">
        <f t="shared" si="63"/>
        <v>3859.2183475875431</v>
      </c>
    </row>
    <row r="92" spans="2:79" ht="21" hidden="1" customHeight="1" outlineLevel="2">
      <c r="D92" s="374">
        <f t="shared" si="37"/>
        <v>46326</v>
      </c>
      <c r="E92" s="373" cm="1">
        <f t="array" ref="E92">INDEX($AF$31:$CA$31,0,MATCH($D92,$AF$8:$CA$8,0))</f>
        <v>49684.701372761025</v>
      </c>
      <c r="G92" s="359"/>
      <c r="H92" s="371">
        <f t="shared" si="57"/>
        <v>0</v>
      </c>
      <c r="I92" s="371">
        <f t="shared" si="57"/>
        <v>0</v>
      </c>
      <c r="J92" s="371">
        <f t="shared" si="57"/>
        <v>0</v>
      </c>
      <c r="K92" s="371">
        <f t="shared" si="57"/>
        <v>12421.175343190254</v>
      </c>
      <c r="L92" s="372"/>
      <c r="M92" s="359"/>
      <c r="N92" s="371">
        <f t="shared" si="58"/>
        <v>0</v>
      </c>
      <c r="O92" s="371">
        <f t="shared" si="58"/>
        <v>0</v>
      </c>
      <c r="P92" s="371">
        <f t="shared" si="58"/>
        <v>0</v>
      </c>
      <c r="Q92" s="371">
        <f t="shared" si="58"/>
        <v>0</v>
      </c>
      <c r="R92" s="371">
        <f t="shared" si="58"/>
        <v>0</v>
      </c>
      <c r="S92" s="371">
        <f t="shared" si="58"/>
        <v>0</v>
      </c>
      <c r="T92" s="371">
        <f t="shared" si="58"/>
        <v>0</v>
      </c>
      <c r="U92" s="371">
        <f t="shared" si="58"/>
        <v>0</v>
      </c>
      <c r="V92" s="371">
        <f t="shared" si="58"/>
        <v>0</v>
      </c>
      <c r="W92" s="371">
        <f t="shared" si="58"/>
        <v>0</v>
      </c>
      <c r="X92" s="371">
        <f t="shared" si="58"/>
        <v>0</v>
      </c>
      <c r="Y92" s="371">
        <f t="shared" si="58"/>
        <v>0</v>
      </c>
      <c r="Z92" s="371">
        <f t="shared" si="58"/>
        <v>0</v>
      </c>
      <c r="AA92" s="371">
        <f t="shared" si="58"/>
        <v>0</v>
      </c>
      <c r="AB92" s="371">
        <f t="shared" si="58"/>
        <v>0</v>
      </c>
      <c r="AC92" s="371">
        <f t="shared" si="58"/>
        <v>12421.175343190254</v>
      </c>
      <c r="AE92" s="359"/>
      <c r="AF92" s="371">
        <f t="shared" si="59"/>
        <v>0</v>
      </c>
      <c r="AG92" s="371">
        <f t="shared" si="59"/>
        <v>0</v>
      </c>
      <c r="AH92" s="371">
        <f t="shared" si="59"/>
        <v>0</v>
      </c>
      <c r="AI92" s="371">
        <f t="shared" si="59"/>
        <v>0</v>
      </c>
      <c r="AJ92" s="371">
        <f t="shared" si="59"/>
        <v>0</v>
      </c>
      <c r="AK92" s="371">
        <f t="shared" si="59"/>
        <v>0</v>
      </c>
      <c r="AL92" s="371">
        <f t="shared" si="59"/>
        <v>0</v>
      </c>
      <c r="AM92" s="371">
        <f t="shared" si="59"/>
        <v>0</v>
      </c>
      <c r="AN92" s="371">
        <f t="shared" si="59"/>
        <v>0</v>
      </c>
      <c r="AO92" s="371">
        <f t="shared" si="59"/>
        <v>0</v>
      </c>
      <c r="AP92" s="371">
        <f t="shared" si="60"/>
        <v>0</v>
      </c>
      <c r="AQ92" s="371">
        <f t="shared" si="60"/>
        <v>0</v>
      </c>
      <c r="AR92" s="371">
        <f t="shared" si="60"/>
        <v>0</v>
      </c>
      <c r="AS92" s="371">
        <f t="shared" si="60"/>
        <v>0</v>
      </c>
      <c r="AT92" s="371">
        <f t="shared" si="60"/>
        <v>0</v>
      </c>
      <c r="AU92" s="371">
        <f t="shared" si="60"/>
        <v>0</v>
      </c>
      <c r="AV92" s="371">
        <f t="shared" si="60"/>
        <v>0</v>
      </c>
      <c r="AW92" s="371">
        <f t="shared" si="60"/>
        <v>0</v>
      </c>
      <c r="AX92" s="371">
        <f t="shared" si="60"/>
        <v>0</v>
      </c>
      <c r="AY92" s="371">
        <f t="shared" si="60"/>
        <v>0</v>
      </c>
      <c r="AZ92" s="371">
        <f t="shared" si="61"/>
        <v>0</v>
      </c>
      <c r="BA92" s="371">
        <f t="shared" si="61"/>
        <v>0</v>
      </c>
      <c r="BB92" s="371">
        <f t="shared" si="61"/>
        <v>0</v>
      </c>
      <c r="BC92" s="371">
        <f t="shared" si="61"/>
        <v>0</v>
      </c>
      <c r="BD92" s="371">
        <f t="shared" si="61"/>
        <v>0</v>
      </c>
      <c r="BE92" s="371">
        <f t="shared" si="61"/>
        <v>0</v>
      </c>
      <c r="BF92" s="371">
        <f t="shared" si="61"/>
        <v>0</v>
      </c>
      <c r="BG92" s="371">
        <f t="shared" si="61"/>
        <v>0</v>
      </c>
      <c r="BH92" s="371">
        <f t="shared" si="61"/>
        <v>0</v>
      </c>
      <c r="BI92" s="371">
        <f t="shared" si="61"/>
        <v>0</v>
      </c>
      <c r="BJ92" s="371">
        <f t="shared" si="62"/>
        <v>0</v>
      </c>
      <c r="BK92" s="371">
        <f t="shared" si="62"/>
        <v>0</v>
      </c>
      <c r="BL92" s="371">
        <f t="shared" si="62"/>
        <v>0</v>
      </c>
      <c r="BM92" s="371">
        <f t="shared" si="62"/>
        <v>0</v>
      </c>
      <c r="BN92" s="371">
        <f t="shared" si="62"/>
        <v>0</v>
      </c>
      <c r="BO92" s="371">
        <f t="shared" si="62"/>
        <v>0</v>
      </c>
      <c r="BP92" s="371">
        <f t="shared" si="62"/>
        <v>0</v>
      </c>
      <c r="BQ92" s="371">
        <f t="shared" si="62"/>
        <v>0</v>
      </c>
      <c r="BR92" s="371">
        <f t="shared" si="62"/>
        <v>0</v>
      </c>
      <c r="BS92" s="371">
        <f t="shared" si="62"/>
        <v>0</v>
      </c>
      <c r="BT92" s="371">
        <f t="shared" si="63"/>
        <v>0</v>
      </c>
      <c r="BU92" s="371">
        <f t="shared" si="63"/>
        <v>0</v>
      </c>
      <c r="BV92" s="371">
        <f t="shared" si="63"/>
        <v>0</v>
      </c>
      <c r="BW92" s="371">
        <f t="shared" si="63"/>
        <v>0</v>
      </c>
      <c r="BX92" s="371">
        <f t="shared" si="63"/>
        <v>0</v>
      </c>
      <c r="BY92" s="371">
        <f t="shared" si="63"/>
        <v>4140.3917810634184</v>
      </c>
      <c r="BZ92" s="371">
        <f t="shared" si="63"/>
        <v>4140.3917810634184</v>
      </c>
      <c r="CA92" s="371">
        <f t="shared" si="63"/>
        <v>4140.3917810634184</v>
      </c>
    </row>
    <row r="93" spans="2:79" ht="21" hidden="1" customHeight="1" outlineLevel="2">
      <c r="D93" s="374">
        <f t="shared" si="37"/>
        <v>46356</v>
      </c>
      <c r="E93" s="373" cm="1">
        <f t="array" ref="E93">INDEX($AF$31:$CA$31,0,MATCH($D93,$AF$8:$CA$8,0))</f>
        <v>52857.348386488629</v>
      </c>
      <c r="G93" s="359"/>
      <c r="H93" s="371">
        <f t="shared" si="57"/>
        <v>0</v>
      </c>
      <c r="I93" s="371">
        <f t="shared" si="57"/>
        <v>0</v>
      </c>
      <c r="J93" s="371">
        <f t="shared" si="57"/>
        <v>0</v>
      </c>
      <c r="K93" s="371">
        <f t="shared" si="57"/>
        <v>8809.5580644147722</v>
      </c>
      <c r="L93" s="372"/>
      <c r="M93" s="359"/>
      <c r="N93" s="371">
        <f t="shared" si="58"/>
        <v>0</v>
      </c>
      <c r="O93" s="371">
        <f t="shared" si="58"/>
        <v>0</v>
      </c>
      <c r="P93" s="371">
        <f t="shared" si="58"/>
        <v>0</v>
      </c>
      <c r="Q93" s="371">
        <f t="shared" si="58"/>
        <v>0</v>
      </c>
      <c r="R93" s="371">
        <f t="shared" si="58"/>
        <v>0</v>
      </c>
      <c r="S93" s="371">
        <f t="shared" si="58"/>
        <v>0</v>
      </c>
      <c r="T93" s="371">
        <f t="shared" si="58"/>
        <v>0</v>
      </c>
      <c r="U93" s="371">
        <f t="shared" si="58"/>
        <v>0</v>
      </c>
      <c r="V93" s="371">
        <f t="shared" si="58"/>
        <v>0</v>
      </c>
      <c r="W93" s="371">
        <f t="shared" si="58"/>
        <v>0</v>
      </c>
      <c r="X93" s="371">
        <f t="shared" si="58"/>
        <v>0</v>
      </c>
      <c r="Y93" s="371">
        <f t="shared" si="58"/>
        <v>0</v>
      </c>
      <c r="Z93" s="371">
        <f t="shared" si="58"/>
        <v>0</v>
      </c>
      <c r="AA93" s="371">
        <f t="shared" si="58"/>
        <v>0</v>
      </c>
      <c r="AB93" s="371">
        <f t="shared" si="58"/>
        <v>0</v>
      </c>
      <c r="AC93" s="371">
        <f t="shared" si="58"/>
        <v>8809.5580644147722</v>
      </c>
      <c r="AE93" s="359"/>
      <c r="AF93" s="371">
        <f t="shared" si="59"/>
        <v>0</v>
      </c>
      <c r="AG93" s="371">
        <f t="shared" si="59"/>
        <v>0</v>
      </c>
      <c r="AH93" s="371">
        <f t="shared" si="59"/>
        <v>0</v>
      </c>
      <c r="AI93" s="371">
        <f t="shared" si="59"/>
        <v>0</v>
      </c>
      <c r="AJ93" s="371">
        <f t="shared" si="59"/>
        <v>0</v>
      </c>
      <c r="AK93" s="371">
        <f t="shared" si="59"/>
        <v>0</v>
      </c>
      <c r="AL93" s="371">
        <f t="shared" si="59"/>
        <v>0</v>
      </c>
      <c r="AM93" s="371">
        <f t="shared" si="59"/>
        <v>0</v>
      </c>
      <c r="AN93" s="371">
        <f t="shared" si="59"/>
        <v>0</v>
      </c>
      <c r="AO93" s="371">
        <f t="shared" si="59"/>
        <v>0</v>
      </c>
      <c r="AP93" s="371">
        <f t="shared" si="60"/>
        <v>0</v>
      </c>
      <c r="AQ93" s="371">
        <f t="shared" si="60"/>
        <v>0</v>
      </c>
      <c r="AR93" s="371">
        <f t="shared" si="60"/>
        <v>0</v>
      </c>
      <c r="AS93" s="371">
        <f t="shared" si="60"/>
        <v>0</v>
      </c>
      <c r="AT93" s="371">
        <f t="shared" si="60"/>
        <v>0</v>
      </c>
      <c r="AU93" s="371">
        <f t="shared" si="60"/>
        <v>0</v>
      </c>
      <c r="AV93" s="371">
        <f t="shared" si="60"/>
        <v>0</v>
      </c>
      <c r="AW93" s="371">
        <f t="shared" si="60"/>
        <v>0</v>
      </c>
      <c r="AX93" s="371">
        <f t="shared" si="60"/>
        <v>0</v>
      </c>
      <c r="AY93" s="371">
        <f t="shared" si="60"/>
        <v>0</v>
      </c>
      <c r="AZ93" s="371">
        <f t="shared" si="61"/>
        <v>0</v>
      </c>
      <c r="BA93" s="371">
        <f t="shared" si="61"/>
        <v>0</v>
      </c>
      <c r="BB93" s="371">
        <f t="shared" si="61"/>
        <v>0</v>
      </c>
      <c r="BC93" s="371">
        <f t="shared" si="61"/>
        <v>0</v>
      </c>
      <c r="BD93" s="371">
        <f t="shared" si="61"/>
        <v>0</v>
      </c>
      <c r="BE93" s="371">
        <f t="shared" si="61"/>
        <v>0</v>
      </c>
      <c r="BF93" s="371">
        <f t="shared" si="61"/>
        <v>0</v>
      </c>
      <c r="BG93" s="371">
        <f t="shared" si="61"/>
        <v>0</v>
      </c>
      <c r="BH93" s="371">
        <f t="shared" si="61"/>
        <v>0</v>
      </c>
      <c r="BI93" s="371">
        <f t="shared" si="61"/>
        <v>0</v>
      </c>
      <c r="BJ93" s="371">
        <f t="shared" si="62"/>
        <v>0</v>
      </c>
      <c r="BK93" s="371">
        <f t="shared" si="62"/>
        <v>0</v>
      </c>
      <c r="BL93" s="371">
        <f t="shared" si="62"/>
        <v>0</v>
      </c>
      <c r="BM93" s="371">
        <f t="shared" si="62"/>
        <v>0</v>
      </c>
      <c r="BN93" s="371">
        <f t="shared" si="62"/>
        <v>0</v>
      </c>
      <c r="BO93" s="371">
        <f t="shared" si="62"/>
        <v>0</v>
      </c>
      <c r="BP93" s="371">
        <f t="shared" si="62"/>
        <v>0</v>
      </c>
      <c r="BQ93" s="371">
        <f t="shared" si="62"/>
        <v>0</v>
      </c>
      <c r="BR93" s="371">
        <f t="shared" si="62"/>
        <v>0</v>
      </c>
      <c r="BS93" s="371">
        <f t="shared" si="62"/>
        <v>0</v>
      </c>
      <c r="BT93" s="371">
        <f t="shared" si="63"/>
        <v>0</v>
      </c>
      <c r="BU93" s="371">
        <f t="shared" si="63"/>
        <v>0</v>
      </c>
      <c r="BV93" s="371">
        <f t="shared" si="63"/>
        <v>0</v>
      </c>
      <c r="BW93" s="371">
        <f t="shared" si="63"/>
        <v>0</v>
      </c>
      <c r="BX93" s="371">
        <f t="shared" si="63"/>
        <v>0</v>
      </c>
      <c r="BY93" s="371">
        <f t="shared" si="63"/>
        <v>0</v>
      </c>
      <c r="BZ93" s="371">
        <f t="shared" si="63"/>
        <v>4404.7790322073861</v>
      </c>
      <c r="CA93" s="371">
        <f t="shared" si="63"/>
        <v>4404.7790322073861</v>
      </c>
    </row>
    <row r="94" spans="2:79" ht="21" hidden="1" customHeight="1" outlineLevel="2">
      <c r="D94" s="374">
        <f t="shared" si="37"/>
        <v>46387</v>
      </c>
      <c r="E94" s="373" cm="1">
        <f t="array" ref="E94">INDEX($AF$31:$CA$31,0,MATCH($D94,$AF$8:$CA$8,0))</f>
        <v>56619.171870353508</v>
      </c>
      <c r="G94" s="359"/>
      <c r="H94" s="371">
        <f t="shared" si="57"/>
        <v>0</v>
      </c>
      <c r="I94" s="371">
        <f t="shared" si="57"/>
        <v>0</v>
      </c>
      <c r="J94" s="371">
        <f t="shared" si="57"/>
        <v>0</v>
      </c>
      <c r="K94" s="371">
        <f t="shared" si="57"/>
        <v>4718.2643225294587</v>
      </c>
      <c r="L94" s="372"/>
      <c r="M94" s="359"/>
      <c r="N94" s="371">
        <f t="shared" si="58"/>
        <v>0</v>
      </c>
      <c r="O94" s="371">
        <f t="shared" si="58"/>
        <v>0</v>
      </c>
      <c r="P94" s="371">
        <f t="shared" si="58"/>
        <v>0</v>
      </c>
      <c r="Q94" s="371">
        <f t="shared" si="58"/>
        <v>0</v>
      </c>
      <c r="R94" s="371">
        <f t="shared" si="58"/>
        <v>0</v>
      </c>
      <c r="S94" s="371">
        <f t="shared" si="58"/>
        <v>0</v>
      </c>
      <c r="T94" s="371">
        <f t="shared" si="58"/>
        <v>0</v>
      </c>
      <c r="U94" s="371">
        <f t="shared" si="58"/>
        <v>0</v>
      </c>
      <c r="V94" s="371">
        <f t="shared" si="58"/>
        <v>0</v>
      </c>
      <c r="W94" s="371">
        <f t="shared" si="58"/>
        <v>0</v>
      </c>
      <c r="X94" s="371">
        <f t="shared" si="58"/>
        <v>0</v>
      </c>
      <c r="Y94" s="371">
        <f t="shared" si="58"/>
        <v>0</v>
      </c>
      <c r="Z94" s="371">
        <f t="shared" si="58"/>
        <v>0</v>
      </c>
      <c r="AA94" s="371">
        <f t="shared" si="58"/>
        <v>0</v>
      </c>
      <c r="AB94" s="371">
        <f t="shared" si="58"/>
        <v>0</v>
      </c>
      <c r="AC94" s="371">
        <f t="shared" si="58"/>
        <v>4718.2643225294587</v>
      </c>
      <c r="AE94" s="359"/>
      <c r="AF94" s="371">
        <f t="shared" si="59"/>
        <v>0</v>
      </c>
      <c r="AG94" s="371">
        <f t="shared" si="59"/>
        <v>0</v>
      </c>
      <c r="AH94" s="371">
        <f t="shared" si="59"/>
        <v>0</v>
      </c>
      <c r="AI94" s="371">
        <f t="shared" si="59"/>
        <v>0</v>
      </c>
      <c r="AJ94" s="371">
        <f t="shared" si="59"/>
        <v>0</v>
      </c>
      <c r="AK94" s="371">
        <f t="shared" si="59"/>
        <v>0</v>
      </c>
      <c r="AL94" s="371">
        <f t="shared" si="59"/>
        <v>0</v>
      </c>
      <c r="AM94" s="371">
        <f t="shared" si="59"/>
        <v>0</v>
      </c>
      <c r="AN94" s="371">
        <f t="shared" si="59"/>
        <v>0</v>
      </c>
      <c r="AO94" s="371">
        <f t="shared" si="59"/>
        <v>0</v>
      </c>
      <c r="AP94" s="371">
        <f t="shared" si="60"/>
        <v>0</v>
      </c>
      <c r="AQ94" s="371">
        <f t="shared" si="60"/>
        <v>0</v>
      </c>
      <c r="AR94" s="371">
        <f t="shared" si="60"/>
        <v>0</v>
      </c>
      <c r="AS94" s="371">
        <f t="shared" si="60"/>
        <v>0</v>
      </c>
      <c r="AT94" s="371">
        <f t="shared" si="60"/>
        <v>0</v>
      </c>
      <c r="AU94" s="371">
        <f t="shared" si="60"/>
        <v>0</v>
      </c>
      <c r="AV94" s="371">
        <f t="shared" si="60"/>
        <v>0</v>
      </c>
      <c r="AW94" s="371">
        <f t="shared" si="60"/>
        <v>0</v>
      </c>
      <c r="AX94" s="371">
        <f t="shared" si="60"/>
        <v>0</v>
      </c>
      <c r="AY94" s="371">
        <f t="shared" si="60"/>
        <v>0</v>
      </c>
      <c r="AZ94" s="371">
        <f t="shared" si="61"/>
        <v>0</v>
      </c>
      <c r="BA94" s="371">
        <f t="shared" si="61"/>
        <v>0</v>
      </c>
      <c r="BB94" s="371">
        <f t="shared" si="61"/>
        <v>0</v>
      </c>
      <c r="BC94" s="371">
        <f t="shared" si="61"/>
        <v>0</v>
      </c>
      <c r="BD94" s="371">
        <f t="shared" si="61"/>
        <v>0</v>
      </c>
      <c r="BE94" s="371">
        <f t="shared" si="61"/>
        <v>0</v>
      </c>
      <c r="BF94" s="371">
        <f t="shared" si="61"/>
        <v>0</v>
      </c>
      <c r="BG94" s="371">
        <f t="shared" si="61"/>
        <v>0</v>
      </c>
      <c r="BH94" s="371">
        <f t="shared" si="61"/>
        <v>0</v>
      </c>
      <c r="BI94" s="371">
        <f t="shared" si="61"/>
        <v>0</v>
      </c>
      <c r="BJ94" s="371">
        <f t="shared" si="62"/>
        <v>0</v>
      </c>
      <c r="BK94" s="371">
        <f t="shared" si="62"/>
        <v>0</v>
      </c>
      <c r="BL94" s="371">
        <f t="shared" si="62"/>
        <v>0</v>
      </c>
      <c r="BM94" s="371">
        <f t="shared" si="62"/>
        <v>0</v>
      </c>
      <c r="BN94" s="371">
        <f t="shared" si="62"/>
        <v>0</v>
      </c>
      <c r="BO94" s="371">
        <f t="shared" si="62"/>
        <v>0</v>
      </c>
      <c r="BP94" s="371">
        <f t="shared" si="62"/>
        <v>0</v>
      </c>
      <c r="BQ94" s="371">
        <f t="shared" si="62"/>
        <v>0</v>
      </c>
      <c r="BR94" s="371">
        <f t="shared" si="62"/>
        <v>0</v>
      </c>
      <c r="BS94" s="371">
        <f t="shared" si="62"/>
        <v>0</v>
      </c>
      <c r="BT94" s="371">
        <f t="shared" si="63"/>
        <v>0</v>
      </c>
      <c r="BU94" s="371">
        <f t="shared" si="63"/>
        <v>0</v>
      </c>
      <c r="BV94" s="371">
        <f t="shared" si="63"/>
        <v>0</v>
      </c>
      <c r="BW94" s="371">
        <f t="shared" si="63"/>
        <v>0</v>
      </c>
      <c r="BX94" s="371">
        <f t="shared" si="63"/>
        <v>0</v>
      </c>
      <c r="BY94" s="371">
        <f t="shared" si="63"/>
        <v>0</v>
      </c>
      <c r="BZ94" s="371">
        <f t="shared" si="63"/>
        <v>0</v>
      </c>
      <c r="CA94" s="371">
        <f t="shared" si="63"/>
        <v>4718.2643225294587</v>
      </c>
    </row>
    <row r="95" spans="2:79" ht="21" customHeight="1" outlineLevel="1">
      <c r="B95" s="367"/>
      <c r="C95" s="370"/>
      <c r="D95" s="369"/>
      <c r="E95" s="369"/>
      <c r="G95" s="359"/>
      <c r="H95" s="368"/>
      <c r="I95" s="368"/>
      <c r="J95" s="368"/>
      <c r="K95" s="368"/>
      <c r="M95" s="359"/>
      <c r="N95" s="368"/>
      <c r="O95" s="368"/>
      <c r="P95" s="368"/>
      <c r="Q95" s="368"/>
      <c r="R95" s="368"/>
      <c r="S95" s="368"/>
      <c r="T95" s="368"/>
      <c r="U95" s="368"/>
      <c r="V95" s="368"/>
      <c r="W95" s="368"/>
      <c r="X95" s="368"/>
      <c r="Y95" s="368"/>
      <c r="Z95" s="368"/>
      <c r="AA95" s="368"/>
      <c r="AB95" s="368"/>
      <c r="AC95" s="368"/>
      <c r="AE95" s="359"/>
      <c r="AF95" s="368"/>
      <c r="AG95" s="368"/>
      <c r="AH95" s="368"/>
      <c r="AI95" s="368"/>
      <c r="AJ95" s="368"/>
      <c r="AK95" s="368"/>
      <c r="AL95" s="368"/>
      <c r="AM95" s="368"/>
      <c r="AN95" s="368"/>
      <c r="AO95" s="368"/>
      <c r="AP95" s="368"/>
      <c r="AQ95" s="368"/>
      <c r="AR95" s="368"/>
      <c r="AS95" s="368"/>
      <c r="AT95" s="368"/>
      <c r="AU95" s="368"/>
      <c r="AV95" s="368"/>
      <c r="AW95" s="368"/>
      <c r="AX95" s="368"/>
      <c r="AY95" s="368"/>
      <c r="AZ95" s="368"/>
      <c r="BA95" s="368"/>
      <c r="BB95" s="368"/>
      <c r="BC95" s="368"/>
      <c r="BD95" s="368"/>
      <c r="BE95" s="368"/>
      <c r="BF95" s="368"/>
      <c r="BG95" s="368"/>
      <c r="BH95" s="368"/>
      <c r="BI95" s="368"/>
      <c r="BJ95" s="368"/>
      <c r="BK95" s="368"/>
      <c r="BL95" s="368"/>
      <c r="BM95" s="368"/>
      <c r="BN95" s="368"/>
      <c r="BO95" s="368"/>
      <c r="BP95" s="368"/>
      <c r="BQ95" s="368"/>
      <c r="BR95" s="368"/>
      <c r="BS95" s="368"/>
      <c r="BT95" s="368"/>
      <c r="BU95" s="368"/>
      <c r="BV95" s="368"/>
      <c r="BW95" s="368"/>
      <c r="BX95" s="368"/>
      <c r="BY95" s="368"/>
      <c r="BZ95" s="368"/>
      <c r="CA95" s="368"/>
    </row>
    <row r="96" spans="2:79" s="357" customFormat="1" ht="15" outlineLevel="1">
      <c r="B96" s="367"/>
      <c r="C96" s="365" t="s">
        <v>421</v>
      </c>
      <c r="D96" s="366"/>
      <c r="E96" s="365"/>
      <c r="G96" s="359"/>
      <c r="H96" s="364">
        <f>H39+H41+H43+H45</f>
        <v>47167.855972039244</v>
      </c>
      <c r="I96" s="364">
        <f>I39+I41+I43+I45</f>
        <v>729538.59090867057</v>
      </c>
      <c r="J96" s="364">
        <f>J39+J41+J43+J45</f>
        <v>2049641.3598730168</v>
      </c>
      <c r="K96" s="364">
        <f>K39+K41+K43+K45</f>
        <v>4518442.5627628295</v>
      </c>
      <c r="L96" s="358"/>
      <c r="M96" s="359"/>
      <c r="N96" s="364">
        <f t="shared" ref="N96:AC96" si="64">N39+N41+N43+N45</f>
        <v>2516.7083333333335</v>
      </c>
      <c r="O96" s="364">
        <f t="shared" si="64"/>
        <v>6380.5921125416662</v>
      </c>
      <c r="P96" s="364">
        <f t="shared" si="64"/>
        <v>10361.555434143791</v>
      </c>
      <c r="Q96" s="364">
        <f t="shared" si="64"/>
        <v>27909.000092020447</v>
      </c>
      <c r="R96" s="364">
        <f t="shared" si="64"/>
        <v>82632.439091308785</v>
      </c>
      <c r="S96" s="364">
        <f t="shared" si="64"/>
        <v>127242.24578654785</v>
      </c>
      <c r="T96" s="364">
        <f t="shared" si="64"/>
        <v>174280.02549487603</v>
      </c>
      <c r="U96" s="364">
        <f t="shared" si="64"/>
        <v>345383.88053593796</v>
      </c>
      <c r="V96" s="364">
        <f t="shared" si="64"/>
        <v>401381.95090505743</v>
      </c>
      <c r="W96" s="364">
        <f t="shared" si="64"/>
        <v>448075.66954672325</v>
      </c>
      <c r="X96" s="364">
        <f t="shared" si="64"/>
        <v>533290.46128986683</v>
      </c>
      <c r="Y96" s="364">
        <f t="shared" si="64"/>
        <v>666893.27813136938</v>
      </c>
      <c r="Z96" s="364">
        <f t="shared" si="64"/>
        <v>989475.79463973641</v>
      </c>
      <c r="AA96" s="364">
        <f t="shared" si="64"/>
        <v>1138400.0506635318</v>
      </c>
      <c r="AB96" s="364">
        <f t="shared" si="64"/>
        <v>1174496.9691697289</v>
      </c>
      <c r="AC96" s="364">
        <f t="shared" si="64"/>
        <v>1216069.7482898326</v>
      </c>
      <c r="AE96" s="359"/>
      <c r="AF96" s="364">
        <f t="shared" ref="AF96:CA96" si="65">AF39+AF41+AF43+AF45</f>
        <v>416.66666666666669</v>
      </c>
      <c r="AG96" s="364">
        <f t="shared" si="65"/>
        <v>837.5</v>
      </c>
      <c r="AH96" s="364">
        <f t="shared" si="65"/>
        <v>1262.5416666666667</v>
      </c>
      <c r="AI96" s="364">
        <f t="shared" si="65"/>
        <v>1691.83375</v>
      </c>
      <c r="AJ96" s="364">
        <f t="shared" si="65"/>
        <v>2125.418754166667</v>
      </c>
      <c r="AK96" s="364">
        <f t="shared" si="65"/>
        <v>2563.3396083749999</v>
      </c>
      <c r="AL96" s="364">
        <f t="shared" si="65"/>
        <v>3005.6396711254165</v>
      </c>
      <c r="AM96" s="364">
        <f t="shared" si="65"/>
        <v>3452.3627345033374</v>
      </c>
      <c r="AN96" s="364">
        <f t="shared" si="65"/>
        <v>3903.5530285150371</v>
      </c>
      <c r="AO96" s="364">
        <f t="shared" si="65"/>
        <v>4567.5885588001875</v>
      </c>
      <c r="AP96" s="364">
        <f t="shared" si="65"/>
        <v>5238.26444438819</v>
      </c>
      <c r="AQ96" s="364">
        <f t="shared" si="65"/>
        <v>18103.147088832073</v>
      </c>
      <c r="AR96" s="364">
        <f t="shared" si="65"/>
        <v>25997.22022638706</v>
      </c>
      <c r="AS96" s="364">
        <f t="shared" si="65"/>
        <v>27900.067428650931</v>
      </c>
      <c r="AT96" s="364">
        <f t="shared" si="65"/>
        <v>28735.151436270771</v>
      </c>
      <c r="AU96" s="364">
        <f t="shared" si="65"/>
        <v>29614.294617300147</v>
      </c>
      <c r="AV96" s="364">
        <f t="shared" si="65"/>
        <v>48319.062563473155</v>
      </c>
      <c r="AW96" s="364">
        <f t="shared" si="65"/>
        <v>49308.888605774548</v>
      </c>
      <c r="AX96" s="364">
        <f t="shared" si="65"/>
        <v>50341.112908498959</v>
      </c>
      <c r="AY96" s="364">
        <f t="shared" si="65"/>
        <v>59653.117787583949</v>
      </c>
      <c r="AZ96" s="364">
        <f t="shared" si="65"/>
        <v>64285.794798793118</v>
      </c>
      <c r="BA96" s="364">
        <f t="shared" si="65"/>
        <v>96975.465246781052</v>
      </c>
      <c r="BB96" s="364">
        <f t="shared" si="65"/>
        <v>118651.09073258219</v>
      </c>
      <c r="BC96" s="364">
        <f t="shared" si="65"/>
        <v>129757.32455657469</v>
      </c>
      <c r="BD96" s="364">
        <f t="shared" si="65"/>
        <v>131231.47905214044</v>
      </c>
      <c r="BE96" s="364">
        <f t="shared" si="65"/>
        <v>132733.83342599517</v>
      </c>
      <c r="BF96" s="364">
        <f t="shared" si="65"/>
        <v>137416.6384269218</v>
      </c>
      <c r="BG96" s="364">
        <f t="shared" si="65"/>
        <v>142916.97981119101</v>
      </c>
      <c r="BH96" s="364">
        <f t="shared" si="65"/>
        <v>145390.30169263625</v>
      </c>
      <c r="BI96" s="364">
        <f t="shared" si="65"/>
        <v>159768.38804289597</v>
      </c>
      <c r="BJ96" s="364">
        <f t="shared" si="65"/>
        <v>161506.74692332491</v>
      </c>
      <c r="BK96" s="364">
        <f t="shared" si="65"/>
        <v>183876.05814255818</v>
      </c>
      <c r="BL96" s="364">
        <f t="shared" si="65"/>
        <v>187907.65622398374</v>
      </c>
      <c r="BM96" s="364">
        <f t="shared" si="65"/>
        <v>207839.34945289025</v>
      </c>
      <c r="BN96" s="364">
        <f t="shared" si="65"/>
        <v>216703.44503075248</v>
      </c>
      <c r="BO96" s="364">
        <f t="shared" si="65"/>
        <v>242350.48364772668</v>
      </c>
      <c r="BP96" s="364">
        <f t="shared" si="65"/>
        <v>286762.61765087058</v>
      </c>
      <c r="BQ96" s="364">
        <f t="shared" si="65"/>
        <v>330373.51674404601</v>
      </c>
      <c r="BR96" s="364">
        <f t="shared" si="65"/>
        <v>372339.66024481977</v>
      </c>
      <c r="BS96" s="364">
        <f t="shared" si="65"/>
        <v>375784.37143060128</v>
      </c>
      <c r="BT96" s="364">
        <f t="shared" si="65"/>
        <v>379394.06097824062</v>
      </c>
      <c r="BU96" s="364">
        <f t="shared" si="65"/>
        <v>383221.61825468973</v>
      </c>
      <c r="BV96" s="364">
        <f t="shared" si="65"/>
        <v>387246.79068723664</v>
      </c>
      <c r="BW96" s="364">
        <f t="shared" si="65"/>
        <v>391435.71276077564</v>
      </c>
      <c r="BX96" s="364">
        <f t="shared" si="65"/>
        <v>395814.46572171676</v>
      </c>
      <c r="BY96" s="364">
        <f t="shared" si="65"/>
        <v>400381.12496226723</v>
      </c>
      <c r="BZ96" s="364">
        <f t="shared" si="65"/>
        <v>405299.67371188989</v>
      </c>
      <c r="CA96" s="364">
        <f t="shared" si="65"/>
        <v>410388.94961567543</v>
      </c>
    </row>
    <row r="97" spans="2:79">
      <c r="G97" s="359"/>
      <c r="M97" s="359"/>
      <c r="AE97" s="359"/>
    </row>
    <row r="98" spans="2:79" s="51" customFormat="1" ht="24">
      <c r="B98" s="635" t="s">
        <v>115</v>
      </c>
      <c r="C98" s="475"/>
      <c r="D98" s="475"/>
      <c r="E98" s="632"/>
      <c r="F98" s="50"/>
      <c r="G98" s="359"/>
      <c r="H98" s="632"/>
      <c r="I98" s="632"/>
      <c r="J98" s="632"/>
      <c r="K98" s="632"/>
      <c r="L98" s="50"/>
      <c r="M98" s="359"/>
      <c r="N98" s="632"/>
      <c r="O98" s="632"/>
      <c r="P98" s="632"/>
      <c r="Q98" s="632"/>
      <c r="R98" s="632"/>
      <c r="S98" s="632"/>
      <c r="T98" s="632"/>
      <c r="U98" s="632"/>
      <c r="V98" s="632"/>
      <c r="W98" s="632"/>
      <c r="X98" s="632"/>
      <c r="Y98" s="632"/>
      <c r="Z98" s="632"/>
      <c r="AA98" s="632"/>
      <c r="AB98" s="632"/>
      <c r="AC98" s="632"/>
      <c r="AD98" s="50"/>
      <c r="AE98" s="359"/>
      <c r="AF98" s="632"/>
      <c r="AG98" s="632"/>
      <c r="AH98" s="632"/>
      <c r="AI98" s="632"/>
      <c r="AJ98" s="632"/>
      <c r="AK98" s="632"/>
      <c r="AL98" s="632"/>
      <c r="AM98" s="632"/>
      <c r="AN98" s="632"/>
      <c r="AO98" s="632"/>
      <c r="AP98" s="632"/>
      <c r="AQ98" s="632"/>
      <c r="AR98" s="632"/>
      <c r="AS98" s="632"/>
      <c r="AT98" s="632"/>
      <c r="AU98" s="632"/>
      <c r="AV98" s="632"/>
      <c r="AW98" s="632"/>
      <c r="AX98" s="632"/>
      <c r="AY98" s="632"/>
      <c r="AZ98" s="632"/>
      <c r="BA98" s="632"/>
      <c r="BB98" s="632"/>
      <c r="BC98" s="632"/>
      <c r="BD98" s="632"/>
      <c r="BE98" s="632"/>
      <c r="BF98" s="632"/>
      <c r="BG98" s="632"/>
      <c r="BH98" s="632"/>
      <c r="BI98" s="632"/>
      <c r="BJ98" s="632"/>
      <c r="BK98" s="632"/>
      <c r="BL98" s="632"/>
      <c r="BM98" s="632"/>
      <c r="BN98" s="632"/>
      <c r="BO98" s="632"/>
      <c r="BP98" s="632"/>
      <c r="BQ98" s="632"/>
      <c r="BR98" s="632"/>
      <c r="BS98" s="632"/>
      <c r="BT98" s="632"/>
      <c r="BU98" s="632"/>
      <c r="BV98" s="632"/>
      <c r="BW98" s="632"/>
      <c r="BX98" s="632"/>
      <c r="BY98" s="632"/>
      <c r="BZ98" s="632"/>
      <c r="CA98" s="632"/>
    </row>
    <row r="99" spans="2:79" outlineLevel="1">
      <c r="D99" s="363" t="s">
        <v>109</v>
      </c>
      <c r="G99" s="359"/>
      <c r="H99" s="361">
        <f>INDEX($AF99:$CA99,MATCH(H$4,$AF$4:$CA$4,0))</f>
        <v>0</v>
      </c>
      <c r="I99" s="361">
        <f>INDEX($AF99:$CA99,MATCH(I$4,$AF$4:$CA$4,0))</f>
        <v>97887.765065984859</v>
      </c>
      <c r="J99" s="361">
        <f>INDEX($AF99:$CA99,MATCH(J$4,$AF$4:$CA$4,0))</f>
        <v>706873.15974488121</v>
      </c>
      <c r="K99" s="361">
        <f>INDEX($AF99:$CA99,MATCH(K$4,$AF$4:$CA$4,0))</f>
        <v>2062433.9635176021</v>
      </c>
      <c r="L99" s="362"/>
      <c r="M99" s="359"/>
      <c r="N99" s="361">
        <f t="shared" ref="N99:AC99" si="66">INDEX($AF99:$CA99,MATCH(N$4,$AF$4:$CA$4,0))</f>
        <v>0</v>
      </c>
      <c r="O99" s="361">
        <f t="shared" si="66"/>
        <v>15150.5</v>
      </c>
      <c r="P99" s="361">
        <f t="shared" si="66"/>
        <v>30760.075300500001</v>
      </c>
      <c r="Q99" s="361">
        <f t="shared" si="66"/>
        <v>46842.636342180456</v>
      </c>
      <c r="R99" s="361">
        <f t="shared" si="66"/>
        <v>97887.765065984859</v>
      </c>
      <c r="S99" s="361">
        <f t="shared" si="66"/>
        <v>224122.31723524927</v>
      </c>
      <c r="T99" s="361">
        <f t="shared" si="66"/>
        <v>359429.23856979463</v>
      </c>
      <c r="U99" s="361">
        <f t="shared" si="66"/>
        <v>516447.17392769805</v>
      </c>
      <c r="V99" s="361">
        <f t="shared" si="66"/>
        <v>706873.15974488121</v>
      </c>
      <c r="W99" s="361">
        <f t="shared" si="66"/>
        <v>947531.97835831088</v>
      </c>
      <c r="X99" s="361">
        <f t="shared" si="66"/>
        <v>1205459.8950845464</v>
      </c>
      <c r="Y99" s="361">
        <f t="shared" si="66"/>
        <v>1558479.0486155036</v>
      </c>
      <c r="Z99" s="361">
        <f t="shared" si="66"/>
        <v>2062433.9635176021</v>
      </c>
      <c r="AA99" s="361">
        <f t="shared" si="66"/>
        <v>3011185.401296149</v>
      </c>
      <c r="AB99" s="361">
        <f t="shared" si="66"/>
        <v>3965666.8141408232</v>
      </c>
      <c r="AC99" s="361">
        <f t="shared" si="66"/>
        <v>4968470.1372761037</v>
      </c>
      <c r="AD99" s="362"/>
      <c r="AE99" s="359"/>
      <c r="AF99" s="361">
        <f t="shared" ref="AF99:CA99" si="67">AE104</f>
        <v>0</v>
      </c>
      <c r="AG99" s="361">
        <f t="shared" si="67"/>
        <v>5000</v>
      </c>
      <c r="AH99" s="361">
        <f t="shared" si="67"/>
        <v>10050</v>
      </c>
      <c r="AI99" s="361">
        <f t="shared" si="67"/>
        <v>15150.5</v>
      </c>
      <c r="AJ99" s="361">
        <f t="shared" si="67"/>
        <v>20302.004999999997</v>
      </c>
      <c r="AK99" s="361">
        <f t="shared" si="67"/>
        <v>25505.02505</v>
      </c>
      <c r="AL99" s="361">
        <f t="shared" si="67"/>
        <v>30760.075300500001</v>
      </c>
      <c r="AM99" s="361">
        <f t="shared" si="67"/>
        <v>36067.676053505005</v>
      </c>
      <c r="AN99" s="361">
        <f t="shared" si="67"/>
        <v>41428.352814040059</v>
      </c>
      <c r="AO99" s="361">
        <f t="shared" si="67"/>
        <v>46842.636342180456</v>
      </c>
      <c r="AP99" s="361">
        <f t="shared" si="67"/>
        <v>54811.062705602257</v>
      </c>
      <c r="AQ99" s="361">
        <f t="shared" si="67"/>
        <v>62859.173332658283</v>
      </c>
      <c r="AR99" s="361">
        <f t="shared" si="67"/>
        <v>97887.765065984859</v>
      </c>
      <c r="AS99" s="361">
        <f t="shared" si="67"/>
        <v>159416.64271664471</v>
      </c>
      <c r="AT99" s="361">
        <f t="shared" si="67"/>
        <v>198150.80914381117</v>
      </c>
      <c r="AU99" s="361">
        <f t="shared" si="67"/>
        <v>224122.31723524927</v>
      </c>
      <c r="AV99" s="361">
        <f t="shared" si="67"/>
        <v>267023.5404076018</v>
      </c>
      <c r="AW99" s="361">
        <f t="shared" si="67"/>
        <v>315296.27581167786</v>
      </c>
      <c r="AX99" s="361">
        <f t="shared" si="67"/>
        <v>359429.23856979463</v>
      </c>
      <c r="AY99" s="361">
        <f t="shared" si="67"/>
        <v>420473.53095549258</v>
      </c>
      <c r="AZ99" s="361">
        <f t="shared" si="67"/>
        <v>470640.76626504754</v>
      </c>
      <c r="BA99" s="361">
        <f t="shared" si="67"/>
        <v>516447.17392769805</v>
      </c>
      <c r="BB99" s="361">
        <f t="shared" si="67"/>
        <v>581561.64566697495</v>
      </c>
      <c r="BC99" s="361">
        <f t="shared" si="67"/>
        <v>638339.7621236447</v>
      </c>
      <c r="BD99" s="361">
        <f t="shared" si="67"/>
        <v>706873.15974488121</v>
      </c>
      <c r="BE99" s="361">
        <f t="shared" si="67"/>
        <v>802241.89134233003</v>
      </c>
      <c r="BF99" s="361">
        <f t="shared" si="67"/>
        <v>880016.81025575334</v>
      </c>
      <c r="BG99" s="361">
        <f t="shared" si="67"/>
        <v>947531.97835831088</v>
      </c>
      <c r="BH99" s="361">
        <f t="shared" si="67"/>
        <v>1040009.7981418942</v>
      </c>
      <c r="BI99" s="361">
        <f t="shared" si="67"/>
        <v>1112999.8961233131</v>
      </c>
      <c r="BJ99" s="361">
        <f t="shared" si="67"/>
        <v>1205459.8950845464</v>
      </c>
      <c r="BK99" s="361">
        <f t="shared" si="67"/>
        <v>1310396.9940353921</v>
      </c>
      <c r="BL99" s="361">
        <f t="shared" si="67"/>
        <v>1446558.463975746</v>
      </c>
      <c r="BM99" s="361">
        <f t="shared" si="67"/>
        <v>1558479.0486155036</v>
      </c>
      <c r="BN99" s="361">
        <f t="shared" si="67"/>
        <v>1703476.3391016584</v>
      </c>
      <c r="BO99" s="361">
        <f t="shared" si="67"/>
        <v>1874786.1024926752</v>
      </c>
      <c r="BP99" s="361">
        <f t="shared" si="67"/>
        <v>2062433.9635176021</v>
      </c>
      <c r="BQ99" s="361">
        <f t="shared" si="67"/>
        <v>2375320.8031527777</v>
      </c>
      <c r="BR99" s="361">
        <f t="shared" si="67"/>
        <v>2691889.0111843059</v>
      </c>
      <c r="BS99" s="361">
        <f t="shared" si="67"/>
        <v>3011185.401296149</v>
      </c>
      <c r="BT99" s="361">
        <f t="shared" si="67"/>
        <v>3301637.2553091105</v>
      </c>
      <c r="BU99" s="361">
        <f t="shared" si="67"/>
        <v>3636068.6278622015</v>
      </c>
      <c r="BV99" s="361">
        <f t="shared" si="67"/>
        <v>3965666.8141408232</v>
      </c>
      <c r="BW99" s="361">
        <f t="shared" si="67"/>
        <v>4267103.4822822316</v>
      </c>
      <c r="BX99" s="361">
        <f t="shared" si="67"/>
        <v>4631062.0171050532</v>
      </c>
      <c r="BY99" s="361">
        <f t="shared" si="67"/>
        <v>4968470.1372761037</v>
      </c>
      <c r="BZ99" s="361">
        <f t="shared" si="67"/>
        <v>5285734.8386488641</v>
      </c>
      <c r="CA99" s="361">
        <f t="shared" si="67"/>
        <v>5661917.187035352</v>
      </c>
    </row>
    <row r="100" spans="2:79" outlineLevel="1">
      <c r="D100" s="363" t="s">
        <v>110</v>
      </c>
      <c r="G100" s="359"/>
      <c r="H100" s="361">
        <f t="shared" ref="H100:K103" si="68">SUMIFS($AF100:$CA100,$AF$4:$CA$4,"&gt;="&amp;H$4,$AF$5:$CA$5,"&lt;="&amp;H$5)</f>
        <v>94400</v>
      </c>
      <c r="I100" s="361">
        <f t="shared" si="68"/>
        <v>566497.5</v>
      </c>
      <c r="J100" s="361">
        <f t="shared" si="68"/>
        <v>1209672.5</v>
      </c>
      <c r="K100" s="361">
        <f t="shared" si="68"/>
        <v>3516305</v>
      </c>
      <c r="L100" s="362"/>
      <c r="M100" s="359"/>
      <c r="N100" s="361">
        <f t="shared" ref="N100:AC103" si="69">SUMIFS($AF100:$CA100,$AF$4:$CA$4,"&gt;="&amp;N$4,$AF$5:$CA$5,"&lt;="&amp;N$5)</f>
        <v>15000</v>
      </c>
      <c r="O100" s="361">
        <f t="shared" si="69"/>
        <v>15000</v>
      </c>
      <c r="P100" s="361">
        <f t="shared" si="69"/>
        <v>15000</v>
      </c>
      <c r="Q100" s="361">
        <f t="shared" si="69"/>
        <v>49400</v>
      </c>
      <c r="R100" s="361">
        <f t="shared" si="69"/>
        <v>121680</v>
      </c>
      <c r="S100" s="361">
        <f t="shared" si="69"/>
        <v>127242.5</v>
      </c>
      <c r="T100" s="361">
        <f t="shared" si="69"/>
        <v>144512.5</v>
      </c>
      <c r="U100" s="361">
        <f t="shared" si="69"/>
        <v>173062.5</v>
      </c>
      <c r="V100" s="361">
        <f t="shared" si="69"/>
        <v>216767.5</v>
      </c>
      <c r="W100" s="361">
        <f t="shared" si="69"/>
        <v>226922.5</v>
      </c>
      <c r="X100" s="361">
        <f t="shared" si="69"/>
        <v>313395</v>
      </c>
      <c r="Y100" s="361">
        <f t="shared" si="69"/>
        <v>452587.5</v>
      </c>
      <c r="Z100" s="361">
        <f t="shared" si="69"/>
        <v>877455</v>
      </c>
      <c r="AA100" s="361">
        <f t="shared" si="69"/>
        <v>854992.5</v>
      </c>
      <c r="AB100" s="361">
        <f t="shared" si="69"/>
        <v>874165</v>
      </c>
      <c r="AC100" s="361">
        <f t="shared" si="69"/>
        <v>909692.5</v>
      </c>
      <c r="AD100" s="362"/>
      <c r="AE100" s="359"/>
      <c r="AF100" s="361">
        <f t="shared" ref="AF100:CA100" si="70">AF27+AF29</f>
        <v>5000</v>
      </c>
      <c r="AG100" s="361">
        <f t="shared" si="70"/>
        <v>5000</v>
      </c>
      <c r="AH100" s="361">
        <f t="shared" si="70"/>
        <v>5000</v>
      </c>
      <c r="AI100" s="361">
        <f t="shared" si="70"/>
        <v>5000</v>
      </c>
      <c r="AJ100" s="361">
        <f t="shared" si="70"/>
        <v>5000</v>
      </c>
      <c r="AK100" s="361">
        <f t="shared" si="70"/>
        <v>5000</v>
      </c>
      <c r="AL100" s="361">
        <f t="shared" si="70"/>
        <v>5000</v>
      </c>
      <c r="AM100" s="361">
        <f t="shared" si="70"/>
        <v>5000</v>
      </c>
      <c r="AN100" s="361">
        <f t="shared" si="70"/>
        <v>5000</v>
      </c>
      <c r="AO100" s="361">
        <f t="shared" si="70"/>
        <v>7500</v>
      </c>
      <c r="AP100" s="361">
        <f t="shared" si="70"/>
        <v>7500</v>
      </c>
      <c r="AQ100" s="361">
        <f t="shared" si="70"/>
        <v>34400</v>
      </c>
      <c r="AR100" s="361">
        <f t="shared" si="70"/>
        <v>60550</v>
      </c>
      <c r="AS100" s="361">
        <f t="shared" si="70"/>
        <v>37140</v>
      </c>
      <c r="AT100" s="361">
        <f t="shared" si="70"/>
        <v>23990</v>
      </c>
      <c r="AU100" s="361">
        <f t="shared" si="70"/>
        <v>40660</v>
      </c>
      <c r="AV100" s="361">
        <f t="shared" si="70"/>
        <v>45602.5</v>
      </c>
      <c r="AW100" s="361">
        <f t="shared" si="70"/>
        <v>40980</v>
      </c>
      <c r="AX100" s="361">
        <f t="shared" si="70"/>
        <v>57450</v>
      </c>
      <c r="AY100" s="361">
        <f t="shared" si="70"/>
        <v>45962.5</v>
      </c>
      <c r="AZ100" s="361">
        <f t="shared" si="70"/>
        <v>41100</v>
      </c>
      <c r="BA100" s="361">
        <f t="shared" si="70"/>
        <v>59950</v>
      </c>
      <c r="BB100" s="361">
        <f t="shared" si="70"/>
        <v>50962.5</v>
      </c>
      <c r="BC100" s="361">
        <f t="shared" si="70"/>
        <v>62150</v>
      </c>
      <c r="BD100" s="361">
        <f t="shared" si="70"/>
        <v>88300</v>
      </c>
      <c r="BE100" s="361">
        <f t="shared" si="70"/>
        <v>69752.5</v>
      </c>
      <c r="BF100" s="361">
        <f t="shared" si="70"/>
        <v>58715</v>
      </c>
      <c r="BG100" s="361">
        <f t="shared" si="70"/>
        <v>83002.5</v>
      </c>
      <c r="BH100" s="361">
        <f t="shared" si="70"/>
        <v>62590</v>
      </c>
      <c r="BI100" s="361">
        <f t="shared" si="70"/>
        <v>81330</v>
      </c>
      <c r="BJ100" s="361">
        <f t="shared" si="70"/>
        <v>92882.5</v>
      </c>
      <c r="BK100" s="361">
        <f t="shared" si="70"/>
        <v>123057.5</v>
      </c>
      <c r="BL100" s="361">
        <f t="shared" si="70"/>
        <v>97455</v>
      </c>
      <c r="BM100" s="361">
        <f t="shared" si="70"/>
        <v>129412.5</v>
      </c>
      <c r="BN100" s="361">
        <f t="shared" si="70"/>
        <v>154275</v>
      </c>
      <c r="BO100" s="361">
        <f t="shared" si="70"/>
        <v>168900</v>
      </c>
      <c r="BP100" s="361">
        <f t="shared" si="70"/>
        <v>292262.5</v>
      </c>
      <c r="BQ100" s="361">
        <f t="shared" si="70"/>
        <v>292815</v>
      </c>
      <c r="BR100" s="361">
        <f t="shared" si="70"/>
        <v>292377.5</v>
      </c>
      <c r="BS100" s="361">
        <f t="shared" si="70"/>
        <v>260340</v>
      </c>
      <c r="BT100" s="361">
        <f t="shared" si="70"/>
        <v>301415</v>
      </c>
      <c r="BU100" s="361">
        <f t="shared" si="70"/>
        <v>293237.5</v>
      </c>
      <c r="BV100" s="361">
        <f t="shared" si="70"/>
        <v>261780</v>
      </c>
      <c r="BW100" s="361">
        <f t="shared" si="70"/>
        <v>321287.5</v>
      </c>
      <c r="BX100" s="361">
        <f t="shared" si="70"/>
        <v>291097.5</v>
      </c>
      <c r="BY100" s="361">
        <f t="shared" si="70"/>
        <v>267580</v>
      </c>
      <c r="BZ100" s="361">
        <f t="shared" si="70"/>
        <v>323325</v>
      </c>
      <c r="CA100" s="361">
        <f t="shared" si="70"/>
        <v>318787.5</v>
      </c>
    </row>
    <row r="101" spans="2:79" outlineLevel="1">
      <c r="D101" s="363" t="s">
        <v>486</v>
      </c>
      <c r="G101" s="359"/>
      <c r="H101" s="361">
        <f t="shared" si="68"/>
        <v>-3487.7650659848605</v>
      </c>
      <c r="I101" s="361">
        <f t="shared" si="68"/>
        <v>-42487.89467889622</v>
      </c>
      <c r="J101" s="361">
        <f t="shared" si="68"/>
        <v>-145888.30377272004</v>
      </c>
      <c r="K101" s="361">
        <f t="shared" si="68"/>
        <v>-458584.89538810577</v>
      </c>
      <c r="L101" s="362"/>
      <c r="M101" s="359"/>
      <c r="N101" s="361">
        <f t="shared" si="69"/>
        <v>-150.5</v>
      </c>
      <c r="O101" s="361">
        <f t="shared" si="69"/>
        <v>-609.57530049999991</v>
      </c>
      <c r="P101" s="361">
        <f t="shared" si="69"/>
        <v>-1082.5610416804507</v>
      </c>
      <c r="Q101" s="361">
        <f t="shared" si="69"/>
        <v>-1645.1287238044101</v>
      </c>
      <c r="R101" s="361">
        <f t="shared" si="69"/>
        <v>-4554.5521692644079</v>
      </c>
      <c r="S101" s="361">
        <f t="shared" si="69"/>
        <v>-8064.4213345452899</v>
      </c>
      <c r="T101" s="361">
        <f t="shared" si="69"/>
        <v>-12505.435357903349</v>
      </c>
      <c r="U101" s="361">
        <f t="shared" si="69"/>
        <v>-17363.485817183177</v>
      </c>
      <c r="V101" s="361">
        <f t="shared" si="69"/>
        <v>-23891.318613429648</v>
      </c>
      <c r="W101" s="361">
        <f t="shared" si="69"/>
        <v>-31005.416726235184</v>
      </c>
      <c r="X101" s="361">
        <f t="shared" si="69"/>
        <v>-39624.153530956843</v>
      </c>
      <c r="Y101" s="361">
        <f t="shared" si="69"/>
        <v>-51367.414902098375</v>
      </c>
      <c r="Z101" s="361">
        <f t="shared" si="69"/>
        <v>-71296.437778546853</v>
      </c>
      <c r="AA101" s="361">
        <f t="shared" si="69"/>
        <v>-99488.912844674604</v>
      </c>
      <c r="AB101" s="361">
        <f t="shared" si="69"/>
        <v>-128638.3231352811</v>
      </c>
      <c r="AC101" s="361">
        <f t="shared" si="69"/>
        <v>-159161.22162960321</v>
      </c>
      <c r="AD101" s="362"/>
      <c r="AE101" s="359"/>
      <c r="AF101" s="361">
        <f t="shared" ref="AF101:CA101" si="71">AF$99*AF11</f>
        <v>0</v>
      </c>
      <c r="AG101" s="361">
        <f t="shared" si="71"/>
        <v>-50</v>
      </c>
      <c r="AH101" s="361">
        <f t="shared" si="71"/>
        <v>-100.5</v>
      </c>
      <c r="AI101" s="361">
        <f t="shared" si="71"/>
        <v>-151.505</v>
      </c>
      <c r="AJ101" s="361">
        <f t="shared" si="71"/>
        <v>-203.02004999999997</v>
      </c>
      <c r="AK101" s="361">
        <f t="shared" si="71"/>
        <v>-255.0502505</v>
      </c>
      <c r="AL101" s="361">
        <f t="shared" si="71"/>
        <v>-307.600753005</v>
      </c>
      <c r="AM101" s="361">
        <f t="shared" si="71"/>
        <v>-360.67676053505005</v>
      </c>
      <c r="AN101" s="361">
        <f t="shared" si="71"/>
        <v>-414.28352814040062</v>
      </c>
      <c r="AO101" s="361">
        <f t="shared" si="71"/>
        <v>-468.42636342180458</v>
      </c>
      <c r="AP101" s="361">
        <f t="shared" si="71"/>
        <v>-548.11062705602262</v>
      </c>
      <c r="AQ101" s="361">
        <f t="shared" si="71"/>
        <v>-628.59173332658281</v>
      </c>
      <c r="AR101" s="361">
        <f t="shared" si="71"/>
        <v>-978.87765065984865</v>
      </c>
      <c r="AS101" s="361">
        <f t="shared" si="71"/>
        <v>-1594.1664271664472</v>
      </c>
      <c r="AT101" s="361">
        <f t="shared" si="71"/>
        <v>-1981.5080914381117</v>
      </c>
      <c r="AU101" s="361">
        <f t="shared" si="71"/>
        <v>-2241.2231723524928</v>
      </c>
      <c r="AV101" s="361">
        <f t="shared" si="71"/>
        <v>-2670.2354040760179</v>
      </c>
      <c r="AW101" s="361">
        <f t="shared" si="71"/>
        <v>-3152.9627581167788</v>
      </c>
      <c r="AX101" s="361">
        <f t="shared" si="71"/>
        <v>-3594.2923856979464</v>
      </c>
      <c r="AY101" s="361">
        <f t="shared" si="71"/>
        <v>-4204.7353095549261</v>
      </c>
      <c r="AZ101" s="361">
        <f t="shared" si="71"/>
        <v>-4706.4076626504757</v>
      </c>
      <c r="BA101" s="361">
        <f t="shared" si="71"/>
        <v>-5164.4717392769808</v>
      </c>
      <c r="BB101" s="361">
        <f t="shared" si="71"/>
        <v>-5815.6164566697498</v>
      </c>
      <c r="BC101" s="361">
        <f t="shared" si="71"/>
        <v>-6383.3976212364469</v>
      </c>
      <c r="BD101" s="361">
        <f t="shared" si="71"/>
        <v>-7068.731597448812</v>
      </c>
      <c r="BE101" s="361">
        <f t="shared" si="71"/>
        <v>-8022.4189134233002</v>
      </c>
      <c r="BF101" s="361">
        <f t="shared" si="71"/>
        <v>-8800.1681025575344</v>
      </c>
      <c r="BG101" s="361">
        <f t="shared" si="71"/>
        <v>-9475.3197835831088</v>
      </c>
      <c r="BH101" s="361">
        <f t="shared" si="71"/>
        <v>-10400.097981418941</v>
      </c>
      <c r="BI101" s="361">
        <f t="shared" si="71"/>
        <v>-11129.998961233132</v>
      </c>
      <c r="BJ101" s="361">
        <f t="shared" si="71"/>
        <v>-12054.598950845464</v>
      </c>
      <c r="BK101" s="361">
        <f t="shared" si="71"/>
        <v>-13103.969940353922</v>
      </c>
      <c r="BL101" s="361">
        <f t="shared" si="71"/>
        <v>-14465.584639757461</v>
      </c>
      <c r="BM101" s="361">
        <f t="shared" si="71"/>
        <v>-15584.790486155036</v>
      </c>
      <c r="BN101" s="361">
        <f t="shared" si="71"/>
        <v>-17034.763391016586</v>
      </c>
      <c r="BO101" s="361">
        <f t="shared" si="71"/>
        <v>-18747.861024926751</v>
      </c>
      <c r="BP101" s="361">
        <f t="shared" si="71"/>
        <v>-20624.33963517602</v>
      </c>
      <c r="BQ101" s="361">
        <f t="shared" si="71"/>
        <v>-23753.208031527778</v>
      </c>
      <c r="BR101" s="361">
        <f t="shared" si="71"/>
        <v>-26918.890111843059</v>
      </c>
      <c r="BS101" s="361">
        <f t="shared" si="71"/>
        <v>-30111.854012961492</v>
      </c>
      <c r="BT101" s="361">
        <f t="shared" si="71"/>
        <v>-33016.372553091103</v>
      </c>
      <c r="BU101" s="361">
        <f t="shared" si="71"/>
        <v>-36360.686278622015</v>
      </c>
      <c r="BV101" s="361">
        <f t="shared" si="71"/>
        <v>-39656.668141408234</v>
      </c>
      <c r="BW101" s="361">
        <f t="shared" si="71"/>
        <v>-42671.034822822316</v>
      </c>
      <c r="BX101" s="361">
        <f t="shared" si="71"/>
        <v>-46310.620171050534</v>
      </c>
      <c r="BY101" s="361">
        <f t="shared" si="71"/>
        <v>-49684.701372761039</v>
      </c>
      <c r="BZ101" s="361">
        <f t="shared" si="71"/>
        <v>-52857.348386488644</v>
      </c>
      <c r="CA101" s="361">
        <f t="shared" si="71"/>
        <v>-56619.171870353523</v>
      </c>
    </row>
    <row r="102" spans="2:79" outlineLevel="1">
      <c r="D102" s="363" t="s">
        <v>112</v>
      </c>
      <c r="G102" s="359"/>
      <c r="H102" s="361">
        <f t="shared" si="68"/>
        <v>10463.295197954583</v>
      </c>
      <c r="I102" s="361">
        <f t="shared" si="68"/>
        <v>127463.68403668866</v>
      </c>
      <c r="J102" s="361">
        <f t="shared" si="68"/>
        <v>437664.91131816019</v>
      </c>
      <c r="K102" s="361">
        <f t="shared" si="68"/>
        <v>1375754.6861643172</v>
      </c>
      <c r="L102" s="362"/>
      <c r="M102" s="359"/>
      <c r="N102" s="361">
        <f t="shared" si="69"/>
        <v>451.5</v>
      </c>
      <c r="O102" s="361">
        <f t="shared" si="69"/>
        <v>1828.7259015</v>
      </c>
      <c r="P102" s="361">
        <f t="shared" si="69"/>
        <v>3247.683125041352</v>
      </c>
      <c r="Q102" s="361">
        <f t="shared" si="69"/>
        <v>4935.3861714132299</v>
      </c>
      <c r="R102" s="361">
        <f t="shared" si="69"/>
        <v>13663.656507793223</v>
      </c>
      <c r="S102" s="361">
        <f t="shared" si="69"/>
        <v>24193.264003635864</v>
      </c>
      <c r="T102" s="361">
        <f t="shared" si="69"/>
        <v>37516.306073710039</v>
      </c>
      <c r="U102" s="361">
        <f t="shared" si="69"/>
        <v>52090.457451549533</v>
      </c>
      <c r="V102" s="361">
        <f t="shared" si="69"/>
        <v>71673.955840288938</v>
      </c>
      <c r="W102" s="361">
        <f t="shared" si="69"/>
        <v>93016.250178705552</v>
      </c>
      <c r="X102" s="361">
        <f t="shared" si="69"/>
        <v>118872.46059287053</v>
      </c>
      <c r="Y102" s="361">
        <f t="shared" si="69"/>
        <v>154102.24470629511</v>
      </c>
      <c r="Z102" s="361">
        <f t="shared" si="69"/>
        <v>213889.31333564056</v>
      </c>
      <c r="AA102" s="361">
        <f t="shared" si="69"/>
        <v>298466.73853402381</v>
      </c>
      <c r="AB102" s="361">
        <f t="shared" si="69"/>
        <v>385914.96940584324</v>
      </c>
      <c r="AC102" s="361">
        <f t="shared" si="69"/>
        <v>477483.66488880955</v>
      </c>
      <c r="AD102" s="362"/>
      <c r="AE102" s="359"/>
      <c r="AF102" s="361">
        <f t="shared" ref="AF102:CA102" si="72">AF$99*AF12</f>
        <v>0</v>
      </c>
      <c r="AG102" s="361">
        <f t="shared" si="72"/>
        <v>150</v>
      </c>
      <c r="AH102" s="361">
        <f t="shared" si="72"/>
        <v>301.5</v>
      </c>
      <c r="AI102" s="361">
        <f t="shared" si="72"/>
        <v>454.51499999999999</v>
      </c>
      <c r="AJ102" s="361">
        <f t="shared" si="72"/>
        <v>609.06014999999991</v>
      </c>
      <c r="AK102" s="361">
        <f t="shared" si="72"/>
        <v>765.15075149999996</v>
      </c>
      <c r="AL102" s="361">
        <f t="shared" si="72"/>
        <v>922.802259015</v>
      </c>
      <c r="AM102" s="361">
        <f t="shared" si="72"/>
        <v>1082.0302816051501</v>
      </c>
      <c r="AN102" s="361">
        <f t="shared" si="72"/>
        <v>1242.8505844212018</v>
      </c>
      <c r="AO102" s="361">
        <f t="shared" si="72"/>
        <v>1405.2790902654137</v>
      </c>
      <c r="AP102" s="361">
        <f t="shared" si="72"/>
        <v>1644.3318811680676</v>
      </c>
      <c r="AQ102" s="361">
        <f t="shared" si="72"/>
        <v>1885.7751999797483</v>
      </c>
      <c r="AR102" s="361">
        <f t="shared" si="72"/>
        <v>2936.6329519795459</v>
      </c>
      <c r="AS102" s="361">
        <f t="shared" si="72"/>
        <v>4782.4992814993411</v>
      </c>
      <c r="AT102" s="361">
        <f t="shared" si="72"/>
        <v>5944.5242743143353</v>
      </c>
      <c r="AU102" s="361">
        <f t="shared" si="72"/>
        <v>6723.6695170574776</v>
      </c>
      <c r="AV102" s="361">
        <f t="shared" si="72"/>
        <v>8010.706212228054</v>
      </c>
      <c r="AW102" s="361">
        <f t="shared" si="72"/>
        <v>9458.8882743503345</v>
      </c>
      <c r="AX102" s="361">
        <f t="shared" si="72"/>
        <v>10782.877157093839</v>
      </c>
      <c r="AY102" s="361">
        <f t="shared" si="72"/>
        <v>12614.205928664776</v>
      </c>
      <c r="AZ102" s="361">
        <f t="shared" si="72"/>
        <v>14119.222987951425</v>
      </c>
      <c r="BA102" s="361">
        <f t="shared" si="72"/>
        <v>15493.415217830941</v>
      </c>
      <c r="BB102" s="361">
        <f t="shared" si="72"/>
        <v>17446.849370009248</v>
      </c>
      <c r="BC102" s="361">
        <f t="shared" si="72"/>
        <v>19150.192863709341</v>
      </c>
      <c r="BD102" s="361">
        <f t="shared" si="72"/>
        <v>21206.194792346436</v>
      </c>
      <c r="BE102" s="361">
        <f t="shared" si="72"/>
        <v>24067.256740269899</v>
      </c>
      <c r="BF102" s="361">
        <f t="shared" si="72"/>
        <v>26400.5043076726</v>
      </c>
      <c r="BG102" s="361">
        <f t="shared" si="72"/>
        <v>28425.959350749326</v>
      </c>
      <c r="BH102" s="361">
        <f t="shared" si="72"/>
        <v>31200.293944256824</v>
      </c>
      <c r="BI102" s="361">
        <f t="shared" si="72"/>
        <v>33389.996883699394</v>
      </c>
      <c r="BJ102" s="361">
        <f t="shared" si="72"/>
        <v>36163.79685253639</v>
      </c>
      <c r="BK102" s="361">
        <f t="shared" si="72"/>
        <v>39311.909821061759</v>
      </c>
      <c r="BL102" s="361">
        <f t="shared" si="72"/>
        <v>43396.753919272378</v>
      </c>
      <c r="BM102" s="361">
        <f t="shared" si="72"/>
        <v>46754.371458465102</v>
      </c>
      <c r="BN102" s="361">
        <f t="shared" si="72"/>
        <v>51104.290173049754</v>
      </c>
      <c r="BO102" s="361">
        <f t="shared" si="72"/>
        <v>56243.583074780254</v>
      </c>
      <c r="BP102" s="361">
        <f t="shared" si="72"/>
        <v>61873.018905528057</v>
      </c>
      <c r="BQ102" s="361">
        <f t="shared" si="72"/>
        <v>71259.624094583327</v>
      </c>
      <c r="BR102" s="361">
        <f t="shared" si="72"/>
        <v>80756.670335529168</v>
      </c>
      <c r="BS102" s="361">
        <f t="shared" si="72"/>
        <v>90335.562038884469</v>
      </c>
      <c r="BT102" s="361">
        <f t="shared" si="72"/>
        <v>99049.11765927331</v>
      </c>
      <c r="BU102" s="361">
        <f t="shared" si="72"/>
        <v>109082.05883586605</v>
      </c>
      <c r="BV102" s="361">
        <f t="shared" si="72"/>
        <v>118970.00442422469</v>
      </c>
      <c r="BW102" s="361">
        <f t="shared" si="72"/>
        <v>128013.10446846695</v>
      </c>
      <c r="BX102" s="361">
        <f t="shared" si="72"/>
        <v>138931.86051315159</v>
      </c>
      <c r="BY102" s="361">
        <f t="shared" si="72"/>
        <v>149054.10411828311</v>
      </c>
      <c r="BZ102" s="361">
        <f t="shared" si="72"/>
        <v>158572.04515946592</v>
      </c>
      <c r="CA102" s="361">
        <f t="shared" si="72"/>
        <v>169857.51561106055</v>
      </c>
    </row>
    <row r="103" spans="2:79" outlineLevel="1">
      <c r="D103" s="363" t="s">
        <v>113</v>
      </c>
      <c r="G103" s="359"/>
      <c r="H103" s="361">
        <f t="shared" si="68"/>
        <v>-3487.7650659848605</v>
      </c>
      <c r="I103" s="361">
        <f t="shared" si="68"/>
        <v>-42487.89467889622</v>
      </c>
      <c r="J103" s="361">
        <f t="shared" si="68"/>
        <v>-145888.30377272004</v>
      </c>
      <c r="K103" s="361">
        <f t="shared" si="68"/>
        <v>-458584.89538810577</v>
      </c>
      <c r="L103" s="362"/>
      <c r="M103" s="359"/>
      <c r="N103" s="361">
        <f t="shared" si="69"/>
        <v>-150.5</v>
      </c>
      <c r="O103" s="361">
        <f t="shared" si="69"/>
        <v>-609.57530049999991</v>
      </c>
      <c r="P103" s="361">
        <f t="shared" si="69"/>
        <v>-1082.5610416804507</v>
      </c>
      <c r="Q103" s="361">
        <f t="shared" si="69"/>
        <v>-1645.1287238044101</v>
      </c>
      <c r="R103" s="361">
        <f t="shared" si="69"/>
        <v>-4554.5521692644079</v>
      </c>
      <c r="S103" s="361">
        <f t="shared" si="69"/>
        <v>-8064.4213345452899</v>
      </c>
      <c r="T103" s="361">
        <f t="shared" si="69"/>
        <v>-12505.435357903349</v>
      </c>
      <c r="U103" s="361">
        <f t="shared" si="69"/>
        <v>-17363.485817183177</v>
      </c>
      <c r="V103" s="361">
        <f t="shared" si="69"/>
        <v>-23891.318613429648</v>
      </c>
      <c r="W103" s="361">
        <f t="shared" si="69"/>
        <v>-31005.416726235184</v>
      </c>
      <c r="X103" s="361">
        <f t="shared" si="69"/>
        <v>-39624.153530956843</v>
      </c>
      <c r="Y103" s="361">
        <f t="shared" si="69"/>
        <v>-51367.414902098375</v>
      </c>
      <c r="Z103" s="361">
        <f t="shared" si="69"/>
        <v>-71296.437778546853</v>
      </c>
      <c r="AA103" s="361">
        <f t="shared" si="69"/>
        <v>-99488.912844674604</v>
      </c>
      <c r="AB103" s="361">
        <f t="shared" si="69"/>
        <v>-128638.3231352811</v>
      </c>
      <c r="AC103" s="361">
        <f t="shared" si="69"/>
        <v>-159161.22162960321</v>
      </c>
      <c r="AD103" s="362"/>
      <c r="AE103" s="359"/>
      <c r="AF103" s="361">
        <f t="shared" ref="AF103:CA103" si="73">AF$99*AF13</f>
        <v>0</v>
      </c>
      <c r="AG103" s="361">
        <f t="shared" si="73"/>
        <v>-50</v>
      </c>
      <c r="AH103" s="361">
        <f t="shared" si="73"/>
        <v>-100.5</v>
      </c>
      <c r="AI103" s="361">
        <f t="shared" si="73"/>
        <v>-151.505</v>
      </c>
      <c r="AJ103" s="361">
        <f t="shared" si="73"/>
        <v>-203.02004999999997</v>
      </c>
      <c r="AK103" s="361">
        <f t="shared" si="73"/>
        <v>-255.0502505</v>
      </c>
      <c r="AL103" s="361">
        <f t="shared" si="73"/>
        <v>-307.600753005</v>
      </c>
      <c r="AM103" s="361">
        <f t="shared" si="73"/>
        <v>-360.67676053505005</v>
      </c>
      <c r="AN103" s="361">
        <f t="shared" si="73"/>
        <v>-414.28352814040062</v>
      </c>
      <c r="AO103" s="361">
        <f t="shared" si="73"/>
        <v>-468.42636342180458</v>
      </c>
      <c r="AP103" s="361">
        <f t="shared" si="73"/>
        <v>-548.11062705602262</v>
      </c>
      <c r="AQ103" s="361">
        <f t="shared" si="73"/>
        <v>-628.59173332658281</v>
      </c>
      <c r="AR103" s="361">
        <f t="shared" si="73"/>
        <v>-978.87765065984865</v>
      </c>
      <c r="AS103" s="361">
        <f t="shared" si="73"/>
        <v>-1594.1664271664472</v>
      </c>
      <c r="AT103" s="361">
        <f t="shared" si="73"/>
        <v>-1981.5080914381117</v>
      </c>
      <c r="AU103" s="361">
        <f t="shared" si="73"/>
        <v>-2241.2231723524928</v>
      </c>
      <c r="AV103" s="361">
        <f t="shared" si="73"/>
        <v>-2670.2354040760179</v>
      </c>
      <c r="AW103" s="361">
        <f t="shared" si="73"/>
        <v>-3152.9627581167788</v>
      </c>
      <c r="AX103" s="361">
        <f t="shared" si="73"/>
        <v>-3594.2923856979464</v>
      </c>
      <c r="AY103" s="361">
        <f t="shared" si="73"/>
        <v>-4204.7353095549261</v>
      </c>
      <c r="AZ103" s="361">
        <f t="shared" si="73"/>
        <v>-4706.4076626504757</v>
      </c>
      <c r="BA103" s="361">
        <f t="shared" si="73"/>
        <v>-5164.4717392769808</v>
      </c>
      <c r="BB103" s="361">
        <f t="shared" si="73"/>
        <v>-5815.6164566697498</v>
      </c>
      <c r="BC103" s="361">
        <f t="shared" si="73"/>
        <v>-6383.3976212364469</v>
      </c>
      <c r="BD103" s="361">
        <f t="shared" si="73"/>
        <v>-7068.731597448812</v>
      </c>
      <c r="BE103" s="361">
        <f t="shared" si="73"/>
        <v>-8022.4189134233002</v>
      </c>
      <c r="BF103" s="361">
        <f t="shared" si="73"/>
        <v>-8800.1681025575344</v>
      </c>
      <c r="BG103" s="361">
        <f t="shared" si="73"/>
        <v>-9475.3197835831088</v>
      </c>
      <c r="BH103" s="361">
        <f t="shared" si="73"/>
        <v>-10400.097981418941</v>
      </c>
      <c r="BI103" s="361">
        <f t="shared" si="73"/>
        <v>-11129.998961233132</v>
      </c>
      <c r="BJ103" s="361">
        <f t="shared" si="73"/>
        <v>-12054.598950845464</v>
      </c>
      <c r="BK103" s="361">
        <f t="shared" si="73"/>
        <v>-13103.969940353922</v>
      </c>
      <c r="BL103" s="361">
        <f t="shared" si="73"/>
        <v>-14465.584639757461</v>
      </c>
      <c r="BM103" s="361">
        <f t="shared" si="73"/>
        <v>-15584.790486155036</v>
      </c>
      <c r="BN103" s="361">
        <f t="shared" si="73"/>
        <v>-17034.763391016586</v>
      </c>
      <c r="BO103" s="361">
        <f t="shared" si="73"/>
        <v>-18747.861024926751</v>
      </c>
      <c r="BP103" s="361">
        <f t="shared" si="73"/>
        <v>-20624.33963517602</v>
      </c>
      <c r="BQ103" s="361">
        <f t="shared" si="73"/>
        <v>-23753.208031527778</v>
      </c>
      <c r="BR103" s="361">
        <f t="shared" si="73"/>
        <v>-26918.890111843059</v>
      </c>
      <c r="BS103" s="361">
        <f t="shared" si="73"/>
        <v>-30111.854012961492</v>
      </c>
      <c r="BT103" s="361">
        <f t="shared" si="73"/>
        <v>-33016.372553091103</v>
      </c>
      <c r="BU103" s="361">
        <f t="shared" si="73"/>
        <v>-36360.686278622015</v>
      </c>
      <c r="BV103" s="361">
        <f t="shared" si="73"/>
        <v>-39656.668141408234</v>
      </c>
      <c r="BW103" s="361">
        <f t="shared" si="73"/>
        <v>-42671.034822822316</v>
      </c>
      <c r="BX103" s="361">
        <f t="shared" si="73"/>
        <v>-46310.620171050534</v>
      </c>
      <c r="BY103" s="361">
        <f t="shared" si="73"/>
        <v>-49684.701372761039</v>
      </c>
      <c r="BZ103" s="361">
        <f t="shared" si="73"/>
        <v>-52857.348386488644</v>
      </c>
      <c r="CA103" s="361">
        <f t="shared" si="73"/>
        <v>-56619.171870353523</v>
      </c>
    </row>
    <row r="104" spans="2:79" s="357" customFormat="1" outlineLevel="1">
      <c r="B104" s="356"/>
      <c r="C104" s="355"/>
      <c r="D104" s="360" t="s">
        <v>114</v>
      </c>
      <c r="G104" s="359"/>
      <c r="H104" s="358">
        <f>INDEX($AF104:$CA104,MATCH(H$5,$AF$5:$CA$5,0))</f>
        <v>97887.765065984859</v>
      </c>
      <c r="I104" s="358">
        <f>INDEX($AF104:$CA104,MATCH(I$5,$AF$5:$CA$5,0))</f>
        <v>706873.15974488121</v>
      </c>
      <c r="J104" s="358">
        <f>INDEX($AF104:$CA104,MATCH(J$5,$AF$5:$CA$5,0))</f>
        <v>2062433.9635176021</v>
      </c>
      <c r="K104" s="358">
        <f>INDEX($AF104:$CA104,MATCH(K$5,$AF$5:$CA$5,0))</f>
        <v>6037323.8589057056</v>
      </c>
      <c r="L104" s="358"/>
      <c r="M104" s="359"/>
      <c r="N104" s="358">
        <f t="shared" ref="N104:AC104" si="74">INDEX($AF104:$CA104,MATCH(N$5,$AF$5:$CA$5,0))</f>
        <v>15150.5</v>
      </c>
      <c r="O104" s="358">
        <f t="shared" si="74"/>
        <v>30760.075300500001</v>
      </c>
      <c r="P104" s="358">
        <f t="shared" si="74"/>
        <v>46842.636342180456</v>
      </c>
      <c r="Q104" s="358">
        <f t="shared" si="74"/>
        <v>97887.765065984859</v>
      </c>
      <c r="R104" s="358">
        <f t="shared" si="74"/>
        <v>224122.31723524927</v>
      </c>
      <c r="S104" s="358">
        <f t="shared" si="74"/>
        <v>359429.23856979463</v>
      </c>
      <c r="T104" s="358">
        <f t="shared" si="74"/>
        <v>516447.17392769805</v>
      </c>
      <c r="U104" s="358">
        <f t="shared" si="74"/>
        <v>706873.15974488121</v>
      </c>
      <c r="V104" s="358">
        <f t="shared" si="74"/>
        <v>947531.97835831088</v>
      </c>
      <c r="W104" s="358">
        <f t="shared" si="74"/>
        <v>1205459.8950845464</v>
      </c>
      <c r="X104" s="358">
        <f t="shared" si="74"/>
        <v>1558479.0486155036</v>
      </c>
      <c r="Y104" s="358">
        <f t="shared" si="74"/>
        <v>2062433.9635176021</v>
      </c>
      <c r="Z104" s="358">
        <f t="shared" si="74"/>
        <v>3011185.401296149</v>
      </c>
      <c r="AA104" s="358">
        <f t="shared" si="74"/>
        <v>3965666.8141408232</v>
      </c>
      <c r="AB104" s="358">
        <f t="shared" si="74"/>
        <v>4968470.1372761037</v>
      </c>
      <c r="AC104" s="358">
        <f t="shared" si="74"/>
        <v>6037323.8589057056</v>
      </c>
      <c r="AE104" s="359"/>
      <c r="AF104" s="358">
        <f t="shared" ref="AF104:CA104" si="75">SUM(AF99:AF103)</f>
        <v>5000</v>
      </c>
      <c r="AG104" s="358">
        <f t="shared" si="75"/>
        <v>10050</v>
      </c>
      <c r="AH104" s="358">
        <f t="shared" si="75"/>
        <v>15150.5</v>
      </c>
      <c r="AI104" s="358">
        <f t="shared" si="75"/>
        <v>20302.004999999997</v>
      </c>
      <c r="AJ104" s="358">
        <f t="shared" si="75"/>
        <v>25505.02505</v>
      </c>
      <c r="AK104" s="358">
        <f t="shared" si="75"/>
        <v>30760.075300500001</v>
      </c>
      <c r="AL104" s="358">
        <f t="shared" si="75"/>
        <v>36067.676053505005</v>
      </c>
      <c r="AM104" s="358">
        <f t="shared" si="75"/>
        <v>41428.352814040059</v>
      </c>
      <c r="AN104" s="358">
        <f t="shared" si="75"/>
        <v>46842.636342180456</v>
      </c>
      <c r="AO104" s="358">
        <f t="shared" si="75"/>
        <v>54811.062705602257</v>
      </c>
      <c r="AP104" s="358">
        <f t="shared" si="75"/>
        <v>62859.173332658283</v>
      </c>
      <c r="AQ104" s="358">
        <f t="shared" si="75"/>
        <v>97887.765065984859</v>
      </c>
      <c r="AR104" s="358">
        <f t="shared" si="75"/>
        <v>159416.64271664471</v>
      </c>
      <c r="AS104" s="358">
        <f t="shared" si="75"/>
        <v>198150.80914381117</v>
      </c>
      <c r="AT104" s="358">
        <f t="shared" si="75"/>
        <v>224122.31723524927</v>
      </c>
      <c r="AU104" s="358">
        <f t="shared" si="75"/>
        <v>267023.5404076018</v>
      </c>
      <c r="AV104" s="358">
        <f t="shared" si="75"/>
        <v>315296.27581167786</v>
      </c>
      <c r="AW104" s="358">
        <f t="shared" si="75"/>
        <v>359429.23856979463</v>
      </c>
      <c r="AX104" s="358">
        <f t="shared" si="75"/>
        <v>420473.53095549258</v>
      </c>
      <c r="AY104" s="358">
        <f t="shared" si="75"/>
        <v>470640.76626504754</v>
      </c>
      <c r="AZ104" s="358">
        <f t="shared" si="75"/>
        <v>516447.17392769805</v>
      </c>
      <c r="BA104" s="358">
        <f t="shared" si="75"/>
        <v>581561.64566697495</v>
      </c>
      <c r="BB104" s="358">
        <f t="shared" si="75"/>
        <v>638339.7621236447</v>
      </c>
      <c r="BC104" s="358">
        <f t="shared" si="75"/>
        <v>706873.15974488121</v>
      </c>
      <c r="BD104" s="358">
        <f t="shared" si="75"/>
        <v>802241.89134233003</v>
      </c>
      <c r="BE104" s="358">
        <f t="shared" si="75"/>
        <v>880016.81025575334</v>
      </c>
      <c r="BF104" s="358">
        <f t="shared" si="75"/>
        <v>947531.97835831088</v>
      </c>
      <c r="BG104" s="358">
        <f t="shared" si="75"/>
        <v>1040009.7981418942</v>
      </c>
      <c r="BH104" s="358">
        <f t="shared" si="75"/>
        <v>1112999.8961233131</v>
      </c>
      <c r="BI104" s="358">
        <f t="shared" si="75"/>
        <v>1205459.8950845464</v>
      </c>
      <c r="BJ104" s="358">
        <f t="shared" si="75"/>
        <v>1310396.9940353921</v>
      </c>
      <c r="BK104" s="358">
        <f t="shared" si="75"/>
        <v>1446558.463975746</v>
      </c>
      <c r="BL104" s="358">
        <f t="shared" si="75"/>
        <v>1558479.0486155036</v>
      </c>
      <c r="BM104" s="358">
        <f t="shared" si="75"/>
        <v>1703476.3391016584</v>
      </c>
      <c r="BN104" s="358">
        <f t="shared" si="75"/>
        <v>1874786.1024926752</v>
      </c>
      <c r="BO104" s="358">
        <f t="shared" si="75"/>
        <v>2062433.9635176021</v>
      </c>
      <c r="BP104" s="358">
        <f t="shared" si="75"/>
        <v>2375320.8031527777</v>
      </c>
      <c r="BQ104" s="358">
        <f t="shared" si="75"/>
        <v>2691889.0111843059</v>
      </c>
      <c r="BR104" s="358">
        <f t="shared" si="75"/>
        <v>3011185.401296149</v>
      </c>
      <c r="BS104" s="358">
        <f t="shared" si="75"/>
        <v>3301637.2553091105</v>
      </c>
      <c r="BT104" s="358">
        <f t="shared" si="75"/>
        <v>3636068.6278622015</v>
      </c>
      <c r="BU104" s="358">
        <f t="shared" si="75"/>
        <v>3965666.8141408232</v>
      </c>
      <c r="BV104" s="358">
        <f t="shared" si="75"/>
        <v>4267103.4822822316</v>
      </c>
      <c r="BW104" s="358">
        <f t="shared" si="75"/>
        <v>4631062.0171050532</v>
      </c>
      <c r="BX104" s="358">
        <f t="shared" si="75"/>
        <v>4968470.1372761037</v>
      </c>
      <c r="BY104" s="358">
        <f t="shared" si="75"/>
        <v>5285734.8386488641</v>
      </c>
      <c r="BZ104" s="358">
        <f t="shared" si="75"/>
        <v>5661917.187035352</v>
      </c>
      <c r="CA104" s="358">
        <f t="shared" si="75"/>
        <v>6037323.8589057056</v>
      </c>
    </row>
    <row r="105" spans="2:79">
      <c r="G105" s="359"/>
      <c r="M105" s="359"/>
      <c r="AE105" s="359"/>
    </row>
    <row r="106" spans="2:79" s="51" customFormat="1" ht="24">
      <c r="B106" s="635" t="s">
        <v>145</v>
      </c>
      <c r="C106" s="475"/>
      <c r="D106" s="475"/>
      <c r="E106" s="632"/>
      <c r="F106" s="50"/>
      <c r="G106" s="359"/>
      <c r="H106" s="632"/>
      <c r="I106" s="632"/>
      <c r="J106" s="632"/>
      <c r="K106" s="632"/>
      <c r="L106" s="50"/>
      <c r="M106" s="359"/>
      <c r="N106" s="632"/>
      <c r="O106" s="632"/>
      <c r="P106" s="632"/>
      <c r="Q106" s="632"/>
      <c r="R106" s="632"/>
      <c r="S106" s="632"/>
      <c r="T106" s="632"/>
      <c r="U106" s="632"/>
      <c r="V106" s="632"/>
      <c r="W106" s="632"/>
      <c r="X106" s="632"/>
      <c r="Y106" s="632"/>
      <c r="Z106" s="632"/>
      <c r="AA106" s="632"/>
      <c r="AB106" s="632"/>
      <c r="AC106" s="632"/>
      <c r="AD106" s="50"/>
      <c r="AE106" s="359"/>
      <c r="AF106" s="632"/>
      <c r="AG106" s="632"/>
      <c r="AH106" s="632"/>
      <c r="AI106" s="632"/>
      <c r="AJ106" s="632"/>
      <c r="AK106" s="632"/>
      <c r="AL106" s="632"/>
      <c r="AM106" s="632"/>
      <c r="AN106" s="632"/>
      <c r="AO106" s="632"/>
      <c r="AP106" s="632"/>
      <c r="AQ106" s="632"/>
      <c r="AR106" s="632"/>
      <c r="AS106" s="632"/>
      <c r="AT106" s="632"/>
      <c r="AU106" s="632"/>
      <c r="AV106" s="632"/>
      <c r="AW106" s="632"/>
      <c r="AX106" s="632"/>
      <c r="AY106" s="632"/>
      <c r="AZ106" s="632"/>
      <c r="BA106" s="632"/>
      <c r="BB106" s="632"/>
      <c r="BC106" s="632"/>
      <c r="BD106" s="632"/>
      <c r="BE106" s="632"/>
      <c r="BF106" s="632"/>
      <c r="BG106" s="632"/>
      <c r="BH106" s="632"/>
      <c r="BI106" s="632"/>
      <c r="BJ106" s="632"/>
      <c r="BK106" s="632"/>
      <c r="BL106" s="632"/>
      <c r="BM106" s="632"/>
      <c r="BN106" s="632"/>
      <c r="BO106" s="632"/>
      <c r="BP106" s="632"/>
      <c r="BQ106" s="632"/>
      <c r="BR106" s="632"/>
      <c r="BS106" s="632"/>
      <c r="BT106" s="632"/>
      <c r="BU106" s="632"/>
      <c r="BV106" s="632"/>
      <c r="BW106" s="632"/>
      <c r="BX106" s="632"/>
      <c r="BY106" s="632"/>
      <c r="BZ106" s="632"/>
      <c r="CA106" s="632"/>
    </row>
    <row r="107" spans="2:79" outlineLevel="1">
      <c r="D107" s="363" t="s">
        <v>109</v>
      </c>
      <c r="G107" s="359"/>
      <c r="H107" s="361">
        <f>INDEX($AF107:$CA107,MATCH(H$4,$AF$4:$CA$4,0))</f>
        <v>0</v>
      </c>
      <c r="I107" s="361">
        <f>INDEX($AF107:$CA107,MATCH(I$4,$AF$4:$CA$4,0))</f>
        <v>23270</v>
      </c>
      <c r="J107" s="361">
        <f>INDEX($AF107:$CA107,MATCH(J$4,$AF$4:$CA$4,0))</f>
        <v>23270</v>
      </c>
      <c r="K107" s="361">
        <f>INDEX($AF107:$CA107,MATCH(K$4,$AF$4:$CA$4,0))</f>
        <v>11987.377377200086</v>
      </c>
      <c r="L107" s="362"/>
      <c r="M107" s="359"/>
      <c r="N107" s="361">
        <f t="shared" ref="N107:AC107" si="76">INDEX($AF107:$CA107,MATCH(N$4,$AF$4:$CA$4,0))</f>
        <v>0</v>
      </c>
      <c r="O107" s="361">
        <f t="shared" si="76"/>
        <v>16538</v>
      </c>
      <c r="P107" s="361">
        <f t="shared" si="76"/>
        <v>19145</v>
      </c>
      <c r="Q107" s="361">
        <f t="shared" si="76"/>
        <v>22162</v>
      </c>
      <c r="R107" s="361">
        <f t="shared" si="76"/>
        <v>23270</v>
      </c>
      <c r="S107" s="361">
        <f t="shared" si="76"/>
        <v>23270</v>
      </c>
      <c r="T107" s="361">
        <f t="shared" si="76"/>
        <v>23270</v>
      </c>
      <c r="U107" s="361">
        <f t="shared" si="76"/>
        <v>23270</v>
      </c>
      <c r="V107" s="361">
        <f t="shared" si="76"/>
        <v>23270</v>
      </c>
      <c r="W107" s="361">
        <f t="shared" si="76"/>
        <v>23270</v>
      </c>
      <c r="X107" s="361">
        <f t="shared" si="76"/>
        <v>23270</v>
      </c>
      <c r="Y107" s="361">
        <f t="shared" si="76"/>
        <v>23270</v>
      </c>
      <c r="Z107" s="361">
        <f t="shared" si="76"/>
        <v>11987.377377200086</v>
      </c>
      <c r="AA107" s="361">
        <f t="shared" si="76"/>
        <v>162623.02051601053</v>
      </c>
      <c r="AB107" s="361">
        <f t="shared" si="76"/>
        <v>170064.38269715337</v>
      </c>
      <c r="AC107" s="361">
        <f t="shared" si="76"/>
        <v>265530.73666270555</v>
      </c>
      <c r="AD107" s="362"/>
      <c r="AE107" s="359"/>
      <c r="AF107" s="361">
        <f t="shared" ref="AF107:CA107" si="77">AE110</f>
        <v>0</v>
      </c>
      <c r="AG107" s="361">
        <f t="shared" si="77"/>
        <v>15000</v>
      </c>
      <c r="AH107" s="361">
        <f t="shared" si="77"/>
        <v>15750</v>
      </c>
      <c r="AI107" s="361">
        <f t="shared" si="77"/>
        <v>16538</v>
      </c>
      <c r="AJ107" s="361">
        <f t="shared" si="77"/>
        <v>17365</v>
      </c>
      <c r="AK107" s="361">
        <f t="shared" si="77"/>
        <v>18233</v>
      </c>
      <c r="AL107" s="361">
        <f t="shared" si="77"/>
        <v>19145</v>
      </c>
      <c r="AM107" s="361">
        <f t="shared" si="77"/>
        <v>20102</v>
      </c>
      <c r="AN107" s="361">
        <f t="shared" si="77"/>
        <v>21107</v>
      </c>
      <c r="AO107" s="361">
        <f t="shared" si="77"/>
        <v>22162</v>
      </c>
      <c r="AP107" s="361">
        <f t="shared" si="77"/>
        <v>23270</v>
      </c>
      <c r="AQ107" s="361">
        <f t="shared" si="77"/>
        <v>23270</v>
      </c>
      <c r="AR107" s="361">
        <f t="shared" si="77"/>
        <v>23270</v>
      </c>
      <c r="AS107" s="361">
        <f t="shared" si="77"/>
        <v>23270</v>
      </c>
      <c r="AT107" s="361">
        <f t="shared" si="77"/>
        <v>23270</v>
      </c>
      <c r="AU107" s="361">
        <f t="shared" si="77"/>
        <v>23270</v>
      </c>
      <c r="AV107" s="361">
        <f t="shared" si="77"/>
        <v>23270</v>
      </c>
      <c r="AW107" s="361">
        <f t="shared" si="77"/>
        <v>23270</v>
      </c>
      <c r="AX107" s="361">
        <f t="shared" si="77"/>
        <v>23270</v>
      </c>
      <c r="AY107" s="361">
        <f t="shared" si="77"/>
        <v>23270</v>
      </c>
      <c r="AZ107" s="361">
        <f t="shared" si="77"/>
        <v>23270</v>
      </c>
      <c r="BA107" s="361">
        <f t="shared" si="77"/>
        <v>23270</v>
      </c>
      <c r="BB107" s="361">
        <f t="shared" si="77"/>
        <v>23270</v>
      </c>
      <c r="BC107" s="361">
        <f t="shared" si="77"/>
        <v>23270</v>
      </c>
      <c r="BD107" s="361">
        <f t="shared" si="77"/>
        <v>23270</v>
      </c>
      <c r="BE107" s="361">
        <f t="shared" si="77"/>
        <v>23270</v>
      </c>
      <c r="BF107" s="361">
        <f t="shared" si="77"/>
        <v>23270</v>
      </c>
      <c r="BG107" s="361">
        <f t="shared" si="77"/>
        <v>23270</v>
      </c>
      <c r="BH107" s="361">
        <f t="shared" si="77"/>
        <v>23270</v>
      </c>
      <c r="BI107" s="361">
        <f t="shared" si="77"/>
        <v>23270</v>
      </c>
      <c r="BJ107" s="361">
        <f t="shared" si="77"/>
        <v>23270</v>
      </c>
      <c r="BK107" s="361">
        <f t="shared" si="77"/>
        <v>23270</v>
      </c>
      <c r="BL107" s="361">
        <f t="shared" si="77"/>
        <v>23270</v>
      </c>
      <c r="BM107" s="361">
        <f t="shared" si="77"/>
        <v>23270</v>
      </c>
      <c r="BN107" s="361">
        <f t="shared" si="77"/>
        <v>23270</v>
      </c>
      <c r="BO107" s="361">
        <f t="shared" si="77"/>
        <v>23270</v>
      </c>
      <c r="BP107" s="361">
        <f t="shared" si="77"/>
        <v>11987.377377200086</v>
      </c>
      <c r="BQ107" s="361">
        <f t="shared" si="77"/>
        <v>114171.59936150548</v>
      </c>
      <c r="BR107" s="361">
        <f t="shared" si="77"/>
        <v>172246.29064898723</v>
      </c>
      <c r="BS107" s="361">
        <f t="shared" si="77"/>
        <v>162623.02051601053</v>
      </c>
      <c r="BT107" s="361">
        <f t="shared" si="77"/>
        <v>153350.50309837068</v>
      </c>
      <c r="BU107" s="361">
        <f t="shared" si="77"/>
        <v>180267.81467322115</v>
      </c>
      <c r="BV107" s="361">
        <f t="shared" si="77"/>
        <v>170064.38269715337</v>
      </c>
      <c r="BW107" s="361">
        <f t="shared" si="77"/>
        <v>160314.26015132497</v>
      </c>
      <c r="BX107" s="361">
        <f t="shared" si="77"/>
        <v>245517.0822133717</v>
      </c>
      <c r="BY107" s="361">
        <f t="shared" si="77"/>
        <v>265530.73666270555</v>
      </c>
      <c r="BZ107" s="361">
        <f t="shared" si="77"/>
        <v>258474.31307319936</v>
      </c>
      <c r="CA107" s="361">
        <f t="shared" si="77"/>
        <v>338636.98774779809</v>
      </c>
    </row>
    <row r="108" spans="2:79" outlineLevel="1">
      <c r="D108" s="363" t="s">
        <v>501</v>
      </c>
      <c r="G108" s="359"/>
      <c r="H108" s="361">
        <f t="shared" ref="H108:K109" si="78">SUMIFS($AF108:$CA108,$AF$4:$CA$4,"&gt;="&amp;H$4,$AF$5:$CA$5,"&lt;="&amp;H$5)</f>
        <v>97887.765065984859</v>
      </c>
      <c r="I108" s="361">
        <f t="shared" si="78"/>
        <v>912305.39467889606</v>
      </c>
      <c r="J108" s="361">
        <f t="shared" si="78"/>
        <v>2234200.80377272</v>
      </c>
      <c r="K108" s="361">
        <f t="shared" si="78"/>
        <v>4853529.8953881068</v>
      </c>
      <c r="L108" s="362"/>
      <c r="M108" s="359"/>
      <c r="N108" s="361">
        <f t="shared" ref="N108:AC109" si="79">SUMIFS($AF108:$CA108,$AF$4:$CA$4,"&gt;="&amp;N$4,$AF$5:$CA$5,"&lt;="&amp;N$5)</f>
        <v>15150.5</v>
      </c>
      <c r="O108" s="361">
        <f t="shared" si="79"/>
        <v>15609.575300500001</v>
      </c>
      <c r="P108" s="361">
        <f t="shared" si="79"/>
        <v>16082.56104168045</v>
      </c>
      <c r="Q108" s="361">
        <f t="shared" si="79"/>
        <v>51045.12872380441</v>
      </c>
      <c r="R108" s="361">
        <f t="shared" si="79"/>
        <v>126234.55216926441</v>
      </c>
      <c r="S108" s="361">
        <f t="shared" si="79"/>
        <v>135306.92133454527</v>
      </c>
      <c r="T108" s="361">
        <f t="shared" si="79"/>
        <v>247917.9353579033</v>
      </c>
      <c r="U108" s="361">
        <f t="shared" si="79"/>
        <v>402845.98581718322</v>
      </c>
      <c r="V108" s="361">
        <f t="shared" si="79"/>
        <v>432018.81861342967</v>
      </c>
      <c r="W108" s="361">
        <f t="shared" si="79"/>
        <v>449287.91672623518</v>
      </c>
      <c r="X108" s="361">
        <f t="shared" si="79"/>
        <v>620179.15353095683</v>
      </c>
      <c r="Y108" s="361">
        <f t="shared" si="79"/>
        <v>732714.91490209836</v>
      </c>
      <c r="Z108" s="361">
        <f t="shared" si="79"/>
        <v>1140111.4377785469</v>
      </c>
      <c r="AA108" s="361">
        <f t="shared" si="79"/>
        <v>1145841.4128446747</v>
      </c>
      <c r="AB108" s="361">
        <f t="shared" si="79"/>
        <v>1269963.323135281</v>
      </c>
      <c r="AC108" s="361">
        <f t="shared" si="79"/>
        <v>1297613.7216296033</v>
      </c>
      <c r="AD108" s="362"/>
      <c r="AE108" s="359"/>
      <c r="AF108" s="361">
        <f t="shared" ref="AF108:CA108" si="80">AF36</f>
        <v>5000</v>
      </c>
      <c r="AG108" s="361">
        <f t="shared" si="80"/>
        <v>5050</v>
      </c>
      <c r="AH108" s="361">
        <f t="shared" si="80"/>
        <v>5100.5</v>
      </c>
      <c r="AI108" s="361">
        <f t="shared" si="80"/>
        <v>5151.5050000000001</v>
      </c>
      <c r="AJ108" s="361">
        <f t="shared" si="80"/>
        <v>5203.0200500000001</v>
      </c>
      <c r="AK108" s="361">
        <f t="shared" si="80"/>
        <v>5255.0502505000004</v>
      </c>
      <c r="AL108" s="361">
        <f t="shared" si="80"/>
        <v>5307.6007530050001</v>
      </c>
      <c r="AM108" s="361">
        <f t="shared" si="80"/>
        <v>5360.6767605350497</v>
      </c>
      <c r="AN108" s="361">
        <f t="shared" si="80"/>
        <v>5414.2835281404004</v>
      </c>
      <c r="AO108" s="361">
        <f t="shared" si="80"/>
        <v>7968.4263634218041</v>
      </c>
      <c r="AP108" s="361">
        <f t="shared" si="80"/>
        <v>8048.1106270560222</v>
      </c>
      <c r="AQ108" s="361">
        <f t="shared" si="80"/>
        <v>35028.591733326582</v>
      </c>
      <c r="AR108" s="361">
        <f t="shared" si="80"/>
        <v>61528.877650659851</v>
      </c>
      <c r="AS108" s="361">
        <f t="shared" si="80"/>
        <v>38734.166427166449</v>
      </c>
      <c r="AT108" s="361">
        <f t="shared" si="80"/>
        <v>25971.508091438111</v>
      </c>
      <c r="AU108" s="361">
        <f t="shared" si="80"/>
        <v>42901.223172352489</v>
      </c>
      <c r="AV108" s="361">
        <f t="shared" si="80"/>
        <v>48272.735404076018</v>
      </c>
      <c r="AW108" s="361">
        <f t="shared" si="80"/>
        <v>44132.962758116773</v>
      </c>
      <c r="AX108" s="361">
        <f t="shared" si="80"/>
        <v>61044.292385697947</v>
      </c>
      <c r="AY108" s="361">
        <f t="shared" si="80"/>
        <v>105467.23530955492</v>
      </c>
      <c r="AZ108" s="361">
        <f t="shared" si="80"/>
        <v>81406.407662650468</v>
      </c>
      <c r="BA108" s="361">
        <f t="shared" si="80"/>
        <v>129334.47173927698</v>
      </c>
      <c r="BB108" s="361">
        <f t="shared" si="80"/>
        <v>161558.11645666976</v>
      </c>
      <c r="BC108" s="361">
        <f t="shared" si="80"/>
        <v>111953.39762123645</v>
      </c>
      <c r="BD108" s="361">
        <f t="shared" si="80"/>
        <v>171428.73159744882</v>
      </c>
      <c r="BE108" s="361">
        <f t="shared" si="80"/>
        <v>149654.91891342329</v>
      </c>
      <c r="BF108" s="361">
        <f t="shared" si="80"/>
        <v>110935.16810255754</v>
      </c>
      <c r="BG108" s="361">
        <f t="shared" si="80"/>
        <v>168537.81978358311</v>
      </c>
      <c r="BH108" s="361">
        <f t="shared" si="80"/>
        <v>144870.09798141895</v>
      </c>
      <c r="BI108" s="361">
        <f t="shared" si="80"/>
        <v>135879.99896123313</v>
      </c>
      <c r="BJ108" s="361">
        <f t="shared" si="80"/>
        <v>180997.09895084545</v>
      </c>
      <c r="BK108" s="361">
        <f t="shared" si="80"/>
        <v>248841.46994035391</v>
      </c>
      <c r="BL108" s="361">
        <f t="shared" si="80"/>
        <v>190340.58463975746</v>
      </c>
      <c r="BM108" s="361">
        <f t="shared" si="80"/>
        <v>221057.29048615502</v>
      </c>
      <c r="BN108" s="361">
        <f t="shared" si="80"/>
        <v>280589.76339101658</v>
      </c>
      <c r="BO108" s="361">
        <f t="shared" si="80"/>
        <v>231067.86102492677</v>
      </c>
      <c r="BP108" s="361">
        <f t="shared" si="80"/>
        <v>388946.839635176</v>
      </c>
      <c r="BQ108" s="361">
        <f t="shared" si="80"/>
        <v>388448.20803152776</v>
      </c>
      <c r="BR108" s="361">
        <f t="shared" si="80"/>
        <v>362716.39011184307</v>
      </c>
      <c r="BS108" s="361">
        <f t="shared" si="80"/>
        <v>366511.8540129615</v>
      </c>
      <c r="BT108" s="361">
        <f t="shared" si="80"/>
        <v>406311.37255309109</v>
      </c>
      <c r="BU108" s="361">
        <f t="shared" si="80"/>
        <v>373018.18627862202</v>
      </c>
      <c r="BV108" s="361">
        <f t="shared" si="80"/>
        <v>377496.66814140824</v>
      </c>
      <c r="BW108" s="361">
        <f t="shared" si="80"/>
        <v>476638.53482282232</v>
      </c>
      <c r="BX108" s="361">
        <f t="shared" si="80"/>
        <v>415828.12017105054</v>
      </c>
      <c r="BY108" s="361">
        <f t="shared" si="80"/>
        <v>393324.70137276105</v>
      </c>
      <c r="BZ108" s="361">
        <f t="shared" si="80"/>
        <v>485462.34838648862</v>
      </c>
      <c r="CA108" s="361">
        <f t="shared" si="80"/>
        <v>418826.67187035352</v>
      </c>
    </row>
    <row r="109" spans="2:79" outlineLevel="1">
      <c r="D109" s="363" t="s">
        <v>425</v>
      </c>
      <c r="G109" s="359"/>
      <c r="H109" s="361">
        <f t="shared" si="78"/>
        <v>47167.855972039244</v>
      </c>
      <c r="I109" s="361">
        <f t="shared" si="78"/>
        <v>729538.59090867057</v>
      </c>
      <c r="J109" s="361">
        <f t="shared" si="78"/>
        <v>2049641.3598730168</v>
      </c>
      <c r="K109" s="361">
        <f t="shared" si="78"/>
        <v>4518442.5627628295</v>
      </c>
      <c r="L109" s="362"/>
      <c r="M109" s="359"/>
      <c r="N109" s="361">
        <f t="shared" si="79"/>
        <v>2516.7083333333335</v>
      </c>
      <c r="O109" s="361">
        <f t="shared" si="79"/>
        <v>6380.5921125416662</v>
      </c>
      <c r="P109" s="361">
        <f t="shared" si="79"/>
        <v>10361.555434143791</v>
      </c>
      <c r="Q109" s="361">
        <f t="shared" si="79"/>
        <v>27909.000092020451</v>
      </c>
      <c r="R109" s="361">
        <f t="shared" si="79"/>
        <v>82632.439091308755</v>
      </c>
      <c r="S109" s="361">
        <f t="shared" si="79"/>
        <v>127242.24578654786</v>
      </c>
      <c r="T109" s="361">
        <f t="shared" si="79"/>
        <v>174280.02549487603</v>
      </c>
      <c r="U109" s="361">
        <f t="shared" si="79"/>
        <v>345383.88053593796</v>
      </c>
      <c r="V109" s="361">
        <f t="shared" si="79"/>
        <v>401381.95090505737</v>
      </c>
      <c r="W109" s="361">
        <f t="shared" si="79"/>
        <v>448075.66954672325</v>
      </c>
      <c r="X109" s="361">
        <f t="shared" si="79"/>
        <v>533290.46128986683</v>
      </c>
      <c r="Y109" s="361">
        <f t="shared" si="79"/>
        <v>666893.27813136938</v>
      </c>
      <c r="Z109" s="361">
        <f t="shared" si="79"/>
        <v>989475.79463973641</v>
      </c>
      <c r="AA109" s="361">
        <f t="shared" si="79"/>
        <v>1138400.0506635318</v>
      </c>
      <c r="AB109" s="361">
        <f t="shared" si="79"/>
        <v>1174496.9691697289</v>
      </c>
      <c r="AC109" s="361">
        <f t="shared" si="79"/>
        <v>1216069.7482898326</v>
      </c>
      <c r="AD109" s="362"/>
      <c r="AE109" s="359"/>
      <c r="AF109" s="361">
        <f t="shared" ref="AF109:CA109" si="81">AF96</f>
        <v>416.66666666666669</v>
      </c>
      <c r="AG109" s="361">
        <f t="shared" si="81"/>
        <v>837.5</v>
      </c>
      <c r="AH109" s="361">
        <f t="shared" si="81"/>
        <v>1262.5416666666667</v>
      </c>
      <c r="AI109" s="361">
        <f t="shared" si="81"/>
        <v>1691.83375</v>
      </c>
      <c r="AJ109" s="361">
        <f t="shared" si="81"/>
        <v>2125.418754166667</v>
      </c>
      <c r="AK109" s="361">
        <f t="shared" si="81"/>
        <v>2563.3396083749999</v>
      </c>
      <c r="AL109" s="361">
        <f t="shared" si="81"/>
        <v>3005.6396711254165</v>
      </c>
      <c r="AM109" s="361">
        <f t="shared" si="81"/>
        <v>3452.3627345033374</v>
      </c>
      <c r="AN109" s="361">
        <f t="shared" si="81"/>
        <v>3903.5530285150371</v>
      </c>
      <c r="AO109" s="361">
        <f t="shared" si="81"/>
        <v>4567.5885588001875</v>
      </c>
      <c r="AP109" s="361">
        <f t="shared" si="81"/>
        <v>5238.26444438819</v>
      </c>
      <c r="AQ109" s="361">
        <f t="shared" si="81"/>
        <v>18103.147088832073</v>
      </c>
      <c r="AR109" s="361">
        <f t="shared" si="81"/>
        <v>25997.22022638706</v>
      </c>
      <c r="AS109" s="361">
        <f t="shared" si="81"/>
        <v>27900.067428650931</v>
      </c>
      <c r="AT109" s="361">
        <f t="shared" si="81"/>
        <v>28735.151436270771</v>
      </c>
      <c r="AU109" s="361">
        <f t="shared" si="81"/>
        <v>29614.294617300147</v>
      </c>
      <c r="AV109" s="361">
        <f t="shared" si="81"/>
        <v>48319.062563473155</v>
      </c>
      <c r="AW109" s="361">
        <f t="shared" si="81"/>
        <v>49308.888605774548</v>
      </c>
      <c r="AX109" s="361">
        <f t="shared" si="81"/>
        <v>50341.112908498959</v>
      </c>
      <c r="AY109" s="361">
        <f t="shared" si="81"/>
        <v>59653.117787583949</v>
      </c>
      <c r="AZ109" s="361">
        <f t="shared" si="81"/>
        <v>64285.794798793118</v>
      </c>
      <c r="BA109" s="361">
        <f t="shared" si="81"/>
        <v>96975.465246781052</v>
      </c>
      <c r="BB109" s="361">
        <f t="shared" si="81"/>
        <v>118651.09073258219</v>
      </c>
      <c r="BC109" s="361">
        <f t="shared" si="81"/>
        <v>129757.32455657469</v>
      </c>
      <c r="BD109" s="361">
        <f t="shared" si="81"/>
        <v>131231.47905214044</v>
      </c>
      <c r="BE109" s="361">
        <f t="shared" si="81"/>
        <v>132733.83342599517</v>
      </c>
      <c r="BF109" s="361">
        <f t="shared" si="81"/>
        <v>137416.6384269218</v>
      </c>
      <c r="BG109" s="361">
        <f t="shared" si="81"/>
        <v>142916.97981119101</v>
      </c>
      <c r="BH109" s="361">
        <f t="shared" si="81"/>
        <v>145390.30169263625</v>
      </c>
      <c r="BI109" s="361">
        <f t="shared" si="81"/>
        <v>159768.38804289597</v>
      </c>
      <c r="BJ109" s="361">
        <f t="shared" si="81"/>
        <v>161506.74692332491</v>
      </c>
      <c r="BK109" s="361">
        <f t="shared" si="81"/>
        <v>183876.05814255818</v>
      </c>
      <c r="BL109" s="361">
        <f t="shared" si="81"/>
        <v>187907.65622398374</v>
      </c>
      <c r="BM109" s="361">
        <f t="shared" si="81"/>
        <v>207839.34945289025</v>
      </c>
      <c r="BN109" s="361">
        <f t="shared" si="81"/>
        <v>216703.44503075248</v>
      </c>
      <c r="BO109" s="361">
        <f t="shared" si="81"/>
        <v>242350.48364772668</v>
      </c>
      <c r="BP109" s="361">
        <f t="shared" si="81"/>
        <v>286762.61765087058</v>
      </c>
      <c r="BQ109" s="361">
        <f t="shared" si="81"/>
        <v>330373.51674404601</v>
      </c>
      <c r="BR109" s="361">
        <f t="shared" si="81"/>
        <v>372339.66024481977</v>
      </c>
      <c r="BS109" s="361">
        <f t="shared" si="81"/>
        <v>375784.37143060128</v>
      </c>
      <c r="BT109" s="361">
        <f t="shared" si="81"/>
        <v>379394.06097824062</v>
      </c>
      <c r="BU109" s="361">
        <f t="shared" si="81"/>
        <v>383221.61825468973</v>
      </c>
      <c r="BV109" s="361">
        <f t="shared" si="81"/>
        <v>387246.79068723664</v>
      </c>
      <c r="BW109" s="361">
        <f t="shared" si="81"/>
        <v>391435.71276077564</v>
      </c>
      <c r="BX109" s="361">
        <f t="shared" si="81"/>
        <v>395814.46572171676</v>
      </c>
      <c r="BY109" s="361">
        <f t="shared" si="81"/>
        <v>400381.12496226723</v>
      </c>
      <c r="BZ109" s="361">
        <f t="shared" si="81"/>
        <v>405299.67371188989</v>
      </c>
      <c r="CA109" s="361">
        <f t="shared" si="81"/>
        <v>410388.94961567543</v>
      </c>
    </row>
    <row r="110" spans="2:79" s="357" customFormat="1" ht="15" outlineLevel="1">
      <c r="D110" s="360" t="s">
        <v>114</v>
      </c>
      <c r="G110" s="359"/>
      <c r="H110" s="358">
        <f>INDEX($AF110:$CA110,MATCH(H$5,$AF$5:$CA$5,0))</f>
        <v>23270</v>
      </c>
      <c r="I110" s="358">
        <f>INDEX($AF110:$CA110,MATCH(I$5,$AF$5:$CA$5,0))</f>
        <v>23270</v>
      </c>
      <c r="J110" s="358">
        <f>INDEX($AF110:$CA110,MATCH(J$5,$AF$5:$CA$5,0))</f>
        <v>11987.377377200086</v>
      </c>
      <c r="K110" s="358">
        <f>INDEX($AF110:$CA110,MATCH(K$5,$AF$5:$CA$5,0))</f>
        <v>347074.71000247617</v>
      </c>
      <c r="L110" s="358"/>
      <c r="M110" s="359"/>
      <c r="N110" s="358">
        <f t="shared" ref="N110:AC110" si="82">INDEX($AF110:$CA110,MATCH(N$5,$AF$5:$CA$5,0))</f>
        <v>16538</v>
      </c>
      <c r="O110" s="358">
        <f t="shared" si="82"/>
        <v>19145</v>
      </c>
      <c r="P110" s="358">
        <f t="shared" si="82"/>
        <v>22162</v>
      </c>
      <c r="Q110" s="358">
        <f t="shared" si="82"/>
        <v>23270</v>
      </c>
      <c r="R110" s="358">
        <f t="shared" si="82"/>
        <v>23270</v>
      </c>
      <c r="S110" s="358">
        <f t="shared" si="82"/>
        <v>23270</v>
      </c>
      <c r="T110" s="358">
        <f t="shared" si="82"/>
        <v>23270</v>
      </c>
      <c r="U110" s="358">
        <f t="shared" si="82"/>
        <v>23270</v>
      </c>
      <c r="V110" s="358">
        <f t="shared" si="82"/>
        <v>23270</v>
      </c>
      <c r="W110" s="358">
        <f t="shared" si="82"/>
        <v>23270</v>
      </c>
      <c r="X110" s="358">
        <f t="shared" si="82"/>
        <v>23270</v>
      </c>
      <c r="Y110" s="358">
        <f t="shared" si="82"/>
        <v>11987.377377200086</v>
      </c>
      <c r="Z110" s="358">
        <f t="shared" si="82"/>
        <v>162623.02051601053</v>
      </c>
      <c r="AA110" s="358">
        <f t="shared" si="82"/>
        <v>170064.38269715337</v>
      </c>
      <c r="AB110" s="358">
        <f t="shared" si="82"/>
        <v>265530.73666270555</v>
      </c>
      <c r="AC110" s="358">
        <f t="shared" si="82"/>
        <v>347074.71000247617</v>
      </c>
      <c r="AE110" s="359"/>
      <c r="AF110" s="358">
        <f>IF(AF$8&lt;=LatestMonthOfActuals,Drivers!AO92,AF107+AF108-AF109)</f>
        <v>15000</v>
      </c>
      <c r="AG110" s="358">
        <f>IF(AG$8&lt;=LatestMonthOfActuals,Drivers!AP92,AG107+AG108-AG109)</f>
        <v>15750</v>
      </c>
      <c r="AH110" s="358">
        <f>IF(AH$8&lt;=LatestMonthOfActuals,Drivers!AQ92,AH107+AH108-AH109)</f>
        <v>16538</v>
      </c>
      <c r="AI110" s="358">
        <f>IF(AI$8&lt;=LatestMonthOfActuals,Drivers!AR92,AI107+AI108-AI109)</f>
        <v>17365</v>
      </c>
      <c r="AJ110" s="358">
        <f>IF(AJ$8&lt;=LatestMonthOfActuals,Drivers!AS92,AJ107+AJ108-AJ109)</f>
        <v>18233</v>
      </c>
      <c r="AK110" s="358">
        <f>IF(AK$8&lt;=LatestMonthOfActuals,Drivers!AT92,AK107+AK108-AK109)</f>
        <v>19145</v>
      </c>
      <c r="AL110" s="358">
        <f>IF(AL$8&lt;=LatestMonthOfActuals,Drivers!AU92,AL107+AL108-AL109)</f>
        <v>20102</v>
      </c>
      <c r="AM110" s="358">
        <f>IF(AM$8&lt;=LatestMonthOfActuals,Drivers!AV92,AM107+AM108-AM109)</f>
        <v>21107</v>
      </c>
      <c r="AN110" s="358">
        <f>IF(AN$8&lt;=LatestMonthOfActuals,Drivers!AW92,AN107+AN108-AN109)</f>
        <v>22162</v>
      </c>
      <c r="AO110" s="358">
        <f>IF(AO$8&lt;=LatestMonthOfActuals,Drivers!AX92,AO107+AO108-AO109)</f>
        <v>23270</v>
      </c>
      <c r="AP110" s="358">
        <f>IF(AP$8&lt;=LatestMonthOfActuals,Drivers!AY92,AP107+AP108-AP109)</f>
        <v>23270</v>
      </c>
      <c r="AQ110" s="358">
        <f>IF(AQ$8&lt;=LatestMonthOfActuals,Drivers!AZ92,AQ107+AQ108-AQ109)</f>
        <v>23270</v>
      </c>
      <c r="AR110" s="358">
        <f>IF(AR$8&lt;=LatestMonthOfActuals,Drivers!BA92,AR107+AR108-AR109)</f>
        <v>23270</v>
      </c>
      <c r="AS110" s="358">
        <f>IF(AS$8&lt;=LatestMonthOfActuals,Drivers!BB92,AS107+AS108-AS109)</f>
        <v>23270</v>
      </c>
      <c r="AT110" s="358">
        <f>IF(AT$8&lt;=LatestMonthOfActuals,Drivers!BC92,AT107+AT108-AT109)</f>
        <v>23270</v>
      </c>
      <c r="AU110" s="358">
        <f>IF(AU$8&lt;=LatestMonthOfActuals,Drivers!BD92,AU107+AU108-AU109)</f>
        <v>23270</v>
      </c>
      <c r="AV110" s="358">
        <f>IF(AV$8&lt;=LatestMonthOfActuals,Drivers!BE92,AV107+AV108-AV109)</f>
        <v>23270</v>
      </c>
      <c r="AW110" s="358">
        <f>IF(AW$8&lt;=LatestMonthOfActuals,Drivers!BF92,AW107+AW108-AW109)</f>
        <v>23270</v>
      </c>
      <c r="AX110" s="358">
        <f>IF(AX$8&lt;=LatestMonthOfActuals,Drivers!BG92,AX107+AX108-AX109)</f>
        <v>23270</v>
      </c>
      <c r="AY110" s="358">
        <f>IF(AY$8&lt;=LatestMonthOfActuals,Drivers!BH92,AY107+AY108-AY109)</f>
        <v>23270</v>
      </c>
      <c r="AZ110" s="358">
        <f>IF(AZ$8&lt;=LatestMonthOfActuals,Drivers!BI92,AZ107+AZ108-AZ109)</f>
        <v>23270</v>
      </c>
      <c r="BA110" s="358">
        <f>IF(BA$8&lt;=LatestMonthOfActuals,Drivers!BJ92,BA107+BA108-BA109)</f>
        <v>23270</v>
      </c>
      <c r="BB110" s="358">
        <f>IF(BB$8&lt;=LatestMonthOfActuals,Drivers!BK92,BB107+BB108-BB109)</f>
        <v>23270</v>
      </c>
      <c r="BC110" s="358">
        <f>IF(BC$8&lt;=LatestMonthOfActuals,Drivers!BL92,BC107+BC108-BC109)</f>
        <v>23270</v>
      </c>
      <c r="BD110" s="358">
        <f>IF(BD$8&lt;=LatestMonthOfActuals,Drivers!BM92,BD107+BD108-BD109)</f>
        <v>23270</v>
      </c>
      <c r="BE110" s="358">
        <f>IF(BE$8&lt;=LatestMonthOfActuals,Drivers!BN92,BE107+BE108-BE109)</f>
        <v>23270</v>
      </c>
      <c r="BF110" s="358">
        <f>IF(BF$8&lt;=LatestMonthOfActuals,Drivers!BO92,BF107+BF108-BF109)</f>
        <v>23270</v>
      </c>
      <c r="BG110" s="358">
        <f>IF(BG$8&lt;=LatestMonthOfActuals,Drivers!BP92,BG107+BG108-BG109)</f>
        <v>23270</v>
      </c>
      <c r="BH110" s="358">
        <f>IF(BH$8&lt;=LatestMonthOfActuals,Drivers!BQ92,BH107+BH108-BH109)</f>
        <v>23270</v>
      </c>
      <c r="BI110" s="358">
        <f>IF(BI$8&lt;=LatestMonthOfActuals,Drivers!BR92,BI107+BI108-BI109)</f>
        <v>23270</v>
      </c>
      <c r="BJ110" s="358">
        <f>IF(BJ$8&lt;=LatestMonthOfActuals,Drivers!BS92,BJ107+BJ108-BJ109)</f>
        <v>23270</v>
      </c>
      <c r="BK110" s="358">
        <f>IF(BK$8&lt;=LatestMonthOfActuals,Drivers!BT92,BK107+BK108-BK109)</f>
        <v>23270</v>
      </c>
      <c r="BL110" s="358">
        <f>IF(BL$8&lt;=LatestMonthOfActuals,Drivers!BU92,BL107+BL108-BL109)</f>
        <v>23270</v>
      </c>
      <c r="BM110" s="358">
        <f>IF(BM$8&lt;=LatestMonthOfActuals,Drivers!BV92,BM107+BM108-BM109)</f>
        <v>23270</v>
      </c>
      <c r="BN110" s="358">
        <f>IF(BN$8&lt;=LatestMonthOfActuals,Drivers!BW92,BN107+BN108-BN109)</f>
        <v>23270</v>
      </c>
      <c r="BO110" s="358">
        <f>IF(BO$8&lt;=LatestMonthOfActuals,Drivers!BX92,BO107+BO108-BO109)</f>
        <v>11987.377377200086</v>
      </c>
      <c r="BP110" s="358">
        <f>IF(BP$8&lt;=LatestMonthOfActuals,Drivers!BY92,BP107+BP108-BP109)</f>
        <v>114171.59936150548</v>
      </c>
      <c r="BQ110" s="358">
        <f>IF(BQ$8&lt;=LatestMonthOfActuals,Drivers!BZ92,BQ107+BQ108-BQ109)</f>
        <v>172246.29064898723</v>
      </c>
      <c r="BR110" s="358">
        <f>IF(BR$8&lt;=LatestMonthOfActuals,Drivers!CA92,BR107+BR108-BR109)</f>
        <v>162623.02051601053</v>
      </c>
      <c r="BS110" s="358">
        <f>IF(BS$8&lt;=LatestMonthOfActuals,Drivers!CB92,BS107+BS108-BS109)</f>
        <v>153350.50309837068</v>
      </c>
      <c r="BT110" s="358">
        <f>IF(BT$8&lt;=LatestMonthOfActuals,Drivers!CC92,BT107+BT108-BT109)</f>
        <v>180267.81467322115</v>
      </c>
      <c r="BU110" s="358">
        <f>IF(BU$8&lt;=LatestMonthOfActuals,Drivers!CD92,BU107+BU108-BU109)</f>
        <v>170064.38269715337</v>
      </c>
      <c r="BV110" s="358">
        <f>IF(BV$8&lt;=LatestMonthOfActuals,Drivers!CE92,BV107+BV108-BV109)</f>
        <v>160314.26015132497</v>
      </c>
      <c r="BW110" s="358">
        <f>IF(BW$8&lt;=LatestMonthOfActuals,Drivers!CF92,BW107+BW108-BW109)</f>
        <v>245517.0822133717</v>
      </c>
      <c r="BX110" s="358">
        <f>IF(BX$8&lt;=LatestMonthOfActuals,Drivers!CG92,BX107+BX108-BX109)</f>
        <v>265530.73666270555</v>
      </c>
      <c r="BY110" s="358">
        <f>IF(BY$8&lt;=LatestMonthOfActuals,Drivers!CH92,BY107+BY108-BY109)</f>
        <v>258474.31307319936</v>
      </c>
      <c r="BZ110" s="358">
        <f>IF(BZ$8&lt;=LatestMonthOfActuals,Drivers!CI92,BZ107+BZ108-BZ109)</f>
        <v>338636.98774779809</v>
      </c>
      <c r="CA110" s="358">
        <f>IF(CA$8&lt;=LatestMonthOfActuals,Drivers!CJ92,CA107+CA108-CA109)</f>
        <v>347074.71000247617</v>
      </c>
    </row>
  </sheetData>
  <mergeCells count="3">
    <mergeCell ref="G2:G8"/>
    <mergeCell ref="M2:M8"/>
    <mergeCell ref="AE2:AE8"/>
  </mergeCells>
  <pageMargins left="0.7" right="0.7" top="0.75" bottom="0.75" header="0.3" footer="0.3"/>
  <pageSetup orientation="portrait" r:id="rId1"/>
  <customProperties>
    <customPr name="sourceTemplate" r:id="rId2"/>
  </customProperties>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18434-71BD-5347-96BB-B73D95E5BA8A}">
  <sheetPr>
    <tabColor theme="5" tint="0.79998168889431442"/>
    <outlinePr summaryBelow="0" summaryRight="0"/>
  </sheetPr>
  <dimension ref="A1:CA127"/>
  <sheetViews>
    <sheetView showGridLines="0" zoomScaleNormal="100" workbookViewId="0">
      <pane xSplit="6" ySplit="8" topLeftCell="AU9" activePane="bottomRight" state="frozen"/>
      <selection pane="topRight" activeCell="AH28" sqref="AH28"/>
      <selection pane="bottomLeft" activeCell="AH28" sqref="AH28"/>
      <selection pane="bottomRight" activeCell="AH28" sqref="AH28"/>
    </sheetView>
  </sheetViews>
  <sheetFormatPr defaultColWidth="9.140625" defaultRowHeight="18.75" outlineLevelRow="2" outlineLevelCol="2"/>
  <cols>
    <col min="1" max="1" width="2.42578125" style="50" customWidth="1"/>
    <col min="2" max="2" width="2.42578125" style="356" customWidth="1"/>
    <col min="3" max="3" width="2.42578125" style="355" customWidth="1"/>
    <col min="4" max="4" width="30.28515625" style="50" bestFit="1" customWidth="1"/>
    <col min="5" max="5" width="16.28515625" style="50" bestFit="1" customWidth="1"/>
    <col min="6" max="6" width="2.7109375" style="50" customWidth="1"/>
    <col min="7" max="7" width="2.7109375" style="55" customWidth="1" collapsed="1"/>
    <col min="8" max="8" width="8.140625" style="50" hidden="1" customWidth="1" outlineLevel="2"/>
    <col min="9" max="11" width="11.140625" style="50" hidden="1" customWidth="1" outlineLevel="2"/>
    <col min="12" max="12" width="2.7109375" style="50" customWidth="1"/>
    <col min="13" max="13" width="2.7109375" style="55" customWidth="1" collapsed="1"/>
    <col min="14" max="16" width="7.7109375" style="50" hidden="1" customWidth="1" outlineLevel="2"/>
    <col min="17" max="17" width="8.140625" style="50" hidden="1" customWidth="1" outlineLevel="2"/>
    <col min="18" max="19" width="7.7109375" style="50" hidden="1" customWidth="1" outlineLevel="2"/>
    <col min="20" max="20" width="9.7109375" style="50" hidden="1" customWidth="1" outlineLevel="2"/>
    <col min="21" max="29" width="11.140625" style="50" hidden="1" customWidth="1" outlineLevel="2"/>
    <col min="30" max="30" width="2.7109375" style="50" customWidth="1"/>
    <col min="31" max="31" width="2.7109375" style="55" customWidth="1"/>
    <col min="32" max="40" width="7.140625" style="50" bestFit="1" customWidth="1" outlineLevel="1"/>
    <col min="41" max="43" width="8.140625" style="50" bestFit="1" customWidth="1" outlineLevel="1"/>
    <col min="44" max="50" width="7.140625" style="50" bestFit="1" customWidth="1" outlineLevel="1"/>
    <col min="51" max="53" width="9.7109375" style="50" bestFit="1" customWidth="1" outlineLevel="1"/>
    <col min="54" max="54" width="11.140625" style="50" bestFit="1" customWidth="1" outlineLevel="1"/>
    <col min="55" max="62" width="9.7109375" style="50" bestFit="1" customWidth="1" outlineLevel="1"/>
    <col min="63" max="63" width="11.140625" style="50" bestFit="1" customWidth="1" outlineLevel="1"/>
    <col min="64" max="65" width="9.7109375" style="50" bestFit="1" customWidth="1" outlineLevel="1"/>
    <col min="66" max="66" width="11.140625" style="50" bestFit="1" customWidth="1" outlineLevel="1"/>
    <col min="67" max="74" width="9.7109375" style="50" bestFit="1" customWidth="1" outlineLevel="1"/>
    <col min="75" max="75" width="11.140625" style="50" bestFit="1" customWidth="1" outlineLevel="1"/>
    <col min="76" max="77" width="9.7109375" style="50" bestFit="1" customWidth="1" outlineLevel="1"/>
    <col min="78" max="78" width="11.140625" style="50" bestFit="1" customWidth="1" outlineLevel="1"/>
    <col min="79" max="79" width="9.7109375" style="50" bestFit="1" customWidth="1" outlineLevel="1"/>
    <col min="80" max="16384" width="9.140625" style="50"/>
  </cols>
  <sheetData>
    <row r="1" spans="1:79" ht="21" customHeight="1">
      <c r="A1" s="193" t="str">
        <f>Company_Name</f>
        <v>Model Wiz Demo *</v>
      </c>
      <c r="E1" s="357"/>
    </row>
    <row r="2" spans="1:79" ht="21" customHeight="1">
      <c r="A2" s="148" t="str" cm="1">
        <f t="array" aca="1" ref="A2" ca="1">IFERROR(MID(CELL("filename",A1),FIND("]",CELL("filename",A1))+1,LEN(CELL("filename",A1))),"")</f>
        <v>Revenue - Existing</v>
      </c>
      <c r="G2" s="853" t="s">
        <v>159</v>
      </c>
      <c r="H2" s="148"/>
      <c r="I2" s="148"/>
      <c r="J2" s="148"/>
      <c r="K2" s="148"/>
      <c r="L2" s="148"/>
      <c r="M2" s="853" t="s">
        <v>160</v>
      </c>
      <c r="N2" s="403"/>
      <c r="O2" s="148"/>
      <c r="P2" s="148"/>
      <c r="Q2" s="148"/>
      <c r="R2" s="148"/>
      <c r="S2" s="148"/>
      <c r="T2" s="148"/>
      <c r="U2" s="148"/>
      <c r="V2" s="148"/>
      <c r="W2" s="148"/>
      <c r="X2" s="148"/>
      <c r="Y2" s="148"/>
      <c r="Z2" s="148"/>
      <c r="AA2" s="148"/>
      <c r="AB2" s="148"/>
      <c r="AC2" s="148"/>
      <c r="AD2" s="407"/>
      <c r="AE2" s="853" t="s">
        <v>161</v>
      </c>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row>
    <row r="3" spans="1:79" ht="21" customHeight="1" collapsed="1">
      <c r="A3" s="192" t="str">
        <f>Error_Check</f>
        <v>Model Functioning Properly</v>
      </c>
      <c r="G3" s="853"/>
      <c r="H3" s="405" t="str">
        <f>IF(H$5&lt;=_xlfn.SINGLE(LatestMonthOfActuals),"Actual","Projected")</f>
        <v>Actual</v>
      </c>
      <c r="I3" s="405" t="str">
        <f>IF(I$5&lt;=_xlfn.SINGLE(LatestMonthOfActuals),"Actual","Projected")</f>
        <v>Actual</v>
      </c>
      <c r="J3" s="405" t="str">
        <f>IF(J$5&lt;=_xlfn.SINGLE(LatestMonthOfActuals),"Actual","Projected")</f>
        <v>Projected</v>
      </c>
      <c r="K3" s="405" t="str">
        <f>IF(K$5&lt;=_xlfn.SINGLE(LatestMonthOfActuals),"Actual","Projected")</f>
        <v>Projected</v>
      </c>
      <c r="L3" s="148"/>
      <c r="M3" s="853"/>
      <c r="N3" s="405" t="str">
        <f t="shared" ref="N3:AC3" si="0">IF(N$5&lt;=_xlfn.SINGLE(LatestMonthOfActuals),"Actual","Projected")</f>
        <v>Actual</v>
      </c>
      <c r="O3" s="405" t="str">
        <f t="shared" si="0"/>
        <v>Actual</v>
      </c>
      <c r="P3" s="405" t="str">
        <f t="shared" si="0"/>
        <v>Actual</v>
      </c>
      <c r="Q3" s="405" t="str">
        <f t="shared" si="0"/>
        <v>Actual</v>
      </c>
      <c r="R3" s="405" t="str">
        <f t="shared" si="0"/>
        <v>Actual</v>
      </c>
      <c r="S3" s="405" t="str">
        <f t="shared" si="0"/>
        <v>Actual</v>
      </c>
      <c r="T3" s="405" t="str">
        <f t="shared" si="0"/>
        <v>Actual</v>
      </c>
      <c r="U3" s="405" t="str">
        <f t="shared" si="0"/>
        <v>Actual</v>
      </c>
      <c r="V3" s="405" t="str">
        <f t="shared" si="0"/>
        <v>Actual</v>
      </c>
      <c r="W3" s="405" t="str">
        <f t="shared" si="0"/>
        <v>Actual</v>
      </c>
      <c r="X3" s="405" t="str">
        <f t="shared" si="0"/>
        <v>Actual</v>
      </c>
      <c r="Y3" s="405" t="str">
        <f t="shared" si="0"/>
        <v>Projected</v>
      </c>
      <c r="Z3" s="405" t="str">
        <f t="shared" si="0"/>
        <v>Projected</v>
      </c>
      <c r="AA3" s="405" t="str">
        <f t="shared" si="0"/>
        <v>Projected</v>
      </c>
      <c r="AB3" s="405" t="str">
        <f t="shared" si="0"/>
        <v>Projected</v>
      </c>
      <c r="AC3" s="405" t="str">
        <f t="shared" si="0"/>
        <v>Projected</v>
      </c>
      <c r="AD3" s="406"/>
      <c r="AE3" s="853"/>
      <c r="AF3" s="405" t="str">
        <f t="shared" ref="AF3:CA3" si="1">IF(AF$5&lt;=_xlfn.SINGLE(LatestMonthOfActuals),"Actual","Projected")</f>
        <v>Actual</v>
      </c>
      <c r="AG3" s="405" t="str">
        <f t="shared" si="1"/>
        <v>Actual</v>
      </c>
      <c r="AH3" s="405" t="str">
        <f t="shared" si="1"/>
        <v>Actual</v>
      </c>
      <c r="AI3" s="405" t="str">
        <f t="shared" si="1"/>
        <v>Actual</v>
      </c>
      <c r="AJ3" s="405" t="str">
        <f t="shared" si="1"/>
        <v>Actual</v>
      </c>
      <c r="AK3" s="405" t="str">
        <f t="shared" si="1"/>
        <v>Actual</v>
      </c>
      <c r="AL3" s="405" t="str">
        <f t="shared" si="1"/>
        <v>Actual</v>
      </c>
      <c r="AM3" s="405" t="str">
        <f t="shared" si="1"/>
        <v>Actual</v>
      </c>
      <c r="AN3" s="405" t="str">
        <f t="shared" si="1"/>
        <v>Actual</v>
      </c>
      <c r="AO3" s="405" t="str">
        <f t="shared" si="1"/>
        <v>Actual</v>
      </c>
      <c r="AP3" s="405" t="str">
        <f t="shared" si="1"/>
        <v>Actual</v>
      </c>
      <c r="AQ3" s="405" t="str">
        <f t="shared" si="1"/>
        <v>Actual</v>
      </c>
      <c r="AR3" s="405" t="str">
        <f t="shared" si="1"/>
        <v>Actual</v>
      </c>
      <c r="AS3" s="405" t="str">
        <f t="shared" si="1"/>
        <v>Actual</v>
      </c>
      <c r="AT3" s="405" t="str">
        <f t="shared" si="1"/>
        <v>Actual</v>
      </c>
      <c r="AU3" s="405" t="str">
        <f t="shared" si="1"/>
        <v>Actual</v>
      </c>
      <c r="AV3" s="405" t="str">
        <f t="shared" si="1"/>
        <v>Actual</v>
      </c>
      <c r="AW3" s="405" t="str">
        <f t="shared" si="1"/>
        <v>Actual</v>
      </c>
      <c r="AX3" s="405" t="str">
        <f t="shared" si="1"/>
        <v>Actual</v>
      </c>
      <c r="AY3" s="405" t="str">
        <f t="shared" si="1"/>
        <v>Actual</v>
      </c>
      <c r="AZ3" s="405" t="str">
        <f t="shared" si="1"/>
        <v>Actual</v>
      </c>
      <c r="BA3" s="405" t="str">
        <f t="shared" si="1"/>
        <v>Actual</v>
      </c>
      <c r="BB3" s="405" t="str">
        <f t="shared" si="1"/>
        <v>Actual</v>
      </c>
      <c r="BC3" s="405" t="str">
        <f t="shared" si="1"/>
        <v>Actual</v>
      </c>
      <c r="BD3" s="405" t="str">
        <f t="shared" si="1"/>
        <v>Actual</v>
      </c>
      <c r="BE3" s="405" t="str">
        <f t="shared" si="1"/>
        <v>Actual</v>
      </c>
      <c r="BF3" s="405" t="str">
        <f t="shared" si="1"/>
        <v>Actual</v>
      </c>
      <c r="BG3" s="405" t="str">
        <f t="shared" si="1"/>
        <v>Actual</v>
      </c>
      <c r="BH3" s="405" t="str">
        <f t="shared" si="1"/>
        <v>Actual</v>
      </c>
      <c r="BI3" s="405" t="str">
        <f t="shared" si="1"/>
        <v>Actual</v>
      </c>
      <c r="BJ3" s="405" t="str">
        <f t="shared" si="1"/>
        <v>Actual</v>
      </c>
      <c r="BK3" s="405" t="str">
        <f t="shared" si="1"/>
        <v>Actual</v>
      </c>
      <c r="BL3" s="405" t="str">
        <f t="shared" si="1"/>
        <v>Actual</v>
      </c>
      <c r="BM3" s="405" t="str">
        <f t="shared" si="1"/>
        <v>Actual</v>
      </c>
      <c r="BN3" s="405" t="str">
        <f t="shared" si="1"/>
        <v>Actual</v>
      </c>
      <c r="BO3" s="405" t="str">
        <f t="shared" si="1"/>
        <v>Projected</v>
      </c>
      <c r="BP3" s="405" t="str">
        <f t="shared" si="1"/>
        <v>Projected</v>
      </c>
      <c r="BQ3" s="405" t="str">
        <f t="shared" si="1"/>
        <v>Projected</v>
      </c>
      <c r="BR3" s="405" t="str">
        <f t="shared" si="1"/>
        <v>Projected</v>
      </c>
      <c r="BS3" s="405" t="str">
        <f t="shared" si="1"/>
        <v>Projected</v>
      </c>
      <c r="BT3" s="405" t="str">
        <f t="shared" si="1"/>
        <v>Projected</v>
      </c>
      <c r="BU3" s="405" t="str">
        <f t="shared" si="1"/>
        <v>Projected</v>
      </c>
      <c r="BV3" s="405" t="str">
        <f t="shared" si="1"/>
        <v>Projected</v>
      </c>
      <c r="BW3" s="405" t="str">
        <f t="shared" si="1"/>
        <v>Projected</v>
      </c>
      <c r="BX3" s="405" t="str">
        <f t="shared" si="1"/>
        <v>Projected</v>
      </c>
      <c r="BY3" s="405" t="str">
        <f t="shared" si="1"/>
        <v>Projected</v>
      </c>
      <c r="BZ3" s="405" t="str">
        <f t="shared" si="1"/>
        <v>Projected</v>
      </c>
      <c r="CA3" s="405" t="str">
        <f t="shared" si="1"/>
        <v>Projected</v>
      </c>
    </row>
    <row r="4" spans="1:79" ht="18" hidden="1" customHeight="1" outlineLevel="2">
      <c r="G4" s="853"/>
      <c r="H4" s="403">
        <f>Start_Date</f>
        <v>44927</v>
      </c>
      <c r="I4" s="403">
        <f>H5+1</f>
        <v>45292</v>
      </c>
      <c r="J4" s="403">
        <f>I5+1</f>
        <v>45658</v>
      </c>
      <c r="K4" s="403">
        <f>J5+1</f>
        <v>46023</v>
      </c>
      <c r="L4" s="148"/>
      <c r="M4" s="853"/>
      <c r="N4" s="403">
        <f>Start_Date</f>
        <v>44927</v>
      </c>
      <c r="O4" s="402">
        <f t="shared" ref="O4:AC4" si="2">N5+1</f>
        <v>45017</v>
      </c>
      <c r="P4" s="402">
        <f t="shared" si="2"/>
        <v>45108</v>
      </c>
      <c r="Q4" s="402">
        <f t="shared" si="2"/>
        <v>45200</v>
      </c>
      <c r="R4" s="402">
        <f t="shared" si="2"/>
        <v>45292</v>
      </c>
      <c r="S4" s="402">
        <f t="shared" si="2"/>
        <v>45383</v>
      </c>
      <c r="T4" s="402">
        <f t="shared" si="2"/>
        <v>45474</v>
      </c>
      <c r="U4" s="402">
        <f t="shared" si="2"/>
        <v>45566</v>
      </c>
      <c r="V4" s="402">
        <f t="shared" si="2"/>
        <v>45658</v>
      </c>
      <c r="W4" s="402">
        <f t="shared" si="2"/>
        <v>45748</v>
      </c>
      <c r="X4" s="402">
        <f t="shared" si="2"/>
        <v>45839</v>
      </c>
      <c r="Y4" s="402">
        <f t="shared" si="2"/>
        <v>45931</v>
      </c>
      <c r="Z4" s="402">
        <f t="shared" si="2"/>
        <v>46023</v>
      </c>
      <c r="AA4" s="402">
        <f t="shared" si="2"/>
        <v>46113</v>
      </c>
      <c r="AB4" s="402">
        <f t="shared" si="2"/>
        <v>46204</v>
      </c>
      <c r="AC4" s="402">
        <f t="shared" si="2"/>
        <v>46296</v>
      </c>
      <c r="AD4" s="404"/>
      <c r="AE4" s="853"/>
      <c r="AF4" s="403">
        <f>Start_Date</f>
        <v>44927</v>
      </c>
      <c r="AG4" s="403">
        <f t="shared" ref="AG4:CA4" si="3">EOMONTH(AG5,-1)+1</f>
        <v>44958</v>
      </c>
      <c r="AH4" s="403">
        <f t="shared" si="3"/>
        <v>44986</v>
      </c>
      <c r="AI4" s="403">
        <f t="shared" si="3"/>
        <v>45017</v>
      </c>
      <c r="AJ4" s="403">
        <f t="shared" si="3"/>
        <v>45047</v>
      </c>
      <c r="AK4" s="403">
        <f t="shared" si="3"/>
        <v>45078</v>
      </c>
      <c r="AL4" s="403">
        <f t="shared" si="3"/>
        <v>45108</v>
      </c>
      <c r="AM4" s="403">
        <f t="shared" si="3"/>
        <v>45139</v>
      </c>
      <c r="AN4" s="403">
        <f t="shared" si="3"/>
        <v>45170</v>
      </c>
      <c r="AO4" s="403">
        <f t="shared" si="3"/>
        <v>45200</v>
      </c>
      <c r="AP4" s="403">
        <f t="shared" si="3"/>
        <v>45231</v>
      </c>
      <c r="AQ4" s="403">
        <f t="shared" si="3"/>
        <v>45261</v>
      </c>
      <c r="AR4" s="403">
        <f t="shared" si="3"/>
        <v>45292</v>
      </c>
      <c r="AS4" s="403">
        <f t="shared" si="3"/>
        <v>45323</v>
      </c>
      <c r="AT4" s="403">
        <f t="shared" si="3"/>
        <v>45352</v>
      </c>
      <c r="AU4" s="403">
        <f t="shared" si="3"/>
        <v>45383</v>
      </c>
      <c r="AV4" s="403">
        <f t="shared" si="3"/>
        <v>45413</v>
      </c>
      <c r="AW4" s="403">
        <f t="shared" si="3"/>
        <v>45444</v>
      </c>
      <c r="AX4" s="403">
        <f t="shared" si="3"/>
        <v>45474</v>
      </c>
      <c r="AY4" s="403">
        <f t="shared" si="3"/>
        <v>45505</v>
      </c>
      <c r="AZ4" s="403">
        <f t="shared" si="3"/>
        <v>45536</v>
      </c>
      <c r="BA4" s="403">
        <f t="shared" si="3"/>
        <v>45566</v>
      </c>
      <c r="BB4" s="403">
        <f t="shared" si="3"/>
        <v>45597</v>
      </c>
      <c r="BC4" s="403">
        <f t="shared" si="3"/>
        <v>45627</v>
      </c>
      <c r="BD4" s="403">
        <f t="shared" si="3"/>
        <v>45658</v>
      </c>
      <c r="BE4" s="403">
        <f t="shared" si="3"/>
        <v>45689</v>
      </c>
      <c r="BF4" s="403">
        <f t="shared" si="3"/>
        <v>45717</v>
      </c>
      <c r="BG4" s="403">
        <f t="shared" si="3"/>
        <v>45748</v>
      </c>
      <c r="BH4" s="403">
        <f t="shared" si="3"/>
        <v>45778</v>
      </c>
      <c r="BI4" s="403">
        <f t="shared" si="3"/>
        <v>45809</v>
      </c>
      <c r="BJ4" s="403">
        <f t="shared" si="3"/>
        <v>45839</v>
      </c>
      <c r="BK4" s="403">
        <f t="shared" si="3"/>
        <v>45870</v>
      </c>
      <c r="BL4" s="403">
        <f t="shared" si="3"/>
        <v>45901</v>
      </c>
      <c r="BM4" s="403">
        <f t="shared" si="3"/>
        <v>45931</v>
      </c>
      <c r="BN4" s="403">
        <f t="shared" si="3"/>
        <v>45962</v>
      </c>
      <c r="BO4" s="403">
        <f t="shared" si="3"/>
        <v>45992</v>
      </c>
      <c r="BP4" s="403">
        <f t="shared" si="3"/>
        <v>46023</v>
      </c>
      <c r="BQ4" s="403">
        <f t="shared" si="3"/>
        <v>46054</v>
      </c>
      <c r="BR4" s="403">
        <f t="shared" si="3"/>
        <v>46082</v>
      </c>
      <c r="BS4" s="403">
        <f t="shared" si="3"/>
        <v>46113</v>
      </c>
      <c r="BT4" s="403">
        <f t="shared" si="3"/>
        <v>46143</v>
      </c>
      <c r="BU4" s="403">
        <f t="shared" si="3"/>
        <v>46174</v>
      </c>
      <c r="BV4" s="403">
        <f t="shared" si="3"/>
        <v>46204</v>
      </c>
      <c r="BW4" s="403">
        <f t="shared" si="3"/>
        <v>46235</v>
      </c>
      <c r="BX4" s="403">
        <f t="shared" si="3"/>
        <v>46266</v>
      </c>
      <c r="BY4" s="403">
        <f t="shared" si="3"/>
        <v>46296</v>
      </c>
      <c r="BZ4" s="403">
        <f t="shared" si="3"/>
        <v>46327</v>
      </c>
      <c r="CA4" s="403">
        <f t="shared" si="3"/>
        <v>46357</v>
      </c>
    </row>
    <row r="5" spans="1:79" ht="21" hidden="1" customHeight="1" outlineLevel="2">
      <c r="G5" s="853"/>
      <c r="H5" s="403">
        <f>EOMONTH(DATE(YEAR(Start_Date),1,1),Fiscal_Offset+IF(N6&lt;YEAR(Start_Date),-1,11))</f>
        <v>45291</v>
      </c>
      <c r="I5" s="402">
        <f>MIN(EOMONTH(H5,12),End_Date)</f>
        <v>45657</v>
      </c>
      <c r="J5" s="402">
        <f>MIN(EOMONTH(I5,12),End_Date)</f>
        <v>46022</v>
      </c>
      <c r="K5" s="402">
        <f>MIN(EOMONTH(J5,12),End_Date)</f>
        <v>46387</v>
      </c>
      <c r="L5" s="148"/>
      <c r="M5" s="853"/>
      <c r="N5" s="402">
        <f>EOMONTH(DATE(YEAR(Start_Date),1,1),MOD(ROUNDUP(MONTH(EOMONTH(Start_Date,-Fiscal_Offset))/3,0)*3+Fiscal_Offset-1,12))</f>
        <v>45016</v>
      </c>
      <c r="O5" s="402">
        <f t="shared" ref="O5:AC5" si="4">MIN(EOMONTH(O$4,2),End_Date)</f>
        <v>45107</v>
      </c>
      <c r="P5" s="402">
        <f t="shared" si="4"/>
        <v>45199</v>
      </c>
      <c r="Q5" s="402">
        <f t="shared" si="4"/>
        <v>45291</v>
      </c>
      <c r="R5" s="402">
        <f t="shared" si="4"/>
        <v>45382</v>
      </c>
      <c r="S5" s="402">
        <f t="shared" si="4"/>
        <v>45473</v>
      </c>
      <c r="T5" s="402">
        <f t="shared" si="4"/>
        <v>45565</v>
      </c>
      <c r="U5" s="402">
        <f t="shared" si="4"/>
        <v>45657</v>
      </c>
      <c r="V5" s="402">
        <f t="shared" si="4"/>
        <v>45747</v>
      </c>
      <c r="W5" s="402">
        <f t="shared" si="4"/>
        <v>45838</v>
      </c>
      <c r="X5" s="402">
        <f t="shared" si="4"/>
        <v>45930</v>
      </c>
      <c r="Y5" s="402">
        <f t="shared" si="4"/>
        <v>46022</v>
      </c>
      <c r="Z5" s="402">
        <f t="shared" si="4"/>
        <v>46112</v>
      </c>
      <c r="AA5" s="402">
        <f t="shared" si="4"/>
        <v>46203</v>
      </c>
      <c r="AB5" s="402">
        <f t="shared" si="4"/>
        <v>46295</v>
      </c>
      <c r="AC5" s="402">
        <f t="shared" si="4"/>
        <v>46387</v>
      </c>
      <c r="AD5" s="404"/>
      <c r="AE5" s="853"/>
      <c r="AF5" s="403" cm="1">
        <f t="array" ref="AF5">EOM_Start_Date</f>
        <v>44957</v>
      </c>
      <c r="AG5" s="402">
        <f t="shared" ref="AG5:CA5" si="5">EOMONTH(AF5,1)</f>
        <v>44985</v>
      </c>
      <c r="AH5" s="402">
        <f t="shared" si="5"/>
        <v>45016</v>
      </c>
      <c r="AI5" s="402">
        <f t="shared" si="5"/>
        <v>45046</v>
      </c>
      <c r="AJ5" s="402">
        <f t="shared" si="5"/>
        <v>45077</v>
      </c>
      <c r="AK5" s="402">
        <f t="shared" si="5"/>
        <v>45107</v>
      </c>
      <c r="AL5" s="402">
        <f t="shared" si="5"/>
        <v>45138</v>
      </c>
      <c r="AM5" s="402">
        <f t="shared" si="5"/>
        <v>45169</v>
      </c>
      <c r="AN5" s="402">
        <f t="shared" si="5"/>
        <v>45199</v>
      </c>
      <c r="AO5" s="402">
        <f t="shared" si="5"/>
        <v>45230</v>
      </c>
      <c r="AP5" s="402">
        <f t="shared" si="5"/>
        <v>45260</v>
      </c>
      <c r="AQ5" s="402">
        <f t="shared" si="5"/>
        <v>45291</v>
      </c>
      <c r="AR5" s="402">
        <f t="shared" si="5"/>
        <v>45322</v>
      </c>
      <c r="AS5" s="402">
        <f t="shared" si="5"/>
        <v>45351</v>
      </c>
      <c r="AT5" s="402">
        <f t="shared" si="5"/>
        <v>45382</v>
      </c>
      <c r="AU5" s="402">
        <f t="shared" si="5"/>
        <v>45412</v>
      </c>
      <c r="AV5" s="402">
        <f t="shared" si="5"/>
        <v>45443</v>
      </c>
      <c r="AW5" s="402">
        <f t="shared" si="5"/>
        <v>45473</v>
      </c>
      <c r="AX5" s="402">
        <f t="shared" si="5"/>
        <v>45504</v>
      </c>
      <c r="AY5" s="402">
        <f t="shared" si="5"/>
        <v>45535</v>
      </c>
      <c r="AZ5" s="402">
        <f t="shared" si="5"/>
        <v>45565</v>
      </c>
      <c r="BA5" s="402">
        <f t="shared" si="5"/>
        <v>45596</v>
      </c>
      <c r="BB5" s="402">
        <f t="shared" si="5"/>
        <v>45626</v>
      </c>
      <c r="BC5" s="402">
        <f t="shared" si="5"/>
        <v>45657</v>
      </c>
      <c r="BD5" s="402">
        <f t="shared" si="5"/>
        <v>45688</v>
      </c>
      <c r="BE5" s="402">
        <f t="shared" si="5"/>
        <v>45716</v>
      </c>
      <c r="BF5" s="402">
        <f t="shared" si="5"/>
        <v>45747</v>
      </c>
      <c r="BG5" s="402">
        <f t="shared" si="5"/>
        <v>45777</v>
      </c>
      <c r="BH5" s="402">
        <f t="shared" si="5"/>
        <v>45808</v>
      </c>
      <c r="BI5" s="402">
        <f t="shared" si="5"/>
        <v>45838</v>
      </c>
      <c r="BJ5" s="402">
        <f t="shared" si="5"/>
        <v>45869</v>
      </c>
      <c r="BK5" s="402">
        <f t="shared" si="5"/>
        <v>45900</v>
      </c>
      <c r="BL5" s="402">
        <f t="shared" si="5"/>
        <v>45930</v>
      </c>
      <c r="BM5" s="402">
        <f t="shared" si="5"/>
        <v>45961</v>
      </c>
      <c r="BN5" s="402">
        <f t="shared" si="5"/>
        <v>45991</v>
      </c>
      <c r="BO5" s="402">
        <f t="shared" si="5"/>
        <v>46022</v>
      </c>
      <c r="BP5" s="402">
        <f t="shared" si="5"/>
        <v>46053</v>
      </c>
      <c r="BQ5" s="402">
        <f t="shared" si="5"/>
        <v>46081</v>
      </c>
      <c r="BR5" s="402">
        <f t="shared" si="5"/>
        <v>46112</v>
      </c>
      <c r="BS5" s="402">
        <f t="shared" si="5"/>
        <v>46142</v>
      </c>
      <c r="BT5" s="402">
        <f t="shared" si="5"/>
        <v>46173</v>
      </c>
      <c r="BU5" s="402">
        <f t="shared" si="5"/>
        <v>46203</v>
      </c>
      <c r="BV5" s="402">
        <f t="shared" si="5"/>
        <v>46234</v>
      </c>
      <c r="BW5" s="402">
        <f t="shared" si="5"/>
        <v>46265</v>
      </c>
      <c r="BX5" s="402">
        <f t="shared" si="5"/>
        <v>46295</v>
      </c>
      <c r="BY5" s="402">
        <f t="shared" si="5"/>
        <v>46326</v>
      </c>
      <c r="BZ5" s="402">
        <f t="shared" si="5"/>
        <v>46356</v>
      </c>
      <c r="CA5" s="402">
        <f t="shared" si="5"/>
        <v>46387</v>
      </c>
    </row>
    <row r="6" spans="1:79" ht="21" hidden="1" customHeight="1" outlineLevel="2">
      <c r="G6" s="853"/>
      <c r="H6" s="369">
        <f>YEAR(EOMONTH(H5,-Fiscal_Offset))</f>
        <v>2023</v>
      </c>
      <c r="I6" s="369">
        <f>YEAR(EOMONTH(I5,-Fiscal_Offset))</f>
        <v>2024</v>
      </c>
      <c r="J6" s="369">
        <f>YEAR(EOMONTH(J5,-Fiscal_Offset))</f>
        <v>2025</v>
      </c>
      <c r="K6" s="369">
        <f>YEAR(EOMONTH(K5,-Fiscal_Offset))</f>
        <v>2026</v>
      </c>
      <c r="L6" s="148"/>
      <c r="M6" s="853"/>
      <c r="N6" s="369">
        <f t="shared" ref="N6:AC6" si="6">YEAR(EOMONTH(N5,-Fiscal_Offset))</f>
        <v>2023</v>
      </c>
      <c r="O6" s="369">
        <f t="shared" si="6"/>
        <v>2023</v>
      </c>
      <c r="P6" s="369">
        <f t="shared" si="6"/>
        <v>2023</v>
      </c>
      <c r="Q6" s="369">
        <f t="shared" si="6"/>
        <v>2023</v>
      </c>
      <c r="R6" s="369">
        <f t="shared" si="6"/>
        <v>2024</v>
      </c>
      <c r="S6" s="369">
        <f t="shared" si="6"/>
        <v>2024</v>
      </c>
      <c r="T6" s="369">
        <f t="shared" si="6"/>
        <v>2024</v>
      </c>
      <c r="U6" s="369">
        <f t="shared" si="6"/>
        <v>2024</v>
      </c>
      <c r="V6" s="369">
        <f t="shared" si="6"/>
        <v>2025</v>
      </c>
      <c r="W6" s="369">
        <f t="shared" si="6"/>
        <v>2025</v>
      </c>
      <c r="X6" s="369">
        <f t="shared" si="6"/>
        <v>2025</v>
      </c>
      <c r="Y6" s="369">
        <f t="shared" si="6"/>
        <v>2025</v>
      </c>
      <c r="Z6" s="369">
        <f t="shared" si="6"/>
        <v>2026</v>
      </c>
      <c r="AA6" s="369">
        <f t="shared" si="6"/>
        <v>2026</v>
      </c>
      <c r="AB6" s="369">
        <f t="shared" si="6"/>
        <v>2026</v>
      </c>
      <c r="AC6" s="369">
        <f t="shared" si="6"/>
        <v>2026</v>
      </c>
      <c r="AD6" s="399"/>
      <c r="AE6" s="853"/>
      <c r="AF6" s="369">
        <f t="shared" ref="AF6:CA6" si="7">YEAR(EOMONTH(AF5,-Fiscal_Offset))</f>
        <v>2023</v>
      </c>
      <c r="AG6" s="369">
        <f t="shared" si="7"/>
        <v>2023</v>
      </c>
      <c r="AH6" s="369">
        <f t="shared" si="7"/>
        <v>2023</v>
      </c>
      <c r="AI6" s="369">
        <f t="shared" si="7"/>
        <v>2023</v>
      </c>
      <c r="AJ6" s="369">
        <f t="shared" si="7"/>
        <v>2023</v>
      </c>
      <c r="AK6" s="369">
        <f t="shared" si="7"/>
        <v>2023</v>
      </c>
      <c r="AL6" s="369">
        <f t="shared" si="7"/>
        <v>2023</v>
      </c>
      <c r="AM6" s="369">
        <f t="shared" si="7"/>
        <v>2023</v>
      </c>
      <c r="AN6" s="369">
        <f t="shared" si="7"/>
        <v>2023</v>
      </c>
      <c r="AO6" s="369">
        <f t="shared" si="7"/>
        <v>2023</v>
      </c>
      <c r="AP6" s="369">
        <f t="shared" si="7"/>
        <v>2023</v>
      </c>
      <c r="AQ6" s="369">
        <f t="shared" si="7"/>
        <v>2023</v>
      </c>
      <c r="AR6" s="369">
        <f t="shared" si="7"/>
        <v>2024</v>
      </c>
      <c r="AS6" s="369">
        <f t="shared" si="7"/>
        <v>2024</v>
      </c>
      <c r="AT6" s="369">
        <f t="shared" si="7"/>
        <v>2024</v>
      </c>
      <c r="AU6" s="369">
        <f t="shared" si="7"/>
        <v>2024</v>
      </c>
      <c r="AV6" s="369">
        <f t="shared" si="7"/>
        <v>2024</v>
      </c>
      <c r="AW6" s="369">
        <f t="shared" si="7"/>
        <v>2024</v>
      </c>
      <c r="AX6" s="369">
        <f t="shared" si="7"/>
        <v>2024</v>
      </c>
      <c r="AY6" s="369">
        <f t="shared" si="7"/>
        <v>2024</v>
      </c>
      <c r="AZ6" s="369">
        <f t="shared" si="7"/>
        <v>2024</v>
      </c>
      <c r="BA6" s="369">
        <f t="shared" si="7"/>
        <v>2024</v>
      </c>
      <c r="BB6" s="369">
        <f t="shared" si="7"/>
        <v>2024</v>
      </c>
      <c r="BC6" s="369">
        <f t="shared" si="7"/>
        <v>2024</v>
      </c>
      <c r="BD6" s="369">
        <f t="shared" si="7"/>
        <v>2025</v>
      </c>
      <c r="BE6" s="369">
        <f t="shared" si="7"/>
        <v>2025</v>
      </c>
      <c r="BF6" s="369">
        <f t="shared" si="7"/>
        <v>2025</v>
      </c>
      <c r="BG6" s="369">
        <f t="shared" si="7"/>
        <v>2025</v>
      </c>
      <c r="BH6" s="369">
        <f t="shared" si="7"/>
        <v>2025</v>
      </c>
      <c r="BI6" s="369">
        <f t="shared" si="7"/>
        <v>2025</v>
      </c>
      <c r="BJ6" s="369">
        <f t="shared" si="7"/>
        <v>2025</v>
      </c>
      <c r="BK6" s="369">
        <f t="shared" si="7"/>
        <v>2025</v>
      </c>
      <c r="BL6" s="369">
        <f t="shared" si="7"/>
        <v>2025</v>
      </c>
      <c r="BM6" s="369">
        <f t="shared" si="7"/>
        <v>2025</v>
      </c>
      <c r="BN6" s="369">
        <f t="shared" si="7"/>
        <v>2025</v>
      </c>
      <c r="BO6" s="369">
        <f t="shared" si="7"/>
        <v>2025</v>
      </c>
      <c r="BP6" s="369">
        <f t="shared" si="7"/>
        <v>2026</v>
      </c>
      <c r="BQ6" s="369">
        <f t="shared" si="7"/>
        <v>2026</v>
      </c>
      <c r="BR6" s="369">
        <f t="shared" si="7"/>
        <v>2026</v>
      </c>
      <c r="BS6" s="369">
        <f t="shared" si="7"/>
        <v>2026</v>
      </c>
      <c r="BT6" s="369">
        <f t="shared" si="7"/>
        <v>2026</v>
      </c>
      <c r="BU6" s="369">
        <f t="shared" si="7"/>
        <v>2026</v>
      </c>
      <c r="BV6" s="369">
        <f t="shared" si="7"/>
        <v>2026</v>
      </c>
      <c r="BW6" s="369">
        <f t="shared" si="7"/>
        <v>2026</v>
      </c>
      <c r="BX6" s="369">
        <f t="shared" si="7"/>
        <v>2026</v>
      </c>
      <c r="BY6" s="369">
        <f t="shared" si="7"/>
        <v>2026</v>
      </c>
      <c r="BZ6" s="369">
        <f t="shared" si="7"/>
        <v>2026</v>
      </c>
      <c r="CA6" s="369">
        <f t="shared" si="7"/>
        <v>2026</v>
      </c>
    </row>
    <row r="7" spans="1:79" ht="21" hidden="1" customHeight="1" outlineLevel="2">
      <c r="G7" s="853"/>
      <c r="H7" s="369" t="str">
        <f>"Q"&amp; ROUNDUP(MONTH(EOMONTH(H5,-Fiscal_Offset))/3,0)</f>
        <v>Q4</v>
      </c>
      <c r="I7" s="369" t="str">
        <f>"Q"&amp; ROUNDUP(MONTH(EOMONTH(I5,-Fiscal_Offset))/3,0)</f>
        <v>Q4</v>
      </c>
      <c r="J7" s="369" t="str">
        <f>"Q"&amp; ROUNDUP(MONTH(EOMONTH(J5,-Fiscal_Offset))/3,0)</f>
        <v>Q4</v>
      </c>
      <c r="K7" s="369" t="str">
        <f>"Q"&amp; ROUNDUP(MONTH(EOMONTH(K5,-Fiscal_Offset))/3,0)</f>
        <v>Q4</v>
      </c>
      <c r="L7" s="148"/>
      <c r="M7" s="853"/>
      <c r="N7" s="369" t="str">
        <f t="shared" ref="N7:AC7" si="8">"Q"&amp; ROUNDUP(MONTH(EOMONTH(N5,-Fiscal_Offset))/3,0)</f>
        <v>Q1</v>
      </c>
      <c r="O7" s="369" t="str">
        <f t="shared" si="8"/>
        <v>Q2</v>
      </c>
      <c r="P7" s="369" t="str">
        <f t="shared" si="8"/>
        <v>Q3</v>
      </c>
      <c r="Q7" s="369" t="str">
        <f t="shared" si="8"/>
        <v>Q4</v>
      </c>
      <c r="R7" s="369" t="str">
        <f t="shared" si="8"/>
        <v>Q1</v>
      </c>
      <c r="S7" s="369" t="str">
        <f t="shared" si="8"/>
        <v>Q2</v>
      </c>
      <c r="T7" s="369" t="str">
        <f t="shared" si="8"/>
        <v>Q3</v>
      </c>
      <c r="U7" s="369" t="str">
        <f t="shared" si="8"/>
        <v>Q4</v>
      </c>
      <c r="V7" s="369" t="str">
        <f t="shared" si="8"/>
        <v>Q1</v>
      </c>
      <c r="W7" s="369" t="str">
        <f t="shared" si="8"/>
        <v>Q2</v>
      </c>
      <c r="X7" s="369" t="str">
        <f t="shared" si="8"/>
        <v>Q3</v>
      </c>
      <c r="Y7" s="369" t="str">
        <f t="shared" si="8"/>
        <v>Q4</v>
      </c>
      <c r="Z7" s="369" t="str">
        <f t="shared" si="8"/>
        <v>Q1</v>
      </c>
      <c r="AA7" s="369" t="str">
        <f t="shared" si="8"/>
        <v>Q2</v>
      </c>
      <c r="AB7" s="369" t="str">
        <f t="shared" si="8"/>
        <v>Q3</v>
      </c>
      <c r="AC7" s="369" t="str">
        <f t="shared" si="8"/>
        <v>Q4</v>
      </c>
      <c r="AD7" s="399"/>
      <c r="AE7" s="853"/>
      <c r="AF7" s="369" t="str">
        <f t="shared" ref="AF7:CA7" si="9">"Q"&amp; ROUNDUP(MONTH(EOMONTH(AF5,-Fiscal_Offset))/3,0)</f>
        <v>Q1</v>
      </c>
      <c r="AG7" s="369" t="str">
        <f t="shared" si="9"/>
        <v>Q1</v>
      </c>
      <c r="AH7" s="369" t="str">
        <f t="shared" si="9"/>
        <v>Q1</v>
      </c>
      <c r="AI7" s="369" t="str">
        <f t="shared" si="9"/>
        <v>Q2</v>
      </c>
      <c r="AJ7" s="369" t="str">
        <f t="shared" si="9"/>
        <v>Q2</v>
      </c>
      <c r="AK7" s="369" t="str">
        <f t="shared" si="9"/>
        <v>Q2</v>
      </c>
      <c r="AL7" s="369" t="str">
        <f t="shared" si="9"/>
        <v>Q3</v>
      </c>
      <c r="AM7" s="369" t="str">
        <f t="shared" si="9"/>
        <v>Q3</v>
      </c>
      <c r="AN7" s="369" t="str">
        <f t="shared" si="9"/>
        <v>Q3</v>
      </c>
      <c r="AO7" s="369" t="str">
        <f t="shared" si="9"/>
        <v>Q4</v>
      </c>
      <c r="AP7" s="369" t="str">
        <f t="shared" si="9"/>
        <v>Q4</v>
      </c>
      <c r="AQ7" s="369" t="str">
        <f t="shared" si="9"/>
        <v>Q4</v>
      </c>
      <c r="AR7" s="369" t="str">
        <f t="shared" si="9"/>
        <v>Q1</v>
      </c>
      <c r="AS7" s="369" t="str">
        <f t="shared" si="9"/>
        <v>Q1</v>
      </c>
      <c r="AT7" s="369" t="str">
        <f t="shared" si="9"/>
        <v>Q1</v>
      </c>
      <c r="AU7" s="369" t="str">
        <f t="shared" si="9"/>
        <v>Q2</v>
      </c>
      <c r="AV7" s="369" t="str">
        <f t="shared" si="9"/>
        <v>Q2</v>
      </c>
      <c r="AW7" s="369" t="str">
        <f t="shared" si="9"/>
        <v>Q2</v>
      </c>
      <c r="AX7" s="369" t="str">
        <f t="shared" si="9"/>
        <v>Q3</v>
      </c>
      <c r="AY7" s="369" t="str">
        <f t="shared" si="9"/>
        <v>Q3</v>
      </c>
      <c r="AZ7" s="369" t="str">
        <f t="shared" si="9"/>
        <v>Q3</v>
      </c>
      <c r="BA7" s="369" t="str">
        <f t="shared" si="9"/>
        <v>Q4</v>
      </c>
      <c r="BB7" s="369" t="str">
        <f t="shared" si="9"/>
        <v>Q4</v>
      </c>
      <c r="BC7" s="369" t="str">
        <f t="shared" si="9"/>
        <v>Q4</v>
      </c>
      <c r="BD7" s="369" t="str">
        <f t="shared" si="9"/>
        <v>Q1</v>
      </c>
      <c r="BE7" s="369" t="str">
        <f t="shared" si="9"/>
        <v>Q1</v>
      </c>
      <c r="BF7" s="369" t="str">
        <f t="shared" si="9"/>
        <v>Q1</v>
      </c>
      <c r="BG7" s="369" t="str">
        <f t="shared" si="9"/>
        <v>Q2</v>
      </c>
      <c r="BH7" s="369" t="str">
        <f t="shared" si="9"/>
        <v>Q2</v>
      </c>
      <c r="BI7" s="369" t="str">
        <f t="shared" si="9"/>
        <v>Q2</v>
      </c>
      <c r="BJ7" s="369" t="str">
        <f t="shared" si="9"/>
        <v>Q3</v>
      </c>
      <c r="BK7" s="369" t="str">
        <f t="shared" si="9"/>
        <v>Q3</v>
      </c>
      <c r="BL7" s="369" t="str">
        <f t="shared" si="9"/>
        <v>Q3</v>
      </c>
      <c r="BM7" s="369" t="str">
        <f t="shared" si="9"/>
        <v>Q4</v>
      </c>
      <c r="BN7" s="369" t="str">
        <f t="shared" si="9"/>
        <v>Q4</v>
      </c>
      <c r="BO7" s="369" t="str">
        <f t="shared" si="9"/>
        <v>Q4</v>
      </c>
      <c r="BP7" s="369" t="str">
        <f t="shared" si="9"/>
        <v>Q1</v>
      </c>
      <c r="BQ7" s="369" t="str">
        <f t="shared" si="9"/>
        <v>Q1</v>
      </c>
      <c r="BR7" s="369" t="str">
        <f t="shared" si="9"/>
        <v>Q1</v>
      </c>
      <c r="BS7" s="369" t="str">
        <f t="shared" si="9"/>
        <v>Q2</v>
      </c>
      <c r="BT7" s="369" t="str">
        <f t="shared" si="9"/>
        <v>Q2</v>
      </c>
      <c r="BU7" s="369" t="str">
        <f t="shared" si="9"/>
        <v>Q2</v>
      </c>
      <c r="BV7" s="369" t="str">
        <f t="shared" si="9"/>
        <v>Q3</v>
      </c>
      <c r="BW7" s="369" t="str">
        <f t="shared" si="9"/>
        <v>Q3</v>
      </c>
      <c r="BX7" s="369" t="str">
        <f t="shared" si="9"/>
        <v>Q3</v>
      </c>
      <c r="BY7" s="369" t="str">
        <f t="shared" si="9"/>
        <v>Q4</v>
      </c>
      <c r="BZ7" s="369" t="str">
        <f t="shared" si="9"/>
        <v>Q4</v>
      </c>
      <c r="CA7" s="369" t="str">
        <f t="shared" si="9"/>
        <v>Q4</v>
      </c>
    </row>
    <row r="8" spans="1:79" s="51" customFormat="1" ht="30" customHeight="1">
      <c r="B8" s="387"/>
      <c r="C8" s="386"/>
      <c r="F8" s="50"/>
      <c r="G8" s="853"/>
      <c r="H8" s="398">
        <f>H6</f>
        <v>2023</v>
      </c>
      <c r="I8" s="398">
        <f>I6</f>
        <v>2024</v>
      </c>
      <c r="J8" s="398">
        <f>J6</f>
        <v>2025</v>
      </c>
      <c r="K8" s="398">
        <f>K6</f>
        <v>2026</v>
      </c>
      <c r="L8" s="172"/>
      <c r="M8" s="853"/>
      <c r="N8" s="397" t="str">
        <f t="shared" ref="N8:AC8" si="10">CONCATENATE(CONCATENATE(N$7," ",N$6))</f>
        <v>Q1 2023</v>
      </c>
      <c r="O8" s="397" t="str">
        <f t="shared" si="10"/>
        <v>Q2 2023</v>
      </c>
      <c r="P8" s="397" t="str">
        <f t="shared" si="10"/>
        <v>Q3 2023</v>
      </c>
      <c r="Q8" s="397" t="str">
        <f t="shared" si="10"/>
        <v>Q4 2023</v>
      </c>
      <c r="R8" s="397" t="str">
        <f t="shared" si="10"/>
        <v>Q1 2024</v>
      </c>
      <c r="S8" s="397" t="str">
        <f t="shared" si="10"/>
        <v>Q2 2024</v>
      </c>
      <c r="T8" s="397" t="str">
        <f t="shared" si="10"/>
        <v>Q3 2024</v>
      </c>
      <c r="U8" s="397" t="str">
        <f t="shared" si="10"/>
        <v>Q4 2024</v>
      </c>
      <c r="V8" s="397" t="str">
        <f t="shared" si="10"/>
        <v>Q1 2025</v>
      </c>
      <c r="W8" s="397" t="str">
        <f t="shared" si="10"/>
        <v>Q2 2025</v>
      </c>
      <c r="X8" s="397" t="str">
        <f t="shared" si="10"/>
        <v>Q3 2025</v>
      </c>
      <c r="Y8" s="397" t="str">
        <f t="shared" si="10"/>
        <v>Q4 2025</v>
      </c>
      <c r="Z8" s="397" t="str">
        <f t="shared" si="10"/>
        <v>Q1 2026</v>
      </c>
      <c r="AA8" s="397" t="str">
        <f t="shared" si="10"/>
        <v>Q2 2026</v>
      </c>
      <c r="AB8" s="397" t="str">
        <f t="shared" si="10"/>
        <v>Q3 2026</v>
      </c>
      <c r="AC8" s="397" t="str">
        <f t="shared" si="10"/>
        <v>Q4 2026</v>
      </c>
      <c r="AD8" s="396"/>
      <c r="AE8" s="853"/>
      <c r="AF8" s="395">
        <f t="shared" ref="AF8:CA8" si="11">AF5</f>
        <v>44957</v>
      </c>
      <c r="AG8" s="395">
        <f t="shared" si="11"/>
        <v>44985</v>
      </c>
      <c r="AH8" s="395">
        <f t="shared" si="11"/>
        <v>45016</v>
      </c>
      <c r="AI8" s="395">
        <f t="shared" si="11"/>
        <v>45046</v>
      </c>
      <c r="AJ8" s="395">
        <f t="shared" si="11"/>
        <v>45077</v>
      </c>
      <c r="AK8" s="395">
        <f t="shared" si="11"/>
        <v>45107</v>
      </c>
      <c r="AL8" s="395">
        <f t="shared" si="11"/>
        <v>45138</v>
      </c>
      <c r="AM8" s="395">
        <f t="shared" si="11"/>
        <v>45169</v>
      </c>
      <c r="AN8" s="395">
        <f t="shared" si="11"/>
        <v>45199</v>
      </c>
      <c r="AO8" s="395">
        <f t="shared" si="11"/>
        <v>45230</v>
      </c>
      <c r="AP8" s="395">
        <f t="shared" si="11"/>
        <v>45260</v>
      </c>
      <c r="AQ8" s="395">
        <f t="shared" si="11"/>
        <v>45291</v>
      </c>
      <c r="AR8" s="395">
        <f t="shared" si="11"/>
        <v>45322</v>
      </c>
      <c r="AS8" s="395">
        <f t="shared" si="11"/>
        <v>45351</v>
      </c>
      <c r="AT8" s="395">
        <f t="shared" si="11"/>
        <v>45382</v>
      </c>
      <c r="AU8" s="395">
        <f t="shared" si="11"/>
        <v>45412</v>
      </c>
      <c r="AV8" s="395">
        <f t="shared" si="11"/>
        <v>45443</v>
      </c>
      <c r="AW8" s="395">
        <f t="shared" si="11"/>
        <v>45473</v>
      </c>
      <c r="AX8" s="395">
        <f t="shared" si="11"/>
        <v>45504</v>
      </c>
      <c r="AY8" s="395">
        <f t="shared" si="11"/>
        <v>45535</v>
      </c>
      <c r="AZ8" s="395">
        <f t="shared" si="11"/>
        <v>45565</v>
      </c>
      <c r="BA8" s="395">
        <f t="shared" si="11"/>
        <v>45596</v>
      </c>
      <c r="BB8" s="395">
        <f t="shared" si="11"/>
        <v>45626</v>
      </c>
      <c r="BC8" s="395">
        <f t="shared" si="11"/>
        <v>45657</v>
      </c>
      <c r="BD8" s="395">
        <f t="shared" si="11"/>
        <v>45688</v>
      </c>
      <c r="BE8" s="395">
        <f t="shared" si="11"/>
        <v>45716</v>
      </c>
      <c r="BF8" s="395">
        <f t="shared" si="11"/>
        <v>45747</v>
      </c>
      <c r="BG8" s="395">
        <f t="shared" si="11"/>
        <v>45777</v>
      </c>
      <c r="BH8" s="395">
        <f t="shared" si="11"/>
        <v>45808</v>
      </c>
      <c r="BI8" s="395">
        <f t="shared" si="11"/>
        <v>45838</v>
      </c>
      <c r="BJ8" s="395">
        <f t="shared" si="11"/>
        <v>45869</v>
      </c>
      <c r="BK8" s="395">
        <f t="shared" si="11"/>
        <v>45900</v>
      </c>
      <c r="BL8" s="395">
        <f t="shared" si="11"/>
        <v>45930</v>
      </c>
      <c r="BM8" s="395">
        <f t="shared" si="11"/>
        <v>45961</v>
      </c>
      <c r="BN8" s="395">
        <f t="shared" si="11"/>
        <v>45991</v>
      </c>
      <c r="BO8" s="395">
        <f t="shared" si="11"/>
        <v>46022</v>
      </c>
      <c r="BP8" s="395">
        <f t="shared" si="11"/>
        <v>46053</v>
      </c>
      <c r="BQ8" s="395">
        <f t="shared" si="11"/>
        <v>46081</v>
      </c>
      <c r="BR8" s="395">
        <f t="shared" si="11"/>
        <v>46112</v>
      </c>
      <c r="BS8" s="395">
        <f t="shared" si="11"/>
        <v>46142</v>
      </c>
      <c r="BT8" s="395">
        <f t="shared" si="11"/>
        <v>46173</v>
      </c>
      <c r="BU8" s="395">
        <f t="shared" si="11"/>
        <v>46203</v>
      </c>
      <c r="BV8" s="395">
        <f t="shared" si="11"/>
        <v>46234</v>
      </c>
      <c r="BW8" s="395">
        <f t="shared" si="11"/>
        <v>46265</v>
      </c>
      <c r="BX8" s="395">
        <f t="shared" si="11"/>
        <v>46295</v>
      </c>
      <c r="BY8" s="395">
        <f t="shared" si="11"/>
        <v>46326</v>
      </c>
      <c r="BZ8" s="395">
        <f t="shared" si="11"/>
        <v>46356</v>
      </c>
      <c r="CA8" s="395">
        <f t="shared" si="11"/>
        <v>46387</v>
      </c>
    </row>
    <row r="9" spans="1:79" s="51" customFormat="1" ht="24">
      <c r="B9" s="635" t="s">
        <v>496</v>
      </c>
      <c r="C9" s="475"/>
      <c r="D9" s="475"/>
      <c r="E9" s="632"/>
      <c r="F9" s="50"/>
      <c r="G9" s="359"/>
      <c r="H9" s="632"/>
      <c r="I9" s="632"/>
      <c r="J9" s="632"/>
      <c r="K9" s="632"/>
      <c r="L9" s="50"/>
      <c r="M9" s="359"/>
      <c r="N9" s="632"/>
      <c r="O9" s="632"/>
      <c r="P9" s="632"/>
      <c r="Q9" s="632"/>
      <c r="R9" s="632"/>
      <c r="S9" s="632"/>
      <c r="T9" s="632"/>
      <c r="U9" s="632"/>
      <c r="V9" s="632"/>
      <c r="W9" s="632"/>
      <c r="X9" s="632"/>
      <c r="Y9" s="632"/>
      <c r="Z9" s="632"/>
      <c r="AA9" s="632"/>
      <c r="AB9" s="632"/>
      <c r="AC9" s="632"/>
      <c r="AD9" s="50"/>
      <c r="AE9" s="359"/>
      <c r="AF9" s="632"/>
      <c r="AG9" s="632"/>
      <c r="AH9" s="632"/>
      <c r="AI9" s="632"/>
      <c r="AJ9" s="632"/>
      <c r="AK9" s="632"/>
      <c r="AL9" s="632"/>
      <c r="AM9" s="632"/>
      <c r="AN9" s="632"/>
      <c r="AO9" s="632"/>
      <c r="AP9" s="632"/>
      <c r="AQ9" s="632"/>
      <c r="AR9" s="632"/>
      <c r="AS9" s="632"/>
      <c r="AT9" s="632"/>
      <c r="AU9" s="632"/>
      <c r="AV9" s="632"/>
      <c r="AW9" s="632"/>
      <c r="AX9" s="632"/>
      <c r="AY9" s="632"/>
      <c r="AZ9" s="632"/>
      <c r="BA9" s="632"/>
      <c r="BB9" s="632"/>
      <c r="BC9" s="632"/>
      <c r="BD9" s="632"/>
      <c r="BE9" s="632"/>
      <c r="BF9" s="632"/>
      <c r="BG9" s="632"/>
      <c r="BH9" s="632"/>
      <c r="BI9" s="632"/>
      <c r="BJ9" s="632"/>
      <c r="BK9" s="632"/>
      <c r="BL9" s="632"/>
      <c r="BM9" s="632"/>
      <c r="BN9" s="632"/>
      <c r="BO9" s="632"/>
      <c r="BP9" s="632"/>
      <c r="BQ9" s="632"/>
      <c r="BR9" s="632"/>
      <c r="BS9" s="632"/>
      <c r="BT9" s="632"/>
      <c r="BU9" s="632"/>
      <c r="BV9" s="632"/>
      <c r="BW9" s="632"/>
      <c r="BX9" s="632"/>
      <c r="BY9" s="632"/>
      <c r="BZ9" s="632"/>
      <c r="CA9" s="632"/>
    </row>
    <row r="10" spans="1:79" ht="15" outlineLevel="1">
      <c r="B10" s="367"/>
      <c r="C10" s="365" t="s">
        <v>161</v>
      </c>
      <c r="D10" s="366"/>
      <c r="E10" s="365"/>
      <c r="G10" s="359"/>
      <c r="H10" s="411">
        <f>SUMIFS($AF10:$CA10,$AF$6:$CA$6,H$6)</f>
        <v>0</v>
      </c>
      <c r="I10" s="411">
        <f>SUMIFS($AF10:$CA10,$AF$6:$CA$6,I$6)</f>
        <v>68080</v>
      </c>
      <c r="J10" s="411">
        <f>SUMIFS($AF10:$CA10,$AF$6:$CA$6,J$6)</f>
        <v>335280</v>
      </c>
      <c r="K10" s="411">
        <f>SUMIFS($AF10:$CA10,$AF$6:$CA$6,K$6)</f>
        <v>335280</v>
      </c>
      <c r="M10" s="359"/>
      <c r="N10" s="411">
        <f t="shared" ref="N10:AC10" si="12">SUMIFS($AF10:$CA10,$AF$6:$CA$6,N$6,$AF$7:$CA$7,N$7)</f>
        <v>0</v>
      </c>
      <c r="O10" s="411">
        <f t="shared" si="12"/>
        <v>0</v>
      </c>
      <c r="P10" s="411">
        <f t="shared" si="12"/>
        <v>0</v>
      </c>
      <c r="Q10" s="411">
        <f t="shared" si="12"/>
        <v>0</v>
      </c>
      <c r="R10" s="411">
        <f t="shared" si="12"/>
        <v>0</v>
      </c>
      <c r="S10" s="411">
        <f t="shared" si="12"/>
        <v>0</v>
      </c>
      <c r="T10" s="411">
        <f t="shared" si="12"/>
        <v>600</v>
      </c>
      <c r="U10" s="411">
        <f t="shared" si="12"/>
        <v>67480</v>
      </c>
      <c r="V10" s="411">
        <f t="shared" si="12"/>
        <v>83820</v>
      </c>
      <c r="W10" s="411">
        <f t="shared" si="12"/>
        <v>83820</v>
      </c>
      <c r="X10" s="411">
        <f t="shared" si="12"/>
        <v>83820</v>
      </c>
      <c r="Y10" s="411">
        <f t="shared" si="12"/>
        <v>83820</v>
      </c>
      <c r="Z10" s="411">
        <f t="shared" si="12"/>
        <v>83820</v>
      </c>
      <c r="AA10" s="411">
        <f t="shared" si="12"/>
        <v>83820</v>
      </c>
      <c r="AB10" s="411">
        <f t="shared" si="12"/>
        <v>83820</v>
      </c>
      <c r="AC10" s="411">
        <f t="shared" si="12"/>
        <v>83820</v>
      </c>
      <c r="AE10" s="359"/>
      <c r="AF10" s="411">
        <f t="shared" ref="AF10:CA10" si="13">SUM(AF11:AF12)</f>
        <v>0</v>
      </c>
      <c r="AG10" s="411">
        <f t="shared" si="13"/>
        <v>0</v>
      </c>
      <c r="AH10" s="411">
        <f t="shared" si="13"/>
        <v>0</v>
      </c>
      <c r="AI10" s="411">
        <f t="shared" si="13"/>
        <v>0</v>
      </c>
      <c r="AJ10" s="411">
        <f t="shared" si="13"/>
        <v>0</v>
      </c>
      <c r="AK10" s="411">
        <f t="shared" si="13"/>
        <v>0</v>
      </c>
      <c r="AL10" s="411">
        <f t="shared" si="13"/>
        <v>0</v>
      </c>
      <c r="AM10" s="411">
        <f t="shared" si="13"/>
        <v>0</v>
      </c>
      <c r="AN10" s="411">
        <f t="shared" si="13"/>
        <v>0</v>
      </c>
      <c r="AO10" s="411">
        <f t="shared" si="13"/>
        <v>0</v>
      </c>
      <c r="AP10" s="411">
        <f t="shared" si="13"/>
        <v>0</v>
      </c>
      <c r="AQ10" s="411">
        <f t="shared" si="13"/>
        <v>0</v>
      </c>
      <c r="AR10" s="411">
        <f t="shared" si="13"/>
        <v>0</v>
      </c>
      <c r="AS10" s="411">
        <f t="shared" si="13"/>
        <v>0</v>
      </c>
      <c r="AT10" s="411">
        <f t="shared" si="13"/>
        <v>0</v>
      </c>
      <c r="AU10" s="411">
        <f t="shared" si="13"/>
        <v>0</v>
      </c>
      <c r="AV10" s="411">
        <f t="shared" si="13"/>
        <v>0</v>
      </c>
      <c r="AW10" s="411">
        <f t="shared" si="13"/>
        <v>0</v>
      </c>
      <c r="AX10" s="411">
        <f t="shared" si="13"/>
        <v>0</v>
      </c>
      <c r="AY10" s="411">
        <f t="shared" si="13"/>
        <v>0</v>
      </c>
      <c r="AZ10" s="411">
        <f t="shared" si="13"/>
        <v>600</v>
      </c>
      <c r="BA10" s="411">
        <f t="shared" si="13"/>
        <v>16100</v>
      </c>
      <c r="BB10" s="411">
        <f t="shared" si="13"/>
        <v>23440</v>
      </c>
      <c r="BC10" s="411">
        <f t="shared" si="13"/>
        <v>27940</v>
      </c>
      <c r="BD10" s="411">
        <f t="shared" si="13"/>
        <v>27940</v>
      </c>
      <c r="BE10" s="411">
        <f t="shared" si="13"/>
        <v>27940</v>
      </c>
      <c r="BF10" s="411">
        <f t="shared" si="13"/>
        <v>27940</v>
      </c>
      <c r="BG10" s="411">
        <f t="shared" si="13"/>
        <v>27940</v>
      </c>
      <c r="BH10" s="411">
        <f t="shared" si="13"/>
        <v>27940</v>
      </c>
      <c r="BI10" s="411">
        <f t="shared" si="13"/>
        <v>27940</v>
      </c>
      <c r="BJ10" s="411">
        <f t="shared" si="13"/>
        <v>27940</v>
      </c>
      <c r="BK10" s="411">
        <f t="shared" si="13"/>
        <v>27940</v>
      </c>
      <c r="BL10" s="411">
        <f t="shared" si="13"/>
        <v>27940</v>
      </c>
      <c r="BM10" s="411">
        <f t="shared" si="13"/>
        <v>27940</v>
      </c>
      <c r="BN10" s="411">
        <f t="shared" si="13"/>
        <v>27940</v>
      </c>
      <c r="BO10" s="411">
        <f t="shared" si="13"/>
        <v>27940</v>
      </c>
      <c r="BP10" s="411">
        <f t="shared" si="13"/>
        <v>27940</v>
      </c>
      <c r="BQ10" s="411">
        <f t="shared" si="13"/>
        <v>27940</v>
      </c>
      <c r="BR10" s="411">
        <f t="shared" si="13"/>
        <v>27940</v>
      </c>
      <c r="BS10" s="411">
        <f t="shared" si="13"/>
        <v>27940</v>
      </c>
      <c r="BT10" s="411">
        <f t="shared" si="13"/>
        <v>27940</v>
      </c>
      <c r="BU10" s="411">
        <f t="shared" si="13"/>
        <v>27940</v>
      </c>
      <c r="BV10" s="411">
        <f t="shared" si="13"/>
        <v>27940</v>
      </c>
      <c r="BW10" s="411">
        <f t="shared" si="13"/>
        <v>27940</v>
      </c>
      <c r="BX10" s="411">
        <f t="shared" si="13"/>
        <v>27940</v>
      </c>
      <c r="BY10" s="411">
        <f t="shared" si="13"/>
        <v>27940</v>
      </c>
      <c r="BZ10" s="411">
        <f t="shared" si="13"/>
        <v>27940</v>
      </c>
      <c r="CA10" s="411">
        <f t="shared" si="13"/>
        <v>27940</v>
      </c>
    </row>
    <row r="11" spans="1:79" ht="15" outlineLevel="1">
      <c r="B11" s="367"/>
      <c r="C11" s="365"/>
      <c r="D11" s="419" t="s">
        <v>502</v>
      </c>
      <c r="E11" s="365"/>
      <c r="G11" s="359"/>
      <c r="H11" s="410">
        <f t="shared" ref="H11:K12" si="14">SUMIFS($AF11:$CA11,$AF$4:$CA$4,"&gt;="&amp;H$4,$AF$5:$CA$5,"&lt;="&amp;H$5)</f>
        <v>0</v>
      </c>
      <c r="I11" s="410">
        <f t="shared" si="14"/>
        <v>27940</v>
      </c>
      <c r="J11" s="410">
        <f t="shared" si="14"/>
        <v>0</v>
      </c>
      <c r="K11" s="410">
        <f t="shared" si="14"/>
        <v>0</v>
      </c>
      <c r="M11" s="359"/>
      <c r="N11" s="410">
        <f t="shared" ref="N11:AC12" si="15">SUMIFS($AF11:$CA11,$AF$4:$CA$4,"&gt;="&amp;N$4,$AF$5:$CA$5,"&lt;="&amp;N$5)</f>
        <v>0</v>
      </c>
      <c r="O11" s="410">
        <f t="shared" si="15"/>
        <v>0</v>
      </c>
      <c r="P11" s="410">
        <f t="shared" si="15"/>
        <v>0</v>
      </c>
      <c r="Q11" s="410">
        <f t="shared" si="15"/>
        <v>0</v>
      </c>
      <c r="R11" s="410">
        <f t="shared" si="15"/>
        <v>0</v>
      </c>
      <c r="S11" s="410">
        <f t="shared" si="15"/>
        <v>0</v>
      </c>
      <c r="T11" s="410">
        <f t="shared" si="15"/>
        <v>600</v>
      </c>
      <c r="U11" s="410">
        <f t="shared" si="15"/>
        <v>27340</v>
      </c>
      <c r="V11" s="410">
        <f t="shared" si="15"/>
        <v>0</v>
      </c>
      <c r="W11" s="410">
        <f t="shared" si="15"/>
        <v>0</v>
      </c>
      <c r="X11" s="410">
        <f t="shared" si="15"/>
        <v>0</v>
      </c>
      <c r="Y11" s="410">
        <f t="shared" si="15"/>
        <v>0</v>
      </c>
      <c r="Z11" s="410">
        <f t="shared" si="15"/>
        <v>0</v>
      </c>
      <c r="AA11" s="410">
        <f t="shared" si="15"/>
        <v>0</v>
      </c>
      <c r="AB11" s="410">
        <f t="shared" si="15"/>
        <v>0</v>
      </c>
      <c r="AC11" s="410">
        <f t="shared" si="15"/>
        <v>0</v>
      </c>
      <c r="AE11" s="359"/>
      <c r="AF11" s="420" cm="1">
        <f t="array" ref="AF11">SUMPRODUCT((ExistingImport[Invoice Amount])*(ExistingImport[BILLING PERIOD]="Every Month")*(ExistingImport[Invoice Date]&lt;='Revenue - Existing'!AF$8)*(ExistingImport[Invoice Date]&gt;'Revenue - Existing'!AE$8))</f>
        <v>0</v>
      </c>
      <c r="AG11" s="420" cm="1">
        <f t="array" ref="AG11">SUMPRODUCT((ExistingImport[Invoice Amount])*(ExistingImport[BILLING PERIOD]="Every Month")*(ExistingImport[Invoice Date]&lt;='Revenue - Existing'!AG$8)*(ExistingImport[Invoice Date]&gt;'Revenue - Existing'!AF$8))</f>
        <v>0</v>
      </c>
      <c r="AH11" s="420" cm="1">
        <f t="array" ref="AH11">SUMPRODUCT((ExistingImport[Invoice Amount])*(ExistingImport[BILLING PERIOD]="Every Month")*(ExistingImport[Invoice Date]&lt;='Revenue - Existing'!AH$8)*(ExistingImport[Invoice Date]&gt;'Revenue - Existing'!AG$8))</f>
        <v>0</v>
      </c>
      <c r="AI11" s="420" cm="1">
        <f t="array" ref="AI11">SUMPRODUCT((ExistingImport[Invoice Amount])*(ExistingImport[BILLING PERIOD]="Every Month")*(ExistingImport[Invoice Date]&lt;='Revenue - Existing'!AI$8)*(ExistingImport[Invoice Date]&gt;'Revenue - Existing'!AH$8))</f>
        <v>0</v>
      </c>
      <c r="AJ11" s="420" cm="1">
        <f t="array" ref="AJ11">SUMPRODUCT((ExistingImport[Invoice Amount])*(ExistingImport[BILLING PERIOD]="Every Month")*(ExistingImport[Invoice Date]&lt;='Revenue - Existing'!AJ$8)*(ExistingImport[Invoice Date]&gt;'Revenue - Existing'!AI$8))</f>
        <v>0</v>
      </c>
      <c r="AK11" s="420" cm="1">
        <f t="array" ref="AK11">SUMPRODUCT((ExistingImport[Invoice Amount])*(ExistingImport[BILLING PERIOD]="Every Month")*(ExistingImport[Invoice Date]&lt;='Revenue - Existing'!AK$8)*(ExistingImport[Invoice Date]&gt;'Revenue - Existing'!AJ$8))</f>
        <v>0</v>
      </c>
      <c r="AL11" s="420" cm="1">
        <f t="array" ref="AL11">SUMPRODUCT((ExistingImport[Invoice Amount])*(ExistingImport[BILLING PERIOD]="Every Month")*(ExistingImport[Invoice Date]&lt;='Revenue - Existing'!AL$8)*(ExistingImport[Invoice Date]&gt;'Revenue - Existing'!AK$8))</f>
        <v>0</v>
      </c>
      <c r="AM11" s="420" cm="1">
        <f t="array" ref="AM11">SUMPRODUCT((ExistingImport[Invoice Amount])*(ExistingImport[BILLING PERIOD]="Every Month")*(ExistingImport[Invoice Date]&lt;='Revenue - Existing'!AM$8)*(ExistingImport[Invoice Date]&gt;'Revenue - Existing'!AL$8))</f>
        <v>0</v>
      </c>
      <c r="AN11" s="420" cm="1">
        <f t="array" ref="AN11">SUMPRODUCT((ExistingImport[Invoice Amount])*(ExistingImport[BILLING PERIOD]="Every Month")*(ExistingImport[Invoice Date]&lt;='Revenue - Existing'!AN$8)*(ExistingImport[Invoice Date]&gt;'Revenue - Existing'!AM$8))</f>
        <v>0</v>
      </c>
      <c r="AO11" s="420" cm="1">
        <f t="array" ref="AO11">SUMPRODUCT((ExistingImport[Invoice Amount])*(ExistingImport[BILLING PERIOD]="Every Month")*(ExistingImport[Invoice Date]&lt;='Revenue - Existing'!AO$8)*(ExistingImport[Invoice Date]&gt;'Revenue - Existing'!AN$8))</f>
        <v>0</v>
      </c>
      <c r="AP11" s="420" cm="1">
        <f t="array" ref="AP11">SUMPRODUCT((ExistingImport[Invoice Amount])*(ExistingImport[BILLING PERIOD]="Every Month")*(ExistingImport[Invoice Date]&lt;='Revenue - Existing'!AP$8)*(ExistingImport[Invoice Date]&gt;'Revenue - Existing'!AO$8))</f>
        <v>0</v>
      </c>
      <c r="AQ11" s="420" cm="1">
        <f t="array" ref="AQ11">SUMPRODUCT((ExistingImport[Invoice Amount])*(ExistingImport[BILLING PERIOD]="Every Month")*(ExistingImport[Invoice Date]&lt;='Revenue - Existing'!AQ$8)*(ExistingImport[Invoice Date]&gt;'Revenue - Existing'!AP$8))</f>
        <v>0</v>
      </c>
      <c r="AR11" s="420" cm="1">
        <f t="array" ref="AR11">SUMPRODUCT((ExistingImport[Invoice Amount])*(ExistingImport[BILLING PERIOD]="Every Month")*(ExistingImport[Invoice Date]&lt;='Revenue - Existing'!AR$8)*(ExistingImport[Invoice Date]&gt;'Revenue - Existing'!AQ$8))</f>
        <v>0</v>
      </c>
      <c r="AS11" s="420" cm="1">
        <f t="array" ref="AS11">SUMPRODUCT((ExistingImport[Invoice Amount])*(ExistingImport[BILLING PERIOD]="Every Month")*(ExistingImport[Invoice Date]&lt;='Revenue - Existing'!AS$8)*(ExistingImport[Invoice Date]&gt;'Revenue - Existing'!AR$8))</f>
        <v>0</v>
      </c>
      <c r="AT11" s="420" cm="1">
        <f t="array" ref="AT11">SUMPRODUCT((ExistingImport[Invoice Amount])*(ExistingImport[BILLING PERIOD]="Every Month")*(ExistingImport[Invoice Date]&lt;='Revenue - Existing'!AT$8)*(ExistingImport[Invoice Date]&gt;'Revenue - Existing'!AS$8))</f>
        <v>0</v>
      </c>
      <c r="AU11" s="420" cm="1">
        <f t="array" ref="AU11">SUMPRODUCT((ExistingImport[Invoice Amount])*(ExistingImport[BILLING PERIOD]="Every Month")*(ExistingImport[Invoice Date]&lt;='Revenue - Existing'!AU$8)*(ExistingImport[Invoice Date]&gt;'Revenue - Existing'!AT$8))</f>
        <v>0</v>
      </c>
      <c r="AV11" s="420" cm="1">
        <f t="array" ref="AV11">SUMPRODUCT((ExistingImport[Invoice Amount])*(ExistingImport[BILLING PERIOD]="Every Month")*(ExistingImport[Invoice Date]&lt;='Revenue - Existing'!AV$8)*(ExistingImport[Invoice Date]&gt;'Revenue - Existing'!AU$8))</f>
        <v>0</v>
      </c>
      <c r="AW11" s="420" cm="1">
        <f t="array" ref="AW11">SUMPRODUCT((ExistingImport[Invoice Amount])*(ExistingImport[BILLING PERIOD]="Every Month")*(ExistingImport[Invoice Date]&lt;='Revenue - Existing'!AW$8)*(ExistingImport[Invoice Date]&gt;'Revenue - Existing'!AV$8))</f>
        <v>0</v>
      </c>
      <c r="AX11" s="420" cm="1">
        <f t="array" ref="AX11">SUMPRODUCT((ExistingImport[Invoice Amount])*(ExistingImport[BILLING PERIOD]="Every Month")*(ExistingImport[Invoice Date]&lt;='Revenue - Existing'!AX$8)*(ExistingImport[Invoice Date]&gt;'Revenue - Existing'!AW$8))</f>
        <v>0</v>
      </c>
      <c r="AY11" s="420" cm="1">
        <f t="array" ref="AY11">SUMPRODUCT((ExistingImport[Invoice Amount])*(ExistingImport[BILLING PERIOD]="Every Month")*(ExistingImport[Invoice Date]&lt;='Revenue - Existing'!AY$8)*(ExistingImport[Invoice Date]&gt;'Revenue - Existing'!AX$8))</f>
        <v>0</v>
      </c>
      <c r="AZ11" s="420" cm="1">
        <f t="array" ref="AZ11">SUMPRODUCT((ExistingImport[Invoice Amount])*(ExistingImport[BILLING PERIOD]="Every Month")*(ExistingImport[Invoice Date]&lt;='Revenue - Existing'!AZ$8)*(ExistingImport[Invoice Date]&gt;'Revenue - Existing'!AY$8))</f>
        <v>600</v>
      </c>
      <c r="BA11" s="420" cm="1">
        <f t="array" ref="BA11">SUMPRODUCT((ExistingImport[Invoice Amount])*(ExistingImport[BILLING PERIOD]="Every Month")*(ExistingImport[Invoice Date]&lt;='Revenue - Existing'!BA$8)*(ExistingImport[Invoice Date]&gt;'Revenue - Existing'!AZ$8))</f>
        <v>15500</v>
      </c>
      <c r="BB11" s="420" cm="1">
        <f t="array" ref="BB11">SUMPRODUCT((ExistingImport[Invoice Amount])*(ExistingImport[BILLING PERIOD]="Every Month")*(ExistingImport[Invoice Date]&lt;='Revenue - Existing'!BB$8)*(ExistingImport[Invoice Date]&gt;'Revenue - Existing'!BA$8))</f>
        <v>7340</v>
      </c>
      <c r="BC11" s="420" cm="1">
        <f t="array" ref="BC11">SUMPRODUCT((ExistingImport[Invoice Amount])*(ExistingImport[BILLING PERIOD]="Every Month")*(ExistingImport[Invoice Date]&lt;='Revenue - Existing'!BC$8)*(ExistingImport[Invoice Date]&gt;'Revenue - Existing'!BB$8))</f>
        <v>4500</v>
      </c>
      <c r="BD11" s="420" cm="1">
        <f t="array" ref="BD11">SUMPRODUCT((ExistingImport[Invoice Amount])*(ExistingImport[BILLING PERIOD]="Every Month")*(ExistingImport[Invoice Date]&lt;='Revenue - Existing'!BD$8)*(ExistingImport[Invoice Date]&gt;'Revenue - Existing'!BC$8))</f>
        <v>0</v>
      </c>
      <c r="BE11" s="420" cm="1">
        <f t="array" ref="BE11">SUMPRODUCT((ExistingImport[Invoice Amount])*(ExistingImport[BILLING PERIOD]="Every Month")*(ExistingImport[Invoice Date]&lt;='Revenue - Existing'!BE$8)*(ExistingImport[Invoice Date]&gt;'Revenue - Existing'!BD$8))</f>
        <v>0</v>
      </c>
      <c r="BF11" s="420" cm="1">
        <f t="array" ref="BF11">SUMPRODUCT((ExistingImport[Invoice Amount])*(ExistingImport[BILLING PERIOD]="Every Month")*(ExistingImport[Invoice Date]&lt;='Revenue - Existing'!BF$8)*(ExistingImport[Invoice Date]&gt;'Revenue - Existing'!BE$8))</f>
        <v>0</v>
      </c>
      <c r="BG11" s="420" cm="1">
        <f t="array" ref="BG11">SUMPRODUCT((ExistingImport[Invoice Amount])*(ExistingImport[BILLING PERIOD]="Every Month")*(ExistingImport[Invoice Date]&lt;='Revenue - Existing'!BG$8)*(ExistingImport[Invoice Date]&gt;'Revenue - Existing'!BF$8))</f>
        <v>0</v>
      </c>
      <c r="BH11" s="420" cm="1">
        <f t="array" ref="BH11">SUMPRODUCT((ExistingImport[Invoice Amount])*(ExistingImport[BILLING PERIOD]="Every Month")*(ExistingImport[Invoice Date]&lt;='Revenue - Existing'!BH$8)*(ExistingImport[Invoice Date]&gt;'Revenue - Existing'!BG$8))</f>
        <v>0</v>
      </c>
      <c r="BI11" s="420" cm="1">
        <f t="array" ref="BI11">SUMPRODUCT((ExistingImport[Invoice Amount])*(ExistingImport[BILLING PERIOD]="Every Month")*(ExistingImport[Invoice Date]&lt;='Revenue - Existing'!BI$8)*(ExistingImport[Invoice Date]&gt;'Revenue - Existing'!BH$8))</f>
        <v>0</v>
      </c>
      <c r="BJ11" s="420" cm="1">
        <f t="array" ref="BJ11">SUMPRODUCT((ExistingImport[Invoice Amount])*(ExistingImport[BILLING PERIOD]="Every Month")*(ExistingImport[Invoice Date]&lt;='Revenue - Existing'!BJ$8)*(ExistingImport[Invoice Date]&gt;'Revenue - Existing'!BI$8))</f>
        <v>0</v>
      </c>
      <c r="BK11" s="420" cm="1">
        <f t="array" ref="BK11">SUMPRODUCT((ExistingImport[Invoice Amount])*(ExistingImport[BILLING PERIOD]="Every Month")*(ExistingImport[Invoice Date]&lt;='Revenue - Existing'!BK$8)*(ExistingImport[Invoice Date]&gt;'Revenue - Existing'!BJ$8))</f>
        <v>0</v>
      </c>
      <c r="BL11" s="420" cm="1">
        <f t="array" ref="BL11">SUMPRODUCT((ExistingImport[Invoice Amount])*(ExistingImport[BILLING PERIOD]="Every Month")*(ExistingImport[Invoice Date]&lt;='Revenue - Existing'!BL$8)*(ExistingImport[Invoice Date]&gt;'Revenue - Existing'!BK$8))</f>
        <v>0</v>
      </c>
      <c r="BM11" s="420" cm="1">
        <f t="array" ref="BM11">SUMPRODUCT((ExistingImport[Invoice Amount])*(ExistingImport[BILLING PERIOD]="Every Month")*(ExistingImport[Invoice Date]&lt;='Revenue - Existing'!BM$8)*(ExistingImport[Invoice Date]&gt;'Revenue - Existing'!BL$8))</f>
        <v>0</v>
      </c>
      <c r="BN11" s="420" cm="1">
        <f t="array" ref="BN11">SUMPRODUCT((ExistingImport[Invoice Amount])*(ExistingImport[BILLING PERIOD]="Every Month")*(ExistingImport[Invoice Date]&lt;='Revenue - Existing'!BN$8)*(ExistingImport[Invoice Date]&gt;'Revenue - Existing'!BM$8))</f>
        <v>0</v>
      </c>
      <c r="BO11" s="420" cm="1">
        <f t="array" ref="BO11">SUMPRODUCT((ExistingImport[Invoice Amount])*(ExistingImport[BILLING PERIOD]="Every Month")*(ExistingImport[Invoice Date]&lt;='Revenue - Existing'!BO$8)*(ExistingImport[Invoice Date]&gt;'Revenue - Existing'!BN$8))</f>
        <v>0</v>
      </c>
      <c r="BP11" s="420" cm="1">
        <f t="array" ref="BP11">SUMPRODUCT((ExistingImport[Invoice Amount])*(ExistingImport[BILLING PERIOD]="Every Month")*(ExistingImport[Invoice Date]&lt;='Revenue - Existing'!BP$8)*(ExistingImport[Invoice Date]&gt;'Revenue - Existing'!BO$8))</f>
        <v>0</v>
      </c>
      <c r="BQ11" s="420" cm="1">
        <f t="array" ref="BQ11">SUMPRODUCT((ExistingImport[Invoice Amount])*(ExistingImport[BILLING PERIOD]="Every Month")*(ExistingImport[Invoice Date]&lt;='Revenue - Existing'!BQ$8)*(ExistingImport[Invoice Date]&gt;'Revenue - Existing'!BP$8))</f>
        <v>0</v>
      </c>
      <c r="BR11" s="420" cm="1">
        <f t="array" ref="BR11">SUMPRODUCT((ExistingImport[Invoice Amount])*(ExistingImport[BILLING PERIOD]="Every Month")*(ExistingImport[Invoice Date]&lt;='Revenue - Existing'!BR$8)*(ExistingImport[Invoice Date]&gt;'Revenue - Existing'!BQ$8))</f>
        <v>0</v>
      </c>
      <c r="BS11" s="420" cm="1">
        <f t="array" ref="BS11">SUMPRODUCT((ExistingImport[Invoice Amount])*(ExistingImport[BILLING PERIOD]="Every Month")*(ExistingImport[Invoice Date]&lt;='Revenue - Existing'!BS$8)*(ExistingImport[Invoice Date]&gt;'Revenue - Existing'!BR$8))</f>
        <v>0</v>
      </c>
      <c r="BT11" s="420" cm="1">
        <f t="array" ref="BT11">SUMPRODUCT((ExistingImport[Invoice Amount])*(ExistingImport[BILLING PERIOD]="Every Month")*(ExistingImport[Invoice Date]&lt;='Revenue - Existing'!BT$8)*(ExistingImport[Invoice Date]&gt;'Revenue - Existing'!BS$8))</f>
        <v>0</v>
      </c>
      <c r="BU11" s="420" cm="1">
        <f t="array" ref="BU11">SUMPRODUCT((ExistingImport[Invoice Amount])*(ExistingImport[BILLING PERIOD]="Every Month")*(ExistingImport[Invoice Date]&lt;='Revenue - Existing'!BU$8)*(ExistingImport[Invoice Date]&gt;'Revenue - Existing'!BT$8))</f>
        <v>0</v>
      </c>
      <c r="BV11" s="420" cm="1">
        <f t="array" ref="BV11">SUMPRODUCT((ExistingImport[Invoice Amount])*(ExistingImport[BILLING PERIOD]="Every Month")*(ExistingImport[Invoice Date]&lt;='Revenue - Existing'!BV$8)*(ExistingImport[Invoice Date]&gt;'Revenue - Existing'!BU$8))</f>
        <v>0</v>
      </c>
      <c r="BW11" s="420" cm="1">
        <f t="array" ref="BW11">SUMPRODUCT((ExistingImport[Invoice Amount])*(ExistingImport[BILLING PERIOD]="Every Month")*(ExistingImport[Invoice Date]&lt;='Revenue - Existing'!BW$8)*(ExistingImport[Invoice Date]&gt;'Revenue - Existing'!BV$8))</f>
        <v>0</v>
      </c>
      <c r="BX11" s="420" cm="1">
        <f t="array" ref="BX11">SUMPRODUCT((ExistingImport[Invoice Amount])*(ExistingImport[BILLING PERIOD]="Every Month")*(ExistingImport[Invoice Date]&lt;='Revenue - Existing'!BX$8)*(ExistingImport[Invoice Date]&gt;'Revenue - Existing'!BW$8))</f>
        <v>0</v>
      </c>
      <c r="BY11" s="420" cm="1">
        <f t="array" ref="BY11">SUMPRODUCT((ExistingImport[Invoice Amount])*(ExistingImport[BILLING PERIOD]="Every Month")*(ExistingImport[Invoice Date]&lt;='Revenue - Existing'!BY$8)*(ExistingImport[Invoice Date]&gt;'Revenue - Existing'!BX$8))</f>
        <v>0</v>
      </c>
      <c r="BZ11" s="420" cm="1">
        <f t="array" ref="BZ11">SUMPRODUCT((ExistingImport[Invoice Amount])*(ExistingImport[BILLING PERIOD]="Every Month")*(ExistingImport[Invoice Date]&lt;='Revenue - Existing'!BZ$8)*(ExistingImport[Invoice Date]&gt;'Revenue - Existing'!BY$8))</f>
        <v>0</v>
      </c>
      <c r="CA11" s="420" cm="1">
        <f t="array" ref="CA11">SUMPRODUCT((ExistingImport[Invoice Amount])*(ExistingImport[BILLING PERIOD]="Every Month")*(ExistingImport[Invoice Date]&lt;='Revenue - Existing'!CA$8)*(ExistingImport[Invoice Date]&gt;'Revenue - Existing'!BZ$8))</f>
        <v>0</v>
      </c>
    </row>
    <row r="12" spans="1:79" ht="15" outlineLevel="1">
      <c r="B12" s="367"/>
      <c r="C12" s="365"/>
      <c r="D12" s="419" t="s">
        <v>503</v>
      </c>
      <c r="E12" s="365"/>
      <c r="G12" s="359"/>
      <c r="H12" s="410">
        <f t="shared" si="14"/>
        <v>0</v>
      </c>
      <c r="I12" s="410">
        <f t="shared" si="14"/>
        <v>40140</v>
      </c>
      <c r="J12" s="410">
        <f t="shared" si="14"/>
        <v>335280</v>
      </c>
      <c r="K12" s="410">
        <f t="shared" si="14"/>
        <v>335280</v>
      </c>
      <c r="M12" s="359"/>
      <c r="N12" s="410">
        <f t="shared" si="15"/>
        <v>0</v>
      </c>
      <c r="O12" s="410">
        <f t="shared" si="15"/>
        <v>0</v>
      </c>
      <c r="P12" s="410">
        <f t="shared" si="15"/>
        <v>0</v>
      </c>
      <c r="Q12" s="410">
        <f t="shared" si="15"/>
        <v>0</v>
      </c>
      <c r="R12" s="410">
        <f t="shared" si="15"/>
        <v>0</v>
      </c>
      <c r="S12" s="410">
        <f t="shared" si="15"/>
        <v>0</v>
      </c>
      <c r="T12" s="410">
        <f t="shared" si="15"/>
        <v>0</v>
      </c>
      <c r="U12" s="410">
        <f t="shared" si="15"/>
        <v>40140</v>
      </c>
      <c r="V12" s="410">
        <f t="shared" si="15"/>
        <v>83820</v>
      </c>
      <c r="W12" s="410">
        <f t="shared" si="15"/>
        <v>83820</v>
      </c>
      <c r="X12" s="410">
        <f t="shared" si="15"/>
        <v>83820</v>
      </c>
      <c r="Y12" s="410">
        <f t="shared" si="15"/>
        <v>83820</v>
      </c>
      <c r="Z12" s="410">
        <f t="shared" si="15"/>
        <v>83820</v>
      </c>
      <c r="AA12" s="410">
        <f t="shared" si="15"/>
        <v>83820</v>
      </c>
      <c r="AB12" s="410">
        <f t="shared" si="15"/>
        <v>83820</v>
      </c>
      <c r="AC12" s="410">
        <f t="shared" si="15"/>
        <v>83820</v>
      </c>
      <c r="AE12" s="359"/>
      <c r="AF12" s="418"/>
      <c r="AG12" s="361">
        <f t="shared" ref="AG12:CA12" si="16">AF10</f>
        <v>0</v>
      </c>
      <c r="AH12" s="361">
        <f t="shared" si="16"/>
        <v>0</v>
      </c>
      <c r="AI12" s="361">
        <f t="shared" si="16"/>
        <v>0</v>
      </c>
      <c r="AJ12" s="361">
        <f t="shared" si="16"/>
        <v>0</v>
      </c>
      <c r="AK12" s="361">
        <f t="shared" si="16"/>
        <v>0</v>
      </c>
      <c r="AL12" s="361">
        <f t="shared" si="16"/>
        <v>0</v>
      </c>
      <c r="AM12" s="361">
        <f t="shared" si="16"/>
        <v>0</v>
      </c>
      <c r="AN12" s="361">
        <f t="shared" si="16"/>
        <v>0</v>
      </c>
      <c r="AO12" s="361">
        <f t="shared" si="16"/>
        <v>0</v>
      </c>
      <c r="AP12" s="361">
        <f t="shared" si="16"/>
        <v>0</v>
      </c>
      <c r="AQ12" s="361">
        <f t="shared" si="16"/>
        <v>0</v>
      </c>
      <c r="AR12" s="361">
        <f t="shared" si="16"/>
        <v>0</v>
      </c>
      <c r="AS12" s="361">
        <f t="shared" si="16"/>
        <v>0</v>
      </c>
      <c r="AT12" s="361">
        <f t="shared" si="16"/>
        <v>0</v>
      </c>
      <c r="AU12" s="361">
        <f t="shared" si="16"/>
        <v>0</v>
      </c>
      <c r="AV12" s="361">
        <f t="shared" si="16"/>
        <v>0</v>
      </c>
      <c r="AW12" s="361">
        <f t="shared" si="16"/>
        <v>0</v>
      </c>
      <c r="AX12" s="361">
        <f t="shared" si="16"/>
        <v>0</v>
      </c>
      <c r="AY12" s="361">
        <f t="shared" si="16"/>
        <v>0</v>
      </c>
      <c r="AZ12" s="361">
        <f t="shared" si="16"/>
        <v>0</v>
      </c>
      <c r="BA12" s="361">
        <f t="shared" si="16"/>
        <v>600</v>
      </c>
      <c r="BB12" s="361">
        <f t="shared" si="16"/>
        <v>16100</v>
      </c>
      <c r="BC12" s="361">
        <f t="shared" si="16"/>
        <v>23440</v>
      </c>
      <c r="BD12" s="361">
        <f t="shared" si="16"/>
        <v>27940</v>
      </c>
      <c r="BE12" s="361">
        <f t="shared" si="16"/>
        <v>27940</v>
      </c>
      <c r="BF12" s="361">
        <f t="shared" si="16"/>
        <v>27940</v>
      </c>
      <c r="BG12" s="361">
        <f t="shared" si="16"/>
        <v>27940</v>
      </c>
      <c r="BH12" s="361">
        <f t="shared" si="16"/>
        <v>27940</v>
      </c>
      <c r="BI12" s="361">
        <f t="shared" si="16"/>
        <v>27940</v>
      </c>
      <c r="BJ12" s="361">
        <f t="shared" si="16"/>
        <v>27940</v>
      </c>
      <c r="BK12" s="361">
        <f t="shared" si="16"/>
        <v>27940</v>
      </c>
      <c r="BL12" s="361">
        <f t="shared" si="16"/>
        <v>27940</v>
      </c>
      <c r="BM12" s="361">
        <f t="shared" si="16"/>
        <v>27940</v>
      </c>
      <c r="BN12" s="361">
        <f t="shared" si="16"/>
        <v>27940</v>
      </c>
      <c r="BO12" s="361">
        <f t="shared" si="16"/>
        <v>27940</v>
      </c>
      <c r="BP12" s="361">
        <f t="shared" si="16"/>
        <v>27940</v>
      </c>
      <c r="BQ12" s="361">
        <f t="shared" si="16"/>
        <v>27940</v>
      </c>
      <c r="BR12" s="361">
        <f t="shared" si="16"/>
        <v>27940</v>
      </c>
      <c r="BS12" s="361">
        <f t="shared" si="16"/>
        <v>27940</v>
      </c>
      <c r="BT12" s="361">
        <f t="shared" si="16"/>
        <v>27940</v>
      </c>
      <c r="BU12" s="361">
        <f t="shared" si="16"/>
        <v>27940</v>
      </c>
      <c r="BV12" s="361">
        <f t="shared" si="16"/>
        <v>27940</v>
      </c>
      <c r="BW12" s="361">
        <f t="shared" si="16"/>
        <v>27940</v>
      </c>
      <c r="BX12" s="361">
        <f t="shared" si="16"/>
        <v>27940</v>
      </c>
      <c r="BY12" s="361">
        <f t="shared" si="16"/>
        <v>27940</v>
      </c>
      <c r="BZ12" s="361">
        <f t="shared" si="16"/>
        <v>27940</v>
      </c>
      <c r="CA12" s="361">
        <f t="shared" si="16"/>
        <v>27940</v>
      </c>
    </row>
    <row r="13" spans="1:79" outlineLevel="1">
      <c r="G13" s="359"/>
      <c r="H13" s="422"/>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421"/>
      <c r="AH13" s="421"/>
      <c r="AI13" s="421"/>
      <c r="AJ13" s="421"/>
      <c r="AK13" s="421"/>
      <c r="AL13" s="421"/>
      <c r="AM13" s="421"/>
      <c r="AN13" s="421"/>
      <c r="AO13" s="421"/>
      <c r="AP13" s="421"/>
      <c r="AQ13" s="421"/>
      <c r="AR13" s="421"/>
      <c r="AS13" s="421"/>
      <c r="AT13" s="421"/>
      <c r="AU13" s="421"/>
      <c r="AV13" s="421"/>
      <c r="AW13" s="421"/>
      <c r="AX13" s="421"/>
      <c r="AY13" s="421"/>
      <c r="AZ13" s="421"/>
      <c r="BA13" s="421"/>
      <c r="BB13" s="421"/>
      <c r="BC13" s="421"/>
      <c r="BD13" s="421"/>
      <c r="BE13" s="421"/>
      <c r="BF13" s="421"/>
      <c r="BG13" s="421"/>
      <c r="BH13" s="421"/>
      <c r="BI13" s="421"/>
      <c r="BJ13" s="421"/>
      <c r="BK13" s="421"/>
      <c r="BL13" s="421"/>
      <c r="BM13" s="421"/>
      <c r="BN13" s="421"/>
      <c r="BO13" s="421"/>
      <c r="BP13" s="421"/>
      <c r="BQ13" s="421"/>
      <c r="BR13" s="421"/>
      <c r="BS13" s="421"/>
      <c r="BT13" s="421"/>
      <c r="BU13" s="421"/>
      <c r="BV13" s="421"/>
      <c r="BW13" s="421"/>
      <c r="BX13" s="421"/>
      <c r="BY13" s="421"/>
      <c r="BZ13" s="421"/>
      <c r="CA13" s="421"/>
    </row>
    <row r="14" spans="1:79" ht="15" outlineLevel="1">
      <c r="B14" s="367"/>
      <c r="C14" s="365" t="s">
        <v>160</v>
      </c>
      <c r="D14" s="366"/>
      <c r="E14" s="365"/>
      <c r="G14" s="359"/>
      <c r="H14" s="411">
        <f>SUMIFS($AF14:$CA14,$AF$6:$CA$6,H$6)</f>
        <v>0</v>
      </c>
      <c r="I14" s="411">
        <f>SUMIFS($AF14:$CA14,$AF$6:$CA$6,I$6)</f>
        <v>122040</v>
      </c>
      <c r="J14" s="411">
        <f>SUMIFS($AF14:$CA14,$AF$6:$CA$6,J$6)</f>
        <v>430160</v>
      </c>
      <c r="K14" s="411">
        <f>SUMIFS($AF14:$CA14,$AF$6:$CA$6,K$6)</f>
        <v>430160</v>
      </c>
      <c r="M14" s="359"/>
      <c r="N14" s="411">
        <f t="shared" ref="N14:AC14" si="17">SUMIFS($AF14:$CA14,$AF$6:$CA$6,N$6,$AF$7:$CA$7,N$7)</f>
        <v>0</v>
      </c>
      <c r="O14" s="411">
        <f t="shared" si="17"/>
        <v>0</v>
      </c>
      <c r="P14" s="411">
        <f t="shared" si="17"/>
        <v>0</v>
      </c>
      <c r="Q14" s="411">
        <f t="shared" si="17"/>
        <v>0</v>
      </c>
      <c r="R14" s="411">
        <f t="shared" si="17"/>
        <v>0</v>
      </c>
      <c r="S14" s="411">
        <f t="shared" si="17"/>
        <v>0</v>
      </c>
      <c r="T14" s="411">
        <f t="shared" si="17"/>
        <v>14500</v>
      </c>
      <c r="U14" s="411">
        <f t="shared" si="17"/>
        <v>107540</v>
      </c>
      <c r="V14" s="411">
        <f t="shared" si="17"/>
        <v>107540</v>
      </c>
      <c r="W14" s="411">
        <f t="shared" si="17"/>
        <v>107540</v>
      </c>
      <c r="X14" s="411">
        <f t="shared" si="17"/>
        <v>107540</v>
      </c>
      <c r="Y14" s="411">
        <f t="shared" si="17"/>
        <v>107540</v>
      </c>
      <c r="Z14" s="411">
        <f t="shared" si="17"/>
        <v>107540</v>
      </c>
      <c r="AA14" s="411">
        <f t="shared" si="17"/>
        <v>107540</v>
      </c>
      <c r="AB14" s="411">
        <f t="shared" si="17"/>
        <v>107540</v>
      </c>
      <c r="AC14" s="411">
        <f t="shared" si="17"/>
        <v>107540</v>
      </c>
      <c r="AE14" s="359"/>
      <c r="AF14" s="411">
        <f t="shared" ref="AF14:CA14" si="18">SUM(AF15:AF16)</f>
        <v>0</v>
      </c>
      <c r="AG14" s="411">
        <f t="shared" si="18"/>
        <v>0</v>
      </c>
      <c r="AH14" s="411">
        <f t="shared" si="18"/>
        <v>0</v>
      </c>
      <c r="AI14" s="411">
        <f t="shared" si="18"/>
        <v>0</v>
      </c>
      <c r="AJ14" s="411">
        <f t="shared" si="18"/>
        <v>0</v>
      </c>
      <c r="AK14" s="411">
        <f t="shared" si="18"/>
        <v>0</v>
      </c>
      <c r="AL14" s="411">
        <f t="shared" si="18"/>
        <v>0</v>
      </c>
      <c r="AM14" s="411">
        <f t="shared" si="18"/>
        <v>0</v>
      </c>
      <c r="AN14" s="411">
        <f t="shared" si="18"/>
        <v>0</v>
      </c>
      <c r="AO14" s="411">
        <f t="shared" si="18"/>
        <v>0</v>
      </c>
      <c r="AP14" s="411">
        <f t="shared" si="18"/>
        <v>0</v>
      </c>
      <c r="AQ14" s="411">
        <f t="shared" si="18"/>
        <v>0</v>
      </c>
      <c r="AR14" s="411">
        <f t="shared" si="18"/>
        <v>0</v>
      </c>
      <c r="AS14" s="411">
        <f t="shared" si="18"/>
        <v>0</v>
      </c>
      <c r="AT14" s="411">
        <f t="shared" si="18"/>
        <v>0</v>
      </c>
      <c r="AU14" s="411">
        <f t="shared" si="18"/>
        <v>0</v>
      </c>
      <c r="AV14" s="411">
        <f t="shared" si="18"/>
        <v>0</v>
      </c>
      <c r="AW14" s="411">
        <f t="shared" si="18"/>
        <v>0</v>
      </c>
      <c r="AX14" s="411">
        <f t="shared" si="18"/>
        <v>0</v>
      </c>
      <c r="AY14" s="411">
        <f t="shared" si="18"/>
        <v>14500</v>
      </c>
      <c r="AZ14" s="411">
        <f t="shared" si="18"/>
        <v>0</v>
      </c>
      <c r="BA14" s="411">
        <f t="shared" si="18"/>
        <v>48120</v>
      </c>
      <c r="BB14" s="411">
        <f t="shared" si="18"/>
        <v>43940</v>
      </c>
      <c r="BC14" s="411">
        <f t="shared" si="18"/>
        <v>15480</v>
      </c>
      <c r="BD14" s="411">
        <f t="shared" si="18"/>
        <v>48120</v>
      </c>
      <c r="BE14" s="411">
        <f t="shared" si="18"/>
        <v>43940</v>
      </c>
      <c r="BF14" s="411">
        <f t="shared" si="18"/>
        <v>15480</v>
      </c>
      <c r="BG14" s="411">
        <f t="shared" si="18"/>
        <v>48120</v>
      </c>
      <c r="BH14" s="411">
        <f t="shared" si="18"/>
        <v>43940</v>
      </c>
      <c r="BI14" s="411">
        <f t="shared" si="18"/>
        <v>15480</v>
      </c>
      <c r="BJ14" s="411">
        <f t="shared" si="18"/>
        <v>48120</v>
      </c>
      <c r="BK14" s="411">
        <f t="shared" si="18"/>
        <v>43940</v>
      </c>
      <c r="BL14" s="411">
        <f t="shared" si="18"/>
        <v>15480</v>
      </c>
      <c r="BM14" s="411">
        <f t="shared" si="18"/>
        <v>48120</v>
      </c>
      <c r="BN14" s="411">
        <f t="shared" si="18"/>
        <v>43940</v>
      </c>
      <c r="BO14" s="411">
        <f t="shared" si="18"/>
        <v>15480</v>
      </c>
      <c r="BP14" s="411">
        <f t="shared" si="18"/>
        <v>48120</v>
      </c>
      <c r="BQ14" s="411">
        <f t="shared" si="18"/>
        <v>43940</v>
      </c>
      <c r="BR14" s="411">
        <f t="shared" si="18"/>
        <v>15480</v>
      </c>
      <c r="BS14" s="411">
        <f t="shared" si="18"/>
        <v>48120</v>
      </c>
      <c r="BT14" s="411">
        <f t="shared" si="18"/>
        <v>43940</v>
      </c>
      <c r="BU14" s="411">
        <f t="shared" si="18"/>
        <v>15480</v>
      </c>
      <c r="BV14" s="411">
        <f t="shared" si="18"/>
        <v>48120</v>
      </c>
      <c r="BW14" s="411">
        <f t="shared" si="18"/>
        <v>43940</v>
      </c>
      <c r="BX14" s="411">
        <f t="shared" si="18"/>
        <v>15480</v>
      </c>
      <c r="BY14" s="411">
        <f t="shared" si="18"/>
        <v>48120</v>
      </c>
      <c r="BZ14" s="411">
        <f t="shared" si="18"/>
        <v>43940</v>
      </c>
      <c r="CA14" s="411">
        <f t="shared" si="18"/>
        <v>15480</v>
      </c>
    </row>
    <row r="15" spans="1:79" ht="15" outlineLevel="1">
      <c r="B15" s="367"/>
      <c r="C15" s="365"/>
      <c r="D15" s="419" t="s">
        <v>502</v>
      </c>
      <c r="E15" s="365"/>
      <c r="G15" s="359"/>
      <c r="H15" s="410">
        <f t="shared" ref="H15:K16" si="19">SUMIFS($AF15:$CA15,$AF$4:$CA$4,"&gt;="&amp;H$4,$AF$5:$CA$5,"&lt;="&amp;H$5)</f>
        <v>0</v>
      </c>
      <c r="I15" s="410">
        <f t="shared" si="19"/>
        <v>107540</v>
      </c>
      <c r="J15" s="410">
        <f t="shared" si="19"/>
        <v>0</v>
      </c>
      <c r="K15" s="410">
        <f t="shared" si="19"/>
        <v>0</v>
      </c>
      <c r="M15" s="359"/>
      <c r="N15" s="410">
        <f t="shared" ref="N15:AC16" si="20">SUMIFS($AF15:$CA15,$AF$4:$CA$4,"&gt;="&amp;N$4,$AF$5:$CA$5,"&lt;="&amp;N$5)</f>
        <v>0</v>
      </c>
      <c r="O15" s="410">
        <f t="shared" si="20"/>
        <v>0</v>
      </c>
      <c r="P15" s="410">
        <f t="shared" si="20"/>
        <v>0</v>
      </c>
      <c r="Q15" s="410">
        <f t="shared" si="20"/>
        <v>0</v>
      </c>
      <c r="R15" s="410">
        <f t="shared" si="20"/>
        <v>0</v>
      </c>
      <c r="S15" s="410">
        <f t="shared" si="20"/>
        <v>0</v>
      </c>
      <c r="T15" s="410">
        <f t="shared" si="20"/>
        <v>14500</v>
      </c>
      <c r="U15" s="410">
        <f t="shared" si="20"/>
        <v>93040</v>
      </c>
      <c r="V15" s="410">
        <f t="shared" si="20"/>
        <v>0</v>
      </c>
      <c r="W15" s="410">
        <f t="shared" si="20"/>
        <v>0</v>
      </c>
      <c r="X15" s="410">
        <f t="shared" si="20"/>
        <v>0</v>
      </c>
      <c r="Y15" s="410">
        <f t="shared" si="20"/>
        <v>0</v>
      </c>
      <c r="Z15" s="410">
        <f t="shared" si="20"/>
        <v>0</v>
      </c>
      <c r="AA15" s="410">
        <f t="shared" si="20"/>
        <v>0</v>
      </c>
      <c r="AB15" s="410">
        <f t="shared" si="20"/>
        <v>0</v>
      </c>
      <c r="AC15" s="410">
        <f t="shared" si="20"/>
        <v>0</v>
      </c>
      <c r="AE15" s="359"/>
      <c r="AF15" s="420" cm="1">
        <f t="array" ref="AF15">SUMPRODUCT((ExistingImport[Invoice Amount])*(ExistingImport[BILLING PERIOD]="Every Quarter")*(ExistingImport[Invoice Date]&lt;='Revenue - Existing'!AF$8)*(ExistingImport[Invoice Date]&gt;'Revenue - Existing'!AE$8))</f>
        <v>0</v>
      </c>
      <c r="AG15" s="420" cm="1">
        <f t="array" ref="AG15">SUMPRODUCT((ExistingImport[Invoice Amount])*(ExistingImport[BILLING PERIOD]="Every Quarter")*(ExistingImport[Invoice Date]&lt;='Revenue - Existing'!AG$8)*(ExistingImport[Invoice Date]&gt;'Revenue - Existing'!AF$8))</f>
        <v>0</v>
      </c>
      <c r="AH15" s="420" cm="1">
        <f t="array" ref="AH15">SUMPRODUCT((ExistingImport[Invoice Amount])*(ExistingImport[BILLING PERIOD]="Every Quarter")*(ExistingImport[Invoice Date]&lt;='Revenue - Existing'!AH$8)*(ExistingImport[Invoice Date]&gt;'Revenue - Existing'!AG$8))</f>
        <v>0</v>
      </c>
      <c r="AI15" s="420" cm="1">
        <f t="array" ref="AI15">SUMPRODUCT((ExistingImport[Invoice Amount])*(ExistingImport[BILLING PERIOD]="Every Quarter")*(ExistingImport[Invoice Date]&lt;='Revenue - Existing'!AI$8)*(ExistingImport[Invoice Date]&gt;'Revenue - Existing'!AH$8))</f>
        <v>0</v>
      </c>
      <c r="AJ15" s="420" cm="1">
        <f t="array" ref="AJ15">SUMPRODUCT((ExistingImport[Invoice Amount])*(ExistingImport[BILLING PERIOD]="Every Quarter")*(ExistingImport[Invoice Date]&lt;='Revenue - Existing'!AJ$8)*(ExistingImport[Invoice Date]&gt;'Revenue - Existing'!AI$8))</f>
        <v>0</v>
      </c>
      <c r="AK15" s="420" cm="1">
        <f t="array" ref="AK15">SUMPRODUCT((ExistingImport[Invoice Amount])*(ExistingImport[BILLING PERIOD]="Every Quarter")*(ExistingImport[Invoice Date]&lt;='Revenue - Existing'!AK$8)*(ExistingImport[Invoice Date]&gt;'Revenue - Existing'!AJ$8))</f>
        <v>0</v>
      </c>
      <c r="AL15" s="420" cm="1">
        <f t="array" ref="AL15">SUMPRODUCT((ExistingImport[Invoice Amount])*(ExistingImport[BILLING PERIOD]="Every Quarter")*(ExistingImport[Invoice Date]&lt;='Revenue - Existing'!AL$8)*(ExistingImport[Invoice Date]&gt;'Revenue - Existing'!AK$8))</f>
        <v>0</v>
      </c>
      <c r="AM15" s="420" cm="1">
        <f t="array" ref="AM15">SUMPRODUCT((ExistingImport[Invoice Amount])*(ExistingImport[BILLING PERIOD]="Every Quarter")*(ExistingImport[Invoice Date]&lt;='Revenue - Existing'!AM$8)*(ExistingImport[Invoice Date]&gt;'Revenue - Existing'!AL$8))</f>
        <v>0</v>
      </c>
      <c r="AN15" s="420" cm="1">
        <f t="array" ref="AN15">SUMPRODUCT((ExistingImport[Invoice Amount])*(ExistingImport[BILLING PERIOD]="Every Quarter")*(ExistingImport[Invoice Date]&lt;='Revenue - Existing'!AN$8)*(ExistingImport[Invoice Date]&gt;'Revenue - Existing'!AM$8))</f>
        <v>0</v>
      </c>
      <c r="AO15" s="420" cm="1">
        <f t="array" ref="AO15">SUMPRODUCT((ExistingImport[Invoice Amount])*(ExistingImport[BILLING PERIOD]="Every Quarter")*(ExistingImport[Invoice Date]&lt;='Revenue - Existing'!AO$8)*(ExistingImport[Invoice Date]&gt;'Revenue - Existing'!AN$8))</f>
        <v>0</v>
      </c>
      <c r="AP15" s="420" cm="1">
        <f t="array" ref="AP15">SUMPRODUCT((ExistingImport[Invoice Amount])*(ExistingImport[BILLING PERIOD]="Every Quarter")*(ExistingImport[Invoice Date]&lt;='Revenue - Existing'!AP$8)*(ExistingImport[Invoice Date]&gt;'Revenue - Existing'!AO$8))</f>
        <v>0</v>
      </c>
      <c r="AQ15" s="420" cm="1">
        <f t="array" ref="AQ15">SUMPRODUCT((ExistingImport[Invoice Amount])*(ExistingImport[BILLING PERIOD]="Every Quarter")*(ExistingImport[Invoice Date]&lt;='Revenue - Existing'!AQ$8)*(ExistingImport[Invoice Date]&gt;'Revenue - Existing'!AP$8))</f>
        <v>0</v>
      </c>
      <c r="AR15" s="420" cm="1">
        <f t="array" ref="AR15">SUMPRODUCT((ExistingImport[Invoice Amount])*(ExistingImport[BILLING PERIOD]="Every Quarter")*(ExistingImport[Invoice Date]&lt;='Revenue - Existing'!AR$8)*(ExistingImport[Invoice Date]&gt;'Revenue - Existing'!AQ$8))</f>
        <v>0</v>
      </c>
      <c r="AS15" s="420" cm="1">
        <f t="array" ref="AS15">SUMPRODUCT((ExistingImport[Invoice Amount])*(ExistingImport[BILLING PERIOD]="Every Quarter")*(ExistingImport[Invoice Date]&lt;='Revenue - Existing'!AS$8)*(ExistingImport[Invoice Date]&gt;'Revenue - Existing'!AR$8))</f>
        <v>0</v>
      </c>
      <c r="AT15" s="420" cm="1">
        <f t="array" ref="AT15">SUMPRODUCT((ExistingImport[Invoice Amount])*(ExistingImport[BILLING PERIOD]="Every Quarter")*(ExistingImport[Invoice Date]&lt;='Revenue - Existing'!AT$8)*(ExistingImport[Invoice Date]&gt;'Revenue - Existing'!AS$8))</f>
        <v>0</v>
      </c>
      <c r="AU15" s="420" cm="1">
        <f t="array" ref="AU15">SUMPRODUCT((ExistingImport[Invoice Amount])*(ExistingImport[BILLING PERIOD]="Every Quarter")*(ExistingImport[Invoice Date]&lt;='Revenue - Existing'!AU$8)*(ExistingImport[Invoice Date]&gt;'Revenue - Existing'!AT$8))</f>
        <v>0</v>
      </c>
      <c r="AV15" s="420" cm="1">
        <f t="array" ref="AV15">SUMPRODUCT((ExistingImport[Invoice Amount])*(ExistingImport[BILLING PERIOD]="Every Quarter")*(ExistingImport[Invoice Date]&lt;='Revenue - Existing'!AV$8)*(ExistingImport[Invoice Date]&gt;'Revenue - Existing'!AU$8))</f>
        <v>0</v>
      </c>
      <c r="AW15" s="420" cm="1">
        <f t="array" ref="AW15">SUMPRODUCT((ExistingImport[Invoice Amount])*(ExistingImport[BILLING PERIOD]="Every Quarter")*(ExistingImport[Invoice Date]&lt;='Revenue - Existing'!AW$8)*(ExistingImport[Invoice Date]&gt;'Revenue - Existing'!AV$8))</f>
        <v>0</v>
      </c>
      <c r="AX15" s="420" cm="1">
        <f t="array" ref="AX15">SUMPRODUCT((ExistingImport[Invoice Amount])*(ExistingImport[BILLING PERIOD]="Every Quarter")*(ExistingImport[Invoice Date]&lt;='Revenue - Existing'!AX$8)*(ExistingImport[Invoice Date]&gt;'Revenue - Existing'!AW$8))</f>
        <v>0</v>
      </c>
      <c r="AY15" s="420" cm="1">
        <f t="array" ref="AY15">SUMPRODUCT((ExistingImport[Invoice Amount])*(ExistingImport[BILLING PERIOD]="Every Quarter")*(ExistingImport[Invoice Date]&lt;='Revenue - Existing'!AY$8)*(ExistingImport[Invoice Date]&gt;'Revenue - Existing'!AX$8))</f>
        <v>14500</v>
      </c>
      <c r="AZ15" s="420" cm="1">
        <f t="array" ref="AZ15">SUMPRODUCT((ExistingImport[Invoice Amount])*(ExistingImport[BILLING PERIOD]="Every Quarter")*(ExistingImport[Invoice Date]&lt;='Revenue - Existing'!AZ$8)*(ExistingImport[Invoice Date]&gt;'Revenue - Existing'!AY$8))</f>
        <v>0</v>
      </c>
      <c r="BA15" s="420" cm="1">
        <f t="array" ref="BA15">SUMPRODUCT((ExistingImport[Invoice Amount])*(ExistingImport[BILLING PERIOD]="Every Quarter")*(ExistingImport[Invoice Date]&lt;='Revenue - Existing'!BA$8)*(ExistingImport[Invoice Date]&gt;'Revenue - Existing'!AZ$8))</f>
        <v>48120</v>
      </c>
      <c r="BB15" s="420" cm="1">
        <f t="array" ref="BB15">SUMPRODUCT((ExistingImport[Invoice Amount])*(ExistingImport[BILLING PERIOD]="Every Quarter")*(ExistingImport[Invoice Date]&lt;='Revenue - Existing'!BB$8)*(ExistingImport[Invoice Date]&gt;'Revenue - Existing'!BA$8))</f>
        <v>29440</v>
      </c>
      <c r="BC15" s="420" cm="1">
        <f t="array" ref="BC15">SUMPRODUCT((ExistingImport[Invoice Amount])*(ExistingImport[BILLING PERIOD]="Every Quarter")*(ExistingImport[Invoice Date]&lt;='Revenue - Existing'!BC$8)*(ExistingImport[Invoice Date]&gt;'Revenue - Existing'!BB$8))</f>
        <v>15480</v>
      </c>
      <c r="BD15" s="420" cm="1">
        <f t="array" ref="BD15">SUMPRODUCT((ExistingImport[Invoice Amount])*(ExistingImport[BILLING PERIOD]="Every Quarter")*(ExistingImport[Invoice Date]&lt;='Revenue - Existing'!BD$8)*(ExistingImport[Invoice Date]&gt;'Revenue - Existing'!BC$8))</f>
        <v>0</v>
      </c>
      <c r="BE15" s="420" cm="1">
        <f t="array" ref="BE15">SUMPRODUCT((ExistingImport[Invoice Amount])*(ExistingImport[BILLING PERIOD]="Every Quarter")*(ExistingImport[Invoice Date]&lt;='Revenue - Existing'!BE$8)*(ExistingImport[Invoice Date]&gt;'Revenue - Existing'!BD$8))</f>
        <v>0</v>
      </c>
      <c r="BF15" s="420" cm="1">
        <f t="array" ref="BF15">SUMPRODUCT((ExistingImport[Invoice Amount])*(ExistingImport[BILLING PERIOD]="Every Quarter")*(ExistingImport[Invoice Date]&lt;='Revenue - Existing'!BF$8)*(ExistingImport[Invoice Date]&gt;'Revenue - Existing'!BE$8))</f>
        <v>0</v>
      </c>
      <c r="BG15" s="420" cm="1">
        <f t="array" ref="BG15">SUMPRODUCT((ExistingImport[Invoice Amount])*(ExistingImport[BILLING PERIOD]="Every Quarter")*(ExistingImport[Invoice Date]&lt;='Revenue - Existing'!BG$8)*(ExistingImport[Invoice Date]&gt;'Revenue - Existing'!BF$8))</f>
        <v>0</v>
      </c>
      <c r="BH15" s="420" cm="1">
        <f t="array" ref="BH15">SUMPRODUCT((ExistingImport[Invoice Amount])*(ExistingImport[BILLING PERIOD]="Every Quarter")*(ExistingImport[Invoice Date]&lt;='Revenue - Existing'!BH$8)*(ExistingImport[Invoice Date]&gt;'Revenue - Existing'!BG$8))</f>
        <v>0</v>
      </c>
      <c r="BI15" s="420" cm="1">
        <f t="array" ref="BI15">SUMPRODUCT((ExistingImport[Invoice Amount])*(ExistingImport[BILLING PERIOD]="Every Quarter")*(ExistingImport[Invoice Date]&lt;='Revenue - Existing'!BI$8)*(ExistingImport[Invoice Date]&gt;'Revenue - Existing'!BH$8))</f>
        <v>0</v>
      </c>
      <c r="BJ15" s="420" cm="1">
        <f t="array" ref="BJ15">SUMPRODUCT((ExistingImport[Invoice Amount])*(ExistingImport[BILLING PERIOD]="Every Quarter")*(ExistingImport[Invoice Date]&lt;='Revenue - Existing'!BJ$8)*(ExistingImport[Invoice Date]&gt;'Revenue - Existing'!BI$8))</f>
        <v>0</v>
      </c>
      <c r="BK15" s="420" cm="1">
        <f t="array" ref="BK15">SUMPRODUCT((ExistingImport[Invoice Amount])*(ExistingImport[BILLING PERIOD]="Every Quarter")*(ExistingImport[Invoice Date]&lt;='Revenue - Existing'!BK$8)*(ExistingImport[Invoice Date]&gt;'Revenue - Existing'!BJ$8))</f>
        <v>0</v>
      </c>
      <c r="BL15" s="420" cm="1">
        <f t="array" ref="BL15">SUMPRODUCT((ExistingImport[Invoice Amount])*(ExistingImport[BILLING PERIOD]="Every Quarter")*(ExistingImport[Invoice Date]&lt;='Revenue - Existing'!BL$8)*(ExistingImport[Invoice Date]&gt;'Revenue - Existing'!BK$8))</f>
        <v>0</v>
      </c>
      <c r="BM15" s="420" cm="1">
        <f t="array" ref="BM15">SUMPRODUCT((ExistingImport[Invoice Amount])*(ExistingImport[BILLING PERIOD]="Every Quarter")*(ExistingImport[Invoice Date]&lt;='Revenue - Existing'!BM$8)*(ExistingImport[Invoice Date]&gt;'Revenue - Existing'!BL$8))</f>
        <v>0</v>
      </c>
      <c r="BN15" s="420" cm="1">
        <f t="array" ref="BN15">SUMPRODUCT((ExistingImport[Invoice Amount])*(ExistingImport[BILLING PERIOD]="Every Quarter")*(ExistingImport[Invoice Date]&lt;='Revenue - Existing'!BN$8)*(ExistingImport[Invoice Date]&gt;'Revenue - Existing'!BM$8))</f>
        <v>0</v>
      </c>
      <c r="BO15" s="420" cm="1">
        <f t="array" ref="BO15">SUMPRODUCT((ExistingImport[Invoice Amount])*(ExistingImport[BILLING PERIOD]="Every Quarter")*(ExistingImport[Invoice Date]&lt;='Revenue - Existing'!BO$8)*(ExistingImport[Invoice Date]&gt;'Revenue - Existing'!BN$8))</f>
        <v>0</v>
      </c>
      <c r="BP15" s="420" cm="1">
        <f t="array" ref="BP15">SUMPRODUCT((ExistingImport[Invoice Amount])*(ExistingImport[BILLING PERIOD]="Every Quarter")*(ExistingImport[Invoice Date]&lt;='Revenue - Existing'!BP$8)*(ExistingImport[Invoice Date]&gt;'Revenue - Existing'!BO$8))</f>
        <v>0</v>
      </c>
      <c r="BQ15" s="420" cm="1">
        <f t="array" ref="BQ15">SUMPRODUCT((ExistingImport[Invoice Amount])*(ExistingImport[BILLING PERIOD]="Every Quarter")*(ExistingImport[Invoice Date]&lt;='Revenue - Existing'!BQ$8)*(ExistingImport[Invoice Date]&gt;'Revenue - Existing'!BP$8))</f>
        <v>0</v>
      </c>
      <c r="BR15" s="420" cm="1">
        <f t="array" ref="BR15">SUMPRODUCT((ExistingImport[Invoice Amount])*(ExistingImport[BILLING PERIOD]="Every Quarter")*(ExistingImport[Invoice Date]&lt;='Revenue - Existing'!BR$8)*(ExistingImport[Invoice Date]&gt;'Revenue - Existing'!BQ$8))</f>
        <v>0</v>
      </c>
      <c r="BS15" s="420" cm="1">
        <f t="array" ref="BS15">SUMPRODUCT((ExistingImport[Invoice Amount])*(ExistingImport[BILLING PERIOD]="Every Quarter")*(ExistingImport[Invoice Date]&lt;='Revenue - Existing'!BS$8)*(ExistingImport[Invoice Date]&gt;'Revenue - Existing'!BR$8))</f>
        <v>0</v>
      </c>
      <c r="BT15" s="420" cm="1">
        <f t="array" ref="BT15">SUMPRODUCT((ExistingImport[Invoice Amount])*(ExistingImport[BILLING PERIOD]="Every Quarter")*(ExistingImport[Invoice Date]&lt;='Revenue - Existing'!BT$8)*(ExistingImport[Invoice Date]&gt;'Revenue - Existing'!BS$8))</f>
        <v>0</v>
      </c>
      <c r="BU15" s="420" cm="1">
        <f t="array" ref="BU15">SUMPRODUCT((ExistingImport[Invoice Amount])*(ExistingImport[BILLING PERIOD]="Every Quarter")*(ExistingImport[Invoice Date]&lt;='Revenue - Existing'!BU$8)*(ExistingImport[Invoice Date]&gt;'Revenue - Existing'!BT$8))</f>
        <v>0</v>
      </c>
      <c r="BV15" s="420" cm="1">
        <f t="array" ref="BV15">SUMPRODUCT((ExistingImport[Invoice Amount])*(ExistingImport[BILLING PERIOD]="Every Quarter")*(ExistingImport[Invoice Date]&lt;='Revenue - Existing'!BV$8)*(ExistingImport[Invoice Date]&gt;'Revenue - Existing'!BU$8))</f>
        <v>0</v>
      </c>
      <c r="BW15" s="420" cm="1">
        <f t="array" ref="BW15">SUMPRODUCT((ExistingImport[Invoice Amount])*(ExistingImport[BILLING PERIOD]="Every Quarter")*(ExistingImport[Invoice Date]&lt;='Revenue - Existing'!BW$8)*(ExistingImport[Invoice Date]&gt;'Revenue - Existing'!BV$8))</f>
        <v>0</v>
      </c>
      <c r="BX15" s="420" cm="1">
        <f t="array" ref="BX15">SUMPRODUCT((ExistingImport[Invoice Amount])*(ExistingImport[BILLING PERIOD]="Every Quarter")*(ExistingImport[Invoice Date]&lt;='Revenue - Existing'!BX$8)*(ExistingImport[Invoice Date]&gt;'Revenue - Existing'!BW$8))</f>
        <v>0</v>
      </c>
      <c r="BY15" s="420" cm="1">
        <f t="array" ref="BY15">SUMPRODUCT((ExistingImport[Invoice Amount])*(ExistingImport[BILLING PERIOD]="Every Quarter")*(ExistingImport[Invoice Date]&lt;='Revenue - Existing'!BY$8)*(ExistingImport[Invoice Date]&gt;'Revenue - Existing'!BX$8))</f>
        <v>0</v>
      </c>
      <c r="BZ15" s="420" cm="1">
        <f t="array" ref="BZ15">SUMPRODUCT((ExistingImport[Invoice Amount])*(ExistingImport[BILLING PERIOD]="Every Quarter")*(ExistingImport[Invoice Date]&lt;='Revenue - Existing'!BZ$8)*(ExistingImport[Invoice Date]&gt;'Revenue - Existing'!BY$8))</f>
        <v>0</v>
      </c>
      <c r="CA15" s="420" cm="1">
        <f t="array" ref="CA15">SUMPRODUCT((ExistingImport[Invoice Amount])*(ExistingImport[BILLING PERIOD]="Every Quarter")*(ExistingImport[Invoice Date]&lt;='Revenue - Existing'!CA$8)*(ExistingImport[Invoice Date]&gt;'Revenue - Existing'!BZ$8))</f>
        <v>0</v>
      </c>
    </row>
    <row r="16" spans="1:79" ht="15" outlineLevel="1">
      <c r="B16" s="367"/>
      <c r="C16" s="365"/>
      <c r="D16" s="419" t="s">
        <v>503</v>
      </c>
      <c r="E16" s="365"/>
      <c r="G16" s="359"/>
      <c r="H16" s="410">
        <f t="shared" si="19"/>
        <v>0</v>
      </c>
      <c r="I16" s="410">
        <f t="shared" si="19"/>
        <v>14500</v>
      </c>
      <c r="J16" s="410">
        <f t="shared" si="19"/>
        <v>430160</v>
      </c>
      <c r="K16" s="410">
        <f t="shared" si="19"/>
        <v>430160</v>
      </c>
      <c r="M16" s="359"/>
      <c r="N16" s="410">
        <f t="shared" si="20"/>
        <v>0</v>
      </c>
      <c r="O16" s="410">
        <f t="shared" si="20"/>
        <v>0</v>
      </c>
      <c r="P16" s="410">
        <f t="shared" si="20"/>
        <v>0</v>
      </c>
      <c r="Q16" s="410">
        <f t="shared" si="20"/>
        <v>0</v>
      </c>
      <c r="R16" s="410">
        <f t="shared" si="20"/>
        <v>0</v>
      </c>
      <c r="S16" s="410">
        <f t="shared" si="20"/>
        <v>0</v>
      </c>
      <c r="T16" s="410">
        <f t="shared" si="20"/>
        <v>0</v>
      </c>
      <c r="U16" s="410">
        <f t="shared" si="20"/>
        <v>14500</v>
      </c>
      <c r="V16" s="410">
        <f t="shared" si="20"/>
        <v>107540</v>
      </c>
      <c r="W16" s="410">
        <f t="shared" si="20"/>
        <v>107540</v>
      </c>
      <c r="X16" s="410">
        <f t="shared" si="20"/>
        <v>107540</v>
      </c>
      <c r="Y16" s="410">
        <f t="shared" si="20"/>
        <v>107540</v>
      </c>
      <c r="Z16" s="410">
        <f t="shared" si="20"/>
        <v>107540</v>
      </c>
      <c r="AA16" s="410">
        <f t="shared" si="20"/>
        <v>107540</v>
      </c>
      <c r="AB16" s="410">
        <f t="shared" si="20"/>
        <v>107540</v>
      </c>
      <c r="AC16" s="410">
        <f t="shared" si="20"/>
        <v>107540</v>
      </c>
      <c r="AE16" s="359"/>
      <c r="AF16" s="418"/>
      <c r="AG16" s="361"/>
      <c r="AH16" s="361"/>
      <c r="AI16" s="361">
        <f t="shared" ref="AI16:CA16" si="21">AF14</f>
        <v>0</v>
      </c>
      <c r="AJ16" s="361">
        <f t="shared" si="21"/>
        <v>0</v>
      </c>
      <c r="AK16" s="361">
        <f t="shared" si="21"/>
        <v>0</v>
      </c>
      <c r="AL16" s="361">
        <f t="shared" si="21"/>
        <v>0</v>
      </c>
      <c r="AM16" s="361">
        <f t="shared" si="21"/>
        <v>0</v>
      </c>
      <c r="AN16" s="361">
        <f t="shared" si="21"/>
        <v>0</v>
      </c>
      <c r="AO16" s="361">
        <f t="shared" si="21"/>
        <v>0</v>
      </c>
      <c r="AP16" s="361">
        <f t="shared" si="21"/>
        <v>0</v>
      </c>
      <c r="AQ16" s="361">
        <f t="shared" si="21"/>
        <v>0</v>
      </c>
      <c r="AR16" s="361">
        <f t="shared" si="21"/>
        <v>0</v>
      </c>
      <c r="AS16" s="361">
        <f t="shared" si="21"/>
        <v>0</v>
      </c>
      <c r="AT16" s="361">
        <f t="shared" si="21"/>
        <v>0</v>
      </c>
      <c r="AU16" s="361">
        <f t="shared" si="21"/>
        <v>0</v>
      </c>
      <c r="AV16" s="361">
        <f t="shared" si="21"/>
        <v>0</v>
      </c>
      <c r="AW16" s="361">
        <f t="shared" si="21"/>
        <v>0</v>
      </c>
      <c r="AX16" s="361">
        <f t="shared" si="21"/>
        <v>0</v>
      </c>
      <c r="AY16" s="361">
        <f t="shared" si="21"/>
        <v>0</v>
      </c>
      <c r="AZ16" s="361">
        <f t="shared" si="21"/>
        <v>0</v>
      </c>
      <c r="BA16" s="361">
        <f t="shared" si="21"/>
        <v>0</v>
      </c>
      <c r="BB16" s="361">
        <f t="shared" si="21"/>
        <v>14500</v>
      </c>
      <c r="BC16" s="361">
        <f t="shared" si="21"/>
        <v>0</v>
      </c>
      <c r="BD16" s="361">
        <f t="shared" si="21"/>
        <v>48120</v>
      </c>
      <c r="BE16" s="361">
        <f t="shared" si="21"/>
        <v>43940</v>
      </c>
      <c r="BF16" s="361">
        <f t="shared" si="21"/>
        <v>15480</v>
      </c>
      <c r="BG16" s="361">
        <f t="shared" si="21"/>
        <v>48120</v>
      </c>
      <c r="BH16" s="361">
        <f t="shared" si="21"/>
        <v>43940</v>
      </c>
      <c r="BI16" s="361">
        <f t="shared" si="21"/>
        <v>15480</v>
      </c>
      <c r="BJ16" s="361">
        <f t="shared" si="21"/>
        <v>48120</v>
      </c>
      <c r="BK16" s="361">
        <f t="shared" si="21"/>
        <v>43940</v>
      </c>
      <c r="BL16" s="361">
        <f t="shared" si="21"/>
        <v>15480</v>
      </c>
      <c r="BM16" s="361">
        <f t="shared" si="21"/>
        <v>48120</v>
      </c>
      <c r="BN16" s="361">
        <f t="shared" si="21"/>
        <v>43940</v>
      </c>
      <c r="BO16" s="361">
        <f t="shared" si="21"/>
        <v>15480</v>
      </c>
      <c r="BP16" s="361">
        <f t="shared" si="21"/>
        <v>48120</v>
      </c>
      <c r="BQ16" s="361">
        <f t="shared" si="21"/>
        <v>43940</v>
      </c>
      <c r="BR16" s="361">
        <f t="shared" si="21"/>
        <v>15480</v>
      </c>
      <c r="BS16" s="361">
        <f t="shared" si="21"/>
        <v>48120</v>
      </c>
      <c r="BT16" s="361">
        <f t="shared" si="21"/>
        <v>43940</v>
      </c>
      <c r="BU16" s="361">
        <f t="shared" si="21"/>
        <v>15480</v>
      </c>
      <c r="BV16" s="361">
        <f t="shared" si="21"/>
        <v>48120</v>
      </c>
      <c r="BW16" s="361">
        <f t="shared" si="21"/>
        <v>43940</v>
      </c>
      <c r="BX16" s="361">
        <f t="shared" si="21"/>
        <v>15480</v>
      </c>
      <c r="BY16" s="361">
        <f t="shared" si="21"/>
        <v>48120</v>
      </c>
      <c r="BZ16" s="361">
        <f t="shared" si="21"/>
        <v>43940</v>
      </c>
      <c r="CA16" s="361">
        <f t="shared" si="21"/>
        <v>15480</v>
      </c>
    </row>
    <row r="17" spans="2:79" outlineLevel="1"/>
    <row r="18" spans="2:79" ht="15" outlineLevel="1">
      <c r="B18" s="367"/>
      <c r="C18" s="365" t="s">
        <v>504</v>
      </c>
      <c r="D18" s="366"/>
      <c r="E18" s="365"/>
      <c r="G18" s="359"/>
      <c r="H18" s="411">
        <f>SUMIFS($AF18:$CA18,$AF$6:$CA$6,H$6)</f>
        <v>0</v>
      </c>
      <c r="I18" s="411">
        <f>SUMIFS($AF18:$CA18,$AF$6:$CA$6,I$6)</f>
        <v>113200</v>
      </c>
      <c r="J18" s="411">
        <f>SUMIFS($AF18:$CA18,$AF$6:$CA$6,J$6)</f>
        <v>113200</v>
      </c>
      <c r="K18" s="411">
        <f>SUMIFS($AF18:$CA18,$AF$6:$CA$6,K$6)</f>
        <v>113200</v>
      </c>
      <c r="M18" s="359"/>
      <c r="N18" s="411">
        <f t="shared" ref="N18:AC18" si="22">SUMIFS($AF18:$CA18,$AF$6:$CA$6,N$6,$AF$7:$CA$7,N$7)</f>
        <v>0</v>
      </c>
      <c r="O18" s="411">
        <f t="shared" si="22"/>
        <v>0</v>
      </c>
      <c r="P18" s="411">
        <f t="shared" si="22"/>
        <v>0</v>
      </c>
      <c r="Q18" s="411">
        <f t="shared" si="22"/>
        <v>0</v>
      </c>
      <c r="R18" s="411">
        <f t="shared" si="22"/>
        <v>0</v>
      </c>
      <c r="S18" s="411">
        <f t="shared" si="22"/>
        <v>0</v>
      </c>
      <c r="T18" s="411">
        <f t="shared" si="22"/>
        <v>75800</v>
      </c>
      <c r="U18" s="411">
        <f t="shared" si="22"/>
        <v>37400</v>
      </c>
      <c r="V18" s="411">
        <f t="shared" si="22"/>
        <v>0</v>
      </c>
      <c r="W18" s="411">
        <f t="shared" si="22"/>
        <v>0</v>
      </c>
      <c r="X18" s="411">
        <f t="shared" si="22"/>
        <v>75800</v>
      </c>
      <c r="Y18" s="411">
        <f t="shared" si="22"/>
        <v>37400</v>
      </c>
      <c r="Z18" s="411">
        <f t="shared" si="22"/>
        <v>0</v>
      </c>
      <c r="AA18" s="411">
        <f t="shared" si="22"/>
        <v>0</v>
      </c>
      <c r="AB18" s="411">
        <f t="shared" si="22"/>
        <v>75800</v>
      </c>
      <c r="AC18" s="411">
        <f t="shared" si="22"/>
        <v>37400</v>
      </c>
      <c r="AE18" s="359"/>
      <c r="AF18" s="411">
        <f t="shared" ref="AF18:CA18" si="23">SUM(AF19:AF20)</f>
        <v>0</v>
      </c>
      <c r="AG18" s="411">
        <f t="shared" si="23"/>
        <v>0</v>
      </c>
      <c r="AH18" s="411">
        <f t="shared" si="23"/>
        <v>0</v>
      </c>
      <c r="AI18" s="411">
        <f t="shared" si="23"/>
        <v>0</v>
      </c>
      <c r="AJ18" s="411">
        <f t="shared" si="23"/>
        <v>0</v>
      </c>
      <c r="AK18" s="411">
        <f t="shared" si="23"/>
        <v>0</v>
      </c>
      <c r="AL18" s="411">
        <f t="shared" si="23"/>
        <v>0</v>
      </c>
      <c r="AM18" s="411">
        <f t="shared" si="23"/>
        <v>0</v>
      </c>
      <c r="AN18" s="411">
        <f t="shared" si="23"/>
        <v>0</v>
      </c>
      <c r="AO18" s="411">
        <f t="shared" si="23"/>
        <v>0</v>
      </c>
      <c r="AP18" s="411">
        <f t="shared" si="23"/>
        <v>0</v>
      </c>
      <c r="AQ18" s="411">
        <f t="shared" si="23"/>
        <v>0</v>
      </c>
      <c r="AR18" s="411">
        <f t="shared" si="23"/>
        <v>0</v>
      </c>
      <c r="AS18" s="411">
        <f t="shared" si="23"/>
        <v>0</v>
      </c>
      <c r="AT18" s="411">
        <f t="shared" si="23"/>
        <v>0</v>
      </c>
      <c r="AU18" s="411">
        <f t="shared" si="23"/>
        <v>0</v>
      </c>
      <c r="AV18" s="411">
        <f t="shared" si="23"/>
        <v>0</v>
      </c>
      <c r="AW18" s="411">
        <f t="shared" si="23"/>
        <v>0</v>
      </c>
      <c r="AX18" s="411">
        <f t="shared" si="23"/>
        <v>0</v>
      </c>
      <c r="AY18" s="411">
        <f t="shared" si="23"/>
        <v>40800</v>
      </c>
      <c r="AZ18" s="411">
        <f t="shared" si="23"/>
        <v>35000</v>
      </c>
      <c r="BA18" s="411">
        <f t="shared" si="23"/>
        <v>0</v>
      </c>
      <c r="BB18" s="411">
        <f t="shared" si="23"/>
        <v>37400</v>
      </c>
      <c r="BC18" s="411">
        <f t="shared" si="23"/>
        <v>0</v>
      </c>
      <c r="BD18" s="411">
        <f t="shared" si="23"/>
        <v>0</v>
      </c>
      <c r="BE18" s="411">
        <f t="shared" si="23"/>
        <v>0</v>
      </c>
      <c r="BF18" s="411">
        <f t="shared" si="23"/>
        <v>0</v>
      </c>
      <c r="BG18" s="411">
        <f t="shared" si="23"/>
        <v>0</v>
      </c>
      <c r="BH18" s="411">
        <f t="shared" si="23"/>
        <v>0</v>
      </c>
      <c r="BI18" s="411">
        <f t="shared" si="23"/>
        <v>0</v>
      </c>
      <c r="BJ18" s="411">
        <f t="shared" si="23"/>
        <v>0</v>
      </c>
      <c r="BK18" s="411">
        <f t="shared" si="23"/>
        <v>40800</v>
      </c>
      <c r="BL18" s="411">
        <f t="shared" si="23"/>
        <v>35000</v>
      </c>
      <c r="BM18" s="411">
        <f t="shared" si="23"/>
        <v>0</v>
      </c>
      <c r="BN18" s="411">
        <f t="shared" si="23"/>
        <v>37400</v>
      </c>
      <c r="BO18" s="411">
        <f t="shared" si="23"/>
        <v>0</v>
      </c>
      <c r="BP18" s="411">
        <f t="shared" si="23"/>
        <v>0</v>
      </c>
      <c r="BQ18" s="411">
        <f t="shared" si="23"/>
        <v>0</v>
      </c>
      <c r="BR18" s="411">
        <f t="shared" si="23"/>
        <v>0</v>
      </c>
      <c r="BS18" s="411">
        <f t="shared" si="23"/>
        <v>0</v>
      </c>
      <c r="BT18" s="411">
        <f t="shared" si="23"/>
        <v>0</v>
      </c>
      <c r="BU18" s="411">
        <f t="shared" si="23"/>
        <v>0</v>
      </c>
      <c r="BV18" s="411">
        <f t="shared" si="23"/>
        <v>0</v>
      </c>
      <c r="BW18" s="411">
        <f t="shared" si="23"/>
        <v>40800</v>
      </c>
      <c r="BX18" s="411">
        <f t="shared" si="23"/>
        <v>35000</v>
      </c>
      <c r="BY18" s="411">
        <f t="shared" si="23"/>
        <v>0</v>
      </c>
      <c r="BZ18" s="411">
        <f t="shared" si="23"/>
        <v>37400</v>
      </c>
      <c r="CA18" s="411">
        <f t="shared" si="23"/>
        <v>0</v>
      </c>
    </row>
    <row r="19" spans="2:79" ht="15" outlineLevel="1">
      <c r="B19" s="367"/>
      <c r="C19" s="365"/>
      <c r="D19" s="419" t="s">
        <v>502</v>
      </c>
      <c r="E19" s="365"/>
      <c r="G19" s="359"/>
      <c r="H19" s="410">
        <f t="shared" ref="H19:K20" si="24">SUMIFS($AF19:$CA19,$AF$4:$CA$4,"&gt;="&amp;H$4,$AF$5:$CA$5,"&lt;="&amp;H$5)</f>
        <v>0</v>
      </c>
      <c r="I19" s="410">
        <f t="shared" si="24"/>
        <v>113200</v>
      </c>
      <c r="J19" s="410">
        <f t="shared" si="24"/>
        <v>0</v>
      </c>
      <c r="K19" s="410">
        <f t="shared" si="24"/>
        <v>0</v>
      </c>
      <c r="M19" s="359"/>
      <c r="N19" s="410">
        <f t="shared" ref="N19:AC20" si="25">SUMIFS($AF19:$CA19,$AF$4:$CA$4,"&gt;="&amp;N$4,$AF$5:$CA$5,"&lt;="&amp;N$5)</f>
        <v>0</v>
      </c>
      <c r="O19" s="410">
        <f t="shared" si="25"/>
        <v>0</v>
      </c>
      <c r="P19" s="410">
        <f t="shared" si="25"/>
        <v>0</v>
      </c>
      <c r="Q19" s="410">
        <f t="shared" si="25"/>
        <v>0</v>
      </c>
      <c r="R19" s="410">
        <f t="shared" si="25"/>
        <v>0</v>
      </c>
      <c r="S19" s="410">
        <f t="shared" si="25"/>
        <v>0</v>
      </c>
      <c r="T19" s="410">
        <f t="shared" si="25"/>
        <v>75800</v>
      </c>
      <c r="U19" s="410">
        <f t="shared" si="25"/>
        <v>37400</v>
      </c>
      <c r="V19" s="410">
        <f t="shared" si="25"/>
        <v>0</v>
      </c>
      <c r="W19" s="410">
        <f t="shared" si="25"/>
        <v>0</v>
      </c>
      <c r="X19" s="410">
        <f t="shared" si="25"/>
        <v>0</v>
      </c>
      <c r="Y19" s="410">
        <f t="shared" si="25"/>
        <v>0</v>
      </c>
      <c r="Z19" s="410">
        <f t="shared" si="25"/>
        <v>0</v>
      </c>
      <c r="AA19" s="410">
        <f t="shared" si="25"/>
        <v>0</v>
      </c>
      <c r="AB19" s="410">
        <f t="shared" si="25"/>
        <v>0</v>
      </c>
      <c r="AC19" s="410">
        <f t="shared" si="25"/>
        <v>0</v>
      </c>
      <c r="AE19" s="359"/>
      <c r="AF19" s="420" cm="1">
        <f t="array" ref="AF19">SUMPRODUCT((ExistingImport[Invoice Amount])*(ExistingImport[BILLING PERIOD]="Every Year")*(ExistingImport[Invoice Date]&lt;='Revenue - Existing'!AF$8)*(ExistingImport[Invoice Date]&gt;'Revenue - Existing'!AE$8))</f>
        <v>0</v>
      </c>
      <c r="AG19" s="420" cm="1">
        <f t="array" ref="AG19">SUMPRODUCT((ExistingImport[Invoice Amount])*(ExistingImport[BILLING PERIOD]="Every Year")*(ExistingImport[Invoice Date]&lt;='Revenue - Existing'!AG$8)*(ExistingImport[Invoice Date]&gt;'Revenue - Existing'!AF$8))</f>
        <v>0</v>
      </c>
      <c r="AH19" s="420" cm="1">
        <f t="array" ref="AH19">SUMPRODUCT((ExistingImport[Invoice Amount])*(ExistingImport[BILLING PERIOD]="Every Year")*(ExistingImport[Invoice Date]&lt;='Revenue - Existing'!AH$8)*(ExistingImport[Invoice Date]&gt;'Revenue - Existing'!AG$8))</f>
        <v>0</v>
      </c>
      <c r="AI19" s="420" cm="1">
        <f t="array" ref="AI19">SUMPRODUCT((ExistingImport[Invoice Amount])*(ExistingImport[BILLING PERIOD]="Every Year")*(ExistingImport[Invoice Date]&lt;='Revenue - Existing'!AI$8)*(ExistingImport[Invoice Date]&gt;'Revenue - Existing'!AH$8))</f>
        <v>0</v>
      </c>
      <c r="AJ19" s="420" cm="1">
        <f t="array" ref="AJ19">SUMPRODUCT((ExistingImport[Invoice Amount])*(ExistingImport[BILLING PERIOD]="Every Year")*(ExistingImport[Invoice Date]&lt;='Revenue - Existing'!AJ$8)*(ExistingImport[Invoice Date]&gt;'Revenue - Existing'!AI$8))</f>
        <v>0</v>
      </c>
      <c r="AK19" s="420" cm="1">
        <f t="array" ref="AK19">SUMPRODUCT((ExistingImport[Invoice Amount])*(ExistingImport[BILLING PERIOD]="Every Year")*(ExistingImport[Invoice Date]&lt;='Revenue - Existing'!AK$8)*(ExistingImport[Invoice Date]&gt;'Revenue - Existing'!AJ$8))</f>
        <v>0</v>
      </c>
      <c r="AL19" s="420" cm="1">
        <f t="array" ref="AL19">SUMPRODUCT((ExistingImport[Invoice Amount])*(ExistingImport[BILLING PERIOD]="Every Year")*(ExistingImport[Invoice Date]&lt;='Revenue - Existing'!AL$8)*(ExistingImport[Invoice Date]&gt;'Revenue - Existing'!AK$8))</f>
        <v>0</v>
      </c>
      <c r="AM19" s="420" cm="1">
        <f t="array" ref="AM19">SUMPRODUCT((ExistingImport[Invoice Amount])*(ExistingImport[BILLING PERIOD]="Every Year")*(ExistingImport[Invoice Date]&lt;='Revenue - Existing'!AM$8)*(ExistingImport[Invoice Date]&gt;'Revenue - Existing'!AL$8))</f>
        <v>0</v>
      </c>
      <c r="AN19" s="420" cm="1">
        <f t="array" ref="AN19">SUMPRODUCT((ExistingImport[Invoice Amount])*(ExistingImport[BILLING PERIOD]="Every Year")*(ExistingImport[Invoice Date]&lt;='Revenue - Existing'!AN$8)*(ExistingImport[Invoice Date]&gt;'Revenue - Existing'!AM$8))</f>
        <v>0</v>
      </c>
      <c r="AO19" s="420" cm="1">
        <f t="array" ref="AO19">SUMPRODUCT((ExistingImport[Invoice Amount])*(ExistingImport[BILLING PERIOD]="Every Year")*(ExistingImport[Invoice Date]&lt;='Revenue - Existing'!AO$8)*(ExistingImport[Invoice Date]&gt;'Revenue - Existing'!AN$8))</f>
        <v>0</v>
      </c>
      <c r="AP19" s="420" cm="1">
        <f t="array" ref="AP19">SUMPRODUCT((ExistingImport[Invoice Amount])*(ExistingImport[BILLING PERIOD]="Every Year")*(ExistingImport[Invoice Date]&lt;='Revenue - Existing'!AP$8)*(ExistingImport[Invoice Date]&gt;'Revenue - Existing'!AO$8))</f>
        <v>0</v>
      </c>
      <c r="AQ19" s="420" cm="1">
        <f t="array" ref="AQ19">SUMPRODUCT((ExistingImport[Invoice Amount])*(ExistingImport[BILLING PERIOD]="Every Year")*(ExistingImport[Invoice Date]&lt;='Revenue - Existing'!AQ$8)*(ExistingImport[Invoice Date]&gt;'Revenue - Existing'!AP$8))</f>
        <v>0</v>
      </c>
      <c r="AR19" s="420" cm="1">
        <f t="array" ref="AR19">SUMPRODUCT((ExistingImport[Invoice Amount])*(ExistingImport[BILLING PERIOD]="Every Year")*(ExistingImport[Invoice Date]&lt;='Revenue - Existing'!AR$8)*(ExistingImport[Invoice Date]&gt;'Revenue - Existing'!AQ$8))</f>
        <v>0</v>
      </c>
      <c r="AS19" s="420" cm="1">
        <f t="array" ref="AS19">SUMPRODUCT((ExistingImport[Invoice Amount])*(ExistingImport[BILLING PERIOD]="Every Year")*(ExistingImport[Invoice Date]&lt;='Revenue - Existing'!AS$8)*(ExistingImport[Invoice Date]&gt;'Revenue - Existing'!AR$8))</f>
        <v>0</v>
      </c>
      <c r="AT19" s="420" cm="1">
        <f t="array" ref="AT19">SUMPRODUCT((ExistingImport[Invoice Amount])*(ExistingImport[BILLING PERIOD]="Every Year")*(ExistingImport[Invoice Date]&lt;='Revenue - Existing'!AT$8)*(ExistingImport[Invoice Date]&gt;'Revenue - Existing'!AS$8))</f>
        <v>0</v>
      </c>
      <c r="AU19" s="420" cm="1">
        <f t="array" ref="AU19">SUMPRODUCT((ExistingImport[Invoice Amount])*(ExistingImport[BILLING PERIOD]="Every Year")*(ExistingImport[Invoice Date]&lt;='Revenue - Existing'!AU$8)*(ExistingImport[Invoice Date]&gt;'Revenue - Existing'!AT$8))</f>
        <v>0</v>
      </c>
      <c r="AV19" s="420" cm="1">
        <f t="array" ref="AV19">SUMPRODUCT((ExistingImport[Invoice Amount])*(ExistingImport[BILLING PERIOD]="Every Year")*(ExistingImport[Invoice Date]&lt;='Revenue - Existing'!AV$8)*(ExistingImport[Invoice Date]&gt;'Revenue - Existing'!AU$8))</f>
        <v>0</v>
      </c>
      <c r="AW19" s="420" cm="1">
        <f t="array" ref="AW19">SUMPRODUCT((ExistingImport[Invoice Amount])*(ExistingImport[BILLING PERIOD]="Every Year")*(ExistingImport[Invoice Date]&lt;='Revenue - Existing'!AW$8)*(ExistingImport[Invoice Date]&gt;'Revenue - Existing'!AV$8))</f>
        <v>0</v>
      </c>
      <c r="AX19" s="420" cm="1">
        <f t="array" ref="AX19">SUMPRODUCT((ExistingImport[Invoice Amount])*(ExistingImport[BILLING PERIOD]="Every Year")*(ExistingImport[Invoice Date]&lt;='Revenue - Existing'!AX$8)*(ExistingImport[Invoice Date]&gt;'Revenue - Existing'!AW$8))</f>
        <v>0</v>
      </c>
      <c r="AY19" s="420" cm="1">
        <f t="array" ref="AY19">SUMPRODUCT((ExistingImport[Invoice Amount])*(ExistingImport[BILLING PERIOD]="Every Year")*(ExistingImport[Invoice Date]&lt;='Revenue - Existing'!AY$8)*(ExistingImport[Invoice Date]&gt;'Revenue - Existing'!AX$8))</f>
        <v>40800</v>
      </c>
      <c r="AZ19" s="420" cm="1">
        <f t="array" ref="AZ19">SUMPRODUCT((ExistingImport[Invoice Amount])*(ExistingImport[BILLING PERIOD]="Every Year")*(ExistingImport[Invoice Date]&lt;='Revenue - Existing'!AZ$8)*(ExistingImport[Invoice Date]&gt;'Revenue - Existing'!AY$8))</f>
        <v>35000</v>
      </c>
      <c r="BA19" s="420" cm="1">
        <f t="array" ref="BA19">SUMPRODUCT((ExistingImport[Invoice Amount])*(ExistingImport[BILLING PERIOD]="Every Year")*(ExistingImport[Invoice Date]&lt;='Revenue - Existing'!BA$8)*(ExistingImport[Invoice Date]&gt;'Revenue - Existing'!AZ$8))</f>
        <v>0</v>
      </c>
      <c r="BB19" s="420" cm="1">
        <f t="array" ref="BB19">SUMPRODUCT((ExistingImport[Invoice Amount])*(ExistingImport[BILLING PERIOD]="Every Year")*(ExistingImport[Invoice Date]&lt;='Revenue - Existing'!BB$8)*(ExistingImport[Invoice Date]&gt;'Revenue - Existing'!BA$8))</f>
        <v>37400</v>
      </c>
      <c r="BC19" s="420" cm="1">
        <f t="array" ref="BC19">SUMPRODUCT((ExistingImport[Invoice Amount])*(ExistingImport[BILLING PERIOD]="Every Year")*(ExistingImport[Invoice Date]&lt;='Revenue - Existing'!BC$8)*(ExistingImport[Invoice Date]&gt;'Revenue - Existing'!BB$8))</f>
        <v>0</v>
      </c>
      <c r="BD19" s="420" cm="1">
        <f t="array" ref="BD19">SUMPRODUCT((ExistingImport[Invoice Amount])*(ExistingImport[BILLING PERIOD]="Every Year")*(ExistingImport[Invoice Date]&lt;='Revenue - Existing'!BD$8)*(ExistingImport[Invoice Date]&gt;'Revenue - Existing'!BC$8))</f>
        <v>0</v>
      </c>
      <c r="BE19" s="420" cm="1">
        <f t="array" ref="BE19">SUMPRODUCT((ExistingImport[Invoice Amount])*(ExistingImport[BILLING PERIOD]="Every Year")*(ExistingImport[Invoice Date]&lt;='Revenue - Existing'!BE$8)*(ExistingImport[Invoice Date]&gt;'Revenue - Existing'!BD$8))</f>
        <v>0</v>
      </c>
      <c r="BF19" s="420" cm="1">
        <f t="array" ref="BF19">SUMPRODUCT((ExistingImport[Invoice Amount])*(ExistingImport[BILLING PERIOD]="Every Year")*(ExistingImport[Invoice Date]&lt;='Revenue - Existing'!BF$8)*(ExistingImport[Invoice Date]&gt;'Revenue - Existing'!BE$8))</f>
        <v>0</v>
      </c>
      <c r="BG19" s="420" cm="1">
        <f t="array" ref="BG19">SUMPRODUCT((ExistingImport[Invoice Amount])*(ExistingImport[BILLING PERIOD]="Every Year")*(ExistingImport[Invoice Date]&lt;='Revenue - Existing'!BG$8)*(ExistingImport[Invoice Date]&gt;'Revenue - Existing'!BF$8))</f>
        <v>0</v>
      </c>
      <c r="BH19" s="420" cm="1">
        <f t="array" ref="BH19">SUMPRODUCT((ExistingImport[Invoice Amount])*(ExistingImport[BILLING PERIOD]="Every Year")*(ExistingImport[Invoice Date]&lt;='Revenue - Existing'!BH$8)*(ExistingImport[Invoice Date]&gt;'Revenue - Existing'!BG$8))</f>
        <v>0</v>
      </c>
      <c r="BI19" s="420" cm="1">
        <f t="array" ref="BI19">SUMPRODUCT((ExistingImport[Invoice Amount])*(ExistingImport[BILLING PERIOD]="Every Year")*(ExistingImport[Invoice Date]&lt;='Revenue - Existing'!BI$8)*(ExistingImport[Invoice Date]&gt;'Revenue - Existing'!BH$8))</f>
        <v>0</v>
      </c>
      <c r="BJ19" s="420" cm="1">
        <f t="array" ref="BJ19">SUMPRODUCT((ExistingImport[Invoice Amount])*(ExistingImport[BILLING PERIOD]="Every Year")*(ExistingImport[Invoice Date]&lt;='Revenue - Existing'!BJ$8)*(ExistingImport[Invoice Date]&gt;'Revenue - Existing'!BI$8))</f>
        <v>0</v>
      </c>
      <c r="BK19" s="420" cm="1">
        <f t="array" ref="BK19">SUMPRODUCT((ExistingImport[Invoice Amount])*(ExistingImport[BILLING PERIOD]="Every Year")*(ExistingImport[Invoice Date]&lt;='Revenue - Existing'!BK$8)*(ExistingImport[Invoice Date]&gt;'Revenue - Existing'!BJ$8))</f>
        <v>0</v>
      </c>
      <c r="BL19" s="420" cm="1">
        <f t="array" ref="BL19">SUMPRODUCT((ExistingImport[Invoice Amount])*(ExistingImport[BILLING PERIOD]="Every Year")*(ExistingImport[Invoice Date]&lt;='Revenue - Existing'!BL$8)*(ExistingImport[Invoice Date]&gt;'Revenue - Existing'!BK$8))</f>
        <v>0</v>
      </c>
      <c r="BM19" s="420" cm="1">
        <f t="array" ref="BM19">SUMPRODUCT((ExistingImport[Invoice Amount])*(ExistingImport[BILLING PERIOD]="Every Year")*(ExistingImport[Invoice Date]&lt;='Revenue - Existing'!BM$8)*(ExistingImport[Invoice Date]&gt;'Revenue - Existing'!BL$8))</f>
        <v>0</v>
      </c>
      <c r="BN19" s="420" cm="1">
        <f t="array" ref="BN19">SUMPRODUCT((ExistingImport[Invoice Amount])*(ExistingImport[BILLING PERIOD]="Every Year")*(ExistingImport[Invoice Date]&lt;='Revenue - Existing'!BN$8)*(ExistingImport[Invoice Date]&gt;'Revenue - Existing'!BM$8))</f>
        <v>0</v>
      </c>
      <c r="BO19" s="420" cm="1">
        <f t="array" ref="BO19">SUMPRODUCT((ExistingImport[Invoice Amount])*(ExistingImport[BILLING PERIOD]="Every Year")*(ExistingImport[Invoice Date]&lt;='Revenue - Existing'!BO$8)*(ExistingImport[Invoice Date]&gt;'Revenue - Existing'!BN$8))</f>
        <v>0</v>
      </c>
      <c r="BP19" s="420" cm="1">
        <f t="array" ref="BP19">SUMPRODUCT((ExistingImport[Invoice Amount])*(ExistingImport[BILLING PERIOD]="Every Year")*(ExistingImport[Invoice Date]&lt;='Revenue - Existing'!BP$8)*(ExistingImport[Invoice Date]&gt;'Revenue - Existing'!BO$8))</f>
        <v>0</v>
      </c>
      <c r="BQ19" s="420" cm="1">
        <f t="array" ref="BQ19">SUMPRODUCT((ExistingImport[Invoice Amount])*(ExistingImport[BILLING PERIOD]="Every Year")*(ExistingImport[Invoice Date]&lt;='Revenue - Existing'!BQ$8)*(ExistingImport[Invoice Date]&gt;'Revenue - Existing'!BP$8))</f>
        <v>0</v>
      </c>
      <c r="BR19" s="420" cm="1">
        <f t="array" ref="BR19">SUMPRODUCT((ExistingImport[Invoice Amount])*(ExistingImport[BILLING PERIOD]="Every Year")*(ExistingImport[Invoice Date]&lt;='Revenue - Existing'!BR$8)*(ExistingImport[Invoice Date]&gt;'Revenue - Existing'!BQ$8))</f>
        <v>0</v>
      </c>
      <c r="BS19" s="420" cm="1">
        <f t="array" ref="BS19">SUMPRODUCT((ExistingImport[Invoice Amount])*(ExistingImport[BILLING PERIOD]="Every Year")*(ExistingImport[Invoice Date]&lt;='Revenue - Existing'!BS$8)*(ExistingImport[Invoice Date]&gt;'Revenue - Existing'!BR$8))</f>
        <v>0</v>
      </c>
      <c r="BT19" s="420" cm="1">
        <f t="array" ref="BT19">SUMPRODUCT((ExistingImport[Invoice Amount])*(ExistingImport[BILLING PERIOD]="Every Year")*(ExistingImport[Invoice Date]&lt;='Revenue - Existing'!BT$8)*(ExistingImport[Invoice Date]&gt;'Revenue - Existing'!BS$8))</f>
        <v>0</v>
      </c>
      <c r="BU19" s="420" cm="1">
        <f t="array" ref="BU19">SUMPRODUCT((ExistingImport[Invoice Amount])*(ExistingImport[BILLING PERIOD]="Every Year")*(ExistingImport[Invoice Date]&lt;='Revenue - Existing'!BU$8)*(ExistingImport[Invoice Date]&gt;'Revenue - Existing'!BT$8))</f>
        <v>0</v>
      </c>
      <c r="BV19" s="420" cm="1">
        <f t="array" ref="BV19">SUMPRODUCT((ExistingImport[Invoice Amount])*(ExistingImport[BILLING PERIOD]="Every Year")*(ExistingImport[Invoice Date]&lt;='Revenue - Existing'!BV$8)*(ExistingImport[Invoice Date]&gt;'Revenue - Existing'!BU$8))</f>
        <v>0</v>
      </c>
      <c r="BW19" s="420" cm="1">
        <f t="array" ref="BW19">SUMPRODUCT((ExistingImport[Invoice Amount])*(ExistingImport[BILLING PERIOD]="Every Year")*(ExistingImport[Invoice Date]&lt;='Revenue - Existing'!BW$8)*(ExistingImport[Invoice Date]&gt;'Revenue - Existing'!BV$8))</f>
        <v>0</v>
      </c>
      <c r="BX19" s="420" cm="1">
        <f t="array" ref="BX19">SUMPRODUCT((ExistingImport[Invoice Amount])*(ExistingImport[BILLING PERIOD]="Every Year")*(ExistingImport[Invoice Date]&lt;='Revenue - Existing'!BX$8)*(ExistingImport[Invoice Date]&gt;'Revenue - Existing'!BW$8))</f>
        <v>0</v>
      </c>
      <c r="BY19" s="420" cm="1">
        <f t="array" ref="BY19">SUMPRODUCT((ExistingImport[Invoice Amount])*(ExistingImport[BILLING PERIOD]="Every Year")*(ExistingImport[Invoice Date]&lt;='Revenue - Existing'!BY$8)*(ExistingImport[Invoice Date]&gt;'Revenue - Existing'!BX$8))</f>
        <v>0</v>
      </c>
      <c r="BZ19" s="420" cm="1">
        <f t="array" ref="BZ19">SUMPRODUCT((ExistingImport[Invoice Amount])*(ExistingImport[BILLING PERIOD]="Every Year")*(ExistingImport[Invoice Date]&lt;='Revenue - Existing'!BZ$8)*(ExistingImport[Invoice Date]&gt;'Revenue - Existing'!BY$8))</f>
        <v>0</v>
      </c>
      <c r="CA19" s="420" cm="1">
        <f t="array" ref="CA19">SUMPRODUCT((ExistingImport[Invoice Amount])*(ExistingImport[BILLING PERIOD]="Every Year")*(ExistingImport[Invoice Date]&lt;='Revenue - Existing'!CA$8)*(ExistingImport[Invoice Date]&gt;'Revenue - Existing'!BZ$8))</f>
        <v>0</v>
      </c>
    </row>
    <row r="20" spans="2:79" ht="15" outlineLevel="1">
      <c r="B20" s="367"/>
      <c r="C20" s="365"/>
      <c r="D20" s="419" t="s">
        <v>503</v>
      </c>
      <c r="E20" s="365"/>
      <c r="G20" s="359"/>
      <c r="H20" s="410">
        <f t="shared" si="24"/>
        <v>0</v>
      </c>
      <c r="I20" s="410">
        <f t="shared" si="24"/>
        <v>0</v>
      </c>
      <c r="J20" s="410">
        <f t="shared" si="24"/>
        <v>113200</v>
      </c>
      <c r="K20" s="410">
        <f t="shared" si="24"/>
        <v>113200</v>
      </c>
      <c r="M20" s="359"/>
      <c r="N20" s="410">
        <f t="shared" si="25"/>
        <v>0</v>
      </c>
      <c r="O20" s="410">
        <f t="shared" si="25"/>
        <v>0</v>
      </c>
      <c r="P20" s="410">
        <f t="shared" si="25"/>
        <v>0</v>
      </c>
      <c r="Q20" s="410">
        <f t="shared" si="25"/>
        <v>0</v>
      </c>
      <c r="R20" s="410">
        <f t="shared" si="25"/>
        <v>0</v>
      </c>
      <c r="S20" s="410">
        <f t="shared" si="25"/>
        <v>0</v>
      </c>
      <c r="T20" s="410">
        <f t="shared" si="25"/>
        <v>0</v>
      </c>
      <c r="U20" s="410">
        <f t="shared" si="25"/>
        <v>0</v>
      </c>
      <c r="V20" s="410">
        <f t="shared" si="25"/>
        <v>0</v>
      </c>
      <c r="W20" s="410">
        <f t="shared" si="25"/>
        <v>0</v>
      </c>
      <c r="X20" s="410">
        <f t="shared" si="25"/>
        <v>75800</v>
      </c>
      <c r="Y20" s="410">
        <f t="shared" si="25"/>
        <v>37400</v>
      </c>
      <c r="Z20" s="410">
        <f t="shared" si="25"/>
        <v>0</v>
      </c>
      <c r="AA20" s="410">
        <f t="shared" si="25"/>
        <v>0</v>
      </c>
      <c r="AB20" s="410">
        <f t="shared" si="25"/>
        <v>75800</v>
      </c>
      <c r="AC20" s="410">
        <f t="shared" si="25"/>
        <v>37400</v>
      </c>
      <c r="AE20" s="359"/>
      <c r="AF20" s="418"/>
      <c r="AG20" s="361"/>
      <c r="AH20" s="361"/>
      <c r="AI20" s="361"/>
      <c r="AJ20" s="361"/>
      <c r="AK20" s="361"/>
      <c r="AL20" s="361"/>
      <c r="AM20" s="361"/>
      <c r="AN20" s="361"/>
      <c r="AO20" s="361"/>
      <c r="AP20" s="361"/>
      <c r="AQ20" s="361"/>
      <c r="AR20" s="361">
        <f t="shared" ref="AR20:CA20" si="26">AF18</f>
        <v>0</v>
      </c>
      <c r="AS20" s="361">
        <f t="shared" si="26"/>
        <v>0</v>
      </c>
      <c r="AT20" s="361">
        <f t="shared" si="26"/>
        <v>0</v>
      </c>
      <c r="AU20" s="361">
        <f t="shared" si="26"/>
        <v>0</v>
      </c>
      <c r="AV20" s="361">
        <f t="shared" si="26"/>
        <v>0</v>
      </c>
      <c r="AW20" s="361">
        <f t="shared" si="26"/>
        <v>0</v>
      </c>
      <c r="AX20" s="361">
        <f t="shared" si="26"/>
        <v>0</v>
      </c>
      <c r="AY20" s="361">
        <f t="shared" si="26"/>
        <v>0</v>
      </c>
      <c r="AZ20" s="361">
        <f t="shared" si="26"/>
        <v>0</v>
      </c>
      <c r="BA20" s="361">
        <f t="shared" si="26"/>
        <v>0</v>
      </c>
      <c r="BB20" s="361">
        <f t="shared" si="26"/>
        <v>0</v>
      </c>
      <c r="BC20" s="361">
        <f t="shared" si="26"/>
        <v>0</v>
      </c>
      <c r="BD20" s="361">
        <f t="shared" si="26"/>
        <v>0</v>
      </c>
      <c r="BE20" s="361">
        <f t="shared" si="26"/>
        <v>0</v>
      </c>
      <c r="BF20" s="361">
        <f t="shared" si="26"/>
        <v>0</v>
      </c>
      <c r="BG20" s="361">
        <f t="shared" si="26"/>
        <v>0</v>
      </c>
      <c r="BH20" s="361">
        <f t="shared" si="26"/>
        <v>0</v>
      </c>
      <c r="BI20" s="361">
        <f t="shared" si="26"/>
        <v>0</v>
      </c>
      <c r="BJ20" s="361">
        <f t="shared" si="26"/>
        <v>0</v>
      </c>
      <c r="BK20" s="361">
        <f t="shared" si="26"/>
        <v>40800</v>
      </c>
      <c r="BL20" s="361">
        <f t="shared" si="26"/>
        <v>35000</v>
      </c>
      <c r="BM20" s="361">
        <f t="shared" si="26"/>
        <v>0</v>
      </c>
      <c r="BN20" s="361">
        <f t="shared" si="26"/>
        <v>37400</v>
      </c>
      <c r="BO20" s="361">
        <f t="shared" si="26"/>
        <v>0</v>
      </c>
      <c r="BP20" s="361">
        <f t="shared" si="26"/>
        <v>0</v>
      </c>
      <c r="BQ20" s="361">
        <f t="shared" si="26"/>
        <v>0</v>
      </c>
      <c r="BR20" s="361">
        <f t="shared" si="26"/>
        <v>0</v>
      </c>
      <c r="BS20" s="361">
        <f t="shared" si="26"/>
        <v>0</v>
      </c>
      <c r="BT20" s="361">
        <f t="shared" si="26"/>
        <v>0</v>
      </c>
      <c r="BU20" s="361">
        <f t="shared" si="26"/>
        <v>0</v>
      </c>
      <c r="BV20" s="361">
        <f t="shared" si="26"/>
        <v>0</v>
      </c>
      <c r="BW20" s="361">
        <f t="shared" si="26"/>
        <v>40800</v>
      </c>
      <c r="BX20" s="361">
        <f t="shared" si="26"/>
        <v>35000</v>
      </c>
      <c r="BY20" s="361">
        <f t="shared" si="26"/>
        <v>0</v>
      </c>
      <c r="BZ20" s="361">
        <f t="shared" si="26"/>
        <v>37400</v>
      </c>
      <c r="CA20" s="361">
        <f t="shared" si="26"/>
        <v>0</v>
      </c>
    </row>
    <row r="21" spans="2:79" outlineLevel="1">
      <c r="G21" s="359"/>
      <c r="M21" s="359"/>
      <c r="AE21" s="359"/>
    </row>
    <row r="22" spans="2:79" s="357" customFormat="1" ht="15" outlineLevel="1">
      <c r="B22" s="367"/>
      <c r="C22" s="360" t="s">
        <v>421</v>
      </c>
      <c r="D22" s="365"/>
      <c r="E22" s="366"/>
      <c r="F22" s="50"/>
      <c r="G22" s="359"/>
      <c r="H22" s="364">
        <f>H10+H14+H18</f>
        <v>0</v>
      </c>
      <c r="I22" s="364">
        <f>I10+I14+I18</f>
        <v>303320</v>
      </c>
      <c r="J22" s="364">
        <f>J10+J14+J18</f>
        <v>878640</v>
      </c>
      <c r="K22" s="364">
        <f>K10+K14+K18</f>
        <v>878640</v>
      </c>
      <c r="L22" s="358"/>
      <c r="M22" s="359"/>
      <c r="N22" s="364">
        <f t="shared" ref="N22:AC22" si="27">N10+N14+N18</f>
        <v>0</v>
      </c>
      <c r="O22" s="364">
        <f t="shared" si="27"/>
        <v>0</v>
      </c>
      <c r="P22" s="364">
        <f t="shared" si="27"/>
        <v>0</v>
      </c>
      <c r="Q22" s="364">
        <f t="shared" si="27"/>
        <v>0</v>
      </c>
      <c r="R22" s="364">
        <f t="shared" si="27"/>
        <v>0</v>
      </c>
      <c r="S22" s="364">
        <f t="shared" si="27"/>
        <v>0</v>
      </c>
      <c r="T22" s="364">
        <f t="shared" si="27"/>
        <v>90900</v>
      </c>
      <c r="U22" s="364">
        <f t="shared" si="27"/>
        <v>212420</v>
      </c>
      <c r="V22" s="364">
        <f t="shared" si="27"/>
        <v>191360</v>
      </c>
      <c r="W22" s="364">
        <f t="shared" si="27"/>
        <v>191360</v>
      </c>
      <c r="X22" s="364">
        <f t="shared" si="27"/>
        <v>267160</v>
      </c>
      <c r="Y22" s="364">
        <f t="shared" si="27"/>
        <v>228760</v>
      </c>
      <c r="Z22" s="364">
        <f t="shared" si="27"/>
        <v>191360</v>
      </c>
      <c r="AA22" s="364">
        <f t="shared" si="27"/>
        <v>191360</v>
      </c>
      <c r="AB22" s="364">
        <f t="shared" si="27"/>
        <v>267160</v>
      </c>
      <c r="AC22" s="364">
        <f t="shared" si="27"/>
        <v>228760</v>
      </c>
      <c r="AD22" s="358"/>
      <c r="AE22" s="359"/>
      <c r="AF22" s="364">
        <f t="shared" ref="AF22:CA22" si="28">AF10+AF14+AF18</f>
        <v>0</v>
      </c>
      <c r="AG22" s="364">
        <f t="shared" si="28"/>
        <v>0</v>
      </c>
      <c r="AH22" s="364">
        <f t="shared" si="28"/>
        <v>0</v>
      </c>
      <c r="AI22" s="364">
        <f t="shared" si="28"/>
        <v>0</v>
      </c>
      <c r="AJ22" s="364">
        <f t="shared" si="28"/>
        <v>0</v>
      </c>
      <c r="AK22" s="364">
        <f t="shared" si="28"/>
        <v>0</v>
      </c>
      <c r="AL22" s="364">
        <f t="shared" si="28"/>
        <v>0</v>
      </c>
      <c r="AM22" s="364">
        <f t="shared" si="28"/>
        <v>0</v>
      </c>
      <c r="AN22" s="364">
        <f t="shared" si="28"/>
        <v>0</v>
      </c>
      <c r="AO22" s="364">
        <f t="shared" si="28"/>
        <v>0</v>
      </c>
      <c r="AP22" s="364">
        <f t="shared" si="28"/>
        <v>0</v>
      </c>
      <c r="AQ22" s="364">
        <f t="shared" si="28"/>
        <v>0</v>
      </c>
      <c r="AR22" s="364">
        <f t="shared" si="28"/>
        <v>0</v>
      </c>
      <c r="AS22" s="364">
        <f t="shared" si="28"/>
        <v>0</v>
      </c>
      <c r="AT22" s="364">
        <f t="shared" si="28"/>
        <v>0</v>
      </c>
      <c r="AU22" s="364">
        <f t="shared" si="28"/>
        <v>0</v>
      </c>
      <c r="AV22" s="364">
        <f t="shared" si="28"/>
        <v>0</v>
      </c>
      <c r="AW22" s="364">
        <f t="shared" si="28"/>
        <v>0</v>
      </c>
      <c r="AX22" s="364">
        <f t="shared" si="28"/>
        <v>0</v>
      </c>
      <c r="AY22" s="364">
        <f t="shared" si="28"/>
        <v>55300</v>
      </c>
      <c r="AZ22" s="364">
        <f t="shared" si="28"/>
        <v>35600</v>
      </c>
      <c r="BA22" s="364">
        <f t="shared" si="28"/>
        <v>64220</v>
      </c>
      <c r="BB22" s="364">
        <f t="shared" si="28"/>
        <v>104780</v>
      </c>
      <c r="BC22" s="364">
        <f t="shared" si="28"/>
        <v>43420</v>
      </c>
      <c r="BD22" s="364">
        <f t="shared" si="28"/>
        <v>76060</v>
      </c>
      <c r="BE22" s="364">
        <f t="shared" si="28"/>
        <v>71880</v>
      </c>
      <c r="BF22" s="364">
        <f t="shared" si="28"/>
        <v>43420</v>
      </c>
      <c r="BG22" s="364">
        <f t="shared" si="28"/>
        <v>76060</v>
      </c>
      <c r="BH22" s="364">
        <f t="shared" si="28"/>
        <v>71880</v>
      </c>
      <c r="BI22" s="364">
        <f t="shared" si="28"/>
        <v>43420</v>
      </c>
      <c r="BJ22" s="364">
        <f t="shared" si="28"/>
        <v>76060</v>
      </c>
      <c r="BK22" s="364">
        <f t="shared" si="28"/>
        <v>112680</v>
      </c>
      <c r="BL22" s="364">
        <f t="shared" si="28"/>
        <v>78420</v>
      </c>
      <c r="BM22" s="364">
        <f t="shared" si="28"/>
        <v>76060</v>
      </c>
      <c r="BN22" s="364">
        <f t="shared" si="28"/>
        <v>109280</v>
      </c>
      <c r="BO22" s="364">
        <f t="shared" si="28"/>
        <v>43420</v>
      </c>
      <c r="BP22" s="364">
        <f t="shared" si="28"/>
        <v>76060</v>
      </c>
      <c r="BQ22" s="364">
        <f t="shared" si="28"/>
        <v>71880</v>
      </c>
      <c r="BR22" s="364">
        <f t="shared" si="28"/>
        <v>43420</v>
      </c>
      <c r="BS22" s="364">
        <f t="shared" si="28"/>
        <v>76060</v>
      </c>
      <c r="BT22" s="364">
        <f t="shared" si="28"/>
        <v>71880</v>
      </c>
      <c r="BU22" s="364">
        <f t="shared" si="28"/>
        <v>43420</v>
      </c>
      <c r="BV22" s="364">
        <f t="shared" si="28"/>
        <v>76060</v>
      </c>
      <c r="BW22" s="364">
        <f t="shared" si="28"/>
        <v>112680</v>
      </c>
      <c r="BX22" s="364">
        <f t="shared" si="28"/>
        <v>78420</v>
      </c>
      <c r="BY22" s="364">
        <f t="shared" si="28"/>
        <v>76060</v>
      </c>
      <c r="BZ22" s="364">
        <f t="shared" si="28"/>
        <v>109280</v>
      </c>
      <c r="CA22" s="364">
        <f t="shared" si="28"/>
        <v>43420</v>
      </c>
    </row>
    <row r="23" spans="2:79">
      <c r="G23" s="359"/>
      <c r="I23" s="417"/>
      <c r="J23" s="417"/>
      <c r="K23" s="417"/>
      <c r="M23" s="359"/>
      <c r="AE23" s="359"/>
    </row>
    <row r="24" spans="2:79" s="51" customFormat="1" ht="24">
      <c r="B24" s="635" t="s">
        <v>98</v>
      </c>
      <c r="C24" s="475"/>
      <c r="D24" s="475"/>
      <c r="E24" s="632"/>
      <c r="F24" s="50"/>
      <c r="G24" s="359"/>
      <c r="H24" s="632"/>
      <c r="I24" s="632"/>
      <c r="J24" s="632"/>
      <c r="K24" s="632"/>
      <c r="L24" s="50"/>
      <c r="M24" s="359"/>
      <c r="N24" s="632"/>
      <c r="O24" s="632"/>
      <c r="P24" s="632"/>
      <c r="Q24" s="632"/>
      <c r="R24" s="632"/>
      <c r="S24" s="632"/>
      <c r="T24" s="632"/>
      <c r="U24" s="632"/>
      <c r="V24" s="632"/>
      <c r="W24" s="632"/>
      <c r="X24" s="632"/>
      <c r="Y24" s="632"/>
      <c r="Z24" s="632"/>
      <c r="AA24" s="632"/>
      <c r="AB24" s="632"/>
      <c r="AC24" s="632"/>
      <c r="AD24" s="50"/>
      <c r="AE24" s="359"/>
      <c r="AF24" s="632"/>
      <c r="AG24" s="632"/>
      <c r="AH24" s="632"/>
      <c r="AI24" s="632"/>
      <c r="AJ24" s="632"/>
      <c r="AK24" s="632"/>
      <c r="AL24" s="632"/>
      <c r="AM24" s="632"/>
      <c r="AN24" s="632"/>
      <c r="AO24" s="632"/>
      <c r="AP24" s="632"/>
      <c r="AQ24" s="632"/>
      <c r="AR24" s="632"/>
      <c r="AS24" s="632"/>
      <c r="AT24" s="632"/>
      <c r="AU24" s="632"/>
      <c r="AV24" s="632"/>
      <c r="AW24" s="632"/>
      <c r="AX24" s="632"/>
      <c r="AY24" s="632"/>
      <c r="AZ24" s="632"/>
      <c r="BA24" s="632"/>
      <c r="BB24" s="632"/>
      <c r="BC24" s="632"/>
      <c r="BD24" s="632"/>
      <c r="BE24" s="632"/>
      <c r="BF24" s="632"/>
      <c r="BG24" s="632"/>
      <c r="BH24" s="632"/>
      <c r="BI24" s="632"/>
      <c r="BJ24" s="632"/>
      <c r="BK24" s="632"/>
      <c r="BL24" s="632"/>
      <c r="BM24" s="632"/>
      <c r="BN24" s="632"/>
      <c r="BO24" s="632"/>
      <c r="BP24" s="632"/>
      <c r="BQ24" s="632"/>
      <c r="BR24" s="632"/>
      <c r="BS24" s="632"/>
      <c r="BT24" s="632"/>
      <c r="BU24" s="632"/>
      <c r="BV24" s="632"/>
      <c r="BW24" s="632"/>
      <c r="BX24" s="632"/>
      <c r="BY24" s="632"/>
      <c r="BZ24" s="632"/>
      <c r="CA24" s="632"/>
    </row>
    <row r="25" spans="2:79" ht="15" outlineLevel="1">
      <c r="B25" s="367"/>
      <c r="C25" s="365" t="s">
        <v>161</v>
      </c>
      <c r="D25" s="366"/>
      <c r="E25" s="365"/>
      <c r="G25" s="359"/>
      <c r="H25" s="411">
        <f>SUMIFS($AF25:$CA25,$AF$4:$CA$4,"&gt;="&amp;H$4,$AF$5:$CA$5,"&lt;="&amp;H$5)</f>
        <v>0</v>
      </c>
      <c r="I25" s="411">
        <f>SUMIFS($AF25:$CA25,$AF$4:$CA$4,"&gt;="&amp;I$4,$AF$5:$CA$5,"&lt;="&amp;I$5)</f>
        <v>68080</v>
      </c>
      <c r="J25" s="411">
        <f>SUMIFS($AF25:$CA25,$AF$4:$CA$4,"&gt;="&amp;J$4,$AF$5:$CA$5,"&lt;="&amp;J$5)</f>
        <v>335280</v>
      </c>
      <c r="K25" s="411">
        <f>SUMIFS($AF25:$CA25,$AF$4:$CA$4,"&gt;="&amp;K$4,$AF$5:$CA$5,"&lt;="&amp;K$5)</f>
        <v>335280</v>
      </c>
      <c r="M25" s="359"/>
      <c r="N25" s="411">
        <f t="shared" ref="N25:AC25" si="29">SUMIFS($AF25:$CA25,$AF$4:$CA$4,"&gt;="&amp;N$4,$AF$5:$CA$5,"&lt;="&amp;N$5)</f>
        <v>0</v>
      </c>
      <c r="O25" s="411">
        <f t="shared" si="29"/>
        <v>0</v>
      </c>
      <c r="P25" s="411">
        <f t="shared" si="29"/>
        <v>0</v>
      </c>
      <c r="Q25" s="411">
        <f t="shared" si="29"/>
        <v>0</v>
      </c>
      <c r="R25" s="411">
        <f t="shared" si="29"/>
        <v>0</v>
      </c>
      <c r="S25" s="411">
        <f t="shared" si="29"/>
        <v>0</v>
      </c>
      <c r="T25" s="411">
        <f t="shared" si="29"/>
        <v>600</v>
      </c>
      <c r="U25" s="411">
        <f t="shared" si="29"/>
        <v>67480</v>
      </c>
      <c r="V25" s="411">
        <f t="shared" si="29"/>
        <v>83820</v>
      </c>
      <c r="W25" s="411">
        <f t="shared" si="29"/>
        <v>83820</v>
      </c>
      <c r="X25" s="411">
        <f t="shared" si="29"/>
        <v>83820</v>
      </c>
      <c r="Y25" s="411">
        <f t="shared" si="29"/>
        <v>83820</v>
      </c>
      <c r="Z25" s="411">
        <f t="shared" si="29"/>
        <v>83820</v>
      </c>
      <c r="AA25" s="411">
        <f t="shared" si="29"/>
        <v>83820</v>
      </c>
      <c r="AB25" s="411">
        <f t="shared" si="29"/>
        <v>83820</v>
      </c>
      <c r="AC25" s="411">
        <f t="shared" si="29"/>
        <v>83820</v>
      </c>
      <c r="AE25" s="359"/>
      <c r="AF25" s="411">
        <f t="shared" ref="AF25:CA25" si="30">AF10</f>
        <v>0</v>
      </c>
      <c r="AG25" s="411">
        <f t="shared" si="30"/>
        <v>0</v>
      </c>
      <c r="AH25" s="411">
        <f t="shared" si="30"/>
        <v>0</v>
      </c>
      <c r="AI25" s="411">
        <f t="shared" si="30"/>
        <v>0</v>
      </c>
      <c r="AJ25" s="411">
        <f t="shared" si="30"/>
        <v>0</v>
      </c>
      <c r="AK25" s="411">
        <f t="shared" si="30"/>
        <v>0</v>
      </c>
      <c r="AL25" s="411">
        <f t="shared" si="30"/>
        <v>0</v>
      </c>
      <c r="AM25" s="411">
        <f t="shared" si="30"/>
        <v>0</v>
      </c>
      <c r="AN25" s="411">
        <f t="shared" si="30"/>
        <v>0</v>
      </c>
      <c r="AO25" s="411">
        <f t="shared" si="30"/>
        <v>0</v>
      </c>
      <c r="AP25" s="411">
        <f t="shared" si="30"/>
        <v>0</v>
      </c>
      <c r="AQ25" s="411">
        <f t="shared" si="30"/>
        <v>0</v>
      </c>
      <c r="AR25" s="411">
        <f t="shared" si="30"/>
        <v>0</v>
      </c>
      <c r="AS25" s="411">
        <f t="shared" si="30"/>
        <v>0</v>
      </c>
      <c r="AT25" s="411">
        <f t="shared" si="30"/>
        <v>0</v>
      </c>
      <c r="AU25" s="411">
        <f t="shared" si="30"/>
        <v>0</v>
      </c>
      <c r="AV25" s="411">
        <f t="shared" si="30"/>
        <v>0</v>
      </c>
      <c r="AW25" s="411">
        <f t="shared" si="30"/>
        <v>0</v>
      </c>
      <c r="AX25" s="411">
        <f t="shared" si="30"/>
        <v>0</v>
      </c>
      <c r="AY25" s="411">
        <f t="shared" si="30"/>
        <v>0</v>
      </c>
      <c r="AZ25" s="411">
        <f t="shared" si="30"/>
        <v>600</v>
      </c>
      <c r="BA25" s="411">
        <f t="shared" si="30"/>
        <v>16100</v>
      </c>
      <c r="BB25" s="411">
        <f t="shared" si="30"/>
        <v>23440</v>
      </c>
      <c r="BC25" s="411">
        <f t="shared" si="30"/>
        <v>27940</v>
      </c>
      <c r="BD25" s="411">
        <f t="shared" si="30"/>
        <v>27940</v>
      </c>
      <c r="BE25" s="411">
        <f t="shared" si="30"/>
        <v>27940</v>
      </c>
      <c r="BF25" s="411">
        <f t="shared" si="30"/>
        <v>27940</v>
      </c>
      <c r="BG25" s="411">
        <f t="shared" si="30"/>
        <v>27940</v>
      </c>
      <c r="BH25" s="411">
        <f t="shared" si="30"/>
        <v>27940</v>
      </c>
      <c r="BI25" s="411">
        <f t="shared" si="30"/>
        <v>27940</v>
      </c>
      <c r="BJ25" s="411">
        <f t="shared" si="30"/>
        <v>27940</v>
      </c>
      <c r="BK25" s="411">
        <f t="shared" si="30"/>
        <v>27940</v>
      </c>
      <c r="BL25" s="411">
        <f t="shared" si="30"/>
        <v>27940</v>
      </c>
      <c r="BM25" s="411">
        <f t="shared" si="30"/>
        <v>27940</v>
      </c>
      <c r="BN25" s="411">
        <f t="shared" si="30"/>
        <v>27940</v>
      </c>
      <c r="BO25" s="411">
        <f t="shared" si="30"/>
        <v>27940</v>
      </c>
      <c r="BP25" s="411">
        <f t="shared" si="30"/>
        <v>27940</v>
      </c>
      <c r="BQ25" s="411">
        <f t="shared" si="30"/>
        <v>27940</v>
      </c>
      <c r="BR25" s="411">
        <f t="shared" si="30"/>
        <v>27940</v>
      </c>
      <c r="BS25" s="411">
        <f t="shared" si="30"/>
        <v>27940</v>
      </c>
      <c r="BT25" s="411">
        <f t="shared" si="30"/>
        <v>27940</v>
      </c>
      <c r="BU25" s="411">
        <f t="shared" si="30"/>
        <v>27940</v>
      </c>
      <c r="BV25" s="411">
        <f t="shared" si="30"/>
        <v>27940</v>
      </c>
      <c r="BW25" s="411">
        <f t="shared" si="30"/>
        <v>27940</v>
      </c>
      <c r="BX25" s="411">
        <f t="shared" si="30"/>
        <v>27940</v>
      </c>
      <c r="BY25" s="411">
        <f t="shared" si="30"/>
        <v>27940</v>
      </c>
      <c r="BZ25" s="411">
        <f t="shared" si="30"/>
        <v>27940</v>
      </c>
      <c r="CA25" s="411">
        <f t="shared" si="30"/>
        <v>27940</v>
      </c>
    </row>
    <row r="26" spans="2:79" s="51" customFormat="1" outlineLevel="1">
      <c r="B26" s="387"/>
      <c r="C26" s="386"/>
      <c r="F26" s="50"/>
      <c r="G26" s="359"/>
      <c r="H26" s="416"/>
      <c r="I26" s="416"/>
      <c r="J26" s="416"/>
      <c r="K26" s="416"/>
      <c r="L26" s="415"/>
      <c r="M26" s="359"/>
      <c r="N26" s="414"/>
      <c r="O26" s="414"/>
      <c r="P26" s="414"/>
      <c r="Q26" s="414"/>
      <c r="R26" s="414"/>
      <c r="S26" s="414"/>
      <c r="T26" s="414"/>
      <c r="U26" s="414"/>
      <c r="V26" s="414"/>
      <c r="W26" s="414"/>
      <c r="X26" s="414"/>
      <c r="Y26" s="414"/>
      <c r="Z26" s="414"/>
      <c r="AA26" s="414"/>
      <c r="AB26" s="414"/>
      <c r="AC26" s="414"/>
      <c r="AD26" s="379"/>
      <c r="AE26" s="359"/>
      <c r="AF26" s="413"/>
      <c r="AG26" s="413"/>
      <c r="AH26" s="413"/>
      <c r="AI26" s="413"/>
      <c r="AJ26" s="413"/>
      <c r="AK26" s="413"/>
      <c r="AL26" s="413"/>
      <c r="AM26" s="413"/>
      <c r="AN26" s="413"/>
      <c r="AO26" s="413"/>
      <c r="AP26" s="413"/>
      <c r="AQ26" s="413"/>
      <c r="AR26" s="413"/>
      <c r="AS26" s="413"/>
      <c r="AT26" s="413"/>
      <c r="AU26" s="413"/>
      <c r="AV26" s="413"/>
      <c r="AW26" s="413"/>
      <c r="AX26" s="413"/>
      <c r="AY26" s="413"/>
      <c r="AZ26" s="413"/>
      <c r="BA26" s="413"/>
      <c r="BB26" s="413"/>
      <c r="BC26" s="413"/>
      <c r="BD26" s="413"/>
      <c r="BE26" s="413"/>
      <c r="BF26" s="413"/>
      <c r="BG26" s="413"/>
      <c r="BH26" s="413"/>
      <c r="BI26" s="413"/>
      <c r="BJ26" s="413"/>
      <c r="BK26" s="413"/>
      <c r="BL26" s="413"/>
      <c r="BM26" s="413"/>
      <c r="BN26" s="413"/>
      <c r="BO26" s="413"/>
      <c r="BP26" s="413"/>
      <c r="BQ26" s="413"/>
      <c r="BR26" s="413"/>
      <c r="BS26" s="413"/>
      <c r="BT26" s="413"/>
      <c r="BU26" s="413"/>
      <c r="BV26" s="413"/>
      <c r="BW26" s="413"/>
      <c r="BX26" s="413"/>
      <c r="BY26" s="413"/>
      <c r="BZ26" s="413"/>
      <c r="CA26" s="413"/>
    </row>
    <row r="27" spans="2:79" ht="15" outlineLevel="1" collapsed="1">
      <c r="B27" s="367"/>
      <c r="C27" s="365" t="s">
        <v>160</v>
      </c>
      <c r="D27" s="366"/>
      <c r="E27" s="365"/>
      <c r="G27" s="359"/>
      <c r="H27" s="411">
        <f>SUM(H28:H75)</f>
        <v>0</v>
      </c>
      <c r="I27" s="411">
        <f>SUM(I28:I75)</f>
        <v>97073.333333333328</v>
      </c>
      <c r="J27" s="411">
        <f>SUM(J28:J75)</f>
        <v>430159.99999999994</v>
      </c>
      <c r="K27" s="411">
        <f>SUM(K28:K75)</f>
        <v>430159.99999999994</v>
      </c>
      <c r="M27" s="359"/>
      <c r="N27" s="411">
        <f t="shared" ref="N27:AC27" si="31">SUM(N28:N75)</f>
        <v>0</v>
      </c>
      <c r="O27" s="411">
        <f t="shared" si="31"/>
        <v>0</v>
      </c>
      <c r="P27" s="411">
        <f t="shared" si="31"/>
        <v>0</v>
      </c>
      <c r="Q27" s="411">
        <f t="shared" si="31"/>
        <v>0</v>
      </c>
      <c r="R27" s="411">
        <f t="shared" si="31"/>
        <v>0</v>
      </c>
      <c r="S27" s="411">
        <f t="shared" si="31"/>
        <v>0</v>
      </c>
      <c r="T27" s="411">
        <f t="shared" si="31"/>
        <v>9666.6666666666661</v>
      </c>
      <c r="U27" s="411">
        <f t="shared" si="31"/>
        <v>87406.666666666672</v>
      </c>
      <c r="V27" s="411">
        <f t="shared" si="31"/>
        <v>107539.99999999999</v>
      </c>
      <c r="W27" s="411">
        <f t="shared" si="31"/>
        <v>107539.99999999999</v>
      </c>
      <c r="X27" s="411">
        <f t="shared" si="31"/>
        <v>107539.99999999999</v>
      </c>
      <c r="Y27" s="411">
        <f t="shared" si="31"/>
        <v>107539.99999999999</v>
      </c>
      <c r="Z27" s="411">
        <f t="shared" si="31"/>
        <v>107539.99999999999</v>
      </c>
      <c r="AA27" s="411">
        <f t="shared" si="31"/>
        <v>107539.99999999999</v>
      </c>
      <c r="AB27" s="411">
        <f t="shared" si="31"/>
        <v>107539.99999999999</v>
      </c>
      <c r="AC27" s="411">
        <f t="shared" si="31"/>
        <v>107539.99999999999</v>
      </c>
      <c r="AE27" s="359"/>
      <c r="AF27" s="411">
        <f t="shared" ref="AF27:CA27" si="32">SUM(AF28:AF75)</f>
        <v>0</v>
      </c>
      <c r="AG27" s="411">
        <f t="shared" si="32"/>
        <v>0</v>
      </c>
      <c r="AH27" s="411">
        <f t="shared" si="32"/>
        <v>0</v>
      </c>
      <c r="AI27" s="411">
        <f t="shared" si="32"/>
        <v>0</v>
      </c>
      <c r="AJ27" s="411">
        <f t="shared" si="32"/>
        <v>0</v>
      </c>
      <c r="AK27" s="411">
        <f t="shared" si="32"/>
        <v>0</v>
      </c>
      <c r="AL27" s="411">
        <f t="shared" si="32"/>
        <v>0</v>
      </c>
      <c r="AM27" s="411">
        <f t="shared" si="32"/>
        <v>0</v>
      </c>
      <c r="AN27" s="411">
        <f t="shared" si="32"/>
        <v>0</v>
      </c>
      <c r="AO27" s="411">
        <f t="shared" si="32"/>
        <v>0</v>
      </c>
      <c r="AP27" s="411">
        <f t="shared" si="32"/>
        <v>0</v>
      </c>
      <c r="AQ27" s="411">
        <f t="shared" si="32"/>
        <v>0</v>
      </c>
      <c r="AR27" s="411">
        <f t="shared" si="32"/>
        <v>0</v>
      </c>
      <c r="AS27" s="411">
        <f t="shared" si="32"/>
        <v>0</v>
      </c>
      <c r="AT27" s="411">
        <f t="shared" si="32"/>
        <v>0</v>
      </c>
      <c r="AU27" s="411">
        <f t="shared" si="32"/>
        <v>0</v>
      </c>
      <c r="AV27" s="411">
        <f t="shared" si="32"/>
        <v>0</v>
      </c>
      <c r="AW27" s="411">
        <f t="shared" si="32"/>
        <v>0</v>
      </c>
      <c r="AX27" s="411">
        <f t="shared" si="32"/>
        <v>0</v>
      </c>
      <c r="AY27" s="411">
        <f t="shared" si="32"/>
        <v>4833.333333333333</v>
      </c>
      <c r="AZ27" s="411">
        <f t="shared" si="32"/>
        <v>4833.333333333333</v>
      </c>
      <c r="BA27" s="411">
        <f t="shared" si="32"/>
        <v>20873.333333333332</v>
      </c>
      <c r="BB27" s="411">
        <f t="shared" si="32"/>
        <v>30686.666666666664</v>
      </c>
      <c r="BC27" s="411">
        <f t="shared" si="32"/>
        <v>35846.666666666664</v>
      </c>
      <c r="BD27" s="411">
        <f t="shared" si="32"/>
        <v>35846.666666666664</v>
      </c>
      <c r="BE27" s="411">
        <f t="shared" si="32"/>
        <v>35846.666666666664</v>
      </c>
      <c r="BF27" s="411">
        <f t="shared" si="32"/>
        <v>35846.666666666664</v>
      </c>
      <c r="BG27" s="411">
        <f t="shared" si="32"/>
        <v>35846.666666666664</v>
      </c>
      <c r="BH27" s="411">
        <f t="shared" si="32"/>
        <v>35846.666666666664</v>
      </c>
      <c r="BI27" s="411">
        <f t="shared" si="32"/>
        <v>35846.666666666664</v>
      </c>
      <c r="BJ27" s="411">
        <f t="shared" si="32"/>
        <v>35846.666666666664</v>
      </c>
      <c r="BK27" s="411">
        <f t="shared" si="32"/>
        <v>35846.666666666664</v>
      </c>
      <c r="BL27" s="411">
        <f t="shared" si="32"/>
        <v>35846.666666666664</v>
      </c>
      <c r="BM27" s="411">
        <f t="shared" si="32"/>
        <v>35846.666666666664</v>
      </c>
      <c r="BN27" s="411">
        <f t="shared" si="32"/>
        <v>35846.666666666664</v>
      </c>
      <c r="BO27" s="411">
        <f t="shared" si="32"/>
        <v>35846.666666666664</v>
      </c>
      <c r="BP27" s="411">
        <f t="shared" si="32"/>
        <v>35846.666666666664</v>
      </c>
      <c r="BQ27" s="411">
        <f t="shared" si="32"/>
        <v>35846.666666666664</v>
      </c>
      <c r="BR27" s="411">
        <f t="shared" si="32"/>
        <v>35846.666666666664</v>
      </c>
      <c r="BS27" s="411">
        <f t="shared" si="32"/>
        <v>35846.666666666664</v>
      </c>
      <c r="BT27" s="411">
        <f t="shared" si="32"/>
        <v>35846.666666666664</v>
      </c>
      <c r="BU27" s="411">
        <f t="shared" si="32"/>
        <v>35846.666666666664</v>
      </c>
      <c r="BV27" s="411">
        <f t="shared" si="32"/>
        <v>35846.666666666664</v>
      </c>
      <c r="BW27" s="411">
        <f t="shared" si="32"/>
        <v>35846.666666666664</v>
      </c>
      <c r="BX27" s="411">
        <f t="shared" si="32"/>
        <v>35846.666666666664</v>
      </c>
      <c r="BY27" s="411">
        <f t="shared" si="32"/>
        <v>35846.666666666664</v>
      </c>
      <c r="BZ27" s="411">
        <f t="shared" si="32"/>
        <v>35846.666666666664</v>
      </c>
      <c r="CA27" s="411">
        <f t="shared" si="32"/>
        <v>35846.666666666664</v>
      </c>
    </row>
    <row r="28" spans="2:79" ht="21" hidden="1" customHeight="1" outlineLevel="2">
      <c r="B28" s="367"/>
      <c r="C28" s="370"/>
      <c r="D28" s="374" cm="1">
        <f t="array" ref="D28">EOM_Start_Date</f>
        <v>44957</v>
      </c>
      <c r="E28" s="408" cm="1">
        <f t="array" ref="E28">INDEX($AF$14:$CA$14,0,MATCH($D28,$AF$8:$CA$8,0))</f>
        <v>0</v>
      </c>
      <c r="F28" s="372"/>
      <c r="G28" s="409"/>
      <c r="H28" s="410">
        <f t="shared" ref="H28:K47" si="33">SUMIFS($AF28:$CA28,$AF$4:$CA$4,"&gt;="&amp;H$4,$AF$5:$CA$5,"&lt;="&amp;H$5)</f>
        <v>0</v>
      </c>
      <c r="I28" s="410">
        <f t="shared" si="33"/>
        <v>0</v>
      </c>
      <c r="J28" s="410">
        <f t="shared" si="33"/>
        <v>0</v>
      </c>
      <c r="K28" s="410">
        <f t="shared" si="33"/>
        <v>0</v>
      </c>
      <c r="M28" s="359"/>
      <c r="N28" s="410">
        <f t="shared" ref="N28:AC37" si="34">SUMIFS($AF28:$CA28,$AF$4:$CA$4,"&gt;="&amp;N$4,$AF$5:$CA$5,"&lt;="&amp;N$5)</f>
        <v>0</v>
      </c>
      <c r="O28" s="410">
        <f t="shared" si="34"/>
        <v>0</v>
      </c>
      <c r="P28" s="410">
        <f t="shared" si="34"/>
        <v>0</v>
      </c>
      <c r="Q28" s="410">
        <f t="shared" si="34"/>
        <v>0</v>
      </c>
      <c r="R28" s="410">
        <f t="shared" si="34"/>
        <v>0</v>
      </c>
      <c r="S28" s="410">
        <f t="shared" si="34"/>
        <v>0</v>
      </c>
      <c r="T28" s="410">
        <f t="shared" si="34"/>
        <v>0</v>
      </c>
      <c r="U28" s="410">
        <f t="shared" si="34"/>
        <v>0</v>
      </c>
      <c r="V28" s="410">
        <f t="shared" si="34"/>
        <v>0</v>
      </c>
      <c r="W28" s="410">
        <f t="shared" si="34"/>
        <v>0</v>
      </c>
      <c r="X28" s="410">
        <f t="shared" si="34"/>
        <v>0</v>
      </c>
      <c r="Y28" s="410">
        <f t="shared" si="34"/>
        <v>0</v>
      </c>
      <c r="Z28" s="410">
        <f t="shared" si="34"/>
        <v>0</v>
      </c>
      <c r="AA28" s="410">
        <f t="shared" si="34"/>
        <v>0</v>
      </c>
      <c r="AB28" s="410">
        <f t="shared" si="34"/>
        <v>0</v>
      </c>
      <c r="AC28" s="410">
        <f t="shared" si="34"/>
        <v>0</v>
      </c>
      <c r="AD28" s="372"/>
      <c r="AE28" s="409"/>
      <c r="AF28" s="408">
        <f t="shared" ref="AF28:AO37" si="35">IF(AND(AF$8&gt;=$D28,(MATCH(AF$8,$AF$8:$CA$8,0)-MATCH($D28,$AF$8:$CA$8,0))&lt;3),$E28/3,0)</f>
        <v>0</v>
      </c>
      <c r="AG28" s="408">
        <f t="shared" si="35"/>
        <v>0</v>
      </c>
      <c r="AH28" s="408">
        <f t="shared" si="35"/>
        <v>0</v>
      </c>
      <c r="AI28" s="408">
        <f t="shared" si="35"/>
        <v>0</v>
      </c>
      <c r="AJ28" s="408">
        <f t="shared" si="35"/>
        <v>0</v>
      </c>
      <c r="AK28" s="408">
        <f t="shared" si="35"/>
        <v>0</v>
      </c>
      <c r="AL28" s="408">
        <f t="shared" si="35"/>
        <v>0</v>
      </c>
      <c r="AM28" s="408">
        <f t="shared" si="35"/>
        <v>0</v>
      </c>
      <c r="AN28" s="408">
        <f t="shared" si="35"/>
        <v>0</v>
      </c>
      <c r="AO28" s="408">
        <f t="shared" si="35"/>
        <v>0</v>
      </c>
      <c r="AP28" s="408">
        <f t="shared" ref="AP28:AY37" si="36">IF(AND(AP$8&gt;=$D28,(MATCH(AP$8,$AF$8:$CA$8,0)-MATCH($D28,$AF$8:$CA$8,0))&lt;3),$E28/3,0)</f>
        <v>0</v>
      </c>
      <c r="AQ28" s="408">
        <f t="shared" si="36"/>
        <v>0</v>
      </c>
      <c r="AR28" s="408">
        <f t="shared" si="36"/>
        <v>0</v>
      </c>
      <c r="AS28" s="408">
        <f t="shared" si="36"/>
        <v>0</v>
      </c>
      <c r="AT28" s="408">
        <f t="shared" si="36"/>
        <v>0</v>
      </c>
      <c r="AU28" s="408">
        <f t="shared" si="36"/>
        <v>0</v>
      </c>
      <c r="AV28" s="408">
        <f t="shared" si="36"/>
        <v>0</v>
      </c>
      <c r="AW28" s="408">
        <f t="shared" si="36"/>
        <v>0</v>
      </c>
      <c r="AX28" s="408">
        <f t="shared" si="36"/>
        <v>0</v>
      </c>
      <c r="AY28" s="408">
        <f t="shared" si="36"/>
        <v>0</v>
      </c>
      <c r="AZ28" s="408">
        <f t="shared" ref="AZ28:BI37" si="37">IF(AND(AZ$8&gt;=$D28,(MATCH(AZ$8,$AF$8:$CA$8,0)-MATCH($D28,$AF$8:$CA$8,0))&lt;3),$E28/3,0)</f>
        <v>0</v>
      </c>
      <c r="BA28" s="408">
        <f t="shared" si="37"/>
        <v>0</v>
      </c>
      <c r="BB28" s="408">
        <f t="shared" si="37"/>
        <v>0</v>
      </c>
      <c r="BC28" s="408">
        <f t="shared" si="37"/>
        <v>0</v>
      </c>
      <c r="BD28" s="408">
        <f t="shared" si="37"/>
        <v>0</v>
      </c>
      <c r="BE28" s="408">
        <f t="shared" si="37"/>
        <v>0</v>
      </c>
      <c r="BF28" s="408">
        <f t="shared" si="37"/>
        <v>0</v>
      </c>
      <c r="BG28" s="408">
        <f t="shared" si="37"/>
        <v>0</v>
      </c>
      <c r="BH28" s="408">
        <f t="shared" si="37"/>
        <v>0</v>
      </c>
      <c r="BI28" s="408">
        <f t="shared" si="37"/>
        <v>0</v>
      </c>
      <c r="BJ28" s="408">
        <f t="shared" ref="BJ28:BS37" si="38">IF(AND(BJ$8&gt;=$D28,(MATCH(BJ$8,$AF$8:$CA$8,0)-MATCH($D28,$AF$8:$CA$8,0))&lt;3),$E28/3,0)</f>
        <v>0</v>
      </c>
      <c r="BK28" s="408">
        <f t="shared" si="38"/>
        <v>0</v>
      </c>
      <c r="BL28" s="408">
        <f t="shared" si="38"/>
        <v>0</v>
      </c>
      <c r="BM28" s="408">
        <f t="shared" si="38"/>
        <v>0</v>
      </c>
      <c r="BN28" s="408">
        <f t="shared" si="38"/>
        <v>0</v>
      </c>
      <c r="BO28" s="408">
        <f t="shared" si="38"/>
        <v>0</v>
      </c>
      <c r="BP28" s="408">
        <f t="shared" si="38"/>
        <v>0</v>
      </c>
      <c r="BQ28" s="408">
        <f t="shared" si="38"/>
        <v>0</v>
      </c>
      <c r="BR28" s="408">
        <f t="shared" si="38"/>
        <v>0</v>
      </c>
      <c r="BS28" s="408">
        <f t="shared" si="38"/>
        <v>0</v>
      </c>
      <c r="BT28" s="408">
        <f t="shared" ref="BT28:CA37" si="39">IF(AND(BT$8&gt;=$D28,(MATCH(BT$8,$AF$8:$CA$8,0)-MATCH($D28,$AF$8:$CA$8,0))&lt;3),$E28/3,0)</f>
        <v>0</v>
      </c>
      <c r="BU28" s="408">
        <f t="shared" si="39"/>
        <v>0</v>
      </c>
      <c r="BV28" s="408">
        <f t="shared" si="39"/>
        <v>0</v>
      </c>
      <c r="BW28" s="408">
        <f t="shared" si="39"/>
        <v>0</v>
      </c>
      <c r="BX28" s="408">
        <f t="shared" si="39"/>
        <v>0</v>
      </c>
      <c r="BY28" s="408">
        <f t="shared" si="39"/>
        <v>0</v>
      </c>
      <c r="BZ28" s="408">
        <f t="shared" si="39"/>
        <v>0</v>
      </c>
      <c r="CA28" s="408">
        <f t="shared" si="39"/>
        <v>0</v>
      </c>
    </row>
    <row r="29" spans="2:79" ht="21" hidden="1" customHeight="1" outlineLevel="2">
      <c r="B29" s="367"/>
      <c r="C29" s="370"/>
      <c r="D29" s="374">
        <f t="shared" ref="D29:D75" si="40">EOMONTH(D28,1)</f>
        <v>44985</v>
      </c>
      <c r="E29" s="408" cm="1">
        <f t="array" ref="E29">INDEX($AF$14:$CA$14,0,MATCH($D29,$AF$8:$CA$8,0))</f>
        <v>0</v>
      </c>
      <c r="F29" s="372"/>
      <c r="G29" s="409"/>
      <c r="H29" s="410">
        <f t="shared" si="33"/>
        <v>0</v>
      </c>
      <c r="I29" s="410">
        <f t="shared" si="33"/>
        <v>0</v>
      </c>
      <c r="J29" s="410">
        <f t="shared" si="33"/>
        <v>0</v>
      </c>
      <c r="K29" s="410">
        <f t="shared" si="33"/>
        <v>0</v>
      </c>
      <c r="M29" s="359"/>
      <c r="N29" s="410">
        <f t="shared" si="34"/>
        <v>0</v>
      </c>
      <c r="O29" s="410">
        <f t="shared" si="34"/>
        <v>0</v>
      </c>
      <c r="P29" s="410">
        <f t="shared" si="34"/>
        <v>0</v>
      </c>
      <c r="Q29" s="410">
        <f t="shared" si="34"/>
        <v>0</v>
      </c>
      <c r="R29" s="410">
        <f t="shared" si="34"/>
        <v>0</v>
      </c>
      <c r="S29" s="410">
        <f t="shared" si="34"/>
        <v>0</v>
      </c>
      <c r="T29" s="410">
        <f t="shared" si="34"/>
        <v>0</v>
      </c>
      <c r="U29" s="410">
        <f t="shared" si="34"/>
        <v>0</v>
      </c>
      <c r="V29" s="410">
        <f t="shared" si="34"/>
        <v>0</v>
      </c>
      <c r="W29" s="410">
        <f t="shared" si="34"/>
        <v>0</v>
      </c>
      <c r="X29" s="410">
        <f t="shared" si="34"/>
        <v>0</v>
      </c>
      <c r="Y29" s="410">
        <f t="shared" si="34"/>
        <v>0</v>
      </c>
      <c r="Z29" s="410">
        <f t="shared" si="34"/>
        <v>0</v>
      </c>
      <c r="AA29" s="410">
        <f t="shared" si="34"/>
        <v>0</v>
      </c>
      <c r="AB29" s="410">
        <f t="shared" si="34"/>
        <v>0</v>
      </c>
      <c r="AC29" s="410">
        <f t="shared" si="34"/>
        <v>0</v>
      </c>
      <c r="AD29" s="372"/>
      <c r="AE29" s="409"/>
      <c r="AF29" s="408">
        <f t="shared" si="35"/>
        <v>0</v>
      </c>
      <c r="AG29" s="408">
        <f t="shared" si="35"/>
        <v>0</v>
      </c>
      <c r="AH29" s="408">
        <f t="shared" si="35"/>
        <v>0</v>
      </c>
      <c r="AI29" s="408">
        <f t="shared" si="35"/>
        <v>0</v>
      </c>
      <c r="AJ29" s="408">
        <f t="shared" si="35"/>
        <v>0</v>
      </c>
      <c r="AK29" s="408">
        <f t="shared" si="35"/>
        <v>0</v>
      </c>
      <c r="AL29" s="408">
        <f t="shared" si="35"/>
        <v>0</v>
      </c>
      <c r="AM29" s="408">
        <f t="shared" si="35"/>
        <v>0</v>
      </c>
      <c r="AN29" s="408">
        <f t="shared" si="35"/>
        <v>0</v>
      </c>
      <c r="AO29" s="408">
        <f t="shared" si="35"/>
        <v>0</v>
      </c>
      <c r="AP29" s="408">
        <f t="shared" si="36"/>
        <v>0</v>
      </c>
      <c r="AQ29" s="408">
        <f t="shared" si="36"/>
        <v>0</v>
      </c>
      <c r="AR29" s="408">
        <f t="shared" si="36"/>
        <v>0</v>
      </c>
      <c r="AS29" s="408">
        <f t="shared" si="36"/>
        <v>0</v>
      </c>
      <c r="AT29" s="408">
        <f t="shared" si="36"/>
        <v>0</v>
      </c>
      <c r="AU29" s="408">
        <f t="shared" si="36"/>
        <v>0</v>
      </c>
      <c r="AV29" s="408">
        <f t="shared" si="36"/>
        <v>0</v>
      </c>
      <c r="AW29" s="408">
        <f t="shared" si="36"/>
        <v>0</v>
      </c>
      <c r="AX29" s="408">
        <f t="shared" si="36"/>
        <v>0</v>
      </c>
      <c r="AY29" s="408">
        <f t="shared" si="36"/>
        <v>0</v>
      </c>
      <c r="AZ29" s="408">
        <f t="shared" si="37"/>
        <v>0</v>
      </c>
      <c r="BA29" s="408">
        <f t="shared" si="37"/>
        <v>0</v>
      </c>
      <c r="BB29" s="408">
        <f t="shared" si="37"/>
        <v>0</v>
      </c>
      <c r="BC29" s="408">
        <f t="shared" si="37"/>
        <v>0</v>
      </c>
      <c r="BD29" s="408">
        <f t="shared" si="37"/>
        <v>0</v>
      </c>
      <c r="BE29" s="408">
        <f t="shared" si="37"/>
        <v>0</v>
      </c>
      <c r="BF29" s="408">
        <f t="shared" si="37"/>
        <v>0</v>
      </c>
      <c r="BG29" s="408">
        <f t="shared" si="37"/>
        <v>0</v>
      </c>
      <c r="BH29" s="408">
        <f t="shared" si="37"/>
        <v>0</v>
      </c>
      <c r="BI29" s="408">
        <f t="shared" si="37"/>
        <v>0</v>
      </c>
      <c r="BJ29" s="408">
        <f t="shared" si="38"/>
        <v>0</v>
      </c>
      <c r="BK29" s="408">
        <f t="shared" si="38"/>
        <v>0</v>
      </c>
      <c r="BL29" s="408">
        <f t="shared" si="38"/>
        <v>0</v>
      </c>
      <c r="BM29" s="408">
        <f t="shared" si="38"/>
        <v>0</v>
      </c>
      <c r="BN29" s="408">
        <f t="shared" si="38"/>
        <v>0</v>
      </c>
      <c r="BO29" s="408">
        <f t="shared" si="38"/>
        <v>0</v>
      </c>
      <c r="BP29" s="408">
        <f t="shared" si="38"/>
        <v>0</v>
      </c>
      <c r="BQ29" s="408">
        <f t="shared" si="38"/>
        <v>0</v>
      </c>
      <c r="BR29" s="408">
        <f t="shared" si="38"/>
        <v>0</v>
      </c>
      <c r="BS29" s="408">
        <f t="shared" si="38"/>
        <v>0</v>
      </c>
      <c r="BT29" s="408">
        <f t="shared" si="39"/>
        <v>0</v>
      </c>
      <c r="BU29" s="408">
        <f t="shared" si="39"/>
        <v>0</v>
      </c>
      <c r="BV29" s="408">
        <f t="shared" si="39"/>
        <v>0</v>
      </c>
      <c r="BW29" s="408">
        <f t="shared" si="39"/>
        <v>0</v>
      </c>
      <c r="BX29" s="408">
        <f t="shared" si="39"/>
        <v>0</v>
      </c>
      <c r="BY29" s="408">
        <f t="shared" si="39"/>
        <v>0</v>
      </c>
      <c r="BZ29" s="408">
        <f t="shared" si="39"/>
        <v>0</v>
      </c>
      <c r="CA29" s="408">
        <f t="shared" si="39"/>
        <v>0</v>
      </c>
    </row>
    <row r="30" spans="2:79" ht="21" hidden="1" customHeight="1" outlineLevel="2">
      <c r="B30" s="367"/>
      <c r="C30" s="370"/>
      <c r="D30" s="374">
        <f t="shared" si="40"/>
        <v>45016</v>
      </c>
      <c r="E30" s="408" cm="1">
        <f t="array" ref="E30">INDEX($AF$14:$CA$14,0,MATCH($D30,$AF$8:$CA$8,0))</f>
        <v>0</v>
      </c>
      <c r="F30" s="372"/>
      <c r="G30" s="409"/>
      <c r="H30" s="410">
        <f t="shared" si="33"/>
        <v>0</v>
      </c>
      <c r="I30" s="410">
        <f t="shared" si="33"/>
        <v>0</v>
      </c>
      <c r="J30" s="410">
        <f t="shared" si="33"/>
        <v>0</v>
      </c>
      <c r="K30" s="410">
        <f t="shared" si="33"/>
        <v>0</v>
      </c>
      <c r="M30" s="359"/>
      <c r="N30" s="410">
        <f t="shared" si="34"/>
        <v>0</v>
      </c>
      <c r="O30" s="410">
        <f t="shared" si="34"/>
        <v>0</v>
      </c>
      <c r="P30" s="410">
        <f t="shared" si="34"/>
        <v>0</v>
      </c>
      <c r="Q30" s="410">
        <f t="shared" si="34"/>
        <v>0</v>
      </c>
      <c r="R30" s="410">
        <f t="shared" si="34"/>
        <v>0</v>
      </c>
      <c r="S30" s="410">
        <f t="shared" si="34"/>
        <v>0</v>
      </c>
      <c r="T30" s="410">
        <f t="shared" si="34"/>
        <v>0</v>
      </c>
      <c r="U30" s="410">
        <f t="shared" si="34"/>
        <v>0</v>
      </c>
      <c r="V30" s="410">
        <f t="shared" si="34"/>
        <v>0</v>
      </c>
      <c r="W30" s="410">
        <f t="shared" si="34"/>
        <v>0</v>
      </c>
      <c r="X30" s="410">
        <f t="shared" si="34"/>
        <v>0</v>
      </c>
      <c r="Y30" s="410">
        <f t="shared" si="34"/>
        <v>0</v>
      </c>
      <c r="Z30" s="410">
        <f t="shared" si="34"/>
        <v>0</v>
      </c>
      <c r="AA30" s="410">
        <f t="shared" si="34"/>
        <v>0</v>
      </c>
      <c r="AB30" s="410">
        <f t="shared" si="34"/>
        <v>0</v>
      </c>
      <c r="AC30" s="410">
        <f t="shared" si="34"/>
        <v>0</v>
      </c>
      <c r="AD30" s="372"/>
      <c r="AE30" s="409"/>
      <c r="AF30" s="408">
        <f t="shared" si="35"/>
        <v>0</v>
      </c>
      <c r="AG30" s="408">
        <f t="shared" si="35"/>
        <v>0</v>
      </c>
      <c r="AH30" s="408">
        <f t="shared" si="35"/>
        <v>0</v>
      </c>
      <c r="AI30" s="408">
        <f t="shared" si="35"/>
        <v>0</v>
      </c>
      <c r="AJ30" s="408">
        <f t="shared" si="35"/>
        <v>0</v>
      </c>
      <c r="AK30" s="408">
        <f t="shared" si="35"/>
        <v>0</v>
      </c>
      <c r="AL30" s="408">
        <f t="shared" si="35"/>
        <v>0</v>
      </c>
      <c r="AM30" s="408">
        <f t="shared" si="35"/>
        <v>0</v>
      </c>
      <c r="AN30" s="408">
        <f t="shared" si="35"/>
        <v>0</v>
      </c>
      <c r="AO30" s="408">
        <f t="shared" si="35"/>
        <v>0</v>
      </c>
      <c r="AP30" s="408">
        <f t="shared" si="36"/>
        <v>0</v>
      </c>
      <c r="AQ30" s="408">
        <f t="shared" si="36"/>
        <v>0</v>
      </c>
      <c r="AR30" s="408">
        <f t="shared" si="36"/>
        <v>0</v>
      </c>
      <c r="AS30" s="408">
        <f t="shared" si="36"/>
        <v>0</v>
      </c>
      <c r="AT30" s="408">
        <f t="shared" si="36"/>
        <v>0</v>
      </c>
      <c r="AU30" s="408">
        <f t="shared" si="36"/>
        <v>0</v>
      </c>
      <c r="AV30" s="408">
        <f t="shared" si="36"/>
        <v>0</v>
      </c>
      <c r="AW30" s="408">
        <f t="shared" si="36"/>
        <v>0</v>
      </c>
      <c r="AX30" s="408">
        <f t="shared" si="36"/>
        <v>0</v>
      </c>
      <c r="AY30" s="408">
        <f t="shared" si="36"/>
        <v>0</v>
      </c>
      <c r="AZ30" s="408">
        <f t="shared" si="37"/>
        <v>0</v>
      </c>
      <c r="BA30" s="408">
        <f t="shared" si="37"/>
        <v>0</v>
      </c>
      <c r="BB30" s="408">
        <f t="shared" si="37"/>
        <v>0</v>
      </c>
      <c r="BC30" s="408">
        <f t="shared" si="37"/>
        <v>0</v>
      </c>
      <c r="BD30" s="408">
        <f t="shared" si="37"/>
        <v>0</v>
      </c>
      <c r="BE30" s="408">
        <f t="shared" si="37"/>
        <v>0</v>
      </c>
      <c r="BF30" s="408">
        <f t="shared" si="37"/>
        <v>0</v>
      </c>
      <c r="BG30" s="408">
        <f t="shared" si="37"/>
        <v>0</v>
      </c>
      <c r="BH30" s="408">
        <f t="shared" si="37"/>
        <v>0</v>
      </c>
      <c r="BI30" s="408">
        <f t="shared" si="37"/>
        <v>0</v>
      </c>
      <c r="BJ30" s="408">
        <f t="shared" si="38"/>
        <v>0</v>
      </c>
      <c r="BK30" s="408">
        <f t="shared" si="38"/>
        <v>0</v>
      </c>
      <c r="BL30" s="408">
        <f t="shared" si="38"/>
        <v>0</v>
      </c>
      <c r="BM30" s="408">
        <f t="shared" si="38"/>
        <v>0</v>
      </c>
      <c r="BN30" s="408">
        <f t="shared" si="38"/>
        <v>0</v>
      </c>
      <c r="BO30" s="408">
        <f t="shared" si="38"/>
        <v>0</v>
      </c>
      <c r="BP30" s="408">
        <f t="shared" si="38"/>
        <v>0</v>
      </c>
      <c r="BQ30" s="408">
        <f t="shared" si="38"/>
        <v>0</v>
      </c>
      <c r="BR30" s="408">
        <f t="shared" si="38"/>
        <v>0</v>
      </c>
      <c r="BS30" s="408">
        <f t="shared" si="38"/>
        <v>0</v>
      </c>
      <c r="BT30" s="408">
        <f t="shared" si="39"/>
        <v>0</v>
      </c>
      <c r="BU30" s="408">
        <f t="shared" si="39"/>
        <v>0</v>
      </c>
      <c r="BV30" s="408">
        <f t="shared" si="39"/>
        <v>0</v>
      </c>
      <c r="BW30" s="408">
        <f t="shared" si="39"/>
        <v>0</v>
      </c>
      <c r="BX30" s="408">
        <f t="shared" si="39"/>
        <v>0</v>
      </c>
      <c r="BY30" s="408">
        <f t="shared" si="39"/>
        <v>0</v>
      </c>
      <c r="BZ30" s="408">
        <f t="shared" si="39"/>
        <v>0</v>
      </c>
      <c r="CA30" s="408">
        <f t="shared" si="39"/>
        <v>0</v>
      </c>
    </row>
    <row r="31" spans="2:79" ht="21" hidden="1" customHeight="1" outlineLevel="2">
      <c r="B31" s="367"/>
      <c r="C31" s="370"/>
      <c r="D31" s="374">
        <f t="shared" si="40"/>
        <v>45046</v>
      </c>
      <c r="E31" s="408" cm="1">
        <f t="array" ref="E31">INDEX($AF$14:$CA$14,0,MATCH($D31,$AF$8:$CA$8,0))</f>
        <v>0</v>
      </c>
      <c r="F31" s="372"/>
      <c r="G31" s="409"/>
      <c r="H31" s="410">
        <f t="shared" si="33"/>
        <v>0</v>
      </c>
      <c r="I31" s="410">
        <f t="shared" si="33"/>
        <v>0</v>
      </c>
      <c r="J31" s="410">
        <f t="shared" si="33"/>
        <v>0</v>
      </c>
      <c r="K31" s="410">
        <f t="shared" si="33"/>
        <v>0</v>
      </c>
      <c r="M31" s="359"/>
      <c r="N31" s="410">
        <f t="shared" si="34"/>
        <v>0</v>
      </c>
      <c r="O31" s="410">
        <f t="shared" si="34"/>
        <v>0</v>
      </c>
      <c r="P31" s="410">
        <f t="shared" si="34"/>
        <v>0</v>
      </c>
      <c r="Q31" s="410">
        <f t="shared" si="34"/>
        <v>0</v>
      </c>
      <c r="R31" s="410">
        <f t="shared" si="34"/>
        <v>0</v>
      </c>
      <c r="S31" s="410">
        <f t="shared" si="34"/>
        <v>0</v>
      </c>
      <c r="T31" s="410">
        <f t="shared" si="34"/>
        <v>0</v>
      </c>
      <c r="U31" s="410">
        <f t="shared" si="34"/>
        <v>0</v>
      </c>
      <c r="V31" s="410">
        <f t="shared" si="34"/>
        <v>0</v>
      </c>
      <c r="W31" s="410">
        <f t="shared" si="34"/>
        <v>0</v>
      </c>
      <c r="X31" s="410">
        <f t="shared" si="34"/>
        <v>0</v>
      </c>
      <c r="Y31" s="410">
        <f t="shared" si="34"/>
        <v>0</v>
      </c>
      <c r="Z31" s="410">
        <f t="shared" si="34"/>
        <v>0</v>
      </c>
      <c r="AA31" s="410">
        <f t="shared" si="34"/>
        <v>0</v>
      </c>
      <c r="AB31" s="410">
        <f t="shared" si="34"/>
        <v>0</v>
      </c>
      <c r="AC31" s="410">
        <f t="shared" si="34"/>
        <v>0</v>
      </c>
      <c r="AD31" s="372"/>
      <c r="AE31" s="409"/>
      <c r="AF31" s="408">
        <f t="shared" si="35"/>
        <v>0</v>
      </c>
      <c r="AG31" s="408">
        <f t="shared" si="35"/>
        <v>0</v>
      </c>
      <c r="AH31" s="408">
        <f t="shared" si="35"/>
        <v>0</v>
      </c>
      <c r="AI31" s="408">
        <f t="shared" si="35"/>
        <v>0</v>
      </c>
      <c r="AJ31" s="408">
        <f t="shared" si="35"/>
        <v>0</v>
      </c>
      <c r="AK31" s="408">
        <f t="shared" si="35"/>
        <v>0</v>
      </c>
      <c r="AL31" s="408">
        <f t="shared" si="35"/>
        <v>0</v>
      </c>
      <c r="AM31" s="408">
        <f t="shared" si="35"/>
        <v>0</v>
      </c>
      <c r="AN31" s="408">
        <f t="shared" si="35"/>
        <v>0</v>
      </c>
      <c r="AO31" s="408">
        <f t="shared" si="35"/>
        <v>0</v>
      </c>
      <c r="AP31" s="408">
        <f t="shared" si="36"/>
        <v>0</v>
      </c>
      <c r="AQ31" s="408">
        <f t="shared" si="36"/>
        <v>0</v>
      </c>
      <c r="AR31" s="408">
        <f t="shared" si="36"/>
        <v>0</v>
      </c>
      <c r="AS31" s="408">
        <f t="shared" si="36"/>
        <v>0</v>
      </c>
      <c r="AT31" s="408">
        <f t="shared" si="36"/>
        <v>0</v>
      </c>
      <c r="AU31" s="408">
        <f t="shared" si="36"/>
        <v>0</v>
      </c>
      <c r="AV31" s="408">
        <f t="shared" si="36"/>
        <v>0</v>
      </c>
      <c r="AW31" s="408">
        <f t="shared" si="36"/>
        <v>0</v>
      </c>
      <c r="AX31" s="408">
        <f t="shared" si="36"/>
        <v>0</v>
      </c>
      <c r="AY31" s="408">
        <f t="shared" si="36"/>
        <v>0</v>
      </c>
      <c r="AZ31" s="408">
        <f t="shared" si="37"/>
        <v>0</v>
      </c>
      <c r="BA31" s="408">
        <f t="shared" si="37"/>
        <v>0</v>
      </c>
      <c r="BB31" s="408">
        <f t="shared" si="37"/>
        <v>0</v>
      </c>
      <c r="BC31" s="408">
        <f t="shared" si="37"/>
        <v>0</v>
      </c>
      <c r="BD31" s="408">
        <f t="shared" si="37"/>
        <v>0</v>
      </c>
      <c r="BE31" s="408">
        <f t="shared" si="37"/>
        <v>0</v>
      </c>
      <c r="BF31" s="408">
        <f t="shared" si="37"/>
        <v>0</v>
      </c>
      <c r="BG31" s="408">
        <f t="shared" si="37"/>
        <v>0</v>
      </c>
      <c r="BH31" s="408">
        <f t="shared" si="37"/>
        <v>0</v>
      </c>
      <c r="BI31" s="408">
        <f t="shared" si="37"/>
        <v>0</v>
      </c>
      <c r="BJ31" s="408">
        <f t="shared" si="38"/>
        <v>0</v>
      </c>
      <c r="BK31" s="408">
        <f t="shared" si="38"/>
        <v>0</v>
      </c>
      <c r="BL31" s="408">
        <f t="shared" si="38"/>
        <v>0</v>
      </c>
      <c r="BM31" s="408">
        <f t="shared" si="38"/>
        <v>0</v>
      </c>
      <c r="BN31" s="408">
        <f t="shared" si="38"/>
        <v>0</v>
      </c>
      <c r="BO31" s="408">
        <f t="shared" si="38"/>
        <v>0</v>
      </c>
      <c r="BP31" s="408">
        <f t="shared" si="38"/>
        <v>0</v>
      </c>
      <c r="BQ31" s="408">
        <f t="shared" si="38"/>
        <v>0</v>
      </c>
      <c r="BR31" s="408">
        <f t="shared" si="38"/>
        <v>0</v>
      </c>
      <c r="BS31" s="408">
        <f t="shared" si="38"/>
        <v>0</v>
      </c>
      <c r="BT31" s="408">
        <f t="shared" si="39"/>
        <v>0</v>
      </c>
      <c r="BU31" s="408">
        <f t="shared" si="39"/>
        <v>0</v>
      </c>
      <c r="BV31" s="408">
        <f t="shared" si="39"/>
        <v>0</v>
      </c>
      <c r="BW31" s="408">
        <f t="shared" si="39"/>
        <v>0</v>
      </c>
      <c r="BX31" s="408">
        <f t="shared" si="39"/>
        <v>0</v>
      </c>
      <c r="BY31" s="408">
        <f t="shared" si="39"/>
        <v>0</v>
      </c>
      <c r="BZ31" s="408">
        <f t="shared" si="39"/>
        <v>0</v>
      </c>
      <c r="CA31" s="408">
        <f t="shared" si="39"/>
        <v>0</v>
      </c>
    </row>
    <row r="32" spans="2:79" ht="21" hidden="1" customHeight="1" outlineLevel="2">
      <c r="B32" s="367"/>
      <c r="C32" s="370"/>
      <c r="D32" s="374">
        <f t="shared" si="40"/>
        <v>45077</v>
      </c>
      <c r="E32" s="408" cm="1">
        <f t="array" ref="E32">INDEX($AF$14:$CA$14,0,MATCH($D32,$AF$8:$CA$8,0))</f>
        <v>0</v>
      </c>
      <c r="F32" s="372"/>
      <c r="G32" s="409"/>
      <c r="H32" s="410">
        <f t="shared" si="33"/>
        <v>0</v>
      </c>
      <c r="I32" s="410">
        <f t="shared" si="33"/>
        <v>0</v>
      </c>
      <c r="J32" s="410">
        <f t="shared" si="33"/>
        <v>0</v>
      </c>
      <c r="K32" s="410">
        <f t="shared" si="33"/>
        <v>0</v>
      </c>
      <c r="M32" s="359"/>
      <c r="N32" s="410">
        <f t="shared" si="34"/>
        <v>0</v>
      </c>
      <c r="O32" s="410">
        <f t="shared" si="34"/>
        <v>0</v>
      </c>
      <c r="P32" s="410">
        <f t="shared" si="34"/>
        <v>0</v>
      </c>
      <c r="Q32" s="410">
        <f t="shared" si="34"/>
        <v>0</v>
      </c>
      <c r="R32" s="410">
        <f t="shared" si="34"/>
        <v>0</v>
      </c>
      <c r="S32" s="410">
        <f t="shared" si="34"/>
        <v>0</v>
      </c>
      <c r="T32" s="410">
        <f t="shared" si="34"/>
        <v>0</v>
      </c>
      <c r="U32" s="410">
        <f t="shared" si="34"/>
        <v>0</v>
      </c>
      <c r="V32" s="410">
        <f t="shared" si="34"/>
        <v>0</v>
      </c>
      <c r="W32" s="410">
        <f t="shared" si="34"/>
        <v>0</v>
      </c>
      <c r="X32" s="410">
        <f t="shared" si="34"/>
        <v>0</v>
      </c>
      <c r="Y32" s="410">
        <f t="shared" si="34"/>
        <v>0</v>
      </c>
      <c r="Z32" s="410">
        <f t="shared" si="34"/>
        <v>0</v>
      </c>
      <c r="AA32" s="410">
        <f t="shared" si="34"/>
        <v>0</v>
      </c>
      <c r="AB32" s="410">
        <f t="shared" si="34"/>
        <v>0</v>
      </c>
      <c r="AC32" s="410">
        <f t="shared" si="34"/>
        <v>0</v>
      </c>
      <c r="AD32" s="372"/>
      <c r="AE32" s="409"/>
      <c r="AF32" s="408">
        <f t="shared" si="35"/>
        <v>0</v>
      </c>
      <c r="AG32" s="408">
        <f t="shared" si="35"/>
        <v>0</v>
      </c>
      <c r="AH32" s="408">
        <f t="shared" si="35"/>
        <v>0</v>
      </c>
      <c r="AI32" s="408">
        <f t="shared" si="35"/>
        <v>0</v>
      </c>
      <c r="AJ32" s="408">
        <f t="shared" si="35"/>
        <v>0</v>
      </c>
      <c r="AK32" s="408">
        <f t="shared" si="35"/>
        <v>0</v>
      </c>
      <c r="AL32" s="408">
        <f t="shared" si="35"/>
        <v>0</v>
      </c>
      <c r="AM32" s="408">
        <f t="shared" si="35"/>
        <v>0</v>
      </c>
      <c r="AN32" s="408">
        <f t="shared" si="35"/>
        <v>0</v>
      </c>
      <c r="AO32" s="408">
        <f t="shared" si="35"/>
        <v>0</v>
      </c>
      <c r="AP32" s="408">
        <f t="shared" si="36"/>
        <v>0</v>
      </c>
      <c r="AQ32" s="408">
        <f t="shared" si="36"/>
        <v>0</v>
      </c>
      <c r="AR32" s="408">
        <f t="shared" si="36"/>
        <v>0</v>
      </c>
      <c r="AS32" s="408">
        <f t="shared" si="36"/>
        <v>0</v>
      </c>
      <c r="AT32" s="408">
        <f t="shared" si="36"/>
        <v>0</v>
      </c>
      <c r="AU32" s="408">
        <f t="shared" si="36"/>
        <v>0</v>
      </c>
      <c r="AV32" s="408">
        <f t="shared" si="36"/>
        <v>0</v>
      </c>
      <c r="AW32" s="408">
        <f t="shared" si="36"/>
        <v>0</v>
      </c>
      <c r="AX32" s="408">
        <f t="shared" si="36"/>
        <v>0</v>
      </c>
      <c r="AY32" s="408">
        <f t="shared" si="36"/>
        <v>0</v>
      </c>
      <c r="AZ32" s="408">
        <f t="shared" si="37"/>
        <v>0</v>
      </c>
      <c r="BA32" s="408">
        <f t="shared" si="37"/>
        <v>0</v>
      </c>
      <c r="BB32" s="408">
        <f t="shared" si="37"/>
        <v>0</v>
      </c>
      <c r="BC32" s="408">
        <f t="shared" si="37"/>
        <v>0</v>
      </c>
      <c r="BD32" s="408">
        <f t="shared" si="37"/>
        <v>0</v>
      </c>
      <c r="BE32" s="408">
        <f t="shared" si="37"/>
        <v>0</v>
      </c>
      <c r="BF32" s="408">
        <f t="shared" si="37"/>
        <v>0</v>
      </c>
      <c r="BG32" s="408">
        <f t="shared" si="37"/>
        <v>0</v>
      </c>
      <c r="BH32" s="408">
        <f t="shared" si="37"/>
        <v>0</v>
      </c>
      <c r="BI32" s="408">
        <f t="shared" si="37"/>
        <v>0</v>
      </c>
      <c r="BJ32" s="408">
        <f t="shared" si="38"/>
        <v>0</v>
      </c>
      <c r="BK32" s="408">
        <f t="shared" si="38"/>
        <v>0</v>
      </c>
      <c r="BL32" s="408">
        <f t="shared" si="38"/>
        <v>0</v>
      </c>
      <c r="BM32" s="408">
        <f t="shared" si="38"/>
        <v>0</v>
      </c>
      <c r="BN32" s="408">
        <f t="shared" si="38"/>
        <v>0</v>
      </c>
      <c r="BO32" s="408">
        <f t="shared" si="38"/>
        <v>0</v>
      </c>
      <c r="BP32" s="408">
        <f t="shared" si="38"/>
        <v>0</v>
      </c>
      <c r="BQ32" s="408">
        <f t="shared" si="38"/>
        <v>0</v>
      </c>
      <c r="BR32" s="408">
        <f t="shared" si="38"/>
        <v>0</v>
      </c>
      <c r="BS32" s="408">
        <f t="shared" si="38"/>
        <v>0</v>
      </c>
      <c r="BT32" s="408">
        <f t="shared" si="39"/>
        <v>0</v>
      </c>
      <c r="BU32" s="408">
        <f t="shared" si="39"/>
        <v>0</v>
      </c>
      <c r="BV32" s="408">
        <f t="shared" si="39"/>
        <v>0</v>
      </c>
      <c r="BW32" s="408">
        <f t="shared" si="39"/>
        <v>0</v>
      </c>
      <c r="BX32" s="408">
        <f t="shared" si="39"/>
        <v>0</v>
      </c>
      <c r="BY32" s="408">
        <f t="shared" si="39"/>
        <v>0</v>
      </c>
      <c r="BZ32" s="408">
        <f t="shared" si="39"/>
        <v>0</v>
      </c>
      <c r="CA32" s="408">
        <f t="shared" si="39"/>
        <v>0</v>
      </c>
    </row>
    <row r="33" spans="2:79" ht="21" hidden="1" customHeight="1" outlineLevel="2">
      <c r="B33" s="367"/>
      <c r="C33" s="370"/>
      <c r="D33" s="374">
        <f t="shared" si="40"/>
        <v>45107</v>
      </c>
      <c r="E33" s="408" cm="1">
        <f t="array" ref="E33">INDEX($AF$14:$CA$14,0,MATCH($D33,$AF$8:$CA$8,0))</f>
        <v>0</v>
      </c>
      <c r="F33" s="372"/>
      <c r="G33" s="409"/>
      <c r="H33" s="410">
        <f t="shared" si="33"/>
        <v>0</v>
      </c>
      <c r="I33" s="410">
        <f t="shared" si="33"/>
        <v>0</v>
      </c>
      <c r="J33" s="410">
        <f t="shared" si="33"/>
        <v>0</v>
      </c>
      <c r="K33" s="410">
        <f t="shared" si="33"/>
        <v>0</v>
      </c>
      <c r="M33" s="359"/>
      <c r="N33" s="410">
        <f t="shared" si="34"/>
        <v>0</v>
      </c>
      <c r="O33" s="410">
        <f t="shared" si="34"/>
        <v>0</v>
      </c>
      <c r="P33" s="410">
        <f t="shared" si="34"/>
        <v>0</v>
      </c>
      <c r="Q33" s="410">
        <f t="shared" si="34"/>
        <v>0</v>
      </c>
      <c r="R33" s="410">
        <f t="shared" si="34"/>
        <v>0</v>
      </c>
      <c r="S33" s="410">
        <f t="shared" si="34"/>
        <v>0</v>
      </c>
      <c r="T33" s="410">
        <f t="shared" si="34"/>
        <v>0</v>
      </c>
      <c r="U33" s="410">
        <f t="shared" si="34"/>
        <v>0</v>
      </c>
      <c r="V33" s="410">
        <f t="shared" si="34"/>
        <v>0</v>
      </c>
      <c r="W33" s="410">
        <f t="shared" si="34"/>
        <v>0</v>
      </c>
      <c r="X33" s="410">
        <f t="shared" si="34"/>
        <v>0</v>
      </c>
      <c r="Y33" s="410">
        <f t="shared" si="34"/>
        <v>0</v>
      </c>
      <c r="Z33" s="410">
        <f t="shared" si="34"/>
        <v>0</v>
      </c>
      <c r="AA33" s="410">
        <f t="shared" si="34"/>
        <v>0</v>
      </c>
      <c r="AB33" s="410">
        <f t="shared" si="34"/>
        <v>0</v>
      </c>
      <c r="AC33" s="410">
        <f t="shared" si="34"/>
        <v>0</v>
      </c>
      <c r="AD33" s="372"/>
      <c r="AE33" s="409"/>
      <c r="AF33" s="408">
        <f t="shared" si="35"/>
        <v>0</v>
      </c>
      <c r="AG33" s="408">
        <f t="shared" si="35"/>
        <v>0</v>
      </c>
      <c r="AH33" s="408">
        <f t="shared" si="35"/>
        <v>0</v>
      </c>
      <c r="AI33" s="408">
        <f t="shared" si="35"/>
        <v>0</v>
      </c>
      <c r="AJ33" s="408">
        <f t="shared" si="35"/>
        <v>0</v>
      </c>
      <c r="AK33" s="408">
        <f t="shared" si="35"/>
        <v>0</v>
      </c>
      <c r="AL33" s="408">
        <f t="shared" si="35"/>
        <v>0</v>
      </c>
      <c r="AM33" s="408">
        <f t="shared" si="35"/>
        <v>0</v>
      </c>
      <c r="AN33" s="408">
        <f t="shared" si="35"/>
        <v>0</v>
      </c>
      <c r="AO33" s="408">
        <f t="shared" si="35"/>
        <v>0</v>
      </c>
      <c r="AP33" s="408">
        <f t="shared" si="36"/>
        <v>0</v>
      </c>
      <c r="AQ33" s="408">
        <f t="shared" si="36"/>
        <v>0</v>
      </c>
      <c r="AR33" s="408">
        <f t="shared" si="36"/>
        <v>0</v>
      </c>
      <c r="AS33" s="408">
        <f t="shared" si="36"/>
        <v>0</v>
      </c>
      <c r="AT33" s="408">
        <f t="shared" si="36"/>
        <v>0</v>
      </c>
      <c r="AU33" s="408">
        <f t="shared" si="36"/>
        <v>0</v>
      </c>
      <c r="AV33" s="408">
        <f t="shared" si="36"/>
        <v>0</v>
      </c>
      <c r="AW33" s="408">
        <f t="shared" si="36"/>
        <v>0</v>
      </c>
      <c r="AX33" s="408">
        <f t="shared" si="36"/>
        <v>0</v>
      </c>
      <c r="AY33" s="408">
        <f t="shared" si="36"/>
        <v>0</v>
      </c>
      <c r="AZ33" s="408">
        <f t="shared" si="37"/>
        <v>0</v>
      </c>
      <c r="BA33" s="408">
        <f t="shared" si="37"/>
        <v>0</v>
      </c>
      <c r="BB33" s="408">
        <f t="shared" si="37"/>
        <v>0</v>
      </c>
      <c r="BC33" s="408">
        <f t="shared" si="37"/>
        <v>0</v>
      </c>
      <c r="BD33" s="408">
        <f t="shared" si="37"/>
        <v>0</v>
      </c>
      <c r="BE33" s="408">
        <f t="shared" si="37"/>
        <v>0</v>
      </c>
      <c r="BF33" s="408">
        <f t="shared" si="37"/>
        <v>0</v>
      </c>
      <c r="BG33" s="408">
        <f t="shared" si="37"/>
        <v>0</v>
      </c>
      <c r="BH33" s="408">
        <f t="shared" si="37"/>
        <v>0</v>
      </c>
      <c r="BI33" s="408">
        <f t="shared" si="37"/>
        <v>0</v>
      </c>
      <c r="BJ33" s="408">
        <f t="shared" si="38"/>
        <v>0</v>
      </c>
      <c r="BK33" s="408">
        <f t="shared" si="38"/>
        <v>0</v>
      </c>
      <c r="BL33" s="408">
        <f t="shared" si="38"/>
        <v>0</v>
      </c>
      <c r="BM33" s="408">
        <f t="shared" si="38"/>
        <v>0</v>
      </c>
      <c r="BN33" s="408">
        <f t="shared" si="38"/>
        <v>0</v>
      </c>
      <c r="BO33" s="408">
        <f t="shared" si="38"/>
        <v>0</v>
      </c>
      <c r="BP33" s="408">
        <f t="shared" si="38"/>
        <v>0</v>
      </c>
      <c r="BQ33" s="408">
        <f t="shared" si="38"/>
        <v>0</v>
      </c>
      <c r="BR33" s="408">
        <f t="shared" si="38"/>
        <v>0</v>
      </c>
      <c r="BS33" s="408">
        <f t="shared" si="38"/>
        <v>0</v>
      </c>
      <c r="BT33" s="408">
        <f t="shared" si="39"/>
        <v>0</v>
      </c>
      <c r="BU33" s="408">
        <f t="shared" si="39"/>
        <v>0</v>
      </c>
      <c r="BV33" s="408">
        <f t="shared" si="39"/>
        <v>0</v>
      </c>
      <c r="BW33" s="408">
        <f t="shared" si="39"/>
        <v>0</v>
      </c>
      <c r="BX33" s="408">
        <f t="shared" si="39"/>
        <v>0</v>
      </c>
      <c r="BY33" s="408">
        <f t="shared" si="39"/>
        <v>0</v>
      </c>
      <c r="BZ33" s="408">
        <f t="shared" si="39"/>
        <v>0</v>
      </c>
      <c r="CA33" s="408">
        <f t="shared" si="39"/>
        <v>0</v>
      </c>
    </row>
    <row r="34" spans="2:79" ht="21" hidden="1" customHeight="1" outlineLevel="2">
      <c r="C34" s="370"/>
      <c r="D34" s="374">
        <f t="shared" si="40"/>
        <v>45138</v>
      </c>
      <c r="E34" s="408" cm="1">
        <f t="array" ref="E34">INDEX($AF$14:$CA$14,0,MATCH($D34,$AF$8:$CA$8,0))</f>
        <v>0</v>
      </c>
      <c r="F34" s="372"/>
      <c r="G34" s="409"/>
      <c r="H34" s="410">
        <f t="shared" si="33"/>
        <v>0</v>
      </c>
      <c r="I34" s="410">
        <f t="shared" si="33"/>
        <v>0</v>
      </c>
      <c r="J34" s="410">
        <f t="shared" si="33"/>
        <v>0</v>
      </c>
      <c r="K34" s="410">
        <f t="shared" si="33"/>
        <v>0</v>
      </c>
      <c r="M34" s="359"/>
      <c r="N34" s="410">
        <f t="shared" si="34"/>
        <v>0</v>
      </c>
      <c r="O34" s="410">
        <f t="shared" si="34"/>
        <v>0</v>
      </c>
      <c r="P34" s="410">
        <f t="shared" si="34"/>
        <v>0</v>
      </c>
      <c r="Q34" s="410">
        <f t="shared" si="34"/>
        <v>0</v>
      </c>
      <c r="R34" s="410">
        <f t="shared" si="34"/>
        <v>0</v>
      </c>
      <c r="S34" s="410">
        <f t="shared" si="34"/>
        <v>0</v>
      </c>
      <c r="T34" s="410">
        <f t="shared" si="34"/>
        <v>0</v>
      </c>
      <c r="U34" s="410">
        <f t="shared" si="34"/>
        <v>0</v>
      </c>
      <c r="V34" s="410">
        <f t="shared" si="34"/>
        <v>0</v>
      </c>
      <c r="W34" s="410">
        <f t="shared" si="34"/>
        <v>0</v>
      </c>
      <c r="X34" s="410">
        <f t="shared" si="34"/>
        <v>0</v>
      </c>
      <c r="Y34" s="410">
        <f t="shared" si="34"/>
        <v>0</v>
      </c>
      <c r="Z34" s="410">
        <f t="shared" si="34"/>
        <v>0</v>
      </c>
      <c r="AA34" s="410">
        <f t="shared" si="34"/>
        <v>0</v>
      </c>
      <c r="AB34" s="410">
        <f t="shared" si="34"/>
        <v>0</v>
      </c>
      <c r="AC34" s="410">
        <f t="shared" si="34"/>
        <v>0</v>
      </c>
      <c r="AD34" s="372"/>
      <c r="AE34" s="409"/>
      <c r="AF34" s="408">
        <f t="shared" si="35"/>
        <v>0</v>
      </c>
      <c r="AG34" s="408">
        <f t="shared" si="35"/>
        <v>0</v>
      </c>
      <c r="AH34" s="408">
        <f t="shared" si="35"/>
        <v>0</v>
      </c>
      <c r="AI34" s="408">
        <f t="shared" si="35"/>
        <v>0</v>
      </c>
      <c r="AJ34" s="408">
        <f t="shared" si="35"/>
        <v>0</v>
      </c>
      <c r="AK34" s="408">
        <f t="shared" si="35"/>
        <v>0</v>
      </c>
      <c r="AL34" s="408">
        <f t="shared" si="35"/>
        <v>0</v>
      </c>
      <c r="AM34" s="408">
        <f t="shared" si="35"/>
        <v>0</v>
      </c>
      <c r="AN34" s="408">
        <f t="shared" si="35"/>
        <v>0</v>
      </c>
      <c r="AO34" s="408">
        <f t="shared" si="35"/>
        <v>0</v>
      </c>
      <c r="AP34" s="408">
        <f t="shared" si="36"/>
        <v>0</v>
      </c>
      <c r="AQ34" s="408">
        <f t="shared" si="36"/>
        <v>0</v>
      </c>
      <c r="AR34" s="408">
        <f t="shared" si="36"/>
        <v>0</v>
      </c>
      <c r="AS34" s="408">
        <f t="shared" si="36"/>
        <v>0</v>
      </c>
      <c r="AT34" s="408">
        <f t="shared" si="36"/>
        <v>0</v>
      </c>
      <c r="AU34" s="408">
        <f t="shared" si="36"/>
        <v>0</v>
      </c>
      <c r="AV34" s="408">
        <f t="shared" si="36"/>
        <v>0</v>
      </c>
      <c r="AW34" s="408">
        <f t="shared" si="36"/>
        <v>0</v>
      </c>
      <c r="AX34" s="408">
        <f t="shared" si="36"/>
        <v>0</v>
      </c>
      <c r="AY34" s="408">
        <f t="shared" si="36"/>
        <v>0</v>
      </c>
      <c r="AZ34" s="408">
        <f t="shared" si="37"/>
        <v>0</v>
      </c>
      <c r="BA34" s="408">
        <f t="shared" si="37"/>
        <v>0</v>
      </c>
      <c r="BB34" s="408">
        <f t="shared" si="37"/>
        <v>0</v>
      </c>
      <c r="BC34" s="408">
        <f t="shared" si="37"/>
        <v>0</v>
      </c>
      <c r="BD34" s="408">
        <f t="shared" si="37"/>
        <v>0</v>
      </c>
      <c r="BE34" s="408">
        <f t="shared" si="37"/>
        <v>0</v>
      </c>
      <c r="BF34" s="408">
        <f t="shared" si="37"/>
        <v>0</v>
      </c>
      <c r="BG34" s="408">
        <f t="shared" si="37"/>
        <v>0</v>
      </c>
      <c r="BH34" s="408">
        <f t="shared" si="37"/>
        <v>0</v>
      </c>
      <c r="BI34" s="408">
        <f t="shared" si="37"/>
        <v>0</v>
      </c>
      <c r="BJ34" s="408">
        <f t="shared" si="38"/>
        <v>0</v>
      </c>
      <c r="BK34" s="408">
        <f t="shared" si="38"/>
        <v>0</v>
      </c>
      <c r="BL34" s="408">
        <f t="shared" si="38"/>
        <v>0</v>
      </c>
      <c r="BM34" s="408">
        <f t="shared" si="38"/>
        <v>0</v>
      </c>
      <c r="BN34" s="408">
        <f t="shared" si="38"/>
        <v>0</v>
      </c>
      <c r="BO34" s="408">
        <f t="shared" si="38"/>
        <v>0</v>
      </c>
      <c r="BP34" s="408">
        <f t="shared" si="38"/>
        <v>0</v>
      </c>
      <c r="BQ34" s="408">
        <f t="shared" si="38"/>
        <v>0</v>
      </c>
      <c r="BR34" s="408">
        <f t="shared" si="38"/>
        <v>0</v>
      </c>
      <c r="BS34" s="408">
        <f t="shared" si="38"/>
        <v>0</v>
      </c>
      <c r="BT34" s="408">
        <f t="shared" si="39"/>
        <v>0</v>
      </c>
      <c r="BU34" s="408">
        <f t="shared" si="39"/>
        <v>0</v>
      </c>
      <c r="BV34" s="408">
        <f t="shared" si="39"/>
        <v>0</v>
      </c>
      <c r="BW34" s="408">
        <f t="shared" si="39"/>
        <v>0</v>
      </c>
      <c r="BX34" s="408">
        <f t="shared" si="39"/>
        <v>0</v>
      </c>
      <c r="BY34" s="408">
        <f t="shared" si="39"/>
        <v>0</v>
      </c>
      <c r="BZ34" s="408">
        <f t="shared" si="39"/>
        <v>0</v>
      </c>
      <c r="CA34" s="408">
        <f t="shared" si="39"/>
        <v>0</v>
      </c>
    </row>
    <row r="35" spans="2:79" ht="21" hidden="1" customHeight="1" outlineLevel="2">
      <c r="C35" s="370"/>
      <c r="D35" s="374">
        <f t="shared" si="40"/>
        <v>45169</v>
      </c>
      <c r="E35" s="408" cm="1">
        <f t="array" ref="E35">INDEX($AF$14:$CA$14,0,MATCH($D35,$AF$8:$CA$8,0))</f>
        <v>0</v>
      </c>
      <c r="F35" s="372"/>
      <c r="G35" s="409"/>
      <c r="H35" s="410">
        <f t="shared" si="33"/>
        <v>0</v>
      </c>
      <c r="I35" s="410">
        <f t="shared" si="33"/>
        <v>0</v>
      </c>
      <c r="J35" s="410">
        <f t="shared" si="33"/>
        <v>0</v>
      </c>
      <c r="K35" s="410">
        <f t="shared" si="33"/>
        <v>0</v>
      </c>
      <c r="M35" s="359"/>
      <c r="N35" s="410">
        <f t="shared" si="34"/>
        <v>0</v>
      </c>
      <c r="O35" s="410">
        <f t="shared" si="34"/>
        <v>0</v>
      </c>
      <c r="P35" s="410">
        <f t="shared" si="34"/>
        <v>0</v>
      </c>
      <c r="Q35" s="410">
        <f t="shared" si="34"/>
        <v>0</v>
      </c>
      <c r="R35" s="410">
        <f t="shared" si="34"/>
        <v>0</v>
      </c>
      <c r="S35" s="410">
        <f t="shared" si="34"/>
        <v>0</v>
      </c>
      <c r="T35" s="410">
        <f t="shared" si="34"/>
        <v>0</v>
      </c>
      <c r="U35" s="410">
        <f t="shared" si="34"/>
        <v>0</v>
      </c>
      <c r="V35" s="410">
        <f t="shared" si="34"/>
        <v>0</v>
      </c>
      <c r="W35" s="410">
        <f t="shared" si="34"/>
        <v>0</v>
      </c>
      <c r="X35" s="410">
        <f t="shared" si="34"/>
        <v>0</v>
      </c>
      <c r="Y35" s="410">
        <f t="shared" si="34"/>
        <v>0</v>
      </c>
      <c r="Z35" s="410">
        <f t="shared" si="34"/>
        <v>0</v>
      </c>
      <c r="AA35" s="410">
        <f t="shared" si="34"/>
        <v>0</v>
      </c>
      <c r="AB35" s="410">
        <f t="shared" si="34"/>
        <v>0</v>
      </c>
      <c r="AC35" s="410">
        <f t="shared" si="34"/>
        <v>0</v>
      </c>
      <c r="AD35" s="372"/>
      <c r="AE35" s="409"/>
      <c r="AF35" s="408">
        <f t="shared" si="35"/>
        <v>0</v>
      </c>
      <c r="AG35" s="408">
        <f t="shared" si="35"/>
        <v>0</v>
      </c>
      <c r="AH35" s="408">
        <f t="shared" si="35"/>
        <v>0</v>
      </c>
      <c r="AI35" s="408">
        <f t="shared" si="35"/>
        <v>0</v>
      </c>
      <c r="AJ35" s="408">
        <f t="shared" si="35"/>
        <v>0</v>
      </c>
      <c r="AK35" s="408">
        <f t="shared" si="35"/>
        <v>0</v>
      </c>
      <c r="AL35" s="408">
        <f t="shared" si="35"/>
        <v>0</v>
      </c>
      <c r="AM35" s="408">
        <f t="shared" si="35"/>
        <v>0</v>
      </c>
      <c r="AN35" s="408">
        <f t="shared" si="35"/>
        <v>0</v>
      </c>
      <c r="AO35" s="408">
        <f t="shared" si="35"/>
        <v>0</v>
      </c>
      <c r="AP35" s="408">
        <f t="shared" si="36"/>
        <v>0</v>
      </c>
      <c r="AQ35" s="408">
        <f t="shared" si="36"/>
        <v>0</v>
      </c>
      <c r="AR35" s="408">
        <f t="shared" si="36"/>
        <v>0</v>
      </c>
      <c r="AS35" s="408">
        <f t="shared" si="36"/>
        <v>0</v>
      </c>
      <c r="AT35" s="408">
        <f t="shared" si="36"/>
        <v>0</v>
      </c>
      <c r="AU35" s="408">
        <f t="shared" si="36"/>
        <v>0</v>
      </c>
      <c r="AV35" s="408">
        <f t="shared" si="36"/>
        <v>0</v>
      </c>
      <c r="AW35" s="408">
        <f t="shared" si="36"/>
        <v>0</v>
      </c>
      <c r="AX35" s="408">
        <f t="shared" si="36"/>
        <v>0</v>
      </c>
      <c r="AY35" s="408">
        <f t="shared" si="36"/>
        <v>0</v>
      </c>
      <c r="AZ35" s="408">
        <f t="shared" si="37"/>
        <v>0</v>
      </c>
      <c r="BA35" s="408">
        <f t="shared" si="37"/>
        <v>0</v>
      </c>
      <c r="BB35" s="408">
        <f t="shared" si="37"/>
        <v>0</v>
      </c>
      <c r="BC35" s="408">
        <f t="shared" si="37"/>
        <v>0</v>
      </c>
      <c r="BD35" s="408">
        <f t="shared" si="37"/>
        <v>0</v>
      </c>
      <c r="BE35" s="408">
        <f t="shared" si="37"/>
        <v>0</v>
      </c>
      <c r="BF35" s="408">
        <f t="shared" si="37"/>
        <v>0</v>
      </c>
      <c r="BG35" s="408">
        <f t="shared" si="37"/>
        <v>0</v>
      </c>
      <c r="BH35" s="408">
        <f t="shared" si="37"/>
        <v>0</v>
      </c>
      <c r="BI35" s="408">
        <f t="shared" si="37"/>
        <v>0</v>
      </c>
      <c r="BJ35" s="408">
        <f t="shared" si="38"/>
        <v>0</v>
      </c>
      <c r="BK35" s="408">
        <f t="shared" si="38"/>
        <v>0</v>
      </c>
      <c r="BL35" s="408">
        <f t="shared" si="38"/>
        <v>0</v>
      </c>
      <c r="BM35" s="408">
        <f t="shared" si="38"/>
        <v>0</v>
      </c>
      <c r="BN35" s="408">
        <f t="shared" si="38"/>
        <v>0</v>
      </c>
      <c r="BO35" s="408">
        <f t="shared" si="38"/>
        <v>0</v>
      </c>
      <c r="BP35" s="408">
        <f t="shared" si="38"/>
        <v>0</v>
      </c>
      <c r="BQ35" s="408">
        <f t="shared" si="38"/>
        <v>0</v>
      </c>
      <c r="BR35" s="408">
        <f t="shared" si="38"/>
        <v>0</v>
      </c>
      <c r="BS35" s="408">
        <f t="shared" si="38"/>
        <v>0</v>
      </c>
      <c r="BT35" s="408">
        <f t="shared" si="39"/>
        <v>0</v>
      </c>
      <c r="BU35" s="408">
        <f t="shared" si="39"/>
        <v>0</v>
      </c>
      <c r="BV35" s="408">
        <f t="shared" si="39"/>
        <v>0</v>
      </c>
      <c r="BW35" s="408">
        <f t="shared" si="39"/>
        <v>0</v>
      </c>
      <c r="BX35" s="408">
        <f t="shared" si="39"/>
        <v>0</v>
      </c>
      <c r="BY35" s="408">
        <f t="shared" si="39"/>
        <v>0</v>
      </c>
      <c r="BZ35" s="408">
        <f t="shared" si="39"/>
        <v>0</v>
      </c>
      <c r="CA35" s="408">
        <f t="shared" si="39"/>
        <v>0</v>
      </c>
    </row>
    <row r="36" spans="2:79" ht="21" hidden="1" customHeight="1" outlineLevel="2">
      <c r="C36" s="370"/>
      <c r="D36" s="374">
        <f t="shared" si="40"/>
        <v>45199</v>
      </c>
      <c r="E36" s="408" cm="1">
        <f t="array" ref="E36">INDEX($AF$14:$CA$14,0,MATCH($D36,$AF$8:$CA$8,0))</f>
        <v>0</v>
      </c>
      <c r="F36" s="372"/>
      <c r="G36" s="409"/>
      <c r="H36" s="410">
        <f t="shared" si="33"/>
        <v>0</v>
      </c>
      <c r="I36" s="410">
        <f t="shared" si="33"/>
        <v>0</v>
      </c>
      <c r="J36" s="410">
        <f t="shared" si="33"/>
        <v>0</v>
      </c>
      <c r="K36" s="410">
        <f t="shared" si="33"/>
        <v>0</v>
      </c>
      <c r="M36" s="359"/>
      <c r="N36" s="410">
        <f t="shared" si="34"/>
        <v>0</v>
      </c>
      <c r="O36" s="410">
        <f t="shared" si="34"/>
        <v>0</v>
      </c>
      <c r="P36" s="410">
        <f t="shared" si="34"/>
        <v>0</v>
      </c>
      <c r="Q36" s="410">
        <f t="shared" si="34"/>
        <v>0</v>
      </c>
      <c r="R36" s="410">
        <f t="shared" si="34"/>
        <v>0</v>
      </c>
      <c r="S36" s="410">
        <f t="shared" si="34"/>
        <v>0</v>
      </c>
      <c r="T36" s="410">
        <f t="shared" si="34"/>
        <v>0</v>
      </c>
      <c r="U36" s="410">
        <f t="shared" si="34"/>
        <v>0</v>
      </c>
      <c r="V36" s="410">
        <f t="shared" si="34"/>
        <v>0</v>
      </c>
      <c r="W36" s="410">
        <f t="shared" si="34"/>
        <v>0</v>
      </c>
      <c r="X36" s="410">
        <f t="shared" si="34"/>
        <v>0</v>
      </c>
      <c r="Y36" s="410">
        <f t="shared" si="34"/>
        <v>0</v>
      </c>
      <c r="Z36" s="410">
        <f t="shared" si="34"/>
        <v>0</v>
      </c>
      <c r="AA36" s="410">
        <f t="shared" si="34"/>
        <v>0</v>
      </c>
      <c r="AB36" s="410">
        <f t="shared" si="34"/>
        <v>0</v>
      </c>
      <c r="AC36" s="410">
        <f t="shared" si="34"/>
        <v>0</v>
      </c>
      <c r="AD36" s="372"/>
      <c r="AE36" s="409"/>
      <c r="AF36" s="408">
        <f t="shared" si="35"/>
        <v>0</v>
      </c>
      <c r="AG36" s="408">
        <f t="shared" si="35"/>
        <v>0</v>
      </c>
      <c r="AH36" s="408">
        <f t="shared" si="35"/>
        <v>0</v>
      </c>
      <c r="AI36" s="408">
        <f t="shared" si="35"/>
        <v>0</v>
      </c>
      <c r="AJ36" s="408">
        <f t="shared" si="35"/>
        <v>0</v>
      </c>
      <c r="AK36" s="408">
        <f t="shared" si="35"/>
        <v>0</v>
      </c>
      <c r="AL36" s="408">
        <f t="shared" si="35"/>
        <v>0</v>
      </c>
      <c r="AM36" s="408">
        <f t="shared" si="35"/>
        <v>0</v>
      </c>
      <c r="AN36" s="408">
        <f t="shared" si="35"/>
        <v>0</v>
      </c>
      <c r="AO36" s="408">
        <f t="shared" si="35"/>
        <v>0</v>
      </c>
      <c r="AP36" s="408">
        <f t="shared" si="36"/>
        <v>0</v>
      </c>
      <c r="AQ36" s="408">
        <f t="shared" si="36"/>
        <v>0</v>
      </c>
      <c r="AR36" s="408">
        <f t="shared" si="36"/>
        <v>0</v>
      </c>
      <c r="AS36" s="408">
        <f t="shared" si="36"/>
        <v>0</v>
      </c>
      <c r="AT36" s="408">
        <f t="shared" si="36"/>
        <v>0</v>
      </c>
      <c r="AU36" s="408">
        <f t="shared" si="36"/>
        <v>0</v>
      </c>
      <c r="AV36" s="408">
        <f t="shared" si="36"/>
        <v>0</v>
      </c>
      <c r="AW36" s="408">
        <f t="shared" si="36"/>
        <v>0</v>
      </c>
      <c r="AX36" s="408">
        <f t="shared" si="36"/>
        <v>0</v>
      </c>
      <c r="AY36" s="408">
        <f t="shared" si="36"/>
        <v>0</v>
      </c>
      <c r="AZ36" s="408">
        <f t="shared" si="37"/>
        <v>0</v>
      </c>
      <c r="BA36" s="408">
        <f t="shared" si="37"/>
        <v>0</v>
      </c>
      <c r="BB36" s="408">
        <f t="shared" si="37"/>
        <v>0</v>
      </c>
      <c r="BC36" s="408">
        <f t="shared" si="37"/>
        <v>0</v>
      </c>
      <c r="BD36" s="408">
        <f t="shared" si="37"/>
        <v>0</v>
      </c>
      <c r="BE36" s="408">
        <f t="shared" si="37"/>
        <v>0</v>
      </c>
      <c r="BF36" s="408">
        <f t="shared" si="37"/>
        <v>0</v>
      </c>
      <c r="BG36" s="408">
        <f t="shared" si="37"/>
        <v>0</v>
      </c>
      <c r="BH36" s="408">
        <f t="shared" si="37"/>
        <v>0</v>
      </c>
      <c r="BI36" s="408">
        <f t="shared" si="37"/>
        <v>0</v>
      </c>
      <c r="BJ36" s="408">
        <f t="shared" si="38"/>
        <v>0</v>
      </c>
      <c r="BK36" s="408">
        <f t="shared" si="38"/>
        <v>0</v>
      </c>
      <c r="BL36" s="408">
        <f t="shared" si="38"/>
        <v>0</v>
      </c>
      <c r="BM36" s="408">
        <f t="shared" si="38"/>
        <v>0</v>
      </c>
      <c r="BN36" s="408">
        <f t="shared" si="38"/>
        <v>0</v>
      </c>
      <c r="BO36" s="408">
        <f t="shared" si="38"/>
        <v>0</v>
      </c>
      <c r="BP36" s="408">
        <f t="shared" si="38"/>
        <v>0</v>
      </c>
      <c r="BQ36" s="408">
        <f t="shared" si="38"/>
        <v>0</v>
      </c>
      <c r="BR36" s="408">
        <f t="shared" si="38"/>
        <v>0</v>
      </c>
      <c r="BS36" s="408">
        <f t="shared" si="38"/>
        <v>0</v>
      </c>
      <c r="BT36" s="408">
        <f t="shared" si="39"/>
        <v>0</v>
      </c>
      <c r="BU36" s="408">
        <f t="shared" si="39"/>
        <v>0</v>
      </c>
      <c r="BV36" s="408">
        <f t="shared" si="39"/>
        <v>0</v>
      </c>
      <c r="BW36" s="408">
        <f t="shared" si="39"/>
        <v>0</v>
      </c>
      <c r="BX36" s="408">
        <f t="shared" si="39"/>
        <v>0</v>
      </c>
      <c r="BY36" s="408">
        <f t="shared" si="39"/>
        <v>0</v>
      </c>
      <c r="BZ36" s="408">
        <f t="shared" si="39"/>
        <v>0</v>
      </c>
      <c r="CA36" s="408">
        <f t="shared" si="39"/>
        <v>0</v>
      </c>
    </row>
    <row r="37" spans="2:79" ht="21" hidden="1" customHeight="1" outlineLevel="2">
      <c r="C37" s="370"/>
      <c r="D37" s="374">
        <f t="shared" si="40"/>
        <v>45230</v>
      </c>
      <c r="E37" s="408" cm="1">
        <f t="array" ref="E37">INDEX($AF$14:$CA$14,0,MATCH($D37,$AF$8:$CA$8,0))</f>
        <v>0</v>
      </c>
      <c r="F37" s="372"/>
      <c r="G37" s="409"/>
      <c r="H37" s="410">
        <f t="shared" si="33"/>
        <v>0</v>
      </c>
      <c r="I37" s="410">
        <f t="shared" si="33"/>
        <v>0</v>
      </c>
      <c r="J37" s="410">
        <f t="shared" si="33"/>
        <v>0</v>
      </c>
      <c r="K37" s="410">
        <f t="shared" si="33"/>
        <v>0</v>
      </c>
      <c r="M37" s="359"/>
      <c r="N37" s="410">
        <f t="shared" si="34"/>
        <v>0</v>
      </c>
      <c r="O37" s="410">
        <f t="shared" si="34"/>
        <v>0</v>
      </c>
      <c r="P37" s="410">
        <f t="shared" si="34"/>
        <v>0</v>
      </c>
      <c r="Q37" s="410">
        <f t="shared" si="34"/>
        <v>0</v>
      </c>
      <c r="R37" s="410">
        <f t="shared" si="34"/>
        <v>0</v>
      </c>
      <c r="S37" s="410">
        <f t="shared" si="34"/>
        <v>0</v>
      </c>
      <c r="T37" s="410">
        <f t="shared" si="34"/>
        <v>0</v>
      </c>
      <c r="U37" s="410">
        <f t="shared" si="34"/>
        <v>0</v>
      </c>
      <c r="V37" s="410">
        <f t="shared" si="34"/>
        <v>0</v>
      </c>
      <c r="W37" s="410">
        <f t="shared" si="34"/>
        <v>0</v>
      </c>
      <c r="X37" s="410">
        <f t="shared" si="34"/>
        <v>0</v>
      </c>
      <c r="Y37" s="410">
        <f t="shared" si="34"/>
        <v>0</v>
      </c>
      <c r="Z37" s="410">
        <f t="shared" si="34"/>
        <v>0</v>
      </c>
      <c r="AA37" s="410">
        <f t="shared" si="34"/>
        <v>0</v>
      </c>
      <c r="AB37" s="410">
        <f t="shared" si="34"/>
        <v>0</v>
      </c>
      <c r="AC37" s="410">
        <f t="shared" si="34"/>
        <v>0</v>
      </c>
      <c r="AD37" s="372"/>
      <c r="AE37" s="409"/>
      <c r="AF37" s="408">
        <f t="shared" si="35"/>
        <v>0</v>
      </c>
      <c r="AG37" s="408">
        <f t="shared" si="35"/>
        <v>0</v>
      </c>
      <c r="AH37" s="408">
        <f t="shared" si="35"/>
        <v>0</v>
      </c>
      <c r="AI37" s="408">
        <f t="shared" si="35"/>
        <v>0</v>
      </c>
      <c r="AJ37" s="408">
        <f t="shared" si="35"/>
        <v>0</v>
      </c>
      <c r="AK37" s="408">
        <f t="shared" si="35"/>
        <v>0</v>
      </c>
      <c r="AL37" s="408">
        <f t="shared" si="35"/>
        <v>0</v>
      </c>
      <c r="AM37" s="408">
        <f t="shared" si="35"/>
        <v>0</v>
      </c>
      <c r="AN37" s="408">
        <f t="shared" si="35"/>
        <v>0</v>
      </c>
      <c r="AO37" s="408">
        <f t="shared" si="35"/>
        <v>0</v>
      </c>
      <c r="AP37" s="408">
        <f t="shared" si="36"/>
        <v>0</v>
      </c>
      <c r="AQ37" s="408">
        <f t="shared" si="36"/>
        <v>0</v>
      </c>
      <c r="AR37" s="408">
        <f t="shared" si="36"/>
        <v>0</v>
      </c>
      <c r="AS37" s="408">
        <f t="shared" si="36"/>
        <v>0</v>
      </c>
      <c r="AT37" s="408">
        <f t="shared" si="36"/>
        <v>0</v>
      </c>
      <c r="AU37" s="408">
        <f t="shared" si="36"/>
        <v>0</v>
      </c>
      <c r="AV37" s="408">
        <f t="shared" si="36"/>
        <v>0</v>
      </c>
      <c r="AW37" s="408">
        <f t="shared" si="36"/>
        <v>0</v>
      </c>
      <c r="AX37" s="408">
        <f t="shared" si="36"/>
        <v>0</v>
      </c>
      <c r="AY37" s="408">
        <f t="shared" si="36"/>
        <v>0</v>
      </c>
      <c r="AZ37" s="408">
        <f t="shared" si="37"/>
        <v>0</v>
      </c>
      <c r="BA37" s="408">
        <f t="shared" si="37"/>
        <v>0</v>
      </c>
      <c r="BB37" s="408">
        <f t="shared" si="37"/>
        <v>0</v>
      </c>
      <c r="BC37" s="408">
        <f t="shared" si="37"/>
        <v>0</v>
      </c>
      <c r="BD37" s="408">
        <f t="shared" si="37"/>
        <v>0</v>
      </c>
      <c r="BE37" s="408">
        <f t="shared" si="37"/>
        <v>0</v>
      </c>
      <c r="BF37" s="408">
        <f t="shared" si="37"/>
        <v>0</v>
      </c>
      <c r="BG37" s="408">
        <f t="shared" si="37"/>
        <v>0</v>
      </c>
      <c r="BH37" s="408">
        <f t="shared" si="37"/>
        <v>0</v>
      </c>
      <c r="BI37" s="408">
        <f t="shared" si="37"/>
        <v>0</v>
      </c>
      <c r="BJ37" s="408">
        <f t="shared" si="38"/>
        <v>0</v>
      </c>
      <c r="BK37" s="408">
        <f t="shared" si="38"/>
        <v>0</v>
      </c>
      <c r="BL37" s="408">
        <f t="shared" si="38"/>
        <v>0</v>
      </c>
      <c r="BM37" s="408">
        <f t="shared" si="38"/>
        <v>0</v>
      </c>
      <c r="BN37" s="408">
        <f t="shared" si="38"/>
        <v>0</v>
      </c>
      <c r="BO37" s="408">
        <f t="shared" si="38"/>
        <v>0</v>
      </c>
      <c r="BP37" s="408">
        <f t="shared" si="38"/>
        <v>0</v>
      </c>
      <c r="BQ37" s="408">
        <f t="shared" si="38"/>
        <v>0</v>
      </c>
      <c r="BR37" s="408">
        <f t="shared" si="38"/>
        <v>0</v>
      </c>
      <c r="BS37" s="408">
        <f t="shared" si="38"/>
        <v>0</v>
      </c>
      <c r="BT37" s="408">
        <f t="shared" si="39"/>
        <v>0</v>
      </c>
      <c r="BU37" s="408">
        <f t="shared" si="39"/>
        <v>0</v>
      </c>
      <c r="BV37" s="408">
        <f t="shared" si="39"/>
        <v>0</v>
      </c>
      <c r="BW37" s="408">
        <f t="shared" si="39"/>
        <v>0</v>
      </c>
      <c r="BX37" s="408">
        <f t="shared" si="39"/>
        <v>0</v>
      </c>
      <c r="BY37" s="408">
        <f t="shared" si="39"/>
        <v>0</v>
      </c>
      <c r="BZ37" s="408">
        <f t="shared" si="39"/>
        <v>0</v>
      </c>
      <c r="CA37" s="408">
        <f t="shared" si="39"/>
        <v>0</v>
      </c>
    </row>
    <row r="38" spans="2:79" ht="21" hidden="1" customHeight="1" outlineLevel="2">
      <c r="C38" s="370"/>
      <c r="D38" s="374">
        <f t="shared" si="40"/>
        <v>45260</v>
      </c>
      <c r="E38" s="408" cm="1">
        <f t="array" ref="E38">INDEX($AF$14:$CA$14,0,MATCH($D38,$AF$8:$CA$8,0))</f>
        <v>0</v>
      </c>
      <c r="F38" s="372"/>
      <c r="G38" s="409"/>
      <c r="H38" s="410">
        <f t="shared" si="33"/>
        <v>0</v>
      </c>
      <c r="I38" s="410">
        <f t="shared" si="33"/>
        <v>0</v>
      </c>
      <c r="J38" s="410">
        <f t="shared" si="33"/>
        <v>0</v>
      </c>
      <c r="K38" s="410">
        <f t="shared" si="33"/>
        <v>0</v>
      </c>
      <c r="M38" s="359"/>
      <c r="N38" s="410">
        <f t="shared" ref="N38:AC47" si="41">SUMIFS($AF38:$CA38,$AF$4:$CA$4,"&gt;="&amp;N$4,$AF$5:$CA$5,"&lt;="&amp;N$5)</f>
        <v>0</v>
      </c>
      <c r="O38" s="410">
        <f t="shared" si="41"/>
        <v>0</v>
      </c>
      <c r="P38" s="410">
        <f t="shared" si="41"/>
        <v>0</v>
      </c>
      <c r="Q38" s="410">
        <f t="shared" si="41"/>
        <v>0</v>
      </c>
      <c r="R38" s="410">
        <f t="shared" si="41"/>
        <v>0</v>
      </c>
      <c r="S38" s="410">
        <f t="shared" si="41"/>
        <v>0</v>
      </c>
      <c r="T38" s="410">
        <f t="shared" si="41"/>
        <v>0</v>
      </c>
      <c r="U38" s="410">
        <f t="shared" si="41"/>
        <v>0</v>
      </c>
      <c r="V38" s="410">
        <f t="shared" si="41"/>
        <v>0</v>
      </c>
      <c r="W38" s="410">
        <f t="shared" si="41"/>
        <v>0</v>
      </c>
      <c r="X38" s="410">
        <f t="shared" si="41"/>
        <v>0</v>
      </c>
      <c r="Y38" s="410">
        <f t="shared" si="41"/>
        <v>0</v>
      </c>
      <c r="Z38" s="410">
        <f t="shared" si="41"/>
        <v>0</v>
      </c>
      <c r="AA38" s="410">
        <f t="shared" si="41"/>
        <v>0</v>
      </c>
      <c r="AB38" s="410">
        <f t="shared" si="41"/>
        <v>0</v>
      </c>
      <c r="AC38" s="410">
        <f t="shared" si="41"/>
        <v>0</v>
      </c>
      <c r="AD38" s="372"/>
      <c r="AE38" s="409"/>
      <c r="AF38" s="408">
        <f t="shared" ref="AF38:AO47" si="42">IF(AND(AF$8&gt;=$D38,(MATCH(AF$8,$AF$8:$CA$8,0)-MATCH($D38,$AF$8:$CA$8,0))&lt;3),$E38/3,0)</f>
        <v>0</v>
      </c>
      <c r="AG38" s="408">
        <f t="shared" si="42"/>
        <v>0</v>
      </c>
      <c r="AH38" s="408">
        <f t="shared" si="42"/>
        <v>0</v>
      </c>
      <c r="AI38" s="408">
        <f t="shared" si="42"/>
        <v>0</v>
      </c>
      <c r="AJ38" s="408">
        <f t="shared" si="42"/>
        <v>0</v>
      </c>
      <c r="AK38" s="408">
        <f t="shared" si="42"/>
        <v>0</v>
      </c>
      <c r="AL38" s="408">
        <f t="shared" si="42"/>
        <v>0</v>
      </c>
      <c r="AM38" s="408">
        <f t="shared" si="42"/>
        <v>0</v>
      </c>
      <c r="AN38" s="408">
        <f t="shared" si="42"/>
        <v>0</v>
      </c>
      <c r="AO38" s="408">
        <f t="shared" si="42"/>
        <v>0</v>
      </c>
      <c r="AP38" s="408">
        <f t="shared" ref="AP38:AY47" si="43">IF(AND(AP$8&gt;=$D38,(MATCH(AP$8,$AF$8:$CA$8,0)-MATCH($D38,$AF$8:$CA$8,0))&lt;3),$E38/3,0)</f>
        <v>0</v>
      </c>
      <c r="AQ38" s="408">
        <f t="shared" si="43"/>
        <v>0</v>
      </c>
      <c r="AR38" s="408">
        <f t="shared" si="43"/>
        <v>0</v>
      </c>
      <c r="AS38" s="408">
        <f t="shared" si="43"/>
        <v>0</v>
      </c>
      <c r="AT38" s="408">
        <f t="shared" si="43"/>
        <v>0</v>
      </c>
      <c r="AU38" s="408">
        <f t="shared" si="43"/>
        <v>0</v>
      </c>
      <c r="AV38" s="408">
        <f t="shared" si="43"/>
        <v>0</v>
      </c>
      <c r="AW38" s="408">
        <f t="shared" si="43"/>
        <v>0</v>
      </c>
      <c r="AX38" s="408">
        <f t="shared" si="43"/>
        <v>0</v>
      </c>
      <c r="AY38" s="408">
        <f t="shared" si="43"/>
        <v>0</v>
      </c>
      <c r="AZ38" s="408">
        <f t="shared" ref="AZ38:BI47" si="44">IF(AND(AZ$8&gt;=$D38,(MATCH(AZ$8,$AF$8:$CA$8,0)-MATCH($D38,$AF$8:$CA$8,0))&lt;3),$E38/3,0)</f>
        <v>0</v>
      </c>
      <c r="BA38" s="408">
        <f t="shared" si="44"/>
        <v>0</v>
      </c>
      <c r="BB38" s="408">
        <f t="shared" si="44"/>
        <v>0</v>
      </c>
      <c r="BC38" s="408">
        <f t="shared" si="44"/>
        <v>0</v>
      </c>
      <c r="BD38" s="408">
        <f t="shared" si="44"/>
        <v>0</v>
      </c>
      <c r="BE38" s="408">
        <f t="shared" si="44"/>
        <v>0</v>
      </c>
      <c r="BF38" s="408">
        <f t="shared" si="44"/>
        <v>0</v>
      </c>
      <c r="BG38" s="408">
        <f t="shared" si="44"/>
        <v>0</v>
      </c>
      <c r="BH38" s="408">
        <f t="shared" si="44"/>
        <v>0</v>
      </c>
      <c r="BI38" s="408">
        <f t="shared" si="44"/>
        <v>0</v>
      </c>
      <c r="BJ38" s="408">
        <f t="shared" ref="BJ38:BS47" si="45">IF(AND(BJ$8&gt;=$D38,(MATCH(BJ$8,$AF$8:$CA$8,0)-MATCH($D38,$AF$8:$CA$8,0))&lt;3),$E38/3,0)</f>
        <v>0</v>
      </c>
      <c r="BK38" s="408">
        <f t="shared" si="45"/>
        <v>0</v>
      </c>
      <c r="BL38" s="408">
        <f t="shared" si="45"/>
        <v>0</v>
      </c>
      <c r="BM38" s="408">
        <f t="shared" si="45"/>
        <v>0</v>
      </c>
      <c r="BN38" s="408">
        <f t="shared" si="45"/>
        <v>0</v>
      </c>
      <c r="BO38" s="408">
        <f t="shared" si="45"/>
        <v>0</v>
      </c>
      <c r="BP38" s="408">
        <f t="shared" si="45"/>
        <v>0</v>
      </c>
      <c r="BQ38" s="408">
        <f t="shared" si="45"/>
        <v>0</v>
      </c>
      <c r="BR38" s="408">
        <f t="shared" si="45"/>
        <v>0</v>
      </c>
      <c r="BS38" s="408">
        <f t="shared" si="45"/>
        <v>0</v>
      </c>
      <c r="BT38" s="408">
        <f t="shared" ref="BT38:CA47" si="46">IF(AND(BT$8&gt;=$D38,(MATCH(BT$8,$AF$8:$CA$8,0)-MATCH($D38,$AF$8:$CA$8,0))&lt;3),$E38/3,0)</f>
        <v>0</v>
      </c>
      <c r="BU38" s="408">
        <f t="shared" si="46"/>
        <v>0</v>
      </c>
      <c r="BV38" s="408">
        <f t="shared" si="46"/>
        <v>0</v>
      </c>
      <c r="BW38" s="408">
        <f t="shared" si="46"/>
        <v>0</v>
      </c>
      <c r="BX38" s="408">
        <f t="shared" si="46"/>
        <v>0</v>
      </c>
      <c r="BY38" s="408">
        <f t="shared" si="46"/>
        <v>0</v>
      </c>
      <c r="BZ38" s="408">
        <f t="shared" si="46"/>
        <v>0</v>
      </c>
      <c r="CA38" s="408">
        <f t="shared" si="46"/>
        <v>0</v>
      </c>
    </row>
    <row r="39" spans="2:79" ht="21" hidden="1" customHeight="1" outlineLevel="2">
      <c r="C39" s="370"/>
      <c r="D39" s="374">
        <f t="shared" si="40"/>
        <v>45291</v>
      </c>
      <c r="E39" s="408" cm="1">
        <f t="array" ref="E39">INDEX($AF$14:$CA$14,0,MATCH($D39,$AF$8:$CA$8,0))</f>
        <v>0</v>
      </c>
      <c r="F39" s="372"/>
      <c r="G39" s="409"/>
      <c r="H39" s="410">
        <f t="shared" si="33"/>
        <v>0</v>
      </c>
      <c r="I39" s="410">
        <f t="shared" si="33"/>
        <v>0</v>
      </c>
      <c r="J39" s="410">
        <f t="shared" si="33"/>
        <v>0</v>
      </c>
      <c r="K39" s="410">
        <f t="shared" si="33"/>
        <v>0</v>
      </c>
      <c r="M39" s="359"/>
      <c r="N39" s="410">
        <f t="shared" si="41"/>
        <v>0</v>
      </c>
      <c r="O39" s="410">
        <f t="shared" si="41"/>
        <v>0</v>
      </c>
      <c r="P39" s="410">
        <f t="shared" si="41"/>
        <v>0</v>
      </c>
      <c r="Q39" s="410">
        <f t="shared" si="41"/>
        <v>0</v>
      </c>
      <c r="R39" s="410">
        <f t="shared" si="41"/>
        <v>0</v>
      </c>
      <c r="S39" s="410">
        <f t="shared" si="41"/>
        <v>0</v>
      </c>
      <c r="T39" s="410">
        <f t="shared" si="41"/>
        <v>0</v>
      </c>
      <c r="U39" s="410">
        <f t="shared" si="41"/>
        <v>0</v>
      </c>
      <c r="V39" s="410">
        <f t="shared" si="41"/>
        <v>0</v>
      </c>
      <c r="W39" s="410">
        <f t="shared" si="41"/>
        <v>0</v>
      </c>
      <c r="X39" s="410">
        <f t="shared" si="41"/>
        <v>0</v>
      </c>
      <c r="Y39" s="410">
        <f t="shared" si="41"/>
        <v>0</v>
      </c>
      <c r="Z39" s="410">
        <f t="shared" si="41"/>
        <v>0</v>
      </c>
      <c r="AA39" s="410">
        <f t="shared" si="41"/>
        <v>0</v>
      </c>
      <c r="AB39" s="410">
        <f t="shared" si="41"/>
        <v>0</v>
      </c>
      <c r="AC39" s="410">
        <f t="shared" si="41"/>
        <v>0</v>
      </c>
      <c r="AD39" s="372"/>
      <c r="AE39" s="409"/>
      <c r="AF39" s="408">
        <f t="shared" si="42"/>
        <v>0</v>
      </c>
      <c r="AG39" s="408">
        <f t="shared" si="42"/>
        <v>0</v>
      </c>
      <c r="AH39" s="408">
        <f t="shared" si="42"/>
        <v>0</v>
      </c>
      <c r="AI39" s="408">
        <f t="shared" si="42"/>
        <v>0</v>
      </c>
      <c r="AJ39" s="408">
        <f t="shared" si="42"/>
        <v>0</v>
      </c>
      <c r="AK39" s="408">
        <f t="shared" si="42"/>
        <v>0</v>
      </c>
      <c r="AL39" s="408">
        <f t="shared" si="42"/>
        <v>0</v>
      </c>
      <c r="AM39" s="408">
        <f t="shared" si="42"/>
        <v>0</v>
      </c>
      <c r="AN39" s="408">
        <f t="shared" si="42"/>
        <v>0</v>
      </c>
      <c r="AO39" s="408">
        <f t="shared" si="42"/>
        <v>0</v>
      </c>
      <c r="AP39" s="408">
        <f t="shared" si="43"/>
        <v>0</v>
      </c>
      <c r="AQ39" s="408">
        <f t="shared" si="43"/>
        <v>0</v>
      </c>
      <c r="AR39" s="408">
        <f t="shared" si="43"/>
        <v>0</v>
      </c>
      <c r="AS39" s="408">
        <f t="shared" si="43"/>
        <v>0</v>
      </c>
      <c r="AT39" s="408">
        <f t="shared" si="43"/>
        <v>0</v>
      </c>
      <c r="AU39" s="408">
        <f t="shared" si="43"/>
        <v>0</v>
      </c>
      <c r="AV39" s="408">
        <f t="shared" si="43"/>
        <v>0</v>
      </c>
      <c r="AW39" s="408">
        <f t="shared" si="43"/>
        <v>0</v>
      </c>
      <c r="AX39" s="408">
        <f t="shared" si="43"/>
        <v>0</v>
      </c>
      <c r="AY39" s="408">
        <f t="shared" si="43"/>
        <v>0</v>
      </c>
      <c r="AZ39" s="408">
        <f t="shared" si="44"/>
        <v>0</v>
      </c>
      <c r="BA39" s="408">
        <f t="shared" si="44"/>
        <v>0</v>
      </c>
      <c r="BB39" s="408">
        <f t="shared" si="44"/>
        <v>0</v>
      </c>
      <c r="BC39" s="408">
        <f t="shared" si="44"/>
        <v>0</v>
      </c>
      <c r="BD39" s="408">
        <f t="shared" si="44"/>
        <v>0</v>
      </c>
      <c r="BE39" s="408">
        <f t="shared" si="44"/>
        <v>0</v>
      </c>
      <c r="BF39" s="408">
        <f t="shared" si="44"/>
        <v>0</v>
      </c>
      <c r="BG39" s="408">
        <f t="shared" si="44"/>
        <v>0</v>
      </c>
      <c r="BH39" s="408">
        <f t="shared" si="44"/>
        <v>0</v>
      </c>
      <c r="BI39" s="408">
        <f t="shared" si="44"/>
        <v>0</v>
      </c>
      <c r="BJ39" s="408">
        <f t="shared" si="45"/>
        <v>0</v>
      </c>
      <c r="BK39" s="408">
        <f t="shared" si="45"/>
        <v>0</v>
      </c>
      <c r="BL39" s="408">
        <f t="shared" si="45"/>
        <v>0</v>
      </c>
      <c r="BM39" s="408">
        <f t="shared" si="45"/>
        <v>0</v>
      </c>
      <c r="BN39" s="408">
        <f t="shared" si="45"/>
        <v>0</v>
      </c>
      <c r="BO39" s="408">
        <f t="shared" si="45"/>
        <v>0</v>
      </c>
      <c r="BP39" s="408">
        <f t="shared" si="45"/>
        <v>0</v>
      </c>
      <c r="BQ39" s="408">
        <f t="shared" si="45"/>
        <v>0</v>
      </c>
      <c r="BR39" s="408">
        <f t="shared" si="45"/>
        <v>0</v>
      </c>
      <c r="BS39" s="408">
        <f t="shared" si="45"/>
        <v>0</v>
      </c>
      <c r="BT39" s="408">
        <f t="shared" si="46"/>
        <v>0</v>
      </c>
      <c r="BU39" s="408">
        <f t="shared" si="46"/>
        <v>0</v>
      </c>
      <c r="BV39" s="408">
        <f t="shared" si="46"/>
        <v>0</v>
      </c>
      <c r="BW39" s="408">
        <f t="shared" si="46"/>
        <v>0</v>
      </c>
      <c r="BX39" s="408">
        <f t="shared" si="46"/>
        <v>0</v>
      </c>
      <c r="BY39" s="408">
        <f t="shared" si="46"/>
        <v>0</v>
      </c>
      <c r="BZ39" s="408">
        <f t="shared" si="46"/>
        <v>0</v>
      </c>
      <c r="CA39" s="408">
        <f t="shared" si="46"/>
        <v>0</v>
      </c>
    </row>
    <row r="40" spans="2:79" ht="21" hidden="1" customHeight="1" outlineLevel="2">
      <c r="C40" s="370"/>
      <c r="D40" s="374">
        <f t="shared" si="40"/>
        <v>45322</v>
      </c>
      <c r="E40" s="408" cm="1">
        <f t="array" ref="E40">INDEX($AF$14:$CA$14,0,MATCH($D40,$AF$8:$CA$8,0))</f>
        <v>0</v>
      </c>
      <c r="F40" s="372"/>
      <c r="G40" s="409"/>
      <c r="H40" s="410">
        <f t="shared" si="33"/>
        <v>0</v>
      </c>
      <c r="I40" s="410">
        <f t="shared" si="33"/>
        <v>0</v>
      </c>
      <c r="J40" s="410">
        <f t="shared" si="33"/>
        <v>0</v>
      </c>
      <c r="K40" s="410">
        <f t="shared" si="33"/>
        <v>0</v>
      </c>
      <c r="M40" s="359"/>
      <c r="N40" s="410">
        <f t="shared" si="41"/>
        <v>0</v>
      </c>
      <c r="O40" s="410">
        <f t="shared" si="41"/>
        <v>0</v>
      </c>
      <c r="P40" s="410">
        <f t="shared" si="41"/>
        <v>0</v>
      </c>
      <c r="Q40" s="410">
        <f t="shared" si="41"/>
        <v>0</v>
      </c>
      <c r="R40" s="410">
        <f t="shared" si="41"/>
        <v>0</v>
      </c>
      <c r="S40" s="410">
        <f t="shared" si="41"/>
        <v>0</v>
      </c>
      <c r="T40" s="410">
        <f t="shared" si="41"/>
        <v>0</v>
      </c>
      <c r="U40" s="410">
        <f t="shared" si="41"/>
        <v>0</v>
      </c>
      <c r="V40" s="410">
        <f t="shared" si="41"/>
        <v>0</v>
      </c>
      <c r="W40" s="410">
        <f t="shared" si="41"/>
        <v>0</v>
      </c>
      <c r="X40" s="410">
        <f t="shared" si="41"/>
        <v>0</v>
      </c>
      <c r="Y40" s="410">
        <f t="shared" si="41"/>
        <v>0</v>
      </c>
      <c r="Z40" s="410">
        <f t="shared" si="41"/>
        <v>0</v>
      </c>
      <c r="AA40" s="410">
        <f t="shared" si="41"/>
        <v>0</v>
      </c>
      <c r="AB40" s="410">
        <f t="shared" si="41"/>
        <v>0</v>
      </c>
      <c r="AC40" s="410">
        <f t="shared" si="41"/>
        <v>0</v>
      </c>
      <c r="AD40" s="372"/>
      <c r="AE40" s="409"/>
      <c r="AF40" s="408">
        <f t="shared" si="42"/>
        <v>0</v>
      </c>
      <c r="AG40" s="408">
        <f t="shared" si="42"/>
        <v>0</v>
      </c>
      <c r="AH40" s="408">
        <f t="shared" si="42"/>
        <v>0</v>
      </c>
      <c r="AI40" s="408">
        <f t="shared" si="42"/>
        <v>0</v>
      </c>
      <c r="AJ40" s="408">
        <f t="shared" si="42"/>
        <v>0</v>
      </c>
      <c r="AK40" s="408">
        <f t="shared" si="42"/>
        <v>0</v>
      </c>
      <c r="AL40" s="408">
        <f t="shared" si="42"/>
        <v>0</v>
      </c>
      <c r="AM40" s="408">
        <f t="shared" si="42"/>
        <v>0</v>
      </c>
      <c r="AN40" s="408">
        <f t="shared" si="42"/>
        <v>0</v>
      </c>
      <c r="AO40" s="408">
        <f t="shared" si="42"/>
        <v>0</v>
      </c>
      <c r="AP40" s="408">
        <f t="shared" si="43"/>
        <v>0</v>
      </c>
      <c r="AQ40" s="408">
        <f t="shared" si="43"/>
        <v>0</v>
      </c>
      <c r="AR40" s="408">
        <f t="shared" si="43"/>
        <v>0</v>
      </c>
      <c r="AS40" s="408">
        <f t="shared" si="43"/>
        <v>0</v>
      </c>
      <c r="AT40" s="408">
        <f t="shared" si="43"/>
        <v>0</v>
      </c>
      <c r="AU40" s="408">
        <f t="shared" si="43"/>
        <v>0</v>
      </c>
      <c r="AV40" s="408">
        <f t="shared" si="43"/>
        <v>0</v>
      </c>
      <c r="AW40" s="408">
        <f t="shared" si="43"/>
        <v>0</v>
      </c>
      <c r="AX40" s="408">
        <f t="shared" si="43"/>
        <v>0</v>
      </c>
      <c r="AY40" s="408">
        <f t="shared" si="43"/>
        <v>0</v>
      </c>
      <c r="AZ40" s="408">
        <f t="shared" si="44"/>
        <v>0</v>
      </c>
      <c r="BA40" s="408">
        <f t="shared" si="44"/>
        <v>0</v>
      </c>
      <c r="BB40" s="408">
        <f t="shared" si="44"/>
        <v>0</v>
      </c>
      <c r="BC40" s="408">
        <f t="shared" si="44"/>
        <v>0</v>
      </c>
      <c r="BD40" s="408">
        <f t="shared" si="44"/>
        <v>0</v>
      </c>
      <c r="BE40" s="408">
        <f t="shared" si="44"/>
        <v>0</v>
      </c>
      <c r="BF40" s="408">
        <f t="shared" si="44"/>
        <v>0</v>
      </c>
      <c r="BG40" s="408">
        <f t="shared" si="44"/>
        <v>0</v>
      </c>
      <c r="BH40" s="408">
        <f t="shared" si="44"/>
        <v>0</v>
      </c>
      <c r="BI40" s="408">
        <f t="shared" si="44"/>
        <v>0</v>
      </c>
      <c r="BJ40" s="408">
        <f t="shared" si="45"/>
        <v>0</v>
      </c>
      <c r="BK40" s="408">
        <f t="shared" si="45"/>
        <v>0</v>
      </c>
      <c r="BL40" s="408">
        <f t="shared" si="45"/>
        <v>0</v>
      </c>
      <c r="BM40" s="408">
        <f t="shared" si="45"/>
        <v>0</v>
      </c>
      <c r="BN40" s="408">
        <f t="shared" si="45"/>
        <v>0</v>
      </c>
      <c r="BO40" s="408">
        <f t="shared" si="45"/>
        <v>0</v>
      </c>
      <c r="BP40" s="408">
        <f t="shared" si="45"/>
        <v>0</v>
      </c>
      <c r="BQ40" s="408">
        <f t="shared" si="45"/>
        <v>0</v>
      </c>
      <c r="BR40" s="408">
        <f t="shared" si="45"/>
        <v>0</v>
      </c>
      <c r="BS40" s="408">
        <f t="shared" si="45"/>
        <v>0</v>
      </c>
      <c r="BT40" s="408">
        <f t="shared" si="46"/>
        <v>0</v>
      </c>
      <c r="BU40" s="408">
        <f t="shared" si="46"/>
        <v>0</v>
      </c>
      <c r="BV40" s="408">
        <f t="shared" si="46"/>
        <v>0</v>
      </c>
      <c r="BW40" s="408">
        <f t="shared" si="46"/>
        <v>0</v>
      </c>
      <c r="BX40" s="408">
        <f t="shared" si="46"/>
        <v>0</v>
      </c>
      <c r="BY40" s="408">
        <f t="shared" si="46"/>
        <v>0</v>
      </c>
      <c r="BZ40" s="408">
        <f t="shared" si="46"/>
        <v>0</v>
      </c>
      <c r="CA40" s="408">
        <f t="shared" si="46"/>
        <v>0</v>
      </c>
    </row>
    <row r="41" spans="2:79" ht="21" hidden="1" customHeight="1" outlineLevel="2">
      <c r="C41" s="370"/>
      <c r="D41" s="374">
        <f t="shared" si="40"/>
        <v>45351</v>
      </c>
      <c r="E41" s="408" cm="1">
        <f t="array" ref="E41">INDEX($AF$14:$CA$14,0,MATCH($D41,$AF$8:$CA$8,0))</f>
        <v>0</v>
      </c>
      <c r="F41" s="372"/>
      <c r="G41" s="409"/>
      <c r="H41" s="410">
        <f t="shared" si="33"/>
        <v>0</v>
      </c>
      <c r="I41" s="410">
        <f t="shared" si="33"/>
        <v>0</v>
      </c>
      <c r="J41" s="410">
        <f t="shared" si="33"/>
        <v>0</v>
      </c>
      <c r="K41" s="410">
        <f t="shared" si="33"/>
        <v>0</v>
      </c>
      <c r="M41" s="359"/>
      <c r="N41" s="410">
        <f t="shared" si="41"/>
        <v>0</v>
      </c>
      <c r="O41" s="410">
        <f t="shared" si="41"/>
        <v>0</v>
      </c>
      <c r="P41" s="410">
        <f t="shared" si="41"/>
        <v>0</v>
      </c>
      <c r="Q41" s="410">
        <f t="shared" si="41"/>
        <v>0</v>
      </c>
      <c r="R41" s="410">
        <f t="shared" si="41"/>
        <v>0</v>
      </c>
      <c r="S41" s="410">
        <f t="shared" si="41"/>
        <v>0</v>
      </c>
      <c r="T41" s="410">
        <f t="shared" si="41"/>
        <v>0</v>
      </c>
      <c r="U41" s="410">
        <f t="shared" si="41"/>
        <v>0</v>
      </c>
      <c r="V41" s="410">
        <f t="shared" si="41"/>
        <v>0</v>
      </c>
      <c r="W41" s="410">
        <f t="shared" si="41"/>
        <v>0</v>
      </c>
      <c r="X41" s="410">
        <f t="shared" si="41"/>
        <v>0</v>
      </c>
      <c r="Y41" s="410">
        <f t="shared" si="41"/>
        <v>0</v>
      </c>
      <c r="Z41" s="410">
        <f t="shared" si="41"/>
        <v>0</v>
      </c>
      <c r="AA41" s="410">
        <f t="shared" si="41"/>
        <v>0</v>
      </c>
      <c r="AB41" s="410">
        <f t="shared" si="41"/>
        <v>0</v>
      </c>
      <c r="AC41" s="410">
        <f t="shared" si="41"/>
        <v>0</v>
      </c>
      <c r="AD41" s="372"/>
      <c r="AE41" s="409"/>
      <c r="AF41" s="408">
        <f t="shared" si="42"/>
        <v>0</v>
      </c>
      <c r="AG41" s="408">
        <f t="shared" si="42"/>
        <v>0</v>
      </c>
      <c r="AH41" s="408">
        <f t="shared" si="42"/>
        <v>0</v>
      </c>
      <c r="AI41" s="408">
        <f t="shared" si="42"/>
        <v>0</v>
      </c>
      <c r="AJ41" s="408">
        <f t="shared" si="42"/>
        <v>0</v>
      </c>
      <c r="AK41" s="408">
        <f t="shared" si="42"/>
        <v>0</v>
      </c>
      <c r="AL41" s="408">
        <f t="shared" si="42"/>
        <v>0</v>
      </c>
      <c r="AM41" s="408">
        <f t="shared" si="42"/>
        <v>0</v>
      </c>
      <c r="AN41" s="408">
        <f t="shared" si="42"/>
        <v>0</v>
      </c>
      <c r="AO41" s="408">
        <f t="shared" si="42"/>
        <v>0</v>
      </c>
      <c r="AP41" s="408">
        <f t="shared" si="43"/>
        <v>0</v>
      </c>
      <c r="AQ41" s="408">
        <f t="shared" si="43"/>
        <v>0</v>
      </c>
      <c r="AR41" s="408">
        <f t="shared" si="43"/>
        <v>0</v>
      </c>
      <c r="AS41" s="408">
        <f t="shared" si="43"/>
        <v>0</v>
      </c>
      <c r="AT41" s="408">
        <f t="shared" si="43"/>
        <v>0</v>
      </c>
      <c r="AU41" s="408">
        <f t="shared" si="43"/>
        <v>0</v>
      </c>
      <c r="AV41" s="408">
        <f t="shared" si="43"/>
        <v>0</v>
      </c>
      <c r="AW41" s="408">
        <f t="shared" si="43"/>
        <v>0</v>
      </c>
      <c r="AX41" s="408">
        <f t="shared" si="43"/>
        <v>0</v>
      </c>
      <c r="AY41" s="408">
        <f t="shared" si="43"/>
        <v>0</v>
      </c>
      <c r="AZ41" s="408">
        <f t="shared" si="44"/>
        <v>0</v>
      </c>
      <c r="BA41" s="408">
        <f t="shared" si="44"/>
        <v>0</v>
      </c>
      <c r="BB41" s="408">
        <f t="shared" si="44"/>
        <v>0</v>
      </c>
      <c r="BC41" s="408">
        <f t="shared" si="44"/>
        <v>0</v>
      </c>
      <c r="BD41" s="408">
        <f t="shared" si="44"/>
        <v>0</v>
      </c>
      <c r="BE41" s="408">
        <f t="shared" si="44"/>
        <v>0</v>
      </c>
      <c r="BF41" s="408">
        <f t="shared" si="44"/>
        <v>0</v>
      </c>
      <c r="BG41" s="408">
        <f t="shared" si="44"/>
        <v>0</v>
      </c>
      <c r="BH41" s="408">
        <f t="shared" si="44"/>
        <v>0</v>
      </c>
      <c r="BI41" s="408">
        <f t="shared" si="44"/>
        <v>0</v>
      </c>
      <c r="BJ41" s="408">
        <f t="shared" si="45"/>
        <v>0</v>
      </c>
      <c r="BK41" s="408">
        <f t="shared" si="45"/>
        <v>0</v>
      </c>
      <c r="BL41" s="408">
        <f t="shared" si="45"/>
        <v>0</v>
      </c>
      <c r="BM41" s="408">
        <f t="shared" si="45"/>
        <v>0</v>
      </c>
      <c r="BN41" s="408">
        <f t="shared" si="45"/>
        <v>0</v>
      </c>
      <c r="BO41" s="408">
        <f t="shared" si="45"/>
        <v>0</v>
      </c>
      <c r="BP41" s="408">
        <f t="shared" si="45"/>
        <v>0</v>
      </c>
      <c r="BQ41" s="408">
        <f t="shared" si="45"/>
        <v>0</v>
      </c>
      <c r="BR41" s="408">
        <f t="shared" si="45"/>
        <v>0</v>
      </c>
      <c r="BS41" s="408">
        <f t="shared" si="45"/>
        <v>0</v>
      </c>
      <c r="BT41" s="408">
        <f t="shared" si="46"/>
        <v>0</v>
      </c>
      <c r="BU41" s="408">
        <f t="shared" si="46"/>
        <v>0</v>
      </c>
      <c r="BV41" s="408">
        <f t="shared" si="46"/>
        <v>0</v>
      </c>
      <c r="BW41" s="408">
        <f t="shared" si="46"/>
        <v>0</v>
      </c>
      <c r="BX41" s="408">
        <f t="shared" si="46"/>
        <v>0</v>
      </c>
      <c r="BY41" s="408">
        <f t="shared" si="46"/>
        <v>0</v>
      </c>
      <c r="BZ41" s="408">
        <f t="shared" si="46"/>
        <v>0</v>
      </c>
      <c r="CA41" s="408">
        <f t="shared" si="46"/>
        <v>0</v>
      </c>
    </row>
    <row r="42" spans="2:79" ht="21" hidden="1" customHeight="1" outlineLevel="2">
      <c r="C42" s="370"/>
      <c r="D42" s="374">
        <f t="shared" si="40"/>
        <v>45382</v>
      </c>
      <c r="E42" s="408" cm="1">
        <f t="array" ref="E42">INDEX($AF$14:$CA$14,0,MATCH($D42,$AF$8:$CA$8,0))</f>
        <v>0</v>
      </c>
      <c r="F42" s="372"/>
      <c r="G42" s="409"/>
      <c r="H42" s="410">
        <f t="shared" si="33"/>
        <v>0</v>
      </c>
      <c r="I42" s="410">
        <f t="shared" si="33"/>
        <v>0</v>
      </c>
      <c r="J42" s="410">
        <f t="shared" si="33"/>
        <v>0</v>
      </c>
      <c r="K42" s="410">
        <f t="shared" si="33"/>
        <v>0</v>
      </c>
      <c r="M42" s="359"/>
      <c r="N42" s="410">
        <f t="shared" si="41"/>
        <v>0</v>
      </c>
      <c r="O42" s="410">
        <f t="shared" si="41"/>
        <v>0</v>
      </c>
      <c r="P42" s="410">
        <f t="shared" si="41"/>
        <v>0</v>
      </c>
      <c r="Q42" s="410">
        <f t="shared" si="41"/>
        <v>0</v>
      </c>
      <c r="R42" s="410">
        <f t="shared" si="41"/>
        <v>0</v>
      </c>
      <c r="S42" s="410">
        <f t="shared" si="41"/>
        <v>0</v>
      </c>
      <c r="T42" s="410">
        <f t="shared" si="41"/>
        <v>0</v>
      </c>
      <c r="U42" s="410">
        <f t="shared" si="41"/>
        <v>0</v>
      </c>
      <c r="V42" s="410">
        <f t="shared" si="41"/>
        <v>0</v>
      </c>
      <c r="W42" s="410">
        <f t="shared" si="41"/>
        <v>0</v>
      </c>
      <c r="X42" s="410">
        <f t="shared" si="41"/>
        <v>0</v>
      </c>
      <c r="Y42" s="410">
        <f t="shared" si="41"/>
        <v>0</v>
      </c>
      <c r="Z42" s="410">
        <f t="shared" si="41"/>
        <v>0</v>
      </c>
      <c r="AA42" s="410">
        <f t="shared" si="41"/>
        <v>0</v>
      </c>
      <c r="AB42" s="410">
        <f t="shared" si="41"/>
        <v>0</v>
      </c>
      <c r="AC42" s="410">
        <f t="shared" si="41"/>
        <v>0</v>
      </c>
      <c r="AD42" s="372"/>
      <c r="AE42" s="409"/>
      <c r="AF42" s="408">
        <f t="shared" si="42"/>
        <v>0</v>
      </c>
      <c r="AG42" s="408">
        <f t="shared" si="42"/>
        <v>0</v>
      </c>
      <c r="AH42" s="408">
        <f t="shared" si="42"/>
        <v>0</v>
      </c>
      <c r="AI42" s="408">
        <f t="shared" si="42"/>
        <v>0</v>
      </c>
      <c r="AJ42" s="408">
        <f t="shared" si="42"/>
        <v>0</v>
      </c>
      <c r="AK42" s="408">
        <f t="shared" si="42"/>
        <v>0</v>
      </c>
      <c r="AL42" s="408">
        <f t="shared" si="42"/>
        <v>0</v>
      </c>
      <c r="AM42" s="408">
        <f t="shared" si="42"/>
        <v>0</v>
      </c>
      <c r="AN42" s="408">
        <f t="shared" si="42"/>
        <v>0</v>
      </c>
      <c r="AO42" s="408">
        <f t="shared" si="42"/>
        <v>0</v>
      </c>
      <c r="AP42" s="408">
        <f t="shared" si="43"/>
        <v>0</v>
      </c>
      <c r="AQ42" s="408">
        <f t="shared" si="43"/>
        <v>0</v>
      </c>
      <c r="AR42" s="408">
        <f t="shared" si="43"/>
        <v>0</v>
      </c>
      <c r="AS42" s="408">
        <f t="shared" si="43"/>
        <v>0</v>
      </c>
      <c r="AT42" s="408">
        <f t="shared" si="43"/>
        <v>0</v>
      </c>
      <c r="AU42" s="408">
        <f t="shared" si="43"/>
        <v>0</v>
      </c>
      <c r="AV42" s="408">
        <f t="shared" si="43"/>
        <v>0</v>
      </c>
      <c r="AW42" s="408">
        <f t="shared" si="43"/>
        <v>0</v>
      </c>
      <c r="AX42" s="408">
        <f t="shared" si="43"/>
        <v>0</v>
      </c>
      <c r="AY42" s="408">
        <f t="shared" si="43"/>
        <v>0</v>
      </c>
      <c r="AZ42" s="408">
        <f t="shared" si="44"/>
        <v>0</v>
      </c>
      <c r="BA42" s="408">
        <f t="shared" si="44"/>
        <v>0</v>
      </c>
      <c r="BB42" s="408">
        <f t="shared" si="44"/>
        <v>0</v>
      </c>
      <c r="BC42" s="408">
        <f t="shared" si="44"/>
        <v>0</v>
      </c>
      <c r="BD42" s="408">
        <f t="shared" si="44"/>
        <v>0</v>
      </c>
      <c r="BE42" s="408">
        <f t="shared" si="44"/>
        <v>0</v>
      </c>
      <c r="BF42" s="408">
        <f t="shared" si="44"/>
        <v>0</v>
      </c>
      <c r="BG42" s="408">
        <f t="shared" si="44"/>
        <v>0</v>
      </c>
      <c r="BH42" s="408">
        <f t="shared" si="44"/>
        <v>0</v>
      </c>
      <c r="BI42" s="408">
        <f t="shared" si="44"/>
        <v>0</v>
      </c>
      <c r="BJ42" s="408">
        <f t="shared" si="45"/>
        <v>0</v>
      </c>
      <c r="BK42" s="408">
        <f t="shared" si="45"/>
        <v>0</v>
      </c>
      <c r="BL42" s="408">
        <f t="shared" si="45"/>
        <v>0</v>
      </c>
      <c r="BM42" s="408">
        <f t="shared" si="45"/>
        <v>0</v>
      </c>
      <c r="BN42" s="408">
        <f t="shared" si="45"/>
        <v>0</v>
      </c>
      <c r="BO42" s="408">
        <f t="shared" si="45"/>
        <v>0</v>
      </c>
      <c r="BP42" s="408">
        <f t="shared" si="45"/>
        <v>0</v>
      </c>
      <c r="BQ42" s="408">
        <f t="shared" si="45"/>
        <v>0</v>
      </c>
      <c r="BR42" s="408">
        <f t="shared" si="45"/>
        <v>0</v>
      </c>
      <c r="BS42" s="408">
        <f t="shared" si="45"/>
        <v>0</v>
      </c>
      <c r="BT42" s="408">
        <f t="shared" si="46"/>
        <v>0</v>
      </c>
      <c r="BU42" s="408">
        <f t="shared" si="46"/>
        <v>0</v>
      </c>
      <c r="BV42" s="408">
        <f t="shared" si="46"/>
        <v>0</v>
      </c>
      <c r="BW42" s="408">
        <f t="shared" si="46"/>
        <v>0</v>
      </c>
      <c r="BX42" s="408">
        <f t="shared" si="46"/>
        <v>0</v>
      </c>
      <c r="BY42" s="408">
        <f t="shared" si="46"/>
        <v>0</v>
      </c>
      <c r="BZ42" s="408">
        <f t="shared" si="46"/>
        <v>0</v>
      </c>
      <c r="CA42" s="408">
        <f t="shared" si="46"/>
        <v>0</v>
      </c>
    </row>
    <row r="43" spans="2:79" ht="21" hidden="1" customHeight="1" outlineLevel="2">
      <c r="C43" s="370"/>
      <c r="D43" s="374">
        <f t="shared" si="40"/>
        <v>45412</v>
      </c>
      <c r="E43" s="408" cm="1">
        <f t="array" ref="E43">INDEX($AF$14:$CA$14,0,MATCH($D43,$AF$8:$CA$8,0))</f>
        <v>0</v>
      </c>
      <c r="F43" s="372"/>
      <c r="G43" s="409"/>
      <c r="H43" s="410">
        <f t="shared" si="33"/>
        <v>0</v>
      </c>
      <c r="I43" s="410">
        <f t="shared" si="33"/>
        <v>0</v>
      </c>
      <c r="J43" s="410">
        <f t="shared" si="33"/>
        <v>0</v>
      </c>
      <c r="K43" s="410">
        <f t="shared" si="33"/>
        <v>0</v>
      </c>
      <c r="M43" s="359"/>
      <c r="N43" s="410">
        <f t="shared" si="41"/>
        <v>0</v>
      </c>
      <c r="O43" s="410">
        <f t="shared" si="41"/>
        <v>0</v>
      </c>
      <c r="P43" s="410">
        <f t="shared" si="41"/>
        <v>0</v>
      </c>
      <c r="Q43" s="410">
        <f t="shared" si="41"/>
        <v>0</v>
      </c>
      <c r="R43" s="410">
        <f t="shared" si="41"/>
        <v>0</v>
      </c>
      <c r="S43" s="410">
        <f t="shared" si="41"/>
        <v>0</v>
      </c>
      <c r="T43" s="410">
        <f t="shared" si="41"/>
        <v>0</v>
      </c>
      <c r="U43" s="410">
        <f t="shared" si="41"/>
        <v>0</v>
      </c>
      <c r="V43" s="410">
        <f t="shared" si="41"/>
        <v>0</v>
      </c>
      <c r="W43" s="410">
        <f t="shared" si="41"/>
        <v>0</v>
      </c>
      <c r="X43" s="410">
        <f t="shared" si="41"/>
        <v>0</v>
      </c>
      <c r="Y43" s="410">
        <f t="shared" si="41"/>
        <v>0</v>
      </c>
      <c r="Z43" s="410">
        <f t="shared" si="41"/>
        <v>0</v>
      </c>
      <c r="AA43" s="410">
        <f t="shared" si="41"/>
        <v>0</v>
      </c>
      <c r="AB43" s="410">
        <f t="shared" si="41"/>
        <v>0</v>
      </c>
      <c r="AC43" s="410">
        <f t="shared" si="41"/>
        <v>0</v>
      </c>
      <c r="AD43" s="372"/>
      <c r="AE43" s="409"/>
      <c r="AF43" s="408">
        <f t="shared" si="42"/>
        <v>0</v>
      </c>
      <c r="AG43" s="408">
        <f t="shared" si="42"/>
        <v>0</v>
      </c>
      <c r="AH43" s="408">
        <f t="shared" si="42"/>
        <v>0</v>
      </c>
      <c r="AI43" s="408">
        <f t="shared" si="42"/>
        <v>0</v>
      </c>
      <c r="AJ43" s="408">
        <f t="shared" si="42"/>
        <v>0</v>
      </c>
      <c r="AK43" s="408">
        <f t="shared" si="42"/>
        <v>0</v>
      </c>
      <c r="AL43" s="408">
        <f t="shared" si="42"/>
        <v>0</v>
      </c>
      <c r="AM43" s="408">
        <f t="shared" si="42"/>
        <v>0</v>
      </c>
      <c r="AN43" s="408">
        <f t="shared" si="42"/>
        <v>0</v>
      </c>
      <c r="AO43" s="408">
        <f t="shared" si="42"/>
        <v>0</v>
      </c>
      <c r="AP43" s="408">
        <f t="shared" si="43"/>
        <v>0</v>
      </c>
      <c r="AQ43" s="408">
        <f t="shared" si="43"/>
        <v>0</v>
      </c>
      <c r="AR43" s="408">
        <f t="shared" si="43"/>
        <v>0</v>
      </c>
      <c r="AS43" s="408">
        <f t="shared" si="43"/>
        <v>0</v>
      </c>
      <c r="AT43" s="408">
        <f t="shared" si="43"/>
        <v>0</v>
      </c>
      <c r="AU43" s="408">
        <f t="shared" si="43"/>
        <v>0</v>
      </c>
      <c r="AV43" s="408">
        <f t="shared" si="43"/>
        <v>0</v>
      </c>
      <c r="AW43" s="408">
        <f t="shared" si="43"/>
        <v>0</v>
      </c>
      <c r="AX43" s="408">
        <f t="shared" si="43"/>
        <v>0</v>
      </c>
      <c r="AY43" s="408">
        <f t="shared" si="43"/>
        <v>0</v>
      </c>
      <c r="AZ43" s="408">
        <f t="shared" si="44"/>
        <v>0</v>
      </c>
      <c r="BA43" s="408">
        <f t="shared" si="44"/>
        <v>0</v>
      </c>
      <c r="BB43" s="408">
        <f t="shared" si="44"/>
        <v>0</v>
      </c>
      <c r="BC43" s="408">
        <f t="shared" si="44"/>
        <v>0</v>
      </c>
      <c r="BD43" s="408">
        <f t="shared" si="44"/>
        <v>0</v>
      </c>
      <c r="BE43" s="408">
        <f t="shared" si="44"/>
        <v>0</v>
      </c>
      <c r="BF43" s="408">
        <f t="shared" si="44"/>
        <v>0</v>
      </c>
      <c r="BG43" s="408">
        <f t="shared" si="44"/>
        <v>0</v>
      </c>
      <c r="BH43" s="408">
        <f t="shared" si="44"/>
        <v>0</v>
      </c>
      <c r="BI43" s="408">
        <f t="shared" si="44"/>
        <v>0</v>
      </c>
      <c r="BJ43" s="408">
        <f t="shared" si="45"/>
        <v>0</v>
      </c>
      <c r="BK43" s="408">
        <f t="shared" si="45"/>
        <v>0</v>
      </c>
      <c r="BL43" s="408">
        <f t="shared" si="45"/>
        <v>0</v>
      </c>
      <c r="BM43" s="408">
        <f t="shared" si="45"/>
        <v>0</v>
      </c>
      <c r="BN43" s="408">
        <f t="shared" si="45"/>
        <v>0</v>
      </c>
      <c r="BO43" s="408">
        <f t="shared" si="45"/>
        <v>0</v>
      </c>
      <c r="BP43" s="408">
        <f t="shared" si="45"/>
        <v>0</v>
      </c>
      <c r="BQ43" s="408">
        <f t="shared" si="45"/>
        <v>0</v>
      </c>
      <c r="BR43" s="408">
        <f t="shared" si="45"/>
        <v>0</v>
      </c>
      <c r="BS43" s="408">
        <f t="shared" si="45"/>
        <v>0</v>
      </c>
      <c r="BT43" s="408">
        <f t="shared" si="46"/>
        <v>0</v>
      </c>
      <c r="BU43" s="408">
        <f t="shared" si="46"/>
        <v>0</v>
      </c>
      <c r="BV43" s="408">
        <f t="shared" si="46"/>
        <v>0</v>
      </c>
      <c r="BW43" s="408">
        <f t="shared" si="46"/>
        <v>0</v>
      </c>
      <c r="BX43" s="408">
        <f t="shared" si="46"/>
        <v>0</v>
      </c>
      <c r="BY43" s="408">
        <f t="shared" si="46"/>
        <v>0</v>
      </c>
      <c r="BZ43" s="408">
        <f t="shared" si="46"/>
        <v>0</v>
      </c>
      <c r="CA43" s="408">
        <f t="shared" si="46"/>
        <v>0</v>
      </c>
    </row>
    <row r="44" spans="2:79" ht="21" hidden="1" customHeight="1" outlineLevel="2">
      <c r="C44" s="370"/>
      <c r="D44" s="374">
        <f t="shared" si="40"/>
        <v>45443</v>
      </c>
      <c r="E44" s="408" cm="1">
        <f t="array" ref="E44">INDEX($AF$14:$CA$14,0,MATCH($D44,$AF$8:$CA$8,0))</f>
        <v>0</v>
      </c>
      <c r="F44" s="372"/>
      <c r="G44" s="409"/>
      <c r="H44" s="410">
        <f t="shared" si="33"/>
        <v>0</v>
      </c>
      <c r="I44" s="410">
        <f t="shared" si="33"/>
        <v>0</v>
      </c>
      <c r="J44" s="410">
        <f t="shared" si="33"/>
        <v>0</v>
      </c>
      <c r="K44" s="410">
        <f t="shared" si="33"/>
        <v>0</v>
      </c>
      <c r="M44" s="359"/>
      <c r="N44" s="410">
        <f t="shared" si="41"/>
        <v>0</v>
      </c>
      <c r="O44" s="410">
        <f t="shared" si="41"/>
        <v>0</v>
      </c>
      <c r="P44" s="410">
        <f t="shared" si="41"/>
        <v>0</v>
      </c>
      <c r="Q44" s="410">
        <f t="shared" si="41"/>
        <v>0</v>
      </c>
      <c r="R44" s="410">
        <f t="shared" si="41"/>
        <v>0</v>
      </c>
      <c r="S44" s="410">
        <f t="shared" si="41"/>
        <v>0</v>
      </c>
      <c r="T44" s="410">
        <f t="shared" si="41"/>
        <v>0</v>
      </c>
      <c r="U44" s="410">
        <f t="shared" si="41"/>
        <v>0</v>
      </c>
      <c r="V44" s="410">
        <f t="shared" si="41"/>
        <v>0</v>
      </c>
      <c r="W44" s="410">
        <f t="shared" si="41"/>
        <v>0</v>
      </c>
      <c r="X44" s="410">
        <f t="shared" si="41"/>
        <v>0</v>
      </c>
      <c r="Y44" s="410">
        <f t="shared" si="41"/>
        <v>0</v>
      </c>
      <c r="Z44" s="410">
        <f t="shared" si="41"/>
        <v>0</v>
      </c>
      <c r="AA44" s="410">
        <f t="shared" si="41"/>
        <v>0</v>
      </c>
      <c r="AB44" s="410">
        <f t="shared" si="41"/>
        <v>0</v>
      </c>
      <c r="AC44" s="410">
        <f t="shared" si="41"/>
        <v>0</v>
      </c>
      <c r="AD44" s="372"/>
      <c r="AE44" s="409"/>
      <c r="AF44" s="408">
        <f t="shared" si="42"/>
        <v>0</v>
      </c>
      <c r="AG44" s="408">
        <f t="shared" si="42"/>
        <v>0</v>
      </c>
      <c r="AH44" s="408">
        <f t="shared" si="42"/>
        <v>0</v>
      </c>
      <c r="AI44" s="408">
        <f t="shared" si="42"/>
        <v>0</v>
      </c>
      <c r="AJ44" s="408">
        <f t="shared" si="42"/>
        <v>0</v>
      </c>
      <c r="AK44" s="408">
        <f t="shared" si="42"/>
        <v>0</v>
      </c>
      <c r="AL44" s="408">
        <f t="shared" si="42"/>
        <v>0</v>
      </c>
      <c r="AM44" s="408">
        <f t="shared" si="42"/>
        <v>0</v>
      </c>
      <c r="AN44" s="408">
        <f t="shared" si="42"/>
        <v>0</v>
      </c>
      <c r="AO44" s="408">
        <f t="shared" si="42"/>
        <v>0</v>
      </c>
      <c r="AP44" s="408">
        <f t="shared" si="43"/>
        <v>0</v>
      </c>
      <c r="AQ44" s="408">
        <f t="shared" si="43"/>
        <v>0</v>
      </c>
      <c r="AR44" s="408">
        <f t="shared" si="43"/>
        <v>0</v>
      </c>
      <c r="AS44" s="408">
        <f t="shared" si="43"/>
        <v>0</v>
      </c>
      <c r="AT44" s="408">
        <f t="shared" si="43"/>
        <v>0</v>
      </c>
      <c r="AU44" s="408">
        <f t="shared" si="43"/>
        <v>0</v>
      </c>
      <c r="AV44" s="408">
        <f t="shared" si="43"/>
        <v>0</v>
      </c>
      <c r="AW44" s="408">
        <f t="shared" si="43"/>
        <v>0</v>
      </c>
      <c r="AX44" s="408">
        <f t="shared" si="43"/>
        <v>0</v>
      </c>
      <c r="AY44" s="408">
        <f t="shared" si="43"/>
        <v>0</v>
      </c>
      <c r="AZ44" s="408">
        <f t="shared" si="44"/>
        <v>0</v>
      </c>
      <c r="BA44" s="408">
        <f t="shared" si="44"/>
        <v>0</v>
      </c>
      <c r="BB44" s="408">
        <f t="shared" si="44"/>
        <v>0</v>
      </c>
      <c r="BC44" s="408">
        <f t="shared" si="44"/>
        <v>0</v>
      </c>
      <c r="BD44" s="408">
        <f t="shared" si="44"/>
        <v>0</v>
      </c>
      <c r="BE44" s="408">
        <f t="shared" si="44"/>
        <v>0</v>
      </c>
      <c r="BF44" s="408">
        <f t="shared" si="44"/>
        <v>0</v>
      </c>
      <c r="BG44" s="408">
        <f t="shared" si="44"/>
        <v>0</v>
      </c>
      <c r="BH44" s="408">
        <f t="shared" si="44"/>
        <v>0</v>
      </c>
      <c r="BI44" s="408">
        <f t="shared" si="44"/>
        <v>0</v>
      </c>
      <c r="BJ44" s="408">
        <f t="shared" si="45"/>
        <v>0</v>
      </c>
      <c r="BK44" s="408">
        <f t="shared" si="45"/>
        <v>0</v>
      </c>
      <c r="BL44" s="408">
        <f t="shared" si="45"/>
        <v>0</v>
      </c>
      <c r="BM44" s="408">
        <f t="shared" si="45"/>
        <v>0</v>
      </c>
      <c r="BN44" s="408">
        <f t="shared" si="45"/>
        <v>0</v>
      </c>
      <c r="BO44" s="408">
        <f t="shared" si="45"/>
        <v>0</v>
      </c>
      <c r="BP44" s="408">
        <f t="shared" si="45"/>
        <v>0</v>
      </c>
      <c r="BQ44" s="408">
        <f t="shared" si="45"/>
        <v>0</v>
      </c>
      <c r="BR44" s="408">
        <f t="shared" si="45"/>
        <v>0</v>
      </c>
      <c r="BS44" s="408">
        <f t="shared" si="45"/>
        <v>0</v>
      </c>
      <c r="BT44" s="408">
        <f t="shared" si="46"/>
        <v>0</v>
      </c>
      <c r="BU44" s="408">
        <f t="shared" si="46"/>
        <v>0</v>
      </c>
      <c r="BV44" s="408">
        <f t="shared" si="46"/>
        <v>0</v>
      </c>
      <c r="BW44" s="408">
        <f t="shared" si="46"/>
        <v>0</v>
      </c>
      <c r="BX44" s="408">
        <f t="shared" si="46"/>
        <v>0</v>
      </c>
      <c r="BY44" s="408">
        <f t="shared" si="46"/>
        <v>0</v>
      </c>
      <c r="BZ44" s="408">
        <f t="shared" si="46"/>
        <v>0</v>
      </c>
      <c r="CA44" s="408">
        <f t="shared" si="46"/>
        <v>0</v>
      </c>
    </row>
    <row r="45" spans="2:79" ht="21" hidden="1" customHeight="1" outlineLevel="2">
      <c r="C45" s="370"/>
      <c r="D45" s="374">
        <f t="shared" si="40"/>
        <v>45473</v>
      </c>
      <c r="E45" s="408" cm="1">
        <f t="array" ref="E45">INDEX($AF$14:$CA$14,0,MATCH($D45,$AF$8:$CA$8,0))</f>
        <v>0</v>
      </c>
      <c r="F45" s="372"/>
      <c r="G45" s="409"/>
      <c r="H45" s="410">
        <f t="shared" si="33"/>
        <v>0</v>
      </c>
      <c r="I45" s="410">
        <f t="shared" si="33"/>
        <v>0</v>
      </c>
      <c r="J45" s="410">
        <f t="shared" si="33"/>
        <v>0</v>
      </c>
      <c r="K45" s="410">
        <f t="shared" si="33"/>
        <v>0</v>
      </c>
      <c r="M45" s="359"/>
      <c r="N45" s="410">
        <f t="shared" si="41"/>
        <v>0</v>
      </c>
      <c r="O45" s="410">
        <f t="shared" si="41"/>
        <v>0</v>
      </c>
      <c r="P45" s="410">
        <f t="shared" si="41"/>
        <v>0</v>
      </c>
      <c r="Q45" s="410">
        <f t="shared" si="41"/>
        <v>0</v>
      </c>
      <c r="R45" s="410">
        <f t="shared" si="41"/>
        <v>0</v>
      </c>
      <c r="S45" s="410">
        <f t="shared" si="41"/>
        <v>0</v>
      </c>
      <c r="T45" s="410">
        <f t="shared" si="41"/>
        <v>0</v>
      </c>
      <c r="U45" s="410">
        <f t="shared" si="41"/>
        <v>0</v>
      </c>
      <c r="V45" s="410">
        <f t="shared" si="41"/>
        <v>0</v>
      </c>
      <c r="W45" s="410">
        <f t="shared" si="41"/>
        <v>0</v>
      </c>
      <c r="X45" s="410">
        <f t="shared" si="41"/>
        <v>0</v>
      </c>
      <c r="Y45" s="410">
        <f t="shared" si="41"/>
        <v>0</v>
      </c>
      <c r="Z45" s="410">
        <f t="shared" si="41"/>
        <v>0</v>
      </c>
      <c r="AA45" s="410">
        <f t="shared" si="41"/>
        <v>0</v>
      </c>
      <c r="AB45" s="410">
        <f t="shared" si="41"/>
        <v>0</v>
      </c>
      <c r="AC45" s="410">
        <f t="shared" si="41"/>
        <v>0</v>
      </c>
      <c r="AD45" s="372"/>
      <c r="AE45" s="409"/>
      <c r="AF45" s="408">
        <f t="shared" si="42"/>
        <v>0</v>
      </c>
      <c r="AG45" s="408">
        <f t="shared" si="42"/>
        <v>0</v>
      </c>
      <c r="AH45" s="408">
        <f t="shared" si="42"/>
        <v>0</v>
      </c>
      <c r="AI45" s="408">
        <f t="shared" si="42"/>
        <v>0</v>
      </c>
      <c r="AJ45" s="408">
        <f t="shared" si="42"/>
        <v>0</v>
      </c>
      <c r="AK45" s="408">
        <f t="shared" si="42"/>
        <v>0</v>
      </c>
      <c r="AL45" s="408">
        <f t="shared" si="42"/>
        <v>0</v>
      </c>
      <c r="AM45" s="408">
        <f t="shared" si="42"/>
        <v>0</v>
      </c>
      <c r="AN45" s="408">
        <f t="shared" si="42"/>
        <v>0</v>
      </c>
      <c r="AO45" s="408">
        <f t="shared" si="42"/>
        <v>0</v>
      </c>
      <c r="AP45" s="408">
        <f t="shared" si="43"/>
        <v>0</v>
      </c>
      <c r="AQ45" s="408">
        <f t="shared" si="43"/>
        <v>0</v>
      </c>
      <c r="AR45" s="408">
        <f t="shared" si="43"/>
        <v>0</v>
      </c>
      <c r="AS45" s="408">
        <f t="shared" si="43"/>
        <v>0</v>
      </c>
      <c r="AT45" s="408">
        <f t="shared" si="43"/>
        <v>0</v>
      </c>
      <c r="AU45" s="408">
        <f t="shared" si="43"/>
        <v>0</v>
      </c>
      <c r="AV45" s="408">
        <f t="shared" si="43"/>
        <v>0</v>
      </c>
      <c r="AW45" s="408">
        <f t="shared" si="43"/>
        <v>0</v>
      </c>
      <c r="AX45" s="408">
        <f t="shared" si="43"/>
        <v>0</v>
      </c>
      <c r="AY45" s="408">
        <f t="shared" si="43"/>
        <v>0</v>
      </c>
      <c r="AZ45" s="408">
        <f t="shared" si="44"/>
        <v>0</v>
      </c>
      <c r="BA45" s="408">
        <f t="shared" si="44"/>
        <v>0</v>
      </c>
      <c r="BB45" s="408">
        <f t="shared" si="44"/>
        <v>0</v>
      </c>
      <c r="BC45" s="408">
        <f t="shared" si="44"/>
        <v>0</v>
      </c>
      <c r="BD45" s="408">
        <f t="shared" si="44"/>
        <v>0</v>
      </c>
      <c r="BE45" s="408">
        <f t="shared" si="44"/>
        <v>0</v>
      </c>
      <c r="BF45" s="408">
        <f t="shared" si="44"/>
        <v>0</v>
      </c>
      <c r="BG45" s="408">
        <f t="shared" si="44"/>
        <v>0</v>
      </c>
      <c r="BH45" s="408">
        <f t="shared" si="44"/>
        <v>0</v>
      </c>
      <c r="BI45" s="408">
        <f t="shared" si="44"/>
        <v>0</v>
      </c>
      <c r="BJ45" s="408">
        <f t="shared" si="45"/>
        <v>0</v>
      </c>
      <c r="BK45" s="408">
        <f t="shared" si="45"/>
        <v>0</v>
      </c>
      <c r="BL45" s="408">
        <f t="shared" si="45"/>
        <v>0</v>
      </c>
      <c r="BM45" s="408">
        <f t="shared" si="45"/>
        <v>0</v>
      </c>
      <c r="BN45" s="408">
        <f t="shared" si="45"/>
        <v>0</v>
      </c>
      <c r="BO45" s="408">
        <f t="shared" si="45"/>
        <v>0</v>
      </c>
      <c r="BP45" s="408">
        <f t="shared" si="45"/>
        <v>0</v>
      </c>
      <c r="BQ45" s="408">
        <f t="shared" si="45"/>
        <v>0</v>
      </c>
      <c r="BR45" s="408">
        <f t="shared" si="45"/>
        <v>0</v>
      </c>
      <c r="BS45" s="408">
        <f t="shared" si="45"/>
        <v>0</v>
      </c>
      <c r="BT45" s="408">
        <f t="shared" si="46"/>
        <v>0</v>
      </c>
      <c r="BU45" s="408">
        <f t="shared" si="46"/>
        <v>0</v>
      </c>
      <c r="BV45" s="408">
        <f t="shared" si="46"/>
        <v>0</v>
      </c>
      <c r="BW45" s="408">
        <f t="shared" si="46"/>
        <v>0</v>
      </c>
      <c r="BX45" s="408">
        <f t="shared" si="46"/>
        <v>0</v>
      </c>
      <c r="BY45" s="408">
        <f t="shared" si="46"/>
        <v>0</v>
      </c>
      <c r="BZ45" s="408">
        <f t="shared" si="46"/>
        <v>0</v>
      </c>
      <c r="CA45" s="408">
        <f t="shared" si="46"/>
        <v>0</v>
      </c>
    </row>
    <row r="46" spans="2:79" ht="21" hidden="1" customHeight="1" outlineLevel="2">
      <c r="C46" s="370"/>
      <c r="D46" s="374">
        <f t="shared" si="40"/>
        <v>45504</v>
      </c>
      <c r="E46" s="408" cm="1">
        <f t="array" ref="E46">INDEX($AF$14:$CA$14,0,MATCH($D46,$AF$8:$CA$8,0))</f>
        <v>0</v>
      </c>
      <c r="F46" s="372"/>
      <c r="G46" s="409"/>
      <c r="H46" s="410">
        <f t="shared" si="33"/>
        <v>0</v>
      </c>
      <c r="I46" s="410">
        <f t="shared" si="33"/>
        <v>0</v>
      </c>
      <c r="J46" s="410">
        <f t="shared" si="33"/>
        <v>0</v>
      </c>
      <c r="K46" s="410">
        <f t="shared" si="33"/>
        <v>0</v>
      </c>
      <c r="M46" s="359"/>
      <c r="N46" s="410">
        <f t="shared" si="41"/>
        <v>0</v>
      </c>
      <c r="O46" s="410">
        <f t="shared" si="41"/>
        <v>0</v>
      </c>
      <c r="P46" s="410">
        <f t="shared" si="41"/>
        <v>0</v>
      </c>
      <c r="Q46" s="410">
        <f t="shared" si="41"/>
        <v>0</v>
      </c>
      <c r="R46" s="410">
        <f t="shared" si="41"/>
        <v>0</v>
      </c>
      <c r="S46" s="410">
        <f t="shared" si="41"/>
        <v>0</v>
      </c>
      <c r="T46" s="410">
        <f t="shared" si="41"/>
        <v>0</v>
      </c>
      <c r="U46" s="410">
        <f t="shared" si="41"/>
        <v>0</v>
      </c>
      <c r="V46" s="410">
        <f t="shared" si="41"/>
        <v>0</v>
      </c>
      <c r="W46" s="410">
        <f t="shared" si="41"/>
        <v>0</v>
      </c>
      <c r="X46" s="410">
        <f t="shared" si="41"/>
        <v>0</v>
      </c>
      <c r="Y46" s="410">
        <f t="shared" si="41"/>
        <v>0</v>
      </c>
      <c r="Z46" s="410">
        <f t="shared" si="41"/>
        <v>0</v>
      </c>
      <c r="AA46" s="410">
        <f t="shared" si="41"/>
        <v>0</v>
      </c>
      <c r="AB46" s="410">
        <f t="shared" si="41"/>
        <v>0</v>
      </c>
      <c r="AC46" s="410">
        <f t="shared" si="41"/>
        <v>0</v>
      </c>
      <c r="AD46" s="372"/>
      <c r="AE46" s="409"/>
      <c r="AF46" s="408">
        <f t="shared" si="42"/>
        <v>0</v>
      </c>
      <c r="AG46" s="408">
        <f t="shared" si="42"/>
        <v>0</v>
      </c>
      <c r="AH46" s="408">
        <f t="shared" si="42"/>
        <v>0</v>
      </c>
      <c r="AI46" s="408">
        <f t="shared" si="42"/>
        <v>0</v>
      </c>
      <c r="AJ46" s="408">
        <f t="shared" si="42"/>
        <v>0</v>
      </c>
      <c r="AK46" s="408">
        <f t="shared" si="42"/>
        <v>0</v>
      </c>
      <c r="AL46" s="408">
        <f t="shared" si="42"/>
        <v>0</v>
      </c>
      <c r="AM46" s="408">
        <f t="shared" si="42"/>
        <v>0</v>
      </c>
      <c r="AN46" s="408">
        <f t="shared" si="42"/>
        <v>0</v>
      </c>
      <c r="AO46" s="408">
        <f t="shared" si="42"/>
        <v>0</v>
      </c>
      <c r="AP46" s="408">
        <f t="shared" si="43"/>
        <v>0</v>
      </c>
      <c r="AQ46" s="408">
        <f t="shared" si="43"/>
        <v>0</v>
      </c>
      <c r="AR46" s="408">
        <f t="shared" si="43"/>
        <v>0</v>
      </c>
      <c r="AS46" s="408">
        <f t="shared" si="43"/>
        <v>0</v>
      </c>
      <c r="AT46" s="408">
        <f t="shared" si="43"/>
        <v>0</v>
      </c>
      <c r="AU46" s="408">
        <f t="shared" si="43"/>
        <v>0</v>
      </c>
      <c r="AV46" s="408">
        <f t="shared" si="43"/>
        <v>0</v>
      </c>
      <c r="AW46" s="408">
        <f t="shared" si="43"/>
        <v>0</v>
      </c>
      <c r="AX46" s="408">
        <f t="shared" si="43"/>
        <v>0</v>
      </c>
      <c r="AY46" s="408">
        <f t="shared" si="43"/>
        <v>0</v>
      </c>
      <c r="AZ46" s="408">
        <f t="shared" si="44"/>
        <v>0</v>
      </c>
      <c r="BA46" s="408">
        <f t="shared" si="44"/>
        <v>0</v>
      </c>
      <c r="BB46" s="408">
        <f t="shared" si="44"/>
        <v>0</v>
      </c>
      <c r="BC46" s="408">
        <f t="shared" si="44"/>
        <v>0</v>
      </c>
      <c r="BD46" s="408">
        <f t="shared" si="44"/>
        <v>0</v>
      </c>
      <c r="BE46" s="408">
        <f t="shared" si="44"/>
        <v>0</v>
      </c>
      <c r="BF46" s="408">
        <f t="shared" si="44"/>
        <v>0</v>
      </c>
      <c r="BG46" s="408">
        <f t="shared" si="44"/>
        <v>0</v>
      </c>
      <c r="BH46" s="408">
        <f t="shared" si="44"/>
        <v>0</v>
      </c>
      <c r="BI46" s="408">
        <f t="shared" si="44"/>
        <v>0</v>
      </c>
      <c r="BJ46" s="408">
        <f t="shared" si="45"/>
        <v>0</v>
      </c>
      <c r="BK46" s="408">
        <f t="shared" si="45"/>
        <v>0</v>
      </c>
      <c r="BL46" s="408">
        <f t="shared" si="45"/>
        <v>0</v>
      </c>
      <c r="BM46" s="408">
        <f t="shared" si="45"/>
        <v>0</v>
      </c>
      <c r="BN46" s="408">
        <f t="shared" si="45"/>
        <v>0</v>
      </c>
      <c r="BO46" s="408">
        <f t="shared" si="45"/>
        <v>0</v>
      </c>
      <c r="BP46" s="408">
        <f t="shared" si="45"/>
        <v>0</v>
      </c>
      <c r="BQ46" s="408">
        <f t="shared" si="45"/>
        <v>0</v>
      </c>
      <c r="BR46" s="408">
        <f t="shared" si="45"/>
        <v>0</v>
      </c>
      <c r="BS46" s="408">
        <f t="shared" si="45"/>
        <v>0</v>
      </c>
      <c r="BT46" s="408">
        <f t="shared" si="46"/>
        <v>0</v>
      </c>
      <c r="BU46" s="408">
        <f t="shared" si="46"/>
        <v>0</v>
      </c>
      <c r="BV46" s="408">
        <f t="shared" si="46"/>
        <v>0</v>
      </c>
      <c r="BW46" s="408">
        <f t="shared" si="46"/>
        <v>0</v>
      </c>
      <c r="BX46" s="408">
        <f t="shared" si="46"/>
        <v>0</v>
      </c>
      <c r="BY46" s="408">
        <f t="shared" si="46"/>
        <v>0</v>
      </c>
      <c r="BZ46" s="408">
        <f t="shared" si="46"/>
        <v>0</v>
      </c>
      <c r="CA46" s="408">
        <f t="shared" si="46"/>
        <v>0</v>
      </c>
    </row>
    <row r="47" spans="2:79" ht="21" hidden="1" customHeight="1" outlineLevel="2">
      <c r="C47" s="370"/>
      <c r="D47" s="374">
        <f t="shared" si="40"/>
        <v>45535</v>
      </c>
      <c r="E47" s="408" cm="1">
        <f t="array" ref="E47">INDEX($AF$14:$CA$14,0,MATCH($D47,$AF$8:$CA$8,0))</f>
        <v>14500</v>
      </c>
      <c r="F47" s="372"/>
      <c r="G47" s="409"/>
      <c r="H47" s="410">
        <f t="shared" si="33"/>
        <v>0</v>
      </c>
      <c r="I47" s="410">
        <f t="shared" si="33"/>
        <v>14500</v>
      </c>
      <c r="J47" s="410">
        <f t="shared" si="33"/>
        <v>0</v>
      </c>
      <c r="K47" s="410">
        <f t="shared" si="33"/>
        <v>0</v>
      </c>
      <c r="M47" s="359"/>
      <c r="N47" s="410">
        <f t="shared" si="41"/>
        <v>0</v>
      </c>
      <c r="O47" s="410">
        <f t="shared" si="41"/>
        <v>0</v>
      </c>
      <c r="P47" s="410">
        <f t="shared" si="41"/>
        <v>0</v>
      </c>
      <c r="Q47" s="410">
        <f t="shared" si="41"/>
        <v>0</v>
      </c>
      <c r="R47" s="410">
        <f t="shared" si="41"/>
        <v>0</v>
      </c>
      <c r="S47" s="410">
        <f t="shared" si="41"/>
        <v>0</v>
      </c>
      <c r="T47" s="410">
        <f t="shared" si="41"/>
        <v>9666.6666666666661</v>
      </c>
      <c r="U47" s="410">
        <f t="shared" si="41"/>
        <v>4833.333333333333</v>
      </c>
      <c r="V47" s="410">
        <f t="shared" si="41"/>
        <v>0</v>
      </c>
      <c r="W47" s="410">
        <f t="shared" si="41"/>
        <v>0</v>
      </c>
      <c r="X47" s="410">
        <f t="shared" si="41"/>
        <v>0</v>
      </c>
      <c r="Y47" s="410">
        <f t="shared" si="41"/>
        <v>0</v>
      </c>
      <c r="Z47" s="410">
        <f t="shared" si="41"/>
        <v>0</v>
      </c>
      <c r="AA47" s="410">
        <f t="shared" si="41"/>
        <v>0</v>
      </c>
      <c r="AB47" s="410">
        <f t="shared" si="41"/>
        <v>0</v>
      </c>
      <c r="AC47" s="410">
        <f t="shared" si="41"/>
        <v>0</v>
      </c>
      <c r="AD47" s="372"/>
      <c r="AE47" s="409"/>
      <c r="AF47" s="408">
        <f t="shared" si="42"/>
        <v>0</v>
      </c>
      <c r="AG47" s="408">
        <f t="shared" si="42"/>
        <v>0</v>
      </c>
      <c r="AH47" s="408">
        <f t="shared" si="42"/>
        <v>0</v>
      </c>
      <c r="AI47" s="408">
        <f t="shared" si="42"/>
        <v>0</v>
      </c>
      <c r="AJ47" s="408">
        <f t="shared" si="42"/>
        <v>0</v>
      </c>
      <c r="AK47" s="408">
        <f t="shared" si="42"/>
        <v>0</v>
      </c>
      <c r="AL47" s="408">
        <f t="shared" si="42"/>
        <v>0</v>
      </c>
      <c r="AM47" s="408">
        <f t="shared" si="42"/>
        <v>0</v>
      </c>
      <c r="AN47" s="408">
        <f t="shared" si="42"/>
        <v>0</v>
      </c>
      <c r="AO47" s="408">
        <f t="shared" si="42"/>
        <v>0</v>
      </c>
      <c r="AP47" s="408">
        <f t="shared" si="43"/>
        <v>0</v>
      </c>
      <c r="AQ47" s="408">
        <f t="shared" si="43"/>
        <v>0</v>
      </c>
      <c r="AR47" s="408">
        <f t="shared" si="43"/>
        <v>0</v>
      </c>
      <c r="AS47" s="408">
        <f t="shared" si="43"/>
        <v>0</v>
      </c>
      <c r="AT47" s="408">
        <f t="shared" si="43"/>
        <v>0</v>
      </c>
      <c r="AU47" s="408">
        <f t="shared" si="43"/>
        <v>0</v>
      </c>
      <c r="AV47" s="408">
        <f t="shared" si="43"/>
        <v>0</v>
      </c>
      <c r="AW47" s="408">
        <f t="shared" si="43"/>
        <v>0</v>
      </c>
      <c r="AX47" s="408">
        <f t="shared" si="43"/>
        <v>0</v>
      </c>
      <c r="AY47" s="408">
        <f t="shared" si="43"/>
        <v>4833.333333333333</v>
      </c>
      <c r="AZ47" s="408">
        <f t="shared" si="44"/>
        <v>4833.333333333333</v>
      </c>
      <c r="BA47" s="408">
        <f t="shared" si="44"/>
        <v>4833.333333333333</v>
      </c>
      <c r="BB47" s="408">
        <f t="shared" si="44"/>
        <v>0</v>
      </c>
      <c r="BC47" s="408">
        <f t="shared" si="44"/>
        <v>0</v>
      </c>
      <c r="BD47" s="408">
        <f t="shared" si="44"/>
        <v>0</v>
      </c>
      <c r="BE47" s="408">
        <f t="shared" si="44"/>
        <v>0</v>
      </c>
      <c r="BF47" s="408">
        <f t="shared" si="44"/>
        <v>0</v>
      </c>
      <c r="BG47" s="408">
        <f t="shared" si="44"/>
        <v>0</v>
      </c>
      <c r="BH47" s="408">
        <f t="shared" si="44"/>
        <v>0</v>
      </c>
      <c r="BI47" s="408">
        <f t="shared" si="44"/>
        <v>0</v>
      </c>
      <c r="BJ47" s="408">
        <f t="shared" si="45"/>
        <v>0</v>
      </c>
      <c r="BK47" s="408">
        <f t="shared" si="45"/>
        <v>0</v>
      </c>
      <c r="BL47" s="408">
        <f t="shared" si="45"/>
        <v>0</v>
      </c>
      <c r="BM47" s="408">
        <f t="shared" si="45"/>
        <v>0</v>
      </c>
      <c r="BN47" s="408">
        <f t="shared" si="45"/>
        <v>0</v>
      </c>
      <c r="BO47" s="408">
        <f t="shared" si="45"/>
        <v>0</v>
      </c>
      <c r="BP47" s="408">
        <f t="shared" si="45"/>
        <v>0</v>
      </c>
      <c r="BQ47" s="408">
        <f t="shared" si="45"/>
        <v>0</v>
      </c>
      <c r="BR47" s="408">
        <f t="shared" si="45"/>
        <v>0</v>
      </c>
      <c r="BS47" s="408">
        <f t="shared" si="45"/>
        <v>0</v>
      </c>
      <c r="BT47" s="408">
        <f t="shared" si="46"/>
        <v>0</v>
      </c>
      <c r="BU47" s="408">
        <f t="shared" si="46"/>
        <v>0</v>
      </c>
      <c r="BV47" s="408">
        <f t="shared" si="46"/>
        <v>0</v>
      </c>
      <c r="BW47" s="408">
        <f t="shared" si="46"/>
        <v>0</v>
      </c>
      <c r="BX47" s="408">
        <f t="shared" si="46"/>
        <v>0</v>
      </c>
      <c r="BY47" s="408">
        <f t="shared" si="46"/>
        <v>0</v>
      </c>
      <c r="BZ47" s="408">
        <f t="shared" si="46"/>
        <v>0</v>
      </c>
      <c r="CA47" s="408">
        <f t="shared" si="46"/>
        <v>0</v>
      </c>
    </row>
    <row r="48" spans="2:79" ht="21" hidden="1" customHeight="1" outlineLevel="2">
      <c r="C48" s="370"/>
      <c r="D48" s="374">
        <f t="shared" si="40"/>
        <v>45565</v>
      </c>
      <c r="E48" s="408" cm="1">
        <f t="array" ref="E48">INDEX($AF$14:$CA$14,0,MATCH($D48,$AF$8:$CA$8,0))</f>
        <v>0</v>
      </c>
      <c r="F48" s="372"/>
      <c r="G48" s="409"/>
      <c r="H48" s="410">
        <f t="shared" ref="H48:K67" si="47">SUMIFS($AF48:$CA48,$AF$4:$CA$4,"&gt;="&amp;H$4,$AF$5:$CA$5,"&lt;="&amp;H$5)</f>
        <v>0</v>
      </c>
      <c r="I48" s="410">
        <f t="shared" si="47"/>
        <v>0</v>
      </c>
      <c r="J48" s="410">
        <f t="shared" si="47"/>
        <v>0</v>
      </c>
      <c r="K48" s="410">
        <f t="shared" si="47"/>
        <v>0</v>
      </c>
      <c r="M48" s="359"/>
      <c r="N48" s="410">
        <f t="shared" ref="N48:AC57" si="48">SUMIFS($AF48:$CA48,$AF$4:$CA$4,"&gt;="&amp;N$4,$AF$5:$CA$5,"&lt;="&amp;N$5)</f>
        <v>0</v>
      </c>
      <c r="O48" s="410">
        <f t="shared" si="48"/>
        <v>0</v>
      </c>
      <c r="P48" s="410">
        <f t="shared" si="48"/>
        <v>0</v>
      </c>
      <c r="Q48" s="410">
        <f t="shared" si="48"/>
        <v>0</v>
      </c>
      <c r="R48" s="410">
        <f t="shared" si="48"/>
        <v>0</v>
      </c>
      <c r="S48" s="410">
        <f t="shared" si="48"/>
        <v>0</v>
      </c>
      <c r="T48" s="410">
        <f t="shared" si="48"/>
        <v>0</v>
      </c>
      <c r="U48" s="410">
        <f t="shared" si="48"/>
        <v>0</v>
      </c>
      <c r="V48" s="410">
        <f t="shared" si="48"/>
        <v>0</v>
      </c>
      <c r="W48" s="410">
        <f t="shared" si="48"/>
        <v>0</v>
      </c>
      <c r="X48" s="410">
        <f t="shared" si="48"/>
        <v>0</v>
      </c>
      <c r="Y48" s="410">
        <f t="shared" si="48"/>
        <v>0</v>
      </c>
      <c r="Z48" s="410">
        <f t="shared" si="48"/>
        <v>0</v>
      </c>
      <c r="AA48" s="410">
        <f t="shared" si="48"/>
        <v>0</v>
      </c>
      <c r="AB48" s="410">
        <f t="shared" si="48"/>
        <v>0</v>
      </c>
      <c r="AC48" s="410">
        <f t="shared" si="48"/>
        <v>0</v>
      </c>
      <c r="AD48" s="372"/>
      <c r="AE48" s="409"/>
      <c r="AF48" s="408">
        <f t="shared" ref="AF48:AO57" si="49">IF(AND(AF$8&gt;=$D48,(MATCH(AF$8,$AF$8:$CA$8,0)-MATCH($D48,$AF$8:$CA$8,0))&lt;3),$E48/3,0)</f>
        <v>0</v>
      </c>
      <c r="AG48" s="408">
        <f t="shared" si="49"/>
        <v>0</v>
      </c>
      <c r="AH48" s="408">
        <f t="shared" si="49"/>
        <v>0</v>
      </c>
      <c r="AI48" s="408">
        <f t="shared" si="49"/>
        <v>0</v>
      </c>
      <c r="AJ48" s="408">
        <f t="shared" si="49"/>
        <v>0</v>
      </c>
      <c r="AK48" s="408">
        <f t="shared" si="49"/>
        <v>0</v>
      </c>
      <c r="AL48" s="408">
        <f t="shared" si="49"/>
        <v>0</v>
      </c>
      <c r="AM48" s="408">
        <f t="shared" si="49"/>
        <v>0</v>
      </c>
      <c r="AN48" s="408">
        <f t="shared" si="49"/>
        <v>0</v>
      </c>
      <c r="AO48" s="408">
        <f t="shared" si="49"/>
        <v>0</v>
      </c>
      <c r="AP48" s="408">
        <f t="shared" ref="AP48:AY57" si="50">IF(AND(AP$8&gt;=$D48,(MATCH(AP$8,$AF$8:$CA$8,0)-MATCH($D48,$AF$8:$CA$8,0))&lt;3),$E48/3,0)</f>
        <v>0</v>
      </c>
      <c r="AQ48" s="408">
        <f t="shared" si="50"/>
        <v>0</v>
      </c>
      <c r="AR48" s="408">
        <f t="shared" si="50"/>
        <v>0</v>
      </c>
      <c r="AS48" s="408">
        <f t="shared" si="50"/>
        <v>0</v>
      </c>
      <c r="AT48" s="408">
        <f t="shared" si="50"/>
        <v>0</v>
      </c>
      <c r="AU48" s="408">
        <f t="shared" si="50"/>
        <v>0</v>
      </c>
      <c r="AV48" s="408">
        <f t="shared" si="50"/>
        <v>0</v>
      </c>
      <c r="AW48" s="408">
        <f t="shared" si="50"/>
        <v>0</v>
      </c>
      <c r="AX48" s="408">
        <f t="shared" si="50"/>
        <v>0</v>
      </c>
      <c r="AY48" s="408">
        <f t="shared" si="50"/>
        <v>0</v>
      </c>
      <c r="AZ48" s="408">
        <f t="shared" ref="AZ48:BI57" si="51">IF(AND(AZ$8&gt;=$D48,(MATCH(AZ$8,$AF$8:$CA$8,0)-MATCH($D48,$AF$8:$CA$8,0))&lt;3),$E48/3,0)</f>
        <v>0</v>
      </c>
      <c r="BA48" s="408">
        <f t="shared" si="51"/>
        <v>0</v>
      </c>
      <c r="BB48" s="408">
        <f t="shared" si="51"/>
        <v>0</v>
      </c>
      <c r="BC48" s="408">
        <f t="shared" si="51"/>
        <v>0</v>
      </c>
      <c r="BD48" s="408">
        <f t="shared" si="51"/>
        <v>0</v>
      </c>
      <c r="BE48" s="408">
        <f t="shared" si="51"/>
        <v>0</v>
      </c>
      <c r="BF48" s="408">
        <f t="shared" si="51"/>
        <v>0</v>
      </c>
      <c r="BG48" s="408">
        <f t="shared" si="51"/>
        <v>0</v>
      </c>
      <c r="BH48" s="408">
        <f t="shared" si="51"/>
        <v>0</v>
      </c>
      <c r="BI48" s="408">
        <f t="shared" si="51"/>
        <v>0</v>
      </c>
      <c r="BJ48" s="408">
        <f t="shared" ref="BJ48:BS57" si="52">IF(AND(BJ$8&gt;=$D48,(MATCH(BJ$8,$AF$8:$CA$8,0)-MATCH($D48,$AF$8:$CA$8,0))&lt;3),$E48/3,0)</f>
        <v>0</v>
      </c>
      <c r="BK48" s="408">
        <f t="shared" si="52"/>
        <v>0</v>
      </c>
      <c r="BL48" s="408">
        <f t="shared" si="52"/>
        <v>0</v>
      </c>
      <c r="BM48" s="408">
        <f t="shared" si="52"/>
        <v>0</v>
      </c>
      <c r="BN48" s="408">
        <f t="shared" si="52"/>
        <v>0</v>
      </c>
      <c r="BO48" s="408">
        <f t="shared" si="52"/>
        <v>0</v>
      </c>
      <c r="BP48" s="408">
        <f t="shared" si="52"/>
        <v>0</v>
      </c>
      <c r="BQ48" s="408">
        <f t="shared" si="52"/>
        <v>0</v>
      </c>
      <c r="BR48" s="408">
        <f t="shared" si="52"/>
        <v>0</v>
      </c>
      <c r="BS48" s="408">
        <f t="shared" si="52"/>
        <v>0</v>
      </c>
      <c r="BT48" s="408">
        <f t="shared" ref="BT48:CA57" si="53">IF(AND(BT$8&gt;=$D48,(MATCH(BT$8,$AF$8:$CA$8,0)-MATCH($D48,$AF$8:$CA$8,0))&lt;3),$E48/3,0)</f>
        <v>0</v>
      </c>
      <c r="BU48" s="408">
        <f t="shared" si="53"/>
        <v>0</v>
      </c>
      <c r="BV48" s="408">
        <f t="shared" si="53"/>
        <v>0</v>
      </c>
      <c r="BW48" s="408">
        <f t="shared" si="53"/>
        <v>0</v>
      </c>
      <c r="BX48" s="408">
        <f t="shared" si="53"/>
        <v>0</v>
      </c>
      <c r="BY48" s="408">
        <f t="shared" si="53"/>
        <v>0</v>
      </c>
      <c r="BZ48" s="408">
        <f t="shared" si="53"/>
        <v>0</v>
      </c>
      <c r="CA48" s="408">
        <f t="shared" si="53"/>
        <v>0</v>
      </c>
    </row>
    <row r="49" spans="3:79" ht="21" hidden="1" customHeight="1" outlineLevel="2">
      <c r="C49" s="370"/>
      <c r="D49" s="374">
        <f t="shared" si="40"/>
        <v>45596</v>
      </c>
      <c r="E49" s="408" cm="1">
        <f t="array" ref="E49">INDEX($AF$14:$CA$14,0,MATCH($D49,$AF$8:$CA$8,0))</f>
        <v>48120</v>
      </c>
      <c r="F49" s="372"/>
      <c r="G49" s="409"/>
      <c r="H49" s="410">
        <f t="shared" si="47"/>
        <v>0</v>
      </c>
      <c r="I49" s="410">
        <f t="shared" si="47"/>
        <v>48120</v>
      </c>
      <c r="J49" s="410">
        <f t="shared" si="47"/>
        <v>0</v>
      </c>
      <c r="K49" s="410">
        <f t="shared" si="47"/>
        <v>0</v>
      </c>
      <c r="M49" s="359"/>
      <c r="N49" s="410">
        <f t="shared" si="48"/>
        <v>0</v>
      </c>
      <c r="O49" s="410">
        <f t="shared" si="48"/>
        <v>0</v>
      </c>
      <c r="P49" s="410">
        <f t="shared" si="48"/>
        <v>0</v>
      </c>
      <c r="Q49" s="410">
        <f t="shared" si="48"/>
        <v>0</v>
      </c>
      <c r="R49" s="410">
        <f t="shared" si="48"/>
        <v>0</v>
      </c>
      <c r="S49" s="410">
        <f t="shared" si="48"/>
        <v>0</v>
      </c>
      <c r="T49" s="410">
        <f t="shared" si="48"/>
        <v>0</v>
      </c>
      <c r="U49" s="410">
        <f t="shared" si="48"/>
        <v>48120</v>
      </c>
      <c r="V49" s="410">
        <f t="shared" si="48"/>
        <v>0</v>
      </c>
      <c r="W49" s="410">
        <f t="shared" si="48"/>
        <v>0</v>
      </c>
      <c r="X49" s="410">
        <f t="shared" si="48"/>
        <v>0</v>
      </c>
      <c r="Y49" s="410">
        <f t="shared" si="48"/>
        <v>0</v>
      </c>
      <c r="Z49" s="410">
        <f t="shared" si="48"/>
        <v>0</v>
      </c>
      <c r="AA49" s="410">
        <f t="shared" si="48"/>
        <v>0</v>
      </c>
      <c r="AB49" s="410">
        <f t="shared" si="48"/>
        <v>0</v>
      </c>
      <c r="AC49" s="410">
        <f t="shared" si="48"/>
        <v>0</v>
      </c>
      <c r="AD49" s="372"/>
      <c r="AE49" s="409"/>
      <c r="AF49" s="408">
        <f t="shared" si="49"/>
        <v>0</v>
      </c>
      <c r="AG49" s="408">
        <f t="shared" si="49"/>
        <v>0</v>
      </c>
      <c r="AH49" s="408">
        <f t="shared" si="49"/>
        <v>0</v>
      </c>
      <c r="AI49" s="408">
        <f t="shared" si="49"/>
        <v>0</v>
      </c>
      <c r="AJ49" s="408">
        <f t="shared" si="49"/>
        <v>0</v>
      </c>
      <c r="AK49" s="408">
        <f t="shared" si="49"/>
        <v>0</v>
      </c>
      <c r="AL49" s="408">
        <f t="shared" si="49"/>
        <v>0</v>
      </c>
      <c r="AM49" s="408">
        <f t="shared" si="49"/>
        <v>0</v>
      </c>
      <c r="AN49" s="408">
        <f t="shared" si="49"/>
        <v>0</v>
      </c>
      <c r="AO49" s="408">
        <f t="shared" si="49"/>
        <v>0</v>
      </c>
      <c r="AP49" s="408">
        <f t="shared" si="50"/>
        <v>0</v>
      </c>
      <c r="AQ49" s="408">
        <f t="shared" si="50"/>
        <v>0</v>
      </c>
      <c r="AR49" s="408">
        <f t="shared" si="50"/>
        <v>0</v>
      </c>
      <c r="AS49" s="408">
        <f t="shared" si="50"/>
        <v>0</v>
      </c>
      <c r="AT49" s="408">
        <f t="shared" si="50"/>
        <v>0</v>
      </c>
      <c r="AU49" s="408">
        <f t="shared" si="50"/>
        <v>0</v>
      </c>
      <c r="AV49" s="408">
        <f t="shared" si="50"/>
        <v>0</v>
      </c>
      <c r="AW49" s="408">
        <f t="shared" si="50"/>
        <v>0</v>
      </c>
      <c r="AX49" s="408">
        <f t="shared" si="50"/>
        <v>0</v>
      </c>
      <c r="AY49" s="408">
        <f t="shared" si="50"/>
        <v>0</v>
      </c>
      <c r="AZ49" s="408">
        <f t="shared" si="51"/>
        <v>0</v>
      </c>
      <c r="BA49" s="408">
        <f t="shared" si="51"/>
        <v>16040</v>
      </c>
      <c r="BB49" s="408">
        <f t="shared" si="51"/>
        <v>16040</v>
      </c>
      <c r="BC49" s="408">
        <f t="shared" si="51"/>
        <v>16040</v>
      </c>
      <c r="BD49" s="408">
        <f t="shared" si="51"/>
        <v>0</v>
      </c>
      <c r="BE49" s="408">
        <f t="shared" si="51"/>
        <v>0</v>
      </c>
      <c r="BF49" s="408">
        <f t="shared" si="51"/>
        <v>0</v>
      </c>
      <c r="BG49" s="408">
        <f t="shared" si="51"/>
        <v>0</v>
      </c>
      <c r="BH49" s="408">
        <f t="shared" si="51"/>
        <v>0</v>
      </c>
      <c r="BI49" s="408">
        <f t="shared" si="51"/>
        <v>0</v>
      </c>
      <c r="BJ49" s="408">
        <f t="shared" si="52"/>
        <v>0</v>
      </c>
      <c r="BK49" s="408">
        <f t="shared" si="52"/>
        <v>0</v>
      </c>
      <c r="BL49" s="408">
        <f t="shared" si="52"/>
        <v>0</v>
      </c>
      <c r="BM49" s="408">
        <f t="shared" si="52"/>
        <v>0</v>
      </c>
      <c r="BN49" s="408">
        <f t="shared" si="52"/>
        <v>0</v>
      </c>
      <c r="BO49" s="408">
        <f t="shared" si="52"/>
        <v>0</v>
      </c>
      <c r="BP49" s="408">
        <f t="shared" si="52"/>
        <v>0</v>
      </c>
      <c r="BQ49" s="408">
        <f t="shared" si="52"/>
        <v>0</v>
      </c>
      <c r="BR49" s="408">
        <f t="shared" si="52"/>
        <v>0</v>
      </c>
      <c r="BS49" s="408">
        <f t="shared" si="52"/>
        <v>0</v>
      </c>
      <c r="BT49" s="408">
        <f t="shared" si="53"/>
        <v>0</v>
      </c>
      <c r="BU49" s="408">
        <f t="shared" si="53"/>
        <v>0</v>
      </c>
      <c r="BV49" s="408">
        <f t="shared" si="53"/>
        <v>0</v>
      </c>
      <c r="BW49" s="408">
        <f t="shared" si="53"/>
        <v>0</v>
      </c>
      <c r="BX49" s="408">
        <f t="shared" si="53"/>
        <v>0</v>
      </c>
      <c r="BY49" s="408">
        <f t="shared" si="53"/>
        <v>0</v>
      </c>
      <c r="BZ49" s="408">
        <f t="shared" si="53"/>
        <v>0</v>
      </c>
      <c r="CA49" s="408">
        <f t="shared" si="53"/>
        <v>0</v>
      </c>
    </row>
    <row r="50" spans="3:79" ht="21" hidden="1" customHeight="1" outlineLevel="2">
      <c r="C50" s="370"/>
      <c r="D50" s="374">
        <f t="shared" si="40"/>
        <v>45626</v>
      </c>
      <c r="E50" s="408" cm="1">
        <f t="array" ref="E50">INDEX($AF$14:$CA$14,0,MATCH($D50,$AF$8:$CA$8,0))</f>
        <v>43940</v>
      </c>
      <c r="F50" s="372"/>
      <c r="G50" s="409"/>
      <c r="H50" s="410">
        <f t="shared" si="47"/>
        <v>0</v>
      </c>
      <c r="I50" s="410">
        <f t="shared" si="47"/>
        <v>29293.333333333332</v>
      </c>
      <c r="J50" s="410">
        <f t="shared" si="47"/>
        <v>14646.666666666666</v>
      </c>
      <c r="K50" s="410">
        <f t="shared" si="47"/>
        <v>0</v>
      </c>
      <c r="M50" s="359"/>
      <c r="N50" s="410">
        <f t="shared" si="48"/>
        <v>0</v>
      </c>
      <c r="O50" s="410">
        <f t="shared" si="48"/>
        <v>0</v>
      </c>
      <c r="P50" s="410">
        <f t="shared" si="48"/>
        <v>0</v>
      </c>
      <c r="Q50" s="410">
        <f t="shared" si="48"/>
        <v>0</v>
      </c>
      <c r="R50" s="410">
        <f t="shared" si="48"/>
        <v>0</v>
      </c>
      <c r="S50" s="410">
        <f t="shared" si="48"/>
        <v>0</v>
      </c>
      <c r="T50" s="410">
        <f t="shared" si="48"/>
        <v>0</v>
      </c>
      <c r="U50" s="410">
        <f t="shared" si="48"/>
        <v>29293.333333333332</v>
      </c>
      <c r="V50" s="410">
        <f t="shared" si="48"/>
        <v>14646.666666666666</v>
      </c>
      <c r="W50" s="410">
        <f t="shared" si="48"/>
        <v>0</v>
      </c>
      <c r="X50" s="410">
        <f t="shared" si="48"/>
        <v>0</v>
      </c>
      <c r="Y50" s="410">
        <f t="shared" si="48"/>
        <v>0</v>
      </c>
      <c r="Z50" s="410">
        <f t="shared" si="48"/>
        <v>0</v>
      </c>
      <c r="AA50" s="410">
        <f t="shared" si="48"/>
        <v>0</v>
      </c>
      <c r="AB50" s="410">
        <f t="shared" si="48"/>
        <v>0</v>
      </c>
      <c r="AC50" s="410">
        <f t="shared" si="48"/>
        <v>0</v>
      </c>
      <c r="AD50" s="372"/>
      <c r="AE50" s="409"/>
      <c r="AF50" s="408">
        <f t="shared" si="49"/>
        <v>0</v>
      </c>
      <c r="AG50" s="408">
        <f t="shared" si="49"/>
        <v>0</v>
      </c>
      <c r="AH50" s="408">
        <f t="shared" si="49"/>
        <v>0</v>
      </c>
      <c r="AI50" s="408">
        <f t="shared" si="49"/>
        <v>0</v>
      </c>
      <c r="AJ50" s="408">
        <f t="shared" si="49"/>
        <v>0</v>
      </c>
      <c r="AK50" s="408">
        <f t="shared" si="49"/>
        <v>0</v>
      </c>
      <c r="AL50" s="408">
        <f t="shared" si="49"/>
        <v>0</v>
      </c>
      <c r="AM50" s="408">
        <f t="shared" si="49"/>
        <v>0</v>
      </c>
      <c r="AN50" s="408">
        <f t="shared" si="49"/>
        <v>0</v>
      </c>
      <c r="AO50" s="408">
        <f t="shared" si="49"/>
        <v>0</v>
      </c>
      <c r="AP50" s="408">
        <f t="shared" si="50"/>
        <v>0</v>
      </c>
      <c r="AQ50" s="408">
        <f t="shared" si="50"/>
        <v>0</v>
      </c>
      <c r="AR50" s="408">
        <f t="shared" si="50"/>
        <v>0</v>
      </c>
      <c r="AS50" s="408">
        <f t="shared" si="50"/>
        <v>0</v>
      </c>
      <c r="AT50" s="408">
        <f t="shared" si="50"/>
        <v>0</v>
      </c>
      <c r="AU50" s="408">
        <f t="shared" si="50"/>
        <v>0</v>
      </c>
      <c r="AV50" s="408">
        <f t="shared" si="50"/>
        <v>0</v>
      </c>
      <c r="AW50" s="408">
        <f t="shared" si="50"/>
        <v>0</v>
      </c>
      <c r="AX50" s="408">
        <f t="shared" si="50"/>
        <v>0</v>
      </c>
      <c r="AY50" s="408">
        <f t="shared" si="50"/>
        <v>0</v>
      </c>
      <c r="AZ50" s="408">
        <f t="shared" si="51"/>
        <v>0</v>
      </c>
      <c r="BA50" s="408">
        <f t="shared" si="51"/>
        <v>0</v>
      </c>
      <c r="BB50" s="408">
        <f t="shared" si="51"/>
        <v>14646.666666666666</v>
      </c>
      <c r="BC50" s="408">
        <f t="shared" si="51"/>
        <v>14646.666666666666</v>
      </c>
      <c r="BD50" s="408">
        <f t="shared" si="51"/>
        <v>14646.666666666666</v>
      </c>
      <c r="BE50" s="408">
        <f t="shared" si="51"/>
        <v>0</v>
      </c>
      <c r="BF50" s="408">
        <f t="shared" si="51"/>
        <v>0</v>
      </c>
      <c r="BG50" s="408">
        <f t="shared" si="51"/>
        <v>0</v>
      </c>
      <c r="BH50" s="408">
        <f t="shared" si="51"/>
        <v>0</v>
      </c>
      <c r="BI50" s="408">
        <f t="shared" si="51"/>
        <v>0</v>
      </c>
      <c r="BJ50" s="408">
        <f t="shared" si="52"/>
        <v>0</v>
      </c>
      <c r="BK50" s="408">
        <f t="shared" si="52"/>
        <v>0</v>
      </c>
      <c r="BL50" s="408">
        <f t="shared" si="52"/>
        <v>0</v>
      </c>
      <c r="BM50" s="408">
        <f t="shared" si="52"/>
        <v>0</v>
      </c>
      <c r="BN50" s="408">
        <f t="shared" si="52"/>
        <v>0</v>
      </c>
      <c r="BO50" s="408">
        <f t="shared" si="52"/>
        <v>0</v>
      </c>
      <c r="BP50" s="408">
        <f t="shared" si="52"/>
        <v>0</v>
      </c>
      <c r="BQ50" s="408">
        <f t="shared" si="52"/>
        <v>0</v>
      </c>
      <c r="BR50" s="408">
        <f t="shared" si="52"/>
        <v>0</v>
      </c>
      <c r="BS50" s="408">
        <f t="shared" si="52"/>
        <v>0</v>
      </c>
      <c r="BT50" s="408">
        <f t="shared" si="53"/>
        <v>0</v>
      </c>
      <c r="BU50" s="408">
        <f t="shared" si="53"/>
        <v>0</v>
      </c>
      <c r="BV50" s="408">
        <f t="shared" si="53"/>
        <v>0</v>
      </c>
      <c r="BW50" s="408">
        <f t="shared" si="53"/>
        <v>0</v>
      </c>
      <c r="BX50" s="408">
        <f t="shared" si="53"/>
        <v>0</v>
      </c>
      <c r="BY50" s="408">
        <f t="shared" si="53"/>
        <v>0</v>
      </c>
      <c r="BZ50" s="408">
        <f t="shared" si="53"/>
        <v>0</v>
      </c>
      <c r="CA50" s="408">
        <f t="shared" si="53"/>
        <v>0</v>
      </c>
    </row>
    <row r="51" spans="3:79" ht="21" hidden="1" customHeight="1" outlineLevel="2">
      <c r="C51" s="370"/>
      <c r="D51" s="374">
        <f t="shared" si="40"/>
        <v>45657</v>
      </c>
      <c r="E51" s="408" cm="1">
        <f t="array" ref="E51">INDEX($AF$14:$CA$14,0,MATCH($D51,$AF$8:$CA$8,0))</f>
        <v>15480</v>
      </c>
      <c r="F51" s="372"/>
      <c r="G51" s="409"/>
      <c r="H51" s="410">
        <f t="shared" si="47"/>
        <v>0</v>
      </c>
      <c r="I51" s="410">
        <f t="shared" si="47"/>
        <v>5160</v>
      </c>
      <c r="J51" s="410">
        <f t="shared" si="47"/>
        <v>10320</v>
      </c>
      <c r="K51" s="410">
        <f t="shared" si="47"/>
        <v>0</v>
      </c>
      <c r="M51" s="359"/>
      <c r="N51" s="410">
        <f t="shared" si="48"/>
        <v>0</v>
      </c>
      <c r="O51" s="410">
        <f t="shared" si="48"/>
        <v>0</v>
      </c>
      <c r="P51" s="410">
        <f t="shared" si="48"/>
        <v>0</v>
      </c>
      <c r="Q51" s="410">
        <f t="shared" si="48"/>
        <v>0</v>
      </c>
      <c r="R51" s="410">
        <f t="shared" si="48"/>
        <v>0</v>
      </c>
      <c r="S51" s="410">
        <f t="shared" si="48"/>
        <v>0</v>
      </c>
      <c r="T51" s="410">
        <f t="shared" si="48"/>
        <v>0</v>
      </c>
      <c r="U51" s="410">
        <f t="shared" si="48"/>
        <v>5160</v>
      </c>
      <c r="V51" s="410">
        <f t="shared" si="48"/>
        <v>10320</v>
      </c>
      <c r="W51" s="410">
        <f t="shared" si="48"/>
        <v>0</v>
      </c>
      <c r="X51" s="410">
        <f t="shared" si="48"/>
        <v>0</v>
      </c>
      <c r="Y51" s="410">
        <f t="shared" si="48"/>
        <v>0</v>
      </c>
      <c r="Z51" s="410">
        <f t="shared" si="48"/>
        <v>0</v>
      </c>
      <c r="AA51" s="410">
        <f t="shared" si="48"/>
        <v>0</v>
      </c>
      <c r="AB51" s="410">
        <f t="shared" si="48"/>
        <v>0</v>
      </c>
      <c r="AC51" s="410">
        <f t="shared" si="48"/>
        <v>0</v>
      </c>
      <c r="AD51" s="372"/>
      <c r="AE51" s="409"/>
      <c r="AF51" s="408">
        <f t="shared" si="49"/>
        <v>0</v>
      </c>
      <c r="AG51" s="408">
        <f t="shared" si="49"/>
        <v>0</v>
      </c>
      <c r="AH51" s="408">
        <f t="shared" si="49"/>
        <v>0</v>
      </c>
      <c r="AI51" s="408">
        <f t="shared" si="49"/>
        <v>0</v>
      </c>
      <c r="AJ51" s="408">
        <f t="shared" si="49"/>
        <v>0</v>
      </c>
      <c r="AK51" s="408">
        <f t="shared" si="49"/>
        <v>0</v>
      </c>
      <c r="AL51" s="408">
        <f t="shared" si="49"/>
        <v>0</v>
      </c>
      <c r="AM51" s="408">
        <f t="shared" si="49"/>
        <v>0</v>
      </c>
      <c r="AN51" s="408">
        <f t="shared" si="49"/>
        <v>0</v>
      </c>
      <c r="AO51" s="408">
        <f t="shared" si="49"/>
        <v>0</v>
      </c>
      <c r="AP51" s="408">
        <f t="shared" si="50"/>
        <v>0</v>
      </c>
      <c r="AQ51" s="408">
        <f t="shared" si="50"/>
        <v>0</v>
      </c>
      <c r="AR51" s="408">
        <f t="shared" si="50"/>
        <v>0</v>
      </c>
      <c r="AS51" s="408">
        <f t="shared" si="50"/>
        <v>0</v>
      </c>
      <c r="AT51" s="408">
        <f t="shared" si="50"/>
        <v>0</v>
      </c>
      <c r="AU51" s="408">
        <f t="shared" si="50"/>
        <v>0</v>
      </c>
      <c r="AV51" s="408">
        <f t="shared" si="50"/>
        <v>0</v>
      </c>
      <c r="AW51" s="408">
        <f t="shared" si="50"/>
        <v>0</v>
      </c>
      <c r="AX51" s="408">
        <f t="shared" si="50"/>
        <v>0</v>
      </c>
      <c r="AY51" s="408">
        <f t="shared" si="50"/>
        <v>0</v>
      </c>
      <c r="AZ51" s="408">
        <f t="shared" si="51"/>
        <v>0</v>
      </c>
      <c r="BA51" s="408">
        <f t="shared" si="51"/>
        <v>0</v>
      </c>
      <c r="BB51" s="408">
        <f t="shared" si="51"/>
        <v>0</v>
      </c>
      <c r="BC51" s="408">
        <f t="shared" si="51"/>
        <v>5160</v>
      </c>
      <c r="BD51" s="408">
        <f t="shared" si="51"/>
        <v>5160</v>
      </c>
      <c r="BE51" s="408">
        <f t="shared" si="51"/>
        <v>5160</v>
      </c>
      <c r="BF51" s="408">
        <f t="shared" si="51"/>
        <v>0</v>
      </c>
      <c r="BG51" s="408">
        <f t="shared" si="51"/>
        <v>0</v>
      </c>
      <c r="BH51" s="408">
        <f t="shared" si="51"/>
        <v>0</v>
      </c>
      <c r="BI51" s="408">
        <f t="shared" si="51"/>
        <v>0</v>
      </c>
      <c r="BJ51" s="408">
        <f t="shared" si="52"/>
        <v>0</v>
      </c>
      <c r="BK51" s="408">
        <f t="shared" si="52"/>
        <v>0</v>
      </c>
      <c r="BL51" s="408">
        <f t="shared" si="52"/>
        <v>0</v>
      </c>
      <c r="BM51" s="408">
        <f t="shared" si="52"/>
        <v>0</v>
      </c>
      <c r="BN51" s="408">
        <f t="shared" si="52"/>
        <v>0</v>
      </c>
      <c r="BO51" s="408">
        <f t="shared" si="52"/>
        <v>0</v>
      </c>
      <c r="BP51" s="408">
        <f t="shared" si="52"/>
        <v>0</v>
      </c>
      <c r="BQ51" s="408">
        <f t="shared" si="52"/>
        <v>0</v>
      </c>
      <c r="BR51" s="408">
        <f t="shared" si="52"/>
        <v>0</v>
      </c>
      <c r="BS51" s="408">
        <f t="shared" si="52"/>
        <v>0</v>
      </c>
      <c r="BT51" s="408">
        <f t="shared" si="53"/>
        <v>0</v>
      </c>
      <c r="BU51" s="408">
        <f t="shared" si="53"/>
        <v>0</v>
      </c>
      <c r="BV51" s="408">
        <f t="shared" si="53"/>
        <v>0</v>
      </c>
      <c r="BW51" s="408">
        <f t="shared" si="53"/>
        <v>0</v>
      </c>
      <c r="BX51" s="408">
        <f t="shared" si="53"/>
        <v>0</v>
      </c>
      <c r="BY51" s="408">
        <f t="shared" si="53"/>
        <v>0</v>
      </c>
      <c r="BZ51" s="408">
        <f t="shared" si="53"/>
        <v>0</v>
      </c>
      <c r="CA51" s="408">
        <f t="shared" si="53"/>
        <v>0</v>
      </c>
    </row>
    <row r="52" spans="3:79" ht="21" hidden="1" customHeight="1" outlineLevel="2">
      <c r="C52" s="370"/>
      <c r="D52" s="374">
        <f t="shared" si="40"/>
        <v>45688</v>
      </c>
      <c r="E52" s="408" cm="1">
        <f t="array" ref="E52">INDEX($AF$14:$CA$14,0,MATCH($D52,$AF$8:$CA$8,0))</f>
        <v>48120</v>
      </c>
      <c r="F52" s="372"/>
      <c r="G52" s="409"/>
      <c r="H52" s="410">
        <f t="shared" si="47"/>
        <v>0</v>
      </c>
      <c r="I52" s="410">
        <f t="shared" si="47"/>
        <v>0</v>
      </c>
      <c r="J52" s="410">
        <f t="shared" si="47"/>
        <v>48120</v>
      </c>
      <c r="K52" s="410">
        <f t="shared" si="47"/>
        <v>0</v>
      </c>
      <c r="M52" s="359"/>
      <c r="N52" s="410">
        <f t="shared" si="48"/>
        <v>0</v>
      </c>
      <c r="O52" s="410">
        <f t="shared" si="48"/>
        <v>0</v>
      </c>
      <c r="P52" s="410">
        <f t="shared" si="48"/>
        <v>0</v>
      </c>
      <c r="Q52" s="410">
        <f t="shared" si="48"/>
        <v>0</v>
      </c>
      <c r="R52" s="410">
        <f t="shared" si="48"/>
        <v>0</v>
      </c>
      <c r="S52" s="410">
        <f t="shared" si="48"/>
        <v>0</v>
      </c>
      <c r="T52" s="410">
        <f t="shared" si="48"/>
        <v>0</v>
      </c>
      <c r="U52" s="410">
        <f t="shared" si="48"/>
        <v>0</v>
      </c>
      <c r="V52" s="410">
        <f t="shared" si="48"/>
        <v>48120</v>
      </c>
      <c r="W52" s="410">
        <f t="shared" si="48"/>
        <v>0</v>
      </c>
      <c r="X52" s="410">
        <f t="shared" si="48"/>
        <v>0</v>
      </c>
      <c r="Y52" s="410">
        <f t="shared" si="48"/>
        <v>0</v>
      </c>
      <c r="Z52" s="410">
        <f t="shared" si="48"/>
        <v>0</v>
      </c>
      <c r="AA52" s="410">
        <f t="shared" si="48"/>
        <v>0</v>
      </c>
      <c r="AB52" s="410">
        <f t="shared" si="48"/>
        <v>0</v>
      </c>
      <c r="AC52" s="410">
        <f t="shared" si="48"/>
        <v>0</v>
      </c>
      <c r="AD52" s="372"/>
      <c r="AE52" s="409"/>
      <c r="AF52" s="408">
        <f t="shared" si="49"/>
        <v>0</v>
      </c>
      <c r="AG52" s="408">
        <f t="shared" si="49"/>
        <v>0</v>
      </c>
      <c r="AH52" s="408">
        <f t="shared" si="49"/>
        <v>0</v>
      </c>
      <c r="AI52" s="408">
        <f t="shared" si="49"/>
        <v>0</v>
      </c>
      <c r="AJ52" s="408">
        <f t="shared" si="49"/>
        <v>0</v>
      </c>
      <c r="AK52" s="408">
        <f t="shared" si="49"/>
        <v>0</v>
      </c>
      <c r="AL52" s="408">
        <f t="shared" si="49"/>
        <v>0</v>
      </c>
      <c r="AM52" s="408">
        <f t="shared" si="49"/>
        <v>0</v>
      </c>
      <c r="AN52" s="408">
        <f t="shared" si="49"/>
        <v>0</v>
      </c>
      <c r="AO52" s="408">
        <f t="shared" si="49"/>
        <v>0</v>
      </c>
      <c r="AP52" s="408">
        <f t="shared" si="50"/>
        <v>0</v>
      </c>
      <c r="AQ52" s="408">
        <f t="shared" si="50"/>
        <v>0</v>
      </c>
      <c r="AR52" s="408">
        <f t="shared" si="50"/>
        <v>0</v>
      </c>
      <c r="AS52" s="408">
        <f t="shared" si="50"/>
        <v>0</v>
      </c>
      <c r="AT52" s="408">
        <f t="shared" si="50"/>
        <v>0</v>
      </c>
      <c r="AU52" s="408">
        <f t="shared" si="50"/>
        <v>0</v>
      </c>
      <c r="AV52" s="408">
        <f t="shared" si="50"/>
        <v>0</v>
      </c>
      <c r="AW52" s="408">
        <f t="shared" si="50"/>
        <v>0</v>
      </c>
      <c r="AX52" s="408">
        <f t="shared" si="50"/>
        <v>0</v>
      </c>
      <c r="AY52" s="408">
        <f t="shared" si="50"/>
        <v>0</v>
      </c>
      <c r="AZ52" s="408">
        <f t="shared" si="51"/>
        <v>0</v>
      </c>
      <c r="BA52" s="408">
        <f t="shared" si="51"/>
        <v>0</v>
      </c>
      <c r="BB52" s="408">
        <f t="shared" si="51"/>
        <v>0</v>
      </c>
      <c r="BC52" s="408">
        <f t="shared" si="51"/>
        <v>0</v>
      </c>
      <c r="BD52" s="408">
        <f t="shared" si="51"/>
        <v>16040</v>
      </c>
      <c r="BE52" s="408">
        <f t="shared" si="51"/>
        <v>16040</v>
      </c>
      <c r="BF52" s="408">
        <f t="shared" si="51"/>
        <v>16040</v>
      </c>
      <c r="BG52" s="408">
        <f t="shared" si="51"/>
        <v>0</v>
      </c>
      <c r="BH52" s="408">
        <f t="shared" si="51"/>
        <v>0</v>
      </c>
      <c r="BI52" s="408">
        <f t="shared" si="51"/>
        <v>0</v>
      </c>
      <c r="BJ52" s="408">
        <f t="shared" si="52"/>
        <v>0</v>
      </c>
      <c r="BK52" s="408">
        <f t="shared" si="52"/>
        <v>0</v>
      </c>
      <c r="BL52" s="408">
        <f t="shared" si="52"/>
        <v>0</v>
      </c>
      <c r="BM52" s="408">
        <f t="shared" si="52"/>
        <v>0</v>
      </c>
      <c r="BN52" s="408">
        <f t="shared" si="52"/>
        <v>0</v>
      </c>
      <c r="BO52" s="408">
        <f t="shared" si="52"/>
        <v>0</v>
      </c>
      <c r="BP52" s="408">
        <f t="shared" si="52"/>
        <v>0</v>
      </c>
      <c r="BQ52" s="408">
        <f t="shared" si="52"/>
        <v>0</v>
      </c>
      <c r="BR52" s="408">
        <f t="shared" si="52"/>
        <v>0</v>
      </c>
      <c r="BS52" s="408">
        <f t="shared" si="52"/>
        <v>0</v>
      </c>
      <c r="BT52" s="408">
        <f t="shared" si="53"/>
        <v>0</v>
      </c>
      <c r="BU52" s="408">
        <f t="shared" si="53"/>
        <v>0</v>
      </c>
      <c r="BV52" s="408">
        <f t="shared" si="53"/>
        <v>0</v>
      </c>
      <c r="BW52" s="408">
        <f t="shared" si="53"/>
        <v>0</v>
      </c>
      <c r="BX52" s="408">
        <f t="shared" si="53"/>
        <v>0</v>
      </c>
      <c r="BY52" s="408">
        <f t="shared" si="53"/>
        <v>0</v>
      </c>
      <c r="BZ52" s="408">
        <f t="shared" si="53"/>
        <v>0</v>
      </c>
      <c r="CA52" s="408">
        <f t="shared" si="53"/>
        <v>0</v>
      </c>
    </row>
    <row r="53" spans="3:79" ht="21" hidden="1" customHeight="1" outlineLevel="2">
      <c r="C53" s="370"/>
      <c r="D53" s="374">
        <f t="shared" si="40"/>
        <v>45716</v>
      </c>
      <c r="E53" s="408" cm="1">
        <f t="array" ref="E53">INDEX($AF$14:$CA$14,0,MATCH($D53,$AF$8:$CA$8,0))</f>
        <v>43940</v>
      </c>
      <c r="F53" s="372"/>
      <c r="G53" s="409"/>
      <c r="H53" s="410">
        <f t="shared" si="47"/>
        <v>0</v>
      </c>
      <c r="I53" s="410">
        <f t="shared" si="47"/>
        <v>0</v>
      </c>
      <c r="J53" s="410">
        <f t="shared" si="47"/>
        <v>43940</v>
      </c>
      <c r="K53" s="410">
        <f t="shared" si="47"/>
        <v>0</v>
      </c>
      <c r="M53" s="359"/>
      <c r="N53" s="410">
        <f t="shared" si="48"/>
        <v>0</v>
      </c>
      <c r="O53" s="410">
        <f t="shared" si="48"/>
        <v>0</v>
      </c>
      <c r="P53" s="410">
        <f t="shared" si="48"/>
        <v>0</v>
      </c>
      <c r="Q53" s="410">
        <f t="shared" si="48"/>
        <v>0</v>
      </c>
      <c r="R53" s="410">
        <f t="shared" si="48"/>
        <v>0</v>
      </c>
      <c r="S53" s="410">
        <f t="shared" si="48"/>
        <v>0</v>
      </c>
      <c r="T53" s="410">
        <f t="shared" si="48"/>
        <v>0</v>
      </c>
      <c r="U53" s="410">
        <f t="shared" si="48"/>
        <v>0</v>
      </c>
      <c r="V53" s="410">
        <f t="shared" si="48"/>
        <v>29293.333333333332</v>
      </c>
      <c r="W53" s="410">
        <f t="shared" si="48"/>
        <v>14646.666666666666</v>
      </c>
      <c r="X53" s="410">
        <f t="shared" si="48"/>
        <v>0</v>
      </c>
      <c r="Y53" s="410">
        <f t="shared" si="48"/>
        <v>0</v>
      </c>
      <c r="Z53" s="410">
        <f t="shared" si="48"/>
        <v>0</v>
      </c>
      <c r="AA53" s="410">
        <f t="shared" si="48"/>
        <v>0</v>
      </c>
      <c r="AB53" s="410">
        <f t="shared" si="48"/>
        <v>0</v>
      </c>
      <c r="AC53" s="410">
        <f t="shared" si="48"/>
        <v>0</v>
      </c>
      <c r="AD53" s="372"/>
      <c r="AE53" s="409"/>
      <c r="AF53" s="408">
        <f t="shared" si="49"/>
        <v>0</v>
      </c>
      <c r="AG53" s="408">
        <f t="shared" si="49"/>
        <v>0</v>
      </c>
      <c r="AH53" s="408">
        <f t="shared" si="49"/>
        <v>0</v>
      </c>
      <c r="AI53" s="408">
        <f t="shared" si="49"/>
        <v>0</v>
      </c>
      <c r="AJ53" s="408">
        <f t="shared" si="49"/>
        <v>0</v>
      </c>
      <c r="AK53" s="408">
        <f t="shared" si="49"/>
        <v>0</v>
      </c>
      <c r="AL53" s="408">
        <f t="shared" si="49"/>
        <v>0</v>
      </c>
      <c r="AM53" s="408">
        <f t="shared" si="49"/>
        <v>0</v>
      </c>
      <c r="AN53" s="408">
        <f t="shared" si="49"/>
        <v>0</v>
      </c>
      <c r="AO53" s="408">
        <f t="shared" si="49"/>
        <v>0</v>
      </c>
      <c r="AP53" s="408">
        <f t="shared" si="50"/>
        <v>0</v>
      </c>
      <c r="AQ53" s="408">
        <f t="shared" si="50"/>
        <v>0</v>
      </c>
      <c r="AR53" s="408">
        <f t="shared" si="50"/>
        <v>0</v>
      </c>
      <c r="AS53" s="408">
        <f t="shared" si="50"/>
        <v>0</v>
      </c>
      <c r="AT53" s="408">
        <f t="shared" si="50"/>
        <v>0</v>
      </c>
      <c r="AU53" s="408">
        <f t="shared" si="50"/>
        <v>0</v>
      </c>
      <c r="AV53" s="408">
        <f t="shared" si="50"/>
        <v>0</v>
      </c>
      <c r="AW53" s="408">
        <f t="shared" si="50"/>
        <v>0</v>
      </c>
      <c r="AX53" s="408">
        <f t="shared" si="50"/>
        <v>0</v>
      </c>
      <c r="AY53" s="408">
        <f t="shared" si="50"/>
        <v>0</v>
      </c>
      <c r="AZ53" s="408">
        <f t="shared" si="51"/>
        <v>0</v>
      </c>
      <c r="BA53" s="408">
        <f t="shared" si="51"/>
        <v>0</v>
      </c>
      <c r="BB53" s="408">
        <f t="shared" si="51"/>
        <v>0</v>
      </c>
      <c r="BC53" s="408">
        <f t="shared" si="51"/>
        <v>0</v>
      </c>
      <c r="BD53" s="408">
        <f t="shared" si="51"/>
        <v>0</v>
      </c>
      <c r="BE53" s="408">
        <f t="shared" si="51"/>
        <v>14646.666666666666</v>
      </c>
      <c r="BF53" s="408">
        <f t="shared" si="51"/>
        <v>14646.666666666666</v>
      </c>
      <c r="BG53" s="408">
        <f t="shared" si="51"/>
        <v>14646.666666666666</v>
      </c>
      <c r="BH53" s="408">
        <f t="shared" si="51"/>
        <v>0</v>
      </c>
      <c r="BI53" s="408">
        <f t="shared" si="51"/>
        <v>0</v>
      </c>
      <c r="BJ53" s="408">
        <f t="shared" si="52"/>
        <v>0</v>
      </c>
      <c r="BK53" s="408">
        <f t="shared" si="52"/>
        <v>0</v>
      </c>
      <c r="BL53" s="408">
        <f t="shared" si="52"/>
        <v>0</v>
      </c>
      <c r="BM53" s="408">
        <f t="shared" si="52"/>
        <v>0</v>
      </c>
      <c r="BN53" s="408">
        <f t="shared" si="52"/>
        <v>0</v>
      </c>
      <c r="BO53" s="408">
        <f t="shared" si="52"/>
        <v>0</v>
      </c>
      <c r="BP53" s="408">
        <f t="shared" si="52"/>
        <v>0</v>
      </c>
      <c r="BQ53" s="408">
        <f t="shared" si="52"/>
        <v>0</v>
      </c>
      <c r="BR53" s="408">
        <f t="shared" si="52"/>
        <v>0</v>
      </c>
      <c r="BS53" s="408">
        <f t="shared" si="52"/>
        <v>0</v>
      </c>
      <c r="BT53" s="408">
        <f t="shared" si="53"/>
        <v>0</v>
      </c>
      <c r="BU53" s="408">
        <f t="shared" si="53"/>
        <v>0</v>
      </c>
      <c r="BV53" s="408">
        <f t="shared" si="53"/>
        <v>0</v>
      </c>
      <c r="BW53" s="408">
        <f t="shared" si="53"/>
        <v>0</v>
      </c>
      <c r="BX53" s="408">
        <f t="shared" si="53"/>
        <v>0</v>
      </c>
      <c r="BY53" s="408">
        <f t="shared" si="53"/>
        <v>0</v>
      </c>
      <c r="BZ53" s="408">
        <f t="shared" si="53"/>
        <v>0</v>
      </c>
      <c r="CA53" s="408">
        <f t="shared" si="53"/>
        <v>0</v>
      </c>
    </row>
    <row r="54" spans="3:79" ht="21" hidden="1" customHeight="1" outlineLevel="2">
      <c r="C54" s="370"/>
      <c r="D54" s="374">
        <f t="shared" si="40"/>
        <v>45747</v>
      </c>
      <c r="E54" s="408" cm="1">
        <f t="array" ref="E54">INDEX($AF$14:$CA$14,0,MATCH($D54,$AF$8:$CA$8,0))</f>
        <v>15480</v>
      </c>
      <c r="F54" s="372"/>
      <c r="G54" s="409"/>
      <c r="H54" s="410">
        <f t="shared" si="47"/>
        <v>0</v>
      </c>
      <c r="I54" s="410">
        <f t="shared" si="47"/>
        <v>0</v>
      </c>
      <c r="J54" s="410">
        <f t="shared" si="47"/>
        <v>15480</v>
      </c>
      <c r="K54" s="410">
        <f t="shared" si="47"/>
        <v>0</v>
      </c>
      <c r="M54" s="359"/>
      <c r="N54" s="410">
        <f t="shared" si="48"/>
        <v>0</v>
      </c>
      <c r="O54" s="410">
        <f t="shared" si="48"/>
        <v>0</v>
      </c>
      <c r="P54" s="410">
        <f t="shared" si="48"/>
        <v>0</v>
      </c>
      <c r="Q54" s="410">
        <f t="shared" si="48"/>
        <v>0</v>
      </c>
      <c r="R54" s="410">
        <f t="shared" si="48"/>
        <v>0</v>
      </c>
      <c r="S54" s="410">
        <f t="shared" si="48"/>
        <v>0</v>
      </c>
      <c r="T54" s="410">
        <f t="shared" si="48"/>
        <v>0</v>
      </c>
      <c r="U54" s="410">
        <f t="shared" si="48"/>
        <v>0</v>
      </c>
      <c r="V54" s="410">
        <f t="shared" si="48"/>
        <v>5160</v>
      </c>
      <c r="W54" s="410">
        <f t="shared" si="48"/>
        <v>10320</v>
      </c>
      <c r="X54" s="410">
        <f t="shared" si="48"/>
        <v>0</v>
      </c>
      <c r="Y54" s="410">
        <f t="shared" si="48"/>
        <v>0</v>
      </c>
      <c r="Z54" s="410">
        <f t="shared" si="48"/>
        <v>0</v>
      </c>
      <c r="AA54" s="410">
        <f t="shared" si="48"/>
        <v>0</v>
      </c>
      <c r="AB54" s="410">
        <f t="shared" si="48"/>
        <v>0</v>
      </c>
      <c r="AC54" s="410">
        <f t="shared" si="48"/>
        <v>0</v>
      </c>
      <c r="AD54" s="372"/>
      <c r="AE54" s="409"/>
      <c r="AF54" s="408">
        <f t="shared" si="49"/>
        <v>0</v>
      </c>
      <c r="AG54" s="408">
        <f t="shared" si="49"/>
        <v>0</v>
      </c>
      <c r="AH54" s="408">
        <f t="shared" si="49"/>
        <v>0</v>
      </c>
      <c r="AI54" s="408">
        <f t="shared" si="49"/>
        <v>0</v>
      </c>
      <c r="AJ54" s="408">
        <f t="shared" si="49"/>
        <v>0</v>
      </c>
      <c r="AK54" s="408">
        <f t="shared" si="49"/>
        <v>0</v>
      </c>
      <c r="AL54" s="408">
        <f t="shared" si="49"/>
        <v>0</v>
      </c>
      <c r="AM54" s="408">
        <f t="shared" si="49"/>
        <v>0</v>
      </c>
      <c r="AN54" s="408">
        <f t="shared" si="49"/>
        <v>0</v>
      </c>
      <c r="AO54" s="408">
        <f t="shared" si="49"/>
        <v>0</v>
      </c>
      <c r="AP54" s="408">
        <f t="shared" si="50"/>
        <v>0</v>
      </c>
      <c r="AQ54" s="408">
        <f t="shared" si="50"/>
        <v>0</v>
      </c>
      <c r="AR54" s="408">
        <f t="shared" si="50"/>
        <v>0</v>
      </c>
      <c r="AS54" s="408">
        <f t="shared" si="50"/>
        <v>0</v>
      </c>
      <c r="AT54" s="408">
        <f t="shared" si="50"/>
        <v>0</v>
      </c>
      <c r="AU54" s="408">
        <f t="shared" si="50"/>
        <v>0</v>
      </c>
      <c r="AV54" s="408">
        <f t="shared" si="50"/>
        <v>0</v>
      </c>
      <c r="AW54" s="408">
        <f t="shared" si="50"/>
        <v>0</v>
      </c>
      <c r="AX54" s="408">
        <f t="shared" si="50"/>
        <v>0</v>
      </c>
      <c r="AY54" s="408">
        <f t="shared" si="50"/>
        <v>0</v>
      </c>
      <c r="AZ54" s="408">
        <f t="shared" si="51"/>
        <v>0</v>
      </c>
      <c r="BA54" s="408">
        <f t="shared" si="51"/>
        <v>0</v>
      </c>
      <c r="BB54" s="408">
        <f t="shared" si="51"/>
        <v>0</v>
      </c>
      <c r="BC54" s="408">
        <f t="shared" si="51"/>
        <v>0</v>
      </c>
      <c r="BD54" s="408">
        <f t="shared" si="51"/>
        <v>0</v>
      </c>
      <c r="BE54" s="408">
        <f t="shared" si="51"/>
        <v>0</v>
      </c>
      <c r="BF54" s="408">
        <f t="shared" si="51"/>
        <v>5160</v>
      </c>
      <c r="BG54" s="408">
        <f t="shared" si="51"/>
        <v>5160</v>
      </c>
      <c r="BH54" s="408">
        <f t="shared" si="51"/>
        <v>5160</v>
      </c>
      <c r="BI54" s="408">
        <f t="shared" si="51"/>
        <v>0</v>
      </c>
      <c r="BJ54" s="408">
        <f t="shared" si="52"/>
        <v>0</v>
      </c>
      <c r="BK54" s="408">
        <f t="shared" si="52"/>
        <v>0</v>
      </c>
      <c r="BL54" s="408">
        <f t="shared" si="52"/>
        <v>0</v>
      </c>
      <c r="BM54" s="408">
        <f t="shared" si="52"/>
        <v>0</v>
      </c>
      <c r="BN54" s="408">
        <f t="shared" si="52"/>
        <v>0</v>
      </c>
      <c r="BO54" s="408">
        <f t="shared" si="52"/>
        <v>0</v>
      </c>
      <c r="BP54" s="408">
        <f t="shared" si="52"/>
        <v>0</v>
      </c>
      <c r="BQ54" s="408">
        <f t="shared" si="52"/>
        <v>0</v>
      </c>
      <c r="BR54" s="408">
        <f t="shared" si="52"/>
        <v>0</v>
      </c>
      <c r="BS54" s="408">
        <f t="shared" si="52"/>
        <v>0</v>
      </c>
      <c r="BT54" s="408">
        <f t="shared" si="53"/>
        <v>0</v>
      </c>
      <c r="BU54" s="408">
        <f t="shared" si="53"/>
        <v>0</v>
      </c>
      <c r="BV54" s="408">
        <f t="shared" si="53"/>
        <v>0</v>
      </c>
      <c r="BW54" s="408">
        <f t="shared" si="53"/>
        <v>0</v>
      </c>
      <c r="BX54" s="408">
        <f t="shared" si="53"/>
        <v>0</v>
      </c>
      <c r="BY54" s="408">
        <f t="shared" si="53"/>
        <v>0</v>
      </c>
      <c r="BZ54" s="408">
        <f t="shared" si="53"/>
        <v>0</v>
      </c>
      <c r="CA54" s="408">
        <f t="shared" si="53"/>
        <v>0</v>
      </c>
    </row>
    <row r="55" spans="3:79" ht="21" hidden="1" customHeight="1" outlineLevel="2">
      <c r="C55" s="370"/>
      <c r="D55" s="374">
        <f t="shared" si="40"/>
        <v>45777</v>
      </c>
      <c r="E55" s="408" cm="1">
        <f t="array" ref="E55">INDEX($AF$14:$CA$14,0,MATCH($D55,$AF$8:$CA$8,0))</f>
        <v>48120</v>
      </c>
      <c r="F55" s="372"/>
      <c r="G55" s="409"/>
      <c r="H55" s="410">
        <f t="shared" si="47"/>
        <v>0</v>
      </c>
      <c r="I55" s="410">
        <f t="shared" si="47"/>
        <v>0</v>
      </c>
      <c r="J55" s="410">
        <f t="shared" si="47"/>
        <v>48120</v>
      </c>
      <c r="K55" s="410">
        <f t="shared" si="47"/>
        <v>0</v>
      </c>
      <c r="M55" s="359"/>
      <c r="N55" s="410">
        <f t="shared" si="48"/>
        <v>0</v>
      </c>
      <c r="O55" s="410">
        <f t="shared" si="48"/>
        <v>0</v>
      </c>
      <c r="P55" s="410">
        <f t="shared" si="48"/>
        <v>0</v>
      </c>
      <c r="Q55" s="410">
        <f t="shared" si="48"/>
        <v>0</v>
      </c>
      <c r="R55" s="410">
        <f t="shared" si="48"/>
        <v>0</v>
      </c>
      <c r="S55" s="410">
        <f t="shared" si="48"/>
        <v>0</v>
      </c>
      <c r="T55" s="410">
        <f t="shared" si="48"/>
        <v>0</v>
      </c>
      <c r="U55" s="410">
        <f t="shared" si="48"/>
        <v>0</v>
      </c>
      <c r="V55" s="410">
        <f t="shared" si="48"/>
        <v>0</v>
      </c>
      <c r="W55" s="410">
        <f t="shared" si="48"/>
        <v>48120</v>
      </c>
      <c r="X55" s="410">
        <f t="shared" si="48"/>
        <v>0</v>
      </c>
      <c r="Y55" s="410">
        <f t="shared" si="48"/>
        <v>0</v>
      </c>
      <c r="Z55" s="410">
        <f t="shared" si="48"/>
        <v>0</v>
      </c>
      <c r="AA55" s="410">
        <f t="shared" si="48"/>
        <v>0</v>
      </c>
      <c r="AB55" s="410">
        <f t="shared" si="48"/>
        <v>0</v>
      </c>
      <c r="AC55" s="410">
        <f t="shared" si="48"/>
        <v>0</v>
      </c>
      <c r="AD55" s="372"/>
      <c r="AE55" s="409"/>
      <c r="AF55" s="408">
        <f t="shared" si="49"/>
        <v>0</v>
      </c>
      <c r="AG55" s="408">
        <f t="shared" si="49"/>
        <v>0</v>
      </c>
      <c r="AH55" s="408">
        <f t="shared" si="49"/>
        <v>0</v>
      </c>
      <c r="AI55" s="408">
        <f t="shared" si="49"/>
        <v>0</v>
      </c>
      <c r="AJ55" s="408">
        <f t="shared" si="49"/>
        <v>0</v>
      </c>
      <c r="AK55" s="408">
        <f t="shared" si="49"/>
        <v>0</v>
      </c>
      <c r="AL55" s="408">
        <f t="shared" si="49"/>
        <v>0</v>
      </c>
      <c r="AM55" s="408">
        <f t="shared" si="49"/>
        <v>0</v>
      </c>
      <c r="AN55" s="408">
        <f t="shared" si="49"/>
        <v>0</v>
      </c>
      <c r="AO55" s="408">
        <f t="shared" si="49"/>
        <v>0</v>
      </c>
      <c r="AP55" s="408">
        <f t="shared" si="50"/>
        <v>0</v>
      </c>
      <c r="AQ55" s="408">
        <f t="shared" si="50"/>
        <v>0</v>
      </c>
      <c r="AR55" s="408">
        <f t="shared" si="50"/>
        <v>0</v>
      </c>
      <c r="AS55" s="408">
        <f t="shared" si="50"/>
        <v>0</v>
      </c>
      <c r="AT55" s="408">
        <f t="shared" si="50"/>
        <v>0</v>
      </c>
      <c r="AU55" s="408">
        <f t="shared" si="50"/>
        <v>0</v>
      </c>
      <c r="AV55" s="408">
        <f t="shared" si="50"/>
        <v>0</v>
      </c>
      <c r="AW55" s="408">
        <f t="shared" si="50"/>
        <v>0</v>
      </c>
      <c r="AX55" s="408">
        <f t="shared" si="50"/>
        <v>0</v>
      </c>
      <c r="AY55" s="408">
        <f t="shared" si="50"/>
        <v>0</v>
      </c>
      <c r="AZ55" s="408">
        <f t="shared" si="51"/>
        <v>0</v>
      </c>
      <c r="BA55" s="408">
        <f t="shared" si="51"/>
        <v>0</v>
      </c>
      <c r="BB55" s="408">
        <f t="shared" si="51"/>
        <v>0</v>
      </c>
      <c r="BC55" s="408">
        <f t="shared" si="51"/>
        <v>0</v>
      </c>
      <c r="BD55" s="408">
        <f t="shared" si="51"/>
        <v>0</v>
      </c>
      <c r="BE55" s="408">
        <f t="shared" si="51"/>
        <v>0</v>
      </c>
      <c r="BF55" s="408">
        <f t="shared" si="51"/>
        <v>0</v>
      </c>
      <c r="BG55" s="408">
        <f t="shared" si="51"/>
        <v>16040</v>
      </c>
      <c r="BH55" s="408">
        <f t="shared" si="51"/>
        <v>16040</v>
      </c>
      <c r="BI55" s="408">
        <f t="shared" si="51"/>
        <v>16040</v>
      </c>
      <c r="BJ55" s="408">
        <f t="shared" si="52"/>
        <v>0</v>
      </c>
      <c r="BK55" s="408">
        <f t="shared" si="52"/>
        <v>0</v>
      </c>
      <c r="BL55" s="408">
        <f t="shared" si="52"/>
        <v>0</v>
      </c>
      <c r="BM55" s="408">
        <f t="shared" si="52"/>
        <v>0</v>
      </c>
      <c r="BN55" s="408">
        <f t="shared" si="52"/>
        <v>0</v>
      </c>
      <c r="BO55" s="408">
        <f t="shared" si="52"/>
        <v>0</v>
      </c>
      <c r="BP55" s="408">
        <f t="shared" si="52"/>
        <v>0</v>
      </c>
      <c r="BQ55" s="408">
        <f t="shared" si="52"/>
        <v>0</v>
      </c>
      <c r="BR55" s="408">
        <f t="shared" si="52"/>
        <v>0</v>
      </c>
      <c r="BS55" s="408">
        <f t="shared" si="52"/>
        <v>0</v>
      </c>
      <c r="BT55" s="408">
        <f t="shared" si="53"/>
        <v>0</v>
      </c>
      <c r="BU55" s="408">
        <f t="shared" si="53"/>
        <v>0</v>
      </c>
      <c r="BV55" s="408">
        <f t="shared" si="53"/>
        <v>0</v>
      </c>
      <c r="BW55" s="408">
        <f t="shared" si="53"/>
        <v>0</v>
      </c>
      <c r="BX55" s="408">
        <f t="shared" si="53"/>
        <v>0</v>
      </c>
      <c r="BY55" s="408">
        <f t="shared" si="53"/>
        <v>0</v>
      </c>
      <c r="BZ55" s="408">
        <f t="shared" si="53"/>
        <v>0</v>
      </c>
      <c r="CA55" s="408">
        <f t="shared" si="53"/>
        <v>0</v>
      </c>
    </row>
    <row r="56" spans="3:79" ht="21" hidden="1" customHeight="1" outlineLevel="2">
      <c r="C56" s="370"/>
      <c r="D56" s="374">
        <f t="shared" si="40"/>
        <v>45808</v>
      </c>
      <c r="E56" s="408" cm="1">
        <f t="array" ref="E56">INDEX($AF$14:$CA$14,0,MATCH($D56,$AF$8:$CA$8,0))</f>
        <v>43940</v>
      </c>
      <c r="F56" s="372"/>
      <c r="G56" s="409"/>
      <c r="H56" s="410">
        <f t="shared" si="47"/>
        <v>0</v>
      </c>
      <c r="I56" s="410">
        <f t="shared" si="47"/>
        <v>0</v>
      </c>
      <c r="J56" s="410">
        <f t="shared" si="47"/>
        <v>43940</v>
      </c>
      <c r="K56" s="410">
        <f t="shared" si="47"/>
        <v>0</v>
      </c>
      <c r="M56" s="359"/>
      <c r="N56" s="410">
        <f t="shared" si="48"/>
        <v>0</v>
      </c>
      <c r="O56" s="410">
        <f t="shared" si="48"/>
        <v>0</v>
      </c>
      <c r="P56" s="410">
        <f t="shared" si="48"/>
        <v>0</v>
      </c>
      <c r="Q56" s="410">
        <f t="shared" si="48"/>
        <v>0</v>
      </c>
      <c r="R56" s="410">
        <f t="shared" si="48"/>
        <v>0</v>
      </c>
      <c r="S56" s="410">
        <f t="shared" si="48"/>
        <v>0</v>
      </c>
      <c r="T56" s="410">
        <f t="shared" si="48"/>
        <v>0</v>
      </c>
      <c r="U56" s="410">
        <f t="shared" si="48"/>
        <v>0</v>
      </c>
      <c r="V56" s="410">
        <f t="shared" si="48"/>
        <v>0</v>
      </c>
      <c r="W56" s="410">
        <f t="shared" si="48"/>
        <v>29293.333333333332</v>
      </c>
      <c r="X56" s="410">
        <f t="shared" si="48"/>
        <v>14646.666666666666</v>
      </c>
      <c r="Y56" s="410">
        <f t="shared" si="48"/>
        <v>0</v>
      </c>
      <c r="Z56" s="410">
        <f t="shared" si="48"/>
        <v>0</v>
      </c>
      <c r="AA56" s="410">
        <f t="shared" si="48"/>
        <v>0</v>
      </c>
      <c r="AB56" s="410">
        <f t="shared" si="48"/>
        <v>0</v>
      </c>
      <c r="AC56" s="410">
        <f t="shared" si="48"/>
        <v>0</v>
      </c>
      <c r="AD56" s="372"/>
      <c r="AE56" s="409"/>
      <c r="AF56" s="408">
        <f t="shared" si="49"/>
        <v>0</v>
      </c>
      <c r="AG56" s="408">
        <f t="shared" si="49"/>
        <v>0</v>
      </c>
      <c r="AH56" s="408">
        <f t="shared" si="49"/>
        <v>0</v>
      </c>
      <c r="AI56" s="408">
        <f t="shared" si="49"/>
        <v>0</v>
      </c>
      <c r="AJ56" s="408">
        <f t="shared" si="49"/>
        <v>0</v>
      </c>
      <c r="AK56" s="408">
        <f t="shared" si="49"/>
        <v>0</v>
      </c>
      <c r="AL56" s="408">
        <f t="shared" si="49"/>
        <v>0</v>
      </c>
      <c r="AM56" s="408">
        <f t="shared" si="49"/>
        <v>0</v>
      </c>
      <c r="AN56" s="408">
        <f t="shared" si="49"/>
        <v>0</v>
      </c>
      <c r="AO56" s="408">
        <f t="shared" si="49"/>
        <v>0</v>
      </c>
      <c r="AP56" s="408">
        <f t="shared" si="50"/>
        <v>0</v>
      </c>
      <c r="AQ56" s="408">
        <f t="shared" si="50"/>
        <v>0</v>
      </c>
      <c r="AR56" s="408">
        <f t="shared" si="50"/>
        <v>0</v>
      </c>
      <c r="AS56" s="408">
        <f t="shared" si="50"/>
        <v>0</v>
      </c>
      <c r="AT56" s="408">
        <f t="shared" si="50"/>
        <v>0</v>
      </c>
      <c r="AU56" s="408">
        <f t="shared" si="50"/>
        <v>0</v>
      </c>
      <c r="AV56" s="408">
        <f t="shared" si="50"/>
        <v>0</v>
      </c>
      <c r="AW56" s="408">
        <f t="shared" si="50"/>
        <v>0</v>
      </c>
      <c r="AX56" s="408">
        <f t="shared" si="50"/>
        <v>0</v>
      </c>
      <c r="AY56" s="408">
        <f t="shared" si="50"/>
        <v>0</v>
      </c>
      <c r="AZ56" s="408">
        <f t="shared" si="51"/>
        <v>0</v>
      </c>
      <c r="BA56" s="408">
        <f t="shared" si="51"/>
        <v>0</v>
      </c>
      <c r="BB56" s="408">
        <f t="shared" si="51"/>
        <v>0</v>
      </c>
      <c r="BC56" s="408">
        <f t="shared" si="51"/>
        <v>0</v>
      </c>
      <c r="BD56" s="408">
        <f t="shared" si="51"/>
        <v>0</v>
      </c>
      <c r="BE56" s="408">
        <f t="shared" si="51"/>
        <v>0</v>
      </c>
      <c r="BF56" s="408">
        <f t="shared" si="51"/>
        <v>0</v>
      </c>
      <c r="BG56" s="408">
        <f t="shared" si="51"/>
        <v>0</v>
      </c>
      <c r="BH56" s="408">
        <f t="shared" si="51"/>
        <v>14646.666666666666</v>
      </c>
      <c r="BI56" s="408">
        <f t="shared" si="51"/>
        <v>14646.666666666666</v>
      </c>
      <c r="BJ56" s="408">
        <f t="shared" si="52"/>
        <v>14646.666666666666</v>
      </c>
      <c r="BK56" s="408">
        <f t="shared" si="52"/>
        <v>0</v>
      </c>
      <c r="BL56" s="408">
        <f t="shared" si="52"/>
        <v>0</v>
      </c>
      <c r="BM56" s="408">
        <f t="shared" si="52"/>
        <v>0</v>
      </c>
      <c r="BN56" s="408">
        <f t="shared" si="52"/>
        <v>0</v>
      </c>
      <c r="BO56" s="408">
        <f t="shared" si="52"/>
        <v>0</v>
      </c>
      <c r="BP56" s="408">
        <f t="shared" si="52"/>
        <v>0</v>
      </c>
      <c r="BQ56" s="408">
        <f t="shared" si="52"/>
        <v>0</v>
      </c>
      <c r="BR56" s="408">
        <f t="shared" si="52"/>
        <v>0</v>
      </c>
      <c r="BS56" s="408">
        <f t="shared" si="52"/>
        <v>0</v>
      </c>
      <c r="BT56" s="408">
        <f t="shared" si="53"/>
        <v>0</v>
      </c>
      <c r="BU56" s="408">
        <f t="shared" si="53"/>
        <v>0</v>
      </c>
      <c r="BV56" s="408">
        <f t="shared" si="53"/>
        <v>0</v>
      </c>
      <c r="BW56" s="408">
        <f t="shared" si="53"/>
        <v>0</v>
      </c>
      <c r="BX56" s="408">
        <f t="shared" si="53"/>
        <v>0</v>
      </c>
      <c r="BY56" s="408">
        <f t="shared" si="53"/>
        <v>0</v>
      </c>
      <c r="BZ56" s="408">
        <f t="shared" si="53"/>
        <v>0</v>
      </c>
      <c r="CA56" s="408">
        <f t="shared" si="53"/>
        <v>0</v>
      </c>
    </row>
    <row r="57" spans="3:79" ht="21" hidden="1" customHeight="1" outlineLevel="2">
      <c r="C57" s="370"/>
      <c r="D57" s="374">
        <f t="shared" si="40"/>
        <v>45838</v>
      </c>
      <c r="E57" s="408" cm="1">
        <f t="array" ref="E57">INDEX($AF$14:$CA$14,0,MATCH($D57,$AF$8:$CA$8,0))</f>
        <v>15480</v>
      </c>
      <c r="F57" s="372"/>
      <c r="G57" s="409"/>
      <c r="H57" s="410">
        <f t="shared" si="47"/>
        <v>0</v>
      </c>
      <c r="I57" s="410">
        <f t="shared" si="47"/>
        <v>0</v>
      </c>
      <c r="J57" s="410">
        <f t="shared" si="47"/>
        <v>15480</v>
      </c>
      <c r="K57" s="410">
        <f t="shared" si="47"/>
        <v>0</v>
      </c>
      <c r="M57" s="359"/>
      <c r="N57" s="410">
        <f t="shared" si="48"/>
        <v>0</v>
      </c>
      <c r="O57" s="410">
        <f t="shared" si="48"/>
        <v>0</v>
      </c>
      <c r="P57" s="410">
        <f t="shared" si="48"/>
        <v>0</v>
      </c>
      <c r="Q57" s="410">
        <f t="shared" si="48"/>
        <v>0</v>
      </c>
      <c r="R57" s="410">
        <f t="shared" si="48"/>
        <v>0</v>
      </c>
      <c r="S57" s="410">
        <f t="shared" si="48"/>
        <v>0</v>
      </c>
      <c r="T57" s="410">
        <f t="shared" si="48"/>
        <v>0</v>
      </c>
      <c r="U57" s="410">
        <f t="shared" si="48"/>
        <v>0</v>
      </c>
      <c r="V57" s="410">
        <f t="shared" si="48"/>
        <v>0</v>
      </c>
      <c r="W57" s="410">
        <f t="shared" si="48"/>
        <v>5160</v>
      </c>
      <c r="X57" s="410">
        <f t="shared" si="48"/>
        <v>10320</v>
      </c>
      <c r="Y57" s="410">
        <f t="shared" si="48"/>
        <v>0</v>
      </c>
      <c r="Z57" s="410">
        <f t="shared" si="48"/>
        <v>0</v>
      </c>
      <c r="AA57" s="410">
        <f t="shared" si="48"/>
        <v>0</v>
      </c>
      <c r="AB57" s="410">
        <f t="shared" si="48"/>
        <v>0</v>
      </c>
      <c r="AC57" s="410">
        <f t="shared" si="48"/>
        <v>0</v>
      </c>
      <c r="AD57" s="372"/>
      <c r="AE57" s="409"/>
      <c r="AF57" s="408">
        <f t="shared" si="49"/>
        <v>0</v>
      </c>
      <c r="AG57" s="408">
        <f t="shared" si="49"/>
        <v>0</v>
      </c>
      <c r="AH57" s="408">
        <f t="shared" si="49"/>
        <v>0</v>
      </c>
      <c r="AI57" s="408">
        <f t="shared" si="49"/>
        <v>0</v>
      </c>
      <c r="AJ57" s="408">
        <f t="shared" si="49"/>
        <v>0</v>
      </c>
      <c r="AK57" s="408">
        <f t="shared" si="49"/>
        <v>0</v>
      </c>
      <c r="AL57" s="408">
        <f t="shared" si="49"/>
        <v>0</v>
      </c>
      <c r="AM57" s="408">
        <f t="shared" si="49"/>
        <v>0</v>
      </c>
      <c r="AN57" s="408">
        <f t="shared" si="49"/>
        <v>0</v>
      </c>
      <c r="AO57" s="408">
        <f t="shared" si="49"/>
        <v>0</v>
      </c>
      <c r="AP57" s="408">
        <f t="shared" si="50"/>
        <v>0</v>
      </c>
      <c r="AQ57" s="408">
        <f t="shared" si="50"/>
        <v>0</v>
      </c>
      <c r="AR57" s="408">
        <f t="shared" si="50"/>
        <v>0</v>
      </c>
      <c r="AS57" s="408">
        <f t="shared" si="50"/>
        <v>0</v>
      </c>
      <c r="AT57" s="408">
        <f t="shared" si="50"/>
        <v>0</v>
      </c>
      <c r="AU57" s="408">
        <f t="shared" si="50"/>
        <v>0</v>
      </c>
      <c r="AV57" s="408">
        <f t="shared" si="50"/>
        <v>0</v>
      </c>
      <c r="AW57" s="408">
        <f t="shared" si="50"/>
        <v>0</v>
      </c>
      <c r="AX57" s="408">
        <f t="shared" si="50"/>
        <v>0</v>
      </c>
      <c r="AY57" s="408">
        <f t="shared" si="50"/>
        <v>0</v>
      </c>
      <c r="AZ57" s="408">
        <f t="shared" si="51"/>
        <v>0</v>
      </c>
      <c r="BA57" s="408">
        <f t="shared" si="51"/>
        <v>0</v>
      </c>
      <c r="BB57" s="408">
        <f t="shared" si="51"/>
        <v>0</v>
      </c>
      <c r="BC57" s="408">
        <f t="shared" si="51"/>
        <v>0</v>
      </c>
      <c r="BD57" s="408">
        <f t="shared" si="51"/>
        <v>0</v>
      </c>
      <c r="BE57" s="408">
        <f t="shared" si="51"/>
        <v>0</v>
      </c>
      <c r="BF57" s="408">
        <f t="shared" si="51"/>
        <v>0</v>
      </c>
      <c r="BG57" s="408">
        <f t="shared" si="51"/>
        <v>0</v>
      </c>
      <c r="BH57" s="408">
        <f t="shared" si="51"/>
        <v>0</v>
      </c>
      <c r="BI57" s="408">
        <f t="shared" si="51"/>
        <v>5160</v>
      </c>
      <c r="BJ57" s="408">
        <f t="shared" si="52"/>
        <v>5160</v>
      </c>
      <c r="BK57" s="408">
        <f t="shared" si="52"/>
        <v>5160</v>
      </c>
      <c r="BL57" s="408">
        <f t="shared" si="52"/>
        <v>0</v>
      </c>
      <c r="BM57" s="408">
        <f t="shared" si="52"/>
        <v>0</v>
      </c>
      <c r="BN57" s="408">
        <f t="shared" si="52"/>
        <v>0</v>
      </c>
      <c r="BO57" s="408">
        <f t="shared" si="52"/>
        <v>0</v>
      </c>
      <c r="BP57" s="408">
        <f t="shared" si="52"/>
        <v>0</v>
      </c>
      <c r="BQ57" s="408">
        <f t="shared" si="52"/>
        <v>0</v>
      </c>
      <c r="BR57" s="408">
        <f t="shared" si="52"/>
        <v>0</v>
      </c>
      <c r="BS57" s="408">
        <f t="shared" si="52"/>
        <v>0</v>
      </c>
      <c r="BT57" s="408">
        <f t="shared" si="53"/>
        <v>0</v>
      </c>
      <c r="BU57" s="408">
        <f t="shared" si="53"/>
        <v>0</v>
      </c>
      <c r="BV57" s="408">
        <f t="shared" si="53"/>
        <v>0</v>
      </c>
      <c r="BW57" s="408">
        <f t="shared" si="53"/>
        <v>0</v>
      </c>
      <c r="BX57" s="408">
        <f t="shared" si="53"/>
        <v>0</v>
      </c>
      <c r="BY57" s="408">
        <f t="shared" si="53"/>
        <v>0</v>
      </c>
      <c r="BZ57" s="408">
        <f t="shared" si="53"/>
        <v>0</v>
      </c>
      <c r="CA57" s="408">
        <f t="shared" si="53"/>
        <v>0</v>
      </c>
    </row>
    <row r="58" spans="3:79" ht="21" hidden="1" customHeight="1" outlineLevel="2">
      <c r="C58" s="370"/>
      <c r="D58" s="374">
        <f t="shared" si="40"/>
        <v>45869</v>
      </c>
      <c r="E58" s="408" cm="1">
        <f t="array" ref="E58">INDEX($AF$14:$CA$14,0,MATCH($D58,$AF$8:$CA$8,0))</f>
        <v>48120</v>
      </c>
      <c r="F58" s="372"/>
      <c r="G58" s="409"/>
      <c r="H58" s="410">
        <f t="shared" si="47"/>
        <v>0</v>
      </c>
      <c r="I58" s="410">
        <f t="shared" si="47"/>
        <v>0</v>
      </c>
      <c r="J58" s="410">
        <f t="shared" si="47"/>
        <v>48120</v>
      </c>
      <c r="K58" s="410">
        <f t="shared" si="47"/>
        <v>0</v>
      </c>
      <c r="M58" s="359"/>
      <c r="N58" s="410">
        <f t="shared" ref="N58:AC67" si="54">SUMIFS($AF58:$CA58,$AF$4:$CA$4,"&gt;="&amp;N$4,$AF$5:$CA$5,"&lt;="&amp;N$5)</f>
        <v>0</v>
      </c>
      <c r="O58" s="410">
        <f t="shared" si="54"/>
        <v>0</v>
      </c>
      <c r="P58" s="410">
        <f t="shared" si="54"/>
        <v>0</v>
      </c>
      <c r="Q58" s="410">
        <f t="shared" si="54"/>
        <v>0</v>
      </c>
      <c r="R58" s="410">
        <f t="shared" si="54"/>
        <v>0</v>
      </c>
      <c r="S58" s="410">
        <f t="shared" si="54"/>
        <v>0</v>
      </c>
      <c r="T58" s="410">
        <f t="shared" si="54"/>
        <v>0</v>
      </c>
      <c r="U58" s="410">
        <f t="shared" si="54"/>
        <v>0</v>
      </c>
      <c r="V58" s="410">
        <f t="shared" si="54"/>
        <v>0</v>
      </c>
      <c r="W58" s="410">
        <f t="shared" si="54"/>
        <v>0</v>
      </c>
      <c r="X58" s="410">
        <f t="shared" si="54"/>
        <v>48120</v>
      </c>
      <c r="Y58" s="410">
        <f t="shared" si="54"/>
        <v>0</v>
      </c>
      <c r="Z58" s="410">
        <f t="shared" si="54"/>
        <v>0</v>
      </c>
      <c r="AA58" s="410">
        <f t="shared" si="54"/>
        <v>0</v>
      </c>
      <c r="AB58" s="410">
        <f t="shared" si="54"/>
        <v>0</v>
      </c>
      <c r="AC58" s="410">
        <f t="shared" si="54"/>
        <v>0</v>
      </c>
      <c r="AD58" s="372"/>
      <c r="AE58" s="409"/>
      <c r="AF58" s="408">
        <f t="shared" ref="AF58:AO67" si="55">IF(AND(AF$8&gt;=$D58,(MATCH(AF$8,$AF$8:$CA$8,0)-MATCH($D58,$AF$8:$CA$8,0))&lt;3),$E58/3,0)</f>
        <v>0</v>
      </c>
      <c r="AG58" s="408">
        <f t="shared" si="55"/>
        <v>0</v>
      </c>
      <c r="AH58" s="408">
        <f t="shared" si="55"/>
        <v>0</v>
      </c>
      <c r="AI58" s="408">
        <f t="shared" si="55"/>
        <v>0</v>
      </c>
      <c r="AJ58" s="408">
        <f t="shared" si="55"/>
        <v>0</v>
      </c>
      <c r="AK58" s="408">
        <f t="shared" si="55"/>
        <v>0</v>
      </c>
      <c r="AL58" s="408">
        <f t="shared" si="55"/>
        <v>0</v>
      </c>
      <c r="AM58" s="408">
        <f t="shared" si="55"/>
        <v>0</v>
      </c>
      <c r="AN58" s="408">
        <f t="shared" si="55"/>
        <v>0</v>
      </c>
      <c r="AO58" s="408">
        <f t="shared" si="55"/>
        <v>0</v>
      </c>
      <c r="AP58" s="408">
        <f t="shared" ref="AP58:AY67" si="56">IF(AND(AP$8&gt;=$D58,(MATCH(AP$8,$AF$8:$CA$8,0)-MATCH($D58,$AF$8:$CA$8,0))&lt;3),$E58/3,0)</f>
        <v>0</v>
      </c>
      <c r="AQ58" s="408">
        <f t="shared" si="56"/>
        <v>0</v>
      </c>
      <c r="AR58" s="408">
        <f t="shared" si="56"/>
        <v>0</v>
      </c>
      <c r="AS58" s="408">
        <f t="shared" si="56"/>
        <v>0</v>
      </c>
      <c r="AT58" s="408">
        <f t="shared" si="56"/>
        <v>0</v>
      </c>
      <c r="AU58" s="408">
        <f t="shared" si="56"/>
        <v>0</v>
      </c>
      <c r="AV58" s="408">
        <f t="shared" si="56"/>
        <v>0</v>
      </c>
      <c r="AW58" s="408">
        <f t="shared" si="56"/>
        <v>0</v>
      </c>
      <c r="AX58" s="408">
        <f t="shared" si="56"/>
        <v>0</v>
      </c>
      <c r="AY58" s="408">
        <f t="shared" si="56"/>
        <v>0</v>
      </c>
      <c r="AZ58" s="408">
        <f t="shared" ref="AZ58:BI67" si="57">IF(AND(AZ$8&gt;=$D58,(MATCH(AZ$8,$AF$8:$CA$8,0)-MATCH($D58,$AF$8:$CA$8,0))&lt;3),$E58/3,0)</f>
        <v>0</v>
      </c>
      <c r="BA58" s="408">
        <f t="shared" si="57"/>
        <v>0</v>
      </c>
      <c r="BB58" s="408">
        <f t="shared" si="57"/>
        <v>0</v>
      </c>
      <c r="BC58" s="408">
        <f t="shared" si="57"/>
        <v>0</v>
      </c>
      <c r="BD58" s="408">
        <f t="shared" si="57"/>
        <v>0</v>
      </c>
      <c r="BE58" s="408">
        <f t="shared" si="57"/>
        <v>0</v>
      </c>
      <c r="BF58" s="408">
        <f t="shared" si="57"/>
        <v>0</v>
      </c>
      <c r="BG58" s="408">
        <f t="shared" si="57"/>
        <v>0</v>
      </c>
      <c r="BH58" s="408">
        <f t="shared" si="57"/>
        <v>0</v>
      </c>
      <c r="BI58" s="408">
        <f t="shared" si="57"/>
        <v>0</v>
      </c>
      <c r="BJ58" s="408">
        <f t="shared" ref="BJ58:BS67" si="58">IF(AND(BJ$8&gt;=$D58,(MATCH(BJ$8,$AF$8:$CA$8,0)-MATCH($D58,$AF$8:$CA$8,0))&lt;3),$E58/3,0)</f>
        <v>16040</v>
      </c>
      <c r="BK58" s="408">
        <f t="shared" si="58"/>
        <v>16040</v>
      </c>
      <c r="BL58" s="408">
        <f t="shared" si="58"/>
        <v>16040</v>
      </c>
      <c r="BM58" s="408">
        <f t="shared" si="58"/>
        <v>0</v>
      </c>
      <c r="BN58" s="408">
        <f t="shared" si="58"/>
        <v>0</v>
      </c>
      <c r="BO58" s="408">
        <f t="shared" si="58"/>
        <v>0</v>
      </c>
      <c r="BP58" s="408">
        <f t="shared" si="58"/>
        <v>0</v>
      </c>
      <c r="BQ58" s="408">
        <f t="shared" si="58"/>
        <v>0</v>
      </c>
      <c r="BR58" s="408">
        <f t="shared" si="58"/>
        <v>0</v>
      </c>
      <c r="BS58" s="408">
        <f t="shared" si="58"/>
        <v>0</v>
      </c>
      <c r="BT58" s="408">
        <f t="shared" ref="BT58:CA67" si="59">IF(AND(BT$8&gt;=$D58,(MATCH(BT$8,$AF$8:$CA$8,0)-MATCH($D58,$AF$8:$CA$8,0))&lt;3),$E58/3,0)</f>
        <v>0</v>
      </c>
      <c r="BU58" s="408">
        <f t="shared" si="59"/>
        <v>0</v>
      </c>
      <c r="BV58" s="408">
        <f t="shared" si="59"/>
        <v>0</v>
      </c>
      <c r="BW58" s="408">
        <f t="shared" si="59"/>
        <v>0</v>
      </c>
      <c r="BX58" s="408">
        <f t="shared" si="59"/>
        <v>0</v>
      </c>
      <c r="BY58" s="408">
        <f t="shared" si="59"/>
        <v>0</v>
      </c>
      <c r="BZ58" s="408">
        <f t="shared" si="59"/>
        <v>0</v>
      </c>
      <c r="CA58" s="408">
        <f t="shared" si="59"/>
        <v>0</v>
      </c>
    </row>
    <row r="59" spans="3:79" ht="21" hidden="1" customHeight="1" outlineLevel="2">
      <c r="C59" s="370"/>
      <c r="D59" s="374">
        <f t="shared" si="40"/>
        <v>45900</v>
      </c>
      <c r="E59" s="408" cm="1">
        <f t="array" ref="E59">INDEX($AF$14:$CA$14,0,MATCH($D59,$AF$8:$CA$8,0))</f>
        <v>43940</v>
      </c>
      <c r="F59" s="372"/>
      <c r="G59" s="409"/>
      <c r="H59" s="410">
        <f t="shared" si="47"/>
        <v>0</v>
      </c>
      <c r="I59" s="410">
        <f t="shared" si="47"/>
        <v>0</v>
      </c>
      <c r="J59" s="410">
        <f t="shared" si="47"/>
        <v>43940</v>
      </c>
      <c r="K59" s="410">
        <f t="shared" si="47"/>
        <v>0</v>
      </c>
      <c r="M59" s="359"/>
      <c r="N59" s="410">
        <f t="shared" si="54"/>
        <v>0</v>
      </c>
      <c r="O59" s="410">
        <f t="shared" si="54"/>
        <v>0</v>
      </c>
      <c r="P59" s="410">
        <f t="shared" si="54"/>
        <v>0</v>
      </c>
      <c r="Q59" s="410">
        <f t="shared" si="54"/>
        <v>0</v>
      </c>
      <c r="R59" s="410">
        <f t="shared" si="54"/>
        <v>0</v>
      </c>
      <c r="S59" s="410">
        <f t="shared" si="54"/>
        <v>0</v>
      </c>
      <c r="T59" s="410">
        <f t="shared" si="54"/>
        <v>0</v>
      </c>
      <c r="U59" s="410">
        <f t="shared" si="54"/>
        <v>0</v>
      </c>
      <c r="V59" s="410">
        <f t="shared" si="54"/>
        <v>0</v>
      </c>
      <c r="W59" s="410">
        <f t="shared" si="54"/>
        <v>0</v>
      </c>
      <c r="X59" s="410">
        <f t="shared" si="54"/>
        <v>29293.333333333332</v>
      </c>
      <c r="Y59" s="410">
        <f t="shared" si="54"/>
        <v>14646.666666666666</v>
      </c>
      <c r="Z59" s="410">
        <f t="shared" si="54"/>
        <v>0</v>
      </c>
      <c r="AA59" s="410">
        <f t="shared" si="54"/>
        <v>0</v>
      </c>
      <c r="AB59" s="410">
        <f t="shared" si="54"/>
        <v>0</v>
      </c>
      <c r="AC59" s="410">
        <f t="shared" si="54"/>
        <v>0</v>
      </c>
      <c r="AD59" s="372"/>
      <c r="AE59" s="409"/>
      <c r="AF59" s="408">
        <f t="shared" si="55"/>
        <v>0</v>
      </c>
      <c r="AG59" s="408">
        <f t="shared" si="55"/>
        <v>0</v>
      </c>
      <c r="AH59" s="408">
        <f t="shared" si="55"/>
        <v>0</v>
      </c>
      <c r="AI59" s="408">
        <f t="shared" si="55"/>
        <v>0</v>
      </c>
      <c r="AJ59" s="408">
        <f t="shared" si="55"/>
        <v>0</v>
      </c>
      <c r="AK59" s="408">
        <f t="shared" si="55"/>
        <v>0</v>
      </c>
      <c r="AL59" s="408">
        <f t="shared" si="55"/>
        <v>0</v>
      </c>
      <c r="AM59" s="408">
        <f t="shared" si="55"/>
        <v>0</v>
      </c>
      <c r="AN59" s="408">
        <f t="shared" si="55"/>
        <v>0</v>
      </c>
      <c r="AO59" s="408">
        <f t="shared" si="55"/>
        <v>0</v>
      </c>
      <c r="AP59" s="408">
        <f t="shared" si="56"/>
        <v>0</v>
      </c>
      <c r="AQ59" s="408">
        <f t="shared" si="56"/>
        <v>0</v>
      </c>
      <c r="AR59" s="408">
        <f t="shared" si="56"/>
        <v>0</v>
      </c>
      <c r="AS59" s="408">
        <f t="shared" si="56"/>
        <v>0</v>
      </c>
      <c r="AT59" s="408">
        <f t="shared" si="56"/>
        <v>0</v>
      </c>
      <c r="AU59" s="408">
        <f t="shared" si="56"/>
        <v>0</v>
      </c>
      <c r="AV59" s="408">
        <f t="shared" si="56"/>
        <v>0</v>
      </c>
      <c r="AW59" s="408">
        <f t="shared" si="56"/>
        <v>0</v>
      </c>
      <c r="AX59" s="408">
        <f t="shared" si="56"/>
        <v>0</v>
      </c>
      <c r="AY59" s="408">
        <f t="shared" si="56"/>
        <v>0</v>
      </c>
      <c r="AZ59" s="408">
        <f t="shared" si="57"/>
        <v>0</v>
      </c>
      <c r="BA59" s="408">
        <f t="shared" si="57"/>
        <v>0</v>
      </c>
      <c r="BB59" s="408">
        <f t="shared" si="57"/>
        <v>0</v>
      </c>
      <c r="BC59" s="408">
        <f t="shared" si="57"/>
        <v>0</v>
      </c>
      <c r="BD59" s="408">
        <f t="shared" si="57"/>
        <v>0</v>
      </c>
      <c r="BE59" s="408">
        <f t="shared" si="57"/>
        <v>0</v>
      </c>
      <c r="BF59" s="408">
        <f t="shared" si="57"/>
        <v>0</v>
      </c>
      <c r="BG59" s="408">
        <f t="shared" si="57"/>
        <v>0</v>
      </c>
      <c r="BH59" s="408">
        <f t="shared" si="57"/>
        <v>0</v>
      </c>
      <c r="BI59" s="408">
        <f t="shared" si="57"/>
        <v>0</v>
      </c>
      <c r="BJ59" s="408">
        <f t="shared" si="58"/>
        <v>0</v>
      </c>
      <c r="BK59" s="408">
        <f t="shared" si="58"/>
        <v>14646.666666666666</v>
      </c>
      <c r="BL59" s="408">
        <f t="shared" si="58"/>
        <v>14646.666666666666</v>
      </c>
      <c r="BM59" s="408">
        <f t="shared" si="58"/>
        <v>14646.666666666666</v>
      </c>
      <c r="BN59" s="408">
        <f t="shared" si="58"/>
        <v>0</v>
      </c>
      <c r="BO59" s="408">
        <f t="shared" si="58"/>
        <v>0</v>
      </c>
      <c r="BP59" s="408">
        <f t="shared" si="58"/>
        <v>0</v>
      </c>
      <c r="BQ59" s="408">
        <f t="shared" si="58"/>
        <v>0</v>
      </c>
      <c r="BR59" s="408">
        <f t="shared" si="58"/>
        <v>0</v>
      </c>
      <c r="BS59" s="408">
        <f t="shared" si="58"/>
        <v>0</v>
      </c>
      <c r="BT59" s="408">
        <f t="shared" si="59"/>
        <v>0</v>
      </c>
      <c r="BU59" s="408">
        <f t="shared" si="59"/>
        <v>0</v>
      </c>
      <c r="BV59" s="408">
        <f t="shared" si="59"/>
        <v>0</v>
      </c>
      <c r="BW59" s="408">
        <f t="shared" si="59"/>
        <v>0</v>
      </c>
      <c r="BX59" s="408">
        <f t="shared" si="59"/>
        <v>0</v>
      </c>
      <c r="BY59" s="408">
        <f t="shared" si="59"/>
        <v>0</v>
      </c>
      <c r="BZ59" s="408">
        <f t="shared" si="59"/>
        <v>0</v>
      </c>
      <c r="CA59" s="408">
        <f t="shared" si="59"/>
        <v>0</v>
      </c>
    </row>
    <row r="60" spans="3:79" ht="21" hidden="1" customHeight="1" outlineLevel="2">
      <c r="C60" s="370"/>
      <c r="D60" s="374">
        <f t="shared" si="40"/>
        <v>45930</v>
      </c>
      <c r="E60" s="408" cm="1">
        <f t="array" ref="E60">INDEX($AF$14:$CA$14,0,MATCH($D60,$AF$8:$CA$8,0))</f>
        <v>15480</v>
      </c>
      <c r="F60" s="372"/>
      <c r="G60" s="409"/>
      <c r="H60" s="410">
        <f t="shared" si="47"/>
        <v>0</v>
      </c>
      <c r="I60" s="410">
        <f t="shared" si="47"/>
        <v>0</v>
      </c>
      <c r="J60" s="410">
        <f t="shared" si="47"/>
        <v>15480</v>
      </c>
      <c r="K60" s="410">
        <f t="shared" si="47"/>
        <v>0</v>
      </c>
      <c r="M60" s="359"/>
      <c r="N60" s="410">
        <f t="shared" si="54"/>
        <v>0</v>
      </c>
      <c r="O60" s="410">
        <f t="shared" si="54"/>
        <v>0</v>
      </c>
      <c r="P60" s="410">
        <f t="shared" si="54"/>
        <v>0</v>
      </c>
      <c r="Q60" s="410">
        <f t="shared" si="54"/>
        <v>0</v>
      </c>
      <c r="R60" s="410">
        <f t="shared" si="54"/>
        <v>0</v>
      </c>
      <c r="S60" s="410">
        <f t="shared" si="54"/>
        <v>0</v>
      </c>
      <c r="T60" s="410">
        <f t="shared" si="54"/>
        <v>0</v>
      </c>
      <c r="U60" s="410">
        <f t="shared" si="54"/>
        <v>0</v>
      </c>
      <c r="V60" s="410">
        <f t="shared" si="54"/>
        <v>0</v>
      </c>
      <c r="W60" s="410">
        <f t="shared" si="54"/>
        <v>0</v>
      </c>
      <c r="X60" s="410">
        <f t="shared" si="54"/>
        <v>5160</v>
      </c>
      <c r="Y60" s="410">
        <f t="shared" si="54"/>
        <v>10320</v>
      </c>
      <c r="Z60" s="410">
        <f t="shared" si="54"/>
        <v>0</v>
      </c>
      <c r="AA60" s="410">
        <f t="shared" si="54"/>
        <v>0</v>
      </c>
      <c r="AB60" s="410">
        <f t="shared" si="54"/>
        <v>0</v>
      </c>
      <c r="AC60" s="410">
        <f t="shared" si="54"/>
        <v>0</v>
      </c>
      <c r="AD60" s="372"/>
      <c r="AE60" s="409"/>
      <c r="AF60" s="408">
        <f t="shared" si="55"/>
        <v>0</v>
      </c>
      <c r="AG60" s="408">
        <f t="shared" si="55"/>
        <v>0</v>
      </c>
      <c r="AH60" s="408">
        <f t="shared" si="55"/>
        <v>0</v>
      </c>
      <c r="AI60" s="408">
        <f t="shared" si="55"/>
        <v>0</v>
      </c>
      <c r="AJ60" s="408">
        <f t="shared" si="55"/>
        <v>0</v>
      </c>
      <c r="AK60" s="408">
        <f t="shared" si="55"/>
        <v>0</v>
      </c>
      <c r="AL60" s="408">
        <f t="shared" si="55"/>
        <v>0</v>
      </c>
      <c r="AM60" s="408">
        <f t="shared" si="55"/>
        <v>0</v>
      </c>
      <c r="AN60" s="408">
        <f t="shared" si="55"/>
        <v>0</v>
      </c>
      <c r="AO60" s="408">
        <f t="shared" si="55"/>
        <v>0</v>
      </c>
      <c r="AP60" s="408">
        <f t="shared" si="56"/>
        <v>0</v>
      </c>
      <c r="AQ60" s="408">
        <f t="shared" si="56"/>
        <v>0</v>
      </c>
      <c r="AR60" s="408">
        <f t="shared" si="56"/>
        <v>0</v>
      </c>
      <c r="AS60" s="408">
        <f t="shared" si="56"/>
        <v>0</v>
      </c>
      <c r="AT60" s="408">
        <f t="shared" si="56"/>
        <v>0</v>
      </c>
      <c r="AU60" s="408">
        <f t="shared" si="56"/>
        <v>0</v>
      </c>
      <c r="AV60" s="408">
        <f t="shared" si="56"/>
        <v>0</v>
      </c>
      <c r="AW60" s="408">
        <f t="shared" si="56"/>
        <v>0</v>
      </c>
      <c r="AX60" s="408">
        <f t="shared" si="56"/>
        <v>0</v>
      </c>
      <c r="AY60" s="408">
        <f t="shared" si="56"/>
        <v>0</v>
      </c>
      <c r="AZ60" s="408">
        <f t="shared" si="57"/>
        <v>0</v>
      </c>
      <c r="BA60" s="408">
        <f t="shared" si="57"/>
        <v>0</v>
      </c>
      <c r="BB60" s="408">
        <f t="shared" si="57"/>
        <v>0</v>
      </c>
      <c r="BC60" s="408">
        <f t="shared" si="57"/>
        <v>0</v>
      </c>
      <c r="BD60" s="408">
        <f t="shared" si="57"/>
        <v>0</v>
      </c>
      <c r="BE60" s="408">
        <f t="shared" si="57"/>
        <v>0</v>
      </c>
      <c r="BF60" s="408">
        <f t="shared" si="57"/>
        <v>0</v>
      </c>
      <c r="BG60" s="408">
        <f t="shared" si="57"/>
        <v>0</v>
      </c>
      <c r="BH60" s="408">
        <f t="shared" si="57"/>
        <v>0</v>
      </c>
      <c r="BI60" s="408">
        <f t="shared" si="57"/>
        <v>0</v>
      </c>
      <c r="BJ60" s="408">
        <f t="shared" si="58"/>
        <v>0</v>
      </c>
      <c r="BK60" s="408">
        <f t="shared" si="58"/>
        <v>0</v>
      </c>
      <c r="BL60" s="408">
        <f t="shared" si="58"/>
        <v>5160</v>
      </c>
      <c r="BM60" s="408">
        <f t="shared" si="58"/>
        <v>5160</v>
      </c>
      <c r="BN60" s="408">
        <f t="shared" si="58"/>
        <v>5160</v>
      </c>
      <c r="BO60" s="408">
        <f t="shared" si="58"/>
        <v>0</v>
      </c>
      <c r="BP60" s="408">
        <f t="shared" si="58"/>
        <v>0</v>
      </c>
      <c r="BQ60" s="408">
        <f t="shared" si="58"/>
        <v>0</v>
      </c>
      <c r="BR60" s="408">
        <f t="shared" si="58"/>
        <v>0</v>
      </c>
      <c r="BS60" s="408">
        <f t="shared" si="58"/>
        <v>0</v>
      </c>
      <c r="BT60" s="408">
        <f t="shared" si="59"/>
        <v>0</v>
      </c>
      <c r="BU60" s="408">
        <f t="shared" si="59"/>
        <v>0</v>
      </c>
      <c r="BV60" s="408">
        <f t="shared" si="59"/>
        <v>0</v>
      </c>
      <c r="BW60" s="408">
        <f t="shared" si="59"/>
        <v>0</v>
      </c>
      <c r="BX60" s="408">
        <f t="shared" si="59"/>
        <v>0</v>
      </c>
      <c r="BY60" s="408">
        <f t="shared" si="59"/>
        <v>0</v>
      </c>
      <c r="BZ60" s="408">
        <f t="shared" si="59"/>
        <v>0</v>
      </c>
      <c r="CA60" s="408">
        <f t="shared" si="59"/>
        <v>0</v>
      </c>
    </row>
    <row r="61" spans="3:79" ht="21" hidden="1" customHeight="1" outlineLevel="2">
      <c r="C61" s="370"/>
      <c r="D61" s="374">
        <f t="shared" si="40"/>
        <v>45961</v>
      </c>
      <c r="E61" s="408" cm="1">
        <f t="array" ref="E61">INDEX($AF$14:$CA$14,0,MATCH($D61,$AF$8:$CA$8,0))</f>
        <v>48120</v>
      </c>
      <c r="F61" s="372"/>
      <c r="G61" s="409"/>
      <c r="H61" s="410">
        <f t="shared" si="47"/>
        <v>0</v>
      </c>
      <c r="I61" s="410">
        <f t="shared" si="47"/>
        <v>0</v>
      </c>
      <c r="J61" s="410">
        <f t="shared" si="47"/>
        <v>48120</v>
      </c>
      <c r="K61" s="410">
        <f t="shared" si="47"/>
        <v>0</v>
      </c>
      <c r="M61" s="359"/>
      <c r="N61" s="410">
        <f t="shared" si="54"/>
        <v>0</v>
      </c>
      <c r="O61" s="410">
        <f t="shared" si="54"/>
        <v>0</v>
      </c>
      <c r="P61" s="410">
        <f t="shared" si="54"/>
        <v>0</v>
      </c>
      <c r="Q61" s="410">
        <f t="shared" si="54"/>
        <v>0</v>
      </c>
      <c r="R61" s="410">
        <f t="shared" si="54"/>
        <v>0</v>
      </c>
      <c r="S61" s="410">
        <f t="shared" si="54"/>
        <v>0</v>
      </c>
      <c r="T61" s="410">
        <f t="shared" si="54"/>
        <v>0</v>
      </c>
      <c r="U61" s="410">
        <f t="shared" si="54"/>
        <v>0</v>
      </c>
      <c r="V61" s="410">
        <f t="shared" si="54"/>
        <v>0</v>
      </c>
      <c r="W61" s="410">
        <f t="shared" si="54"/>
        <v>0</v>
      </c>
      <c r="X61" s="410">
        <f t="shared" si="54"/>
        <v>0</v>
      </c>
      <c r="Y61" s="410">
        <f t="shared" si="54"/>
        <v>48120</v>
      </c>
      <c r="Z61" s="410">
        <f t="shared" si="54"/>
        <v>0</v>
      </c>
      <c r="AA61" s="410">
        <f t="shared" si="54"/>
        <v>0</v>
      </c>
      <c r="AB61" s="410">
        <f t="shared" si="54"/>
        <v>0</v>
      </c>
      <c r="AC61" s="410">
        <f t="shared" si="54"/>
        <v>0</v>
      </c>
      <c r="AD61" s="372"/>
      <c r="AE61" s="409"/>
      <c r="AF61" s="408">
        <f t="shared" si="55"/>
        <v>0</v>
      </c>
      <c r="AG61" s="408">
        <f t="shared" si="55"/>
        <v>0</v>
      </c>
      <c r="AH61" s="408">
        <f t="shared" si="55"/>
        <v>0</v>
      </c>
      <c r="AI61" s="408">
        <f t="shared" si="55"/>
        <v>0</v>
      </c>
      <c r="AJ61" s="408">
        <f t="shared" si="55"/>
        <v>0</v>
      </c>
      <c r="AK61" s="408">
        <f t="shared" si="55"/>
        <v>0</v>
      </c>
      <c r="AL61" s="408">
        <f t="shared" si="55"/>
        <v>0</v>
      </c>
      <c r="AM61" s="408">
        <f t="shared" si="55"/>
        <v>0</v>
      </c>
      <c r="AN61" s="408">
        <f t="shared" si="55"/>
        <v>0</v>
      </c>
      <c r="AO61" s="408">
        <f t="shared" si="55"/>
        <v>0</v>
      </c>
      <c r="AP61" s="408">
        <f t="shared" si="56"/>
        <v>0</v>
      </c>
      <c r="AQ61" s="408">
        <f t="shared" si="56"/>
        <v>0</v>
      </c>
      <c r="AR61" s="408">
        <f t="shared" si="56"/>
        <v>0</v>
      </c>
      <c r="AS61" s="408">
        <f t="shared" si="56"/>
        <v>0</v>
      </c>
      <c r="AT61" s="408">
        <f t="shared" si="56"/>
        <v>0</v>
      </c>
      <c r="AU61" s="408">
        <f t="shared" si="56"/>
        <v>0</v>
      </c>
      <c r="AV61" s="408">
        <f t="shared" si="56"/>
        <v>0</v>
      </c>
      <c r="AW61" s="408">
        <f t="shared" si="56"/>
        <v>0</v>
      </c>
      <c r="AX61" s="408">
        <f t="shared" si="56"/>
        <v>0</v>
      </c>
      <c r="AY61" s="408">
        <f t="shared" si="56"/>
        <v>0</v>
      </c>
      <c r="AZ61" s="408">
        <f t="shared" si="57"/>
        <v>0</v>
      </c>
      <c r="BA61" s="408">
        <f t="shared" si="57"/>
        <v>0</v>
      </c>
      <c r="BB61" s="408">
        <f t="shared" si="57"/>
        <v>0</v>
      </c>
      <c r="BC61" s="408">
        <f t="shared" si="57"/>
        <v>0</v>
      </c>
      <c r="BD61" s="408">
        <f t="shared" si="57"/>
        <v>0</v>
      </c>
      <c r="BE61" s="408">
        <f t="shared" si="57"/>
        <v>0</v>
      </c>
      <c r="BF61" s="408">
        <f t="shared" si="57"/>
        <v>0</v>
      </c>
      <c r="BG61" s="408">
        <f t="shared" si="57"/>
        <v>0</v>
      </c>
      <c r="BH61" s="408">
        <f t="shared" si="57"/>
        <v>0</v>
      </c>
      <c r="BI61" s="408">
        <f t="shared" si="57"/>
        <v>0</v>
      </c>
      <c r="BJ61" s="408">
        <f t="shared" si="58"/>
        <v>0</v>
      </c>
      <c r="BK61" s="408">
        <f t="shared" si="58"/>
        <v>0</v>
      </c>
      <c r="BL61" s="408">
        <f t="shared" si="58"/>
        <v>0</v>
      </c>
      <c r="BM61" s="408">
        <f t="shared" si="58"/>
        <v>16040</v>
      </c>
      <c r="BN61" s="408">
        <f t="shared" si="58"/>
        <v>16040</v>
      </c>
      <c r="BO61" s="408">
        <f t="shared" si="58"/>
        <v>16040</v>
      </c>
      <c r="BP61" s="408">
        <f t="shared" si="58"/>
        <v>0</v>
      </c>
      <c r="BQ61" s="408">
        <f t="shared" si="58"/>
        <v>0</v>
      </c>
      <c r="BR61" s="408">
        <f t="shared" si="58"/>
        <v>0</v>
      </c>
      <c r="BS61" s="408">
        <f t="shared" si="58"/>
        <v>0</v>
      </c>
      <c r="BT61" s="408">
        <f t="shared" si="59"/>
        <v>0</v>
      </c>
      <c r="BU61" s="408">
        <f t="shared" si="59"/>
        <v>0</v>
      </c>
      <c r="BV61" s="408">
        <f t="shared" si="59"/>
        <v>0</v>
      </c>
      <c r="BW61" s="408">
        <f t="shared" si="59"/>
        <v>0</v>
      </c>
      <c r="BX61" s="408">
        <f t="shared" si="59"/>
        <v>0</v>
      </c>
      <c r="BY61" s="408">
        <f t="shared" si="59"/>
        <v>0</v>
      </c>
      <c r="BZ61" s="408">
        <f t="shared" si="59"/>
        <v>0</v>
      </c>
      <c r="CA61" s="408">
        <f t="shared" si="59"/>
        <v>0</v>
      </c>
    </row>
    <row r="62" spans="3:79" ht="21" hidden="1" customHeight="1" outlineLevel="2">
      <c r="C62" s="370"/>
      <c r="D62" s="374">
        <f t="shared" si="40"/>
        <v>45991</v>
      </c>
      <c r="E62" s="408" cm="1">
        <f t="array" ref="E62">INDEX($AF$14:$CA$14,0,MATCH($D62,$AF$8:$CA$8,0))</f>
        <v>43940</v>
      </c>
      <c r="F62" s="372"/>
      <c r="G62" s="409"/>
      <c r="H62" s="410">
        <f t="shared" si="47"/>
        <v>0</v>
      </c>
      <c r="I62" s="410">
        <f t="shared" si="47"/>
        <v>0</v>
      </c>
      <c r="J62" s="410">
        <f t="shared" si="47"/>
        <v>29293.333333333332</v>
      </c>
      <c r="K62" s="410">
        <f t="shared" si="47"/>
        <v>14646.666666666666</v>
      </c>
      <c r="M62" s="359"/>
      <c r="N62" s="410">
        <f t="shared" si="54"/>
        <v>0</v>
      </c>
      <c r="O62" s="410">
        <f t="shared" si="54"/>
        <v>0</v>
      </c>
      <c r="P62" s="410">
        <f t="shared" si="54"/>
        <v>0</v>
      </c>
      <c r="Q62" s="410">
        <f t="shared" si="54"/>
        <v>0</v>
      </c>
      <c r="R62" s="410">
        <f t="shared" si="54"/>
        <v>0</v>
      </c>
      <c r="S62" s="410">
        <f t="shared" si="54"/>
        <v>0</v>
      </c>
      <c r="T62" s="410">
        <f t="shared" si="54"/>
        <v>0</v>
      </c>
      <c r="U62" s="410">
        <f t="shared" si="54"/>
        <v>0</v>
      </c>
      <c r="V62" s="410">
        <f t="shared" si="54"/>
        <v>0</v>
      </c>
      <c r="W62" s="410">
        <f t="shared" si="54"/>
        <v>0</v>
      </c>
      <c r="X62" s="410">
        <f t="shared" si="54"/>
        <v>0</v>
      </c>
      <c r="Y62" s="410">
        <f t="shared" si="54"/>
        <v>29293.333333333332</v>
      </c>
      <c r="Z62" s="410">
        <f t="shared" si="54"/>
        <v>14646.666666666666</v>
      </c>
      <c r="AA62" s="410">
        <f t="shared" si="54"/>
        <v>0</v>
      </c>
      <c r="AB62" s="410">
        <f t="shared" si="54"/>
        <v>0</v>
      </c>
      <c r="AC62" s="410">
        <f t="shared" si="54"/>
        <v>0</v>
      </c>
      <c r="AD62" s="372"/>
      <c r="AE62" s="409"/>
      <c r="AF62" s="408">
        <f t="shared" si="55"/>
        <v>0</v>
      </c>
      <c r="AG62" s="408">
        <f t="shared" si="55"/>
        <v>0</v>
      </c>
      <c r="AH62" s="408">
        <f t="shared" si="55"/>
        <v>0</v>
      </c>
      <c r="AI62" s="408">
        <f t="shared" si="55"/>
        <v>0</v>
      </c>
      <c r="AJ62" s="408">
        <f t="shared" si="55"/>
        <v>0</v>
      </c>
      <c r="AK62" s="408">
        <f t="shared" si="55"/>
        <v>0</v>
      </c>
      <c r="AL62" s="408">
        <f t="shared" si="55"/>
        <v>0</v>
      </c>
      <c r="AM62" s="408">
        <f t="shared" si="55"/>
        <v>0</v>
      </c>
      <c r="AN62" s="408">
        <f t="shared" si="55"/>
        <v>0</v>
      </c>
      <c r="AO62" s="408">
        <f t="shared" si="55"/>
        <v>0</v>
      </c>
      <c r="AP62" s="408">
        <f t="shared" si="56"/>
        <v>0</v>
      </c>
      <c r="AQ62" s="408">
        <f t="shared" si="56"/>
        <v>0</v>
      </c>
      <c r="AR62" s="408">
        <f t="shared" si="56"/>
        <v>0</v>
      </c>
      <c r="AS62" s="408">
        <f t="shared" si="56"/>
        <v>0</v>
      </c>
      <c r="AT62" s="408">
        <f t="shared" si="56"/>
        <v>0</v>
      </c>
      <c r="AU62" s="408">
        <f t="shared" si="56"/>
        <v>0</v>
      </c>
      <c r="AV62" s="408">
        <f t="shared" si="56"/>
        <v>0</v>
      </c>
      <c r="AW62" s="408">
        <f t="shared" si="56"/>
        <v>0</v>
      </c>
      <c r="AX62" s="408">
        <f t="shared" si="56"/>
        <v>0</v>
      </c>
      <c r="AY62" s="408">
        <f t="shared" si="56"/>
        <v>0</v>
      </c>
      <c r="AZ62" s="408">
        <f t="shared" si="57"/>
        <v>0</v>
      </c>
      <c r="BA62" s="408">
        <f t="shared" si="57"/>
        <v>0</v>
      </c>
      <c r="BB62" s="408">
        <f t="shared" si="57"/>
        <v>0</v>
      </c>
      <c r="BC62" s="408">
        <f t="shared" si="57"/>
        <v>0</v>
      </c>
      <c r="BD62" s="408">
        <f t="shared" si="57"/>
        <v>0</v>
      </c>
      <c r="BE62" s="408">
        <f t="shared" si="57"/>
        <v>0</v>
      </c>
      <c r="BF62" s="408">
        <f t="shared" si="57"/>
        <v>0</v>
      </c>
      <c r="BG62" s="408">
        <f t="shared" si="57"/>
        <v>0</v>
      </c>
      <c r="BH62" s="408">
        <f t="shared" si="57"/>
        <v>0</v>
      </c>
      <c r="BI62" s="408">
        <f t="shared" si="57"/>
        <v>0</v>
      </c>
      <c r="BJ62" s="408">
        <f t="shared" si="58"/>
        <v>0</v>
      </c>
      <c r="BK62" s="408">
        <f t="shared" si="58"/>
        <v>0</v>
      </c>
      <c r="BL62" s="408">
        <f t="shared" si="58"/>
        <v>0</v>
      </c>
      <c r="BM62" s="408">
        <f t="shared" si="58"/>
        <v>0</v>
      </c>
      <c r="BN62" s="408">
        <f t="shared" si="58"/>
        <v>14646.666666666666</v>
      </c>
      <c r="BO62" s="408">
        <f t="shared" si="58"/>
        <v>14646.666666666666</v>
      </c>
      <c r="BP62" s="408">
        <f t="shared" si="58"/>
        <v>14646.666666666666</v>
      </c>
      <c r="BQ62" s="408">
        <f t="shared" si="58"/>
        <v>0</v>
      </c>
      <c r="BR62" s="408">
        <f t="shared" si="58"/>
        <v>0</v>
      </c>
      <c r="BS62" s="408">
        <f t="shared" si="58"/>
        <v>0</v>
      </c>
      <c r="BT62" s="408">
        <f t="shared" si="59"/>
        <v>0</v>
      </c>
      <c r="BU62" s="408">
        <f t="shared" si="59"/>
        <v>0</v>
      </c>
      <c r="BV62" s="408">
        <f t="shared" si="59"/>
        <v>0</v>
      </c>
      <c r="BW62" s="408">
        <f t="shared" si="59"/>
        <v>0</v>
      </c>
      <c r="BX62" s="408">
        <f t="shared" si="59"/>
        <v>0</v>
      </c>
      <c r="BY62" s="408">
        <f t="shared" si="59"/>
        <v>0</v>
      </c>
      <c r="BZ62" s="408">
        <f t="shared" si="59"/>
        <v>0</v>
      </c>
      <c r="CA62" s="408">
        <f t="shared" si="59"/>
        <v>0</v>
      </c>
    </row>
    <row r="63" spans="3:79" ht="21" hidden="1" customHeight="1" outlineLevel="2">
      <c r="C63" s="370"/>
      <c r="D63" s="374">
        <f t="shared" si="40"/>
        <v>46022</v>
      </c>
      <c r="E63" s="408" cm="1">
        <f t="array" ref="E63">INDEX($AF$14:$CA$14,0,MATCH($D63,$AF$8:$CA$8,0))</f>
        <v>15480</v>
      </c>
      <c r="F63" s="372"/>
      <c r="G63" s="409"/>
      <c r="H63" s="410">
        <f t="shared" si="47"/>
        <v>0</v>
      </c>
      <c r="I63" s="410">
        <f t="shared" si="47"/>
        <v>0</v>
      </c>
      <c r="J63" s="410">
        <f t="shared" si="47"/>
        <v>5160</v>
      </c>
      <c r="K63" s="410">
        <f t="shared" si="47"/>
        <v>10320</v>
      </c>
      <c r="M63" s="359"/>
      <c r="N63" s="410">
        <f t="shared" si="54"/>
        <v>0</v>
      </c>
      <c r="O63" s="410">
        <f t="shared" si="54"/>
        <v>0</v>
      </c>
      <c r="P63" s="410">
        <f t="shared" si="54"/>
        <v>0</v>
      </c>
      <c r="Q63" s="410">
        <f t="shared" si="54"/>
        <v>0</v>
      </c>
      <c r="R63" s="410">
        <f t="shared" si="54"/>
        <v>0</v>
      </c>
      <c r="S63" s="410">
        <f t="shared" si="54"/>
        <v>0</v>
      </c>
      <c r="T63" s="410">
        <f t="shared" si="54"/>
        <v>0</v>
      </c>
      <c r="U63" s="410">
        <f t="shared" si="54"/>
        <v>0</v>
      </c>
      <c r="V63" s="410">
        <f t="shared" si="54"/>
        <v>0</v>
      </c>
      <c r="W63" s="410">
        <f t="shared" si="54"/>
        <v>0</v>
      </c>
      <c r="X63" s="410">
        <f t="shared" si="54"/>
        <v>0</v>
      </c>
      <c r="Y63" s="410">
        <f t="shared" si="54"/>
        <v>5160</v>
      </c>
      <c r="Z63" s="410">
        <f t="shared" si="54"/>
        <v>10320</v>
      </c>
      <c r="AA63" s="410">
        <f t="shared" si="54"/>
        <v>0</v>
      </c>
      <c r="AB63" s="410">
        <f t="shared" si="54"/>
        <v>0</v>
      </c>
      <c r="AC63" s="410">
        <f t="shared" si="54"/>
        <v>0</v>
      </c>
      <c r="AD63" s="372"/>
      <c r="AE63" s="409"/>
      <c r="AF63" s="408">
        <f t="shared" si="55"/>
        <v>0</v>
      </c>
      <c r="AG63" s="408">
        <f t="shared" si="55"/>
        <v>0</v>
      </c>
      <c r="AH63" s="408">
        <f t="shared" si="55"/>
        <v>0</v>
      </c>
      <c r="AI63" s="408">
        <f t="shared" si="55"/>
        <v>0</v>
      </c>
      <c r="AJ63" s="408">
        <f t="shared" si="55"/>
        <v>0</v>
      </c>
      <c r="AK63" s="408">
        <f t="shared" si="55"/>
        <v>0</v>
      </c>
      <c r="AL63" s="408">
        <f t="shared" si="55"/>
        <v>0</v>
      </c>
      <c r="AM63" s="408">
        <f t="shared" si="55"/>
        <v>0</v>
      </c>
      <c r="AN63" s="408">
        <f t="shared" si="55"/>
        <v>0</v>
      </c>
      <c r="AO63" s="408">
        <f t="shared" si="55"/>
        <v>0</v>
      </c>
      <c r="AP63" s="408">
        <f t="shared" si="56"/>
        <v>0</v>
      </c>
      <c r="AQ63" s="408">
        <f t="shared" si="56"/>
        <v>0</v>
      </c>
      <c r="AR63" s="408">
        <f t="shared" si="56"/>
        <v>0</v>
      </c>
      <c r="AS63" s="408">
        <f t="shared" si="56"/>
        <v>0</v>
      </c>
      <c r="AT63" s="408">
        <f t="shared" si="56"/>
        <v>0</v>
      </c>
      <c r="AU63" s="408">
        <f t="shared" si="56"/>
        <v>0</v>
      </c>
      <c r="AV63" s="408">
        <f t="shared" si="56"/>
        <v>0</v>
      </c>
      <c r="AW63" s="408">
        <f t="shared" si="56"/>
        <v>0</v>
      </c>
      <c r="AX63" s="408">
        <f t="shared" si="56"/>
        <v>0</v>
      </c>
      <c r="AY63" s="408">
        <f t="shared" si="56"/>
        <v>0</v>
      </c>
      <c r="AZ63" s="408">
        <f t="shared" si="57"/>
        <v>0</v>
      </c>
      <c r="BA63" s="408">
        <f t="shared" si="57"/>
        <v>0</v>
      </c>
      <c r="BB63" s="408">
        <f t="shared" si="57"/>
        <v>0</v>
      </c>
      <c r="BC63" s="408">
        <f t="shared" si="57"/>
        <v>0</v>
      </c>
      <c r="BD63" s="408">
        <f t="shared" si="57"/>
        <v>0</v>
      </c>
      <c r="BE63" s="408">
        <f t="shared" si="57"/>
        <v>0</v>
      </c>
      <c r="BF63" s="408">
        <f t="shared" si="57"/>
        <v>0</v>
      </c>
      <c r="BG63" s="408">
        <f t="shared" si="57"/>
        <v>0</v>
      </c>
      <c r="BH63" s="408">
        <f t="shared" si="57"/>
        <v>0</v>
      </c>
      <c r="BI63" s="408">
        <f t="shared" si="57"/>
        <v>0</v>
      </c>
      <c r="BJ63" s="408">
        <f t="shared" si="58"/>
        <v>0</v>
      </c>
      <c r="BK63" s="408">
        <f t="shared" si="58"/>
        <v>0</v>
      </c>
      <c r="BL63" s="408">
        <f t="shared" si="58"/>
        <v>0</v>
      </c>
      <c r="BM63" s="408">
        <f t="shared" si="58"/>
        <v>0</v>
      </c>
      <c r="BN63" s="408">
        <f t="shared" si="58"/>
        <v>0</v>
      </c>
      <c r="BO63" s="408">
        <f t="shared" si="58"/>
        <v>5160</v>
      </c>
      <c r="BP63" s="408">
        <f t="shared" si="58"/>
        <v>5160</v>
      </c>
      <c r="BQ63" s="408">
        <f t="shared" si="58"/>
        <v>5160</v>
      </c>
      <c r="BR63" s="408">
        <f t="shared" si="58"/>
        <v>0</v>
      </c>
      <c r="BS63" s="408">
        <f t="shared" si="58"/>
        <v>0</v>
      </c>
      <c r="BT63" s="408">
        <f t="shared" si="59"/>
        <v>0</v>
      </c>
      <c r="BU63" s="408">
        <f t="shared" si="59"/>
        <v>0</v>
      </c>
      <c r="BV63" s="408">
        <f t="shared" si="59"/>
        <v>0</v>
      </c>
      <c r="BW63" s="408">
        <f t="shared" si="59"/>
        <v>0</v>
      </c>
      <c r="BX63" s="408">
        <f t="shared" si="59"/>
        <v>0</v>
      </c>
      <c r="BY63" s="408">
        <f t="shared" si="59"/>
        <v>0</v>
      </c>
      <c r="BZ63" s="408">
        <f t="shared" si="59"/>
        <v>0</v>
      </c>
      <c r="CA63" s="408">
        <f t="shared" si="59"/>
        <v>0</v>
      </c>
    </row>
    <row r="64" spans="3:79" ht="21" hidden="1" customHeight="1" outlineLevel="2">
      <c r="C64" s="370"/>
      <c r="D64" s="374">
        <f t="shared" si="40"/>
        <v>46053</v>
      </c>
      <c r="E64" s="408" cm="1">
        <f t="array" ref="E64">INDEX($AF$14:$CA$14,0,MATCH($D64,$AF$8:$CA$8,0))</f>
        <v>48120</v>
      </c>
      <c r="F64" s="372"/>
      <c r="G64" s="409"/>
      <c r="H64" s="410">
        <f t="shared" si="47"/>
        <v>0</v>
      </c>
      <c r="I64" s="410">
        <f t="shared" si="47"/>
        <v>0</v>
      </c>
      <c r="J64" s="410">
        <f t="shared" si="47"/>
        <v>0</v>
      </c>
      <c r="K64" s="410">
        <f t="shared" si="47"/>
        <v>48120</v>
      </c>
      <c r="M64" s="359"/>
      <c r="N64" s="410">
        <f t="shared" si="54"/>
        <v>0</v>
      </c>
      <c r="O64" s="410">
        <f t="shared" si="54"/>
        <v>0</v>
      </c>
      <c r="P64" s="410">
        <f t="shared" si="54"/>
        <v>0</v>
      </c>
      <c r="Q64" s="410">
        <f t="shared" si="54"/>
        <v>0</v>
      </c>
      <c r="R64" s="410">
        <f t="shared" si="54"/>
        <v>0</v>
      </c>
      <c r="S64" s="410">
        <f t="shared" si="54"/>
        <v>0</v>
      </c>
      <c r="T64" s="410">
        <f t="shared" si="54"/>
        <v>0</v>
      </c>
      <c r="U64" s="410">
        <f t="shared" si="54"/>
        <v>0</v>
      </c>
      <c r="V64" s="410">
        <f t="shared" si="54"/>
        <v>0</v>
      </c>
      <c r="W64" s="410">
        <f t="shared" si="54"/>
        <v>0</v>
      </c>
      <c r="X64" s="410">
        <f t="shared" si="54"/>
        <v>0</v>
      </c>
      <c r="Y64" s="410">
        <f t="shared" si="54"/>
        <v>0</v>
      </c>
      <c r="Z64" s="410">
        <f t="shared" si="54"/>
        <v>48120</v>
      </c>
      <c r="AA64" s="410">
        <f t="shared" si="54"/>
        <v>0</v>
      </c>
      <c r="AB64" s="410">
        <f t="shared" si="54"/>
        <v>0</v>
      </c>
      <c r="AC64" s="410">
        <f t="shared" si="54"/>
        <v>0</v>
      </c>
      <c r="AD64" s="372"/>
      <c r="AE64" s="409"/>
      <c r="AF64" s="408">
        <f t="shared" si="55"/>
        <v>0</v>
      </c>
      <c r="AG64" s="408">
        <f t="shared" si="55"/>
        <v>0</v>
      </c>
      <c r="AH64" s="408">
        <f t="shared" si="55"/>
        <v>0</v>
      </c>
      <c r="AI64" s="408">
        <f t="shared" si="55"/>
        <v>0</v>
      </c>
      <c r="AJ64" s="408">
        <f t="shared" si="55"/>
        <v>0</v>
      </c>
      <c r="AK64" s="408">
        <f t="shared" si="55"/>
        <v>0</v>
      </c>
      <c r="AL64" s="408">
        <f t="shared" si="55"/>
        <v>0</v>
      </c>
      <c r="AM64" s="408">
        <f t="shared" si="55"/>
        <v>0</v>
      </c>
      <c r="AN64" s="408">
        <f t="shared" si="55"/>
        <v>0</v>
      </c>
      <c r="AO64" s="408">
        <f t="shared" si="55"/>
        <v>0</v>
      </c>
      <c r="AP64" s="408">
        <f t="shared" si="56"/>
        <v>0</v>
      </c>
      <c r="AQ64" s="408">
        <f t="shared" si="56"/>
        <v>0</v>
      </c>
      <c r="AR64" s="408">
        <f t="shared" si="56"/>
        <v>0</v>
      </c>
      <c r="AS64" s="408">
        <f t="shared" si="56"/>
        <v>0</v>
      </c>
      <c r="AT64" s="408">
        <f t="shared" si="56"/>
        <v>0</v>
      </c>
      <c r="AU64" s="408">
        <f t="shared" si="56"/>
        <v>0</v>
      </c>
      <c r="AV64" s="408">
        <f t="shared" si="56"/>
        <v>0</v>
      </c>
      <c r="AW64" s="408">
        <f t="shared" si="56"/>
        <v>0</v>
      </c>
      <c r="AX64" s="408">
        <f t="shared" si="56"/>
        <v>0</v>
      </c>
      <c r="AY64" s="408">
        <f t="shared" si="56"/>
        <v>0</v>
      </c>
      <c r="AZ64" s="408">
        <f t="shared" si="57"/>
        <v>0</v>
      </c>
      <c r="BA64" s="408">
        <f t="shared" si="57"/>
        <v>0</v>
      </c>
      <c r="BB64" s="408">
        <f t="shared" si="57"/>
        <v>0</v>
      </c>
      <c r="BC64" s="408">
        <f t="shared" si="57"/>
        <v>0</v>
      </c>
      <c r="BD64" s="408">
        <f t="shared" si="57"/>
        <v>0</v>
      </c>
      <c r="BE64" s="408">
        <f t="shared" si="57"/>
        <v>0</v>
      </c>
      <c r="BF64" s="408">
        <f t="shared" si="57"/>
        <v>0</v>
      </c>
      <c r="BG64" s="408">
        <f t="shared" si="57"/>
        <v>0</v>
      </c>
      <c r="BH64" s="408">
        <f t="shared" si="57"/>
        <v>0</v>
      </c>
      <c r="BI64" s="408">
        <f t="shared" si="57"/>
        <v>0</v>
      </c>
      <c r="BJ64" s="408">
        <f t="shared" si="58"/>
        <v>0</v>
      </c>
      <c r="BK64" s="408">
        <f t="shared" si="58"/>
        <v>0</v>
      </c>
      <c r="BL64" s="408">
        <f t="shared" si="58"/>
        <v>0</v>
      </c>
      <c r="BM64" s="408">
        <f t="shared" si="58"/>
        <v>0</v>
      </c>
      <c r="BN64" s="408">
        <f t="shared" si="58"/>
        <v>0</v>
      </c>
      <c r="BO64" s="408">
        <f t="shared" si="58"/>
        <v>0</v>
      </c>
      <c r="BP64" s="408">
        <f t="shared" si="58"/>
        <v>16040</v>
      </c>
      <c r="BQ64" s="408">
        <f t="shared" si="58"/>
        <v>16040</v>
      </c>
      <c r="BR64" s="408">
        <f t="shared" si="58"/>
        <v>16040</v>
      </c>
      <c r="BS64" s="408">
        <f t="shared" si="58"/>
        <v>0</v>
      </c>
      <c r="BT64" s="408">
        <f t="shared" si="59"/>
        <v>0</v>
      </c>
      <c r="BU64" s="408">
        <f t="shared" si="59"/>
        <v>0</v>
      </c>
      <c r="BV64" s="408">
        <f t="shared" si="59"/>
        <v>0</v>
      </c>
      <c r="BW64" s="408">
        <f t="shared" si="59"/>
        <v>0</v>
      </c>
      <c r="BX64" s="408">
        <f t="shared" si="59"/>
        <v>0</v>
      </c>
      <c r="BY64" s="408">
        <f t="shared" si="59"/>
        <v>0</v>
      </c>
      <c r="BZ64" s="408">
        <f t="shared" si="59"/>
        <v>0</v>
      </c>
      <c r="CA64" s="408">
        <f t="shared" si="59"/>
        <v>0</v>
      </c>
    </row>
    <row r="65" spans="3:79" ht="21" hidden="1" customHeight="1" outlineLevel="2">
      <c r="C65" s="370"/>
      <c r="D65" s="374">
        <f t="shared" si="40"/>
        <v>46081</v>
      </c>
      <c r="E65" s="408" cm="1">
        <f t="array" ref="E65">INDEX($AF$14:$CA$14,0,MATCH($D65,$AF$8:$CA$8,0))</f>
        <v>43940</v>
      </c>
      <c r="F65" s="372"/>
      <c r="G65" s="409"/>
      <c r="H65" s="410">
        <f t="shared" si="47"/>
        <v>0</v>
      </c>
      <c r="I65" s="410">
        <f t="shared" si="47"/>
        <v>0</v>
      </c>
      <c r="J65" s="410">
        <f t="shared" si="47"/>
        <v>0</v>
      </c>
      <c r="K65" s="410">
        <f t="shared" si="47"/>
        <v>43940</v>
      </c>
      <c r="M65" s="359"/>
      <c r="N65" s="410">
        <f t="shared" si="54"/>
        <v>0</v>
      </c>
      <c r="O65" s="410">
        <f t="shared" si="54"/>
        <v>0</v>
      </c>
      <c r="P65" s="410">
        <f t="shared" si="54"/>
        <v>0</v>
      </c>
      <c r="Q65" s="410">
        <f t="shared" si="54"/>
        <v>0</v>
      </c>
      <c r="R65" s="410">
        <f t="shared" si="54"/>
        <v>0</v>
      </c>
      <c r="S65" s="410">
        <f t="shared" si="54"/>
        <v>0</v>
      </c>
      <c r="T65" s="410">
        <f t="shared" si="54"/>
        <v>0</v>
      </c>
      <c r="U65" s="410">
        <f t="shared" si="54"/>
        <v>0</v>
      </c>
      <c r="V65" s="410">
        <f t="shared" si="54"/>
        <v>0</v>
      </c>
      <c r="W65" s="410">
        <f t="shared" si="54"/>
        <v>0</v>
      </c>
      <c r="X65" s="410">
        <f t="shared" si="54"/>
        <v>0</v>
      </c>
      <c r="Y65" s="410">
        <f t="shared" si="54"/>
        <v>0</v>
      </c>
      <c r="Z65" s="410">
        <f t="shared" si="54"/>
        <v>29293.333333333332</v>
      </c>
      <c r="AA65" s="410">
        <f t="shared" si="54"/>
        <v>14646.666666666666</v>
      </c>
      <c r="AB65" s="410">
        <f t="shared" si="54"/>
        <v>0</v>
      </c>
      <c r="AC65" s="410">
        <f t="shared" si="54"/>
        <v>0</v>
      </c>
      <c r="AD65" s="372"/>
      <c r="AE65" s="409"/>
      <c r="AF65" s="408">
        <f t="shared" si="55"/>
        <v>0</v>
      </c>
      <c r="AG65" s="408">
        <f t="shared" si="55"/>
        <v>0</v>
      </c>
      <c r="AH65" s="408">
        <f t="shared" si="55"/>
        <v>0</v>
      </c>
      <c r="AI65" s="408">
        <f t="shared" si="55"/>
        <v>0</v>
      </c>
      <c r="AJ65" s="408">
        <f t="shared" si="55"/>
        <v>0</v>
      </c>
      <c r="AK65" s="408">
        <f t="shared" si="55"/>
        <v>0</v>
      </c>
      <c r="AL65" s="408">
        <f t="shared" si="55"/>
        <v>0</v>
      </c>
      <c r="AM65" s="408">
        <f t="shared" si="55"/>
        <v>0</v>
      </c>
      <c r="AN65" s="408">
        <f t="shared" si="55"/>
        <v>0</v>
      </c>
      <c r="AO65" s="408">
        <f t="shared" si="55"/>
        <v>0</v>
      </c>
      <c r="AP65" s="408">
        <f t="shared" si="56"/>
        <v>0</v>
      </c>
      <c r="AQ65" s="408">
        <f t="shared" si="56"/>
        <v>0</v>
      </c>
      <c r="AR65" s="408">
        <f t="shared" si="56"/>
        <v>0</v>
      </c>
      <c r="AS65" s="408">
        <f t="shared" si="56"/>
        <v>0</v>
      </c>
      <c r="AT65" s="408">
        <f t="shared" si="56"/>
        <v>0</v>
      </c>
      <c r="AU65" s="408">
        <f t="shared" si="56"/>
        <v>0</v>
      </c>
      <c r="AV65" s="408">
        <f t="shared" si="56"/>
        <v>0</v>
      </c>
      <c r="AW65" s="408">
        <f t="shared" si="56"/>
        <v>0</v>
      </c>
      <c r="AX65" s="408">
        <f t="shared" si="56"/>
        <v>0</v>
      </c>
      <c r="AY65" s="408">
        <f t="shared" si="56"/>
        <v>0</v>
      </c>
      <c r="AZ65" s="408">
        <f t="shared" si="57"/>
        <v>0</v>
      </c>
      <c r="BA65" s="408">
        <f t="shared" si="57"/>
        <v>0</v>
      </c>
      <c r="BB65" s="408">
        <f t="shared" si="57"/>
        <v>0</v>
      </c>
      <c r="BC65" s="408">
        <f t="shared" si="57"/>
        <v>0</v>
      </c>
      <c r="BD65" s="408">
        <f t="shared" si="57"/>
        <v>0</v>
      </c>
      <c r="BE65" s="408">
        <f t="shared" si="57"/>
        <v>0</v>
      </c>
      <c r="BF65" s="408">
        <f t="shared" si="57"/>
        <v>0</v>
      </c>
      <c r="BG65" s="408">
        <f t="shared" si="57"/>
        <v>0</v>
      </c>
      <c r="BH65" s="408">
        <f t="shared" si="57"/>
        <v>0</v>
      </c>
      <c r="BI65" s="408">
        <f t="shared" si="57"/>
        <v>0</v>
      </c>
      <c r="BJ65" s="408">
        <f t="shared" si="58"/>
        <v>0</v>
      </c>
      <c r="BK65" s="408">
        <f t="shared" si="58"/>
        <v>0</v>
      </c>
      <c r="BL65" s="408">
        <f t="shared" si="58"/>
        <v>0</v>
      </c>
      <c r="BM65" s="408">
        <f t="shared" si="58"/>
        <v>0</v>
      </c>
      <c r="BN65" s="408">
        <f t="shared" si="58"/>
        <v>0</v>
      </c>
      <c r="BO65" s="408">
        <f t="shared" si="58"/>
        <v>0</v>
      </c>
      <c r="BP65" s="408">
        <f t="shared" si="58"/>
        <v>0</v>
      </c>
      <c r="BQ65" s="408">
        <f t="shared" si="58"/>
        <v>14646.666666666666</v>
      </c>
      <c r="BR65" s="408">
        <f t="shared" si="58"/>
        <v>14646.666666666666</v>
      </c>
      <c r="BS65" s="408">
        <f t="shared" si="58"/>
        <v>14646.666666666666</v>
      </c>
      <c r="BT65" s="408">
        <f t="shared" si="59"/>
        <v>0</v>
      </c>
      <c r="BU65" s="408">
        <f t="shared" si="59"/>
        <v>0</v>
      </c>
      <c r="BV65" s="408">
        <f t="shared" si="59"/>
        <v>0</v>
      </c>
      <c r="BW65" s="408">
        <f t="shared" si="59"/>
        <v>0</v>
      </c>
      <c r="BX65" s="408">
        <f t="shared" si="59"/>
        <v>0</v>
      </c>
      <c r="BY65" s="408">
        <f t="shared" si="59"/>
        <v>0</v>
      </c>
      <c r="BZ65" s="408">
        <f t="shared" si="59"/>
        <v>0</v>
      </c>
      <c r="CA65" s="408">
        <f t="shared" si="59"/>
        <v>0</v>
      </c>
    </row>
    <row r="66" spans="3:79" ht="21" hidden="1" customHeight="1" outlineLevel="2">
      <c r="C66" s="370"/>
      <c r="D66" s="374">
        <f t="shared" si="40"/>
        <v>46112</v>
      </c>
      <c r="E66" s="408" cm="1">
        <f t="array" ref="E66">INDEX($AF$14:$CA$14,0,MATCH($D66,$AF$8:$CA$8,0))</f>
        <v>15480</v>
      </c>
      <c r="F66" s="372"/>
      <c r="G66" s="409"/>
      <c r="H66" s="410">
        <f t="shared" si="47"/>
        <v>0</v>
      </c>
      <c r="I66" s="410">
        <f t="shared" si="47"/>
        <v>0</v>
      </c>
      <c r="J66" s="410">
        <f t="shared" si="47"/>
        <v>0</v>
      </c>
      <c r="K66" s="410">
        <f t="shared" si="47"/>
        <v>15480</v>
      </c>
      <c r="M66" s="359"/>
      <c r="N66" s="410">
        <f t="shared" si="54"/>
        <v>0</v>
      </c>
      <c r="O66" s="410">
        <f t="shared" si="54"/>
        <v>0</v>
      </c>
      <c r="P66" s="410">
        <f t="shared" si="54"/>
        <v>0</v>
      </c>
      <c r="Q66" s="410">
        <f t="shared" si="54"/>
        <v>0</v>
      </c>
      <c r="R66" s="410">
        <f t="shared" si="54"/>
        <v>0</v>
      </c>
      <c r="S66" s="410">
        <f t="shared" si="54"/>
        <v>0</v>
      </c>
      <c r="T66" s="410">
        <f t="shared" si="54"/>
        <v>0</v>
      </c>
      <c r="U66" s="410">
        <f t="shared" si="54"/>
        <v>0</v>
      </c>
      <c r="V66" s="410">
        <f t="shared" si="54"/>
        <v>0</v>
      </c>
      <c r="W66" s="410">
        <f t="shared" si="54"/>
        <v>0</v>
      </c>
      <c r="X66" s="410">
        <f t="shared" si="54"/>
        <v>0</v>
      </c>
      <c r="Y66" s="410">
        <f t="shared" si="54"/>
        <v>0</v>
      </c>
      <c r="Z66" s="410">
        <f t="shared" si="54"/>
        <v>5160</v>
      </c>
      <c r="AA66" s="410">
        <f t="shared" si="54"/>
        <v>10320</v>
      </c>
      <c r="AB66" s="410">
        <f t="shared" si="54"/>
        <v>0</v>
      </c>
      <c r="AC66" s="410">
        <f t="shared" si="54"/>
        <v>0</v>
      </c>
      <c r="AD66" s="372"/>
      <c r="AE66" s="409"/>
      <c r="AF66" s="408">
        <f t="shared" si="55"/>
        <v>0</v>
      </c>
      <c r="AG66" s="408">
        <f t="shared" si="55"/>
        <v>0</v>
      </c>
      <c r="AH66" s="408">
        <f t="shared" si="55"/>
        <v>0</v>
      </c>
      <c r="AI66" s="408">
        <f t="shared" si="55"/>
        <v>0</v>
      </c>
      <c r="AJ66" s="408">
        <f t="shared" si="55"/>
        <v>0</v>
      </c>
      <c r="AK66" s="408">
        <f t="shared" si="55"/>
        <v>0</v>
      </c>
      <c r="AL66" s="408">
        <f t="shared" si="55"/>
        <v>0</v>
      </c>
      <c r="AM66" s="408">
        <f t="shared" si="55"/>
        <v>0</v>
      </c>
      <c r="AN66" s="408">
        <f t="shared" si="55"/>
        <v>0</v>
      </c>
      <c r="AO66" s="408">
        <f t="shared" si="55"/>
        <v>0</v>
      </c>
      <c r="AP66" s="408">
        <f t="shared" si="56"/>
        <v>0</v>
      </c>
      <c r="AQ66" s="408">
        <f t="shared" si="56"/>
        <v>0</v>
      </c>
      <c r="AR66" s="408">
        <f t="shared" si="56"/>
        <v>0</v>
      </c>
      <c r="AS66" s="408">
        <f t="shared" si="56"/>
        <v>0</v>
      </c>
      <c r="AT66" s="408">
        <f t="shared" si="56"/>
        <v>0</v>
      </c>
      <c r="AU66" s="408">
        <f t="shared" si="56"/>
        <v>0</v>
      </c>
      <c r="AV66" s="408">
        <f t="shared" si="56"/>
        <v>0</v>
      </c>
      <c r="AW66" s="408">
        <f t="shared" si="56"/>
        <v>0</v>
      </c>
      <c r="AX66" s="408">
        <f t="shared" si="56"/>
        <v>0</v>
      </c>
      <c r="AY66" s="408">
        <f t="shared" si="56"/>
        <v>0</v>
      </c>
      <c r="AZ66" s="408">
        <f t="shared" si="57"/>
        <v>0</v>
      </c>
      <c r="BA66" s="408">
        <f t="shared" si="57"/>
        <v>0</v>
      </c>
      <c r="BB66" s="408">
        <f t="shared" si="57"/>
        <v>0</v>
      </c>
      <c r="BC66" s="408">
        <f t="shared" si="57"/>
        <v>0</v>
      </c>
      <c r="BD66" s="408">
        <f t="shared" si="57"/>
        <v>0</v>
      </c>
      <c r="BE66" s="408">
        <f t="shared" si="57"/>
        <v>0</v>
      </c>
      <c r="BF66" s="408">
        <f t="shared" si="57"/>
        <v>0</v>
      </c>
      <c r="BG66" s="408">
        <f t="shared" si="57"/>
        <v>0</v>
      </c>
      <c r="BH66" s="408">
        <f t="shared" si="57"/>
        <v>0</v>
      </c>
      <c r="BI66" s="408">
        <f t="shared" si="57"/>
        <v>0</v>
      </c>
      <c r="BJ66" s="408">
        <f t="shared" si="58"/>
        <v>0</v>
      </c>
      <c r="BK66" s="408">
        <f t="shared" si="58"/>
        <v>0</v>
      </c>
      <c r="BL66" s="408">
        <f t="shared" si="58"/>
        <v>0</v>
      </c>
      <c r="BM66" s="408">
        <f t="shared" si="58"/>
        <v>0</v>
      </c>
      <c r="BN66" s="408">
        <f t="shared" si="58"/>
        <v>0</v>
      </c>
      <c r="BO66" s="408">
        <f t="shared" si="58"/>
        <v>0</v>
      </c>
      <c r="BP66" s="408">
        <f t="shared" si="58"/>
        <v>0</v>
      </c>
      <c r="BQ66" s="408">
        <f t="shared" si="58"/>
        <v>0</v>
      </c>
      <c r="BR66" s="408">
        <f t="shared" si="58"/>
        <v>5160</v>
      </c>
      <c r="BS66" s="408">
        <f t="shared" si="58"/>
        <v>5160</v>
      </c>
      <c r="BT66" s="408">
        <f t="shared" si="59"/>
        <v>5160</v>
      </c>
      <c r="BU66" s="408">
        <f t="shared" si="59"/>
        <v>0</v>
      </c>
      <c r="BV66" s="408">
        <f t="shared" si="59"/>
        <v>0</v>
      </c>
      <c r="BW66" s="408">
        <f t="shared" si="59"/>
        <v>0</v>
      </c>
      <c r="BX66" s="408">
        <f t="shared" si="59"/>
        <v>0</v>
      </c>
      <c r="BY66" s="408">
        <f t="shared" si="59"/>
        <v>0</v>
      </c>
      <c r="BZ66" s="408">
        <f t="shared" si="59"/>
        <v>0</v>
      </c>
      <c r="CA66" s="408">
        <f t="shared" si="59"/>
        <v>0</v>
      </c>
    </row>
    <row r="67" spans="3:79" ht="21" hidden="1" customHeight="1" outlineLevel="2">
      <c r="C67" s="370"/>
      <c r="D67" s="374">
        <f t="shared" si="40"/>
        <v>46142</v>
      </c>
      <c r="E67" s="408" cm="1">
        <f t="array" ref="E67">INDEX($AF$14:$CA$14,0,MATCH($D67,$AF$8:$CA$8,0))</f>
        <v>48120</v>
      </c>
      <c r="F67" s="372"/>
      <c r="G67" s="409"/>
      <c r="H67" s="410">
        <f t="shared" si="47"/>
        <v>0</v>
      </c>
      <c r="I67" s="410">
        <f t="shared" si="47"/>
        <v>0</v>
      </c>
      <c r="J67" s="410">
        <f t="shared" si="47"/>
        <v>0</v>
      </c>
      <c r="K67" s="410">
        <f t="shared" si="47"/>
        <v>48120</v>
      </c>
      <c r="M67" s="359"/>
      <c r="N67" s="410">
        <f t="shared" si="54"/>
        <v>0</v>
      </c>
      <c r="O67" s="410">
        <f t="shared" si="54"/>
        <v>0</v>
      </c>
      <c r="P67" s="410">
        <f t="shared" si="54"/>
        <v>0</v>
      </c>
      <c r="Q67" s="410">
        <f t="shared" si="54"/>
        <v>0</v>
      </c>
      <c r="R67" s="410">
        <f t="shared" si="54"/>
        <v>0</v>
      </c>
      <c r="S67" s="410">
        <f t="shared" si="54"/>
        <v>0</v>
      </c>
      <c r="T67" s="410">
        <f t="shared" si="54"/>
        <v>0</v>
      </c>
      <c r="U67" s="410">
        <f t="shared" si="54"/>
        <v>0</v>
      </c>
      <c r="V67" s="410">
        <f t="shared" si="54"/>
        <v>0</v>
      </c>
      <c r="W67" s="410">
        <f t="shared" si="54"/>
        <v>0</v>
      </c>
      <c r="X67" s="410">
        <f t="shared" si="54"/>
        <v>0</v>
      </c>
      <c r="Y67" s="410">
        <f t="shared" si="54"/>
        <v>0</v>
      </c>
      <c r="Z67" s="410">
        <f t="shared" si="54"/>
        <v>0</v>
      </c>
      <c r="AA67" s="410">
        <f t="shared" si="54"/>
        <v>48120</v>
      </c>
      <c r="AB67" s="410">
        <f t="shared" si="54"/>
        <v>0</v>
      </c>
      <c r="AC67" s="410">
        <f t="shared" si="54"/>
        <v>0</v>
      </c>
      <c r="AD67" s="372"/>
      <c r="AE67" s="409"/>
      <c r="AF67" s="408">
        <f t="shared" si="55"/>
        <v>0</v>
      </c>
      <c r="AG67" s="408">
        <f t="shared" si="55"/>
        <v>0</v>
      </c>
      <c r="AH67" s="408">
        <f t="shared" si="55"/>
        <v>0</v>
      </c>
      <c r="AI67" s="408">
        <f t="shared" si="55"/>
        <v>0</v>
      </c>
      <c r="AJ67" s="408">
        <f t="shared" si="55"/>
        <v>0</v>
      </c>
      <c r="AK67" s="408">
        <f t="shared" si="55"/>
        <v>0</v>
      </c>
      <c r="AL67" s="408">
        <f t="shared" si="55"/>
        <v>0</v>
      </c>
      <c r="AM67" s="408">
        <f t="shared" si="55"/>
        <v>0</v>
      </c>
      <c r="AN67" s="408">
        <f t="shared" si="55"/>
        <v>0</v>
      </c>
      <c r="AO67" s="408">
        <f t="shared" si="55"/>
        <v>0</v>
      </c>
      <c r="AP67" s="408">
        <f t="shared" si="56"/>
        <v>0</v>
      </c>
      <c r="AQ67" s="408">
        <f t="shared" si="56"/>
        <v>0</v>
      </c>
      <c r="AR67" s="408">
        <f t="shared" si="56"/>
        <v>0</v>
      </c>
      <c r="AS67" s="408">
        <f t="shared" si="56"/>
        <v>0</v>
      </c>
      <c r="AT67" s="408">
        <f t="shared" si="56"/>
        <v>0</v>
      </c>
      <c r="AU67" s="408">
        <f t="shared" si="56"/>
        <v>0</v>
      </c>
      <c r="AV67" s="408">
        <f t="shared" si="56"/>
        <v>0</v>
      </c>
      <c r="AW67" s="408">
        <f t="shared" si="56"/>
        <v>0</v>
      </c>
      <c r="AX67" s="408">
        <f t="shared" si="56"/>
        <v>0</v>
      </c>
      <c r="AY67" s="408">
        <f t="shared" si="56"/>
        <v>0</v>
      </c>
      <c r="AZ67" s="408">
        <f t="shared" si="57"/>
        <v>0</v>
      </c>
      <c r="BA67" s="408">
        <f t="shared" si="57"/>
        <v>0</v>
      </c>
      <c r="BB67" s="408">
        <f t="shared" si="57"/>
        <v>0</v>
      </c>
      <c r="BC67" s="408">
        <f t="shared" si="57"/>
        <v>0</v>
      </c>
      <c r="BD67" s="408">
        <f t="shared" si="57"/>
        <v>0</v>
      </c>
      <c r="BE67" s="408">
        <f t="shared" si="57"/>
        <v>0</v>
      </c>
      <c r="BF67" s="408">
        <f t="shared" si="57"/>
        <v>0</v>
      </c>
      <c r="BG67" s="408">
        <f t="shared" si="57"/>
        <v>0</v>
      </c>
      <c r="BH67" s="408">
        <f t="shared" si="57"/>
        <v>0</v>
      </c>
      <c r="BI67" s="408">
        <f t="shared" si="57"/>
        <v>0</v>
      </c>
      <c r="BJ67" s="408">
        <f t="shared" si="58"/>
        <v>0</v>
      </c>
      <c r="BK67" s="408">
        <f t="shared" si="58"/>
        <v>0</v>
      </c>
      <c r="BL67" s="408">
        <f t="shared" si="58"/>
        <v>0</v>
      </c>
      <c r="BM67" s="408">
        <f t="shared" si="58"/>
        <v>0</v>
      </c>
      <c r="BN67" s="408">
        <f t="shared" si="58"/>
        <v>0</v>
      </c>
      <c r="BO67" s="408">
        <f t="shared" si="58"/>
        <v>0</v>
      </c>
      <c r="BP67" s="408">
        <f t="shared" si="58"/>
        <v>0</v>
      </c>
      <c r="BQ67" s="408">
        <f t="shared" si="58"/>
        <v>0</v>
      </c>
      <c r="BR67" s="408">
        <f t="shared" si="58"/>
        <v>0</v>
      </c>
      <c r="BS67" s="408">
        <f t="shared" si="58"/>
        <v>16040</v>
      </c>
      <c r="BT67" s="408">
        <f t="shared" si="59"/>
        <v>16040</v>
      </c>
      <c r="BU67" s="408">
        <f t="shared" si="59"/>
        <v>16040</v>
      </c>
      <c r="BV67" s="408">
        <f t="shared" si="59"/>
        <v>0</v>
      </c>
      <c r="BW67" s="408">
        <f t="shared" si="59"/>
        <v>0</v>
      </c>
      <c r="BX67" s="408">
        <f t="shared" si="59"/>
        <v>0</v>
      </c>
      <c r="BY67" s="408">
        <f t="shared" si="59"/>
        <v>0</v>
      </c>
      <c r="BZ67" s="408">
        <f t="shared" si="59"/>
        <v>0</v>
      </c>
      <c r="CA67" s="408">
        <f t="shared" si="59"/>
        <v>0</v>
      </c>
    </row>
    <row r="68" spans="3:79" ht="21" hidden="1" customHeight="1" outlineLevel="2">
      <c r="C68" s="370"/>
      <c r="D68" s="374">
        <f t="shared" si="40"/>
        <v>46173</v>
      </c>
      <c r="E68" s="408" cm="1">
        <f t="array" ref="E68">INDEX($AF$14:$CA$14,0,MATCH($D68,$AF$8:$CA$8,0))</f>
        <v>43940</v>
      </c>
      <c r="F68" s="372"/>
      <c r="G68" s="409"/>
      <c r="H68" s="410">
        <f t="shared" ref="H68:K75" si="60">SUMIFS($AF68:$CA68,$AF$4:$CA$4,"&gt;="&amp;H$4,$AF$5:$CA$5,"&lt;="&amp;H$5)</f>
        <v>0</v>
      </c>
      <c r="I68" s="410">
        <f t="shared" si="60"/>
        <v>0</v>
      </c>
      <c r="J68" s="410">
        <f t="shared" si="60"/>
        <v>0</v>
      </c>
      <c r="K68" s="410">
        <f t="shared" si="60"/>
        <v>43940</v>
      </c>
      <c r="M68" s="359"/>
      <c r="N68" s="410">
        <f t="shared" ref="N68:AC75" si="61">SUMIFS($AF68:$CA68,$AF$4:$CA$4,"&gt;="&amp;N$4,$AF$5:$CA$5,"&lt;="&amp;N$5)</f>
        <v>0</v>
      </c>
      <c r="O68" s="410">
        <f t="shared" si="61"/>
        <v>0</v>
      </c>
      <c r="P68" s="410">
        <f t="shared" si="61"/>
        <v>0</v>
      </c>
      <c r="Q68" s="410">
        <f t="shared" si="61"/>
        <v>0</v>
      </c>
      <c r="R68" s="410">
        <f t="shared" si="61"/>
        <v>0</v>
      </c>
      <c r="S68" s="410">
        <f t="shared" si="61"/>
        <v>0</v>
      </c>
      <c r="T68" s="410">
        <f t="shared" si="61"/>
        <v>0</v>
      </c>
      <c r="U68" s="410">
        <f t="shared" si="61"/>
        <v>0</v>
      </c>
      <c r="V68" s="410">
        <f t="shared" si="61"/>
        <v>0</v>
      </c>
      <c r="W68" s="410">
        <f t="shared" si="61"/>
        <v>0</v>
      </c>
      <c r="X68" s="410">
        <f t="shared" si="61"/>
        <v>0</v>
      </c>
      <c r="Y68" s="410">
        <f t="shared" si="61"/>
        <v>0</v>
      </c>
      <c r="Z68" s="410">
        <f t="shared" si="61"/>
        <v>0</v>
      </c>
      <c r="AA68" s="410">
        <f t="shared" si="61"/>
        <v>29293.333333333332</v>
      </c>
      <c r="AB68" s="410">
        <f t="shared" si="61"/>
        <v>14646.666666666666</v>
      </c>
      <c r="AC68" s="410">
        <f t="shared" si="61"/>
        <v>0</v>
      </c>
      <c r="AD68" s="372"/>
      <c r="AE68" s="409"/>
      <c r="AF68" s="408">
        <f t="shared" ref="AF68:AO75" si="62">IF(AND(AF$8&gt;=$D68,(MATCH(AF$8,$AF$8:$CA$8,0)-MATCH($D68,$AF$8:$CA$8,0))&lt;3),$E68/3,0)</f>
        <v>0</v>
      </c>
      <c r="AG68" s="408">
        <f t="shared" si="62"/>
        <v>0</v>
      </c>
      <c r="AH68" s="408">
        <f t="shared" si="62"/>
        <v>0</v>
      </c>
      <c r="AI68" s="408">
        <f t="shared" si="62"/>
        <v>0</v>
      </c>
      <c r="AJ68" s="408">
        <f t="shared" si="62"/>
        <v>0</v>
      </c>
      <c r="AK68" s="408">
        <f t="shared" si="62"/>
        <v>0</v>
      </c>
      <c r="AL68" s="408">
        <f t="shared" si="62"/>
        <v>0</v>
      </c>
      <c r="AM68" s="408">
        <f t="shared" si="62"/>
        <v>0</v>
      </c>
      <c r="AN68" s="408">
        <f t="shared" si="62"/>
        <v>0</v>
      </c>
      <c r="AO68" s="408">
        <f t="shared" si="62"/>
        <v>0</v>
      </c>
      <c r="AP68" s="408">
        <f t="shared" ref="AP68:AY75" si="63">IF(AND(AP$8&gt;=$D68,(MATCH(AP$8,$AF$8:$CA$8,0)-MATCH($D68,$AF$8:$CA$8,0))&lt;3),$E68/3,0)</f>
        <v>0</v>
      </c>
      <c r="AQ68" s="408">
        <f t="shared" si="63"/>
        <v>0</v>
      </c>
      <c r="AR68" s="408">
        <f t="shared" si="63"/>
        <v>0</v>
      </c>
      <c r="AS68" s="408">
        <f t="shared" si="63"/>
        <v>0</v>
      </c>
      <c r="AT68" s="408">
        <f t="shared" si="63"/>
        <v>0</v>
      </c>
      <c r="AU68" s="408">
        <f t="shared" si="63"/>
        <v>0</v>
      </c>
      <c r="AV68" s="408">
        <f t="shared" si="63"/>
        <v>0</v>
      </c>
      <c r="AW68" s="408">
        <f t="shared" si="63"/>
        <v>0</v>
      </c>
      <c r="AX68" s="408">
        <f t="shared" si="63"/>
        <v>0</v>
      </c>
      <c r="AY68" s="408">
        <f t="shared" si="63"/>
        <v>0</v>
      </c>
      <c r="AZ68" s="408">
        <f t="shared" ref="AZ68:BI75" si="64">IF(AND(AZ$8&gt;=$D68,(MATCH(AZ$8,$AF$8:$CA$8,0)-MATCH($D68,$AF$8:$CA$8,0))&lt;3),$E68/3,0)</f>
        <v>0</v>
      </c>
      <c r="BA68" s="408">
        <f t="shared" si="64"/>
        <v>0</v>
      </c>
      <c r="BB68" s="408">
        <f t="shared" si="64"/>
        <v>0</v>
      </c>
      <c r="BC68" s="408">
        <f t="shared" si="64"/>
        <v>0</v>
      </c>
      <c r="BD68" s="408">
        <f t="shared" si="64"/>
        <v>0</v>
      </c>
      <c r="BE68" s="408">
        <f t="shared" si="64"/>
        <v>0</v>
      </c>
      <c r="BF68" s="408">
        <f t="shared" si="64"/>
        <v>0</v>
      </c>
      <c r="BG68" s="408">
        <f t="shared" si="64"/>
        <v>0</v>
      </c>
      <c r="BH68" s="408">
        <f t="shared" si="64"/>
        <v>0</v>
      </c>
      <c r="BI68" s="408">
        <f t="shared" si="64"/>
        <v>0</v>
      </c>
      <c r="BJ68" s="408">
        <f t="shared" ref="BJ68:BS75" si="65">IF(AND(BJ$8&gt;=$D68,(MATCH(BJ$8,$AF$8:$CA$8,0)-MATCH($D68,$AF$8:$CA$8,0))&lt;3),$E68/3,0)</f>
        <v>0</v>
      </c>
      <c r="BK68" s="408">
        <f t="shared" si="65"/>
        <v>0</v>
      </c>
      <c r="BL68" s="408">
        <f t="shared" si="65"/>
        <v>0</v>
      </c>
      <c r="BM68" s="408">
        <f t="shared" si="65"/>
        <v>0</v>
      </c>
      <c r="BN68" s="408">
        <f t="shared" si="65"/>
        <v>0</v>
      </c>
      <c r="BO68" s="408">
        <f t="shared" si="65"/>
        <v>0</v>
      </c>
      <c r="BP68" s="408">
        <f t="shared" si="65"/>
        <v>0</v>
      </c>
      <c r="BQ68" s="408">
        <f t="shared" si="65"/>
        <v>0</v>
      </c>
      <c r="BR68" s="408">
        <f t="shared" si="65"/>
        <v>0</v>
      </c>
      <c r="BS68" s="408">
        <f t="shared" si="65"/>
        <v>0</v>
      </c>
      <c r="BT68" s="408">
        <f t="shared" ref="BT68:CA75" si="66">IF(AND(BT$8&gt;=$D68,(MATCH(BT$8,$AF$8:$CA$8,0)-MATCH($D68,$AF$8:$CA$8,0))&lt;3),$E68/3,0)</f>
        <v>14646.666666666666</v>
      </c>
      <c r="BU68" s="408">
        <f t="shared" si="66"/>
        <v>14646.666666666666</v>
      </c>
      <c r="BV68" s="408">
        <f t="shared" si="66"/>
        <v>14646.666666666666</v>
      </c>
      <c r="BW68" s="408">
        <f t="shared" si="66"/>
        <v>0</v>
      </c>
      <c r="BX68" s="408">
        <f t="shared" si="66"/>
        <v>0</v>
      </c>
      <c r="BY68" s="408">
        <f t="shared" si="66"/>
        <v>0</v>
      </c>
      <c r="BZ68" s="408">
        <f t="shared" si="66"/>
        <v>0</v>
      </c>
      <c r="CA68" s="408">
        <f t="shared" si="66"/>
        <v>0</v>
      </c>
    </row>
    <row r="69" spans="3:79" ht="21" hidden="1" customHeight="1" outlineLevel="2">
      <c r="C69" s="370"/>
      <c r="D69" s="374">
        <f t="shared" si="40"/>
        <v>46203</v>
      </c>
      <c r="E69" s="408" cm="1">
        <f t="array" ref="E69">INDEX($AF$14:$CA$14,0,MATCH($D69,$AF$8:$CA$8,0))</f>
        <v>15480</v>
      </c>
      <c r="F69" s="372"/>
      <c r="G69" s="409"/>
      <c r="H69" s="410">
        <f t="shared" si="60"/>
        <v>0</v>
      </c>
      <c r="I69" s="410">
        <f t="shared" si="60"/>
        <v>0</v>
      </c>
      <c r="J69" s="410">
        <f t="shared" si="60"/>
        <v>0</v>
      </c>
      <c r="K69" s="410">
        <f t="shared" si="60"/>
        <v>15480</v>
      </c>
      <c r="M69" s="359"/>
      <c r="N69" s="410">
        <f t="shared" si="61"/>
        <v>0</v>
      </c>
      <c r="O69" s="410">
        <f t="shared" si="61"/>
        <v>0</v>
      </c>
      <c r="P69" s="410">
        <f t="shared" si="61"/>
        <v>0</v>
      </c>
      <c r="Q69" s="410">
        <f t="shared" si="61"/>
        <v>0</v>
      </c>
      <c r="R69" s="410">
        <f t="shared" si="61"/>
        <v>0</v>
      </c>
      <c r="S69" s="410">
        <f t="shared" si="61"/>
        <v>0</v>
      </c>
      <c r="T69" s="410">
        <f t="shared" si="61"/>
        <v>0</v>
      </c>
      <c r="U69" s="410">
        <f t="shared" si="61"/>
        <v>0</v>
      </c>
      <c r="V69" s="410">
        <f t="shared" si="61"/>
        <v>0</v>
      </c>
      <c r="W69" s="410">
        <f t="shared" si="61"/>
        <v>0</v>
      </c>
      <c r="X69" s="410">
        <f t="shared" si="61"/>
        <v>0</v>
      </c>
      <c r="Y69" s="410">
        <f t="shared" si="61"/>
        <v>0</v>
      </c>
      <c r="Z69" s="410">
        <f t="shared" si="61"/>
        <v>0</v>
      </c>
      <c r="AA69" s="410">
        <f t="shared" si="61"/>
        <v>5160</v>
      </c>
      <c r="AB69" s="410">
        <f t="shared" si="61"/>
        <v>10320</v>
      </c>
      <c r="AC69" s="410">
        <f t="shared" si="61"/>
        <v>0</v>
      </c>
      <c r="AD69" s="372"/>
      <c r="AE69" s="409"/>
      <c r="AF69" s="408">
        <f t="shared" si="62"/>
        <v>0</v>
      </c>
      <c r="AG69" s="408">
        <f t="shared" si="62"/>
        <v>0</v>
      </c>
      <c r="AH69" s="408">
        <f t="shared" si="62"/>
        <v>0</v>
      </c>
      <c r="AI69" s="408">
        <f t="shared" si="62"/>
        <v>0</v>
      </c>
      <c r="AJ69" s="408">
        <f t="shared" si="62"/>
        <v>0</v>
      </c>
      <c r="AK69" s="408">
        <f t="shared" si="62"/>
        <v>0</v>
      </c>
      <c r="AL69" s="408">
        <f t="shared" si="62"/>
        <v>0</v>
      </c>
      <c r="AM69" s="408">
        <f t="shared" si="62"/>
        <v>0</v>
      </c>
      <c r="AN69" s="408">
        <f t="shared" si="62"/>
        <v>0</v>
      </c>
      <c r="AO69" s="408">
        <f t="shared" si="62"/>
        <v>0</v>
      </c>
      <c r="AP69" s="408">
        <f t="shared" si="63"/>
        <v>0</v>
      </c>
      <c r="AQ69" s="408">
        <f t="shared" si="63"/>
        <v>0</v>
      </c>
      <c r="AR69" s="408">
        <f t="shared" si="63"/>
        <v>0</v>
      </c>
      <c r="AS69" s="408">
        <f t="shared" si="63"/>
        <v>0</v>
      </c>
      <c r="AT69" s="408">
        <f t="shared" si="63"/>
        <v>0</v>
      </c>
      <c r="AU69" s="408">
        <f t="shared" si="63"/>
        <v>0</v>
      </c>
      <c r="AV69" s="408">
        <f t="shared" si="63"/>
        <v>0</v>
      </c>
      <c r="AW69" s="408">
        <f t="shared" si="63"/>
        <v>0</v>
      </c>
      <c r="AX69" s="408">
        <f t="shared" si="63"/>
        <v>0</v>
      </c>
      <c r="AY69" s="408">
        <f t="shared" si="63"/>
        <v>0</v>
      </c>
      <c r="AZ69" s="408">
        <f t="shared" si="64"/>
        <v>0</v>
      </c>
      <c r="BA69" s="408">
        <f t="shared" si="64"/>
        <v>0</v>
      </c>
      <c r="BB69" s="408">
        <f t="shared" si="64"/>
        <v>0</v>
      </c>
      <c r="BC69" s="408">
        <f t="shared" si="64"/>
        <v>0</v>
      </c>
      <c r="BD69" s="408">
        <f t="shared" si="64"/>
        <v>0</v>
      </c>
      <c r="BE69" s="408">
        <f t="shared" si="64"/>
        <v>0</v>
      </c>
      <c r="BF69" s="408">
        <f t="shared" si="64"/>
        <v>0</v>
      </c>
      <c r="BG69" s="408">
        <f t="shared" si="64"/>
        <v>0</v>
      </c>
      <c r="BH69" s="408">
        <f t="shared" si="64"/>
        <v>0</v>
      </c>
      <c r="BI69" s="408">
        <f t="shared" si="64"/>
        <v>0</v>
      </c>
      <c r="BJ69" s="408">
        <f t="shared" si="65"/>
        <v>0</v>
      </c>
      <c r="BK69" s="408">
        <f t="shared" si="65"/>
        <v>0</v>
      </c>
      <c r="BL69" s="408">
        <f t="shared" si="65"/>
        <v>0</v>
      </c>
      <c r="BM69" s="408">
        <f t="shared" si="65"/>
        <v>0</v>
      </c>
      <c r="BN69" s="408">
        <f t="shared" si="65"/>
        <v>0</v>
      </c>
      <c r="BO69" s="408">
        <f t="shared" si="65"/>
        <v>0</v>
      </c>
      <c r="BP69" s="408">
        <f t="shared" si="65"/>
        <v>0</v>
      </c>
      <c r="BQ69" s="408">
        <f t="shared" si="65"/>
        <v>0</v>
      </c>
      <c r="BR69" s="408">
        <f t="shared" si="65"/>
        <v>0</v>
      </c>
      <c r="BS69" s="408">
        <f t="shared" si="65"/>
        <v>0</v>
      </c>
      <c r="BT69" s="408">
        <f t="shared" si="66"/>
        <v>0</v>
      </c>
      <c r="BU69" s="408">
        <f t="shared" si="66"/>
        <v>5160</v>
      </c>
      <c r="BV69" s="408">
        <f t="shared" si="66"/>
        <v>5160</v>
      </c>
      <c r="BW69" s="408">
        <f t="shared" si="66"/>
        <v>5160</v>
      </c>
      <c r="BX69" s="408">
        <f t="shared" si="66"/>
        <v>0</v>
      </c>
      <c r="BY69" s="408">
        <f t="shared" si="66"/>
        <v>0</v>
      </c>
      <c r="BZ69" s="408">
        <f t="shared" si="66"/>
        <v>0</v>
      </c>
      <c r="CA69" s="408">
        <f t="shared" si="66"/>
        <v>0</v>
      </c>
    </row>
    <row r="70" spans="3:79" ht="21" hidden="1" customHeight="1" outlineLevel="2">
      <c r="C70" s="370"/>
      <c r="D70" s="374">
        <f t="shared" si="40"/>
        <v>46234</v>
      </c>
      <c r="E70" s="408" cm="1">
        <f t="array" ref="E70">INDEX($AF$14:$CA$14,0,MATCH($D70,$AF$8:$CA$8,0))</f>
        <v>48120</v>
      </c>
      <c r="F70" s="372"/>
      <c r="G70" s="409"/>
      <c r="H70" s="410">
        <f t="shared" si="60"/>
        <v>0</v>
      </c>
      <c r="I70" s="410">
        <f t="shared" si="60"/>
        <v>0</v>
      </c>
      <c r="J70" s="410">
        <f t="shared" si="60"/>
        <v>0</v>
      </c>
      <c r="K70" s="410">
        <f t="shared" si="60"/>
        <v>48120</v>
      </c>
      <c r="M70" s="359"/>
      <c r="N70" s="410">
        <f t="shared" si="61"/>
        <v>0</v>
      </c>
      <c r="O70" s="410">
        <f t="shared" si="61"/>
        <v>0</v>
      </c>
      <c r="P70" s="410">
        <f t="shared" si="61"/>
        <v>0</v>
      </c>
      <c r="Q70" s="410">
        <f t="shared" si="61"/>
        <v>0</v>
      </c>
      <c r="R70" s="410">
        <f t="shared" si="61"/>
        <v>0</v>
      </c>
      <c r="S70" s="410">
        <f t="shared" si="61"/>
        <v>0</v>
      </c>
      <c r="T70" s="410">
        <f t="shared" si="61"/>
        <v>0</v>
      </c>
      <c r="U70" s="410">
        <f t="shared" si="61"/>
        <v>0</v>
      </c>
      <c r="V70" s="410">
        <f t="shared" si="61"/>
        <v>0</v>
      </c>
      <c r="W70" s="410">
        <f t="shared" si="61"/>
        <v>0</v>
      </c>
      <c r="X70" s="410">
        <f t="shared" si="61"/>
        <v>0</v>
      </c>
      <c r="Y70" s="410">
        <f t="shared" si="61"/>
        <v>0</v>
      </c>
      <c r="Z70" s="410">
        <f t="shared" si="61"/>
        <v>0</v>
      </c>
      <c r="AA70" s="410">
        <f t="shared" si="61"/>
        <v>0</v>
      </c>
      <c r="AB70" s="410">
        <f t="shared" si="61"/>
        <v>48120</v>
      </c>
      <c r="AC70" s="410">
        <f t="shared" si="61"/>
        <v>0</v>
      </c>
      <c r="AD70" s="372"/>
      <c r="AE70" s="409"/>
      <c r="AF70" s="408">
        <f t="shared" si="62"/>
        <v>0</v>
      </c>
      <c r="AG70" s="408">
        <f t="shared" si="62"/>
        <v>0</v>
      </c>
      <c r="AH70" s="408">
        <f t="shared" si="62"/>
        <v>0</v>
      </c>
      <c r="AI70" s="408">
        <f t="shared" si="62"/>
        <v>0</v>
      </c>
      <c r="AJ70" s="408">
        <f t="shared" si="62"/>
        <v>0</v>
      </c>
      <c r="AK70" s="408">
        <f t="shared" si="62"/>
        <v>0</v>
      </c>
      <c r="AL70" s="408">
        <f t="shared" si="62"/>
        <v>0</v>
      </c>
      <c r="AM70" s="408">
        <f t="shared" si="62"/>
        <v>0</v>
      </c>
      <c r="AN70" s="408">
        <f t="shared" si="62"/>
        <v>0</v>
      </c>
      <c r="AO70" s="408">
        <f t="shared" si="62"/>
        <v>0</v>
      </c>
      <c r="AP70" s="408">
        <f t="shared" si="63"/>
        <v>0</v>
      </c>
      <c r="AQ70" s="408">
        <f t="shared" si="63"/>
        <v>0</v>
      </c>
      <c r="AR70" s="408">
        <f t="shared" si="63"/>
        <v>0</v>
      </c>
      <c r="AS70" s="408">
        <f t="shared" si="63"/>
        <v>0</v>
      </c>
      <c r="AT70" s="408">
        <f t="shared" si="63"/>
        <v>0</v>
      </c>
      <c r="AU70" s="408">
        <f t="shared" si="63"/>
        <v>0</v>
      </c>
      <c r="AV70" s="408">
        <f t="shared" si="63"/>
        <v>0</v>
      </c>
      <c r="AW70" s="408">
        <f t="shared" si="63"/>
        <v>0</v>
      </c>
      <c r="AX70" s="408">
        <f t="shared" si="63"/>
        <v>0</v>
      </c>
      <c r="AY70" s="408">
        <f t="shared" si="63"/>
        <v>0</v>
      </c>
      <c r="AZ70" s="408">
        <f t="shared" si="64"/>
        <v>0</v>
      </c>
      <c r="BA70" s="408">
        <f t="shared" si="64"/>
        <v>0</v>
      </c>
      <c r="BB70" s="408">
        <f t="shared" si="64"/>
        <v>0</v>
      </c>
      <c r="BC70" s="408">
        <f t="shared" si="64"/>
        <v>0</v>
      </c>
      <c r="BD70" s="408">
        <f t="shared" si="64"/>
        <v>0</v>
      </c>
      <c r="BE70" s="408">
        <f t="shared" si="64"/>
        <v>0</v>
      </c>
      <c r="BF70" s="408">
        <f t="shared" si="64"/>
        <v>0</v>
      </c>
      <c r="BG70" s="408">
        <f t="shared" si="64"/>
        <v>0</v>
      </c>
      <c r="BH70" s="408">
        <f t="shared" si="64"/>
        <v>0</v>
      </c>
      <c r="BI70" s="408">
        <f t="shared" si="64"/>
        <v>0</v>
      </c>
      <c r="BJ70" s="408">
        <f t="shared" si="65"/>
        <v>0</v>
      </c>
      <c r="BK70" s="408">
        <f t="shared" si="65"/>
        <v>0</v>
      </c>
      <c r="BL70" s="408">
        <f t="shared" si="65"/>
        <v>0</v>
      </c>
      <c r="BM70" s="408">
        <f t="shared" si="65"/>
        <v>0</v>
      </c>
      <c r="BN70" s="408">
        <f t="shared" si="65"/>
        <v>0</v>
      </c>
      <c r="BO70" s="408">
        <f t="shared" si="65"/>
        <v>0</v>
      </c>
      <c r="BP70" s="408">
        <f t="shared" si="65"/>
        <v>0</v>
      </c>
      <c r="BQ70" s="408">
        <f t="shared" si="65"/>
        <v>0</v>
      </c>
      <c r="BR70" s="408">
        <f t="shared" si="65"/>
        <v>0</v>
      </c>
      <c r="BS70" s="408">
        <f t="shared" si="65"/>
        <v>0</v>
      </c>
      <c r="BT70" s="408">
        <f t="shared" si="66"/>
        <v>0</v>
      </c>
      <c r="BU70" s="408">
        <f t="shared" si="66"/>
        <v>0</v>
      </c>
      <c r="BV70" s="408">
        <f t="shared" si="66"/>
        <v>16040</v>
      </c>
      <c r="BW70" s="408">
        <f t="shared" si="66"/>
        <v>16040</v>
      </c>
      <c r="BX70" s="408">
        <f t="shared" si="66"/>
        <v>16040</v>
      </c>
      <c r="BY70" s="408">
        <f t="shared" si="66"/>
        <v>0</v>
      </c>
      <c r="BZ70" s="408">
        <f t="shared" si="66"/>
        <v>0</v>
      </c>
      <c r="CA70" s="408">
        <f t="shared" si="66"/>
        <v>0</v>
      </c>
    </row>
    <row r="71" spans="3:79" ht="21" hidden="1" customHeight="1" outlineLevel="2">
      <c r="C71" s="370"/>
      <c r="D71" s="374">
        <f t="shared" si="40"/>
        <v>46265</v>
      </c>
      <c r="E71" s="408" cm="1">
        <f t="array" ref="E71">INDEX($AF$14:$CA$14,0,MATCH($D71,$AF$8:$CA$8,0))</f>
        <v>43940</v>
      </c>
      <c r="F71" s="372"/>
      <c r="G71" s="409"/>
      <c r="H71" s="410">
        <f t="shared" si="60"/>
        <v>0</v>
      </c>
      <c r="I71" s="410">
        <f t="shared" si="60"/>
        <v>0</v>
      </c>
      <c r="J71" s="410">
        <f t="shared" si="60"/>
        <v>0</v>
      </c>
      <c r="K71" s="410">
        <f t="shared" si="60"/>
        <v>43940</v>
      </c>
      <c r="M71" s="359"/>
      <c r="N71" s="410">
        <f t="shared" si="61"/>
        <v>0</v>
      </c>
      <c r="O71" s="410">
        <f t="shared" si="61"/>
        <v>0</v>
      </c>
      <c r="P71" s="410">
        <f t="shared" si="61"/>
        <v>0</v>
      </c>
      <c r="Q71" s="410">
        <f t="shared" si="61"/>
        <v>0</v>
      </c>
      <c r="R71" s="410">
        <f t="shared" si="61"/>
        <v>0</v>
      </c>
      <c r="S71" s="410">
        <f t="shared" si="61"/>
        <v>0</v>
      </c>
      <c r="T71" s="410">
        <f t="shared" si="61"/>
        <v>0</v>
      </c>
      <c r="U71" s="410">
        <f t="shared" si="61"/>
        <v>0</v>
      </c>
      <c r="V71" s="410">
        <f t="shared" si="61"/>
        <v>0</v>
      </c>
      <c r="W71" s="410">
        <f t="shared" si="61"/>
        <v>0</v>
      </c>
      <c r="X71" s="410">
        <f t="shared" si="61"/>
        <v>0</v>
      </c>
      <c r="Y71" s="410">
        <f t="shared" si="61"/>
        <v>0</v>
      </c>
      <c r="Z71" s="410">
        <f t="shared" si="61"/>
        <v>0</v>
      </c>
      <c r="AA71" s="410">
        <f t="shared" si="61"/>
        <v>0</v>
      </c>
      <c r="AB71" s="410">
        <f t="shared" si="61"/>
        <v>29293.333333333332</v>
      </c>
      <c r="AC71" s="410">
        <f t="shared" si="61"/>
        <v>14646.666666666666</v>
      </c>
      <c r="AD71" s="372"/>
      <c r="AE71" s="409"/>
      <c r="AF71" s="408">
        <f t="shared" si="62"/>
        <v>0</v>
      </c>
      <c r="AG71" s="408">
        <f t="shared" si="62"/>
        <v>0</v>
      </c>
      <c r="AH71" s="408">
        <f t="shared" si="62"/>
        <v>0</v>
      </c>
      <c r="AI71" s="408">
        <f t="shared" si="62"/>
        <v>0</v>
      </c>
      <c r="AJ71" s="408">
        <f t="shared" si="62"/>
        <v>0</v>
      </c>
      <c r="AK71" s="408">
        <f t="shared" si="62"/>
        <v>0</v>
      </c>
      <c r="AL71" s="408">
        <f t="shared" si="62"/>
        <v>0</v>
      </c>
      <c r="AM71" s="408">
        <f t="shared" si="62"/>
        <v>0</v>
      </c>
      <c r="AN71" s="408">
        <f t="shared" si="62"/>
        <v>0</v>
      </c>
      <c r="AO71" s="408">
        <f t="shared" si="62"/>
        <v>0</v>
      </c>
      <c r="AP71" s="408">
        <f t="shared" si="63"/>
        <v>0</v>
      </c>
      <c r="AQ71" s="408">
        <f t="shared" si="63"/>
        <v>0</v>
      </c>
      <c r="AR71" s="408">
        <f t="shared" si="63"/>
        <v>0</v>
      </c>
      <c r="AS71" s="408">
        <f t="shared" si="63"/>
        <v>0</v>
      </c>
      <c r="AT71" s="408">
        <f t="shared" si="63"/>
        <v>0</v>
      </c>
      <c r="AU71" s="408">
        <f t="shared" si="63"/>
        <v>0</v>
      </c>
      <c r="AV71" s="408">
        <f t="shared" si="63"/>
        <v>0</v>
      </c>
      <c r="AW71" s="408">
        <f t="shared" si="63"/>
        <v>0</v>
      </c>
      <c r="AX71" s="408">
        <f t="shared" si="63"/>
        <v>0</v>
      </c>
      <c r="AY71" s="408">
        <f t="shared" si="63"/>
        <v>0</v>
      </c>
      <c r="AZ71" s="408">
        <f t="shared" si="64"/>
        <v>0</v>
      </c>
      <c r="BA71" s="408">
        <f t="shared" si="64"/>
        <v>0</v>
      </c>
      <c r="BB71" s="408">
        <f t="shared" si="64"/>
        <v>0</v>
      </c>
      <c r="BC71" s="408">
        <f t="shared" si="64"/>
        <v>0</v>
      </c>
      <c r="BD71" s="408">
        <f t="shared" si="64"/>
        <v>0</v>
      </c>
      <c r="BE71" s="408">
        <f t="shared" si="64"/>
        <v>0</v>
      </c>
      <c r="BF71" s="408">
        <f t="shared" si="64"/>
        <v>0</v>
      </c>
      <c r="BG71" s="408">
        <f t="shared" si="64"/>
        <v>0</v>
      </c>
      <c r="BH71" s="408">
        <f t="shared" si="64"/>
        <v>0</v>
      </c>
      <c r="BI71" s="408">
        <f t="shared" si="64"/>
        <v>0</v>
      </c>
      <c r="BJ71" s="408">
        <f t="shared" si="65"/>
        <v>0</v>
      </c>
      <c r="BK71" s="408">
        <f t="shared" si="65"/>
        <v>0</v>
      </c>
      <c r="BL71" s="408">
        <f t="shared" si="65"/>
        <v>0</v>
      </c>
      <c r="BM71" s="408">
        <f t="shared" si="65"/>
        <v>0</v>
      </c>
      <c r="BN71" s="408">
        <f t="shared" si="65"/>
        <v>0</v>
      </c>
      <c r="BO71" s="408">
        <f t="shared" si="65"/>
        <v>0</v>
      </c>
      <c r="BP71" s="408">
        <f t="shared" si="65"/>
        <v>0</v>
      </c>
      <c r="BQ71" s="408">
        <f t="shared" si="65"/>
        <v>0</v>
      </c>
      <c r="BR71" s="408">
        <f t="shared" si="65"/>
        <v>0</v>
      </c>
      <c r="BS71" s="408">
        <f t="shared" si="65"/>
        <v>0</v>
      </c>
      <c r="BT71" s="408">
        <f t="shared" si="66"/>
        <v>0</v>
      </c>
      <c r="BU71" s="408">
        <f t="shared" si="66"/>
        <v>0</v>
      </c>
      <c r="BV71" s="408">
        <f t="shared" si="66"/>
        <v>0</v>
      </c>
      <c r="BW71" s="408">
        <f t="shared" si="66"/>
        <v>14646.666666666666</v>
      </c>
      <c r="BX71" s="408">
        <f t="shared" si="66"/>
        <v>14646.666666666666</v>
      </c>
      <c r="BY71" s="408">
        <f t="shared" si="66"/>
        <v>14646.666666666666</v>
      </c>
      <c r="BZ71" s="408">
        <f t="shared" si="66"/>
        <v>0</v>
      </c>
      <c r="CA71" s="408">
        <f t="shared" si="66"/>
        <v>0</v>
      </c>
    </row>
    <row r="72" spans="3:79" ht="21" hidden="1" customHeight="1" outlineLevel="2">
      <c r="C72" s="370"/>
      <c r="D72" s="374">
        <f t="shared" si="40"/>
        <v>46295</v>
      </c>
      <c r="E72" s="408" cm="1">
        <f t="array" ref="E72">INDEX($AF$14:$CA$14,0,MATCH($D72,$AF$8:$CA$8,0))</f>
        <v>15480</v>
      </c>
      <c r="F72" s="372"/>
      <c r="G72" s="409"/>
      <c r="H72" s="410">
        <f t="shared" si="60"/>
        <v>0</v>
      </c>
      <c r="I72" s="410">
        <f t="shared" si="60"/>
        <v>0</v>
      </c>
      <c r="J72" s="410">
        <f t="shared" si="60"/>
        <v>0</v>
      </c>
      <c r="K72" s="410">
        <f t="shared" si="60"/>
        <v>15480</v>
      </c>
      <c r="M72" s="359"/>
      <c r="N72" s="410">
        <f t="shared" si="61"/>
        <v>0</v>
      </c>
      <c r="O72" s="410">
        <f t="shared" si="61"/>
        <v>0</v>
      </c>
      <c r="P72" s="410">
        <f t="shared" si="61"/>
        <v>0</v>
      </c>
      <c r="Q72" s="410">
        <f t="shared" si="61"/>
        <v>0</v>
      </c>
      <c r="R72" s="410">
        <f t="shared" si="61"/>
        <v>0</v>
      </c>
      <c r="S72" s="410">
        <f t="shared" si="61"/>
        <v>0</v>
      </c>
      <c r="T72" s="410">
        <f t="shared" si="61"/>
        <v>0</v>
      </c>
      <c r="U72" s="410">
        <f t="shared" si="61"/>
        <v>0</v>
      </c>
      <c r="V72" s="410">
        <f t="shared" si="61"/>
        <v>0</v>
      </c>
      <c r="W72" s="410">
        <f t="shared" si="61"/>
        <v>0</v>
      </c>
      <c r="X72" s="410">
        <f t="shared" si="61"/>
        <v>0</v>
      </c>
      <c r="Y72" s="410">
        <f t="shared" si="61"/>
        <v>0</v>
      </c>
      <c r="Z72" s="410">
        <f t="shared" si="61"/>
        <v>0</v>
      </c>
      <c r="AA72" s="410">
        <f t="shared" si="61"/>
        <v>0</v>
      </c>
      <c r="AB72" s="410">
        <f t="shared" si="61"/>
        <v>5160</v>
      </c>
      <c r="AC72" s="410">
        <f t="shared" si="61"/>
        <v>10320</v>
      </c>
      <c r="AD72" s="372"/>
      <c r="AE72" s="409"/>
      <c r="AF72" s="408">
        <f t="shared" si="62"/>
        <v>0</v>
      </c>
      <c r="AG72" s="408">
        <f t="shared" si="62"/>
        <v>0</v>
      </c>
      <c r="AH72" s="408">
        <f t="shared" si="62"/>
        <v>0</v>
      </c>
      <c r="AI72" s="408">
        <f t="shared" si="62"/>
        <v>0</v>
      </c>
      <c r="AJ72" s="408">
        <f t="shared" si="62"/>
        <v>0</v>
      </c>
      <c r="AK72" s="408">
        <f t="shared" si="62"/>
        <v>0</v>
      </c>
      <c r="AL72" s="408">
        <f t="shared" si="62"/>
        <v>0</v>
      </c>
      <c r="AM72" s="408">
        <f t="shared" si="62"/>
        <v>0</v>
      </c>
      <c r="AN72" s="408">
        <f t="shared" si="62"/>
        <v>0</v>
      </c>
      <c r="AO72" s="408">
        <f t="shared" si="62"/>
        <v>0</v>
      </c>
      <c r="AP72" s="408">
        <f t="shared" si="63"/>
        <v>0</v>
      </c>
      <c r="AQ72" s="408">
        <f t="shared" si="63"/>
        <v>0</v>
      </c>
      <c r="AR72" s="408">
        <f t="shared" si="63"/>
        <v>0</v>
      </c>
      <c r="AS72" s="408">
        <f t="shared" si="63"/>
        <v>0</v>
      </c>
      <c r="AT72" s="408">
        <f t="shared" si="63"/>
        <v>0</v>
      </c>
      <c r="AU72" s="408">
        <f t="shared" si="63"/>
        <v>0</v>
      </c>
      <c r="AV72" s="408">
        <f t="shared" si="63"/>
        <v>0</v>
      </c>
      <c r="AW72" s="408">
        <f t="shared" si="63"/>
        <v>0</v>
      </c>
      <c r="AX72" s="408">
        <f t="shared" si="63"/>
        <v>0</v>
      </c>
      <c r="AY72" s="408">
        <f t="shared" si="63"/>
        <v>0</v>
      </c>
      <c r="AZ72" s="408">
        <f t="shared" si="64"/>
        <v>0</v>
      </c>
      <c r="BA72" s="408">
        <f t="shared" si="64"/>
        <v>0</v>
      </c>
      <c r="BB72" s="408">
        <f t="shared" si="64"/>
        <v>0</v>
      </c>
      <c r="BC72" s="408">
        <f t="shared" si="64"/>
        <v>0</v>
      </c>
      <c r="BD72" s="408">
        <f t="shared" si="64"/>
        <v>0</v>
      </c>
      <c r="BE72" s="408">
        <f t="shared" si="64"/>
        <v>0</v>
      </c>
      <c r="BF72" s="408">
        <f t="shared" si="64"/>
        <v>0</v>
      </c>
      <c r="BG72" s="408">
        <f t="shared" si="64"/>
        <v>0</v>
      </c>
      <c r="BH72" s="408">
        <f t="shared" si="64"/>
        <v>0</v>
      </c>
      <c r="BI72" s="408">
        <f t="shared" si="64"/>
        <v>0</v>
      </c>
      <c r="BJ72" s="408">
        <f t="shared" si="65"/>
        <v>0</v>
      </c>
      <c r="BK72" s="408">
        <f t="shared" si="65"/>
        <v>0</v>
      </c>
      <c r="BL72" s="408">
        <f t="shared" si="65"/>
        <v>0</v>
      </c>
      <c r="BM72" s="408">
        <f t="shared" si="65"/>
        <v>0</v>
      </c>
      <c r="BN72" s="408">
        <f t="shared" si="65"/>
        <v>0</v>
      </c>
      <c r="BO72" s="408">
        <f t="shared" si="65"/>
        <v>0</v>
      </c>
      <c r="BP72" s="408">
        <f t="shared" si="65"/>
        <v>0</v>
      </c>
      <c r="BQ72" s="408">
        <f t="shared" si="65"/>
        <v>0</v>
      </c>
      <c r="BR72" s="408">
        <f t="shared" si="65"/>
        <v>0</v>
      </c>
      <c r="BS72" s="408">
        <f t="shared" si="65"/>
        <v>0</v>
      </c>
      <c r="BT72" s="408">
        <f t="shared" si="66"/>
        <v>0</v>
      </c>
      <c r="BU72" s="408">
        <f t="shared" si="66"/>
        <v>0</v>
      </c>
      <c r="BV72" s="408">
        <f t="shared" si="66"/>
        <v>0</v>
      </c>
      <c r="BW72" s="408">
        <f t="shared" si="66"/>
        <v>0</v>
      </c>
      <c r="BX72" s="408">
        <f t="shared" si="66"/>
        <v>5160</v>
      </c>
      <c r="BY72" s="408">
        <f t="shared" si="66"/>
        <v>5160</v>
      </c>
      <c r="BZ72" s="408">
        <f t="shared" si="66"/>
        <v>5160</v>
      </c>
      <c r="CA72" s="408">
        <f t="shared" si="66"/>
        <v>0</v>
      </c>
    </row>
    <row r="73" spans="3:79" ht="21" hidden="1" customHeight="1" outlineLevel="2">
      <c r="C73" s="370"/>
      <c r="D73" s="374">
        <f t="shared" si="40"/>
        <v>46326</v>
      </c>
      <c r="E73" s="408" cm="1">
        <f t="array" ref="E73">INDEX($AF$14:$CA$14,0,MATCH($D73,$AF$8:$CA$8,0))</f>
        <v>48120</v>
      </c>
      <c r="F73" s="372"/>
      <c r="G73" s="409"/>
      <c r="H73" s="410">
        <f t="shared" si="60"/>
        <v>0</v>
      </c>
      <c r="I73" s="410">
        <f t="shared" si="60"/>
        <v>0</v>
      </c>
      <c r="J73" s="410">
        <f t="shared" si="60"/>
        <v>0</v>
      </c>
      <c r="K73" s="410">
        <f t="shared" si="60"/>
        <v>48120</v>
      </c>
      <c r="M73" s="359"/>
      <c r="N73" s="410">
        <f t="shared" si="61"/>
        <v>0</v>
      </c>
      <c r="O73" s="410">
        <f t="shared" si="61"/>
        <v>0</v>
      </c>
      <c r="P73" s="410">
        <f t="shared" si="61"/>
        <v>0</v>
      </c>
      <c r="Q73" s="410">
        <f t="shared" si="61"/>
        <v>0</v>
      </c>
      <c r="R73" s="410">
        <f t="shared" si="61"/>
        <v>0</v>
      </c>
      <c r="S73" s="410">
        <f t="shared" si="61"/>
        <v>0</v>
      </c>
      <c r="T73" s="410">
        <f t="shared" si="61"/>
        <v>0</v>
      </c>
      <c r="U73" s="410">
        <f t="shared" si="61"/>
        <v>0</v>
      </c>
      <c r="V73" s="410">
        <f t="shared" si="61"/>
        <v>0</v>
      </c>
      <c r="W73" s="410">
        <f t="shared" si="61"/>
        <v>0</v>
      </c>
      <c r="X73" s="410">
        <f t="shared" si="61"/>
        <v>0</v>
      </c>
      <c r="Y73" s="410">
        <f t="shared" si="61"/>
        <v>0</v>
      </c>
      <c r="Z73" s="410">
        <f t="shared" si="61"/>
        <v>0</v>
      </c>
      <c r="AA73" s="410">
        <f t="shared" si="61"/>
        <v>0</v>
      </c>
      <c r="AB73" s="410">
        <f t="shared" si="61"/>
        <v>0</v>
      </c>
      <c r="AC73" s="410">
        <f t="shared" si="61"/>
        <v>48120</v>
      </c>
      <c r="AD73" s="372"/>
      <c r="AE73" s="409"/>
      <c r="AF73" s="408">
        <f t="shared" si="62"/>
        <v>0</v>
      </c>
      <c r="AG73" s="408">
        <f t="shared" si="62"/>
        <v>0</v>
      </c>
      <c r="AH73" s="408">
        <f t="shared" si="62"/>
        <v>0</v>
      </c>
      <c r="AI73" s="408">
        <f t="shared" si="62"/>
        <v>0</v>
      </c>
      <c r="AJ73" s="408">
        <f t="shared" si="62"/>
        <v>0</v>
      </c>
      <c r="AK73" s="408">
        <f t="shared" si="62"/>
        <v>0</v>
      </c>
      <c r="AL73" s="408">
        <f t="shared" si="62"/>
        <v>0</v>
      </c>
      <c r="AM73" s="408">
        <f t="shared" si="62"/>
        <v>0</v>
      </c>
      <c r="AN73" s="408">
        <f t="shared" si="62"/>
        <v>0</v>
      </c>
      <c r="AO73" s="408">
        <f t="shared" si="62"/>
        <v>0</v>
      </c>
      <c r="AP73" s="408">
        <f t="shared" si="63"/>
        <v>0</v>
      </c>
      <c r="AQ73" s="408">
        <f t="shared" si="63"/>
        <v>0</v>
      </c>
      <c r="AR73" s="408">
        <f t="shared" si="63"/>
        <v>0</v>
      </c>
      <c r="AS73" s="408">
        <f t="shared" si="63"/>
        <v>0</v>
      </c>
      <c r="AT73" s="408">
        <f t="shared" si="63"/>
        <v>0</v>
      </c>
      <c r="AU73" s="408">
        <f t="shared" si="63"/>
        <v>0</v>
      </c>
      <c r="AV73" s="408">
        <f t="shared" si="63"/>
        <v>0</v>
      </c>
      <c r="AW73" s="408">
        <f t="shared" si="63"/>
        <v>0</v>
      </c>
      <c r="AX73" s="408">
        <f t="shared" si="63"/>
        <v>0</v>
      </c>
      <c r="AY73" s="408">
        <f t="shared" si="63"/>
        <v>0</v>
      </c>
      <c r="AZ73" s="408">
        <f t="shared" si="64"/>
        <v>0</v>
      </c>
      <c r="BA73" s="408">
        <f t="shared" si="64"/>
        <v>0</v>
      </c>
      <c r="BB73" s="408">
        <f t="shared" si="64"/>
        <v>0</v>
      </c>
      <c r="BC73" s="408">
        <f t="shared" si="64"/>
        <v>0</v>
      </c>
      <c r="BD73" s="408">
        <f t="shared" si="64"/>
        <v>0</v>
      </c>
      <c r="BE73" s="408">
        <f t="shared" si="64"/>
        <v>0</v>
      </c>
      <c r="BF73" s="408">
        <f t="shared" si="64"/>
        <v>0</v>
      </c>
      <c r="BG73" s="408">
        <f t="shared" si="64"/>
        <v>0</v>
      </c>
      <c r="BH73" s="408">
        <f t="shared" si="64"/>
        <v>0</v>
      </c>
      <c r="BI73" s="408">
        <f t="shared" si="64"/>
        <v>0</v>
      </c>
      <c r="BJ73" s="408">
        <f t="shared" si="65"/>
        <v>0</v>
      </c>
      <c r="BK73" s="408">
        <f t="shared" si="65"/>
        <v>0</v>
      </c>
      <c r="BL73" s="408">
        <f t="shared" si="65"/>
        <v>0</v>
      </c>
      <c r="BM73" s="408">
        <f t="shared" si="65"/>
        <v>0</v>
      </c>
      <c r="BN73" s="408">
        <f t="shared" si="65"/>
        <v>0</v>
      </c>
      <c r="BO73" s="408">
        <f t="shared" si="65"/>
        <v>0</v>
      </c>
      <c r="BP73" s="408">
        <f t="shared" si="65"/>
        <v>0</v>
      </c>
      <c r="BQ73" s="408">
        <f t="shared" si="65"/>
        <v>0</v>
      </c>
      <c r="BR73" s="408">
        <f t="shared" si="65"/>
        <v>0</v>
      </c>
      <c r="BS73" s="408">
        <f t="shared" si="65"/>
        <v>0</v>
      </c>
      <c r="BT73" s="408">
        <f t="shared" si="66"/>
        <v>0</v>
      </c>
      <c r="BU73" s="408">
        <f t="shared" si="66"/>
        <v>0</v>
      </c>
      <c r="BV73" s="408">
        <f t="shared" si="66"/>
        <v>0</v>
      </c>
      <c r="BW73" s="408">
        <f t="shared" si="66"/>
        <v>0</v>
      </c>
      <c r="BX73" s="408">
        <f t="shared" si="66"/>
        <v>0</v>
      </c>
      <c r="BY73" s="408">
        <f t="shared" si="66"/>
        <v>16040</v>
      </c>
      <c r="BZ73" s="408">
        <f t="shared" si="66"/>
        <v>16040</v>
      </c>
      <c r="CA73" s="408">
        <f t="shared" si="66"/>
        <v>16040</v>
      </c>
    </row>
    <row r="74" spans="3:79" ht="21" hidden="1" customHeight="1" outlineLevel="2">
      <c r="C74" s="370"/>
      <c r="D74" s="374">
        <f t="shared" si="40"/>
        <v>46356</v>
      </c>
      <c r="E74" s="408" cm="1">
        <f t="array" ref="E74">INDEX($AF$14:$CA$14,0,MATCH($D74,$AF$8:$CA$8,0))</f>
        <v>43940</v>
      </c>
      <c r="F74" s="372"/>
      <c r="G74" s="409"/>
      <c r="H74" s="410">
        <f t="shared" si="60"/>
        <v>0</v>
      </c>
      <c r="I74" s="410">
        <f t="shared" si="60"/>
        <v>0</v>
      </c>
      <c r="J74" s="410">
        <f t="shared" si="60"/>
        <v>0</v>
      </c>
      <c r="K74" s="410">
        <f t="shared" si="60"/>
        <v>29293.333333333332</v>
      </c>
      <c r="M74" s="359"/>
      <c r="N74" s="410">
        <f t="shared" si="61"/>
        <v>0</v>
      </c>
      <c r="O74" s="410">
        <f t="shared" si="61"/>
        <v>0</v>
      </c>
      <c r="P74" s="410">
        <f t="shared" si="61"/>
        <v>0</v>
      </c>
      <c r="Q74" s="410">
        <f t="shared" si="61"/>
        <v>0</v>
      </c>
      <c r="R74" s="410">
        <f t="shared" si="61"/>
        <v>0</v>
      </c>
      <c r="S74" s="410">
        <f t="shared" si="61"/>
        <v>0</v>
      </c>
      <c r="T74" s="410">
        <f t="shared" si="61"/>
        <v>0</v>
      </c>
      <c r="U74" s="410">
        <f t="shared" si="61"/>
        <v>0</v>
      </c>
      <c r="V74" s="410">
        <f t="shared" si="61"/>
        <v>0</v>
      </c>
      <c r="W74" s="410">
        <f t="shared" si="61"/>
        <v>0</v>
      </c>
      <c r="X74" s="410">
        <f t="shared" si="61"/>
        <v>0</v>
      </c>
      <c r="Y74" s="410">
        <f t="shared" si="61"/>
        <v>0</v>
      </c>
      <c r="Z74" s="410">
        <f t="shared" si="61"/>
        <v>0</v>
      </c>
      <c r="AA74" s="410">
        <f t="shared" si="61"/>
        <v>0</v>
      </c>
      <c r="AB74" s="410">
        <f t="shared" si="61"/>
        <v>0</v>
      </c>
      <c r="AC74" s="410">
        <f t="shared" si="61"/>
        <v>29293.333333333332</v>
      </c>
      <c r="AD74" s="372"/>
      <c r="AE74" s="409"/>
      <c r="AF74" s="408">
        <f t="shared" si="62"/>
        <v>0</v>
      </c>
      <c r="AG74" s="408">
        <f t="shared" si="62"/>
        <v>0</v>
      </c>
      <c r="AH74" s="408">
        <f t="shared" si="62"/>
        <v>0</v>
      </c>
      <c r="AI74" s="408">
        <f t="shared" si="62"/>
        <v>0</v>
      </c>
      <c r="AJ74" s="408">
        <f t="shared" si="62"/>
        <v>0</v>
      </c>
      <c r="AK74" s="408">
        <f t="shared" si="62"/>
        <v>0</v>
      </c>
      <c r="AL74" s="408">
        <f t="shared" si="62"/>
        <v>0</v>
      </c>
      <c r="AM74" s="408">
        <f t="shared" si="62"/>
        <v>0</v>
      </c>
      <c r="AN74" s="408">
        <f t="shared" si="62"/>
        <v>0</v>
      </c>
      <c r="AO74" s="408">
        <f t="shared" si="62"/>
        <v>0</v>
      </c>
      <c r="AP74" s="408">
        <f t="shared" si="63"/>
        <v>0</v>
      </c>
      <c r="AQ74" s="408">
        <f t="shared" si="63"/>
        <v>0</v>
      </c>
      <c r="AR74" s="408">
        <f t="shared" si="63"/>
        <v>0</v>
      </c>
      <c r="AS74" s="408">
        <f t="shared" si="63"/>
        <v>0</v>
      </c>
      <c r="AT74" s="408">
        <f t="shared" si="63"/>
        <v>0</v>
      </c>
      <c r="AU74" s="408">
        <f t="shared" si="63"/>
        <v>0</v>
      </c>
      <c r="AV74" s="408">
        <f t="shared" si="63"/>
        <v>0</v>
      </c>
      <c r="AW74" s="408">
        <f t="shared" si="63"/>
        <v>0</v>
      </c>
      <c r="AX74" s="408">
        <f t="shared" si="63"/>
        <v>0</v>
      </c>
      <c r="AY74" s="408">
        <f t="shared" si="63"/>
        <v>0</v>
      </c>
      <c r="AZ74" s="408">
        <f t="shared" si="64"/>
        <v>0</v>
      </c>
      <c r="BA74" s="408">
        <f t="shared" si="64"/>
        <v>0</v>
      </c>
      <c r="BB74" s="408">
        <f t="shared" si="64"/>
        <v>0</v>
      </c>
      <c r="BC74" s="408">
        <f t="shared" si="64"/>
        <v>0</v>
      </c>
      <c r="BD74" s="408">
        <f t="shared" si="64"/>
        <v>0</v>
      </c>
      <c r="BE74" s="408">
        <f t="shared" si="64"/>
        <v>0</v>
      </c>
      <c r="BF74" s="408">
        <f t="shared" si="64"/>
        <v>0</v>
      </c>
      <c r="BG74" s="408">
        <f t="shared" si="64"/>
        <v>0</v>
      </c>
      <c r="BH74" s="408">
        <f t="shared" si="64"/>
        <v>0</v>
      </c>
      <c r="BI74" s="408">
        <f t="shared" si="64"/>
        <v>0</v>
      </c>
      <c r="BJ74" s="408">
        <f t="shared" si="65"/>
        <v>0</v>
      </c>
      <c r="BK74" s="408">
        <f t="shared" si="65"/>
        <v>0</v>
      </c>
      <c r="BL74" s="408">
        <f t="shared" si="65"/>
        <v>0</v>
      </c>
      <c r="BM74" s="408">
        <f t="shared" si="65"/>
        <v>0</v>
      </c>
      <c r="BN74" s="408">
        <f t="shared" si="65"/>
        <v>0</v>
      </c>
      <c r="BO74" s="408">
        <f t="shared" si="65"/>
        <v>0</v>
      </c>
      <c r="BP74" s="408">
        <f t="shared" si="65"/>
        <v>0</v>
      </c>
      <c r="BQ74" s="408">
        <f t="shared" si="65"/>
        <v>0</v>
      </c>
      <c r="BR74" s="408">
        <f t="shared" si="65"/>
        <v>0</v>
      </c>
      <c r="BS74" s="408">
        <f t="shared" si="65"/>
        <v>0</v>
      </c>
      <c r="BT74" s="408">
        <f t="shared" si="66"/>
        <v>0</v>
      </c>
      <c r="BU74" s="408">
        <f t="shared" si="66"/>
        <v>0</v>
      </c>
      <c r="BV74" s="408">
        <f t="shared" si="66"/>
        <v>0</v>
      </c>
      <c r="BW74" s="408">
        <f t="shared" si="66"/>
        <v>0</v>
      </c>
      <c r="BX74" s="408">
        <f t="shared" si="66"/>
        <v>0</v>
      </c>
      <c r="BY74" s="408">
        <f t="shared" si="66"/>
        <v>0</v>
      </c>
      <c r="BZ74" s="408">
        <f t="shared" si="66"/>
        <v>14646.666666666666</v>
      </c>
      <c r="CA74" s="408">
        <f t="shared" si="66"/>
        <v>14646.666666666666</v>
      </c>
    </row>
    <row r="75" spans="3:79" ht="21" hidden="1" customHeight="1" outlineLevel="2">
      <c r="C75" s="370"/>
      <c r="D75" s="374">
        <f t="shared" si="40"/>
        <v>46387</v>
      </c>
      <c r="E75" s="408" cm="1">
        <f t="array" ref="E75">INDEX($AF$14:$CA$14,0,MATCH($D75,$AF$8:$CA$8,0))</f>
        <v>15480</v>
      </c>
      <c r="F75" s="372"/>
      <c r="G75" s="409"/>
      <c r="H75" s="410">
        <f t="shared" si="60"/>
        <v>0</v>
      </c>
      <c r="I75" s="410">
        <f t="shared" si="60"/>
        <v>0</v>
      </c>
      <c r="J75" s="410">
        <f t="shared" si="60"/>
        <v>0</v>
      </c>
      <c r="K75" s="410">
        <f t="shared" si="60"/>
        <v>5160</v>
      </c>
      <c r="M75" s="359"/>
      <c r="N75" s="410">
        <f t="shared" si="61"/>
        <v>0</v>
      </c>
      <c r="O75" s="410">
        <f t="shared" si="61"/>
        <v>0</v>
      </c>
      <c r="P75" s="410">
        <f t="shared" si="61"/>
        <v>0</v>
      </c>
      <c r="Q75" s="410">
        <f t="shared" si="61"/>
        <v>0</v>
      </c>
      <c r="R75" s="410">
        <f t="shared" si="61"/>
        <v>0</v>
      </c>
      <c r="S75" s="410">
        <f t="shared" si="61"/>
        <v>0</v>
      </c>
      <c r="T75" s="410">
        <f t="shared" si="61"/>
        <v>0</v>
      </c>
      <c r="U75" s="410">
        <f t="shared" si="61"/>
        <v>0</v>
      </c>
      <c r="V75" s="410">
        <f t="shared" si="61"/>
        <v>0</v>
      </c>
      <c r="W75" s="410">
        <f t="shared" si="61"/>
        <v>0</v>
      </c>
      <c r="X75" s="410">
        <f t="shared" si="61"/>
        <v>0</v>
      </c>
      <c r="Y75" s="410">
        <f t="shared" si="61"/>
        <v>0</v>
      </c>
      <c r="Z75" s="410">
        <f t="shared" si="61"/>
        <v>0</v>
      </c>
      <c r="AA75" s="410">
        <f t="shared" si="61"/>
        <v>0</v>
      </c>
      <c r="AB75" s="410">
        <f t="shared" si="61"/>
        <v>0</v>
      </c>
      <c r="AC75" s="410">
        <f t="shared" si="61"/>
        <v>5160</v>
      </c>
      <c r="AD75" s="372"/>
      <c r="AE75" s="409"/>
      <c r="AF75" s="408">
        <f t="shared" si="62"/>
        <v>0</v>
      </c>
      <c r="AG75" s="408">
        <f t="shared" si="62"/>
        <v>0</v>
      </c>
      <c r="AH75" s="408">
        <f t="shared" si="62"/>
        <v>0</v>
      </c>
      <c r="AI75" s="408">
        <f t="shared" si="62"/>
        <v>0</v>
      </c>
      <c r="AJ75" s="408">
        <f t="shared" si="62"/>
        <v>0</v>
      </c>
      <c r="AK75" s="408">
        <f t="shared" si="62"/>
        <v>0</v>
      </c>
      <c r="AL75" s="408">
        <f t="shared" si="62"/>
        <v>0</v>
      </c>
      <c r="AM75" s="408">
        <f t="shared" si="62"/>
        <v>0</v>
      </c>
      <c r="AN75" s="408">
        <f t="shared" si="62"/>
        <v>0</v>
      </c>
      <c r="AO75" s="408">
        <f t="shared" si="62"/>
        <v>0</v>
      </c>
      <c r="AP75" s="408">
        <f t="shared" si="63"/>
        <v>0</v>
      </c>
      <c r="AQ75" s="408">
        <f t="shared" si="63"/>
        <v>0</v>
      </c>
      <c r="AR75" s="408">
        <f t="shared" si="63"/>
        <v>0</v>
      </c>
      <c r="AS75" s="408">
        <f t="shared" si="63"/>
        <v>0</v>
      </c>
      <c r="AT75" s="408">
        <f t="shared" si="63"/>
        <v>0</v>
      </c>
      <c r="AU75" s="408">
        <f t="shared" si="63"/>
        <v>0</v>
      </c>
      <c r="AV75" s="408">
        <f t="shared" si="63"/>
        <v>0</v>
      </c>
      <c r="AW75" s="408">
        <f t="shared" si="63"/>
        <v>0</v>
      </c>
      <c r="AX75" s="408">
        <f t="shared" si="63"/>
        <v>0</v>
      </c>
      <c r="AY75" s="408">
        <f t="shared" si="63"/>
        <v>0</v>
      </c>
      <c r="AZ75" s="408">
        <f t="shared" si="64"/>
        <v>0</v>
      </c>
      <c r="BA75" s="408">
        <f t="shared" si="64"/>
        <v>0</v>
      </c>
      <c r="BB75" s="408">
        <f t="shared" si="64"/>
        <v>0</v>
      </c>
      <c r="BC75" s="408">
        <f t="shared" si="64"/>
        <v>0</v>
      </c>
      <c r="BD75" s="408">
        <f t="shared" si="64"/>
        <v>0</v>
      </c>
      <c r="BE75" s="408">
        <f t="shared" si="64"/>
        <v>0</v>
      </c>
      <c r="BF75" s="408">
        <f t="shared" si="64"/>
        <v>0</v>
      </c>
      <c r="BG75" s="408">
        <f t="shared" si="64"/>
        <v>0</v>
      </c>
      <c r="BH75" s="408">
        <f t="shared" si="64"/>
        <v>0</v>
      </c>
      <c r="BI75" s="408">
        <f t="shared" si="64"/>
        <v>0</v>
      </c>
      <c r="BJ75" s="408">
        <f t="shared" si="65"/>
        <v>0</v>
      </c>
      <c r="BK75" s="408">
        <f t="shared" si="65"/>
        <v>0</v>
      </c>
      <c r="BL75" s="408">
        <f t="shared" si="65"/>
        <v>0</v>
      </c>
      <c r="BM75" s="408">
        <f t="shared" si="65"/>
        <v>0</v>
      </c>
      <c r="BN75" s="408">
        <f t="shared" si="65"/>
        <v>0</v>
      </c>
      <c r="BO75" s="408">
        <f t="shared" si="65"/>
        <v>0</v>
      </c>
      <c r="BP75" s="408">
        <f t="shared" si="65"/>
        <v>0</v>
      </c>
      <c r="BQ75" s="408">
        <f t="shared" si="65"/>
        <v>0</v>
      </c>
      <c r="BR75" s="408">
        <f t="shared" si="65"/>
        <v>0</v>
      </c>
      <c r="BS75" s="408">
        <f t="shared" si="65"/>
        <v>0</v>
      </c>
      <c r="BT75" s="408">
        <f t="shared" si="66"/>
        <v>0</v>
      </c>
      <c r="BU75" s="408">
        <f t="shared" si="66"/>
        <v>0</v>
      </c>
      <c r="BV75" s="408">
        <f t="shared" si="66"/>
        <v>0</v>
      </c>
      <c r="BW75" s="408">
        <f t="shared" si="66"/>
        <v>0</v>
      </c>
      <c r="BX75" s="408">
        <f t="shared" si="66"/>
        <v>0</v>
      </c>
      <c r="BY75" s="408">
        <f t="shared" si="66"/>
        <v>0</v>
      </c>
      <c r="BZ75" s="408">
        <f t="shared" si="66"/>
        <v>0</v>
      </c>
      <c r="CA75" s="408">
        <f t="shared" si="66"/>
        <v>5160</v>
      </c>
    </row>
    <row r="76" spans="3:79" ht="21" customHeight="1" outlineLevel="1">
      <c r="C76" s="370"/>
      <c r="D76" s="369"/>
      <c r="E76" s="369"/>
      <c r="G76" s="359"/>
      <c r="H76" s="412"/>
      <c r="I76" s="412"/>
      <c r="J76" s="412"/>
      <c r="K76" s="412"/>
      <c r="L76" s="379"/>
      <c r="M76" s="359"/>
      <c r="N76" s="382"/>
      <c r="O76" s="382"/>
      <c r="P76" s="382"/>
      <c r="Q76" s="382"/>
      <c r="R76" s="382"/>
      <c r="S76" s="382"/>
      <c r="T76" s="382"/>
      <c r="U76" s="382"/>
      <c r="V76" s="382"/>
      <c r="W76" s="382"/>
      <c r="X76" s="382"/>
      <c r="Y76" s="382"/>
      <c r="Z76" s="382"/>
      <c r="AA76" s="382"/>
      <c r="AB76" s="382"/>
      <c r="AC76" s="382"/>
      <c r="AD76" s="379"/>
      <c r="AE76" s="359"/>
      <c r="AF76" s="412"/>
      <c r="AG76" s="412"/>
      <c r="AH76" s="412"/>
      <c r="AI76" s="412"/>
      <c r="AJ76" s="412"/>
      <c r="AK76" s="412"/>
      <c r="AL76" s="412"/>
      <c r="AM76" s="412"/>
      <c r="AN76" s="412"/>
      <c r="AO76" s="412"/>
      <c r="AP76" s="412"/>
      <c r="AQ76" s="412"/>
      <c r="AR76" s="412"/>
      <c r="AS76" s="412"/>
      <c r="AT76" s="412"/>
      <c r="AU76" s="412"/>
      <c r="AV76" s="412"/>
      <c r="AW76" s="412"/>
      <c r="AX76" s="412"/>
      <c r="AY76" s="412"/>
      <c r="AZ76" s="412"/>
      <c r="BA76" s="412"/>
      <c r="BB76" s="412"/>
      <c r="BC76" s="412"/>
      <c r="BD76" s="412"/>
      <c r="BE76" s="412"/>
      <c r="BF76" s="412"/>
      <c r="BG76" s="412"/>
      <c r="BH76" s="412"/>
      <c r="BI76" s="412"/>
      <c r="BJ76" s="412"/>
      <c r="BK76" s="412"/>
      <c r="BL76" s="412"/>
      <c r="BM76" s="412"/>
      <c r="BN76" s="412"/>
      <c r="BO76" s="412"/>
      <c r="BP76" s="412"/>
      <c r="BQ76" s="412"/>
      <c r="BR76" s="412"/>
      <c r="BS76" s="412"/>
      <c r="BT76" s="412"/>
      <c r="BU76" s="412"/>
      <c r="BV76" s="412"/>
      <c r="BW76" s="412"/>
      <c r="BX76" s="412"/>
      <c r="BY76" s="412"/>
      <c r="BZ76" s="412"/>
      <c r="CA76" s="412"/>
    </row>
    <row r="77" spans="3:79" outlineLevel="1" collapsed="1">
      <c r="C77" s="365" t="s">
        <v>504</v>
      </c>
      <c r="D77" s="360"/>
      <c r="E77" s="365"/>
      <c r="G77" s="359"/>
      <c r="H77" s="411">
        <f>SUM(H78:H125)</f>
        <v>0</v>
      </c>
      <c r="I77" s="411">
        <f>SUM(I78:I125)</f>
        <v>34900</v>
      </c>
      <c r="J77" s="411">
        <f>SUM(J78:J125)</f>
        <v>113200</v>
      </c>
      <c r="K77" s="411">
        <f>SUM(K78:K125)</f>
        <v>113200</v>
      </c>
      <c r="M77" s="359"/>
      <c r="N77" s="411">
        <f t="shared" ref="N77:AC77" si="67">SUM(N78:N125)</f>
        <v>0</v>
      </c>
      <c r="O77" s="411">
        <f t="shared" si="67"/>
        <v>0</v>
      </c>
      <c r="P77" s="411">
        <f t="shared" si="67"/>
        <v>0</v>
      </c>
      <c r="Q77" s="411">
        <f t="shared" si="67"/>
        <v>0</v>
      </c>
      <c r="R77" s="411">
        <f t="shared" si="67"/>
        <v>0</v>
      </c>
      <c r="S77" s="411">
        <f t="shared" si="67"/>
        <v>0</v>
      </c>
      <c r="T77" s="411">
        <f t="shared" si="67"/>
        <v>9716.6666666666661</v>
      </c>
      <c r="U77" s="411">
        <f t="shared" si="67"/>
        <v>25183.333333333332</v>
      </c>
      <c r="V77" s="411">
        <f t="shared" si="67"/>
        <v>28300</v>
      </c>
      <c r="W77" s="411">
        <f t="shared" si="67"/>
        <v>28300</v>
      </c>
      <c r="X77" s="411">
        <f t="shared" si="67"/>
        <v>28300</v>
      </c>
      <c r="Y77" s="411">
        <f t="shared" si="67"/>
        <v>28299.999999999996</v>
      </c>
      <c r="Z77" s="411">
        <f t="shared" si="67"/>
        <v>28300</v>
      </c>
      <c r="AA77" s="411">
        <f t="shared" si="67"/>
        <v>28300</v>
      </c>
      <c r="AB77" s="411">
        <f t="shared" si="67"/>
        <v>28300</v>
      </c>
      <c r="AC77" s="411">
        <f t="shared" si="67"/>
        <v>28299.999999999996</v>
      </c>
      <c r="AE77" s="359"/>
      <c r="AF77" s="411">
        <f t="shared" ref="AF77:CA77" si="68">SUM(AF78:AF125)</f>
        <v>0</v>
      </c>
      <c r="AG77" s="411">
        <f t="shared" si="68"/>
        <v>0</v>
      </c>
      <c r="AH77" s="411">
        <f t="shared" si="68"/>
        <v>0</v>
      </c>
      <c r="AI77" s="411">
        <f t="shared" si="68"/>
        <v>0</v>
      </c>
      <c r="AJ77" s="411">
        <f t="shared" si="68"/>
        <v>0</v>
      </c>
      <c r="AK77" s="411">
        <f t="shared" si="68"/>
        <v>0</v>
      </c>
      <c r="AL77" s="411">
        <f t="shared" si="68"/>
        <v>0</v>
      </c>
      <c r="AM77" s="411">
        <f t="shared" si="68"/>
        <v>0</v>
      </c>
      <c r="AN77" s="411">
        <f t="shared" si="68"/>
        <v>0</v>
      </c>
      <c r="AO77" s="411">
        <f t="shared" si="68"/>
        <v>0</v>
      </c>
      <c r="AP77" s="411">
        <f t="shared" si="68"/>
        <v>0</v>
      </c>
      <c r="AQ77" s="411">
        <f t="shared" si="68"/>
        <v>0</v>
      </c>
      <c r="AR77" s="411">
        <f t="shared" si="68"/>
        <v>0</v>
      </c>
      <c r="AS77" s="411">
        <f t="shared" si="68"/>
        <v>0</v>
      </c>
      <c r="AT77" s="411">
        <f t="shared" si="68"/>
        <v>0</v>
      </c>
      <c r="AU77" s="411">
        <f t="shared" si="68"/>
        <v>0</v>
      </c>
      <c r="AV77" s="411">
        <f t="shared" si="68"/>
        <v>0</v>
      </c>
      <c r="AW77" s="411">
        <f t="shared" si="68"/>
        <v>0</v>
      </c>
      <c r="AX77" s="411">
        <f t="shared" si="68"/>
        <v>0</v>
      </c>
      <c r="AY77" s="411">
        <f t="shared" si="68"/>
        <v>3400</v>
      </c>
      <c r="AZ77" s="411">
        <f t="shared" si="68"/>
        <v>6316.6666666666661</v>
      </c>
      <c r="BA77" s="411">
        <f t="shared" si="68"/>
        <v>6316.6666666666661</v>
      </c>
      <c r="BB77" s="411">
        <f t="shared" si="68"/>
        <v>9433.3333333333321</v>
      </c>
      <c r="BC77" s="411">
        <f t="shared" si="68"/>
        <v>9433.3333333333321</v>
      </c>
      <c r="BD77" s="411">
        <f t="shared" si="68"/>
        <v>9433.3333333333321</v>
      </c>
      <c r="BE77" s="411">
        <f t="shared" si="68"/>
        <v>9433.3333333333321</v>
      </c>
      <c r="BF77" s="411">
        <f t="shared" si="68"/>
        <v>9433.3333333333321</v>
      </c>
      <c r="BG77" s="411">
        <f t="shared" si="68"/>
        <v>9433.3333333333321</v>
      </c>
      <c r="BH77" s="411">
        <f t="shared" si="68"/>
        <v>9433.3333333333321</v>
      </c>
      <c r="BI77" s="411">
        <f t="shared" si="68"/>
        <v>9433.3333333333321</v>
      </c>
      <c r="BJ77" s="411">
        <f t="shared" si="68"/>
        <v>9433.3333333333321</v>
      </c>
      <c r="BK77" s="411">
        <f t="shared" si="68"/>
        <v>9433.3333333333321</v>
      </c>
      <c r="BL77" s="411">
        <f t="shared" si="68"/>
        <v>9433.3333333333321</v>
      </c>
      <c r="BM77" s="411">
        <f t="shared" si="68"/>
        <v>9433.3333333333321</v>
      </c>
      <c r="BN77" s="411">
        <f t="shared" si="68"/>
        <v>9433.3333333333321</v>
      </c>
      <c r="BO77" s="411">
        <f t="shared" si="68"/>
        <v>9433.3333333333321</v>
      </c>
      <c r="BP77" s="411">
        <f t="shared" si="68"/>
        <v>9433.3333333333321</v>
      </c>
      <c r="BQ77" s="411">
        <f t="shared" si="68"/>
        <v>9433.3333333333321</v>
      </c>
      <c r="BR77" s="411">
        <f t="shared" si="68"/>
        <v>9433.3333333333321</v>
      </c>
      <c r="BS77" s="411">
        <f t="shared" si="68"/>
        <v>9433.3333333333321</v>
      </c>
      <c r="BT77" s="411">
        <f t="shared" si="68"/>
        <v>9433.3333333333321</v>
      </c>
      <c r="BU77" s="411">
        <f t="shared" si="68"/>
        <v>9433.3333333333321</v>
      </c>
      <c r="BV77" s="411">
        <f t="shared" si="68"/>
        <v>9433.3333333333321</v>
      </c>
      <c r="BW77" s="411">
        <f t="shared" si="68"/>
        <v>9433.3333333333321</v>
      </c>
      <c r="BX77" s="411">
        <f t="shared" si="68"/>
        <v>9433.3333333333321</v>
      </c>
      <c r="BY77" s="411">
        <f t="shared" si="68"/>
        <v>9433.3333333333321</v>
      </c>
      <c r="BZ77" s="411">
        <f t="shared" si="68"/>
        <v>9433.3333333333321</v>
      </c>
      <c r="CA77" s="411">
        <f t="shared" si="68"/>
        <v>9433.3333333333321</v>
      </c>
    </row>
    <row r="78" spans="3:79" ht="21" hidden="1" customHeight="1" outlineLevel="2">
      <c r="C78" s="370"/>
      <c r="D78" s="374" cm="1">
        <f t="array" ref="D78">EOM_Start_Date</f>
        <v>44957</v>
      </c>
      <c r="E78" s="408" cm="1">
        <f t="array" ref="E78">INDEX($AF$18:$CA$18,0,MATCH($D78,$AF$8:$CA$8,0))</f>
        <v>0</v>
      </c>
      <c r="F78" s="372"/>
      <c r="G78" s="409"/>
      <c r="H78" s="410">
        <f t="shared" ref="H78:K97" si="69">SUMIFS($AF78:$CA78,$AF$4:$CA$4,"&gt;="&amp;H$4,$AF$5:$CA$5,"&lt;="&amp;H$5)</f>
        <v>0</v>
      </c>
      <c r="I78" s="410">
        <f t="shared" si="69"/>
        <v>0</v>
      </c>
      <c r="J78" s="410">
        <f t="shared" si="69"/>
        <v>0</v>
      </c>
      <c r="K78" s="410">
        <f t="shared" si="69"/>
        <v>0</v>
      </c>
      <c r="M78" s="359"/>
      <c r="N78" s="410">
        <f t="shared" ref="N78:AC87" si="70">SUMIFS($AF78:$CA78,$AF$4:$CA$4,"&gt;="&amp;N$4,$AF$5:$CA$5,"&lt;="&amp;N$5)</f>
        <v>0</v>
      </c>
      <c r="O78" s="410">
        <f t="shared" si="70"/>
        <v>0</v>
      </c>
      <c r="P78" s="410">
        <f t="shared" si="70"/>
        <v>0</v>
      </c>
      <c r="Q78" s="410">
        <f t="shared" si="70"/>
        <v>0</v>
      </c>
      <c r="R78" s="410">
        <f t="shared" si="70"/>
        <v>0</v>
      </c>
      <c r="S78" s="410">
        <f t="shared" si="70"/>
        <v>0</v>
      </c>
      <c r="T78" s="410">
        <f t="shared" si="70"/>
        <v>0</v>
      </c>
      <c r="U78" s="410">
        <f t="shared" si="70"/>
        <v>0</v>
      </c>
      <c r="V78" s="410">
        <f t="shared" si="70"/>
        <v>0</v>
      </c>
      <c r="W78" s="410">
        <f t="shared" si="70"/>
        <v>0</v>
      </c>
      <c r="X78" s="410">
        <f t="shared" si="70"/>
        <v>0</v>
      </c>
      <c r="Y78" s="410">
        <f t="shared" si="70"/>
        <v>0</v>
      </c>
      <c r="Z78" s="410">
        <f t="shared" si="70"/>
        <v>0</v>
      </c>
      <c r="AA78" s="410">
        <f t="shared" si="70"/>
        <v>0</v>
      </c>
      <c r="AB78" s="410">
        <f t="shared" si="70"/>
        <v>0</v>
      </c>
      <c r="AC78" s="410">
        <f t="shared" si="70"/>
        <v>0</v>
      </c>
      <c r="AD78" s="372"/>
      <c r="AE78" s="409"/>
      <c r="AF78" s="408">
        <f t="shared" ref="AF78:AO87" si="71">IF(AND(AF$8&gt;=$D78,(MATCH(AF$8,$AF$8:$CA$8,0)-MATCH($D78,$AF$8:$CA$8,0))&lt;12),$E78/12,0)</f>
        <v>0</v>
      </c>
      <c r="AG78" s="408">
        <f t="shared" si="71"/>
        <v>0</v>
      </c>
      <c r="AH78" s="408">
        <f t="shared" si="71"/>
        <v>0</v>
      </c>
      <c r="AI78" s="408">
        <f t="shared" si="71"/>
        <v>0</v>
      </c>
      <c r="AJ78" s="408">
        <f t="shared" si="71"/>
        <v>0</v>
      </c>
      <c r="AK78" s="408">
        <f t="shared" si="71"/>
        <v>0</v>
      </c>
      <c r="AL78" s="408">
        <f t="shared" si="71"/>
        <v>0</v>
      </c>
      <c r="AM78" s="408">
        <f t="shared" si="71"/>
        <v>0</v>
      </c>
      <c r="AN78" s="408">
        <f t="shared" si="71"/>
        <v>0</v>
      </c>
      <c r="AO78" s="408">
        <f t="shared" si="71"/>
        <v>0</v>
      </c>
      <c r="AP78" s="408">
        <f t="shared" ref="AP78:AY87" si="72">IF(AND(AP$8&gt;=$D78,(MATCH(AP$8,$AF$8:$CA$8,0)-MATCH($D78,$AF$8:$CA$8,0))&lt;12),$E78/12,0)</f>
        <v>0</v>
      </c>
      <c r="AQ78" s="408">
        <f t="shared" si="72"/>
        <v>0</v>
      </c>
      <c r="AR78" s="408">
        <f t="shared" si="72"/>
        <v>0</v>
      </c>
      <c r="AS78" s="408">
        <f t="shared" si="72"/>
        <v>0</v>
      </c>
      <c r="AT78" s="408">
        <f t="shared" si="72"/>
        <v>0</v>
      </c>
      <c r="AU78" s="408">
        <f t="shared" si="72"/>
        <v>0</v>
      </c>
      <c r="AV78" s="408">
        <f t="shared" si="72"/>
        <v>0</v>
      </c>
      <c r="AW78" s="408">
        <f t="shared" si="72"/>
        <v>0</v>
      </c>
      <c r="AX78" s="408">
        <f t="shared" si="72"/>
        <v>0</v>
      </c>
      <c r="AY78" s="408">
        <f t="shared" si="72"/>
        <v>0</v>
      </c>
      <c r="AZ78" s="408">
        <f t="shared" ref="AZ78:BI87" si="73">IF(AND(AZ$8&gt;=$D78,(MATCH(AZ$8,$AF$8:$CA$8,0)-MATCH($D78,$AF$8:$CA$8,0))&lt;12),$E78/12,0)</f>
        <v>0</v>
      </c>
      <c r="BA78" s="408">
        <f t="shared" si="73"/>
        <v>0</v>
      </c>
      <c r="BB78" s="408">
        <f t="shared" si="73"/>
        <v>0</v>
      </c>
      <c r="BC78" s="408">
        <f t="shared" si="73"/>
        <v>0</v>
      </c>
      <c r="BD78" s="408">
        <f t="shared" si="73"/>
        <v>0</v>
      </c>
      <c r="BE78" s="408">
        <f t="shared" si="73"/>
        <v>0</v>
      </c>
      <c r="BF78" s="408">
        <f t="shared" si="73"/>
        <v>0</v>
      </c>
      <c r="BG78" s="408">
        <f t="shared" si="73"/>
        <v>0</v>
      </c>
      <c r="BH78" s="408">
        <f t="shared" si="73"/>
        <v>0</v>
      </c>
      <c r="BI78" s="408">
        <f t="shared" si="73"/>
        <v>0</v>
      </c>
      <c r="BJ78" s="408">
        <f t="shared" ref="BJ78:BS87" si="74">IF(AND(BJ$8&gt;=$D78,(MATCH(BJ$8,$AF$8:$CA$8,0)-MATCH($D78,$AF$8:$CA$8,0))&lt;12),$E78/12,0)</f>
        <v>0</v>
      </c>
      <c r="BK78" s="408">
        <f t="shared" si="74"/>
        <v>0</v>
      </c>
      <c r="BL78" s="408">
        <f t="shared" si="74"/>
        <v>0</v>
      </c>
      <c r="BM78" s="408">
        <f t="shared" si="74"/>
        <v>0</v>
      </c>
      <c r="BN78" s="408">
        <f t="shared" si="74"/>
        <v>0</v>
      </c>
      <c r="BO78" s="408">
        <f t="shared" si="74"/>
        <v>0</v>
      </c>
      <c r="BP78" s="408">
        <f t="shared" si="74"/>
        <v>0</v>
      </c>
      <c r="BQ78" s="408">
        <f t="shared" si="74"/>
        <v>0</v>
      </c>
      <c r="BR78" s="408">
        <f t="shared" si="74"/>
        <v>0</v>
      </c>
      <c r="BS78" s="408">
        <f t="shared" si="74"/>
        <v>0</v>
      </c>
      <c r="BT78" s="408">
        <f t="shared" ref="BT78:CA87" si="75">IF(AND(BT$8&gt;=$D78,(MATCH(BT$8,$AF$8:$CA$8,0)-MATCH($D78,$AF$8:$CA$8,0))&lt;12),$E78/12,0)</f>
        <v>0</v>
      </c>
      <c r="BU78" s="408">
        <f t="shared" si="75"/>
        <v>0</v>
      </c>
      <c r="BV78" s="408">
        <f t="shared" si="75"/>
        <v>0</v>
      </c>
      <c r="BW78" s="408">
        <f t="shared" si="75"/>
        <v>0</v>
      </c>
      <c r="BX78" s="408">
        <f t="shared" si="75"/>
        <v>0</v>
      </c>
      <c r="BY78" s="408">
        <f t="shared" si="75"/>
        <v>0</v>
      </c>
      <c r="BZ78" s="408">
        <f t="shared" si="75"/>
        <v>0</v>
      </c>
      <c r="CA78" s="408">
        <f t="shared" si="75"/>
        <v>0</v>
      </c>
    </row>
    <row r="79" spans="3:79" ht="21" hidden="1" customHeight="1" outlineLevel="2">
      <c r="C79" s="370"/>
      <c r="D79" s="374">
        <f t="shared" ref="D79:D125" si="76">EOMONTH(D78,1)</f>
        <v>44985</v>
      </c>
      <c r="E79" s="408" cm="1">
        <f t="array" ref="E79">INDEX($AF$18:$CA$18,0,MATCH($D79,$AF$8:$CA$8,0))</f>
        <v>0</v>
      </c>
      <c r="F79" s="372"/>
      <c r="G79" s="409"/>
      <c r="H79" s="410">
        <f t="shared" si="69"/>
        <v>0</v>
      </c>
      <c r="I79" s="410">
        <f t="shared" si="69"/>
        <v>0</v>
      </c>
      <c r="J79" s="410">
        <f t="shared" si="69"/>
        <v>0</v>
      </c>
      <c r="K79" s="410">
        <f t="shared" si="69"/>
        <v>0</v>
      </c>
      <c r="M79" s="359"/>
      <c r="N79" s="410">
        <f t="shared" si="70"/>
        <v>0</v>
      </c>
      <c r="O79" s="410">
        <f t="shared" si="70"/>
        <v>0</v>
      </c>
      <c r="P79" s="410">
        <f t="shared" si="70"/>
        <v>0</v>
      </c>
      <c r="Q79" s="410">
        <f t="shared" si="70"/>
        <v>0</v>
      </c>
      <c r="R79" s="410">
        <f t="shared" si="70"/>
        <v>0</v>
      </c>
      <c r="S79" s="410">
        <f t="shared" si="70"/>
        <v>0</v>
      </c>
      <c r="T79" s="410">
        <f t="shared" si="70"/>
        <v>0</v>
      </c>
      <c r="U79" s="410">
        <f t="shared" si="70"/>
        <v>0</v>
      </c>
      <c r="V79" s="410">
        <f t="shared" si="70"/>
        <v>0</v>
      </c>
      <c r="W79" s="410">
        <f t="shared" si="70"/>
        <v>0</v>
      </c>
      <c r="X79" s="410">
        <f t="shared" si="70"/>
        <v>0</v>
      </c>
      <c r="Y79" s="410">
        <f t="shared" si="70"/>
        <v>0</v>
      </c>
      <c r="Z79" s="410">
        <f t="shared" si="70"/>
        <v>0</v>
      </c>
      <c r="AA79" s="410">
        <f t="shared" si="70"/>
        <v>0</v>
      </c>
      <c r="AB79" s="410">
        <f t="shared" si="70"/>
        <v>0</v>
      </c>
      <c r="AC79" s="410">
        <f t="shared" si="70"/>
        <v>0</v>
      </c>
      <c r="AD79" s="372"/>
      <c r="AE79" s="409"/>
      <c r="AF79" s="408">
        <f t="shared" si="71"/>
        <v>0</v>
      </c>
      <c r="AG79" s="408">
        <f t="shared" si="71"/>
        <v>0</v>
      </c>
      <c r="AH79" s="408">
        <f t="shared" si="71"/>
        <v>0</v>
      </c>
      <c r="AI79" s="408">
        <f t="shared" si="71"/>
        <v>0</v>
      </c>
      <c r="AJ79" s="408">
        <f t="shared" si="71"/>
        <v>0</v>
      </c>
      <c r="AK79" s="408">
        <f t="shared" si="71"/>
        <v>0</v>
      </c>
      <c r="AL79" s="408">
        <f t="shared" si="71"/>
        <v>0</v>
      </c>
      <c r="AM79" s="408">
        <f t="shared" si="71"/>
        <v>0</v>
      </c>
      <c r="AN79" s="408">
        <f t="shared" si="71"/>
        <v>0</v>
      </c>
      <c r="AO79" s="408">
        <f t="shared" si="71"/>
        <v>0</v>
      </c>
      <c r="AP79" s="408">
        <f t="shared" si="72"/>
        <v>0</v>
      </c>
      <c r="AQ79" s="408">
        <f t="shared" si="72"/>
        <v>0</v>
      </c>
      <c r="AR79" s="408">
        <f t="shared" si="72"/>
        <v>0</v>
      </c>
      <c r="AS79" s="408">
        <f t="shared" si="72"/>
        <v>0</v>
      </c>
      <c r="AT79" s="408">
        <f t="shared" si="72"/>
        <v>0</v>
      </c>
      <c r="AU79" s="408">
        <f t="shared" si="72"/>
        <v>0</v>
      </c>
      <c r="AV79" s="408">
        <f t="shared" si="72"/>
        <v>0</v>
      </c>
      <c r="AW79" s="408">
        <f t="shared" si="72"/>
        <v>0</v>
      </c>
      <c r="AX79" s="408">
        <f t="shared" si="72"/>
        <v>0</v>
      </c>
      <c r="AY79" s="408">
        <f t="shared" si="72"/>
        <v>0</v>
      </c>
      <c r="AZ79" s="408">
        <f t="shared" si="73"/>
        <v>0</v>
      </c>
      <c r="BA79" s="408">
        <f t="shared" si="73"/>
        <v>0</v>
      </c>
      <c r="BB79" s="408">
        <f t="shared" si="73"/>
        <v>0</v>
      </c>
      <c r="BC79" s="408">
        <f t="shared" si="73"/>
        <v>0</v>
      </c>
      <c r="BD79" s="408">
        <f t="shared" si="73"/>
        <v>0</v>
      </c>
      <c r="BE79" s="408">
        <f t="shared" si="73"/>
        <v>0</v>
      </c>
      <c r="BF79" s="408">
        <f t="shared" si="73"/>
        <v>0</v>
      </c>
      <c r="BG79" s="408">
        <f t="shared" si="73"/>
        <v>0</v>
      </c>
      <c r="BH79" s="408">
        <f t="shared" si="73"/>
        <v>0</v>
      </c>
      <c r="BI79" s="408">
        <f t="shared" si="73"/>
        <v>0</v>
      </c>
      <c r="BJ79" s="408">
        <f t="shared" si="74"/>
        <v>0</v>
      </c>
      <c r="BK79" s="408">
        <f t="shared" si="74"/>
        <v>0</v>
      </c>
      <c r="BL79" s="408">
        <f t="shared" si="74"/>
        <v>0</v>
      </c>
      <c r="BM79" s="408">
        <f t="shared" si="74"/>
        <v>0</v>
      </c>
      <c r="BN79" s="408">
        <f t="shared" si="74"/>
        <v>0</v>
      </c>
      <c r="BO79" s="408">
        <f t="shared" si="74"/>
        <v>0</v>
      </c>
      <c r="BP79" s="408">
        <f t="shared" si="74"/>
        <v>0</v>
      </c>
      <c r="BQ79" s="408">
        <f t="shared" si="74"/>
        <v>0</v>
      </c>
      <c r="BR79" s="408">
        <f t="shared" si="74"/>
        <v>0</v>
      </c>
      <c r="BS79" s="408">
        <f t="shared" si="74"/>
        <v>0</v>
      </c>
      <c r="BT79" s="408">
        <f t="shared" si="75"/>
        <v>0</v>
      </c>
      <c r="BU79" s="408">
        <f t="shared" si="75"/>
        <v>0</v>
      </c>
      <c r="BV79" s="408">
        <f t="shared" si="75"/>
        <v>0</v>
      </c>
      <c r="BW79" s="408">
        <f t="shared" si="75"/>
        <v>0</v>
      </c>
      <c r="BX79" s="408">
        <f t="shared" si="75"/>
        <v>0</v>
      </c>
      <c r="BY79" s="408">
        <f t="shared" si="75"/>
        <v>0</v>
      </c>
      <c r="BZ79" s="408">
        <f t="shared" si="75"/>
        <v>0</v>
      </c>
      <c r="CA79" s="408">
        <f t="shared" si="75"/>
        <v>0</v>
      </c>
    </row>
    <row r="80" spans="3:79" ht="21" hidden="1" customHeight="1" outlineLevel="2">
      <c r="C80" s="370"/>
      <c r="D80" s="374">
        <f t="shared" si="76"/>
        <v>45016</v>
      </c>
      <c r="E80" s="408" cm="1">
        <f t="array" ref="E80">INDEX($AF$18:$CA$18,0,MATCH($D80,$AF$8:$CA$8,0))</f>
        <v>0</v>
      </c>
      <c r="F80" s="372"/>
      <c r="G80" s="409"/>
      <c r="H80" s="410">
        <f t="shared" si="69"/>
        <v>0</v>
      </c>
      <c r="I80" s="410">
        <f t="shared" si="69"/>
        <v>0</v>
      </c>
      <c r="J80" s="410">
        <f t="shared" si="69"/>
        <v>0</v>
      </c>
      <c r="K80" s="410">
        <f t="shared" si="69"/>
        <v>0</v>
      </c>
      <c r="M80" s="359"/>
      <c r="N80" s="410">
        <f t="shared" si="70"/>
        <v>0</v>
      </c>
      <c r="O80" s="410">
        <f t="shared" si="70"/>
        <v>0</v>
      </c>
      <c r="P80" s="410">
        <f t="shared" si="70"/>
        <v>0</v>
      </c>
      <c r="Q80" s="410">
        <f t="shared" si="70"/>
        <v>0</v>
      </c>
      <c r="R80" s="410">
        <f t="shared" si="70"/>
        <v>0</v>
      </c>
      <c r="S80" s="410">
        <f t="shared" si="70"/>
        <v>0</v>
      </c>
      <c r="T80" s="410">
        <f t="shared" si="70"/>
        <v>0</v>
      </c>
      <c r="U80" s="410">
        <f t="shared" si="70"/>
        <v>0</v>
      </c>
      <c r="V80" s="410">
        <f t="shared" si="70"/>
        <v>0</v>
      </c>
      <c r="W80" s="410">
        <f t="shared" si="70"/>
        <v>0</v>
      </c>
      <c r="X80" s="410">
        <f t="shared" si="70"/>
        <v>0</v>
      </c>
      <c r="Y80" s="410">
        <f t="shared" si="70"/>
        <v>0</v>
      </c>
      <c r="Z80" s="410">
        <f t="shared" si="70"/>
        <v>0</v>
      </c>
      <c r="AA80" s="410">
        <f t="shared" si="70"/>
        <v>0</v>
      </c>
      <c r="AB80" s="410">
        <f t="shared" si="70"/>
        <v>0</v>
      </c>
      <c r="AC80" s="410">
        <f t="shared" si="70"/>
        <v>0</v>
      </c>
      <c r="AD80" s="372"/>
      <c r="AE80" s="409"/>
      <c r="AF80" s="408">
        <f t="shared" si="71"/>
        <v>0</v>
      </c>
      <c r="AG80" s="408">
        <f t="shared" si="71"/>
        <v>0</v>
      </c>
      <c r="AH80" s="408">
        <f t="shared" si="71"/>
        <v>0</v>
      </c>
      <c r="AI80" s="408">
        <f t="shared" si="71"/>
        <v>0</v>
      </c>
      <c r="AJ80" s="408">
        <f t="shared" si="71"/>
        <v>0</v>
      </c>
      <c r="AK80" s="408">
        <f t="shared" si="71"/>
        <v>0</v>
      </c>
      <c r="AL80" s="408">
        <f t="shared" si="71"/>
        <v>0</v>
      </c>
      <c r="AM80" s="408">
        <f t="shared" si="71"/>
        <v>0</v>
      </c>
      <c r="AN80" s="408">
        <f t="shared" si="71"/>
        <v>0</v>
      </c>
      <c r="AO80" s="408">
        <f t="shared" si="71"/>
        <v>0</v>
      </c>
      <c r="AP80" s="408">
        <f t="shared" si="72"/>
        <v>0</v>
      </c>
      <c r="AQ80" s="408">
        <f t="shared" si="72"/>
        <v>0</v>
      </c>
      <c r="AR80" s="408">
        <f t="shared" si="72"/>
        <v>0</v>
      </c>
      <c r="AS80" s="408">
        <f t="shared" si="72"/>
        <v>0</v>
      </c>
      <c r="AT80" s="408">
        <f t="shared" si="72"/>
        <v>0</v>
      </c>
      <c r="AU80" s="408">
        <f t="shared" si="72"/>
        <v>0</v>
      </c>
      <c r="AV80" s="408">
        <f t="shared" si="72"/>
        <v>0</v>
      </c>
      <c r="AW80" s="408">
        <f t="shared" si="72"/>
        <v>0</v>
      </c>
      <c r="AX80" s="408">
        <f t="shared" si="72"/>
        <v>0</v>
      </c>
      <c r="AY80" s="408">
        <f t="shared" si="72"/>
        <v>0</v>
      </c>
      <c r="AZ80" s="408">
        <f t="shared" si="73"/>
        <v>0</v>
      </c>
      <c r="BA80" s="408">
        <f t="shared" si="73"/>
        <v>0</v>
      </c>
      <c r="BB80" s="408">
        <f t="shared" si="73"/>
        <v>0</v>
      </c>
      <c r="BC80" s="408">
        <f t="shared" si="73"/>
        <v>0</v>
      </c>
      <c r="BD80" s="408">
        <f t="shared" si="73"/>
        <v>0</v>
      </c>
      <c r="BE80" s="408">
        <f t="shared" si="73"/>
        <v>0</v>
      </c>
      <c r="BF80" s="408">
        <f t="shared" si="73"/>
        <v>0</v>
      </c>
      <c r="BG80" s="408">
        <f t="shared" si="73"/>
        <v>0</v>
      </c>
      <c r="BH80" s="408">
        <f t="shared" si="73"/>
        <v>0</v>
      </c>
      <c r="BI80" s="408">
        <f t="shared" si="73"/>
        <v>0</v>
      </c>
      <c r="BJ80" s="408">
        <f t="shared" si="74"/>
        <v>0</v>
      </c>
      <c r="BK80" s="408">
        <f t="shared" si="74"/>
        <v>0</v>
      </c>
      <c r="BL80" s="408">
        <f t="shared" si="74"/>
        <v>0</v>
      </c>
      <c r="BM80" s="408">
        <f t="shared" si="74"/>
        <v>0</v>
      </c>
      <c r="BN80" s="408">
        <f t="shared" si="74"/>
        <v>0</v>
      </c>
      <c r="BO80" s="408">
        <f t="shared" si="74"/>
        <v>0</v>
      </c>
      <c r="BP80" s="408">
        <f t="shared" si="74"/>
        <v>0</v>
      </c>
      <c r="BQ80" s="408">
        <f t="shared" si="74"/>
        <v>0</v>
      </c>
      <c r="BR80" s="408">
        <f t="shared" si="74"/>
        <v>0</v>
      </c>
      <c r="BS80" s="408">
        <f t="shared" si="74"/>
        <v>0</v>
      </c>
      <c r="BT80" s="408">
        <f t="shared" si="75"/>
        <v>0</v>
      </c>
      <c r="BU80" s="408">
        <f t="shared" si="75"/>
        <v>0</v>
      </c>
      <c r="BV80" s="408">
        <f t="shared" si="75"/>
        <v>0</v>
      </c>
      <c r="BW80" s="408">
        <f t="shared" si="75"/>
        <v>0</v>
      </c>
      <c r="BX80" s="408">
        <f t="shared" si="75"/>
        <v>0</v>
      </c>
      <c r="BY80" s="408">
        <f t="shared" si="75"/>
        <v>0</v>
      </c>
      <c r="BZ80" s="408">
        <f t="shared" si="75"/>
        <v>0</v>
      </c>
      <c r="CA80" s="408">
        <f t="shared" si="75"/>
        <v>0</v>
      </c>
    </row>
    <row r="81" spans="3:79" ht="21" hidden="1" customHeight="1" outlineLevel="2">
      <c r="C81" s="370"/>
      <c r="D81" s="374">
        <f t="shared" si="76"/>
        <v>45046</v>
      </c>
      <c r="E81" s="408" cm="1">
        <f t="array" ref="E81">INDEX($AF$18:$CA$18,0,MATCH($D81,$AF$8:$CA$8,0))</f>
        <v>0</v>
      </c>
      <c r="F81" s="372"/>
      <c r="G81" s="409"/>
      <c r="H81" s="410">
        <f t="shared" si="69"/>
        <v>0</v>
      </c>
      <c r="I81" s="410">
        <f t="shared" si="69"/>
        <v>0</v>
      </c>
      <c r="J81" s="410">
        <f t="shared" si="69"/>
        <v>0</v>
      </c>
      <c r="K81" s="410">
        <f t="shared" si="69"/>
        <v>0</v>
      </c>
      <c r="M81" s="359"/>
      <c r="N81" s="410">
        <f t="shared" si="70"/>
        <v>0</v>
      </c>
      <c r="O81" s="410">
        <f t="shared" si="70"/>
        <v>0</v>
      </c>
      <c r="P81" s="410">
        <f t="shared" si="70"/>
        <v>0</v>
      </c>
      <c r="Q81" s="410">
        <f t="shared" si="70"/>
        <v>0</v>
      </c>
      <c r="R81" s="410">
        <f t="shared" si="70"/>
        <v>0</v>
      </c>
      <c r="S81" s="410">
        <f t="shared" si="70"/>
        <v>0</v>
      </c>
      <c r="T81" s="410">
        <f t="shared" si="70"/>
        <v>0</v>
      </c>
      <c r="U81" s="410">
        <f t="shared" si="70"/>
        <v>0</v>
      </c>
      <c r="V81" s="410">
        <f t="shared" si="70"/>
        <v>0</v>
      </c>
      <c r="W81" s="410">
        <f t="shared" si="70"/>
        <v>0</v>
      </c>
      <c r="X81" s="410">
        <f t="shared" si="70"/>
        <v>0</v>
      </c>
      <c r="Y81" s="410">
        <f t="shared" si="70"/>
        <v>0</v>
      </c>
      <c r="Z81" s="410">
        <f t="shared" si="70"/>
        <v>0</v>
      </c>
      <c r="AA81" s="410">
        <f t="shared" si="70"/>
        <v>0</v>
      </c>
      <c r="AB81" s="410">
        <f t="shared" si="70"/>
        <v>0</v>
      </c>
      <c r="AC81" s="410">
        <f t="shared" si="70"/>
        <v>0</v>
      </c>
      <c r="AD81" s="372"/>
      <c r="AE81" s="409"/>
      <c r="AF81" s="408">
        <f t="shared" si="71"/>
        <v>0</v>
      </c>
      <c r="AG81" s="408">
        <f t="shared" si="71"/>
        <v>0</v>
      </c>
      <c r="AH81" s="408">
        <f t="shared" si="71"/>
        <v>0</v>
      </c>
      <c r="AI81" s="408">
        <f t="shared" si="71"/>
        <v>0</v>
      </c>
      <c r="AJ81" s="408">
        <f t="shared" si="71"/>
        <v>0</v>
      </c>
      <c r="AK81" s="408">
        <f t="shared" si="71"/>
        <v>0</v>
      </c>
      <c r="AL81" s="408">
        <f t="shared" si="71"/>
        <v>0</v>
      </c>
      <c r="AM81" s="408">
        <f t="shared" si="71"/>
        <v>0</v>
      </c>
      <c r="AN81" s="408">
        <f t="shared" si="71"/>
        <v>0</v>
      </c>
      <c r="AO81" s="408">
        <f t="shared" si="71"/>
        <v>0</v>
      </c>
      <c r="AP81" s="408">
        <f t="shared" si="72"/>
        <v>0</v>
      </c>
      <c r="AQ81" s="408">
        <f t="shared" si="72"/>
        <v>0</v>
      </c>
      <c r="AR81" s="408">
        <f t="shared" si="72"/>
        <v>0</v>
      </c>
      <c r="AS81" s="408">
        <f t="shared" si="72"/>
        <v>0</v>
      </c>
      <c r="AT81" s="408">
        <f t="shared" si="72"/>
        <v>0</v>
      </c>
      <c r="AU81" s="408">
        <f t="shared" si="72"/>
        <v>0</v>
      </c>
      <c r="AV81" s="408">
        <f t="shared" si="72"/>
        <v>0</v>
      </c>
      <c r="AW81" s="408">
        <f t="shared" si="72"/>
        <v>0</v>
      </c>
      <c r="AX81" s="408">
        <f t="shared" si="72"/>
        <v>0</v>
      </c>
      <c r="AY81" s="408">
        <f t="shared" si="72"/>
        <v>0</v>
      </c>
      <c r="AZ81" s="408">
        <f t="shared" si="73"/>
        <v>0</v>
      </c>
      <c r="BA81" s="408">
        <f t="shared" si="73"/>
        <v>0</v>
      </c>
      <c r="BB81" s="408">
        <f t="shared" si="73"/>
        <v>0</v>
      </c>
      <c r="BC81" s="408">
        <f t="shared" si="73"/>
        <v>0</v>
      </c>
      <c r="BD81" s="408">
        <f t="shared" si="73"/>
        <v>0</v>
      </c>
      <c r="BE81" s="408">
        <f t="shared" si="73"/>
        <v>0</v>
      </c>
      <c r="BF81" s="408">
        <f t="shared" si="73"/>
        <v>0</v>
      </c>
      <c r="BG81" s="408">
        <f t="shared" si="73"/>
        <v>0</v>
      </c>
      <c r="BH81" s="408">
        <f t="shared" si="73"/>
        <v>0</v>
      </c>
      <c r="BI81" s="408">
        <f t="shared" si="73"/>
        <v>0</v>
      </c>
      <c r="BJ81" s="408">
        <f t="shared" si="74"/>
        <v>0</v>
      </c>
      <c r="BK81" s="408">
        <f t="shared" si="74"/>
        <v>0</v>
      </c>
      <c r="BL81" s="408">
        <f t="shared" si="74"/>
        <v>0</v>
      </c>
      <c r="BM81" s="408">
        <f t="shared" si="74"/>
        <v>0</v>
      </c>
      <c r="BN81" s="408">
        <f t="shared" si="74"/>
        <v>0</v>
      </c>
      <c r="BO81" s="408">
        <f t="shared" si="74"/>
        <v>0</v>
      </c>
      <c r="BP81" s="408">
        <f t="shared" si="74"/>
        <v>0</v>
      </c>
      <c r="BQ81" s="408">
        <f t="shared" si="74"/>
        <v>0</v>
      </c>
      <c r="BR81" s="408">
        <f t="shared" si="74"/>
        <v>0</v>
      </c>
      <c r="BS81" s="408">
        <f t="shared" si="74"/>
        <v>0</v>
      </c>
      <c r="BT81" s="408">
        <f t="shared" si="75"/>
        <v>0</v>
      </c>
      <c r="BU81" s="408">
        <f t="shared" si="75"/>
        <v>0</v>
      </c>
      <c r="BV81" s="408">
        <f t="shared" si="75"/>
        <v>0</v>
      </c>
      <c r="BW81" s="408">
        <f t="shared" si="75"/>
        <v>0</v>
      </c>
      <c r="BX81" s="408">
        <f t="shared" si="75"/>
        <v>0</v>
      </c>
      <c r="BY81" s="408">
        <f t="shared" si="75"/>
        <v>0</v>
      </c>
      <c r="BZ81" s="408">
        <f t="shared" si="75"/>
        <v>0</v>
      </c>
      <c r="CA81" s="408">
        <f t="shared" si="75"/>
        <v>0</v>
      </c>
    </row>
    <row r="82" spans="3:79" ht="21" hidden="1" customHeight="1" outlineLevel="2">
      <c r="C82" s="370"/>
      <c r="D82" s="374">
        <f t="shared" si="76"/>
        <v>45077</v>
      </c>
      <c r="E82" s="408" cm="1">
        <f t="array" ref="E82">INDEX($AF$18:$CA$18,0,MATCH($D82,$AF$8:$CA$8,0))</f>
        <v>0</v>
      </c>
      <c r="F82" s="372"/>
      <c r="G82" s="409"/>
      <c r="H82" s="410">
        <f t="shared" si="69"/>
        <v>0</v>
      </c>
      <c r="I82" s="410">
        <f t="shared" si="69"/>
        <v>0</v>
      </c>
      <c r="J82" s="410">
        <f t="shared" si="69"/>
        <v>0</v>
      </c>
      <c r="K82" s="410">
        <f t="shared" si="69"/>
        <v>0</v>
      </c>
      <c r="M82" s="359"/>
      <c r="N82" s="410">
        <f t="shared" si="70"/>
        <v>0</v>
      </c>
      <c r="O82" s="410">
        <f t="shared" si="70"/>
        <v>0</v>
      </c>
      <c r="P82" s="410">
        <f t="shared" si="70"/>
        <v>0</v>
      </c>
      <c r="Q82" s="410">
        <f t="shared" si="70"/>
        <v>0</v>
      </c>
      <c r="R82" s="410">
        <f t="shared" si="70"/>
        <v>0</v>
      </c>
      <c r="S82" s="410">
        <f t="shared" si="70"/>
        <v>0</v>
      </c>
      <c r="T82" s="410">
        <f t="shared" si="70"/>
        <v>0</v>
      </c>
      <c r="U82" s="410">
        <f t="shared" si="70"/>
        <v>0</v>
      </c>
      <c r="V82" s="410">
        <f t="shared" si="70"/>
        <v>0</v>
      </c>
      <c r="W82" s="410">
        <f t="shared" si="70"/>
        <v>0</v>
      </c>
      <c r="X82" s="410">
        <f t="shared" si="70"/>
        <v>0</v>
      </c>
      <c r="Y82" s="410">
        <f t="shared" si="70"/>
        <v>0</v>
      </c>
      <c r="Z82" s="410">
        <f t="shared" si="70"/>
        <v>0</v>
      </c>
      <c r="AA82" s="410">
        <f t="shared" si="70"/>
        <v>0</v>
      </c>
      <c r="AB82" s="410">
        <f t="shared" si="70"/>
        <v>0</v>
      </c>
      <c r="AC82" s="410">
        <f t="shared" si="70"/>
        <v>0</v>
      </c>
      <c r="AD82" s="372"/>
      <c r="AE82" s="409"/>
      <c r="AF82" s="408">
        <f t="shared" si="71"/>
        <v>0</v>
      </c>
      <c r="AG82" s="408">
        <f t="shared" si="71"/>
        <v>0</v>
      </c>
      <c r="AH82" s="408">
        <f t="shared" si="71"/>
        <v>0</v>
      </c>
      <c r="AI82" s="408">
        <f t="shared" si="71"/>
        <v>0</v>
      </c>
      <c r="AJ82" s="408">
        <f t="shared" si="71"/>
        <v>0</v>
      </c>
      <c r="AK82" s="408">
        <f t="shared" si="71"/>
        <v>0</v>
      </c>
      <c r="AL82" s="408">
        <f t="shared" si="71"/>
        <v>0</v>
      </c>
      <c r="AM82" s="408">
        <f t="shared" si="71"/>
        <v>0</v>
      </c>
      <c r="AN82" s="408">
        <f t="shared" si="71"/>
        <v>0</v>
      </c>
      <c r="AO82" s="408">
        <f t="shared" si="71"/>
        <v>0</v>
      </c>
      <c r="AP82" s="408">
        <f t="shared" si="72"/>
        <v>0</v>
      </c>
      <c r="AQ82" s="408">
        <f t="shared" si="72"/>
        <v>0</v>
      </c>
      <c r="AR82" s="408">
        <f t="shared" si="72"/>
        <v>0</v>
      </c>
      <c r="AS82" s="408">
        <f t="shared" si="72"/>
        <v>0</v>
      </c>
      <c r="AT82" s="408">
        <f t="shared" si="72"/>
        <v>0</v>
      </c>
      <c r="AU82" s="408">
        <f t="shared" si="72"/>
        <v>0</v>
      </c>
      <c r="AV82" s="408">
        <f t="shared" si="72"/>
        <v>0</v>
      </c>
      <c r="AW82" s="408">
        <f t="shared" si="72"/>
        <v>0</v>
      </c>
      <c r="AX82" s="408">
        <f t="shared" si="72"/>
        <v>0</v>
      </c>
      <c r="AY82" s="408">
        <f t="shared" si="72"/>
        <v>0</v>
      </c>
      <c r="AZ82" s="408">
        <f t="shared" si="73"/>
        <v>0</v>
      </c>
      <c r="BA82" s="408">
        <f t="shared" si="73"/>
        <v>0</v>
      </c>
      <c r="BB82" s="408">
        <f t="shared" si="73"/>
        <v>0</v>
      </c>
      <c r="BC82" s="408">
        <f t="shared" si="73"/>
        <v>0</v>
      </c>
      <c r="BD82" s="408">
        <f t="shared" si="73"/>
        <v>0</v>
      </c>
      <c r="BE82" s="408">
        <f t="shared" si="73"/>
        <v>0</v>
      </c>
      <c r="BF82" s="408">
        <f t="shared" si="73"/>
        <v>0</v>
      </c>
      <c r="BG82" s="408">
        <f t="shared" si="73"/>
        <v>0</v>
      </c>
      <c r="BH82" s="408">
        <f t="shared" si="73"/>
        <v>0</v>
      </c>
      <c r="BI82" s="408">
        <f t="shared" si="73"/>
        <v>0</v>
      </c>
      <c r="BJ82" s="408">
        <f t="shared" si="74"/>
        <v>0</v>
      </c>
      <c r="BK82" s="408">
        <f t="shared" si="74"/>
        <v>0</v>
      </c>
      <c r="BL82" s="408">
        <f t="shared" si="74"/>
        <v>0</v>
      </c>
      <c r="BM82" s="408">
        <f t="shared" si="74"/>
        <v>0</v>
      </c>
      <c r="BN82" s="408">
        <f t="shared" si="74"/>
        <v>0</v>
      </c>
      <c r="BO82" s="408">
        <f t="shared" si="74"/>
        <v>0</v>
      </c>
      <c r="BP82" s="408">
        <f t="shared" si="74"/>
        <v>0</v>
      </c>
      <c r="BQ82" s="408">
        <f t="shared" si="74"/>
        <v>0</v>
      </c>
      <c r="BR82" s="408">
        <f t="shared" si="74"/>
        <v>0</v>
      </c>
      <c r="BS82" s="408">
        <f t="shared" si="74"/>
        <v>0</v>
      </c>
      <c r="BT82" s="408">
        <f t="shared" si="75"/>
        <v>0</v>
      </c>
      <c r="BU82" s="408">
        <f t="shared" si="75"/>
        <v>0</v>
      </c>
      <c r="BV82" s="408">
        <f t="shared" si="75"/>
        <v>0</v>
      </c>
      <c r="BW82" s="408">
        <f t="shared" si="75"/>
        <v>0</v>
      </c>
      <c r="BX82" s="408">
        <f t="shared" si="75"/>
        <v>0</v>
      </c>
      <c r="BY82" s="408">
        <f t="shared" si="75"/>
        <v>0</v>
      </c>
      <c r="BZ82" s="408">
        <f t="shared" si="75"/>
        <v>0</v>
      </c>
      <c r="CA82" s="408">
        <f t="shared" si="75"/>
        <v>0</v>
      </c>
    </row>
    <row r="83" spans="3:79" ht="21" hidden="1" customHeight="1" outlineLevel="2">
      <c r="C83" s="370"/>
      <c r="D83" s="374">
        <f t="shared" si="76"/>
        <v>45107</v>
      </c>
      <c r="E83" s="408" cm="1">
        <f t="array" ref="E83">INDEX($AF$18:$CA$18,0,MATCH($D83,$AF$8:$CA$8,0))</f>
        <v>0</v>
      </c>
      <c r="F83" s="372"/>
      <c r="G83" s="409"/>
      <c r="H83" s="410">
        <f t="shared" si="69"/>
        <v>0</v>
      </c>
      <c r="I83" s="410">
        <f t="shared" si="69"/>
        <v>0</v>
      </c>
      <c r="J83" s="410">
        <f t="shared" si="69"/>
        <v>0</v>
      </c>
      <c r="K83" s="410">
        <f t="shared" si="69"/>
        <v>0</v>
      </c>
      <c r="M83" s="359"/>
      <c r="N83" s="410">
        <f t="shared" si="70"/>
        <v>0</v>
      </c>
      <c r="O83" s="410">
        <f t="shared" si="70"/>
        <v>0</v>
      </c>
      <c r="P83" s="410">
        <f t="shared" si="70"/>
        <v>0</v>
      </c>
      <c r="Q83" s="410">
        <f t="shared" si="70"/>
        <v>0</v>
      </c>
      <c r="R83" s="410">
        <f t="shared" si="70"/>
        <v>0</v>
      </c>
      <c r="S83" s="410">
        <f t="shared" si="70"/>
        <v>0</v>
      </c>
      <c r="T83" s="410">
        <f t="shared" si="70"/>
        <v>0</v>
      </c>
      <c r="U83" s="410">
        <f t="shared" si="70"/>
        <v>0</v>
      </c>
      <c r="V83" s="410">
        <f t="shared" si="70"/>
        <v>0</v>
      </c>
      <c r="W83" s="410">
        <f t="shared" si="70"/>
        <v>0</v>
      </c>
      <c r="X83" s="410">
        <f t="shared" si="70"/>
        <v>0</v>
      </c>
      <c r="Y83" s="410">
        <f t="shared" si="70"/>
        <v>0</v>
      </c>
      <c r="Z83" s="410">
        <f t="shared" si="70"/>
        <v>0</v>
      </c>
      <c r="AA83" s="410">
        <f t="shared" si="70"/>
        <v>0</v>
      </c>
      <c r="AB83" s="410">
        <f t="shared" si="70"/>
        <v>0</v>
      </c>
      <c r="AC83" s="410">
        <f t="shared" si="70"/>
        <v>0</v>
      </c>
      <c r="AD83" s="372"/>
      <c r="AE83" s="409"/>
      <c r="AF83" s="408">
        <f t="shared" si="71"/>
        <v>0</v>
      </c>
      <c r="AG83" s="408">
        <f t="shared" si="71"/>
        <v>0</v>
      </c>
      <c r="AH83" s="408">
        <f t="shared" si="71"/>
        <v>0</v>
      </c>
      <c r="AI83" s="408">
        <f t="shared" si="71"/>
        <v>0</v>
      </c>
      <c r="AJ83" s="408">
        <f t="shared" si="71"/>
        <v>0</v>
      </c>
      <c r="AK83" s="408">
        <f t="shared" si="71"/>
        <v>0</v>
      </c>
      <c r="AL83" s="408">
        <f t="shared" si="71"/>
        <v>0</v>
      </c>
      <c r="AM83" s="408">
        <f t="shared" si="71"/>
        <v>0</v>
      </c>
      <c r="AN83" s="408">
        <f t="shared" si="71"/>
        <v>0</v>
      </c>
      <c r="AO83" s="408">
        <f t="shared" si="71"/>
        <v>0</v>
      </c>
      <c r="AP83" s="408">
        <f t="shared" si="72"/>
        <v>0</v>
      </c>
      <c r="AQ83" s="408">
        <f t="shared" si="72"/>
        <v>0</v>
      </c>
      <c r="AR83" s="408">
        <f t="shared" si="72"/>
        <v>0</v>
      </c>
      <c r="AS83" s="408">
        <f t="shared" si="72"/>
        <v>0</v>
      </c>
      <c r="AT83" s="408">
        <f t="shared" si="72"/>
        <v>0</v>
      </c>
      <c r="AU83" s="408">
        <f t="shared" si="72"/>
        <v>0</v>
      </c>
      <c r="AV83" s="408">
        <f t="shared" si="72"/>
        <v>0</v>
      </c>
      <c r="AW83" s="408">
        <f t="shared" si="72"/>
        <v>0</v>
      </c>
      <c r="AX83" s="408">
        <f t="shared" si="72"/>
        <v>0</v>
      </c>
      <c r="AY83" s="408">
        <f t="shared" si="72"/>
        <v>0</v>
      </c>
      <c r="AZ83" s="408">
        <f t="shared" si="73"/>
        <v>0</v>
      </c>
      <c r="BA83" s="408">
        <f t="shared" si="73"/>
        <v>0</v>
      </c>
      <c r="BB83" s="408">
        <f t="shared" si="73"/>
        <v>0</v>
      </c>
      <c r="BC83" s="408">
        <f t="shared" si="73"/>
        <v>0</v>
      </c>
      <c r="BD83" s="408">
        <f t="shared" si="73"/>
        <v>0</v>
      </c>
      <c r="BE83" s="408">
        <f t="shared" si="73"/>
        <v>0</v>
      </c>
      <c r="BF83" s="408">
        <f t="shared" si="73"/>
        <v>0</v>
      </c>
      <c r="BG83" s="408">
        <f t="shared" si="73"/>
        <v>0</v>
      </c>
      <c r="BH83" s="408">
        <f t="shared" si="73"/>
        <v>0</v>
      </c>
      <c r="BI83" s="408">
        <f t="shared" si="73"/>
        <v>0</v>
      </c>
      <c r="BJ83" s="408">
        <f t="shared" si="74"/>
        <v>0</v>
      </c>
      <c r="BK83" s="408">
        <f t="shared" si="74"/>
        <v>0</v>
      </c>
      <c r="BL83" s="408">
        <f t="shared" si="74"/>
        <v>0</v>
      </c>
      <c r="BM83" s="408">
        <f t="shared" si="74"/>
        <v>0</v>
      </c>
      <c r="BN83" s="408">
        <f t="shared" si="74"/>
        <v>0</v>
      </c>
      <c r="BO83" s="408">
        <f t="shared" si="74"/>
        <v>0</v>
      </c>
      <c r="BP83" s="408">
        <f t="shared" si="74"/>
        <v>0</v>
      </c>
      <c r="BQ83" s="408">
        <f t="shared" si="74"/>
        <v>0</v>
      </c>
      <c r="BR83" s="408">
        <f t="shared" si="74"/>
        <v>0</v>
      </c>
      <c r="BS83" s="408">
        <f t="shared" si="74"/>
        <v>0</v>
      </c>
      <c r="BT83" s="408">
        <f t="shared" si="75"/>
        <v>0</v>
      </c>
      <c r="BU83" s="408">
        <f t="shared" si="75"/>
        <v>0</v>
      </c>
      <c r="BV83" s="408">
        <f t="shared" si="75"/>
        <v>0</v>
      </c>
      <c r="BW83" s="408">
        <f t="shared" si="75"/>
        <v>0</v>
      </c>
      <c r="BX83" s="408">
        <f t="shared" si="75"/>
        <v>0</v>
      </c>
      <c r="BY83" s="408">
        <f t="shared" si="75"/>
        <v>0</v>
      </c>
      <c r="BZ83" s="408">
        <f t="shared" si="75"/>
        <v>0</v>
      </c>
      <c r="CA83" s="408">
        <f t="shared" si="75"/>
        <v>0</v>
      </c>
    </row>
    <row r="84" spans="3:79" ht="21" hidden="1" customHeight="1" outlineLevel="2">
      <c r="C84" s="370"/>
      <c r="D84" s="374">
        <f t="shared" si="76"/>
        <v>45138</v>
      </c>
      <c r="E84" s="408" cm="1">
        <f t="array" ref="E84">INDEX($AF$18:$CA$18,0,MATCH($D84,$AF$8:$CA$8,0))</f>
        <v>0</v>
      </c>
      <c r="F84" s="372"/>
      <c r="G84" s="409"/>
      <c r="H84" s="410">
        <f t="shared" si="69"/>
        <v>0</v>
      </c>
      <c r="I84" s="410">
        <f t="shared" si="69"/>
        <v>0</v>
      </c>
      <c r="J84" s="410">
        <f t="shared" si="69"/>
        <v>0</v>
      </c>
      <c r="K84" s="410">
        <f t="shared" si="69"/>
        <v>0</v>
      </c>
      <c r="M84" s="359"/>
      <c r="N84" s="410">
        <f t="shared" si="70"/>
        <v>0</v>
      </c>
      <c r="O84" s="410">
        <f t="shared" si="70"/>
        <v>0</v>
      </c>
      <c r="P84" s="410">
        <f t="shared" si="70"/>
        <v>0</v>
      </c>
      <c r="Q84" s="410">
        <f t="shared" si="70"/>
        <v>0</v>
      </c>
      <c r="R84" s="410">
        <f t="shared" si="70"/>
        <v>0</v>
      </c>
      <c r="S84" s="410">
        <f t="shared" si="70"/>
        <v>0</v>
      </c>
      <c r="T84" s="410">
        <f t="shared" si="70"/>
        <v>0</v>
      </c>
      <c r="U84" s="410">
        <f t="shared" si="70"/>
        <v>0</v>
      </c>
      <c r="V84" s="410">
        <f t="shared" si="70"/>
        <v>0</v>
      </c>
      <c r="W84" s="410">
        <f t="shared" si="70"/>
        <v>0</v>
      </c>
      <c r="X84" s="410">
        <f t="shared" si="70"/>
        <v>0</v>
      </c>
      <c r="Y84" s="410">
        <f t="shared" si="70"/>
        <v>0</v>
      </c>
      <c r="Z84" s="410">
        <f t="shared" si="70"/>
        <v>0</v>
      </c>
      <c r="AA84" s="410">
        <f t="shared" si="70"/>
        <v>0</v>
      </c>
      <c r="AB84" s="410">
        <f t="shared" si="70"/>
        <v>0</v>
      </c>
      <c r="AC84" s="410">
        <f t="shared" si="70"/>
        <v>0</v>
      </c>
      <c r="AD84" s="372"/>
      <c r="AE84" s="409"/>
      <c r="AF84" s="408">
        <f t="shared" si="71"/>
        <v>0</v>
      </c>
      <c r="AG84" s="408">
        <f t="shared" si="71"/>
        <v>0</v>
      </c>
      <c r="AH84" s="408">
        <f t="shared" si="71"/>
        <v>0</v>
      </c>
      <c r="AI84" s="408">
        <f t="shared" si="71"/>
        <v>0</v>
      </c>
      <c r="AJ84" s="408">
        <f t="shared" si="71"/>
        <v>0</v>
      </c>
      <c r="AK84" s="408">
        <f t="shared" si="71"/>
        <v>0</v>
      </c>
      <c r="AL84" s="408">
        <f t="shared" si="71"/>
        <v>0</v>
      </c>
      <c r="AM84" s="408">
        <f t="shared" si="71"/>
        <v>0</v>
      </c>
      <c r="AN84" s="408">
        <f t="shared" si="71"/>
        <v>0</v>
      </c>
      <c r="AO84" s="408">
        <f t="shared" si="71"/>
        <v>0</v>
      </c>
      <c r="AP84" s="408">
        <f t="shared" si="72"/>
        <v>0</v>
      </c>
      <c r="AQ84" s="408">
        <f t="shared" si="72"/>
        <v>0</v>
      </c>
      <c r="AR84" s="408">
        <f t="shared" si="72"/>
        <v>0</v>
      </c>
      <c r="AS84" s="408">
        <f t="shared" si="72"/>
        <v>0</v>
      </c>
      <c r="AT84" s="408">
        <f t="shared" si="72"/>
        <v>0</v>
      </c>
      <c r="AU84" s="408">
        <f t="shared" si="72"/>
        <v>0</v>
      </c>
      <c r="AV84" s="408">
        <f t="shared" si="72"/>
        <v>0</v>
      </c>
      <c r="AW84" s="408">
        <f t="shared" si="72"/>
        <v>0</v>
      </c>
      <c r="AX84" s="408">
        <f t="shared" si="72"/>
        <v>0</v>
      </c>
      <c r="AY84" s="408">
        <f t="shared" si="72"/>
        <v>0</v>
      </c>
      <c r="AZ84" s="408">
        <f t="shared" si="73"/>
        <v>0</v>
      </c>
      <c r="BA84" s="408">
        <f t="shared" si="73"/>
        <v>0</v>
      </c>
      <c r="BB84" s="408">
        <f t="shared" si="73"/>
        <v>0</v>
      </c>
      <c r="BC84" s="408">
        <f t="shared" si="73"/>
        <v>0</v>
      </c>
      <c r="BD84" s="408">
        <f t="shared" si="73"/>
        <v>0</v>
      </c>
      <c r="BE84" s="408">
        <f t="shared" si="73"/>
        <v>0</v>
      </c>
      <c r="BF84" s="408">
        <f t="shared" si="73"/>
        <v>0</v>
      </c>
      <c r="BG84" s="408">
        <f t="shared" si="73"/>
        <v>0</v>
      </c>
      <c r="BH84" s="408">
        <f t="shared" si="73"/>
        <v>0</v>
      </c>
      <c r="BI84" s="408">
        <f t="shared" si="73"/>
        <v>0</v>
      </c>
      <c r="BJ84" s="408">
        <f t="shared" si="74"/>
        <v>0</v>
      </c>
      <c r="BK84" s="408">
        <f t="shared" si="74"/>
        <v>0</v>
      </c>
      <c r="BL84" s="408">
        <f t="shared" si="74"/>
        <v>0</v>
      </c>
      <c r="BM84" s="408">
        <f t="shared" si="74"/>
        <v>0</v>
      </c>
      <c r="BN84" s="408">
        <f t="shared" si="74"/>
        <v>0</v>
      </c>
      <c r="BO84" s="408">
        <f t="shared" si="74"/>
        <v>0</v>
      </c>
      <c r="BP84" s="408">
        <f t="shared" si="74"/>
        <v>0</v>
      </c>
      <c r="BQ84" s="408">
        <f t="shared" si="74"/>
        <v>0</v>
      </c>
      <c r="BR84" s="408">
        <f t="shared" si="74"/>
        <v>0</v>
      </c>
      <c r="BS84" s="408">
        <f t="shared" si="74"/>
        <v>0</v>
      </c>
      <c r="BT84" s="408">
        <f t="shared" si="75"/>
        <v>0</v>
      </c>
      <c r="BU84" s="408">
        <f t="shared" si="75"/>
        <v>0</v>
      </c>
      <c r="BV84" s="408">
        <f t="shared" si="75"/>
        <v>0</v>
      </c>
      <c r="BW84" s="408">
        <f t="shared" si="75"/>
        <v>0</v>
      </c>
      <c r="BX84" s="408">
        <f t="shared" si="75"/>
        <v>0</v>
      </c>
      <c r="BY84" s="408">
        <f t="shared" si="75"/>
        <v>0</v>
      </c>
      <c r="BZ84" s="408">
        <f t="shared" si="75"/>
        <v>0</v>
      </c>
      <c r="CA84" s="408">
        <f t="shared" si="75"/>
        <v>0</v>
      </c>
    </row>
    <row r="85" spans="3:79" ht="21" hidden="1" customHeight="1" outlineLevel="2">
      <c r="C85" s="370"/>
      <c r="D85" s="374">
        <f t="shared" si="76"/>
        <v>45169</v>
      </c>
      <c r="E85" s="408" cm="1">
        <f t="array" ref="E85">INDEX($AF$18:$CA$18,0,MATCH($D85,$AF$8:$CA$8,0))</f>
        <v>0</v>
      </c>
      <c r="F85" s="372"/>
      <c r="G85" s="409"/>
      <c r="H85" s="410">
        <f t="shared" si="69"/>
        <v>0</v>
      </c>
      <c r="I85" s="410">
        <f t="shared" si="69"/>
        <v>0</v>
      </c>
      <c r="J85" s="410">
        <f t="shared" si="69"/>
        <v>0</v>
      </c>
      <c r="K85" s="410">
        <f t="shared" si="69"/>
        <v>0</v>
      </c>
      <c r="M85" s="359"/>
      <c r="N85" s="410">
        <f t="shared" si="70"/>
        <v>0</v>
      </c>
      <c r="O85" s="410">
        <f t="shared" si="70"/>
        <v>0</v>
      </c>
      <c r="P85" s="410">
        <f t="shared" si="70"/>
        <v>0</v>
      </c>
      <c r="Q85" s="410">
        <f t="shared" si="70"/>
        <v>0</v>
      </c>
      <c r="R85" s="410">
        <f t="shared" si="70"/>
        <v>0</v>
      </c>
      <c r="S85" s="410">
        <f t="shared" si="70"/>
        <v>0</v>
      </c>
      <c r="T85" s="410">
        <f t="shared" si="70"/>
        <v>0</v>
      </c>
      <c r="U85" s="410">
        <f t="shared" si="70"/>
        <v>0</v>
      </c>
      <c r="V85" s="410">
        <f t="shared" si="70"/>
        <v>0</v>
      </c>
      <c r="W85" s="410">
        <f t="shared" si="70"/>
        <v>0</v>
      </c>
      <c r="X85" s="410">
        <f t="shared" si="70"/>
        <v>0</v>
      </c>
      <c r="Y85" s="410">
        <f t="shared" si="70"/>
        <v>0</v>
      </c>
      <c r="Z85" s="410">
        <f t="shared" si="70"/>
        <v>0</v>
      </c>
      <c r="AA85" s="410">
        <f t="shared" si="70"/>
        <v>0</v>
      </c>
      <c r="AB85" s="410">
        <f t="shared" si="70"/>
        <v>0</v>
      </c>
      <c r="AC85" s="410">
        <f t="shared" si="70"/>
        <v>0</v>
      </c>
      <c r="AD85" s="372"/>
      <c r="AE85" s="409"/>
      <c r="AF85" s="408">
        <f t="shared" si="71"/>
        <v>0</v>
      </c>
      <c r="AG85" s="408">
        <f t="shared" si="71"/>
        <v>0</v>
      </c>
      <c r="AH85" s="408">
        <f t="shared" si="71"/>
        <v>0</v>
      </c>
      <c r="AI85" s="408">
        <f t="shared" si="71"/>
        <v>0</v>
      </c>
      <c r="AJ85" s="408">
        <f t="shared" si="71"/>
        <v>0</v>
      </c>
      <c r="AK85" s="408">
        <f t="shared" si="71"/>
        <v>0</v>
      </c>
      <c r="AL85" s="408">
        <f t="shared" si="71"/>
        <v>0</v>
      </c>
      <c r="AM85" s="408">
        <f t="shared" si="71"/>
        <v>0</v>
      </c>
      <c r="AN85" s="408">
        <f t="shared" si="71"/>
        <v>0</v>
      </c>
      <c r="AO85" s="408">
        <f t="shared" si="71"/>
        <v>0</v>
      </c>
      <c r="AP85" s="408">
        <f t="shared" si="72"/>
        <v>0</v>
      </c>
      <c r="AQ85" s="408">
        <f t="shared" si="72"/>
        <v>0</v>
      </c>
      <c r="AR85" s="408">
        <f t="shared" si="72"/>
        <v>0</v>
      </c>
      <c r="AS85" s="408">
        <f t="shared" si="72"/>
        <v>0</v>
      </c>
      <c r="AT85" s="408">
        <f t="shared" si="72"/>
        <v>0</v>
      </c>
      <c r="AU85" s="408">
        <f t="shared" si="72"/>
        <v>0</v>
      </c>
      <c r="AV85" s="408">
        <f t="shared" si="72"/>
        <v>0</v>
      </c>
      <c r="AW85" s="408">
        <f t="shared" si="72"/>
        <v>0</v>
      </c>
      <c r="AX85" s="408">
        <f t="shared" si="72"/>
        <v>0</v>
      </c>
      <c r="AY85" s="408">
        <f t="shared" si="72"/>
        <v>0</v>
      </c>
      <c r="AZ85" s="408">
        <f t="shared" si="73"/>
        <v>0</v>
      </c>
      <c r="BA85" s="408">
        <f t="shared" si="73"/>
        <v>0</v>
      </c>
      <c r="BB85" s="408">
        <f t="shared" si="73"/>
        <v>0</v>
      </c>
      <c r="BC85" s="408">
        <f t="shared" si="73"/>
        <v>0</v>
      </c>
      <c r="BD85" s="408">
        <f t="shared" si="73"/>
        <v>0</v>
      </c>
      <c r="BE85" s="408">
        <f t="shared" si="73"/>
        <v>0</v>
      </c>
      <c r="BF85" s="408">
        <f t="shared" si="73"/>
        <v>0</v>
      </c>
      <c r="BG85" s="408">
        <f t="shared" si="73"/>
        <v>0</v>
      </c>
      <c r="BH85" s="408">
        <f t="shared" si="73"/>
        <v>0</v>
      </c>
      <c r="BI85" s="408">
        <f t="shared" si="73"/>
        <v>0</v>
      </c>
      <c r="BJ85" s="408">
        <f t="shared" si="74"/>
        <v>0</v>
      </c>
      <c r="BK85" s="408">
        <f t="shared" si="74"/>
        <v>0</v>
      </c>
      <c r="BL85" s="408">
        <f t="shared" si="74"/>
        <v>0</v>
      </c>
      <c r="BM85" s="408">
        <f t="shared" si="74"/>
        <v>0</v>
      </c>
      <c r="BN85" s="408">
        <f t="shared" si="74"/>
        <v>0</v>
      </c>
      <c r="BO85" s="408">
        <f t="shared" si="74"/>
        <v>0</v>
      </c>
      <c r="BP85" s="408">
        <f t="shared" si="74"/>
        <v>0</v>
      </c>
      <c r="BQ85" s="408">
        <f t="shared" si="74"/>
        <v>0</v>
      </c>
      <c r="BR85" s="408">
        <f t="shared" si="74"/>
        <v>0</v>
      </c>
      <c r="BS85" s="408">
        <f t="shared" si="74"/>
        <v>0</v>
      </c>
      <c r="BT85" s="408">
        <f t="shared" si="75"/>
        <v>0</v>
      </c>
      <c r="BU85" s="408">
        <f t="shared" si="75"/>
        <v>0</v>
      </c>
      <c r="BV85" s="408">
        <f t="shared" si="75"/>
        <v>0</v>
      </c>
      <c r="BW85" s="408">
        <f t="shared" si="75"/>
        <v>0</v>
      </c>
      <c r="BX85" s="408">
        <f t="shared" si="75"/>
        <v>0</v>
      </c>
      <c r="BY85" s="408">
        <f t="shared" si="75"/>
        <v>0</v>
      </c>
      <c r="BZ85" s="408">
        <f t="shared" si="75"/>
        <v>0</v>
      </c>
      <c r="CA85" s="408">
        <f t="shared" si="75"/>
        <v>0</v>
      </c>
    </row>
    <row r="86" spans="3:79" ht="21" hidden="1" customHeight="1" outlineLevel="2">
      <c r="C86" s="370"/>
      <c r="D86" s="374">
        <f t="shared" si="76"/>
        <v>45199</v>
      </c>
      <c r="E86" s="408" cm="1">
        <f t="array" ref="E86">INDEX($AF$18:$CA$18,0,MATCH($D86,$AF$8:$CA$8,0))</f>
        <v>0</v>
      </c>
      <c r="F86" s="372"/>
      <c r="G86" s="409"/>
      <c r="H86" s="410">
        <f t="shared" si="69"/>
        <v>0</v>
      </c>
      <c r="I86" s="410">
        <f t="shared" si="69"/>
        <v>0</v>
      </c>
      <c r="J86" s="410">
        <f t="shared" si="69"/>
        <v>0</v>
      </c>
      <c r="K86" s="410">
        <f t="shared" si="69"/>
        <v>0</v>
      </c>
      <c r="M86" s="359"/>
      <c r="N86" s="410">
        <f t="shared" si="70"/>
        <v>0</v>
      </c>
      <c r="O86" s="410">
        <f t="shared" si="70"/>
        <v>0</v>
      </c>
      <c r="P86" s="410">
        <f t="shared" si="70"/>
        <v>0</v>
      </c>
      <c r="Q86" s="410">
        <f t="shared" si="70"/>
        <v>0</v>
      </c>
      <c r="R86" s="410">
        <f t="shared" si="70"/>
        <v>0</v>
      </c>
      <c r="S86" s="410">
        <f t="shared" si="70"/>
        <v>0</v>
      </c>
      <c r="T86" s="410">
        <f t="shared" si="70"/>
        <v>0</v>
      </c>
      <c r="U86" s="410">
        <f t="shared" si="70"/>
        <v>0</v>
      </c>
      <c r="V86" s="410">
        <f t="shared" si="70"/>
        <v>0</v>
      </c>
      <c r="W86" s="410">
        <f t="shared" si="70"/>
        <v>0</v>
      </c>
      <c r="X86" s="410">
        <f t="shared" si="70"/>
        <v>0</v>
      </c>
      <c r="Y86" s="410">
        <f t="shared" si="70"/>
        <v>0</v>
      </c>
      <c r="Z86" s="410">
        <f t="shared" si="70"/>
        <v>0</v>
      </c>
      <c r="AA86" s="410">
        <f t="shared" si="70"/>
        <v>0</v>
      </c>
      <c r="AB86" s="410">
        <f t="shared" si="70"/>
        <v>0</v>
      </c>
      <c r="AC86" s="410">
        <f t="shared" si="70"/>
        <v>0</v>
      </c>
      <c r="AD86" s="372"/>
      <c r="AE86" s="409"/>
      <c r="AF86" s="408">
        <f t="shared" si="71"/>
        <v>0</v>
      </c>
      <c r="AG86" s="408">
        <f t="shared" si="71"/>
        <v>0</v>
      </c>
      <c r="AH86" s="408">
        <f t="shared" si="71"/>
        <v>0</v>
      </c>
      <c r="AI86" s="408">
        <f t="shared" si="71"/>
        <v>0</v>
      </c>
      <c r="AJ86" s="408">
        <f t="shared" si="71"/>
        <v>0</v>
      </c>
      <c r="AK86" s="408">
        <f t="shared" si="71"/>
        <v>0</v>
      </c>
      <c r="AL86" s="408">
        <f t="shared" si="71"/>
        <v>0</v>
      </c>
      <c r="AM86" s="408">
        <f t="shared" si="71"/>
        <v>0</v>
      </c>
      <c r="AN86" s="408">
        <f t="shared" si="71"/>
        <v>0</v>
      </c>
      <c r="AO86" s="408">
        <f t="shared" si="71"/>
        <v>0</v>
      </c>
      <c r="AP86" s="408">
        <f t="shared" si="72"/>
        <v>0</v>
      </c>
      <c r="AQ86" s="408">
        <f t="shared" si="72"/>
        <v>0</v>
      </c>
      <c r="AR86" s="408">
        <f t="shared" si="72"/>
        <v>0</v>
      </c>
      <c r="AS86" s="408">
        <f t="shared" si="72"/>
        <v>0</v>
      </c>
      <c r="AT86" s="408">
        <f t="shared" si="72"/>
        <v>0</v>
      </c>
      <c r="AU86" s="408">
        <f t="shared" si="72"/>
        <v>0</v>
      </c>
      <c r="AV86" s="408">
        <f t="shared" si="72"/>
        <v>0</v>
      </c>
      <c r="AW86" s="408">
        <f t="shared" si="72"/>
        <v>0</v>
      </c>
      <c r="AX86" s="408">
        <f t="shared" si="72"/>
        <v>0</v>
      </c>
      <c r="AY86" s="408">
        <f t="shared" si="72"/>
        <v>0</v>
      </c>
      <c r="AZ86" s="408">
        <f t="shared" si="73"/>
        <v>0</v>
      </c>
      <c r="BA86" s="408">
        <f t="shared" si="73"/>
        <v>0</v>
      </c>
      <c r="BB86" s="408">
        <f t="shared" si="73"/>
        <v>0</v>
      </c>
      <c r="BC86" s="408">
        <f t="shared" si="73"/>
        <v>0</v>
      </c>
      <c r="BD86" s="408">
        <f t="shared" si="73"/>
        <v>0</v>
      </c>
      <c r="BE86" s="408">
        <f t="shared" si="73"/>
        <v>0</v>
      </c>
      <c r="BF86" s="408">
        <f t="shared" si="73"/>
        <v>0</v>
      </c>
      <c r="BG86" s="408">
        <f t="shared" si="73"/>
        <v>0</v>
      </c>
      <c r="BH86" s="408">
        <f t="shared" si="73"/>
        <v>0</v>
      </c>
      <c r="BI86" s="408">
        <f t="shared" si="73"/>
        <v>0</v>
      </c>
      <c r="BJ86" s="408">
        <f t="shared" si="74"/>
        <v>0</v>
      </c>
      <c r="BK86" s="408">
        <f t="shared" si="74"/>
        <v>0</v>
      </c>
      <c r="BL86" s="408">
        <f t="shared" si="74"/>
        <v>0</v>
      </c>
      <c r="BM86" s="408">
        <f t="shared" si="74"/>
        <v>0</v>
      </c>
      <c r="BN86" s="408">
        <f t="shared" si="74"/>
        <v>0</v>
      </c>
      <c r="BO86" s="408">
        <f t="shared" si="74"/>
        <v>0</v>
      </c>
      <c r="BP86" s="408">
        <f t="shared" si="74"/>
        <v>0</v>
      </c>
      <c r="BQ86" s="408">
        <f t="shared" si="74"/>
        <v>0</v>
      </c>
      <c r="BR86" s="408">
        <f t="shared" si="74"/>
        <v>0</v>
      </c>
      <c r="BS86" s="408">
        <f t="shared" si="74"/>
        <v>0</v>
      </c>
      <c r="BT86" s="408">
        <f t="shared" si="75"/>
        <v>0</v>
      </c>
      <c r="BU86" s="408">
        <f t="shared" si="75"/>
        <v>0</v>
      </c>
      <c r="BV86" s="408">
        <f t="shared" si="75"/>
        <v>0</v>
      </c>
      <c r="BW86" s="408">
        <f t="shared" si="75"/>
        <v>0</v>
      </c>
      <c r="BX86" s="408">
        <f t="shared" si="75"/>
        <v>0</v>
      </c>
      <c r="BY86" s="408">
        <f t="shared" si="75"/>
        <v>0</v>
      </c>
      <c r="BZ86" s="408">
        <f t="shared" si="75"/>
        <v>0</v>
      </c>
      <c r="CA86" s="408">
        <f t="shared" si="75"/>
        <v>0</v>
      </c>
    </row>
    <row r="87" spans="3:79" ht="21" hidden="1" customHeight="1" outlineLevel="2">
      <c r="C87" s="370"/>
      <c r="D87" s="374">
        <f t="shared" si="76"/>
        <v>45230</v>
      </c>
      <c r="E87" s="408" cm="1">
        <f t="array" ref="E87">INDEX($AF$18:$CA$18,0,MATCH($D87,$AF$8:$CA$8,0))</f>
        <v>0</v>
      </c>
      <c r="F87" s="372"/>
      <c r="G87" s="409"/>
      <c r="H87" s="410">
        <f t="shared" si="69"/>
        <v>0</v>
      </c>
      <c r="I87" s="410">
        <f t="shared" si="69"/>
        <v>0</v>
      </c>
      <c r="J87" s="410">
        <f t="shared" si="69"/>
        <v>0</v>
      </c>
      <c r="K87" s="410">
        <f t="shared" si="69"/>
        <v>0</v>
      </c>
      <c r="M87" s="359"/>
      <c r="N87" s="410">
        <f t="shared" si="70"/>
        <v>0</v>
      </c>
      <c r="O87" s="410">
        <f t="shared" si="70"/>
        <v>0</v>
      </c>
      <c r="P87" s="410">
        <f t="shared" si="70"/>
        <v>0</v>
      </c>
      <c r="Q87" s="410">
        <f t="shared" si="70"/>
        <v>0</v>
      </c>
      <c r="R87" s="410">
        <f t="shared" si="70"/>
        <v>0</v>
      </c>
      <c r="S87" s="410">
        <f t="shared" si="70"/>
        <v>0</v>
      </c>
      <c r="T87" s="410">
        <f t="shared" si="70"/>
        <v>0</v>
      </c>
      <c r="U87" s="410">
        <f t="shared" si="70"/>
        <v>0</v>
      </c>
      <c r="V87" s="410">
        <f t="shared" si="70"/>
        <v>0</v>
      </c>
      <c r="W87" s="410">
        <f t="shared" si="70"/>
        <v>0</v>
      </c>
      <c r="X87" s="410">
        <f t="shared" si="70"/>
        <v>0</v>
      </c>
      <c r="Y87" s="410">
        <f t="shared" si="70"/>
        <v>0</v>
      </c>
      <c r="Z87" s="410">
        <f t="shared" si="70"/>
        <v>0</v>
      </c>
      <c r="AA87" s="410">
        <f t="shared" si="70"/>
        <v>0</v>
      </c>
      <c r="AB87" s="410">
        <f t="shared" si="70"/>
        <v>0</v>
      </c>
      <c r="AC87" s="410">
        <f t="shared" si="70"/>
        <v>0</v>
      </c>
      <c r="AD87" s="372"/>
      <c r="AE87" s="409"/>
      <c r="AF87" s="408">
        <f t="shared" si="71"/>
        <v>0</v>
      </c>
      <c r="AG87" s="408">
        <f t="shared" si="71"/>
        <v>0</v>
      </c>
      <c r="AH87" s="408">
        <f t="shared" si="71"/>
        <v>0</v>
      </c>
      <c r="AI87" s="408">
        <f t="shared" si="71"/>
        <v>0</v>
      </c>
      <c r="AJ87" s="408">
        <f t="shared" si="71"/>
        <v>0</v>
      </c>
      <c r="AK87" s="408">
        <f t="shared" si="71"/>
        <v>0</v>
      </c>
      <c r="AL87" s="408">
        <f t="shared" si="71"/>
        <v>0</v>
      </c>
      <c r="AM87" s="408">
        <f t="shared" si="71"/>
        <v>0</v>
      </c>
      <c r="AN87" s="408">
        <f t="shared" si="71"/>
        <v>0</v>
      </c>
      <c r="AO87" s="408">
        <f t="shared" si="71"/>
        <v>0</v>
      </c>
      <c r="AP87" s="408">
        <f t="shared" si="72"/>
        <v>0</v>
      </c>
      <c r="AQ87" s="408">
        <f t="shared" si="72"/>
        <v>0</v>
      </c>
      <c r="AR87" s="408">
        <f t="shared" si="72"/>
        <v>0</v>
      </c>
      <c r="AS87" s="408">
        <f t="shared" si="72"/>
        <v>0</v>
      </c>
      <c r="AT87" s="408">
        <f t="shared" si="72"/>
        <v>0</v>
      </c>
      <c r="AU87" s="408">
        <f t="shared" si="72"/>
        <v>0</v>
      </c>
      <c r="AV87" s="408">
        <f t="shared" si="72"/>
        <v>0</v>
      </c>
      <c r="AW87" s="408">
        <f t="shared" si="72"/>
        <v>0</v>
      </c>
      <c r="AX87" s="408">
        <f t="shared" si="72"/>
        <v>0</v>
      </c>
      <c r="AY87" s="408">
        <f t="shared" si="72"/>
        <v>0</v>
      </c>
      <c r="AZ87" s="408">
        <f t="shared" si="73"/>
        <v>0</v>
      </c>
      <c r="BA87" s="408">
        <f t="shared" si="73"/>
        <v>0</v>
      </c>
      <c r="BB87" s="408">
        <f t="shared" si="73"/>
        <v>0</v>
      </c>
      <c r="BC87" s="408">
        <f t="shared" si="73"/>
        <v>0</v>
      </c>
      <c r="BD87" s="408">
        <f t="shared" si="73"/>
        <v>0</v>
      </c>
      <c r="BE87" s="408">
        <f t="shared" si="73"/>
        <v>0</v>
      </c>
      <c r="BF87" s="408">
        <f t="shared" si="73"/>
        <v>0</v>
      </c>
      <c r="BG87" s="408">
        <f t="shared" si="73"/>
        <v>0</v>
      </c>
      <c r="BH87" s="408">
        <f t="shared" si="73"/>
        <v>0</v>
      </c>
      <c r="BI87" s="408">
        <f t="shared" si="73"/>
        <v>0</v>
      </c>
      <c r="BJ87" s="408">
        <f t="shared" si="74"/>
        <v>0</v>
      </c>
      <c r="BK87" s="408">
        <f t="shared" si="74"/>
        <v>0</v>
      </c>
      <c r="BL87" s="408">
        <f t="shared" si="74"/>
        <v>0</v>
      </c>
      <c r="BM87" s="408">
        <f t="shared" si="74"/>
        <v>0</v>
      </c>
      <c r="BN87" s="408">
        <f t="shared" si="74"/>
        <v>0</v>
      </c>
      <c r="BO87" s="408">
        <f t="shared" si="74"/>
        <v>0</v>
      </c>
      <c r="BP87" s="408">
        <f t="shared" si="74"/>
        <v>0</v>
      </c>
      <c r="BQ87" s="408">
        <f t="shared" si="74"/>
        <v>0</v>
      </c>
      <c r="BR87" s="408">
        <f t="shared" si="74"/>
        <v>0</v>
      </c>
      <c r="BS87" s="408">
        <f t="shared" si="74"/>
        <v>0</v>
      </c>
      <c r="BT87" s="408">
        <f t="shared" si="75"/>
        <v>0</v>
      </c>
      <c r="BU87" s="408">
        <f t="shared" si="75"/>
        <v>0</v>
      </c>
      <c r="BV87" s="408">
        <f t="shared" si="75"/>
        <v>0</v>
      </c>
      <c r="BW87" s="408">
        <f t="shared" si="75"/>
        <v>0</v>
      </c>
      <c r="BX87" s="408">
        <f t="shared" si="75"/>
        <v>0</v>
      </c>
      <c r="BY87" s="408">
        <f t="shared" si="75"/>
        <v>0</v>
      </c>
      <c r="BZ87" s="408">
        <f t="shared" si="75"/>
        <v>0</v>
      </c>
      <c r="CA87" s="408">
        <f t="shared" si="75"/>
        <v>0</v>
      </c>
    </row>
    <row r="88" spans="3:79" ht="21" hidden="1" customHeight="1" outlineLevel="2">
      <c r="C88" s="370"/>
      <c r="D88" s="374">
        <f t="shared" si="76"/>
        <v>45260</v>
      </c>
      <c r="E88" s="408" cm="1">
        <f t="array" ref="E88">INDEX($AF$18:$CA$18,0,MATCH($D88,$AF$8:$CA$8,0))</f>
        <v>0</v>
      </c>
      <c r="F88" s="372"/>
      <c r="G88" s="409"/>
      <c r="H88" s="410">
        <f t="shared" si="69"/>
        <v>0</v>
      </c>
      <c r="I88" s="410">
        <f t="shared" si="69"/>
        <v>0</v>
      </c>
      <c r="J88" s="410">
        <f t="shared" si="69"/>
        <v>0</v>
      </c>
      <c r="K88" s="410">
        <f t="shared" si="69"/>
        <v>0</v>
      </c>
      <c r="M88" s="359"/>
      <c r="N88" s="410">
        <f t="shared" ref="N88:AC97" si="77">SUMIFS($AF88:$CA88,$AF$4:$CA$4,"&gt;="&amp;N$4,$AF$5:$CA$5,"&lt;="&amp;N$5)</f>
        <v>0</v>
      </c>
      <c r="O88" s="410">
        <f t="shared" si="77"/>
        <v>0</v>
      </c>
      <c r="P88" s="410">
        <f t="shared" si="77"/>
        <v>0</v>
      </c>
      <c r="Q88" s="410">
        <f t="shared" si="77"/>
        <v>0</v>
      </c>
      <c r="R88" s="410">
        <f t="shared" si="77"/>
        <v>0</v>
      </c>
      <c r="S88" s="410">
        <f t="shared" si="77"/>
        <v>0</v>
      </c>
      <c r="T88" s="410">
        <f t="shared" si="77"/>
        <v>0</v>
      </c>
      <c r="U88" s="410">
        <f t="shared" si="77"/>
        <v>0</v>
      </c>
      <c r="V88" s="410">
        <f t="shared" si="77"/>
        <v>0</v>
      </c>
      <c r="W88" s="410">
        <f t="shared" si="77"/>
        <v>0</v>
      </c>
      <c r="X88" s="410">
        <f t="shared" si="77"/>
        <v>0</v>
      </c>
      <c r="Y88" s="410">
        <f t="shared" si="77"/>
        <v>0</v>
      </c>
      <c r="Z88" s="410">
        <f t="shared" si="77"/>
        <v>0</v>
      </c>
      <c r="AA88" s="410">
        <f t="shared" si="77"/>
        <v>0</v>
      </c>
      <c r="AB88" s="410">
        <f t="shared" si="77"/>
        <v>0</v>
      </c>
      <c r="AC88" s="410">
        <f t="shared" si="77"/>
        <v>0</v>
      </c>
      <c r="AD88" s="372"/>
      <c r="AE88" s="409"/>
      <c r="AF88" s="408">
        <f t="shared" ref="AF88:AO97" si="78">IF(AND(AF$8&gt;=$D88,(MATCH(AF$8,$AF$8:$CA$8,0)-MATCH($D88,$AF$8:$CA$8,0))&lt;12),$E88/12,0)</f>
        <v>0</v>
      </c>
      <c r="AG88" s="408">
        <f t="shared" si="78"/>
        <v>0</v>
      </c>
      <c r="AH88" s="408">
        <f t="shared" si="78"/>
        <v>0</v>
      </c>
      <c r="AI88" s="408">
        <f t="shared" si="78"/>
        <v>0</v>
      </c>
      <c r="AJ88" s="408">
        <f t="shared" si="78"/>
        <v>0</v>
      </c>
      <c r="AK88" s="408">
        <f t="shared" si="78"/>
        <v>0</v>
      </c>
      <c r="AL88" s="408">
        <f t="shared" si="78"/>
        <v>0</v>
      </c>
      <c r="AM88" s="408">
        <f t="shared" si="78"/>
        <v>0</v>
      </c>
      <c r="AN88" s="408">
        <f t="shared" si="78"/>
        <v>0</v>
      </c>
      <c r="AO88" s="408">
        <f t="shared" si="78"/>
        <v>0</v>
      </c>
      <c r="AP88" s="408">
        <f t="shared" ref="AP88:AY97" si="79">IF(AND(AP$8&gt;=$D88,(MATCH(AP$8,$AF$8:$CA$8,0)-MATCH($D88,$AF$8:$CA$8,0))&lt;12),$E88/12,0)</f>
        <v>0</v>
      </c>
      <c r="AQ88" s="408">
        <f t="shared" si="79"/>
        <v>0</v>
      </c>
      <c r="AR88" s="408">
        <f t="shared" si="79"/>
        <v>0</v>
      </c>
      <c r="AS88" s="408">
        <f t="shared" si="79"/>
        <v>0</v>
      </c>
      <c r="AT88" s="408">
        <f t="shared" si="79"/>
        <v>0</v>
      </c>
      <c r="AU88" s="408">
        <f t="shared" si="79"/>
        <v>0</v>
      </c>
      <c r="AV88" s="408">
        <f t="shared" si="79"/>
        <v>0</v>
      </c>
      <c r="AW88" s="408">
        <f t="shared" si="79"/>
        <v>0</v>
      </c>
      <c r="AX88" s="408">
        <f t="shared" si="79"/>
        <v>0</v>
      </c>
      <c r="AY88" s="408">
        <f t="shared" si="79"/>
        <v>0</v>
      </c>
      <c r="AZ88" s="408">
        <f t="shared" ref="AZ88:BI97" si="80">IF(AND(AZ$8&gt;=$D88,(MATCH(AZ$8,$AF$8:$CA$8,0)-MATCH($D88,$AF$8:$CA$8,0))&lt;12),$E88/12,0)</f>
        <v>0</v>
      </c>
      <c r="BA88" s="408">
        <f t="shared" si="80"/>
        <v>0</v>
      </c>
      <c r="BB88" s="408">
        <f t="shared" si="80"/>
        <v>0</v>
      </c>
      <c r="BC88" s="408">
        <f t="shared" si="80"/>
        <v>0</v>
      </c>
      <c r="BD88" s="408">
        <f t="shared" si="80"/>
        <v>0</v>
      </c>
      <c r="BE88" s="408">
        <f t="shared" si="80"/>
        <v>0</v>
      </c>
      <c r="BF88" s="408">
        <f t="shared" si="80"/>
        <v>0</v>
      </c>
      <c r="BG88" s="408">
        <f t="shared" si="80"/>
        <v>0</v>
      </c>
      <c r="BH88" s="408">
        <f t="shared" si="80"/>
        <v>0</v>
      </c>
      <c r="BI88" s="408">
        <f t="shared" si="80"/>
        <v>0</v>
      </c>
      <c r="BJ88" s="408">
        <f t="shared" ref="BJ88:BS97" si="81">IF(AND(BJ$8&gt;=$D88,(MATCH(BJ$8,$AF$8:$CA$8,0)-MATCH($D88,$AF$8:$CA$8,0))&lt;12),$E88/12,0)</f>
        <v>0</v>
      </c>
      <c r="BK88" s="408">
        <f t="shared" si="81"/>
        <v>0</v>
      </c>
      <c r="BL88" s="408">
        <f t="shared" si="81"/>
        <v>0</v>
      </c>
      <c r="BM88" s="408">
        <f t="shared" si="81"/>
        <v>0</v>
      </c>
      <c r="BN88" s="408">
        <f t="shared" si="81"/>
        <v>0</v>
      </c>
      <c r="BO88" s="408">
        <f t="shared" si="81"/>
        <v>0</v>
      </c>
      <c r="BP88" s="408">
        <f t="shared" si="81"/>
        <v>0</v>
      </c>
      <c r="BQ88" s="408">
        <f t="shared" si="81"/>
        <v>0</v>
      </c>
      <c r="BR88" s="408">
        <f t="shared" si="81"/>
        <v>0</v>
      </c>
      <c r="BS88" s="408">
        <f t="shared" si="81"/>
        <v>0</v>
      </c>
      <c r="BT88" s="408">
        <f t="shared" ref="BT88:CA97" si="82">IF(AND(BT$8&gt;=$D88,(MATCH(BT$8,$AF$8:$CA$8,0)-MATCH($D88,$AF$8:$CA$8,0))&lt;12),$E88/12,0)</f>
        <v>0</v>
      </c>
      <c r="BU88" s="408">
        <f t="shared" si="82"/>
        <v>0</v>
      </c>
      <c r="BV88" s="408">
        <f t="shared" si="82"/>
        <v>0</v>
      </c>
      <c r="BW88" s="408">
        <f t="shared" si="82"/>
        <v>0</v>
      </c>
      <c r="BX88" s="408">
        <f t="shared" si="82"/>
        <v>0</v>
      </c>
      <c r="BY88" s="408">
        <f t="shared" si="82"/>
        <v>0</v>
      </c>
      <c r="BZ88" s="408">
        <f t="shared" si="82"/>
        <v>0</v>
      </c>
      <c r="CA88" s="408">
        <f t="shared" si="82"/>
        <v>0</v>
      </c>
    </row>
    <row r="89" spans="3:79" ht="21" hidden="1" customHeight="1" outlineLevel="2">
      <c r="C89" s="370"/>
      <c r="D89" s="374">
        <f t="shared" si="76"/>
        <v>45291</v>
      </c>
      <c r="E89" s="408" cm="1">
        <f t="array" ref="E89">INDEX($AF$18:$CA$18,0,MATCH($D89,$AF$8:$CA$8,0))</f>
        <v>0</v>
      </c>
      <c r="F89" s="372"/>
      <c r="G89" s="409"/>
      <c r="H89" s="410">
        <f t="shared" si="69"/>
        <v>0</v>
      </c>
      <c r="I89" s="410">
        <f t="shared" si="69"/>
        <v>0</v>
      </c>
      <c r="J89" s="410">
        <f t="shared" si="69"/>
        <v>0</v>
      </c>
      <c r="K89" s="410">
        <f t="shared" si="69"/>
        <v>0</v>
      </c>
      <c r="M89" s="359"/>
      <c r="N89" s="410">
        <f t="shared" si="77"/>
        <v>0</v>
      </c>
      <c r="O89" s="410">
        <f t="shared" si="77"/>
        <v>0</v>
      </c>
      <c r="P89" s="410">
        <f t="shared" si="77"/>
        <v>0</v>
      </c>
      <c r="Q89" s="410">
        <f t="shared" si="77"/>
        <v>0</v>
      </c>
      <c r="R89" s="410">
        <f t="shared" si="77"/>
        <v>0</v>
      </c>
      <c r="S89" s="410">
        <f t="shared" si="77"/>
        <v>0</v>
      </c>
      <c r="T89" s="410">
        <f t="shared" si="77"/>
        <v>0</v>
      </c>
      <c r="U89" s="410">
        <f t="shared" si="77"/>
        <v>0</v>
      </c>
      <c r="V89" s="410">
        <f t="shared" si="77"/>
        <v>0</v>
      </c>
      <c r="W89" s="410">
        <f t="shared" si="77"/>
        <v>0</v>
      </c>
      <c r="X89" s="410">
        <f t="shared" si="77"/>
        <v>0</v>
      </c>
      <c r="Y89" s="410">
        <f t="shared" si="77"/>
        <v>0</v>
      </c>
      <c r="Z89" s="410">
        <f t="shared" si="77"/>
        <v>0</v>
      </c>
      <c r="AA89" s="410">
        <f t="shared" si="77"/>
        <v>0</v>
      </c>
      <c r="AB89" s="410">
        <f t="shared" si="77"/>
        <v>0</v>
      </c>
      <c r="AC89" s="410">
        <f t="shared" si="77"/>
        <v>0</v>
      </c>
      <c r="AD89" s="372"/>
      <c r="AE89" s="409"/>
      <c r="AF89" s="408">
        <f t="shared" si="78"/>
        <v>0</v>
      </c>
      <c r="AG89" s="408">
        <f t="shared" si="78"/>
        <v>0</v>
      </c>
      <c r="AH89" s="408">
        <f t="shared" si="78"/>
        <v>0</v>
      </c>
      <c r="AI89" s="408">
        <f t="shared" si="78"/>
        <v>0</v>
      </c>
      <c r="AJ89" s="408">
        <f t="shared" si="78"/>
        <v>0</v>
      </c>
      <c r="AK89" s="408">
        <f t="shared" si="78"/>
        <v>0</v>
      </c>
      <c r="AL89" s="408">
        <f t="shared" si="78"/>
        <v>0</v>
      </c>
      <c r="AM89" s="408">
        <f t="shared" si="78"/>
        <v>0</v>
      </c>
      <c r="AN89" s="408">
        <f t="shared" si="78"/>
        <v>0</v>
      </c>
      <c r="AO89" s="408">
        <f t="shared" si="78"/>
        <v>0</v>
      </c>
      <c r="AP89" s="408">
        <f t="shared" si="79"/>
        <v>0</v>
      </c>
      <c r="AQ89" s="408">
        <f t="shared" si="79"/>
        <v>0</v>
      </c>
      <c r="AR89" s="408">
        <f t="shared" si="79"/>
        <v>0</v>
      </c>
      <c r="AS89" s="408">
        <f t="shared" si="79"/>
        <v>0</v>
      </c>
      <c r="AT89" s="408">
        <f t="shared" si="79"/>
        <v>0</v>
      </c>
      <c r="AU89" s="408">
        <f t="shared" si="79"/>
        <v>0</v>
      </c>
      <c r="AV89" s="408">
        <f t="shared" si="79"/>
        <v>0</v>
      </c>
      <c r="AW89" s="408">
        <f t="shared" si="79"/>
        <v>0</v>
      </c>
      <c r="AX89" s="408">
        <f t="shared" si="79"/>
        <v>0</v>
      </c>
      <c r="AY89" s="408">
        <f t="shared" si="79"/>
        <v>0</v>
      </c>
      <c r="AZ89" s="408">
        <f t="shared" si="80"/>
        <v>0</v>
      </c>
      <c r="BA89" s="408">
        <f t="shared" si="80"/>
        <v>0</v>
      </c>
      <c r="BB89" s="408">
        <f t="shared" si="80"/>
        <v>0</v>
      </c>
      <c r="BC89" s="408">
        <f t="shared" si="80"/>
        <v>0</v>
      </c>
      <c r="BD89" s="408">
        <f t="shared" si="80"/>
        <v>0</v>
      </c>
      <c r="BE89" s="408">
        <f t="shared" si="80"/>
        <v>0</v>
      </c>
      <c r="BF89" s="408">
        <f t="shared" si="80"/>
        <v>0</v>
      </c>
      <c r="BG89" s="408">
        <f t="shared" si="80"/>
        <v>0</v>
      </c>
      <c r="BH89" s="408">
        <f t="shared" si="80"/>
        <v>0</v>
      </c>
      <c r="BI89" s="408">
        <f t="shared" si="80"/>
        <v>0</v>
      </c>
      <c r="BJ89" s="408">
        <f t="shared" si="81"/>
        <v>0</v>
      </c>
      <c r="BK89" s="408">
        <f t="shared" si="81"/>
        <v>0</v>
      </c>
      <c r="BL89" s="408">
        <f t="shared" si="81"/>
        <v>0</v>
      </c>
      <c r="BM89" s="408">
        <f t="shared" si="81"/>
        <v>0</v>
      </c>
      <c r="BN89" s="408">
        <f t="shared" si="81"/>
        <v>0</v>
      </c>
      <c r="BO89" s="408">
        <f t="shared" si="81"/>
        <v>0</v>
      </c>
      <c r="BP89" s="408">
        <f t="shared" si="81"/>
        <v>0</v>
      </c>
      <c r="BQ89" s="408">
        <f t="shared" si="81"/>
        <v>0</v>
      </c>
      <c r="BR89" s="408">
        <f t="shared" si="81"/>
        <v>0</v>
      </c>
      <c r="BS89" s="408">
        <f t="shared" si="81"/>
        <v>0</v>
      </c>
      <c r="BT89" s="408">
        <f t="shared" si="82"/>
        <v>0</v>
      </c>
      <c r="BU89" s="408">
        <f t="shared" si="82"/>
        <v>0</v>
      </c>
      <c r="BV89" s="408">
        <f t="shared" si="82"/>
        <v>0</v>
      </c>
      <c r="BW89" s="408">
        <f t="shared" si="82"/>
        <v>0</v>
      </c>
      <c r="BX89" s="408">
        <f t="shared" si="82"/>
        <v>0</v>
      </c>
      <c r="BY89" s="408">
        <f t="shared" si="82"/>
        <v>0</v>
      </c>
      <c r="BZ89" s="408">
        <f t="shared" si="82"/>
        <v>0</v>
      </c>
      <c r="CA89" s="408">
        <f t="shared" si="82"/>
        <v>0</v>
      </c>
    </row>
    <row r="90" spans="3:79" ht="21" hidden="1" customHeight="1" outlineLevel="2">
      <c r="C90" s="370"/>
      <c r="D90" s="374">
        <f t="shared" si="76"/>
        <v>45322</v>
      </c>
      <c r="E90" s="408" cm="1">
        <f t="array" ref="E90">INDEX($AF$18:$CA$18,0,MATCH($D90,$AF$8:$CA$8,0))</f>
        <v>0</v>
      </c>
      <c r="F90" s="372"/>
      <c r="G90" s="409"/>
      <c r="H90" s="410">
        <f t="shared" si="69"/>
        <v>0</v>
      </c>
      <c r="I90" s="410">
        <f t="shared" si="69"/>
        <v>0</v>
      </c>
      <c r="J90" s="410">
        <f t="shared" si="69"/>
        <v>0</v>
      </c>
      <c r="K90" s="410">
        <f t="shared" si="69"/>
        <v>0</v>
      </c>
      <c r="M90" s="359"/>
      <c r="N90" s="410">
        <f t="shared" si="77"/>
        <v>0</v>
      </c>
      <c r="O90" s="410">
        <f t="shared" si="77"/>
        <v>0</v>
      </c>
      <c r="P90" s="410">
        <f t="shared" si="77"/>
        <v>0</v>
      </c>
      <c r="Q90" s="410">
        <f t="shared" si="77"/>
        <v>0</v>
      </c>
      <c r="R90" s="410">
        <f t="shared" si="77"/>
        <v>0</v>
      </c>
      <c r="S90" s="410">
        <f t="shared" si="77"/>
        <v>0</v>
      </c>
      <c r="T90" s="410">
        <f t="shared" si="77"/>
        <v>0</v>
      </c>
      <c r="U90" s="410">
        <f t="shared" si="77"/>
        <v>0</v>
      </c>
      <c r="V90" s="410">
        <f t="shared" si="77"/>
        <v>0</v>
      </c>
      <c r="W90" s="410">
        <f t="shared" si="77"/>
        <v>0</v>
      </c>
      <c r="X90" s="410">
        <f t="shared" si="77"/>
        <v>0</v>
      </c>
      <c r="Y90" s="410">
        <f t="shared" si="77"/>
        <v>0</v>
      </c>
      <c r="Z90" s="410">
        <f t="shared" si="77"/>
        <v>0</v>
      </c>
      <c r="AA90" s="410">
        <f t="shared" si="77"/>
        <v>0</v>
      </c>
      <c r="AB90" s="410">
        <f t="shared" si="77"/>
        <v>0</v>
      </c>
      <c r="AC90" s="410">
        <f t="shared" si="77"/>
        <v>0</v>
      </c>
      <c r="AD90" s="372"/>
      <c r="AE90" s="409"/>
      <c r="AF90" s="408">
        <f t="shared" si="78"/>
        <v>0</v>
      </c>
      <c r="AG90" s="408">
        <f t="shared" si="78"/>
        <v>0</v>
      </c>
      <c r="AH90" s="408">
        <f t="shared" si="78"/>
        <v>0</v>
      </c>
      <c r="AI90" s="408">
        <f t="shared" si="78"/>
        <v>0</v>
      </c>
      <c r="AJ90" s="408">
        <f t="shared" si="78"/>
        <v>0</v>
      </c>
      <c r="AK90" s="408">
        <f t="shared" si="78"/>
        <v>0</v>
      </c>
      <c r="AL90" s="408">
        <f t="shared" si="78"/>
        <v>0</v>
      </c>
      <c r="AM90" s="408">
        <f t="shared" si="78"/>
        <v>0</v>
      </c>
      <c r="AN90" s="408">
        <f t="shared" si="78"/>
        <v>0</v>
      </c>
      <c r="AO90" s="408">
        <f t="shared" si="78"/>
        <v>0</v>
      </c>
      <c r="AP90" s="408">
        <f t="shared" si="79"/>
        <v>0</v>
      </c>
      <c r="AQ90" s="408">
        <f t="shared" si="79"/>
        <v>0</v>
      </c>
      <c r="AR90" s="408">
        <f t="shared" si="79"/>
        <v>0</v>
      </c>
      <c r="AS90" s="408">
        <f t="shared" si="79"/>
        <v>0</v>
      </c>
      <c r="AT90" s="408">
        <f t="shared" si="79"/>
        <v>0</v>
      </c>
      <c r="AU90" s="408">
        <f t="shared" si="79"/>
        <v>0</v>
      </c>
      <c r="AV90" s="408">
        <f t="shared" si="79"/>
        <v>0</v>
      </c>
      <c r="AW90" s="408">
        <f t="shared" si="79"/>
        <v>0</v>
      </c>
      <c r="AX90" s="408">
        <f t="shared" si="79"/>
        <v>0</v>
      </c>
      <c r="AY90" s="408">
        <f t="shared" si="79"/>
        <v>0</v>
      </c>
      <c r="AZ90" s="408">
        <f t="shared" si="80"/>
        <v>0</v>
      </c>
      <c r="BA90" s="408">
        <f t="shared" si="80"/>
        <v>0</v>
      </c>
      <c r="BB90" s="408">
        <f t="shared" si="80"/>
        <v>0</v>
      </c>
      <c r="BC90" s="408">
        <f t="shared" si="80"/>
        <v>0</v>
      </c>
      <c r="BD90" s="408">
        <f t="shared" si="80"/>
        <v>0</v>
      </c>
      <c r="BE90" s="408">
        <f t="shared" si="80"/>
        <v>0</v>
      </c>
      <c r="BF90" s="408">
        <f t="shared" si="80"/>
        <v>0</v>
      </c>
      <c r="BG90" s="408">
        <f t="shared" si="80"/>
        <v>0</v>
      </c>
      <c r="BH90" s="408">
        <f t="shared" si="80"/>
        <v>0</v>
      </c>
      <c r="BI90" s="408">
        <f t="shared" si="80"/>
        <v>0</v>
      </c>
      <c r="BJ90" s="408">
        <f t="shared" si="81"/>
        <v>0</v>
      </c>
      <c r="BK90" s="408">
        <f t="shared" si="81"/>
        <v>0</v>
      </c>
      <c r="BL90" s="408">
        <f t="shared" si="81"/>
        <v>0</v>
      </c>
      <c r="BM90" s="408">
        <f t="shared" si="81"/>
        <v>0</v>
      </c>
      <c r="BN90" s="408">
        <f t="shared" si="81"/>
        <v>0</v>
      </c>
      <c r="BO90" s="408">
        <f t="shared" si="81"/>
        <v>0</v>
      </c>
      <c r="BP90" s="408">
        <f t="shared" si="81"/>
        <v>0</v>
      </c>
      <c r="BQ90" s="408">
        <f t="shared" si="81"/>
        <v>0</v>
      </c>
      <c r="BR90" s="408">
        <f t="shared" si="81"/>
        <v>0</v>
      </c>
      <c r="BS90" s="408">
        <f t="shared" si="81"/>
        <v>0</v>
      </c>
      <c r="BT90" s="408">
        <f t="shared" si="82"/>
        <v>0</v>
      </c>
      <c r="BU90" s="408">
        <f t="shared" si="82"/>
        <v>0</v>
      </c>
      <c r="BV90" s="408">
        <f t="shared" si="82"/>
        <v>0</v>
      </c>
      <c r="BW90" s="408">
        <f t="shared" si="82"/>
        <v>0</v>
      </c>
      <c r="BX90" s="408">
        <f t="shared" si="82"/>
        <v>0</v>
      </c>
      <c r="BY90" s="408">
        <f t="shared" si="82"/>
        <v>0</v>
      </c>
      <c r="BZ90" s="408">
        <f t="shared" si="82"/>
        <v>0</v>
      </c>
      <c r="CA90" s="408">
        <f t="shared" si="82"/>
        <v>0</v>
      </c>
    </row>
    <row r="91" spans="3:79" ht="21" hidden="1" customHeight="1" outlineLevel="2">
      <c r="C91" s="370"/>
      <c r="D91" s="374">
        <f t="shared" si="76"/>
        <v>45351</v>
      </c>
      <c r="E91" s="408" cm="1">
        <f t="array" ref="E91">INDEX($AF$18:$CA$18,0,MATCH($D91,$AF$8:$CA$8,0))</f>
        <v>0</v>
      </c>
      <c r="F91" s="372"/>
      <c r="G91" s="409"/>
      <c r="H91" s="410">
        <f t="shared" si="69"/>
        <v>0</v>
      </c>
      <c r="I91" s="410">
        <f t="shared" si="69"/>
        <v>0</v>
      </c>
      <c r="J91" s="410">
        <f t="shared" si="69"/>
        <v>0</v>
      </c>
      <c r="K91" s="410">
        <f t="shared" si="69"/>
        <v>0</v>
      </c>
      <c r="M91" s="359"/>
      <c r="N91" s="410">
        <f t="shared" si="77"/>
        <v>0</v>
      </c>
      <c r="O91" s="410">
        <f t="shared" si="77"/>
        <v>0</v>
      </c>
      <c r="P91" s="410">
        <f t="shared" si="77"/>
        <v>0</v>
      </c>
      <c r="Q91" s="410">
        <f t="shared" si="77"/>
        <v>0</v>
      </c>
      <c r="R91" s="410">
        <f t="shared" si="77"/>
        <v>0</v>
      </c>
      <c r="S91" s="410">
        <f t="shared" si="77"/>
        <v>0</v>
      </c>
      <c r="T91" s="410">
        <f t="shared" si="77"/>
        <v>0</v>
      </c>
      <c r="U91" s="410">
        <f t="shared" si="77"/>
        <v>0</v>
      </c>
      <c r="V91" s="410">
        <f t="shared" si="77"/>
        <v>0</v>
      </c>
      <c r="W91" s="410">
        <f t="shared" si="77"/>
        <v>0</v>
      </c>
      <c r="X91" s="410">
        <f t="shared" si="77"/>
        <v>0</v>
      </c>
      <c r="Y91" s="410">
        <f t="shared" si="77"/>
        <v>0</v>
      </c>
      <c r="Z91" s="410">
        <f t="shared" si="77"/>
        <v>0</v>
      </c>
      <c r="AA91" s="410">
        <f t="shared" si="77"/>
        <v>0</v>
      </c>
      <c r="AB91" s="410">
        <f t="shared" si="77"/>
        <v>0</v>
      </c>
      <c r="AC91" s="410">
        <f t="shared" si="77"/>
        <v>0</v>
      </c>
      <c r="AD91" s="372"/>
      <c r="AE91" s="409"/>
      <c r="AF91" s="408">
        <f t="shared" si="78"/>
        <v>0</v>
      </c>
      <c r="AG91" s="408">
        <f t="shared" si="78"/>
        <v>0</v>
      </c>
      <c r="AH91" s="408">
        <f t="shared" si="78"/>
        <v>0</v>
      </c>
      <c r="AI91" s="408">
        <f t="shared" si="78"/>
        <v>0</v>
      </c>
      <c r="AJ91" s="408">
        <f t="shared" si="78"/>
        <v>0</v>
      </c>
      <c r="AK91" s="408">
        <f t="shared" si="78"/>
        <v>0</v>
      </c>
      <c r="AL91" s="408">
        <f t="shared" si="78"/>
        <v>0</v>
      </c>
      <c r="AM91" s="408">
        <f t="shared" si="78"/>
        <v>0</v>
      </c>
      <c r="AN91" s="408">
        <f t="shared" si="78"/>
        <v>0</v>
      </c>
      <c r="AO91" s="408">
        <f t="shared" si="78"/>
        <v>0</v>
      </c>
      <c r="AP91" s="408">
        <f t="shared" si="79"/>
        <v>0</v>
      </c>
      <c r="AQ91" s="408">
        <f t="shared" si="79"/>
        <v>0</v>
      </c>
      <c r="AR91" s="408">
        <f t="shared" si="79"/>
        <v>0</v>
      </c>
      <c r="AS91" s="408">
        <f t="shared" si="79"/>
        <v>0</v>
      </c>
      <c r="AT91" s="408">
        <f t="shared" si="79"/>
        <v>0</v>
      </c>
      <c r="AU91" s="408">
        <f t="shared" si="79"/>
        <v>0</v>
      </c>
      <c r="AV91" s="408">
        <f t="shared" si="79"/>
        <v>0</v>
      </c>
      <c r="AW91" s="408">
        <f t="shared" si="79"/>
        <v>0</v>
      </c>
      <c r="AX91" s="408">
        <f t="shared" si="79"/>
        <v>0</v>
      </c>
      <c r="AY91" s="408">
        <f t="shared" si="79"/>
        <v>0</v>
      </c>
      <c r="AZ91" s="408">
        <f t="shared" si="80"/>
        <v>0</v>
      </c>
      <c r="BA91" s="408">
        <f t="shared" si="80"/>
        <v>0</v>
      </c>
      <c r="BB91" s="408">
        <f t="shared" si="80"/>
        <v>0</v>
      </c>
      <c r="BC91" s="408">
        <f t="shared" si="80"/>
        <v>0</v>
      </c>
      <c r="BD91" s="408">
        <f t="shared" si="80"/>
        <v>0</v>
      </c>
      <c r="BE91" s="408">
        <f t="shared" si="80"/>
        <v>0</v>
      </c>
      <c r="BF91" s="408">
        <f t="shared" si="80"/>
        <v>0</v>
      </c>
      <c r="BG91" s="408">
        <f t="shared" si="80"/>
        <v>0</v>
      </c>
      <c r="BH91" s="408">
        <f t="shared" si="80"/>
        <v>0</v>
      </c>
      <c r="BI91" s="408">
        <f t="shared" si="80"/>
        <v>0</v>
      </c>
      <c r="BJ91" s="408">
        <f t="shared" si="81"/>
        <v>0</v>
      </c>
      <c r="BK91" s="408">
        <f t="shared" si="81"/>
        <v>0</v>
      </c>
      <c r="BL91" s="408">
        <f t="shared" si="81"/>
        <v>0</v>
      </c>
      <c r="BM91" s="408">
        <f t="shared" si="81"/>
        <v>0</v>
      </c>
      <c r="BN91" s="408">
        <f t="shared" si="81"/>
        <v>0</v>
      </c>
      <c r="BO91" s="408">
        <f t="shared" si="81"/>
        <v>0</v>
      </c>
      <c r="BP91" s="408">
        <f t="shared" si="81"/>
        <v>0</v>
      </c>
      <c r="BQ91" s="408">
        <f t="shared" si="81"/>
        <v>0</v>
      </c>
      <c r="BR91" s="408">
        <f t="shared" si="81"/>
        <v>0</v>
      </c>
      <c r="BS91" s="408">
        <f t="shared" si="81"/>
        <v>0</v>
      </c>
      <c r="BT91" s="408">
        <f t="shared" si="82"/>
        <v>0</v>
      </c>
      <c r="BU91" s="408">
        <f t="shared" si="82"/>
        <v>0</v>
      </c>
      <c r="BV91" s="408">
        <f t="shared" si="82"/>
        <v>0</v>
      </c>
      <c r="BW91" s="408">
        <f t="shared" si="82"/>
        <v>0</v>
      </c>
      <c r="BX91" s="408">
        <f t="shared" si="82"/>
        <v>0</v>
      </c>
      <c r="BY91" s="408">
        <f t="shared" si="82"/>
        <v>0</v>
      </c>
      <c r="BZ91" s="408">
        <f t="shared" si="82"/>
        <v>0</v>
      </c>
      <c r="CA91" s="408">
        <f t="shared" si="82"/>
        <v>0</v>
      </c>
    </row>
    <row r="92" spans="3:79" ht="21" hidden="1" customHeight="1" outlineLevel="2">
      <c r="C92" s="370"/>
      <c r="D92" s="374">
        <f t="shared" si="76"/>
        <v>45382</v>
      </c>
      <c r="E92" s="408" cm="1">
        <f t="array" ref="E92">INDEX($AF$18:$CA$18,0,MATCH($D92,$AF$8:$CA$8,0))</f>
        <v>0</v>
      </c>
      <c r="F92" s="372"/>
      <c r="G92" s="409"/>
      <c r="H92" s="410">
        <f t="shared" si="69"/>
        <v>0</v>
      </c>
      <c r="I92" s="410">
        <f t="shared" si="69"/>
        <v>0</v>
      </c>
      <c r="J92" s="410">
        <f t="shared" si="69"/>
        <v>0</v>
      </c>
      <c r="K92" s="410">
        <f t="shared" si="69"/>
        <v>0</v>
      </c>
      <c r="M92" s="359"/>
      <c r="N92" s="410">
        <f t="shared" si="77"/>
        <v>0</v>
      </c>
      <c r="O92" s="410">
        <f t="shared" si="77"/>
        <v>0</v>
      </c>
      <c r="P92" s="410">
        <f t="shared" si="77"/>
        <v>0</v>
      </c>
      <c r="Q92" s="410">
        <f t="shared" si="77"/>
        <v>0</v>
      </c>
      <c r="R92" s="410">
        <f t="shared" si="77"/>
        <v>0</v>
      </c>
      <c r="S92" s="410">
        <f t="shared" si="77"/>
        <v>0</v>
      </c>
      <c r="T92" s="410">
        <f t="shared" si="77"/>
        <v>0</v>
      </c>
      <c r="U92" s="410">
        <f t="shared" si="77"/>
        <v>0</v>
      </c>
      <c r="V92" s="410">
        <f t="shared" si="77"/>
        <v>0</v>
      </c>
      <c r="W92" s="410">
        <f t="shared" si="77"/>
        <v>0</v>
      </c>
      <c r="X92" s="410">
        <f t="shared" si="77"/>
        <v>0</v>
      </c>
      <c r="Y92" s="410">
        <f t="shared" si="77"/>
        <v>0</v>
      </c>
      <c r="Z92" s="410">
        <f t="shared" si="77"/>
        <v>0</v>
      </c>
      <c r="AA92" s="410">
        <f t="shared" si="77"/>
        <v>0</v>
      </c>
      <c r="AB92" s="410">
        <f t="shared" si="77"/>
        <v>0</v>
      </c>
      <c r="AC92" s="410">
        <f t="shared" si="77"/>
        <v>0</v>
      </c>
      <c r="AD92" s="372"/>
      <c r="AE92" s="409"/>
      <c r="AF92" s="408">
        <f t="shared" si="78"/>
        <v>0</v>
      </c>
      <c r="AG92" s="408">
        <f t="shared" si="78"/>
        <v>0</v>
      </c>
      <c r="AH92" s="408">
        <f t="shared" si="78"/>
        <v>0</v>
      </c>
      <c r="AI92" s="408">
        <f t="shared" si="78"/>
        <v>0</v>
      </c>
      <c r="AJ92" s="408">
        <f t="shared" si="78"/>
        <v>0</v>
      </c>
      <c r="AK92" s="408">
        <f t="shared" si="78"/>
        <v>0</v>
      </c>
      <c r="AL92" s="408">
        <f t="shared" si="78"/>
        <v>0</v>
      </c>
      <c r="AM92" s="408">
        <f t="shared" si="78"/>
        <v>0</v>
      </c>
      <c r="AN92" s="408">
        <f t="shared" si="78"/>
        <v>0</v>
      </c>
      <c r="AO92" s="408">
        <f t="shared" si="78"/>
        <v>0</v>
      </c>
      <c r="AP92" s="408">
        <f t="shared" si="79"/>
        <v>0</v>
      </c>
      <c r="AQ92" s="408">
        <f t="shared" si="79"/>
        <v>0</v>
      </c>
      <c r="AR92" s="408">
        <f t="shared" si="79"/>
        <v>0</v>
      </c>
      <c r="AS92" s="408">
        <f t="shared" si="79"/>
        <v>0</v>
      </c>
      <c r="AT92" s="408">
        <f t="shared" si="79"/>
        <v>0</v>
      </c>
      <c r="AU92" s="408">
        <f t="shared" si="79"/>
        <v>0</v>
      </c>
      <c r="AV92" s="408">
        <f t="shared" si="79"/>
        <v>0</v>
      </c>
      <c r="AW92" s="408">
        <f t="shared" si="79"/>
        <v>0</v>
      </c>
      <c r="AX92" s="408">
        <f t="shared" si="79"/>
        <v>0</v>
      </c>
      <c r="AY92" s="408">
        <f t="shared" si="79"/>
        <v>0</v>
      </c>
      <c r="AZ92" s="408">
        <f t="shared" si="80"/>
        <v>0</v>
      </c>
      <c r="BA92" s="408">
        <f t="shared" si="80"/>
        <v>0</v>
      </c>
      <c r="BB92" s="408">
        <f t="shared" si="80"/>
        <v>0</v>
      </c>
      <c r="BC92" s="408">
        <f t="shared" si="80"/>
        <v>0</v>
      </c>
      <c r="BD92" s="408">
        <f t="shared" si="80"/>
        <v>0</v>
      </c>
      <c r="BE92" s="408">
        <f t="shared" si="80"/>
        <v>0</v>
      </c>
      <c r="BF92" s="408">
        <f t="shared" si="80"/>
        <v>0</v>
      </c>
      <c r="BG92" s="408">
        <f t="shared" si="80"/>
        <v>0</v>
      </c>
      <c r="BH92" s="408">
        <f t="shared" si="80"/>
        <v>0</v>
      </c>
      <c r="BI92" s="408">
        <f t="shared" si="80"/>
        <v>0</v>
      </c>
      <c r="BJ92" s="408">
        <f t="shared" si="81"/>
        <v>0</v>
      </c>
      <c r="BK92" s="408">
        <f t="shared" si="81"/>
        <v>0</v>
      </c>
      <c r="BL92" s="408">
        <f t="shared" si="81"/>
        <v>0</v>
      </c>
      <c r="BM92" s="408">
        <f t="shared" si="81"/>
        <v>0</v>
      </c>
      <c r="BN92" s="408">
        <f t="shared" si="81"/>
        <v>0</v>
      </c>
      <c r="BO92" s="408">
        <f t="shared" si="81"/>
        <v>0</v>
      </c>
      <c r="BP92" s="408">
        <f t="shared" si="81"/>
        <v>0</v>
      </c>
      <c r="BQ92" s="408">
        <f t="shared" si="81"/>
        <v>0</v>
      </c>
      <c r="BR92" s="408">
        <f t="shared" si="81"/>
        <v>0</v>
      </c>
      <c r="BS92" s="408">
        <f t="shared" si="81"/>
        <v>0</v>
      </c>
      <c r="BT92" s="408">
        <f t="shared" si="82"/>
        <v>0</v>
      </c>
      <c r="BU92" s="408">
        <f t="shared" si="82"/>
        <v>0</v>
      </c>
      <c r="BV92" s="408">
        <f t="shared" si="82"/>
        <v>0</v>
      </c>
      <c r="BW92" s="408">
        <f t="shared" si="82"/>
        <v>0</v>
      </c>
      <c r="BX92" s="408">
        <f t="shared" si="82"/>
        <v>0</v>
      </c>
      <c r="BY92" s="408">
        <f t="shared" si="82"/>
        <v>0</v>
      </c>
      <c r="BZ92" s="408">
        <f t="shared" si="82"/>
        <v>0</v>
      </c>
      <c r="CA92" s="408">
        <f t="shared" si="82"/>
        <v>0</v>
      </c>
    </row>
    <row r="93" spans="3:79" ht="21" hidden="1" customHeight="1" outlineLevel="2">
      <c r="C93" s="370"/>
      <c r="D93" s="374">
        <f t="shared" si="76"/>
        <v>45412</v>
      </c>
      <c r="E93" s="408" cm="1">
        <f t="array" ref="E93">INDEX($AF$18:$CA$18,0,MATCH($D93,$AF$8:$CA$8,0))</f>
        <v>0</v>
      </c>
      <c r="F93" s="372"/>
      <c r="G93" s="409"/>
      <c r="H93" s="410">
        <f t="shared" si="69"/>
        <v>0</v>
      </c>
      <c r="I93" s="410">
        <f t="shared" si="69"/>
        <v>0</v>
      </c>
      <c r="J93" s="410">
        <f t="shared" si="69"/>
        <v>0</v>
      </c>
      <c r="K93" s="410">
        <f t="shared" si="69"/>
        <v>0</v>
      </c>
      <c r="M93" s="359"/>
      <c r="N93" s="410">
        <f t="shared" si="77"/>
        <v>0</v>
      </c>
      <c r="O93" s="410">
        <f t="shared" si="77"/>
        <v>0</v>
      </c>
      <c r="P93" s="410">
        <f t="shared" si="77"/>
        <v>0</v>
      </c>
      <c r="Q93" s="410">
        <f t="shared" si="77"/>
        <v>0</v>
      </c>
      <c r="R93" s="410">
        <f t="shared" si="77"/>
        <v>0</v>
      </c>
      <c r="S93" s="410">
        <f t="shared" si="77"/>
        <v>0</v>
      </c>
      <c r="T93" s="410">
        <f t="shared" si="77"/>
        <v>0</v>
      </c>
      <c r="U93" s="410">
        <f t="shared" si="77"/>
        <v>0</v>
      </c>
      <c r="V93" s="410">
        <f t="shared" si="77"/>
        <v>0</v>
      </c>
      <c r="W93" s="410">
        <f t="shared" si="77"/>
        <v>0</v>
      </c>
      <c r="X93" s="410">
        <f t="shared" si="77"/>
        <v>0</v>
      </c>
      <c r="Y93" s="410">
        <f t="shared" si="77"/>
        <v>0</v>
      </c>
      <c r="Z93" s="410">
        <f t="shared" si="77"/>
        <v>0</v>
      </c>
      <c r="AA93" s="410">
        <f t="shared" si="77"/>
        <v>0</v>
      </c>
      <c r="AB93" s="410">
        <f t="shared" si="77"/>
        <v>0</v>
      </c>
      <c r="AC93" s="410">
        <f t="shared" si="77"/>
        <v>0</v>
      </c>
      <c r="AD93" s="372"/>
      <c r="AE93" s="409"/>
      <c r="AF93" s="408">
        <f t="shared" si="78"/>
        <v>0</v>
      </c>
      <c r="AG93" s="408">
        <f t="shared" si="78"/>
        <v>0</v>
      </c>
      <c r="AH93" s="408">
        <f t="shared" si="78"/>
        <v>0</v>
      </c>
      <c r="AI93" s="408">
        <f t="shared" si="78"/>
        <v>0</v>
      </c>
      <c r="AJ93" s="408">
        <f t="shared" si="78"/>
        <v>0</v>
      </c>
      <c r="AK93" s="408">
        <f t="shared" si="78"/>
        <v>0</v>
      </c>
      <c r="AL93" s="408">
        <f t="shared" si="78"/>
        <v>0</v>
      </c>
      <c r="AM93" s="408">
        <f t="shared" si="78"/>
        <v>0</v>
      </c>
      <c r="AN93" s="408">
        <f t="shared" si="78"/>
        <v>0</v>
      </c>
      <c r="AO93" s="408">
        <f t="shared" si="78"/>
        <v>0</v>
      </c>
      <c r="AP93" s="408">
        <f t="shared" si="79"/>
        <v>0</v>
      </c>
      <c r="AQ93" s="408">
        <f t="shared" si="79"/>
        <v>0</v>
      </c>
      <c r="AR93" s="408">
        <f t="shared" si="79"/>
        <v>0</v>
      </c>
      <c r="AS93" s="408">
        <f t="shared" si="79"/>
        <v>0</v>
      </c>
      <c r="AT93" s="408">
        <f t="shared" si="79"/>
        <v>0</v>
      </c>
      <c r="AU93" s="408">
        <f t="shared" si="79"/>
        <v>0</v>
      </c>
      <c r="AV93" s="408">
        <f t="shared" si="79"/>
        <v>0</v>
      </c>
      <c r="AW93" s="408">
        <f t="shared" si="79"/>
        <v>0</v>
      </c>
      <c r="AX93" s="408">
        <f t="shared" si="79"/>
        <v>0</v>
      </c>
      <c r="AY93" s="408">
        <f t="shared" si="79"/>
        <v>0</v>
      </c>
      <c r="AZ93" s="408">
        <f t="shared" si="80"/>
        <v>0</v>
      </c>
      <c r="BA93" s="408">
        <f t="shared" si="80"/>
        <v>0</v>
      </c>
      <c r="BB93" s="408">
        <f t="shared" si="80"/>
        <v>0</v>
      </c>
      <c r="BC93" s="408">
        <f t="shared" si="80"/>
        <v>0</v>
      </c>
      <c r="BD93" s="408">
        <f t="shared" si="80"/>
        <v>0</v>
      </c>
      <c r="BE93" s="408">
        <f t="shared" si="80"/>
        <v>0</v>
      </c>
      <c r="BF93" s="408">
        <f t="shared" si="80"/>
        <v>0</v>
      </c>
      <c r="BG93" s="408">
        <f t="shared" si="80"/>
        <v>0</v>
      </c>
      <c r="BH93" s="408">
        <f t="shared" si="80"/>
        <v>0</v>
      </c>
      <c r="BI93" s="408">
        <f t="shared" si="80"/>
        <v>0</v>
      </c>
      <c r="BJ93" s="408">
        <f t="shared" si="81"/>
        <v>0</v>
      </c>
      <c r="BK93" s="408">
        <f t="shared" si="81"/>
        <v>0</v>
      </c>
      <c r="BL93" s="408">
        <f t="shared" si="81"/>
        <v>0</v>
      </c>
      <c r="BM93" s="408">
        <f t="shared" si="81"/>
        <v>0</v>
      </c>
      <c r="BN93" s="408">
        <f t="shared" si="81"/>
        <v>0</v>
      </c>
      <c r="BO93" s="408">
        <f t="shared" si="81"/>
        <v>0</v>
      </c>
      <c r="BP93" s="408">
        <f t="shared" si="81"/>
        <v>0</v>
      </c>
      <c r="BQ93" s="408">
        <f t="shared" si="81"/>
        <v>0</v>
      </c>
      <c r="BR93" s="408">
        <f t="shared" si="81"/>
        <v>0</v>
      </c>
      <c r="BS93" s="408">
        <f t="shared" si="81"/>
        <v>0</v>
      </c>
      <c r="BT93" s="408">
        <f t="shared" si="82"/>
        <v>0</v>
      </c>
      <c r="BU93" s="408">
        <f t="shared" si="82"/>
        <v>0</v>
      </c>
      <c r="BV93" s="408">
        <f t="shared" si="82"/>
        <v>0</v>
      </c>
      <c r="BW93" s="408">
        <f t="shared" si="82"/>
        <v>0</v>
      </c>
      <c r="BX93" s="408">
        <f t="shared" si="82"/>
        <v>0</v>
      </c>
      <c r="BY93" s="408">
        <f t="shared" si="82"/>
        <v>0</v>
      </c>
      <c r="BZ93" s="408">
        <f t="shared" si="82"/>
        <v>0</v>
      </c>
      <c r="CA93" s="408">
        <f t="shared" si="82"/>
        <v>0</v>
      </c>
    </row>
    <row r="94" spans="3:79" ht="21" hidden="1" customHeight="1" outlineLevel="2">
      <c r="C94" s="370"/>
      <c r="D94" s="374">
        <f t="shared" si="76"/>
        <v>45443</v>
      </c>
      <c r="E94" s="408" cm="1">
        <f t="array" ref="E94">INDEX($AF$18:$CA$18,0,MATCH($D94,$AF$8:$CA$8,0))</f>
        <v>0</v>
      </c>
      <c r="F94" s="372"/>
      <c r="G94" s="409"/>
      <c r="H94" s="410">
        <f t="shared" si="69"/>
        <v>0</v>
      </c>
      <c r="I94" s="410">
        <f t="shared" si="69"/>
        <v>0</v>
      </c>
      <c r="J94" s="410">
        <f t="shared" si="69"/>
        <v>0</v>
      </c>
      <c r="K94" s="410">
        <f t="shared" si="69"/>
        <v>0</v>
      </c>
      <c r="M94" s="359"/>
      <c r="N94" s="410">
        <f t="shared" si="77"/>
        <v>0</v>
      </c>
      <c r="O94" s="410">
        <f t="shared" si="77"/>
        <v>0</v>
      </c>
      <c r="P94" s="410">
        <f t="shared" si="77"/>
        <v>0</v>
      </c>
      <c r="Q94" s="410">
        <f t="shared" si="77"/>
        <v>0</v>
      </c>
      <c r="R94" s="410">
        <f t="shared" si="77"/>
        <v>0</v>
      </c>
      <c r="S94" s="410">
        <f t="shared" si="77"/>
        <v>0</v>
      </c>
      <c r="T94" s="410">
        <f t="shared" si="77"/>
        <v>0</v>
      </c>
      <c r="U94" s="410">
        <f t="shared" si="77"/>
        <v>0</v>
      </c>
      <c r="V94" s="410">
        <f t="shared" si="77"/>
        <v>0</v>
      </c>
      <c r="W94" s="410">
        <f t="shared" si="77"/>
        <v>0</v>
      </c>
      <c r="X94" s="410">
        <f t="shared" si="77"/>
        <v>0</v>
      </c>
      <c r="Y94" s="410">
        <f t="shared" si="77"/>
        <v>0</v>
      </c>
      <c r="Z94" s="410">
        <f t="shared" si="77"/>
        <v>0</v>
      </c>
      <c r="AA94" s="410">
        <f t="shared" si="77"/>
        <v>0</v>
      </c>
      <c r="AB94" s="410">
        <f t="shared" si="77"/>
        <v>0</v>
      </c>
      <c r="AC94" s="410">
        <f t="shared" si="77"/>
        <v>0</v>
      </c>
      <c r="AD94" s="372"/>
      <c r="AE94" s="409"/>
      <c r="AF94" s="408">
        <f t="shared" si="78"/>
        <v>0</v>
      </c>
      <c r="AG94" s="408">
        <f t="shared" si="78"/>
        <v>0</v>
      </c>
      <c r="AH94" s="408">
        <f t="shared" si="78"/>
        <v>0</v>
      </c>
      <c r="AI94" s="408">
        <f t="shared" si="78"/>
        <v>0</v>
      </c>
      <c r="AJ94" s="408">
        <f t="shared" si="78"/>
        <v>0</v>
      </c>
      <c r="AK94" s="408">
        <f t="shared" si="78"/>
        <v>0</v>
      </c>
      <c r="AL94" s="408">
        <f t="shared" si="78"/>
        <v>0</v>
      </c>
      <c r="AM94" s="408">
        <f t="shared" si="78"/>
        <v>0</v>
      </c>
      <c r="AN94" s="408">
        <f t="shared" si="78"/>
        <v>0</v>
      </c>
      <c r="AO94" s="408">
        <f t="shared" si="78"/>
        <v>0</v>
      </c>
      <c r="AP94" s="408">
        <f t="shared" si="79"/>
        <v>0</v>
      </c>
      <c r="AQ94" s="408">
        <f t="shared" si="79"/>
        <v>0</v>
      </c>
      <c r="AR94" s="408">
        <f t="shared" si="79"/>
        <v>0</v>
      </c>
      <c r="AS94" s="408">
        <f t="shared" si="79"/>
        <v>0</v>
      </c>
      <c r="AT94" s="408">
        <f t="shared" si="79"/>
        <v>0</v>
      </c>
      <c r="AU94" s="408">
        <f t="shared" si="79"/>
        <v>0</v>
      </c>
      <c r="AV94" s="408">
        <f t="shared" si="79"/>
        <v>0</v>
      </c>
      <c r="AW94" s="408">
        <f t="shared" si="79"/>
        <v>0</v>
      </c>
      <c r="AX94" s="408">
        <f t="shared" si="79"/>
        <v>0</v>
      </c>
      <c r="AY94" s="408">
        <f t="shared" si="79"/>
        <v>0</v>
      </c>
      <c r="AZ94" s="408">
        <f t="shared" si="80"/>
        <v>0</v>
      </c>
      <c r="BA94" s="408">
        <f t="shared" si="80"/>
        <v>0</v>
      </c>
      <c r="BB94" s="408">
        <f t="shared" si="80"/>
        <v>0</v>
      </c>
      <c r="BC94" s="408">
        <f t="shared" si="80"/>
        <v>0</v>
      </c>
      <c r="BD94" s="408">
        <f t="shared" si="80"/>
        <v>0</v>
      </c>
      <c r="BE94" s="408">
        <f t="shared" si="80"/>
        <v>0</v>
      </c>
      <c r="BF94" s="408">
        <f t="shared" si="80"/>
        <v>0</v>
      </c>
      <c r="BG94" s="408">
        <f t="shared" si="80"/>
        <v>0</v>
      </c>
      <c r="BH94" s="408">
        <f t="shared" si="80"/>
        <v>0</v>
      </c>
      <c r="BI94" s="408">
        <f t="shared" si="80"/>
        <v>0</v>
      </c>
      <c r="BJ94" s="408">
        <f t="shared" si="81"/>
        <v>0</v>
      </c>
      <c r="BK94" s="408">
        <f t="shared" si="81"/>
        <v>0</v>
      </c>
      <c r="BL94" s="408">
        <f t="shared" si="81"/>
        <v>0</v>
      </c>
      <c r="BM94" s="408">
        <f t="shared" si="81"/>
        <v>0</v>
      </c>
      <c r="BN94" s="408">
        <f t="shared" si="81"/>
        <v>0</v>
      </c>
      <c r="BO94" s="408">
        <f t="shared" si="81"/>
        <v>0</v>
      </c>
      <c r="BP94" s="408">
        <f t="shared" si="81"/>
        <v>0</v>
      </c>
      <c r="BQ94" s="408">
        <f t="shared" si="81"/>
        <v>0</v>
      </c>
      <c r="BR94" s="408">
        <f t="shared" si="81"/>
        <v>0</v>
      </c>
      <c r="BS94" s="408">
        <f t="shared" si="81"/>
        <v>0</v>
      </c>
      <c r="BT94" s="408">
        <f t="shared" si="82"/>
        <v>0</v>
      </c>
      <c r="BU94" s="408">
        <f t="shared" si="82"/>
        <v>0</v>
      </c>
      <c r="BV94" s="408">
        <f t="shared" si="82"/>
        <v>0</v>
      </c>
      <c r="BW94" s="408">
        <f t="shared" si="82"/>
        <v>0</v>
      </c>
      <c r="BX94" s="408">
        <f t="shared" si="82"/>
        <v>0</v>
      </c>
      <c r="BY94" s="408">
        <f t="shared" si="82"/>
        <v>0</v>
      </c>
      <c r="BZ94" s="408">
        <f t="shared" si="82"/>
        <v>0</v>
      </c>
      <c r="CA94" s="408">
        <f t="shared" si="82"/>
        <v>0</v>
      </c>
    </row>
    <row r="95" spans="3:79" ht="21" hidden="1" customHeight="1" outlineLevel="2">
      <c r="C95" s="370"/>
      <c r="D95" s="374">
        <f t="shared" si="76"/>
        <v>45473</v>
      </c>
      <c r="E95" s="408" cm="1">
        <f t="array" ref="E95">INDEX($AF$18:$CA$18,0,MATCH($D95,$AF$8:$CA$8,0))</f>
        <v>0</v>
      </c>
      <c r="F95" s="372"/>
      <c r="G95" s="409"/>
      <c r="H95" s="410">
        <f t="shared" si="69"/>
        <v>0</v>
      </c>
      <c r="I95" s="410">
        <f t="shared" si="69"/>
        <v>0</v>
      </c>
      <c r="J95" s="410">
        <f t="shared" si="69"/>
        <v>0</v>
      </c>
      <c r="K95" s="410">
        <f t="shared" si="69"/>
        <v>0</v>
      </c>
      <c r="M95" s="359"/>
      <c r="N95" s="410">
        <f t="shared" si="77"/>
        <v>0</v>
      </c>
      <c r="O95" s="410">
        <f t="shared" si="77"/>
        <v>0</v>
      </c>
      <c r="P95" s="410">
        <f t="shared" si="77"/>
        <v>0</v>
      </c>
      <c r="Q95" s="410">
        <f t="shared" si="77"/>
        <v>0</v>
      </c>
      <c r="R95" s="410">
        <f t="shared" si="77"/>
        <v>0</v>
      </c>
      <c r="S95" s="410">
        <f t="shared" si="77"/>
        <v>0</v>
      </c>
      <c r="T95" s="410">
        <f t="shared" si="77"/>
        <v>0</v>
      </c>
      <c r="U95" s="410">
        <f t="shared" si="77"/>
        <v>0</v>
      </c>
      <c r="V95" s="410">
        <f t="shared" si="77"/>
        <v>0</v>
      </c>
      <c r="W95" s="410">
        <f t="shared" si="77"/>
        <v>0</v>
      </c>
      <c r="X95" s="410">
        <f t="shared" si="77"/>
        <v>0</v>
      </c>
      <c r="Y95" s="410">
        <f t="shared" si="77"/>
        <v>0</v>
      </c>
      <c r="Z95" s="410">
        <f t="shared" si="77"/>
        <v>0</v>
      </c>
      <c r="AA95" s="410">
        <f t="shared" si="77"/>
        <v>0</v>
      </c>
      <c r="AB95" s="410">
        <f t="shared" si="77"/>
        <v>0</v>
      </c>
      <c r="AC95" s="410">
        <f t="shared" si="77"/>
        <v>0</v>
      </c>
      <c r="AD95" s="372"/>
      <c r="AE95" s="409"/>
      <c r="AF95" s="408">
        <f t="shared" si="78"/>
        <v>0</v>
      </c>
      <c r="AG95" s="408">
        <f t="shared" si="78"/>
        <v>0</v>
      </c>
      <c r="AH95" s="408">
        <f t="shared" si="78"/>
        <v>0</v>
      </c>
      <c r="AI95" s="408">
        <f t="shared" si="78"/>
        <v>0</v>
      </c>
      <c r="AJ95" s="408">
        <f t="shared" si="78"/>
        <v>0</v>
      </c>
      <c r="AK95" s="408">
        <f t="shared" si="78"/>
        <v>0</v>
      </c>
      <c r="AL95" s="408">
        <f t="shared" si="78"/>
        <v>0</v>
      </c>
      <c r="AM95" s="408">
        <f t="shared" si="78"/>
        <v>0</v>
      </c>
      <c r="AN95" s="408">
        <f t="shared" si="78"/>
        <v>0</v>
      </c>
      <c r="AO95" s="408">
        <f t="shared" si="78"/>
        <v>0</v>
      </c>
      <c r="AP95" s="408">
        <f t="shared" si="79"/>
        <v>0</v>
      </c>
      <c r="AQ95" s="408">
        <f t="shared" si="79"/>
        <v>0</v>
      </c>
      <c r="AR95" s="408">
        <f t="shared" si="79"/>
        <v>0</v>
      </c>
      <c r="AS95" s="408">
        <f t="shared" si="79"/>
        <v>0</v>
      </c>
      <c r="AT95" s="408">
        <f t="shared" si="79"/>
        <v>0</v>
      </c>
      <c r="AU95" s="408">
        <f t="shared" si="79"/>
        <v>0</v>
      </c>
      <c r="AV95" s="408">
        <f t="shared" si="79"/>
        <v>0</v>
      </c>
      <c r="AW95" s="408">
        <f t="shared" si="79"/>
        <v>0</v>
      </c>
      <c r="AX95" s="408">
        <f t="shared" si="79"/>
        <v>0</v>
      </c>
      <c r="AY95" s="408">
        <f t="shared" si="79"/>
        <v>0</v>
      </c>
      <c r="AZ95" s="408">
        <f t="shared" si="80"/>
        <v>0</v>
      </c>
      <c r="BA95" s="408">
        <f t="shared" si="80"/>
        <v>0</v>
      </c>
      <c r="BB95" s="408">
        <f t="shared" si="80"/>
        <v>0</v>
      </c>
      <c r="BC95" s="408">
        <f t="shared" si="80"/>
        <v>0</v>
      </c>
      <c r="BD95" s="408">
        <f t="shared" si="80"/>
        <v>0</v>
      </c>
      <c r="BE95" s="408">
        <f t="shared" si="80"/>
        <v>0</v>
      </c>
      <c r="BF95" s="408">
        <f t="shared" si="80"/>
        <v>0</v>
      </c>
      <c r="BG95" s="408">
        <f t="shared" si="80"/>
        <v>0</v>
      </c>
      <c r="BH95" s="408">
        <f t="shared" si="80"/>
        <v>0</v>
      </c>
      <c r="BI95" s="408">
        <f t="shared" si="80"/>
        <v>0</v>
      </c>
      <c r="BJ95" s="408">
        <f t="shared" si="81"/>
        <v>0</v>
      </c>
      <c r="BK95" s="408">
        <f t="shared" si="81"/>
        <v>0</v>
      </c>
      <c r="BL95" s="408">
        <f t="shared" si="81"/>
        <v>0</v>
      </c>
      <c r="BM95" s="408">
        <f t="shared" si="81"/>
        <v>0</v>
      </c>
      <c r="BN95" s="408">
        <f t="shared" si="81"/>
        <v>0</v>
      </c>
      <c r="BO95" s="408">
        <f t="shared" si="81"/>
        <v>0</v>
      </c>
      <c r="BP95" s="408">
        <f t="shared" si="81"/>
        <v>0</v>
      </c>
      <c r="BQ95" s="408">
        <f t="shared" si="81"/>
        <v>0</v>
      </c>
      <c r="BR95" s="408">
        <f t="shared" si="81"/>
        <v>0</v>
      </c>
      <c r="BS95" s="408">
        <f t="shared" si="81"/>
        <v>0</v>
      </c>
      <c r="BT95" s="408">
        <f t="shared" si="82"/>
        <v>0</v>
      </c>
      <c r="BU95" s="408">
        <f t="shared" si="82"/>
        <v>0</v>
      </c>
      <c r="BV95" s="408">
        <f t="shared" si="82"/>
        <v>0</v>
      </c>
      <c r="BW95" s="408">
        <f t="shared" si="82"/>
        <v>0</v>
      </c>
      <c r="BX95" s="408">
        <f t="shared" si="82"/>
        <v>0</v>
      </c>
      <c r="BY95" s="408">
        <f t="shared" si="82"/>
        <v>0</v>
      </c>
      <c r="BZ95" s="408">
        <f t="shared" si="82"/>
        <v>0</v>
      </c>
      <c r="CA95" s="408">
        <f t="shared" si="82"/>
        <v>0</v>
      </c>
    </row>
    <row r="96" spans="3:79" ht="21" hidden="1" customHeight="1" outlineLevel="2">
      <c r="C96" s="370"/>
      <c r="D96" s="374">
        <f t="shared" si="76"/>
        <v>45504</v>
      </c>
      <c r="E96" s="408" cm="1">
        <f t="array" ref="E96">INDEX($AF$18:$CA$18,0,MATCH($D96,$AF$8:$CA$8,0))</f>
        <v>0</v>
      </c>
      <c r="F96" s="372"/>
      <c r="G96" s="409"/>
      <c r="H96" s="410">
        <f t="shared" si="69"/>
        <v>0</v>
      </c>
      <c r="I96" s="410">
        <f t="shared" si="69"/>
        <v>0</v>
      </c>
      <c r="J96" s="410">
        <f t="shared" si="69"/>
        <v>0</v>
      </c>
      <c r="K96" s="410">
        <f t="shared" si="69"/>
        <v>0</v>
      </c>
      <c r="M96" s="359"/>
      <c r="N96" s="410">
        <f t="shared" si="77"/>
        <v>0</v>
      </c>
      <c r="O96" s="410">
        <f t="shared" si="77"/>
        <v>0</v>
      </c>
      <c r="P96" s="410">
        <f t="shared" si="77"/>
        <v>0</v>
      </c>
      <c r="Q96" s="410">
        <f t="shared" si="77"/>
        <v>0</v>
      </c>
      <c r="R96" s="410">
        <f t="shared" si="77"/>
        <v>0</v>
      </c>
      <c r="S96" s="410">
        <f t="shared" si="77"/>
        <v>0</v>
      </c>
      <c r="T96" s="410">
        <f t="shared" si="77"/>
        <v>0</v>
      </c>
      <c r="U96" s="410">
        <f t="shared" si="77"/>
        <v>0</v>
      </c>
      <c r="V96" s="410">
        <f t="shared" si="77"/>
        <v>0</v>
      </c>
      <c r="W96" s="410">
        <f t="shared" si="77"/>
        <v>0</v>
      </c>
      <c r="X96" s="410">
        <f t="shared" si="77"/>
        <v>0</v>
      </c>
      <c r="Y96" s="410">
        <f t="shared" si="77"/>
        <v>0</v>
      </c>
      <c r="Z96" s="410">
        <f t="shared" si="77"/>
        <v>0</v>
      </c>
      <c r="AA96" s="410">
        <f t="shared" si="77"/>
        <v>0</v>
      </c>
      <c r="AB96" s="410">
        <f t="shared" si="77"/>
        <v>0</v>
      </c>
      <c r="AC96" s="410">
        <f t="shared" si="77"/>
        <v>0</v>
      </c>
      <c r="AD96" s="372"/>
      <c r="AE96" s="409"/>
      <c r="AF96" s="408">
        <f t="shared" si="78"/>
        <v>0</v>
      </c>
      <c r="AG96" s="408">
        <f t="shared" si="78"/>
        <v>0</v>
      </c>
      <c r="AH96" s="408">
        <f t="shared" si="78"/>
        <v>0</v>
      </c>
      <c r="AI96" s="408">
        <f t="shared" si="78"/>
        <v>0</v>
      </c>
      <c r="AJ96" s="408">
        <f t="shared" si="78"/>
        <v>0</v>
      </c>
      <c r="AK96" s="408">
        <f t="shared" si="78"/>
        <v>0</v>
      </c>
      <c r="AL96" s="408">
        <f t="shared" si="78"/>
        <v>0</v>
      </c>
      <c r="AM96" s="408">
        <f t="shared" si="78"/>
        <v>0</v>
      </c>
      <c r="AN96" s="408">
        <f t="shared" si="78"/>
        <v>0</v>
      </c>
      <c r="AO96" s="408">
        <f t="shared" si="78"/>
        <v>0</v>
      </c>
      <c r="AP96" s="408">
        <f t="shared" si="79"/>
        <v>0</v>
      </c>
      <c r="AQ96" s="408">
        <f t="shared" si="79"/>
        <v>0</v>
      </c>
      <c r="AR96" s="408">
        <f t="shared" si="79"/>
        <v>0</v>
      </c>
      <c r="AS96" s="408">
        <f t="shared" si="79"/>
        <v>0</v>
      </c>
      <c r="AT96" s="408">
        <f t="shared" si="79"/>
        <v>0</v>
      </c>
      <c r="AU96" s="408">
        <f t="shared" si="79"/>
        <v>0</v>
      </c>
      <c r="AV96" s="408">
        <f t="shared" si="79"/>
        <v>0</v>
      </c>
      <c r="AW96" s="408">
        <f t="shared" si="79"/>
        <v>0</v>
      </c>
      <c r="AX96" s="408">
        <f t="shared" si="79"/>
        <v>0</v>
      </c>
      <c r="AY96" s="408">
        <f t="shared" si="79"/>
        <v>0</v>
      </c>
      <c r="AZ96" s="408">
        <f t="shared" si="80"/>
        <v>0</v>
      </c>
      <c r="BA96" s="408">
        <f t="shared" si="80"/>
        <v>0</v>
      </c>
      <c r="BB96" s="408">
        <f t="shared" si="80"/>
        <v>0</v>
      </c>
      <c r="BC96" s="408">
        <f t="shared" si="80"/>
        <v>0</v>
      </c>
      <c r="BD96" s="408">
        <f t="shared" si="80"/>
        <v>0</v>
      </c>
      <c r="BE96" s="408">
        <f t="shared" si="80"/>
        <v>0</v>
      </c>
      <c r="BF96" s="408">
        <f t="shared" si="80"/>
        <v>0</v>
      </c>
      <c r="BG96" s="408">
        <f t="shared" si="80"/>
        <v>0</v>
      </c>
      <c r="BH96" s="408">
        <f t="shared" si="80"/>
        <v>0</v>
      </c>
      <c r="BI96" s="408">
        <f t="shared" si="80"/>
        <v>0</v>
      </c>
      <c r="BJ96" s="408">
        <f t="shared" si="81"/>
        <v>0</v>
      </c>
      <c r="BK96" s="408">
        <f t="shared" si="81"/>
        <v>0</v>
      </c>
      <c r="BL96" s="408">
        <f t="shared" si="81"/>
        <v>0</v>
      </c>
      <c r="BM96" s="408">
        <f t="shared" si="81"/>
        <v>0</v>
      </c>
      <c r="BN96" s="408">
        <f t="shared" si="81"/>
        <v>0</v>
      </c>
      <c r="BO96" s="408">
        <f t="shared" si="81"/>
        <v>0</v>
      </c>
      <c r="BP96" s="408">
        <f t="shared" si="81"/>
        <v>0</v>
      </c>
      <c r="BQ96" s="408">
        <f t="shared" si="81"/>
        <v>0</v>
      </c>
      <c r="BR96" s="408">
        <f t="shared" si="81"/>
        <v>0</v>
      </c>
      <c r="BS96" s="408">
        <f t="shared" si="81"/>
        <v>0</v>
      </c>
      <c r="BT96" s="408">
        <f t="shared" si="82"/>
        <v>0</v>
      </c>
      <c r="BU96" s="408">
        <f t="shared" si="82"/>
        <v>0</v>
      </c>
      <c r="BV96" s="408">
        <f t="shared" si="82"/>
        <v>0</v>
      </c>
      <c r="BW96" s="408">
        <f t="shared" si="82"/>
        <v>0</v>
      </c>
      <c r="BX96" s="408">
        <f t="shared" si="82"/>
        <v>0</v>
      </c>
      <c r="BY96" s="408">
        <f t="shared" si="82"/>
        <v>0</v>
      </c>
      <c r="BZ96" s="408">
        <f t="shared" si="82"/>
        <v>0</v>
      </c>
      <c r="CA96" s="408">
        <f t="shared" si="82"/>
        <v>0</v>
      </c>
    </row>
    <row r="97" spans="3:79" ht="21" hidden="1" customHeight="1" outlineLevel="2">
      <c r="C97" s="370"/>
      <c r="D97" s="374">
        <f t="shared" si="76"/>
        <v>45535</v>
      </c>
      <c r="E97" s="408" cm="1">
        <f t="array" ref="E97">INDEX($AF$18:$CA$18,0,MATCH($D97,$AF$8:$CA$8,0))</f>
        <v>40800</v>
      </c>
      <c r="F97" s="372"/>
      <c r="G97" s="409"/>
      <c r="H97" s="410">
        <f t="shared" si="69"/>
        <v>0</v>
      </c>
      <c r="I97" s="410">
        <f t="shared" si="69"/>
        <v>17000</v>
      </c>
      <c r="J97" s="410">
        <f t="shared" si="69"/>
        <v>23800</v>
      </c>
      <c r="K97" s="410">
        <f t="shared" si="69"/>
        <v>0</v>
      </c>
      <c r="M97" s="359"/>
      <c r="N97" s="410">
        <f t="shared" si="77"/>
        <v>0</v>
      </c>
      <c r="O97" s="410">
        <f t="shared" si="77"/>
        <v>0</v>
      </c>
      <c r="P97" s="410">
        <f t="shared" si="77"/>
        <v>0</v>
      </c>
      <c r="Q97" s="410">
        <f t="shared" si="77"/>
        <v>0</v>
      </c>
      <c r="R97" s="410">
        <f t="shared" si="77"/>
        <v>0</v>
      </c>
      <c r="S97" s="410">
        <f t="shared" si="77"/>
        <v>0</v>
      </c>
      <c r="T97" s="410">
        <f t="shared" si="77"/>
        <v>6800</v>
      </c>
      <c r="U97" s="410">
        <f t="shared" si="77"/>
        <v>10200</v>
      </c>
      <c r="V97" s="410">
        <f t="shared" si="77"/>
        <v>10200</v>
      </c>
      <c r="W97" s="410">
        <f t="shared" si="77"/>
        <v>10200</v>
      </c>
      <c r="X97" s="410">
        <f t="shared" si="77"/>
        <v>3400</v>
      </c>
      <c r="Y97" s="410">
        <f t="shared" si="77"/>
        <v>0</v>
      </c>
      <c r="Z97" s="410">
        <f t="shared" si="77"/>
        <v>0</v>
      </c>
      <c r="AA97" s="410">
        <f t="shared" si="77"/>
        <v>0</v>
      </c>
      <c r="AB97" s="410">
        <f t="shared" si="77"/>
        <v>0</v>
      </c>
      <c r="AC97" s="410">
        <f t="shared" si="77"/>
        <v>0</v>
      </c>
      <c r="AD97" s="372"/>
      <c r="AE97" s="409"/>
      <c r="AF97" s="408">
        <f t="shared" si="78"/>
        <v>0</v>
      </c>
      <c r="AG97" s="408">
        <f t="shared" si="78"/>
        <v>0</v>
      </c>
      <c r="AH97" s="408">
        <f t="shared" si="78"/>
        <v>0</v>
      </c>
      <c r="AI97" s="408">
        <f t="shared" si="78"/>
        <v>0</v>
      </c>
      <c r="AJ97" s="408">
        <f t="shared" si="78"/>
        <v>0</v>
      </c>
      <c r="AK97" s="408">
        <f t="shared" si="78"/>
        <v>0</v>
      </c>
      <c r="AL97" s="408">
        <f t="shared" si="78"/>
        <v>0</v>
      </c>
      <c r="AM97" s="408">
        <f t="shared" si="78"/>
        <v>0</v>
      </c>
      <c r="AN97" s="408">
        <f t="shared" si="78"/>
        <v>0</v>
      </c>
      <c r="AO97" s="408">
        <f t="shared" si="78"/>
        <v>0</v>
      </c>
      <c r="AP97" s="408">
        <f t="shared" si="79"/>
        <v>0</v>
      </c>
      <c r="AQ97" s="408">
        <f t="shared" si="79"/>
        <v>0</v>
      </c>
      <c r="AR97" s="408">
        <f t="shared" si="79"/>
        <v>0</v>
      </c>
      <c r="AS97" s="408">
        <f t="shared" si="79"/>
        <v>0</v>
      </c>
      <c r="AT97" s="408">
        <f t="shared" si="79"/>
        <v>0</v>
      </c>
      <c r="AU97" s="408">
        <f t="shared" si="79"/>
        <v>0</v>
      </c>
      <c r="AV97" s="408">
        <f t="shared" si="79"/>
        <v>0</v>
      </c>
      <c r="AW97" s="408">
        <f t="shared" si="79"/>
        <v>0</v>
      </c>
      <c r="AX97" s="408">
        <f t="shared" si="79"/>
        <v>0</v>
      </c>
      <c r="AY97" s="408">
        <f t="shared" si="79"/>
        <v>3400</v>
      </c>
      <c r="AZ97" s="408">
        <f t="shared" si="80"/>
        <v>3400</v>
      </c>
      <c r="BA97" s="408">
        <f t="shared" si="80"/>
        <v>3400</v>
      </c>
      <c r="BB97" s="408">
        <f t="shared" si="80"/>
        <v>3400</v>
      </c>
      <c r="BC97" s="408">
        <f t="shared" si="80"/>
        <v>3400</v>
      </c>
      <c r="BD97" s="408">
        <f t="shared" si="80"/>
        <v>3400</v>
      </c>
      <c r="BE97" s="408">
        <f t="shared" si="80"/>
        <v>3400</v>
      </c>
      <c r="BF97" s="408">
        <f t="shared" si="80"/>
        <v>3400</v>
      </c>
      <c r="BG97" s="408">
        <f t="shared" si="80"/>
        <v>3400</v>
      </c>
      <c r="BH97" s="408">
        <f t="shared" si="80"/>
        <v>3400</v>
      </c>
      <c r="BI97" s="408">
        <f t="shared" si="80"/>
        <v>3400</v>
      </c>
      <c r="BJ97" s="408">
        <f t="shared" si="81"/>
        <v>3400</v>
      </c>
      <c r="BK97" s="408">
        <f t="shared" si="81"/>
        <v>0</v>
      </c>
      <c r="BL97" s="408">
        <f t="shared" si="81"/>
        <v>0</v>
      </c>
      <c r="BM97" s="408">
        <f t="shared" si="81"/>
        <v>0</v>
      </c>
      <c r="BN97" s="408">
        <f t="shared" si="81"/>
        <v>0</v>
      </c>
      <c r="BO97" s="408">
        <f t="shared" si="81"/>
        <v>0</v>
      </c>
      <c r="BP97" s="408">
        <f t="shared" si="81"/>
        <v>0</v>
      </c>
      <c r="BQ97" s="408">
        <f t="shared" si="81"/>
        <v>0</v>
      </c>
      <c r="BR97" s="408">
        <f t="shared" si="81"/>
        <v>0</v>
      </c>
      <c r="BS97" s="408">
        <f t="shared" si="81"/>
        <v>0</v>
      </c>
      <c r="BT97" s="408">
        <f t="shared" si="82"/>
        <v>0</v>
      </c>
      <c r="BU97" s="408">
        <f t="shared" si="82"/>
        <v>0</v>
      </c>
      <c r="BV97" s="408">
        <f t="shared" si="82"/>
        <v>0</v>
      </c>
      <c r="BW97" s="408">
        <f t="shared" si="82"/>
        <v>0</v>
      </c>
      <c r="BX97" s="408">
        <f t="shared" si="82"/>
        <v>0</v>
      </c>
      <c r="BY97" s="408">
        <f t="shared" si="82"/>
        <v>0</v>
      </c>
      <c r="BZ97" s="408">
        <f t="shared" si="82"/>
        <v>0</v>
      </c>
      <c r="CA97" s="408">
        <f t="shared" si="82"/>
        <v>0</v>
      </c>
    </row>
    <row r="98" spans="3:79" ht="21" hidden="1" customHeight="1" outlineLevel="2">
      <c r="C98" s="370"/>
      <c r="D98" s="374">
        <f t="shared" si="76"/>
        <v>45565</v>
      </c>
      <c r="E98" s="408" cm="1">
        <f t="array" ref="E98">INDEX($AF$18:$CA$18,0,MATCH($D98,$AF$8:$CA$8,0))</f>
        <v>35000</v>
      </c>
      <c r="F98" s="372"/>
      <c r="G98" s="409"/>
      <c r="H98" s="410">
        <f t="shared" ref="H98:K117" si="83">SUMIFS($AF98:$CA98,$AF$4:$CA$4,"&gt;="&amp;H$4,$AF$5:$CA$5,"&lt;="&amp;H$5)</f>
        <v>0</v>
      </c>
      <c r="I98" s="410">
        <f t="shared" si="83"/>
        <v>11666.666666666666</v>
      </c>
      <c r="J98" s="410">
        <f t="shared" si="83"/>
        <v>23333.333333333336</v>
      </c>
      <c r="K98" s="410">
        <f t="shared" si="83"/>
        <v>0</v>
      </c>
      <c r="M98" s="359"/>
      <c r="N98" s="410">
        <f t="shared" ref="N98:AC107" si="84">SUMIFS($AF98:$CA98,$AF$4:$CA$4,"&gt;="&amp;N$4,$AF$5:$CA$5,"&lt;="&amp;N$5)</f>
        <v>0</v>
      </c>
      <c r="O98" s="410">
        <f t="shared" si="84"/>
        <v>0</v>
      </c>
      <c r="P98" s="410">
        <f t="shared" si="84"/>
        <v>0</v>
      </c>
      <c r="Q98" s="410">
        <f t="shared" si="84"/>
        <v>0</v>
      </c>
      <c r="R98" s="410">
        <f t="shared" si="84"/>
        <v>0</v>
      </c>
      <c r="S98" s="410">
        <f t="shared" si="84"/>
        <v>0</v>
      </c>
      <c r="T98" s="410">
        <f t="shared" si="84"/>
        <v>2916.6666666666665</v>
      </c>
      <c r="U98" s="410">
        <f t="shared" si="84"/>
        <v>8750</v>
      </c>
      <c r="V98" s="410">
        <f t="shared" si="84"/>
        <v>8750</v>
      </c>
      <c r="W98" s="410">
        <f t="shared" si="84"/>
        <v>8750</v>
      </c>
      <c r="X98" s="410">
        <f t="shared" si="84"/>
        <v>5833.333333333333</v>
      </c>
      <c r="Y98" s="410">
        <f t="shared" si="84"/>
        <v>0</v>
      </c>
      <c r="Z98" s="410">
        <f t="shared" si="84"/>
        <v>0</v>
      </c>
      <c r="AA98" s="410">
        <f t="shared" si="84"/>
        <v>0</v>
      </c>
      <c r="AB98" s="410">
        <f t="shared" si="84"/>
        <v>0</v>
      </c>
      <c r="AC98" s="410">
        <f t="shared" si="84"/>
        <v>0</v>
      </c>
      <c r="AD98" s="372"/>
      <c r="AE98" s="409"/>
      <c r="AF98" s="408">
        <f t="shared" ref="AF98:AO107" si="85">IF(AND(AF$8&gt;=$D98,(MATCH(AF$8,$AF$8:$CA$8,0)-MATCH($D98,$AF$8:$CA$8,0))&lt;12),$E98/12,0)</f>
        <v>0</v>
      </c>
      <c r="AG98" s="408">
        <f t="shared" si="85"/>
        <v>0</v>
      </c>
      <c r="AH98" s="408">
        <f t="shared" si="85"/>
        <v>0</v>
      </c>
      <c r="AI98" s="408">
        <f t="shared" si="85"/>
        <v>0</v>
      </c>
      <c r="AJ98" s="408">
        <f t="shared" si="85"/>
        <v>0</v>
      </c>
      <c r="AK98" s="408">
        <f t="shared" si="85"/>
        <v>0</v>
      </c>
      <c r="AL98" s="408">
        <f t="shared" si="85"/>
        <v>0</v>
      </c>
      <c r="AM98" s="408">
        <f t="shared" si="85"/>
        <v>0</v>
      </c>
      <c r="AN98" s="408">
        <f t="shared" si="85"/>
        <v>0</v>
      </c>
      <c r="AO98" s="408">
        <f t="shared" si="85"/>
        <v>0</v>
      </c>
      <c r="AP98" s="408">
        <f t="shared" ref="AP98:AY107" si="86">IF(AND(AP$8&gt;=$D98,(MATCH(AP$8,$AF$8:$CA$8,0)-MATCH($D98,$AF$8:$CA$8,0))&lt;12),$E98/12,0)</f>
        <v>0</v>
      </c>
      <c r="AQ98" s="408">
        <f t="shared" si="86"/>
        <v>0</v>
      </c>
      <c r="AR98" s="408">
        <f t="shared" si="86"/>
        <v>0</v>
      </c>
      <c r="AS98" s="408">
        <f t="shared" si="86"/>
        <v>0</v>
      </c>
      <c r="AT98" s="408">
        <f t="shared" si="86"/>
        <v>0</v>
      </c>
      <c r="AU98" s="408">
        <f t="shared" si="86"/>
        <v>0</v>
      </c>
      <c r="AV98" s="408">
        <f t="shared" si="86"/>
        <v>0</v>
      </c>
      <c r="AW98" s="408">
        <f t="shared" si="86"/>
        <v>0</v>
      </c>
      <c r="AX98" s="408">
        <f t="shared" si="86"/>
        <v>0</v>
      </c>
      <c r="AY98" s="408">
        <f t="shared" si="86"/>
        <v>0</v>
      </c>
      <c r="AZ98" s="408">
        <f t="shared" ref="AZ98:BI107" si="87">IF(AND(AZ$8&gt;=$D98,(MATCH(AZ$8,$AF$8:$CA$8,0)-MATCH($D98,$AF$8:$CA$8,0))&lt;12),$E98/12,0)</f>
        <v>2916.6666666666665</v>
      </c>
      <c r="BA98" s="408">
        <f t="shared" si="87"/>
        <v>2916.6666666666665</v>
      </c>
      <c r="BB98" s="408">
        <f t="shared" si="87"/>
        <v>2916.6666666666665</v>
      </c>
      <c r="BC98" s="408">
        <f t="shared" si="87"/>
        <v>2916.6666666666665</v>
      </c>
      <c r="BD98" s="408">
        <f t="shared" si="87"/>
        <v>2916.6666666666665</v>
      </c>
      <c r="BE98" s="408">
        <f t="shared" si="87"/>
        <v>2916.6666666666665</v>
      </c>
      <c r="BF98" s="408">
        <f t="shared" si="87"/>
        <v>2916.6666666666665</v>
      </c>
      <c r="BG98" s="408">
        <f t="shared" si="87"/>
        <v>2916.6666666666665</v>
      </c>
      <c r="BH98" s="408">
        <f t="shared" si="87"/>
        <v>2916.6666666666665</v>
      </c>
      <c r="BI98" s="408">
        <f t="shared" si="87"/>
        <v>2916.6666666666665</v>
      </c>
      <c r="BJ98" s="408">
        <f t="shared" ref="BJ98:BS107" si="88">IF(AND(BJ$8&gt;=$D98,(MATCH(BJ$8,$AF$8:$CA$8,0)-MATCH($D98,$AF$8:$CA$8,0))&lt;12),$E98/12,0)</f>
        <v>2916.6666666666665</v>
      </c>
      <c r="BK98" s="408">
        <f t="shared" si="88"/>
        <v>2916.6666666666665</v>
      </c>
      <c r="BL98" s="408">
        <f t="shared" si="88"/>
        <v>0</v>
      </c>
      <c r="BM98" s="408">
        <f t="shared" si="88"/>
        <v>0</v>
      </c>
      <c r="BN98" s="408">
        <f t="shared" si="88"/>
        <v>0</v>
      </c>
      <c r="BO98" s="408">
        <f t="shared" si="88"/>
        <v>0</v>
      </c>
      <c r="BP98" s="408">
        <f t="shared" si="88"/>
        <v>0</v>
      </c>
      <c r="BQ98" s="408">
        <f t="shared" si="88"/>
        <v>0</v>
      </c>
      <c r="BR98" s="408">
        <f t="shared" si="88"/>
        <v>0</v>
      </c>
      <c r="BS98" s="408">
        <f t="shared" si="88"/>
        <v>0</v>
      </c>
      <c r="BT98" s="408">
        <f t="shared" ref="BT98:CA107" si="89">IF(AND(BT$8&gt;=$D98,(MATCH(BT$8,$AF$8:$CA$8,0)-MATCH($D98,$AF$8:$CA$8,0))&lt;12),$E98/12,0)</f>
        <v>0</v>
      </c>
      <c r="BU98" s="408">
        <f t="shared" si="89"/>
        <v>0</v>
      </c>
      <c r="BV98" s="408">
        <f t="shared" si="89"/>
        <v>0</v>
      </c>
      <c r="BW98" s="408">
        <f t="shared" si="89"/>
        <v>0</v>
      </c>
      <c r="BX98" s="408">
        <f t="shared" si="89"/>
        <v>0</v>
      </c>
      <c r="BY98" s="408">
        <f t="shared" si="89"/>
        <v>0</v>
      </c>
      <c r="BZ98" s="408">
        <f t="shared" si="89"/>
        <v>0</v>
      </c>
      <c r="CA98" s="408">
        <f t="shared" si="89"/>
        <v>0</v>
      </c>
    </row>
    <row r="99" spans="3:79" ht="21" hidden="1" customHeight="1" outlineLevel="2">
      <c r="C99" s="370"/>
      <c r="D99" s="374">
        <f t="shared" si="76"/>
        <v>45596</v>
      </c>
      <c r="E99" s="408" cm="1">
        <f t="array" ref="E99">INDEX($AF$18:$CA$18,0,MATCH($D99,$AF$8:$CA$8,0))</f>
        <v>0</v>
      </c>
      <c r="F99" s="372"/>
      <c r="G99" s="409"/>
      <c r="H99" s="410">
        <f t="shared" si="83"/>
        <v>0</v>
      </c>
      <c r="I99" s="410">
        <f t="shared" si="83"/>
        <v>0</v>
      </c>
      <c r="J99" s="410">
        <f t="shared" si="83"/>
        <v>0</v>
      </c>
      <c r="K99" s="410">
        <f t="shared" si="83"/>
        <v>0</v>
      </c>
      <c r="M99" s="359"/>
      <c r="N99" s="410">
        <f t="shared" si="84"/>
        <v>0</v>
      </c>
      <c r="O99" s="410">
        <f t="shared" si="84"/>
        <v>0</v>
      </c>
      <c r="P99" s="410">
        <f t="shared" si="84"/>
        <v>0</v>
      </c>
      <c r="Q99" s="410">
        <f t="shared" si="84"/>
        <v>0</v>
      </c>
      <c r="R99" s="410">
        <f t="shared" si="84"/>
        <v>0</v>
      </c>
      <c r="S99" s="410">
        <f t="shared" si="84"/>
        <v>0</v>
      </c>
      <c r="T99" s="410">
        <f t="shared" si="84"/>
        <v>0</v>
      </c>
      <c r="U99" s="410">
        <f t="shared" si="84"/>
        <v>0</v>
      </c>
      <c r="V99" s="410">
        <f t="shared" si="84"/>
        <v>0</v>
      </c>
      <c r="W99" s="410">
        <f t="shared" si="84"/>
        <v>0</v>
      </c>
      <c r="X99" s="410">
        <f t="shared" si="84"/>
        <v>0</v>
      </c>
      <c r="Y99" s="410">
        <f t="shared" si="84"/>
        <v>0</v>
      </c>
      <c r="Z99" s="410">
        <f t="shared" si="84"/>
        <v>0</v>
      </c>
      <c r="AA99" s="410">
        <f t="shared" si="84"/>
        <v>0</v>
      </c>
      <c r="AB99" s="410">
        <f t="shared" si="84"/>
        <v>0</v>
      </c>
      <c r="AC99" s="410">
        <f t="shared" si="84"/>
        <v>0</v>
      </c>
      <c r="AD99" s="372"/>
      <c r="AE99" s="409"/>
      <c r="AF99" s="408">
        <f t="shared" si="85"/>
        <v>0</v>
      </c>
      <c r="AG99" s="408">
        <f t="shared" si="85"/>
        <v>0</v>
      </c>
      <c r="AH99" s="408">
        <f t="shared" si="85"/>
        <v>0</v>
      </c>
      <c r="AI99" s="408">
        <f t="shared" si="85"/>
        <v>0</v>
      </c>
      <c r="AJ99" s="408">
        <f t="shared" si="85"/>
        <v>0</v>
      </c>
      <c r="AK99" s="408">
        <f t="shared" si="85"/>
        <v>0</v>
      </c>
      <c r="AL99" s="408">
        <f t="shared" si="85"/>
        <v>0</v>
      </c>
      <c r="AM99" s="408">
        <f t="shared" si="85"/>
        <v>0</v>
      </c>
      <c r="AN99" s="408">
        <f t="shared" si="85"/>
        <v>0</v>
      </c>
      <c r="AO99" s="408">
        <f t="shared" si="85"/>
        <v>0</v>
      </c>
      <c r="AP99" s="408">
        <f t="shared" si="86"/>
        <v>0</v>
      </c>
      <c r="AQ99" s="408">
        <f t="shared" si="86"/>
        <v>0</v>
      </c>
      <c r="AR99" s="408">
        <f t="shared" si="86"/>
        <v>0</v>
      </c>
      <c r="AS99" s="408">
        <f t="shared" si="86"/>
        <v>0</v>
      </c>
      <c r="AT99" s="408">
        <f t="shared" si="86"/>
        <v>0</v>
      </c>
      <c r="AU99" s="408">
        <f t="shared" si="86"/>
        <v>0</v>
      </c>
      <c r="AV99" s="408">
        <f t="shared" si="86"/>
        <v>0</v>
      </c>
      <c r="AW99" s="408">
        <f t="shared" si="86"/>
        <v>0</v>
      </c>
      <c r="AX99" s="408">
        <f t="shared" si="86"/>
        <v>0</v>
      </c>
      <c r="AY99" s="408">
        <f t="shared" si="86"/>
        <v>0</v>
      </c>
      <c r="AZ99" s="408">
        <f t="shared" si="87"/>
        <v>0</v>
      </c>
      <c r="BA99" s="408">
        <f t="shared" si="87"/>
        <v>0</v>
      </c>
      <c r="BB99" s="408">
        <f t="shared" si="87"/>
        <v>0</v>
      </c>
      <c r="BC99" s="408">
        <f t="shared" si="87"/>
        <v>0</v>
      </c>
      <c r="BD99" s="408">
        <f t="shared" si="87"/>
        <v>0</v>
      </c>
      <c r="BE99" s="408">
        <f t="shared" si="87"/>
        <v>0</v>
      </c>
      <c r="BF99" s="408">
        <f t="shared" si="87"/>
        <v>0</v>
      </c>
      <c r="BG99" s="408">
        <f t="shared" si="87"/>
        <v>0</v>
      </c>
      <c r="BH99" s="408">
        <f t="shared" si="87"/>
        <v>0</v>
      </c>
      <c r="BI99" s="408">
        <f t="shared" si="87"/>
        <v>0</v>
      </c>
      <c r="BJ99" s="408">
        <f t="shared" si="88"/>
        <v>0</v>
      </c>
      <c r="BK99" s="408">
        <f t="shared" si="88"/>
        <v>0</v>
      </c>
      <c r="BL99" s="408">
        <f t="shared" si="88"/>
        <v>0</v>
      </c>
      <c r="BM99" s="408">
        <f t="shared" si="88"/>
        <v>0</v>
      </c>
      <c r="BN99" s="408">
        <f t="shared" si="88"/>
        <v>0</v>
      </c>
      <c r="BO99" s="408">
        <f t="shared" si="88"/>
        <v>0</v>
      </c>
      <c r="BP99" s="408">
        <f t="shared" si="88"/>
        <v>0</v>
      </c>
      <c r="BQ99" s="408">
        <f t="shared" si="88"/>
        <v>0</v>
      </c>
      <c r="BR99" s="408">
        <f t="shared" si="88"/>
        <v>0</v>
      </c>
      <c r="BS99" s="408">
        <f t="shared" si="88"/>
        <v>0</v>
      </c>
      <c r="BT99" s="408">
        <f t="shared" si="89"/>
        <v>0</v>
      </c>
      <c r="BU99" s="408">
        <f t="shared" si="89"/>
        <v>0</v>
      </c>
      <c r="BV99" s="408">
        <f t="shared" si="89"/>
        <v>0</v>
      </c>
      <c r="BW99" s="408">
        <f t="shared" si="89"/>
        <v>0</v>
      </c>
      <c r="BX99" s="408">
        <f t="shared" si="89"/>
        <v>0</v>
      </c>
      <c r="BY99" s="408">
        <f t="shared" si="89"/>
        <v>0</v>
      </c>
      <c r="BZ99" s="408">
        <f t="shared" si="89"/>
        <v>0</v>
      </c>
      <c r="CA99" s="408">
        <f t="shared" si="89"/>
        <v>0</v>
      </c>
    </row>
    <row r="100" spans="3:79" ht="21" hidden="1" customHeight="1" outlineLevel="2">
      <c r="C100" s="370"/>
      <c r="D100" s="374">
        <f t="shared" si="76"/>
        <v>45626</v>
      </c>
      <c r="E100" s="408" cm="1">
        <f t="array" ref="E100">INDEX($AF$18:$CA$18,0,MATCH($D100,$AF$8:$CA$8,0))</f>
        <v>37400</v>
      </c>
      <c r="F100" s="372"/>
      <c r="G100" s="409"/>
      <c r="H100" s="410">
        <f t="shared" si="83"/>
        <v>0</v>
      </c>
      <c r="I100" s="410">
        <f t="shared" si="83"/>
        <v>6233.333333333333</v>
      </c>
      <c r="J100" s="410">
        <f t="shared" si="83"/>
        <v>31166.666666666672</v>
      </c>
      <c r="K100" s="410">
        <f t="shared" si="83"/>
        <v>0</v>
      </c>
      <c r="M100" s="359"/>
      <c r="N100" s="410">
        <f t="shared" si="84"/>
        <v>0</v>
      </c>
      <c r="O100" s="410">
        <f t="shared" si="84"/>
        <v>0</v>
      </c>
      <c r="P100" s="410">
        <f t="shared" si="84"/>
        <v>0</v>
      </c>
      <c r="Q100" s="410">
        <f t="shared" si="84"/>
        <v>0</v>
      </c>
      <c r="R100" s="410">
        <f t="shared" si="84"/>
        <v>0</v>
      </c>
      <c r="S100" s="410">
        <f t="shared" si="84"/>
        <v>0</v>
      </c>
      <c r="T100" s="410">
        <f t="shared" si="84"/>
        <v>0</v>
      </c>
      <c r="U100" s="410">
        <f t="shared" si="84"/>
        <v>6233.333333333333</v>
      </c>
      <c r="V100" s="410">
        <f t="shared" si="84"/>
        <v>9350</v>
      </c>
      <c r="W100" s="410">
        <f t="shared" si="84"/>
        <v>9350</v>
      </c>
      <c r="X100" s="410">
        <f t="shared" si="84"/>
        <v>9350</v>
      </c>
      <c r="Y100" s="410">
        <f t="shared" si="84"/>
        <v>3116.6666666666665</v>
      </c>
      <c r="Z100" s="410">
        <f t="shared" si="84"/>
        <v>0</v>
      </c>
      <c r="AA100" s="410">
        <f t="shared" si="84"/>
        <v>0</v>
      </c>
      <c r="AB100" s="410">
        <f t="shared" si="84"/>
        <v>0</v>
      </c>
      <c r="AC100" s="410">
        <f t="shared" si="84"/>
        <v>0</v>
      </c>
      <c r="AD100" s="372"/>
      <c r="AE100" s="409"/>
      <c r="AF100" s="408">
        <f t="shared" si="85"/>
        <v>0</v>
      </c>
      <c r="AG100" s="408">
        <f t="shared" si="85"/>
        <v>0</v>
      </c>
      <c r="AH100" s="408">
        <f t="shared" si="85"/>
        <v>0</v>
      </c>
      <c r="AI100" s="408">
        <f t="shared" si="85"/>
        <v>0</v>
      </c>
      <c r="AJ100" s="408">
        <f t="shared" si="85"/>
        <v>0</v>
      </c>
      <c r="AK100" s="408">
        <f t="shared" si="85"/>
        <v>0</v>
      </c>
      <c r="AL100" s="408">
        <f t="shared" si="85"/>
        <v>0</v>
      </c>
      <c r="AM100" s="408">
        <f t="shared" si="85"/>
        <v>0</v>
      </c>
      <c r="AN100" s="408">
        <f t="shared" si="85"/>
        <v>0</v>
      </c>
      <c r="AO100" s="408">
        <f t="shared" si="85"/>
        <v>0</v>
      </c>
      <c r="AP100" s="408">
        <f t="shared" si="86"/>
        <v>0</v>
      </c>
      <c r="AQ100" s="408">
        <f t="shared" si="86"/>
        <v>0</v>
      </c>
      <c r="AR100" s="408">
        <f t="shared" si="86"/>
        <v>0</v>
      </c>
      <c r="AS100" s="408">
        <f t="shared" si="86"/>
        <v>0</v>
      </c>
      <c r="AT100" s="408">
        <f t="shared" si="86"/>
        <v>0</v>
      </c>
      <c r="AU100" s="408">
        <f t="shared" si="86"/>
        <v>0</v>
      </c>
      <c r="AV100" s="408">
        <f t="shared" si="86"/>
        <v>0</v>
      </c>
      <c r="AW100" s="408">
        <f t="shared" si="86"/>
        <v>0</v>
      </c>
      <c r="AX100" s="408">
        <f t="shared" si="86"/>
        <v>0</v>
      </c>
      <c r="AY100" s="408">
        <f t="shared" si="86"/>
        <v>0</v>
      </c>
      <c r="AZ100" s="408">
        <f t="shared" si="87"/>
        <v>0</v>
      </c>
      <c r="BA100" s="408">
        <f t="shared" si="87"/>
        <v>0</v>
      </c>
      <c r="BB100" s="408">
        <f t="shared" si="87"/>
        <v>3116.6666666666665</v>
      </c>
      <c r="BC100" s="408">
        <f t="shared" si="87"/>
        <v>3116.6666666666665</v>
      </c>
      <c r="BD100" s="408">
        <f t="shared" si="87"/>
        <v>3116.6666666666665</v>
      </c>
      <c r="BE100" s="408">
        <f t="shared" si="87"/>
        <v>3116.6666666666665</v>
      </c>
      <c r="BF100" s="408">
        <f t="shared" si="87"/>
        <v>3116.6666666666665</v>
      </c>
      <c r="BG100" s="408">
        <f t="shared" si="87"/>
        <v>3116.6666666666665</v>
      </c>
      <c r="BH100" s="408">
        <f t="shared" si="87"/>
        <v>3116.6666666666665</v>
      </c>
      <c r="BI100" s="408">
        <f t="shared" si="87"/>
        <v>3116.6666666666665</v>
      </c>
      <c r="BJ100" s="408">
        <f t="shared" si="88"/>
        <v>3116.6666666666665</v>
      </c>
      <c r="BK100" s="408">
        <f t="shared" si="88"/>
        <v>3116.6666666666665</v>
      </c>
      <c r="BL100" s="408">
        <f t="shared" si="88"/>
        <v>3116.6666666666665</v>
      </c>
      <c r="BM100" s="408">
        <f t="shared" si="88"/>
        <v>3116.6666666666665</v>
      </c>
      <c r="BN100" s="408">
        <f t="shared" si="88"/>
        <v>0</v>
      </c>
      <c r="BO100" s="408">
        <f t="shared" si="88"/>
        <v>0</v>
      </c>
      <c r="BP100" s="408">
        <f t="shared" si="88"/>
        <v>0</v>
      </c>
      <c r="BQ100" s="408">
        <f t="shared" si="88"/>
        <v>0</v>
      </c>
      <c r="BR100" s="408">
        <f t="shared" si="88"/>
        <v>0</v>
      </c>
      <c r="BS100" s="408">
        <f t="shared" si="88"/>
        <v>0</v>
      </c>
      <c r="BT100" s="408">
        <f t="shared" si="89"/>
        <v>0</v>
      </c>
      <c r="BU100" s="408">
        <f t="shared" si="89"/>
        <v>0</v>
      </c>
      <c r="BV100" s="408">
        <f t="shared" si="89"/>
        <v>0</v>
      </c>
      <c r="BW100" s="408">
        <f t="shared" si="89"/>
        <v>0</v>
      </c>
      <c r="BX100" s="408">
        <f t="shared" si="89"/>
        <v>0</v>
      </c>
      <c r="BY100" s="408">
        <f t="shared" si="89"/>
        <v>0</v>
      </c>
      <c r="BZ100" s="408">
        <f t="shared" si="89"/>
        <v>0</v>
      </c>
      <c r="CA100" s="408">
        <f t="shared" si="89"/>
        <v>0</v>
      </c>
    </row>
    <row r="101" spans="3:79" ht="21" hidden="1" customHeight="1" outlineLevel="2">
      <c r="C101" s="370"/>
      <c r="D101" s="374">
        <f t="shared" si="76"/>
        <v>45657</v>
      </c>
      <c r="E101" s="408" cm="1">
        <f t="array" ref="E101">INDEX($AF$18:$CA$18,0,MATCH($D101,$AF$8:$CA$8,0))</f>
        <v>0</v>
      </c>
      <c r="F101" s="372"/>
      <c r="G101" s="409"/>
      <c r="H101" s="410">
        <f t="shared" si="83"/>
        <v>0</v>
      </c>
      <c r="I101" s="410">
        <f t="shared" si="83"/>
        <v>0</v>
      </c>
      <c r="J101" s="410">
        <f t="shared" si="83"/>
        <v>0</v>
      </c>
      <c r="K101" s="410">
        <f t="shared" si="83"/>
        <v>0</v>
      </c>
      <c r="M101" s="359"/>
      <c r="N101" s="410">
        <f t="shared" si="84"/>
        <v>0</v>
      </c>
      <c r="O101" s="410">
        <f t="shared" si="84"/>
        <v>0</v>
      </c>
      <c r="P101" s="410">
        <f t="shared" si="84"/>
        <v>0</v>
      </c>
      <c r="Q101" s="410">
        <f t="shared" si="84"/>
        <v>0</v>
      </c>
      <c r="R101" s="410">
        <f t="shared" si="84"/>
        <v>0</v>
      </c>
      <c r="S101" s="410">
        <f t="shared" si="84"/>
        <v>0</v>
      </c>
      <c r="T101" s="410">
        <f t="shared" si="84"/>
        <v>0</v>
      </c>
      <c r="U101" s="410">
        <f t="shared" si="84"/>
        <v>0</v>
      </c>
      <c r="V101" s="410">
        <f t="shared" si="84"/>
        <v>0</v>
      </c>
      <c r="W101" s="410">
        <f t="shared" si="84"/>
        <v>0</v>
      </c>
      <c r="X101" s="410">
        <f t="shared" si="84"/>
        <v>0</v>
      </c>
      <c r="Y101" s="410">
        <f t="shared" si="84"/>
        <v>0</v>
      </c>
      <c r="Z101" s="410">
        <f t="shared" si="84"/>
        <v>0</v>
      </c>
      <c r="AA101" s="410">
        <f t="shared" si="84"/>
        <v>0</v>
      </c>
      <c r="AB101" s="410">
        <f t="shared" si="84"/>
        <v>0</v>
      </c>
      <c r="AC101" s="410">
        <f t="shared" si="84"/>
        <v>0</v>
      </c>
      <c r="AD101" s="372"/>
      <c r="AE101" s="409"/>
      <c r="AF101" s="408">
        <f t="shared" si="85"/>
        <v>0</v>
      </c>
      <c r="AG101" s="408">
        <f t="shared" si="85"/>
        <v>0</v>
      </c>
      <c r="AH101" s="408">
        <f t="shared" si="85"/>
        <v>0</v>
      </c>
      <c r="AI101" s="408">
        <f t="shared" si="85"/>
        <v>0</v>
      </c>
      <c r="AJ101" s="408">
        <f t="shared" si="85"/>
        <v>0</v>
      </c>
      <c r="AK101" s="408">
        <f t="shared" si="85"/>
        <v>0</v>
      </c>
      <c r="AL101" s="408">
        <f t="shared" si="85"/>
        <v>0</v>
      </c>
      <c r="AM101" s="408">
        <f t="shared" si="85"/>
        <v>0</v>
      </c>
      <c r="AN101" s="408">
        <f t="shared" si="85"/>
        <v>0</v>
      </c>
      <c r="AO101" s="408">
        <f t="shared" si="85"/>
        <v>0</v>
      </c>
      <c r="AP101" s="408">
        <f t="shared" si="86"/>
        <v>0</v>
      </c>
      <c r="AQ101" s="408">
        <f t="shared" si="86"/>
        <v>0</v>
      </c>
      <c r="AR101" s="408">
        <f t="shared" si="86"/>
        <v>0</v>
      </c>
      <c r="AS101" s="408">
        <f t="shared" si="86"/>
        <v>0</v>
      </c>
      <c r="AT101" s="408">
        <f t="shared" si="86"/>
        <v>0</v>
      </c>
      <c r="AU101" s="408">
        <f t="shared" si="86"/>
        <v>0</v>
      </c>
      <c r="AV101" s="408">
        <f t="shared" si="86"/>
        <v>0</v>
      </c>
      <c r="AW101" s="408">
        <f t="shared" si="86"/>
        <v>0</v>
      </c>
      <c r="AX101" s="408">
        <f t="shared" si="86"/>
        <v>0</v>
      </c>
      <c r="AY101" s="408">
        <f t="shared" si="86"/>
        <v>0</v>
      </c>
      <c r="AZ101" s="408">
        <f t="shared" si="87"/>
        <v>0</v>
      </c>
      <c r="BA101" s="408">
        <f t="shared" si="87"/>
        <v>0</v>
      </c>
      <c r="BB101" s="408">
        <f t="shared" si="87"/>
        <v>0</v>
      </c>
      <c r="BC101" s="408">
        <f t="shared" si="87"/>
        <v>0</v>
      </c>
      <c r="BD101" s="408">
        <f t="shared" si="87"/>
        <v>0</v>
      </c>
      <c r="BE101" s="408">
        <f t="shared" si="87"/>
        <v>0</v>
      </c>
      <c r="BF101" s="408">
        <f t="shared" si="87"/>
        <v>0</v>
      </c>
      <c r="BG101" s="408">
        <f t="shared" si="87"/>
        <v>0</v>
      </c>
      <c r="BH101" s="408">
        <f t="shared" si="87"/>
        <v>0</v>
      </c>
      <c r="BI101" s="408">
        <f t="shared" si="87"/>
        <v>0</v>
      </c>
      <c r="BJ101" s="408">
        <f t="shared" si="88"/>
        <v>0</v>
      </c>
      <c r="BK101" s="408">
        <f t="shared" si="88"/>
        <v>0</v>
      </c>
      <c r="BL101" s="408">
        <f t="shared" si="88"/>
        <v>0</v>
      </c>
      <c r="BM101" s="408">
        <f t="shared" si="88"/>
        <v>0</v>
      </c>
      <c r="BN101" s="408">
        <f t="shared" si="88"/>
        <v>0</v>
      </c>
      <c r="BO101" s="408">
        <f t="shared" si="88"/>
        <v>0</v>
      </c>
      <c r="BP101" s="408">
        <f t="shared" si="88"/>
        <v>0</v>
      </c>
      <c r="BQ101" s="408">
        <f t="shared" si="88"/>
        <v>0</v>
      </c>
      <c r="BR101" s="408">
        <f t="shared" si="88"/>
        <v>0</v>
      </c>
      <c r="BS101" s="408">
        <f t="shared" si="88"/>
        <v>0</v>
      </c>
      <c r="BT101" s="408">
        <f t="shared" si="89"/>
        <v>0</v>
      </c>
      <c r="BU101" s="408">
        <f t="shared" si="89"/>
        <v>0</v>
      </c>
      <c r="BV101" s="408">
        <f t="shared" si="89"/>
        <v>0</v>
      </c>
      <c r="BW101" s="408">
        <f t="shared" si="89"/>
        <v>0</v>
      </c>
      <c r="BX101" s="408">
        <f t="shared" si="89"/>
        <v>0</v>
      </c>
      <c r="BY101" s="408">
        <f t="shared" si="89"/>
        <v>0</v>
      </c>
      <c r="BZ101" s="408">
        <f t="shared" si="89"/>
        <v>0</v>
      </c>
      <c r="CA101" s="408">
        <f t="shared" si="89"/>
        <v>0</v>
      </c>
    </row>
    <row r="102" spans="3:79" ht="21" hidden="1" customHeight="1" outlineLevel="2">
      <c r="C102" s="370"/>
      <c r="D102" s="374">
        <f t="shared" si="76"/>
        <v>45688</v>
      </c>
      <c r="E102" s="408" cm="1">
        <f t="array" ref="E102">INDEX($AF$18:$CA$18,0,MATCH($D102,$AF$8:$CA$8,0))</f>
        <v>0</v>
      </c>
      <c r="F102" s="372"/>
      <c r="G102" s="409"/>
      <c r="H102" s="410">
        <f t="shared" si="83"/>
        <v>0</v>
      </c>
      <c r="I102" s="410">
        <f t="shared" si="83"/>
        <v>0</v>
      </c>
      <c r="J102" s="410">
        <f t="shared" si="83"/>
        <v>0</v>
      </c>
      <c r="K102" s="410">
        <f t="shared" si="83"/>
        <v>0</v>
      </c>
      <c r="M102" s="359"/>
      <c r="N102" s="410">
        <f t="shared" si="84"/>
        <v>0</v>
      </c>
      <c r="O102" s="410">
        <f t="shared" si="84"/>
        <v>0</v>
      </c>
      <c r="P102" s="410">
        <f t="shared" si="84"/>
        <v>0</v>
      </c>
      <c r="Q102" s="410">
        <f t="shared" si="84"/>
        <v>0</v>
      </c>
      <c r="R102" s="410">
        <f t="shared" si="84"/>
        <v>0</v>
      </c>
      <c r="S102" s="410">
        <f t="shared" si="84"/>
        <v>0</v>
      </c>
      <c r="T102" s="410">
        <f t="shared" si="84"/>
        <v>0</v>
      </c>
      <c r="U102" s="410">
        <f t="shared" si="84"/>
        <v>0</v>
      </c>
      <c r="V102" s="410">
        <f t="shared" si="84"/>
        <v>0</v>
      </c>
      <c r="W102" s="410">
        <f t="shared" si="84"/>
        <v>0</v>
      </c>
      <c r="X102" s="410">
        <f t="shared" si="84"/>
        <v>0</v>
      </c>
      <c r="Y102" s="410">
        <f t="shared" si="84"/>
        <v>0</v>
      </c>
      <c r="Z102" s="410">
        <f t="shared" si="84"/>
        <v>0</v>
      </c>
      <c r="AA102" s="410">
        <f t="shared" si="84"/>
        <v>0</v>
      </c>
      <c r="AB102" s="410">
        <f t="shared" si="84"/>
        <v>0</v>
      </c>
      <c r="AC102" s="410">
        <f t="shared" si="84"/>
        <v>0</v>
      </c>
      <c r="AD102" s="372"/>
      <c r="AE102" s="409"/>
      <c r="AF102" s="408">
        <f t="shared" si="85"/>
        <v>0</v>
      </c>
      <c r="AG102" s="408">
        <f t="shared" si="85"/>
        <v>0</v>
      </c>
      <c r="AH102" s="408">
        <f t="shared" si="85"/>
        <v>0</v>
      </c>
      <c r="AI102" s="408">
        <f t="shared" si="85"/>
        <v>0</v>
      </c>
      <c r="AJ102" s="408">
        <f t="shared" si="85"/>
        <v>0</v>
      </c>
      <c r="AK102" s="408">
        <f t="shared" si="85"/>
        <v>0</v>
      </c>
      <c r="AL102" s="408">
        <f t="shared" si="85"/>
        <v>0</v>
      </c>
      <c r="AM102" s="408">
        <f t="shared" si="85"/>
        <v>0</v>
      </c>
      <c r="AN102" s="408">
        <f t="shared" si="85"/>
        <v>0</v>
      </c>
      <c r="AO102" s="408">
        <f t="shared" si="85"/>
        <v>0</v>
      </c>
      <c r="AP102" s="408">
        <f t="shared" si="86"/>
        <v>0</v>
      </c>
      <c r="AQ102" s="408">
        <f t="shared" si="86"/>
        <v>0</v>
      </c>
      <c r="AR102" s="408">
        <f t="shared" si="86"/>
        <v>0</v>
      </c>
      <c r="AS102" s="408">
        <f t="shared" si="86"/>
        <v>0</v>
      </c>
      <c r="AT102" s="408">
        <f t="shared" si="86"/>
        <v>0</v>
      </c>
      <c r="AU102" s="408">
        <f t="shared" si="86"/>
        <v>0</v>
      </c>
      <c r="AV102" s="408">
        <f t="shared" si="86"/>
        <v>0</v>
      </c>
      <c r="AW102" s="408">
        <f t="shared" si="86"/>
        <v>0</v>
      </c>
      <c r="AX102" s="408">
        <f t="shared" si="86"/>
        <v>0</v>
      </c>
      <c r="AY102" s="408">
        <f t="shared" si="86"/>
        <v>0</v>
      </c>
      <c r="AZ102" s="408">
        <f t="shared" si="87"/>
        <v>0</v>
      </c>
      <c r="BA102" s="408">
        <f t="shared" si="87"/>
        <v>0</v>
      </c>
      <c r="BB102" s="408">
        <f t="shared" si="87"/>
        <v>0</v>
      </c>
      <c r="BC102" s="408">
        <f t="shared" si="87"/>
        <v>0</v>
      </c>
      <c r="BD102" s="408">
        <f t="shared" si="87"/>
        <v>0</v>
      </c>
      <c r="BE102" s="408">
        <f t="shared" si="87"/>
        <v>0</v>
      </c>
      <c r="BF102" s="408">
        <f t="shared" si="87"/>
        <v>0</v>
      </c>
      <c r="BG102" s="408">
        <f t="shared" si="87"/>
        <v>0</v>
      </c>
      <c r="BH102" s="408">
        <f t="shared" si="87"/>
        <v>0</v>
      </c>
      <c r="BI102" s="408">
        <f t="shared" si="87"/>
        <v>0</v>
      </c>
      <c r="BJ102" s="408">
        <f t="shared" si="88"/>
        <v>0</v>
      </c>
      <c r="BK102" s="408">
        <f t="shared" si="88"/>
        <v>0</v>
      </c>
      <c r="BL102" s="408">
        <f t="shared" si="88"/>
        <v>0</v>
      </c>
      <c r="BM102" s="408">
        <f t="shared" si="88"/>
        <v>0</v>
      </c>
      <c r="BN102" s="408">
        <f t="shared" si="88"/>
        <v>0</v>
      </c>
      <c r="BO102" s="408">
        <f t="shared" si="88"/>
        <v>0</v>
      </c>
      <c r="BP102" s="408">
        <f t="shared" si="88"/>
        <v>0</v>
      </c>
      <c r="BQ102" s="408">
        <f t="shared" si="88"/>
        <v>0</v>
      </c>
      <c r="BR102" s="408">
        <f t="shared" si="88"/>
        <v>0</v>
      </c>
      <c r="BS102" s="408">
        <f t="shared" si="88"/>
        <v>0</v>
      </c>
      <c r="BT102" s="408">
        <f t="shared" si="89"/>
        <v>0</v>
      </c>
      <c r="BU102" s="408">
        <f t="shared" si="89"/>
        <v>0</v>
      </c>
      <c r="BV102" s="408">
        <f t="shared" si="89"/>
        <v>0</v>
      </c>
      <c r="BW102" s="408">
        <f t="shared" si="89"/>
        <v>0</v>
      </c>
      <c r="BX102" s="408">
        <f t="shared" si="89"/>
        <v>0</v>
      </c>
      <c r="BY102" s="408">
        <f t="shared" si="89"/>
        <v>0</v>
      </c>
      <c r="BZ102" s="408">
        <f t="shared" si="89"/>
        <v>0</v>
      </c>
      <c r="CA102" s="408">
        <f t="shared" si="89"/>
        <v>0</v>
      </c>
    </row>
    <row r="103" spans="3:79" ht="21" hidden="1" customHeight="1" outlineLevel="2">
      <c r="C103" s="370"/>
      <c r="D103" s="374">
        <f t="shared" si="76"/>
        <v>45716</v>
      </c>
      <c r="E103" s="408" cm="1">
        <f t="array" ref="E103">INDEX($AF$18:$CA$18,0,MATCH($D103,$AF$8:$CA$8,0))</f>
        <v>0</v>
      </c>
      <c r="F103" s="372"/>
      <c r="G103" s="409"/>
      <c r="H103" s="410">
        <f t="shared" si="83"/>
        <v>0</v>
      </c>
      <c r="I103" s="410">
        <f t="shared" si="83"/>
        <v>0</v>
      </c>
      <c r="J103" s="410">
        <f t="shared" si="83"/>
        <v>0</v>
      </c>
      <c r="K103" s="410">
        <f t="shared" si="83"/>
        <v>0</v>
      </c>
      <c r="M103" s="359"/>
      <c r="N103" s="410">
        <f t="shared" si="84"/>
        <v>0</v>
      </c>
      <c r="O103" s="410">
        <f t="shared" si="84"/>
        <v>0</v>
      </c>
      <c r="P103" s="410">
        <f t="shared" si="84"/>
        <v>0</v>
      </c>
      <c r="Q103" s="410">
        <f t="shared" si="84"/>
        <v>0</v>
      </c>
      <c r="R103" s="410">
        <f t="shared" si="84"/>
        <v>0</v>
      </c>
      <c r="S103" s="410">
        <f t="shared" si="84"/>
        <v>0</v>
      </c>
      <c r="T103" s="410">
        <f t="shared" si="84"/>
        <v>0</v>
      </c>
      <c r="U103" s="410">
        <f t="shared" si="84"/>
        <v>0</v>
      </c>
      <c r="V103" s="410">
        <f t="shared" si="84"/>
        <v>0</v>
      </c>
      <c r="W103" s="410">
        <f t="shared" si="84"/>
        <v>0</v>
      </c>
      <c r="X103" s="410">
        <f t="shared" si="84"/>
        <v>0</v>
      </c>
      <c r="Y103" s="410">
        <f t="shared" si="84"/>
        <v>0</v>
      </c>
      <c r="Z103" s="410">
        <f t="shared" si="84"/>
        <v>0</v>
      </c>
      <c r="AA103" s="410">
        <f t="shared" si="84"/>
        <v>0</v>
      </c>
      <c r="AB103" s="410">
        <f t="shared" si="84"/>
        <v>0</v>
      </c>
      <c r="AC103" s="410">
        <f t="shared" si="84"/>
        <v>0</v>
      </c>
      <c r="AD103" s="372"/>
      <c r="AE103" s="409"/>
      <c r="AF103" s="408">
        <f t="shared" si="85"/>
        <v>0</v>
      </c>
      <c r="AG103" s="408">
        <f t="shared" si="85"/>
        <v>0</v>
      </c>
      <c r="AH103" s="408">
        <f t="shared" si="85"/>
        <v>0</v>
      </c>
      <c r="AI103" s="408">
        <f t="shared" si="85"/>
        <v>0</v>
      </c>
      <c r="AJ103" s="408">
        <f t="shared" si="85"/>
        <v>0</v>
      </c>
      <c r="AK103" s="408">
        <f t="shared" si="85"/>
        <v>0</v>
      </c>
      <c r="AL103" s="408">
        <f t="shared" si="85"/>
        <v>0</v>
      </c>
      <c r="AM103" s="408">
        <f t="shared" si="85"/>
        <v>0</v>
      </c>
      <c r="AN103" s="408">
        <f t="shared" si="85"/>
        <v>0</v>
      </c>
      <c r="AO103" s="408">
        <f t="shared" si="85"/>
        <v>0</v>
      </c>
      <c r="AP103" s="408">
        <f t="shared" si="86"/>
        <v>0</v>
      </c>
      <c r="AQ103" s="408">
        <f t="shared" si="86"/>
        <v>0</v>
      </c>
      <c r="AR103" s="408">
        <f t="shared" si="86"/>
        <v>0</v>
      </c>
      <c r="AS103" s="408">
        <f t="shared" si="86"/>
        <v>0</v>
      </c>
      <c r="AT103" s="408">
        <f t="shared" si="86"/>
        <v>0</v>
      </c>
      <c r="AU103" s="408">
        <f t="shared" si="86"/>
        <v>0</v>
      </c>
      <c r="AV103" s="408">
        <f t="shared" si="86"/>
        <v>0</v>
      </c>
      <c r="AW103" s="408">
        <f t="shared" si="86"/>
        <v>0</v>
      </c>
      <c r="AX103" s="408">
        <f t="shared" si="86"/>
        <v>0</v>
      </c>
      <c r="AY103" s="408">
        <f t="shared" si="86"/>
        <v>0</v>
      </c>
      <c r="AZ103" s="408">
        <f t="shared" si="87"/>
        <v>0</v>
      </c>
      <c r="BA103" s="408">
        <f t="shared" si="87"/>
        <v>0</v>
      </c>
      <c r="BB103" s="408">
        <f t="shared" si="87"/>
        <v>0</v>
      </c>
      <c r="BC103" s="408">
        <f t="shared" si="87"/>
        <v>0</v>
      </c>
      <c r="BD103" s="408">
        <f t="shared" si="87"/>
        <v>0</v>
      </c>
      <c r="BE103" s="408">
        <f t="shared" si="87"/>
        <v>0</v>
      </c>
      <c r="BF103" s="408">
        <f t="shared" si="87"/>
        <v>0</v>
      </c>
      <c r="BG103" s="408">
        <f t="shared" si="87"/>
        <v>0</v>
      </c>
      <c r="BH103" s="408">
        <f t="shared" si="87"/>
        <v>0</v>
      </c>
      <c r="BI103" s="408">
        <f t="shared" si="87"/>
        <v>0</v>
      </c>
      <c r="BJ103" s="408">
        <f t="shared" si="88"/>
        <v>0</v>
      </c>
      <c r="BK103" s="408">
        <f t="shared" si="88"/>
        <v>0</v>
      </c>
      <c r="BL103" s="408">
        <f t="shared" si="88"/>
        <v>0</v>
      </c>
      <c r="BM103" s="408">
        <f t="shared" si="88"/>
        <v>0</v>
      </c>
      <c r="BN103" s="408">
        <f t="shared" si="88"/>
        <v>0</v>
      </c>
      <c r="BO103" s="408">
        <f t="shared" si="88"/>
        <v>0</v>
      </c>
      <c r="BP103" s="408">
        <f t="shared" si="88"/>
        <v>0</v>
      </c>
      <c r="BQ103" s="408">
        <f t="shared" si="88"/>
        <v>0</v>
      </c>
      <c r="BR103" s="408">
        <f t="shared" si="88"/>
        <v>0</v>
      </c>
      <c r="BS103" s="408">
        <f t="shared" si="88"/>
        <v>0</v>
      </c>
      <c r="BT103" s="408">
        <f t="shared" si="89"/>
        <v>0</v>
      </c>
      <c r="BU103" s="408">
        <f t="shared" si="89"/>
        <v>0</v>
      </c>
      <c r="BV103" s="408">
        <f t="shared" si="89"/>
        <v>0</v>
      </c>
      <c r="BW103" s="408">
        <f t="shared" si="89"/>
        <v>0</v>
      </c>
      <c r="BX103" s="408">
        <f t="shared" si="89"/>
        <v>0</v>
      </c>
      <c r="BY103" s="408">
        <f t="shared" si="89"/>
        <v>0</v>
      </c>
      <c r="BZ103" s="408">
        <f t="shared" si="89"/>
        <v>0</v>
      </c>
      <c r="CA103" s="408">
        <f t="shared" si="89"/>
        <v>0</v>
      </c>
    </row>
    <row r="104" spans="3:79" ht="21" hidden="1" customHeight="1" outlineLevel="2">
      <c r="C104" s="370"/>
      <c r="D104" s="374">
        <f t="shared" si="76"/>
        <v>45747</v>
      </c>
      <c r="E104" s="408" cm="1">
        <f t="array" ref="E104">INDEX($AF$18:$CA$18,0,MATCH($D104,$AF$8:$CA$8,0))</f>
        <v>0</v>
      </c>
      <c r="F104" s="372"/>
      <c r="G104" s="409"/>
      <c r="H104" s="410">
        <f t="shared" si="83"/>
        <v>0</v>
      </c>
      <c r="I104" s="410">
        <f t="shared" si="83"/>
        <v>0</v>
      </c>
      <c r="J104" s="410">
        <f t="shared" si="83"/>
        <v>0</v>
      </c>
      <c r="K104" s="410">
        <f t="shared" si="83"/>
        <v>0</v>
      </c>
      <c r="M104" s="359"/>
      <c r="N104" s="410">
        <f t="shared" si="84"/>
        <v>0</v>
      </c>
      <c r="O104" s="410">
        <f t="shared" si="84"/>
        <v>0</v>
      </c>
      <c r="P104" s="410">
        <f t="shared" si="84"/>
        <v>0</v>
      </c>
      <c r="Q104" s="410">
        <f t="shared" si="84"/>
        <v>0</v>
      </c>
      <c r="R104" s="410">
        <f t="shared" si="84"/>
        <v>0</v>
      </c>
      <c r="S104" s="410">
        <f t="shared" si="84"/>
        <v>0</v>
      </c>
      <c r="T104" s="410">
        <f t="shared" si="84"/>
        <v>0</v>
      </c>
      <c r="U104" s="410">
        <f t="shared" si="84"/>
        <v>0</v>
      </c>
      <c r="V104" s="410">
        <f t="shared" si="84"/>
        <v>0</v>
      </c>
      <c r="W104" s="410">
        <f t="shared" si="84"/>
        <v>0</v>
      </c>
      <c r="X104" s="410">
        <f t="shared" si="84"/>
        <v>0</v>
      </c>
      <c r="Y104" s="410">
        <f t="shared" si="84"/>
        <v>0</v>
      </c>
      <c r="Z104" s="410">
        <f t="shared" si="84"/>
        <v>0</v>
      </c>
      <c r="AA104" s="410">
        <f t="shared" si="84"/>
        <v>0</v>
      </c>
      <c r="AB104" s="410">
        <f t="shared" si="84"/>
        <v>0</v>
      </c>
      <c r="AC104" s="410">
        <f t="shared" si="84"/>
        <v>0</v>
      </c>
      <c r="AD104" s="372"/>
      <c r="AE104" s="409"/>
      <c r="AF104" s="408">
        <f t="shared" si="85"/>
        <v>0</v>
      </c>
      <c r="AG104" s="408">
        <f t="shared" si="85"/>
        <v>0</v>
      </c>
      <c r="AH104" s="408">
        <f t="shared" si="85"/>
        <v>0</v>
      </c>
      <c r="AI104" s="408">
        <f t="shared" si="85"/>
        <v>0</v>
      </c>
      <c r="AJ104" s="408">
        <f t="shared" si="85"/>
        <v>0</v>
      </c>
      <c r="AK104" s="408">
        <f t="shared" si="85"/>
        <v>0</v>
      </c>
      <c r="AL104" s="408">
        <f t="shared" si="85"/>
        <v>0</v>
      </c>
      <c r="AM104" s="408">
        <f t="shared" si="85"/>
        <v>0</v>
      </c>
      <c r="AN104" s="408">
        <f t="shared" si="85"/>
        <v>0</v>
      </c>
      <c r="AO104" s="408">
        <f t="shared" si="85"/>
        <v>0</v>
      </c>
      <c r="AP104" s="408">
        <f t="shared" si="86"/>
        <v>0</v>
      </c>
      <c r="AQ104" s="408">
        <f t="shared" si="86"/>
        <v>0</v>
      </c>
      <c r="AR104" s="408">
        <f t="shared" si="86"/>
        <v>0</v>
      </c>
      <c r="AS104" s="408">
        <f t="shared" si="86"/>
        <v>0</v>
      </c>
      <c r="AT104" s="408">
        <f t="shared" si="86"/>
        <v>0</v>
      </c>
      <c r="AU104" s="408">
        <f t="shared" si="86"/>
        <v>0</v>
      </c>
      <c r="AV104" s="408">
        <f t="shared" si="86"/>
        <v>0</v>
      </c>
      <c r="AW104" s="408">
        <f t="shared" si="86"/>
        <v>0</v>
      </c>
      <c r="AX104" s="408">
        <f t="shared" si="86"/>
        <v>0</v>
      </c>
      <c r="AY104" s="408">
        <f t="shared" si="86"/>
        <v>0</v>
      </c>
      <c r="AZ104" s="408">
        <f t="shared" si="87"/>
        <v>0</v>
      </c>
      <c r="BA104" s="408">
        <f t="shared" si="87"/>
        <v>0</v>
      </c>
      <c r="BB104" s="408">
        <f t="shared" si="87"/>
        <v>0</v>
      </c>
      <c r="BC104" s="408">
        <f t="shared" si="87"/>
        <v>0</v>
      </c>
      <c r="BD104" s="408">
        <f t="shared" si="87"/>
        <v>0</v>
      </c>
      <c r="BE104" s="408">
        <f t="shared" si="87"/>
        <v>0</v>
      </c>
      <c r="BF104" s="408">
        <f t="shared" si="87"/>
        <v>0</v>
      </c>
      <c r="BG104" s="408">
        <f t="shared" si="87"/>
        <v>0</v>
      </c>
      <c r="BH104" s="408">
        <f t="shared" si="87"/>
        <v>0</v>
      </c>
      <c r="BI104" s="408">
        <f t="shared" si="87"/>
        <v>0</v>
      </c>
      <c r="BJ104" s="408">
        <f t="shared" si="88"/>
        <v>0</v>
      </c>
      <c r="BK104" s="408">
        <f t="shared" si="88"/>
        <v>0</v>
      </c>
      <c r="BL104" s="408">
        <f t="shared" si="88"/>
        <v>0</v>
      </c>
      <c r="BM104" s="408">
        <f t="shared" si="88"/>
        <v>0</v>
      </c>
      <c r="BN104" s="408">
        <f t="shared" si="88"/>
        <v>0</v>
      </c>
      <c r="BO104" s="408">
        <f t="shared" si="88"/>
        <v>0</v>
      </c>
      <c r="BP104" s="408">
        <f t="shared" si="88"/>
        <v>0</v>
      </c>
      <c r="BQ104" s="408">
        <f t="shared" si="88"/>
        <v>0</v>
      </c>
      <c r="BR104" s="408">
        <f t="shared" si="88"/>
        <v>0</v>
      </c>
      <c r="BS104" s="408">
        <f t="shared" si="88"/>
        <v>0</v>
      </c>
      <c r="BT104" s="408">
        <f t="shared" si="89"/>
        <v>0</v>
      </c>
      <c r="BU104" s="408">
        <f t="shared" si="89"/>
        <v>0</v>
      </c>
      <c r="BV104" s="408">
        <f t="shared" si="89"/>
        <v>0</v>
      </c>
      <c r="BW104" s="408">
        <f t="shared" si="89"/>
        <v>0</v>
      </c>
      <c r="BX104" s="408">
        <f t="shared" si="89"/>
        <v>0</v>
      </c>
      <c r="BY104" s="408">
        <f t="shared" si="89"/>
        <v>0</v>
      </c>
      <c r="BZ104" s="408">
        <f t="shared" si="89"/>
        <v>0</v>
      </c>
      <c r="CA104" s="408">
        <f t="shared" si="89"/>
        <v>0</v>
      </c>
    </row>
    <row r="105" spans="3:79" ht="21" hidden="1" customHeight="1" outlineLevel="2">
      <c r="C105" s="370"/>
      <c r="D105" s="374">
        <f t="shared" si="76"/>
        <v>45777</v>
      </c>
      <c r="E105" s="408" cm="1">
        <f t="array" ref="E105">INDEX($AF$18:$CA$18,0,MATCH($D105,$AF$8:$CA$8,0))</f>
        <v>0</v>
      </c>
      <c r="F105" s="372"/>
      <c r="G105" s="409"/>
      <c r="H105" s="410">
        <f t="shared" si="83"/>
        <v>0</v>
      </c>
      <c r="I105" s="410">
        <f t="shared" si="83"/>
        <v>0</v>
      </c>
      <c r="J105" s="410">
        <f t="shared" si="83"/>
        <v>0</v>
      </c>
      <c r="K105" s="410">
        <f t="shared" si="83"/>
        <v>0</v>
      </c>
      <c r="M105" s="359"/>
      <c r="N105" s="410">
        <f t="shared" si="84"/>
        <v>0</v>
      </c>
      <c r="O105" s="410">
        <f t="shared" si="84"/>
        <v>0</v>
      </c>
      <c r="P105" s="410">
        <f t="shared" si="84"/>
        <v>0</v>
      </c>
      <c r="Q105" s="410">
        <f t="shared" si="84"/>
        <v>0</v>
      </c>
      <c r="R105" s="410">
        <f t="shared" si="84"/>
        <v>0</v>
      </c>
      <c r="S105" s="410">
        <f t="shared" si="84"/>
        <v>0</v>
      </c>
      <c r="T105" s="410">
        <f t="shared" si="84"/>
        <v>0</v>
      </c>
      <c r="U105" s="410">
        <f t="shared" si="84"/>
        <v>0</v>
      </c>
      <c r="V105" s="410">
        <f t="shared" si="84"/>
        <v>0</v>
      </c>
      <c r="W105" s="410">
        <f t="shared" si="84"/>
        <v>0</v>
      </c>
      <c r="X105" s="410">
        <f t="shared" si="84"/>
        <v>0</v>
      </c>
      <c r="Y105" s="410">
        <f t="shared" si="84"/>
        <v>0</v>
      </c>
      <c r="Z105" s="410">
        <f t="shared" si="84"/>
        <v>0</v>
      </c>
      <c r="AA105" s="410">
        <f t="shared" si="84"/>
        <v>0</v>
      </c>
      <c r="AB105" s="410">
        <f t="shared" si="84"/>
        <v>0</v>
      </c>
      <c r="AC105" s="410">
        <f t="shared" si="84"/>
        <v>0</v>
      </c>
      <c r="AD105" s="372"/>
      <c r="AE105" s="409"/>
      <c r="AF105" s="408">
        <f t="shared" si="85"/>
        <v>0</v>
      </c>
      <c r="AG105" s="408">
        <f t="shared" si="85"/>
        <v>0</v>
      </c>
      <c r="AH105" s="408">
        <f t="shared" si="85"/>
        <v>0</v>
      </c>
      <c r="AI105" s="408">
        <f t="shared" si="85"/>
        <v>0</v>
      </c>
      <c r="AJ105" s="408">
        <f t="shared" si="85"/>
        <v>0</v>
      </c>
      <c r="AK105" s="408">
        <f t="shared" si="85"/>
        <v>0</v>
      </c>
      <c r="AL105" s="408">
        <f t="shared" si="85"/>
        <v>0</v>
      </c>
      <c r="AM105" s="408">
        <f t="shared" si="85"/>
        <v>0</v>
      </c>
      <c r="AN105" s="408">
        <f t="shared" si="85"/>
        <v>0</v>
      </c>
      <c r="AO105" s="408">
        <f t="shared" si="85"/>
        <v>0</v>
      </c>
      <c r="AP105" s="408">
        <f t="shared" si="86"/>
        <v>0</v>
      </c>
      <c r="AQ105" s="408">
        <f t="shared" si="86"/>
        <v>0</v>
      </c>
      <c r="AR105" s="408">
        <f t="shared" si="86"/>
        <v>0</v>
      </c>
      <c r="AS105" s="408">
        <f t="shared" si="86"/>
        <v>0</v>
      </c>
      <c r="AT105" s="408">
        <f t="shared" si="86"/>
        <v>0</v>
      </c>
      <c r="AU105" s="408">
        <f t="shared" si="86"/>
        <v>0</v>
      </c>
      <c r="AV105" s="408">
        <f t="shared" si="86"/>
        <v>0</v>
      </c>
      <c r="AW105" s="408">
        <f t="shared" si="86"/>
        <v>0</v>
      </c>
      <c r="AX105" s="408">
        <f t="shared" si="86"/>
        <v>0</v>
      </c>
      <c r="AY105" s="408">
        <f t="shared" si="86"/>
        <v>0</v>
      </c>
      <c r="AZ105" s="408">
        <f t="shared" si="87"/>
        <v>0</v>
      </c>
      <c r="BA105" s="408">
        <f t="shared" si="87"/>
        <v>0</v>
      </c>
      <c r="BB105" s="408">
        <f t="shared" si="87"/>
        <v>0</v>
      </c>
      <c r="BC105" s="408">
        <f t="shared" si="87"/>
        <v>0</v>
      </c>
      <c r="BD105" s="408">
        <f t="shared" si="87"/>
        <v>0</v>
      </c>
      <c r="BE105" s="408">
        <f t="shared" si="87"/>
        <v>0</v>
      </c>
      <c r="BF105" s="408">
        <f t="shared" si="87"/>
        <v>0</v>
      </c>
      <c r="BG105" s="408">
        <f t="shared" si="87"/>
        <v>0</v>
      </c>
      <c r="BH105" s="408">
        <f t="shared" si="87"/>
        <v>0</v>
      </c>
      <c r="BI105" s="408">
        <f t="shared" si="87"/>
        <v>0</v>
      </c>
      <c r="BJ105" s="408">
        <f t="shared" si="88"/>
        <v>0</v>
      </c>
      <c r="BK105" s="408">
        <f t="shared" si="88"/>
        <v>0</v>
      </c>
      <c r="BL105" s="408">
        <f t="shared" si="88"/>
        <v>0</v>
      </c>
      <c r="BM105" s="408">
        <f t="shared" si="88"/>
        <v>0</v>
      </c>
      <c r="BN105" s="408">
        <f t="shared" si="88"/>
        <v>0</v>
      </c>
      <c r="BO105" s="408">
        <f t="shared" si="88"/>
        <v>0</v>
      </c>
      <c r="BP105" s="408">
        <f t="shared" si="88"/>
        <v>0</v>
      </c>
      <c r="BQ105" s="408">
        <f t="shared" si="88"/>
        <v>0</v>
      </c>
      <c r="BR105" s="408">
        <f t="shared" si="88"/>
        <v>0</v>
      </c>
      <c r="BS105" s="408">
        <f t="shared" si="88"/>
        <v>0</v>
      </c>
      <c r="BT105" s="408">
        <f t="shared" si="89"/>
        <v>0</v>
      </c>
      <c r="BU105" s="408">
        <f t="shared" si="89"/>
        <v>0</v>
      </c>
      <c r="BV105" s="408">
        <f t="shared" si="89"/>
        <v>0</v>
      </c>
      <c r="BW105" s="408">
        <f t="shared" si="89"/>
        <v>0</v>
      </c>
      <c r="BX105" s="408">
        <f t="shared" si="89"/>
        <v>0</v>
      </c>
      <c r="BY105" s="408">
        <f t="shared" si="89"/>
        <v>0</v>
      </c>
      <c r="BZ105" s="408">
        <f t="shared" si="89"/>
        <v>0</v>
      </c>
      <c r="CA105" s="408">
        <f t="shared" si="89"/>
        <v>0</v>
      </c>
    </row>
    <row r="106" spans="3:79" ht="21" hidden="1" customHeight="1" outlineLevel="2">
      <c r="C106" s="370"/>
      <c r="D106" s="374">
        <f t="shared" si="76"/>
        <v>45808</v>
      </c>
      <c r="E106" s="408" cm="1">
        <f t="array" ref="E106">INDEX($AF$18:$CA$18,0,MATCH($D106,$AF$8:$CA$8,0))</f>
        <v>0</v>
      </c>
      <c r="F106" s="372"/>
      <c r="G106" s="409"/>
      <c r="H106" s="410">
        <f t="shared" si="83"/>
        <v>0</v>
      </c>
      <c r="I106" s="410">
        <f t="shared" si="83"/>
        <v>0</v>
      </c>
      <c r="J106" s="410">
        <f t="shared" si="83"/>
        <v>0</v>
      </c>
      <c r="K106" s="410">
        <f t="shared" si="83"/>
        <v>0</v>
      </c>
      <c r="M106" s="359"/>
      <c r="N106" s="410">
        <f t="shared" si="84"/>
        <v>0</v>
      </c>
      <c r="O106" s="410">
        <f t="shared" si="84"/>
        <v>0</v>
      </c>
      <c r="P106" s="410">
        <f t="shared" si="84"/>
        <v>0</v>
      </c>
      <c r="Q106" s="410">
        <f t="shared" si="84"/>
        <v>0</v>
      </c>
      <c r="R106" s="410">
        <f t="shared" si="84"/>
        <v>0</v>
      </c>
      <c r="S106" s="410">
        <f t="shared" si="84"/>
        <v>0</v>
      </c>
      <c r="T106" s="410">
        <f t="shared" si="84"/>
        <v>0</v>
      </c>
      <c r="U106" s="410">
        <f t="shared" si="84"/>
        <v>0</v>
      </c>
      <c r="V106" s="410">
        <f t="shared" si="84"/>
        <v>0</v>
      </c>
      <c r="W106" s="410">
        <f t="shared" si="84"/>
        <v>0</v>
      </c>
      <c r="X106" s="410">
        <f t="shared" si="84"/>
        <v>0</v>
      </c>
      <c r="Y106" s="410">
        <f t="shared" si="84"/>
        <v>0</v>
      </c>
      <c r="Z106" s="410">
        <f t="shared" si="84"/>
        <v>0</v>
      </c>
      <c r="AA106" s="410">
        <f t="shared" si="84"/>
        <v>0</v>
      </c>
      <c r="AB106" s="410">
        <f t="shared" si="84"/>
        <v>0</v>
      </c>
      <c r="AC106" s="410">
        <f t="shared" si="84"/>
        <v>0</v>
      </c>
      <c r="AD106" s="372"/>
      <c r="AE106" s="409"/>
      <c r="AF106" s="408">
        <f t="shared" si="85"/>
        <v>0</v>
      </c>
      <c r="AG106" s="408">
        <f t="shared" si="85"/>
        <v>0</v>
      </c>
      <c r="AH106" s="408">
        <f t="shared" si="85"/>
        <v>0</v>
      </c>
      <c r="AI106" s="408">
        <f t="shared" si="85"/>
        <v>0</v>
      </c>
      <c r="AJ106" s="408">
        <f t="shared" si="85"/>
        <v>0</v>
      </c>
      <c r="AK106" s="408">
        <f t="shared" si="85"/>
        <v>0</v>
      </c>
      <c r="AL106" s="408">
        <f t="shared" si="85"/>
        <v>0</v>
      </c>
      <c r="AM106" s="408">
        <f t="shared" si="85"/>
        <v>0</v>
      </c>
      <c r="AN106" s="408">
        <f t="shared" si="85"/>
        <v>0</v>
      </c>
      <c r="AO106" s="408">
        <f t="shared" si="85"/>
        <v>0</v>
      </c>
      <c r="AP106" s="408">
        <f t="shared" si="86"/>
        <v>0</v>
      </c>
      <c r="AQ106" s="408">
        <f t="shared" si="86"/>
        <v>0</v>
      </c>
      <c r="AR106" s="408">
        <f t="shared" si="86"/>
        <v>0</v>
      </c>
      <c r="AS106" s="408">
        <f t="shared" si="86"/>
        <v>0</v>
      </c>
      <c r="AT106" s="408">
        <f t="shared" si="86"/>
        <v>0</v>
      </c>
      <c r="AU106" s="408">
        <f t="shared" si="86"/>
        <v>0</v>
      </c>
      <c r="AV106" s="408">
        <f t="shared" si="86"/>
        <v>0</v>
      </c>
      <c r="AW106" s="408">
        <f t="shared" si="86"/>
        <v>0</v>
      </c>
      <c r="AX106" s="408">
        <f t="shared" si="86"/>
        <v>0</v>
      </c>
      <c r="AY106" s="408">
        <f t="shared" si="86"/>
        <v>0</v>
      </c>
      <c r="AZ106" s="408">
        <f t="shared" si="87"/>
        <v>0</v>
      </c>
      <c r="BA106" s="408">
        <f t="shared" si="87"/>
        <v>0</v>
      </c>
      <c r="BB106" s="408">
        <f t="shared" si="87"/>
        <v>0</v>
      </c>
      <c r="BC106" s="408">
        <f t="shared" si="87"/>
        <v>0</v>
      </c>
      <c r="BD106" s="408">
        <f t="shared" si="87"/>
        <v>0</v>
      </c>
      <c r="BE106" s="408">
        <f t="shared" si="87"/>
        <v>0</v>
      </c>
      <c r="BF106" s="408">
        <f t="shared" si="87"/>
        <v>0</v>
      </c>
      <c r="BG106" s="408">
        <f t="shared" si="87"/>
        <v>0</v>
      </c>
      <c r="BH106" s="408">
        <f t="shared" si="87"/>
        <v>0</v>
      </c>
      <c r="BI106" s="408">
        <f t="shared" si="87"/>
        <v>0</v>
      </c>
      <c r="BJ106" s="408">
        <f t="shared" si="88"/>
        <v>0</v>
      </c>
      <c r="BK106" s="408">
        <f t="shared" si="88"/>
        <v>0</v>
      </c>
      <c r="BL106" s="408">
        <f t="shared" si="88"/>
        <v>0</v>
      </c>
      <c r="BM106" s="408">
        <f t="shared" si="88"/>
        <v>0</v>
      </c>
      <c r="BN106" s="408">
        <f t="shared" si="88"/>
        <v>0</v>
      </c>
      <c r="BO106" s="408">
        <f t="shared" si="88"/>
        <v>0</v>
      </c>
      <c r="BP106" s="408">
        <f t="shared" si="88"/>
        <v>0</v>
      </c>
      <c r="BQ106" s="408">
        <f t="shared" si="88"/>
        <v>0</v>
      </c>
      <c r="BR106" s="408">
        <f t="shared" si="88"/>
        <v>0</v>
      </c>
      <c r="BS106" s="408">
        <f t="shared" si="88"/>
        <v>0</v>
      </c>
      <c r="BT106" s="408">
        <f t="shared" si="89"/>
        <v>0</v>
      </c>
      <c r="BU106" s="408">
        <f t="shared" si="89"/>
        <v>0</v>
      </c>
      <c r="BV106" s="408">
        <f t="shared" si="89"/>
        <v>0</v>
      </c>
      <c r="BW106" s="408">
        <f t="shared" si="89"/>
        <v>0</v>
      </c>
      <c r="BX106" s="408">
        <f t="shared" si="89"/>
        <v>0</v>
      </c>
      <c r="BY106" s="408">
        <f t="shared" si="89"/>
        <v>0</v>
      </c>
      <c r="BZ106" s="408">
        <f t="shared" si="89"/>
        <v>0</v>
      </c>
      <c r="CA106" s="408">
        <f t="shared" si="89"/>
        <v>0</v>
      </c>
    </row>
    <row r="107" spans="3:79" ht="21" hidden="1" customHeight="1" outlineLevel="2">
      <c r="C107" s="370"/>
      <c r="D107" s="374">
        <f t="shared" si="76"/>
        <v>45838</v>
      </c>
      <c r="E107" s="408" cm="1">
        <f t="array" ref="E107">INDEX($AF$18:$CA$18,0,MATCH($D107,$AF$8:$CA$8,0))</f>
        <v>0</v>
      </c>
      <c r="F107" s="372"/>
      <c r="G107" s="409"/>
      <c r="H107" s="410">
        <f t="shared" si="83"/>
        <v>0</v>
      </c>
      <c r="I107" s="410">
        <f t="shared" si="83"/>
        <v>0</v>
      </c>
      <c r="J107" s="410">
        <f t="shared" si="83"/>
        <v>0</v>
      </c>
      <c r="K107" s="410">
        <f t="shared" si="83"/>
        <v>0</v>
      </c>
      <c r="M107" s="359"/>
      <c r="N107" s="410">
        <f t="shared" si="84"/>
        <v>0</v>
      </c>
      <c r="O107" s="410">
        <f t="shared" si="84"/>
        <v>0</v>
      </c>
      <c r="P107" s="410">
        <f t="shared" si="84"/>
        <v>0</v>
      </c>
      <c r="Q107" s="410">
        <f t="shared" si="84"/>
        <v>0</v>
      </c>
      <c r="R107" s="410">
        <f t="shared" si="84"/>
        <v>0</v>
      </c>
      <c r="S107" s="410">
        <f t="shared" si="84"/>
        <v>0</v>
      </c>
      <c r="T107" s="410">
        <f t="shared" si="84"/>
        <v>0</v>
      </c>
      <c r="U107" s="410">
        <f t="shared" si="84"/>
        <v>0</v>
      </c>
      <c r="V107" s="410">
        <f t="shared" si="84"/>
        <v>0</v>
      </c>
      <c r="W107" s="410">
        <f t="shared" si="84"/>
        <v>0</v>
      </c>
      <c r="X107" s="410">
        <f t="shared" si="84"/>
        <v>0</v>
      </c>
      <c r="Y107" s="410">
        <f t="shared" si="84"/>
        <v>0</v>
      </c>
      <c r="Z107" s="410">
        <f t="shared" si="84"/>
        <v>0</v>
      </c>
      <c r="AA107" s="410">
        <f t="shared" si="84"/>
        <v>0</v>
      </c>
      <c r="AB107" s="410">
        <f t="shared" si="84"/>
        <v>0</v>
      </c>
      <c r="AC107" s="410">
        <f t="shared" si="84"/>
        <v>0</v>
      </c>
      <c r="AD107" s="372"/>
      <c r="AE107" s="409"/>
      <c r="AF107" s="408">
        <f t="shared" si="85"/>
        <v>0</v>
      </c>
      <c r="AG107" s="408">
        <f t="shared" si="85"/>
        <v>0</v>
      </c>
      <c r="AH107" s="408">
        <f t="shared" si="85"/>
        <v>0</v>
      </c>
      <c r="AI107" s="408">
        <f t="shared" si="85"/>
        <v>0</v>
      </c>
      <c r="AJ107" s="408">
        <f t="shared" si="85"/>
        <v>0</v>
      </c>
      <c r="AK107" s="408">
        <f t="shared" si="85"/>
        <v>0</v>
      </c>
      <c r="AL107" s="408">
        <f t="shared" si="85"/>
        <v>0</v>
      </c>
      <c r="AM107" s="408">
        <f t="shared" si="85"/>
        <v>0</v>
      </c>
      <c r="AN107" s="408">
        <f t="shared" si="85"/>
        <v>0</v>
      </c>
      <c r="AO107" s="408">
        <f t="shared" si="85"/>
        <v>0</v>
      </c>
      <c r="AP107" s="408">
        <f t="shared" si="86"/>
        <v>0</v>
      </c>
      <c r="AQ107" s="408">
        <f t="shared" si="86"/>
        <v>0</v>
      </c>
      <c r="AR107" s="408">
        <f t="shared" si="86"/>
        <v>0</v>
      </c>
      <c r="AS107" s="408">
        <f t="shared" si="86"/>
        <v>0</v>
      </c>
      <c r="AT107" s="408">
        <f t="shared" si="86"/>
        <v>0</v>
      </c>
      <c r="AU107" s="408">
        <f t="shared" si="86"/>
        <v>0</v>
      </c>
      <c r="AV107" s="408">
        <f t="shared" si="86"/>
        <v>0</v>
      </c>
      <c r="AW107" s="408">
        <f t="shared" si="86"/>
        <v>0</v>
      </c>
      <c r="AX107" s="408">
        <f t="shared" si="86"/>
        <v>0</v>
      </c>
      <c r="AY107" s="408">
        <f t="shared" si="86"/>
        <v>0</v>
      </c>
      <c r="AZ107" s="408">
        <f t="shared" si="87"/>
        <v>0</v>
      </c>
      <c r="BA107" s="408">
        <f t="shared" si="87"/>
        <v>0</v>
      </c>
      <c r="BB107" s="408">
        <f t="shared" si="87"/>
        <v>0</v>
      </c>
      <c r="BC107" s="408">
        <f t="shared" si="87"/>
        <v>0</v>
      </c>
      <c r="BD107" s="408">
        <f t="shared" si="87"/>
        <v>0</v>
      </c>
      <c r="BE107" s="408">
        <f t="shared" si="87"/>
        <v>0</v>
      </c>
      <c r="BF107" s="408">
        <f t="shared" si="87"/>
        <v>0</v>
      </c>
      <c r="BG107" s="408">
        <f t="shared" si="87"/>
        <v>0</v>
      </c>
      <c r="BH107" s="408">
        <f t="shared" si="87"/>
        <v>0</v>
      </c>
      <c r="BI107" s="408">
        <f t="shared" si="87"/>
        <v>0</v>
      </c>
      <c r="BJ107" s="408">
        <f t="shared" si="88"/>
        <v>0</v>
      </c>
      <c r="BK107" s="408">
        <f t="shared" si="88"/>
        <v>0</v>
      </c>
      <c r="BL107" s="408">
        <f t="shared" si="88"/>
        <v>0</v>
      </c>
      <c r="BM107" s="408">
        <f t="shared" si="88"/>
        <v>0</v>
      </c>
      <c r="BN107" s="408">
        <f t="shared" si="88"/>
        <v>0</v>
      </c>
      <c r="BO107" s="408">
        <f t="shared" si="88"/>
        <v>0</v>
      </c>
      <c r="BP107" s="408">
        <f t="shared" si="88"/>
        <v>0</v>
      </c>
      <c r="BQ107" s="408">
        <f t="shared" si="88"/>
        <v>0</v>
      </c>
      <c r="BR107" s="408">
        <f t="shared" si="88"/>
        <v>0</v>
      </c>
      <c r="BS107" s="408">
        <f t="shared" si="88"/>
        <v>0</v>
      </c>
      <c r="BT107" s="408">
        <f t="shared" si="89"/>
        <v>0</v>
      </c>
      <c r="BU107" s="408">
        <f t="shared" si="89"/>
        <v>0</v>
      </c>
      <c r="BV107" s="408">
        <f t="shared" si="89"/>
        <v>0</v>
      </c>
      <c r="BW107" s="408">
        <f t="shared" si="89"/>
        <v>0</v>
      </c>
      <c r="BX107" s="408">
        <f t="shared" si="89"/>
        <v>0</v>
      </c>
      <c r="BY107" s="408">
        <f t="shared" si="89"/>
        <v>0</v>
      </c>
      <c r="BZ107" s="408">
        <f t="shared" si="89"/>
        <v>0</v>
      </c>
      <c r="CA107" s="408">
        <f t="shared" si="89"/>
        <v>0</v>
      </c>
    </row>
    <row r="108" spans="3:79" ht="21" hidden="1" customHeight="1" outlineLevel="2">
      <c r="C108" s="370"/>
      <c r="D108" s="374">
        <f t="shared" si="76"/>
        <v>45869</v>
      </c>
      <c r="E108" s="408" cm="1">
        <f t="array" ref="E108">INDEX($AF$18:$CA$18,0,MATCH($D108,$AF$8:$CA$8,0))</f>
        <v>0</v>
      </c>
      <c r="F108" s="372"/>
      <c r="G108" s="409"/>
      <c r="H108" s="410">
        <f t="shared" si="83"/>
        <v>0</v>
      </c>
      <c r="I108" s="410">
        <f t="shared" si="83"/>
        <v>0</v>
      </c>
      <c r="J108" s="410">
        <f t="shared" si="83"/>
        <v>0</v>
      </c>
      <c r="K108" s="410">
        <f t="shared" si="83"/>
        <v>0</v>
      </c>
      <c r="M108" s="359"/>
      <c r="N108" s="410">
        <f t="shared" ref="N108:AC117" si="90">SUMIFS($AF108:$CA108,$AF$4:$CA$4,"&gt;="&amp;N$4,$AF$5:$CA$5,"&lt;="&amp;N$5)</f>
        <v>0</v>
      </c>
      <c r="O108" s="410">
        <f t="shared" si="90"/>
        <v>0</v>
      </c>
      <c r="P108" s="410">
        <f t="shared" si="90"/>
        <v>0</v>
      </c>
      <c r="Q108" s="410">
        <f t="shared" si="90"/>
        <v>0</v>
      </c>
      <c r="R108" s="410">
        <f t="shared" si="90"/>
        <v>0</v>
      </c>
      <c r="S108" s="410">
        <f t="shared" si="90"/>
        <v>0</v>
      </c>
      <c r="T108" s="410">
        <f t="shared" si="90"/>
        <v>0</v>
      </c>
      <c r="U108" s="410">
        <f t="shared" si="90"/>
        <v>0</v>
      </c>
      <c r="V108" s="410">
        <f t="shared" si="90"/>
        <v>0</v>
      </c>
      <c r="W108" s="410">
        <f t="shared" si="90"/>
        <v>0</v>
      </c>
      <c r="X108" s="410">
        <f t="shared" si="90"/>
        <v>0</v>
      </c>
      <c r="Y108" s="410">
        <f t="shared" si="90"/>
        <v>0</v>
      </c>
      <c r="Z108" s="410">
        <f t="shared" si="90"/>
        <v>0</v>
      </c>
      <c r="AA108" s="410">
        <f t="shared" si="90"/>
        <v>0</v>
      </c>
      <c r="AB108" s="410">
        <f t="shared" si="90"/>
        <v>0</v>
      </c>
      <c r="AC108" s="410">
        <f t="shared" si="90"/>
        <v>0</v>
      </c>
      <c r="AD108" s="372"/>
      <c r="AE108" s="409"/>
      <c r="AF108" s="408">
        <f t="shared" ref="AF108:AO117" si="91">IF(AND(AF$8&gt;=$D108,(MATCH(AF$8,$AF$8:$CA$8,0)-MATCH($D108,$AF$8:$CA$8,0))&lt;12),$E108/12,0)</f>
        <v>0</v>
      </c>
      <c r="AG108" s="408">
        <f t="shared" si="91"/>
        <v>0</v>
      </c>
      <c r="AH108" s="408">
        <f t="shared" si="91"/>
        <v>0</v>
      </c>
      <c r="AI108" s="408">
        <f t="shared" si="91"/>
        <v>0</v>
      </c>
      <c r="AJ108" s="408">
        <f t="shared" si="91"/>
        <v>0</v>
      </c>
      <c r="AK108" s="408">
        <f t="shared" si="91"/>
        <v>0</v>
      </c>
      <c r="AL108" s="408">
        <f t="shared" si="91"/>
        <v>0</v>
      </c>
      <c r="AM108" s="408">
        <f t="shared" si="91"/>
        <v>0</v>
      </c>
      <c r="AN108" s="408">
        <f t="shared" si="91"/>
        <v>0</v>
      </c>
      <c r="AO108" s="408">
        <f t="shared" si="91"/>
        <v>0</v>
      </c>
      <c r="AP108" s="408">
        <f t="shared" ref="AP108:AY117" si="92">IF(AND(AP$8&gt;=$D108,(MATCH(AP$8,$AF$8:$CA$8,0)-MATCH($D108,$AF$8:$CA$8,0))&lt;12),$E108/12,0)</f>
        <v>0</v>
      </c>
      <c r="AQ108" s="408">
        <f t="shared" si="92"/>
        <v>0</v>
      </c>
      <c r="AR108" s="408">
        <f t="shared" si="92"/>
        <v>0</v>
      </c>
      <c r="AS108" s="408">
        <f t="shared" si="92"/>
        <v>0</v>
      </c>
      <c r="AT108" s="408">
        <f t="shared" si="92"/>
        <v>0</v>
      </c>
      <c r="AU108" s="408">
        <f t="shared" si="92"/>
        <v>0</v>
      </c>
      <c r="AV108" s="408">
        <f t="shared" si="92"/>
        <v>0</v>
      </c>
      <c r="AW108" s="408">
        <f t="shared" si="92"/>
        <v>0</v>
      </c>
      <c r="AX108" s="408">
        <f t="shared" si="92"/>
        <v>0</v>
      </c>
      <c r="AY108" s="408">
        <f t="shared" si="92"/>
        <v>0</v>
      </c>
      <c r="AZ108" s="408">
        <f t="shared" ref="AZ108:BI117" si="93">IF(AND(AZ$8&gt;=$D108,(MATCH(AZ$8,$AF$8:$CA$8,0)-MATCH($D108,$AF$8:$CA$8,0))&lt;12),$E108/12,0)</f>
        <v>0</v>
      </c>
      <c r="BA108" s="408">
        <f t="shared" si="93"/>
        <v>0</v>
      </c>
      <c r="BB108" s="408">
        <f t="shared" si="93"/>
        <v>0</v>
      </c>
      <c r="BC108" s="408">
        <f t="shared" si="93"/>
        <v>0</v>
      </c>
      <c r="BD108" s="408">
        <f t="shared" si="93"/>
        <v>0</v>
      </c>
      <c r="BE108" s="408">
        <f t="shared" si="93"/>
        <v>0</v>
      </c>
      <c r="BF108" s="408">
        <f t="shared" si="93"/>
        <v>0</v>
      </c>
      <c r="BG108" s="408">
        <f t="shared" si="93"/>
        <v>0</v>
      </c>
      <c r="BH108" s="408">
        <f t="shared" si="93"/>
        <v>0</v>
      </c>
      <c r="BI108" s="408">
        <f t="shared" si="93"/>
        <v>0</v>
      </c>
      <c r="BJ108" s="408">
        <f t="shared" ref="BJ108:BS117" si="94">IF(AND(BJ$8&gt;=$D108,(MATCH(BJ$8,$AF$8:$CA$8,0)-MATCH($D108,$AF$8:$CA$8,0))&lt;12),$E108/12,0)</f>
        <v>0</v>
      </c>
      <c r="BK108" s="408">
        <f t="shared" si="94"/>
        <v>0</v>
      </c>
      <c r="BL108" s="408">
        <f t="shared" si="94"/>
        <v>0</v>
      </c>
      <c r="BM108" s="408">
        <f t="shared" si="94"/>
        <v>0</v>
      </c>
      <c r="BN108" s="408">
        <f t="shared" si="94"/>
        <v>0</v>
      </c>
      <c r="BO108" s="408">
        <f t="shared" si="94"/>
        <v>0</v>
      </c>
      <c r="BP108" s="408">
        <f t="shared" si="94"/>
        <v>0</v>
      </c>
      <c r="BQ108" s="408">
        <f t="shared" si="94"/>
        <v>0</v>
      </c>
      <c r="BR108" s="408">
        <f t="shared" si="94"/>
        <v>0</v>
      </c>
      <c r="BS108" s="408">
        <f t="shared" si="94"/>
        <v>0</v>
      </c>
      <c r="BT108" s="408">
        <f t="shared" ref="BT108:CA117" si="95">IF(AND(BT$8&gt;=$D108,(MATCH(BT$8,$AF$8:$CA$8,0)-MATCH($D108,$AF$8:$CA$8,0))&lt;12),$E108/12,0)</f>
        <v>0</v>
      </c>
      <c r="BU108" s="408">
        <f t="shared" si="95"/>
        <v>0</v>
      </c>
      <c r="BV108" s="408">
        <f t="shared" si="95"/>
        <v>0</v>
      </c>
      <c r="BW108" s="408">
        <f t="shared" si="95"/>
        <v>0</v>
      </c>
      <c r="BX108" s="408">
        <f t="shared" si="95"/>
        <v>0</v>
      </c>
      <c r="BY108" s="408">
        <f t="shared" si="95"/>
        <v>0</v>
      </c>
      <c r="BZ108" s="408">
        <f t="shared" si="95"/>
        <v>0</v>
      </c>
      <c r="CA108" s="408">
        <f t="shared" si="95"/>
        <v>0</v>
      </c>
    </row>
    <row r="109" spans="3:79" ht="21" hidden="1" customHeight="1" outlineLevel="2">
      <c r="C109" s="370"/>
      <c r="D109" s="374">
        <f t="shared" si="76"/>
        <v>45900</v>
      </c>
      <c r="E109" s="408" cm="1">
        <f t="array" ref="E109">INDEX($AF$18:$CA$18,0,MATCH($D109,$AF$8:$CA$8,0))</f>
        <v>40800</v>
      </c>
      <c r="F109" s="372"/>
      <c r="G109" s="409"/>
      <c r="H109" s="410">
        <f t="shared" si="83"/>
        <v>0</v>
      </c>
      <c r="I109" s="410">
        <f t="shared" si="83"/>
        <v>0</v>
      </c>
      <c r="J109" s="410">
        <f t="shared" si="83"/>
        <v>17000</v>
      </c>
      <c r="K109" s="410">
        <f t="shared" si="83"/>
        <v>23800</v>
      </c>
      <c r="M109" s="359"/>
      <c r="N109" s="410">
        <f t="shared" si="90"/>
        <v>0</v>
      </c>
      <c r="O109" s="410">
        <f t="shared" si="90"/>
        <v>0</v>
      </c>
      <c r="P109" s="410">
        <f t="shared" si="90"/>
        <v>0</v>
      </c>
      <c r="Q109" s="410">
        <f t="shared" si="90"/>
        <v>0</v>
      </c>
      <c r="R109" s="410">
        <f t="shared" si="90"/>
        <v>0</v>
      </c>
      <c r="S109" s="410">
        <f t="shared" si="90"/>
        <v>0</v>
      </c>
      <c r="T109" s="410">
        <f t="shared" si="90"/>
        <v>0</v>
      </c>
      <c r="U109" s="410">
        <f t="shared" si="90"/>
        <v>0</v>
      </c>
      <c r="V109" s="410">
        <f t="shared" si="90"/>
        <v>0</v>
      </c>
      <c r="W109" s="410">
        <f t="shared" si="90"/>
        <v>0</v>
      </c>
      <c r="X109" s="410">
        <f t="shared" si="90"/>
        <v>6800</v>
      </c>
      <c r="Y109" s="410">
        <f t="shared" si="90"/>
        <v>10200</v>
      </c>
      <c r="Z109" s="410">
        <f t="shared" si="90"/>
        <v>10200</v>
      </c>
      <c r="AA109" s="410">
        <f t="shared" si="90"/>
        <v>10200</v>
      </c>
      <c r="AB109" s="410">
        <f t="shared" si="90"/>
        <v>3400</v>
      </c>
      <c r="AC109" s="410">
        <f t="shared" si="90"/>
        <v>0</v>
      </c>
      <c r="AD109" s="372"/>
      <c r="AE109" s="409"/>
      <c r="AF109" s="408">
        <f t="shared" si="91"/>
        <v>0</v>
      </c>
      <c r="AG109" s="408">
        <f t="shared" si="91"/>
        <v>0</v>
      </c>
      <c r="AH109" s="408">
        <f t="shared" si="91"/>
        <v>0</v>
      </c>
      <c r="AI109" s="408">
        <f t="shared" si="91"/>
        <v>0</v>
      </c>
      <c r="AJ109" s="408">
        <f t="shared" si="91"/>
        <v>0</v>
      </c>
      <c r="AK109" s="408">
        <f t="shared" si="91"/>
        <v>0</v>
      </c>
      <c r="AL109" s="408">
        <f t="shared" si="91"/>
        <v>0</v>
      </c>
      <c r="AM109" s="408">
        <f t="shared" si="91"/>
        <v>0</v>
      </c>
      <c r="AN109" s="408">
        <f t="shared" si="91"/>
        <v>0</v>
      </c>
      <c r="AO109" s="408">
        <f t="shared" si="91"/>
        <v>0</v>
      </c>
      <c r="AP109" s="408">
        <f t="shared" si="92"/>
        <v>0</v>
      </c>
      <c r="AQ109" s="408">
        <f t="shared" si="92"/>
        <v>0</v>
      </c>
      <c r="AR109" s="408">
        <f t="shared" si="92"/>
        <v>0</v>
      </c>
      <c r="AS109" s="408">
        <f t="shared" si="92"/>
        <v>0</v>
      </c>
      <c r="AT109" s="408">
        <f t="shared" si="92"/>
        <v>0</v>
      </c>
      <c r="AU109" s="408">
        <f t="shared" si="92"/>
        <v>0</v>
      </c>
      <c r="AV109" s="408">
        <f t="shared" si="92"/>
        <v>0</v>
      </c>
      <c r="AW109" s="408">
        <f t="shared" si="92"/>
        <v>0</v>
      </c>
      <c r="AX109" s="408">
        <f t="shared" si="92"/>
        <v>0</v>
      </c>
      <c r="AY109" s="408">
        <f t="shared" si="92"/>
        <v>0</v>
      </c>
      <c r="AZ109" s="408">
        <f t="shared" si="93"/>
        <v>0</v>
      </c>
      <c r="BA109" s="408">
        <f t="shared" si="93"/>
        <v>0</v>
      </c>
      <c r="BB109" s="408">
        <f t="shared" si="93"/>
        <v>0</v>
      </c>
      <c r="BC109" s="408">
        <f t="shared" si="93"/>
        <v>0</v>
      </c>
      <c r="BD109" s="408">
        <f t="shared" si="93"/>
        <v>0</v>
      </c>
      <c r="BE109" s="408">
        <f t="shared" si="93"/>
        <v>0</v>
      </c>
      <c r="BF109" s="408">
        <f t="shared" si="93"/>
        <v>0</v>
      </c>
      <c r="BG109" s="408">
        <f t="shared" si="93"/>
        <v>0</v>
      </c>
      <c r="BH109" s="408">
        <f t="shared" si="93"/>
        <v>0</v>
      </c>
      <c r="BI109" s="408">
        <f t="shared" si="93"/>
        <v>0</v>
      </c>
      <c r="BJ109" s="408">
        <f t="shared" si="94"/>
        <v>0</v>
      </c>
      <c r="BK109" s="408">
        <f t="shared" si="94"/>
        <v>3400</v>
      </c>
      <c r="BL109" s="408">
        <f t="shared" si="94"/>
        <v>3400</v>
      </c>
      <c r="BM109" s="408">
        <f t="shared" si="94"/>
        <v>3400</v>
      </c>
      <c r="BN109" s="408">
        <f t="shared" si="94"/>
        <v>3400</v>
      </c>
      <c r="BO109" s="408">
        <f t="shared" si="94"/>
        <v>3400</v>
      </c>
      <c r="BP109" s="408">
        <f t="shared" si="94"/>
        <v>3400</v>
      </c>
      <c r="BQ109" s="408">
        <f t="shared" si="94"/>
        <v>3400</v>
      </c>
      <c r="BR109" s="408">
        <f t="shared" si="94"/>
        <v>3400</v>
      </c>
      <c r="BS109" s="408">
        <f t="shared" si="94"/>
        <v>3400</v>
      </c>
      <c r="BT109" s="408">
        <f t="shared" si="95"/>
        <v>3400</v>
      </c>
      <c r="BU109" s="408">
        <f t="shared" si="95"/>
        <v>3400</v>
      </c>
      <c r="BV109" s="408">
        <f t="shared" si="95"/>
        <v>3400</v>
      </c>
      <c r="BW109" s="408">
        <f t="shared" si="95"/>
        <v>0</v>
      </c>
      <c r="BX109" s="408">
        <f t="shared" si="95"/>
        <v>0</v>
      </c>
      <c r="BY109" s="408">
        <f t="shared" si="95"/>
        <v>0</v>
      </c>
      <c r="BZ109" s="408">
        <f t="shared" si="95"/>
        <v>0</v>
      </c>
      <c r="CA109" s="408">
        <f t="shared" si="95"/>
        <v>0</v>
      </c>
    </row>
    <row r="110" spans="3:79" ht="21" hidden="1" customHeight="1" outlineLevel="2">
      <c r="C110" s="370"/>
      <c r="D110" s="374">
        <f t="shared" si="76"/>
        <v>45930</v>
      </c>
      <c r="E110" s="408" cm="1">
        <f t="array" ref="E110">INDEX($AF$18:$CA$18,0,MATCH($D110,$AF$8:$CA$8,0))</f>
        <v>35000</v>
      </c>
      <c r="F110" s="372"/>
      <c r="G110" s="409"/>
      <c r="H110" s="410">
        <f t="shared" si="83"/>
        <v>0</v>
      </c>
      <c r="I110" s="410">
        <f t="shared" si="83"/>
        <v>0</v>
      </c>
      <c r="J110" s="410">
        <f t="shared" si="83"/>
        <v>11666.666666666666</v>
      </c>
      <c r="K110" s="410">
        <f t="shared" si="83"/>
        <v>23333.333333333336</v>
      </c>
      <c r="M110" s="359"/>
      <c r="N110" s="410">
        <f t="shared" si="90"/>
        <v>0</v>
      </c>
      <c r="O110" s="410">
        <f t="shared" si="90"/>
        <v>0</v>
      </c>
      <c r="P110" s="410">
        <f t="shared" si="90"/>
        <v>0</v>
      </c>
      <c r="Q110" s="410">
        <f t="shared" si="90"/>
        <v>0</v>
      </c>
      <c r="R110" s="410">
        <f t="shared" si="90"/>
        <v>0</v>
      </c>
      <c r="S110" s="410">
        <f t="shared" si="90"/>
        <v>0</v>
      </c>
      <c r="T110" s="410">
        <f t="shared" si="90"/>
        <v>0</v>
      </c>
      <c r="U110" s="410">
        <f t="shared" si="90"/>
        <v>0</v>
      </c>
      <c r="V110" s="410">
        <f t="shared" si="90"/>
        <v>0</v>
      </c>
      <c r="W110" s="410">
        <f t="shared" si="90"/>
        <v>0</v>
      </c>
      <c r="X110" s="410">
        <f t="shared" si="90"/>
        <v>2916.6666666666665</v>
      </c>
      <c r="Y110" s="410">
        <f t="shared" si="90"/>
        <v>8750</v>
      </c>
      <c r="Z110" s="410">
        <f t="shared" si="90"/>
        <v>8750</v>
      </c>
      <c r="AA110" s="410">
        <f t="shared" si="90"/>
        <v>8750</v>
      </c>
      <c r="AB110" s="410">
        <f t="shared" si="90"/>
        <v>5833.333333333333</v>
      </c>
      <c r="AC110" s="410">
        <f t="shared" si="90"/>
        <v>0</v>
      </c>
      <c r="AD110" s="372"/>
      <c r="AE110" s="409"/>
      <c r="AF110" s="408">
        <f t="shared" si="91"/>
        <v>0</v>
      </c>
      <c r="AG110" s="408">
        <f t="shared" si="91"/>
        <v>0</v>
      </c>
      <c r="AH110" s="408">
        <f t="shared" si="91"/>
        <v>0</v>
      </c>
      <c r="AI110" s="408">
        <f t="shared" si="91"/>
        <v>0</v>
      </c>
      <c r="AJ110" s="408">
        <f t="shared" si="91"/>
        <v>0</v>
      </c>
      <c r="AK110" s="408">
        <f t="shared" si="91"/>
        <v>0</v>
      </c>
      <c r="AL110" s="408">
        <f t="shared" si="91"/>
        <v>0</v>
      </c>
      <c r="AM110" s="408">
        <f t="shared" si="91"/>
        <v>0</v>
      </c>
      <c r="AN110" s="408">
        <f t="shared" si="91"/>
        <v>0</v>
      </c>
      <c r="AO110" s="408">
        <f t="shared" si="91"/>
        <v>0</v>
      </c>
      <c r="AP110" s="408">
        <f t="shared" si="92"/>
        <v>0</v>
      </c>
      <c r="AQ110" s="408">
        <f t="shared" si="92"/>
        <v>0</v>
      </c>
      <c r="AR110" s="408">
        <f t="shared" si="92"/>
        <v>0</v>
      </c>
      <c r="AS110" s="408">
        <f t="shared" si="92"/>
        <v>0</v>
      </c>
      <c r="AT110" s="408">
        <f t="shared" si="92"/>
        <v>0</v>
      </c>
      <c r="AU110" s="408">
        <f t="shared" si="92"/>
        <v>0</v>
      </c>
      <c r="AV110" s="408">
        <f t="shared" si="92"/>
        <v>0</v>
      </c>
      <c r="AW110" s="408">
        <f t="shared" si="92"/>
        <v>0</v>
      </c>
      <c r="AX110" s="408">
        <f t="shared" si="92"/>
        <v>0</v>
      </c>
      <c r="AY110" s="408">
        <f t="shared" si="92"/>
        <v>0</v>
      </c>
      <c r="AZ110" s="408">
        <f t="shared" si="93"/>
        <v>0</v>
      </c>
      <c r="BA110" s="408">
        <f t="shared" si="93"/>
        <v>0</v>
      </c>
      <c r="BB110" s="408">
        <f t="shared" si="93"/>
        <v>0</v>
      </c>
      <c r="BC110" s="408">
        <f t="shared" si="93"/>
        <v>0</v>
      </c>
      <c r="BD110" s="408">
        <f t="shared" si="93"/>
        <v>0</v>
      </c>
      <c r="BE110" s="408">
        <f t="shared" si="93"/>
        <v>0</v>
      </c>
      <c r="BF110" s="408">
        <f t="shared" si="93"/>
        <v>0</v>
      </c>
      <c r="BG110" s="408">
        <f t="shared" si="93"/>
        <v>0</v>
      </c>
      <c r="BH110" s="408">
        <f t="shared" si="93"/>
        <v>0</v>
      </c>
      <c r="BI110" s="408">
        <f t="shared" si="93"/>
        <v>0</v>
      </c>
      <c r="BJ110" s="408">
        <f t="shared" si="94"/>
        <v>0</v>
      </c>
      <c r="BK110" s="408">
        <f t="shared" si="94"/>
        <v>0</v>
      </c>
      <c r="BL110" s="408">
        <f t="shared" si="94"/>
        <v>2916.6666666666665</v>
      </c>
      <c r="BM110" s="408">
        <f t="shared" si="94"/>
        <v>2916.6666666666665</v>
      </c>
      <c r="BN110" s="408">
        <f t="shared" si="94"/>
        <v>2916.6666666666665</v>
      </c>
      <c r="BO110" s="408">
        <f t="shared" si="94"/>
        <v>2916.6666666666665</v>
      </c>
      <c r="BP110" s="408">
        <f t="shared" si="94"/>
        <v>2916.6666666666665</v>
      </c>
      <c r="BQ110" s="408">
        <f t="shared" si="94"/>
        <v>2916.6666666666665</v>
      </c>
      <c r="BR110" s="408">
        <f t="shared" si="94"/>
        <v>2916.6666666666665</v>
      </c>
      <c r="BS110" s="408">
        <f t="shared" si="94"/>
        <v>2916.6666666666665</v>
      </c>
      <c r="BT110" s="408">
        <f t="shared" si="95"/>
        <v>2916.6666666666665</v>
      </c>
      <c r="BU110" s="408">
        <f t="shared" si="95"/>
        <v>2916.6666666666665</v>
      </c>
      <c r="BV110" s="408">
        <f t="shared" si="95"/>
        <v>2916.6666666666665</v>
      </c>
      <c r="BW110" s="408">
        <f t="shared" si="95"/>
        <v>2916.6666666666665</v>
      </c>
      <c r="BX110" s="408">
        <f t="shared" si="95"/>
        <v>0</v>
      </c>
      <c r="BY110" s="408">
        <f t="shared" si="95"/>
        <v>0</v>
      </c>
      <c r="BZ110" s="408">
        <f t="shared" si="95"/>
        <v>0</v>
      </c>
      <c r="CA110" s="408">
        <f t="shared" si="95"/>
        <v>0</v>
      </c>
    </row>
    <row r="111" spans="3:79" ht="21" hidden="1" customHeight="1" outlineLevel="2">
      <c r="C111" s="370"/>
      <c r="D111" s="374">
        <f t="shared" si="76"/>
        <v>45961</v>
      </c>
      <c r="E111" s="408" cm="1">
        <f t="array" ref="E111">INDEX($AF$18:$CA$18,0,MATCH($D111,$AF$8:$CA$8,0))</f>
        <v>0</v>
      </c>
      <c r="F111" s="372"/>
      <c r="G111" s="409"/>
      <c r="H111" s="410">
        <f t="shared" si="83"/>
        <v>0</v>
      </c>
      <c r="I111" s="410">
        <f t="shared" si="83"/>
        <v>0</v>
      </c>
      <c r="J111" s="410">
        <f t="shared" si="83"/>
        <v>0</v>
      </c>
      <c r="K111" s="410">
        <f t="shared" si="83"/>
        <v>0</v>
      </c>
      <c r="M111" s="359"/>
      <c r="N111" s="410">
        <f t="shared" si="90"/>
        <v>0</v>
      </c>
      <c r="O111" s="410">
        <f t="shared" si="90"/>
        <v>0</v>
      </c>
      <c r="P111" s="410">
        <f t="shared" si="90"/>
        <v>0</v>
      </c>
      <c r="Q111" s="410">
        <f t="shared" si="90"/>
        <v>0</v>
      </c>
      <c r="R111" s="410">
        <f t="shared" si="90"/>
        <v>0</v>
      </c>
      <c r="S111" s="410">
        <f t="shared" si="90"/>
        <v>0</v>
      </c>
      <c r="T111" s="410">
        <f t="shared" si="90"/>
        <v>0</v>
      </c>
      <c r="U111" s="410">
        <f t="shared" si="90"/>
        <v>0</v>
      </c>
      <c r="V111" s="410">
        <f t="shared" si="90"/>
        <v>0</v>
      </c>
      <c r="W111" s="410">
        <f t="shared" si="90"/>
        <v>0</v>
      </c>
      <c r="X111" s="410">
        <f t="shared" si="90"/>
        <v>0</v>
      </c>
      <c r="Y111" s="410">
        <f t="shared" si="90"/>
        <v>0</v>
      </c>
      <c r="Z111" s="410">
        <f t="shared" si="90"/>
        <v>0</v>
      </c>
      <c r="AA111" s="410">
        <f t="shared" si="90"/>
        <v>0</v>
      </c>
      <c r="AB111" s="410">
        <f t="shared" si="90"/>
        <v>0</v>
      </c>
      <c r="AC111" s="410">
        <f t="shared" si="90"/>
        <v>0</v>
      </c>
      <c r="AD111" s="372"/>
      <c r="AE111" s="409"/>
      <c r="AF111" s="408">
        <f t="shared" si="91"/>
        <v>0</v>
      </c>
      <c r="AG111" s="408">
        <f t="shared" si="91"/>
        <v>0</v>
      </c>
      <c r="AH111" s="408">
        <f t="shared" si="91"/>
        <v>0</v>
      </c>
      <c r="AI111" s="408">
        <f t="shared" si="91"/>
        <v>0</v>
      </c>
      <c r="AJ111" s="408">
        <f t="shared" si="91"/>
        <v>0</v>
      </c>
      <c r="AK111" s="408">
        <f t="shared" si="91"/>
        <v>0</v>
      </c>
      <c r="AL111" s="408">
        <f t="shared" si="91"/>
        <v>0</v>
      </c>
      <c r="AM111" s="408">
        <f t="shared" si="91"/>
        <v>0</v>
      </c>
      <c r="AN111" s="408">
        <f t="shared" si="91"/>
        <v>0</v>
      </c>
      <c r="AO111" s="408">
        <f t="shared" si="91"/>
        <v>0</v>
      </c>
      <c r="AP111" s="408">
        <f t="shared" si="92"/>
        <v>0</v>
      </c>
      <c r="AQ111" s="408">
        <f t="shared" si="92"/>
        <v>0</v>
      </c>
      <c r="AR111" s="408">
        <f t="shared" si="92"/>
        <v>0</v>
      </c>
      <c r="AS111" s="408">
        <f t="shared" si="92"/>
        <v>0</v>
      </c>
      <c r="AT111" s="408">
        <f t="shared" si="92"/>
        <v>0</v>
      </c>
      <c r="AU111" s="408">
        <f t="shared" si="92"/>
        <v>0</v>
      </c>
      <c r="AV111" s="408">
        <f t="shared" si="92"/>
        <v>0</v>
      </c>
      <c r="AW111" s="408">
        <f t="shared" si="92"/>
        <v>0</v>
      </c>
      <c r="AX111" s="408">
        <f t="shared" si="92"/>
        <v>0</v>
      </c>
      <c r="AY111" s="408">
        <f t="shared" si="92"/>
        <v>0</v>
      </c>
      <c r="AZ111" s="408">
        <f t="shared" si="93"/>
        <v>0</v>
      </c>
      <c r="BA111" s="408">
        <f t="shared" si="93"/>
        <v>0</v>
      </c>
      <c r="BB111" s="408">
        <f t="shared" si="93"/>
        <v>0</v>
      </c>
      <c r="BC111" s="408">
        <f t="shared" si="93"/>
        <v>0</v>
      </c>
      <c r="BD111" s="408">
        <f t="shared" si="93"/>
        <v>0</v>
      </c>
      <c r="BE111" s="408">
        <f t="shared" si="93"/>
        <v>0</v>
      </c>
      <c r="BF111" s="408">
        <f t="shared" si="93"/>
        <v>0</v>
      </c>
      <c r="BG111" s="408">
        <f t="shared" si="93"/>
        <v>0</v>
      </c>
      <c r="BH111" s="408">
        <f t="shared" si="93"/>
        <v>0</v>
      </c>
      <c r="BI111" s="408">
        <f t="shared" si="93"/>
        <v>0</v>
      </c>
      <c r="BJ111" s="408">
        <f t="shared" si="94"/>
        <v>0</v>
      </c>
      <c r="BK111" s="408">
        <f t="shared" si="94"/>
        <v>0</v>
      </c>
      <c r="BL111" s="408">
        <f t="shared" si="94"/>
        <v>0</v>
      </c>
      <c r="BM111" s="408">
        <f t="shared" si="94"/>
        <v>0</v>
      </c>
      <c r="BN111" s="408">
        <f t="shared" si="94"/>
        <v>0</v>
      </c>
      <c r="BO111" s="408">
        <f t="shared" si="94"/>
        <v>0</v>
      </c>
      <c r="BP111" s="408">
        <f t="shared" si="94"/>
        <v>0</v>
      </c>
      <c r="BQ111" s="408">
        <f t="shared" si="94"/>
        <v>0</v>
      </c>
      <c r="BR111" s="408">
        <f t="shared" si="94"/>
        <v>0</v>
      </c>
      <c r="BS111" s="408">
        <f t="shared" si="94"/>
        <v>0</v>
      </c>
      <c r="BT111" s="408">
        <f t="shared" si="95"/>
        <v>0</v>
      </c>
      <c r="BU111" s="408">
        <f t="shared" si="95"/>
        <v>0</v>
      </c>
      <c r="BV111" s="408">
        <f t="shared" si="95"/>
        <v>0</v>
      </c>
      <c r="BW111" s="408">
        <f t="shared" si="95"/>
        <v>0</v>
      </c>
      <c r="BX111" s="408">
        <f t="shared" si="95"/>
        <v>0</v>
      </c>
      <c r="BY111" s="408">
        <f t="shared" si="95"/>
        <v>0</v>
      </c>
      <c r="BZ111" s="408">
        <f t="shared" si="95"/>
        <v>0</v>
      </c>
      <c r="CA111" s="408">
        <f t="shared" si="95"/>
        <v>0</v>
      </c>
    </row>
    <row r="112" spans="3:79" ht="21" hidden="1" customHeight="1" outlineLevel="2">
      <c r="C112" s="370"/>
      <c r="D112" s="374">
        <f t="shared" si="76"/>
        <v>45991</v>
      </c>
      <c r="E112" s="408" cm="1">
        <f t="array" ref="E112">INDEX($AF$18:$CA$18,0,MATCH($D112,$AF$8:$CA$8,0))</f>
        <v>37400</v>
      </c>
      <c r="F112" s="372"/>
      <c r="G112" s="409"/>
      <c r="H112" s="410">
        <f t="shared" si="83"/>
        <v>0</v>
      </c>
      <c r="I112" s="410">
        <f t="shared" si="83"/>
        <v>0</v>
      </c>
      <c r="J112" s="410">
        <f t="shared" si="83"/>
        <v>6233.333333333333</v>
      </c>
      <c r="K112" s="410">
        <f t="shared" si="83"/>
        <v>31166.666666666672</v>
      </c>
      <c r="M112" s="359"/>
      <c r="N112" s="410">
        <f t="shared" si="90"/>
        <v>0</v>
      </c>
      <c r="O112" s="410">
        <f t="shared" si="90"/>
        <v>0</v>
      </c>
      <c r="P112" s="410">
        <f t="shared" si="90"/>
        <v>0</v>
      </c>
      <c r="Q112" s="410">
        <f t="shared" si="90"/>
        <v>0</v>
      </c>
      <c r="R112" s="410">
        <f t="shared" si="90"/>
        <v>0</v>
      </c>
      <c r="S112" s="410">
        <f t="shared" si="90"/>
        <v>0</v>
      </c>
      <c r="T112" s="410">
        <f t="shared" si="90"/>
        <v>0</v>
      </c>
      <c r="U112" s="410">
        <f t="shared" si="90"/>
        <v>0</v>
      </c>
      <c r="V112" s="410">
        <f t="shared" si="90"/>
        <v>0</v>
      </c>
      <c r="W112" s="410">
        <f t="shared" si="90"/>
        <v>0</v>
      </c>
      <c r="X112" s="410">
        <f t="shared" si="90"/>
        <v>0</v>
      </c>
      <c r="Y112" s="410">
        <f t="shared" si="90"/>
        <v>6233.333333333333</v>
      </c>
      <c r="Z112" s="410">
        <f t="shared" si="90"/>
        <v>9350</v>
      </c>
      <c r="AA112" s="410">
        <f t="shared" si="90"/>
        <v>9350</v>
      </c>
      <c r="AB112" s="410">
        <f t="shared" si="90"/>
        <v>9350</v>
      </c>
      <c r="AC112" s="410">
        <f t="shared" si="90"/>
        <v>3116.6666666666665</v>
      </c>
      <c r="AD112" s="372"/>
      <c r="AE112" s="409"/>
      <c r="AF112" s="408">
        <f t="shared" si="91"/>
        <v>0</v>
      </c>
      <c r="AG112" s="408">
        <f t="shared" si="91"/>
        <v>0</v>
      </c>
      <c r="AH112" s="408">
        <f t="shared" si="91"/>
        <v>0</v>
      </c>
      <c r="AI112" s="408">
        <f t="shared" si="91"/>
        <v>0</v>
      </c>
      <c r="AJ112" s="408">
        <f t="shared" si="91"/>
        <v>0</v>
      </c>
      <c r="AK112" s="408">
        <f t="shared" si="91"/>
        <v>0</v>
      </c>
      <c r="AL112" s="408">
        <f t="shared" si="91"/>
        <v>0</v>
      </c>
      <c r="AM112" s="408">
        <f t="shared" si="91"/>
        <v>0</v>
      </c>
      <c r="AN112" s="408">
        <f t="shared" si="91"/>
        <v>0</v>
      </c>
      <c r="AO112" s="408">
        <f t="shared" si="91"/>
        <v>0</v>
      </c>
      <c r="AP112" s="408">
        <f t="shared" si="92"/>
        <v>0</v>
      </c>
      <c r="AQ112" s="408">
        <f t="shared" si="92"/>
        <v>0</v>
      </c>
      <c r="AR112" s="408">
        <f t="shared" si="92"/>
        <v>0</v>
      </c>
      <c r="AS112" s="408">
        <f t="shared" si="92"/>
        <v>0</v>
      </c>
      <c r="AT112" s="408">
        <f t="shared" si="92"/>
        <v>0</v>
      </c>
      <c r="AU112" s="408">
        <f t="shared" si="92"/>
        <v>0</v>
      </c>
      <c r="AV112" s="408">
        <f t="shared" si="92"/>
        <v>0</v>
      </c>
      <c r="AW112" s="408">
        <f t="shared" si="92"/>
        <v>0</v>
      </c>
      <c r="AX112" s="408">
        <f t="shared" si="92"/>
        <v>0</v>
      </c>
      <c r="AY112" s="408">
        <f t="shared" si="92"/>
        <v>0</v>
      </c>
      <c r="AZ112" s="408">
        <f t="shared" si="93"/>
        <v>0</v>
      </c>
      <c r="BA112" s="408">
        <f t="shared" si="93"/>
        <v>0</v>
      </c>
      <c r="BB112" s="408">
        <f t="shared" si="93"/>
        <v>0</v>
      </c>
      <c r="BC112" s="408">
        <f t="shared" si="93"/>
        <v>0</v>
      </c>
      <c r="BD112" s="408">
        <f t="shared" si="93"/>
        <v>0</v>
      </c>
      <c r="BE112" s="408">
        <f t="shared" si="93"/>
        <v>0</v>
      </c>
      <c r="BF112" s="408">
        <f t="shared" si="93"/>
        <v>0</v>
      </c>
      <c r="BG112" s="408">
        <f t="shared" si="93"/>
        <v>0</v>
      </c>
      <c r="BH112" s="408">
        <f t="shared" si="93"/>
        <v>0</v>
      </c>
      <c r="BI112" s="408">
        <f t="shared" si="93"/>
        <v>0</v>
      </c>
      <c r="BJ112" s="408">
        <f t="shared" si="94"/>
        <v>0</v>
      </c>
      <c r="BK112" s="408">
        <f t="shared" si="94"/>
        <v>0</v>
      </c>
      <c r="BL112" s="408">
        <f t="shared" si="94"/>
        <v>0</v>
      </c>
      <c r="BM112" s="408">
        <f t="shared" si="94"/>
        <v>0</v>
      </c>
      <c r="BN112" s="408">
        <f t="shared" si="94"/>
        <v>3116.6666666666665</v>
      </c>
      <c r="BO112" s="408">
        <f t="shared" si="94"/>
        <v>3116.6666666666665</v>
      </c>
      <c r="BP112" s="408">
        <f t="shared" si="94"/>
        <v>3116.6666666666665</v>
      </c>
      <c r="BQ112" s="408">
        <f t="shared" si="94"/>
        <v>3116.6666666666665</v>
      </c>
      <c r="BR112" s="408">
        <f t="shared" si="94"/>
        <v>3116.6666666666665</v>
      </c>
      <c r="BS112" s="408">
        <f t="shared" si="94"/>
        <v>3116.6666666666665</v>
      </c>
      <c r="BT112" s="408">
        <f t="shared" si="95"/>
        <v>3116.6666666666665</v>
      </c>
      <c r="BU112" s="408">
        <f t="shared" si="95"/>
        <v>3116.6666666666665</v>
      </c>
      <c r="BV112" s="408">
        <f t="shared" si="95"/>
        <v>3116.6666666666665</v>
      </c>
      <c r="BW112" s="408">
        <f t="shared" si="95"/>
        <v>3116.6666666666665</v>
      </c>
      <c r="BX112" s="408">
        <f t="shared" si="95"/>
        <v>3116.6666666666665</v>
      </c>
      <c r="BY112" s="408">
        <f t="shared" si="95"/>
        <v>3116.6666666666665</v>
      </c>
      <c r="BZ112" s="408">
        <f t="shared" si="95"/>
        <v>0</v>
      </c>
      <c r="CA112" s="408">
        <f t="shared" si="95"/>
        <v>0</v>
      </c>
    </row>
    <row r="113" spans="3:79" ht="21" hidden="1" customHeight="1" outlineLevel="2">
      <c r="C113" s="370"/>
      <c r="D113" s="374">
        <f t="shared" si="76"/>
        <v>46022</v>
      </c>
      <c r="E113" s="408" cm="1">
        <f t="array" ref="E113">INDEX($AF$18:$CA$18,0,MATCH($D113,$AF$8:$CA$8,0))</f>
        <v>0</v>
      </c>
      <c r="F113" s="372"/>
      <c r="G113" s="409"/>
      <c r="H113" s="410">
        <f t="shared" si="83"/>
        <v>0</v>
      </c>
      <c r="I113" s="410">
        <f t="shared" si="83"/>
        <v>0</v>
      </c>
      <c r="J113" s="410">
        <f t="shared" si="83"/>
        <v>0</v>
      </c>
      <c r="K113" s="410">
        <f t="shared" si="83"/>
        <v>0</v>
      </c>
      <c r="M113" s="359"/>
      <c r="N113" s="410">
        <f t="shared" si="90"/>
        <v>0</v>
      </c>
      <c r="O113" s="410">
        <f t="shared" si="90"/>
        <v>0</v>
      </c>
      <c r="P113" s="410">
        <f t="shared" si="90"/>
        <v>0</v>
      </c>
      <c r="Q113" s="410">
        <f t="shared" si="90"/>
        <v>0</v>
      </c>
      <c r="R113" s="410">
        <f t="shared" si="90"/>
        <v>0</v>
      </c>
      <c r="S113" s="410">
        <f t="shared" si="90"/>
        <v>0</v>
      </c>
      <c r="T113" s="410">
        <f t="shared" si="90"/>
        <v>0</v>
      </c>
      <c r="U113" s="410">
        <f t="shared" si="90"/>
        <v>0</v>
      </c>
      <c r="V113" s="410">
        <f t="shared" si="90"/>
        <v>0</v>
      </c>
      <c r="W113" s="410">
        <f t="shared" si="90"/>
        <v>0</v>
      </c>
      <c r="X113" s="410">
        <f t="shared" si="90"/>
        <v>0</v>
      </c>
      <c r="Y113" s="410">
        <f t="shared" si="90"/>
        <v>0</v>
      </c>
      <c r="Z113" s="410">
        <f t="shared" si="90"/>
        <v>0</v>
      </c>
      <c r="AA113" s="410">
        <f t="shared" si="90"/>
        <v>0</v>
      </c>
      <c r="AB113" s="410">
        <f t="shared" si="90"/>
        <v>0</v>
      </c>
      <c r="AC113" s="410">
        <f t="shared" si="90"/>
        <v>0</v>
      </c>
      <c r="AD113" s="372"/>
      <c r="AE113" s="409"/>
      <c r="AF113" s="408">
        <f t="shared" si="91"/>
        <v>0</v>
      </c>
      <c r="AG113" s="408">
        <f t="shared" si="91"/>
        <v>0</v>
      </c>
      <c r="AH113" s="408">
        <f t="shared" si="91"/>
        <v>0</v>
      </c>
      <c r="AI113" s="408">
        <f t="shared" si="91"/>
        <v>0</v>
      </c>
      <c r="AJ113" s="408">
        <f t="shared" si="91"/>
        <v>0</v>
      </c>
      <c r="AK113" s="408">
        <f t="shared" si="91"/>
        <v>0</v>
      </c>
      <c r="AL113" s="408">
        <f t="shared" si="91"/>
        <v>0</v>
      </c>
      <c r="AM113" s="408">
        <f t="shared" si="91"/>
        <v>0</v>
      </c>
      <c r="AN113" s="408">
        <f t="shared" si="91"/>
        <v>0</v>
      </c>
      <c r="AO113" s="408">
        <f t="shared" si="91"/>
        <v>0</v>
      </c>
      <c r="AP113" s="408">
        <f t="shared" si="92"/>
        <v>0</v>
      </c>
      <c r="AQ113" s="408">
        <f t="shared" si="92"/>
        <v>0</v>
      </c>
      <c r="AR113" s="408">
        <f t="shared" si="92"/>
        <v>0</v>
      </c>
      <c r="AS113" s="408">
        <f t="shared" si="92"/>
        <v>0</v>
      </c>
      <c r="AT113" s="408">
        <f t="shared" si="92"/>
        <v>0</v>
      </c>
      <c r="AU113" s="408">
        <f t="shared" si="92"/>
        <v>0</v>
      </c>
      <c r="AV113" s="408">
        <f t="shared" si="92"/>
        <v>0</v>
      </c>
      <c r="AW113" s="408">
        <f t="shared" si="92"/>
        <v>0</v>
      </c>
      <c r="AX113" s="408">
        <f t="shared" si="92"/>
        <v>0</v>
      </c>
      <c r="AY113" s="408">
        <f t="shared" si="92"/>
        <v>0</v>
      </c>
      <c r="AZ113" s="408">
        <f t="shared" si="93"/>
        <v>0</v>
      </c>
      <c r="BA113" s="408">
        <f t="shared" si="93"/>
        <v>0</v>
      </c>
      <c r="BB113" s="408">
        <f t="shared" si="93"/>
        <v>0</v>
      </c>
      <c r="BC113" s="408">
        <f t="shared" si="93"/>
        <v>0</v>
      </c>
      <c r="BD113" s="408">
        <f t="shared" si="93"/>
        <v>0</v>
      </c>
      <c r="BE113" s="408">
        <f t="shared" si="93"/>
        <v>0</v>
      </c>
      <c r="BF113" s="408">
        <f t="shared" si="93"/>
        <v>0</v>
      </c>
      <c r="BG113" s="408">
        <f t="shared" si="93"/>
        <v>0</v>
      </c>
      <c r="BH113" s="408">
        <f t="shared" si="93"/>
        <v>0</v>
      </c>
      <c r="BI113" s="408">
        <f t="shared" si="93"/>
        <v>0</v>
      </c>
      <c r="BJ113" s="408">
        <f t="shared" si="94"/>
        <v>0</v>
      </c>
      <c r="BK113" s="408">
        <f t="shared" si="94"/>
        <v>0</v>
      </c>
      <c r="BL113" s="408">
        <f t="shared" si="94"/>
        <v>0</v>
      </c>
      <c r="BM113" s="408">
        <f t="shared" si="94"/>
        <v>0</v>
      </c>
      <c r="BN113" s="408">
        <f t="shared" si="94"/>
        <v>0</v>
      </c>
      <c r="BO113" s="408">
        <f t="shared" si="94"/>
        <v>0</v>
      </c>
      <c r="BP113" s="408">
        <f t="shared" si="94"/>
        <v>0</v>
      </c>
      <c r="BQ113" s="408">
        <f t="shared" si="94"/>
        <v>0</v>
      </c>
      <c r="BR113" s="408">
        <f t="shared" si="94"/>
        <v>0</v>
      </c>
      <c r="BS113" s="408">
        <f t="shared" si="94"/>
        <v>0</v>
      </c>
      <c r="BT113" s="408">
        <f t="shared" si="95"/>
        <v>0</v>
      </c>
      <c r="BU113" s="408">
        <f t="shared" si="95"/>
        <v>0</v>
      </c>
      <c r="BV113" s="408">
        <f t="shared" si="95"/>
        <v>0</v>
      </c>
      <c r="BW113" s="408">
        <f t="shared" si="95"/>
        <v>0</v>
      </c>
      <c r="BX113" s="408">
        <f t="shared" si="95"/>
        <v>0</v>
      </c>
      <c r="BY113" s="408">
        <f t="shared" si="95"/>
        <v>0</v>
      </c>
      <c r="BZ113" s="408">
        <f t="shared" si="95"/>
        <v>0</v>
      </c>
      <c r="CA113" s="408">
        <f t="shared" si="95"/>
        <v>0</v>
      </c>
    </row>
    <row r="114" spans="3:79" ht="21" hidden="1" customHeight="1" outlineLevel="2">
      <c r="C114" s="370"/>
      <c r="D114" s="374">
        <f t="shared" si="76"/>
        <v>46053</v>
      </c>
      <c r="E114" s="408" cm="1">
        <f t="array" ref="E114">INDEX($AF$18:$CA$18,0,MATCH($D114,$AF$8:$CA$8,0))</f>
        <v>0</v>
      </c>
      <c r="F114" s="372"/>
      <c r="G114" s="409"/>
      <c r="H114" s="410">
        <f t="shared" si="83"/>
        <v>0</v>
      </c>
      <c r="I114" s="410">
        <f t="shared" si="83"/>
        <v>0</v>
      </c>
      <c r="J114" s="410">
        <f t="shared" si="83"/>
        <v>0</v>
      </c>
      <c r="K114" s="410">
        <f t="shared" si="83"/>
        <v>0</v>
      </c>
      <c r="M114" s="359"/>
      <c r="N114" s="410">
        <f t="shared" si="90"/>
        <v>0</v>
      </c>
      <c r="O114" s="410">
        <f t="shared" si="90"/>
        <v>0</v>
      </c>
      <c r="P114" s="410">
        <f t="shared" si="90"/>
        <v>0</v>
      </c>
      <c r="Q114" s="410">
        <f t="shared" si="90"/>
        <v>0</v>
      </c>
      <c r="R114" s="410">
        <f t="shared" si="90"/>
        <v>0</v>
      </c>
      <c r="S114" s="410">
        <f t="shared" si="90"/>
        <v>0</v>
      </c>
      <c r="T114" s="410">
        <f t="shared" si="90"/>
        <v>0</v>
      </c>
      <c r="U114" s="410">
        <f t="shared" si="90"/>
        <v>0</v>
      </c>
      <c r="V114" s="410">
        <f t="shared" si="90"/>
        <v>0</v>
      </c>
      <c r="W114" s="410">
        <f t="shared" si="90"/>
        <v>0</v>
      </c>
      <c r="X114" s="410">
        <f t="shared" si="90"/>
        <v>0</v>
      </c>
      <c r="Y114" s="410">
        <f t="shared" si="90"/>
        <v>0</v>
      </c>
      <c r="Z114" s="410">
        <f t="shared" si="90"/>
        <v>0</v>
      </c>
      <c r="AA114" s="410">
        <f t="shared" si="90"/>
        <v>0</v>
      </c>
      <c r="AB114" s="410">
        <f t="shared" si="90"/>
        <v>0</v>
      </c>
      <c r="AC114" s="410">
        <f t="shared" si="90"/>
        <v>0</v>
      </c>
      <c r="AD114" s="372"/>
      <c r="AE114" s="409"/>
      <c r="AF114" s="408">
        <f t="shared" si="91"/>
        <v>0</v>
      </c>
      <c r="AG114" s="408">
        <f t="shared" si="91"/>
        <v>0</v>
      </c>
      <c r="AH114" s="408">
        <f t="shared" si="91"/>
        <v>0</v>
      </c>
      <c r="AI114" s="408">
        <f t="shared" si="91"/>
        <v>0</v>
      </c>
      <c r="AJ114" s="408">
        <f t="shared" si="91"/>
        <v>0</v>
      </c>
      <c r="AK114" s="408">
        <f t="shared" si="91"/>
        <v>0</v>
      </c>
      <c r="AL114" s="408">
        <f t="shared" si="91"/>
        <v>0</v>
      </c>
      <c r="AM114" s="408">
        <f t="shared" si="91"/>
        <v>0</v>
      </c>
      <c r="AN114" s="408">
        <f t="shared" si="91"/>
        <v>0</v>
      </c>
      <c r="AO114" s="408">
        <f t="shared" si="91"/>
        <v>0</v>
      </c>
      <c r="AP114" s="408">
        <f t="shared" si="92"/>
        <v>0</v>
      </c>
      <c r="AQ114" s="408">
        <f t="shared" si="92"/>
        <v>0</v>
      </c>
      <c r="AR114" s="408">
        <f t="shared" si="92"/>
        <v>0</v>
      </c>
      <c r="AS114" s="408">
        <f t="shared" si="92"/>
        <v>0</v>
      </c>
      <c r="AT114" s="408">
        <f t="shared" si="92"/>
        <v>0</v>
      </c>
      <c r="AU114" s="408">
        <f t="shared" si="92"/>
        <v>0</v>
      </c>
      <c r="AV114" s="408">
        <f t="shared" si="92"/>
        <v>0</v>
      </c>
      <c r="AW114" s="408">
        <f t="shared" si="92"/>
        <v>0</v>
      </c>
      <c r="AX114" s="408">
        <f t="shared" si="92"/>
        <v>0</v>
      </c>
      <c r="AY114" s="408">
        <f t="shared" si="92"/>
        <v>0</v>
      </c>
      <c r="AZ114" s="408">
        <f t="shared" si="93"/>
        <v>0</v>
      </c>
      <c r="BA114" s="408">
        <f t="shared" si="93"/>
        <v>0</v>
      </c>
      <c r="BB114" s="408">
        <f t="shared" si="93"/>
        <v>0</v>
      </c>
      <c r="BC114" s="408">
        <f t="shared" si="93"/>
        <v>0</v>
      </c>
      <c r="BD114" s="408">
        <f t="shared" si="93"/>
        <v>0</v>
      </c>
      <c r="BE114" s="408">
        <f t="shared" si="93"/>
        <v>0</v>
      </c>
      <c r="BF114" s="408">
        <f t="shared" si="93"/>
        <v>0</v>
      </c>
      <c r="BG114" s="408">
        <f t="shared" si="93"/>
        <v>0</v>
      </c>
      <c r="BH114" s="408">
        <f t="shared" si="93"/>
        <v>0</v>
      </c>
      <c r="BI114" s="408">
        <f t="shared" si="93"/>
        <v>0</v>
      </c>
      <c r="BJ114" s="408">
        <f t="shared" si="94"/>
        <v>0</v>
      </c>
      <c r="BK114" s="408">
        <f t="shared" si="94"/>
        <v>0</v>
      </c>
      <c r="BL114" s="408">
        <f t="shared" si="94"/>
        <v>0</v>
      </c>
      <c r="BM114" s="408">
        <f t="shared" si="94"/>
        <v>0</v>
      </c>
      <c r="BN114" s="408">
        <f t="shared" si="94"/>
        <v>0</v>
      </c>
      <c r="BO114" s="408">
        <f t="shared" si="94"/>
        <v>0</v>
      </c>
      <c r="BP114" s="408">
        <f t="shared" si="94"/>
        <v>0</v>
      </c>
      <c r="BQ114" s="408">
        <f t="shared" si="94"/>
        <v>0</v>
      </c>
      <c r="BR114" s="408">
        <f t="shared" si="94"/>
        <v>0</v>
      </c>
      <c r="BS114" s="408">
        <f t="shared" si="94"/>
        <v>0</v>
      </c>
      <c r="BT114" s="408">
        <f t="shared" si="95"/>
        <v>0</v>
      </c>
      <c r="BU114" s="408">
        <f t="shared" si="95"/>
        <v>0</v>
      </c>
      <c r="BV114" s="408">
        <f t="shared" si="95"/>
        <v>0</v>
      </c>
      <c r="BW114" s="408">
        <f t="shared" si="95"/>
        <v>0</v>
      </c>
      <c r="BX114" s="408">
        <f t="shared" si="95"/>
        <v>0</v>
      </c>
      <c r="BY114" s="408">
        <f t="shared" si="95"/>
        <v>0</v>
      </c>
      <c r="BZ114" s="408">
        <f t="shared" si="95"/>
        <v>0</v>
      </c>
      <c r="CA114" s="408">
        <f t="shared" si="95"/>
        <v>0</v>
      </c>
    </row>
    <row r="115" spans="3:79" ht="21" hidden="1" customHeight="1" outlineLevel="2">
      <c r="C115" s="370"/>
      <c r="D115" s="374">
        <f t="shared" si="76"/>
        <v>46081</v>
      </c>
      <c r="E115" s="408" cm="1">
        <f t="array" ref="E115">INDEX($AF$18:$CA$18,0,MATCH($D115,$AF$8:$CA$8,0))</f>
        <v>0</v>
      </c>
      <c r="F115" s="372"/>
      <c r="G115" s="409"/>
      <c r="H115" s="410">
        <f t="shared" si="83"/>
        <v>0</v>
      </c>
      <c r="I115" s="410">
        <f t="shared" si="83"/>
        <v>0</v>
      </c>
      <c r="J115" s="410">
        <f t="shared" si="83"/>
        <v>0</v>
      </c>
      <c r="K115" s="410">
        <f t="shared" si="83"/>
        <v>0</v>
      </c>
      <c r="M115" s="359"/>
      <c r="N115" s="410">
        <f t="shared" si="90"/>
        <v>0</v>
      </c>
      <c r="O115" s="410">
        <f t="shared" si="90"/>
        <v>0</v>
      </c>
      <c r="P115" s="410">
        <f t="shared" si="90"/>
        <v>0</v>
      </c>
      <c r="Q115" s="410">
        <f t="shared" si="90"/>
        <v>0</v>
      </c>
      <c r="R115" s="410">
        <f t="shared" si="90"/>
        <v>0</v>
      </c>
      <c r="S115" s="410">
        <f t="shared" si="90"/>
        <v>0</v>
      </c>
      <c r="T115" s="410">
        <f t="shared" si="90"/>
        <v>0</v>
      </c>
      <c r="U115" s="410">
        <f t="shared" si="90"/>
        <v>0</v>
      </c>
      <c r="V115" s="410">
        <f t="shared" si="90"/>
        <v>0</v>
      </c>
      <c r="W115" s="410">
        <f t="shared" si="90"/>
        <v>0</v>
      </c>
      <c r="X115" s="410">
        <f t="shared" si="90"/>
        <v>0</v>
      </c>
      <c r="Y115" s="410">
        <f t="shared" si="90"/>
        <v>0</v>
      </c>
      <c r="Z115" s="410">
        <f t="shared" si="90"/>
        <v>0</v>
      </c>
      <c r="AA115" s="410">
        <f t="shared" si="90"/>
        <v>0</v>
      </c>
      <c r="AB115" s="410">
        <f t="shared" si="90"/>
        <v>0</v>
      </c>
      <c r="AC115" s="410">
        <f t="shared" si="90"/>
        <v>0</v>
      </c>
      <c r="AD115" s="372"/>
      <c r="AE115" s="409"/>
      <c r="AF115" s="408">
        <f t="shared" si="91"/>
        <v>0</v>
      </c>
      <c r="AG115" s="408">
        <f t="shared" si="91"/>
        <v>0</v>
      </c>
      <c r="AH115" s="408">
        <f t="shared" si="91"/>
        <v>0</v>
      </c>
      <c r="AI115" s="408">
        <f t="shared" si="91"/>
        <v>0</v>
      </c>
      <c r="AJ115" s="408">
        <f t="shared" si="91"/>
        <v>0</v>
      </c>
      <c r="AK115" s="408">
        <f t="shared" si="91"/>
        <v>0</v>
      </c>
      <c r="AL115" s="408">
        <f t="shared" si="91"/>
        <v>0</v>
      </c>
      <c r="AM115" s="408">
        <f t="shared" si="91"/>
        <v>0</v>
      </c>
      <c r="AN115" s="408">
        <f t="shared" si="91"/>
        <v>0</v>
      </c>
      <c r="AO115" s="408">
        <f t="shared" si="91"/>
        <v>0</v>
      </c>
      <c r="AP115" s="408">
        <f t="shared" si="92"/>
        <v>0</v>
      </c>
      <c r="AQ115" s="408">
        <f t="shared" si="92"/>
        <v>0</v>
      </c>
      <c r="AR115" s="408">
        <f t="shared" si="92"/>
        <v>0</v>
      </c>
      <c r="AS115" s="408">
        <f t="shared" si="92"/>
        <v>0</v>
      </c>
      <c r="AT115" s="408">
        <f t="shared" si="92"/>
        <v>0</v>
      </c>
      <c r="AU115" s="408">
        <f t="shared" si="92"/>
        <v>0</v>
      </c>
      <c r="AV115" s="408">
        <f t="shared" si="92"/>
        <v>0</v>
      </c>
      <c r="AW115" s="408">
        <f t="shared" si="92"/>
        <v>0</v>
      </c>
      <c r="AX115" s="408">
        <f t="shared" si="92"/>
        <v>0</v>
      </c>
      <c r="AY115" s="408">
        <f t="shared" si="92"/>
        <v>0</v>
      </c>
      <c r="AZ115" s="408">
        <f t="shared" si="93"/>
        <v>0</v>
      </c>
      <c r="BA115" s="408">
        <f t="shared" si="93"/>
        <v>0</v>
      </c>
      <c r="BB115" s="408">
        <f t="shared" si="93"/>
        <v>0</v>
      </c>
      <c r="BC115" s="408">
        <f t="shared" si="93"/>
        <v>0</v>
      </c>
      <c r="BD115" s="408">
        <f t="shared" si="93"/>
        <v>0</v>
      </c>
      <c r="BE115" s="408">
        <f t="shared" si="93"/>
        <v>0</v>
      </c>
      <c r="BF115" s="408">
        <f t="shared" si="93"/>
        <v>0</v>
      </c>
      <c r="BG115" s="408">
        <f t="shared" si="93"/>
        <v>0</v>
      </c>
      <c r="BH115" s="408">
        <f t="shared" si="93"/>
        <v>0</v>
      </c>
      <c r="BI115" s="408">
        <f t="shared" si="93"/>
        <v>0</v>
      </c>
      <c r="BJ115" s="408">
        <f t="shared" si="94"/>
        <v>0</v>
      </c>
      <c r="BK115" s="408">
        <f t="shared" si="94"/>
        <v>0</v>
      </c>
      <c r="BL115" s="408">
        <f t="shared" si="94"/>
        <v>0</v>
      </c>
      <c r="BM115" s="408">
        <f t="shared" si="94"/>
        <v>0</v>
      </c>
      <c r="BN115" s="408">
        <f t="shared" si="94"/>
        <v>0</v>
      </c>
      <c r="BO115" s="408">
        <f t="shared" si="94"/>
        <v>0</v>
      </c>
      <c r="BP115" s="408">
        <f t="shared" si="94"/>
        <v>0</v>
      </c>
      <c r="BQ115" s="408">
        <f t="shared" si="94"/>
        <v>0</v>
      </c>
      <c r="BR115" s="408">
        <f t="shared" si="94"/>
        <v>0</v>
      </c>
      <c r="BS115" s="408">
        <f t="shared" si="94"/>
        <v>0</v>
      </c>
      <c r="BT115" s="408">
        <f t="shared" si="95"/>
        <v>0</v>
      </c>
      <c r="BU115" s="408">
        <f t="shared" si="95"/>
        <v>0</v>
      </c>
      <c r="BV115" s="408">
        <f t="shared" si="95"/>
        <v>0</v>
      </c>
      <c r="BW115" s="408">
        <f t="shared" si="95"/>
        <v>0</v>
      </c>
      <c r="BX115" s="408">
        <f t="shared" si="95"/>
        <v>0</v>
      </c>
      <c r="BY115" s="408">
        <f t="shared" si="95"/>
        <v>0</v>
      </c>
      <c r="BZ115" s="408">
        <f t="shared" si="95"/>
        <v>0</v>
      </c>
      <c r="CA115" s="408">
        <f t="shared" si="95"/>
        <v>0</v>
      </c>
    </row>
    <row r="116" spans="3:79" ht="21" hidden="1" customHeight="1" outlineLevel="2">
      <c r="C116" s="370"/>
      <c r="D116" s="374">
        <f t="shared" si="76"/>
        <v>46112</v>
      </c>
      <c r="E116" s="408" cm="1">
        <f t="array" ref="E116">INDEX($AF$18:$CA$18,0,MATCH($D116,$AF$8:$CA$8,0))</f>
        <v>0</v>
      </c>
      <c r="F116" s="372"/>
      <c r="G116" s="409"/>
      <c r="H116" s="410">
        <f t="shared" si="83"/>
        <v>0</v>
      </c>
      <c r="I116" s="410">
        <f t="shared" si="83"/>
        <v>0</v>
      </c>
      <c r="J116" s="410">
        <f t="shared" si="83"/>
        <v>0</v>
      </c>
      <c r="K116" s="410">
        <f t="shared" si="83"/>
        <v>0</v>
      </c>
      <c r="M116" s="359"/>
      <c r="N116" s="410">
        <f t="shared" si="90"/>
        <v>0</v>
      </c>
      <c r="O116" s="410">
        <f t="shared" si="90"/>
        <v>0</v>
      </c>
      <c r="P116" s="410">
        <f t="shared" si="90"/>
        <v>0</v>
      </c>
      <c r="Q116" s="410">
        <f t="shared" si="90"/>
        <v>0</v>
      </c>
      <c r="R116" s="410">
        <f t="shared" si="90"/>
        <v>0</v>
      </c>
      <c r="S116" s="410">
        <f t="shared" si="90"/>
        <v>0</v>
      </c>
      <c r="T116" s="410">
        <f t="shared" si="90"/>
        <v>0</v>
      </c>
      <c r="U116" s="410">
        <f t="shared" si="90"/>
        <v>0</v>
      </c>
      <c r="V116" s="410">
        <f t="shared" si="90"/>
        <v>0</v>
      </c>
      <c r="W116" s="410">
        <f t="shared" si="90"/>
        <v>0</v>
      </c>
      <c r="X116" s="410">
        <f t="shared" si="90"/>
        <v>0</v>
      </c>
      <c r="Y116" s="410">
        <f t="shared" si="90"/>
        <v>0</v>
      </c>
      <c r="Z116" s="410">
        <f t="shared" si="90"/>
        <v>0</v>
      </c>
      <c r="AA116" s="410">
        <f t="shared" si="90"/>
        <v>0</v>
      </c>
      <c r="AB116" s="410">
        <f t="shared" si="90"/>
        <v>0</v>
      </c>
      <c r="AC116" s="410">
        <f t="shared" si="90"/>
        <v>0</v>
      </c>
      <c r="AD116" s="372"/>
      <c r="AE116" s="409"/>
      <c r="AF116" s="408">
        <f t="shared" si="91"/>
        <v>0</v>
      </c>
      <c r="AG116" s="408">
        <f t="shared" si="91"/>
        <v>0</v>
      </c>
      <c r="AH116" s="408">
        <f t="shared" si="91"/>
        <v>0</v>
      </c>
      <c r="AI116" s="408">
        <f t="shared" si="91"/>
        <v>0</v>
      </c>
      <c r="AJ116" s="408">
        <f t="shared" si="91"/>
        <v>0</v>
      </c>
      <c r="AK116" s="408">
        <f t="shared" si="91"/>
        <v>0</v>
      </c>
      <c r="AL116" s="408">
        <f t="shared" si="91"/>
        <v>0</v>
      </c>
      <c r="AM116" s="408">
        <f t="shared" si="91"/>
        <v>0</v>
      </c>
      <c r="AN116" s="408">
        <f t="shared" si="91"/>
        <v>0</v>
      </c>
      <c r="AO116" s="408">
        <f t="shared" si="91"/>
        <v>0</v>
      </c>
      <c r="AP116" s="408">
        <f t="shared" si="92"/>
        <v>0</v>
      </c>
      <c r="AQ116" s="408">
        <f t="shared" si="92"/>
        <v>0</v>
      </c>
      <c r="AR116" s="408">
        <f t="shared" si="92"/>
        <v>0</v>
      </c>
      <c r="AS116" s="408">
        <f t="shared" si="92"/>
        <v>0</v>
      </c>
      <c r="AT116" s="408">
        <f t="shared" si="92"/>
        <v>0</v>
      </c>
      <c r="AU116" s="408">
        <f t="shared" si="92"/>
        <v>0</v>
      </c>
      <c r="AV116" s="408">
        <f t="shared" si="92"/>
        <v>0</v>
      </c>
      <c r="AW116" s="408">
        <f t="shared" si="92"/>
        <v>0</v>
      </c>
      <c r="AX116" s="408">
        <f t="shared" si="92"/>
        <v>0</v>
      </c>
      <c r="AY116" s="408">
        <f t="shared" si="92"/>
        <v>0</v>
      </c>
      <c r="AZ116" s="408">
        <f t="shared" si="93"/>
        <v>0</v>
      </c>
      <c r="BA116" s="408">
        <f t="shared" si="93"/>
        <v>0</v>
      </c>
      <c r="BB116" s="408">
        <f t="shared" si="93"/>
        <v>0</v>
      </c>
      <c r="BC116" s="408">
        <f t="shared" si="93"/>
        <v>0</v>
      </c>
      <c r="BD116" s="408">
        <f t="shared" si="93"/>
        <v>0</v>
      </c>
      <c r="BE116" s="408">
        <f t="shared" si="93"/>
        <v>0</v>
      </c>
      <c r="BF116" s="408">
        <f t="shared" si="93"/>
        <v>0</v>
      </c>
      <c r="BG116" s="408">
        <f t="shared" si="93"/>
        <v>0</v>
      </c>
      <c r="BH116" s="408">
        <f t="shared" si="93"/>
        <v>0</v>
      </c>
      <c r="BI116" s="408">
        <f t="shared" si="93"/>
        <v>0</v>
      </c>
      <c r="BJ116" s="408">
        <f t="shared" si="94"/>
        <v>0</v>
      </c>
      <c r="BK116" s="408">
        <f t="shared" si="94"/>
        <v>0</v>
      </c>
      <c r="BL116" s="408">
        <f t="shared" si="94"/>
        <v>0</v>
      </c>
      <c r="BM116" s="408">
        <f t="shared" si="94"/>
        <v>0</v>
      </c>
      <c r="BN116" s="408">
        <f t="shared" si="94"/>
        <v>0</v>
      </c>
      <c r="BO116" s="408">
        <f t="shared" si="94"/>
        <v>0</v>
      </c>
      <c r="BP116" s="408">
        <f t="shared" si="94"/>
        <v>0</v>
      </c>
      <c r="BQ116" s="408">
        <f t="shared" si="94"/>
        <v>0</v>
      </c>
      <c r="BR116" s="408">
        <f t="shared" si="94"/>
        <v>0</v>
      </c>
      <c r="BS116" s="408">
        <f t="shared" si="94"/>
        <v>0</v>
      </c>
      <c r="BT116" s="408">
        <f t="shared" si="95"/>
        <v>0</v>
      </c>
      <c r="BU116" s="408">
        <f t="shared" si="95"/>
        <v>0</v>
      </c>
      <c r="BV116" s="408">
        <f t="shared" si="95"/>
        <v>0</v>
      </c>
      <c r="BW116" s="408">
        <f t="shared" si="95"/>
        <v>0</v>
      </c>
      <c r="BX116" s="408">
        <f t="shared" si="95"/>
        <v>0</v>
      </c>
      <c r="BY116" s="408">
        <f t="shared" si="95"/>
        <v>0</v>
      </c>
      <c r="BZ116" s="408">
        <f t="shared" si="95"/>
        <v>0</v>
      </c>
      <c r="CA116" s="408">
        <f t="shared" si="95"/>
        <v>0</v>
      </c>
    </row>
    <row r="117" spans="3:79" ht="21" hidden="1" customHeight="1" outlineLevel="2">
      <c r="C117" s="370"/>
      <c r="D117" s="374">
        <f t="shared" si="76"/>
        <v>46142</v>
      </c>
      <c r="E117" s="408" cm="1">
        <f t="array" ref="E117">INDEX($AF$18:$CA$18,0,MATCH($D117,$AF$8:$CA$8,0))</f>
        <v>0</v>
      </c>
      <c r="F117" s="372"/>
      <c r="G117" s="409"/>
      <c r="H117" s="410">
        <f t="shared" si="83"/>
        <v>0</v>
      </c>
      <c r="I117" s="410">
        <f t="shared" si="83"/>
        <v>0</v>
      </c>
      <c r="J117" s="410">
        <f t="shared" si="83"/>
        <v>0</v>
      </c>
      <c r="K117" s="410">
        <f t="shared" si="83"/>
        <v>0</v>
      </c>
      <c r="M117" s="359"/>
      <c r="N117" s="410">
        <f t="shared" si="90"/>
        <v>0</v>
      </c>
      <c r="O117" s="410">
        <f t="shared" si="90"/>
        <v>0</v>
      </c>
      <c r="P117" s="410">
        <f t="shared" si="90"/>
        <v>0</v>
      </c>
      <c r="Q117" s="410">
        <f t="shared" si="90"/>
        <v>0</v>
      </c>
      <c r="R117" s="410">
        <f t="shared" si="90"/>
        <v>0</v>
      </c>
      <c r="S117" s="410">
        <f t="shared" si="90"/>
        <v>0</v>
      </c>
      <c r="T117" s="410">
        <f t="shared" si="90"/>
        <v>0</v>
      </c>
      <c r="U117" s="410">
        <f t="shared" si="90"/>
        <v>0</v>
      </c>
      <c r="V117" s="410">
        <f t="shared" si="90"/>
        <v>0</v>
      </c>
      <c r="W117" s="410">
        <f t="shared" si="90"/>
        <v>0</v>
      </c>
      <c r="X117" s="410">
        <f t="shared" si="90"/>
        <v>0</v>
      </c>
      <c r="Y117" s="410">
        <f t="shared" si="90"/>
        <v>0</v>
      </c>
      <c r="Z117" s="410">
        <f t="shared" si="90"/>
        <v>0</v>
      </c>
      <c r="AA117" s="410">
        <f t="shared" si="90"/>
        <v>0</v>
      </c>
      <c r="AB117" s="410">
        <f t="shared" si="90"/>
        <v>0</v>
      </c>
      <c r="AC117" s="410">
        <f t="shared" si="90"/>
        <v>0</v>
      </c>
      <c r="AD117" s="372"/>
      <c r="AE117" s="409"/>
      <c r="AF117" s="408">
        <f t="shared" si="91"/>
        <v>0</v>
      </c>
      <c r="AG117" s="408">
        <f t="shared" si="91"/>
        <v>0</v>
      </c>
      <c r="AH117" s="408">
        <f t="shared" si="91"/>
        <v>0</v>
      </c>
      <c r="AI117" s="408">
        <f t="shared" si="91"/>
        <v>0</v>
      </c>
      <c r="AJ117" s="408">
        <f t="shared" si="91"/>
        <v>0</v>
      </c>
      <c r="AK117" s="408">
        <f t="shared" si="91"/>
        <v>0</v>
      </c>
      <c r="AL117" s="408">
        <f t="shared" si="91"/>
        <v>0</v>
      </c>
      <c r="AM117" s="408">
        <f t="shared" si="91"/>
        <v>0</v>
      </c>
      <c r="AN117" s="408">
        <f t="shared" si="91"/>
        <v>0</v>
      </c>
      <c r="AO117" s="408">
        <f t="shared" si="91"/>
        <v>0</v>
      </c>
      <c r="AP117" s="408">
        <f t="shared" si="92"/>
        <v>0</v>
      </c>
      <c r="AQ117" s="408">
        <f t="shared" si="92"/>
        <v>0</v>
      </c>
      <c r="AR117" s="408">
        <f t="shared" si="92"/>
        <v>0</v>
      </c>
      <c r="AS117" s="408">
        <f t="shared" si="92"/>
        <v>0</v>
      </c>
      <c r="AT117" s="408">
        <f t="shared" si="92"/>
        <v>0</v>
      </c>
      <c r="AU117" s="408">
        <f t="shared" si="92"/>
        <v>0</v>
      </c>
      <c r="AV117" s="408">
        <f t="shared" si="92"/>
        <v>0</v>
      </c>
      <c r="AW117" s="408">
        <f t="shared" si="92"/>
        <v>0</v>
      </c>
      <c r="AX117" s="408">
        <f t="shared" si="92"/>
        <v>0</v>
      </c>
      <c r="AY117" s="408">
        <f t="shared" si="92"/>
        <v>0</v>
      </c>
      <c r="AZ117" s="408">
        <f t="shared" si="93"/>
        <v>0</v>
      </c>
      <c r="BA117" s="408">
        <f t="shared" si="93"/>
        <v>0</v>
      </c>
      <c r="BB117" s="408">
        <f t="shared" si="93"/>
        <v>0</v>
      </c>
      <c r="BC117" s="408">
        <f t="shared" si="93"/>
        <v>0</v>
      </c>
      <c r="BD117" s="408">
        <f t="shared" si="93"/>
        <v>0</v>
      </c>
      <c r="BE117" s="408">
        <f t="shared" si="93"/>
        <v>0</v>
      </c>
      <c r="BF117" s="408">
        <f t="shared" si="93"/>
        <v>0</v>
      </c>
      <c r="BG117" s="408">
        <f t="shared" si="93"/>
        <v>0</v>
      </c>
      <c r="BH117" s="408">
        <f t="shared" si="93"/>
        <v>0</v>
      </c>
      <c r="BI117" s="408">
        <f t="shared" si="93"/>
        <v>0</v>
      </c>
      <c r="BJ117" s="408">
        <f t="shared" si="94"/>
        <v>0</v>
      </c>
      <c r="BK117" s="408">
        <f t="shared" si="94"/>
        <v>0</v>
      </c>
      <c r="BL117" s="408">
        <f t="shared" si="94"/>
        <v>0</v>
      </c>
      <c r="BM117" s="408">
        <f t="shared" si="94"/>
        <v>0</v>
      </c>
      <c r="BN117" s="408">
        <f t="shared" si="94"/>
        <v>0</v>
      </c>
      <c r="BO117" s="408">
        <f t="shared" si="94"/>
        <v>0</v>
      </c>
      <c r="BP117" s="408">
        <f t="shared" si="94"/>
        <v>0</v>
      </c>
      <c r="BQ117" s="408">
        <f t="shared" si="94"/>
        <v>0</v>
      </c>
      <c r="BR117" s="408">
        <f t="shared" si="94"/>
        <v>0</v>
      </c>
      <c r="BS117" s="408">
        <f t="shared" si="94"/>
        <v>0</v>
      </c>
      <c r="BT117" s="408">
        <f t="shared" si="95"/>
        <v>0</v>
      </c>
      <c r="BU117" s="408">
        <f t="shared" si="95"/>
        <v>0</v>
      </c>
      <c r="BV117" s="408">
        <f t="shared" si="95"/>
        <v>0</v>
      </c>
      <c r="BW117" s="408">
        <f t="shared" si="95"/>
        <v>0</v>
      </c>
      <c r="BX117" s="408">
        <f t="shared" si="95"/>
        <v>0</v>
      </c>
      <c r="BY117" s="408">
        <f t="shared" si="95"/>
        <v>0</v>
      </c>
      <c r="BZ117" s="408">
        <f t="shared" si="95"/>
        <v>0</v>
      </c>
      <c r="CA117" s="408">
        <f t="shared" si="95"/>
        <v>0</v>
      </c>
    </row>
    <row r="118" spans="3:79" ht="21" hidden="1" customHeight="1" outlineLevel="2">
      <c r="C118" s="370"/>
      <c r="D118" s="374">
        <f t="shared" si="76"/>
        <v>46173</v>
      </c>
      <c r="E118" s="408" cm="1">
        <f t="array" ref="E118">INDEX($AF$18:$CA$18,0,MATCH($D118,$AF$8:$CA$8,0))</f>
        <v>0</v>
      </c>
      <c r="F118" s="372"/>
      <c r="G118" s="409"/>
      <c r="H118" s="410">
        <f t="shared" ref="H118:K125" si="96">SUMIFS($AF118:$CA118,$AF$4:$CA$4,"&gt;="&amp;H$4,$AF$5:$CA$5,"&lt;="&amp;H$5)</f>
        <v>0</v>
      </c>
      <c r="I118" s="410">
        <f t="shared" si="96"/>
        <v>0</v>
      </c>
      <c r="J118" s="410">
        <f t="shared" si="96"/>
        <v>0</v>
      </c>
      <c r="K118" s="410">
        <f t="shared" si="96"/>
        <v>0</v>
      </c>
      <c r="M118" s="359"/>
      <c r="N118" s="410">
        <f t="shared" ref="N118:AC125" si="97">SUMIFS($AF118:$CA118,$AF$4:$CA$4,"&gt;="&amp;N$4,$AF$5:$CA$5,"&lt;="&amp;N$5)</f>
        <v>0</v>
      </c>
      <c r="O118" s="410">
        <f t="shared" si="97"/>
        <v>0</v>
      </c>
      <c r="P118" s="410">
        <f t="shared" si="97"/>
        <v>0</v>
      </c>
      <c r="Q118" s="410">
        <f t="shared" si="97"/>
        <v>0</v>
      </c>
      <c r="R118" s="410">
        <f t="shared" si="97"/>
        <v>0</v>
      </c>
      <c r="S118" s="410">
        <f t="shared" si="97"/>
        <v>0</v>
      </c>
      <c r="T118" s="410">
        <f t="shared" si="97"/>
        <v>0</v>
      </c>
      <c r="U118" s="410">
        <f t="shared" si="97"/>
        <v>0</v>
      </c>
      <c r="V118" s="410">
        <f t="shared" si="97"/>
        <v>0</v>
      </c>
      <c r="W118" s="410">
        <f t="shared" si="97"/>
        <v>0</v>
      </c>
      <c r="X118" s="410">
        <f t="shared" si="97"/>
        <v>0</v>
      </c>
      <c r="Y118" s="410">
        <f t="shared" si="97"/>
        <v>0</v>
      </c>
      <c r="Z118" s="410">
        <f t="shared" si="97"/>
        <v>0</v>
      </c>
      <c r="AA118" s="410">
        <f t="shared" si="97"/>
        <v>0</v>
      </c>
      <c r="AB118" s="410">
        <f t="shared" si="97"/>
        <v>0</v>
      </c>
      <c r="AC118" s="410">
        <f t="shared" si="97"/>
        <v>0</v>
      </c>
      <c r="AD118" s="372"/>
      <c r="AE118" s="409"/>
      <c r="AF118" s="408">
        <f t="shared" ref="AF118:AO125" si="98">IF(AND(AF$8&gt;=$D118,(MATCH(AF$8,$AF$8:$CA$8,0)-MATCH($D118,$AF$8:$CA$8,0))&lt;12),$E118/12,0)</f>
        <v>0</v>
      </c>
      <c r="AG118" s="408">
        <f t="shared" si="98"/>
        <v>0</v>
      </c>
      <c r="AH118" s="408">
        <f t="shared" si="98"/>
        <v>0</v>
      </c>
      <c r="AI118" s="408">
        <f t="shared" si="98"/>
        <v>0</v>
      </c>
      <c r="AJ118" s="408">
        <f t="shared" si="98"/>
        <v>0</v>
      </c>
      <c r="AK118" s="408">
        <f t="shared" si="98"/>
        <v>0</v>
      </c>
      <c r="AL118" s="408">
        <f t="shared" si="98"/>
        <v>0</v>
      </c>
      <c r="AM118" s="408">
        <f t="shared" si="98"/>
        <v>0</v>
      </c>
      <c r="AN118" s="408">
        <f t="shared" si="98"/>
        <v>0</v>
      </c>
      <c r="AO118" s="408">
        <f t="shared" si="98"/>
        <v>0</v>
      </c>
      <c r="AP118" s="408">
        <f t="shared" ref="AP118:AY125" si="99">IF(AND(AP$8&gt;=$D118,(MATCH(AP$8,$AF$8:$CA$8,0)-MATCH($D118,$AF$8:$CA$8,0))&lt;12),$E118/12,0)</f>
        <v>0</v>
      </c>
      <c r="AQ118" s="408">
        <f t="shared" si="99"/>
        <v>0</v>
      </c>
      <c r="AR118" s="408">
        <f t="shared" si="99"/>
        <v>0</v>
      </c>
      <c r="AS118" s="408">
        <f t="shared" si="99"/>
        <v>0</v>
      </c>
      <c r="AT118" s="408">
        <f t="shared" si="99"/>
        <v>0</v>
      </c>
      <c r="AU118" s="408">
        <f t="shared" si="99"/>
        <v>0</v>
      </c>
      <c r="AV118" s="408">
        <f t="shared" si="99"/>
        <v>0</v>
      </c>
      <c r="AW118" s="408">
        <f t="shared" si="99"/>
        <v>0</v>
      </c>
      <c r="AX118" s="408">
        <f t="shared" si="99"/>
        <v>0</v>
      </c>
      <c r="AY118" s="408">
        <f t="shared" si="99"/>
        <v>0</v>
      </c>
      <c r="AZ118" s="408">
        <f t="shared" ref="AZ118:BI125" si="100">IF(AND(AZ$8&gt;=$D118,(MATCH(AZ$8,$AF$8:$CA$8,0)-MATCH($D118,$AF$8:$CA$8,0))&lt;12),$E118/12,0)</f>
        <v>0</v>
      </c>
      <c r="BA118" s="408">
        <f t="shared" si="100"/>
        <v>0</v>
      </c>
      <c r="BB118" s="408">
        <f t="shared" si="100"/>
        <v>0</v>
      </c>
      <c r="BC118" s="408">
        <f t="shared" si="100"/>
        <v>0</v>
      </c>
      <c r="BD118" s="408">
        <f t="shared" si="100"/>
        <v>0</v>
      </c>
      <c r="BE118" s="408">
        <f t="shared" si="100"/>
        <v>0</v>
      </c>
      <c r="BF118" s="408">
        <f t="shared" si="100"/>
        <v>0</v>
      </c>
      <c r="BG118" s="408">
        <f t="shared" si="100"/>
        <v>0</v>
      </c>
      <c r="BH118" s="408">
        <f t="shared" si="100"/>
        <v>0</v>
      </c>
      <c r="BI118" s="408">
        <f t="shared" si="100"/>
        <v>0</v>
      </c>
      <c r="BJ118" s="408">
        <f t="shared" ref="BJ118:BS125" si="101">IF(AND(BJ$8&gt;=$D118,(MATCH(BJ$8,$AF$8:$CA$8,0)-MATCH($D118,$AF$8:$CA$8,0))&lt;12),$E118/12,0)</f>
        <v>0</v>
      </c>
      <c r="BK118" s="408">
        <f t="shared" si="101"/>
        <v>0</v>
      </c>
      <c r="BL118" s="408">
        <f t="shared" si="101"/>
        <v>0</v>
      </c>
      <c r="BM118" s="408">
        <f t="shared" si="101"/>
        <v>0</v>
      </c>
      <c r="BN118" s="408">
        <f t="shared" si="101"/>
        <v>0</v>
      </c>
      <c r="BO118" s="408">
        <f t="shared" si="101"/>
        <v>0</v>
      </c>
      <c r="BP118" s="408">
        <f t="shared" si="101"/>
        <v>0</v>
      </c>
      <c r="BQ118" s="408">
        <f t="shared" si="101"/>
        <v>0</v>
      </c>
      <c r="BR118" s="408">
        <f t="shared" si="101"/>
        <v>0</v>
      </c>
      <c r="BS118" s="408">
        <f t="shared" si="101"/>
        <v>0</v>
      </c>
      <c r="BT118" s="408">
        <f t="shared" ref="BT118:CA125" si="102">IF(AND(BT$8&gt;=$D118,(MATCH(BT$8,$AF$8:$CA$8,0)-MATCH($D118,$AF$8:$CA$8,0))&lt;12),$E118/12,0)</f>
        <v>0</v>
      </c>
      <c r="BU118" s="408">
        <f t="shared" si="102"/>
        <v>0</v>
      </c>
      <c r="BV118" s="408">
        <f t="shared" si="102"/>
        <v>0</v>
      </c>
      <c r="BW118" s="408">
        <f t="shared" si="102"/>
        <v>0</v>
      </c>
      <c r="BX118" s="408">
        <f t="shared" si="102"/>
        <v>0</v>
      </c>
      <c r="BY118" s="408">
        <f t="shared" si="102"/>
        <v>0</v>
      </c>
      <c r="BZ118" s="408">
        <f t="shared" si="102"/>
        <v>0</v>
      </c>
      <c r="CA118" s="408">
        <f t="shared" si="102"/>
        <v>0</v>
      </c>
    </row>
    <row r="119" spans="3:79" ht="21" hidden="1" customHeight="1" outlineLevel="2">
      <c r="C119" s="370"/>
      <c r="D119" s="374">
        <f t="shared" si="76"/>
        <v>46203</v>
      </c>
      <c r="E119" s="408" cm="1">
        <f t="array" ref="E119">INDEX($AF$18:$CA$18,0,MATCH($D119,$AF$8:$CA$8,0))</f>
        <v>0</v>
      </c>
      <c r="F119" s="372"/>
      <c r="G119" s="409"/>
      <c r="H119" s="410">
        <f t="shared" si="96"/>
        <v>0</v>
      </c>
      <c r="I119" s="410">
        <f t="shared" si="96"/>
        <v>0</v>
      </c>
      <c r="J119" s="410">
        <f t="shared" si="96"/>
        <v>0</v>
      </c>
      <c r="K119" s="410">
        <f t="shared" si="96"/>
        <v>0</v>
      </c>
      <c r="M119" s="359"/>
      <c r="N119" s="410">
        <f t="shared" si="97"/>
        <v>0</v>
      </c>
      <c r="O119" s="410">
        <f t="shared" si="97"/>
        <v>0</v>
      </c>
      <c r="P119" s="410">
        <f t="shared" si="97"/>
        <v>0</v>
      </c>
      <c r="Q119" s="410">
        <f t="shared" si="97"/>
        <v>0</v>
      </c>
      <c r="R119" s="410">
        <f t="shared" si="97"/>
        <v>0</v>
      </c>
      <c r="S119" s="410">
        <f t="shared" si="97"/>
        <v>0</v>
      </c>
      <c r="T119" s="410">
        <f t="shared" si="97"/>
        <v>0</v>
      </c>
      <c r="U119" s="410">
        <f t="shared" si="97"/>
        <v>0</v>
      </c>
      <c r="V119" s="410">
        <f t="shared" si="97"/>
        <v>0</v>
      </c>
      <c r="W119" s="410">
        <f t="shared" si="97"/>
        <v>0</v>
      </c>
      <c r="X119" s="410">
        <f t="shared" si="97"/>
        <v>0</v>
      </c>
      <c r="Y119" s="410">
        <f t="shared" si="97"/>
        <v>0</v>
      </c>
      <c r="Z119" s="410">
        <f t="shared" si="97"/>
        <v>0</v>
      </c>
      <c r="AA119" s="410">
        <f t="shared" si="97"/>
        <v>0</v>
      </c>
      <c r="AB119" s="410">
        <f t="shared" si="97"/>
        <v>0</v>
      </c>
      <c r="AC119" s="410">
        <f t="shared" si="97"/>
        <v>0</v>
      </c>
      <c r="AD119" s="372"/>
      <c r="AE119" s="409"/>
      <c r="AF119" s="408">
        <f t="shared" si="98"/>
        <v>0</v>
      </c>
      <c r="AG119" s="408">
        <f t="shared" si="98"/>
        <v>0</v>
      </c>
      <c r="AH119" s="408">
        <f t="shared" si="98"/>
        <v>0</v>
      </c>
      <c r="AI119" s="408">
        <f t="shared" si="98"/>
        <v>0</v>
      </c>
      <c r="AJ119" s="408">
        <f t="shared" si="98"/>
        <v>0</v>
      </c>
      <c r="AK119" s="408">
        <f t="shared" si="98"/>
        <v>0</v>
      </c>
      <c r="AL119" s="408">
        <f t="shared" si="98"/>
        <v>0</v>
      </c>
      <c r="AM119" s="408">
        <f t="shared" si="98"/>
        <v>0</v>
      </c>
      <c r="AN119" s="408">
        <f t="shared" si="98"/>
        <v>0</v>
      </c>
      <c r="AO119" s="408">
        <f t="shared" si="98"/>
        <v>0</v>
      </c>
      <c r="AP119" s="408">
        <f t="shared" si="99"/>
        <v>0</v>
      </c>
      <c r="AQ119" s="408">
        <f t="shared" si="99"/>
        <v>0</v>
      </c>
      <c r="AR119" s="408">
        <f t="shared" si="99"/>
        <v>0</v>
      </c>
      <c r="AS119" s="408">
        <f t="shared" si="99"/>
        <v>0</v>
      </c>
      <c r="AT119" s="408">
        <f t="shared" si="99"/>
        <v>0</v>
      </c>
      <c r="AU119" s="408">
        <f t="shared" si="99"/>
        <v>0</v>
      </c>
      <c r="AV119" s="408">
        <f t="shared" si="99"/>
        <v>0</v>
      </c>
      <c r="AW119" s="408">
        <f t="shared" si="99"/>
        <v>0</v>
      </c>
      <c r="AX119" s="408">
        <f t="shared" si="99"/>
        <v>0</v>
      </c>
      <c r="AY119" s="408">
        <f t="shared" si="99"/>
        <v>0</v>
      </c>
      <c r="AZ119" s="408">
        <f t="shared" si="100"/>
        <v>0</v>
      </c>
      <c r="BA119" s="408">
        <f t="shared" si="100"/>
        <v>0</v>
      </c>
      <c r="BB119" s="408">
        <f t="shared" si="100"/>
        <v>0</v>
      </c>
      <c r="BC119" s="408">
        <f t="shared" si="100"/>
        <v>0</v>
      </c>
      <c r="BD119" s="408">
        <f t="shared" si="100"/>
        <v>0</v>
      </c>
      <c r="BE119" s="408">
        <f t="shared" si="100"/>
        <v>0</v>
      </c>
      <c r="BF119" s="408">
        <f t="shared" si="100"/>
        <v>0</v>
      </c>
      <c r="BG119" s="408">
        <f t="shared" si="100"/>
        <v>0</v>
      </c>
      <c r="BH119" s="408">
        <f t="shared" si="100"/>
        <v>0</v>
      </c>
      <c r="BI119" s="408">
        <f t="shared" si="100"/>
        <v>0</v>
      </c>
      <c r="BJ119" s="408">
        <f t="shared" si="101"/>
        <v>0</v>
      </c>
      <c r="BK119" s="408">
        <f t="shared" si="101"/>
        <v>0</v>
      </c>
      <c r="BL119" s="408">
        <f t="shared" si="101"/>
        <v>0</v>
      </c>
      <c r="BM119" s="408">
        <f t="shared" si="101"/>
        <v>0</v>
      </c>
      <c r="BN119" s="408">
        <f t="shared" si="101"/>
        <v>0</v>
      </c>
      <c r="BO119" s="408">
        <f t="shared" si="101"/>
        <v>0</v>
      </c>
      <c r="BP119" s="408">
        <f t="shared" si="101"/>
        <v>0</v>
      </c>
      <c r="BQ119" s="408">
        <f t="shared" si="101"/>
        <v>0</v>
      </c>
      <c r="BR119" s="408">
        <f t="shared" si="101"/>
        <v>0</v>
      </c>
      <c r="BS119" s="408">
        <f t="shared" si="101"/>
        <v>0</v>
      </c>
      <c r="BT119" s="408">
        <f t="shared" si="102"/>
        <v>0</v>
      </c>
      <c r="BU119" s="408">
        <f t="shared" si="102"/>
        <v>0</v>
      </c>
      <c r="BV119" s="408">
        <f t="shared" si="102"/>
        <v>0</v>
      </c>
      <c r="BW119" s="408">
        <f t="shared" si="102"/>
        <v>0</v>
      </c>
      <c r="BX119" s="408">
        <f t="shared" si="102"/>
        <v>0</v>
      </c>
      <c r="BY119" s="408">
        <f t="shared" si="102"/>
        <v>0</v>
      </c>
      <c r="BZ119" s="408">
        <f t="shared" si="102"/>
        <v>0</v>
      </c>
      <c r="CA119" s="408">
        <f t="shared" si="102"/>
        <v>0</v>
      </c>
    </row>
    <row r="120" spans="3:79" ht="21" hidden="1" customHeight="1" outlineLevel="2">
      <c r="C120" s="370"/>
      <c r="D120" s="374">
        <f t="shared" si="76"/>
        <v>46234</v>
      </c>
      <c r="E120" s="408" cm="1">
        <f t="array" ref="E120">INDEX($AF$18:$CA$18,0,MATCH($D120,$AF$8:$CA$8,0))</f>
        <v>0</v>
      </c>
      <c r="F120" s="372"/>
      <c r="G120" s="409"/>
      <c r="H120" s="410">
        <f t="shared" si="96"/>
        <v>0</v>
      </c>
      <c r="I120" s="410">
        <f t="shared" si="96"/>
        <v>0</v>
      </c>
      <c r="J120" s="410">
        <f t="shared" si="96"/>
        <v>0</v>
      </c>
      <c r="K120" s="410">
        <f t="shared" si="96"/>
        <v>0</v>
      </c>
      <c r="M120" s="359"/>
      <c r="N120" s="410">
        <f t="shared" si="97"/>
        <v>0</v>
      </c>
      <c r="O120" s="410">
        <f t="shared" si="97"/>
        <v>0</v>
      </c>
      <c r="P120" s="410">
        <f t="shared" si="97"/>
        <v>0</v>
      </c>
      <c r="Q120" s="410">
        <f t="shared" si="97"/>
        <v>0</v>
      </c>
      <c r="R120" s="410">
        <f t="shared" si="97"/>
        <v>0</v>
      </c>
      <c r="S120" s="410">
        <f t="shared" si="97"/>
        <v>0</v>
      </c>
      <c r="T120" s="410">
        <f t="shared" si="97"/>
        <v>0</v>
      </c>
      <c r="U120" s="410">
        <f t="shared" si="97"/>
        <v>0</v>
      </c>
      <c r="V120" s="410">
        <f t="shared" si="97"/>
        <v>0</v>
      </c>
      <c r="W120" s="410">
        <f t="shared" si="97"/>
        <v>0</v>
      </c>
      <c r="X120" s="410">
        <f t="shared" si="97"/>
        <v>0</v>
      </c>
      <c r="Y120" s="410">
        <f t="shared" si="97"/>
        <v>0</v>
      </c>
      <c r="Z120" s="410">
        <f t="shared" si="97"/>
        <v>0</v>
      </c>
      <c r="AA120" s="410">
        <f t="shared" si="97"/>
        <v>0</v>
      </c>
      <c r="AB120" s="410">
        <f t="shared" si="97"/>
        <v>0</v>
      </c>
      <c r="AC120" s="410">
        <f t="shared" si="97"/>
        <v>0</v>
      </c>
      <c r="AD120" s="372"/>
      <c r="AE120" s="409"/>
      <c r="AF120" s="408">
        <f t="shared" si="98"/>
        <v>0</v>
      </c>
      <c r="AG120" s="408">
        <f t="shared" si="98"/>
        <v>0</v>
      </c>
      <c r="AH120" s="408">
        <f t="shared" si="98"/>
        <v>0</v>
      </c>
      <c r="AI120" s="408">
        <f t="shared" si="98"/>
        <v>0</v>
      </c>
      <c r="AJ120" s="408">
        <f t="shared" si="98"/>
        <v>0</v>
      </c>
      <c r="AK120" s="408">
        <f t="shared" si="98"/>
        <v>0</v>
      </c>
      <c r="AL120" s="408">
        <f t="shared" si="98"/>
        <v>0</v>
      </c>
      <c r="AM120" s="408">
        <f t="shared" si="98"/>
        <v>0</v>
      </c>
      <c r="AN120" s="408">
        <f t="shared" si="98"/>
        <v>0</v>
      </c>
      <c r="AO120" s="408">
        <f t="shared" si="98"/>
        <v>0</v>
      </c>
      <c r="AP120" s="408">
        <f t="shared" si="99"/>
        <v>0</v>
      </c>
      <c r="AQ120" s="408">
        <f t="shared" si="99"/>
        <v>0</v>
      </c>
      <c r="AR120" s="408">
        <f t="shared" si="99"/>
        <v>0</v>
      </c>
      <c r="AS120" s="408">
        <f t="shared" si="99"/>
        <v>0</v>
      </c>
      <c r="AT120" s="408">
        <f t="shared" si="99"/>
        <v>0</v>
      </c>
      <c r="AU120" s="408">
        <f t="shared" si="99"/>
        <v>0</v>
      </c>
      <c r="AV120" s="408">
        <f t="shared" si="99"/>
        <v>0</v>
      </c>
      <c r="AW120" s="408">
        <f t="shared" si="99"/>
        <v>0</v>
      </c>
      <c r="AX120" s="408">
        <f t="shared" si="99"/>
        <v>0</v>
      </c>
      <c r="AY120" s="408">
        <f t="shared" si="99"/>
        <v>0</v>
      </c>
      <c r="AZ120" s="408">
        <f t="shared" si="100"/>
        <v>0</v>
      </c>
      <c r="BA120" s="408">
        <f t="shared" si="100"/>
        <v>0</v>
      </c>
      <c r="BB120" s="408">
        <f t="shared" si="100"/>
        <v>0</v>
      </c>
      <c r="BC120" s="408">
        <f t="shared" si="100"/>
        <v>0</v>
      </c>
      <c r="BD120" s="408">
        <f t="shared" si="100"/>
        <v>0</v>
      </c>
      <c r="BE120" s="408">
        <f t="shared" si="100"/>
        <v>0</v>
      </c>
      <c r="BF120" s="408">
        <f t="shared" si="100"/>
        <v>0</v>
      </c>
      <c r="BG120" s="408">
        <f t="shared" si="100"/>
        <v>0</v>
      </c>
      <c r="BH120" s="408">
        <f t="shared" si="100"/>
        <v>0</v>
      </c>
      <c r="BI120" s="408">
        <f t="shared" si="100"/>
        <v>0</v>
      </c>
      <c r="BJ120" s="408">
        <f t="shared" si="101"/>
        <v>0</v>
      </c>
      <c r="BK120" s="408">
        <f t="shared" si="101"/>
        <v>0</v>
      </c>
      <c r="BL120" s="408">
        <f t="shared" si="101"/>
        <v>0</v>
      </c>
      <c r="BM120" s="408">
        <f t="shared" si="101"/>
        <v>0</v>
      </c>
      <c r="BN120" s="408">
        <f t="shared" si="101"/>
        <v>0</v>
      </c>
      <c r="BO120" s="408">
        <f t="shared" si="101"/>
        <v>0</v>
      </c>
      <c r="BP120" s="408">
        <f t="shared" si="101"/>
        <v>0</v>
      </c>
      <c r="BQ120" s="408">
        <f t="shared" si="101"/>
        <v>0</v>
      </c>
      <c r="BR120" s="408">
        <f t="shared" si="101"/>
        <v>0</v>
      </c>
      <c r="BS120" s="408">
        <f t="shared" si="101"/>
        <v>0</v>
      </c>
      <c r="BT120" s="408">
        <f t="shared" si="102"/>
        <v>0</v>
      </c>
      <c r="BU120" s="408">
        <f t="shared" si="102"/>
        <v>0</v>
      </c>
      <c r="BV120" s="408">
        <f t="shared" si="102"/>
        <v>0</v>
      </c>
      <c r="BW120" s="408">
        <f t="shared" si="102"/>
        <v>0</v>
      </c>
      <c r="BX120" s="408">
        <f t="shared" si="102"/>
        <v>0</v>
      </c>
      <c r="BY120" s="408">
        <f t="shared" si="102"/>
        <v>0</v>
      </c>
      <c r="BZ120" s="408">
        <f t="shared" si="102"/>
        <v>0</v>
      </c>
      <c r="CA120" s="408">
        <f t="shared" si="102"/>
        <v>0</v>
      </c>
    </row>
    <row r="121" spans="3:79" ht="21" hidden="1" customHeight="1" outlineLevel="2">
      <c r="C121" s="370"/>
      <c r="D121" s="374">
        <f t="shared" si="76"/>
        <v>46265</v>
      </c>
      <c r="E121" s="408" cm="1">
        <f t="array" ref="E121">INDEX($AF$18:$CA$18,0,MATCH($D121,$AF$8:$CA$8,0))</f>
        <v>40800</v>
      </c>
      <c r="F121" s="372"/>
      <c r="G121" s="409"/>
      <c r="H121" s="410">
        <f t="shared" si="96"/>
        <v>0</v>
      </c>
      <c r="I121" s="410">
        <f t="shared" si="96"/>
        <v>0</v>
      </c>
      <c r="J121" s="410">
        <f t="shared" si="96"/>
        <v>0</v>
      </c>
      <c r="K121" s="410">
        <f t="shared" si="96"/>
        <v>17000</v>
      </c>
      <c r="M121" s="359"/>
      <c r="N121" s="410">
        <f t="shared" si="97"/>
        <v>0</v>
      </c>
      <c r="O121" s="410">
        <f t="shared" si="97"/>
        <v>0</v>
      </c>
      <c r="P121" s="410">
        <f t="shared" si="97"/>
        <v>0</v>
      </c>
      <c r="Q121" s="410">
        <f t="shared" si="97"/>
        <v>0</v>
      </c>
      <c r="R121" s="410">
        <f t="shared" si="97"/>
        <v>0</v>
      </c>
      <c r="S121" s="410">
        <f t="shared" si="97"/>
        <v>0</v>
      </c>
      <c r="T121" s="410">
        <f t="shared" si="97"/>
        <v>0</v>
      </c>
      <c r="U121" s="410">
        <f t="shared" si="97"/>
        <v>0</v>
      </c>
      <c r="V121" s="410">
        <f t="shared" si="97"/>
        <v>0</v>
      </c>
      <c r="W121" s="410">
        <f t="shared" si="97"/>
        <v>0</v>
      </c>
      <c r="X121" s="410">
        <f t="shared" si="97"/>
        <v>0</v>
      </c>
      <c r="Y121" s="410">
        <f t="shared" si="97"/>
        <v>0</v>
      </c>
      <c r="Z121" s="410">
        <f t="shared" si="97"/>
        <v>0</v>
      </c>
      <c r="AA121" s="410">
        <f t="shared" si="97"/>
        <v>0</v>
      </c>
      <c r="AB121" s="410">
        <f t="shared" si="97"/>
        <v>6800</v>
      </c>
      <c r="AC121" s="410">
        <f t="shared" si="97"/>
        <v>10200</v>
      </c>
      <c r="AD121" s="372"/>
      <c r="AE121" s="409"/>
      <c r="AF121" s="408">
        <f t="shared" si="98"/>
        <v>0</v>
      </c>
      <c r="AG121" s="408">
        <f t="shared" si="98"/>
        <v>0</v>
      </c>
      <c r="AH121" s="408">
        <f t="shared" si="98"/>
        <v>0</v>
      </c>
      <c r="AI121" s="408">
        <f t="shared" si="98"/>
        <v>0</v>
      </c>
      <c r="AJ121" s="408">
        <f t="shared" si="98"/>
        <v>0</v>
      </c>
      <c r="AK121" s="408">
        <f t="shared" si="98"/>
        <v>0</v>
      </c>
      <c r="AL121" s="408">
        <f t="shared" si="98"/>
        <v>0</v>
      </c>
      <c r="AM121" s="408">
        <f t="shared" si="98"/>
        <v>0</v>
      </c>
      <c r="AN121" s="408">
        <f t="shared" si="98"/>
        <v>0</v>
      </c>
      <c r="AO121" s="408">
        <f t="shared" si="98"/>
        <v>0</v>
      </c>
      <c r="AP121" s="408">
        <f t="shared" si="99"/>
        <v>0</v>
      </c>
      <c r="AQ121" s="408">
        <f t="shared" si="99"/>
        <v>0</v>
      </c>
      <c r="AR121" s="408">
        <f t="shared" si="99"/>
        <v>0</v>
      </c>
      <c r="AS121" s="408">
        <f t="shared" si="99"/>
        <v>0</v>
      </c>
      <c r="AT121" s="408">
        <f t="shared" si="99"/>
        <v>0</v>
      </c>
      <c r="AU121" s="408">
        <f t="shared" si="99"/>
        <v>0</v>
      </c>
      <c r="AV121" s="408">
        <f t="shared" si="99"/>
        <v>0</v>
      </c>
      <c r="AW121" s="408">
        <f t="shared" si="99"/>
        <v>0</v>
      </c>
      <c r="AX121" s="408">
        <f t="shared" si="99"/>
        <v>0</v>
      </c>
      <c r="AY121" s="408">
        <f t="shared" si="99"/>
        <v>0</v>
      </c>
      <c r="AZ121" s="408">
        <f t="shared" si="100"/>
        <v>0</v>
      </c>
      <c r="BA121" s="408">
        <f t="shared" si="100"/>
        <v>0</v>
      </c>
      <c r="BB121" s="408">
        <f t="shared" si="100"/>
        <v>0</v>
      </c>
      <c r="BC121" s="408">
        <f t="shared" si="100"/>
        <v>0</v>
      </c>
      <c r="BD121" s="408">
        <f t="shared" si="100"/>
        <v>0</v>
      </c>
      <c r="BE121" s="408">
        <f t="shared" si="100"/>
        <v>0</v>
      </c>
      <c r="BF121" s="408">
        <f t="shared" si="100"/>
        <v>0</v>
      </c>
      <c r="BG121" s="408">
        <f t="shared" si="100"/>
        <v>0</v>
      </c>
      <c r="BH121" s="408">
        <f t="shared" si="100"/>
        <v>0</v>
      </c>
      <c r="BI121" s="408">
        <f t="shared" si="100"/>
        <v>0</v>
      </c>
      <c r="BJ121" s="408">
        <f t="shared" si="101"/>
        <v>0</v>
      </c>
      <c r="BK121" s="408">
        <f t="shared" si="101"/>
        <v>0</v>
      </c>
      <c r="BL121" s="408">
        <f t="shared" si="101"/>
        <v>0</v>
      </c>
      <c r="BM121" s="408">
        <f t="shared" si="101"/>
        <v>0</v>
      </c>
      <c r="BN121" s="408">
        <f t="shared" si="101"/>
        <v>0</v>
      </c>
      <c r="BO121" s="408">
        <f t="shared" si="101"/>
        <v>0</v>
      </c>
      <c r="BP121" s="408">
        <f t="shared" si="101"/>
        <v>0</v>
      </c>
      <c r="BQ121" s="408">
        <f t="shared" si="101"/>
        <v>0</v>
      </c>
      <c r="BR121" s="408">
        <f t="shared" si="101"/>
        <v>0</v>
      </c>
      <c r="BS121" s="408">
        <f t="shared" si="101"/>
        <v>0</v>
      </c>
      <c r="BT121" s="408">
        <f t="shared" si="102"/>
        <v>0</v>
      </c>
      <c r="BU121" s="408">
        <f t="shared" si="102"/>
        <v>0</v>
      </c>
      <c r="BV121" s="408">
        <f t="shared" si="102"/>
        <v>0</v>
      </c>
      <c r="BW121" s="408">
        <f t="shared" si="102"/>
        <v>3400</v>
      </c>
      <c r="BX121" s="408">
        <f t="shared" si="102"/>
        <v>3400</v>
      </c>
      <c r="BY121" s="408">
        <f t="shared" si="102"/>
        <v>3400</v>
      </c>
      <c r="BZ121" s="408">
        <f t="shared" si="102"/>
        <v>3400</v>
      </c>
      <c r="CA121" s="408">
        <f t="shared" si="102"/>
        <v>3400</v>
      </c>
    </row>
    <row r="122" spans="3:79" ht="21" hidden="1" customHeight="1" outlineLevel="2">
      <c r="C122" s="370"/>
      <c r="D122" s="374">
        <f t="shared" si="76"/>
        <v>46295</v>
      </c>
      <c r="E122" s="408" cm="1">
        <f t="array" ref="E122">INDEX($AF$18:$CA$18,0,MATCH($D122,$AF$8:$CA$8,0))</f>
        <v>35000</v>
      </c>
      <c r="F122" s="372"/>
      <c r="G122" s="409"/>
      <c r="H122" s="410">
        <f t="shared" si="96"/>
        <v>0</v>
      </c>
      <c r="I122" s="410">
        <f t="shared" si="96"/>
        <v>0</v>
      </c>
      <c r="J122" s="410">
        <f t="shared" si="96"/>
        <v>0</v>
      </c>
      <c r="K122" s="410">
        <f t="shared" si="96"/>
        <v>11666.666666666666</v>
      </c>
      <c r="M122" s="359"/>
      <c r="N122" s="410">
        <f t="shared" si="97"/>
        <v>0</v>
      </c>
      <c r="O122" s="410">
        <f t="shared" si="97"/>
        <v>0</v>
      </c>
      <c r="P122" s="410">
        <f t="shared" si="97"/>
        <v>0</v>
      </c>
      <c r="Q122" s="410">
        <f t="shared" si="97"/>
        <v>0</v>
      </c>
      <c r="R122" s="410">
        <f t="shared" si="97"/>
        <v>0</v>
      </c>
      <c r="S122" s="410">
        <f t="shared" si="97"/>
        <v>0</v>
      </c>
      <c r="T122" s="410">
        <f t="shared" si="97"/>
        <v>0</v>
      </c>
      <c r="U122" s="410">
        <f t="shared" si="97"/>
        <v>0</v>
      </c>
      <c r="V122" s="410">
        <f t="shared" si="97"/>
        <v>0</v>
      </c>
      <c r="W122" s="410">
        <f t="shared" si="97"/>
        <v>0</v>
      </c>
      <c r="X122" s="410">
        <f t="shared" si="97"/>
        <v>0</v>
      </c>
      <c r="Y122" s="410">
        <f t="shared" si="97"/>
        <v>0</v>
      </c>
      <c r="Z122" s="410">
        <f t="shared" si="97"/>
        <v>0</v>
      </c>
      <c r="AA122" s="410">
        <f t="shared" si="97"/>
        <v>0</v>
      </c>
      <c r="AB122" s="410">
        <f t="shared" si="97"/>
        <v>2916.6666666666665</v>
      </c>
      <c r="AC122" s="410">
        <f t="shared" si="97"/>
        <v>8750</v>
      </c>
      <c r="AD122" s="372"/>
      <c r="AE122" s="409"/>
      <c r="AF122" s="408">
        <f t="shared" si="98"/>
        <v>0</v>
      </c>
      <c r="AG122" s="408">
        <f t="shared" si="98"/>
        <v>0</v>
      </c>
      <c r="AH122" s="408">
        <f t="shared" si="98"/>
        <v>0</v>
      </c>
      <c r="AI122" s="408">
        <f t="shared" si="98"/>
        <v>0</v>
      </c>
      <c r="AJ122" s="408">
        <f t="shared" si="98"/>
        <v>0</v>
      </c>
      <c r="AK122" s="408">
        <f t="shared" si="98"/>
        <v>0</v>
      </c>
      <c r="AL122" s="408">
        <f t="shared" si="98"/>
        <v>0</v>
      </c>
      <c r="AM122" s="408">
        <f t="shared" si="98"/>
        <v>0</v>
      </c>
      <c r="AN122" s="408">
        <f t="shared" si="98"/>
        <v>0</v>
      </c>
      <c r="AO122" s="408">
        <f t="shared" si="98"/>
        <v>0</v>
      </c>
      <c r="AP122" s="408">
        <f t="shared" si="99"/>
        <v>0</v>
      </c>
      <c r="AQ122" s="408">
        <f t="shared" si="99"/>
        <v>0</v>
      </c>
      <c r="AR122" s="408">
        <f t="shared" si="99"/>
        <v>0</v>
      </c>
      <c r="AS122" s="408">
        <f t="shared" si="99"/>
        <v>0</v>
      </c>
      <c r="AT122" s="408">
        <f t="shared" si="99"/>
        <v>0</v>
      </c>
      <c r="AU122" s="408">
        <f t="shared" si="99"/>
        <v>0</v>
      </c>
      <c r="AV122" s="408">
        <f t="shared" si="99"/>
        <v>0</v>
      </c>
      <c r="AW122" s="408">
        <f t="shared" si="99"/>
        <v>0</v>
      </c>
      <c r="AX122" s="408">
        <f t="shared" si="99"/>
        <v>0</v>
      </c>
      <c r="AY122" s="408">
        <f t="shared" si="99"/>
        <v>0</v>
      </c>
      <c r="AZ122" s="408">
        <f t="shared" si="100"/>
        <v>0</v>
      </c>
      <c r="BA122" s="408">
        <f t="shared" si="100"/>
        <v>0</v>
      </c>
      <c r="BB122" s="408">
        <f t="shared" si="100"/>
        <v>0</v>
      </c>
      <c r="BC122" s="408">
        <f t="shared" si="100"/>
        <v>0</v>
      </c>
      <c r="BD122" s="408">
        <f t="shared" si="100"/>
        <v>0</v>
      </c>
      <c r="BE122" s="408">
        <f t="shared" si="100"/>
        <v>0</v>
      </c>
      <c r="BF122" s="408">
        <f t="shared" si="100"/>
        <v>0</v>
      </c>
      <c r="BG122" s="408">
        <f t="shared" si="100"/>
        <v>0</v>
      </c>
      <c r="BH122" s="408">
        <f t="shared" si="100"/>
        <v>0</v>
      </c>
      <c r="BI122" s="408">
        <f t="shared" si="100"/>
        <v>0</v>
      </c>
      <c r="BJ122" s="408">
        <f t="shared" si="101"/>
        <v>0</v>
      </c>
      <c r="BK122" s="408">
        <f t="shared" si="101"/>
        <v>0</v>
      </c>
      <c r="BL122" s="408">
        <f t="shared" si="101"/>
        <v>0</v>
      </c>
      <c r="BM122" s="408">
        <f t="shared" si="101"/>
        <v>0</v>
      </c>
      <c r="BN122" s="408">
        <f t="shared" si="101"/>
        <v>0</v>
      </c>
      <c r="BO122" s="408">
        <f t="shared" si="101"/>
        <v>0</v>
      </c>
      <c r="BP122" s="408">
        <f t="shared" si="101"/>
        <v>0</v>
      </c>
      <c r="BQ122" s="408">
        <f t="shared" si="101"/>
        <v>0</v>
      </c>
      <c r="BR122" s="408">
        <f t="shared" si="101"/>
        <v>0</v>
      </c>
      <c r="BS122" s="408">
        <f t="shared" si="101"/>
        <v>0</v>
      </c>
      <c r="BT122" s="408">
        <f t="shared" si="102"/>
        <v>0</v>
      </c>
      <c r="BU122" s="408">
        <f t="shared" si="102"/>
        <v>0</v>
      </c>
      <c r="BV122" s="408">
        <f t="shared" si="102"/>
        <v>0</v>
      </c>
      <c r="BW122" s="408">
        <f t="shared" si="102"/>
        <v>0</v>
      </c>
      <c r="BX122" s="408">
        <f t="shared" si="102"/>
        <v>2916.6666666666665</v>
      </c>
      <c r="BY122" s="408">
        <f t="shared" si="102"/>
        <v>2916.6666666666665</v>
      </c>
      <c r="BZ122" s="408">
        <f t="shared" si="102"/>
        <v>2916.6666666666665</v>
      </c>
      <c r="CA122" s="408">
        <f t="shared" si="102"/>
        <v>2916.6666666666665</v>
      </c>
    </row>
    <row r="123" spans="3:79" ht="21" hidden="1" customHeight="1" outlineLevel="2">
      <c r="C123" s="370"/>
      <c r="D123" s="374">
        <f t="shared" si="76"/>
        <v>46326</v>
      </c>
      <c r="E123" s="408" cm="1">
        <f t="array" ref="E123">INDEX($AF$18:$CA$18,0,MATCH($D123,$AF$8:$CA$8,0))</f>
        <v>0</v>
      </c>
      <c r="F123" s="372"/>
      <c r="G123" s="409"/>
      <c r="H123" s="410">
        <f t="shared" si="96"/>
        <v>0</v>
      </c>
      <c r="I123" s="410">
        <f t="shared" si="96"/>
        <v>0</v>
      </c>
      <c r="J123" s="410">
        <f t="shared" si="96"/>
        <v>0</v>
      </c>
      <c r="K123" s="410">
        <f t="shared" si="96"/>
        <v>0</v>
      </c>
      <c r="M123" s="359"/>
      <c r="N123" s="410">
        <f t="shared" si="97"/>
        <v>0</v>
      </c>
      <c r="O123" s="410">
        <f t="shared" si="97"/>
        <v>0</v>
      </c>
      <c r="P123" s="410">
        <f t="shared" si="97"/>
        <v>0</v>
      </c>
      <c r="Q123" s="410">
        <f t="shared" si="97"/>
        <v>0</v>
      </c>
      <c r="R123" s="410">
        <f t="shared" si="97"/>
        <v>0</v>
      </c>
      <c r="S123" s="410">
        <f t="shared" si="97"/>
        <v>0</v>
      </c>
      <c r="T123" s="410">
        <f t="shared" si="97"/>
        <v>0</v>
      </c>
      <c r="U123" s="410">
        <f t="shared" si="97"/>
        <v>0</v>
      </c>
      <c r="V123" s="410">
        <f t="shared" si="97"/>
        <v>0</v>
      </c>
      <c r="W123" s="410">
        <f t="shared" si="97"/>
        <v>0</v>
      </c>
      <c r="X123" s="410">
        <f t="shared" si="97"/>
        <v>0</v>
      </c>
      <c r="Y123" s="410">
        <f t="shared" si="97"/>
        <v>0</v>
      </c>
      <c r="Z123" s="410">
        <f t="shared" si="97"/>
        <v>0</v>
      </c>
      <c r="AA123" s="410">
        <f t="shared" si="97"/>
        <v>0</v>
      </c>
      <c r="AB123" s="410">
        <f t="shared" si="97"/>
        <v>0</v>
      </c>
      <c r="AC123" s="410">
        <f t="shared" si="97"/>
        <v>0</v>
      </c>
      <c r="AD123" s="372"/>
      <c r="AE123" s="409"/>
      <c r="AF123" s="408">
        <f t="shared" si="98"/>
        <v>0</v>
      </c>
      <c r="AG123" s="408">
        <f t="shared" si="98"/>
        <v>0</v>
      </c>
      <c r="AH123" s="408">
        <f t="shared" si="98"/>
        <v>0</v>
      </c>
      <c r="AI123" s="408">
        <f t="shared" si="98"/>
        <v>0</v>
      </c>
      <c r="AJ123" s="408">
        <f t="shared" si="98"/>
        <v>0</v>
      </c>
      <c r="AK123" s="408">
        <f t="shared" si="98"/>
        <v>0</v>
      </c>
      <c r="AL123" s="408">
        <f t="shared" si="98"/>
        <v>0</v>
      </c>
      <c r="AM123" s="408">
        <f t="shared" si="98"/>
        <v>0</v>
      </c>
      <c r="AN123" s="408">
        <f t="shared" si="98"/>
        <v>0</v>
      </c>
      <c r="AO123" s="408">
        <f t="shared" si="98"/>
        <v>0</v>
      </c>
      <c r="AP123" s="408">
        <f t="shared" si="99"/>
        <v>0</v>
      </c>
      <c r="AQ123" s="408">
        <f t="shared" si="99"/>
        <v>0</v>
      </c>
      <c r="AR123" s="408">
        <f t="shared" si="99"/>
        <v>0</v>
      </c>
      <c r="AS123" s="408">
        <f t="shared" si="99"/>
        <v>0</v>
      </c>
      <c r="AT123" s="408">
        <f t="shared" si="99"/>
        <v>0</v>
      </c>
      <c r="AU123" s="408">
        <f t="shared" si="99"/>
        <v>0</v>
      </c>
      <c r="AV123" s="408">
        <f t="shared" si="99"/>
        <v>0</v>
      </c>
      <c r="AW123" s="408">
        <f t="shared" si="99"/>
        <v>0</v>
      </c>
      <c r="AX123" s="408">
        <f t="shared" si="99"/>
        <v>0</v>
      </c>
      <c r="AY123" s="408">
        <f t="shared" si="99"/>
        <v>0</v>
      </c>
      <c r="AZ123" s="408">
        <f t="shared" si="100"/>
        <v>0</v>
      </c>
      <c r="BA123" s="408">
        <f t="shared" si="100"/>
        <v>0</v>
      </c>
      <c r="BB123" s="408">
        <f t="shared" si="100"/>
        <v>0</v>
      </c>
      <c r="BC123" s="408">
        <f t="shared" si="100"/>
        <v>0</v>
      </c>
      <c r="BD123" s="408">
        <f t="shared" si="100"/>
        <v>0</v>
      </c>
      <c r="BE123" s="408">
        <f t="shared" si="100"/>
        <v>0</v>
      </c>
      <c r="BF123" s="408">
        <f t="shared" si="100"/>
        <v>0</v>
      </c>
      <c r="BG123" s="408">
        <f t="shared" si="100"/>
        <v>0</v>
      </c>
      <c r="BH123" s="408">
        <f t="shared" si="100"/>
        <v>0</v>
      </c>
      <c r="BI123" s="408">
        <f t="shared" si="100"/>
        <v>0</v>
      </c>
      <c r="BJ123" s="408">
        <f t="shared" si="101"/>
        <v>0</v>
      </c>
      <c r="BK123" s="408">
        <f t="shared" si="101"/>
        <v>0</v>
      </c>
      <c r="BL123" s="408">
        <f t="shared" si="101"/>
        <v>0</v>
      </c>
      <c r="BM123" s="408">
        <f t="shared" si="101"/>
        <v>0</v>
      </c>
      <c r="BN123" s="408">
        <f t="shared" si="101"/>
        <v>0</v>
      </c>
      <c r="BO123" s="408">
        <f t="shared" si="101"/>
        <v>0</v>
      </c>
      <c r="BP123" s="408">
        <f t="shared" si="101"/>
        <v>0</v>
      </c>
      <c r="BQ123" s="408">
        <f t="shared" si="101"/>
        <v>0</v>
      </c>
      <c r="BR123" s="408">
        <f t="shared" si="101"/>
        <v>0</v>
      </c>
      <c r="BS123" s="408">
        <f t="shared" si="101"/>
        <v>0</v>
      </c>
      <c r="BT123" s="408">
        <f t="shared" si="102"/>
        <v>0</v>
      </c>
      <c r="BU123" s="408">
        <f t="shared" si="102"/>
        <v>0</v>
      </c>
      <c r="BV123" s="408">
        <f t="shared" si="102"/>
        <v>0</v>
      </c>
      <c r="BW123" s="408">
        <f t="shared" si="102"/>
        <v>0</v>
      </c>
      <c r="BX123" s="408">
        <f t="shared" si="102"/>
        <v>0</v>
      </c>
      <c r="BY123" s="408">
        <f t="shared" si="102"/>
        <v>0</v>
      </c>
      <c r="BZ123" s="408">
        <f t="shared" si="102"/>
        <v>0</v>
      </c>
      <c r="CA123" s="408">
        <f t="shared" si="102"/>
        <v>0</v>
      </c>
    </row>
    <row r="124" spans="3:79" ht="21" hidden="1" customHeight="1" outlineLevel="2">
      <c r="C124" s="370"/>
      <c r="D124" s="374">
        <f t="shared" si="76"/>
        <v>46356</v>
      </c>
      <c r="E124" s="408" cm="1">
        <f t="array" ref="E124">INDEX($AF$18:$CA$18,0,MATCH($D124,$AF$8:$CA$8,0))</f>
        <v>37400</v>
      </c>
      <c r="F124" s="372"/>
      <c r="G124" s="409"/>
      <c r="H124" s="410">
        <f t="shared" si="96"/>
        <v>0</v>
      </c>
      <c r="I124" s="410">
        <f t="shared" si="96"/>
        <v>0</v>
      </c>
      <c r="J124" s="410">
        <f t="shared" si="96"/>
        <v>0</v>
      </c>
      <c r="K124" s="410">
        <f t="shared" si="96"/>
        <v>6233.333333333333</v>
      </c>
      <c r="M124" s="359"/>
      <c r="N124" s="410">
        <f t="shared" si="97"/>
        <v>0</v>
      </c>
      <c r="O124" s="410">
        <f t="shared" si="97"/>
        <v>0</v>
      </c>
      <c r="P124" s="410">
        <f t="shared" si="97"/>
        <v>0</v>
      </c>
      <c r="Q124" s="410">
        <f t="shared" si="97"/>
        <v>0</v>
      </c>
      <c r="R124" s="410">
        <f t="shared" si="97"/>
        <v>0</v>
      </c>
      <c r="S124" s="410">
        <f t="shared" si="97"/>
        <v>0</v>
      </c>
      <c r="T124" s="410">
        <f t="shared" si="97"/>
        <v>0</v>
      </c>
      <c r="U124" s="410">
        <f t="shared" si="97"/>
        <v>0</v>
      </c>
      <c r="V124" s="410">
        <f t="shared" si="97"/>
        <v>0</v>
      </c>
      <c r="W124" s="410">
        <f t="shared" si="97"/>
        <v>0</v>
      </c>
      <c r="X124" s="410">
        <f t="shared" si="97"/>
        <v>0</v>
      </c>
      <c r="Y124" s="410">
        <f t="shared" si="97"/>
        <v>0</v>
      </c>
      <c r="Z124" s="410">
        <f t="shared" si="97"/>
        <v>0</v>
      </c>
      <c r="AA124" s="410">
        <f t="shared" si="97"/>
        <v>0</v>
      </c>
      <c r="AB124" s="410">
        <f t="shared" si="97"/>
        <v>0</v>
      </c>
      <c r="AC124" s="410">
        <f t="shared" si="97"/>
        <v>6233.333333333333</v>
      </c>
      <c r="AD124" s="372"/>
      <c r="AE124" s="409"/>
      <c r="AF124" s="408">
        <f t="shared" si="98"/>
        <v>0</v>
      </c>
      <c r="AG124" s="408">
        <f t="shared" si="98"/>
        <v>0</v>
      </c>
      <c r="AH124" s="408">
        <f t="shared" si="98"/>
        <v>0</v>
      </c>
      <c r="AI124" s="408">
        <f t="shared" si="98"/>
        <v>0</v>
      </c>
      <c r="AJ124" s="408">
        <f t="shared" si="98"/>
        <v>0</v>
      </c>
      <c r="AK124" s="408">
        <f t="shared" si="98"/>
        <v>0</v>
      </c>
      <c r="AL124" s="408">
        <f t="shared" si="98"/>
        <v>0</v>
      </c>
      <c r="AM124" s="408">
        <f t="shared" si="98"/>
        <v>0</v>
      </c>
      <c r="AN124" s="408">
        <f t="shared" si="98"/>
        <v>0</v>
      </c>
      <c r="AO124" s="408">
        <f t="shared" si="98"/>
        <v>0</v>
      </c>
      <c r="AP124" s="408">
        <f t="shared" si="99"/>
        <v>0</v>
      </c>
      <c r="AQ124" s="408">
        <f t="shared" si="99"/>
        <v>0</v>
      </c>
      <c r="AR124" s="408">
        <f t="shared" si="99"/>
        <v>0</v>
      </c>
      <c r="AS124" s="408">
        <f t="shared" si="99"/>
        <v>0</v>
      </c>
      <c r="AT124" s="408">
        <f t="shared" si="99"/>
        <v>0</v>
      </c>
      <c r="AU124" s="408">
        <f t="shared" si="99"/>
        <v>0</v>
      </c>
      <c r="AV124" s="408">
        <f t="shared" si="99"/>
        <v>0</v>
      </c>
      <c r="AW124" s="408">
        <f t="shared" si="99"/>
        <v>0</v>
      </c>
      <c r="AX124" s="408">
        <f t="shared" si="99"/>
        <v>0</v>
      </c>
      <c r="AY124" s="408">
        <f t="shared" si="99"/>
        <v>0</v>
      </c>
      <c r="AZ124" s="408">
        <f t="shared" si="100"/>
        <v>0</v>
      </c>
      <c r="BA124" s="408">
        <f t="shared" si="100"/>
        <v>0</v>
      </c>
      <c r="BB124" s="408">
        <f t="shared" si="100"/>
        <v>0</v>
      </c>
      <c r="BC124" s="408">
        <f t="shared" si="100"/>
        <v>0</v>
      </c>
      <c r="BD124" s="408">
        <f t="shared" si="100"/>
        <v>0</v>
      </c>
      <c r="BE124" s="408">
        <f t="shared" si="100"/>
        <v>0</v>
      </c>
      <c r="BF124" s="408">
        <f t="shared" si="100"/>
        <v>0</v>
      </c>
      <c r="BG124" s="408">
        <f t="shared" si="100"/>
        <v>0</v>
      </c>
      <c r="BH124" s="408">
        <f t="shared" si="100"/>
        <v>0</v>
      </c>
      <c r="BI124" s="408">
        <f t="shared" si="100"/>
        <v>0</v>
      </c>
      <c r="BJ124" s="408">
        <f t="shared" si="101"/>
        <v>0</v>
      </c>
      <c r="BK124" s="408">
        <f t="shared" si="101"/>
        <v>0</v>
      </c>
      <c r="BL124" s="408">
        <f t="shared" si="101"/>
        <v>0</v>
      </c>
      <c r="BM124" s="408">
        <f t="shared" si="101"/>
        <v>0</v>
      </c>
      <c r="BN124" s="408">
        <f t="shared" si="101"/>
        <v>0</v>
      </c>
      <c r="BO124" s="408">
        <f t="shared" si="101"/>
        <v>0</v>
      </c>
      <c r="BP124" s="408">
        <f t="shared" si="101"/>
        <v>0</v>
      </c>
      <c r="BQ124" s="408">
        <f t="shared" si="101"/>
        <v>0</v>
      </c>
      <c r="BR124" s="408">
        <f t="shared" si="101"/>
        <v>0</v>
      </c>
      <c r="BS124" s="408">
        <f t="shared" si="101"/>
        <v>0</v>
      </c>
      <c r="BT124" s="408">
        <f t="shared" si="102"/>
        <v>0</v>
      </c>
      <c r="BU124" s="408">
        <f t="shared" si="102"/>
        <v>0</v>
      </c>
      <c r="BV124" s="408">
        <f t="shared" si="102"/>
        <v>0</v>
      </c>
      <c r="BW124" s="408">
        <f t="shared" si="102"/>
        <v>0</v>
      </c>
      <c r="BX124" s="408">
        <f t="shared" si="102"/>
        <v>0</v>
      </c>
      <c r="BY124" s="408">
        <f t="shared" si="102"/>
        <v>0</v>
      </c>
      <c r="BZ124" s="408">
        <f t="shared" si="102"/>
        <v>3116.6666666666665</v>
      </c>
      <c r="CA124" s="408">
        <f t="shared" si="102"/>
        <v>3116.6666666666665</v>
      </c>
    </row>
    <row r="125" spans="3:79" ht="21" hidden="1" customHeight="1" outlineLevel="2">
      <c r="C125" s="370"/>
      <c r="D125" s="374">
        <f t="shared" si="76"/>
        <v>46387</v>
      </c>
      <c r="E125" s="408" cm="1">
        <f t="array" ref="E125">INDEX($AF$18:$CA$18,0,MATCH($D125,$AF$8:$CA$8,0))</f>
        <v>0</v>
      </c>
      <c r="F125" s="372"/>
      <c r="G125" s="409"/>
      <c r="H125" s="410">
        <f t="shared" si="96"/>
        <v>0</v>
      </c>
      <c r="I125" s="410">
        <f t="shared" si="96"/>
        <v>0</v>
      </c>
      <c r="J125" s="410">
        <f t="shared" si="96"/>
        <v>0</v>
      </c>
      <c r="K125" s="410">
        <f t="shared" si="96"/>
        <v>0</v>
      </c>
      <c r="M125" s="359"/>
      <c r="N125" s="410">
        <f t="shared" si="97"/>
        <v>0</v>
      </c>
      <c r="O125" s="410">
        <f t="shared" si="97"/>
        <v>0</v>
      </c>
      <c r="P125" s="410">
        <f t="shared" si="97"/>
        <v>0</v>
      </c>
      <c r="Q125" s="410">
        <f t="shared" si="97"/>
        <v>0</v>
      </c>
      <c r="R125" s="410">
        <f t="shared" si="97"/>
        <v>0</v>
      </c>
      <c r="S125" s="410">
        <f t="shared" si="97"/>
        <v>0</v>
      </c>
      <c r="T125" s="410">
        <f t="shared" si="97"/>
        <v>0</v>
      </c>
      <c r="U125" s="410">
        <f t="shared" si="97"/>
        <v>0</v>
      </c>
      <c r="V125" s="410">
        <f t="shared" si="97"/>
        <v>0</v>
      </c>
      <c r="W125" s="410">
        <f t="shared" si="97"/>
        <v>0</v>
      </c>
      <c r="X125" s="410">
        <f t="shared" si="97"/>
        <v>0</v>
      </c>
      <c r="Y125" s="410">
        <f t="shared" si="97"/>
        <v>0</v>
      </c>
      <c r="Z125" s="410">
        <f t="shared" si="97"/>
        <v>0</v>
      </c>
      <c r="AA125" s="410">
        <f t="shared" si="97"/>
        <v>0</v>
      </c>
      <c r="AB125" s="410">
        <f t="shared" si="97"/>
        <v>0</v>
      </c>
      <c r="AC125" s="410">
        <f t="shared" si="97"/>
        <v>0</v>
      </c>
      <c r="AD125" s="372"/>
      <c r="AE125" s="409"/>
      <c r="AF125" s="408">
        <f t="shared" si="98"/>
        <v>0</v>
      </c>
      <c r="AG125" s="408">
        <f t="shared" si="98"/>
        <v>0</v>
      </c>
      <c r="AH125" s="408">
        <f t="shared" si="98"/>
        <v>0</v>
      </c>
      <c r="AI125" s="408">
        <f t="shared" si="98"/>
        <v>0</v>
      </c>
      <c r="AJ125" s="408">
        <f t="shared" si="98"/>
        <v>0</v>
      </c>
      <c r="AK125" s="408">
        <f t="shared" si="98"/>
        <v>0</v>
      </c>
      <c r="AL125" s="408">
        <f t="shared" si="98"/>
        <v>0</v>
      </c>
      <c r="AM125" s="408">
        <f t="shared" si="98"/>
        <v>0</v>
      </c>
      <c r="AN125" s="408">
        <f t="shared" si="98"/>
        <v>0</v>
      </c>
      <c r="AO125" s="408">
        <f t="shared" si="98"/>
        <v>0</v>
      </c>
      <c r="AP125" s="408">
        <f t="shared" si="99"/>
        <v>0</v>
      </c>
      <c r="AQ125" s="408">
        <f t="shared" si="99"/>
        <v>0</v>
      </c>
      <c r="AR125" s="408">
        <f t="shared" si="99"/>
        <v>0</v>
      </c>
      <c r="AS125" s="408">
        <f t="shared" si="99"/>
        <v>0</v>
      </c>
      <c r="AT125" s="408">
        <f t="shared" si="99"/>
        <v>0</v>
      </c>
      <c r="AU125" s="408">
        <f t="shared" si="99"/>
        <v>0</v>
      </c>
      <c r="AV125" s="408">
        <f t="shared" si="99"/>
        <v>0</v>
      </c>
      <c r="AW125" s="408">
        <f t="shared" si="99"/>
        <v>0</v>
      </c>
      <c r="AX125" s="408">
        <f t="shared" si="99"/>
        <v>0</v>
      </c>
      <c r="AY125" s="408">
        <f t="shared" si="99"/>
        <v>0</v>
      </c>
      <c r="AZ125" s="408">
        <f t="shared" si="100"/>
        <v>0</v>
      </c>
      <c r="BA125" s="408">
        <f t="shared" si="100"/>
        <v>0</v>
      </c>
      <c r="BB125" s="408">
        <f t="shared" si="100"/>
        <v>0</v>
      </c>
      <c r="BC125" s="408">
        <f t="shared" si="100"/>
        <v>0</v>
      </c>
      <c r="BD125" s="408">
        <f t="shared" si="100"/>
        <v>0</v>
      </c>
      <c r="BE125" s="408">
        <f t="shared" si="100"/>
        <v>0</v>
      </c>
      <c r="BF125" s="408">
        <f t="shared" si="100"/>
        <v>0</v>
      </c>
      <c r="BG125" s="408">
        <f t="shared" si="100"/>
        <v>0</v>
      </c>
      <c r="BH125" s="408">
        <f t="shared" si="100"/>
        <v>0</v>
      </c>
      <c r="BI125" s="408">
        <f t="shared" si="100"/>
        <v>0</v>
      </c>
      <c r="BJ125" s="408">
        <f t="shared" si="101"/>
        <v>0</v>
      </c>
      <c r="BK125" s="408">
        <f t="shared" si="101"/>
        <v>0</v>
      </c>
      <c r="BL125" s="408">
        <f t="shared" si="101"/>
        <v>0</v>
      </c>
      <c r="BM125" s="408">
        <f t="shared" si="101"/>
        <v>0</v>
      </c>
      <c r="BN125" s="408">
        <f t="shared" si="101"/>
        <v>0</v>
      </c>
      <c r="BO125" s="408">
        <f t="shared" si="101"/>
        <v>0</v>
      </c>
      <c r="BP125" s="408">
        <f t="shared" si="101"/>
        <v>0</v>
      </c>
      <c r="BQ125" s="408">
        <f t="shared" si="101"/>
        <v>0</v>
      </c>
      <c r="BR125" s="408">
        <f t="shared" si="101"/>
        <v>0</v>
      </c>
      <c r="BS125" s="408">
        <f t="shared" si="101"/>
        <v>0</v>
      </c>
      <c r="BT125" s="408">
        <f t="shared" si="102"/>
        <v>0</v>
      </c>
      <c r="BU125" s="408">
        <f t="shared" si="102"/>
        <v>0</v>
      </c>
      <c r="BV125" s="408">
        <f t="shared" si="102"/>
        <v>0</v>
      </c>
      <c r="BW125" s="408">
        <f t="shared" si="102"/>
        <v>0</v>
      </c>
      <c r="BX125" s="408">
        <f t="shared" si="102"/>
        <v>0</v>
      </c>
      <c r="BY125" s="408">
        <f t="shared" si="102"/>
        <v>0</v>
      </c>
      <c r="BZ125" s="408">
        <f t="shared" si="102"/>
        <v>0</v>
      </c>
      <c r="CA125" s="408">
        <f t="shared" si="102"/>
        <v>0</v>
      </c>
    </row>
    <row r="126" spans="3:79" outlineLevel="1">
      <c r="G126" s="359"/>
      <c r="M126" s="359"/>
      <c r="AE126" s="359"/>
    </row>
    <row r="127" spans="3:79" s="357" customFormat="1" ht="15" outlineLevel="1">
      <c r="C127" s="360" t="s">
        <v>421</v>
      </c>
      <c r="D127" s="365"/>
      <c r="E127" s="366"/>
      <c r="F127" s="50"/>
      <c r="G127" s="359"/>
      <c r="H127" s="364">
        <f>SUM(H25,H27,H77)</f>
        <v>0</v>
      </c>
      <c r="I127" s="364">
        <f>SUM(I25,I27,I77)</f>
        <v>200053.33333333331</v>
      </c>
      <c r="J127" s="364">
        <f>SUM(J25,J27,J77)</f>
        <v>878640</v>
      </c>
      <c r="K127" s="364">
        <f>SUM(K25,K27,K77)</f>
        <v>878640</v>
      </c>
      <c r="L127" s="358"/>
      <c r="M127" s="359"/>
      <c r="N127" s="364">
        <f t="shared" ref="N127:AC127" si="103">SUM(N25,N27,N77)</f>
        <v>0</v>
      </c>
      <c r="O127" s="364">
        <f t="shared" si="103"/>
        <v>0</v>
      </c>
      <c r="P127" s="364">
        <f t="shared" si="103"/>
        <v>0</v>
      </c>
      <c r="Q127" s="364">
        <f t="shared" si="103"/>
        <v>0</v>
      </c>
      <c r="R127" s="364">
        <f t="shared" si="103"/>
        <v>0</v>
      </c>
      <c r="S127" s="364">
        <f t="shared" si="103"/>
        <v>0</v>
      </c>
      <c r="T127" s="364">
        <f t="shared" si="103"/>
        <v>19983.333333333332</v>
      </c>
      <c r="U127" s="364">
        <f t="shared" si="103"/>
        <v>180070.00000000003</v>
      </c>
      <c r="V127" s="364">
        <f t="shared" si="103"/>
        <v>219660</v>
      </c>
      <c r="W127" s="364">
        <f t="shared" si="103"/>
        <v>219660</v>
      </c>
      <c r="X127" s="364">
        <f t="shared" si="103"/>
        <v>219660</v>
      </c>
      <c r="Y127" s="364">
        <f t="shared" si="103"/>
        <v>219660</v>
      </c>
      <c r="Z127" s="364">
        <f t="shared" si="103"/>
        <v>219660</v>
      </c>
      <c r="AA127" s="364">
        <f t="shared" si="103"/>
        <v>219660</v>
      </c>
      <c r="AB127" s="364">
        <f t="shared" si="103"/>
        <v>219660</v>
      </c>
      <c r="AC127" s="364">
        <f t="shared" si="103"/>
        <v>219660</v>
      </c>
      <c r="AD127" s="358"/>
      <c r="AE127" s="359"/>
      <c r="AF127" s="364">
        <f t="shared" ref="AF127:CA127" si="104">SUM(AF25,AF27,AF77)</f>
        <v>0</v>
      </c>
      <c r="AG127" s="364">
        <f t="shared" si="104"/>
        <v>0</v>
      </c>
      <c r="AH127" s="364">
        <f t="shared" si="104"/>
        <v>0</v>
      </c>
      <c r="AI127" s="364">
        <f t="shared" si="104"/>
        <v>0</v>
      </c>
      <c r="AJ127" s="364">
        <f t="shared" si="104"/>
        <v>0</v>
      </c>
      <c r="AK127" s="364">
        <f t="shared" si="104"/>
        <v>0</v>
      </c>
      <c r="AL127" s="364">
        <f t="shared" si="104"/>
        <v>0</v>
      </c>
      <c r="AM127" s="364">
        <f t="shared" si="104"/>
        <v>0</v>
      </c>
      <c r="AN127" s="364">
        <f t="shared" si="104"/>
        <v>0</v>
      </c>
      <c r="AO127" s="364">
        <f t="shared" si="104"/>
        <v>0</v>
      </c>
      <c r="AP127" s="364">
        <f t="shared" si="104"/>
        <v>0</v>
      </c>
      <c r="AQ127" s="364">
        <f t="shared" si="104"/>
        <v>0</v>
      </c>
      <c r="AR127" s="364">
        <f t="shared" si="104"/>
        <v>0</v>
      </c>
      <c r="AS127" s="364">
        <f t="shared" si="104"/>
        <v>0</v>
      </c>
      <c r="AT127" s="364">
        <f t="shared" si="104"/>
        <v>0</v>
      </c>
      <c r="AU127" s="364">
        <f t="shared" si="104"/>
        <v>0</v>
      </c>
      <c r="AV127" s="364">
        <f t="shared" si="104"/>
        <v>0</v>
      </c>
      <c r="AW127" s="364">
        <f t="shared" si="104"/>
        <v>0</v>
      </c>
      <c r="AX127" s="364">
        <f t="shared" si="104"/>
        <v>0</v>
      </c>
      <c r="AY127" s="364">
        <f t="shared" si="104"/>
        <v>8233.3333333333321</v>
      </c>
      <c r="AZ127" s="364">
        <f t="shared" si="104"/>
        <v>11750</v>
      </c>
      <c r="BA127" s="364">
        <f t="shared" si="104"/>
        <v>43289.999999999993</v>
      </c>
      <c r="BB127" s="364">
        <f t="shared" si="104"/>
        <v>63560</v>
      </c>
      <c r="BC127" s="364">
        <f t="shared" si="104"/>
        <v>73220</v>
      </c>
      <c r="BD127" s="364">
        <f t="shared" si="104"/>
        <v>73220</v>
      </c>
      <c r="BE127" s="364">
        <f t="shared" si="104"/>
        <v>73220</v>
      </c>
      <c r="BF127" s="364">
        <f t="shared" si="104"/>
        <v>73220</v>
      </c>
      <c r="BG127" s="364">
        <f t="shared" si="104"/>
        <v>73220</v>
      </c>
      <c r="BH127" s="364">
        <f t="shared" si="104"/>
        <v>73220</v>
      </c>
      <c r="BI127" s="364">
        <f t="shared" si="104"/>
        <v>73220</v>
      </c>
      <c r="BJ127" s="364">
        <f t="shared" si="104"/>
        <v>73220</v>
      </c>
      <c r="BK127" s="364">
        <f t="shared" si="104"/>
        <v>73220</v>
      </c>
      <c r="BL127" s="364">
        <f t="shared" si="104"/>
        <v>73220</v>
      </c>
      <c r="BM127" s="364">
        <f t="shared" si="104"/>
        <v>73220</v>
      </c>
      <c r="BN127" s="364">
        <f t="shared" si="104"/>
        <v>73220</v>
      </c>
      <c r="BO127" s="364">
        <f t="shared" si="104"/>
        <v>73220</v>
      </c>
      <c r="BP127" s="364">
        <f t="shared" si="104"/>
        <v>73220</v>
      </c>
      <c r="BQ127" s="364">
        <f t="shared" si="104"/>
        <v>73220</v>
      </c>
      <c r="BR127" s="364">
        <f t="shared" si="104"/>
        <v>73220</v>
      </c>
      <c r="BS127" s="364">
        <f t="shared" si="104"/>
        <v>73220</v>
      </c>
      <c r="BT127" s="364">
        <f t="shared" si="104"/>
        <v>73220</v>
      </c>
      <c r="BU127" s="364">
        <f t="shared" si="104"/>
        <v>73220</v>
      </c>
      <c r="BV127" s="364">
        <f t="shared" si="104"/>
        <v>73220</v>
      </c>
      <c r="BW127" s="364">
        <f t="shared" si="104"/>
        <v>73220</v>
      </c>
      <c r="BX127" s="364">
        <f t="shared" si="104"/>
        <v>73220</v>
      </c>
      <c r="BY127" s="364">
        <f t="shared" si="104"/>
        <v>73220</v>
      </c>
      <c r="BZ127" s="364">
        <f t="shared" si="104"/>
        <v>73220</v>
      </c>
      <c r="CA127" s="364">
        <f t="shared" si="104"/>
        <v>73220</v>
      </c>
    </row>
  </sheetData>
  <mergeCells count="3">
    <mergeCell ref="G2:G8"/>
    <mergeCell ref="M2:M8"/>
    <mergeCell ref="AE2:AE8"/>
  </mergeCells>
  <pageMargins left="0.7" right="0.7" top="0.75" bottom="0.75" header="0.3" footer="0.3"/>
  <pageSetup orientation="portrait" r:id="rId1"/>
  <customProperties>
    <customPr name="sourceTemplate"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03AB9-AE81-1D4F-9939-21B97F8F6D05}">
  <sheetPr>
    <tabColor theme="5" tint="0.79998168889431442"/>
    <outlinePr summaryBelow="0" summaryRight="0"/>
  </sheetPr>
  <dimension ref="A1:CA127"/>
  <sheetViews>
    <sheetView showGridLines="0" zoomScaleNormal="100" workbookViewId="0">
      <pane xSplit="6" ySplit="8" topLeftCell="AJ9" activePane="bottomRight" state="frozen"/>
      <selection pane="topRight" activeCell="AH28" sqref="AH28"/>
      <selection pane="bottomLeft" activeCell="AH28" sqref="AH28"/>
      <selection pane="bottomRight" activeCell="AH28" sqref="AH28"/>
    </sheetView>
  </sheetViews>
  <sheetFormatPr defaultColWidth="9.140625" defaultRowHeight="18.75" outlineLevelRow="2" outlineLevelCol="2"/>
  <cols>
    <col min="1" max="1" width="2.42578125" style="50" customWidth="1"/>
    <col min="2" max="2" width="2.42578125" style="356" customWidth="1"/>
    <col min="3" max="3" width="2.42578125" style="355" customWidth="1"/>
    <col min="4" max="4" width="30.28515625" style="50" bestFit="1" customWidth="1"/>
    <col min="5" max="5" width="16.28515625" style="50" bestFit="1" customWidth="1"/>
    <col min="6" max="6" width="2.7109375" style="50" customWidth="1"/>
    <col min="7" max="7" width="2.7109375" style="55" customWidth="1" collapsed="1"/>
    <col min="8" max="8" width="8.7109375" style="50" hidden="1" customWidth="1" outlineLevel="2"/>
    <col min="9" max="10" width="9.7109375" style="50" hidden="1" customWidth="1" outlineLevel="2"/>
    <col min="11" max="11" width="11.140625" style="50" hidden="1" customWidth="1" outlineLevel="2"/>
    <col min="12" max="12" width="2.7109375" style="50" customWidth="1"/>
    <col min="13" max="13" width="2.7109375" style="55" customWidth="1" collapsed="1"/>
    <col min="14" max="16" width="7.7109375" style="50" hidden="1" customWidth="1" outlineLevel="2"/>
    <col min="17" max="19" width="8.7109375" style="50" hidden="1" customWidth="1" outlineLevel="2"/>
    <col min="20" max="29" width="9.7109375" style="50" hidden="1" customWidth="1" outlineLevel="2"/>
    <col min="30" max="30" width="2.7109375" style="50" customWidth="1"/>
    <col min="31" max="31" width="2.7109375" style="55" customWidth="1"/>
    <col min="32" max="40" width="7.140625" style="50" bestFit="1" customWidth="1" outlineLevel="1"/>
    <col min="41" max="42" width="8.140625" style="50" bestFit="1" customWidth="1" outlineLevel="1"/>
    <col min="43" max="65" width="8.7109375" style="50" bestFit="1" customWidth="1" outlineLevel="1"/>
    <col min="66" max="79" width="9.7109375" style="50" bestFit="1" customWidth="1" outlineLevel="1"/>
    <col min="80" max="16384" width="9.140625" style="50"/>
  </cols>
  <sheetData>
    <row r="1" spans="1:79" ht="21" customHeight="1">
      <c r="A1" s="193" t="str">
        <f>Company_Name</f>
        <v>Model Wiz Demo *</v>
      </c>
      <c r="E1" s="357"/>
    </row>
    <row r="2" spans="1:79" ht="21" customHeight="1">
      <c r="A2" s="148" t="str" cm="1">
        <f t="array" aca="1" ref="A2" ca="1">IFERROR(MID(CELL("filename",A1),FIND("]",CELL("filename",A1))+1,LEN(CELL("filename",A1))),"")</f>
        <v>Revenue - Pipeline</v>
      </c>
      <c r="G2" s="853" t="s">
        <v>159</v>
      </c>
      <c r="H2" s="148"/>
      <c r="I2" s="148"/>
      <c r="J2" s="148"/>
      <c r="K2" s="148"/>
      <c r="L2" s="148"/>
      <c r="M2" s="853" t="s">
        <v>160</v>
      </c>
      <c r="N2" s="403"/>
      <c r="O2" s="148"/>
      <c r="P2" s="148"/>
      <c r="Q2" s="148"/>
      <c r="R2" s="148"/>
      <c r="S2" s="148"/>
      <c r="T2" s="148"/>
      <c r="U2" s="148"/>
      <c r="V2" s="148"/>
      <c r="W2" s="148"/>
      <c r="X2" s="148"/>
      <c r="Y2" s="148"/>
      <c r="Z2" s="148"/>
      <c r="AA2" s="148"/>
      <c r="AB2" s="148"/>
      <c r="AC2" s="148"/>
      <c r="AD2" s="407"/>
      <c r="AE2" s="853" t="s">
        <v>161</v>
      </c>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row>
    <row r="3" spans="1:79" ht="21" customHeight="1" collapsed="1">
      <c r="A3" s="192" t="str">
        <f>Error_Check</f>
        <v>Model Functioning Properly</v>
      </c>
      <c r="G3" s="853"/>
      <c r="H3" s="405" t="str">
        <f>IF(H$5&lt;=_xlfn.SINGLE(LatestMonthOfActuals),"Actual","Projected")</f>
        <v>Actual</v>
      </c>
      <c r="I3" s="405" t="str">
        <f>IF(I$5&lt;=_xlfn.SINGLE(LatestMonthOfActuals),"Actual","Projected")</f>
        <v>Actual</v>
      </c>
      <c r="J3" s="405" t="str">
        <f>IF(J$5&lt;=_xlfn.SINGLE(LatestMonthOfActuals),"Actual","Projected")</f>
        <v>Projected</v>
      </c>
      <c r="K3" s="405" t="str">
        <f>IF(K$5&lt;=_xlfn.SINGLE(LatestMonthOfActuals),"Actual","Projected")</f>
        <v>Projected</v>
      </c>
      <c r="L3" s="148"/>
      <c r="M3" s="853"/>
      <c r="N3" s="405" t="str">
        <f t="shared" ref="N3:AC3" si="0">IF(N$5&lt;=_xlfn.SINGLE(LatestMonthOfActuals),"Actual","Projected")</f>
        <v>Actual</v>
      </c>
      <c r="O3" s="405" t="str">
        <f t="shared" si="0"/>
        <v>Actual</v>
      </c>
      <c r="P3" s="405" t="str">
        <f t="shared" si="0"/>
        <v>Actual</v>
      </c>
      <c r="Q3" s="405" t="str">
        <f t="shared" si="0"/>
        <v>Actual</v>
      </c>
      <c r="R3" s="405" t="str">
        <f t="shared" si="0"/>
        <v>Actual</v>
      </c>
      <c r="S3" s="405" t="str">
        <f t="shared" si="0"/>
        <v>Actual</v>
      </c>
      <c r="T3" s="405" t="str">
        <f t="shared" si="0"/>
        <v>Actual</v>
      </c>
      <c r="U3" s="405" t="str">
        <f t="shared" si="0"/>
        <v>Actual</v>
      </c>
      <c r="V3" s="405" t="str">
        <f t="shared" si="0"/>
        <v>Actual</v>
      </c>
      <c r="W3" s="405" t="str">
        <f t="shared" si="0"/>
        <v>Actual</v>
      </c>
      <c r="X3" s="405" t="str">
        <f t="shared" si="0"/>
        <v>Actual</v>
      </c>
      <c r="Y3" s="405" t="str">
        <f t="shared" si="0"/>
        <v>Projected</v>
      </c>
      <c r="Z3" s="405" t="str">
        <f t="shared" si="0"/>
        <v>Projected</v>
      </c>
      <c r="AA3" s="405" t="str">
        <f t="shared" si="0"/>
        <v>Projected</v>
      </c>
      <c r="AB3" s="405" t="str">
        <f t="shared" si="0"/>
        <v>Projected</v>
      </c>
      <c r="AC3" s="405" t="str">
        <f t="shared" si="0"/>
        <v>Projected</v>
      </c>
      <c r="AD3" s="406"/>
      <c r="AE3" s="853"/>
      <c r="AF3" s="405" t="str">
        <f t="shared" ref="AF3:CA3" si="1">IF(AF$5&lt;=_xlfn.SINGLE(LatestMonthOfActuals),"Actual","Projected")</f>
        <v>Actual</v>
      </c>
      <c r="AG3" s="405" t="str">
        <f t="shared" si="1"/>
        <v>Actual</v>
      </c>
      <c r="AH3" s="405" t="str">
        <f t="shared" si="1"/>
        <v>Actual</v>
      </c>
      <c r="AI3" s="405" t="str">
        <f t="shared" si="1"/>
        <v>Actual</v>
      </c>
      <c r="AJ3" s="405" t="str">
        <f t="shared" si="1"/>
        <v>Actual</v>
      </c>
      <c r="AK3" s="405" t="str">
        <f t="shared" si="1"/>
        <v>Actual</v>
      </c>
      <c r="AL3" s="405" t="str">
        <f t="shared" si="1"/>
        <v>Actual</v>
      </c>
      <c r="AM3" s="405" t="str">
        <f t="shared" si="1"/>
        <v>Actual</v>
      </c>
      <c r="AN3" s="405" t="str">
        <f t="shared" si="1"/>
        <v>Actual</v>
      </c>
      <c r="AO3" s="405" t="str">
        <f t="shared" si="1"/>
        <v>Actual</v>
      </c>
      <c r="AP3" s="405" t="str">
        <f t="shared" si="1"/>
        <v>Actual</v>
      </c>
      <c r="AQ3" s="405" t="str">
        <f t="shared" si="1"/>
        <v>Actual</v>
      </c>
      <c r="AR3" s="405" t="str">
        <f t="shared" si="1"/>
        <v>Actual</v>
      </c>
      <c r="AS3" s="405" t="str">
        <f t="shared" si="1"/>
        <v>Actual</v>
      </c>
      <c r="AT3" s="405" t="str">
        <f t="shared" si="1"/>
        <v>Actual</v>
      </c>
      <c r="AU3" s="405" t="str">
        <f t="shared" si="1"/>
        <v>Actual</v>
      </c>
      <c r="AV3" s="405" t="str">
        <f t="shared" si="1"/>
        <v>Actual</v>
      </c>
      <c r="AW3" s="405" t="str">
        <f t="shared" si="1"/>
        <v>Actual</v>
      </c>
      <c r="AX3" s="405" t="str">
        <f t="shared" si="1"/>
        <v>Actual</v>
      </c>
      <c r="AY3" s="405" t="str">
        <f t="shared" si="1"/>
        <v>Actual</v>
      </c>
      <c r="AZ3" s="405" t="str">
        <f t="shared" si="1"/>
        <v>Actual</v>
      </c>
      <c r="BA3" s="405" t="str">
        <f t="shared" si="1"/>
        <v>Actual</v>
      </c>
      <c r="BB3" s="405" t="str">
        <f t="shared" si="1"/>
        <v>Actual</v>
      </c>
      <c r="BC3" s="405" t="str">
        <f t="shared" si="1"/>
        <v>Actual</v>
      </c>
      <c r="BD3" s="405" t="str">
        <f t="shared" si="1"/>
        <v>Actual</v>
      </c>
      <c r="BE3" s="405" t="str">
        <f t="shared" si="1"/>
        <v>Actual</v>
      </c>
      <c r="BF3" s="405" t="str">
        <f t="shared" si="1"/>
        <v>Actual</v>
      </c>
      <c r="BG3" s="405" t="str">
        <f t="shared" si="1"/>
        <v>Actual</v>
      </c>
      <c r="BH3" s="405" t="str">
        <f t="shared" si="1"/>
        <v>Actual</v>
      </c>
      <c r="BI3" s="405" t="str">
        <f t="shared" si="1"/>
        <v>Actual</v>
      </c>
      <c r="BJ3" s="405" t="str">
        <f t="shared" si="1"/>
        <v>Actual</v>
      </c>
      <c r="BK3" s="405" t="str">
        <f t="shared" si="1"/>
        <v>Actual</v>
      </c>
      <c r="BL3" s="405" t="str">
        <f t="shared" si="1"/>
        <v>Actual</v>
      </c>
      <c r="BM3" s="405" t="str">
        <f t="shared" si="1"/>
        <v>Actual</v>
      </c>
      <c r="BN3" s="405" t="str">
        <f t="shared" si="1"/>
        <v>Actual</v>
      </c>
      <c r="BO3" s="405" t="str">
        <f t="shared" si="1"/>
        <v>Projected</v>
      </c>
      <c r="BP3" s="405" t="str">
        <f t="shared" si="1"/>
        <v>Projected</v>
      </c>
      <c r="BQ3" s="405" t="str">
        <f t="shared" si="1"/>
        <v>Projected</v>
      </c>
      <c r="BR3" s="405" t="str">
        <f t="shared" si="1"/>
        <v>Projected</v>
      </c>
      <c r="BS3" s="405" t="str">
        <f t="shared" si="1"/>
        <v>Projected</v>
      </c>
      <c r="BT3" s="405" t="str">
        <f t="shared" si="1"/>
        <v>Projected</v>
      </c>
      <c r="BU3" s="405" t="str">
        <f t="shared" si="1"/>
        <v>Projected</v>
      </c>
      <c r="BV3" s="405" t="str">
        <f t="shared" si="1"/>
        <v>Projected</v>
      </c>
      <c r="BW3" s="405" t="str">
        <f t="shared" si="1"/>
        <v>Projected</v>
      </c>
      <c r="BX3" s="405" t="str">
        <f t="shared" si="1"/>
        <v>Projected</v>
      </c>
      <c r="BY3" s="405" t="str">
        <f t="shared" si="1"/>
        <v>Projected</v>
      </c>
      <c r="BZ3" s="405" t="str">
        <f t="shared" si="1"/>
        <v>Projected</v>
      </c>
      <c r="CA3" s="405" t="str">
        <f t="shared" si="1"/>
        <v>Projected</v>
      </c>
    </row>
    <row r="4" spans="1:79" ht="18" hidden="1" customHeight="1" outlineLevel="2">
      <c r="G4" s="853"/>
      <c r="H4" s="403">
        <f>Start_Date</f>
        <v>44927</v>
      </c>
      <c r="I4" s="403">
        <f>H5+1</f>
        <v>45292</v>
      </c>
      <c r="J4" s="403">
        <f>I5+1</f>
        <v>45658</v>
      </c>
      <c r="K4" s="403">
        <f>J5+1</f>
        <v>46023</v>
      </c>
      <c r="L4" s="148"/>
      <c r="M4" s="853"/>
      <c r="N4" s="403">
        <f>Start_Date</f>
        <v>44927</v>
      </c>
      <c r="O4" s="402">
        <f t="shared" ref="O4:AC4" si="2">N5+1</f>
        <v>45017</v>
      </c>
      <c r="P4" s="402">
        <f t="shared" si="2"/>
        <v>45108</v>
      </c>
      <c r="Q4" s="402">
        <f t="shared" si="2"/>
        <v>45200</v>
      </c>
      <c r="R4" s="402">
        <f t="shared" si="2"/>
        <v>45292</v>
      </c>
      <c r="S4" s="402">
        <f t="shared" si="2"/>
        <v>45383</v>
      </c>
      <c r="T4" s="402">
        <f t="shared" si="2"/>
        <v>45474</v>
      </c>
      <c r="U4" s="402">
        <f t="shared" si="2"/>
        <v>45566</v>
      </c>
      <c r="V4" s="402">
        <f t="shared" si="2"/>
        <v>45658</v>
      </c>
      <c r="W4" s="402">
        <f t="shared" si="2"/>
        <v>45748</v>
      </c>
      <c r="X4" s="402">
        <f t="shared" si="2"/>
        <v>45839</v>
      </c>
      <c r="Y4" s="402">
        <f t="shared" si="2"/>
        <v>45931</v>
      </c>
      <c r="Z4" s="402">
        <f t="shared" si="2"/>
        <v>46023</v>
      </c>
      <c r="AA4" s="402">
        <f t="shared" si="2"/>
        <v>46113</v>
      </c>
      <c r="AB4" s="402">
        <f t="shared" si="2"/>
        <v>46204</v>
      </c>
      <c r="AC4" s="402">
        <f t="shared" si="2"/>
        <v>46296</v>
      </c>
      <c r="AD4" s="404"/>
      <c r="AE4" s="853"/>
      <c r="AF4" s="403">
        <f>Start_Date</f>
        <v>44927</v>
      </c>
      <c r="AG4" s="403">
        <f t="shared" ref="AG4:CA4" si="3">EOMONTH(AG5,-1)+1</f>
        <v>44958</v>
      </c>
      <c r="AH4" s="403">
        <f t="shared" si="3"/>
        <v>44986</v>
      </c>
      <c r="AI4" s="403">
        <f t="shared" si="3"/>
        <v>45017</v>
      </c>
      <c r="AJ4" s="403">
        <f t="shared" si="3"/>
        <v>45047</v>
      </c>
      <c r="AK4" s="403">
        <f t="shared" si="3"/>
        <v>45078</v>
      </c>
      <c r="AL4" s="403">
        <f t="shared" si="3"/>
        <v>45108</v>
      </c>
      <c r="AM4" s="403">
        <f t="shared" si="3"/>
        <v>45139</v>
      </c>
      <c r="AN4" s="403">
        <f t="shared" si="3"/>
        <v>45170</v>
      </c>
      <c r="AO4" s="403">
        <f t="shared" si="3"/>
        <v>45200</v>
      </c>
      <c r="AP4" s="403">
        <f t="shared" si="3"/>
        <v>45231</v>
      </c>
      <c r="AQ4" s="403">
        <f t="shared" si="3"/>
        <v>45261</v>
      </c>
      <c r="AR4" s="403">
        <f t="shared" si="3"/>
        <v>45292</v>
      </c>
      <c r="AS4" s="403">
        <f t="shared" si="3"/>
        <v>45323</v>
      </c>
      <c r="AT4" s="403">
        <f t="shared" si="3"/>
        <v>45352</v>
      </c>
      <c r="AU4" s="403">
        <f t="shared" si="3"/>
        <v>45383</v>
      </c>
      <c r="AV4" s="403">
        <f t="shared" si="3"/>
        <v>45413</v>
      </c>
      <c r="AW4" s="403">
        <f t="shared" si="3"/>
        <v>45444</v>
      </c>
      <c r="AX4" s="403">
        <f t="shared" si="3"/>
        <v>45474</v>
      </c>
      <c r="AY4" s="403">
        <f t="shared" si="3"/>
        <v>45505</v>
      </c>
      <c r="AZ4" s="403">
        <f t="shared" si="3"/>
        <v>45536</v>
      </c>
      <c r="BA4" s="403">
        <f t="shared" si="3"/>
        <v>45566</v>
      </c>
      <c r="BB4" s="403">
        <f t="shared" si="3"/>
        <v>45597</v>
      </c>
      <c r="BC4" s="403">
        <f t="shared" si="3"/>
        <v>45627</v>
      </c>
      <c r="BD4" s="403">
        <f t="shared" si="3"/>
        <v>45658</v>
      </c>
      <c r="BE4" s="403">
        <f t="shared" si="3"/>
        <v>45689</v>
      </c>
      <c r="BF4" s="403">
        <f t="shared" si="3"/>
        <v>45717</v>
      </c>
      <c r="BG4" s="403">
        <f t="shared" si="3"/>
        <v>45748</v>
      </c>
      <c r="BH4" s="403">
        <f t="shared" si="3"/>
        <v>45778</v>
      </c>
      <c r="BI4" s="403">
        <f t="shared" si="3"/>
        <v>45809</v>
      </c>
      <c r="BJ4" s="403">
        <f t="shared" si="3"/>
        <v>45839</v>
      </c>
      <c r="BK4" s="403">
        <f t="shared" si="3"/>
        <v>45870</v>
      </c>
      <c r="BL4" s="403">
        <f t="shared" si="3"/>
        <v>45901</v>
      </c>
      <c r="BM4" s="403">
        <f t="shared" si="3"/>
        <v>45931</v>
      </c>
      <c r="BN4" s="403">
        <f t="shared" si="3"/>
        <v>45962</v>
      </c>
      <c r="BO4" s="403">
        <f t="shared" si="3"/>
        <v>45992</v>
      </c>
      <c r="BP4" s="403">
        <f t="shared" si="3"/>
        <v>46023</v>
      </c>
      <c r="BQ4" s="403">
        <f t="shared" si="3"/>
        <v>46054</v>
      </c>
      <c r="BR4" s="403">
        <f t="shared" si="3"/>
        <v>46082</v>
      </c>
      <c r="BS4" s="403">
        <f t="shared" si="3"/>
        <v>46113</v>
      </c>
      <c r="BT4" s="403">
        <f t="shared" si="3"/>
        <v>46143</v>
      </c>
      <c r="BU4" s="403">
        <f t="shared" si="3"/>
        <v>46174</v>
      </c>
      <c r="BV4" s="403">
        <f t="shared" si="3"/>
        <v>46204</v>
      </c>
      <c r="BW4" s="403">
        <f t="shared" si="3"/>
        <v>46235</v>
      </c>
      <c r="BX4" s="403">
        <f t="shared" si="3"/>
        <v>46266</v>
      </c>
      <c r="BY4" s="403">
        <f t="shared" si="3"/>
        <v>46296</v>
      </c>
      <c r="BZ4" s="403">
        <f t="shared" si="3"/>
        <v>46327</v>
      </c>
      <c r="CA4" s="403">
        <f t="shared" si="3"/>
        <v>46357</v>
      </c>
    </row>
    <row r="5" spans="1:79" ht="21" hidden="1" customHeight="1" outlineLevel="2">
      <c r="G5" s="853"/>
      <c r="H5" s="403">
        <f>EOMONTH(DATE(YEAR(Start_Date),1,1),Fiscal_Offset+IF(N6&lt;YEAR(Start_Date),-1,11))</f>
        <v>45291</v>
      </c>
      <c r="I5" s="402">
        <f>MIN(EOMONTH(H5,12),End_Date)</f>
        <v>45657</v>
      </c>
      <c r="J5" s="402">
        <f>MIN(EOMONTH(I5,12),End_Date)</f>
        <v>46022</v>
      </c>
      <c r="K5" s="402">
        <f>MIN(EOMONTH(J5,12),End_Date)</f>
        <v>46387</v>
      </c>
      <c r="L5" s="148"/>
      <c r="M5" s="853"/>
      <c r="N5" s="402">
        <f>EOMONTH(DATE(YEAR(Start_Date),1,1),MOD(ROUNDUP(MONTH(EOMONTH(Start_Date,-Fiscal_Offset))/3,0)*3+Fiscal_Offset-1,12))</f>
        <v>45016</v>
      </c>
      <c r="O5" s="402">
        <f t="shared" ref="O5:AC5" si="4">MIN(EOMONTH(O$4,2),End_Date)</f>
        <v>45107</v>
      </c>
      <c r="P5" s="402">
        <f t="shared" si="4"/>
        <v>45199</v>
      </c>
      <c r="Q5" s="402">
        <f t="shared" si="4"/>
        <v>45291</v>
      </c>
      <c r="R5" s="402">
        <f t="shared" si="4"/>
        <v>45382</v>
      </c>
      <c r="S5" s="402">
        <f t="shared" si="4"/>
        <v>45473</v>
      </c>
      <c r="T5" s="402">
        <f t="shared" si="4"/>
        <v>45565</v>
      </c>
      <c r="U5" s="402">
        <f t="shared" si="4"/>
        <v>45657</v>
      </c>
      <c r="V5" s="402">
        <f t="shared" si="4"/>
        <v>45747</v>
      </c>
      <c r="W5" s="402">
        <f t="shared" si="4"/>
        <v>45838</v>
      </c>
      <c r="X5" s="402">
        <f t="shared" si="4"/>
        <v>45930</v>
      </c>
      <c r="Y5" s="402">
        <f t="shared" si="4"/>
        <v>46022</v>
      </c>
      <c r="Z5" s="402">
        <f t="shared" si="4"/>
        <v>46112</v>
      </c>
      <c r="AA5" s="402">
        <f t="shared" si="4"/>
        <v>46203</v>
      </c>
      <c r="AB5" s="402">
        <f t="shared" si="4"/>
        <v>46295</v>
      </c>
      <c r="AC5" s="402">
        <f t="shared" si="4"/>
        <v>46387</v>
      </c>
      <c r="AD5" s="404"/>
      <c r="AE5" s="853"/>
      <c r="AF5" s="403" cm="1">
        <f t="array" ref="AF5">EOM_Start_Date</f>
        <v>44957</v>
      </c>
      <c r="AG5" s="402">
        <f t="shared" ref="AG5:CA5" si="5">EOMONTH(AF5,1)</f>
        <v>44985</v>
      </c>
      <c r="AH5" s="402">
        <f t="shared" si="5"/>
        <v>45016</v>
      </c>
      <c r="AI5" s="402">
        <f t="shared" si="5"/>
        <v>45046</v>
      </c>
      <c r="AJ5" s="402">
        <f t="shared" si="5"/>
        <v>45077</v>
      </c>
      <c r="AK5" s="402">
        <f t="shared" si="5"/>
        <v>45107</v>
      </c>
      <c r="AL5" s="402">
        <f t="shared" si="5"/>
        <v>45138</v>
      </c>
      <c r="AM5" s="402">
        <f t="shared" si="5"/>
        <v>45169</v>
      </c>
      <c r="AN5" s="402">
        <f t="shared" si="5"/>
        <v>45199</v>
      </c>
      <c r="AO5" s="402">
        <f t="shared" si="5"/>
        <v>45230</v>
      </c>
      <c r="AP5" s="402">
        <f t="shared" si="5"/>
        <v>45260</v>
      </c>
      <c r="AQ5" s="402">
        <f t="shared" si="5"/>
        <v>45291</v>
      </c>
      <c r="AR5" s="402">
        <f t="shared" si="5"/>
        <v>45322</v>
      </c>
      <c r="AS5" s="402">
        <f t="shared" si="5"/>
        <v>45351</v>
      </c>
      <c r="AT5" s="402">
        <f t="shared" si="5"/>
        <v>45382</v>
      </c>
      <c r="AU5" s="402">
        <f t="shared" si="5"/>
        <v>45412</v>
      </c>
      <c r="AV5" s="402">
        <f t="shared" si="5"/>
        <v>45443</v>
      </c>
      <c r="AW5" s="402">
        <f t="shared" si="5"/>
        <v>45473</v>
      </c>
      <c r="AX5" s="402">
        <f t="shared" si="5"/>
        <v>45504</v>
      </c>
      <c r="AY5" s="402">
        <f t="shared" si="5"/>
        <v>45535</v>
      </c>
      <c r="AZ5" s="402">
        <f t="shared" si="5"/>
        <v>45565</v>
      </c>
      <c r="BA5" s="402">
        <f t="shared" si="5"/>
        <v>45596</v>
      </c>
      <c r="BB5" s="402">
        <f t="shared" si="5"/>
        <v>45626</v>
      </c>
      <c r="BC5" s="402">
        <f t="shared" si="5"/>
        <v>45657</v>
      </c>
      <c r="BD5" s="402">
        <f t="shared" si="5"/>
        <v>45688</v>
      </c>
      <c r="BE5" s="402">
        <f t="shared" si="5"/>
        <v>45716</v>
      </c>
      <c r="BF5" s="402">
        <f t="shared" si="5"/>
        <v>45747</v>
      </c>
      <c r="BG5" s="402">
        <f t="shared" si="5"/>
        <v>45777</v>
      </c>
      <c r="BH5" s="402">
        <f t="shared" si="5"/>
        <v>45808</v>
      </c>
      <c r="BI5" s="402">
        <f t="shared" si="5"/>
        <v>45838</v>
      </c>
      <c r="BJ5" s="402">
        <f t="shared" si="5"/>
        <v>45869</v>
      </c>
      <c r="BK5" s="402">
        <f t="shared" si="5"/>
        <v>45900</v>
      </c>
      <c r="BL5" s="402">
        <f t="shared" si="5"/>
        <v>45930</v>
      </c>
      <c r="BM5" s="402">
        <f t="shared" si="5"/>
        <v>45961</v>
      </c>
      <c r="BN5" s="402">
        <f t="shared" si="5"/>
        <v>45991</v>
      </c>
      <c r="BO5" s="402">
        <f t="shared" si="5"/>
        <v>46022</v>
      </c>
      <c r="BP5" s="402">
        <f t="shared" si="5"/>
        <v>46053</v>
      </c>
      <c r="BQ5" s="402">
        <f t="shared" si="5"/>
        <v>46081</v>
      </c>
      <c r="BR5" s="402">
        <f t="shared" si="5"/>
        <v>46112</v>
      </c>
      <c r="BS5" s="402">
        <f t="shared" si="5"/>
        <v>46142</v>
      </c>
      <c r="BT5" s="402">
        <f t="shared" si="5"/>
        <v>46173</v>
      </c>
      <c r="BU5" s="402">
        <f t="shared" si="5"/>
        <v>46203</v>
      </c>
      <c r="BV5" s="402">
        <f t="shared" si="5"/>
        <v>46234</v>
      </c>
      <c r="BW5" s="402">
        <f t="shared" si="5"/>
        <v>46265</v>
      </c>
      <c r="BX5" s="402">
        <f t="shared" si="5"/>
        <v>46295</v>
      </c>
      <c r="BY5" s="402">
        <f t="shared" si="5"/>
        <v>46326</v>
      </c>
      <c r="BZ5" s="402">
        <f t="shared" si="5"/>
        <v>46356</v>
      </c>
      <c r="CA5" s="402">
        <f t="shared" si="5"/>
        <v>46387</v>
      </c>
    </row>
    <row r="6" spans="1:79" ht="21" hidden="1" customHeight="1" outlineLevel="2">
      <c r="G6" s="853"/>
      <c r="H6" s="369">
        <f>YEAR(EOMONTH(H5,-Fiscal_Offset))</f>
        <v>2023</v>
      </c>
      <c r="I6" s="369">
        <f>YEAR(EOMONTH(I5,-Fiscal_Offset))</f>
        <v>2024</v>
      </c>
      <c r="J6" s="369">
        <f>YEAR(EOMONTH(J5,-Fiscal_Offset))</f>
        <v>2025</v>
      </c>
      <c r="K6" s="369">
        <f>YEAR(EOMONTH(K5,-Fiscal_Offset))</f>
        <v>2026</v>
      </c>
      <c r="L6" s="148"/>
      <c r="M6" s="853"/>
      <c r="N6" s="369">
        <f t="shared" ref="N6:AC6" si="6">YEAR(EOMONTH(N5,-Fiscal_Offset))</f>
        <v>2023</v>
      </c>
      <c r="O6" s="369">
        <f t="shared" si="6"/>
        <v>2023</v>
      </c>
      <c r="P6" s="369">
        <f t="shared" si="6"/>
        <v>2023</v>
      </c>
      <c r="Q6" s="369">
        <f t="shared" si="6"/>
        <v>2023</v>
      </c>
      <c r="R6" s="369">
        <f t="shared" si="6"/>
        <v>2024</v>
      </c>
      <c r="S6" s="369">
        <f t="shared" si="6"/>
        <v>2024</v>
      </c>
      <c r="T6" s="369">
        <f t="shared" si="6"/>
        <v>2024</v>
      </c>
      <c r="U6" s="369">
        <f t="shared" si="6"/>
        <v>2024</v>
      </c>
      <c r="V6" s="369">
        <f t="shared" si="6"/>
        <v>2025</v>
      </c>
      <c r="W6" s="369">
        <f t="shared" si="6"/>
        <v>2025</v>
      </c>
      <c r="X6" s="369">
        <f t="shared" si="6"/>
        <v>2025</v>
      </c>
      <c r="Y6" s="369">
        <f t="shared" si="6"/>
        <v>2025</v>
      </c>
      <c r="Z6" s="369">
        <f t="shared" si="6"/>
        <v>2026</v>
      </c>
      <c r="AA6" s="369">
        <f t="shared" si="6"/>
        <v>2026</v>
      </c>
      <c r="AB6" s="369">
        <f t="shared" si="6"/>
        <v>2026</v>
      </c>
      <c r="AC6" s="369">
        <f t="shared" si="6"/>
        <v>2026</v>
      </c>
      <c r="AD6" s="399"/>
      <c r="AE6" s="853"/>
      <c r="AF6" s="369">
        <f t="shared" ref="AF6:CA6" si="7">YEAR(EOMONTH(AF5,-Fiscal_Offset))</f>
        <v>2023</v>
      </c>
      <c r="AG6" s="369">
        <f t="shared" si="7"/>
        <v>2023</v>
      </c>
      <c r="AH6" s="369">
        <f t="shared" si="7"/>
        <v>2023</v>
      </c>
      <c r="AI6" s="369">
        <f t="shared" si="7"/>
        <v>2023</v>
      </c>
      <c r="AJ6" s="369">
        <f t="shared" si="7"/>
        <v>2023</v>
      </c>
      <c r="AK6" s="369">
        <f t="shared" si="7"/>
        <v>2023</v>
      </c>
      <c r="AL6" s="369">
        <f t="shared" si="7"/>
        <v>2023</v>
      </c>
      <c r="AM6" s="369">
        <f t="shared" si="7"/>
        <v>2023</v>
      </c>
      <c r="AN6" s="369">
        <f t="shared" si="7"/>
        <v>2023</v>
      </c>
      <c r="AO6" s="369">
        <f t="shared" si="7"/>
        <v>2023</v>
      </c>
      <c r="AP6" s="369">
        <f t="shared" si="7"/>
        <v>2023</v>
      </c>
      <c r="AQ6" s="369">
        <f t="shared" si="7"/>
        <v>2023</v>
      </c>
      <c r="AR6" s="369">
        <f t="shared" si="7"/>
        <v>2024</v>
      </c>
      <c r="AS6" s="369">
        <f t="shared" si="7"/>
        <v>2024</v>
      </c>
      <c r="AT6" s="369">
        <f t="shared" si="7"/>
        <v>2024</v>
      </c>
      <c r="AU6" s="369">
        <f t="shared" si="7"/>
        <v>2024</v>
      </c>
      <c r="AV6" s="369">
        <f t="shared" si="7"/>
        <v>2024</v>
      </c>
      <c r="AW6" s="369">
        <f t="shared" si="7"/>
        <v>2024</v>
      </c>
      <c r="AX6" s="369">
        <f t="shared" si="7"/>
        <v>2024</v>
      </c>
      <c r="AY6" s="369">
        <f t="shared" si="7"/>
        <v>2024</v>
      </c>
      <c r="AZ6" s="369">
        <f t="shared" si="7"/>
        <v>2024</v>
      </c>
      <c r="BA6" s="369">
        <f t="shared" si="7"/>
        <v>2024</v>
      </c>
      <c r="BB6" s="369">
        <f t="shared" si="7"/>
        <v>2024</v>
      </c>
      <c r="BC6" s="369">
        <f t="shared" si="7"/>
        <v>2024</v>
      </c>
      <c r="BD6" s="369">
        <f t="shared" si="7"/>
        <v>2025</v>
      </c>
      <c r="BE6" s="369">
        <f t="shared" si="7"/>
        <v>2025</v>
      </c>
      <c r="BF6" s="369">
        <f t="shared" si="7"/>
        <v>2025</v>
      </c>
      <c r="BG6" s="369">
        <f t="shared" si="7"/>
        <v>2025</v>
      </c>
      <c r="BH6" s="369">
        <f t="shared" si="7"/>
        <v>2025</v>
      </c>
      <c r="BI6" s="369">
        <f t="shared" si="7"/>
        <v>2025</v>
      </c>
      <c r="BJ6" s="369">
        <f t="shared" si="7"/>
        <v>2025</v>
      </c>
      <c r="BK6" s="369">
        <f t="shared" si="7"/>
        <v>2025</v>
      </c>
      <c r="BL6" s="369">
        <f t="shared" si="7"/>
        <v>2025</v>
      </c>
      <c r="BM6" s="369">
        <f t="shared" si="7"/>
        <v>2025</v>
      </c>
      <c r="BN6" s="369">
        <f t="shared" si="7"/>
        <v>2025</v>
      </c>
      <c r="BO6" s="369">
        <f t="shared" si="7"/>
        <v>2025</v>
      </c>
      <c r="BP6" s="369">
        <f t="shared" si="7"/>
        <v>2026</v>
      </c>
      <c r="BQ6" s="369">
        <f t="shared" si="7"/>
        <v>2026</v>
      </c>
      <c r="BR6" s="369">
        <f t="shared" si="7"/>
        <v>2026</v>
      </c>
      <c r="BS6" s="369">
        <f t="shared" si="7"/>
        <v>2026</v>
      </c>
      <c r="BT6" s="369">
        <f t="shared" si="7"/>
        <v>2026</v>
      </c>
      <c r="BU6" s="369">
        <f t="shared" si="7"/>
        <v>2026</v>
      </c>
      <c r="BV6" s="369">
        <f t="shared" si="7"/>
        <v>2026</v>
      </c>
      <c r="BW6" s="369">
        <f t="shared" si="7"/>
        <v>2026</v>
      </c>
      <c r="BX6" s="369">
        <f t="shared" si="7"/>
        <v>2026</v>
      </c>
      <c r="BY6" s="369">
        <f t="shared" si="7"/>
        <v>2026</v>
      </c>
      <c r="BZ6" s="369">
        <f t="shared" si="7"/>
        <v>2026</v>
      </c>
      <c r="CA6" s="369">
        <f t="shared" si="7"/>
        <v>2026</v>
      </c>
    </row>
    <row r="7" spans="1:79" ht="21" hidden="1" customHeight="1" outlineLevel="2">
      <c r="G7" s="853"/>
      <c r="H7" s="369" t="str">
        <f>"Q"&amp; ROUNDUP(MONTH(EOMONTH(H5,-Fiscal_Offset))/3,0)</f>
        <v>Q4</v>
      </c>
      <c r="I7" s="369" t="str">
        <f>"Q"&amp; ROUNDUP(MONTH(EOMONTH(I5,-Fiscal_Offset))/3,0)</f>
        <v>Q4</v>
      </c>
      <c r="J7" s="369" t="str">
        <f>"Q"&amp; ROUNDUP(MONTH(EOMONTH(J5,-Fiscal_Offset))/3,0)</f>
        <v>Q4</v>
      </c>
      <c r="K7" s="369" t="str">
        <f>"Q"&amp; ROUNDUP(MONTH(EOMONTH(K5,-Fiscal_Offset))/3,0)</f>
        <v>Q4</v>
      </c>
      <c r="L7" s="148"/>
      <c r="M7" s="853"/>
      <c r="N7" s="369" t="str">
        <f t="shared" ref="N7:AC7" si="8">"Q"&amp; ROUNDUP(MONTH(EOMONTH(N5,-Fiscal_Offset))/3,0)</f>
        <v>Q1</v>
      </c>
      <c r="O7" s="369" t="str">
        <f t="shared" si="8"/>
        <v>Q2</v>
      </c>
      <c r="P7" s="369" t="str">
        <f t="shared" si="8"/>
        <v>Q3</v>
      </c>
      <c r="Q7" s="369" t="str">
        <f t="shared" si="8"/>
        <v>Q4</v>
      </c>
      <c r="R7" s="369" t="str">
        <f t="shared" si="8"/>
        <v>Q1</v>
      </c>
      <c r="S7" s="369" t="str">
        <f t="shared" si="8"/>
        <v>Q2</v>
      </c>
      <c r="T7" s="369" t="str">
        <f t="shared" si="8"/>
        <v>Q3</v>
      </c>
      <c r="U7" s="369" t="str">
        <f t="shared" si="8"/>
        <v>Q4</v>
      </c>
      <c r="V7" s="369" t="str">
        <f t="shared" si="8"/>
        <v>Q1</v>
      </c>
      <c r="W7" s="369" t="str">
        <f t="shared" si="8"/>
        <v>Q2</v>
      </c>
      <c r="X7" s="369" t="str">
        <f t="shared" si="8"/>
        <v>Q3</v>
      </c>
      <c r="Y7" s="369" t="str">
        <f t="shared" si="8"/>
        <v>Q4</v>
      </c>
      <c r="Z7" s="369" t="str">
        <f t="shared" si="8"/>
        <v>Q1</v>
      </c>
      <c r="AA7" s="369" t="str">
        <f t="shared" si="8"/>
        <v>Q2</v>
      </c>
      <c r="AB7" s="369" t="str">
        <f t="shared" si="8"/>
        <v>Q3</v>
      </c>
      <c r="AC7" s="369" t="str">
        <f t="shared" si="8"/>
        <v>Q4</v>
      </c>
      <c r="AD7" s="399"/>
      <c r="AE7" s="853"/>
      <c r="AF7" s="369" t="str">
        <f t="shared" ref="AF7:CA7" si="9">"Q"&amp; ROUNDUP(MONTH(EOMONTH(AF5,-Fiscal_Offset))/3,0)</f>
        <v>Q1</v>
      </c>
      <c r="AG7" s="369" t="str">
        <f t="shared" si="9"/>
        <v>Q1</v>
      </c>
      <c r="AH7" s="369" t="str">
        <f t="shared" si="9"/>
        <v>Q1</v>
      </c>
      <c r="AI7" s="369" t="str">
        <f t="shared" si="9"/>
        <v>Q2</v>
      </c>
      <c r="AJ7" s="369" t="str">
        <f t="shared" si="9"/>
        <v>Q2</v>
      </c>
      <c r="AK7" s="369" t="str">
        <f t="shared" si="9"/>
        <v>Q2</v>
      </c>
      <c r="AL7" s="369" t="str">
        <f t="shared" si="9"/>
        <v>Q3</v>
      </c>
      <c r="AM7" s="369" t="str">
        <f t="shared" si="9"/>
        <v>Q3</v>
      </c>
      <c r="AN7" s="369" t="str">
        <f t="shared" si="9"/>
        <v>Q3</v>
      </c>
      <c r="AO7" s="369" t="str">
        <f t="shared" si="9"/>
        <v>Q4</v>
      </c>
      <c r="AP7" s="369" t="str">
        <f t="shared" si="9"/>
        <v>Q4</v>
      </c>
      <c r="AQ7" s="369" t="str">
        <f t="shared" si="9"/>
        <v>Q4</v>
      </c>
      <c r="AR7" s="369" t="str">
        <f t="shared" si="9"/>
        <v>Q1</v>
      </c>
      <c r="AS7" s="369" t="str">
        <f t="shared" si="9"/>
        <v>Q1</v>
      </c>
      <c r="AT7" s="369" t="str">
        <f t="shared" si="9"/>
        <v>Q1</v>
      </c>
      <c r="AU7" s="369" t="str">
        <f t="shared" si="9"/>
        <v>Q2</v>
      </c>
      <c r="AV7" s="369" t="str">
        <f t="shared" si="9"/>
        <v>Q2</v>
      </c>
      <c r="AW7" s="369" t="str">
        <f t="shared" si="9"/>
        <v>Q2</v>
      </c>
      <c r="AX7" s="369" t="str">
        <f t="shared" si="9"/>
        <v>Q3</v>
      </c>
      <c r="AY7" s="369" t="str">
        <f t="shared" si="9"/>
        <v>Q3</v>
      </c>
      <c r="AZ7" s="369" t="str">
        <f t="shared" si="9"/>
        <v>Q3</v>
      </c>
      <c r="BA7" s="369" t="str">
        <f t="shared" si="9"/>
        <v>Q4</v>
      </c>
      <c r="BB7" s="369" t="str">
        <f t="shared" si="9"/>
        <v>Q4</v>
      </c>
      <c r="BC7" s="369" t="str">
        <f t="shared" si="9"/>
        <v>Q4</v>
      </c>
      <c r="BD7" s="369" t="str">
        <f t="shared" si="9"/>
        <v>Q1</v>
      </c>
      <c r="BE7" s="369" t="str">
        <f t="shared" si="9"/>
        <v>Q1</v>
      </c>
      <c r="BF7" s="369" t="str">
        <f t="shared" si="9"/>
        <v>Q1</v>
      </c>
      <c r="BG7" s="369" t="str">
        <f t="shared" si="9"/>
        <v>Q2</v>
      </c>
      <c r="BH7" s="369" t="str">
        <f t="shared" si="9"/>
        <v>Q2</v>
      </c>
      <c r="BI7" s="369" t="str">
        <f t="shared" si="9"/>
        <v>Q2</v>
      </c>
      <c r="BJ7" s="369" t="str">
        <f t="shared" si="9"/>
        <v>Q3</v>
      </c>
      <c r="BK7" s="369" t="str">
        <f t="shared" si="9"/>
        <v>Q3</v>
      </c>
      <c r="BL7" s="369" t="str">
        <f t="shared" si="9"/>
        <v>Q3</v>
      </c>
      <c r="BM7" s="369" t="str">
        <f t="shared" si="9"/>
        <v>Q4</v>
      </c>
      <c r="BN7" s="369" t="str">
        <f t="shared" si="9"/>
        <v>Q4</v>
      </c>
      <c r="BO7" s="369" t="str">
        <f t="shared" si="9"/>
        <v>Q4</v>
      </c>
      <c r="BP7" s="369" t="str">
        <f t="shared" si="9"/>
        <v>Q1</v>
      </c>
      <c r="BQ7" s="369" t="str">
        <f t="shared" si="9"/>
        <v>Q1</v>
      </c>
      <c r="BR7" s="369" t="str">
        <f t="shared" si="9"/>
        <v>Q1</v>
      </c>
      <c r="BS7" s="369" t="str">
        <f t="shared" si="9"/>
        <v>Q2</v>
      </c>
      <c r="BT7" s="369" t="str">
        <f t="shared" si="9"/>
        <v>Q2</v>
      </c>
      <c r="BU7" s="369" t="str">
        <f t="shared" si="9"/>
        <v>Q2</v>
      </c>
      <c r="BV7" s="369" t="str">
        <f t="shared" si="9"/>
        <v>Q3</v>
      </c>
      <c r="BW7" s="369" t="str">
        <f t="shared" si="9"/>
        <v>Q3</v>
      </c>
      <c r="BX7" s="369" t="str">
        <f t="shared" si="9"/>
        <v>Q3</v>
      </c>
      <c r="BY7" s="369" t="str">
        <f t="shared" si="9"/>
        <v>Q4</v>
      </c>
      <c r="BZ7" s="369" t="str">
        <f t="shared" si="9"/>
        <v>Q4</v>
      </c>
      <c r="CA7" s="369" t="str">
        <f t="shared" si="9"/>
        <v>Q4</v>
      </c>
    </row>
    <row r="8" spans="1:79" s="51" customFormat="1" ht="30" customHeight="1">
      <c r="B8" s="387"/>
      <c r="C8" s="386"/>
      <c r="F8" s="50"/>
      <c r="G8" s="853"/>
      <c r="H8" s="398">
        <f>H6</f>
        <v>2023</v>
      </c>
      <c r="I8" s="398">
        <f>I6</f>
        <v>2024</v>
      </c>
      <c r="J8" s="398">
        <f>J6</f>
        <v>2025</v>
      </c>
      <c r="K8" s="398">
        <f>K6</f>
        <v>2026</v>
      </c>
      <c r="L8" s="172"/>
      <c r="M8" s="853"/>
      <c r="N8" s="397" t="str">
        <f t="shared" ref="N8:AC8" si="10">CONCATENATE(CONCATENATE(N$7," ",N$6))</f>
        <v>Q1 2023</v>
      </c>
      <c r="O8" s="397" t="str">
        <f t="shared" si="10"/>
        <v>Q2 2023</v>
      </c>
      <c r="P8" s="397" t="str">
        <f t="shared" si="10"/>
        <v>Q3 2023</v>
      </c>
      <c r="Q8" s="397" t="str">
        <f t="shared" si="10"/>
        <v>Q4 2023</v>
      </c>
      <c r="R8" s="397" t="str">
        <f t="shared" si="10"/>
        <v>Q1 2024</v>
      </c>
      <c r="S8" s="397" t="str">
        <f t="shared" si="10"/>
        <v>Q2 2024</v>
      </c>
      <c r="T8" s="397" t="str">
        <f t="shared" si="10"/>
        <v>Q3 2024</v>
      </c>
      <c r="U8" s="397" t="str">
        <f t="shared" si="10"/>
        <v>Q4 2024</v>
      </c>
      <c r="V8" s="397" t="str">
        <f t="shared" si="10"/>
        <v>Q1 2025</v>
      </c>
      <c r="W8" s="397" t="str">
        <f t="shared" si="10"/>
        <v>Q2 2025</v>
      </c>
      <c r="X8" s="397" t="str">
        <f t="shared" si="10"/>
        <v>Q3 2025</v>
      </c>
      <c r="Y8" s="397" t="str">
        <f t="shared" si="10"/>
        <v>Q4 2025</v>
      </c>
      <c r="Z8" s="397" t="str">
        <f t="shared" si="10"/>
        <v>Q1 2026</v>
      </c>
      <c r="AA8" s="397" t="str">
        <f t="shared" si="10"/>
        <v>Q2 2026</v>
      </c>
      <c r="AB8" s="397" t="str">
        <f t="shared" si="10"/>
        <v>Q3 2026</v>
      </c>
      <c r="AC8" s="397" t="str">
        <f t="shared" si="10"/>
        <v>Q4 2026</v>
      </c>
      <c r="AD8" s="396"/>
      <c r="AE8" s="853"/>
      <c r="AF8" s="395">
        <f t="shared" ref="AF8:CA8" si="11">AF5</f>
        <v>44957</v>
      </c>
      <c r="AG8" s="395">
        <f t="shared" si="11"/>
        <v>44985</v>
      </c>
      <c r="AH8" s="395">
        <f t="shared" si="11"/>
        <v>45016</v>
      </c>
      <c r="AI8" s="395">
        <f t="shared" si="11"/>
        <v>45046</v>
      </c>
      <c r="AJ8" s="395">
        <f t="shared" si="11"/>
        <v>45077</v>
      </c>
      <c r="AK8" s="395">
        <f t="shared" si="11"/>
        <v>45107</v>
      </c>
      <c r="AL8" s="395">
        <f t="shared" si="11"/>
        <v>45138</v>
      </c>
      <c r="AM8" s="395">
        <f t="shared" si="11"/>
        <v>45169</v>
      </c>
      <c r="AN8" s="395">
        <f t="shared" si="11"/>
        <v>45199</v>
      </c>
      <c r="AO8" s="395">
        <f t="shared" si="11"/>
        <v>45230</v>
      </c>
      <c r="AP8" s="395">
        <f t="shared" si="11"/>
        <v>45260</v>
      </c>
      <c r="AQ8" s="395">
        <f t="shared" si="11"/>
        <v>45291</v>
      </c>
      <c r="AR8" s="395">
        <f t="shared" si="11"/>
        <v>45322</v>
      </c>
      <c r="AS8" s="395">
        <f t="shared" si="11"/>
        <v>45351</v>
      </c>
      <c r="AT8" s="395">
        <f t="shared" si="11"/>
        <v>45382</v>
      </c>
      <c r="AU8" s="395">
        <f t="shared" si="11"/>
        <v>45412</v>
      </c>
      <c r="AV8" s="395">
        <f t="shared" si="11"/>
        <v>45443</v>
      </c>
      <c r="AW8" s="395">
        <f t="shared" si="11"/>
        <v>45473</v>
      </c>
      <c r="AX8" s="395">
        <f t="shared" si="11"/>
        <v>45504</v>
      </c>
      <c r="AY8" s="395">
        <f t="shared" si="11"/>
        <v>45535</v>
      </c>
      <c r="AZ8" s="395">
        <f t="shared" si="11"/>
        <v>45565</v>
      </c>
      <c r="BA8" s="395">
        <f t="shared" si="11"/>
        <v>45596</v>
      </c>
      <c r="BB8" s="395">
        <f t="shared" si="11"/>
        <v>45626</v>
      </c>
      <c r="BC8" s="395">
        <f t="shared" si="11"/>
        <v>45657</v>
      </c>
      <c r="BD8" s="395">
        <f t="shared" si="11"/>
        <v>45688</v>
      </c>
      <c r="BE8" s="395">
        <f t="shared" si="11"/>
        <v>45716</v>
      </c>
      <c r="BF8" s="395">
        <f t="shared" si="11"/>
        <v>45747</v>
      </c>
      <c r="BG8" s="395">
        <f t="shared" si="11"/>
        <v>45777</v>
      </c>
      <c r="BH8" s="395">
        <f t="shared" si="11"/>
        <v>45808</v>
      </c>
      <c r="BI8" s="395">
        <f t="shared" si="11"/>
        <v>45838</v>
      </c>
      <c r="BJ8" s="395">
        <f t="shared" si="11"/>
        <v>45869</v>
      </c>
      <c r="BK8" s="395">
        <f t="shared" si="11"/>
        <v>45900</v>
      </c>
      <c r="BL8" s="395">
        <f t="shared" si="11"/>
        <v>45930</v>
      </c>
      <c r="BM8" s="395">
        <f t="shared" si="11"/>
        <v>45961</v>
      </c>
      <c r="BN8" s="395">
        <f t="shared" si="11"/>
        <v>45991</v>
      </c>
      <c r="BO8" s="395">
        <f t="shared" si="11"/>
        <v>46022</v>
      </c>
      <c r="BP8" s="395">
        <f t="shared" si="11"/>
        <v>46053</v>
      </c>
      <c r="BQ8" s="395">
        <f t="shared" si="11"/>
        <v>46081</v>
      </c>
      <c r="BR8" s="395">
        <f t="shared" si="11"/>
        <v>46112</v>
      </c>
      <c r="BS8" s="395">
        <f t="shared" si="11"/>
        <v>46142</v>
      </c>
      <c r="BT8" s="395">
        <f t="shared" si="11"/>
        <v>46173</v>
      </c>
      <c r="BU8" s="395">
        <f t="shared" si="11"/>
        <v>46203</v>
      </c>
      <c r="BV8" s="395">
        <f t="shared" si="11"/>
        <v>46234</v>
      </c>
      <c r="BW8" s="395">
        <f t="shared" si="11"/>
        <v>46265</v>
      </c>
      <c r="BX8" s="395">
        <f t="shared" si="11"/>
        <v>46295</v>
      </c>
      <c r="BY8" s="395">
        <f t="shared" si="11"/>
        <v>46326</v>
      </c>
      <c r="BZ8" s="395">
        <f t="shared" si="11"/>
        <v>46356</v>
      </c>
      <c r="CA8" s="395">
        <f t="shared" si="11"/>
        <v>46387</v>
      </c>
    </row>
    <row r="9" spans="1:79" s="51" customFormat="1" ht="24">
      <c r="B9" s="635" t="s">
        <v>496</v>
      </c>
      <c r="C9" s="475"/>
      <c r="D9" s="475"/>
      <c r="E9" s="632"/>
      <c r="F9" s="50"/>
      <c r="G9" s="359"/>
      <c r="H9" s="632"/>
      <c r="I9" s="632"/>
      <c r="J9" s="632"/>
      <c r="K9" s="632"/>
      <c r="L9" s="50"/>
      <c r="M9" s="359"/>
      <c r="N9" s="632"/>
      <c r="O9" s="632"/>
      <c r="P9" s="632"/>
      <c r="Q9" s="632"/>
      <c r="R9" s="632"/>
      <c r="S9" s="632"/>
      <c r="T9" s="632"/>
      <c r="U9" s="632"/>
      <c r="V9" s="632"/>
      <c r="W9" s="632"/>
      <c r="X9" s="632"/>
      <c r="Y9" s="632"/>
      <c r="Z9" s="632"/>
      <c r="AA9" s="632"/>
      <c r="AB9" s="632"/>
      <c r="AC9" s="632"/>
      <c r="AD9" s="50"/>
      <c r="AE9" s="359"/>
      <c r="AF9" s="632"/>
      <c r="AG9" s="632"/>
      <c r="AH9" s="632"/>
      <c r="AI9" s="632"/>
      <c r="AJ9" s="632"/>
      <c r="AK9" s="632"/>
      <c r="AL9" s="632"/>
      <c r="AM9" s="632"/>
      <c r="AN9" s="632"/>
      <c r="AO9" s="632"/>
      <c r="AP9" s="632"/>
      <c r="AQ9" s="632"/>
      <c r="AR9" s="632"/>
      <c r="AS9" s="632"/>
      <c r="AT9" s="632"/>
      <c r="AU9" s="632"/>
      <c r="AV9" s="632"/>
      <c r="AW9" s="632"/>
      <c r="AX9" s="632"/>
      <c r="AY9" s="632"/>
      <c r="AZ9" s="632"/>
      <c r="BA9" s="632"/>
      <c r="BB9" s="632"/>
      <c r="BC9" s="632"/>
      <c r="BD9" s="632"/>
      <c r="BE9" s="632"/>
      <c r="BF9" s="632"/>
      <c r="BG9" s="632"/>
      <c r="BH9" s="632"/>
      <c r="BI9" s="632"/>
      <c r="BJ9" s="632"/>
      <c r="BK9" s="632"/>
      <c r="BL9" s="632"/>
      <c r="BM9" s="632"/>
      <c r="BN9" s="632"/>
      <c r="BO9" s="632"/>
      <c r="BP9" s="632"/>
      <c r="BQ9" s="632"/>
      <c r="BR9" s="632"/>
      <c r="BS9" s="632"/>
      <c r="BT9" s="632"/>
      <c r="BU9" s="632"/>
      <c r="BV9" s="632"/>
      <c r="BW9" s="632"/>
      <c r="BX9" s="632"/>
      <c r="BY9" s="632"/>
      <c r="BZ9" s="632"/>
      <c r="CA9" s="632"/>
    </row>
    <row r="10" spans="1:79" s="357" customFormat="1" ht="15" outlineLevel="1">
      <c r="B10" s="367"/>
      <c r="C10" s="365" t="s">
        <v>161</v>
      </c>
      <c r="D10" s="366"/>
      <c r="E10" s="365"/>
      <c r="G10" s="359"/>
      <c r="H10" s="364">
        <f>SUMIFS($AF10:$CA10,$AF$6:$CA$6,H$6)</f>
        <v>10850</v>
      </c>
      <c r="I10" s="364">
        <f>SUMIFS($AF10:$CA10,$AF$6:$CA$6,I$6)</f>
        <v>259400</v>
      </c>
      <c r="J10" s="364">
        <f>SUMIFS($AF10:$CA10,$AF$6:$CA$6,J$6)</f>
        <v>550070</v>
      </c>
      <c r="K10" s="364">
        <f>SUMIFS($AF10:$CA10,$AF$6:$CA$6,K$6)</f>
        <v>1973602.5</v>
      </c>
      <c r="M10" s="359"/>
      <c r="N10" s="364">
        <f t="shared" ref="N10:AC10" si="12">SUMIFS($AF10:$CA10,$AF$6:$CA$6,N$6,$AF$7:$CA$7,N$7)</f>
        <v>0</v>
      </c>
      <c r="O10" s="364">
        <f t="shared" si="12"/>
        <v>0</v>
      </c>
      <c r="P10" s="364">
        <f t="shared" si="12"/>
        <v>0</v>
      </c>
      <c r="Q10" s="364">
        <f t="shared" si="12"/>
        <v>10850</v>
      </c>
      <c r="R10" s="364">
        <f t="shared" si="12"/>
        <v>32550</v>
      </c>
      <c r="S10" s="364">
        <f t="shared" si="12"/>
        <v>64850</v>
      </c>
      <c r="T10" s="364">
        <f t="shared" si="12"/>
        <v>81000</v>
      </c>
      <c r="U10" s="364">
        <f t="shared" si="12"/>
        <v>81000</v>
      </c>
      <c r="V10" s="364">
        <f t="shared" si="12"/>
        <v>83800</v>
      </c>
      <c r="W10" s="364">
        <f t="shared" si="12"/>
        <v>97840</v>
      </c>
      <c r="X10" s="364">
        <f t="shared" si="12"/>
        <v>139670</v>
      </c>
      <c r="Y10" s="364">
        <f t="shared" si="12"/>
        <v>228760</v>
      </c>
      <c r="Z10" s="364">
        <f t="shared" si="12"/>
        <v>440047.5</v>
      </c>
      <c r="AA10" s="364">
        <f t="shared" si="12"/>
        <v>511185</v>
      </c>
      <c r="AB10" s="364">
        <f t="shared" si="12"/>
        <v>511185</v>
      </c>
      <c r="AC10" s="364">
        <f t="shared" si="12"/>
        <v>511185</v>
      </c>
      <c r="AE10" s="359"/>
      <c r="AF10" s="425">
        <f t="shared" ref="AF10:CA10" si="13">SUM(AF11:AF12)</f>
        <v>0</v>
      </c>
      <c r="AG10" s="425">
        <f t="shared" si="13"/>
        <v>0</v>
      </c>
      <c r="AH10" s="425">
        <f t="shared" si="13"/>
        <v>0</v>
      </c>
      <c r="AI10" s="425">
        <f t="shared" si="13"/>
        <v>0</v>
      </c>
      <c r="AJ10" s="425">
        <f t="shared" si="13"/>
        <v>0</v>
      </c>
      <c r="AK10" s="425">
        <f t="shared" si="13"/>
        <v>0</v>
      </c>
      <c r="AL10" s="425">
        <f t="shared" si="13"/>
        <v>0</v>
      </c>
      <c r="AM10" s="425">
        <f t="shared" si="13"/>
        <v>0</v>
      </c>
      <c r="AN10" s="425">
        <f t="shared" si="13"/>
        <v>0</v>
      </c>
      <c r="AO10" s="425">
        <f t="shared" si="13"/>
        <v>0</v>
      </c>
      <c r="AP10" s="425">
        <f t="shared" si="13"/>
        <v>0</v>
      </c>
      <c r="AQ10" s="425">
        <f t="shared" si="13"/>
        <v>10850</v>
      </c>
      <c r="AR10" s="425">
        <f t="shared" si="13"/>
        <v>10850</v>
      </c>
      <c r="AS10" s="425">
        <f t="shared" si="13"/>
        <v>10850</v>
      </c>
      <c r="AT10" s="425">
        <f t="shared" si="13"/>
        <v>10850</v>
      </c>
      <c r="AU10" s="425">
        <f t="shared" si="13"/>
        <v>10850</v>
      </c>
      <c r="AV10" s="425">
        <f t="shared" si="13"/>
        <v>27000</v>
      </c>
      <c r="AW10" s="425">
        <f t="shared" si="13"/>
        <v>27000</v>
      </c>
      <c r="AX10" s="425">
        <f t="shared" si="13"/>
        <v>27000</v>
      </c>
      <c r="AY10" s="425">
        <f t="shared" si="13"/>
        <v>27000</v>
      </c>
      <c r="AZ10" s="425">
        <f t="shared" si="13"/>
        <v>27000</v>
      </c>
      <c r="BA10" s="425">
        <f t="shared" si="13"/>
        <v>27000</v>
      </c>
      <c r="BB10" s="425">
        <f t="shared" si="13"/>
        <v>27000</v>
      </c>
      <c r="BC10" s="425">
        <f t="shared" si="13"/>
        <v>27000</v>
      </c>
      <c r="BD10" s="425">
        <f t="shared" si="13"/>
        <v>27000</v>
      </c>
      <c r="BE10" s="425">
        <f t="shared" si="13"/>
        <v>27000</v>
      </c>
      <c r="BF10" s="425">
        <f t="shared" si="13"/>
        <v>29800</v>
      </c>
      <c r="BG10" s="425">
        <f t="shared" si="13"/>
        <v>29800</v>
      </c>
      <c r="BH10" s="425">
        <f t="shared" si="13"/>
        <v>29800</v>
      </c>
      <c r="BI10" s="425">
        <f t="shared" si="13"/>
        <v>38240</v>
      </c>
      <c r="BJ10" s="425">
        <f t="shared" si="13"/>
        <v>38240</v>
      </c>
      <c r="BK10" s="425">
        <f t="shared" si="13"/>
        <v>50715</v>
      </c>
      <c r="BL10" s="425">
        <f t="shared" si="13"/>
        <v>50715</v>
      </c>
      <c r="BM10" s="425">
        <f t="shared" si="13"/>
        <v>68220</v>
      </c>
      <c r="BN10" s="425">
        <f t="shared" si="13"/>
        <v>69820</v>
      </c>
      <c r="BO10" s="425">
        <f t="shared" si="13"/>
        <v>90720</v>
      </c>
      <c r="BP10" s="425">
        <f t="shared" si="13"/>
        <v>122157.5</v>
      </c>
      <c r="BQ10" s="425">
        <f t="shared" si="13"/>
        <v>147495</v>
      </c>
      <c r="BR10" s="425">
        <f t="shared" si="13"/>
        <v>170395</v>
      </c>
      <c r="BS10" s="425">
        <f t="shared" si="13"/>
        <v>170395</v>
      </c>
      <c r="BT10" s="425">
        <f t="shared" si="13"/>
        <v>170395</v>
      </c>
      <c r="BU10" s="425">
        <f t="shared" si="13"/>
        <v>170395</v>
      </c>
      <c r="BV10" s="425">
        <f t="shared" si="13"/>
        <v>170395</v>
      </c>
      <c r="BW10" s="425">
        <f t="shared" si="13"/>
        <v>170395</v>
      </c>
      <c r="BX10" s="425">
        <f t="shared" si="13"/>
        <v>170395</v>
      </c>
      <c r="BY10" s="425">
        <f t="shared" si="13"/>
        <v>170395</v>
      </c>
      <c r="BZ10" s="425">
        <f t="shared" si="13"/>
        <v>170395</v>
      </c>
      <c r="CA10" s="425">
        <f t="shared" si="13"/>
        <v>170395</v>
      </c>
    </row>
    <row r="11" spans="1:79" ht="15" outlineLevel="1">
      <c r="B11" s="367"/>
      <c r="C11" s="365"/>
      <c r="D11" s="419" t="s">
        <v>502</v>
      </c>
      <c r="E11" s="365"/>
      <c r="G11" s="359"/>
      <c r="H11" s="410">
        <f t="shared" ref="H11:K12" si="14">SUMIFS($AF11:$CA11,$AF$4:$CA$4,"&gt;="&amp;H$4,$AF$5:$CA$5,"&lt;="&amp;H$5)</f>
        <v>10850</v>
      </c>
      <c r="I11" s="410">
        <f t="shared" si="14"/>
        <v>16150</v>
      </c>
      <c r="J11" s="410">
        <f t="shared" si="14"/>
        <v>63720</v>
      </c>
      <c r="K11" s="410">
        <f t="shared" si="14"/>
        <v>79675</v>
      </c>
      <c r="L11" s="410"/>
      <c r="M11" s="410"/>
      <c r="N11" s="410">
        <f t="shared" ref="N11:AC12" si="15">SUMIFS($AF11:$CA11,$AF$4:$CA$4,"&gt;="&amp;N$4,$AF$5:$CA$5,"&lt;="&amp;N$5)</f>
        <v>0</v>
      </c>
      <c r="O11" s="410">
        <f t="shared" si="15"/>
        <v>0</v>
      </c>
      <c r="P11" s="410">
        <f t="shared" si="15"/>
        <v>0</v>
      </c>
      <c r="Q11" s="410">
        <f t="shared" si="15"/>
        <v>10850</v>
      </c>
      <c r="R11" s="410">
        <f t="shared" si="15"/>
        <v>0</v>
      </c>
      <c r="S11" s="410">
        <f t="shared" si="15"/>
        <v>16150</v>
      </c>
      <c r="T11" s="410">
        <f t="shared" si="15"/>
        <v>0</v>
      </c>
      <c r="U11" s="410">
        <f t="shared" si="15"/>
        <v>0</v>
      </c>
      <c r="V11" s="410">
        <f t="shared" si="15"/>
        <v>2800</v>
      </c>
      <c r="W11" s="410">
        <f t="shared" si="15"/>
        <v>8440</v>
      </c>
      <c r="X11" s="410">
        <f t="shared" si="15"/>
        <v>12475</v>
      </c>
      <c r="Y11" s="410">
        <f t="shared" si="15"/>
        <v>40005</v>
      </c>
      <c r="Z11" s="410">
        <f t="shared" si="15"/>
        <v>79675</v>
      </c>
      <c r="AA11" s="410">
        <f t="shared" si="15"/>
        <v>0</v>
      </c>
      <c r="AB11" s="410">
        <f t="shared" si="15"/>
        <v>0</v>
      </c>
      <c r="AC11" s="410">
        <f t="shared" si="15"/>
        <v>0</v>
      </c>
      <c r="AE11" s="359"/>
      <c r="AF11" s="424">
        <f>SUMIFS(PipelineImport[Weight Average],PipelineImport[Length],"Every Month",PipelineImport[Close Date],"&gt;="&amp;AF$4,PipelineImport[Close Date],"&lt;="&amp;AF$8)</f>
        <v>0</v>
      </c>
      <c r="AG11" s="424">
        <f>SUMIFS(PipelineImport[Weight Average],PipelineImport[Length],"Every Month",PipelineImport[Close Date],"&gt;="&amp;AG$4,PipelineImport[Close Date],"&lt;="&amp;AG$8)</f>
        <v>0</v>
      </c>
      <c r="AH11" s="424">
        <f>SUMIFS(PipelineImport[Weight Average],PipelineImport[Length],"Every Month",PipelineImport[Close Date],"&gt;="&amp;AH$4,PipelineImport[Close Date],"&lt;="&amp;AH$8)</f>
        <v>0</v>
      </c>
      <c r="AI11" s="424">
        <f>SUMIFS(PipelineImport[Weight Average],PipelineImport[Length],"Every Month",PipelineImport[Close Date],"&gt;="&amp;AI$4,PipelineImport[Close Date],"&lt;="&amp;AI$8)</f>
        <v>0</v>
      </c>
      <c r="AJ11" s="424">
        <f>SUMIFS(PipelineImport[Weight Average],PipelineImport[Length],"Every Month",PipelineImport[Close Date],"&gt;="&amp;AJ$4,PipelineImport[Close Date],"&lt;="&amp;AJ$8)</f>
        <v>0</v>
      </c>
      <c r="AK11" s="424">
        <f>SUMIFS(PipelineImport[Weight Average],PipelineImport[Length],"Every Month",PipelineImport[Close Date],"&gt;="&amp;AK$4,PipelineImport[Close Date],"&lt;="&amp;AK$8)</f>
        <v>0</v>
      </c>
      <c r="AL11" s="424">
        <f>SUMIFS(PipelineImport[Weight Average],PipelineImport[Length],"Every Month",PipelineImport[Close Date],"&gt;="&amp;AL$4,PipelineImport[Close Date],"&lt;="&amp;AL$8)</f>
        <v>0</v>
      </c>
      <c r="AM11" s="424">
        <f>SUMIFS(PipelineImport[Weight Average],PipelineImport[Length],"Every Month",PipelineImport[Close Date],"&gt;="&amp;AM$4,PipelineImport[Close Date],"&lt;="&amp;AM$8)</f>
        <v>0</v>
      </c>
      <c r="AN11" s="424">
        <f>SUMIFS(PipelineImport[Weight Average],PipelineImport[Length],"Every Month",PipelineImport[Close Date],"&gt;="&amp;AN$4,PipelineImport[Close Date],"&lt;="&amp;AN$8)</f>
        <v>0</v>
      </c>
      <c r="AO11" s="424">
        <f>SUMIFS(PipelineImport[Weight Average],PipelineImport[Length],"Every Month",PipelineImport[Close Date],"&gt;="&amp;AO$4,PipelineImport[Close Date],"&lt;="&amp;AO$8)</f>
        <v>0</v>
      </c>
      <c r="AP11" s="424">
        <f>SUMIFS(PipelineImport[Weight Average],PipelineImport[Length],"Every Month",PipelineImport[Close Date],"&gt;="&amp;AP$4,PipelineImport[Close Date],"&lt;="&amp;AP$8)</f>
        <v>0</v>
      </c>
      <c r="AQ11" s="424">
        <f>SUMIFS(PipelineImport[Weight Average],PipelineImport[Length],"Every Month",PipelineImport[Close Date],"&gt;="&amp;AQ$4,PipelineImport[Close Date],"&lt;="&amp;AQ$8)</f>
        <v>10850</v>
      </c>
      <c r="AR11" s="424">
        <f>SUMIFS(PipelineImport[Weight Average],PipelineImport[Length],"Every Month",PipelineImport[Close Date],"&gt;="&amp;AR$4,PipelineImport[Close Date],"&lt;="&amp;AR$8)</f>
        <v>0</v>
      </c>
      <c r="AS11" s="424">
        <f>SUMIFS(PipelineImport[Weight Average],PipelineImport[Length],"Every Month",PipelineImport[Close Date],"&gt;="&amp;AS$4,PipelineImport[Close Date],"&lt;="&amp;AS$8)</f>
        <v>0</v>
      </c>
      <c r="AT11" s="424">
        <f>SUMIFS(PipelineImport[Weight Average],PipelineImport[Length],"Every Month",PipelineImport[Close Date],"&gt;="&amp;AT$4,PipelineImport[Close Date],"&lt;="&amp;AT$8)</f>
        <v>0</v>
      </c>
      <c r="AU11" s="424">
        <f>SUMIFS(PipelineImport[Weight Average],PipelineImport[Length],"Every Month",PipelineImport[Close Date],"&gt;="&amp;AU$4,PipelineImport[Close Date],"&lt;="&amp;AU$8)</f>
        <v>0</v>
      </c>
      <c r="AV11" s="424">
        <f>SUMIFS(PipelineImport[Weight Average],PipelineImport[Length],"Every Month",PipelineImport[Close Date],"&gt;="&amp;AV$4,PipelineImport[Close Date],"&lt;="&amp;AV$8)</f>
        <v>16150</v>
      </c>
      <c r="AW11" s="424">
        <f>SUMIFS(PipelineImport[Weight Average],PipelineImport[Length],"Every Month",PipelineImport[Close Date],"&gt;="&amp;AW$4,PipelineImport[Close Date],"&lt;="&amp;AW$8)</f>
        <v>0</v>
      </c>
      <c r="AX11" s="424">
        <f>SUMIFS(PipelineImport[Weight Average],PipelineImport[Length],"Every Month",PipelineImport[Close Date],"&gt;="&amp;AX$4,PipelineImport[Close Date],"&lt;="&amp;AX$8)</f>
        <v>0</v>
      </c>
      <c r="AY11" s="424">
        <f>SUMIFS(PipelineImport[Weight Average],PipelineImport[Length],"Every Month",PipelineImport[Close Date],"&gt;="&amp;AY$4,PipelineImport[Close Date],"&lt;="&amp;AY$8)</f>
        <v>0</v>
      </c>
      <c r="AZ11" s="424">
        <f>SUMIFS(PipelineImport[Weight Average],PipelineImport[Length],"Every Month",PipelineImport[Close Date],"&gt;="&amp;AZ$4,PipelineImport[Close Date],"&lt;="&amp;AZ$8)</f>
        <v>0</v>
      </c>
      <c r="BA11" s="424">
        <f>SUMIFS(PipelineImport[Weight Average],PipelineImport[Length],"Every Month",PipelineImport[Close Date],"&gt;="&amp;BA$4,PipelineImport[Close Date],"&lt;="&amp;BA$8)</f>
        <v>0</v>
      </c>
      <c r="BB11" s="424">
        <f>SUMIFS(PipelineImport[Weight Average],PipelineImport[Length],"Every Month",PipelineImport[Close Date],"&gt;="&amp;BB$4,PipelineImport[Close Date],"&lt;="&amp;BB$8)</f>
        <v>0</v>
      </c>
      <c r="BC11" s="424">
        <f>SUMIFS(PipelineImport[Weight Average],PipelineImport[Length],"Every Month",PipelineImport[Close Date],"&gt;="&amp;BC$4,PipelineImport[Close Date],"&lt;="&amp;BC$8)</f>
        <v>0</v>
      </c>
      <c r="BD11" s="424">
        <f>SUMIFS(PipelineImport[Weight Average],PipelineImport[Length],"Every Month",PipelineImport[Close Date],"&gt;="&amp;BD$4,PipelineImport[Close Date],"&lt;="&amp;BD$8)</f>
        <v>0</v>
      </c>
      <c r="BE11" s="424">
        <f>SUMIFS(PipelineImport[Weight Average],PipelineImport[Length],"Every Month",PipelineImport[Close Date],"&gt;="&amp;BE$4,PipelineImport[Close Date],"&lt;="&amp;BE$8)</f>
        <v>0</v>
      </c>
      <c r="BF11" s="424">
        <f>SUMIFS(PipelineImport[Weight Average],PipelineImport[Length],"Every Month",PipelineImport[Close Date],"&gt;="&amp;BF$4,PipelineImport[Close Date],"&lt;="&amp;BF$8)</f>
        <v>2800</v>
      </c>
      <c r="BG11" s="424">
        <f>SUMIFS(PipelineImport[Weight Average],PipelineImport[Length],"Every Month",PipelineImport[Close Date],"&gt;="&amp;BG$4,PipelineImport[Close Date],"&lt;="&amp;BG$8)</f>
        <v>0</v>
      </c>
      <c r="BH11" s="424">
        <f>SUMIFS(PipelineImport[Weight Average],PipelineImport[Length],"Every Month",PipelineImport[Close Date],"&gt;="&amp;BH$4,PipelineImport[Close Date],"&lt;="&amp;BH$8)</f>
        <v>0</v>
      </c>
      <c r="BI11" s="424">
        <f>SUMIFS(PipelineImport[Weight Average],PipelineImport[Length],"Every Month",PipelineImport[Close Date],"&gt;="&amp;BI$4,PipelineImport[Close Date],"&lt;="&amp;BI$8)</f>
        <v>8440</v>
      </c>
      <c r="BJ11" s="424">
        <f>SUMIFS(PipelineImport[Weight Average],PipelineImport[Length],"Every Month",PipelineImport[Close Date],"&gt;="&amp;BJ$4,PipelineImport[Close Date],"&lt;="&amp;BJ$8)</f>
        <v>0</v>
      </c>
      <c r="BK11" s="424">
        <f>SUMIFS(PipelineImport[Weight Average],PipelineImport[Length],"Every Month",PipelineImport[Close Date],"&gt;="&amp;BK$4,PipelineImport[Close Date],"&lt;="&amp;BK$8)</f>
        <v>12475</v>
      </c>
      <c r="BL11" s="424">
        <f>SUMIFS(PipelineImport[Weight Average],PipelineImport[Length],"Every Month",PipelineImport[Close Date],"&gt;="&amp;BL$4,PipelineImport[Close Date],"&lt;="&amp;BL$8)</f>
        <v>0</v>
      </c>
      <c r="BM11" s="424">
        <f>SUMIFS(PipelineImport[Weight Average],PipelineImport[Length],"Every Month",PipelineImport[Close Date],"&gt;="&amp;BM$4,PipelineImport[Close Date],"&lt;="&amp;BM$8)</f>
        <v>17505</v>
      </c>
      <c r="BN11" s="424">
        <f>SUMIFS(PipelineImport[Weight Average],PipelineImport[Length],"Every Month",PipelineImport[Close Date],"&gt;="&amp;BN$4,PipelineImport[Close Date],"&lt;="&amp;BN$8)</f>
        <v>1600</v>
      </c>
      <c r="BO11" s="424">
        <f>SUMIFS(PipelineImport[Weight Average],PipelineImport[Length],"Every Month",PipelineImport[Close Date],"&gt;="&amp;BO$4,PipelineImport[Close Date],"&lt;="&amp;BO$8)</f>
        <v>20900</v>
      </c>
      <c r="BP11" s="424">
        <f>SUMIFS(PipelineImport[Weight Average],PipelineImport[Length],"Every Month",PipelineImport[Close Date],"&gt;="&amp;BP$4,PipelineImport[Close Date],"&lt;="&amp;BP$8)</f>
        <v>31437.5</v>
      </c>
      <c r="BQ11" s="424">
        <f>SUMIFS(PipelineImport[Weight Average],PipelineImport[Length],"Every Month",PipelineImport[Close Date],"&gt;="&amp;BQ$4,PipelineImport[Close Date],"&lt;="&amp;BQ$8)</f>
        <v>25337.5</v>
      </c>
      <c r="BR11" s="424">
        <f>SUMIFS(PipelineImport[Weight Average],PipelineImport[Length],"Every Month",PipelineImport[Close Date],"&gt;="&amp;BR$4,PipelineImport[Close Date],"&lt;="&amp;BR$8)</f>
        <v>22900</v>
      </c>
      <c r="BS11" s="424">
        <f>SUMIFS(PipelineImport[Weight Average],PipelineImport[Length],"Every Month",PipelineImport[Close Date],"&gt;="&amp;BS$4,PipelineImport[Close Date],"&lt;="&amp;BS$8)</f>
        <v>0</v>
      </c>
      <c r="BT11" s="424">
        <f>SUMIFS(PipelineImport[Weight Average],PipelineImport[Length],"Every Month",PipelineImport[Close Date],"&gt;="&amp;BT$4,PipelineImport[Close Date],"&lt;="&amp;BT$8)</f>
        <v>0</v>
      </c>
      <c r="BU11" s="424">
        <f>SUMIFS(PipelineImport[Weight Average],PipelineImport[Length],"Every Month",PipelineImport[Close Date],"&gt;="&amp;BU$4,PipelineImport[Close Date],"&lt;="&amp;BU$8)</f>
        <v>0</v>
      </c>
      <c r="BV11" s="424">
        <f>SUMIFS(PipelineImport[Weight Average],PipelineImport[Length],"Every Month",PipelineImport[Close Date],"&gt;="&amp;BV$4,PipelineImport[Close Date],"&lt;="&amp;BV$8)</f>
        <v>0</v>
      </c>
      <c r="BW11" s="424">
        <f>SUMIFS(PipelineImport[Weight Average],PipelineImport[Length],"Every Month",PipelineImport[Close Date],"&gt;="&amp;BW$4,PipelineImport[Close Date],"&lt;="&amp;BW$8)</f>
        <v>0</v>
      </c>
      <c r="BX11" s="424">
        <f>SUMIFS(PipelineImport[Weight Average],PipelineImport[Length],"Every Month",PipelineImport[Close Date],"&gt;="&amp;BX$4,PipelineImport[Close Date],"&lt;="&amp;BX$8)</f>
        <v>0</v>
      </c>
      <c r="BY11" s="424">
        <f>SUMIFS(PipelineImport[Weight Average],PipelineImport[Length],"Every Month",PipelineImport[Close Date],"&gt;="&amp;BY$4,PipelineImport[Close Date],"&lt;="&amp;BY$8)</f>
        <v>0</v>
      </c>
      <c r="BZ11" s="424">
        <f>SUMIFS(PipelineImport[Weight Average],PipelineImport[Length],"Every Month",PipelineImport[Close Date],"&gt;="&amp;BZ$4,PipelineImport[Close Date],"&lt;="&amp;BZ$8)</f>
        <v>0</v>
      </c>
      <c r="CA11" s="424">
        <f>SUMIFS(PipelineImport[Weight Average],PipelineImport[Length],"Every Month",PipelineImport[Close Date],"&gt;="&amp;CA$4,PipelineImport[Close Date],"&lt;="&amp;CA$8)</f>
        <v>0</v>
      </c>
    </row>
    <row r="12" spans="1:79" outlineLevel="1">
      <c r="D12" s="419" t="s">
        <v>503</v>
      </c>
      <c r="G12" s="359"/>
      <c r="H12" s="410">
        <f t="shared" si="14"/>
        <v>0</v>
      </c>
      <c r="I12" s="410">
        <f t="shared" si="14"/>
        <v>243250</v>
      </c>
      <c r="J12" s="410">
        <f t="shared" si="14"/>
        <v>486350</v>
      </c>
      <c r="K12" s="410">
        <f t="shared" si="14"/>
        <v>1893927.5</v>
      </c>
      <c r="L12" s="410"/>
      <c r="M12" s="410"/>
      <c r="N12" s="410">
        <f t="shared" si="15"/>
        <v>0</v>
      </c>
      <c r="O12" s="410">
        <f t="shared" si="15"/>
        <v>0</v>
      </c>
      <c r="P12" s="410">
        <f t="shared" si="15"/>
        <v>0</v>
      </c>
      <c r="Q12" s="410">
        <f t="shared" si="15"/>
        <v>0</v>
      </c>
      <c r="R12" s="410">
        <f t="shared" si="15"/>
        <v>32550</v>
      </c>
      <c r="S12" s="410">
        <f t="shared" si="15"/>
        <v>48700</v>
      </c>
      <c r="T12" s="410">
        <f t="shared" si="15"/>
        <v>81000</v>
      </c>
      <c r="U12" s="410">
        <f t="shared" si="15"/>
        <v>81000</v>
      </c>
      <c r="V12" s="410">
        <f t="shared" si="15"/>
        <v>81000</v>
      </c>
      <c r="W12" s="410">
        <f t="shared" si="15"/>
        <v>89400</v>
      </c>
      <c r="X12" s="410">
        <f t="shared" si="15"/>
        <v>127195</v>
      </c>
      <c r="Y12" s="410">
        <f t="shared" si="15"/>
        <v>188755</v>
      </c>
      <c r="Z12" s="410">
        <f t="shared" si="15"/>
        <v>360372.5</v>
      </c>
      <c r="AA12" s="410">
        <f t="shared" si="15"/>
        <v>511185</v>
      </c>
      <c r="AB12" s="410">
        <f t="shared" si="15"/>
        <v>511185</v>
      </c>
      <c r="AC12" s="410">
        <f t="shared" si="15"/>
        <v>511185</v>
      </c>
      <c r="AD12" s="379"/>
      <c r="AE12" s="359"/>
      <c r="AF12" s="428"/>
      <c r="AG12" s="426">
        <f t="shared" ref="AG12:CA12" si="16">AF10</f>
        <v>0</v>
      </c>
      <c r="AH12" s="426">
        <f t="shared" si="16"/>
        <v>0</v>
      </c>
      <c r="AI12" s="426">
        <f t="shared" si="16"/>
        <v>0</v>
      </c>
      <c r="AJ12" s="426">
        <f t="shared" si="16"/>
        <v>0</v>
      </c>
      <c r="AK12" s="426">
        <f t="shared" si="16"/>
        <v>0</v>
      </c>
      <c r="AL12" s="426">
        <f t="shared" si="16"/>
        <v>0</v>
      </c>
      <c r="AM12" s="426">
        <f t="shared" si="16"/>
        <v>0</v>
      </c>
      <c r="AN12" s="426">
        <f t="shared" si="16"/>
        <v>0</v>
      </c>
      <c r="AO12" s="426">
        <f t="shared" si="16"/>
        <v>0</v>
      </c>
      <c r="AP12" s="426">
        <f t="shared" si="16"/>
        <v>0</v>
      </c>
      <c r="AQ12" s="426">
        <f t="shared" si="16"/>
        <v>0</v>
      </c>
      <c r="AR12" s="426">
        <f t="shared" si="16"/>
        <v>10850</v>
      </c>
      <c r="AS12" s="426">
        <f t="shared" si="16"/>
        <v>10850</v>
      </c>
      <c r="AT12" s="426">
        <f t="shared" si="16"/>
        <v>10850</v>
      </c>
      <c r="AU12" s="426">
        <f t="shared" si="16"/>
        <v>10850</v>
      </c>
      <c r="AV12" s="426">
        <f t="shared" si="16"/>
        <v>10850</v>
      </c>
      <c r="AW12" s="426">
        <f t="shared" si="16"/>
        <v>27000</v>
      </c>
      <c r="AX12" s="426">
        <f t="shared" si="16"/>
        <v>27000</v>
      </c>
      <c r="AY12" s="426">
        <f t="shared" si="16"/>
        <v>27000</v>
      </c>
      <c r="AZ12" s="426">
        <f t="shared" si="16"/>
        <v>27000</v>
      </c>
      <c r="BA12" s="426">
        <f t="shared" si="16"/>
        <v>27000</v>
      </c>
      <c r="BB12" s="426">
        <f t="shared" si="16"/>
        <v>27000</v>
      </c>
      <c r="BC12" s="426">
        <f t="shared" si="16"/>
        <v>27000</v>
      </c>
      <c r="BD12" s="426">
        <f t="shared" si="16"/>
        <v>27000</v>
      </c>
      <c r="BE12" s="426">
        <f t="shared" si="16"/>
        <v>27000</v>
      </c>
      <c r="BF12" s="426">
        <f t="shared" si="16"/>
        <v>27000</v>
      </c>
      <c r="BG12" s="426">
        <f t="shared" si="16"/>
        <v>29800</v>
      </c>
      <c r="BH12" s="426">
        <f t="shared" si="16"/>
        <v>29800</v>
      </c>
      <c r="BI12" s="426">
        <f t="shared" si="16"/>
        <v>29800</v>
      </c>
      <c r="BJ12" s="426">
        <f t="shared" si="16"/>
        <v>38240</v>
      </c>
      <c r="BK12" s="426">
        <f t="shared" si="16"/>
        <v>38240</v>
      </c>
      <c r="BL12" s="426">
        <f t="shared" si="16"/>
        <v>50715</v>
      </c>
      <c r="BM12" s="426">
        <f t="shared" si="16"/>
        <v>50715</v>
      </c>
      <c r="BN12" s="426">
        <f t="shared" si="16"/>
        <v>68220</v>
      </c>
      <c r="BO12" s="426">
        <f t="shared" si="16"/>
        <v>69820</v>
      </c>
      <c r="BP12" s="426">
        <f t="shared" si="16"/>
        <v>90720</v>
      </c>
      <c r="BQ12" s="426">
        <f t="shared" si="16"/>
        <v>122157.5</v>
      </c>
      <c r="BR12" s="426">
        <f t="shared" si="16"/>
        <v>147495</v>
      </c>
      <c r="BS12" s="426">
        <f t="shared" si="16"/>
        <v>170395</v>
      </c>
      <c r="BT12" s="426">
        <f t="shared" si="16"/>
        <v>170395</v>
      </c>
      <c r="BU12" s="426">
        <f t="shared" si="16"/>
        <v>170395</v>
      </c>
      <c r="BV12" s="426">
        <f t="shared" si="16"/>
        <v>170395</v>
      </c>
      <c r="BW12" s="426">
        <f t="shared" si="16"/>
        <v>170395</v>
      </c>
      <c r="BX12" s="426">
        <f t="shared" si="16"/>
        <v>170395</v>
      </c>
      <c r="BY12" s="426">
        <f t="shared" si="16"/>
        <v>170395</v>
      </c>
      <c r="BZ12" s="426">
        <f t="shared" si="16"/>
        <v>170395</v>
      </c>
      <c r="CA12" s="426">
        <f t="shared" si="16"/>
        <v>170395</v>
      </c>
    </row>
    <row r="13" spans="1:79" outlineLevel="1">
      <c r="D13" s="419"/>
      <c r="G13" s="359"/>
      <c r="H13" s="427"/>
      <c r="I13" s="427"/>
      <c r="J13" s="427"/>
      <c r="K13" s="427"/>
      <c r="L13" s="379"/>
      <c r="M13" s="359"/>
      <c r="N13" s="427"/>
      <c r="O13" s="427"/>
      <c r="P13" s="427"/>
      <c r="Q13" s="427"/>
      <c r="R13" s="427"/>
      <c r="S13" s="427"/>
      <c r="T13" s="427"/>
      <c r="U13" s="427"/>
      <c r="V13" s="427"/>
      <c r="W13" s="427"/>
      <c r="X13" s="427"/>
      <c r="Y13" s="427"/>
      <c r="Z13" s="427"/>
      <c r="AA13" s="427"/>
      <c r="AB13" s="427"/>
      <c r="AC13" s="427"/>
      <c r="AD13" s="379"/>
      <c r="AE13" s="359"/>
      <c r="AF13" s="422"/>
      <c r="AG13" s="421"/>
      <c r="AH13" s="421"/>
      <c r="AI13" s="421"/>
      <c r="AJ13" s="421"/>
      <c r="AK13" s="421"/>
      <c r="AL13" s="421"/>
      <c r="AM13" s="421"/>
      <c r="AN13" s="421"/>
      <c r="AO13" s="421"/>
      <c r="AP13" s="421"/>
      <c r="AQ13" s="421"/>
      <c r="AR13" s="421"/>
      <c r="AS13" s="421"/>
      <c r="AT13" s="421"/>
      <c r="AU13" s="421"/>
      <c r="AV13" s="421"/>
      <c r="AW13" s="421"/>
      <c r="AX13" s="421"/>
      <c r="AY13" s="421"/>
      <c r="AZ13" s="421"/>
      <c r="BA13" s="421"/>
      <c r="BB13" s="421"/>
      <c r="BC13" s="421"/>
      <c r="BD13" s="421"/>
      <c r="BE13" s="421"/>
      <c r="BF13" s="421"/>
      <c r="BG13" s="421"/>
      <c r="BH13" s="421"/>
      <c r="BI13" s="421"/>
      <c r="BJ13" s="421"/>
      <c r="BK13" s="421"/>
      <c r="BL13" s="421"/>
      <c r="BM13" s="421"/>
      <c r="BN13" s="421"/>
      <c r="BO13" s="421"/>
      <c r="BP13" s="421"/>
      <c r="BQ13" s="421"/>
      <c r="BR13" s="421"/>
      <c r="BS13" s="421"/>
      <c r="BT13" s="421"/>
      <c r="BU13" s="421"/>
      <c r="BV13" s="421"/>
      <c r="BW13" s="421"/>
      <c r="BX13" s="421"/>
      <c r="BY13" s="421"/>
      <c r="BZ13" s="421"/>
      <c r="CA13" s="421"/>
    </row>
    <row r="14" spans="1:79" ht="15" outlineLevel="1">
      <c r="B14" s="367"/>
      <c r="C14" s="365" t="s">
        <v>160</v>
      </c>
      <c r="D14" s="366"/>
      <c r="E14" s="365"/>
      <c r="G14" s="359"/>
      <c r="H14" s="378">
        <f>SUMIFS($AF14:$CA14,$AF$6:$CA$6,H$6)</f>
        <v>0</v>
      </c>
      <c r="I14" s="378">
        <f>SUMIFS($AF14:$CA14,$AF$6:$CA$6,I$6)</f>
        <v>79987.5</v>
      </c>
      <c r="J14" s="378">
        <f>SUMIFS($AF14:$CA14,$AF$6:$CA$6,J$6)</f>
        <v>232675</v>
      </c>
      <c r="K14" s="378">
        <f>SUMIFS($AF14:$CA14,$AF$6:$CA$6,K$6)</f>
        <v>798430</v>
      </c>
      <c r="M14" s="359"/>
      <c r="N14" s="378">
        <f t="shared" ref="N14:AC14" si="17">SUMIFS($AF14:$CA14,$AF$6:$CA$6,N$6,$AF$7:$CA$7,N$7)</f>
        <v>0</v>
      </c>
      <c r="O14" s="378">
        <f t="shared" si="17"/>
        <v>0</v>
      </c>
      <c r="P14" s="378">
        <f t="shared" si="17"/>
        <v>0</v>
      </c>
      <c r="Q14" s="378">
        <f t="shared" si="17"/>
        <v>0</v>
      </c>
      <c r="R14" s="378">
        <f t="shared" si="17"/>
        <v>16350</v>
      </c>
      <c r="S14" s="378">
        <f t="shared" si="17"/>
        <v>21212.5</v>
      </c>
      <c r="T14" s="378">
        <f t="shared" si="17"/>
        <v>21212.5</v>
      </c>
      <c r="U14" s="378">
        <f t="shared" si="17"/>
        <v>21212.5</v>
      </c>
      <c r="V14" s="378">
        <f t="shared" si="17"/>
        <v>21212.5</v>
      </c>
      <c r="W14" s="378">
        <f t="shared" si="17"/>
        <v>46982.5</v>
      </c>
      <c r="X14" s="378">
        <f t="shared" si="17"/>
        <v>72452.5</v>
      </c>
      <c r="Y14" s="378">
        <f t="shared" si="17"/>
        <v>92027.5</v>
      </c>
      <c r="Z14" s="378">
        <f t="shared" si="17"/>
        <v>199607.5</v>
      </c>
      <c r="AA14" s="378">
        <f t="shared" si="17"/>
        <v>199607.5</v>
      </c>
      <c r="AB14" s="378">
        <f t="shared" si="17"/>
        <v>199607.5</v>
      </c>
      <c r="AC14" s="378">
        <f t="shared" si="17"/>
        <v>199607.5</v>
      </c>
      <c r="AE14" s="359"/>
      <c r="AF14" s="425">
        <f t="shared" ref="AF14:CA14" si="18">SUM(AF15:AF16)</f>
        <v>0</v>
      </c>
      <c r="AG14" s="425">
        <f t="shared" si="18"/>
        <v>0</v>
      </c>
      <c r="AH14" s="425">
        <f t="shared" si="18"/>
        <v>0</v>
      </c>
      <c r="AI14" s="425">
        <f t="shared" si="18"/>
        <v>0</v>
      </c>
      <c r="AJ14" s="425">
        <f t="shared" si="18"/>
        <v>0</v>
      </c>
      <c r="AK14" s="425">
        <f t="shared" si="18"/>
        <v>0</v>
      </c>
      <c r="AL14" s="425">
        <f t="shared" si="18"/>
        <v>0</v>
      </c>
      <c r="AM14" s="425">
        <f t="shared" si="18"/>
        <v>0</v>
      </c>
      <c r="AN14" s="425">
        <f t="shared" si="18"/>
        <v>0</v>
      </c>
      <c r="AO14" s="425">
        <f t="shared" si="18"/>
        <v>0</v>
      </c>
      <c r="AP14" s="425">
        <f t="shared" si="18"/>
        <v>0</v>
      </c>
      <c r="AQ14" s="425">
        <f t="shared" si="18"/>
        <v>0</v>
      </c>
      <c r="AR14" s="425">
        <f t="shared" si="18"/>
        <v>16350</v>
      </c>
      <c r="AS14" s="425">
        <f t="shared" si="18"/>
        <v>0</v>
      </c>
      <c r="AT14" s="425">
        <f t="shared" si="18"/>
        <v>0</v>
      </c>
      <c r="AU14" s="425">
        <f t="shared" si="18"/>
        <v>16350</v>
      </c>
      <c r="AV14" s="425">
        <f t="shared" si="18"/>
        <v>4862.5</v>
      </c>
      <c r="AW14" s="425">
        <f t="shared" si="18"/>
        <v>0</v>
      </c>
      <c r="AX14" s="425">
        <f t="shared" si="18"/>
        <v>16350</v>
      </c>
      <c r="AY14" s="425">
        <f t="shared" si="18"/>
        <v>4862.5</v>
      </c>
      <c r="AZ14" s="425">
        <f t="shared" si="18"/>
        <v>0</v>
      </c>
      <c r="BA14" s="425">
        <f t="shared" si="18"/>
        <v>16350</v>
      </c>
      <c r="BB14" s="425">
        <f t="shared" si="18"/>
        <v>4862.5</v>
      </c>
      <c r="BC14" s="425">
        <f t="shared" si="18"/>
        <v>0</v>
      </c>
      <c r="BD14" s="425">
        <f t="shared" si="18"/>
        <v>16350</v>
      </c>
      <c r="BE14" s="425">
        <f t="shared" si="18"/>
        <v>4862.5</v>
      </c>
      <c r="BF14" s="425">
        <f t="shared" si="18"/>
        <v>0</v>
      </c>
      <c r="BG14" s="425">
        <f t="shared" si="18"/>
        <v>28142.5</v>
      </c>
      <c r="BH14" s="425">
        <f t="shared" si="18"/>
        <v>7450</v>
      </c>
      <c r="BI14" s="425">
        <f t="shared" si="18"/>
        <v>11390</v>
      </c>
      <c r="BJ14" s="425">
        <f t="shared" si="18"/>
        <v>28142.5</v>
      </c>
      <c r="BK14" s="425">
        <f t="shared" si="18"/>
        <v>27130</v>
      </c>
      <c r="BL14" s="425">
        <f t="shared" si="18"/>
        <v>17180</v>
      </c>
      <c r="BM14" s="425">
        <f t="shared" si="18"/>
        <v>28892.5</v>
      </c>
      <c r="BN14" s="425">
        <f t="shared" si="18"/>
        <v>39705</v>
      </c>
      <c r="BO14" s="425">
        <f t="shared" si="18"/>
        <v>23430</v>
      </c>
      <c r="BP14" s="425">
        <f t="shared" si="18"/>
        <v>44185</v>
      </c>
      <c r="BQ14" s="425">
        <f t="shared" si="18"/>
        <v>84980</v>
      </c>
      <c r="BR14" s="425">
        <f t="shared" si="18"/>
        <v>70442.5</v>
      </c>
      <c r="BS14" s="425">
        <f t="shared" si="18"/>
        <v>44185</v>
      </c>
      <c r="BT14" s="425">
        <f t="shared" si="18"/>
        <v>84980</v>
      </c>
      <c r="BU14" s="425">
        <f t="shared" si="18"/>
        <v>70442.5</v>
      </c>
      <c r="BV14" s="425">
        <f t="shared" si="18"/>
        <v>44185</v>
      </c>
      <c r="BW14" s="425">
        <f t="shared" si="18"/>
        <v>84980</v>
      </c>
      <c r="BX14" s="425">
        <f t="shared" si="18"/>
        <v>70442.5</v>
      </c>
      <c r="BY14" s="425">
        <f t="shared" si="18"/>
        <v>44185</v>
      </c>
      <c r="BZ14" s="425">
        <f t="shared" si="18"/>
        <v>84980</v>
      </c>
      <c r="CA14" s="425">
        <f t="shared" si="18"/>
        <v>70442.5</v>
      </c>
    </row>
    <row r="15" spans="1:79" outlineLevel="1">
      <c r="C15" s="380"/>
      <c r="D15" s="419" t="s">
        <v>502</v>
      </c>
      <c r="G15" s="359"/>
      <c r="H15" s="410">
        <f t="shared" ref="H15:K16" si="19">SUMIFS($AF15:$CA15,$AF$4:$CA$4,"&gt;="&amp;H$4,$AF$5:$CA$5,"&lt;="&amp;H$5)</f>
        <v>0</v>
      </c>
      <c r="I15" s="410">
        <f t="shared" si="19"/>
        <v>21212.5</v>
      </c>
      <c r="J15" s="410">
        <f t="shared" si="19"/>
        <v>70815</v>
      </c>
      <c r="K15" s="410">
        <f t="shared" si="19"/>
        <v>107580</v>
      </c>
      <c r="L15" s="410"/>
      <c r="M15" s="410"/>
      <c r="N15" s="410">
        <f t="shared" ref="N15:AC16" si="20">SUMIFS($AF15:$CA15,$AF$4:$CA$4,"&gt;="&amp;N$4,$AF$5:$CA$5,"&lt;="&amp;N$5)</f>
        <v>0</v>
      </c>
      <c r="O15" s="410">
        <f t="shared" si="20"/>
        <v>0</v>
      </c>
      <c r="P15" s="410">
        <f t="shared" si="20"/>
        <v>0</v>
      </c>
      <c r="Q15" s="410">
        <f t="shared" si="20"/>
        <v>0</v>
      </c>
      <c r="R15" s="410">
        <f t="shared" si="20"/>
        <v>16350</v>
      </c>
      <c r="S15" s="410">
        <f t="shared" si="20"/>
        <v>4862.5</v>
      </c>
      <c r="T15" s="410">
        <f t="shared" si="20"/>
        <v>0</v>
      </c>
      <c r="U15" s="410">
        <f t="shared" si="20"/>
        <v>0</v>
      </c>
      <c r="V15" s="410">
        <f t="shared" si="20"/>
        <v>0</v>
      </c>
      <c r="W15" s="410">
        <f t="shared" si="20"/>
        <v>25770</v>
      </c>
      <c r="X15" s="410">
        <f t="shared" si="20"/>
        <v>25470</v>
      </c>
      <c r="Y15" s="410">
        <f t="shared" si="20"/>
        <v>19575</v>
      </c>
      <c r="Z15" s="410">
        <f t="shared" si="20"/>
        <v>107580</v>
      </c>
      <c r="AA15" s="410">
        <f t="shared" si="20"/>
        <v>0</v>
      </c>
      <c r="AB15" s="410">
        <f t="shared" si="20"/>
        <v>0</v>
      </c>
      <c r="AC15" s="410">
        <f t="shared" si="20"/>
        <v>0</v>
      </c>
      <c r="AD15" s="379"/>
      <c r="AE15" s="359"/>
      <c r="AF15" s="424">
        <f>SUMIFS(PipelineImport[Weight Average],PipelineImport[Length],"Every Quarter",PipelineImport[Close Date],"&gt;="&amp;AF$4,PipelineImport[Close Date],"&lt;="&amp;AF$8)</f>
        <v>0</v>
      </c>
      <c r="AG15" s="424">
        <f>SUMIFS(PipelineImport[Weight Average],PipelineImport[Length],"Every Quarter",PipelineImport[Close Date],"&gt;="&amp;AG$4,PipelineImport[Close Date],"&lt;="&amp;AG$8)</f>
        <v>0</v>
      </c>
      <c r="AH15" s="424">
        <f>SUMIFS(PipelineImport[Weight Average],PipelineImport[Length],"Every Quarter",PipelineImport[Close Date],"&gt;="&amp;AH$4,PipelineImport[Close Date],"&lt;="&amp;AH$8)</f>
        <v>0</v>
      </c>
      <c r="AI15" s="424">
        <f>SUMIFS(PipelineImport[Weight Average],PipelineImport[Length],"Every Quarter",PipelineImport[Close Date],"&gt;="&amp;AI$4,PipelineImport[Close Date],"&lt;="&amp;AI$8)</f>
        <v>0</v>
      </c>
      <c r="AJ15" s="424">
        <f>SUMIFS(PipelineImport[Weight Average],PipelineImport[Length],"Every Quarter",PipelineImport[Close Date],"&gt;="&amp;AJ$4,PipelineImport[Close Date],"&lt;="&amp;AJ$8)</f>
        <v>0</v>
      </c>
      <c r="AK15" s="424">
        <f>SUMIFS(PipelineImport[Weight Average],PipelineImport[Length],"Every Quarter",PipelineImport[Close Date],"&gt;="&amp;AK$4,PipelineImport[Close Date],"&lt;="&amp;AK$8)</f>
        <v>0</v>
      </c>
      <c r="AL15" s="424">
        <f>SUMIFS(PipelineImport[Weight Average],PipelineImport[Length],"Every Quarter",PipelineImport[Close Date],"&gt;="&amp;AL$4,PipelineImport[Close Date],"&lt;="&amp;AL$8)</f>
        <v>0</v>
      </c>
      <c r="AM15" s="424">
        <f>SUMIFS(PipelineImport[Weight Average],PipelineImport[Length],"Every Quarter",PipelineImport[Close Date],"&gt;="&amp;AM$4,PipelineImport[Close Date],"&lt;="&amp;AM$8)</f>
        <v>0</v>
      </c>
      <c r="AN15" s="424">
        <f>SUMIFS(PipelineImport[Weight Average],PipelineImport[Length],"Every Quarter",PipelineImport[Close Date],"&gt;="&amp;AN$4,PipelineImport[Close Date],"&lt;="&amp;AN$8)</f>
        <v>0</v>
      </c>
      <c r="AO15" s="424">
        <f>SUMIFS(PipelineImport[Weight Average],PipelineImport[Length],"Every Quarter",PipelineImport[Close Date],"&gt;="&amp;AO$4,PipelineImport[Close Date],"&lt;="&amp;AO$8)</f>
        <v>0</v>
      </c>
      <c r="AP15" s="424">
        <f>SUMIFS(PipelineImport[Weight Average],PipelineImport[Length],"Every Quarter",PipelineImport[Close Date],"&gt;="&amp;AP$4,PipelineImport[Close Date],"&lt;="&amp;AP$8)</f>
        <v>0</v>
      </c>
      <c r="AQ15" s="424">
        <f>SUMIFS(PipelineImport[Weight Average],PipelineImport[Length],"Every Quarter",PipelineImport[Close Date],"&gt;="&amp;AQ$4,PipelineImport[Close Date],"&lt;="&amp;AQ$8)</f>
        <v>0</v>
      </c>
      <c r="AR15" s="424">
        <f>SUMIFS(PipelineImport[Weight Average],PipelineImport[Length],"Every Quarter",PipelineImport[Close Date],"&gt;="&amp;AR$4,PipelineImport[Close Date],"&lt;="&amp;AR$8)</f>
        <v>16350</v>
      </c>
      <c r="AS15" s="424">
        <f>SUMIFS(PipelineImport[Weight Average],PipelineImport[Length],"Every Quarter",PipelineImport[Close Date],"&gt;="&amp;AS$4,PipelineImport[Close Date],"&lt;="&amp;AS$8)</f>
        <v>0</v>
      </c>
      <c r="AT15" s="424">
        <f>SUMIFS(PipelineImport[Weight Average],PipelineImport[Length],"Every Quarter",PipelineImport[Close Date],"&gt;="&amp;AT$4,PipelineImport[Close Date],"&lt;="&amp;AT$8)</f>
        <v>0</v>
      </c>
      <c r="AU15" s="424">
        <f>SUMIFS(PipelineImport[Weight Average],PipelineImport[Length],"Every Quarter",PipelineImport[Close Date],"&gt;="&amp;AU$4,PipelineImport[Close Date],"&lt;="&amp;AU$8)</f>
        <v>0</v>
      </c>
      <c r="AV15" s="424">
        <f>SUMIFS(PipelineImport[Weight Average],PipelineImport[Length],"Every Quarter",PipelineImport[Close Date],"&gt;="&amp;AV$4,PipelineImport[Close Date],"&lt;="&amp;AV$8)</f>
        <v>4862.5</v>
      </c>
      <c r="AW15" s="424">
        <f>SUMIFS(PipelineImport[Weight Average],PipelineImport[Length],"Every Quarter",PipelineImport[Close Date],"&gt;="&amp;AW$4,PipelineImport[Close Date],"&lt;="&amp;AW$8)</f>
        <v>0</v>
      </c>
      <c r="AX15" s="424">
        <f>SUMIFS(PipelineImport[Weight Average],PipelineImport[Length],"Every Quarter",PipelineImport[Close Date],"&gt;="&amp;AX$4,PipelineImport[Close Date],"&lt;="&amp;AX$8)</f>
        <v>0</v>
      </c>
      <c r="AY15" s="424">
        <f>SUMIFS(PipelineImport[Weight Average],PipelineImport[Length],"Every Quarter",PipelineImport[Close Date],"&gt;="&amp;AY$4,PipelineImport[Close Date],"&lt;="&amp;AY$8)</f>
        <v>0</v>
      </c>
      <c r="AZ15" s="424">
        <f>SUMIFS(PipelineImport[Weight Average],PipelineImport[Length],"Every Quarter",PipelineImport[Close Date],"&gt;="&amp;AZ$4,PipelineImport[Close Date],"&lt;="&amp;AZ$8)</f>
        <v>0</v>
      </c>
      <c r="BA15" s="424">
        <f>SUMIFS(PipelineImport[Weight Average],PipelineImport[Length],"Every Quarter",PipelineImport[Close Date],"&gt;="&amp;BA$4,PipelineImport[Close Date],"&lt;="&amp;BA$8)</f>
        <v>0</v>
      </c>
      <c r="BB15" s="424">
        <f>SUMIFS(PipelineImport[Weight Average],PipelineImport[Length],"Every Quarter",PipelineImport[Close Date],"&gt;="&amp;BB$4,PipelineImport[Close Date],"&lt;="&amp;BB$8)</f>
        <v>0</v>
      </c>
      <c r="BC15" s="424">
        <f>SUMIFS(PipelineImport[Weight Average],PipelineImport[Length],"Every Quarter",PipelineImport[Close Date],"&gt;="&amp;BC$4,PipelineImport[Close Date],"&lt;="&amp;BC$8)</f>
        <v>0</v>
      </c>
      <c r="BD15" s="424">
        <f>SUMIFS(PipelineImport[Weight Average],PipelineImport[Length],"Every Quarter",PipelineImport[Close Date],"&gt;="&amp;BD$4,PipelineImport[Close Date],"&lt;="&amp;BD$8)</f>
        <v>0</v>
      </c>
      <c r="BE15" s="424">
        <f>SUMIFS(PipelineImport[Weight Average],PipelineImport[Length],"Every Quarter",PipelineImport[Close Date],"&gt;="&amp;BE$4,PipelineImport[Close Date],"&lt;="&amp;BE$8)</f>
        <v>0</v>
      </c>
      <c r="BF15" s="424">
        <f>SUMIFS(PipelineImport[Weight Average],PipelineImport[Length],"Every Quarter",PipelineImport[Close Date],"&gt;="&amp;BF$4,PipelineImport[Close Date],"&lt;="&amp;BF$8)</f>
        <v>0</v>
      </c>
      <c r="BG15" s="424">
        <f>SUMIFS(PipelineImport[Weight Average],PipelineImport[Length],"Every Quarter",PipelineImport[Close Date],"&gt;="&amp;BG$4,PipelineImport[Close Date],"&lt;="&amp;BG$8)</f>
        <v>11792.5</v>
      </c>
      <c r="BH15" s="424">
        <f>SUMIFS(PipelineImport[Weight Average],PipelineImport[Length],"Every Quarter",PipelineImport[Close Date],"&gt;="&amp;BH$4,PipelineImport[Close Date],"&lt;="&amp;BH$8)</f>
        <v>2587.5</v>
      </c>
      <c r="BI15" s="424">
        <f>SUMIFS(PipelineImport[Weight Average],PipelineImport[Length],"Every Quarter",PipelineImport[Close Date],"&gt;="&amp;BI$4,PipelineImport[Close Date],"&lt;="&amp;BI$8)</f>
        <v>11390</v>
      </c>
      <c r="BJ15" s="424">
        <f>SUMIFS(PipelineImport[Weight Average],PipelineImport[Length],"Every Quarter",PipelineImport[Close Date],"&gt;="&amp;BJ$4,PipelineImport[Close Date],"&lt;="&amp;BJ$8)</f>
        <v>0</v>
      </c>
      <c r="BK15" s="424">
        <f>SUMIFS(PipelineImport[Weight Average],PipelineImport[Length],"Every Quarter",PipelineImport[Close Date],"&gt;="&amp;BK$4,PipelineImport[Close Date],"&lt;="&amp;BK$8)</f>
        <v>19680</v>
      </c>
      <c r="BL15" s="424">
        <f>SUMIFS(PipelineImport[Weight Average],PipelineImport[Length],"Every Quarter",PipelineImport[Close Date],"&gt;="&amp;BL$4,PipelineImport[Close Date],"&lt;="&amp;BL$8)</f>
        <v>5790</v>
      </c>
      <c r="BM15" s="424">
        <f>SUMIFS(PipelineImport[Weight Average],PipelineImport[Length],"Every Quarter",PipelineImport[Close Date],"&gt;="&amp;BM$4,PipelineImport[Close Date],"&lt;="&amp;BM$8)</f>
        <v>750</v>
      </c>
      <c r="BN15" s="424">
        <f>SUMIFS(PipelineImport[Weight Average],PipelineImport[Length],"Every Quarter",PipelineImport[Close Date],"&gt;="&amp;BN$4,PipelineImport[Close Date],"&lt;="&amp;BN$8)</f>
        <v>12575</v>
      </c>
      <c r="BO15" s="424">
        <f>SUMIFS(PipelineImport[Weight Average],PipelineImport[Length],"Every Quarter",PipelineImport[Close Date],"&gt;="&amp;BO$4,PipelineImport[Close Date],"&lt;="&amp;BO$8)</f>
        <v>6250</v>
      </c>
      <c r="BP15" s="424">
        <f>SUMIFS(PipelineImport[Weight Average],PipelineImport[Length],"Every Quarter",PipelineImport[Close Date],"&gt;="&amp;BP$4,PipelineImport[Close Date],"&lt;="&amp;BP$8)</f>
        <v>15292.5</v>
      </c>
      <c r="BQ15" s="424">
        <f>SUMIFS(PipelineImport[Weight Average],PipelineImport[Length],"Every Quarter",PipelineImport[Close Date],"&gt;="&amp;BQ$4,PipelineImport[Close Date],"&lt;="&amp;BQ$8)</f>
        <v>45275</v>
      </c>
      <c r="BR15" s="424">
        <f>SUMIFS(PipelineImport[Weight Average],PipelineImport[Length],"Every Quarter",PipelineImport[Close Date],"&gt;="&amp;BR$4,PipelineImport[Close Date],"&lt;="&amp;BR$8)</f>
        <v>47012.5</v>
      </c>
      <c r="BS15" s="424">
        <f>SUMIFS(PipelineImport[Weight Average],PipelineImport[Length],"Every Quarter",PipelineImport[Close Date],"&gt;="&amp;BS$4,PipelineImport[Close Date],"&lt;="&amp;BS$8)</f>
        <v>0</v>
      </c>
      <c r="BT15" s="424">
        <f>SUMIFS(PipelineImport[Weight Average],PipelineImport[Length],"Every Quarter",PipelineImport[Close Date],"&gt;="&amp;BT$4,PipelineImport[Close Date],"&lt;="&amp;BT$8)</f>
        <v>0</v>
      </c>
      <c r="BU15" s="424">
        <f>SUMIFS(PipelineImport[Weight Average],PipelineImport[Length],"Every Quarter",PipelineImport[Close Date],"&gt;="&amp;BU$4,PipelineImport[Close Date],"&lt;="&amp;BU$8)</f>
        <v>0</v>
      </c>
      <c r="BV15" s="424">
        <f>SUMIFS(PipelineImport[Weight Average],PipelineImport[Length],"Every Quarter",PipelineImport[Close Date],"&gt;="&amp;BV$4,PipelineImport[Close Date],"&lt;="&amp;BV$8)</f>
        <v>0</v>
      </c>
      <c r="BW15" s="424">
        <f>SUMIFS(PipelineImport[Weight Average],PipelineImport[Length],"Every Quarter",PipelineImport[Close Date],"&gt;="&amp;BW$4,PipelineImport[Close Date],"&lt;="&amp;BW$8)</f>
        <v>0</v>
      </c>
      <c r="BX15" s="424">
        <f>SUMIFS(PipelineImport[Weight Average],PipelineImport[Length],"Every Quarter",PipelineImport[Close Date],"&gt;="&amp;BX$4,PipelineImport[Close Date],"&lt;="&amp;BX$8)</f>
        <v>0</v>
      </c>
      <c r="BY15" s="424">
        <f>SUMIFS(PipelineImport[Weight Average],PipelineImport[Length],"Every Quarter",PipelineImport[Close Date],"&gt;="&amp;BY$4,PipelineImport[Close Date],"&lt;="&amp;BY$8)</f>
        <v>0</v>
      </c>
      <c r="BZ15" s="424">
        <f>SUMIFS(PipelineImport[Weight Average],PipelineImport[Length],"Every Quarter",PipelineImport[Close Date],"&gt;="&amp;BZ$4,PipelineImport[Close Date],"&lt;="&amp;BZ$8)</f>
        <v>0</v>
      </c>
      <c r="CA15" s="424">
        <f>SUMIFS(PipelineImport[Weight Average],PipelineImport[Length],"Every Quarter",PipelineImport[Close Date],"&gt;="&amp;CA$4,PipelineImport[Close Date],"&lt;="&amp;CA$8)</f>
        <v>0</v>
      </c>
    </row>
    <row r="16" spans="1:79" outlineLevel="1">
      <c r="C16" s="380"/>
      <c r="D16" s="419" t="s">
        <v>503</v>
      </c>
      <c r="G16" s="359"/>
      <c r="H16" s="410">
        <f t="shared" si="19"/>
        <v>0</v>
      </c>
      <c r="I16" s="410">
        <f t="shared" si="19"/>
        <v>58775</v>
      </c>
      <c r="J16" s="410">
        <f t="shared" si="19"/>
        <v>161860</v>
      </c>
      <c r="K16" s="410">
        <f t="shared" si="19"/>
        <v>690850</v>
      </c>
      <c r="L16" s="410"/>
      <c r="M16" s="410"/>
      <c r="N16" s="410">
        <f t="shared" si="20"/>
        <v>0</v>
      </c>
      <c r="O16" s="410">
        <f t="shared" si="20"/>
        <v>0</v>
      </c>
      <c r="P16" s="410">
        <f t="shared" si="20"/>
        <v>0</v>
      </c>
      <c r="Q16" s="410">
        <f t="shared" si="20"/>
        <v>0</v>
      </c>
      <c r="R16" s="410">
        <f t="shared" si="20"/>
        <v>0</v>
      </c>
      <c r="S16" s="410">
        <f t="shared" si="20"/>
        <v>16350</v>
      </c>
      <c r="T16" s="410">
        <f t="shared" si="20"/>
        <v>21212.5</v>
      </c>
      <c r="U16" s="410">
        <f t="shared" si="20"/>
        <v>21212.5</v>
      </c>
      <c r="V16" s="410">
        <f t="shared" si="20"/>
        <v>21212.5</v>
      </c>
      <c r="W16" s="410">
        <f t="shared" si="20"/>
        <v>21212.5</v>
      </c>
      <c r="X16" s="410">
        <f t="shared" si="20"/>
        <v>46982.5</v>
      </c>
      <c r="Y16" s="410">
        <f t="shared" si="20"/>
        <v>72452.5</v>
      </c>
      <c r="Z16" s="410">
        <f t="shared" si="20"/>
        <v>92027.5</v>
      </c>
      <c r="AA16" s="410">
        <f t="shared" si="20"/>
        <v>199607.5</v>
      </c>
      <c r="AB16" s="410">
        <f t="shared" si="20"/>
        <v>199607.5</v>
      </c>
      <c r="AC16" s="410">
        <f t="shared" si="20"/>
        <v>199607.5</v>
      </c>
      <c r="AD16" s="379"/>
      <c r="AE16" s="359"/>
      <c r="AF16" s="422"/>
      <c r="AG16" s="421"/>
      <c r="AH16" s="421"/>
      <c r="AI16" s="426">
        <f t="shared" ref="AI16:CA16" si="21">AF14</f>
        <v>0</v>
      </c>
      <c r="AJ16" s="426">
        <f t="shared" si="21"/>
        <v>0</v>
      </c>
      <c r="AK16" s="426">
        <f t="shared" si="21"/>
        <v>0</v>
      </c>
      <c r="AL16" s="426">
        <f t="shared" si="21"/>
        <v>0</v>
      </c>
      <c r="AM16" s="426">
        <f t="shared" si="21"/>
        <v>0</v>
      </c>
      <c r="AN16" s="426">
        <f t="shared" si="21"/>
        <v>0</v>
      </c>
      <c r="AO16" s="426">
        <f t="shared" si="21"/>
        <v>0</v>
      </c>
      <c r="AP16" s="426">
        <f t="shared" si="21"/>
        <v>0</v>
      </c>
      <c r="AQ16" s="426">
        <f t="shared" si="21"/>
        <v>0</v>
      </c>
      <c r="AR16" s="426">
        <f t="shared" si="21"/>
        <v>0</v>
      </c>
      <c r="AS16" s="426">
        <f t="shared" si="21"/>
        <v>0</v>
      </c>
      <c r="AT16" s="426">
        <f t="shared" si="21"/>
        <v>0</v>
      </c>
      <c r="AU16" s="426">
        <f t="shared" si="21"/>
        <v>16350</v>
      </c>
      <c r="AV16" s="426">
        <f t="shared" si="21"/>
        <v>0</v>
      </c>
      <c r="AW16" s="426">
        <f t="shared" si="21"/>
        <v>0</v>
      </c>
      <c r="AX16" s="426">
        <f t="shared" si="21"/>
        <v>16350</v>
      </c>
      <c r="AY16" s="426">
        <f t="shared" si="21"/>
        <v>4862.5</v>
      </c>
      <c r="AZ16" s="426">
        <f t="shared" si="21"/>
        <v>0</v>
      </c>
      <c r="BA16" s="426">
        <f t="shared" si="21"/>
        <v>16350</v>
      </c>
      <c r="BB16" s="426">
        <f t="shared" si="21"/>
        <v>4862.5</v>
      </c>
      <c r="BC16" s="426">
        <f t="shared" si="21"/>
        <v>0</v>
      </c>
      <c r="BD16" s="426">
        <f t="shared" si="21"/>
        <v>16350</v>
      </c>
      <c r="BE16" s="426">
        <f t="shared" si="21"/>
        <v>4862.5</v>
      </c>
      <c r="BF16" s="426">
        <f t="shared" si="21"/>
        <v>0</v>
      </c>
      <c r="BG16" s="426">
        <f t="shared" si="21"/>
        <v>16350</v>
      </c>
      <c r="BH16" s="426">
        <f t="shared" si="21"/>
        <v>4862.5</v>
      </c>
      <c r="BI16" s="426">
        <f t="shared" si="21"/>
        <v>0</v>
      </c>
      <c r="BJ16" s="426">
        <f t="shared" si="21"/>
        <v>28142.5</v>
      </c>
      <c r="BK16" s="426">
        <f t="shared" si="21"/>
        <v>7450</v>
      </c>
      <c r="BL16" s="426">
        <f t="shared" si="21"/>
        <v>11390</v>
      </c>
      <c r="BM16" s="426">
        <f t="shared" si="21"/>
        <v>28142.5</v>
      </c>
      <c r="BN16" s="426">
        <f t="shared" si="21"/>
        <v>27130</v>
      </c>
      <c r="BO16" s="426">
        <f t="shared" si="21"/>
        <v>17180</v>
      </c>
      <c r="BP16" s="426">
        <f t="shared" si="21"/>
        <v>28892.5</v>
      </c>
      <c r="BQ16" s="426">
        <f t="shared" si="21"/>
        <v>39705</v>
      </c>
      <c r="BR16" s="426">
        <f t="shared" si="21"/>
        <v>23430</v>
      </c>
      <c r="BS16" s="426">
        <f t="shared" si="21"/>
        <v>44185</v>
      </c>
      <c r="BT16" s="426">
        <f t="shared" si="21"/>
        <v>84980</v>
      </c>
      <c r="BU16" s="426">
        <f t="shared" si="21"/>
        <v>70442.5</v>
      </c>
      <c r="BV16" s="426">
        <f t="shared" si="21"/>
        <v>44185</v>
      </c>
      <c r="BW16" s="426">
        <f t="shared" si="21"/>
        <v>84980</v>
      </c>
      <c r="BX16" s="426">
        <f t="shared" si="21"/>
        <v>70442.5</v>
      </c>
      <c r="BY16" s="426">
        <f t="shared" si="21"/>
        <v>44185</v>
      </c>
      <c r="BZ16" s="426">
        <f t="shared" si="21"/>
        <v>84980</v>
      </c>
      <c r="CA16" s="426">
        <f t="shared" si="21"/>
        <v>70442.5</v>
      </c>
    </row>
    <row r="17" spans="2:79" outlineLevel="1"/>
    <row r="18" spans="2:79" ht="15" outlineLevel="1">
      <c r="B18" s="367"/>
      <c r="C18" s="365" t="s">
        <v>504</v>
      </c>
      <c r="D18" s="366"/>
      <c r="E18" s="365"/>
      <c r="G18" s="359"/>
      <c r="H18" s="378">
        <f>SUMIFS($AF18:$CA18,$AF$6:$CA$6,H$6)</f>
        <v>16050</v>
      </c>
      <c r="I18" s="378">
        <f>SUMIFS($AF18:$CA18,$AF$6:$CA$6,I$6)</f>
        <v>50450</v>
      </c>
      <c r="J18" s="378">
        <f>SUMIFS($AF18:$CA18,$AF$6:$CA$6,J$6)</f>
        <v>85007.5</v>
      </c>
      <c r="K18" s="378">
        <f>SUMIFS($AF18:$CA18,$AF$6:$CA$6,K$6)</f>
        <v>153952.5</v>
      </c>
      <c r="M18" s="359"/>
      <c r="N18" s="378">
        <f t="shared" ref="N18:AC18" si="22">SUMIFS($AF18:$CA18,$AF$6:$CA$6,N$6,$AF$7:$CA$7,N$7)</f>
        <v>0</v>
      </c>
      <c r="O18" s="378">
        <f t="shared" si="22"/>
        <v>0</v>
      </c>
      <c r="P18" s="378">
        <f t="shared" si="22"/>
        <v>0</v>
      </c>
      <c r="Q18" s="378">
        <f t="shared" si="22"/>
        <v>16050</v>
      </c>
      <c r="R18" s="378">
        <f t="shared" si="22"/>
        <v>34400</v>
      </c>
      <c r="S18" s="378">
        <f t="shared" si="22"/>
        <v>0</v>
      </c>
      <c r="T18" s="378">
        <f t="shared" si="22"/>
        <v>0</v>
      </c>
      <c r="U18" s="378">
        <f t="shared" si="22"/>
        <v>16050</v>
      </c>
      <c r="V18" s="378">
        <f t="shared" si="22"/>
        <v>38575</v>
      </c>
      <c r="W18" s="378">
        <f t="shared" si="22"/>
        <v>5640</v>
      </c>
      <c r="X18" s="378">
        <f t="shared" si="22"/>
        <v>15892.5</v>
      </c>
      <c r="Y18" s="378">
        <f t="shared" si="22"/>
        <v>24900</v>
      </c>
      <c r="Z18" s="378">
        <f t="shared" si="22"/>
        <v>107520</v>
      </c>
      <c r="AA18" s="378">
        <f t="shared" si="22"/>
        <v>5640</v>
      </c>
      <c r="AB18" s="378">
        <f t="shared" si="22"/>
        <v>15892.5</v>
      </c>
      <c r="AC18" s="378">
        <f t="shared" si="22"/>
        <v>24900</v>
      </c>
      <c r="AE18" s="359"/>
      <c r="AF18" s="425">
        <f t="shared" ref="AF18:CA18" si="23">SUM(AF19:AF20)</f>
        <v>0</v>
      </c>
      <c r="AG18" s="425">
        <f t="shared" si="23"/>
        <v>0</v>
      </c>
      <c r="AH18" s="425">
        <f t="shared" si="23"/>
        <v>0</v>
      </c>
      <c r="AI18" s="425">
        <f t="shared" si="23"/>
        <v>0</v>
      </c>
      <c r="AJ18" s="425">
        <f t="shared" si="23"/>
        <v>0</v>
      </c>
      <c r="AK18" s="425">
        <f t="shared" si="23"/>
        <v>0</v>
      </c>
      <c r="AL18" s="425">
        <f t="shared" si="23"/>
        <v>0</v>
      </c>
      <c r="AM18" s="425">
        <f t="shared" si="23"/>
        <v>0</v>
      </c>
      <c r="AN18" s="425">
        <f t="shared" si="23"/>
        <v>0</v>
      </c>
      <c r="AO18" s="425">
        <f t="shared" si="23"/>
        <v>0</v>
      </c>
      <c r="AP18" s="425">
        <f t="shared" si="23"/>
        <v>0</v>
      </c>
      <c r="AQ18" s="425">
        <f t="shared" si="23"/>
        <v>16050</v>
      </c>
      <c r="AR18" s="425">
        <f t="shared" si="23"/>
        <v>20850</v>
      </c>
      <c r="AS18" s="425">
        <f t="shared" si="23"/>
        <v>13550</v>
      </c>
      <c r="AT18" s="425">
        <f t="shared" si="23"/>
        <v>0</v>
      </c>
      <c r="AU18" s="425">
        <f t="shared" si="23"/>
        <v>0</v>
      </c>
      <c r="AV18" s="425">
        <f t="shared" si="23"/>
        <v>0</v>
      </c>
      <c r="AW18" s="425">
        <f t="shared" si="23"/>
        <v>0</v>
      </c>
      <c r="AX18" s="425">
        <f t="shared" si="23"/>
        <v>0</v>
      </c>
      <c r="AY18" s="425">
        <f t="shared" si="23"/>
        <v>0</v>
      </c>
      <c r="AZ18" s="425">
        <f t="shared" si="23"/>
        <v>0</v>
      </c>
      <c r="BA18" s="425">
        <f t="shared" si="23"/>
        <v>0</v>
      </c>
      <c r="BB18" s="425">
        <f t="shared" si="23"/>
        <v>0</v>
      </c>
      <c r="BC18" s="425">
        <f t="shared" si="23"/>
        <v>16050</v>
      </c>
      <c r="BD18" s="425">
        <f t="shared" si="23"/>
        <v>20850</v>
      </c>
      <c r="BE18" s="425">
        <f t="shared" si="23"/>
        <v>13550</v>
      </c>
      <c r="BF18" s="425">
        <f t="shared" si="23"/>
        <v>4175</v>
      </c>
      <c r="BG18" s="425">
        <f t="shared" si="23"/>
        <v>0</v>
      </c>
      <c r="BH18" s="425">
        <f t="shared" si="23"/>
        <v>0</v>
      </c>
      <c r="BI18" s="425">
        <f t="shared" si="23"/>
        <v>5640</v>
      </c>
      <c r="BJ18" s="425">
        <f t="shared" si="23"/>
        <v>0</v>
      </c>
      <c r="BK18" s="425">
        <f t="shared" si="23"/>
        <v>15892.5</v>
      </c>
      <c r="BL18" s="425">
        <f t="shared" si="23"/>
        <v>0</v>
      </c>
      <c r="BM18" s="425">
        <f t="shared" si="23"/>
        <v>0</v>
      </c>
      <c r="BN18" s="425">
        <f t="shared" si="23"/>
        <v>7450</v>
      </c>
      <c r="BO18" s="425">
        <f t="shared" si="23"/>
        <v>17450</v>
      </c>
      <c r="BP18" s="425">
        <f t="shared" si="23"/>
        <v>83620</v>
      </c>
      <c r="BQ18" s="425">
        <f t="shared" si="23"/>
        <v>17800</v>
      </c>
      <c r="BR18" s="425">
        <f t="shared" si="23"/>
        <v>6100</v>
      </c>
      <c r="BS18" s="425">
        <f t="shared" si="23"/>
        <v>0</v>
      </c>
      <c r="BT18" s="425">
        <f t="shared" si="23"/>
        <v>0</v>
      </c>
      <c r="BU18" s="425">
        <f t="shared" si="23"/>
        <v>5640</v>
      </c>
      <c r="BV18" s="425">
        <f t="shared" si="23"/>
        <v>0</v>
      </c>
      <c r="BW18" s="425">
        <f t="shared" si="23"/>
        <v>15892.5</v>
      </c>
      <c r="BX18" s="425">
        <f t="shared" si="23"/>
        <v>0</v>
      </c>
      <c r="BY18" s="425">
        <f t="shared" si="23"/>
        <v>0</v>
      </c>
      <c r="BZ18" s="425">
        <f t="shared" si="23"/>
        <v>7450</v>
      </c>
      <c r="CA18" s="425">
        <f t="shared" si="23"/>
        <v>17450</v>
      </c>
    </row>
    <row r="19" spans="2:79" ht="15" outlineLevel="1">
      <c r="B19" s="367"/>
      <c r="C19" s="365"/>
      <c r="D19" s="419" t="s">
        <v>502</v>
      </c>
      <c r="E19" s="365"/>
      <c r="G19" s="359"/>
      <c r="H19" s="410">
        <f t="shared" ref="H19:K20" si="24">SUMIFS($AF19:$CA19,$AF$4:$CA$4,"&gt;="&amp;H$4,$AF$5:$CA$5,"&lt;="&amp;H$5)</f>
        <v>16050</v>
      </c>
      <c r="I19" s="410">
        <f t="shared" si="24"/>
        <v>34400</v>
      </c>
      <c r="J19" s="410">
        <f t="shared" si="24"/>
        <v>34557.5</v>
      </c>
      <c r="K19" s="410">
        <f t="shared" si="24"/>
        <v>68945</v>
      </c>
      <c r="L19" s="410"/>
      <c r="M19" s="410"/>
      <c r="N19" s="410">
        <f t="shared" ref="N19:AC20" si="25">SUMIFS($AF19:$CA19,$AF$4:$CA$4,"&gt;="&amp;N$4,$AF$5:$CA$5,"&lt;="&amp;N$5)</f>
        <v>0</v>
      </c>
      <c r="O19" s="410">
        <f t="shared" si="25"/>
        <v>0</v>
      </c>
      <c r="P19" s="410">
        <f t="shared" si="25"/>
        <v>0</v>
      </c>
      <c r="Q19" s="410">
        <f t="shared" si="25"/>
        <v>16050</v>
      </c>
      <c r="R19" s="410">
        <f t="shared" si="25"/>
        <v>34400</v>
      </c>
      <c r="S19" s="410">
        <f t="shared" si="25"/>
        <v>0</v>
      </c>
      <c r="T19" s="410">
        <f t="shared" si="25"/>
        <v>0</v>
      </c>
      <c r="U19" s="410">
        <f t="shared" si="25"/>
        <v>0</v>
      </c>
      <c r="V19" s="410">
        <f t="shared" si="25"/>
        <v>4175</v>
      </c>
      <c r="W19" s="410">
        <f t="shared" si="25"/>
        <v>5640</v>
      </c>
      <c r="X19" s="410">
        <f t="shared" si="25"/>
        <v>15892.5</v>
      </c>
      <c r="Y19" s="410">
        <f t="shared" si="25"/>
        <v>8850</v>
      </c>
      <c r="Z19" s="410">
        <f t="shared" si="25"/>
        <v>68945</v>
      </c>
      <c r="AA19" s="410">
        <f t="shared" si="25"/>
        <v>0</v>
      </c>
      <c r="AB19" s="410">
        <f t="shared" si="25"/>
        <v>0</v>
      </c>
      <c r="AC19" s="410">
        <f t="shared" si="25"/>
        <v>0</v>
      </c>
      <c r="AE19" s="359"/>
      <c r="AF19" s="424">
        <f>SUMIFS(PipelineImport[Weight Average],PipelineImport[Length],"Every Year",PipelineImport[Close Date],"&gt;="&amp;AF$4,PipelineImport[Close Date],"&lt;="&amp;AF$8)</f>
        <v>0</v>
      </c>
      <c r="AG19" s="424">
        <f>SUMIFS(PipelineImport[Weight Average],PipelineImport[Length],"Every Year",PipelineImport[Close Date],"&gt;="&amp;AG$4,PipelineImport[Close Date],"&lt;="&amp;AG$8)</f>
        <v>0</v>
      </c>
      <c r="AH19" s="424">
        <f>SUMIFS(PipelineImport[Weight Average],PipelineImport[Length],"Every Year",PipelineImport[Close Date],"&gt;="&amp;AH$4,PipelineImport[Close Date],"&lt;="&amp;AH$8)</f>
        <v>0</v>
      </c>
      <c r="AI19" s="424">
        <f>SUMIFS(PipelineImport[Weight Average],PipelineImport[Length],"Every Year",PipelineImport[Close Date],"&gt;="&amp;AI$4,PipelineImport[Close Date],"&lt;="&amp;AI$8)</f>
        <v>0</v>
      </c>
      <c r="AJ19" s="424">
        <f>SUMIFS(PipelineImport[Weight Average],PipelineImport[Length],"Every Year",PipelineImport[Close Date],"&gt;="&amp;AJ$4,PipelineImport[Close Date],"&lt;="&amp;AJ$8)</f>
        <v>0</v>
      </c>
      <c r="AK19" s="424">
        <f>SUMIFS(PipelineImport[Weight Average],PipelineImport[Length],"Every Year",PipelineImport[Close Date],"&gt;="&amp;AK$4,PipelineImport[Close Date],"&lt;="&amp;AK$8)</f>
        <v>0</v>
      </c>
      <c r="AL19" s="424">
        <f>SUMIFS(PipelineImport[Weight Average],PipelineImport[Length],"Every Year",PipelineImport[Close Date],"&gt;="&amp;AL$4,PipelineImport[Close Date],"&lt;="&amp;AL$8)</f>
        <v>0</v>
      </c>
      <c r="AM19" s="424">
        <f>SUMIFS(PipelineImport[Weight Average],PipelineImport[Length],"Every Year",PipelineImport[Close Date],"&gt;="&amp;AM$4,PipelineImport[Close Date],"&lt;="&amp;AM$8)</f>
        <v>0</v>
      </c>
      <c r="AN19" s="424">
        <f>SUMIFS(PipelineImport[Weight Average],PipelineImport[Length],"Every Year",PipelineImport[Close Date],"&gt;="&amp;AN$4,PipelineImport[Close Date],"&lt;="&amp;AN$8)</f>
        <v>0</v>
      </c>
      <c r="AO19" s="424">
        <f>SUMIFS(PipelineImport[Weight Average],PipelineImport[Length],"Every Year",PipelineImport[Close Date],"&gt;="&amp;AO$4,PipelineImport[Close Date],"&lt;="&amp;AO$8)</f>
        <v>0</v>
      </c>
      <c r="AP19" s="424">
        <f>SUMIFS(PipelineImport[Weight Average],PipelineImport[Length],"Every Year",PipelineImport[Close Date],"&gt;="&amp;AP$4,PipelineImport[Close Date],"&lt;="&amp;AP$8)</f>
        <v>0</v>
      </c>
      <c r="AQ19" s="424">
        <f>SUMIFS(PipelineImport[Weight Average],PipelineImport[Length],"Every Year",PipelineImport[Close Date],"&gt;="&amp;AQ$4,PipelineImport[Close Date],"&lt;="&amp;AQ$8)</f>
        <v>16050</v>
      </c>
      <c r="AR19" s="424">
        <f>SUMIFS(PipelineImport[Weight Average],PipelineImport[Length],"Every Year",PipelineImport[Close Date],"&gt;="&amp;AR$4,PipelineImport[Close Date],"&lt;="&amp;AR$8)</f>
        <v>20850</v>
      </c>
      <c r="AS19" s="424">
        <f>SUMIFS(PipelineImport[Weight Average],PipelineImport[Length],"Every Year",PipelineImport[Close Date],"&gt;="&amp;AS$4,PipelineImport[Close Date],"&lt;="&amp;AS$8)</f>
        <v>13550</v>
      </c>
      <c r="AT19" s="424">
        <f>SUMIFS(PipelineImport[Weight Average],PipelineImport[Length],"Every Year",PipelineImport[Close Date],"&gt;="&amp;AT$4,PipelineImport[Close Date],"&lt;="&amp;AT$8)</f>
        <v>0</v>
      </c>
      <c r="AU19" s="424">
        <f>SUMIFS(PipelineImport[Weight Average],PipelineImport[Length],"Every Year",PipelineImport[Close Date],"&gt;="&amp;AU$4,PipelineImport[Close Date],"&lt;="&amp;AU$8)</f>
        <v>0</v>
      </c>
      <c r="AV19" s="424">
        <f>SUMIFS(PipelineImport[Weight Average],PipelineImport[Length],"Every Year",PipelineImport[Close Date],"&gt;="&amp;AV$4,PipelineImport[Close Date],"&lt;="&amp;AV$8)</f>
        <v>0</v>
      </c>
      <c r="AW19" s="424">
        <f>SUMIFS(PipelineImport[Weight Average],PipelineImport[Length],"Every Year",PipelineImport[Close Date],"&gt;="&amp;AW$4,PipelineImport[Close Date],"&lt;="&amp;AW$8)</f>
        <v>0</v>
      </c>
      <c r="AX19" s="424">
        <f>SUMIFS(PipelineImport[Weight Average],PipelineImport[Length],"Every Year",PipelineImport[Close Date],"&gt;="&amp;AX$4,PipelineImport[Close Date],"&lt;="&amp;AX$8)</f>
        <v>0</v>
      </c>
      <c r="AY19" s="424">
        <f>SUMIFS(PipelineImport[Weight Average],PipelineImport[Length],"Every Year",PipelineImport[Close Date],"&gt;="&amp;AY$4,PipelineImport[Close Date],"&lt;="&amp;AY$8)</f>
        <v>0</v>
      </c>
      <c r="AZ19" s="424">
        <f>SUMIFS(PipelineImport[Weight Average],PipelineImport[Length],"Every Year",PipelineImport[Close Date],"&gt;="&amp;AZ$4,PipelineImport[Close Date],"&lt;="&amp;AZ$8)</f>
        <v>0</v>
      </c>
      <c r="BA19" s="424">
        <f>SUMIFS(PipelineImport[Weight Average],PipelineImport[Length],"Every Year",PipelineImport[Close Date],"&gt;="&amp;BA$4,PipelineImport[Close Date],"&lt;="&amp;BA$8)</f>
        <v>0</v>
      </c>
      <c r="BB19" s="424">
        <f>SUMIFS(PipelineImport[Weight Average],PipelineImport[Length],"Every Year",PipelineImport[Close Date],"&gt;="&amp;BB$4,PipelineImport[Close Date],"&lt;="&amp;BB$8)</f>
        <v>0</v>
      </c>
      <c r="BC19" s="424">
        <f>SUMIFS(PipelineImport[Weight Average],PipelineImport[Length],"Every Year",PipelineImport[Close Date],"&gt;="&amp;BC$4,PipelineImport[Close Date],"&lt;="&amp;BC$8)</f>
        <v>0</v>
      </c>
      <c r="BD19" s="424">
        <f>SUMIFS(PipelineImport[Weight Average],PipelineImport[Length],"Every Year",PipelineImport[Close Date],"&gt;="&amp;BD$4,PipelineImport[Close Date],"&lt;="&amp;BD$8)</f>
        <v>0</v>
      </c>
      <c r="BE19" s="424">
        <f>SUMIFS(PipelineImport[Weight Average],PipelineImport[Length],"Every Year",PipelineImport[Close Date],"&gt;="&amp;BE$4,PipelineImport[Close Date],"&lt;="&amp;BE$8)</f>
        <v>0</v>
      </c>
      <c r="BF19" s="424">
        <f>SUMIFS(PipelineImport[Weight Average],PipelineImport[Length],"Every Year",PipelineImport[Close Date],"&gt;="&amp;BF$4,PipelineImport[Close Date],"&lt;="&amp;BF$8)</f>
        <v>4175</v>
      </c>
      <c r="BG19" s="424">
        <f>SUMIFS(PipelineImport[Weight Average],PipelineImport[Length],"Every Year",PipelineImport[Close Date],"&gt;="&amp;BG$4,PipelineImport[Close Date],"&lt;="&amp;BG$8)</f>
        <v>0</v>
      </c>
      <c r="BH19" s="424">
        <f>SUMIFS(PipelineImport[Weight Average],PipelineImport[Length],"Every Year",PipelineImport[Close Date],"&gt;="&amp;BH$4,PipelineImport[Close Date],"&lt;="&amp;BH$8)</f>
        <v>0</v>
      </c>
      <c r="BI19" s="424">
        <f>SUMIFS(PipelineImport[Weight Average],PipelineImport[Length],"Every Year",PipelineImport[Close Date],"&gt;="&amp;BI$4,PipelineImport[Close Date],"&lt;="&amp;BI$8)</f>
        <v>5640</v>
      </c>
      <c r="BJ19" s="424">
        <f>SUMIFS(PipelineImport[Weight Average],PipelineImport[Length],"Every Year",PipelineImport[Close Date],"&gt;="&amp;BJ$4,PipelineImport[Close Date],"&lt;="&amp;BJ$8)</f>
        <v>0</v>
      </c>
      <c r="BK19" s="424">
        <f>SUMIFS(PipelineImport[Weight Average],PipelineImport[Length],"Every Year",PipelineImport[Close Date],"&gt;="&amp;BK$4,PipelineImport[Close Date],"&lt;="&amp;BK$8)</f>
        <v>15892.5</v>
      </c>
      <c r="BL19" s="424">
        <f>SUMIFS(PipelineImport[Weight Average],PipelineImport[Length],"Every Year",PipelineImport[Close Date],"&gt;="&amp;BL$4,PipelineImport[Close Date],"&lt;="&amp;BL$8)</f>
        <v>0</v>
      </c>
      <c r="BM19" s="424">
        <f>SUMIFS(PipelineImport[Weight Average],PipelineImport[Length],"Every Year",PipelineImport[Close Date],"&gt;="&amp;BM$4,PipelineImport[Close Date],"&lt;="&amp;BM$8)</f>
        <v>0</v>
      </c>
      <c r="BN19" s="424">
        <f>SUMIFS(PipelineImport[Weight Average],PipelineImport[Length],"Every Year",PipelineImport[Close Date],"&gt;="&amp;BN$4,PipelineImport[Close Date],"&lt;="&amp;BN$8)</f>
        <v>7450</v>
      </c>
      <c r="BO19" s="424">
        <f>SUMIFS(PipelineImport[Weight Average],PipelineImport[Length],"Every Year",PipelineImport[Close Date],"&gt;="&amp;BO$4,PipelineImport[Close Date],"&lt;="&amp;BO$8)</f>
        <v>1400</v>
      </c>
      <c r="BP19" s="424">
        <f>SUMIFS(PipelineImport[Weight Average],PipelineImport[Length],"Every Year",PipelineImport[Close Date],"&gt;="&amp;BP$4,PipelineImport[Close Date],"&lt;="&amp;BP$8)</f>
        <v>62770</v>
      </c>
      <c r="BQ19" s="424">
        <f>SUMIFS(PipelineImport[Weight Average],PipelineImport[Length],"Every Year",PipelineImport[Close Date],"&gt;="&amp;BQ$4,PipelineImport[Close Date],"&lt;="&amp;BQ$8)</f>
        <v>4250</v>
      </c>
      <c r="BR19" s="424">
        <f>SUMIFS(PipelineImport[Weight Average],PipelineImport[Length],"Every Year",PipelineImport[Close Date],"&gt;="&amp;BR$4,PipelineImport[Close Date],"&lt;="&amp;BR$8)</f>
        <v>1925</v>
      </c>
      <c r="BS19" s="424">
        <f>SUMIFS(PipelineImport[Weight Average],PipelineImport[Length],"Every Year",PipelineImport[Close Date],"&gt;="&amp;BS$4,PipelineImport[Close Date],"&lt;="&amp;BS$8)</f>
        <v>0</v>
      </c>
      <c r="BT19" s="424">
        <f>SUMIFS(PipelineImport[Weight Average],PipelineImport[Length],"Every Year",PipelineImport[Close Date],"&gt;="&amp;BT$4,PipelineImport[Close Date],"&lt;="&amp;BT$8)</f>
        <v>0</v>
      </c>
      <c r="BU19" s="424">
        <f>SUMIFS(PipelineImport[Weight Average],PipelineImport[Length],"Every Year",PipelineImport[Close Date],"&gt;="&amp;BU$4,PipelineImport[Close Date],"&lt;="&amp;BU$8)</f>
        <v>0</v>
      </c>
      <c r="BV19" s="424">
        <f>SUMIFS(PipelineImport[Weight Average],PipelineImport[Length],"Every Year",PipelineImport[Close Date],"&gt;="&amp;BV$4,PipelineImport[Close Date],"&lt;="&amp;BV$8)</f>
        <v>0</v>
      </c>
      <c r="BW19" s="424">
        <f>SUMIFS(PipelineImport[Weight Average],PipelineImport[Length],"Every Year",PipelineImport[Close Date],"&gt;="&amp;BW$4,PipelineImport[Close Date],"&lt;="&amp;BW$8)</f>
        <v>0</v>
      </c>
      <c r="BX19" s="424">
        <f>SUMIFS(PipelineImport[Weight Average],PipelineImport[Length],"Every Year",PipelineImport[Close Date],"&gt;="&amp;BX$4,PipelineImport[Close Date],"&lt;="&amp;BX$8)</f>
        <v>0</v>
      </c>
      <c r="BY19" s="424">
        <f>SUMIFS(PipelineImport[Weight Average],PipelineImport[Length],"Every Year",PipelineImport[Close Date],"&gt;="&amp;BY$4,PipelineImport[Close Date],"&lt;="&amp;BY$8)</f>
        <v>0</v>
      </c>
      <c r="BZ19" s="424">
        <f>SUMIFS(PipelineImport[Weight Average],PipelineImport[Length],"Every Year",PipelineImport[Close Date],"&gt;="&amp;BZ$4,PipelineImport[Close Date],"&lt;="&amp;BZ$8)</f>
        <v>0</v>
      </c>
      <c r="CA19" s="424">
        <f>SUMIFS(PipelineImport[Weight Average],PipelineImport[Length],"Every Year",PipelineImport[Close Date],"&gt;="&amp;CA$4,PipelineImport[Close Date],"&lt;="&amp;CA$8)</f>
        <v>0</v>
      </c>
    </row>
    <row r="20" spans="2:79" ht="15" outlineLevel="1">
      <c r="B20" s="367"/>
      <c r="C20" s="365"/>
      <c r="D20" s="419" t="s">
        <v>503</v>
      </c>
      <c r="E20" s="365"/>
      <c r="G20" s="359"/>
      <c r="H20" s="410">
        <f t="shared" si="24"/>
        <v>0</v>
      </c>
      <c r="I20" s="410">
        <f t="shared" si="24"/>
        <v>16050</v>
      </c>
      <c r="J20" s="410">
        <f t="shared" si="24"/>
        <v>50450</v>
      </c>
      <c r="K20" s="410">
        <f t="shared" si="24"/>
        <v>85007.5</v>
      </c>
      <c r="L20" s="410"/>
      <c r="M20" s="410"/>
      <c r="N20" s="410">
        <f t="shared" si="25"/>
        <v>0</v>
      </c>
      <c r="O20" s="410">
        <f t="shared" si="25"/>
        <v>0</v>
      </c>
      <c r="P20" s="410">
        <f t="shared" si="25"/>
        <v>0</v>
      </c>
      <c r="Q20" s="410">
        <f t="shared" si="25"/>
        <v>0</v>
      </c>
      <c r="R20" s="410">
        <f t="shared" si="25"/>
        <v>0</v>
      </c>
      <c r="S20" s="410">
        <f t="shared" si="25"/>
        <v>0</v>
      </c>
      <c r="T20" s="410">
        <f t="shared" si="25"/>
        <v>0</v>
      </c>
      <c r="U20" s="410">
        <f t="shared" si="25"/>
        <v>16050</v>
      </c>
      <c r="V20" s="410">
        <f t="shared" si="25"/>
        <v>34400</v>
      </c>
      <c r="W20" s="410">
        <f t="shared" si="25"/>
        <v>0</v>
      </c>
      <c r="X20" s="410">
        <f t="shared" si="25"/>
        <v>0</v>
      </c>
      <c r="Y20" s="410">
        <f t="shared" si="25"/>
        <v>16050</v>
      </c>
      <c r="Z20" s="410">
        <f t="shared" si="25"/>
        <v>38575</v>
      </c>
      <c r="AA20" s="410">
        <f t="shared" si="25"/>
        <v>5640</v>
      </c>
      <c r="AB20" s="410">
        <f t="shared" si="25"/>
        <v>15892.5</v>
      </c>
      <c r="AC20" s="410">
        <f t="shared" si="25"/>
        <v>24900</v>
      </c>
      <c r="AE20" s="359"/>
      <c r="AF20" s="418"/>
      <c r="AG20" s="361"/>
      <c r="AH20" s="361"/>
      <c r="AI20" s="361"/>
      <c r="AJ20" s="361"/>
      <c r="AK20" s="361"/>
      <c r="AL20" s="361"/>
      <c r="AM20" s="361"/>
      <c r="AN20" s="361"/>
      <c r="AO20" s="361"/>
      <c r="AP20" s="361"/>
      <c r="AQ20" s="361"/>
      <c r="AR20" s="361">
        <f t="shared" ref="AR20:CA20" si="26">AF18</f>
        <v>0</v>
      </c>
      <c r="AS20" s="361">
        <f t="shared" si="26"/>
        <v>0</v>
      </c>
      <c r="AT20" s="361">
        <f t="shared" si="26"/>
        <v>0</v>
      </c>
      <c r="AU20" s="361">
        <f t="shared" si="26"/>
        <v>0</v>
      </c>
      <c r="AV20" s="361">
        <f t="shared" si="26"/>
        <v>0</v>
      </c>
      <c r="AW20" s="361">
        <f t="shared" si="26"/>
        <v>0</v>
      </c>
      <c r="AX20" s="361">
        <f t="shared" si="26"/>
        <v>0</v>
      </c>
      <c r="AY20" s="361">
        <f t="shared" si="26"/>
        <v>0</v>
      </c>
      <c r="AZ20" s="361">
        <f t="shared" si="26"/>
        <v>0</v>
      </c>
      <c r="BA20" s="361">
        <f t="shared" si="26"/>
        <v>0</v>
      </c>
      <c r="BB20" s="361">
        <f t="shared" si="26"/>
        <v>0</v>
      </c>
      <c r="BC20" s="361">
        <f t="shared" si="26"/>
        <v>16050</v>
      </c>
      <c r="BD20" s="361">
        <f t="shared" si="26"/>
        <v>20850</v>
      </c>
      <c r="BE20" s="361">
        <f t="shared" si="26"/>
        <v>13550</v>
      </c>
      <c r="BF20" s="361">
        <f t="shared" si="26"/>
        <v>0</v>
      </c>
      <c r="BG20" s="361">
        <f t="shared" si="26"/>
        <v>0</v>
      </c>
      <c r="BH20" s="361">
        <f t="shared" si="26"/>
        <v>0</v>
      </c>
      <c r="BI20" s="361">
        <f t="shared" si="26"/>
        <v>0</v>
      </c>
      <c r="BJ20" s="361">
        <f t="shared" si="26"/>
        <v>0</v>
      </c>
      <c r="BK20" s="361">
        <f t="shared" si="26"/>
        <v>0</v>
      </c>
      <c r="BL20" s="361">
        <f t="shared" si="26"/>
        <v>0</v>
      </c>
      <c r="BM20" s="361">
        <f t="shared" si="26"/>
        <v>0</v>
      </c>
      <c r="BN20" s="361">
        <f t="shared" si="26"/>
        <v>0</v>
      </c>
      <c r="BO20" s="361">
        <f t="shared" si="26"/>
        <v>16050</v>
      </c>
      <c r="BP20" s="361">
        <f t="shared" si="26"/>
        <v>20850</v>
      </c>
      <c r="BQ20" s="361">
        <f t="shared" si="26"/>
        <v>13550</v>
      </c>
      <c r="BR20" s="361">
        <f t="shared" si="26"/>
        <v>4175</v>
      </c>
      <c r="BS20" s="361">
        <f t="shared" si="26"/>
        <v>0</v>
      </c>
      <c r="BT20" s="361">
        <f t="shared" si="26"/>
        <v>0</v>
      </c>
      <c r="BU20" s="361">
        <f t="shared" si="26"/>
        <v>5640</v>
      </c>
      <c r="BV20" s="361">
        <f t="shared" si="26"/>
        <v>0</v>
      </c>
      <c r="BW20" s="361">
        <f t="shared" si="26"/>
        <v>15892.5</v>
      </c>
      <c r="BX20" s="361">
        <f t="shared" si="26"/>
        <v>0</v>
      </c>
      <c r="BY20" s="361">
        <f t="shared" si="26"/>
        <v>0</v>
      </c>
      <c r="BZ20" s="361">
        <f t="shared" si="26"/>
        <v>7450</v>
      </c>
      <c r="CA20" s="361">
        <f t="shared" si="26"/>
        <v>17450</v>
      </c>
    </row>
    <row r="21" spans="2:79" outlineLevel="1">
      <c r="G21" s="359"/>
      <c r="M21" s="359"/>
      <c r="AE21" s="359"/>
    </row>
    <row r="22" spans="2:79" s="357" customFormat="1" ht="15" outlineLevel="1">
      <c r="B22" s="367"/>
      <c r="C22" s="360" t="s">
        <v>421</v>
      </c>
      <c r="D22" s="365"/>
      <c r="E22" s="366"/>
      <c r="F22" s="50"/>
      <c r="G22" s="359"/>
      <c r="H22" s="364">
        <f>H10+H14+H18</f>
        <v>26900</v>
      </c>
      <c r="I22" s="364">
        <f>I10+I14+I18</f>
        <v>389837.5</v>
      </c>
      <c r="J22" s="364">
        <f>J10+J14+J18</f>
        <v>867752.5</v>
      </c>
      <c r="K22" s="364">
        <f>K10+K14+K18</f>
        <v>2925985</v>
      </c>
      <c r="L22" s="50"/>
      <c r="M22" s="50"/>
      <c r="N22" s="364">
        <f t="shared" ref="N22:AC22" si="27">N10+N14+N18</f>
        <v>0</v>
      </c>
      <c r="O22" s="364">
        <f t="shared" si="27"/>
        <v>0</v>
      </c>
      <c r="P22" s="364">
        <f t="shared" si="27"/>
        <v>0</v>
      </c>
      <c r="Q22" s="364">
        <f t="shared" si="27"/>
        <v>26900</v>
      </c>
      <c r="R22" s="364">
        <f t="shared" si="27"/>
        <v>83300</v>
      </c>
      <c r="S22" s="364">
        <f t="shared" si="27"/>
        <v>86062.5</v>
      </c>
      <c r="T22" s="364">
        <f t="shared" si="27"/>
        <v>102212.5</v>
      </c>
      <c r="U22" s="364">
        <f t="shared" si="27"/>
        <v>118262.5</v>
      </c>
      <c r="V22" s="364">
        <f t="shared" si="27"/>
        <v>143587.5</v>
      </c>
      <c r="W22" s="364">
        <f t="shared" si="27"/>
        <v>150462.5</v>
      </c>
      <c r="X22" s="364">
        <f t="shared" si="27"/>
        <v>228015</v>
      </c>
      <c r="Y22" s="364">
        <f t="shared" si="27"/>
        <v>345687.5</v>
      </c>
      <c r="Z22" s="364">
        <f t="shared" si="27"/>
        <v>747175</v>
      </c>
      <c r="AA22" s="364">
        <f t="shared" si="27"/>
        <v>716432.5</v>
      </c>
      <c r="AB22" s="364">
        <f t="shared" si="27"/>
        <v>726685</v>
      </c>
      <c r="AC22" s="364">
        <f t="shared" si="27"/>
        <v>735692.5</v>
      </c>
      <c r="AD22" s="50"/>
      <c r="AE22" s="50"/>
      <c r="AF22" s="364">
        <f t="shared" ref="AF22:CA22" si="28">AF10+AF14+AF18</f>
        <v>0</v>
      </c>
      <c r="AG22" s="364">
        <f t="shared" si="28"/>
        <v>0</v>
      </c>
      <c r="AH22" s="364">
        <f t="shared" si="28"/>
        <v>0</v>
      </c>
      <c r="AI22" s="364">
        <f t="shared" si="28"/>
        <v>0</v>
      </c>
      <c r="AJ22" s="364">
        <f t="shared" si="28"/>
        <v>0</v>
      </c>
      <c r="AK22" s="364">
        <f t="shared" si="28"/>
        <v>0</v>
      </c>
      <c r="AL22" s="364">
        <f t="shared" si="28"/>
        <v>0</v>
      </c>
      <c r="AM22" s="364">
        <f t="shared" si="28"/>
        <v>0</v>
      </c>
      <c r="AN22" s="364">
        <f t="shared" si="28"/>
        <v>0</v>
      </c>
      <c r="AO22" s="364">
        <f t="shared" si="28"/>
        <v>0</v>
      </c>
      <c r="AP22" s="364">
        <f t="shared" si="28"/>
        <v>0</v>
      </c>
      <c r="AQ22" s="364">
        <f t="shared" si="28"/>
        <v>26900</v>
      </c>
      <c r="AR22" s="364">
        <f t="shared" si="28"/>
        <v>48050</v>
      </c>
      <c r="AS22" s="364">
        <f t="shared" si="28"/>
        <v>24400</v>
      </c>
      <c r="AT22" s="364">
        <f t="shared" si="28"/>
        <v>10850</v>
      </c>
      <c r="AU22" s="364">
        <f t="shared" si="28"/>
        <v>27200</v>
      </c>
      <c r="AV22" s="364">
        <f t="shared" si="28"/>
        <v>31862.5</v>
      </c>
      <c r="AW22" s="364">
        <f t="shared" si="28"/>
        <v>27000</v>
      </c>
      <c r="AX22" s="364">
        <f t="shared" si="28"/>
        <v>43350</v>
      </c>
      <c r="AY22" s="364">
        <f t="shared" si="28"/>
        <v>31862.5</v>
      </c>
      <c r="AZ22" s="364">
        <f t="shared" si="28"/>
        <v>27000</v>
      </c>
      <c r="BA22" s="364">
        <f t="shared" si="28"/>
        <v>43350</v>
      </c>
      <c r="BB22" s="364">
        <f t="shared" si="28"/>
        <v>31862.5</v>
      </c>
      <c r="BC22" s="364">
        <f t="shared" si="28"/>
        <v>43050</v>
      </c>
      <c r="BD22" s="364">
        <f t="shared" si="28"/>
        <v>64200</v>
      </c>
      <c r="BE22" s="364">
        <f t="shared" si="28"/>
        <v>45412.5</v>
      </c>
      <c r="BF22" s="364">
        <f t="shared" si="28"/>
        <v>33975</v>
      </c>
      <c r="BG22" s="364">
        <f t="shared" si="28"/>
        <v>57942.5</v>
      </c>
      <c r="BH22" s="364">
        <f t="shared" si="28"/>
        <v>37250</v>
      </c>
      <c r="BI22" s="364">
        <f t="shared" si="28"/>
        <v>55270</v>
      </c>
      <c r="BJ22" s="364">
        <f t="shared" si="28"/>
        <v>66382.5</v>
      </c>
      <c r="BK22" s="364">
        <f t="shared" si="28"/>
        <v>93737.5</v>
      </c>
      <c r="BL22" s="364">
        <f t="shared" si="28"/>
        <v>67895</v>
      </c>
      <c r="BM22" s="364">
        <f t="shared" si="28"/>
        <v>97112.5</v>
      </c>
      <c r="BN22" s="364">
        <f t="shared" si="28"/>
        <v>116975</v>
      </c>
      <c r="BO22" s="364">
        <f t="shared" si="28"/>
        <v>131600</v>
      </c>
      <c r="BP22" s="364">
        <f t="shared" si="28"/>
        <v>249962.5</v>
      </c>
      <c r="BQ22" s="364">
        <f t="shared" si="28"/>
        <v>250275</v>
      </c>
      <c r="BR22" s="364">
        <f t="shared" si="28"/>
        <v>246937.5</v>
      </c>
      <c r="BS22" s="364">
        <f t="shared" si="28"/>
        <v>214580</v>
      </c>
      <c r="BT22" s="364">
        <f t="shared" si="28"/>
        <v>255375</v>
      </c>
      <c r="BU22" s="364">
        <f t="shared" si="28"/>
        <v>246477.5</v>
      </c>
      <c r="BV22" s="364">
        <f t="shared" si="28"/>
        <v>214580</v>
      </c>
      <c r="BW22" s="364">
        <f t="shared" si="28"/>
        <v>271267.5</v>
      </c>
      <c r="BX22" s="364">
        <f t="shared" si="28"/>
        <v>240837.5</v>
      </c>
      <c r="BY22" s="364">
        <f t="shared" si="28"/>
        <v>214580</v>
      </c>
      <c r="BZ22" s="364">
        <f t="shared" si="28"/>
        <v>262825</v>
      </c>
      <c r="CA22" s="364">
        <f t="shared" si="28"/>
        <v>258287.5</v>
      </c>
    </row>
    <row r="23" spans="2:79">
      <c r="G23" s="359"/>
      <c r="I23" s="417"/>
      <c r="J23" s="417"/>
      <c r="K23" s="417"/>
      <c r="M23" s="359"/>
      <c r="AE23" s="359"/>
    </row>
    <row r="24" spans="2:79" s="51" customFormat="1" ht="24">
      <c r="B24" s="635" t="s">
        <v>98</v>
      </c>
      <c r="C24" s="475"/>
      <c r="D24" s="475"/>
      <c r="E24" s="632"/>
      <c r="F24" s="50"/>
      <c r="G24" s="359"/>
      <c r="H24" s="632"/>
      <c r="I24" s="632"/>
      <c r="J24" s="632"/>
      <c r="K24" s="632"/>
      <c r="L24" s="50"/>
      <c r="M24" s="359"/>
      <c r="N24" s="632"/>
      <c r="O24" s="632"/>
      <c r="P24" s="632"/>
      <c r="Q24" s="632"/>
      <c r="R24" s="632"/>
      <c r="S24" s="632"/>
      <c r="T24" s="632"/>
      <c r="U24" s="632"/>
      <c r="V24" s="632"/>
      <c r="W24" s="632"/>
      <c r="X24" s="632"/>
      <c r="Y24" s="632"/>
      <c r="Z24" s="632"/>
      <c r="AA24" s="632"/>
      <c r="AB24" s="632"/>
      <c r="AC24" s="632"/>
      <c r="AD24" s="50"/>
      <c r="AE24" s="359"/>
      <c r="AF24" s="632"/>
      <c r="AG24" s="632"/>
      <c r="AH24" s="632"/>
      <c r="AI24" s="632"/>
      <c r="AJ24" s="632"/>
      <c r="AK24" s="632"/>
      <c r="AL24" s="632"/>
      <c r="AM24" s="632"/>
      <c r="AN24" s="632"/>
      <c r="AO24" s="632"/>
      <c r="AP24" s="632"/>
      <c r="AQ24" s="632"/>
      <c r="AR24" s="632"/>
      <c r="AS24" s="632"/>
      <c r="AT24" s="632"/>
      <c r="AU24" s="632"/>
      <c r="AV24" s="632"/>
      <c r="AW24" s="632"/>
      <c r="AX24" s="632"/>
      <c r="AY24" s="632"/>
      <c r="AZ24" s="632"/>
      <c r="BA24" s="632"/>
      <c r="BB24" s="632"/>
      <c r="BC24" s="632"/>
      <c r="BD24" s="632"/>
      <c r="BE24" s="632"/>
      <c r="BF24" s="632"/>
      <c r="BG24" s="632"/>
      <c r="BH24" s="632"/>
      <c r="BI24" s="632"/>
      <c r="BJ24" s="632"/>
      <c r="BK24" s="632"/>
      <c r="BL24" s="632"/>
      <c r="BM24" s="632"/>
      <c r="BN24" s="632"/>
      <c r="BO24" s="632"/>
      <c r="BP24" s="632"/>
      <c r="BQ24" s="632"/>
      <c r="BR24" s="632"/>
      <c r="BS24" s="632"/>
      <c r="BT24" s="632"/>
      <c r="BU24" s="632"/>
      <c r="BV24" s="632"/>
      <c r="BW24" s="632"/>
      <c r="BX24" s="632"/>
      <c r="BY24" s="632"/>
      <c r="BZ24" s="632"/>
      <c r="CA24" s="632"/>
    </row>
    <row r="25" spans="2:79" ht="15" outlineLevel="1">
      <c r="B25" s="367"/>
      <c r="C25" s="365" t="s">
        <v>161</v>
      </c>
      <c r="D25" s="366"/>
      <c r="E25" s="365"/>
      <c r="G25" s="359"/>
      <c r="H25" s="378">
        <f>SUMIFS($AF25:$CA25,$AF$4:$CA$4,"&gt;="&amp;H$4,$AF$5:$CA$5,"&lt;="&amp;H$5)</f>
        <v>10850</v>
      </c>
      <c r="I25" s="378">
        <f>SUMIFS($AF25:$CA25,$AF$4:$CA$4,"&gt;="&amp;I$4,$AF$5:$CA$5,"&lt;="&amp;I$5)</f>
        <v>259400</v>
      </c>
      <c r="J25" s="378">
        <f>SUMIFS($AF25:$CA25,$AF$4:$CA$4,"&gt;="&amp;J$4,$AF$5:$CA$5,"&lt;="&amp;J$5)</f>
        <v>550070</v>
      </c>
      <c r="K25" s="378">
        <f>SUMIFS($AF25:$CA25,$AF$4:$CA$4,"&gt;="&amp;K$4,$AF$5:$CA$5,"&lt;="&amp;K$5)</f>
        <v>1973602.5</v>
      </c>
      <c r="M25" s="359"/>
      <c r="N25" s="378">
        <f t="shared" ref="N25:AC25" si="29">SUMIFS($AF25:$CA25,$AF$4:$CA$4,"&gt;="&amp;N$4,$AF$5:$CA$5,"&lt;="&amp;N$5)</f>
        <v>0</v>
      </c>
      <c r="O25" s="378">
        <f t="shared" si="29"/>
        <v>0</v>
      </c>
      <c r="P25" s="378">
        <f t="shared" si="29"/>
        <v>0</v>
      </c>
      <c r="Q25" s="378">
        <f t="shared" si="29"/>
        <v>10850</v>
      </c>
      <c r="R25" s="378">
        <f t="shared" si="29"/>
        <v>32550</v>
      </c>
      <c r="S25" s="378">
        <f t="shared" si="29"/>
        <v>64850</v>
      </c>
      <c r="T25" s="378">
        <f t="shared" si="29"/>
        <v>81000</v>
      </c>
      <c r="U25" s="378">
        <f t="shared" si="29"/>
        <v>81000</v>
      </c>
      <c r="V25" s="378">
        <f t="shared" si="29"/>
        <v>83800</v>
      </c>
      <c r="W25" s="378">
        <f t="shared" si="29"/>
        <v>97840</v>
      </c>
      <c r="X25" s="378">
        <f t="shared" si="29"/>
        <v>139670</v>
      </c>
      <c r="Y25" s="378">
        <f t="shared" si="29"/>
        <v>228760</v>
      </c>
      <c r="Z25" s="378">
        <f t="shared" si="29"/>
        <v>440047.5</v>
      </c>
      <c r="AA25" s="378">
        <f t="shared" si="29"/>
        <v>511185</v>
      </c>
      <c r="AB25" s="378">
        <f t="shared" si="29"/>
        <v>511185</v>
      </c>
      <c r="AC25" s="378">
        <f t="shared" si="29"/>
        <v>511185</v>
      </c>
      <c r="AE25" s="359"/>
      <c r="AF25" s="378">
        <f t="shared" ref="AF25:CA25" si="30">AF10</f>
        <v>0</v>
      </c>
      <c r="AG25" s="378">
        <f t="shared" si="30"/>
        <v>0</v>
      </c>
      <c r="AH25" s="378">
        <f t="shared" si="30"/>
        <v>0</v>
      </c>
      <c r="AI25" s="378">
        <f t="shared" si="30"/>
        <v>0</v>
      </c>
      <c r="AJ25" s="378">
        <f t="shared" si="30"/>
        <v>0</v>
      </c>
      <c r="AK25" s="378">
        <f t="shared" si="30"/>
        <v>0</v>
      </c>
      <c r="AL25" s="378">
        <f t="shared" si="30"/>
        <v>0</v>
      </c>
      <c r="AM25" s="378">
        <f t="shared" si="30"/>
        <v>0</v>
      </c>
      <c r="AN25" s="378">
        <f t="shared" si="30"/>
        <v>0</v>
      </c>
      <c r="AO25" s="378">
        <f t="shared" si="30"/>
        <v>0</v>
      </c>
      <c r="AP25" s="378">
        <f t="shared" si="30"/>
        <v>0</v>
      </c>
      <c r="AQ25" s="378">
        <f t="shared" si="30"/>
        <v>10850</v>
      </c>
      <c r="AR25" s="378">
        <f t="shared" si="30"/>
        <v>10850</v>
      </c>
      <c r="AS25" s="378">
        <f t="shared" si="30"/>
        <v>10850</v>
      </c>
      <c r="AT25" s="378">
        <f t="shared" si="30"/>
        <v>10850</v>
      </c>
      <c r="AU25" s="378">
        <f t="shared" si="30"/>
        <v>10850</v>
      </c>
      <c r="AV25" s="378">
        <f t="shared" si="30"/>
        <v>27000</v>
      </c>
      <c r="AW25" s="378">
        <f t="shared" si="30"/>
        <v>27000</v>
      </c>
      <c r="AX25" s="378">
        <f t="shared" si="30"/>
        <v>27000</v>
      </c>
      <c r="AY25" s="378">
        <f t="shared" si="30"/>
        <v>27000</v>
      </c>
      <c r="AZ25" s="378">
        <f t="shared" si="30"/>
        <v>27000</v>
      </c>
      <c r="BA25" s="378">
        <f t="shared" si="30"/>
        <v>27000</v>
      </c>
      <c r="BB25" s="378">
        <f t="shared" si="30"/>
        <v>27000</v>
      </c>
      <c r="BC25" s="378">
        <f t="shared" si="30"/>
        <v>27000</v>
      </c>
      <c r="BD25" s="378">
        <f t="shared" si="30"/>
        <v>27000</v>
      </c>
      <c r="BE25" s="378">
        <f t="shared" si="30"/>
        <v>27000</v>
      </c>
      <c r="BF25" s="378">
        <f t="shared" si="30"/>
        <v>29800</v>
      </c>
      <c r="BG25" s="378">
        <f t="shared" si="30"/>
        <v>29800</v>
      </c>
      <c r="BH25" s="378">
        <f t="shared" si="30"/>
        <v>29800</v>
      </c>
      <c r="BI25" s="378">
        <f t="shared" si="30"/>
        <v>38240</v>
      </c>
      <c r="BJ25" s="378">
        <f t="shared" si="30"/>
        <v>38240</v>
      </c>
      <c r="BK25" s="378">
        <f t="shared" si="30"/>
        <v>50715</v>
      </c>
      <c r="BL25" s="378">
        <f t="shared" si="30"/>
        <v>50715</v>
      </c>
      <c r="BM25" s="378">
        <f t="shared" si="30"/>
        <v>68220</v>
      </c>
      <c r="BN25" s="378">
        <f t="shared" si="30"/>
        <v>69820</v>
      </c>
      <c r="BO25" s="378">
        <f t="shared" si="30"/>
        <v>90720</v>
      </c>
      <c r="BP25" s="378">
        <f t="shared" si="30"/>
        <v>122157.5</v>
      </c>
      <c r="BQ25" s="378">
        <f t="shared" si="30"/>
        <v>147495</v>
      </c>
      <c r="BR25" s="378">
        <f t="shared" si="30"/>
        <v>170395</v>
      </c>
      <c r="BS25" s="378">
        <f t="shared" si="30"/>
        <v>170395</v>
      </c>
      <c r="BT25" s="378">
        <f t="shared" si="30"/>
        <v>170395</v>
      </c>
      <c r="BU25" s="378">
        <f t="shared" si="30"/>
        <v>170395</v>
      </c>
      <c r="BV25" s="378">
        <f t="shared" si="30"/>
        <v>170395</v>
      </c>
      <c r="BW25" s="378">
        <f t="shared" si="30"/>
        <v>170395</v>
      </c>
      <c r="BX25" s="378">
        <f t="shared" si="30"/>
        <v>170395</v>
      </c>
      <c r="BY25" s="378">
        <f t="shared" si="30"/>
        <v>170395</v>
      </c>
      <c r="BZ25" s="378">
        <f t="shared" si="30"/>
        <v>170395</v>
      </c>
      <c r="CA25" s="378">
        <f t="shared" si="30"/>
        <v>170395</v>
      </c>
    </row>
    <row r="26" spans="2:79" s="51" customFormat="1" outlineLevel="1">
      <c r="B26" s="387"/>
      <c r="C26" s="386"/>
      <c r="F26" s="50"/>
      <c r="G26" s="359"/>
      <c r="H26" s="423"/>
      <c r="I26" s="423"/>
      <c r="J26" s="423"/>
      <c r="K26" s="423"/>
      <c r="L26" s="379"/>
      <c r="M26" s="359"/>
      <c r="N26" s="382"/>
      <c r="O26" s="382"/>
      <c r="P26" s="382"/>
      <c r="Q26" s="382"/>
      <c r="R26" s="382"/>
      <c r="S26" s="382"/>
      <c r="T26" s="382"/>
      <c r="U26" s="382"/>
      <c r="V26" s="382"/>
      <c r="W26" s="382"/>
      <c r="X26" s="382"/>
      <c r="Y26" s="382"/>
      <c r="Z26" s="382"/>
      <c r="AA26" s="382"/>
      <c r="AB26" s="382"/>
      <c r="AC26" s="382"/>
      <c r="AD26" s="379"/>
      <c r="AE26" s="359"/>
      <c r="AF26" s="413"/>
      <c r="AG26" s="413"/>
      <c r="AH26" s="413"/>
      <c r="AI26" s="413"/>
      <c r="AJ26" s="413"/>
      <c r="AK26" s="413"/>
      <c r="AL26" s="413"/>
      <c r="AM26" s="413"/>
      <c r="AN26" s="413"/>
      <c r="AO26" s="413"/>
      <c r="AP26" s="413"/>
      <c r="AQ26" s="413"/>
      <c r="AR26" s="413"/>
      <c r="AS26" s="413"/>
      <c r="AT26" s="413"/>
      <c r="AU26" s="413"/>
      <c r="AV26" s="413"/>
      <c r="AW26" s="413"/>
      <c r="AX26" s="413"/>
      <c r="AY26" s="413"/>
      <c r="AZ26" s="413"/>
      <c r="BA26" s="413"/>
      <c r="BB26" s="413"/>
      <c r="BC26" s="413"/>
      <c r="BD26" s="413"/>
      <c r="BE26" s="413"/>
      <c r="BF26" s="413"/>
      <c r="BG26" s="413"/>
      <c r="BH26" s="413"/>
      <c r="BI26" s="413"/>
      <c r="BJ26" s="413"/>
      <c r="BK26" s="413"/>
      <c r="BL26" s="413"/>
      <c r="BM26" s="413"/>
      <c r="BN26" s="413"/>
      <c r="BO26" s="413"/>
      <c r="BP26" s="413"/>
      <c r="BQ26" s="413"/>
      <c r="BR26" s="413"/>
      <c r="BS26" s="413"/>
      <c r="BT26" s="413"/>
      <c r="BU26" s="413"/>
      <c r="BV26" s="413"/>
      <c r="BW26" s="413"/>
      <c r="BX26" s="413"/>
      <c r="BY26" s="413"/>
      <c r="BZ26" s="413"/>
      <c r="CA26" s="413"/>
    </row>
    <row r="27" spans="2:79" ht="15" outlineLevel="1" collapsed="1">
      <c r="B27" s="367"/>
      <c r="C27" s="365" t="s">
        <v>160</v>
      </c>
      <c r="D27" s="366"/>
      <c r="E27" s="365"/>
      <c r="G27" s="359"/>
      <c r="H27" s="378">
        <f>SUM(H28:H75)</f>
        <v>0</v>
      </c>
      <c r="I27" s="378">
        <f>SUM(I28:I75)</f>
        <v>78366.666666666672</v>
      </c>
      <c r="J27" s="378">
        <f>SUM(J28:J75)</f>
        <v>205440.83333333331</v>
      </c>
      <c r="K27" s="378">
        <f>SUM(K28:K75)</f>
        <v>751996.66666666674</v>
      </c>
      <c r="M27" s="359"/>
      <c r="N27" s="378">
        <f t="shared" ref="N27:AC27" si="31">SUM(N28:N75)</f>
        <v>0</v>
      </c>
      <c r="O27" s="378">
        <f t="shared" si="31"/>
        <v>0</v>
      </c>
      <c r="P27" s="378">
        <f t="shared" si="31"/>
        <v>0</v>
      </c>
      <c r="Q27" s="378">
        <f t="shared" si="31"/>
        <v>0</v>
      </c>
      <c r="R27" s="378">
        <f t="shared" si="31"/>
        <v>16350</v>
      </c>
      <c r="S27" s="378">
        <f t="shared" si="31"/>
        <v>19591.666666666668</v>
      </c>
      <c r="T27" s="378">
        <f t="shared" si="31"/>
        <v>21212.5</v>
      </c>
      <c r="U27" s="378">
        <f t="shared" si="31"/>
        <v>21212.5</v>
      </c>
      <c r="V27" s="378">
        <f t="shared" si="31"/>
        <v>21212.5</v>
      </c>
      <c r="W27" s="378">
        <f t="shared" si="31"/>
        <v>38526.666666666664</v>
      </c>
      <c r="X27" s="378">
        <f t="shared" si="31"/>
        <v>62032.499999999993</v>
      </c>
      <c r="Y27" s="378">
        <f t="shared" si="31"/>
        <v>83669.166666666672</v>
      </c>
      <c r="Z27" s="378">
        <f t="shared" si="31"/>
        <v>153174.16666666669</v>
      </c>
      <c r="AA27" s="378">
        <f t="shared" si="31"/>
        <v>199607.5</v>
      </c>
      <c r="AB27" s="378">
        <f t="shared" si="31"/>
        <v>199607.5</v>
      </c>
      <c r="AC27" s="378">
        <f t="shared" si="31"/>
        <v>199607.5</v>
      </c>
      <c r="AE27" s="359"/>
      <c r="AF27" s="378">
        <f t="shared" ref="AF27:CA27" si="32">SUM(AF28:AF75)</f>
        <v>0</v>
      </c>
      <c r="AG27" s="378">
        <f t="shared" si="32"/>
        <v>0</v>
      </c>
      <c r="AH27" s="378">
        <f t="shared" si="32"/>
        <v>0</v>
      </c>
      <c r="AI27" s="378">
        <f t="shared" si="32"/>
        <v>0</v>
      </c>
      <c r="AJ27" s="378">
        <f t="shared" si="32"/>
        <v>0</v>
      </c>
      <c r="AK27" s="378">
        <f t="shared" si="32"/>
        <v>0</v>
      </c>
      <c r="AL27" s="378">
        <f t="shared" si="32"/>
        <v>0</v>
      </c>
      <c r="AM27" s="378">
        <f t="shared" si="32"/>
        <v>0</v>
      </c>
      <c r="AN27" s="378">
        <f t="shared" si="32"/>
        <v>0</v>
      </c>
      <c r="AO27" s="378">
        <f t="shared" si="32"/>
        <v>0</v>
      </c>
      <c r="AP27" s="378">
        <f t="shared" si="32"/>
        <v>0</v>
      </c>
      <c r="AQ27" s="378">
        <f t="shared" si="32"/>
        <v>0</v>
      </c>
      <c r="AR27" s="378">
        <f t="shared" si="32"/>
        <v>5450</v>
      </c>
      <c r="AS27" s="378">
        <f t="shared" si="32"/>
        <v>5450</v>
      </c>
      <c r="AT27" s="378">
        <f t="shared" si="32"/>
        <v>5450</v>
      </c>
      <c r="AU27" s="378">
        <f t="shared" si="32"/>
        <v>5450</v>
      </c>
      <c r="AV27" s="378">
        <f t="shared" si="32"/>
        <v>7070.833333333333</v>
      </c>
      <c r="AW27" s="378">
        <f t="shared" si="32"/>
        <v>7070.833333333333</v>
      </c>
      <c r="AX27" s="378">
        <f t="shared" si="32"/>
        <v>7070.833333333333</v>
      </c>
      <c r="AY27" s="378">
        <f t="shared" si="32"/>
        <v>7070.833333333333</v>
      </c>
      <c r="AZ27" s="378">
        <f t="shared" si="32"/>
        <v>7070.833333333333</v>
      </c>
      <c r="BA27" s="378">
        <f t="shared" si="32"/>
        <v>7070.833333333333</v>
      </c>
      <c r="BB27" s="378">
        <f t="shared" si="32"/>
        <v>7070.833333333333</v>
      </c>
      <c r="BC27" s="378">
        <f t="shared" si="32"/>
        <v>7070.833333333333</v>
      </c>
      <c r="BD27" s="378">
        <f t="shared" si="32"/>
        <v>7070.833333333333</v>
      </c>
      <c r="BE27" s="378">
        <f t="shared" si="32"/>
        <v>7070.833333333333</v>
      </c>
      <c r="BF27" s="378">
        <f t="shared" si="32"/>
        <v>7070.833333333333</v>
      </c>
      <c r="BG27" s="378">
        <f t="shared" si="32"/>
        <v>11001.666666666668</v>
      </c>
      <c r="BH27" s="378">
        <f t="shared" si="32"/>
        <v>11864.166666666668</v>
      </c>
      <c r="BI27" s="378">
        <f t="shared" si="32"/>
        <v>15660.833333333334</v>
      </c>
      <c r="BJ27" s="378">
        <f t="shared" si="32"/>
        <v>15660.833333333334</v>
      </c>
      <c r="BK27" s="378">
        <f t="shared" si="32"/>
        <v>22220.833333333336</v>
      </c>
      <c r="BL27" s="378">
        <f t="shared" si="32"/>
        <v>24150.833333333336</v>
      </c>
      <c r="BM27" s="378">
        <f t="shared" si="32"/>
        <v>24400.833333333336</v>
      </c>
      <c r="BN27" s="378">
        <f t="shared" si="32"/>
        <v>28592.5</v>
      </c>
      <c r="BO27" s="378">
        <f t="shared" si="32"/>
        <v>30675.833333333336</v>
      </c>
      <c r="BP27" s="378">
        <f t="shared" si="32"/>
        <v>35773.333333333336</v>
      </c>
      <c r="BQ27" s="378">
        <f t="shared" si="32"/>
        <v>50865</v>
      </c>
      <c r="BR27" s="378">
        <f t="shared" si="32"/>
        <v>66535.833333333328</v>
      </c>
      <c r="BS27" s="378">
        <f t="shared" si="32"/>
        <v>66535.833333333328</v>
      </c>
      <c r="BT27" s="378">
        <f t="shared" si="32"/>
        <v>66535.833333333328</v>
      </c>
      <c r="BU27" s="378">
        <f t="shared" si="32"/>
        <v>66535.833333333328</v>
      </c>
      <c r="BV27" s="378">
        <f t="shared" si="32"/>
        <v>66535.833333333328</v>
      </c>
      <c r="BW27" s="378">
        <f t="shared" si="32"/>
        <v>66535.833333333328</v>
      </c>
      <c r="BX27" s="378">
        <f t="shared" si="32"/>
        <v>66535.833333333328</v>
      </c>
      <c r="BY27" s="378">
        <f t="shared" si="32"/>
        <v>66535.833333333328</v>
      </c>
      <c r="BZ27" s="378">
        <f t="shared" si="32"/>
        <v>66535.833333333328</v>
      </c>
      <c r="CA27" s="378">
        <f t="shared" si="32"/>
        <v>66535.833333333328</v>
      </c>
    </row>
    <row r="28" spans="2:79" ht="21" hidden="1" customHeight="1" outlineLevel="2">
      <c r="B28" s="367"/>
      <c r="C28" s="370"/>
      <c r="D28" s="374" cm="1">
        <f t="array" ref="D28">EOM_Start_Date</f>
        <v>44957</v>
      </c>
      <c r="E28" s="408" cm="1">
        <f t="array" ref="E28">INDEX($AF$14:$CA$14,0,MATCH($D28,$AF$8:$CA$8,0))</f>
        <v>0</v>
      </c>
      <c r="G28" s="359"/>
      <c r="H28" s="410">
        <f t="shared" ref="H28:K47" si="33">SUMIFS($AF28:$CA28,$AF$4:$CA$4,"&gt;="&amp;H$4,$AF$5:$CA$5,"&lt;="&amp;H$5)</f>
        <v>0</v>
      </c>
      <c r="I28" s="410">
        <f t="shared" si="33"/>
        <v>0</v>
      </c>
      <c r="J28" s="410">
        <f t="shared" si="33"/>
        <v>0</v>
      </c>
      <c r="K28" s="410">
        <f t="shared" si="33"/>
        <v>0</v>
      </c>
      <c r="L28" s="410"/>
      <c r="M28" s="410"/>
      <c r="N28" s="410">
        <f t="shared" ref="N28:AC37" si="34">SUMIFS($AF28:$CA28,$AF$4:$CA$4,"&gt;="&amp;N$4,$AF$5:$CA$5,"&lt;="&amp;N$5)</f>
        <v>0</v>
      </c>
      <c r="O28" s="410">
        <f t="shared" si="34"/>
        <v>0</v>
      </c>
      <c r="P28" s="410">
        <f t="shared" si="34"/>
        <v>0</v>
      </c>
      <c r="Q28" s="410">
        <f t="shared" si="34"/>
        <v>0</v>
      </c>
      <c r="R28" s="410">
        <f t="shared" si="34"/>
        <v>0</v>
      </c>
      <c r="S28" s="410">
        <f t="shared" si="34"/>
        <v>0</v>
      </c>
      <c r="T28" s="410">
        <f t="shared" si="34"/>
        <v>0</v>
      </c>
      <c r="U28" s="410">
        <f t="shared" si="34"/>
        <v>0</v>
      </c>
      <c r="V28" s="410">
        <f t="shared" si="34"/>
        <v>0</v>
      </c>
      <c r="W28" s="410">
        <f t="shared" si="34"/>
        <v>0</v>
      </c>
      <c r="X28" s="410">
        <f t="shared" si="34"/>
        <v>0</v>
      </c>
      <c r="Y28" s="410">
        <f t="shared" si="34"/>
        <v>0</v>
      </c>
      <c r="Z28" s="410">
        <f t="shared" si="34"/>
        <v>0</v>
      </c>
      <c r="AA28" s="410">
        <f t="shared" si="34"/>
        <v>0</v>
      </c>
      <c r="AB28" s="410">
        <f t="shared" si="34"/>
        <v>0</v>
      </c>
      <c r="AC28" s="410">
        <f t="shared" si="34"/>
        <v>0</v>
      </c>
      <c r="AD28" s="379"/>
      <c r="AE28" s="359"/>
      <c r="AF28" s="382">
        <f t="shared" ref="AF28:AO37" si="35">IF(AND(AF$8&gt;=$D28,(MATCH(AF$8,$AF$8:$CA$8,0)-MATCH($D28,$AF$8:$CA$8,0))&lt;3),$E28/3,0)</f>
        <v>0</v>
      </c>
      <c r="AG28" s="382">
        <f t="shared" si="35"/>
        <v>0</v>
      </c>
      <c r="AH28" s="382">
        <f t="shared" si="35"/>
        <v>0</v>
      </c>
      <c r="AI28" s="382">
        <f t="shared" si="35"/>
        <v>0</v>
      </c>
      <c r="AJ28" s="382">
        <f t="shared" si="35"/>
        <v>0</v>
      </c>
      <c r="AK28" s="382">
        <f t="shared" si="35"/>
        <v>0</v>
      </c>
      <c r="AL28" s="382">
        <f t="shared" si="35"/>
        <v>0</v>
      </c>
      <c r="AM28" s="382">
        <f t="shared" si="35"/>
        <v>0</v>
      </c>
      <c r="AN28" s="382">
        <f t="shared" si="35"/>
        <v>0</v>
      </c>
      <c r="AO28" s="382">
        <f t="shared" si="35"/>
        <v>0</v>
      </c>
      <c r="AP28" s="382">
        <f t="shared" ref="AP28:AY37" si="36">IF(AND(AP$8&gt;=$D28,(MATCH(AP$8,$AF$8:$CA$8,0)-MATCH($D28,$AF$8:$CA$8,0))&lt;3),$E28/3,0)</f>
        <v>0</v>
      </c>
      <c r="AQ28" s="382">
        <f t="shared" si="36"/>
        <v>0</v>
      </c>
      <c r="AR28" s="382">
        <f t="shared" si="36"/>
        <v>0</v>
      </c>
      <c r="AS28" s="382">
        <f t="shared" si="36"/>
        <v>0</v>
      </c>
      <c r="AT28" s="382">
        <f t="shared" si="36"/>
        <v>0</v>
      </c>
      <c r="AU28" s="382">
        <f t="shared" si="36"/>
        <v>0</v>
      </c>
      <c r="AV28" s="382">
        <f t="shared" si="36"/>
        <v>0</v>
      </c>
      <c r="AW28" s="382">
        <f t="shared" si="36"/>
        <v>0</v>
      </c>
      <c r="AX28" s="382">
        <f t="shared" si="36"/>
        <v>0</v>
      </c>
      <c r="AY28" s="382">
        <f t="shared" si="36"/>
        <v>0</v>
      </c>
      <c r="AZ28" s="382">
        <f t="shared" ref="AZ28:BI37" si="37">IF(AND(AZ$8&gt;=$D28,(MATCH(AZ$8,$AF$8:$CA$8,0)-MATCH($D28,$AF$8:$CA$8,0))&lt;3),$E28/3,0)</f>
        <v>0</v>
      </c>
      <c r="BA28" s="382">
        <f t="shared" si="37"/>
        <v>0</v>
      </c>
      <c r="BB28" s="382">
        <f t="shared" si="37"/>
        <v>0</v>
      </c>
      <c r="BC28" s="382">
        <f t="shared" si="37"/>
        <v>0</v>
      </c>
      <c r="BD28" s="382">
        <f t="shared" si="37"/>
        <v>0</v>
      </c>
      <c r="BE28" s="382">
        <f t="shared" si="37"/>
        <v>0</v>
      </c>
      <c r="BF28" s="382">
        <f t="shared" si="37"/>
        <v>0</v>
      </c>
      <c r="BG28" s="382">
        <f t="shared" si="37"/>
        <v>0</v>
      </c>
      <c r="BH28" s="382">
        <f t="shared" si="37"/>
        <v>0</v>
      </c>
      <c r="BI28" s="382">
        <f t="shared" si="37"/>
        <v>0</v>
      </c>
      <c r="BJ28" s="382">
        <f t="shared" ref="BJ28:BS37" si="38">IF(AND(BJ$8&gt;=$D28,(MATCH(BJ$8,$AF$8:$CA$8,0)-MATCH($D28,$AF$8:$CA$8,0))&lt;3),$E28/3,0)</f>
        <v>0</v>
      </c>
      <c r="BK28" s="382">
        <f t="shared" si="38"/>
        <v>0</v>
      </c>
      <c r="BL28" s="382">
        <f t="shared" si="38"/>
        <v>0</v>
      </c>
      <c r="BM28" s="382">
        <f t="shared" si="38"/>
        <v>0</v>
      </c>
      <c r="BN28" s="382">
        <f t="shared" si="38"/>
        <v>0</v>
      </c>
      <c r="BO28" s="382">
        <f t="shared" si="38"/>
        <v>0</v>
      </c>
      <c r="BP28" s="382">
        <f t="shared" si="38"/>
        <v>0</v>
      </c>
      <c r="BQ28" s="382">
        <f t="shared" si="38"/>
        <v>0</v>
      </c>
      <c r="BR28" s="382">
        <f t="shared" si="38"/>
        <v>0</v>
      </c>
      <c r="BS28" s="382">
        <f t="shared" si="38"/>
        <v>0</v>
      </c>
      <c r="BT28" s="382">
        <f t="shared" ref="BT28:CA37" si="39">IF(AND(BT$8&gt;=$D28,(MATCH(BT$8,$AF$8:$CA$8,0)-MATCH($D28,$AF$8:$CA$8,0))&lt;3),$E28/3,0)</f>
        <v>0</v>
      </c>
      <c r="BU28" s="382">
        <f t="shared" si="39"/>
        <v>0</v>
      </c>
      <c r="BV28" s="382">
        <f t="shared" si="39"/>
        <v>0</v>
      </c>
      <c r="BW28" s="382">
        <f t="shared" si="39"/>
        <v>0</v>
      </c>
      <c r="BX28" s="382">
        <f t="shared" si="39"/>
        <v>0</v>
      </c>
      <c r="BY28" s="382">
        <f t="shared" si="39"/>
        <v>0</v>
      </c>
      <c r="BZ28" s="382">
        <f t="shared" si="39"/>
        <v>0</v>
      </c>
      <c r="CA28" s="382">
        <f t="shared" si="39"/>
        <v>0</v>
      </c>
    </row>
    <row r="29" spans="2:79" ht="21" hidden="1" customHeight="1" outlineLevel="2">
      <c r="B29" s="367"/>
      <c r="C29" s="370"/>
      <c r="D29" s="374">
        <f t="shared" ref="D29:D75" si="40">EOMONTH(D28,1)</f>
        <v>44985</v>
      </c>
      <c r="E29" s="408" cm="1">
        <f t="array" ref="E29">INDEX($AF$14:$CA$14,0,MATCH($D29,$AF$8:$CA$8,0))</f>
        <v>0</v>
      </c>
      <c r="G29" s="359"/>
      <c r="H29" s="410">
        <f t="shared" si="33"/>
        <v>0</v>
      </c>
      <c r="I29" s="410">
        <f t="shared" si="33"/>
        <v>0</v>
      </c>
      <c r="J29" s="410">
        <f t="shared" si="33"/>
        <v>0</v>
      </c>
      <c r="K29" s="410">
        <f t="shared" si="33"/>
        <v>0</v>
      </c>
      <c r="L29" s="410"/>
      <c r="M29" s="410"/>
      <c r="N29" s="410">
        <f t="shared" si="34"/>
        <v>0</v>
      </c>
      <c r="O29" s="410">
        <f t="shared" si="34"/>
        <v>0</v>
      </c>
      <c r="P29" s="410">
        <f t="shared" si="34"/>
        <v>0</v>
      </c>
      <c r="Q29" s="410">
        <f t="shared" si="34"/>
        <v>0</v>
      </c>
      <c r="R29" s="410">
        <f t="shared" si="34"/>
        <v>0</v>
      </c>
      <c r="S29" s="410">
        <f t="shared" si="34"/>
        <v>0</v>
      </c>
      <c r="T29" s="410">
        <f t="shared" si="34"/>
        <v>0</v>
      </c>
      <c r="U29" s="410">
        <f t="shared" si="34"/>
        <v>0</v>
      </c>
      <c r="V29" s="410">
        <f t="shared" si="34"/>
        <v>0</v>
      </c>
      <c r="W29" s="410">
        <f t="shared" si="34"/>
        <v>0</v>
      </c>
      <c r="X29" s="410">
        <f t="shared" si="34"/>
        <v>0</v>
      </c>
      <c r="Y29" s="410">
        <f t="shared" si="34"/>
        <v>0</v>
      </c>
      <c r="Z29" s="410">
        <f t="shared" si="34"/>
        <v>0</v>
      </c>
      <c r="AA29" s="410">
        <f t="shared" si="34"/>
        <v>0</v>
      </c>
      <c r="AB29" s="410">
        <f t="shared" si="34"/>
        <v>0</v>
      </c>
      <c r="AC29" s="410">
        <f t="shared" si="34"/>
        <v>0</v>
      </c>
      <c r="AD29" s="379"/>
      <c r="AE29" s="359"/>
      <c r="AF29" s="382">
        <f t="shared" si="35"/>
        <v>0</v>
      </c>
      <c r="AG29" s="382">
        <f t="shared" si="35"/>
        <v>0</v>
      </c>
      <c r="AH29" s="382">
        <f t="shared" si="35"/>
        <v>0</v>
      </c>
      <c r="AI29" s="382">
        <f t="shared" si="35"/>
        <v>0</v>
      </c>
      <c r="AJ29" s="382">
        <f t="shared" si="35"/>
        <v>0</v>
      </c>
      <c r="AK29" s="382">
        <f t="shared" si="35"/>
        <v>0</v>
      </c>
      <c r="AL29" s="382">
        <f t="shared" si="35"/>
        <v>0</v>
      </c>
      <c r="AM29" s="382">
        <f t="shared" si="35"/>
        <v>0</v>
      </c>
      <c r="AN29" s="382">
        <f t="shared" si="35"/>
        <v>0</v>
      </c>
      <c r="AO29" s="382">
        <f t="shared" si="35"/>
        <v>0</v>
      </c>
      <c r="AP29" s="382">
        <f t="shared" si="36"/>
        <v>0</v>
      </c>
      <c r="AQ29" s="382">
        <f t="shared" si="36"/>
        <v>0</v>
      </c>
      <c r="AR29" s="382">
        <f t="shared" si="36"/>
        <v>0</v>
      </c>
      <c r="AS29" s="382">
        <f t="shared" si="36"/>
        <v>0</v>
      </c>
      <c r="AT29" s="382">
        <f t="shared" si="36"/>
        <v>0</v>
      </c>
      <c r="AU29" s="382">
        <f t="shared" si="36"/>
        <v>0</v>
      </c>
      <c r="AV29" s="382">
        <f t="shared" si="36"/>
        <v>0</v>
      </c>
      <c r="AW29" s="382">
        <f t="shared" si="36"/>
        <v>0</v>
      </c>
      <c r="AX29" s="382">
        <f t="shared" si="36"/>
        <v>0</v>
      </c>
      <c r="AY29" s="382">
        <f t="shared" si="36"/>
        <v>0</v>
      </c>
      <c r="AZ29" s="382">
        <f t="shared" si="37"/>
        <v>0</v>
      </c>
      <c r="BA29" s="382">
        <f t="shared" si="37"/>
        <v>0</v>
      </c>
      <c r="BB29" s="382">
        <f t="shared" si="37"/>
        <v>0</v>
      </c>
      <c r="BC29" s="382">
        <f t="shared" si="37"/>
        <v>0</v>
      </c>
      <c r="BD29" s="382">
        <f t="shared" si="37"/>
        <v>0</v>
      </c>
      <c r="BE29" s="382">
        <f t="shared" si="37"/>
        <v>0</v>
      </c>
      <c r="BF29" s="382">
        <f t="shared" si="37"/>
        <v>0</v>
      </c>
      <c r="BG29" s="382">
        <f t="shared" si="37"/>
        <v>0</v>
      </c>
      <c r="BH29" s="382">
        <f t="shared" si="37"/>
        <v>0</v>
      </c>
      <c r="BI29" s="382">
        <f t="shared" si="37"/>
        <v>0</v>
      </c>
      <c r="BJ29" s="382">
        <f t="shared" si="38"/>
        <v>0</v>
      </c>
      <c r="BK29" s="382">
        <f t="shared" si="38"/>
        <v>0</v>
      </c>
      <c r="BL29" s="382">
        <f t="shared" si="38"/>
        <v>0</v>
      </c>
      <c r="BM29" s="382">
        <f t="shared" si="38"/>
        <v>0</v>
      </c>
      <c r="BN29" s="382">
        <f t="shared" si="38"/>
        <v>0</v>
      </c>
      <c r="BO29" s="382">
        <f t="shared" si="38"/>
        <v>0</v>
      </c>
      <c r="BP29" s="382">
        <f t="shared" si="38"/>
        <v>0</v>
      </c>
      <c r="BQ29" s="382">
        <f t="shared" si="38"/>
        <v>0</v>
      </c>
      <c r="BR29" s="382">
        <f t="shared" si="38"/>
        <v>0</v>
      </c>
      <c r="BS29" s="382">
        <f t="shared" si="38"/>
        <v>0</v>
      </c>
      <c r="BT29" s="382">
        <f t="shared" si="39"/>
        <v>0</v>
      </c>
      <c r="BU29" s="382">
        <f t="shared" si="39"/>
        <v>0</v>
      </c>
      <c r="BV29" s="382">
        <f t="shared" si="39"/>
        <v>0</v>
      </c>
      <c r="BW29" s="382">
        <f t="shared" si="39"/>
        <v>0</v>
      </c>
      <c r="BX29" s="382">
        <f t="shared" si="39"/>
        <v>0</v>
      </c>
      <c r="BY29" s="382">
        <f t="shared" si="39"/>
        <v>0</v>
      </c>
      <c r="BZ29" s="382">
        <f t="shared" si="39"/>
        <v>0</v>
      </c>
      <c r="CA29" s="382">
        <f t="shared" si="39"/>
        <v>0</v>
      </c>
    </row>
    <row r="30" spans="2:79" ht="21" hidden="1" customHeight="1" outlineLevel="2">
      <c r="B30" s="367"/>
      <c r="C30" s="370"/>
      <c r="D30" s="374">
        <f t="shared" si="40"/>
        <v>45016</v>
      </c>
      <c r="E30" s="408" cm="1">
        <f t="array" ref="E30">INDEX($AF$14:$CA$14,0,MATCH($D30,$AF$8:$CA$8,0))</f>
        <v>0</v>
      </c>
      <c r="G30" s="359"/>
      <c r="H30" s="410">
        <f t="shared" si="33"/>
        <v>0</v>
      </c>
      <c r="I30" s="410">
        <f t="shared" si="33"/>
        <v>0</v>
      </c>
      <c r="J30" s="410">
        <f t="shared" si="33"/>
        <v>0</v>
      </c>
      <c r="K30" s="410">
        <f t="shared" si="33"/>
        <v>0</v>
      </c>
      <c r="L30" s="410"/>
      <c r="M30" s="410"/>
      <c r="N30" s="410">
        <f t="shared" si="34"/>
        <v>0</v>
      </c>
      <c r="O30" s="410">
        <f t="shared" si="34"/>
        <v>0</v>
      </c>
      <c r="P30" s="410">
        <f t="shared" si="34"/>
        <v>0</v>
      </c>
      <c r="Q30" s="410">
        <f t="shared" si="34"/>
        <v>0</v>
      </c>
      <c r="R30" s="410">
        <f t="shared" si="34"/>
        <v>0</v>
      </c>
      <c r="S30" s="410">
        <f t="shared" si="34"/>
        <v>0</v>
      </c>
      <c r="T30" s="410">
        <f t="shared" si="34"/>
        <v>0</v>
      </c>
      <c r="U30" s="410">
        <f t="shared" si="34"/>
        <v>0</v>
      </c>
      <c r="V30" s="410">
        <f t="shared" si="34"/>
        <v>0</v>
      </c>
      <c r="W30" s="410">
        <f t="shared" si="34"/>
        <v>0</v>
      </c>
      <c r="X30" s="410">
        <f t="shared" si="34"/>
        <v>0</v>
      </c>
      <c r="Y30" s="410">
        <f t="shared" si="34"/>
        <v>0</v>
      </c>
      <c r="Z30" s="410">
        <f t="shared" si="34"/>
        <v>0</v>
      </c>
      <c r="AA30" s="410">
        <f t="shared" si="34"/>
        <v>0</v>
      </c>
      <c r="AB30" s="410">
        <f t="shared" si="34"/>
        <v>0</v>
      </c>
      <c r="AC30" s="410">
        <f t="shared" si="34"/>
        <v>0</v>
      </c>
      <c r="AD30" s="379"/>
      <c r="AE30" s="359"/>
      <c r="AF30" s="382">
        <f t="shared" si="35"/>
        <v>0</v>
      </c>
      <c r="AG30" s="382">
        <f t="shared" si="35"/>
        <v>0</v>
      </c>
      <c r="AH30" s="382">
        <f t="shared" si="35"/>
        <v>0</v>
      </c>
      <c r="AI30" s="382">
        <f t="shared" si="35"/>
        <v>0</v>
      </c>
      <c r="AJ30" s="382">
        <f t="shared" si="35"/>
        <v>0</v>
      </c>
      <c r="AK30" s="382">
        <f t="shared" si="35"/>
        <v>0</v>
      </c>
      <c r="AL30" s="382">
        <f t="shared" si="35"/>
        <v>0</v>
      </c>
      <c r="AM30" s="382">
        <f t="shared" si="35"/>
        <v>0</v>
      </c>
      <c r="AN30" s="382">
        <f t="shared" si="35"/>
        <v>0</v>
      </c>
      <c r="AO30" s="382">
        <f t="shared" si="35"/>
        <v>0</v>
      </c>
      <c r="AP30" s="382">
        <f t="shared" si="36"/>
        <v>0</v>
      </c>
      <c r="AQ30" s="382">
        <f t="shared" si="36"/>
        <v>0</v>
      </c>
      <c r="AR30" s="382">
        <f t="shared" si="36"/>
        <v>0</v>
      </c>
      <c r="AS30" s="382">
        <f t="shared" si="36"/>
        <v>0</v>
      </c>
      <c r="AT30" s="382">
        <f t="shared" si="36"/>
        <v>0</v>
      </c>
      <c r="AU30" s="382">
        <f t="shared" si="36"/>
        <v>0</v>
      </c>
      <c r="AV30" s="382">
        <f t="shared" si="36"/>
        <v>0</v>
      </c>
      <c r="AW30" s="382">
        <f t="shared" si="36"/>
        <v>0</v>
      </c>
      <c r="AX30" s="382">
        <f t="shared" si="36"/>
        <v>0</v>
      </c>
      <c r="AY30" s="382">
        <f t="shared" si="36"/>
        <v>0</v>
      </c>
      <c r="AZ30" s="382">
        <f t="shared" si="37"/>
        <v>0</v>
      </c>
      <c r="BA30" s="382">
        <f t="shared" si="37"/>
        <v>0</v>
      </c>
      <c r="BB30" s="382">
        <f t="shared" si="37"/>
        <v>0</v>
      </c>
      <c r="BC30" s="382">
        <f t="shared" si="37"/>
        <v>0</v>
      </c>
      <c r="BD30" s="382">
        <f t="shared" si="37"/>
        <v>0</v>
      </c>
      <c r="BE30" s="382">
        <f t="shared" si="37"/>
        <v>0</v>
      </c>
      <c r="BF30" s="382">
        <f t="shared" si="37"/>
        <v>0</v>
      </c>
      <c r="BG30" s="382">
        <f t="shared" si="37"/>
        <v>0</v>
      </c>
      <c r="BH30" s="382">
        <f t="shared" si="37"/>
        <v>0</v>
      </c>
      <c r="BI30" s="382">
        <f t="shared" si="37"/>
        <v>0</v>
      </c>
      <c r="BJ30" s="382">
        <f t="shared" si="38"/>
        <v>0</v>
      </c>
      <c r="BK30" s="382">
        <f t="shared" si="38"/>
        <v>0</v>
      </c>
      <c r="BL30" s="382">
        <f t="shared" si="38"/>
        <v>0</v>
      </c>
      <c r="BM30" s="382">
        <f t="shared" si="38"/>
        <v>0</v>
      </c>
      <c r="BN30" s="382">
        <f t="shared" si="38"/>
        <v>0</v>
      </c>
      <c r="BO30" s="382">
        <f t="shared" si="38"/>
        <v>0</v>
      </c>
      <c r="BP30" s="382">
        <f t="shared" si="38"/>
        <v>0</v>
      </c>
      <c r="BQ30" s="382">
        <f t="shared" si="38"/>
        <v>0</v>
      </c>
      <c r="BR30" s="382">
        <f t="shared" si="38"/>
        <v>0</v>
      </c>
      <c r="BS30" s="382">
        <f t="shared" si="38"/>
        <v>0</v>
      </c>
      <c r="BT30" s="382">
        <f t="shared" si="39"/>
        <v>0</v>
      </c>
      <c r="BU30" s="382">
        <f t="shared" si="39"/>
        <v>0</v>
      </c>
      <c r="BV30" s="382">
        <f t="shared" si="39"/>
        <v>0</v>
      </c>
      <c r="BW30" s="382">
        <f t="shared" si="39"/>
        <v>0</v>
      </c>
      <c r="BX30" s="382">
        <f t="shared" si="39"/>
        <v>0</v>
      </c>
      <c r="BY30" s="382">
        <f t="shared" si="39"/>
        <v>0</v>
      </c>
      <c r="BZ30" s="382">
        <f t="shared" si="39"/>
        <v>0</v>
      </c>
      <c r="CA30" s="382">
        <f t="shared" si="39"/>
        <v>0</v>
      </c>
    </row>
    <row r="31" spans="2:79" ht="21" hidden="1" customHeight="1" outlineLevel="2">
      <c r="B31" s="367"/>
      <c r="C31" s="370"/>
      <c r="D31" s="374">
        <f t="shared" si="40"/>
        <v>45046</v>
      </c>
      <c r="E31" s="408" cm="1">
        <f t="array" ref="E31">INDEX($AF$14:$CA$14,0,MATCH($D31,$AF$8:$CA$8,0))</f>
        <v>0</v>
      </c>
      <c r="G31" s="359"/>
      <c r="H31" s="410">
        <f t="shared" si="33"/>
        <v>0</v>
      </c>
      <c r="I31" s="410">
        <f t="shared" si="33"/>
        <v>0</v>
      </c>
      <c r="J31" s="410">
        <f t="shared" si="33"/>
        <v>0</v>
      </c>
      <c r="K31" s="410">
        <f t="shared" si="33"/>
        <v>0</v>
      </c>
      <c r="L31" s="410"/>
      <c r="M31" s="410"/>
      <c r="N31" s="410">
        <f t="shared" si="34"/>
        <v>0</v>
      </c>
      <c r="O31" s="410">
        <f t="shared" si="34"/>
        <v>0</v>
      </c>
      <c r="P31" s="410">
        <f t="shared" si="34"/>
        <v>0</v>
      </c>
      <c r="Q31" s="410">
        <f t="shared" si="34"/>
        <v>0</v>
      </c>
      <c r="R31" s="410">
        <f t="shared" si="34"/>
        <v>0</v>
      </c>
      <c r="S31" s="410">
        <f t="shared" si="34"/>
        <v>0</v>
      </c>
      <c r="T31" s="410">
        <f t="shared" si="34"/>
        <v>0</v>
      </c>
      <c r="U31" s="410">
        <f t="shared" si="34"/>
        <v>0</v>
      </c>
      <c r="V31" s="410">
        <f t="shared" si="34"/>
        <v>0</v>
      </c>
      <c r="W31" s="410">
        <f t="shared" si="34"/>
        <v>0</v>
      </c>
      <c r="X31" s="410">
        <f t="shared" si="34"/>
        <v>0</v>
      </c>
      <c r="Y31" s="410">
        <f t="shared" si="34"/>
        <v>0</v>
      </c>
      <c r="Z31" s="410">
        <f t="shared" si="34"/>
        <v>0</v>
      </c>
      <c r="AA31" s="410">
        <f t="shared" si="34"/>
        <v>0</v>
      </c>
      <c r="AB31" s="410">
        <f t="shared" si="34"/>
        <v>0</v>
      </c>
      <c r="AC31" s="410">
        <f t="shared" si="34"/>
        <v>0</v>
      </c>
      <c r="AD31" s="379"/>
      <c r="AE31" s="359"/>
      <c r="AF31" s="382">
        <f t="shared" si="35"/>
        <v>0</v>
      </c>
      <c r="AG31" s="382">
        <f t="shared" si="35"/>
        <v>0</v>
      </c>
      <c r="AH31" s="382">
        <f t="shared" si="35"/>
        <v>0</v>
      </c>
      <c r="AI31" s="382">
        <f t="shared" si="35"/>
        <v>0</v>
      </c>
      <c r="AJ31" s="382">
        <f t="shared" si="35"/>
        <v>0</v>
      </c>
      <c r="AK31" s="382">
        <f t="shared" si="35"/>
        <v>0</v>
      </c>
      <c r="AL31" s="382">
        <f t="shared" si="35"/>
        <v>0</v>
      </c>
      <c r="AM31" s="382">
        <f t="shared" si="35"/>
        <v>0</v>
      </c>
      <c r="AN31" s="382">
        <f t="shared" si="35"/>
        <v>0</v>
      </c>
      <c r="AO31" s="382">
        <f t="shared" si="35"/>
        <v>0</v>
      </c>
      <c r="AP31" s="382">
        <f t="shared" si="36"/>
        <v>0</v>
      </c>
      <c r="AQ31" s="382">
        <f t="shared" si="36"/>
        <v>0</v>
      </c>
      <c r="AR31" s="382">
        <f t="shared" si="36"/>
        <v>0</v>
      </c>
      <c r="AS31" s="382">
        <f t="shared" si="36"/>
        <v>0</v>
      </c>
      <c r="AT31" s="382">
        <f t="shared" si="36"/>
        <v>0</v>
      </c>
      <c r="AU31" s="382">
        <f t="shared" si="36"/>
        <v>0</v>
      </c>
      <c r="AV31" s="382">
        <f t="shared" si="36"/>
        <v>0</v>
      </c>
      <c r="AW31" s="382">
        <f t="shared" si="36"/>
        <v>0</v>
      </c>
      <c r="AX31" s="382">
        <f t="shared" si="36"/>
        <v>0</v>
      </c>
      <c r="AY31" s="382">
        <f t="shared" si="36"/>
        <v>0</v>
      </c>
      <c r="AZ31" s="382">
        <f t="shared" si="37"/>
        <v>0</v>
      </c>
      <c r="BA31" s="382">
        <f t="shared" si="37"/>
        <v>0</v>
      </c>
      <c r="BB31" s="382">
        <f t="shared" si="37"/>
        <v>0</v>
      </c>
      <c r="BC31" s="382">
        <f t="shared" si="37"/>
        <v>0</v>
      </c>
      <c r="BD31" s="382">
        <f t="shared" si="37"/>
        <v>0</v>
      </c>
      <c r="BE31" s="382">
        <f t="shared" si="37"/>
        <v>0</v>
      </c>
      <c r="BF31" s="382">
        <f t="shared" si="37"/>
        <v>0</v>
      </c>
      <c r="BG31" s="382">
        <f t="shared" si="37"/>
        <v>0</v>
      </c>
      <c r="BH31" s="382">
        <f t="shared" si="37"/>
        <v>0</v>
      </c>
      <c r="BI31" s="382">
        <f t="shared" si="37"/>
        <v>0</v>
      </c>
      <c r="BJ31" s="382">
        <f t="shared" si="38"/>
        <v>0</v>
      </c>
      <c r="BK31" s="382">
        <f t="shared" si="38"/>
        <v>0</v>
      </c>
      <c r="BL31" s="382">
        <f t="shared" si="38"/>
        <v>0</v>
      </c>
      <c r="BM31" s="382">
        <f t="shared" si="38"/>
        <v>0</v>
      </c>
      <c r="BN31" s="382">
        <f t="shared" si="38"/>
        <v>0</v>
      </c>
      <c r="BO31" s="382">
        <f t="shared" si="38"/>
        <v>0</v>
      </c>
      <c r="BP31" s="382">
        <f t="shared" si="38"/>
        <v>0</v>
      </c>
      <c r="BQ31" s="382">
        <f t="shared" si="38"/>
        <v>0</v>
      </c>
      <c r="BR31" s="382">
        <f t="shared" si="38"/>
        <v>0</v>
      </c>
      <c r="BS31" s="382">
        <f t="shared" si="38"/>
        <v>0</v>
      </c>
      <c r="BT31" s="382">
        <f t="shared" si="39"/>
        <v>0</v>
      </c>
      <c r="BU31" s="382">
        <f t="shared" si="39"/>
        <v>0</v>
      </c>
      <c r="BV31" s="382">
        <f t="shared" si="39"/>
        <v>0</v>
      </c>
      <c r="BW31" s="382">
        <f t="shared" si="39"/>
        <v>0</v>
      </c>
      <c r="BX31" s="382">
        <f t="shared" si="39"/>
        <v>0</v>
      </c>
      <c r="BY31" s="382">
        <f t="shared" si="39"/>
        <v>0</v>
      </c>
      <c r="BZ31" s="382">
        <f t="shared" si="39"/>
        <v>0</v>
      </c>
      <c r="CA31" s="382">
        <f t="shared" si="39"/>
        <v>0</v>
      </c>
    </row>
    <row r="32" spans="2:79" ht="21" hidden="1" customHeight="1" outlineLevel="2">
      <c r="B32" s="367"/>
      <c r="C32" s="370"/>
      <c r="D32" s="374">
        <f t="shared" si="40"/>
        <v>45077</v>
      </c>
      <c r="E32" s="408" cm="1">
        <f t="array" ref="E32">INDEX($AF$14:$CA$14,0,MATCH($D32,$AF$8:$CA$8,0))</f>
        <v>0</v>
      </c>
      <c r="G32" s="359"/>
      <c r="H32" s="410">
        <f t="shared" si="33"/>
        <v>0</v>
      </c>
      <c r="I32" s="410">
        <f t="shared" si="33"/>
        <v>0</v>
      </c>
      <c r="J32" s="410">
        <f t="shared" si="33"/>
        <v>0</v>
      </c>
      <c r="K32" s="410">
        <f t="shared" si="33"/>
        <v>0</v>
      </c>
      <c r="L32" s="410"/>
      <c r="M32" s="410"/>
      <c r="N32" s="410">
        <f t="shared" si="34"/>
        <v>0</v>
      </c>
      <c r="O32" s="410">
        <f t="shared" si="34"/>
        <v>0</v>
      </c>
      <c r="P32" s="410">
        <f t="shared" si="34"/>
        <v>0</v>
      </c>
      <c r="Q32" s="410">
        <f t="shared" si="34"/>
        <v>0</v>
      </c>
      <c r="R32" s="410">
        <f t="shared" si="34"/>
        <v>0</v>
      </c>
      <c r="S32" s="410">
        <f t="shared" si="34"/>
        <v>0</v>
      </c>
      <c r="T32" s="410">
        <f t="shared" si="34"/>
        <v>0</v>
      </c>
      <c r="U32" s="410">
        <f t="shared" si="34"/>
        <v>0</v>
      </c>
      <c r="V32" s="410">
        <f t="shared" si="34"/>
        <v>0</v>
      </c>
      <c r="W32" s="410">
        <f t="shared" si="34"/>
        <v>0</v>
      </c>
      <c r="X32" s="410">
        <f t="shared" si="34"/>
        <v>0</v>
      </c>
      <c r="Y32" s="410">
        <f t="shared" si="34"/>
        <v>0</v>
      </c>
      <c r="Z32" s="410">
        <f t="shared" si="34"/>
        <v>0</v>
      </c>
      <c r="AA32" s="410">
        <f t="shared" si="34"/>
        <v>0</v>
      </c>
      <c r="AB32" s="410">
        <f t="shared" si="34"/>
        <v>0</v>
      </c>
      <c r="AC32" s="410">
        <f t="shared" si="34"/>
        <v>0</v>
      </c>
      <c r="AD32" s="379"/>
      <c r="AE32" s="359"/>
      <c r="AF32" s="382">
        <f t="shared" si="35"/>
        <v>0</v>
      </c>
      <c r="AG32" s="382">
        <f t="shared" si="35"/>
        <v>0</v>
      </c>
      <c r="AH32" s="382">
        <f t="shared" si="35"/>
        <v>0</v>
      </c>
      <c r="AI32" s="382">
        <f t="shared" si="35"/>
        <v>0</v>
      </c>
      <c r="AJ32" s="382">
        <f t="shared" si="35"/>
        <v>0</v>
      </c>
      <c r="AK32" s="382">
        <f t="shared" si="35"/>
        <v>0</v>
      </c>
      <c r="AL32" s="382">
        <f t="shared" si="35"/>
        <v>0</v>
      </c>
      <c r="AM32" s="382">
        <f t="shared" si="35"/>
        <v>0</v>
      </c>
      <c r="AN32" s="382">
        <f t="shared" si="35"/>
        <v>0</v>
      </c>
      <c r="AO32" s="382">
        <f t="shared" si="35"/>
        <v>0</v>
      </c>
      <c r="AP32" s="382">
        <f t="shared" si="36"/>
        <v>0</v>
      </c>
      <c r="AQ32" s="382">
        <f t="shared" si="36"/>
        <v>0</v>
      </c>
      <c r="AR32" s="382">
        <f t="shared" si="36"/>
        <v>0</v>
      </c>
      <c r="AS32" s="382">
        <f t="shared" si="36"/>
        <v>0</v>
      </c>
      <c r="AT32" s="382">
        <f t="shared" si="36"/>
        <v>0</v>
      </c>
      <c r="AU32" s="382">
        <f t="shared" si="36"/>
        <v>0</v>
      </c>
      <c r="AV32" s="382">
        <f t="shared" si="36"/>
        <v>0</v>
      </c>
      <c r="AW32" s="382">
        <f t="shared" si="36"/>
        <v>0</v>
      </c>
      <c r="AX32" s="382">
        <f t="shared" si="36"/>
        <v>0</v>
      </c>
      <c r="AY32" s="382">
        <f t="shared" si="36"/>
        <v>0</v>
      </c>
      <c r="AZ32" s="382">
        <f t="shared" si="37"/>
        <v>0</v>
      </c>
      <c r="BA32" s="382">
        <f t="shared" si="37"/>
        <v>0</v>
      </c>
      <c r="BB32" s="382">
        <f t="shared" si="37"/>
        <v>0</v>
      </c>
      <c r="BC32" s="382">
        <f t="shared" si="37"/>
        <v>0</v>
      </c>
      <c r="BD32" s="382">
        <f t="shared" si="37"/>
        <v>0</v>
      </c>
      <c r="BE32" s="382">
        <f t="shared" si="37"/>
        <v>0</v>
      </c>
      <c r="BF32" s="382">
        <f t="shared" si="37"/>
        <v>0</v>
      </c>
      <c r="BG32" s="382">
        <f t="shared" si="37"/>
        <v>0</v>
      </c>
      <c r="BH32" s="382">
        <f t="shared" si="37"/>
        <v>0</v>
      </c>
      <c r="BI32" s="382">
        <f t="shared" si="37"/>
        <v>0</v>
      </c>
      <c r="BJ32" s="382">
        <f t="shared" si="38"/>
        <v>0</v>
      </c>
      <c r="BK32" s="382">
        <f t="shared" si="38"/>
        <v>0</v>
      </c>
      <c r="BL32" s="382">
        <f t="shared" si="38"/>
        <v>0</v>
      </c>
      <c r="BM32" s="382">
        <f t="shared" si="38"/>
        <v>0</v>
      </c>
      <c r="BN32" s="382">
        <f t="shared" si="38"/>
        <v>0</v>
      </c>
      <c r="BO32" s="382">
        <f t="shared" si="38"/>
        <v>0</v>
      </c>
      <c r="BP32" s="382">
        <f t="shared" si="38"/>
        <v>0</v>
      </c>
      <c r="BQ32" s="382">
        <f t="shared" si="38"/>
        <v>0</v>
      </c>
      <c r="BR32" s="382">
        <f t="shared" si="38"/>
        <v>0</v>
      </c>
      <c r="BS32" s="382">
        <f t="shared" si="38"/>
        <v>0</v>
      </c>
      <c r="BT32" s="382">
        <f t="shared" si="39"/>
        <v>0</v>
      </c>
      <c r="BU32" s="382">
        <f t="shared" si="39"/>
        <v>0</v>
      </c>
      <c r="BV32" s="382">
        <f t="shared" si="39"/>
        <v>0</v>
      </c>
      <c r="BW32" s="382">
        <f t="shared" si="39"/>
        <v>0</v>
      </c>
      <c r="BX32" s="382">
        <f t="shared" si="39"/>
        <v>0</v>
      </c>
      <c r="BY32" s="382">
        <f t="shared" si="39"/>
        <v>0</v>
      </c>
      <c r="BZ32" s="382">
        <f t="shared" si="39"/>
        <v>0</v>
      </c>
      <c r="CA32" s="382">
        <f t="shared" si="39"/>
        <v>0</v>
      </c>
    </row>
    <row r="33" spans="2:79" ht="21" hidden="1" customHeight="1" outlineLevel="2">
      <c r="B33" s="367"/>
      <c r="C33" s="370"/>
      <c r="D33" s="374">
        <f t="shared" si="40"/>
        <v>45107</v>
      </c>
      <c r="E33" s="408" cm="1">
        <f t="array" ref="E33">INDEX($AF$14:$CA$14,0,MATCH($D33,$AF$8:$CA$8,0))</f>
        <v>0</v>
      </c>
      <c r="G33" s="359"/>
      <c r="H33" s="410">
        <f t="shared" si="33"/>
        <v>0</v>
      </c>
      <c r="I33" s="410">
        <f t="shared" si="33"/>
        <v>0</v>
      </c>
      <c r="J33" s="410">
        <f t="shared" si="33"/>
        <v>0</v>
      </c>
      <c r="K33" s="410">
        <f t="shared" si="33"/>
        <v>0</v>
      </c>
      <c r="L33" s="410"/>
      <c r="M33" s="410"/>
      <c r="N33" s="410">
        <f t="shared" si="34"/>
        <v>0</v>
      </c>
      <c r="O33" s="410">
        <f t="shared" si="34"/>
        <v>0</v>
      </c>
      <c r="P33" s="410">
        <f t="shared" si="34"/>
        <v>0</v>
      </c>
      <c r="Q33" s="410">
        <f t="shared" si="34"/>
        <v>0</v>
      </c>
      <c r="R33" s="410">
        <f t="shared" si="34"/>
        <v>0</v>
      </c>
      <c r="S33" s="410">
        <f t="shared" si="34"/>
        <v>0</v>
      </c>
      <c r="T33" s="410">
        <f t="shared" si="34"/>
        <v>0</v>
      </c>
      <c r="U33" s="410">
        <f t="shared" si="34"/>
        <v>0</v>
      </c>
      <c r="V33" s="410">
        <f t="shared" si="34"/>
        <v>0</v>
      </c>
      <c r="W33" s="410">
        <f t="shared" si="34"/>
        <v>0</v>
      </c>
      <c r="X33" s="410">
        <f t="shared" si="34"/>
        <v>0</v>
      </c>
      <c r="Y33" s="410">
        <f t="shared" si="34"/>
        <v>0</v>
      </c>
      <c r="Z33" s="410">
        <f t="shared" si="34"/>
        <v>0</v>
      </c>
      <c r="AA33" s="410">
        <f t="shared" si="34"/>
        <v>0</v>
      </c>
      <c r="AB33" s="410">
        <f t="shared" si="34"/>
        <v>0</v>
      </c>
      <c r="AC33" s="410">
        <f t="shared" si="34"/>
        <v>0</v>
      </c>
      <c r="AD33" s="379"/>
      <c r="AE33" s="359"/>
      <c r="AF33" s="382">
        <f t="shared" si="35"/>
        <v>0</v>
      </c>
      <c r="AG33" s="382">
        <f t="shared" si="35"/>
        <v>0</v>
      </c>
      <c r="AH33" s="382">
        <f t="shared" si="35"/>
        <v>0</v>
      </c>
      <c r="AI33" s="382">
        <f t="shared" si="35"/>
        <v>0</v>
      </c>
      <c r="AJ33" s="382">
        <f t="shared" si="35"/>
        <v>0</v>
      </c>
      <c r="AK33" s="382">
        <f t="shared" si="35"/>
        <v>0</v>
      </c>
      <c r="AL33" s="382">
        <f t="shared" si="35"/>
        <v>0</v>
      </c>
      <c r="AM33" s="382">
        <f t="shared" si="35"/>
        <v>0</v>
      </c>
      <c r="AN33" s="382">
        <f t="shared" si="35"/>
        <v>0</v>
      </c>
      <c r="AO33" s="382">
        <f t="shared" si="35"/>
        <v>0</v>
      </c>
      <c r="AP33" s="382">
        <f t="shared" si="36"/>
        <v>0</v>
      </c>
      <c r="AQ33" s="382">
        <f t="shared" si="36"/>
        <v>0</v>
      </c>
      <c r="AR33" s="382">
        <f t="shared" si="36"/>
        <v>0</v>
      </c>
      <c r="AS33" s="382">
        <f t="shared" si="36"/>
        <v>0</v>
      </c>
      <c r="AT33" s="382">
        <f t="shared" si="36"/>
        <v>0</v>
      </c>
      <c r="AU33" s="382">
        <f t="shared" si="36"/>
        <v>0</v>
      </c>
      <c r="AV33" s="382">
        <f t="shared" si="36"/>
        <v>0</v>
      </c>
      <c r="AW33" s="382">
        <f t="shared" si="36"/>
        <v>0</v>
      </c>
      <c r="AX33" s="382">
        <f t="shared" si="36"/>
        <v>0</v>
      </c>
      <c r="AY33" s="382">
        <f t="shared" si="36"/>
        <v>0</v>
      </c>
      <c r="AZ33" s="382">
        <f t="shared" si="37"/>
        <v>0</v>
      </c>
      <c r="BA33" s="382">
        <f t="shared" si="37"/>
        <v>0</v>
      </c>
      <c r="BB33" s="382">
        <f t="shared" si="37"/>
        <v>0</v>
      </c>
      <c r="BC33" s="382">
        <f t="shared" si="37"/>
        <v>0</v>
      </c>
      <c r="BD33" s="382">
        <f t="shared" si="37"/>
        <v>0</v>
      </c>
      <c r="BE33" s="382">
        <f t="shared" si="37"/>
        <v>0</v>
      </c>
      <c r="BF33" s="382">
        <f t="shared" si="37"/>
        <v>0</v>
      </c>
      <c r="BG33" s="382">
        <f t="shared" si="37"/>
        <v>0</v>
      </c>
      <c r="BH33" s="382">
        <f t="shared" si="37"/>
        <v>0</v>
      </c>
      <c r="BI33" s="382">
        <f t="shared" si="37"/>
        <v>0</v>
      </c>
      <c r="BJ33" s="382">
        <f t="shared" si="38"/>
        <v>0</v>
      </c>
      <c r="BK33" s="382">
        <f t="shared" si="38"/>
        <v>0</v>
      </c>
      <c r="BL33" s="382">
        <f t="shared" si="38"/>
        <v>0</v>
      </c>
      <c r="BM33" s="382">
        <f t="shared" si="38"/>
        <v>0</v>
      </c>
      <c r="BN33" s="382">
        <f t="shared" si="38"/>
        <v>0</v>
      </c>
      <c r="BO33" s="382">
        <f t="shared" si="38"/>
        <v>0</v>
      </c>
      <c r="BP33" s="382">
        <f t="shared" si="38"/>
        <v>0</v>
      </c>
      <c r="BQ33" s="382">
        <f t="shared" si="38"/>
        <v>0</v>
      </c>
      <c r="BR33" s="382">
        <f t="shared" si="38"/>
        <v>0</v>
      </c>
      <c r="BS33" s="382">
        <f t="shared" si="38"/>
        <v>0</v>
      </c>
      <c r="BT33" s="382">
        <f t="shared" si="39"/>
        <v>0</v>
      </c>
      <c r="BU33" s="382">
        <f t="shared" si="39"/>
        <v>0</v>
      </c>
      <c r="BV33" s="382">
        <f t="shared" si="39"/>
        <v>0</v>
      </c>
      <c r="BW33" s="382">
        <f t="shared" si="39"/>
        <v>0</v>
      </c>
      <c r="BX33" s="382">
        <f t="shared" si="39"/>
        <v>0</v>
      </c>
      <c r="BY33" s="382">
        <f t="shared" si="39"/>
        <v>0</v>
      </c>
      <c r="BZ33" s="382">
        <f t="shared" si="39"/>
        <v>0</v>
      </c>
      <c r="CA33" s="382">
        <f t="shared" si="39"/>
        <v>0</v>
      </c>
    </row>
    <row r="34" spans="2:79" ht="21" hidden="1" customHeight="1" outlineLevel="2">
      <c r="C34" s="370"/>
      <c r="D34" s="374">
        <f t="shared" si="40"/>
        <v>45138</v>
      </c>
      <c r="E34" s="408" cm="1">
        <f t="array" ref="E34">INDEX($AF$14:$CA$14,0,MATCH($D34,$AF$8:$CA$8,0))</f>
        <v>0</v>
      </c>
      <c r="G34" s="359"/>
      <c r="H34" s="410">
        <f t="shared" si="33"/>
        <v>0</v>
      </c>
      <c r="I34" s="410">
        <f t="shared" si="33"/>
        <v>0</v>
      </c>
      <c r="J34" s="410">
        <f t="shared" si="33"/>
        <v>0</v>
      </c>
      <c r="K34" s="410">
        <f t="shared" si="33"/>
        <v>0</v>
      </c>
      <c r="L34" s="410"/>
      <c r="M34" s="410"/>
      <c r="N34" s="410">
        <f t="shared" si="34"/>
        <v>0</v>
      </c>
      <c r="O34" s="410">
        <f t="shared" si="34"/>
        <v>0</v>
      </c>
      <c r="P34" s="410">
        <f t="shared" si="34"/>
        <v>0</v>
      </c>
      <c r="Q34" s="410">
        <f t="shared" si="34"/>
        <v>0</v>
      </c>
      <c r="R34" s="410">
        <f t="shared" si="34"/>
        <v>0</v>
      </c>
      <c r="S34" s="410">
        <f t="shared" si="34"/>
        <v>0</v>
      </c>
      <c r="T34" s="410">
        <f t="shared" si="34"/>
        <v>0</v>
      </c>
      <c r="U34" s="410">
        <f t="shared" si="34"/>
        <v>0</v>
      </c>
      <c r="V34" s="410">
        <f t="shared" si="34"/>
        <v>0</v>
      </c>
      <c r="W34" s="410">
        <f t="shared" si="34"/>
        <v>0</v>
      </c>
      <c r="X34" s="410">
        <f t="shared" si="34"/>
        <v>0</v>
      </c>
      <c r="Y34" s="410">
        <f t="shared" si="34"/>
        <v>0</v>
      </c>
      <c r="Z34" s="410">
        <f t="shared" si="34"/>
        <v>0</v>
      </c>
      <c r="AA34" s="410">
        <f t="shared" si="34"/>
        <v>0</v>
      </c>
      <c r="AB34" s="410">
        <f t="shared" si="34"/>
        <v>0</v>
      </c>
      <c r="AC34" s="410">
        <f t="shared" si="34"/>
        <v>0</v>
      </c>
      <c r="AD34" s="379"/>
      <c r="AE34" s="359"/>
      <c r="AF34" s="382">
        <f t="shared" si="35"/>
        <v>0</v>
      </c>
      <c r="AG34" s="382">
        <f t="shared" si="35"/>
        <v>0</v>
      </c>
      <c r="AH34" s="382">
        <f t="shared" si="35"/>
        <v>0</v>
      </c>
      <c r="AI34" s="382">
        <f t="shared" si="35"/>
        <v>0</v>
      </c>
      <c r="AJ34" s="382">
        <f t="shared" si="35"/>
        <v>0</v>
      </c>
      <c r="AK34" s="382">
        <f t="shared" si="35"/>
        <v>0</v>
      </c>
      <c r="AL34" s="382">
        <f t="shared" si="35"/>
        <v>0</v>
      </c>
      <c r="AM34" s="382">
        <f t="shared" si="35"/>
        <v>0</v>
      </c>
      <c r="AN34" s="382">
        <f t="shared" si="35"/>
        <v>0</v>
      </c>
      <c r="AO34" s="382">
        <f t="shared" si="35"/>
        <v>0</v>
      </c>
      <c r="AP34" s="382">
        <f t="shared" si="36"/>
        <v>0</v>
      </c>
      <c r="AQ34" s="382">
        <f t="shared" si="36"/>
        <v>0</v>
      </c>
      <c r="AR34" s="382">
        <f t="shared" si="36"/>
        <v>0</v>
      </c>
      <c r="AS34" s="382">
        <f t="shared" si="36"/>
        <v>0</v>
      </c>
      <c r="AT34" s="382">
        <f t="shared" si="36"/>
        <v>0</v>
      </c>
      <c r="AU34" s="382">
        <f t="shared" si="36"/>
        <v>0</v>
      </c>
      <c r="AV34" s="382">
        <f t="shared" si="36"/>
        <v>0</v>
      </c>
      <c r="AW34" s="382">
        <f t="shared" si="36"/>
        <v>0</v>
      </c>
      <c r="AX34" s="382">
        <f t="shared" si="36"/>
        <v>0</v>
      </c>
      <c r="AY34" s="382">
        <f t="shared" si="36"/>
        <v>0</v>
      </c>
      <c r="AZ34" s="382">
        <f t="shared" si="37"/>
        <v>0</v>
      </c>
      <c r="BA34" s="382">
        <f t="shared" si="37"/>
        <v>0</v>
      </c>
      <c r="BB34" s="382">
        <f t="shared" si="37"/>
        <v>0</v>
      </c>
      <c r="BC34" s="382">
        <f t="shared" si="37"/>
        <v>0</v>
      </c>
      <c r="BD34" s="382">
        <f t="shared" si="37"/>
        <v>0</v>
      </c>
      <c r="BE34" s="382">
        <f t="shared" si="37"/>
        <v>0</v>
      </c>
      <c r="BF34" s="382">
        <f t="shared" si="37"/>
        <v>0</v>
      </c>
      <c r="BG34" s="382">
        <f t="shared" si="37"/>
        <v>0</v>
      </c>
      <c r="BH34" s="382">
        <f t="shared" si="37"/>
        <v>0</v>
      </c>
      <c r="BI34" s="382">
        <f t="shared" si="37"/>
        <v>0</v>
      </c>
      <c r="BJ34" s="382">
        <f t="shared" si="38"/>
        <v>0</v>
      </c>
      <c r="BK34" s="382">
        <f t="shared" si="38"/>
        <v>0</v>
      </c>
      <c r="BL34" s="382">
        <f t="shared" si="38"/>
        <v>0</v>
      </c>
      <c r="BM34" s="382">
        <f t="shared" si="38"/>
        <v>0</v>
      </c>
      <c r="BN34" s="382">
        <f t="shared" si="38"/>
        <v>0</v>
      </c>
      <c r="BO34" s="382">
        <f t="shared" si="38"/>
        <v>0</v>
      </c>
      <c r="BP34" s="382">
        <f t="shared" si="38"/>
        <v>0</v>
      </c>
      <c r="BQ34" s="382">
        <f t="shared" si="38"/>
        <v>0</v>
      </c>
      <c r="BR34" s="382">
        <f t="shared" si="38"/>
        <v>0</v>
      </c>
      <c r="BS34" s="382">
        <f t="shared" si="38"/>
        <v>0</v>
      </c>
      <c r="BT34" s="382">
        <f t="shared" si="39"/>
        <v>0</v>
      </c>
      <c r="BU34" s="382">
        <f t="shared" si="39"/>
        <v>0</v>
      </c>
      <c r="BV34" s="382">
        <f t="shared" si="39"/>
        <v>0</v>
      </c>
      <c r="BW34" s="382">
        <f t="shared" si="39"/>
        <v>0</v>
      </c>
      <c r="BX34" s="382">
        <f t="shared" si="39"/>
        <v>0</v>
      </c>
      <c r="BY34" s="382">
        <f t="shared" si="39"/>
        <v>0</v>
      </c>
      <c r="BZ34" s="382">
        <f t="shared" si="39"/>
        <v>0</v>
      </c>
      <c r="CA34" s="382">
        <f t="shared" si="39"/>
        <v>0</v>
      </c>
    </row>
    <row r="35" spans="2:79" ht="21" hidden="1" customHeight="1" outlineLevel="2">
      <c r="C35" s="370"/>
      <c r="D35" s="374">
        <f t="shared" si="40"/>
        <v>45169</v>
      </c>
      <c r="E35" s="408" cm="1">
        <f t="array" ref="E35">INDEX($AF$14:$CA$14,0,MATCH($D35,$AF$8:$CA$8,0))</f>
        <v>0</v>
      </c>
      <c r="G35" s="359"/>
      <c r="H35" s="410">
        <f t="shared" si="33"/>
        <v>0</v>
      </c>
      <c r="I35" s="410">
        <f t="shared" si="33"/>
        <v>0</v>
      </c>
      <c r="J35" s="410">
        <f t="shared" si="33"/>
        <v>0</v>
      </c>
      <c r="K35" s="410">
        <f t="shared" si="33"/>
        <v>0</v>
      </c>
      <c r="L35" s="410"/>
      <c r="M35" s="410"/>
      <c r="N35" s="410">
        <f t="shared" si="34"/>
        <v>0</v>
      </c>
      <c r="O35" s="410">
        <f t="shared" si="34"/>
        <v>0</v>
      </c>
      <c r="P35" s="410">
        <f t="shared" si="34"/>
        <v>0</v>
      </c>
      <c r="Q35" s="410">
        <f t="shared" si="34"/>
        <v>0</v>
      </c>
      <c r="R35" s="410">
        <f t="shared" si="34"/>
        <v>0</v>
      </c>
      <c r="S35" s="410">
        <f t="shared" si="34"/>
        <v>0</v>
      </c>
      <c r="T35" s="410">
        <f t="shared" si="34"/>
        <v>0</v>
      </c>
      <c r="U35" s="410">
        <f t="shared" si="34"/>
        <v>0</v>
      </c>
      <c r="V35" s="410">
        <f t="shared" si="34"/>
        <v>0</v>
      </c>
      <c r="W35" s="410">
        <f t="shared" si="34"/>
        <v>0</v>
      </c>
      <c r="X35" s="410">
        <f t="shared" si="34"/>
        <v>0</v>
      </c>
      <c r="Y35" s="410">
        <f t="shared" si="34"/>
        <v>0</v>
      </c>
      <c r="Z35" s="410">
        <f t="shared" si="34"/>
        <v>0</v>
      </c>
      <c r="AA35" s="410">
        <f t="shared" si="34"/>
        <v>0</v>
      </c>
      <c r="AB35" s="410">
        <f t="shared" si="34"/>
        <v>0</v>
      </c>
      <c r="AC35" s="410">
        <f t="shared" si="34"/>
        <v>0</v>
      </c>
      <c r="AD35" s="379"/>
      <c r="AE35" s="359"/>
      <c r="AF35" s="382">
        <f t="shared" si="35"/>
        <v>0</v>
      </c>
      <c r="AG35" s="382">
        <f t="shared" si="35"/>
        <v>0</v>
      </c>
      <c r="AH35" s="382">
        <f t="shared" si="35"/>
        <v>0</v>
      </c>
      <c r="AI35" s="382">
        <f t="shared" si="35"/>
        <v>0</v>
      </c>
      <c r="AJ35" s="382">
        <f t="shared" si="35"/>
        <v>0</v>
      </c>
      <c r="AK35" s="382">
        <f t="shared" si="35"/>
        <v>0</v>
      </c>
      <c r="AL35" s="382">
        <f t="shared" si="35"/>
        <v>0</v>
      </c>
      <c r="AM35" s="382">
        <f t="shared" si="35"/>
        <v>0</v>
      </c>
      <c r="AN35" s="382">
        <f t="shared" si="35"/>
        <v>0</v>
      </c>
      <c r="AO35" s="382">
        <f t="shared" si="35"/>
        <v>0</v>
      </c>
      <c r="AP35" s="382">
        <f t="shared" si="36"/>
        <v>0</v>
      </c>
      <c r="AQ35" s="382">
        <f t="shared" si="36"/>
        <v>0</v>
      </c>
      <c r="AR35" s="382">
        <f t="shared" si="36"/>
        <v>0</v>
      </c>
      <c r="AS35" s="382">
        <f t="shared" si="36"/>
        <v>0</v>
      </c>
      <c r="AT35" s="382">
        <f t="shared" si="36"/>
        <v>0</v>
      </c>
      <c r="AU35" s="382">
        <f t="shared" si="36"/>
        <v>0</v>
      </c>
      <c r="AV35" s="382">
        <f t="shared" si="36"/>
        <v>0</v>
      </c>
      <c r="AW35" s="382">
        <f t="shared" si="36"/>
        <v>0</v>
      </c>
      <c r="AX35" s="382">
        <f t="shared" si="36"/>
        <v>0</v>
      </c>
      <c r="AY35" s="382">
        <f t="shared" si="36"/>
        <v>0</v>
      </c>
      <c r="AZ35" s="382">
        <f t="shared" si="37"/>
        <v>0</v>
      </c>
      <c r="BA35" s="382">
        <f t="shared" si="37"/>
        <v>0</v>
      </c>
      <c r="BB35" s="382">
        <f t="shared" si="37"/>
        <v>0</v>
      </c>
      <c r="BC35" s="382">
        <f t="shared" si="37"/>
        <v>0</v>
      </c>
      <c r="BD35" s="382">
        <f t="shared" si="37"/>
        <v>0</v>
      </c>
      <c r="BE35" s="382">
        <f t="shared" si="37"/>
        <v>0</v>
      </c>
      <c r="BF35" s="382">
        <f t="shared" si="37"/>
        <v>0</v>
      </c>
      <c r="BG35" s="382">
        <f t="shared" si="37"/>
        <v>0</v>
      </c>
      <c r="BH35" s="382">
        <f t="shared" si="37"/>
        <v>0</v>
      </c>
      <c r="BI35" s="382">
        <f t="shared" si="37"/>
        <v>0</v>
      </c>
      <c r="BJ35" s="382">
        <f t="shared" si="38"/>
        <v>0</v>
      </c>
      <c r="BK35" s="382">
        <f t="shared" si="38"/>
        <v>0</v>
      </c>
      <c r="BL35" s="382">
        <f t="shared" si="38"/>
        <v>0</v>
      </c>
      <c r="BM35" s="382">
        <f t="shared" si="38"/>
        <v>0</v>
      </c>
      <c r="BN35" s="382">
        <f t="shared" si="38"/>
        <v>0</v>
      </c>
      <c r="BO35" s="382">
        <f t="shared" si="38"/>
        <v>0</v>
      </c>
      <c r="BP35" s="382">
        <f t="shared" si="38"/>
        <v>0</v>
      </c>
      <c r="BQ35" s="382">
        <f t="shared" si="38"/>
        <v>0</v>
      </c>
      <c r="BR35" s="382">
        <f t="shared" si="38"/>
        <v>0</v>
      </c>
      <c r="BS35" s="382">
        <f t="shared" si="38"/>
        <v>0</v>
      </c>
      <c r="BT35" s="382">
        <f t="shared" si="39"/>
        <v>0</v>
      </c>
      <c r="BU35" s="382">
        <f t="shared" si="39"/>
        <v>0</v>
      </c>
      <c r="BV35" s="382">
        <f t="shared" si="39"/>
        <v>0</v>
      </c>
      <c r="BW35" s="382">
        <f t="shared" si="39"/>
        <v>0</v>
      </c>
      <c r="BX35" s="382">
        <f t="shared" si="39"/>
        <v>0</v>
      </c>
      <c r="BY35" s="382">
        <f t="shared" si="39"/>
        <v>0</v>
      </c>
      <c r="BZ35" s="382">
        <f t="shared" si="39"/>
        <v>0</v>
      </c>
      <c r="CA35" s="382">
        <f t="shared" si="39"/>
        <v>0</v>
      </c>
    </row>
    <row r="36" spans="2:79" ht="21" hidden="1" customHeight="1" outlineLevel="2">
      <c r="C36" s="370"/>
      <c r="D36" s="374">
        <f t="shared" si="40"/>
        <v>45199</v>
      </c>
      <c r="E36" s="408" cm="1">
        <f t="array" ref="E36">INDEX($AF$14:$CA$14,0,MATCH($D36,$AF$8:$CA$8,0))</f>
        <v>0</v>
      </c>
      <c r="G36" s="359"/>
      <c r="H36" s="410">
        <f t="shared" si="33"/>
        <v>0</v>
      </c>
      <c r="I36" s="410">
        <f t="shared" si="33"/>
        <v>0</v>
      </c>
      <c r="J36" s="410">
        <f t="shared" si="33"/>
        <v>0</v>
      </c>
      <c r="K36" s="410">
        <f t="shared" si="33"/>
        <v>0</v>
      </c>
      <c r="L36" s="410"/>
      <c r="M36" s="410"/>
      <c r="N36" s="410">
        <f t="shared" si="34"/>
        <v>0</v>
      </c>
      <c r="O36" s="410">
        <f t="shared" si="34"/>
        <v>0</v>
      </c>
      <c r="P36" s="410">
        <f t="shared" si="34"/>
        <v>0</v>
      </c>
      <c r="Q36" s="410">
        <f t="shared" si="34"/>
        <v>0</v>
      </c>
      <c r="R36" s="410">
        <f t="shared" si="34"/>
        <v>0</v>
      </c>
      <c r="S36" s="410">
        <f t="shared" si="34"/>
        <v>0</v>
      </c>
      <c r="T36" s="410">
        <f t="shared" si="34"/>
        <v>0</v>
      </c>
      <c r="U36" s="410">
        <f t="shared" si="34"/>
        <v>0</v>
      </c>
      <c r="V36" s="410">
        <f t="shared" si="34"/>
        <v>0</v>
      </c>
      <c r="W36" s="410">
        <f t="shared" si="34"/>
        <v>0</v>
      </c>
      <c r="X36" s="410">
        <f t="shared" si="34"/>
        <v>0</v>
      </c>
      <c r="Y36" s="410">
        <f t="shared" si="34"/>
        <v>0</v>
      </c>
      <c r="Z36" s="410">
        <f t="shared" si="34"/>
        <v>0</v>
      </c>
      <c r="AA36" s="410">
        <f t="shared" si="34"/>
        <v>0</v>
      </c>
      <c r="AB36" s="410">
        <f t="shared" si="34"/>
        <v>0</v>
      </c>
      <c r="AC36" s="410">
        <f t="shared" si="34"/>
        <v>0</v>
      </c>
      <c r="AD36" s="379"/>
      <c r="AE36" s="359"/>
      <c r="AF36" s="382">
        <f t="shared" si="35"/>
        <v>0</v>
      </c>
      <c r="AG36" s="382">
        <f t="shared" si="35"/>
        <v>0</v>
      </c>
      <c r="AH36" s="382">
        <f t="shared" si="35"/>
        <v>0</v>
      </c>
      <c r="AI36" s="382">
        <f t="shared" si="35"/>
        <v>0</v>
      </c>
      <c r="AJ36" s="382">
        <f t="shared" si="35"/>
        <v>0</v>
      </c>
      <c r="AK36" s="382">
        <f t="shared" si="35"/>
        <v>0</v>
      </c>
      <c r="AL36" s="382">
        <f t="shared" si="35"/>
        <v>0</v>
      </c>
      <c r="AM36" s="382">
        <f t="shared" si="35"/>
        <v>0</v>
      </c>
      <c r="AN36" s="382">
        <f t="shared" si="35"/>
        <v>0</v>
      </c>
      <c r="AO36" s="382">
        <f t="shared" si="35"/>
        <v>0</v>
      </c>
      <c r="AP36" s="382">
        <f t="shared" si="36"/>
        <v>0</v>
      </c>
      <c r="AQ36" s="382">
        <f t="shared" si="36"/>
        <v>0</v>
      </c>
      <c r="AR36" s="382">
        <f t="shared" si="36"/>
        <v>0</v>
      </c>
      <c r="AS36" s="382">
        <f t="shared" si="36"/>
        <v>0</v>
      </c>
      <c r="AT36" s="382">
        <f t="shared" si="36"/>
        <v>0</v>
      </c>
      <c r="AU36" s="382">
        <f t="shared" si="36"/>
        <v>0</v>
      </c>
      <c r="AV36" s="382">
        <f t="shared" si="36"/>
        <v>0</v>
      </c>
      <c r="AW36" s="382">
        <f t="shared" si="36"/>
        <v>0</v>
      </c>
      <c r="AX36" s="382">
        <f t="shared" si="36"/>
        <v>0</v>
      </c>
      <c r="AY36" s="382">
        <f t="shared" si="36"/>
        <v>0</v>
      </c>
      <c r="AZ36" s="382">
        <f t="shared" si="37"/>
        <v>0</v>
      </c>
      <c r="BA36" s="382">
        <f t="shared" si="37"/>
        <v>0</v>
      </c>
      <c r="BB36" s="382">
        <f t="shared" si="37"/>
        <v>0</v>
      </c>
      <c r="BC36" s="382">
        <f t="shared" si="37"/>
        <v>0</v>
      </c>
      <c r="BD36" s="382">
        <f t="shared" si="37"/>
        <v>0</v>
      </c>
      <c r="BE36" s="382">
        <f t="shared" si="37"/>
        <v>0</v>
      </c>
      <c r="BF36" s="382">
        <f t="shared" si="37"/>
        <v>0</v>
      </c>
      <c r="BG36" s="382">
        <f t="shared" si="37"/>
        <v>0</v>
      </c>
      <c r="BH36" s="382">
        <f t="shared" si="37"/>
        <v>0</v>
      </c>
      <c r="BI36" s="382">
        <f t="shared" si="37"/>
        <v>0</v>
      </c>
      <c r="BJ36" s="382">
        <f t="shared" si="38"/>
        <v>0</v>
      </c>
      <c r="BK36" s="382">
        <f t="shared" si="38"/>
        <v>0</v>
      </c>
      <c r="BL36" s="382">
        <f t="shared" si="38"/>
        <v>0</v>
      </c>
      <c r="BM36" s="382">
        <f t="shared" si="38"/>
        <v>0</v>
      </c>
      <c r="BN36" s="382">
        <f t="shared" si="38"/>
        <v>0</v>
      </c>
      <c r="BO36" s="382">
        <f t="shared" si="38"/>
        <v>0</v>
      </c>
      <c r="BP36" s="382">
        <f t="shared" si="38"/>
        <v>0</v>
      </c>
      <c r="BQ36" s="382">
        <f t="shared" si="38"/>
        <v>0</v>
      </c>
      <c r="BR36" s="382">
        <f t="shared" si="38"/>
        <v>0</v>
      </c>
      <c r="BS36" s="382">
        <f t="shared" si="38"/>
        <v>0</v>
      </c>
      <c r="BT36" s="382">
        <f t="shared" si="39"/>
        <v>0</v>
      </c>
      <c r="BU36" s="382">
        <f t="shared" si="39"/>
        <v>0</v>
      </c>
      <c r="BV36" s="382">
        <f t="shared" si="39"/>
        <v>0</v>
      </c>
      <c r="BW36" s="382">
        <f t="shared" si="39"/>
        <v>0</v>
      </c>
      <c r="BX36" s="382">
        <f t="shared" si="39"/>
        <v>0</v>
      </c>
      <c r="BY36" s="382">
        <f t="shared" si="39"/>
        <v>0</v>
      </c>
      <c r="BZ36" s="382">
        <f t="shared" si="39"/>
        <v>0</v>
      </c>
      <c r="CA36" s="382">
        <f t="shared" si="39"/>
        <v>0</v>
      </c>
    </row>
    <row r="37" spans="2:79" ht="21" hidden="1" customHeight="1" outlineLevel="2">
      <c r="C37" s="370"/>
      <c r="D37" s="374">
        <f t="shared" si="40"/>
        <v>45230</v>
      </c>
      <c r="E37" s="408" cm="1">
        <f t="array" ref="E37">INDEX($AF$14:$CA$14,0,MATCH($D37,$AF$8:$CA$8,0))</f>
        <v>0</v>
      </c>
      <c r="G37" s="359"/>
      <c r="H37" s="410">
        <f t="shared" si="33"/>
        <v>0</v>
      </c>
      <c r="I37" s="410">
        <f t="shared" si="33"/>
        <v>0</v>
      </c>
      <c r="J37" s="410">
        <f t="shared" si="33"/>
        <v>0</v>
      </c>
      <c r="K37" s="410">
        <f t="shared" si="33"/>
        <v>0</v>
      </c>
      <c r="L37" s="410"/>
      <c r="M37" s="410"/>
      <c r="N37" s="410">
        <f t="shared" si="34"/>
        <v>0</v>
      </c>
      <c r="O37" s="410">
        <f t="shared" si="34"/>
        <v>0</v>
      </c>
      <c r="P37" s="410">
        <f t="shared" si="34"/>
        <v>0</v>
      </c>
      <c r="Q37" s="410">
        <f t="shared" si="34"/>
        <v>0</v>
      </c>
      <c r="R37" s="410">
        <f t="shared" si="34"/>
        <v>0</v>
      </c>
      <c r="S37" s="410">
        <f t="shared" si="34"/>
        <v>0</v>
      </c>
      <c r="T37" s="410">
        <f t="shared" si="34"/>
        <v>0</v>
      </c>
      <c r="U37" s="410">
        <f t="shared" si="34"/>
        <v>0</v>
      </c>
      <c r="V37" s="410">
        <f t="shared" si="34"/>
        <v>0</v>
      </c>
      <c r="W37" s="410">
        <f t="shared" si="34"/>
        <v>0</v>
      </c>
      <c r="X37" s="410">
        <f t="shared" si="34"/>
        <v>0</v>
      </c>
      <c r="Y37" s="410">
        <f t="shared" si="34"/>
        <v>0</v>
      </c>
      <c r="Z37" s="410">
        <f t="shared" si="34"/>
        <v>0</v>
      </c>
      <c r="AA37" s="410">
        <f t="shared" si="34"/>
        <v>0</v>
      </c>
      <c r="AB37" s="410">
        <f t="shared" si="34"/>
        <v>0</v>
      </c>
      <c r="AC37" s="410">
        <f t="shared" si="34"/>
        <v>0</v>
      </c>
      <c r="AD37" s="379"/>
      <c r="AE37" s="359"/>
      <c r="AF37" s="382">
        <f t="shared" si="35"/>
        <v>0</v>
      </c>
      <c r="AG37" s="382">
        <f t="shared" si="35"/>
        <v>0</v>
      </c>
      <c r="AH37" s="382">
        <f t="shared" si="35"/>
        <v>0</v>
      </c>
      <c r="AI37" s="382">
        <f t="shared" si="35"/>
        <v>0</v>
      </c>
      <c r="AJ37" s="382">
        <f t="shared" si="35"/>
        <v>0</v>
      </c>
      <c r="AK37" s="382">
        <f t="shared" si="35"/>
        <v>0</v>
      </c>
      <c r="AL37" s="382">
        <f t="shared" si="35"/>
        <v>0</v>
      </c>
      <c r="AM37" s="382">
        <f t="shared" si="35"/>
        <v>0</v>
      </c>
      <c r="AN37" s="382">
        <f t="shared" si="35"/>
        <v>0</v>
      </c>
      <c r="AO37" s="382">
        <f t="shared" si="35"/>
        <v>0</v>
      </c>
      <c r="AP37" s="382">
        <f t="shared" si="36"/>
        <v>0</v>
      </c>
      <c r="AQ37" s="382">
        <f t="shared" si="36"/>
        <v>0</v>
      </c>
      <c r="AR37" s="382">
        <f t="shared" si="36"/>
        <v>0</v>
      </c>
      <c r="AS37" s="382">
        <f t="shared" si="36"/>
        <v>0</v>
      </c>
      <c r="AT37" s="382">
        <f t="shared" si="36"/>
        <v>0</v>
      </c>
      <c r="AU37" s="382">
        <f t="shared" si="36"/>
        <v>0</v>
      </c>
      <c r="AV37" s="382">
        <f t="shared" si="36"/>
        <v>0</v>
      </c>
      <c r="AW37" s="382">
        <f t="shared" si="36"/>
        <v>0</v>
      </c>
      <c r="AX37" s="382">
        <f t="shared" si="36"/>
        <v>0</v>
      </c>
      <c r="AY37" s="382">
        <f t="shared" si="36"/>
        <v>0</v>
      </c>
      <c r="AZ37" s="382">
        <f t="shared" si="37"/>
        <v>0</v>
      </c>
      <c r="BA37" s="382">
        <f t="shared" si="37"/>
        <v>0</v>
      </c>
      <c r="BB37" s="382">
        <f t="shared" si="37"/>
        <v>0</v>
      </c>
      <c r="BC37" s="382">
        <f t="shared" si="37"/>
        <v>0</v>
      </c>
      <c r="BD37" s="382">
        <f t="shared" si="37"/>
        <v>0</v>
      </c>
      <c r="BE37" s="382">
        <f t="shared" si="37"/>
        <v>0</v>
      </c>
      <c r="BF37" s="382">
        <f t="shared" si="37"/>
        <v>0</v>
      </c>
      <c r="BG37" s="382">
        <f t="shared" si="37"/>
        <v>0</v>
      </c>
      <c r="BH37" s="382">
        <f t="shared" si="37"/>
        <v>0</v>
      </c>
      <c r="BI37" s="382">
        <f t="shared" si="37"/>
        <v>0</v>
      </c>
      <c r="BJ37" s="382">
        <f t="shared" si="38"/>
        <v>0</v>
      </c>
      <c r="BK37" s="382">
        <f t="shared" si="38"/>
        <v>0</v>
      </c>
      <c r="BL37" s="382">
        <f t="shared" si="38"/>
        <v>0</v>
      </c>
      <c r="BM37" s="382">
        <f t="shared" si="38"/>
        <v>0</v>
      </c>
      <c r="BN37" s="382">
        <f t="shared" si="38"/>
        <v>0</v>
      </c>
      <c r="BO37" s="382">
        <f t="shared" si="38"/>
        <v>0</v>
      </c>
      <c r="BP37" s="382">
        <f t="shared" si="38"/>
        <v>0</v>
      </c>
      <c r="BQ37" s="382">
        <f t="shared" si="38"/>
        <v>0</v>
      </c>
      <c r="BR37" s="382">
        <f t="shared" si="38"/>
        <v>0</v>
      </c>
      <c r="BS37" s="382">
        <f t="shared" si="38"/>
        <v>0</v>
      </c>
      <c r="BT37" s="382">
        <f t="shared" si="39"/>
        <v>0</v>
      </c>
      <c r="BU37" s="382">
        <f t="shared" si="39"/>
        <v>0</v>
      </c>
      <c r="BV37" s="382">
        <f t="shared" si="39"/>
        <v>0</v>
      </c>
      <c r="BW37" s="382">
        <f t="shared" si="39"/>
        <v>0</v>
      </c>
      <c r="BX37" s="382">
        <f t="shared" si="39"/>
        <v>0</v>
      </c>
      <c r="BY37" s="382">
        <f t="shared" si="39"/>
        <v>0</v>
      </c>
      <c r="BZ37" s="382">
        <f t="shared" si="39"/>
        <v>0</v>
      </c>
      <c r="CA37" s="382">
        <f t="shared" si="39"/>
        <v>0</v>
      </c>
    </row>
    <row r="38" spans="2:79" ht="21" hidden="1" customHeight="1" outlineLevel="2">
      <c r="C38" s="370"/>
      <c r="D38" s="374">
        <f t="shared" si="40"/>
        <v>45260</v>
      </c>
      <c r="E38" s="408" cm="1">
        <f t="array" ref="E38">INDEX($AF$14:$CA$14,0,MATCH($D38,$AF$8:$CA$8,0))</f>
        <v>0</v>
      </c>
      <c r="G38" s="359"/>
      <c r="H38" s="410">
        <f t="shared" si="33"/>
        <v>0</v>
      </c>
      <c r="I38" s="410">
        <f t="shared" si="33"/>
        <v>0</v>
      </c>
      <c r="J38" s="410">
        <f t="shared" si="33"/>
        <v>0</v>
      </c>
      <c r="K38" s="410">
        <f t="shared" si="33"/>
        <v>0</v>
      </c>
      <c r="L38" s="410"/>
      <c r="M38" s="410"/>
      <c r="N38" s="410">
        <f t="shared" ref="N38:AC47" si="41">SUMIFS($AF38:$CA38,$AF$4:$CA$4,"&gt;="&amp;N$4,$AF$5:$CA$5,"&lt;="&amp;N$5)</f>
        <v>0</v>
      </c>
      <c r="O38" s="410">
        <f t="shared" si="41"/>
        <v>0</v>
      </c>
      <c r="P38" s="410">
        <f t="shared" si="41"/>
        <v>0</v>
      </c>
      <c r="Q38" s="410">
        <f t="shared" si="41"/>
        <v>0</v>
      </c>
      <c r="R38" s="410">
        <f t="shared" si="41"/>
        <v>0</v>
      </c>
      <c r="S38" s="410">
        <f t="shared" si="41"/>
        <v>0</v>
      </c>
      <c r="T38" s="410">
        <f t="shared" si="41"/>
        <v>0</v>
      </c>
      <c r="U38" s="410">
        <f t="shared" si="41"/>
        <v>0</v>
      </c>
      <c r="V38" s="410">
        <f t="shared" si="41"/>
        <v>0</v>
      </c>
      <c r="W38" s="410">
        <f t="shared" si="41"/>
        <v>0</v>
      </c>
      <c r="X38" s="410">
        <f t="shared" si="41"/>
        <v>0</v>
      </c>
      <c r="Y38" s="410">
        <f t="shared" si="41"/>
        <v>0</v>
      </c>
      <c r="Z38" s="410">
        <f t="shared" si="41"/>
        <v>0</v>
      </c>
      <c r="AA38" s="410">
        <f t="shared" si="41"/>
        <v>0</v>
      </c>
      <c r="AB38" s="410">
        <f t="shared" si="41"/>
        <v>0</v>
      </c>
      <c r="AC38" s="410">
        <f t="shared" si="41"/>
        <v>0</v>
      </c>
      <c r="AD38" s="379"/>
      <c r="AE38" s="359"/>
      <c r="AF38" s="382">
        <f t="shared" ref="AF38:AO47" si="42">IF(AND(AF$8&gt;=$D38,(MATCH(AF$8,$AF$8:$CA$8,0)-MATCH($D38,$AF$8:$CA$8,0))&lt;3),$E38/3,0)</f>
        <v>0</v>
      </c>
      <c r="AG38" s="382">
        <f t="shared" si="42"/>
        <v>0</v>
      </c>
      <c r="AH38" s="382">
        <f t="shared" si="42"/>
        <v>0</v>
      </c>
      <c r="AI38" s="382">
        <f t="shared" si="42"/>
        <v>0</v>
      </c>
      <c r="AJ38" s="382">
        <f t="shared" si="42"/>
        <v>0</v>
      </c>
      <c r="AK38" s="382">
        <f t="shared" si="42"/>
        <v>0</v>
      </c>
      <c r="AL38" s="382">
        <f t="shared" si="42"/>
        <v>0</v>
      </c>
      <c r="AM38" s="382">
        <f t="shared" si="42"/>
        <v>0</v>
      </c>
      <c r="AN38" s="382">
        <f t="shared" si="42"/>
        <v>0</v>
      </c>
      <c r="AO38" s="382">
        <f t="shared" si="42"/>
        <v>0</v>
      </c>
      <c r="AP38" s="382">
        <f t="shared" ref="AP38:AY47" si="43">IF(AND(AP$8&gt;=$D38,(MATCH(AP$8,$AF$8:$CA$8,0)-MATCH($D38,$AF$8:$CA$8,0))&lt;3),$E38/3,0)</f>
        <v>0</v>
      </c>
      <c r="AQ38" s="382">
        <f t="shared" si="43"/>
        <v>0</v>
      </c>
      <c r="AR38" s="382">
        <f t="shared" si="43"/>
        <v>0</v>
      </c>
      <c r="AS38" s="382">
        <f t="shared" si="43"/>
        <v>0</v>
      </c>
      <c r="AT38" s="382">
        <f t="shared" si="43"/>
        <v>0</v>
      </c>
      <c r="AU38" s="382">
        <f t="shared" si="43"/>
        <v>0</v>
      </c>
      <c r="AV38" s="382">
        <f t="shared" si="43"/>
        <v>0</v>
      </c>
      <c r="AW38" s="382">
        <f t="shared" si="43"/>
        <v>0</v>
      </c>
      <c r="AX38" s="382">
        <f t="shared" si="43"/>
        <v>0</v>
      </c>
      <c r="AY38" s="382">
        <f t="shared" si="43"/>
        <v>0</v>
      </c>
      <c r="AZ38" s="382">
        <f t="shared" ref="AZ38:BI47" si="44">IF(AND(AZ$8&gt;=$D38,(MATCH(AZ$8,$AF$8:$CA$8,0)-MATCH($D38,$AF$8:$CA$8,0))&lt;3),$E38/3,0)</f>
        <v>0</v>
      </c>
      <c r="BA38" s="382">
        <f t="shared" si="44"/>
        <v>0</v>
      </c>
      <c r="BB38" s="382">
        <f t="shared" si="44"/>
        <v>0</v>
      </c>
      <c r="BC38" s="382">
        <f t="shared" si="44"/>
        <v>0</v>
      </c>
      <c r="BD38" s="382">
        <f t="shared" si="44"/>
        <v>0</v>
      </c>
      <c r="BE38" s="382">
        <f t="shared" si="44"/>
        <v>0</v>
      </c>
      <c r="BF38" s="382">
        <f t="shared" si="44"/>
        <v>0</v>
      </c>
      <c r="BG38" s="382">
        <f t="shared" si="44"/>
        <v>0</v>
      </c>
      <c r="BH38" s="382">
        <f t="shared" si="44"/>
        <v>0</v>
      </c>
      <c r="BI38" s="382">
        <f t="shared" si="44"/>
        <v>0</v>
      </c>
      <c r="BJ38" s="382">
        <f t="shared" ref="BJ38:BS47" si="45">IF(AND(BJ$8&gt;=$D38,(MATCH(BJ$8,$AF$8:$CA$8,0)-MATCH($D38,$AF$8:$CA$8,0))&lt;3),$E38/3,0)</f>
        <v>0</v>
      </c>
      <c r="BK38" s="382">
        <f t="shared" si="45"/>
        <v>0</v>
      </c>
      <c r="BL38" s="382">
        <f t="shared" si="45"/>
        <v>0</v>
      </c>
      <c r="BM38" s="382">
        <f t="shared" si="45"/>
        <v>0</v>
      </c>
      <c r="BN38" s="382">
        <f t="shared" si="45"/>
        <v>0</v>
      </c>
      <c r="BO38" s="382">
        <f t="shared" si="45"/>
        <v>0</v>
      </c>
      <c r="BP38" s="382">
        <f t="shared" si="45"/>
        <v>0</v>
      </c>
      <c r="BQ38" s="382">
        <f t="shared" si="45"/>
        <v>0</v>
      </c>
      <c r="BR38" s="382">
        <f t="shared" si="45"/>
        <v>0</v>
      </c>
      <c r="BS38" s="382">
        <f t="shared" si="45"/>
        <v>0</v>
      </c>
      <c r="BT38" s="382">
        <f t="shared" ref="BT38:CA47" si="46">IF(AND(BT$8&gt;=$D38,(MATCH(BT$8,$AF$8:$CA$8,0)-MATCH($D38,$AF$8:$CA$8,0))&lt;3),$E38/3,0)</f>
        <v>0</v>
      </c>
      <c r="BU38" s="382">
        <f t="shared" si="46"/>
        <v>0</v>
      </c>
      <c r="BV38" s="382">
        <f t="shared" si="46"/>
        <v>0</v>
      </c>
      <c r="BW38" s="382">
        <f t="shared" si="46"/>
        <v>0</v>
      </c>
      <c r="BX38" s="382">
        <f t="shared" si="46"/>
        <v>0</v>
      </c>
      <c r="BY38" s="382">
        <f t="shared" si="46"/>
        <v>0</v>
      </c>
      <c r="BZ38" s="382">
        <f t="shared" si="46"/>
        <v>0</v>
      </c>
      <c r="CA38" s="382">
        <f t="shared" si="46"/>
        <v>0</v>
      </c>
    </row>
    <row r="39" spans="2:79" ht="21" hidden="1" customHeight="1" outlineLevel="2">
      <c r="C39" s="370"/>
      <c r="D39" s="374">
        <f t="shared" si="40"/>
        <v>45291</v>
      </c>
      <c r="E39" s="408" cm="1">
        <f t="array" ref="E39">INDEX($AF$14:$CA$14,0,MATCH($D39,$AF$8:$CA$8,0))</f>
        <v>0</v>
      </c>
      <c r="G39" s="359"/>
      <c r="H39" s="410">
        <f t="shared" si="33"/>
        <v>0</v>
      </c>
      <c r="I39" s="410">
        <f t="shared" si="33"/>
        <v>0</v>
      </c>
      <c r="J39" s="410">
        <f t="shared" si="33"/>
        <v>0</v>
      </c>
      <c r="K39" s="410">
        <f t="shared" si="33"/>
        <v>0</v>
      </c>
      <c r="L39" s="410"/>
      <c r="M39" s="410"/>
      <c r="N39" s="410">
        <f t="shared" si="41"/>
        <v>0</v>
      </c>
      <c r="O39" s="410">
        <f t="shared" si="41"/>
        <v>0</v>
      </c>
      <c r="P39" s="410">
        <f t="shared" si="41"/>
        <v>0</v>
      </c>
      <c r="Q39" s="410">
        <f t="shared" si="41"/>
        <v>0</v>
      </c>
      <c r="R39" s="410">
        <f t="shared" si="41"/>
        <v>0</v>
      </c>
      <c r="S39" s="410">
        <f t="shared" si="41"/>
        <v>0</v>
      </c>
      <c r="T39" s="410">
        <f t="shared" si="41"/>
        <v>0</v>
      </c>
      <c r="U39" s="410">
        <f t="shared" si="41"/>
        <v>0</v>
      </c>
      <c r="V39" s="410">
        <f t="shared" si="41"/>
        <v>0</v>
      </c>
      <c r="W39" s="410">
        <f t="shared" si="41"/>
        <v>0</v>
      </c>
      <c r="X39" s="410">
        <f t="shared" si="41"/>
        <v>0</v>
      </c>
      <c r="Y39" s="410">
        <f t="shared" si="41"/>
        <v>0</v>
      </c>
      <c r="Z39" s="410">
        <f t="shared" si="41"/>
        <v>0</v>
      </c>
      <c r="AA39" s="410">
        <f t="shared" si="41"/>
        <v>0</v>
      </c>
      <c r="AB39" s="410">
        <f t="shared" si="41"/>
        <v>0</v>
      </c>
      <c r="AC39" s="410">
        <f t="shared" si="41"/>
        <v>0</v>
      </c>
      <c r="AD39" s="379"/>
      <c r="AE39" s="359"/>
      <c r="AF39" s="382">
        <f t="shared" si="42"/>
        <v>0</v>
      </c>
      <c r="AG39" s="382">
        <f t="shared" si="42"/>
        <v>0</v>
      </c>
      <c r="AH39" s="382">
        <f t="shared" si="42"/>
        <v>0</v>
      </c>
      <c r="AI39" s="382">
        <f t="shared" si="42"/>
        <v>0</v>
      </c>
      <c r="AJ39" s="382">
        <f t="shared" si="42"/>
        <v>0</v>
      </c>
      <c r="AK39" s="382">
        <f t="shared" si="42"/>
        <v>0</v>
      </c>
      <c r="AL39" s="382">
        <f t="shared" si="42"/>
        <v>0</v>
      </c>
      <c r="AM39" s="382">
        <f t="shared" si="42"/>
        <v>0</v>
      </c>
      <c r="AN39" s="382">
        <f t="shared" si="42"/>
        <v>0</v>
      </c>
      <c r="AO39" s="382">
        <f t="shared" si="42"/>
        <v>0</v>
      </c>
      <c r="AP39" s="382">
        <f t="shared" si="43"/>
        <v>0</v>
      </c>
      <c r="AQ39" s="382">
        <f t="shared" si="43"/>
        <v>0</v>
      </c>
      <c r="AR39" s="382">
        <f t="shared" si="43"/>
        <v>0</v>
      </c>
      <c r="AS39" s="382">
        <f t="shared" si="43"/>
        <v>0</v>
      </c>
      <c r="AT39" s="382">
        <f t="shared" si="43"/>
        <v>0</v>
      </c>
      <c r="AU39" s="382">
        <f t="shared" si="43"/>
        <v>0</v>
      </c>
      <c r="AV39" s="382">
        <f t="shared" si="43"/>
        <v>0</v>
      </c>
      <c r="AW39" s="382">
        <f t="shared" si="43"/>
        <v>0</v>
      </c>
      <c r="AX39" s="382">
        <f t="shared" si="43"/>
        <v>0</v>
      </c>
      <c r="AY39" s="382">
        <f t="shared" si="43"/>
        <v>0</v>
      </c>
      <c r="AZ39" s="382">
        <f t="shared" si="44"/>
        <v>0</v>
      </c>
      <c r="BA39" s="382">
        <f t="shared" si="44"/>
        <v>0</v>
      </c>
      <c r="BB39" s="382">
        <f t="shared" si="44"/>
        <v>0</v>
      </c>
      <c r="BC39" s="382">
        <f t="shared" si="44"/>
        <v>0</v>
      </c>
      <c r="BD39" s="382">
        <f t="shared" si="44"/>
        <v>0</v>
      </c>
      <c r="BE39" s="382">
        <f t="shared" si="44"/>
        <v>0</v>
      </c>
      <c r="BF39" s="382">
        <f t="shared" si="44"/>
        <v>0</v>
      </c>
      <c r="BG39" s="382">
        <f t="shared" si="44"/>
        <v>0</v>
      </c>
      <c r="BH39" s="382">
        <f t="shared" si="44"/>
        <v>0</v>
      </c>
      <c r="BI39" s="382">
        <f t="shared" si="44"/>
        <v>0</v>
      </c>
      <c r="BJ39" s="382">
        <f t="shared" si="45"/>
        <v>0</v>
      </c>
      <c r="BK39" s="382">
        <f t="shared" si="45"/>
        <v>0</v>
      </c>
      <c r="BL39" s="382">
        <f t="shared" si="45"/>
        <v>0</v>
      </c>
      <c r="BM39" s="382">
        <f t="shared" si="45"/>
        <v>0</v>
      </c>
      <c r="BN39" s="382">
        <f t="shared" si="45"/>
        <v>0</v>
      </c>
      <c r="BO39" s="382">
        <f t="shared" si="45"/>
        <v>0</v>
      </c>
      <c r="BP39" s="382">
        <f t="shared" si="45"/>
        <v>0</v>
      </c>
      <c r="BQ39" s="382">
        <f t="shared" si="45"/>
        <v>0</v>
      </c>
      <c r="BR39" s="382">
        <f t="shared" si="45"/>
        <v>0</v>
      </c>
      <c r="BS39" s="382">
        <f t="shared" si="45"/>
        <v>0</v>
      </c>
      <c r="BT39" s="382">
        <f t="shared" si="46"/>
        <v>0</v>
      </c>
      <c r="BU39" s="382">
        <f t="shared" si="46"/>
        <v>0</v>
      </c>
      <c r="BV39" s="382">
        <f t="shared" si="46"/>
        <v>0</v>
      </c>
      <c r="BW39" s="382">
        <f t="shared" si="46"/>
        <v>0</v>
      </c>
      <c r="BX39" s="382">
        <f t="shared" si="46"/>
        <v>0</v>
      </c>
      <c r="BY39" s="382">
        <f t="shared" si="46"/>
        <v>0</v>
      </c>
      <c r="BZ39" s="382">
        <f t="shared" si="46"/>
        <v>0</v>
      </c>
      <c r="CA39" s="382">
        <f t="shared" si="46"/>
        <v>0</v>
      </c>
    </row>
    <row r="40" spans="2:79" ht="21" hidden="1" customHeight="1" outlineLevel="2">
      <c r="C40" s="370"/>
      <c r="D40" s="374">
        <f t="shared" si="40"/>
        <v>45322</v>
      </c>
      <c r="E40" s="408" cm="1">
        <f t="array" ref="E40">INDEX($AF$14:$CA$14,0,MATCH($D40,$AF$8:$CA$8,0))</f>
        <v>16350</v>
      </c>
      <c r="G40" s="359"/>
      <c r="H40" s="410">
        <f t="shared" si="33"/>
        <v>0</v>
      </c>
      <c r="I40" s="410">
        <f t="shared" si="33"/>
        <v>16350</v>
      </c>
      <c r="J40" s="410">
        <f t="shared" si="33"/>
        <v>0</v>
      </c>
      <c r="K40" s="410">
        <f t="shared" si="33"/>
        <v>0</v>
      </c>
      <c r="L40" s="410"/>
      <c r="M40" s="410"/>
      <c r="N40" s="410">
        <f t="shared" si="41"/>
        <v>0</v>
      </c>
      <c r="O40" s="410">
        <f t="shared" si="41"/>
        <v>0</v>
      </c>
      <c r="P40" s="410">
        <f t="shared" si="41"/>
        <v>0</v>
      </c>
      <c r="Q40" s="410">
        <f t="shared" si="41"/>
        <v>0</v>
      </c>
      <c r="R40" s="410">
        <f t="shared" si="41"/>
        <v>16350</v>
      </c>
      <c r="S40" s="410">
        <f t="shared" si="41"/>
        <v>0</v>
      </c>
      <c r="T40" s="410">
        <f t="shared" si="41"/>
        <v>0</v>
      </c>
      <c r="U40" s="410">
        <f t="shared" si="41"/>
        <v>0</v>
      </c>
      <c r="V40" s="410">
        <f t="shared" si="41"/>
        <v>0</v>
      </c>
      <c r="W40" s="410">
        <f t="shared" si="41"/>
        <v>0</v>
      </c>
      <c r="X40" s="410">
        <f t="shared" si="41"/>
        <v>0</v>
      </c>
      <c r="Y40" s="410">
        <f t="shared" si="41"/>
        <v>0</v>
      </c>
      <c r="Z40" s="410">
        <f t="shared" si="41"/>
        <v>0</v>
      </c>
      <c r="AA40" s="410">
        <f t="shared" si="41"/>
        <v>0</v>
      </c>
      <c r="AB40" s="410">
        <f t="shared" si="41"/>
        <v>0</v>
      </c>
      <c r="AC40" s="410">
        <f t="shared" si="41"/>
        <v>0</v>
      </c>
      <c r="AD40" s="379"/>
      <c r="AE40" s="359"/>
      <c r="AF40" s="382">
        <f t="shared" si="42"/>
        <v>0</v>
      </c>
      <c r="AG40" s="382">
        <f t="shared" si="42"/>
        <v>0</v>
      </c>
      <c r="AH40" s="382">
        <f t="shared" si="42"/>
        <v>0</v>
      </c>
      <c r="AI40" s="382">
        <f t="shared" si="42"/>
        <v>0</v>
      </c>
      <c r="AJ40" s="382">
        <f t="shared" si="42"/>
        <v>0</v>
      </c>
      <c r="AK40" s="382">
        <f t="shared" si="42"/>
        <v>0</v>
      </c>
      <c r="AL40" s="382">
        <f t="shared" si="42"/>
        <v>0</v>
      </c>
      <c r="AM40" s="382">
        <f t="shared" si="42"/>
        <v>0</v>
      </c>
      <c r="AN40" s="382">
        <f t="shared" si="42"/>
        <v>0</v>
      </c>
      <c r="AO40" s="382">
        <f t="shared" si="42"/>
        <v>0</v>
      </c>
      <c r="AP40" s="382">
        <f t="shared" si="43"/>
        <v>0</v>
      </c>
      <c r="AQ40" s="382">
        <f t="shared" si="43"/>
        <v>0</v>
      </c>
      <c r="AR40" s="382">
        <f t="shared" si="43"/>
        <v>5450</v>
      </c>
      <c r="AS40" s="382">
        <f t="shared" si="43"/>
        <v>5450</v>
      </c>
      <c r="AT40" s="382">
        <f t="shared" si="43"/>
        <v>5450</v>
      </c>
      <c r="AU40" s="382">
        <f t="shared" si="43"/>
        <v>0</v>
      </c>
      <c r="AV40" s="382">
        <f t="shared" si="43"/>
        <v>0</v>
      </c>
      <c r="AW40" s="382">
        <f t="shared" si="43"/>
        <v>0</v>
      </c>
      <c r="AX40" s="382">
        <f t="shared" si="43"/>
        <v>0</v>
      </c>
      <c r="AY40" s="382">
        <f t="shared" si="43"/>
        <v>0</v>
      </c>
      <c r="AZ40" s="382">
        <f t="shared" si="44"/>
        <v>0</v>
      </c>
      <c r="BA40" s="382">
        <f t="shared" si="44"/>
        <v>0</v>
      </c>
      <c r="BB40" s="382">
        <f t="shared" si="44"/>
        <v>0</v>
      </c>
      <c r="BC40" s="382">
        <f t="shared" si="44"/>
        <v>0</v>
      </c>
      <c r="BD40" s="382">
        <f t="shared" si="44"/>
        <v>0</v>
      </c>
      <c r="BE40" s="382">
        <f t="shared" si="44"/>
        <v>0</v>
      </c>
      <c r="BF40" s="382">
        <f t="shared" si="44"/>
        <v>0</v>
      </c>
      <c r="BG40" s="382">
        <f t="shared" si="44"/>
        <v>0</v>
      </c>
      <c r="BH40" s="382">
        <f t="shared" si="44"/>
        <v>0</v>
      </c>
      <c r="BI40" s="382">
        <f t="shared" si="44"/>
        <v>0</v>
      </c>
      <c r="BJ40" s="382">
        <f t="shared" si="45"/>
        <v>0</v>
      </c>
      <c r="BK40" s="382">
        <f t="shared" si="45"/>
        <v>0</v>
      </c>
      <c r="BL40" s="382">
        <f t="shared" si="45"/>
        <v>0</v>
      </c>
      <c r="BM40" s="382">
        <f t="shared" si="45"/>
        <v>0</v>
      </c>
      <c r="BN40" s="382">
        <f t="shared" si="45"/>
        <v>0</v>
      </c>
      <c r="BO40" s="382">
        <f t="shared" si="45"/>
        <v>0</v>
      </c>
      <c r="BP40" s="382">
        <f t="shared" si="45"/>
        <v>0</v>
      </c>
      <c r="BQ40" s="382">
        <f t="shared" si="45"/>
        <v>0</v>
      </c>
      <c r="BR40" s="382">
        <f t="shared" si="45"/>
        <v>0</v>
      </c>
      <c r="BS40" s="382">
        <f t="shared" si="45"/>
        <v>0</v>
      </c>
      <c r="BT40" s="382">
        <f t="shared" si="46"/>
        <v>0</v>
      </c>
      <c r="BU40" s="382">
        <f t="shared" si="46"/>
        <v>0</v>
      </c>
      <c r="BV40" s="382">
        <f t="shared" si="46"/>
        <v>0</v>
      </c>
      <c r="BW40" s="382">
        <f t="shared" si="46"/>
        <v>0</v>
      </c>
      <c r="BX40" s="382">
        <f t="shared" si="46"/>
        <v>0</v>
      </c>
      <c r="BY40" s="382">
        <f t="shared" si="46"/>
        <v>0</v>
      </c>
      <c r="BZ40" s="382">
        <f t="shared" si="46"/>
        <v>0</v>
      </c>
      <c r="CA40" s="382">
        <f t="shared" si="46"/>
        <v>0</v>
      </c>
    </row>
    <row r="41" spans="2:79" ht="21" hidden="1" customHeight="1" outlineLevel="2">
      <c r="C41" s="370"/>
      <c r="D41" s="374">
        <f t="shared" si="40"/>
        <v>45351</v>
      </c>
      <c r="E41" s="408" cm="1">
        <f t="array" ref="E41">INDEX($AF$14:$CA$14,0,MATCH($D41,$AF$8:$CA$8,0))</f>
        <v>0</v>
      </c>
      <c r="G41" s="359"/>
      <c r="H41" s="410">
        <f t="shared" si="33"/>
        <v>0</v>
      </c>
      <c r="I41" s="410">
        <f t="shared" si="33"/>
        <v>0</v>
      </c>
      <c r="J41" s="410">
        <f t="shared" si="33"/>
        <v>0</v>
      </c>
      <c r="K41" s="410">
        <f t="shared" si="33"/>
        <v>0</v>
      </c>
      <c r="L41" s="410"/>
      <c r="M41" s="410"/>
      <c r="N41" s="410">
        <f t="shared" si="41"/>
        <v>0</v>
      </c>
      <c r="O41" s="410">
        <f t="shared" si="41"/>
        <v>0</v>
      </c>
      <c r="P41" s="410">
        <f t="shared" si="41"/>
        <v>0</v>
      </c>
      <c r="Q41" s="410">
        <f t="shared" si="41"/>
        <v>0</v>
      </c>
      <c r="R41" s="410">
        <f t="shared" si="41"/>
        <v>0</v>
      </c>
      <c r="S41" s="410">
        <f t="shared" si="41"/>
        <v>0</v>
      </c>
      <c r="T41" s="410">
        <f t="shared" si="41"/>
        <v>0</v>
      </c>
      <c r="U41" s="410">
        <f t="shared" si="41"/>
        <v>0</v>
      </c>
      <c r="V41" s="410">
        <f t="shared" si="41"/>
        <v>0</v>
      </c>
      <c r="W41" s="410">
        <f t="shared" si="41"/>
        <v>0</v>
      </c>
      <c r="X41" s="410">
        <f t="shared" si="41"/>
        <v>0</v>
      </c>
      <c r="Y41" s="410">
        <f t="shared" si="41"/>
        <v>0</v>
      </c>
      <c r="Z41" s="410">
        <f t="shared" si="41"/>
        <v>0</v>
      </c>
      <c r="AA41" s="410">
        <f t="shared" si="41"/>
        <v>0</v>
      </c>
      <c r="AB41" s="410">
        <f t="shared" si="41"/>
        <v>0</v>
      </c>
      <c r="AC41" s="410">
        <f t="shared" si="41"/>
        <v>0</v>
      </c>
      <c r="AD41" s="379"/>
      <c r="AE41" s="359"/>
      <c r="AF41" s="382">
        <f t="shared" si="42"/>
        <v>0</v>
      </c>
      <c r="AG41" s="382">
        <f t="shared" si="42"/>
        <v>0</v>
      </c>
      <c r="AH41" s="382">
        <f t="shared" si="42"/>
        <v>0</v>
      </c>
      <c r="AI41" s="382">
        <f t="shared" si="42"/>
        <v>0</v>
      </c>
      <c r="AJ41" s="382">
        <f t="shared" si="42"/>
        <v>0</v>
      </c>
      <c r="AK41" s="382">
        <f t="shared" si="42"/>
        <v>0</v>
      </c>
      <c r="AL41" s="382">
        <f t="shared" si="42"/>
        <v>0</v>
      </c>
      <c r="AM41" s="382">
        <f t="shared" si="42"/>
        <v>0</v>
      </c>
      <c r="AN41" s="382">
        <f t="shared" si="42"/>
        <v>0</v>
      </c>
      <c r="AO41" s="382">
        <f t="shared" si="42"/>
        <v>0</v>
      </c>
      <c r="AP41" s="382">
        <f t="shared" si="43"/>
        <v>0</v>
      </c>
      <c r="AQ41" s="382">
        <f t="shared" si="43"/>
        <v>0</v>
      </c>
      <c r="AR41" s="382">
        <f t="shared" si="43"/>
        <v>0</v>
      </c>
      <c r="AS41" s="382">
        <f t="shared" si="43"/>
        <v>0</v>
      </c>
      <c r="AT41" s="382">
        <f t="shared" si="43"/>
        <v>0</v>
      </c>
      <c r="AU41" s="382">
        <f t="shared" si="43"/>
        <v>0</v>
      </c>
      <c r="AV41" s="382">
        <f t="shared" si="43"/>
        <v>0</v>
      </c>
      <c r="AW41" s="382">
        <f t="shared" si="43"/>
        <v>0</v>
      </c>
      <c r="AX41" s="382">
        <f t="shared" si="43"/>
        <v>0</v>
      </c>
      <c r="AY41" s="382">
        <f t="shared" si="43"/>
        <v>0</v>
      </c>
      <c r="AZ41" s="382">
        <f t="shared" si="44"/>
        <v>0</v>
      </c>
      <c r="BA41" s="382">
        <f t="shared" si="44"/>
        <v>0</v>
      </c>
      <c r="BB41" s="382">
        <f t="shared" si="44"/>
        <v>0</v>
      </c>
      <c r="BC41" s="382">
        <f t="shared" si="44"/>
        <v>0</v>
      </c>
      <c r="BD41" s="382">
        <f t="shared" si="44"/>
        <v>0</v>
      </c>
      <c r="BE41" s="382">
        <f t="shared" si="44"/>
        <v>0</v>
      </c>
      <c r="BF41" s="382">
        <f t="shared" si="44"/>
        <v>0</v>
      </c>
      <c r="BG41" s="382">
        <f t="shared" si="44"/>
        <v>0</v>
      </c>
      <c r="BH41" s="382">
        <f t="shared" si="44"/>
        <v>0</v>
      </c>
      <c r="BI41" s="382">
        <f t="shared" si="44"/>
        <v>0</v>
      </c>
      <c r="BJ41" s="382">
        <f t="shared" si="45"/>
        <v>0</v>
      </c>
      <c r="BK41" s="382">
        <f t="shared" si="45"/>
        <v>0</v>
      </c>
      <c r="BL41" s="382">
        <f t="shared" si="45"/>
        <v>0</v>
      </c>
      <c r="BM41" s="382">
        <f t="shared" si="45"/>
        <v>0</v>
      </c>
      <c r="BN41" s="382">
        <f t="shared" si="45"/>
        <v>0</v>
      </c>
      <c r="BO41" s="382">
        <f t="shared" si="45"/>
        <v>0</v>
      </c>
      <c r="BP41" s="382">
        <f t="shared" si="45"/>
        <v>0</v>
      </c>
      <c r="BQ41" s="382">
        <f t="shared" si="45"/>
        <v>0</v>
      </c>
      <c r="BR41" s="382">
        <f t="shared" si="45"/>
        <v>0</v>
      </c>
      <c r="BS41" s="382">
        <f t="shared" si="45"/>
        <v>0</v>
      </c>
      <c r="BT41" s="382">
        <f t="shared" si="46"/>
        <v>0</v>
      </c>
      <c r="BU41" s="382">
        <f t="shared" si="46"/>
        <v>0</v>
      </c>
      <c r="BV41" s="382">
        <f t="shared" si="46"/>
        <v>0</v>
      </c>
      <c r="BW41" s="382">
        <f t="shared" si="46"/>
        <v>0</v>
      </c>
      <c r="BX41" s="382">
        <f t="shared" si="46"/>
        <v>0</v>
      </c>
      <c r="BY41" s="382">
        <f t="shared" si="46"/>
        <v>0</v>
      </c>
      <c r="BZ41" s="382">
        <f t="shared" si="46"/>
        <v>0</v>
      </c>
      <c r="CA41" s="382">
        <f t="shared" si="46"/>
        <v>0</v>
      </c>
    </row>
    <row r="42" spans="2:79" ht="21" hidden="1" customHeight="1" outlineLevel="2">
      <c r="C42" s="370"/>
      <c r="D42" s="374">
        <f t="shared" si="40"/>
        <v>45382</v>
      </c>
      <c r="E42" s="408" cm="1">
        <f t="array" ref="E42">INDEX($AF$14:$CA$14,0,MATCH($D42,$AF$8:$CA$8,0))</f>
        <v>0</v>
      </c>
      <c r="G42" s="359"/>
      <c r="H42" s="410">
        <f t="shared" si="33"/>
        <v>0</v>
      </c>
      <c r="I42" s="410">
        <f t="shared" si="33"/>
        <v>0</v>
      </c>
      <c r="J42" s="410">
        <f t="shared" si="33"/>
        <v>0</v>
      </c>
      <c r="K42" s="410">
        <f t="shared" si="33"/>
        <v>0</v>
      </c>
      <c r="L42" s="410"/>
      <c r="M42" s="410"/>
      <c r="N42" s="410">
        <f t="shared" si="41"/>
        <v>0</v>
      </c>
      <c r="O42" s="410">
        <f t="shared" si="41"/>
        <v>0</v>
      </c>
      <c r="P42" s="410">
        <f t="shared" si="41"/>
        <v>0</v>
      </c>
      <c r="Q42" s="410">
        <f t="shared" si="41"/>
        <v>0</v>
      </c>
      <c r="R42" s="410">
        <f t="shared" si="41"/>
        <v>0</v>
      </c>
      <c r="S42" s="410">
        <f t="shared" si="41"/>
        <v>0</v>
      </c>
      <c r="T42" s="410">
        <f t="shared" si="41"/>
        <v>0</v>
      </c>
      <c r="U42" s="410">
        <f t="shared" si="41"/>
        <v>0</v>
      </c>
      <c r="V42" s="410">
        <f t="shared" si="41"/>
        <v>0</v>
      </c>
      <c r="W42" s="410">
        <f t="shared" si="41"/>
        <v>0</v>
      </c>
      <c r="X42" s="410">
        <f t="shared" si="41"/>
        <v>0</v>
      </c>
      <c r="Y42" s="410">
        <f t="shared" si="41"/>
        <v>0</v>
      </c>
      <c r="Z42" s="410">
        <f t="shared" si="41"/>
        <v>0</v>
      </c>
      <c r="AA42" s="410">
        <f t="shared" si="41"/>
        <v>0</v>
      </c>
      <c r="AB42" s="410">
        <f t="shared" si="41"/>
        <v>0</v>
      </c>
      <c r="AC42" s="410">
        <f t="shared" si="41"/>
        <v>0</v>
      </c>
      <c r="AD42" s="379"/>
      <c r="AE42" s="359"/>
      <c r="AF42" s="382">
        <f t="shared" si="42"/>
        <v>0</v>
      </c>
      <c r="AG42" s="382">
        <f t="shared" si="42"/>
        <v>0</v>
      </c>
      <c r="AH42" s="382">
        <f t="shared" si="42"/>
        <v>0</v>
      </c>
      <c r="AI42" s="382">
        <f t="shared" si="42"/>
        <v>0</v>
      </c>
      <c r="AJ42" s="382">
        <f t="shared" si="42"/>
        <v>0</v>
      </c>
      <c r="AK42" s="382">
        <f t="shared" si="42"/>
        <v>0</v>
      </c>
      <c r="AL42" s="382">
        <f t="shared" si="42"/>
        <v>0</v>
      </c>
      <c r="AM42" s="382">
        <f t="shared" si="42"/>
        <v>0</v>
      </c>
      <c r="AN42" s="382">
        <f t="shared" si="42"/>
        <v>0</v>
      </c>
      <c r="AO42" s="382">
        <f t="shared" si="42"/>
        <v>0</v>
      </c>
      <c r="AP42" s="382">
        <f t="shared" si="43"/>
        <v>0</v>
      </c>
      <c r="AQ42" s="382">
        <f t="shared" si="43"/>
        <v>0</v>
      </c>
      <c r="AR42" s="382">
        <f t="shared" si="43"/>
        <v>0</v>
      </c>
      <c r="AS42" s="382">
        <f t="shared" si="43"/>
        <v>0</v>
      </c>
      <c r="AT42" s="382">
        <f t="shared" si="43"/>
        <v>0</v>
      </c>
      <c r="AU42" s="382">
        <f t="shared" si="43"/>
        <v>0</v>
      </c>
      <c r="AV42" s="382">
        <f t="shared" si="43"/>
        <v>0</v>
      </c>
      <c r="AW42" s="382">
        <f t="shared" si="43"/>
        <v>0</v>
      </c>
      <c r="AX42" s="382">
        <f t="shared" si="43"/>
        <v>0</v>
      </c>
      <c r="AY42" s="382">
        <f t="shared" si="43"/>
        <v>0</v>
      </c>
      <c r="AZ42" s="382">
        <f t="shared" si="44"/>
        <v>0</v>
      </c>
      <c r="BA42" s="382">
        <f t="shared" si="44"/>
        <v>0</v>
      </c>
      <c r="BB42" s="382">
        <f t="shared" si="44"/>
        <v>0</v>
      </c>
      <c r="BC42" s="382">
        <f t="shared" si="44"/>
        <v>0</v>
      </c>
      <c r="BD42" s="382">
        <f t="shared" si="44"/>
        <v>0</v>
      </c>
      <c r="BE42" s="382">
        <f t="shared" si="44"/>
        <v>0</v>
      </c>
      <c r="BF42" s="382">
        <f t="shared" si="44"/>
        <v>0</v>
      </c>
      <c r="BG42" s="382">
        <f t="shared" si="44"/>
        <v>0</v>
      </c>
      <c r="BH42" s="382">
        <f t="shared" si="44"/>
        <v>0</v>
      </c>
      <c r="BI42" s="382">
        <f t="shared" si="44"/>
        <v>0</v>
      </c>
      <c r="BJ42" s="382">
        <f t="shared" si="45"/>
        <v>0</v>
      </c>
      <c r="BK42" s="382">
        <f t="shared" si="45"/>
        <v>0</v>
      </c>
      <c r="BL42" s="382">
        <f t="shared" si="45"/>
        <v>0</v>
      </c>
      <c r="BM42" s="382">
        <f t="shared" si="45"/>
        <v>0</v>
      </c>
      <c r="BN42" s="382">
        <f t="shared" si="45"/>
        <v>0</v>
      </c>
      <c r="BO42" s="382">
        <f t="shared" si="45"/>
        <v>0</v>
      </c>
      <c r="BP42" s="382">
        <f t="shared" si="45"/>
        <v>0</v>
      </c>
      <c r="BQ42" s="382">
        <f t="shared" si="45"/>
        <v>0</v>
      </c>
      <c r="BR42" s="382">
        <f t="shared" si="45"/>
        <v>0</v>
      </c>
      <c r="BS42" s="382">
        <f t="shared" si="45"/>
        <v>0</v>
      </c>
      <c r="BT42" s="382">
        <f t="shared" si="46"/>
        <v>0</v>
      </c>
      <c r="BU42" s="382">
        <f t="shared" si="46"/>
        <v>0</v>
      </c>
      <c r="BV42" s="382">
        <f t="shared" si="46"/>
        <v>0</v>
      </c>
      <c r="BW42" s="382">
        <f t="shared" si="46"/>
        <v>0</v>
      </c>
      <c r="BX42" s="382">
        <f t="shared" si="46"/>
        <v>0</v>
      </c>
      <c r="BY42" s="382">
        <f t="shared" si="46"/>
        <v>0</v>
      </c>
      <c r="BZ42" s="382">
        <f t="shared" si="46"/>
        <v>0</v>
      </c>
      <c r="CA42" s="382">
        <f t="shared" si="46"/>
        <v>0</v>
      </c>
    </row>
    <row r="43" spans="2:79" ht="21" hidden="1" customHeight="1" outlineLevel="2">
      <c r="C43" s="370"/>
      <c r="D43" s="374">
        <f t="shared" si="40"/>
        <v>45412</v>
      </c>
      <c r="E43" s="408" cm="1">
        <f t="array" ref="E43">INDEX($AF$14:$CA$14,0,MATCH($D43,$AF$8:$CA$8,0))</f>
        <v>16350</v>
      </c>
      <c r="G43" s="359"/>
      <c r="H43" s="410">
        <f t="shared" si="33"/>
        <v>0</v>
      </c>
      <c r="I43" s="410">
        <f t="shared" si="33"/>
        <v>16350</v>
      </c>
      <c r="J43" s="410">
        <f t="shared" si="33"/>
        <v>0</v>
      </c>
      <c r="K43" s="410">
        <f t="shared" si="33"/>
        <v>0</v>
      </c>
      <c r="L43" s="410"/>
      <c r="M43" s="410"/>
      <c r="N43" s="410">
        <f t="shared" si="41"/>
        <v>0</v>
      </c>
      <c r="O43" s="410">
        <f t="shared" si="41"/>
        <v>0</v>
      </c>
      <c r="P43" s="410">
        <f t="shared" si="41"/>
        <v>0</v>
      </c>
      <c r="Q43" s="410">
        <f t="shared" si="41"/>
        <v>0</v>
      </c>
      <c r="R43" s="410">
        <f t="shared" si="41"/>
        <v>0</v>
      </c>
      <c r="S43" s="410">
        <f t="shared" si="41"/>
        <v>16350</v>
      </c>
      <c r="T43" s="410">
        <f t="shared" si="41"/>
        <v>0</v>
      </c>
      <c r="U43" s="410">
        <f t="shared" si="41"/>
        <v>0</v>
      </c>
      <c r="V43" s="410">
        <f t="shared" si="41"/>
        <v>0</v>
      </c>
      <c r="W43" s="410">
        <f t="shared" si="41"/>
        <v>0</v>
      </c>
      <c r="X43" s="410">
        <f t="shared" si="41"/>
        <v>0</v>
      </c>
      <c r="Y43" s="410">
        <f t="shared" si="41"/>
        <v>0</v>
      </c>
      <c r="Z43" s="410">
        <f t="shared" si="41"/>
        <v>0</v>
      </c>
      <c r="AA43" s="410">
        <f t="shared" si="41"/>
        <v>0</v>
      </c>
      <c r="AB43" s="410">
        <f t="shared" si="41"/>
        <v>0</v>
      </c>
      <c r="AC43" s="410">
        <f t="shared" si="41"/>
        <v>0</v>
      </c>
      <c r="AD43" s="379"/>
      <c r="AE43" s="359"/>
      <c r="AF43" s="382">
        <f t="shared" si="42"/>
        <v>0</v>
      </c>
      <c r="AG43" s="382">
        <f t="shared" si="42"/>
        <v>0</v>
      </c>
      <c r="AH43" s="382">
        <f t="shared" si="42"/>
        <v>0</v>
      </c>
      <c r="AI43" s="382">
        <f t="shared" si="42"/>
        <v>0</v>
      </c>
      <c r="AJ43" s="382">
        <f t="shared" si="42"/>
        <v>0</v>
      </c>
      <c r="AK43" s="382">
        <f t="shared" si="42"/>
        <v>0</v>
      </c>
      <c r="AL43" s="382">
        <f t="shared" si="42"/>
        <v>0</v>
      </c>
      <c r="AM43" s="382">
        <f t="shared" si="42"/>
        <v>0</v>
      </c>
      <c r="AN43" s="382">
        <f t="shared" si="42"/>
        <v>0</v>
      </c>
      <c r="AO43" s="382">
        <f t="shared" si="42"/>
        <v>0</v>
      </c>
      <c r="AP43" s="382">
        <f t="shared" si="43"/>
        <v>0</v>
      </c>
      <c r="AQ43" s="382">
        <f t="shared" si="43"/>
        <v>0</v>
      </c>
      <c r="AR43" s="382">
        <f t="shared" si="43"/>
        <v>0</v>
      </c>
      <c r="AS43" s="382">
        <f t="shared" si="43"/>
        <v>0</v>
      </c>
      <c r="AT43" s="382">
        <f t="shared" si="43"/>
        <v>0</v>
      </c>
      <c r="AU43" s="382">
        <f t="shared" si="43"/>
        <v>5450</v>
      </c>
      <c r="AV43" s="382">
        <f t="shared" si="43"/>
        <v>5450</v>
      </c>
      <c r="AW43" s="382">
        <f t="shared" si="43"/>
        <v>5450</v>
      </c>
      <c r="AX43" s="382">
        <f t="shared" si="43"/>
        <v>0</v>
      </c>
      <c r="AY43" s="382">
        <f t="shared" si="43"/>
        <v>0</v>
      </c>
      <c r="AZ43" s="382">
        <f t="shared" si="44"/>
        <v>0</v>
      </c>
      <c r="BA43" s="382">
        <f t="shared" si="44"/>
        <v>0</v>
      </c>
      <c r="BB43" s="382">
        <f t="shared" si="44"/>
        <v>0</v>
      </c>
      <c r="BC43" s="382">
        <f t="shared" si="44"/>
        <v>0</v>
      </c>
      <c r="BD43" s="382">
        <f t="shared" si="44"/>
        <v>0</v>
      </c>
      <c r="BE43" s="382">
        <f t="shared" si="44"/>
        <v>0</v>
      </c>
      <c r="BF43" s="382">
        <f t="shared" si="44"/>
        <v>0</v>
      </c>
      <c r="BG43" s="382">
        <f t="shared" si="44"/>
        <v>0</v>
      </c>
      <c r="BH43" s="382">
        <f t="shared" si="44"/>
        <v>0</v>
      </c>
      <c r="BI43" s="382">
        <f t="shared" si="44"/>
        <v>0</v>
      </c>
      <c r="BJ43" s="382">
        <f t="shared" si="45"/>
        <v>0</v>
      </c>
      <c r="BK43" s="382">
        <f t="shared" si="45"/>
        <v>0</v>
      </c>
      <c r="BL43" s="382">
        <f t="shared" si="45"/>
        <v>0</v>
      </c>
      <c r="BM43" s="382">
        <f t="shared" si="45"/>
        <v>0</v>
      </c>
      <c r="BN43" s="382">
        <f t="shared" si="45"/>
        <v>0</v>
      </c>
      <c r="BO43" s="382">
        <f t="shared" si="45"/>
        <v>0</v>
      </c>
      <c r="BP43" s="382">
        <f t="shared" si="45"/>
        <v>0</v>
      </c>
      <c r="BQ43" s="382">
        <f t="shared" si="45"/>
        <v>0</v>
      </c>
      <c r="BR43" s="382">
        <f t="shared" si="45"/>
        <v>0</v>
      </c>
      <c r="BS43" s="382">
        <f t="shared" si="45"/>
        <v>0</v>
      </c>
      <c r="BT43" s="382">
        <f t="shared" si="46"/>
        <v>0</v>
      </c>
      <c r="BU43" s="382">
        <f t="shared" si="46"/>
        <v>0</v>
      </c>
      <c r="BV43" s="382">
        <f t="shared" si="46"/>
        <v>0</v>
      </c>
      <c r="BW43" s="382">
        <f t="shared" si="46"/>
        <v>0</v>
      </c>
      <c r="BX43" s="382">
        <f t="shared" si="46"/>
        <v>0</v>
      </c>
      <c r="BY43" s="382">
        <f t="shared" si="46"/>
        <v>0</v>
      </c>
      <c r="BZ43" s="382">
        <f t="shared" si="46"/>
        <v>0</v>
      </c>
      <c r="CA43" s="382">
        <f t="shared" si="46"/>
        <v>0</v>
      </c>
    </row>
    <row r="44" spans="2:79" ht="21" hidden="1" customHeight="1" outlineLevel="2">
      <c r="C44" s="370"/>
      <c r="D44" s="374">
        <f t="shared" si="40"/>
        <v>45443</v>
      </c>
      <c r="E44" s="408" cm="1">
        <f t="array" ref="E44">INDEX($AF$14:$CA$14,0,MATCH($D44,$AF$8:$CA$8,0))</f>
        <v>4862.5</v>
      </c>
      <c r="G44" s="359"/>
      <c r="H44" s="410">
        <f t="shared" si="33"/>
        <v>0</v>
      </c>
      <c r="I44" s="410">
        <f t="shared" si="33"/>
        <v>4862.5</v>
      </c>
      <c r="J44" s="410">
        <f t="shared" si="33"/>
        <v>0</v>
      </c>
      <c r="K44" s="410">
        <f t="shared" si="33"/>
        <v>0</v>
      </c>
      <c r="L44" s="410"/>
      <c r="M44" s="410"/>
      <c r="N44" s="410">
        <f t="shared" si="41"/>
        <v>0</v>
      </c>
      <c r="O44" s="410">
        <f t="shared" si="41"/>
        <v>0</v>
      </c>
      <c r="P44" s="410">
        <f t="shared" si="41"/>
        <v>0</v>
      </c>
      <c r="Q44" s="410">
        <f t="shared" si="41"/>
        <v>0</v>
      </c>
      <c r="R44" s="410">
        <f t="shared" si="41"/>
        <v>0</v>
      </c>
      <c r="S44" s="410">
        <f t="shared" si="41"/>
        <v>3241.6666666666665</v>
      </c>
      <c r="T44" s="410">
        <f t="shared" si="41"/>
        <v>1620.8333333333333</v>
      </c>
      <c r="U44" s="410">
        <f t="shared" si="41"/>
        <v>0</v>
      </c>
      <c r="V44" s="410">
        <f t="shared" si="41"/>
        <v>0</v>
      </c>
      <c r="W44" s="410">
        <f t="shared" si="41"/>
        <v>0</v>
      </c>
      <c r="X44" s="410">
        <f t="shared" si="41"/>
        <v>0</v>
      </c>
      <c r="Y44" s="410">
        <f t="shared" si="41"/>
        <v>0</v>
      </c>
      <c r="Z44" s="410">
        <f t="shared" si="41"/>
        <v>0</v>
      </c>
      <c r="AA44" s="410">
        <f t="shared" si="41"/>
        <v>0</v>
      </c>
      <c r="AB44" s="410">
        <f t="shared" si="41"/>
        <v>0</v>
      </c>
      <c r="AC44" s="410">
        <f t="shared" si="41"/>
        <v>0</v>
      </c>
      <c r="AD44" s="379"/>
      <c r="AE44" s="359"/>
      <c r="AF44" s="382">
        <f t="shared" si="42"/>
        <v>0</v>
      </c>
      <c r="AG44" s="382">
        <f t="shared" si="42"/>
        <v>0</v>
      </c>
      <c r="AH44" s="382">
        <f t="shared" si="42"/>
        <v>0</v>
      </c>
      <c r="AI44" s="382">
        <f t="shared" si="42"/>
        <v>0</v>
      </c>
      <c r="AJ44" s="382">
        <f t="shared" si="42"/>
        <v>0</v>
      </c>
      <c r="AK44" s="382">
        <f t="shared" si="42"/>
        <v>0</v>
      </c>
      <c r="AL44" s="382">
        <f t="shared" si="42"/>
        <v>0</v>
      </c>
      <c r="AM44" s="382">
        <f t="shared" si="42"/>
        <v>0</v>
      </c>
      <c r="AN44" s="382">
        <f t="shared" si="42"/>
        <v>0</v>
      </c>
      <c r="AO44" s="382">
        <f t="shared" si="42"/>
        <v>0</v>
      </c>
      <c r="AP44" s="382">
        <f t="shared" si="43"/>
        <v>0</v>
      </c>
      <c r="AQ44" s="382">
        <f t="shared" si="43"/>
        <v>0</v>
      </c>
      <c r="AR44" s="382">
        <f t="shared" si="43"/>
        <v>0</v>
      </c>
      <c r="AS44" s="382">
        <f t="shared" si="43"/>
        <v>0</v>
      </c>
      <c r="AT44" s="382">
        <f t="shared" si="43"/>
        <v>0</v>
      </c>
      <c r="AU44" s="382">
        <f t="shared" si="43"/>
        <v>0</v>
      </c>
      <c r="AV44" s="382">
        <f t="shared" si="43"/>
        <v>1620.8333333333333</v>
      </c>
      <c r="AW44" s="382">
        <f t="shared" si="43"/>
        <v>1620.8333333333333</v>
      </c>
      <c r="AX44" s="382">
        <f t="shared" si="43"/>
        <v>1620.8333333333333</v>
      </c>
      <c r="AY44" s="382">
        <f t="shared" si="43"/>
        <v>0</v>
      </c>
      <c r="AZ44" s="382">
        <f t="shared" si="44"/>
        <v>0</v>
      </c>
      <c r="BA44" s="382">
        <f t="shared" si="44"/>
        <v>0</v>
      </c>
      <c r="BB44" s="382">
        <f t="shared" si="44"/>
        <v>0</v>
      </c>
      <c r="BC44" s="382">
        <f t="shared" si="44"/>
        <v>0</v>
      </c>
      <c r="BD44" s="382">
        <f t="shared" si="44"/>
        <v>0</v>
      </c>
      <c r="BE44" s="382">
        <f t="shared" si="44"/>
        <v>0</v>
      </c>
      <c r="BF44" s="382">
        <f t="shared" si="44"/>
        <v>0</v>
      </c>
      <c r="BG44" s="382">
        <f t="shared" si="44"/>
        <v>0</v>
      </c>
      <c r="BH44" s="382">
        <f t="shared" si="44"/>
        <v>0</v>
      </c>
      <c r="BI44" s="382">
        <f t="shared" si="44"/>
        <v>0</v>
      </c>
      <c r="BJ44" s="382">
        <f t="shared" si="45"/>
        <v>0</v>
      </c>
      <c r="BK44" s="382">
        <f t="shared" si="45"/>
        <v>0</v>
      </c>
      <c r="BL44" s="382">
        <f t="shared" si="45"/>
        <v>0</v>
      </c>
      <c r="BM44" s="382">
        <f t="shared" si="45"/>
        <v>0</v>
      </c>
      <c r="BN44" s="382">
        <f t="shared" si="45"/>
        <v>0</v>
      </c>
      <c r="BO44" s="382">
        <f t="shared" si="45"/>
        <v>0</v>
      </c>
      <c r="BP44" s="382">
        <f t="shared" si="45"/>
        <v>0</v>
      </c>
      <c r="BQ44" s="382">
        <f t="shared" si="45"/>
        <v>0</v>
      </c>
      <c r="BR44" s="382">
        <f t="shared" si="45"/>
        <v>0</v>
      </c>
      <c r="BS44" s="382">
        <f t="shared" si="45"/>
        <v>0</v>
      </c>
      <c r="BT44" s="382">
        <f t="shared" si="46"/>
        <v>0</v>
      </c>
      <c r="BU44" s="382">
        <f t="shared" si="46"/>
        <v>0</v>
      </c>
      <c r="BV44" s="382">
        <f t="shared" si="46"/>
        <v>0</v>
      </c>
      <c r="BW44" s="382">
        <f t="shared" si="46"/>
        <v>0</v>
      </c>
      <c r="BX44" s="382">
        <f t="shared" si="46"/>
        <v>0</v>
      </c>
      <c r="BY44" s="382">
        <f t="shared" si="46"/>
        <v>0</v>
      </c>
      <c r="BZ44" s="382">
        <f t="shared" si="46"/>
        <v>0</v>
      </c>
      <c r="CA44" s="382">
        <f t="shared" si="46"/>
        <v>0</v>
      </c>
    </row>
    <row r="45" spans="2:79" ht="21" hidden="1" customHeight="1" outlineLevel="2">
      <c r="C45" s="370"/>
      <c r="D45" s="374">
        <f t="shared" si="40"/>
        <v>45473</v>
      </c>
      <c r="E45" s="408" cm="1">
        <f t="array" ref="E45">INDEX($AF$14:$CA$14,0,MATCH($D45,$AF$8:$CA$8,0))</f>
        <v>0</v>
      </c>
      <c r="G45" s="359"/>
      <c r="H45" s="410">
        <f t="shared" si="33"/>
        <v>0</v>
      </c>
      <c r="I45" s="410">
        <f t="shared" si="33"/>
        <v>0</v>
      </c>
      <c r="J45" s="410">
        <f t="shared" si="33"/>
        <v>0</v>
      </c>
      <c r="K45" s="410">
        <f t="shared" si="33"/>
        <v>0</v>
      </c>
      <c r="L45" s="410"/>
      <c r="M45" s="410"/>
      <c r="N45" s="410">
        <f t="shared" si="41"/>
        <v>0</v>
      </c>
      <c r="O45" s="410">
        <f t="shared" si="41"/>
        <v>0</v>
      </c>
      <c r="P45" s="410">
        <f t="shared" si="41"/>
        <v>0</v>
      </c>
      <c r="Q45" s="410">
        <f t="shared" si="41"/>
        <v>0</v>
      </c>
      <c r="R45" s="410">
        <f t="shared" si="41"/>
        <v>0</v>
      </c>
      <c r="S45" s="410">
        <f t="shared" si="41"/>
        <v>0</v>
      </c>
      <c r="T45" s="410">
        <f t="shared" si="41"/>
        <v>0</v>
      </c>
      <c r="U45" s="410">
        <f t="shared" si="41"/>
        <v>0</v>
      </c>
      <c r="V45" s="410">
        <f t="shared" si="41"/>
        <v>0</v>
      </c>
      <c r="W45" s="410">
        <f t="shared" si="41"/>
        <v>0</v>
      </c>
      <c r="X45" s="410">
        <f t="shared" si="41"/>
        <v>0</v>
      </c>
      <c r="Y45" s="410">
        <f t="shared" si="41"/>
        <v>0</v>
      </c>
      <c r="Z45" s="410">
        <f t="shared" si="41"/>
        <v>0</v>
      </c>
      <c r="AA45" s="410">
        <f t="shared" si="41"/>
        <v>0</v>
      </c>
      <c r="AB45" s="410">
        <f t="shared" si="41"/>
        <v>0</v>
      </c>
      <c r="AC45" s="410">
        <f t="shared" si="41"/>
        <v>0</v>
      </c>
      <c r="AD45" s="379"/>
      <c r="AE45" s="359"/>
      <c r="AF45" s="382">
        <f t="shared" si="42"/>
        <v>0</v>
      </c>
      <c r="AG45" s="382">
        <f t="shared" si="42"/>
        <v>0</v>
      </c>
      <c r="AH45" s="382">
        <f t="shared" si="42"/>
        <v>0</v>
      </c>
      <c r="AI45" s="382">
        <f t="shared" si="42"/>
        <v>0</v>
      </c>
      <c r="AJ45" s="382">
        <f t="shared" si="42"/>
        <v>0</v>
      </c>
      <c r="AK45" s="382">
        <f t="shared" si="42"/>
        <v>0</v>
      </c>
      <c r="AL45" s="382">
        <f t="shared" si="42"/>
        <v>0</v>
      </c>
      <c r="AM45" s="382">
        <f t="shared" si="42"/>
        <v>0</v>
      </c>
      <c r="AN45" s="382">
        <f t="shared" si="42"/>
        <v>0</v>
      </c>
      <c r="AO45" s="382">
        <f t="shared" si="42"/>
        <v>0</v>
      </c>
      <c r="AP45" s="382">
        <f t="shared" si="43"/>
        <v>0</v>
      </c>
      <c r="AQ45" s="382">
        <f t="shared" si="43"/>
        <v>0</v>
      </c>
      <c r="AR45" s="382">
        <f t="shared" si="43"/>
        <v>0</v>
      </c>
      <c r="AS45" s="382">
        <f t="shared" si="43"/>
        <v>0</v>
      </c>
      <c r="AT45" s="382">
        <f t="shared" si="43"/>
        <v>0</v>
      </c>
      <c r="AU45" s="382">
        <f t="shared" si="43"/>
        <v>0</v>
      </c>
      <c r="AV45" s="382">
        <f t="shared" si="43"/>
        <v>0</v>
      </c>
      <c r="AW45" s="382">
        <f t="shared" si="43"/>
        <v>0</v>
      </c>
      <c r="AX45" s="382">
        <f t="shared" si="43"/>
        <v>0</v>
      </c>
      <c r="AY45" s="382">
        <f t="shared" si="43"/>
        <v>0</v>
      </c>
      <c r="AZ45" s="382">
        <f t="shared" si="44"/>
        <v>0</v>
      </c>
      <c r="BA45" s="382">
        <f t="shared" si="44"/>
        <v>0</v>
      </c>
      <c r="BB45" s="382">
        <f t="shared" si="44"/>
        <v>0</v>
      </c>
      <c r="BC45" s="382">
        <f t="shared" si="44"/>
        <v>0</v>
      </c>
      <c r="BD45" s="382">
        <f t="shared" si="44"/>
        <v>0</v>
      </c>
      <c r="BE45" s="382">
        <f t="shared" si="44"/>
        <v>0</v>
      </c>
      <c r="BF45" s="382">
        <f t="shared" si="44"/>
        <v>0</v>
      </c>
      <c r="BG45" s="382">
        <f t="shared" si="44"/>
        <v>0</v>
      </c>
      <c r="BH45" s="382">
        <f t="shared" si="44"/>
        <v>0</v>
      </c>
      <c r="BI45" s="382">
        <f t="shared" si="44"/>
        <v>0</v>
      </c>
      <c r="BJ45" s="382">
        <f t="shared" si="45"/>
        <v>0</v>
      </c>
      <c r="BK45" s="382">
        <f t="shared" si="45"/>
        <v>0</v>
      </c>
      <c r="BL45" s="382">
        <f t="shared" si="45"/>
        <v>0</v>
      </c>
      <c r="BM45" s="382">
        <f t="shared" si="45"/>
        <v>0</v>
      </c>
      <c r="BN45" s="382">
        <f t="shared" si="45"/>
        <v>0</v>
      </c>
      <c r="BO45" s="382">
        <f t="shared" si="45"/>
        <v>0</v>
      </c>
      <c r="BP45" s="382">
        <f t="shared" si="45"/>
        <v>0</v>
      </c>
      <c r="BQ45" s="382">
        <f t="shared" si="45"/>
        <v>0</v>
      </c>
      <c r="BR45" s="382">
        <f t="shared" si="45"/>
        <v>0</v>
      </c>
      <c r="BS45" s="382">
        <f t="shared" si="45"/>
        <v>0</v>
      </c>
      <c r="BT45" s="382">
        <f t="shared" si="46"/>
        <v>0</v>
      </c>
      <c r="BU45" s="382">
        <f t="shared" si="46"/>
        <v>0</v>
      </c>
      <c r="BV45" s="382">
        <f t="shared" si="46"/>
        <v>0</v>
      </c>
      <c r="BW45" s="382">
        <f t="shared" si="46"/>
        <v>0</v>
      </c>
      <c r="BX45" s="382">
        <f t="shared" si="46"/>
        <v>0</v>
      </c>
      <c r="BY45" s="382">
        <f t="shared" si="46"/>
        <v>0</v>
      </c>
      <c r="BZ45" s="382">
        <f t="shared" si="46"/>
        <v>0</v>
      </c>
      <c r="CA45" s="382">
        <f t="shared" si="46"/>
        <v>0</v>
      </c>
    </row>
    <row r="46" spans="2:79" ht="21" hidden="1" customHeight="1" outlineLevel="2">
      <c r="C46" s="370"/>
      <c r="D46" s="374">
        <f t="shared" si="40"/>
        <v>45504</v>
      </c>
      <c r="E46" s="408" cm="1">
        <f t="array" ref="E46">INDEX($AF$14:$CA$14,0,MATCH($D46,$AF$8:$CA$8,0))</f>
        <v>16350</v>
      </c>
      <c r="G46" s="359"/>
      <c r="H46" s="410">
        <f t="shared" si="33"/>
        <v>0</v>
      </c>
      <c r="I46" s="410">
        <f t="shared" si="33"/>
        <v>16350</v>
      </c>
      <c r="J46" s="410">
        <f t="shared" si="33"/>
        <v>0</v>
      </c>
      <c r="K46" s="410">
        <f t="shared" si="33"/>
        <v>0</v>
      </c>
      <c r="L46" s="410"/>
      <c r="M46" s="410"/>
      <c r="N46" s="410">
        <f t="shared" si="41"/>
        <v>0</v>
      </c>
      <c r="O46" s="410">
        <f t="shared" si="41"/>
        <v>0</v>
      </c>
      <c r="P46" s="410">
        <f t="shared" si="41"/>
        <v>0</v>
      </c>
      <c r="Q46" s="410">
        <f t="shared" si="41"/>
        <v>0</v>
      </c>
      <c r="R46" s="410">
        <f t="shared" si="41"/>
        <v>0</v>
      </c>
      <c r="S46" s="410">
        <f t="shared" si="41"/>
        <v>0</v>
      </c>
      <c r="T46" s="410">
        <f t="shared" si="41"/>
        <v>16350</v>
      </c>
      <c r="U46" s="410">
        <f t="shared" si="41"/>
        <v>0</v>
      </c>
      <c r="V46" s="410">
        <f t="shared" si="41"/>
        <v>0</v>
      </c>
      <c r="W46" s="410">
        <f t="shared" si="41"/>
        <v>0</v>
      </c>
      <c r="X46" s="410">
        <f t="shared" si="41"/>
        <v>0</v>
      </c>
      <c r="Y46" s="410">
        <f t="shared" si="41"/>
        <v>0</v>
      </c>
      <c r="Z46" s="410">
        <f t="shared" si="41"/>
        <v>0</v>
      </c>
      <c r="AA46" s="410">
        <f t="shared" si="41"/>
        <v>0</v>
      </c>
      <c r="AB46" s="410">
        <f t="shared" si="41"/>
        <v>0</v>
      </c>
      <c r="AC46" s="410">
        <f t="shared" si="41"/>
        <v>0</v>
      </c>
      <c r="AD46" s="379"/>
      <c r="AE46" s="359"/>
      <c r="AF46" s="382">
        <f t="shared" si="42"/>
        <v>0</v>
      </c>
      <c r="AG46" s="382">
        <f t="shared" si="42"/>
        <v>0</v>
      </c>
      <c r="AH46" s="382">
        <f t="shared" si="42"/>
        <v>0</v>
      </c>
      <c r="AI46" s="382">
        <f t="shared" si="42"/>
        <v>0</v>
      </c>
      <c r="AJ46" s="382">
        <f t="shared" si="42"/>
        <v>0</v>
      </c>
      <c r="AK46" s="382">
        <f t="shared" si="42"/>
        <v>0</v>
      </c>
      <c r="AL46" s="382">
        <f t="shared" si="42"/>
        <v>0</v>
      </c>
      <c r="AM46" s="382">
        <f t="shared" si="42"/>
        <v>0</v>
      </c>
      <c r="AN46" s="382">
        <f t="shared" si="42"/>
        <v>0</v>
      </c>
      <c r="AO46" s="382">
        <f t="shared" si="42"/>
        <v>0</v>
      </c>
      <c r="AP46" s="382">
        <f t="shared" si="43"/>
        <v>0</v>
      </c>
      <c r="AQ46" s="382">
        <f t="shared" si="43"/>
        <v>0</v>
      </c>
      <c r="AR46" s="382">
        <f t="shared" si="43"/>
        <v>0</v>
      </c>
      <c r="AS46" s="382">
        <f t="shared" si="43"/>
        <v>0</v>
      </c>
      <c r="AT46" s="382">
        <f t="shared" si="43"/>
        <v>0</v>
      </c>
      <c r="AU46" s="382">
        <f t="shared" si="43"/>
        <v>0</v>
      </c>
      <c r="AV46" s="382">
        <f t="shared" si="43"/>
        <v>0</v>
      </c>
      <c r="AW46" s="382">
        <f t="shared" si="43"/>
        <v>0</v>
      </c>
      <c r="AX46" s="382">
        <f t="shared" si="43"/>
        <v>5450</v>
      </c>
      <c r="AY46" s="382">
        <f t="shared" si="43"/>
        <v>5450</v>
      </c>
      <c r="AZ46" s="382">
        <f t="shared" si="44"/>
        <v>5450</v>
      </c>
      <c r="BA46" s="382">
        <f t="shared" si="44"/>
        <v>0</v>
      </c>
      <c r="BB46" s="382">
        <f t="shared" si="44"/>
        <v>0</v>
      </c>
      <c r="BC46" s="382">
        <f t="shared" si="44"/>
        <v>0</v>
      </c>
      <c r="BD46" s="382">
        <f t="shared" si="44"/>
        <v>0</v>
      </c>
      <c r="BE46" s="382">
        <f t="shared" si="44"/>
        <v>0</v>
      </c>
      <c r="BF46" s="382">
        <f t="shared" si="44"/>
        <v>0</v>
      </c>
      <c r="BG46" s="382">
        <f t="shared" si="44"/>
        <v>0</v>
      </c>
      <c r="BH46" s="382">
        <f t="shared" si="44"/>
        <v>0</v>
      </c>
      <c r="BI46" s="382">
        <f t="shared" si="44"/>
        <v>0</v>
      </c>
      <c r="BJ46" s="382">
        <f t="shared" si="45"/>
        <v>0</v>
      </c>
      <c r="BK46" s="382">
        <f t="shared" si="45"/>
        <v>0</v>
      </c>
      <c r="BL46" s="382">
        <f t="shared" si="45"/>
        <v>0</v>
      </c>
      <c r="BM46" s="382">
        <f t="shared" si="45"/>
        <v>0</v>
      </c>
      <c r="BN46" s="382">
        <f t="shared" si="45"/>
        <v>0</v>
      </c>
      <c r="BO46" s="382">
        <f t="shared" si="45"/>
        <v>0</v>
      </c>
      <c r="BP46" s="382">
        <f t="shared" si="45"/>
        <v>0</v>
      </c>
      <c r="BQ46" s="382">
        <f t="shared" si="45"/>
        <v>0</v>
      </c>
      <c r="BR46" s="382">
        <f t="shared" si="45"/>
        <v>0</v>
      </c>
      <c r="BS46" s="382">
        <f t="shared" si="45"/>
        <v>0</v>
      </c>
      <c r="BT46" s="382">
        <f t="shared" si="46"/>
        <v>0</v>
      </c>
      <c r="BU46" s="382">
        <f t="shared" si="46"/>
        <v>0</v>
      </c>
      <c r="BV46" s="382">
        <f t="shared" si="46"/>
        <v>0</v>
      </c>
      <c r="BW46" s="382">
        <f t="shared" si="46"/>
        <v>0</v>
      </c>
      <c r="BX46" s="382">
        <f t="shared" si="46"/>
        <v>0</v>
      </c>
      <c r="BY46" s="382">
        <f t="shared" si="46"/>
        <v>0</v>
      </c>
      <c r="BZ46" s="382">
        <f t="shared" si="46"/>
        <v>0</v>
      </c>
      <c r="CA46" s="382">
        <f t="shared" si="46"/>
        <v>0</v>
      </c>
    </row>
    <row r="47" spans="2:79" ht="21" hidden="1" customHeight="1" outlineLevel="2">
      <c r="C47" s="370"/>
      <c r="D47" s="374">
        <f t="shared" si="40"/>
        <v>45535</v>
      </c>
      <c r="E47" s="408" cm="1">
        <f t="array" ref="E47">INDEX($AF$14:$CA$14,0,MATCH($D47,$AF$8:$CA$8,0))</f>
        <v>4862.5</v>
      </c>
      <c r="G47" s="359"/>
      <c r="H47" s="410">
        <f t="shared" si="33"/>
        <v>0</v>
      </c>
      <c r="I47" s="410">
        <f t="shared" si="33"/>
        <v>4862.5</v>
      </c>
      <c r="J47" s="410">
        <f t="shared" si="33"/>
        <v>0</v>
      </c>
      <c r="K47" s="410">
        <f t="shared" si="33"/>
        <v>0</v>
      </c>
      <c r="L47" s="410"/>
      <c r="M47" s="410"/>
      <c r="N47" s="410">
        <f t="shared" si="41"/>
        <v>0</v>
      </c>
      <c r="O47" s="410">
        <f t="shared" si="41"/>
        <v>0</v>
      </c>
      <c r="P47" s="410">
        <f t="shared" si="41"/>
        <v>0</v>
      </c>
      <c r="Q47" s="410">
        <f t="shared" si="41"/>
        <v>0</v>
      </c>
      <c r="R47" s="410">
        <f t="shared" si="41"/>
        <v>0</v>
      </c>
      <c r="S47" s="410">
        <f t="shared" si="41"/>
        <v>0</v>
      </c>
      <c r="T47" s="410">
        <f t="shared" si="41"/>
        <v>3241.6666666666665</v>
      </c>
      <c r="U47" s="410">
        <f t="shared" si="41"/>
        <v>1620.8333333333333</v>
      </c>
      <c r="V47" s="410">
        <f t="shared" si="41"/>
        <v>0</v>
      </c>
      <c r="W47" s="410">
        <f t="shared" si="41"/>
        <v>0</v>
      </c>
      <c r="X47" s="410">
        <f t="shared" si="41"/>
        <v>0</v>
      </c>
      <c r="Y47" s="410">
        <f t="shared" si="41"/>
        <v>0</v>
      </c>
      <c r="Z47" s="410">
        <f t="shared" si="41"/>
        <v>0</v>
      </c>
      <c r="AA47" s="410">
        <f t="shared" si="41"/>
        <v>0</v>
      </c>
      <c r="AB47" s="410">
        <f t="shared" si="41"/>
        <v>0</v>
      </c>
      <c r="AC47" s="410">
        <f t="shared" si="41"/>
        <v>0</v>
      </c>
      <c r="AD47" s="379"/>
      <c r="AE47" s="359"/>
      <c r="AF47" s="382">
        <f t="shared" si="42"/>
        <v>0</v>
      </c>
      <c r="AG47" s="382">
        <f t="shared" si="42"/>
        <v>0</v>
      </c>
      <c r="AH47" s="382">
        <f t="shared" si="42"/>
        <v>0</v>
      </c>
      <c r="AI47" s="382">
        <f t="shared" si="42"/>
        <v>0</v>
      </c>
      <c r="AJ47" s="382">
        <f t="shared" si="42"/>
        <v>0</v>
      </c>
      <c r="AK47" s="382">
        <f t="shared" si="42"/>
        <v>0</v>
      </c>
      <c r="AL47" s="382">
        <f t="shared" si="42"/>
        <v>0</v>
      </c>
      <c r="AM47" s="382">
        <f t="shared" si="42"/>
        <v>0</v>
      </c>
      <c r="AN47" s="382">
        <f t="shared" si="42"/>
        <v>0</v>
      </c>
      <c r="AO47" s="382">
        <f t="shared" si="42"/>
        <v>0</v>
      </c>
      <c r="AP47" s="382">
        <f t="shared" si="43"/>
        <v>0</v>
      </c>
      <c r="AQ47" s="382">
        <f t="shared" si="43"/>
        <v>0</v>
      </c>
      <c r="AR47" s="382">
        <f t="shared" si="43"/>
        <v>0</v>
      </c>
      <c r="AS47" s="382">
        <f t="shared" si="43"/>
        <v>0</v>
      </c>
      <c r="AT47" s="382">
        <f t="shared" si="43"/>
        <v>0</v>
      </c>
      <c r="AU47" s="382">
        <f t="shared" si="43"/>
        <v>0</v>
      </c>
      <c r="AV47" s="382">
        <f t="shared" si="43"/>
        <v>0</v>
      </c>
      <c r="AW47" s="382">
        <f t="shared" si="43"/>
        <v>0</v>
      </c>
      <c r="AX47" s="382">
        <f t="shared" si="43"/>
        <v>0</v>
      </c>
      <c r="AY47" s="382">
        <f t="shared" si="43"/>
        <v>1620.8333333333333</v>
      </c>
      <c r="AZ47" s="382">
        <f t="shared" si="44"/>
        <v>1620.8333333333333</v>
      </c>
      <c r="BA47" s="382">
        <f t="shared" si="44"/>
        <v>1620.8333333333333</v>
      </c>
      <c r="BB47" s="382">
        <f t="shared" si="44"/>
        <v>0</v>
      </c>
      <c r="BC47" s="382">
        <f t="shared" si="44"/>
        <v>0</v>
      </c>
      <c r="BD47" s="382">
        <f t="shared" si="44"/>
        <v>0</v>
      </c>
      <c r="BE47" s="382">
        <f t="shared" si="44"/>
        <v>0</v>
      </c>
      <c r="BF47" s="382">
        <f t="shared" si="44"/>
        <v>0</v>
      </c>
      <c r="BG47" s="382">
        <f t="shared" si="44"/>
        <v>0</v>
      </c>
      <c r="BH47" s="382">
        <f t="shared" si="44"/>
        <v>0</v>
      </c>
      <c r="BI47" s="382">
        <f t="shared" si="44"/>
        <v>0</v>
      </c>
      <c r="BJ47" s="382">
        <f t="shared" si="45"/>
        <v>0</v>
      </c>
      <c r="BK47" s="382">
        <f t="shared" si="45"/>
        <v>0</v>
      </c>
      <c r="BL47" s="382">
        <f t="shared" si="45"/>
        <v>0</v>
      </c>
      <c r="BM47" s="382">
        <f t="shared" si="45"/>
        <v>0</v>
      </c>
      <c r="BN47" s="382">
        <f t="shared" si="45"/>
        <v>0</v>
      </c>
      <c r="BO47" s="382">
        <f t="shared" si="45"/>
        <v>0</v>
      </c>
      <c r="BP47" s="382">
        <f t="shared" si="45"/>
        <v>0</v>
      </c>
      <c r="BQ47" s="382">
        <f t="shared" si="45"/>
        <v>0</v>
      </c>
      <c r="BR47" s="382">
        <f t="shared" si="45"/>
        <v>0</v>
      </c>
      <c r="BS47" s="382">
        <f t="shared" si="45"/>
        <v>0</v>
      </c>
      <c r="BT47" s="382">
        <f t="shared" si="46"/>
        <v>0</v>
      </c>
      <c r="BU47" s="382">
        <f t="shared" si="46"/>
        <v>0</v>
      </c>
      <c r="BV47" s="382">
        <f t="shared" si="46"/>
        <v>0</v>
      </c>
      <c r="BW47" s="382">
        <f t="shared" si="46"/>
        <v>0</v>
      </c>
      <c r="BX47" s="382">
        <f t="shared" si="46"/>
        <v>0</v>
      </c>
      <c r="BY47" s="382">
        <f t="shared" si="46"/>
        <v>0</v>
      </c>
      <c r="BZ47" s="382">
        <f t="shared" si="46"/>
        <v>0</v>
      </c>
      <c r="CA47" s="382">
        <f t="shared" si="46"/>
        <v>0</v>
      </c>
    </row>
    <row r="48" spans="2:79" ht="21" hidden="1" customHeight="1" outlineLevel="2">
      <c r="C48" s="370"/>
      <c r="D48" s="374">
        <f t="shared" si="40"/>
        <v>45565</v>
      </c>
      <c r="E48" s="408" cm="1">
        <f t="array" ref="E48">INDEX($AF$14:$CA$14,0,MATCH($D48,$AF$8:$CA$8,0))</f>
        <v>0</v>
      </c>
      <c r="G48" s="359"/>
      <c r="H48" s="410">
        <f t="shared" ref="H48:K67" si="47">SUMIFS($AF48:$CA48,$AF$4:$CA$4,"&gt;="&amp;H$4,$AF$5:$CA$5,"&lt;="&amp;H$5)</f>
        <v>0</v>
      </c>
      <c r="I48" s="410">
        <f t="shared" si="47"/>
        <v>0</v>
      </c>
      <c r="J48" s="410">
        <f t="shared" si="47"/>
        <v>0</v>
      </c>
      <c r="K48" s="410">
        <f t="shared" si="47"/>
        <v>0</v>
      </c>
      <c r="L48" s="410"/>
      <c r="M48" s="410"/>
      <c r="N48" s="410">
        <f t="shared" ref="N48:AC57" si="48">SUMIFS($AF48:$CA48,$AF$4:$CA$4,"&gt;="&amp;N$4,$AF$5:$CA$5,"&lt;="&amp;N$5)</f>
        <v>0</v>
      </c>
      <c r="O48" s="410">
        <f t="shared" si="48"/>
        <v>0</v>
      </c>
      <c r="P48" s="410">
        <f t="shared" si="48"/>
        <v>0</v>
      </c>
      <c r="Q48" s="410">
        <f t="shared" si="48"/>
        <v>0</v>
      </c>
      <c r="R48" s="410">
        <f t="shared" si="48"/>
        <v>0</v>
      </c>
      <c r="S48" s="410">
        <f t="shared" si="48"/>
        <v>0</v>
      </c>
      <c r="T48" s="410">
        <f t="shared" si="48"/>
        <v>0</v>
      </c>
      <c r="U48" s="410">
        <f t="shared" si="48"/>
        <v>0</v>
      </c>
      <c r="V48" s="410">
        <f t="shared" si="48"/>
        <v>0</v>
      </c>
      <c r="W48" s="410">
        <f t="shared" si="48"/>
        <v>0</v>
      </c>
      <c r="X48" s="410">
        <f t="shared" si="48"/>
        <v>0</v>
      </c>
      <c r="Y48" s="410">
        <f t="shared" si="48"/>
        <v>0</v>
      </c>
      <c r="Z48" s="410">
        <f t="shared" si="48"/>
        <v>0</v>
      </c>
      <c r="AA48" s="410">
        <f t="shared" si="48"/>
        <v>0</v>
      </c>
      <c r="AB48" s="410">
        <f t="shared" si="48"/>
        <v>0</v>
      </c>
      <c r="AC48" s="410">
        <f t="shared" si="48"/>
        <v>0</v>
      </c>
      <c r="AD48" s="379"/>
      <c r="AE48" s="359"/>
      <c r="AF48" s="382">
        <f t="shared" ref="AF48:AO57" si="49">IF(AND(AF$8&gt;=$D48,(MATCH(AF$8,$AF$8:$CA$8,0)-MATCH($D48,$AF$8:$CA$8,0))&lt;3),$E48/3,0)</f>
        <v>0</v>
      </c>
      <c r="AG48" s="382">
        <f t="shared" si="49"/>
        <v>0</v>
      </c>
      <c r="AH48" s="382">
        <f t="shared" si="49"/>
        <v>0</v>
      </c>
      <c r="AI48" s="382">
        <f t="shared" si="49"/>
        <v>0</v>
      </c>
      <c r="AJ48" s="382">
        <f t="shared" si="49"/>
        <v>0</v>
      </c>
      <c r="AK48" s="382">
        <f t="shared" si="49"/>
        <v>0</v>
      </c>
      <c r="AL48" s="382">
        <f t="shared" si="49"/>
        <v>0</v>
      </c>
      <c r="AM48" s="382">
        <f t="shared" si="49"/>
        <v>0</v>
      </c>
      <c r="AN48" s="382">
        <f t="shared" si="49"/>
        <v>0</v>
      </c>
      <c r="AO48" s="382">
        <f t="shared" si="49"/>
        <v>0</v>
      </c>
      <c r="AP48" s="382">
        <f t="shared" ref="AP48:AY57" si="50">IF(AND(AP$8&gt;=$D48,(MATCH(AP$8,$AF$8:$CA$8,0)-MATCH($D48,$AF$8:$CA$8,0))&lt;3),$E48/3,0)</f>
        <v>0</v>
      </c>
      <c r="AQ48" s="382">
        <f t="shared" si="50"/>
        <v>0</v>
      </c>
      <c r="AR48" s="382">
        <f t="shared" si="50"/>
        <v>0</v>
      </c>
      <c r="AS48" s="382">
        <f t="shared" si="50"/>
        <v>0</v>
      </c>
      <c r="AT48" s="382">
        <f t="shared" si="50"/>
        <v>0</v>
      </c>
      <c r="AU48" s="382">
        <f t="shared" si="50"/>
        <v>0</v>
      </c>
      <c r="AV48" s="382">
        <f t="shared" si="50"/>
        <v>0</v>
      </c>
      <c r="AW48" s="382">
        <f t="shared" si="50"/>
        <v>0</v>
      </c>
      <c r="AX48" s="382">
        <f t="shared" si="50"/>
        <v>0</v>
      </c>
      <c r="AY48" s="382">
        <f t="shared" si="50"/>
        <v>0</v>
      </c>
      <c r="AZ48" s="382">
        <f t="shared" ref="AZ48:BI57" si="51">IF(AND(AZ$8&gt;=$D48,(MATCH(AZ$8,$AF$8:$CA$8,0)-MATCH($D48,$AF$8:$CA$8,0))&lt;3),$E48/3,0)</f>
        <v>0</v>
      </c>
      <c r="BA48" s="382">
        <f t="shared" si="51"/>
        <v>0</v>
      </c>
      <c r="BB48" s="382">
        <f t="shared" si="51"/>
        <v>0</v>
      </c>
      <c r="BC48" s="382">
        <f t="shared" si="51"/>
        <v>0</v>
      </c>
      <c r="BD48" s="382">
        <f t="shared" si="51"/>
        <v>0</v>
      </c>
      <c r="BE48" s="382">
        <f t="shared" si="51"/>
        <v>0</v>
      </c>
      <c r="BF48" s="382">
        <f t="shared" si="51"/>
        <v>0</v>
      </c>
      <c r="BG48" s="382">
        <f t="shared" si="51"/>
        <v>0</v>
      </c>
      <c r="BH48" s="382">
        <f t="shared" si="51"/>
        <v>0</v>
      </c>
      <c r="BI48" s="382">
        <f t="shared" si="51"/>
        <v>0</v>
      </c>
      <c r="BJ48" s="382">
        <f t="shared" ref="BJ48:BS57" si="52">IF(AND(BJ$8&gt;=$D48,(MATCH(BJ$8,$AF$8:$CA$8,0)-MATCH($D48,$AF$8:$CA$8,0))&lt;3),$E48/3,0)</f>
        <v>0</v>
      </c>
      <c r="BK48" s="382">
        <f t="shared" si="52"/>
        <v>0</v>
      </c>
      <c r="BL48" s="382">
        <f t="shared" si="52"/>
        <v>0</v>
      </c>
      <c r="BM48" s="382">
        <f t="shared" si="52"/>
        <v>0</v>
      </c>
      <c r="BN48" s="382">
        <f t="shared" si="52"/>
        <v>0</v>
      </c>
      <c r="BO48" s="382">
        <f t="shared" si="52"/>
        <v>0</v>
      </c>
      <c r="BP48" s="382">
        <f t="shared" si="52"/>
        <v>0</v>
      </c>
      <c r="BQ48" s="382">
        <f t="shared" si="52"/>
        <v>0</v>
      </c>
      <c r="BR48" s="382">
        <f t="shared" si="52"/>
        <v>0</v>
      </c>
      <c r="BS48" s="382">
        <f t="shared" si="52"/>
        <v>0</v>
      </c>
      <c r="BT48" s="382">
        <f t="shared" ref="BT48:CA57" si="53">IF(AND(BT$8&gt;=$D48,(MATCH(BT$8,$AF$8:$CA$8,0)-MATCH($D48,$AF$8:$CA$8,0))&lt;3),$E48/3,0)</f>
        <v>0</v>
      </c>
      <c r="BU48" s="382">
        <f t="shared" si="53"/>
        <v>0</v>
      </c>
      <c r="BV48" s="382">
        <f t="shared" si="53"/>
        <v>0</v>
      </c>
      <c r="BW48" s="382">
        <f t="shared" si="53"/>
        <v>0</v>
      </c>
      <c r="BX48" s="382">
        <f t="shared" si="53"/>
        <v>0</v>
      </c>
      <c r="BY48" s="382">
        <f t="shared" si="53"/>
        <v>0</v>
      </c>
      <c r="BZ48" s="382">
        <f t="shared" si="53"/>
        <v>0</v>
      </c>
      <c r="CA48" s="382">
        <f t="shared" si="53"/>
        <v>0</v>
      </c>
    </row>
    <row r="49" spans="3:79" ht="21" hidden="1" customHeight="1" outlineLevel="2">
      <c r="C49" s="370"/>
      <c r="D49" s="374">
        <f t="shared" si="40"/>
        <v>45596</v>
      </c>
      <c r="E49" s="408" cm="1">
        <f t="array" ref="E49">INDEX($AF$14:$CA$14,0,MATCH($D49,$AF$8:$CA$8,0))</f>
        <v>16350</v>
      </c>
      <c r="G49" s="359"/>
      <c r="H49" s="410">
        <f t="shared" si="47"/>
        <v>0</v>
      </c>
      <c r="I49" s="410">
        <f t="shared" si="47"/>
        <v>16350</v>
      </c>
      <c r="J49" s="410">
        <f t="shared" si="47"/>
        <v>0</v>
      </c>
      <c r="K49" s="410">
        <f t="shared" si="47"/>
        <v>0</v>
      </c>
      <c r="L49" s="410"/>
      <c r="M49" s="410"/>
      <c r="N49" s="410">
        <f t="shared" si="48"/>
        <v>0</v>
      </c>
      <c r="O49" s="410">
        <f t="shared" si="48"/>
        <v>0</v>
      </c>
      <c r="P49" s="410">
        <f t="shared" si="48"/>
        <v>0</v>
      </c>
      <c r="Q49" s="410">
        <f t="shared" si="48"/>
        <v>0</v>
      </c>
      <c r="R49" s="410">
        <f t="shared" si="48"/>
        <v>0</v>
      </c>
      <c r="S49" s="410">
        <f t="shared" si="48"/>
        <v>0</v>
      </c>
      <c r="T49" s="410">
        <f t="shared" si="48"/>
        <v>0</v>
      </c>
      <c r="U49" s="410">
        <f t="shared" si="48"/>
        <v>16350</v>
      </c>
      <c r="V49" s="410">
        <f t="shared" si="48"/>
        <v>0</v>
      </c>
      <c r="W49" s="410">
        <f t="shared" si="48"/>
        <v>0</v>
      </c>
      <c r="X49" s="410">
        <f t="shared" si="48"/>
        <v>0</v>
      </c>
      <c r="Y49" s="410">
        <f t="shared" si="48"/>
        <v>0</v>
      </c>
      <c r="Z49" s="410">
        <f t="shared" si="48"/>
        <v>0</v>
      </c>
      <c r="AA49" s="410">
        <f t="shared" si="48"/>
        <v>0</v>
      </c>
      <c r="AB49" s="410">
        <f t="shared" si="48"/>
        <v>0</v>
      </c>
      <c r="AC49" s="410">
        <f t="shared" si="48"/>
        <v>0</v>
      </c>
      <c r="AD49" s="379"/>
      <c r="AE49" s="359"/>
      <c r="AF49" s="382">
        <f t="shared" si="49"/>
        <v>0</v>
      </c>
      <c r="AG49" s="382">
        <f t="shared" si="49"/>
        <v>0</v>
      </c>
      <c r="AH49" s="382">
        <f t="shared" si="49"/>
        <v>0</v>
      </c>
      <c r="AI49" s="382">
        <f t="shared" si="49"/>
        <v>0</v>
      </c>
      <c r="AJ49" s="382">
        <f t="shared" si="49"/>
        <v>0</v>
      </c>
      <c r="AK49" s="382">
        <f t="shared" si="49"/>
        <v>0</v>
      </c>
      <c r="AL49" s="382">
        <f t="shared" si="49"/>
        <v>0</v>
      </c>
      <c r="AM49" s="382">
        <f t="shared" si="49"/>
        <v>0</v>
      </c>
      <c r="AN49" s="382">
        <f t="shared" si="49"/>
        <v>0</v>
      </c>
      <c r="AO49" s="382">
        <f t="shared" si="49"/>
        <v>0</v>
      </c>
      <c r="AP49" s="382">
        <f t="shared" si="50"/>
        <v>0</v>
      </c>
      <c r="AQ49" s="382">
        <f t="shared" si="50"/>
        <v>0</v>
      </c>
      <c r="AR49" s="382">
        <f t="shared" si="50"/>
        <v>0</v>
      </c>
      <c r="AS49" s="382">
        <f t="shared" si="50"/>
        <v>0</v>
      </c>
      <c r="AT49" s="382">
        <f t="shared" si="50"/>
        <v>0</v>
      </c>
      <c r="AU49" s="382">
        <f t="shared" si="50"/>
        <v>0</v>
      </c>
      <c r="AV49" s="382">
        <f t="shared" si="50"/>
        <v>0</v>
      </c>
      <c r="AW49" s="382">
        <f t="shared" si="50"/>
        <v>0</v>
      </c>
      <c r="AX49" s="382">
        <f t="shared" si="50"/>
        <v>0</v>
      </c>
      <c r="AY49" s="382">
        <f t="shared" si="50"/>
        <v>0</v>
      </c>
      <c r="AZ49" s="382">
        <f t="shared" si="51"/>
        <v>0</v>
      </c>
      <c r="BA49" s="382">
        <f t="shared" si="51"/>
        <v>5450</v>
      </c>
      <c r="BB49" s="382">
        <f t="shared" si="51"/>
        <v>5450</v>
      </c>
      <c r="BC49" s="382">
        <f t="shared" si="51"/>
        <v>5450</v>
      </c>
      <c r="BD49" s="382">
        <f t="shared" si="51"/>
        <v>0</v>
      </c>
      <c r="BE49" s="382">
        <f t="shared" si="51"/>
        <v>0</v>
      </c>
      <c r="BF49" s="382">
        <f t="shared" si="51"/>
        <v>0</v>
      </c>
      <c r="BG49" s="382">
        <f t="shared" si="51"/>
        <v>0</v>
      </c>
      <c r="BH49" s="382">
        <f t="shared" si="51"/>
        <v>0</v>
      </c>
      <c r="BI49" s="382">
        <f t="shared" si="51"/>
        <v>0</v>
      </c>
      <c r="BJ49" s="382">
        <f t="shared" si="52"/>
        <v>0</v>
      </c>
      <c r="BK49" s="382">
        <f t="shared" si="52"/>
        <v>0</v>
      </c>
      <c r="BL49" s="382">
        <f t="shared" si="52"/>
        <v>0</v>
      </c>
      <c r="BM49" s="382">
        <f t="shared" si="52"/>
        <v>0</v>
      </c>
      <c r="BN49" s="382">
        <f t="shared" si="52"/>
        <v>0</v>
      </c>
      <c r="BO49" s="382">
        <f t="shared" si="52"/>
        <v>0</v>
      </c>
      <c r="BP49" s="382">
        <f t="shared" si="52"/>
        <v>0</v>
      </c>
      <c r="BQ49" s="382">
        <f t="shared" si="52"/>
        <v>0</v>
      </c>
      <c r="BR49" s="382">
        <f t="shared" si="52"/>
        <v>0</v>
      </c>
      <c r="BS49" s="382">
        <f t="shared" si="52"/>
        <v>0</v>
      </c>
      <c r="BT49" s="382">
        <f t="shared" si="53"/>
        <v>0</v>
      </c>
      <c r="BU49" s="382">
        <f t="shared" si="53"/>
        <v>0</v>
      </c>
      <c r="BV49" s="382">
        <f t="shared" si="53"/>
        <v>0</v>
      </c>
      <c r="BW49" s="382">
        <f t="shared" si="53"/>
        <v>0</v>
      </c>
      <c r="BX49" s="382">
        <f t="shared" si="53"/>
        <v>0</v>
      </c>
      <c r="BY49" s="382">
        <f t="shared" si="53"/>
        <v>0</v>
      </c>
      <c r="BZ49" s="382">
        <f t="shared" si="53"/>
        <v>0</v>
      </c>
      <c r="CA49" s="382">
        <f t="shared" si="53"/>
        <v>0</v>
      </c>
    </row>
    <row r="50" spans="3:79" ht="21" hidden="1" customHeight="1" outlineLevel="2">
      <c r="C50" s="370"/>
      <c r="D50" s="374">
        <f t="shared" si="40"/>
        <v>45626</v>
      </c>
      <c r="E50" s="408" cm="1">
        <f t="array" ref="E50">INDEX($AF$14:$CA$14,0,MATCH($D50,$AF$8:$CA$8,0))</f>
        <v>4862.5</v>
      </c>
      <c r="G50" s="359"/>
      <c r="H50" s="410">
        <f t="shared" si="47"/>
        <v>0</v>
      </c>
      <c r="I50" s="410">
        <f t="shared" si="47"/>
        <v>3241.6666666666665</v>
      </c>
      <c r="J50" s="410">
        <f t="shared" si="47"/>
        <v>1620.8333333333333</v>
      </c>
      <c r="K50" s="410">
        <f t="shared" si="47"/>
        <v>0</v>
      </c>
      <c r="L50" s="410"/>
      <c r="M50" s="410"/>
      <c r="N50" s="410">
        <f t="shared" si="48"/>
        <v>0</v>
      </c>
      <c r="O50" s="410">
        <f t="shared" si="48"/>
        <v>0</v>
      </c>
      <c r="P50" s="410">
        <f t="shared" si="48"/>
        <v>0</v>
      </c>
      <c r="Q50" s="410">
        <f t="shared" si="48"/>
        <v>0</v>
      </c>
      <c r="R50" s="410">
        <f t="shared" si="48"/>
        <v>0</v>
      </c>
      <c r="S50" s="410">
        <f t="shared" si="48"/>
        <v>0</v>
      </c>
      <c r="T50" s="410">
        <f t="shared" si="48"/>
        <v>0</v>
      </c>
      <c r="U50" s="410">
        <f t="shared" si="48"/>
        <v>3241.6666666666665</v>
      </c>
      <c r="V50" s="410">
        <f t="shared" si="48"/>
        <v>1620.8333333333333</v>
      </c>
      <c r="W50" s="410">
        <f t="shared" si="48"/>
        <v>0</v>
      </c>
      <c r="X50" s="410">
        <f t="shared" si="48"/>
        <v>0</v>
      </c>
      <c r="Y50" s="410">
        <f t="shared" si="48"/>
        <v>0</v>
      </c>
      <c r="Z50" s="410">
        <f t="shared" si="48"/>
        <v>0</v>
      </c>
      <c r="AA50" s="410">
        <f t="shared" si="48"/>
        <v>0</v>
      </c>
      <c r="AB50" s="410">
        <f t="shared" si="48"/>
        <v>0</v>
      </c>
      <c r="AC50" s="410">
        <f t="shared" si="48"/>
        <v>0</v>
      </c>
      <c r="AD50" s="379"/>
      <c r="AE50" s="359"/>
      <c r="AF50" s="382">
        <f t="shared" si="49"/>
        <v>0</v>
      </c>
      <c r="AG50" s="382">
        <f t="shared" si="49"/>
        <v>0</v>
      </c>
      <c r="AH50" s="382">
        <f t="shared" si="49"/>
        <v>0</v>
      </c>
      <c r="AI50" s="382">
        <f t="shared" si="49"/>
        <v>0</v>
      </c>
      <c r="AJ50" s="382">
        <f t="shared" si="49"/>
        <v>0</v>
      </c>
      <c r="AK50" s="382">
        <f t="shared" si="49"/>
        <v>0</v>
      </c>
      <c r="AL50" s="382">
        <f t="shared" si="49"/>
        <v>0</v>
      </c>
      <c r="AM50" s="382">
        <f t="shared" si="49"/>
        <v>0</v>
      </c>
      <c r="AN50" s="382">
        <f t="shared" si="49"/>
        <v>0</v>
      </c>
      <c r="AO50" s="382">
        <f t="shared" si="49"/>
        <v>0</v>
      </c>
      <c r="AP50" s="382">
        <f t="shared" si="50"/>
        <v>0</v>
      </c>
      <c r="AQ50" s="382">
        <f t="shared" si="50"/>
        <v>0</v>
      </c>
      <c r="AR50" s="382">
        <f t="shared" si="50"/>
        <v>0</v>
      </c>
      <c r="AS50" s="382">
        <f t="shared" si="50"/>
        <v>0</v>
      </c>
      <c r="AT50" s="382">
        <f t="shared" si="50"/>
        <v>0</v>
      </c>
      <c r="AU50" s="382">
        <f t="shared" si="50"/>
        <v>0</v>
      </c>
      <c r="AV50" s="382">
        <f t="shared" si="50"/>
        <v>0</v>
      </c>
      <c r="AW50" s="382">
        <f t="shared" si="50"/>
        <v>0</v>
      </c>
      <c r="AX50" s="382">
        <f t="shared" si="50"/>
        <v>0</v>
      </c>
      <c r="AY50" s="382">
        <f t="shared" si="50"/>
        <v>0</v>
      </c>
      <c r="AZ50" s="382">
        <f t="shared" si="51"/>
        <v>0</v>
      </c>
      <c r="BA50" s="382">
        <f t="shared" si="51"/>
        <v>0</v>
      </c>
      <c r="BB50" s="382">
        <f t="shared" si="51"/>
        <v>1620.8333333333333</v>
      </c>
      <c r="BC50" s="382">
        <f t="shared" si="51"/>
        <v>1620.8333333333333</v>
      </c>
      <c r="BD50" s="382">
        <f t="shared" si="51"/>
        <v>1620.8333333333333</v>
      </c>
      <c r="BE50" s="382">
        <f t="shared" si="51"/>
        <v>0</v>
      </c>
      <c r="BF50" s="382">
        <f t="shared" si="51"/>
        <v>0</v>
      </c>
      <c r="BG50" s="382">
        <f t="shared" si="51"/>
        <v>0</v>
      </c>
      <c r="BH50" s="382">
        <f t="shared" si="51"/>
        <v>0</v>
      </c>
      <c r="BI50" s="382">
        <f t="shared" si="51"/>
        <v>0</v>
      </c>
      <c r="BJ50" s="382">
        <f t="shared" si="52"/>
        <v>0</v>
      </c>
      <c r="BK50" s="382">
        <f t="shared" si="52"/>
        <v>0</v>
      </c>
      <c r="BL50" s="382">
        <f t="shared" si="52"/>
        <v>0</v>
      </c>
      <c r="BM50" s="382">
        <f t="shared" si="52"/>
        <v>0</v>
      </c>
      <c r="BN50" s="382">
        <f t="shared" si="52"/>
        <v>0</v>
      </c>
      <c r="BO50" s="382">
        <f t="shared" si="52"/>
        <v>0</v>
      </c>
      <c r="BP50" s="382">
        <f t="shared" si="52"/>
        <v>0</v>
      </c>
      <c r="BQ50" s="382">
        <f t="shared" si="52"/>
        <v>0</v>
      </c>
      <c r="BR50" s="382">
        <f t="shared" si="52"/>
        <v>0</v>
      </c>
      <c r="BS50" s="382">
        <f t="shared" si="52"/>
        <v>0</v>
      </c>
      <c r="BT50" s="382">
        <f t="shared" si="53"/>
        <v>0</v>
      </c>
      <c r="BU50" s="382">
        <f t="shared" si="53"/>
        <v>0</v>
      </c>
      <c r="BV50" s="382">
        <f t="shared" si="53"/>
        <v>0</v>
      </c>
      <c r="BW50" s="382">
        <f t="shared" si="53"/>
        <v>0</v>
      </c>
      <c r="BX50" s="382">
        <f t="shared" si="53"/>
        <v>0</v>
      </c>
      <c r="BY50" s="382">
        <f t="shared" si="53"/>
        <v>0</v>
      </c>
      <c r="BZ50" s="382">
        <f t="shared" si="53"/>
        <v>0</v>
      </c>
      <c r="CA50" s="382">
        <f t="shared" si="53"/>
        <v>0</v>
      </c>
    </row>
    <row r="51" spans="3:79" ht="21" hidden="1" customHeight="1" outlineLevel="2">
      <c r="C51" s="370"/>
      <c r="D51" s="374">
        <f t="shared" si="40"/>
        <v>45657</v>
      </c>
      <c r="E51" s="408" cm="1">
        <f t="array" ref="E51">INDEX($AF$14:$CA$14,0,MATCH($D51,$AF$8:$CA$8,0))</f>
        <v>0</v>
      </c>
      <c r="G51" s="359"/>
      <c r="H51" s="410">
        <f t="shared" si="47"/>
        <v>0</v>
      </c>
      <c r="I51" s="410">
        <f t="shared" si="47"/>
        <v>0</v>
      </c>
      <c r="J51" s="410">
        <f t="shared" si="47"/>
        <v>0</v>
      </c>
      <c r="K51" s="410">
        <f t="shared" si="47"/>
        <v>0</v>
      </c>
      <c r="L51" s="410"/>
      <c r="M51" s="410"/>
      <c r="N51" s="410">
        <f t="shared" si="48"/>
        <v>0</v>
      </c>
      <c r="O51" s="410">
        <f t="shared" si="48"/>
        <v>0</v>
      </c>
      <c r="P51" s="410">
        <f t="shared" si="48"/>
        <v>0</v>
      </c>
      <c r="Q51" s="410">
        <f t="shared" si="48"/>
        <v>0</v>
      </c>
      <c r="R51" s="410">
        <f t="shared" si="48"/>
        <v>0</v>
      </c>
      <c r="S51" s="410">
        <f t="shared" si="48"/>
        <v>0</v>
      </c>
      <c r="T51" s="410">
        <f t="shared" si="48"/>
        <v>0</v>
      </c>
      <c r="U51" s="410">
        <f t="shared" si="48"/>
        <v>0</v>
      </c>
      <c r="V51" s="410">
        <f t="shared" si="48"/>
        <v>0</v>
      </c>
      <c r="W51" s="410">
        <f t="shared" si="48"/>
        <v>0</v>
      </c>
      <c r="X51" s="410">
        <f t="shared" si="48"/>
        <v>0</v>
      </c>
      <c r="Y51" s="410">
        <f t="shared" si="48"/>
        <v>0</v>
      </c>
      <c r="Z51" s="410">
        <f t="shared" si="48"/>
        <v>0</v>
      </c>
      <c r="AA51" s="410">
        <f t="shared" si="48"/>
        <v>0</v>
      </c>
      <c r="AB51" s="410">
        <f t="shared" si="48"/>
        <v>0</v>
      </c>
      <c r="AC51" s="410">
        <f t="shared" si="48"/>
        <v>0</v>
      </c>
      <c r="AD51" s="379"/>
      <c r="AE51" s="359"/>
      <c r="AF51" s="382">
        <f t="shared" si="49"/>
        <v>0</v>
      </c>
      <c r="AG51" s="382">
        <f t="shared" si="49"/>
        <v>0</v>
      </c>
      <c r="AH51" s="382">
        <f t="shared" si="49"/>
        <v>0</v>
      </c>
      <c r="AI51" s="382">
        <f t="shared" si="49"/>
        <v>0</v>
      </c>
      <c r="AJ51" s="382">
        <f t="shared" si="49"/>
        <v>0</v>
      </c>
      <c r="AK51" s="382">
        <f t="shared" si="49"/>
        <v>0</v>
      </c>
      <c r="AL51" s="382">
        <f t="shared" si="49"/>
        <v>0</v>
      </c>
      <c r="AM51" s="382">
        <f t="shared" si="49"/>
        <v>0</v>
      </c>
      <c r="AN51" s="382">
        <f t="shared" si="49"/>
        <v>0</v>
      </c>
      <c r="AO51" s="382">
        <f t="shared" si="49"/>
        <v>0</v>
      </c>
      <c r="AP51" s="382">
        <f t="shared" si="50"/>
        <v>0</v>
      </c>
      <c r="AQ51" s="382">
        <f t="shared" si="50"/>
        <v>0</v>
      </c>
      <c r="AR51" s="382">
        <f t="shared" si="50"/>
        <v>0</v>
      </c>
      <c r="AS51" s="382">
        <f t="shared" si="50"/>
        <v>0</v>
      </c>
      <c r="AT51" s="382">
        <f t="shared" si="50"/>
        <v>0</v>
      </c>
      <c r="AU51" s="382">
        <f t="shared" si="50"/>
        <v>0</v>
      </c>
      <c r="AV51" s="382">
        <f t="shared" si="50"/>
        <v>0</v>
      </c>
      <c r="AW51" s="382">
        <f t="shared" si="50"/>
        <v>0</v>
      </c>
      <c r="AX51" s="382">
        <f t="shared" si="50"/>
        <v>0</v>
      </c>
      <c r="AY51" s="382">
        <f t="shared" si="50"/>
        <v>0</v>
      </c>
      <c r="AZ51" s="382">
        <f t="shared" si="51"/>
        <v>0</v>
      </c>
      <c r="BA51" s="382">
        <f t="shared" si="51"/>
        <v>0</v>
      </c>
      <c r="BB51" s="382">
        <f t="shared" si="51"/>
        <v>0</v>
      </c>
      <c r="BC51" s="382">
        <f t="shared" si="51"/>
        <v>0</v>
      </c>
      <c r="BD51" s="382">
        <f t="shared" si="51"/>
        <v>0</v>
      </c>
      <c r="BE51" s="382">
        <f t="shared" si="51"/>
        <v>0</v>
      </c>
      <c r="BF51" s="382">
        <f t="shared" si="51"/>
        <v>0</v>
      </c>
      <c r="BG51" s="382">
        <f t="shared" si="51"/>
        <v>0</v>
      </c>
      <c r="BH51" s="382">
        <f t="shared" si="51"/>
        <v>0</v>
      </c>
      <c r="BI51" s="382">
        <f t="shared" si="51"/>
        <v>0</v>
      </c>
      <c r="BJ51" s="382">
        <f t="shared" si="52"/>
        <v>0</v>
      </c>
      <c r="BK51" s="382">
        <f t="shared" si="52"/>
        <v>0</v>
      </c>
      <c r="BL51" s="382">
        <f t="shared" si="52"/>
        <v>0</v>
      </c>
      <c r="BM51" s="382">
        <f t="shared" si="52"/>
        <v>0</v>
      </c>
      <c r="BN51" s="382">
        <f t="shared" si="52"/>
        <v>0</v>
      </c>
      <c r="BO51" s="382">
        <f t="shared" si="52"/>
        <v>0</v>
      </c>
      <c r="BP51" s="382">
        <f t="shared" si="52"/>
        <v>0</v>
      </c>
      <c r="BQ51" s="382">
        <f t="shared" si="52"/>
        <v>0</v>
      </c>
      <c r="BR51" s="382">
        <f t="shared" si="52"/>
        <v>0</v>
      </c>
      <c r="BS51" s="382">
        <f t="shared" si="52"/>
        <v>0</v>
      </c>
      <c r="BT51" s="382">
        <f t="shared" si="53"/>
        <v>0</v>
      </c>
      <c r="BU51" s="382">
        <f t="shared" si="53"/>
        <v>0</v>
      </c>
      <c r="BV51" s="382">
        <f t="shared" si="53"/>
        <v>0</v>
      </c>
      <c r="BW51" s="382">
        <f t="shared" si="53"/>
        <v>0</v>
      </c>
      <c r="BX51" s="382">
        <f t="shared" si="53"/>
        <v>0</v>
      </c>
      <c r="BY51" s="382">
        <f t="shared" si="53"/>
        <v>0</v>
      </c>
      <c r="BZ51" s="382">
        <f t="shared" si="53"/>
        <v>0</v>
      </c>
      <c r="CA51" s="382">
        <f t="shared" si="53"/>
        <v>0</v>
      </c>
    </row>
    <row r="52" spans="3:79" ht="21" hidden="1" customHeight="1" outlineLevel="2">
      <c r="C52" s="370"/>
      <c r="D52" s="374">
        <f t="shared" si="40"/>
        <v>45688</v>
      </c>
      <c r="E52" s="408" cm="1">
        <f t="array" ref="E52">INDEX($AF$14:$CA$14,0,MATCH($D52,$AF$8:$CA$8,0))</f>
        <v>16350</v>
      </c>
      <c r="G52" s="359"/>
      <c r="H52" s="410">
        <f t="shared" si="47"/>
        <v>0</v>
      </c>
      <c r="I52" s="410">
        <f t="shared" si="47"/>
        <v>0</v>
      </c>
      <c r="J52" s="410">
        <f t="shared" si="47"/>
        <v>16350</v>
      </c>
      <c r="K52" s="410">
        <f t="shared" si="47"/>
        <v>0</v>
      </c>
      <c r="L52" s="410"/>
      <c r="M52" s="410"/>
      <c r="N52" s="410">
        <f t="shared" si="48"/>
        <v>0</v>
      </c>
      <c r="O52" s="410">
        <f t="shared" si="48"/>
        <v>0</v>
      </c>
      <c r="P52" s="410">
        <f t="shared" si="48"/>
        <v>0</v>
      </c>
      <c r="Q52" s="410">
        <f t="shared" si="48"/>
        <v>0</v>
      </c>
      <c r="R52" s="410">
        <f t="shared" si="48"/>
        <v>0</v>
      </c>
      <c r="S52" s="410">
        <f t="shared" si="48"/>
        <v>0</v>
      </c>
      <c r="T52" s="410">
        <f t="shared" si="48"/>
        <v>0</v>
      </c>
      <c r="U52" s="410">
        <f t="shared" si="48"/>
        <v>0</v>
      </c>
      <c r="V52" s="410">
        <f t="shared" si="48"/>
        <v>16350</v>
      </c>
      <c r="W52" s="410">
        <f t="shared" si="48"/>
        <v>0</v>
      </c>
      <c r="X52" s="410">
        <f t="shared" si="48"/>
        <v>0</v>
      </c>
      <c r="Y52" s="410">
        <f t="shared" si="48"/>
        <v>0</v>
      </c>
      <c r="Z52" s="410">
        <f t="shared" si="48"/>
        <v>0</v>
      </c>
      <c r="AA52" s="410">
        <f t="shared" si="48"/>
        <v>0</v>
      </c>
      <c r="AB52" s="410">
        <f t="shared" si="48"/>
        <v>0</v>
      </c>
      <c r="AC52" s="410">
        <f t="shared" si="48"/>
        <v>0</v>
      </c>
      <c r="AD52" s="379"/>
      <c r="AE52" s="359"/>
      <c r="AF52" s="382">
        <f t="shared" si="49"/>
        <v>0</v>
      </c>
      <c r="AG52" s="382">
        <f t="shared" si="49"/>
        <v>0</v>
      </c>
      <c r="AH52" s="382">
        <f t="shared" si="49"/>
        <v>0</v>
      </c>
      <c r="AI52" s="382">
        <f t="shared" si="49"/>
        <v>0</v>
      </c>
      <c r="AJ52" s="382">
        <f t="shared" si="49"/>
        <v>0</v>
      </c>
      <c r="AK52" s="382">
        <f t="shared" si="49"/>
        <v>0</v>
      </c>
      <c r="AL52" s="382">
        <f t="shared" si="49"/>
        <v>0</v>
      </c>
      <c r="AM52" s="382">
        <f t="shared" si="49"/>
        <v>0</v>
      </c>
      <c r="AN52" s="382">
        <f t="shared" si="49"/>
        <v>0</v>
      </c>
      <c r="AO52" s="382">
        <f t="shared" si="49"/>
        <v>0</v>
      </c>
      <c r="AP52" s="382">
        <f t="shared" si="50"/>
        <v>0</v>
      </c>
      <c r="AQ52" s="382">
        <f t="shared" si="50"/>
        <v>0</v>
      </c>
      <c r="AR52" s="382">
        <f t="shared" si="50"/>
        <v>0</v>
      </c>
      <c r="AS52" s="382">
        <f t="shared" si="50"/>
        <v>0</v>
      </c>
      <c r="AT52" s="382">
        <f t="shared" si="50"/>
        <v>0</v>
      </c>
      <c r="AU52" s="382">
        <f t="shared" si="50"/>
        <v>0</v>
      </c>
      <c r="AV52" s="382">
        <f t="shared" si="50"/>
        <v>0</v>
      </c>
      <c r="AW52" s="382">
        <f t="shared" si="50"/>
        <v>0</v>
      </c>
      <c r="AX52" s="382">
        <f t="shared" si="50"/>
        <v>0</v>
      </c>
      <c r="AY52" s="382">
        <f t="shared" si="50"/>
        <v>0</v>
      </c>
      <c r="AZ52" s="382">
        <f t="shared" si="51"/>
        <v>0</v>
      </c>
      <c r="BA52" s="382">
        <f t="shared" si="51"/>
        <v>0</v>
      </c>
      <c r="BB52" s="382">
        <f t="shared" si="51"/>
        <v>0</v>
      </c>
      <c r="BC52" s="382">
        <f t="shared" si="51"/>
        <v>0</v>
      </c>
      <c r="BD52" s="382">
        <f t="shared" si="51"/>
        <v>5450</v>
      </c>
      <c r="BE52" s="382">
        <f t="shared" si="51"/>
        <v>5450</v>
      </c>
      <c r="BF52" s="382">
        <f t="shared" si="51"/>
        <v>5450</v>
      </c>
      <c r="BG52" s="382">
        <f t="shared" si="51"/>
        <v>0</v>
      </c>
      <c r="BH52" s="382">
        <f t="shared" si="51"/>
        <v>0</v>
      </c>
      <c r="BI52" s="382">
        <f t="shared" si="51"/>
        <v>0</v>
      </c>
      <c r="BJ52" s="382">
        <f t="shared" si="52"/>
        <v>0</v>
      </c>
      <c r="BK52" s="382">
        <f t="shared" si="52"/>
        <v>0</v>
      </c>
      <c r="BL52" s="382">
        <f t="shared" si="52"/>
        <v>0</v>
      </c>
      <c r="BM52" s="382">
        <f t="shared" si="52"/>
        <v>0</v>
      </c>
      <c r="BN52" s="382">
        <f t="shared" si="52"/>
        <v>0</v>
      </c>
      <c r="BO52" s="382">
        <f t="shared" si="52"/>
        <v>0</v>
      </c>
      <c r="BP52" s="382">
        <f t="shared" si="52"/>
        <v>0</v>
      </c>
      <c r="BQ52" s="382">
        <f t="shared" si="52"/>
        <v>0</v>
      </c>
      <c r="BR52" s="382">
        <f t="shared" si="52"/>
        <v>0</v>
      </c>
      <c r="BS52" s="382">
        <f t="shared" si="52"/>
        <v>0</v>
      </c>
      <c r="BT52" s="382">
        <f t="shared" si="53"/>
        <v>0</v>
      </c>
      <c r="BU52" s="382">
        <f t="shared" si="53"/>
        <v>0</v>
      </c>
      <c r="BV52" s="382">
        <f t="shared" si="53"/>
        <v>0</v>
      </c>
      <c r="BW52" s="382">
        <f t="shared" si="53"/>
        <v>0</v>
      </c>
      <c r="BX52" s="382">
        <f t="shared" si="53"/>
        <v>0</v>
      </c>
      <c r="BY52" s="382">
        <f t="shared" si="53"/>
        <v>0</v>
      </c>
      <c r="BZ52" s="382">
        <f t="shared" si="53"/>
        <v>0</v>
      </c>
      <c r="CA52" s="382">
        <f t="shared" si="53"/>
        <v>0</v>
      </c>
    </row>
    <row r="53" spans="3:79" ht="21" hidden="1" customHeight="1" outlineLevel="2">
      <c r="C53" s="370"/>
      <c r="D53" s="374">
        <f t="shared" si="40"/>
        <v>45716</v>
      </c>
      <c r="E53" s="408" cm="1">
        <f t="array" ref="E53">INDEX($AF$14:$CA$14,0,MATCH($D53,$AF$8:$CA$8,0))</f>
        <v>4862.5</v>
      </c>
      <c r="G53" s="359"/>
      <c r="H53" s="410">
        <f t="shared" si="47"/>
        <v>0</v>
      </c>
      <c r="I53" s="410">
        <f t="shared" si="47"/>
        <v>0</v>
      </c>
      <c r="J53" s="410">
        <f t="shared" si="47"/>
        <v>4862.5</v>
      </c>
      <c r="K53" s="410">
        <f t="shared" si="47"/>
        <v>0</v>
      </c>
      <c r="L53" s="410"/>
      <c r="M53" s="410"/>
      <c r="N53" s="410">
        <f t="shared" si="48"/>
        <v>0</v>
      </c>
      <c r="O53" s="410">
        <f t="shared" si="48"/>
        <v>0</v>
      </c>
      <c r="P53" s="410">
        <f t="shared" si="48"/>
        <v>0</v>
      </c>
      <c r="Q53" s="410">
        <f t="shared" si="48"/>
        <v>0</v>
      </c>
      <c r="R53" s="410">
        <f t="shared" si="48"/>
        <v>0</v>
      </c>
      <c r="S53" s="410">
        <f t="shared" si="48"/>
        <v>0</v>
      </c>
      <c r="T53" s="410">
        <f t="shared" si="48"/>
        <v>0</v>
      </c>
      <c r="U53" s="410">
        <f t="shared" si="48"/>
        <v>0</v>
      </c>
      <c r="V53" s="410">
        <f t="shared" si="48"/>
        <v>3241.6666666666665</v>
      </c>
      <c r="W53" s="410">
        <f t="shared" si="48"/>
        <v>1620.8333333333333</v>
      </c>
      <c r="X53" s="410">
        <f t="shared" si="48"/>
        <v>0</v>
      </c>
      <c r="Y53" s="410">
        <f t="shared" si="48"/>
        <v>0</v>
      </c>
      <c r="Z53" s="410">
        <f t="shared" si="48"/>
        <v>0</v>
      </c>
      <c r="AA53" s="410">
        <f t="shared" si="48"/>
        <v>0</v>
      </c>
      <c r="AB53" s="410">
        <f t="shared" si="48"/>
        <v>0</v>
      </c>
      <c r="AC53" s="410">
        <f t="shared" si="48"/>
        <v>0</v>
      </c>
      <c r="AD53" s="379"/>
      <c r="AE53" s="359"/>
      <c r="AF53" s="382">
        <f t="shared" si="49"/>
        <v>0</v>
      </c>
      <c r="AG53" s="382">
        <f t="shared" si="49"/>
        <v>0</v>
      </c>
      <c r="AH53" s="382">
        <f t="shared" si="49"/>
        <v>0</v>
      </c>
      <c r="AI53" s="382">
        <f t="shared" si="49"/>
        <v>0</v>
      </c>
      <c r="AJ53" s="382">
        <f t="shared" si="49"/>
        <v>0</v>
      </c>
      <c r="AK53" s="382">
        <f t="shared" si="49"/>
        <v>0</v>
      </c>
      <c r="AL53" s="382">
        <f t="shared" si="49"/>
        <v>0</v>
      </c>
      <c r="AM53" s="382">
        <f t="shared" si="49"/>
        <v>0</v>
      </c>
      <c r="AN53" s="382">
        <f t="shared" si="49"/>
        <v>0</v>
      </c>
      <c r="AO53" s="382">
        <f t="shared" si="49"/>
        <v>0</v>
      </c>
      <c r="AP53" s="382">
        <f t="shared" si="50"/>
        <v>0</v>
      </c>
      <c r="AQ53" s="382">
        <f t="shared" si="50"/>
        <v>0</v>
      </c>
      <c r="AR53" s="382">
        <f t="shared" si="50"/>
        <v>0</v>
      </c>
      <c r="AS53" s="382">
        <f t="shared" si="50"/>
        <v>0</v>
      </c>
      <c r="AT53" s="382">
        <f t="shared" si="50"/>
        <v>0</v>
      </c>
      <c r="AU53" s="382">
        <f t="shared" si="50"/>
        <v>0</v>
      </c>
      <c r="AV53" s="382">
        <f t="shared" si="50"/>
        <v>0</v>
      </c>
      <c r="AW53" s="382">
        <f t="shared" si="50"/>
        <v>0</v>
      </c>
      <c r="AX53" s="382">
        <f t="shared" si="50"/>
        <v>0</v>
      </c>
      <c r="AY53" s="382">
        <f t="shared" si="50"/>
        <v>0</v>
      </c>
      <c r="AZ53" s="382">
        <f t="shared" si="51"/>
        <v>0</v>
      </c>
      <c r="BA53" s="382">
        <f t="shared" si="51"/>
        <v>0</v>
      </c>
      <c r="BB53" s="382">
        <f t="shared" si="51"/>
        <v>0</v>
      </c>
      <c r="BC53" s="382">
        <f t="shared" si="51"/>
        <v>0</v>
      </c>
      <c r="BD53" s="382">
        <f t="shared" si="51"/>
        <v>0</v>
      </c>
      <c r="BE53" s="382">
        <f t="shared" si="51"/>
        <v>1620.8333333333333</v>
      </c>
      <c r="BF53" s="382">
        <f t="shared" si="51"/>
        <v>1620.8333333333333</v>
      </c>
      <c r="BG53" s="382">
        <f t="shared" si="51"/>
        <v>1620.8333333333333</v>
      </c>
      <c r="BH53" s="382">
        <f t="shared" si="51"/>
        <v>0</v>
      </c>
      <c r="BI53" s="382">
        <f t="shared" si="51"/>
        <v>0</v>
      </c>
      <c r="BJ53" s="382">
        <f t="shared" si="52"/>
        <v>0</v>
      </c>
      <c r="BK53" s="382">
        <f t="shared" si="52"/>
        <v>0</v>
      </c>
      <c r="BL53" s="382">
        <f t="shared" si="52"/>
        <v>0</v>
      </c>
      <c r="BM53" s="382">
        <f t="shared" si="52"/>
        <v>0</v>
      </c>
      <c r="BN53" s="382">
        <f t="shared" si="52"/>
        <v>0</v>
      </c>
      <c r="BO53" s="382">
        <f t="shared" si="52"/>
        <v>0</v>
      </c>
      <c r="BP53" s="382">
        <f t="shared" si="52"/>
        <v>0</v>
      </c>
      <c r="BQ53" s="382">
        <f t="shared" si="52"/>
        <v>0</v>
      </c>
      <c r="BR53" s="382">
        <f t="shared" si="52"/>
        <v>0</v>
      </c>
      <c r="BS53" s="382">
        <f t="shared" si="52"/>
        <v>0</v>
      </c>
      <c r="BT53" s="382">
        <f t="shared" si="53"/>
        <v>0</v>
      </c>
      <c r="BU53" s="382">
        <f t="shared" si="53"/>
        <v>0</v>
      </c>
      <c r="BV53" s="382">
        <f t="shared" si="53"/>
        <v>0</v>
      </c>
      <c r="BW53" s="382">
        <f t="shared" si="53"/>
        <v>0</v>
      </c>
      <c r="BX53" s="382">
        <f t="shared" si="53"/>
        <v>0</v>
      </c>
      <c r="BY53" s="382">
        <f t="shared" si="53"/>
        <v>0</v>
      </c>
      <c r="BZ53" s="382">
        <f t="shared" si="53"/>
        <v>0</v>
      </c>
      <c r="CA53" s="382">
        <f t="shared" si="53"/>
        <v>0</v>
      </c>
    </row>
    <row r="54" spans="3:79" ht="21" hidden="1" customHeight="1" outlineLevel="2">
      <c r="C54" s="370"/>
      <c r="D54" s="374">
        <f t="shared" si="40"/>
        <v>45747</v>
      </c>
      <c r="E54" s="408" cm="1">
        <f t="array" ref="E54">INDEX($AF$14:$CA$14,0,MATCH($D54,$AF$8:$CA$8,0))</f>
        <v>0</v>
      </c>
      <c r="G54" s="359"/>
      <c r="H54" s="410">
        <f t="shared" si="47"/>
        <v>0</v>
      </c>
      <c r="I54" s="410">
        <f t="shared" si="47"/>
        <v>0</v>
      </c>
      <c r="J54" s="410">
        <f t="shared" si="47"/>
        <v>0</v>
      </c>
      <c r="K54" s="410">
        <f t="shared" si="47"/>
        <v>0</v>
      </c>
      <c r="L54" s="410"/>
      <c r="M54" s="410"/>
      <c r="N54" s="410">
        <f t="shared" si="48"/>
        <v>0</v>
      </c>
      <c r="O54" s="410">
        <f t="shared" si="48"/>
        <v>0</v>
      </c>
      <c r="P54" s="410">
        <f t="shared" si="48"/>
        <v>0</v>
      </c>
      <c r="Q54" s="410">
        <f t="shared" si="48"/>
        <v>0</v>
      </c>
      <c r="R54" s="410">
        <f t="shared" si="48"/>
        <v>0</v>
      </c>
      <c r="S54" s="410">
        <f t="shared" si="48"/>
        <v>0</v>
      </c>
      <c r="T54" s="410">
        <f t="shared" si="48"/>
        <v>0</v>
      </c>
      <c r="U54" s="410">
        <f t="shared" si="48"/>
        <v>0</v>
      </c>
      <c r="V54" s="410">
        <f t="shared" si="48"/>
        <v>0</v>
      </c>
      <c r="W54" s="410">
        <f t="shared" si="48"/>
        <v>0</v>
      </c>
      <c r="X54" s="410">
        <f t="shared" si="48"/>
        <v>0</v>
      </c>
      <c r="Y54" s="410">
        <f t="shared" si="48"/>
        <v>0</v>
      </c>
      <c r="Z54" s="410">
        <f t="shared" si="48"/>
        <v>0</v>
      </c>
      <c r="AA54" s="410">
        <f t="shared" si="48"/>
        <v>0</v>
      </c>
      <c r="AB54" s="410">
        <f t="shared" si="48"/>
        <v>0</v>
      </c>
      <c r="AC54" s="410">
        <f t="shared" si="48"/>
        <v>0</v>
      </c>
      <c r="AD54" s="379"/>
      <c r="AE54" s="359"/>
      <c r="AF54" s="382">
        <f t="shared" si="49"/>
        <v>0</v>
      </c>
      <c r="AG54" s="382">
        <f t="shared" si="49"/>
        <v>0</v>
      </c>
      <c r="AH54" s="382">
        <f t="shared" si="49"/>
        <v>0</v>
      </c>
      <c r="AI54" s="382">
        <f t="shared" si="49"/>
        <v>0</v>
      </c>
      <c r="AJ54" s="382">
        <f t="shared" si="49"/>
        <v>0</v>
      </c>
      <c r="AK54" s="382">
        <f t="shared" si="49"/>
        <v>0</v>
      </c>
      <c r="AL54" s="382">
        <f t="shared" si="49"/>
        <v>0</v>
      </c>
      <c r="AM54" s="382">
        <f t="shared" si="49"/>
        <v>0</v>
      </c>
      <c r="AN54" s="382">
        <f t="shared" si="49"/>
        <v>0</v>
      </c>
      <c r="AO54" s="382">
        <f t="shared" si="49"/>
        <v>0</v>
      </c>
      <c r="AP54" s="382">
        <f t="shared" si="50"/>
        <v>0</v>
      </c>
      <c r="AQ54" s="382">
        <f t="shared" si="50"/>
        <v>0</v>
      </c>
      <c r="AR54" s="382">
        <f t="shared" si="50"/>
        <v>0</v>
      </c>
      <c r="AS54" s="382">
        <f t="shared" si="50"/>
        <v>0</v>
      </c>
      <c r="AT54" s="382">
        <f t="shared" si="50"/>
        <v>0</v>
      </c>
      <c r="AU54" s="382">
        <f t="shared" si="50"/>
        <v>0</v>
      </c>
      <c r="AV54" s="382">
        <f t="shared" si="50"/>
        <v>0</v>
      </c>
      <c r="AW54" s="382">
        <f t="shared" si="50"/>
        <v>0</v>
      </c>
      <c r="AX54" s="382">
        <f t="shared" si="50"/>
        <v>0</v>
      </c>
      <c r="AY54" s="382">
        <f t="shared" si="50"/>
        <v>0</v>
      </c>
      <c r="AZ54" s="382">
        <f t="shared" si="51"/>
        <v>0</v>
      </c>
      <c r="BA54" s="382">
        <f t="shared" si="51"/>
        <v>0</v>
      </c>
      <c r="BB54" s="382">
        <f t="shared" si="51"/>
        <v>0</v>
      </c>
      <c r="BC54" s="382">
        <f t="shared" si="51"/>
        <v>0</v>
      </c>
      <c r="BD54" s="382">
        <f t="shared" si="51"/>
        <v>0</v>
      </c>
      <c r="BE54" s="382">
        <f t="shared" si="51"/>
        <v>0</v>
      </c>
      <c r="BF54" s="382">
        <f t="shared" si="51"/>
        <v>0</v>
      </c>
      <c r="BG54" s="382">
        <f t="shared" si="51"/>
        <v>0</v>
      </c>
      <c r="BH54" s="382">
        <f t="shared" si="51"/>
        <v>0</v>
      </c>
      <c r="BI54" s="382">
        <f t="shared" si="51"/>
        <v>0</v>
      </c>
      <c r="BJ54" s="382">
        <f t="shared" si="52"/>
        <v>0</v>
      </c>
      <c r="BK54" s="382">
        <f t="shared" si="52"/>
        <v>0</v>
      </c>
      <c r="BL54" s="382">
        <f t="shared" si="52"/>
        <v>0</v>
      </c>
      <c r="BM54" s="382">
        <f t="shared" si="52"/>
        <v>0</v>
      </c>
      <c r="BN54" s="382">
        <f t="shared" si="52"/>
        <v>0</v>
      </c>
      <c r="BO54" s="382">
        <f t="shared" si="52"/>
        <v>0</v>
      </c>
      <c r="BP54" s="382">
        <f t="shared" si="52"/>
        <v>0</v>
      </c>
      <c r="BQ54" s="382">
        <f t="shared" si="52"/>
        <v>0</v>
      </c>
      <c r="BR54" s="382">
        <f t="shared" si="52"/>
        <v>0</v>
      </c>
      <c r="BS54" s="382">
        <f t="shared" si="52"/>
        <v>0</v>
      </c>
      <c r="BT54" s="382">
        <f t="shared" si="53"/>
        <v>0</v>
      </c>
      <c r="BU54" s="382">
        <f t="shared" si="53"/>
        <v>0</v>
      </c>
      <c r="BV54" s="382">
        <f t="shared" si="53"/>
        <v>0</v>
      </c>
      <c r="BW54" s="382">
        <f t="shared" si="53"/>
        <v>0</v>
      </c>
      <c r="BX54" s="382">
        <f t="shared" si="53"/>
        <v>0</v>
      </c>
      <c r="BY54" s="382">
        <f t="shared" si="53"/>
        <v>0</v>
      </c>
      <c r="BZ54" s="382">
        <f t="shared" si="53"/>
        <v>0</v>
      </c>
      <c r="CA54" s="382">
        <f t="shared" si="53"/>
        <v>0</v>
      </c>
    </row>
    <row r="55" spans="3:79" ht="21" hidden="1" customHeight="1" outlineLevel="2">
      <c r="C55" s="370"/>
      <c r="D55" s="374">
        <f t="shared" si="40"/>
        <v>45777</v>
      </c>
      <c r="E55" s="408" cm="1">
        <f t="array" ref="E55">INDEX($AF$14:$CA$14,0,MATCH($D55,$AF$8:$CA$8,0))</f>
        <v>28142.5</v>
      </c>
      <c r="G55" s="359"/>
      <c r="H55" s="410">
        <f t="shared" si="47"/>
        <v>0</v>
      </c>
      <c r="I55" s="410">
        <f t="shared" si="47"/>
        <v>0</v>
      </c>
      <c r="J55" s="410">
        <f t="shared" si="47"/>
        <v>28142.5</v>
      </c>
      <c r="K55" s="410">
        <f t="shared" si="47"/>
        <v>0</v>
      </c>
      <c r="L55" s="410"/>
      <c r="M55" s="410"/>
      <c r="N55" s="410">
        <f t="shared" si="48"/>
        <v>0</v>
      </c>
      <c r="O55" s="410">
        <f t="shared" si="48"/>
        <v>0</v>
      </c>
      <c r="P55" s="410">
        <f t="shared" si="48"/>
        <v>0</v>
      </c>
      <c r="Q55" s="410">
        <f t="shared" si="48"/>
        <v>0</v>
      </c>
      <c r="R55" s="410">
        <f t="shared" si="48"/>
        <v>0</v>
      </c>
      <c r="S55" s="410">
        <f t="shared" si="48"/>
        <v>0</v>
      </c>
      <c r="T55" s="410">
        <f t="shared" si="48"/>
        <v>0</v>
      </c>
      <c r="U55" s="410">
        <f t="shared" si="48"/>
        <v>0</v>
      </c>
      <c r="V55" s="410">
        <f t="shared" si="48"/>
        <v>0</v>
      </c>
      <c r="W55" s="410">
        <f t="shared" si="48"/>
        <v>28142.5</v>
      </c>
      <c r="X55" s="410">
        <f t="shared" si="48"/>
        <v>0</v>
      </c>
      <c r="Y55" s="410">
        <f t="shared" si="48"/>
        <v>0</v>
      </c>
      <c r="Z55" s="410">
        <f t="shared" si="48"/>
        <v>0</v>
      </c>
      <c r="AA55" s="410">
        <f t="shared" si="48"/>
        <v>0</v>
      </c>
      <c r="AB55" s="410">
        <f t="shared" si="48"/>
        <v>0</v>
      </c>
      <c r="AC55" s="410">
        <f t="shared" si="48"/>
        <v>0</v>
      </c>
      <c r="AD55" s="379"/>
      <c r="AE55" s="359"/>
      <c r="AF55" s="382">
        <f t="shared" si="49"/>
        <v>0</v>
      </c>
      <c r="AG55" s="382">
        <f t="shared" si="49"/>
        <v>0</v>
      </c>
      <c r="AH55" s="382">
        <f t="shared" si="49"/>
        <v>0</v>
      </c>
      <c r="AI55" s="382">
        <f t="shared" si="49"/>
        <v>0</v>
      </c>
      <c r="AJ55" s="382">
        <f t="shared" si="49"/>
        <v>0</v>
      </c>
      <c r="AK55" s="382">
        <f t="shared" si="49"/>
        <v>0</v>
      </c>
      <c r="AL55" s="382">
        <f t="shared" si="49"/>
        <v>0</v>
      </c>
      <c r="AM55" s="382">
        <f t="shared" si="49"/>
        <v>0</v>
      </c>
      <c r="AN55" s="382">
        <f t="shared" si="49"/>
        <v>0</v>
      </c>
      <c r="AO55" s="382">
        <f t="shared" si="49"/>
        <v>0</v>
      </c>
      <c r="AP55" s="382">
        <f t="shared" si="50"/>
        <v>0</v>
      </c>
      <c r="AQ55" s="382">
        <f t="shared" si="50"/>
        <v>0</v>
      </c>
      <c r="AR55" s="382">
        <f t="shared" si="50"/>
        <v>0</v>
      </c>
      <c r="AS55" s="382">
        <f t="shared" si="50"/>
        <v>0</v>
      </c>
      <c r="AT55" s="382">
        <f t="shared" si="50"/>
        <v>0</v>
      </c>
      <c r="AU55" s="382">
        <f t="shared" si="50"/>
        <v>0</v>
      </c>
      <c r="AV55" s="382">
        <f t="shared" si="50"/>
        <v>0</v>
      </c>
      <c r="AW55" s="382">
        <f t="shared" si="50"/>
        <v>0</v>
      </c>
      <c r="AX55" s="382">
        <f t="shared" si="50"/>
        <v>0</v>
      </c>
      <c r="AY55" s="382">
        <f t="shared" si="50"/>
        <v>0</v>
      </c>
      <c r="AZ55" s="382">
        <f t="shared" si="51"/>
        <v>0</v>
      </c>
      <c r="BA55" s="382">
        <f t="shared" si="51"/>
        <v>0</v>
      </c>
      <c r="BB55" s="382">
        <f t="shared" si="51"/>
        <v>0</v>
      </c>
      <c r="BC55" s="382">
        <f t="shared" si="51"/>
        <v>0</v>
      </c>
      <c r="BD55" s="382">
        <f t="shared" si="51"/>
        <v>0</v>
      </c>
      <c r="BE55" s="382">
        <f t="shared" si="51"/>
        <v>0</v>
      </c>
      <c r="BF55" s="382">
        <f t="shared" si="51"/>
        <v>0</v>
      </c>
      <c r="BG55" s="382">
        <f t="shared" si="51"/>
        <v>9380.8333333333339</v>
      </c>
      <c r="BH55" s="382">
        <f t="shared" si="51"/>
        <v>9380.8333333333339</v>
      </c>
      <c r="BI55" s="382">
        <f t="shared" si="51"/>
        <v>9380.8333333333339</v>
      </c>
      <c r="BJ55" s="382">
        <f t="shared" si="52"/>
        <v>0</v>
      </c>
      <c r="BK55" s="382">
        <f t="shared" si="52"/>
        <v>0</v>
      </c>
      <c r="BL55" s="382">
        <f t="shared" si="52"/>
        <v>0</v>
      </c>
      <c r="BM55" s="382">
        <f t="shared" si="52"/>
        <v>0</v>
      </c>
      <c r="BN55" s="382">
        <f t="shared" si="52"/>
        <v>0</v>
      </c>
      <c r="BO55" s="382">
        <f t="shared" si="52"/>
        <v>0</v>
      </c>
      <c r="BP55" s="382">
        <f t="shared" si="52"/>
        <v>0</v>
      </c>
      <c r="BQ55" s="382">
        <f t="shared" si="52"/>
        <v>0</v>
      </c>
      <c r="BR55" s="382">
        <f t="shared" si="52"/>
        <v>0</v>
      </c>
      <c r="BS55" s="382">
        <f t="shared" si="52"/>
        <v>0</v>
      </c>
      <c r="BT55" s="382">
        <f t="shared" si="53"/>
        <v>0</v>
      </c>
      <c r="BU55" s="382">
        <f t="shared" si="53"/>
        <v>0</v>
      </c>
      <c r="BV55" s="382">
        <f t="shared" si="53"/>
        <v>0</v>
      </c>
      <c r="BW55" s="382">
        <f t="shared" si="53"/>
        <v>0</v>
      </c>
      <c r="BX55" s="382">
        <f t="shared" si="53"/>
        <v>0</v>
      </c>
      <c r="BY55" s="382">
        <f t="shared" si="53"/>
        <v>0</v>
      </c>
      <c r="BZ55" s="382">
        <f t="shared" si="53"/>
        <v>0</v>
      </c>
      <c r="CA55" s="382">
        <f t="shared" si="53"/>
        <v>0</v>
      </c>
    </row>
    <row r="56" spans="3:79" ht="21" hidden="1" customHeight="1" outlineLevel="2">
      <c r="C56" s="370"/>
      <c r="D56" s="374">
        <f t="shared" si="40"/>
        <v>45808</v>
      </c>
      <c r="E56" s="408" cm="1">
        <f t="array" ref="E56">INDEX($AF$14:$CA$14,0,MATCH($D56,$AF$8:$CA$8,0))</f>
        <v>7450</v>
      </c>
      <c r="G56" s="359"/>
      <c r="H56" s="410">
        <f t="shared" si="47"/>
        <v>0</v>
      </c>
      <c r="I56" s="410">
        <f t="shared" si="47"/>
        <v>0</v>
      </c>
      <c r="J56" s="410">
        <f t="shared" si="47"/>
        <v>7450</v>
      </c>
      <c r="K56" s="410">
        <f t="shared" si="47"/>
        <v>0</v>
      </c>
      <c r="L56" s="410"/>
      <c r="M56" s="410"/>
      <c r="N56" s="410">
        <f t="shared" si="48"/>
        <v>0</v>
      </c>
      <c r="O56" s="410">
        <f t="shared" si="48"/>
        <v>0</v>
      </c>
      <c r="P56" s="410">
        <f t="shared" si="48"/>
        <v>0</v>
      </c>
      <c r="Q56" s="410">
        <f t="shared" si="48"/>
        <v>0</v>
      </c>
      <c r="R56" s="410">
        <f t="shared" si="48"/>
        <v>0</v>
      </c>
      <c r="S56" s="410">
        <f t="shared" si="48"/>
        <v>0</v>
      </c>
      <c r="T56" s="410">
        <f t="shared" si="48"/>
        <v>0</v>
      </c>
      <c r="U56" s="410">
        <f t="shared" si="48"/>
        <v>0</v>
      </c>
      <c r="V56" s="410">
        <f t="shared" si="48"/>
        <v>0</v>
      </c>
      <c r="W56" s="410">
        <f t="shared" si="48"/>
        <v>4966.666666666667</v>
      </c>
      <c r="X56" s="410">
        <f t="shared" si="48"/>
        <v>2483.3333333333335</v>
      </c>
      <c r="Y56" s="410">
        <f t="shared" si="48"/>
        <v>0</v>
      </c>
      <c r="Z56" s="410">
        <f t="shared" si="48"/>
        <v>0</v>
      </c>
      <c r="AA56" s="410">
        <f t="shared" si="48"/>
        <v>0</v>
      </c>
      <c r="AB56" s="410">
        <f t="shared" si="48"/>
        <v>0</v>
      </c>
      <c r="AC56" s="410">
        <f t="shared" si="48"/>
        <v>0</v>
      </c>
      <c r="AD56" s="379"/>
      <c r="AE56" s="359"/>
      <c r="AF56" s="382">
        <f t="shared" si="49"/>
        <v>0</v>
      </c>
      <c r="AG56" s="382">
        <f t="shared" si="49"/>
        <v>0</v>
      </c>
      <c r="AH56" s="382">
        <f t="shared" si="49"/>
        <v>0</v>
      </c>
      <c r="AI56" s="382">
        <f t="shared" si="49"/>
        <v>0</v>
      </c>
      <c r="AJ56" s="382">
        <f t="shared" si="49"/>
        <v>0</v>
      </c>
      <c r="AK56" s="382">
        <f t="shared" si="49"/>
        <v>0</v>
      </c>
      <c r="AL56" s="382">
        <f t="shared" si="49"/>
        <v>0</v>
      </c>
      <c r="AM56" s="382">
        <f t="shared" si="49"/>
        <v>0</v>
      </c>
      <c r="AN56" s="382">
        <f t="shared" si="49"/>
        <v>0</v>
      </c>
      <c r="AO56" s="382">
        <f t="shared" si="49"/>
        <v>0</v>
      </c>
      <c r="AP56" s="382">
        <f t="shared" si="50"/>
        <v>0</v>
      </c>
      <c r="AQ56" s="382">
        <f t="shared" si="50"/>
        <v>0</v>
      </c>
      <c r="AR56" s="382">
        <f t="shared" si="50"/>
        <v>0</v>
      </c>
      <c r="AS56" s="382">
        <f t="shared" si="50"/>
        <v>0</v>
      </c>
      <c r="AT56" s="382">
        <f t="shared" si="50"/>
        <v>0</v>
      </c>
      <c r="AU56" s="382">
        <f t="shared" si="50"/>
        <v>0</v>
      </c>
      <c r="AV56" s="382">
        <f t="shared" si="50"/>
        <v>0</v>
      </c>
      <c r="AW56" s="382">
        <f t="shared" si="50"/>
        <v>0</v>
      </c>
      <c r="AX56" s="382">
        <f t="shared" si="50"/>
        <v>0</v>
      </c>
      <c r="AY56" s="382">
        <f t="shared" si="50"/>
        <v>0</v>
      </c>
      <c r="AZ56" s="382">
        <f t="shared" si="51"/>
        <v>0</v>
      </c>
      <c r="BA56" s="382">
        <f t="shared" si="51"/>
        <v>0</v>
      </c>
      <c r="BB56" s="382">
        <f t="shared" si="51"/>
        <v>0</v>
      </c>
      <c r="BC56" s="382">
        <f t="shared" si="51"/>
        <v>0</v>
      </c>
      <c r="BD56" s="382">
        <f t="shared" si="51"/>
        <v>0</v>
      </c>
      <c r="BE56" s="382">
        <f t="shared" si="51"/>
        <v>0</v>
      </c>
      <c r="BF56" s="382">
        <f t="shared" si="51"/>
        <v>0</v>
      </c>
      <c r="BG56" s="382">
        <f t="shared" si="51"/>
        <v>0</v>
      </c>
      <c r="BH56" s="382">
        <f t="shared" si="51"/>
        <v>2483.3333333333335</v>
      </c>
      <c r="BI56" s="382">
        <f t="shared" si="51"/>
        <v>2483.3333333333335</v>
      </c>
      <c r="BJ56" s="382">
        <f t="shared" si="52"/>
        <v>2483.3333333333335</v>
      </c>
      <c r="BK56" s="382">
        <f t="shared" si="52"/>
        <v>0</v>
      </c>
      <c r="BL56" s="382">
        <f t="shared" si="52"/>
        <v>0</v>
      </c>
      <c r="BM56" s="382">
        <f t="shared" si="52"/>
        <v>0</v>
      </c>
      <c r="BN56" s="382">
        <f t="shared" si="52"/>
        <v>0</v>
      </c>
      <c r="BO56" s="382">
        <f t="shared" si="52"/>
        <v>0</v>
      </c>
      <c r="BP56" s="382">
        <f t="shared" si="52"/>
        <v>0</v>
      </c>
      <c r="BQ56" s="382">
        <f t="shared" si="52"/>
        <v>0</v>
      </c>
      <c r="BR56" s="382">
        <f t="shared" si="52"/>
        <v>0</v>
      </c>
      <c r="BS56" s="382">
        <f t="shared" si="52"/>
        <v>0</v>
      </c>
      <c r="BT56" s="382">
        <f t="shared" si="53"/>
        <v>0</v>
      </c>
      <c r="BU56" s="382">
        <f t="shared" si="53"/>
        <v>0</v>
      </c>
      <c r="BV56" s="382">
        <f t="shared" si="53"/>
        <v>0</v>
      </c>
      <c r="BW56" s="382">
        <f t="shared" si="53"/>
        <v>0</v>
      </c>
      <c r="BX56" s="382">
        <f t="shared" si="53"/>
        <v>0</v>
      </c>
      <c r="BY56" s="382">
        <f t="shared" si="53"/>
        <v>0</v>
      </c>
      <c r="BZ56" s="382">
        <f t="shared" si="53"/>
        <v>0</v>
      </c>
      <c r="CA56" s="382">
        <f t="shared" si="53"/>
        <v>0</v>
      </c>
    </row>
    <row r="57" spans="3:79" ht="21" hidden="1" customHeight="1" outlineLevel="2">
      <c r="C57" s="370"/>
      <c r="D57" s="374">
        <f t="shared" si="40"/>
        <v>45838</v>
      </c>
      <c r="E57" s="408" cm="1">
        <f t="array" ref="E57">INDEX($AF$14:$CA$14,0,MATCH($D57,$AF$8:$CA$8,0))</f>
        <v>11390</v>
      </c>
      <c r="G57" s="359"/>
      <c r="H57" s="410">
        <f t="shared" si="47"/>
        <v>0</v>
      </c>
      <c r="I57" s="410">
        <f t="shared" si="47"/>
        <v>0</v>
      </c>
      <c r="J57" s="410">
        <f t="shared" si="47"/>
        <v>11390</v>
      </c>
      <c r="K57" s="410">
        <f t="shared" si="47"/>
        <v>0</v>
      </c>
      <c r="L57" s="410"/>
      <c r="M57" s="410"/>
      <c r="N57" s="410">
        <f t="shared" si="48"/>
        <v>0</v>
      </c>
      <c r="O57" s="410">
        <f t="shared" si="48"/>
        <v>0</v>
      </c>
      <c r="P57" s="410">
        <f t="shared" si="48"/>
        <v>0</v>
      </c>
      <c r="Q57" s="410">
        <f t="shared" si="48"/>
        <v>0</v>
      </c>
      <c r="R57" s="410">
        <f t="shared" si="48"/>
        <v>0</v>
      </c>
      <c r="S57" s="410">
        <f t="shared" si="48"/>
        <v>0</v>
      </c>
      <c r="T57" s="410">
        <f t="shared" si="48"/>
        <v>0</v>
      </c>
      <c r="U57" s="410">
        <f t="shared" si="48"/>
        <v>0</v>
      </c>
      <c r="V57" s="410">
        <f t="shared" si="48"/>
        <v>0</v>
      </c>
      <c r="W57" s="410">
        <f t="shared" si="48"/>
        <v>3796.6666666666665</v>
      </c>
      <c r="X57" s="410">
        <f t="shared" si="48"/>
        <v>7593.333333333333</v>
      </c>
      <c r="Y57" s="410">
        <f t="shared" si="48"/>
        <v>0</v>
      </c>
      <c r="Z57" s="410">
        <f t="shared" si="48"/>
        <v>0</v>
      </c>
      <c r="AA57" s="410">
        <f t="shared" si="48"/>
        <v>0</v>
      </c>
      <c r="AB57" s="410">
        <f t="shared" si="48"/>
        <v>0</v>
      </c>
      <c r="AC57" s="410">
        <f t="shared" si="48"/>
        <v>0</v>
      </c>
      <c r="AD57" s="379"/>
      <c r="AE57" s="359"/>
      <c r="AF57" s="382">
        <f t="shared" si="49"/>
        <v>0</v>
      </c>
      <c r="AG57" s="382">
        <f t="shared" si="49"/>
        <v>0</v>
      </c>
      <c r="AH57" s="382">
        <f t="shared" si="49"/>
        <v>0</v>
      </c>
      <c r="AI57" s="382">
        <f t="shared" si="49"/>
        <v>0</v>
      </c>
      <c r="AJ57" s="382">
        <f t="shared" si="49"/>
        <v>0</v>
      </c>
      <c r="AK57" s="382">
        <f t="shared" si="49"/>
        <v>0</v>
      </c>
      <c r="AL57" s="382">
        <f t="shared" si="49"/>
        <v>0</v>
      </c>
      <c r="AM57" s="382">
        <f t="shared" si="49"/>
        <v>0</v>
      </c>
      <c r="AN57" s="382">
        <f t="shared" si="49"/>
        <v>0</v>
      </c>
      <c r="AO57" s="382">
        <f t="shared" si="49"/>
        <v>0</v>
      </c>
      <c r="AP57" s="382">
        <f t="shared" si="50"/>
        <v>0</v>
      </c>
      <c r="AQ57" s="382">
        <f t="shared" si="50"/>
        <v>0</v>
      </c>
      <c r="AR57" s="382">
        <f t="shared" si="50"/>
        <v>0</v>
      </c>
      <c r="AS57" s="382">
        <f t="shared" si="50"/>
        <v>0</v>
      </c>
      <c r="AT57" s="382">
        <f t="shared" si="50"/>
        <v>0</v>
      </c>
      <c r="AU57" s="382">
        <f t="shared" si="50"/>
        <v>0</v>
      </c>
      <c r="AV57" s="382">
        <f t="shared" si="50"/>
        <v>0</v>
      </c>
      <c r="AW57" s="382">
        <f t="shared" si="50"/>
        <v>0</v>
      </c>
      <c r="AX57" s="382">
        <f t="shared" si="50"/>
        <v>0</v>
      </c>
      <c r="AY57" s="382">
        <f t="shared" si="50"/>
        <v>0</v>
      </c>
      <c r="AZ57" s="382">
        <f t="shared" si="51"/>
        <v>0</v>
      </c>
      <c r="BA57" s="382">
        <f t="shared" si="51"/>
        <v>0</v>
      </c>
      <c r="BB57" s="382">
        <f t="shared" si="51"/>
        <v>0</v>
      </c>
      <c r="BC57" s="382">
        <f t="shared" si="51"/>
        <v>0</v>
      </c>
      <c r="BD57" s="382">
        <f t="shared" si="51"/>
        <v>0</v>
      </c>
      <c r="BE57" s="382">
        <f t="shared" si="51"/>
        <v>0</v>
      </c>
      <c r="BF57" s="382">
        <f t="shared" si="51"/>
        <v>0</v>
      </c>
      <c r="BG57" s="382">
        <f t="shared" si="51"/>
        <v>0</v>
      </c>
      <c r="BH57" s="382">
        <f t="shared" si="51"/>
        <v>0</v>
      </c>
      <c r="BI57" s="382">
        <f t="shared" si="51"/>
        <v>3796.6666666666665</v>
      </c>
      <c r="BJ57" s="382">
        <f t="shared" si="52"/>
        <v>3796.6666666666665</v>
      </c>
      <c r="BK57" s="382">
        <f t="shared" si="52"/>
        <v>3796.6666666666665</v>
      </c>
      <c r="BL57" s="382">
        <f t="shared" si="52"/>
        <v>0</v>
      </c>
      <c r="BM57" s="382">
        <f t="shared" si="52"/>
        <v>0</v>
      </c>
      <c r="BN57" s="382">
        <f t="shared" si="52"/>
        <v>0</v>
      </c>
      <c r="BO57" s="382">
        <f t="shared" si="52"/>
        <v>0</v>
      </c>
      <c r="BP57" s="382">
        <f t="shared" si="52"/>
        <v>0</v>
      </c>
      <c r="BQ57" s="382">
        <f t="shared" si="52"/>
        <v>0</v>
      </c>
      <c r="BR57" s="382">
        <f t="shared" si="52"/>
        <v>0</v>
      </c>
      <c r="BS57" s="382">
        <f t="shared" si="52"/>
        <v>0</v>
      </c>
      <c r="BT57" s="382">
        <f t="shared" si="53"/>
        <v>0</v>
      </c>
      <c r="BU57" s="382">
        <f t="shared" si="53"/>
        <v>0</v>
      </c>
      <c r="BV57" s="382">
        <f t="shared" si="53"/>
        <v>0</v>
      </c>
      <c r="BW57" s="382">
        <f t="shared" si="53"/>
        <v>0</v>
      </c>
      <c r="BX57" s="382">
        <f t="shared" si="53"/>
        <v>0</v>
      </c>
      <c r="BY57" s="382">
        <f t="shared" si="53"/>
        <v>0</v>
      </c>
      <c r="BZ57" s="382">
        <f t="shared" si="53"/>
        <v>0</v>
      </c>
      <c r="CA57" s="382">
        <f t="shared" si="53"/>
        <v>0</v>
      </c>
    </row>
    <row r="58" spans="3:79" ht="21" hidden="1" customHeight="1" outlineLevel="2">
      <c r="C58" s="370"/>
      <c r="D58" s="374">
        <f t="shared" si="40"/>
        <v>45869</v>
      </c>
      <c r="E58" s="408" cm="1">
        <f t="array" ref="E58">INDEX($AF$14:$CA$14,0,MATCH($D58,$AF$8:$CA$8,0))</f>
        <v>28142.5</v>
      </c>
      <c r="G58" s="359"/>
      <c r="H58" s="410">
        <f t="shared" si="47"/>
        <v>0</v>
      </c>
      <c r="I58" s="410">
        <f t="shared" si="47"/>
        <v>0</v>
      </c>
      <c r="J58" s="410">
        <f t="shared" si="47"/>
        <v>28142.5</v>
      </c>
      <c r="K58" s="410">
        <f t="shared" si="47"/>
        <v>0</v>
      </c>
      <c r="L58" s="410"/>
      <c r="M58" s="410"/>
      <c r="N58" s="410">
        <f t="shared" ref="N58:AC67" si="54">SUMIFS($AF58:$CA58,$AF$4:$CA$4,"&gt;="&amp;N$4,$AF$5:$CA$5,"&lt;="&amp;N$5)</f>
        <v>0</v>
      </c>
      <c r="O58" s="410">
        <f t="shared" si="54"/>
        <v>0</v>
      </c>
      <c r="P58" s="410">
        <f t="shared" si="54"/>
        <v>0</v>
      </c>
      <c r="Q58" s="410">
        <f t="shared" si="54"/>
        <v>0</v>
      </c>
      <c r="R58" s="410">
        <f t="shared" si="54"/>
        <v>0</v>
      </c>
      <c r="S58" s="410">
        <f t="shared" si="54"/>
        <v>0</v>
      </c>
      <c r="T58" s="410">
        <f t="shared" si="54"/>
        <v>0</v>
      </c>
      <c r="U58" s="410">
        <f t="shared" si="54"/>
        <v>0</v>
      </c>
      <c r="V58" s="410">
        <f t="shared" si="54"/>
        <v>0</v>
      </c>
      <c r="W58" s="410">
        <f t="shared" si="54"/>
        <v>0</v>
      </c>
      <c r="X58" s="410">
        <f t="shared" si="54"/>
        <v>28142.5</v>
      </c>
      <c r="Y58" s="410">
        <f t="shared" si="54"/>
        <v>0</v>
      </c>
      <c r="Z58" s="410">
        <f t="shared" si="54"/>
        <v>0</v>
      </c>
      <c r="AA58" s="410">
        <f t="shared" si="54"/>
        <v>0</v>
      </c>
      <c r="AB58" s="410">
        <f t="shared" si="54"/>
        <v>0</v>
      </c>
      <c r="AC58" s="410">
        <f t="shared" si="54"/>
        <v>0</v>
      </c>
      <c r="AD58" s="379"/>
      <c r="AE58" s="359"/>
      <c r="AF58" s="382">
        <f t="shared" ref="AF58:AO67" si="55">IF(AND(AF$8&gt;=$D58,(MATCH(AF$8,$AF$8:$CA$8,0)-MATCH($D58,$AF$8:$CA$8,0))&lt;3),$E58/3,0)</f>
        <v>0</v>
      </c>
      <c r="AG58" s="382">
        <f t="shared" si="55"/>
        <v>0</v>
      </c>
      <c r="AH58" s="382">
        <f t="shared" si="55"/>
        <v>0</v>
      </c>
      <c r="AI58" s="382">
        <f t="shared" si="55"/>
        <v>0</v>
      </c>
      <c r="AJ58" s="382">
        <f t="shared" si="55"/>
        <v>0</v>
      </c>
      <c r="AK58" s="382">
        <f t="shared" si="55"/>
        <v>0</v>
      </c>
      <c r="AL58" s="382">
        <f t="shared" si="55"/>
        <v>0</v>
      </c>
      <c r="AM58" s="382">
        <f t="shared" si="55"/>
        <v>0</v>
      </c>
      <c r="AN58" s="382">
        <f t="shared" si="55"/>
        <v>0</v>
      </c>
      <c r="AO58" s="382">
        <f t="shared" si="55"/>
        <v>0</v>
      </c>
      <c r="AP58" s="382">
        <f t="shared" ref="AP58:AY67" si="56">IF(AND(AP$8&gt;=$D58,(MATCH(AP$8,$AF$8:$CA$8,0)-MATCH($D58,$AF$8:$CA$8,0))&lt;3),$E58/3,0)</f>
        <v>0</v>
      </c>
      <c r="AQ58" s="382">
        <f t="shared" si="56"/>
        <v>0</v>
      </c>
      <c r="AR58" s="382">
        <f t="shared" si="56"/>
        <v>0</v>
      </c>
      <c r="AS58" s="382">
        <f t="shared" si="56"/>
        <v>0</v>
      </c>
      <c r="AT58" s="382">
        <f t="shared" si="56"/>
        <v>0</v>
      </c>
      <c r="AU58" s="382">
        <f t="shared" si="56"/>
        <v>0</v>
      </c>
      <c r="AV58" s="382">
        <f t="shared" si="56"/>
        <v>0</v>
      </c>
      <c r="AW58" s="382">
        <f t="shared" si="56"/>
        <v>0</v>
      </c>
      <c r="AX58" s="382">
        <f t="shared" si="56"/>
        <v>0</v>
      </c>
      <c r="AY58" s="382">
        <f t="shared" si="56"/>
        <v>0</v>
      </c>
      <c r="AZ58" s="382">
        <f t="shared" ref="AZ58:BI67" si="57">IF(AND(AZ$8&gt;=$D58,(MATCH(AZ$8,$AF$8:$CA$8,0)-MATCH($D58,$AF$8:$CA$8,0))&lt;3),$E58/3,0)</f>
        <v>0</v>
      </c>
      <c r="BA58" s="382">
        <f t="shared" si="57"/>
        <v>0</v>
      </c>
      <c r="BB58" s="382">
        <f t="shared" si="57"/>
        <v>0</v>
      </c>
      <c r="BC58" s="382">
        <f t="shared" si="57"/>
        <v>0</v>
      </c>
      <c r="BD58" s="382">
        <f t="shared" si="57"/>
        <v>0</v>
      </c>
      <c r="BE58" s="382">
        <f t="shared" si="57"/>
        <v>0</v>
      </c>
      <c r="BF58" s="382">
        <f t="shared" si="57"/>
        <v>0</v>
      </c>
      <c r="BG58" s="382">
        <f t="shared" si="57"/>
        <v>0</v>
      </c>
      <c r="BH58" s="382">
        <f t="shared" si="57"/>
        <v>0</v>
      </c>
      <c r="BI58" s="382">
        <f t="shared" si="57"/>
        <v>0</v>
      </c>
      <c r="BJ58" s="382">
        <f t="shared" ref="BJ58:BS67" si="58">IF(AND(BJ$8&gt;=$D58,(MATCH(BJ$8,$AF$8:$CA$8,0)-MATCH($D58,$AF$8:$CA$8,0))&lt;3),$E58/3,0)</f>
        <v>9380.8333333333339</v>
      </c>
      <c r="BK58" s="382">
        <f t="shared" si="58"/>
        <v>9380.8333333333339</v>
      </c>
      <c r="BL58" s="382">
        <f t="shared" si="58"/>
        <v>9380.8333333333339</v>
      </c>
      <c r="BM58" s="382">
        <f t="shared" si="58"/>
        <v>0</v>
      </c>
      <c r="BN58" s="382">
        <f t="shared" si="58"/>
        <v>0</v>
      </c>
      <c r="BO58" s="382">
        <f t="shared" si="58"/>
        <v>0</v>
      </c>
      <c r="BP58" s="382">
        <f t="shared" si="58"/>
        <v>0</v>
      </c>
      <c r="BQ58" s="382">
        <f t="shared" si="58"/>
        <v>0</v>
      </c>
      <c r="BR58" s="382">
        <f t="shared" si="58"/>
        <v>0</v>
      </c>
      <c r="BS58" s="382">
        <f t="shared" si="58"/>
        <v>0</v>
      </c>
      <c r="BT58" s="382">
        <f t="shared" ref="BT58:CA67" si="59">IF(AND(BT$8&gt;=$D58,(MATCH(BT$8,$AF$8:$CA$8,0)-MATCH($D58,$AF$8:$CA$8,0))&lt;3),$E58/3,0)</f>
        <v>0</v>
      </c>
      <c r="BU58" s="382">
        <f t="shared" si="59"/>
        <v>0</v>
      </c>
      <c r="BV58" s="382">
        <f t="shared" si="59"/>
        <v>0</v>
      </c>
      <c r="BW58" s="382">
        <f t="shared" si="59"/>
        <v>0</v>
      </c>
      <c r="BX58" s="382">
        <f t="shared" si="59"/>
        <v>0</v>
      </c>
      <c r="BY58" s="382">
        <f t="shared" si="59"/>
        <v>0</v>
      </c>
      <c r="BZ58" s="382">
        <f t="shared" si="59"/>
        <v>0</v>
      </c>
      <c r="CA58" s="382">
        <f t="shared" si="59"/>
        <v>0</v>
      </c>
    </row>
    <row r="59" spans="3:79" ht="21" hidden="1" customHeight="1" outlineLevel="2">
      <c r="C59" s="370"/>
      <c r="D59" s="374">
        <f t="shared" si="40"/>
        <v>45900</v>
      </c>
      <c r="E59" s="408" cm="1">
        <f t="array" ref="E59">INDEX($AF$14:$CA$14,0,MATCH($D59,$AF$8:$CA$8,0))</f>
        <v>27130</v>
      </c>
      <c r="G59" s="359"/>
      <c r="H59" s="410">
        <f t="shared" si="47"/>
        <v>0</v>
      </c>
      <c r="I59" s="410">
        <f t="shared" si="47"/>
        <v>0</v>
      </c>
      <c r="J59" s="410">
        <f t="shared" si="47"/>
        <v>27130</v>
      </c>
      <c r="K59" s="410">
        <f t="shared" si="47"/>
        <v>0</v>
      </c>
      <c r="L59" s="410"/>
      <c r="M59" s="410"/>
      <c r="N59" s="410">
        <f t="shared" si="54"/>
        <v>0</v>
      </c>
      <c r="O59" s="410">
        <f t="shared" si="54"/>
        <v>0</v>
      </c>
      <c r="P59" s="410">
        <f t="shared" si="54"/>
        <v>0</v>
      </c>
      <c r="Q59" s="410">
        <f t="shared" si="54"/>
        <v>0</v>
      </c>
      <c r="R59" s="410">
        <f t="shared" si="54"/>
        <v>0</v>
      </c>
      <c r="S59" s="410">
        <f t="shared" si="54"/>
        <v>0</v>
      </c>
      <c r="T59" s="410">
        <f t="shared" si="54"/>
        <v>0</v>
      </c>
      <c r="U59" s="410">
        <f t="shared" si="54"/>
        <v>0</v>
      </c>
      <c r="V59" s="410">
        <f t="shared" si="54"/>
        <v>0</v>
      </c>
      <c r="W59" s="410">
        <f t="shared" si="54"/>
        <v>0</v>
      </c>
      <c r="X59" s="410">
        <f t="shared" si="54"/>
        <v>18086.666666666668</v>
      </c>
      <c r="Y59" s="410">
        <f t="shared" si="54"/>
        <v>9043.3333333333339</v>
      </c>
      <c r="Z59" s="410">
        <f t="shared" si="54"/>
        <v>0</v>
      </c>
      <c r="AA59" s="410">
        <f t="shared" si="54"/>
        <v>0</v>
      </c>
      <c r="AB59" s="410">
        <f t="shared" si="54"/>
        <v>0</v>
      </c>
      <c r="AC59" s="410">
        <f t="shared" si="54"/>
        <v>0</v>
      </c>
      <c r="AD59" s="379"/>
      <c r="AE59" s="359"/>
      <c r="AF59" s="382">
        <f t="shared" si="55"/>
        <v>0</v>
      </c>
      <c r="AG59" s="382">
        <f t="shared" si="55"/>
        <v>0</v>
      </c>
      <c r="AH59" s="382">
        <f t="shared" si="55"/>
        <v>0</v>
      </c>
      <c r="AI59" s="382">
        <f t="shared" si="55"/>
        <v>0</v>
      </c>
      <c r="AJ59" s="382">
        <f t="shared" si="55"/>
        <v>0</v>
      </c>
      <c r="AK59" s="382">
        <f t="shared" si="55"/>
        <v>0</v>
      </c>
      <c r="AL59" s="382">
        <f t="shared" si="55"/>
        <v>0</v>
      </c>
      <c r="AM59" s="382">
        <f t="shared" si="55"/>
        <v>0</v>
      </c>
      <c r="AN59" s="382">
        <f t="shared" si="55"/>
        <v>0</v>
      </c>
      <c r="AO59" s="382">
        <f t="shared" si="55"/>
        <v>0</v>
      </c>
      <c r="AP59" s="382">
        <f t="shared" si="56"/>
        <v>0</v>
      </c>
      <c r="AQ59" s="382">
        <f t="shared" si="56"/>
        <v>0</v>
      </c>
      <c r="AR59" s="382">
        <f t="shared" si="56"/>
        <v>0</v>
      </c>
      <c r="AS59" s="382">
        <f t="shared" si="56"/>
        <v>0</v>
      </c>
      <c r="AT59" s="382">
        <f t="shared" si="56"/>
        <v>0</v>
      </c>
      <c r="AU59" s="382">
        <f t="shared" si="56"/>
        <v>0</v>
      </c>
      <c r="AV59" s="382">
        <f t="shared" si="56"/>
        <v>0</v>
      </c>
      <c r="AW59" s="382">
        <f t="shared" si="56"/>
        <v>0</v>
      </c>
      <c r="AX59" s="382">
        <f t="shared" si="56"/>
        <v>0</v>
      </c>
      <c r="AY59" s="382">
        <f t="shared" si="56"/>
        <v>0</v>
      </c>
      <c r="AZ59" s="382">
        <f t="shared" si="57"/>
        <v>0</v>
      </c>
      <c r="BA59" s="382">
        <f t="shared" si="57"/>
        <v>0</v>
      </c>
      <c r="BB59" s="382">
        <f t="shared" si="57"/>
        <v>0</v>
      </c>
      <c r="BC59" s="382">
        <f t="shared" si="57"/>
        <v>0</v>
      </c>
      <c r="BD59" s="382">
        <f t="shared" si="57"/>
        <v>0</v>
      </c>
      <c r="BE59" s="382">
        <f t="shared" si="57"/>
        <v>0</v>
      </c>
      <c r="BF59" s="382">
        <f t="shared" si="57"/>
        <v>0</v>
      </c>
      <c r="BG59" s="382">
        <f t="shared" si="57"/>
        <v>0</v>
      </c>
      <c r="BH59" s="382">
        <f t="shared" si="57"/>
        <v>0</v>
      </c>
      <c r="BI59" s="382">
        <f t="shared" si="57"/>
        <v>0</v>
      </c>
      <c r="BJ59" s="382">
        <f t="shared" si="58"/>
        <v>0</v>
      </c>
      <c r="BK59" s="382">
        <f t="shared" si="58"/>
        <v>9043.3333333333339</v>
      </c>
      <c r="BL59" s="382">
        <f t="shared" si="58"/>
        <v>9043.3333333333339</v>
      </c>
      <c r="BM59" s="382">
        <f t="shared" si="58"/>
        <v>9043.3333333333339</v>
      </c>
      <c r="BN59" s="382">
        <f t="shared" si="58"/>
        <v>0</v>
      </c>
      <c r="BO59" s="382">
        <f t="shared" si="58"/>
        <v>0</v>
      </c>
      <c r="BP59" s="382">
        <f t="shared" si="58"/>
        <v>0</v>
      </c>
      <c r="BQ59" s="382">
        <f t="shared" si="58"/>
        <v>0</v>
      </c>
      <c r="BR59" s="382">
        <f t="shared" si="58"/>
        <v>0</v>
      </c>
      <c r="BS59" s="382">
        <f t="shared" si="58"/>
        <v>0</v>
      </c>
      <c r="BT59" s="382">
        <f t="shared" si="59"/>
        <v>0</v>
      </c>
      <c r="BU59" s="382">
        <f t="shared" si="59"/>
        <v>0</v>
      </c>
      <c r="BV59" s="382">
        <f t="shared" si="59"/>
        <v>0</v>
      </c>
      <c r="BW59" s="382">
        <f t="shared" si="59"/>
        <v>0</v>
      </c>
      <c r="BX59" s="382">
        <f t="shared" si="59"/>
        <v>0</v>
      </c>
      <c r="BY59" s="382">
        <f t="shared" si="59"/>
        <v>0</v>
      </c>
      <c r="BZ59" s="382">
        <f t="shared" si="59"/>
        <v>0</v>
      </c>
      <c r="CA59" s="382">
        <f t="shared" si="59"/>
        <v>0</v>
      </c>
    </row>
    <row r="60" spans="3:79" ht="21" hidden="1" customHeight="1" outlineLevel="2">
      <c r="C60" s="370"/>
      <c r="D60" s="374">
        <f t="shared" si="40"/>
        <v>45930</v>
      </c>
      <c r="E60" s="408" cm="1">
        <f t="array" ref="E60">INDEX($AF$14:$CA$14,0,MATCH($D60,$AF$8:$CA$8,0))</f>
        <v>17180</v>
      </c>
      <c r="G60" s="359"/>
      <c r="H60" s="410">
        <f t="shared" si="47"/>
        <v>0</v>
      </c>
      <c r="I60" s="410">
        <f t="shared" si="47"/>
        <v>0</v>
      </c>
      <c r="J60" s="410">
        <f t="shared" si="47"/>
        <v>17180</v>
      </c>
      <c r="K60" s="410">
        <f t="shared" si="47"/>
        <v>0</v>
      </c>
      <c r="L60" s="410"/>
      <c r="M60" s="410"/>
      <c r="N60" s="410">
        <f t="shared" si="54"/>
        <v>0</v>
      </c>
      <c r="O60" s="410">
        <f t="shared" si="54"/>
        <v>0</v>
      </c>
      <c r="P60" s="410">
        <f t="shared" si="54"/>
        <v>0</v>
      </c>
      <c r="Q60" s="410">
        <f t="shared" si="54"/>
        <v>0</v>
      </c>
      <c r="R60" s="410">
        <f t="shared" si="54"/>
        <v>0</v>
      </c>
      <c r="S60" s="410">
        <f t="shared" si="54"/>
        <v>0</v>
      </c>
      <c r="T60" s="410">
        <f t="shared" si="54"/>
        <v>0</v>
      </c>
      <c r="U60" s="410">
        <f t="shared" si="54"/>
        <v>0</v>
      </c>
      <c r="V60" s="410">
        <f t="shared" si="54"/>
        <v>0</v>
      </c>
      <c r="W60" s="410">
        <f t="shared" si="54"/>
        <v>0</v>
      </c>
      <c r="X60" s="410">
        <f t="shared" si="54"/>
        <v>5726.666666666667</v>
      </c>
      <c r="Y60" s="410">
        <f t="shared" si="54"/>
        <v>11453.333333333334</v>
      </c>
      <c r="Z60" s="410">
        <f t="shared" si="54"/>
        <v>0</v>
      </c>
      <c r="AA60" s="410">
        <f t="shared" si="54"/>
        <v>0</v>
      </c>
      <c r="AB60" s="410">
        <f t="shared" si="54"/>
        <v>0</v>
      </c>
      <c r="AC60" s="410">
        <f t="shared" si="54"/>
        <v>0</v>
      </c>
      <c r="AD60" s="379"/>
      <c r="AE60" s="359"/>
      <c r="AF60" s="382">
        <f t="shared" si="55"/>
        <v>0</v>
      </c>
      <c r="AG60" s="382">
        <f t="shared" si="55"/>
        <v>0</v>
      </c>
      <c r="AH60" s="382">
        <f t="shared" si="55"/>
        <v>0</v>
      </c>
      <c r="AI60" s="382">
        <f t="shared" si="55"/>
        <v>0</v>
      </c>
      <c r="AJ60" s="382">
        <f t="shared" si="55"/>
        <v>0</v>
      </c>
      <c r="AK60" s="382">
        <f t="shared" si="55"/>
        <v>0</v>
      </c>
      <c r="AL60" s="382">
        <f t="shared" si="55"/>
        <v>0</v>
      </c>
      <c r="AM60" s="382">
        <f t="shared" si="55"/>
        <v>0</v>
      </c>
      <c r="AN60" s="382">
        <f t="shared" si="55"/>
        <v>0</v>
      </c>
      <c r="AO60" s="382">
        <f t="shared" si="55"/>
        <v>0</v>
      </c>
      <c r="AP60" s="382">
        <f t="shared" si="56"/>
        <v>0</v>
      </c>
      <c r="AQ60" s="382">
        <f t="shared" si="56"/>
        <v>0</v>
      </c>
      <c r="AR60" s="382">
        <f t="shared" si="56"/>
        <v>0</v>
      </c>
      <c r="AS60" s="382">
        <f t="shared" si="56"/>
        <v>0</v>
      </c>
      <c r="AT60" s="382">
        <f t="shared" si="56"/>
        <v>0</v>
      </c>
      <c r="AU60" s="382">
        <f t="shared" si="56"/>
        <v>0</v>
      </c>
      <c r="AV60" s="382">
        <f t="shared" si="56"/>
        <v>0</v>
      </c>
      <c r="AW60" s="382">
        <f t="shared" si="56"/>
        <v>0</v>
      </c>
      <c r="AX60" s="382">
        <f t="shared" si="56"/>
        <v>0</v>
      </c>
      <c r="AY60" s="382">
        <f t="shared" si="56"/>
        <v>0</v>
      </c>
      <c r="AZ60" s="382">
        <f t="shared" si="57"/>
        <v>0</v>
      </c>
      <c r="BA60" s="382">
        <f t="shared" si="57"/>
        <v>0</v>
      </c>
      <c r="BB60" s="382">
        <f t="shared" si="57"/>
        <v>0</v>
      </c>
      <c r="BC60" s="382">
        <f t="shared" si="57"/>
        <v>0</v>
      </c>
      <c r="BD60" s="382">
        <f t="shared" si="57"/>
        <v>0</v>
      </c>
      <c r="BE60" s="382">
        <f t="shared" si="57"/>
        <v>0</v>
      </c>
      <c r="BF60" s="382">
        <f t="shared" si="57"/>
        <v>0</v>
      </c>
      <c r="BG60" s="382">
        <f t="shared" si="57"/>
        <v>0</v>
      </c>
      <c r="BH60" s="382">
        <f t="shared" si="57"/>
        <v>0</v>
      </c>
      <c r="BI60" s="382">
        <f t="shared" si="57"/>
        <v>0</v>
      </c>
      <c r="BJ60" s="382">
        <f t="shared" si="58"/>
        <v>0</v>
      </c>
      <c r="BK60" s="382">
        <f t="shared" si="58"/>
        <v>0</v>
      </c>
      <c r="BL60" s="382">
        <f t="shared" si="58"/>
        <v>5726.666666666667</v>
      </c>
      <c r="BM60" s="382">
        <f t="shared" si="58"/>
        <v>5726.666666666667</v>
      </c>
      <c r="BN60" s="382">
        <f t="shared" si="58"/>
        <v>5726.666666666667</v>
      </c>
      <c r="BO60" s="382">
        <f t="shared" si="58"/>
        <v>0</v>
      </c>
      <c r="BP60" s="382">
        <f t="shared" si="58"/>
        <v>0</v>
      </c>
      <c r="BQ60" s="382">
        <f t="shared" si="58"/>
        <v>0</v>
      </c>
      <c r="BR60" s="382">
        <f t="shared" si="58"/>
        <v>0</v>
      </c>
      <c r="BS60" s="382">
        <f t="shared" si="58"/>
        <v>0</v>
      </c>
      <c r="BT60" s="382">
        <f t="shared" si="59"/>
        <v>0</v>
      </c>
      <c r="BU60" s="382">
        <f t="shared" si="59"/>
        <v>0</v>
      </c>
      <c r="BV60" s="382">
        <f t="shared" si="59"/>
        <v>0</v>
      </c>
      <c r="BW60" s="382">
        <f t="shared" si="59"/>
        <v>0</v>
      </c>
      <c r="BX60" s="382">
        <f t="shared" si="59"/>
        <v>0</v>
      </c>
      <c r="BY60" s="382">
        <f t="shared" si="59"/>
        <v>0</v>
      </c>
      <c r="BZ60" s="382">
        <f t="shared" si="59"/>
        <v>0</v>
      </c>
      <c r="CA60" s="382">
        <f t="shared" si="59"/>
        <v>0</v>
      </c>
    </row>
    <row r="61" spans="3:79" ht="21" hidden="1" customHeight="1" outlineLevel="2">
      <c r="C61" s="370"/>
      <c r="D61" s="374">
        <f t="shared" si="40"/>
        <v>45961</v>
      </c>
      <c r="E61" s="408" cm="1">
        <f t="array" ref="E61">INDEX($AF$14:$CA$14,0,MATCH($D61,$AF$8:$CA$8,0))</f>
        <v>28892.5</v>
      </c>
      <c r="G61" s="359"/>
      <c r="H61" s="410">
        <f t="shared" si="47"/>
        <v>0</v>
      </c>
      <c r="I61" s="410">
        <f t="shared" si="47"/>
        <v>0</v>
      </c>
      <c r="J61" s="410">
        <f t="shared" si="47"/>
        <v>28892.5</v>
      </c>
      <c r="K61" s="410">
        <f t="shared" si="47"/>
        <v>0</v>
      </c>
      <c r="L61" s="410"/>
      <c r="M61" s="410"/>
      <c r="N61" s="410">
        <f t="shared" si="54"/>
        <v>0</v>
      </c>
      <c r="O61" s="410">
        <f t="shared" si="54"/>
        <v>0</v>
      </c>
      <c r="P61" s="410">
        <f t="shared" si="54"/>
        <v>0</v>
      </c>
      <c r="Q61" s="410">
        <f t="shared" si="54"/>
        <v>0</v>
      </c>
      <c r="R61" s="410">
        <f t="shared" si="54"/>
        <v>0</v>
      </c>
      <c r="S61" s="410">
        <f t="shared" si="54"/>
        <v>0</v>
      </c>
      <c r="T61" s="410">
        <f t="shared" si="54"/>
        <v>0</v>
      </c>
      <c r="U61" s="410">
        <f t="shared" si="54"/>
        <v>0</v>
      </c>
      <c r="V61" s="410">
        <f t="shared" si="54"/>
        <v>0</v>
      </c>
      <c r="W61" s="410">
        <f t="shared" si="54"/>
        <v>0</v>
      </c>
      <c r="X61" s="410">
        <f t="shared" si="54"/>
        <v>0</v>
      </c>
      <c r="Y61" s="410">
        <f t="shared" si="54"/>
        <v>28892.5</v>
      </c>
      <c r="Z61" s="410">
        <f t="shared" si="54"/>
        <v>0</v>
      </c>
      <c r="AA61" s="410">
        <f t="shared" si="54"/>
        <v>0</v>
      </c>
      <c r="AB61" s="410">
        <f t="shared" si="54"/>
        <v>0</v>
      </c>
      <c r="AC61" s="410">
        <f t="shared" si="54"/>
        <v>0</v>
      </c>
      <c r="AD61" s="379"/>
      <c r="AE61" s="359"/>
      <c r="AF61" s="382">
        <f t="shared" si="55"/>
        <v>0</v>
      </c>
      <c r="AG61" s="382">
        <f t="shared" si="55"/>
        <v>0</v>
      </c>
      <c r="AH61" s="382">
        <f t="shared" si="55"/>
        <v>0</v>
      </c>
      <c r="AI61" s="382">
        <f t="shared" si="55"/>
        <v>0</v>
      </c>
      <c r="AJ61" s="382">
        <f t="shared" si="55"/>
        <v>0</v>
      </c>
      <c r="AK61" s="382">
        <f t="shared" si="55"/>
        <v>0</v>
      </c>
      <c r="AL61" s="382">
        <f t="shared" si="55"/>
        <v>0</v>
      </c>
      <c r="AM61" s="382">
        <f t="shared" si="55"/>
        <v>0</v>
      </c>
      <c r="AN61" s="382">
        <f t="shared" si="55"/>
        <v>0</v>
      </c>
      <c r="AO61" s="382">
        <f t="shared" si="55"/>
        <v>0</v>
      </c>
      <c r="AP61" s="382">
        <f t="shared" si="56"/>
        <v>0</v>
      </c>
      <c r="AQ61" s="382">
        <f t="shared" si="56"/>
        <v>0</v>
      </c>
      <c r="AR61" s="382">
        <f t="shared" si="56"/>
        <v>0</v>
      </c>
      <c r="AS61" s="382">
        <f t="shared" si="56"/>
        <v>0</v>
      </c>
      <c r="AT61" s="382">
        <f t="shared" si="56"/>
        <v>0</v>
      </c>
      <c r="AU61" s="382">
        <f t="shared" si="56"/>
        <v>0</v>
      </c>
      <c r="AV61" s="382">
        <f t="shared" si="56"/>
        <v>0</v>
      </c>
      <c r="AW61" s="382">
        <f t="shared" si="56"/>
        <v>0</v>
      </c>
      <c r="AX61" s="382">
        <f t="shared" si="56"/>
        <v>0</v>
      </c>
      <c r="AY61" s="382">
        <f t="shared" si="56"/>
        <v>0</v>
      </c>
      <c r="AZ61" s="382">
        <f t="shared" si="57"/>
        <v>0</v>
      </c>
      <c r="BA61" s="382">
        <f t="shared" si="57"/>
        <v>0</v>
      </c>
      <c r="BB61" s="382">
        <f t="shared" si="57"/>
        <v>0</v>
      </c>
      <c r="BC61" s="382">
        <f t="shared" si="57"/>
        <v>0</v>
      </c>
      <c r="BD61" s="382">
        <f t="shared" si="57"/>
        <v>0</v>
      </c>
      <c r="BE61" s="382">
        <f t="shared" si="57"/>
        <v>0</v>
      </c>
      <c r="BF61" s="382">
        <f t="shared" si="57"/>
        <v>0</v>
      </c>
      <c r="BG61" s="382">
        <f t="shared" si="57"/>
        <v>0</v>
      </c>
      <c r="BH61" s="382">
        <f t="shared" si="57"/>
        <v>0</v>
      </c>
      <c r="BI61" s="382">
        <f t="shared" si="57"/>
        <v>0</v>
      </c>
      <c r="BJ61" s="382">
        <f t="shared" si="58"/>
        <v>0</v>
      </c>
      <c r="BK61" s="382">
        <f t="shared" si="58"/>
        <v>0</v>
      </c>
      <c r="BL61" s="382">
        <f t="shared" si="58"/>
        <v>0</v>
      </c>
      <c r="BM61" s="382">
        <f t="shared" si="58"/>
        <v>9630.8333333333339</v>
      </c>
      <c r="BN61" s="382">
        <f t="shared" si="58"/>
        <v>9630.8333333333339</v>
      </c>
      <c r="BO61" s="382">
        <f t="shared" si="58"/>
        <v>9630.8333333333339</v>
      </c>
      <c r="BP61" s="382">
        <f t="shared" si="58"/>
        <v>0</v>
      </c>
      <c r="BQ61" s="382">
        <f t="shared" si="58"/>
        <v>0</v>
      </c>
      <c r="BR61" s="382">
        <f t="shared" si="58"/>
        <v>0</v>
      </c>
      <c r="BS61" s="382">
        <f t="shared" si="58"/>
        <v>0</v>
      </c>
      <c r="BT61" s="382">
        <f t="shared" si="59"/>
        <v>0</v>
      </c>
      <c r="BU61" s="382">
        <f t="shared" si="59"/>
        <v>0</v>
      </c>
      <c r="BV61" s="382">
        <f t="shared" si="59"/>
        <v>0</v>
      </c>
      <c r="BW61" s="382">
        <f t="shared" si="59"/>
        <v>0</v>
      </c>
      <c r="BX61" s="382">
        <f t="shared" si="59"/>
        <v>0</v>
      </c>
      <c r="BY61" s="382">
        <f t="shared" si="59"/>
        <v>0</v>
      </c>
      <c r="BZ61" s="382">
        <f t="shared" si="59"/>
        <v>0</v>
      </c>
      <c r="CA61" s="382">
        <f t="shared" si="59"/>
        <v>0</v>
      </c>
    </row>
    <row r="62" spans="3:79" ht="21" hidden="1" customHeight="1" outlineLevel="2">
      <c r="C62" s="370"/>
      <c r="D62" s="374">
        <f t="shared" si="40"/>
        <v>45991</v>
      </c>
      <c r="E62" s="408" cm="1">
        <f t="array" ref="E62">INDEX($AF$14:$CA$14,0,MATCH($D62,$AF$8:$CA$8,0))</f>
        <v>39705</v>
      </c>
      <c r="G62" s="359"/>
      <c r="H62" s="410">
        <f t="shared" si="47"/>
        <v>0</v>
      </c>
      <c r="I62" s="410">
        <f t="shared" si="47"/>
        <v>0</v>
      </c>
      <c r="J62" s="410">
        <f t="shared" si="47"/>
        <v>26470</v>
      </c>
      <c r="K62" s="410">
        <f t="shared" si="47"/>
        <v>13235</v>
      </c>
      <c r="L62" s="410"/>
      <c r="M62" s="410"/>
      <c r="N62" s="410">
        <f t="shared" si="54"/>
        <v>0</v>
      </c>
      <c r="O62" s="410">
        <f t="shared" si="54"/>
        <v>0</v>
      </c>
      <c r="P62" s="410">
        <f t="shared" si="54"/>
        <v>0</v>
      </c>
      <c r="Q62" s="410">
        <f t="shared" si="54"/>
        <v>0</v>
      </c>
      <c r="R62" s="410">
        <f t="shared" si="54"/>
        <v>0</v>
      </c>
      <c r="S62" s="410">
        <f t="shared" si="54"/>
        <v>0</v>
      </c>
      <c r="T62" s="410">
        <f t="shared" si="54"/>
        <v>0</v>
      </c>
      <c r="U62" s="410">
        <f t="shared" si="54"/>
        <v>0</v>
      </c>
      <c r="V62" s="410">
        <f t="shared" si="54"/>
        <v>0</v>
      </c>
      <c r="W62" s="410">
        <f t="shared" si="54"/>
        <v>0</v>
      </c>
      <c r="X62" s="410">
        <f t="shared" si="54"/>
        <v>0</v>
      </c>
      <c r="Y62" s="410">
        <f t="shared" si="54"/>
        <v>26470</v>
      </c>
      <c r="Z62" s="410">
        <f t="shared" si="54"/>
        <v>13235</v>
      </c>
      <c r="AA62" s="410">
        <f t="shared" si="54"/>
        <v>0</v>
      </c>
      <c r="AB62" s="410">
        <f t="shared" si="54"/>
        <v>0</v>
      </c>
      <c r="AC62" s="410">
        <f t="shared" si="54"/>
        <v>0</v>
      </c>
      <c r="AD62" s="379"/>
      <c r="AE62" s="359"/>
      <c r="AF62" s="382">
        <f t="shared" si="55"/>
        <v>0</v>
      </c>
      <c r="AG62" s="382">
        <f t="shared" si="55"/>
        <v>0</v>
      </c>
      <c r="AH62" s="382">
        <f t="shared" si="55"/>
        <v>0</v>
      </c>
      <c r="AI62" s="382">
        <f t="shared" si="55"/>
        <v>0</v>
      </c>
      <c r="AJ62" s="382">
        <f t="shared" si="55"/>
        <v>0</v>
      </c>
      <c r="AK62" s="382">
        <f t="shared" si="55"/>
        <v>0</v>
      </c>
      <c r="AL62" s="382">
        <f t="shared" si="55"/>
        <v>0</v>
      </c>
      <c r="AM62" s="382">
        <f t="shared" si="55"/>
        <v>0</v>
      </c>
      <c r="AN62" s="382">
        <f t="shared" si="55"/>
        <v>0</v>
      </c>
      <c r="AO62" s="382">
        <f t="shared" si="55"/>
        <v>0</v>
      </c>
      <c r="AP62" s="382">
        <f t="shared" si="56"/>
        <v>0</v>
      </c>
      <c r="AQ62" s="382">
        <f t="shared" si="56"/>
        <v>0</v>
      </c>
      <c r="AR62" s="382">
        <f t="shared" si="56"/>
        <v>0</v>
      </c>
      <c r="AS62" s="382">
        <f t="shared" si="56"/>
        <v>0</v>
      </c>
      <c r="AT62" s="382">
        <f t="shared" si="56"/>
        <v>0</v>
      </c>
      <c r="AU62" s="382">
        <f t="shared" si="56"/>
        <v>0</v>
      </c>
      <c r="AV62" s="382">
        <f t="shared" si="56"/>
        <v>0</v>
      </c>
      <c r="AW62" s="382">
        <f t="shared" si="56"/>
        <v>0</v>
      </c>
      <c r="AX62" s="382">
        <f t="shared" si="56"/>
        <v>0</v>
      </c>
      <c r="AY62" s="382">
        <f t="shared" si="56"/>
        <v>0</v>
      </c>
      <c r="AZ62" s="382">
        <f t="shared" si="57"/>
        <v>0</v>
      </c>
      <c r="BA62" s="382">
        <f t="shared" si="57"/>
        <v>0</v>
      </c>
      <c r="BB62" s="382">
        <f t="shared" si="57"/>
        <v>0</v>
      </c>
      <c r="BC62" s="382">
        <f t="shared" si="57"/>
        <v>0</v>
      </c>
      <c r="BD62" s="382">
        <f t="shared" si="57"/>
        <v>0</v>
      </c>
      <c r="BE62" s="382">
        <f t="shared" si="57"/>
        <v>0</v>
      </c>
      <c r="BF62" s="382">
        <f t="shared" si="57"/>
        <v>0</v>
      </c>
      <c r="BG62" s="382">
        <f t="shared" si="57"/>
        <v>0</v>
      </c>
      <c r="BH62" s="382">
        <f t="shared" si="57"/>
        <v>0</v>
      </c>
      <c r="BI62" s="382">
        <f t="shared" si="57"/>
        <v>0</v>
      </c>
      <c r="BJ62" s="382">
        <f t="shared" si="58"/>
        <v>0</v>
      </c>
      <c r="BK62" s="382">
        <f t="shared" si="58"/>
        <v>0</v>
      </c>
      <c r="BL62" s="382">
        <f t="shared" si="58"/>
        <v>0</v>
      </c>
      <c r="BM62" s="382">
        <f t="shared" si="58"/>
        <v>0</v>
      </c>
      <c r="BN62" s="382">
        <f t="shared" si="58"/>
        <v>13235</v>
      </c>
      <c r="BO62" s="382">
        <f t="shared" si="58"/>
        <v>13235</v>
      </c>
      <c r="BP62" s="382">
        <f t="shared" si="58"/>
        <v>13235</v>
      </c>
      <c r="BQ62" s="382">
        <f t="shared" si="58"/>
        <v>0</v>
      </c>
      <c r="BR62" s="382">
        <f t="shared" si="58"/>
        <v>0</v>
      </c>
      <c r="BS62" s="382">
        <f t="shared" si="58"/>
        <v>0</v>
      </c>
      <c r="BT62" s="382">
        <f t="shared" si="59"/>
        <v>0</v>
      </c>
      <c r="BU62" s="382">
        <f t="shared" si="59"/>
        <v>0</v>
      </c>
      <c r="BV62" s="382">
        <f t="shared" si="59"/>
        <v>0</v>
      </c>
      <c r="BW62" s="382">
        <f t="shared" si="59"/>
        <v>0</v>
      </c>
      <c r="BX62" s="382">
        <f t="shared" si="59"/>
        <v>0</v>
      </c>
      <c r="BY62" s="382">
        <f t="shared" si="59"/>
        <v>0</v>
      </c>
      <c r="BZ62" s="382">
        <f t="shared" si="59"/>
        <v>0</v>
      </c>
      <c r="CA62" s="382">
        <f t="shared" si="59"/>
        <v>0</v>
      </c>
    </row>
    <row r="63" spans="3:79" ht="21" hidden="1" customHeight="1" outlineLevel="2">
      <c r="C63" s="370"/>
      <c r="D63" s="374">
        <f t="shared" si="40"/>
        <v>46022</v>
      </c>
      <c r="E63" s="408" cm="1">
        <f t="array" ref="E63">INDEX($AF$14:$CA$14,0,MATCH($D63,$AF$8:$CA$8,0))</f>
        <v>23430</v>
      </c>
      <c r="G63" s="359"/>
      <c r="H63" s="410">
        <f t="shared" si="47"/>
        <v>0</v>
      </c>
      <c r="I63" s="410">
        <f t="shared" si="47"/>
        <v>0</v>
      </c>
      <c r="J63" s="410">
        <f t="shared" si="47"/>
        <v>7810</v>
      </c>
      <c r="K63" s="410">
        <f t="shared" si="47"/>
        <v>15620</v>
      </c>
      <c r="L63" s="410"/>
      <c r="M63" s="410"/>
      <c r="N63" s="410">
        <f t="shared" si="54"/>
        <v>0</v>
      </c>
      <c r="O63" s="410">
        <f t="shared" si="54"/>
        <v>0</v>
      </c>
      <c r="P63" s="410">
        <f t="shared" si="54"/>
        <v>0</v>
      </c>
      <c r="Q63" s="410">
        <f t="shared" si="54"/>
        <v>0</v>
      </c>
      <c r="R63" s="410">
        <f t="shared" si="54"/>
        <v>0</v>
      </c>
      <c r="S63" s="410">
        <f t="shared" si="54"/>
        <v>0</v>
      </c>
      <c r="T63" s="410">
        <f t="shared" si="54"/>
        <v>0</v>
      </c>
      <c r="U63" s="410">
        <f t="shared" si="54"/>
        <v>0</v>
      </c>
      <c r="V63" s="410">
        <f t="shared" si="54"/>
        <v>0</v>
      </c>
      <c r="W63" s="410">
        <f t="shared" si="54"/>
        <v>0</v>
      </c>
      <c r="X63" s="410">
        <f t="shared" si="54"/>
        <v>0</v>
      </c>
      <c r="Y63" s="410">
        <f t="shared" si="54"/>
        <v>7810</v>
      </c>
      <c r="Z63" s="410">
        <f t="shared" si="54"/>
        <v>15620</v>
      </c>
      <c r="AA63" s="410">
        <f t="shared" si="54"/>
        <v>0</v>
      </c>
      <c r="AB63" s="410">
        <f t="shared" si="54"/>
        <v>0</v>
      </c>
      <c r="AC63" s="410">
        <f t="shared" si="54"/>
        <v>0</v>
      </c>
      <c r="AD63" s="379"/>
      <c r="AE63" s="359"/>
      <c r="AF63" s="382">
        <f t="shared" si="55"/>
        <v>0</v>
      </c>
      <c r="AG63" s="382">
        <f t="shared" si="55"/>
        <v>0</v>
      </c>
      <c r="AH63" s="382">
        <f t="shared" si="55"/>
        <v>0</v>
      </c>
      <c r="AI63" s="382">
        <f t="shared" si="55"/>
        <v>0</v>
      </c>
      <c r="AJ63" s="382">
        <f t="shared" si="55"/>
        <v>0</v>
      </c>
      <c r="AK63" s="382">
        <f t="shared" si="55"/>
        <v>0</v>
      </c>
      <c r="AL63" s="382">
        <f t="shared" si="55"/>
        <v>0</v>
      </c>
      <c r="AM63" s="382">
        <f t="shared" si="55"/>
        <v>0</v>
      </c>
      <c r="AN63" s="382">
        <f t="shared" si="55"/>
        <v>0</v>
      </c>
      <c r="AO63" s="382">
        <f t="shared" si="55"/>
        <v>0</v>
      </c>
      <c r="AP63" s="382">
        <f t="shared" si="56"/>
        <v>0</v>
      </c>
      <c r="AQ63" s="382">
        <f t="shared" si="56"/>
        <v>0</v>
      </c>
      <c r="AR63" s="382">
        <f t="shared" si="56"/>
        <v>0</v>
      </c>
      <c r="AS63" s="382">
        <f t="shared" si="56"/>
        <v>0</v>
      </c>
      <c r="AT63" s="382">
        <f t="shared" si="56"/>
        <v>0</v>
      </c>
      <c r="AU63" s="382">
        <f t="shared" si="56"/>
        <v>0</v>
      </c>
      <c r="AV63" s="382">
        <f t="shared" si="56"/>
        <v>0</v>
      </c>
      <c r="AW63" s="382">
        <f t="shared" si="56"/>
        <v>0</v>
      </c>
      <c r="AX63" s="382">
        <f t="shared" si="56"/>
        <v>0</v>
      </c>
      <c r="AY63" s="382">
        <f t="shared" si="56"/>
        <v>0</v>
      </c>
      <c r="AZ63" s="382">
        <f t="shared" si="57"/>
        <v>0</v>
      </c>
      <c r="BA63" s="382">
        <f t="shared" si="57"/>
        <v>0</v>
      </c>
      <c r="BB63" s="382">
        <f t="shared" si="57"/>
        <v>0</v>
      </c>
      <c r="BC63" s="382">
        <f t="shared" si="57"/>
        <v>0</v>
      </c>
      <c r="BD63" s="382">
        <f t="shared" si="57"/>
        <v>0</v>
      </c>
      <c r="BE63" s="382">
        <f t="shared" si="57"/>
        <v>0</v>
      </c>
      <c r="BF63" s="382">
        <f t="shared" si="57"/>
        <v>0</v>
      </c>
      <c r="BG63" s="382">
        <f t="shared" si="57"/>
        <v>0</v>
      </c>
      <c r="BH63" s="382">
        <f t="shared" si="57"/>
        <v>0</v>
      </c>
      <c r="BI63" s="382">
        <f t="shared" si="57"/>
        <v>0</v>
      </c>
      <c r="BJ63" s="382">
        <f t="shared" si="58"/>
        <v>0</v>
      </c>
      <c r="BK63" s="382">
        <f t="shared" si="58"/>
        <v>0</v>
      </c>
      <c r="BL63" s="382">
        <f t="shared" si="58"/>
        <v>0</v>
      </c>
      <c r="BM63" s="382">
        <f t="shared" si="58"/>
        <v>0</v>
      </c>
      <c r="BN63" s="382">
        <f t="shared" si="58"/>
        <v>0</v>
      </c>
      <c r="BO63" s="382">
        <f t="shared" si="58"/>
        <v>7810</v>
      </c>
      <c r="BP63" s="382">
        <f t="shared" si="58"/>
        <v>7810</v>
      </c>
      <c r="BQ63" s="382">
        <f t="shared" si="58"/>
        <v>7810</v>
      </c>
      <c r="BR63" s="382">
        <f t="shared" si="58"/>
        <v>0</v>
      </c>
      <c r="BS63" s="382">
        <f t="shared" si="58"/>
        <v>0</v>
      </c>
      <c r="BT63" s="382">
        <f t="shared" si="59"/>
        <v>0</v>
      </c>
      <c r="BU63" s="382">
        <f t="shared" si="59"/>
        <v>0</v>
      </c>
      <c r="BV63" s="382">
        <f t="shared" si="59"/>
        <v>0</v>
      </c>
      <c r="BW63" s="382">
        <f t="shared" si="59"/>
        <v>0</v>
      </c>
      <c r="BX63" s="382">
        <f t="shared" si="59"/>
        <v>0</v>
      </c>
      <c r="BY63" s="382">
        <f t="shared" si="59"/>
        <v>0</v>
      </c>
      <c r="BZ63" s="382">
        <f t="shared" si="59"/>
        <v>0</v>
      </c>
      <c r="CA63" s="382">
        <f t="shared" si="59"/>
        <v>0</v>
      </c>
    </row>
    <row r="64" spans="3:79" ht="21" hidden="1" customHeight="1" outlineLevel="2">
      <c r="C64" s="370"/>
      <c r="D64" s="374">
        <f t="shared" si="40"/>
        <v>46053</v>
      </c>
      <c r="E64" s="408" cm="1">
        <f t="array" ref="E64">INDEX($AF$14:$CA$14,0,MATCH($D64,$AF$8:$CA$8,0))</f>
        <v>44185</v>
      </c>
      <c r="G64" s="359"/>
      <c r="H64" s="410">
        <f t="shared" si="47"/>
        <v>0</v>
      </c>
      <c r="I64" s="410">
        <f t="shared" si="47"/>
        <v>0</v>
      </c>
      <c r="J64" s="410">
        <f t="shared" si="47"/>
        <v>0</v>
      </c>
      <c r="K64" s="410">
        <f t="shared" si="47"/>
        <v>44185</v>
      </c>
      <c r="L64" s="410"/>
      <c r="M64" s="410"/>
      <c r="N64" s="410">
        <f t="shared" si="54"/>
        <v>0</v>
      </c>
      <c r="O64" s="410">
        <f t="shared" si="54"/>
        <v>0</v>
      </c>
      <c r="P64" s="410">
        <f t="shared" si="54"/>
        <v>0</v>
      </c>
      <c r="Q64" s="410">
        <f t="shared" si="54"/>
        <v>0</v>
      </c>
      <c r="R64" s="410">
        <f t="shared" si="54"/>
        <v>0</v>
      </c>
      <c r="S64" s="410">
        <f t="shared" si="54"/>
        <v>0</v>
      </c>
      <c r="T64" s="410">
        <f t="shared" si="54"/>
        <v>0</v>
      </c>
      <c r="U64" s="410">
        <f t="shared" si="54"/>
        <v>0</v>
      </c>
      <c r="V64" s="410">
        <f t="shared" si="54"/>
        <v>0</v>
      </c>
      <c r="W64" s="410">
        <f t="shared" si="54"/>
        <v>0</v>
      </c>
      <c r="X64" s="410">
        <f t="shared" si="54"/>
        <v>0</v>
      </c>
      <c r="Y64" s="410">
        <f t="shared" si="54"/>
        <v>0</v>
      </c>
      <c r="Z64" s="410">
        <f t="shared" si="54"/>
        <v>44185</v>
      </c>
      <c r="AA64" s="410">
        <f t="shared" si="54"/>
        <v>0</v>
      </c>
      <c r="AB64" s="410">
        <f t="shared" si="54"/>
        <v>0</v>
      </c>
      <c r="AC64" s="410">
        <f t="shared" si="54"/>
        <v>0</v>
      </c>
      <c r="AD64" s="379"/>
      <c r="AE64" s="359"/>
      <c r="AF64" s="382">
        <f t="shared" si="55"/>
        <v>0</v>
      </c>
      <c r="AG64" s="382">
        <f t="shared" si="55"/>
        <v>0</v>
      </c>
      <c r="AH64" s="382">
        <f t="shared" si="55"/>
        <v>0</v>
      </c>
      <c r="AI64" s="382">
        <f t="shared" si="55"/>
        <v>0</v>
      </c>
      <c r="AJ64" s="382">
        <f t="shared" si="55"/>
        <v>0</v>
      </c>
      <c r="AK64" s="382">
        <f t="shared" si="55"/>
        <v>0</v>
      </c>
      <c r="AL64" s="382">
        <f t="shared" si="55"/>
        <v>0</v>
      </c>
      <c r="AM64" s="382">
        <f t="shared" si="55"/>
        <v>0</v>
      </c>
      <c r="AN64" s="382">
        <f t="shared" si="55"/>
        <v>0</v>
      </c>
      <c r="AO64" s="382">
        <f t="shared" si="55"/>
        <v>0</v>
      </c>
      <c r="AP64" s="382">
        <f t="shared" si="56"/>
        <v>0</v>
      </c>
      <c r="AQ64" s="382">
        <f t="shared" si="56"/>
        <v>0</v>
      </c>
      <c r="AR64" s="382">
        <f t="shared" si="56"/>
        <v>0</v>
      </c>
      <c r="AS64" s="382">
        <f t="shared" si="56"/>
        <v>0</v>
      </c>
      <c r="AT64" s="382">
        <f t="shared" si="56"/>
        <v>0</v>
      </c>
      <c r="AU64" s="382">
        <f t="shared" si="56"/>
        <v>0</v>
      </c>
      <c r="AV64" s="382">
        <f t="shared" si="56"/>
        <v>0</v>
      </c>
      <c r="AW64" s="382">
        <f t="shared" si="56"/>
        <v>0</v>
      </c>
      <c r="AX64" s="382">
        <f t="shared" si="56"/>
        <v>0</v>
      </c>
      <c r="AY64" s="382">
        <f t="shared" si="56"/>
        <v>0</v>
      </c>
      <c r="AZ64" s="382">
        <f t="shared" si="57"/>
        <v>0</v>
      </c>
      <c r="BA64" s="382">
        <f t="shared" si="57"/>
        <v>0</v>
      </c>
      <c r="BB64" s="382">
        <f t="shared" si="57"/>
        <v>0</v>
      </c>
      <c r="BC64" s="382">
        <f t="shared" si="57"/>
        <v>0</v>
      </c>
      <c r="BD64" s="382">
        <f t="shared" si="57"/>
        <v>0</v>
      </c>
      <c r="BE64" s="382">
        <f t="shared" si="57"/>
        <v>0</v>
      </c>
      <c r="BF64" s="382">
        <f t="shared" si="57"/>
        <v>0</v>
      </c>
      <c r="BG64" s="382">
        <f t="shared" si="57"/>
        <v>0</v>
      </c>
      <c r="BH64" s="382">
        <f t="shared" si="57"/>
        <v>0</v>
      </c>
      <c r="BI64" s="382">
        <f t="shared" si="57"/>
        <v>0</v>
      </c>
      <c r="BJ64" s="382">
        <f t="shared" si="58"/>
        <v>0</v>
      </c>
      <c r="BK64" s="382">
        <f t="shared" si="58"/>
        <v>0</v>
      </c>
      <c r="BL64" s="382">
        <f t="shared" si="58"/>
        <v>0</v>
      </c>
      <c r="BM64" s="382">
        <f t="shared" si="58"/>
        <v>0</v>
      </c>
      <c r="BN64" s="382">
        <f t="shared" si="58"/>
        <v>0</v>
      </c>
      <c r="BO64" s="382">
        <f t="shared" si="58"/>
        <v>0</v>
      </c>
      <c r="BP64" s="382">
        <f t="shared" si="58"/>
        <v>14728.333333333334</v>
      </c>
      <c r="BQ64" s="382">
        <f t="shared" si="58"/>
        <v>14728.333333333334</v>
      </c>
      <c r="BR64" s="382">
        <f t="shared" si="58"/>
        <v>14728.333333333334</v>
      </c>
      <c r="BS64" s="382">
        <f t="shared" si="58"/>
        <v>0</v>
      </c>
      <c r="BT64" s="382">
        <f t="shared" si="59"/>
        <v>0</v>
      </c>
      <c r="BU64" s="382">
        <f t="shared" si="59"/>
        <v>0</v>
      </c>
      <c r="BV64" s="382">
        <f t="shared" si="59"/>
        <v>0</v>
      </c>
      <c r="BW64" s="382">
        <f t="shared" si="59"/>
        <v>0</v>
      </c>
      <c r="BX64" s="382">
        <f t="shared" si="59"/>
        <v>0</v>
      </c>
      <c r="BY64" s="382">
        <f t="shared" si="59"/>
        <v>0</v>
      </c>
      <c r="BZ64" s="382">
        <f t="shared" si="59"/>
        <v>0</v>
      </c>
      <c r="CA64" s="382">
        <f t="shared" si="59"/>
        <v>0</v>
      </c>
    </row>
    <row r="65" spans="3:79" ht="21" hidden="1" customHeight="1" outlineLevel="2">
      <c r="C65" s="370"/>
      <c r="D65" s="374">
        <f t="shared" si="40"/>
        <v>46081</v>
      </c>
      <c r="E65" s="408" cm="1">
        <f t="array" ref="E65">INDEX($AF$14:$CA$14,0,MATCH($D65,$AF$8:$CA$8,0))</f>
        <v>84980</v>
      </c>
      <c r="G65" s="359"/>
      <c r="H65" s="410">
        <f t="shared" si="47"/>
        <v>0</v>
      </c>
      <c r="I65" s="410">
        <f t="shared" si="47"/>
        <v>0</v>
      </c>
      <c r="J65" s="410">
        <f t="shared" si="47"/>
        <v>0</v>
      </c>
      <c r="K65" s="410">
        <f t="shared" si="47"/>
        <v>84980</v>
      </c>
      <c r="L65" s="410"/>
      <c r="M65" s="410"/>
      <c r="N65" s="410">
        <f t="shared" si="54"/>
        <v>0</v>
      </c>
      <c r="O65" s="410">
        <f t="shared" si="54"/>
        <v>0</v>
      </c>
      <c r="P65" s="410">
        <f t="shared" si="54"/>
        <v>0</v>
      </c>
      <c r="Q65" s="410">
        <f t="shared" si="54"/>
        <v>0</v>
      </c>
      <c r="R65" s="410">
        <f t="shared" si="54"/>
        <v>0</v>
      </c>
      <c r="S65" s="410">
        <f t="shared" si="54"/>
        <v>0</v>
      </c>
      <c r="T65" s="410">
        <f t="shared" si="54"/>
        <v>0</v>
      </c>
      <c r="U65" s="410">
        <f t="shared" si="54"/>
        <v>0</v>
      </c>
      <c r="V65" s="410">
        <f t="shared" si="54"/>
        <v>0</v>
      </c>
      <c r="W65" s="410">
        <f t="shared" si="54"/>
        <v>0</v>
      </c>
      <c r="X65" s="410">
        <f t="shared" si="54"/>
        <v>0</v>
      </c>
      <c r="Y65" s="410">
        <f t="shared" si="54"/>
        <v>0</v>
      </c>
      <c r="Z65" s="410">
        <f t="shared" si="54"/>
        <v>56653.333333333336</v>
      </c>
      <c r="AA65" s="410">
        <f t="shared" si="54"/>
        <v>28326.666666666668</v>
      </c>
      <c r="AB65" s="410">
        <f t="shared" si="54"/>
        <v>0</v>
      </c>
      <c r="AC65" s="410">
        <f t="shared" si="54"/>
        <v>0</v>
      </c>
      <c r="AD65" s="379"/>
      <c r="AE65" s="359"/>
      <c r="AF65" s="382">
        <f t="shared" si="55"/>
        <v>0</v>
      </c>
      <c r="AG65" s="382">
        <f t="shared" si="55"/>
        <v>0</v>
      </c>
      <c r="AH65" s="382">
        <f t="shared" si="55"/>
        <v>0</v>
      </c>
      <c r="AI65" s="382">
        <f t="shared" si="55"/>
        <v>0</v>
      </c>
      <c r="AJ65" s="382">
        <f t="shared" si="55"/>
        <v>0</v>
      </c>
      <c r="AK65" s="382">
        <f t="shared" si="55"/>
        <v>0</v>
      </c>
      <c r="AL65" s="382">
        <f t="shared" si="55"/>
        <v>0</v>
      </c>
      <c r="AM65" s="382">
        <f t="shared" si="55"/>
        <v>0</v>
      </c>
      <c r="AN65" s="382">
        <f t="shared" si="55"/>
        <v>0</v>
      </c>
      <c r="AO65" s="382">
        <f t="shared" si="55"/>
        <v>0</v>
      </c>
      <c r="AP65" s="382">
        <f t="shared" si="56"/>
        <v>0</v>
      </c>
      <c r="AQ65" s="382">
        <f t="shared" si="56"/>
        <v>0</v>
      </c>
      <c r="AR65" s="382">
        <f t="shared" si="56"/>
        <v>0</v>
      </c>
      <c r="AS65" s="382">
        <f t="shared" si="56"/>
        <v>0</v>
      </c>
      <c r="AT65" s="382">
        <f t="shared" si="56"/>
        <v>0</v>
      </c>
      <c r="AU65" s="382">
        <f t="shared" si="56"/>
        <v>0</v>
      </c>
      <c r="AV65" s="382">
        <f t="shared" si="56"/>
        <v>0</v>
      </c>
      <c r="AW65" s="382">
        <f t="shared" si="56"/>
        <v>0</v>
      </c>
      <c r="AX65" s="382">
        <f t="shared" si="56"/>
        <v>0</v>
      </c>
      <c r="AY65" s="382">
        <f t="shared" si="56"/>
        <v>0</v>
      </c>
      <c r="AZ65" s="382">
        <f t="shared" si="57"/>
        <v>0</v>
      </c>
      <c r="BA65" s="382">
        <f t="shared" si="57"/>
        <v>0</v>
      </c>
      <c r="BB65" s="382">
        <f t="shared" si="57"/>
        <v>0</v>
      </c>
      <c r="BC65" s="382">
        <f t="shared" si="57"/>
        <v>0</v>
      </c>
      <c r="BD65" s="382">
        <f t="shared" si="57"/>
        <v>0</v>
      </c>
      <c r="BE65" s="382">
        <f t="shared" si="57"/>
        <v>0</v>
      </c>
      <c r="BF65" s="382">
        <f t="shared" si="57"/>
        <v>0</v>
      </c>
      <c r="BG65" s="382">
        <f t="shared" si="57"/>
        <v>0</v>
      </c>
      <c r="BH65" s="382">
        <f t="shared" si="57"/>
        <v>0</v>
      </c>
      <c r="BI65" s="382">
        <f t="shared" si="57"/>
        <v>0</v>
      </c>
      <c r="BJ65" s="382">
        <f t="shared" si="58"/>
        <v>0</v>
      </c>
      <c r="BK65" s="382">
        <f t="shared" si="58"/>
        <v>0</v>
      </c>
      <c r="BL65" s="382">
        <f t="shared" si="58"/>
        <v>0</v>
      </c>
      <c r="BM65" s="382">
        <f t="shared" si="58"/>
        <v>0</v>
      </c>
      <c r="BN65" s="382">
        <f t="shared" si="58"/>
        <v>0</v>
      </c>
      <c r="BO65" s="382">
        <f t="shared" si="58"/>
        <v>0</v>
      </c>
      <c r="BP65" s="382">
        <f t="shared" si="58"/>
        <v>0</v>
      </c>
      <c r="BQ65" s="382">
        <f t="shared" si="58"/>
        <v>28326.666666666668</v>
      </c>
      <c r="BR65" s="382">
        <f t="shared" si="58"/>
        <v>28326.666666666668</v>
      </c>
      <c r="BS65" s="382">
        <f t="shared" si="58"/>
        <v>28326.666666666668</v>
      </c>
      <c r="BT65" s="382">
        <f t="shared" si="59"/>
        <v>0</v>
      </c>
      <c r="BU65" s="382">
        <f t="shared" si="59"/>
        <v>0</v>
      </c>
      <c r="BV65" s="382">
        <f t="shared" si="59"/>
        <v>0</v>
      </c>
      <c r="BW65" s="382">
        <f t="shared" si="59"/>
        <v>0</v>
      </c>
      <c r="BX65" s="382">
        <f t="shared" si="59"/>
        <v>0</v>
      </c>
      <c r="BY65" s="382">
        <f t="shared" si="59"/>
        <v>0</v>
      </c>
      <c r="BZ65" s="382">
        <f t="shared" si="59"/>
        <v>0</v>
      </c>
      <c r="CA65" s="382">
        <f t="shared" si="59"/>
        <v>0</v>
      </c>
    </row>
    <row r="66" spans="3:79" ht="21" hidden="1" customHeight="1" outlineLevel="2">
      <c r="C66" s="370"/>
      <c r="D66" s="374">
        <f t="shared" si="40"/>
        <v>46112</v>
      </c>
      <c r="E66" s="408" cm="1">
        <f t="array" ref="E66">INDEX($AF$14:$CA$14,0,MATCH($D66,$AF$8:$CA$8,0))</f>
        <v>70442.5</v>
      </c>
      <c r="G66" s="359"/>
      <c r="H66" s="410">
        <f t="shared" si="47"/>
        <v>0</v>
      </c>
      <c r="I66" s="410">
        <f t="shared" si="47"/>
        <v>0</v>
      </c>
      <c r="J66" s="410">
        <f t="shared" si="47"/>
        <v>0</v>
      </c>
      <c r="K66" s="410">
        <f t="shared" si="47"/>
        <v>70442.5</v>
      </c>
      <c r="L66" s="410"/>
      <c r="M66" s="410"/>
      <c r="N66" s="410">
        <f t="shared" si="54"/>
        <v>0</v>
      </c>
      <c r="O66" s="410">
        <f t="shared" si="54"/>
        <v>0</v>
      </c>
      <c r="P66" s="410">
        <f t="shared" si="54"/>
        <v>0</v>
      </c>
      <c r="Q66" s="410">
        <f t="shared" si="54"/>
        <v>0</v>
      </c>
      <c r="R66" s="410">
        <f t="shared" si="54"/>
        <v>0</v>
      </c>
      <c r="S66" s="410">
        <f t="shared" si="54"/>
        <v>0</v>
      </c>
      <c r="T66" s="410">
        <f t="shared" si="54"/>
        <v>0</v>
      </c>
      <c r="U66" s="410">
        <f t="shared" si="54"/>
        <v>0</v>
      </c>
      <c r="V66" s="410">
        <f t="shared" si="54"/>
        <v>0</v>
      </c>
      <c r="W66" s="410">
        <f t="shared" si="54"/>
        <v>0</v>
      </c>
      <c r="X66" s="410">
        <f t="shared" si="54"/>
        <v>0</v>
      </c>
      <c r="Y66" s="410">
        <f t="shared" si="54"/>
        <v>0</v>
      </c>
      <c r="Z66" s="410">
        <f t="shared" si="54"/>
        <v>23480.833333333332</v>
      </c>
      <c r="AA66" s="410">
        <f t="shared" si="54"/>
        <v>46961.666666666664</v>
      </c>
      <c r="AB66" s="410">
        <f t="shared" si="54"/>
        <v>0</v>
      </c>
      <c r="AC66" s="410">
        <f t="shared" si="54"/>
        <v>0</v>
      </c>
      <c r="AD66" s="379"/>
      <c r="AE66" s="359"/>
      <c r="AF66" s="382">
        <f t="shared" si="55"/>
        <v>0</v>
      </c>
      <c r="AG66" s="382">
        <f t="shared" si="55"/>
        <v>0</v>
      </c>
      <c r="AH66" s="382">
        <f t="shared" si="55"/>
        <v>0</v>
      </c>
      <c r="AI66" s="382">
        <f t="shared" si="55"/>
        <v>0</v>
      </c>
      <c r="AJ66" s="382">
        <f t="shared" si="55"/>
        <v>0</v>
      </c>
      <c r="AK66" s="382">
        <f t="shared" si="55"/>
        <v>0</v>
      </c>
      <c r="AL66" s="382">
        <f t="shared" si="55"/>
        <v>0</v>
      </c>
      <c r="AM66" s="382">
        <f t="shared" si="55"/>
        <v>0</v>
      </c>
      <c r="AN66" s="382">
        <f t="shared" si="55"/>
        <v>0</v>
      </c>
      <c r="AO66" s="382">
        <f t="shared" si="55"/>
        <v>0</v>
      </c>
      <c r="AP66" s="382">
        <f t="shared" si="56"/>
        <v>0</v>
      </c>
      <c r="AQ66" s="382">
        <f t="shared" si="56"/>
        <v>0</v>
      </c>
      <c r="AR66" s="382">
        <f t="shared" si="56"/>
        <v>0</v>
      </c>
      <c r="AS66" s="382">
        <f t="shared" si="56"/>
        <v>0</v>
      </c>
      <c r="AT66" s="382">
        <f t="shared" si="56"/>
        <v>0</v>
      </c>
      <c r="AU66" s="382">
        <f t="shared" si="56"/>
        <v>0</v>
      </c>
      <c r="AV66" s="382">
        <f t="shared" si="56"/>
        <v>0</v>
      </c>
      <c r="AW66" s="382">
        <f t="shared" si="56"/>
        <v>0</v>
      </c>
      <c r="AX66" s="382">
        <f t="shared" si="56"/>
        <v>0</v>
      </c>
      <c r="AY66" s="382">
        <f t="shared" si="56"/>
        <v>0</v>
      </c>
      <c r="AZ66" s="382">
        <f t="shared" si="57"/>
        <v>0</v>
      </c>
      <c r="BA66" s="382">
        <f t="shared" si="57"/>
        <v>0</v>
      </c>
      <c r="BB66" s="382">
        <f t="shared" si="57"/>
        <v>0</v>
      </c>
      <c r="BC66" s="382">
        <f t="shared" si="57"/>
        <v>0</v>
      </c>
      <c r="BD66" s="382">
        <f t="shared" si="57"/>
        <v>0</v>
      </c>
      <c r="BE66" s="382">
        <f t="shared" si="57"/>
        <v>0</v>
      </c>
      <c r="BF66" s="382">
        <f t="shared" si="57"/>
        <v>0</v>
      </c>
      <c r="BG66" s="382">
        <f t="shared" si="57"/>
        <v>0</v>
      </c>
      <c r="BH66" s="382">
        <f t="shared" si="57"/>
        <v>0</v>
      </c>
      <c r="BI66" s="382">
        <f t="shared" si="57"/>
        <v>0</v>
      </c>
      <c r="BJ66" s="382">
        <f t="shared" si="58"/>
        <v>0</v>
      </c>
      <c r="BK66" s="382">
        <f t="shared" si="58"/>
        <v>0</v>
      </c>
      <c r="BL66" s="382">
        <f t="shared" si="58"/>
        <v>0</v>
      </c>
      <c r="BM66" s="382">
        <f t="shared" si="58"/>
        <v>0</v>
      </c>
      <c r="BN66" s="382">
        <f t="shared" si="58"/>
        <v>0</v>
      </c>
      <c r="BO66" s="382">
        <f t="shared" si="58"/>
        <v>0</v>
      </c>
      <c r="BP66" s="382">
        <f t="shared" si="58"/>
        <v>0</v>
      </c>
      <c r="BQ66" s="382">
        <f t="shared" si="58"/>
        <v>0</v>
      </c>
      <c r="BR66" s="382">
        <f t="shared" si="58"/>
        <v>23480.833333333332</v>
      </c>
      <c r="BS66" s="382">
        <f t="shared" si="58"/>
        <v>23480.833333333332</v>
      </c>
      <c r="BT66" s="382">
        <f t="shared" si="59"/>
        <v>23480.833333333332</v>
      </c>
      <c r="BU66" s="382">
        <f t="shared" si="59"/>
        <v>0</v>
      </c>
      <c r="BV66" s="382">
        <f t="shared" si="59"/>
        <v>0</v>
      </c>
      <c r="BW66" s="382">
        <f t="shared" si="59"/>
        <v>0</v>
      </c>
      <c r="BX66" s="382">
        <f t="shared" si="59"/>
        <v>0</v>
      </c>
      <c r="BY66" s="382">
        <f t="shared" si="59"/>
        <v>0</v>
      </c>
      <c r="BZ66" s="382">
        <f t="shared" si="59"/>
        <v>0</v>
      </c>
      <c r="CA66" s="382">
        <f t="shared" si="59"/>
        <v>0</v>
      </c>
    </row>
    <row r="67" spans="3:79" ht="21" hidden="1" customHeight="1" outlineLevel="2">
      <c r="C67" s="370"/>
      <c r="D67" s="374">
        <f t="shared" si="40"/>
        <v>46142</v>
      </c>
      <c r="E67" s="408" cm="1">
        <f t="array" ref="E67">INDEX($AF$14:$CA$14,0,MATCH($D67,$AF$8:$CA$8,0))</f>
        <v>44185</v>
      </c>
      <c r="G67" s="359"/>
      <c r="H67" s="410">
        <f t="shared" si="47"/>
        <v>0</v>
      </c>
      <c r="I67" s="410">
        <f t="shared" si="47"/>
        <v>0</v>
      </c>
      <c r="J67" s="410">
        <f t="shared" si="47"/>
        <v>0</v>
      </c>
      <c r="K67" s="410">
        <f t="shared" si="47"/>
        <v>44185</v>
      </c>
      <c r="L67" s="410"/>
      <c r="M67" s="410"/>
      <c r="N67" s="410">
        <f t="shared" si="54"/>
        <v>0</v>
      </c>
      <c r="O67" s="410">
        <f t="shared" si="54"/>
        <v>0</v>
      </c>
      <c r="P67" s="410">
        <f t="shared" si="54"/>
        <v>0</v>
      </c>
      <c r="Q67" s="410">
        <f t="shared" si="54"/>
        <v>0</v>
      </c>
      <c r="R67" s="410">
        <f t="shared" si="54"/>
        <v>0</v>
      </c>
      <c r="S67" s="410">
        <f t="shared" si="54"/>
        <v>0</v>
      </c>
      <c r="T67" s="410">
        <f t="shared" si="54"/>
        <v>0</v>
      </c>
      <c r="U67" s="410">
        <f t="shared" si="54"/>
        <v>0</v>
      </c>
      <c r="V67" s="410">
        <f t="shared" si="54"/>
        <v>0</v>
      </c>
      <c r="W67" s="410">
        <f t="shared" si="54"/>
        <v>0</v>
      </c>
      <c r="X67" s="410">
        <f t="shared" si="54"/>
        <v>0</v>
      </c>
      <c r="Y67" s="410">
        <f t="shared" si="54"/>
        <v>0</v>
      </c>
      <c r="Z67" s="410">
        <f t="shared" si="54"/>
        <v>0</v>
      </c>
      <c r="AA67" s="410">
        <f t="shared" si="54"/>
        <v>44185</v>
      </c>
      <c r="AB67" s="410">
        <f t="shared" si="54"/>
        <v>0</v>
      </c>
      <c r="AC67" s="410">
        <f t="shared" si="54"/>
        <v>0</v>
      </c>
      <c r="AD67" s="379"/>
      <c r="AE67" s="359"/>
      <c r="AF67" s="382">
        <f t="shared" si="55"/>
        <v>0</v>
      </c>
      <c r="AG67" s="382">
        <f t="shared" si="55"/>
        <v>0</v>
      </c>
      <c r="AH67" s="382">
        <f t="shared" si="55"/>
        <v>0</v>
      </c>
      <c r="AI67" s="382">
        <f t="shared" si="55"/>
        <v>0</v>
      </c>
      <c r="AJ67" s="382">
        <f t="shared" si="55"/>
        <v>0</v>
      </c>
      <c r="AK67" s="382">
        <f t="shared" si="55"/>
        <v>0</v>
      </c>
      <c r="AL67" s="382">
        <f t="shared" si="55"/>
        <v>0</v>
      </c>
      <c r="AM67" s="382">
        <f t="shared" si="55"/>
        <v>0</v>
      </c>
      <c r="AN67" s="382">
        <f t="shared" si="55"/>
        <v>0</v>
      </c>
      <c r="AO67" s="382">
        <f t="shared" si="55"/>
        <v>0</v>
      </c>
      <c r="AP67" s="382">
        <f t="shared" si="56"/>
        <v>0</v>
      </c>
      <c r="AQ67" s="382">
        <f t="shared" si="56"/>
        <v>0</v>
      </c>
      <c r="AR67" s="382">
        <f t="shared" si="56"/>
        <v>0</v>
      </c>
      <c r="AS67" s="382">
        <f t="shared" si="56"/>
        <v>0</v>
      </c>
      <c r="AT67" s="382">
        <f t="shared" si="56"/>
        <v>0</v>
      </c>
      <c r="AU67" s="382">
        <f t="shared" si="56"/>
        <v>0</v>
      </c>
      <c r="AV67" s="382">
        <f t="shared" si="56"/>
        <v>0</v>
      </c>
      <c r="AW67" s="382">
        <f t="shared" si="56"/>
        <v>0</v>
      </c>
      <c r="AX67" s="382">
        <f t="shared" si="56"/>
        <v>0</v>
      </c>
      <c r="AY67" s="382">
        <f t="shared" si="56"/>
        <v>0</v>
      </c>
      <c r="AZ67" s="382">
        <f t="shared" si="57"/>
        <v>0</v>
      </c>
      <c r="BA67" s="382">
        <f t="shared" si="57"/>
        <v>0</v>
      </c>
      <c r="BB67" s="382">
        <f t="shared" si="57"/>
        <v>0</v>
      </c>
      <c r="BC67" s="382">
        <f t="shared" si="57"/>
        <v>0</v>
      </c>
      <c r="BD67" s="382">
        <f t="shared" si="57"/>
        <v>0</v>
      </c>
      <c r="BE67" s="382">
        <f t="shared" si="57"/>
        <v>0</v>
      </c>
      <c r="BF67" s="382">
        <f t="shared" si="57"/>
        <v>0</v>
      </c>
      <c r="BG67" s="382">
        <f t="shared" si="57"/>
        <v>0</v>
      </c>
      <c r="BH67" s="382">
        <f t="shared" si="57"/>
        <v>0</v>
      </c>
      <c r="BI67" s="382">
        <f t="shared" si="57"/>
        <v>0</v>
      </c>
      <c r="BJ67" s="382">
        <f t="shared" si="58"/>
        <v>0</v>
      </c>
      <c r="BK67" s="382">
        <f t="shared" si="58"/>
        <v>0</v>
      </c>
      <c r="BL67" s="382">
        <f t="shared" si="58"/>
        <v>0</v>
      </c>
      <c r="BM67" s="382">
        <f t="shared" si="58"/>
        <v>0</v>
      </c>
      <c r="BN67" s="382">
        <f t="shared" si="58"/>
        <v>0</v>
      </c>
      <c r="BO67" s="382">
        <f t="shared" si="58"/>
        <v>0</v>
      </c>
      <c r="BP67" s="382">
        <f t="shared" si="58"/>
        <v>0</v>
      </c>
      <c r="BQ67" s="382">
        <f t="shared" si="58"/>
        <v>0</v>
      </c>
      <c r="BR67" s="382">
        <f t="shared" si="58"/>
        <v>0</v>
      </c>
      <c r="BS67" s="382">
        <f t="shared" si="58"/>
        <v>14728.333333333334</v>
      </c>
      <c r="BT67" s="382">
        <f t="shared" si="59"/>
        <v>14728.333333333334</v>
      </c>
      <c r="BU67" s="382">
        <f t="shared" si="59"/>
        <v>14728.333333333334</v>
      </c>
      <c r="BV67" s="382">
        <f t="shared" si="59"/>
        <v>0</v>
      </c>
      <c r="BW67" s="382">
        <f t="shared" si="59"/>
        <v>0</v>
      </c>
      <c r="BX67" s="382">
        <f t="shared" si="59"/>
        <v>0</v>
      </c>
      <c r="BY67" s="382">
        <f t="shared" si="59"/>
        <v>0</v>
      </c>
      <c r="BZ67" s="382">
        <f t="shared" si="59"/>
        <v>0</v>
      </c>
      <c r="CA67" s="382">
        <f t="shared" si="59"/>
        <v>0</v>
      </c>
    </row>
    <row r="68" spans="3:79" ht="21" hidden="1" customHeight="1" outlineLevel="2">
      <c r="C68" s="370"/>
      <c r="D68" s="374">
        <f t="shared" si="40"/>
        <v>46173</v>
      </c>
      <c r="E68" s="408" cm="1">
        <f t="array" ref="E68">INDEX($AF$14:$CA$14,0,MATCH($D68,$AF$8:$CA$8,0))</f>
        <v>84980</v>
      </c>
      <c r="G68" s="359"/>
      <c r="H68" s="410">
        <f t="shared" ref="H68:K75" si="60">SUMIFS($AF68:$CA68,$AF$4:$CA$4,"&gt;="&amp;H$4,$AF$5:$CA$5,"&lt;="&amp;H$5)</f>
        <v>0</v>
      </c>
      <c r="I68" s="410">
        <f t="shared" si="60"/>
        <v>0</v>
      </c>
      <c r="J68" s="410">
        <f t="shared" si="60"/>
        <v>0</v>
      </c>
      <c r="K68" s="410">
        <f t="shared" si="60"/>
        <v>84980</v>
      </c>
      <c r="L68" s="410"/>
      <c r="M68" s="410"/>
      <c r="N68" s="410">
        <f t="shared" ref="N68:AC75" si="61">SUMIFS($AF68:$CA68,$AF$4:$CA$4,"&gt;="&amp;N$4,$AF$5:$CA$5,"&lt;="&amp;N$5)</f>
        <v>0</v>
      </c>
      <c r="O68" s="410">
        <f t="shared" si="61"/>
        <v>0</v>
      </c>
      <c r="P68" s="410">
        <f t="shared" si="61"/>
        <v>0</v>
      </c>
      <c r="Q68" s="410">
        <f t="shared" si="61"/>
        <v>0</v>
      </c>
      <c r="R68" s="410">
        <f t="shared" si="61"/>
        <v>0</v>
      </c>
      <c r="S68" s="410">
        <f t="shared" si="61"/>
        <v>0</v>
      </c>
      <c r="T68" s="410">
        <f t="shared" si="61"/>
        <v>0</v>
      </c>
      <c r="U68" s="410">
        <f t="shared" si="61"/>
        <v>0</v>
      </c>
      <c r="V68" s="410">
        <f t="shared" si="61"/>
        <v>0</v>
      </c>
      <c r="W68" s="410">
        <f t="shared" si="61"/>
        <v>0</v>
      </c>
      <c r="X68" s="410">
        <f t="shared" si="61"/>
        <v>0</v>
      </c>
      <c r="Y68" s="410">
        <f t="shared" si="61"/>
        <v>0</v>
      </c>
      <c r="Z68" s="410">
        <f t="shared" si="61"/>
        <v>0</v>
      </c>
      <c r="AA68" s="410">
        <f t="shared" si="61"/>
        <v>56653.333333333336</v>
      </c>
      <c r="AB68" s="410">
        <f t="shared" si="61"/>
        <v>28326.666666666668</v>
      </c>
      <c r="AC68" s="410">
        <f t="shared" si="61"/>
        <v>0</v>
      </c>
      <c r="AD68" s="379"/>
      <c r="AE68" s="359"/>
      <c r="AF68" s="382">
        <f t="shared" ref="AF68:AO75" si="62">IF(AND(AF$8&gt;=$D68,(MATCH(AF$8,$AF$8:$CA$8,0)-MATCH($D68,$AF$8:$CA$8,0))&lt;3),$E68/3,0)</f>
        <v>0</v>
      </c>
      <c r="AG68" s="382">
        <f t="shared" si="62"/>
        <v>0</v>
      </c>
      <c r="AH68" s="382">
        <f t="shared" si="62"/>
        <v>0</v>
      </c>
      <c r="AI68" s="382">
        <f t="shared" si="62"/>
        <v>0</v>
      </c>
      <c r="AJ68" s="382">
        <f t="shared" si="62"/>
        <v>0</v>
      </c>
      <c r="AK68" s="382">
        <f t="shared" si="62"/>
        <v>0</v>
      </c>
      <c r="AL68" s="382">
        <f t="shared" si="62"/>
        <v>0</v>
      </c>
      <c r="AM68" s="382">
        <f t="shared" si="62"/>
        <v>0</v>
      </c>
      <c r="AN68" s="382">
        <f t="shared" si="62"/>
        <v>0</v>
      </c>
      <c r="AO68" s="382">
        <f t="shared" si="62"/>
        <v>0</v>
      </c>
      <c r="AP68" s="382">
        <f t="shared" ref="AP68:AY75" si="63">IF(AND(AP$8&gt;=$D68,(MATCH(AP$8,$AF$8:$CA$8,0)-MATCH($D68,$AF$8:$CA$8,0))&lt;3),$E68/3,0)</f>
        <v>0</v>
      </c>
      <c r="AQ68" s="382">
        <f t="shared" si="63"/>
        <v>0</v>
      </c>
      <c r="AR68" s="382">
        <f t="shared" si="63"/>
        <v>0</v>
      </c>
      <c r="AS68" s="382">
        <f t="shared" si="63"/>
        <v>0</v>
      </c>
      <c r="AT68" s="382">
        <f t="shared" si="63"/>
        <v>0</v>
      </c>
      <c r="AU68" s="382">
        <f t="shared" si="63"/>
        <v>0</v>
      </c>
      <c r="AV68" s="382">
        <f t="shared" si="63"/>
        <v>0</v>
      </c>
      <c r="AW68" s="382">
        <f t="shared" si="63"/>
        <v>0</v>
      </c>
      <c r="AX68" s="382">
        <f t="shared" si="63"/>
        <v>0</v>
      </c>
      <c r="AY68" s="382">
        <f t="shared" si="63"/>
        <v>0</v>
      </c>
      <c r="AZ68" s="382">
        <f t="shared" ref="AZ68:BI75" si="64">IF(AND(AZ$8&gt;=$D68,(MATCH(AZ$8,$AF$8:$CA$8,0)-MATCH($D68,$AF$8:$CA$8,0))&lt;3),$E68/3,0)</f>
        <v>0</v>
      </c>
      <c r="BA68" s="382">
        <f t="shared" si="64"/>
        <v>0</v>
      </c>
      <c r="BB68" s="382">
        <f t="shared" si="64"/>
        <v>0</v>
      </c>
      <c r="BC68" s="382">
        <f t="shared" si="64"/>
        <v>0</v>
      </c>
      <c r="BD68" s="382">
        <f t="shared" si="64"/>
        <v>0</v>
      </c>
      <c r="BE68" s="382">
        <f t="shared" si="64"/>
        <v>0</v>
      </c>
      <c r="BF68" s="382">
        <f t="shared" si="64"/>
        <v>0</v>
      </c>
      <c r="BG68" s="382">
        <f t="shared" si="64"/>
        <v>0</v>
      </c>
      <c r="BH68" s="382">
        <f t="shared" si="64"/>
        <v>0</v>
      </c>
      <c r="BI68" s="382">
        <f t="shared" si="64"/>
        <v>0</v>
      </c>
      <c r="BJ68" s="382">
        <f t="shared" ref="BJ68:BS75" si="65">IF(AND(BJ$8&gt;=$D68,(MATCH(BJ$8,$AF$8:$CA$8,0)-MATCH($D68,$AF$8:$CA$8,0))&lt;3),$E68/3,0)</f>
        <v>0</v>
      </c>
      <c r="BK68" s="382">
        <f t="shared" si="65"/>
        <v>0</v>
      </c>
      <c r="BL68" s="382">
        <f t="shared" si="65"/>
        <v>0</v>
      </c>
      <c r="BM68" s="382">
        <f t="shared" si="65"/>
        <v>0</v>
      </c>
      <c r="BN68" s="382">
        <f t="shared" si="65"/>
        <v>0</v>
      </c>
      <c r="BO68" s="382">
        <f t="shared" si="65"/>
        <v>0</v>
      </c>
      <c r="BP68" s="382">
        <f t="shared" si="65"/>
        <v>0</v>
      </c>
      <c r="BQ68" s="382">
        <f t="shared" si="65"/>
        <v>0</v>
      </c>
      <c r="BR68" s="382">
        <f t="shared" si="65"/>
        <v>0</v>
      </c>
      <c r="BS68" s="382">
        <f t="shared" si="65"/>
        <v>0</v>
      </c>
      <c r="BT68" s="382">
        <f t="shared" ref="BT68:CA75" si="66">IF(AND(BT$8&gt;=$D68,(MATCH(BT$8,$AF$8:$CA$8,0)-MATCH($D68,$AF$8:$CA$8,0))&lt;3),$E68/3,0)</f>
        <v>28326.666666666668</v>
      </c>
      <c r="BU68" s="382">
        <f t="shared" si="66"/>
        <v>28326.666666666668</v>
      </c>
      <c r="BV68" s="382">
        <f t="shared" si="66"/>
        <v>28326.666666666668</v>
      </c>
      <c r="BW68" s="382">
        <f t="shared" si="66"/>
        <v>0</v>
      </c>
      <c r="BX68" s="382">
        <f t="shared" si="66"/>
        <v>0</v>
      </c>
      <c r="BY68" s="382">
        <f t="shared" si="66"/>
        <v>0</v>
      </c>
      <c r="BZ68" s="382">
        <f t="shared" si="66"/>
        <v>0</v>
      </c>
      <c r="CA68" s="382">
        <f t="shared" si="66"/>
        <v>0</v>
      </c>
    </row>
    <row r="69" spans="3:79" ht="21" hidden="1" customHeight="1" outlineLevel="2">
      <c r="C69" s="370"/>
      <c r="D69" s="374">
        <f t="shared" si="40"/>
        <v>46203</v>
      </c>
      <c r="E69" s="408" cm="1">
        <f t="array" ref="E69">INDEX($AF$14:$CA$14,0,MATCH($D69,$AF$8:$CA$8,0))</f>
        <v>70442.5</v>
      </c>
      <c r="G69" s="359"/>
      <c r="H69" s="410">
        <f t="shared" si="60"/>
        <v>0</v>
      </c>
      <c r="I69" s="410">
        <f t="shared" si="60"/>
        <v>0</v>
      </c>
      <c r="J69" s="410">
        <f t="shared" si="60"/>
        <v>0</v>
      </c>
      <c r="K69" s="410">
        <f t="shared" si="60"/>
        <v>70442.5</v>
      </c>
      <c r="L69" s="410"/>
      <c r="M69" s="410"/>
      <c r="N69" s="410">
        <f t="shared" si="61"/>
        <v>0</v>
      </c>
      <c r="O69" s="410">
        <f t="shared" si="61"/>
        <v>0</v>
      </c>
      <c r="P69" s="410">
        <f t="shared" si="61"/>
        <v>0</v>
      </c>
      <c r="Q69" s="410">
        <f t="shared" si="61"/>
        <v>0</v>
      </c>
      <c r="R69" s="410">
        <f t="shared" si="61"/>
        <v>0</v>
      </c>
      <c r="S69" s="410">
        <f t="shared" si="61"/>
        <v>0</v>
      </c>
      <c r="T69" s="410">
        <f t="shared" si="61"/>
        <v>0</v>
      </c>
      <c r="U69" s="410">
        <f t="shared" si="61"/>
        <v>0</v>
      </c>
      <c r="V69" s="410">
        <f t="shared" si="61"/>
        <v>0</v>
      </c>
      <c r="W69" s="410">
        <f t="shared" si="61"/>
        <v>0</v>
      </c>
      <c r="X69" s="410">
        <f t="shared" si="61"/>
        <v>0</v>
      </c>
      <c r="Y69" s="410">
        <f t="shared" si="61"/>
        <v>0</v>
      </c>
      <c r="Z69" s="410">
        <f t="shared" si="61"/>
        <v>0</v>
      </c>
      <c r="AA69" s="410">
        <f t="shared" si="61"/>
        <v>23480.833333333332</v>
      </c>
      <c r="AB69" s="410">
        <f t="shared" si="61"/>
        <v>46961.666666666664</v>
      </c>
      <c r="AC69" s="410">
        <f t="shared" si="61"/>
        <v>0</v>
      </c>
      <c r="AD69" s="379"/>
      <c r="AE69" s="359"/>
      <c r="AF69" s="382">
        <f t="shared" si="62"/>
        <v>0</v>
      </c>
      <c r="AG69" s="382">
        <f t="shared" si="62"/>
        <v>0</v>
      </c>
      <c r="AH69" s="382">
        <f t="shared" si="62"/>
        <v>0</v>
      </c>
      <c r="AI69" s="382">
        <f t="shared" si="62"/>
        <v>0</v>
      </c>
      <c r="AJ69" s="382">
        <f t="shared" si="62"/>
        <v>0</v>
      </c>
      <c r="AK69" s="382">
        <f t="shared" si="62"/>
        <v>0</v>
      </c>
      <c r="AL69" s="382">
        <f t="shared" si="62"/>
        <v>0</v>
      </c>
      <c r="AM69" s="382">
        <f t="shared" si="62"/>
        <v>0</v>
      </c>
      <c r="AN69" s="382">
        <f t="shared" si="62"/>
        <v>0</v>
      </c>
      <c r="AO69" s="382">
        <f t="shared" si="62"/>
        <v>0</v>
      </c>
      <c r="AP69" s="382">
        <f t="shared" si="63"/>
        <v>0</v>
      </c>
      <c r="AQ69" s="382">
        <f t="shared" si="63"/>
        <v>0</v>
      </c>
      <c r="AR69" s="382">
        <f t="shared" si="63"/>
        <v>0</v>
      </c>
      <c r="AS69" s="382">
        <f t="shared" si="63"/>
        <v>0</v>
      </c>
      <c r="AT69" s="382">
        <f t="shared" si="63"/>
        <v>0</v>
      </c>
      <c r="AU69" s="382">
        <f t="shared" si="63"/>
        <v>0</v>
      </c>
      <c r="AV69" s="382">
        <f t="shared" si="63"/>
        <v>0</v>
      </c>
      <c r="AW69" s="382">
        <f t="shared" si="63"/>
        <v>0</v>
      </c>
      <c r="AX69" s="382">
        <f t="shared" si="63"/>
        <v>0</v>
      </c>
      <c r="AY69" s="382">
        <f t="shared" si="63"/>
        <v>0</v>
      </c>
      <c r="AZ69" s="382">
        <f t="shared" si="64"/>
        <v>0</v>
      </c>
      <c r="BA69" s="382">
        <f t="shared" si="64"/>
        <v>0</v>
      </c>
      <c r="BB69" s="382">
        <f t="shared" si="64"/>
        <v>0</v>
      </c>
      <c r="BC69" s="382">
        <f t="shared" si="64"/>
        <v>0</v>
      </c>
      <c r="BD69" s="382">
        <f t="shared" si="64"/>
        <v>0</v>
      </c>
      <c r="BE69" s="382">
        <f t="shared" si="64"/>
        <v>0</v>
      </c>
      <c r="BF69" s="382">
        <f t="shared" si="64"/>
        <v>0</v>
      </c>
      <c r="BG69" s="382">
        <f t="shared" si="64"/>
        <v>0</v>
      </c>
      <c r="BH69" s="382">
        <f t="shared" si="64"/>
        <v>0</v>
      </c>
      <c r="BI69" s="382">
        <f t="shared" si="64"/>
        <v>0</v>
      </c>
      <c r="BJ69" s="382">
        <f t="shared" si="65"/>
        <v>0</v>
      </c>
      <c r="BK69" s="382">
        <f t="shared" si="65"/>
        <v>0</v>
      </c>
      <c r="BL69" s="382">
        <f t="shared" si="65"/>
        <v>0</v>
      </c>
      <c r="BM69" s="382">
        <f t="shared" si="65"/>
        <v>0</v>
      </c>
      <c r="BN69" s="382">
        <f t="shared" si="65"/>
        <v>0</v>
      </c>
      <c r="BO69" s="382">
        <f t="shared" si="65"/>
        <v>0</v>
      </c>
      <c r="BP69" s="382">
        <f t="shared" si="65"/>
        <v>0</v>
      </c>
      <c r="BQ69" s="382">
        <f t="shared" si="65"/>
        <v>0</v>
      </c>
      <c r="BR69" s="382">
        <f t="shared" si="65"/>
        <v>0</v>
      </c>
      <c r="BS69" s="382">
        <f t="shared" si="65"/>
        <v>0</v>
      </c>
      <c r="BT69" s="382">
        <f t="shared" si="66"/>
        <v>0</v>
      </c>
      <c r="BU69" s="382">
        <f t="shared" si="66"/>
        <v>23480.833333333332</v>
      </c>
      <c r="BV69" s="382">
        <f t="shared" si="66"/>
        <v>23480.833333333332</v>
      </c>
      <c r="BW69" s="382">
        <f t="shared" si="66"/>
        <v>23480.833333333332</v>
      </c>
      <c r="BX69" s="382">
        <f t="shared" si="66"/>
        <v>0</v>
      </c>
      <c r="BY69" s="382">
        <f t="shared" si="66"/>
        <v>0</v>
      </c>
      <c r="BZ69" s="382">
        <f t="shared" si="66"/>
        <v>0</v>
      </c>
      <c r="CA69" s="382">
        <f t="shared" si="66"/>
        <v>0</v>
      </c>
    </row>
    <row r="70" spans="3:79" ht="21" hidden="1" customHeight="1" outlineLevel="2">
      <c r="C70" s="370"/>
      <c r="D70" s="374">
        <f t="shared" si="40"/>
        <v>46234</v>
      </c>
      <c r="E70" s="408" cm="1">
        <f t="array" ref="E70">INDEX($AF$14:$CA$14,0,MATCH($D70,$AF$8:$CA$8,0))</f>
        <v>44185</v>
      </c>
      <c r="G70" s="359"/>
      <c r="H70" s="410">
        <f t="shared" si="60"/>
        <v>0</v>
      </c>
      <c r="I70" s="410">
        <f t="shared" si="60"/>
        <v>0</v>
      </c>
      <c r="J70" s="410">
        <f t="shared" si="60"/>
        <v>0</v>
      </c>
      <c r="K70" s="410">
        <f t="shared" si="60"/>
        <v>44185</v>
      </c>
      <c r="L70" s="410"/>
      <c r="M70" s="410"/>
      <c r="N70" s="410">
        <f t="shared" si="61"/>
        <v>0</v>
      </c>
      <c r="O70" s="410">
        <f t="shared" si="61"/>
        <v>0</v>
      </c>
      <c r="P70" s="410">
        <f t="shared" si="61"/>
        <v>0</v>
      </c>
      <c r="Q70" s="410">
        <f t="shared" si="61"/>
        <v>0</v>
      </c>
      <c r="R70" s="410">
        <f t="shared" si="61"/>
        <v>0</v>
      </c>
      <c r="S70" s="410">
        <f t="shared" si="61"/>
        <v>0</v>
      </c>
      <c r="T70" s="410">
        <f t="shared" si="61"/>
        <v>0</v>
      </c>
      <c r="U70" s="410">
        <f t="shared" si="61"/>
        <v>0</v>
      </c>
      <c r="V70" s="410">
        <f t="shared" si="61"/>
        <v>0</v>
      </c>
      <c r="W70" s="410">
        <f t="shared" si="61"/>
        <v>0</v>
      </c>
      <c r="X70" s="410">
        <f t="shared" si="61"/>
        <v>0</v>
      </c>
      <c r="Y70" s="410">
        <f t="shared" si="61"/>
        <v>0</v>
      </c>
      <c r="Z70" s="410">
        <f t="shared" si="61"/>
        <v>0</v>
      </c>
      <c r="AA70" s="410">
        <f t="shared" si="61"/>
        <v>0</v>
      </c>
      <c r="AB70" s="410">
        <f t="shared" si="61"/>
        <v>44185</v>
      </c>
      <c r="AC70" s="410">
        <f t="shared" si="61"/>
        <v>0</v>
      </c>
      <c r="AD70" s="379"/>
      <c r="AE70" s="359"/>
      <c r="AF70" s="382">
        <f t="shared" si="62"/>
        <v>0</v>
      </c>
      <c r="AG70" s="382">
        <f t="shared" si="62"/>
        <v>0</v>
      </c>
      <c r="AH70" s="382">
        <f t="shared" si="62"/>
        <v>0</v>
      </c>
      <c r="AI70" s="382">
        <f t="shared" si="62"/>
        <v>0</v>
      </c>
      <c r="AJ70" s="382">
        <f t="shared" si="62"/>
        <v>0</v>
      </c>
      <c r="AK70" s="382">
        <f t="shared" si="62"/>
        <v>0</v>
      </c>
      <c r="AL70" s="382">
        <f t="shared" si="62"/>
        <v>0</v>
      </c>
      <c r="AM70" s="382">
        <f t="shared" si="62"/>
        <v>0</v>
      </c>
      <c r="AN70" s="382">
        <f t="shared" si="62"/>
        <v>0</v>
      </c>
      <c r="AO70" s="382">
        <f t="shared" si="62"/>
        <v>0</v>
      </c>
      <c r="AP70" s="382">
        <f t="shared" si="63"/>
        <v>0</v>
      </c>
      <c r="AQ70" s="382">
        <f t="shared" si="63"/>
        <v>0</v>
      </c>
      <c r="AR70" s="382">
        <f t="shared" si="63"/>
        <v>0</v>
      </c>
      <c r="AS70" s="382">
        <f t="shared" si="63"/>
        <v>0</v>
      </c>
      <c r="AT70" s="382">
        <f t="shared" si="63"/>
        <v>0</v>
      </c>
      <c r="AU70" s="382">
        <f t="shared" si="63"/>
        <v>0</v>
      </c>
      <c r="AV70" s="382">
        <f t="shared" si="63"/>
        <v>0</v>
      </c>
      <c r="AW70" s="382">
        <f t="shared" si="63"/>
        <v>0</v>
      </c>
      <c r="AX70" s="382">
        <f t="shared" si="63"/>
        <v>0</v>
      </c>
      <c r="AY70" s="382">
        <f t="shared" si="63"/>
        <v>0</v>
      </c>
      <c r="AZ70" s="382">
        <f t="shared" si="64"/>
        <v>0</v>
      </c>
      <c r="BA70" s="382">
        <f t="shared" si="64"/>
        <v>0</v>
      </c>
      <c r="BB70" s="382">
        <f t="shared" si="64"/>
        <v>0</v>
      </c>
      <c r="BC70" s="382">
        <f t="shared" si="64"/>
        <v>0</v>
      </c>
      <c r="BD70" s="382">
        <f t="shared" si="64"/>
        <v>0</v>
      </c>
      <c r="BE70" s="382">
        <f t="shared" si="64"/>
        <v>0</v>
      </c>
      <c r="BF70" s="382">
        <f t="shared" si="64"/>
        <v>0</v>
      </c>
      <c r="BG70" s="382">
        <f t="shared" si="64"/>
        <v>0</v>
      </c>
      <c r="BH70" s="382">
        <f t="shared" si="64"/>
        <v>0</v>
      </c>
      <c r="BI70" s="382">
        <f t="shared" si="64"/>
        <v>0</v>
      </c>
      <c r="BJ70" s="382">
        <f t="shared" si="65"/>
        <v>0</v>
      </c>
      <c r="BK70" s="382">
        <f t="shared" si="65"/>
        <v>0</v>
      </c>
      <c r="BL70" s="382">
        <f t="shared" si="65"/>
        <v>0</v>
      </c>
      <c r="BM70" s="382">
        <f t="shared" si="65"/>
        <v>0</v>
      </c>
      <c r="BN70" s="382">
        <f t="shared" si="65"/>
        <v>0</v>
      </c>
      <c r="BO70" s="382">
        <f t="shared" si="65"/>
        <v>0</v>
      </c>
      <c r="BP70" s="382">
        <f t="shared" si="65"/>
        <v>0</v>
      </c>
      <c r="BQ70" s="382">
        <f t="shared" si="65"/>
        <v>0</v>
      </c>
      <c r="BR70" s="382">
        <f t="shared" si="65"/>
        <v>0</v>
      </c>
      <c r="BS70" s="382">
        <f t="shared" si="65"/>
        <v>0</v>
      </c>
      <c r="BT70" s="382">
        <f t="shared" si="66"/>
        <v>0</v>
      </c>
      <c r="BU70" s="382">
        <f t="shared" si="66"/>
        <v>0</v>
      </c>
      <c r="BV70" s="382">
        <f t="shared" si="66"/>
        <v>14728.333333333334</v>
      </c>
      <c r="BW70" s="382">
        <f t="shared" si="66"/>
        <v>14728.333333333334</v>
      </c>
      <c r="BX70" s="382">
        <f t="shared" si="66"/>
        <v>14728.333333333334</v>
      </c>
      <c r="BY70" s="382">
        <f t="shared" si="66"/>
        <v>0</v>
      </c>
      <c r="BZ70" s="382">
        <f t="shared" si="66"/>
        <v>0</v>
      </c>
      <c r="CA70" s="382">
        <f t="shared" si="66"/>
        <v>0</v>
      </c>
    </row>
    <row r="71" spans="3:79" ht="21" hidden="1" customHeight="1" outlineLevel="2">
      <c r="C71" s="370"/>
      <c r="D71" s="374">
        <f t="shared" si="40"/>
        <v>46265</v>
      </c>
      <c r="E71" s="408" cm="1">
        <f t="array" ref="E71">INDEX($AF$14:$CA$14,0,MATCH($D71,$AF$8:$CA$8,0))</f>
        <v>84980</v>
      </c>
      <c r="G71" s="359"/>
      <c r="H71" s="410">
        <f t="shared" si="60"/>
        <v>0</v>
      </c>
      <c r="I71" s="410">
        <f t="shared" si="60"/>
        <v>0</v>
      </c>
      <c r="J71" s="410">
        <f t="shared" si="60"/>
        <v>0</v>
      </c>
      <c r="K71" s="410">
        <f t="shared" si="60"/>
        <v>84980</v>
      </c>
      <c r="L71" s="410"/>
      <c r="M71" s="410"/>
      <c r="N71" s="410">
        <f t="shared" si="61"/>
        <v>0</v>
      </c>
      <c r="O71" s="410">
        <f t="shared" si="61"/>
        <v>0</v>
      </c>
      <c r="P71" s="410">
        <f t="shared" si="61"/>
        <v>0</v>
      </c>
      <c r="Q71" s="410">
        <f t="shared" si="61"/>
        <v>0</v>
      </c>
      <c r="R71" s="410">
        <f t="shared" si="61"/>
        <v>0</v>
      </c>
      <c r="S71" s="410">
        <f t="shared" si="61"/>
        <v>0</v>
      </c>
      <c r="T71" s="410">
        <f t="shared" si="61"/>
        <v>0</v>
      </c>
      <c r="U71" s="410">
        <f t="shared" si="61"/>
        <v>0</v>
      </c>
      <c r="V71" s="410">
        <f t="shared" si="61"/>
        <v>0</v>
      </c>
      <c r="W71" s="410">
        <f t="shared" si="61"/>
        <v>0</v>
      </c>
      <c r="X71" s="410">
        <f t="shared" si="61"/>
        <v>0</v>
      </c>
      <c r="Y71" s="410">
        <f t="shared" si="61"/>
        <v>0</v>
      </c>
      <c r="Z71" s="410">
        <f t="shared" si="61"/>
        <v>0</v>
      </c>
      <c r="AA71" s="410">
        <f t="shared" si="61"/>
        <v>0</v>
      </c>
      <c r="AB71" s="410">
        <f t="shared" si="61"/>
        <v>56653.333333333336</v>
      </c>
      <c r="AC71" s="410">
        <f t="shared" si="61"/>
        <v>28326.666666666668</v>
      </c>
      <c r="AD71" s="379"/>
      <c r="AE71" s="359"/>
      <c r="AF71" s="382">
        <f t="shared" si="62"/>
        <v>0</v>
      </c>
      <c r="AG71" s="382">
        <f t="shared" si="62"/>
        <v>0</v>
      </c>
      <c r="AH71" s="382">
        <f t="shared" si="62"/>
        <v>0</v>
      </c>
      <c r="AI71" s="382">
        <f t="shared" si="62"/>
        <v>0</v>
      </c>
      <c r="AJ71" s="382">
        <f t="shared" si="62"/>
        <v>0</v>
      </c>
      <c r="AK71" s="382">
        <f t="shared" si="62"/>
        <v>0</v>
      </c>
      <c r="AL71" s="382">
        <f t="shared" si="62"/>
        <v>0</v>
      </c>
      <c r="AM71" s="382">
        <f t="shared" si="62"/>
        <v>0</v>
      </c>
      <c r="AN71" s="382">
        <f t="shared" si="62"/>
        <v>0</v>
      </c>
      <c r="AO71" s="382">
        <f t="shared" si="62"/>
        <v>0</v>
      </c>
      <c r="AP71" s="382">
        <f t="shared" si="63"/>
        <v>0</v>
      </c>
      <c r="AQ71" s="382">
        <f t="shared" si="63"/>
        <v>0</v>
      </c>
      <c r="AR71" s="382">
        <f t="shared" si="63"/>
        <v>0</v>
      </c>
      <c r="AS71" s="382">
        <f t="shared" si="63"/>
        <v>0</v>
      </c>
      <c r="AT71" s="382">
        <f t="shared" si="63"/>
        <v>0</v>
      </c>
      <c r="AU71" s="382">
        <f t="shared" si="63"/>
        <v>0</v>
      </c>
      <c r="AV71" s="382">
        <f t="shared" si="63"/>
        <v>0</v>
      </c>
      <c r="AW71" s="382">
        <f t="shared" si="63"/>
        <v>0</v>
      </c>
      <c r="AX71" s="382">
        <f t="shared" si="63"/>
        <v>0</v>
      </c>
      <c r="AY71" s="382">
        <f t="shared" si="63"/>
        <v>0</v>
      </c>
      <c r="AZ71" s="382">
        <f t="shared" si="64"/>
        <v>0</v>
      </c>
      <c r="BA71" s="382">
        <f t="shared" si="64"/>
        <v>0</v>
      </c>
      <c r="BB71" s="382">
        <f t="shared" si="64"/>
        <v>0</v>
      </c>
      <c r="BC71" s="382">
        <f t="shared" si="64"/>
        <v>0</v>
      </c>
      <c r="BD71" s="382">
        <f t="shared" si="64"/>
        <v>0</v>
      </c>
      <c r="BE71" s="382">
        <f t="shared" si="64"/>
        <v>0</v>
      </c>
      <c r="BF71" s="382">
        <f t="shared" si="64"/>
        <v>0</v>
      </c>
      <c r="BG71" s="382">
        <f t="shared" si="64"/>
        <v>0</v>
      </c>
      <c r="BH71" s="382">
        <f t="shared" si="64"/>
        <v>0</v>
      </c>
      <c r="BI71" s="382">
        <f t="shared" si="64"/>
        <v>0</v>
      </c>
      <c r="BJ71" s="382">
        <f t="shared" si="65"/>
        <v>0</v>
      </c>
      <c r="BK71" s="382">
        <f t="shared" si="65"/>
        <v>0</v>
      </c>
      <c r="BL71" s="382">
        <f t="shared" si="65"/>
        <v>0</v>
      </c>
      <c r="BM71" s="382">
        <f t="shared" si="65"/>
        <v>0</v>
      </c>
      <c r="BN71" s="382">
        <f t="shared" si="65"/>
        <v>0</v>
      </c>
      <c r="BO71" s="382">
        <f t="shared" si="65"/>
        <v>0</v>
      </c>
      <c r="BP71" s="382">
        <f t="shared" si="65"/>
        <v>0</v>
      </c>
      <c r="BQ71" s="382">
        <f t="shared" si="65"/>
        <v>0</v>
      </c>
      <c r="BR71" s="382">
        <f t="shared" si="65"/>
        <v>0</v>
      </c>
      <c r="BS71" s="382">
        <f t="shared" si="65"/>
        <v>0</v>
      </c>
      <c r="BT71" s="382">
        <f t="shared" si="66"/>
        <v>0</v>
      </c>
      <c r="BU71" s="382">
        <f t="shared" si="66"/>
        <v>0</v>
      </c>
      <c r="BV71" s="382">
        <f t="shared" si="66"/>
        <v>0</v>
      </c>
      <c r="BW71" s="382">
        <f t="shared" si="66"/>
        <v>28326.666666666668</v>
      </c>
      <c r="BX71" s="382">
        <f t="shared" si="66"/>
        <v>28326.666666666668</v>
      </c>
      <c r="BY71" s="382">
        <f t="shared" si="66"/>
        <v>28326.666666666668</v>
      </c>
      <c r="BZ71" s="382">
        <f t="shared" si="66"/>
        <v>0</v>
      </c>
      <c r="CA71" s="382">
        <f t="shared" si="66"/>
        <v>0</v>
      </c>
    </row>
    <row r="72" spans="3:79" ht="21" hidden="1" customHeight="1" outlineLevel="2">
      <c r="C72" s="370"/>
      <c r="D72" s="374">
        <f t="shared" si="40"/>
        <v>46295</v>
      </c>
      <c r="E72" s="408" cm="1">
        <f t="array" ref="E72">INDEX($AF$14:$CA$14,0,MATCH($D72,$AF$8:$CA$8,0))</f>
        <v>70442.5</v>
      </c>
      <c r="G72" s="359"/>
      <c r="H72" s="410">
        <f t="shared" si="60"/>
        <v>0</v>
      </c>
      <c r="I72" s="410">
        <f t="shared" si="60"/>
        <v>0</v>
      </c>
      <c r="J72" s="410">
        <f t="shared" si="60"/>
        <v>0</v>
      </c>
      <c r="K72" s="410">
        <f t="shared" si="60"/>
        <v>70442.5</v>
      </c>
      <c r="L72" s="410"/>
      <c r="M72" s="410"/>
      <c r="N72" s="410">
        <f t="shared" si="61"/>
        <v>0</v>
      </c>
      <c r="O72" s="410">
        <f t="shared" si="61"/>
        <v>0</v>
      </c>
      <c r="P72" s="410">
        <f t="shared" si="61"/>
        <v>0</v>
      </c>
      <c r="Q72" s="410">
        <f t="shared" si="61"/>
        <v>0</v>
      </c>
      <c r="R72" s="410">
        <f t="shared" si="61"/>
        <v>0</v>
      </c>
      <c r="S72" s="410">
        <f t="shared" si="61"/>
        <v>0</v>
      </c>
      <c r="T72" s="410">
        <f t="shared" si="61"/>
        <v>0</v>
      </c>
      <c r="U72" s="410">
        <f t="shared" si="61"/>
        <v>0</v>
      </c>
      <c r="V72" s="410">
        <f t="shared" si="61"/>
        <v>0</v>
      </c>
      <c r="W72" s="410">
        <f t="shared" si="61"/>
        <v>0</v>
      </c>
      <c r="X72" s="410">
        <f t="shared" si="61"/>
        <v>0</v>
      </c>
      <c r="Y72" s="410">
        <f t="shared" si="61"/>
        <v>0</v>
      </c>
      <c r="Z72" s="410">
        <f t="shared" si="61"/>
        <v>0</v>
      </c>
      <c r="AA72" s="410">
        <f t="shared" si="61"/>
        <v>0</v>
      </c>
      <c r="AB72" s="410">
        <f t="shared" si="61"/>
        <v>23480.833333333332</v>
      </c>
      <c r="AC72" s="410">
        <f t="shared" si="61"/>
        <v>46961.666666666664</v>
      </c>
      <c r="AD72" s="379"/>
      <c r="AE72" s="359"/>
      <c r="AF72" s="382">
        <f t="shared" si="62"/>
        <v>0</v>
      </c>
      <c r="AG72" s="382">
        <f t="shared" si="62"/>
        <v>0</v>
      </c>
      <c r="AH72" s="382">
        <f t="shared" si="62"/>
        <v>0</v>
      </c>
      <c r="AI72" s="382">
        <f t="shared" si="62"/>
        <v>0</v>
      </c>
      <c r="AJ72" s="382">
        <f t="shared" si="62"/>
        <v>0</v>
      </c>
      <c r="AK72" s="382">
        <f t="shared" si="62"/>
        <v>0</v>
      </c>
      <c r="AL72" s="382">
        <f t="shared" si="62"/>
        <v>0</v>
      </c>
      <c r="AM72" s="382">
        <f t="shared" si="62"/>
        <v>0</v>
      </c>
      <c r="AN72" s="382">
        <f t="shared" si="62"/>
        <v>0</v>
      </c>
      <c r="AO72" s="382">
        <f t="shared" si="62"/>
        <v>0</v>
      </c>
      <c r="AP72" s="382">
        <f t="shared" si="63"/>
        <v>0</v>
      </c>
      <c r="AQ72" s="382">
        <f t="shared" si="63"/>
        <v>0</v>
      </c>
      <c r="AR72" s="382">
        <f t="shared" si="63"/>
        <v>0</v>
      </c>
      <c r="AS72" s="382">
        <f t="shared" si="63"/>
        <v>0</v>
      </c>
      <c r="AT72" s="382">
        <f t="shared" si="63"/>
        <v>0</v>
      </c>
      <c r="AU72" s="382">
        <f t="shared" si="63"/>
        <v>0</v>
      </c>
      <c r="AV72" s="382">
        <f t="shared" si="63"/>
        <v>0</v>
      </c>
      <c r="AW72" s="382">
        <f t="shared" si="63"/>
        <v>0</v>
      </c>
      <c r="AX72" s="382">
        <f t="shared" si="63"/>
        <v>0</v>
      </c>
      <c r="AY72" s="382">
        <f t="shared" si="63"/>
        <v>0</v>
      </c>
      <c r="AZ72" s="382">
        <f t="shared" si="64"/>
        <v>0</v>
      </c>
      <c r="BA72" s="382">
        <f t="shared" si="64"/>
        <v>0</v>
      </c>
      <c r="BB72" s="382">
        <f t="shared" si="64"/>
        <v>0</v>
      </c>
      <c r="BC72" s="382">
        <f t="shared" si="64"/>
        <v>0</v>
      </c>
      <c r="BD72" s="382">
        <f t="shared" si="64"/>
        <v>0</v>
      </c>
      <c r="BE72" s="382">
        <f t="shared" si="64"/>
        <v>0</v>
      </c>
      <c r="BF72" s="382">
        <f t="shared" si="64"/>
        <v>0</v>
      </c>
      <c r="BG72" s="382">
        <f t="shared" si="64"/>
        <v>0</v>
      </c>
      <c r="BH72" s="382">
        <f t="shared" si="64"/>
        <v>0</v>
      </c>
      <c r="BI72" s="382">
        <f t="shared" si="64"/>
        <v>0</v>
      </c>
      <c r="BJ72" s="382">
        <f t="shared" si="65"/>
        <v>0</v>
      </c>
      <c r="BK72" s="382">
        <f t="shared" si="65"/>
        <v>0</v>
      </c>
      <c r="BL72" s="382">
        <f t="shared" si="65"/>
        <v>0</v>
      </c>
      <c r="BM72" s="382">
        <f t="shared" si="65"/>
        <v>0</v>
      </c>
      <c r="BN72" s="382">
        <f t="shared" si="65"/>
        <v>0</v>
      </c>
      <c r="BO72" s="382">
        <f t="shared" si="65"/>
        <v>0</v>
      </c>
      <c r="BP72" s="382">
        <f t="shared" si="65"/>
        <v>0</v>
      </c>
      <c r="BQ72" s="382">
        <f t="shared" si="65"/>
        <v>0</v>
      </c>
      <c r="BR72" s="382">
        <f t="shared" si="65"/>
        <v>0</v>
      </c>
      <c r="BS72" s="382">
        <f t="shared" si="65"/>
        <v>0</v>
      </c>
      <c r="BT72" s="382">
        <f t="shared" si="66"/>
        <v>0</v>
      </c>
      <c r="BU72" s="382">
        <f t="shared" si="66"/>
        <v>0</v>
      </c>
      <c r="BV72" s="382">
        <f t="shared" si="66"/>
        <v>0</v>
      </c>
      <c r="BW72" s="382">
        <f t="shared" si="66"/>
        <v>0</v>
      </c>
      <c r="BX72" s="382">
        <f t="shared" si="66"/>
        <v>23480.833333333332</v>
      </c>
      <c r="BY72" s="382">
        <f t="shared" si="66"/>
        <v>23480.833333333332</v>
      </c>
      <c r="BZ72" s="382">
        <f t="shared" si="66"/>
        <v>23480.833333333332</v>
      </c>
      <c r="CA72" s="382">
        <f t="shared" si="66"/>
        <v>0</v>
      </c>
    </row>
    <row r="73" spans="3:79" ht="21" hidden="1" customHeight="1" outlineLevel="2">
      <c r="C73" s="370"/>
      <c r="D73" s="374">
        <f t="shared" si="40"/>
        <v>46326</v>
      </c>
      <c r="E73" s="408" cm="1">
        <f t="array" ref="E73">INDEX($AF$14:$CA$14,0,MATCH($D73,$AF$8:$CA$8,0))</f>
        <v>44185</v>
      </c>
      <c r="G73" s="359"/>
      <c r="H73" s="410">
        <f t="shared" si="60"/>
        <v>0</v>
      </c>
      <c r="I73" s="410">
        <f t="shared" si="60"/>
        <v>0</v>
      </c>
      <c r="J73" s="410">
        <f t="shared" si="60"/>
        <v>0</v>
      </c>
      <c r="K73" s="410">
        <f t="shared" si="60"/>
        <v>44185</v>
      </c>
      <c r="L73" s="410"/>
      <c r="M73" s="410"/>
      <c r="N73" s="410">
        <f t="shared" si="61"/>
        <v>0</v>
      </c>
      <c r="O73" s="410">
        <f t="shared" si="61"/>
        <v>0</v>
      </c>
      <c r="P73" s="410">
        <f t="shared" si="61"/>
        <v>0</v>
      </c>
      <c r="Q73" s="410">
        <f t="shared" si="61"/>
        <v>0</v>
      </c>
      <c r="R73" s="410">
        <f t="shared" si="61"/>
        <v>0</v>
      </c>
      <c r="S73" s="410">
        <f t="shared" si="61"/>
        <v>0</v>
      </c>
      <c r="T73" s="410">
        <f t="shared" si="61"/>
        <v>0</v>
      </c>
      <c r="U73" s="410">
        <f t="shared" si="61"/>
        <v>0</v>
      </c>
      <c r="V73" s="410">
        <f t="shared" si="61"/>
        <v>0</v>
      </c>
      <c r="W73" s="410">
        <f t="shared" si="61"/>
        <v>0</v>
      </c>
      <c r="X73" s="410">
        <f t="shared" si="61"/>
        <v>0</v>
      </c>
      <c r="Y73" s="410">
        <f t="shared" si="61"/>
        <v>0</v>
      </c>
      <c r="Z73" s="410">
        <f t="shared" si="61"/>
        <v>0</v>
      </c>
      <c r="AA73" s="410">
        <f t="shared" si="61"/>
        <v>0</v>
      </c>
      <c r="AB73" s="410">
        <f t="shared" si="61"/>
        <v>0</v>
      </c>
      <c r="AC73" s="410">
        <f t="shared" si="61"/>
        <v>44185</v>
      </c>
      <c r="AD73" s="379"/>
      <c r="AE73" s="359"/>
      <c r="AF73" s="382">
        <f t="shared" si="62"/>
        <v>0</v>
      </c>
      <c r="AG73" s="382">
        <f t="shared" si="62"/>
        <v>0</v>
      </c>
      <c r="AH73" s="382">
        <f t="shared" si="62"/>
        <v>0</v>
      </c>
      <c r="AI73" s="382">
        <f t="shared" si="62"/>
        <v>0</v>
      </c>
      <c r="AJ73" s="382">
        <f t="shared" si="62"/>
        <v>0</v>
      </c>
      <c r="AK73" s="382">
        <f t="shared" si="62"/>
        <v>0</v>
      </c>
      <c r="AL73" s="382">
        <f t="shared" si="62"/>
        <v>0</v>
      </c>
      <c r="AM73" s="382">
        <f t="shared" si="62"/>
        <v>0</v>
      </c>
      <c r="AN73" s="382">
        <f t="shared" si="62"/>
        <v>0</v>
      </c>
      <c r="AO73" s="382">
        <f t="shared" si="62"/>
        <v>0</v>
      </c>
      <c r="AP73" s="382">
        <f t="shared" si="63"/>
        <v>0</v>
      </c>
      <c r="AQ73" s="382">
        <f t="shared" si="63"/>
        <v>0</v>
      </c>
      <c r="AR73" s="382">
        <f t="shared" si="63"/>
        <v>0</v>
      </c>
      <c r="AS73" s="382">
        <f t="shared" si="63"/>
        <v>0</v>
      </c>
      <c r="AT73" s="382">
        <f t="shared" si="63"/>
        <v>0</v>
      </c>
      <c r="AU73" s="382">
        <f t="shared" si="63"/>
        <v>0</v>
      </c>
      <c r="AV73" s="382">
        <f t="shared" si="63"/>
        <v>0</v>
      </c>
      <c r="AW73" s="382">
        <f t="shared" si="63"/>
        <v>0</v>
      </c>
      <c r="AX73" s="382">
        <f t="shared" si="63"/>
        <v>0</v>
      </c>
      <c r="AY73" s="382">
        <f t="shared" si="63"/>
        <v>0</v>
      </c>
      <c r="AZ73" s="382">
        <f t="shared" si="64"/>
        <v>0</v>
      </c>
      <c r="BA73" s="382">
        <f t="shared" si="64"/>
        <v>0</v>
      </c>
      <c r="BB73" s="382">
        <f t="shared" si="64"/>
        <v>0</v>
      </c>
      <c r="BC73" s="382">
        <f t="shared" si="64"/>
        <v>0</v>
      </c>
      <c r="BD73" s="382">
        <f t="shared" si="64"/>
        <v>0</v>
      </c>
      <c r="BE73" s="382">
        <f t="shared" si="64"/>
        <v>0</v>
      </c>
      <c r="BF73" s="382">
        <f t="shared" si="64"/>
        <v>0</v>
      </c>
      <c r="BG73" s="382">
        <f t="shared" si="64"/>
        <v>0</v>
      </c>
      <c r="BH73" s="382">
        <f t="shared" si="64"/>
        <v>0</v>
      </c>
      <c r="BI73" s="382">
        <f t="shared" si="64"/>
        <v>0</v>
      </c>
      <c r="BJ73" s="382">
        <f t="shared" si="65"/>
        <v>0</v>
      </c>
      <c r="BK73" s="382">
        <f t="shared" si="65"/>
        <v>0</v>
      </c>
      <c r="BL73" s="382">
        <f t="shared" si="65"/>
        <v>0</v>
      </c>
      <c r="BM73" s="382">
        <f t="shared" si="65"/>
        <v>0</v>
      </c>
      <c r="BN73" s="382">
        <f t="shared" si="65"/>
        <v>0</v>
      </c>
      <c r="BO73" s="382">
        <f t="shared" si="65"/>
        <v>0</v>
      </c>
      <c r="BP73" s="382">
        <f t="shared" si="65"/>
        <v>0</v>
      </c>
      <c r="BQ73" s="382">
        <f t="shared" si="65"/>
        <v>0</v>
      </c>
      <c r="BR73" s="382">
        <f t="shared" si="65"/>
        <v>0</v>
      </c>
      <c r="BS73" s="382">
        <f t="shared" si="65"/>
        <v>0</v>
      </c>
      <c r="BT73" s="382">
        <f t="shared" si="66"/>
        <v>0</v>
      </c>
      <c r="BU73" s="382">
        <f t="shared" si="66"/>
        <v>0</v>
      </c>
      <c r="BV73" s="382">
        <f t="shared" si="66"/>
        <v>0</v>
      </c>
      <c r="BW73" s="382">
        <f t="shared" si="66"/>
        <v>0</v>
      </c>
      <c r="BX73" s="382">
        <f t="shared" si="66"/>
        <v>0</v>
      </c>
      <c r="BY73" s="382">
        <f t="shared" si="66"/>
        <v>14728.333333333334</v>
      </c>
      <c r="BZ73" s="382">
        <f t="shared" si="66"/>
        <v>14728.333333333334</v>
      </c>
      <c r="CA73" s="382">
        <f t="shared" si="66"/>
        <v>14728.333333333334</v>
      </c>
    </row>
    <row r="74" spans="3:79" ht="21" hidden="1" customHeight="1" outlineLevel="2">
      <c r="C74" s="370"/>
      <c r="D74" s="374">
        <f t="shared" si="40"/>
        <v>46356</v>
      </c>
      <c r="E74" s="408" cm="1">
        <f t="array" ref="E74">INDEX($AF$14:$CA$14,0,MATCH($D74,$AF$8:$CA$8,0))</f>
        <v>84980</v>
      </c>
      <c r="G74" s="359"/>
      <c r="H74" s="410">
        <f t="shared" si="60"/>
        <v>0</v>
      </c>
      <c r="I74" s="410">
        <f t="shared" si="60"/>
        <v>0</v>
      </c>
      <c r="J74" s="410">
        <f t="shared" si="60"/>
        <v>0</v>
      </c>
      <c r="K74" s="410">
        <f t="shared" si="60"/>
        <v>56653.333333333336</v>
      </c>
      <c r="L74" s="410"/>
      <c r="M74" s="410"/>
      <c r="N74" s="410">
        <f t="shared" si="61"/>
        <v>0</v>
      </c>
      <c r="O74" s="410">
        <f t="shared" si="61"/>
        <v>0</v>
      </c>
      <c r="P74" s="410">
        <f t="shared" si="61"/>
        <v>0</v>
      </c>
      <c r="Q74" s="410">
        <f t="shared" si="61"/>
        <v>0</v>
      </c>
      <c r="R74" s="410">
        <f t="shared" si="61"/>
        <v>0</v>
      </c>
      <c r="S74" s="410">
        <f t="shared" si="61"/>
        <v>0</v>
      </c>
      <c r="T74" s="410">
        <f t="shared" si="61"/>
        <v>0</v>
      </c>
      <c r="U74" s="410">
        <f t="shared" si="61"/>
        <v>0</v>
      </c>
      <c r="V74" s="410">
        <f t="shared" si="61"/>
        <v>0</v>
      </c>
      <c r="W74" s="410">
        <f t="shared" si="61"/>
        <v>0</v>
      </c>
      <c r="X74" s="410">
        <f t="shared" si="61"/>
        <v>0</v>
      </c>
      <c r="Y74" s="410">
        <f t="shared" si="61"/>
        <v>0</v>
      </c>
      <c r="Z74" s="410">
        <f t="shared" si="61"/>
        <v>0</v>
      </c>
      <c r="AA74" s="410">
        <f t="shared" si="61"/>
        <v>0</v>
      </c>
      <c r="AB74" s="410">
        <f t="shared" si="61"/>
        <v>0</v>
      </c>
      <c r="AC74" s="410">
        <f t="shared" si="61"/>
        <v>56653.333333333336</v>
      </c>
      <c r="AD74" s="379"/>
      <c r="AE74" s="359"/>
      <c r="AF74" s="382">
        <f t="shared" si="62"/>
        <v>0</v>
      </c>
      <c r="AG74" s="382">
        <f t="shared" si="62"/>
        <v>0</v>
      </c>
      <c r="AH74" s="382">
        <f t="shared" si="62"/>
        <v>0</v>
      </c>
      <c r="AI74" s="382">
        <f t="shared" si="62"/>
        <v>0</v>
      </c>
      <c r="AJ74" s="382">
        <f t="shared" si="62"/>
        <v>0</v>
      </c>
      <c r="AK74" s="382">
        <f t="shared" si="62"/>
        <v>0</v>
      </c>
      <c r="AL74" s="382">
        <f t="shared" si="62"/>
        <v>0</v>
      </c>
      <c r="AM74" s="382">
        <f t="shared" si="62"/>
        <v>0</v>
      </c>
      <c r="AN74" s="382">
        <f t="shared" si="62"/>
        <v>0</v>
      </c>
      <c r="AO74" s="382">
        <f t="shared" si="62"/>
        <v>0</v>
      </c>
      <c r="AP74" s="382">
        <f t="shared" si="63"/>
        <v>0</v>
      </c>
      <c r="AQ74" s="382">
        <f t="shared" si="63"/>
        <v>0</v>
      </c>
      <c r="AR74" s="382">
        <f t="shared" si="63"/>
        <v>0</v>
      </c>
      <c r="AS74" s="382">
        <f t="shared" si="63"/>
        <v>0</v>
      </c>
      <c r="AT74" s="382">
        <f t="shared" si="63"/>
        <v>0</v>
      </c>
      <c r="AU74" s="382">
        <f t="shared" si="63"/>
        <v>0</v>
      </c>
      <c r="AV74" s="382">
        <f t="shared" si="63"/>
        <v>0</v>
      </c>
      <c r="AW74" s="382">
        <f t="shared" si="63"/>
        <v>0</v>
      </c>
      <c r="AX74" s="382">
        <f t="shared" si="63"/>
        <v>0</v>
      </c>
      <c r="AY74" s="382">
        <f t="shared" si="63"/>
        <v>0</v>
      </c>
      <c r="AZ74" s="382">
        <f t="shared" si="64"/>
        <v>0</v>
      </c>
      <c r="BA74" s="382">
        <f t="shared" si="64"/>
        <v>0</v>
      </c>
      <c r="BB74" s="382">
        <f t="shared" si="64"/>
        <v>0</v>
      </c>
      <c r="BC74" s="382">
        <f t="shared" si="64"/>
        <v>0</v>
      </c>
      <c r="BD74" s="382">
        <f t="shared" si="64"/>
        <v>0</v>
      </c>
      <c r="BE74" s="382">
        <f t="shared" si="64"/>
        <v>0</v>
      </c>
      <c r="BF74" s="382">
        <f t="shared" si="64"/>
        <v>0</v>
      </c>
      <c r="BG74" s="382">
        <f t="shared" si="64"/>
        <v>0</v>
      </c>
      <c r="BH74" s="382">
        <f t="shared" si="64"/>
        <v>0</v>
      </c>
      <c r="BI74" s="382">
        <f t="shared" si="64"/>
        <v>0</v>
      </c>
      <c r="BJ74" s="382">
        <f t="shared" si="65"/>
        <v>0</v>
      </c>
      <c r="BK74" s="382">
        <f t="shared" si="65"/>
        <v>0</v>
      </c>
      <c r="BL74" s="382">
        <f t="shared" si="65"/>
        <v>0</v>
      </c>
      <c r="BM74" s="382">
        <f t="shared" si="65"/>
        <v>0</v>
      </c>
      <c r="BN74" s="382">
        <f t="shared" si="65"/>
        <v>0</v>
      </c>
      <c r="BO74" s="382">
        <f t="shared" si="65"/>
        <v>0</v>
      </c>
      <c r="BP74" s="382">
        <f t="shared" si="65"/>
        <v>0</v>
      </c>
      <c r="BQ74" s="382">
        <f t="shared" si="65"/>
        <v>0</v>
      </c>
      <c r="BR74" s="382">
        <f t="shared" si="65"/>
        <v>0</v>
      </c>
      <c r="BS74" s="382">
        <f t="shared" si="65"/>
        <v>0</v>
      </c>
      <c r="BT74" s="382">
        <f t="shared" si="66"/>
        <v>0</v>
      </c>
      <c r="BU74" s="382">
        <f t="shared" si="66"/>
        <v>0</v>
      </c>
      <c r="BV74" s="382">
        <f t="shared" si="66"/>
        <v>0</v>
      </c>
      <c r="BW74" s="382">
        <f t="shared" si="66"/>
        <v>0</v>
      </c>
      <c r="BX74" s="382">
        <f t="shared" si="66"/>
        <v>0</v>
      </c>
      <c r="BY74" s="382">
        <f t="shared" si="66"/>
        <v>0</v>
      </c>
      <c r="BZ74" s="382">
        <f t="shared" si="66"/>
        <v>28326.666666666668</v>
      </c>
      <c r="CA74" s="382">
        <f t="shared" si="66"/>
        <v>28326.666666666668</v>
      </c>
    </row>
    <row r="75" spans="3:79" ht="21" hidden="1" customHeight="1" outlineLevel="2">
      <c r="C75" s="370"/>
      <c r="D75" s="374">
        <f t="shared" si="40"/>
        <v>46387</v>
      </c>
      <c r="E75" s="408" cm="1">
        <f t="array" ref="E75">INDEX($AF$14:$CA$14,0,MATCH($D75,$AF$8:$CA$8,0))</f>
        <v>70442.5</v>
      </c>
      <c r="G75" s="359"/>
      <c r="H75" s="410">
        <f t="shared" si="60"/>
        <v>0</v>
      </c>
      <c r="I75" s="410">
        <f t="shared" si="60"/>
        <v>0</v>
      </c>
      <c r="J75" s="410">
        <f t="shared" si="60"/>
        <v>0</v>
      </c>
      <c r="K75" s="410">
        <f t="shared" si="60"/>
        <v>23480.833333333332</v>
      </c>
      <c r="L75" s="410"/>
      <c r="M75" s="410"/>
      <c r="N75" s="410">
        <f t="shared" si="61"/>
        <v>0</v>
      </c>
      <c r="O75" s="410">
        <f t="shared" si="61"/>
        <v>0</v>
      </c>
      <c r="P75" s="410">
        <f t="shared" si="61"/>
        <v>0</v>
      </c>
      <c r="Q75" s="410">
        <f t="shared" si="61"/>
        <v>0</v>
      </c>
      <c r="R75" s="410">
        <f t="shared" si="61"/>
        <v>0</v>
      </c>
      <c r="S75" s="410">
        <f t="shared" si="61"/>
        <v>0</v>
      </c>
      <c r="T75" s="410">
        <f t="shared" si="61"/>
        <v>0</v>
      </c>
      <c r="U75" s="410">
        <f t="shared" si="61"/>
        <v>0</v>
      </c>
      <c r="V75" s="410">
        <f t="shared" si="61"/>
        <v>0</v>
      </c>
      <c r="W75" s="410">
        <f t="shared" si="61"/>
        <v>0</v>
      </c>
      <c r="X75" s="410">
        <f t="shared" si="61"/>
        <v>0</v>
      </c>
      <c r="Y75" s="410">
        <f t="shared" si="61"/>
        <v>0</v>
      </c>
      <c r="Z75" s="410">
        <f t="shared" si="61"/>
        <v>0</v>
      </c>
      <c r="AA75" s="410">
        <f t="shared" si="61"/>
        <v>0</v>
      </c>
      <c r="AB75" s="410">
        <f t="shared" si="61"/>
        <v>0</v>
      </c>
      <c r="AC75" s="410">
        <f t="shared" si="61"/>
        <v>23480.833333333332</v>
      </c>
      <c r="AD75" s="379"/>
      <c r="AE75" s="359"/>
      <c r="AF75" s="382">
        <f t="shared" si="62"/>
        <v>0</v>
      </c>
      <c r="AG75" s="382">
        <f t="shared" si="62"/>
        <v>0</v>
      </c>
      <c r="AH75" s="382">
        <f t="shared" si="62"/>
        <v>0</v>
      </c>
      <c r="AI75" s="382">
        <f t="shared" si="62"/>
        <v>0</v>
      </c>
      <c r="AJ75" s="382">
        <f t="shared" si="62"/>
        <v>0</v>
      </c>
      <c r="AK75" s="382">
        <f t="shared" si="62"/>
        <v>0</v>
      </c>
      <c r="AL75" s="382">
        <f t="shared" si="62"/>
        <v>0</v>
      </c>
      <c r="AM75" s="382">
        <f t="shared" si="62"/>
        <v>0</v>
      </c>
      <c r="AN75" s="382">
        <f t="shared" si="62"/>
        <v>0</v>
      </c>
      <c r="AO75" s="382">
        <f t="shared" si="62"/>
        <v>0</v>
      </c>
      <c r="AP75" s="382">
        <f t="shared" si="63"/>
        <v>0</v>
      </c>
      <c r="AQ75" s="382">
        <f t="shared" si="63"/>
        <v>0</v>
      </c>
      <c r="AR75" s="382">
        <f t="shared" si="63"/>
        <v>0</v>
      </c>
      <c r="AS75" s="382">
        <f t="shared" si="63"/>
        <v>0</v>
      </c>
      <c r="AT75" s="382">
        <f t="shared" si="63"/>
        <v>0</v>
      </c>
      <c r="AU75" s="382">
        <f t="shared" si="63"/>
        <v>0</v>
      </c>
      <c r="AV75" s="382">
        <f t="shared" si="63"/>
        <v>0</v>
      </c>
      <c r="AW75" s="382">
        <f t="shared" si="63"/>
        <v>0</v>
      </c>
      <c r="AX75" s="382">
        <f t="shared" si="63"/>
        <v>0</v>
      </c>
      <c r="AY75" s="382">
        <f t="shared" si="63"/>
        <v>0</v>
      </c>
      <c r="AZ75" s="382">
        <f t="shared" si="64"/>
        <v>0</v>
      </c>
      <c r="BA75" s="382">
        <f t="shared" si="64"/>
        <v>0</v>
      </c>
      <c r="BB75" s="382">
        <f t="shared" si="64"/>
        <v>0</v>
      </c>
      <c r="BC75" s="382">
        <f t="shared" si="64"/>
        <v>0</v>
      </c>
      <c r="BD75" s="382">
        <f t="shared" si="64"/>
        <v>0</v>
      </c>
      <c r="BE75" s="382">
        <f t="shared" si="64"/>
        <v>0</v>
      </c>
      <c r="BF75" s="382">
        <f t="shared" si="64"/>
        <v>0</v>
      </c>
      <c r="BG75" s="382">
        <f t="shared" si="64"/>
        <v>0</v>
      </c>
      <c r="BH75" s="382">
        <f t="shared" si="64"/>
        <v>0</v>
      </c>
      <c r="BI75" s="382">
        <f t="shared" si="64"/>
        <v>0</v>
      </c>
      <c r="BJ75" s="382">
        <f t="shared" si="65"/>
        <v>0</v>
      </c>
      <c r="BK75" s="382">
        <f t="shared" si="65"/>
        <v>0</v>
      </c>
      <c r="BL75" s="382">
        <f t="shared" si="65"/>
        <v>0</v>
      </c>
      <c r="BM75" s="382">
        <f t="shared" si="65"/>
        <v>0</v>
      </c>
      <c r="BN75" s="382">
        <f t="shared" si="65"/>
        <v>0</v>
      </c>
      <c r="BO75" s="382">
        <f t="shared" si="65"/>
        <v>0</v>
      </c>
      <c r="BP75" s="382">
        <f t="shared" si="65"/>
        <v>0</v>
      </c>
      <c r="BQ75" s="382">
        <f t="shared" si="65"/>
        <v>0</v>
      </c>
      <c r="BR75" s="382">
        <f t="shared" si="65"/>
        <v>0</v>
      </c>
      <c r="BS75" s="382">
        <f t="shared" si="65"/>
        <v>0</v>
      </c>
      <c r="BT75" s="382">
        <f t="shared" si="66"/>
        <v>0</v>
      </c>
      <c r="BU75" s="382">
        <f t="shared" si="66"/>
        <v>0</v>
      </c>
      <c r="BV75" s="382">
        <f t="shared" si="66"/>
        <v>0</v>
      </c>
      <c r="BW75" s="382">
        <f t="shared" si="66"/>
        <v>0</v>
      </c>
      <c r="BX75" s="382">
        <f t="shared" si="66"/>
        <v>0</v>
      </c>
      <c r="BY75" s="382">
        <f t="shared" si="66"/>
        <v>0</v>
      </c>
      <c r="BZ75" s="382">
        <f t="shared" si="66"/>
        <v>0</v>
      </c>
      <c r="CA75" s="382">
        <f t="shared" si="66"/>
        <v>23480.833333333332</v>
      </c>
    </row>
    <row r="76" spans="3:79" ht="21" customHeight="1" outlineLevel="1">
      <c r="C76" s="370"/>
      <c r="D76" s="369"/>
      <c r="E76" s="369"/>
      <c r="G76" s="359"/>
      <c r="H76" s="412"/>
      <c r="I76" s="412"/>
      <c r="J76" s="412"/>
      <c r="K76" s="412"/>
      <c r="L76" s="379"/>
      <c r="M76" s="359"/>
      <c r="N76" s="382"/>
      <c r="O76" s="382"/>
      <c r="P76" s="382"/>
      <c r="Q76" s="382"/>
      <c r="R76" s="382"/>
      <c r="S76" s="382"/>
      <c r="T76" s="382"/>
      <c r="U76" s="382"/>
      <c r="V76" s="382"/>
      <c r="W76" s="382"/>
      <c r="X76" s="382"/>
      <c r="Y76" s="382"/>
      <c r="Z76" s="382"/>
      <c r="AA76" s="382"/>
      <c r="AB76" s="382"/>
      <c r="AC76" s="382"/>
      <c r="AD76" s="379"/>
      <c r="AE76" s="359"/>
      <c r="AF76" s="412"/>
      <c r="AG76" s="412"/>
      <c r="AH76" s="412"/>
      <c r="AI76" s="412"/>
      <c r="AJ76" s="412"/>
      <c r="AK76" s="412"/>
      <c r="AL76" s="412"/>
      <c r="AM76" s="412"/>
      <c r="AN76" s="412"/>
      <c r="AO76" s="412"/>
      <c r="AP76" s="412"/>
      <c r="AQ76" s="412"/>
      <c r="AR76" s="412"/>
      <c r="AS76" s="412"/>
      <c r="AT76" s="412"/>
      <c r="AU76" s="412"/>
      <c r="AV76" s="412"/>
      <c r="AW76" s="412"/>
      <c r="AX76" s="412"/>
      <c r="AY76" s="412"/>
      <c r="AZ76" s="412"/>
      <c r="BA76" s="412"/>
      <c r="BB76" s="412"/>
      <c r="BC76" s="412"/>
      <c r="BD76" s="412"/>
      <c r="BE76" s="412"/>
      <c r="BF76" s="412"/>
      <c r="BG76" s="412"/>
      <c r="BH76" s="412"/>
      <c r="BI76" s="412"/>
      <c r="BJ76" s="412"/>
      <c r="BK76" s="412"/>
      <c r="BL76" s="412"/>
      <c r="BM76" s="412"/>
      <c r="BN76" s="412"/>
      <c r="BO76" s="412"/>
      <c r="BP76" s="412"/>
      <c r="BQ76" s="412"/>
      <c r="BR76" s="412"/>
      <c r="BS76" s="412"/>
      <c r="BT76" s="412"/>
      <c r="BU76" s="412"/>
      <c r="BV76" s="412"/>
      <c r="BW76" s="412"/>
      <c r="BX76" s="412"/>
      <c r="BY76" s="412"/>
      <c r="BZ76" s="412"/>
      <c r="CA76" s="412"/>
    </row>
    <row r="77" spans="3:79" outlineLevel="1" collapsed="1">
      <c r="C77" s="365" t="s">
        <v>504</v>
      </c>
      <c r="D77" s="366"/>
      <c r="E77" s="365"/>
      <c r="G77" s="359"/>
      <c r="H77" s="378">
        <f>SUM(H78:H125)</f>
        <v>1337.5</v>
      </c>
      <c r="I77" s="378">
        <f>SUM(I78:I125)</f>
        <v>49320.833333333328</v>
      </c>
      <c r="J77" s="378">
        <f>SUM(J78:J125)</f>
        <v>65199.374999999993</v>
      </c>
      <c r="K77" s="378">
        <f>SUM(K78:K125)</f>
        <v>153277.49999999997</v>
      </c>
      <c r="M77" s="359"/>
      <c r="N77" s="378">
        <f t="shared" ref="N77:AC77" si="67">SUM(N78:N125)</f>
        <v>0</v>
      </c>
      <c r="O77" s="378">
        <f t="shared" si="67"/>
        <v>0</v>
      </c>
      <c r="P77" s="378">
        <f t="shared" si="67"/>
        <v>0</v>
      </c>
      <c r="Q77" s="378">
        <f t="shared" si="67"/>
        <v>1337.5</v>
      </c>
      <c r="R77" s="378">
        <f t="shared" si="67"/>
        <v>11483.333333333334</v>
      </c>
      <c r="S77" s="378">
        <f t="shared" si="67"/>
        <v>12612.5</v>
      </c>
      <c r="T77" s="378">
        <f t="shared" si="67"/>
        <v>12612.5</v>
      </c>
      <c r="U77" s="378">
        <f t="shared" si="67"/>
        <v>12612.5</v>
      </c>
      <c r="V77" s="378">
        <f t="shared" si="67"/>
        <v>12960.416666666668</v>
      </c>
      <c r="W77" s="378">
        <f t="shared" si="67"/>
        <v>14126.25</v>
      </c>
      <c r="X77" s="378">
        <f t="shared" si="67"/>
        <v>17715</v>
      </c>
      <c r="Y77" s="378">
        <f t="shared" si="67"/>
        <v>20397.708333333336</v>
      </c>
      <c r="Z77" s="378">
        <f t="shared" si="67"/>
        <v>37813.125</v>
      </c>
      <c r="AA77" s="378">
        <f t="shared" si="67"/>
        <v>38488.125</v>
      </c>
      <c r="AB77" s="378">
        <f t="shared" si="67"/>
        <v>38488.125</v>
      </c>
      <c r="AC77" s="378">
        <f t="shared" si="67"/>
        <v>38488.125</v>
      </c>
      <c r="AE77" s="359"/>
      <c r="AF77" s="378">
        <f t="shared" ref="AF77:CA77" si="68">SUM(AF78:AF125)</f>
        <v>0</v>
      </c>
      <c r="AG77" s="378">
        <f t="shared" si="68"/>
        <v>0</v>
      </c>
      <c r="AH77" s="378">
        <f t="shared" si="68"/>
        <v>0</v>
      </c>
      <c r="AI77" s="378">
        <f t="shared" si="68"/>
        <v>0</v>
      </c>
      <c r="AJ77" s="378">
        <f t="shared" si="68"/>
        <v>0</v>
      </c>
      <c r="AK77" s="378">
        <f t="shared" si="68"/>
        <v>0</v>
      </c>
      <c r="AL77" s="378">
        <f t="shared" si="68"/>
        <v>0</v>
      </c>
      <c r="AM77" s="378">
        <f t="shared" si="68"/>
        <v>0</v>
      </c>
      <c r="AN77" s="378">
        <f t="shared" si="68"/>
        <v>0</v>
      </c>
      <c r="AO77" s="378">
        <f t="shared" si="68"/>
        <v>0</v>
      </c>
      <c r="AP77" s="378">
        <f t="shared" si="68"/>
        <v>0</v>
      </c>
      <c r="AQ77" s="378">
        <f t="shared" si="68"/>
        <v>1337.5</v>
      </c>
      <c r="AR77" s="378">
        <f t="shared" si="68"/>
        <v>3075</v>
      </c>
      <c r="AS77" s="378">
        <f t="shared" si="68"/>
        <v>4204.166666666667</v>
      </c>
      <c r="AT77" s="378">
        <f t="shared" si="68"/>
        <v>4204.166666666667</v>
      </c>
      <c r="AU77" s="378">
        <f t="shared" si="68"/>
        <v>4204.166666666667</v>
      </c>
      <c r="AV77" s="378">
        <f t="shared" si="68"/>
        <v>4204.166666666667</v>
      </c>
      <c r="AW77" s="378">
        <f t="shared" si="68"/>
        <v>4204.166666666667</v>
      </c>
      <c r="AX77" s="378">
        <f t="shared" si="68"/>
        <v>4204.166666666667</v>
      </c>
      <c r="AY77" s="378">
        <f t="shared" si="68"/>
        <v>4204.166666666667</v>
      </c>
      <c r="AZ77" s="378">
        <f t="shared" si="68"/>
        <v>4204.166666666667</v>
      </c>
      <c r="BA77" s="378">
        <f t="shared" si="68"/>
        <v>4204.166666666667</v>
      </c>
      <c r="BB77" s="378">
        <f t="shared" si="68"/>
        <v>4204.166666666667</v>
      </c>
      <c r="BC77" s="378">
        <f t="shared" si="68"/>
        <v>4204.166666666667</v>
      </c>
      <c r="BD77" s="378">
        <f t="shared" si="68"/>
        <v>4204.166666666667</v>
      </c>
      <c r="BE77" s="378">
        <f t="shared" si="68"/>
        <v>4204.166666666667</v>
      </c>
      <c r="BF77" s="378">
        <f t="shared" si="68"/>
        <v>4552.0833333333339</v>
      </c>
      <c r="BG77" s="378">
        <f t="shared" si="68"/>
        <v>4552.0833333333339</v>
      </c>
      <c r="BH77" s="378">
        <f t="shared" si="68"/>
        <v>4552.0833333333339</v>
      </c>
      <c r="BI77" s="378">
        <f t="shared" si="68"/>
        <v>5022.0833333333339</v>
      </c>
      <c r="BJ77" s="378">
        <f t="shared" si="68"/>
        <v>5022.0833333333339</v>
      </c>
      <c r="BK77" s="378">
        <f t="shared" si="68"/>
        <v>6346.4583333333339</v>
      </c>
      <c r="BL77" s="378">
        <f t="shared" si="68"/>
        <v>6346.4583333333339</v>
      </c>
      <c r="BM77" s="378">
        <f t="shared" si="68"/>
        <v>6346.4583333333339</v>
      </c>
      <c r="BN77" s="378">
        <f t="shared" si="68"/>
        <v>6967.291666666667</v>
      </c>
      <c r="BO77" s="378">
        <f t="shared" si="68"/>
        <v>7083.9583333333339</v>
      </c>
      <c r="BP77" s="378">
        <f t="shared" si="68"/>
        <v>12314.791666666668</v>
      </c>
      <c r="BQ77" s="378">
        <f t="shared" si="68"/>
        <v>12668.958333333334</v>
      </c>
      <c r="BR77" s="378">
        <f t="shared" si="68"/>
        <v>12829.375</v>
      </c>
      <c r="BS77" s="378">
        <f t="shared" si="68"/>
        <v>12829.375</v>
      </c>
      <c r="BT77" s="378">
        <f t="shared" si="68"/>
        <v>12829.375</v>
      </c>
      <c r="BU77" s="378">
        <f t="shared" si="68"/>
        <v>12829.375</v>
      </c>
      <c r="BV77" s="378">
        <f t="shared" si="68"/>
        <v>12829.375</v>
      </c>
      <c r="BW77" s="378">
        <f t="shared" si="68"/>
        <v>12829.375</v>
      </c>
      <c r="BX77" s="378">
        <f t="shared" si="68"/>
        <v>12829.375</v>
      </c>
      <c r="BY77" s="378">
        <f t="shared" si="68"/>
        <v>12829.375</v>
      </c>
      <c r="BZ77" s="378">
        <f t="shared" si="68"/>
        <v>12829.375000000002</v>
      </c>
      <c r="CA77" s="378">
        <f t="shared" si="68"/>
        <v>12829.375</v>
      </c>
    </row>
    <row r="78" spans="3:79" ht="21" hidden="1" customHeight="1" outlineLevel="2">
      <c r="C78" s="370"/>
      <c r="D78" s="374" cm="1">
        <f t="array" ref="D78">EOM_Start_Date</f>
        <v>44957</v>
      </c>
      <c r="E78" s="408" cm="1">
        <f t="array" ref="E78">INDEX($AF$18:$CA$18,0,MATCH($D78,$AF$8:$CA$8,0))</f>
        <v>0</v>
      </c>
      <c r="G78" s="359"/>
      <c r="H78" s="410">
        <f t="shared" ref="H78:K97" si="69">SUMIFS($AF78:$CA78,$AF$4:$CA$4,"&gt;="&amp;H$4,$AF$5:$CA$5,"&lt;="&amp;H$5)</f>
        <v>0</v>
      </c>
      <c r="I78" s="410">
        <f t="shared" si="69"/>
        <v>0</v>
      </c>
      <c r="J78" s="410">
        <f t="shared" si="69"/>
        <v>0</v>
      </c>
      <c r="K78" s="410">
        <f t="shared" si="69"/>
        <v>0</v>
      </c>
      <c r="L78" s="410"/>
      <c r="M78" s="410"/>
      <c r="N78" s="410">
        <f t="shared" ref="N78:AC87" si="70">SUMIFS($AF78:$CA78,$AF$4:$CA$4,"&gt;="&amp;N$4,$AF$5:$CA$5,"&lt;="&amp;N$5)</f>
        <v>0</v>
      </c>
      <c r="O78" s="410">
        <f t="shared" si="70"/>
        <v>0</v>
      </c>
      <c r="P78" s="410">
        <f t="shared" si="70"/>
        <v>0</v>
      </c>
      <c r="Q78" s="410">
        <f t="shared" si="70"/>
        <v>0</v>
      </c>
      <c r="R78" s="410">
        <f t="shared" si="70"/>
        <v>0</v>
      </c>
      <c r="S78" s="410">
        <f t="shared" si="70"/>
        <v>0</v>
      </c>
      <c r="T78" s="410">
        <f t="shared" si="70"/>
        <v>0</v>
      </c>
      <c r="U78" s="410">
        <f t="shared" si="70"/>
        <v>0</v>
      </c>
      <c r="V78" s="410">
        <f t="shared" si="70"/>
        <v>0</v>
      </c>
      <c r="W78" s="410">
        <f t="shared" si="70"/>
        <v>0</v>
      </c>
      <c r="X78" s="410">
        <f t="shared" si="70"/>
        <v>0</v>
      </c>
      <c r="Y78" s="410">
        <f t="shared" si="70"/>
        <v>0</v>
      </c>
      <c r="Z78" s="410">
        <f t="shared" si="70"/>
        <v>0</v>
      </c>
      <c r="AA78" s="410">
        <f t="shared" si="70"/>
        <v>0</v>
      </c>
      <c r="AB78" s="410">
        <f t="shared" si="70"/>
        <v>0</v>
      </c>
      <c r="AC78" s="410">
        <f t="shared" si="70"/>
        <v>0</v>
      </c>
      <c r="AE78" s="359"/>
      <c r="AF78" s="382">
        <f t="shared" ref="AF78:AO87" si="71">IF(AND(AF$8&gt;=$D78,(MATCH(AF$8,$AF$8:$CA$8,0)-MATCH($D78,$AF$8:$CA$8,0))&lt;12),$E78/12,0)</f>
        <v>0</v>
      </c>
      <c r="AG78" s="382">
        <f t="shared" si="71"/>
        <v>0</v>
      </c>
      <c r="AH78" s="382">
        <f t="shared" si="71"/>
        <v>0</v>
      </c>
      <c r="AI78" s="382">
        <f t="shared" si="71"/>
        <v>0</v>
      </c>
      <c r="AJ78" s="382">
        <f t="shared" si="71"/>
        <v>0</v>
      </c>
      <c r="AK78" s="382">
        <f t="shared" si="71"/>
        <v>0</v>
      </c>
      <c r="AL78" s="382">
        <f t="shared" si="71"/>
        <v>0</v>
      </c>
      <c r="AM78" s="382">
        <f t="shared" si="71"/>
        <v>0</v>
      </c>
      <c r="AN78" s="382">
        <f t="shared" si="71"/>
        <v>0</v>
      </c>
      <c r="AO78" s="382">
        <f t="shared" si="71"/>
        <v>0</v>
      </c>
      <c r="AP78" s="382">
        <f t="shared" ref="AP78:AY87" si="72">IF(AND(AP$8&gt;=$D78,(MATCH(AP$8,$AF$8:$CA$8,0)-MATCH($D78,$AF$8:$CA$8,0))&lt;12),$E78/12,0)</f>
        <v>0</v>
      </c>
      <c r="AQ78" s="382">
        <f t="shared" si="72"/>
        <v>0</v>
      </c>
      <c r="AR78" s="382">
        <f t="shared" si="72"/>
        <v>0</v>
      </c>
      <c r="AS78" s="382">
        <f t="shared" si="72"/>
        <v>0</v>
      </c>
      <c r="AT78" s="382">
        <f t="shared" si="72"/>
        <v>0</v>
      </c>
      <c r="AU78" s="382">
        <f t="shared" si="72"/>
        <v>0</v>
      </c>
      <c r="AV78" s="382">
        <f t="shared" si="72"/>
        <v>0</v>
      </c>
      <c r="AW78" s="382">
        <f t="shared" si="72"/>
        <v>0</v>
      </c>
      <c r="AX78" s="382">
        <f t="shared" si="72"/>
        <v>0</v>
      </c>
      <c r="AY78" s="382">
        <f t="shared" si="72"/>
        <v>0</v>
      </c>
      <c r="AZ78" s="382">
        <f t="shared" ref="AZ78:BI87" si="73">IF(AND(AZ$8&gt;=$D78,(MATCH(AZ$8,$AF$8:$CA$8,0)-MATCH($D78,$AF$8:$CA$8,0))&lt;12),$E78/12,0)</f>
        <v>0</v>
      </c>
      <c r="BA78" s="382">
        <f t="shared" si="73"/>
        <v>0</v>
      </c>
      <c r="BB78" s="382">
        <f t="shared" si="73"/>
        <v>0</v>
      </c>
      <c r="BC78" s="382">
        <f t="shared" si="73"/>
        <v>0</v>
      </c>
      <c r="BD78" s="382">
        <f t="shared" si="73"/>
        <v>0</v>
      </c>
      <c r="BE78" s="382">
        <f t="shared" si="73"/>
        <v>0</v>
      </c>
      <c r="BF78" s="382">
        <f t="shared" si="73"/>
        <v>0</v>
      </c>
      <c r="BG78" s="382">
        <f t="shared" si="73"/>
        <v>0</v>
      </c>
      <c r="BH78" s="382">
        <f t="shared" si="73"/>
        <v>0</v>
      </c>
      <c r="BI78" s="382">
        <f t="shared" si="73"/>
        <v>0</v>
      </c>
      <c r="BJ78" s="382">
        <f t="shared" ref="BJ78:BS87" si="74">IF(AND(BJ$8&gt;=$D78,(MATCH(BJ$8,$AF$8:$CA$8,0)-MATCH($D78,$AF$8:$CA$8,0))&lt;12),$E78/12,0)</f>
        <v>0</v>
      </c>
      <c r="BK78" s="382">
        <f t="shared" si="74"/>
        <v>0</v>
      </c>
      <c r="BL78" s="382">
        <f t="shared" si="74"/>
        <v>0</v>
      </c>
      <c r="BM78" s="382">
        <f t="shared" si="74"/>
        <v>0</v>
      </c>
      <c r="BN78" s="382">
        <f t="shared" si="74"/>
        <v>0</v>
      </c>
      <c r="BO78" s="382">
        <f t="shared" si="74"/>
        <v>0</v>
      </c>
      <c r="BP78" s="382">
        <f t="shared" si="74"/>
        <v>0</v>
      </c>
      <c r="BQ78" s="382">
        <f t="shared" si="74"/>
        <v>0</v>
      </c>
      <c r="BR78" s="382">
        <f t="shared" si="74"/>
        <v>0</v>
      </c>
      <c r="BS78" s="382">
        <f t="shared" si="74"/>
        <v>0</v>
      </c>
      <c r="BT78" s="382">
        <f t="shared" ref="BT78:CA87" si="75">IF(AND(BT$8&gt;=$D78,(MATCH(BT$8,$AF$8:$CA$8,0)-MATCH($D78,$AF$8:$CA$8,0))&lt;12),$E78/12,0)</f>
        <v>0</v>
      </c>
      <c r="BU78" s="382">
        <f t="shared" si="75"/>
        <v>0</v>
      </c>
      <c r="BV78" s="382">
        <f t="shared" si="75"/>
        <v>0</v>
      </c>
      <c r="BW78" s="382">
        <f t="shared" si="75"/>
        <v>0</v>
      </c>
      <c r="BX78" s="382">
        <f t="shared" si="75"/>
        <v>0</v>
      </c>
      <c r="BY78" s="382">
        <f t="shared" si="75"/>
        <v>0</v>
      </c>
      <c r="BZ78" s="382">
        <f t="shared" si="75"/>
        <v>0</v>
      </c>
      <c r="CA78" s="382">
        <f t="shared" si="75"/>
        <v>0</v>
      </c>
    </row>
    <row r="79" spans="3:79" ht="21" hidden="1" customHeight="1" outlineLevel="2">
      <c r="C79" s="370"/>
      <c r="D79" s="374">
        <f t="shared" ref="D79:D125" si="76">EOMONTH(D78,1)</f>
        <v>44985</v>
      </c>
      <c r="E79" s="408" cm="1">
        <f t="array" ref="E79">INDEX($AF$18:$CA$18,0,MATCH($D79,$AF$8:$CA$8,0))</f>
        <v>0</v>
      </c>
      <c r="G79" s="359"/>
      <c r="H79" s="410">
        <f t="shared" si="69"/>
        <v>0</v>
      </c>
      <c r="I79" s="410">
        <f t="shared" si="69"/>
        <v>0</v>
      </c>
      <c r="J79" s="410">
        <f t="shared" si="69"/>
        <v>0</v>
      </c>
      <c r="K79" s="410">
        <f t="shared" si="69"/>
        <v>0</v>
      </c>
      <c r="L79" s="410"/>
      <c r="M79" s="410"/>
      <c r="N79" s="410">
        <f t="shared" si="70"/>
        <v>0</v>
      </c>
      <c r="O79" s="410">
        <f t="shared" si="70"/>
        <v>0</v>
      </c>
      <c r="P79" s="410">
        <f t="shared" si="70"/>
        <v>0</v>
      </c>
      <c r="Q79" s="410">
        <f t="shared" si="70"/>
        <v>0</v>
      </c>
      <c r="R79" s="410">
        <f t="shared" si="70"/>
        <v>0</v>
      </c>
      <c r="S79" s="410">
        <f t="shared" si="70"/>
        <v>0</v>
      </c>
      <c r="T79" s="410">
        <f t="shared" si="70"/>
        <v>0</v>
      </c>
      <c r="U79" s="410">
        <f t="shared" si="70"/>
        <v>0</v>
      </c>
      <c r="V79" s="410">
        <f t="shared" si="70"/>
        <v>0</v>
      </c>
      <c r="W79" s="410">
        <f t="shared" si="70"/>
        <v>0</v>
      </c>
      <c r="X79" s="410">
        <f t="shared" si="70"/>
        <v>0</v>
      </c>
      <c r="Y79" s="410">
        <f t="shared" si="70"/>
        <v>0</v>
      </c>
      <c r="Z79" s="410">
        <f t="shared" si="70"/>
        <v>0</v>
      </c>
      <c r="AA79" s="410">
        <f t="shared" si="70"/>
        <v>0</v>
      </c>
      <c r="AB79" s="410">
        <f t="shared" si="70"/>
        <v>0</v>
      </c>
      <c r="AC79" s="410">
        <f t="shared" si="70"/>
        <v>0</v>
      </c>
      <c r="AE79" s="359"/>
      <c r="AF79" s="382">
        <f t="shared" si="71"/>
        <v>0</v>
      </c>
      <c r="AG79" s="382">
        <f t="shared" si="71"/>
        <v>0</v>
      </c>
      <c r="AH79" s="382">
        <f t="shared" si="71"/>
        <v>0</v>
      </c>
      <c r="AI79" s="382">
        <f t="shared" si="71"/>
        <v>0</v>
      </c>
      <c r="AJ79" s="382">
        <f t="shared" si="71"/>
        <v>0</v>
      </c>
      <c r="AK79" s="382">
        <f t="shared" si="71"/>
        <v>0</v>
      </c>
      <c r="AL79" s="382">
        <f t="shared" si="71"/>
        <v>0</v>
      </c>
      <c r="AM79" s="382">
        <f t="shared" si="71"/>
        <v>0</v>
      </c>
      <c r="AN79" s="382">
        <f t="shared" si="71"/>
        <v>0</v>
      </c>
      <c r="AO79" s="382">
        <f t="shared" si="71"/>
        <v>0</v>
      </c>
      <c r="AP79" s="382">
        <f t="shared" si="72"/>
        <v>0</v>
      </c>
      <c r="AQ79" s="382">
        <f t="shared" si="72"/>
        <v>0</v>
      </c>
      <c r="AR79" s="382">
        <f t="shared" si="72"/>
        <v>0</v>
      </c>
      <c r="AS79" s="382">
        <f t="shared" si="72"/>
        <v>0</v>
      </c>
      <c r="AT79" s="382">
        <f t="shared" si="72"/>
        <v>0</v>
      </c>
      <c r="AU79" s="382">
        <f t="shared" si="72"/>
        <v>0</v>
      </c>
      <c r="AV79" s="382">
        <f t="shared" si="72"/>
        <v>0</v>
      </c>
      <c r="AW79" s="382">
        <f t="shared" si="72"/>
        <v>0</v>
      </c>
      <c r="AX79" s="382">
        <f t="shared" si="72"/>
        <v>0</v>
      </c>
      <c r="AY79" s="382">
        <f t="shared" si="72"/>
        <v>0</v>
      </c>
      <c r="AZ79" s="382">
        <f t="shared" si="73"/>
        <v>0</v>
      </c>
      <c r="BA79" s="382">
        <f t="shared" si="73"/>
        <v>0</v>
      </c>
      <c r="BB79" s="382">
        <f t="shared" si="73"/>
        <v>0</v>
      </c>
      <c r="BC79" s="382">
        <f t="shared" si="73"/>
        <v>0</v>
      </c>
      <c r="BD79" s="382">
        <f t="shared" si="73"/>
        <v>0</v>
      </c>
      <c r="BE79" s="382">
        <f t="shared" si="73"/>
        <v>0</v>
      </c>
      <c r="BF79" s="382">
        <f t="shared" si="73"/>
        <v>0</v>
      </c>
      <c r="BG79" s="382">
        <f t="shared" si="73"/>
        <v>0</v>
      </c>
      <c r="BH79" s="382">
        <f t="shared" si="73"/>
        <v>0</v>
      </c>
      <c r="BI79" s="382">
        <f t="shared" si="73"/>
        <v>0</v>
      </c>
      <c r="BJ79" s="382">
        <f t="shared" si="74"/>
        <v>0</v>
      </c>
      <c r="BK79" s="382">
        <f t="shared" si="74"/>
        <v>0</v>
      </c>
      <c r="BL79" s="382">
        <f t="shared" si="74"/>
        <v>0</v>
      </c>
      <c r="BM79" s="382">
        <f t="shared" si="74"/>
        <v>0</v>
      </c>
      <c r="BN79" s="382">
        <f t="shared" si="74"/>
        <v>0</v>
      </c>
      <c r="BO79" s="382">
        <f t="shared" si="74"/>
        <v>0</v>
      </c>
      <c r="BP79" s="382">
        <f t="shared" si="74"/>
        <v>0</v>
      </c>
      <c r="BQ79" s="382">
        <f t="shared" si="74"/>
        <v>0</v>
      </c>
      <c r="BR79" s="382">
        <f t="shared" si="74"/>
        <v>0</v>
      </c>
      <c r="BS79" s="382">
        <f t="shared" si="74"/>
        <v>0</v>
      </c>
      <c r="BT79" s="382">
        <f t="shared" si="75"/>
        <v>0</v>
      </c>
      <c r="BU79" s="382">
        <f t="shared" si="75"/>
        <v>0</v>
      </c>
      <c r="BV79" s="382">
        <f t="shared" si="75"/>
        <v>0</v>
      </c>
      <c r="BW79" s="382">
        <f t="shared" si="75"/>
        <v>0</v>
      </c>
      <c r="BX79" s="382">
        <f t="shared" si="75"/>
        <v>0</v>
      </c>
      <c r="BY79" s="382">
        <f t="shared" si="75"/>
        <v>0</v>
      </c>
      <c r="BZ79" s="382">
        <f t="shared" si="75"/>
        <v>0</v>
      </c>
      <c r="CA79" s="382">
        <f t="shared" si="75"/>
        <v>0</v>
      </c>
    </row>
    <row r="80" spans="3:79" ht="21" hidden="1" customHeight="1" outlineLevel="2">
      <c r="C80" s="370"/>
      <c r="D80" s="374">
        <f t="shared" si="76"/>
        <v>45016</v>
      </c>
      <c r="E80" s="408" cm="1">
        <f t="array" ref="E80">INDEX($AF$18:$CA$18,0,MATCH($D80,$AF$8:$CA$8,0))</f>
        <v>0</v>
      </c>
      <c r="G80" s="359"/>
      <c r="H80" s="410">
        <f t="shared" si="69"/>
        <v>0</v>
      </c>
      <c r="I80" s="410">
        <f t="shared" si="69"/>
        <v>0</v>
      </c>
      <c r="J80" s="410">
        <f t="shared" si="69"/>
        <v>0</v>
      </c>
      <c r="K80" s="410">
        <f t="shared" si="69"/>
        <v>0</v>
      </c>
      <c r="L80" s="410"/>
      <c r="M80" s="410"/>
      <c r="N80" s="410">
        <f t="shared" si="70"/>
        <v>0</v>
      </c>
      <c r="O80" s="410">
        <f t="shared" si="70"/>
        <v>0</v>
      </c>
      <c r="P80" s="410">
        <f t="shared" si="70"/>
        <v>0</v>
      </c>
      <c r="Q80" s="410">
        <f t="shared" si="70"/>
        <v>0</v>
      </c>
      <c r="R80" s="410">
        <f t="shared" si="70"/>
        <v>0</v>
      </c>
      <c r="S80" s="410">
        <f t="shared" si="70"/>
        <v>0</v>
      </c>
      <c r="T80" s="410">
        <f t="shared" si="70"/>
        <v>0</v>
      </c>
      <c r="U80" s="410">
        <f t="shared" si="70"/>
        <v>0</v>
      </c>
      <c r="V80" s="410">
        <f t="shared" si="70"/>
        <v>0</v>
      </c>
      <c r="W80" s="410">
        <f t="shared" si="70"/>
        <v>0</v>
      </c>
      <c r="X80" s="410">
        <f t="shared" si="70"/>
        <v>0</v>
      </c>
      <c r="Y80" s="410">
        <f t="shared" si="70"/>
        <v>0</v>
      </c>
      <c r="Z80" s="410">
        <f t="shared" si="70"/>
        <v>0</v>
      </c>
      <c r="AA80" s="410">
        <f t="shared" si="70"/>
        <v>0</v>
      </c>
      <c r="AB80" s="410">
        <f t="shared" si="70"/>
        <v>0</v>
      </c>
      <c r="AC80" s="410">
        <f t="shared" si="70"/>
        <v>0</v>
      </c>
      <c r="AE80" s="359"/>
      <c r="AF80" s="382">
        <f t="shared" si="71"/>
        <v>0</v>
      </c>
      <c r="AG80" s="382">
        <f t="shared" si="71"/>
        <v>0</v>
      </c>
      <c r="AH80" s="382">
        <f t="shared" si="71"/>
        <v>0</v>
      </c>
      <c r="AI80" s="382">
        <f t="shared" si="71"/>
        <v>0</v>
      </c>
      <c r="AJ80" s="382">
        <f t="shared" si="71"/>
        <v>0</v>
      </c>
      <c r="AK80" s="382">
        <f t="shared" si="71"/>
        <v>0</v>
      </c>
      <c r="AL80" s="382">
        <f t="shared" si="71"/>
        <v>0</v>
      </c>
      <c r="AM80" s="382">
        <f t="shared" si="71"/>
        <v>0</v>
      </c>
      <c r="AN80" s="382">
        <f t="shared" si="71"/>
        <v>0</v>
      </c>
      <c r="AO80" s="382">
        <f t="shared" si="71"/>
        <v>0</v>
      </c>
      <c r="AP80" s="382">
        <f t="shared" si="72"/>
        <v>0</v>
      </c>
      <c r="AQ80" s="382">
        <f t="shared" si="72"/>
        <v>0</v>
      </c>
      <c r="AR80" s="382">
        <f t="shared" si="72"/>
        <v>0</v>
      </c>
      <c r="AS80" s="382">
        <f t="shared" si="72"/>
        <v>0</v>
      </c>
      <c r="AT80" s="382">
        <f t="shared" si="72"/>
        <v>0</v>
      </c>
      <c r="AU80" s="382">
        <f t="shared" si="72"/>
        <v>0</v>
      </c>
      <c r="AV80" s="382">
        <f t="shared" si="72"/>
        <v>0</v>
      </c>
      <c r="AW80" s="382">
        <f t="shared" si="72"/>
        <v>0</v>
      </c>
      <c r="AX80" s="382">
        <f t="shared" si="72"/>
        <v>0</v>
      </c>
      <c r="AY80" s="382">
        <f t="shared" si="72"/>
        <v>0</v>
      </c>
      <c r="AZ80" s="382">
        <f t="shared" si="73"/>
        <v>0</v>
      </c>
      <c r="BA80" s="382">
        <f t="shared" si="73"/>
        <v>0</v>
      </c>
      <c r="BB80" s="382">
        <f t="shared" si="73"/>
        <v>0</v>
      </c>
      <c r="BC80" s="382">
        <f t="shared" si="73"/>
        <v>0</v>
      </c>
      <c r="BD80" s="382">
        <f t="shared" si="73"/>
        <v>0</v>
      </c>
      <c r="BE80" s="382">
        <f t="shared" si="73"/>
        <v>0</v>
      </c>
      <c r="BF80" s="382">
        <f t="shared" si="73"/>
        <v>0</v>
      </c>
      <c r="BG80" s="382">
        <f t="shared" si="73"/>
        <v>0</v>
      </c>
      <c r="BH80" s="382">
        <f t="shared" si="73"/>
        <v>0</v>
      </c>
      <c r="BI80" s="382">
        <f t="shared" si="73"/>
        <v>0</v>
      </c>
      <c r="BJ80" s="382">
        <f t="shared" si="74"/>
        <v>0</v>
      </c>
      <c r="BK80" s="382">
        <f t="shared" si="74"/>
        <v>0</v>
      </c>
      <c r="BL80" s="382">
        <f t="shared" si="74"/>
        <v>0</v>
      </c>
      <c r="BM80" s="382">
        <f t="shared" si="74"/>
        <v>0</v>
      </c>
      <c r="BN80" s="382">
        <f t="shared" si="74"/>
        <v>0</v>
      </c>
      <c r="BO80" s="382">
        <f t="shared" si="74"/>
        <v>0</v>
      </c>
      <c r="BP80" s="382">
        <f t="shared" si="74"/>
        <v>0</v>
      </c>
      <c r="BQ80" s="382">
        <f t="shared" si="74"/>
        <v>0</v>
      </c>
      <c r="BR80" s="382">
        <f t="shared" si="74"/>
        <v>0</v>
      </c>
      <c r="BS80" s="382">
        <f t="shared" si="74"/>
        <v>0</v>
      </c>
      <c r="BT80" s="382">
        <f t="shared" si="75"/>
        <v>0</v>
      </c>
      <c r="BU80" s="382">
        <f t="shared" si="75"/>
        <v>0</v>
      </c>
      <c r="BV80" s="382">
        <f t="shared" si="75"/>
        <v>0</v>
      </c>
      <c r="BW80" s="382">
        <f t="shared" si="75"/>
        <v>0</v>
      </c>
      <c r="BX80" s="382">
        <f t="shared" si="75"/>
        <v>0</v>
      </c>
      <c r="BY80" s="382">
        <f t="shared" si="75"/>
        <v>0</v>
      </c>
      <c r="BZ80" s="382">
        <f t="shared" si="75"/>
        <v>0</v>
      </c>
      <c r="CA80" s="382">
        <f t="shared" si="75"/>
        <v>0</v>
      </c>
    </row>
    <row r="81" spans="3:79" ht="21" hidden="1" customHeight="1" outlineLevel="2">
      <c r="C81" s="370"/>
      <c r="D81" s="374">
        <f t="shared" si="76"/>
        <v>45046</v>
      </c>
      <c r="E81" s="408" cm="1">
        <f t="array" ref="E81">INDEX($AF$18:$CA$18,0,MATCH($D81,$AF$8:$CA$8,0))</f>
        <v>0</v>
      </c>
      <c r="G81" s="359"/>
      <c r="H81" s="410">
        <f t="shared" si="69"/>
        <v>0</v>
      </c>
      <c r="I81" s="410">
        <f t="shared" si="69"/>
        <v>0</v>
      </c>
      <c r="J81" s="410">
        <f t="shared" si="69"/>
        <v>0</v>
      </c>
      <c r="K81" s="410">
        <f t="shared" si="69"/>
        <v>0</v>
      </c>
      <c r="L81" s="410"/>
      <c r="M81" s="410"/>
      <c r="N81" s="410">
        <f t="shared" si="70"/>
        <v>0</v>
      </c>
      <c r="O81" s="410">
        <f t="shared" si="70"/>
        <v>0</v>
      </c>
      <c r="P81" s="410">
        <f t="shared" si="70"/>
        <v>0</v>
      </c>
      <c r="Q81" s="410">
        <f t="shared" si="70"/>
        <v>0</v>
      </c>
      <c r="R81" s="410">
        <f t="shared" si="70"/>
        <v>0</v>
      </c>
      <c r="S81" s="410">
        <f t="shared" si="70"/>
        <v>0</v>
      </c>
      <c r="T81" s="410">
        <f t="shared" si="70"/>
        <v>0</v>
      </c>
      <c r="U81" s="410">
        <f t="shared" si="70"/>
        <v>0</v>
      </c>
      <c r="V81" s="410">
        <f t="shared" si="70"/>
        <v>0</v>
      </c>
      <c r="W81" s="410">
        <f t="shared" si="70"/>
        <v>0</v>
      </c>
      <c r="X81" s="410">
        <f t="shared" si="70"/>
        <v>0</v>
      </c>
      <c r="Y81" s="410">
        <f t="shared" si="70"/>
        <v>0</v>
      </c>
      <c r="Z81" s="410">
        <f t="shared" si="70"/>
        <v>0</v>
      </c>
      <c r="AA81" s="410">
        <f t="shared" si="70"/>
        <v>0</v>
      </c>
      <c r="AB81" s="410">
        <f t="shared" si="70"/>
        <v>0</v>
      </c>
      <c r="AC81" s="410">
        <f t="shared" si="70"/>
        <v>0</v>
      </c>
      <c r="AE81" s="359"/>
      <c r="AF81" s="382">
        <f t="shared" si="71"/>
        <v>0</v>
      </c>
      <c r="AG81" s="382">
        <f t="shared" si="71"/>
        <v>0</v>
      </c>
      <c r="AH81" s="382">
        <f t="shared" si="71"/>
        <v>0</v>
      </c>
      <c r="AI81" s="382">
        <f t="shared" si="71"/>
        <v>0</v>
      </c>
      <c r="AJ81" s="382">
        <f t="shared" si="71"/>
        <v>0</v>
      </c>
      <c r="AK81" s="382">
        <f t="shared" si="71"/>
        <v>0</v>
      </c>
      <c r="AL81" s="382">
        <f t="shared" si="71"/>
        <v>0</v>
      </c>
      <c r="AM81" s="382">
        <f t="shared" si="71"/>
        <v>0</v>
      </c>
      <c r="AN81" s="382">
        <f t="shared" si="71"/>
        <v>0</v>
      </c>
      <c r="AO81" s="382">
        <f t="shared" si="71"/>
        <v>0</v>
      </c>
      <c r="AP81" s="382">
        <f t="shared" si="72"/>
        <v>0</v>
      </c>
      <c r="AQ81" s="382">
        <f t="shared" si="72"/>
        <v>0</v>
      </c>
      <c r="AR81" s="382">
        <f t="shared" si="72"/>
        <v>0</v>
      </c>
      <c r="AS81" s="382">
        <f t="shared" si="72"/>
        <v>0</v>
      </c>
      <c r="AT81" s="382">
        <f t="shared" si="72"/>
        <v>0</v>
      </c>
      <c r="AU81" s="382">
        <f t="shared" si="72"/>
        <v>0</v>
      </c>
      <c r="AV81" s="382">
        <f t="shared" si="72"/>
        <v>0</v>
      </c>
      <c r="AW81" s="382">
        <f t="shared" si="72"/>
        <v>0</v>
      </c>
      <c r="AX81" s="382">
        <f t="shared" si="72"/>
        <v>0</v>
      </c>
      <c r="AY81" s="382">
        <f t="shared" si="72"/>
        <v>0</v>
      </c>
      <c r="AZ81" s="382">
        <f t="shared" si="73"/>
        <v>0</v>
      </c>
      <c r="BA81" s="382">
        <f t="shared" si="73"/>
        <v>0</v>
      </c>
      <c r="BB81" s="382">
        <f t="shared" si="73"/>
        <v>0</v>
      </c>
      <c r="BC81" s="382">
        <f t="shared" si="73"/>
        <v>0</v>
      </c>
      <c r="BD81" s="382">
        <f t="shared" si="73"/>
        <v>0</v>
      </c>
      <c r="BE81" s="382">
        <f t="shared" si="73"/>
        <v>0</v>
      </c>
      <c r="BF81" s="382">
        <f t="shared" si="73"/>
        <v>0</v>
      </c>
      <c r="BG81" s="382">
        <f t="shared" si="73"/>
        <v>0</v>
      </c>
      <c r="BH81" s="382">
        <f t="shared" si="73"/>
        <v>0</v>
      </c>
      <c r="BI81" s="382">
        <f t="shared" si="73"/>
        <v>0</v>
      </c>
      <c r="BJ81" s="382">
        <f t="shared" si="74"/>
        <v>0</v>
      </c>
      <c r="BK81" s="382">
        <f t="shared" si="74"/>
        <v>0</v>
      </c>
      <c r="BL81" s="382">
        <f t="shared" si="74"/>
        <v>0</v>
      </c>
      <c r="BM81" s="382">
        <f t="shared" si="74"/>
        <v>0</v>
      </c>
      <c r="BN81" s="382">
        <f t="shared" si="74"/>
        <v>0</v>
      </c>
      <c r="BO81" s="382">
        <f t="shared" si="74"/>
        <v>0</v>
      </c>
      <c r="BP81" s="382">
        <f t="shared" si="74"/>
        <v>0</v>
      </c>
      <c r="BQ81" s="382">
        <f t="shared" si="74"/>
        <v>0</v>
      </c>
      <c r="BR81" s="382">
        <f t="shared" si="74"/>
        <v>0</v>
      </c>
      <c r="BS81" s="382">
        <f t="shared" si="74"/>
        <v>0</v>
      </c>
      <c r="BT81" s="382">
        <f t="shared" si="75"/>
        <v>0</v>
      </c>
      <c r="BU81" s="382">
        <f t="shared" si="75"/>
        <v>0</v>
      </c>
      <c r="BV81" s="382">
        <f t="shared" si="75"/>
        <v>0</v>
      </c>
      <c r="BW81" s="382">
        <f t="shared" si="75"/>
        <v>0</v>
      </c>
      <c r="BX81" s="382">
        <f t="shared" si="75"/>
        <v>0</v>
      </c>
      <c r="BY81" s="382">
        <f t="shared" si="75"/>
        <v>0</v>
      </c>
      <c r="BZ81" s="382">
        <f t="shared" si="75"/>
        <v>0</v>
      </c>
      <c r="CA81" s="382">
        <f t="shared" si="75"/>
        <v>0</v>
      </c>
    </row>
    <row r="82" spans="3:79" ht="21" hidden="1" customHeight="1" outlineLevel="2">
      <c r="C82" s="370"/>
      <c r="D82" s="374">
        <f t="shared" si="76"/>
        <v>45077</v>
      </c>
      <c r="E82" s="408" cm="1">
        <f t="array" ref="E82">INDEX($AF$18:$CA$18,0,MATCH($D82,$AF$8:$CA$8,0))</f>
        <v>0</v>
      </c>
      <c r="G82" s="359"/>
      <c r="H82" s="410">
        <f t="shared" si="69"/>
        <v>0</v>
      </c>
      <c r="I82" s="410">
        <f t="shared" si="69"/>
        <v>0</v>
      </c>
      <c r="J82" s="410">
        <f t="shared" si="69"/>
        <v>0</v>
      </c>
      <c r="K82" s="410">
        <f t="shared" si="69"/>
        <v>0</v>
      </c>
      <c r="L82" s="410"/>
      <c r="M82" s="410"/>
      <c r="N82" s="410">
        <f t="shared" si="70"/>
        <v>0</v>
      </c>
      <c r="O82" s="410">
        <f t="shared" si="70"/>
        <v>0</v>
      </c>
      <c r="P82" s="410">
        <f t="shared" si="70"/>
        <v>0</v>
      </c>
      <c r="Q82" s="410">
        <f t="shared" si="70"/>
        <v>0</v>
      </c>
      <c r="R82" s="410">
        <f t="shared" si="70"/>
        <v>0</v>
      </c>
      <c r="S82" s="410">
        <f t="shared" si="70"/>
        <v>0</v>
      </c>
      <c r="T82" s="410">
        <f t="shared" si="70"/>
        <v>0</v>
      </c>
      <c r="U82" s="410">
        <f t="shared" si="70"/>
        <v>0</v>
      </c>
      <c r="V82" s="410">
        <f t="shared" si="70"/>
        <v>0</v>
      </c>
      <c r="W82" s="410">
        <f t="shared" si="70"/>
        <v>0</v>
      </c>
      <c r="X82" s="410">
        <f t="shared" si="70"/>
        <v>0</v>
      </c>
      <c r="Y82" s="410">
        <f t="shared" si="70"/>
        <v>0</v>
      </c>
      <c r="Z82" s="410">
        <f t="shared" si="70"/>
        <v>0</v>
      </c>
      <c r="AA82" s="410">
        <f t="shared" si="70"/>
        <v>0</v>
      </c>
      <c r="AB82" s="410">
        <f t="shared" si="70"/>
        <v>0</v>
      </c>
      <c r="AC82" s="410">
        <f t="shared" si="70"/>
        <v>0</v>
      </c>
      <c r="AE82" s="359"/>
      <c r="AF82" s="382">
        <f t="shared" si="71"/>
        <v>0</v>
      </c>
      <c r="AG82" s="382">
        <f t="shared" si="71"/>
        <v>0</v>
      </c>
      <c r="AH82" s="382">
        <f t="shared" si="71"/>
        <v>0</v>
      </c>
      <c r="AI82" s="382">
        <f t="shared" si="71"/>
        <v>0</v>
      </c>
      <c r="AJ82" s="382">
        <f t="shared" si="71"/>
        <v>0</v>
      </c>
      <c r="AK82" s="382">
        <f t="shared" si="71"/>
        <v>0</v>
      </c>
      <c r="AL82" s="382">
        <f t="shared" si="71"/>
        <v>0</v>
      </c>
      <c r="AM82" s="382">
        <f t="shared" si="71"/>
        <v>0</v>
      </c>
      <c r="AN82" s="382">
        <f t="shared" si="71"/>
        <v>0</v>
      </c>
      <c r="AO82" s="382">
        <f t="shared" si="71"/>
        <v>0</v>
      </c>
      <c r="AP82" s="382">
        <f t="shared" si="72"/>
        <v>0</v>
      </c>
      <c r="AQ82" s="382">
        <f t="shared" si="72"/>
        <v>0</v>
      </c>
      <c r="AR82" s="382">
        <f t="shared" si="72"/>
        <v>0</v>
      </c>
      <c r="AS82" s="382">
        <f t="shared" si="72"/>
        <v>0</v>
      </c>
      <c r="AT82" s="382">
        <f t="shared" si="72"/>
        <v>0</v>
      </c>
      <c r="AU82" s="382">
        <f t="shared" si="72"/>
        <v>0</v>
      </c>
      <c r="AV82" s="382">
        <f t="shared" si="72"/>
        <v>0</v>
      </c>
      <c r="AW82" s="382">
        <f t="shared" si="72"/>
        <v>0</v>
      </c>
      <c r="AX82" s="382">
        <f t="shared" si="72"/>
        <v>0</v>
      </c>
      <c r="AY82" s="382">
        <f t="shared" si="72"/>
        <v>0</v>
      </c>
      <c r="AZ82" s="382">
        <f t="shared" si="73"/>
        <v>0</v>
      </c>
      <c r="BA82" s="382">
        <f t="shared" si="73"/>
        <v>0</v>
      </c>
      <c r="BB82" s="382">
        <f t="shared" si="73"/>
        <v>0</v>
      </c>
      <c r="BC82" s="382">
        <f t="shared" si="73"/>
        <v>0</v>
      </c>
      <c r="BD82" s="382">
        <f t="shared" si="73"/>
        <v>0</v>
      </c>
      <c r="BE82" s="382">
        <f t="shared" si="73"/>
        <v>0</v>
      </c>
      <c r="BF82" s="382">
        <f t="shared" si="73"/>
        <v>0</v>
      </c>
      <c r="BG82" s="382">
        <f t="shared" si="73"/>
        <v>0</v>
      </c>
      <c r="BH82" s="382">
        <f t="shared" si="73"/>
        <v>0</v>
      </c>
      <c r="BI82" s="382">
        <f t="shared" si="73"/>
        <v>0</v>
      </c>
      <c r="BJ82" s="382">
        <f t="shared" si="74"/>
        <v>0</v>
      </c>
      <c r="BK82" s="382">
        <f t="shared" si="74"/>
        <v>0</v>
      </c>
      <c r="BL82" s="382">
        <f t="shared" si="74"/>
        <v>0</v>
      </c>
      <c r="BM82" s="382">
        <f t="shared" si="74"/>
        <v>0</v>
      </c>
      <c r="BN82" s="382">
        <f t="shared" si="74"/>
        <v>0</v>
      </c>
      <c r="BO82" s="382">
        <f t="shared" si="74"/>
        <v>0</v>
      </c>
      <c r="BP82" s="382">
        <f t="shared" si="74"/>
        <v>0</v>
      </c>
      <c r="BQ82" s="382">
        <f t="shared" si="74"/>
        <v>0</v>
      </c>
      <c r="BR82" s="382">
        <f t="shared" si="74"/>
        <v>0</v>
      </c>
      <c r="BS82" s="382">
        <f t="shared" si="74"/>
        <v>0</v>
      </c>
      <c r="BT82" s="382">
        <f t="shared" si="75"/>
        <v>0</v>
      </c>
      <c r="BU82" s="382">
        <f t="shared" si="75"/>
        <v>0</v>
      </c>
      <c r="BV82" s="382">
        <f t="shared" si="75"/>
        <v>0</v>
      </c>
      <c r="BW82" s="382">
        <f t="shared" si="75"/>
        <v>0</v>
      </c>
      <c r="BX82" s="382">
        <f t="shared" si="75"/>
        <v>0</v>
      </c>
      <c r="BY82" s="382">
        <f t="shared" si="75"/>
        <v>0</v>
      </c>
      <c r="BZ82" s="382">
        <f t="shared" si="75"/>
        <v>0</v>
      </c>
      <c r="CA82" s="382">
        <f t="shared" si="75"/>
        <v>0</v>
      </c>
    </row>
    <row r="83" spans="3:79" ht="21" hidden="1" customHeight="1" outlineLevel="2">
      <c r="C83" s="370"/>
      <c r="D83" s="374">
        <f t="shared" si="76"/>
        <v>45107</v>
      </c>
      <c r="E83" s="408" cm="1">
        <f t="array" ref="E83">INDEX($AF$18:$CA$18,0,MATCH($D83,$AF$8:$CA$8,0))</f>
        <v>0</v>
      </c>
      <c r="G83" s="359"/>
      <c r="H83" s="410">
        <f t="shared" si="69"/>
        <v>0</v>
      </c>
      <c r="I83" s="410">
        <f t="shared" si="69"/>
        <v>0</v>
      </c>
      <c r="J83" s="410">
        <f t="shared" si="69"/>
        <v>0</v>
      </c>
      <c r="K83" s="410">
        <f t="shared" si="69"/>
        <v>0</v>
      </c>
      <c r="L83" s="410"/>
      <c r="M83" s="410"/>
      <c r="N83" s="410">
        <f t="shared" si="70"/>
        <v>0</v>
      </c>
      <c r="O83" s="410">
        <f t="shared" si="70"/>
        <v>0</v>
      </c>
      <c r="P83" s="410">
        <f t="shared" si="70"/>
        <v>0</v>
      </c>
      <c r="Q83" s="410">
        <f t="shared" si="70"/>
        <v>0</v>
      </c>
      <c r="R83" s="410">
        <f t="shared" si="70"/>
        <v>0</v>
      </c>
      <c r="S83" s="410">
        <f t="shared" si="70"/>
        <v>0</v>
      </c>
      <c r="T83" s="410">
        <f t="shared" si="70"/>
        <v>0</v>
      </c>
      <c r="U83" s="410">
        <f t="shared" si="70"/>
        <v>0</v>
      </c>
      <c r="V83" s="410">
        <f t="shared" si="70"/>
        <v>0</v>
      </c>
      <c r="W83" s="410">
        <f t="shared" si="70"/>
        <v>0</v>
      </c>
      <c r="X83" s="410">
        <f t="shared" si="70"/>
        <v>0</v>
      </c>
      <c r="Y83" s="410">
        <f t="shared" si="70"/>
        <v>0</v>
      </c>
      <c r="Z83" s="410">
        <f t="shared" si="70"/>
        <v>0</v>
      </c>
      <c r="AA83" s="410">
        <f t="shared" si="70"/>
        <v>0</v>
      </c>
      <c r="AB83" s="410">
        <f t="shared" si="70"/>
        <v>0</v>
      </c>
      <c r="AC83" s="410">
        <f t="shared" si="70"/>
        <v>0</v>
      </c>
      <c r="AE83" s="359"/>
      <c r="AF83" s="382">
        <f t="shared" si="71"/>
        <v>0</v>
      </c>
      <c r="AG83" s="382">
        <f t="shared" si="71"/>
        <v>0</v>
      </c>
      <c r="AH83" s="382">
        <f t="shared" si="71"/>
        <v>0</v>
      </c>
      <c r="AI83" s="382">
        <f t="shared" si="71"/>
        <v>0</v>
      </c>
      <c r="AJ83" s="382">
        <f t="shared" si="71"/>
        <v>0</v>
      </c>
      <c r="AK83" s="382">
        <f t="shared" si="71"/>
        <v>0</v>
      </c>
      <c r="AL83" s="382">
        <f t="shared" si="71"/>
        <v>0</v>
      </c>
      <c r="AM83" s="382">
        <f t="shared" si="71"/>
        <v>0</v>
      </c>
      <c r="AN83" s="382">
        <f t="shared" si="71"/>
        <v>0</v>
      </c>
      <c r="AO83" s="382">
        <f t="shared" si="71"/>
        <v>0</v>
      </c>
      <c r="AP83" s="382">
        <f t="shared" si="72"/>
        <v>0</v>
      </c>
      <c r="AQ83" s="382">
        <f t="shared" si="72"/>
        <v>0</v>
      </c>
      <c r="AR83" s="382">
        <f t="shared" si="72"/>
        <v>0</v>
      </c>
      <c r="AS83" s="382">
        <f t="shared" si="72"/>
        <v>0</v>
      </c>
      <c r="AT83" s="382">
        <f t="shared" si="72"/>
        <v>0</v>
      </c>
      <c r="AU83" s="382">
        <f t="shared" si="72"/>
        <v>0</v>
      </c>
      <c r="AV83" s="382">
        <f t="shared" si="72"/>
        <v>0</v>
      </c>
      <c r="AW83" s="382">
        <f t="shared" si="72"/>
        <v>0</v>
      </c>
      <c r="AX83" s="382">
        <f t="shared" si="72"/>
        <v>0</v>
      </c>
      <c r="AY83" s="382">
        <f t="shared" si="72"/>
        <v>0</v>
      </c>
      <c r="AZ83" s="382">
        <f t="shared" si="73"/>
        <v>0</v>
      </c>
      <c r="BA83" s="382">
        <f t="shared" si="73"/>
        <v>0</v>
      </c>
      <c r="BB83" s="382">
        <f t="shared" si="73"/>
        <v>0</v>
      </c>
      <c r="BC83" s="382">
        <f t="shared" si="73"/>
        <v>0</v>
      </c>
      <c r="BD83" s="382">
        <f t="shared" si="73"/>
        <v>0</v>
      </c>
      <c r="BE83" s="382">
        <f t="shared" si="73"/>
        <v>0</v>
      </c>
      <c r="BF83" s="382">
        <f t="shared" si="73"/>
        <v>0</v>
      </c>
      <c r="BG83" s="382">
        <f t="shared" si="73"/>
        <v>0</v>
      </c>
      <c r="BH83" s="382">
        <f t="shared" si="73"/>
        <v>0</v>
      </c>
      <c r="BI83" s="382">
        <f t="shared" si="73"/>
        <v>0</v>
      </c>
      <c r="BJ83" s="382">
        <f t="shared" si="74"/>
        <v>0</v>
      </c>
      <c r="BK83" s="382">
        <f t="shared" si="74"/>
        <v>0</v>
      </c>
      <c r="BL83" s="382">
        <f t="shared" si="74"/>
        <v>0</v>
      </c>
      <c r="BM83" s="382">
        <f t="shared" si="74"/>
        <v>0</v>
      </c>
      <c r="BN83" s="382">
        <f t="shared" si="74"/>
        <v>0</v>
      </c>
      <c r="BO83" s="382">
        <f t="shared" si="74"/>
        <v>0</v>
      </c>
      <c r="BP83" s="382">
        <f t="shared" si="74"/>
        <v>0</v>
      </c>
      <c r="BQ83" s="382">
        <f t="shared" si="74"/>
        <v>0</v>
      </c>
      <c r="BR83" s="382">
        <f t="shared" si="74"/>
        <v>0</v>
      </c>
      <c r="BS83" s="382">
        <f t="shared" si="74"/>
        <v>0</v>
      </c>
      <c r="BT83" s="382">
        <f t="shared" si="75"/>
        <v>0</v>
      </c>
      <c r="BU83" s="382">
        <f t="shared" si="75"/>
        <v>0</v>
      </c>
      <c r="BV83" s="382">
        <f t="shared" si="75"/>
        <v>0</v>
      </c>
      <c r="BW83" s="382">
        <f t="shared" si="75"/>
        <v>0</v>
      </c>
      <c r="BX83" s="382">
        <f t="shared" si="75"/>
        <v>0</v>
      </c>
      <c r="BY83" s="382">
        <f t="shared" si="75"/>
        <v>0</v>
      </c>
      <c r="BZ83" s="382">
        <f t="shared" si="75"/>
        <v>0</v>
      </c>
      <c r="CA83" s="382">
        <f t="shared" si="75"/>
        <v>0</v>
      </c>
    </row>
    <row r="84" spans="3:79" ht="21" hidden="1" customHeight="1" outlineLevel="2">
      <c r="C84" s="370"/>
      <c r="D84" s="374">
        <f t="shared" si="76"/>
        <v>45138</v>
      </c>
      <c r="E84" s="408" cm="1">
        <f t="array" ref="E84">INDEX($AF$18:$CA$18,0,MATCH($D84,$AF$8:$CA$8,0))</f>
        <v>0</v>
      </c>
      <c r="G84" s="359"/>
      <c r="H84" s="410">
        <f t="shared" si="69"/>
        <v>0</v>
      </c>
      <c r="I84" s="410">
        <f t="shared" si="69"/>
        <v>0</v>
      </c>
      <c r="J84" s="410">
        <f t="shared" si="69"/>
        <v>0</v>
      </c>
      <c r="K84" s="410">
        <f t="shared" si="69"/>
        <v>0</v>
      </c>
      <c r="L84" s="410"/>
      <c r="M84" s="410"/>
      <c r="N84" s="410">
        <f t="shared" si="70"/>
        <v>0</v>
      </c>
      <c r="O84" s="410">
        <f t="shared" si="70"/>
        <v>0</v>
      </c>
      <c r="P84" s="410">
        <f t="shared" si="70"/>
        <v>0</v>
      </c>
      <c r="Q84" s="410">
        <f t="shared" si="70"/>
        <v>0</v>
      </c>
      <c r="R84" s="410">
        <f t="shared" si="70"/>
        <v>0</v>
      </c>
      <c r="S84" s="410">
        <f t="shared" si="70"/>
        <v>0</v>
      </c>
      <c r="T84" s="410">
        <f t="shared" si="70"/>
        <v>0</v>
      </c>
      <c r="U84" s="410">
        <f t="shared" si="70"/>
        <v>0</v>
      </c>
      <c r="V84" s="410">
        <f t="shared" si="70"/>
        <v>0</v>
      </c>
      <c r="W84" s="410">
        <f t="shared" si="70"/>
        <v>0</v>
      </c>
      <c r="X84" s="410">
        <f t="shared" si="70"/>
        <v>0</v>
      </c>
      <c r="Y84" s="410">
        <f t="shared" si="70"/>
        <v>0</v>
      </c>
      <c r="Z84" s="410">
        <f t="shared" si="70"/>
        <v>0</v>
      </c>
      <c r="AA84" s="410">
        <f t="shared" si="70"/>
        <v>0</v>
      </c>
      <c r="AB84" s="410">
        <f t="shared" si="70"/>
        <v>0</v>
      </c>
      <c r="AC84" s="410">
        <f t="shared" si="70"/>
        <v>0</v>
      </c>
      <c r="AE84" s="359"/>
      <c r="AF84" s="382">
        <f t="shared" si="71"/>
        <v>0</v>
      </c>
      <c r="AG84" s="382">
        <f t="shared" si="71"/>
        <v>0</v>
      </c>
      <c r="AH84" s="382">
        <f t="shared" si="71"/>
        <v>0</v>
      </c>
      <c r="AI84" s="382">
        <f t="shared" si="71"/>
        <v>0</v>
      </c>
      <c r="AJ84" s="382">
        <f t="shared" si="71"/>
        <v>0</v>
      </c>
      <c r="AK84" s="382">
        <f t="shared" si="71"/>
        <v>0</v>
      </c>
      <c r="AL84" s="382">
        <f t="shared" si="71"/>
        <v>0</v>
      </c>
      <c r="AM84" s="382">
        <f t="shared" si="71"/>
        <v>0</v>
      </c>
      <c r="AN84" s="382">
        <f t="shared" si="71"/>
        <v>0</v>
      </c>
      <c r="AO84" s="382">
        <f t="shared" si="71"/>
        <v>0</v>
      </c>
      <c r="AP84" s="382">
        <f t="shared" si="72"/>
        <v>0</v>
      </c>
      <c r="AQ84" s="382">
        <f t="shared" si="72"/>
        <v>0</v>
      </c>
      <c r="AR84" s="382">
        <f t="shared" si="72"/>
        <v>0</v>
      </c>
      <c r="AS84" s="382">
        <f t="shared" si="72"/>
        <v>0</v>
      </c>
      <c r="AT84" s="382">
        <f t="shared" si="72"/>
        <v>0</v>
      </c>
      <c r="AU84" s="382">
        <f t="shared" si="72"/>
        <v>0</v>
      </c>
      <c r="AV84" s="382">
        <f t="shared" si="72"/>
        <v>0</v>
      </c>
      <c r="AW84" s="382">
        <f t="shared" si="72"/>
        <v>0</v>
      </c>
      <c r="AX84" s="382">
        <f t="shared" si="72"/>
        <v>0</v>
      </c>
      <c r="AY84" s="382">
        <f t="shared" si="72"/>
        <v>0</v>
      </c>
      <c r="AZ84" s="382">
        <f t="shared" si="73"/>
        <v>0</v>
      </c>
      <c r="BA84" s="382">
        <f t="shared" si="73"/>
        <v>0</v>
      </c>
      <c r="BB84" s="382">
        <f t="shared" si="73"/>
        <v>0</v>
      </c>
      <c r="BC84" s="382">
        <f t="shared" si="73"/>
        <v>0</v>
      </c>
      <c r="BD84" s="382">
        <f t="shared" si="73"/>
        <v>0</v>
      </c>
      <c r="BE84" s="382">
        <f t="shared" si="73"/>
        <v>0</v>
      </c>
      <c r="BF84" s="382">
        <f t="shared" si="73"/>
        <v>0</v>
      </c>
      <c r="BG84" s="382">
        <f t="shared" si="73"/>
        <v>0</v>
      </c>
      <c r="BH84" s="382">
        <f t="shared" si="73"/>
        <v>0</v>
      </c>
      <c r="BI84" s="382">
        <f t="shared" si="73"/>
        <v>0</v>
      </c>
      <c r="BJ84" s="382">
        <f t="shared" si="74"/>
        <v>0</v>
      </c>
      <c r="BK84" s="382">
        <f t="shared" si="74"/>
        <v>0</v>
      </c>
      <c r="BL84" s="382">
        <f t="shared" si="74"/>
        <v>0</v>
      </c>
      <c r="BM84" s="382">
        <f t="shared" si="74"/>
        <v>0</v>
      </c>
      <c r="BN84" s="382">
        <f t="shared" si="74"/>
        <v>0</v>
      </c>
      <c r="BO84" s="382">
        <f t="shared" si="74"/>
        <v>0</v>
      </c>
      <c r="BP84" s="382">
        <f t="shared" si="74"/>
        <v>0</v>
      </c>
      <c r="BQ84" s="382">
        <f t="shared" si="74"/>
        <v>0</v>
      </c>
      <c r="BR84" s="382">
        <f t="shared" si="74"/>
        <v>0</v>
      </c>
      <c r="BS84" s="382">
        <f t="shared" si="74"/>
        <v>0</v>
      </c>
      <c r="BT84" s="382">
        <f t="shared" si="75"/>
        <v>0</v>
      </c>
      <c r="BU84" s="382">
        <f t="shared" si="75"/>
        <v>0</v>
      </c>
      <c r="BV84" s="382">
        <f t="shared" si="75"/>
        <v>0</v>
      </c>
      <c r="BW84" s="382">
        <f t="shared" si="75"/>
        <v>0</v>
      </c>
      <c r="BX84" s="382">
        <f t="shared" si="75"/>
        <v>0</v>
      </c>
      <c r="BY84" s="382">
        <f t="shared" si="75"/>
        <v>0</v>
      </c>
      <c r="BZ84" s="382">
        <f t="shared" si="75"/>
        <v>0</v>
      </c>
      <c r="CA84" s="382">
        <f t="shared" si="75"/>
        <v>0</v>
      </c>
    </row>
    <row r="85" spans="3:79" ht="21" hidden="1" customHeight="1" outlineLevel="2">
      <c r="C85" s="370"/>
      <c r="D85" s="374">
        <f t="shared" si="76"/>
        <v>45169</v>
      </c>
      <c r="E85" s="408" cm="1">
        <f t="array" ref="E85">INDEX($AF$18:$CA$18,0,MATCH($D85,$AF$8:$CA$8,0))</f>
        <v>0</v>
      </c>
      <c r="G85" s="359"/>
      <c r="H85" s="410">
        <f t="shared" si="69"/>
        <v>0</v>
      </c>
      <c r="I85" s="410">
        <f t="shared" si="69"/>
        <v>0</v>
      </c>
      <c r="J85" s="410">
        <f t="shared" si="69"/>
        <v>0</v>
      </c>
      <c r="K85" s="410">
        <f t="shared" si="69"/>
        <v>0</v>
      </c>
      <c r="L85" s="410"/>
      <c r="M85" s="410"/>
      <c r="N85" s="410">
        <f t="shared" si="70"/>
        <v>0</v>
      </c>
      <c r="O85" s="410">
        <f t="shared" si="70"/>
        <v>0</v>
      </c>
      <c r="P85" s="410">
        <f t="shared" si="70"/>
        <v>0</v>
      </c>
      <c r="Q85" s="410">
        <f t="shared" si="70"/>
        <v>0</v>
      </c>
      <c r="R85" s="410">
        <f t="shared" si="70"/>
        <v>0</v>
      </c>
      <c r="S85" s="410">
        <f t="shared" si="70"/>
        <v>0</v>
      </c>
      <c r="T85" s="410">
        <f t="shared" si="70"/>
        <v>0</v>
      </c>
      <c r="U85" s="410">
        <f t="shared" si="70"/>
        <v>0</v>
      </c>
      <c r="V85" s="410">
        <f t="shared" si="70"/>
        <v>0</v>
      </c>
      <c r="W85" s="410">
        <f t="shared" si="70"/>
        <v>0</v>
      </c>
      <c r="X85" s="410">
        <f t="shared" si="70"/>
        <v>0</v>
      </c>
      <c r="Y85" s="410">
        <f t="shared" si="70"/>
        <v>0</v>
      </c>
      <c r="Z85" s="410">
        <f t="shared" si="70"/>
        <v>0</v>
      </c>
      <c r="AA85" s="410">
        <f t="shared" si="70"/>
        <v>0</v>
      </c>
      <c r="AB85" s="410">
        <f t="shared" si="70"/>
        <v>0</v>
      </c>
      <c r="AC85" s="410">
        <f t="shared" si="70"/>
        <v>0</v>
      </c>
      <c r="AE85" s="359"/>
      <c r="AF85" s="382">
        <f t="shared" si="71"/>
        <v>0</v>
      </c>
      <c r="AG85" s="382">
        <f t="shared" si="71"/>
        <v>0</v>
      </c>
      <c r="AH85" s="382">
        <f t="shared" si="71"/>
        <v>0</v>
      </c>
      <c r="AI85" s="382">
        <f t="shared" si="71"/>
        <v>0</v>
      </c>
      <c r="AJ85" s="382">
        <f t="shared" si="71"/>
        <v>0</v>
      </c>
      <c r="AK85" s="382">
        <f t="shared" si="71"/>
        <v>0</v>
      </c>
      <c r="AL85" s="382">
        <f t="shared" si="71"/>
        <v>0</v>
      </c>
      <c r="AM85" s="382">
        <f t="shared" si="71"/>
        <v>0</v>
      </c>
      <c r="AN85" s="382">
        <f t="shared" si="71"/>
        <v>0</v>
      </c>
      <c r="AO85" s="382">
        <f t="shared" si="71"/>
        <v>0</v>
      </c>
      <c r="AP85" s="382">
        <f t="shared" si="72"/>
        <v>0</v>
      </c>
      <c r="AQ85" s="382">
        <f t="shared" si="72"/>
        <v>0</v>
      </c>
      <c r="AR85" s="382">
        <f t="shared" si="72"/>
        <v>0</v>
      </c>
      <c r="AS85" s="382">
        <f t="shared" si="72"/>
        <v>0</v>
      </c>
      <c r="AT85" s="382">
        <f t="shared" si="72"/>
        <v>0</v>
      </c>
      <c r="AU85" s="382">
        <f t="shared" si="72"/>
        <v>0</v>
      </c>
      <c r="AV85" s="382">
        <f t="shared" si="72"/>
        <v>0</v>
      </c>
      <c r="AW85" s="382">
        <f t="shared" si="72"/>
        <v>0</v>
      </c>
      <c r="AX85" s="382">
        <f t="shared" si="72"/>
        <v>0</v>
      </c>
      <c r="AY85" s="382">
        <f t="shared" si="72"/>
        <v>0</v>
      </c>
      <c r="AZ85" s="382">
        <f t="shared" si="73"/>
        <v>0</v>
      </c>
      <c r="BA85" s="382">
        <f t="shared" si="73"/>
        <v>0</v>
      </c>
      <c r="BB85" s="382">
        <f t="shared" si="73"/>
        <v>0</v>
      </c>
      <c r="BC85" s="382">
        <f t="shared" si="73"/>
        <v>0</v>
      </c>
      <c r="BD85" s="382">
        <f t="shared" si="73"/>
        <v>0</v>
      </c>
      <c r="BE85" s="382">
        <f t="shared" si="73"/>
        <v>0</v>
      </c>
      <c r="BF85" s="382">
        <f t="shared" si="73"/>
        <v>0</v>
      </c>
      <c r="BG85" s="382">
        <f t="shared" si="73"/>
        <v>0</v>
      </c>
      <c r="BH85" s="382">
        <f t="shared" si="73"/>
        <v>0</v>
      </c>
      <c r="BI85" s="382">
        <f t="shared" si="73"/>
        <v>0</v>
      </c>
      <c r="BJ85" s="382">
        <f t="shared" si="74"/>
        <v>0</v>
      </c>
      <c r="BK85" s="382">
        <f t="shared" si="74"/>
        <v>0</v>
      </c>
      <c r="BL85" s="382">
        <f t="shared" si="74"/>
        <v>0</v>
      </c>
      <c r="BM85" s="382">
        <f t="shared" si="74"/>
        <v>0</v>
      </c>
      <c r="BN85" s="382">
        <f t="shared" si="74"/>
        <v>0</v>
      </c>
      <c r="BO85" s="382">
        <f t="shared" si="74"/>
        <v>0</v>
      </c>
      <c r="BP85" s="382">
        <f t="shared" si="74"/>
        <v>0</v>
      </c>
      <c r="BQ85" s="382">
        <f t="shared" si="74"/>
        <v>0</v>
      </c>
      <c r="BR85" s="382">
        <f t="shared" si="74"/>
        <v>0</v>
      </c>
      <c r="BS85" s="382">
        <f t="shared" si="74"/>
        <v>0</v>
      </c>
      <c r="BT85" s="382">
        <f t="shared" si="75"/>
        <v>0</v>
      </c>
      <c r="BU85" s="382">
        <f t="shared" si="75"/>
        <v>0</v>
      </c>
      <c r="BV85" s="382">
        <f t="shared" si="75"/>
        <v>0</v>
      </c>
      <c r="BW85" s="382">
        <f t="shared" si="75"/>
        <v>0</v>
      </c>
      <c r="BX85" s="382">
        <f t="shared" si="75"/>
        <v>0</v>
      </c>
      <c r="BY85" s="382">
        <f t="shared" si="75"/>
        <v>0</v>
      </c>
      <c r="BZ85" s="382">
        <f t="shared" si="75"/>
        <v>0</v>
      </c>
      <c r="CA85" s="382">
        <f t="shared" si="75"/>
        <v>0</v>
      </c>
    </row>
    <row r="86" spans="3:79" ht="21" hidden="1" customHeight="1" outlineLevel="2">
      <c r="C86" s="370"/>
      <c r="D86" s="374">
        <f t="shared" si="76"/>
        <v>45199</v>
      </c>
      <c r="E86" s="408" cm="1">
        <f t="array" ref="E86">INDEX($AF$18:$CA$18,0,MATCH($D86,$AF$8:$CA$8,0))</f>
        <v>0</v>
      </c>
      <c r="G86" s="359"/>
      <c r="H86" s="410">
        <f t="shared" si="69"/>
        <v>0</v>
      </c>
      <c r="I86" s="410">
        <f t="shared" si="69"/>
        <v>0</v>
      </c>
      <c r="J86" s="410">
        <f t="shared" si="69"/>
        <v>0</v>
      </c>
      <c r="K86" s="410">
        <f t="shared" si="69"/>
        <v>0</v>
      </c>
      <c r="L86" s="410"/>
      <c r="M86" s="410"/>
      <c r="N86" s="410">
        <f t="shared" si="70"/>
        <v>0</v>
      </c>
      <c r="O86" s="410">
        <f t="shared" si="70"/>
        <v>0</v>
      </c>
      <c r="P86" s="410">
        <f t="shared" si="70"/>
        <v>0</v>
      </c>
      <c r="Q86" s="410">
        <f t="shared" si="70"/>
        <v>0</v>
      </c>
      <c r="R86" s="410">
        <f t="shared" si="70"/>
        <v>0</v>
      </c>
      <c r="S86" s="410">
        <f t="shared" si="70"/>
        <v>0</v>
      </c>
      <c r="T86" s="410">
        <f t="shared" si="70"/>
        <v>0</v>
      </c>
      <c r="U86" s="410">
        <f t="shared" si="70"/>
        <v>0</v>
      </c>
      <c r="V86" s="410">
        <f t="shared" si="70"/>
        <v>0</v>
      </c>
      <c r="W86" s="410">
        <f t="shared" si="70"/>
        <v>0</v>
      </c>
      <c r="X86" s="410">
        <f t="shared" si="70"/>
        <v>0</v>
      </c>
      <c r="Y86" s="410">
        <f t="shared" si="70"/>
        <v>0</v>
      </c>
      <c r="Z86" s="410">
        <f t="shared" si="70"/>
        <v>0</v>
      </c>
      <c r="AA86" s="410">
        <f t="shared" si="70"/>
        <v>0</v>
      </c>
      <c r="AB86" s="410">
        <f t="shared" si="70"/>
        <v>0</v>
      </c>
      <c r="AC86" s="410">
        <f t="shared" si="70"/>
        <v>0</v>
      </c>
      <c r="AE86" s="359"/>
      <c r="AF86" s="382">
        <f t="shared" si="71"/>
        <v>0</v>
      </c>
      <c r="AG86" s="382">
        <f t="shared" si="71"/>
        <v>0</v>
      </c>
      <c r="AH86" s="382">
        <f t="shared" si="71"/>
        <v>0</v>
      </c>
      <c r="AI86" s="382">
        <f t="shared" si="71"/>
        <v>0</v>
      </c>
      <c r="AJ86" s="382">
        <f t="shared" si="71"/>
        <v>0</v>
      </c>
      <c r="AK86" s="382">
        <f t="shared" si="71"/>
        <v>0</v>
      </c>
      <c r="AL86" s="382">
        <f t="shared" si="71"/>
        <v>0</v>
      </c>
      <c r="AM86" s="382">
        <f t="shared" si="71"/>
        <v>0</v>
      </c>
      <c r="AN86" s="382">
        <f t="shared" si="71"/>
        <v>0</v>
      </c>
      <c r="AO86" s="382">
        <f t="shared" si="71"/>
        <v>0</v>
      </c>
      <c r="AP86" s="382">
        <f t="shared" si="72"/>
        <v>0</v>
      </c>
      <c r="AQ86" s="382">
        <f t="shared" si="72"/>
        <v>0</v>
      </c>
      <c r="AR86" s="382">
        <f t="shared" si="72"/>
        <v>0</v>
      </c>
      <c r="AS86" s="382">
        <f t="shared" si="72"/>
        <v>0</v>
      </c>
      <c r="AT86" s="382">
        <f t="shared" si="72"/>
        <v>0</v>
      </c>
      <c r="AU86" s="382">
        <f t="shared" si="72"/>
        <v>0</v>
      </c>
      <c r="AV86" s="382">
        <f t="shared" si="72"/>
        <v>0</v>
      </c>
      <c r="AW86" s="382">
        <f t="shared" si="72"/>
        <v>0</v>
      </c>
      <c r="AX86" s="382">
        <f t="shared" si="72"/>
        <v>0</v>
      </c>
      <c r="AY86" s="382">
        <f t="shared" si="72"/>
        <v>0</v>
      </c>
      <c r="AZ86" s="382">
        <f t="shared" si="73"/>
        <v>0</v>
      </c>
      <c r="BA86" s="382">
        <f t="shared" si="73"/>
        <v>0</v>
      </c>
      <c r="BB86" s="382">
        <f t="shared" si="73"/>
        <v>0</v>
      </c>
      <c r="BC86" s="382">
        <f t="shared" si="73"/>
        <v>0</v>
      </c>
      <c r="BD86" s="382">
        <f t="shared" si="73"/>
        <v>0</v>
      </c>
      <c r="BE86" s="382">
        <f t="shared" si="73"/>
        <v>0</v>
      </c>
      <c r="BF86" s="382">
        <f t="shared" si="73"/>
        <v>0</v>
      </c>
      <c r="BG86" s="382">
        <f t="shared" si="73"/>
        <v>0</v>
      </c>
      <c r="BH86" s="382">
        <f t="shared" si="73"/>
        <v>0</v>
      </c>
      <c r="BI86" s="382">
        <f t="shared" si="73"/>
        <v>0</v>
      </c>
      <c r="BJ86" s="382">
        <f t="shared" si="74"/>
        <v>0</v>
      </c>
      <c r="BK86" s="382">
        <f t="shared" si="74"/>
        <v>0</v>
      </c>
      <c r="BL86" s="382">
        <f t="shared" si="74"/>
        <v>0</v>
      </c>
      <c r="BM86" s="382">
        <f t="shared" si="74"/>
        <v>0</v>
      </c>
      <c r="BN86" s="382">
        <f t="shared" si="74"/>
        <v>0</v>
      </c>
      <c r="BO86" s="382">
        <f t="shared" si="74"/>
        <v>0</v>
      </c>
      <c r="BP86" s="382">
        <f t="shared" si="74"/>
        <v>0</v>
      </c>
      <c r="BQ86" s="382">
        <f t="shared" si="74"/>
        <v>0</v>
      </c>
      <c r="BR86" s="382">
        <f t="shared" si="74"/>
        <v>0</v>
      </c>
      <c r="BS86" s="382">
        <f t="shared" si="74"/>
        <v>0</v>
      </c>
      <c r="BT86" s="382">
        <f t="shared" si="75"/>
        <v>0</v>
      </c>
      <c r="BU86" s="382">
        <f t="shared" si="75"/>
        <v>0</v>
      </c>
      <c r="BV86" s="382">
        <f t="shared" si="75"/>
        <v>0</v>
      </c>
      <c r="BW86" s="382">
        <f t="shared" si="75"/>
        <v>0</v>
      </c>
      <c r="BX86" s="382">
        <f t="shared" si="75"/>
        <v>0</v>
      </c>
      <c r="BY86" s="382">
        <f t="shared" si="75"/>
        <v>0</v>
      </c>
      <c r="BZ86" s="382">
        <f t="shared" si="75"/>
        <v>0</v>
      </c>
      <c r="CA86" s="382">
        <f t="shared" si="75"/>
        <v>0</v>
      </c>
    </row>
    <row r="87" spans="3:79" ht="21" hidden="1" customHeight="1" outlineLevel="2">
      <c r="C87" s="370"/>
      <c r="D87" s="374">
        <f t="shared" si="76"/>
        <v>45230</v>
      </c>
      <c r="E87" s="408" cm="1">
        <f t="array" ref="E87">INDEX($AF$18:$CA$18,0,MATCH($D87,$AF$8:$CA$8,0))</f>
        <v>0</v>
      </c>
      <c r="G87" s="359"/>
      <c r="H87" s="410">
        <f t="shared" si="69"/>
        <v>0</v>
      </c>
      <c r="I87" s="410">
        <f t="shared" si="69"/>
        <v>0</v>
      </c>
      <c r="J87" s="410">
        <f t="shared" si="69"/>
        <v>0</v>
      </c>
      <c r="K87" s="410">
        <f t="shared" si="69"/>
        <v>0</v>
      </c>
      <c r="L87" s="410"/>
      <c r="M87" s="410"/>
      <c r="N87" s="410">
        <f t="shared" si="70"/>
        <v>0</v>
      </c>
      <c r="O87" s="410">
        <f t="shared" si="70"/>
        <v>0</v>
      </c>
      <c r="P87" s="410">
        <f t="shared" si="70"/>
        <v>0</v>
      </c>
      <c r="Q87" s="410">
        <f t="shared" si="70"/>
        <v>0</v>
      </c>
      <c r="R87" s="410">
        <f t="shared" si="70"/>
        <v>0</v>
      </c>
      <c r="S87" s="410">
        <f t="shared" si="70"/>
        <v>0</v>
      </c>
      <c r="T87" s="410">
        <f t="shared" si="70"/>
        <v>0</v>
      </c>
      <c r="U87" s="410">
        <f t="shared" si="70"/>
        <v>0</v>
      </c>
      <c r="V87" s="410">
        <f t="shared" si="70"/>
        <v>0</v>
      </c>
      <c r="W87" s="410">
        <f t="shared" si="70"/>
        <v>0</v>
      </c>
      <c r="X87" s="410">
        <f t="shared" si="70"/>
        <v>0</v>
      </c>
      <c r="Y87" s="410">
        <f t="shared" si="70"/>
        <v>0</v>
      </c>
      <c r="Z87" s="410">
        <f t="shared" si="70"/>
        <v>0</v>
      </c>
      <c r="AA87" s="410">
        <f t="shared" si="70"/>
        <v>0</v>
      </c>
      <c r="AB87" s="410">
        <f t="shared" si="70"/>
        <v>0</v>
      </c>
      <c r="AC87" s="410">
        <f t="shared" si="70"/>
        <v>0</v>
      </c>
      <c r="AE87" s="359"/>
      <c r="AF87" s="382">
        <f t="shared" si="71"/>
        <v>0</v>
      </c>
      <c r="AG87" s="382">
        <f t="shared" si="71"/>
        <v>0</v>
      </c>
      <c r="AH87" s="382">
        <f t="shared" si="71"/>
        <v>0</v>
      </c>
      <c r="AI87" s="382">
        <f t="shared" si="71"/>
        <v>0</v>
      </c>
      <c r="AJ87" s="382">
        <f t="shared" si="71"/>
        <v>0</v>
      </c>
      <c r="AK87" s="382">
        <f t="shared" si="71"/>
        <v>0</v>
      </c>
      <c r="AL87" s="382">
        <f t="shared" si="71"/>
        <v>0</v>
      </c>
      <c r="AM87" s="382">
        <f t="shared" si="71"/>
        <v>0</v>
      </c>
      <c r="AN87" s="382">
        <f t="shared" si="71"/>
        <v>0</v>
      </c>
      <c r="AO87" s="382">
        <f t="shared" si="71"/>
        <v>0</v>
      </c>
      <c r="AP87" s="382">
        <f t="shared" si="72"/>
        <v>0</v>
      </c>
      <c r="AQ87" s="382">
        <f t="shared" si="72"/>
        <v>0</v>
      </c>
      <c r="AR87" s="382">
        <f t="shared" si="72"/>
        <v>0</v>
      </c>
      <c r="AS87" s="382">
        <f t="shared" si="72"/>
        <v>0</v>
      </c>
      <c r="AT87" s="382">
        <f t="shared" si="72"/>
        <v>0</v>
      </c>
      <c r="AU87" s="382">
        <f t="shared" si="72"/>
        <v>0</v>
      </c>
      <c r="AV87" s="382">
        <f t="shared" si="72"/>
        <v>0</v>
      </c>
      <c r="AW87" s="382">
        <f t="shared" si="72"/>
        <v>0</v>
      </c>
      <c r="AX87" s="382">
        <f t="shared" si="72"/>
        <v>0</v>
      </c>
      <c r="AY87" s="382">
        <f t="shared" si="72"/>
        <v>0</v>
      </c>
      <c r="AZ87" s="382">
        <f t="shared" si="73"/>
        <v>0</v>
      </c>
      <c r="BA87" s="382">
        <f t="shared" si="73"/>
        <v>0</v>
      </c>
      <c r="BB87" s="382">
        <f t="shared" si="73"/>
        <v>0</v>
      </c>
      <c r="BC87" s="382">
        <f t="shared" si="73"/>
        <v>0</v>
      </c>
      <c r="BD87" s="382">
        <f t="shared" si="73"/>
        <v>0</v>
      </c>
      <c r="BE87" s="382">
        <f t="shared" si="73"/>
        <v>0</v>
      </c>
      <c r="BF87" s="382">
        <f t="shared" si="73"/>
        <v>0</v>
      </c>
      <c r="BG87" s="382">
        <f t="shared" si="73"/>
        <v>0</v>
      </c>
      <c r="BH87" s="382">
        <f t="shared" si="73"/>
        <v>0</v>
      </c>
      <c r="BI87" s="382">
        <f t="shared" si="73"/>
        <v>0</v>
      </c>
      <c r="BJ87" s="382">
        <f t="shared" si="74"/>
        <v>0</v>
      </c>
      <c r="BK87" s="382">
        <f t="shared" si="74"/>
        <v>0</v>
      </c>
      <c r="BL87" s="382">
        <f t="shared" si="74"/>
        <v>0</v>
      </c>
      <c r="BM87" s="382">
        <f t="shared" si="74"/>
        <v>0</v>
      </c>
      <c r="BN87" s="382">
        <f t="shared" si="74"/>
        <v>0</v>
      </c>
      <c r="BO87" s="382">
        <f t="shared" si="74"/>
        <v>0</v>
      </c>
      <c r="BP87" s="382">
        <f t="shared" si="74"/>
        <v>0</v>
      </c>
      <c r="BQ87" s="382">
        <f t="shared" si="74"/>
        <v>0</v>
      </c>
      <c r="BR87" s="382">
        <f t="shared" si="74"/>
        <v>0</v>
      </c>
      <c r="BS87" s="382">
        <f t="shared" si="74"/>
        <v>0</v>
      </c>
      <c r="BT87" s="382">
        <f t="shared" si="75"/>
        <v>0</v>
      </c>
      <c r="BU87" s="382">
        <f t="shared" si="75"/>
        <v>0</v>
      </c>
      <c r="BV87" s="382">
        <f t="shared" si="75"/>
        <v>0</v>
      </c>
      <c r="BW87" s="382">
        <f t="shared" si="75"/>
        <v>0</v>
      </c>
      <c r="BX87" s="382">
        <f t="shared" si="75"/>
        <v>0</v>
      </c>
      <c r="BY87" s="382">
        <f t="shared" si="75"/>
        <v>0</v>
      </c>
      <c r="BZ87" s="382">
        <f t="shared" si="75"/>
        <v>0</v>
      </c>
      <c r="CA87" s="382">
        <f t="shared" si="75"/>
        <v>0</v>
      </c>
    </row>
    <row r="88" spans="3:79" ht="21" hidden="1" customHeight="1" outlineLevel="2">
      <c r="C88" s="370"/>
      <c r="D88" s="374">
        <f t="shared" si="76"/>
        <v>45260</v>
      </c>
      <c r="E88" s="408" cm="1">
        <f t="array" ref="E88">INDEX($AF$18:$CA$18,0,MATCH($D88,$AF$8:$CA$8,0))</f>
        <v>0</v>
      </c>
      <c r="G88" s="359"/>
      <c r="H88" s="410">
        <f t="shared" si="69"/>
        <v>0</v>
      </c>
      <c r="I88" s="410">
        <f t="shared" si="69"/>
        <v>0</v>
      </c>
      <c r="J88" s="410">
        <f t="shared" si="69"/>
        <v>0</v>
      </c>
      <c r="K88" s="410">
        <f t="shared" si="69"/>
        <v>0</v>
      </c>
      <c r="L88" s="410"/>
      <c r="M88" s="410"/>
      <c r="N88" s="410">
        <f t="shared" ref="N88:AC97" si="77">SUMIFS($AF88:$CA88,$AF$4:$CA$4,"&gt;="&amp;N$4,$AF$5:$CA$5,"&lt;="&amp;N$5)</f>
        <v>0</v>
      </c>
      <c r="O88" s="410">
        <f t="shared" si="77"/>
        <v>0</v>
      </c>
      <c r="P88" s="410">
        <f t="shared" si="77"/>
        <v>0</v>
      </c>
      <c r="Q88" s="410">
        <f t="shared" si="77"/>
        <v>0</v>
      </c>
      <c r="R88" s="410">
        <f t="shared" si="77"/>
        <v>0</v>
      </c>
      <c r="S88" s="410">
        <f t="shared" si="77"/>
        <v>0</v>
      </c>
      <c r="T88" s="410">
        <f t="shared" si="77"/>
        <v>0</v>
      </c>
      <c r="U88" s="410">
        <f t="shared" si="77"/>
        <v>0</v>
      </c>
      <c r="V88" s="410">
        <f t="shared" si="77"/>
        <v>0</v>
      </c>
      <c r="W88" s="410">
        <f t="shared" si="77"/>
        <v>0</v>
      </c>
      <c r="X88" s="410">
        <f t="shared" si="77"/>
        <v>0</v>
      </c>
      <c r="Y88" s="410">
        <f t="shared" si="77"/>
        <v>0</v>
      </c>
      <c r="Z88" s="410">
        <f t="shared" si="77"/>
        <v>0</v>
      </c>
      <c r="AA88" s="410">
        <f t="shared" si="77"/>
        <v>0</v>
      </c>
      <c r="AB88" s="410">
        <f t="shared" si="77"/>
        <v>0</v>
      </c>
      <c r="AC88" s="410">
        <f t="shared" si="77"/>
        <v>0</v>
      </c>
      <c r="AE88" s="359"/>
      <c r="AF88" s="382">
        <f t="shared" ref="AF88:AO97" si="78">IF(AND(AF$8&gt;=$D88,(MATCH(AF$8,$AF$8:$CA$8,0)-MATCH($D88,$AF$8:$CA$8,0))&lt;12),$E88/12,0)</f>
        <v>0</v>
      </c>
      <c r="AG88" s="382">
        <f t="shared" si="78"/>
        <v>0</v>
      </c>
      <c r="AH88" s="382">
        <f t="shared" si="78"/>
        <v>0</v>
      </c>
      <c r="AI88" s="382">
        <f t="shared" si="78"/>
        <v>0</v>
      </c>
      <c r="AJ88" s="382">
        <f t="shared" si="78"/>
        <v>0</v>
      </c>
      <c r="AK88" s="382">
        <f t="shared" si="78"/>
        <v>0</v>
      </c>
      <c r="AL88" s="382">
        <f t="shared" si="78"/>
        <v>0</v>
      </c>
      <c r="AM88" s="382">
        <f t="shared" si="78"/>
        <v>0</v>
      </c>
      <c r="AN88" s="382">
        <f t="shared" si="78"/>
        <v>0</v>
      </c>
      <c r="AO88" s="382">
        <f t="shared" si="78"/>
        <v>0</v>
      </c>
      <c r="AP88" s="382">
        <f t="shared" ref="AP88:AY97" si="79">IF(AND(AP$8&gt;=$D88,(MATCH(AP$8,$AF$8:$CA$8,0)-MATCH($D88,$AF$8:$CA$8,0))&lt;12),$E88/12,0)</f>
        <v>0</v>
      </c>
      <c r="AQ88" s="382">
        <f t="shared" si="79"/>
        <v>0</v>
      </c>
      <c r="AR88" s="382">
        <f t="shared" si="79"/>
        <v>0</v>
      </c>
      <c r="AS88" s="382">
        <f t="shared" si="79"/>
        <v>0</v>
      </c>
      <c r="AT88" s="382">
        <f t="shared" si="79"/>
        <v>0</v>
      </c>
      <c r="AU88" s="382">
        <f t="shared" si="79"/>
        <v>0</v>
      </c>
      <c r="AV88" s="382">
        <f t="shared" si="79"/>
        <v>0</v>
      </c>
      <c r="AW88" s="382">
        <f t="shared" si="79"/>
        <v>0</v>
      </c>
      <c r="AX88" s="382">
        <f t="shared" si="79"/>
        <v>0</v>
      </c>
      <c r="AY88" s="382">
        <f t="shared" si="79"/>
        <v>0</v>
      </c>
      <c r="AZ88" s="382">
        <f t="shared" ref="AZ88:BI97" si="80">IF(AND(AZ$8&gt;=$D88,(MATCH(AZ$8,$AF$8:$CA$8,0)-MATCH($D88,$AF$8:$CA$8,0))&lt;12),$E88/12,0)</f>
        <v>0</v>
      </c>
      <c r="BA88" s="382">
        <f t="shared" si="80"/>
        <v>0</v>
      </c>
      <c r="BB88" s="382">
        <f t="shared" si="80"/>
        <v>0</v>
      </c>
      <c r="BC88" s="382">
        <f t="shared" si="80"/>
        <v>0</v>
      </c>
      <c r="BD88" s="382">
        <f t="shared" si="80"/>
        <v>0</v>
      </c>
      <c r="BE88" s="382">
        <f t="shared" si="80"/>
        <v>0</v>
      </c>
      <c r="BF88" s="382">
        <f t="shared" si="80"/>
        <v>0</v>
      </c>
      <c r="BG88" s="382">
        <f t="shared" si="80"/>
        <v>0</v>
      </c>
      <c r="BH88" s="382">
        <f t="shared" si="80"/>
        <v>0</v>
      </c>
      <c r="BI88" s="382">
        <f t="shared" si="80"/>
        <v>0</v>
      </c>
      <c r="BJ88" s="382">
        <f t="shared" ref="BJ88:BS97" si="81">IF(AND(BJ$8&gt;=$D88,(MATCH(BJ$8,$AF$8:$CA$8,0)-MATCH($D88,$AF$8:$CA$8,0))&lt;12),$E88/12,0)</f>
        <v>0</v>
      </c>
      <c r="BK88" s="382">
        <f t="shared" si="81"/>
        <v>0</v>
      </c>
      <c r="BL88" s="382">
        <f t="shared" si="81"/>
        <v>0</v>
      </c>
      <c r="BM88" s="382">
        <f t="shared" si="81"/>
        <v>0</v>
      </c>
      <c r="BN88" s="382">
        <f t="shared" si="81"/>
        <v>0</v>
      </c>
      <c r="BO88" s="382">
        <f t="shared" si="81"/>
        <v>0</v>
      </c>
      <c r="BP88" s="382">
        <f t="shared" si="81"/>
        <v>0</v>
      </c>
      <c r="BQ88" s="382">
        <f t="shared" si="81"/>
        <v>0</v>
      </c>
      <c r="BR88" s="382">
        <f t="shared" si="81"/>
        <v>0</v>
      </c>
      <c r="BS88" s="382">
        <f t="shared" si="81"/>
        <v>0</v>
      </c>
      <c r="BT88" s="382">
        <f t="shared" ref="BT88:CA97" si="82">IF(AND(BT$8&gt;=$D88,(MATCH(BT$8,$AF$8:$CA$8,0)-MATCH($D88,$AF$8:$CA$8,0))&lt;12),$E88/12,0)</f>
        <v>0</v>
      </c>
      <c r="BU88" s="382">
        <f t="shared" si="82"/>
        <v>0</v>
      </c>
      <c r="BV88" s="382">
        <f t="shared" si="82"/>
        <v>0</v>
      </c>
      <c r="BW88" s="382">
        <f t="shared" si="82"/>
        <v>0</v>
      </c>
      <c r="BX88" s="382">
        <f t="shared" si="82"/>
        <v>0</v>
      </c>
      <c r="BY88" s="382">
        <f t="shared" si="82"/>
        <v>0</v>
      </c>
      <c r="BZ88" s="382">
        <f t="shared" si="82"/>
        <v>0</v>
      </c>
      <c r="CA88" s="382">
        <f t="shared" si="82"/>
        <v>0</v>
      </c>
    </row>
    <row r="89" spans="3:79" ht="21" hidden="1" customHeight="1" outlineLevel="2">
      <c r="C89" s="370"/>
      <c r="D89" s="374">
        <f t="shared" si="76"/>
        <v>45291</v>
      </c>
      <c r="E89" s="408" cm="1">
        <f t="array" ref="E89">INDEX($AF$18:$CA$18,0,MATCH($D89,$AF$8:$CA$8,0))</f>
        <v>16050</v>
      </c>
      <c r="G89" s="359"/>
      <c r="H89" s="410">
        <f t="shared" si="69"/>
        <v>1337.5</v>
      </c>
      <c r="I89" s="410">
        <f t="shared" si="69"/>
        <v>14712.5</v>
      </c>
      <c r="J89" s="410">
        <f t="shared" si="69"/>
        <v>0</v>
      </c>
      <c r="K89" s="410">
        <f t="shared" si="69"/>
        <v>0</v>
      </c>
      <c r="L89" s="410"/>
      <c r="M89" s="410"/>
      <c r="N89" s="410">
        <f t="shared" si="77"/>
        <v>0</v>
      </c>
      <c r="O89" s="410">
        <f t="shared" si="77"/>
        <v>0</v>
      </c>
      <c r="P89" s="410">
        <f t="shared" si="77"/>
        <v>0</v>
      </c>
      <c r="Q89" s="410">
        <f t="shared" si="77"/>
        <v>1337.5</v>
      </c>
      <c r="R89" s="410">
        <f t="shared" si="77"/>
        <v>4012.5</v>
      </c>
      <c r="S89" s="410">
        <f t="shared" si="77"/>
        <v>4012.5</v>
      </c>
      <c r="T89" s="410">
        <f t="shared" si="77"/>
        <v>4012.5</v>
      </c>
      <c r="U89" s="410">
        <f t="shared" si="77"/>
        <v>2675</v>
      </c>
      <c r="V89" s="410">
        <f t="shared" si="77"/>
        <v>0</v>
      </c>
      <c r="W89" s="410">
        <f t="shared" si="77"/>
        <v>0</v>
      </c>
      <c r="X89" s="410">
        <f t="shared" si="77"/>
        <v>0</v>
      </c>
      <c r="Y89" s="410">
        <f t="shared" si="77"/>
        <v>0</v>
      </c>
      <c r="Z89" s="410">
        <f t="shared" si="77"/>
        <v>0</v>
      </c>
      <c r="AA89" s="410">
        <f t="shared" si="77"/>
        <v>0</v>
      </c>
      <c r="AB89" s="410">
        <f t="shared" si="77"/>
        <v>0</v>
      </c>
      <c r="AC89" s="410">
        <f t="shared" si="77"/>
        <v>0</v>
      </c>
      <c r="AE89" s="359"/>
      <c r="AF89" s="382">
        <f t="shared" si="78"/>
        <v>0</v>
      </c>
      <c r="AG89" s="382">
        <f t="shared" si="78"/>
        <v>0</v>
      </c>
      <c r="AH89" s="382">
        <f t="shared" si="78"/>
        <v>0</v>
      </c>
      <c r="AI89" s="382">
        <f t="shared" si="78"/>
        <v>0</v>
      </c>
      <c r="AJ89" s="382">
        <f t="shared" si="78"/>
        <v>0</v>
      </c>
      <c r="AK89" s="382">
        <f t="shared" si="78"/>
        <v>0</v>
      </c>
      <c r="AL89" s="382">
        <f t="shared" si="78"/>
        <v>0</v>
      </c>
      <c r="AM89" s="382">
        <f t="shared" si="78"/>
        <v>0</v>
      </c>
      <c r="AN89" s="382">
        <f t="shared" si="78"/>
        <v>0</v>
      </c>
      <c r="AO89" s="382">
        <f t="shared" si="78"/>
        <v>0</v>
      </c>
      <c r="AP89" s="382">
        <f t="shared" si="79"/>
        <v>0</v>
      </c>
      <c r="AQ89" s="382">
        <f t="shared" si="79"/>
        <v>1337.5</v>
      </c>
      <c r="AR89" s="382">
        <f t="shared" si="79"/>
        <v>1337.5</v>
      </c>
      <c r="AS89" s="382">
        <f t="shared" si="79"/>
        <v>1337.5</v>
      </c>
      <c r="AT89" s="382">
        <f t="shared" si="79"/>
        <v>1337.5</v>
      </c>
      <c r="AU89" s="382">
        <f t="shared" si="79"/>
        <v>1337.5</v>
      </c>
      <c r="AV89" s="382">
        <f t="shared" si="79"/>
        <v>1337.5</v>
      </c>
      <c r="AW89" s="382">
        <f t="shared" si="79"/>
        <v>1337.5</v>
      </c>
      <c r="AX89" s="382">
        <f t="shared" si="79"/>
        <v>1337.5</v>
      </c>
      <c r="AY89" s="382">
        <f t="shared" si="79"/>
        <v>1337.5</v>
      </c>
      <c r="AZ89" s="382">
        <f t="shared" si="80"/>
        <v>1337.5</v>
      </c>
      <c r="BA89" s="382">
        <f t="shared" si="80"/>
        <v>1337.5</v>
      </c>
      <c r="BB89" s="382">
        <f t="shared" si="80"/>
        <v>1337.5</v>
      </c>
      <c r="BC89" s="382">
        <f t="shared" si="80"/>
        <v>0</v>
      </c>
      <c r="BD89" s="382">
        <f t="shared" si="80"/>
        <v>0</v>
      </c>
      <c r="BE89" s="382">
        <f t="shared" si="80"/>
        <v>0</v>
      </c>
      <c r="BF89" s="382">
        <f t="shared" si="80"/>
        <v>0</v>
      </c>
      <c r="BG89" s="382">
        <f t="shared" si="80"/>
        <v>0</v>
      </c>
      <c r="BH89" s="382">
        <f t="shared" si="80"/>
        <v>0</v>
      </c>
      <c r="BI89" s="382">
        <f t="shared" si="80"/>
        <v>0</v>
      </c>
      <c r="BJ89" s="382">
        <f t="shared" si="81"/>
        <v>0</v>
      </c>
      <c r="BK89" s="382">
        <f t="shared" si="81"/>
        <v>0</v>
      </c>
      <c r="BL89" s="382">
        <f t="shared" si="81"/>
        <v>0</v>
      </c>
      <c r="BM89" s="382">
        <f t="shared" si="81"/>
        <v>0</v>
      </c>
      <c r="BN89" s="382">
        <f t="shared" si="81"/>
        <v>0</v>
      </c>
      <c r="BO89" s="382">
        <f t="shared" si="81"/>
        <v>0</v>
      </c>
      <c r="BP89" s="382">
        <f t="shared" si="81"/>
        <v>0</v>
      </c>
      <c r="BQ89" s="382">
        <f t="shared" si="81"/>
        <v>0</v>
      </c>
      <c r="BR89" s="382">
        <f t="shared" si="81"/>
        <v>0</v>
      </c>
      <c r="BS89" s="382">
        <f t="shared" si="81"/>
        <v>0</v>
      </c>
      <c r="BT89" s="382">
        <f t="shared" si="82"/>
        <v>0</v>
      </c>
      <c r="BU89" s="382">
        <f t="shared" si="82"/>
        <v>0</v>
      </c>
      <c r="BV89" s="382">
        <f t="shared" si="82"/>
        <v>0</v>
      </c>
      <c r="BW89" s="382">
        <f t="shared" si="82"/>
        <v>0</v>
      </c>
      <c r="BX89" s="382">
        <f t="shared" si="82"/>
        <v>0</v>
      </c>
      <c r="BY89" s="382">
        <f t="shared" si="82"/>
        <v>0</v>
      </c>
      <c r="BZ89" s="382">
        <f t="shared" si="82"/>
        <v>0</v>
      </c>
      <c r="CA89" s="382">
        <f t="shared" si="82"/>
        <v>0</v>
      </c>
    </row>
    <row r="90" spans="3:79" ht="21" hidden="1" customHeight="1" outlineLevel="2">
      <c r="C90" s="370"/>
      <c r="D90" s="374">
        <f t="shared" si="76"/>
        <v>45322</v>
      </c>
      <c r="E90" s="408" cm="1">
        <f t="array" ref="E90">INDEX($AF$18:$CA$18,0,MATCH($D90,$AF$8:$CA$8,0))</f>
        <v>20850</v>
      </c>
      <c r="G90" s="359"/>
      <c r="H90" s="410">
        <f t="shared" si="69"/>
        <v>0</v>
      </c>
      <c r="I90" s="410">
        <f t="shared" si="69"/>
        <v>20850</v>
      </c>
      <c r="J90" s="410">
        <f t="shared" si="69"/>
        <v>0</v>
      </c>
      <c r="K90" s="410">
        <f t="shared" si="69"/>
        <v>0</v>
      </c>
      <c r="L90" s="410"/>
      <c r="M90" s="410"/>
      <c r="N90" s="410">
        <f t="shared" si="77"/>
        <v>0</v>
      </c>
      <c r="O90" s="410">
        <f t="shared" si="77"/>
        <v>0</v>
      </c>
      <c r="P90" s="410">
        <f t="shared" si="77"/>
        <v>0</v>
      </c>
      <c r="Q90" s="410">
        <f t="shared" si="77"/>
        <v>0</v>
      </c>
      <c r="R90" s="410">
        <f t="shared" si="77"/>
        <v>5212.5</v>
      </c>
      <c r="S90" s="410">
        <f t="shared" si="77"/>
        <v>5212.5</v>
      </c>
      <c r="T90" s="410">
        <f t="shared" si="77"/>
        <v>5212.5</v>
      </c>
      <c r="U90" s="410">
        <f t="shared" si="77"/>
        <v>5212.5</v>
      </c>
      <c r="V90" s="410">
        <f t="shared" si="77"/>
        <v>0</v>
      </c>
      <c r="W90" s="410">
        <f t="shared" si="77"/>
        <v>0</v>
      </c>
      <c r="X90" s="410">
        <f t="shared" si="77"/>
        <v>0</v>
      </c>
      <c r="Y90" s="410">
        <f t="shared" si="77"/>
        <v>0</v>
      </c>
      <c r="Z90" s="410">
        <f t="shared" si="77"/>
        <v>0</v>
      </c>
      <c r="AA90" s="410">
        <f t="shared" si="77"/>
        <v>0</v>
      </c>
      <c r="AB90" s="410">
        <f t="shared" si="77"/>
        <v>0</v>
      </c>
      <c r="AC90" s="410">
        <f t="shared" si="77"/>
        <v>0</v>
      </c>
      <c r="AE90" s="359"/>
      <c r="AF90" s="382">
        <f t="shared" si="78"/>
        <v>0</v>
      </c>
      <c r="AG90" s="382">
        <f t="shared" si="78"/>
        <v>0</v>
      </c>
      <c r="AH90" s="382">
        <f t="shared" si="78"/>
        <v>0</v>
      </c>
      <c r="AI90" s="382">
        <f t="shared" si="78"/>
        <v>0</v>
      </c>
      <c r="AJ90" s="382">
        <f t="shared" si="78"/>
        <v>0</v>
      </c>
      <c r="AK90" s="382">
        <f t="shared" si="78"/>
        <v>0</v>
      </c>
      <c r="AL90" s="382">
        <f t="shared" si="78"/>
        <v>0</v>
      </c>
      <c r="AM90" s="382">
        <f t="shared" si="78"/>
        <v>0</v>
      </c>
      <c r="AN90" s="382">
        <f t="shared" si="78"/>
        <v>0</v>
      </c>
      <c r="AO90" s="382">
        <f t="shared" si="78"/>
        <v>0</v>
      </c>
      <c r="AP90" s="382">
        <f t="shared" si="79"/>
        <v>0</v>
      </c>
      <c r="AQ90" s="382">
        <f t="shared" si="79"/>
        <v>0</v>
      </c>
      <c r="AR90" s="382">
        <f t="shared" si="79"/>
        <v>1737.5</v>
      </c>
      <c r="AS90" s="382">
        <f t="shared" si="79"/>
        <v>1737.5</v>
      </c>
      <c r="AT90" s="382">
        <f t="shared" si="79"/>
        <v>1737.5</v>
      </c>
      <c r="AU90" s="382">
        <f t="shared" si="79"/>
        <v>1737.5</v>
      </c>
      <c r="AV90" s="382">
        <f t="shared" si="79"/>
        <v>1737.5</v>
      </c>
      <c r="AW90" s="382">
        <f t="shared" si="79"/>
        <v>1737.5</v>
      </c>
      <c r="AX90" s="382">
        <f t="shared" si="79"/>
        <v>1737.5</v>
      </c>
      <c r="AY90" s="382">
        <f t="shared" si="79"/>
        <v>1737.5</v>
      </c>
      <c r="AZ90" s="382">
        <f t="shared" si="80"/>
        <v>1737.5</v>
      </c>
      <c r="BA90" s="382">
        <f t="shared" si="80"/>
        <v>1737.5</v>
      </c>
      <c r="BB90" s="382">
        <f t="shared" si="80"/>
        <v>1737.5</v>
      </c>
      <c r="BC90" s="382">
        <f t="shared" si="80"/>
        <v>1737.5</v>
      </c>
      <c r="BD90" s="382">
        <f t="shared" si="80"/>
        <v>0</v>
      </c>
      <c r="BE90" s="382">
        <f t="shared" si="80"/>
        <v>0</v>
      </c>
      <c r="BF90" s="382">
        <f t="shared" si="80"/>
        <v>0</v>
      </c>
      <c r="BG90" s="382">
        <f t="shared" si="80"/>
        <v>0</v>
      </c>
      <c r="BH90" s="382">
        <f t="shared" si="80"/>
        <v>0</v>
      </c>
      <c r="BI90" s="382">
        <f t="shared" si="80"/>
        <v>0</v>
      </c>
      <c r="BJ90" s="382">
        <f t="shared" si="81"/>
        <v>0</v>
      </c>
      <c r="BK90" s="382">
        <f t="shared" si="81"/>
        <v>0</v>
      </c>
      <c r="BL90" s="382">
        <f t="shared" si="81"/>
        <v>0</v>
      </c>
      <c r="BM90" s="382">
        <f t="shared" si="81"/>
        <v>0</v>
      </c>
      <c r="BN90" s="382">
        <f t="shared" si="81"/>
        <v>0</v>
      </c>
      <c r="BO90" s="382">
        <f t="shared" si="81"/>
        <v>0</v>
      </c>
      <c r="BP90" s="382">
        <f t="shared" si="81"/>
        <v>0</v>
      </c>
      <c r="BQ90" s="382">
        <f t="shared" si="81"/>
        <v>0</v>
      </c>
      <c r="BR90" s="382">
        <f t="shared" si="81"/>
        <v>0</v>
      </c>
      <c r="BS90" s="382">
        <f t="shared" si="81"/>
        <v>0</v>
      </c>
      <c r="BT90" s="382">
        <f t="shared" si="82"/>
        <v>0</v>
      </c>
      <c r="BU90" s="382">
        <f t="shared" si="82"/>
        <v>0</v>
      </c>
      <c r="BV90" s="382">
        <f t="shared" si="82"/>
        <v>0</v>
      </c>
      <c r="BW90" s="382">
        <f t="shared" si="82"/>
        <v>0</v>
      </c>
      <c r="BX90" s="382">
        <f t="shared" si="82"/>
        <v>0</v>
      </c>
      <c r="BY90" s="382">
        <f t="shared" si="82"/>
        <v>0</v>
      </c>
      <c r="BZ90" s="382">
        <f t="shared" si="82"/>
        <v>0</v>
      </c>
      <c r="CA90" s="382">
        <f t="shared" si="82"/>
        <v>0</v>
      </c>
    </row>
    <row r="91" spans="3:79" ht="21" hidden="1" customHeight="1" outlineLevel="2">
      <c r="C91" s="370"/>
      <c r="D91" s="374">
        <f t="shared" si="76"/>
        <v>45351</v>
      </c>
      <c r="E91" s="408" cm="1">
        <f t="array" ref="E91">INDEX($AF$18:$CA$18,0,MATCH($D91,$AF$8:$CA$8,0))</f>
        <v>13550</v>
      </c>
      <c r="G91" s="359"/>
      <c r="H91" s="410">
        <f t="shared" si="69"/>
        <v>0</v>
      </c>
      <c r="I91" s="410">
        <f t="shared" si="69"/>
        <v>12420.833333333332</v>
      </c>
      <c r="J91" s="410">
        <f t="shared" si="69"/>
        <v>1129.1666666666667</v>
      </c>
      <c r="K91" s="410">
        <f t="shared" si="69"/>
        <v>0</v>
      </c>
      <c r="L91" s="410"/>
      <c r="M91" s="410"/>
      <c r="N91" s="410">
        <f t="shared" si="77"/>
        <v>0</v>
      </c>
      <c r="O91" s="410">
        <f t="shared" si="77"/>
        <v>0</v>
      </c>
      <c r="P91" s="410">
        <f t="shared" si="77"/>
        <v>0</v>
      </c>
      <c r="Q91" s="410">
        <f t="shared" si="77"/>
        <v>0</v>
      </c>
      <c r="R91" s="410">
        <f t="shared" si="77"/>
        <v>2258.3333333333335</v>
      </c>
      <c r="S91" s="410">
        <f t="shared" si="77"/>
        <v>3387.5</v>
      </c>
      <c r="T91" s="410">
        <f t="shared" si="77"/>
        <v>3387.5</v>
      </c>
      <c r="U91" s="410">
        <f t="shared" si="77"/>
        <v>3387.5</v>
      </c>
      <c r="V91" s="410">
        <f t="shared" si="77"/>
        <v>1129.1666666666667</v>
      </c>
      <c r="W91" s="410">
        <f t="shared" si="77"/>
        <v>0</v>
      </c>
      <c r="X91" s="410">
        <f t="shared" si="77"/>
        <v>0</v>
      </c>
      <c r="Y91" s="410">
        <f t="shared" si="77"/>
        <v>0</v>
      </c>
      <c r="Z91" s="410">
        <f t="shared" si="77"/>
        <v>0</v>
      </c>
      <c r="AA91" s="410">
        <f t="shared" si="77"/>
        <v>0</v>
      </c>
      <c r="AB91" s="410">
        <f t="shared" si="77"/>
        <v>0</v>
      </c>
      <c r="AC91" s="410">
        <f t="shared" si="77"/>
        <v>0</v>
      </c>
      <c r="AE91" s="359"/>
      <c r="AF91" s="382">
        <f t="shared" si="78"/>
        <v>0</v>
      </c>
      <c r="AG91" s="382">
        <f t="shared" si="78"/>
        <v>0</v>
      </c>
      <c r="AH91" s="382">
        <f t="shared" si="78"/>
        <v>0</v>
      </c>
      <c r="AI91" s="382">
        <f t="shared" si="78"/>
        <v>0</v>
      </c>
      <c r="AJ91" s="382">
        <f t="shared" si="78"/>
        <v>0</v>
      </c>
      <c r="AK91" s="382">
        <f t="shared" si="78"/>
        <v>0</v>
      </c>
      <c r="AL91" s="382">
        <f t="shared" si="78"/>
        <v>0</v>
      </c>
      <c r="AM91" s="382">
        <f t="shared" si="78"/>
        <v>0</v>
      </c>
      <c r="AN91" s="382">
        <f t="shared" si="78"/>
        <v>0</v>
      </c>
      <c r="AO91" s="382">
        <f t="shared" si="78"/>
        <v>0</v>
      </c>
      <c r="AP91" s="382">
        <f t="shared" si="79"/>
        <v>0</v>
      </c>
      <c r="AQ91" s="382">
        <f t="shared" si="79"/>
        <v>0</v>
      </c>
      <c r="AR91" s="382">
        <f t="shared" si="79"/>
        <v>0</v>
      </c>
      <c r="AS91" s="382">
        <f t="shared" si="79"/>
        <v>1129.1666666666667</v>
      </c>
      <c r="AT91" s="382">
        <f t="shared" si="79"/>
        <v>1129.1666666666667</v>
      </c>
      <c r="AU91" s="382">
        <f t="shared" si="79"/>
        <v>1129.1666666666667</v>
      </c>
      <c r="AV91" s="382">
        <f t="shared" si="79"/>
        <v>1129.1666666666667</v>
      </c>
      <c r="AW91" s="382">
        <f t="shared" si="79"/>
        <v>1129.1666666666667</v>
      </c>
      <c r="AX91" s="382">
        <f t="shared" si="79"/>
        <v>1129.1666666666667</v>
      </c>
      <c r="AY91" s="382">
        <f t="shared" si="79"/>
        <v>1129.1666666666667</v>
      </c>
      <c r="AZ91" s="382">
        <f t="shared" si="80"/>
        <v>1129.1666666666667</v>
      </c>
      <c r="BA91" s="382">
        <f t="shared" si="80"/>
        <v>1129.1666666666667</v>
      </c>
      <c r="BB91" s="382">
        <f t="shared" si="80"/>
        <v>1129.1666666666667</v>
      </c>
      <c r="BC91" s="382">
        <f t="shared" si="80"/>
        <v>1129.1666666666667</v>
      </c>
      <c r="BD91" s="382">
        <f t="shared" si="80"/>
        <v>1129.1666666666667</v>
      </c>
      <c r="BE91" s="382">
        <f t="shared" si="80"/>
        <v>0</v>
      </c>
      <c r="BF91" s="382">
        <f t="shared" si="80"/>
        <v>0</v>
      </c>
      <c r="BG91" s="382">
        <f t="shared" si="80"/>
        <v>0</v>
      </c>
      <c r="BH91" s="382">
        <f t="shared" si="80"/>
        <v>0</v>
      </c>
      <c r="BI91" s="382">
        <f t="shared" si="80"/>
        <v>0</v>
      </c>
      <c r="BJ91" s="382">
        <f t="shared" si="81"/>
        <v>0</v>
      </c>
      <c r="BK91" s="382">
        <f t="shared" si="81"/>
        <v>0</v>
      </c>
      <c r="BL91" s="382">
        <f t="shared" si="81"/>
        <v>0</v>
      </c>
      <c r="BM91" s="382">
        <f t="shared" si="81"/>
        <v>0</v>
      </c>
      <c r="BN91" s="382">
        <f t="shared" si="81"/>
        <v>0</v>
      </c>
      <c r="BO91" s="382">
        <f t="shared" si="81"/>
        <v>0</v>
      </c>
      <c r="BP91" s="382">
        <f t="shared" si="81"/>
        <v>0</v>
      </c>
      <c r="BQ91" s="382">
        <f t="shared" si="81"/>
        <v>0</v>
      </c>
      <c r="BR91" s="382">
        <f t="shared" si="81"/>
        <v>0</v>
      </c>
      <c r="BS91" s="382">
        <f t="shared" si="81"/>
        <v>0</v>
      </c>
      <c r="BT91" s="382">
        <f t="shared" si="82"/>
        <v>0</v>
      </c>
      <c r="BU91" s="382">
        <f t="shared" si="82"/>
        <v>0</v>
      </c>
      <c r="BV91" s="382">
        <f t="shared" si="82"/>
        <v>0</v>
      </c>
      <c r="BW91" s="382">
        <f t="shared" si="82"/>
        <v>0</v>
      </c>
      <c r="BX91" s="382">
        <f t="shared" si="82"/>
        <v>0</v>
      </c>
      <c r="BY91" s="382">
        <f t="shared" si="82"/>
        <v>0</v>
      </c>
      <c r="BZ91" s="382">
        <f t="shared" si="82"/>
        <v>0</v>
      </c>
      <c r="CA91" s="382">
        <f t="shared" si="82"/>
        <v>0</v>
      </c>
    </row>
    <row r="92" spans="3:79" ht="21" hidden="1" customHeight="1" outlineLevel="2">
      <c r="C92" s="370"/>
      <c r="D92" s="374">
        <f t="shared" si="76"/>
        <v>45382</v>
      </c>
      <c r="E92" s="408" cm="1">
        <f t="array" ref="E92">INDEX($AF$18:$CA$18,0,MATCH($D92,$AF$8:$CA$8,0))</f>
        <v>0</v>
      </c>
      <c r="G92" s="359"/>
      <c r="H92" s="410">
        <f t="shared" si="69"/>
        <v>0</v>
      </c>
      <c r="I92" s="410">
        <f t="shared" si="69"/>
        <v>0</v>
      </c>
      <c r="J92" s="410">
        <f t="shared" si="69"/>
        <v>0</v>
      </c>
      <c r="K92" s="410">
        <f t="shared" si="69"/>
        <v>0</v>
      </c>
      <c r="L92" s="410"/>
      <c r="M92" s="410"/>
      <c r="N92" s="410">
        <f t="shared" si="77"/>
        <v>0</v>
      </c>
      <c r="O92" s="410">
        <f t="shared" si="77"/>
        <v>0</v>
      </c>
      <c r="P92" s="410">
        <f t="shared" si="77"/>
        <v>0</v>
      </c>
      <c r="Q92" s="410">
        <f t="shared" si="77"/>
        <v>0</v>
      </c>
      <c r="R92" s="410">
        <f t="shared" si="77"/>
        <v>0</v>
      </c>
      <c r="S92" s="410">
        <f t="shared" si="77"/>
        <v>0</v>
      </c>
      <c r="T92" s="410">
        <f t="shared" si="77"/>
        <v>0</v>
      </c>
      <c r="U92" s="410">
        <f t="shared" si="77"/>
        <v>0</v>
      </c>
      <c r="V92" s="410">
        <f t="shared" si="77"/>
        <v>0</v>
      </c>
      <c r="W92" s="410">
        <f t="shared" si="77"/>
        <v>0</v>
      </c>
      <c r="X92" s="410">
        <f t="shared" si="77"/>
        <v>0</v>
      </c>
      <c r="Y92" s="410">
        <f t="shared" si="77"/>
        <v>0</v>
      </c>
      <c r="Z92" s="410">
        <f t="shared" si="77"/>
        <v>0</v>
      </c>
      <c r="AA92" s="410">
        <f t="shared" si="77"/>
        <v>0</v>
      </c>
      <c r="AB92" s="410">
        <f t="shared" si="77"/>
        <v>0</v>
      </c>
      <c r="AC92" s="410">
        <f t="shared" si="77"/>
        <v>0</v>
      </c>
      <c r="AE92" s="359"/>
      <c r="AF92" s="382">
        <f t="shared" si="78"/>
        <v>0</v>
      </c>
      <c r="AG92" s="382">
        <f t="shared" si="78"/>
        <v>0</v>
      </c>
      <c r="AH92" s="382">
        <f t="shared" si="78"/>
        <v>0</v>
      </c>
      <c r="AI92" s="382">
        <f t="shared" si="78"/>
        <v>0</v>
      </c>
      <c r="AJ92" s="382">
        <f t="shared" si="78"/>
        <v>0</v>
      </c>
      <c r="AK92" s="382">
        <f t="shared" si="78"/>
        <v>0</v>
      </c>
      <c r="AL92" s="382">
        <f t="shared" si="78"/>
        <v>0</v>
      </c>
      <c r="AM92" s="382">
        <f t="shared" si="78"/>
        <v>0</v>
      </c>
      <c r="AN92" s="382">
        <f t="shared" si="78"/>
        <v>0</v>
      </c>
      <c r="AO92" s="382">
        <f t="shared" si="78"/>
        <v>0</v>
      </c>
      <c r="AP92" s="382">
        <f t="shared" si="79"/>
        <v>0</v>
      </c>
      <c r="AQ92" s="382">
        <f t="shared" si="79"/>
        <v>0</v>
      </c>
      <c r="AR92" s="382">
        <f t="shared" si="79"/>
        <v>0</v>
      </c>
      <c r="AS92" s="382">
        <f t="shared" si="79"/>
        <v>0</v>
      </c>
      <c r="AT92" s="382">
        <f t="shared" si="79"/>
        <v>0</v>
      </c>
      <c r="AU92" s="382">
        <f t="shared" si="79"/>
        <v>0</v>
      </c>
      <c r="AV92" s="382">
        <f t="shared" si="79"/>
        <v>0</v>
      </c>
      <c r="AW92" s="382">
        <f t="shared" si="79"/>
        <v>0</v>
      </c>
      <c r="AX92" s="382">
        <f t="shared" si="79"/>
        <v>0</v>
      </c>
      <c r="AY92" s="382">
        <f t="shared" si="79"/>
        <v>0</v>
      </c>
      <c r="AZ92" s="382">
        <f t="shared" si="80"/>
        <v>0</v>
      </c>
      <c r="BA92" s="382">
        <f t="shared" si="80"/>
        <v>0</v>
      </c>
      <c r="BB92" s="382">
        <f t="shared" si="80"/>
        <v>0</v>
      </c>
      <c r="BC92" s="382">
        <f t="shared" si="80"/>
        <v>0</v>
      </c>
      <c r="BD92" s="382">
        <f t="shared" si="80"/>
        <v>0</v>
      </c>
      <c r="BE92" s="382">
        <f t="shared" si="80"/>
        <v>0</v>
      </c>
      <c r="BF92" s="382">
        <f t="shared" si="80"/>
        <v>0</v>
      </c>
      <c r="BG92" s="382">
        <f t="shared" si="80"/>
        <v>0</v>
      </c>
      <c r="BH92" s="382">
        <f t="shared" si="80"/>
        <v>0</v>
      </c>
      <c r="BI92" s="382">
        <f t="shared" si="80"/>
        <v>0</v>
      </c>
      <c r="BJ92" s="382">
        <f t="shared" si="81"/>
        <v>0</v>
      </c>
      <c r="BK92" s="382">
        <f t="shared" si="81"/>
        <v>0</v>
      </c>
      <c r="BL92" s="382">
        <f t="shared" si="81"/>
        <v>0</v>
      </c>
      <c r="BM92" s="382">
        <f t="shared" si="81"/>
        <v>0</v>
      </c>
      <c r="BN92" s="382">
        <f t="shared" si="81"/>
        <v>0</v>
      </c>
      <c r="BO92" s="382">
        <f t="shared" si="81"/>
        <v>0</v>
      </c>
      <c r="BP92" s="382">
        <f t="shared" si="81"/>
        <v>0</v>
      </c>
      <c r="BQ92" s="382">
        <f t="shared" si="81"/>
        <v>0</v>
      </c>
      <c r="BR92" s="382">
        <f t="shared" si="81"/>
        <v>0</v>
      </c>
      <c r="BS92" s="382">
        <f t="shared" si="81"/>
        <v>0</v>
      </c>
      <c r="BT92" s="382">
        <f t="shared" si="82"/>
        <v>0</v>
      </c>
      <c r="BU92" s="382">
        <f t="shared" si="82"/>
        <v>0</v>
      </c>
      <c r="BV92" s="382">
        <f t="shared" si="82"/>
        <v>0</v>
      </c>
      <c r="BW92" s="382">
        <f t="shared" si="82"/>
        <v>0</v>
      </c>
      <c r="BX92" s="382">
        <f t="shared" si="82"/>
        <v>0</v>
      </c>
      <c r="BY92" s="382">
        <f t="shared" si="82"/>
        <v>0</v>
      </c>
      <c r="BZ92" s="382">
        <f t="shared" si="82"/>
        <v>0</v>
      </c>
      <c r="CA92" s="382">
        <f t="shared" si="82"/>
        <v>0</v>
      </c>
    </row>
    <row r="93" spans="3:79" ht="21" hidden="1" customHeight="1" outlineLevel="2">
      <c r="C93" s="370"/>
      <c r="D93" s="374">
        <f t="shared" si="76"/>
        <v>45412</v>
      </c>
      <c r="E93" s="408" cm="1">
        <f t="array" ref="E93">INDEX($AF$18:$CA$18,0,MATCH($D93,$AF$8:$CA$8,0))</f>
        <v>0</v>
      </c>
      <c r="G93" s="359"/>
      <c r="H93" s="410">
        <f t="shared" si="69"/>
        <v>0</v>
      </c>
      <c r="I93" s="410">
        <f t="shared" si="69"/>
        <v>0</v>
      </c>
      <c r="J93" s="410">
        <f t="shared" si="69"/>
        <v>0</v>
      </c>
      <c r="K93" s="410">
        <f t="shared" si="69"/>
        <v>0</v>
      </c>
      <c r="L93" s="410"/>
      <c r="M93" s="410"/>
      <c r="N93" s="410">
        <f t="shared" si="77"/>
        <v>0</v>
      </c>
      <c r="O93" s="410">
        <f t="shared" si="77"/>
        <v>0</v>
      </c>
      <c r="P93" s="410">
        <f t="shared" si="77"/>
        <v>0</v>
      </c>
      <c r="Q93" s="410">
        <f t="shared" si="77"/>
        <v>0</v>
      </c>
      <c r="R93" s="410">
        <f t="shared" si="77"/>
        <v>0</v>
      </c>
      <c r="S93" s="410">
        <f t="shared" si="77"/>
        <v>0</v>
      </c>
      <c r="T93" s="410">
        <f t="shared" si="77"/>
        <v>0</v>
      </c>
      <c r="U93" s="410">
        <f t="shared" si="77"/>
        <v>0</v>
      </c>
      <c r="V93" s="410">
        <f t="shared" si="77"/>
        <v>0</v>
      </c>
      <c r="W93" s="410">
        <f t="shared" si="77"/>
        <v>0</v>
      </c>
      <c r="X93" s="410">
        <f t="shared" si="77"/>
        <v>0</v>
      </c>
      <c r="Y93" s="410">
        <f t="shared" si="77"/>
        <v>0</v>
      </c>
      <c r="Z93" s="410">
        <f t="shared" si="77"/>
        <v>0</v>
      </c>
      <c r="AA93" s="410">
        <f t="shared" si="77"/>
        <v>0</v>
      </c>
      <c r="AB93" s="410">
        <f t="shared" si="77"/>
        <v>0</v>
      </c>
      <c r="AC93" s="410">
        <f t="shared" si="77"/>
        <v>0</v>
      </c>
      <c r="AE93" s="359"/>
      <c r="AF93" s="382">
        <f t="shared" si="78"/>
        <v>0</v>
      </c>
      <c r="AG93" s="382">
        <f t="shared" si="78"/>
        <v>0</v>
      </c>
      <c r="AH93" s="382">
        <f t="shared" si="78"/>
        <v>0</v>
      </c>
      <c r="AI93" s="382">
        <f t="shared" si="78"/>
        <v>0</v>
      </c>
      <c r="AJ93" s="382">
        <f t="shared" si="78"/>
        <v>0</v>
      </c>
      <c r="AK93" s="382">
        <f t="shared" si="78"/>
        <v>0</v>
      </c>
      <c r="AL93" s="382">
        <f t="shared" si="78"/>
        <v>0</v>
      </c>
      <c r="AM93" s="382">
        <f t="shared" si="78"/>
        <v>0</v>
      </c>
      <c r="AN93" s="382">
        <f t="shared" si="78"/>
        <v>0</v>
      </c>
      <c r="AO93" s="382">
        <f t="shared" si="78"/>
        <v>0</v>
      </c>
      <c r="AP93" s="382">
        <f t="shared" si="79"/>
        <v>0</v>
      </c>
      <c r="AQ93" s="382">
        <f t="shared" si="79"/>
        <v>0</v>
      </c>
      <c r="AR93" s="382">
        <f t="shared" si="79"/>
        <v>0</v>
      </c>
      <c r="AS93" s="382">
        <f t="shared" si="79"/>
        <v>0</v>
      </c>
      <c r="AT93" s="382">
        <f t="shared" si="79"/>
        <v>0</v>
      </c>
      <c r="AU93" s="382">
        <f t="shared" si="79"/>
        <v>0</v>
      </c>
      <c r="AV93" s="382">
        <f t="shared" si="79"/>
        <v>0</v>
      </c>
      <c r="AW93" s="382">
        <f t="shared" si="79"/>
        <v>0</v>
      </c>
      <c r="AX93" s="382">
        <f t="shared" si="79"/>
        <v>0</v>
      </c>
      <c r="AY93" s="382">
        <f t="shared" si="79"/>
        <v>0</v>
      </c>
      <c r="AZ93" s="382">
        <f t="shared" si="80"/>
        <v>0</v>
      </c>
      <c r="BA93" s="382">
        <f t="shared" si="80"/>
        <v>0</v>
      </c>
      <c r="BB93" s="382">
        <f t="shared" si="80"/>
        <v>0</v>
      </c>
      <c r="BC93" s="382">
        <f t="shared" si="80"/>
        <v>0</v>
      </c>
      <c r="BD93" s="382">
        <f t="shared" si="80"/>
        <v>0</v>
      </c>
      <c r="BE93" s="382">
        <f t="shared" si="80"/>
        <v>0</v>
      </c>
      <c r="BF93" s="382">
        <f t="shared" si="80"/>
        <v>0</v>
      </c>
      <c r="BG93" s="382">
        <f t="shared" si="80"/>
        <v>0</v>
      </c>
      <c r="BH93" s="382">
        <f t="shared" si="80"/>
        <v>0</v>
      </c>
      <c r="BI93" s="382">
        <f t="shared" si="80"/>
        <v>0</v>
      </c>
      <c r="BJ93" s="382">
        <f t="shared" si="81"/>
        <v>0</v>
      </c>
      <c r="BK93" s="382">
        <f t="shared" si="81"/>
        <v>0</v>
      </c>
      <c r="BL93" s="382">
        <f t="shared" si="81"/>
        <v>0</v>
      </c>
      <c r="BM93" s="382">
        <f t="shared" si="81"/>
        <v>0</v>
      </c>
      <c r="BN93" s="382">
        <f t="shared" si="81"/>
        <v>0</v>
      </c>
      <c r="BO93" s="382">
        <f t="shared" si="81"/>
        <v>0</v>
      </c>
      <c r="BP93" s="382">
        <f t="shared" si="81"/>
        <v>0</v>
      </c>
      <c r="BQ93" s="382">
        <f t="shared" si="81"/>
        <v>0</v>
      </c>
      <c r="BR93" s="382">
        <f t="shared" si="81"/>
        <v>0</v>
      </c>
      <c r="BS93" s="382">
        <f t="shared" si="81"/>
        <v>0</v>
      </c>
      <c r="BT93" s="382">
        <f t="shared" si="82"/>
        <v>0</v>
      </c>
      <c r="BU93" s="382">
        <f t="shared" si="82"/>
        <v>0</v>
      </c>
      <c r="BV93" s="382">
        <f t="shared" si="82"/>
        <v>0</v>
      </c>
      <c r="BW93" s="382">
        <f t="shared" si="82"/>
        <v>0</v>
      </c>
      <c r="BX93" s="382">
        <f t="shared" si="82"/>
        <v>0</v>
      </c>
      <c r="BY93" s="382">
        <f t="shared" si="82"/>
        <v>0</v>
      </c>
      <c r="BZ93" s="382">
        <f t="shared" si="82"/>
        <v>0</v>
      </c>
      <c r="CA93" s="382">
        <f t="shared" si="82"/>
        <v>0</v>
      </c>
    </row>
    <row r="94" spans="3:79" ht="21" hidden="1" customHeight="1" outlineLevel="2">
      <c r="C94" s="370"/>
      <c r="D94" s="374">
        <f t="shared" si="76"/>
        <v>45443</v>
      </c>
      <c r="E94" s="408" cm="1">
        <f t="array" ref="E94">INDEX($AF$18:$CA$18,0,MATCH($D94,$AF$8:$CA$8,0))</f>
        <v>0</v>
      </c>
      <c r="G94" s="359"/>
      <c r="H94" s="410">
        <f t="shared" si="69"/>
        <v>0</v>
      </c>
      <c r="I94" s="410">
        <f t="shared" si="69"/>
        <v>0</v>
      </c>
      <c r="J94" s="410">
        <f t="shared" si="69"/>
        <v>0</v>
      </c>
      <c r="K94" s="410">
        <f t="shared" si="69"/>
        <v>0</v>
      </c>
      <c r="L94" s="410"/>
      <c r="M94" s="410"/>
      <c r="N94" s="410">
        <f t="shared" si="77"/>
        <v>0</v>
      </c>
      <c r="O94" s="410">
        <f t="shared" si="77"/>
        <v>0</v>
      </c>
      <c r="P94" s="410">
        <f t="shared" si="77"/>
        <v>0</v>
      </c>
      <c r="Q94" s="410">
        <f t="shared" si="77"/>
        <v>0</v>
      </c>
      <c r="R94" s="410">
        <f t="shared" si="77"/>
        <v>0</v>
      </c>
      <c r="S94" s="410">
        <f t="shared" si="77"/>
        <v>0</v>
      </c>
      <c r="T94" s="410">
        <f t="shared" si="77"/>
        <v>0</v>
      </c>
      <c r="U94" s="410">
        <f t="shared" si="77"/>
        <v>0</v>
      </c>
      <c r="V94" s="410">
        <f t="shared" si="77"/>
        <v>0</v>
      </c>
      <c r="W94" s="410">
        <f t="shared" si="77"/>
        <v>0</v>
      </c>
      <c r="X94" s="410">
        <f t="shared" si="77"/>
        <v>0</v>
      </c>
      <c r="Y94" s="410">
        <f t="shared" si="77"/>
        <v>0</v>
      </c>
      <c r="Z94" s="410">
        <f t="shared" si="77"/>
        <v>0</v>
      </c>
      <c r="AA94" s="410">
        <f t="shared" si="77"/>
        <v>0</v>
      </c>
      <c r="AB94" s="410">
        <f t="shared" si="77"/>
        <v>0</v>
      </c>
      <c r="AC94" s="410">
        <f t="shared" si="77"/>
        <v>0</v>
      </c>
      <c r="AE94" s="359"/>
      <c r="AF94" s="382">
        <f t="shared" si="78"/>
        <v>0</v>
      </c>
      <c r="AG94" s="382">
        <f t="shared" si="78"/>
        <v>0</v>
      </c>
      <c r="AH94" s="382">
        <f t="shared" si="78"/>
        <v>0</v>
      </c>
      <c r="AI94" s="382">
        <f t="shared" si="78"/>
        <v>0</v>
      </c>
      <c r="AJ94" s="382">
        <f t="shared" si="78"/>
        <v>0</v>
      </c>
      <c r="AK94" s="382">
        <f t="shared" si="78"/>
        <v>0</v>
      </c>
      <c r="AL94" s="382">
        <f t="shared" si="78"/>
        <v>0</v>
      </c>
      <c r="AM94" s="382">
        <f t="shared" si="78"/>
        <v>0</v>
      </c>
      <c r="AN94" s="382">
        <f t="shared" si="78"/>
        <v>0</v>
      </c>
      <c r="AO94" s="382">
        <f t="shared" si="78"/>
        <v>0</v>
      </c>
      <c r="AP94" s="382">
        <f t="shared" si="79"/>
        <v>0</v>
      </c>
      <c r="AQ94" s="382">
        <f t="shared" si="79"/>
        <v>0</v>
      </c>
      <c r="AR94" s="382">
        <f t="shared" si="79"/>
        <v>0</v>
      </c>
      <c r="AS94" s="382">
        <f t="shared" si="79"/>
        <v>0</v>
      </c>
      <c r="AT94" s="382">
        <f t="shared" si="79"/>
        <v>0</v>
      </c>
      <c r="AU94" s="382">
        <f t="shared" si="79"/>
        <v>0</v>
      </c>
      <c r="AV94" s="382">
        <f t="shared" si="79"/>
        <v>0</v>
      </c>
      <c r="AW94" s="382">
        <f t="shared" si="79"/>
        <v>0</v>
      </c>
      <c r="AX94" s="382">
        <f t="shared" si="79"/>
        <v>0</v>
      </c>
      <c r="AY94" s="382">
        <f t="shared" si="79"/>
        <v>0</v>
      </c>
      <c r="AZ94" s="382">
        <f t="shared" si="80"/>
        <v>0</v>
      </c>
      <c r="BA94" s="382">
        <f t="shared" si="80"/>
        <v>0</v>
      </c>
      <c r="BB94" s="382">
        <f t="shared" si="80"/>
        <v>0</v>
      </c>
      <c r="BC94" s="382">
        <f t="shared" si="80"/>
        <v>0</v>
      </c>
      <c r="BD94" s="382">
        <f t="shared" si="80"/>
        <v>0</v>
      </c>
      <c r="BE94" s="382">
        <f t="shared" si="80"/>
        <v>0</v>
      </c>
      <c r="BF94" s="382">
        <f t="shared" si="80"/>
        <v>0</v>
      </c>
      <c r="BG94" s="382">
        <f t="shared" si="80"/>
        <v>0</v>
      </c>
      <c r="BH94" s="382">
        <f t="shared" si="80"/>
        <v>0</v>
      </c>
      <c r="BI94" s="382">
        <f t="shared" si="80"/>
        <v>0</v>
      </c>
      <c r="BJ94" s="382">
        <f t="shared" si="81"/>
        <v>0</v>
      </c>
      <c r="BK94" s="382">
        <f t="shared" si="81"/>
        <v>0</v>
      </c>
      <c r="BL94" s="382">
        <f t="shared" si="81"/>
        <v>0</v>
      </c>
      <c r="BM94" s="382">
        <f t="shared" si="81"/>
        <v>0</v>
      </c>
      <c r="BN94" s="382">
        <f t="shared" si="81"/>
        <v>0</v>
      </c>
      <c r="BO94" s="382">
        <f t="shared" si="81"/>
        <v>0</v>
      </c>
      <c r="BP94" s="382">
        <f t="shared" si="81"/>
        <v>0</v>
      </c>
      <c r="BQ94" s="382">
        <f t="shared" si="81"/>
        <v>0</v>
      </c>
      <c r="BR94" s="382">
        <f t="shared" si="81"/>
        <v>0</v>
      </c>
      <c r="BS94" s="382">
        <f t="shared" si="81"/>
        <v>0</v>
      </c>
      <c r="BT94" s="382">
        <f t="shared" si="82"/>
        <v>0</v>
      </c>
      <c r="BU94" s="382">
        <f t="shared" si="82"/>
        <v>0</v>
      </c>
      <c r="BV94" s="382">
        <f t="shared" si="82"/>
        <v>0</v>
      </c>
      <c r="BW94" s="382">
        <f t="shared" si="82"/>
        <v>0</v>
      </c>
      <c r="BX94" s="382">
        <f t="shared" si="82"/>
        <v>0</v>
      </c>
      <c r="BY94" s="382">
        <f t="shared" si="82"/>
        <v>0</v>
      </c>
      <c r="BZ94" s="382">
        <f t="shared" si="82"/>
        <v>0</v>
      </c>
      <c r="CA94" s="382">
        <f t="shared" si="82"/>
        <v>0</v>
      </c>
    </row>
    <row r="95" spans="3:79" ht="21" hidden="1" customHeight="1" outlineLevel="2">
      <c r="C95" s="370"/>
      <c r="D95" s="374">
        <f t="shared" si="76"/>
        <v>45473</v>
      </c>
      <c r="E95" s="408" cm="1">
        <f t="array" ref="E95">INDEX($AF$18:$CA$18,0,MATCH($D95,$AF$8:$CA$8,0))</f>
        <v>0</v>
      </c>
      <c r="G95" s="359"/>
      <c r="H95" s="410">
        <f t="shared" si="69"/>
        <v>0</v>
      </c>
      <c r="I95" s="410">
        <f t="shared" si="69"/>
        <v>0</v>
      </c>
      <c r="J95" s="410">
        <f t="shared" si="69"/>
        <v>0</v>
      </c>
      <c r="K95" s="410">
        <f t="shared" si="69"/>
        <v>0</v>
      </c>
      <c r="L95" s="410"/>
      <c r="M95" s="410"/>
      <c r="N95" s="410">
        <f t="shared" si="77"/>
        <v>0</v>
      </c>
      <c r="O95" s="410">
        <f t="shared" si="77"/>
        <v>0</v>
      </c>
      <c r="P95" s="410">
        <f t="shared" si="77"/>
        <v>0</v>
      </c>
      <c r="Q95" s="410">
        <f t="shared" si="77"/>
        <v>0</v>
      </c>
      <c r="R95" s="410">
        <f t="shared" si="77"/>
        <v>0</v>
      </c>
      <c r="S95" s="410">
        <f t="shared" si="77"/>
        <v>0</v>
      </c>
      <c r="T95" s="410">
        <f t="shared" si="77"/>
        <v>0</v>
      </c>
      <c r="U95" s="410">
        <f t="shared" si="77"/>
        <v>0</v>
      </c>
      <c r="V95" s="410">
        <f t="shared" si="77"/>
        <v>0</v>
      </c>
      <c r="W95" s="410">
        <f t="shared" si="77"/>
        <v>0</v>
      </c>
      <c r="X95" s="410">
        <f t="shared" si="77"/>
        <v>0</v>
      </c>
      <c r="Y95" s="410">
        <f t="shared" si="77"/>
        <v>0</v>
      </c>
      <c r="Z95" s="410">
        <f t="shared" si="77"/>
        <v>0</v>
      </c>
      <c r="AA95" s="410">
        <f t="shared" si="77"/>
        <v>0</v>
      </c>
      <c r="AB95" s="410">
        <f t="shared" si="77"/>
        <v>0</v>
      </c>
      <c r="AC95" s="410">
        <f t="shared" si="77"/>
        <v>0</v>
      </c>
      <c r="AE95" s="359"/>
      <c r="AF95" s="382">
        <f t="shared" si="78"/>
        <v>0</v>
      </c>
      <c r="AG95" s="382">
        <f t="shared" si="78"/>
        <v>0</v>
      </c>
      <c r="AH95" s="382">
        <f t="shared" si="78"/>
        <v>0</v>
      </c>
      <c r="AI95" s="382">
        <f t="shared" si="78"/>
        <v>0</v>
      </c>
      <c r="AJ95" s="382">
        <f t="shared" si="78"/>
        <v>0</v>
      </c>
      <c r="AK95" s="382">
        <f t="shared" si="78"/>
        <v>0</v>
      </c>
      <c r="AL95" s="382">
        <f t="shared" si="78"/>
        <v>0</v>
      </c>
      <c r="AM95" s="382">
        <f t="shared" si="78"/>
        <v>0</v>
      </c>
      <c r="AN95" s="382">
        <f t="shared" si="78"/>
        <v>0</v>
      </c>
      <c r="AO95" s="382">
        <f t="shared" si="78"/>
        <v>0</v>
      </c>
      <c r="AP95" s="382">
        <f t="shared" si="79"/>
        <v>0</v>
      </c>
      <c r="AQ95" s="382">
        <f t="shared" si="79"/>
        <v>0</v>
      </c>
      <c r="AR95" s="382">
        <f t="shared" si="79"/>
        <v>0</v>
      </c>
      <c r="AS95" s="382">
        <f t="shared" si="79"/>
        <v>0</v>
      </c>
      <c r="AT95" s="382">
        <f t="shared" si="79"/>
        <v>0</v>
      </c>
      <c r="AU95" s="382">
        <f t="shared" si="79"/>
        <v>0</v>
      </c>
      <c r="AV95" s="382">
        <f t="shared" si="79"/>
        <v>0</v>
      </c>
      <c r="AW95" s="382">
        <f t="shared" si="79"/>
        <v>0</v>
      </c>
      <c r="AX95" s="382">
        <f t="shared" si="79"/>
        <v>0</v>
      </c>
      <c r="AY95" s="382">
        <f t="shared" si="79"/>
        <v>0</v>
      </c>
      <c r="AZ95" s="382">
        <f t="shared" si="80"/>
        <v>0</v>
      </c>
      <c r="BA95" s="382">
        <f t="shared" si="80"/>
        <v>0</v>
      </c>
      <c r="BB95" s="382">
        <f t="shared" si="80"/>
        <v>0</v>
      </c>
      <c r="BC95" s="382">
        <f t="shared" si="80"/>
        <v>0</v>
      </c>
      <c r="BD95" s="382">
        <f t="shared" si="80"/>
        <v>0</v>
      </c>
      <c r="BE95" s="382">
        <f t="shared" si="80"/>
        <v>0</v>
      </c>
      <c r="BF95" s="382">
        <f t="shared" si="80"/>
        <v>0</v>
      </c>
      <c r="BG95" s="382">
        <f t="shared" si="80"/>
        <v>0</v>
      </c>
      <c r="BH95" s="382">
        <f t="shared" si="80"/>
        <v>0</v>
      </c>
      <c r="BI95" s="382">
        <f t="shared" si="80"/>
        <v>0</v>
      </c>
      <c r="BJ95" s="382">
        <f t="shared" si="81"/>
        <v>0</v>
      </c>
      <c r="BK95" s="382">
        <f t="shared" si="81"/>
        <v>0</v>
      </c>
      <c r="BL95" s="382">
        <f t="shared" si="81"/>
        <v>0</v>
      </c>
      <c r="BM95" s="382">
        <f t="shared" si="81"/>
        <v>0</v>
      </c>
      <c r="BN95" s="382">
        <f t="shared" si="81"/>
        <v>0</v>
      </c>
      <c r="BO95" s="382">
        <f t="shared" si="81"/>
        <v>0</v>
      </c>
      <c r="BP95" s="382">
        <f t="shared" si="81"/>
        <v>0</v>
      </c>
      <c r="BQ95" s="382">
        <f t="shared" si="81"/>
        <v>0</v>
      </c>
      <c r="BR95" s="382">
        <f t="shared" si="81"/>
        <v>0</v>
      </c>
      <c r="BS95" s="382">
        <f t="shared" si="81"/>
        <v>0</v>
      </c>
      <c r="BT95" s="382">
        <f t="shared" si="82"/>
        <v>0</v>
      </c>
      <c r="BU95" s="382">
        <f t="shared" si="82"/>
        <v>0</v>
      </c>
      <c r="BV95" s="382">
        <f t="shared" si="82"/>
        <v>0</v>
      </c>
      <c r="BW95" s="382">
        <f t="shared" si="82"/>
        <v>0</v>
      </c>
      <c r="BX95" s="382">
        <f t="shared" si="82"/>
        <v>0</v>
      </c>
      <c r="BY95" s="382">
        <f t="shared" si="82"/>
        <v>0</v>
      </c>
      <c r="BZ95" s="382">
        <f t="shared" si="82"/>
        <v>0</v>
      </c>
      <c r="CA95" s="382">
        <f t="shared" si="82"/>
        <v>0</v>
      </c>
    </row>
    <row r="96" spans="3:79" ht="21" hidden="1" customHeight="1" outlineLevel="2">
      <c r="C96" s="370"/>
      <c r="D96" s="374">
        <f t="shared" si="76"/>
        <v>45504</v>
      </c>
      <c r="E96" s="408" cm="1">
        <f t="array" ref="E96">INDEX($AF$18:$CA$18,0,MATCH($D96,$AF$8:$CA$8,0))</f>
        <v>0</v>
      </c>
      <c r="G96" s="359"/>
      <c r="H96" s="410">
        <f t="shared" si="69"/>
        <v>0</v>
      </c>
      <c r="I96" s="410">
        <f t="shared" si="69"/>
        <v>0</v>
      </c>
      <c r="J96" s="410">
        <f t="shared" si="69"/>
        <v>0</v>
      </c>
      <c r="K96" s="410">
        <f t="shared" si="69"/>
        <v>0</v>
      </c>
      <c r="L96" s="410"/>
      <c r="M96" s="410"/>
      <c r="N96" s="410">
        <f t="shared" si="77"/>
        <v>0</v>
      </c>
      <c r="O96" s="410">
        <f t="shared" si="77"/>
        <v>0</v>
      </c>
      <c r="P96" s="410">
        <f t="shared" si="77"/>
        <v>0</v>
      </c>
      <c r="Q96" s="410">
        <f t="shared" si="77"/>
        <v>0</v>
      </c>
      <c r="R96" s="410">
        <f t="shared" si="77"/>
        <v>0</v>
      </c>
      <c r="S96" s="410">
        <f t="shared" si="77"/>
        <v>0</v>
      </c>
      <c r="T96" s="410">
        <f t="shared" si="77"/>
        <v>0</v>
      </c>
      <c r="U96" s="410">
        <f t="shared" si="77"/>
        <v>0</v>
      </c>
      <c r="V96" s="410">
        <f t="shared" si="77"/>
        <v>0</v>
      </c>
      <c r="W96" s="410">
        <f t="shared" si="77"/>
        <v>0</v>
      </c>
      <c r="X96" s="410">
        <f t="shared" si="77"/>
        <v>0</v>
      </c>
      <c r="Y96" s="410">
        <f t="shared" si="77"/>
        <v>0</v>
      </c>
      <c r="Z96" s="410">
        <f t="shared" si="77"/>
        <v>0</v>
      </c>
      <c r="AA96" s="410">
        <f t="shared" si="77"/>
        <v>0</v>
      </c>
      <c r="AB96" s="410">
        <f t="shared" si="77"/>
        <v>0</v>
      </c>
      <c r="AC96" s="410">
        <f t="shared" si="77"/>
        <v>0</v>
      </c>
      <c r="AE96" s="359"/>
      <c r="AF96" s="382">
        <f t="shared" si="78"/>
        <v>0</v>
      </c>
      <c r="AG96" s="382">
        <f t="shared" si="78"/>
        <v>0</v>
      </c>
      <c r="AH96" s="382">
        <f t="shared" si="78"/>
        <v>0</v>
      </c>
      <c r="AI96" s="382">
        <f t="shared" si="78"/>
        <v>0</v>
      </c>
      <c r="AJ96" s="382">
        <f t="shared" si="78"/>
        <v>0</v>
      </c>
      <c r="AK96" s="382">
        <f t="shared" si="78"/>
        <v>0</v>
      </c>
      <c r="AL96" s="382">
        <f t="shared" si="78"/>
        <v>0</v>
      </c>
      <c r="AM96" s="382">
        <f t="shared" si="78"/>
        <v>0</v>
      </c>
      <c r="AN96" s="382">
        <f t="shared" si="78"/>
        <v>0</v>
      </c>
      <c r="AO96" s="382">
        <f t="shared" si="78"/>
        <v>0</v>
      </c>
      <c r="AP96" s="382">
        <f t="shared" si="79"/>
        <v>0</v>
      </c>
      <c r="AQ96" s="382">
        <f t="shared" si="79"/>
        <v>0</v>
      </c>
      <c r="AR96" s="382">
        <f t="shared" si="79"/>
        <v>0</v>
      </c>
      <c r="AS96" s="382">
        <f t="shared" si="79"/>
        <v>0</v>
      </c>
      <c r="AT96" s="382">
        <f t="shared" si="79"/>
        <v>0</v>
      </c>
      <c r="AU96" s="382">
        <f t="shared" si="79"/>
        <v>0</v>
      </c>
      <c r="AV96" s="382">
        <f t="shared" si="79"/>
        <v>0</v>
      </c>
      <c r="AW96" s="382">
        <f t="shared" si="79"/>
        <v>0</v>
      </c>
      <c r="AX96" s="382">
        <f t="shared" si="79"/>
        <v>0</v>
      </c>
      <c r="AY96" s="382">
        <f t="shared" si="79"/>
        <v>0</v>
      </c>
      <c r="AZ96" s="382">
        <f t="shared" si="80"/>
        <v>0</v>
      </c>
      <c r="BA96" s="382">
        <f t="shared" si="80"/>
        <v>0</v>
      </c>
      <c r="BB96" s="382">
        <f t="shared" si="80"/>
        <v>0</v>
      </c>
      <c r="BC96" s="382">
        <f t="shared" si="80"/>
        <v>0</v>
      </c>
      <c r="BD96" s="382">
        <f t="shared" si="80"/>
        <v>0</v>
      </c>
      <c r="BE96" s="382">
        <f t="shared" si="80"/>
        <v>0</v>
      </c>
      <c r="BF96" s="382">
        <f t="shared" si="80"/>
        <v>0</v>
      </c>
      <c r="BG96" s="382">
        <f t="shared" si="80"/>
        <v>0</v>
      </c>
      <c r="BH96" s="382">
        <f t="shared" si="80"/>
        <v>0</v>
      </c>
      <c r="BI96" s="382">
        <f t="shared" si="80"/>
        <v>0</v>
      </c>
      <c r="BJ96" s="382">
        <f t="shared" si="81"/>
        <v>0</v>
      </c>
      <c r="BK96" s="382">
        <f t="shared" si="81"/>
        <v>0</v>
      </c>
      <c r="BL96" s="382">
        <f t="shared" si="81"/>
        <v>0</v>
      </c>
      <c r="BM96" s="382">
        <f t="shared" si="81"/>
        <v>0</v>
      </c>
      <c r="BN96" s="382">
        <f t="shared" si="81"/>
        <v>0</v>
      </c>
      <c r="BO96" s="382">
        <f t="shared" si="81"/>
        <v>0</v>
      </c>
      <c r="BP96" s="382">
        <f t="shared" si="81"/>
        <v>0</v>
      </c>
      <c r="BQ96" s="382">
        <f t="shared" si="81"/>
        <v>0</v>
      </c>
      <c r="BR96" s="382">
        <f t="shared" si="81"/>
        <v>0</v>
      </c>
      <c r="BS96" s="382">
        <f t="shared" si="81"/>
        <v>0</v>
      </c>
      <c r="BT96" s="382">
        <f t="shared" si="82"/>
        <v>0</v>
      </c>
      <c r="BU96" s="382">
        <f t="shared" si="82"/>
        <v>0</v>
      </c>
      <c r="BV96" s="382">
        <f t="shared" si="82"/>
        <v>0</v>
      </c>
      <c r="BW96" s="382">
        <f t="shared" si="82"/>
        <v>0</v>
      </c>
      <c r="BX96" s="382">
        <f t="shared" si="82"/>
        <v>0</v>
      </c>
      <c r="BY96" s="382">
        <f t="shared" si="82"/>
        <v>0</v>
      </c>
      <c r="BZ96" s="382">
        <f t="shared" si="82"/>
        <v>0</v>
      </c>
      <c r="CA96" s="382">
        <f t="shared" si="82"/>
        <v>0</v>
      </c>
    </row>
    <row r="97" spans="3:79" ht="21" hidden="1" customHeight="1" outlineLevel="2">
      <c r="C97" s="370"/>
      <c r="D97" s="374">
        <f t="shared" si="76"/>
        <v>45535</v>
      </c>
      <c r="E97" s="408" cm="1">
        <f t="array" ref="E97">INDEX($AF$18:$CA$18,0,MATCH($D97,$AF$8:$CA$8,0))</f>
        <v>0</v>
      </c>
      <c r="G97" s="359"/>
      <c r="H97" s="410">
        <f t="shared" si="69"/>
        <v>0</v>
      </c>
      <c r="I97" s="410">
        <f t="shared" si="69"/>
        <v>0</v>
      </c>
      <c r="J97" s="410">
        <f t="shared" si="69"/>
        <v>0</v>
      </c>
      <c r="K97" s="410">
        <f t="shared" si="69"/>
        <v>0</v>
      </c>
      <c r="L97" s="410"/>
      <c r="M97" s="410"/>
      <c r="N97" s="410">
        <f t="shared" si="77"/>
        <v>0</v>
      </c>
      <c r="O97" s="410">
        <f t="shared" si="77"/>
        <v>0</v>
      </c>
      <c r="P97" s="410">
        <f t="shared" si="77"/>
        <v>0</v>
      </c>
      <c r="Q97" s="410">
        <f t="shared" si="77"/>
        <v>0</v>
      </c>
      <c r="R97" s="410">
        <f t="shared" si="77"/>
        <v>0</v>
      </c>
      <c r="S97" s="410">
        <f t="shared" si="77"/>
        <v>0</v>
      </c>
      <c r="T97" s="410">
        <f t="shared" si="77"/>
        <v>0</v>
      </c>
      <c r="U97" s="410">
        <f t="shared" si="77"/>
        <v>0</v>
      </c>
      <c r="V97" s="410">
        <f t="shared" si="77"/>
        <v>0</v>
      </c>
      <c r="W97" s="410">
        <f t="shared" si="77"/>
        <v>0</v>
      </c>
      <c r="X97" s="410">
        <f t="shared" si="77"/>
        <v>0</v>
      </c>
      <c r="Y97" s="410">
        <f t="shared" si="77"/>
        <v>0</v>
      </c>
      <c r="Z97" s="410">
        <f t="shared" si="77"/>
        <v>0</v>
      </c>
      <c r="AA97" s="410">
        <f t="shared" si="77"/>
        <v>0</v>
      </c>
      <c r="AB97" s="410">
        <f t="shared" si="77"/>
        <v>0</v>
      </c>
      <c r="AC97" s="410">
        <f t="shared" si="77"/>
        <v>0</v>
      </c>
      <c r="AE97" s="359"/>
      <c r="AF97" s="382">
        <f t="shared" si="78"/>
        <v>0</v>
      </c>
      <c r="AG97" s="382">
        <f t="shared" si="78"/>
        <v>0</v>
      </c>
      <c r="AH97" s="382">
        <f t="shared" si="78"/>
        <v>0</v>
      </c>
      <c r="AI97" s="382">
        <f t="shared" si="78"/>
        <v>0</v>
      </c>
      <c r="AJ97" s="382">
        <f t="shared" si="78"/>
        <v>0</v>
      </c>
      <c r="AK97" s="382">
        <f t="shared" si="78"/>
        <v>0</v>
      </c>
      <c r="AL97" s="382">
        <f t="shared" si="78"/>
        <v>0</v>
      </c>
      <c r="AM97" s="382">
        <f t="shared" si="78"/>
        <v>0</v>
      </c>
      <c r="AN97" s="382">
        <f t="shared" si="78"/>
        <v>0</v>
      </c>
      <c r="AO97" s="382">
        <f t="shared" si="78"/>
        <v>0</v>
      </c>
      <c r="AP97" s="382">
        <f t="shared" si="79"/>
        <v>0</v>
      </c>
      <c r="AQ97" s="382">
        <f t="shared" si="79"/>
        <v>0</v>
      </c>
      <c r="AR97" s="382">
        <f t="shared" si="79"/>
        <v>0</v>
      </c>
      <c r="AS97" s="382">
        <f t="shared" si="79"/>
        <v>0</v>
      </c>
      <c r="AT97" s="382">
        <f t="shared" si="79"/>
        <v>0</v>
      </c>
      <c r="AU97" s="382">
        <f t="shared" si="79"/>
        <v>0</v>
      </c>
      <c r="AV97" s="382">
        <f t="shared" si="79"/>
        <v>0</v>
      </c>
      <c r="AW97" s="382">
        <f t="shared" si="79"/>
        <v>0</v>
      </c>
      <c r="AX97" s="382">
        <f t="shared" si="79"/>
        <v>0</v>
      </c>
      <c r="AY97" s="382">
        <f t="shared" si="79"/>
        <v>0</v>
      </c>
      <c r="AZ97" s="382">
        <f t="shared" si="80"/>
        <v>0</v>
      </c>
      <c r="BA97" s="382">
        <f t="shared" si="80"/>
        <v>0</v>
      </c>
      <c r="BB97" s="382">
        <f t="shared" si="80"/>
        <v>0</v>
      </c>
      <c r="BC97" s="382">
        <f t="shared" si="80"/>
        <v>0</v>
      </c>
      <c r="BD97" s="382">
        <f t="shared" si="80"/>
        <v>0</v>
      </c>
      <c r="BE97" s="382">
        <f t="shared" si="80"/>
        <v>0</v>
      </c>
      <c r="BF97" s="382">
        <f t="shared" si="80"/>
        <v>0</v>
      </c>
      <c r="BG97" s="382">
        <f t="shared" si="80"/>
        <v>0</v>
      </c>
      <c r="BH97" s="382">
        <f t="shared" si="80"/>
        <v>0</v>
      </c>
      <c r="BI97" s="382">
        <f t="shared" si="80"/>
        <v>0</v>
      </c>
      <c r="BJ97" s="382">
        <f t="shared" si="81"/>
        <v>0</v>
      </c>
      <c r="BK97" s="382">
        <f t="shared" si="81"/>
        <v>0</v>
      </c>
      <c r="BL97" s="382">
        <f t="shared" si="81"/>
        <v>0</v>
      </c>
      <c r="BM97" s="382">
        <f t="shared" si="81"/>
        <v>0</v>
      </c>
      <c r="BN97" s="382">
        <f t="shared" si="81"/>
        <v>0</v>
      </c>
      <c r="BO97" s="382">
        <f t="shared" si="81"/>
        <v>0</v>
      </c>
      <c r="BP97" s="382">
        <f t="shared" si="81"/>
        <v>0</v>
      </c>
      <c r="BQ97" s="382">
        <f t="shared" si="81"/>
        <v>0</v>
      </c>
      <c r="BR97" s="382">
        <f t="shared" si="81"/>
        <v>0</v>
      </c>
      <c r="BS97" s="382">
        <f t="shared" si="81"/>
        <v>0</v>
      </c>
      <c r="BT97" s="382">
        <f t="shared" si="82"/>
        <v>0</v>
      </c>
      <c r="BU97" s="382">
        <f t="shared" si="82"/>
        <v>0</v>
      </c>
      <c r="BV97" s="382">
        <f t="shared" si="82"/>
        <v>0</v>
      </c>
      <c r="BW97" s="382">
        <f t="shared" si="82"/>
        <v>0</v>
      </c>
      <c r="BX97" s="382">
        <f t="shared" si="82"/>
        <v>0</v>
      </c>
      <c r="BY97" s="382">
        <f t="shared" si="82"/>
        <v>0</v>
      </c>
      <c r="BZ97" s="382">
        <f t="shared" si="82"/>
        <v>0</v>
      </c>
      <c r="CA97" s="382">
        <f t="shared" si="82"/>
        <v>0</v>
      </c>
    </row>
    <row r="98" spans="3:79" ht="21" hidden="1" customHeight="1" outlineLevel="2">
      <c r="C98" s="370"/>
      <c r="D98" s="374">
        <f t="shared" si="76"/>
        <v>45565</v>
      </c>
      <c r="E98" s="408" cm="1">
        <f t="array" ref="E98">INDEX($AF$18:$CA$18,0,MATCH($D98,$AF$8:$CA$8,0))</f>
        <v>0</v>
      </c>
      <c r="G98" s="359"/>
      <c r="H98" s="410">
        <f t="shared" ref="H98:K117" si="83">SUMIFS($AF98:$CA98,$AF$4:$CA$4,"&gt;="&amp;H$4,$AF$5:$CA$5,"&lt;="&amp;H$5)</f>
        <v>0</v>
      </c>
      <c r="I98" s="410">
        <f t="shared" si="83"/>
        <v>0</v>
      </c>
      <c r="J98" s="410">
        <f t="shared" si="83"/>
        <v>0</v>
      </c>
      <c r="K98" s="410">
        <f t="shared" si="83"/>
        <v>0</v>
      </c>
      <c r="L98" s="410"/>
      <c r="M98" s="410"/>
      <c r="N98" s="410">
        <f t="shared" ref="N98:AC107" si="84">SUMIFS($AF98:$CA98,$AF$4:$CA$4,"&gt;="&amp;N$4,$AF$5:$CA$5,"&lt;="&amp;N$5)</f>
        <v>0</v>
      </c>
      <c r="O98" s="410">
        <f t="shared" si="84"/>
        <v>0</v>
      </c>
      <c r="P98" s="410">
        <f t="shared" si="84"/>
        <v>0</v>
      </c>
      <c r="Q98" s="410">
        <f t="shared" si="84"/>
        <v>0</v>
      </c>
      <c r="R98" s="410">
        <f t="shared" si="84"/>
        <v>0</v>
      </c>
      <c r="S98" s="410">
        <f t="shared" si="84"/>
        <v>0</v>
      </c>
      <c r="T98" s="410">
        <f t="shared" si="84"/>
        <v>0</v>
      </c>
      <c r="U98" s="410">
        <f t="shared" si="84"/>
        <v>0</v>
      </c>
      <c r="V98" s="410">
        <f t="shared" si="84"/>
        <v>0</v>
      </c>
      <c r="W98" s="410">
        <f t="shared" si="84"/>
        <v>0</v>
      </c>
      <c r="X98" s="410">
        <f t="shared" si="84"/>
        <v>0</v>
      </c>
      <c r="Y98" s="410">
        <f t="shared" si="84"/>
        <v>0</v>
      </c>
      <c r="Z98" s="410">
        <f t="shared" si="84"/>
        <v>0</v>
      </c>
      <c r="AA98" s="410">
        <f t="shared" si="84"/>
        <v>0</v>
      </c>
      <c r="AB98" s="410">
        <f t="shared" si="84"/>
        <v>0</v>
      </c>
      <c r="AC98" s="410">
        <f t="shared" si="84"/>
        <v>0</v>
      </c>
      <c r="AE98" s="359"/>
      <c r="AF98" s="382">
        <f t="shared" ref="AF98:AO107" si="85">IF(AND(AF$8&gt;=$D98,(MATCH(AF$8,$AF$8:$CA$8,0)-MATCH($D98,$AF$8:$CA$8,0))&lt;12),$E98/12,0)</f>
        <v>0</v>
      </c>
      <c r="AG98" s="382">
        <f t="shared" si="85"/>
        <v>0</v>
      </c>
      <c r="AH98" s="382">
        <f t="shared" si="85"/>
        <v>0</v>
      </c>
      <c r="AI98" s="382">
        <f t="shared" si="85"/>
        <v>0</v>
      </c>
      <c r="AJ98" s="382">
        <f t="shared" si="85"/>
        <v>0</v>
      </c>
      <c r="AK98" s="382">
        <f t="shared" si="85"/>
        <v>0</v>
      </c>
      <c r="AL98" s="382">
        <f t="shared" si="85"/>
        <v>0</v>
      </c>
      <c r="AM98" s="382">
        <f t="shared" si="85"/>
        <v>0</v>
      </c>
      <c r="AN98" s="382">
        <f t="shared" si="85"/>
        <v>0</v>
      </c>
      <c r="AO98" s="382">
        <f t="shared" si="85"/>
        <v>0</v>
      </c>
      <c r="AP98" s="382">
        <f t="shared" ref="AP98:AY107" si="86">IF(AND(AP$8&gt;=$D98,(MATCH(AP$8,$AF$8:$CA$8,0)-MATCH($D98,$AF$8:$CA$8,0))&lt;12),$E98/12,0)</f>
        <v>0</v>
      </c>
      <c r="AQ98" s="382">
        <f t="shared" si="86"/>
        <v>0</v>
      </c>
      <c r="AR98" s="382">
        <f t="shared" si="86"/>
        <v>0</v>
      </c>
      <c r="AS98" s="382">
        <f t="shared" si="86"/>
        <v>0</v>
      </c>
      <c r="AT98" s="382">
        <f t="shared" si="86"/>
        <v>0</v>
      </c>
      <c r="AU98" s="382">
        <f t="shared" si="86"/>
        <v>0</v>
      </c>
      <c r="AV98" s="382">
        <f t="shared" si="86"/>
        <v>0</v>
      </c>
      <c r="AW98" s="382">
        <f t="shared" si="86"/>
        <v>0</v>
      </c>
      <c r="AX98" s="382">
        <f t="shared" si="86"/>
        <v>0</v>
      </c>
      <c r="AY98" s="382">
        <f t="shared" si="86"/>
        <v>0</v>
      </c>
      <c r="AZ98" s="382">
        <f t="shared" ref="AZ98:BI107" si="87">IF(AND(AZ$8&gt;=$D98,(MATCH(AZ$8,$AF$8:$CA$8,0)-MATCH($D98,$AF$8:$CA$8,0))&lt;12),$E98/12,0)</f>
        <v>0</v>
      </c>
      <c r="BA98" s="382">
        <f t="shared" si="87"/>
        <v>0</v>
      </c>
      <c r="BB98" s="382">
        <f t="shared" si="87"/>
        <v>0</v>
      </c>
      <c r="BC98" s="382">
        <f t="shared" si="87"/>
        <v>0</v>
      </c>
      <c r="BD98" s="382">
        <f t="shared" si="87"/>
        <v>0</v>
      </c>
      <c r="BE98" s="382">
        <f t="shared" si="87"/>
        <v>0</v>
      </c>
      <c r="BF98" s="382">
        <f t="shared" si="87"/>
        <v>0</v>
      </c>
      <c r="BG98" s="382">
        <f t="shared" si="87"/>
        <v>0</v>
      </c>
      <c r="BH98" s="382">
        <f t="shared" si="87"/>
        <v>0</v>
      </c>
      <c r="BI98" s="382">
        <f t="shared" si="87"/>
        <v>0</v>
      </c>
      <c r="BJ98" s="382">
        <f t="shared" ref="BJ98:BS107" si="88">IF(AND(BJ$8&gt;=$D98,(MATCH(BJ$8,$AF$8:$CA$8,0)-MATCH($D98,$AF$8:$CA$8,0))&lt;12),$E98/12,0)</f>
        <v>0</v>
      </c>
      <c r="BK98" s="382">
        <f t="shared" si="88"/>
        <v>0</v>
      </c>
      <c r="BL98" s="382">
        <f t="shared" si="88"/>
        <v>0</v>
      </c>
      <c r="BM98" s="382">
        <f t="shared" si="88"/>
        <v>0</v>
      </c>
      <c r="BN98" s="382">
        <f t="shared" si="88"/>
        <v>0</v>
      </c>
      <c r="BO98" s="382">
        <f t="shared" si="88"/>
        <v>0</v>
      </c>
      <c r="BP98" s="382">
        <f t="shared" si="88"/>
        <v>0</v>
      </c>
      <c r="BQ98" s="382">
        <f t="shared" si="88"/>
        <v>0</v>
      </c>
      <c r="BR98" s="382">
        <f t="shared" si="88"/>
        <v>0</v>
      </c>
      <c r="BS98" s="382">
        <f t="shared" si="88"/>
        <v>0</v>
      </c>
      <c r="BT98" s="382">
        <f t="shared" ref="BT98:CA107" si="89">IF(AND(BT$8&gt;=$D98,(MATCH(BT$8,$AF$8:$CA$8,0)-MATCH($D98,$AF$8:$CA$8,0))&lt;12),$E98/12,0)</f>
        <v>0</v>
      </c>
      <c r="BU98" s="382">
        <f t="shared" si="89"/>
        <v>0</v>
      </c>
      <c r="BV98" s="382">
        <f t="shared" si="89"/>
        <v>0</v>
      </c>
      <c r="BW98" s="382">
        <f t="shared" si="89"/>
        <v>0</v>
      </c>
      <c r="BX98" s="382">
        <f t="shared" si="89"/>
        <v>0</v>
      </c>
      <c r="BY98" s="382">
        <f t="shared" si="89"/>
        <v>0</v>
      </c>
      <c r="BZ98" s="382">
        <f t="shared" si="89"/>
        <v>0</v>
      </c>
      <c r="CA98" s="382">
        <f t="shared" si="89"/>
        <v>0</v>
      </c>
    </row>
    <row r="99" spans="3:79" ht="21" hidden="1" customHeight="1" outlineLevel="2">
      <c r="C99" s="370"/>
      <c r="D99" s="374">
        <f t="shared" si="76"/>
        <v>45596</v>
      </c>
      <c r="E99" s="408" cm="1">
        <f t="array" ref="E99">INDEX($AF$18:$CA$18,0,MATCH($D99,$AF$8:$CA$8,0))</f>
        <v>0</v>
      </c>
      <c r="G99" s="359"/>
      <c r="H99" s="410">
        <f t="shared" si="83"/>
        <v>0</v>
      </c>
      <c r="I99" s="410">
        <f t="shared" si="83"/>
        <v>0</v>
      </c>
      <c r="J99" s="410">
        <f t="shared" si="83"/>
        <v>0</v>
      </c>
      <c r="K99" s="410">
        <f t="shared" si="83"/>
        <v>0</v>
      </c>
      <c r="L99" s="410"/>
      <c r="M99" s="410"/>
      <c r="N99" s="410">
        <f t="shared" si="84"/>
        <v>0</v>
      </c>
      <c r="O99" s="410">
        <f t="shared" si="84"/>
        <v>0</v>
      </c>
      <c r="P99" s="410">
        <f t="shared" si="84"/>
        <v>0</v>
      </c>
      <c r="Q99" s="410">
        <f t="shared" si="84"/>
        <v>0</v>
      </c>
      <c r="R99" s="410">
        <f t="shared" si="84"/>
        <v>0</v>
      </c>
      <c r="S99" s="410">
        <f t="shared" si="84"/>
        <v>0</v>
      </c>
      <c r="T99" s="410">
        <f t="shared" si="84"/>
        <v>0</v>
      </c>
      <c r="U99" s="410">
        <f t="shared" si="84"/>
        <v>0</v>
      </c>
      <c r="V99" s="410">
        <f t="shared" si="84"/>
        <v>0</v>
      </c>
      <c r="W99" s="410">
        <f t="shared" si="84"/>
        <v>0</v>
      </c>
      <c r="X99" s="410">
        <f t="shared" si="84"/>
        <v>0</v>
      </c>
      <c r="Y99" s="410">
        <f t="shared" si="84"/>
        <v>0</v>
      </c>
      <c r="Z99" s="410">
        <f t="shared" si="84"/>
        <v>0</v>
      </c>
      <c r="AA99" s="410">
        <f t="shared" si="84"/>
        <v>0</v>
      </c>
      <c r="AB99" s="410">
        <f t="shared" si="84"/>
        <v>0</v>
      </c>
      <c r="AC99" s="410">
        <f t="shared" si="84"/>
        <v>0</v>
      </c>
      <c r="AE99" s="359"/>
      <c r="AF99" s="382">
        <f t="shared" si="85"/>
        <v>0</v>
      </c>
      <c r="AG99" s="382">
        <f t="shared" si="85"/>
        <v>0</v>
      </c>
      <c r="AH99" s="382">
        <f t="shared" si="85"/>
        <v>0</v>
      </c>
      <c r="AI99" s="382">
        <f t="shared" si="85"/>
        <v>0</v>
      </c>
      <c r="AJ99" s="382">
        <f t="shared" si="85"/>
        <v>0</v>
      </c>
      <c r="AK99" s="382">
        <f t="shared" si="85"/>
        <v>0</v>
      </c>
      <c r="AL99" s="382">
        <f t="shared" si="85"/>
        <v>0</v>
      </c>
      <c r="AM99" s="382">
        <f t="shared" si="85"/>
        <v>0</v>
      </c>
      <c r="AN99" s="382">
        <f t="shared" si="85"/>
        <v>0</v>
      </c>
      <c r="AO99" s="382">
        <f t="shared" si="85"/>
        <v>0</v>
      </c>
      <c r="AP99" s="382">
        <f t="shared" si="86"/>
        <v>0</v>
      </c>
      <c r="AQ99" s="382">
        <f t="shared" si="86"/>
        <v>0</v>
      </c>
      <c r="AR99" s="382">
        <f t="shared" si="86"/>
        <v>0</v>
      </c>
      <c r="AS99" s="382">
        <f t="shared" si="86"/>
        <v>0</v>
      </c>
      <c r="AT99" s="382">
        <f t="shared" si="86"/>
        <v>0</v>
      </c>
      <c r="AU99" s="382">
        <f t="shared" si="86"/>
        <v>0</v>
      </c>
      <c r="AV99" s="382">
        <f t="shared" si="86"/>
        <v>0</v>
      </c>
      <c r="AW99" s="382">
        <f t="shared" si="86"/>
        <v>0</v>
      </c>
      <c r="AX99" s="382">
        <f t="shared" si="86"/>
        <v>0</v>
      </c>
      <c r="AY99" s="382">
        <f t="shared" si="86"/>
        <v>0</v>
      </c>
      <c r="AZ99" s="382">
        <f t="shared" si="87"/>
        <v>0</v>
      </c>
      <c r="BA99" s="382">
        <f t="shared" si="87"/>
        <v>0</v>
      </c>
      <c r="BB99" s="382">
        <f t="shared" si="87"/>
        <v>0</v>
      </c>
      <c r="BC99" s="382">
        <f t="shared" si="87"/>
        <v>0</v>
      </c>
      <c r="BD99" s="382">
        <f t="shared" si="87"/>
        <v>0</v>
      </c>
      <c r="BE99" s="382">
        <f t="shared" si="87"/>
        <v>0</v>
      </c>
      <c r="BF99" s="382">
        <f t="shared" si="87"/>
        <v>0</v>
      </c>
      <c r="BG99" s="382">
        <f t="shared" si="87"/>
        <v>0</v>
      </c>
      <c r="BH99" s="382">
        <f t="shared" si="87"/>
        <v>0</v>
      </c>
      <c r="BI99" s="382">
        <f t="shared" si="87"/>
        <v>0</v>
      </c>
      <c r="BJ99" s="382">
        <f t="shared" si="88"/>
        <v>0</v>
      </c>
      <c r="BK99" s="382">
        <f t="shared" si="88"/>
        <v>0</v>
      </c>
      <c r="BL99" s="382">
        <f t="shared" si="88"/>
        <v>0</v>
      </c>
      <c r="BM99" s="382">
        <f t="shared" si="88"/>
        <v>0</v>
      </c>
      <c r="BN99" s="382">
        <f t="shared" si="88"/>
        <v>0</v>
      </c>
      <c r="BO99" s="382">
        <f t="shared" si="88"/>
        <v>0</v>
      </c>
      <c r="BP99" s="382">
        <f t="shared" si="88"/>
        <v>0</v>
      </c>
      <c r="BQ99" s="382">
        <f t="shared" si="88"/>
        <v>0</v>
      </c>
      <c r="BR99" s="382">
        <f t="shared" si="88"/>
        <v>0</v>
      </c>
      <c r="BS99" s="382">
        <f t="shared" si="88"/>
        <v>0</v>
      </c>
      <c r="BT99" s="382">
        <f t="shared" si="89"/>
        <v>0</v>
      </c>
      <c r="BU99" s="382">
        <f t="shared" si="89"/>
        <v>0</v>
      </c>
      <c r="BV99" s="382">
        <f t="shared" si="89"/>
        <v>0</v>
      </c>
      <c r="BW99" s="382">
        <f t="shared" si="89"/>
        <v>0</v>
      </c>
      <c r="BX99" s="382">
        <f t="shared" si="89"/>
        <v>0</v>
      </c>
      <c r="BY99" s="382">
        <f t="shared" si="89"/>
        <v>0</v>
      </c>
      <c r="BZ99" s="382">
        <f t="shared" si="89"/>
        <v>0</v>
      </c>
      <c r="CA99" s="382">
        <f t="shared" si="89"/>
        <v>0</v>
      </c>
    </row>
    <row r="100" spans="3:79" ht="21" hidden="1" customHeight="1" outlineLevel="2">
      <c r="C100" s="370"/>
      <c r="D100" s="374">
        <f t="shared" si="76"/>
        <v>45626</v>
      </c>
      <c r="E100" s="408" cm="1">
        <f t="array" ref="E100">INDEX($AF$18:$CA$18,0,MATCH($D100,$AF$8:$CA$8,0))</f>
        <v>0</v>
      </c>
      <c r="G100" s="359"/>
      <c r="H100" s="410">
        <f t="shared" si="83"/>
        <v>0</v>
      </c>
      <c r="I100" s="410">
        <f t="shared" si="83"/>
        <v>0</v>
      </c>
      <c r="J100" s="410">
        <f t="shared" si="83"/>
        <v>0</v>
      </c>
      <c r="K100" s="410">
        <f t="shared" si="83"/>
        <v>0</v>
      </c>
      <c r="L100" s="410"/>
      <c r="M100" s="410"/>
      <c r="N100" s="410">
        <f t="shared" si="84"/>
        <v>0</v>
      </c>
      <c r="O100" s="410">
        <f t="shared" si="84"/>
        <v>0</v>
      </c>
      <c r="P100" s="410">
        <f t="shared" si="84"/>
        <v>0</v>
      </c>
      <c r="Q100" s="410">
        <f t="shared" si="84"/>
        <v>0</v>
      </c>
      <c r="R100" s="410">
        <f t="shared" si="84"/>
        <v>0</v>
      </c>
      <c r="S100" s="410">
        <f t="shared" si="84"/>
        <v>0</v>
      </c>
      <c r="T100" s="410">
        <f t="shared" si="84"/>
        <v>0</v>
      </c>
      <c r="U100" s="410">
        <f t="shared" si="84"/>
        <v>0</v>
      </c>
      <c r="V100" s="410">
        <f t="shared" si="84"/>
        <v>0</v>
      </c>
      <c r="W100" s="410">
        <f t="shared" si="84"/>
        <v>0</v>
      </c>
      <c r="X100" s="410">
        <f t="shared" si="84"/>
        <v>0</v>
      </c>
      <c r="Y100" s="410">
        <f t="shared" si="84"/>
        <v>0</v>
      </c>
      <c r="Z100" s="410">
        <f t="shared" si="84"/>
        <v>0</v>
      </c>
      <c r="AA100" s="410">
        <f t="shared" si="84"/>
        <v>0</v>
      </c>
      <c r="AB100" s="410">
        <f t="shared" si="84"/>
        <v>0</v>
      </c>
      <c r="AC100" s="410">
        <f t="shared" si="84"/>
        <v>0</v>
      </c>
      <c r="AE100" s="359"/>
      <c r="AF100" s="382">
        <f t="shared" si="85"/>
        <v>0</v>
      </c>
      <c r="AG100" s="382">
        <f t="shared" si="85"/>
        <v>0</v>
      </c>
      <c r="AH100" s="382">
        <f t="shared" si="85"/>
        <v>0</v>
      </c>
      <c r="AI100" s="382">
        <f t="shared" si="85"/>
        <v>0</v>
      </c>
      <c r="AJ100" s="382">
        <f t="shared" si="85"/>
        <v>0</v>
      </c>
      <c r="AK100" s="382">
        <f t="shared" si="85"/>
        <v>0</v>
      </c>
      <c r="AL100" s="382">
        <f t="shared" si="85"/>
        <v>0</v>
      </c>
      <c r="AM100" s="382">
        <f t="shared" si="85"/>
        <v>0</v>
      </c>
      <c r="AN100" s="382">
        <f t="shared" si="85"/>
        <v>0</v>
      </c>
      <c r="AO100" s="382">
        <f t="shared" si="85"/>
        <v>0</v>
      </c>
      <c r="AP100" s="382">
        <f t="shared" si="86"/>
        <v>0</v>
      </c>
      <c r="AQ100" s="382">
        <f t="shared" si="86"/>
        <v>0</v>
      </c>
      <c r="AR100" s="382">
        <f t="shared" si="86"/>
        <v>0</v>
      </c>
      <c r="AS100" s="382">
        <f t="shared" si="86"/>
        <v>0</v>
      </c>
      <c r="AT100" s="382">
        <f t="shared" si="86"/>
        <v>0</v>
      </c>
      <c r="AU100" s="382">
        <f t="shared" si="86"/>
        <v>0</v>
      </c>
      <c r="AV100" s="382">
        <f t="shared" si="86"/>
        <v>0</v>
      </c>
      <c r="AW100" s="382">
        <f t="shared" si="86"/>
        <v>0</v>
      </c>
      <c r="AX100" s="382">
        <f t="shared" si="86"/>
        <v>0</v>
      </c>
      <c r="AY100" s="382">
        <f t="shared" si="86"/>
        <v>0</v>
      </c>
      <c r="AZ100" s="382">
        <f t="shared" si="87"/>
        <v>0</v>
      </c>
      <c r="BA100" s="382">
        <f t="shared" si="87"/>
        <v>0</v>
      </c>
      <c r="BB100" s="382">
        <f t="shared" si="87"/>
        <v>0</v>
      </c>
      <c r="BC100" s="382">
        <f t="shared" si="87"/>
        <v>0</v>
      </c>
      <c r="BD100" s="382">
        <f t="shared" si="87"/>
        <v>0</v>
      </c>
      <c r="BE100" s="382">
        <f t="shared" si="87"/>
        <v>0</v>
      </c>
      <c r="BF100" s="382">
        <f t="shared" si="87"/>
        <v>0</v>
      </c>
      <c r="BG100" s="382">
        <f t="shared" si="87"/>
        <v>0</v>
      </c>
      <c r="BH100" s="382">
        <f t="shared" si="87"/>
        <v>0</v>
      </c>
      <c r="BI100" s="382">
        <f t="shared" si="87"/>
        <v>0</v>
      </c>
      <c r="BJ100" s="382">
        <f t="shared" si="88"/>
        <v>0</v>
      </c>
      <c r="BK100" s="382">
        <f t="shared" si="88"/>
        <v>0</v>
      </c>
      <c r="BL100" s="382">
        <f t="shared" si="88"/>
        <v>0</v>
      </c>
      <c r="BM100" s="382">
        <f t="shared" si="88"/>
        <v>0</v>
      </c>
      <c r="BN100" s="382">
        <f t="shared" si="88"/>
        <v>0</v>
      </c>
      <c r="BO100" s="382">
        <f t="shared" si="88"/>
        <v>0</v>
      </c>
      <c r="BP100" s="382">
        <f t="shared" si="88"/>
        <v>0</v>
      </c>
      <c r="BQ100" s="382">
        <f t="shared" si="88"/>
        <v>0</v>
      </c>
      <c r="BR100" s="382">
        <f t="shared" si="88"/>
        <v>0</v>
      </c>
      <c r="BS100" s="382">
        <f t="shared" si="88"/>
        <v>0</v>
      </c>
      <c r="BT100" s="382">
        <f t="shared" si="89"/>
        <v>0</v>
      </c>
      <c r="BU100" s="382">
        <f t="shared" si="89"/>
        <v>0</v>
      </c>
      <c r="BV100" s="382">
        <f t="shared" si="89"/>
        <v>0</v>
      </c>
      <c r="BW100" s="382">
        <f t="shared" si="89"/>
        <v>0</v>
      </c>
      <c r="BX100" s="382">
        <f t="shared" si="89"/>
        <v>0</v>
      </c>
      <c r="BY100" s="382">
        <f t="shared" si="89"/>
        <v>0</v>
      </c>
      <c r="BZ100" s="382">
        <f t="shared" si="89"/>
        <v>0</v>
      </c>
      <c r="CA100" s="382">
        <f t="shared" si="89"/>
        <v>0</v>
      </c>
    </row>
    <row r="101" spans="3:79" ht="21" hidden="1" customHeight="1" outlineLevel="2">
      <c r="C101" s="370"/>
      <c r="D101" s="374">
        <f t="shared" si="76"/>
        <v>45657</v>
      </c>
      <c r="E101" s="408" cm="1">
        <f t="array" ref="E101">INDEX($AF$18:$CA$18,0,MATCH($D101,$AF$8:$CA$8,0))</f>
        <v>16050</v>
      </c>
      <c r="G101" s="359"/>
      <c r="H101" s="410">
        <f t="shared" si="83"/>
        <v>0</v>
      </c>
      <c r="I101" s="410">
        <f t="shared" si="83"/>
        <v>1337.5</v>
      </c>
      <c r="J101" s="410">
        <f t="shared" si="83"/>
        <v>14712.5</v>
      </c>
      <c r="K101" s="410">
        <f t="shared" si="83"/>
        <v>0</v>
      </c>
      <c r="L101" s="410"/>
      <c r="M101" s="410"/>
      <c r="N101" s="410">
        <f t="shared" si="84"/>
        <v>0</v>
      </c>
      <c r="O101" s="410">
        <f t="shared" si="84"/>
        <v>0</v>
      </c>
      <c r="P101" s="410">
        <f t="shared" si="84"/>
        <v>0</v>
      </c>
      <c r="Q101" s="410">
        <f t="shared" si="84"/>
        <v>0</v>
      </c>
      <c r="R101" s="410">
        <f t="shared" si="84"/>
        <v>0</v>
      </c>
      <c r="S101" s="410">
        <f t="shared" si="84"/>
        <v>0</v>
      </c>
      <c r="T101" s="410">
        <f t="shared" si="84"/>
        <v>0</v>
      </c>
      <c r="U101" s="410">
        <f t="shared" si="84"/>
        <v>1337.5</v>
      </c>
      <c r="V101" s="410">
        <f t="shared" si="84"/>
        <v>4012.5</v>
      </c>
      <c r="W101" s="410">
        <f t="shared" si="84"/>
        <v>4012.5</v>
      </c>
      <c r="X101" s="410">
        <f t="shared" si="84"/>
        <v>4012.5</v>
      </c>
      <c r="Y101" s="410">
        <f t="shared" si="84"/>
        <v>2675</v>
      </c>
      <c r="Z101" s="410">
        <f t="shared" si="84"/>
        <v>0</v>
      </c>
      <c r="AA101" s="410">
        <f t="shared" si="84"/>
        <v>0</v>
      </c>
      <c r="AB101" s="410">
        <f t="shared" si="84"/>
        <v>0</v>
      </c>
      <c r="AC101" s="410">
        <f t="shared" si="84"/>
        <v>0</v>
      </c>
      <c r="AE101" s="359"/>
      <c r="AF101" s="382">
        <f t="shared" si="85"/>
        <v>0</v>
      </c>
      <c r="AG101" s="382">
        <f t="shared" si="85"/>
        <v>0</v>
      </c>
      <c r="AH101" s="382">
        <f t="shared" si="85"/>
        <v>0</v>
      </c>
      <c r="AI101" s="382">
        <f t="shared" si="85"/>
        <v>0</v>
      </c>
      <c r="AJ101" s="382">
        <f t="shared" si="85"/>
        <v>0</v>
      </c>
      <c r="AK101" s="382">
        <f t="shared" si="85"/>
        <v>0</v>
      </c>
      <c r="AL101" s="382">
        <f t="shared" si="85"/>
        <v>0</v>
      </c>
      <c r="AM101" s="382">
        <f t="shared" si="85"/>
        <v>0</v>
      </c>
      <c r="AN101" s="382">
        <f t="shared" si="85"/>
        <v>0</v>
      </c>
      <c r="AO101" s="382">
        <f t="shared" si="85"/>
        <v>0</v>
      </c>
      <c r="AP101" s="382">
        <f t="shared" si="86"/>
        <v>0</v>
      </c>
      <c r="AQ101" s="382">
        <f t="shared" si="86"/>
        <v>0</v>
      </c>
      <c r="AR101" s="382">
        <f t="shared" si="86"/>
        <v>0</v>
      </c>
      <c r="AS101" s="382">
        <f t="shared" si="86"/>
        <v>0</v>
      </c>
      <c r="AT101" s="382">
        <f t="shared" si="86"/>
        <v>0</v>
      </c>
      <c r="AU101" s="382">
        <f t="shared" si="86"/>
        <v>0</v>
      </c>
      <c r="AV101" s="382">
        <f t="shared" si="86"/>
        <v>0</v>
      </c>
      <c r="AW101" s="382">
        <f t="shared" si="86"/>
        <v>0</v>
      </c>
      <c r="AX101" s="382">
        <f t="shared" si="86"/>
        <v>0</v>
      </c>
      <c r="AY101" s="382">
        <f t="shared" si="86"/>
        <v>0</v>
      </c>
      <c r="AZ101" s="382">
        <f t="shared" si="87"/>
        <v>0</v>
      </c>
      <c r="BA101" s="382">
        <f t="shared" si="87"/>
        <v>0</v>
      </c>
      <c r="BB101" s="382">
        <f t="shared" si="87"/>
        <v>0</v>
      </c>
      <c r="BC101" s="382">
        <f t="shared" si="87"/>
        <v>1337.5</v>
      </c>
      <c r="BD101" s="382">
        <f t="shared" si="87"/>
        <v>1337.5</v>
      </c>
      <c r="BE101" s="382">
        <f t="shared" si="87"/>
        <v>1337.5</v>
      </c>
      <c r="BF101" s="382">
        <f t="shared" si="87"/>
        <v>1337.5</v>
      </c>
      <c r="BG101" s="382">
        <f t="shared" si="87"/>
        <v>1337.5</v>
      </c>
      <c r="BH101" s="382">
        <f t="shared" si="87"/>
        <v>1337.5</v>
      </c>
      <c r="BI101" s="382">
        <f t="shared" si="87"/>
        <v>1337.5</v>
      </c>
      <c r="BJ101" s="382">
        <f t="shared" si="88"/>
        <v>1337.5</v>
      </c>
      <c r="BK101" s="382">
        <f t="shared" si="88"/>
        <v>1337.5</v>
      </c>
      <c r="BL101" s="382">
        <f t="shared" si="88"/>
        <v>1337.5</v>
      </c>
      <c r="BM101" s="382">
        <f t="shared" si="88"/>
        <v>1337.5</v>
      </c>
      <c r="BN101" s="382">
        <f t="shared" si="88"/>
        <v>1337.5</v>
      </c>
      <c r="BO101" s="382">
        <f t="shared" si="88"/>
        <v>0</v>
      </c>
      <c r="BP101" s="382">
        <f t="shared" si="88"/>
        <v>0</v>
      </c>
      <c r="BQ101" s="382">
        <f t="shared" si="88"/>
        <v>0</v>
      </c>
      <c r="BR101" s="382">
        <f t="shared" si="88"/>
        <v>0</v>
      </c>
      <c r="BS101" s="382">
        <f t="shared" si="88"/>
        <v>0</v>
      </c>
      <c r="BT101" s="382">
        <f t="shared" si="89"/>
        <v>0</v>
      </c>
      <c r="BU101" s="382">
        <f t="shared" si="89"/>
        <v>0</v>
      </c>
      <c r="BV101" s="382">
        <f t="shared" si="89"/>
        <v>0</v>
      </c>
      <c r="BW101" s="382">
        <f t="shared" si="89"/>
        <v>0</v>
      </c>
      <c r="BX101" s="382">
        <f t="shared" si="89"/>
        <v>0</v>
      </c>
      <c r="BY101" s="382">
        <f t="shared" si="89"/>
        <v>0</v>
      </c>
      <c r="BZ101" s="382">
        <f t="shared" si="89"/>
        <v>0</v>
      </c>
      <c r="CA101" s="382">
        <f t="shared" si="89"/>
        <v>0</v>
      </c>
    </row>
    <row r="102" spans="3:79" ht="21" hidden="1" customHeight="1" outlineLevel="2">
      <c r="C102" s="370"/>
      <c r="D102" s="374">
        <f t="shared" si="76"/>
        <v>45688</v>
      </c>
      <c r="E102" s="408" cm="1">
        <f t="array" ref="E102">INDEX($AF$18:$CA$18,0,MATCH($D102,$AF$8:$CA$8,0))</f>
        <v>20850</v>
      </c>
      <c r="G102" s="359"/>
      <c r="H102" s="410">
        <f t="shared" si="83"/>
        <v>0</v>
      </c>
      <c r="I102" s="410">
        <f t="shared" si="83"/>
        <v>0</v>
      </c>
      <c r="J102" s="410">
        <f t="shared" si="83"/>
        <v>20850</v>
      </c>
      <c r="K102" s="410">
        <f t="shared" si="83"/>
        <v>0</v>
      </c>
      <c r="L102" s="410"/>
      <c r="M102" s="410"/>
      <c r="N102" s="410">
        <f t="shared" si="84"/>
        <v>0</v>
      </c>
      <c r="O102" s="410">
        <f t="shared" si="84"/>
        <v>0</v>
      </c>
      <c r="P102" s="410">
        <f t="shared" si="84"/>
        <v>0</v>
      </c>
      <c r="Q102" s="410">
        <f t="shared" si="84"/>
        <v>0</v>
      </c>
      <c r="R102" s="410">
        <f t="shared" si="84"/>
        <v>0</v>
      </c>
      <c r="S102" s="410">
        <f t="shared" si="84"/>
        <v>0</v>
      </c>
      <c r="T102" s="410">
        <f t="shared" si="84"/>
        <v>0</v>
      </c>
      <c r="U102" s="410">
        <f t="shared" si="84"/>
        <v>0</v>
      </c>
      <c r="V102" s="410">
        <f t="shared" si="84"/>
        <v>5212.5</v>
      </c>
      <c r="W102" s="410">
        <f t="shared" si="84"/>
        <v>5212.5</v>
      </c>
      <c r="X102" s="410">
        <f t="shared" si="84"/>
        <v>5212.5</v>
      </c>
      <c r="Y102" s="410">
        <f t="shared" si="84"/>
        <v>5212.5</v>
      </c>
      <c r="Z102" s="410">
        <f t="shared" si="84"/>
        <v>0</v>
      </c>
      <c r="AA102" s="410">
        <f t="shared" si="84"/>
        <v>0</v>
      </c>
      <c r="AB102" s="410">
        <f t="shared" si="84"/>
        <v>0</v>
      </c>
      <c r="AC102" s="410">
        <f t="shared" si="84"/>
        <v>0</v>
      </c>
      <c r="AE102" s="359"/>
      <c r="AF102" s="382">
        <f t="shared" si="85"/>
        <v>0</v>
      </c>
      <c r="AG102" s="382">
        <f t="shared" si="85"/>
        <v>0</v>
      </c>
      <c r="AH102" s="382">
        <f t="shared" si="85"/>
        <v>0</v>
      </c>
      <c r="AI102" s="382">
        <f t="shared" si="85"/>
        <v>0</v>
      </c>
      <c r="AJ102" s="382">
        <f t="shared" si="85"/>
        <v>0</v>
      </c>
      <c r="AK102" s="382">
        <f t="shared" si="85"/>
        <v>0</v>
      </c>
      <c r="AL102" s="382">
        <f t="shared" si="85"/>
        <v>0</v>
      </c>
      <c r="AM102" s="382">
        <f t="shared" si="85"/>
        <v>0</v>
      </c>
      <c r="AN102" s="382">
        <f t="shared" si="85"/>
        <v>0</v>
      </c>
      <c r="AO102" s="382">
        <f t="shared" si="85"/>
        <v>0</v>
      </c>
      <c r="AP102" s="382">
        <f t="shared" si="86"/>
        <v>0</v>
      </c>
      <c r="AQ102" s="382">
        <f t="shared" si="86"/>
        <v>0</v>
      </c>
      <c r="AR102" s="382">
        <f t="shared" si="86"/>
        <v>0</v>
      </c>
      <c r="AS102" s="382">
        <f t="shared" si="86"/>
        <v>0</v>
      </c>
      <c r="AT102" s="382">
        <f t="shared" si="86"/>
        <v>0</v>
      </c>
      <c r="AU102" s="382">
        <f t="shared" si="86"/>
        <v>0</v>
      </c>
      <c r="AV102" s="382">
        <f t="shared" si="86"/>
        <v>0</v>
      </c>
      <c r="AW102" s="382">
        <f t="shared" si="86"/>
        <v>0</v>
      </c>
      <c r="AX102" s="382">
        <f t="shared" si="86"/>
        <v>0</v>
      </c>
      <c r="AY102" s="382">
        <f t="shared" si="86"/>
        <v>0</v>
      </c>
      <c r="AZ102" s="382">
        <f t="shared" si="87"/>
        <v>0</v>
      </c>
      <c r="BA102" s="382">
        <f t="shared" si="87"/>
        <v>0</v>
      </c>
      <c r="BB102" s="382">
        <f t="shared" si="87"/>
        <v>0</v>
      </c>
      <c r="BC102" s="382">
        <f t="shared" si="87"/>
        <v>0</v>
      </c>
      <c r="BD102" s="382">
        <f t="shared" si="87"/>
        <v>1737.5</v>
      </c>
      <c r="BE102" s="382">
        <f t="shared" si="87"/>
        <v>1737.5</v>
      </c>
      <c r="BF102" s="382">
        <f t="shared" si="87"/>
        <v>1737.5</v>
      </c>
      <c r="BG102" s="382">
        <f t="shared" si="87"/>
        <v>1737.5</v>
      </c>
      <c r="BH102" s="382">
        <f t="shared" si="87"/>
        <v>1737.5</v>
      </c>
      <c r="BI102" s="382">
        <f t="shared" si="87"/>
        <v>1737.5</v>
      </c>
      <c r="BJ102" s="382">
        <f t="shared" si="88"/>
        <v>1737.5</v>
      </c>
      <c r="BK102" s="382">
        <f t="shared" si="88"/>
        <v>1737.5</v>
      </c>
      <c r="BL102" s="382">
        <f t="shared" si="88"/>
        <v>1737.5</v>
      </c>
      <c r="BM102" s="382">
        <f t="shared" si="88"/>
        <v>1737.5</v>
      </c>
      <c r="BN102" s="382">
        <f t="shared" si="88"/>
        <v>1737.5</v>
      </c>
      <c r="BO102" s="382">
        <f t="shared" si="88"/>
        <v>1737.5</v>
      </c>
      <c r="BP102" s="382">
        <f t="shared" si="88"/>
        <v>0</v>
      </c>
      <c r="BQ102" s="382">
        <f t="shared" si="88"/>
        <v>0</v>
      </c>
      <c r="BR102" s="382">
        <f t="shared" si="88"/>
        <v>0</v>
      </c>
      <c r="BS102" s="382">
        <f t="shared" si="88"/>
        <v>0</v>
      </c>
      <c r="BT102" s="382">
        <f t="shared" si="89"/>
        <v>0</v>
      </c>
      <c r="BU102" s="382">
        <f t="shared" si="89"/>
        <v>0</v>
      </c>
      <c r="BV102" s="382">
        <f t="shared" si="89"/>
        <v>0</v>
      </c>
      <c r="BW102" s="382">
        <f t="shared" si="89"/>
        <v>0</v>
      </c>
      <c r="BX102" s="382">
        <f t="shared" si="89"/>
        <v>0</v>
      </c>
      <c r="BY102" s="382">
        <f t="shared" si="89"/>
        <v>0</v>
      </c>
      <c r="BZ102" s="382">
        <f t="shared" si="89"/>
        <v>0</v>
      </c>
      <c r="CA102" s="382">
        <f t="shared" si="89"/>
        <v>0</v>
      </c>
    </row>
    <row r="103" spans="3:79" ht="21" hidden="1" customHeight="1" outlineLevel="2">
      <c r="C103" s="370"/>
      <c r="D103" s="374">
        <f t="shared" si="76"/>
        <v>45716</v>
      </c>
      <c r="E103" s="408" cm="1">
        <f t="array" ref="E103">INDEX($AF$18:$CA$18,0,MATCH($D103,$AF$8:$CA$8,0))</f>
        <v>13550</v>
      </c>
      <c r="G103" s="359"/>
      <c r="H103" s="410">
        <f t="shared" si="83"/>
        <v>0</v>
      </c>
      <c r="I103" s="410">
        <f t="shared" si="83"/>
        <v>0</v>
      </c>
      <c r="J103" s="410">
        <f t="shared" si="83"/>
        <v>12420.833333333332</v>
      </c>
      <c r="K103" s="410">
        <f t="shared" si="83"/>
        <v>1129.1666666666667</v>
      </c>
      <c r="L103" s="410"/>
      <c r="M103" s="410"/>
      <c r="N103" s="410">
        <f t="shared" si="84"/>
        <v>0</v>
      </c>
      <c r="O103" s="410">
        <f t="shared" si="84"/>
        <v>0</v>
      </c>
      <c r="P103" s="410">
        <f t="shared" si="84"/>
        <v>0</v>
      </c>
      <c r="Q103" s="410">
        <f t="shared" si="84"/>
        <v>0</v>
      </c>
      <c r="R103" s="410">
        <f t="shared" si="84"/>
        <v>0</v>
      </c>
      <c r="S103" s="410">
        <f t="shared" si="84"/>
        <v>0</v>
      </c>
      <c r="T103" s="410">
        <f t="shared" si="84"/>
        <v>0</v>
      </c>
      <c r="U103" s="410">
        <f t="shared" si="84"/>
        <v>0</v>
      </c>
      <c r="V103" s="410">
        <f t="shared" si="84"/>
        <v>2258.3333333333335</v>
      </c>
      <c r="W103" s="410">
        <f t="shared" si="84"/>
        <v>3387.5</v>
      </c>
      <c r="X103" s="410">
        <f t="shared" si="84"/>
        <v>3387.5</v>
      </c>
      <c r="Y103" s="410">
        <f t="shared" si="84"/>
        <v>3387.5</v>
      </c>
      <c r="Z103" s="410">
        <f t="shared" si="84"/>
        <v>1129.1666666666667</v>
      </c>
      <c r="AA103" s="410">
        <f t="shared" si="84"/>
        <v>0</v>
      </c>
      <c r="AB103" s="410">
        <f t="shared" si="84"/>
        <v>0</v>
      </c>
      <c r="AC103" s="410">
        <f t="shared" si="84"/>
        <v>0</v>
      </c>
      <c r="AE103" s="359"/>
      <c r="AF103" s="382">
        <f t="shared" si="85"/>
        <v>0</v>
      </c>
      <c r="AG103" s="382">
        <f t="shared" si="85"/>
        <v>0</v>
      </c>
      <c r="AH103" s="382">
        <f t="shared" si="85"/>
        <v>0</v>
      </c>
      <c r="AI103" s="382">
        <f t="shared" si="85"/>
        <v>0</v>
      </c>
      <c r="AJ103" s="382">
        <f t="shared" si="85"/>
        <v>0</v>
      </c>
      <c r="AK103" s="382">
        <f t="shared" si="85"/>
        <v>0</v>
      </c>
      <c r="AL103" s="382">
        <f t="shared" si="85"/>
        <v>0</v>
      </c>
      <c r="AM103" s="382">
        <f t="shared" si="85"/>
        <v>0</v>
      </c>
      <c r="AN103" s="382">
        <f t="shared" si="85"/>
        <v>0</v>
      </c>
      <c r="AO103" s="382">
        <f t="shared" si="85"/>
        <v>0</v>
      </c>
      <c r="AP103" s="382">
        <f t="shared" si="86"/>
        <v>0</v>
      </c>
      <c r="AQ103" s="382">
        <f t="shared" si="86"/>
        <v>0</v>
      </c>
      <c r="AR103" s="382">
        <f t="shared" si="86"/>
        <v>0</v>
      </c>
      <c r="AS103" s="382">
        <f t="shared" si="86"/>
        <v>0</v>
      </c>
      <c r="AT103" s="382">
        <f t="shared" si="86"/>
        <v>0</v>
      </c>
      <c r="AU103" s="382">
        <f t="shared" si="86"/>
        <v>0</v>
      </c>
      <c r="AV103" s="382">
        <f t="shared" si="86"/>
        <v>0</v>
      </c>
      <c r="AW103" s="382">
        <f t="shared" si="86"/>
        <v>0</v>
      </c>
      <c r="AX103" s="382">
        <f t="shared" si="86"/>
        <v>0</v>
      </c>
      <c r="AY103" s="382">
        <f t="shared" si="86"/>
        <v>0</v>
      </c>
      <c r="AZ103" s="382">
        <f t="shared" si="87"/>
        <v>0</v>
      </c>
      <c r="BA103" s="382">
        <f t="shared" si="87"/>
        <v>0</v>
      </c>
      <c r="BB103" s="382">
        <f t="shared" si="87"/>
        <v>0</v>
      </c>
      <c r="BC103" s="382">
        <f t="shared" si="87"/>
        <v>0</v>
      </c>
      <c r="BD103" s="382">
        <f t="shared" si="87"/>
        <v>0</v>
      </c>
      <c r="BE103" s="382">
        <f t="shared" si="87"/>
        <v>1129.1666666666667</v>
      </c>
      <c r="BF103" s="382">
        <f t="shared" si="87"/>
        <v>1129.1666666666667</v>
      </c>
      <c r="BG103" s="382">
        <f t="shared" si="87"/>
        <v>1129.1666666666667</v>
      </c>
      <c r="BH103" s="382">
        <f t="shared" si="87"/>
        <v>1129.1666666666667</v>
      </c>
      <c r="BI103" s="382">
        <f t="shared" si="87"/>
        <v>1129.1666666666667</v>
      </c>
      <c r="BJ103" s="382">
        <f t="shared" si="88"/>
        <v>1129.1666666666667</v>
      </c>
      <c r="BK103" s="382">
        <f t="shared" si="88"/>
        <v>1129.1666666666667</v>
      </c>
      <c r="BL103" s="382">
        <f t="shared" si="88"/>
        <v>1129.1666666666667</v>
      </c>
      <c r="BM103" s="382">
        <f t="shared" si="88"/>
        <v>1129.1666666666667</v>
      </c>
      <c r="BN103" s="382">
        <f t="shared" si="88"/>
        <v>1129.1666666666667</v>
      </c>
      <c r="BO103" s="382">
        <f t="shared" si="88"/>
        <v>1129.1666666666667</v>
      </c>
      <c r="BP103" s="382">
        <f t="shared" si="88"/>
        <v>1129.1666666666667</v>
      </c>
      <c r="BQ103" s="382">
        <f t="shared" si="88"/>
        <v>0</v>
      </c>
      <c r="BR103" s="382">
        <f t="shared" si="88"/>
        <v>0</v>
      </c>
      <c r="BS103" s="382">
        <f t="shared" si="88"/>
        <v>0</v>
      </c>
      <c r="BT103" s="382">
        <f t="shared" si="89"/>
        <v>0</v>
      </c>
      <c r="BU103" s="382">
        <f t="shared" si="89"/>
        <v>0</v>
      </c>
      <c r="BV103" s="382">
        <f t="shared" si="89"/>
        <v>0</v>
      </c>
      <c r="BW103" s="382">
        <f t="shared" si="89"/>
        <v>0</v>
      </c>
      <c r="BX103" s="382">
        <f t="shared" si="89"/>
        <v>0</v>
      </c>
      <c r="BY103" s="382">
        <f t="shared" si="89"/>
        <v>0</v>
      </c>
      <c r="BZ103" s="382">
        <f t="shared" si="89"/>
        <v>0</v>
      </c>
      <c r="CA103" s="382">
        <f t="shared" si="89"/>
        <v>0</v>
      </c>
    </row>
    <row r="104" spans="3:79" ht="21" hidden="1" customHeight="1" outlineLevel="2">
      <c r="C104" s="370"/>
      <c r="D104" s="374">
        <f t="shared" si="76"/>
        <v>45747</v>
      </c>
      <c r="E104" s="408" cm="1">
        <f t="array" ref="E104">INDEX($AF$18:$CA$18,0,MATCH($D104,$AF$8:$CA$8,0))</f>
        <v>4175</v>
      </c>
      <c r="G104" s="359"/>
      <c r="H104" s="410">
        <f t="shared" si="83"/>
        <v>0</v>
      </c>
      <c r="I104" s="410">
        <f t="shared" si="83"/>
        <v>0</v>
      </c>
      <c r="J104" s="410">
        <f t="shared" si="83"/>
        <v>3479.1666666666661</v>
      </c>
      <c r="K104" s="410">
        <f t="shared" si="83"/>
        <v>695.83333333333337</v>
      </c>
      <c r="L104" s="410"/>
      <c r="M104" s="410"/>
      <c r="N104" s="410">
        <f t="shared" si="84"/>
        <v>0</v>
      </c>
      <c r="O104" s="410">
        <f t="shared" si="84"/>
        <v>0</v>
      </c>
      <c r="P104" s="410">
        <f t="shared" si="84"/>
        <v>0</v>
      </c>
      <c r="Q104" s="410">
        <f t="shared" si="84"/>
        <v>0</v>
      </c>
      <c r="R104" s="410">
        <f t="shared" si="84"/>
        <v>0</v>
      </c>
      <c r="S104" s="410">
        <f t="shared" si="84"/>
        <v>0</v>
      </c>
      <c r="T104" s="410">
        <f t="shared" si="84"/>
        <v>0</v>
      </c>
      <c r="U104" s="410">
        <f t="shared" si="84"/>
        <v>0</v>
      </c>
      <c r="V104" s="410">
        <f t="shared" si="84"/>
        <v>347.91666666666669</v>
      </c>
      <c r="W104" s="410">
        <f t="shared" si="84"/>
        <v>1043.75</v>
      </c>
      <c r="X104" s="410">
        <f t="shared" si="84"/>
        <v>1043.75</v>
      </c>
      <c r="Y104" s="410">
        <f t="shared" si="84"/>
        <v>1043.75</v>
      </c>
      <c r="Z104" s="410">
        <f t="shared" si="84"/>
        <v>695.83333333333337</v>
      </c>
      <c r="AA104" s="410">
        <f t="shared" si="84"/>
        <v>0</v>
      </c>
      <c r="AB104" s="410">
        <f t="shared" si="84"/>
        <v>0</v>
      </c>
      <c r="AC104" s="410">
        <f t="shared" si="84"/>
        <v>0</v>
      </c>
      <c r="AE104" s="359"/>
      <c r="AF104" s="382">
        <f t="shared" si="85"/>
        <v>0</v>
      </c>
      <c r="AG104" s="382">
        <f t="shared" si="85"/>
        <v>0</v>
      </c>
      <c r="AH104" s="382">
        <f t="shared" si="85"/>
        <v>0</v>
      </c>
      <c r="AI104" s="382">
        <f t="shared" si="85"/>
        <v>0</v>
      </c>
      <c r="AJ104" s="382">
        <f t="shared" si="85"/>
        <v>0</v>
      </c>
      <c r="AK104" s="382">
        <f t="shared" si="85"/>
        <v>0</v>
      </c>
      <c r="AL104" s="382">
        <f t="shared" si="85"/>
        <v>0</v>
      </c>
      <c r="AM104" s="382">
        <f t="shared" si="85"/>
        <v>0</v>
      </c>
      <c r="AN104" s="382">
        <f t="shared" si="85"/>
        <v>0</v>
      </c>
      <c r="AO104" s="382">
        <f t="shared" si="85"/>
        <v>0</v>
      </c>
      <c r="AP104" s="382">
        <f t="shared" si="86"/>
        <v>0</v>
      </c>
      <c r="AQ104" s="382">
        <f t="shared" si="86"/>
        <v>0</v>
      </c>
      <c r="AR104" s="382">
        <f t="shared" si="86"/>
        <v>0</v>
      </c>
      <c r="AS104" s="382">
        <f t="shared" si="86"/>
        <v>0</v>
      </c>
      <c r="AT104" s="382">
        <f t="shared" si="86"/>
        <v>0</v>
      </c>
      <c r="AU104" s="382">
        <f t="shared" si="86"/>
        <v>0</v>
      </c>
      <c r="AV104" s="382">
        <f t="shared" si="86"/>
        <v>0</v>
      </c>
      <c r="AW104" s="382">
        <f t="shared" si="86"/>
        <v>0</v>
      </c>
      <c r="AX104" s="382">
        <f t="shared" si="86"/>
        <v>0</v>
      </c>
      <c r="AY104" s="382">
        <f t="shared" si="86"/>
        <v>0</v>
      </c>
      <c r="AZ104" s="382">
        <f t="shared" si="87"/>
        <v>0</v>
      </c>
      <c r="BA104" s="382">
        <f t="shared" si="87"/>
        <v>0</v>
      </c>
      <c r="BB104" s="382">
        <f t="shared" si="87"/>
        <v>0</v>
      </c>
      <c r="BC104" s="382">
        <f t="shared" si="87"/>
        <v>0</v>
      </c>
      <c r="BD104" s="382">
        <f t="shared" si="87"/>
        <v>0</v>
      </c>
      <c r="BE104" s="382">
        <f t="shared" si="87"/>
        <v>0</v>
      </c>
      <c r="BF104" s="382">
        <f t="shared" si="87"/>
        <v>347.91666666666669</v>
      </c>
      <c r="BG104" s="382">
        <f t="shared" si="87"/>
        <v>347.91666666666669</v>
      </c>
      <c r="BH104" s="382">
        <f t="shared" si="87"/>
        <v>347.91666666666669</v>
      </c>
      <c r="BI104" s="382">
        <f t="shared" si="87"/>
        <v>347.91666666666669</v>
      </c>
      <c r="BJ104" s="382">
        <f t="shared" si="88"/>
        <v>347.91666666666669</v>
      </c>
      <c r="BK104" s="382">
        <f t="shared" si="88"/>
        <v>347.91666666666669</v>
      </c>
      <c r="BL104" s="382">
        <f t="shared" si="88"/>
        <v>347.91666666666669</v>
      </c>
      <c r="BM104" s="382">
        <f t="shared" si="88"/>
        <v>347.91666666666669</v>
      </c>
      <c r="BN104" s="382">
        <f t="shared" si="88"/>
        <v>347.91666666666669</v>
      </c>
      <c r="BO104" s="382">
        <f t="shared" si="88"/>
        <v>347.91666666666669</v>
      </c>
      <c r="BP104" s="382">
        <f t="shared" si="88"/>
        <v>347.91666666666669</v>
      </c>
      <c r="BQ104" s="382">
        <f t="shared" si="88"/>
        <v>347.91666666666669</v>
      </c>
      <c r="BR104" s="382">
        <f t="shared" si="88"/>
        <v>0</v>
      </c>
      <c r="BS104" s="382">
        <f t="shared" si="88"/>
        <v>0</v>
      </c>
      <c r="BT104" s="382">
        <f t="shared" si="89"/>
        <v>0</v>
      </c>
      <c r="BU104" s="382">
        <f t="shared" si="89"/>
        <v>0</v>
      </c>
      <c r="BV104" s="382">
        <f t="shared" si="89"/>
        <v>0</v>
      </c>
      <c r="BW104" s="382">
        <f t="shared" si="89"/>
        <v>0</v>
      </c>
      <c r="BX104" s="382">
        <f t="shared" si="89"/>
        <v>0</v>
      </c>
      <c r="BY104" s="382">
        <f t="shared" si="89"/>
        <v>0</v>
      </c>
      <c r="BZ104" s="382">
        <f t="shared" si="89"/>
        <v>0</v>
      </c>
      <c r="CA104" s="382">
        <f t="shared" si="89"/>
        <v>0</v>
      </c>
    </row>
    <row r="105" spans="3:79" ht="21" hidden="1" customHeight="1" outlineLevel="2">
      <c r="C105" s="370"/>
      <c r="D105" s="374">
        <f t="shared" si="76"/>
        <v>45777</v>
      </c>
      <c r="E105" s="408" cm="1">
        <f t="array" ref="E105">INDEX($AF$18:$CA$18,0,MATCH($D105,$AF$8:$CA$8,0))</f>
        <v>0</v>
      </c>
      <c r="G105" s="359"/>
      <c r="H105" s="410">
        <f t="shared" si="83"/>
        <v>0</v>
      </c>
      <c r="I105" s="410">
        <f t="shared" si="83"/>
        <v>0</v>
      </c>
      <c r="J105" s="410">
        <f t="shared" si="83"/>
        <v>0</v>
      </c>
      <c r="K105" s="410">
        <f t="shared" si="83"/>
        <v>0</v>
      </c>
      <c r="L105" s="410"/>
      <c r="M105" s="410"/>
      <c r="N105" s="410">
        <f t="shared" si="84"/>
        <v>0</v>
      </c>
      <c r="O105" s="410">
        <f t="shared" si="84"/>
        <v>0</v>
      </c>
      <c r="P105" s="410">
        <f t="shared" si="84"/>
        <v>0</v>
      </c>
      <c r="Q105" s="410">
        <f t="shared" si="84"/>
        <v>0</v>
      </c>
      <c r="R105" s="410">
        <f t="shared" si="84"/>
        <v>0</v>
      </c>
      <c r="S105" s="410">
        <f t="shared" si="84"/>
        <v>0</v>
      </c>
      <c r="T105" s="410">
        <f t="shared" si="84"/>
        <v>0</v>
      </c>
      <c r="U105" s="410">
        <f t="shared" si="84"/>
        <v>0</v>
      </c>
      <c r="V105" s="410">
        <f t="shared" si="84"/>
        <v>0</v>
      </c>
      <c r="W105" s="410">
        <f t="shared" si="84"/>
        <v>0</v>
      </c>
      <c r="X105" s="410">
        <f t="shared" si="84"/>
        <v>0</v>
      </c>
      <c r="Y105" s="410">
        <f t="shared" si="84"/>
        <v>0</v>
      </c>
      <c r="Z105" s="410">
        <f t="shared" si="84"/>
        <v>0</v>
      </c>
      <c r="AA105" s="410">
        <f t="shared" si="84"/>
        <v>0</v>
      </c>
      <c r="AB105" s="410">
        <f t="shared" si="84"/>
        <v>0</v>
      </c>
      <c r="AC105" s="410">
        <f t="shared" si="84"/>
        <v>0</v>
      </c>
      <c r="AE105" s="359"/>
      <c r="AF105" s="382">
        <f t="shared" si="85"/>
        <v>0</v>
      </c>
      <c r="AG105" s="382">
        <f t="shared" si="85"/>
        <v>0</v>
      </c>
      <c r="AH105" s="382">
        <f t="shared" si="85"/>
        <v>0</v>
      </c>
      <c r="AI105" s="382">
        <f t="shared" si="85"/>
        <v>0</v>
      </c>
      <c r="AJ105" s="382">
        <f t="shared" si="85"/>
        <v>0</v>
      </c>
      <c r="AK105" s="382">
        <f t="shared" si="85"/>
        <v>0</v>
      </c>
      <c r="AL105" s="382">
        <f t="shared" si="85"/>
        <v>0</v>
      </c>
      <c r="AM105" s="382">
        <f t="shared" si="85"/>
        <v>0</v>
      </c>
      <c r="AN105" s="382">
        <f t="shared" si="85"/>
        <v>0</v>
      </c>
      <c r="AO105" s="382">
        <f t="shared" si="85"/>
        <v>0</v>
      </c>
      <c r="AP105" s="382">
        <f t="shared" si="86"/>
        <v>0</v>
      </c>
      <c r="AQ105" s="382">
        <f t="shared" si="86"/>
        <v>0</v>
      </c>
      <c r="AR105" s="382">
        <f t="shared" si="86"/>
        <v>0</v>
      </c>
      <c r="AS105" s="382">
        <f t="shared" si="86"/>
        <v>0</v>
      </c>
      <c r="AT105" s="382">
        <f t="shared" si="86"/>
        <v>0</v>
      </c>
      <c r="AU105" s="382">
        <f t="shared" si="86"/>
        <v>0</v>
      </c>
      <c r="AV105" s="382">
        <f t="shared" si="86"/>
        <v>0</v>
      </c>
      <c r="AW105" s="382">
        <f t="shared" si="86"/>
        <v>0</v>
      </c>
      <c r="AX105" s="382">
        <f t="shared" si="86"/>
        <v>0</v>
      </c>
      <c r="AY105" s="382">
        <f t="shared" si="86"/>
        <v>0</v>
      </c>
      <c r="AZ105" s="382">
        <f t="shared" si="87"/>
        <v>0</v>
      </c>
      <c r="BA105" s="382">
        <f t="shared" si="87"/>
        <v>0</v>
      </c>
      <c r="BB105" s="382">
        <f t="shared" si="87"/>
        <v>0</v>
      </c>
      <c r="BC105" s="382">
        <f t="shared" si="87"/>
        <v>0</v>
      </c>
      <c r="BD105" s="382">
        <f t="shared" si="87"/>
        <v>0</v>
      </c>
      <c r="BE105" s="382">
        <f t="shared" si="87"/>
        <v>0</v>
      </c>
      <c r="BF105" s="382">
        <f t="shared" si="87"/>
        <v>0</v>
      </c>
      <c r="BG105" s="382">
        <f t="shared" si="87"/>
        <v>0</v>
      </c>
      <c r="BH105" s="382">
        <f t="shared" si="87"/>
        <v>0</v>
      </c>
      <c r="BI105" s="382">
        <f t="shared" si="87"/>
        <v>0</v>
      </c>
      <c r="BJ105" s="382">
        <f t="shared" si="88"/>
        <v>0</v>
      </c>
      <c r="BK105" s="382">
        <f t="shared" si="88"/>
        <v>0</v>
      </c>
      <c r="BL105" s="382">
        <f t="shared" si="88"/>
        <v>0</v>
      </c>
      <c r="BM105" s="382">
        <f t="shared" si="88"/>
        <v>0</v>
      </c>
      <c r="BN105" s="382">
        <f t="shared" si="88"/>
        <v>0</v>
      </c>
      <c r="BO105" s="382">
        <f t="shared" si="88"/>
        <v>0</v>
      </c>
      <c r="BP105" s="382">
        <f t="shared" si="88"/>
        <v>0</v>
      </c>
      <c r="BQ105" s="382">
        <f t="shared" si="88"/>
        <v>0</v>
      </c>
      <c r="BR105" s="382">
        <f t="shared" si="88"/>
        <v>0</v>
      </c>
      <c r="BS105" s="382">
        <f t="shared" si="88"/>
        <v>0</v>
      </c>
      <c r="BT105" s="382">
        <f t="shared" si="89"/>
        <v>0</v>
      </c>
      <c r="BU105" s="382">
        <f t="shared" si="89"/>
        <v>0</v>
      </c>
      <c r="BV105" s="382">
        <f t="shared" si="89"/>
        <v>0</v>
      </c>
      <c r="BW105" s="382">
        <f t="shared" si="89"/>
        <v>0</v>
      </c>
      <c r="BX105" s="382">
        <f t="shared" si="89"/>
        <v>0</v>
      </c>
      <c r="BY105" s="382">
        <f t="shared" si="89"/>
        <v>0</v>
      </c>
      <c r="BZ105" s="382">
        <f t="shared" si="89"/>
        <v>0</v>
      </c>
      <c r="CA105" s="382">
        <f t="shared" si="89"/>
        <v>0</v>
      </c>
    </row>
    <row r="106" spans="3:79" ht="21" hidden="1" customHeight="1" outlineLevel="2">
      <c r="C106" s="370"/>
      <c r="D106" s="374">
        <f t="shared" si="76"/>
        <v>45808</v>
      </c>
      <c r="E106" s="408" cm="1">
        <f t="array" ref="E106">INDEX($AF$18:$CA$18,0,MATCH($D106,$AF$8:$CA$8,0))</f>
        <v>0</v>
      </c>
      <c r="G106" s="359"/>
      <c r="H106" s="410">
        <f t="shared" si="83"/>
        <v>0</v>
      </c>
      <c r="I106" s="410">
        <f t="shared" si="83"/>
        <v>0</v>
      </c>
      <c r="J106" s="410">
        <f t="shared" si="83"/>
        <v>0</v>
      </c>
      <c r="K106" s="410">
        <f t="shared" si="83"/>
        <v>0</v>
      </c>
      <c r="L106" s="410"/>
      <c r="M106" s="410"/>
      <c r="N106" s="410">
        <f t="shared" si="84"/>
        <v>0</v>
      </c>
      <c r="O106" s="410">
        <f t="shared" si="84"/>
        <v>0</v>
      </c>
      <c r="P106" s="410">
        <f t="shared" si="84"/>
        <v>0</v>
      </c>
      <c r="Q106" s="410">
        <f t="shared" si="84"/>
        <v>0</v>
      </c>
      <c r="R106" s="410">
        <f t="shared" si="84"/>
        <v>0</v>
      </c>
      <c r="S106" s="410">
        <f t="shared" si="84"/>
        <v>0</v>
      </c>
      <c r="T106" s="410">
        <f t="shared" si="84"/>
        <v>0</v>
      </c>
      <c r="U106" s="410">
        <f t="shared" si="84"/>
        <v>0</v>
      </c>
      <c r="V106" s="410">
        <f t="shared" si="84"/>
        <v>0</v>
      </c>
      <c r="W106" s="410">
        <f t="shared" si="84"/>
        <v>0</v>
      </c>
      <c r="X106" s="410">
        <f t="shared" si="84"/>
        <v>0</v>
      </c>
      <c r="Y106" s="410">
        <f t="shared" si="84"/>
        <v>0</v>
      </c>
      <c r="Z106" s="410">
        <f t="shared" si="84"/>
        <v>0</v>
      </c>
      <c r="AA106" s="410">
        <f t="shared" si="84"/>
        <v>0</v>
      </c>
      <c r="AB106" s="410">
        <f t="shared" si="84"/>
        <v>0</v>
      </c>
      <c r="AC106" s="410">
        <f t="shared" si="84"/>
        <v>0</v>
      </c>
      <c r="AE106" s="359"/>
      <c r="AF106" s="382">
        <f t="shared" si="85"/>
        <v>0</v>
      </c>
      <c r="AG106" s="382">
        <f t="shared" si="85"/>
        <v>0</v>
      </c>
      <c r="AH106" s="382">
        <f t="shared" si="85"/>
        <v>0</v>
      </c>
      <c r="AI106" s="382">
        <f t="shared" si="85"/>
        <v>0</v>
      </c>
      <c r="AJ106" s="382">
        <f t="shared" si="85"/>
        <v>0</v>
      </c>
      <c r="AK106" s="382">
        <f t="shared" si="85"/>
        <v>0</v>
      </c>
      <c r="AL106" s="382">
        <f t="shared" si="85"/>
        <v>0</v>
      </c>
      <c r="AM106" s="382">
        <f t="shared" si="85"/>
        <v>0</v>
      </c>
      <c r="AN106" s="382">
        <f t="shared" si="85"/>
        <v>0</v>
      </c>
      <c r="AO106" s="382">
        <f t="shared" si="85"/>
        <v>0</v>
      </c>
      <c r="AP106" s="382">
        <f t="shared" si="86"/>
        <v>0</v>
      </c>
      <c r="AQ106" s="382">
        <f t="shared" si="86"/>
        <v>0</v>
      </c>
      <c r="AR106" s="382">
        <f t="shared" si="86"/>
        <v>0</v>
      </c>
      <c r="AS106" s="382">
        <f t="shared" si="86"/>
        <v>0</v>
      </c>
      <c r="AT106" s="382">
        <f t="shared" si="86"/>
        <v>0</v>
      </c>
      <c r="AU106" s="382">
        <f t="shared" si="86"/>
        <v>0</v>
      </c>
      <c r="AV106" s="382">
        <f t="shared" si="86"/>
        <v>0</v>
      </c>
      <c r="AW106" s="382">
        <f t="shared" si="86"/>
        <v>0</v>
      </c>
      <c r="AX106" s="382">
        <f t="shared" si="86"/>
        <v>0</v>
      </c>
      <c r="AY106" s="382">
        <f t="shared" si="86"/>
        <v>0</v>
      </c>
      <c r="AZ106" s="382">
        <f t="shared" si="87"/>
        <v>0</v>
      </c>
      <c r="BA106" s="382">
        <f t="shared" si="87"/>
        <v>0</v>
      </c>
      <c r="BB106" s="382">
        <f t="shared" si="87"/>
        <v>0</v>
      </c>
      <c r="BC106" s="382">
        <f t="shared" si="87"/>
        <v>0</v>
      </c>
      <c r="BD106" s="382">
        <f t="shared" si="87"/>
        <v>0</v>
      </c>
      <c r="BE106" s="382">
        <f t="shared" si="87"/>
        <v>0</v>
      </c>
      <c r="BF106" s="382">
        <f t="shared" si="87"/>
        <v>0</v>
      </c>
      <c r="BG106" s="382">
        <f t="shared" si="87"/>
        <v>0</v>
      </c>
      <c r="BH106" s="382">
        <f t="shared" si="87"/>
        <v>0</v>
      </c>
      <c r="BI106" s="382">
        <f t="shared" si="87"/>
        <v>0</v>
      </c>
      <c r="BJ106" s="382">
        <f t="shared" si="88"/>
        <v>0</v>
      </c>
      <c r="BK106" s="382">
        <f t="shared" si="88"/>
        <v>0</v>
      </c>
      <c r="BL106" s="382">
        <f t="shared" si="88"/>
        <v>0</v>
      </c>
      <c r="BM106" s="382">
        <f t="shared" si="88"/>
        <v>0</v>
      </c>
      <c r="BN106" s="382">
        <f t="shared" si="88"/>
        <v>0</v>
      </c>
      <c r="BO106" s="382">
        <f t="shared" si="88"/>
        <v>0</v>
      </c>
      <c r="BP106" s="382">
        <f t="shared" si="88"/>
        <v>0</v>
      </c>
      <c r="BQ106" s="382">
        <f t="shared" si="88"/>
        <v>0</v>
      </c>
      <c r="BR106" s="382">
        <f t="shared" si="88"/>
        <v>0</v>
      </c>
      <c r="BS106" s="382">
        <f t="shared" si="88"/>
        <v>0</v>
      </c>
      <c r="BT106" s="382">
        <f t="shared" si="89"/>
        <v>0</v>
      </c>
      <c r="BU106" s="382">
        <f t="shared" si="89"/>
        <v>0</v>
      </c>
      <c r="BV106" s="382">
        <f t="shared" si="89"/>
        <v>0</v>
      </c>
      <c r="BW106" s="382">
        <f t="shared" si="89"/>
        <v>0</v>
      </c>
      <c r="BX106" s="382">
        <f t="shared" si="89"/>
        <v>0</v>
      </c>
      <c r="BY106" s="382">
        <f t="shared" si="89"/>
        <v>0</v>
      </c>
      <c r="BZ106" s="382">
        <f t="shared" si="89"/>
        <v>0</v>
      </c>
      <c r="CA106" s="382">
        <f t="shared" si="89"/>
        <v>0</v>
      </c>
    </row>
    <row r="107" spans="3:79" ht="21" hidden="1" customHeight="1" outlineLevel="2">
      <c r="C107" s="370"/>
      <c r="D107" s="374">
        <f t="shared" si="76"/>
        <v>45838</v>
      </c>
      <c r="E107" s="408" cm="1">
        <f t="array" ref="E107">INDEX($AF$18:$CA$18,0,MATCH($D107,$AF$8:$CA$8,0))</f>
        <v>5640</v>
      </c>
      <c r="G107" s="359"/>
      <c r="H107" s="410">
        <f t="shared" si="83"/>
        <v>0</v>
      </c>
      <c r="I107" s="410">
        <f t="shared" si="83"/>
        <v>0</v>
      </c>
      <c r="J107" s="410">
        <f t="shared" si="83"/>
        <v>3290</v>
      </c>
      <c r="K107" s="410">
        <f t="shared" si="83"/>
        <v>2350</v>
      </c>
      <c r="L107" s="410"/>
      <c r="M107" s="410"/>
      <c r="N107" s="410">
        <f t="shared" si="84"/>
        <v>0</v>
      </c>
      <c r="O107" s="410">
        <f t="shared" si="84"/>
        <v>0</v>
      </c>
      <c r="P107" s="410">
        <f t="shared" si="84"/>
        <v>0</v>
      </c>
      <c r="Q107" s="410">
        <f t="shared" si="84"/>
        <v>0</v>
      </c>
      <c r="R107" s="410">
        <f t="shared" si="84"/>
        <v>0</v>
      </c>
      <c r="S107" s="410">
        <f t="shared" si="84"/>
        <v>0</v>
      </c>
      <c r="T107" s="410">
        <f t="shared" si="84"/>
        <v>0</v>
      </c>
      <c r="U107" s="410">
        <f t="shared" si="84"/>
        <v>0</v>
      </c>
      <c r="V107" s="410">
        <f t="shared" si="84"/>
        <v>0</v>
      </c>
      <c r="W107" s="410">
        <f t="shared" si="84"/>
        <v>470</v>
      </c>
      <c r="X107" s="410">
        <f t="shared" si="84"/>
        <v>1410</v>
      </c>
      <c r="Y107" s="410">
        <f t="shared" si="84"/>
        <v>1410</v>
      </c>
      <c r="Z107" s="410">
        <f t="shared" si="84"/>
        <v>1410</v>
      </c>
      <c r="AA107" s="410">
        <f t="shared" si="84"/>
        <v>940</v>
      </c>
      <c r="AB107" s="410">
        <f t="shared" si="84"/>
        <v>0</v>
      </c>
      <c r="AC107" s="410">
        <f t="shared" si="84"/>
        <v>0</v>
      </c>
      <c r="AE107" s="359"/>
      <c r="AF107" s="382">
        <f t="shared" si="85"/>
        <v>0</v>
      </c>
      <c r="AG107" s="382">
        <f t="shared" si="85"/>
        <v>0</v>
      </c>
      <c r="AH107" s="382">
        <f t="shared" si="85"/>
        <v>0</v>
      </c>
      <c r="AI107" s="382">
        <f t="shared" si="85"/>
        <v>0</v>
      </c>
      <c r="AJ107" s="382">
        <f t="shared" si="85"/>
        <v>0</v>
      </c>
      <c r="AK107" s="382">
        <f t="shared" si="85"/>
        <v>0</v>
      </c>
      <c r="AL107" s="382">
        <f t="shared" si="85"/>
        <v>0</v>
      </c>
      <c r="AM107" s="382">
        <f t="shared" si="85"/>
        <v>0</v>
      </c>
      <c r="AN107" s="382">
        <f t="shared" si="85"/>
        <v>0</v>
      </c>
      <c r="AO107" s="382">
        <f t="shared" si="85"/>
        <v>0</v>
      </c>
      <c r="AP107" s="382">
        <f t="shared" si="86"/>
        <v>0</v>
      </c>
      <c r="AQ107" s="382">
        <f t="shared" si="86"/>
        <v>0</v>
      </c>
      <c r="AR107" s="382">
        <f t="shared" si="86"/>
        <v>0</v>
      </c>
      <c r="AS107" s="382">
        <f t="shared" si="86"/>
        <v>0</v>
      </c>
      <c r="AT107" s="382">
        <f t="shared" si="86"/>
        <v>0</v>
      </c>
      <c r="AU107" s="382">
        <f t="shared" si="86"/>
        <v>0</v>
      </c>
      <c r="AV107" s="382">
        <f t="shared" si="86"/>
        <v>0</v>
      </c>
      <c r="AW107" s="382">
        <f t="shared" si="86"/>
        <v>0</v>
      </c>
      <c r="AX107" s="382">
        <f t="shared" si="86"/>
        <v>0</v>
      </c>
      <c r="AY107" s="382">
        <f t="shared" si="86"/>
        <v>0</v>
      </c>
      <c r="AZ107" s="382">
        <f t="shared" si="87"/>
        <v>0</v>
      </c>
      <c r="BA107" s="382">
        <f t="shared" si="87"/>
        <v>0</v>
      </c>
      <c r="BB107" s="382">
        <f t="shared" si="87"/>
        <v>0</v>
      </c>
      <c r="BC107" s="382">
        <f t="shared" si="87"/>
        <v>0</v>
      </c>
      <c r="BD107" s="382">
        <f t="shared" si="87"/>
        <v>0</v>
      </c>
      <c r="BE107" s="382">
        <f t="shared" si="87"/>
        <v>0</v>
      </c>
      <c r="BF107" s="382">
        <f t="shared" si="87"/>
        <v>0</v>
      </c>
      <c r="BG107" s="382">
        <f t="shared" si="87"/>
        <v>0</v>
      </c>
      <c r="BH107" s="382">
        <f t="shared" si="87"/>
        <v>0</v>
      </c>
      <c r="BI107" s="382">
        <f t="shared" si="87"/>
        <v>470</v>
      </c>
      <c r="BJ107" s="382">
        <f t="shared" si="88"/>
        <v>470</v>
      </c>
      <c r="BK107" s="382">
        <f t="shared" si="88"/>
        <v>470</v>
      </c>
      <c r="BL107" s="382">
        <f t="shared" si="88"/>
        <v>470</v>
      </c>
      <c r="BM107" s="382">
        <f t="shared" si="88"/>
        <v>470</v>
      </c>
      <c r="BN107" s="382">
        <f t="shared" si="88"/>
        <v>470</v>
      </c>
      <c r="BO107" s="382">
        <f t="shared" si="88"/>
        <v>470</v>
      </c>
      <c r="BP107" s="382">
        <f t="shared" si="88"/>
        <v>470</v>
      </c>
      <c r="BQ107" s="382">
        <f t="shared" si="88"/>
        <v>470</v>
      </c>
      <c r="BR107" s="382">
        <f t="shared" si="88"/>
        <v>470</v>
      </c>
      <c r="BS107" s="382">
        <f t="shared" si="88"/>
        <v>470</v>
      </c>
      <c r="BT107" s="382">
        <f t="shared" si="89"/>
        <v>470</v>
      </c>
      <c r="BU107" s="382">
        <f t="shared" si="89"/>
        <v>0</v>
      </c>
      <c r="BV107" s="382">
        <f t="shared" si="89"/>
        <v>0</v>
      </c>
      <c r="BW107" s="382">
        <f t="shared" si="89"/>
        <v>0</v>
      </c>
      <c r="BX107" s="382">
        <f t="shared" si="89"/>
        <v>0</v>
      </c>
      <c r="BY107" s="382">
        <f t="shared" si="89"/>
        <v>0</v>
      </c>
      <c r="BZ107" s="382">
        <f t="shared" si="89"/>
        <v>0</v>
      </c>
      <c r="CA107" s="382">
        <f t="shared" si="89"/>
        <v>0</v>
      </c>
    </row>
    <row r="108" spans="3:79" ht="21" hidden="1" customHeight="1" outlineLevel="2">
      <c r="C108" s="370"/>
      <c r="D108" s="374">
        <f t="shared" si="76"/>
        <v>45869</v>
      </c>
      <c r="E108" s="408" cm="1">
        <f t="array" ref="E108">INDEX($AF$18:$CA$18,0,MATCH($D108,$AF$8:$CA$8,0))</f>
        <v>0</v>
      </c>
      <c r="G108" s="359"/>
      <c r="H108" s="410">
        <f t="shared" si="83"/>
        <v>0</v>
      </c>
      <c r="I108" s="410">
        <f t="shared" si="83"/>
        <v>0</v>
      </c>
      <c r="J108" s="410">
        <f t="shared" si="83"/>
        <v>0</v>
      </c>
      <c r="K108" s="410">
        <f t="shared" si="83"/>
        <v>0</v>
      </c>
      <c r="L108" s="410"/>
      <c r="M108" s="410"/>
      <c r="N108" s="410">
        <f t="shared" ref="N108:AC117" si="90">SUMIFS($AF108:$CA108,$AF$4:$CA$4,"&gt;="&amp;N$4,$AF$5:$CA$5,"&lt;="&amp;N$5)</f>
        <v>0</v>
      </c>
      <c r="O108" s="410">
        <f t="shared" si="90"/>
        <v>0</v>
      </c>
      <c r="P108" s="410">
        <f t="shared" si="90"/>
        <v>0</v>
      </c>
      <c r="Q108" s="410">
        <f t="shared" si="90"/>
        <v>0</v>
      </c>
      <c r="R108" s="410">
        <f t="shared" si="90"/>
        <v>0</v>
      </c>
      <c r="S108" s="410">
        <f t="shared" si="90"/>
        <v>0</v>
      </c>
      <c r="T108" s="410">
        <f t="shared" si="90"/>
        <v>0</v>
      </c>
      <c r="U108" s="410">
        <f t="shared" si="90"/>
        <v>0</v>
      </c>
      <c r="V108" s="410">
        <f t="shared" si="90"/>
        <v>0</v>
      </c>
      <c r="W108" s="410">
        <f t="shared" si="90"/>
        <v>0</v>
      </c>
      <c r="X108" s="410">
        <f t="shared" si="90"/>
        <v>0</v>
      </c>
      <c r="Y108" s="410">
        <f t="shared" si="90"/>
        <v>0</v>
      </c>
      <c r="Z108" s="410">
        <f t="shared" si="90"/>
        <v>0</v>
      </c>
      <c r="AA108" s="410">
        <f t="shared" si="90"/>
        <v>0</v>
      </c>
      <c r="AB108" s="410">
        <f t="shared" si="90"/>
        <v>0</v>
      </c>
      <c r="AC108" s="410">
        <f t="shared" si="90"/>
        <v>0</v>
      </c>
      <c r="AE108" s="359"/>
      <c r="AF108" s="382">
        <f t="shared" ref="AF108:AO117" si="91">IF(AND(AF$8&gt;=$D108,(MATCH(AF$8,$AF$8:$CA$8,0)-MATCH($D108,$AF$8:$CA$8,0))&lt;12),$E108/12,0)</f>
        <v>0</v>
      </c>
      <c r="AG108" s="382">
        <f t="shared" si="91"/>
        <v>0</v>
      </c>
      <c r="AH108" s="382">
        <f t="shared" si="91"/>
        <v>0</v>
      </c>
      <c r="AI108" s="382">
        <f t="shared" si="91"/>
        <v>0</v>
      </c>
      <c r="AJ108" s="382">
        <f t="shared" si="91"/>
        <v>0</v>
      </c>
      <c r="AK108" s="382">
        <f t="shared" si="91"/>
        <v>0</v>
      </c>
      <c r="AL108" s="382">
        <f t="shared" si="91"/>
        <v>0</v>
      </c>
      <c r="AM108" s="382">
        <f t="shared" si="91"/>
        <v>0</v>
      </c>
      <c r="AN108" s="382">
        <f t="shared" si="91"/>
        <v>0</v>
      </c>
      <c r="AO108" s="382">
        <f t="shared" si="91"/>
        <v>0</v>
      </c>
      <c r="AP108" s="382">
        <f t="shared" ref="AP108:AY117" si="92">IF(AND(AP$8&gt;=$D108,(MATCH(AP$8,$AF$8:$CA$8,0)-MATCH($D108,$AF$8:$CA$8,0))&lt;12),$E108/12,0)</f>
        <v>0</v>
      </c>
      <c r="AQ108" s="382">
        <f t="shared" si="92"/>
        <v>0</v>
      </c>
      <c r="AR108" s="382">
        <f t="shared" si="92"/>
        <v>0</v>
      </c>
      <c r="AS108" s="382">
        <f t="shared" si="92"/>
        <v>0</v>
      </c>
      <c r="AT108" s="382">
        <f t="shared" si="92"/>
        <v>0</v>
      </c>
      <c r="AU108" s="382">
        <f t="shared" si="92"/>
        <v>0</v>
      </c>
      <c r="AV108" s="382">
        <f t="shared" si="92"/>
        <v>0</v>
      </c>
      <c r="AW108" s="382">
        <f t="shared" si="92"/>
        <v>0</v>
      </c>
      <c r="AX108" s="382">
        <f t="shared" si="92"/>
        <v>0</v>
      </c>
      <c r="AY108" s="382">
        <f t="shared" si="92"/>
        <v>0</v>
      </c>
      <c r="AZ108" s="382">
        <f t="shared" ref="AZ108:BI117" si="93">IF(AND(AZ$8&gt;=$D108,(MATCH(AZ$8,$AF$8:$CA$8,0)-MATCH($D108,$AF$8:$CA$8,0))&lt;12),$E108/12,0)</f>
        <v>0</v>
      </c>
      <c r="BA108" s="382">
        <f t="shared" si="93"/>
        <v>0</v>
      </c>
      <c r="BB108" s="382">
        <f t="shared" si="93"/>
        <v>0</v>
      </c>
      <c r="BC108" s="382">
        <f t="shared" si="93"/>
        <v>0</v>
      </c>
      <c r="BD108" s="382">
        <f t="shared" si="93"/>
        <v>0</v>
      </c>
      <c r="BE108" s="382">
        <f t="shared" si="93"/>
        <v>0</v>
      </c>
      <c r="BF108" s="382">
        <f t="shared" si="93"/>
        <v>0</v>
      </c>
      <c r="BG108" s="382">
        <f t="shared" si="93"/>
        <v>0</v>
      </c>
      <c r="BH108" s="382">
        <f t="shared" si="93"/>
        <v>0</v>
      </c>
      <c r="BI108" s="382">
        <f t="shared" si="93"/>
        <v>0</v>
      </c>
      <c r="BJ108" s="382">
        <f t="shared" ref="BJ108:BS117" si="94">IF(AND(BJ$8&gt;=$D108,(MATCH(BJ$8,$AF$8:$CA$8,0)-MATCH($D108,$AF$8:$CA$8,0))&lt;12),$E108/12,0)</f>
        <v>0</v>
      </c>
      <c r="BK108" s="382">
        <f t="shared" si="94"/>
        <v>0</v>
      </c>
      <c r="BL108" s="382">
        <f t="shared" si="94"/>
        <v>0</v>
      </c>
      <c r="BM108" s="382">
        <f t="shared" si="94"/>
        <v>0</v>
      </c>
      <c r="BN108" s="382">
        <f t="shared" si="94"/>
        <v>0</v>
      </c>
      <c r="BO108" s="382">
        <f t="shared" si="94"/>
        <v>0</v>
      </c>
      <c r="BP108" s="382">
        <f t="shared" si="94"/>
        <v>0</v>
      </c>
      <c r="BQ108" s="382">
        <f t="shared" si="94"/>
        <v>0</v>
      </c>
      <c r="BR108" s="382">
        <f t="shared" si="94"/>
        <v>0</v>
      </c>
      <c r="BS108" s="382">
        <f t="shared" si="94"/>
        <v>0</v>
      </c>
      <c r="BT108" s="382">
        <f t="shared" ref="BT108:CA117" si="95">IF(AND(BT$8&gt;=$D108,(MATCH(BT$8,$AF$8:$CA$8,0)-MATCH($D108,$AF$8:$CA$8,0))&lt;12),$E108/12,0)</f>
        <v>0</v>
      </c>
      <c r="BU108" s="382">
        <f t="shared" si="95"/>
        <v>0</v>
      </c>
      <c r="BV108" s="382">
        <f t="shared" si="95"/>
        <v>0</v>
      </c>
      <c r="BW108" s="382">
        <f t="shared" si="95"/>
        <v>0</v>
      </c>
      <c r="BX108" s="382">
        <f t="shared" si="95"/>
        <v>0</v>
      </c>
      <c r="BY108" s="382">
        <f t="shared" si="95"/>
        <v>0</v>
      </c>
      <c r="BZ108" s="382">
        <f t="shared" si="95"/>
        <v>0</v>
      </c>
      <c r="CA108" s="382">
        <f t="shared" si="95"/>
        <v>0</v>
      </c>
    </row>
    <row r="109" spans="3:79" ht="21" hidden="1" customHeight="1" outlineLevel="2">
      <c r="C109" s="370"/>
      <c r="D109" s="374">
        <f t="shared" si="76"/>
        <v>45900</v>
      </c>
      <c r="E109" s="408" cm="1">
        <f t="array" ref="E109">INDEX($AF$18:$CA$18,0,MATCH($D109,$AF$8:$CA$8,0))</f>
        <v>15892.5</v>
      </c>
      <c r="G109" s="359"/>
      <c r="H109" s="410">
        <f t="shared" si="83"/>
        <v>0</v>
      </c>
      <c r="I109" s="410">
        <f t="shared" si="83"/>
        <v>0</v>
      </c>
      <c r="J109" s="410">
        <f t="shared" si="83"/>
        <v>6621.875</v>
      </c>
      <c r="K109" s="410">
        <f t="shared" si="83"/>
        <v>9270.625</v>
      </c>
      <c r="L109" s="410"/>
      <c r="M109" s="410"/>
      <c r="N109" s="410">
        <f t="shared" si="90"/>
        <v>0</v>
      </c>
      <c r="O109" s="410">
        <f t="shared" si="90"/>
        <v>0</v>
      </c>
      <c r="P109" s="410">
        <f t="shared" si="90"/>
        <v>0</v>
      </c>
      <c r="Q109" s="410">
        <f t="shared" si="90"/>
        <v>0</v>
      </c>
      <c r="R109" s="410">
        <f t="shared" si="90"/>
        <v>0</v>
      </c>
      <c r="S109" s="410">
        <f t="shared" si="90"/>
        <v>0</v>
      </c>
      <c r="T109" s="410">
        <f t="shared" si="90"/>
        <v>0</v>
      </c>
      <c r="U109" s="410">
        <f t="shared" si="90"/>
        <v>0</v>
      </c>
      <c r="V109" s="410">
        <f t="shared" si="90"/>
        <v>0</v>
      </c>
      <c r="W109" s="410">
        <f t="shared" si="90"/>
        <v>0</v>
      </c>
      <c r="X109" s="410">
        <f t="shared" si="90"/>
        <v>2648.75</v>
      </c>
      <c r="Y109" s="410">
        <f t="shared" si="90"/>
        <v>3973.125</v>
      </c>
      <c r="Z109" s="410">
        <f t="shared" si="90"/>
        <v>3973.125</v>
      </c>
      <c r="AA109" s="410">
        <f t="shared" si="90"/>
        <v>3973.125</v>
      </c>
      <c r="AB109" s="410">
        <f t="shared" si="90"/>
        <v>1324.375</v>
      </c>
      <c r="AC109" s="410">
        <f t="shared" si="90"/>
        <v>0</v>
      </c>
      <c r="AE109" s="359"/>
      <c r="AF109" s="382">
        <f t="shared" si="91"/>
        <v>0</v>
      </c>
      <c r="AG109" s="382">
        <f t="shared" si="91"/>
        <v>0</v>
      </c>
      <c r="AH109" s="382">
        <f t="shared" si="91"/>
        <v>0</v>
      </c>
      <c r="AI109" s="382">
        <f t="shared" si="91"/>
        <v>0</v>
      </c>
      <c r="AJ109" s="382">
        <f t="shared" si="91"/>
        <v>0</v>
      </c>
      <c r="AK109" s="382">
        <f t="shared" si="91"/>
        <v>0</v>
      </c>
      <c r="AL109" s="382">
        <f t="shared" si="91"/>
        <v>0</v>
      </c>
      <c r="AM109" s="382">
        <f t="shared" si="91"/>
        <v>0</v>
      </c>
      <c r="AN109" s="382">
        <f t="shared" si="91"/>
        <v>0</v>
      </c>
      <c r="AO109" s="382">
        <f t="shared" si="91"/>
        <v>0</v>
      </c>
      <c r="AP109" s="382">
        <f t="shared" si="92"/>
        <v>0</v>
      </c>
      <c r="AQ109" s="382">
        <f t="shared" si="92"/>
        <v>0</v>
      </c>
      <c r="AR109" s="382">
        <f t="shared" si="92"/>
        <v>0</v>
      </c>
      <c r="AS109" s="382">
        <f t="shared" si="92"/>
        <v>0</v>
      </c>
      <c r="AT109" s="382">
        <f t="shared" si="92"/>
        <v>0</v>
      </c>
      <c r="AU109" s="382">
        <f t="shared" si="92"/>
        <v>0</v>
      </c>
      <c r="AV109" s="382">
        <f t="shared" si="92"/>
        <v>0</v>
      </c>
      <c r="AW109" s="382">
        <f t="shared" si="92"/>
        <v>0</v>
      </c>
      <c r="AX109" s="382">
        <f t="shared" si="92"/>
        <v>0</v>
      </c>
      <c r="AY109" s="382">
        <f t="shared" si="92"/>
        <v>0</v>
      </c>
      <c r="AZ109" s="382">
        <f t="shared" si="93"/>
        <v>0</v>
      </c>
      <c r="BA109" s="382">
        <f t="shared" si="93"/>
        <v>0</v>
      </c>
      <c r="BB109" s="382">
        <f t="shared" si="93"/>
        <v>0</v>
      </c>
      <c r="BC109" s="382">
        <f t="shared" si="93"/>
        <v>0</v>
      </c>
      <c r="BD109" s="382">
        <f t="shared" si="93"/>
        <v>0</v>
      </c>
      <c r="BE109" s="382">
        <f t="shared" si="93"/>
        <v>0</v>
      </c>
      <c r="BF109" s="382">
        <f t="shared" si="93"/>
        <v>0</v>
      </c>
      <c r="BG109" s="382">
        <f t="shared" si="93"/>
        <v>0</v>
      </c>
      <c r="BH109" s="382">
        <f t="shared" si="93"/>
        <v>0</v>
      </c>
      <c r="BI109" s="382">
        <f t="shared" si="93"/>
        <v>0</v>
      </c>
      <c r="BJ109" s="382">
        <f t="shared" si="94"/>
        <v>0</v>
      </c>
      <c r="BK109" s="382">
        <f t="shared" si="94"/>
        <v>1324.375</v>
      </c>
      <c r="BL109" s="382">
        <f t="shared" si="94"/>
        <v>1324.375</v>
      </c>
      <c r="BM109" s="382">
        <f t="shared" si="94"/>
        <v>1324.375</v>
      </c>
      <c r="BN109" s="382">
        <f t="shared" si="94"/>
        <v>1324.375</v>
      </c>
      <c r="BO109" s="382">
        <f t="shared" si="94"/>
        <v>1324.375</v>
      </c>
      <c r="BP109" s="382">
        <f t="shared" si="94"/>
        <v>1324.375</v>
      </c>
      <c r="BQ109" s="382">
        <f t="shared" si="94"/>
        <v>1324.375</v>
      </c>
      <c r="BR109" s="382">
        <f t="shared" si="94"/>
        <v>1324.375</v>
      </c>
      <c r="BS109" s="382">
        <f t="shared" si="94"/>
        <v>1324.375</v>
      </c>
      <c r="BT109" s="382">
        <f t="shared" si="95"/>
        <v>1324.375</v>
      </c>
      <c r="BU109" s="382">
        <f t="shared" si="95"/>
        <v>1324.375</v>
      </c>
      <c r="BV109" s="382">
        <f t="shared" si="95"/>
        <v>1324.375</v>
      </c>
      <c r="BW109" s="382">
        <f t="shared" si="95"/>
        <v>0</v>
      </c>
      <c r="BX109" s="382">
        <f t="shared" si="95"/>
        <v>0</v>
      </c>
      <c r="BY109" s="382">
        <f t="shared" si="95"/>
        <v>0</v>
      </c>
      <c r="BZ109" s="382">
        <f t="shared" si="95"/>
        <v>0</v>
      </c>
      <c r="CA109" s="382">
        <f t="shared" si="95"/>
        <v>0</v>
      </c>
    </row>
    <row r="110" spans="3:79" ht="21" hidden="1" customHeight="1" outlineLevel="2">
      <c r="C110" s="370"/>
      <c r="D110" s="374">
        <f t="shared" si="76"/>
        <v>45930</v>
      </c>
      <c r="E110" s="408" cm="1">
        <f t="array" ref="E110">INDEX($AF$18:$CA$18,0,MATCH($D110,$AF$8:$CA$8,0))</f>
        <v>0</v>
      </c>
      <c r="G110" s="359"/>
      <c r="H110" s="410">
        <f t="shared" si="83"/>
        <v>0</v>
      </c>
      <c r="I110" s="410">
        <f t="shared" si="83"/>
        <v>0</v>
      </c>
      <c r="J110" s="410">
        <f t="shared" si="83"/>
        <v>0</v>
      </c>
      <c r="K110" s="410">
        <f t="shared" si="83"/>
        <v>0</v>
      </c>
      <c r="L110" s="410"/>
      <c r="M110" s="410"/>
      <c r="N110" s="410">
        <f t="shared" si="90"/>
        <v>0</v>
      </c>
      <c r="O110" s="410">
        <f t="shared" si="90"/>
        <v>0</v>
      </c>
      <c r="P110" s="410">
        <f t="shared" si="90"/>
        <v>0</v>
      </c>
      <c r="Q110" s="410">
        <f t="shared" si="90"/>
        <v>0</v>
      </c>
      <c r="R110" s="410">
        <f t="shared" si="90"/>
        <v>0</v>
      </c>
      <c r="S110" s="410">
        <f t="shared" si="90"/>
        <v>0</v>
      </c>
      <c r="T110" s="410">
        <f t="shared" si="90"/>
        <v>0</v>
      </c>
      <c r="U110" s="410">
        <f t="shared" si="90"/>
        <v>0</v>
      </c>
      <c r="V110" s="410">
        <f t="shared" si="90"/>
        <v>0</v>
      </c>
      <c r="W110" s="410">
        <f t="shared" si="90"/>
        <v>0</v>
      </c>
      <c r="X110" s="410">
        <f t="shared" si="90"/>
        <v>0</v>
      </c>
      <c r="Y110" s="410">
        <f t="shared" si="90"/>
        <v>0</v>
      </c>
      <c r="Z110" s="410">
        <f t="shared" si="90"/>
        <v>0</v>
      </c>
      <c r="AA110" s="410">
        <f t="shared" si="90"/>
        <v>0</v>
      </c>
      <c r="AB110" s="410">
        <f t="shared" si="90"/>
        <v>0</v>
      </c>
      <c r="AC110" s="410">
        <f t="shared" si="90"/>
        <v>0</v>
      </c>
      <c r="AE110" s="359"/>
      <c r="AF110" s="382">
        <f t="shared" si="91"/>
        <v>0</v>
      </c>
      <c r="AG110" s="382">
        <f t="shared" si="91"/>
        <v>0</v>
      </c>
      <c r="AH110" s="382">
        <f t="shared" si="91"/>
        <v>0</v>
      </c>
      <c r="AI110" s="382">
        <f t="shared" si="91"/>
        <v>0</v>
      </c>
      <c r="AJ110" s="382">
        <f t="shared" si="91"/>
        <v>0</v>
      </c>
      <c r="AK110" s="382">
        <f t="shared" si="91"/>
        <v>0</v>
      </c>
      <c r="AL110" s="382">
        <f t="shared" si="91"/>
        <v>0</v>
      </c>
      <c r="AM110" s="382">
        <f t="shared" si="91"/>
        <v>0</v>
      </c>
      <c r="AN110" s="382">
        <f t="shared" si="91"/>
        <v>0</v>
      </c>
      <c r="AO110" s="382">
        <f t="shared" si="91"/>
        <v>0</v>
      </c>
      <c r="AP110" s="382">
        <f t="shared" si="92"/>
        <v>0</v>
      </c>
      <c r="AQ110" s="382">
        <f t="shared" si="92"/>
        <v>0</v>
      </c>
      <c r="AR110" s="382">
        <f t="shared" si="92"/>
        <v>0</v>
      </c>
      <c r="AS110" s="382">
        <f t="shared" si="92"/>
        <v>0</v>
      </c>
      <c r="AT110" s="382">
        <f t="shared" si="92"/>
        <v>0</v>
      </c>
      <c r="AU110" s="382">
        <f t="shared" si="92"/>
        <v>0</v>
      </c>
      <c r="AV110" s="382">
        <f t="shared" si="92"/>
        <v>0</v>
      </c>
      <c r="AW110" s="382">
        <f t="shared" si="92"/>
        <v>0</v>
      </c>
      <c r="AX110" s="382">
        <f t="shared" si="92"/>
        <v>0</v>
      </c>
      <c r="AY110" s="382">
        <f t="shared" si="92"/>
        <v>0</v>
      </c>
      <c r="AZ110" s="382">
        <f t="shared" si="93"/>
        <v>0</v>
      </c>
      <c r="BA110" s="382">
        <f t="shared" si="93"/>
        <v>0</v>
      </c>
      <c r="BB110" s="382">
        <f t="shared" si="93"/>
        <v>0</v>
      </c>
      <c r="BC110" s="382">
        <f t="shared" si="93"/>
        <v>0</v>
      </c>
      <c r="BD110" s="382">
        <f t="shared" si="93"/>
        <v>0</v>
      </c>
      <c r="BE110" s="382">
        <f t="shared" si="93"/>
        <v>0</v>
      </c>
      <c r="BF110" s="382">
        <f t="shared" si="93"/>
        <v>0</v>
      </c>
      <c r="BG110" s="382">
        <f t="shared" si="93"/>
        <v>0</v>
      </c>
      <c r="BH110" s="382">
        <f t="shared" si="93"/>
        <v>0</v>
      </c>
      <c r="BI110" s="382">
        <f t="shared" si="93"/>
        <v>0</v>
      </c>
      <c r="BJ110" s="382">
        <f t="shared" si="94"/>
        <v>0</v>
      </c>
      <c r="BK110" s="382">
        <f t="shared" si="94"/>
        <v>0</v>
      </c>
      <c r="BL110" s="382">
        <f t="shared" si="94"/>
        <v>0</v>
      </c>
      <c r="BM110" s="382">
        <f t="shared" si="94"/>
        <v>0</v>
      </c>
      <c r="BN110" s="382">
        <f t="shared" si="94"/>
        <v>0</v>
      </c>
      <c r="BO110" s="382">
        <f t="shared" si="94"/>
        <v>0</v>
      </c>
      <c r="BP110" s="382">
        <f t="shared" si="94"/>
        <v>0</v>
      </c>
      <c r="BQ110" s="382">
        <f t="shared" si="94"/>
        <v>0</v>
      </c>
      <c r="BR110" s="382">
        <f t="shared" si="94"/>
        <v>0</v>
      </c>
      <c r="BS110" s="382">
        <f t="shared" si="94"/>
        <v>0</v>
      </c>
      <c r="BT110" s="382">
        <f t="shared" si="95"/>
        <v>0</v>
      </c>
      <c r="BU110" s="382">
        <f t="shared" si="95"/>
        <v>0</v>
      </c>
      <c r="BV110" s="382">
        <f t="shared" si="95"/>
        <v>0</v>
      </c>
      <c r="BW110" s="382">
        <f t="shared" si="95"/>
        <v>0</v>
      </c>
      <c r="BX110" s="382">
        <f t="shared" si="95"/>
        <v>0</v>
      </c>
      <c r="BY110" s="382">
        <f t="shared" si="95"/>
        <v>0</v>
      </c>
      <c r="BZ110" s="382">
        <f t="shared" si="95"/>
        <v>0</v>
      </c>
      <c r="CA110" s="382">
        <f t="shared" si="95"/>
        <v>0</v>
      </c>
    </row>
    <row r="111" spans="3:79" ht="21" hidden="1" customHeight="1" outlineLevel="2">
      <c r="C111" s="370"/>
      <c r="D111" s="374">
        <f t="shared" si="76"/>
        <v>45961</v>
      </c>
      <c r="E111" s="408" cm="1">
        <f t="array" ref="E111">INDEX($AF$18:$CA$18,0,MATCH($D111,$AF$8:$CA$8,0))</f>
        <v>0</v>
      </c>
      <c r="G111" s="359"/>
      <c r="H111" s="410">
        <f t="shared" si="83"/>
        <v>0</v>
      </c>
      <c r="I111" s="410">
        <f t="shared" si="83"/>
        <v>0</v>
      </c>
      <c r="J111" s="410">
        <f t="shared" si="83"/>
        <v>0</v>
      </c>
      <c r="K111" s="410">
        <f t="shared" si="83"/>
        <v>0</v>
      </c>
      <c r="L111" s="410"/>
      <c r="M111" s="410"/>
      <c r="N111" s="410">
        <f t="shared" si="90"/>
        <v>0</v>
      </c>
      <c r="O111" s="410">
        <f t="shared" si="90"/>
        <v>0</v>
      </c>
      <c r="P111" s="410">
        <f t="shared" si="90"/>
        <v>0</v>
      </c>
      <c r="Q111" s="410">
        <f t="shared" si="90"/>
        <v>0</v>
      </c>
      <c r="R111" s="410">
        <f t="shared" si="90"/>
        <v>0</v>
      </c>
      <c r="S111" s="410">
        <f t="shared" si="90"/>
        <v>0</v>
      </c>
      <c r="T111" s="410">
        <f t="shared" si="90"/>
        <v>0</v>
      </c>
      <c r="U111" s="410">
        <f t="shared" si="90"/>
        <v>0</v>
      </c>
      <c r="V111" s="410">
        <f t="shared" si="90"/>
        <v>0</v>
      </c>
      <c r="W111" s="410">
        <f t="shared" si="90"/>
        <v>0</v>
      </c>
      <c r="X111" s="410">
        <f t="shared" si="90"/>
        <v>0</v>
      </c>
      <c r="Y111" s="410">
        <f t="shared" si="90"/>
        <v>0</v>
      </c>
      <c r="Z111" s="410">
        <f t="shared" si="90"/>
        <v>0</v>
      </c>
      <c r="AA111" s="410">
        <f t="shared" si="90"/>
        <v>0</v>
      </c>
      <c r="AB111" s="410">
        <f t="shared" si="90"/>
        <v>0</v>
      </c>
      <c r="AC111" s="410">
        <f t="shared" si="90"/>
        <v>0</v>
      </c>
      <c r="AE111" s="359"/>
      <c r="AF111" s="382">
        <f t="shared" si="91"/>
        <v>0</v>
      </c>
      <c r="AG111" s="382">
        <f t="shared" si="91"/>
        <v>0</v>
      </c>
      <c r="AH111" s="382">
        <f t="shared" si="91"/>
        <v>0</v>
      </c>
      <c r="AI111" s="382">
        <f t="shared" si="91"/>
        <v>0</v>
      </c>
      <c r="AJ111" s="382">
        <f t="shared" si="91"/>
        <v>0</v>
      </c>
      <c r="AK111" s="382">
        <f t="shared" si="91"/>
        <v>0</v>
      </c>
      <c r="AL111" s="382">
        <f t="shared" si="91"/>
        <v>0</v>
      </c>
      <c r="AM111" s="382">
        <f t="shared" si="91"/>
        <v>0</v>
      </c>
      <c r="AN111" s="382">
        <f t="shared" si="91"/>
        <v>0</v>
      </c>
      <c r="AO111" s="382">
        <f t="shared" si="91"/>
        <v>0</v>
      </c>
      <c r="AP111" s="382">
        <f t="shared" si="92"/>
        <v>0</v>
      </c>
      <c r="AQ111" s="382">
        <f t="shared" si="92"/>
        <v>0</v>
      </c>
      <c r="AR111" s="382">
        <f t="shared" si="92"/>
        <v>0</v>
      </c>
      <c r="AS111" s="382">
        <f t="shared" si="92"/>
        <v>0</v>
      </c>
      <c r="AT111" s="382">
        <f t="shared" si="92"/>
        <v>0</v>
      </c>
      <c r="AU111" s="382">
        <f t="shared" si="92"/>
        <v>0</v>
      </c>
      <c r="AV111" s="382">
        <f t="shared" si="92"/>
        <v>0</v>
      </c>
      <c r="AW111" s="382">
        <f t="shared" si="92"/>
        <v>0</v>
      </c>
      <c r="AX111" s="382">
        <f t="shared" si="92"/>
        <v>0</v>
      </c>
      <c r="AY111" s="382">
        <f t="shared" si="92"/>
        <v>0</v>
      </c>
      <c r="AZ111" s="382">
        <f t="shared" si="93"/>
        <v>0</v>
      </c>
      <c r="BA111" s="382">
        <f t="shared" si="93"/>
        <v>0</v>
      </c>
      <c r="BB111" s="382">
        <f t="shared" si="93"/>
        <v>0</v>
      </c>
      <c r="BC111" s="382">
        <f t="shared" si="93"/>
        <v>0</v>
      </c>
      <c r="BD111" s="382">
        <f t="shared" si="93"/>
        <v>0</v>
      </c>
      <c r="BE111" s="382">
        <f t="shared" si="93"/>
        <v>0</v>
      </c>
      <c r="BF111" s="382">
        <f t="shared" si="93"/>
        <v>0</v>
      </c>
      <c r="BG111" s="382">
        <f t="shared" si="93"/>
        <v>0</v>
      </c>
      <c r="BH111" s="382">
        <f t="shared" si="93"/>
        <v>0</v>
      </c>
      <c r="BI111" s="382">
        <f t="shared" si="93"/>
        <v>0</v>
      </c>
      <c r="BJ111" s="382">
        <f t="shared" si="94"/>
        <v>0</v>
      </c>
      <c r="BK111" s="382">
        <f t="shared" si="94"/>
        <v>0</v>
      </c>
      <c r="BL111" s="382">
        <f t="shared" si="94"/>
        <v>0</v>
      </c>
      <c r="BM111" s="382">
        <f t="shared" si="94"/>
        <v>0</v>
      </c>
      <c r="BN111" s="382">
        <f t="shared" si="94"/>
        <v>0</v>
      </c>
      <c r="BO111" s="382">
        <f t="shared" si="94"/>
        <v>0</v>
      </c>
      <c r="BP111" s="382">
        <f t="shared" si="94"/>
        <v>0</v>
      </c>
      <c r="BQ111" s="382">
        <f t="shared" si="94"/>
        <v>0</v>
      </c>
      <c r="BR111" s="382">
        <f t="shared" si="94"/>
        <v>0</v>
      </c>
      <c r="BS111" s="382">
        <f t="shared" si="94"/>
        <v>0</v>
      </c>
      <c r="BT111" s="382">
        <f t="shared" si="95"/>
        <v>0</v>
      </c>
      <c r="BU111" s="382">
        <f t="shared" si="95"/>
        <v>0</v>
      </c>
      <c r="BV111" s="382">
        <f t="shared" si="95"/>
        <v>0</v>
      </c>
      <c r="BW111" s="382">
        <f t="shared" si="95"/>
        <v>0</v>
      </c>
      <c r="BX111" s="382">
        <f t="shared" si="95"/>
        <v>0</v>
      </c>
      <c r="BY111" s="382">
        <f t="shared" si="95"/>
        <v>0</v>
      </c>
      <c r="BZ111" s="382">
        <f t="shared" si="95"/>
        <v>0</v>
      </c>
      <c r="CA111" s="382">
        <f t="shared" si="95"/>
        <v>0</v>
      </c>
    </row>
    <row r="112" spans="3:79" ht="21" hidden="1" customHeight="1" outlineLevel="2">
      <c r="C112" s="370"/>
      <c r="D112" s="374">
        <f t="shared" si="76"/>
        <v>45991</v>
      </c>
      <c r="E112" s="408" cm="1">
        <f t="array" ref="E112">INDEX($AF$18:$CA$18,0,MATCH($D112,$AF$8:$CA$8,0))</f>
        <v>7450</v>
      </c>
      <c r="G112" s="359"/>
      <c r="H112" s="410">
        <f t="shared" si="83"/>
        <v>0</v>
      </c>
      <c r="I112" s="410">
        <f t="shared" si="83"/>
        <v>0</v>
      </c>
      <c r="J112" s="410">
        <f t="shared" si="83"/>
        <v>1241.6666666666667</v>
      </c>
      <c r="K112" s="410">
        <f t="shared" si="83"/>
        <v>6208.333333333333</v>
      </c>
      <c r="L112" s="410"/>
      <c r="M112" s="410"/>
      <c r="N112" s="410">
        <f t="shared" si="90"/>
        <v>0</v>
      </c>
      <c r="O112" s="410">
        <f t="shared" si="90"/>
        <v>0</v>
      </c>
      <c r="P112" s="410">
        <f t="shared" si="90"/>
        <v>0</v>
      </c>
      <c r="Q112" s="410">
        <f t="shared" si="90"/>
        <v>0</v>
      </c>
      <c r="R112" s="410">
        <f t="shared" si="90"/>
        <v>0</v>
      </c>
      <c r="S112" s="410">
        <f t="shared" si="90"/>
        <v>0</v>
      </c>
      <c r="T112" s="410">
        <f t="shared" si="90"/>
        <v>0</v>
      </c>
      <c r="U112" s="410">
        <f t="shared" si="90"/>
        <v>0</v>
      </c>
      <c r="V112" s="410">
        <f t="shared" si="90"/>
        <v>0</v>
      </c>
      <c r="W112" s="410">
        <f t="shared" si="90"/>
        <v>0</v>
      </c>
      <c r="X112" s="410">
        <f t="shared" si="90"/>
        <v>0</v>
      </c>
      <c r="Y112" s="410">
        <f t="shared" si="90"/>
        <v>1241.6666666666667</v>
      </c>
      <c r="Z112" s="410">
        <f t="shared" si="90"/>
        <v>1862.5</v>
      </c>
      <c r="AA112" s="410">
        <f t="shared" si="90"/>
        <v>1862.5</v>
      </c>
      <c r="AB112" s="410">
        <f t="shared" si="90"/>
        <v>1862.5</v>
      </c>
      <c r="AC112" s="410">
        <f t="shared" si="90"/>
        <v>620.83333333333337</v>
      </c>
      <c r="AE112" s="359"/>
      <c r="AF112" s="382">
        <f t="shared" si="91"/>
        <v>0</v>
      </c>
      <c r="AG112" s="382">
        <f t="shared" si="91"/>
        <v>0</v>
      </c>
      <c r="AH112" s="382">
        <f t="shared" si="91"/>
        <v>0</v>
      </c>
      <c r="AI112" s="382">
        <f t="shared" si="91"/>
        <v>0</v>
      </c>
      <c r="AJ112" s="382">
        <f t="shared" si="91"/>
        <v>0</v>
      </c>
      <c r="AK112" s="382">
        <f t="shared" si="91"/>
        <v>0</v>
      </c>
      <c r="AL112" s="382">
        <f t="shared" si="91"/>
        <v>0</v>
      </c>
      <c r="AM112" s="382">
        <f t="shared" si="91"/>
        <v>0</v>
      </c>
      <c r="AN112" s="382">
        <f t="shared" si="91"/>
        <v>0</v>
      </c>
      <c r="AO112" s="382">
        <f t="shared" si="91"/>
        <v>0</v>
      </c>
      <c r="AP112" s="382">
        <f t="shared" si="92"/>
        <v>0</v>
      </c>
      <c r="AQ112" s="382">
        <f t="shared" si="92"/>
        <v>0</v>
      </c>
      <c r="AR112" s="382">
        <f t="shared" si="92"/>
        <v>0</v>
      </c>
      <c r="AS112" s="382">
        <f t="shared" si="92"/>
        <v>0</v>
      </c>
      <c r="AT112" s="382">
        <f t="shared" si="92"/>
        <v>0</v>
      </c>
      <c r="AU112" s="382">
        <f t="shared" si="92"/>
        <v>0</v>
      </c>
      <c r="AV112" s="382">
        <f t="shared" si="92"/>
        <v>0</v>
      </c>
      <c r="AW112" s="382">
        <f t="shared" si="92"/>
        <v>0</v>
      </c>
      <c r="AX112" s="382">
        <f t="shared" si="92"/>
        <v>0</v>
      </c>
      <c r="AY112" s="382">
        <f t="shared" si="92"/>
        <v>0</v>
      </c>
      <c r="AZ112" s="382">
        <f t="shared" si="93"/>
        <v>0</v>
      </c>
      <c r="BA112" s="382">
        <f t="shared" si="93"/>
        <v>0</v>
      </c>
      <c r="BB112" s="382">
        <f t="shared" si="93"/>
        <v>0</v>
      </c>
      <c r="BC112" s="382">
        <f t="shared" si="93"/>
        <v>0</v>
      </c>
      <c r="BD112" s="382">
        <f t="shared" si="93"/>
        <v>0</v>
      </c>
      <c r="BE112" s="382">
        <f t="shared" si="93"/>
        <v>0</v>
      </c>
      <c r="BF112" s="382">
        <f t="shared" si="93"/>
        <v>0</v>
      </c>
      <c r="BG112" s="382">
        <f t="shared" si="93"/>
        <v>0</v>
      </c>
      <c r="BH112" s="382">
        <f t="shared" si="93"/>
        <v>0</v>
      </c>
      <c r="BI112" s="382">
        <f t="shared" si="93"/>
        <v>0</v>
      </c>
      <c r="BJ112" s="382">
        <f t="shared" si="94"/>
        <v>0</v>
      </c>
      <c r="BK112" s="382">
        <f t="shared" si="94"/>
        <v>0</v>
      </c>
      <c r="BL112" s="382">
        <f t="shared" si="94"/>
        <v>0</v>
      </c>
      <c r="BM112" s="382">
        <f t="shared" si="94"/>
        <v>0</v>
      </c>
      <c r="BN112" s="382">
        <f t="shared" si="94"/>
        <v>620.83333333333337</v>
      </c>
      <c r="BO112" s="382">
        <f t="shared" si="94"/>
        <v>620.83333333333337</v>
      </c>
      <c r="BP112" s="382">
        <f t="shared" si="94"/>
        <v>620.83333333333337</v>
      </c>
      <c r="BQ112" s="382">
        <f t="shared" si="94"/>
        <v>620.83333333333337</v>
      </c>
      <c r="BR112" s="382">
        <f t="shared" si="94"/>
        <v>620.83333333333337</v>
      </c>
      <c r="BS112" s="382">
        <f t="shared" si="94"/>
        <v>620.83333333333337</v>
      </c>
      <c r="BT112" s="382">
        <f t="shared" si="95"/>
        <v>620.83333333333337</v>
      </c>
      <c r="BU112" s="382">
        <f t="shared" si="95"/>
        <v>620.83333333333337</v>
      </c>
      <c r="BV112" s="382">
        <f t="shared" si="95"/>
        <v>620.83333333333337</v>
      </c>
      <c r="BW112" s="382">
        <f t="shared" si="95"/>
        <v>620.83333333333337</v>
      </c>
      <c r="BX112" s="382">
        <f t="shared" si="95"/>
        <v>620.83333333333337</v>
      </c>
      <c r="BY112" s="382">
        <f t="shared" si="95"/>
        <v>620.83333333333337</v>
      </c>
      <c r="BZ112" s="382">
        <f t="shared" si="95"/>
        <v>0</v>
      </c>
      <c r="CA112" s="382">
        <f t="shared" si="95"/>
        <v>0</v>
      </c>
    </row>
    <row r="113" spans="3:79" ht="21" hidden="1" customHeight="1" outlineLevel="2">
      <c r="C113" s="370"/>
      <c r="D113" s="374">
        <f t="shared" si="76"/>
        <v>46022</v>
      </c>
      <c r="E113" s="408" cm="1">
        <f t="array" ref="E113">INDEX($AF$18:$CA$18,0,MATCH($D113,$AF$8:$CA$8,0))</f>
        <v>17450</v>
      </c>
      <c r="G113" s="359"/>
      <c r="H113" s="410">
        <f t="shared" si="83"/>
        <v>0</v>
      </c>
      <c r="I113" s="410">
        <f t="shared" si="83"/>
        <v>0</v>
      </c>
      <c r="J113" s="410">
        <f t="shared" si="83"/>
        <v>1454.1666666666667</v>
      </c>
      <c r="K113" s="410">
        <f t="shared" si="83"/>
        <v>15995.83333333333</v>
      </c>
      <c r="L113" s="410"/>
      <c r="M113" s="410"/>
      <c r="N113" s="410">
        <f t="shared" si="90"/>
        <v>0</v>
      </c>
      <c r="O113" s="410">
        <f t="shared" si="90"/>
        <v>0</v>
      </c>
      <c r="P113" s="410">
        <f t="shared" si="90"/>
        <v>0</v>
      </c>
      <c r="Q113" s="410">
        <f t="shared" si="90"/>
        <v>0</v>
      </c>
      <c r="R113" s="410">
        <f t="shared" si="90"/>
        <v>0</v>
      </c>
      <c r="S113" s="410">
        <f t="shared" si="90"/>
        <v>0</v>
      </c>
      <c r="T113" s="410">
        <f t="shared" si="90"/>
        <v>0</v>
      </c>
      <c r="U113" s="410">
        <f t="shared" si="90"/>
        <v>0</v>
      </c>
      <c r="V113" s="410">
        <f t="shared" si="90"/>
        <v>0</v>
      </c>
      <c r="W113" s="410">
        <f t="shared" si="90"/>
        <v>0</v>
      </c>
      <c r="X113" s="410">
        <f t="shared" si="90"/>
        <v>0</v>
      </c>
      <c r="Y113" s="410">
        <f t="shared" si="90"/>
        <v>1454.1666666666667</v>
      </c>
      <c r="Z113" s="410">
        <f t="shared" si="90"/>
        <v>4362.5</v>
      </c>
      <c r="AA113" s="410">
        <f t="shared" si="90"/>
        <v>4362.5</v>
      </c>
      <c r="AB113" s="410">
        <f t="shared" si="90"/>
        <v>4362.5</v>
      </c>
      <c r="AC113" s="410">
        <f t="shared" si="90"/>
        <v>2908.3333333333335</v>
      </c>
      <c r="AE113" s="359"/>
      <c r="AF113" s="382">
        <f t="shared" si="91"/>
        <v>0</v>
      </c>
      <c r="AG113" s="382">
        <f t="shared" si="91"/>
        <v>0</v>
      </c>
      <c r="AH113" s="382">
        <f t="shared" si="91"/>
        <v>0</v>
      </c>
      <c r="AI113" s="382">
        <f t="shared" si="91"/>
        <v>0</v>
      </c>
      <c r="AJ113" s="382">
        <f t="shared" si="91"/>
        <v>0</v>
      </c>
      <c r="AK113" s="382">
        <f t="shared" si="91"/>
        <v>0</v>
      </c>
      <c r="AL113" s="382">
        <f t="shared" si="91"/>
        <v>0</v>
      </c>
      <c r="AM113" s="382">
        <f t="shared" si="91"/>
        <v>0</v>
      </c>
      <c r="AN113" s="382">
        <f t="shared" si="91"/>
        <v>0</v>
      </c>
      <c r="AO113" s="382">
        <f t="shared" si="91"/>
        <v>0</v>
      </c>
      <c r="AP113" s="382">
        <f t="shared" si="92"/>
        <v>0</v>
      </c>
      <c r="AQ113" s="382">
        <f t="shared" si="92"/>
        <v>0</v>
      </c>
      <c r="AR113" s="382">
        <f t="shared" si="92"/>
        <v>0</v>
      </c>
      <c r="AS113" s="382">
        <f t="shared" si="92"/>
        <v>0</v>
      </c>
      <c r="AT113" s="382">
        <f t="shared" si="92"/>
        <v>0</v>
      </c>
      <c r="AU113" s="382">
        <f t="shared" si="92"/>
        <v>0</v>
      </c>
      <c r="AV113" s="382">
        <f t="shared" si="92"/>
        <v>0</v>
      </c>
      <c r="AW113" s="382">
        <f t="shared" si="92"/>
        <v>0</v>
      </c>
      <c r="AX113" s="382">
        <f t="shared" si="92"/>
        <v>0</v>
      </c>
      <c r="AY113" s="382">
        <f t="shared" si="92"/>
        <v>0</v>
      </c>
      <c r="AZ113" s="382">
        <f t="shared" si="93"/>
        <v>0</v>
      </c>
      <c r="BA113" s="382">
        <f t="shared" si="93"/>
        <v>0</v>
      </c>
      <c r="BB113" s="382">
        <f t="shared" si="93"/>
        <v>0</v>
      </c>
      <c r="BC113" s="382">
        <f t="shared" si="93"/>
        <v>0</v>
      </c>
      <c r="BD113" s="382">
        <f t="shared" si="93"/>
        <v>0</v>
      </c>
      <c r="BE113" s="382">
        <f t="shared" si="93"/>
        <v>0</v>
      </c>
      <c r="BF113" s="382">
        <f t="shared" si="93"/>
        <v>0</v>
      </c>
      <c r="BG113" s="382">
        <f t="shared" si="93"/>
        <v>0</v>
      </c>
      <c r="BH113" s="382">
        <f t="shared" si="93"/>
        <v>0</v>
      </c>
      <c r="BI113" s="382">
        <f t="shared" si="93"/>
        <v>0</v>
      </c>
      <c r="BJ113" s="382">
        <f t="shared" si="94"/>
        <v>0</v>
      </c>
      <c r="BK113" s="382">
        <f t="shared" si="94"/>
        <v>0</v>
      </c>
      <c r="BL113" s="382">
        <f t="shared" si="94"/>
        <v>0</v>
      </c>
      <c r="BM113" s="382">
        <f t="shared" si="94"/>
        <v>0</v>
      </c>
      <c r="BN113" s="382">
        <f t="shared" si="94"/>
        <v>0</v>
      </c>
      <c r="BO113" s="382">
        <f t="shared" si="94"/>
        <v>1454.1666666666667</v>
      </c>
      <c r="BP113" s="382">
        <f t="shared" si="94"/>
        <v>1454.1666666666667</v>
      </c>
      <c r="BQ113" s="382">
        <f t="shared" si="94"/>
        <v>1454.1666666666667</v>
      </c>
      <c r="BR113" s="382">
        <f t="shared" si="94"/>
        <v>1454.1666666666667</v>
      </c>
      <c r="BS113" s="382">
        <f t="shared" si="94"/>
        <v>1454.1666666666667</v>
      </c>
      <c r="BT113" s="382">
        <f t="shared" si="95"/>
        <v>1454.1666666666667</v>
      </c>
      <c r="BU113" s="382">
        <f t="shared" si="95"/>
        <v>1454.1666666666667</v>
      </c>
      <c r="BV113" s="382">
        <f t="shared" si="95"/>
        <v>1454.1666666666667</v>
      </c>
      <c r="BW113" s="382">
        <f t="shared" si="95"/>
        <v>1454.1666666666667</v>
      </c>
      <c r="BX113" s="382">
        <f t="shared" si="95"/>
        <v>1454.1666666666667</v>
      </c>
      <c r="BY113" s="382">
        <f t="shared" si="95"/>
        <v>1454.1666666666667</v>
      </c>
      <c r="BZ113" s="382">
        <f t="shared" si="95"/>
        <v>1454.1666666666667</v>
      </c>
      <c r="CA113" s="382">
        <f t="shared" si="95"/>
        <v>0</v>
      </c>
    </row>
    <row r="114" spans="3:79" ht="21" hidden="1" customHeight="1" outlineLevel="2">
      <c r="C114" s="370"/>
      <c r="D114" s="374">
        <f t="shared" si="76"/>
        <v>46053</v>
      </c>
      <c r="E114" s="408" cm="1">
        <f t="array" ref="E114">INDEX($AF$18:$CA$18,0,MATCH($D114,$AF$8:$CA$8,0))</f>
        <v>83620</v>
      </c>
      <c r="G114" s="359"/>
      <c r="H114" s="410">
        <f t="shared" si="83"/>
        <v>0</v>
      </c>
      <c r="I114" s="410">
        <f t="shared" si="83"/>
        <v>0</v>
      </c>
      <c r="J114" s="410">
        <f t="shared" si="83"/>
        <v>0</v>
      </c>
      <c r="K114" s="410">
        <f t="shared" si="83"/>
        <v>83620</v>
      </c>
      <c r="L114" s="410"/>
      <c r="M114" s="410"/>
      <c r="N114" s="410">
        <f t="shared" si="90"/>
        <v>0</v>
      </c>
      <c r="O114" s="410">
        <f t="shared" si="90"/>
        <v>0</v>
      </c>
      <c r="P114" s="410">
        <f t="shared" si="90"/>
        <v>0</v>
      </c>
      <c r="Q114" s="410">
        <f t="shared" si="90"/>
        <v>0</v>
      </c>
      <c r="R114" s="410">
        <f t="shared" si="90"/>
        <v>0</v>
      </c>
      <c r="S114" s="410">
        <f t="shared" si="90"/>
        <v>0</v>
      </c>
      <c r="T114" s="410">
        <f t="shared" si="90"/>
        <v>0</v>
      </c>
      <c r="U114" s="410">
        <f t="shared" si="90"/>
        <v>0</v>
      </c>
      <c r="V114" s="410">
        <f t="shared" si="90"/>
        <v>0</v>
      </c>
      <c r="W114" s="410">
        <f t="shared" si="90"/>
        <v>0</v>
      </c>
      <c r="X114" s="410">
        <f t="shared" si="90"/>
        <v>0</v>
      </c>
      <c r="Y114" s="410">
        <f t="shared" si="90"/>
        <v>0</v>
      </c>
      <c r="Z114" s="410">
        <f t="shared" si="90"/>
        <v>20905</v>
      </c>
      <c r="AA114" s="410">
        <f t="shared" si="90"/>
        <v>20905</v>
      </c>
      <c r="AB114" s="410">
        <f t="shared" si="90"/>
        <v>20905</v>
      </c>
      <c r="AC114" s="410">
        <f t="shared" si="90"/>
        <v>20905</v>
      </c>
      <c r="AE114" s="359"/>
      <c r="AF114" s="382">
        <f t="shared" si="91"/>
        <v>0</v>
      </c>
      <c r="AG114" s="382">
        <f t="shared" si="91"/>
        <v>0</v>
      </c>
      <c r="AH114" s="382">
        <f t="shared" si="91"/>
        <v>0</v>
      </c>
      <c r="AI114" s="382">
        <f t="shared" si="91"/>
        <v>0</v>
      </c>
      <c r="AJ114" s="382">
        <f t="shared" si="91"/>
        <v>0</v>
      </c>
      <c r="AK114" s="382">
        <f t="shared" si="91"/>
        <v>0</v>
      </c>
      <c r="AL114" s="382">
        <f t="shared" si="91"/>
        <v>0</v>
      </c>
      <c r="AM114" s="382">
        <f t="shared" si="91"/>
        <v>0</v>
      </c>
      <c r="AN114" s="382">
        <f t="shared" si="91"/>
        <v>0</v>
      </c>
      <c r="AO114" s="382">
        <f t="shared" si="91"/>
        <v>0</v>
      </c>
      <c r="AP114" s="382">
        <f t="shared" si="92"/>
        <v>0</v>
      </c>
      <c r="AQ114" s="382">
        <f t="shared" si="92"/>
        <v>0</v>
      </c>
      <c r="AR114" s="382">
        <f t="shared" si="92"/>
        <v>0</v>
      </c>
      <c r="AS114" s="382">
        <f t="shared" si="92"/>
        <v>0</v>
      </c>
      <c r="AT114" s="382">
        <f t="shared" si="92"/>
        <v>0</v>
      </c>
      <c r="AU114" s="382">
        <f t="shared" si="92"/>
        <v>0</v>
      </c>
      <c r="AV114" s="382">
        <f t="shared" si="92"/>
        <v>0</v>
      </c>
      <c r="AW114" s="382">
        <f t="shared" si="92"/>
        <v>0</v>
      </c>
      <c r="AX114" s="382">
        <f t="shared" si="92"/>
        <v>0</v>
      </c>
      <c r="AY114" s="382">
        <f t="shared" si="92"/>
        <v>0</v>
      </c>
      <c r="AZ114" s="382">
        <f t="shared" si="93"/>
        <v>0</v>
      </c>
      <c r="BA114" s="382">
        <f t="shared" si="93"/>
        <v>0</v>
      </c>
      <c r="BB114" s="382">
        <f t="shared" si="93"/>
        <v>0</v>
      </c>
      <c r="BC114" s="382">
        <f t="shared" si="93"/>
        <v>0</v>
      </c>
      <c r="BD114" s="382">
        <f t="shared" si="93"/>
        <v>0</v>
      </c>
      <c r="BE114" s="382">
        <f t="shared" si="93"/>
        <v>0</v>
      </c>
      <c r="BF114" s="382">
        <f t="shared" si="93"/>
        <v>0</v>
      </c>
      <c r="BG114" s="382">
        <f t="shared" si="93"/>
        <v>0</v>
      </c>
      <c r="BH114" s="382">
        <f t="shared" si="93"/>
        <v>0</v>
      </c>
      <c r="BI114" s="382">
        <f t="shared" si="93"/>
        <v>0</v>
      </c>
      <c r="BJ114" s="382">
        <f t="shared" si="94"/>
        <v>0</v>
      </c>
      <c r="BK114" s="382">
        <f t="shared" si="94"/>
        <v>0</v>
      </c>
      <c r="BL114" s="382">
        <f t="shared" si="94"/>
        <v>0</v>
      </c>
      <c r="BM114" s="382">
        <f t="shared" si="94"/>
        <v>0</v>
      </c>
      <c r="BN114" s="382">
        <f t="shared" si="94"/>
        <v>0</v>
      </c>
      <c r="BO114" s="382">
        <f t="shared" si="94"/>
        <v>0</v>
      </c>
      <c r="BP114" s="382">
        <f t="shared" si="94"/>
        <v>6968.333333333333</v>
      </c>
      <c r="BQ114" s="382">
        <f t="shared" si="94"/>
        <v>6968.333333333333</v>
      </c>
      <c r="BR114" s="382">
        <f t="shared" si="94"/>
        <v>6968.333333333333</v>
      </c>
      <c r="BS114" s="382">
        <f t="shared" si="94"/>
        <v>6968.333333333333</v>
      </c>
      <c r="BT114" s="382">
        <f t="shared" si="95"/>
        <v>6968.333333333333</v>
      </c>
      <c r="BU114" s="382">
        <f t="shared" si="95"/>
        <v>6968.333333333333</v>
      </c>
      <c r="BV114" s="382">
        <f t="shared" si="95"/>
        <v>6968.333333333333</v>
      </c>
      <c r="BW114" s="382">
        <f t="shared" si="95"/>
        <v>6968.333333333333</v>
      </c>
      <c r="BX114" s="382">
        <f t="shared" si="95"/>
        <v>6968.333333333333</v>
      </c>
      <c r="BY114" s="382">
        <f t="shared" si="95"/>
        <v>6968.333333333333</v>
      </c>
      <c r="BZ114" s="382">
        <f t="shared" si="95"/>
        <v>6968.333333333333</v>
      </c>
      <c r="CA114" s="382">
        <f t="shared" si="95"/>
        <v>6968.333333333333</v>
      </c>
    </row>
    <row r="115" spans="3:79" ht="21" hidden="1" customHeight="1" outlineLevel="2">
      <c r="C115" s="370"/>
      <c r="D115" s="374">
        <f t="shared" si="76"/>
        <v>46081</v>
      </c>
      <c r="E115" s="408" cm="1">
        <f t="array" ref="E115">INDEX($AF$18:$CA$18,0,MATCH($D115,$AF$8:$CA$8,0))</f>
        <v>17800</v>
      </c>
      <c r="G115" s="359"/>
      <c r="H115" s="410">
        <f t="shared" si="83"/>
        <v>0</v>
      </c>
      <c r="I115" s="410">
        <f t="shared" si="83"/>
        <v>0</v>
      </c>
      <c r="J115" s="410">
        <f t="shared" si="83"/>
        <v>0</v>
      </c>
      <c r="K115" s="410">
        <f t="shared" si="83"/>
        <v>16316.66666666667</v>
      </c>
      <c r="L115" s="410"/>
      <c r="M115" s="410"/>
      <c r="N115" s="410">
        <f t="shared" si="90"/>
        <v>0</v>
      </c>
      <c r="O115" s="410">
        <f t="shared" si="90"/>
        <v>0</v>
      </c>
      <c r="P115" s="410">
        <f t="shared" si="90"/>
        <v>0</v>
      </c>
      <c r="Q115" s="410">
        <f t="shared" si="90"/>
        <v>0</v>
      </c>
      <c r="R115" s="410">
        <f t="shared" si="90"/>
        <v>0</v>
      </c>
      <c r="S115" s="410">
        <f t="shared" si="90"/>
        <v>0</v>
      </c>
      <c r="T115" s="410">
        <f t="shared" si="90"/>
        <v>0</v>
      </c>
      <c r="U115" s="410">
        <f t="shared" si="90"/>
        <v>0</v>
      </c>
      <c r="V115" s="410">
        <f t="shared" si="90"/>
        <v>0</v>
      </c>
      <c r="W115" s="410">
        <f t="shared" si="90"/>
        <v>0</v>
      </c>
      <c r="X115" s="410">
        <f t="shared" si="90"/>
        <v>0</v>
      </c>
      <c r="Y115" s="410">
        <f t="shared" si="90"/>
        <v>0</v>
      </c>
      <c r="Z115" s="410">
        <f t="shared" si="90"/>
        <v>2966.6666666666665</v>
      </c>
      <c r="AA115" s="410">
        <f t="shared" si="90"/>
        <v>4450</v>
      </c>
      <c r="AB115" s="410">
        <f t="shared" si="90"/>
        <v>4450</v>
      </c>
      <c r="AC115" s="410">
        <f t="shared" si="90"/>
        <v>4450</v>
      </c>
      <c r="AE115" s="359"/>
      <c r="AF115" s="382">
        <f t="shared" si="91"/>
        <v>0</v>
      </c>
      <c r="AG115" s="382">
        <f t="shared" si="91"/>
        <v>0</v>
      </c>
      <c r="AH115" s="382">
        <f t="shared" si="91"/>
        <v>0</v>
      </c>
      <c r="AI115" s="382">
        <f t="shared" si="91"/>
        <v>0</v>
      </c>
      <c r="AJ115" s="382">
        <f t="shared" si="91"/>
        <v>0</v>
      </c>
      <c r="AK115" s="382">
        <f t="shared" si="91"/>
        <v>0</v>
      </c>
      <c r="AL115" s="382">
        <f t="shared" si="91"/>
        <v>0</v>
      </c>
      <c r="AM115" s="382">
        <f t="shared" si="91"/>
        <v>0</v>
      </c>
      <c r="AN115" s="382">
        <f t="shared" si="91"/>
        <v>0</v>
      </c>
      <c r="AO115" s="382">
        <f t="shared" si="91"/>
        <v>0</v>
      </c>
      <c r="AP115" s="382">
        <f t="shared" si="92"/>
        <v>0</v>
      </c>
      <c r="AQ115" s="382">
        <f t="shared" si="92"/>
        <v>0</v>
      </c>
      <c r="AR115" s="382">
        <f t="shared" si="92"/>
        <v>0</v>
      </c>
      <c r="AS115" s="382">
        <f t="shared" si="92"/>
        <v>0</v>
      </c>
      <c r="AT115" s="382">
        <f t="shared" si="92"/>
        <v>0</v>
      </c>
      <c r="AU115" s="382">
        <f t="shared" si="92"/>
        <v>0</v>
      </c>
      <c r="AV115" s="382">
        <f t="shared" si="92"/>
        <v>0</v>
      </c>
      <c r="AW115" s="382">
        <f t="shared" si="92"/>
        <v>0</v>
      </c>
      <c r="AX115" s="382">
        <f t="shared" si="92"/>
        <v>0</v>
      </c>
      <c r="AY115" s="382">
        <f t="shared" si="92"/>
        <v>0</v>
      </c>
      <c r="AZ115" s="382">
        <f t="shared" si="93"/>
        <v>0</v>
      </c>
      <c r="BA115" s="382">
        <f t="shared" si="93"/>
        <v>0</v>
      </c>
      <c r="BB115" s="382">
        <f t="shared" si="93"/>
        <v>0</v>
      </c>
      <c r="BC115" s="382">
        <f t="shared" si="93"/>
        <v>0</v>
      </c>
      <c r="BD115" s="382">
        <f t="shared" si="93"/>
        <v>0</v>
      </c>
      <c r="BE115" s="382">
        <f t="shared" si="93"/>
        <v>0</v>
      </c>
      <c r="BF115" s="382">
        <f t="shared" si="93"/>
        <v>0</v>
      </c>
      <c r="BG115" s="382">
        <f t="shared" si="93"/>
        <v>0</v>
      </c>
      <c r="BH115" s="382">
        <f t="shared" si="93"/>
        <v>0</v>
      </c>
      <c r="BI115" s="382">
        <f t="shared" si="93"/>
        <v>0</v>
      </c>
      <c r="BJ115" s="382">
        <f t="shared" si="94"/>
        <v>0</v>
      </c>
      <c r="BK115" s="382">
        <f t="shared" si="94"/>
        <v>0</v>
      </c>
      <c r="BL115" s="382">
        <f t="shared" si="94"/>
        <v>0</v>
      </c>
      <c r="BM115" s="382">
        <f t="shared" si="94"/>
        <v>0</v>
      </c>
      <c r="BN115" s="382">
        <f t="shared" si="94"/>
        <v>0</v>
      </c>
      <c r="BO115" s="382">
        <f t="shared" si="94"/>
        <v>0</v>
      </c>
      <c r="BP115" s="382">
        <f t="shared" si="94"/>
        <v>0</v>
      </c>
      <c r="BQ115" s="382">
        <f t="shared" si="94"/>
        <v>1483.3333333333333</v>
      </c>
      <c r="BR115" s="382">
        <f t="shared" si="94"/>
        <v>1483.3333333333333</v>
      </c>
      <c r="BS115" s="382">
        <f t="shared" si="94"/>
        <v>1483.3333333333333</v>
      </c>
      <c r="BT115" s="382">
        <f t="shared" si="95"/>
        <v>1483.3333333333333</v>
      </c>
      <c r="BU115" s="382">
        <f t="shared" si="95"/>
        <v>1483.3333333333333</v>
      </c>
      <c r="BV115" s="382">
        <f t="shared" si="95"/>
        <v>1483.3333333333333</v>
      </c>
      <c r="BW115" s="382">
        <f t="shared" si="95"/>
        <v>1483.3333333333333</v>
      </c>
      <c r="BX115" s="382">
        <f t="shared" si="95"/>
        <v>1483.3333333333333</v>
      </c>
      <c r="BY115" s="382">
        <f t="shared" si="95"/>
        <v>1483.3333333333333</v>
      </c>
      <c r="BZ115" s="382">
        <f t="shared" si="95"/>
        <v>1483.3333333333333</v>
      </c>
      <c r="CA115" s="382">
        <f t="shared" si="95"/>
        <v>1483.3333333333333</v>
      </c>
    </row>
    <row r="116" spans="3:79" ht="21" hidden="1" customHeight="1" outlineLevel="2">
      <c r="C116" s="370"/>
      <c r="D116" s="374">
        <f t="shared" si="76"/>
        <v>46112</v>
      </c>
      <c r="E116" s="408" cm="1">
        <f t="array" ref="E116">INDEX($AF$18:$CA$18,0,MATCH($D116,$AF$8:$CA$8,0))</f>
        <v>6100</v>
      </c>
      <c r="G116" s="359"/>
      <c r="H116" s="410">
        <f t="shared" si="83"/>
        <v>0</v>
      </c>
      <c r="I116" s="410">
        <f t="shared" si="83"/>
        <v>0</v>
      </c>
      <c r="J116" s="410">
        <f t="shared" si="83"/>
        <v>0</v>
      </c>
      <c r="K116" s="410">
        <f t="shared" si="83"/>
        <v>5083.333333333333</v>
      </c>
      <c r="L116" s="410"/>
      <c r="M116" s="410"/>
      <c r="N116" s="410">
        <f t="shared" si="90"/>
        <v>0</v>
      </c>
      <c r="O116" s="410">
        <f t="shared" si="90"/>
        <v>0</v>
      </c>
      <c r="P116" s="410">
        <f t="shared" si="90"/>
        <v>0</v>
      </c>
      <c r="Q116" s="410">
        <f t="shared" si="90"/>
        <v>0</v>
      </c>
      <c r="R116" s="410">
        <f t="shared" si="90"/>
        <v>0</v>
      </c>
      <c r="S116" s="410">
        <f t="shared" si="90"/>
        <v>0</v>
      </c>
      <c r="T116" s="410">
        <f t="shared" si="90"/>
        <v>0</v>
      </c>
      <c r="U116" s="410">
        <f t="shared" si="90"/>
        <v>0</v>
      </c>
      <c r="V116" s="410">
        <f t="shared" si="90"/>
        <v>0</v>
      </c>
      <c r="W116" s="410">
        <f t="shared" si="90"/>
        <v>0</v>
      </c>
      <c r="X116" s="410">
        <f t="shared" si="90"/>
        <v>0</v>
      </c>
      <c r="Y116" s="410">
        <f t="shared" si="90"/>
        <v>0</v>
      </c>
      <c r="Z116" s="410">
        <f t="shared" si="90"/>
        <v>508.33333333333331</v>
      </c>
      <c r="AA116" s="410">
        <f t="shared" si="90"/>
        <v>1525</v>
      </c>
      <c r="AB116" s="410">
        <f t="shared" si="90"/>
        <v>1525</v>
      </c>
      <c r="AC116" s="410">
        <f t="shared" si="90"/>
        <v>1525</v>
      </c>
      <c r="AE116" s="359"/>
      <c r="AF116" s="382">
        <f t="shared" si="91"/>
        <v>0</v>
      </c>
      <c r="AG116" s="382">
        <f t="shared" si="91"/>
        <v>0</v>
      </c>
      <c r="AH116" s="382">
        <f t="shared" si="91"/>
        <v>0</v>
      </c>
      <c r="AI116" s="382">
        <f t="shared" si="91"/>
        <v>0</v>
      </c>
      <c r="AJ116" s="382">
        <f t="shared" si="91"/>
        <v>0</v>
      </c>
      <c r="AK116" s="382">
        <f t="shared" si="91"/>
        <v>0</v>
      </c>
      <c r="AL116" s="382">
        <f t="shared" si="91"/>
        <v>0</v>
      </c>
      <c r="AM116" s="382">
        <f t="shared" si="91"/>
        <v>0</v>
      </c>
      <c r="AN116" s="382">
        <f t="shared" si="91"/>
        <v>0</v>
      </c>
      <c r="AO116" s="382">
        <f t="shared" si="91"/>
        <v>0</v>
      </c>
      <c r="AP116" s="382">
        <f t="shared" si="92"/>
        <v>0</v>
      </c>
      <c r="AQ116" s="382">
        <f t="shared" si="92"/>
        <v>0</v>
      </c>
      <c r="AR116" s="382">
        <f t="shared" si="92"/>
        <v>0</v>
      </c>
      <c r="AS116" s="382">
        <f t="shared" si="92"/>
        <v>0</v>
      </c>
      <c r="AT116" s="382">
        <f t="shared" si="92"/>
        <v>0</v>
      </c>
      <c r="AU116" s="382">
        <f t="shared" si="92"/>
        <v>0</v>
      </c>
      <c r="AV116" s="382">
        <f t="shared" si="92"/>
        <v>0</v>
      </c>
      <c r="AW116" s="382">
        <f t="shared" si="92"/>
        <v>0</v>
      </c>
      <c r="AX116" s="382">
        <f t="shared" si="92"/>
        <v>0</v>
      </c>
      <c r="AY116" s="382">
        <f t="shared" si="92"/>
        <v>0</v>
      </c>
      <c r="AZ116" s="382">
        <f t="shared" si="93"/>
        <v>0</v>
      </c>
      <c r="BA116" s="382">
        <f t="shared" si="93"/>
        <v>0</v>
      </c>
      <c r="BB116" s="382">
        <f t="shared" si="93"/>
        <v>0</v>
      </c>
      <c r="BC116" s="382">
        <f t="shared" si="93"/>
        <v>0</v>
      </c>
      <c r="BD116" s="382">
        <f t="shared" si="93"/>
        <v>0</v>
      </c>
      <c r="BE116" s="382">
        <f t="shared" si="93"/>
        <v>0</v>
      </c>
      <c r="BF116" s="382">
        <f t="shared" si="93"/>
        <v>0</v>
      </c>
      <c r="BG116" s="382">
        <f t="shared" si="93"/>
        <v>0</v>
      </c>
      <c r="BH116" s="382">
        <f t="shared" si="93"/>
        <v>0</v>
      </c>
      <c r="BI116" s="382">
        <f t="shared" si="93"/>
        <v>0</v>
      </c>
      <c r="BJ116" s="382">
        <f t="shared" si="94"/>
        <v>0</v>
      </c>
      <c r="BK116" s="382">
        <f t="shared" si="94"/>
        <v>0</v>
      </c>
      <c r="BL116" s="382">
        <f t="shared" si="94"/>
        <v>0</v>
      </c>
      <c r="BM116" s="382">
        <f t="shared" si="94"/>
        <v>0</v>
      </c>
      <c r="BN116" s="382">
        <f t="shared" si="94"/>
        <v>0</v>
      </c>
      <c r="BO116" s="382">
        <f t="shared" si="94"/>
        <v>0</v>
      </c>
      <c r="BP116" s="382">
        <f t="shared" si="94"/>
        <v>0</v>
      </c>
      <c r="BQ116" s="382">
        <f t="shared" si="94"/>
        <v>0</v>
      </c>
      <c r="BR116" s="382">
        <f t="shared" si="94"/>
        <v>508.33333333333331</v>
      </c>
      <c r="BS116" s="382">
        <f t="shared" si="94"/>
        <v>508.33333333333331</v>
      </c>
      <c r="BT116" s="382">
        <f t="shared" si="95"/>
        <v>508.33333333333331</v>
      </c>
      <c r="BU116" s="382">
        <f t="shared" si="95"/>
        <v>508.33333333333331</v>
      </c>
      <c r="BV116" s="382">
        <f t="shared" si="95"/>
        <v>508.33333333333331</v>
      </c>
      <c r="BW116" s="382">
        <f t="shared" si="95"/>
        <v>508.33333333333331</v>
      </c>
      <c r="BX116" s="382">
        <f t="shared" si="95"/>
        <v>508.33333333333331</v>
      </c>
      <c r="BY116" s="382">
        <f t="shared" si="95"/>
        <v>508.33333333333331</v>
      </c>
      <c r="BZ116" s="382">
        <f t="shared" si="95"/>
        <v>508.33333333333331</v>
      </c>
      <c r="CA116" s="382">
        <f t="shared" si="95"/>
        <v>508.33333333333331</v>
      </c>
    </row>
    <row r="117" spans="3:79" ht="21" hidden="1" customHeight="1" outlineLevel="2">
      <c r="C117" s="370"/>
      <c r="D117" s="374">
        <f t="shared" si="76"/>
        <v>46142</v>
      </c>
      <c r="E117" s="408" cm="1">
        <f t="array" ref="E117">INDEX($AF$18:$CA$18,0,MATCH($D117,$AF$8:$CA$8,0))</f>
        <v>0</v>
      </c>
      <c r="G117" s="359"/>
      <c r="H117" s="410">
        <f t="shared" si="83"/>
        <v>0</v>
      </c>
      <c r="I117" s="410">
        <f t="shared" si="83"/>
        <v>0</v>
      </c>
      <c r="J117" s="410">
        <f t="shared" si="83"/>
        <v>0</v>
      </c>
      <c r="K117" s="410">
        <f t="shared" si="83"/>
        <v>0</v>
      </c>
      <c r="L117" s="410"/>
      <c r="M117" s="410"/>
      <c r="N117" s="410">
        <f t="shared" si="90"/>
        <v>0</v>
      </c>
      <c r="O117" s="410">
        <f t="shared" si="90"/>
        <v>0</v>
      </c>
      <c r="P117" s="410">
        <f t="shared" si="90"/>
        <v>0</v>
      </c>
      <c r="Q117" s="410">
        <f t="shared" si="90"/>
        <v>0</v>
      </c>
      <c r="R117" s="410">
        <f t="shared" si="90"/>
        <v>0</v>
      </c>
      <c r="S117" s="410">
        <f t="shared" si="90"/>
        <v>0</v>
      </c>
      <c r="T117" s="410">
        <f t="shared" si="90"/>
        <v>0</v>
      </c>
      <c r="U117" s="410">
        <f t="shared" si="90"/>
        <v>0</v>
      </c>
      <c r="V117" s="410">
        <f t="shared" si="90"/>
        <v>0</v>
      </c>
      <c r="W117" s="410">
        <f t="shared" si="90"/>
        <v>0</v>
      </c>
      <c r="X117" s="410">
        <f t="shared" si="90"/>
        <v>0</v>
      </c>
      <c r="Y117" s="410">
        <f t="shared" si="90"/>
        <v>0</v>
      </c>
      <c r="Z117" s="410">
        <f t="shared" si="90"/>
        <v>0</v>
      </c>
      <c r="AA117" s="410">
        <f t="shared" si="90"/>
        <v>0</v>
      </c>
      <c r="AB117" s="410">
        <f t="shared" si="90"/>
        <v>0</v>
      </c>
      <c r="AC117" s="410">
        <f t="shared" si="90"/>
        <v>0</v>
      </c>
      <c r="AE117" s="359"/>
      <c r="AF117" s="382">
        <f t="shared" si="91"/>
        <v>0</v>
      </c>
      <c r="AG117" s="382">
        <f t="shared" si="91"/>
        <v>0</v>
      </c>
      <c r="AH117" s="382">
        <f t="shared" si="91"/>
        <v>0</v>
      </c>
      <c r="AI117" s="382">
        <f t="shared" si="91"/>
        <v>0</v>
      </c>
      <c r="AJ117" s="382">
        <f t="shared" si="91"/>
        <v>0</v>
      </c>
      <c r="AK117" s="382">
        <f t="shared" si="91"/>
        <v>0</v>
      </c>
      <c r="AL117" s="382">
        <f t="shared" si="91"/>
        <v>0</v>
      </c>
      <c r="AM117" s="382">
        <f t="shared" si="91"/>
        <v>0</v>
      </c>
      <c r="AN117" s="382">
        <f t="shared" si="91"/>
        <v>0</v>
      </c>
      <c r="AO117" s="382">
        <f t="shared" si="91"/>
        <v>0</v>
      </c>
      <c r="AP117" s="382">
        <f t="shared" si="92"/>
        <v>0</v>
      </c>
      <c r="AQ117" s="382">
        <f t="shared" si="92"/>
        <v>0</v>
      </c>
      <c r="AR117" s="382">
        <f t="shared" si="92"/>
        <v>0</v>
      </c>
      <c r="AS117" s="382">
        <f t="shared" si="92"/>
        <v>0</v>
      </c>
      <c r="AT117" s="382">
        <f t="shared" si="92"/>
        <v>0</v>
      </c>
      <c r="AU117" s="382">
        <f t="shared" si="92"/>
        <v>0</v>
      </c>
      <c r="AV117" s="382">
        <f t="shared" si="92"/>
        <v>0</v>
      </c>
      <c r="AW117" s="382">
        <f t="shared" si="92"/>
        <v>0</v>
      </c>
      <c r="AX117" s="382">
        <f t="shared" si="92"/>
        <v>0</v>
      </c>
      <c r="AY117" s="382">
        <f t="shared" si="92"/>
        <v>0</v>
      </c>
      <c r="AZ117" s="382">
        <f t="shared" si="93"/>
        <v>0</v>
      </c>
      <c r="BA117" s="382">
        <f t="shared" si="93"/>
        <v>0</v>
      </c>
      <c r="BB117" s="382">
        <f t="shared" si="93"/>
        <v>0</v>
      </c>
      <c r="BC117" s="382">
        <f t="shared" si="93"/>
        <v>0</v>
      </c>
      <c r="BD117" s="382">
        <f t="shared" si="93"/>
        <v>0</v>
      </c>
      <c r="BE117" s="382">
        <f t="shared" si="93"/>
        <v>0</v>
      </c>
      <c r="BF117" s="382">
        <f t="shared" si="93"/>
        <v>0</v>
      </c>
      <c r="BG117" s="382">
        <f t="shared" si="93"/>
        <v>0</v>
      </c>
      <c r="BH117" s="382">
        <f t="shared" si="93"/>
        <v>0</v>
      </c>
      <c r="BI117" s="382">
        <f t="shared" si="93"/>
        <v>0</v>
      </c>
      <c r="BJ117" s="382">
        <f t="shared" si="94"/>
        <v>0</v>
      </c>
      <c r="BK117" s="382">
        <f t="shared" si="94"/>
        <v>0</v>
      </c>
      <c r="BL117" s="382">
        <f t="shared" si="94"/>
        <v>0</v>
      </c>
      <c r="BM117" s="382">
        <f t="shared" si="94"/>
        <v>0</v>
      </c>
      <c r="BN117" s="382">
        <f t="shared" si="94"/>
        <v>0</v>
      </c>
      <c r="BO117" s="382">
        <f t="shared" si="94"/>
        <v>0</v>
      </c>
      <c r="BP117" s="382">
        <f t="shared" si="94"/>
        <v>0</v>
      </c>
      <c r="BQ117" s="382">
        <f t="shared" si="94"/>
        <v>0</v>
      </c>
      <c r="BR117" s="382">
        <f t="shared" si="94"/>
        <v>0</v>
      </c>
      <c r="BS117" s="382">
        <f t="shared" si="94"/>
        <v>0</v>
      </c>
      <c r="BT117" s="382">
        <f t="shared" si="95"/>
        <v>0</v>
      </c>
      <c r="BU117" s="382">
        <f t="shared" si="95"/>
        <v>0</v>
      </c>
      <c r="BV117" s="382">
        <f t="shared" si="95"/>
        <v>0</v>
      </c>
      <c r="BW117" s="382">
        <f t="shared" si="95"/>
        <v>0</v>
      </c>
      <c r="BX117" s="382">
        <f t="shared" si="95"/>
        <v>0</v>
      </c>
      <c r="BY117" s="382">
        <f t="shared" si="95"/>
        <v>0</v>
      </c>
      <c r="BZ117" s="382">
        <f t="shared" si="95"/>
        <v>0</v>
      </c>
      <c r="CA117" s="382">
        <f t="shared" si="95"/>
        <v>0</v>
      </c>
    </row>
    <row r="118" spans="3:79" ht="21" hidden="1" customHeight="1" outlineLevel="2">
      <c r="C118" s="370"/>
      <c r="D118" s="374">
        <f t="shared" si="76"/>
        <v>46173</v>
      </c>
      <c r="E118" s="408" cm="1">
        <f t="array" ref="E118">INDEX($AF$18:$CA$18,0,MATCH($D118,$AF$8:$CA$8,0))</f>
        <v>0</v>
      </c>
      <c r="G118" s="359"/>
      <c r="H118" s="410">
        <f t="shared" ref="H118:K125" si="96">SUMIFS($AF118:$CA118,$AF$4:$CA$4,"&gt;="&amp;H$4,$AF$5:$CA$5,"&lt;="&amp;H$5)</f>
        <v>0</v>
      </c>
      <c r="I118" s="410">
        <f t="shared" si="96"/>
        <v>0</v>
      </c>
      <c r="J118" s="410">
        <f t="shared" si="96"/>
        <v>0</v>
      </c>
      <c r="K118" s="410">
        <f t="shared" si="96"/>
        <v>0</v>
      </c>
      <c r="L118" s="410"/>
      <c r="M118" s="410"/>
      <c r="N118" s="410">
        <f t="shared" ref="N118:AC125" si="97">SUMIFS($AF118:$CA118,$AF$4:$CA$4,"&gt;="&amp;N$4,$AF$5:$CA$5,"&lt;="&amp;N$5)</f>
        <v>0</v>
      </c>
      <c r="O118" s="410">
        <f t="shared" si="97"/>
        <v>0</v>
      </c>
      <c r="P118" s="410">
        <f t="shared" si="97"/>
        <v>0</v>
      </c>
      <c r="Q118" s="410">
        <f t="shared" si="97"/>
        <v>0</v>
      </c>
      <c r="R118" s="410">
        <f t="shared" si="97"/>
        <v>0</v>
      </c>
      <c r="S118" s="410">
        <f t="shared" si="97"/>
        <v>0</v>
      </c>
      <c r="T118" s="410">
        <f t="shared" si="97"/>
        <v>0</v>
      </c>
      <c r="U118" s="410">
        <f t="shared" si="97"/>
        <v>0</v>
      </c>
      <c r="V118" s="410">
        <f t="shared" si="97"/>
        <v>0</v>
      </c>
      <c r="W118" s="410">
        <f t="shared" si="97"/>
        <v>0</v>
      </c>
      <c r="X118" s="410">
        <f t="shared" si="97"/>
        <v>0</v>
      </c>
      <c r="Y118" s="410">
        <f t="shared" si="97"/>
        <v>0</v>
      </c>
      <c r="Z118" s="410">
        <f t="shared" si="97"/>
        <v>0</v>
      </c>
      <c r="AA118" s="410">
        <f t="shared" si="97"/>
        <v>0</v>
      </c>
      <c r="AB118" s="410">
        <f t="shared" si="97"/>
        <v>0</v>
      </c>
      <c r="AC118" s="410">
        <f t="shared" si="97"/>
        <v>0</v>
      </c>
      <c r="AE118" s="359"/>
      <c r="AF118" s="382">
        <f t="shared" ref="AF118:AO125" si="98">IF(AND(AF$8&gt;=$D118,(MATCH(AF$8,$AF$8:$CA$8,0)-MATCH($D118,$AF$8:$CA$8,0))&lt;12),$E118/12,0)</f>
        <v>0</v>
      </c>
      <c r="AG118" s="382">
        <f t="shared" si="98"/>
        <v>0</v>
      </c>
      <c r="AH118" s="382">
        <f t="shared" si="98"/>
        <v>0</v>
      </c>
      <c r="AI118" s="382">
        <f t="shared" si="98"/>
        <v>0</v>
      </c>
      <c r="AJ118" s="382">
        <f t="shared" si="98"/>
        <v>0</v>
      </c>
      <c r="AK118" s="382">
        <f t="shared" si="98"/>
        <v>0</v>
      </c>
      <c r="AL118" s="382">
        <f t="shared" si="98"/>
        <v>0</v>
      </c>
      <c r="AM118" s="382">
        <f t="shared" si="98"/>
        <v>0</v>
      </c>
      <c r="AN118" s="382">
        <f t="shared" si="98"/>
        <v>0</v>
      </c>
      <c r="AO118" s="382">
        <f t="shared" si="98"/>
        <v>0</v>
      </c>
      <c r="AP118" s="382">
        <f t="shared" ref="AP118:AY125" si="99">IF(AND(AP$8&gt;=$D118,(MATCH(AP$8,$AF$8:$CA$8,0)-MATCH($D118,$AF$8:$CA$8,0))&lt;12),$E118/12,0)</f>
        <v>0</v>
      </c>
      <c r="AQ118" s="382">
        <f t="shared" si="99"/>
        <v>0</v>
      </c>
      <c r="AR118" s="382">
        <f t="shared" si="99"/>
        <v>0</v>
      </c>
      <c r="AS118" s="382">
        <f t="shared" si="99"/>
        <v>0</v>
      </c>
      <c r="AT118" s="382">
        <f t="shared" si="99"/>
        <v>0</v>
      </c>
      <c r="AU118" s="382">
        <f t="shared" si="99"/>
        <v>0</v>
      </c>
      <c r="AV118" s="382">
        <f t="shared" si="99"/>
        <v>0</v>
      </c>
      <c r="AW118" s="382">
        <f t="shared" si="99"/>
        <v>0</v>
      </c>
      <c r="AX118" s="382">
        <f t="shared" si="99"/>
        <v>0</v>
      </c>
      <c r="AY118" s="382">
        <f t="shared" si="99"/>
        <v>0</v>
      </c>
      <c r="AZ118" s="382">
        <f t="shared" ref="AZ118:BI125" si="100">IF(AND(AZ$8&gt;=$D118,(MATCH(AZ$8,$AF$8:$CA$8,0)-MATCH($D118,$AF$8:$CA$8,0))&lt;12),$E118/12,0)</f>
        <v>0</v>
      </c>
      <c r="BA118" s="382">
        <f t="shared" si="100"/>
        <v>0</v>
      </c>
      <c r="BB118" s="382">
        <f t="shared" si="100"/>
        <v>0</v>
      </c>
      <c r="BC118" s="382">
        <f t="shared" si="100"/>
        <v>0</v>
      </c>
      <c r="BD118" s="382">
        <f t="shared" si="100"/>
        <v>0</v>
      </c>
      <c r="BE118" s="382">
        <f t="shared" si="100"/>
        <v>0</v>
      </c>
      <c r="BF118" s="382">
        <f t="shared" si="100"/>
        <v>0</v>
      </c>
      <c r="BG118" s="382">
        <f t="shared" si="100"/>
        <v>0</v>
      </c>
      <c r="BH118" s="382">
        <f t="shared" si="100"/>
        <v>0</v>
      </c>
      <c r="BI118" s="382">
        <f t="shared" si="100"/>
        <v>0</v>
      </c>
      <c r="BJ118" s="382">
        <f t="shared" ref="BJ118:BS125" si="101">IF(AND(BJ$8&gt;=$D118,(MATCH(BJ$8,$AF$8:$CA$8,0)-MATCH($D118,$AF$8:$CA$8,0))&lt;12),$E118/12,0)</f>
        <v>0</v>
      </c>
      <c r="BK118" s="382">
        <f t="shared" si="101"/>
        <v>0</v>
      </c>
      <c r="BL118" s="382">
        <f t="shared" si="101"/>
        <v>0</v>
      </c>
      <c r="BM118" s="382">
        <f t="shared" si="101"/>
        <v>0</v>
      </c>
      <c r="BN118" s="382">
        <f t="shared" si="101"/>
        <v>0</v>
      </c>
      <c r="BO118" s="382">
        <f t="shared" si="101"/>
        <v>0</v>
      </c>
      <c r="BP118" s="382">
        <f t="shared" si="101"/>
        <v>0</v>
      </c>
      <c r="BQ118" s="382">
        <f t="shared" si="101"/>
        <v>0</v>
      </c>
      <c r="BR118" s="382">
        <f t="shared" si="101"/>
        <v>0</v>
      </c>
      <c r="BS118" s="382">
        <f t="shared" si="101"/>
        <v>0</v>
      </c>
      <c r="BT118" s="382">
        <f t="shared" ref="BT118:CA125" si="102">IF(AND(BT$8&gt;=$D118,(MATCH(BT$8,$AF$8:$CA$8,0)-MATCH($D118,$AF$8:$CA$8,0))&lt;12),$E118/12,0)</f>
        <v>0</v>
      </c>
      <c r="BU118" s="382">
        <f t="shared" si="102"/>
        <v>0</v>
      </c>
      <c r="BV118" s="382">
        <f t="shared" si="102"/>
        <v>0</v>
      </c>
      <c r="BW118" s="382">
        <f t="shared" si="102"/>
        <v>0</v>
      </c>
      <c r="BX118" s="382">
        <f t="shared" si="102"/>
        <v>0</v>
      </c>
      <c r="BY118" s="382">
        <f t="shared" si="102"/>
        <v>0</v>
      </c>
      <c r="BZ118" s="382">
        <f t="shared" si="102"/>
        <v>0</v>
      </c>
      <c r="CA118" s="382">
        <f t="shared" si="102"/>
        <v>0</v>
      </c>
    </row>
    <row r="119" spans="3:79" ht="21" hidden="1" customHeight="1" outlineLevel="2">
      <c r="C119" s="370"/>
      <c r="D119" s="374">
        <f t="shared" si="76"/>
        <v>46203</v>
      </c>
      <c r="E119" s="408" cm="1">
        <f t="array" ref="E119">INDEX($AF$18:$CA$18,0,MATCH($D119,$AF$8:$CA$8,0))</f>
        <v>5640</v>
      </c>
      <c r="G119" s="359"/>
      <c r="H119" s="410">
        <f t="shared" si="96"/>
        <v>0</v>
      </c>
      <c r="I119" s="410">
        <f t="shared" si="96"/>
        <v>0</v>
      </c>
      <c r="J119" s="410">
        <f t="shared" si="96"/>
        <v>0</v>
      </c>
      <c r="K119" s="410">
        <f t="shared" si="96"/>
        <v>3290</v>
      </c>
      <c r="L119" s="410"/>
      <c r="M119" s="410"/>
      <c r="N119" s="410">
        <f t="shared" si="97"/>
        <v>0</v>
      </c>
      <c r="O119" s="410">
        <f t="shared" si="97"/>
        <v>0</v>
      </c>
      <c r="P119" s="410">
        <f t="shared" si="97"/>
        <v>0</v>
      </c>
      <c r="Q119" s="410">
        <f t="shared" si="97"/>
        <v>0</v>
      </c>
      <c r="R119" s="410">
        <f t="shared" si="97"/>
        <v>0</v>
      </c>
      <c r="S119" s="410">
        <f t="shared" si="97"/>
        <v>0</v>
      </c>
      <c r="T119" s="410">
        <f t="shared" si="97"/>
        <v>0</v>
      </c>
      <c r="U119" s="410">
        <f t="shared" si="97"/>
        <v>0</v>
      </c>
      <c r="V119" s="410">
        <f t="shared" si="97"/>
        <v>0</v>
      </c>
      <c r="W119" s="410">
        <f t="shared" si="97"/>
        <v>0</v>
      </c>
      <c r="X119" s="410">
        <f t="shared" si="97"/>
        <v>0</v>
      </c>
      <c r="Y119" s="410">
        <f t="shared" si="97"/>
        <v>0</v>
      </c>
      <c r="Z119" s="410">
        <f t="shared" si="97"/>
        <v>0</v>
      </c>
      <c r="AA119" s="410">
        <f t="shared" si="97"/>
        <v>470</v>
      </c>
      <c r="AB119" s="410">
        <f t="shared" si="97"/>
        <v>1410</v>
      </c>
      <c r="AC119" s="410">
        <f t="shared" si="97"/>
        <v>1410</v>
      </c>
      <c r="AE119" s="359"/>
      <c r="AF119" s="382">
        <f t="shared" si="98"/>
        <v>0</v>
      </c>
      <c r="AG119" s="382">
        <f t="shared" si="98"/>
        <v>0</v>
      </c>
      <c r="AH119" s="382">
        <f t="shared" si="98"/>
        <v>0</v>
      </c>
      <c r="AI119" s="382">
        <f t="shared" si="98"/>
        <v>0</v>
      </c>
      <c r="AJ119" s="382">
        <f t="shared" si="98"/>
        <v>0</v>
      </c>
      <c r="AK119" s="382">
        <f t="shared" si="98"/>
        <v>0</v>
      </c>
      <c r="AL119" s="382">
        <f t="shared" si="98"/>
        <v>0</v>
      </c>
      <c r="AM119" s="382">
        <f t="shared" si="98"/>
        <v>0</v>
      </c>
      <c r="AN119" s="382">
        <f t="shared" si="98"/>
        <v>0</v>
      </c>
      <c r="AO119" s="382">
        <f t="shared" si="98"/>
        <v>0</v>
      </c>
      <c r="AP119" s="382">
        <f t="shared" si="99"/>
        <v>0</v>
      </c>
      <c r="AQ119" s="382">
        <f t="shared" si="99"/>
        <v>0</v>
      </c>
      <c r="AR119" s="382">
        <f t="shared" si="99"/>
        <v>0</v>
      </c>
      <c r="AS119" s="382">
        <f t="shared" si="99"/>
        <v>0</v>
      </c>
      <c r="AT119" s="382">
        <f t="shared" si="99"/>
        <v>0</v>
      </c>
      <c r="AU119" s="382">
        <f t="shared" si="99"/>
        <v>0</v>
      </c>
      <c r="AV119" s="382">
        <f t="shared" si="99"/>
        <v>0</v>
      </c>
      <c r="AW119" s="382">
        <f t="shared" si="99"/>
        <v>0</v>
      </c>
      <c r="AX119" s="382">
        <f t="shared" si="99"/>
        <v>0</v>
      </c>
      <c r="AY119" s="382">
        <f t="shared" si="99"/>
        <v>0</v>
      </c>
      <c r="AZ119" s="382">
        <f t="shared" si="100"/>
        <v>0</v>
      </c>
      <c r="BA119" s="382">
        <f t="shared" si="100"/>
        <v>0</v>
      </c>
      <c r="BB119" s="382">
        <f t="shared" si="100"/>
        <v>0</v>
      </c>
      <c r="BC119" s="382">
        <f t="shared" si="100"/>
        <v>0</v>
      </c>
      <c r="BD119" s="382">
        <f t="shared" si="100"/>
        <v>0</v>
      </c>
      <c r="BE119" s="382">
        <f t="shared" si="100"/>
        <v>0</v>
      </c>
      <c r="BF119" s="382">
        <f t="shared" si="100"/>
        <v>0</v>
      </c>
      <c r="BG119" s="382">
        <f t="shared" si="100"/>
        <v>0</v>
      </c>
      <c r="BH119" s="382">
        <f t="shared" si="100"/>
        <v>0</v>
      </c>
      <c r="BI119" s="382">
        <f t="shared" si="100"/>
        <v>0</v>
      </c>
      <c r="BJ119" s="382">
        <f t="shared" si="101"/>
        <v>0</v>
      </c>
      <c r="BK119" s="382">
        <f t="shared" si="101"/>
        <v>0</v>
      </c>
      <c r="BL119" s="382">
        <f t="shared" si="101"/>
        <v>0</v>
      </c>
      <c r="BM119" s="382">
        <f t="shared" si="101"/>
        <v>0</v>
      </c>
      <c r="BN119" s="382">
        <f t="shared" si="101"/>
        <v>0</v>
      </c>
      <c r="BO119" s="382">
        <f t="shared" si="101"/>
        <v>0</v>
      </c>
      <c r="BP119" s="382">
        <f t="shared" si="101"/>
        <v>0</v>
      </c>
      <c r="BQ119" s="382">
        <f t="shared" si="101"/>
        <v>0</v>
      </c>
      <c r="BR119" s="382">
        <f t="shared" si="101"/>
        <v>0</v>
      </c>
      <c r="BS119" s="382">
        <f t="shared" si="101"/>
        <v>0</v>
      </c>
      <c r="BT119" s="382">
        <f t="shared" si="102"/>
        <v>0</v>
      </c>
      <c r="BU119" s="382">
        <f t="shared" si="102"/>
        <v>470</v>
      </c>
      <c r="BV119" s="382">
        <f t="shared" si="102"/>
        <v>470</v>
      </c>
      <c r="BW119" s="382">
        <f t="shared" si="102"/>
        <v>470</v>
      </c>
      <c r="BX119" s="382">
        <f t="shared" si="102"/>
        <v>470</v>
      </c>
      <c r="BY119" s="382">
        <f t="shared" si="102"/>
        <v>470</v>
      </c>
      <c r="BZ119" s="382">
        <f t="shared" si="102"/>
        <v>470</v>
      </c>
      <c r="CA119" s="382">
        <f t="shared" si="102"/>
        <v>470</v>
      </c>
    </row>
    <row r="120" spans="3:79" ht="21" hidden="1" customHeight="1" outlineLevel="2">
      <c r="C120" s="370"/>
      <c r="D120" s="374">
        <f t="shared" si="76"/>
        <v>46234</v>
      </c>
      <c r="E120" s="408" cm="1">
        <f t="array" ref="E120">INDEX($AF$18:$CA$18,0,MATCH($D120,$AF$8:$CA$8,0))</f>
        <v>0</v>
      </c>
      <c r="G120" s="359"/>
      <c r="H120" s="410">
        <f t="shared" si="96"/>
        <v>0</v>
      </c>
      <c r="I120" s="410">
        <f t="shared" si="96"/>
        <v>0</v>
      </c>
      <c r="J120" s="410">
        <f t="shared" si="96"/>
        <v>0</v>
      </c>
      <c r="K120" s="410">
        <f t="shared" si="96"/>
        <v>0</v>
      </c>
      <c r="L120" s="410"/>
      <c r="M120" s="410"/>
      <c r="N120" s="410">
        <f t="shared" si="97"/>
        <v>0</v>
      </c>
      <c r="O120" s="410">
        <f t="shared" si="97"/>
        <v>0</v>
      </c>
      <c r="P120" s="410">
        <f t="shared" si="97"/>
        <v>0</v>
      </c>
      <c r="Q120" s="410">
        <f t="shared" si="97"/>
        <v>0</v>
      </c>
      <c r="R120" s="410">
        <f t="shared" si="97"/>
        <v>0</v>
      </c>
      <c r="S120" s="410">
        <f t="shared" si="97"/>
        <v>0</v>
      </c>
      <c r="T120" s="410">
        <f t="shared" si="97"/>
        <v>0</v>
      </c>
      <c r="U120" s="410">
        <f t="shared" si="97"/>
        <v>0</v>
      </c>
      <c r="V120" s="410">
        <f t="shared" si="97"/>
        <v>0</v>
      </c>
      <c r="W120" s="410">
        <f t="shared" si="97"/>
        <v>0</v>
      </c>
      <c r="X120" s="410">
        <f t="shared" si="97"/>
        <v>0</v>
      </c>
      <c r="Y120" s="410">
        <f t="shared" si="97"/>
        <v>0</v>
      </c>
      <c r="Z120" s="410">
        <f t="shared" si="97"/>
        <v>0</v>
      </c>
      <c r="AA120" s="410">
        <f t="shared" si="97"/>
        <v>0</v>
      </c>
      <c r="AB120" s="410">
        <f t="shared" si="97"/>
        <v>0</v>
      </c>
      <c r="AC120" s="410">
        <f t="shared" si="97"/>
        <v>0</v>
      </c>
      <c r="AE120" s="359"/>
      <c r="AF120" s="382">
        <f t="shared" si="98"/>
        <v>0</v>
      </c>
      <c r="AG120" s="382">
        <f t="shared" si="98"/>
        <v>0</v>
      </c>
      <c r="AH120" s="382">
        <f t="shared" si="98"/>
        <v>0</v>
      </c>
      <c r="AI120" s="382">
        <f t="shared" si="98"/>
        <v>0</v>
      </c>
      <c r="AJ120" s="382">
        <f t="shared" si="98"/>
        <v>0</v>
      </c>
      <c r="AK120" s="382">
        <f t="shared" si="98"/>
        <v>0</v>
      </c>
      <c r="AL120" s="382">
        <f t="shared" si="98"/>
        <v>0</v>
      </c>
      <c r="AM120" s="382">
        <f t="shared" si="98"/>
        <v>0</v>
      </c>
      <c r="AN120" s="382">
        <f t="shared" si="98"/>
        <v>0</v>
      </c>
      <c r="AO120" s="382">
        <f t="shared" si="98"/>
        <v>0</v>
      </c>
      <c r="AP120" s="382">
        <f t="shared" si="99"/>
        <v>0</v>
      </c>
      <c r="AQ120" s="382">
        <f t="shared" si="99"/>
        <v>0</v>
      </c>
      <c r="AR120" s="382">
        <f t="shared" si="99"/>
        <v>0</v>
      </c>
      <c r="AS120" s="382">
        <f t="shared" si="99"/>
        <v>0</v>
      </c>
      <c r="AT120" s="382">
        <f t="shared" si="99"/>
        <v>0</v>
      </c>
      <c r="AU120" s="382">
        <f t="shared" si="99"/>
        <v>0</v>
      </c>
      <c r="AV120" s="382">
        <f t="shared" si="99"/>
        <v>0</v>
      </c>
      <c r="AW120" s="382">
        <f t="shared" si="99"/>
        <v>0</v>
      </c>
      <c r="AX120" s="382">
        <f t="shared" si="99"/>
        <v>0</v>
      </c>
      <c r="AY120" s="382">
        <f t="shared" si="99"/>
        <v>0</v>
      </c>
      <c r="AZ120" s="382">
        <f t="shared" si="100"/>
        <v>0</v>
      </c>
      <c r="BA120" s="382">
        <f t="shared" si="100"/>
        <v>0</v>
      </c>
      <c r="BB120" s="382">
        <f t="shared" si="100"/>
        <v>0</v>
      </c>
      <c r="BC120" s="382">
        <f t="shared" si="100"/>
        <v>0</v>
      </c>
      <c r="BD120" s="382">
        <f t="shared" si="100"/>
        <v>0</v>
      </c>
      <c r="BE120" s="382">
        <f t="shared" si="100"/>
        <v>0</v>
      </c>
      <c r="BF120" s="382">
        <f t="shared" si="100"/>
        <v>0</v>
      </c>
      <c r="BG120" s="382">
        <f t="shared" si="100"/>
        <v>0</v>
      </c>
      <c r="BH120" s="382">
        <f t="shared" si="100"/>
        <v>0</v>
      </c>
      <c r="BI120" s="382">
        <f t="shared" si="100"/>
        <v>0</v>
      </c>
      <c r="BJ120" s="382">
        <f t="shared" si="101"/>
        <v>0</v>
      </c>
      <c r="BK120" s="382">
        <f t="shared" si="101"/>
        <v>0</v>
      </c>
      <c r="BL120" s="382">
        <f t="shared" si="101"/>
        <v>0</v>
      </c>
      <c r="BM120" s="382">
        <f t="shared" si="101"/>
        <v>0</v>
      </c>
      <c r="BN120" s="382">
        <f t="shared" si="101"/>
        <v>0</v>
      </c>
      <c r="BO120" s="382">
        <f t="shared" si="101"/>
        <v>0</v>
      </c>
      <c r="BP120" s="382">
        <f t="shared" si="101"/>
        <v>0</v>
      </c>
      <c r="BQ120" s="382">
        <f t="shared" si="101"/>
        <v>0</v>
      </c>
      <c r="BR120" s="382">
        <f t="shared" si="101"/>
        <v>0</v>
      </c>
      <c r="BS120" s="382">
        <f t="shared" si="101"/>
        <v>0</v>
      </c>
      <c r="BT120" s="382">
        <f t="shared" si="102"/>
        <v>0</v>
      </c>
      <c r="BU120" s="382">
        <f t="shared" si="102"/>
        <v>0</v>
      </c>
      <c r="BV120" s="382">
        <f t="shared" si="102"/>
        <v>0</v>
      </c>
      <c r="BW120" s="382">
        <f t="shared" si="102"/>
        <v>0</v>
      </c>
      <c r="BX120" s="382">
        <f t="shared" si="102"/>
        <v>0</v>
      </c>
      <c r="BY120" s="382">
        <f t="shared" si="102"/>
        <v>0</v>
      </c>
      <c r="BZ120" s="382">
        <f t="shared" si="102"/>
        <v>0</v>
      </c>
      <c r="CA120" s="382">
        <f t="shared" si="102"/>
        <v>0</v>
      </c>
    </row>
    <row r="121" spans="3:79" ht="21" hidden="1" customHeight="1" outlineLevel="2">
      <c r="C121" s="370"/>
      <c r="D121" s="374">
        <f t="shared" si="76"/>
        <v>46265</v>
      </c>
      <c r="E121" s="408" cm="1">
        <f t="array" ref="E121">INDEX($AF$18:$CA$18,0,MATCH($D121,$AF$8:$CA$8,0))</f>
        <v>15892.5</v>
      </c>
      <c r="G121" s="359"/>
      <c r="H121" s="410">
        <f t="shared" si="96"/>
        <v>0</v>
      </c>
      <c r="I121" s="410">
        <f t="shared" si="96"/>
        <v>0</v>
      </c>
      <c r="J121" s="410">
        <f t="shared" si="96"/>
        <v>0</v>
      </c>
      <c r="K121" s="410">
        <f t="shared" si="96"/>
        <v>6621.875</v>
      </c>
      <c r="L121" s="410"/>
      <c r="M121" s="410"/>
      <c r="N121" s="410">
        <f t="shared" si="97"/>
        <v>0</v>
      </c>
      <c r="O121" s="410">
        <f t="shared" si="97"/>
        <v>0</v>
      </c>
      <c r="P121" s="410">
        <f t="shared" si="97"/>
        <v>0</v>
      </c>
      <c r="Q121" s="410">
        <f t="shared" si="97"/>
        <v>0</v>
      </c>
      <c r="R121" s="410">
        <f t="shared" si="97"/>
        <v>0</v>
      </c>
      <c r="S121" s="410">
        <f t="shared" si="97"/>
        <v>0</v>
      </c>
      <c r="T121" s="410">
        <f t="shared" si="97"/>
        <v>0</v>
      </c>
      <c r="U121" s="410">
        <f t="shared" si="97"/>
        <v>0</v>
      </c>
      <c r="V121" s="410">
        <f t="shared" si="97"/>
        <v>0</v>
      </c>
      <c r="W121" s="410">
        <f t="shared" si="97"/>
        <v>0</v>
      </c>
      <c r="X121" s="410">
        <f t="shared" si="97"/>
        <v>0</v>
      </c>
      <c r="Y121" s="410">
        <f t="shared" si="97"/>
        <v>0</v>
      </c>
      <c r="Z121" s="410">
        <f t="shared" si="97"/>
        <v>0</v>
      </c>
      <c r="AA121" s="410">
        <f t="shared" si="97"/>
        <v>0</v>
      </c>
      <c r="AB121" s="410">
        <f t="shared" si="97"/>
        <v>2648.75</v>
      </c>
      <c r="AC121" s="410">
        <f t="shared" si="97"/>
        <v>3973.125</v>
      </c>
      <c r="AE121" s="359"/>
      <c r="AF121" s="382">
        <f t="shared" si="98"/>
        <v>0</v>
      </c>
      <c r="AG121" s="382">
        <f t="shared" si="98"/>
        <v>0</v>
      </c>
      <c r="AH121" s="382">
        <f t="shared" si="98"/>
        <v>0</v>
      </c>
      <c r="AI121" s="382">
        <f t="shared" si="98"/>
        <v>0</v>
      </c>
      <c r="AJ121" s="382">
        <f t="shared" si="98"/>
        <v>0</v>
      </c>
      <c r="AK121" s="382">
        <f t="shared" si="98"/>
        <v>0</v>
      </c>
      <c r="AL121" s="382">
        <f t="shared" si="98"/>
        <v>0</v>
      </c>
      <c r="AM121" s="382">
        <f t="shared" si="98"/>
        <v>0</v>
      </c>
      <c r="AN121" s="382">
        <f t="shared" si="98"/>
        <v>0</v>
      </c>
      <c r="AO121" s="382">
        <f t="shared" si="98"/>
        <v>0</v>
      </c>
      <c r="AP121" s="382">
        <f t="shared" si="99"/>
        <v>0</v>
      </c>
      <c r="AQ121" s="382">
        <f t="shared" si="99"/>
        <v>0</v>
      </c>
      <c r="AR121" s="382">
        <f t="shared" si="99"/>
        <v>0</v>
      </c>
      <c r="AS121" s="382">
        <f t="shared" si="99"/>
        <v>0</v>
      </c>
      <c r="AT121" s="382">
        <f t="shared" si="99"/>
        <v>0</v>
      </c>
      <c r="AU121" s="382">
        <f t="shared" si="99"/>
        <v>0</v>
      </c>
      <c r="AV121" s="382">
        <f t="shared" si="99"/>
        <v>0</v>
      </c>
      <c r="AW121" s="382">
        <f t="shared" si="99"/>
        <v>0</v>
      </c>
      <c r="AX121" s="382">
        <f t="shared" si="99"/>
        <v>0</v>
      </c>
      <c r="AY121" s="382">
        <f t="shared" si="99"/>
        <v>0</v>
      </c>
      <c r="AZ121" s="382">
        <f t="shared" si="100"/>
        <v>0</v>
      </c>
      <c r="BA121" s="382">
        <f t="shared" si="100"/>
        <v>0</v>
      </c>
      <c r="BB121" s="382">
        <f t="shared" si="100"/>
        <v>0</v>
      </c>
      <c r="BC121" s="382">
        <f t="shared" si="100"/>
        <v>0</v>
      </c>
      <c r="BD121" s="382">
        <f t="shared" si="100"/>
        <v>0</v>
      </c>
      <c r="BE121" s="382">
        <f t="shared" si="100"/>
        <v>0</v>
      </c>
      <c r="BF121" s="382">
        <f t="shared" si="100"/>
        <v>0</v>
      </c>
      <c r="BG121" s="382">
        <f t="shared" si="100"/>
        <v>0</v>
      </c>
      <c r="BH121" s="382">
        <f t="shared" si="100"/>
        <v>0</v>
      </c>
      <c r="BI121" s="382">
        <f t="shared" si="100"/>
        <v>0</v>
      </c>
      <c r="BJ121" s="382">
        <f t="shared" si="101"/>
        <v>0</v>
      </c>
      <c r="BK121" s="382">
        <f t="shared" si="101"/>
        <v>0</v>
      </c>
      <c r="BL121" s="382">
        <f t="shared" si="101"/>
        <v>0</v>
      </c>
      <c r="BM121" s="382">
        <f t="shared" si="101"/>
        <v>0</v>
      </c>
      <c r="BN121" s="382">
        <f t="shared" si="101"/>
        <v>0</v>
      </c>
      <c r="BO121" s="382">
        <f t="shared" si="101"/>
        <v>0</v>
      </c>
      <c r="BP121" s="382">
        <f t="shared" si="101"/>
        <v>0</v>
      </c>
      <c r="BQ121" s="382">
        <f t="shared" si="101"/>
        <v>0</v>
      </c>
      <c r="BR121" s="382">
        <f t="shared" si="101"/>
        <v>0</v>
      </c>
      <c r="BS121" s="382">
        <f t="shared" si="101"/>
        <v>0</v>
      </c>
      <c r="BT121" s="382">
        <f t="shared" si="102"/>
        <v>0</v>
      </c>
      <c r="BU121" s="382">
        <f t="shared" si="102"/>
        <v>0</v>
      </c>
      <c r="BV121" s="382">
        <f t="shared" si="102"/>
        <v>0</v>
      </c>
      <c r="BW121" s="382">
        <f t="shared" si="102"/>
        <v>1324.375</v>
      </c>
      <c r="BX121" s="382">
        <f t="shared" si="102"/>
        <v>1324.375</v>
      </c>
      <c r="BY121" s="382">
        <f t="shared" si="102"/>
        <v>1324.375</v>
      </c>
      <c r="BZ121" s="382">
        <f t="shared" si="102"/>
        <v>1324.375</v>
      </c>
      <c r="CA121" s="382">
        <f t="shared" si="102"/>
        <v>1324.375</v>
      </c>
    </row>
    <row r="122" spans="3:79" ht="21" hidden="1" customHeight="1" outlineLevel="2">
      <c r="C122" s="370"/>
      <c r="D122" s="374">
        <f t="shared" si="76"/>
        <v>46295</v>
      </c>
      <c r="E122" s="408" cm="1">
        <f t="array" ref="E122">INDEX($AF$18:$CA$18,0,MATCH($D122,$AF$8:$CA$8,0))</f>
        <v>0</v>
      </c>
      <c r="G122" s="359"/>
      <c r="H122" s="410">
        <f t="shared" si="96"/>
        <v>0</v>
      </c>
      <c r="I122" s="410">
        <f t="shared" si="96"/>
        <v>0</v>
      </c>
      <c r="J122" s="410">
        <f t="shared" si="96"/>
        <v>0</v>
      </c>
      <c r="K122" s="410">
        <f t="shared" si="96"/>
        <v>0</v>
      </c>
      <c r="L122" s="410"/>
      <c r="M122" s="410"/>
      <c r="N122" s="410">
        <f t="shared" si="97"/>
        <v>0</v>
      </c>
      <c r="O122" s="410">
        <f t="shared" si="97"/>
        <v>0</v>
      </c>
      <c r="P122" s="410">
        <f t="shared" si="97"/>
        <v>0</v>
      </c>
      <c r="Q122" s="410">
        <f t="shared" si="97"/>
        <v>0</v>
      </c>
      <c r="R122" s="410">
        <f t="shared" si="97"/>
        <v>0</v>
      </c>
      <c r="S122" s="410">
        <f t="shared" si="97"/>
        <v>0</v>
      </c>
      <c r="T122" s="410">
        <f t="shared" si="97"/>
        <v>0</v>
      </c>
      <c r="U122" s="410">
        <f t="shared" si="97"/>
        <v>0</v>
      </c>
      <c r="V122" s="410">
        <f t="shared" si="97"/>
        <v>0</v>
      </c>
      <c r="W122" s="410">
        <f t="shared" si="97"/>
        <v>0</v>
      </c>
      <c r="X122" s="410">
        <f t="shared" si="97"/>
        <v>0</v>
      </c>
      <c r="Y122" s="410">
        <f t="shared" si="97"/>
        <v>0</v>
      </c>
      <c r="Z122" s="410">
        <f t="shared" si="97"/>
        <v>0</v>
      </c>
      <c r="AA122" s="410">
        <f t="shared" si="97"/>
        <v>0</v>
      </c>
      <c r="AB122" s="410">
        <f t="shared" si="97"/>
        <v>0</v>
      </c>
      <c r="AC122" s="410">
        <f t="shared" si="97"/>
        <v>0</v>
      </c>
      <c r="AE122" s="359"/>
      <c r="AF122" s="382">
        <f t="shared" si="98"/>
        <v>0</v>
      </c>
      <c r="AG122" s="382">
        <f t="shared" si="98"/>
        <v>0</v>
      </c>
      <c r="AH122" s="382">
        <f t="shared" si="98"/>
        <v>0</v>
      </c>
      <c r="AI122" s="382">
        <f t="shared" si="98"/>
        <v>0</v>
      </c>
      <c r="AJ122" s="382">
        <f t="shared" si="98"/>
        <v>0</v>
      </c>
      <c r="AK122" s="382">
        <f t="shared" si="98"/>
        <v>0</v>
      </c>
      <c r="AL122" s="382">
        <f t="shared" si="98"/>
        <v>0</v>
      </c>
      <c r="AM122" s="382">
        <f t="shared" si="98"/>
        <v>0</v>
      </c>
      <c r="AN122" s="382">
        <f t="shared" si="98"/>
        <v>0</v>
      </c>
      <c r="AO122" s="382">
        <f t="shared" si="98"/>
        <v>0</v>
      </c>
      <c r="AP122" s="382">
        <f t="shared" si="99"/>
        <v>0</v>
      </c>
      <c r="AQ122" s="382">
        <f t="shared" si="99"/>
        <v>0</v>
      </c>
      <c r="AR122" s="382">
        <f t="shared" si="99"/>
        <v>0</v>
      </c>
      <c r="AS122" s="382">
        <f t="shared" si="99"/>
        <v>0</v>
      </c>
      <c r="AT122" s="382">
        <f t="shared" si="99"/>
        <v>0</v>
      </c>
      <c r="AU122" s="382">
        <f t="shared" si="99"/>
        <v>0</v>
      </c>
      <c r="AV122" s="382">
        <f t="shared" si="99"/>
        <v>0</v>
      </c>
      <c r="AW122" s="382">
        <f t="shared" si="99"/>
        <v>0</v>
      </c>
      <c r="AX122" s="382">
        <f t="shared" si="99"/>
        <v>0</v>
      </c>
      <c r="AY122" s="382">
        <f t="shared" si="99"/>
        <v>0</v>
      </c>
      <c r="AZ122" s="382">
        <f t="shared" si="100"/>
        <v>0</v>
      </c>
      <c r="BA122" s="382">
        <f t="shared" si="100"/>
        <v>0</v>
      </c>
      <c r="BB122" s="382">
        <f t="shared" si="100"/>
        <v>0</v>
      </c>
      <c r="BC122" s="382">
        <f t="shared" si="100"/>
        <v>0</v>
      </c>
      <c r="BD122" s="382">
        <f t="shared" si="100"/>
        <v>0</v>
      </c>
      <c r="BE122" s="382">
        <f t="shared" si="100"/>
        <v>0</v>
      </c>
      <c r="BF122" s="382">
        <f t="shared" si="100"/>
        <v>0</v>
      </c>
      <c r="BG122" s="382">
        <f t="shared" si="100"/>
        <v>0</v>
      </c>
      <c r="BH122" s="382">
        <f t="shared" si="100"/>
        <v>0</v>
      </c>
      <c r="BI122" s="382">
        <f t="shared" si="100"/>
        <v>0</v>
      </c>
      <c r="BJ122" s="382">
        <f t="shared" si="101"/>
        <v>0</v>
      </c>
      <c r="BK122" s="382">
        <f t="shared" si="101"/>
        <v>0</v>
      </c>
      <c r="BL122" s="382">
        <f t="shared" si="101"/>
        <v>0</v>
      </c>
      <c r="BM122" s="382">
        <f t="shared" si="101"/>
        <v>0</v>
      </c>
      <c r="BN122" s="382">
        <f t="shared" si="101"/>
        <v>0</v>
      </c>
      <c r="BO122" s="382">
        <f t="shared" si="101"/>
        <v>0</v>
      </c>
      <c r="BP122" s="382">
        <f t="shared" si="101"/>
        <v>0</v>
      </c>
      <c r="BQ122" s="382">
        <f t="shared" si="101"/>
        <v>0</v>
      </c>
      <c r="BR122" s="382">
        <f t="shared" si="101"/>
        <v>0</v>
      </c>
      <c r="BS122" s="382">
        <f t="shared" si="101"/>
        <v>0</v>
      </c>
      <c r="BT122" s="382">
        <f t="shared" si="102"/>
        <v>0</v>
      </c>
      <c r="BU122" s="382">
        <f t="shared" si="102"/>
        <v>0</v>
      </c>
      <c r="BV122" s="382">
        <f t="shared" si="102"/>
        <v>0</v>
      </c>
      <c r="BW122" s="382">
        <f t="shared" si="102"/>
        <v>0</v>
      </c>
      <c r="BX122" s="382">
        <f t="shared" si="102"/>
        <v>0</v>
      </c>
      <c r="BY122" s="382">
        <f t="shared" si="102"/>
        <v>0</v>
      </c>
      <c r="BZ122" s="382">
        <f t="shared" si="102"/>
        <v>0</v>
      </c>
      <c r="CA122" s="382">
        <f t="shared" si="102"/>
        <v>0</v>
      </c>
    </row>
    <row r="123" spans="3:79" ht="21" hidden="1" customHeight="1" outlineLevel="2">
      <c r="C123" s="370"/>
      <c r="D123" s="374">
        <f t="shared" si="76"/>
        <v>46326</v>
      </c>
      <c r="E123" s="408" cm="1">
        <f t="array" ref="E123">INDEX($AF$18:$CA$18,0,MATCH($D123,$AF$8:$CA$8,0))</f>
        <v>0</v>
      </c>
      <c r="G123" s="359"/>
      <c r="H123" s="410">
        <f t="shared" si="96"/>
        <v>0</v>
      </c>
      <c r="I123" s="410">
        <f t="shared" si="96"/>
        <v>0</v>
      </c>
      <c r="J123" s="410">
        <f t="shared" si="96"/>
        <v>0</v>
      </c>
      <c r="K123" s="410">
        <f t="shared" si="96"/>
        <v>0</v>
      </c>
      <c r="L123" s="410"/>
      <c r="M123" s="410"/>
      <c r="N123" s="410">
        <f t="shared" si="97"/>
        <v>0</v>
      </c>
      <c r="O123" s="410">
        <f t="shared" si="97"/>
        <v>0</v>
      </c>
      <c r="P123" s="410">
        <f t="shared" si="97"/>
        <v>0</v>
      </c>
      <c r="Q123" s="410">
        <f t="shared" si="97"/>
        <v>0</v>
      </c>
      <c r="R123" s="410">
        <f t="shared" si="97"/>
        <v>0</v>
      </c>
      <c r="S123" s="410">
        <f t="shared" si="97"/>
        <v>0</v>
      </c>
      <c r="T123" s="410">
        <f t="shared" si="97"/>
        <v>0</v>
      </c>
      <c r="U123" s="410">
        <f t="shared" si="97"/>
        <v>0</v>
      </c>
      <c r="V123" s="410">
        <f t="shared" si="97"/>
        <v>0</v>
      </c>
      <c r="W123" s="410">
        <f t="shared" si="97"/>
        <v>0</v>
      </c>
      <c r="X123" s="410">
        <f t="shared" si="97"/>
        <v>0</v>
      </c>
      <c r="Y123" s="410">
        <f t="shared" si="97"/>
        <v>0</v>
      </c>
      <c r="Z123" s="410">
        <f t="shared" si="97"/>
        <v>0</v>
      </c>
      <c r="AA123" s="410">
        <f t="shared" si="97"/>
        <v>0</v>
      </c>
      <c r="AB123" s="410">
        <f t="shared" si="97"/>
        <v>0</v>
      </c>
      <c r="AC123" s="410">
        <f t="shared" si="97"/>
        <v>0</v>
      </c>
      <c r="AE123" s="359"/>
      <c r="AF123" s="382">
        <f t="shared" si="98"/>
        <v>0</v>
      </c>
      <c r="AG123" s="382">
        <f t="shared" si="98"/>
        <v>0</v>
      </c>
      <c r="AH123" s="382">
        <f t="shared" si="98"/>
        <v>0</v>
      </c>
      <c r="AI123" s="382">
        <f t="shared" si="98"/>
        <v>0</v>
      </c>
      <c r="AJ123" s="382">
        <f t="shared" si="98"/>
        <v>0</v>
      </c>
      <c r="AK123" s="382">
        <f t="shared" si="98"/>
        <v>0</v>
      </c>
      <c r="AL123" s="382">
        <f t="shared" si="98"/>
        <v>0</v>
      </c>
      <c r="AM123" s="382">
        <f t="shared" si="98"/>
        <v>0</v>
      </c>
      <c r="AN123" s="382">
        <f t="shared" si="98"/>
        <v>0</v>
      </c>
      <c r="AO123" s="382">
        <f t="shared" si="98"/>
        <v>0</v>
      </c>
      <c r="AP123" s="382">
        <f t="shared" si="99"/>
        <v>0</v>
      </c>
      <c r="AQ123" s="382">
        <f t="shared" si="99"/>
        <v>0</v>
      </c>
      <c r="AR123" s="382">
        <f t="shared" si="99"/>
        <v>0</v>
      </c>
      <c r="AS123" s="382">
        <f t="shared" si="99"/>
        <v>0</v>
      </c>
      <c r="AT123" s="382">
        <f t="shared" si="99"/>
        <v>0</v>
      </c>
      <c r="AU123" s="382">
        <f t="shared" si="99"/>
        <v>0</v>
      </c>
      <c r="AV123" s="382">
        <f t="shared" si="99"/>
        <v>0</v>
      </c>
      <c r="AW123" s="382">
        <f t="shared" si="99"/>
        <v>0</v>
      </c>
      <c r="AX123" s="382">
        <f t="shared" si="99"/>
        <v>0</v>
      </c>
      <c r="AY123" s="382">
        <f t="shared" si="99"/>
        <v>0</v>
      </c>
      <c r="AZ123" s="382">
        <f t="shared" si="100"/>
        <v>0</v>
      </c>
      <c r="BA123" s="382">
        <f t="shared" si="100"/>
        <v>0</v>
      </c>
      <c r="BB123" s="382">
        <f t="shared" si="100"/>
        <v>0</v>
      </c>
      <c r="BC123" s="382">
        <f t="shared" si="100"/>
        <v>0</v>
      </c>
      <c r="BD123" s="382">
        <f t="shared" si="100"/>
        <v>0</v>
      </c>
      <c r="BE123" s="382">
        <f t="shared" si="100"/>
        <v>0</v>
      </c>
      <c r="BF123" s="382">
        <f t="shared" si="100"/>
        <v>0</v>
      </c>
      <c r="BG123" s="382">
        <f t="shared" si="100"/>
        <v>0</v>
      </c>
      <c r="BH123" s="382">
        <f t="shared" si="100"/>
        <v>0</v>
      </c>
      <c r="BI123" s="382">
        <f t="shared" si="100"/>
        <v>0</v>
      </c>
      <c r="BJ123" s="382">
        <f t="shared" si="101"/>
        <v>0</v>
      </c>
      <c r="BK123" s="382">
        <f t="shared" si="101"/>
        <v>0</v>
      </c>
      <c r="BL123" s="382">
        <f t="shared" si="101"/>
        <v>0</v>
      </c>
      <c r="BM123" s="382">
        <f t="shared" si="101"/>
        <v>0</v>
      </c>
      <c r="BN123" s="382">
        <f t="shared" si="101"/>
        <v>0</v>
      </c>
      <c r="BO123" s="382">
        <f t="shared" si="101"/>
        <v>0</v>
      </c>
      <c r="BP123" s="382">
        <f t="shared" si="101"/>
        <v>0</v>
      </c>
      <c r="BQ123" s="382">
        <f t="shared" si="101"/>
        <v>0</v>
      </c>
      <c r="BR123" s="382">
        <f t="shared" si="101"/>
        <v>0</v>
      </c>
      <c r="BS123" s="382">
        <f t="shared" si="101"/>
        <v>0</v>
      </c>
      <c r="BT123" s="382">
        <f t="shared" si="102"/>
        <v>0</v>
      </c>
      <c r="BU123" s="382">
        <f t="shared" si="102"/>
        <v>0</v>
      </c>
      <c r="BV123" s="382">
        <f t="shared" si="102"/>
        <v>0</v>
      </c>
      <c r="BW123" s="382">
        <f t="shared" si="102"/>
        <v>0</v>
      </c>
      <c r="BX123" s="382">
        <f t="shared" si="102"/>
        <v>0</v>
      </c>
      <c r="BY123" s="382">
        <f t="shared" si="102"/>
        <v>0</v>
      </c>
      <c r="BZ123" s="382">
        <f t="shared" si="102"/>
        <v>0</v>
      </c>
      <c r="CA123" s="382">
        <f t="shared" si="102"/>
        <v>0</v>
      </c>
    </row>
    <row r="124" spans="3:79" ht="21" hidden="1" customHeight="1" outlineLevel="2">
      <c r="C124" s="370"/>
      <c r="D124" s="374">
        <f t="shared" si="76"/>
        <v>46356</v>
      </c>
      <c r="E124" s="408" cm="1">
        <f t="array" ref="E124">INDEX($AF$18:$CA$18,0,MATCH($D124,$AF$8:$CA$8,0))</f>
        <v>7450</v>
      </c>
      <c r="G124" s="359"/>
      <c r="H124" s="410">
        <f t="shared" si="96"/>
        <v>0</v>
      </c>
      <c r="I124" s="410">
        <f t="shared" si="96"/>
        <v>0</v>
      </c>
      <c r="J124" s="410">
        <f t="shared" si="96"/>
        <v>0</v>
      </c>
      <c r="K124" s="410">
        <f t="shared" si="96"/>
        <v>1241.6666666666667</v>
      </c>
      <c r="L124" s="410"/>
      <c r="M124" s="410"/>
      <c r="N124" s="410">
        <f t="shared" si="97"/>
        <v>0</v>
      </c>
      <c r="O124" s="410">
        <f t="shared" si="97"/>
        <v>0</v>
      </c>
      <c r="P124" s="410">
        <f t="shared" si="97"/>
        <v>0</v>
      </c>
      <c r="Q124" s="410">
        <f t="shared" si="97"/>
        <v>0</v>
      </c>
      <c r="R124" s="410">
        <f t="shared" si="97"/>
        <v>0</v>
      </c>
      <c r="S124" s="410">
        <f t="shared" si="97"/>
        <v>0</v>
      </c>
      <c r="T124" s="410">
        <f t="shared" si="97"/>
        <v>0</v>
      </c>
      <c r="U124" s="410">
        <f t="shared" si="97"/>
        <v>0</v>
      </c>
      <c r="V124" s="410">
        <f t="shared" si="97"/>
        <v>0</v>
      </c>
      <c r="W124" s="410">
        <f t="shared" si="97"/>
        <v>0</v>
      </c>
      <c r="X124" s="410">
        <f t="shared" si="97"/>
        <v>0</v>
      </c>
      <c r="Y124" s="410">
        <f t="shared" si="97"/>
        <v>0</v>
      </c>
      <c r="Z124" s="410">
        <f t="shared" si="97"/>
        <v>0</v>
      </c>
      <c r="AA124" s="410">
        <f t="shared" si="97"/>
        <v>0</v>
      </c>
      <c r="AB124" s="410">
        <f t="shared" si="97"/>
        <v>0</v>
      </c>
      <c r="AC124" s="410">
        <f t="shared" si="97"/>
        <v>1241.6666666666667</v>
      </c>
      <c r="AE124" s="359"/>
      <c r="AF124" s="382">
        <f t="shared" si="98"/>
        <v>0</v>
      </c>
      <c r="AG124" s="382">
        <f t="shared" si="98"/>
        <v>0</v>
      </c>
      <c r="AH124" s="382">
        <f t="shared" si="98"/>
        <v>0</v>
      </c>
      <c r="AI124" s="382">
        <f t="shared" si="98"/>
        <v>0</v>
      </c>
      <c r="AJ124" s="382">
        <f t="shared" si="98"/>
        <v>0</v>
      </c>
      <c r="AK124" s="382">
        <f t="shared" si="98"/>
        <v>0</v>
      </c>
      <c r="AL124" s="382">
        <f t="shared" si="98"/>
        <v>0</v>
      </c>
      <c r="AM124" s="382">
        <f t="shared" si="98"/>
        <v>0</v>
      </c>
      <c r="AN124" s="382">
        <f t="shared" si="98"/>
        <v>0</v>
      </c>
      <c r="AO124" s="382">
        <f t="shared" si="98"/>
        <v>0</v>
      </c>
      <c r="AP124" s="382">
        <f t="shared" si="99"/>
        <v>0</v>
      </c>
      <c r="AQ124" s="382">
        <f t="shared" si="99"/>
        <v>0</v>
      </c>
      <c r="AR124" s="382">
        <f t="shared" si="99"/>
        <v>0</v>
      </c>
      <c r="AS124" s="382">
        <f t="shared" si="99"/>
        <v>0</v>
      </c>
      <c r="AT124" s="382">
        <f t="shared" si="99"/>
        <v>0</v>
      </c>
      <c r="AU124" s="382">
        <f t="shared" si="99"/>
        <v>0</v>
      </c>
      <c r="AV124" s="382">
        <f t="shared" si="99"/>
        <v>0</v>
      </c>
      <c r="AW124" s="382">
        <f t="shared" si="99"/>
        <v>0</v>
      </c>
      <c r="AX124" s="382">
        <f t="shared" si="99"/>
        <v>0</v>
      </c>
      <c r="AY124" s="382">
        <f t="shared" si="99"/>
        <v>0</v>
      </c>
      <c r="AZ124" s="382">
        <f t="shared" si="100"/>
        <v>0</v>
      </c>
      <c r="BA124" s="382">
        <f t="shared" si="100"/>
        <v>0</v>
      </c>
      <c r="BB124" s="382">
        <f t="shared" si="100"/>
        <v>0</v>
      </c>
      <c r="BC124" s="382">
        <f t="shared" si="100"/>
        <v>0</v>
      </c>
      <c r="BD124" s="382">
        <f t="shared" si="100"/>
        <v>0</v>
      </c>
      <c r="BE124" s="382">
        <f t="shared" si="100"/>
        <v>0</v>
      </c>
      <c r="BF124" s="382">
        <f t="shared" si="100"/>
        <v>0</v>
      </c>
      <c r="BG124" s="382">
        <f t="shared" si="100"/>
        <v>0</v>
      </c>
      <c r="BH124" s="382">
        <f t="shared" si="100"/>
        <v>0</v>
      </c>
      <c r="BI124" s="382">
        <f t="shared" si="100"/>
        <v>0</v>
      </c>
      <c r="BJ124" s="382">
        <f t="shared" si="101"/>
        <v>0</v>
      </c>
      <c r="BK124" s="382">
        <f t="shared" si="101"/>
        <v>0</v>
      </c>
      <c r="BL124" s="382">
        <f t="shared" si="101"/>
        <v>0</v>
      </c>
      <c r="BM124" s="382">
        <f t="shared" si="101"/>
        <v>0</v>
      </c>
      <c r="BN124" s="382">
        <f t="shared" si="101"/>
        <v>0</v>
      </c>
      <c r="BO124" s="382">
        <f t="shared" si="101"/>
        <v>0</v>
      </c>
      <c r="BP124" s="382">
        <f t="shared" si="101"/>
        <v>0</v>
      </c>
      <c r="BQ124" s="382">
        <f t="shared" si="101"/>
        <v>0</v>
      </c>
      <c r="BR124" s="382">
        <f t="shared" si="101"/>
        <v>0</v>
      </c>
      <c r="BS124" s="382">
        <f t="shared" si="101"/>
        <v>0</v>
      </c>
      <c r="BT124" s="382">
        <f t="shared" si="102"/>
        <v>0</v>
      </c>
      <c r="BU124" s="382">
        <f t="shared" si="102"/>
        <v>0</v>
      </c>
      <c r="BV124" s="382">
        <f t="shared" si="102"/>
        <v>0</v>
      </c>
      <c r="BW124" s="382">
        <f t="shared" si="102"/>
        <v>0</v>
      </c>
      <c r="BX124" s="382">
        <f t="shared" si="102"/>
        <v>0</v>
      </c>
      <c r="BY124" s="382">
        <f t="shared" si="102"/>
        <v>0</v>
      </c>
      <c r="BZ124" s="382">
        <f t="shared" si="102"/>
        <v>620.83333333333337</v>
      </c>
      <c r="CA124" s="382">
        <f t="shared" si="102"/>
        <v>620.83333333333337</v>
      </c>
    </row>
    <row r="125" spans="3:79" ht="21" hidden="1" customHeight="1" outlineLevel="2">
      <c r="C125" s="370"/>
      <c r="D125" s="374">
        <f t="shared" si="76"/>
        <v>46387</v>
      </c>
      <c r="E125" s="408" cm="1">
        <f t="array" ref="E125">INDEX($AF$18:$CA$18,0,MATCH($D125,$AF$8:$CA$8,0))</f>
        <v>17450</v>
      </c>
      <c r="G125" s="359"/>
      <c r="H125" s="410">
        <f t="shared" si="96"/>
        <v>0</v>
      </c>
      <c r="I125" s="410">
        <f t="shared" si="96"/>
        <v>0</v>
      </c>
      <c r="J125" s="410">
        <f t="shared" si="96"/>
        <v>0</v>
      </c>
      <c r="K125" s="410">
        <f t="shared" si="96"/>
        <v>1454.1666666666667</v>
      </c>
      <c r="L125" s="410"/>
      <c r="M125" s="410"/>
      <c r="N125" s="410">
        <f t="shared" si="97"/>
        <v>0</v>
      </c>
      <c r="O125" s="410">
        <f t="shared" si="97"/>
        <v>0</v>
      </c>
      <c r="P125" s="410">
        <f t="shared" si="97"/>
        <v>0</v>
      </c>
      <c r="Q125" s="410">
        <f t="shared" si="97"/>
        <v>0</v>
      </c>
      <c r="R125" s="410">
        <f t="shared" si="97"/>
        <v>0</v>
      </c>
      <c r="S125" s="410">
        <f t="shared" si="97"/>
        <v>0</v>
      </c>
      <c r="T125" s="410">
        <f t="shared" si="97"/>
        <v>0</v>
      </c>
      <c r="U125" s="410">
        <f t="shared" si="97"/>
        <v>0</v>
      </c>
      <c r="V125" s="410">
        <f t="shared" si="97"/>
        <v>0</v>
      </c>
      <c r="W125" s="410">
        <f t="shared" si="97"/>
        <v>0</v>
      </c>
      <c r="X125" s="410">
        <f t="shared" si="97"/>
        <v>0</v>
      </c>
      <c r="Y125" s="410">
        <f t="shared" si="97"/>
        <v>0</v>
      </c>
      <c r="Z125" s="410">
        <f t="shared" si="97"/>
        <v>0</v>
      </c>
      <c r="AA125" s="410">
        <f t="shared" si="97"/>
        <v>0</v>
      </c>
      <c r="AB125" s="410">
        <f t="shared" si="97"/>
        <v>0</v>
      </c>
      <c r="AC125" s="410">
        <f t="shared" si="97"/>
        <v>1454.1666666666667</v>
      </c>
      <c r="AE125" s="359"/>
      <c r="AF125" s="382">
        <f t="shared" si="98"/>
        <v>0</v>
      </c>
      <c r="AG125" s="382">
        <f t="shared" si="98"/>
        <v>0</v>
      </c>
      <c r="AH125" s="382">
        <f t="shared" si="98"/>
        <v>0</v>
      </c>
      <c r="AI125" s="382">
        <f t="shared" si="98"/>
        <v>0</v>
      </c>
      <c r="AJ125" s="382">
        <f t="shared" si="98"/>
        <v>0</v>
      </c>
      <c r="AK125" s="382">
        <f t="shared" si="98"/>
        <v>0</v>
      </c>
      <c r="AL125" s="382">
        <f t="shared" si="98"/>
        <v>0</v>
      </c>
      <c r="AM125" s="382">
        <f t="shared" si="98"/>
        <v>0</v>
      </c>
      <c r="AN125" s="382">
        <f t="shared" si="98"/>
        <v>0</v>
      </c>
      <c r="AO125" s="382">
        <f t="shared" si="98"/>
        <v>0</v>
      </c>
      <c r="AP125" s="382">
        <f t="shared" si="99"/>
        <v>0</v>
      </c>
      <c r="AQ125" s="382">
        <f t="shared" si="99"/>
        <v>0</v>
      </c>
      <c r="AR125" s="382">
        <f t="shared" si="99"/>
        <v>0</v>
      </c>
      <c r="AS125" s="382">
        <f t="shared" si="99"/>
        <v>0</v>
      </c>
      <c r="AT125" s="382">
        <f t="shared" si="99"/>
        <v>0</v>
      </c>
      <c r="AU125" s="382">
        <f t="shared" si="99"/>
        <v>0</v>
      </c>
      <c r="AV125" s="382">
        <f t="shared" si="99"/>
        <v>0</v>
      </c>
      <c r="AW125" s="382">
        <f t="shared" si="99"/>
        <v>0</v>
      </c>
      <c r="AX125" s="382">
        <f t="shared" si="99"/>
        <v>0</v>
      </c>
      <c r="AY125" s="382">
        <f t="shared" si="99"/>
        <v>0</v>
      </c>
      <c r="AZ125" s="382">
        <f t="shared" si="100"/>
        <v>0</v>
      </c>
      <c r="BA125" s="382">
        <f t="shared" si="100"/>
        <v>0</v>
      </c>
      <c r="BB125" s="382">
        <f t="shared" si="100"/>
        <v>0</v>
      </c>
      <c r="BC125" s="382">
        <f t="shared" si="100"/>
        <v>0</v>
      </c>
      <c r="BD125" s="382">
        <f t="shared" si="100"/>
        <v>0</v>
      </c>
      <c r="BE125" s="382">
        <f t="shared" si="100"/>
        <v>0</v>
      </c>
      <c r="BF125" s="382">
        <f t="shared" si="100"/>
        <v>0</v>
      </c>
      <c r="BG125" s="382">
        <f t="shared" si="100"/>
        <v>0</v>
      </c>
      <c r="BH125" s="382">
        <f t="shared" si="100"/>
        <v>0</v>
      </c>
      <c r="BI125" s="382">
        <f t="shared" si="100"/>
        <v>0</v>
      </c>
      <c r="BJ125" s="382">
        <f t="shared" si="101"/>
        <v>0</v>
      </c>
      <c r="BK125" s="382">
        <f t="shared" si="101"/>
        <v>0</v>
      </c>
      <c r="BL125" s="382">
        <f t="shared" si="101"/>
        <v>0</v>
      </c>
      <c r="BM125" s="382">
        <f t="shared" si="101"/>
        <v>0</v>
      </c>
      <c r="BN125" s="382">
        <f t="shared" si="101"/>
        <v>0</v>
      </c>
      <c r="BO125" s="382">
        <f t="shared" si="101"/>
        <v>0</v>
      </c>
      <c r="BP125" s="382">
        <f t="shared" si="101"/>
        <v>0</v>
      </c>
      <c r="BQ125" s="382">
        <f t="shared" si="101"/>
        <v>0</v>
      </c>
      <c r="BR125" s="382">
        <f t="shared" si="101"/>
        <v>0</v>
      </c>
      <c r="BS125" s="382">
        <f t="shared" si="101"/>
        <v>0</v>
      </c>
      <c r="BT125" s="382">
        <f t="shared" si="102"/>
        <v>0</v>
      </c>
      <c r="BU125" s="382">
        <f t="shared" si="102"/>
        <v>0</v>
      </c>
      <c r="BV125" s="382">
        <f t="shared" si="102"/>
        <v>0</v>
      </c>
      <c r="BW125" s="382">
        <f t="shared" si="102"/>
        <v>0</v>
      </c>
      <c r="BX125" s="382">
        <f t="shared" si="102"/>
        <v>0</v>
      </c>
      <c r="BY125" s="382">
        <f t="shared" si="102"/>
        <v>0</v>
      </c>
      <c r="BZ125" s="382">
        <f t="shared" si="102"/>
        <v>0</v>
      </c>
      <c r="CA125" s="382">
        <f t="shared" si="102"/>
        <v>1454.1666666666667</v>
      </c>
    </row>
    <row r="126" spans="3:79" outlineLevel="1">
      <c r="G126" s="359"/>
      <c r="M126" s="359"/>
      <c r="AE126" s="359"/>
    </row>
    <row r="127" spans="3:79" s="357" customFormat="1" ht="15" outlineLevel="1">
      <c r="C127" s="360" t="s">
        <v>421</v>
      </c>
      <c r="D127" s="365"/>
      <c r="E127" s="366"/>
      <c r="F127" s="50"/>
      <c r="G127" s="359"/>
      <c r="H127" s="364">
        <f>SUM(H25,H27,H77)</f>
        <v>12187.5</v>
      </c>
      <c r="I127" s="364">
        <f>SUM(I25,I27,I77)</f>
        <v>387087.5</v>
      </c>
      <c r="J127" s="364">
        <f>SUM(J25,J27,J77)</f>
        <v>820710.20833333326</v>
      </c>
      <c r="K127" s="364">
        <f>SUM(K25,K27,K77)</f>
        <v>2878876.666666667</v>
      </c>
      <c r="L127" s="358"/>
      <c r="M127" s="359"/>
      <c r="N127" s="364">
        <f t="shared" ref="N127:AC127" si="103">SUM(N25,N27,N77)</f>
        <v>0</v>
      </c>
      <c r="O127" s="364">
        <f t="shared" si="103"/>
        <v>0</v>
      </c>
      <c r="P127" s="364">
        <f t="shared" si="103"/>
        <v>0</v>
      </c>
      <c r="Q127" s="364">
        <f t="shared" si="103"/>
        <v>12187.5</v>
      </c>
      <c r="R127" s="364">
        <f t="shared" si="103"/>
        <v>60383.333333333336</v>
      </c>
      <c r="S127" s="364">
        <f t="shared" si="103"/>
        <v>97054.166666666672</v>
      </c>
      <c r="T127" s="364">
        <f t="shared" si="103"/>
        <v>114825</v>
      </c>
      <c r="U127" s="364">
        <f t="shared" si="103"/>
        <v>114825</v>
      </c>
      <c r="V127" s="364">
        <f t="shared" si="103"/>
        <v>117972.91666666667</v>
      </c>
      <c r="W127" s="364">
        <f t="shared" si="103"/>
        <v>150492.91666666666</v>
      </c>
      <c r="X127" s="364">
        <f t="shared" si="103"/>
        <v>219417.5</v>
      </c>
      <c r="Y127" s="364">
        <f t="shared" si="103"/>
        <v>332826.875</v>
      </c>
      <c r="Z127" s="364">
        <f t="shared" si="103"/>
        <v>631034.79166666674</v>
      </c>
      <c r="AA127" s="364">
        <f t="shared" si="103"/>
        <v>749280.625</v>
      </c>
      <c r="AB127" s="364">
        <f t="shared" si="103"/>
        <v>749280.625</v>
      </c>
      <c r="AC127" s="364">
        <f t="shared" si="103"/>
        <v>749280.625</v>
      </c>
      <c r="AD127" s="358"/>
      <c r="AE127" s="359"/>
      <c r="AF127" s="364">
        <f t="shared" ref="AF127:CA127" si="104">SUM(AF25,AF27,AF77)</f>
        <v>0</v>
      </c>
      <c r="AG127" s="364">
        <f t="shared" si="104"/>
        <v>0</v>
      </c>
      <c r="AH127" s="364">
        <f t="shared" si="104"/>
        <v>0</v>
      </c>
      <c r="AI127" s="364">
        <f t="shared" si="104"/>
        <v>0</v>
      </c>
      <c r="AJ127" s="364">
        <f t="shared" si="104"/>
        <v>0</v>
      </c>
      <c r="AK127" s="364">
        <f t="shared" si="104"/>
        <v>0</v>
      </c>
      <c r="AL127" s="364">
        <f t="shared" si="104"/>
        <v>0</v>
      </c>
      <c r="AM127" s="364">
        <f t="shared" si="104"/>
        <v>0</v>
      </c>
      <c r="AN127" s="364">
        <f t="shared" si="104"/>
        <v>0</v>
      </c>
      <c r="AO127" s="364">
        <f t="shared" si="104"/>
        <v>0</v>
      </c>
      <c r="AP127" s="364">
        <f t="shared" si="104"/>
        <v>0</v>
      </c>
      <c r="AQ127" s="364">
        <f t="shared" si="104"/>
        <v>12187.5</v>
      </c>
      <c r="AR127" s="364">
        <f t="shared" si="104"/>
        <v>19375</v>
      </c>
      <c r="AS127" s="364">
        <f t="shared" si="104"/>
        <v>20504.166666666668</v>
      </c>
      <c r="AT127" s="364">
        <f t="shared" si="104"/>
        <v>20504.166666666668</v>
      </c>
      <c r="AU127" s="364">
        <f t="shared" si="104"/>
        <v>20504.166666666668</v>
      </c>
      <c r="AV127" s="364">
        <f t="shared" si="104"/>
        <v>38275</v>
      </c>
      <c r="AW127" s="364">
        <f t="shared" si="104"/>
        <v>38275</v>
      </c>
      <c r="AX127" s="364">
        <f t="shared" si="104"/>
        <v>38275</v>
      </c>
      <c r="AY127" s="364">
        <f t="shared" si="104"/>
        <v>38275</v>
      </c>
      <c r="AZ127" s="364">
        <f t="shared" si="104"/>
        <v>38275</v>
      </c>
      <c r="BA127" s="364">
        <f t="shared" si="104"/>
        <v>38275</v>
      </c>
      <c r="BB127" s="364">
        <f t="shared" si="104"/>
        <v>38275</v>
      </c>
      <c r="BC127" s="364">
        <f t="shared" si="104"/>
        <v>38275</v>
      </c>
      <c r="BD127" s="364">
        <f t="shared" si="104"/>
        <v>38275</v>
      </c>
      <c r="BE127" s="364">
        <f t="shared" si="104"/>
        <v>38275</v>
      </c>
      <c r="BF127" s="364">
        <f t="shared" si="104"/>
        <v>41422.916666666672</v>
      </c>
      <c r="BG127" s="364">
        <f t="shared" si="104"/>
        <v>45353.750000000007</v>
      </c>
      <c r="BH127" s="364">
        <f t="shared" si="104"/>
        <v>46216.250000000007</v>
      </c>
      <c r="BI127" s="364">
        <f t="shared" si="104"/>
        <v>58922.916666666672</v>
      </c>
      <c r="BJ127" s="364">
        <f t="shared" si="104"/>
        <v>58922.916666666672</v>
      </c>
      <c r="BK127" s="364">
        <f t="shared" si="104"/>
        <v>79282.291666666672</v>
      </c>
      <c r="BL127" s="364">
        <f t="shared" si="104"/>
        <v>81212.291666666672</v>
      </c>
      <c r="BM127" s="364">
        <f t="shared" si="104"/>
        <v>98967.291666666672</v>
      </c>
      <c r="BN127" s="364">
        <f t="shared" si="104"/>
        <v>105379.79166666667</v>
      </c>
      <c r="BO127" s="364">
        <f t="shared" si="104"/>
        <v>128479.79166666667</v>
      </c>
      <c r="BP127" s="364">
        <f t="shared" si="104"/>
        <v>170245.625</v>
      </c>
      <c r="BQ127" s="364">
        <f t="shared" si="104"/>
        <v>211028.95833333334</v>
      </c>
      <c r="BR127" s="364">
        <f t="shared" si="104"/>
        <v>249760.20833333331</v>
      </c>
      <c r="BS127" s="364">
        <f t="shared" si="104"/>
        <v>249760.20833333331</v>
      </c>
      <c r="BT127" s="364">
        <f t="shared" si="104"/>
        <v>249760.20833333331</v>
      </c>
      <c r="BU127" s="364">
        <f t="shared" si="104"/>
        <v>249760.20833333331</v>
      </c>
      <c r="BV127" s="364">
        <f t="shared" si="104"/>
        <v>249760.20833333331</v>
      </c>
      <c r="BW127" s="364">
        <f t="shared" si="104"/>
        <v>249760.20833333331</v>
      </c>
      <c r="BX127" s="364">
        <f t="shared" si="104"/>
        <v>249760.20833333331</v>
      </c>
      <c r="BY127" s="364">
        <f t="shared" si="104"/>
        <v>249760.20833333331</v>
      </c>
      <c r="BZ127" s="364">
        <f t="shared" si="104"/>
        <v>249760.20833333331</v>
      </c>
      <c r="CA127" s="364">
        <f t="shared" si="104"/>
        <v>249760.20833333331</v>
      </c>
    </row>
  </sheetData>
  <mergeCells count="3">
    <mergeCell ref="G2:G8"/>
    <mergeCell ref="M2:M8"/>
    <mergeCell ref="AE2:AE8"/>
  </mergeCells>
  <pageMargins left="0.7" right="0.7" top="0.75" bottom="0.75" header="0.3" footer="0.3"/>
  <pageSetup orientation="portrait" r:id="rId1"/>
  <customProperties>
    <customPr name="sourceTemplate"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B4602-BE77-A44D-8B17-7FF9167A1488}">
  <sheetPr>
    <tabColor theme="5" tint="0.79998168889431442"/>
    <outlinePr summaryBelow="0" summaryRight="0"/>
  </sheetPr>
  <dimension ref="A1:CA191"/>
  <sheetViews>
    <sheetView showGridLines="0" zoomScaleNormal="100" workbookViewId="0">
      <pane xSplit="6" ySplit="8" topLeftCell="AE9" activePane="bottomRight" state="frozen"/>
      <selection pane="topRight" activeCell="D54" sqref="D54"/>
      <selection pane="bottomLeft" activeCell="D54" sqref="D54"/>
      <selection pane="bottomRight" activeCell="AG23" sqref="AG23"/>
    </sheetView>
  </sheetViews>
  <sheetFormatPr defaultColWidth="9.140625" defaultRowHeight="18.75" outlineLevelRow="3" outlineLevelCol="2"/>
  <cols>
    <col min="1" max="1" width="2.42578125" style="50" customWidth="1"/>
    <col min="2" max="2" width="2.42578125" style="356" customWidth="1"/>
    <col min="3" max="3" width="2.42578125" style="355" customWidth="1"/>
    <col min="4" max="4" width="33.42578125" style="50" customWidth="1"/>
    <col min="5" max="5" width="15" style="50" bestFit="1" customWidth="1"/>
    <col min="6" max="6" width="2.7109375" style="50" customWidth="1"/>
    <col min="7" max="7" width="3.42578125" style="55" bestFit="1" customWidth="1" collapsed="1"/>
    <col min="8" max="10" width="11.140625" style="50" hidden="1" customWidth="1" outlineLevel="2"/>
    <col min="11" max="11" width="12.140625" style="50" hidden="1" customWidth="1" outlineLevel="2"/>
    <col min="12" max="12" width="2.7109375" style="50" customWidth="1"/>
    <col min="13" max="13" width="3.42578125" style="55" bestFit="1" customWidth="1" collapsed="1"/>
    <col min="14" max="18" width="9.7109375" style="50" hidden="1" customWidth="1" outlineLevel="2"/>
    <col min="19" max="29" width="11.140625" style="50" hidden="1" customWidth="1" outlineLevel="2"/>
    <col min="30" max="30" width="2.7109375" style="50" customWidth="1"/>
    <col min="31" max="31" width="3.42578125" style="55" bestFit="1" customWidth="1"/>
    <col min="32" max="79" width="12.85546875" style="50" bestFit="1" customWidth="1" outlineLevel="1"/>
    <col min="80" max="16384" width="9.140625" style="50"/>
  </cols>
  <sheetData>
    <row r="1" spans="1:79" ht="21" customHeight="1">
      <c r="A1" s="193" t="str">
        <f>Company_Name</f>
        <v>Model Wiz Demo *</v>
      </c>
      <c r="E1" s="357"/>
    </row>
    <row r="2" spans="1:79" ht="21" customHeight="1">
      <c r="A2" s="148" t="str" cm="1">
        <f t="array" aca="1" ref="A2" ca="1">IFERROR(MID(CELL("filename",A1),FIND("]",CELL("filename",A1))+1,LEN(CELL("filename",A1))),"")</f>
        <v>Revenue - New</v>
      </c>
      <c r="G2" s="853" t="s">
        <v>159</v>
      </c>
      <c r="H2" s="148"/>
      <c r="I2" s="148"/>
      <c r="J2" s="148"/>
      <c r="K2" s="148"/>
      <c r="L2" s="148"/>
      <c r="M2" s="853" t="s">
        <v>160</v>
      </c>
      <c r="N2" s="403"/>
      <c r="O2" s="148"/>
      <c r="P2" s="148"/>
      <c r="Q2" s="148"/>
      <c r="R2" s="148"/>
      <c r="S2" s="148"/>
      <c r="T2" s="148"/>
      <c r="U2" s="148"/>
      <c r="V2" s="148"/>
      <c r="W2" s="148"/>
      <c r="X2" s="148"/>
      <c r="Y2" s="148"/>
      <c r="Z2" s="148"/>
      <c r="AA2" s="148"/>
      <c r="AB2" s="148"/>
      <c r="AC2" s="148"/>
      <c r="AD2" s="407"/>
      <c r="AE2" s="853" t="s">
        <v>161</v>
      </c>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row>
    <row r="3" spans="1:79" ht="21" customHeight="1" collapsed="1">
      <c r="A3" s="192" t="str">
        <f>Error_Check</f>
        <v>Model Functioning Properly</v>
      </c>
      <c r="G3" s="853"/>
      <c r="H3" s="405" t="str">
        <f>IF(H$5&lt;=_xlfn.SINGLE(LatestMonthOfActuals),"Actual","Projected")</f>
        <v>Actual</v>
      </c>
      <c r="I3" s="405" t="str">
        <f>IF(I$5&lt;=_xlfn.SINGLE(LatestMonthOfActuals),"Actual","Projected")</f>
        <v>Actual</v>
      </c>
      <c r="J3" s="405" t="str">
        <f>IF(J$5&lt;=_xlfn.SINGLE(LatestMonthOfActuals),"Actual","Projected")</f>
        <v>Projected</v>
      </c>
      <c r="K3" s="405" t="str">
        <f>IF(K$5&lt;=_xlfn.SINGLE(LatestMonthOfActuals),"Actual","Projected")</f>
        <v>Projected</v>
      </c>
      <c r="L3" s="148"/>
      <c r="M3" s="853"/>
      <c r="N3" s="405" t="str">
        <f t="shared" ref="N3:AC3" si="0">IF(N$5&lt;=_xlfn.SINGLE(LatestMonthOfActuals),"Actual","Projected")</f>
        <v>Actual</v>
      </c>
      <c r="O3" s="405" t="str">
        <f t="shared" si="0"/>
        <v>Actual</v>
      </c>
      <c r="P3" s="405" t="str">
        <f t="shared" si="0"/>
        <v>Actual</v>
      </c>
      <c r="Q3" s="405" t="str">
        <f t="shared" si="0"/>
        <v>Actual</v>
      </c>
      <c r="R3" s="405" t="str">
        <f t="shared" si="0"/>
        <v>Actual</v>
      </c>
      <c r="S3" s="405" t="str">
        <f t="shared" si="0"/>
        <v>Actual</v>
      </c>
      <c r="T3" s="405" t="str">
        <f t="shared" si="0"/>
        <v>Actual</v>
      </c>
      <c r="U3" s="405" t="str">
        <f t="shared" si="0"/>
        <v>Actual</v>
      </c>
      <c r="V3" s="405" t="str">
        <f t="shared" si="0"/>
        <v>Actual</v>
      </c>
      <c r="W3" s="405" t="str">
        <f t="shared" si="0"/>
        <v>Actual</v>
      </c>
      <c r="X3" s="405" t="str">
        <f t="shared" si="0"/>
        <v>Actual</v>
      </c>
      <c r="Y3" s="405" t="str">
        <f t="shared" si="0"/>
        <v>Projected</v>
      </c>
      <c r="Z3" s="405" t="str">
        <f t="shared" si="0"/>
        <v>Projected</v>
      </c>
      <c r="AA3" s="405" t="str">
        <f t="shared" si="0"/>
        <v>Projected</v>
      </c>
      <c r="AB3" s="405" t="str">
        <f t="shared" si="0"/>
        <v>Projected</v>
      </c>
      <c r="AC3" s="405" t="str">
        <f t="shared" si="0"/>
        <v>Projected</v>
      </c>
      <c r="AD3" s="406"/>
      <c r="AE3" s="853"/>
      <c r="AF3" s="405" t="str">
        <f t="shared" ref="AF3:CA3" si="1">IF(AF$5&lt;=_xlfn.SINGLE(LatestMonthOfActuals),"Actual","Projected")</f>
        <v>Actual</v>
      </c>
      <c r="AG3" s="405" t="str">
        <f t="shared" si="1"/>
        <v>Actual</v>
      </c>
      <c r="AH3" s="405" t="str">
        <f t="shared" si="1"/>
        <v>Actual</v>
      </c>
      <c r="AI3" s="405" t="str">
        <f t="shared" si="1"/>
        <v>Actual</v>
      </c>
      <c r="AJ3" s="405" t="str">
        <f t="shared" si="1"/>
        <v>Actual</v>
      </c>
      <c r="AK3" s="405" t="str">
        <f t="shared" si="1"/>
        <v>Actual</v>
      </c>
      <c r="AL3" s="405" t="str">
        <f t="shared" si="1"/>
        <v>Actual</v>
      </c>
      <c r="AM3" s="405" t="str">
        <f t="shared" si="1"/>
        <v>Actual</v>
      </c>
      <c r="AN3" s="405" t="str">
        <f t="shared" si="1"/>
        <v>Actual</v>
      </c>
      <c r="AO3" s="405" t="str">
        <f t="shared" si="1"/>
        <v>Actual</v>
      </c>
      <c r="AP3" s="405" t="str">
        <f t="shared" si="1"/>
        <v>Actual</v>
      </c>
      <c r="AQ3" s="405" t="str">
        <f t="shared" si="1"/>
        <v>Actual</v>
      </c>
      <c r="AR3" s="405" t="str">
        <f t="shared" si="1"/>
        <v>Actual</v>
      </c>
      <c r="AS3" s="405" t="str">
        <f t="shared" si="1"/>
        <v>Actual</v>
      </c>
      <c r="AT3" s="405" t="str">
        <f t="shared" si="1"/>
        <v>Actual</v>
      </c>
      <c r="AU3" s="405" t="str">
        <f t="shared" si="1"/>
        <v>Actual</v>
      </c>
      <c r="AV3" s="405" t="str">
        <f t="shared" si="1"/>
        <v>Actual</v>
      </c>
      <c r="AW3" s="405" t="str">
        <f t="shared" si="1"/>
        <v>Actual</v>
      </c>
      <c r="AX3" s="405" t="str">
        <f t="shared" si="1"/>
        <v>Actual</v>
      </c>
      <c r="AY3" s="405" t="str">
        <f t="shared" si="1"/>
        <v>Actual</v>
      </c>
      <c r="AZ3" s="405" t="str">
        <f t="shared" si="1"/>
        <v>Actual</v>
      </c>
      <c r="BA3" s="405" t="str">
        <f t="shared" si="1"/>
        <v>Actual</v>
      </c>
      <c r="BB3" s="405" t="str">
        <f t="shared" si="1"/>
        <v>Actual</v>
      </c>
      <c r="BC3" s="405" t="str">
        <f t="shared" si="1"/>
        <v>Actual</v>
      </c>
      <c r="BD3" s="405" t="str">
        <f t="shared" si="1"/>
        <v>Actual</v>
      </c>
      <c r="BE3" s="405" t="str">
        <f t="shared" si="1"/>
        <v>Actual</v>
      </c>
      <c r="BF3" s="405" t="str">
        <f t="shared" si="1"/>
        <v>Actual</v>
      </c>
      <c r="BG3" s="405" t="str">
        <f t="shared" si="1"/>
        <v>Actual</v>
      </c>
      <c r="BH3" s="405" t="str">
        <f t="shared" si="1"/>
        <v>Actual</v>
      </c>
      <c r="BI3" s="405" t="str">
        <f t="shared" si="1"/>
        <v>Actual</v>
      </c>
      <c r="BJ3" s="405" t="str">
        <f t="shared" si="1"/>
        <v>Actual</v>
      </c>
      <c r="BK3" s="405" t="str">
        <f t="shared" si="1"/>
        <v>Actual</v>
      </c>
      <c r="BL3" s="405" t="str">
        <f t="shared" si="1"/>
        <v>Actual</v>
      </c>
      <c r="BM3" s="405" t="str">
        <f t="shared" si="1"/>
        <v>Actual</v>
      </c>
      <c r="BN3" s="405" t="str">
        <f t="shared" si="1"/>
        <v>Actual</v>
      </c>
      <c r="BO3" s="405" t="str">
        <f t="shared" si="1"/>
        <v>Projected</v>
      </c>
      <c r="BP3" s="405" t="str">
        <f t="shared" si="1"/>
        <v>Projected</v>
      </c>
      <c r="BQ3" s="405" t="str">
        <f t="shared" si="1"/>
        <v>Projected</v>
      </c>
      <c r="BR3" s="405" t="str">
        <f t="shared" si="1"/>
        <v>Projected</v>
      </c>
      <c r="BS3" s="405" t="str">
        <f t="shared" si="1"/>
        <v>Projected</v>
      </c>
      <c r="BT3" s="405" t="str">
        <f t="shared" si="1"/>
        <v>Projected</v>
      </c>
      <c r="BU3" s="405" t="str">
        <f t="shared" si="1"/>
        <v>Projected</v>
      </c>
      <c r="BV3" s="405" t="str">
        <f t="shared" si="1"/>
        <v>Projected</v>
      </c>
      <c r="BW3" s="405" t="str">
        <f t="shared" si="1"/>
        <v>Projected</v>
      </c>
      <c r="BX3" s="405" t="str">
        <f t="shared" si="1"/>
        <v>Projected</v>
      </c>
      <c r="BY3" s="405" t="str">
        <f t="shared" si="1"/>
        <v>Projected</v>
      </c>
      <c r="BZ3" s="405" t="str">
        <f t="shared" si="1"/>
        <v>Projected</v>
      </c>
      <c r="CA3" s="405" t="str">
        <f t="shared" si="1"/>
        <v>Projected</v>
      </c>
    </row>
    <row r="4" spans="1:79" ht="18" hidden="1" customHeight="1" outlineLevel="2">
      <c r="G4" s="853"/>
      <c r="H4" s="403">
        <f>Start_Date</f>
        <v>44927</v>
      </c>
      <c r="I4" s="403">
        <f>H5+1</f>
        <v>45292</v>
      </c>
      <c r="J4" s="403">
        <f>I5+1</f>
        <v>45658</v>
      </c>
      <c r="K4" s="403">
        <f>J5+1</f>
        <v>46023</v>
      </c>
      <c r="L4" s="148"/>
      <c r="M4" s="853"/>
      <c r="N4" s="403">
        <f>Start_Date</f>
        <v>44927</v>
      </c>
      <c r="O4" s="402">
        <f t="shared" ref="O4:AC4" si="2">N5+1</f>
        <v>45017</v>
      </c>
      <c r="P4" s="402">
        <f t="shared" si="2"/>
        <v>45108</v>
      </c>
      <c r="Q4" s="402">
        <f t="shared" si="2"/>
        <v>45200</v>
      </c>
      <c r="R4" s="402">
        <f t="shared" si="2"/>
        <v>45292</v>
      </c>
      <c r="S4" s="402">
        <f t="shared" si="2"/>
        <v>45383</v>
      </c>
      <c r="T4" s="402">
        <f t="shared" si="2"/>
        <v>45474</v>
      </c>
      <c r="U4" s="402">
        <f t="shared" si="2"/>
        <v>45566</v>
      </c>
      <c r="V4" s="402">
        <f t="shared" si="2"/>
        <v>45658</v>
      </c>
      <c r="W4" s="402">
        <f t="shared" si="2"/>
        <v>45748</v>
      </c>
      <c r="X4" s="402">
        <f t="shared" si="2"/>
        <v>45839</v>
      </c>
      <c r="Y4" s="402">
        <f t="shared" si="2"/>
        <v>45931</v>
      </c>
      <c r="Z4" s="402">
        <f t="shared" si="2"/>
        <v>46023</v>
      </c>
      <c r="AA4" s="402">
        <f t="shared" si="2"/>
        <v>46113</v>
      </c>
      <c r="AB4" s="402">
        <f t="shared" si="2"/>
        <v>46204</v>
      </c>
      <c r="AC4" s="402">
        <f t="shared" si="2"/>
        <v>46296</v>
      </c>
      <c r="AD4" s="404"/>
      <c r="AE4" s="853"/>
      <c r="AF4" s="403">
        <f>Start_Date</f>
        <v>44927</v>
      </c>
      <c r="AG4" s="403">
        <f t="shared" ref="AG4:CA4" si="3">EOMONTH(AG5,-1)+1</f>
        <v>44958</v>
      </c>
      <c r="AH4" s="403">
        <f t="shared" si="3"/>
        <v>44986</v>
      </c>
      <c r="AI4" s="403">
        <f t="shared" si="3"/>
        <v>45017</v>
      </c>
      <c r="AJ4" s="403">
        <f t="shared" si="3"/>
        <v>45047</v>
      </c>
      <c r="AK4" s="403">
        <f t="shared" si="3"/>
        <v>45078</v>
      </c>
      <c r="AL4" s="403">
        <f t="shared" si="3"/>
        <v>45108</v>
      </c>
      <c r="AM4" s="403">
        <f t="shared" si="3"/>
        <v>45139</v>
      </c>
      <c r="AN4" s="403">
        <f t="shared" si="3"/>
        <v>45170</v>
      </c>
      <c r="AO4" s="403">
        <f t="shared" si="3"/>
        <v>45200</v>
      </c>
      <c r="AP4" s="403">
        <f t="shared" si="3"/>
        <v>45231</v>
      </c>
      <c r="AQ4" s="403">
        <f t="shared" si="3"/>
        <v>45261</v>
      </c>
      <c r="AR4" s="403">
        <f t="shared" si="3"/>
        <v>45292</v>
      </c>
      <c r="AS4" s="403">
        <f t="shared" si="3"/>
        <v>45323</v>
      </c>
      <c r="AT4" s="403">
        <f t="shared" si="3"/>
        <v>45352</v>
      </c>
      <c r="AU4" s="403">
        <f t="shared" si="3"/>
        <v>45383</v>
      </c>
      <c r="AV4" s="403">
        <f t="shared" si="3"/>
        <v>45413</v>
      </c>
      <c r="AW4" s="403">
        <f t="shared" si="3"/>
        <v>45444</v>
      </c>
      <c r="AX4" s="403">
        <f t="shared" si="3"/>
        <v>45474</v>
      </c>
      <c r="AY4" s="403">
        <f t="shared" si="3"/>
        <v>45505</v>
      </c>
      <c r="AZ4" s="403">
        <f t="shared" si="3"/>
        <v>45536</v>
      </c>
      <c r="BA4" s="403">
        <f t="shared" si="3"/>
        <v>45566</v>
      </c>
      <c r="BB4" s="403">
        <f t="shared" si="3"/>
        <v>45597</v>
      </c>
      <c r="BC4" s="403">
        <f t="shared" si="3"/>
        <v>45627</v>
      </c>
      <c r="BD4" s="403">
        <f t="shared" si="3"/>
        <v>45658</v>
      </c>
      <c r="BE4" s="403">
        <f t="shared" si="3"/>
        <v>45689</v>
      </c>
      <c r="BF4" s="403">
        <f t="shared" si="3"/>
        <v>45717</v>
      </c>
      <c r="BG4" s="403">
        <f t="shared" si="3"/>
        <v>45748</v>
      </c>
      <c r="BH4" s="403">
        <f t="shared" si="3"/>
        <v>45778</v>
      </c>
      <c r="BI4" s="403">
        <f t="shared" si="3"/>
        <v>45809</v>
      </c>
      <c r="BJ4" s="403">
        <f t="shared" si="3"/>
        <v>45839</v>
      </c>
      <c r="BK4" s="403">
        <f t="shared" si="3"/>
        <v>45870</v>
      </c>
      <c r="BL4" s="403">
        <f t="shared" si="3"/>
        <v>45901</v>
      </c>
      <c r="BM4" s="403">
        <f t="shared" si="3"/>
        <v>45931</v>
      </c>
      <c r="BN4" s="403">
        <f t="shared" si="3"/>
        <v>45962</v>
      </c>
      <c r="BO4" s="403">
        <f t="shared" si="3"/>
        <v>45992</v>
      </c>
      <c r="BP4" s="403">
        <f t="shared" si="3"/>
        <v>46023</v>
      </c>
      <c r="BQ4" s="403">
        <f t="shared" si="3"/>
        <v>46054</v>
      </c>
      <c r="BR4" s="403">
        <f t="shared" si="3"/>
        <v>46082</v>
      </c>
      <c r="BS4" s="403">
        <f t="shared" si="3"/>
        <v>46113</v>
      </c>
      <c r="BT4" s="403">
        <f t="shared" si="3"/>
        <v>46143</v>
      </c>
      <c r="BU4" s="403">
        <f t="shared" si="3"/>
        <v>46174</v>
      </c>
      <c r="BV4" s="403">
        <f t="shared" si="3"/>
        <v>46204</v>
      </c>
      <c r="BW4" s="403">
        <f t="shared" si="3"/>
        <v>46235</v>
      </c>
      <c r="BX4" s="403">
        <f t="shared" si="3"/>
        <v>46266</v>
      </c>
      <c r="BY4" s="403">
        <f t="shared" si="3"/>
        <v>46296</v>
      </c>
      <c r="BZ4" s="403">
        <f t="shared" si="3"/>
        <v>46327</v>
      </c>
      <c r="CA4" s="403">
        <f t="shared" si="3"/>
        <v>46357</v>
      </c>
    </row>
    <row r="5" spans="1:79" ht="21" hidden="1" customHeight="1" outlineLevel="2">
      <c r="G5" s="853"/>
      <c r="H5" s="403">
        <f>EOMONTH(DATE(YEAR(Start_Date),1,1),Fiscal_Offset+IF(N6&lt;YEAR(Start_Date),-1,11))</f>
        <v>45291</v>
      </c>
      <c r="I5" s="402">
        <f>MIN(EOMONTH(H5,12),End_Date)</f>
        <v>45657</v>
      </c>
      <c r="J5" s="402">
        <f>MIN(EOMONTH(I5,12),End_Date)</f>
        <v>46022</v>
      </c>
      <c r="K5" s="402">
        <f>MIN(EOMONTH(J5,12),End_Date)</f>
        <v>46387</v>
      </c>
      <c r="L5" s="148"/>
      <c r="M5" s="853"/>
      <c r="N5" s="402">
        <f>EOMONTH(DATE(YEAR(Start_Date),1,1),MOD(ROUNDUP(MONTH(EOMONTH(Start_Date,-Fiscal_Offset))/3,0)*3+Fiscal_Offset-1,12))</f>
        <v>45016</v>
      </c>
      <c r="O5" s="402">
        <f t="shared" ref="O5:AC5" si="4">MIN(EOMONTH(O$4,2),End_Date)</f>
        <v>45107</v>
      </c>
      <c r="P5" s="402">
        <f t="shared" si="4"/>
        <v>45199</v>
      </c>
      <c r="Q5" s="402">
        <f t="shared" si="4"/>
        <v>45291</v>
      </c>
      <c r="R5" s="402">
        <f t="shared" si="4"/>
        <v>45382</v>
      </c>
      <c r="S5" s="402">
        <f t="shared" si="4"/>
        <v>45473</v>
      </c>
      <c r="T5" s="402">
        <f t="shared" si="4"/>
        <v>45565</v>
      </c>
      <c r="U5" s="402">
        <f t="shared" si="4"/>
        <v>45657</v>
      </c>
      <c r="V5" s="402">
        <f t="shared" si="4"/>
        <v>45747</v>
      </c>
      <c r="W5" s="402">
        <f t="shared" si="4"/>
        <v>45838</v>
      </c>
      <c r="X5" s="402">
        <f t="shared" si="4"/>
        <v>45930</v>
      </c>
      <c r="Y5" s="402">
        <f t="shared" si="4"/>
        <v>46022</v>
      </c>
      <c r="Z5" s="402">
        <f t="shared" si="4"/>
        <v>46112</v>
      </c>
      <c r="AA5" s="402">
        <f t="shared" si="4"/>
        <v>46203</v>
      </c>
      <c r="AB5" s="402">
        <f t="shared" si="4"/>
        <v>46295</v>
      </c>
      <c r="AC5" s="402">
        <f t="shared" si="4"/>
        <v>46387</v>
      </c>
      <c r="AD5" s="404"/>
      <c r="AE5" s="853"/>
      <c r="AF5" s="403" cm="1">
        <f t="array" ref="AF5">EOM_Start_Date</f>
        <v>44957</v>
      </c>
      <c r="AG5" s="402">
        <f t="shared" ref="AG5:CA5" si="5">EOMONTH(AF5,1)</f>
        <v>44985</v>
      </c>
      <c r="AH5" s="402">
        <f t="shared" si="5"/>
        <v>45016</v>
      </c>
      <c r="AI5" s="402">
        <f t="shared" si="5"/>
        <v>45046</v>
      </c>
      <c r="AJ5" s="402">
        <f t="shared" si="5"/>
        <v>45077</v>
      </c>
      <c r="AK5" s="402">
        <f t="shared" si="5"/>
        <v>45107</v>
      </c>
      <c r="AL5" s="402">
        <f t="shared" si="5"/>
        <v>45138</v>
      </c>
      <c r="AM5" s="402">
        <f t="shared" si="5"/>
        <v>45169</v>
      </c>
      <c r="AN5" s="402">
        <f t="shared" si="5"/>
        <v>45199</v>
      </c>
      <c r="AO5" s="402">
        <f t="shared" si="5"/>
        <v>45230</v>
      </c>
      <c r="AP5" s="402">
        <f t="shared" si="5"/>
        <v>45260</v>
      </c>
      <c r="AQ5" s="402">
        <f t="shared" si="5"/>
        <v>45291</v>
      </c>
      <c r="AR5" s="402">
        <f t="shared" si="5"/>
        <v>45322</v>
      </c>
      <c r="AS5" s="402">
        <f t="shared" si="5"/>
        <v>45351</v>
      </c>
      <c r="AT5" s="402">
        <f t="shared" si="5"/>
        <v>45382</v>
      </c>
      <c r="AU5" s="402">
        <f t="shared" si="5"/>
        <v>45412</v>
      </c>
      <c r="AV5" s="402">
        <f t="shared" si="5"/>
        <v>45443</v>
      </c>
      <c r="AW5" s="402">
        <f t="shared" si="5"/>
        <v>45473</v>
      </c>
      <c r="AX5" s="402">
        <f t="shared" si="5"/>
        <v>45504</v>
      </c>
      <c r="AY5" s="402">
        <f t="shared" si="5"/>
        <v>45535</v>
      </c>
      <c r="AZ5" s="402">
        <f t="shared" si="5"/>
        <v>45565</v>
      </c>
      <c r="BA5" s="402">
        <f t="shared" si="5"/>
        <v>45596</v>
      </c>
      <c r="BB5" s="402">
        <f t="shared" si="5"/>
        <v>45626</v>
      </c>
      <c r="BC5" s="402">
        <f t="shared" si="5"/>
        <v>45657</v>
      </c>
      <c r="BD5" s="402">
        <f t="shared" si="5"/>
        <v>45688</v>
      </c>
      <c r="BE5" s="402">
        <f t="shared" si="5"/>
        <v>45716</v>
      </c>
      <c r="BF5" s="402">
        <f t="shared" si="5"/>
        <v>45747</v>
      </c>
      <c r="BG5" s="402">
        <f t="shared" si="5"/>
        <v>45777</v>
      </c>
      <c r="BH5" s="402">
        <f t="shared" si="5"/>
        <v>45808</v>
      </c>
      <c r="BI5" s="402">
        <f t="shared" si="5"/>
        <v>45838</v>
      </c>
      <c r="BJ5" s="402">
        <f t="shared" si="5"/>
        <v>45869</v>
      </c>
      <c r="BK5" s="402">
        <f t="shared" si="5"/>
        <v>45900</v>
      </c>
      <c r="BL5" s="402">
        <f t="shared" si="5"/>
        <v>45930</v>
      </c>
      <c r="BM5" s="402">
        <f t="shared" si="5"/>
        <v>45961</v>
      </c>
      <c r="BN5" s="402">
        <f t="shared" si="5"/>
        <v>45991</v>
      </c>
      <c r="BO5" s="402">
        <f t="shared" si="5"/>
        <v>46022</v>
      </c>
      <c r="BP5" s="402">
        <f t="shared" si="5"/>
        <v>46053</v>
      </c>
      <c r="BQ5" s="402">
        <f t="shared" si="5"/>
        <v>46081</v>
      </c>
      <c r="BR5" s="402">
        <f t="shared" si="5"/>
        <v>46112</v>
      </c>
      <c r="BS5" s="402">
        <f t="shared" si="5"/>
        <v>46142</v>
      </c>
      <c r="BT5" s="402">
        <f t="shared" si="5"/>
        <v>46173</v>
      </c>
      <c r="BU5" s="402">
        <f t="shared" si="5"/>
        <v>46203</v>
      </c>
      <c r="BV5" s="402">
        <f t="shared" si="5"/>
        <v>46234</v>
      </c>
      <c r="BW5" s="402">
        <f t="shared" si="5"/>
        <v>46265</v>
      </c>
      <c r="BX5" s="402">
        <f t="shared" si="5"/>
        <v>46295</v>
      </c>
      <c r="BY5" s="402">
        <f t="shared" si="5"/>
        <v>46326</v>
      </c>
      <c r="BZ5" s="402">
        <f t="shared" si="5"/>
        <v>46356</v>
      </c>
      <c r="CA5" s="402">
        <f t="shared" si="5"/>
        <v>46387</v>
      </c>
    </row>
    <row r="6" spans="1:79" ht="21" hidden="1" customHeight="1" outlineLevel="2">
      <c r="G6" s="853"/>
      <c r="H6" s="369">
        <f>YEAR(EOMONTH(H5,-Fiscal_Offset))</f>
        <v>2023</v>
      </c>
      <c r="I6" s="369">
        <f>YEAR(EOMONTH(I5,-Fiscal_Offset))</f>
        <v>2024</v>
      </c>
      <c r="J6" s="369">
        <f>YEAR(EOMONTH(J5,-Fiscal_Offset))</f>
        <v>2025</v>
      </c>
      <c r="K6" s="369">
        <f>YEAR(EOMONTH(K5,-Fiscal_Offset))</f>
        <v>2026</v>
      </c>
      <c r="L6" s="148"/>
      <c r="M6" s="853"/>
      <c r="N6" s="369">
        <f t="shared" ref="N6:AC6" si="6">YEAR(EOMONTH(N5,-Fiscal_Offset))</f>
        <v>2023</v>
      </c>
      <c r="O6" s="369">
        <f t="shared" si="6"/>
        <v>2023</v>
      </c>
      <c r="P6" s="369">
        <f t="shared" si="6"/>
        <v>2023</v>
      </c>
      <c r="Q6" s="369">
        <f t="shared" si="6"/>
        <v>2023</v>
      </c>
      <c r="R6" s="369">
        <f t="shared" si="6"/>
        <v>2024</v>
      </c>
      <c r="S6" s="369">
        <f t="shared" si="6"/>
        <v>2024</v>
      </c>
      <c r="T6" s="369">
        <f t="shared" si="6"/>
        <v>2024</v>
      </c>
      <c r="U6" s="369">
        <f t="shared" si="6"/>
        <v>2024</v>
      </c>
      <c r="V6" s="369">
        <f t="shared" si="6"/>
        <v>2025</v>
      </c>
      <c r="W6" s="369">
        <f t="shared" si="6"/>
        <v>2025</v>
      </c>
      <c r="X6" s="369">
        <f t="shared" si="6"/>
        <v>2025</v>
      </c>
      <c r="Y6" s="369">
        <f t="shared" si="6"/>
        <v>2025</v>
      </c>
      <c r="Z6" s="369">
        <f t="shared" si="6"/>
        <v>2026</v>
      </c>
      <c r="AA6" s="369">
        <f t="shared" si="6"/>
        <v>2026</v>
      </c>
      <c r="AB6" s="369">
        <f t="shared" si="6"/>
        <v>2026</v>
      </c>
      <c r="AC6" s="369">
        <f t="shared" si="6"/>
        <v>2026</v>
      </c>
      <c r="AD6" s="399"/>
      <c r="AE6" s="853"/>
      <c r="AF6" s="369">
        <f t="shared" ref="AF6:CA6" si="7">YEAR(EOMONTH(AF5,-Fiscal_Offset))</f>
        <v>2023</v>
      </c>
      <c r="AG6" s="369">
        <f t="shared" si="7"/>
        <v>2023</v>
      </c>
      <c r="AH6" s="369">
        <f t="shared" si="7"/>
        <v>2023</v>
      </c>
      <c r="AI6" s="369">
        <f t="shared" si="7"/>
        <v>2023</v>
      </c>
      <c r="AJ6" s="369">
        <f t="shared" si="7"/>
        <v>2023</v>
      </c>
      <c r="AK6" s="369">
        <f t="shared" si="7"/>
        <v>2023</v>
      </c>
      <c r="AL6" s="369">
        <f t="shared" si="7"/>
        <v>2023</v>
      </c>
      <c r="AM6" s="369">
        <f t="shared" si="7"/>
        <v>2023</v>
      </c>
      <c r="AN6" s="369">
        <f t="shared" si="7"/>
        <v>2023</v>
      </c>
      <c r="AO6" s="369">
        <f t="shared" si="7"/>
        <v>2023</v>
      </c>
      <c r="AP6" s="369">
        <f t="shared" si="7"/>
        <v>2023</v>
      </c>
      <c r="AQ6" s="369">
        <f t="shared" si="7"/>
        <v>2023</v>
      </c>
      <c r="AR6" s="369">
        <f t="shared" si="7"/>
        <v>2024</v>
      </c>
      <c r="AS6" s="369">
        <f t="shared" si="7"/>
        <v>2024</v>
      </c>
      <c r="AT6" s="369">
        <f t="shared" si="7"/>
        <v>2024</v>
      </c>
      <c r="AU6" s="369">
        <f t="shared" si="7"/>
        <v>2024</v>
      </c>
      <c r="AV6" s="369">
        <f t="shared" si="7"/>
        <v>2024</v>
      </c>
      <c r="AW6" s="369">
        <f t="shared" si="7"/>
        <v>2024</v>
      </c>
      <c r="AX6" s="369">
        <f t="shared" si="7"/>
        <v>2024</v>
      </c>
      <c r="AY6" s="369">
        <f t="shared" si="7"/>
        <v>2024</v>
      </c>
      <c r="AZ6" s="369">
        <f t="shared" si="7"/>
        <v>2024</v>
      </c>
      <c r="BA6" s="369">
        <f t="shared" si="7"/>
        <v>2024</v>
      </c>
      <c r="BB6" s="369">
        <f t="shared" si="7"/>
        <v>2024</v>
      </c>
      <c r="BC6" s="369">
        <f t="shared" si="7"/>
        <v>2024</v>
      </c>
      <c r="BD6" s="369">
        <f t="shared" si="7"/>
        <v>2025</v>
      </c>
      <c r="BE6" s="369">
        <f t="shared" si="7"/>
        <v>2025</v>
      </c>
      <c r="BF6" s="369">
        <f t="shared" si="7"/>
        <v>2025</v>
      </c>
      <c r="BG6" s="369">
        <f t="shared" si="7"/>
        <v>2025</v>
      </c>
      <c r="BH6" s="369">
        <f t="shared" si="7"/>
        <v>2025</v>
      </c>
      <c r="BI6" s="369">
        <f t="shared" si="7"/>
        <v>2025</v>
      </c>
      <c r="BJ6" s="369">
        <f t="shared" si="7"/>
        <v>2025</v>
      </c>
      <c r="BK6" s="369">
        <f t="shared" si="7"/>
        <v>2025</v>
      </c>
      <c r="BL6" s="369">
        <f t="shared" si="7"/>
        <v>2025</v>
      </c>
      <c r="BM6" s="369">
        <f t="shared" si="7"/>
        <v>2025</v>
      </c>
      <c r="BN6" s="369">
        <f t="shared" si="7"/>
        <v>2025</v>
      </c>
      <c r="BO6" s="369">
        <f t="shared" si="7"/>
        <v>2025</v>
      </c>
      <c r="BP6" s="369">
        <f t="shared" si="7"/>
        <v>2026</v>
      </c>
      <c r="BQ6" s="369">
        <f t="shared" si="7"/>
        <v>2026</v>
      </c>
      <c r="BR6" s="369">
        <f t="shared" si="7"/>
        <v>2026</v>
      </c>
      <c r="BS6" s="369">
        <f t="shared" si="7"/>
        <v>2026</v>
      </c>
      <c r="BT6" s="369">
        <f t="shared" si="7"/>
        <v>2026</v>
      </c>
      <c r="BU6" s="369">
        <f t="shared" si="7"/>
        <v>2026</v>
      </c>
      <c r="BV6" s="369">
        <f t="shared" si="7"/>
        <v>2026</v>
      </c>
      <c r="BW6" s="369">
        <f t="shared" si="7"/>
        <v>2026</v>
      </c>
      <c r="BX6" s="369">
        <f t="shared" si="7"/>
        <v>2026</v>
      </c>
      <c r="BY6" s="369">
        <f t="shared" si="7"/>
        <v>2026</v>
      </c>
      <c r="BZ6" s="369">
        <f t="shared" si="7"/>
        <v>2026</v>
      </c>
      <c r="CA6" s="369">
        <f t="shared" si="7"/>
        <v>2026</v>
      </c>
    </row>
    <row r="7" spans="1:79" ht="21" hidden="1" customHeight="1" outlineLevel="2">
      <c r="G7" s="853"/>
      <c r="H7" s="369" t="str">
        <f>"Q"&amp; ROUNDUP(MONTH(EOMONTH(H5,-Fiscal_Offset))/3,0)</f>
        <v>Q4</v>
      </c>
      <c r="I7" s="369" t="str">
        <f>"Q"&amp; ROUNDUP(MONTH(EOMONTH(I5,-Fiscal_Offset))/3,0)</f>
        <v>Q4</v>
      </c>
      <c r="J7" s="369" t="str">
        <f>"Q"&amp; ROUNDUP(MONTH(EOMONTH(J5,-Fiscal_Offset))/3,0)</f>
        <v>Q4</v>
      </c>
      <c r="K7" s="369" t="str">
        <f>"Q"&amp; ROUNDUP(MONTH(EOMONTH(K5,-Fiscal_Offset))/3,0)</f>
        <v>Q4</v>
      </c>
      <c r="L7" s="148"/>
      <c r="M7" s="853"/>
      <c r="N7" s="369" t="str">
        <f t="shared" ref="N7:AC7" si="8">"Q"&amp; ROUNDUP(MONTH(EOMONTH(N5,-Fiscal_Offset))/3,0)</f>
        <v>Q1</v>
      </c>
      <c r="O7" s="369" t="str">
        <f t="shared" si="8"/>
        <v>Q2</v>
      </c>
      <c r="P7" s="369" t="str">
        <f t="shared" si="8"/>
        <v>Q3</v>
      </c>
      <c r="Q7" s="369" t="str">
        <f t="shared" si="8"/>
        <v>Q4</v>
      </c>
      <c r="R7" s="369" t="str">
        <f t="shared" si="8"/>
        <v>Q1</v>
      </c>
      <c r="S7" s="369" t="str">
        <f t="shared" si="8"/>
        <v>Q2</v>
      </c>
      <c r="T7" s="369" t="str">
        <f t="shared" si="8"/>
        <v>Q3</v>
      </c>
      <c r="U7" s="369" t="str">
        <f t="shared" si="8"/>
        <v>Q4</v>
      </c>
      <c r="V7" s="369" t="str">
        <f t="shared" si="8"/>
        <v>Q1</v>
      </c>
      <c r="W7" s="369" t="str">
        <f t="shared" si="8"/>
        <v>Q2</v>
      </c>
      <c r="X7" s="369" t="str">
        <f t="shared" si="8"/>
        <v>Q3</v>
      </c>
      <c r="Y7" s="369" t="str">
        <f t="shared" si="8"/>
        <v>Q4</v>
      </c>
      <c r="Z7" s="369" t="str">
        <f t="shared" si="8"/>
        <v>Q1</v>
      </c>
      <c r="AA7" s="369" t="str">
        <f t="shared" si="8"/>
        <v>Q2</v>
      </c>
      <c r="AB7" s="369" t="str">
        <f t="shared" si="8"/>
        <v>Q3</v>
      </c>
      <c r="AC7" s="369" t="str">
        <f t="shared" si="8"/>
        <v>Q4</v>
      </c>
      <c r="AD7" s="399"/>
      <c r="AE7" s="853"/>
      <c r="AF7" s="369" t="str">
        <f t="shared" ref="AF7:CA7" si="9">"Q"&amp; ROUNDUP(MONTH(EOMONTH(AF5,-Fiscal_Offset))/3,0)</f>
        <v>Q1</v>
      </c>
      <c r="AG7" s="369" t="str">
        <f t="shared" si="9"/>
        <v>Q1</v>
      </c>
      <c r="AH7" s="369" t="str">
        <f t="shared" si="9"/>
        <v>Q1</v>
      </c>
      <c r="AI7" s="369" t="str">
        <f t="shared" si="9"/>
        <v>Q2</v>
      </c>
      <c r="AJ7" s="369" t="str">
        <f t="shared" si="9"/>
        <v>Q2</v>
      </c>
      <c r="AK7" s="369" t="str">
        <f t="shared" si="9"/>
        <v>Q2</v>
      </c>
      <c r="AL7" s="369" t="str">
        <f t="shared" si="9"/>
        <v>Q3</v>
      </c>
      <c r="AM7" s="369" t="str">
        <f t="shared" si="9"/>
        <v>Q3</v>
      </c>
      <c r="AN7" s="369" t="str">
        <f t="shared" si="9"/>
        <v>Q3</v>
      </c>
      <c r="AO7" s="369" t="str">
        <f t="shared" si="9"/>
        <v>Q4</v>
      </c>
      <c r="AP7" s="369" t="str">
        <f t="shared" si="9"/>
        <v>Q4</v>
      </c>
      <c r="AQ7" s="369" t="str">
        <f t="shared" si="9"/>
        <v>Q4</v>
      </c>
      <c r="AR7" s="369" t="str">
        <f t="shared" si="9"/>
        <v>Q1</v>
      </c>
      <c r="AS7" s="369" t="str">
        <f t="shared" si="9"/>
        <v>Q1</v>
      </c>
      <c r="AT7" s="369" t="str">
        <f t="shared" si="9"/>
        <v>Q1</v>
      </c>
      <c r="AU7" s="369" t="str">
        <f t="shared" si="9"/>
        <v>Q2</v>
      </c>
      <c r="AV7" s="369" t="str">
        <f t="shared" si="9"/>
        <v>Q2</v>
      </c>
      <c r="AW7" s="369" t="str">
        <f t="shared" si="9"/>
        <v>Q2</v>
      </c>
      <c r="AX7" s="369" t="str">
        <f t="shared" si="9"/>
        <v>Q3</v>
      </c>
      <c r="AY7" s="369" t="str">
        <f t="shared" si="9"/>
        <v>Q3</v>
      </c>
      <c r="AZ7" s="369" t="str">
        <f t="shared" si="9"/>
        <v>Q3</v>
      </c>
      <c r="BA7" s="369" t="str">
        <f t="shared" si="9"/>
        <v>Q4</v>
      </c>
      <c r="BB7" s="369" t="str">
        <f t="shared" si="9"/>
        <v>Q4</v>
      </c>
      <c r="BC7" s="369" t="str">
        <f t="shared" si="9"/>
        <v>Q4</v>
      </c>
      <c r="BD7" s="369" t="str">
        <f t="shared" si="9"/>
        <v>Q1</v>
      </c>
      <c r="BE7" s="369" t="str">
        <f t="shared" si="9"/>
        <v>Q1</v>
      </c>
      <c r="BF7" s="369" t="str">
        <f t="shared" si="9"/>
        <v>Q1</v>
      </c>
      <c r="BG7" s="369" t="str">
        <f t="shared" si="9"/>
        <v>Q2</v>
      </c>
      <c r="BH7" s="369" t="str">
        <f t="shared" si="9"/>
        <v>Q2</v>
      </c>
      <c r="BI7" s="369" t="str">
        <f t="shared" si="9"/>
        <v>Q2</v>
      </c>
      <c r="BJ7" s="369" t="str">
        <f t="shared" si="9"/>
        <v>Q3</v>
      </c>
      <c r="BK7" s="369" t="str">
        <f t="shared" si="9"/>
        <v>Q3</v>
      </c>
      <c r="BL7" s="369" t="str">
        <f t="shared" si="9"/>
        <v>Q3</v>
      </c>
      <c r="BM7" s="369" t="str">
        <f t="shared" si="9"/>
        <v>Q4</v>
      </c>
      <c r="BN7" s="369" t="str">
        <f t="shared" si="9"/>
        <v>Q4</v>
      </c>
      <c r="BO7" s="369" t="str">
        <f t="shared" si="9"/>
        <v>Q4</v>
      </c>
      <c r="BP7" s="369" t="str">
        <f t="shared" si="9"/>
        <v>Q1</v>
      </c>
      <c r="BQ7" s="369" t="str">
        <f t="shared" si="9"/>
        <v>Q1</v>
      </c>
      <c r="BR7" s="369" t="str">
        <f t="shared" si="9"/>
        <v>Q1</v>
      </c>
      <c r="BS7" s="369" t="str">
        <f t="shared" si="9"/>
        <v>Q2</v>
      </c>
      <c r="BT7" s="369" t="str">
        <f t="shared" si="9"/>
        <v>Q2</v>
      </c>
      <c r="BU7" s="369" t="str">
        <f t="shared" si="9"/>
        <v>Q2</v>
      </c>
      <c r="BV7" s="369" t="str">
        <f t="shared" si="9"/>
        <v>Q3</v>
      </c>
      <c r="BW7" s="369" t="str">
        <f t="shared" si="9"/>
        <v>Q3</v>
      </c>
      <c r="BX7" s="369" t="str">
        <f t="shared" si="9"/>
        <v>Q3</v>
      </c>
      <c r="BY7" s="369" t="str">
        <f t="shared" si="9"/>
        <v>Q4</v>
      </c>
      <c r="BZ7" s="369" t="str">
        <f t="shared" si="9"/>
        <v>Q4</v>
      </c>
      <c r="CA7" s="369" t="str">
        <f t="shared" si="9"/>
        <v>Q4</v>
      </c>
    </row>
    <row r="8" spans="1:79" s="51" customFormat="1" ht="30" customHeight="1">
      <c r="B8" s="387"/>
      <c r="C8" s="386"/>
      <c r="F8" s="50"/>
      <c r="G8" s="853"/>
      <c r="H8" s="398">
        <f>H6</f>
        <v>2023</v>
      </c>
      <c r="I8" s="398">
        <f>I6</f>
        <v>2024</v>
      </c>
      <c r="J8" s="398">
        <f>J6</f>
        <v>2025</v>
      </c>
      <c r="K8" s="398">
        <f>K6</f>
        <v>2026</v>
      </c>
      <c r="L8" s="172"/>
      <c r="M8" s="853"/>
      <c r="N8" s="397" t="str">
        <f t="shared" ref="N8:AC8" si="10">CONCATENATE(CONCATENATE(N$7," ",N$6))</f>
        <v>Q1 2023</v>
      </c>
      <c r="O8" s="397" t="str">
        <f t="shared" si="10"/>
        <v>Q2 2023</v>
      </c>
      <c r="P8" s="397" t="str">
        <f t="shared" si="10"/>
        <v>Q3 2023</v>
      </c>
      <c r="Q8" s="397" t="str">
        <f t="shared" si="10"/>
        <v>Q4 2023</v>
      </c>
      <c r="R8" s="397" t="str">
        <f t="shared" si="10"/>
        <v>Q1 2024</v>
      </c>
      <c r="S8" s="397" t="str">
        <f t="shared" si="10"/>
        <v>Q2 2024</v>
      </c>
      <c r="T8" s="397" t="str">
        <f t="shared" si="10"/>
        <v>Q3 2024</v>
      </c>
      <c r="U8" s="397" t="str">
        <f t="shared" si="10"/>
        <v>Q4 2024</v>
      </c>
      <c r="V8" s="397" t="str">
        <f t="shared" si="10"/>
        <v>Q1 2025</v>
      </c>
      <c r="W8" s="397" t="str">
        <f t="shared" si="10"/>
        <v>Q2 2025</v>
      </c>
      <c r="X8" s="397" t="str">
        <f t="shared" si="10"/>
        <v>Q3 2025</v>
      </c>
      <c r="Y8" s="397" t="str">
        <f t="shared" si="10"/>
        <v>Q4 2025</v>
      </c>
      <c r="Z8" s="397" t="str">
        <f t="shared" si="10"/>
        <v>Q1 2026</v>
      </c>
      <c r="AA8" s="397" t="str">
        <f t="shared" si="10"/>
        <v>Q2 2026</v>
      </c>
      <c r="AB8" s="397" t="str">
        <f t="shared" si="10"/>
        <v>Q3 2026</v>
      </c>
      <c r="AC8" s="397" t="str">
        <f t="shared" si="10"/>
        <v>Q4 2026</v>
      </c>
      <c r="AD8" s="396"/>
      <c r="AE8" s="853"/>
      <c r="AF8" s="395">
        <f t="shared" ref="AF8:CA8" si="11">AF5</f>
        <v>44957</v>
      </c>
      <c r="AG8" s="395">
        <f t="shared" si="11"/>
        <v>44985</v>
      </c>
      <c r="AH8" s="395">
        <f t="shared" si="11"/>
        <v>45016</v>
      </c>
      <c r="AI8" s="395">
        <f t="shared" si="11"/>
        <v>45046</v>
      </c>
      <c r="AJ8" s="395">
        <f t="shared" si="11"/>
        <v>45077</v>
      </c>
      <c r="AK8" s="395">
        <f t="shared" si="11"/>
        <v>45107</v>
      </c>
      <c r="AL8" s="395">
        <f t="shared" si="11"/>
        <v>45138</v>
      </c>
      <c r="AM8" s="395">
        <f t="shared" si="11"/>
        <v>45169</v>
      </c>
      <c r="AN8" s="395">
        <f t="shared" si="11"/>
        <v>45199</v>
      </c>
      <c r="AO8" s="395">
        <f t="shared" si="11"/>
        <v>45230</v>
      </c>
      <c r="AP8" s="395">
        <f t="shared" si="11"/>
        <v>45260</v>
      </c>
      <c r="AQ8" s="395">
        <f t="shared" si="11"/>
        <v>45291</v>
      </c>
      <c r="AR8" s="395">
        <f t="shared" si="11"/>
        <v>45322</v>
      </c>
      <c r="AS8" s="395">
        <f t="shared" si="11"/>
        <v>45351</v>
      </c>
      <c r="AT8" s="395">
        <f t="shared" si="11"/>
        <v>45382</v>
      </c>
      <c r="AU8" s="395">
        <f t="shared" si="11"/>
        <v>45412</v>
      </c>
      <c r="AV8" s="395">
        <f t="shared" si="11"/>
        <v>45443</v>
      </c>
      <c r="AW8" s="395">
        <f t="shared" si="11"/>
        <v>45473</v>
      </c>
      <c r="AX8" s="395">
        <f t="shared" si="11"/>
        <v>45504</v>
      </c>
      <c r="AY8" s="395">
        <f t="shared" si="11"/>
        <v>45535</v>
      </c>
      <c r="AZ8" s="395">
        <f t="shared" si="11"/>
        <v>45565</v>
      </c>
      <c r="BA8" s="395">
        <f t="shared" si="11"/>
        <v>45596</v>
      </c>
      <c r="BB8" s="395">
        <f t="shared" si="11"/>
        <v>45626</v>
      </c>
      <c r="BC8" s="395">
        <f t="shared" si="11"/>
        <v>45657</v>
      </c>
      <c r="BD8" s="395">
        <f t="shared" si="11"/>
        <v>45688</v>
      </c>
      <c r="BE8" s="395">
        <f t="shared" si="11"/>
        <v>45716</v>
      </c>
      <c r="BF8" s="395">
        <f t="shared" si="11"/>
        <v>45747</v>
      </c>
      <c r="BG8" s="395">
        <f t="shared" si="11"/>
        <v>45777</v>
      </c>
      <c r="BH8" s="395">
        <f t="shared" si="11"/>
        <v>45808</v>
      </c>
      <c r="BI8" s="395">
        <f t="shared" si="11"/>
        <v>45838</v>
      </c>
      <c r="BJ8" s="395">
        <f t="shared" si="11"/>
        <v>45869</v>
      </c>
      <c r="BK8" s="395">
        <f t="shared" si="11"/>
        <v>45900</v>
      </c>
      <c r="BL8" s="395">
        <f t="shared" si="11"/>
        <v>45930</v>
      </c>
      <c r="BM8" s="395">
        <f t="shared" si="11"/>
        <v>45961</v>
      </c>
      <c r="BN8" s="395">
        <f t="shared" si="11"/>
        <v>45991</v>
      </c>
      <c r="BO8" s="395">
        <f t="shared" si="11"/>
        <v>46022</v>
      </c>
      <c r="BP8" s="395">
        <f t="shared" si="11"/>
        <v>46053</v>
      </c>
      <c r="BQ8" s="395">
        <f t="shared" si="11"/>
        <v>46081</v>
      </c>
      <c r="BR8" s="395">
        <f t="shared" si="11"/>
        <v>46112</v>
      </c>
      <c r="BS8" s="395">
        <f t="shared" si="11"/>
        <v>46142</v>
      </c>
      <c r="BT8" s="395">
        <f t="shared" si="11"/>
        <v>46173</v>
      </c>
      <c r="BU8" s="395">
        <f t="shared" si="11"/>
        <v>46203</v>
      </c>
      <c r="BV8" s="395">
        <f t="shared" si="11"/>
        <v>46234</v>
      </c>
      <c r="BW8" s="395">
        <f t="shared" si="11"/>
        <v>46265</v>
      </c>
      <c r="BX8" s="395">
        <f t="shared" si="11"/>
        <v>46295</v>
      </c>
      <c r="BY8" s="395">
        <f t="shared" si="11"/>
        <v>46326</v>
      </c>
      <c r="BZ8" s="395">
        <f t="shared" si="11"/>
        <v>46356</v>
      </c>
      <c r="CA8" s="395">
        <f t="shared" si="11"/>
        <v>46387</v>
      </c>
    </row>
    <row r="9" spans="1:79" s="51" customFormat="1" ht="24">
      <c r="B9" s="635" t="s">
        <v>505</v>
      </c>
      <c r="C9" s="475"/>
      <c r="D9" s="475"/>
      <c r="E9" s="632"/>
      <c r="F9" s="50"/>
      <c r="G9" s="359"/>
      <c r="H9" s="632"/>
      <c r="I9" s="632"/>
      <c r="J9" s="632"/>
      <c r="K9" s="632"/>
      <c r="L9" s="50"/>
      <c r="M9" s="359"/>
      <c r="N9" s="632"/>
      <c r="O9" s="632"/>
      <c r="P9" s="632"/>
      <c r="Q9" s="632"/>
      <c r="R9" s="632"/>
      <c r="S9" s="632"/>
      <c r="T9" s="632"/>
      <c r="U9" s="632"/>
      <c r="V9" s="632"/>
      <c r="W9" s="632"/>
      <c r="X9" s="632"/>
      <c r="Y9" s="632"/>
      <c r="Z9" s="632"/>
      <c r="AA9" s="632"/>
      <c r="AB9" s="632"/>
      <c r="AC9" s="632"/>
      <c r="AD9" s="50"/>
      <c r="AE9" s="359"/>
      <c r="AF9" s="632"/>
      <c r="AG9" s="632"/>
      <c r="AH9" s="632"/>
      <c r="AI9" s="632"/>
      <c r="AJ9" s="632"/>
      <c r="AK9" s="632"/>
      <c r="AL9" s="632"/>
      <c r="AM9" s="632"/>
      <c r="AN9" s="632"/>
      <c r="AO9" s="632"/>
      <c r="AP9" s="632"/>
      <c r="AQ9" s="632"/>
      <c r="AR9" s="632"/>
      <c r="AS9" s="632"/>
      <c r="AT9" s="632"/>
      <c r="AU9" s="632"/>
      <c r="AV9" s="632"/>
      <c r="AW9" s="632"/>
      <c r="AX9" s="632"/>
      <c r="AY9" s="632"/>
      <c r="AZ9" s="632"/>
      <c r="BA9" s="632"/>
      <c r="BB9" s="632"/>
      <c r="BC9" s="632"/>
      <c r="BD9" s="632"/>
      <c r="BE9" s="632"/>
      <c r="BF9" s="632"/>
      <c r="BG9" s="632"/>
      <c r="BH9" s="632"/>
      <c r="BI9" s="632"/>
      <c r="BJ9" s="632"/>
      <c r="BK9" s="632"/>
      <c r="BL9" s="632"/>
      <c r="BM9" s="632"/>
      <c r="BN9" s="632"/>
      <c r="BO9" s="632"/>
      <c r="BP9" s="632"/>
      <c r="BQ9" s="632"/>
      <c r="BR9" s="632"/>
      <c r="BS9" s="632"/>
      <c r="BT9" s="632"/>
      <c r="BU9" s="632"/>
      <c r="BV9" s="632"/>
      <c r="BW9" s="632"/>
      <c r="BX9" s="632"/>
      <c r="BY9" s="632"/>
      <c r="BZ9" s="632"/>
      <c r="CA9" s="632"/>
    </row>
    <row r="10" spans="1:79" ht="15" outlineLevel="1" collapsed="1">
      <c r="B10" s="367"/>
      <c r="C10" s="365" t="s">
        <v>506</v>
      </c>
      <c r="D10" s="366"/>
      <c r="E10" s="365"/>
      <c r="G10" s="359"/>
      <c r="H10" s="378"/>
      <c r="I10" s="378"/>
      <c r="J10" s="378"/>
      <c r="K10" s="378"/>
      <c r="M10" s="359"/>
      <c r="N10" s="378"/>
      <c r="O10" s="378"/>
      <c r="P10" s="378"/>
      <c r="Q10" s="378"/>
      <c r="R10" s="378"/>
      <c r="S10" s="378"/>
      <c r="T10" s="378"/>
      <c r="U10" s="378"/>
      <c r="V10" s="378"/>
      <c r="W10" s="378"/>
      <c r="X10" s="378"/>
      <c r="Y10" s="378"/>
      <c r="Z10" s="378"/>
      <c r="AA10" s="378"/>
      <c r="AB10" s="378"/>
      <c r="AC10" s="378"/>
      <c r="AE10" s="359"/>
      <c r="AF10" s="378"/>
      <c r="AG10" s="378"/>
      <c r="AH10" s="378"/>
      <c r="AI10" s="378"/>
      <c r="AJ10" s="378"/>
      <c r="AK10" s="378"/>
      <c r="AL10" s="378"/>
      <c r="AM10" s="378"/>
      <c r="AN10" s="378"/>
      <c r="AO10" s="378"/>
      <c r="AP10" s="378"/>
      <c r="AQ10" s="378"/>
      <c r="AR10" s="378"/>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c r="BT10" s="378"/>
      <c r="BU10" s="378"/>
      <c r="BV10" s="378"/>
      <c r="BW10" s="378"/>
      <c r="BX10" s="378"/>
      <c r="BY10" s="378"/>
      <c r="BZ10" s="378"/>
      <c r="CA10" s="378"/>
    </row>
    <row r="11" spans="1:79" hidden="1" outlineLevel="2">
      <c r="D11" s="383" t="s">
        <v>507</v>
      </c>
      <c r="G11" s="359"/>
      <c r="M11" s="359"/>
      <c r="AD11" s="408"/>
      <c r="AE11" s="359"/>
      <c r="AF11" s="422">
        <v>1500</v>
      </c>
      <c r="AG11" s="422">
        <v>1500</v>
      </c>
      <c r="AH11" s="422">
        <v>1500</v>
      </c>
      <c r="AI11" s="422">
        <v>1500</v>
      </c>
      <c r="AJ11" s="422">
        <v>1500</v>
      </c>
      <c r="AK11" s="422">
        <v>1500</v>
      </c>
      <c r="AL11" s="422">
        <v>1500</v>
      </c>
      <c r="AM11" s="422">
        <v>1500</v>
      </c>
      <c r="AN11" s="422">
        <v>1500</v>
      </c>
      <c r="AO11" s="422">
        <v>1500</v>
      </c>
      <c r="AP11" s="422">
        <v>1500</v>
      </c>
      <c r="AQ11" s="422">
        <v>1500</v>
      </c>
      <c r="AR11" s="422">
        <v>1500</v>
      </c>
      <c r="AS11" s="422">
        <v>1500</v>
      </c>
      <c r="AT11" s="422">
        <v>1500</v>
      </c>
      <c r="AU11" s="422">
        <v>1500</v>
      </c>
      <c r="AV11" s="422">
        <v>1500</v>
      </c>
      <c r="AW11" s="422">
        <v>1500</v>
      </c>
      <c r="AX11" s="422">
        <v>1500</v>
      </c>
      <c r="AY11" s="422">
        <v>1500</v>
      </c>
      <c r="AZ11" s="422">
        <v>1500</v>
      </c>
      <c r="BA11" s="422">
        <v>1500</v>
      </c>
      <c r="BB11" s="422">
        <v>1500</v>
      </c>
      <c r="BC11" s="422">
        <v>1500</v>
      </c>
      <c r="BD11" s="422">
        <v>1500</v>
      </c>
      <c r="BE11" s="422">
        <v>1500</v>
      </c>
      <c r="BF11" s="422">
        <v>1500</v>
      </c>
      <c r="BG11" s="422">
        <v>1500</v>
      </c>
      <c r="BH11" s="422">
        <v>1500</v>
      </c>
      <c r="BI11" s="422">
        <v>1500</v>
      </c>
      <c r="BJ11" s="422">
        <v>1500</v>
      </c>
      <c r="BK11" s="422">
        <v>1500</v>
      </c>
      <c r="BL11" s="422">
        <v>1500</v>
      </c>
      <c r="BM11" s="422">
        <v>1500</v>
      </c>
      <c r="BN11" s="422">
        <v>1500</v>
      </c>
      <c r="BO11" s="422">
        <v>1500</v>
      </c>
      <c r="BP11" s="422">
        <v>1500</v>
      </c>
      <c r="BQ11" s="422">
        <v>1500</v>
      </c>
      <c r="BR11" s="422">
        <v>1500</v>
      </c>
      <c r="BS11" s="422">
        <v>1500</v>
      </c>
      <c r="BT11" s="422">
        <v>1500</v>
      </c>
      <c r="BU11" s="422">
        <v>1500</v>
      </c>
      <c r="BV11" s="422">
        <v>1500</v>
      </c>
      <c r="BW11" s="422">
        <v>1500</v>
      </c>
      <c r="BX11" s="422">
        <v>1500</v>
      </c>
      <c r="BY11" s="422">
        <v>1500</v>
      </c>
      <c r="BZ11" s="422">
        <v>1500</v>
      </c>
      <c r="CA11" s="422">
        <v>1500</v>
      </c>
    </row>
    <row r="12" spans="1:79" hidden="1" outlineLevel="2">
      <c r="D12" s="383" t="s">
        <v>508</v>
      </c>
      <c r="G12" s="359"/>
      <c r="M12" s="359"/>
      <c r="AD12" s="408"/>
      <c r="AE12" s="359"/>
      <c r="AF12" s="422">
        <v>2000</v>
      </c>
      <c r="AG12" s="422">
        <v>2000</v>
      </c>
      <c r="AH12" s="422">
        <v>2000</v>
      </c>
      <c r="AI12" s="422">
        <v>2000</v>
      </c>
      <c r="AJ12" s="422">
        <v>2000</v>
      </c>
      <c r="AK12" s="422">
        <v>2000</v>
      </c>
      <c r="AL12" s="422">
        <v>2000</v>
      </c>
      <c r="AM12" s="422">
        <v>2000</v>
      </c>
      <c r="AN12" s="422">
        <v>2000</v>
      </c>
      <c r="AO12" s="422">
        <v>2000</v>
      </c>
      <c r="AP12" s="422">
        <v>2000</v>
      </c>
      <c r="AQ12" s="422">
        <v>2000</v>
      </c>
      <c r="AR12" s="422">
        <v>2000</v>
      </c>
      <c r="AS12" s="422">
        <v>2000</v>
      </c>
      <c r="AT12" s="422">
        <v>2000</v>
      </c>
      <c r="AU12" s="422">
        <v>2000</v>
      </c>
      <c r="AV12" s="422">
        <v>2000</v>
      </c>
      <c r="AW12" s="422">
        <v>2000</v>
      </c>
      <c r="AX12" s="422">
        <v>2000</v>
      </c>
      <c r="AY12" s="422">
        <v>2000</v>
      </c>
      <c r="AZ12" s="422">
        <v>2000</v>
      </c>
      <c r="BA12" s="422">
        <v>2000</v>
      </c>
      <c r="BB12" s="422">
        <v>2000</v>
      </c>
      <c r="BC12" s="422">
        <v>2000</v>
      </c>
      <c r="BD12" s="422">
        <v>2000</v>
      </c>
      <c r="BE12" s="422">
        <v>2000</v>
      </c>
      <c r="BF12" s="422">
        <v>2000</v>
      </c>
      <c r="BG12" s="422">
        <v>2000</v>
      </c>
      <c r="BH12" s="422">
        <v>2000</v>
      </c>
      <c r="BI12" s="422">
        <v>2000</v>
      </c>
      <c r="BJ12" s="422">
        <v>2000</v>
      </c>
      <c r="BK12" s="422">
        <v>2000</v>
      </c>
      <c r="BL12" s="422">
        <v>2000</v>
      </c>
      <c r="BM12" s="422">
        <v>2000</v>
      </c>
      <c r="BN12" s="422">
        <v>2000</v>
      </c>
      <c r="BO12" s="422">
        <v>2000</v>
      </c>
      <c r="BP12" s="422">
        <v>2000</v>
      </c>
      <c r="BQ12" s="422">
        <v>2000</v>
      </c>
      <c r="BR12" s="422">
        <v>2000</v>
      </c>
      <c r="BS12" s="422">
        <v>2000</v>
      </c>
      <c r="BT12" s="422">
        <v>2000</v>
      </c>
      <c r="BU12" s="422">
        <v>2000</v>
      </c>
      <c r="BV12" s="422">
        <v>2000</v>
      </c>
      <c r="BW12" s="422">
        <v>2000</v>
      </c>
      <c r="BX12" s="422">
        <v>2000</v>
      </c>
      <c r="BY12" s="422">
        <v>2000</v>
      </c>
      <c r="BZ12" s="422">
        <v>2000</v>
      </c>
      <c r="CA12" s="422">
        <v>2000</v>
      </c>
    </row>
    <row r="13" spans="1:79" hidden="1" outlineLevel="2">
      <c r="D13" s="383" t="s">
        <v>509</v>
      </c>
      <c r="G13" s="359"/>
      <c r="M13" s="359"/>
      <c r="AD13" s="408"/>
      <c r="AE13" s="359"/>
      <c r="AF13" s="422">
        <v>5000</v>
      </c>
      <c r="AG13" s="422">
        <v>5000</v>
      </c>
      <c r="AH13" s="422">
        <v>5000</v>
      </c>
      <c r="AI13" s="422">
        <v>5000</v>
      </c>
      <c r="AJ13" s="422">
        <v>5000</v>
      </c>
      <c r="AK13" s="422">
        <v>5000</v>
      </c>
      <c r="AL13" s="422">
        <v>5000</v>
      </c>
      <c r="AM13" s="422">
        <v>5000</v>
      </c>
      <c r="AN13" s="422">
        <v>5000</v>
      </c>
      <c r="AO13" s="422">
        <v>5000</v>
      </c>
      <c r="AP13" s="422">
        <v>5000</v>
      </c>
      <c r="AQ13" s="422">
        <v>5000</v>
      </c>
      <c r="AR13" s="422">
        <v>5000</v>
      </c>
      <c r="AS13" s="422">
        <v>5000</v>
      </c>
      <c r="AT13" s="422">
        <v>5000</v>
      </c>
      <c r="AU13" s="422">
        <v>5000</v>
      </c>
      <c r="AV13" s="422">
        <v>5000</v>
      </c>
      <c r="AW13" s="422">
        <v>5000</v>
      </c>
      <c r="AX13" s="422">
        <v>5000</v>
      </c>
      <c r="AY13" s="422">
        <v>5000</v>
      </c>
      <c r="AZ13" s="422">
        <v>5000</v>
      </c>
      <c r="BA13" s="422">
        <v>5000</v>
      </c>
      <c r="BB13" s="422">
        <v>5000</v>
      </c>
      <c r="BC13" s="422">
        <v>5000</v>
      </c>
      <c r="BD13" s="422">
        <v>5000</v>
      </c>
      <c r="BE13" s="422">
        <v>5000</v>
      </c>
      <c r="BF13" s="422">
        <v>5000</v>
      </c>
      <c r="BG13" s="422">
        <v>5000</v>
      </c>
      <c r="BH13" s="422">
        <v>5000</v>
      </c>
      <c r="BI13" s="422">
        <v>5000</v>
      </c>
      <c r="BJ13" s="422">
        <v>5000</v>
      </c>
      <c r="BK13" s="422">
        <v>5000</v>
      </c>
      <c r="BL13" s="422">
        <v>5000</v>
      </c>
      <c r="BM13" s="422">
        <v>5000</v>
      </c>
      <c r="BN13" s="422">
        <v>5000</v>
      </c>
      <c r="BO13" s="422">
        <v>5000</v>
      </c>
      <c r="BP13" s="422">
        <v>5000</v>
      </c>
      <c r="BQ13" s="422">
        <v>5000</v>
      </c>
      <c r="BR13" s="422">
        <v>5000</v>
      </c>
      <c r="BS13" s="422">
        <v>5000</v>
      </c>
      <c r="BT13" s="422">
        <v>5000</v>
      </c>
      <c r="BU13" s="422">
        <v>5000</v>
      </c>
      <c r="BV13" s="422">
        <v>5000</v>
      </c>
      <c r="BW13" s="422">
        <v>5000</v>
      </c>
      <c r="BX13" s="422">
        <v>5000</v>
      </c>
      <c r="BY13" s="422">
        <v>5000</v>
      </c>
      <c r="BZ13" s="422">
        <v>5000</v>
      </c>
      <c r="CA13" s="422">
        <v>5000</v>
      </c>
    </row>
    <row r="14" spans="1:79" outlineLevel="1"/>
    <row r="15" spans="1:79" ht="15" outlineLevel="1" collapsed="1">
      <c r="B15" s="367"/>
      <c r="C15" s="365" t="s">
        <v>510</v>
      </c>
      <c r="D15" s="366"/>
      <c r="E15" s="365"/>
      <c r="G15" s="359"/>
      <c r="H15" s="378"/>
      <c r="I15" s="378"/>
      <c r="J15" s="378"/>
      <c r="K15" s="378"/>
      <c r="M15" s="359"/>
      <c r="N15" s="378"/>
      <c r="O15" s="378"/>
      <c r="P15" s="378"/>
      <c r="Q15" s="378"/>
      <c r="R15" s="378"/>
      <c r="S15" s="378"/>
      <c r="T15" s="378"/>
      <c r="U15" s="378"/>
      <c r="V15" s="378"/>
      <c r="W15" s="378"/>
      <c r="X15" s="378"/>
      <c r="Y15" s="378"/>
      <c r="Z15" s="378"/>
      <c r="AA15" s="378"/>
      <c r="AB15" s="378"/>
      <c r="AC15" s="378"/>
      <c r="AE15" s="359"/>
      <c r="AF15" s="378"/>
      <c r="AG15" s="378"/>
      <c r="AH15" s="378"/>
      <c r="AI15" s="378"/>
      <c r="AJ15" s="378"/>
      <c r="AK15" s="378"/>
      <c r="AL15" s="378"/>
      <c r="AM15" s="378"/>
      <c r="AN15" s="378"/>
      <c r="AO15" s="378"/>
      <c r="AP15" s="378"/>
      <c r="AQ15" s="378"/>
      <c r="AR15" s="378"/>
      <c r="AS15" s="378"/>
      <c r="AT15" s="378"/>
      <c r="AU15" s="378"/>
      <c r="AV15" s="378"/>
      <c r="AW15" s="378"/>
      <c r="AX15" s="378"/>
      <c r="AY15" s="378"/>
      <c r="AZ15" s="378"/>
      <c r="BA15" s="378"/>
      <c r="BB15" s="378"/>
      <c r="BC15" s="378"/>
      <c r="BD15" s="378"/>
      <c r="BE15" s="378"/>
      <c r="BF15" s="378"/>
      <c r="BG15" s="378"/>
      <c r="BH15" s="378"/>
      <c r="BI15" s="378"/>
      <c r="BJ15" s="378"/>
      <c r="BK15" s="378"/>
      <c r="BL15" s="378"/>
      <c r="BM15" s="378"/>
      <c r="BN15" s="378"/>
      <c r="BO15" s="378"/>
      <c r="BP15" s="378"/>
      <c r="BQ15" s="378"/>
      <c r="BR15" s="378"/>
      <c r="BS15" s="378"/>
      <c r="BT15" s="378"/>
      <c r="BU15" s="378"/>
      <c r="BV15" s="378"/>
      <c r="BW15" s="378"/>
      <c r="BX15" s="378"/>
      <c r="BY15" s="378"/>
      <c r="BZ15" s="378"/>
      <c r="CA15" s="378"/>
    </row>
    <row r="16" spans="1:79" hidden="1" outlineLevel="2">
      <c r="D16" s="383" t="s">
        <v>507</v>
      </c>
      <c r="G16" s="359"/>
      <c r="M16" s="359"/>
      <c r="AD16" s="408"/>
      <c r="AE16" s="359"/>
      <c r="AF16" s="459">
        <v>0.6</v>
      </c>
      <c r="AG16" s="459">
        <v>0.6</v>
      </c>
      <c r="AH16" s="459">
        <v>0.6</v>
      </c>
      <c r="AI16" s="459">
        <v>0.6</v>
      </c>
      <c r="AJ16" s="459">
        <v>0.6</v>
      </c>
      <c r="AK16" s="459">
        <v>0.6</v>
      </c>
      <c r="AL16" s="459">
        <v>0.6</v>
      </c>
      <c r="AM16" s="459">
        <v>0.6</v>
      </c>
      <c r="AN16" s="459">
        <v>0.6</v>
      </c>
      <c r="AO16" s="459">
        <v>0.6</v>
      </c>
      <c r="AP16" s="459">
        <v>0.6</v>
      </c>
      <c r="AQ16" s="459">
        <v>0.6</v>
      </c>
      <c r="AR16" s="459">
        <v>0.6</v>
      </c>
      <c r="AS16" s="459">
        <v>0.6</v>
      </c>
      <c r="AT16" s="459">
        <v>0.6</v>
      </c>
      <c r="AU16" s="459">
        <v>0.6</v>
      </c>
      <c r="AV16" s="459">
        <v>0.6</v>
      </c>
      <c r="AW16" s="459">
        <v>0.6</v>
      </c>
      <c r="AX16" s="459">
        <v>0.6</v>
      </c>
      <c r="AY16" s="459">
        <v>0.6</v>
      </c>
      <c r="AZ16" s="459">
        <v>0.6</v>
      </c>
      <c r="BA16" s="459">
        <v>0.6</v>
      </c>
      <c r="BB16" s="459">
        <v>0.6</v>
      </c>
      <c r="BC16" s="459">
        <v>0.6</v>
      </c>
      <c r="BD16" s="459">
        <v>0.6</v>
      </c>
      <c r="BE16" s="459">
        <v>0.6</v>
      </c>
      <c r="BF16" s="459">
        <v>0.6</v>
      </c>
      <c r="BG16" s="459">
        <v>0.6</v>
      </c>
      <c r="BH16" s="459">
        <v>0.6</v>
      </c>
      <c r="BI16" s="459">
        <v>0.6</v>
      </c>
      <c r="BJ16" s="459">
        <v>0.6</v>
      </c>
      <c r="BK16" s="459">
        <v>0.6</v>
      </c>
      <c r="BL16" s="459">
        <v>0.6</v>
      </c>
      <c r="BM16" s="459">
        <v>0.6</v>
      </c>
      <c r="BN16" s="459">
        <v>0.6</v>
      </c>
      <c r="BO16" s="459">
        <v>0.6</v>
      </c>
      <c r="BP16" s="459">
        <v>0.6</v>
      </c>
      <c r="BQ16" s="459">
        <v>0.6</v>
      </c>
      <c r="BR16" s="459">
        <v>0.6</v>
      </c>
      <c r="BS16" s="459">
        <v>0.6</v>
      </c>
      <c r="BT16" s="459">
        <v>0.6</v>
      </c>
      <c r="BU16" s="459">
        <v>0.6</v>
      </c>
      <c r="BV16" s="459">
        <v>0.6</v>
      </c>
      <c r="BW16" s="459">
        <v>0.6</v>
      </c>
      <c r="BX16" s="459">
        <v>0.6</v>
      </c>
      <c r="BY16" s="459">
        <v>0.6</v>
      </c>
      <c r="BZ16" s="459">
        <v>0.6</v>
      </c>
      <c r="CA16" s="459">
        <v>0.6</v>
      </c>
    </row>
    <row r="17" spans="2:79" hidden="1" outlineLevel="2">
      <c r="D17" s="383" t="s">
        <v>508</v>
      </c>
      <c r="G17" s="359"/>
      <c r="M17" s="359"/>
      <c r="AD17" s="408"/>
      <c r="AE17" s="359"/>
      <c r="AF17" s="459">
        <v>0.3</v>
      </c>
      <c r="AG17" s="459">
        <v>0.3</v>
      </c>
      <c r="AH17" s="459">
        <v>0.3</v>
      </c>
      <c r="AI17" s="459">
        <v>0.3</v>
      </c>
      <c r="AJ17" s="459">
        <v>0.3</v>
      </c>
      <c r="AK17" s="459">
        <v>0.3</v>
      </c>
      <c r="AL17" s="459">
        <v>0.3</v>
      </c>
      <c r="AM17" s="459">
        <v>0.3</v>
      </c>
      <c r="AN17" s="459">
        <v>0.3</v>
      </c>
      <c r="AO17" s="459">
        <v>0.3</v>
      </c>
      <c r="AP17" s="459">
        <v>0.3</v>
      </c>
      <c r="AQ17" s="459">
        <v>0.3</v>
      </c>
      <c r="AR17" s="459">
        <v>0.3</v>
      </c>
      <c r="AS17" s="459">
        <v>0.3</v>
      </c>
      <c r="AT17" s="459">
        <v>0.3</v>
      </c>
      <c r="AU17" s="459">
        <v>0.3</v>
      </c>
      <c r="AV17" s="459">
        <v>0.3</v>
      </c>
      <c r="AW17" s="459">
        <v>0.3</v>
      </c>
      <c r="AX17" s="459">
        <v>0.3</v>
      </c>
      <c r="AY17" s="459">
        <v>0.3</v>
      </c>
      <c r="AZ17" s="459">
        <v>0.3</v>
      </c>
      <c r="BA17" s="459">
        <v>0.3</v>
      </c>
      <c r="BB17" s="459">
        <v>0.3</v>
      </c>
      <c r="BC17" s="459">
        <v>0.3</v>
      </c>
      <c r="BD17" s="459">
        <v>0.3</v>
      </c>
      <c r="BE17" s="459">
        <v>0.3</v>
      </c>
      <c r="BF17" s="459">
        <v>0.3</v>
      </c>
      <c r="BG17" s="459">
        <v>0.3</v>
      </c>
      <c r="BH17" s="459">
        <v>0.3</v>
      </c>
      <c r="BI17" s="459">
        <v>0.3</v>
      </c>
      <c r="BJ17" s="459">
        <v>0.3</v>
      </c>
      <c r="BK17" s="459">
        <v>0.3</v>
      </c>
      <c r="BL17" s="459">
        <v>0.3</v>
      </c>
      <c r="BM17" s="459">
        <v>0.3</v>
      </c>
      <c r="BN17" s="459">
        <v>0.3</v>
      </c>
      <c r="BO17" s="459">
        <v>0.3</v>
      </c>
      <c r="BP17" s="459">
        <v>0.3</v>
      </c>
      <c r="BQ17" s="459">
        <v>0.3</v>
      </c>
      <c r="BR17" s="459">
        <v>0.3</v>
      </c>
      <c r="BS17" s="459">
        <v>0.3</v>
      </c>
      <c r="BT17" s="459">
        <v>0.3</v>
      </c>
      <c r="BU17" s="459">
        <v>0.3</v>
      </c>
      <c r="BV17" s="459">
        <v>0.3</v>
      </c>
      <c r="BW17" s="459">
        <v>0.3</v>
      </c>
      <c r="BX17" s="459">
        <v>0.3</v>
      </c>
      <c r="BY17" s="459">
        <v>0.3</v>
      </c>
      <c r="BZ17" s="459">
        <v>0.3</v>
      </c>
      <c r="CA17" s="459">
        <v>0.3</v>
      </c>
    </row>
    <row r="18" spans="2:79" hidden="1" outlineLevel="2">
      <c r="D18" s="383" t="s">
        <v>509</v>
      </c>
      <c r="G18" s="359"/>
      <c r="M18" s="359"/>
      <c r="AD18" s="408"/>
      <c r="AE18" s="359"/>
      <c r="AF18" s="459">
        <v>0.1</v>
      </c>
      <c r="AG18" s="459">
        <v>0.1</v>
      </c>
      <c r="AH18" s="459">
        <v>0.1</v>
      </c>
      <c r="AI18" s="459">
        <v>0.1</v>
      </c>
      <c r="AJ18" s="459">
        <v>0.1</v>
      </c>
      <c r="AK18" s="459">
        <v>0.1</v>
      </c>
      <c r="AL18" s="459">
        <v>0.1</v>
      </c>
      <c r="AM18" s="459">
        <v>0.1</v>
      </c>
      <c r="AN18" s="459">
        <v>0.1</v>
      </c>
      <c r="AO18" s="459">
        <v>0.1</v>
      </c>
      <c r="AP18" s="459">
        <v>0.1</v>
      </c>
      <c r="AQ18" s="459">
        <v>0.1</v>
      </c>
      <c r="AR18" s="459">
        <v>0.1</v>
      </c>
      <c r="AS18" s="459">
        <v>0.1</v>
      </c>
      <c r="AT18" s="459">
        <v>0.1</v>
      </c>
      <c r="AU18" s="459">
        <v>0.1</v>
      </c>
      <c r="AV18" s="459">
        <v>0.1</v>
      </c>
      <c r="AW18" s="459">
        <v>0.1</v>
      </c>
      <c r="AX18" s="459">
        <v>0.1</v>
      </c>
      <c r="AY18" s="459">
        <v>0.1</v>
      </c>
      <c r="AZ18" s="459">
        <v>0.1</v>
      </c>
      <c r="BA18" s="459">
        <v>0.1</v>
      </c>
      <c r="BB18" s="459">
        <v>0.1</v>
      </c>
      <c r="BC18" s="459">
        <v>0.1</v>
      </c>
      <c r="BD18" s="459">
        <v>0.1</v>
      </c>
      <c r="BE18" s="459">
        <v>0.1</v>
      </c>
      <c r="BF18" s="459">
        <v>0.1</v>
      </c>
      <c r="BG18" s="459">
        <v>0.1</v>
      </c>
      <c r="BH18" s="459">
        <v>0.1</v>
      </c>
      <c r="BI18" s="459">
        <v>0.1</v>
      </c>
      <c r="BJ18" s="459">
        <v>0.1</v>
      </c>
      <c r="BK18" s="459">
        <v>0.1</v>
      </c>
      <c r="BL18" s="459">
        <v>0.1</v>
      </c>
      <c r="BM18" s="459">
        <v>0.1</v>
      </c>
      <c r="BN18" s="459">
        <v>0.1</v>
      </c>
      <c r="BO18" s="459">
        <v>0.1</v>
      </c>
      <c r="BP18" s="459">
        <v>0.1</v>
      </c>
      <c r="BQ18" s="459">
        <v>0.1</v>
      </c>
      <c r="BR18" s="459">
        <v>0.1</v>
      </c>
      <c r="BS18" s="459">
        <v>0.1</v>
      </c>
      <c r="BT18" s="459">
        <v>0.1</v>
      </c>
      <c r="BU18" s="459">
        <v>0.1</v>
      </c>
      <c r="BV18" s="459">
        <v>0.1</v>
      </c>
      <c r="BW18" s="459">
        <v>0.1</v>
      </c>
      <c r="BX18" s="459">
        <v>0.1</v>
      </c>
      <c r="BY18" s="459">
        <v>0.1</v>
      </c>
      <c r="BZ18" s="459">
        <v>0.1</v>
      </c>
      <c r="CA18" s="459">
        <v>0.1</v>
      </c>
    </row>
    <row r="19" spans="2:79" outlineLevel="1">
      <c r="G19" s="359"/>
      <c r="M19" s="359"/>
      <c r="AD19" s="408"/>
      <c r="AE19" s="359"/>
      <c r="AF19" s="417"/>
      <c r="AG19" s="417"/>
      <c r="AH19" s="417"/>
      <c r="AI19" s="417"/>
      <c r="AJ19" s="417"/>
      <c r="AK19" s="417"/>
      <c r="AL19" s="417"/>
      <c r="AM19" s="417"/>
      <c r="AN19" s="417"/>
      <c r="AO19" s="417"/>
      <c r="AP19" s="417"/>
      <c r="AQ19" s="417"/>
      <c r="AR19" s="417"/>
      <c r="AS19" s="417"/>
      <c r="AT19" s="417"/>
      <c r="AU19" s="417"/>
      <c r="AV19" s="417"/>
      <c r="AW19" s="417"/>
      <c r="AX19" s="417"/>
      <c r="AY19" s="417"/>
      <c r="AZ19" s="417"/>
      <c r="BA19" s="417"/>
      <c r="BB19" s="417"/>
      <c r="BC19" s="417"/>
      <c r="BD19" s="417"/>
      <c r="BE19" s="417"/>
      <c r="BF19" s="417"/>
      <c r="BG19" s="417"/>
      <c r="BH19" s="417"/>
      <c r="BI19" s="417"/>
      <c r="BJ19" s="417"/>
      <c r="BK19" s="417"/>
      <c r="BL19" s="417"/>
      <c r="BM19" s="417"/>
      <c r="BN19" s="417"/>
      <c r="BO19" s="417"/>
      <c r="BP19" s="417"/>
      <c r="BQ19" s="417"/>
      <c r="BR19" s="417"/>
      <c r="BS19" s="417"/>
      <c r="BT19" s="417"/>
      <c r="BU19" s="417"/>
      <c r="BV19" s="417"/>
      <c r="BW19" s="417"/>
      <c r="BX19" s="417"/>
      <c r="BY19" s="417"/>
      <c r="BZ19" s="417"/>
      <c r="CA19" s="417"/>
    </row>
    <row r="20" spans="2:79" ht="15" outlineLevel="1" collapsed="1">
      <c r="B20" s="367"/>
      <c r="C20" s="365" t="s">
        <v>80</v>
      </c>
      <c r="D20" s="366"/>
      <c r="E20" s="365"/>
      <c r="G20" s="359"/>
      <c r="H20" s="378"/>
      <c r="I20" s="378"/>
      <c r="J20" s="378"/>
      <c r="K20" s="378"/>
      <c r="M20" s="359"/>
      <c r="N20" s="378"/>
      <c r="O20" s="378"/>
      <c r="P20" s="378"/>
      <c r="Q20" s="378"/>
      <c r="R20" s="378"/>
      <c r="S20" s="378"/>
      <c r="T20" s="378"/>
      <c r="U20" s="378"/>
      <c r="V20" s="378"/>
      <c r="W20" s="378"/>
      <c r="X20" s="378"/>
      <c r="Y20" s="378"/>
      <c r="Z20" s="378"/>
      <c r="AA20" s="378"/>
      <c r="AB20" s="378"/>
      <c r="AC20" s="378"/>
      <c r="AE20" s="359"/>
      <c r="AF20" s="378"/>
      <c r="AG20" s="378"/>
      <c r="AH20" s="378"/>
      <c r="AI20" s="378"/>
      <c r="AJ20" s="378"/>
      <c r="AK20" s="378"/>
      <c r="AL20" s="378"/>
      <c r="AM20" s="378"/>
      <c r="AN20" s="378"/>
      <c r="AO20" s="378"/>
      <c r="AP20" s="378"/>
      <c r="AQ20" s="378"/>
      <c r="AR20" s="378"/>
      <c r="AS20" s="378"/>
      <c r="AT20" s="378"/>
      <c r="AU20" s="378"/>
      <c r="AV20" s="378"/>
      <c r="AW20" s="378"/>
      <c r="AX20" s="378"/>
      <c r="AY20" s="378"/>
      <c r="AZ20" s="378"/>
      <c r="BA20" s="378"/>
      <c r="BB20" s="378"/>
      <c r="BC20" s="378"/>
      <c r="BD20" s="378"/>
      <c r="BE20" s="378"/>
      <c r="BF20" s="378"/>
      <c r="BG20" s="378"/>
      <c r="BH20" s="378"/>
      <c r="BI20" s="378"/>
      <c r="BJ20" s="378"/>
      <c r="BK20" s="378"/>
      <c r="BL20" s="378"/>
      <c r="BM20" s="378"/>
      <c r="BN20" s="378"/>
      <c r="BO20" s="378"/>
      <c r="BP20" s="378"/>
      <c r="BQ20" s="378"/>
      <c r="BR20" s="378"/>
      <c r="BS20" s="378"/>
      <c r="BT20" s="378"/>
      <c r="BU20" s="378"/>
      <c r="BV20" s="378"/>
      <c r="BW20" s="378"/>
      <c r="BX20" s="378"/>
      <c r="BY20" s="378"/>
      <c r="BZ20" s="378"/>
      <c r="CA20" s="378"/>
    </row>
    <row r="21" spans="2:79" ht="15.75" hidden="1" outlineLevel="2">
      <c r="B21" s="367"/>
      <c r="C21" s="386"/>
      <c r="D21" s="383" t="s">
        <v>511</v>
      </c>
      <c r="E21" s="385"/>
      <c r="G21" s="359"/>
      <c r="H21" s="408"/>
      <c r="I21" s="408"/>
      <c r="J21" s="408"/>
      <c r="K21" s="408"/>
      <c r="M21" s="359"/>
      <c r="N21" s="408"/>
      <c r="O21" s="408"/>
      <c r="P21" s="408"/>
      <c r="Q21" s="408"/>
      <c r="R21" s="408"/>
      <c r="S21" s="408"/>
      <c r="T21" s="408"/>
      <c r="U21" s="408"/>
      <c r="V21" s="408"/>
      <c r="W21" s="408"/>
      <c r="X21" s="408"/>
      <c r="Y21" s="408"/>
      <c r="Z21" s="408"/>
      <c r="AA21" s="408"/>
      <c r="AB21" s="408"/>
      <c r="AC21" s="408"/>
      <c r="AE21" s="359"/>
      <c r="AF21" s="458">
        <v>0.2</v>
      </c>
      <c r="AG21" s="458">
        <v>0.2</v>
      </c>
      <c r="AH21" s="458">
        <v>0.2</v>
      </c>
      <c r="AI21" s="458">
        <v>0.2</v>
      </c>
      <c r="AJ21" s="458">
        <v>0.2</v>
      </c>
      <c r="AK21" s="458">
        <v>0.2</v>
      </c>
      <c r="AL21" s="458">
        <v>0.2</v>
      </c>
      <c r="AM21" s="458">
        <v>0.2</v>
      </c>
      <c r="AN21" s="458">
        <v>0.2</v>
      </c>
      <c r="AO21" s="458">
        <v>0.2</v>
      </c>
      <c r="AP21" s="458">
        <v>0.2</v>
      </c>
      <c r="AQ21" s="458">
        <v>0.2</v>
      </c>
      <c r="AR21" s="458">
        <v>0.2</v>
      </c>
      <c r="AS21" s="458">
        <v>0.2</v>
      </c>
      <c r="AT21" s="458">
        <v>0.2</v>
      </c>
      <c r="AU21" s="458">
        <v>0.2</v>
      </c>
      <c r="AV21" s="458">
        <v>0.2</v>
      </c>
      <c r="AW21" s="458">
        <v>0.2</v>
      </c>
      <c r="AX21" s="458">
        <v>0.2</v>
      </c>
      <c r="AY21" s="458">
        <v>0.2</v>
      </c>
      <c r="AZ21" s="458">
        <v>0.2</v>
      </c>
      <c r="BA21" s="458">
        <v>0.2</v>
      </c>
      <c r="BB21" s="458">
        <v>0.2</v>
      </c>
      <c r="BC21" s="458">
        <v>0.2</v>
      </c>
      <c r="BD21" s="458">
        <v>0.2</v>
      </c>
      <c r="BE21" s="458">
        <v>0.2</v>
      </c>
      <c r="BF21" s="458">
        <v>0.2</v>
      </c>
      <c r="BG21" s="458">
        <v>0.2</v>
      </c>
      <c r="BH21" s="458">
        <v>0.2</v>
      </c>
      <c r="BI21" s="458">
        <v>0.2</v>
      </c>
      <c r="BJ21" s="458">
        <v>0.2</v>
      </c>
      <c r="BK21" s="458">
        <v>0.2</v>
      </c>
      <c r="BL21" s="458">
        <v>0.2</v>
      </c>
      <c r="BM21" s="458">
        <v>0.2</v>
      </c>
      <c r="BN21" s="458">
        <v>0.2</v>
      </c>
      <c r="BO21" s="458">
        <v>0.2</v>
      </c>
      <c r="BP21" s="458">
        <v>0.2</v>
      </c>
      <c r="BQ21" s="458">
        <v>0.2</v>
      </c>
      <c r="BR21" s="458">
        <v>0.2</v>
      </c>
      <c r="BS21" s="458">
        <v>0.2</v>
      </c>
      <c r="BT21" s="458">
        <v>0.2</v>
      </c>
      <c r="BU21" s="458">
        <v>0.2</v>
      </c>
      <c r="BV21" s="458">
        <v>0.2</v>
      </c>
      <c r="BW21" s="458">
        <v>0.2</v>
      </c>
      <c r="BX21" s="458">
        <v>0.2</v>
      </c>
      <c r="BY21" s="458">
        <v>0.2</v>
      </c>
      <c r="BZ21" s="458">
        <v>0.2</v>
      </c>
      <c r="CA21" s="458">
        <v>0.2</v>
      </c>
    </row>
    <row r="22" spans="2:79">
      <c r="G22" s="359"/>
      <c r="M22" s="359"/>
      <c r="AD22" s="408"/>
      <c r="AE22" s="359"/>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row>
    <row r="23" spans="2:79" s="51" customFormat="1" ht="24">
      <c r="B23" s="635" t="s">
        <v>512</v>
      </c>
      <c r="C23" s="635"/>
      <c r="D23" s="475"/>
      <c r="E23" s="632"/>
      <c r="F23" s="50"/>
      <c r="G23" s="359"/>
      <c r="H23" s="632"/>
      <c r="I23" s="632"/>
      <c r="J23" s="632"/>
      <c r="K23" s="632"/>
      <c r="L23" s="50"/>
      <c r="M23" s="359"/>
      <c r="N23" s="632"/>
      <c r="O23" s="632"/>
      <c r="P23" s="632"/>
      <c r="Q23" s="632"/>
      <c r="R23" s="632"/>
      <c r="S23" s="632"/>
      <c r="T23" s="632"/>
      <c r="U23" s="632"/>
      <c r="V23" s="632"/>
      <c r="W23" s="632"/>
      <c r="X23" s="632"/>
      <c r="Y23" s="632"/>
      <c r="Z23" s="632"/>
      <c r="AA23" s="632"/>
      <c r="AB23" s="632"/>
      <c r="AC23" s="632"/>
      <c r="AD23" s="50"/>
      <c r="AE23" s="359"/>
      <c r="AF23" s="632"/>
      <c r="AG23" s="632"/>
      <c r="AH23" s="632"/>
      <c r="AI23" s="632"/>
      <c r="AJ23" s="632"/>
      <c r="AK23" s="632"/>
      <c r="AL23" s="632"/>
      <c r="AM23" s="632"/>
      <c r="AN23" s="632"/>
      <c r="AO23" s="632"/>
      <c r="AP23" s="632"/>
      <c r="AQ23" s="632"/>
      <c r="AR23" s="632"/>
      <c r="AS23" s="632"/>
      <c r="AT23" s="632"/>
      <c r="AU23" s="632"/>
      <c r="AV23" s="632"/>
      <c r="AW23" s="632"/>
      <c r="AX23" s="632"/>
      <c r="AY23" s="632"/>
      <c r="AZ23" s="632"/>
      <c r="BA23" s="632"/>
      <c r="BB23" s="632"/>
      <c r="BC23" s="632"/>
      <c r="BD23" s="632"/>
      <c r="BE23" s="632"/>
      <c r="BF23" s="632"/>
      <c r="BG23" s="632"/>
      <c r="BH23" s="632"/>
      <c r="BI23" s="632"/>
      <c r="BJ23" s="632"/>
      <c r="BK23" s="632"/>
      <c r="BL23" s="632"/>
      <c r="BM23" s="632"/>
      <c r="BN23" s="632"/>
      <c r="BO23" s="632"/>
      <c r="BP23" s="632"/>
      <c r="BQ23" s="632"/>
      <c r="BR23" s="632"/>
      <c r="BS23" s="632"/>
      <c r="BT23" s="632"/>
      <c r="BU23" s="632"/>
      <c r="BV23" s="632"/>
      <c r="BW23" s="632"/>
      <c r="BX23" s="632"/>
      <c r="BY23" s="632"/>
      <c r="BZ23" s="632"/>
      <c r="CA23" s="632"/>
    </row>
    <row r="24" spans="2:79" ht="15" outlineLevel="1" collapsed="1">
      <c r="B24" s="367"/>
      <c r="C24" s="365" t="s">
        <v>513</v>
      </c>
      <c r="D24" s="366"/>
      <c r="E24" s="365"/>
      <c r="G24" s="359"/>
      <c r="H24" s="378"/>
      <c r="I24" s="378"/>
      <c r="J24" s="378"/>
      <c r="K24" s="378"/>
      <c r="M24" s="359"/>
      <c r="N24" s="378"/>
      <c r="O24" s="378"/>
      <c r="P24" s="378"/>
      <c r="Q24" s="378"/>
      <c r="R24" s="378"/>
      <c r="S24" s="378"/>
      <c r="T24" s="378"/>
      <c r="U24" s="378"/>
      <c r="V24" s="378"/>
      <c r="W24" s="378"/>
      <c r="X24" s="378"/>
      <c r="Y24" s="378"/>
      <c r="Z24" s="378"/>
      <c r="AA24" s="378"/>
      <c r="AB24" s="378"/>
      <c r="AC24" s="378"/>
      <c r="AE24" s="359"/>
      <c r="AF24" s="378"/>
      <c r="AG24" s="378"/>
      <c r="AH24" s="378"/>
      <c r="AI24" s="378"/>
      <c r="AJ24" s="378"/>
      <c r="AK24" s="378"/>
      <c r="AL24" s="378"/>
      <c r="AM24" s="378"/>
      <c r="AN24" s="378"/>
      <c r="AO24" s="378"/>
      <c r="AP24" s="378"/>
      <c r="AQ24" s="378"/>
      <c r="AR24" s="378"/>
      <c r="AS24" s="378"/>
      <c r="AT24" s="378"/>
      <c r="AU24" s="378"/>
      <c r="AV24" s="378"/>
      <c r="AW24" s="378"/>
      <c r="AX24" s="378"/>
      <c r="AY24" s="378"/>
      <c r="AZ24" s="378"/>
      <c r="BA24" s="378"/>
      <c r="BB24" s="378"/>
      <c r="BC24" s="378"/>
      <c r="BD24" s="378"/>
      <c r="BE24" s="378"/>
      <c r="BF24" s="378"/>
      <c r="BG24" s="378"/>
      <c r="BH24" s="378"/>
      <c r="BI24" s="378"/>
      <c r="BJ24" s="378"/>
      <c r="BK24" s="378"/>
      <c r="BL24" s="378"/>
      <c r="BM24" s="378"/>
      <c r="BN24" s="378"/>
      <c r="BO24" s="378"/>
      <c r="BP24" s="378"/>
      <c r="BQ24" s="378"/>
      <c r="BR24" s="378"/>
      <c r="BS24" s="378"/>
      <c r="BT24" s="378"/>
      <c r="BU24" s="378"/>
      <c r="BV24" s="378"/>
      <c r="BW24" s="378"/>
      <c r="BX24" s="378"/>
      <c r="BY24" s="378"/>
      <c r="BZ24" s="378"/>
      <c r="CA24" s="378"/>
    </row>
    <row r="25" spans="2:79" hidden="1" outlineLevel="2">
      <c r="D25" s="383" t="s">
        <v>514</v>
      </c>
      <c r="G25" s="359"/>
      <c r="M25" s="359"/>
      <c r="AD25" s="408"/>
      <c r="AE25" s="359"/>
    </row>
    <row r="26" spans="2:79" hidden="1" outlineLevel="2">
      <c r="D26" s="383" t="s">
        <v>515</v>
      </c>
      <c r="G26" s="359"/>
      <c r="M26" s="359"/>
      <c r="AD26" s="408"/>
      <c r="AE26" s="359"/>
    </row>
    <row r="27" spans="2:79" hidden="1" outlineLevel="2">
      <c r="D27" s="383" t="s">
        <v>516</v>
      </c>
      <c r="G27" s="359"/>
      <c r="M27" s="359"/>
      <c r="AD27" s="408"/>
      <c r="AE27" s="359"/>
    </row>
    <row r="28" spans="2:79" hidden="1" outlineLevel="2">
      <c r="D28" s="383" t="s">
        <v>517</v>
      </c>
      <c r="G28" s="359"/>
      <c r="M28" s="359"/>
      <c r="AD28" s="408"/>
      <c r="AE28" s="359"/>
    </row>
    <row r="29" spans="2:79" outlineLevel="1">
      <c r="G29" s="359"/>
      <c r="M29" s="359"/>
      <c r="AD29" s="408"/>
      <c r="AE29" s="359"/>
    </row>
    <row r="30" spans="2:79" ht="15" outlineLevel="1" collapsed="1">
      <c r="B30" s="367"/>
      <c r="C30" s="365" t="s">
        <v>514</v>
      </c>
      <c r="D30" s="366"/>
      <c r="E30" s="365"/>
      <c r="G30" s="434"/>
      <c r="H30" s="378"/>
      <c r="I30" s="378"/>
      <c r="J30" s="378"/>
      <c r="K30" s="378"/>
      <c r="M30" s="434"/>
      <c r="N30" s="378"/>
      <c r="O30" s="378"/>
      <c r="P30" s="378"/>
      <c r="Q30" s="378"/>
      <c r="R30" s="378"/>
      <c r="S30" s="378"/>
      <c r="T30" s="378"/>
      <c r="U30" s="378"/>
      <c r="V30" s="378"/>
      <c r="W30" s="378"/>
      <c r="X30" s="378"/>
      <c r="Y30" s="378"/>
      <c r="Z30" s="378"/>
      <c r="AA30" s="378"/>
      <c r="AB30" s="378"/>
      <c r="AC30" s="378"/>
      <c r="AE30" s="434"/>
      <c r="AF30" s="457">
        <f t="shared" ref="AF30:CA30" si="12">AF94</f>
        <v>0</v>
      </c>
      <c r="AG30" s="457">
        <f t="shared" si="12"/>
        <v>0</v>
      </c>
      <c r="AH30" s="457">
        <f t="shared" si="12"/>
        <v>0</v>
      </c>
      <c r="AI30" s="457">
        <f t="shared" si="12"/>
        <v>0</v>
      </c>
      <c r="AJ30" s="457">
        <f t="shared" si="12"/>
        <v>0</v>
      </c>
      <c r="AK30" s="457">
        <f t="shared" si="12"/>
        <v>0</v>
      </c>
      <c r="AL30" s="457">
        <f t="shared" si="12"/>
        <v>0</v>
      </c>
      <c r="AM30" s="457">
        <f t="shared" si="12"/>
        <v>0</v>
      </c>
      <c r="AN30" s="457">
        <f t="shared" si="12"/>
        <v>0</v>
      </c>
      <c r="AO30" s="457">
        <f t="shared" si="12"/>
        <v>0</v>
      </c>
      <c r="AP30" s="457">
        <f t="shared" si="12"/>
        <v>0</v>
      </c>
      <c r="AQ30" s="457">
        <f t="shared" si="12"/>
        <v>0</v>
      </c>
      <c r="AR30" s="457">
        <f t="shared" si="12"/>
        <v>0</v>
      </c>
      <c r="AS30" s="457">
        <f t="shared" si="12"/>
        <v>0.12000000000000001</v>
      </c>
      <c r="AT30" s="457">
        <f t="shared" si="12"/>
        <v>0.32000000000000006</v>
      </c>
      <c r="AU30" s="457">
        <f t="shared" si="12"/>
        <v>0.48000000000000004</v>
      </c>
      <c r="AV30" s="457">
        <f t="shared" si="12"/>
        <v>0.62</v>
      </c>
      <c r="AW30" s="457">
        <f t="shared" si="12"/>
        <v>0.74000000000000021</v>
      </c>
      <c r="AX30" s="457">
        <f t="shared" si="12"/>
        <v>0.80000000000000016</v>
      </c>
      <c r="AY30" s="457">
        <f t="shared" si="12"/>
        <v>0.80000000000000016</v>
      </c>
      <c r="AZ30" s="457">
        <f t="shared" si="12"/>
        <v>0.80000000000000016</v>
      </c>
      <c r="BA30" s="457">
        <f t="shared" si="12"/>
        <v>0.80000000000000016</v>
      </c>
      <c r="BB30" s="457">
        <f t="shared" si="12"/>
        <v>0.80000000000000016</v>
      </c>
      <c r="BC30" s="457">
        <f t="shared" si="12"/>
        <v>0.80000000000000016</v>
      </c>
      <c r="BD30" s="457">
        <f t="shared" si="12"/>
        <v>0.80000000000000016</v>
      </c>
      <c r="BE30" s="457">
        <f t="shared" si="12"/>
        <v>0.80000000000000016</v>
      </c>
      <c r="BF30" s="457">
        <f t="shared" si="12"/>
        <v>0.80000000000000016</v>
      </c>
      <c r="BG30" s="457">
        <f t="shared" si="12"/>
        <v>0.80000000000000016</v>
      </c>
      <c r="BH30" s="457">
        <f t="shared" si="12"/>
        <v>0.80000000000000016</v>
      </c>
      <c r="BI30" s="457">
        <f t="shared" si="12"/>
        <v>1.0400000000000003</v>
      </c>
      <c r="BJ30" s="457">
        <f t="shared" si="12"/>
        <v>1.2000000000000002</v>
      </c>
      <c r="BK30" s="457">
        <f t="shared" si="12"/>
        <v>1.36</v>
      </c>
      <c r="BL30" s="457">
        <f t="shared" si="12"/>
        <v>1.4800000000000004</v>
      </c>
      <c r="BM30" s="457">
        <f t="shared" si="12"/>
        <v>1.6000000000000003</v>
      </c>
      <c r="BN30" s="457">
        <f t="shared" si="12"/>
        <v>1.6000000000000003</v>
      </c>
      <c r="BO30" s="457">
        <f t="shared" si="12"/>
        <v>1.6000000000000003</v>
      </c>
      <c r="BP30" s="457">
        <f t="shared" si="12"/>
        <v>1.6000000000000003</v>
      </c>
      <c r="BQ30" s="457">
        <f t="shared" si="12"/>
        <v>1.6000000000000003</v>
      </c>
      <c r="BR30" s="457">
        <f t="shared" si="12"/>
        <v>1.6000000000000003</v>
      </c>
      <c r="BS30" s="457">
        <f t="shared" si="12"/>
        <v>1.6000000000000003</v>
      </c>
      <c r="BT30" s="457">
        <f t="shared" si="12"/>
        <v>1.6000000000000003</v>
      </c>
      <c r="BU30" s="457">
        <f t="shared" si="12"/>
        <v>1.6000000000000003</v>
      </c>
      <c r="BV30" s="457">
        <f t="shared" si="12"/>
        <v>1.6000000000000003</v>
      </c>
      <c r="BW30" s="457">
        <f t="shared" si="12"/>
        <v>1.6000000000000003</v>
      </c>
      <c r="BX30" s="457">
        <f t="shared" si="12"/>
        <v>1.6000000000000003</v>
      </c>
      <c r="BY30" s="457">
        <f t="shared" si="12"/>
        <v>1.6000000000000003</v>
      </c>
      <c r="BZ30" s="457">
        <f t="shared" si="12"/>
        <v>1.6000000000000003</v>
      </c>
      <c r="CA30" s="457">
        <f t="shared" si="12"/>
        <v>1.6000000000000003</v>
      </c>
    </row>
    <row r="31" spans="2:79" s="51" customFormat="1" ht="18.75" hidden="1" customHeight="1" outlineLevel="2">
      <c r="C31" s="386"/>
      <c r="D31" s="383" t="s">
        <v>518</v>
      </c>
      <c r="E31" s="456" t="s">
        <v>415</v>
      </c>
      <c r="F31" s="50"/>
      <c r="G31" s="434"/>
      <c r="H31" s="55"/>
      <c r="I31" s="55"/>
      <c r="J31" s="55"/>
      <c r="K31" s="55"/>
      <c r="L31" s="50"/>
      <c r="M31" s="434"/>
      <c r="N31" s="55"/>
      <c r="O31" s="55"/>
      <c r="P31" s="55"/>
      <c r="Q31" s="55"/>
      <c r="R31" s="55"/>
      <c r="S31" s="55"/>
      <c r="T31" s="55"/>
      <c r="U31" s="55"/>
      <c r="V31" s="55"/>
      <c r="W31" s="55"/>
      <c r="X31" s="55"/>
      <c r="Y31" s="55"/>
      <c r="Z31" s="55"/>
      <c r="AA31" s="55"/>
      <c r="AB31" s="55"/>
      <c r="AC31" s="55"/>
      <c r="AD31" s="50"/>
      <c r="AE31" s="434"/>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row>
    <row r="32" spans="2:79" s="51" customFormat="1" ht="18.75" hidden="1" customHeight="1" outlineLevel="3">
      <c r="C32" s="386"/>
      <c r="D32" s="455">
        <v>1</v>
      </c>
      <c r="E32" s="453">
        <v>0.3</v>
      </c>
      <c r="F32" s="50"/>
      <c r="G32" s="434"/>
      <c r="H32" s="55"/>
      <c r="I32" s="55"/>
      <c r="J32" s="55"/>
      <c r="K32" s="55"/>
      <c r="L32" s="50"/>
      <c r="M32" s="434"/>
      <c r="N32" s="55"/>
      <c r="O32" s="55"/>
      <c r="P32" s="55"/>
      <c r="Q32" s="55"/>
      <c r="R32" s="55"/>
      <c r="S32" s="55"/>
      <c r="T32" s="55"/>
      <c r="U32" s="55"/>
      <c r="V32" s="55"/>
      <c r="W32" s="55"/>
      <c r="X32" s="55"/>
      <c r="Y32" s="55"/>
      <c r="Z32" s="55"/>
      <c r="AA32" s="55"/>
      <c r="AB32" s="55"/>
      <c r="AC32" s="55"/>
      <c r="AD32" s="50"/>
      <c r="AE32" s="434"/>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row>
    <row r="33" spans="3:79" s="51" customFormat="1" ht="18.75" hidden="1" customHeight="1" outlineLevel="3">
      <c r="C33" s="386"/>
      <c r="D33" s="455">
        <f>D32+1</f>
        <v>2</v>
      </c>
      <c r="E33" s="453">
        <v>0.5</v>
      </c>
      <c r="F33" s="50"/>
      <c r="G33" s="434"/>
      <c r="H33" s="55"/>
      <c r="I33" s="55"/>
      <c r="J33" s="55"/>
      <c r="K33" s="55"/>
      <c r="L33" s="50"/>
      <c r="M33" s="434"/>
      <c r="N33" s="55"/>
      <c r="O33" s="55"/>
      <c r="P33" s="55"/>
      <c r="Q33" s="55"/>
      <c r="R33" s="55"/>
      <c r="S33" s="55"/>
      <c r="T33" s="55"/>
      <c r="U33" s="55"/>
      <c r="V33" s="55"/>
      <c r="W33" s="55"/>
      <c r="X33" s="55"/>
      <c r="Y33" s="55"/>
      <c r="Z33" s="55"/>
      <c r="AA33" s="55"/>
      <c r="AB33" s="55"/>
      <c r="AC33" s="55"/>
      <c r="AD33" s="50"/>
      <c r="AE33" s="434"/>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row>
    <row r="34" spans="3:79" s="51" customFormat="1" ht="18.75" hidden="1" customHeight="1" outlineLevel="3">
      <c r="C34" s="386"/>
      <c r="D34" s="455">
        <f>D33+1</f>
        <v>3</v>
      </c>
      <c r="E34" s="453">
        <v>0.7</v>
      </c>
      <c r="F34" s="50"/>
      <c r="G34" s="434"/>
      <c r="H34" s="55"/>
      <c r="I34" s="55"/>
      <c r="J34" s="55"/>
      <c r="K34" s="55"/>
      <c r="L34" s="50"/>
      <c r="M34" s="434"/>
      <c r="N34" s="55"/>
      <c r="O34" s="55"/>
      <c r="P34" s="55"/>
      <c r="Q34" s="55"/>
      <c r="R34" s="55"/>
      <c r="S34" s="55"/>
      <c r="T34" s="55"/>
      <c r="U34" s="55"/>
      <c r="V34" s="55"/>
      <c r="W34" s="55"/>
      <c r="X34" s="55"/>
      <c r="Y34" s="55"/>
      <c r="Z34" s="55"/>
      <c r="AA34" s="55"/>
      <c r="AB34" s="55"/>
      <c r="AC34" s="55"/>
      <c r="AD34" s="50"/>
      <c r="AE34" s="434"/>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row>
    <row r="35" spans="3:79" s="51" customFormat="1" ht="18.75" hidden="1" customHeight="1" outlineLevel="3">
      <c r="C35" s="386"/>
      <c r="D35" s="455">
        <f>D34+1</f>
        <v>4</v>
      </c>
      <c r="E35" s="453">
        <v>0.85</v>
      </c>
      <c r="F35" s="50"/>
      <c r="G35" s="434"/>
      <c r="H35" s="55"/>
      <c r="I35" s="55"/>
      <c r="J35" s="55"/>
      <c r="K35" s="55"/>
      <c r="L35" s="50"/>
      <c r="M35" s="434"/>
      <c r="N35" s="55"/>
      <c r="O35" s="55"/>
      <c r="P35" s="55"/>
      <c r="Q35" s="55"/>
      <c r="R35" s="55"/>
      <c r="S35" s="55"/>
      <c r="T35" s="55"/>
      <c r="U35" s="55"/>
      <c r="V35" s="55"/>
      <c r="W35" s="55"/>
      <c r="X35" s="55"/>
      <c r="Y35" s="55"/>
      <c r="Z35" s="55"/>
      <c r="AA35" s="55"/>
      <c r="AB35" s="55"/>
      <c r="AC35" s="55"/>
      <c r="AD35" s="50"/>
      <c r="AE35" s="434"/>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row>
    <row r="36" spans="3:79" s="51" customFormat="1" ht="18.75" hidden="1" customHeight="1" outlineLevel="3">
      <c r="C36" s="386"/>
      <c r="D36" s="455">
        <f>D35+1</f>
        <v>5</v>
      </c>
      <c r="E36" s="453">
        <v>1</v>
      </c>
      <c r="F36" s="50"/>
      <c r="G36" s="434"/>
      <c r="H36" s="55"/>
      <c r="I36" s="55"/>
      <c r="J36" s="55"/>
      <c r="K36" s="55"/>
      <c r="L36" s="50"/>
      <c r="M36" s="434"/>
      <c r="N36" s="55"/>
      <c r="O36" s="55"/>
      <c r="P36" s="55"/>
      <c r="Q36" s="55"/>
      <c r="R36" s="55"/>
      <c r="S36" s="55"/>
      <c r="T36" s="55"/>
      <c r="U36" s="55"/>
      <c r="V36" s="55"/>
      <c r="W36" s="55"/>
      <c r="X36" s="55"/>
      <c r="Y36" s="55"/>
      <c r="Z36" s="55"/>
      <c r="AA36" s="55"/>
      <c r="AB36" s="55"/>
      <c r="AC36" s="55"/>
      <c r="AD36" s="50"/>
      <c r="AE36" s="434"/>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row>
    <row r="37" spans="3:79" s="51" customFormat="1" ht="18.75" hidden="1" customHeight="1" outlineLevel="3">
      <c r="C37" s="386"/>
      <c r="D37" s="455">
        <f>D36+1</f>
        <v>6</v>
      </c>
      <c r="E37" s="453">
        <v>1</v>
      </c>
      <c r="F37" s="50"/>
      <c r="G37" s="434"/>
      <c r="H37" s="55"/>
      <c r="I37" s="55"/>
      <c r="J37" s="55"/>
      <c r="K37" s="55"/>
      <c r="L37" s="50"/>
      <c r="M37" s="434"/>
      <c r="N37" s="55"/>
      <c r="O37" s="55"/>
      <c r="P37" s="55"/>
      <c r="Q37" s="55"/>
      <c r="R37" s="55"/>
      <c r="S37" s="55"/>
      <c r="T37" s="55"/>
      <c r="U37" s="55"/>
      <c r="V37" s="55"/>
      <c r="W37" s="55"/>
      <c r="X37" s="55"/>
      <c r="Y37" s="55"/>
      <c r="Z37" s="55"/>
      <c r="AA37" s="55"/>
      <c r="AB37" s="55"/>
      <c r="AC37" s="55"/>
      <c r="AD37" s="50"/>
      <c r="AE37" s="434"/>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row>
    <row r="38" spans="3:79" s="51" customFormat="1" ht="18.75" hidden="1" customHeight="1" outlineLevel="2">
      <c r="C38" s="386"/>
      <c r="D38" s="383" t="s">
        <v>519</v>
      </c>
      <c r="E38" s="369"/>
      <c r="F38" s="50"/>
      <c r="G38" s="434"/>
      <c r="H38" s="55"/>
      <c r="I38" s="55"/>
      <c r="J38" s="55"/>
      <c r="K38" s="55"/>
      <c r="L38" s="50"/>
      <c r="M38" s="434"/>
      <c r="N38" s="55"/>
      <c r="O38" s="55"/>
      <c r="P38" s="55"/>
      <c r="Q38" s="55"/>
      <c r="R38" s="55"/>
      <c r="S38" s="55"/>
      <c r="T38" s="55"/>
      <c r="U38" s="55"/>
      <c r="V38" s="55"/>
      <c r="W38" s="55"/>
      <c r="X38" s="55"/>
      <c r="Y38" s="55"/>
      <c r="Z38" s="55"/>
      <c r="AA38" s="55"/>
      <c r="AB38" s="55"/>
      <c r="AC38" s="55"/>
      <c r="AD38" s="50"/>
      <c r="AE38" s="434"/>
      <c r="AF38" s="454">
        <v>6</v>
      </c>
      <c r="AG38" s="454">
        <v>6</v>
      </c>
      <c r="AH38" s="454">
        <v>6</v>
      </c>
      <c r="AI38" s="454">
        <v>6</v>
      </c>
      <c r="AJ38" s="454">
        <v>6</v>
      </c>
      <c r="AK38" s="454">
        <v>6</v>
      </c>
      <c r="AL38" s="454">
        <v>6</v>
      </c>
      <c r="AM38" s="454">
        <v>6</v>
      </c>
      <c r="AN38" s="454">
        <v>6</v>
      </c>
      <c r="AO38" s="454">
        <v>6</v>
      </c>
      <c r="AP38" s="454">
        <v>6</v>
      </c>
      <c r="AQ38" s="454">
        <v>6</v>
      </c>
      <c r="AR38" s="454">
        <v>6</v>
      </c>
      <c r="AS38" s="454">
        <v>6</v>
      </c>
      <c r="AT38" s="454">
        <v>6</v>
      </c>
      <c r="AU38" s="454">
        <v>6</v>
      </c>
      <c r="AV38" s="454">
        <v>6</v>
      </c>
      <c r="AW38" s="454">
        <v>6</v>
      </c>
      <c r="AX38" s="454">
        <v>6</v>
      </c>
      <c r="AY38" s="454">
        <v>6</v>
      </c>
      <c r="AZ38" s="454">
        <v>6</v>
      </c>
      <c r="BA38" s="454">
        <v>6</v>
      </c>
      <c r="BB38" s="454">
        <v>6</v>
      </c>
      <c r="BC38" s="454">
        <v>6</v>
      </c>
      <c r="BD38" s="454">
        <v>6</v>
      </c>
      <c r="BE38" s="454">
        <v>6</v>
      </c>
      <c r="BF38" s="454">
        <v>6</v>
      </c>
      <c r="BG38" s="454">
        <v>6</v>
      </c>
      <c r="BH38" s="454">
        <v>6</v>
      </c>
      <c r="BI38" s="454">
        <v>6</v>
      </c>
      <c r="BJ38" s="454">
        <v>6</v>
      </c>
      <c r="BK38" s="454">
        <v>6</v>
      </c>
      <c r="BL38" s="454">
        <v>6</v>
      </c>
      <c r="BM38" s="454">
        <v>6</v>
      </c>
      <c r="BN38" s="454">
        <v>6</v>
      </c>
      <c r="BO38" s="454">
        <v>6</v>
      </c>
      <c r="BP38" s="454">
        <v>6</v>
      </c>
      <c r="BQ38" s="454">
        <v>6</v>
      </c>
      <c r="BR38" s="454">
        <v>6</v>
      </c>
      <c r="BS38" s="454">
        <v>6</v>
      </c>
      <c r="BT38" s="454">
        <v>6</v>
      </c>
      <c r="BU38" s="454">
        <v>6</v>
      </c>
      <c r="BV38" s="454">
        <v>6</v>
      </c>
      <c r="BW38" s="454">
        <v>6</v>
      </c>
      <c r="BX38" s="454">
        <v>6</v>
      </c>
      <c r="BY38" s="454">
        <v>6</v>
      </c>
      <c r="BZ38" s="454">
        <v>6</v>
      </c>
      <c r="CA38" s="454">
        <v>6</v>
      </c>
    </row>
    <row r="39" spans="3:79" s="51" customFormat="1" ht="18.75" hidden="1" customHeight="1" outlineLevel="2">
      <c r="C39" s="386"/>
      <c r="D39" s="383" t="s">
        <v>520</v>
      </c>
      <c r="E39" s="369"/>
      <c r="F39" s="50"/>
      <c r="G39" s="434"/>
      <c r="H39" s="55"/>
      <c r="I39" s="55"/>
      <c r="J39" s="55"/>
      <c r="K39" s="55"/>
      <c r="L39" s="50"/>
      <c r="M39" s="434"/>
      <c r="N39" s="55"/>
      <c r="O39" s="55"/>
      <c r="P39" s="55"/>
      <c r="Q39" s="55"/>
      <c r="R39" s="55"/>
      <c r="S39" s="55"/>
      <c r="T39" s="55"/>
      <c r="U39" s="55"/>
      <c r="V39" s="55"/>
      <c r="W39" s="55"/>
      <c r="X39" s="55"/>
      <c r="Y39" s="55"/>
      <c r="Z39" s="55"/>
      <c r="AA39" s="55"/>
      <c r="AB39" s="55"/>
      <c r="AC39" s="55"/>
      <c r="AD39" s="50"/>
      <c r="AE39" s="434"/>
      <c r="AF39" s="453">
        <v>0.8</v>
      </c>
      <c r="AG39" s="453">
        <v>0.8</v>
      </c>
      <c r="AH39" s="453">
        <v>0.8</v>
      </c>
      <c r="AI39" s="453">
        <v>0.8</v>
      </c>
      <c r="AJ39" s="453">
        <v>0.8</v>
      </c>
      <c r="AK39" s="453">
        <v>0.8</v>
      </c>
      <c r="AL39" s="453">
        <v>0.8</v>
      </c>
      <c r="AM39" s="453">
        <v>0.8</v>
      </c>
      <c r="AN39" s="453">
        <v>0.8</v>
      </c>
      <c r="AO39" s="453">
        <v>0.8</v>
      </c>
      <c r="AP39" s="453">
        <v>0.8</v>
      </c>
      <c r="AQ39" s="453">
        <v>0.8</v>
      </c>
      <c r="AR39" s="453">
        <v>0.8</v>
      </c>
      <c r="AS39" s="453">
        <v>0.8</v>
      </c>
      <c r="AT39" s="453">
        <v>0.8</v>
      </c>
      <c r="AU39" s="453">
        <v>0.8</v>
      </c>
      <c r="AV39" s="453">
        <v>0.8</v>
      </c>
      <c r="AW39" s="453">
        <v>0.8</v>
      </c>
      <c r="AX39" s="453">
        <v>0.8</v>
      </c>
      <c r="AY39" s="453">
        <v>0.8</v>
      </c>
      <c r="AZ39" s="453">
        <v>0.8</v>
      </c>
      <c r="BA39" s="453">
        <v>0.8</v>
      </c>
      <c r="BB39" s="453">
        <v>0.8</v>
      </c>
      <c r="BC39" s="453">
        <v>0.8</v>
      </c>
      <c r="BD39" s="453">
        <v>0.8</v>
      </c>
      <c r="BE39" s="453">
        <v>0.8</v>
      </c>
      <c r="BF39" s="453">
        <v>0.8</v>
      </c>
      <c r="BG39" s="453">
        <v>0.8</v>
      </c>
      <c r="BH39" s="453">
        <v>0.8</v>
      </c>
      <c r="BI39" s="453">
        <v>0.8</v>
      </c>
      <c r="BJ39" s="453">
        <v>0.8</v>
      </c>
      <c r="BK39" s="453">
        <v>0.8</v>
      </c>
      <c r="BL39" s="453">
        <v>0.8</v>
      </c>
      <c r="BM39" s="453">
        <v>0.8</v>
      </c>
      <c r="BN39" s="453">
        <v>0.8</v>
      </c>
      <c r="BO39" s="453">
        <v>0.8</v>
      </c>
      <c r="BP39" s="453">
        <v>0.8</v>
      </c>
      <c r="BQ39" s="453">
        <v>0.8</v>
      </c>
      <c r="BR39" s="453">
        <v>0.8</v>
      </c>
      <c r="BS39" s="453">
        <v>0.8</v>
      </c>
      <c r="BT39" s="453">
        <v>0.8</v>
      </c>
      <c r="BU39" s="453">
        <v>0.8</v>
      </c>
      <c r="BV39" s="453">
        <v>0.8</v>
      </c>
      <c r="BW39" s="453">
        <v>0.8</v>
      </c>
      <c r="BX39" s="453">
        <v>0.8</v>
      </c>
      <c r="BY39" s="453">
        <v>0.8</v>
      </c>
      <c r="BZ39" s="453">
        <v>0.8</v>
      </c>
      <c r="CA39" s="453">
        <v>0.8</v>
      </c>
    </row>
    <row r="40" spans="3:79" s="51" customFormat="1" ht="18.75" hidden="1" customHeight="1" outlineLevel="2">
      <c r="C40" s="386"/>
      <c r="D40" s="383" t="s">
        <v>521</v>
      </c>
      <c r="E40" s="369"/>
      <c r="F40" s="50"/>
      <c r="G40" s="434"/>
      <c r="H40" s="55"/>
      <c r="I40" s="55"/>
      <c r="J40" s="55"/>
      <c r="K40" s="55"/>
      <c r="L40" s="50"/>
      <c r="M40" s="434"/>
      <c r="N40" s="55"/>
      <c r="O40" s="55"/>
      <c r="P40" s="55"/>
      <c r="Q40" s="55"/>
      <c r="R40" s="55"/>
      <c r="S40" s="55"/>
      <c r="T40" s="55"/>
      <c r="U40" s="55"/>
      <c r="V40" s="55"/>
      <c r="W40" s="55"/>
      <c r="X40" s="55"/>
      <c r="Y40" s="55"/>
      <c r="Z40" s="55"/>
      <c r="AA40" s="55"/>
      <c r="AB40" s="55"/>
      <c r="AC40" s="55"/>
      <c r="AD40" s="50"/>
      <c r="AE40" s="434"/>
      <c r="AF40" s="452">
        <f t="shared" ref="AF40:CA40" si="13">AF38*AF39</f>
        <v>4.8000000000000007</v>
      </c>
      <c r="AG40" s="452">
        <f t="shared" si="13"/>
        <v>4.8000000000000007</v>
      </c>
      <c r="AH40" s="452">
        <f t="shared" si="13"/>
        <v>4.8000000000000007</v>
      </c>
      <c r="AI40" s="452">
        <f t="shared" si="13"/>
        <v>4.8000000000000007</v>
      </c>
      <c r="AJ40" s="452">
        <f t="shared" si="13"/>
        <v>4.8000000000000007</v>
      </c>
      <c r="AK40" s="452">
        <f t="shared" si="13"/>
        <v>4.8000000000000007</v>
      </c>
      <c r="AL40" s="452">
        <f t="shared" si="13"/>
        <v>4.8000000000000007</v>
      </c>
      <c r="AM40" s="452">
        <f t="shared" si="13"/>
        <v>4.8000000000000007</v>
      </c>
      <c r="AN40" s="452">
        <f t="shared" si="13"/>
        <v>4.8000000000000007</v>
      </c>
      <c r="AO40" s="452">
        <f t="shared" si="13"/>
        <v>4.8000000000000007</v>
      </c>
      <c r="AP40" s="452">
        <f t="shared" si="13"/>
        <v>4.8000000000000007</v>
      </c>
      <c r="AQ40" s="452">
        <f t="shared" si="13"/>
        <v>4.8000000000000007</v>
      </c>
      <c r="AR40" s="452">
        <f t="shared" si="13"/>
        <v>4.8000000000000007</v>
      </c>
      <c r="AS40" s="452">
        <f t="shared" si="13"/>
        <v>4.8000000000000007</v>
      </c>
      <c r="AT40" s="452">
        <f t="shared" si="13"/>
        <v>4.8000000000000007</v>
      </c>
      <c r="AU40" s="452">
        <f t="shared" si="13"/>
        <v>4.8000000000000007</v>
      </c>
      <c r="AV40" s="452">
        <f t="shared" si="13"/>
        <v>4.8000000000000007</v>
      </c>
      <c r="AW40" s="452">
        <f t="shared" si="13"/>
        <v>4.8000000000000007</v>
      </c>
      <c r="AX40" s="452">
        <f t="shared" si="13"/>
        <v>4.8000000000000007</v>
      </c>
      <c r="AY40" s="452">
        <f t="shared" si="13"/>
        <v>4.8000000000000007</v>
      </c>
      <c r="AZ40" s="452">
        <f t="shared" si="13"/>
        <v>4.8000000000000007</v>
      </c>
      <c r="BA40" s="452">
        <f t="shared" si="13"/>
        <v>4.8000000000000007</v>
      </c>
      <c r="BB40" s="452">
        <f t="shared" si="13"/>
        <v>4.8000000000000007</v>
      </c>
      <c r="BC40" s="452">
        <f t="shared" si="13"/>
        <v>4.8000000000000007</v>
      </c>
      <c r="BD40" s="452">
        <f t="shared" si="13"/>
        <v>4.8000000000000007</v>
      </c>
      <c r="BE40" s="452">
        <f t="shared" si="13"/>
        <v>4.8000000000000007</v>
      </c>
      <c r="BF40" s="452">
        <f t="shared" si="13"/>
        <v>4.8000000000000007</v>
      </c>
      <c r="BG40" s="452">
        <f t="shared" si="13"/>
        <v>4.8000000000000007</v>
      </c>
      <c r="BH40" s="452">
        <f t="shared" si="13"/>
        <v>4.8000000000000007</v>
      </c>
      <c r="BI40" s="452">
        <f t="shared" si="13"/>
        <v>4.8000000000000007</v>
      </c>
      <c r="BJ40" s="452">
        <f t="shared" si="13"/>
        <v>4.8000000000000007</v>
      </c>
      <c r="BK40" s="452">
        <f t="shared" si="13"/>
        <v>4.8000000000000007</v>
      </c>
      <c r="BL40" s="452">
        <f t="shared" si="13"/>
        <v>4.8000000000000007</v>
      </c>
      <c r="BM40" s="452">
        <f t="shared" si="13"/>
        <v>4.8000000000000007</v>
      </c>
      <c r="BN40" s="452">
        <f t="shared" si="13"/>
        <v>4.8000000000000007</v>
      </c>
      <c r="BO40" s="452">
        <f t="shared" si="13"/>
        <v>4.8000000000000007</v>
      </c>
      <c r="BP40" s="452">
        <f t="shared" si="13"/>
        <v>4.8000000000000007</v>
      </c>
      <c r="BQ40" s="452">
        <f t="shared" si="13"/>
        <v>4.8000000000000007</v>
      </c>
      <c r="BR40" s="452">
        <f t="shared" si="13"/>
        <v>4.8000000000000007</v>
      </c>
      <c r="BS40" s="452">
        <f t="shared" si="13"/>
        <v>4.8000000000000007</v>
      </c>
      <c r="BT40" s="452">
        <f t="shared" si="13"/>
        <v>4.8000000000000007</v>
      </c>
      <c r="BU40" s="452">
        <f t="shared" si="13"/>
        <v>4.8000000000000007</v>
      </c>
      <c r="BV40" s="452">
        <f t="shared" si="13"/>
        <v>4.8000000000000007</v>
      </c>
      <c r="BW40" s="452">
        <f t="shared" si="13"/>
        <v>4.8000000000000007</v>
      </c>
      <c r="BX40" s="452">
        <f t="shared" si="13"/>
        <v>4.8000000000000007</v>
      </c>
      <c r="BY40" s="452">
        <f t="shared" si="13"/>
        <v>4.8000000000000007</v>
      </c>
      <c r="BZ40" s="452">
        <f t="shared" si="13"/>
        <v>4.8000000000000007</v>
      </c>
      <c r="CA40" s="452">
        <f t="shared" si="13"/>
        <v>4.8000000000000007</v>
      </c>
    </row>
    <row r="41" spans="3:79" ht="21" hidden="1" customHeight="1" outlineLevel="2">
      <c r="C41" s="370"/>
      <c r="D41" s="383" t="s">
        <v>522</v>
      </c>
      <c r="E41" s="369"/>
      <c r="G41" s="434"/>
      <c r="H41" s="449">
        <f>SUMIFS($AF41:$CA41,$AF$6:$CA$6,H$6)</f>
        <v>0</v>
      </c>
      <c r="I41" s="449">
        <f>SUMIFS($AF41:$CA41,$AF$6:$CA$6,I$6)</f>
        <v>2</v>
      </c>
      <c r="J41" s="449">
        <f>SUMIFS($AF41:$CA41,$AF$6:$CA$6,J$6)</f>
        <v>2</v>
      </c>
      <c r="K41" s="449">
        <f>SUMIFS($AF41:$CA41,$AF$6:$CA$6,K$6)</f>
        <v>0</v>
      </c>
      <c r="L41" s="449"/>
      <c r="M41" s="434"/>
      <c r="N41" s="451">
        <f t="shared" ref="N41:AC41" si="14">SUMIFS($AF41:$CA41,$AF$6:$CA$6,N$6,$AF$7:$CA$7,N$7)</f>
        <v>0</v>
      </c>
      <c r="O41" s="451">
        <f t="shared" si="14"/>
        <v>0</v>
      </c>
      <c r="P41" s="451">
        <f t="shared" si="14"/>
        <v>0</v>
      </c>
      <c r="Q41" s="451">
        <f t="shared" si="14"/>
        <v>0</v>
      </c>
      <c r="R41" s="451">
        <f t="shared" si="14"/>
        <v>2</v>
      </c>
      <c r="S41" s="451">
        <f t="shared" si="14"/>
        <v>0</v>
      </c>
      <c r="T41" s="451">
        <f t="shared" si="14"/>
        <v>0</v>
      </c>
      <c r="U41" s="451">
        <f t="shared" si="14"/>
        <v>0</v>
      </c>
      <c r="V41" s="451">
        <f t="shared" si="14"/>
        <v>0</v>
      </c>
      <c r="W41" s="451">
        <f t="shared" si="14"/>
        <v>2</v>
      </c>
      <c r="X41" s="451">
        <f t="shared" si="14"/>
        <v>0</v>
      </c>
      <c r="Y41" s="451">
        <f t="shared" si="14"/>
        <v>0</v>
      </c>
      <c r="Z41" s="451">
        <f t="shared" si="14"/>
        <v>0</v>
      </c>
      <c r="AA41" s="451">
        <f t="shared" si="14"/>
        <v>0</v>
      </c>
      <c r="AB41" s="451">
        <f t="shared" si="14"/>
        <v>0</v>
      </c>
      <c r="AC41" s="451">
        <f t="shared" si="14"/>
        <v>0</v>
      </c>
      <c r="AD41" s="449"/>
      <c r="AE41" s="434"/>
      <c r="AF41" s="545">
        <f>Headcount!AP62-Headcount!AO62</f>
        <v>0</v>
      </c>
      <c r="AG41" s="545">
        <f>Headcount!AQ62-Headcount!AP62</f>
        <v>0</v>
      </c>
      <c r="AH41" s="545">
        <f>Headcount!AR62-Headcount!AQ62</f>
        <v>0</v>
      </c>
      <c r="AI41" s="545">
        <f>Headcount!AS62-Headcount!AR62</f>
        <v>0</v>
      </c>
      <c r="AJ41" s="545">
        <f>Headcount!AT62-Headcount!AS62</f>
        <v>0</v>
      </c>
      <c r="AK41" s="545">
        <f>Headcount!AU62-Headcount!AT62</f>
        <v>0</v>
      </c>
      <c r="AL41" s="545">
        <f>Headcount!AV62-Headcount!AU62</f>
        <v>0</v>
      </c>
      <c r="AM41" s="545">
        <f>Headcount!AW62-Headcount!AV62</f>
        <v>0</v>
      </c>
      <c r="AN41" s="545">
        <f>Headcount!AX62-Headcount!AW62</f>
        <v>0</v>
      </c>
      <c r="AO41" s="545">
        <f>Headcount!AY62-Headcount!AX62</f>
        <v>0</v>
      </c>
      <c r="AP41" s="545">
        <f>Headcount!AZ62-Headcount!AY62</f>
        <v>0</v>
      </c>
      <c r="AQ41" s="545">
        <f>Headcount!BA62-Headcount!AZ62</f>
        <v>0</v>
      </c>
      <c r="AR41" s="545">
        <f>Headcount!BB62-Headcount!BA62</f>
        <v>0</v>
      </c>
      <c r="AS41" s="545">
        <f>Headcount!BC62-Headcount!BB62</f>
        <v>1</v>
      </c>
      <c r="AT41" s="545">
        <f>Headcount!BD62-Headcount!BC62</f>
        <v>1</v>
      </c>
      <c r="AU41" s="545">
        <f>Headcount!BE62-Headcount!BD62</f>
        <v>0</v>
      </c>
      <c r="AV41" s="545">
        <f>Headcount!BF62-Headcount!BE62</f>
        <v>0</v>
      </c>
      <c r="AW41" s="545">
        <f>Headcount!BG62-Headcount!BF62</f>
        <v>0</v>
      </c>
      <c r="AX41" s="545">
        <f>Headcount!BH62-Headcount!BG62</f>
        <v>0</v>
      </c>
      <c r="AY41" s="545">
        <f>Headcount!BI62-Headcount!BH62</f>
        <v>0</v>
      </c>
      <c r="AZ41" s="545">
        <f>Headcount!BJ62-Headcount!BI62</f>
        <v>0</v>
      </c>
      <c r="BA41" s="545">
        <f>Headcount!BK62-Headcount!BJ62</f>
        <v>0</v>
      </c>
      <c r="BB41" s="545">
        <f>Headcount!BL62-Headcount!BK62</f>
        <v>0</v>
      </c>
      <c r="BC41" s="545">
        <f>Headcount!BM62-Headcount!BL62</f>
        <v>0</v>
      </c>
      <c r="BD41" s="545">
        <f>Headcount!BN62-Headcount!BM62</f>
        <v>0</v>
      </c>
      <c r="BE41" s="545">
        <f>Headcount!BO62-Headcount!BN62</f>
        <v>0</v>
      </c>
      <c r="BF41" s="545">
        <f>Headcount!BP62-Headcount!BO62</f>
        <v>0</v>
      </c>
      <c r="BG41" s="545">
        <f>Headcount!BQ62-Headcount!BP62</f>
        <v>0</v>
      </c>
      <c r="BH41" s="545">
        <f>Headcount!BR62-Headcount!BQ62</f>
        <v>0</v>
      </c>
      <c r="BI41" s="545">
        <f>Headcount!BS62-Headcount!BR62</f>
        <v>2</v>
      </c>
      <c r="BJ41" s="545">
        <f>Headcount!BT62-Headcount!BS62</f>
        <v>0</v>
      </c>
      <c r="BK41" s="545">
        <f>Headcount!BU62-Headcount!BT62</f>
        <v>0</v>
      </c>
      <c r="BL41" s="545">
        <f>Headcount!BV62-Headcount!BU62</f>
        <v>0</v>
      </c>
      <c r="BM41" s="545">
        <f>Headcount!BW62-Headcount!BV62</f>
        <v>0</v>
      </c>
      <c r="BN41" s="545">
        <f>Headcount!BX62-Headcount!BW62</f>
        <v>0</v>
      </c>
      <c r="BO41" s="545">
        <f>Headcount!BY62-Headcount!BX62</f>
        <v>0</v>
      </c>
      <c r="BP41" s="545">
        <f>Headcount!BZ62-Headcount!BY62</f>
        <v>0</v>
      </c>
      <c r="BQ41" s="545">
        <f>Headcount!CA62-Headcount!BZ62</f>
        <v>0</v>
      </c>
      <c r="BR41" s="545">
        <f>Headcount!CB62-Headcount!CA62</f>
        <v>0</v>
      </c>
      <c r="BS41" s="545">
        <f>Headcount!CC62-Headcount!CB62</f>
        <v>0</v>
      </c>
      <c r="BT41" s="545">
        <f>Headcount!CD62-Headcount!CC62</f>
        <v>0</v>
      </c>
      <c r="BU41" s="545">
        <f>Headcount!CE62-Headcount!CD62</f>
        <v>0</v>
      </c>
      <c r="BV41" s="545">
        <f>Headcount!CF62-Headcount!CE62</f>
        <v>0</v>
      </c>
      <c r="BW41" s="545">
        <f>Headcount!CG62-Headcount!CF62</f>
        <v>0</v>
      </c>
      <c r="BX41" s="545">
        <f>Headcount!CH62-Headcount!CG62</f>
        <v>0</v>
      </c>
      <c r="BY41" s="545">
        <f>Headcount!CI62-Headcount!CH62</f>
        <v>0</v>
      </c>
      <c r="BZ41" s="545">
        <f>Headcount!CJ62-Headcount!CI62</f>
        <v>0</v>
      </c>
      <c r="CA41" s="545">
        <f>Headcount!CK62-Headcount!CJ62</f>
        <v>0</v>
      </c>
    </row>
    <row r="42" spans="3:79" s="51" customFormat="1" ht="18.75" hidden="1" customHeight="1" outlineLevel="2">
      <c r="C42" s="386"/>
      <c r="D42" s="383" t="s">
        <v>523</v>
      </c>
      <c r="F42" s="50"/>
      <c r="G42" s="434"/>
      <c r="H42" s="449">
        <f t="shared" ref="H42:K43" si="15">INDEX($AF42:$CA42,MATCH(H$5,$AF$8:$CA$8,0))</f>
        <v>0</v>
      </c>
      <c r="I42" s="449">
        <f t="shared" si="15"/>
        <v>2</v>
      </c>
      <c r="J42" s="449">
        <f t="shared" si="15"/>
        <v>4</v>
      </c>
      <c r="K42" s="449">
        <f t="shared" si="15"/>
        <v>4</v>
      </c>
      <c r="L42" s="449"/>
      <c r="M42" s="434"/>
      <c r="N42" s="449">
        <f t="shared" ref="N42:AC43" si="16">INDEX($AF42:$CA42,MATCH(N$5,$AF$8:$CA$8,0))</f>
        <v>0</v>
      </c>
      <c r="O42" s="449">
        <f t="shared" si="16"/>
        <v>0</v>
      </c>
      <c r="P42" s="449">
        <f t="shared" si="16"/>
        <v>0</v>
      </c>
      <c r="Q42" s="449">
        <f t="shared" si="16"/>
        <v>0</v>
      </c>
      <c r="R42" s="449">
        <f t="shared" si="16"/>
        <v>2</v>
      </c>
      <c r="S42" s="449">
        <f t="shared" si="16"/>
        <v>2</v>
      </c>
      <c r="T42" s="449">
        <f t="shared" si="16"/>
        <v>2</v>
      </c>
      <c r="U42" s="449">
        <f t="shared" si="16"/>
        <v>2</v>
      </c>
      <c r="V42" s="449">
        <f t="shared" si="16"/>
        <v>2</v>
      </c>
      <c r="W42" s="449">
        <f t="shared" si="16"/>
        <v>4</v>
      </c>
      <c r="X42" s="449">
        <f t="shared" si="16"/>
        <v>4</v>
      </c>
      <c r="Y42" s="449">
        <f t="shared" si="16"/>
        <v>4</v>
      </c>
      <c r="Z42" s="449">
        <f t="shared" si="16"/>
        <v>4</v>
      </c>
      <c r="AA42" s="449">
        <f t="shared" si="16"/>
        <v>4</v>
      </c>
      <c r="AB42" s="449">
        <f t="shared" si="16"/>
        <v>4</v>
      </c>
      <c r="AC42" s="449">
        <f t="shared" si="16"/>
        <v>4</v>
      </c>
      <c r="AD42" s="449"/>
      <c r="AE42" s="434"/>
      <c r="AF42" s="450">
        <f t="shared" ref="AF42:CA42" si="17">AF41+AE42</f>
        <v>0</v>
      </c>
      <c r="AG42" s="450">
        <f t="shared" si="17"/>
        <v>0</v>
      </c>
      <c r="AH42" s="450">
        <f t="shared" si="17"/>
        <v>0</v>
      </c>
      <c r="AI42" s="450">
        <f t="shared" si="17"/>
        <v>0</v>
      </c>
      <c r="AJ42" s="450">
        <f t="shared" si="17"/>
        <v>0</v>
      </c>
      <c r="AK42" s="450">
        <f t="shared" si="17"/>
        <v>0</v>
      </c>
      <c r="AL42" s="450">
        <f t="shared" si="17"/>
        <v>0</v>
      </c>
      <c r="AM42" s="450">
        <f t="shared" si="17"/>
        <v>0</v>
      </c>
      <c r="AN42" s="450">
        <f t="shared" si="17"/>
        <v>0</v>
      </c>
      <c r="AO42" s="450">
        <f t="shared" si="17"/>
        <v>0</v>
      </c>
      <c r="AP42" s="450">
        <f t="shared" si="17"/>
        <v>0</v>
      </c>
      <c r="AQ42" s="450">
        <f t="shared" si="17"/>
        <v>0</v>
      </c>
      <c r="AR42" s="450">
        <f t="shared" si="17"/>
        <v>0</v>
      </c>
      <c r="AS42" s="450">
        <f t="shared" si="17"/>
        <v>1</v>
      </c>
      <c r="AT42" s="450">
        <f t="shared" si="17"/>
        <v>2</v>
      </c>
      <c r="AU42" s="450">
        <f t="shared" si="17"/>
        <v>2</v>
      </c>
      <c r="AV42" s="450">
        <f t="shared" si="17"/>
        <v>2</v>
      </c>
      <c r="AW42" s="450">
        <f t="shared" si="17"/>
        <v>2</v>
      </c>
      <c r="AX42" s="450">
        <f t="shared" si="17"/>
        <v>2</v>
      </c>
      <c r="AY42" s="450">
        <f t="shared" si="17"/>
        <v>2</v>
      </c>
      <c r="AZ42" s="450">
        <f t="shared" si="17"/>
        <v>2</v>
      </c>
      <c r="BA42" s="450">
        <f t="shared" si="17"/>
        <v>2</v>
      </c>
      <c r="BB42" s="450">
        <f t="shared" si="17"/>
        <v>2</v>
      </c>
      <c r="BC42" s="450">
        <f t="shared" si="17"/>
        <v>2</v>
      </c>
      <c r="BD42" s="450">
        <f t="shared" si="17"/>
        <v>2</v>
      </c>
      <c r="BE42" s="450">
        <f t="shared" si="17"/>
        <v>2</v>
      </c>
      <c r="BF42" s="450">
        <f t="shared" si="17"/>
        <v>2</v>
      </c>
      <c r="BG42" s="450">
        <f t="shared" si="17"/>
        <v>2</v>
      </c>
      <c r="BH42" s="450">
        <f t="shared" si="17"/>
        <v>2</v>
      </c>
      <c r="BI42" s="450">
        <f t="shared" si="17"/>
        <v>4</v>
      </c>
      <c r="BJ42" s="450">
        <f t="shared" si="17"/>
        <v>4</v>
      </c>
      <c r="BK42" s="450">
        <f t="shared" si="17"/>
        <v>4</v>
      </c>
      <c r="BL42" s="450">
        <f t="shared" si="17"/>
        <v>4</v>
      </c>
      <c r="BM42" s="450">
        <f t="shared" si="17"/>
        <v>4</v>
      </c>
      <c r="BN42" s="450">
        <f t="shared" si="17"/>
        <v>4</v>
      </c>
      <c r="BO42" s="450">
        <f t="shared" si="17"/>
        <v>4</v>
      </c>
      <c r="BP42" s="450">
        <f t="shared" si="17"/>
        <v>4</v>
      </c>
      <c r="BQ42" s="450">
        <f t="shared" si="17"/>
        <v>4</v>
      </c>
      <c r="BR42" s="450">
        <f t="shared" si="17"/>
        <v>4</v>
      </c>
      <c r="BS42" s="450">
        <f t="shared" si="17"/>
        <v>4</v>
      </c>
      <c r="BT42" s="450">
        <f t="shared" si="17"/>
        <v>4</v>
      </c>
      <c r="BU42" s="450">
        <f t="shared" si="17"/>
        <v>4</v>
      </c>
      <c r="BV42" s="450">
        <f t="shared" si="17"/>
        <v>4</v>
      </c>
      <c r="BW42" s="450">
        <f t="shared" si="17"/>
        <v>4</v>
      </c>
      <c r="BX42" s="450">
        <f t="shared" si="17"/>
        <v>4</v>
      </c>
      <c r="BY42" s="450">
        <f t="shared" si="17"/>
        <v>4</v>
      </c>
      <c r="BZ42" s="450">
        <f t="shared" si="17"/>
        <v>4</v>
      </c>
      <c r="CA42" s="450">
        <f t="shared" si="17"/>
        <v>4</v>
      </c>
    </row>
    <row r="43" spans="3:79" s="51" customFormat="1" ht="18.75" hidden="1" customHeight="1" outlineLevel="2" collapsed="1">
      <c r="C43" s="386"/>
      <c r="D43" s="383" t="s">
        <v>524</v>
      </c>
      <c r="F43" s="50"/>
      <c r="G43" s="434"/>
      <c r="H43" s="449">
        <f t="shared" si="15"/>
        <v>0</v>
      </c>
      <c r="I43" s="449">
        <f t="shared" si="15"/>
        <v>2</v>
      </c>
      <c r="J43" s="449">
        <f t="shared" si="15"/>
        <v>4</v>
      </c>
      <c r="K43" s="449">
        <f t="shared" si="15"/>
        <v>4</v>
      </c>
      <c r="L43" s="449"/>
      <c r="M43" s="434"/>
      <c r="N43" s="449">
        <f t="shared" si="16"/>
        <v>0</v>
      </c>
      <c r="O43" s="449">
        <f t="shared" si="16"/>
        <v>0</v>
      </c>
      <c r="P43" s="449">
        <f t="shared" si="16"/>
        <v>0</v>
      </c>
      <c r="Q43" s="449">
        <f t="shared" si="16"/>
        <v>0</v>
      </c>
      <c r="R43" s="449">
        <f t="shared" si="16"/>
        <v>0.8</v>
      </c>
      <c r="S43" s="449">
        <f t="shared" si="16"/>
        <v>1.85</v>
      </c>
      <c r="T43" s="449">
        <f t="shared" si="16"/>
        <v>2</v>
      </c>
      <c r="U43" s="449">
        <f t="shared" si="16"/>
        <v>2</v>
      </c>
      <c r="V43" s="449">
        <f t="shared" si="16"/>
        <v>2</v>
      </c>
      <c r="W43" s="449">
        <f t="shared" si="16"/>
        <v>2.6</v>
      </c>
      <c r="X43" s="449">
        <f t="shared" si="16"/>
        <v>3.7</v>
      </c>
      <c r="Y43" s="449">
        <f t="shared" si="16"/>
        <v>4</v>
      </c>
      <c r="Z43" s="449">
        <f t="shared" si="16"/>
        <v>4</v>
      </c>
      <c r="AA43" s="449">
        <f t="shared" si="16"/>
        <v>4</v>
      </c>
      <c r="AB43" s="449">
        <f t="shared" si="16"/>
        <v>4</v>
      </c>
      <c r="AC43" s="449">
        <f t="shared" si="16"/>
        <v>4</v>
      </c>
      <c r="AD43" s="449"/>
      <c r="AE43" s="434"/>
      <c r="AF43" s="448">
        <f t="shared" ref="AF43:CA43" si="18">SUM(AF44:AF92)</f>
        <v>0</v>
      </c>
      <c r="AG43" s="448">
        <f t="shared" si="18"/>
        <v>0</v>
      </c>
      <c r="AH43" s="448">
        <f t="shared" si="18"/>
        <v>0</v>
      </c>
      <c r="AI43" s="448">
        <f t="shared" si="18"/>
        <v>0</v>
      </c>
      <c r="AJ43" s="448">
        <f t="shared" si="18"/>
        <v>0</v>
      </c>
      <c r="AK43" s="448">
        <f t="shared" si="18"/>
        <v>0</v>
      </c>
      <c r="AL43" s="448">
        <f t="shared" si="18"/>
        <v>0</v>
      </c>
      <c r="AM43" s="448">
        <f t="shared" si="18"/>
        <v>0</v>
      </c>
      <c r="AN43" s="448">
        <f t="shared" si="18"/>
        <v>0</v>
      </c>
      <c r="AO43" s="448">
        <f t="shared" si="18"/>
        <v>0</v>
      </c>
      <c r="AP43" s="448">
        <f t="shared" si="18"/>
        <v>0</v>
      </c>
      <c r="AQ43" s="448">
        <f t="shared" si="18"/>
        <v>0</v>
      </c>
      <c r="AR43" s="448">
        <f t="shared" si="18"/>
        <v>0</v>
      </c>
      <c r="AS43" s="448">
        <f t="shared" si="18"/>
        <v>0.3</v>
      </c>
      <c r="AT43" s="448">
        <f t="shared" si="18"/>
        <v>0.8</v>
      </c>
      <c r="AU43" s="448">
        <f t="shared" si="18"/>
        <v>1.2</v>
      </c>
      <c r="AV43" s="448">
        <f t="shared" si="18"/>
        <v>1.5499999999999998</v>
      </c>
      <c r="AW43" s="448">
        <f t="shared" si="18"/>
        <v>1.85</v>
      </c>
      <c r="AX43" s="448">
        <f t="shared" si="18"/>
        <v>2</v>
      </c>
      <c r="AY43" s="448">
        <f t="shared" si="18"/>
        <v>2</v>
      </c>
      <c r="AZ43" s="448">
        <f t="shared" si="18"/>
        <v>2</v>
      </c>
      <c r="BA43" s="448">
        <f t="shared" si="18"/>
        <v>2</v>
      </c>
      <c r="BB43" s="448">
        <f t="shared" si="18"/>
        <v>2</v>
      </c>
      <c r="BC43" s="448">
        <f t="shared" si="18"/>
        <v>2</v>
      </c>
      <c r="BD43" s="448">
        <f t="shared" si="18"/>
        <v>2</v>
      </c>
      <c r="BE43" s="448">
        <f t="shared" si="18"/>
        <v>2</v>
      </c>
      <c r="BF43" s="448">
        <f t="shared" si="18"/>
        <v>2</v>
      </c>
      <c r="BG43" s="448">
        <f t="shared" si="18"/>
        <v>2</v>
      </c>
      <c r="BH43" s="448">
        <f t="shared" si="18"/>
        <v>2</v>
      </c>
      <c r="BI43" s="448">
        <f t="shared" si="18"/>
        <v>2.6</v>
      </c>
      <c r="BJ43" s="448">
        <f t="shared" si="18"/>
        <v>3</v>
      </c>
      <c r="BK43" s="448">
        <f t="shared" si="18"/>
        <v>3.4</v>
      </c>
      <c r="BL43" s="448">
        <f t="shared" si="18"/>
        <v>3.7</v>
      </c>
      <c r="BM43" s="448">
        <f t="shared" si="18"/>
        <v>4</v>
      </c>
      <c r="BN43" s="448">
        <f t="shared" si="18"/>
        <v>4</v>
      </c>
      <c r="BO43" s="448">
        <f t="shared" si="18"/>
        <v>4</v>
      </c>
      <c r="BP43" s="448">
        <f t="shared" si="18"/>
        <v>4</v>
      </c>
      <c r="BQ43" s="448">
        <f t="shared" si="18"/>
        <v>4</v>
      </c>
      <c r="BR43" s="448">
        <f t="shared" si="18"/>
        <v>4</v>
      </c>
      <c r="BS43" s="448">
        <f t="shared" si="18"/>
        <v>4</v>
      </c>
      <c r="BT43" s="448">
        <f t="shared" si="18"/>
        <v>4</v>
      </c>
      <c r="BU43" s="448">
        <f t="shared" si="18"/>
        <v>4</v>
      </c>
      <c r="BV43" s="448">
        <f t="shared" si="18"/>
        <v>4</v>
      </c>
      <c r="BW43" s="448">
        <f t="shared" si="18"/>
        <v>4</v>
      </c>
      <c r="BX43" s="448">
        <f t="shared" si="18"/>
        <v>4</v>
      </c>
      <c r="BY43" s="448">
        <f t="shared" si="18"/>
        <v>4</v>
      </c>
      <c r="BZ43" s="448">
        <f t="shared" si="18"/>
        <v>4</v>
      </c>
      <c r="CA43" s="448">
        <f t="shared" si="18"/>
        <v>4</v>
      </c>
    </row>
    <row r="44" spans="3:79" ht="21" hidden="1" customHeight="1" outlineLevel="3">
      <c r="C44" s="370"/>
      <c r="D44" s="370"/>
      <c r="E44" s="376"/>
      <c r="G44" s="434"/>
      <c r="H44" s="441"/>
      <c r="I44" s="441"/>
      <c r="J44" s="441"/>
      <c r="K44" s="441"/>
      <c r="L44" s="442"/>
      <c r="M44" s="434"/>
      <c r="N44" s="447"/>
      <c r="O44" s="447"/>
      <c r="P44" s="447"/>
      <c r="Q44" s="447"/>
      <c r="R44" s="447"/>
      <c r="S44" s="447"/>
      <c r="T44" s="447"/>
      <c r="U44" s="447"/>
      <c r="V44" s="447"/>
      <c r="W44" s="447"/>
      <c r="X44" s="447"/>
      <c r="Y44" s="447"/>
      <c r="Z44" s="447"/>
      <c r="AA44" s="447"/>
      <c r="AB44" s="447"/>
      <c r="AC44" s="447"/>
      <c r="AD44" s="442"/>
      <c r="AE44" s="434"/>
      <c r="AF44" s="447"/>
      <c r="AG44" s="447"/>
      <c r="AH44" s="447"/>
      <c r="AI44" s="447"/>
      <c r="AJ44" s="447"/>
      <c r="AK44" s="447"/>
      <c r="AL44" s="447"/>
      <c r="AM44" s="447"/>
      <c r="AN44" s="447"/>
      <c r="AO44" s="447"/>
      <c r="AP44" s="447"/>
      <c r="AQ44" s="447"/>
      <c r="AR44" s="447"/>
      <c r="AS44" s="447"/>
      <c r="AT44" s="447"/>
      <c r="AU44" s="447"/>
      <c r="AV44" s="447"/>
      <c r="AW44" s="447"/>
      <c r="AX44" s="447"/>
      <c r="AY44" s="447"/>
      <c r="AZ44" s="447"/>
      <c r="BA44" s="447"/>
      <c r="BB44" s="447"/>
      <c r="BC44" s="447"/>
      <c r="BD44" s="447"/>
      <c r="BE44" s="447"/>
      <c r="BF44" s="447"/>
      <c r="BG44" s="447"/>
      <c r="BH44" s="447"/>
      <c r="BI44" s="447"/>
      <c r="BJ44" s="447"/>
      <c r="BK44" s="447"/>
      <c r="BL44" s="447"/>
      <c r="BM44" s="447"/>
      <c r="BN44" s="447"/>
      <c r="BO44" s="447"/>
      <c r="BP44" s="447"/>
      <c r="BQ44" s="447"/>
      <c r="BR44" s="447"/>
      <c r="BS44" s="447"/>
      <c r="BT44" s="447"/>
      <c r="BU44" s="447"/>
      <c r="BV44" s="447"/>
      <c r="BW44" s="447"/>
      <c r="BX44" s="447"/>
      <c r="BY44" s="447"/>
      <c r="BZ44" s="447"/>
      <c r="CA44" s="447"/>
    </row>
    <row r="45" spans="3:79" ht="21" hidden="1" customHeight="1" outlineLevel="3">
      <c r="C45" s="370"/>
      <c r="D45" s="374" cm="1">
        <f t="array" ref="D45">EOM_Start_Date</f>
        <v>44957</v>
      </c>
      <c r="E45" s="446" cm="1">
        <f t="array" ref="E45">INDEX($AF$41:$CA$41,0,MATCH($D45,$AF$8:$CA$8,0))</f>
        <v>0</v>
      </c>
      <c r="G45" s="434"/>
      <c r="H45" s="445">
        <f t="shared" ref="H45:K64" si="19">INDEX($AF45:$CA45,0,MATCH(H$5,$AF$8:$CA$8,0))</f>
        <v>0</v>
      </c>
      <c r="I45" s="445">
        <f t="shared" si="19"/>
        <v>0</v>
      </c>
      <c r="J45" s="445">
        <f t="shared" si="19"/>
        <v>0</v>
      </c>
      <c r="K45" s="445">
        <f t="shared" si="19"/>
        <v>0</v>
      </c>
      <c r="L45" s="442"/>
      <c r="M45" s="434"/>
      <c r="N45" s="445">
        <f t="shared" ref="N45:AC54" si="20">INDEX($AF45:$CA45,0,MATCH(N$5,$AF$8:$CA$8,0))</f>
        <v>0</v>
      </c>
      <c r="O45" s="445">
        <f t="shared" si="20"/>
        <v>0</v>
      </c>
      <c r="P45" s="445">
        <f t="shared" si="20"/>
        <v>0</v>
      </c>
      <c r="Q45" s="445">
        <f t="shared" si="20"/>
        <v>0</v>
      </c>
      <c r="R45" s="445">
        <f t="shared" si="20"/>
        <v>0</v>
      </c>
      <c r="S45" s="445">
        <f t="shared" si="20"/>
        <v>0</v>
      </c>
      <c r="T45" s="445">
        <f t="shared" si="20"/>
        <v>0</v>
      </c>
      <c r="U45" s="445">
        <f t="shared" si="20"/>
        <v>0</v>
      </c>
      <c r="V45" s="445">
        <f t="shared" si="20"/>
        <v>0</v>
      </c>
      <c r="W45" s="445">
        <f t="shared" si="20"/>
        <v>0</v>
      </c>
      <c r="X45" s="445">
        <f t="shared" si="20"/>
        <v>0</v>
      </c>
      <c r="Y45" s="445">
        <f t="shared" si="20"/>
        <v>0</v>
      </c>
      <c r="Z45" s="445">
        <f t="shared" si="20"/>
        <v>0</v>
      </c>
      <c r="AA45" s="445">
        <f t="shared" si="20"/>
        <v>0</v>
      </c>
      <c r="AB45" s="445">
        <f t="shared" si="20"/>
        <v>0</v>
      </c>
      <c r="AC45" s="445">
        <f t="shared" si="20"/>
        <v>0</v>
      </c>
      <c r="AD45" s="442"/>
      <c r="AE45" s="434"/>
      <c r="AF45" s="444" cm="1">
        <f t="array" ref="AF45">$E45*IFERROR(IF($D45&lt;=AF$8,INDEX($E$32:$E$37,MATCH(AF$8,$AF$8:$CA$8,0)-MATCH($D45,$D$45:$D$92,0)+1,0),0),1)</f>
        <v>0</v>
      </c>
      <c r="AG45" s="444" cm="1">
        <f t="array" ref="AG45">$E45*IFERROR(IF($D45&lt;=AG$8,INDEX($E$32:$E$37,MATCH(AG$8,$AF$8:$CA$8,0)-MATCH($D45,$D$45:$D$92,0)+1,0),0),1)</f>
        <v>0</v>
      </c>
      <c r="AH45" s="444" cm="1">
        <f t="array" ref="AH45">$E45*IFERROR(IF($D45&lt;=AH$8,INDEX($E$32:$E$37,MATCH(AH$8,$AF$8:$CA$8,0)-MATCH($D45,$D$45:$D$92,0)+1,0),0),1)</f>
        <v>0</v>
      </c>
      <c r="AI45" s="444" cm="1">
        <f t="array" ref="AI45">$E45*IFERROR(IF($D45&lt;=AI$8,INDEX($E$32:$E$37,MATCH(AI$8,$AF$8:$CA$8,0)-MATCH($D45,$D$45:$D$92,0)+1,0),0),1)</f>
        <v>0</v>
      </c>
      <c r="AJ45" s="444" cm="1">
        <f t="array" ref="AJ45">$E45*IFERROR(IF($D45&lt;=AJ$8,INDEX($E$32:$E$37,MATCH(AJ$8,$AF$8:$CA$8,0)-MATCH($D45,$D$45:$D$92,0)+1,0),0),1)</f>
        <v>0</v>
      </c>
      <c r="AK45" s="444" cm="1">
        <f t="array" ref="AK45">$E45*IFERROR(IF($D45&lt;=AK$8,INDEX($E$32:$E$37,MATCH(AK$8,$AF$8:$CA$8,0)-MATCH($D45,$D$45:$D$92,0)+1,0),0),1)</f>
        <v>0</v>
      </c>
      <c r="AL45" s="444" cm="1">
        <f t="array" ref="AL45">$E45*IFERROR(IF($D45&lt;=AL$8,INDEX($E$32:$E$37,MATCH(AL$8,$AF$8:$CA$8,0)-MATCH($D45,$D$45:$D$92,0)+1,0),0),1)</f>
        <v>0</v>
      </c>
      <c r="AM45" s="444" cm="1">
        <f t="array" ref="AM45">$E45*IFERROR(IF($D45&lt;=AM$8,INDEX($E$32:$E$37,MATCH(AM$8,$AF$8:$CA$8,0)-MATCH($D45,$D$45:$D$92,0)+1,0),0),1)</f>
        <v>0</v>
      </c>
      <c r="AN45" s="444" cm="1">
        <f t="array" ref="AN45">$E45*IFERROR(IF($D45&lt;=AN$8,INDEX($E$32:$E$37,MATCH(AN$8,$AF$8:$CA$8,0)-MATCH($D45,$D$45:$D$92,0)+1,0),0),1)</f>
        <v>0</v>
      </c>
      <c r="AO45" s="444" cm="1">
        <f t="array" ref="AO45">$E45*IFERROR(IF($D45&lt;=AO$8,INDEX($E$32:$E$37,MATCH(AO$8,$AF$8:$CA$8,0)-MATCH($D45,$D$45:$D$92,0)+1,0),0),1)</f>
        <v>0</v>
      </c>
      <c r="AP45" s="444" cm="1">
        <f t="array" ref="AP45">$E45*IFERROR(IF($D45&lt;=AP$8,INDEX($E$32:$E$37,MATCH(AP$8,$AF$8:$CA$8,0)-MATCH($D45,$D$45:$D$92,0)+1,0),0),1)</f>
        <v>0</v>
      </c>
      <c r="AQ45" s="444" cm="1">
        <f t="array" ref="AQ45">$E45*IFERROR(IF($D45&lt;=AQ$8,INDEX($E$32:$E$37,MATCH(AQ$8,$AF$8:$CA$8,0)-MATCH($D45,$D$45:$D$92,0)+1,0),0),1)</f>
        <v>0</v>
      </c>
      <c r="AR45" s="444" cm="1">
        <f t="array" ref="AR45">$E45*IFERROR(IF($D45&lt;=AR$8,INDEX($E$32:$E$37,MATCH(AR$8,$AF$8:$CA$8,0)-MATCH($D45,$D$45:$D$92,0)+1,0),0),1)</f>
        <v>0</v>
      </c>
      <c r="AS45" s="444" cm="1">
        <f t="array" ref="AS45">$E45*IFERROR(IF($D45&lt;=AS$8,INDEX($E$32:$E$37,MATCH(AS$8,$AF$8:$CA$8,0)-MATCH($D45,$D$45:$D$92,0)+1,0),0),1)</f>
        <v>0</v>
      </c>
      <c r="AT45" s="444" cm="1">
        <f t="array" ref="AT45">$E45*IFERROR(IF($D45&lt;=AT$8,INDEX($E$32:$E$37,MATCH(AT$8,$AF$8:$CA$8,0)-MATCH($D45,$D$45:$D$92,0)+1,0),0),1)</f>
        <v>0</v>
      </c>
      <c r="AU45" s="444" cm="1">
        <f t="array" ref="AU45">$E45*IFERROR(IF($D45&lt;=AU$8,INDEX($E$32:$E$37,MATCH(AU$8,$AF$8:$CA$8,0)-MATCH($D45,$D$45:$D$92,0)+1,0),0),1)</f>
        <v>0</v>
      </c>
      <c r="AV45" s="444" cm="1">
        <f t="array" ref="AV45">$E45*IFERROR(IF($D45&lt;=AV$8,INDEX($E$32:$E$37,MATCH(AV$8,$AF$8:$CA$8,0)-MATCH($D45,$D$45:$D$92,0)+1,0),0),1)</f>
        <v>0</v>
      </c>
      <c r="AW45" s="444" cm="1">
        <f t="array" ref="AW45">$E45*IFERROR(IF($D45&lt;=AW$8,INDEX($E$32:$E$37,MATCH(AW$8,$AF$8:$CA$8,0)-MATCH($D45,$D$45:$D$92,0)+1,0),0),1)</f>
        <v>0</v>
      </c>
      <c r="AX45" s="444" cm="1">
        <f t="array" ref="AX45">$E45*IFERROR(IF($D45&lt;=AX$8,INDEX($E$32:$E$37,MATCH(AX$8,$AF$8:$CA$8,0)-MATCH($D45,$D$45:$D$92,0)+1,0),0),1)</f>
        <v>0</v>
      </c>
      <c r="AY45" s="444" cm="1">
        <f t="array" ref="AY45">$E45*IFERROR(IF($D45&lt;=AY$8,INDEX($E$32:$E$37,MATCH(AY$8,$AF$8:$CA$8,0)-MATCH($D45,$D$45:$D$92,0)+1,0),0),1)</f>
        <v>0</v>
      </c>
      <c r="AZ45" s="444" cm="1">
        <f t="array" ref="AZ45">$E45*IFERROR(IF($D45&lt;=AZ$8,INDEX($E$32:$E$37,MATCH(AZ$8,$AF$8:$CA$8,0)-MATCH($D45,$D$45:$D$92,0)+1,0),0),1)</f>
        <v>0</v>
      </c>
      <c r="BA45" s="444" cm="1">
        <f t="array" ref="BA45">$E45*IFERROR(IF($D45&lt;=BA$8,INDEX($E$32:$E$37,MATCH(BA$8,$AF$8:$CA$8,0)-MATCH($D45,$D$45:$D$92,0)+1,0),0),1)</f>
        <v>0</v>
      </c>
      <c r="BB45" s="444" cm="1">
        <f t="array" ref="BB45">$E45*IFERROR(IF($D45&lt;=BB$8,INDEX($E$32:$E$37,MATCH(BB$8,$AF$8:$CA$8,0)-MATCH($D45,$D$45:$D$92,0)+1,0),0),1)</f>
        <v>0</v>
      </c>
      <c r="BC45" s="444" cm="1">
        <f t="array" ref="BC45">$E45*IFERROR(IF($D45&lt;=BC$8,INDEX($E$32:$E$37,MATCH(BC$8,$AF$8:$CA$8,0)-MATCH($D45,$D$45:$D$92,0)+1,0),0),1)</f>
        <v>0</v>
      </c>
      <c r="BD45" s="444" cm="1">
        <f t="array" ref="BD45">$E45*IFERROR(IF($D45&lt;=BD$8,INDEX($E$32:$E$37,MATCH(BD$8,$AF$8:$CA$8,0)-MATCH($D45,$D$45:$D$92,0)+1,0),0),1)</f>
        <v>0</v>
      </c>
      <c r="BE45" s="444" cm="1">
        <f t="array" ref="BE45">$E45*IFERROR(IF($D45&lt;=BE$8,INDEX($E$32:$E$37,MATCH(BE$8,$AF$8:$CA$8,0)-MATCH($D45,$D$45:$D$92,0)+1,0),0),1)</f>
        <v>0</v>
      </c>
      <c r="BF45" s="444" cm="1">
        <f t="array" ref="BF45">$E45*IFERROR(IF($D45&lt;=BF$8,INDEX($E$32:$E$37,MATCH(BF$8,$AF$8:$CA$8,0)-MATCH($D45,$D$45:$D$92,0)+1,0),0),1)</f>
        <v>0</v>
      </c>
      <c r="BG45" s="444" cm="1">
        <f t="array" ref="BG45">$E45*IFERROR(IF($D45&lt;=BG$8,INDEX($E$32:$E$37,MATCH(BG$8,$AF$8:$CA$8,0)-MATCH($D45,$D$45:$D$92,0)+1,0),0),1)</f>
        <v>0</v>
      </c>
      <c r="BH45" s="444" cm="1">
        <f t="array" ref="BH45">$E45*IFERROR(IF($D45&lt;=BH$8,INDEX($E$32:$E$37,MATCH(BH$8,$AF$8:$CA$8,0)-MATCH($D45,$D$45:$D$92,0)+1,0),0),1)</f>
        <v>0</v>
      </c>
      <c r="BI45" s="444" cm="1">
        <f t="array" ref="BI45">$E45*IFERROR(IF($D45&lt;=BI$8,INDEX($E$32:$E$37,MATCH(BI$8,$AF$8:$CA$8,0)-MATCH($D45,$D$45:$D$92,0)+1,0),0),1)</f>
        <v>0</v>
      </c>
      <c r="BJ45" s="444" cm="1">
        <f t="array" ref="BJ45">$E45*IFERROR(IF($D45&lt;=BJ$8,INDEX($E$32:$E$37,MATCH(BJ$8,$AF$8:$CA$8,0)-MATCH($D45,$D$45:$D$92,0)+1,0),0),1)</f>
        <v>0</v>
      </c>
      <c r="BK45" s="444" cm="1">
        <f t="array" ref="BK45">$E45*IFERROR(IF($D45&lt;=BK$8,INDEX($E$32:$E$37,MATCH(BK$8,$AF$8:$CA$8,0)-MATCH($D45,$D$45:$D$92,0)+1,0),0),1)</f>
        <v>0</v>
      </c>
      <c r="BL45" s="444" cm="1">
        <f t="array" ref="BL45">$E45*IFERROR(IF($D45&lt;=BL$8,INDEX($E$32:$E$37,MATCH(BL$8,$AF$8:$CA$8,0)-MATCH($D45,$D$45:$D$92,0)+1,0),0),1)</f>
        <v>0</v>
      </c>
      <c r="BM45" s="444" cm="1">
        <f t="array" ref="BM45">$E45*IFERROR(IF($D45&lt;=BM$8,INDEX($E$32:$E$37,MATCH(BM$8,$AF$8:$CA$8,0)-MATCH($D45,$D$45:$D$92,0)+1,0),0),1)</f>
        <v>0</v>
      </c>
      <c r="BN45" s="444" cm="1">
        <f t="array" ref="BN45">$E45*IFERROR(IF($D45&lt;=BN$8,INDEX($E$32:$E$37,MATCH(BN$8,$AF$8:$CA$8,0)-MATCH($D45,$D$45:$D$92,0)+1,0),0),1)</f>
        <v>0</v>
      </c>
      <c r="BO45" s="444" cm="1">
        <f t="array" ref="BO45">$E45*IFERROR(IF($D45&lt;=BO$8,INDEX($E$32:$E$37,MATCH(BO$8,$AF$8:$CA$8,0)-MATCH($D45,$D$45:$D$92,0)+1,0),0),1)</f>
        <v>0</v>
      </c>
      <c r="BP45" s="444" cm="1">
        <f t="array" ref="BP45">$E45*IFERROR(IF($D45&lt;=BP$8,INDEX($E$32:$E$37,MATCH(BP$8,$AF$8:$CA$8,0)-MATCH($D45,$D$45:$D$92,0)+1,0),0),1)</f>
        <v>0</v>
      </c>
      <c r="BQ45" s="444" cm="1">
        <f t="array" ref="BQ45">$E45*IFERROR(IF($D45&lt;=BQ$8,INDEX($E$32:$E$37,MATCH(BQ$8,$AF$8:$CA$8,0)-MATCH($D45,$D$45:$D$92,0)+1,0),0),1)</f>
        <v>0</v>
      </c>
      <c r="BR45" s="444" cm="1">
        <f t="array" ref="BR45">$E45*IFERROR(IF($D45&lt;=BR$8,INDEX($E$32:$E$37,MATCH(BR$8,$AF$8:$CA$8,0)-MATCH($D45,$D$45:$D$92,0)+1,0),0),1)</f>
        <v>0</v>
      </c>
      <c r="BS45" s="444" cm="1">
        <f t="array" ref="BS45">$E45*IFERROR(IF($D45&lt;=BS$8,INDEX($E$32:$E$37,MATCH(BS$8,$AF$8:$CA$8,0)-MATCH($D45,$D$45:$D$92,0)+1,0),0),1)</f>
        <v>0</v>
      </c>
      <c r="BT45" s="444" cm="1">
        <f t="array" ref="BT45">$E45*IFERROR(IF($D45&lt;=BT$8,INDEX($E$32:$E$37,MATCH(BT$8,$AF$8:$CA$8,0)-MATCH($D45,$D$45:$D$92,0)+1,0),0),1)</f>
        <v>0</v>
      </c>
      <c r="BU45" s="444" cm="1">
        <f t="array" ref="BU45">$E45*IFERROR(IF($D45&lt;=BU$8,INDEX($E$32:$E$37,MATCH(BU$8,$AF$8:$CA$8,0)-MATCH($D45,$D$45:$D$92,0)+1,0),0),1)</f>
        <v>0</v>
      </c>
      <c r="BV45" s="444" cm="1">
        <f t="array" ref="BV45">$E45*IFERROR(IF($D45&lt;=BV$8,INDEX($E$32:$E$37,MATCH(BV$8,$AF$8:$CA$8,0)-MATCH($D45,$D$45:$D$92,0)+1,0),0),1)</f>
        <v>0</v>
      </c>
      <c r="BW45" s="444" cm="1">
        <f t="array" ref="BW45">$E45*IFERROR(IF($D45&lt;=BW$8,INDEX($E$32:$E$37,MATCH(BW$8,$AF$8:$CA$8,0)-MATCH($D45,$D$45:$D$92,0)+1,0),0),1)</f>
        <v>0</v>
      </c>
      <c r="BX45" s="444" cm="1">
        <f t="array" ref="BX45">$E45*IFERROR(IF($D45&lt;=BX$8,INDEX($E$32:$E$37,MATCH(BX$8,$AF$8:$CA$8,0)-MATCH($D45,$D$45:$D$92,0)+1,0),0),1)</f>
        <v>0</v>
      </c>
      <c r="BY45" s="444" cm="1">
        <f t="array" ref="BY45">$E45*IFERROR(IF($D45&lt;=BY$8,INDEX($E$32:$E$37,MATCH(BY$8,$AF$8:$CA$8,0)-MATCH($D45,$D$45:$D$92,0)+1,0),0),1)</f>
        <v>0</v>
      </c>
      <c r="BZ45" s="444" cm="1">
        <f t="array" ref="BZ45">$E45*IFERROR(IF($D45&lt;=BZ$8,INDEX($E$32:$E$37,MATCH(BZ$8,$AF$8:$CA$8,0)-MATCH($D45,$D$45:$D$92,0)+1,0),0),1)</f>
        <v>0</v>
      </c>
      <c r="CA45" s="444" cm="1">
        <f t="array" ref="CA45">$E45*IFERROR(IF($D45&lt;=CA$8,INDEX($E$32:$E$37,MATCH(CA$8,$AF$8:$CA$8,0)-MATCH($D45,$D$45:$D$92,0)+1,0),0),1)</f>
        <v>0</v>
      </c>
    </row>
    <row r="46" spans="3:79" ht="21" hidden="1" customHeight="1" outlineLevel="3">
      <c r="C46" s="370"/>
      <c r="D46" s="374">
        <f t="shared" ref="D46:D79" si="21">EOMONTH(D45,1)</f>
        <v>44985</v>
      </c>
      <c r="E46" s="446" cm="1">
        <f t="array" ref="E46">INDEX($AF$41:$CA$41,0,MATCH($D46,$AF$8:$CA$8,0))</f>
        <v>0</v>
      </c>
      <c r="G46" s="431"/>
      <c r="H46" s="445">
        <f t="shared" si="19"/>
        <v>0</v>
      </c>
      <c r="I46" s="445">
        <f t="shared" si="19"/>
        <v>0</v>
      </c>
      <c r="J46" s="445">
        <f t="shared" si="19"/>
        <v>0</v>
      </c>
      <c r="K46" s="445">
        <f t="shared" si="19"/>
        <v>0</v>
      </c>
      <c r="L46" s="442"/>
      <c r="M46" s="434"/>
      <c r="N46" s="445">
        <f t="shared" si="20"/>
        <v>0</v>
      </c>
      <c r="O46" s="445">
        <f t="shared" si="20"/>
        <v>0</v>
      </c>
      <c r="P46" s="445">
        <f t="shared" si="20"/>
        <v>0</v>
      </c>
      <c r="Q46" s="445">
        <f t="shared" si="20"/>
        <v>0</v>
      </c>
      <c r="R46" s="445">
        <f t="shared" si="20"/>
        <v>0</v>
      </c>
      <c r="S46" s="445">
        <f t="shared" si="20"/>
        <v>0</v>
      </c>
      <c r="T46" s="445">
        <f t="shared" si="20"/>
        <v>0</v>
      </c>
      <c r="U46" s="445">
        <f t="shared" si="20"/>
        <v>0</v>
      </c>
      <c r="V46" s="445">
        <f t="shared" si="20"/>
        <v>0</v>
      </c>
      <c r="W46" s="445">
        <f t="shared" si="20"/>
        <v>0</v>
      </c>
      <c r="X46" s="445">
        <f t="shared" si="20"/>
        <v>0</v>
      </c>
      <c r="Y46" s="445">
        <f t="shared" si="20"/>
        <v>0</v>
      </c>
      <c r="Z46" s="445">
        <f t="shared" si="20"/>
        <v>0</v>
      </c>
      <c r="AA46" s="445">
        <f t="shared" si="20"/>
        <v>0</v>
      </c>
      <c r="AB46" s="445">
        <f t="shared" si="20"/>
        <v>0</v>
      </c>
      <c r="AC46" s="445">
        <f t="shared" si="20"/>
        <v>0</v>
      </c>
      <c r="AD46" s="442"/>
      <c r="AE46" s="434"/>
      <c r="AF46" s="444" cm="1">
        <f t="array" ref="AF46">$E46*IFERROR(IF($D46&lt;=AF$8,INDEX($E$32:$E$37,MATCH(AF$8,$AF$8:$CA$8,0)-MATCH($D46,$D$45:$D$92,0)+1,0),0),1)</f>
        <v>0</v>
      </c>
      <c r="AG46" s="444" cm="1">
        <f t="array" ref="AG46">$E46*IFERROR(IF($D46&lt;=AG$8,INDEX($E$32:$E$37,MATCH(AG$8,$AF$8:$CA$8,0)-MATCH($D46,$D$45:$D$92,0)+1,0),0),1)</f>
        <v>0</v>
      </c>
      <c r="AH46" s="444" cm="1">
        <f t="array" ref="AH46">$E46*IFERROR(IF($D46&lt;=AH$8,INDEX($E$32:$E$37,MATCH(AH$8,$AF$8:$CA$8,0)-MATCH($D46,$D$45:$D$92,0)+1,0),0),1)</f>
        <v>0</v>
      </c>
      <c r="AI46" s="444" cm="1">
        <f t="array" ref="AI46">$E46*IFERROR(IF($D46&lt;=AI$8,INDEX($E$32:$E$37,MATCH(AI$8,$AF$8:$CA$8,0)-MATCH($D46,$D$45:$D$92,0)+1,0),0),1)</f>
        <v>0</v>
      </c>
      <c r="AJ46" s="444" cm="1">
        <f t="array" ref="AJ46">$E46*IFERROR(IF($D46&lt;=AJ$8,INDEX($E$32:$E$37,MATCH(AJ$8,$AF$8:$CA$8,0)-MATCH($D46,$D$45:$D$92,0)+1,0),0),1)</f>
        <v>0</v>
      </c>
      <c r="AK46" s="444" cm="1">
        <f t="array" ref="AK46">$E46*IFERROR(IF($D46&lt;=AK$8,INDEX($E$32:$E$37,MATCH(AK$8,$AF$8:$CA$8,0)-MATCH($D46,$D$45:$D$92,0)+1,0),0),1)</f>
        <v>0</v>
      </c>
      <c r="AL46" s="444" cm="1">
        <f t="array" ref="AL46">$E46*IFERROR(IF($D46&lt;=AL$8,INDEX($E$32:$E$37,MATCH(AL$8,$AF$8:$CA$8,0)-MATCH($D46,$D$45:$D$92,0)+1,0),0),1)</f>
        <v>0</v>
      </c>
      <c r="AM46" s="444" cm="1">
        <f t="array" ref="AM46">$E46*IFERROR(IF($D46&lt;=AM$8,INDEX($E$32:$E$37,MATCH(AM$8,$AF$8:$CA$8,0)-MATCH($D46,$D$45:$D$92,0)+1,0),0),1)</f>
        <v>0</v>
      </c>
      <c r="AN46" s="444" cm="1">
        <f t="array" ref="AN46">$E46*IFERROR(IF($D46&lt;=AN$8,INDEX($E$32:$E$37,MATCH(AN$8,$AF$8:$CA$8,0)-MATCH($D46,$D$45:$D$92,0)+1,0),0),1)</f>
        <v>0</v>
      </c>
      <c r="AO46" s="444" cm="1">
        <f t="array" ref="AO46">$E46*IFERROR(IF($D46&lt;=AO$8,INDEX($E$32:$E$37,MATCH(AO$8,$AF$8:$CA$8,0)-MATCH($D46,$D$45:$D$92,0)+1,0),0),1)</f>
        <v>0</v>
      </c>
      <c r="AP46" s="444" cm="1">
        <f t="array" ref="AP46">$E46*IFERROR(IF($D46&lt;=AP$8,INDEX($E$32:$E$37,MATCH(AP$8,$AF$8:$CA$8,0)-MATCH($D46,$D$45:$D$92,0)+1,0),0),1)</f>
        <v>0</v>
      </c>
      <c r="AQ46" s="444" cm="1">
        <f t="array" ref="AQ46">$E46*IFERROR(IF($D46&lt;=AQ$8,INDEX($E$32:$E$37,MATCH(AQ$8,$AF$8:$CA$8,0)-MATCH($D46,$D$45:$D$92,0)+1,0),0),1)</f>
        <v>0</v>
      </c>
      <c r="AR46" s="444" cm="1">
        <f t="array" ref="AR46">$E46*IFERROR(IF($D46&lt;=AR$8,INDEX($E$32:$E$37,MATCH(AR$8,$AF$8:$CA$8,0)-MATCH($D46,$D$45:$D$92,0)+1,0),0),1)</f>
        <v>0</v>
      </c>
      <c r="AS46" s="444" cm="1">
        <f t="array" ref="AS46">$E46*IFERROR(IF($D46&lt;=AS$8,INDEX($E$32:$E$37,MATCH(AS$8,$AF$8:$CA$8,0)-MATCH($D46,$D$45:$D$92,0)+1,0),0),1)</f>
        <v>0</v>
      </c>
      <c r="AT46" s="444" cm="1">
        <f t="array" ref="AT46">$E46*IFERROR(IF($D46&lt;=AT$8,INDEX($E$32:$E$37,MATCH(AT$8,$AF$8:$CA$8,0)-MATCH($D46,$D$45:$D$92,0)+1,0),0),1)</f>
        <v>0</v>
      </c>
      <c r="AU46" s="444" cm="1">
        <f t="array" ref="AU46">$E46*IFERROR(IF($D46&lt;=AU$8,INDEX($E$32:$E$37,MATCH(AU$8,$AF$8:$CA$8,0)-MATCH($D46,$D$45:$D$92,0)+1,0),0),1)</f>
        <v>0</v>
      </c>
      <c r="AV46" s="444" cm="1">
        <f t="array" ref="AV46">$E46*IFERROR(IF($D46&lt;=AV$8,INDEX($E$32:$E$37,MATCH(AV$8,$AF$8:$CA$8,0)-MATCH($D46,$D$45:$D$92,0)+1,0),0),1)</f>
        <v>0</v>
      </c>
      <c r="AW46" s="444" cm="1">
        <f t="array" ref="AW46">$E46*IFERROR(IF($D46&lt;=AW$8,INDEX($E$32:$E$37,MATCH(AW$8,$AF$8:$CA$8,0)-MATCH($D46,$D$45:$D$92,0)+1,0),0),1)</f>
        <v>0</v>
      </c>
      <c r="AX46" s="444" cm="1">
        <f t="array" ref="AX46">$E46*IFERROR(IF($D46&lt;=AX$8,INDEX($E$32:$E$37,MATCH(AX$8,$AF$8:$CA$8,0)-MATCH($D46,$D$45:$D$92,0)+1,0),0),1)</f>
        <v>0</v>
      </c>
      <c r="AY46" s="444" cm="1">
        <f t="array" ref="AY46">$E46*IFERROR(IF($D46&lt;=AY$8,INDEX($E$32:$E$37,MATCH(AY$8,$AF$8:$CA$8,0)-MATCH($D46,$D$45:$D$92,0)+1,0),0),1)</f>
        <v>0</v>
      </c>
      <c r="AZ46" s="444" cm="1">
        <f t="array" ref="AZ46">$E46*IFERROR(IF($D46&lt;=AZ$8,INDEX($E$32:$E$37,MATCH(AZ$8,$AF$8:$CA$8,0)-MATCH($D46,$D$45:$D$92,0)+1,0),0),1)</f>
        <v>0</v>
      </c>
      <c r="BA46" s="444" cm="1">
        <f t="array" ref="BA46">$E46*IFERROR(IF($D46&lt;=BA$8,INDEX($E$32:$E$37,MATCH(BA$8,$AF$8:$CA$8,0)-MATCH($D46,$D$45:$D$92,0)+1,0),0),1)</f>
        <v>0</v>
      </c>
      <c r="BB46" s="444" cm="1">
        <f t="array" ref="BB46">$E46*IFERROR(IF($D46&lt;=BB$8,INDEX($E$32:$E$37,MATCH(BB$8,$AF$8:$CA$8,0)-MATCH($D46,$D$45:$D$92,0)+1,0),0),1)</f>
        <v>0</v>
      </c>
      <c r="BC46" s="444" cm="1">
        <f t="array" ref="BC46">$E46*IFERROR(IF($D46&lt;=BC$8,INDEX($E$32:$E$37,MATCH(BC$8,$AF$8:$CA$8,0)-MATCH($D46,$D$45:$D$92,0)+1,0),0),1)</f>
        <v>0</v>
      </c>
      <c r="BD46" s="444" cm="1">
        <f t="array" ref="BD46">$E46*IFERROR(IF($D46&lt;=BD$8,INDEX($E$32:$E$37,MATCH(BD$8,$AF$8:$CA$8,0)-MATCH($D46,$D$45:$D$92,0)+1,0),0),1)</f>
        <v>0</v>
      </c>
      <c r="BE46" s="444" cm="1">
        <f t="array" ref="BE46">$E46*IFERROR(IF($D46&lt;=BE$8,INDEX($E$32:$E$37,MATCH(BE$8,$AF$8:$CA$8,0)-MATCH($D46,$D$45:$D$92,0)+1,0),0),1)</f>
        <v>0</v>
      </c>
      <c r="BF46" s="444" cm="1">
        <f t="array" ref="BF46">$E46*IFERROR(IF($D46&lt;=BF$8,INDEX($E$32:$E$37,MATCH(BF$8,$AF$8:$CA$8,0)-MATCH($D46,$D$45:$D$92,0)+1,0),0),1)</f>
        <v>0</v>
      </c>
      <c r="BG46" s="444" cm="1">
        <f t="array" ref="BG46">$E46*IFERROR(IF($D46&lt;=BG$8,INDEX($E$32:$E$37,MATCH(BG$8,$AF$8:$CA$8,0)-MATCH($D46,$D$45:$D$92,0)+1,0),0),1)</f>
        <v>0</v>
      </c>
      <c r="BH46" s="444" cm="1">
        <f t="array" ref="BH46">$E46*IFERROR(IF($D46&lt;=BH$8,INDEX($E$32:$E$37,MATCH(BH$8,$AF$8:$CA$8,0)-MATCH($D46,$D$45:$D$92,0)+1,0),0),1)</f>
        <v>0</v>
      </c>
      <c r="BI46" s="444" cm="1">
        <f t="array" ref="BI46">$E46*IFERROR(IF($D46&lt;=BI$8,INDEX($E$32:$E$37,MATCH(BI$8,$AF$8:$CA$8,0)-MATCH($D46,$D$45:$D$92,0)+1,0),0),1)</f>
        <v>0</v>
      </c>
      <c r="BJ46" s="444" cm="1">
        <f t="array" ref="BJ46">$E46*IFERROR(IF($D46&lt;=BJ$8,INDEX($E$32:$E$37,MATCH(BJ$8,$AF$8:$CA$8,0)-MATCH($D46,$D$45:$D$92,0)+1,0),0),1)</f>
        <v>0</v>
      </c>
      <c r="BK46" s="444" cm="1">
        <f t="array" ref="BK46">$E46*IFERROR(IF($D46&lt;=BK$8,INDEX($E$32:$E$37,MATCH(BK$8,$AF$8:$CA$8,0)-MATCH($D46,$D$45:$D$92,0)+1,0),0),1)</f>
        <v>0</v>
      </c>
      <c r="BL46" s="444" cm="1">
        <f t="array" ref="BL46">$E46*IFERROR(IF($D46&lt;=BL$8,INDEX($E$32:$E$37,MATCH(BL$8,$AF$8:$CA$8,0)-MATCH($D46,$D$45:$D$92,0)+1,0),0),1)</f>
        <v>0</v>
      </c>
      <c r="BM46" s="444" cm="1">
        <f t="array" ref="BM46">$E46*IFERROR(IF($D46&lt;=BM$8,INDEX($E$32:$E$37,MATCH(BM$8,$AF$8:$CA$8,0)-MATCH($D46,$D$45:$D$92,0)+1,0),0),1)</f>
        <v>0</v>
      </c>
      <c r="BN46" s="444" cm="1">
        <f t="array" ref="BN46">$E46*IFERROR(IF($D46&lt;=BN$8,INDEX($E$32:$E$37,MATCH(BN$8,$AF$8:$CA$8,0)-MATCH($D46,$D$45:$D$92,0)+1,0),0),1)</f>
        <v>0</v>
      </c>
      <c r="BO46" s="444" cm="1">
        <f t="array" ref="BO46">$E46*IFERROR(IF($D46&lt;=BO$8,INDEX($E$32:$E$37,MATCH(BO$8,$AF$8:$CA$8,0)-MATCH($D46,$D$45:$D$92,0)+1,0),0),1)</f>
        <v>0</v>
      </c>
      <c r="BP46" s="444" cm="1">
        <f t="array" ref="BP46">$E46*IFERROR(IF($D46&lt;=BP$8,INDEX($E$32:$E$37,MATCH(BP$8,$AF$8:$CA$8,0)-MATCH($D46,$D$45:$D$92,0)+1,0),0),1)</f>
        <v>0</v>
      </c>
      <c r="BQ46" s="444" cm="1">
        <f t="array" ref="BQ46">$E46*IFERROR(IF($D46&lt;=BQ$8,INDEX($E$32:$E$37,MATCH(BQ$8,$AF$8:$CA$8,0)-MATCH($D46,$D$45:$D$92,0)+1,0),0),1)</f>
        <v>0</v>
      </c>
      <c r="BR46" s="444" cm="1">
        <f t="array" ref="BR46">$E46*IFERROR(IF($D46&lt;=BR$8,INDEX($E$32:$E$37,MATCH(BR$8,$AF$8:$CA$8,0)-MATCH($D46,$D$45:$D$92,0)+1,0),0),1)</f>
        <v>0</v>
      </c>
      <c r="BS46" s="444" cm="1">
        <f t="array" ref="BS46">$E46*IFERROR(IF($D46&lt;=BS$8,INDEX($E$32:$E$37,MATCH(BS$8,$AF$8:$CA$8,0)-MATCH($D46,$D$45:$D$92,0)+1,0),0),1)</f>
        <v>0</v>
      </c>
      <c r="BT46" s="444" cm="1">
        <f t="array" ref="BT46">$E46*IFERROR(IF($D46&lt;=BT$8,INDEX($E$32:$E$37,MATCH(BT$8,$AF$8:$CA$8,0)-MATCH($D46,$D$45:$D$92,0)+1,0),0),1)</f>
        <v>0</v>
      </c>
      <c r="BU46" s="444" cm="1">
        <f t="array" ref="BU46">$E46*IFERROR(IF($D46&lt;=BU$8,INDEX($E$32:$E$37,MATCH(BU$8,$AF$8:$CA$8,0)-MATCH($D46,$D$45:$D$92,0)+1,0),0),1)</f>
        <v>0</v>
      </c>
      <c r="BV46" s="444" cm="1">
        <f t="array" ref="BV46">$E46*IFERROR(IF($D46&lt;=BV$8,INDEX($E$32:$E$37,MATCH(BV$8,$AF$8:$CA$8,0)-MATCH($D46,$D$45:$D$92,0)+1,0),0),1)</f>
        <v>0</v>
      </c>
      <c r="BW46" s="444" cm="1">
        <f t="array" ref="BW46">$E46*IFERROR(IF($D46&lt;=BW$8,INDEX($E$32:$E$37,MATCH(BW$8,$AF$8:$CA$8,0)-MATCH($D46,$D$45:$D$92,0)+1,0),0),1)</f>
        <v>0</v>
      </c>
      <c r="BX46" s="444" cm="1">
        <f t="array" ref="BX46">$E46*IFERROR(IF($D46&lt;=BX$8,INDEX($E$32:$E$37,MATCH(BX$8,$AF$8:$CA$8,0)-MATCH($D46,$D$45:$D$92,0)+1,0),0),1)</f>
        <v>0</v>
      </c>
      <c r="BY46" s="444" cm="1">
        <f t="array" ref="BY46">$E46*IFERROR(IF($D46&lt;=BY$8,INDEX($E$32:$E$37,MATCH(BY$8,$AF$8:$CA$8,0)-MATCH($D46,$D$45:$D$92,0)+1,0),0),1)</f>
        <v>0</v>
      </c>
      <c r="BZ46" s="444" cm="1">
        <f t="array" ref="BZ46">$E46*IFERROR(IF($D46&lt;=BZ$8,INDEX($E$32:$E$37,MATCH(BZ$8,$AF$8:$CA$8,0)-MATCH($D46,$D$45:$D$92,0)+1,0),0),1)</f>
        <v>0</v>
      </c>
      <c r="CA46" s="444" cm="1">
        <f t="array" ref="CA46">$E46*IFERROR(IF($D46&lt;=CA$8,INDEX($E$32:$E$37,MATCH(CA$8,$AF$8:$CA$8,0)-MATCH($D46,$D$45:$D$92,0)+1,0),0),1)</f>
        <v>0</v>
      </c>
    </row>
    <row r="47" spans="3:79" ht="21" hidden="1" customHeight="1" outlineLevel="3">
      <c r="D47" s="374">
        <f t="shared" si="21"/>
        <v>45016</v>
      </c>
      <c r="E47" s="446" cm="1">
        <f t="array" ref="E47">INDEX($AF$41:$CA$41,0,MATCH($D47,$AF$8:$CA$8,0))</f>
        <v>0</v>
      </c>
      <c r="G47" s="434"/>
      <c r="H47" s="445">
        <f t="shared" si="19"/>
        <v>0</v>
      </c>
      <c r="I47" s="445">
        <f t="shared" si="19"/>
        <v>0</v>
      </c>
      <c r="J47" s="445">
        <f t="shared" si="19"/>
        <v>0</v>
      </c>
      <c r="K47" s="445">
        <f t="shared" si="19"/>
        <v>0</v>
      </c>
      <c r="L47" s="442"/>
      <c r="M47" s="431"/>
      <c r="N47" s="445">
        <f t="shared" si="20"/>
        <v>0</v>
      </c>
      <c r="O47" s="445">
        <f t="shared" si="20"/>
        <v>0</v>
      </c>
      <c r="P47" s="445">
        <f t="shared" si="20"/>
        <v>0</v>
      </c>
      <c r="Q47" s="445">
        <f t="shared" si="20"/>
        <v>0</v>
      </c>
      <c r="R47" s="445">
        <f t="shared" si="20"/>
        <v>0</v>
      </c>
      <c r="S47" s="445">
        <f t="shared" si="20"/>
        <v>0</v>
      </c>
      <c r="T47" s="445">
        <f t="shared" si="20"/>
        <v>0</v>
      </c>
      <c r="U47" s="445">
        <f t="shared" si="20"/>
        <v>0</v>
      </c>
      <c r="V47" s="445">
        <f t="shared" si="20"/>
        <v>0</v>
      </c>
      <c r="W47" s="445">
        <f t="shared" si="20"/>
        <v>0</v>
      </c>
      <c r="X47" s="445">
        <f t="shared" si="20"/>
        <v>0</v>
      </c>
      <c r="Y47" s="445">
        <f t="shared" si="20"/>
        <v>0</v>
      </c>
      <c r="Z47" s="445">
        <f t="shared" si="20"/>
        <v>0</v>
      </c>
      <c r="AA47" s="445">
        <f t="shared" si="20"/>
        <v>0</v>
      </c>
      <c r="AB47" s="445">
        <f t="shared" si="20"/>
        <v>0</v>
      </c>
      <c r="AC47" s="445">
        <f t="shared" si="20"/>
        <v>0</v>
      </c>
      <c r="AD47" s="442"/>
      <c r="AE47" s="431"/>
      <c r="AF47" s="444" cm="1">
        <f t="array" ref="AF47">$E47*IFERROR(IF($D47&lt;=AF$8,INDEX($E$32:$E$37,MATCH(AF$8,$AF$8:$CA$8,0)-MATCH($D47,$D$45:$D$92,0)+1,0),0),1)</f>
        <v>0</v>
      </c>
      <c r="AG47" s="444" cm="1">
        <f t="array" ref="AG47">$E47*IFERROR(IF($D47&lt;=AG$8,INDEX($E$32:$E$37,MATCH(AG$8,$AF$8:$CA$8,0)-MATCH($D47,$D$45:$D$92,0)+1,0),0),1)</f>
        <v>0</v>
      </c>
      <c r="AH47" s="444" cm="1">
        <f t="array" ref="AH47">$E47*IFERROR(IF($D47&lt;=AH$8,INDEX($E$32:$E$37,MATCH(AH$8,$AF$8:$CA$8,0)-MATCH($D47,$D$45:$D$92,0)+1,0),0),1)</f>
        <v>0</v>
      </c>
      <c r="AI47" s="444" cm="1">
        <f t="array" ref="AI47">$E47*IFERROR(IF($D47&lt;=AI$8,INDEX($E$32:$E$37,MATCH(AI$8,$AF$8:$CA$8,0)-MATCH($D47,$D$45:$D$92,0)+1,0),0),1)</f>
        <v>0</v>
      </c>
      <c r="AJ47" s="444" cm="1">
        <f t="array" ref="AJ47">$E47*IFERROR(IF($D47&lt;=AJ$8,INDEX($E$32:$E$37,MATCH(AJ$8,$AF$8:$CA$8,0)-MATCH($D47,$D$45:$D$92,0)+1,0),0),1)</f>
        <v>0</v>
      </c>
      <c r="AK47" s="444" cm="1">
        <f t="array" ref="AK47">$E47*IFERROR(IF($D47&lt;=AK$8,INDEX($E$32:$E$37,MATCH(AK$8,$AF$8:$CA$8,0)-MATCH($D47,$D$45:$D$92,0)+1,0),0),1)</f>
        <v>0</v>
      </c>
      <c r="AL47" s="444" cm="1">
        <f t="array" ref="AL47">$E47*IFERROR(IF($D47&lt;=AL$8,INDEX($E$32:$E$37,MATCH(AL$8,$AF$8:$CA$8,0)-MATCH($D47,$D$45:$D$92,0)+1,0),0),1)</f>
        <v>0</v>
      </c>
      <c r="AM47" s="444" cm="1">
        <f t="array" ref="AM47">$E47*IFERROR(IF($D47&lt;=AM$8,INDEX($E$32:$E$37,MATCH(AM$8,$AF$8:$CA$8,0)-MATCH($D47,$D$45:$D$92,0)+1,0),0),1)</f>
        <v>0</v>
      </c>
      <c r="AN47" s="444" cm="1">
        <f t="array" ref="AN47">$E47*IFERROR(IF($D47&lt;=AN$8,INDEX($E$32:$E$37,MATCH(AN$8,$AF$8:$CA$8,0)-MATCH($D47,$D$45:$D$92,0)+1,0),0),1)</f>
        <v>0</v>
      </c>
      <c r="AO47" s="444" cm="1">
        <f t="array" ref="AO47">$E47*IFERROR(IF($D47&lt;=AO$8,INDEX($E$32:$E$37,MATCH(AO$8,$AF$8:$CA$8,0)-MATCH($D47,$D$45:$D$92,0)+1,0),0),1)</f>
        <v>0</v>
      </c>
      <c r="AP47" s="444" cm="1">
        <f t="array" ref="AP47">$E47*IFERROR(IF($D47&lt;=AP$8,INDEX($E$32:$E$37,MATCH(AP$8,$AF$8:$CA$8,0)-MATCH($D47,$D$45:$D$92,0)+1,0),0),1)</f>
        <v>0</v>
      </c>
      <c r="AQ47" s="444" cm="1">
        <f t="array" ref="AQ47">$E47*IFERROR(IF($D47&lt;=AQ$8,INDEX($E$32:$E$37,MATCH(AQ$8,$AF$8:$CA$8,0)-MATCH($D47,$D$45:$D$92,0)+1,0),0),1)</f>
        <v>0</v>
      </c>
      <c r="AR47" s="444" cm="1">
        <f t="array" ref="AR47">$E47*IFERROR(IF($D47&lt;=AR$8,INDEX($E$32:$E$37,MATCH(AR$8,$AF$8:$CA$8,0)-MATCH($D47,$D$45:$D$92,0)+1,0),0),1)</f>
        <v>0</v>
      </c>
      <c r="AS47" s="444" cm="1">
        <f t="array" ref="AS47">$E47*IFERROR(IF($D47&lt;=AS$8,INDEX($E$32:$E$37,MATCH(AS$8,$AF$8:$CA$8,0)-MATCH($D47,$D$45:$D$92,0)+1,0),0),1)</f>
        <v>0</v>
      </c>
      <c r="AT47" s="444" cm="1">
        <f t="array" ref="AT47">$E47*IFERROR(IF($D47&lt;=AT$8,INDEX($E$32:$E$37,MATCH(AT$8,$AF$8:$CA$8,0)-MATCH($D47,$D$45:$D$92,0)+1,0),0),1)</f>
        <v>0</v>
      </c>
      <c r="AU47" s="444" cm="1">
        <f t="array" ref="AU47">$E47*IFERROR(IF($D47&lt;=AU$8,INDEX($E$32:$E$37,MATCH(AU$8,$AF$8:$CA$8,0)-MATCH($D47,$D$45:$D$92,0)+1,0),0),1)</f>
        <v>0</v>
      </c>
      <c r="AV47" s="444" cm="1">
        <f t="array" ref="AV47">$E47*IFERROR(IF($D47&lt;=AV$8,INDEX($E$32:$E$37,MATCH(AV$8,$AF$8:$CA$8,0)-MATCH($D47,$D$45:$D$92,0)+1,0),0),1)</f>
        <v>0</v>
      </c>
      <c r="AW47" s="444" cm="1">
        <f t="array" ref="AW47">$E47*IFERROR(IF($D47&lt;=AW$8,INDEX($E$32:$E$37,MATCH(AW$8,$AF$8:$CA$8,0)-MATCH($D47,$D$45:$D$92,0)+1,0),0),1)</f>
        <v>0</v>
      </c>
      <c r="AX47" s="444" cm="1">
        <f t="array" ref="AX47">$E47*IFERROR(IF($D47&lt;=AX$8,INDEX($E$32:$E$37,MATCH(AX$8,$AF$8:$CA$8,0)-MATCH($D47,$D$45:$D$92,0)+1,0),0),1)</f>
        <v>0</v>
      </c>
      <c r="AY47" s="444" cm="1">
        <f t="array" ref="AY47">$E47*IFERROR(IF($D47&lt;=AY$8,INDEX($E$32:$E$37,MATCH(AY$8,$AF$8:$CA$8,0)-MATCH($D47,$D$45:$D$92,0)+1,0),0),1)</f>
        <v>0</v>
      </c>
      <c r="AZ47" s="444" cm="1">
        <f t="array" ref="AZ47">$E47*IFERROR(IF($D47&lt;=AZ$8,INDEX($E$32:$E$37,MATCH(AZ$8,$AF$8:$CA$8,0)-MATCH($D47,$D$45:$D$92,0)+1,0),0),1)</f>
        <v>0</v>
      </c>
      <c r="BA47" s="444" cm="1">
        <f t="array" ref="BA47">$E47*IFERROR(IF($D47&lt;=BA$8,INDEX($E$32:$E$37,MATCH(BA$8,$AF$8:$CA$8,0)-MATCH($D47,$D$45:$D$92,0)+1,0),0),1)</f>
        <v>0</v>
      </c>
      <c r="BB47" s="444" cm="1">
        <f t="array" ref="BB47">$E47*IFERROR(IF($D47&lt;=BB$8,INDEX($E$32:$E$37,MATCH(BB$8,$AF$8:$CA$8,0)-MATCH($D47,$D$45:$D$92,0)+1,0),0),1)</f>
        <v>0</v>
      </c>
      <c r="BC47" s="444" cm="1">
        <f t="array" ref="BC47">$E47*IFERROR(IF($D47&lt;=BC$8,INDEX($E$32:$E$37,MATCH(BC$8,$AF$8:$CA$8,0)-MATCH($D47,$D$45:$D$92,0)+1,0),0),1)</f>
        <v>0</v>
      </c>
      <c r="BD47" s="444" cm="1">
        <f t="array" ref="BD47">$E47*IFERROR(IF($D47&lt;=BD$8,INDEX($E$32:$E$37,MATCH(BD$8,$AF$8:$CA$8,0)-MATCH($D47,$D$45:$D$92,0)+1,0),0),1)</f>
        <v>0</v>
      </c>
      <c r="BE47" s="444" cm="1">
        <f t="array" ref="BE47">$E47*IFERROR(IF($D47&lt;=BE$8,INDEX($E$32:$E$37,MATCH(BE$8,$AF$8:$CA$8,0)-MATCH($D47,$D$45:$D$92,0)+1,0),0),1)</f>
        <v>0</v>
      </c>
      <c r="BF47" s="444" cm="1">
        <f t="array" ref="BF47">$E47*IFERROR(IF($D47&lt;=BF$8,INDEX($E$32:$E$37,MATCH(BF$8,$AF$8:$CA$8,0)-MATCH($D47,$D$45:$D$92,0)+1,0),0),1)</f>
        <v>0</v>
      </c>
      <c r="BG47" s="444" cm="1">
        <f t="array" ref="BG47">$E47*IFERROR(IF($D47&lt;=BG$8,INDEX($E$32:$E$37,MATCH(BG$8,$AF$8:$CA$8,0)-MATCH($D47,$D$45:$D$92,0)+1,0),0),1)</f>
        <v>0</v>
      </c>
      <c r="BH47" s="444" cm="1">
        <f t="array" ref="BH47">$E47*IFERROR(IF($D47&lt;=BH$8,INDEX($E$32:$E$37,MATCH(BH$8,$AF$8:$CA$8,0)-MATCH($D47,$D$45:$D$92,0)+1,0),0),1)</f>
        <v>0</v>
      </c>
      <c r="BI47" s="444" cm="1">
        <f t="array" ref="BI47">$E47*IFERROR(IF($D47&lt;=BI$8,INDEX($E$32:$E$37,MATCH(BI$8,$AF$8:$CA$8,0)-MATCH($D47,$D$45:$D$92,0)+1,0),0),1)</f>
        <v>0</v>
      </c>
      <c r="BJ47" s="444" cm="1">
        <f t="array" ref="BJ47">$E47*IFERROR(IF($D47&lt;=BJ$8,INDEX($E$32:$E$37,MATCH(BJ$8,$AF$8:$CA$8,0)-MATCH($D47,$D$45:$D$92,0)+1,0),0),1)</f>
        <v>0</v>
      </c>
      <c r="BK47" s="444" cm="1">
        <f t="array" ref="BK47">$E47*IFERROR(IF($D47&lt;=BK$8,INDEX($E$32:$E$37,MATCH(BK$8,$AF$8:$CA$8,0)-MATCH($D47,$D$45:$D$92,0)+1,0),0),1)</f>
        <v>0</v>
      </c>
      <c r="BL47" s="444" cm="1">
        <f t="array" ref="BL47">$E47*IFERROR(IF($D47&lt;=BL$8,INDEX($E$32:$E$37,MATCH(BL$8,$AF$8:$CA$8,0)-MATCH($D47,$D$45:$D$92,0)+1,0),0),1)</f>
        <v>0</v>
      </c>
      <c r="BM47" s="444" cm="1">
        <f t="array" ref="BM47">$E47*IFERROR(IF($D47&lt;=BM$8,INDEX($E$32:$E$37,MATCH(BM$8,$AF$8:$CA$8,0)-MATCH($D47,$D$45:$D$92,0)+1,0),0),1)</f>
        <v>0</v>
      </c>
      <c r="BN47" s="444" cm="1">
        <f t="array" ref="BN47">$E47*IFERROR(IF($D47&lt;=BN$8,INDEX($E$32:$E$37,MATCH(BN$8,$AF$8:$CA$8,0)-MATCH($D47,$D$45:$D$92,0)+1,0),0),1)</f>
        <v>0</v>
      </c>
      <c r="BO47" s="444" cm="1">
        <f t="array" ref="BO47">$E47*IFERROR(IF($D47&lt;=BO$8,INDEX($E$32:$E$37,MATCH(BO$8,$AF$8:$CA$8,0)-MATCH($D47,$D$45:$D$92,0)+1,0),0),1)</f>
        <v>0</v>
      </c>
      <c r="BP47" s="444" cm="1">
        <f t="array" ref="BP47">$E47*IFERROR(IF($D47&lt;=BP$8,INDEX($E$32:$E$37,MATCH(BP$8,$AF$8:$CA$8,0)-MATCH($D47,$D$45:$D$92,0)+1,0),0),1)</f>
        <v>0</v>
      </c>
      <c r="BQ47" s="444" cm="1">
        <f t="array" ref="BQ47">$E47*IFERROR(IF($D47&lt;=BQ$8,INDEX($E$32:$E$37,MATCH(BQ$8,$AF$8:$CA$8,0)-MATCH($D47,$D$45:$D$92,0)+1,0),0),1)</f>
        <v>0</v>
      </c>
      <c r="BR47" s="444" cm="1">
        <f t="array" ref="BR47">$E47*IFERROR(IF($D47&lt;=BR$8,INDEX($E$32:$E$37,MATCH(BR$8,$AF$8:$CA$8,0)-MATCH($D47,$D$45:$D$92,0)+1,0),0),1)</f>
        <v>0</v>
      </c>
      <c r="BS47" s="444" cm="1">
        <f t="array" ref="BS47">$E47*IFERROR(IF($D47&lt;=BS$8,INDEX($E$32:$E$37,MATCH(BS$8,$AF$8:$CA$8,0)-MATCH($D47,$D$45:$D$92,0)+1,0),0),1)</f>
        <v>0</v>
      </c>
      <c r="BT47" s="444" cm="1">
        <f t="array" ref="BT47">$E47*IFERROR(IF($D47&lt;=BT$8,INDEX($E$32:$E$37,MATCH(BT$8,$AF$8:$CA$8,0)-MATCH($D47,$D$45:$D$92,0)+1,0),0),1)</f>
        <v>0</v>
      </c>
      <c r="BU47" s="444" cm="1">
        <f t="array" ref="BU47">$E47*IFERROR(IF($D47&lt;=BU$8,INDEX($E$32:$E$37,MATCH(BU$8,$AF$8:$CA$8,0)-MATCH($D47,$D$45:$D$92,0)+1,0),0),1)</f>
        <v>0</v>
      </c>
      <c r="BV47" s="444" cm="1">
        <f t="array" ref="BV47">$E47*IFERROR(IF($D47&lt;=BV$8,INDEX($E$32:$E$37,MATCH(BV$8,$AF$8:$CA$8,0)-MATCH($D47,$D$45:$D$92,0)+1,0),0),1)</f>
        <v>0</v>
      </c>
      <c r="BW47" s="444" cm="1">
        <f t="array" ref="BW47">$E47*IFERROR(IF($D47&lt;=BW$8,INDEX($E$32:$E$37,MATCH(BW$8,$AF$8:$CA$8,0)-MATCH($D47,$D$45:$D$92,0)+1,0),0),1)</f>
        <v>0</v>
      </c>
      <c r="BX47" s="444" cm="1">
        <f t="array" ref="BX47">$E47*IFERROR(IF($D47&lt;=BX$8,INDEX($E$32:$E$37,MATCH(BX$8,$AF$8:$CA$8,0)-MATCH($D47,$D$45:$D$92,0)+1,0),0),1)</f>
        <v>0</v>
      </c>
      <c r="BY47" s="444" cm="1">
        <f t="array" ref="BY47">$E47*IFERROR(IF($D47&lt;=BY$8,INDEX($E$32:$E$37,MATCH(BY$8,$AF$8:$CA$8,0)-MATCH($D47,$D$45:$D$92,0)+1,0),0),1)</f>
        <v>0</v>
      </c>
      <c r="BZ47" s="444" cm="1">
        <f t="array" ref="BZ47">$E47*IFERROR(IF($D47&lt;=BZ$8,INDEX($E$32:$E$37,MATCH(BZ$8,$AF$8:$CA$8,0)-MATCH($D47,$D$45:$D$92,0)+1,0),0),1)</f>
        <v>0</v>
      </c>
      <c r="CA47" s="444" cm="1">
        <f t="array" ref="CA47">$E47*IFERROR(IF($D47&lt;=CA$8,INDEX($E$32:$E$37,MATCH(CA$8,$AF$8:$CA$8,0)-MATCH($D47,$D$45:$D$92,0)+1,0),0),1)</f>
        <v>0</v>
      </c>
    </row>
    <row r="48" spans="3:79" ht="21" hidden="1" customHeight="1" outlineLevel="3">
      <c r="D48" s="374">
        <f t="shared" si="21"/>
        <v>45046</v>
      </c>
      <c r="E48" s="446" cm="1">
        <f t="array" ref="E48">INDEX($AF$41:$CA$41,0,MATCH($D48,$AF$8:$CA$8,0))</f>
        <v>0</v>
      </c>
      <c r="G48" s="431"/>
      <c r="H48" s="445">
        <f t="shared" si="19"/>
        <v>0</v>
      </c>
      <c r="I48" s="445">
        <f t="shared" si="19"/>
        <v>0</v>
      </c>
      <c r="J48" s="445">
        <f t="shared" si="19"/>
        <v>0</v>
      </c>
      <c r="K48" s="445">
        <f t="shared" si="19"/>
        <v>0</v>
      </c>
      <c r="L48" s="442"/>
      <c r="M48" s="434"/>
      <c r="N48" s="445">
        <f t="shared" si="20"/>
        <v>0</v>
      </c>
      <c r="O48" s="445">
        <f t="shared" si="20"/>
        <v>0</v>
      </c>
      <c r="P48" s="445">
        <f t="shared" si="20"/>
        <v>0</v>
      </c>
      <c r="Q48" s="445">
        <f t="shared" si="20"/>
        <v>0</v>
      </c>
      <c r="R48" s="445">
        <f t="shared" si="20"/>
        <v>0</v>
      </c>
      <c r="S48" s="445">
        <f t="shared" si="20"/>
        <v>0</v>
      </c>
      <c r="T48" s="445">
        <f t="shared" si="20"/>
        <v>0</v>
      </c>
      <c r="U48" s="445">
        <f t="shared" si="20"/>
        <v>0</v>
      </c>
      <c r="V48" s="445">
        <f t="shared" si="20"/>
        <v>0</v>
      </c>
      <c r="W48" s="445">
        <f t="shared" si="20"/>
        <v>0</v>
      </c>
      <c r="X48" s="445">
        <f t="shared" si="20"/>
        <v>0</v>
      </c>
      <c r="Y48" s="445">
        <f t="shared" si="20"/>
        <v>0</v>
      </c>
      <c r="Z48" s="445">
        <f t="shared" si="20"/>
        <v>0</v>
      </c>
      <c r="AA48" s="445">
        <f t="shared" si="20"/>
        <v>0</v>
      </c>
      <c r="AB48" s="445">
        <f t="shared" si="20"/>
        <v>0</v>
      </c>
      <c r="AC48" s="445">
        <f t="shared" si="20"/>
        <v>0</v>
      </c>
      <c r="AD48" s="442"/>
      <c r="AE48" s="434"/>
      <c r="AF48" s="444" cm="1">
        <f t="array" ref="AF48">$E48*IFERROR(IF($D48&lt;=AF$8,INDEX($E$32:$E$37,MATCH(AF$8,$AF$8:$CA$8,0)-MATCH($D48,$D$45:$D$92,0)+1,0),0),1)</f>
        <v>0</v>
      </c>
      <c r="AG48" s="444" cm="1">
        <f t="array" ref="AG48">$E48*IFERROR(IF($D48&lt;=AG$8,INDEX($E$32:$E$37,MATCH(AG$8,$AF$8:$CA$8,0)-MATCH($D48,$D$45:$D$92,0)+1,0),0),1)</f>
        <v>0</v>
      </c>
      <c r="AH48" s="444" cm="1">
        <f t="array" ref="AH48">$E48*IFERROR(IF($D48&lt;=AH$8,INDEX($E$32:$E$37,MATCH(AH$8,$AF$8:$CA$8,0)-MATCH($D48,$D$45:$D$92,0)+1,0),0),1)</f>
        <v>0</v>
      </c>
      <c r="AI48" s="444" cm="1">
        <f t="array" ref="AI48">$E48*IFERROR(IF($D48&lt;=AI$8,INDEX($E$32:$E$37,MATCH(AI$8,$AF$8:$CA$8,0)-MATCH($D48,$D$45:$D$92,0)+1,0),0),1)</f>
        <v>0</v>
      </c>
      <c r="AJ48" s="444" cm="1">
        <f t="array" ref="AJ48">$E48*IFERROR(IF($D48&lt;=AJ$8,INDEX($E$32:$E$37,MATCH(AJ$8,$AF$8:$CA$8,0)-MATCH($D48,$D$45:$D$92,0)+1,0),0),1)</f>
        <v>0</v>
      </c>
      <c r="AK48" s="444" cm="1">
        <f t="array" ref="AK48">$E48*IFERROR(IF($D48&lt;=AK$8,INDEX($E$32:$E$37,MATCH(AK$8,$AF$8:$CA$8,0)-MATCH($D48,$D$45:$D$92,0)+1,0),0),1)</f>
        <v>0</v>
      </c>
      <c r="AL48" s="444" cm="1">
        <f t="array" ref="AL48">$E48*IFERROR(IF($D48&lt;=AL$8,INDEX($E$32:$E$37,MATCH(AL$8,$AF$8:$CA$8,0)-MATCH($D48,$D$45:$D$92,0)+1,0),0),1)</f>
        <v>0</v>
      </c>
      <c r="AM48" s="444" cm="1">
        <f t="array" ref="AM48">$E48*IFERROR(IF($D48&lt;=AM$8,INDEX($E$32:$E$37,MATCH(AM$8,$AF$8:$CA$8,0)-MATCH($D48,$D$45:$D$92,0)+1,0),0),1)</f>
        <v>0</v>
      </c>
      <c r="AN48" s="444" cm="1">
        <f t="array" ref="AN48">$E48*IFERROR(IF($D48&lt;=AN$8,INDEX($E$32:$E$37,MATCH(AN$8,$AF$8:$CA$8,0)-MATCH($D48,$D$45:$D$92,0)+1,0),0),1)</f>
        <v>0</v>
      </c>
      <c r="AO48" s="444" cm="1">
        <f t="array" ref="AO48">$E48*IFERROR(IF($D48&lt;=AO$8,INDEX($E$32:$E$37,MATCH(AO$8,$AF$8:$CA$8,0)-MATCH($D48,$D$45:$D$92,0)+1,0),0),1)</f>
        <v>0</v>
      </c>
      <c r="AP48" s="444" cm="1">
        <f t="array" ref="AP48">$E48*IFERROR(IF($D48&lt;=AP$8,INDEX($E$32:$E$37,MATCH(AP$8,$AF$8:$CA$8,0)-MATCH($D48,$D$45:$D$92,0)+1,0),0),1)</f>
        <v>0</v>
      </c>
      <c r="AQ48" s="444" cm="1">
        <f t="array" ref="AQ48">$E48*IFERROR(IF($D48&lt;=AQ$8,INDEX($E$32:$E$37,MATCH(AQ$8,$AF$8:$CA$8,0)-MATCH($D48,$D$45:$D$92,0)+1,0),0),1)</f>
        <v>0</v>
      </c>
      <c r="AR48" s="444" cm="1">
        <f t="array" ref="AR48">$E48*IFERROR(IF($D48&lt;=AR$8,INDEX($E$32:$E$37,MATCH(AR$8,$AF$8:$CA$8,0)-MATCH($D48,$D$45:$D$92,0)+1,0),0),1)</f>
        <v>0</v>
      </c>
      <c r="AS48" s="444" cm="1">
        <f t="array" ref="AS48">$E48*IFERROR(IF($D48&lt;=AS$8,INDEX($E$32:$E$37,MATCH(AS$8,$AF$8:$CA$8,0)-MATCH($D48,$D$45:$D$92,0)+1,0),0),1)</f>
        <v>0</v>
      </c>
      <c r="AT48" s="444" cm="1">
        <f t="array" ref="AT48">$E48*IFERROR(IF($D48&lt;=AT$8,INDEX($E$32:$E$37,MATCH(AT$8,$AF$8:$CA$8,0)-MATCH($D48,$D$45:$D$92,0)+1,0),0),1)</f>
        <v>0</v>
      </c>
      <c r="AU48" s="444" cm="1">
        <f t="array" ref="AU48">$E48*IFERROR(IF($D48&lt;=AU$8,INDEX($E$32:$E$37,MATCH(AU$8,$AF$8:$CA$8,0)-MATCH($D48,$D$45:$D$92,0)+1,0),0),1)</f>
        <v>0</v>
      </c>
      <c r="AV48" s="444" cm="1">
        <f t="array" ref="AV48">$E48*IFERROR(IF($D48&lt;=AV$8,INDEX($E$32:$E$37,MATCH(AV$8,$AF$8:$CA$8,0)-MATCH($D48,$D$45:$D$92,0)+1,0),0),1)</f>
        <v>0</v>
      </c>
      <c r="AW48" s="444" cm="1">
        <f t="array" ref="AW48">$E48*IFERROR(IF($D48&lt;=AW$8,INDEX($E$32:$E$37,MATCH(AW$8,$AF$8:$CA$8,0)-MATCH($D48,$D$45:$D$92,0)+1,0),0),1)</f>
        <v>0</v>
      </c>
      <c r="AX48" s="444" cm="1">
        <f t="array" ref="AX48">$E48*IFERROR(IF($D48&lt;=AX$8,INDEX($E$32:$E$37,MATCH(AX$8,$AF$8:$CA$8,0)-MATCH($D48,$D$45:$D$92,0)+1,0),0),1)</f>
        <v>0</v>
      </c>
      <c r="AY48" s="444" cm="1">
        <f t="array" ref="AY48">$E48*IFERROR(IF($D48&lt;=AY$8,INDEX($E$32:$E$37,MATCH(AY$8,$AF$8:$CA$8,0)-MATCH($D48,$D$45:$D$92,0)+1,0),0),1)</f>
        <v>0</v>
      </c>
      <c r="AZ48" s="444" cm="1">
        <f t="array" ref="AZ48">$E48*IFERROR(IF($D48&lt;=AZ$8,INDEX($E$32:$E$37,MATCH(AZ$8,$AF$8:$CA$8,0)-MATCH($D48,$D$45:$D$92,0)+1,0),0),1)</f>
        <v>0</v>
      </c>
      <c r="BA48" s="444" cm="1">
        <f t="array" ref="BA48">$E48*IFERROR(IF($D48&lt;=BA$8,INDEX($E$32:$E$37,MATCH(BA$8,$AF$8:$CA$8,0)-MATCH($D48,$D$45:$D$92,0)+1,0),0),1)</f>
        <v>0</v>
      </c>
      <c r="BB48" s="444" cm="1">
        <f t="array" ref="BB48">$E48*IFERROR(IF($D48&lt;=BB$8,INDEX($E$32:$E$37,MATCH(BB$8,$AF$8:$CA$8,0)-MATCH($D48,$D$45:$D$92,0)+1,0),0),1)</f>
        <v>0</v>
      </c>
      <c r="BC48" s="444" cm="1">
        <f t="array" ref="BC48">$E48*IFERROR(IF($D48&lt;=BC$8,INDEX($E$32:$E$37,MATCH(BC$8,$AF$8:$CA$8,0)-MATCH($D48,$D$45:$D$92,0)+1,0),0),1)</f>
        <v>0</v>
      </c>
      <c r="BD48" s="444" cm="1">
        <f t="array" ref="BD48">$E48*IFERROR(IF($D48&lt;=BD$8,INDEX($E$32:$E$37,MATCH(BD$8,$AF$8:$CA$8,0)-MATCH($D48,$D$45:$D$92,0)+1,0),0),1)</f>
        <v>0</v>
      </c>
      <c r="BE48" s="444" cm="1">
        <f t="array" ref="BE48">$E48*IFERROR(IF($D48&lt;=BE$8,INDEX($E$32:$E$37,MATCH(BE$8,$AF$8:$CA$8,0)-MATCH($D48,$D$45:$D$92,0)+1,0),0),1)</f>
        <v>0</v>
      </c>
      <c r="BF48" s="444" cm="1">
        <f t="array" ref="BF48">$E48*IFERROR(IF($D48&lt;=BF$8,INDEX($E$32:$E$37,MATCH(BF$8,$AF$8:$CA$8,0)-MATCH($D48,$D$45:$D$92,0)+1,0),0),1)</f>
        <v>0</v>
      </c>
      <c r="BG48" s="444" cm="1">
        <f t="array" ref="BG48">$E48*IFERROR(IF($D48&lt;=BG$8,INDEX($E$32:$E$37,MATCH(BG$8,$AF$8:$CA$8,0)-MATCH($D48,$D$45:$D$92,0)+1,0),0),1)</f>
        <v>0</v>
      </c>
      <c r="BH48" s="444" cm="1">
        <f t="array" ref="BH48">$E48*IFERROR(IF($D48&lt;=BH$8,INDEX($E$32:$E$37,MATCH(BH$8,$AF$8:$CA$8,0)-MATCH($D48,$D$45:$D$92,0)+1,0),0),1)</f>
        <v>0</v>
      </c>
      <c r="BI48" s="444" cm="1">
        <f t="array" ref="BI48">$E48*IFERROR(IF($D48&lt;=BI$8,INDEX($E$32:$E$37,MATCH(BI$8,$AF$8:$CA$8,0)-MATCH($D48,$D$45:$D$92,0)+1,0),0),1)</f>
        <v>0</v>
      </c>
      <c r="BJ48" s="444" cm="1">
        <f t="array" ref="BJ48">$E48*IFERROR(IF($D48&lt;=BJ$8,INDEX($E$32:$E$37,MATCH(BJ$8,$AF$8:$CA$8,0)-MATCH($D48,$D$45:$D$92,0)+1,0),0),1)</f>
        <v>0</v>
      </c>
      <c r="BK48" s="444" cm="1">
        <f t="array" ref="BK48">$E48*IFERROR(IF($D48&lt;=BK$8,INDEX($E$32:$E$37,MATCH(BK$8,$AF$8:$CA$8,0)-MATCH($D48,$D$45:$D$92,0)+1,0),0),1)</f>
        <v>0</v>
      </c>
      <c r="BL48" s="444" cm="1">
        <f t="array" ref="BL48">$E48*IFERROR(IF($D48&lt;=BL$8,INDEX($E$32:$E$37,MATCH(BL$8,$AF$8:$CA$8,0)-MATCH($D48,$D$45:$D$92,0)+1,0),0),1)</f>
        <v>0</v>
      </c>
      <c r="BM48" s="444" cm="1">
        <f t="array" ref="BM48">$E48*IFERROR(IF($D48&lt;=BM$8,INDEX($E$32:$E$37,MATCH(BM$8,$AF$8:$CA$8,0)-MATCH($D48,$D$45:$D$92,0)+1,0),0),1)</f>
        <v>0</v>
      </c>
      <c r="BN48" s="444" cm="1">
        <f t="array" ref="BN48">$E48*IFERROR(IF($D48&lt;=BN$8,INDEX($E$32:$E$37,MATCH(BN$8,$AF$8:$CA$8,0)-MATCH($D48,$D$45:$D$92,0)+1,0),0),1)</f>
        <v>0</v>
      </c>
      <c r="BO48" s="444" cm="1">
        <f t="array" ref="BO48">$E48*IFERROR(IF($D48&lt;=BO$8,INDEX($E$32:$E$37,MATCH(BO$8,$AF$8:$CA$8,0)-MATCH($D48,$D$45:$D$92,0)+1,0),0),1)</f>
        <v>0</v>
      </c>
      <c r="BP48" s="444" cm="1">
        <f t="array" ref="BP48">$E48*IFERROR(IF($D48&lt;=BP$8,INDEX($E$32:$E$37,MATCH(BP$8,$AF$8:$CA$8,0)-MATCH($D48,$D$45:$D$92,0)+1,0),0),1)</f>
        <v>0</v>
      </c>
      <c r="BQ48" s="444" cm="1">
        <f t="array" ref="BQ48">$E48*IFERROR(IF($D48&lt;=BQ$8,INDEX($E$32:$E$37,MATCH(BQ$8,$AF$8:$CA$8,0)-MATCH($D48,$D$45:$D$92,0)+1,0),0),1)</f>
        <v>0</v>
      </c>
      <c r="BR48" s="444" cm="1">
        <f t="array" ref="BR48">$E48*IFERROR(IF($D48&lt;=BR$8,INDEX($E$32:$E$37,MATCH(BR$8,$AF$8:$CA$8,0)-MATCH($D48,$D$45:$D$92,0)+1,0),0),1)</f>
        <v>0</v>
      </c>
      <c r="BS48" s="444" cm="1">
        <f t="array" ref="BS48">$E48*IFERROR(IF($D48&lt;=BS$8,INDEX($E$32:$E$37,MATCH(BS$8,$AF$8:$CA$8,0)-MATCH($D48,$D$45:$D$92,0)+1,0),0),1)</f>
        <v>0</v>
      </c>
      <c r="BT48" s="444" cm="1">
        <f t="array" ref="BT48">$E48*IFERROR(IF($D48&lt;=BT$8,INDEX($E$32:$E$37,MATCH(BT$8,$AF$8:$CA$8,0)-MATCH($D48,$D$45:$D$92,0)+1,0),0),1)</f>
        <v>0</v>
      </c>
      <c r="BU48" s="444" cm="1">
        <f t="array" ref="BU48">$E48*IFERROR(IF($D48&lt;=BU$8,INDEX($E$32:$E$37,MATCH(BU$8,$AF$8:$CA$8,0)-MATCH($D48,$D$45:$D$92,0)+1,0),0),1)</f>
        <v>0</v>
      </c>
      <c r="BV48" s="444" cm="1">
        <f t="array" ref="BV48">$E48*IFERROR(IF($D48&lt;=BV$8,INDEX($E$32:$E$37,MATCH(BV$8,$AF$8:$CA$8,0)-MATCH($D48,$D$45:$D$92,0)+1,0),0),1)</f>
        <v>0</v>
      </c>
      <c r="BW48" s="444" cm="1">
        <f t="array" ref="BW48">$E48*IFERROR(IF($D48&lt;=BW$8,INDEX($E$32:$E$37,MATCH(BW$8,$AF$8:$CA$8,0)-MATCH($D48,$D$45:$D$92,0)+1,0),0),1)</f>
        <v>0</v>
      </c>
      <c r="BX48" s="444" cm="1">
        <f t="array" ref="BX48">$E48*IFERROR(IF($D48&lt;=BX$8,INDEX($E$32:$E$37,MATCH(BX$8,$AF$8:$CA$8,0)-MATCH($D48,$D$45:$D$92,0)+1,0),0),1)</f>
        <v>0</v>
      </c>
      <c r="BY48" s="444" cm="1">
        <f t="array" ref="BY48">$E48*IFERROR(IF($D48&lt;=BY$8,INDEX($E$32:$E$37,MATCH(BY$8,$AF$8:$CA$8,0)-MATCH($D48,$D$45:$D$92,0)+1,0),0),1)</f>
        <v>0</v>
      </c>
      <c r="BZ48" s="444" cm="1">
        <f t="array" ref="BZ48">$E48*IFERROR(IF($D48&lt;=BZ$8,INDEX($E$32:$E$37,MATCH(BZ$8,$AF$8:$CA$8,0)-MATCH($D48,$D$45:$D$92,0)+1,0),0),1)</f>
        <v>0</v>
      </c>
      <c r="CA48" s="444" cm="1">
        <f t="array" ref="CA48">$E48*IFERROR(IF($D48&lt;=CA$8,INDEX($E$32:$E$37,MATCH(CA$8,$AF$8:$CA$8,0)-MATCH($D48,$D$45:$D$92,0)+1,0),0),1)</f>
        <v>0</v>
      </c>
    </row>
    <row r="49" spans="4:79" ht="21" hidden="1" customHeight="1" outlineLevel="3">
      <c r="D49" s="374">
        <f t="shared" si="21"/>
        <v>45077</v>
      </c>
      <c r="E49" s="446" cm="1">
        <f t="array" ref="E49">INDEX($AF$41:$CA$41,0,MATCH($D49,$AF$8:$CA$8,0))</f>
        <v>0</v>
      </c>
      <c r="G49" s="431"/>
      <c r="H49" s="445">
        <f t="shared" si="19"/>
        <v>0</v>
      </c>
      <c r="I49" s="445">
        <f t="shared" si="19"/>
        <v>0</v>
      </c>
      <c r="J49" s="445">
        <f t="shared" si="19"/>
        <v>0</v>
      </c>
      <c r="K49" s="445">
        <f t="shared" si="19"/>
        <v>0</v>
      </c>
      <c r="L49" s="442"/>
      <c r="M49" s="431"/>
      <c r="N49" s="445">
        <f t="shared" si="20"/>
        <v>0</v>
      </c>
      <c r="O49" s="445">
        <f t="shared" si="20"/>
        <v>0</v>
      </c>
      <c r="P49" s="445">
        <f t="shared" si="20"/>
        <v>0</v>
      </c>
      <c r="Q49" s="445">
        <f t="shared" si="20"/>
        <v>0</v>
      </c>
      <c r="R49" s="445">
        <f t="shared" si="20"/>
        <v>0</v>
      </c>
      <c r="S49" s="445">
        <f t="shared" si="20"/>
        <v>0</v>
      </c>
      <c r="T49" s="445">
        <f t="shared" si="20"/>
        <v>0</v>
      </c>
      <c r="U49" s="445">
        <f t="shared" si="20"/>
        <v>0</v>
      </c>
      <c r="V49" s="445">
        <f t="shared" si="20"/>
        <v>0</v>
      </c>
      <c r="W49" s="445">
        <f t="shared" si="20"/>
        <v>0</v>
      </c>
      <c r="X49" s="445">
        <f t="shared" si="20"/>
        <v>0</v>
      </c>
      <c r="Y49" s="445">
        <f t="shared" si="20"/>
        <v>0</v>
      </c>
      <c r="Z49" s="445">
        <f t="shared" si="20"/>
        <v>0</v>
      </c>
      <c r="AA49" s="445">
        <f t="shared" si="20"/>
        <v>0</v>
      </c>
      <c r="AB49" s="445">
        <f t="shared" si="20"/>
        <v>0</v>
      </c>
      <c r="AC49" s="445">
        <f t="shared" si="20"/>
        <v>0</v>
      </c>
      <c r="AD49" s="442"/>
      <c r="AE49" s="431"/>
      <c r="AF49" s="444" cm="1">
        <f t="array" ref="AF49">$E49*IFERROR(IF($D49&lt;=AF$8,INDEX($E$32:$E$37,MATCH(AF$8,$AF$8:$CA$8,0)-MATCH($D49,$D$45:$D$92,0)+1,0),0),1)</f>
        <v>0</v>
      </c>
      <c r="AG49" s="444" cm="1">
        <f t="array" ref="AG49">$E49*IFERROR(IF($D49&lt;=AG$8,INDEX($E$32:$E$37,MATCH(AG$8,$AF$8:$CA$8,0)-MATCH($D49,$D$45:$D$92,0)+1,0),0),1)</f>
        <v>0</v>
      </c>
      <c r="AH49" s="444" cm="1">
        <f t="array" ref="AH49">$E49*IFERROR(IF($D49&lt;=AH$8,INDEX($E$32:$E$37,MATCH(AH$8,$AF$8:$CA$8,0)-MATCH($D49,$D$45:$D$92,0)+1,0),0),1)</f>
        <v>0</v>
      </c>
      <c r="AI49" s="444" cm="1">
        <f t="array" ref="AI49">$E49*IFERROR(IF($D49&lt;=AI$8,INDEX($E$32:$E$37,MATCH(AI$8,$AF$8:$CA$8,0)-MATCH($D49,$D$45:$D$92,0)+1,0),0),1)</f>
        <v>0</v>
      </c>
      <c r="AJ49" s="444" cm="1">
        <f t="array" ref="AJ49">$E49*IFERROR(IF($D49&lt;=AJ$8,INDEX($E$32:$E$37,MATCH(AJ$8,$AF$8:$CA$8,0)-MATCH($D49,$D$45:$D$92,0)+1,0),0),1)</f>
        <v>0</v>
      </c>
      <c r="AK49" s="444" cm="1">
        <f t="array" ref="AK49">$E49*IFERROR(IF($D49&lt;=AK$8,INDEX($E$32:$E$37,MATCH(AK$8,$AF$8:$CA$8,0)-MATCH($D49,$D$45:$D$92,0)+1,0),0),1)</f>
        <v>0</v>
      </c>
      <c r="AL49" s="444" cm="1">
        <f t="array" ref="AL49">$E49*IFERROR(IF($D49&lt;=AL$8,INDEX($E$32:$E$37,MATCH(AL$8,$AF$8:$CA$8,0)-MATCH($D49,$D$45:$D$92,0)+1,0),0),1)</f>
        <v>0</v>
      </c>
      <c r="AM49" s="444" cm="1">
        <f t="array" ref="AM49">$E49*IFERROR(IF($D49&lt;=AM$8,INDEX($E$32:$E$37,MATCH(AM$8,$AF$8:$CA$8,0)-MATCH($D49,$D$45:$D$92,0)+1,0),0),1)</f>
        <v>0</v>
      </c>
      <c r="AN49" s="444" cm="1">
        <f t="array" ref="AN49">$E49*IFERROR(IF($D49&lt;=AN$8,INDEX($E$32:$E$37,MATCH(AN$8,$AF$8:$CA$8,0)-MATCH($D49,$D$45:$D$92,0)+1,0),0),1)</f>
        <v>0</v>
      </c>
      <c r="AO49" s="444" cm="1">
        <f t="array" ref="AO49">$E49*IFERROR(IF($D49&lt;=AO$8,INDEX($E$32:$E$37,MATCH(AO$8,$AF$8:$CA$8,0)-MATCH($D49,$D$45:$D$92,0)+1,0),0),1)</f>
        <v>0</v>
      </c>
      <c r="AP49" s="444" cm="1">
        <f t="array" ref="AP49">$E49*IFERROR(IF($D49&lt;=AP$8,INDEX($E$32:$E$37,MATCH(AP$8,$AF$8:$CA$8,0)-MATCH($D49,$D$45:$D$92,0)+1,0),0),1)</f>
        <v>0</v>
      </c>
      <c r="AQ49" s="444" cm="1">
        <f t="array" ref="AQ49">$E49*IFERROR(IF($D49&lt;=AQ$8,INDEX($E$32:$E$37,MATCH(AQ$8,$AF$8:$CA$8,0)-MATCH($D49,$D$45:$D$92,0)+1,0),0),1)</f>
        <v>0</v>
      </c>
      <c r="AR49" s="444" cm="1">
        <f t="array" ref="AR49">$E49*IFERROR(IF($D49&lt;=AR$8,INDEX($E$32:$E$37,MATCH(AR$8,$AF$8:$CA$8,0)-MATCH($D49,$D$45:$D$92,0)+1,0),0),1)</f>
        <v>0</v>
      </c>
      <c r="AS49" s="444" cm="1">
        <f t="array" ref="AS49">$E49*IFERROR(IF($D49&lt;=AS$8,INDEX($E$32:$E$37,MATCH(AS$8,$AF$8:$CA$8,0)-MATCH($D49,$D$45:$D$92,0)+1,0),0),1)</f>
        <v>0</v>
      </c>
      <c r="AT49" s="444" cm="1">
        <f t="array" ref="AT49">$E49*IFERROR(IF($D49&lt;=AT$8,INDEX($E$32:$E$37,MATCH(AT$8,$AF$8:$CA$8,0)-MATCH($D49,$D$45:$D$92,0)+1,0),0),1)</f>
        <v>0</v>
      </c>
      <c r="AU49" s="444" cm="1">
        <f t="array" ref="AU49">$E49*IFERROR(IF($D49&lt;=AU$8,INDEX($E$32:$E$37,MATCH(AU$8,$AF$8:$CA$8,0)-MATCH($D49,$D$45:$D$92,0)+1,0),0),1)</f>
        <v>0</v>
      </c>
      <c r="AV49" s="444" cm="1">
        <f t="array" ref="AV49">$E49*IFERROR(IF($D49&lt;=AV$8,INDEX($E$32:$E$37,MATCH(AV$8,$AF$8:$CA$8,0)-MATCH($D49,$D$45:$D$92,0)+1,0),0),1)</f>
        <v>0</v>
      </c>
      <c r="AW49" s="444" cm="1">
        <f t="array" ref="AW49">$E49*IFERROR(IF($D49&lt;=AW$8,INDEX($E$32:$E$37,MATCH(AW$8,$AF$8:$CA$8,0)-MATCH($D49,$D$45:$D$92,0)+1,0),0),1)</f>
        <v>0</v>
      </c>
      <c r="AX49" s="444" cm="1">
        <f t="array" ref="AX49">$E49*IFERROR(IF($D49&lt;=AX$8,INDEX($E$32:$E$37,MATCH(AX$8,$AF$8:$CA$8,0)-MATCH($D49,$D$45:$D$92,0)+1,0),0),1)</f>
        <v>0</v>
      </c>
      <c r="AY49" s="444" cm="1">
        <f t="array" ref="AY49">$E49*IFERROR(IF($D49&lt;=AY$8,INDEX($E$32:$E$37,MATCH(AY$8,$AF$8:$CA$8,0)-MATCH($D49,$D$45:$D$92,0)+1,0),0),1)</f>
        <v>0</v>
      </c>
      <c r="AZ49" s="444" cm="1">
        <f t="array" ref="AZ49">$E49*IFERROR(IF($D49&lt;=AZ$8,INDEX($E$32:$E$37,MATCH(AZ$8,$AF$8:$CA$8,0)-MATCH($D49,$D$45:$D$92,0)+1,0),0),1)</f>
        <v>0</v>
      </c>
      <c r="BA49" s="444" cm="1">
        <f t="array" ref="BA49">$E49*IFERROR(IF($D49&lt;=BA$8,INDEX($E$32:$E$37,MATCH(BA$8,$AF$8:$CA$8,0)-MATCH($D49,$D$45:$D$92,0)+1,0),0),1)</f>
        <v>0</v>
      </c>
      <c r="BB49" s="444" cm="1">
        <f t="array" ref="BB49">$E49*IFERROR(IF($D49&lt;=BB$8,INDEX($E$32:$E$37,MATCH(BB$8,$AF$8:$CA$8,0)-MATCH($D49,$D$45:$D$92,0)+1,0),0),1)</f>
        <v>0</v>
      </c>
      <c r="BC49" s="444" cm="1">
        <f t="array" ref="BC49">$E49*IFERROR(IF($D49&lt;=BC$8,INDEX($E$32:$E$37,MATCH(BC$8,$AF$8:$CA$8,0)-MATCH($D49,$D$45:$D$92,0)+1,0),0),1)</f>
        <v>0</v>
      </c>
      <c r="BD49" s="444" cm="1">
        <f t="array" ref="BD49">$E49*IFERROR(IF($D49&lt;=BD$8,INDEX($E$32:$E$37,MATCH(BD$8,$AF$8:$CA$8,0)-MATCH($D49,$D$45:$D$92,0)+1,0),0),1)</f>
        <v>0</v>
      </c>
      <c r="BE49" s="444" cm="1">
        <f t="array" ref="BE49">$E49*IFERROR(IF($D49&lt;=BE$8,INDEX($E$32:$E$37,MATCH(BE$8,$AF$8:$CA$8,0)-MATCH($D49,$D$45:$D$92,0)+1,0),0),1)</f>
        <v>0</v>
      </c>
      <c r="BF49" s="444" cm="1">
        <f t="array" ref="BF49">$E49*IFERROR(IF($D49&lt;=BF$8,INDEX($E$32:$E$37,MATCH(BF$8,$AF$8:$CA$8,0)-MATCH($D49,$D$45:$D$92,0)+1,0),0),1)</f>
        <v>0</v>
      </c>
      <c r="BG49" s="444" cm="1">
        <f t="array" ref="BG49">$E49*IFERROR(IF($D49&lt;=BG$8,INDEX($E$32:$E$37,MATCH(BG$8,$AF$8:$CA$8,0)-MATCH($D49,$D$45:$D$92,0)+1,0),0),1)</f>
        <v>0</v>
      </c>
      <c r="BH49" s="444" cm="1">
        <f t="array" ref="BH49">$E49*IFERROR(IF($D49&lt;=BH$8,INDEX($E$32:$E$37,MATCH(BH$8,$AF$8:$CA$8,0)-MATCH($D49,$D$45:$D$92,0)+1,0),0),1)</f>
        <v>0</v>
      </c>
      <c r="BI49" s="444" cm="1">
        <f t="array" ref="BI49">$E49*IFERROR(IF($D49&lt;=BI$8,INDEX($E$32:$E$37,MATCH(BI$8,$AF$8:$CA$8,0)-MATCH($D49,$D$45:$D$92,0)+1,0),0),1)</f>
        <v>0</v>
      </c>
      <c r="BJ49" s="444" cm="1">
        <f t="array" ref="BJ49">$E49*IFERROR(IF($D49&lt;=BJ$8,INDEX($E$32:$E$37,MATCH(BJ$8,$AF$8:$CA$8,0)-MATCH($D49,$D$45:$D$92,0)+1,0),0),1)</f>
        <v>0</v>
      </c>
      <c r="BK49" s="444" cm="1">
        <f t="array" ref="BK49">$E49*IFERROR(IF($D49&lt;=BK$8,INDEX($E$32:$E$37,MATCH(BK$8,$AF$8:$CA$8,0)-MATCH($D49,$D$45:$D$92,0)+1,0),0),1)</f>
        <v>0</v>
      </c>
      <c r="BL49" s="444" cm="1">
        <f t="array" ref="BL49">$E49*IFERROR(IF($D49&lt;=BL$8,INDEX($E$32:$E$37,MATCH(BL$8,$AF$8:$CA$8,0)-MATCH($D49,$D$45:$D$92,0)+1,0),0),1)</f>
        <v>0</v>
      </c>
      <c r="BM49" s="444" cm="1">
        <f t="array" ref="BM49">$E49*IFERROR(IF($D49&lt;=BM$8,INDEX($E$32:$E$37,MATCH(BM$8,$AF$8:$CA$8,0)-MATCH($D49,$D$45:$D$92,0)+1,0),0),1)</f>
        <v>0</v>
      </c>
      <c r="BN49" s="444" cm="1">
        <f t="array" ref="BN49">$E49*IFERROR(IF($D49&lt;=BN$8,INDEX($E$32:$E$37,MATCH(BN$8,$AF$8:$CA$8,0)-MATCH($D49,$D$45:$D$92,0)+1,0),0),1)</f>
        <v>0</v>
      </c>
      <c r="BO49" s="444" cm="1">
        <f t="array" ref="BO49">$E49*IFERROR(IF($D49&lt;=BO$8,INDEX($E$32:$E$37,MATCH(BO$8,$AF$8:$CA$8,0)-MATCH($D49,$D$45:$D$92,0)+1,0),0),1)</f>
        <v>0</v>
      </c>
      <c r="BP49" s="444" cm="1">
        <f t="array" ref="BP49">$E49*IFERROR(IF($D49&lt;=BP$8,INDEX($E$32:$E$37,MATCH(BP$8,$AF$8:$CA$8,0)-MATCH($D49,$D$45:$D$92,0)+1,0),0),1)</f>
        <v>0</v>
      </c>
      <c r="BQ49" s="444" cm="1">
        <f t="array" ref="BQ49">$E49*IFERROR(IF($D49&lt;=BQ$8,INDEX($E$32:$E$37,MATCH(BQ$8,$AF$8:$CA$8,0)-MATCH($D49,$D$45:$D$92,0)+1,0),0),1)</f>
        <v>0</v>
      </c>
      <c r="BR49" s="444" cm="1">
        <f t="array" ref="BR49">$E49*IFERROR(IF($D49&lt;=BR$8,INDEX($E$32:$E$37,MATCH(BR$8,$AF$8:$CA$8,0)-MATCH($D49,$D$45:$D$92,0)+1,0),0),1)</f>
        <v>0</v>
      </c>
      <c r="BS49" s="444" cm="1">
        <f t="array" ref="BS49">$E49*IFERROR(IF($D49&lt;=BS$8,INDEX($E$32:$E$37,MATCH(BS$8,$AF$8:$CA$8,0)-MATCH($D49,$D$45:$D$92,0)+1,0),0),1)</f>
        <v>0</v>
      </c>
      <c r="BT49" s="444" cm="1">
        <f t="array" ref="BT49">$E49*IFERROR(IF($D49&lt;=BT$8,INDEX($E$32:$E$37,MATCH(BT$8,$AF$8:$CA$8,0)-MATCH($D49,$D$45:$D$92,0)+1,0),0),1)</f>
        <v>0</v>
      </c>
      <c r="BU49" s="444" cm="1">
        <f t="array" ref="BU49">$E49*IFERROR(IF($D49&lt;=BU$8,INDEX($E$32:$E$37,MATCH(BU$8,$AF$8:$CA$8,0)-MATCH($D49,$D$45:$D$92,0)+1,0),0),1)</f>
        <v>0</v>
      </c>
      <c r="BV49" s="444" cm="1">
        <f t="array" ref="BV49">$E49*IFERROR(IF($D49&lt;=BV$8,INDEX($E$32:$E$37,MATCH(BV$8,$AF$8:$CA$8,0)-MATCH($D49,$D$45:$D$92,0)+1,0),0),1)</f>
        <v>0</v>
      </c>
      <c r="BW49" s="444" cm="1">
        <f t="array" ref="BW49">$E49*IFERROR(IF($D49&lt;=BW$8,INDEX($E$32:$E$37,MATCH(BW$8,$AF$8:$CA$8,0)-MATCH($D49,$D$45:$D$92,0)+1,0),0),1)</f>
        <v>0</v>
      </c>
      <c r="BX49" s="444" cm="1">
        <f t="array" ref="BX49">$E49*IFERROR(IF($D49&lt;=BX$8,INDEX($E$32:$E$37,MATCH(BX$8,$AF$8:$CA$8,0)-MATCH($D49,$D$45:$D$92,0)+1,0),0),1)</f>
        <v>0</v>
      </c>
      <c r="BY49" s="444" cm="1">
        <f t="array" ref="BY49">$E49*IFERROR(IF($D49&lt;=BY$8,INDEX($E$32:$E$37,MATCH(BY$8,$AF$8:$CA$8,0)-MATCH($D49,$D$45:$D$92,0)+1,0),0),1)</f>
        <v>0</v>
      </c>
      <c r="BZ49" s="444" cm="1">
        <f t="array" ref="BZ49">$E49*IFERROR(IF($D49&lt;=BZ$8,INDEX($E$32:$E$37,MATCH(BZ$8,$AF$8:$CA$8,0)-MATCH($D49,$D$45:$D$92,0)+1,0),0),1)</f>
        <v>0</v>
      </c>
      <c r="CA49" s="444" cm="1">
        <f t="array" ref="CA49">$E49*IFERROR(IF($D49&lt;=CA$8,INDEX($E$32:$E$37,MATCH(CA$8,$AF$8:$CA$8,0)-MATCH($D49,$D$45:$D$92,0)+1,0),0),1)</f>
        <v>0</v>
      </c>
    </row>
    <row r="50" spans="4:79" ht="21" hidden="1" customHeight="1" outlineLevel="3">
      <c r="D50" s="374">
        <f t="shared" si="21"/>
        <v>45107</v>
      </c>
      <c r="E50" s="446" cm="1">
        <f t="array" ref="E50">INDEX($AF$41:$CA$41,0,MATCH($D50,$AF$8:$CA$8,0))</f>
        <v>0</v>
      </c>
      <c r="G50" s="431"/>
      <c r="H50" s="445">
        <f t="shared" si="19"/>
        <v>0</v>
      </c>
      <c r="I50" s="445">
        <f t="shared" si="19"/>
        <v>0</v>
      </c>
      <c r="J50" s="445">
        <f t="shared" si="19"/>
        <v>0</v>
      </c>
      <c r="K50" s="445">
        <f t="shared" si="19"/>
        <v>0</v>
      </c>
      <c r="L50" s="442"/>
      <c r="M50" s="431"/>
      <c r="N50" s="445">
        <f t="shared" si="20"/>
        <v>0</v>
      </c>
      <c r="O50" s="445">
        <f t="shared" si="20"/>
        <v>0</v>
      </c>
      <c r="P50" s="445">
        <f t="shared" si="20"/>
        <v>0</v>
      </c>
      <c r="Q50" s="445">
        <f t="shared" si="20"/>
        <v>0</v>
      </c>
      <c r="R50" s="445">
        <f t="shared" si="20"/>
        <v>0</v>
      </c>
      <c r="S50" s="445">
        <f t="shared" si="20"/>
        <v>0</v>
      </c>
      <c r="T50" s="445">
        <f t="shared" si="20"/>
        <v>0</v>
      </c>
      <c r="U50" s="445">
        <f t="shared" si="20"/>
        <v>0</v>
      </c>
      <c r="V50" s="445">
        <f t="shared" si="20"/>
        <v>0</v>
      </c>
      <c r="W50" s="445">
        <f t="shared" si="20"/>
        <v>0</v>
      </c>
      <c r="X50" s="445">
        <f t="shared" si="20"/>
        <v>0</v>
      </c>
      <c r="Y50" s="445">
        <f t="shared" si="20"/>
        <v>0</v>
      </c>
      <c r="Z50" s="445">
        <f t="shared" si="20"/>
        <v>0</v>
      </c>
      <c r="AA50" s="445">
        <f t="shared" si="20"/>
        <v>0</v>
      </c>
      <c r="AB50" s="445">
        <f t="shared" si="20"/>
        <v>0</v>
      </c>
      <c r="AC50" s="445">
        <f t="shared" si="20"/>
        <v>0</v>
      </c>
      <c r="AD50" s="442"/>
      <c r="AE50" s="431"/>
      <c r="AF50" s="444" cm="1">
        <f t="array" ref="AF50">$E50*IFERROR(IF($D50&lt;=AF$8,INDEX($E$32:$E$37,MATCH(AF$8,$AF$8:$CA$8,0)-MATCH($D50,$D$45:$D$92,0)+1,0),0),1)</f>
        <v>0</v>
      </c>
      <c r="AG50" s="444" cm="1">
        <f t="array" ref="AG50">$E50*IFERROR(IF($D50&lt;=AG$8,INDEX($E$32:$E$37,MATCH(AG$8,$AF$8:$CA$8,0)-MATCH($D50,$D$45:$D$92,0)+1,0),0),1)</f>
        <v>0</v>
      </c>
      <c r="AH50" s="444" cm="1">
        <f t="array" ref="AH50">$E50*IFERROR(IF($D50&lt;=AH$8,INDEX($E$32:$E$37,MATCH(AH$8,$AF$8:$CA$8,0)-MATCH($D50,$D$45:$D$92,0)+1,0),0),1)</f>
        <v>0</v>
      </c>
      <c r="AI50" s="444" cm="1">
        <f t="array" ref="AI50">$E50*IFERROR(IF($D50&lt;=AI$8,INDEX($E$32:$E$37,MATCH(AI$8,$AF$8:$CA$8,0)-MATCH($D50,$D$45:$D$92,0)+1,0),0),1)</f>
        <v>0</v>
      </c>
      <c r="AJ50" s="444" cm="1">
        <f t="array" ref="AJ50">$E50*IFERROR(IF($D50&lt;=AJ$8,INDEX($E$32:$E$37,MATCH(AJ$8,$AF$8:$CA$8,0)-MATCH($D50,$D$45:$D$92,0)+1,0),0),1)</f>
        <v>0</v>
      </c>
      <c r="AK50" s="444" cm="1">
        <f t="array" ref="AK50">$E50*IFERROR(IF($D50&lt;=AK$8,INDEX($E$32:$E$37,MATCH(AK$8,$AF$8:$CA$8,0)-MATCH($D50,$D$45:$D$92,0)+1,0),0),1)</f>
        <v>0</v>
      </c>
      <c r="AL50" s="444" cm="1">
        <f t="array" ref="AL50">$E50*IFERROR(IF($D50&lt;=AL$8,INDEX($E$32:$E$37,MATCH(AL$8,$AF$8:$CA$8,0)-MATCH($D50,$D$45:$D$92,0)+1,0),0),1)</f>
        <v>0</v>
      </c>
      <c r="AM50" s="444" cm="1">
        <f t="array" ref="AM50">$E50*IFERROR(IF($D50&lt;=AM$8,INDEX($E$32:$E$37,MATCH(AM$8,$AF$8:$CA$8,0)-MATCH($D50,$D$45:$D$92,0)+1,0),0),1)</f>
        <v>0</v>
      </c>
      <c r="AN50" s="444" cm="1">
        <f t="array" ref="AN50">$E50*IFERROR(IF($D50&lt;=AN$8,INDEX($E$32:$E$37,MATCH(AN$8,$AF$8:$CA$8,0)-MATCH($D50,$D$45:$D$92,0)+1,0),0),1)</f>
        <v>0</v>
      </c>
      <c r="AO50" s="444" cm="1">
        <f t="array" ref="AO50">$E50*IFERROR(IF($D50&lt;=AO$8,INDEX($E$32:$E$37,MATCH(AO$8,$AF$8:$CA$8,0)-MATCH($D50,$D$45:$D$92,0)+1,0),0),1)</f>
        <v>0</v>
      </c>
      <c r="AP50" s="444" cm="1">
        <f t="array" ref="AP50">$E50*IFERROR(IF($D50&lt;=AP$8,INDEX($E$32:$E$37,MATCH(AP$8,$AF$8:$CA$8,0)-MATCH($D50,$D$45:$D$92,0)+1,0),0),1)</f>
        <v>0</v>
      </c>
      <c r="AQ50" s="444" cm="1">
        <f t="array" ref="AQ50">$E50*IFERROR(IF($D50&lt;=AQ$8,INDEX($E$32:$E$37,MATCH(AQ$8,$AF$8:$CA$8,0)-MATCH($D50,$D$45:$D$92,0)+1,0),0),1)</f>
        <v>0</v>
      </c>
      <c r="AR50" s="444" cm="1">
        <f t="array" ref="AR50">$E50*IFERROR(IF($D50&lt;=AR$8,INDEX($E$32:$E$37,MATCH(AR$8,$AF$8:$CA$8,0)-MATCH($D50,$D$45:$D$92,0)+1,0),0),1)</f>
        <v>0</v>
      </c>
      <c r="AS50" s="444" cm="1">
        <f t="array" ref="AS50">$E50*IFERROR(IF($D50&lt;=AS$8,INDEX($E$32:$E$37,MATCH(AS$8,$AF$8:$CA$8,0)-MATCH($D50,$D$45:$D$92,0)+1,0),0),1)</f>
        <v>0</v>
      </c>
      <c r="AT50" s="444" cm="1">
        <f t="array" ref="AT50">$E50*IFERROR(IF($D50&lt;=AT$8,INDEX($E$32:$E$37,MATCH(AT$8,$AF$8:$CA$8,0)-MATCH($D50,$D$45:$D$92,0)+1,0),0),1)</f>
        <v>0</v>
      </c>
      <c r="AU50" s="444" cm="1">
        <f t="array" ref="AU50">$E50*IFERROR(IF($D50&lt;=AU$8,INDEX($E$32:$E$37,MATCH(AU$8,$AF$8:$CA$8,0)-MATCH($D50,$D$45:$D$92,0)+1,0),0),1)</f>
        <v>0</v>
      </c>
      <c r="AV50" s="444" cm="1">
        <f t="array" ref="AV50">$E50*IFERROR(IF($D50&lt;=AV$8,INDEX($E$32:$E$37,MATCH(AV$8,$AF$8:$CA$8,0)-MATCH($D50,$D$45:$D$92,0)+1,0),0),1)</f>
        <v>0</v>
      </c>
      <c r="AW50" s="444" cm="1">
        <f t="array" ref="AW50">$E50*IFERROR(IF($D50&lt;=AW$8,INDEX($E$32:$E$37,MATCH(AW$8,$AF$8:$CA$8,0)-MATCH($D50,$D$45:$D$92,0)+1,0),0),1)</f>
        <v>0</v>
      </c>
      <c r="AX50" s="444" cm="1">
        <f t="array" ref="AX50">$E50*IFERROR(IF($D50&lt;=AX$8,INDEX($E$32:$E$37,MATCH(AX$8,$AF$8:$CA$8,0)-MATCH($D50,$D$45:$D$92,0)+1,0),0),1)</f>
        <v>0</v>
      </c>
      <c r="AY50" s="444" cm="1">
        <f t="array" ref="AY50">$E50*IFERROR(IF($D50&lt;=AY$8,INDEX($E$32:$E$37,MATCH(AY$8,$AF$8:$CA$8,0)-MATCH($D50,$D$45:$D$92,0)+1,0),0),1)</f>
        <v>0</v>
      </c>
      <c r="AZ50" s="444" cm="1">
        <f t="array" ref="AZ50">$E50*IFERROR(IF($D50&lt;=AZ$8,INDEX($E$32:$E$37,MATCH(AZ$8,$AF$8:$CA$8,0)-MATCH($D50,$D$45:$D$92,0)+1,0),0),1)</f>
        <v>0</v>
      </c>
      <c r="BA50" s="444" cm="1">
        <f t="array" ref="BA50">$E50*IFERROR(IF($D50&lt;=BA$8,INDEX($E$32:$E$37,MATCH(BA$8,$AF$8:$CA$8,0)-MATCH($D50,$D$45:$D$92,0)+1,0),0),1)</f>
        <v>0</v>
      </c>
      <c r="BB50" s="444" cm="1">
        <f t="array" ref="BB50">$E50*IFERROR(IF($D50&lt;=BB$8,INDEX($E$32:$E$37,MATCH(BB$8,$AF$8:$CA$8,0)-MATCH($D50,$D$45:$D$92,0)+1,0),0),1)</f>
        <v>0</v>
      </c>
      <c r="BC50" s="444" cm="1">
        <f t="array" ref="BC50">$E50*IFERROR(IF($D50&lt;=BC$8,INDEX($E$32:$E$37,MATCH(BC$8,$AF$8:$CA$8,0)-MATCH($D50,$D$45:$D$92,0)+1,0),0),1)</f>
        <v>0</v>
      </c>
      <c r="BD50" s="444" cm="1">
        <f t="array" ref="BD50">$E50*IFERROR(IF($D50&lt;=BD$8,INDEX($E$32:$E$37,MATCH(BD$8,$AF$8:$CA$8,0)-MATCH($D50,$D$45:$D$92,0)+1,0),0),1)</f>
        <v>0</v>
      </c>
      <c r="BE50" s="444" cm="1">
        <f t="array" ref="BE50">$E50*IFERROR(IF($D50&lt;=BE$8,INDEX($E$32:$E$37,MATCH(BE$8,$AF$8:$CA$8,0)-MATCH($D50,$D$45:$D$92,0)+1,0),0),1)</f>
        <v>0</v>
      </c>
      <c r="BF50" s="444" cm="1">
        <f t="array" ref="BF50">$E50*IFERROR(IF($D50&lt;=BF$8,INDEX($E$32:$E$37,MATCH(BF$8,$AF$8:$CA$8,0)-MATCH($D50,$D$45:$D$92,0)+1,0),0),1)</f>
        <v>0</v>
      </c>
      <c r="BG50" s="444" cm="1">
        <f t="array" ref="BG50">$E50*IFERROR(IF($D50&lt;=BG$8,INDEX($E$32:$E$37,MATCH(BG$8,$AF$8:$CA$8,0)-MATCH($D50,$D$45:$D$92,0)+1,0),0),1)</f>
        <v>0</v>
      </c>
      <c r="BH50" s="444" cm="1">
        <f t="array" ref="BH50">$E50*IFERROR(IF($D50&lt;=BH$8,INDEX($E$32:$E$37,MATCH(BH$8,$AF$8:$CA$8,0)-MATCH($D50,$D$45:$D$92,0)+1,0),0),1)</f>
        <v>0</v>
      </c>
      <c r="BI50" s="444" cm="1">
        <f t="array" ref="BI50">$E50*IFERROR(IF($D50&lt;=BI$8,INDEX($E$32:$E$37,MATCH(BI$8,$AF$8:$CA$8,0)-MATCH($D50,$D$45:$D$92,0)+1,0),0),1)</f>
        <v>0</v>
      </c>
      <c r="BJ50" s="444" cm="1">
        <f t="array" ref="BJ50">$E50*IFERROR(IF($D50&lt;=BJ$8,INDEX($E$32:$E$37,MATCH(BJ$8,$AF$8:$CA$8,0)-MATCH($D50,$D$45:$D$92,0)+1,0),0),1)</f>
        <v>0</v>
      </c>
      <c r="BK50" s="444" cm="1">
        <f t="array" ref="BK50">$E50*IFERROR(IF($D50&lt;=BK$8,INDEX($E$32:$E$37,MATCH(BK$8,$AF$8:$CA$8,0)-MATCH($D50,$D$45:$D$92,0)+1,0),0),1)</f>
        <v>0</v>
      </c>
      <c r="BL50" s="444" cm="1">
        <f t="array" ref="BL50">$E50*IFERROR(IF($D50&lt;=BL$8,INDEX($E$32:$E$37,MATCH(BL$8,$AF$8:$CA$8,0)-MATCH($D50,$D$45:$D$92,0)+1,0),0),1)</f>
        <v>0</v>
      </c>
      <c r="BM50" s="444" cm="1">
        <f t="array" ref="BM50">$E50*IFERROR(IF($D50&lt;=BM$8,INDEX($E$32:$E$37,MATCH(BM$8,$AF$8:$CA$8,0)-MATCH($D50,$D$45:$D$92,0)+1,0),0),1)</f>
        <v>0</v>
      </c>
      <c r="BN50" s="444" cm="1">
        <f t="array" ref="BN50">$E50*IFERROR(IF($D50&lt;=BN$8,INDEX($E$32:$E$37,MATCH(BN$8,$AF$8:$CA$8,0)-MATCH($D50,$D$45:$D$92,0)+1,0),0),1)</f>
        <v>0</v>
      </c>
      <c r="BO50" s="444" cm="1">
        <f t="array" ref="BO50">$E50*IFERROR(IF($D50&lt;=BO$8,INDEX($E$32:$E$37,MATCH(BO$8,$AF$8:$CA$8,0)-MATCH($D50,$D$45:$D$92,0)+1,0),0),1)</f>
        <v>0</v>
      </c>
      <c r="BP50" s="444" cm="1">
        <f t="array" ref="BP50">$E50*IFERROR(IF($D50&lt;=BP$8,INDEX($E$32:$E$37,MATCH(BP$8,$AF$8:$CA$8,0)-MATCH($D50,$D$45:$D$92,0)+1,0),0),1)</f>
        <v>0</v>
      </c>
      <c r="BQ50" s="444" cm="1">
        <f t="array" ref="BQ50">$E50*IFERROR(IF($D50&lt;=BQ$8,INDEX($E$32:$E$37,MATCH(BQ$8,$AF$8:$CA$8,0)-MATCH($D50,$D$45:$D$92,0)+1,0),0),1)</f>
        <v>0</v>
      </c>
      <c r="BR50" s="444" cm="1">
        <f t="array" ref="BR50">$E50*IFERROR(IF($D50&lt;=BR$8,INDEX($E$32:$E$37,MATCH(BR$8,$AF$8:$CA$8,0)-MATCH($D50,$D$45:$D$92,0)+1,0),0),1)</f>
        <v>0</v>
      </c>
      <c r="BS50" s="444" cm="1">
        <f t="array" ref="BS50">$E50*IFERROR(IF($D50&lt;=BS$8,INDEX($E$32:$E$37,MATCH(BS$8,$AF$8:$CA$8,0)-MATCH($D50,$D$45:$D$92,0)+1,0),0),1)</f>
        <v>0</v>
      </c>
      <c r="BT50" s="444" cm="1">
        <f t="array" ref="BT50">$E50*IFERROR(IF($D50&lt;=BT$8,INDEX($E$32:$E$37,MATCH(BT$8,$AF$8:$CA$8,0)-MATCH($D50,$D$45:$D$92,0)+1,0),0),1)</f>
        <v>0</v>
      </c>
      <c r="BU50" s="444" cm="1">
        <f t="array" ref="BU50">$E50*IFERROR(IF($D50&lt;=BU$8,INDEX($E$32:$E$37,MATCH(BU$8,$AF$8:$CA$8,0)-MATCH($D50,$D$45:$D$92,0)+1,0),0),1)</f>
        <v>0</v>
      </c>
      <c r="BV50" s="444" cm="1">
        <f t="array" ref="BV50">$E50*IFERROR(IF($D50&lt;=BV$8,INDEX($E$32:$E$37,MATCH(BV$8,$AF$8:$CA$8,0)-MATCH($D50,$D$45:$D$92,0)+1,0),0),1)</f>
        <v>0</v>
      </c>
      <c r="BW50" s="444" cm="1">
        <f t="array" ref="BW50">$E50*IFERROR(IF($D50&lt;=BW$8,INDEX($E$32:$E$37,MATCH(BW$8,$AF$8:$CA$8,0)-MATCH($D50,$D$45:$D$92,0)+1,0),0),1)</f>
        <v>0</v>
      </c>
      <c r="BX50" s="444" cm="1">
        <f t="array" ref="BX50">$E50*IFERROR(IF($D50&lt;=BX$8,INDEX($E$32:$E$37,MATCH(BX$8,$AF$8:$CA$8,0)-MATCH($D50,$D$45:$D$92,0)+1,0),0),1)</f>
        <v>0</v>
      </c>
      <c r="BY50" s="444" cm="1">
        <f t="array" ref="BY50">$E50*IFERROR(IF($D50&lt;=BY$8,INDEX($E$32:$E$37,MATCH(BY$8,$AF$8:$CA$8,0)-MATCH($D50,$D$45:$D$92,0)+1,0),0),1)</f>
        <v>0</v>
      </c>
      <c r="BZ50" s="444" cm="1">
        <f t="array" ref="BZ50">$E50*IFERROR(IF($D50&lt;=BZ$8,INDEX($E$32:$E$37,MATCH(BZ$8,$AF$8:$CA$8,0)-MATCH($D50,$D$45:$D$92,0)+1,0),0),1)</f>
        <v>0</v>
      </c>
      <c r="CA50" s="444" cm="1">
        <f t="array" ref="CA50">$E50*IFERROR(IF($D50&lt;=CA$8,INDEX($E$32:$E$37,MATCH(CA$8,$AF$8:$CA$8,0)-MATCH($D50,$D$45:$D$92,0)+1,0),0),1)</f>
        <v>0</v>
      </c>
    </row>
    <row r="51" spans="4:79" ht="21" hidden="1" customHeight="1" outlineLevel="3">
      <c r="D51" s="374">
        <f t="shared" si="21"/>
        <v>45138</v>
      </c>
      <c r="E51" s="446" cm="1">
        <f t="array" ref="E51">INDEX($AF$41:$CA$41,0,MATCH($D51,$AF$8:$CA$8,0))</f>
        <v>0</v>
      </c>
      <c r="G51" s="431"/>
      <c r="H51" s="445">
        <f t="shared" si="19"/>
        <v>0</v>
      </c>
      <c r="I51" s="445">
        <f t="shared" si="19"/>
        <v>0</v>
      </c>
      <c r="J51" s="445">
        <f t="shared" si="19"/>
        <v>0</v>
      </c>
      <c r="K51" s="445">
        <f t="shared" si="19"/>
        <v>0</v>
      </c>
      <c r="L51" s="442"/>
      <c r="M51" s="431"/>
      <c r="N51" s="445">
        <f t="shared" si="20"/>
        <v>0</v>
      </c>
      <c r="O51" s="445">
        <f t="shared" si="20"/>
        <v>0</v>
      </c>
      <c r="P51" s="445">
        <f t="shared" si="20"/>
        <v>0</v>
      </c>
      <c r="Q51" s="445">
        <f t="shared" si="20"/>
        <v>0</v>
      </c>
      <c r="R51" s="445">
        <f t="shared" si="20"/>
        <v>0</v>
      </c>
      <c r="S51" s="445">
        <f t="shared" si="20"/>
        <v>0</v>
      </c>
      <c r="T51" s="445">
        <f t="shared" si="20"/>
        <v>0</v>
      </c>
      <c r="U51" s="445">
        <f t="shared" si="20"/>
        <v>0</v>
      </c>
      <c r="V51" s="445">
        <f t="shared" si="20"/>
        <v>0</v>
      </c>
      <c r="W51" s="445">
        <f t="shared" si="20"/>
        <v>0</v>
      </c>
      <c r="X51" s="445">
        <f t="shared" si="20"/>
        <v>0</v>
      </c>
      <c r="Y51" s="445">
        <f t="shared" si="20"/>
        <v>0</v>
      </c>
      <c r="Z51" s="445">
        <f t="shared" si="20"/>
        <v>0</v>
      </c>
      <c r="AA51" s="445">
        <f t="shared" si="20"/>
        <v>0</v>
      </c>
      <c r="AB51" s="445">
        <f t="shared" si="20"/>
        <v>0</v>
      </c>
      <c r="AC51" s="445">
        <f t="shared" si="20"/>
        <v>0</v>
      </c>
      <c r="AD51" s="442"/>
      <c r="AE51" s="431"/>
      <c r="AF51" s="444" cm="1">
        <f t="array" ref="AF51">$E51*IFERROR(IF($D51&lt;=AF$8,INDEX($E$32:$E$37,MATCH(AF$8,$AF$8:$CA$8,0)-MATCH($D51,$D$45:$D$92,0)+1,0),0),1)</f>
        <v>0</v>
      </c>
      <c r="AG51" s="444" cm="1">
        <f t="array" ref="AG51">$E51*IFERROR(IF($D51&lt;=AG$8,INDEX($E$32:$E$37,MATCH(AG$8,$AF$8:$CA$8,0)-MATCH($D51,$D$45:$D$92,0)+1,0),0),1)</f>
        <v>0</v>
      </c>
      <c r="AH51" s="444" cm="1">
        <f t="array" ref="AH51">$E51*IFERROR(IF($D51&lt;=AH$8,INDEX($E$32:$E$37,MATCH(AH$8,$AF$8:$CA$8,0)-MATCH($D51,$D$45:$D$92,0)+1,0),0),1)</f>
        <v>0</v>
      </c>
      <c r="AI51" s="444" cm="1">
        <f t="array" ref="AI51">$E51*IFERROR(IF($D51&lt;=AI$8,INDEX($E$32:$E$37,MATCH(AI$8,$AF$8:$CA$8,0)-MATCH($D51,$D$45:$D$92,0)+1,0),0),1)</f>
        <v>0</v>
      </c>
      <c r="AJ51" s="444" cm="1">
        <f t="array" ref="AJ51">$E51*IFERROR(IF($D51&lt;=AJ$8,INDEX($E$32:$E$37,MATCH(AJ$8,$AF$8:$CA$8,0)-MATCH($D51,$D$45:$D$92,0)+1,0),0),1)</f>
        <v>0</v>
      </c>
      <c r="AK51" s="444" cm="1">
        <f t="array" ref="AK51">$E51*IFERROR(IF($D51&lt;=AK$8,INDEX($E$32:$E$37,MATCH(AK$8,$AF$8:$CA$8,0)-MATCH($D51,$D$45:$D$92,0)+1,0),0),1)</f>
        <v>0</v>
      </c>
      <c r="AL51" s="444" cm="1">
        <f t="array" ref="AL51">$E51*IFERROR(IF($D51&lt;=AL$8,INDEX($E$32:$E$37,MATCH(AL$8,$AF$8:$CA$8,0)-MATCH($D51,$D$45:$D$92,0)+1,0),0),1)</f>
        <v>0</v>
      </c>
      <c r="AM51" s="444" cm="1">
        <f t="array" ref="AM51">$E51*IFERROR(IF($D51&lt;=AM$8,INDEX($E$32:$E$37,MATCH(AM$8,$AF$8:$CA$8,0)-MATCH($D51,$D$45:$D$92,0)+1,0),0),1)</f>
        <v>0</v>
      </c>
      <c r="AN51" s="444" cm="1">
        <f t="array" ref="AN51">$E51*IFERROR(IF($D51&lt;=AN$8,INDEX($E$32:$E$37,MATCH(AN$8,$AF$8:$CA$8,0)-MATCH($D51,$D$45:$D$92,0)+1,0),0),1)</f>
        <v>0</v>
      </c>
      <c r="AO51" s="444" cm="1">
        <f t="array" ref="AO51">$E51*IFERROR(IF($D51&lt;=AO$8,INDEX($E$32:$E$37,MATCH(AO$8,$AF$8:$CA$8,0)-MATCH($D51,$D$45:$D$92,0)+1,0),0),1)</f>
        <v>0</v>
      </c>
      <c r="AP51" s="444" cm="1">
        <f t="array" ref="AP51">$E51*IFERROR(IF($D51&lt;=AP$8,INDEX($E$32:$E$37,MATCH(AP$8,$AF$8:$CA$8,0)-MATCH($D51,$D$45:$D$92,0)+1,0),0),1)</f>
        <v>0</v>
      </c>
      <c r="AQ51" s="444" cm="1">
        <f t="array" ref="AQ51">$E51*IFERROR(IF($D51&lt;=AQ$8,INDEX($E$32:$E$37,MATCH(AQ$8,$AF$8:$CA$8,0)-MATCH($D51,$D$45:$D$92,0)+1,0),0),1)</f>
        <v>0</v>
      </c>
      <c r="AR51" s="444" cm="1">
        <f t="array" ref="AR51">$E51*IFERROR(IF($D51&lt;=AR$8,INDEX($E$32:$E$37,MATCH(AR$8,$AF$8:$CA$8,0)-MATCH($D51,$D$45:$D$92,0)+1,0),0),1)</f>
        <v>0</v>
      </c>
      <c r="AS51" s="444" cm="1">
        <f t="array" ref="AS51">$E51*IFERROR(IF($D51&lt;=AS$8,INDEX($E$32:$E$37,MATCH(AS$8,$AF$8:$CA$8,0)-MATCH($D51,$D$45:$D$92,0)+1,0),0),1)</f>
        <v>0</v>
      </c>
      <c r="AT51" s="444" cm="1">
        <f t="array" ref="AT51">$E51*IFERROR(IF($D51&lt;=AT$8,INDEX($E$32:$E$37,MATCH(AT$8,$AF$8:$CA$8,0)-MATCH($D51,$D$45:$D$92,0)+1,0),0),1)</f>
        <v>0</v>
      </c>
      <c r="AU51" s="444" cm="1">
        <f t="array" ref="AU51">$E51*IFERROR(IF($D51&lt;=AU$8,INDEX($E$32:$E$37,MATCH(AU$8,$AF$8:$CA$8,0)-MATCH($D51,$D$45:$D$92,0)+1,0),0),1)</f>
        <v>0</v>
      </c>
      <c r="AV51" s="444" cm="1">
        <f t="array" ref="AV51">$E51*IFERROR(IF($D51&lt;=AV$8,INDEX($E$32:$E$37,MATCH(AV$8,$AF$8:$CA$8,0)-MATCH($D51,$D$45:$D$92,0)+1,0),0),1)</f>
        <v>0</v>
      </c>
      <c r="AW51" s="444" cm="1">
        <f t="array" ref="AW51">$E51*IFERROR(IF($D51&lt;=AW$8,INDEX($E$32:$E$37,MATCH(AW$8,$AF$8:$CA$8,0)-MATCH($D51,$D$45:$D$92,0)+1,0),0),1)</f>
        <v>0</v>
      </c>
      <c r="AX51" s="444" cm="1">
        <f t="array" ref="AX51">$E51*IFERROR(IF($D51&lt;=AX$8,INDEX($E$32:$E$37,MATCH(AX$8,$AF$8:$CA$8,0)-MATCH($D51,$D$45:$D$92,0)+1,0),0),1)</f>
        <v>0</v>
      </c>
      <c r="AY51" s="444" cm="1">
        <f t="array" ref="AY51">$E51*IFERROR(IF($D51&lt;=AY$8,INDEX($E$32:$E$37,MATCH(AY$8,$AF$8:$CA$8,0)-MATCH($D51,$D$45:$D$92,0)+1,0),0),1)</f>
        <v>0</v>
      </c>
      <c r="AZ51" s="444" cm="1">
        <f t="array" ref="AZ51">$E51*IFERROR(IF($D51&lt;=AZ$8,INDEX($E$32:$E$37,MATCH(AZ$8,$AF$8:$CA$8,0)-MATCH($D51,$D$45:$D$92,0)+1,0),0),1)</f>
        <v>0</v>
      </c>
      <c r="BA51" s="444" cm="1">
        <f t="array" ref="BA51">$E51*IFERROR(IF($D51&lt;=BA$8,INDEX($E$32:$E$37,MATCH(BA$8,$AF$8:$CA$8,0)-MATCH($D51,$D$45:$D$92,0)+1,0),0),1)</f>
        <v>0</v>
      </c>
      <c r="BB51" s="444" cm="1">
        <f t="array" ref="BB51">$E51*IFERROR(IF($D51&lt;=BB$8,INDEX($E$32:$E$37,MATCH(BB$8,$AF$8:$CA$8,0)-MATCH($D51,$D$45:$D$92,0)+1,0),0),1)</f>
        <v>0</v>
      </c>
      <c r="BC51" s="444" cm="1">
        <f t="array" ref="BC51">$E51*IFERROR(IF($D51&lt;=BC$8,INDEX($E$32:$E$37,MATCH(BC$8,$AF$8:$CA$8,0)-MATCH($D51,$D$45:$D$92,0)+1,0),0),1)</f>
        <v>0</v>
      </c>
      <c r="BD51" s="444" cm="1">
        <f t="array" ref="BD51">$E51*IFERROR(IF($D51&lt;=BD$8,INDEX($E$32:$E$37,MATCH(BD$8,$AF$8:$CA$8,0)-MATCH($D51,$D$45:$D$92,0)+1,0),0),1)</f>
        <v>0</v>
      </c>
      <c r="BE51" s="444" cm="1">
        <f t="array" ref="BE51">$E51*IFERROR(IF($D51&lt;=BE$8,INDEX($E$32:$E$37,MATCH(BE$8,$AF$8:$CA$8,0)-MATCH($D51,$D$45:$D$92,0)+1,0),0),1)</f>
        <v>0</v>
      </c>
      <c r="BF51" s="444" cm="1">
        <f t="array" ref="BF51">$E51*IFERROR(IF($D51&lt;=BF$8,INDEX($E$32:$E$37,MATCH(BF$8,$AF$8:$CA$8,0)-MATCH($D51,$D$45:$D$92,0)+1,0),0),1)</f>
        <v>0</v>
      </c>
      <c r="BG51" s="444" cm="1">
        <f t="array" ref="BG51">$E51*IFERROR(IF($D51&lt;=BG$8,INDEX($E$32:$E$37,MATCH(BG$8,$AF$8:$CA$8,0)-MATCH($D51,$D$45:$D$92,0)+1,0),0),1)</f>
        <v>0</v>
      </c>
      <c r="BH51" s="444" cm="1">
        <f t="array" ref="BH51">$E51*IFERROR(IF($D51&lt;=BH$8,INDEX($E$32:$E$37,MATCH(BH$8,$AF$8:$CA$8,0)-MATCH($D51,$D$45:$D$92,0)+1,0),0),1)</f>
        <v>0</v>
      </c>
      <c r="BI51" s="444" cm="1">
        <f t="array" ref="BI51">$E51*IFERROR(IF($D51&lt;=BI$8,INDEX($E$32:$E$37,MATCH(BI$8,$AF$8:$CA$8,0)-MATCH($D51,$D$45:$D$92,0)+1,0),0),1)</f>
        <v>0</v>
      </c>
      <c r="BJ51" s="444" cm="1">
        <f t="array" ref="BJ51">$E51*IFERROR(IF($D51&lt;=BJ$8,INDEX($E$32:$E$37,MATCH(BJ$8,$AF$8:$CA$8,0)-MATCH($D51,$D$45:$D$92,0)+1,0),0),1)</f>
        <v>0</v>
      </c>
      <c r="BK51" s="444" cm="1">
        <f t="array" ref="BK51">$E51*IFERROR(IF($D51&lt;=BK$8,INDEX($E$32:$E$37,MATCH(BK$8,$AF$8:$CA$8,0)-MATCH($D51,$D$45:$D$92,0)+1,0),0),1)</f>
        <v>0</v>
      </c>
      <c r="BL51" s="444" cm="1">
        <f t="array" ref="BL51">$E51*IFERROR(IF($D51&lt;=BL$8,INDEX($E$32:$E$37,MATCH(BL$8,$AF$8:$CA$8,0)-MATCH($D51,$D$45:$D$92,0)+1,0),0),1)</f>
        <v>0</v>
      </c>
      <c r="BM51" s="444" cm="1">
        <f t="array" ref="BM51">$E51*IFERROR(IF($D51&lt;=BM$8,INDEX($E$32:$E$37,MATCH(BM$8,$AF$8:$CA$8,0)-MATCH($D51,$D$45:$D$92,0)+1,0),0),1)</f>
        <v>0</v>
      </c>
      <c r="BN51" s="444" cm="1">
        <f t="array" ref="BN51">$E51*IFERROR(IF($D51&lt;=BN$8,INDEX($E$32:$E$37,MATCH(BN$8,$AF$8:$CA$8,0)-MATCH($D51,$D$45:$D$92,0)+1,0),0),1)</f>
        <v>0</v>
      </c>
      <c r="BO51" s="444" cm="1">
        <f t="array" ref="BO51">$E51*IFERROR(IF($D51&lt;=BO$8,INDEX($E$32:$E$37,MATCH(BO$8,$AF$8:$CA$8,0)-MATCH($D51,$D$45:$D$92,0)+1,0),0),1)</f>
        <v>0</v>
      </c>
      <c r="BP51" s="444" cm="1">
        <f t="array" ref="BP51">$E51*IFERROR(IF($D51&lt;=BP$8,INDEX($E$32:$E$37,MATCH(BP$8,$AF$8:$CA$8,0)-MATCH($D51,$D$45:$D$92,0)+1,0),0),1)</f>
        <v>0</v>
      </c>
      <c r="BQ51" s="444" cm="1">
        <f t="array" ref="BQ51">$E51*IFERROR(IF($D51&lt;=BQ$8,INDEX($E$32:$E$37,MATCH(BQ$8,$AF$8:$CA$8,0)-MATCH($D51,$D$45:$D$92,0)+1,0),0),1)</f>
        <v>0</v>
      </c>
      <c r="BR51" s="444" cm="1">
        <f t="array" ref="BR51">$E51*IFERROR(IF($D51&lt;=BR$8,INDEX($E$32:$E$37,MATCH(BR$8,$AF$8:$CA$8,0)-MATCH($D51,$D$45:$D$92,0)+1,0),0),1)</f>
        <v>0</v>
      </c>
      <c r="BS51" s="444" cm="1">
        <f t="array" ref="BS51">$E51*IFERROR(IF($D51&lt;=BS$8,INDEX($E$32:$E$37,MATCH(BS$8,$AF$8:$CA$8,0)-MATCH($D51,$D$45:$D$92,0)+1,0),0),1)</f>
        <v>0</v>
      </c>
      <c r="BT51" s="444" cm="1">
        <f t="array" ref="BT51">$E51*IFERROR(IF($D51&lt;=BT$8,INDEX($E$32:$E$37,MATCH(BT$8,$AF$8:$CA$8,0)-MATCH($D51,$D$45:$D$92,0)+1,0),0),1)</f>
        <v>0</v>
      </c>
      <c r="BU51" s="444" cm="1">
        <f t="array" ref="BU51">$E51*IFERROR(IF($D51&lt;=BU$8,INDEX($E$32:$E$37,MATCH(BU$8,$AF$8:$CA$8,0)-MATCH($D51,$D$45:$D$92,0)+1,0),0),1)</f>
        <v>0</v>
      </c>
      <c r="BV51" s="444" cm="1">
        <f t="array" ref="BV51">$E51*IFERROR(IF($D51&lt;=BV$8,INDEX($E$32:$E$37,MATCH(BV$8,$AF$8:$CA$8,0)-MATCH($D51,$D$45:$D$92,0)+1,0),0),1)</f>
        <v>0</v>
      </c>
      <c r="BW51" s="444" cm="1">
        <f t="array" ref="BW51">$E51*IFERROR(IF($D51&lt;=BW$8,INDEX($E$32:$E$37,MATCH(BW$8,$AF$8:$CA$8,0)-MATCH($D51,$D$45:$D$92,0)+1,0),0),1)</f>
        <v>0</v>
      </c>
      <c r="BX51" s="444" cm="1">
        <f t="array" ref="BX51">$E51*IFERROR(IF($D51&lt;=BX$8,INDEX($E$32:$E$37,MATCH(BX$8,$AF$8:$CA$8,0)-MATCH($D51,$D$45:$D$92,0)+1,0),0),1)</f>
        <v>0</v>
      </c>
      <c r="BY51" s="444" cm="1">
        <f t="array" ref="BY51">$E51*IFERROR(IF($D51&lt;=BY$8,INDEX($E$32:$E$37,MATCH(BY$8,$AF$8:$CA$8,0)-MATCH($D51,$D$45:$D$92,0)+1,0),0),1)</f>
        <v>0</v>
      </c>
      <c r="BZ51" s="444" cm="1">
        <f t="array" ref="BZ51">$E51*IFERROR(IF($D51&lt;=BZ$8,INDEX($E$32:$E$37,MATCH(BZ$8,$AF$8:$CA$8,0)-MATCH($D51,$D$45:$D$92,0)+1,0),0),1)</f>
        <v>0</v>
      </c>
      <c r="CA51" s="444" cm="1">
        <f t="array" ref="CA51">$E51*IFERROR(IF($D51&lt;=CA$8,INDEX($E$32:$E$37,MATCH(CA$8,$AF$8:$CA$8,0)-MATCH($D51,$D$45:$D$92,0)+1,0),0),1)</f>
        <v>0</v>
      </c>
    </row>
    <row r="52" spans="4:79" ht="21" hidden="1" customHeight="1" outlineLevel="3">
      <c r="D52" s="374">
        <f t="shared" si="21"/>
        <v>45169</v>
      </c>
      <c r="E52" s="446" cm="1">
        <f t="array" ref="E52">INDEX($AF$41:$CA$41,0,MATCH($D52,$AF$8:$CA$8,0))</f>
        <v>0</v>
      </c>
      <c r="G52" s="431"/>
      <c r="H52" s="445">
        <f t="shared" si="19"/>
        <v>0</v>
      </c>
      <c r="I52" s="445">
        <f t="shared" si="19"/>
        <v>0</v>
      </c>
      <c r="J52" s="445">
        <f t="shared" si="19"/>
        <v>0</v>
      </c>
      <c r="K52" s="445">
        <f t="shared" si="19"/>
        <v>0</v>
      </c>
      <c r="L52" s="442"/>
      <c r="M52" s="431"/>
      <c r="N52" s="445">
        <f t="shared" si="20"/>
        <v>0</v>
      </c>
      <c r="O52" s="445">
        <f t="shared" si="20"/>
        <v>0</v>
      </c>
      <c r="P52" s="445">
        <f t="shared" si="20"/>
        <v>0</v>
      </c>
      <c r="Q52" s="445">
        <f t="shared" si="20"/>
        <v>0</v>
      </c>
      <c r="R52" s="445">
        <f t="shared" si="20"/>
        <v>0</v>
      </c>
      <c r="S52" s="445">
        <f t="shared" si="20"/>
        <v>0</v>
      </c>
      <c r="T52" s="445">
        <f t="shared" si="20"/>
        <v>0</v>
      </c>
      <c r="U52" s="445">
        <f t="shared" si="20"/>
        <v>0</v>
      </c>
      <c r="V52" s="445">
        <f t="shared" si="20"/>
        <v>0</v>
      </c>
      <c r="W52" s="445">
        <f t="shared" si="20"/>
        <v>0</v>
      </c>
      <c r="X52" s="445">
        <f t="shared" si="20"/>
        <v>0</v>
      </c>
      <c r="Y52" s="445">
        <f t="shared" si="20"/>
        <v>0</v>
      </c>
      <c r="Z52" s="445">
        <f t="shared" si="20"/>
        <v>0</v>
      </c>
      <c r="AA52" s="445">
        <f t="shared" si="20"/>
        <v>0</v>
      </c>
      <c r="AB52" s="445">
        <f t="shared" si="20"/>
        <v>0</v>
      </c>
      <c r="AC52" s="445">
        <f t="shared" si="20"/>
        <v>0</v>
      </c>
      <c r="AD52" s="442"/>
      <c r="AE52" s="431"/>
      <c r="AF52" s="444" cm="1">
        <f t="array" ref="AF52">$E52*IFERROR(IF($D52&lt;=AF$8,INDEX($E$32:$E$37,MATCH(AF$8,$AF$8:$CA$8,0)-MATCH($D52,$D$45:$D$92,0)+1,0),0),1)</f>
        <v>0</v>
      </c>
      <c r="AG52" s="444" cm="1">
        <f t="array" ref="AG52">$E52*IFERROR(IF($D52&lt;=AG$8,INDEX($E$32:$E$37,MATCH(AG$8,$AF$8:$CA$8,0)-MATCH($D52,$D$45:$D$92,0)+1,0),0),1)</f>
        <v>0</v>
      </c>
      <c r="AH52" s="444" cm="1">
        <f t="array" ref="AH52">$E52*IFERROR(IF($D52&lt;=AH$8,INDEX($E$32:$E$37,MATCH(AH$8,$AF$8:$CA$8,0)-MATCH($D52,$D$45:$D$92,0)+1,0),0),1)</f>
        <v>0</v>
      </c>
      <c r="AI52" s="444" cm="1">
        <f t="array" ref="AI52">$E52*IFERROR(IF($D52&lt;=AI$8,INDEX($E$32:$E$37,MATCH(AI$8,$AF$8:$CA$8,0)-MATCH($D52,$D$45:$D$92,0)+1,0),0),1)</f>
        <v>0</v>
      </c>
      <c r="AJ52" s="444" cm="1">
        <f t="array" ref="AJ52">$E52*IFERROR(IF($D52&lt;=AJ$8,INDEX($E$32:$E$37,MATCH(AJ$8,$AF$8:$CA$8,0)-MATCH($D52,$D$45:$D$92,0)+1,0),0),1)</f>
        <v>0</v>
      </c>
      <c r="AK52" s="444" cm="1">
        <f t="array" ref="AK52">$E52*IFERROR(IF($D52&lt;=AK$8,INDEX($E$32:$E$37,MATCH(AK$8,$AF$8:$CA$8,0)-MATCH($D52,$D$45:$D$92,0)+1,0),0),1)</f>
        <v>0</v>
      </c>
      <c r="AL52" s="444" cm="1">
        <f t="array" ref="AL52">$E52*IFERROR(IF($D52&lt;=AL$8,INDEX($E$32:$E$37,MATCH(AL$8,$AF$8:$CA$8,0)-MATCH($D52,$D$45:$D$92,0)+1,0),0),1)</f>
        <v>0</v>
      </c>
      <c r="AM52" s="444" cm="1">
        <f t="array" ref="AM52">$E52*IFERROR(IF($D52&lt;=AM$8,INDEX($E$32:$E$37,MATCH(AM$8,$AF$8:$CA$8,0)-MATCH($D52,$D$45:$D$92,0)+1,0),0),1)</f>
        <v>0</v>
      </c>
      <c r="AN52" s="444" cm="1">
        <f t="array" ref="AN52">$E52*IFERROR(IF($D52&lt;=AN$8,INDEX($E$32:$E$37,MATCH(AN$8,$AF$8:$CA$8,0)-MATCH($D52,$D$45:$D$92,0)+1,0),0),1)</f>
        <v>0</v>
      </c>
      <c r="AO52" s="444" cm="1">
        <f t="array" ref="AO52">$E52*IFERROR(IF($D52&lt;=AO$8,INDEX($E$32:$E$37,MATCH(AO$8,$AF$8:$CA$8,0)-MATCH($D52,$D$45:$D$92,0)+1,0),0),1)</f>
        <v>0</v>
      </c>
      <c r="AP52" s="444" cm="1">
        <f t="array" ref="AP52">$E52*IFERROR(IF($D52&lt;=AP$8,INDEX($E$32:$E$37,MATCH(AP$8,$AF$8:$CA$8,0)-MATCH($D52,$D$45:$D$92,0)+1,0),0),1)</f>
        <v>0</v>
      </c>
      <c r="AQ52" s="444" cm="1">
        <f t="array" ref="AQ52">$E52*IFERROR(IF($D52&lt;=AQ$8,INDEX($E$32:$E$37,MATCH(AQ$8,$AF$8:$CA$8,0)-MATCH($D52,$D$45:$D$92,0)+1,0),0),1)</f>
        <v>0</v>
      </c>
      <c r="AR52" s="444" cm="1">
        <f t="array" ref="AR52">$E52*IFERROR(IF($D52&lt;=AR$8,INDEX($E$32:$E$37,MATCH(AR$8,$AF$8:$CA$8,0)-MATCH($D52,$D$45:$D$92,0)+1,0),0),1)</f>
        <v>0</v>
      </c>
      <c r="AS52" s="444" cm="1">
        <f t="array" ref="AS52">$E52*IFERROR(IF($D52&lt;=AS$8,INDEX($E$32:$E$37,MATCH(AS$8,$AF$8:$CA$8,0)-MATCH($D52,$D$45:$D$92,0)+1,0),0),1)</f>
        <v>0</v>
      </c>
      <c r="AT52" s="444" cm="1">
        <f t="array" ref="AT52">$E52*IFERROR(IF($D52&lt;=AT$8,INDEX($E$32:$E$37,MATCH(AT$8,$AF$8:$CA$8,0)-MATCH($D52,$D$45:$D$92,0)+1,0),0),1)</f>
        <v>0</v>
      </c>
      <c r="AU52" s="444" cm="1">
        <f t="array" ref="AU52">$E52*IFERROR(IF($D52&lt;=AU$8,INDEX($E$32:$E$37,MATCH(AU$8,$AF$8:$CA$8,0)-MATCH($D52,$D$45:$D$92,0)+1,0),0),1)</f>
        <v>0</v>
      </c>
      <c r="AV52" s="444" cm="1">
        <f t="array" ref="AV52">$E52*IFERROR(IF($D52&lt;=AV$8,INDEX($E$32:$E$37,MATCH(AV$8,$AF$8:$CA$8,0)-MATCH($D52,$D$45:$D$92,0)+1,0),0),1)</f>
        <v>0</v>
      </c>
      <c r="AW52" s="444" cm="1">
        <f t="array" ref="AW52">$E52*IFERROR(IF($D52&lt;=AW$8,INDEX($E$32:$E$37,MATCH(AW$8,$AF$8:$CA$8,0)-MATCH($D52,$D$45:$D$92,0)+1,0),0),1)</f>
        <v>0</v>
      </c>
      <c r="AX52" s="444" cm="1">
        <f t="array" ref="AX52">$E52*IFERROR(IF($D52&lt;=AX$8,INDEX($E$32:$E$37,MATCH(AX$8,$AF$8:$CA$8,0)-MATCH($D52,$D$45:$D$92,0)+1,0),0),1)</f>
        <v>0</v>
      </c>
      <c r="AY52" s="444" cm="1">
        <f t="array" ref="AY52">$E52*IFERROR(IF($D52&lt;=AY$8,INDEX($E$32:$E$37,MATCH(AY$8,$AF$8:$CA$8,0)-MATCH($D52,$D$45:$D$92,0)+1,0),0),1)</f>
        <v>0</v>
      </c>
      <c r="AZ52" s="444" cm="1">
        <f t="array" ref="AZ52">$E52*IFERROR(IF($D52&lt;=AZ$8,INDEX($E$32:$E$37,MATCH(AZ$8,$AF$8:$CA$8,0)-MATCH($D52,$D$45:$D$92,0)+1,0),0),1)</f>
        <v>0</v>
      </c>
      <c r="BA52" s="444" cm="1">
        <f t="array" ref="BA52">$E52*IFERROR(IF($D52&lt;=BA$8,INDEX($E$32:$E$37,MATCH(BA$8,$AF$8:$CA$8,0)-MATCH($D52,$D$45:$D$92,0)+1,0),0),1)</f>
        <v>0</v>
      </c>
      <c r="BB52" s="444" cm="1">
        <f t="array" ref="BB52">$E52*IFERROR(IF($D52&lt;=BB$8,INDEX($E$32:$E$37,MATCH(BB$8,$AF$8:$CA$8,0)-MATCH($D52,$D$45:$D$92,0)+1,0),0),1)</f>
        <v>0</v>
      </c>
      <c r="BC52" s="444" cm="1">
        <f t="array" ref="BC52">$E52*IFERROR(IF($D52&lt;=BC$8,INDEX($E$32:$E$37,MATCH(BC$8,$AF$8:$CA$8,0)-MATCH($D52,$D$45:$D$92,0)+1,0),0),1)</f>
        <v>0</v>
      </c>
      <c r="BD52" s="444" cm="1">
        <f t="array" ref="BD52">$E52*IFERROR(IF($D52&lt;=BD$8,INDEX($E$32:$E$37,MATCH(BD$8,$AF$8:$CA$8,0)-MATCH($D52,$D$45:$D$92,0)+1,0),0),1)</f>
        <v>0</v>
      </c>
      <c r="BE52" s="444" cm="1">
        <f t="array" ref="BE52">$E52*IFERROR(IF($D52&lt;=BE$8,INDEX($E$32:$E$37,MATCH(BE$8,$AF$8:$CA$8,0)-MATCH($D52,$D$45:$D$92,0)+1,0),0),1)</f>
        <v>0</v>
      </c>
      <c r="BF52" s="444" cm="1">
        <f t="array" ref="BF52">$E52*IFERROR(IF($D52&lt;=BF$8,INDEX($E$32:$E$37,MATCH(BF$8,$AF$8:$CA$8,0)-MATCH($D52,$D$45:$D$92,0)+1,0),0),1)</f>
        <v>0</v>
      </c>
      <c r="BG52" s="444" cm="1">
        <f t="array" ref="BG52">$E52*IFERROR(IF($D52&lt;=BG$8,INDEX($E$32:$E$37,MATCH(BG$8,$AF$8:$CA$8,0)-MATCH($D52,$D$45:$D$92,0)+1,0),0),1)</f>
        <v>0</v>
      </c>
      <c r="BH52" s="444" cm="1">
        <f t="array" ref="BH52">$E52*IFERROR(IF($D52&lt;=BH$8,INDEX($E$32:$E$37,MATCH(BH$8,$AF$8:$CA$8,0)-MATCH($D52,$D$45:$D$92,0)+1,0),0),1)</f>
        <v>0</v>
      </c>
      <c r="BI52" s="444" cm="1">
        <f t="array" ref="BI52">$E52*IFERROR(IF($D52&lt;=BI$8,INDEX($E$32:$E$37,MATCH(BI$8,$AF$8:$CA$8,0)-MATCH($D52,$D$45:$D$92,0)+1,0),0),1)</f>
        <v>0</v>
      </c>
      <c r="BJ52" s="444" cm="1">
        <f t="array" ref="BJ52">$E52*IFERROR(IF($D52&lt;=BJ$8,INDEX($E$32:$E$37,MATCH(BJ$8,$AF$8:$CA$8,0)-MATCH($D52,$D$45:$D$92,0)+1,0),0),1)</f>
        <v>0</v>
      </c>
      <c r="BK52" s="444" cm="1">
        <f t="array" ref="BK52">$E52*IFERROR(IF($D52&lt;=BK$8,INDEX($E$32:$E$37,MATCH(BK$8,$AF$8:$CA$8,0)-MATCH($D52,$D$45:$D$92,0)+1,0),0),1)</f>
        <v>0</v>
      </c>
      <c r="BL52" s="444" cm="1">
        <f t="array" ref="BL52">$E52*IFERROR(IF($D52&lt;=BL$8,INDEX($E$32:$E$37,MATCH(BL$8,$AF$8:$CA$8,0)-MATCH($D52,$D$45:$D$92,0)+1,0),0),1)</f>
        <v>0</v>
      </c>
      <c r="BM52" s="444" cm="1">
        <f t="array" ref="BM52">$E52*IFERROR(IF($D52&lt;=BM$8,INDEX($E$32:$E$37,MATCH(BM$8,$AF$8:$CA$8,0)-MATCH($D52,$D$45:$D$92,0)+1,0),0),1)</f>
        <v>0</v>
      </c>
      <c r="BN52" s="444" cm="1">
        <f t="array" ref="BN52">$E52*IFERROR(IF($D52&lt;=BN$8,INDEX($E$32:$E$37,MATCH(BN$8,$AF$8:$CA$8,0)-MATCH($D52,$D$45:$D$92,0)+1,0),0),1)</f>
        <v>0</v>
      </c>
      <c r="BO52" s="444" cm="1">
        <f t="array" ref="BO52">$E52*IFERROR(IF($D52&lt;=BO$8,INDEX($E$32:$E$37,MATCH(BO$8,$AF$8:$CA$8,0)-MATCH($D52,$D$45:$D$92,0)+1,0),0),1)</f>
        <v>0</v>
      </c>
      <c r="BP52" s="444" cm="1">
        <f t="array" ref="BP52">$E52*IFERROR(IF($D52&lt;=BP$8,INDEX($E$32:$E$37,MATCH(BP$8,$AF$8:$CA$8,0)-MATCH($D52,$D$45:$D$92,0)+1,0),0),1)</f>
        <v>0</v>
      </c>
      <c r="BQ52" s="444" cm="1">
        <f t="array" ref="BQ52">$E52*IFERROR(IF($D52&lt;=BQ$8,INDEX($E$32:$E$37,MATCH(BQ$8,$AF$8:$CA$8,0)-MATCH($D52,$D$45:$D$92,0)+1,0),0),1)</f>
        <v>0</v>
      </c>
      <c r="BR52" s="444" cm="1">
        <f t="array" ref="BR52">$E52*IFERROR(IF($D52&lt;=BR$8,INDEX($E$32:$E$37,MATCH(BR$8,$AF$8:$CA$8,0)-MATCH($D52,$D$45:$D$92,0)+1,0),0),1)</f>
        <v>0</v>
      </c>
      <c r="BS52" s="444" cm="1">
        <f t="array" ref="BS52">$E52*IFERROR(IF($D52&lt;=BS$8,INDEX($E$32:$E$37,MATCH(BS$8,$AF$8:$CA$8,0)-MATCH($D52,$D$45:$D$92,0)+1,0),0),1)</f>
        <v>0</v>
      </c>
      <c r="BT52" s="444" cm="1">
        <f t="array" ref="BT52">$E52*IFERROR(IF($D52&lt;=BT$8,INDEX($E$32:$E$37,MATCH(BT$8,$AF$8:$CA$8,0)-MATCH($D52,$D$45:$D$92,0)+1,0),0),1)</f>
        <v>0</v>
      </c>
      <c r="BU52" s="444" cm="1">
        <f t="array" ref="BU52">$E52*IFERROR(IF($D52&lt;=BU$8,INDEX($E$32:$E$37,MATCH(BU$8,$AF$8:$CA$8,0)-MATCH($D52,$D$45:$D$92,0)+1,0),0),1)</f>
        <v>0</v>
      </c>
      <c r="BV52" s="444" cm="1">
        <f t="array" ref="BV52">$E52*IFERROR(IF($D52&lt;=BV$8,INDEX($E$32:$E$37,MATCH(BV$8,$AF$8:$CA$8,0)-MATCH($D52,$D$45:$D$92,0)+1,0),0),1)</f>
        <v>0</v>
      </c>
      <c r="BW52" s="444" cm="1">
        <f t="array" ref="BW52">$E52*IFERROR(IF($D52&lt;=BW$8,INDEX($E$32:$E$37,MATCH(BW$8,$AF$8:$CA$8,0)-MATCH($D52,$D$45:$D$92,0)+1,0),0),1)</f>
        <v>0</v>
      </c>
      <c r="BX52" s="444" cm="1">
        <f t="array" ref="BX52">$E52*IFERROR(IF($D52&lt;=BX$8,INDEX($E$32:$E$37,MATCH(BX$8,$AF$8:$CA$8,0)-MATCH($D52,$D$45:$D$92,0)+1,0),0),1)</f>
        <v>0</v>
      </c>
      <c r="BY52" s="444" cm="1">
        <f t="array" ref="BY52">$E52*IFERROR(IF($D52&lt;=BY$8,INDEX($E$32:$E$37,MATCH(BY$8,$AF$8:$CA$8,0)-MATCH($D52,$D$45:$D$92,0)+1,0),0),1)</f>
        <v>0</v>
      </c>
      <c r="BZ52" s="444" cm="1">
        <f t="array" ref="BZ52">$E52*IFERROR(IF($D52&lt;=BZ$8,INDEX($E$32:$E$37,MATCH(BZ$8,$AF$8:$CA$8,0)-MATCH($D52,$D$45:$D$92,0)+1,0),0),1)</f>
        <v>0</v>
      </c>
      <c r="CA52" s="444" cm="1">
        <f t="array" ref="CA52">$E52*IFERROR(IF($D52&lt;=CA$8,INDEX($E$32:$E$37,MATCH(CA$8,$AF$8:$CA$8,0)-MATCH($D52,$D$45:$D$92,0)+1,0),0),1)</f>
        <v>0</v>
      </c>
    </row>
    <row r="53" spans="4:79" ht="21" hidden="1" customHeight="1" outlineLevel="3">
      <c r="D53" s="374">
        <f t="shared" si="21"/>
        <v>45199</v>
      </c>
      <c r="E53" s="446" cm="1">
        <f t="array" ref="E53">INDEX($AF$41:$CA$41,0,MATCH($D53,$AF$8:$CA$8,0))</f>
        <v>0</v>
      </c>
      <c r="G53" s="431"/>
      <c r="H53" s="445">
        <f t="shared" si="19"/>
        <v>0</v>
      </c>
      <c r="I53" s="445">
        <f t="shared" si="19"/>
        <v>0</v>
      </c>
      <c r="J53" s="445">
        <f t="shared" si="19"/>
        <v>0</v>
      </c>
      <c r="K53" s="445">
        <f t="shared" si="19"/>
        <v>0</v>
      </c>
      <c r="L53" s="442"/>
      <c r="M53" s="431"/>
      <c r="N53" s="445">
        <f t="shared" si="20"/>
        <v>0</v>
      </c>
      <c r="O53" s="445">
        <f t="shared" si="20"/>
        <v>0</v>
      </c>
      <c r="P53" s="445">
        <f t="shared" si="20"/>
        <v>0</v>
      </c>
      <c r="Q53" s="445">
        <f t="shared" si="20"/>
        <v>0</v>
      </c>
      <c r="R53" s="445">
        <f t="shared" si="20"/>
        <v>0</v>
      </c>
      <c r="S53" s="445">
        <f t="shared" si="20"/>
        <v>0</v>
      </c>
      <c r="T53" s="445">
        <f t="shared" si="20"/>
        <v>0</v>
      </c>
      <c r="U53" s="445">
        <f t="shared" si="20"/>
        <v>0</v>
      </c>
      <c r="V53" s="445">
        <f t="shared" si="20"/>
        <v>0</v>
      </c>
      <c r="W53" s="445">
        <f t="shared" si="20"/>
        <v>0</v>
      </c>
      <c r="X53" s="445">
        <f t="shared" si="20"/>
        <v>0</v>
      </c>
      <c r="Y53" s="445">
        <f t="shared" si="20"/>
        <v>0</v>
      </c>
      <c r="Z53" s="445">
        <f t="shared" si="20"/>
        <v>0</v>
      </c>
      <c r="AA53" s="445">
        <f t="shared" si="20"/>
        <v>0</v>
      </c>
      <c r="AB53" s="445">
        <f t="shared" si="20"/>
        <v>0</v>
      </c>
      <c r="AC53" s="445">
        <f t="shared" si="20"/>
        <v>0</v>
      </c>
      <c r="AD53" s="442"/>
      <c r="AE53" s="431"/>
      <c r="AF53" s="444" cm="1">
        <f t="array" ref="AF53">$E53*IFERROR(IF($D53&lt;=AF$8,INDEX($E$32:$E$37,MATCH(AF$8,$AF$8:$CA$8,0)-MATCH($D53,$D$45:$D$92,0)+1,0),0),1)</f>
        <v>0</v>
      </c>
      <c r="AG53" s="444" cm="1">
        <f t="array" ref="AG53">$E53*IFERROR(IF($D53&lt;=AG$8,INDEX($E$32:$E$37,MATCH(AG$8,$AF$8:$CA$8,0)-MATCH($D53,$D$45:$D$92,0)+1,0),0),1)</f>
        <v>0</v>
      </c>
      <c r="AH53" s="444" cm="1">
        <f t="array" ref="AH53">$E53*IFERROR(IF($D53&lt;=AH$8,INDEX($E$32:$E$37,MATCH(AH$8,$AF$8:$CA$8,0)-MATCH($D53,$D$45:$D$92,0)+1,0),0),1)</f>
        <v>0</v>
      </c>
      <c r="AI53" s="444" cm="1">
        <f t="array" ref="AI53">$E53*IFERROR(IF($D53&lt;=AI$8,INDEX($E$32:$E$37,MATCH(AI$8,$AF$8:$CA$8,0)-MATCH($D53,$D$45:$D$92,0)+1,0),0),1)</f>
        <v>0</v>
      </c>
      <c r="AJ53" s="444" cm="1">
        <f t="array" ref="AJ53">$E53*IFERROR(IF($D53&lt;=AJ$8,INDEX($E$32:$E$37,MATCH(AJ$8,$AF$8:$CA$8,0)-MATCH($D53,$D$45:$D$92,0)+1,0),0),1)</f>
        <v>0</v>
      </c>
      <c r="AK53" s="444" cm="1">
        <f t="array" ref="AK53">$E53*IFERROR(IF($D53&lt;=AK$8,INDEX($E$32:$E$37,MATCH(AK$8,$AF$8:$CA$8,0)-MATCH($D53,$D$45:$D$92,0)+1,0),0),1)</f>
        <v>0</v>
      </c>
      <c r="AL53" s="444" cm="1">
        <f t="array" ref="AL53">$E53*IFERROR(IF($D53&lt;=AL$8,INDEX($E$32:$E$37,MATCH(AL$8,$AF$8:$CA$8,0)-MATCH($D53,$D$45:$D$92,0)+1,0),0),1)</f>
        <v>0</v>
      </c>
      <c r="AM53" s="444" cm="1">
        <f t="array" ref="AM53">$E53*IFERROR(IF($D53&lt;=AM$8,INDEX($E$32:$E$37,MATCH(AM$8,$AF$8:$CA$8,0)-MATCH($D53,$D$45:$D$92,0)+1,0),0),1)</f>
        <v>0</v>
      </c>
      <c r="AN53" s="444" cm="1">
        <f t="array" ref="AN53">$E53*IFERROR(IF($D53&lt;=AN$8,INDEX($E$32:$E$37,MATCH(AN$8,$AF$8:$CA$8,0)-MATCH($D53,$D$45:$D$92,0)+1,0),0),1)</f>
        <v>0</v>
      </c>
      <c r="AO53" s="444" cm="1">
        <f t="array" ref="AO53">$E53*IFERROR(IF($D53&lt;=AO$8,INDEX($E$32:$E$37,MATCH(AO$8,$AF$8:$CA$8,0)-MATCH($D53,$D$45:$D$92,0)+1,0),0),1)</f>
        <v>0</v>
      </c>
      <c r="AP53" s="444" cm="1">
        <f t="array" ref="AP53">$E53*IFERROR(IF($D53&lt;=AP$8,INDEX($E$32:$E$37,MATCH(AP$8,$AF$8:$CA$8,0)-MATCH($D53,$D$45:$D$92,0)+1,0),0),1)</f>
        <v>0</v>
      </c>
      <c r="AQ53" s="444" cm="1">
        <f t="array" ref="AQ53">$E53*IFERROR(IF($D53&lt;=AQ$8,INDEX($E$32:$E$37,MATCH(AQ$8,$AF$8:$CA$8,0)-MATCH($D53,$D$45:$D$92,0)+1,0),0),1)</f>
        <v>0</v>
      </c>
      <c r="AR53" s="444" cm="1">
        <f t="array" ref="AR53">$E53*IFERROR(IF($D53&lt;=AR$8,INDEX($E$32:$E$37,MATCH(AR$8,$AF$8:$CA$8,0)-MATCH($D53,$D$45:$D$92,0)+1,0),0),1)</f>
        <v>0</v>
      </c>
      <c r="AS53" s="444" cm="1">
        <f t="array" ref="AS53">$E53*IFERROR(IF($D53&lt;=AS$8,INDEX($E$32:$E$37,MATCH(AS$8,$AF$8:$CA$8,0)-MATCH($D53,$D$45:$D$92,0)+1,0),0),1)</f>
        <v>0</v>
      </c>
      <c r="AT53" s="444" cm="1">
        <f t="array" ref="AT53">$E53*IFERROR(IF($D53&lt;=AT$8,INDEX($E$32:$E$37,MATCH(AT$8,$AF$8:$CA$8,0)-MATCH($D53,$D$45:$D$92,0)+1,0),0),1)</f>
        <v>0</v>
      </c>
      <c r="AU53" s="444" cm="1">
        <f t="array" ref="AU53">$E53*IFERROR(IF($D53&lt;=AU$8,INDEX($E$32:$E$37,MATCH(AU$8,$AF$8:$CA$8,0)-MATCH($D53,$D$45:$D$92,0)+1,0),0),1)</f>
        <v>0</v>
      </c>
      <c r="AV53" s="444" cm="1">
        <f t="array" ref="AV53">$E53*IFERROR(IF($D53&lt;=AV$8,INDEX($E$32:$E$37,MATCH(AV$8,$AF$8:$CA$8,0)-MATCH($D53,$D$45:$D$92,0)+1,0),0),1)</f>
        <v>0</v>
      </c>
      <c r="AW53" s="444" cm="1">
        <f t="array" ref="AW53">$E53*IFERROR(IF($D53&lt;=AW$8,INDEX($E$32:$E$37,MATCH(AW$8,$AF$8:$CA$8,0)-MATCH($D53,$D$45:$D$92,0)+1,0),0),1)</f>
        <v>0</v>
      </c>
      <c r="AX53" s="444" cm="1">
        <f t="array" ref="AX53">$E53*IFERROR(IF($D53&lt;=AX$8,INDEX($E$32:$E$37,MATCH(AX$8,$AF$8:$CA$8,0)-MATCH($D53,$D$45:$D$92,0)+1,0),0),1)</f>
        <v>0</v>
      </c>
      <c r="AY53" s="444" cm="1">
        <f t="array" ref="AY53">$E53*IFERROR(IF($D53&lt;=AY$8,INDEX($E$32:$E$37,MATCH(AY$8,$AF$8:$CA$8,0)-MATCH($D53,$D$45:$D$92,0)+1,0),0),1)</f>
        <v>0</v>
      </c>
      <c r="AZ53" s="444" cm="1">
        <f t="array" ref="AZ53">$E53*IFERROR(IF($D53&lt;=AZ$8,INDEX($E$32:$E$37,MATCH(AZ$8,$AF$8:$CA$8,0)-MATCH($D53,$D$45:$D$92,0)+1,0),0),1)</f>
        <v>0</v>
      </c>
      <c r="BA53" s="444" cm="1">
        <f t="array" ref="BA53">$E53*IFERROR(IF($D53&lt;=BA$8,INDEX($E$32:$E$37,MATCH(BA$8,$AF$8:$CA$8,0)-MATCH($D53,$D$45:$D$92,0)+1,0),0),1)</f>
        <v>0</v>
      </c>
      <c r="BB53" s="444" cm="1">
        <f t="array" ref="BB53">$E53*IFERROR(IF($D53&lt;=BB$8,INDEX($E$32:$E$37,MATCH(BB$8,$AF$8:$CA$8,0)-MATCH($D53,$D$45:$D$92,0)+1,0),0),1)</f>
        <v>0</v>
      </c>
      <c r="BC53" s="444" cm="1">
        <f t="array" ref="BC53">$E53*IFERROR(IF($D53&lt;=BC$8,INDEX($E$32:$E$37,MATCH(BC$8,$AF$8:$CA$8,0)-MATCH($D53,$D$45:$D$92,0)+1,0),0),1)</f>
        <v>0</v>
      </c>
      <c r="BD53" s="444" cm="1">
        <f t="array" ref="BD53">$E53*IFERROR(IF($D53&lt;=BD$8,INDEX($E$32:$E$37,MATCH(BD$8,$AF$8:$CA$8,0)-MATCH($D53,$D$45:$D$92,0)+1,0),0),1)</f>
        <v>0</v>
      </c>
      <c r="BE53" s="444" cm="1">
        <f t="array" ref="BE53">$E53*IFERROR(IF($D53&lt;=BE$8,INDEX($E$32:$E$37,MATCH(BE$8,$AF$8:$CA$8,0)-MATCH($D53,$D$45:$D$92,0)+1,0),0),1)</f>
        <v>0</v>
      </c>
      <c r="BF53" s="444" cm="1">
        <f t="array" ref="BF53">$E53*IFERROR(IF($D53&lt;=BF$8,INDEX($E$32:$E$37,MATCH(BF$8,$AF$8:$CA$8,0)-MATCH($D53,$D$45:$D$92,0)+1,0),0),1)</f>
        <v>0</v>
      </c>
      <c r="BG53" s="444" cm="1">
        <f t="array" ref="BG53">$E53*IFERROR(IF($D53&lt;=BG$8,INDEX($E$32:$E$37,MATCH(BG$8,$AF$8:$CA$8,0)-MATCH($D53,$D$45:$D$92,0)+1,0),0),1)</f>
        <v>0</v>
      </c>
      <c r="BH53" s="444" cm="1">
        <f t="array" ref="BH53">$E53*IFERROR(IF($D53&lt;=BH$8,INDEX($E$32:$E$37,MATCH(BH$8,$AF$8:$CA$8,0)-MATCH($D53,$D$45:$D$92,0)+1,0),0),1)</f>
        <v>0</v>
      </c>
      <c r="BI53" s="444" cm="1">
        <f t="array" ref="BI53">$E53*IFERROR(IF($D53&lt;=BI$8,INDEX($E$32:$E$37,MATCH(BI$8,$AF$8:$CA$8,0)-MATCH($D53,$D$45:$D$92,0)+1,0),0),1)</f>
        <v>0</v>
      </c>
      <c r="BJ53" s="444" cm="1">
        <f t="array" ref="BJ53">$E53*IFERROR(IF($D53&lt;=BJ$8,INDEX($E$32:$E$37,MATCH(BJ$8,$AF$8:$CA$8,0)-MATCH($D53,$D$45:$D$92,0)+1,0),0),1)</f>
        <v>0</v>
      </c>
      <c r="BK53" s="444" cm="1">
        <f t="array" ref="BK53">$E53*IFERROR(IF($D53&lt;=BK$8,INDEX($E$32:$E$37,MATCH(BK$8,$AF$8:$CA$8,0)-MATCH($D53,$D$45:$D$92,0)+1,0),0),1)</f>
        <v>0</v>
      </c>
      <c r="BL53" s="444" cm="1">
        <f t="array" ref="BL53">$E53*IFERROR(IF($D53&lt;=BL$8,INDEX($E$32:$E$37,MATCH(BL$8,$AF$8:$CA$8,0)-MATCH($D53,$D$45:$D$92,0)+1,0),0),1)</f>
        <v>0</v>
      </c>
      <c r="BM53" s="444" cm="1">
        <f t="array" ref="BM53">$E53*IFERROR(IF($D53&lt;=BM$8,INDEX($E$32:$E$37,MATCH(BM$8,$AF$8:$CA$8,0)-MATCH($D53,$D$45:$D$92,0)+1,0),0),1)</f>
        <v>0</v>
      </c>
      <c r="BN53" s="444" cm="1">
        <f t="array" ref="BN53">$E53*IFERROR(IF($D53&lt;=BN$8,INDEX($E$32:$E$37,MATCH(BN$8,$AF$8:$CA$8,0)-MATCH($D53,$D$45:$D$92,0)+1,0),0),1)</f>
        <v>0</v>
      </c>
      <c r="BO53" s="444" cm="1">
        <f t="array" ref="BO53">$E53*IFERROR(IF($D53&lt;=BO$8,INDEX($E$32:$E$37,MATCH(BO$8,$AF$8:$CA$8,0)-MATCH($D53,$D$45:$D$92,0)+1,0),0),1)</f>
        <v>0</v>
      </c>
      <c r="BP53" s="444" cm="1">
        <f t="array" ref="BP53">$E53*IFERROR(IF($D53&lt;=BP$8,INDEX($E$32:$E$37,MATCH(BP$8,$AF$8:$CA$8,0)-MATCH($D53,$D$45:$D$92,0)+1,0),0),1)</f>
        <v>0</v>
      </c>
      <c r="BQ53" s="444" cm="1">
        <f t="array" ref="BQ53">$E53*IFERROR(IF($D53&lt;=BQ$8,INDEX($E$32:$E$37,MATCH(BQ$8,$AF$8:$CA$8,0)-MATCH($D53,$D$45:$D$92,0)+1,0),0),1)</f>
        <v>0</v>
      </c>
      <c r="BR53" s="444" cm="1">
        <f t="array" ref="BR53">$E53*IFERROR(IF($D53&lt;=BR$8,INDEX($E$32:$E$37,MATCH(BR$8,$AF$8:$CA$8,0)-MATCH($D53,$D$45:$D$92,0)+1,0),0),1)</f>
        <v>0</v>
      </c>
      <c r="BS53" s="444" cm="1">
        <f t="array" ref="BS53">$E53*IFERROR(IF($D53&lt;=BS$8,INDEX($E$32:$E$37,MATCH(BS$8,$AF$8:$CA$8,0)-MATCH($D53,$D$45:$D$92,0)+1,0),0),1)</f>
        <v>0</v>
      </c>
      <c r="BT53" s="444" cm="1">
        <f t="array" ref="BT53">$E53*IFERROR(IF($D53&lt;=BT$8,INDEX($E$32:$E$37,MATCH(BT$8,$AF$8:$CA$8,0)-MATCH($D53,$D$45:$D$92,0)+1,0),0),1)</f>
        <v>0</v>
      </c>
      <c r="BU53" s="444" cm="1">
        <f t="array" ref="BU53">$E53*IFERROR(IF($D53&lt;=BU$8,INDEX($E$32:$E$37,MATCH(BU$8,$AF$8:$CA$8,0)-MATCH($D53,$D$45:$D$92,0)+1,0),0),1)</f>
        <v>0</v>
      </c>
      <c r="BV53" s="444" cm="1">
        <f t="array" ref="BV53">$E53*IFERROR(IF($D53&lt;=BV$8,INDEX($E$32:$E$37,MATCH(BV$8,$AF$8:$CA$8,0)-MATCH($D53,$D$45:$D$92,0)+1,0),0),1)</f>
        <v>0</v>
      </c>
      <c r="BW53" s="444" cm="1">
        <f t="array" ref="BW53">$E53*IFERROR(IF($D53&lt;=BW$8,INDEX($E$32:$E$37,MATCH(BW$8,$AF$8:$CA$8,0)-MATCH($D53,$D$45:$D$92,0)+1,0),0),1)</f>
        <v>0</v>
      </c>
      <c r="BX53" s="444" cm="1">
        <f t="array" ref="BX53">$E53*IFERROR(IF($D53&lt;=BX$8,INDEX($E$32:$E$37,MATCH(BX$8,$AF$8:$CA$8,0)-MATCH($D53,$D$45:$D$92,0)+1,0),0),1)</f>
        <v>0</v>
      </c>
      <c r="BY53" s="444" cm="1">
        <f t="array" ref="BY53">$E53*IFERROR(IF($D53&lt;=BY$8,INDEX($E$32:$E$37,MATCH(BY$8,$AF$8:$CA$8,0)-MATCH($D53,$D$45:$D$92,0)+1,0),0),1)</f>
        <v>0</v>
      </c>
      <c r="BZ53" s="444" cm="1">
        <f t="array" ref="BZ53">$E53*IFERROR(IF($D53&lt;=BZ$8,INDEX($E$32:$E$37,MATCH(BZ$8,$AF$8:$CA$8,0)-MATCH($D53,$D$45:$D$92,0)+1,0),0),1)</f>
        <v>0</v>
      </c>
      <c r="CA53" s="444" cm="1">
        <f t="array" ref="CA53">$E53*IFERROR(IF($D53&lt;=CA$8,INDEX($E$32:$E$37,MATCH(CA$8,$AF$8:$CA$8,0)-MATCH($D53,$D$45:$D$92,0)+1,0),0),1)</f>
        <v>0</v>
      </c>
    </row>
    <row r="54" spans="4:79" ht="21" hidden="1" customHeight="1" outlineLevel="3">
      <c r="D54" s="374">
        <f t="shared" si="21"/>
        <v>45230</v>
      </c>
      <c r="E54" s="446" cm="1">
        <f t="array" ref="E54">INDEX($AF$41:$CA$41,0,MATCH($D54,$AF$8:$CA$8,0))</f>
        <v>0</v>
      </c>
      <c r="G54" s="431"/>
      <c r="H54" s="445">
        <f t="shared" si="19"/>
        <v>0</v>
      </c>
      <c r="I54" s="445">
        <f t="shared" si="19"/>
        <v>0</v>
      </c>
      <c r="J54" s="445">
        <f t="shared" si="19"/>
        <v>0</v>
      </c>
      <c r="K54" s="445">
        <f t="shared" si="19"/>
        <v>0</v>
      </c>
      <c r="L54" s="442"/>
      <c r="M54" s="431"/>
      <c r="N54" s="445">
        <f t="shared" si="20"/>
        <v>0</v>
      </c>
      <c r="O54" s="445">
        <f t="shared" si="20"/>
        <v>0</v>
      </c>
      <c r="P54" s="445">
        <f t="shared" si="20"/>
        <v>0</v>
      </c>
      <c r="Q54" s="445">
        <f t="shared" si="20"/>
        <v>0</v>
      </c>
      <c r="R54" s="445">
        <f t="shared" si="20"/>
        <v>0</v>
      </c>
      <c r="S54" s="445">
        <f t="shared" si="20"/>
        <v>0</v>
      </c>
      <c r="T54" s="445">
        <f t="shared" si="20"/>
        <v>0</v>
      </c>
      <c r="U54" s="445">
        <f t="shared" si="20"/>
        <v>0</v>
      </c>
      <c r="V54" s="445">
        <f t="shared" si="20"/>
        <v>0</v>
      </c>
      <c r="W54" s="445">
        <f t="shared" si="20"/>
        <v>0</v>
      </c>
      <c r="X54" s="445">
        <f t="shared" si="20"/>
        <v>0</v>
      </c>
      <c r="Y54" s="445">
        <f t="shared" si="20"/>
        <v>0</v>
      </c>
      <c r="Z54" s="445">
        <f t="shared" si="20"/>
        <v>0</v>
      </c>
      <c r="AA54" s="445">
        <f t="shared" si="20"/>
        <v>0</v>
      </c>
      <c r="AB54" s="445">
        <f t="shared" si="20"/>
        <v>0</v>
      </c>
      <c r="AC54" s="445">
        <f t="shared" si="20"/>
        <v>0</v>
      </c>
      <c r="AD54" s="442"/>
      <c r="AE54" s="431"/>
      <c r="AF54" s="444" cm="1">
        <f t="array" ref="AF54">$E54*IFERROR(IF($D54&lt;=AF$8,INDEX($E$32:$E$37,MATCH(AF$8,$AF$8:$CA$8,0)-MATCH($D54,$D$45:$D$92,0)+1,0),0),1)</f>
        <v>0</v>
      </c>
      <c r="AG54" s="444" cm="1">
        <f t="array" ref="AG54">$E54*IFERROR(IF($D54&lt;=AG$8,INDEX($E$32:$E$37,MATCH(AG$8,$AF$8:$CA$8,0)-MATCH($D54,$D$45:$D$92,0)+1,0),0),1)</f>
        <v>0</v>
      </c>
      <c r="AH54" s="444" cm="1">
        <f t="array" ref="AH54">$E54*IFERROR(IF($D54&lt;=AH$8,INDEX($E$32:$E$37,MATCH(AH$8,$AF$8:$CA$8,0)-MATCH($D54,$D$45:$D$92,0)+1,0),0),1)</f>
        <v>0</v>
      </c>
      <c r="AI54" s="444" cm="1">
        <f t="array" ref="AI54">$E54*IFERROR(IF($D54&lt;=AI$8,INDEX($E$32:$E$37,MATCH(AI$8,$AF$8:$CA$8,0)-MATCH($D54,$D$45:$D$92,0)+1,0),0),1)</f>
        <v>0</v>
      </c>
      <c r="AJ54" s="444" cm="1">
        <f t="array" ref="AJ54">$E54*IFERROR(IF($D54&lt;=AJ$8,INDEX($E$32:$E$37,MATCH(AJ$8,$AF$8:$CA$8,0)-MATCH($D54,$D$45:$D$92,0)+1,0),0),1)</f>
        <v>0</v>
      </c>
      <c r="AK54" s="444" cm="1">
        <f t="array" ref="AK54">$E54*IFERROR(IF($D54&lt;=AK$8,INDEX($E$32:$E$37,MATCH(AK$8,$AF$8:$CA$8,0)-MATCH($D54,$D$45:$D$92,0)+1,0),0),1)</f>
        <v>0</v>
      </c>
      <c r="AL54" s="444" cm="1">
        <f t="array" ref="AL54">$E54*IFERROR(IF($D54&lt;=AL$8,INDEX($E$32:$E$37,MATCH(AL$8,$AF$8:$CA$8,0)-MATCH($D54,$D$45:$D$92,0)+1,0),0),1)</f>
        <v>0</v>
      </c>
      <c r="AM54" s="444" cm="1">
        <f t="array" ref="AM54">$E54*IFERROR(IF($D54&lt;=AM$8,INDEX($E$32:$E$37,MATCH(AM$8,$AF$8:$CA$8,0)-MATCH($D54,$D$45:$D$92,0)+1,0),0),1)</f>
        <v>0</v>
      </c>
      <c r="AN54" s="444" cm="1">
        <f t="array" ref="AN54">$E54*IFERROR(IF($D54&lt;=AN$8,INDEX($E$32:$E$37,MATCH(AN$8,$AF$8:$CA$8,0)-MATCH($D54,$D$45:$D$92,0)+1,0),0),1)</f>
        <v>0</v>
      </c>
      <c r="AO54" s="444" cm="1">
        <f t="array" ref="AO54">$E54*IFERROR(IF($D54&lt;=AO$8,INDEX($E$32:$E$37,MATCH(AO$8,$AF$8:$CA$8,0)-MATCH($D54,$D$45:$D$92,0)+1,0),0),1)</f>
        <v>0</v>
      </c>
      <c r="AP54" s="444" cm="1">
        <f t="array" ref="AP54">$E54*IFERROR(IF($D54&lt;=AP$8,INDEX($E$32:$E$37,MATCH(AP$8,$AF$8:$CA$8,0)-MATCH($D54,$D$45:$D$92,0)+1,0),0),1)</f>
        <v>0</v>
      </c>
      <c r="AQ54" s="444" cm="1">
        <f t="array" ref="AQ54">$E54*IFERROR(IF($D54&lt;=AQ$8,INDEX($E$32:$E$37,MATCH(AQ$8,$AF$8:$CA$8,0)-MATCH($D54,$D$45:$D$92,0)+1,0),0),1)</f>
        <v>0</v>
      </c>
      <c r="AR54" s="444" cm="1">
        <f t="array" ref="AR54">$E54*IFERROR(IF($D54&lt;=AR$8,INDEX($E$32:$E$37,MATCH(AR$8,$AF$8:$CA$8,0)-MATCH($D54,$D$45:$D$92,0)+1,0),0),1)</f>
        <v>0</v>
      </c>
      <c r="AS54" s="444" cm="1">
        <f t="array" ref="AS54">$E54*IFERROR(IF($D54&lt;=AS$8,INDEX($E$32:$E$37,MATCH(AS$8,$AF$8:$CA$8,0)-MATCH($D54,$D$45:$D$92,0)+1,0),0),1)</f>
        <v>0</v>
      </c>
      <c r="AT54" s="444" cm="1">
        <f t="array" ref="AT54">$E54*IFERROR(IF($D54&lt;=AT$8,INDEX($E$32:$E$37,MATCH(AT$8,$AF$8:$CA$8,0)-MATCH($D54,$D$45:$D$92,0)+1,0),0),1)</f>
        <v>0</v>
      </c>
      <c r="AU54" s="444" cm="1">
        <f t="array" ref="AU54">$E54*IFERROR(IF($D54&lt;=AU$8,INDEX($E$32:$E$37,MATCH(AU$8,$AF$8:$CA$8,0)-MATCH($D54,$D$45:$D$92,0)+1,0),0),1)</f>
        <v>0</v>
      </c>
      <c r="AV54" s="444" cm="1">
        <f t="array" ref="AV54">$E54*IFERROR(IF($D54&lt;=AV$8,INDEX($E$32:$E$37,MATCH(AV$8,$AF$8:$CA$8,0)-MATCH($D54,$D$45:$D$92,0)+1,0),0),1)</f>
        <v>0</v>
      </c>
      <c r="AW54" s="444" cm="1">
        <f t="array" ref="AW54">$E54*IFERROR(IF($D54&lt;=AW$8,INDEX($E$32:$E$37,MATCH(AW$8,$AF$8:$CA$8,0)-MATCH($D54,$D$45:$D$92,0)+1,0),0),1)</f>
        <v>0</v>
      </c>
      <c r="AX54" s="444" cm="1">
        <f t="array" ref="AX54">$E54*IFERROR(IF($D54&lt;=AX$8,INDEX($E$32:$E$37,MATCH(AX$8,$AF$8:$CA$8,0)-MATCH($D54,$D$45:$D$92,0)+1,0),0),1)</f>
        <v>0</v>
      </c>
      <c r="AY54" s="444" cm="1">
        <f t="array" ref="AY54">$E54*IFERROR(IF($D54&lt;=AY$8,INDEX($E$32:$E$37,MATCH(AY$8,$AF$8:$CA$8,0)-MATCH($D54,$D$45:$D$92,0)+1,0),0),1)</f>
        <v>0</v>
      </c>
      <c r="AZ54" s="444" cm="1">
        <f t="array" ref="AZ54">$E54*IFERROR(IF($D54&lt;=AZ$8,INDEX($E$32:$E$37,MATCH(AZ$8,$AF$8:$CA$8,0)-MATCH($D54,$D$45:$D$92,0)+1,0),0),1)</f>
        <v>0</v>
      </c>
      <c r="BA54" s="444" cm="1">
        <f t="array" ref="BA54">$E54*IFERROR(IF($D54&lt;=BA$8,INDEX($E$32:$E$37,MATCH(BA$8,$AF$8:$CA$8,0)-MATCH($D54,$D$45:$D$92,0)+1,0),0),1)</f>
        <v>0</v>
      </c>
      <c r="BB54" s="444" cm="1">
        <f t="array" ref="BB54">$E54*IFERROR(IF($D54&lt;=BB$8,INDEX($E$32:$E$37,MATCH(BB$8,$AF$8:$CA$8,0)-MATCH($D54,$D$45:$D$92,0)+1,0),0),1)</f>
        <v>0</v>
      </c>
      <c r="BC54" s="444" cm="1">
        <f t="array" ref="BC54">$E54*IFERROR(IF($D54&lt;=BC$8,INDEX($E$32:$E$37,MATCH(BC$8,$AF$8:$CA$8,0)-MATCH($D54,$D$45:$D$92,0)+1,0),0),1)</f>
        <v>0</v>
      </c>
      <c r="BD54" s="444" cm="1">
        <f t="array" ref="BD54">$E54*IFERROR(IF($D54&lt;=BD$8,INDEX($E$32:$E$37,MATCH(BD$8,$AF$8:$CA$8,0)-MATCH($D54,$D$45:$D$92,0)+1,0),0),1)</f>
        <v>0</v>
      </c>
      <c r="BE54" s="444" cm="1">
        <f t="array" ref="BE54">$E54*IFERROR(IF($D54&lt;=BE$8,INDEX($E$32:$E$37,MATCH(BE$8,$AF$8:$CA$8,0)-MATCH($D54,$D$45:$D$92,0)+1,0),0),1)</f>
        <v>0</v>
      </c>
      <c r="BF54" s="444" cm="1">
        <f t="array" ref="BF54">$E54*IFERROR(IF($D54&lt;=BF$8,INDEX($E$32:$E$37,MATCH(BF$8,$AF$8:$CA$8,0)-MATCH($D54,$D$45:$D$92,0)+1,0),0),1)</f>
        <v>0</v>
      </c>
      <c r="BG54" s="444" cm="1">
        <f t="array" ref="BG54">$E54*IFERROR(IF($D54&lt;=BG$8,INDEX($E$32:$E$37,MATCH(BG$8,$AF$8:$CA$8,0)-MATCH($D54,$D$45:$D$92,0)+1,0),0),1)</f>
        <v>0</v>
      </c>
      <c r="BH54" s="444" cm="1">
        <f t="array" ref="BH54">$E54*IFERROR(IF($D54&lt;=BH$8,INDEX($E$32:$E$37,MATCH(BH$8,$AF$8:$CA$8,0)-MATCH($D54,$D$45:$D$92,0)+1,0),0),1)</f>
        <v>0</v>
      </c>
      <c r="BI54" s="444" cm="1">
        <f t="array" ref="BI54">$E54*IFERROR(IF($D54&lt;=BI$8,INDEX($E$32:$E$37,MATCH(BI$8,$AF$8:$CA$8,0)-MATCH($D54,$D$45:$D$92,0)+1,0),0),1)</f>
        <v>0</v>
      </c>
      <c r="BJ54" s="444" cm="1">
        <f t="array" ref="BJ54">$E54*IFERROR(IF($D54&lt;=BJ$8,INDEX($E$32:$E$37,MATCH(BJ$8,$AF$8:$CA$8,0)-MATCH($D54,$D$45:$D$92,0)+1,0),0),1)</f>
        <v>0</v>
      </c>
      <c r="BK54" s="444" cm="1">
        <f t="array" ref="BK54">$E54*IFERROR(IF($D54&lt;=BK$8,INDEX($E$32:$E$37,MATCH(BK$8,$AF$8:$CA$8,0)-MATCH($D54,$D$45:$D$92,0)+1,0),0),1)</f>
        <v>0</v>
      </c>
      <c r="BL54" s="444" cm="1">
        <f t="array" ref="BL54">$E54*IFERROR(IF($D54&lt;=BL$8,INDEX($E$32:$E$37,MATCH(BL$8,$AF$8:$CA$8,0)-MATCH($D54,$D$45:$D$92,0)+1,0),0),1)</f>
        <v>0</v>
      </c>
      <c r="BM54" s="444" cm="1">
        <f t="array" ref="BM54">$E54*IFERROR(IF($D54&lt;=BM$8,INDEX($E$32:$E$37,MATCH(BM$8,$AF$8:$CA$8,0)-MATCH($D54,$D$45:$D$92,0)+1,0),0),1)</f>
        <v>0</v>
      </c>
      <c r="BN54" s="444" cm="1">
        <f t="array" ref="BN54">$E54*IFERROR(IF($D54&lt;=BN$8,INDEX($E$32:$E$37,MATCH(BN$8,$AF$8:$CA$8,0)-MATCH($D54,$D$45:$D$92,0)+1,0),0),1)</f>
        <v>0</v>
      </c>
      <c r="BO54" s="444" cm="1">
        <f t="array" ref="BO54">$E54*IFERROR(IF($D54&lt;=BO$8,INDEX($E$32:$E$37,MATCH(BO$8,$AF$8:$CA$8,0)-MATCH($D54,$D$45:$D$92,0)+1,0),0),1)</f>
        <v>0</v>
      </c>
      <c r="BP54" s="444" cm="1">
        <f t="array" ref="BP54">$E54*IFERROR(IF($D54&lt;=BP$8,INDEX($E$32:$E$37,MATCH(BP$8,$AF$8:$CA$8,0)-MATCH($D54,$D$45:$D$92,0)+1,0),0),1)</f>
        <v>0</v>
      </c>
      <c r="BQ54" s="444" cm="1">
        <f t="array" ref="BQ54">$E54*IFERROR(IF($D54&lt;=BQ$8,INDEX($E$32:$E$37,MATCH(BQ$8,$AF$8:$CA$8,0)-MATCH($D54,$D$45:$D$92,0)+1,0),0),1)</f>
        <v>0</v>
      </c>
      <c r="BR54" s="444" cm="1">
        <f t="array" ref="BR54">$E54*IFERROR(IF($D54&lt;=BR$8,INDEX($E$32:$E$37,MATCH(BR$8,$AF$8:$CA$8,0)-MATCH($D54,$D$45:$D$92,0)+1,0),0),1)</f>
        <v>0</v>
      </c>
      <c r="BS54" s="444" cm="1">
        <f t="array" ref="BS54">$E54*IFERROR(IF($D54&lt;=BS$8,INDEX($E$32:$E$37,MATCH(BS$8,$AF$8:$CA$8,0)-MATCH($D54,$D$45:$D$92,0)+1,0),0),1)</f>
        <v>0</v>
      </c>
      <c r="BT54" s="444" cm="1">
        <f t="array" ref="BT54">$E54*IFERROR(IF($D54&lt;=BT$8,INDEX($E$32:$E$37,MATCH(BT$8,$AF$8:$CA$8,0)-MATCH($D54,$D$45:$D$92,0)+1,0),0),1)</f>
        <v>0</v>
      </c>
      <c r="BU54" s="444" cm="1">
        <f t="array" ref="BU54">$E54*IFERROR(IF($D54&lt;=BU$8,INDEX($E$32:$E$37,MATCH(BU$8,$AF$8:$CA$8,0)-MATCH($D54,$D$45:$D$92,0)+1,0),0),1)</f>
        <v>0</v>
      </c>
      <c r="BV54" s="444" cm="1">
        <f t="array" ref="BV54">$E54*IFERROR(IF($D54&lt;=BV$8,INDEX($E$32:$E$37,MATCH(BV$8,$AF$8:$CA$8,0)-MATCH($D54,$D$45:$D$92,0)+1,0),0),1)</f>
        <v>0</v>
      </c>
      <c r="BW54" s="444" cm="1">
        <f t="array" ref="BW54">$E54*IFERROR(IF($D54&lt;=BW$8,INDEX($E$32:$E$37,MATCH(BW$8,$AF$8:$CA$8,0)-MATCH($D54,$D$45:$D$92,0)+1,0),0),1)</f>
        <v>0</v>
      </c>
      <c r="BX54" s="444" cm="1">
        <f t="array" ref="BX54">$E54*IFERROR(IF($D54&lt;=BX$8,INDEX($E$32:$E$37,MATCH(BX$8,$AF$8:$CA$8,0)-MATCH($D54,$D$45:$D$92,0)+1,0),0),1)</f>
        <v>0</v>
      </c>
      <c r="BY54" s="444" cm="1">
        <f t="array" ref="BY54">$E54*IFERROR(IF($D54&lt;=BY$8,INDEX($E$32:$E$37,MATCH(BY$8,$AF$8:$CA$8,0)-MATCH($D54,$D$45:$D$92,0)+1,0),0),1)</f>
        <v>0</v>
      </c>
      <c r="BZ54" s="444" cm="1">
        <f t="array" ref="BZ54">$E54*IFERROR(IF($D54&lt;=BZ$8,INDEX($E$32:$E$37,MATCH(BZ$8,$AF$8:$CA$8,0)-MATCH($D54,$D$45:$D$92,0)+1,0),0),1)</f>
        <v>0</v>
      </c>
      <c r="CA54" s="444" cm="1">
        <f t="array" ref="CA54">$E54*IFERROR(IF($D54&lt;=CA$8,INDEX($E$32:$E$37,MATCH(CA$8,$AF$8:$CA$8,0)-MATCH($D54,$D$45:$D$92,0)+1,0),0),1)</f>
        <v>0</v>
      </c>
    </row>
    <row r="55" spans="4:79" ht="21" hidden="1" customHeight="1" outlineLevel="3">
      <c r="D55" s="374">
        <f t="shared" si="21"/>
        <v>45260</v>
      </c>
      <c r="E55" s="446" cm="1">
        <f t="array" ref="E55">INDEX($AF$41:$CA$41,0,MATCH($D55,$AF$8:$CA$8,0))</f>
        <v>0</v>
      </c>
      <c r="G55" s="431"/>
      <c r="H55" s="445">
        <f t="shared" si="19"/>
        <v>0</v>
      </c>
      <c r="I55" s="445">
        <f t="shared" si="19"/>
        <v>0</v>
      </c>
      <c r="J55" s="445">
        <f t="shared" si="19"/>
        <v>0</v>
      </c>
      <c r="K55" s="445">
        <f t="shared" si="19"/>
        <v>0</v>
      </c>
      <c r="L55" s="442"/>
      <c r="M55" s="431"/>
      <c r="N55" s="445">
        <f t="shared" ref="N55:AC64" si="22">INDEX($AF55:$CA55,0,MATCH(N$5,$AF$8:$CA$8,0))</f>
        <v>0</v>
      </c>
      <c r="O55" s="445">
        <f t="shared" si="22"/>
        <v>0</v>
      </c>
      <c r="P55" s="445">
        <f t="shared" si="22"/>
        <v>0</v>
      </c>
      <c r="Q55" s="445">
        <f t="shared" si="22"/>
        <v>0</v>
      </c>
      <c r="R55" s="445">
        <f t="shared" si="22"/>
        <v>0</v>
      </c>
      <c r="S55" s="445">
        <f t="shared" si="22"/>
        <v>0</v>
      </c>
      <c r="T55" s="445">
        <f t="shared" si="22"/>
        <v>0</v>
      </c>
      <c r="U55" s="445">
        <f t="shared" si="22"/>
        <v>0</v>
      </c>
      <c r="V55" s="445">
        <f t="shared" si="22"/>
        <v>0</v>
      </c>
      <c r="W55" s="445">
        <f t="shared" si="22"/>
        <v>0</v>
      </c>
      <c r="X55" s="445">
        <f t="shared" si="22"/>
        <v>0</v>
      </c>
      <c r="Y55" s="445">
        <f t="shared" si="22"/>
        <v>0</v>
      </c>
      <c r="Z55" s="445">
        <f t="shared" si="22"/>
        <v>0</v>
      </c>
      <c r="AA55" s="445">
        <f t="shared" si="22"/>
        <v>0</v>
      </c>
      <c r="AB55" s="445">
        <f t="shared" si="22"/>
        <v>0</v>
      </c>
      <c r="AC55" s="445">
        <f t="shared" si="22"/>
        <v>0</v>
      </c>
      <c r="AD55" s="442"/>
      <c r="AE55" s="431"/>
      <c r="AF55" s="444" cm="1">
        <f t="array" ref="AF55">$E55*IFERROR(IF($D55&lt;=AF$8,INDEX($E$32:$E$37,MATCH(AF$8,$AF$8:$CA$8,0)-MATCH($D55,$D$45:$D$92,0)+1,0),0),1)</f>
        <v>0</v>
      </c>
      <c r="AG55" s="444" cm="1">
        <f t="array" ref="AG55">$E55*IFERROR(IF($D55&lt;=AG$8,INDEX($E$32:$E$37,MATCH(AG$8,$AF$8:$CA$8,0)-MATCH($D55,$D$45:$D$92,0)+1,0),0),1)</f>
        <v>0</v>
      </c>
      <c r="AH55" s="444" cm="1">
        <f t="array" ref="AH55">$E55*IFERROR(IF($D55&lt;=AH$8,INDEX($E$32:$E$37,MATCH(AH$8,$AF$8:$CA$8,0)-MATCH($D55,$D$45:$D$92,0)+1,0),0),1)</f>
        <v>0</v>
      </c>
      <c r="AI55" s="444" cm="1">
        <f t="array" ref="AI55">$E55*IFERROR(IF($D55&lt;=AI$8,INDEX($E$32:$E$37,MATCH(AI$8,$AF$8:$CA$8,0)-MATCH($D55,$D$45:$D$92,0)+1,0),0),1)</f>
        <v>0</v>
      </c>
      <c r="AJ55" s="444" cm="1">
        <f t="array" ref="AJ55">$E55*IFERROR(IF($D55&lt;=AJ$8,INDEX($E$32:$E$37,MATCH(AJ$8,$AF$8:$CA$8,0)-MATCH($D55,$D$45:$D$92,0)+1,0),0),1)</f>
        <v>0</v>
      </c>
      <c r="AK55" s="444" cm="1">
        <f t="array" ref="AK55">$E55*IFERROR(IF($D55&lt;=AK$8,INDEX($E$32:$E$37,MATCH(AK$8,$AF$8:$CA$8,0)-MATCH($D55,$D$45:$D$92,0)+1,0),0),1)</f>
        <v>0</v>
      </c>
      <c r="AL55" s="444" cm="1">
        <f t="array" ref="AL55">$E55*IFERROR(IF($D55&lt;=AL$8,INDEX($E$32:$E$37,MATCH(AL$8,$AF$8:$CA$8,0)-MATCH($D55,$D$45:$D$92,0)+1,0),0),1)</f>
        <v>0</v>
      </c>
      <c r="AM55" s="444" cm="1">
        <f t="array" ref="AM55">$E55*IFERROR(IF($D55&lt;=AM$8,INDEX($E$32:$E$37,MATCH(AM$8,$AF$8:$CA$8,0)-MATCH($D55,$D$45:$D$92,0)+1,0),0),1)</f>
        <v>0</v>
      </c>
      <c r="AN55" s="444" cm="1">
        <f t="array" ref="AN55">$E55*IFERROR(IF($D55&lt;=AN$8,INDEX($E$32:$E$37,MATCH(AN$8,$AF$8:$CA$8,0)-MATCH($D55,$D$45:$D$92,0)+1,0),0),1)</f>
        <v>0</v>
      </c>
      <c r="AO55" s="444" cm="1">
        <f t="array" ref="AO55">$E55*IFERROR(IF($D55&lt;=AO$8,INDEX($E$32:$E$37,MATCH(AO$8,$AF$8:$CA$8,0)-MATCH($D55,$D$45:$D$92,0)+1,0),0),1)</f>
        <v>0</v>
      </c>
      <c r="AP55" s="444" cm="1">
        <f t="array" ref="AP55">$E55*IFERROR(IF($D55&lt;=AP$8,INDEX($E$32:$E$37,MATCH(AP$8,$AF$8:$CA$8,0)-MATCH($D55,$D$45:$D$92,0)+1,0),0),1)</f>
        <v>0</v>
      </c>
      <c r="AQ55" s="444" cm="1">
        <f t="array" ref="AQ55">$E55*IFERROR(IF($D55&lt;=AQ$8,INDEX($E$32:$E$37,MATCH(AQ$8,$AF$8:$CA$8,0)-MATCH($D55,$D$45:$D$92,0)+1,0),0),1)</f>
        <v>0</v>
      </c>
      <c r="AR55" s="444" cm="1">
        <f t="array" ref="AR55">$E55*IFERROR(IF($D55&lt;=AR$8,INDEX($E$32:$E$37,MATCH(AR$8,$AF$8:$CA$8,0)-MATCH($D55,$D$45:$D$92,0)+1,0),0),1)</f>
        <v>0</v>
      </c>
      <c r="AS55" s="444" cm="1">
        <f t="array" ref="AS55">$E55*IFERROR(IF($D55&lt;=AS$8,INDEX($E$32:$E$37,MATCH(AS$8,$AF$8:$CA$8,0)-MATCH($D55,$D$45:$D$92,0)+1,0),0),1)</f>
        <v>0</v>
      </c>
      <c r="AT55" s="444" cm="1">
        <f t="array" ref="AT55">$E55*IFERROR(IF($D55&lt;=AT$8,INDEX($E$32:$E$37,MATCH(AT$8,$AF$8:$CA$8,0)-MATCH($D55,$D$45:$D$92,0)+1,0),0),1)</f>
        <v>0</v>
      </c>
      <c r="AU55" s="444" cm="1">
        <f t="array" ref="AU55">$E55*IFERROR(IF($D55&lt;=AU$8,INDEX($E$32:$E$37,MATCH(AU$8,$AF$8:$CA$8,0)-MATCH($D55,$D$45:$D$92,0)+1,0),0),1)</f>
        <v>0</v>
      </c>
      <c r="AV55" s="444" cm="1">
        <f t="array" ref="AV55">$E55*IFERROR(IF($D55&lt;=AV$8,INDEX($E$32:$E$37,MATCH(AV$8,$AF$8:$CA$8,0)-MATCH($D55,$D$45:$D$92,0)+1,0),0),1)</f>
        <v>0</v>
      </c>
      <c r="AW55" s="444" cm="1">
        <f t="array" ref="AW55">$E55*IFERROR(IF($D55&lt;=AW$8,INDEX($E$32:$E$37,MATCH(AW$8,$AF$8:$CA$8,0)-MATCH($D55,$D$45:$D$92,0)+1,0),0),1)</f>
        <v>0</v>
      </c>
      <c r="AX55" s="444" cm="1">
        <f t="array" ref="AX55">$E55*IFERROR(IF($D55&lt;=AX$8,INDEX($E$32:$E$37,MATCH(AX$8,$AF$8:$CA$8,0)-MATCH($D55,$D$45:$D$92,0)+1,0),0),1)</f>
        <v>0</v>
      </c>
      <c r="AY55" s="444" cm="1">
        <f t="array" ref="AY55">$E55*IFERROR(IF($D55&lt;=AY$8,INDEX($E$32:$E$37,MATCH(AY$8,$AF$8:$CA$8,0)-MATCH($D55,$D$45:$D$92,0)+1,0),0),1)</f>
        <v>0</v>
      </c>
      <c r="AZ55" s="444" cm="1">
        <f t="array" ref="AZ55">$E55*IFERROR(IF($D55&lt;=AZ$8,INDEX($E$32:$E$37,MATCH(AZ$8,$AF$8:$CA$8,0)-MATCH($D55,$D$45:$D$92,0)+1,0),0),1)</f>
        <v>0</v>
      </c>
      <c r="BA55" s="444" cm="1">
        <f t="array" ref="BA55">$E55*IFERROR(IF($D55&lt;=BA$8,INDEX($E$32:$E$37,MATCH(BA$8,$AF$8:$CA$8,0)-MATCH($D55,$D$45:$D$92,0)+1,0),0),1)</f>
        <v>0</v>
      </c>
      <c r="BB55" s="444" cm="1">
        <f t="array" ref="BB55">$E55*IFERROR(IF($D55&lt;=BB$8,INDEX($E$32:$E$37,MATCH(BB$8,$AF$8:$CA$8,0)-MATCH($D55,$D$45:$D$92,0)+1,0),0),1)</f>
        <v>0</v>
      </c>
      <c r="BC55" s="444" cm="1">
        <f t="array" ref="BC55">$E55*IFERROR(IF($D55&lt;=BC$8,INDEX($E$32:$E$37,MATCH(BC$8,$AF$8:$CA$8,0)-MATCH($D55,$D$45:$D$92,0)+1,0),0),1)</f>
        <v>0</v>
      </c>
      <c r="BD55" s="444" cm="1">
        <f t="array" ref="BD55">$E55*IFERROR(IF($D55&lt;=BD$8,INDEX($E$32:$E$37,MATCH(BD$8,$AF$8:$CA$8,0)-MATCH($D55,$D$45:$D$92,0)+1,0),0),1)</f>
        <v>0</v>
      </c>
      <c r="BE55" s="444" cm="1">
        <f t="array" ref="BE55">$E55*IFERROR(IF($D55&lt;=BE$8,INDEX($E$32:$E$37,MATCH(BE$8,$AF$8:$CA$8,0)-MATCH($D55,$D$45:$D$92,0)+1,0),0),1)</f>
        <v>0</v>
      </c>
      <c r="BF55" s="444" cm="1">
        <f t="array" ref="BF55">$E55*IFERROR(IF($D55&lt;=BF$8,INDEX($E$32:$E$37,MATCH(BF$8,$AF$8:$CA$8,0)-MATCH($D55,$D$45:$D$92,0)+1,0),0),1)</f>
        <v>0</v>
      </c>
      <c r="BG55" s="444" cm="1">
        <f t="array" ref="BG55">$E55*IFERROR(IF($D55&lt;=BG$8,INDEX($E$32:$E$37,MATCH(BG$8,$AF$8:$CA$8,0)-MATCH($D55,$D$45:$D$92,0)+1,0),0),1)</f>
        <v>0</v>
      </c>
      <c r="BH55" s="444" cm="1">
        <f t="array" ref="BH55">$E55*IFERROR(IF($D55&lt;=BH$8,INDEX($E$32:$E$37,MATCH(BH$8,$AF$8:$CA$8,0)-MATCH($D55,$D$45:$D$92,0)+1,0),0),1)</f>
        <v>0</v>
      </c>
      <c r="BI55" s="444" cm="1">
        <f t="array" ref="BI55">$E55*IFERROR(IF($D55&lt;=BI$8,INDEX($E$32:$E$37,MATCH(BI$8,$AF$8:$CA$8,0)-MATCH($D55,$D$45:$D$92,0)+1,0),0),1)</f>
        <v>0</v>
      </c>
      <c r="BJ55" s="444" cm="1">
        <f t="array" ref="BJ55">$E55*IFERROR(IF($D55&lt;=BJ$8,INDEX($E$32:$E$37,MATCH(BJ$8,$AF$8:$CA$8,0)-MATCH($D55,$D$45:$D$92,0)+1,0),0),1)</f>
        <v>0</v>
      </c>
      <c r="BK55" s="444" cm="1">
        <f t="array" ref="BK55">$E55*IFERROR(IF($D55&lt;=BK$8,INDEX($E$32:$E$37,MATCH(BK$8,$AF$8:$CA$8,0)-MATCH($D55,$D$45:$D$92,0)+1,0),0),1)</f>
        <v>0</v>
      </c>
      <c r="BL55" s="444" cm="1">
        <f t="array" ref="BL55">$E55*IFERROR(IF($D55&lt;=BL$8,INDEX($E$32:$E$37,MATCH(BL$8,$AF$8:$CA$8,0)-MATCH($D55,$D$45:$D$92,0)+1,0),0),1)</f>
        <v>0</v>
      </c>
      <c r="BM55" s="444" cm="1">
        <f t="array" ref="BM55">$E55*IFERROR(IF($D55&lt;=BM$8,INDEX($E$32:$E$37,MATCH(BM$8,$AF$8:$CA$8,0)-MATCH($D55,$D$45:$D$92,0)+1,0),0),1)</f>
        <v>0</v>
      </c>
      <c r="BN55" s="444" cm="1">
        <f t="array" ref="BN55">$E55*IFERROR(IF($D55&lt;=BN$8,INDEX($E$32:$E$37,MATCH(BN$8,$AF$8:$CA$8,0)-MATCH($D55,$D$45:$D$92,0)+1,0),0),1)</f>
        <v>0</v>
      </c>
      <c r="BO55" s="444" cm="1">
        <f t="array" ref="BO55">$E55*IFERROR(IF($D55&lt;=BO$8,INDEX($E$32:$E$37,MATCH(BO$8,$AF$8:$CA$8,0)-MATCH($D55,$D$45:$D$92,0)+1,0),0),1)</f>
        <v>0</v>
      </c>
      <c r="BP55" s="444" cm="1">
        <f t="array" ref="BP55">$E55*IFERROR(IF($D55&lt;=BP$8,INDEX($E$32:$E$37,MATCH(BP$8,$AF$8:$CA$8,0)-MATCH($D55,$D$45:$D$92,0)+1,0),0),1)</f>
        <v>0</v>
      </c>
      <c r="BQ55" s="444" cm="1">
        <f t="array" ref="BQ55">$E55*IFERROR(IF($D55&lt;=BQ$8,INDEX($E$32:$E$37,MATCH(BQ$8,$AF$8:$CA$8,0)-MATCH($D55,$D$45:$D$92,0)+1,0),0),1)</f>
        <v>0</v>
      </c>
      <c r="BR55" s="444" cm="1">
        <f t="array" ref="BR55">$E55*IFERROR(IF($D55&lt;=BR$8,INDEX($E$32:$E$37,MATCH(BR$8,$AF$8:$CA$8,0)-MATCH($D55,$D$45:$D$92,0)+1,0),0),1)</f>
        <v>0</v>
      </c>
      <c r="BS55" s="444" cm="1">
        <f t="array" ref="BS55">$E55*IFERROR(IF($D55&lt;=BS$8,INDEX($E$32:$E$37,MATCH(BS$8,$AF$8:$CA$8,0)-MATCH($D55,$D$45:$D$92,0)+1,0),0),1)</f>
        <v>0</v>
      </c>
      <c r="BT55" s="444" cm="1">
        <f t="array" ref="BT55">$E55*IFERROR(IF($D55&lt;=BT$8,INDEX($E$32:$E$37,MATCH(BT$8,$AF$8:$CA$8,0)-MATCH($D55,$D$45:$D$92,0)+1,0),0),1)</f>
        <v>0</v>
      </c>
      <c r="BU55" s="444" cm="1">
        <f t="array" ref="BU55">$E55*IFERROR(IF($D55&lt;=BU$8,INDEX($E$32:$E$37,MATCH(BU$8,$AF$8:$CA$8,0)-MATCH($D55,$D$45:$D$92,0)+1,0),0),1)</f>
        <v>0</v>
      </c>
      <c r="BV55" s="444" cm="1">
        <f t="array" ref="BV55">$E55*IFERROR(IF($D55&lt;=BV$8,INDEX($E$32:$E$37,MATCH(BV$8,$AF$8:$CA$8,0)-MATCH($D55,$D$45:$D$92,0)+1,0),0),1)</f>
        <v>0</v>
      </c>
      <c r="BW55" s="444" cm="1">
        <f t="array" ref="BW55">$E55*IFERROR(IF($D55&lt;=BW$8,INDEX($E$32:$E$37,MATCH(BW$8,$AF$8:$CA$8,0)-MATCH($D55,$D$45:$D$92,0)+1,0),0),1)</f>
        <v>0</v>
      </c>
      <c r="BX55" s="444" cm="1">
        <f t="array" ref="BX55">$E55*IFERROR(IF($D55&lt;=BX$8,INDEX($E$32:$E$37,MATCH(BX$8,$AF$8:$CA$8,0)-MATCH($D55,$D$45:$D$92,0)+1,0),0),1)</f>
        <v>0</v>
      </c>
      <c r="BY55" s="444" cm="1">
        <f t="array" ref="BY55">$E55*IFERROR(IF($D55&lt;=BY$8,INDEX($E$32:$E$37,MATCH(BY$8,$AF$8:$CA$8,0)-MATCH($D55,$D$45:$D$92,0)+1,0),0),1)</f>
        <v>0</v>
      </c>
      <c r="BZ55" s="444" cm="1">
        <f t="array" ref="BZ55">$E55*IFERROR(IF($D55&lt;=BZ$8,INDEX($E$32:$E$37,MATCH(BZ$8,$AF$8:$CA$8,0)-MATCH($D55,$D$45:$D$92,0)+1,0),0),1)</f>
        <v>0</v>
      </c>
      <c r="CA55" s="444" cm="1">
        <f t="array" ref="CA55">$E55*IFERROR(IF($D55&lt;=CA$8,INDEX($E$32:$E$37,MATCH(CA$8,$AF$8:$CA$8,0)-MATCH($D55,$D$45:$D$92,0)+1,0),0),1)</f>
        <v>0</v>
      </c>
    </row>
    <row r="56" spans="4:79" ht="21" hidden="1" customHeight="1" outlineLevel="3">
      <c r="D56" s="374">
        <f t="shared" si="21"/>
        <v>45291</v>
      </c>
      <c r="E56" s="446" cm="1">
        <f t="array" ref="E56">INDEX($AF$41:$CA$41,0,MATCH($D56,$AF$8:$CA$8,0))</f>
        <v>0</v>
      </c>
      <c r="G56" s="359"/>
      <c r="H56" s="445">
        <f t="shared" si="19"/>
        <v>0</v>
      </c>
      <c r="I56" s="445">
        <f t="shared" si="19"/>
        <v>0</v>
      </c>
      <c r="J56" s="445">
        <f t="shared" si="19"/>
        <v>0</v>
      </c>
      <c r="K56" s="445">
        <f t="shared" si="19"/>
        <v>0</v>
      </c>
      <c r="L56" s="442"/>
      <c r="M56" s="431"/>
      <c r="N56" s="445">
        <f t="shared" si="22"/>
        <v>0</v>
      </c>
      <c r="O56" s="445">
        <f t="shared" si="22"/>
        <v>0</v>
      </c>
      <c r="P56" s="445">
        <f t="shared" si="22"/>
        <v>0</v>
      </c>
      <c r="Q56" s="445">
        <f t="shared" si="22"/>
        <v>0</v>
      </c>
      <c r="R56" s="445">
        <f t="shared" si="22"/>
        <v>0</v>
      </c>
      <c r="S56" s="445">
        <f t="shared" si="22"/>
        <v>0</v>
      </c>
      <c r="T56" s="445">
        <f t="shared" si="22"/>
        <v>0</v>
      </c>
      <c r="U56" s="445">
        <f t="shared" si="22"/>
        <v>0</v>
      </c>
      <c r="V56" s="445">
        <f t="shared" si="22"/>
        <v>0</v>
      </c>
      <c r="W56" s="445">
        <f t="shared" si="22"/>
        <v>0</v>
      </c>
      <c r="X56" s="445">
        <f t="shared" si="22"/>
        <v>0</v>
      </c>
      <c r="Y56" s="445">
        <f t="shared" si="22"/>
        <v>0</v>
      </c>
      <c r="Z56" s="445">
        <f t="shared" si="22"/>
        <v>0</v>
      </c>
      <c r="AA56" s="445">
        <f t="shared" si="22"/>
        <v>0</v>
      </c>
      <c r="AB56" s="445">
        <f t="shared" si="22"/>
        <v>0</v>
      </c>
      <c r="AC56" s="445">
        <f t="shared" si="22"/>
        <v>0</v>
      </c>
      <c r="AD56" s="442"/>
      <c r="AE56" s="431"/>
      <c r="AF56" s="444" cm="1">
        <f t="array" ref="AF56">$E56*IFERROR(IF($D56&lt;=AF$8,INDEX($E$32:$E$37,MATCH(AF$8,$AF$8:$CA$8,0)-MATCH($D56,$D$45:$D$92,0)+1,0),0),1)</f>
        <v>0</v>
      </c>
      <c r="AG56" s="444" cm="1">
        <f t="array" ref="AG56">$E56*IFERROR(IF($D56&lt;=AG$8,INDEX($E$32:$E$37,MATCH(AG$8,$AF$8:$CA$8,0)-MATCH($D56,$D$45:$D$92,0)+1,0),0),1)</f>
        <v>0</v>
      </c>
      <c r="AH56" s="444" cm="1">
        <f t="array" ref="AH56">$E56*IFERROR(IF($D56&lt;=AH$8,INDEX($E$32:$E$37,MATCH(AH$8,$AF$8:$CA$8,0)-MATCH($D56,$D$45:$D$92,0)+1,0),0),1)</f>
        <v>0</v>
      </c>
      <c r="AI56" s="444" cm="1">
        <f t="array" ref="AI56">$E56*IFERROR(IF($D56&lt;=AI$8,INDEX($E$32:$E$37,MATCH(AI$8,$AF$8:$CA$8,0)-MATCH($D56,$D$45:$D$92,0)+1,0),0),1)</f>
        <v>0</v>
      </c>
      <c r="AJ56" s="444" cm="1">
        <f t="array" ref="AJ56">$E56*IFERROR(IF($D56&lt;=AJ$8,INDEX($E$32:$E$37,MATCH(AJ$8,$AF$8:$CA$8,0)-MATCH($D56,$D$45:$D$92,0)+1,0),0),1)</f>
        <v>0</v>
      </c>
      <c r="AK56" s="444" cm="1">
        <f t="array" ref="AK56">$E56*IFERROR(IF($D56&lt;=AK$8,INDEX($E$32:$E$37,MATCH(AK$8,$AF$8:$CA$8,0)-MATCH($D56,$D$45:$D$92,0)+1,0),0),1)</f>
        <v>0</v>
      </c>
      <c r="AL56" s="444" cm="1">
        <f t="array" ref="AL56">$E56*IFERROR(IF($D56&lt;=AL$8,INDEX($E$32:$E$37,MATCH(AL$8,$AF$8:$CA$8,0)-MATCH($D56,$D$45:$D$92,0)+1,0),0),1)</f>
        <v>0</v>
      </c>
      <c r="AM56" s="444" cm="1">
        <f t="array" ref="AM56">$E56*IFERROR(IF($D56&lt;=AM$8,INDEX($E$32:$E$37,MATCH(AM$8,$AF$8:$CA$8,0)-MATCH($D56,$D$45:$D$92,0)+1,0),0),1)</f>
        <v>0</v>
      </c>
      <c r="AN56" s="444" cm="1">
        <f t="array" ref="AN56">$E56*IFERROR(IF($D56&lt;=AN$8,INDEX($E$32:$E$37,MATCH(AN$8,$AF$8:$CA$8,0)-MATCH($D56,$D$45:$D$92,0)+1,0),0),1)</f>
        <v>0</v>
      </c>
      <c r="AO56" s="444" cm="1">
        <f t="array" ref="AO56">$E56*IFERROR(IF($D56&lt;=AO$8,INDEX($E$32:$E$37,MATCH(AO$8,$AF$8:$CA$8,0)-MATCH($D56,$D$45:$D$92,0)+1,0),0),1)</f>
        <v>0</v>
      </c>
      <c r="AP56" s="444" cm="1">
        <f t="array" ref="AP56">$E56*IFERROR(IF($D56&lt;=AP$8,INDEX($E$32:$E$37,MATCH(AP$8,$AF$8:$CA$8,0)-MATCH($D56,$D$45:$D$92,0)+1,0),0),1)</f>
        <v>0</v>
      </c>
      <c r="AQ56" s="444" cm="1">
        <f t="array" ref="AQ56">$E56*IFERROR(IF($D56&lt;=AQ$8,INDEX($E$32:$E$37,MATCH(AQ$8,$AF$8:$CA$8,0)-MATCH($D56,$D$45:$D$92,0)+1,0),0),1)</f>
        <v>0</v>
      </c>
      <c r="AR56" s="444" cm="1">
        <f t="array" ref="AR56">$E56*IFERROR(IF($D56&lt;=AR$8,INDEX($E$32:$E$37,MATCH(AR$8,$AF$8:$CA$8,0)-MATCH($D56,$D$45:$D$92,0)+1,0),0),1)</f>
        <v>0</v>
      </c>
      <c r="AS56" s="444" cm="1">
        <f t="array" ref="AS56">$E56*IFERROR(IF($D56&lt;=AS$8,INDEX($E$32:$E$37,MATCH(AS$8,$AF$8:$CA$8,0)-MATCH($D56,$D$45:$D$92,0)+1,0),0),1)</f>
        <v>0</v>
      </c>
      <c r="AT56" s="444" cm="1">
        <f t="array" ref="AT56">$E56*IFERROR(IF($D56&lt;=AT$8,INDEX($E$32:$E$37,MATCH(AT$8,$AF$8:$CA$8,0)-MATCH($D56,$D$45:$D$92,0)+1,0),0),1)</f>
        <v>0</v>
      </c>
      <c r="AU56" s="444" cm="1">
        <f t="array" ref="AU56">$E56*IFERROR(IF($D56&lt;=AU$8,INDEX($E$32:$E$37,MATCH(AU$8,$AF$8:$CA$8,0)-MATCH($D56,$D$45:$D$92,0)+1,0),0),1)</f>
        <v>0</v>
      </c>
      <c r="AV56" s="444" cm="1">
        <f t="array" ref="AV56">$E56*IFERROR(IF($D56&lt;=AV$8,INDEX($E$32:$E$37,MATCH(AV$8,$AF$8:$CA$8,0)-MATCH($D56,$D$45:$D$92,0)+1,0),0),1)</f>
        <v>0</v>
      </c>
      <c r="AW56" s="444" cm="1">
        <f t="array" ref="AW56">$E56*IFERROR(IF($D56&lt;=AW$8,INDEX($E$32:$E$37,MATCH(AW$8,$AF$8:$CA$8,0)-MATCH($D56,$D$45:$D$92,0)+1,0),0),1)</f>
        <v>0</v>
      </c>
      <c r="AX56" s="444" cm="1">
        <f t="array" ref="AX56">$E56*IFERROR(IF($D56&lt;=AX$8,INDEX($E$32:$E$37,MATCH(AX$8,$AF$8:$CA$8,0)-MATCH($D56,$D$45:$D$92,0)+1,0),0),1)</f>
        <v>0</v>
      </c>
      <c r="AY56" s="444" cm="1">
        <f t="array" ref="AY56">$E56*IFERROR(IF($D56&lt;=AY$8,INDEX($E$32:$E$37,MATCH(AY$8,$AF$8:$CA$8,0)-MATCH($D56,$D$45:$D$92,0)+1,0),0),1)</f>
        <v>0</v>
      </c>
      <c r="AZ56" s="444" cm="1">
        <f t="array" ref="AZ56">$E56*IFERROR(IF($D56&lt;=AZ$8,INDEX($E$32:$E$37,MATCH(AZ$8,$AF$8:$CA$8,0)-MATCH($D56,$D$45:$D$92,0)+1,0),0),1)</f>
        <v>0</v>
      </c>
      <c r="BA56" s="444" cm="1">
        <f t="array" ref="BA56">$E56*IFERROR(IF($D56&lt;=BA$8,INDEX($E$32:$E$37,MATCH(BA$8,$AF$8:$CA$8,0)-MATCH($D56,$D$45:$D$92,0)+1,0),0),1)</f>
        <v>0</v>
      </c>
      <c r="BB56" s="444" cm="1">
        <f t="array" ref="BB56">$E56*IFERROR(IF($D56&lt;=BB$8,INDEX($E$32:$E$37,MATCH(BB$8,$AF$8:$CA$8,0)-MATCH($D56,$D$45:$D$92,0)+1,0),0),1)</f>
        <v>0</v>
      </c>
      <c r="BC56" s="444" cm="1">
        <f t="array" ref="BC56">$E56*IFERROR(IF($D56&lt;=BC$8,INDEX($E$32:$E$37,MATCH(BC$8,$AF$8:$CA$8,0)-MATCH($D56,$D$45:$D$92,0)+1,0),0),1)</f>
        <v>0</v>
      </c>
      <c r="BD56" s="444" cm="1">
        <f t="array" ref="BD56">$E56*IFERROR(IF($D56&lt;=BD$8,INDEX($E$32:$E$37,MATCH(BD$8,$AF$8:$CA$8,0)-MATCH($D56,$D$45:$D$92,0)+1,0),0),1)</f>
        <v>0</v>
      </c>
      <c r="BE56" s="444" cm="1">
        <f t="array" ref="BE56">$E56*IFERROR(IF($D56&lt;=BE$8,INDEX($E$32:$E$37,MATCH(BE$8,$AF$8:$CA$8,0)-MATCH($D56,$D$45:$D$92,0)+1,0),0),1)</f>
        <v>0</v>
      </c>
      <c r="BF56" s="444" cm="1">
        <f t="array" ref="BF56">$E56*IFERROR(IF($D56&lt;=BF$8,INDEX($E$32:$E$37,MATCH(BF$8,$AF$8:$CA$8,0)-MATCH($D56,$D$45:$D$92,0)+1,0),0),1)</f>
        <v>0</v>
      </c>
      <c r="BG56" s="444" cm="1">
        <f t="array" ref="BG56">$E56*IFERROR(IF($D56&lt;=BG$8,INDEX($E$32:$E$37,MATCH(BG$8,$AF$8:$CA$8,0)-MATCH($D56,$D$45:$D$92,0)+1,0),0),1)</f>
        <v>0</v>
      </c>
      <c r="BH56" s="444" cm="1">
        <f t="array" ref="BH56">$E56*IFERROR(IF($D56&lt;=BH$8,INDEX($E$32:$E$37,MATCH(BH$8,$AF$8:$CA$8,0)-MATCH($D56,$D$45:$D$92,0)+1,0),0),1)</f>
        <v>0</v>
      </c>
      <c r="BI56" s="444" cm="1">
        <f t="array" ref="BI56">$E56*IFERROR(IF($D56&lt;=BI$8,INDEX($E$32:$E$37,MATCH(BI$8,$AF$8:$CA$8,0)-MATCH($D56,$D$45:$D$92,0)+1,0),0),1)</f>
        <v>0</v>
      </c>
      <c r="BJ56" s="444" cm="1">
        <f t="array" ref="BJ56">$E56*IFERROR(IF($D56&lt;=BJ$8,INDEX($E$32:$E$37,MATCH(BJ$8,$AF$8:$CA$8,0)-MATCH($D56,$D$45:$D$92,0)+1,0),0),1)</f>
        <v>0</v>
      </c>
      <c r="BK56" s="444" cm="1">
        <f t="array" ref="BK56">$E56*IFERROR(IF($D56&lt;=BK$8,INDEX($E$32:$E$37,MATCH(BK$8,$AF$8:$CA$8,0)-MATCH($D56,$D$45:$D$92,0)+1,0),0),1)</f>
        <v>0</v>
      </c>
      <c r="BL56" s="444" cm="1">
        <f t="array" ref="BL56">$E56*IFERROR(IF($D56&lt;=BL$8,INDEX($E$32:$E$37,MATCH(BL$8,$AF$8:$CA$8,0)-MATCH($D56,$D$45:$D$92,0)+1,0),0),1)</f>
        <v>0</v>
      </c>
      <c r="BM56" s="444" cm="1">
        <f t="array" ref="BM56">$E56*IFERROR(IF($D56&lt;=BM$8,INDEX($E$32:$E$37,MATCH(BM$8,$AF$8:$CA$8,0)-MATCH($D56,$D$45:$D$92,0)+1,0),0),1)</f>
        <v>0</v>
      </c>
      <c r="BN56" s="444" cm="1">
        <f t="array" ref="BN56">$E56*IFERROR(IF($D56&lt;=BN$8,INDEX($E$32:$E$37,MATCH(BN$8,$AF$8:$CA$8,0)-MATCH($D56,$D$45:$D$92,0)+1,0),0),1)</f>
        <v>0</v>
      </c>
      <c r="BO56" s="444" cm="1">
        <f t="array" ref="BO56">$E56*IFERROR(IF($D56&lt;=BO$8,INDEX($E$32:$E$37,MATCH(BO$8,$AF$8:$CA$8,0)-MATCH($D56,$D$45:$D$92,0)+1,0),0),1)</f>
        <v>0</v>
      </c>
      <c r="BP56" s="444" cm="1">
        <f t="array" ref="BP56">$E56*IFERROR(IF($D56&lt;=BP$8,INDEX($E$32:$E$37,MATCH(BP$8,$AF$8:$CA$8,0)-MATCH($D56,$D$45:$D$92,0)+1,0),0),1)</f>
        <v>0</v>
      </c>
      <c r="BQ56" s="444" cm="1">
        <f t="array" ref="BQ56">$E56*IFERROR(IF($D56&lt;=BQ$8,INDEX($E$32:$E$37,MATCH(BQ$8,$AF$8:$CA$8,0)-MATCH($D56,$D$45:$D$92,0)+1,0),0),1)</f>
        <v>0</v>
      </c>
      <c r="BR56" s="444" cm="1">
        <f t="array" ref="BR56">$E56*IFERROR(IF($D56&lt;=BR$8,INDEX($E$32:$E$37,MATCH(BR$8,$AF$8:$CA$8,0)-MATCH($D56,$D$45:$D$92,0)+1,0),0),1)</f>
        <v>0</v>
      </c>
      <c r="BS56" s="444" cm="1">
        <f t="array" ref="BS56">$E56*IFERROR(IF($D56&lt;=BS$8,INDEX($E$32:$E$37,MATCH(BS$8,$AF$8:$CA$8,0)-MATCH($D56,$D$45:$D$92,0)+1,0),0),1)</f>
        <v>0</v>
      </c>
      <c r="BT56" s="444" cm="1">
        <f t="array" ref="BT56">$E56*IFERROR(IF($D56&lt;=BT$8,INDEX($E$32:$E$37,MATCH(BT$8,$AF$8:$CA$8,0)-MATCH($D56,$D$45:$D$92,0)+1,0),0),1)</f>
        <v>0</v>
      </c>
      <c r="BU56" s="444" cm="1">
        <f t="array" ref="BU56">$E56*IFERROR(IF($D56&lt;=BU$8,INDEX($E$32:$E$37,MATCH(BU$8,$AF$8:$CA$8,0)-MATCH($D56,$D$45:$D$92,0)+1,0),0),1)</f>
        <v>0</v>
      </c>
      <c r="BV56" s="444" cm="1">
        <f t="array" ref="BV56">$E56*IFERROR(IF($D56&lt;=BV$8,INDEX($E$32:$E$37,MATCH(BV$8,$AF$8:$CA$8,0)-MATCH($D56,$D$45:$D$92,0)+1,0),0),1)</f>
        <v>0</v>
      </c>
      <c r="BW56" s="444" cm="1">
        <f t="array" ref="BW56">$E56*IFERROR(IF($D56&lt;=BW$8,INDEX($E$32:$E$37,MATCH(BW$8,$AF$8:$CA$8,0)-MATCH($D56,$D$45:$D$92,0)+1,0),0),1)</f>
        <v>0</v>
      </c>
      <c r="BX56" s="444" cm="1">
        <f t="array" ref="BX56">$E56*IFERROR(IF($D56&lt;=BX$8,INDEX($E$32:$E$37,MATCH(BX$8,$AF$8:$CA$8,0)-MATCH($D56,$D$45:$D$92,0)+1,0),0),1)</f>
        <v>0</v>
      </c>
      <c r="BY56" s="444" cm="1">
        <f t="array" ref="BY56">$E56*IFERROR(IF($D56&lt;=BY$8,INDEX($E$32:$E$37,MATCH(BY$8,$AF$8:$CA$8,0)-MATCH($D56,$D$45:$D$92,0)+1,0),0),1)</f>
        <v>0</v>
      </c>
      <c r="BZ56" s="444" cm="1">
        <f t="array" ref="BZ56">$E56*IFERROR(IF($D56&lt;=BZ$8,INDEX($E$32:$E$37,MATCH(BZ$8,$AF$8:$CA$8,0)-MATCH($D56,$D$45:$D$92,0)+1,0),0),1)</f>
        <v>0</v>
      </c>
      <c r="CA56" s="444" cm="1">
        <f t="array" ref="CA56">$E56*IFERROR(IF($D56&lt;=CA$8,INDEX($E$32:$E$37,MATCH(CA$8,$AF$8:$CA$8,0)-MATCH($D56,$D$45:$D$92,0)+1,0),0),1)</f>
        <v>0</v>
      </c>
    </row>
    <row r="57" spans="4:79" ht="21" hidden="1" customHeight="1" outlineLevel="3">
      <c r="D57" s="374">
        <f t="shared" si="21"/>
        <v>45322</v>
      </c>
      <c r="E57" s="446" cm="1">
        <f t="array" ref="E57">INDEX($AF$41:$CA$41,0,MATCH($D57,$AF$8:$CA$8,0))</f>
        <v>0</v>
      </c>
      <c r="G57" s="431"/>
      <c r="H57" s="445">
        <f t="shared" si="19"/>
        <v>0</v>
      </c>
      <c r="I57" s="445">
        <f t="shared" si="19"/>
        <v>0</v>
      </c>
      <c r="J57" s="445">
        <f t="shared" si="19"/>
        <v>0</v>
      </c>
      <c r="K57" s="445">
        <f t="shared" si="19"/>
        <v>0</v>
      </c>
      <c r="L57" s="442"/>
      <c r="M57" s="359"/>
      <c r="N57" s="445">
        <f t="shared" si="22"/>
        <v>0</v>
      </c>
      <c r="O57" s="445">
        <f t="shared" si="22"/>
        <v>0</v>
      </c>
      <c r="P57" s="445">
        <f t="shared" si="22"/>
        <v>0</v>
      </c>
      <c r="Q57" s="445">
        <f t="shared" si="22"/>
        <v>0</v>
      </c>
      <c r="R57" s="445">
        <f t="shared" si="22"/>
        <v>0</v>
      </c>
      <c r="S57" s="445">
        <f t="shared" si="22"/>
        <v>0</v>
      </c>
      <c r="T57" s="445">
        <f t="shared" si="22"/>
        <v>0</v>
      </c>
      <c r="U57" s="445">
        <f t="shared" si="22"/>
        <v>0</v>
      </c>
      <c r="V57" s="445">
        <f t="shared" si="22"/>
        <v>0</v>
      </c>
      <c r="W57" s="445">
        <f t="shared" si="22"/>
        <v>0</v>
      </c>
      <c r="X57" s="445">
        <f t="shared" si="22"/>
        <v>0</v>
      </c>
      <c r="Y57" s="445">
        <f t="shared" si="22"/>
        <v>0</v>
      </c>
      <c r="Z57" s="445">
        <f t="shared" si="22"/>
        <v>0</v>
      </c>
      <c r="AA57" s="445">
        <f t="shared" si="22"/>
        <v>0</v>
      </c>
      <c r="AB57" s="445">
        <f t="shared" si="22"/>
        <v>0</v>
      </c>
      <c r="AC57" s="445">
        <f t="shared" si="22"/>
        <v>0</v>
      </c>
      <c r="AD57" s="442"/>
      <c r="AE57" s="359"/>
      <c r="AF57" s="444" cm="1">
        <f t="array" ref="AF57">$E57*IFERROR(IF($D57&lt;=AF$8,INDEX($E$32:$E$37,MATCH(AF$8,$AF$8:$CA$8,0)-MATCH($D57,$D$45:$D$92,0)+1,0),0),1)</f>
        <v>0</v>
      </c>
      <c r="AG57" s="444" cm="1">
        <f t="array" ref="AG57">$E57*IFERROR(IF($D57&lt;=AG$8,INDEX($E$32:$E$37,MATCH(AG$8,$AF$8:$CA$8,0)-MATCH($D57,$D$45:$D$92,0)+1,0),0),1)</f>
        <v>0</v>
      </c>
      <c r="AH57" s="444" cm="1">
        <f t="array" ref="AH57">$E57*IFERROR(IF($D57&lt;=AH$8,INDEX($E$32:$E$37,MATCH(AH$8,$AF$8:$CA$8,0)-MATCH($D57,$D$45:$D$92,0)+1,0),0),1)</f>
        <v>0</v>
      </c>
      <c r="AI57" s="444" cm="1">
        <f t="array" ref="AI57">$E57*IFERROR(IF($D57&lt;=AI$8,INDEX($E$32:$E$37,MATCH(AI$8,$AF$8:$CA$8,0)-MATCH($D57,$D$45:$D$92,0)+1,0),0),1)</f>
        <v>0</v>
      </c>
      <c r="AJ57" s="444" cm="1">
        <f t="array" ref="AJ57">$E57*IFERROR(IF($D57&lt;=AJ$8,INDEX($E$32:$E$37,MATCH(AJ$8,$AF$8:$CA$8,0)-MATCH($D57,$D$45:$D$92,0)+1,0),0),1)</f>
        <v>0</v>
      </c>
      <c r="AK57" s="444" cm="1">
        <f t="array" ref="AK57">$E57*IFERROR(IF($D57&lt;=AK$8,INDEX($E$32:$E$37,MATCH(AK$8,$AF$8:$CA$8,0)-MATCH($D57,$D$45:$D$92,0)+1,0),0),1)</f>
        <v>0</v>
      </c>
      <c r="AL57" s="444" cm="1">
        <f t="array" ref="AL57">$E57*IFERROR(IF($D57&lt;=AL$8,INDEX($E$32:$E$37,MATCH(AL$8,$AF$8:$CA$8,0)-MATCH($D57,$D$45:$D$92,0)+1,0),0),1)</f>
        <v>0</v>
      </c>
      <c r="AM57" s="444" cm="1">
        <f t="array" ref="AM57">$E57*IFERROR(IF($D57&lt;=AM$8,INDEX($E$32:$E$37,MATCH(AM$8,$AF$8:$CA$8,0)-MATCH($D57,$D$45:$D$92,0)+1,0),0),1)</f>
        <v>0</v>
      </c>
      <c r="AN57" s="444" cm="1">
        <f t="array" ref="AN57">$E57*IFERROR(IF($D57&lt;=AN$8,INDEX($E$32:$E$37,MATCH(AN$8,$AF$8:$CA$8,0)-MATCH($D57,$D$45:$D$92,0)+1,0),0),1)</f>
        <v>0</v>
      </c>
      <c r="AO57" s="444" cm="1">
        <f t="array" ref="AO57">$E57*IFERROR(IF($D57&lt;=AO$8,INDEX($E$32:$E$37,MATCH(AO$8,$AF$8:$CA$8,0)-MATCH($D57,$D$45:$D$92,0)+1,0),0),1)</f>
        <v>0</v>
      </c>
      <c r="AP57" s="444" cm="1">
        <f t="array" ref="AP57">$E57*IFERROR(IF($D57&lt;=AP$8,INDEX($E$32:$E$37,MATCH(AP$8,$AF$8:$CA$8,0)-MATCH($D57,$D$45:$D$92,0)+1,0),0),1)</f>
        <v>0</v>
      </c>
      <c r="AQ57" s="444" cm="1">
        <f t="array" ref="AQ57">$E57*IFERROR(IF($D57&lt;=AQ$8,INDEX($E$32:$E$37,MATCH(AQ$8,$AF$8:$CA$8,0)-MATCH($D57,$D$45:$D$92,0)+1,0),0),1)</f>
        <v>0</v>
      </c>
      <c r="AR57" s="444" cm="1">
        <f t="array" ref="AR57">$E57*IFERROR(IF($D57&lt;=AR$8,INDEX($E$32:$E$37,MATCH(AR$8,$AF$8:$CA$8,0)-MATCH($D57,$D$45:$D$92,0)+1,0),0),1)</f>
        <v>0</v>
      </c>
      <c r="AS57" s="444" cm="1">
        <f t="array" ref="AS57">$E57*IFERROR(IF($D57&lt;=AS$8,INDEX($E$32:$E$37,MATCH(AS$8,$AF$8:$CA$8,0)-MATCH($D57,$D$45:$D$92,0)+1,0),0),1)</f>
        <v>0</v>
      </c>
      <c r="AT57" s="444" cm="1">
        <f t="array" ref="AT57">$E57*IFERROR(IF($D57&lt;=AT$8,INDEX($E$32:$E$37,MATCH(AT$8,$AF$8:$CA$8,0)-MATCH($D57,$D$45:$D$92,0)+1,0),0),1)</f>
        <v>0</v>
      </c>
      <c r="AU57" s="444" cm="1">
        <f t="array" ref="AU57">$E57*IFERROR(IF($D57&lt;=AU$8,INDEX($E$32:$E$37,MATCH(AU$8,$AF$8:$CA$8,0)-MATCH($D57,$D$45:$D$92,0)+1,0),0),1)</f>
        <v>0</v>
      </c>
      <c r="AV57" s="444" cm="1">
        <f t="array" ref="AV57">$E57*IFERROR(IF($D57&lt;=AV$8,INDEX($E$32:$E$37,MATCH(AV$8,$AF$8:$CA$8,0)-MATCH($D57,$D$45:$D$92,0)+1,0),0),1)</f>
        <v>0</v>
      </c>
      <c r="AW57" s="444" cm="1">
        <f t="array" ref="AW57">$E57*IFERROR(IF($D57&lt;=AW$8,INDEX($E$32:$E$37,MATCH(AW$8,$AF$8:$CA$8,0)-MATCH($D57,$D$45:$D$92,0)+1,0),0),1)</f>
        <v>0</v>
      </c>
      <c r="AX57" s="444" cm="1">
        <f t="array" ref="AX57">$E57*IFERROR(IF($D57&lt;=AX$8,INDEX($E$32:$E$37,MATCH(AX$8,$AF$8:$CA$8,0)-MATCH($D57,$D$45:$D$92,0)+1,0),0),1)</f>
        <v>0</v>
      </c>
      <c r="AY57" s="444" cm="1">
        <f t="array" ref="AY57">$E57*IFERROR(IF($D57&lt;=AY$8,INDEX($E$32:$E$37,MATCH(AY$8,$AF$8:$CA$8,0)-MATCH($D57,$D$45:$D$92,0)+1,0),0),1)</f>
        <v>0</v>
      </c>
      <c r="AZ57" s="444" cm="1">
        <f t="array" ref="AZ57">$E57*IFERROR(IF($D57&lt;=AZ$8,INDEX($E$32:$E$37,MATCH(AZ$8,$AF$8:$CA$8,0)-MATCH($D57,$D$45:$D$92,0)+1,0),0),1)</f>
        <v>0</v>
      </c>
      <c r="BA57" s="444" cm="1">
        <f t="array" ref="BA57">$E57*IFERROR(IF($D57&lt;=BA$8,INDEX($E$32:$E$37,MATCH(BA$8,$AF$8:$CA$8,0)-MATCH($D57,$D$45:$D$92,0)+1,0),0),1)</f>
        <v>0</v>
      </c>
      <c r="BB57" s="444" cm="1">
        <f t="array" ref="BB57">$E57*IFERROR(IF($D57&lt;=BB$8,INDEX($E$32:$E$37,MATCH(BB$8,$AF$8:$CA$8,0)-MATCH($D57,$D$45:$D$92,0)+1,0),0),1)</f>
        <v>0</v>
      </c>
      <c r="BC57" s="444" cm="1">
        <f t="array" ref="BC57">$E57*IFERROR(IF($D57&lt;=BC$8,INDEX($E$32:$E$37,MATCH(BC$8,$AF$8:$CA$8,0)-MATCH($D57,$D$45:$D$92,0)+1,0),0),1)</f>
        <v>0</v>
      </c>
      <c r="BD57" s="444" cm="1">
        <f t="array" ref="BD57">$E57*IFERROR(IF($D57&lt;=BD$8,INDEX($E$32:$E$37,MATCH(BD$8,$AF$8:$CA$8,0)-MATCH($D57,$D$45:$D$92,0)+1,0),0),1)</f>
        <v>0</v>
      </c>
      <c r="BE57" s="444" cm="1">
        <f t="array" ref="BE57">$E57*IFERROR(IF($D57&lt;=BE$8,INDEX($E$32:$E$37,MATCH(BE$8,$AF$8:$CA$8,0)-MATCH($D57,$D$45:$D$92,0)+1,0),0),1)</f>
        <v>0</v>
      </c>
      <c r="BF57" s="444" cm="1">
        <f t="array" ref="BF57">$E57*IFERROR(IF($D57&lt;=BF$8,INDEX($E$32:$E$37,MATCH(BF$8,$AF$8:$CA$8,0)-MATCH($D57,$D$45:$D$92,0)+1,0),0),1)</f>
        <v>0</v>
      </c>
      <c r="BG57" s="444" cm="1">
        <f t="array" ref="BG57">$E57*IFERROR(IF($D57&lt;=BG$8,INDEX($E$32:$E$37,MATCH(BG$8,$AF$8:$CA$8,0)-MATCH($D57,$D$45:$D$92,0)+1,0),0),1)</f>
        <v>0</v>
      </c>
      <c r="BH57" s="444" cm="1">
        <f t="array" ref="BH57">$E57*IFERROR(IF($D57&lt;=BH$8,INDEX($E$32:$E$37,MATCH(BH$8,$AF$8:$CA$8,0)-MATCH($D57,$D$45:$D$92,0)+1,0),0),1)</f>
        <v>0</v>
      </c>
      <c r="BI57" s="444" cm="1">
        <f t="array" ref="BI57">$E57*IFERROR(IF($D57&lt;=BI$8,INDEX($E$32:$E$37,MATCH(BI$8,$AF$8:$CA$8,0)-MATCH($D57,$D$45:$D$92,0)+1,0),0),1)</f>
        <v>0</v>
      </c>
      <c r="BJ57" s="444" cm="1">
        <f t="array" ref="BJ57">$E57*IFERROR(IF($D57&lt;=BJ$8,INDEX($E$32:$E$37,MATCH(BJ$8,$AF$8:$CA$8,0)-MATCH($D57,$D$45:$D$92,0)+1,0),0),1)</f>
        <v>0</v>
      </c>
      <c r="BK57" s="444" cm="1">
        <f t="array" ref="BK57">$E57*IFERROR(IF($D57&lt;=BK$8,INDEX($E$32:$E$37,MATCH(BK$8,$AF$8:$CA$8,0)-MATCH($D57,$D$45:$D$92,0)+1,0),0),1)</f>
        <v>0</v>
      </c>
      <c r="BL57" s="444" cm="1">
        <f t="array" ref="BL57">$E57*IFERROR(IF($D57&lt;=BL$8,INDEX($E$32:$E$37,MATCH(BL$8,$AF$8:$CA$8,0)-MATCH($D57,$D$45:$D$92,0)+1,0),0),1)</f>
        <v>0</v>
      </c>
      <c r="BM57" s="444" cm="1">
        <f t="array" ref="BM57">$E57*IFERROR(IF($D57&lt;=BM$8,INDEX($E$32:$E$37,MATCH(BM$8,$AF$8:$CA$8,0)-MATCH($D57,$D$45:$D$92,0)+1,0),0),1)</f>
        <v>0</v>
      </c>
      <c r="BN57" s="444" cm="1">
        <f t="array" ref="BN57">$E57*IFERROR(IF($D57&lt;=BN$8,INDEX($E$32:$E$37,MATCH(BN$8,$AF$8:$CA$8,0)-MATCH($D57,$D$45:$D$92,0)+1,0),0),1)</f>
        <v>0</v>
      </c>
      <c r="BO57" s="444" cm="1">
        <f t="array" ref="BO57">$E57*IFERROR(IF($D57&lt;=BO$8,INDEX($E$32:$E$37,MATCH(BO$8,$AF$8:$CA$8,0)-MATCH($D57,$D$45:$D$92,0)+1,0),0),1)</f>
        <v>0</v>
      </c>
      <c r="BP57" s="444" cm="1">
        <f t="array" ref="BP57">$E57*IFERROR(IF($D57&lt;=BP$8,INDEX($E$32:$E$37,MATCH(BP$8,$AF$8:$CA$8,0)-MATCH($D57,$D$45:$D$92,0)+1,0),0),1)</f>
        <v>0</v>
      </c>
      <c r="BQ57" s="444" cm="1">
        <f t="array" ref="BQ57">$E57*IFERROR(IF($D57&lt;=BQ$8,INDEX($E$32:$E$37,MATCH(BQ$8,$AF$8:$CA$8,0)-MATCH($D57,$D$45:$D$92,0)+1,0),0),1)</f>
        <v>0</v>
      </c>
      <c r="BR57" s="444" cm="1">
        <f t="array" ref="BR57">$E57*IFERROR(IF($D57&lt;=BR$8,INDEX($E$32:$E$37,MATCH(BR$8,$AF$8:$CA$8,0)-MATCH($D57,$D$45:$D$92,0)+1,0),0),1)</f>
        <v>0</v>
      </c>
      <c r="BS57" s="444" cm="1">
        <f t="array" ref="BS57">$E57*IFERROR(IF($D57&lt;=BS$8,INDEX($E$32:$E$37,MATCH(BS$8,$AF$8:$CA$8,0)-MATCH($D57,$D$45:$D$92,0)+1,0),0),1)</f>
        <v>0</v>
      </c>
      <c r="BT57" s="444" cm="1">
        <f t="array" ref="BT57">$E57*IFERROR(IF($D57&lt;=BT$8,INDEX($E$32:$E$37,MATCH(BT$8,$AF$8:$CA$8,0)-MATCH($D57,$D$45:$D$92,0)+1,0),0),1)</f>
        <v>0</v>
      </c>
      <c r="BU57" s="444" cm="1">
        <f t="array" ref="BU57">$E57*IFERROR(IF($D57&lt;=BU$8,INDEX($E$32:$E$37,MATCH(BU$8,$AF$8:$CA$8,0)-MATCH($D57,$D$45:$D$92,0)+1,0),0),1)</f>
        <v>0</v>
      </c>
      <c r="BV57" s="444" cm="1">
        <f t="array" ref="BV57">$E57*IFERROR(IF($D57&lt;=BV$8,INDEX($E$32:$E$37,MATCH(BV$8,$AF$8:$CA$8,0)-MATCH($D57,$D$45:$D$92,0)+1,0),0),1)</f>
        <v>0</v>
      </c>
      <c r="BW57" s="444" cm="1">
        <f t="array" ref="BW57">$E57*IFERROR(IF($D57&lt;=BW$8,INDEX($E$32:$E$37,MATCH(BW$8,$AF$8:$CA$8,0)-MATCH($D57,$D$45:$D$92,0)+1,0),0),1)</f>
        <v>0</v>
      </c>
      <c r="BX57" s="444" cm="1">
        <f t="array" ref="BX57">$E57*IFERROR(IF($D57&lt;=BX$8,INDEX($E$32:$E$37,MATCH(BX$8,$AF$8:$CA$8,0)-MATCH($D57,$D$45:$D$92,0)+1,0),0),1)</f>
        <v>0</v>
      </c>
      <c r="BY57" s="444" cm="1">
        <f t="array" ref="BY57">$E57*IFERROR(IF($D57&lt;=BY$8,INDEX($E$32:$E$37,MATCH(BY$8,$AF$8:$CA$8,0)-MATCH($D57,$D$45:$D$92,0)+1,0),0),1)</f>
        <v>0</v>
      </c>
      <c r="BZ57" s="444" cm="1">
        <f t="array" ref="BZ57">$E57*IFERROR(IF($D57&lt;=BZ$8,INDEX($E$32:$E$37,MATCH(BZ$8,$AF$8:$CA$8,0)-MATCH($D57,$D$45:$D$92,0)+1,0),0),1)</f>
        <v>0</v>
      </c>
      <c r="CA57" s="444" cm="1">
        <f t="array" ref="CA57">$E57*IFERROR(IF($D57&lt;=CA$8,INDEX($E$32:$E$37,MATCH(CA$8,$AF$8:$CA$8,0)-MATCH($D57,$D$45:$D$92,0)+1,0),0),1)</f>
        <v>0</v>
      </c>
    </row>
    <row r="58" spans="4:79" ht="21" hidden="1" customHeight="1" outlineLevel="3">
      <c r="D58" s="374">
        <f t="shared" si="21"/>
        <v>45351</v>
      </c>
      <c r="E58" s="446" cm="1">
        <f t="array" ref="E58">INDEX($AF$41:$CA$41,0,MATCH($D58,$AF$8:$CA$8,0))</f>
        <v>1</v>
      </c>
      <c r="G58" s="431"/>
      <c r="H58" s="445">
        <f t="shared" si="19"/>
        <v>0</v>
      </c>
      <c r="I58" s="445">
        <f t="shared" si="19"/>
        <v>1</v>
      </c>
      <c r="J58" s="445">
        <f t="shared" si="19"/>
        <v>1</v>
      </c>
      <c r="K58" s="445">
        <f t="shared" si="19"/>
        <v>1</v>
      </c>
      <c r="L58" s="442"/>
      <c r="M58" s="431"/>
      <c r="N58" s="445">
        <f t="shared" si="22"/>
        <v>0</v>
      </c>
      <c r="O58" s="445">
        <f t="shared" si="22"/>
        <v>0</v>
      </c>
      <c r="P58" s="445">
        <f t="shared" si="22"/>
        <v>0</v>
      </c>
      <c r="Q58" s="445">
        <f t="shared" si="22"/>
        <v>0</v>
      </c>
      <c r="R58" s="445">
        <f t="shared" si="22"/>
        <v>0.5</v>
      </c>
      <c r="S58" s="445">
        <f t="shared" si="22"/>
        <v>1</v>
      </c>
      <c r="T58" s="445">
        <f t="shared" si="22"/>
        <v>1</v>
      </c>
      <c r="U58" s="445">
        <f t="shared" si="22"/>
        <v>1</v>
      </c>
      <c r="V58" s="445">
        <f t="shared" si="22"/>
        <v>1</v>
      </c>
      <c r="W58" s="445">
        <f t="shared" si="22"/>
        <v>1</v>
      </c>
      <c r="X58" s="445">
        <f t="shared" si="22"/>
        <v>1</v>
      </c>
      <c r="Y58" s="445">
        <f t="shared" si="22"/>
        <v>1</v>
      </c>
      <c r="Z58" s="445">
        <f t="shared" si="22"/>
        <v>1</v>
      </c>
      <c r="AA58" s="445">
        <f t="shared" si="22"/>
        <v>1</v>
      </c>
      <c r="AB58" s="445">
        <f t="shared" si="22"/>
        <v>1</v>
      </c>
      <c r="AC58" s="445">
        <f t="shared" si="22"/>
        <v>1</v>
      </c>
      <c r="AD58" s="442"/>
      <c r="AE58" s="431"/>
      <c r="AF58" s="444" cm="1">
        <f t="array" ref="AF58">$E58*IFERROR(IF($D58&lt;=AF$8,INDEX($E$32:$E$37,MATCH(AF$8,$AF$8:$CA$8,0)-MATCH($D58,$D$45:$D$92,0)+1,0),0),1)</f>
        <v>0</v>
      </c>
      <c r="AG58" s="444" cm="1">
        <f t="array" ref="AG58">$E58*IFERROR(IF($D58&lt;=AG$8,INDEX($E$32:$E$37,MATCH(AG$8,$AF$8:$CA$8,0)-MATCH($D58,$D$45:$D$92,0)+1,0),0),1)</f>
        <v>0</v>
      </c>
      <c r="AH58" s="444" cm="1">
        <f t="array" ref="AH58">$E58*IFERROR(IF($D58&lt;=AH$8,INDEX($E$32:$E$37,MATCH(AH$8,$AF$8:$CA$8,0)-MATCH($D58,$D$45:$D$92,0)+1,0),0),1)</f>
        <v>0</v>
      </c>
      <c r="AI58" s="444" cm="1">
        <f t="array" ref="AI58">$E58*IFERROR(IF($D58&lt;=AI$8,INDEX($E$32:$E$37,MATCH(AI$8,$AF$8:$CA$8,0)-MATCH($D58,$D$45:$D$92,0)+1,0),0),1)</f>
        <v>0</v>
      </c>
      <c r="AJ58" s="444" cm="1">
        <f t="array" ref="AJ58">$E58*IFERROR(IF($D58&lt;=AJ$8,INDEX($E$32:$E$37,MATCH(AJ$8,$AF$8:$CA$8,0)-MATCH($D58,$D$45:$D$92,0)+1,0),0),1)</f>
        <v>0</v>
      </c>
      <c r="AK58" s="444" cm="1">
        <f t="array" ref="AK58">$E58*IFERROR(IF($D58&lt;=AK$8,INDEX($E$32:$E$37,MATCH(AK$8,$AF$8:$CA$8,0)-MATCH($D58,$D$45:$D$92,0)+1,0),0),1)</f>
        <v>0</v>
      </c>
      <c r="AL58" s="444" cm="1">
        <f t="array" ref="AL58">$E58*IFERROR(IF($D58&lt;=AL$8,INDEX($E$32:$E$37,MATCH(AL$8,$AF$8:$CA$8,0)-MATCH($D58,$D$45:$D$92,0)+1,0),0),1)</f>
        <v>0</v>
      </c>
      <c r="AM58" s="444" cm="1">
        <f t="array" ref="AM58">$E58*IFERROR(IF($D58&lt;=AM$8,INDEX($E$32:$E$37,MATCH(AM$8,$AF$8:$CA$8,0)-MATCH($D58,$D$45:$D$92,0)+1,0),0),1)</f>
        <v>0</v>
      </c>
      <c r="AN58" s="444" cm="1">
        <f t="array" ref="AN58">$E58*IFERROR(IF($D58&lt;=AN$8,INDEX($E$32:$E$37,MATCH(AN$8,$AF$8:$CA$8,0)-MATCH($D58,$D$45:$D$92,0)+1,0),0),1)</f>
        <v>0</v>
      </c>
      <c r="AO58" s="444" cm="1">
        <f t="array" ref="AO58">$E58*IFERROR(IF($D58&lt;=AO$8,INDEX($E$32:$E$37,MATCH(AO$8,$AF$8:$CA$8,0)-MATCH($D58,$D$45:$D$92,0)+1,0),0),1)</f>
        <v>0</v>
      </c>
      <c r="AP58" s="444" cm="1">
        <f t="array" ref="AP58">$E58*IFERROR(IF($D58&lt;=AP$8,INDEX($E$32:$E$37,MATCH(AP$8,$AF$8:$CA$8,0)-MATCH($D58,$D$45:$D$92,0)+1,0),0),1)</f>
        <v>0</v>
      </c>
      <c r="AQ58" s="444" cm="1">
        <f t="array" ref="AQ58">$E58*IFERROR(IF($D58&lt;=AQ$8,INDEX($E$32:$E$37,MATCH(AQ$8,$AF$8:$CA$8,0)-MATCH($D58,$D$45:$D$92,0)+1,0),0),1)</f>
        <v>0</v>
      </c>
      <c r="AR58" s="444" cm="1">
        <f t="array" ref="AR58">$E58*IFERROR(IF($D58&lt;=AR$8,INDEX($E$32:$E$37,MATCH(AR$8,$AF$8:$CA$8,0)-MATCH($D58,$D$45:$D$92,0)+1,0),0),1)</f>
        <v>0</v>
      </c>
      <c r="AS58" s="444" cm="1">
        <f t="array" ref="AS58">$E58*IFERROR(IF($D58&lt;=AS$8,INDEX($E$32:$E$37,MATCH(AS$8,$AF$8:$CA$8,0)-MATCH($D58,$D$45:$D$92,0)+1,0),0),1)</f>
        <v>0.3</v>
      </c>
      <c r="AT58" s="444" cm="1">
        <f t="array" ref="AT58">$E58*IFERROR(IF($D58&lt;=AT$8,INDEX($E$32:$E$37,MATCH(AT$8,$AF$8:$CA$8,0)-MATCH($D58,$D$45:$D$92,0)+1,0),0),1)</f>
        <v>0.5</v>
      </c>
      <c r="AU58" s="444" cm="1">
        <f t="array" ref="AU58">$E58*IFERROR(IF($D58&lt;=AU$8,INDEX($E$32:$E$37,MATCH(AU$8,$AF$8:$CA$8,0)-MATCH($D58,$D$45:$D$92,0)+1,0),0),1)</f>
        <v>0.7</v>
      </c>
      <c r="AV58" s="444" cm="1">
        <f t="array" ref="AV58">$E58*IFERROR(IF($D58&lt;=AV$8,INDEX($E$32:$E$37,MATCH(AV$8,$AF$8:$CA$8,0)-MATCH($D58,$D$45:$D$92,0)+1,0),0),1)</f>
        <v>0.85</v>
      </c>
      <c r="AW58" s="444" cm="1">
        <f t="array" ref="AW58">$E58*IFERROR(IF($D58&lt;=AW$8,INDEX($E$32:$E$37,MATCH(AW$8,$AF$8:$CA$8,0)-MATCH($D58,$D$45:$D$92,0)+1,0),0),1)</f>
        <v>1</v>
      </c>
      <c r="AX58" s="444" cm="1">
        <f t="array" ref="AX58">$E58*IFERROR(IF($D58&lt;=AX$8,INDEX($E$32:$E$37,MATCH(AX$8,$AF$8:$CA$8,0)-MATCH($D58,$D$45:$D$92,0)+1,0),0),1)</f>
        <v>1</v>
      </c>
      <c r="AY58" s="444" cm="1">
        <f t="array" ref="AY58">$E58*IFERROR(IF($D58&lt;=AY$8,INDEX($E$32:$E$37,MATCH(AY$8,$AF$8:$CA$8,0)-MATCH($D58,$D$45:$D$92,0)+1,0),0),1)</f>
        <v>1</v>
      </c>
      <c r="AZ58" s="444" cm="1">
        <f t="array" ref="AZ58">$E58*IFERROR(IF($D58&lt;=AZ$8,INDEX($E$32:$E$37,MATCH(AZ$8,$AF$8:$CA$8,0)-MATCH($D58,$D$45:$D$92,0)+1,0),0),1)</f>
        <v>1</v>
      </c>
      <c r="BA58" s="444" cm="1">
        <f t="array" ref="BA58">$E58*IFERROR(IF($D58&lt;=BA$8,INDEX($E$32:$E$37,MATCH(BA$8,$AF$8:$CA$8,0)-MATCH($D58,$D$45:$D$92,0)+1,0),0),1)</f>
        <v>1</v>
      </c>
      <c r="BB58" s="444" cm="1">
        <f t="array" ref="BB58">$E58*IFERROR(IF($D58&lt;=BB$8,INDEX($E$32:$E$37,MATCH(BB$8,$AF$8:$CA$8,0)-MATCH($D58,$D$45:$D$92,0)+1,0),0),1)</f>
        <v>1</v>
      </c>
      <c r="BC58" s="444" cm="1">
        <f t="array" ref="BC58">$E58*IFERROR(IF($D58&lt;=BC$8,INDEX($E$32:$E$37,MATCH(BC$8,$AF$8:$CA$8,0)-MATCH($D58,$D$45:$D$92,0)+1,0),0),1)</f>
        <v>1</v>
      </c>
      <c r="BD58" s="444" cm="1">
        <f t="array" ref="BD58">$E58*IFERROR(IF($D58&lt;=BD$8,INDEX($E$32:$E$37,MATCH(BD$8,$AF$8:$CA$8,0)-MATCH($D58,$D$45:$D$92,0)+1,0),0),1)</f>
        <v>1</v>
      </c>
      <c r="BE58" s="444" cm="1">
        <f t="array" ref="BE58">$E58*IFERROR(IF($D58&lt;=BE$8,INDEX($E$32:$E$37,MATCH(BE$8,$AF$8:$CA$8,0)-MATCH($D58,$D$45:$D$92,0)+1,0),0),1)</f>
        <v>1</v>
      </c>
      <c r="BF58" s="444" cm="1">
        <f t="array" ref="BF58">$E58*IFERROR(IF($D58&lt;=BF$8,INDEX($E$32:$E$37,MATCH(BF$8,$AF$8:$CA$8,0)-MATCH($D58,$D$45:$D$92,0)+1,0),0),1)</f>
        <v>1</v>
      </c>
      <c r="BG58" s="444" cm="1">
        <f t="array" ref="BG58">$E58*IFERROR(IF($D58&lt;=BG$8,INDEX($E$32:$E$37,MATCH(BG$8,$AF$8:$CA$8,0)-MATCH($D58,$D$45:$D$92,0)+1,0),0),1)</f>
        <v>1</v>
      </c>
      <c r="BH58" s="444" cm="1">
        <f t="array" ref="BH58">$E58*IFERROR(IF($D58&lt;=BH$8,INDEX($E$32:$E$37,MATCH(BH$8,$AF$8:$CA$8,0)-MATCH($D58,$D$45:$D$92,0)+1,0),0),1)</f>
        <v>1</v>
      </c>
      <c r="BI58" s="444" cm="1">
        <f t="array" ref="BI58">$E58*IFERROR(IF($D58&lt;=BI$8,INDEX($E$32:$E$37,MATCH(BI$8,$AF$8:$CA$8,0)-MATCH($D58,$D$45:$D$92,0)+1,0),0),1)</f>
        <v>1</v>
      </c>
      <c r="BJ58" s="444" cm="1">
        <f t="array" ref="BJ58">$E58*IFERROR(IF($D58&lt;=BJ$8,INDEX($E$32:$E$37,MATCH(BJ$8,$AF$8:$CA$8,0)-MATCH($D58,$D$45:$D$92,0)+1,0),0),1)</f>
        <v>1</v>
      </c>
      <c r="BK58" s="444" cm="1">
        <f t="array" ref="BK58">$E58*IFERROR(IF($D58&lt;=BK$8,INDEX($E$32:$E$37,MATCH(BK$8,$AF$8:$CA$8,0)-MATCH($D58,$D$45:$D$92,0)+1,0),0),1)</f>
        <v>1</v>
      </c>
      <c r="BL58" s="444" cm="1">
        <f t="array" ref="BL58">$E58*IFERROR(IF($D58&lt;=BL$8,INDEX($E$32:$E$37,MATCH(BL$8,$AF$8:$CA$8,0)-MATCH($D58,$D$45:$D$92,0)+1,0),0),1)</f>
        <v>1</v>
      </c>
      <c r="BM58" s="444" cm="1">
        <f t="array" ref="BM58">$E58*IFERROR(IF($D58&lt;=BM$8,INDEX($E$32:$E$37,MATCH(BM$8,$AF$8:$CA$8,0)-MATCH($D58,$D$45:$D$92,0)+1,0),0),1)</f>
        <v>1</v>
      </c>
      <c r="BN58" s="444" cm="1">
        <f t="array" ref="BN58">$E58*IFERROR(IF($D58&lt;=BN$8,INDEX($E$32:$E$37,MATCH(BN$8,$AF$8:$CA$8,0)-MATCH($D58,$D$45:$D$92,0)+1,0),0),1)</f>
        <v>1</v>
      </c>
      <c r="BO58" s="444" cm="1">
        <f t="array" ref="BO58">$E58*IFERROR(IF($D58&lt;=BO$8,INDEX($E$32:$E$37,MATCH(BO$8,$AF$8:$CA$8,0)-MATCH($D58,$D$45:$D$92,0)+1,0),0),1)</f>
        <v>1</v>
      </c>
      <c r="BP58" s="444" cm="1">
        <f t="array" ref="BP58">$E58*IFERROR(IF($D58&lt;=BP$8,INDEX($E$32:$E$37,MATCH(BP$8,$AF$8:$CA$8,0)-MATCH($D58,$D$45:$D$92,0)+1,0),0),1)</f>
        <v>1</v>
      </c>
      <c r="BQ58" s="444" cm="1">
        <f t="array" ref="BQ58">$E58*IFERROR(IF($D58&lt;=BQ$8,INDEX($E$32:$E$37,MATCH(BQ$8,$AF$8:$CA$8,0)-MATCH($D58,$D$45:$D$92,0)+1,0),0),1)</f>
        <v>1</v>
      </c>
      <c r="BR58" s="444" cm="1">
        <f t="array" ref="BR58">$E58*IFERROR(IF($D58&lt;=BR$8,INDEX($E$32:$E$37,MATCH(BR$8,$AF$8:$CA$8,0)-MATCH($D58,$D$45:$D$92,0)+1,0),0),1)</f>
        <v>1</v>
      </c>
      <c r="BS58" s="444" cm="1">
        <f t="array" ref="BS58">$E58*IFERROR(IF($D58&lt;=BS$8,INDEX($E$32:$E$37,MATCH(BS$8,$AF$8:$CA$8,0)-MATCH($D58,$D$45:$D$92,0)+1,0),0),1)</f>
        <v>1</v>
      </c>
      <c r="BT58" s="444" cm="1">
        <f t="array" ref="BT58">$E58*IFERROR(IF($D58&lt;=BT$8,INDEX($E$32:$E$37,MATCH(BT$8,$AF$8:$CA$8,0)-MATCH($D58,$D$45:$D$92,0)+1,0),0),1)</f>
        <v>1</v>
      </c>
      <c r="BU58" s="444" cm="1">
        <f t="array" ref="BU58">$E58*IFERROR(IF($D58&lt;=BU$8,INDEX($E$32:$E$37,MATCH(BU$8,$AF$8:$CA$8,0)-MATCH($D58,$D$45:$D$92,0)+1,0),0),1)</f>
        <v>1</v>
      </c>
      <c r="BV58" s="444" cm="1">
        <f t="array" ref="BV58">$E58*IFERROR(IF($D58&lt;=BV$8,INDEX($E$32:$E$37,MATCH(BV$8,$AF$8:$CA$8,0)-MATCH($D58,$D$45:$D$92,0)+1,0),0),1)</f>
        <v>1</v>
      </c>
      <c r="BW58" s="444" cm="1">
        <f t="array" ref="BW58">$E58*IFERROR(IF($D58&lt;=BW$8,INDEX($E$32:$E$37,MATCH(BW$8,$AF$8:$CA$8,0)-MATCH($D58,$D$45:$D$92,0)+1,0),0),1)</f>
        <v>1</v>
      </c>
      <c r="BX58" s="444" cm="1">
        <f t="array" ref="BX58">$E58*IFERROR(IF($D58&lt;=BX$8,INDEX($E$32:$E$37,MATCH(BX$8,$AF$8:$CA$8,0)-MATCH($D58,$D$45:$D$92,0)+1,0),0),1)</f>
        <v>1</v>
      </c>
      <c r="BY58" s="444" cm="1">
        <f t="array" ref="BY58">$E58*IFERROR(IF($D58&lt;=BY$8,INDEX($E$32:$E$37,MATCH(BY$8,$AF$8:$CA$8,0)-MATCH($D58,$D$45:$D$92,0)+1,0),0),1)</f>
        <v>1</v>
      </c>
      <c r="BZ58" s="444" cm="1">
        <f t="array" ref="BZ58">$E58*IFERROR(IF($D58&lt;=BZ$8,INDEX($E$32:$E$37,MATCH(BZ$8,$AF$8:$CA$8,0)-MATCH($D58,$D$45:$D$92,0)+1,0),0),1)</f>
        <v>1</v>
      </c>
      <c r="CA58" s="444" cm="1">
        <f t="array" ref="CA58">$E58*IFERROR(IF($D58&lt;=CA$8,INDEX($E$32:$E$37,MATCH(CA$8,$AF$8:$CA$8,0)-MATCH($D58,$D$45:$D$92,0)+1,0),0),1)</f>
        <v>1</v>
      </c>
    </row>
    <row r="59" spans="4:79" ht="21" hidden="1" customHeight="1" outlineLevel="3">
      <c r="D59" s="374">
        <f t="shared" si="21"/>
        <v>45382</v>
      </c>
      <c r="E59" s="446" cm="1">
        <f t="array" ref="E59">INDEX($AF$41:$CA$41,0,MATCH($D59,$AF$8:$CA$8,0))</f>
        <v>1</v>
      </c>
      <c r="G59" s="431"/>
      <c r="H59" s="445">
        <f t="shared" si="19"/>
        <v>0</v>
      </c>
      <c r="I59" s="445">
        <f t="shared" si="19"/>
        <v>1</v>
      </c>
      <c r="J59" s="445">
        <f t="shared" si="19"/>
        <v>1</v>
      </c>
      <c r="K59" s="445">
        <f t="shared" si="19"/>
        <v>1</v>
      </c>
      <c r="L59" s="442"/>
      <c r="M59" s="431"/>
      <c r="N59" s="445">
        <f t="shared" si="22"/>
        <v>0</v>
      </c>
      <c r="O59" s="445">
        <f t="shared" si="22"/>
        <v>0</v>
      </c>
      <c r="P59" s="445">
        <f t="shared" si="22"/>
        <v>0</v>
      </c>
      <c r="Q59" s="445">
        <f t="shared" si="22"/>
        <v>0</v>
      </c>
      <c r="R59" s="445">
        <f t="shared" si="22"/>
        <v>0.3</v>
      </c>
      <c r="S59" s="445">
        <f t="shared" si="22"/>
        <v>0.85</v>
      </c>
      <c r="T59" s="445">
        <f t="shared" si="22"/>
        <v>1</v>
      </c>
      <c r="U59" s="445">
        <f t="shared" si="22"/>
        <v>1</v>
      </c>
      <c r="V59" s="445">
        <f t="shared" si="22"/>
        <v>1</v>
      </c>
      <c r="W59" s="445">
        <f t="shared" si="22"/>
        <v>1</v>
      </c>
      <c r="X59" s="445">
        <f t="shared" si="22"/>
        <v>1</v>
      </c>
      <c r="Y59" s="445">
        <f t="shared" si="22"/>
        <v>1</v>
      </c>
      <c r="Z59" s="445">
        <f t="shared" si="22"/>
        <v>1</v>
      </c>
      <c r="AA59" s="445">
        <f t="shared" si="22"/>
        <v>1</v>
      </c>
      <c r="AB59" s="445">
        <f t="shared" si="22"/>
        <v>1</v>
      </c>
      <c r="AC59" s="445">
        <f t="shared" si="22"/>
        <v>1</v>
      </c>
      <c r="AD59" s="442"/>
      <c r="AE59" s="431"/>
      <c r="AF59" s="444" cm="1">
        <f t="array" ref="AF59">$E59*IFERROR(IF($D59&lt;=AF$8,INDEX($E$32:$E$37,MATCH(AF$8,$AF$8:$CA$8,0)-MATCH($D59,$D$45:$D$92,0)+1,0),0),1)</f>
        <v>0</v>
      </c>
      <c r="AG59" s="444" cm="1">
        <f t="array" ref="AG59">$E59*IFERROR(IF($D59&lt;=AG$8,INDEX($E$32:$E$37,MATCH(AG$8,$AF$8:$CA$8,0)-MATCH($D59,$D$45:$D$92,0)+1,0),0),1)</f>
        <v>0</v>
      </c>
      <c r="AH59" s="444" cm="1">
        <f t="array" ref="AH59">$E59*IFERROR(IF($D59&lt;=AH$8,INDEX($E$32:$E$37,MATCH(AH$8,$AF$8:$CA$8,0)-MATCH($D59,$D$45:$D$92,0)+1,0),0),1)</f>
        <v>0</v>
      </c>
      <c r="AI59" s="444" cm="1">
        <f t="array" ref="AI59">$E59*IFERROR(IF($D59&lt;=AI$8,INDEX($E$32:$E$37,MATCH(AI$8,$AF$8:$CA$8,0)-MATCH($D59,$D$45:$D$92,0)+1,0),0),1)</f>
        <v>0</v>
      </c>
      <c r="AJ59" s="444" cm="1">
        <f t="array" ref="AJ59">$E59*IFERROR(IF($D59&lt;=AJ$8,INDEX($E$32:$E$37,MATCH(AJ$8,$AF$8:$CA$8,0)-MATCH($D59,$D$45:$D$92,0)+1,0),0),1)</f>
        <v>0</v>
      </c>
      <c r="AK59" s="444" cm="1">
        <f t="array" ref="AK59">$E59*IFERROR(IF($D59&lt;=AK$8,INDEX($E$32:$E$37,MATCH(AK$8,$AF$8:$CA$8,0)-MATCH($D59,$D$45:$D$92,0)+1,0),0),1)</f>
        <v>0</v>
      </c>
      <c r="AL59" s="444" cm="1">
        <f t="array" ref="AL59">$E59*IFERROR(IF($D59&lt;=AL$8,INDEX($E$32:$E$37,MATCH(AL$8,$AF$8:$CA$8,0)-MATCH($D59,$D$45:$D$92,0)+1,0),0),1)</f>
        <v>0</v>
      </c>
      <c r="AM59" s="444" cm="1">
        <f t="array" ref="AM59">$E59*IFERROR(IF($D59&lt;=AM$8,INDEX($E$32:$E$37,MATCH(AM$8,$AF$8:$CA$8,0)-MATCH($D59,$D$45:$D$92,0)+1,0),0),1)</f>
        <v>0</v>
      </c>
      <c r="AN59" s="444" cm="1">
        <f t="array" ref="AN59">$E59*IFERROR(IF($D59&lt;=AN$8,INDEX($E$32:$E$37,MATCH(AN$8,$AF$8:$CA$8,0)-MATCH($D59,$D$45:$D$92,0)+1,0),0),1)</f>
        <v>0</v>
      </c>
      <c r="AO59" s="444" cm="1">
        <f t="array" ref="AO59">$E59*IFERROR(IF($D59&lt;=AO$8,INDEX($E$32:$E$37,MATCH(AO$8,$AF$8:$CA$8,0)-MATCH($D59,$D$45:$D$92,0)+1,0),0),1)</f>
        <v>0</v>
      </c>
      <c r="AP59" s="444" cm="1">
        <f t="array" ref="AP59">$E59*IFERROR(IF($D59&lt;=AP$8,INDEX($E$32:$E$37,MATCH(AP$8,$AF$8:$CA$8,0)-MATCH($D59,$D$45:$D$92,0)+1,0),0),1)</f>
        <v>0</v>
      </c>
      <c r="AQ59" s="444" cm="1">
        <f t="array" ref="AQ59">$E59*IFERROR(IF($D59&lt;=AQ$8,INDEX($E$32:$E$37,MATCH(AQ$8,$AF$8:$CA$8,0)-MATCH($D59,$D$45:$D$92,0)+1,0),0),1)</f>
        <v>0</v>
      </c>
      <c r="AR59" s="444" cm="1">
        <f t="array" ref="AR59">$E59*IFERROR(IF($D59&lt;=AR$8,INDEX($E$32:$E$37,MATCH(AR$8,$AF$8:$CA$8,0)-MATCH($D59,$D$45:$D$92,0)+1,0),0),1)</f>
        <v>0</v>
      </c>
      <c r="AS59" s="444" cm="1">
        <f t="array" ref="AS59">$E59*IFERROR(IF($D59&lt;=AS$8,INDEX($E$32:$E$37,MATCH(AS$8,$AF$8:$CA$8,0)-MATCH($D59,$D$45:$D$92,0)+1,0),0),1)</f>
        <v>0</v>
      </c>
      <c r="AT59" s="444" cm="1">
        <f t="array" ref="AT59">$E59*IFERROR(IF($D59&lt;=AT$8,INDEX($E$32:$E$37,MATCH(AT$8,$AF$8:$CA$8,0)-MATCH($D59,$D$45:$D$92,0)+1,0),0),1)</f>
        <v>0.3</v>
      </c>
      <c r="AU59" s="444" cm="1">
        <f t="array" ref="AU59">$E59*IFERROR(IF($D59&lt;=AU$8,INDEX($E$32:$E$37,MATCH(AU$8,$AF$8:$CA$8,0)-MATCH($D59,$D$45:$D$92,0)+1,0),0),1)</f>
        <v>0.5</v>
      </c>
      <c r="AV59" s="444" cm="1">
        <f t="array" ref="AV59">$E59*IFERROR(IF($D59&lt;=AV$8,INDEX($E$32:$E$37,MATCH(AV$8,$AF$8:$CA$8,0)-MATCH($D59,$D$45:$D$92,0)+1,0),0),1)</f>
        <v>0.7</v>
      </c>
      <c r="AW59" s="444" cm="1">
        <f t="array" ref="AW59">$E59*IFERROR(IF($D59&lt;=AW$8,INDEX($E$32:$E$37,MATCH(AW$8,$AF$8:$CA$8,0)-MATCH($D59,$D$45:$D$92,0)+1,0),0),1)</f>
        <v>0.85</v>
      </c>
      <c r="AX59" s="444" cm="1">
        <f t="array" ref="AX59">$E59*IFERROR(IF($D59&lt;=AX$8,INDEX($E$32:$E$37,MATCH(AX$8,$AF$8:$CA$8,0)-MATCH($D59,$D$45:$D$92,0)+1,0),0),1)</f>
        <v>1</v>
      </c>
      <c r="AY59" s="444" cm="1">
        <f t="array" ref="AY59">$E59*IFERROR(IF($D59&lt;=AY$8,INDEX($E$32:$E$37,MATCH(AY$8,$AF$8:$CA$8,0)-MATCH($D59,$D$45:$D$92,0)+1,0),0),1)</f>
        <v>1</v>
      </c>
      <c r="AZ59" s="444" cm="1">
        <f t="array" ref="AZ59">$E59*IFERROR(IF($D59&lt;=AZ$8,INDEX($E$32:$E$37,MATCH(AZ$8,$AF$8:$CA$8,0)-MATCH($D59,$D$45:$D$92,0)+1,0),0),1)</f>
        <v>1</v>
      </c>
      <c r="BA59" s="444" cm="1">
        <f t="array" ref="BA59">$E59*IFERROR(IF($D59&lt;=BA$8,INDEX($E$32:$E$37,MATCH(BA$8,$AF$8:$CA$8,0)-MATCH($D59,$D$45:$D$92,0)+1,0),0),1)</f>
        <v>1</v>
      </c>
      <c r="BB59" s="444" cm="1">
        <f t="array" ref="BB59">$E59*IFERROR(IF($D59&lt;=BB$8,INDEX($E$32:$E$37,MATCH(BB$8,$AF$8:$CA$8,0)-MATCH($D59,$D$45:$D$92,0)+1,0),0),1)</f>
        <v>1</v>
      </c>
      <c r="BC59" s="444" cm="1">
        <f t="array" ref="BC59">$E59*IFERROR(IF($D59&lt;=BC$8,INDEX($E$32:$E$37,MATCH(BC$8,$AF$8:$CA$8,0)-MATCH($D59,$D$45:$D$92,0)+1,0),0),1)</f>
        <v>1</v>
      </c>
      <c r="BD59" s="444" cm="1">
        <f t="array" ref="BD59">$E59*IFERROR(IF($D59&lt;=BD$8,INDEX($E$32:$E$37,MATCH(BD$8,$AF$8:$CA$8,0)-MATCH($D59,$D$45:$D$92,0)+1,0),0),1)</f>
        <v>1</v>
      </c>
      <c r="BE59" s="444" cm="1">
        <f t="array" ref="BE59">$E59*IFERROR(IF($D59&lt;=BE$8,INDEX($E$32:$E$37,MATCH(BE$8,$AF$8:$CA$8,0)-MATCH($D59,$D$45:$D$92,0)+1,0),0),1)</f>
        <v>1</v>
      </c>
      <c r="BF59" s="444" cm="1">
        <f t="array" ref="BF59">$E59*IFERROR(IF($D59&lt;=BF$8,INDEX($E$32:$E$37,MATCH(BF$8,$AF$8:$CA$8,0)-MATCH($D59,$D$45:$D$92,0)+1,0),0),1)</f>
        <v>1</v>
      </c>
      <c r="BG59" s="444" cm="1">
        <f t="array" ref="BG59">$E59*IFERROR(IF($D59&lt;=BG$8,INDEX($E$32:$E$37,MATCH(BG$8,$AF$8:$CA$8,0)-MATCH($D59,$D$45:$D$92,0)+1,0),0),1)</f>
        <v>1</v>
      </c>
      <c r="BH59" s="444" cm="1">
        <f t="array" ref="BH59">$E59*IFERROR(IF($D59&lt;=BH$8,INDEX($E$32:$E$37,MATCH(BH$8,$AF$8:$CA$8,0)-MATCH($D59,$D$45:$D$92,0)+1,0),0),1)</f>
        <v>1</v>
      </c>
      <c r="BI59" s="444" cm="1">
        <f t="array" ref="BI59">$E59*IFERROR(IF($D59&lt;=BI$8,INDEX($E$32:$E$37,MATCH(BI$8,$AF$8:$CA$8,0)-MATCH($D59,$D$45:$D$92,0)+1,0),0),1)</f>
        <v>1</v>
      </c>
      <c r="BJ59" s="444" cm="1">
        <f t="array" ref="BJ59">$E59*IFERROR(IF($D59&lt;=BJ$8,INDEX($E$32:$E$37,MATCH(BJ$8,$AF$8:$CA$8,0)-MATCH($D59,$D$45:$D$92,0)+1,0),0),1)</f>
        <v>1</v>
      </c>
      <c r="BK59" s="444" cm="1">
        <f t="array" ref="BK59">$E59*IFERROR(IF($D59&lt;=BK$8,INDEX($E$32:$E$37,MATCH(BK$8,$AF$8:$CA$8,0)-MATCH($D59,$D$45:$D$92,0)+1,0),0),1)</f>
        <v>1</v>
      </c>
      <c r="BL59" s="444" cm="1">
        <f t="array" ref="BL59">$E59*IFERROR(IF($D59&lt;=BL$8,INDEX($E$32:$E$37,MATCH(BL$8,$AF$8:$CA$8,0)-MATCH($D59,$D$45:$D$92,0)+1,0),0),1)</f>
        <v>1</v>
      </c>
      <c r="BM59" s="444" cm="1">
        <f t="array" ref="BM59">$E59*IFERROR(IF($D59&lt;=BM$8,INDEX($E$32:$E$37,MATCH(BM$8,$AF$8:$CA$8,0)-MATCH($D59,$D$45:$D$92,0)+1,0),0),1)</f>
        <v>1</v>
      </c>
      <c r="BN59" s="444" cm="1">
        <f t="array" ref="BN59">$E59*IFERROR(IF($D59&lt;=BN$8,INDEX($E$32:$E$37,MATCH(BN$8,$AF$8:$CA$8,0)-MATCH($D59,$D$45:$D$92,0)+1,0),0),1)</f>
        <v>1</v>
      </c>
      <c r="BO59" s="444" cm="1">
        <f t="array" ref="BO59">$E59*IFERROR(IF($D59&lt;=BO$8,INDEX($E$32:$E$37,MATCH(BO$8,$AF$8:$CA$8,0)-MATCH($D59,$D$45:$D$92,0)+1,0),0),1)</f>
        <v>1</v>
      </c>
      <c r="BP59" s="444" cm="1">
        <f t="array" ref="BP59">$E59*IFERROR(IF($D59&lt;=BP$8,INDEX($E$32:$E$37,MATCH(BP$8,$AF$8:$CA$8,0)-MATCH($D59,$D$45:$D$92,0)+1,0),0),1)</f>
        <v>1</v>
      </c>
      <c r="BQ59" s="444" cm="1">
        <f t="array" ref="BQ59">$E59*IFERROR(IF($D59&lt;=BQ$8,INDEX($E$32:$E$37,MATCH(BQ$8,$AF$8:$CA$8,0)-MATCH($D59,$D$45:$D$92,0)+1,0),0),1)</f>
        <v>1</v>
      </c>
      <c r="BR59" s="444" cm="1">
        <f t="array" ref="BR59">$E59*IFERROR(IF($D59&lt;=BR$8,INDEX($E$32:$E$37,MATCH(BR$8,$AF$8:$CA$8,0)-MATCH($D59,$D$45:$D$92,0)+1,0),0),1)</f>
        <v>1</v>
      </c>
      <c r="BS59" s="444" cm="1">
        <f t="array" ref="BS59">$E59*IFERROR(IF($D59&lt;=BS$8,INDEX($E$32:$E$37,MATCH(BS$8,$AF$8:$CA$8,0)-MATCH($D59,$D$45:$D$92,0)+1,0),0),1)</f>
        <v>1</v>
      </c>
      <c r="BT59" s="444" cm="1">
        <f t="array" ref="BT59">$E59*IFERROR(IF($D59&lt;=BT$8,INDEX($E$32:$E$37,MATCH(BT$8,$AF$8:$CA$8,0)-MATCH($D59,$D$45:$D$92,0)+1,0),0),1)</f>
        <v>1</v>
      </c>
      <c r="BU59" s="444" cm="1">
        <f t="array" ref="BU59">$E59*IFERROR(IF($D59&lt;=BU$8,INDEX($E$32:$E$37,MATCH(BU$8,$AF$8:$CA$8,0)-MATCH($D59,$D$45:$D$92,0)+1,0),0),1)</f>
        <v>1</v>
      </c>
      <c r="BV59" s="444" cm="1">
        <f t="array" ref="BV59">$E59*IFERROR(IF($D59&lt;=BV$8,INDEX($E$32:$E$37,MATCH(BV$8,$AF$8:$CA$8,0)-MATCH($D59,$D$45:$D$92,0)+1,0),0),1)</f>
        <v>1</v>
      </c>
      <c r="BW59" s="444" cm="1">
        <f t="array" ref="BW59">$E59*IFERROR(IF($D59&lt;=BW$8,INDEX($E$32:$E$37,MATCH(BW$8,$AF$8:$CA$8,0)-MATCH($D59,$D$45:$D$92,0)+1,0),0),1)</f>
        <v>1</v>
      </c>
      <c r="BX59" s="444" cm="1">
        <f t="array" ref="BX59">$E59*IFERROR(IF($D59&lt;=BX$8,INDEX($E$32:$E$37,MATCH(BX$8,$AF$8:$CA$8,0)-MATCH($D59,$D$45:$D$92,0)+1,0),0),1)</f>
        <v>1</v>
      </c>
      <c r="BY59" s="444" cm="1">
        <f t="array" ref="BY59">$E59*IFERROR(IF($D59&lt;=BY$8,INDEX($E$32:$E$37,MATCH(BY$8,$AF$8:$CA$8,0)-MATCH($D59,$D$45:$D$92,0)+1,0),0),1)</f>
        <v>1</v>
      </c>
      <c r="BZ59" s="444" cm="1">
        <f t="array" ref="BZ59">$E59*IFERROR(IF($D59&lt;=BZ$8,INDEX($E$32:$E$37,MATCH(BZ$8,$AF$8:$CA$8,0)-MATCH($D59,$D$45:$D$92,0)+1,0),0),1)</f>
        <v>1</v>
      </c>
      <c r="CA59" s="444" cm="1">
        <f t="array" ref="CA59">$E59*IFERROR(IF($D59&lt;=CA$8,INDEX($E$32:$E$37,MATCH(CA$8,$AF$8:$CA$8,0)-MATCH($D59,$D$45:$D$92,0)+1,0),0),1)</f>
        <v>1</v>
      </c>
    </row>
    <row r="60" spans="4:79" ht="21" hidden="1" customHeight="1" outlineLevel="3">
      <c r="D60" s="374">
        <f t="shared" si="21"/>
        <v>45412</v>
      </c>
      <c r="E60" s="446" cm="1">
        <f t="array" ref="E60">INDEX($AF$41:$CA$41,0,MATCH($D60,$AF$8:$CA$8,0))</f>
        <v>0</v>
      </c>
      <c r="G60" s="359"/>
      <c r="H60" s="445">
        <f t="shared" si="19"/>
        <v>0</v>
      </c>
      <c r="I60" s="445">
        <f t="shared" si="19"/>
        <v>0</v>
      </c>
      <c r="J60" s="445">
        <f t="shared" si="19"/>
        <v>0</v>
      </c>
      <c r="K60" s="445">
        <f t="shared" si="19"/>
        <v>0</v>
      </c>
      <c r="L60" s="442"/>
      <c r="M60" s="431"/>
      <c r="N60" s="445">
        <f t="shared" si="22"/>
        <v>0</v>
      </c>
      <c r="O60" s="445">
        <f t="shared" si="22"/>
        <v>0</v>
      </c>
      <c r="P60" s="445">
        <f t="shared" si="22"/>
        <v>0</v>
      </c>
      <c r="Q60" s="445">
        <f t="shared" si="22"/>
        <v>0</v>
      </c>
      <c r="R60" s="445">
        <f t="shared" si="22"/>
        <v>0</v>
      </c>
      <c r="S60" s="445">
        <f t="shared" si="22"/>
        <v>0</v>
      </c>
      <c r="T60" s="445">
        <f t="shared" si="22"/>
        <v>0</v>
      </c>
      <c r="U60" s="445">
        <f t="shared" si="22"/>
        <v>0</v>
      </c>
      <c r="V60" s="445">
        <f t="shared" si="22"/>
        <v>0</v>
      </c>
      <c r="W60" s="445">
        <f t="shared" si="22"/>
        <v>0</v>
      </c>
      <c r="X60" s="445">
        <f t="shared" si="22"/>
        <v>0</v>
      </c>
      <c r="Y60" s="445">
        <f t="shared" si="22"/>
        <v>0</v>
      </c>
      <c r="Z60" s="445">
        <f t="shared" si="22"/>
        <v>0</v>
      </c>
      <c r="AA60" s="445">
        <f t="shared" si="22"/>
        <v>0</v>
      </c>
      <c r="AB60" s="445">
        <f t="shared" si="22"/>
        <v>0</v>
      </c>
      <c r="AC60" s="445">
        <f t="shared" si="22"/>
        <v>0</v>
      </c>
      <c r="AD60" s="442"/>
      <c r="AE60" s="431"/>
      <c r="AF60" s="444" cm="1">
        <f t="array" ref="AF60">$E60*IFERROR(IF($D60&lt;=AF$8,INDEX($E$32:$E$37,MATCH(AF$8,$AF$8:$CA$8,0)-MATCH($D60,$D$45:$D$92,0)+1,0),0),1)</f>
        <v>0</v>
      </c>
      <c r="AG60" s="444" cm="1">
        <f t="array" ref="AG60">$E60*IFERROR(IF($D60&lt;=AG$8,INDEX($E$32:$E$37,MATCH(AG$8,$AF$8:$CA$8,0)-MATCH($D60,$D$45:$D$92,0)+1,0),0),1)</f>
        <v>0</v>
      </c>
      <c r="AH60" s="444" cm="1">
        <f t="array" ref="AH60">$E60*IFERROR(IF($D60&lt;=AH$8,INDEX($E$32:$E$37,MATCH(AH$8,$AF$8:$CA$8,0)-MATCH($D60,$D$45:$D$92,0)+1,0),0),1)</f>
        <v>0</v>
      </c>
      <c r="AI60" s="444" cm="1">
        <f t="array" ref="AI60">$E60*IFERROR(IF($D60&lt;=AI$8,INDEX($E$32:$E$37,MATCH(AI$8,$AF$8:$CA$8,0)-MATCH($D60,$D$45:$D$92,0)+1,0),0),1)</f>
        <v>0</v>
      </c>
      <c r="AJ60" s="444" cm="1">
        <f t="array" ref="AJ60">$E60*IFERROR(IF($D60&lt;=AJ$8,INDEX($E$32:$E$37,MATCH(AJ$8,$AF$8:$CA$8,0)-MATCH($D60,$D$45:$D$92,0)+1,0),0),1)</f>
        <v>0</v>
      </c>
      <c r="AK60" s="444" cm="1">
        <f t="array" ref="AK60">$E60*IFERROR(IF($D60&lt;=AK$8,INDEX($E$32:$E$37,MATCH(AK$8,$AF$8:$CA$8,0)-MATCH($D60,$D$45:$D$92,0)+1,0),0),1)</f>
        <v>0</v>
      </c>
      <c r="AL60" s="444" cm="1">
        <f t="array" ref="AL60">$E60*IFERROR(IF($D60&lt;=AL$8,INDEX($E$32:$E$37,MATCH(AL$8,$AF$8:$CA$8,0)-MATCH($D60,$D$45:$D$92,0)+1,0),0),1)</f>
        <v>0</v>
      </c>
      <c r="AM60" s="444" cm="1">
        <f t="array" ref="AM60">$E60*IFERROR(IF($D60&lt;=AM$8,INDEX($E$32:$E$37,MATCH(AM$8,$AF$8:$CA$8,0)-MATCH($D60,$D$45:$D$92,0)+1,0),0),1)</f>
        <v>0</v>
      </c>
      <c r="AN60" s="444" cm="1">
        <f t="array" ref="AN60">$E60*IFERROR(IF($D60&lt;=AN$8,INDEX($E$32:$E$37,MATCH(AN$8,$AF$8:$CA$8,0)-MATCH($D60,$D$45:$D$92,0)+1,0),0),1)</f>
        <v>0</v>
      </c>
      <c r="AO60" s="444" cm="1">
        <f t="array" ref="AO60">$E60*IFERROR(IF($D60&lt;=AO$8,INDEX($E$32:$E$37,MATCH(AO$8,$AF$8:$CA$8,0)-MATCH($D60,$D$45:$D$92,0)+1,0),0),1)</f>
        <v>0</v>
      </c>
      <c r="AP60" s="444" cm="1">
        <f t="array" ref="AP60">$E60*IFERROR(IF($D60&lt;=AP$8,INDEX($E$32:$E$37,MATCH(AP$8,$AF$8:$CA$8,0)-MATCH($D60,$D$45:$D$92,0)+1,0),0),1)</f>
        <v>0</v>
      </c>
      <c r="AQ60" s="444" cm="1">
        <f t="array" ref="AQ60">$E60*IFERROR(IF($D60&lt;=AQ$8,INDEX($E$32:$E$37,MATCH(AQ$8,$AF$8:$CA$8,0)-MATCH($D60,$D$45:$D$92,0)+1,0),0),1)</f>
        <v>0</v>
      </c>
      <c r="AR60" s="444" cm="1">
        <f t="array" ref="AR60">$E60*IFERROR(IF($D60&lt;=AR$8,INDEX($E$32:$E$37,MATCH(AR$8,$AF$8:$CA$8,0)-MATCH($D60,$D$45:$D$92,0)+1,0),0),1)</f>
        <v>0</v>
      </c>
      <c r="AS60" s="444" cm="1">
        <f t="array" ref="AS60">$E60*IFERROR(IF($D60&lt;=AS$8,INDEX($E$32:$E$37,MATCH(AS$8,$AF$8:$CA$8,0)-MATCH($D60,$D$45:$D$92,0)+1,0),0),1)</f>
        <v>0</v>
      </c>
      <c r="AT60" s="444" cm="1">
        <f t="array" ref="AT60">$E60*IFERROR(IF($D60&lt;=AT$8,INDEX($E$32:$E$37,MATCH(AT$8,$AF$8:$CA$8,0)-MATCH($D60,$D$45:$D$92,0)+1,0),0),1)</f>
        <v>0</v>
      </c>
      <c r="AU60" s="444" cm="1">
        <f t="array" ref="AU60">$E60*IFERROR(IF($D60&lt;=AU$8,INDEX($E$32:$E$37,MATCH(AU$8,$AF$8:$CA$8,0)-MATCH($D60,$D$45:$D$92,0)+1,0),0),1)</f>
        <v>0</v>
      </c>
      <c r="AV60" s="444" cm="1">
        <f t="array" ref="AV60">$E60*IFERROR(IF($D60&lt;=AV$8,INDEX($E$32:$E$37,MATCH(AV$8,$AF$8:$CA$8,0)-MATCH($D60,$D$45:$D$92,0)+1,0),0),1)</f>
        <v>0</v>
      </c>
      <c r="AW60" s="444" cm="1">
        <f t="array" ref="AW60">$E60*IFERROR(IF($D60&lt;=AW$8,INDEX($E$32:$E$37,MATCH(AW$8,$AF$8:$CA$8,0)-MATCH($D60,$D$45:$D$92,0)+1,0),0),1)</f>
        <v>0</v>
      </c>
      <c r="AX60" s="444" cm="1">
        <f t="array" ref="AX60">$E60*IFERROR(IF($D60&lt;=AX$8,INDEX($E$32:$E$37,MATCH(AX$8,$AF$8:$CA$8,0)-MATCH($D60,$D$45:$D$92,0)+1,0),0),1)</f>
        <v>0</v>
      </c>
      <c r="AY60" s="444" cm="1">
        <f t="array" ref="AY60">$E60*IFERROR(IF($D60&lt;=AY$8,INDEX($E$32:$E$37,MATCH(AY$8,$AF$8:$CA$8,0)-MATCH($D60,$D$45:$D$92,0)+1,0),0),1)</f>
        <v>0</v>
      </c>
      <c r="AZ60" s="444" cm="1">
        <f t="array" ref="AZ60">$E60*IFERROR(IF($D60&lt;=AZ$8,INDEX($E$32:$E$37,MATCH(AZ$8,$AF$8:$CA$8,0)-MATCH($D60,$D$45:$D$92,0)+1,0),0),1)</f>
        <v>0</v>
      </c>
      <c r="BA60" s="444" cm="1">
        <f t="array" ref="BA60">$E60*IFERROR(IF($D60&lt;=BA$8,INDEX($E$32:$E$37,MATCH(BA$8,$AF$8:$CA$8,0)-MATCH($D60,$D$45:$D$92,0)+1,0),0),1)</f>
        <v>0</v>
      </c>
      <c r="BB60" s="444" cm="1">
        <f t="array" ref="BB60">$E60*IFERROR(IF($D60&lt;=BB$8,INDEX($E$32:$E$37,MATCH(BB$8,$AF$8:$CA$8,0)-MATCH($D60,$D$45:$D$92,0)+1,0),0),1)</f>
        <v>0</v>
      </c>
      <c r="BC60" s="444" cm="1">
        <f t="array" ref="BC60">$E60*IFERROR(IF($D60&lt;=BC$8,INDEX($E$32:$E$37,MATCH(BC$8,$AF$8:$CA$8,0)-MATCH($D60,$D$45:$D$92,0)+1,0),0),1)</f>
        <v>0</v>
      </c>
      <c r="BD60" s="444" cm="1">
        <f t="array" ref="BD60">$E60*IFERROR(IF($D60&lt;=BD$8,INDEX($E$32:$E$37,MATCH(BD$8,$AF$8:$CA$8,0)-MATCH($D60,$D$45:$D$92,0)+1,0),0),1)</f>
        <v>0</v>
      </c>
      <c r="BE60" s="444" cm="1">
        <f t="array" ref="BE60">$E60*IFERROR(IF($D60&lt;=BE$8,INDEX($E$32:$E$37,MATCH(BE$8,$AF$8:$CA$8,0)-MATCH($D60,$D$45:$D$92,0)+1,0),0),1)</f>
        <v>0</v>
      </c>
      <c r="BF60" s="444" cm="1">
        <f t="array" ref="BF60">$E60*IFERROR(IF($D60&lt;=BF$8,INDEX($E$32:$E$37,MATCH(BF$8,$AF$8:$CA$8,0)-MATCH($D60,$D$45:$D$92,0)+1,0),0),1)</f>
        <v>0</v>
      </c>
      <c r="BG60" s="444" cm="1">
        <f t="array" ref="BG60">$E60*IFERROR(IF($D60&lt;=BG$8,INDEX($E$32:$E$37,MATCH(BG$8,$AF$8:$CA$8,0)-MATCH($D60,$D$45:$D$92,0)+1,0),0),1)</f>
        <v>0</v>
      </c>
      <c r="BH60" s="444" cm="1">
        <f t="array" ref="BH60">$E60*IFERROR(IF($D60&lt;=BH$8,INDEX($E$32:$E$37,MATCH(BH$8,$AF$8:$CA$8,0)-MATCH($D60,$D$45:$D$92,0)+1,0),0),1)</f>
        <v>0</v>
      </c>
      <c r="BI60" s="444" cm="1">
        <f t="array" ref="BI60">$E60*IFERROR(IF($D60&lt;=BI$8,INDEX($E$32:$E$37,MATCH(BI$8,$AF$8:$CA$8,0)-MATCH($D60,$D$45:$D$92,0)+1,0),0),1)</f>
        <v>0</v>
      </c>
      <c r="BJ60" s="444" cm="1">
        <f t="array" ref="BJ60">$E60*IFERROR(IF($D60&lt;=BJ$8,INDEX($E$32:$E$37,MATCH(BJ$8,$AF$8:$CA$8,0)-MATCH($D60,$D$45:$D$92,0)+1,0),0),1)</f>
        <v>0</v>
      </c>
      <c r="BK60" s="444" cm="1">
        <f t="array" ref="BK60">$E60*IFERROR(IF($D60&lt;=BK$8,INDEX($E$32:$E$37,MATCH(BK$8,$AF$8:$CA$8,0)-MATCH($D60,$D$45:$D$92,0)+1,0),0),1)</f>
        <v>0</v>
      </c>
      <c r="BL60" s="444" cm="1">
        <f t="array" ref="BL60">$E60*IFERROR(IF($D60&lt;=BL$8,INDEX($E$32:$E$37,MATCH(BL$8,$AF$8:$CA$8,0)-MATCH($D60,$D$45:$D$92,0)+1,0),0),1)</f>
        <v>0</v>
      </c>
      <c r="BM60" s="444" cm="1">
        <f t="array" ref="BM60">$E60*IFERROR(IF($D60&lt;=BM$8,INDEX($E$32:$E$37,MATCH(BM$8,$AF$8:$CA$8,0)-MATCH($D60,$D$45:$D$92,0)+1,0),0),1)</f>
        <v>0</v>
      </c>
      <c r="BN60" s="444" cm="1">
        <f t="array" ref="BN60">$E60*IFERROR(IF($D60&lt;=BN$8,INDEX($E$32:$E$37,MATCH(BN$8,$AF$8:$CA$8,0)-MATCH($D60,$D$45:$D$92,0)+1,0),0),1)</f>
        <v>0</v>
      </c>
      <c r="BO60" s="444" cm="1">
        <f t="array" ref="BO60">$E60*IFERROR(IF($D60&lt;=BO$8,INDEX($E$32:$E$37,MATCH(BO$8,$AF$8:$CA$8,0)-MATCH($D60,$D$45:$D$92,0)+1,0),0),1)</f>
        <v>0</v>
      </c>
      <c r="BP60" s="444" cm="1">
        <f t="array" ref="BP60">$E60*IFERROR(IF($D60&lt;=BP$8,INDEX($E$32:$E$37,MATCH(BP$8,$AF$8:$CA$8,0)-MATCH($D60,$D$45:$D$92,0)+1,0),0),1)</f>
        <v>0</v>
      </c>
      <c r="BQ60" s="444" cm="1">
        <f t="array" ref="BQ60">$E60*IFERROR(IF($D60&lt;=BQ$8,INDEX($E$32:$E$37,MATCH(BQ$8,$AF$8:$CA$8,0)-MATCH($D60,$D$45:$D$92,0)+1,0),0),1)</f>
        <v>0</v>
      </c>
      <c r="BR60" s="444" cm="1">
        <f t="array" ref="BR60">$E60*IFERROR(IF($D60&lt;=BR$8,INDEX($E$32:$E$37,MATCH(BR$8,$AF$8:$CA$8,0)-MATCH($D60,$D$45:$D$92,0)+1,0),0),1)</f>
        <v>0</v>
      </c>
      <c r="BS60" s="444" cm="1">
        <f t="array" ref="BS60">$E60*IFERROR(IF($D60&lt;=BS$8,INDEX($E$32:$E$37,MATCH(BS$8,$AF$8:$CA$8,0)-MATCH($D60,$D$45:$D$92,0)+1,0),0),1)</f>
        <v>0</v>
      </c>
      <c r="BT60" s="444" cm="1">
        <f t="array" ref="BT60">$E60*IFERROR(IF($D60&lt;=BT$8,INDEX($E$32:$E$37,MATCH(BT$8,$AF$8:$CA$8,0)-MATCH($D60,$D$45:$D$92,0)+1,0),0),1)</f>
        <v>0</v>
      </c>
      <c r="BU60" s="444" cm="1">
        <f t="array" ref="BU60">$E60*IFERROR(IF($D60&lt;=BU$8,INDEX($E$32:$E$37,MATCH(BU$8,$AF$8:$CA$8,0)-MATCH($D60,$D$45:$D$92,0)+1,0),0),1)</f>
        <v>0</v>
      </c>
      <c r="BV60" s="444" cm="1">
        <f t="array" ref="BV60">$E60*IFERROR(IF($D60&lt;=BV$8,INDEX($E$32:$E$37,MATCH(BV$8,$AF$8:$CA$8,0)-MATCH($D60,$D$45:$D$92,0)+1,0),0),1)</f>
        <v>0</v>
      </c>
      <c r="BW60" s="444" cm="1">
        <f t="array" ref="BW60">$E60*IFERROR(IF($D60&lt;=BW$8,INDEX($E$32:$E$37,MATCH(BW$8,$AF$8:$CA$8,0)-MATCH($D60,$D$45:$D$92,0)+1,0),0),1)</f>
        <v>0</v>
      </c>
      <c r="BX60" s="444" cm="1">
        <f t="array" ref="BX60">$E60*IFERROR(IF($D60&lt;=BX$8,INDEX($E$32:$E$37,MATCH(BX$8,$AF$8:$CA$8,0)-MATCH($D60,$D$45:$D$92,0)+1,0),0),1)</f>
        <v>0</v>
      </c>
      <c r="BY60" s="444" cm="1">
        <f t="array" ref="BY60">$E60*IFERROR(IF($D60&lt;=BY$8,INDEX($E$32:$E$37,MATCH(BY$8,$AF$8:$CA$8,0)-MATCH($D60,$D$45:$D$92,0)+1,0),0),1)</f>
        <v>0</v>
      </c>
      <c r="BZ60" s="444" cm="1">
        <f t="array" ref="BZ60">$E60*IFERROR(IF($D60&lt;=BZ$8,INDEX($E$32:$E$37,MATCH(BZ$8,$AF$8:$CA$8,0)-MATCH($D60,$D$45:$D$92,0)+1,0),0),1)</f>
        <v>0</v>
      </c>
      <c r="CA60" s="444" cm="1">
        <f t="array" ref="CA60">$E60*IFERROR(IF($D60&lt;=CA$8,INDEX($E$32:$E$37,MATCH(CA$8,$AF$8:$CA$8,0)-MATCH($D60,$D$45:$D$92,0)+1,0),0),1)</f>
        <v>0</v>
      </c>
    </row>
    <row r="61" spans="4:79" ht="21" hidden="1" customHeight="1" outlineLevel="3">
      <c r="D61" s="374">
        <f t="shared" si="21"/>
        <v>45443</v>
      </c>
      <c r="E61" s="446" cm="1">
        <f t="array" ref="E61">INDEX($AF$41:$CA$41,0,MATCH($D61,$AF$8:$CA$8,0))</f>
        <v>0</v>
      </c>
      <c r="G61" s="359"/>
      <c r="H61" s="445">
        <f t="shared" si="19"/>
        <v>0</v>
      </c>
      <c r="I61" s="445">
        <f t="shared" si="19"/>
        <v>0</v>
      </c>
      <c r="J61" s="445">
        <f t="shared" si="19"/>
        <v>0</v>
      </c>
      <c r="K61" s="445">
        <f t="shared" si="19"/>
        <v>0</v>
      </c>
      <c r="L61" s="442"/>
      <c r="M61" s="359"/>
      <c r="N61" s="445">
        <f t="shared" si="22"/>
        <v>0</v>
      </c>
      <c r="O61" s="445">
        <f t="shared" si="22"/>
        <v>0</v>
      </c>
      <c r="P61" s="445">
        <f t="shared" si="22"/>
        <v>0</v>
      </c>
      <c r="Q61" s="445">
        <f t="shared" si="22"/>
        <v>0</v>
      </c>
      <c r="R61" s="445">
        <f t="shared" si="22"/>
        <v>0</v>
      </c>
      <c r="S61" s="445">
        <f t="shared" si="22"/>
        <v>0</v>
      </c>
      <c r="T61" s="445">
        <f t="shared" si="22"/>
        <v>0</v>
      </c>
      <c r="U61" s="445">
        <f t="shared" si="22"/>
        <v>0</v>
      </c>
      <c r="V61" s="445">
        <f t="shared" si="22"/>
        <v>0</v>
      </c>
      <c r="W61" s="445">
        <f t="shared" si="22"/>
        <v>0</v>
      </c>
      <c r="X61" s="445">
        <f t="shared" si="22"/>
        <v>0</v>
      </c>
      <c r="Y61" s="445">
        <f t="shared" si="22"/>
        <v>0</v>
      </c>
      <c r="Z61" s="445">
        <f t="shared" si="22"/>
        <v>0</v>
      </c>
      <c r="AA61" s="445">
        <f t="shared" si="22"/>
        <v>0</v>
      </c>
      <c r="AB61" s="445">
        <f t="shared" si="22"/>
        <v>0</v>
      </c>
      <c r="AC61" s="445">
        <f t="shared" si="22"/>
        <v>0</v>
      </c>
      <c r="AD61" s="442"/>
      <c r="AE61" s="359"/>
      <c r="AF61" s="444" cm="1">
        <f t="array" ref="AF61">$E61*IFERROR(IF($D61&lt;=AF$8,INDEX($E$32:$E$37,MATCH(AF$8,$AF$8:$CA$8,0)-MATCH($D61,$D$45:$D$92,0)+1,0),0),1)</f>
        <v>0</v>
      </c>
      <c r="AG61" s="444" cm="1">
        <f t="array" ref="AG61">$E61*IFERROR(IF($D61&lt;=AG$8,INDEX($E$32:$E$37,MATCH(AG$8,$AF$8:$CA$8,0)-MATCH($D61,$D$45:$D$92,0)+1,0),0),1)</f>
        <v>0</v>
      </c>
      <c r="AH61" s="444" cm="1">
        <f t="array" ref="AH61">$E61*IFERROR(IF($D61&lt;=AH$8,INDEX($E$32:$E$37,MATCH(AH$8,$AF$8:$CA$8,0)-MATCH($D61,$D$45:$D$92,0)+1,0),0),1)</f>
        <v>0</v>
      </c>
      <c r="AI61" s="444" cm="1">
        <f t="array" ref="AI61">$E61*IFERROR(IF($D61&lt;=AI$8,INDEX($E$32:$E$37,MATCH(AI$8,$AF$8:$CA$8,0)-MATCH($D61,$D$45:$D$92,0)+1,0),0),1)</f>
        <v>0</v>
      </c>
      <c r="AJ61" s="444" cm="1">
        <f t="array" ref="AJ61">$E61*IFERROR(IF($D61&lt;=AJ$8,INDEX($E$32:$E$37,MATCH(AJ$8,$AF$8:$CA$8,0)-MATCH($D61,$D$45:$D$92,0)+1,0),0),1)</f>
        <v>0</v>
      </c>
      <c r="AK61" s="444" cm="1">
        <f t="array" ref="AK61">$E61*IFERROR(IF($D61&lt;=AK$8,INDEX($E$32:$E$37,MATCH(AK$8,$AF$8:$CA$8,0)-MATCH($D61,$D$45:$D$92,0)+1,0),0),1)</f>
        <v>0</v>
      </c>
      <c r="AL61" s="444" cm="1">
        <f t="array" ref="AL61">$E61*IFERROR(IF($D61&lt;=AL$8,INDEX($E$32:$E$37,MATCH(AL$8,$AF$8:$CA$8,0)-MATCH($D61,$D$45:$D$92,0)+1,0),0),1)</f>
        <v>0</v>
      </c>
      <c r="AM61" s="444" cm="1">
        <f t="array" ref="AM61">$E61*IFERROR(IF($D61&lt;=AM$8,INDEX($E$32:$E$37,MATCH(AM$8,$AF$8:$CA$8,0)-MATCH($D61,$D$45:$D$92,0)+1,0),0),1)</f>
        <v>0</v>
      </c>
      <c r="AN61" s="444" cm="1">
        <f t="array" ref="AN61">$E61*IFERROR(IF($D61&lt;=AN$8,INDEX($E$32:$E$37,MATCH(AN$8,$AF$8:$CA$8,0)-MATCH($D61,$D$45:$D$92,0)+1,0),0),1)</f>
        <v>0</v>
      </c>
      <c r="AO61" s="444" cm="1">
        <f t="array" ref="AO61">$E61*IFERROR(IF($D61&lt;=AO$8,INDEX($E$32:$E$37,MATCH(AO$8,$AF$8:$CA$8,0)-MATCH($D61,$D$45:$D$92,0)+1,0),0),1)</f>
        <v>0</v>
      </c>
      <c r="AP61" s="444" cm="1">
        <f t="array" ref="AP61">$E61*IFERROR(IF($D61&lt;=AP$8,INDEX($E$32:$E$37,MATCH(AP$8,$AF$8:$CA$8,0)-MATCH($D61,$D$45:$D$92,0)+1,0),0),1)</f>
        <v>0</v>
      </c>
      <c r="AQ61" s="444" cm="1">
        <f t="array" ref="AQ61">$E61*IFERROR(IF($D61&lt;=AQ$8,INDEX($E$32:$E$37,MATCH(AQ$8,$AF$8:$CA$8,0)-MATCH($D61,$D$45:$D$92,0)+1,0),0),1)</f>
        <v>0</v>
      </c>
      <c r="AR61" s="444" cm="1">
        <f t="array" ref="AR61">$E61*IFERROR(IF($D61&lt;=AR$8,INDEX($E$32:$E$37,MATCH(AR$8,$AF$8:$CA$8,0)-MATCH($D61,$D$45:$D$92,0)+1,0),0),1)</f>
        <v>0</v>
      </c>
      <c r="AS61" s="444" cm="1">
        <f t="array" ref="AS61">$E61*IFERROR(IF($D61&lt;=AS$8,INDEX($E$32:$E$37,MATCH(AS$8,$AF$8:$CA$8,0)-MATCH($D61,$D$45:$D$92,0)+1,0),0),1)</f>
        <v>0</v>
      </c>
      <c r="AT61" s="444" cm="1">
        <f t="array" ref="AT61">$E61*IFERROR(IF($D61&lt;=AT$8,INDEX($E$32:$E$37,MATCH(AT$8,$AF$8:$CA$8,0)-MATCH($D61,$D$45:$D$92,0)+1,0),0),1)</f>
        <v>0</v>
      </c>
      <c r="AU61" s="444" cm="1">
        <f t="array" ref="AU61">$E61*IFERROR(IF($D61&lt;=AU$8,INDEX($E$32:$E$37,MATCH(AU$8,$AF$8:$CA$8,0)-MATCH($D61,$D$45:$D$92,0)+1,0),0),1)</f>
        <v>0</v>
      </c>
      <c r="AV61" s="444" cm="1">
        <f t="array" ref="AV61">$E61*IFERROR(IF($D61&lt;=AV$8,INDEX($E$32:$E$37,MATCH(AV$8,$AF$8:$CA$8,0)-MATCH($D61,$D$45:$D$92,0)+1,0),0),1)</f>
        <v>0</v>
      </c>
      <c r="AW61" s="444" cm="1">
        <f t="array" ref="AW61">$E61*IFERROR(IF($D61&lt;=AW$8,INDEX($E$32:$E$37,MATCH(AW$8,$AF$8:$CA$8,0)-MATCH($D61,$D$45:$D$92,0)+1,0),0),1)</f>
        <v>0</v>
      </c>
      <c r="AX61" s="444" cm="1">
        <f t="array" ref="AX61">$E61*IFERROR(IF($D61&lt;=AX$8,INDEX($E$32:$E$37,MATCH(AX$8,$AF$8:$CA$8,0)-MATCH($D61,$D$45:$D$92,0)+1,0),0),1)</f>
        <v>0</v>
      </c>
      <c r="AY61" s="444" cm="1">
        <f t="array" ref="AY61">$E61*IFERROR(IF($D61&lt;=AY$8,INDEX($E$32:$E$37,MATCH(AY$8,$AF$8:$CA$8,0)-MATCH($D61,$D$45:$D$92,0)+1,0),0),1)</f>
        <v>0</v>
      </c>
      <c r="AZ61" s="444" cm="1">
        <f t="array" ref="AZ61">$E61*IFERROR(IF($D61&lt;=AZ$8,INDEX($E$32:$E$37,MATCH(AZ$8,$AF$8:$CA$8,0)-MATCH($D61,$D$45:$D$92,0)+1,0),0),1)</f>
        <v>0</v>
      </c>
      <c r="BA61" s="444" cm="1">
        <f t="array" ref="BA61">$E61*IFERROR(IF($D61&lt;=BA$8,INDEX($E$32:$E$37,MATCH(BA$8,$AF$8:$CA$8,0)-MATCH($D61,$D$45:$D$92,0)+1,0),0),1)</f>
        <v>0</v>
      </c>
      <c r="BB61" s="444" cm="1">
        <f t="array" ref="BB61">$E61*IFERROR(IF($D61&lt;=BB$8,INDEX($E$32:$E$37,MATCH(BB$8,$AF$8:$CA$8,0)-MATCH($D61,$D$45:$D$92,0)+1,0),0),1)</f>
        <v>0</v>
      </c>
      <c r="BC61" s="444" cm="1">
        <f t="array" ref="BC61">$E61*IFERROR(IF($D61&lt;=BC$8,INDEX($E$32:$E$37,MATCH(BC$8,$AF$8:$CA$8,0)-MATCH($D61,$D$45:$D$92,0)+1,0),0),1)</f>
        <v>0</v>
      </c>
      <c r="BD61" s="444" cm="1">
        <f t="array" ref="BD61">$E61*IFERROR(IF($D61&lt;=BD$8,INDEX($E$32:$E$37,MATCH(BD$8,$AF$8:$CA$8,0)-MATCH($D61,$D$45:$D$92,0)+1,0),0),1)</f>
        <v>0</v>
      </c>
      <c r="BE61" s="444" cm="1">
        <f t="array" ref="BE61">$E61*IFERROR(IF($D61&lt;=BE$8,INDEX($E$32:$E$37,MATCH(BE$8,$AF$8:$CA$8,0)-MATCH($D61,$D$45:$D$92,0)+1,0),0),1)</f>
        <v>0</v>
      </c>
      <c r="BF61" s="444" cm="1">
        <f t="array" ref="BF61">$E61*IFERROR(IF($D61&lt;=BF$8,INDEX($E$32:$E$37,MATCH(BF$8,$AF$8:$CA$8,0)-MATCH($D61,$D$45:$D$92,0)+1,0),0),1)</f>
        <v>0</v>
      </c>
      <c r="BG61" s="444" cm="1">
        <f t="array" ref="BG61">$E61*IFERROR(IF($D61&lt;=BG$8,INDEX($E$32:$E$37,MATCH(BG$8,$AF$8:$CA$8,0)-MATCH($D61,$D$45:$D$92,0)+1,0),0),1)</f>
        <v>0</v>
      </c>
      <c r="BH61" s="444" cm="1">
        <f t="array" ref="BH61">$E61*IFERROR(IF($D61&lt;=BH$8,INDEX($E$32:$E$37,MATCH(BH$8,$AF$8:$CA$8,0)-MATCH($D61,$D$45:$D$92,0)+1,0),0),1)</f>
        <v>0</v>
      </c>
      <c r="BI61" s="444" cm="1">
        <f t="array" ref="BI61">$E61*IFERROR(IF($D61&lt;=BI$8,INDEX($E$32:$E$37,MATCH(BI$8,$AF$8:$CA$8,0)-MATCH($D61,$D$45:$D$92,0)+1,0),0),1)</f>
        <v>0</v>
      </c>
      <c r="BJ61" s="444" cm="1">
        <f t="array" ref="BJ61">$E61*IFERROR(IF($D61&lt;=BJ$8,INDEX($E$32:$E$37,MATCH(BJ$8,$AF$8:$CA$8,0)-MATCH($D61,$D$45:$D$92,0)+1,0),0),1)</f>
        <v>0</v>
      </c>
      <c r="BK61" s="444" cm="1">
        <f t="array" ref="BK61">$E61*IFERROR(IF($D61&lt;=BK$8,INDEX($E$32:$E$37,MATCH(BK$8,$AF$8:$CA$8,0)-MATCH($D61,$D$45:$D$92,0)+1,0),0),1)</f>
        <v>0</v>
      </c>
      <c r="BL61" s="444" cm="1">
        <f t="array" ref="BL61">$E61*IFERROR(IF($D61&lt;=BL$8,INDEX($E$32:$E$37,MATCH(BL$8,$AF$8:$CA$8,0)-MATCH($D61,$D$45:$D$92,0)+1,0),0),1)</f>
        <v>0</v>
      </c>
      <c r="BM61" s="444" cm="1">
        <f t="array" ref="BM61">$E61*IFERROR(IF($D61&lt;=BM$8,INDEX($E$32:$E$37,MATCH(BM$8,$AF$8:$CA$8,0)-MATCH($D61,$D$45:$D$92,0)+1,0),0),1)</f>
        <v>0</v>
      </c>
      <c r="BN61" s="444" cm="1">
        <f t="array" ref="BN61">$E61*IFERROR(IF($D61&lt;=BN$8,INDEX($E$32:$E$37,MATCH(BN$8,$AF$8:$CA$8,0)-MATCH($D61,$D$45:$D$92,0)+1,0),0),1)</f>
        <v>0</v>
      </c>
      <c r="BO61" s="444" cm="1">
        <f t="array" ref="BO61">$E61*IFERROR(IF($D61&lt;=BO$8,INDEX($E$32:$E$37,MATCH(BO$8,$AF$8:$CA$8,0)-MATCH($D61,$D$45:$D$92,0)+1,0),0),1)</f>
        <v>0</v>
      </c>
      <c r="BP61" s="444" cm="1">
        <f t="array" ref="BP61">$E61*IFERROR(IF($D61&lt;=BP$8,INDEX($E$32:$E$37,MATCH(BP$8,$AF$8:$CA$8,0)-MATCH($D61,$D$45:$D$92,0)+1,0),0),1)</f>
        <v>0</v>
      </c>
      <c r="BQ61" s="444" cm="1">
        <f t="array" ref="BQ61">$E61*IFERROR(IF($D61&lt;=BQ$8,INDEX($E$32:$E$37,MATCH(BQ$8,$AF$8:$CA$8,0)-MATCH($D61,$D$45:$D$92,0)+1,0),0),1)</f>
        <v>0</v>
      </c>
      <c r="BR61" s="444" cm="1">
        <f t="array" ref="BR61">$E61*IFERROR(IF($D61&lt;=BR$8,INDEX($E$32:$E$37,MATCH(BR$8,$AF$8:$CA$8,0)-MATCH($D61,$D$45:$D$92,0)+1,0),0),1)</f>
        <v>0</v>
      </c>
      <c r="BS61" s="444" cm="1">
        <f t="array" ref="BS61">$E61*IFERROR(IF($D61&lt;=BS$8,INDEX($E$32:$E$37,MATCH(BS$8,$AF$8:$CA$8,0)-MATCH($D61,$D$45:$D$92,0)+1,0),0),1)</f>
        <v>0</v>
      </c>
      <c r="BT61" s="444" cm="1">
        <f t="array" ref="BT61">$E61*IFERROR(IF($D61&lt;=BT$8,INDEX($E$32:$E$37,MATCH(BT$8,$AF$8:$CA$8,0)-MATCH($D61,$D$45:$D$92,0)+1,0),0),1)</f>
        <v>0</v>
      </c>
      <c r="BU61" s="444" cm="1">
        <f t="array" ref="BU61">$E61*IFERROR(IF($D61&lt;=BU$8,INDEX($E$32:$E$37,MATCH(BU$8,$AF$8:$CA$8,0)-MATCH($D61,$D$45:$D$92,0)+1,0),0),1)</f>
        <v>0</v>
      </c>
      <c r="BV61" s="444" cm="1">
        <f t="array" ref="BV61">$E61*IFERROR(IF($D61&lt;=BV$8,INDEX($E$32:$E$37,MATCH(BV$8,$AF$8:$CA$8,0)-MATCH($D61,$D$45:$D$92,0)+1,0),0),1)</f>
        <v>0</v>
      </c>
      <c r="BW61" s="444" cm="1">
        <f t="array" ref="BW61">$E61*IFERROR(IF($D61&lt;=BW$8,INDEX($E$32:$E$37,MATCH(BW$8,$AF$8:$CA$8,0)-MATCH($D61,$D$45:$D$92,0)+1,0),0),1)</f>
        <v>0</v>
      </c>
      <c r="BX61" s="444" cm="1">
        <f t="array" ref="BX61">$E61*IFERROR(IF($D61&lt;=BX$8,INDEX($E$32:$E$37,MATCH(BX$8,$AF$8:$CA$8,0)-MATCH($D61,$D$45:$D$92,0)+1,0),0),1)</f>
        <v>0</v>
      </c>
      <c r="BY61" s="444" cm="1">
        <f t="array" ref="BY61">$E61*IFERROR(IF($D61&lt;=BY$8,INDEX($E$32:$E$37,MATCH(BY$8,$AF$8:$CA$8,0)-MATCH($D61,$D$45:$D$92,0)+1,0),0),1)</f>
        <v>0</v>
      </c>
      <c r="BZ61" s="444" cm="1">
        <f t="array" ref="BZ61">$E61*IFERROR(IF($D61&lt;=BZ$8,INDEX($E$32:$E$37,MATCH(BZ$8,$AF$8:$CA$8,0)-MATCH($D61,$D$45:$D$92,0)+1,0),0),1)</f>
        <v>0</v>
      </c>
      <c r="CA61" s="444" cm="1">
        <f t="array" ref="CA61">$E61*IFERROR(IF($D61&lt;=CA$8,INDEX($E$32:$E$37,MATCH(CA$8,$AF$8:$CA$8,0)-MATCH($D61,$D$45:$D$92,0)+1,0),0),1)</f>
        <v>0</v>
      </c>
    </row>
    <row r="62" spans="4:79" ht="21" hidden="1" customHeight="1" outlineLevel="3">
      <c r="D62" s="374">
        <f t="shared" si="21"/>
        <v>45473</v>
      </c>
      <c r="E62" s="446" cm="1">
        <f t="array" ref="E62">INDEX($AF$41:$CA$41,0,MATCH($D62,$AF$8:$CA$8,0))</f>
        <v>0</v>
      </c>
      <c r="G62" s="359"/>
      <c r="H62" s="445">
        <f t="shared" si="19"/>
        <v>0</v>
      </c>
      <c r="I62" s="445">
        <f t="shared" si="19"/>
        <v>0</v>
      </c>
      <c r="J62" s="445">
        <f t="shared" si="19"/>
        <v>0</v>
      </c>
      <c r="K62" s="445">
        <f t="shared" si="19"/>
        <v>0</v>
      </c>
      <c r="L62" s="442"/>
      <c r="M62" s="359"/>
      <c r="N62" s="445">
        <f t="shared" si="22"/>
        <v>0</v>
      </c>
      <c r="O62" s="445">
        <f t="shared" si="22"/>
        <v>0</v>
      </c>
      <c r="P62" s="445">
        <f t="shared" si="22"/>
        <v>0</v>
      </c>
      <c r="Q62" s="445">
        <f t="shared" si="22"/>
        <v>0</v>
      </c>
      <c r="R62" s="445">
        <f t="shared" si="22"/>
        <v>0</v>
      </c>
      <c r="S62" s="445">
        <f t="shared" si="22"/>
        <v>0</v>
      </c>
      <c r="T62" s="445">
        <f t="shared" si="22"/>
        <v>0</v>
      </c>
      <c r="U62" s="445">
        <f t="shared" si="22"/>
        <v>0</v>
      </c>
      <c r="V62" s="445">
        <f t="shared" si="22"/>
        <v>0</v>
      </c>
      <c r="W62" s="445">
        <f t="shared" si="22"/>
        <v>0</v>
      </c>
      <c r="X62" s="445">
        <f t="shared" si="22"/>
        <v>0</v>
      </c>
      <c r="Y62" s="445">
        <f t="shared" si="22"/>
        <v>0</v>
      </c>
      <c r="Z62" s="445">
        <f t="shared" si="22"/>
        <v>0</v>
      </c>
      <c r="AA62" s="445">
        <f t="shared" si="22"/>
        <v>0</v>
      </c>
      <c r="AB62" s="445">
        <f t="shared" si="22"/>
        <v>0</v>
      </c>
      <c r="AC62" s="445">
        <f t="shared" si="22"/>
        <v>0</v>
      </c>
      <c r="AD62" s="442"/>
      <c r="AE62" s="359"/>
      <c r="AF62" s="444" cm="1">
        <f t="array" ref="AF62">$E62*IFERROR(IF($D62&lt;=AF$8,INDEX($E$32:$E$37,MATCH(AF$8,$AF$8:$CA$8,0)-MATCH($D62,$D$45:$D$92,0)+1,0),0),1)</f>
        <v>0</v>
      </c>
      <c r="AG62" s="444" cm="1">
        <f t="array" ref="AG62">$E62*IFERROR(IF($D62&lt;=AG$8,INDEX($E$32:$E$37,MATCH(AG$8,$AF$8:$CA$8,0)-MATCH($D62,$D$45:$D$92,0)+1,0),0),1)</f>
        <v>0</v>
      </c>
      <c r="AH62" s="444" cm="1">
        <f t="array" ref="AH62">$E62*IFERROR(IF($D62&lt;=AH$8,INDEX($E$32:$E$37,MATCH(AH$8,$AF$8:$CA$8,0)-MATCH($D62,$D$45:$D$92,0)+1,0),0),1)</f>
        <v>0</v>
      </c>
      <c r="AI62" s="444" cm="1">
        <f t="array" ref="AI62">$E62*IFERROR(IF($D62&lt;=AI$8,INDEX($E$32:$E$37,MATCH(AI$8,$AF$8:$CA$8,0)-MATCH($D62,$D$45:$D$92,0)+1,0),0),1)</f>
        <v>0</v>
      </c>
      <c r="AJ62" s="444" cm="1">
        <f t="array" ref="AJ62">$E62*IFERROR(IF($D62&lt;=AJ$8,INDEX($E$32:$E$37,MATCH(AJ$8,$AF$8:$CA$8,0)-MATCH($D62,$D$45:$D$92,0)+1,0),0),1)</f>
        <v>0</v>
      </c>
      <c r="AK62" s="444" cm="1">
        <f t="array" ref="AK62">$E62*IFERROR(IF($D62&lt;=AK$8,INDEX($E$32:$E$37,MATCH(AK$8,$AF$8:$CA$8,0)-MATCH($D62,$D$45:$D$92,0)+1,0),0),1)</f>
        <v>0</v>
      </c>
      <c r="AL62" s="444" cm="1">
        <f t="array" ref="AL62">$E62*IFERROR(IF($D62&lt;=AL$8,INDEX($E$32:$E$37,MATCH(AL$8,$AF$8:$CA$8,0)-MATCH($D62,$D$45:$D$92,0)+1,0),0),1)</f>
        <v>0</v>
      </c>
      <c r="AM62" s="444" cm="1">
        <f t="array" ref="AM62">$E62*IFERROR(IF($D62&lt;=AM$8,INDEX($E$32:$E$37,MATCH(AM$8,$AF$8:$CA$8,0)-MATCH($D62,$D$45:$D$92,0)+1,0),0),1)</f>
        <v>0</v>
      </c>
      <c r="AN62" s="444" cm="1">
        <f t="array" ref="AN62">$E62*IFERROR(IF($D62&lt;=AN$8,INDEX($E$32:$E$37,MATCH(AN$8,$AF$8:$CA$8,0)-MATCH($D62,$D$45:$D$92,0)+1,0),0),1)</f>
        <v>0</v>
      </c>
      <c r="AO62" s="444" cm="1">
        <f t="array" ref="AO62">$E62*IFERROR(IF($D62&lt;=AO$8,INDEX($E$32:$E$37,MATCH(AO$8,$AF$8:$CA$8,0)-MATCH($D62,$D$45:$D$92,0)+1,0),0),1)</f>
        <v>0</v>
      </c>
      <c r="AP62" s="444" cm="1">
        <f t="array" ref="AP62">$E62*IFERROR(IF($D62&lt;=AP$8,INDEX($E$32:$E$37,MATCH(AP$8,$AF$8:$CA$8,0)-MATCH($D62,$D$45:$D$92,0)+1,0),0),1)</f>
        <v>0</v>
      </c>
      <c r="AQ62" s="444" cm="1">
        <f t="array" ref="AQ62">$E62*IFERROR(IF($D62&lt;=AQ$8,INDEX($E$32:$E$37,MATCH(AQ$8,$AF$8:$CA$8,0)-MATCH($D62,$D$45:$D$92,0)+1,0),0),1)</f>
        <v>0</v>
      </c>
      <c r="AR62" s="444" cm="1">
        <f t="array" ref="AR62">$E62*IFERROR(IF($D62&lt;=AR$8,INDEX($E$32:$E$37,MATCH(AR$8,$AF$8:$CA$8,0)-MATCH($D62,$D$45:$D$92,0)+1,0),0),1)</f>
        <v>0</v>
      </c>
      <c r="AS62" s="444" cm="1">
        <f t="array" ref="AS62">$E62*IFERROR(IF($D62&lt;=AS$8,INDEX($E$32:$E$37,MATCH(AS$8,$AF$8:$CA$8,0)-MATCH($D62,$D$45:$D$92,0)+1,0),0),1)</f>
        <v>0</v>
      </c>
      <c r="AT62" s="444" cm="1">
        <f t="array" ref="AT62">$E62*IFERROR(IF($D62&lt;=AT$8,INDEX($E$32:$E$37,MATCH(AT$8,$AF$8:$CA$8,0)-MATCH($D62,$D$45:$D$92,0)+1,0),0),1)</f>
        <v>0</v>
      </c>
      <c r="AU62" s="444" cm="1">
        <f t="array" ref="AU62">$E62*IFERROR(IF($D62&lt;=AU$8,INDEX($E$32:$E$37,MATCH(AU$8,$AF$8:$CA$8,0)-MATCH($D62,$D$45:$D$92,0)+1,0),0),1)</f>
        <v>0</v>
      </c>
      <c r="AV62" s="444" cm="1">
        <f t="array" ref="AV62">$E62*IFERROR(IF($D62&lt;=AV$8,INDEX($E$32:$E$37,MATCH(AV$8,$AF$8:$CA$8,0)-MATCH($D62,$D$45:$D$92,0)+1,0),0),1)</f>
        <v>0</v>
      </c>
      <c r="AW62" s="444" cm="1">
        <f t="array" ref="AW62">$E62*IFERROR(IF($D62&lt;=AW$8,INDEX($E$32:$E$37,MATCH(AW$8,$AF$8:$CA$8,0)-MATCH($D62,$D$45:$D$92,0)+1,0),0),1)</f>
        <v>0</v>
      </c>
      <c r="AX62" s="444" cm="1">
        <f t="array" ref="AX62">$E62*IFERROR(IF($D62&lt;=AX$8,INDEX($E$32:$E$37,MATCH(AX$8,$AF$8:$CA$8,0)-MATCH($D62,$D$45:$D$92,0)+1,0),0),1)</f>
        <v>0</v>
      </c>
      <c r="AY62" s="444" cm="1">
        <f t="array" ref="AY62">$E62*IFERROR(IF($D62&lt;=AY$8,INDEX($E$32:$E$37,MATCH(AY$8,$AF$8:$CA$8,0)-MATCH($D62,$D$45:$D$92,0)+1,0),0),1)</f>
        <v>0</v>
      </c>
      <c r="AZ62" s="444" cm="1">
        <f t="array" ref="AZ62">$E62*IFERROR(IF($D62&lt;=AZ$8,INDEX($E$32:$E$37,MATCH(AZ$8,$AF$8:$CA$8,0)-MATCH($D62,$D$45:$D$92,0)+1,0),0),1)</f>
        <v>0</v>
      </c>
      <c r="BA62" s="444" cm="1">
        <f t="array" ref="BA62">$E62*IFERROR(IF($D62&lt;=BA$8,INDEX($E$32:$E$37,MATCH(BA$8,$AF$8:$CA$8,0)-MATCH($D62,$D$45:$D$92,0)+1,0),0),1)</f>
        <v>0</v>
      </c>
      <c r="BB62" s="444" cm="1">
        <f t="array" ref="BB62">$E62*IFERROR(IF($D62&lt;=BB$8,INDEX($E$32:$E$37,MATCH(BB$8,$AF$8:$CA$8,0)-MATCH($D62,$D$45:$D$92,0)+1,0),0),1)</f>
        <v>0</v>
      </c>
      <c r="BC62" s="444" cm="1">
        <f t="array" ref="BC62">$E62*IFERROR(IF($D62&lt;=BC$8,INDEX($E$32:$E$37,MATCH(BC$8,$AF$8:$CA$8,0)-MATCH($D62,$D$45:$D$92,0)+1,0),0),1)</f>
        <v>0</v>
      </c>
      <c r="BD62" s="444" cm="1">
        <f t="array" ref="BD62">$E62*IFERROR(IF($D62&lt;=BD$8,INDEX($E$32:$E$37,MATCH(BD$8,$AF$8:$CA$8,0)-MATCH($D62,$D$45:$D$92,0)+1,0),0),1)</f>
        <v>0</v>
      </c>
      <c r="BE62" s="444" cm="1">
        <f t="array" ref="BE62">$E62*IFERROR(IF($D62&lt;=BE$8,INDEX($E$32:$E$37,MATCH(BE$8,$AF$8:$CA$8,0)-MATCH($D62,$D$45:$D$92,0)+1,0),0),1)</f>
        <v>0</v>
      </c>
      <c r="BF62" s="444" cm="1">
        <f t="array" ref="BF62">$E62*IFERROR(IF($D62&lt;=BF$8,INDEX($E$32:$E$37,MATCH(BF$8,$AF$8:$CA$8,0)-MATCH($D62,$D$45:$D$92,0)+1,0),0),1)</f>
        <v>0</v>
      </c>
      <c r="BG62" s="444" cm="1">
        <f t="array" ref="BG62">$E62*IFERROR(IF($D62&lt;=BG$8,INDEX($E$32:$E$37,MATCH(BG$8,$AF$8:$CA$8,0)-MATCH($D62,$D$45:$D$92,0)+1,0),0),1)</f>
        <v>0</v>
      </c>
      <c r="BH62" s="444" cm="1">
        <f t="array" ref="BH62">$E62*IFERROR(IF($D62&lt;=BH$8,INDEX($E$32:$E$37,MATCH(BH$8,$AF$8:$CA$8,0)-MATCH($D62,$D$45:$D$92,0)+1,0),0),1)</f>
        <v>0</v>
      </c>
      <c r="BI62" s="444" cm="1">
        <f t="array" ref="BI62">$E62*IFERROR(IF($D62&lt;=BI$8,INDEX($E$32:$E$37,MATCH(BI$8,$AF$8:$CA$8,0)-MATCH($D62,$D$45:$D$92,0)+1,0),0),1)</f>
        <v>0</v>
      </c>
      <c r="BJ62" s="444" cm="1">
        <f t="array" ref="BJ62">$E62*IFERROR(IF($D62&lt;=BJ$8,INDEX($E$32:$E$37,MATCH(BJ$8,$AF$8:$CA$8,0)-MATCH($D62,$D$45:$D$92,0)+1,0),0),1)</f>
        <v>0</v>
      </c>
      <c r="BK62" s="444" cm="1">
        <f t="array" ref="BK62">$E62*IFERROR(IF($D62&lt;=BK$8,INDEX($E$32:$E$37,MATCH(BK$8,$AF$8:$CA$8,0)-MATCH($D62,$D$45:$D$92,0)+1,0),0),1)</f>
        <v>0</v>
      </c>
      <c r="BL62" s="444" cm="1">
        <f t="array" ref="BL62">$E62*IFERROR(IF($D62&lt;=BL$8,INDEX($E$32:$E$37,MATCH(BL$8,$AF$8:$CA$8,0)-MATCH($D62,$D$45:$D$92,0)+1,0),0),1)</f>
        <v>0</v>
      </c>
      <c r="BM62" s="444" cm="1">
        <f t="array" ref="BM62">$E62*IFERROR(IF($D62&lt;=BM$8,INDEX($E$32:$E$37,MATCH(BM$8,$AF$8:$CA$8,0)-MATCH($D62,$D$45:$D$92,0)+1,0),0),1)</f>
        <v>0</v>
      </c>
      <c r="BN62" s="444" cm="1">
        <f t="array" ref="BN62">$E62*IFERROR(IF($D62&lt;=BN$8,INDEX($E$32:$E$37,MATCH(BN$8,$AF$8:$CA$8,0)-MATCH($D62,$D$45:$D$92,0)+1,0),0),1)</f>
        <v>0</v>
      </c>
      <c r="BO62" s="444" cm="1">
        <f t="array" ref="BO62">$E62*IFERROR(IF($D62&lt;=BO$8,INDEX($E$32:$E$37,MATCH(BO$8,$AF$8:$CA$8,0)-MATCH($D62,$D$45:$D$92,0)+1,0),0),1)</f>
        <v>0</v>
      </c>
      <c r="BP62" s="444" cm="1">
        <f t="array" ref="BP62">$E62*IFERROR(IF($D62&lt;=BP$8,INDEX($E$32:$E$37,MATCH(BP$8,$AF$8:$CA$8,0)-MATCH($D62,$D$45:$D$92,0)+1,0),0),1)</f>
        <v>0</v>
      </c>
      <c r="BQ62" s="444" cm="1">
        <f t="array" ref="BQ62">$E62*IFERROR(IF($D62&lt;=BQ$8,INDEX($E$32:$E$37,MATCH(BQ$8,$AF$8:$CA$8,0)-MATCH($D62,$D$45:$D$92,0)+1,0),0),1)</f>
        <v>0</v>
      </c>
      <c r="BR62" s="444" cm="1">
        <f t="array" ref="BR62">$E62*IFERROR(IF($D62&lt;=BR$8,INDEX($E$32:$E$37,MATCH(BR$8,$AF$8:$CA$8,0)-MATCH($D62,$D$45:$D$92,0)+1,0),0),1)</f>
        <v>0</v>
      </c>
      <c r="BS62" s="444" cm="1">
        <f t="array" ref="BS62">$E62*IFERROR(IF($D62&lt;=BS$8,INDEX($E$32:$E$37,MATCH(BS$8,$AF$8:$CA$8,0)-MATCH($D62,$D$45:$D$92,0)+1,0),0),1)</f>
        <v>0</v>
      </c>
      <c r="BT62" s="444" cm="1">
        <f t="array" ref="BT62">$E62*IFERROR(IF($D62&lt;=BT$8,INDEX($E$32:$E$37,MATCH(BT$8,$AF$8:$CA$8,0)-MATCH($D62,$D$45:$D$92,0)+1,0),0),1)</f>
        <v>0</v>
      </c>
      <c r="BU62" s="444" cm="1">
        <f t="array" ref="BU62">$E62*IFERROR(IF($D62&lt;=BU$8,INDEX($E$32:$E$37,MATCH(BU$8,$AF$8:$CA$8,0)-MATCH($D62,$D$45:$D$92,0)+1,0),0),1)</f>
        <v>0</v>
      </c>
      <c r="BV62" s="444" cm="1">
        <f t="array" ref="BV62">$E62*IFERROR(IF($D62&lt;=BV$8,INDEX($E$32:$E$37,MATCH(BV$8,$AF$8:$CA$8,0)-MATCH($D62,$D$45:$D$92,0)+1,0),0),1)</f>
        <v>0</v>
      </c>
      <c r="BW62" s="444" cm="1">
        <f t="array" ref="BW62">$E62*IFERROR(IF($D62&lt;=BW$8,INDEX($E$32:$E$37,MATCH(BW$8,$AF$8:$CA$8,0)-MATCH($D62,$D$45:$D$92,0)+1,0),0),1)</f>
        <v>0</v>
      </c>
      <c r="BX62" s="444" cm="1">
        <f t="array" ref="BX62">$E62*IFERROR(IF($D62&lt;=BX$8,INDEX($E$32:$E$37,MATCH(BX$8,$AF$8:$CA$8,0)-MATCH($D62,$D$45:$D$92,0)+1,0),0),1)</f>
        <v>0</v>
      </c>
      <c r="BY62" s="444" cm="1">
        <f t="array" ref="BY62">$E62*IFERROR(IF($D62&lt;=BY$8,INDEX($E$32:$E$37,MATCH(BY$8,$AF$8:$CA$8,0)-MATCH($D62,$D$45:$D$92,0)+1,0),0),1)</f>
        <v>0</v>
      </c>
      <c r="BZ62" s="444" cm="1">
        <f t="array" ref="BZ62">$E62*IFERROR(IF($D62&lt;=BZ$8,INDEX($E$32:$E$37,MATCH(BZ$8,$AF$8:$CA$8,0)-MATCH($D62,$D$45:$D$92,0)+1,0),0),1)</f>
        <v>0</v>
      </c>
      <c r="CA62" s="444" cm="1">
        <f t="array" ref="CA62">$E62*IFERROR(IF($D62&lt;=CA$8,INDEX($E$32:$E$37,MATCH(CA$8,$AF$8:$CA$8,0)-MATCH($D62,$D$45:$D$92,0)+1,0),0),1)</f>
        <v>0</v>
      </c>
    </row>
    <row r="63" spans="4:79" ht="21" hidden="1" customHeight="1" outlineLevel="3">
      <c r="D63" s="374">
        <f t="shared" si="21"/>
        <v>45504</v>
      </c>
      <c r="E63" s="446" cm="1">
        <f t="array" ref="E63">INDEX($AF$41:$CA$41,0,MATCH($D63,$AF$8:$CA$8,0))</f>
        <v>0</v>
      </c>
      <c r="G63" s="431"/>
      <c r="H63" s="445">
        <f t="shared" si="19"/>
        <v>0</v>
      </c>
      <c r="I63" s="445">
        <f t="shared" si="19"/>
        <v>0</v>
      </c>
      <c r="J63" s="445">
        <f t="shared" si="19"/>
        <v>0</v>
      </c>
      <c r="K63" s="445">
        <f t="shared" si="19"/>
        <v>0</v>
      </c>
      <c r="L63" s="442"/>
      <c r="M63" s="359"/>
      <c r="N63" s="445">
        <f t="shared" si="22"/>
        <v>0</v>
      </c>
      <c r="O63" s="445">
        <f t="shared" si="22"/>
        <v>0</v>
      </c>
      <c r="P63" s="445">
        <f t="shared" si="22"/>
        <v>0</v>
      </c>
      <c r="Q63" s="445">
        <f t="shared" si="22"/>
        <v>0</v>
      </c>
      <c r="R63" s="445">
        <f t="shared" si="22"/>
        <v>0</v>
      </c>
      <c r="S63" s="445">
        <f t="shared" si="22"/>
        <v>0</v>
      </c>
      <c r="T63" s="445">
        <f t="shared" si="22"/>
        <v>0</v>
      </c>
      <c r="U63" s="445">
        <f t="shared" si="22"/>
        <v>0</v>
      </c>
      <c r="V63" s="445">
        <f t="shared" si="22"/>
        <v>0</v>
      </c>
      <c r="W63" s="445">
        <f t="shared" si="22"/>
        <v>0</v>
      </c>
      <c r="X63" s="445">
        <f t="shared" si="22"/>
        <v>0</v>
      </c>
      <c r="Y63" s="445">
        <f t="shared" si="22"/>
        <v>0</v>
      </c>
      <c r="Z63" s="445">
        <f t="shared" si="22"/>
        <v>0</v>
      </c>
      <c r="AA63" s="445">
        <f t="shared" si="22"/>
        <v>0</v>
      </c>
      <c r="AB63" s="445">
        <f t="shared" si="22"/>
        <v>0</v>
      </c>
      <c r="AC63" s="445">
        <f t="shared" si="22"/>
        <v>0</v>
      </c>
      <c r="AD63" s="442"/>
      <c r="AE63" s="359"/>
      <c r="AF63" s="444" cm="1">
        <f t="array" ref="AF63">$E63*IFERROR(IF($D63&lt;=AF$8,INDEX($E$32:$E$37,MATCH(AF$8,$AF$8:$CA$8,0)-MATCH($D63,$D$45:$D$92,0)+1,0),0),1)</f>
        <v>0</v>
      </c>
      <c r="AG63" s="444" cm="1">
        <f t="array" ref="AG63">$E63*IFERROR(IF($D63&lt;=AG$8,INDEX($E$32:$E$37,MATCH(AG$8,$AF$8:$CA$8,0)-MATCH($D63,$D$45:$D$92,0)+1,0),0),1)</f>
        <v>0</v>
      </c>
      <c r="AH63" s="444" cm="1">
        <f t="array" ref="AH63">$E63*IFERROR(IF($D63&lt;=AH$8,INDEX($E$32:$E$37,MATCH(AH$8,$AF$8:$CA$8,0)-MATCH($D63,$D$45:$D$92,0)+1,0),0),1)</f>
        <v>0</v>
      </c>
      <c r="AI63" s="444" cm="1">
        <f t="array" ref="AI63">$E63*IFERROR(IF($D63&lt;=AI$8,INDEX($E$32:$E$37,MATCH(AI$8,$AF$8:$CA$8,0)-MATCH($D63,$D$45:$D$92,0)+1,0),0),1)</f>
        <v>0</v>
      </c>
      <c r="AJ63" s="444" cm="1">
        <f t="array" ref="AJ63">$E63*IFERROR(IF($D63&lt;=AJ$8,INDEX($E$32:$E$37,MATCH(AJ$8,$AF$8:$CA$8,0)-MATCH($D63,$D$45:$D$92,0)+1,0),0),1)</f>
        <v>0</v>
      </c>
      <c r="AK63" s="444" cm="1">
        <f t="array" ref="AK63">$E63*IFERROR(IF($D63&lt;=AK$8,INDEX($E$32:$E$37,MATCH(AK$8,$AF$8:$CA$8,0)-MATCH($D63,$D$45:$D$92,0)+1,0),0),1)</f>
        <v>0</v>
      </c>
      <c r="AL63" s="444" cm="1">
        <f t="array" ref="AL63">$E63*IFERROR(IF($D63&lt;=AL$8,INDEX($E$32:$E$37,MATCH(AL$8,$AF$8:$CA$8,0)-MATCH($D63,$D$45:$D$92,0)+1,0),0),1)</f>
        <v>0</v>
      </c>
      <c r="AM63" s="444" cm="1">
        <f t="array" ref="AM63">$E63*IFERROR(IF($D63&lt;=AM$8,INDEX($E$32:$E$37,MATCH(AM$8,$AF$8:$CA$8,0)-MATCH($D63,$D$45:$D$92,0)+1,0),0),1)</f>
        <v>0</v>
      </c>
      <c r="AN63" s="444" cm="1">
        <f t="array" ref="AN63">$E63*IFERROR(IF($D63&lt;=AN$8,INDEX($E$32:$E$37,MATCH(AN$8,$AF$8:$CA$8,0)-MATCH($D63,$D$45:$D$92,0)+1,0),0),1)</f>
        <v>0</v>
      </c>
      <c r="AO63" s="444" cm="1">
        <f t="array" ref="AO63">$E63*IFERROR(IF($D63&lt;=AO$8,INDEX($E$32:$E$37,MATCH(AO$8,$AF$8:$CA$8,0)-MATCH($D63,$D$45:$D$92,0)+1,0),0),1)</f>
        <v>0</v>
      </c>
      <c r="AP63" s="444" cm="1">
        <f t="array" ref="AP63">$E63*IFERROR(IF($D63&lt;=AP$8,INDEX($E$32:$E$37,MATCH(AP$8,$AF$8:$CA$8,0)-MATCH($D63,$D$45:$D$92,0)+1,0),0),1)</f>
        <v>0</v>
      </c>
      <c r="AQ63" s="444" cm="1">
        <f t="array" ref="AQ63">$E63*IFERROR(IF($D63&lt;=AQ$8,INDEX($E$32:$E$37,MATCH(AQ$8,$AF$8:$CA$8,0)-MATCH($D63,$D$45:$D$92,0)+1,0),0),1)</f>
        <v>0</v>
      </c>
      <c r="AR63" s="444" cm="1">
        <f t="array" ref="AR63">$E63*IFERROR(IF($D63&lt;=AR$8,INDEX($E$32:$E$37,MATCH(AR$8,$AF$8:$CA$8,0)-MATCH($D63,$D$45:$D$92,0)+1,0),0),1)</f>
        <v>0</v>
      </c>
      <c r="AS63" s="444" cm="1">
        <f t="array" ref="AS63">$E63*IFERROR(IF($D63&lt;=AS$8,INDEX($E$32:$E$37,MATCH(AS$8,$AF$8:$CA$8,0)-MATCH($D63,$D$45:$D$92,0)+1,0),0),1)</f>
        <v>0</v>
      </c>
      <c r="AT63" s="444" cm="1">
        <f t="array" ref="AT63">$E63*IFERROR(IF($D63&lt;=AT$8,INDEX($E$32:$E$37,MATCH(AT$8,$AF$8:$CA$8,0)-MATCH($D63,$D$45:$D$92,0)+1,0),0),1)</f>
        <v>0</v>
      </c>
      <c r="AU63" s="444" cm="1">
        <f t="array" ref="AU63">$E63*IFERROR(IF($D63&lt;=AU$8,INDEX($E$32:$E$37,MATCH(AU$8,$AF$8:$CA$8,0)-MATCH($D63,$D$45:$D$92,0)+1,0),0),1)</f>
        <v>0</v>
      </c>
      <c r="AV63" s="444" cm="1">
        <f t="array" ref="AV63">$E63*IFERROR(IF($D63&lt;=AV$8,INDEX($E$32:$E$37,MATCH(AV$8,$AF$8:$CA$8,0)-MATCH($D63,$D$45:$D$92,0)+1,0),0),1)</f>
        <v>0</v>
      </c>
      <c r="AW63" s="444" cm="1">
        <f t="array" ref="AW63">$E63*IFERROR(IF($D63&lt;=AW$8,INDEX($E$32:$E$37,MATCH(AW$8,$AF$8:$CA$8,0)-MATCH($D63,$D$45:$D$92,0)+1,0),0),1)</f>
        <v>0</v>
      </c>
      <c r="AX63" s="444" cm="1">
        <f t="array" ref="AX63">$E63*IFERROR(IF($D63&lt;=AX$8,INDEX($E$32:$E$37,MATCH(AX$8,$AF$8:$CA$8,0)-MATCH($D63,$D$45:$D$92,0)+1,0),0),1)</f>
        <v>0</v>
      </c>
      <c r="AY63" s="444" cm="1">
        <f t="array" ref="AY63">$E63*IFERROR(IF($D63&lt;=AY$8,INDEX($E$32:$E$37,MATCH(AY$8,$AF$8:$CA$8,0)-MATCH($D63,$D$45:$D$92,0)+1,0),0),1)</f>
        <v>0</v>
      </c>
      <c r="AZ63" s="444" cm="1">
        <f t="array" ref="AZ63">$E63*IFERROR(IF($D63&lt;=AZ$8,INDEX($E$32:$E$37,MATCH(AZ$8,$AF$8:$CA$8,0)-MATCH($D63,$D$45:$D$92,0)+1,0),0),1)</f>
        <v>0</v>
      </c>
      <c r="BA63" s="444" cm="1">
        <f t="array" ref="BA63">$E63*IFERROR(IF($D63&lt;=BA$8,INDEX($E$32:$E$37,MATCH(BA$8,$AF$8:$CA$8,0)-MATCH($D63,$D$45:$D$92,0)+1,0),0),1)</f>
        <v>0</v>
      </c>
      <c r="BB63" s="444" cm="1">
        <f t="array" ref="BB63">$E63*IFERROR(IF($D63&lt;=BB$8,INDEX($E$32:$E$37,MATCH(BB$8,$AF$8:$CA$8,0)-MATCH($D63,$D$45:$D$92,0)+1,0),0),1)</f>
        <v>0</v>
      </c>
      <c r="BC63" s="444" cm="1">
        <f t="array" ref="BC63">$E63*IFERROR(IF($D63&lt;=BC$8,INDEX($E$32:$E$37,MATCH(BC$8,$AF$8:$CA$8,0)-MATCH($D63,$D$45:$D$92,0)+1,0),0),1)</f>
        <v>0</v>
      </c>
      <c r="BD63" s="444" cm="1">
        <f t="array" ref="BD63">$E63*IFERROR(IF($D63&lt;=BD$8,INDEX($E$32:$E$37,MATCH(BD$8,$AF$8:$CA$8,0)-MATCH($D63,$D$45:$D$92,0)+1,0),0),1)</f>
        <v>0</v>
      </c>
      <c r="BE63" s="444" cm="1">
        <f t="array" ref="BE63">$E63*IFERROR(IF($D63&lt;=BE$8,INDEX($E$32:$E$37,MATCH(BE$8,$AF$8:$CA$8,0)-MATCH($D63,$D$45:$D$92,0)+1,0),0),1)</f>
        <v>0</v>
      </c>
      <c r="BF63" s="444" cm="1">
        <f t="array" ref="BF63">$E63*IFERROR(IF($D63&lt;=BF$8,INDEX($E$32:$E$37,MATCH(BF$8,$AF$8:$CA$8,0)-MATCH($D63,$D$45:$D$92,0)+1,0),0),1)</f>
        <v>0</v>
      </c>
      <c r="BG63" s="444" cm="1">
        <f t="array" ref="BG63">$E63*IFERROR(IF($D63&lt;=BG$8,INDEX($E$32:$E$37,MATCH(BG$8,$AF$8:$CA$8,0)-MATCH($D63,$D$45:$D$92,0)+1,0),0),1)</f>
        <v>0</v>
      </c>
      <c r="BH63" s="444" cm="1">
        <f t="array" ref="BH63">$E63*IFERROR(IF($D63&lt;=BH$8,INDEX($E$32:$E$37,MATCH(BH$8,$AF$8:$CA$8,0)-MATCH($D63,$D$45:$D$92,0)+1,0),0),1)</f>
        <v>0</v>
      </c>
      <c r="BI63" s="444" cm="1">
        <f t="array" ref="BI63">$E63*IFERROR(IF($D63&lt;=BI$8,INDEX($E$32:$E$37,MATCH(BI$8,$AF$8:$CA$8,0)-MATCH($D63,$D$45:$D$92,0)+1,0),0),1)</f>
        <v>0</v>
      </c>
      <c r="BJ63" s="444" cm="1">
        <f t="array" ref="BJ63">$E63*IFERROR(IF($D63&lt;=BJ$8,INDEX($E$32:$E$37,MATCH(BJ$8,$AF$8:$CA$8,0)-MATCH($D63,$D$45:$D$92,0)+1,0),0),1)</f>
        <v>0</v>
      </c>
      <c r="BK63" s="444" cm="1">
        <f t="array" ref="BK63">$E63*IFERROR(IF($D63&lt;=BK$8,INDEX($E$32:$E$37,MATCH(BK$8,$AF$8:$CA$8,0)-MATCH($D63,$D$45:$D$92,0)+1,0),0),1)</f>
        <v>0</v>
      </c>
      <c r="BL63" s="444" cm="1">
        <f t="array" ref="BL63">$E63*IFERROR(IF($D63&lt;=BL$8,INDEX($E$32:$E$37,MATCH(BL$8,$AF$8:$CA$8,0)-MATCH($D63,$D$45:$D$92,0)+1,0),0),1)</f>
        <v>0</v>
      </c>
      <c r="BM63" s="444" cm="1">
        <f t="array" ref="BM63">$E63*IFERROR(IF($D63&lt;=BM$8,INDEX($E$32:$E$37,MATCH(BM$8,$AF$8:$CA$8,0)-MATCH($D63,$D$45:$D$92,0)+1,0),0),1)</f>
        <v>0</v>
      </c>
      <c r="BN63" s="444" cm="1">
        <f t="array" ref="BN63">$E63*IFERROR(IF($D63&lt;=BN$8,INDEX($E$32:$E$37,MATCH(BN$8,$AF$8:$CA$8,0)-MATCH($D63,$D$45:$D$92,0)+1,0),0),1)</f>
        <v>0</v>
      </c>
      <c r="BO63" s="444" cm="1">
        <f t="array" ref="BO63">$E63*IFERROR(IF($D63&lt;=BO$8,INDEX($E$32:$E$37,MATCH(BO$8,$AF$8:$CA$8,0)-MATCH($D63,$D$45:$D$92,0)+1,0),0),1)</f>
        <v>0</v>
      </c>
      <c r="BP63" s="444" cm="1">
        <f t="array" ref="BP63">$E63*IFERROR(IF($D63&lt;=BP$8,INDEX($E$32:$E$37,MATCH(BP$8,$AF$8:$CA$8,0)-MATCH($D63,$D$45:$D$92,0)+1,0),0),1)</f>
        <v>0</v>
      </c>
      <c r="BQ63" s="444" cm="1">
        <f t="array" ref="BQ63">$E63*IFERROR(IF($D63&lt;=BQ$8,INDEX($E$32:$E$37,MATCH(BQ$8,$AF$8:$CA$8,0)-MATCH($D63,$D$45:$D$92,0)+1,0),0),1)</f>
        <v>0</v>
      </c>
      <c r="BR63" s="444" cm="1">
        <f t="array" ref="BR63">$E63*IFERROR(IF($D63&lt;=BR$8,INDEX($E$32:$E$37,MATCH(BR$8,$AF$8:$CA$8,0)-MATCH($D63,$D$45:$D$92,0)+1,0),0),1)</f>
        <v>0</v>
      </c>
      <c r="BS63" s="444" cm="1">
        <f t="array" ref="BS63">$E63*IFERROR(IF($D63&lt;=BS$8,INDEX($E$32:$E$37,MATCH(BS$8,$AF$8:$CA$8,0)-MATCH($D63,$D$45:$D$92,0)+1,0),0),1)</f>
        <v>0</v>
      </c>
      <c r="BT63" s="444" cm="1">
        <f t="array" ref="BT63">$E63*IFERROR(IF($D63&lt;=BT$8,INDEX($E$32:$E$37,MATCH(BT$8,$AF$8:$CA$8,0)-MATCH($D63,$D$45:$D$92,0)+1,0),0),1)</f>
        <v>0</v>
      </c>
      <c r="BU63" s="444" cm="1">
        <f t="array" ref="BU63">$E63*IFERROR(IF($D63&lt;=BU$8,INDEX($E$32:$E$37,MATCH(BU$8,$AF$8:$CA$8,0)-MATCH($D63,$D$45:$D$92,0)+1,0),0),1)</f>
        <v>0</v>
      </c>
      <c r="BV63" s="444" cm="1">
        <f t="array" ref="BV63">$E63*IFERROR(IF($D63&lt;=BV$8,INDEX($E$32:$E$37,MATCH(BV$8,$AF$8:$CA$8,0)-MATCH($D63,$D$45:$D$92,0)+1,0),0),1)</f>
        <v>0</v>
      </c>
      <c r="BW63" s="444" cm="1">
        <f t="array" ref="BW63">$E63*IFERROR(IF($D63&lt;=BW$8,INDEX($E$32:$E$37,MATCH(BW$8,$AF$8:$CA$8,0)-MATCH($D63,$D$45:$D$92,0)+1,0),0),1)</f>
        <v>0</v>
      </c>
      <c r="BX63" s="444" cm="1">
        <f t="array" ref="BX63">$E63*IFERROR(IF($D63&lt;=BX$8,INDEX($E$32:$E$37,MATCH(BX$8,$AF$8:$CA$8,0)-MATCH($D63,$D$45:$D$92,0)+1,0),0),1)</f>
        <v>0</v>
      </c>
      <c r="BY63" s="444" cm="1">
        <f t="array" ref="BY63">$E63*IFERROR(IF($D63&lt;=BY$8,INDEX($E$32:$E$37,MATCH(BY$8,$AF$8:$CA$8,0)-MATCH($D63,$D$45:$D$92,0)+1,0),0),1)</f>
        <v>0</v>
      </c>
      <c r="BZ63" s="444" cm="1">
        <f t="array" ref="BZ63">$E63*IFERROR(IF($D63&lt;=BZ$8,INDEX($E$32:$E$37,MATCH(BZ$8,$AF$8:$CA$8,0)-MATCH($D63,$D$45:$D$92,0)+1,0),0),1)</f>
        <v>0</v>
      </c>
      <c r="CA63" s="444" cm="1">
        <f t="array" ref="CA63">$E63*IFERROR(IF($D63&lt;=CA$8,INDEX($E$32:$E$37,MATCH(CA$8,$AF$8:$CA$8,0)-MATCH($D63,$D$45:$D$92,0)+1,0),0),1)</f>
        <v>0</v>
      </c>
    </row>
    <row r="64" spans="4:79" ht="21" hidden="1" customHeight="1" outlineLevel="3">
      <c r="D64" s="374">
        <f t="shared" si="21"/>
        <v>45535</v>
      </c>
      <c r="E64" s="446" cm="1">
        <f t="array" ref="E64">INDEX($AF$41:$CA$41,0,MATCH($D64,$AF$8:$CA$8,0))</f>
        <v>0</v>
      </c>
      <c r="G64" s="431"/>
      <c r="H64" s="445">
        <f t="shared" si="19"/>
        <v>0</v>
      </c>
      <c r="I64" s="445">
        <f t="shared" si="19"/>
        <v>0</v>
      </c>
      <c r="J64" s="445">
        <f t="shared" si="19"/>
        <v>0</v>
      </c>
      <c r="K64" s="445">
        <f t="shared" si="19"/>
        <v>0</v>
      </c>
      <c r="L64" s="442"/>
      <c r="M64" s="431"/>
      <c r="N64" s="445">
        <f t="shared" si="22"/>
        <v>0</v>
      </c>
      <c r="O64" s="445">
        <f t="shared" si="22"/>
        <v>0</v>
      </c>
      <c r="P64" s="445">
        <f t="shared" si="22"/>
        <v>0</v>
      </c>
      <c r="Q64" s="445">
        <f t="shared" si="22"/>
        <v>0</v>
      </c>
      <c r="R64" s="445">
        <f t="shared" si="22"/>
        <v>0</v>
      </c>
      <c r="S64" s="445">
        <f t="shared" si="22"/>
        <v>0</v>
      </c>
      <c r="T64" s="445">
        <f t="shared" si="22"/>
        <v>0</v>
      </c>
      <c r="U64" s="445">
        <f t="shared" si="22"/>
        <v>0</v>
      </c>
      <c r="V64" s="445">
        <f t="shared" si="22"/>
        <v>0</v>
      </c>
      <c r="W64" s="445">
        <f t="shared" si="22"/>
        <v>0</v>
      </c>
      <c r="X64" s="445">
        <f t="shared" si="22"/>
        <v>0</v>
      </c>
      <c r="Y64" s="445">
        <f t="shared" si="22"/>
        <v>0</v>
      </c>
      <c r="Z64" s="445">
        <f t="shared" si="22"/>
        <v>0</v>
      </c>
      <c r="AA64" s="445">
        <f t="shared" si="22"/>
        <v>0</v>
      </c>
      <c r="AB64" s="445">
        <f t="shared" si="22"/>
        <v>0</v>
      </c>
      <c r="AC64" s="445">
        <f t="shared" si="22"/>
        <v>0</v>
      </c>
      <c r="AD64" s="442"/>
      <c r="AE64" s="431"/>
      <c r="AF64" s="444" cm="1">
        <f t="array" ref="AF64">$E64*IFERROR(IF($D64&lt;=AF$8,INDEX($E$32:$E$37,MATCH(AF$8,$AF$8:$CA$8,0)-MATCH($D64,$D$45:$D$92,0)+1,0),0),1)</f>
        <v>0</v>
      </c>
      <c r="AG64" s="444" cm="1">
        <f t="array" ref="AG64">$E64*IFERROR(IF($D64&lt;=AG$8,INDEX($E$32:$E$37,MATCH(AG$8,$AF$8:$CA$8,0)-MATCH($D64,$D$45:$D$92,0)+1,0),0),1)</f>
        <v>0</v>
      </c>
      <c r="AH64" s="444" cm="1">
        <f t="array" ref="AH64">$E64*IFERROR(IF($D64&lt;=AH$8,INDEX($E$32:$E$37,MATCH(AH$8,$AF$8:$CA$8,0)-MATCH($D64,$D$45:$D$92,0)+1,0),0),1)</f>
        <v>0</v>
      </c>
      <c r="AI64" s="444" cm="1">
        <f t="array" ref="AI64">$E64*IFERROR(IF($D64&lt;=AI$8,INDEX($E$32:$E$37,MATCH(AI$8,$AF$8:$CA$8,0)-MATCH($D64,$D$45:$D$92,0)+1,0),0),1)</f>
        <v>0</v>
      </c>
      <c r="AJ64" s="444" cm="1">
        <f t="array" ref="AJ64">$E64*IFERROR(IF($D64&lt;=AJ$8,INDEX($E$32:$E$37,MATCH(AJ$8,$AF$8:$CA$8,0)-MATCH($D64,$D$45:$D$92,0)+1,0),0),1)</f>
        <v>0</v>
      </c>
      <c r="AK64" s="444" cm="1">
        <f t="array" ref="AK64">$E64*IFERROR(IF($D64&lt;=AK$8,INDEX($E$32:$E$37,MATCH(AK$8,$AF$8:$CA$8,0)-MATCH($D64,$D$45:$D$92,0)+1,0),0),1)</f>
        <v>0</v>
      </c>
      <c r="AL64" s="444" cm="1">
        <f t="array" ref="AL64">$E64*IFERROR(IF($D64&lt;=AL$8,INDEX($E$32:$E$37,MATCH(AL$8,$AF$8:$CA$8,0)-MATCH($D64,$D$45:$D$92,0)+1,0),0),1)</f>
        <v>0</v>
      </c>
      <c r="AM64" s="444" cm="1">
        <f t="array" ref="AM64">$E64*IFERROR(IF($D64&lt;=AM$8,INDEX($E$32:$E$37,MATCH(AM$8,$AF$8:$CA$8,0)-MATCH($D64,$D$45:$D$92,0)+1,0),0),1)</f>
        <v>0</v>
      </c>
      <c r="AN64" s="444" cm="1">
        <f t="array" ref="AN64">$E64*IFERROR(IF($D64&lt;=AN$8,INDEX($E$32:$E$37,MATCH(AN$8,$AF$8:$CA$8,0)-MATCH($D64,$D$45:$D$92,0)+1,0),0),1)</f>
        <v>0</v>
      </c>
      <c r="AO64" s="444" cm="1">
        <f t="array" ref="AO64">$E64*IFERROR(IF($D64&lt;=AO$8,INDEX($E$32:$E$37,MATCH(AO$8,$AF$8:$CA$8,0)-MATCH($D64,$D$45:$D$92,0)+1,0),0),1)</f>
        <v>0</v>
      </c>
      <c r="AP64" s="444" cm="1">
        <f t="array" ref="AP64">$E64*IFERROR(IF($D64&lt;=AP$8,INDEX($E$32:$E$37,MATCH(AP$8,$AF$8:$CA$8,0)-MATCH($D64,$D$45:$D$92,0)+1,0),0),1)</f>
        <v>0</v>
      </c>
      <c r="AQ64" s="444" cm="1">
        <f t="array" ref="AQ64">$E64*IFERROR(IF($D64&lt;=AQ$8,INDEX($E$32:$E$37,MATCH(AQ$8,$AF$8:$CA$8,0)-MATCH($D64,$D$45:$D$92,0)+1,0),0),1)</f>
        <v>0</v>
      </c>
      <c r="AR64" s="444" cm="1">
        <f t="array" ref="AR64">$E64*IFERROR(IF($D64&lt;=AR$8,INDEX($E$32:$E$37,MATCH(AR$8,$AF$8:$CA$8,0)-MATCH($D64,$D$45:$D$92,0)+1,0),0),1)</f>
        <v>0</v>
      </c>
      <c r="AS64" s="444" cm="1">
        <f t="array" ref="AS64">$E64*IFERROR(IF($D64&lt;=AS$8,INDEX($E$32:$E$37,MATCH(AS$8,$AF$8:$CA$8,0)-MATCH($D64,$D$45:$D$92,0)+1,0),0),1)</f>
        <v>0</v>
      </c>
      <c r="AT64" s="444" cm="1">
        <f t="array" ref="AT64">$E64*IFERROR(IF($D64&lt;=AT$8,INDEX($E$32:$E$37,MATCH(AT$8,$AF$8:$CA$8,0)-MATCH($D64,$D$45:$D$92,0)+1,0),0),1)</f>
        <v>0</v>
      </c>
      <c r="AU64" s="444" cm="1">
        <f t="array" ref="AU64">$E64*IFERROR(IF($D64&lt;=AU$8,INDEX($E$32:$E$37,MATCH(AU$8,$AF$8:$CA$8,0)-MATCH($D64,$D$45:$D$92,0)+1,0),0),1)</f>
        <v>0</v>
      </c>
      <c r="AV64" s="444" cm="1">
        <f t="array" ref="AV64">$E64*IFERROR(IF($D64&lt;=AV$8,INDEX($E$32:$E$37,MATCH(AV$8,$AF$8:$CA$8,0)-MATCH($D64,$D$45:$D$92,0)+1,0),0),1)</f>
        <v>0</v>
      </c>
      <c r="AW64" s="444" cm="1">
        <f t="array" ref="AW64">$E64*IFERROR(IF($D64&lt;=AW$8,INDEX($E$32:$E$37,MATCH(AW$8,$AF$8:$CA$8,0)-MATCH($D64,$D$45:$D$92,0)+1,0),0),1)</f>
        <v>0</v>
      </c>
      <c r="AX64" s="444" cm="1">
        <f t="array" ref="AX64">$E64*IFERROR(IF($D64&lt;=AX$8,INDEX($E$32:$E$37,MATCH(AX$8,$AF$8:$CA$8,0)-MATCH($D64,$D$45:$D$92,0)+1,0),0),1)</f>
        <v>0</v>
      </c>
      <c r="AY64" s="444" cm="1">
        <f t="array" ref="AY64">$E64*IFERROR(IF($D64&lt;=AY$8,INDEX($E$32:$E$37,MATCH(AY$8,$AF$8:$CA$8,0)-MATCH($D64,$D$45:$D$92,0)+1,0),0),1)</f>
        <v>0</v>
      </c>
      <c r="AZ64" s="444" cm="1">
        <f t="array" ref="AZ64">$E64*IFERROR(IF($D64&lt;=AZ$8,INDEX($E$32:$E$37,MATCH(AZ$8,$AF$8:$CA$8,0)-MATCH($D64,$D$45:$D$92,0)+1,0),0),1)</f>
        <v>0</v>
      </c>
      <c r="BA64" s="444" cm="1">
        <f t="array" ref="BA64">$E64*IFERROR(IF($D64&lt;=BA$8,INDEX($E$32:$E$37,MATCH(BA$8,$AF$8:$CA$8,0)-MATCH($D64,$D$45:$D$92,0)+1,0),0),1)</f>
        <v>0</v>
      </c>
      <c r="BB64" s="444" cm="1">
        <f t="array" ref="BB64">$E64*IFERROR(IF($D64&lt;=BB$8,INDEX($E$32:$E$37,MATCH(BB$8,$AF$8:$CA$8,0)-MATCH($D64,$D$45:$D$92,0)+1,0),0),1)</f>
        <v>0</v>
      </c>
      <c r="BC64" s="444" cm="1">
        <f t="array" ref="BC64">$E64*IFERROR(IF($D64&lt;=BC$8,INDEX($E$32:$E$37,MATCH(BC$8,$AF$8:$CA$8,0)-MATCH($D64,$D$45:$D$92,0)+1,0),0),1)</f>
        <v>0</v>
      </c>
      <c r="BD64" s="444" cm="1">
        <f t="array" ref="BD64">$E64*IFERROR(IF($D64&lt;=BD$8,INDEX($E$32:$E$37,MATCH(BD$8,$AF$8:$CA$8,0)-MATCH($D64,$D$45:$D$92,0)+1,0),0),1)</f>
        <v>0</v>
      </c>
      <c r="BE64" s="444" cm="1">
        <f t="array" ref="BE64">$E64*IFERROR(IF($D64&lt;=BE$8,INDEX($E$32:$E$37,MATCH(BE$8,$AF$8:$CA$8,0)-MATCH($D64,$D$45:$D$92,0)+1,0),0),1)</f>
        <v>0</v>
      </c>
      <c r="BF64" s="444" cm="1">
        <f t="array" ref="BF64">$E64*IFERROR(IF($D64&lt;=BF$8,INDEX($E$32:$E$37,MATCH(BF$8,$AF$8:$CA$8,0)-MATCH($D64,$D$45:$D$92,0)+1,0),0),1)</f>
        <v>0</v>
      </c>
      <c r="BG64" s="444" cm="1">
        <f t="array" ref="BG64">$E64*IFERROR(IF($D64&lt;=BG$8,INDEX($E$32:$E$37,MATCH(BG$8,$AF$8:$CA$8,0)-MATCH($D64,$D$45:$D$92,0)+1,0),0),1)</f>
        <v>0</v>
      </c>
      <c r="BH64" s="444" cm="1">
        <f t="array" ref="BH64">$E64*IFERROR(IF($D64&lt;=BH$8,INDEX($E$32:$E$37,MATCH(BH$8,$AF$8:$CA$8,0)-MATCH($D64,$D$45:$D$92,0)+1,0),0),1)</f>
        <v>0</v>
      </c>
      <c r="BI64" s="444" cm="1">
        <f t="array" ref="BI64">$E64*IFERROR(IF($D64&lt;=BI$8,INDEX($E$32:$E$37,MATCH(BI$8,$AF$8:$CA$8,0)-MATCH($D64,$D$45:$D$92,0)+1,0),0),1)</f>
        <v>0</v>
      </c>
      <c r="BJ64" s="444" cm="1">
        <f t="array" ref="BJ64">$E64*IFERROR(IF($D64&lt;=BJ$8,INDEX($E$32:$E$37,MATCH(BJ$8,$AF$8:$CA$8,0)-MATCH($D64,$D$45:$D$92,0)+1,0),0),1)</f>
        <v>0</v>
      </c>
      <c r="BK64" s="444" cm="1">
        <f t="array" ref="BK64">$E64*IFERROR(IF($D64&lt;=BK$8,INDEX($E$32:$E$37,MATCH(BK$8,$AF$8:$CA$8,0)-MATCH($D64,$D$45:$D$92,0)+1,0),0),1)</f>
        <v>0</v>
      </c>
      <c r="BL64" s="444" cm="1">
        <f t="array" ref="BL64">$E64*IFERROR(IF($D64&lt;=BL$8,INDEX($E$32:$E$37,MATCH(BL$8,$AF$8:$CA$8,0)-MATCH($D64,$D$45:$D$92,0)+1,0),0),1)</f>
        <v>0</v>
      </c>
      <c r="BM64" s="444" cm="1">
        <f t="array" ref="BM64">$E64*IFERROR(IF($D64&lt;=BM$8,INDEX($E$32:$E$37,MATCH(BM$8,$AF$8:$CA$8,0)-MATCH($D64,$D$45:$D$92,0)+1,0),0),1)</f>
        <v>0</v>
      </c>
      <c r="BN64" s="444" cm="1">
        <f t="array" ref="BN64">$E64*IFERROR(IF($D64&lt;=BN$8,INDEX($E$32:$E$37,MATCH(BN$8,$AF$8:$CA$8,0)-MATCH($D64,$D$45:$D$92,0)+1,0),0),1)</f>
        <v>0</v>
      </c>
      <c r="BO64" s="444" cm="1">
        <f t="array" ref="BO64">$E64*IFERROR(IF($D64&lt;=BO$8,INDEX($E$32:$E$37,MATCH(BO$8,$AF$8:$CA$8,0)-MATCH($D64,$D$45:$D$92,0)+1,0),0),1)</f>
        <v>0</v>
      </c>
      <c r="BP64" s="444" cm="1">
        <f t="array" ref="BP64">$E64*IFERROR(IF($D64&lt;=BP$8,INDEX($E$32:$E$37,MATCH(BP$8,$AF$8:$CA$8,0)-MATCH($D64,$D$45:$D$92,0)+1,0),0),1)</f>
        <v>0</v>
      </c>
      <c r="BQ64" s="444" cm="1">
        <f t="array" ref="BQ64">$E64*IFERROR(IF($D64&lt;=BQ$8,INDEX($E$32:$E$37,MATCH(BQ$8,$AF$8:$CA$8,0)-MATCH($D64,$D$45:$D$92,0)+1,0),0),1)</f>
        <v>0</v>
      </c>
      <c r="BR64" s="444" cm="1">
        <f t="array" ref="BR64">$E64*IFERROR(IF($D64&lt;=BR$8,INDEX($E$32:$E$37,MATCH(BR$8,$AF$8:$CA$8,0)-MATCH($D64,$D$45:$D$92,0)+1,0),0),1)</f>
        <v>0</v>
      </c>
      <c r="BS64" s="444" cm="1">
        <f t="array" ref="BS64">$E64*IFERROR(IF($D64&lt;=BS$8,INDEX($E$32:$E$37,MATCH(BS$8,$AF$8:$CA$8,0)-MATCH($D64,$D$45:$D$92,0)+1,0),0),1)</f>
        <v>0</v>
      </c>
      <c r="BT64" s="444" cm="1">
        <f t="array" ref="BT64">$E64*IFERROR(IF($D64&lt;=BT$8,INDEX($E$32:$E$37,MATCH(BT$8,$AF$8:$CA$8,0)-MATCH($D64,$D$45:$D$92,0)+1,0),0),1)</f>
        <v>0</v>
      </c>
      <c r="BU64" s="444" cm="1">
        <f t="array" ref="BU64">$E64*IFERROR(IF($D64&lt;=BU$8,INDEX($E$32:$E$37,MATCH(BU$8,$AF$8:$CA$8,0)-MATCH($D64,$D$45:$D$92,0)+1,0),0),1)</f>
        <v>0</v>
      </c>
      <c r="BV64" s="444" cm="1">
        <f t="array" ref="BV64">$E64*IFERROR(IF($D64&lt;=BV$8,INDEX($E$32:$E$37,MATCH(BV$8,$AF$8:$CA$8,0)-MATCH($D64,$D$45:$D$92,0)+1,0),0),1)</f>
        <v>0</v>
      </c>
      <c r="BW64" s="444" cm="1">
        <f t="array" ref="BW64">$E64*IFERROR(IF($D64&lt;=BW$8,INDEX($E$32:$E$37,MATCH(BW$8,$AF$8:$CA$8,0)-MATCH($D64,$D$45:$D$92,0)+1,0),0),1)</f>
        <v>0</v>
      </c>
      <c r="BX64" s="444" cm="1">
        <f t="array" ref="BX64">$E64*IFERROR(IF($D64&lt;=BX$8,INDEX($E$32:$E$37,MATCH(BX$8,$AF$8:$CA$8,0)-MATCH($D64,$D$45:$D$92,0)+1,0),0),1)</f>
        <v>0</v>
      </c>
      <c r="BY64" s="444" cm="1">
        <f t="array" ref="BY64">$E64*IFERROR(IF($D64&lt;=BY$8,INDEX($E$32:$E$37,MATCH(BY$8,$AF$8:$CA$8,0)-MATCH($D64,$D$45:$D$92,0)+1,0),0),1)</f>
        <v>0</v>
      </c>
      <c r="BZ64" s="444" cm="1">
        <f t="array" ref="BZ64">$E64*IFERROR(IF($D64&lt;=BZ$8,INDEX($E$32:$E$37,MATCH(BZ$8,$AF$8:$CA$8,0)-MATCH($D64,$D$45:$D$92,0)+1,0),0),1)</f>
        <v>0</v>
      </c>
      <c r="CA64" s="444" cm="1">
        <f t="array" ref="CA64">$E64*IFERROR(IF($D64&lt;=CA$8,INDEX($E$32:$E$37,MATCH(CA$8,$AF$8:$CA$8,0)-MATCH($D64,$D$45:$D$92,0)+1,0),0),1)</f>
        <v>0</v>
      </c>
    </row>
    <row r="65" spans="3:79" ht="21" hidden="1" customHeight="1" outlineLevel="3">
      <c r="D65" s="374">
        <f t="shared" si="21"/>
        <v>45565</v>
      </c>
      <c r="E65" s="446" cm="1">
        <f t="array" ref="E65">INDEX($AF$41:$CA$41,0,MATCH($D65,$AF$8:$CA$8,0))</f>
        <v>0</v>
      </c>
      <c r="G65" s="431"/>
      <c r="H65" s="445">
        <f t="shared" ref="H65:K79" si="23">INDEX($AF65:$CA65,0,MATCH(H$5,$AF$8:$CA$8,0))</f>
        <v>0</v>
      </c>
      <c r="I65" s="445">
        <f t="shared" si="23"/>
        <v>0</v>
      </c>
      <c r="J65" s="445">
        <f t="shared" si="23"/>
        <v>0</v>
      </c>
      <c r="K65" s="445">
        <f t="shared" si="23"/>
        <v>0</v>
      </c>
      <c r="L65" s="442"/>
      <c r="M65" s="431"/>
      <c r="N65" s="445">
        <f t="shared" ref="N65:AC79" si="24">INDEX($AF65:$CA65,0,MATCH(N$5,$AF$8:$CA$8,0))</f>
        <v>0</v>
      </c>
      <c r="O65" s="445">
        <f t="shared" si="24"/>
        <v>0</v>
      </c>
      <c r="P65" s="445">
        <f t="shared" si="24"/>
        <v>0</v>
      </c>
      <c r="Q65" s="445">
        <f t="shared" si="24"/>
        <v>0</v>
      </c>
      <c r="R65" s="445">
        <f t="shared" si="24"/>
        <v>0</v>
      </c>
      <c r="S65" s="445">
        <f t="shared" si="24"/>
        <v>0</v>
      </c>
      <c r="T65" s="445">
        <f t="shared" si="24"/>
        <v>0</v>
      </c>
      <c r="U65" s="445">
        <f t="shared" si="24"/>
        <v>0</v>
      </c>
      <c r="V65" s="445">
        <f t="shared" si="24"/>
        <v>0</v>
      </c>
      <c r="W65" s="445">
        <f t="shared" si="24"/>
        <v>0</v>
      </c>
      <c r="X65" s="445">
        <f t="shared" si="24"/>
        <v>0</v>
      </c>
      <c r="Y65" s="445">
        <f t="shared" si="24"/>
        <v>0</v>
      </c>
      <c r="Z65" s="445">
        <f t="shared" si="24"/>
        <v>0</v>
      </c>
      <c r="AA65" s="445">
        <f t="shared" si="24"/>
        <v>0</v>
      </c>
      <c r="AB65" s="445">
        <f t="shared" si="24"/>
        <v>0</v>
      </c>
      <c r="AC65" s="445">
        <f t="shared" si="24"/>
        <v>0</v>
      </c>
      <c r="AD65" s="442"/>
      <c r="AE65" s="431"/>
      <c r="AF65" s="444" cm="1">
        <f t="array" ref="AF65">$E65*IFERROR(IF($D65&lt;=AF$8,INDEX($E$32:$E$37,MATCH(AF$8,$AF$8:$CA$8,0)-MATCH($D65,$D$45:$D$92,0)+1,0),0),1)</f>
        <v>0</v>
      </c>
      <c r="AG65" s="444" cm="1">
        <f t="array" ref="AG65">$E65*IFERROR(IF($D65&lt;=AG$8,INDEX($E$32:$E$37,MATCH(AG$8,$AF$8:$CA$8,0)-MATCH($D65,$D$45:$D$92,0)+1,0),0),1)</f>
        <v>0</v>
      </c>
      <c r="AH65" s="444" cm="1">
        <f t="array" ref="AH65">$E65*IFERROR(IF($D65&lt;=AH$8,INDEX($E$32:$E$37,MATCH(AH$8,$AF$8:$CA$8,0)-MATCH($D65,$D$45:$D$92,0)+1,0),0),1)</f>
        <v>0</v>
      </c>
      <c r="AI65" s="444" cm="1">
        <f t="array" ref="AI65">$E65*IFERROR(IF($D65&lt;=AI$8,INDEX($E$32:$E$37,MATCH(AI$8,$AF$8:$CA$8,0)-MATCH($D65,$D$45:$D$92,0)+1,0),0),1)</f>
        <v>0</v>
      </c>
      <c r="AJ65" s="444" cm="1">
        <f t="array" ref="AJ65">$E65*IFERROR(IF($D65&lt;=AJ$8,INDEX($E$32:$E$37,MATCH(AJ$8,$AF$8:$CA$8,0)-MATCH($D65,$D$45:$D$92,0)+1,0),0),1)</f>
        <v>0</v>
      </c>
      <c r="AK65" s="444" cm="1">
        <f t="array" ref="AK65">$E65*IFERROR(IF($D65&lt;=AK$8,INDEX($E$32:$E$37,MATCH(AK$8,$AF$8:$CA$8,0)-MATCH($D65,$D$45:$D$92,0)+1,0),0),1)</f>
        <v>0</v>
      </c>
      <c r="AL65" s="444" cm="1">
        <f t="array" ref="AL65">$E65*IFERROR(IF($D65&lt;=AL$8,INDEX($E$32:$E$37,MATCH(AL$8,$AF$8:$CA$8,0)-MATCH($D65,$D$45:$D$92,0)+1,0),0),1)</f>
        <v>0</v>
      </c>
      <c r="AM65" s="444" cm="1">
        <f t="array" ref="AM65">$E65*IFERROR(IF($D65&lt;=AM$8,INDEX($E$32:$E$37,MATCH(AM$8,$AF$8:$CA$8,0)-MATCH($D65,$D$45:$D$92,0)+1,0),0),1)</f>
        <v>0</v>
      </c>
      <c r="AN65" s="444" cm="1">
        <f t="array" ref="AN65">$E65*IFERROR(IF($D65&lt;=AN$8,INDEX($E$32:$E$37,MATCH(AN$8,$AF$8:$CA$8,0)-MATCH($D65,$D$45:$D$92,0)+1,0),0),1)</f>
        <v>0</v>
      </c>
      <c r="AO65" s="444" cm="1">
        <f t="array" ref="AO65">$E65*IFERROR(IF($D65&lt;=AO$8,INDEX($E$32:$E$37,MATCH(AO$8,$AF$8:$CA$8,0)-MATCH($D65,$D$45:$D$92,0)+1,0),0),1)</f>
        <v>0</v>
      </c>
      <c r="AP65" s="444" cm="1">
        <f t="array" ref="AP65">$E65*IFERROR(IF($D65&lt;=AP$8,INDEX($E$32:$E$37,MATCH(AP$8,$AF$8:$CA$8,0)-MATCH($D65,$D$45:$D$92,0)+1,0),0),1)</f>
        <v>0</v>
      </c>
      <c r="AQ65" s="444" cm="1">
        <f t="array" ref="AQ65">$E65*IFERROR(IF($D65&lt;=AQ$8,INDEX($E$32:$E$37,MATCH(AQ$8,$AF$8:$CA$8,0)-MATCH($D65,$D$45:$D$92,0)+1,0),0),1)</f>
        <v>0</v>
      </c>
      <c r="AR65" s="444" cm="1">
        <f t="array" ref="AR65">$E65*IFERROR(IF($D65&lt;=AR$8,INDEX($E$32:$E$37,MATCH(AR$8,$AF$8:$CA$8,0)-MATCH($D65,$D$45:$D$92,0)+1,0),0),1)</f>
        <v>0</v>
      </c>
      <c r="AS65" s="444" cm="1">
        <f t="array" ref="AS65">$E65*IFERROR(IF($D65&lt;=AS$8,INDEX($E$32:$E$37,MATCH(AS$8,$AF$8:$CA$8,0)-MATCH($D65,$D$45:$D$92,0)+1,0),0),1)</f>
        <v>0</v>
      </c>
      <c r="AT65" s="444" cm="1">
        <f t="array" ref="AT65">$E65*IFERROR(IF($D65&lt;=AT$8,INDEX($E$32:$E$37,MATCH(AT$8,$AF$8:$CA$8,0)-MATCH($D65,$D$45:$D$92,0)+1,0),0),1)</f>
        <v>0</v>
      </c>
      <c r="AU65" s="444" cm="1">
        <f t="array" ref="AU65">$E65*IFERROR(IF($D65&lt;=AU$8,INDEX($E$32:$E$37,MATCH(AU$8,$AF$8:$CA$8,0)-MATCH($D65,$D$45:$D$92,0)+1,0),0),1)</f>
        <v>0</v>
      </c>
      <c r="AV65" s="444" cm="1">
        <f t="array" ref="AV65">$E65*IFERROR(IF($D65&lt;=AV$8,INDEX($E$32:$E$37,MATCH(AV$8,$AF$8:$CA$8,0)-MATCH($D65,$D$45:$D$92,0)+1,0),0),1)</f>
        <v>0</v>
      </c>
      <c r="AW65" s="444" cm="1">
        <f t="array" ref="AW65">$E65*IFERROR(IF($D65&lt;=AW$8,INDEX($E$32:$E$37,MATCH(AW$8,$AF$8:$CA$8,0)-MATCH($D65,$D$45:$D$92,0)+1,0),0),1)</f>
        <v>0</v>
      </c>
      <c r="AX65" s="444" cm="1">
        <f t="array" ref="AX65">$E65*IFERROR(IF($D65&lt;=AX$8,INDEX($E$32:$E$37,MATCH(AX$8,$AF$8:$CA$8,0)-MATCH($D65,$D$45:$D$92,0)+1,0),0),1)</f>
        <v>0</v>
      </c>
      <c r="AY65" s="444" cm="1">
        <f t="array" ref="AY65">$E65*IFERROR(IF($D65&lt;=AY$8,INDEX($E$32:$E$37,MATCH(AY$8,$AF$8:$CA$8,0)-MATCH($D65,$D$45:$D$92,0)+1,0),0),1)</f>
        <v>0</v>
      </c>
      <c r="AZ65" s="444" cm="1">
        <f t="array" ref="AZ65">$E65*IFERROR(IF($D65&lt;=AZ$8,INDEX($E$32:$E$37,MATCH(AZ$8,$AF$8:$CA$8,0)-MATCH($D65,$D$45:$D$92,0)+1,0),0),1)</f>
        <v>0</v>
      </c>
      <c r="BA65" s="444" cm="1">
        <f t="array" ref="BA65">$E65*IFERROR(IF($D65&lt;=BA$8,INDEX($E$32:$E$37,MATCH(BA$8,$AF$8:$CA$8,0)-MATCH($D65,$D$45:$D$92,0)+1,0),0),1)</f>
        <v>0</v>
      </c>
      <c r="BB65" s="444" cm="1">
        <f t="array" ref="BB65">$E65*IFERROR(IF($D65&lt;=BB$8,INDEX($E$32:$E$37,MATCH(BB$8,$AF$8:$CA$8,0)-MATCH($D65,$D$45:$D$92,0)+1,0),0),1)</f>
        <v>0</v>
      </c>
      <c r="BC65" s="444" cm="1">
        <f t="array" ref="BC65">$E65*IFERROR(IF($D65&lt;=BC$8,INDEX($E$32:$E$37,MATCH(BC$8,$AF$8:$CA$8,0)-MATCH($D65,$D$45:$D$92,0)+1,0),0),1)</f>
        <v>0</v>
      </c>
      <c r="BD65" s="444" cm="1">
        <f t="array" ref="BD65">$E65*IFERROR(IF($D65&lt;=BD$8,INDEX($E$32:$E$37,MATCH(BD$8,$AF$8:$CA$8,0)-MATCH($D65,$D$45:$D$92,0)+1,0),0),1)</f>
        <v>0</v>
      </c>
      <c r="BE65" s="444" cm="1">
        <f t="array" ref="BE65">$E65*IFERROR(IF($D65&lt;=BE$8,INDEX($E$32:$E$37,MATCH(BE$8,$AF$8:$CA$8,0)-MATCH($D65,$D$45:$D$92,0)+1,0),0),1)</f>
        <v>0</v>
      </c>
      <c r="BF65" s="444" cm="1">
        <f t="array" ref="BF65">$E65*IFERROR(IF($D65&lt;=BF$8,INDEX($E$32:$E$37,MATCH(BF$8,$AF$8:$CA$8,0)-MATCH($D65,$D$45:$D$92,0)+1,0),0),1)</f>
        <v>0</v>
      </c>
      <c r="BG65" s="444" cm="1">
        <f t="array" ref="BG65">$E65*IFERROR(IF($D65&lt;=BG$8,INDEX($E$32:$E$37,MATCH(BG$8,$AF$8:$CA$8,0)-MATCH($D65,$D$45:$D$92,0)+1,0),0),1)</f>
        <v>0</v>
      </c>
      <c r="BH65" s="444" cm="1">
        <f t="array" ref="BH65">$E65*IFERROR(IF($D65&lt;=BH$8,INDEX($E$32:$E$37,MATCH(BH$8,$AF$8:$CA$8,0)-MATCH($D65,$D$45:$D$92,0)+1,0),0),1)</f>
        <v>0</v>
      </c>
      <c r="BI65" s="444" cm="1">
        <f t="array" ref="BI65">$E65*IFERROR(IF($D65&lt;=BI$8,INDEX($E$32:$E$37,MATCH(BI$8,$AF$8:$CA$8,0)-MATCH($D65,$D$45:$D$92,0)+1,0),0),1)</f>
        <v>0</v>
      </c>
      <c r="BJ65" s="444" cm="1">
        <f t="array" ref="BJ65">$E65*IFERROR(IF($D65&lt;=BJ$8,INDEX($E$32:$E$37,MATCH(BJ$8,$AF$8:$CA$8,0)-MATCH($D65,$D$45:$D$92,0)+1,0),0),1)</f>
        <v>0</v>
      </c>
      <c r="BK65" s="444" cm="1">
        <f t="array" ref="BK65">$E65*IFERROR(IF($D65&lt;=BK$8,INDEX($E$32:$E$37,MATCH(BK$8,$AF$8:$CA$8,0)-MATCH($D65,$D$45:$D$92,0)+1,0),0),1)</f>
        <v>0</v>
      </c>
      <c r="BL65" s="444" cm="1">
        <f t="array" ref="BL65">$E65*IFERROR(IF($D65&lt;=BL$8,INDEX($E$32:$E$37,MATCH(BL$8,$AF$8:$CA$8,0)-MATCH($D65,$D$45:$D$92,0)+1,0),0),1)</f>
        <v>0</v>
      </c>
      <c r="BM65" s="444" cm="1">
        <f t="array" ref="BM65">$E65*IFERROR(IF($D65&lt;=BM$8,INDEX($E$32:$E$37,MATCH(BM$8,$AF$8:$CA$8,0)-MATCH($D65,$D$45:$D$92,0)+1,0),0),1)</f>
        <v>0</v>
      </c>
      <c r="BN65" s="444" cm="1">
        <f t="array" ref="BN65">$E65*IFERROR(IF($D65&lt;=BN$8,INDEX($E$32:$E$37,MATCH(BN$8,$AF$8:$CA$8,0)-MATCH($D65,$D$45:$D$92,0)+1,0),0),1)</f>
        <v>0</v>
      </c>
      <c r="BO65" s="444" cm="1">
        <f t="array" ref="BO65">$E65*IFERROR(IF($D65&lt;=BO$8,INDEX($E$32:$E$37,MATCH(BO$8,$AF$8:$CA$8,0)-MATCH($D65,$D$45:$D$92,0)+1,0),0),1)</f>
        <v>0</v>
      </c>
      <c r="BP65" s="444" cm="1">
        <f t="array" ref="BP65">$E65*IFERROR(IF($D65&lt;=BP$8,INDEX($E$32:$E$37,MATCH(BP$8,$AF$8:$CA$8,0)-MATCH($D65,$D$45:$D$92,0)+1,0),0),1)</f>
        <v>0</v>
      </c>
      <c r="BQ65" s="444" cm="1">
        <f t="array" ref="BQ65">$E65*IFERROR(IF($D65&lt;=BQ$8,INDEX($E$32:$E$37,MATCH(BQ$8,$AF$8:$CA$8,0)-MATCH($D65,$D$45:$D$92,0)+1,0),0),1)</f>
        <v>0</v>
      </c>
      <c r="BR65" s="444" cm="1">
        <f t="array" ref="BR65">$E65*IFERROR(IF($D65&lt;=BR$8,INDEX($E$32:$E$37,MATCH(BR$8,$AF$8:$CA$8,0)-MATCH($D65,$D$45:$D$92,0)+1,0),0),1)</f>
        <v>0</v>
      </c>
      <c r="BS65" s="444" cm="1">
        <f t="array" ref="BS65">$E65*IFERROR(IF($D65&lt;=BS$8,INDEX($E$32:$E$37,MATCH(BS$8,$AF$8:$CA$8,0)-MATCH($D65,$D$45:$D$92,0)+1,0),0),1)</f>
        <v>0</v>
      </c>
      <c r="BT65" s="444" cm="1">
        <f t="array" ref="BT65">$E65*IFERROR(IF($D65&lt;=BT$8,INDEX($E$32:$E$37,MATCH(BT$8,$AF$8:$CA$8,0)-MATCH($D65,$D$45:$D$92,0)+1,0),0),1)</f>
        <v>0</v>
      </c>
      <c r="BU65" s="444" cm="1">
        <f t="array" ref="BU65">$E65*IFERROR(IF($D65&lt;=BU$8,INDEX($E$32:$E$37,MATCH(BU$8,$AF$8:$CA$8,0)-MATCH($D65,$D$45:$D$92,0)+1,0),0),1)</f>
        <v>0</v>
      </c>
      <c r="BV65" s="444" cm="1">
        <f t="array" ref="BV65">$E65*IFERROR(IF($D65&lt;=BV$8,INDEX($E$32:$E$37,MATCH(BV$8,$AF$8:$CA$8,0)-MATCH($D65,$D$45:$D$92,0)+1,0),0),1)</f>
        <v>0</v>
      </c>
      <c r="BW65" s="444" cm="1">
        <f t="array" ref="BW65">$E65*IFERROR(IF($D65&lt;=BW$8,INDEX($E$32:$E$37,MATCH(BW$8,$AF$8:$CA$8,0)-MATCH($D65,$D$45:$D$92,0)+1,0),0),1)</f>
        <v>0</v>
      </c>
      <c r="BX65" s="444" cm="1">
        <f t="array" ref="BX65">$E65*IFERROR(IF($D65&lt;=BX$8,INDEX($E$32:$E$37,MATCH(BX$8,$AF$8:$CA$8,0)-MATCH($D65,$D$45:$D$92,0)+1,0),0),1)</f>
        <v>0</v>
      </c>
      <c r="BY65" s="444" cm="1">
        <f t="array" ref="BY65">$E65*IFERROR(IF($D65&lt;=BY$8,INDEX($E$32:$E$37,MATCH(BY$8,$AF$8:$CA$8,0)-MATCH($D65,$D$45:$D$92,0)+1,0),0),1)</f>
        <v>0</v>
      </c>
      <c r="BZ65" s="444" cm="1">
        <f t="array" ref="BZ65">$E65*IFERROR(IF($D65&lt;=BZ$8,INDEX($E$32:$E$37,MATCH(BZ$8,$AF$8:$CA$8,0)-MATCH($D65,$D$45:$D$92,0)+1,0),0),1)</f>
        <v>0</v>
      </c>
      <c r="CA65" s="444" cm="1">
        <f t="array" ref="CA65">$E65*IFERROR(IF($D65&lt;=CA$8,INDEX($E$32:$E$37,MATCH(CA$8,$AF$8:$CA$8,0)-MATCH($D65,$D$45:$D$92,0)+1,0),0),1)</f>
        <v>0</v>
      </c>
    </row>
    <row r="66" spans="3:79" ht="21" hidden="1" customHeight="1" outlineLevel="3">
      <c r="D66" s="374">
        <f t="shared" si="21"/>
        <v>45596</v>
      </c>
      <c r="E66" s="446" cm="1">
        <f t="array" ref="E66">INDEX($AF$41:$CA$41,0,MATCH($D66,$AF$8:$CA$8,0))</f>
        <v>0</v>
      </c>
      <c r="G66" s="431"/>
      <c r="H66" s="445">
        <f t="shared" si="23"/>
        <v>0</v>
      </c>
      <c r="I66" s="445">
        <f t="shared" si="23"/>
        <v>0</v>
      </c>
      <c r="J66" s="445">
        <f t="shared" si="23"/>
        <v>0</v>
      </c>
      <c r="K66" s="445">
        <f t="shared" si="23"/>
        <v>0</v>
      </c>
      <c r="L66" s="442"/>
      <c r="M66" s="431"/>
      <c r="N66" s="445">
        <f t="shared" si="24"/>
        <v>0</v>
      </c>
      <c r="O66" s="445">
        <f t="shared" si="24"/>
        <v>0</v>
      </c>
      <c r="P66" s="445">
        <f t="shared" si="24"/>
        <v>0</v>
      </c>
      <c r="Q66" s="445">
        <f t="shared" si="24"/>
        <v>0</v>
      </c>
      <c r="R66" s="445">
        <f t="shared" si="24"/>
        <v>0</v>
      </c>
      <c r="S66" s="445">
        <f t="shared" si="24"/>
        <v>0</v>
      </c>
      <c r="T66" s="445">
        <f t="shared" si="24"/>
        <v>0</v>
      </c>
      <c r="U66" s="445">
        <f t="shared" si="24"/>
        <v>0</v>
      </c>
      <c r="V66" s="445">
        <f t="shared" si="24"/>
        <v>0</v>
      </c>
      <c r="W66" s="445">
        <f t="shared" si="24"/>
        <v>0</v>
      </c>
      <c r="X66" s="445">
        <f t="shared" si="24"/>
        <v>0</v>
      </c>
      <c r="Y66" s="445">
        <f t="shared" si="24"/>
        <v>0</v>
      </c>
      <c r="Z66" s="445">
        <f t="shared" si="24"/>
        <v>0</v>
      </c>
      <c r="AA66" s="445">
        <f t="shared" si="24"/>
        <v>0</v>
      </c>
      <c r="AB66" s="445">
        <f t="shared" si="24"/>
        <v>0</v>
      </c>
      <c r="AC66" s="445">
        <f t="shared" si="24"/>
        <v>0</v>
      </c>
      <c r="AD66" s="442"/>
      <c r="AE66" s="431"/>
      <c r="AF66" s="444" cm="1">
        <f t="array" ref="AF66">$E66*IFERROR(IF($D66&lt;=AF$8,INDEX($E$32:$E$37,MATCH(AF$8,$AF$8:$CA$8,0)-MATCH($D66,$D$45:$D$92,0)+1,0),0),1)</f>
        <v>0</v>
      </c>
      <c r="AG66" s="444" cm="1">
        <f t="array" ref="AG66">$E66*IFERROR(IF($D66&lt;=AG$8,INDEX($E$32:$E$37,MATCH(AG$8,$AF$8:$CA$8,0)-MATCH($D66,$D$45:$D$92,0)+1,0),0),1)</f>
        <v>0</v>
      </c>
      <c r="AH66" s="444" cm="1">
        <f t="array" ref="AH66">$E66*IFERROR(IF($D66&lt;=AH$8,INDEX($E$32:$E$37,MATCH(AH$8,$AF$8:$CA$8,0)-MATCH($D66,$D$45:$D$92,0)+1,0),0),1)</f>
        <v>0</v>
      </c>
      <c r="AI66" s="444" cm="1">
        <f t="array" ref="AI66">$E66*IFERROR(IF($D66&lt;=AI$8,INDEX($E$32:$E$37,MATCH(AI$8,$AF$8:$CA$8,0)-MATCH($D66,$D$45:$D$92,0)+1,0),0),1)</f>
        <v>0</v>
      </c>
      <c r="AJ66" s="444" cm="1">
        <f t="array" ref="AJ66">$E66*IFERROR(IF($D66&lt;=AJ$8,INDEX($E$32:$E$37,MATCH(AJ$8,$AF$8:$CA$8,0)-MATCH($D66,$D$45:$D$92,0)+1,0),0),1)</f>
        <v>0</v>
      </c>
      <c r="AK66" s="444" cm="1">
        <f t="array" ref="AK66">$E66*IFERROR(IF($D66&lt;=AK$8,INDEX($E$32:$E$37,MATCH(AK$8,$AF$8:$CA$8,0)-MATCH($D66,$D$45:$D$92,0)+1,0),0),1)</f>
        <v>0</v>
      </c>
      <c r="AL66" s="444" cm="1">
        <f t="array" ref="AL66">$E66*IFERROR(IF($D66&lt;=AL$8,INDEX($E$32:$E$37,MATCH(AL$8,$AF$8:$CA$8,0)-MATCH($D66,$D$45:$D$92,0)+1,0),0),1)</f>
        <v>0</v>
      </c>
      <c r="AM66" s="444" cm="1">
        <f t="array" ref="AM66">$E66*IFERROR(IF($D66&lt;=AM$8,INDEX($E$32:$E$37,MATCH(AM$8,$AF$8:$CA$8,0)-MATCH($D66,$D$45:$D$92,0)+1,0),0),1)</f>
        <v>0</v>
      </c>
      <c r="AN66" s="444" cm="1">
        <f t="array" ref="AN66">$E66*IFERROR(IF($D66&lt;=AN$8,INDEX($E$32:$E$37,MATCH(AN$8,$AF$8:$CA$8,0)-MATCH($D66,$D$45:$D$92,0)+1,0),0),1)</f>
        <v>0</v>
      </c>
      <c r="AO66" s="444" cm="1">
        <f t="array" ref="AO66">$E66*IFERROR(IF($D66&lt;=AO$8,INDEX($E$32:$E$37,MATCH(AO$8,$AF$8:$CA$8,0)-MATCH($D66,$D$45:$D$92,0)+1,0),0),1)</f>
        <v>0</v>
      </c>
      <c r="AP66" s="444" cm="1">
        <f t="array" ref="AP66">$E66*IFERROR(IF($D66&lt;=AP$8,INDEX($E$32:$E$37,MATCH(AP$8,$AF$8:$CA$8,0)-MATCH($D66,$D$45:$D$92,0)+1,0),0),1)</f>
        <v>0</v>
      </c>
      <c r="AQ66" s="444" cm="1">
        <f t="array" ref="AQ66">$E66*IFERROR(IF($D66&lt;=AQ$8,INDEX($E$32:$E$37,MATCH(AQ$8,$AF$8:$CA$8,0)-MATCH($D66,$D$45:$D$92,0)+1,0),0),1)</f>
        <v>0</v>
      </c>
      <c r="AR66" s="444" cm="1">
        <f t="array" ref="AR66">$E66*IFERROR(IF($D66&lt;=AR$8,INDEX($E$32:$E$37,MATCH(AR$8,$AF$8:$CA$8,0)-MATCH($D66,$D$45:$D$92,0)+1,0),0),1)</f>
        <v>0</v>
      </c>
      <c r="AS66" s="444" cm="1">
        <f t="array" ref="AS66">$E66*IFERROR(IF($D66&lt;=AS$8,INDEX($E$32:$E$37,MATCH(AS$8,$AF$8:$CA$8,0)-MATCH($D66,$D$45:$D$92,0)+1,0),0),1)</f>
        <v>0</v>
      </c>
      <c r="AT66" s="444" cm="1">
        <f t="array" ref="AT66">$E66*IFERROR(IF($D66&lt;=AT$8,INDEX($E$32:$E$37,MATCH(AT$8,$AF$8:$CA$8,0)-MATCH($D66,$D$45:$D$92,0)+1,0),0),1)</f>
        <v>0</v>
      </c>
      <c r="AU66" s="444" cm="1">
        <f t="array" ref="AU66">$E66*IFERROR(IF($D66&lt;=AU$8,INDEX($E$32:$E$37,MATCH(AU$8,$AF$8:$CA$8,0)-MATCH($D66,$D$45:$D$92,0)+1,0),0),1)</f>
        <v>0</v>
      </c>
      <c r="AV66" s="444" cm="1">
        <f t="array" ref="AV66">$E66*IFERROR(IF($D66&lt;=AV$8,INDEX($E$32:$E$37,MATCH(AV$8,$AF$8:$CA$8,0)-MATCH($D66,$D$45:$D$92,0)+1,0),0),1)</f>
        <v>0</v>
      </c>
      <c r="AW66" s="444" cm="1">
        <f t="array" ref="AW66">$E66*IFERROR(IF($D66&lt;=AW$8,INDEX($E$32:$E$37,MATCH(AW$8,$AF$8:$CA$8,0)-MATCH($D66,$D$45:$D$92,0)+1,0),0),1)</f>
        <v>0</v>
      </c>
      <c r="AX66" s="444" cm="1">
        <f t="array" ref="AX66">$E66*IFERROR(IF($D66&lt;=AX$8,INDEX($E$32:$E$37,MATCH(AX$8,$AF$8:$CA$8,0)-MATCH($D66,$D$45:$D$92,0)+1,0),0),1)</f>
        <v>0</v>
      </c>
      <c r="AY66" s="444" cm="1">
        <f t="array" ref="AY66">$E66*IFERROR(IF($D66&lt;=AY$8,INDEX($E$32:$E$37,MATCH(AY$8,$AF$8:$CA$8,0)-MATCH($D66,$D$45:$D$92,0)+1,0),0),1)</f>
        <v>0</v>
      </c>
      <c r="AZ66" s="444" cm="1">
        <f t="array" ref="AZ66">$E66*IFERROR(IF($D66&lt;=AZ$8,INDEX($E$32:$E$37,MATCH(AZ$8,$AF$8:$CA$8,0)-MATCH($D66,$D$45:$D$92,0)+1,0),0),1)</f>
        <v>0</v>
      </c>
      <c r="BA66" s="444" cm="1">
        <f t="array" ref="BA66">$E66*IFERROR(IF($D66&lt;=BA$8,INDEX($E$32:$E$37,MATCH(BA$8,$AF$8:$CA$8,0)-MATCH($D66,$D$45:$D$92,0)+1,0),0),1)</f>
        <v>0</v>
      </c>
      <c r="BB66" s="444" cm="1">
        <f t="array" ref="BB66">$E66*IFERROR(IF($D66&lt;=BB$8,INDEX($E$32:$E$37,MATCH(BB$8,$AF$8:$CA$8,0)-MATCH($D66,$D$45:$D$92,0)+1,0),0),1)</f>
        <v>0</v>
      </c>
      <c r="BC66" s="444" cm="1">
        <f t="array" ref="BC66">$E66*IFERROR(IF($D66&lt;=BC$8,INDEX($E$32:$E$37,MATCH(BC$8,$AF$8:$CA$8,0)-MATCH($D66,$D$45:$D$92,0)+1,0),0),1)</f>
        <v>0</v>
      </c>
      <c r="BD66" s="444" cm="1">
        <f t="array" ref="BD66">$E66*IFERROR(IF($D66&lt;=BD$8,INDEX($E$32:$E$37,MATCH(BD$8,$AF$8:$CA$8,0)-MATCH($D66,$D$45:$D$92,0)+1,0),0),1)</f>
        <v>0</v>
      </c>
      <c r="BE66" s="444" cm="1">
        <f t="array" ref="BE66">$E66*IFERROR(IF($D66&lt;=BE$8,INDEX($E$32:$E$37,MATCH(BE$8,$AF$8:$CA$8,0)-MATCH($D66,$D$45:$D$92,0)+1,0),0),1)</f>
        <v>0</v>
      </c>
      <c r="BF66" s="444" cm="1">
        <f t="array" ref="BF66">$E66*IFERROR(IF($D66&lt;=BF$8,INDEX($E$32:$E$37,MATCH(BF$8,$AF$8:$CA$8,0)-MATCH($D66,$D$45:$D$92,0)+1,0),0),1)</f>
        <v>0</v>
      </c>
      <c r="BG66" s="444" cm="1">
        <f t="array" ref="BG66">$E66*IFERROR(IF($D66&lt;=BG$8,INDEX($E$32:$E$37,MATCH(BG$8,$AF$8:$CA$8,0)-MATCH($D66,$D$45:$D$92,0)+1,0),0),1)</f>
        <v>0</v>
      </c>
      <c r="BH66" s="444" cm="1">
        <f t="array" ref="BH66">$E66*IFERROR(IF($D66&lt;=BH$8,INDEX($E$32:$E$37,MATCH(BH$8,$AF$8:$CA$8,0)-MATCH($D66,$D$45:$D$92,0)+1,0),0),1)</f>
        <v>0</v>
      </c>
      <c r="BI66" s="444" cm="1">
        <f t="array" ref="BI66">$E66*IFERROR(IF($D66&lt;=BI$8,INDEX($E$32:$E$37,MATCH(BI$8,$AF$8:$CA$8,0)-MATCH($D66,$D$45:$D$92,0)+1,0),0),1)</f>
        <v>0</v>
      </c>
      <c r="BJ66" s="444" cm="1">
        <f t="array" ref="BJ66">$E66*IFERROR(IF($D66&lt;=BJ$8,INDEX($E$32:$E$37,MATCH(BJ$8,$AF$8:$CA$8,0)-MATCH($D66,$D$45:$D$92,0)+1,0),0),1)</f>
        <v>0</v>
      </c>
      <c r="BK66" s="444" cm="1">
        <f t="array" ref="BK66">$E66*IFERROR(IF($D66&lt;=BK$8,INDEX($E$32:$E$37,MATCH(BK$8,$AF$8:$CA$8,0)-MATCH($D66,$D$45:$D$92,0)+1,0),0),1)</f>
        <v>0</v>
      </c>
      <c r="BL66" s="444" cm="1">
        <f t="array" ref="BL66">$E66*IFERROR(IF($D66&lt;=BL$8,INDEX($E$32:$E$37,MATCH(BL$8,$AF$8:$CA$8,0)-MATCH($D66,$D$45:$D$92,0)+1,0),0),1)</f>
        <v>0</v>
      </c>
      <c r="BM66" s="444" cm="1">
        <f t="array" ref="BM66">$E66*IFERROR(IF($D66&lt;=BM$8,INDEX($E$32:$E$37,MATCH(BM$8,$AF$8:$CA$8,0)-MATCH($D66,$D$45:$D$92,0)+1,0),0),1)</f>
        <v>0</v>
      </c>
      <c r="BN66" s="444" cm="1">
        <f t="array" ref="BN66">$E66*IFERROR(IF($D66&lt;=BN$8,INDEX($E$32:$E$37,MATCH(BN$8,$AF$8:$CA$8,0)-MATCH($D66,$D$45:$D$92,0)+1,0),0),1)</f>
        <v>0</v>
      </c>
      <c r="BO66" s="444" cm="1">
        <f t="array" ref="BO66">$E66*IFERROR(IF($D66&lt;=BO$8,INDEX($E$32:$E$37,MATCH(BO$8,$AF$8:$CA$8,0)-MATCH($D66,$D$45:$D$92,0)+1,0),0),1)</f>
        <v>0</v>
      </c>
      <c r="BP66" s="444" cm="1">
        <f t="array" ref="BP66">$E66*IFERROR(IF($D66&lt;=BP$8,INDEX($E$32:$E$37,MATCH(BP$8,$AF$8:$CA$8,0)-MATCH($D66,$D$45:$D$92,0)+1,0),0),1)</f>
        <v>0</v>
      </c>
      <c r="BQ66" s="444" cm="1">
        <f t="array" ref="BQ66">$E66*IFERROR(IF($D66&lt;=BQ$8,INDEX($E$32:$E$37,MATCH(BQ$8,$AF$8:$CA$8,0)-MATCH($D66,$D$45:$D$92,0)+1,0),0),1)</f>
        <v>0</v>
      </c>
      <c r="BR66" s="444" cm="1">
        <f t="array" ref="BR66">$E66*IFERROR(IF($D66&lt;=BR$8,INDEX($E$32:$E$37,MATCH(BR$8,$AF$8:$CA$8,0)-MATCH($D66,$D$45:$D$92,0)+1,0),0),1)</f>
        <v>0</v>
      </c>
      <c r="BS66" s="444" cm="1">
        <f t="array" ref="BS66">$E66*IFERROR(IF($D66&lt;=BS$8,INDEX($E$32:$E$37,MATCH(BS$8,$AF$8:$CA$8,0)-MATCH($D66,$D$45:$D$92,0)+1,0),0),1)</f>
        <v>0</v>
      </c>
      <c r="BT66" s="444" cm="1">
        <f t="array" ref="BT66">$E66*IFERROR(IF($D66&lt;=BT$8,INDEX($E$32:$E$37,MATCH(BT$8,$AF$8:$CA$8,0)-MATCH($D66,$D$45:$D$92,0)+1,0),0),1)</f>
        <v>0</v>
      </c>
      <c r="BU66" s="444" cm="1">
        <f t="array" ref="BU66">$E66*IFERROR(IF($D66&lt;=BU$8,INDEX($E$32:$E$37,MATCH(BU$8,$AF$8:$CA$8,0)-MATCH($D66,$D$45:$D$92,0)+1,0),0),1)</f>
        <v>0</v>
      </c>
      <c r="BV66" s="444" cm="1">
        <f t="array" ref="BV66">$E66*IFERROR(IF($D66&lt;=BV$8,INDEX($E$32:$E$37,MATCH(BV$8,$AF$8:$CA$8,0)-MATCH($D66,$D$45:$D$92,0)+1,0),0),1)</f>
        <v>0</v>
      </c>
      <c r="BW66" s="444" cm="1">
        <f t="array" ref="BW66">$E66*IFERROR(IF($D66&lt;=BW$8,INDEX($E$32:$E$37,MATCH(BW$8,$AF$8:$CA$8,0)-MATCH($D66,$D$45:$D$92,0)+1,0),0),1)</f>
        <v>0</v>
      </c>
      <c r="BX66" s="444" cm="1">
        <f t="array" ref="BX66">$E66*IFERROR(IF($D66&lt;=BX$8,INDEX($E$32:$E$37,MATCH(BX$8,$AF$8:$CA$8,0)-MATCH($D66,$D$45:$D$92,0)+1,0),0),1)</f>
        <v>0</v>
      </c>
      <c r="BY66" s="444" cm="1">
        <f t="array" ref="BY66">$E66*IFERROR(IF($D66&lt;=BY$8,INDEX($E$32:$E$37,MATCH(BY$8,$AF$8:$CA$8,0)-MATCH($D66,$D$45:$D$92,0)+1,0),0),1)</f>
        <v>0</v>
      </c>
      <c r="BZ66" s="444" cm="1">
        <f t="array" ref="BZ66">$E66*IFERROR(IF($D66&lt;=BZ$8,INDEX($E$32:$E$37,MATCH(BZ$8,$AF$8:$CA$8,0)-MATCH($D66,$D$45:$D$92,0)+1,0),0),1)</f>
        <v>0</v>
      </c>
      <c r="CA66" s="444" cm="1">
        <f t="array" ref="CA66">$E66*IFERROR(IF($D66&lt;=CA$8,INDEX($E$32:$E$37,MATCH(CA$8,$AF$8:$CA$8,0)-MATCH($D66,$D$45:$D$92,0)+1,0),0),1)</f>
        <v>0</v>
      </c>
    </row>
    <row r="67" spans="3:79" ht="21" hidden="1" customHeight="1" outlineLevel="3">
      <c r="D67" s="374">
        <f t="shared" si="21"/>
        <v>45626</v>
      </c>
      <c r="E67" s="446" cm="1">
        <f t="array" ref="E67">INDEX($AF$41:$CA$41,0,MATCH($D67,$AF$8:$CA$8,0))</f>
        <v>0</v>
      </c>
      <c r="G67" s="359"/>
      <c r="H67" s="445">
        <f t="shared" si="23"/>
        <v>0</v>
      </c>
      <c r="I67" s="445">
        <f t="shared" si="23"/>
        <v>0</v>
      </c>
      <c r="J67" s="445">
        <f t="shared" si="23"/>
        <v>0</v>
      </c>
      <c r="K67" s="445">
        <f t="shared" si="23"/>
        <v>0</v>
      </c>
      <c r="L67" s="442"/>
      <c r="M67" s="431"/>
      <c r="N67" s="445">
        <f t="shared" si="24"/>
        <v>0</v>
      </c>
      <c r="O67" s="445">
        <f t="shared" si="24"/>
        <v>0</v>
      </c>
      <c r="P67" s="445">
        <f t="shared" si="24"/>
        <v>0</v>
      </c>
      <c r="Q67" s="445">
        <f t="shared" si="24"/>
        <v>0</v>
      </c>
      <c r="R67" s="445">
        <f t="shared" si="24"/>
        <v>0</v>
      </c>
      <c r="S67" s="445">
        <f t="shared" si="24"/>
        <v>0</v>
      </c>
      <c r="T67" s="445">
        <f t="shared" si="24"/>
        <v>0</v>
      </c>
      <c r="U67" s="445">
        <f t="shared" si="24"/>
        <v>0</v>
      </c>
      <c r="V67" s="445">
        <f t="shared" si="24"/>
        <v>0</v>
      </c>
      <c r="W67" s="445">
        <f t="shared" si="24"/>
        <v>0</v>
      </c>
      <c r="X67" s="445">
        <f t="shared" si="24"/>
        <v>0</v>
      </c>
      <c r="Y67" s="445">
        <f t="shared" si="24"/>
        <v>0</v>
      </c>
      <c r="Z67" s="445">
        <f t="shared" si="24"/>
        <v>0</v>
      </c>
      <c r="AA67" s="445">
        <f t="shared" si="24"/>
        <v>0</v>
      </c>
      <c r="AB67" s="445">
        <f t="shared" si="24"/>
        <v>0</v>
      </c>
      <c r="AC67" s="445">
        <f t="shared" si="24"/>
        <v>0</v>
      </c>
      <c r="AD67" s="442"/>
      <c r="AE67" s="431"/>
      <c r="AF67" s="444" cm="1">
        <f t="array" ref="AF67">$E67*IFERROR(IF($D67&lt;=AF$8,INDEX($E$32:$E$37,MATCH(AF$8,$AF$8:$CA$8,0)-MATCH($D67,$D$45:$D$92,0)+1,0),0),1)</f>
        <v>0</v>
      </c>
      <c r="AG67" s="444" cm="1">
        <f t="array" ref="AG67">$E67*IFERROR(IF($D67&lt;=AG$8,INDEX($E$32:$E$37,MATCH(AG$8,$AF$8:$CA$8,0)-MATCH($D67,$D$45:$D$92,0)+1,0),0),1)</f>
        <v>0</v>
      </c>
      <c r="AH67" s="444" cm="1">
        <f t="array" ref="AH67">$E67*IFERROR(IF($D67&lt;=AH$8,INDEX($E$32:$E$37,MATCH(AH$8,$AF$8:$CA$8,0)-MATCH($D67,$D$45:$D$92,0)+1,0),0),1)</f>
        <v>0</v>
      </c>
      <c r="AI67" s="444" cm="1">
        <f t="array" ref="AI67">$E67*IFERROR(IF($D67&lt;=AI$8,INDEX($E$32:$E$37,MATCH(AI$8,$AF$8:$CA$8,0)-MATCH($D67,$D$45:$D$92,0)+1,0),0),1)</f>
        <v>0</v>
      </c>
      <c r="AJ67" s="444" cm="1">
        <f t="array" ref="AJ67">$E67*IFERROR(IF($D67&lt;=AJ$8,INDEX($E$32:$E$37,MATCH(AJ$8,$AF$8:$CA$8,0)-MATCH($D67,$D$45:$D$92,0)+1,0),0),1)</f>
        <v>0</v>
      </c>
      <c r="AK67" s="444" cm="1">
        <f t="array" ref="AK67">$E67*IFERROR(IF($D67&lt;=AK$8,INDEX($E$32:$E$37,MATCH(AK$8,$AF$8:$CA$8,0)-MATCH($D67,$D$45:$D$92,0)+1,0),0),1)</f>
        <v>0</v>
      </c>
      <c r="AL67" s="444" cm="1">
        <f t="array" ref="AL67">$E67*IFERROR(IF($D67&lt;=AL$8,INDEX($E$32:$E$37,MATCH(AL$8,$AF$8:$CA$8,0)-MATCH($D67,$D$45:$D$92,0)+1,0),0),1)</f>
        <v>0</v>
      </c>
      <c r="AM67" s="444" cm="1">
        <f t="array" ref="AM67">$E67*IFERROR(IF($D67&lt;=AM$8,INDEX($E$32:$E$37,MATCH(AM$8,$AF$8:$CA$8,0)-MATCH($D67,$D$45:$D$92,0)+1,0),0),1)</f>
        <v>0</v>
      </c>
      <c r="AN67" s="444" cm="1">
        <f t="array" ref="AN67">$E67*IFERROR(IF($D67&lt;=AN$8,INDEX($E$32:$E$37,MATCH(AN$8,$AF$8:$CA$8,0)-MATCH($D67,$D$45:$D$92,0)+1,0),0),1)</f>
        <v>0</v>
      </c>
      <c r="AO67" s="444" cm="1">
        <f t="array" ref="AO67">$E67*IFERROR(IF($D67&lt;=AO$8,INDEX($E$32:$E$37,MATCH(AO$8,$AF$8:$CA$8,0)-MATCH($D67,$D$45:$D$92,0)+1,0),0),1)</f>
        <v>0</v>
      </c>
      <c r="AP67" s="444" cm="1">
        <f t="array" ref="AP67">$E67*IFERROR(IF($D67&lt;=AP$8,INDEX($E$32:$E$37,MATCH(AP$8,$AF$8:$CA$8,0)-MATCH($D67,$D$45:$D$92,0)+1,0),0),1)</f>
        <v>0</v>
      </c>
      <c r="AQ67" s="444" cm="1">
        <f t="array" ref="AQ67">$E67*IFERROR(IF($D67&lt;=AQ$8,INDEX($E$32:$E$37,MATCH(AQ$8,$AF$8:$CA$8,0)-MATCH($D67,$D$45:$D$92,0)+1,0),0),1)</f>
        <v>0</v>
      </c>
      <c r="AR67" s="444" cm="1">
        <f t="array" ref="AR67">$E67*IFERROR(IF($D67&lt;=AR$8,INDEX($E$32:$E$37,MATCH(AR$8,$AF$8:$CA$8,0)-MATCH($D67,$D$45:$D$92,0)+1,0),0),1)</f>
        <v>0</v>
      </c>
      <c r="AS67" s="444" cm="1">
        <f t="array" ref="AS67">$E67*IFERROR(IF($D67&lt;=AS$8,INDEX($E$32:$E$37,MATCH(AS$8,$AF$8:$CA$8,0)-MATCH($D67,$D$45:$D$92,0)+1,0),0),1)</f>
        <v>0</v>
      </c>
      <c r="AT67" s="444" cm="1">
        <f t="array" ref="AT67">$E67*IFERROR(IF($D67&lt;=AT$8,INDEX($E$32:$E$37,MATCH(AT$8,$AF$8:$CA$8,0)-MATCH($D67,$D$45:$D$92,0)+1,0),0),1)</f>
        <v>0</v>
      </c>
      <c r="AU67" s="444" cm="1">
        <f t="array" ref="AU67">$E67*IFERROR(IF($D67&lt;=AU$8,INDEX($E$32:$E$37,MATCH(AU$8,$AF$8:$CA$8,0)-MATCH($D67,$D$45:$D$92,0)+1,0),0),1)</f>
        <v>0</v>
      </c>
      <c r="AV67" s="444" cm="1">
        <f t="array" ref="AV67">$E67*IFERROR(IF($D67&lt;=AV$8,INDEX($E$32:$E$37,MATCH(AV$8,$AF$8:$CA$8,0)-MATCH($D67,$D$45:$D$92,0)+1,0),0),1)</f>
        <v>0</v>
      </c>
      <c r="AW67" s="444" cm="1">
        <f t="array" ref="AW67">$E67*IFERROR(IF($D67&lt;=AW$8,INDEX($E$32:$E$37,MATCH(AW$8,$AF$8:$CA$8,0)-MATCH($D67,$D$45:$D$92,0)+1,0),0),1)</f>
        <v>0</v>
      </c>
      <c r="AX67" s="444" cm="1">
        <f t="array" ref="AX67">$E67*IFERROR(IF($D67&lt;=AX$8,INDEX($E$32:$E$37,MATCH(AX$8,$AF$8:$CA$8,0)-MATCH($D67,$D$45:$D$92,0)+1,0),0),1)</f>
        <v>0</v>
      </c>
      <c r="AY67" s="444" cm="1">
        <f t="array" ref="AY67">$E67*IFERROR(IF($D67&lt;=AY$8,INDEX($E$32:$E$37,MATCH(AY$8,$AF$8:$CA$8,0)-MATCH($D67,$D$45:$D$92,0)+1,0),0),1)</f>
        <v>0</v>
      </c>
      <c r="AZ67" s="444" cm="1">
        <f t="array" ref="AZ67">$E67*IFERROR(IF($D67&lt;=AZ$8,INDEX($E$32:$E$37,MATCH(AZ$8,$AF$8:$CA$8,0)-MATCH($D67,$D$45:$D$92,0)+1,0),0),1)</f>
        <v>0</v>
      </c>
      <c r="BA67" s="444" cm="1">
        <f t="array" ref="BA67">$E67*IFERROR(IF($D67&lt;=BA$8,INDEX($E$32:$E$37,MATCH(BA$8,$AF$8:$CA$8,0)-MATCH($D67,$D$45:$D$92,0)+1,0),0),1)</f>
        <v>0</v>
      </c>
      <c r="BB67" s="444" cm="1">
        <f t="array" ref="BB67">$E67*IFERROR(IF($D67&lt;=BB$8,INDEX($E$32:$E$37,MATCH(BB$8,$AF$8:$CA$8,0)-MATCH($D67,$D$45:$D$92,0)+1,0),0),1)</f>
        <v>0</v>
      </c>
      <c r="BC67" s="444" cm="1">
        <f t="array" ref="BC67">$E67*IFERROR(IF($D67&lt;=BC$8,INDEX($E$32:$E$37,MATCH(BC$8,$AF$8:$CA$8,0)-MATCH($D67,$D$45:$D$92,0)+1,0),0),1)</f>
        <v>0</v>
      </c>
      <c r="BD67" s="444" cm="1">
        <f t="array" ref="BD67">$E67*IFERROR(IF($D67&lt;=BD$8,INDEX($E$32:$E$37,MATCH(BD$8,$AF$8:$CA$8,0)-MATCH($D67,$D$45:$D$92,0)+1,0),0),1)</f>
        <v>0</v>
      </c>
      <c r="BE67" s="444" cm="1">
        <f t="array" ref="BE67">$E67*IFERROR(IF($D67&lt;=BE$8,INDEX($E$32:$E$37,MATCH(BE$8,$AF$8:$CA$8,0)-MATCH($D67,$D$45:$D$92,0)+1,0),0),1)</f>
        <v>0</v>
      </c>
      <c r="BF67" s="444" cm="1">
        <f t="array" ref="BF67">$E67*IFERROR(IF($D67&lt;=BF$8,INDEX($E$32:$E$37,MATCH(BF$8,$AF$8:$CA$8,0)-MATCH($D67,$D$45:$D$92,0)+1,0),0),1)</f>
        <v>0</v>
      </c>
      <c r="BG67" s="444" cm="1">
        <f t="array" ref="BG67">$E67*IFERROR(IF($D67&lt;=BG$8,INDEX($E$32:$E$37,MATCH(BG$8,$AF$8:$CA$8,0)-MATCH($D67,$D$45:$D$92,0)+1,0),0),1)</f>
        <v>0</v>
      </c>
      <c r="BH67" s="444" cm="1">
        <f t="array" ref="BH67">$E67*IFERROR(IF($D67&lt;=BH$8,INDEX($E$32:$E$37,MATCH(BH$8,$AF$8:$CA$8,0)-MATCH($D67,$D$45:$D$92,0)+1,0),0),1)</f>
        <v>0</v>
      </c>
      <c r="BI67" s="444" cm="1">
        <f t="array" ref="BI67">$E67*IFERROR(IF($D67&lt;=BI$8,INDEX($E$32:$E$37,MATCH(BI$8,$AF$8:$CA$8,0)-MATCH($D67,$D$45:$D$92,0)+1,0),0),1)</f>
        <v>0</v>
      </c>
      <c r="BJ67" s="444" cm="1">
        <f t="array" ref="BJ67">$E67*IFERROR(IF($D67&lt;=BJ$8,INDEX($E$32:$E$37,MATCH(BJ$8,$AF$8:$CA$8,0)-MATCH($D67,$D$45:$D$92,0)+1,0),0),1)</f>
        <v>0</v>
      </c>
      <c r="BK67" s="444" cm="1">
        <f t="array" ref="BK67">$E67*IFERROR(IF($D67&lt;=BK$8,INDEX($E$32:$E$37,MATCH(BK$8,$AF$8:$CA$8,0)-MATCH($D67,$D$45:$D$92,0)+1,0),0),1)</f>
        <v>0</v>
      </c>
      <c r="BL67" s="444" cm="1">
        <f t="array" ref="BL67">$E67*IFERROR(IF($D67&lt;=BL$8,INDEX($E$32:$E$37,MATCH(BL$8,$AF$8:$CA$8,0)-MATCH($D67,$D$45:$D$92,0)+1,0),0),1)</f>
        <v>0</v>
      </c>
      <c r="BM67" s="444" cm="1">
        <f t="array" ref="BM67">$E67*IFERROR(IF($D67&lt;=BM$8,INDEX($E$32:$E$37,MATCH(BM$8,$AF$8:$CA$8,0)-MATCH($D67,$D$45:$D$92,0)+1,0),0),1)</f>
        <v>0</v>
      </c>
      <c r="BN67" s="444" cm="1">
        <f t="array" ref="BN67">$E67*IFERROR(IF($D67&lt;=BN$8,INDEX($E$32:$E$37,MATCH(BN$8,$AF$8:$CA$8,0)-MATCH($D67,$D$45:$D$92,0)+1,0),0),1)</f>
        <v>0</v>
      </c>
      <c r="BO67" s="444" cm="1">
        <f t="array" ref="BO67">$E67*IFERROR(IF($D67&lt;=BO$8,INDEX($E$32:$E$37,MATCH(BO$8,$AF$8:$CA$8,0)-MATCH($D67,$D$45:$D$92,0)+1,0),0),1)</f>
        <v>0</v>
      </c>
      <c r="BP67" s="444" cm="1">
        <f t="array" ref="BP67">$E67*IFERROR(IF($D67&lt;=BP$8,INDEX($E$32:$E$37,MATCH(BP$8,$AF$8:$CA$8,0)-MATCH($D67,$D$45:$D$92,0)+1,0),0),1)</f>
        <v>0</v>
      </c>
      <c r="BQ67" s="444" cm="1">
        <f t="array" ref="BQ67">$E67*IFERROR(IF($D67&lt;=BQ$8,INDEX($E$32:$E$37,MATCH(BQ$8,$AF$8:$CA$8,0)-MATCH($D67,$D$45:$D$92,0)+1,0),0),1)</f>
        <v>0</v>
      </c>
      <c r="BR67" s="444" cm="1">
        <f t="array" ref="BR67">$E67*IFERROR(IF($D67&lt;=BR$8,INDEX($E$32:$E$37,MATCH(BR$8,$AF$8:$CA$8,0)-MATCH($D67,$D$45:$D$92,0)+1,0),0),1)</f>
        <v>0</v>
      </c>
      <c r="BS67" s="444" cm="1">
        <f t="array" ref="BS67">$E67*IFERROR(IF($D67&lt;=BS$8,INDEX($E$32:$E$37,MATCH(BS$8,$AF$8:$CA$8,0)-MATCH($D67,$D$45:$D$92,0)+1,0),0),1)</f>
        <v>0</v>
      </c>
      <c r="BT67" s="444" cm="1">
        <f t="array" ref="BT67">$E67*IFERROR(IF($D67&lt;=BT$8,INDEX($E$32:$E$37,MATCH(BT$8,$AF$8:$CA$8,0)-MATCH($D67,$D$45:$D$92,0)+1,0),0),1)</f>
        <v>0</v>
      </c>
      <c r="BU67" s="444" cm="1">
        <f t="array" ref="BU67">$E67*IFERROR(IF($D67&lt;=BU$8,INDEX($E$32:$E$37,MATCH(BU$8,$AF$8:$CA$8,0)-MATCH($D67,$D$45:$D$92,0)+1,0),0),1)</f>
        <v>0</v>
      </c>
      <c r="BV67" s="444" cm="1">
        <f t="array" ref="BV67">$E67*IFERROR(IF($D67&lt;=BV$8,INDEX($E$32:$E$37,MATCH(BV$8,$AF$8:$CA$8,0)-MATCH($D67,$D$45:$D$92,0)+1,0),0),1)</f>
        <v>0</v>
      </c>
      <c r="BW67" s="444" cm="1">
        <f t="array" ref="BW67">$E67*IFERROR(IF($D67&lt;=BW$8,INDEX($E$32:$E$37,MATCH(BW$8,$AF$8:$CA$8,0)-MATCH($D67,$D$45:$D$92,0)+1,0),0),1)</f>
        <v>0</v>
      </c>
      <c r="BX67" s="444" cm="1">
        <f t="array" ref="BX67">$E67*IFERROR(IF($D67&lt;=BX$8,INDEX($E$32:$E$37,MATCH(BX$8,$AF$8:$CA$8,0)-MATCH($D67,$D$45:$D$92,0)+1,0),0),1)</f>
        <v>0</v>
      </c>
      <c r="BY67" s="444" cm="1">
        <f t="array" ref="BY67">$E67*IFERROR(IF($D67&lt;=BY$8,INDEX($E$32:$E$37,MATCH(BY$8,$AF$8:$CA$8,0)-MATCH($D67,$D$45:$D$92,0)+1,0),0),1)</f>
        <v>0</v>
      </c>
      <c r="BZ67" s="444" cm="1">
        <f t="array" ref="BZ67">$E67*IFERROR(IF($D67&lt;=BZ$8,INDEX($E$32:$E$37,MATCH(BZ$8,$AF$8:$CA$8,0)-MATCH($D67,$D$45:$D$92,0)+1,0),0),1)</f>
        <v>0</v>
      </c>
      <c r="CA67" s="444" cm="1">
        <f t="array" ref="CA67">$E67*IFERROR(IF($D67&lt;=CA$8,INDEX($E$32:$E$37,MATCH(CA$8,$AF$8:$CA$8,0)-MATCH($D67,$D$45:$D$92,0)+1,0),0),1)</f>
        <v>0</v>
      </c>
    </row>
    <row r="68" spans="3:79" ht="21" hidden="1" customHeight="1" outlineLevel="3">
      <c r="D68" s="374">
        <f t="shared" si="21"/>
        <v>45657</v>
      </c>
      <c r="E68" s="446" cm="1">
        <f t="array" ref="E68">INDEX($AF$41:$CA$41,0,MATCH($D68,$AF$8:$CA$8,0))</f>
        <v>0</v>
      </c>
      <c r="G68" s="434"/>
      <c r="H68" s="445">
        <f t="shared" si="23"/>
        <v>0</v>
      </c>
      <c r="I68" s="445">
        <f t="shared" si="23"/>
        <v>0</v>
      </c>
      <c r="J68" s="445">
        <f t="shared" si="23"/>
        <v>0</v>
      </c>
      <c r="K68" s="445">
        <f t="shared" si="23"/>
        <v>0</v>
      </c>
      <c r="L68" s="442"/>
      <c r="M68" s="359"/>
      <c r="N68" s="445">
        <f t="shared" si="24"/>
        <v>0</v>
      </c>
      <c r="O68" s="445">
        <f t="shared" si="24"/>
        <v>0</v>
      </c>
      <c r="P68" s="445">
        <f t="shared" si="24"/>
        <v>0</v>
      </c>
      <c r="Q68" s="445">
        <f t="shared" si="24"/>
        <v>0</v>
      </c>
      <c r="R68" s="445">
        <f t="shared" si="24"/>
        <v>0</v>
      </c>
      <c r="S68" s="445">
        <f t="shared" si="24"/>
        <v>0</v>
      </c>
      <c r="T68" s="445">
        <f t="shared" si="24"/>
        <v>0</v>
      </c>
      <c r="U68" s="445">
        <f t="shared" si="24"/>
        <v>0</v>
      </c>
      <c r="V68" s="445">
        <f t="shared" si="24"/>
        <v>0</v>
      </c>
      <c r="W68" s="445">
        <f t="shared" si="24"/>
        <v>0</v>
      </c>
      <c r="X68" s="445">
        <f t="shared" si="24"/>
        <v>0</v>
      </c>
      <c r="Y68" s="445">
        <f t="shared" si="24"/>
        <v>0</v>
      </c>
      <c r="Z68" s="445">
        <f t="shared" si="24"/>
        <v>0</v>
      </c>
      <c r="AA68" s="445">
        <f t="shared" si="24"/>
        <v>0</v>
      </c>
      <c r="AB68" s="445">
        <f t="shared" si="24"/>
        <v>0</v>
      </c>
      <c r="AC68" s="445">
        <f t="shared" si="24"/>
        <v>0</v>
      </c>
      <c r="AD68" s="442"/>
      <c r="AE68" s="359"/>
      <c r="AF68" s="444" cm="1">
        <f t="array" ref="AF68">$E68*IFERROR(IF($D68&lt;=AF$8,INDEX($E$32:$E$37,MATCH(AF$8,$AF$8:$CA$8,0)-MATCH($D68,$D$45:$D$92,0)+1,0),0),1)</f>
        <v>0</v>
      </c>
      <c r="AG68" s="444" cm="1">
        <f t="array" ref="AG68">$E68*IFERROR(IF($D68&lt;=AG$8,INDEX($E$32:$E$37,MATCH(AG$8,$AF$8:$CA$8,0)-MATCH($D68,$D$45:$D$92,0)+1,0),0),1)</f>
        <v>0</v>
      </c>
      <c r="AH68" s="444" cm="1">
        <f t="array" ref="AH68">$E68*IFERROR(IF($D68&lt;=AH$8,INDEX($E$32:$E$37,MATCH(AH$8,$AF$8:$CA$8,0)-MATCH($D68,$D$45:$D$92,0)+1,0),0),1)</f>
        <v>0</v>
      </c>
      <c r="AI68" s="444" cm="1">
        <f t="array" ref="AI68">$E68*IFERROR(IF($D68&lt;=AI$8,INDEX($E$32:$E$37,MATCH(AI$8,$AF$8:$CA$8,0)-MATCH($D68,$D$45:$D$92,0)+1,0),0),1)</f>
        <v>0</v>
      </c>
      <c r="AJ68" s="444" cm="1">
        <f t="array" ref="AJ68">$E68*IFERROR(IF($D68&lt;=AJ$8,INDEX($E$32:$E$37,MATCH(AJ$8,$AF$8:$CA$8,0)-MATCH($D68,$D$45:$D$92,0)+1,0),0),1)</f>
        <v>0</v>
      </c>
      <c r="AK68" s="444" cm="1">
        <f t="array" ref="AK68">$E68*IFERROR(IF($D68&lt;=AK$8,INDEX($E$32:$E$37,MATCH(AK$8,$AF$8:$CA$8,0)-MATCH($D68,$D$45:$D$92,0)+1,0),0),1)</f>
        <v>0</v>
      </c>
      <c r="AL68" s="444" cm="1">
        <f t="array" ref="AL68">$E68*IFERROR(IF($D68&lt;=AL$8,INDEX($E$32:$E$37,MATCH(AL$8,$AF$8:$CA$8,0)-MATCH($D68,$D$45:$D$92,0)+1,0),0),1)</f>
        <v>0</v>
      </c>
      <c r="AM68" s="444" cm="1">
        <f t="array" ref="AM68">$E68*IFERROR(IF($D68&lt;=AM$8,INDEX($E$32:$E$37,MATCH(AM$8,$AF$8:$CA$8,0)-MATCH($D68,$D$45:$D$92,0)+1,0),0),1)</f>
        <v>0</v>
      </c>
      <c r="AN68" s="444" cm="1">
        <f t="array" ref="AN68">$E68*IFERROR(IF($D68&lt;=AN$8,INDEX($E$32:$E$37,MATCH(AN$8,$AF$8:$CA$8,0)-MATCH($D68,$D$45:$D$92,0)+1,0),0),1)</f>
        <v>0</v>
      </c>
      <c r="AO68" s="444" cm="1">
        <f t="array" ref="AO68">$E68*IFERROR(IF($D68&lt;=AO$8,INDEX($E$32:$E$37,MATCH(AO$8,$AF$8:$CA$8,0)-MATCH($D68,$D$45:$D$92,0)+1,0),0),1)</f>
        <v>0</v>
      </c>
      <c r="AP68" s="444" cm="1">
        <f t="array" ref="AP68">$E68*IFERROR(IF($D68&lt;=AP$8,INDEX($E$32:$E$37,MATCH(AP$8,$AF$8:$CA$8,0)-MATCH($D68,$D$45:$D$92,0)+1,0),0),1)</f>
        <v>0</v>
      </c>
      <c r="AQ68" s="444" cm="1">
        <f t="array" ref="AQ68">$E68*IFERROR(IF($D68&lt;=AQ$8,INDEX($E$32:$E$37,MATCH(AQ$8,$AF$8:$CA$8,0)-MATCH($D68,$D$45:$D$92,0)+1,0),0),1)</f>
        <v>0</v>
      </c>
      <c r="AR68" s="444" cm="1">
        <f t="array" ref="AR68">$E68*IFERROR(IF($D68&lt;=AR$8,INDEX($E$32:$E$37,MATCH(AR$8,$AF$8:$CA$8,0)-MATCH($D68,$D$45:$D$92,0)+1,0),0),1)</f>
        <v>0</v>
      </c>
      <c r="AS68" s="444" cm="1">
        <f t="array" ref="AS68">$E68*IFERROR(IF($D68&lt;=AS$8,INDEX($E$32:$E$37,MATCH(AS$8,$AF$8:$CA$8,0)-MATCH($D68,$D$45:$D$92,0)+1,0),0),1)</f>
        <v>0</v>
      </c>
      <c r="AT68" s="444" cm="1">
        <f t="array" ref="AT68">$E68*IFERROR(IF($D68&lt;=AT$8,INDEX($E$32:$E$37,MATCH(AT$8,$AF$8:$CA$8,0)-MATCH($D68,$D$45:$D$92,0)+1,0),0),1)</f>
        <v>0</v>
      </c>
      <c r="AU68" s="444" cm="1">
        <f t="array" ref="AU68">$E68*IFERROR(IF($D68&lt;=AU$8,INDEX($E$32:$E$37,MATCH(AU$8,$AF$8:$CA$8,0)-MATCH($D68,$D$45:$D$92,0)+1,0),0),1)</f>
        <v>0</v>
      </c>
      <c r="AV68" s="444" cm="1">
        <f t="array" ref="AV68">$E68*IFERROR(IF($D68&lt;=AV$8,INDEX($E$32:$E$37,MATCH(AV$8,$AF$8:$CA$8,0)-MATCH($D68,$D$45:$D$92,0)+1,0),0),1)</f>
        <v>0</v>
      </c>
      <c r="AW68" s="444" cm="1">
        <f t="array" ref="AW68">$E68*IFERROR(IF($D68&lt;=AW$8,INDEX($E$32:$E$37,MATCH(AW$8,$AF$8:$CA$8,0)-MATCH($D68,$D$45:$D$92,0)+1,0),0),1)</f>
        <v>0</v>
      </c>
      <c r="AX68" s="444" cm="1">
        <f t="array" ref="AX68">$E68*IFERROR(IF($D68&lt;=AX$8,INDEX($E$32:$E$37,MATCH(AX$8,$AF$8:$CA$8,0)-MATCH($D68,$D$45:$D$92,0)+1,0),0),1)</f>
        <v>0</v>
      </c>
      <c r="AY68" s="444" cm="1">
        <f t="array" ref="AY68">$E68*IFERROR(IF($D68&lt;=AY$8,INDEX($E$32:$E$37,MATCH(AY$8,$AF$8:$CA$8,0)-MATCH($D68,$D$45:$D$92,0)+1,0),0),1)</f>
        <v>0</v>
      </c>
      <c r="AZ68" s="444" cm="1">
        <f t="array" ref="AZ68">$E68*IFERROR(IF($D68&lt;=AZ$8,INDEX($E$32:$E$37,MATCH(AZ$8,$AF$8:$CA$8,0)-MATCH($D68,$D$45:$D$92,0)+1,0),0),1)</f>
        <v>0</v>
      </c>
      <c r="BA68" s="444" cm="1">
        <f t="array" ref="BA68">$E68*IFERROR(IF($D68&lt;=BA$8,INDEX($E$32:$E$37,MATCH(BA$8,$AF$8:$CA$8,0)-MATCH($D68,$D$45:$D$92,0)+1,0),0),1)</f>
        <v>0</v>
      </c>
      <c r="BB68" s="444" cm="1">
        <f t="array" ref="BB68">$E68*IFERROR(IF($D68&lt;=BB$8,INDEX($E$32:$E$37,MATCH(BB$8,$AF$8:$CA$8,0)-MATCH($D68,$D$45:$D$92,0)+1,0),0),1)</f>
        <v>0</v>
      </c>
      <c r="BC68" s="444" cm="1">
        <f t="array" ref="BC68">$E68*IFERROR(IF($D68&lt;=BC$8,INDEX($E$32:$E$37,MATCH(BC$8,$AF$8:$CA$8,0)-MATCH($D68,$D$45:$D$92,0)+1,0),0),1)</f>
        <v>0</v>
      </c>
      <c r="BD68" s="444" cm="1">
        <f t="array" ref="BD68">$E68*IFERROR(IF($D68&lt;=BD$8,INDEX($E$32:$E$37,MATCH(BD$8,$AF$8:$CA$8,0)-MATCH($D68,$D$45:$D$92,0)+1,0),0),1)</f>
        <v>0</v>
      </c>
      <c r="BE68" s="444" cm="1">
        <f t="array" ref="BE68">$E68*IFERROR(IF($D68&lt;=BE$8,INDEX($E$32:$E$37,MATCH(BE$8,$AF$8:$CA$8,0)-MATCH($D68,$D$45:$D$92,0)+1,0),0),1)</f>
        <v>0</v>
      </c>
      <c r="BF68" s="444" cm="1">
        <f t="array" ref="BF68">$E68*IFERROR(IF($D68&lt;=BF$8,INDEX($E$32:$E$37,MATCH(BF$8,$AF$8:$CA$8,0)-MATCH($D68,$D$45:$D$92,0)+1,0),0),1)</f>
        <v>0</v>
      </c>
      <c r="BG68" s="444" cm="1">
        <f t="array" ref="BG68">$E68*IFERROR(IF($D68&lt;=BG$8,INDEX($E$32:$E$37,MATCH(BG$8,$AF$8:$CA$8,0)-MATCH($D68,$D$45:$D$92,0)+1,0),0),1)</f>
        <v>0</v>
      </c>
      <c r="BH68" s="444" cm="1">
        <f t="array" ref="BH68">$E68*IFERROR(IF($D68&lt;=BH$8,INDEX($E$32:$E$37,MATCH(BH$8,$AF$8:$CA$8,0)-MATCH($D68,$D$45:$D$92,0)+1,0),0),1)</f>
        <v>0</v>
      </c>
      <c r="BI68" s="444" cm="1">
        <f t="array" ref="BI68">$E68*IFERROR(IF($D68&lt;=BI$8,INDEX($E$32:$E$37,MATCH(BI$8,$AF$8:$CA$8,0)-MATCH($D68,$D$45:$D$92,0)+1,0),0),1)</f>
        <v>0</v>
      </c>
      <c r="BJ68" s="444" cm="1">
        <f t="array" ref="BJ68">$E68*IFERROR(IF($D68&lt;=BJ$8,INDEX($E$32:$E$37,MATCH(BJ$8,$AF$8:$CA$8,0)-MATCH($D68,$D$45:$D$92,0)+1,0),0),1)</f>
        <v>0</v>
      </c>
      <c r="BK68" s="444" cm="1">
        <f t="array" ref="BK68">$E68*IFERROR(IF($D68&lt;=BK$8,INDEX($E$32:$E$37,MATCH(BK$8,$AF$8:$CA$8,0)-MATCH($D68,$D$45:$D$92,0)+1,0),0),1)</f>
        <v>0</v>
      </c>
      <c r="BL68" s="444" cm="1">
        <f t="array" ref="BL68">$E68*IFERROR(IF($D68&lt;=BL$8,INDEX($E$32:$E$37,MATCH(BL$8,$AF$8:$CA$8,0)-MATCH($D68,$D$45:$D$92,0)+1,0),0),1)</f>
        <v>0</v>
      </c>
      <c r="BM68" s="444" cm="1">
        <f t="array" ref="BM68">$E68*IFERROR(IF($D68&lt;=BM$8,INDEX($E$32:$E$37,MATCH(BM$8,$AF$8:$CA$8,0)-MATCH($D68,$D$45:$D$92,0)+1,0),0),1)</f>
        <v>0</v>
      </c>
      <c r="BN68" s="444" cm="1">
        <f t="array" ref="BN68">$E68*IFERROR(IF($D68&lt;=BN$8,INDEX($E$32:$E$37,MATCH(BN$8,$AF$8:$CA$8,0)-MATCH($D68,$D$45:$D$92,0)+1,0),0),1)</f>
        <v>0</v>
      </c>
      <c r="BO68" s="444" cm="1">
        <f t="array" ref="BO68">$E68*IFERROR(IF($D68&lt;=BO$8,INDEX($E$32:$E$37,MATCH(BO$8,$AF$8:$CA$8,0)-MATCH($D68,$D$45:$D$92,0)+1,0),0),1)</f>
        <v>0</v>
      </c>
      <c r="BP68" s="444" cm="1">
        <f t="array" ref="BP68">$E68*IFERROR(IF($D68&lt;=BP$8,INDEX($E$32:$E$37,MATCH(BP$8,$AF$8:$CA$8,0)-MATCH($D68,$D$45:$D$92,0)+1,0),0),1)</f>
        <v>0</v>
      </c>
      <c r="BQ68" s="444" cm="1">
        <f t="array" ref="BQ68">$E68*IFERROR(IF($D68&lt;=BQ$8,INDEX($E$32:$E$37,MATCH(BQ$8,$AF$8:$CA$8,0)-MATCH($D68,$D$45:$D$92,0)+1,0),0),1)</f>
        <v>0</v>
      </c>
      <c r="BR68" s="444" cm="1">
        <f t="array" ref="BR68">$E68*IFERROR(IF($D68&lt;=BR$8,INDEX($E$32:$E$37,MATCH(BR$8,$AF$8:$CA$8,0)-MATCH($D68,$D$45:$D$92,0)+1,0),0),1)</f>
        <v>0</v>
      </c>
      <c r="BS68" s="444" cm="1">
        <f t="array" ref="BS68">$E68*IFERROR(IF($D68&lt;=BS$8,INDEX($E$32:$E$37,MATCH(BS$8,$AF$8:$CA$8,0)-MATCH($D68,$D$45:$D$92,0)+1,0),0),1)</f>
        <v>0</v>
      </c>
      <c r="BT68" s="444" cm="1">
        <f t="array" ref="BT68">$E68*IFERROR(IF($D68&lt;=BT$8,INDEX($E$32:$E$37,MATCH(BT$8,$AF$8:$CA$8,0)-MATCH($D68,$D$45:$D$92,0)+1,0),0),1)</f>
        <v>0</v>
      </c>
      <c r="BU68" s="444" cm="1">
        <f t="array" ref="BU68">$E68*IFERROR(IF($D68&lt;=BU$8,INDEX($E$32:$E$37,MATCH(BU$8,$AF$8:$CA$8,0)-MATCH($D68,$D$45:$D$92,0)+1,0),0),1)</f>
        <v>0</v>
      </c>
      <c r="BV68" s="444" cm="1">
        <f t="array" ref="BV68">$E68*IFERROR(IF($D68&lt;=BV$8,INDEX($E$32:$E$37,MATCH(BV$8,$AF$8:$CA$8,0)-MATCH($D68,$D$45:$D$92,0)+1,0),0),1)</f>
        <v>0</v>
      </c>
      <c r="BW68" s="444" cm="1">
        <f t="array" ref="BW68">$E68*IFERROR(IF($D68&lt;=BW$8,INDEX($E$32:$E$37,MATCH(BW$8,$AF$8:$CA$8,0)-MATCH($D68,$D$45:$D$92,0)+1,0),0),1)</f>
        <v>0</v>
      </c>
      <c r="BX68" s="444" cm="1">
        <f t="array" ref="BX68">$E68*IFERROR(IF($D68&lt;=BX$8,INDEX($E$32:$E$37,MATCH(BX$8,$AF$8:$CA$8,0)-MATCH($D68,$D$45:$D$92,0)+1,0),0),1)</f>
        <v>0</v>
      </c>
      <c r="BY68" s="444" cm="1">
        <f t="array" ref="BY68">$E68*IFERROR(IF($D68&lt;=BY$8,INDEX($E$32:$E$37,MATCH(BY$8,$AF$8:$CA$8,0)-MATCH($D68,$D$45:$D$92,0)+1,0),0),1)</f>
        <v>0</v>
      </c>
      <c r="BZ68" s="444" cm="1">
        <f t="array" ref="BZ68">$E68*IFERROR(IF($D68&lt;=BZ$8,INDEX($E$32:$E$37,MATCH(BZ$8,$AF$8:$CA$8,0)-MATCH($D68,$D$45:$D$92,0)+1,0),0),1)</f>
        <v>0</v>
      </c>
      <c r="CA68" s="444" cm="1">
        <f t="array" ref="CA68">$E68*IFERROR(IF($D68&lt;=CA$8,INDEX($E$32:$E$37,MATCH(CA$8,$AF$8:$CA$8,0)-MATCH($D68,$D$45:$D$92,0)+1,0),0),1)</f>
        <v>0</v>
      </c>
    </row>
    <row r="69" spans="3:79" ht="21" hidden="1" customHeight="1" outlineLevel="3">
      <c r="D69" s="374">
        <f t="shared" si="21"/>
        <v>45688</v>
      </c>
      <c r="E69" s="446" cm="1">
        <f t="array" ref="E69">INDEX($AF$41:$CA$41,0,MATCH($D69,$AF$8:$CA$8,0))</f>
        <v>0</v>
      </c>
      <c r="G69" s="431"/>
      <c r="H69" s="445">
        <f t="shared" si="23"/>
        <v>0</v>
      </c>
      <c r="I69" s="445">
        <f t="shared" si="23"/>
        <v>0</v>
      </c>
      <c r="J69" s="445">
        <f t="shared" si="23"/>
        <v>0</v>
      </c>
      <c r="K69" s="445">
        <f t="shared" si="23"/>
        <v>0</v>
      </c>
      <c r="L69" s="442"/>
      <c r="M69" s="434"/>
      <c r="N69" s="445">
        <f t="shared" si="24"/>
        <v>0</v>
      </c>
      <c r="O69" s="445">
        <f t="shared" si="24"/>
        <v>0</v>
      </c>
      <c r="P69" s="445">
        <f t="shared" si="24"/>
        <v>0</v>
      </c>
      <c r="Q69" s="445">
        <f t="shared" si="24"/>
        <v>0</v>
      </c>
      <c r="R69" s="445">
        <f t="shared" si="24"/>
        <v>0</v>
      </c>
      <c r="S69" s="445">
        <f t="shared" si="24"/>
        <v>0</v>
      </c>
      <c r="T69" s="445">
        <f t="shared" si="24"/>
        <v>0</v>
      </c>
      <c r="U69" s="445">
        <f t="shared" si="24"/>
        <v>0</v>
      </c>
      <c r="V69" s="445">
        <f t="shared" si="24"/>
        <v>0</v>
      </c>
      <c r="W69" s="445">
        <f t="shared" si="24"/>
        <v>0</v>
      </c>
      <c r="X69" s="445">
        <f t="shared" si="24"/>
        <v>0</v>
      </c>
      <c r="Y69" s="445">
        <f t="shared" si="24"/>
        <v>0</v>
      </c>
      <c r="Z69" s="445">
        <f t="shared" si="24"/>
        <v>0</v>
      </c>
      <c r="AA69" s="445">
        <f t="shared" si="24"/>
        <v>0</v>
      </c>
      <c r="AB69" s="445">
        <f t="shared" si="24"/>
        <v>0</v>
      </c>
      <c r="AC69" s="445">
        <f t="shared" si="24"/>
        <v>0</v>
      </c>
      <c r="AD69" s="442"/>
      <c r="AE69" s="434"/>
      <c r="AF69" s="444" cm="1">
        <f t="array" ref="AF69">$E69*IFERROR(IF($D69&lt;=AF$8,INDEX($E$32:$E$37,MATCH(AF$8,$AF$8:$CA$8,0)-MATCH($D69,$D$45:$D$92,0)+1,0),0),1)</f>
        <v>0</v>
      </c>
      <c r="AG69" s="444" cm="1">
        <f t="array" ref="AG69">$E69*IFERROR(IF($D69&lt;=AG$8,INDEX($E$32:$E$37,MATCH(AG$8,$AF$8:$CA$8,0)-MATCH($D69,$D$45:$D$92,0)+1,0),0),1)</f>
        <v>0</v>
      </c>
      <c r="AH69" s="444" cm="1">
        <f t="array" ref="AH69">$E69*IFERROR(IF($D69&lt;=AH$8,INDEX($E$32:$E$37,MATCH(AH$8,$AF$8:$CA$8,0)-MATCH($D69,$D$45:$D$92,0)+1,0),0),1)</f>
        <v>0</v>
      </c>
      <c r="AI69" s="444" cm="1">
        <f t="array" ref="AI69">$E69*IFERROR(IF($D69&lt;=AI$8,INDEX($E$32:$E$37,MATCH(AI$8,$AF$8:$CA$8,0)-MATCH($D69,$D$45:$D$92,0)+1,0),0),1)</f>
        <v>0</v>
      </c>
      <c r="AJ69" s="444" cm="1">
        <f t="array" ref="AJ69">$E69*IFERROR(IF($D69&lt;=AJ$8,INDEX($E$32:$E$37,MATCH(AJ$8,$AF$8:$CA$8,0)-MATCH($D69,$D$45:$D$92,0)+1,0),0),1)</f>
        <v>0</v>
      </c>
      <c r="AK69" s="444" cm="1">
        <f t="array" ref="AK69">$E69*IFERROR(IF($D69&lt;=AK$8,INDEX($E$32:$E$37,MATCH(AK$8,$AF$8:$CA$8,0)-MATCH($D69,$D$45:$D$92,0)+1,0),0),1)</f>
        <v>0</v>
      </c>
      <c r="AL69" s="444" cm="1">
        <f t="array" ref="AL69">$E69*IFERROR(IF($D69&lt;=AL$8,INDEX($E$32:$E$37,MATCH(AL$8,$AF$8:$CA$8,0)-MATCH($D69,$D$45:$D$92,0)+1,0),0),1)</f>
        <v>0</v>
      </c>
      <c r="AM69" s="444" cm="1">
        <f t="array" ref="AM69">$E69*IFERROR(IF($D69&lt;=AM$8,INDEX($E$32:$E$37,MATCH(AM$8,$AF$8:$CA$8,0)-MATCH($D69,$D$45:$D$92,0)+1,0),0),1)</f>
        <v>0</v>
      </c>
      <c r="AN69" s="444" cm="1">
        <f t="array" ref="AN69">$E69*IFERROR(IF($D69&lt;=AN$8,INDEX($E$32:$E$37,MATCH(AN$8,$AF$8:$CA$8,0)-MATCH($D69,$D$45:$D$92,0)+1,0),0),1)</f>
        <v>0</v>
      </c>
      <c r="AO69" s="444" cm="1">
        <f t="array" ref="AO69">$E69*IFERROR(IF($D69&lt;=AO$8,INDEX($E$32:$E$37,MATCH(AO$8,$AF$8:$CA$8,0)-MATCH($D69,$D$45:$D$92,0)+1,0),0),1)</f>
        <v>0</v>
      </c>
      <c r="AP69" s="444" cm="1">
        <f t="array" ref="AP69">$E69*IFERROR(IF($D69&lt;=AP$8,INDEX($E$32:$E$37,MATCH(AP$8,$AF$8:$CA$8,0)-MATCH($D69,$D$45:$D$92,0)+1,0),0),1)</f>
        <v>0</v>
      </c>
      <c r="AQ69" s="444" cm="1">
        <f t="array" ref="AQ69">$E69*IFERROR(IF($D69&lt;=AQ$8,INDEX($E$32:$E$37,MATCH(AQ$8,$AF$8:$CA$8,0)-MATCH($D69,$D$45:$D$92,0)+1,0),0),1)</f>
        <v>0</v>
      </c>
      <c r="AR69" s="444" cm="1">
        <f t="array" ref="AR69">$E69*IFERROR(IF($D69&lt;=AR$8,INDEX($E$32:$E$37,MATCH(AR$8,$AF$8:$CA$8,0)-MATCH($D69,$D$45:$D$92,0)+1,0),0),1)</f>
        <v>0</v>
      </c>
      <c r="AS69" s="444" cm="1">
        <f t="array" ref="AS69">$E69*IFERROR(IF($D69&lt;=AS$8,INDEX($E$32:$E$37,MATCH(AS$8,$AF$8:$CA$8,0)-MATCH($D69,$D$45:$D$92,0)+1,0),0),1)</f>
        <v>0</v>
      </c>
      <c r="AT69" s="444" cm="1">
        <f t="array" ref="AT69">$E69*IFERROR(IF($D69&lt;=AT$8,INDEX($E$32:$E$37,MATCH(AT$8,$AF$8:$CA$8,0)-MATCH($D69,$D$45:$D$92,0)+1,0),0),1)</f>
        <v>0</v>
      </c>
      <c r="AU69" s="444" cm="1">
        <f t="array" ref="AU69">$E69*IFERROR(IF($D69&lt;=AU$8,INDEX($E$32:$E$37,MATCH(AU$8,$AF$8:$CA$8,0)-MATCH($D69,$D$45:$D$92,0)+1,0),0),1)</f>
        <v>0</v>
      </c>
      <c r="AV69" s="444" cm="1">
        <f t="array" ref="AV69">$E69*IFERROR(IF($D69&lt;=AV$8,INDEX($E$32:$E$37,MATCH(AV$8,$AF$8:$CA$8,0)-MATCH($D69,$D$45:$D$92,0)+1,0),0),1)</f>
        <v>0</v>
      </c>
      <c r="AW69" s="444" cm="1">
        <f t="array" ref="AW69">$E69*IFERROR(IF($D69&lt;=AW$8,INDEX($E$32:$E$37,MATCH(AW$8,$AF$8:$CA$8,0)-MATCH($D69,$D$45:$D$92,0)+1,0),0),1)</f>
        <v>0</v>
      </c>
      <c r="AX69" s="444" cm="1">
        <f t="array" ref="AX69">$E69*IFERROR(IF($D69&lt;=AX$8,INDEX($E$32:$E$37,MATCH(AX$8,$AF$8:$CA$8,0)-MATCH($D69,$D$45:$D$92,0)+1,0),0),1)</f>
        <v>0</v>
      </c>
      <c r="AY69" s="444" cm="1">
        <f t="array" ref="AY69">$E69*IFERROR(IF($D69&lt;=AY$8,INDEX($E$32:$E$37,MATCH(AY$8,$AF$8:$CA$8,0)-MATCH($D69,$D$45:$D$92,0)+1,0),0),1)</f>
        <v>0</v>
      </c>
      <c r="AZ69" s="444" cm="1">
        <f t="array" ref="AZ69">$E69*IFERROR(IF($D69&lt;=AZ$8,INDEX($E$32:$E$37,MATCH(AZ$8,$AF$8:$CA$8,0)-MATCH($D69,$D$45:$D$92,0)+1,0),0),1)</f>
        <v>0</v>
      </c>
      <c r="BA69" s="444" cm="1">
        <f t="array" ref="BA69">$E69*IFERROR(IF($D69&lt;=BA$8,INDEX($E$32:$E$37,MATCH(BA$8,$AF$8:$CA$8,0)-MATCH($D69,$D$45:$D$92,0)+1,0),0),1)</f>
        <v>0</v>
      </c>
      <c r="BB69" s="444" cm="1">
        <f t="array" ref="BB69">$E69*IFERROR(IF($D69&lt;=BB$8,INDEX($E$32:$E$37,MATCH(BB$8,$AF$8:$CA$8,0)-MATCH($D69,$D$45:$D$92,0)+1,0),0),1)</f>
        <v>0</v>
      </c>
      <c r="BC69" s="444" cm="1">
        <f t="array" ref="BC69">$E69*IFERROR(IF($D69&lt;=BC$8,INDEX($E$32:$E$37,MATCH(BC$8,$AF$8:$CA$8,0)-MATCH($D69,$D$45:$D$92,0)+1,0),0),1)</f>
        <v>0</v>
      </c>
      <c r="BD69" s="444" cm="1">
        <f t="array" ref="BD69">$E69*IFERROR(IF($D69&lt;=BD$8,INDEX($E$32:$E$37,MATCH(BD$8,$AF$8:$CA$8,0)-MATCH($D69,$D$45:$D$92,0)+1,0),0),1)</f>
        <v>0</v>
      </c>
      <c r="BE69" s="444" cm="1">
        <f t="array" ref="BE69">$E69*IFERROR(IF($D69&lt;=BE$8,INDEX($E$32:$E$37,MATCH(BE$8,$AF$8:$CA$8,0)-MATCH($D69,$D$45:$D$92,0)+1,0),0),1)</f>
        <v>0</v>
      </c>
      <c r="BF69" s="444" cm="1">
        <f t="array" ref="BF69">$E69*IFERROR(IF($D69&lt;=BF$8,INDEX($E$32:$E$37,MATCH(BF$8,$AF$8:$CA$8,0)-MATCH($D69,$D$45:$D$92,0)+1,0),0),1)</f>
        <v>0</v>
      </c>
      <c r="BG69" s="444" cm="1">
        <f t="array" ref="BG69">$E69*IFERROR(IF($D69&lt;=BG$8,INDEX($E$32:$E$37,MATCH(BG$8,$AF$8:$CA$8,0)-MATCH($D69,$D$45:$D$92,0)+1,0),0),1)</f>
        <v>0</v>
      </c>
      <c r="BH69" s="444" cm="1">
        <f t="array" ref="BH69">$E69*IFERROR(IF($D69&lt;=BH$8,INDEX($E$32:$E$37,MATCH(BH$8,$AF$8:$CA$8,0)-MATCH($D69,$D$45:$D$92,0)+1,0),0),1)</f>
        <v>0</v>
      </c>
      <c r="BI69" s="444" cm="1">
        <f t="array" ref="BI69">$E69*IFERROR(IF($D69&lt;=BI$8,INDEX($E$32:$E$37,MATCH(BI$8,$AF$8:$CA$8,0)-MATCH($D69,$D$45:$D$92,0)+1,0),0),1)</f>
        <v>0</v>
      </c>
      <c r="BJ69" s="444" cm="1">
        <f t="array" ref="BJ69">$E69*IFERROR(IF($D69&lt;=BJ$8,INDEX($E$32:$E$37,MATCH(BJ$8,$AF$8:$CA$8,0)-MATCH($D69,$D$45:$D$92,0)+1,0),0),1)</f>
        <v>0</v>
      </c>
      <c r="BK69" s="444" cm="1">
        <f t="array" ref="BK69">$E69*IFERROR(IF($D69&lt;=BK$8,INDEX($E$32:$E$37,MATCH(BK$8,$AF$8:$CA$8,0)-MATCH($D69,$D$45:$D$92,0)+1,0),0),1)</f>
        <v>0</v>
      </c>
      <c r="BL69" s="444" cm="1">
        <f t="array" ref="BL69">$E69*IFERROR(IF($D69&lt;=BL$8,INDEX($E$32:$E$37,MATCH(BL$8,$AF$8:$CA$8,0)-MATCH($D69,$D$45:$D$92,0)+1,0),0),1)</f>
        <v>0</v>
      </c>
      <c r="BM69" s="444" cm="1">
        <f t="array" ref="BM69">$E69*IFERROR(IF($D69&lt;=BM$8,INDEX($E$32:$E$37,MATCH(BM$8,$AF$8:$CA$8,0)-MATCH($D69,$D$45:$D$92,0)+1,0),0),1)</f>
        <v>0</v>
      </c>
      <c r="BN69" s="444" cm="1">
        <f t="array" ref="BN69">$E69*IFERROR(IF($D69&lt;=BN$8,INDEX($E$32:$E$37,MATCH(BN$8,$AF$8:$CA$8,0)-MATCH($D69,$D$45:$D$92,0)+1,0),0),1)</f>
        <v>0</v>
      </c>
      <c r="BO69" s="444" cm="1">
        <f t="array" ref="BO69">$E69*IFERROR(IF($D69&lt;=BO$8,INDEX($E$32:$E$37,MATCH(BO$8,$AF$8:$CA$8,0)-MATCH($D69,$D$45:$D$92,0)+1,0),0),1)</f>
        <v>0</v>
      </c>
      <c r="BP69" s="444" cm="1">
        <f t="array" ref="BP69">$E69*IFERROR(IF($D69&lt;=BP$8,INDEX($E$32:$E$37,MATCH(BP$8,$AF$8:$CA$8,0)-MATCH($D69,$D$45:$D$92,0)+1,0),0),1)</f>
        <v>0</v>
      </c>
      <c r="BQ69" s="444" cm="1">
        <f t="array" ref="BQ69">$E69*IFERROR(IF($D69&lt;=BQ$8,INDEX($E$32:$E$37,MATCH(BQ$8,$AF$8:$CA$8,0)-MATCH($D69,$D$45:$D$92,0)+1,0),0),1)</f>
        <v>0</v>
      </c>
      <c r="BR69" s="444" cm="1">
        <f t="array" ref="BR69">$E69*IFERROR(IF($D69&lt;=BR$8,INDEX($E$32:$E$37,MATCH(BR$8,$AF$8:$CA$8,0)-MATCH($D69,$D$45:$D$92,0)+1,0),0),1)</f>
        <v>0</v>
      </c>
      <c r="BS69" s="444" cm="1">
        <f t="array" ref="BS69">$E69*IFERROR(IF($D69&lt;=BS$8,INDEX($E$32:$E$37,MATCH(BS$8,$AF$8:$CA$8,0)-MATCH($D69,$D$45:$D$92,0)+1,0),0),1)</f>
        <v>0</v>
      </c>
      <c r="BT69" s="444" cm="1">
        <f t="array" ref="BT69">$E69*IFERROR(IF($D69&lt;=BT$8,INDEX($E$32:$E$37,MATCH(BT$8,$AF$8:$CA$8,0)-MATCH($D69,$D$45:$D$92,0)+1,0),0),1)</f>
        <v>0</v>
      </c>
      <c r="BU69" s="444" cm="1">
        <f t="array" ref="BU69">$E69*IFERROR(IF($D69&lt;=BU$8,INDEX($E$32:$E$37,MATCH(BU$8,$AF$8:$CA$8,0)-MATCH($D69,$D$45:$D$92,0)+1,0),0),1)</f>
        <v>0</v>
      </c>
      <c r="BV69" s="444" cm="1">
        <f t="array" ref="BV69">$E69*IFERROR(IF($D69&lt;=BV$8,INDEX($E$32:$E$37,MATCH(BV$8,$AF$8:$CA$8,0)-MATCH($D69,$D$45:$D$92,0)+1,0),0),1)</f>
        <v>0</v>
      </c>
      <c r="BW69" s="444" cm="1">
        <f t="array" ref="BW69">$E69*IFERROR(IF($D69&lt;=BW$8,INDEX($E$32:$E$37,MATCH(BW$8,$AF$8:$CA$8,0)-MATCH($D69,$D$45:$D$92,0)+1,0),0),1)</f>
        <v>0</v>
      </c>
      <c r="BX69" s="444" cm="1">
        <f t="array" ref="BX69">$E69*IFERROR(IF($D69&lt;=BX$8,INDEX($E$32:$E$37,MATCH(BX$8,$AF$8:$CA$8,0)-MATCH($D69,$D$45:$D$92,0)+1,0),0),1)</f>
        <v>0</v>
      </c>
      <c r="BY69" s="444" cm="1">
        <f t="array" ref="BY69">$E69*IFERROR(IF($D69&lt;=BY$8,INDEX($E$32:$E$37,MATCH(BY$8,$AF$8:$CA$8,0)-MATCH($D69,$D$45:$D$92,0)+1,0),0),1)</f>
        <v>0</v>
      </c>
      <c r="BZ69" s="444" cm="1">
        <f t="array" ref="BZ69">$E69*IFERROR(IF($D69&lt;=BZ$8,INDEX($E$32:$E$37,MATCH(BZ$8,$AF$8:$CA$8,0)-MATCH($D69,$D$45:$D$92,0)+1,0),0),1)</f>
        <v>0</v>
      </c>
      <c r="CA69" s="444" cm="1">
        <f t="array" ref="CA69">$E69*IFERROR(IF($D69&lt;=CA$8,INDEX($E$32:$E$37,MATCH(CA$8,$AF$8:$CA$8,0)-MATCH($D69,$D$45:$D$92,0)+1,0),0),1)</f>
        <v>0</v>
      </c>
    </row>
    <row r="70" spans="3:79" ht="21" hidden="1" customHeight="1" outlineLevel="3">
      <c r="D70" s="374">
        <f t="shared" si="21"/>
        <v>45716</v>
      </c>
      <c r="E70" s="446" cm="1">
        <f t="array" ref="E70">INDEX($AF$41:$CA$41,0,MATCH($D70,$AF$8:$CA$8,0))</f>
        <v>0</v>
      </c>
      <c r="G70" s="431"/>
      <c r="H70" s="445">
        <f t="shared" si="23"/>
        <v>0</v>
      </c>
      <c r="I70" s="445">
        <f t="shared" si="23"/>
        <v>0</v>
      </c>
      <c r="J70" s="445">
        <f t="shared" si="23"/>
        <v>0</v>
      </c>
      <c r="K70" s="445">
        <f t="shared" si="23"/>
        <v>0</v>
      </c>
      <c r="L70" s="442"/>
      <c r="M70" s="431"/>
      <c r="N70" s="445">
        <f t="shared" si="24"/>
        <v>0</v>
      </c>
      <c r="O70" s="445">
        <f t="shared" si="24"/>
        <v>0</v>
      </c>
      <c r="P70" s="445">
        <f t="shared" si="24"/>
        <v>0</v>
      </c>
      <c r="Q70" s="445">
        <f t="shared" si="24"/>
        <v>0</v>
      </c>
      <c r="R70" s="445">
        <f t="shared" si="24"/>
        <v>0</v>
      </c>
      <c r="S70" s="445">
        <f t="shared" si="24"/>
        <v>0</v>
      </c>
      <c r="T70" s="445">
        <f t="shared" si="24"/>
        <v>0</v>
      </c>
      <c r="U70" s="445">
        <f t="shared" si="24"/>
        <v>0</v>
      </c>
      <c r="V70" s="445">
        <f t="shared" si="24"/>
        <v>0</v>
      </c>
      <c r="W70" s="445">
        <f t="shared" si="24"/>
        <v>0</v>
      </c>
      <c r="X70" s="445">
        <f t="shared" si="24"/>
        <v>0</v>
      </c>
      <c r="Y70" s="445">
        <f t="shared" si="24"/>
        <v>0</v>
      </c>
      <c r="Z70" s="445">
        <f t="shared" si="24"/>
        <v>0</v>
      </c>
      <c r="AA70" s="445">
        <f t="shared" si="24"/>
        <v>0</v>
      </c>
      <c r="AB70" s="445">
        <f t="shared" si="24"/>
        <v>0</v>
      </c>
      <c r="AC70" s="445">
        <f t="shared" si="24"/>
        <v>0</v>
      </c>
      <c r="AD70" s="442"/>
      <c r="AE70" s="431"/>
      <c r="AF70" s="444" cm="1">
        <f t="array" ref="AF70">$E70*IFERROR(IF($D70&lt;=AF$8,INDEX($E$32:$E$37,MATCH(AF$8,$AF$8:$CA$8,0)-MATCH($D70,$D$45:$D$92,0)+1,0),0),1)</f>
        <v>0</v>
      </c>
      <c r="AG70" s="444" cm="1">
        <f t="array" ref="AG70">$E70*IFERROR(IF($D70&lt;=AG$8,INDEX($E$32:$E$37,MATCH(AG$8,$AF$8:$CA$8,0)-MATCH($D70,$D$45:$D$92,0)+1,0),0),1)</f>
        <v>0</v>
      </c>
      <c r="AH70" s="444" cm="1">
        <f t="array" ref="AH70">$E70*IFERROR(IF($D70&lt;=AH$8,INDEX($E$32:$E$37,MATCH(AH$8,$AF$8:$CA$8,0)-MATCH($D70,$D$45:$D$92,0)+1,0),0),1)</f>
        <v>0</v>
      </c>
      <c r="AI70" s="444" cm="1">
        <f t="array" ref="AI70">$E70*IFERROR(IF($D70&lt;=AI$8,INDEX($E$32:$E$37,MATCH(AI$8,$AF$8:$CA$8,0)-MATCH($D70,$D$45:$D$92,0)+1,0),0),1)</f>
        <v>0</v>
      </c>
      <c r="AJ70" s="444" cm="1">
        <f t="array" ref="AJ70">$E70*IFERROR(IF($D70&lt;=AJ$8,INDEX($E$32:$E$37,MATCH(AJ$8,$AF$8:$CA$8,0)-MATCH($D70,$D$45:$D$92,0)+1,0),0),1)</f>
        <v>0</v>
      </c>
      <c r="AK70" s="444" cm="1">
        <f t="array" ref="AK70">$E70*IFERROR(IF($D70&lt;=AK$8,INDEX($E$32:$E$37,MATCH(AK$8,$AF$8:$CA$8,0)-MATCH($D70,$D$45:$D$92,0)+1,0),0),1)</f>
        <v>0</v>
      </c>
      <c r="AL70" s="444" cm="1">
        <f t="array" ref="AL70">$E70*IFERROR(IF($D70&lt;=AL$8,INDEX($E$32:$E$37,MATCH(AL$8,$AF$8:$CA$8,0)-MATCH($D70,$D$45:$D$92,0)+1,0),0),1)</f>
        <v>0</v>
      </c>
      <c r="AM70" s="444" cm="1">
        <f t="array" ref="AM70">$E70*IFERROR(IF($D70&lt;=AM$8,INDEX($E$32:$E$37,MATCH(AM$8,$AF$8:$CA$8,0)-MATCH($D70,$D$45:$D$92,0)+1,0),0),1)</f>
        <v>0</v>
      </c>
      <c r="AN70" s="444" cm="1">
        <f t="array" ref="AN70">$E70*IFERROR(IF($D70&lt;=AN$8,INDEX($E$32:$E$37,MATCH(AN$8,$AF$8:$CA$8,0)-MATCH($D70,$D$45:$D$92,0)+1,0),0),1)</f>
        <v>0</v>
      </c>
      <c r="AO70" s="444" cm="1">
        <f t="array" ref="AO70">$E70*IFERROR(IF($D70&lt;=AO$8,INDEX($E$32:$E$37,MATCH(AO$8,$AF$8:$CA$8,0)-MATCH($D70,$D$45:$D$92,0)+1,0),0),1)</f>
        <v>0</v>
      </c>
      <c r="AP70" s="444" cm="1">
        <f t="array" ref="AP70">$E70*IFERROR(IF($D70&lt;=AP$8,INDEX($E$32:$E$37,MATCH(AP$8,$AF$8:$CA$8,0)-MATCH($D70,$D$45:$D$92,0)+1,0),0),1)</f>
        <v>0</v>
      </c>
      <c r="AQ70" s="444" cm="1">
        <f t="array" ref="AQ70">$E70*IFERROR(IF($D70&lt;=AQ$8,INDEX($E$32:$E$37,MATCH(AQ$8,$AF$8:$CA$8,0)-MATCH($D70,$D$45:$D$92,0)+1,0),0),1)</f>
        <v>0</v>
      </c>
      <c r="AR70" s="444" cm="1">
        <f t="array" ref="AR70">$E70*IFERROR(IF($D70&lt;=AR$8,INDEX($E$32:$E$37,MATCH(AR$8,$AF$8:$CA$8,0)-MATCH($D70,$D$45:$D$92,0)+1,0),0),1)</f>
        <v>0</v>
      </c>
      <c r="AS70" s="444" cm="1">
        <f t="array" ref="AS70">$E70*IFERROR(IF($D70&lt;=AS$8,INDEX($E$32:$E$37,MATCH(AS$8,$AF$8:$CA$8,0)-MATCH($D70,$D$45:$D$92,0)+1,0),0),1)</f>
        <v>0</v>
      </c>
      <c r="AT70" s="444" cm="1">
        <f t="array" ref="AT70">$E70*IFERROR(IF($D70&lt;=AT$8,INDEX($E$32:$E$37,MATCH(AT$8,$AF$8:$CA$8,0)-MATCH($D70,$D$45:$D$92,0)+1,0),0),1)</f>
        <v>0</v>
      </c>
      <c r="AU70" s="444" cm="1">
        <f t="array" ref="AU70">$E70*IFERROR(IF($D70&lt;=AU$8,INDEX($E$32:$E$37,MATCH(AU$8,$AF$8:$CA$8,0)-MATCH($D70,$D$45:$D$92,0)+1,0),0),1)</f>
        <v>0</v>
      </c>
      <c r="AV70" s="444" cm="1">
        <f t="array" ref="AV70">$E70*IFERROR(IF($D70&lt;=AV$8,INDEX($E$32:$E$37,MATCH(AV$8,$AF$8:$CA$8,0)-MATCH($D70,$D$45:$D$92,0)+1,0),0),1)</f>
        <v>0</v>
      </c>
      <c r="AW70" s="444" cm="1">
        <f t="array" ref="AW70">$E70*IFERROR(IF($D70&lt;=AW$8,INDEX($E$32:$E$37,MATCH(AW$8,$AF$8:$CA$8,0)-MATCH($D70,$D$45:$D$92,0)+1,0),0),1)</f>
        <v>0</v>
      </c>
      <c r="AX70" s="444" cm="1">
        <f t="array" ref="AX70">$E70*IFERROR(IF($D70&lt;=AX$8,INDEX($E$32:$E$37,MATCH(AX$8,$AF$8:$CA$8,0)-MATCH($D70,$D$45:$D$92,0)+1,0),0),1)</f>
        <v>0</v>
      </c>
      <c r="AY70" s="444" cm="1">
        <f t="array" ref="AY70">$E70*IFERROR(IF($D70&lt;=AY$8,INDEX($E$32:$E$37,MATCH(AY$8,$AF$8:$CA$8,0)-MATCH($D70,$D$45:$D$92,0)+1,0),0),1)</f>
        <v>0</v>
      </c>
      <c r="AZ70" s="444" cm="1">
        <f t="array" ref="AZ70">$E70*IFERROR(IF($D70&lt;=AZ$8,INDEX($E$32:$E$37,MATCH(AZ$8,$AF$8:$CA$8,0)-MATCH($D70,$D$45:$D$92,0)+1,0),0),1)</f>
        <v>0</v>
      </c>
      <c r="BA70" s="444" cm="1">
        <f t="array" ref="BA70">$E70*IFERROR(IF($D70&lt;=BA$8,INDEX($E$32:$E$37,MATCH(BA$8,$AF$8:$CA$8,0)-MATCH($D70,$D$45:$D$92,0)+1,0),0),1)</f>
        <v>0</v>
      </c>
      <c r="BB70" s="444" cm="1">
        <f t="array" ref="BB70">$E70*IFERROR(IF($D70&lt;=BB$8,INDEX($E$32:$E$37,MATCH(BB$8,$AF$8:$CA$8,0)-MATCH($D70,$D$45:$D$92,0)+1,0),0),1)</f>
        <v>0</v>
      </c>
      <c r="BC70" s="444" cm="1">
        <f t="array" ref="BC70">$E70*IFERROR(IF($D70&lt;=BC$8,INDEX($E$32:$E$37,MATCH(BC$8,$AF$8:$CA$8,0)-MATCH($D70,$D$45:$D$92,0)+1,0),0),1)</f>
        <v>0</v>
      </c>
      <c r="BD70" s="444" cm="1">
        <f t="array" ref="BD70">$E70*IFERROR(IF($D70&lt;=BD$8,INDEX($E$32:$E$37,MATCH(BD$8,$AF$8:$CA$8,0)-MATCH($D70,$D$45:$D$92,0)+1,0),0),1)</f>
        <v>0</v>
      </c>
      <c r="BE70" s="444" cm="1">
        <f t="array" ref="BE70">$E70*IFERROR(IF($D70&lt;=BE$8,INDEX($E$32:$E$37,MATCH(BE$8,$AF$8:$CA$8,0)-MATCH($D70,$D$45:$D$92,0)+1,0),0),1)</f>
        <v>0</v>
      </c>
      <c r="BF70" s="444" cm="1">
        <f t="array" ref="BF70">$E70*IFERROR(IF($D70&lt;=BF$8,INDEX($E$32:$E$37,MATCH(BF$8,$AF$8:$CA$8,0)-MATCH($D70,$D$45:$D$92,0)+1,0),0),1)</f>
        <v>0</v>
      </c>
      <c r="BG70" s="444" cm="1">
        <f t="array" ref="BG70">$E70*IFERROR(IF($D70&lt;=BG$8,INDEX($E$32:$E$37,MATCH(BG$8,$AF$8:$CA$8,0)-MATCH($D70,$D$45:$D$92,0)+1,0),0),1)</f>
        <v>0</v>
      </c>
      <c r="BH70" s="444" cm="1">
        <f t="array" ref="BH70">$E70*IFERROR(IF($D70&lt;=BH$8,INDEX($E$32:$E$37,MATCH(BH$8,$AF$8:$CA$8,0)-MATCH($D70,$D$45:$D$92,0)+1,0),0),1)</f>
        <v>0</v>
      </c>
      <c r="BI70" s="444" cm="1">
        <f t="array" ref="BI70">$E70*IFERROR(IF($D70&lt;=BI$8,INDEX($E$32:$E$37,MATCH(BI$8,$AF$8:$CA$8,0)-MATCH($D70,$D$45:$D$92,0)+1,0),0),1)</f>
        <v>0</v>
      </c>
      <c r="BJ70" s="444" cm="1">
        <f t="array" ref="BJ70">$E70*IFERROR(IF($D70&lt;=BJ$8,INDEX($E$32:$E$37,MATCH(BJ$8,$AF$8:$CA$8,0)-MATCH($D70,$D$45:$D$92,0)+1,0),0),1)</f>
        <v>0</v>
      </c>
      <c r="BK70" s="444" cm="1">
        <f t="array" ref="BK70">$E70*IFERROR(IF($D70&lt;=BK$8,INDEX($E$32:$E$37,MATCH(BK$8,$AF$8:$CA$8,0)-MATCH($D70,$D$45:$D$92,0)+1,0),0),1)</f>
        <v>0</v>
      </c>
      <c r="BL70" s="444" cm="1">
        <f t="array" ref="BL70">$E70*IFERROR(IF($D70&lt;=BL$8,INDEX($E$32:$E$37,MATCH(BL$8,$AF$8:$CA$8,0)-MATCH($D70,$D$45:$D$92,0)+1,0),0),1)</f>
        <v>0</v>
      </c>
      <c r="BM70" s="444" cm="1">
        <f t="array" ref="BM70">$E70*IFERROR(IF($D70&lt;=BM$8,INDEX($E$32:$E$37,MATCH(BM$8,$AF$8:$CA$8,0)-MATCH($D70,$D$45:$D$92,0)+1,0),0),1)</f>
        <v>0</v>
      </c>
      <c r="BN70" s="444" cm="1">
        <f t="array" ref="BN70">$E70*IFERROR(IF($D70&lt;=BN$8,INDEX($E$32:$E$37,MATCH(BN$8,$AF$8:$CA$8,0)-MATCH($D70,$D$45:$D$92,0)+1,0),0),1)</f>
        <v>0</v>
      </c>
      <c r="BO70" s="444" cm="1">
        <f t="array" ref="BO70">$E70*IFERROR(IF($D70&lt;=BO$8,INDEX($E$32:$E$37,MATCH(BO$8,$AF$8:$CA$8,0)-MATCH($D70,$D$45:$D$92,0)+1,0),0),1)</f>
        <v>0</v>
      </c>
      <c r="BP70" s="444" cm="1">
        <f t="array" ref="BP70">$E70*IFERROR(IF($D70&lt;=BP$8,INDEX($E$32:$E$37,MATCH(BP$8,$AF$8:$CA$8,0)-MATCH($D70,$D$45:$D$92,0)+1,0),0),1)</f>
        <v>0</v>
      </c>
      <c r="BQ70" s="444" cm="1">
        <f t="array" ref="BQ70">$E70*IFERROR(IF($D70&lt;=BQ$8,INDEX($E$32:$E$37,MATCH(BQ$8,$AF$8:$CA$8,0)-MATCH($D70,$D$45:$D$92,0)+1,0),0),1)</f>
        <v>0</v>
      </c>
      <c r="BR70" s="444" cm="1">
        <f t="array" ref="BR70">$E70*IFERROR(IF($D70&lt;=BR$8,INDEX($E$32:$E$37,MATCH(BR$8,$AF$8:$CA$8,0)-MATCH($D70,$D$45:$D$92,0)+1,0),0),1)</f>
        <v>0</v>
      </c>
      <c r="BS70" s="444" cm="1">
        <f t="array" ref="BS70">$E70*IFERROR(IF($D70&lt;=BS$8,INDEX($E$32:$E$37,MATCH(BS$8,$AF$8:$CA$8,0)-MATCH($D70,$D$45:$D$92,0)+1,0),0),1)</f>
        <v>0</v>
      </c>
      <c r="BT70" s="444" cm="1">
        <f t="array" ref="BT70">$E70*IFERROR(IF($D70&lt;=BT$8,INDEX($E$32:$E$37,MATCH(BT$8,$AF$8:$CA$8,0)-MATCH($D70,$D$45:$D$92,0)+1,0),0),1)</f>
        <v>0</v>
      </c>
      <c r="BU70" s="444" cm="1">
        <f t="array" ref="BU70">$E70*IFERROR(IF($D70&lt;=BU$8,INDEX($E$32:$E$37,MATCH(BU$8,$AF$8:$CA$8,0)-MATCH($D70,$D$45:$D$92,0)+1,0),0),1)</f>
        <v>0</v>
      </c>
      <c r="BV70" s="444" cm="1">
        <f t="array" ref="BV70">$E70*IFERROR(IF($D70&lt;=BV$8,INDEX($E$32:$E$37,MATCH(BV$8,$AF$8:$CA$8,0)-MATCH($D70,$D$45:$D$92,0)+1,0),0),1)</f>
        <v>0</v>
      </c>
      <c r="BW70" s="444" cm="1">
        <f t="array" ref="BW70">$E70*IFERROR(IF($D70&lt;=BW$8,INDEX($E$32:$E$37,MATCH(BW$8,$AF$8:$CA$8,0)-MATCH($D70,$D$45:$D$92,0)+1,0),0),1)</f>
        <v>0</v>
      </c>
      <c r="BX70" s="444" cm="1">
        <f t="array" ref="BX70">$E70*IFERROR(IF($D70&lt;=BX$8,INDEX($E$32:$E$37,MATCH(BX$8,$AF$8:$CA$8,0)-MATCH($D70,$D$45:$D$92,0)+1,0),0),1)</f>
        <v>0</v>
      </c>
      <c r="BY70" s="444" cm="1">
        <f t="array" ref="BY70">$E70*IFERROR(IF($D70&lt;=BY$8,INDEX($E$32:$E$37,MATCH(BY$8,$AF$8:$CA$8,0)-MATCH($D70,$D$45:$D$92,0)+1,0),0),1)</f>
        <v>0</v>
      </c>
      <c r="BZ70" s="444" cm="1">
        <f t="array" ref="BZ70">$E70*IFERROR(IF($D70&lt;=BZ$8,INDEX($E$32:$E$37,MATCH(BZ$8,$AF$8:$CA$8,0)-MATCH($D70,$D$45:$D$92,0)+1,0),0),1)</f>
        <v>0</v>
      </c>
      <c r="CA70" s="444" cm="1">
        <f t="array" ref="CA70">$E70*IFERROR(IF($D70&lt;=CA$8,INDEX($E$32:$E$37,MATCH(CA$8,$AF$8:$CA$8,0)-MATCH($D70,$D$45:$D$92,0)+1,0),0),1)</f>
        <v>0</v>
      </c>
    </row>
    <row r="71" spans="3:79" ht="21" hidden="1" customHeight="1" outlineLevel="3">
      <c r="D71" s="374">
        <f t="shared" si="21"/>
        <v>45747</v>
      </c>
      <c r="E71" s="446" cm="1">
        <f t="array" ref="E71">INDEX($AF$41:$CA$41,0,MATCH($D71,$AF$8:$CA$8,0))</f>
        <v>0</v>
      </c>
      <c r="G71" s="359"/>
      <c r="H71" s="445">
        <f t="shared" si="23"/>
        <v>0</v>
      </c>
      <c r="I71" s="445">
        <f t="shared" si="23"/>
        <v>0</v>
      </c>
      <c r="J71" s="445">
        <f t="shared" si="23"/>
        <v>0</v>
      </c>
      <c r="K71" s="445">
        <f t="shared" si="23"/>
        <v>0</v>
      </c>
      <c r="L71" s="442"/>
      <c r="M71" s="431"/>
      <c r="N71" s="445">
        <f t="shared" si="24"/>
        <v>0</v>
      </c>
      <c r="O71" s="445">
        <f t="shared" si="24"/>
        <v>0</v>
      </c>
      <c r="P71" s="445">
        <f t="shared" si="24"/>
        <v>0</v>
      </c>
      <c r="Q71" s="445">
        <f t="shared" si="24"/>
        <v>0</v>
      </c>
      <c r="R71" s="445">
        <f t="shared" si="24"/>
        <v>0</v>
      </c>
      <c r="S71" s="445">
        <f t="shared" si="24"/>
        <v>0</v>
      </c>
      <c r="T71" s="445">
        <f t="shared" si="24"/>
        <v>0</v>
      </c>
      <c r="U71" s="445">
        <f t="shared" si="24"/>
        <v>0</v>
      </c>
      <c r="V71" s="445">
        <f t="shared" si="24"/>
        <v>0</v>
      </c>
      <c r="W71" s="445">
        <f t="shared" si="24"/>
        <v>0</v>
      </c>
      <c r="X71" s="445">
        <f t="shared" si="24"/>
        <v>0</v>
      </c>
      <c r="Y71" s="445">
        <f t="shared" si="24"/>
        <v>0</v>
      </c>
      <c r="Z71" s="445">
        <f t="shared" si="24"/>
        <v>0</v>
      </c>
      <c r="AA71" s="445">
        <f t="shared" si="24"/>
        <v>0</v>
      </c>
      <c r="AB71" s="445">
        <f t="shared" si="24"/>
        <v>0</v>
      </c>
      <c r="AC71" s="445">
        <f t="shared" si="24"/>
        <v>0</v>
      </c>
      <c r="AD71" s="442"/>
      <c r="AE71" s="431"/>
      <c r="AF71" s="444" cm="1">
        <f t="array" ref="AF71">$E71*IFERROR(IF($D71&lt;=AF$8,INDEX($E$32:$E$37,MATCH(AF$8,$AF$8:$CA$8,0)-MATCH($D71,$D$45:$D$92,0)+1,0),0),1)</f>
        <v>0</v>
      </c>
      <c r="AG71" s="444" cm="1">
        <f t="array" ref="AG71">$E71*IFERROR(IF($D71&lt;=AG$8,INDEX($E$32:$E$37,MATCH(AG$8,$AF$8:$CA$8,0)-MATCH($D71,$D$45:$D$92,0)+1,0),0),1)</f>
        <v>0</v>
      </c>
      <c r="AH71" s="444" cm="1">
        <f t="array" ref="AH71">$E71*IFERROR(IF($D71&lt;=AH$8,INDEX($E$32:$E$37,MATCH(AH$8,$AF$8:$CA$8,0)-MATCH($D71,$D$45:$D$92,0)+1,0),0),1)</f>
        <v>0</v>
      </c>
      <c r="AI71" s="444" cm="1">
        <f t="array" ref="AI71">$E71*IFERROR(IF($D71&lt;=AI$8,INDEX($E$32:$E$37,MATCH(AI$8,$AF$8:$CA$8,0)-MATCH($D71,$D$45:$D$92,0)+1,0),0),1)</f>
        <v>0</v>
      </c>
      <c r="AJ71" s="444" cm="1">
        <f t="array" ref="AJ71">$E71*IFERROR(IF($D71&lt;=AJ$8,INDEX($E$32:$E$37,MATCH(AJ$8,$AF$8:$CA$8,0)-MATCH($D71,$D$45:$D$92,0)+1,0),0),1)</f>
        <v>0</v>
      </c>
      <c r="AK71" s="444" cm="1">
        <f t="array" ref="AK71">$E71*IFERROR(IF($D71&lt;=AK$8,INDEX($E$32:$E$37,MATCH(AK$8,$AF$8:$CA$8,0)-MATCH($D71,$D$45:$D$92,0)+1,0),0),1)</f>
        <v>0</v>
      </c>
      <c r="AL71" s="444" cm="1">
        <f t="array" ref="AL71">$E71*IFERROR(IF($D71&lt;=AL$8,INDEX($E$32:$E$37,MATCH(AL$8,$AF$8:$CA$8,0)-MATCH($D71,$D$45:$D$92,0)+1,0),0),1)</f>
        <v>0</v>
      </c>
      <c r="AM71" s="444" cm="1">
        <f t="array" ref="AM71">$E71*IFERROR(IF($D71&lt;=AM$8,INDEX($E$32:$E$37,MATCH(AM$8,$AF$8:$CA$8,0)-MATCH($D71,$D$45:$D$92,0)+1,0),0),1)</f>
        <v>0</v>
      </c>
      <c r="AN71" s="444" cm="1">
        <f t="array" ref="AN71">$E71*IFERROR(IF($D71&lt;=AN$8,INDEX($E$32:$E$37,MATCH(AN$8,$AF$8:$CA$8,0)-MATCH($D71,$D$45:$D$92,0)+1,0),0),1)</f>
        <v>0</v>
      </c>
      <c r="AO71" s="444" cm="1">
        <f t="array" ref="AO71">$E71*IFERROR(IF($D71&lt;=AO$8,INDEX($E$32:$E$37,MATCH(AO$8,$AF$8:$CA$8,0)-MATCH($D71,$D$45:$D$92,0)+1,0),0),1)</f>
        <v>0</v>
      </c>
      <c r="AP71" s="444" cm="1">
        <f t="array" ref="AP71">$E71*IFERROR(IF($D71&lt;=AP$8,INDEX($E$32:$E$37,MATCH(AP$8,$AF$8:$CA$8,0)-MATCH($D71,$D$45:$D$92,0)+1,0),0),1)</f>
        <v>0</v>
      </c>
      <c r="AQ71" s="444" cm="1">
        <f t="array" ref="AQ71">$E71*IFERROR(IF($D71&lt;=AQ$8,INDEX($E$32:$E$37,MATCH(AQ$8,$AF$8:$CA$8,0)-MATCH($D71,$D$45:$D$92,0)+1,0),0),1)</f>
        <v>0</v>
      </c>
      <c r="AR71" s="444" cm="1">
        <f t="array" ref="AR71">$E71*IFERROR(IF($D71&lt;=AR$8,INDEX($E$32:$E$37,MATCH(AR$8,$AF$8:$CA$8,0)-MATCH($D71,$D$45:$D$92,0)+1,0),0),1)</f>
        <v>0</v>
      </c>
      <c r="AS71" s="444" cm="1">
        <f t="array" ref="AS71">$E71*IFERROR(IF($D71&lt;=AS$8,INDEX($E$32:$E$37,MATCH(AS$8,$AF$8:$CA$8,0)-MATCH($D71,$D$45:$D$92,0)+1,0),0),1)</f>
        <v>0</v>
      </c>
      <c r="AT71" s="444" cm="1">
        <f t="array" ref="AT71">$E71*IFERROR(IF($D71&lt;=AT$8,INDEX($E$32:$E$37,MATCH(AT$8,$AF$8:$CA$8,0)-MATCH($D71,$D$45:$D$92,0)+1,0),0),1)</f>
        <v>0</v>
      </c>
      <c r="AU71" s="444" cm="1">
        <f t="array" ref="AU71">$E71*IFERROR(IF($D71&lt;=AU$8,INDEX($E$32:$E$37,MATCH(AU$8,$AF$8:$CA$8,0)-MATCH($D71,$D$45:$D$92,0)+1,0),0),1)</f>
        <v>0</v>
      </c>
      <c r="AV71" s="444" cm="1">
        <f t="array" ref="AV71">$E71*IFERROR(IF($D71&lt;=AV$8,INDEX($E$32:$E$37,MATCH(AV$8,$AF$8:$CA$8,0)-MATCH($D71,$D$45:$D$92,0)+1,0),0),1)</f>
        <v>0</v>
      </c>
      <c r="AW71" s="444" cm="1">
        <f t="array" ref="AW71">$E71*IFERROR(IF($D71&lt;=AW$8,INDEX($E$32:$E$37,MATCH(AW$8,$AF$8:$CA$8,0)-MATCH($D71,$D$45:$D$92,0)+1,0),0),1)</f>
        <v>0</v>
      </c>
      <c r="AX71" s="444" cm="1">
        <f t="array" ref="AX71">$E71*IFERROR(IF($D71&lt;=AX$8,INDEX($E$32:$E$37,MATCH(AX$8,$AF$8:$CA$8,0)-MATCH($D71,$D$45:$D$92,0)+1,0),0),1)</f>
        <v>0</v>
      </c>
      <c r="AY71" s="444" cm="1">
        <f t="array" ref="AY71">$E71*IFERROR(IF($D71&lt;=AY$8,INDEX($E$32:$E$37,MATCH(AY$8,$AF$8:$CA$8,0)-MATCH($D71,$D$45:$D$92,0)+1,0),0),1)</f>
        <v>0</v>
      </c>
      <c r="AZ71" s="444" cm="1">
        <f t="array" ref="AZ71">$E71*IFERROR(IF($D71&lt;=AZ$8,INDEX($E$32:$E$37,MATCH(AZ$8,$AF$8:$CA$8,0)-MATCH($D71,$D$45:$D$92,0)+1,0),0),1)</f>
        <v>0</v>
      </c>
      <c r="BA71" s="444" cm="1">
        <f t="array" ref="BA71">$E71*IFERROR(IF($D71&lt;=BA$8,INDEX($E$32:$E$37,MATCH(BA$8,$AF$8:$CA$8,0)-MATCH($D71,$D$45:$D$92,0)+1,0),0),1)</f>
        <v>0</v>
      </c>
      <c r="BB71" s="444" cm="1">
        <f t="array" ref="BB71">$E71*IFERROR(IF($D71&lt;=BB$8,INDEX($E$32:$E$37,MATCH(BB$8,$AF$8:$CA$8,0)-MATCH($D71,$D$45:$D$92,0)+1,0),0),1)</f>
        <v>0</v>
      </c>
      <c r="BC71" s="444" cm="1">
        <f t="array" ref="BC71">$E71*IFERROR(IF($D71&lt;=BC$8,INDEX($E$32:$E$37,MATCH(BC$8,$AF$8:$CA$8,0)-MATCH($D71,$D$45:$D$92,0)+1,0),0),1)</f>
        <v>0</v>
      </c>
      <c r="BD71" s="444" cm="1">
        <f t="array" ref="BD71">$E71*IFERROR(IF($D71&lt;=BD$8,INDEX($E$32:$E$37,MATCH(BD$8,$AF$8:$CA$8,0)-MATCH($D71,$D$45:$D$92,0)+1,0),0),1)</f>
        <v>0</v>
      </c>
      <c r="BE71" s="444" cm="1">
        <f t="array" ref="BE71">$E71*IFERROR(IF($D71&lt;=BE$8,INDEX($E$32:$E$37,MATCH(BE$8,$AF$8:$CA$8,0)-MATCH($D71,$D$45:$D$92,0)+1,0),0),1)</f>
        <v>0</v>
      </c>
      <c r="BF71" s="444" cm="1">
        <f t="array" ref="BF71">$E71*IFERROR(IF($D71&lt;=BF$8,INDEX($E$32:$E$37,MATCH(BF$8,$AF$8:$CA$8,0)-MATCH($D71,$D$45:$D$92,0)+1,0),0),1)</f>
        <v>0</v>
      </c>
      <c r="BG71" s="444" cm="1">
        <f t="array" ref="BG71">$E71*IFERROR(IF($D71&lt;=BG$8,INDEX($E$32:$E$37,MATCH(BG$8,$AF$8:$CA$8,0)-MATCH($D71,$D$45:$D$92,0)+1,0),0),1)</f>
        <v>0</v>
      </c>
      <c r="BH71" s="444" cm="1">
        <f t="array" ref="BH71">$E71*IFERROR(IF($D71&lt;=BH$8,INDEX($E$32:$E$37,MATCH(BH$8,$AF$8:$CA$8,0)-MATCH($D71,$D$45:$D$92,0)+1,0),0),1)</f>
        <v>0</v>
      </c>
      <c r="BI71" s="444" cm="1">
        <f t="array" ref="BI71">$E71*IFERROR(IF($D71&lt;=BI$8,INDEX($E$32:$E$37,MATCH(BI$8,$AF$8:$CA$8,0)-MATCH($D71,$D$45:$D$92,0)+1,0),0),1)</f>
        <v>0</v>
      </c>
      <c r="BJ71" s="444" cm="1">
        <f t="array" ref="BJ71">$E71*IFERROR(IF($D71&lt;=BJ$8,INDEX($E$32:$E$37,MATCH(BJ$8,$AF$8:$CA$8,0)-MATCH($D71,$D$45:$D$92,0)+1,0),0),1)</f>
        <v>0</v>
      </c>
      <c r="BK71" s="444" cm="1">
        <f t="array" ref="BK71">$E71*IFERROR(IF($D71&lt;=BK$8,INDEX($E$32:$E$37,MATCH(BK$8,$AF$8:$CA$8,0)-MATCH($D71,$D$45:$D$92,0)+1,0),0),1)</f>
        <v>0</v>
      </c>
      <c r="BL71" s="444" cm="1">
        <f t="array" ref="BL71">$E71*IFERROR(IF($D71&lt;=BL$8,INDEX($E$32:$E$37,MATCH(BL$8,$AF$8:$CA$8,0)-MATCH($D71,$D$45:$D$92,0)+1,0),0),1)</f>
        <v>0</v>
      </c>
      <c r="BM71" s="444" cm="1">
        <f t="array" ref="BM71">$E71*IFERROR(IF($D71&lt;=BM$8,INDEX($E$32:$E$37,MATCH(BM$8,$AF$8:$CA$8,0)-MATCH($D71,$D$45:$D$92,0)+1,0),0),1)</f>
        <v>0</v>
      </c>
      <c r="BN71" s="444" cm="1">
        <f t="array" ref="BN71">$E71*IFERROR(IF($D71&lt;=BN$8,INDEX($E$32:$E$37,MATCH(BN$8,$AF$8:$CA$8,0)-MATCH($D71,$D$45:$D$92,0)+1,0),0),1)</f>
        <v>0</v>
      </c>
      <c r="BO71" s="444" cm="1">
        <f t="array" ref="BO71">$E71*IFERROR(IF($D71&lt;=BO$8,INDEX($E$32:$E$37,MATCH(BO$8,$AF$8:$CA$8,0)-MATCH($D71,$D$45:$D$92,0)+1,0),0),1)</f>
        <v>0</v>
      </c>
      <c r="BP71" s="444" cm="1">
        <f t="array" ref="BP71">$E71*IFERROR(IF($D71&lt;=BP$8,INDEX($E$32:$E$37,MATCH(BP$8,$AF$8:$CA$8,0)-MATCH($D71,$D$45:$D$92,0)+1,0),0),1)</f>
        <v>0</v>
      </c>
      <c r="BQ71" s="444" cm="1">
        <f t="array" ref="BQ71">$E71*IFERROR(IF($D71&lt;=BQ$8,INDEX($E$32:$E$37,MATCH(BQ$8,$AF$8:$CA$8,0)-MATCH($D71,$D$45:$D$92,0)+1,0),0),1)</f>
        <v>0</v>
      </c>
      <c r="BR71" s="444" cm="1">
        <f t="array" ref="BR71">$E71*IFERROR(IF($D71&lt;=BR$8,INDEX($E$32:$E$37,MATCH(BR$8,$AF$8:$CA$8,0)-MATCH($D71,$D$45:$D$92,0)+1,0),0),1)</f>
        <v>0</v>
      </c>
      <c r="BS71" s="444" cm="1">
        <f t="array" ref="BS71">$E71*IFERROR(IF($D71&lt;=BS$8,INDEX($E$32:$E$37,MATCH(BS$8,$AF$8:$CA$8,0)-MATCH($D71,$D$45:$D$92,0)+1,0),0),1)</f>
        <v>0</v>
      </c>
      <c r="BT71" s="444" cm="1">
        <f t="array" ref="BT71">$E71*IFERROR(IF($D71&lt;=BT$8,INDEX($E$32:$E$37,MATCH(BT$8,$AF$8:$CA$8,0)-MATCH($D71,$D$45:$D$92,0)+1,0),0),1)</f>
        <v>0</v>
      </c>
      <c r="BU71" s="444" cm="1">
        <f t="array" ref="BU71">$E71*IFERROR(IF($D71&lt;=BU$8,INDEX($E$32:$E$37,MATCH(BU$8,$AF$8:$CA$8,0)-MATCH($D71,$D$45:$D$92,0)+1,0),0),1)</f>
        <v>0</v>
      </c>
      <c r="BV71" s="444" cm="1">
        <f t="array" ref="BV71">$E71*IFERROR(IF($D71&lt;=BV$8,INDEX($E$32:$E$37,MATCH(BV$8,$AF$8:$CA$8,0)-MATCH($D71,$D$45:$D$92,0)+1,0),0),1)</f>
        <v>0</v>
      </c>
      <c r="BW71" s="444" cm="1">
        <f t="array" ref="BW71">$E71*IFERROR(IF($D71&lt;=BW$8,INDEX($E$32:$E$37,MATCH(BW$8,$AF$8:$CA$8,0)-MATCH($D71,$D$45:$D$92,0)+1,0),0),1)</f>
        <v>0</v>
      </c>
      <c r="BX71" s="444" cm="1">
        <f t="array" ref="BX71">$E71*IFERROR(IF($D71&lt;=BX$8,INDEX($E$32:$E$37,MATCH(BX$8,$AF$8:$CA$8,0)-MATCH($D71,$D$45:$D$92,0)+1,0),0),1)</f>
        <v>0</v>
      </c>
      <c r="BY71" s="444" cm="1">
        <f t="array" ref="BY71">$E71*IFERROR(IF($D71&lt;=BY$8,INDEX($E$32:$E$37,MATCH(BY$8,$AF$8:$CA$8,0)-MATCH($D71,$D$45:$D$92,0)+1,0),0),1)</f>
        <v>0</v>
      </c>
      <c r="BZ71" s="444" cm="1">
        <f t="array" ref="BZ71">$E71*IFERROR(IF($D71&lt;=BZ$8,INDEX($E$32:$E$37,MATCH(BZ$8,$AF$8:$CA$8,0)-MATCH($D71,$D$45:$D$92,0)+1,0),0),1)</f>
        <v>0</v>
      </c>
      <c r="CA71" s="444" cm="1">
        <f t="array" ref="CA71">$E71*IFERROR(IF($D71&lt;=CA$8,INDEX($E$32:$E$37,MATCH(CA$8,$AF$8:$CA$8,0)-MATCH($D71,$D$45:$D$92,0)+1,0),0),1)</f>
        <v>0</v>
      </c>
    </row>
    <row r="72" spans="3:79" ht="21" hidden="1" customHeight="1" outlineLevel="3">
      <c r="D72" s="374">
        <f t="shared" si="21"/>
        <v>45777</v>
      </c>
      <c r="E72" s="446" cm="1">
        <f t="array" ref="E72">INDEX($AF$41:$CA$41,0,MATCH($D72,$AF$8:$CA$8,0))</f>
        <v>0</v>
      </c>
      <c r="G72" s="431"/>
      <c r="H72" s="445">
        <f t="shared" si="23"/>
        <v>0</v>
      </c>
      <c r="I72" s="445">
        <f t="shared" si="23"/>
        <v>0</v>
      </c>
      <c r="J72" s="445">
        <f t="shared" si="23"/>
        <v>0</v>
      </c>
      <c r="K72" s="445">
        <f t="shared" si="23"/>
        <v>0</v>
      </c>
      <c r="L72" s="442"/>
      <c r="M72" s="359"/>
      <c r="N72" s="445">
        <f t="shared" si="24"/>
        <v>0</v>
      </c>
      <c r="O72" s="445">
        <f t="shared" si="24"/>
        <v>0</v>
      </c>
      <c r="P72" s="445">
        <f t="shared" si="24"/>
        <v>0</v>
      </c>
      <c r="Q72" s="445">
        <f t="shared" si="24"/>
        <v>0</v>
      </c>
      <c r="R72" s="445">
        <f t="shared" si="24"/>
        <v>0</v>
      </c>
      <c r="S72" s="445">
        <f t="shared" si="24"/>
        <v>0</v>
      </c>
      <c r="T72" s="445">
        <f t="shared" si="24"/>
        <v>0</v>
      </c>
      <c r="U72" s="445">
        <f t="shared" si="24"/>
        <v>0</v>
      </c>
      <c r="V72" s="445">
        <f t="shared" si="24"/>
        <v>0</v>
      </c>
      <c r="W72" s="445">
        <f t="shared" si="24"/>
        <v>0</v>
      </c>
      <c r="X72" s="445">
        <f t="shared" si="24"/>
        <v>0</v>
      </c>
      <c r="Y72" s="445">
        <f t="shared" si="24"/>
        <v>0</v>
      </c>
      <c r="Z72" s="445">
        <f t="shared" si="24"/>
        <v>0</v>
      </c>
      <c r="AA72" s="445">
        <f t="shared" si="24"/>
        <v>0</v>
      </c>
      <c r="AB72" s="445">
        <f t="shared" si="24"/>
        <v>0</v>
      </c>
      <c r="AC72" s="445">
        <f t="shared" si="24"/>
        <v>0</v>
      </c>
      <c r="AD72" s="442"/>
      <c r="AE72" s="359"/>
      <c r="AF72" s="444" cm="1">
        <f t="array" ref="AF72">$E72*IFERROR(IF($D72&lt;=AF$8,INDEX($E$32:$E$37,MATCH(AF$8,$AF$8:$CA$8,0)-MATCH($D72,$D$45:$D$92,0)+1,0),0),1)</f>
        <v>0</v>
      </c>
      <c r="AG72" s="444" cm="1">
        <f t="array" ref="AG72">$E72*IFERROR(IF($D72&lt;=AG$8,INDEX($E$32:$E$37,MATCH(AG$8,$AF$8:$CA$8,0)-MATCH($D72,$D$45:$D$92,0)+1,0),0),1)</f>
        <v>0</v>
      </c>
      <c r="AH72" s="444" cm="1">
        <f t="array" ref="AH72">$E72*IFERROR(IF($D72&lt;=AH$8,INDEX($E$32:$E$37,MATCH(AH$8,$AF$8:$CA$8,0)-MATCH($D72,$D$45:$D$92,0)+1,0),0),1)</f>
        <v>0</v>
      </c>
      <c r="AI72" s="444" cm="1">
        <f t="array" ref="AI72">$E72*IFERROR(IF($D72&lt;=AI$8,INDEX($E$32:$E$37,MATCH(AI$8,$AF$8:$CA$8,0)-MATCH($D72,$D$45:$D$92,0)+1,0),0),1)</f>
        <v>0</v>
      </c>
      <c r="AJ72" s="444" cm="1">
        <f t="array" ref="AJ72">$E72*IFERROR(IF($D72&lt;=AJ$8,INDEX($E$32:$E$37,MATCH(AJ$8,$AF$8:$CA$8,0)-MATCH($D72,$D$45:$D$92,0)+1,0),0),1)</f>
        <v>0</v>
      </c>
      <c r="AK72" s="444" cm="1">
        <f t="array" ref="AK72">$E72*IFERROR(IF($D72&lt;=AK$8,INDEX($E$32:$E$37,MATCH(AK$8,$AF$8:$CA$8,0)-MATCH($D72,$D$45:$D$92,0)+1,0),0),1)</f>
        <v>0</v>
      </c>
      <c r="AL72" s="444" cm="1">
        <f t="array" ref="AL72">$E72*IFERROR(IF($D72&lt;=AL$8,INDEX($E$32:$E$37,MATCH(AL$8,$AF$8:$CA$8,0)-MATCH($D72,$D$45:$D$92,0)+1,0),0),1)</f>
        <v>0</v>
      </c>
      <c r="AM72" s="444" cm="1">
        <f t="array" ref="AM72">$E72*IFERROR(IF($D72&lt;=AM$8,INDEX($E$32:$E$37,MATCH(AM$8,$AF$8:$CA$8,0)-MATCH($D72,$D$45:$D$92,0)+1,0),0),1)</f>
        <v>0</v>
      </c>
      <c r="AN72" s="444" cm="1">
        <f t="array" ref="AN72">$E72*IFERROR(IF($D72&lt;=AN$8,INDEX($E$32:$E$37,MATCH(AN$8,$AF$8:$CA$8,0)-MATCH($D72,$D$45:$D$92,0)+1,0),0),1)</f>
        <v>0</v>
      </c>
      <c r="AO72" s="444" cm="1">
        <f t="array" ref="AO72">$E72*IFERROR(IF($D72&lt;=AO$8,INDEX($E$32:$E$37,MATCH(AO$8,$AF$8:$CA$8,0)-MATCH($D72,$D$45:$D$92,0)+1,0),0),1)</f>
        <v>0</v>
      </c>
      <c r="AP72" s="444" cm="1">
        <f t="array" ref="AP72">$E72*IFERROR(IF($D72&lt;=AP$8,INDEX($E$32:$E$37,MATCH(AP$8,$AF$8:$CA$8,0)-MATCH($D72,$D$45:$D$92,0)+1,0),0),1)</f>
        <v>0</v>
      </c>
      <c r="AQ72" s="444" cm="1">
        <f t="array" ref="AQ72">$E72*IFERROR(IF($D72&lt;=AQ$8,INDEX($E$32:$E$37,MATCH(AQ$8,$AF$8:$CA$8,0)-MATCH($D72,$D$45:$D$92,0)+1,0),0),1)</f>
        <v>0</v>
      </c>
      <c r="AR72" s="444" cm="1">
        <f t="array" ref="AR72">$E72*IFERROR(IF($D72&lt;=AR$8,INDEX($E$32:$E$37,MATCH(AR$8,$AF$8:$CA$8,0)-MATCH($D72,$D$45:$D$92,0)+1,0),0),1)</f>
        <v>0</v>
      </c>
      <c r="AS72" s="444" cm="1">
        <f t="array" ref="AS72">$E72*IFERROR(IF($D72&lt;=AS$8,INDEX($E$32:$E$37,MATCH(AS$8,$AF$8:$CA$8,0)-MATCH($D72,$D$45:$D$92,0)+1,0),0),1)</f>
        <v>0</v>
      </c>
      <c r="AT72" s="444" cm="1">
        <f t="array" ref="AT72">$E72*IFERROR(IF($D72&lt;=AT$8,INDEX($E$32:$E$37,MATCH(AT$8,$AF$8:$CA$8,0)-MATCH($D72,$D$45:$D$92,0)+1,0),0),1)</f>
        <v>0</v>
      </c>
      <c r="AU72" s="444" cm="1">
        <f t="array" ref="AU72">$E72*IFERROR(IF($D72&lt;=AU$8,INDEX($E$32:$E$37,MATCH(AU$8,$AF$8:$CA$8,0)-MATCH($D72,$D$45:$D$92,0)+1,0),0),1)</f>
        <v>0</v>
      </c>
      <c r="AV72" s="444" cm="1">
        <f t="array" ref="AV72">$E72*IFERROR(IF($D72&lt;=AV$8,INDEX($E$32:$E$37,MATCH(AV$8,$AF$8:$CA$8,0)-MATCH($D72,$D$45:$D$92,0)+1,0),0),1)</f>
        <v>0</v>
      </c>
      <c r="AW72" s="444" cm="1">
        <f t="array" ref="AW72">$E72*IFERROR(IF($D72&lt;=AW$8,INDEX($E$32:$E$37,MATCH(AW$8,$AF$8:$CA$8,0)-MATCH($D72,$D$45:$D$92,0)+1,0),0),1)</f>
        <v>0</v>
      </c>
      <c r="AX72" s="444" cm="1">
        <f t="array" ref="AX72">$E72*IFERROR(IF($D72&lt;=AX$8,INDEX($E$32:$E$37,MATCH(AX$8,$AF$8:$CA$8,0)-MATCH($D72,$D$45:$D$92,0)+1,0),0),1)</f>
        <v>0</v>
      </c>
      <c r="AY72" s="444" cm="1">
        <f t="array" ref="AY72">$E72*IFERROR(IF($D72&lt;=AY$8,INDEX($E$32:$E$37,MATCH(AY$8,$AF$8:$CA$8,0)-MATCH($D72,$D$45:$D$92,0)+1,0),0),1)</f>
        <v>0</v>
      </c>
      <c r="AZ72" s="444" cm="1">
        <f t="array" ref="AZ72">$E72*IFERROR(IF($D72&lt;=AZ$8,INDEX($E$32:$E$37,MATCH(AZ$8,$AF$8:$CA$8,0)-MATCH($D72,$D$45:$D$92,0)+1,0),0),1)</f>
        <v>0</v>
      </c>
      <c r="BA72" s="444" cm="1">
        <f t="array" ref="BA72">$E72*IFERROR(IF($D72&lt;=BA$8,INDEX($E$32:$E$37,MATCH(BA$8,$AF$8:$CA$8,0)-MATCH($D72,$D$45:$D$92,0)+1,0),0),1)</f>
        <v>0</v>
      </c>
      <c r="BB72" s="444" cm="1">
        <f t="array" ref="BB72">$E72*IFERROR(IF($D72&lt;=BB$8,INDEX($E$32:$E$37,MATCH(BB$8,$AF$8:$CA$8,0)-MATCH($D72,$D$45:$D$92,0)+1,0),0),1)</f>
        <v>0</v>
      </c>
      <c r="BC72" s="444" cm="1">
        <f t="array" ref="BC72">$E72*IFERROR(IF($D72&lt;=BC$8,INDEX($E$32:$E$37,MATCH(BC$8,$AF$8:$CA$8,0)-MATCH($D72,$D$45:$D$92,0)+1,0),0),1)</f>
        <v>0</v>
      </c>
      <c r="BD72" s="444" cm="1">
        <f t="array" ref="BD72">$E72*IFERROR(IF($D72&lt;=BD$8,INDEX($E$32:$E$37,MATCH(BD$8,$AF$8:$CA$8,0)-MATCH($D72,$D$45:$D$92,0)+1,0),0),1)</f>
        <v>0</v>
      </c>
      <c r="BE72" s="444" cm="1">
        <f t="array" ref="BE72">$E72*IFERROR(IF($D72&lt;=BE$8,INDEX($E$32:$E$37,MATCH(BE$8,$AF$8:$CA$8,0)-MATCH($D72,$D$45:$D$92,0)+1,0),0),1)</f>
        <v>0</v>
      </c>
      <c r="BF72" s="444" cm="1">
        <f t="array" ref="BF72">$E72*IFERROR(IF($D72&lt;=BF$8,INDEX($E$32:$E$37,MATCH(BF$8,$AF$8:$CA$8,0)-MATCH($D72,$D$45:$D$92,0)+1,0),0),1)</f>
        <v>0</v>
      </c>
      <c r="BG72" s="444" cm="1">
        <f t="array" ref="BG72">$E72*IFERROR(IF($D72&lt;=BG$8,INDEX($E$32:$E$37,MATCH(BG$8,$AF$8:$CA$8,0)-MATCH($D72,$D$45:$D$92,0)+1,0),0),1)</f>
        <v>0</v>
      </c>
      <c r="BH72" s="444" cm="1">
        <f t="array" ref="BH72">$E72*IFERROR(IF($D72&lt;=BH$8,INDEX($E$32:$E$37,MATCH(BH$8,$AF$8:$CA$8,0)-MATCH($D72,$D$45:$D$92,0)+1,0),0),1)</f>
        <v>0</v>
      </c>
      <c r="BI72" s="444" cm="1">
        <f t="array" ref="BI72">$E72*IFERROR(IF($D72&lt;=BI$8,INDEX($E$32:$E$37,MATCH(BI$8,$AF$8:$CA$8,0)-MATCH($D72,$D$45:$D$92,0)+1,0),0),1)</f>
        <v>0</v>
      </c>
      <c r="BJ72" s="444" cm="1">
        <f t="array" ref="BJ72">$E72*IFERROR(IF($D72&lt;=BJ$8,INDEX($E$32:$E$37,MATCH(BJ$8,$AF$8:$CA$8,0)-MATCH($D72,$D$45:$D$92,0)+1,0),0),1)</f>
        <v>0</v>
      </c>
      <c r="BK72" s="444" cm="1">
        <f t="array" ref="BK72">$E72*IFERROR(IF($D72&lt;=BK$8,INDEX($E$32:$E$37,MATCH(BK$8,$AF$8:$CA$8,0)-MATCH($D72,$D$45:$D$92,0)+1,0),0),1)</f>
        <v>0</v>
      </c>
      <c r="BL72" s="444" cm="1">
        <f t="array" ref="BL72">$E72*IFERROR(IF($D72&lt;=BL$8,INDEX($E$32:$E$37,MATCH(BL$8,$AF$8:$CA$8,0)-MATCH($D72,$D$45:$D$92,0)+1,0),0),1)</f>
        <v>0</v>
      </c>
      <c r="BM72" s="444" cm="1">
        <f t="array" ref="BM72">$E72*IFERROR(IF($D72&lt;=BM$8,INDEX($E$32:$E$37,MATCH(BM$8,$AF$8:$CA$8,0)-MATCH($D72,$D$45:$D$92,0)+1,0),0),1)</f>
        <v>0</v>
      </c>
      <c r="BN72" s="444" cm="1">
        <f t="array" ref="BN72">$E72*IFERROR(IF($D72&lt;=BN$8,INDEX($E$32:$E$37,MATCH(BN$8,$AF$8:$CA$8,0)-MATCH($D72,$D$45:$D$92,0)+1,0),0),1)</f>
        <v>0</v>
      </c>
      <c r="BO72" s="444" cm="1">
        <f t="array" ref="BO72">$E72*IFERROR(IF($D72&lt;=BO$8,INDEX($E$32:$E$37,MATCH(BO$8,$AF$8:$CA$8,0)-MATCH($D72,$D$45:$D$92,0)+1,0),0),1)</f>
        <v>0</v>
      </c>
      <c r="BP72" s="444" cm="1">
        <f t="array" ref="BP72">$E72*IFERROR(IF($D72&lt;=BP$8,INDEX($E$32:$E$37,MATCH(BP$8,$AF$8:$CA$8,0)-MATCH($D72,$D$45:$D$92,0)+1,0),0),1)</f>
        <v>0</v>
      </c>
      <c r="BQ72" s="444" cm="1">
        <f t="array" ref="BQ72">$E72*IFERROR(IF($D72&lt;=BQ$8,INDEX($E$32:$E$37,MATCH(BQ$8,$AF$8:$CA$8,0)-MATCH($D72,$D$45:$D$92,0)+1,0),0),1)</f>
        <v>0</v>
      </c>
      <c r="BR72" s="444" cm="1">
        <f t="array" ref="BR72">$E72*IFERROR(IF($D72&lt;=BR$8,INDEX($E$32:$E$37,MATCH(BR$8,$AF$8:$CA$8,0)-MATCH($D72,$D$45:$D$92,0)+1,0),0),1)</f>
        <v>0</v>
      </c>
      <c r="BS72" s="444" cm="1">
        <f t="array" ref="BS72">$E72*IFERROR(IF($D72&lt;=BS$8,INDEX($E$32:$E$37,MATCH(BS$8,$AF$8:$CA$8,0)-MATCH($D72,$D$45:$D$92,0)+1,0),0),1)</f>
        <v>0</v>
      </c>
      <c r="BT72" s="444" cm="1">
        <f t="array" ref="BT72">$E72*IFERROR(IF($D72&lt;=BT$8,INDEX($E$32:$E$37,MATCH(BT$8,$AF$8:$CA$8,0)-MATCH($D72,$D$45:$D$92,0)+1,0),0),1)</f>
        <v>0</v>
      </c>
      <c r="BU72" s="444" cm="1">
        <f t="array" ref="BU72">$E72*IFERROR(IF($D72&lt;=BU$8,INDEX($E$32:$E$37,MATCH(BU$8,$AF$8:$CA$8,0)-MATCH($D72,$D$45:$D$92,0)+1,0),0),1)</f>
        <v>0</v>
      </c>
      <c r="BV72" s="444" cm="1">
        <f t="array" ref="BV72">$E72*IFERROR(IF($D72&lt;=BV$8,INDEX($E$32:$E$37,MATCH(BV$8,$AF$8:$CA$8,0)-MATCH($D72,$D$45:$D$92,0)+1,0),0),1)</f>
        <v>0</v>
      </c>
      <c r="BW72" s="444" cm="1">
        <f t="array" ref="BW72">$E72*IFERROR(IF($D72&lt;=BW$8,INDEX($E$32:$E$37,MATCH(BW$8,$AF$8:$CA$8,0)-MATCH($D72,$D$45:$D$92,0)+1,0),0),1)</f>
        <v>0</v>
      </c>
      <c r="BX72" s="444" cm="1">
        <f t="array" ref="BX72">$E72*IFERROR(IF($D72&lt;=BX$8,INDEX($E$32:$E$37,MATCH(BX$8,$AF$8:$CA$8,0)-MATCH($D72,$D$45:$D$92,0)+1,0),0),1)</f>
        <v>0</v>
      </c>
      <c r="BY72" s="444" cm="1">
        <f t="array" ref="BY72">$E72*IFERROR(IF($D72&lt;=BY$8,INDEX($E$32:$E$37,MATCH(BY$8,$AF$8:$CA$8,0)-MATCH($D72,$D$45:$D$92,0)+1,0),0),1)</f>
        <v>0</v>
      </c>
      <c r="BZ72" s="444" cm="1">
        <f t="array" ref="BZ72">$E72*IFERROR(IF($D72&lt;=BZ$8,INDEX($E$32:$E$37,MATCH(BZ$8,$AF$8:$CA$8,0)-MATCH($D72,$D$45:$D$92,0)+1,0),0),1)</f>
        <v>0</v>
      </c>
      <c r="CA72" s="444" cm="1">
        <f t="array" ref="CA72">$E72*IFERROR(IF($D72&lt;=CA$8,INDEX($E$32:$E$37,MATCH(CA$8,$AF$8:$CA$8,0)-MATCH($D72,$D$45:$D$92,0)+1,0),0),1)</f>
        <v>0</v>
      </c>
    </row>
    <row r="73" spans="3:79" ht="21" hidden="1" customHeight="1" outlineLevel="3">
      <c r="D73" s="374">
        <f t="shared" si="21"/>
        <v>45808</v>
      </c>
      <c r="E73" s="446" cm="1">
        <f t="array" ref="E73">INDEX($AF$41:$CA$41,0,MATCH($D73,$AF$8:$CA$8,0))</f>
        <v>0</v>
      </c>
      <c r="G73" s="431"/>
      <c r="H73" s="445">
        <f t="shared" si="23"/>
        <v>0</v>
      </c>
      <c r="I73" s="445">
        <f t="shared" si="23"/>
        <v>0</v>
      </c>
      <c r="J73" s="445">
        <f t="shared" si="23"/>
        <v>0</v>
      </c>
      <c r="K73" s="445">
        <f t="shared" si="23"/>
        <v>0</v>
      </c>
      <c r="L73" s="442"/>
      <c r="M73" s="431"/>
      <c r="N73" s="445">
        <f t="shared" si="24"/>
        <v>0</v>
      </c>
      <c r="O73" s="445">
        <f t="shared" si="24"/>
        <v>0</v>
      </c>
      <c r="P73" s="445">
        <f t="shared" si="24"/>
        <v>0</v>
      </c>
      <c r="Q73" s="445">
        <f t="shared" si="24"/>
        <v>0</v>
      </c>
      <c r="R73" s="445">
        <f t="shared" si="24"/>
        <v>0</v>
      </c>
      <c r="S73" s="445">
        <f t="shared" si="24"/>
        <v>0</v>
      </c>
      <c r="T73" s="445">
        <f t="shared" si="24"/>
        <v>0</v>
      </c>
      <c r="U73" s="445">
        <f t="shared" si="24"/>
        <v>0</v>
      </c>
      <c r="V73" s="445">
        <f t="shared" si="24"/>
        <v>0</v>
      </c>
      <c r="W73" s="445">
        <f t="shared" si="24"/>
        <v>0</v>
      </c>
      <c r="X73" s="445">
        <f t="shared" si="24"/>
        <v>0</v>
      </c>
      <c r="Y73" s="445">
        <f t="shared" si="24"/>
        <v>0</v>
      </c>
      <c r="Z73" s="445">
        <f t="shared" si="24"/>
        <v>0</v>
      </c>
      <c r="AA73" s="445">
        <f t="shared" si="24"/>
        <v>0</v>
      </c>
      <c r="AB73" s="445">
        <f t="shared" si="24"/>
        <v>0</v>
      </c>
      <c r="AC73" s="445">
        <f t="shared" si="24"/>
        <v>0</v>
      </c>
      <c r="AD73" s="442"/>
      <c r="AE73" s="431"/>
      <c r="AF73" s="444" cm="1">
        <f t="array" ref="AF73">$E73*IFERROR(IF($D73&lt;=AF$8,INDEX($E$32:$E$37,MATCH(AF$8,$AF$8:$CA$8,0)-MATCH($D73,$D$45:$D$92,0)+1,0),0),1)</f>
        <v>0</v>
      </c>
      <c r="AG73" s="444" cm="1">
        <f t="array" ref="AG73">$E73*IFERROR(IF($D73&lt;=AG$8,INDEX($E$32:$E$37,MATCH(AG$8,$AF$8:$CA$8,0)-MATCH($D73,$D$45:$D$92,0)+1,0),0),1)</f>
        <v>0</v>
      </c>
      <c r="AH73" s="444" cm="1">
        <f t="array" ref="AH73">$E73*IFERROR(IF($D73&lt;=AH$8,INDEX($E$32:$E$37,MATCH(AH$8,$AF$8:$CA$8,0)-MATCH($D73,$D$45:$D$92,0)+1,0),0),1)</f>
        <v>0</v>
      </c>
      <c r="AI73" s="444" cm="1">
        <f t="array" ref="AI73">$E73*IFERROR(IF($D73&lt;=AI$8,INDEX($E$32:$E$37,MATCH(AI$8,$AF$8:$CA$8,0)-MATCH($D73,$D$45:$D$92,0)+1,0),0),1)</f>
        <v>0</v>
      </c>
      <c r="AJ73" s="444" cm="1">
        <f t="array" ref="AJ73">$E73*IFERROR(IF($D73&lt;=AJ$8,INDEX($E$32:$E$37,MATCH(AJ$8,$AF$8:$CA$8,0)-MATCH($D73,$D$45:$D$92,0)+1,0),0),1)</f>
        <v>0</v>
      </c>
      <c r="AK73" s="444" cm="1">
        <f t="array" ref="AK73">$E73*IFERROR(IF($D73&lt;=AK$8,INDEX($E$32:$E$37,MATCH(AK$8,$AF$8:$CA$8,0)-MATCH($D73,$D$45:$D$92,0)+1,0),0),1)</f>
        <v>0</v>
      </c>
      <c r="AL73" s="444" cm="1">
        <f t="array" ref="AL73">$E73*IFERROR(IF($D73&lt;=AL$8,INDEX($E$32:$E$37,MATCH(AL$8,$AF$8:$CA$8,0)-MATCH($D73,$D$45:$D$92,0)+1,0),0),1)</f>
        <v>0</v>
      </c>
      <c r="AM73" s="444" cm="1">
        <f t="array" ref="AM73">$E73*IFERROR(IF($D73&lt;=AM$8,INDEX($E$32:$E$37,MATCH(AM$8,$AF$8:$CA$8,0)-MATCH($D73,$D$45:$D$92,0)+1,0),0),1)</f>
        <v>0</v>
      </c>
      <c r="AN73" s="444" cm="1">
        <f t="array" ref="AN73">$E73*IFERROR(IF($D73&lt;=AN$8,INDEX($E$32:$E$37,MATCH(AN$8,$AF$8:$CA$8,0)-MATCH($D73,$D$45:$D$92,0)+1,0),0),1)</f>
        <v>0</v>
      </c>
      <c r="AO73" s="444" cm="1">
        <f t="array" ref="AO73">$E73*IFERROR(IF($D73&lt;=AO$8,INDEX($E$32:$E$37,MATCH(AO$8,$AF$8:$CA$8,0)-MATCH($D73,$D$45:$D$92,0)+1,0),0),1)</f>
        <v>0</v>
      </c>
      <c r="AP73" s="444" cm="1">
        <f t="array" ref="AP73">$E73*IFERROR(IF($D73&lt;=AP$8,INDEX($E$32:$E$37,MATCH(AP$8,$AF$8:$CA$8,0)-MATCH($D73,$D$45:$D$92,0)+1,0),0),1)</f>
        <v>0</v>
      </c>
      <c r="AQ73" s="444" cm="1">
        <f t="array" ref="AQ73">$E73*IFERROR(IF($D73&lt;=AQ$8,INDEX($E$32:$E$37,MATCH(AQ$8,$AF$8:$CA$8,0)-MATCH($D73,$D$45:$D$92,0)+1,0),0),1)</f>
        <v>0</v>
      </c>
      <c r="AR73" s="444" cm="1">
        <f t="array" ref="AR73">$E73*IFERROR(IF($D73&lt;=AR$8,INDEX($E$32:$E$37,MATCH(AR$8,$AF$8:$CA$8,0)-MATCH($D73,$D$45:$D$92,0)+1,0),0),1)</f>
        <v>0</v>
      </c>
      <c r="AS73" s="444" cm="1">
        <f t="array" ref="AS73">$E73*IFERROR(IF($D73&lt;=AS$8,INDEX($E$32:$E$37,MATCH(AS$8,$AF$8:$CA$8,0)-MATCH($D73,$D$45:$D$92,0)+1,0),0),1)</f>
        <v>0</v>
      </c>
      <c r="AT73" s="444" cm="1">
        <f t="array" ref="AT73">$E73*IFERROR(IF($D73&lt;=AT$8,INDEX($E$32:$E$37,MATCH(AT$8,$AF$8:$CA$8,0)-MATCH($D73,$D$45:$D$92,0)+1,0),0),1)</f>
        <v>0</v>
      </c>
      <c r="AU73" s="444" cm="1">
        <f t="array" ref="AU73">$E73*IFERROR(IF($D73&lt;=AU$8,INDEX($E$32:$E$37,MATCH(AU$8,$AF$8:$CA$8,0)-MATCH($D73,$D$45:$D$92,0)+1,0),0),1)</f>
        <v>0</v>
      </c>
      <c r="AV73" s="444" cm="1">
        <f t="array" ref="AV73">$E73*IFERROR(IF($D73&lt;=AV$8,INDEX($E$32:$E$37,MATCH(AV$8,$AF$8:$CA$8,0)-MATCH($D73,$D$45:$D$92,0)+1,0),0),1)</f>
        <v>0</v>
      </c>
      <c r="AW73" s="444" cm="1">
        <f t="array" ref="AW73">$E73*IFERROR(IF($D73&lt;=AW$8,INDEX($E$32:$E$37,MATCH(AW$8,$AF$8:$CA$8,0)-MATCH($D73,$D$45:$D$92,0)+1,0),0),1)</f>
        <v>0</v>
      </c>
      <c r="AX73" s="444" cm="1">
        <f t="array" ref="AX73">$E73*IFERROR(IF($D73&lt;=AX$8,INDEX($E$32:$E$37,MATCH(AX$8,$AF$8:$CA$8,0)-MATCH($D73,$D$45:$D$92,0)+1,0),0),1)</f>
        <v>0</v>
      </c>
      <c r="AY73" s="444" cm="1">
        <f t="array" ref="AY73">$E73*IFERROR(IF($D73&lt;=AY$8,INDEX($E$32:$E$37,MATCH(AY$8,$AF$8:$CA$8,0)-MATCH($D73,$D$45:$D$92,0)+1,0),0),1)</f>
        <v>0</v>
      </c>
      <c r="AZ73" s="444" cm="1">
        <f t="array" ref="AZ73">$E73*IFERROR(IF($D73&lt;=AZ$8,INDEX($E$32:$E$37,MATCH(AZ$8,$AF$8:$CA$8,0)-MATCH($D73,$D$45:$D$92,0)+1,0),0),1)</f>
        <v>0</v>
      </c>
      <c r="BA73" s="444" cm="1">
        <f t="array" ref="BA73">$E73*IFERROR(IF($D73&lt;=BA$8,INDEX($E$32:$E$37,MATCH(BA$8,$AF$8:$CA$8,0)-MATCH($D73,$D$45:$D$92,0)+1,0),0),1)</f>
        <v>0</v>
      </c>
      <c r="BB73" s="444" cm="1">
        <f t="array" ref="BB73">$E73*IFERROR(IF($D73&lt;=BB$8,INDEX($E$32:$E$37,MATCH(BB$8,$AF$8:$CA$8,0)-MATCH($D73,$D$45:$D$92,0)+1,0),0),1)</f>
        <v>0</v>
      </c>
      <c r="BC73" s="444" cm="1">
        <f t="array" ref="BC73">$E73*IFERROR(IF($D73&lt;=BC$8,INDEX($E$32:$E$37,MATCH(BC$8,$AF$8:$CA$8,0)-MATCH($D73,$D$45:$D$92,0)+1,0),0),1)</f>
        <v>0</v>
      </c>
      <c r="BD73" s="444" cm="1">
        <f t="array" ref="BD73">$E73*IFERROR(IF($D73&lt;=BD$8,INDEX($E$32:$E$37,MATCH(BD$8,$AF$8:$CA$8,0)-MATCH($D73,$D$45:$D$92,0)+1,0),0),1)</f>
        <v>0</v>
      </c>
      <c r="BE73" s="444" cm="1">
        <f t="array" ref="BE73">$E73*IFERROR(IF($D73&lt;=BE$8,INDEX($E$32:$E$37,MATCH(BE$8,$AF$8:$CA$8,0)-MATCH($D73,$D$45:$D$92,0)+1,0),0),1)</f>
        <v>0</v>
      </c>
      <c r="BF73" s="444" cm="1">
        <f t="array" ref="BF73">$E73*IFERROR(IF($D73&lt;=BF$8,INDEX($E$32:$E$37,MATCH(BF$8,$AF$8:$CA$8,0)-MATCH($D73,$D$45:$D$92,0)+1,0),0),1)</f>
        <v>0</v>
      </c>
      <c r="BG73" s="444" cm="1">
        <f t="array" ref="BG73">$E73*IFERROR(IF($D73&lt;=BG$8,INDEX($E$32:$E$37,MATCH(BG$8,$AF$8:$CA$8,0)-MATCH($D73,$D$45:$D$92,0)+1,0),0),1)</f>
        <v>0</v>
      </c>
      <c r="BH73" s="444" cm="1">
        <f t="array" ref="BH73">$E73*IFERROR(IF($D73&lt;=BH$8,INDEX($E$32:$E$37,MATCH(BH$8,$AF$8:$CA$8,0)-MATCH($D73,$D$45:$D$92,0)+1,0),0),1)</f>
        <v>0</v>
      </c>
      <c r="BI73" s="444" cm="1">
        <f t="array" ref="BI73">$E73*IFERROR(IF($D73&lt;=BI$8,INDEX($E$32:$E$37,MATCH(BI$8,$AF$8:$CA$8,0)-MATCH($D73,$D$45:$D$92,0)+1,0),0),1)</f>
        <v>0</v>
      </c>
      <c r="BJ73" s="444" cm="1">
        <f t="array" ref="BJ73">$E73*IFERROR(IF($D73&lt;=BJ$8,INDEX($E$32:$E$37,MATCH(BJ$8,$AF$8:$CA$8,0)-MATCH($D73,$D$45:$D$92,0)+1,0),0),1)</f>
        <v>0</v>
      </c>
      <c r="BK73" s="444" cm="1">
        <f t="array" ref="BK73">$E73*IFERROR(IF($D73&lt;=BK$8,INDEX($E$32:$E$37,MATCH(BK$8,$AF$8:$CA$8,0)-MATCH($D73,$D$45:$D$92,0)+1,0),0),1)</f>
        <v>0</v>
      </c>
      <c r="BL73" s="444" cm="1">
        <f t="array" ref="BL73">$E73*IFERROR(IF($D73&lt;=BL$8,INDEX($E$32:$E$37,MATCH(BL$8,$AF$8:$CA$8,0)-MATCH($D73,$D$45:$D$92,0)+1,0),0),1)</f>
        <v>0</v>
      </c>
      <c r="BM73" s="444" cm="1">
        <f t="array" ref="BM73">$E73*IFERROR(IF($D73&lt;=BM$8,INDEX($E$32:$E$37,MATCH(BM$8,$AF$8:$CA$8,0)-MATCH($D73,$D$45:$D$92,0)+1,0),0),1)</f>
        <v>0</v>
      </c>
      <c r="BN73" s="444" cm="1">
        <f t="array" ref="BN73">$E73*IFERROR(IF($D73&lt;=BN$8,INDEX($E$32:$E$37,MATCH(BN$8,$AF$8:$CA$8,0)-MATCH($D73,$D$45:$D$92,0)+1,0),0),1)</f>
        <v>0</v>
      </c>
      <c r="BO73" s="444" cm="1">
        <f t="array" ref="BO73">$E73*IFERROR(IF($D73&lt;=BO$8,INDEX($E$32:$E$37,MATCH(BO$8,$AF$8:$CA$8,0)-MATCH($D73,$D$45:$D$92,0)+1,0),0),1)</f>
        <v>0</v>
      </c>
      <c r="BP73" s="444" cm="1">
        <f t="array" ref="BP73">$E73*IFERROR(IF($D73&lt;=BP$8,INDEX($E$32:$E$37,MATCH(BP$8,$AF$8:$CA$8,0)-MATCH($D73,$D$45:$D$92,0)+1,0),0),1)</f>
        <v>0</v>
      </c>
      <c r="BQ73" s="444" cm="1">
        <f t="array" ref="BQ73">$E73*IFERROR(IF($D73&lt;=BQ$8,INDEX($E$32:$E$37,MATCH(BQ$8,$AF$8:$CA$8,0)-MATCH($D73,$D$45:$D$92,0)+1,0),0),1)</f>
        <v>0</v>
      </c>
      <c r="BR73" s="444" cm="1">
        <f t="array" ref="BR73">$E73*IFERROR(IF($D73&lt;=BR$8,INDEX($E$32:$E$37,MATCH(BR$8,$AF$8:$CA$8,0)-MATCH($D73,$D$45:$D$92,0)+1,0),0),1)</f>
        <v>0</v>
      </c>
      <c r="BS73" s="444" cm="1">
        <f t="array" ref="BS73">$E73*IFERROR(IF($D73&lt;=BS$8,INDEX($E$32:$E$37,MATCH(BS$8,$AF$8:$CA$8,0)-MATCH($D73,$D$45:$D$92,0)+1,0),0),1)</f>
        <v>0</v>
      </c>
      <c r="BT73" s="444" cm="1">
        <f t="array" ref="BT73">$E73*IFERROR(IF($D73&lt;=BT$8,INDEX($E$32:$E$37,MATCH(BT$8,$AF$8:$CA$8,0)-MATCH($D73,$D$45:$D$92,0)+1,0),0),1)</f>
        <v>0</v>
      </c>
      <c r="BU73" s="444" cm="1">
        <f t="array" ref="BU73">$E73*IFERROR(IF($D73&lt;=BU$8,INDEX($E$32:$E$37,MATCH(BU$8,$AF$8:$CA$8,0)-MATCH($D73,$D$45:$D$92,0)+1,0),0),1)</f>
        <v>0</v>
      </c>
      <c r="BV73" s="444" cm="1">
        <f t="array" ref="BV73">$E73*IFERROR(IF($D73&lt;=BV$8,INDEX($E$32:$E$37,MATCH(BV$8,$AF$8:$CA$8,0)-MATCH($D73,$D$45:$D$92,0)+1,0),0),1)</f>
        <v>0</v>
      </c>
      <c r="BW73" s="444" cm="1">
        <f t="array" ref="BW73">$E73*IFERROR(IF($D73&lt;=BW$8,INDEX($E$32:$E$37,MATCH(BW$8,$AF$8:$CA$8,0)-MATCH($D73,$D$45:$D$92,0)+1,0),0),1)</f>
        <v>0</v>
      </c>
      <c r="BX73" s="444" cm="1">
        <f t="array" ref="BX73">$E73*IFERROR(IF($D73&lt;=BX$8,INDEX($E$32:$E$37,MATCH(BX$8,$AF$8:$CA$8,0)-MATCH($D73,$D$45:$D$92,0)+1,0),0),1)</f>
        <v>0</v>
      </c>
      <c r="BY73" s="444" cm="1">
        <f t="array" ref="BY73">$E73*IFERROR(IF($D73&lt;=BY$8,INDEX($E$32:$E$37,MATCH(BY$8,$AF$8:$CA$8,0)-MATCH($D73,$D$45:$D$92,0)+1,0),0),1)</f>
        <v>0</v>
      </c>
      <c r="BZ73" s="444" cm="1">
        <f t="array" ref="BZ73">$E73*IFERROR(IF($D73&lt;=BZ$8,INDEX($E$32:$E$37,MATCH(BZ$8,$AF$8:$CA$8,0)-MATCH($D73,$D$45:$D$92,0)+1,0),0),1)</f>
        <v>0</v>
      </c>
      <c r="CA73" s="444" cm="1">
        <f t="array" ref="CA73">$E73*IFERROR(IF($D73&lt;=CA$8,INDEX($E$32:$E$37,MATCH(CA$8,$AF$8:$CA$8,0)-MATCH($D73,$D$45:$D$92,0)+1,0),0),1)</f>
        <v>0</v>
      </c>
    </row>
    <row r="74" spans="3:79" ht="21" hidden="1" customHeight="1" outlineLevel="3">
      <c r="D74" s="374">
        <f t="shared" si="21"/>
        <v>45838</v>
      </c>
      <c r="E74" s="446" cm="1">
        <f t="array" ref="E74">INDEX($AF$41:$CA$41,0,MATCH($D74,$AF$8:$CA$8,0))</f>
        <v>2</v>
      </c>
      <c r="G74" s="431"/>
      <c r="H74" s="445">
        <f t="shared" si="23"/>
        <v>0</v>
      </c>
      <c r="I74" s="445">
        <f t="shared" si="23"/>
        <v>0</v>
      </c>
      <c r="J74" s="445">
        <f t="shared" si="23"/>
        <v>2</v>
      </c>
      <c r="K74" s="445">
        <f t="shared" si="23"/>
        <v>2</v>
      </c>
      <c r="L74" s="442"/>
      <c r="M74" s="431"/>
      <c r="N74" s="445">
        <f t="shared" si="24"/>
        <v>0</v>
      </c>
      <c r="O74" s="445">
        <f t="shared" si="24"/>
        <v>0</v>
      </c>
      <c r="P74" s="445">
        <f t="shared" si="24"/>
        <v>0</v>
      </c>
      <c r="Q74" s="445">
        <f t="shared" si="24"/>
        <v>0</v>
      </c>
      <c r="R74" s="445">
        <f t="shared" si="24"/>
        <v>0</v>
      </c>
      <c r="S74" s="445">
        <f t="shared" si="24"/>
        <v>0</v>
      </c>
      <c r="T74" s="445">
        <f t="shared" si="24"/>
        <v>0</v>
      </c>
      <c r="U74" s="445">
        <f t="shared" si="24"/>
        <v>0</v>
      </c>
      <c r="V74" s="445">
        <f t="shared" si="24"/>
        <v>0</v>
      </c>
      <c r="W74" s="445">
        <f t="shared" si="24"/>
        <v>0.6</v>
      </c>
      <c r="X74" s="445">
        <f t="shared" si="24"/>
        <v>1.7</v>
      </c>
      <c r="Y74" s="445">
        <f t="shared" si="24"/>
        <v>2</v>
      </c>
      <c r="Z74" s="445">
        <f t="shared" si="24"/>
        <v>2</v>
      </c>
      <c r="AA74" s="445">
        <f t="shared" si="24"/>
        <v>2</v>
      </c>
      <c r="AB74" s="445">
        <f t="shared" si="24"/>
        <v>2</v>
      </c>
      <c r="AC74" s="445">
        <f t="shared" si="24"/>
        <v>2</v>
      </c>
      <c r="AD74" s="442"/>
      <c r="AE74" s="431"/>
      <c r="AF74" s="444" cm="1">
        <f t="array" ref="AF74">$E74*IFERROR(IF($D74&lt;=AF$8,INDEX($E$32:$E$37,MATCH(AF$8,$AF$8:$CA$8,0)-MATCH($D74,$D$45:$D$92,0)+1,0),0),1)</f>
        <v>0</v>
      </c>
      <c r="AG74" s="444" cm="1">
        <f t="array" ref="AG74">$E74*IFERROR(IF($D74&lt;=AG$8,INDEX($E$32:$E$37,MATCH(AG$8,$AF$8:$CA$8,0)-MATCH($D74,$D$45:$D$92,0)+1,0),0),1)</f>
        <v>0</v>
      </c>
      <c r="AH74" s="444" cm="1">
        <f t="array" ref="AH74">$E74*IFERROR(IF($D74&lt;=AH$8,INDEX($E$32:$E$37,MATCH(AH$8,$AF$8:$CA$8,0)-MATCH($D74,$D$45:$D$92,0)+1,0),0),1)</f>
        <v>0</v>
      </c>
      <c r="AI74" s="444" cm="1">
        <f t="array" ref="AI74">$E74*IFERROR(IF($D74&lt;=AI$8,INDEX($E$32:$E$37,MATCH(AI$8,$AF$8:$CA$8,0)-MATCH($D74,$D$45:$D$92,0)+1,0),0),1)</f>
        <v>0</v>
      </c>
      <c r="AJ74" s="444" cm="1">
        <f t="array" ref="AJ74">$E74*IFERROR(IF($D74&lt;=AJ$8,INDEX($E$32:$E$37,MATCH(AJ$8,$AF$8:$CA$8,0)-MATCH($D74,$D$45:$D$92,0)+1,0),0),1)</f>
        <v>0</v>
      </c>
      <c r="AK74" s="444" cm="1">
        <f t="array" ref="AK74">$E74*IFERROR(IF($D74&lt;=AK$8,INDEX($E$32:$E$37,MATCH(AK$8,$AF$8:$CA$8,0)-MATCH($D74,$D$45:$D$92,0)+1,0),0),1)</f>
        <v>0</v>
      </c>
      <c r="AL74" s="444" cm="1">
        <f t="array" ref="AL74">$E74*IFERROR(IF($D74&lt;=AL$8,INDEX($E$32:$E$37,MATCH(AL$8,$AF$8:$CA$8,0)-MATCH($D74,$D$45:$D$92,0)+1,0),0),1)</f>
        <v>0</v>
      </c>
      <c r="AM74" s="444" cm="1">
        <f t="array" ref="AM74">$E74*IFERROR(IF($D74&lt;=AM$8,INDEX($E$32:$E$37,MATCH(AM$8,$AF$8:$CA$8,0)-MATCH($D74,$D$45:$D$92,0)+1,0),0),1)</f>
        <v>0</v>
      </c>
      <c r="AN74" s="444" cm="1">
        <f t="array" ref="AN74">$E74*IFERROR(IF($D74&lt;=AN$8,INDEX($E$32:$E$37,MATCH(AN$8,$AF$8:$CA$8,0)-MATCH($D74,$D$45:$D$92,0)+1,0),0),1)</f>
        <v>0</v>
      </c>
      <c r="AO74" s="444" cm="1">
        <f t="array" ref="AO74">$E74*IFERROR(IF($D74&lt;=AO$8,INDEX($E$32:$E$37,MATCH(AO$8,$AF$8:$CA$8,0)-MATCH($D74,$D$45:$D$92,0)+1,0),0),1)</f>
        <v>0</v>
      </c>
      <c r="AP74" s="444" cm="1">
        <f t="array" ref="AP74">$E74*IFERROR(IF($D74&lt;=AP$8,INDEX($E$32:$E$37,MATCH(AP$8,$AF$8:$CA$8,0)-MATCH($D74,$D$45:$D$92,0)+1,0),0),1)</f>
        <v>0</v>
      </c>
      <c r="AQ74" s="444" cm="1">
        <f t="array" ref="AQ74">$E74*IFERROR(IF($D74&lt;=AQ$8,INDEX($E$32:$E$37,MATCH(AQ$8,$AF$8:$CA$8,0)-MATCH($D74,$D$45:$D$92,0)+1,0),0),1)</f>
        <v>0</v>
      </c>
      <c r="AR74" s="444" cm="1">
        <f t="array" ref="AR74">$E74*IFERROR(IF($D74&lt;=AR$8,INDEX($E$32:$E$37,MATCH(AR$8,$AF$8:$CA$8,0)-MATCH($D74,$D$45:$D$92,0)+1,0),0),1)</f>
        <v>0</v>
      </c>
      <c r="AS74" s="444" cm="1">
        <f t="array" ref="AS74">$E74*IFERROR(IF($D74&lt;=AS$8,INDEX($E$32:$E$37,MATCH(AS$8,$AF$8:$CA$8,0)-MATCH($D74,$D$45:$D$92,0)+1,0),0),1)</f>
        <v>0</v>
      </c>
      <c r="AT74" s="444" cm="1">
        <f t="array" ref="AT74">$E74*IFERROR(IF($D74&lt;=AT$8,INDEX($E$32:$E$37,MATCH(AT$8,$AF$8:$CA$8,0)-MATCH($D74,$D$45:$D$92,0)+1,0),0),1)</f>
        <v>0</v>
      </c>
      <c r="AU74" s="444" cm="1">
        <f t="array" ref="AU74">$E74*IFERROR(IF($D74&lt;=AU$8,INDEX($E$32:$E$37,MATCH(AU$8,$AF$8:$CA$8,0)-MATCH($D74,$D$45:$D$92,0)+1,0),0),1)</f>
        <v>0</v>
      </c>
      <c r="AV74" s="444" cm="1">
        <f t="array" ref="AV74">$E74*IFERROR(IF($D74&lt;=AV$8,INDEX($E$32:$E$37,MATCH(AV$8,$AF$8:$CA$8,0)-MATCH($D74,$D$45:$D$92,0)+1,0),0),1)</f>
        <v>0</v>
      </c>
      <c r="AW74" s="444" cm="1">
        <f t="array" ref="AW74">$E74*IFERROR(IF($D74&lt;=AW$8,INDEX($E$32:$E$37,MATCH(AW$8,$AF$8:$CA$8,0)-MATCH($D74,$D$45:$D$92,0)+1,0),0),1)</f>
        <v>0</v>
      </c>
      <c r="AX74" s="444" cm="1">
        <f t="array" ref="AX74">$E74*IFERROR(IF($D74&lt;=AX$8,INDEX($E$32:$E$37,MATCH(AX$8,$AF$8:$CA$8,0)-MATCH($D74,$D$45:$D$92,0)+1,0),0),1)</f>
        <v>0</v>
      </c>
      <c r="AY74" s="444" cm="1">
        <f t="array" ref="AY74">$E74*IFERROR(IF($D74&lt;=AY$8,INDEX($E$32:$E$37,MATCH(AY$8,$AF$8:$CA$8,0)-MATCH($D74,$D$45:$D$92,0)+1,0),0),1)</f>
        <v>0</v>
      </c>
      <c r="AZ74" s="444" cm="1">
        <f t="array" ref="AZ74">$E74*IFERROR(IF($D74&lt;=AZ$8,INDEX($E$32:$E$37,MATCH(AZ$8,$AF$8:$CA$8,0)-MATCH($D74,$D$45:$D$92,0)+1,0),0),1)</f>
        <v>0</v>
      </c>
      <c r="BA74" s="444" cm="1">
        <f t="array" ref="BA74">$E74*IFERROR(IF($D74&lt;=BA$8,INDEX($E$32:$E$37,MATCH(BA$8,$AF$8:$CA$8,0)-MATCH($D74,$D$45:$D$92,0)+1,0),0),1)</f>
        <v>0</v>
      </c>
      <c r="BB74" s="444" cm="1">
        <f t="array" ref="BB74">$E74*IFERROR(IF($D74&lt;=BB$8,INDEX($E$32:$E$37,MATCH(BB$8,$AF$8:$CA$8,0)-MATCH($D74,$D$45:$D$92,0)+1,0),0),1)</f>
        <v>0</v>
      </c>
      <c r="BC74" s="444" cm="1">
        <f t="array" ref="BC74">$E74*IFERROR(IF($D74&lt;=BC$8,INDEX($E$32:$E$37,MATCH(BC$8,$AF$8:$CA$8,0)-MATCH($D74,$D$45:$D$92,0)+1,0),0),1)</f>
        <v>0</v>
      </c>
      <c r="BD74" s="444" cm="1">
        <f t="array" ref="BD74">$E74*IFERROR(IF($D74&lt;=BD$8,INDEX($E$32:$E$37,MATCH(BD$8,$AF$8:$CA$8,0)-MATCH($D74,$D$45:$D$92,0)+1,0),0),1)</f>
        <v>0</v>
      </c>
      <c r="BE74" s="444" cm="1">
        <f t="array" ref="BE74">$E74*IFERROR(IF($D74&lt;=BE$8,INDEX($E$32:$E$37,MATCH(BE$8,$AF$8:$CA$8,0)-MATCH($D74,$D$45:$D$92,0)+1,0),0),1)</f>
        <v>0</v>
      </c>
      <c r="BF74" s="444" cm="1">
        <f t="array" ref="BF74">$E74*IFERROR(IF($D74&lt;=BF$8,INDEX($E$32:$E$37,MATCH(BF$8,$AF$8:$CA$8,0)-MATCH($D74,$D$45:$D$92,0)+1,0),0),1)</f>
        <v>0</v>
      </c>
      <c r="BG74" s="444" cm="1">
        <f t="array" ref="BG74">$E74*IFERROR(IF($D74&lt;=BG$8,INDEX($E$32:$E$37,MATCH(BG$8,$AF$8:$CA$8,0)-MATCH($D74,$D$45:$D$92,0)+1,0),0),1)</f>
        <v>0</v>
      </c>
      <c r="BH74" s="444" cm="1">
        <f t="array" ref="BH74">$E74*IFERROR(IF($D74&lt;=BH$8,INDEX($E$32:$E$37,MATCH(BH$8,$AF$8:$CA$8,0)-MATCH($D74,$D$45:$D$92,0)+1,0),0),1)</f>
        <v>0</v>
      </c>
      <c r="BI74" s="444" cm="1">
        <f t="array" ref="BI74">$E74*IFERROR(IF($D74&lt;=BI$8,INDEX($E$32:$E$37,MATCH(BI$8,$AF$8:$CA$8,0)-MATCH($D74,$D$45:$D$92,0)+1,0),0),1)</f>
        <v>0.6</v>
      </c>
      <c r="BJ74" s="444" cm="1">
        <f t="array" ref="BJ74">$E74*IFERROR(IF($D74&lt;=BJ$8,INDEX($E$32:$E$37,MATCH(BJ$8,$AF$8:$CA$8,0)-MATCH($D74,$D$45:$D$92,0)+1,0),0),1)</f>
        <v>1</v>
      </c>
      <c r="BK74" s="444" cm="1">
        <f t="array" ref="BK74">$E74*IFERROR(IF($D74&lt;=BK$8,INDEX($E$32:$E$37,MATCH(BK$8,$AF$8:$CA$8,0)-MATCH($D74,$D$45:$D$92,0)+1,0),0),1)</f>
        <v>1.4</v>
      </c>
      <c r="BL74" s="444" cm="1">
        <f t="array" ref="BL74">$E74*IFERROR(IF($D74&lt;=BL$8,INDEX($E$32:$E$37,MATCH(BL$8,$AF$8:$CA$8,0)-MATCH($D74,$D$45:$D$92,0)+1,0),0),1)</f>
        <v>1.7</v>
      </c>
      <c r="BM74" s="444" cm="1">
        <f t="array" ref="BM74">$E74*IFERROR(IF($D74&lt;=BM$8,INDEX($E$32:$E$37,MATCH(BM$8,$AF$8:$CA$8,0)-MATCH($D74,$D$45:$D$92,0)+1,0),0),1)</f>
        <v>2</v>
      </c>
      <c r="BN74" s="444" cm="1">
        <f t="array" ref="BN74">$E74*IFERROR(IF($D74&lt;=BN$8,INDEX($E$32:$E$37,MATCH(BN$8,$AF$8:$CA$8,0)-MATCH($D74,$D$45:$D$92,0)+1,0),0),1)</f>
        <v>2</v>
      </c>
      <c r="BO74" s="444" cm="1">
        <f t="array" ref="BO74">$E74*IFERROR(IF($D74&lt;=BO$8,INDEX($E$32:$E$37,MATCH(BO$8,$AF$8:$CA$8,0)-MATCH($D74,$D$45:$D$92,0)+1,0),0),1)</f>
        <v>2</v>
      </c>
      <c r="BP74" s="444" cm="1">
        <f t="array" ref="BP74">$E74*IFERROR(IF($D74&lt;=BP$8,INDEX($E$32:$E$37,MATCH(BP$8,$AF$8:$CA$8,0)-MATCH($D74,$D$45:$D$92,0)+1,0),0),1)</f>
        <v>2</v>
      </c>
      <c r="BQ74" s="444" cm="1">
        <f t="array" ref="BQ74">$E74*IFERROR(IF($D74&lt;=BQ$8,INDEX($E$32:$E$37,MATCH(BQ$8,$AF$8:$CA$8,0)-MATCH($D74,$D$45:$D$92,0)+1,0),0),1)</f>
        <v>2</v>
      </c>
      <c r="BR74" s="444" cm="1">
        <f t="array" ref="BR74">$E74*IFERROR(IF($D74&lt;=BR$8,INDEX($E$32:$E$37,MATCH(BR$8,$AF$8:$CA$8,0)-MATCH($D74,$D$45:$D$92,0)+1,0),0),1)</f>
        <v>2</v>
      </c>
      <c r="BS74" s="444" cm="1">
        <f t="array" ref="BS74">$E74*IFERROR(IF($D74&lt;=BS$8,INDEX($E$32:$E$37,MATCH(BS$8,$AF$8:$CA$8,0)-MATCH($D74,$D$45:$D$92,0)+1,0),0),1)</f>
        <v>2</v>
      </c>
      <c r="BT74" s="444" cm="1">
        <f t="array" ref="BT74">$E74*IFERROR(IF($D74&lt;=BT$8,INDEX($E$32:$E$37,MATCH(BT$8,$AF$8:$CA$8,0)-MATCH($D74,$D$45:$D$92,0)+1,0),0),1)</f>
        <v>2</v>
      </c>
      <c r="BU74" s="444" cm="1">
        <f t="array" ref="BU74">$E74*IFERROR(IF($D74&lt;=BU$8,INDEX($E$32:$E$37,MATCH(BU$8,$AF$8:$CA$8,0)-MATCH($D74,$D$45:$D$92,0)+1,0),0),1)</f>
        <v>2</v>
      </c>
      <c r="BV74" s="444" cm="1">
        <f t="array" ref="BV74">$E74*IFERROR(IF($D74&lt;=BV$8,INDEX($E$32:$E$37,MATCH(BV$8,$AF$8:$CA$8,0)-MATCH($D74,$D$45:$D$92,0)+1,0),0),1)</f>
        <v>2</v>
      </c>
      <c r="BW74" s="444" cm="1">
        <f t="array" ref="BW74">$E74*IFERROR(IF($D74&lt;=BW$8,INDEX($E$32:$E$37,MATCH(BW$8,$AF$8:$CA$8,0)-MATCH($D74,$D$45:$D$92,0)+1,0),0),1)</f>
        <v>2</v>
      </c>
      <c r="BX74" s="444" cm="1">
        <f t="array" ref="BX74">$E74*IFERROR(IF($D74&lt;=BX$8,INDEX($E$32:$E$37,MATCH(BX$8,$AF$8:$CA$8,0)-MATCH($D74,$D$45:$D$92,0)+1,0),0),1)</f>
        <v>2</v>
      </c>
      <c r="BY74" s="444" cm="1">
        <f t="array" ref="BY74">$E74*IFERROR(IF($D74&lt;=BY$8,INDEX($E$32:$E$37,MATCH(BY$8,$AF$8:$CA$8,0)-MATCH($D74,$D$45:$D$92,0)+1,0),0),1)</f>
        <v>2</v>
      </c>
      <c r="BZ74" s="444" cm="1">
        <f t="array" ref="BZ74">$E74*IFERROR(IF($D74&lt;=BZ$8,INDEX($E$32:$E$37,MATCH(BZ$8,$AF$8:$CA$8,0)-MATCH($D74,$D$45:$D$92,0)+1,0),0),1)</f>
        <v>2</v>
      </c>
      <c r="CA74" s="444" cm="1">
        <f t="array" ref="CA74">$E74*IFERROR(IF($D74&lt;=CA$8,INDEX($E$32:$E$37,MATCH(CA$8,$AF$8:$CA$8,0)-MATCH($D74,$D$45:$D$92,0)+1,0),0),1)</f>
        <v>2</v>
      </c>
    </row>
    <row r="75" spans="3:79" ht="21" hidden="1" customHeight="1" outlineLevel="3">
      <c r="D75" s="374">
        <f t="shared" si="21"/>
        <v>45869</v>
      </c>
      <c r="E75" s="446" cm="1">
        <f t="array" ref="E75">INDEX($AF$41:$CA$41,0,MATCH($D75,$AF$8:$CA$8,0))</f>
        <v>0</v>
      </c>
      <c r="G75" s="431"/>
      <c r="H75" s="445">
        <f t="shared" si="23"/>
        <v>0</v>
      </c>
      <c r="I75" s="445">
        <f t="shared" si="23"/>
        <v>0</v>
      </c>
      <c r="J75" s="445">
        <f t="shared" si="23"/>
        <v>0</v>
      </c>
      <c r="K75" s="445">
        <f t="shared" si="23"/>
        <v>0</v>
      </c>
      <c r="L75" s="442"/>
      <c r="M75" s="431"/>
      <c r="N75" s="445">
        <f t="shared" si="24"/>
        <v>0</v>
      </c>
      <c r="O75" s="445">
        <f t="shared" si="24"/>
        <v>0</v>
      </c>
      <c r="P75" s="445">
        <f t="shared" si="24"/>
        <v>0</v>
      </c>
      <c r="Q75" s="445">
        <f t="shared" si="24"/>
        <v>0</v>
      </c>
      <c r="R75" s="445">
        <f t="shared" si="24"/>
        <v>0</v>
      </c>
      <c r="S75" s="445">
        <f t="shared" si="24"/>
        <v>0</v>
      </c>
      <c r="T75" s="445">
        <f t="shared" si="24"/>
        <v>0</v>
      </c>
      <c r="U75" s="445">
        <f t="shared" si="24"/>
        <v>0</v>
      </c>
      <c r="V75" s="445">
        <f t="shared" si="24"/>
        <v>0</v>
      </c>
      <c r="W75" s="445">
        <f t="shared" si="24"/>
        <v>0</v>
      </c>
      <c r="X75" s="445">
        <f t="shared" si="24"/>
        <v>0</v>
      </c>
      <c r="Y75" s="445">
        <f t="shared" si="24"/>
        <v>0</v>
      </c>
      <c r="Z75" s="445">
        <f t="shared" si="24"/>
        <v>0</v>
      </c>
      <c r="AA75" s="445">
        <f t="shared" si="24"/>
        <v>0</v>
      </c>
      <c r="AB75" s="445">
        <f t="shared" si="24"/>
        <v>0</v>
      </c>
      <c r="AC75" s="445">
        <f t="shared" si="24"/>
        <v>0</v>
      </c>
      <c r="AD75" s="442"/>
      <c r="AE75" s="431"/>
      <c r="AF75" s="444" cm="1">
        <f t="array" ref="AF75">$E75*IFERROR(IF($D75&lt;=AF$8,INDEX($E$32:$E$37,MATCH(AF$8,$AF$8:$CA$8,0)-MATCH($D75,$D$45:$D$92,0)+1,0),0),1)</f>
        <v>0</v>
      </c>
      <c r="AG75" s="444" cm="1">
        <f t="array" ref="AG75">$E75*IFERROR(IF($D75&lt;=AG$8,INDEX($E$32:$E$37,MATCH(AG$8,$AF$8:$CA$8,0)-MATCH($D75,$D$45:$D$92,0)+1,0),0),1)</f>
        <v>0</v>
      </c>
      <c r="AH75" s="444" cm="1">
        <f t="array" ref="AH75">$E75*IFERROR(IF($D75&lt;=AH$8,INDEX($E$32:$E$37,MATCH(AH$8,$AF$8:$CA$8,0)-MATCH($D75,$D$45:$D$92,0)+1,0),0),1)</f>
        <v>0</v>
      </c>
      <c r="AI75" s="444" cm="1">
        <f t="array" ref="AI75">$E75*IFERROR(IF($D75&lt;=AI$8,INDEX($E$32:$E$37,MATCH(AI$8,$AF$8:$CA$8,0)-MATCH($D75,$D$45:$D$92,0)+1,0),0),1)</f>
        <v>0</v>
      </c>
      <c r="AJ75" s="444" cm="1">
        <f t="array" ref="AJ75">$E75*IFERROR(IF($D75&lt;=AJ$8,INDEX($E$32:$E$37,MATCH(AJ$8,$AF$8:$CA$8,0)-MATCH($D75,$D$45:$D$92,0)+1,0),0),1)</f>
        <v>0</v>
      </c>
      <c r="AK75" s="444" cm="1">
        <f t="array" ref="AK75">$E75*IFERROR(IF($D75&lt;=AK$8,INDEX($E$32:$E$37,MATCH(AK$8,$AF$8:$CA$8,0)-MATCH($D75,$D$45:$D$92,0)+1,0),0),1)</f>
        <v>0</v>
      </c>
      <c r="AL75" s="444" cm="1">
        <f t="array" ref="AL75">$E75*IFERROR(IF($D75&lt;=AL$8,INDEX($E$32:$E$37,MATCH(AL$8,$AF$8:$CA$8,0)-MATCH($D75,$D$45:$D$92,0)+1,0),0),1)</f>
        <v>0</v>
      </c>
      <c r="AM75" s="444" cm="1">
        <f t="array" ref="AM75">$E75*IFERROR(IF($D75&lt;=AM$8,INDEX($E$32:$E$37,MATCH(AM$8,$AF$8:$CA$8,0)-MATCH($D75,$D$45:$D$92,0)+1,0),0),1)</f>
        <v>0</v>
      </c>
      <c r="AN75" s="444" cm="1">
        <f t="array" ref="AN75">$E75*IFERROR(IF($D75&lt;=AN$8,INDEX($E$32:$E$37,MATCH(AN$8,$AF$8:$CA$8,0)-MATCH($D75,$D$45:$D$92,0)+1,0),0),1)</f>
        <v>0</v>
      </c>
      <c r="AO75" s="444" cm="1">
        <f t="array" ref="AO75">$E75*IFERROR(IF($D75&lt;=AO$8,INDEX($E$32:$E$37,MATCH(AO$8,$AF$8:$CA$8,0)-MATCH($D75,$D$45:$D$92,0)+1,0),0),1)</f>
        <v>0</v>
      </c>
      <c r="AP75" s="444" cm="1">
        <f t="array" ref="AP75">$E75*IFERROR(IF($D75&lt;=AP$8,INDEX($E$32:$E$37,MATCH(AP$8,$AF$8:$CA$8,0)-MATCH($D75,$D$45:$D$92,0)+1,0),0),1)</f>
        <v>0</v>
      </c>
      <c r="AQ75" s="444" cm="1">
        <f t="array" ref="AQ75">$E75*IFERROR(IF($D75&lt;=AQ$8,INDEX($E$32:$E$37,MATCH(AQ$8,$AF$8:$CA$8,0)-MATCH($D75,$D$45:$D$92,0)+1,0),0),1)</f>
        <v>0</v>
      </c>
      <c r="AR75" s="444" cm="1">
        <f t="array" ref="AR75">$E75*IFERROR(IF($D75&lt;=AR$8,INDEX($E$32:$E$37,MATCH(AR$8,$AF$8:$CA$8,0)-MATCH($D75,$D$45:$D$92,0)+1,0),0),1)</f>
        <v>0</v>
      </c>
      <c r="AS75" s="444" cm="1">
        <f t="array" ref="AS75">$E75*IFERROR(IF($D75&lt;=AS$8,INDEX($E$32:$E$37,MATCH(AS$8,$AF$8:$CA$8,0)-MATCH($D75,$D$45:$D$92,0)+1,0),0),1)</f>
        <v>0</v>
      </c>
      <c r="AT75" s="444" cm="1">
        <f t="array" ref="AT75">$E75*IFERROR(IF($D75&lt;=AT$8,INDEX($E$32:$E$37,MATCH(AT$8,$AF$8:$CA$8,0)-MATCH($D75,$D$45:$D$92,0)+1,0),0),1)</f>
        <v>0</v>
      </c>
      <c r="AU75" s="444" cm="1">
        <f t="array" ref="AU75">$E75*IFERROR(IF($D75&lt;=AU$8,INDEX($E$32:$E$37,MATCH(AU$8,$AF$8:$CA$8,0)-MATCH($D75,$D$45:$D$92,0)+1,0),0),1)</f>
        <v>0</v>
      </c>
      <c r="AV75" s="444" cm="1">
        <f t="array" ref="AV75">$E75*IFERROR(IF($D75&lt;=AV$8,INDEX($E$32:$E$37,MATCH(AV$8,$AF$8:$CA$8,0)-MATCH($D75,$D$45:$D$92,0)+1,0),0),1)</f>
        <v>0</v>
      </c>
      <c r="AW75" s="444" cm="1">
        <f t="array" ref="AW75">$E75*IFERROR(IF($D75&lt;=AW$8,INDEX($E$32:$E$37,MATCH(AW$8,$AF$8:$CA$8,0)-MATCH($D75,$D$45:$D$92,0)+1,0),0),1)</f>
        <v>0</v>
      </c>
      <c r="AX75" s="444" cm="1">
        <f t="array" ref="AX75">$E75*IFERROR(IF($D75&lt;=AX$8,INDEX($E$32:$E$37,MATCH(AX$8,$AF$8:$CA$8,0)-MATCH($D75,$D$45:$D$92,0)+1,0),0),1)</f>
        <v>0</v>
      </c>
      <c r="AY75" s="444" cm="1">
        <f t="array" ref="AY75">$E75*IFERROR(IF($D75&lt;=AY$8,INDEX($E$32:$E$37,MATCH(AY$8,$AF$8:$CA$8,0)-MATCH($D75,$D$45:$D$92,0)+1,0),0),1)</f>
        <v>0</v>
      </c>
      <c r="AZ75" s="444" cm="1">
        <f t="array" ref="AZ75">$E75*IFERROR(IF($D75&lt;=AZ$8,INDEX($E$32:$E$37,MATCH(AZ$8,$AF$8:$CA$8,0)-MATCH($D75,$D$45:$D$92,0)+1,0),0),1)</f>
        <v>0</v>
      </c>
      <c r="BA75" s="444" cm="1">
        <f t="array" ref="BA75">$E75*IFERROR(IF($D75&lt;=BA$8,INDEX($E$32:$E$37,MATCH(BA$8,$AF$8:$CA$8,0)-MATCH($D75,$D$45:$D$92,0)+1,0),0),1)</f>
        <v>0</v>
      </c>
      <c r="BB75" s="444" cm="1">
        <f t="array" ref="BB75">$E75*IFERROR(IF($D75&lt;=BB$8,INDEX($E$32:$E$37,MATCH(BB$8,$AF$8:$CA$8,0)-MATCH($D75,$D$45:$D$92,0)+1,0),0),1)</f>
        <v>0</v>
      </c>
      <c r="BC75" s="444" cm="1">
        <f t="array" ref="BC75">$E75*IFERROR(IF($D75&lt;=BC$8,INDEX($E$32:$E$37,MATCH(BC$8,$AF$8:$CA$8,0)-MATCH($D75,$D$45:$D$92,0)+1,0),0),1)</f>
        <v>0</v>
      </c>
      <c r="BD75" s="444" cm="1">
        <f t="array" ref="BD75">$E75*IFERROR(IF($D75&lt;=BD$8,INDEX($E$32:$E$37,MATCH(BD$8,$AF$8:$CA$8,0)-MATCH($D75,$D$45:$D$92,0)+1,0),0),1)</f>
        <v>0</v>
      </c>
      <c r="BE75" s="444" cm="1">
        <f t="array" ref="BE75">$E75*IFERROR(IF($D75&lt;=BE$8,INDEX($E$32:$E$37,MATCH(BE$8,$AF$8:$CA$8,0)-MATCH($D75,$D$45:$D$92,0)+1,0),0),1)</f>
        <v>0</v>
      </c>
      <c r="BF75" s="444" cm="1">
        <f t="array" ref="BF75">$E75*IFERROR(IF($D75&lt;=BF$8,INDEX($E$32:$E$37,MATCH(BF$8,$AF$8:$CA$8,0)-MATCH($D75,$D$45:$D$92,0)+1,0),0),1)</f>
        <v>0</v>
      </c>
      <c r="BG75" s="444" cm="1">
        <f t="array" ref="BG75">$E75*IFERROR(IF($D75&lt;=BG$8,INDEX($E$32:$E$37,MATCH(BG$8,$AF$8:$CA$8,0)-MATCH($D75,$D$45:$D$92,0)+1,0),0),1)</f>
        <v>0</v>
      </c>
      <c r="BH75" s="444" cm="1">
        <f t="array" ref="BH75">$E75*IFERROR(IF($D75&lt;=BH$8,INDEX($E$32:$E$37,MATCH(BH$8,$AF$8:$CA$8,0)-MATCH($D75,$D$45:$D$92,0)+1,0),0),1)</f>
        <v>0</v>
      </c>
      <c r="BI75" s="444" cm="1">
        <f t="array" ref="BI75">$E75*IFERROR(IF($D75&lt;=BI$8,INDEX($E$32:$E$37,MATCH(BI$8,$AF$8:$CA$8,0)-MATCH($D75,$D$45:$D$92,0)+1,0),0),1)</f>
        <v>0</v>
      </c>
      <c r="BJ75" s="444" cm="1">
        <f t="array" ref="BJ75">$E75*IFERROR(IF($D75&lt;=BJ$8,INDEX($E$32:$E$37,MATCH(BJ$8,$AF$8:$CA$8,0)-MATCH($D75,$D$45:$D$92,0)+1,0),0),1)</f>
        <v>0</v>
      </c>
      <c r="BK75" s="444" cm="1">
        <f t="array" ref="BK75">$E75*IFERROR(IF($D75&lt;=BK$8,INDEX($E$32:$E$37,MATCH(BK$8,$AF$8:$CA$8,0)-MATCH($D75,$D$45:$D$92,0)+1,0),0),1)</f>
        <v>0</v>
      </c>
      <c r="BL75" s="444" cm="1">
        <f t="array" ref="BL75">$E75*IFERROR(IF($D75&lt;=BL$8,INDEX($E$32:$E$37,MATCH(BL$8,$AF$8:$CA$8,0)-MATCH($D75,$D$45:$D$92,0)+1,0),0),1)</f>
        <v>0</v>
      </c>
      <c r="BM75" s="444" cm="1">
        <f t="array" ref="BM75">$E75*IFERROR(IF($D75&lt;=BM$8,INDEX($E$32:$E$37,MATCH(BM$8,$AF$8:$CA$8,0)-MATCH($D75,$D$45:$D$92,0)+1,0),0),1)</f>
        <v>0</v>
      </c>
      <c r="BN75" s="444" cm="1">
        <f t="array" ref="BN75">$E75*IFERROR(IF($D75&lt;=BN$8,INDEX($E$32:$E$37,MATCH(BN$8,$AF$8:$CA$8,0)-MATCH($D75,$D$45:$D$92,0)+1,0),0),1)</f>
        <v>0</v>
      </c>
      <c r="BO75" s="444" cm="1">
        <f t="array" ref="BO75">$E75*IFERROR(IF($D75&lt;=BO$8,INDEX($E$32:$E$37,MATCH(BO$8,$AF$8:$CA$8,0)-MATCH($D75,$D$45:$D$92,0)+1,0),0),1)</f>
        <v>0</v>
      </c>
      <c r="BP75" s="444" cm="1">
        <f t="array" ref="BP75">$E75*IFERROR(IF($D75&lt;=BP$8,INDEX($E$32:$E$37,MATCH(BP$8,$AF$8:$CA$8,0)-MATCH($D75,$D$45:$D$92,0)+1,0),0),1)</f>
        <v>0</v>
      </c>
      <c r="BQ75" s="444" cm="1">
        <f t="array" ref="BQ75">$E75*IFERROR(IF($D75&lt;=BQ$8,INDEX($E$32:$E$37,MATCH(BQ$8,$AF$8:$CA$8,0)-MATCH($D75,$D$45:$D$92,0)+1,0),0),1)</f>
        <v>0</v>
      </c>
      <c r="BR75" s="444" cm="1">
        <f t="array" ref="BR75">$E75*IFERROR(IF($D75&lt;=BR$8,INDEX($E$32:$E$37,MATCH(BR$8,$AF$8:$CA$8,0)-MATCH($D75,$D$45:$D$92,0)+1,0),0),1)</f>
        <v>0</v>
      </c>
      <c r="BS75" s="444" cm="1">
        <f t="array" ref="BS75">$E75*IFERROR(IF($D75&lt;=BS$8,INDEX($E$32:$E$37,MATCH(BS$8,$AF$8:$CA$8,0)-MATCH($D75,$D$45:$D$92,0)+1,0),0),1)</f>
        <v>0</v>
      </c>
      <c r="BT75" s="444" cm="1">
        <f t="array" ref="BT75">$E75*IFERROR(IF($D75&lt;=BT$8,INDEX($E$32:$E$37,MATCH(BT$8,$AF$8:$CA$8,0)-MATCH($D75,$D$45:$D$92,0)+1,0),0),1)</f>
        <v>0</v>
      </c>
      <c r="BU75" s="444" cm="1">
        <f t="array" ref="BU75">$E75*IFERROR(IF($D75&lt;=BU$8,INDEX($E$32:$E$37,MATCH(BU$8,$AF$8:$CA$8,0)-MATCH($D75,$D$45:$D$92,0)+1,0),0),1)</f>
        <v>0</v>
      </c>
      <c r="BV75" s="444" cm="1">
        <f t="array" ref="BV75">$E75*IFERROR(IF($D75&lt;=BV$8,INDEX($E$32:$E$37,MATCH(BV$8,$AF$8:$CA$8,0)-MATCH($D75,$D$45:$D$92,0)+1,0),0),1)</f>
        <v>0</v>
      </c>
      <c r="BW75" s="444" cm="1">
        <f t="array" ref="BW75">$E75*IFERROR(IF($D75&lt;=BW$8,INDEX($E$32:$E$37,MATCH(BW$8,$AF$8:$CA$8,0)-MATCH($D75,$D$45:$D$92,0)+1,0),0),1)</f>
        <v>0</v>
      </c>
      <c r="BX75" s="444" cm="1">
        <f t="array" ref="BX75">$E75*IFERROR(IF($D75&lt;=BX$8,INDEX($E$32:$E$37,MATCH(BX$8,$AF$8:$CA$8,0)-MATCH($D75,$D$45:$D$92,0)+1,0),0),1)</f>
        <v>0</v>
      </c>
      <c r="BY75" s="444" cm="1">
        <f t="array" ref="BY75">$E75*IFERROR(IF($D75&lt;=BY$8,INDEX($E$32:$E$37,MATCH(BY$8,$AF$8:$CA$8,0)-MATCH($D75,$D$45:$D$92,0)+1,0),0),1)</f>
        <v>0</v>
      </c>
      <c r="BZ75" s="444" cm="1">
        <f t="array" ref="BZ75">$E75*IFERROR(IF($D75&lt;=BZ$8,INDEX($E$32:$E$37,MATCH(BZ$8,$AF$8:$CA$8,0)-MATCH($D75,$D$45:$D$92,0)+1,0),0),1)</f>
        <v>0</v>
      </c>
      <c r="CA75" s="444" cm="1">
        <f t="array" ref="CA75">$E75*IFERROR(IF($D75&lt;=CA$8,INDEX($E$32:$E$37,MATCH(CA$8,$AF$8:$CA$8,0)-MATCH($D75,$D$45:$D$92,0)+1,0),0),1)</f>
        <v>0</v>
      </c>
    </row>
    <row r="76" spans="3:79" ht="21" hidden="1" customHeight="1" outlineLevel="3">
      <c r="D76" s="374">
        <f t="shared" si="21"/>
        <v>45900</v>
      </c>
      <c r="E76" s="446" cm="1">
        <f t="array" ref="E76">INDEX($AF$41:$CA$41,0,MATCH($D76,$AF$8:$CA$8,0))</f>
        <v>0</v>
      </c>
      <c r="G76" s="434"/>
      <c r="H76" s="445">
        <f t="shared" si="23"/>
        <v>0</v>
      </c>
      <c r="I76" s="445">
        <f t="shared" si="23"/>
        <v>0</v>
      </c>
      <c r="J76" s="445">
        <f t="shared" si="23"/>
        <v>0</v>
      </c>
      <c r="K76" s="445">
        <f t="shared" si="23"/>
        <v>0</v>
      </c>
      <c r="L76" s="442"/>
      <c r="M76" s="431"/>
      <c r="N76" s="445">
        <f t="shared" si="24"/>
        <v>0</v>
      </c>
      <c r="O76" s="445">
        <f t="shared" si="24"/>
        <v>0</v>
      </c>
      <c r="P76" s="445">
        <f t="shared" si="24"/>
        <v>0</v>
      </c>
      <c r="Q76" s="445">
        <f t="shared" si="24"/>
        <v>0</v>
      </c>
      <c r="R76" s="445">
        <f t="shared" si="24"/>
        <v>0</v>
      </c>
      <c r="S76" s="445">
        <f t="shared" si="24"/>
        <v>0</v>
      </c>
      <c r="T76" s="445">
        <f t="shared" si="24"/>
        <v>0</v>
      </c>
      <c r="U76" s="445">
        <f t="shared" si="24"/>
        <v>0</v>
      </c>
      <c r="V76" s="445">
        <f t="shared" si="24"/>
        <v>0</v>
      </c>
      <c r="W76" s="445">
        <f t="shared" si="24"/>
        <v>0</v>
      </c>
      <c r="X76" s="445">
        <f t="shared" si="24"/>
        <v>0</v>
      </c>
      <c r="Y76" s="445">
        <f t="shared" si="24"/>
        <v>0</v>
      </c>
      <c r="Z76" s="445">
        <f t="shared" si="24"/>
        <v>0</v>
      </c>
      <c r="AA76" s="445">
        <f t="shared" si="24"/>
        <v>0</v>
      </c>
      <c r="AB76" s="445">
        <f t="shared" si="24"/>
        <v>0</v>
      </c>
      <c r="AC76" s="445">
        <f t="shared" si="24"/>
        <v>0</v>
      </c>
      <c r="AD76" s="442"/>
      <c r="AE76" s="431"/>
      <c r="AF76" s="444" cm="1">
        <f t="array" ref="AF76">$E76*IFERROR(IF($D76&lt;=AF$8,INDEX($E$32:$E$37,MATCH(AF$8,$AF$8:$CA$8,0)-MATCH($D76,$D$45:$D$92,0)+1,0),0),1)</f>
        <v>0</v>
      </c>
      <c r="AG76" s="444" cm="1">
        <f t="array" ref="AG76">$E76*IFERROR(IF($D76&lt;=AG$8,INDEX($E$32:$E$37,MATCH(AG$8,$AF$8:$CA$8,0)-MATCH($D76,$D$45:$D$92,0)+1,0),0),1)</f>
        <v>0</v>
      </c>
      <c r="AH76" s="444" cm="1">
        <f t="array" ref="AH76">$E76*IFERROR(IF($D76&lt;=AH$8,INDEX($E$32:$E$37,MATCH(AH$8,$AF$8:$CA$8,0)-MATCH($D76,$D$45:$D$92,0)+1,0),0),1)</f>
        <v>0</v>
      </c>
      <c r="AI76" s="444" cm="1">
        <f t="array" ref="AI76">$E76*IFERROR(IF($D76&lt;=AI$8,INDEX($E$32:$E$37,MATCH(AI$8,$AF$8:$CA$8,0)-MATCH($D76,$D$45:$D$92,0)+1,0),0),1)</f>
        <v>0</v>
      </c>
      <c r="AJ76" s="444" cm="1">
        <f t="array" ref="AJ76">$E76*IFERROR(IF($D76&lt;=AJ$8,INDEX($E$32:$E$37,MATCH(AJ$8,$AF$8:$CA$8,0)-MATCH($D76,$D$45:$D$92,0)+1,0),0),1)</f>
        <v>0</v>
      </c>
      <c r="AK76" s="444" cm="1">
        <f t="array" ref="AK76">$E76*IFERROR(IF($D76&lt;=AK$8,INDEX($E$32:$E$37,MATCH(AK$8,$AF$8:$CA$8,0)-MATCH($D76,$D$45:$D$92,0)+1,0),0),1)</f>
        <v>0</v>
      </c>
      <c r="AL76" s="444" cm="1">
        <f t="array" ref="AL76">$E76*IFERROR(IF($D76&lt;=AL$8,INDEX($E$32:$E$37,MATCH(AL$8,$AF$8:$CA$8,0)-MATCH($D76,$D$45:$D$92,0)+1,0),0),1)</f>
        <v>0</v>
      </c>
      <c r="AM76" s="444" cm="1">
        <f t="array" ref="AM76">$E76*IFERROR(IF($D76&lt;=AM$8,INDEX($E$32:$E$37,MATCH(AM$8,$AF$8:$CA$8,0)-MATCH($D76,$D$45:$D$92,0)+1,0),0),1)</f>
        <v>0</v>
      </c>
      <c r="AN76" s="444" cm="1">
        <f t="array" ref="AN76">$E76*IFERROR(IF($D76&lt;=AN$8,INDEX($E$32:$E$37,MATCH(AN$8,$AF$8:$CA$8,0)-MATCH($D76,$D$45:$D$92,0)+1,0),0),1)</f>
        <v>0</v>
      </c>
      <c r="AO76" s="444" cm="1">
        <f t="array" ref="AO76">$E76*IFERROR(IF($D76&lt;=AO$8,INDEX($E$32:$E$37,MATCH(AO$8,$AF$8:$CA$8,0)-MATCH($D76,$D$45:$D$92,0)+1,0),0),1)</f>
        <v>0</v>
      </c>
      <c r="AP76" s="444" cm="1">
        <f t="array" ref="AP76">$E76*IFERROR(IF($D76&lt;=AP$8,INDEX($E$32:$E$37,MATCH(AP$8,$AF$8:$CA$8,0)-MATCH($D76,$D$45:$D$92,0)+1,0),0),1)</f>
        <v>0</v>
      </c>
      <c r="AQ76" s="444" cm="1">
        <f t="array" ref="AQ76">$E76*IFERROR(IF($D76&lt;=AQ$8,INDEX($E$32:$E$37,MATCH(AQ$8,$AF$8:$CA$8,0)-MATCH($D76,$D$45:$D$92,0)+1,0),0),1)</f>
        <v>0</v>
      </c>
      <c r="AR76" s="444" cm="1">
        <f t="array" ref="AR76">$E76*IFERROR(IF($D76&lt;=AR$8,INDEX($E$32:$E$37,MATCH(AR$8,$AF$8:$CA$8,0)-MATCH($D76,$D$45:$D$92,0)+1,0),0),1)</f>
        <v>0</v>
      </c>
      <c r="AS76" s="444" cm="1">
        <f t="array" ref="AS76">$E76*IFERROR(IF($D76&lt;=AS$8,INDEX($E$32:$E$37,MATCH(AS$8,$AF$8:$CA$8,0)-MATCH($D76,$D$45:$D$92,0)+1,0),0),1)</f>
        <v>0</v>
      </c>
      <c r="AT76" s="444" cm="1">
        <f t="array" ref="AT76">$E76*IFERROR(IF($D76&lt;=AT$8,INDEX($E$32:$E$37,MATCH(AT$8,$AF$8:$CA$8,0)-MATCH($D76,$D$45:$D$92,0)+1,0),0),1)</f>
        <v>0</v>
      </c>
      <c r="AU76" s="444" cm="1">
        <f t="array" ref="AU76">$E76*IFERROR(IF($D76&lt;=AU$8,INDEX($E$32:$E$37,MATCH(AU$8,$AF$8:$CA$8,0)-MATCH($D76,$D$45:$D$92,0)+1,0),0),1)</f>
        <v>0</v>
      </c>
      <c r="AV76" s="444" cm="1">
        <f t="array" ref="AV76">$E76*IFERROR(IF($D76&lt;=AV$8,INDEX($E$32:$E$37,MATCH(AV$8,$AF$8:$CA$8,0)-MATCH($D76,$D$45:$D$92,0)+1,0),0),1)</f>
        <v>0</v>
      </c>
      <c r="AW76" s="444" cm="1">
        <f t="array" ref="AW76">$E76*IFERROR(IF($D76&lt;=AW$8,INDEX($E$32:$E$37,MATCH(AW$8,$AF$8:$CA$8,0)-MATCH($D76,$D$45:$D$92,0)+1,0),0),1)</f>
        <v>0</v>
      </c>
      <c r="AX76" s="444" cm="1">
        <f t="array" ref="AX76">$E76*IFERROR(IF($D76&lt;=AX$8,INDEX($E$32:$E$37,MATCH(AX$8,$AF$8:$CA$8,0)-MATCH($D76,$D$45:$D$92,0)+1,0),0),1)</f>
        <v>0</v>
      </c>
      <c r="AY76" s="444" cm="1">
        <f t="array" ref="AY76">$E76*IFERROR(IF($D76&lt;=AY$8,INDEX($E$32:$E$37,MATCH(AY$8,$AF$8:$CA$8,0)-MATCH($D76,$D$45:$D$92,0)+1,0),0),1)</f>
        <v>0</v>
      </c>
      <c r="AZ76" s="444" cm="1">
        <f t="array" ref="AZ76">$E76*IFERROR(IF($D76&lt;=AZ$8,INDEX($E$32:$E$37,MATCH(AZ$8,$AF$8:$CA$8,0)-MATCH($D76,$D$45:$D$92,0)+1,0),0),1)</f>
        <v>0</v>
      </c>
      <c r="BA76" s="444" cm="1">
        <f t="array" ref="BA76">$E76*IFERROR(IF($D76&lt;=BA$8,INDEX($E$32:$E$37,MATCH(BA$8,$AF$8:$CA$8,0)-MATCH($D76,$D$45:$D$92,0)+1,0),0),1)</f>
        <v>0</v>
      </c>
      <c r="BB76" s="444" cm="1">
        <f t="array" ref="BB76">$E76*IFERROR(IF($D76&lt;=BB$8,INDEX($E$32:$E$37,MATCH(BB$8,$AF$8:$CA$8,0)-MATCH($D76,$D$45:$D$92,0)+1,0),0),1)</f>
        <v>0</v>
      </c>
      <c r="BC76" s="444" cm="1">
        <f t="array" ref="BC76">$E76*IFERROR(IF($D76&lt;=BC$8,INDEX($E$32:$E$37,MATCH(BC$8,$AF$8:$CA$8,0)-MATCH($D76,$D$45:$D$92,0)+1,0),0),1)</f>
        <v>0</v>
      </c>
      <c r="BD76" s="444" cm="1">
        <f t="array" ref="BD76">$E76*IFERROR(IF($D76&lt;=BD$8,INDEX($E$32:$E$37,MATCH(BD$8,$AF$8:$CA$8,0)-MATCH($D76,$D$45:$D$92,0)+1,0),0),1)</f>
        <v>0</v>
      </c>
      <c r="BE76" s="444" cm="1">
        <f t="array" ref="BE76">$E76*IFERROR(IF($D76&lt;=BE$8,INDEX($E$32:$E$37,MATCH(BE$8,$AF$8:$CA$8,0)-MATCH($D76,$D$45:$D$92,0)+1,0),0),1)</f>
        <v>0</v>
      </c>
      <c r="BF76" s="444" cm="1">
        <f t="array" ref="BF76">$E76*IFERROR(IF($D76&lt;=BF$8,INDEX($E$32:$E$37,MATCH(BF$8,$AF$8:$CA$8,0)-MATCH($D76,$D$45:$D$92,0)+1,0),0),1)</f>
        <v>0</v>
      </c>
      <c r="BG76" s="444" cm="1">
        <f t="array" ref="BG76">$E76*IFERROR(IF($D76&lt;=BG$8,INDEX($E$32:$E$37,MATCH(BG$8,$AF$8:$CA$8,0)-MATCH($D76,$D$45:$D$92,0)+1,0),0),1)</f>
        <v>0</v>
      </c>
      <c r="BH76" s="444" cm="1">
        <f t="array" ref="BH76">$E76*IFERROR(IF($D76&lt;=BH$8,INDEX($E$32:$E$37,MATCH(BH$8,$AF$8:$CA$8,0)-MATCH($D76,$D$45:$D$92,0)+1,0),0),1)</f>
        <v>0</v>
      </c>
      <c r="BI76" s="444" cm="1">
        <f t="array" ref="BI76">$E76*IFERROR(IF($D76&lt;=BI$8,INDEX($E$32:$E$37,MATCH(BI$8,$AF$8:$CA$8,0)-MATCH($D76,$D$45:$D$92,0)+1,0),0),1)</f>
        <v>0</v>
      </c>
      <c r="BJ76" s="444" cm="1">
        <f t="array" ref="BJ76">$E76*IFERROR(IF($D76&lt;=BJ$8,INDEX($E$32:$E$37,MATCH(BJ$8,$AF$8:$CA$8,0)-MATCH($D76,$D$45:$D$92,0)+1,0),0),1)</f>
        <v>0</v>
      </c>
      <c r="BK76" s="444" cm="1">
        <f t="array" ref="BK76">$E76*IFERROR(IF($D76&lt;=BK$8,INDEX($E$32:$E$37,MATCH(BK$8,$AF$8:$CA$8,0)-MATCH($D76,$D$45:$D$92,0)+1,0),0),1)</f>
        <v>0</v>
      </c>
      <c r="BL76" s="444" cm="1">
        <f t="array" ref="BL76">$E76*IFERROR(IF($D76&lt;=BL$8,INDEX($E$32:$E$37,MATCH(BL$8,$AF$8:$CA$8,0)-MATCH($D76,$D$45:$D$92,0)+1,0),0),1)</f>
        <v>0</v>
      </c>
      <c r="BM76" s="444" cm="1">
        <f t="array" ref="BM76">$E76*IFERROR(IF($D76&lt;=BM$8,INDEX($E$32:$E$37,MATCH(BM$8,$AF$8:$CA$8,0)-MATCH($D76,$D$45:$D$92,0)+1,0),0),1)</f>
        <v>0</v>
      </c>
      <c r="BN76" s="444" cm="1">
        <f t="array" ref="BN76">$E76*IFERROR(IF($D76&lt;=BN$8,INDEX($E$32:$E$37,MATCH(BN$8,$AF$8:$CA$8,0)-MATCH($D76,$D$45:$D$92,0)+1,0),0),1)</f>
        <v>0</v>
      </c>
      <c r="BO76" s="444" cm="1">
        <f t="array" ref="BO76">$E76*IFERROR(IF($D76&lt;=BO$8,INDEX($E$32:$E$37,MATCH(BO$8,$AF$8:$CA$8,0)-MATCH($D76,$D$45:$D$92,0)+1,0),0),1)</f>
        <v>0</v>
      </c>
      <c r="BP76" s="444" cm="1">
        <f t="array" ref="BP76">$E76*IFERROR(IF($D76&lt;=BP$8,INDEX($E$32:$E$37,MATCH(BP$8,$AF$8:$CA$8,0)-MATCH($D76,$D$45:$D$92,0)+1,0),0),1)</f>
        <v>0</v>
      </c>
      <c r="BQ76" s="444" cm="1">
        <f t="array" ref="BQ76">$E76*IFERROR(IF($D76&lt;=BQ$8,INDEX($E$32:$E$37,MATCH(BQ$8,$AF$8:$CA$8,0)-MATCH($D76,$D$45:$D$92,0)+1,0),0),1)</f>
        <v>0</v>
      </c>
      <c r="BR76" s="444" cm="1">
        <f t="array" ref="BR76">$E76*IFERROR(IF($D76&lt;=BR$8,INDEX($E$32:$E$37,MATCH(BR$8,$AF$8:$CA$8,0)-MATCH($D76,$D$45:$D$92,0)+1,0),0),1)</f>
        <v>0</v>
      </c>
      <c r="BS76" s="444" cm="1">
        <f t="array" ref="BS76">$E76*IFERROR(IF($D76&lt;=BS$8,INDEX($E$32:$E$37,MATCH(BS$8,$AF$8:$CA$8,0)-MATCH($D76,$D$45:$D$92,0)+1,0),0),1)</f>
        <v>0</v>
      </c>
      <c r="BT76" s="444" cm="1">
        <f t="array" ref="BT76">$E76*IFERROR(IF($D76&lt;=BT$8,INDEX($E$32:$E$37,MATCH(BT$8,$AF$8:$CA$8,0)-MATCH($D76,$D$45:$D$92,0)+1,0),0),1)</f>
        <v>0</v>
      </c>
      <c r="BU76" s="444" cm="1">
        <f t="array" ref="BU76">$E76*IFERROR(IF($D76&lt;=BU$8,INDEX($E$32:$E$37,MATCH(BU$8,$AF$8:$CA$8,0)-MATCH($D76,$D$45:$D$92,0)+1,0),0),1)</f>
        <v>0</v>
      </c>
      <c r="BV76" s="444" cm="1">
        <f t="array" ref="BV76">$E76*IFERROR(IF($D76&lt;=BV$8,INDEX($E$32:$E$37,MATCH(BV$8,$AF$8:$CA$8,0)-MATCH($D76,$D$45:$D$92,0)+1,0),0),1)</f>
        <v>0</v>
      </c>
      <c r="BW76" s="444" cm="1">
        <f t="array" ref="BW76">$E76*IFERROR(IF($D76&lt;=BW$8,INDEX($E$32:$E$37,MATCH(BW$8,$AF$8:$CA$8,0)-MATCH($D76,$D$45:$D$92,0)+1,0),0),1)</f>
        <v>0</v>
      </c>
      <c r="BX76" s="444" cm="1">
        <f t="array" ref="BX76">$E76*IFERROR(IF($D76&lt;=BX$8,INDEX($E$32:$E$37,MATCH(BX$8,$AF$8:$CA$8,0)-MATCH($D76,$D$45:$D$92,0)+1,0),0),1)</f>
        <v>0</v>
      </c>
      <c r="BY76" s="444" cm="1">
        <f t="array" ref="BY76">$E76*IFERROR(IF($D76&lt;=BY$8,INDEX($E$32:$E$37,MATCH(BY$8,$AF$8:$CA$8,0)-MATCH($D76,$D$45:$D$92,0)+1,0),0),1)</f>
        <v>0</v>
      </c>
      <c r="BZ76" s="444" cm="1">
        <f t="array" ref="BZ76">$E76*IFERROR(IF($D76&lt;=BZ$8,INDEX($E$32:$E$37,MATCH(BZ$8,$AF$8:$CA$8,0)-MATCH($D76,$D$45:$D$92,0)+1,0),0),1)</f>
        <v>0</v>
      </c>
      <c r="CA76" s="444" cm="1">
        <f t="array" ref="CA76">$E76*IFERROR(IF($D76&lt;=CA$8,INDEX($E$32:$E$37,MATCH(CA$8,$AF$8:$CA$8,0)-MATCH($D76,$D$45:$D$92,0)+1,0),0),1)</f>
        <v>0</v>
      </c>
    </row>
    <row r="77" spans="3:79" ht="21" hidden="1" customHeight="1" outlineLevel="3">
      <c r="D77" s="374">
        <f t="shared" si="21"/>
        <v>45930</v>
      </c>
      <c r="E77" s="446" cm="1">
        <f t="array" ref="E77">INDEX($AF$41:$CA$41,0,MATCH($D77,$AF$8:$CA$8,0))</f>
        <v>0</v>
      </c>
      <c r="G77" s="431"/>
      <c r="H77" s="445">
        <f t="shared" si="23"/>
        <v>0</v>
      </c>
      <c r="I77" s="445">
        <f t="shared" si="23"/>
        <v>0</v>
      </c>
      <c r="J77" s="445">
        <f t="shared" si="23"/>
        <v>0</v>
      </c>
      <c r="K77" s="445">
        <f t="shared" si="23"/>
        <v>0</v>
      </c>
      <c r="L77" s="442"/>
      <c r="M77" s="434"/>
      <c r="N77" s="445">
        <f t="shared" si="24"/>
        <v>0</v>
      </c>
      <c r="O77" s="445">
        <f t="shared" si="24"/>
        <v>0</v>
      </c>
      <c r="P77" s="445">
        <f t="shared" si="24"/>
        <v>0</v>
      </c>
      <c r="Q77" s="445">
        <f t="shared" si="24"/>
        <v>0</v>
      </c>
      <c r="R77" s="445">
        <f t="shared" si="24"/>
        <v>0</v>
      </c>
      <c r="S77" s="445">
        <f t="shared" si="24"/>
        <v>0</v>
      </c>
      <c r="T77" s="445">
        <f t="shared" si="24"/>
        <v>0</v>
      </c>
      <c r="U77" s="445">
        <f t="shared" si="24"/>
        <v>0</v>
      </c>
      <c r="V77" s="445">
        <f t="shared" si="24"/>
        <v>0</v>
      </c>
      <c r="W77" s="445">
        <f t="shared" si="24"/>
        <v>0</v>
      </c>
      <c r="X77" s="445">
        <f t="shared" si="24"/>
        <v>0</v>
      </c>
      <c r="Y77" s="445">
        <f t="shared" si="24"/>
        <v>0</v>
      </c>
      <c r="Z77" s="445">
        <f t="shared" si="24"/>
        <v>0</v>
      </c>
      <c r="AA77" s="445">
        <f t="shared" si="24"/>
        <v>0</v>
      </c>
      <c r="AB77" s="445">
        <f t="shared" si="24"/>
        <v>0</v>
      </c>
      <c r="AC77" s="445">
        <f t="shared" si="24"/>
        <v>0</v>
      </c>
      <c r="AD77" s="442"/>
      <c r="AE77" s="434"/>
      <c r="AF77" s="444" cm="1">
        <f t="array" ref="AF77">$E77*IFERROR(IF($D77&lt;=AF$8,INDEX($E$32:$E$37,MATCH(AF$8,$AF$8:$CA$8,0)-MATCH($D77,$D$45:$D$92,0)+1,0),0),1)</f>
        <v>0</v>
      </c>
      <c r="AG77" s="444" cm="1">
        <f t="array" ref="AG77">$E77*IFERROR(IF($D77&lt;=AG$8,INDEX($E$32:$E$37,MATCH(AG$8,$AF$8:$CA$8,0)-MATCH($D77,$D$45:$D$92,0)+1,0),0),1)</f>
        <v>0</v>
      </c>
      <c r="AH77" s="444" cm="1">
        <f t="array" ref="AH77">$E77*IFERROR(IF($D77&lt;=AH$8,INDEX($E$32:$E$37,MATCH(AH$8,$AF$8:$CA$8,0)-MATCH($D77,$D$45:$D$92,0)+1,0),0),1)</f>
        <v>0</v>
      </c>
      <c r="AI77" s="444" cm="1">
        <f t="array" ref="AI77">$E77*IFERROR(IF($D77&lt;=AI$8,INDEX($E$32:$E$37,MATCH(AI$8,$AF$8:$CA$8,0)-MATCH($D77,$D$45:$D$92,0)+1,0),0),1)</f>
        <v>0</v>
      </c>
      <c r="AJ77" s="444" cm="1">
        <f t="array" ref="AJ77">$E77*IFERROR(IF($D77&lt;=AJ$8,INDEX($E$32:$E$37,MATCH(AJ$8,$AF$8:$CA$8,0)-MATCH($D77,$D$45:$D$92,0)+1,0),0),1)</f>
        <v>0</v>
      </c>
      <c r="AK77" s="444" cm="1">
        <f t="array" ref="AK77">$E77*IFERROR(IF($D77&lt;=AK$8,INDEX($E$32:$E$37,MATCH(AK$8,$AF$8:$CA$8,0)-MATCH($D77,$D$45:$D$92,0)+1,0),0),1)</f>
        <v>0</v>
      </c>
      <c r="AL77" s="444" cm="1">
        <f t="array" ref="AL77">$E77*IFERROR(IF($D77&lt;=AL$8,INDEX($E$32:$E$37,MATCH(AL$8,$AF$8:$CA$8,0)-MATCH($D77,$D$45:$D$92,0)+1,0),0),1)</f>
        <v>0</v>
      </c>
      <c r="AM77" s="444" cm="1">
        <f t="array" ref="AM77">$E77*IFERROR(IF($D77&lt;=AM$8,INDEX($E$32:$E$37,MATCH(AM$8,$AF$8:$CA$8,0)-MATCH($D77,$D$45:$D$92,0)+1,0),0),1)</f>
        <v>0</v>
      </c>
      <c r="AN77" s="444" cm="1">
        <f t="array" ref="AN77">$E77*IFERROR(IF($D77&lt;=AN$8,INDEX($E$32:$E$37,MATCH(AN$8,$AF$8:$CA$8,0)-MATCH($D77,$D$45:$D$92,0)+1,0),0),1)</f>
        <v>0</v>
      </c>
      <c r="AO77" s="444" cm="1">
        <f t="array" ref="AO77">$E77*IFERROR(IF($D77&lt;=AO$8,INDEX($E$32:$E$37,MATCH(AO$8,$AF$8:$CA$8,0)-MATCH($D77,$D$45:$D$92,0)+1,0),0),1)</f>
        <v>0</v>
      </c>
      <c r="AP77" s="444" cm="1">
        <f t="array" ref="AP77">$E77*IFERROR(IF($D77&lt;=AP$8,INDEX($E$32:$E$37,MATCH(AP$8,$AF$8:$CA$8,0)-MATCH($D77,$D$45:$D$92,0)+1,0),0),1)</f>
        <v>0</v>
      </c>
      <c r="AQ77" s="444" cm="1">
        <f t="array" ref="AQ77">$E77*IFERROR(IF($D77&lt;=AQ$8,INDEX($E$32:$E$37,MATCH(AQ$8,$AF$8:$CA$8,0)-MATCH($D77,$D$45:$D$92,0)+1,0),0),1)</f>
        <v>0</v>
      </c>
      <c r="AR77" s="444" cm="1">
        <f t="array" ref="AR77">$E77*IFERROR(IF($D77&lt;=AR$8,INDEX($E$32:$E$37,MATCH(AR$8,$AF$8:$CA$8,0)-MATCH($D77,$D$45:$D$92,0)+1,0),0),1)</f>
        <v>0</v>
      </c>
      <c r="AS77" s="444" cm="1">
        <f t="array" ref="AS77">$E77*IFERROR(IF($D77&lt;=AS$8,INDEX($E$32:$E$37,MATCH(AS$8,$AF$8:$CA$8,0)-MATCH($D77,$D$45:$D$92,0)+1,0),0),1)</f>
        <v>0</v>
      </c>
      <c r="AT77" s="444" cm="1">
        <f t="array" ref="AT77">$E77*IFERROR(IF($D77&lt;=AT$8,INDEX($E$32:$E$37,MATCH(AT$8,$AF$8:$CA$8,0)-MATCH($D77,$D$45:$D$92,0)+1,0),0),1)</f>
        <v>0</v>
      </c>
      <c r="AU77" s="444" cm="1">
        <f t="array" ref="AU77">$E77*IFERROR(IF($D77&lt;=AU$8,INDEX($E$32:$E$37,MATCH(AU$8,$AF$8:$CA$8,0)-MATCH($D77,$D$45:$D$92,0)+1,0),0),1)</f>
        <v>0</v>
      </c>
      <c r="AV77" s="444" cm="1">
        <f t="array" ref="AV77">$E77*IFERROR(IF($D77&lt;=AV$8,INDEX($E$32:$E$37,MATCH(AV$8,$AF$8:$CA$8,0)-MATCH($D77,$D$45:$D$92,0)+1,0),0),1)</f>
        <v>0</v>
      </c>
      <c r="AW77" s="444" cm="1">
        <f t="array" ref="AW77">$E77*IFERROR(IF($D77&lt;=AW$8,INDEX($E$32:$E$37,MATCH(AW$8,$AF$8:$CA$8,0)-MATCH($D77,$D$45:$D$92,0)+1,0),0),1)</f>
        <v>0</v>
      </c>
      <c r="AX77" s="444" cm="1">
        <f t="array" ref="AX77">$E77*IFERROR(IF($D77&lt;=AX$8,INDEX($E$32:$E$37,MATCH(AX$8,$AF$8:$CA$8,0)-MATCH($D77,$D$45:$D$92,0)+1,0),0),1)</f>
        <v>0</v>
      </c>
      <c r="AY77" s="444" cm="1">
        <f t="array" ref="AY77">$E77*IFERROR(IF($D77&lt;=AY$8,INDEX($E$32:$E$37,MATCH(AY$8,$AF$8:$CA$8,0)-MATCH($D77,$D$45:$D$92,0)+1,0),0),1)</f>
        <v>0</v>
      </c>
      <c r="AZ77" s="444" cm="1">
        <f t="array" ref="AZ77">$E77*IFERROR(IF($D77&lt;=AZ$8,INDEX($E$32:$E$37,MATCH(AZ$8,$AF$8:$CA$8,0)-MATCH($D77,$D$45:$D$92,0)+1,0),0),1)</f>
        <v>0</v>
      </c>
      <c r="BA77" s="444" cm="1">
        <f t="array" ref="BA77">$E77*IFERROR(IF($D77&lt;=BA$8,INDEX($E$32:$E$37,MATCH(BA$8,$AF$8:$CA$8,0)-MATCH($D77,$D$45:$D$92,0)+1,0),0),1)</f>
        <v>0</v>
      </c>
      <c r="BB77" s="444" cm="1">
        <f t="array" ref="BB77">$E77*IFERROR(IF($D77&lt;=BB$8,INDEX($E$32:$E$37,MATCH(BB$8,$AF$8:$CA$8,0)-MATCH($D77,$D$45:$D$92,0)+1,0),0),1)</f>
        <v>0</v>
      </c>
      <c r="BC77" s="444" cm="1">
        <f t="array" ref="BC77">$E77*IFERROR(IF($D77&lt;=BC$8,INDEX($E$32:$E$37,MATCH(BC$8,$AF$8:$CA$8,0)-MATCH($D77,$D$45:$D$92,0)+1,0),0),1)</f>
        <v>0</v>
      </c>
      <c r="BD77" s="444" cm="1">
        <f t="array" ref="BD77">$E77*IFERROR(IF($D77&lt;=BD$8,INDEX($E$32:$E$37,MATCH(BD$8,$AF$8:$CA$8,0)-MATCH($D77,$D$45:$D$92,0)+1,0),0),1)</f>
        <v>0</v>
      </c>
      <c r="BE77" s="444" cm="1">
        <f t="array" ref="BE77">$E77*IFERROR(IF($D77&lt;=BE$8,INDEX($E$32:$E$37,MATCH(BE$8,$AF$8:$CA$8,0)-MATCH($D77,$D$45:$D$92,0)+1,0),0),1)</f>
        <v>0</v>
      </c>
      <c r="BF77" s="444" cm="1">
        <f t="array" ref="BF77">$E77*IFERROR(IF($D77&lt;=BF$8,INDEX($E$32:$E$37,MATCH(BF$8,$AF$8:$CA$8,0)-MATCH($D77,$D$45:$D$92,0)+1,0),0),1)</f>
        <v>0</v>
      </c>
      <c r="BG77" s="444" cm="1">
        <f t="array" ref="BG77">$E77*IFERROR(IF($D77&lt;=BG$8,INDEX($E$32:$E$37,MATCH(BG$8,$AF$8:$CA$8,0)-MATCH($D77,$D$45:$D$92,0)+1,0),0),1)</f>
        <v>0</v>
      </c>
      <c r="BH77" s="444" cm="1">
        <f t="array" ref="BH77">$E77*IFERROR(IF($D77&lt;=BH$8,INDEX($E$32:$E$37,MATCH(BH$8,$AF$8:$CA$8,0)-MATCH($D77,$D$45:$D$92,0)+1,0),0),1)</f>
        <v>0</v>
      </c>
      <c r="BI77" s="444" cm="1">
        <f t="array" ref="BI77">$E77*IFERROR(IF($D77&lt;=BI$8,INDEX($E$32:$E$37,MATCH(BI$8,$AF$8:$CA$8,0)-MATCH($D77,$D$45:$D$92,0)+1,0),0),1)</f>
        <v>0</v>
      </c>
      <c r="BJ77" s="444" cm="1">
        <f t="array" ref="BJ77">$E77*IFERROR(IF($D77&lt;=BJ$8,INDEX($E$32:$E$37,MATCH(BJ$8,$AF$8:$CA$8,0)-MATCH($D77,$D$45:$D$92,0)+1,0),0),1)</f>
        <v>0</v>
      </c>
      <c r="BK77" s="444" cm="1">
        <f t="array" ref="BK77">$E77*IFERROR(IF($D77&lt;=BK$8,INDEX($E$32:$E$37,MATCH(BK$8,$AF$8:$CA$8,0)-MATCH($D77,$D$45:$D$92,0)+1,0),0),1)</f>
        <v>0</v>
      </c>
      <c r="BL77" s="444" cm="1">
        <f t="array" ref="BL77">$E77*IFERROR(IF($D77&lt;=BL$8,INDEX($E$32:$E$37,MATCH(BL$8,$AF$8:$CA$8,0)-MATCH($D77,$D$45:$D$92,0)+1,0),0),1)</f>
        <v>0</v>
      </c>
      <c r="BM77" s="444" cm="1">
        <f t="array" ref="BM77">$E77*IFERROR(IF($D77&lt;=BM$8,INDEX($E$32:$E$37,MATCH(BM$8,$AF$8:$CA$8,0)-MATCH($D77,$D$45:$D$92,0)+1,0),0),1)</f>
        <v>0</v>
      </c>
      <c r="BN77" s="444" cm="1">
        <f t="array" ref="BN77">$E77*IFERROR(IF($D77&lt;=BN$8,INDEX($E$32:$E$37,MATCH(BN$8,$AF$8:$CA$8,0)-MATCH($D77,$D$45:$D$92,0)+1,0),0),1)</f>
        <v>0</v>
      </c>
      <c r="BO77" s="444" cm="1">
        <f t="array" ref="BO77">$E77*IFERROR(IF($D77&lt;=BO$8,INDEX($E$32:$E$37,MATCH(BO$8,$AF$8:$CA$8,0)-MATCH($D77,$D$45:$D$92,0)+1,0),0),1)</f>
        <v>0</v>
      </c>
      <c r="BP77" s="444" cm="1">
        <f t="array" ref="BP77">$E77*IFERROR(IF($D77&lt;=BP$8,INDEX($E$32:$E$37,MATCH(BP$8,$AF$8:$CA$8,0)-MATCH($D77,$D$45:$D$92,0)+1,0),0),1)</f>
        <v>0</v>
      </c>
      <c r="BQ77" s="444" cm="1">
        <f t="array" ref="BQ77">$E77*IFERROR(IF($D77&lt;=BQ$8,INDEX($E$32:$E$37,MATCH(BQ$8,$AF$8:$CA$8,0)-MATCH($D77,$D$45:$D$92,0)+1,0),0),1)</f>
        <v>0</v>
      </c>
      <c r="BR77" s="444" cm="1">
        <f t="array" ref="BR77">$E77*IFERROR(IF($D77&lt;=BR$8,INDEX($E$32:$E$37,MATCH(BR$8,$AF$8:$CA$8,0)-MATCH($D77,$D$45:$D$92,0)+1,0),0),1)</f>
        <v>0</v>
      </c>
      <c r="BS77" s="444" cm="1">
        <f t="array" ref="BS77">$E77*IFERROR(IF($D77&lt;=BS$8,INDEX($E$32:$E$37,MATCH(BS$8,$AF$8:$CA$8,0)-MATCH($D77,$D$45:$D$92,0)+1,0),0),1)</f>
        <v>0</v>
      </c>
      <c r="BT77" s="444" cm="1">
        <f t="array" ref="BT77">$E77*IFERROR(IF($D77&lt;=BT$8,INDEX($E$32:$E$37,MATCH(BT$8,$AF$8:$CA$8,0)-MATCH($D77,$D$45:$D$92,0)+1,0),0),1)</f>
        <v>0</v>
      </c>
      <c r="BU77" s="444" cm="1">
        <f t="array" ref="BU77">$E77*IFERROR(IF($D77&lt;=BU$8,INDEX($E$32:$E$37,MATCH(BU$8,$AF$8:$CA$8,0)-MATCH($D77,$D$45:$D$92,0)+1,0),0),1)</f>
        <v>0</v>
      </c>
      <c r="BV77" s="444" cm="1">
        <f t="array" ref="BV77">$E77*IFERROR(IF($D77&lt;=BV$8,INDEX($E$32:$E$37,MATCH(BV$8,$AF$8:$CA$8,0)-MATCH($D77,$D$45:$D$92,0)+1,0),0),1)</f>
        <v>0</v>
      </c>
      <c r="BW77" s="444" cm="1">
        <f t="array" ref="BW77">$E77*IFERROR(IF($D77&lt;=BW$8,INDEX($E$32:$E$37,MATCH(BW$8,$AF$8:$CA$8,0)-MATCH($D77,$D$45:$D$92,0)+1,0),0),1)</f>
        <v>0</v>
      </c>
      <c r="BX77" s="444" cm="1">
        <f t="array" ref="BX77">$E77*IFERROR(IF($D77&lt;=BX$8,INDEX($E$32:$E$37,MATCH(BX$8,$AF$8:$CA$8,0)-MATCH($D77,$D$45:$D$92,0)+1,0),0),1)</f>
        <v>0</v>
      </c>
      <c r="BY77" s="444" cm="1">
        <f t="array" ref="BY77">$E77*IFERROR(IF($D77&lt;=BY$8,INDEX($E$32:$E$37,MATCH(BY$8,$AF$8:$CA$8,0)-MATCH($D77,$D$45:$D$92,0)+1,0),0),1)</f>
        <v>0</v>
      </c>
      <c r="BZ77" s="444" cm="1">
        <f t="array" ref="BZ77">$E77*IFERROR(IF($D77&lt;=BZ$8,INDEX($E$32:$E$37,MATCH(BZ$8,$AF$8:$CA$8,0)-MATCH($D77,$D$45:$D$92,0)+1,0),0),1)</f>
        <v>0</v>
      </c>
      <c r="CA77" s="444" cm="1">
        <f t="array" ref="CA77">$E77*IFERROR(IF($D77&lt;=CA$8,INDEX($E$32:$E$37,MATCH(CA$8,$AF$8:$CA$8,0)-MATCH($D77,$D$45:$D$92,0)+1,0),0),1)</f>
        <v>0</v>
      </c>
    </row>
    <row r="78" spans="3:79" ht="21" hidden="1" customHeight="1" outlineLevel="3">
      <c r="D78" s="374">
        <f t="shared" si="21"/>
        <v>45961</v>
      </c>
      <c r="E78" s="446" cm="1">
        <f t="array" ref="E78">INDEX($AF$41:$CA$41,0,MATCH($D78,$AF$8:$CA$8,0))</f>
        <v>0</v>
      </c>
      <c r="G78" s="434"/>
      <c r="H78" s="445">
        <f t="shared" si="23"/>
        <v>0</v>
      </c>
      <c r="I78" s="445">
        <f t="shared" si="23"/>
        <v>0</v>
      </c>
      <c r="J78" s="445">
        <f t="shared" si="23"/>
        <v>0</v>
      </c>
      <c r="K78" s="445">
        <f t="shared" si="23"/>
        <v>0</v>
      </c>
      <c r="L78" s="442"/>
      <c r="M78" s="431"/>
      <c r="N78" s="445">
        <f t="shared" si="24"/>
        <v>0</v>
      </c>
      <c r="O78" s="445">
        <f t="shared" si="24"/>
        <v>0</v>
      </c>
      <c r="P78" s="445">
        <f t="shared" si="24"/>
        <v>0</v>
      </c>
      <c r="Q78" s="445">
        <f t="shared" si="24"/>
        <v>0</v>
      </c>
      <c r="R78" s="445">
        <f t="shared" si="24"/>
        <v>0</v>
      </c>
      <c r="S78" s="445">
        <f t="shared" si="24"/>
        <v>0</v>
      </c>
      <c r="T78" s="445">
        <f t="shared" si="24"/>
        <v>0</v>
      </c>
      <c r="U78" s="445">
        <f t="shared" si="24"/>
        <v>0</v>
      </c>
      <c r="V78" s="445">
        <f t="shared" si="24"/>
        <v>0</v>
      </c>
      <c r="W78" s="445">
        <f t="shared" si="24"/>
        <v>0</v>
      </c>
      <c r="X78" s="445">
        <f t="shared" si="24"/>
        <v>0</v>
      </c>
      <c r="Y78" s="445">
        <f t="shared" si="24"/>
        <v>0</v>
      </c>
      <c r="Z78" s="445">
        <f t="shared" si="24"/>
        <v>0</v>
      </c>
      <c r="AA78" s="445">
        <f t="shared" si="24"/>
        <v>0</v>
      </c>
      <c r="AB78" s="445">
        <f t="shared" si="24"/>
        <v>0</v>
      </c>
      <c r="AC78" s="445">
        <f t="shared" si="24"/>
        <v>0</v>
      </c>
      <c r="AD78" s="442"/>
      <c r="AE78" s="431"/>
      <c r="AF78" s="444" cm="1">
        <f t="array" ref="AF78">$E78*IFERROR(IF($D78&lt;=AF$8,INDEX($E$32:$E$37,MATCH(AF$8,$AF$8:$CA$8,0)-MATCH($D78,$D$45:$D$92,0)+1,0),0),1)</f>
        <v>0</v>
      </c>
      <c r="AG78" s="444" cm="1">
        <f t="array" ref="AG78">$E78*IFERROR(IF($D78&lt;=AG$8,INDEX($E$32:$E$37,MATCH(AG$8,$AF$8:$CA$8,0)-MATCH($D78,$D$45:$D$92,0)+1,0),0),1)</f>
        <v>0</v>
      </c>
      <c r="AH78" s="444" cm="1">
        <f t="array" ref="AH78">$E78*IFERROR(IF($D78&lt;=AH$8,INDEX($E$32:$E$37,MATCH(AH$8,$AF$8:$CA$8,0)-MATCH($D78,$D$45:$D$92,0)+1,0),0),1)</f>
        <v>0</v>
      </c>
      <c r="AI78" s="444" cm="1">
        <f t="array" ref="AI78">$E78*IFERROR(IF($D78&lt;=AI$8,INDEX($E$32:$E$37,MATCH(AI$8,$AF$8:$CA$8,0)-MATCH($D78,$D$45:$D$92,0)+1,0),0),1)</f>
        <v>0</v>
      </c>
      <c r="AJ78" s="444" cm="1">
        <f t="array" ref="AJ78">$E78*IFERROR(IF($D78&lt;=AJ$8,INDEX($E$32:$E$37,MATCH(AJ$8,$AF$8:$CA$8,0)-MATCH($D78,$D$45:$D$92,0)+1,0),0),1)</f>
        <v>0</v>
      </c>
      <c r="AK78" s="444" cm="1">
        <f t="array" ref="AK78">$E78*IFERROR(IF($D78&lt;=AK$8,INDEX($E$32:$E$37,MATCH(AK$8,$AF$8:$CA$8,0)-MATCH($D78,$D$45:$D$92,0)+1,0),0),1)</f>
        <v>0</v>
      </c>
      <c r="AL78" s="444" cm="1">
        <f t="array" ref="AL78">$E78*IFERROR(IF($D78&lt;=AL$8,INDEX($E$32:$E$37,MATCH(AL$8,$AF$8:$CA$8,0)-MATCH($D78,$D$45:$D$92,0)+1,0),0),1)</f>
        <v>0</v>
      </c>
      <c r="AM78" s="444" cm="1">
        <f t="array" ref="AM78">$E78*IFERROR(IF($D78&lt;=AM$8,INDEX($E$32:$E$37,MATCH(AM$8,$AF$8:$CA$8,0)-MATCH($D78,$D$45:$D$92,0)+1,0),0),1)</f>
        <v>0</v>
      </c>
      <c r="AN78" s="444" cm="1">
        <f t="array" ref="AN78">$E78*IFERROR(IF($D78&lt;=AN$8,INDEX($E$32:$E$37,MATCH(AN$8,$AF$8:$CA$8,0)-MATCH($D78,$D$45:$D$92,0)+1,0),0),1)</f>
        <v>0</v>
      </c>
      <c r="AO78" s="444" cm="1">
        <f t="array" ref="AO78">$E78*IFERROR(IF($D78&lt;=AO$8,INDEX($E$32:$E$37,MATCH(AO$8,$AF$8:$CA$8,0)-MATCH($D78,$D$45:$D$92,0)+1,0),0),1)</f>
        <v>0</v>
      </c>
      <c r="AP78" s="444" cm="1">
        <f t="array" ref="AP78">$E78*IFERROR(IF($D78&lt;=AP$8,INDEX($E$32:$E$37,MATCH(AP$8,$AF$8:$CA$8,0)-MATCH($D78,$D$45:$D$92,0)+1,0),0),1)</f>
        <v>0</v>
      </c>
      <c r="AQ78" s="444" cm="1">
        <f t="array" ref="AQ78">$E78*IFERROR(IF($D78&lt;=AQ$8,INDEX($E$32:$E$37,MATCH(AQ$8,$AF$8:$CA$8,0)-MATCH($D78,$D$45:$D$92,0)+1,0),0),1)</f>
        <v>0</v>
      </c>
      <c r="AR78" s="444" cm="1">
        <f t="array" ref="AR78">$E78*IFERROR(IF($D78&lt;=AR$8,INDEX($E$32:$E$37,MATCH(AR$8,$AF$8:$CA$8,0)-MATCH($D78,$D$45:$D$92,0)+1,0),0),1)</f>
        <v>0</v>
      </c>
      <c r="AS78" s="444" cm="1">
        <f t="array" ref="AS78">$E78*IFERROR(IF($D78&lt;=AS$8,INDEX($E$32:$E$37,MATCH(AS$8,$AF$8:$CA$8,0)-MATCH($D78,$D$45:$D$92,0)+1,0),0),1)</f>
        <v>0</v>
      </c>
      <c r="AT78" s="444" cm="1">
        <f t="array" ref="AT78">$E78*IFERROR(IF($D78&lt;=AT$8,INDEX($E$32:$E$37,MATCH(AT$8,$AF$8:$CA$8,0)-MATCH($D78,$D$45:$D$92,0)+1,0),0),1)</f>
        <v>0</v>
      </c>
      <c r="AU78" s="444" cm="1">
        <f t="array" ref="AU78">$E78*IFERROR(IF($D78&lt;=AU$8,INDEX($E$32:$E$37,MATCH(AU$8,$AF$8:$CA$8,0)-MATCH($D78,$D$45:$D$92,0)+1,0),0),1)</f>
        <v>0</v>
      </c>
      <c r="AV78" s="444" cm="1">
        <f t="array" ref="AV78">$E78*IFERROR(IF($D78&lt;=AV$8,INDEX($E$32:$E$37,MATCH(AV$8,$AF$8:$CA$8,0)-MATCH($D78,$D$45:$D$92,0)+1,0),0),1)</f>
        <v>0</v>
      </c>
      <c r="AW78" s="444" cm="1">
        <f t="array" ref="AW78">$E78*IFERROR(IF($D78&lt;=AW$8,INDEX($E$32:$E$37,MATCH(AW$8,$AF$8:$CA$8,0)-MATCH($D78,$D$45:$D$92,0)+1,0),0),1)</f>
        <v>0</v>
      </c>
      <c r="AX78" s="444" cm="1">
        <f t="array" ref="AX78">$E78*IFERROR(IF($D78&lt;=AX$8,INDEX($E$32:$E$37,MATCH(AX$8,$AF$8:$CA$8,0)-MATCH($D78,$D$45:$D$92,0)+1,0),0),1)</f>
        <v>0</v>
      </c>
      <c r="AY78" s="444" cm="1">
        <f t="array" ref="AY78">$E78*IFERROR(IF($D78&lt;=AY$8,INDEX($E$32:$E$37,MATCH(AY$8,$AF$8:$CA$8,0)-MATCH($D78,$D$45:$D$92,0)+1,0),0),1)</f>
        <v>0</v>
      </c>
      <c r="AZ78" s="444" cm="1">
        <f t="array" ref="AZ78">$E78*IFERROR(IF($D78&lt;=AZ$8,INDEX($E$32:$E$37,MATCH(AZ$8,$AF$8:$CA$8,0)-MATCH($D78,$D$45:$D$92,0)+1,0),0),1)</f>
        <v>0</v>
      </c>
      <c r="BA78" s="444" cm="1">
        <f t="array" ref="BA78">$E78*IFERROR(IF($D78&lt;=BA$8,INDEX($E$32:$E$37,MATCH(BA$8,$AF$8:$CA$8,0)-MATCH($D78,$D$45:$D$92,0)+1,0),0),1)</f>
        <v>0</v>
      </c>
      <c r="BB78" s="444" cm="1">
        <f t="array" ref="BB78">$E78*IFERROR(IF($D78&lt;=BB$8,INDEX($E$32:$E$37,MATCH(BB$8,$AF$8:$CA$8,0)-MATCH($D78,$D$45:$D$92,0)+1,0),0),1)</f>
        <v>0</v>
      </c>
      <c r="BC78" s="444" cm="1">
        <f t="array" ref="BC78">$E78*IFERROR(IF($D78&lt;=BC$8,INDEX($E$32:$E$37,MATCH(BC$8,$AF$8:$CA$8,0)-MATCH($D78,$D$45:$D$92,0)+1,0),0),1)</f>
        <v>0</v>
      </c>
      <c r="BD78" s="444" cm="1">
        <f t="array" ref="BD78">$E78*IFERROR(IF($D78&lt;=BD$8,INDEX($E$32:$E$37,MATCH(BD$8,$AF$8:$CA$8,0)-MATCH($D78,$D$45:$D$92,0)+1,0),0),1)</f>
        <v>0</v>
      </c>
      <c r="BE78" s="444" cm="1">
        <f t="array" ref="BE78">$E78*IFERROR(IF($D78&lt;=BE$8,INDEX($E$32:$E$37,MATCH(BE$8,$AF$8:$CA$8,0)-MATCH($D78,$D$45:$D$92,0)+1,0),0),1)</f>
        <v>0</v>
      </c>
      <c r="BF78" s="444" cm="1">
        <f t="array" ref="BF78">$E78*IFERROR(IF($D78&lt;=BF$8,INDEX($E$32:$E$37,MATCH(BF$8,$AF$8:$CA$8,0)-MATCH($D78,$D$45:$D$92,0)+1,0),0),1)</f>
        <v>0</v>
      </c>
      <c r="BG78" s="444" cm="1">
        <f t="array" ref="BG78">$E78*IFERROR(IF($D78&lt;=BG$8,INDEX($E$32:$E$37,MATCH(BG$8,$AF$8:$CA$8,0)-MATCH($D78,$D$45:$D$92,0)+1,0),0),1)</f>
        <v>0</v>
      </c>
      <c r="BH78" s="444" cm="1">
        <f t="array" ref="BH78">$E78*IFERROR(IF($D78&lt;=BH$8,INDEX($E$32:$E$37,MATCH(BH$8,$AF$8:$CA$8,0)-MATCH($D78,$D$45:$D$92,0)+1,0),0),1)</f>
        <v>0</v>
      </c>
      <c r="BI78" s="444" cm="1">
        <f t="array" ref="BI78">$E78*IFERROR(IF($D78&lt;=BI$8,INDEX($E$32:$E$37,MATCH(BI$8,$AF$8:$CA$8,0)-MATCH($D78,$D$45:$D$92,0)+1,0),0),1)</f>
        <v>0</v>
      </c>
      <c r="BJ78" s="444" cm="1">
        <f t="array" ref="BJ78">$E78*IFERROR(IF($D78&lt;=BJ$8,INDEX($E$32:$E$37,MATCH(BJ$8,$AF$8:$CA$8,0)-MATCH($D78,$D$45:$D$92,0)+1,0),0),1)</f>
        <v>0</v>
      </c>
      <c r="BK78" s="444" cm="1">
        <f t="array" ref="BK78">$E78*IFERROR(IF($D78&lt;=BK$8,INDEX($E$32:$E$37,MATCH(BK$8,$AF$8:$CA$8,0)-MATCH($D78,$D$45:$D$92,0)+1,0),0),1)</f>
        <v>0</v>
      </c>
      <c r="BL78" s="444" cm="1">
        <f t="array" ref="BL78">$E78*IFERROR(IF($D78&lt;=BL$8,INDEX($E$32:$E$37,MATCH(BL$8,$AF$8:$CA$8,0)-MATCH($D78,$D$45:$D$92,0)+1,0),0),1)</f>
        <v>0</v>
      </c>
      <c r="BM78" s="444" cm="1">
        <f t="array" ref="BM78">$E78*IFERROR(IF($D78&lt;=BM$8,INDEX($E$32:$E$37,MATCH(BM$8,$AF$8:$CA$8,0)-MATCH($D78,$D$45:$D$92,0)+1,0),0),1)</f>
        <v>0</v>
      </c>
      <c r="BN78" s="444" cm="1">
        <f t="array" ref="BN78">$E78*IFERROR(IF($D78&lt;=BN$8,INDEX($E$32:$E$37,MATCH(BN$8,$AF$8:$CA$8,0)-MATCH($D78,$D$45:$D$92,0)+1,0),0),1)</f>
        <v>0</v>
      </c>
      <c r="BO78" s="444" cm="1">
        <f t="array" ref="BO78">$E78*IFERROR(IF($D78&lt;=BO$8,INDEX($E$32:$E$37,MATCH(BO$8,$AF$8:$CA$8,0)-MATCH($D78,$D$45:$D$92,0)+1,0),0),1)</f>
        <v>0</v>
      </c>
      <c r="BP78" s="444" cm="1">
        <f t="array" ref="BP78">$E78*IFERROR(IF($D78&lt;=BP$8,INDEX($E$32:$E$37,MATCH(BP$8,$AF$8:$CA$8,0)-MATCH($D78,$D$45:$D$92,0)+1,0),0),1)</f>
        <v>0</v>
      </c>
      <c r="BQ78" s="444" cm="1">
        <f t="array" ref="BQ78">$E78*IFERROR(IF($D78&lt;=BQ$8,INDEX($E$32:$E$37,MATCH(BQ$8,$AF$8:$CA$8,0)-MATCH($D78,$D$45:$D$92,0)+1,0),0),1)</f>
        <v>0</v>
      </c>
      <c r="BR78" s="444" cm="1">
        <f t="array" ref="BR78">$E78*IFERROR(IF($D78&lt;=BR$8,INDEX($E$32:$E$37,MATCH(BR$8,$AF$8:$CA$8,0)-MATCH($D78,$D$45:$D$92,0)+1,0),0),1)</f>
        <v>0</v>
      </c>
      <c r="BS78" s="444" cm="1">
        <f t="array" ref="BS78">$E78*IFERROR(IF($D78&lt;=BS$8,INDEX($E$32:$E$37,MATCH(BS$8,$AF$8:$CA$8,0)-MATCH($D78,$D$45:$D$92,0)+1,0),0),1)</f>
        <v>0</v>
      </c>
      <c r="BT78" s="444" cm="1">
        <f t="array" ref="BT78">$E78*IFERROR(IF($D78&lt;=BT$8,INDEX($E$32:$E$37,MATCH(BT$8,$AF$8:$CA$8,0)-MATCH($D78,$D$45:$D$92,0)+1,0),0),1)</f>
        <v>0</v>
      </c>
      <c r="BU78" s="444" cm="1">
        <f t="array" ref="BU78">$E78*IFERROR(IF($D78&lt;=BU$8,INDEX($E$32:$E$37,MATCH(BU$8,$AF$8:$CA$8,0)-MATCH($D78,$D$45:$D$92,0)+1,0),0),1)</f>
        <v>0</v>
      </c>
      <c r="BV78" s="444" cm="1">
        <f t="array" ref="BV78">$E78*IFERROR(IF($D78&lt;=BV$8,INDEX($E$32:$E$37,MATCH(BV$8,$AF$8:$CA$8,0)-MATCH($D78,$D$45:$D$92,0)+1,0),0),1)</f>
        <v>0</v>
      </c>
      <c r="BW78" s="444" cm="1">
        <f t="array" ref="BW78">$E78*IFERROR(IF($D78&lt;=BW$8,INDEX($E$32:$E$37,MATCH(BW$8,$AF$8:$CA$8,0)-MATCH($D78,$D$45:$D$92,0)+1,0),0),1)</f>
        <v>0</v>
      </c>
      <c r="BX78" s="444" cm="1">
        <f t="array" ref="BX78">$E78*IFERROR(IF($D78&lt;=BX$8,INDEX($E$32:$E$37,MATCH(BX$8,$AF$8:$CA$8,0)-MATCH($D78,$D$45:$D$92,0)+1,0),0),1)</f>
        <v>0</v>
      </c>
      <c r="BY78" s="444" cm="1">
        <f t="array" ref="BY78">$E78*IFERROR(IF($D78&lt;=BY$8,INDEX($E$32:$E$37,MATCH(BY$8,$AF$8:$CA$8,0)-MATCH($D78,$D$45:$D$92,0)+1,0),0),1)</f>
        <v>0</v>
      </c>
      <c r="BZ78" s="444" cm="1">
        <f t="array" ref="BZ78">$E78*IFERROR(IF($D78&lt;=BZ$8,INDEX($E$32:$E$37,MATCH(BZ$8,$AF$8:$CA$8,0)-MATCH($D78,$D$45:$D$92,0)+1,0),0),1)</f>
        <v>0</v>
      </c>
      <c r="CA78" s="444" cm="1">
        <f t="array" ref="CA78">$E78*IFERROR(IF($D78&lt;=CA$8,INDEX($E$32:$E$37,MATCH(CA$8,$AF$8:$CA$8,0)-MATCH($D78,$D$45:$D$92,0)+1,0),0),1)</f>
        <v>0</v>
      </c>
    </row>
    <row r="79" spans="3:79" ht="21" hidden="1" customHeight="1" outlineLevel="3">
      <c r="C79" s="370"/>
      <c r="D79" s="374">
        <f t="shared" si="21"/>
        <v>45991</v>
      </c>
      <c r="E79" s="446" cm="1">
        <f t="array" ref="E79">INDEX($AF$41:$CA$41,0,MATCH($D79,$AF$8:$CA$8,0))</f>
        <v>0</v>
      </c>
      <c r="G79" s="431"/>
      <c r="H79" s="445">
        <f t="shared" si="23"/>
        <v>0</v>
      </c>
      <c r="I79" s="445">
        <f t="shared" si="23"/>
        <v>0</v>
      </c>
      <c r="J79" s="445">
        <f t="shared" si="23"/>
        <v>0</v>
      </c>
      <c r="K79" s="445">
        <f t="shared" si="23"/>
        <v>0</v>
      </c>
      <c r="L79" s="442"/>
      <c r="M79" s="434"/>
      <c r="N79" s="445">
        <f t="shared" si="24"/>
        <v>0</v>
      </c>
      <c r="O79" s="445">
        <f t="shared" si="24"/>
        <v>0</v>
      </c>
      <c r="P79" s="445">
        <f t="shared" si="24"/>
        <v>0</v>
      </c>
      <c r="Q79" s="445">
        <f t="shared" si="24"/>
        <v>0</v>
      </c>
      <c r="R79" s="445">
        <f t="shared" si="24"/>
        <v>0</v>
      </c>
      <c r="S79" s="445">
        <f t="shared" si="24"/>
        <v>0</v>
      </c>
      <c r="T79" s="445">
        <f t="shared" si="24"/>
        <v>0</v>
      </c>
      <c r="U79" s="445">
        <f t="shared" si="24"/>
        <v>0</v>
      </c>
      <c r="V79" s="445">
        <f t="shared" si="24"/>
        <v>0</v>
      </c>
      <c r="W79" s="445">
        <f t="shared" si="24"/>
        <v>0</v>
      </c>
      <c r="X79" s="445">
        <f t="shared" si="24"/>
        <v>0</v>
      </c>
      <c r="Y79" s="445">
        <f t="shared" si="24"/>
        <v>0</v>
      </c>
      <c r="Z79" s="445">
        <f t="shared" si="24"/>
        <v>0</v>
      </c>
      <c r="AA79" s="445">
        <f t="shared" si="24"/>
        <v>0</v>
      </c>
      <c r="AB79" s="445">
        <f t="shared" si="24"/>
        <v>0</v>
      </c>
      <c r="AC79" s="445">
        <f t="shared" si="24"/>
        <v>0</v>
      </c>
      <c r="AD79" s="442"/>
      <c r="AE79" s="434"/>
      <c r="AF79" s="444" cm="1">
        <f t="array" ref="AF79">$E79*IFERROR(IF($D79&lt;=AF$8,INDEX($E$32:$E$37,MATCH(AF$8,$AF$8:$CA$8,0)-MATCH($D79,$D$45:$D$92,0)+1,0),0),1)</f>
        <v>0</v>
      </c>
      <c r="AG79" s="444" cm="1">
        <f t="array" ref="AG79">$E79*IFERROR(IF($D79&lt;=AG$8,INDEX($E$32:$E$37,MATCH(AG$8,$AF$8:$CA$8,0)-MATCH($D79,$D$45:$D$92,0)+1,0),0),1)</f>
        <v>0</v>
      </c>
      <c r="AH79" s="444" cm="1">
        <f t="array" ref="AH79">$E79*IFERROR(IF($D79&lt;=AH$8,INDEX($E$32:$E$37,MATCH(AH$8,$AF$8:$CA$8,0)-MATCH($D79,$D$45:$D$92,0)+1,0),0),1)</f>
        <v>0</v>
      </c>
      <c r="AI79" s="444" cm="1">
        <f t="array" ref="AI79">$E79*IFERROR(IF($D79&lt;=AI$8,INDEX($E$32:$E$37,MATCH(AI$8,$AF$8:$CA$8,0)-MATCH($D79,$D$45:$D$92,0)+1,0),0),1)</f>
        <v>0</v>
      </c>
      <c r="AJ79" s="444" cm="1">
        <f t="array" ref="AJ79">$E79*IFERROR(IF($D79&lt;=AJ$8,INDEX($E$32:$E$37,MATCH(AJ$8,$AF$8:$CA$8,0)-MATCH($D79,$D$45:$D$92,0)+1,0),0),1)</f>
        <v>0</v>
      </c>
      <c r="AK79" s="444" cm="1">
        <f t="array" ref="AK79">$E79*IFERROR(IF($D79&lt;=AK$8,INDEX($E$32:$E$37,MATCH(AK$8,$AF$8:$CA$8,0)-MATCH($D79,$D$45:$D$92,0)+1,0),0),1)</f>
        <v>0</v>
      </c>
      <c r="AL79" s="444" cm="1">
        <f t="array" ref="AL79">$E79*IFERROR(IF($D79&lt;=AL$8,INDEX($E$32:$E$37,MATCH(AL$8,$AF$8:$CA$8,0)-MATCH($D79,$D$45:$D$92,0)+1,0),0),1)</f>
        <v>0</v>
      </c>
      <c r="AM79" s="444" cm="1">
        <f t="array" ref="AM79">$E79*IFERROR(IF($D79&lt;=AM$8,INDEX($E$32:$E$37,MATCH(AM$8,$AF$8:$CA$8,0)-MATCH($D79,$D$45:$D$92,0)+1,0),0),1)</f>
        <v>0</v>
      </c>
      <c r="AN79" s="444" cm="1">
        <f t="array" ref="AN79">$E79*IFERROR(IF($D79&lt;=AN$8,INDEX($E$32:$E$37,MATCH(AN$8,$AF$8:$CA$8,0)-MATCH($D79,$D$45:$D$92,0)+1,0),0),1)</f>
        <v>0</v>
      </c>
      <c r="AO79" s="444" cm="1">
        <f t="array" ref="AO79">$E79*IFERROR(IF($D79&lt;=AO$8,INDEX($E$32:$E$37,MATCH(AO$8,$AF$8:$CA$8,0)-MATCH($D79,$D$45:$D$92,0)+1,0),0),1)</f>
        <v>0</v>
      </c>
      <c r="AP79" s="444" cm="1">
        <f t="array" ref="AP79">$E79*IFERROR(IF($D79&lt;=AP$8,INDEX($E$32:$E$37,MATCH(AP$8,$AF$8:$CA$8,0)-MATCH($D79,$D$45:$D$92,0)+1,0),0),1)</f>
        <v>0</v>
      </c>
      <c r="AQ79" s="444" cm="1">
        <f t="array" ref="AQ79">$E79*IFERROR(IF($D79&lt;=AQ$8,INDEX($E$32:$E$37,MATCH(AQ$8,$AF$8:$CA$8,0)-MATCH($D79,$D$45:$D$92,0)+1,0),0),1)</f>
        <v>0</v>
      </c>
      <c r="AR79" s="444" cm="1">
        <f t="array" ref="AR79">$E79*IFERROR(IF($D79&lt;=AR$8,INDEX($E$32:$E$37,MATCH(AR$8,$AF$8:$CA$8,0)-MATCH($D79,$D$45:$D$92,0)+1,0),0),1)</f>
        <v>0</v>
      </c>
      <c r="AS79" s="444" cm="1">
        <f t="array" ref="AS79">$E79*IFERROR(IF($D79&lt;=AS$8,INDEX($E$32:$E$37,MATCH(AS$8,$AF$8:$CA$8,0)-MATCH($D79,$D$45:$D$92,0)+1,0),0),1)</f>
        <v>0</v>
      </c>
      <c r="AT79" s="444" cm="1">
        <f t="array" ref="AT79">$E79*IFERROR(IF($D79&lt;=AT$8,INDEX($E$32:$E$37,MATCH(AT$8,$AF$8:$CA$8,0)-MATCH($D79,$D$45:$D$92,0)+1,0),0),1)</f>
        <v>0</v>
      </c>
      <c r="AU79" s="444" cm="1">
        <f t="array" ref="AU79">$E79*IFERROR(IF($D79&lt;=AU$8,INDEX($E$32:$E$37,MATCH(AU$8,$AF$8:$CA$8,0)-MATCH($D79,$D$45:$D$92,0)+1,0),0),1)</f>
        <v>0</v>
      </c>
      <c r="AV79" s="444" cm="1">
        <f t="array" ref="AV79">$E79*IFERROR(IF($D79&lt;=AV$8,INDEX($E$32:$E$37,MATCH(AV$8,$AF$8:$CA$8,0)-MATCH($D79,$D$45:$D$92,0)+1,0),0),1)</f>
        <v>0</v>
      </c>
      <c r="AW79" s="444" cm="1">
        <f t="array" ref="AW79">$E79*IFERROR(IF($D79&lt;=AW$8,INDEX($E$32:$E$37,MATCH(AW$8,$AF$8:$CA$8,0)-MATCH($D79,$D$45:$D$92,0)+1,0),0),1)</f>
        <v>0</v>
      </c>
      <c r="AX79" s="444" cm="1">
        <f t="array" ref="AX79">$E79*IFERROR(IF($D79&lt;=AX$8,INDEX($E$32:$E$37,MATCH(AX$8,$AF$8:$CA$8,0)-MATCH($D79,$D$45:$D$92,0)+1,0),0),1)</f>
        <v>0</v>
      </c>
      <c r="AY79" s="444" cm="1">
        <f t="array" ref="AY79">$E79*IFERROR(IF($D79&lt;=AY$8,INDEX($E$32:$E$37,MATCH(AY$8,$AF$8:$CA$8,0)-MATCH($D79,$D$45:$D$92,0)+1,0),0),1)</f>
        <v>0</v>
      </c>
      <c r="AZ79" s="444" cm="1">
        <f t="array" ref="AZ79">$E79*IFERROR(IF($D79&lt;=AZ$8,INDEX($E$32:$E$37,MATCH(AZ$8,$AF$8:$CA$8,0)-MATCH($D79,$D$45:$D$92,0)+1,0),0),1)</f>
        <v>0</v>
      </c>
      <c r="BA79" s="444" cm="1">
        <f t="array" ref="BA79">$E79*IFERROR(IF($D79&lt;=BA$8,INDEX($E$32:$E$37,MATCH(BA$8,$AF$8:$CA$8,0)-MATCH($D79,$D$45:$D$92,0)+1,0),0),1)</f>
        <v>0</v>
      </c>
      <c r="BB79" s="444" cm="1">
        <f t="array" ref="BB79">$E79*IFERROR(IF($D79&lt;=BB$8,INDEX($E$32:$E$37,MATCH(BB$8,$AF$8:$CA$8,0)-MATCH($D79,$D$45:$D$92,0)+1,0),0),1)</f>
        <v>0</v>
      </c>
      <c r="BC79" s="444" cm="1">
        <f t="array" ref="BC79">$E79*IFERROR(IF($D79&lt;=BC$8,INDEX($E$32:$E$37,MATCH(BC$8,$AF$8:$CA$8,0)-MATCH($D79,$D$45:$D$92,0)+1,0),0),1)</f>
        <v>0</v>
      </c>
      <c r="BD79" s="444" cm="1">
        <f t="array" ref="BD79">$E79*IFERROR(IF($D79&lt;=BD$8,INDEX($E$32:$E$37,MATCH(BD$8,$AF$8:$CA$8,0)-MATCH($D79,$D$45:$D$92,0)+1,0),0),1)</f>
        <v>0</v>
      </c>
      <c r="BE79" s="444" cm="1">
        <f t="array" ref="BE79">$E79*IFERROR(IF($D79&lt;=BE$8,INDEX($E$32:$E$37,MATCH(BE$8,$AF$8:$CA$8,0)-MATCH($D79,$D$45:$D$92,0)+1,0),0),1)</f>
        <v>0</v>
      </c>
      <c r="BF79" s="444" cm="1">
        <f t="array" ref="BF79">$E79*IFERROR(IF($D79&lt;=BF$8,INDEX($E$32:$E$37,MATCH(BF$8,$AF$8:$CA$8,0)-MATCH($D79,$D$45:$D$92,0)+1,0),0),1)</f>
        <v>0</v>
      </c>
      <c r="BG79" s="444" cm="1">
        <f t="array" ref="BG79">$E79*IFERROR(IF($D79&lt;=BG$8,INDEX($E$32:$E$37,MATCH(BG$8,$AF$8:$CA$8,0)-MATCH($D79,$D$45:$D$92,0)+1,0),0),1)</f>
        <v>0</v>
      </c>
      <c r="BH79" s="444" cm="1">
        <f t="array" ref="BH79">$E79*IFERROR(IF($D79&lt;=BH$8,INDEX($E$32:$E$37,MATCH(BH$8,$AF$8:$CA$8,0)-MATCH($D79,$D$45:$D$92,0)+1,0),0),1)</f>
        <v>0</v>
      </c>
      <c r="BI79" s="444" cm="1">
        <f t="array" ref="BI79">$E79*IFERROR(IF($D79&lt;=BI$8,INDEX($E$32:$E$37,MATCH(BI$8,$AF$8:$CA$8,0)-MATCH($D79,$D$45:$D$92,0)+1,0),0),1)</f>
        <v>0</v>
      </c>
      <c r="BJ79" s="444" cm="1">
        <f t="array" ref="BJ79">$E79*IFERROR(IF($D79&lt;=BJ$8,INDEX($E$32:$E$37,MATCH(BJ$8,$AF$8:$CA$8,0)-MATCH($D79,$D$45:$D$92,0)+1,0),0),1)</f>
        <v>0</v>
      </c>
      <c r="BK79" s="444" cm="1">
        <f t="array" ref="BK79">$E79*IFERROR(IF($D79&lt;=BK$8,INDEX($E$32:$E$37,MATCH(BK$8,$AF$8:$CA$8,0)-MATCH($D79,$D$45:$D$92,0)+1,0),0),1)</f>
        <v>0</v>
      </c>
      <c r="BL79" s="444" cm="1">
        <f t="array" ref="BL79">$E79*IFERROR(IF($D79&lt;=BL$8,INDEX($E$32:$E$37,MATCH(BL$8,$AF$8:$CA$8,0)-MATCH($D79,$D$45:$D$92,0)+1,0),0),1)</f>
        <v>0</v>
      </c>
      <c r="BM79" s="444" cm="1">
        <f t="array" ref="BM79">$E79*IFERROR(IF($D79&lt;=BM$8,INDEX($E$32:$E$37,MATCH(BM$8,$AF$8:$CA$8,0)-MATCH($D79,$D$45:$D$92,0)+1,0),0),1)</f>
        <v>0</v>
      </c>
      <c r="BN79" s="444" cm="1">
        <f t="array" ref="BN79">$E79*IFERROR(IF($D79&lt;=BN$8,INDEX($E$32:$E$37,MATCH(BN$8,$AF$8:$CA$8,0)-MATCH($D79,$D$45:$D$92,0)+1,0),0),1)</f>
        <v>0</v>
      </c>
      <c r="BO79" s="444" cm="1">
        <f t="array" ref="BO79">$E79*IFERROR(IF($D79&lt;=BO$8,INDEX($E$32:$E$37,MATCH(BO$8,$AF$8:$CA$8,0)-MATCH($D79,$D$45:$D$92,0)+1,0),0),1)</f>
        <v>0</v>
      </c>
      <c r="BP79" s="444" cm="1">
        <f t="array" ref="BP79">$E79*IFERROR(IF($D79&lt;=BP$8,INDEX($E$32:$E$37,MATCH(BP$8,$AF$8:$CA$8,0)-MATCH($D79,$D$45:$D$92,0)+1,0),0),1)</f>
        <v>0</v>
      </c>
      <c r="BQ79" s="444" cm="1">
        <f t="array" ref="BQ79">$E79*IFERROR(IF($D79&lt;=BQ$8,INDEX($E$32:$E$37,MATCH(BQ$8,$AF$8:$CA$8,0)-MATCH($D79,$D$45:$D$92,0)+1,0),0),1)</f>
        <v>0</v>
      </c>
      <c r="BR79" s="444" cm="1">
        <f t="array" ref="BR79">$E79*IFERROR(IF($D79&lt;=BR$8,INDEX($E$32:$E$37,MATCH(BR$8,$AF$8:$CA$8,0)-MATCH($D79,$D$45:$D$92,0)+1,0),0),1)</f>
        <v>0</v>
      </c>
      <c r="BS79" s="444" cm="1">
        <f t="array" ref="BS79">$E79*IFERROR(IF($D79&lt;=BS$8,INDEX($E$32:$E$37,MATCH(BS$8,$AF$8:$CA$8,0)-MATCH($D79,$D$45:$D$92,0)+1,0),0),1)</f>
        <v>0</v>
      </c>
      <c r="BT79" s="444" cm="1">
        <f t="array" ref="BT79">$E79*IFERROR(IF($D79&lt;=BT$8,INDEX($E$32:$E$37,MATCH(BT$8,$AF$8:$CA$8,0)-MATCH($D79,$D$45:$D$92,0)+1,0),0),1)</f>
        <v>0</v>
      </c>
      <c r="BU79" s="444" cm="1">
        <f t="array" ref="BU79">$E79*IFERROR(IF($D79&lt;=BU$8,INDEX($E$32:$E$37,MATCH(BU$8,$AF$8:$CA$8,0)-MATCH($D79,$D$45:$D$92,0)+1,0),0),1)</f>
        <v>0</v>
      </c>
      <c r="BV79" s="444" cm="1">
        <f t="array" ref="BV79">$E79*IFERROR(IF($D79&lt;=BV$8,INDEX($E$32:$E$37,MATCH(BV$8,$AF$8:$CA$8,0)-MATCH($D79,$D$45:$D$92,0)+1,0),0),1)</f>
        <v>0</v>
      </c>
      <c r="BW79" s="444" cm="1">
        <f t="array" ref="BW79">$E79*IFERROR(IF($D79&lt;=BW$8,INDEX($E$32:$E$37,MATCH(BW$8,$AF$8:$CA$8,0)-MATCH($D79,$D$45:$D$92,0)+1,0),0),1)</f>
        <v>0</v>
      </c>
      <c r="BX79" s="444" cm="1">
        <f t="array" ref="BX79">$E79*IFERROR(IF($D79&lt;=BX$8,INDEX($E$32:$E$37,MATCH(BX$8,$AF$8:$CA$8,0)-MATCH($D79,$D$45:$D$92,0)+1,0),0),1)</f>
        <v>0</v>
      </c>
      <c r="BY79" s="444" cm="1">
        <f t="array" ref="BY79">$E79*IFERROR(IF($D79&lt;=BY$8,INDEX($E$32:$E$37,MATCH(BY$8,$AF$8:$CA$8,0)-MATCH($D79,$D$45:$D$92,0)+1,0),0),1)</f>
        <v>0</v>
      </c>
      <c r="BZ79" s="444" cm="1">
        <f t="array" ref="BZ79">$E79*IFERROR(IF($D79&lt;=BZ$8,INDEX($E$32:$E$37,MATCH(BZ$8,$AF$8:$CA$8,0)-MATCH($D79,$D$45:$D$92,0)+1,0),0),1)</f>
        <v>0</v>
      </c>
      <c r="CA79" s="444" cm="1">
        <f t="array" ref="CA79">$E79*IFERROR(IF($D79&lt;=CA$8,INDEX($E$32:$E$37,MATCH(CA$8,$AF$8:$CA$8,0)-MATCH($D79,$D$45:$D$92,0)+1,0),0),1)</f>
        <v>0</v>
      </c>
    </row>
    <row r="80" spans="3:79" ht="21" hidden="1" customHeight="1" outlineLevel="3">
      <c r="C80" s="370"/>
      <c r="D80" s="374">
        <f t="shared" ref="D80:D92" si="25">EOMONTH(D79,1)</f>
        <v>46022</v>
      </c>
      <c r="E80" s="446" cm="1">
        <f t="array" ref="E80">INDEX($AF$41:$CA$41,0,MATCH($D80,$AF$8:$CA$8,0))</f>
        <v>0</v>
      </c>
      <c r="G80" s="431"/>
      <c r="H80" s="445">
        <f t="shared" ref="H80:K92" si="26">INDEX($AF80:$CA80,0,MATCH(H$5,$AF$8:$CA$8,0))</f>
        <v>0</v>
      </c>
      <c r="I80" s="445">
        <f t="shared" si="26"/>
        <v>0</v>
      </c>
      <c r="J80" s="445">
        <f t="shared" si="26"/>
        <v>0</v>
      </c>
      <c r="K80" s="445">
        <f t="shared" si="26"/>
        <v>0</v>
      </c>
      <c r="L80" s="442"/>
      <c r="M80" s="434"/>
      <c r="N80" s="445">
        <f t="shared" ref="N80:AC92" si="27">INDEX($AF80:$CA80,0,MATCH(N$5,$AF$8:$CA$8,0))</f>
        <v>0</v>
      </c>
      <c r="O80" s="445">
        <f t="shared" si="27"/>
        <v>0</v>
      </c>
      <c r="P80" s="445">
        <f t="shared" si="27"/>
        <v>0</v>
      </c>
      <c r="Q80" s="445">
        <f t="shared" si="27"/>
        <v>0</v>
      </c>
      <c r="R80" s="445">
        <f t="shared" si="27"/>
        <v>0</v>
      </c>
      <c r="S80" s="445">
        <f t="shared" si="27"/>
        <v>0</v>
      </c>
      <c r="T80" s="445">
        <f t="shared" si="27"/>
        <v>0</v>
      </c>
      <c r="U80" s="445">
        <f t="shared" si="27"/>
        <v>0</v>
      </c>
      <c r="V80" s="445">
        <f t="shared" si="27"/>
        <v>0</v>
      </c>
      <c r="W80" s="445">
        <f t="shared" si="27"/>
        <v>0</v>
      </c>
      <c r="X80" s="445">
        <f t="shared" si="27"/>
        <v>0</v>
      </c>
      <c r="Y80" s="445">
        <f t="shared" si="27"/>
        <v>0</v>
      </c>
      <c r="Z80" s="445">
        <f t="shared" si="27"/>
        <v>0</v>
      </c>
      <c r="AA80" s="445">
        <f t="shared" si="27"/>
        <v>0</v>
      </c>
      <c r="AB80" s="445">
        <f t="shared" si="27"/>
        <v>0</v>
      </c>
      <c r="AC80" s="445">
        <f t="shared" si="27"/>
        <v>0</v>
      </c>
      <c r="AD80" s="442"/>
      <c r="AE80" s="434"/>
      <c r="AF80" s="444" cm="1">
        <f t="array" ref="AF80">$E80*IFERROR(IF($D80&lt;=AF$8,INDEX($E$32:$E$37,MATCH(AF$8,$AF$8:$CA$8,0)-MATCH($D80,$D$45:$D$92,0)+1,0),0),1)</f>
        <v>0</v>
      </c>
      <c r="AG80" s="444" cm="1">
        <f t="array" ref="AG80">$E80*IFERROR(IF($D80&lt;=AG$8,INDEX($E$32:$E$37,MATCH(AG$8,$AF$8:$CA$8,0)-MATCH($D80,$D$45:$D$92,0)+1,0),0),1)</f>
        <v>0</v>
      </c>
      <c r="AH80" s="444" cm="1">
        <f t="array" ref="AH80">$E80*IFERROR(IF($D80&lt;=AH$8,INDEX($E$32:$E$37,MATCH(AH$8,$AF$8:$CA$8,0)-MATCH($D80,$D$45:$D$92,0)+1,0),0),1)</f>
        <v>0</v>
      </c>
      <c r="AI80" s="444" cm="1">
        <f t="array" ref="AI80">$E80*IFERROR(IF($D80&lt;=AI$8,INDEX($E$32:$E$37,MATCH(AI$8,$AF$8:$CA$8,0)-MATCH($D80,$D$45:$D$92,0)+1,0),0),1)</f>
        <v>0</v>
      </c>
      <c r="AJ80" s="444" cm="1">
        <f t="array" ref="AJ80">$E80*IFERROR(IF($D80&lt;=AJ$8,INDEX($E$32:$E$37,MATCH(AJ$8,$AF$8:$CA$8,0)-MATCH($D80,$D$45:$D$92,0)+1,0),0),1)</f>
        <v>0</v>
      </c>
      <c r="AK80" s="444" cm="1">
        <f t="array" ref="AK80">$E80*IFERROR(IF($D80&lt;=AK$8,INDEX($E$32:$E$37,MATCH(AK$8,$AF$8:$CA$8,0)-MATCH($D80,$D$45:$D$92,0)+1,0),0),1)</f>
        <v>0</v>
      </c>
      <c r="AL80" s="444" cm="1">
        <f t="array" ref="AL80">$E80*IFERROR(IF($D80&lt;=AL$8,INDEX($E$32:$E$37,MATCH(AL$8,$AF$8:$CA$8,0)-MATCH($D80,$D$45:$D$92,0)+1,0),0),1)</f>
        <v>0</v>
      </c>
      <c r="AM80" s="444" cm="1">
        <f t="array" ref="AM80">$E80*IFERROR(IF($D80&lt;=AM$8,INDEX($E$32:$E$37,MATCH(AM$8,$AF$8:$CA$8,0)-MATCH($D80,$D$45:$D$92,0)+1,0),0),1)</f>
        <v>0</v>
      </c>
      <c r="AN80" s="444" cm="1">
        <f t="array" ref="AN80">$E80*IFERROR(IF($D80&lt;=AN$8,INDEX($E$32:$E$37,MATCH(AN$8,$AF$8:$CA$8,0)-MATCH($D80,$D$45:$D$92,0)+1,0),0),1)</f>
        <v>0</v>
      </c>
      <c r="AO80" s="444" cm="1">
        <f t="array" ref="AO80">$E80*IFERROR(IF($D80&lt;=AO$8,INDEX($E$32:$E$37,MATCH(AO$8,$AF$8:$CA$8,0)-MATCH($D80,$D$45:$D$92,0)+1,0),0),1)</f>
        <v>0</v>
      </c>
      <c r="AP80" s="444" cm="1">
        <f t="array" ref="AP80">$E80*IFERROR(IF($D80&lt;=AP$8,INDEX($E$32:$E$37,MATCH(AP$8,$AF$8:$CA$8,0)-MATCH($D80,$D$45:$D$92,0)+1,0),0),1)</f>
        <v>0</v>
      </c>
      <c r="AQ80" s="444" cm="1">
        <f t="array" ref="AQ80">$E80*IFERROR(IF($D80&lt;=AQ$8,INDEX($E$32:$E$37,MATCH(AQ$8,$AF$8:$CA$8,0)-MATCH($D80,$D$45:$D$92,0)+1,0),0),1)</f>
        <v>0</v>
      </c>
      <c r="AR80" s="444" cm="1">
        <f t="array" ref="AR80">$E80*IFERROR(IF($D80&lt;=AR$8,INDEX($E$32:$E$37,MATCH(AR$8,$AF$8:$CA$8,0)-MATCH($D80,$D$45:$D$92,0)+1,0),0),1)</f>
        <v>0</v>
      </c>
      <c r="AS80" s="444" cm="1">
        <f t="array" ref="AS80">$E80*IFERROR(IF($D80&lt;=AS$8,INDEX($E$32:$E$37,MATCH(AS$8,$AF$8:$CA$8,0)-MATCH($D80,$D$45:$D$92,0)+1,0),0),1)</f>
        <v>0</v>
      </c>
      <c r="AT80" s="444" cm="1">
        <f t="array" ref="AT80">$E80*IFERROR(IF($D80&lt;=AT$8,INDEX($E$32:$E$37,MATCH(AT$8,$AF$8:$CA$8,0)-MATCH($D80,$D$45:$D$92,0)+1,0),0),1)</f>
        <v>0</v>
      </c>
      <c r="AU80" s="444" cm="1">
        <f t="array" ref="AU80">$E80*IFERROR(IF($D80&lt;=AU$8,INDEX($E$32:$E$37,MATCH(AU$8,$AF$8:$CA$8,0)-MATCH($D80,$D$45:$D$92,0)+1,0),0),1)</f>
        <v>0</v>
      </c>
      <c r="AV80" s="444" cm="1">
        <f t="array" ref="AV80">$E80*IFERROR(IF($D80&lt;=AV$8,INDEX($E$32:$E$37,MATCH(AV$8,$AF$8:$CA$8,0)-MATCH($D80,$D$45:$D$92,0)+1,0),0),1)</f>
        <v>0</v>
      </c>
      <c r="AW80" s="444" cm="1">
        <f t="array" ref="AW80">$E80*IFERROR(IF($D80&lt;=AW$8,INDEX($E$32:$E$37,MATCH(AW$8,$AF$8:$CA$8,0)-MATCH($D80,$D$45:$D$92,0)+1,0),0),1)</f>
        <v>0</v>
      </c>
      <c r="AX80" s="444" cm="1">
        <f t="array" ref="AX80">$E80*IFERROR(IF($D80&lt;=AX$8,INDEX($E$32:$E$37,MATCH(AX$8,$AF$8:$CA$8,0)-MATCH($D80,$D$45:$D$92,0)+1,0),0),1)</f>
        <v>0</v>
      </c>
      <c r="AY80" s="444" cm="1">
        <f t="array" ref="AY80">$E80*IFERROR(IF($D80&lt;=AY$8,INDEX($E$32:$E$37,MATCH(AY$8,$AF$8:$CA$8,0)-MATCH($D80,$D$45:$D$92,0)+1,0),0),1)</f>
        <v>0</v>
      </c>
      <c r="AZ80" s="444" cm="1">
        <f t="array" ref="AZ80">$E80*IFERROR(IF($D80&lt;=AZ$8,INDEX($E$32:$E$37,MATCH(AZ$8,$AF$8:$CA$8,0)-MATCH($D80,$D$45:$D$92,0)+1,0),0),1)</f>
        <v>0</v>
      </c>
      <c r="BA80" s="444" cm="1">
        <f t="array" ref="BA80">$E80*IFERROR(IF($D80&lt;=BA$8,INDEX($E$32:$E$37,MATCH(BA$8,$AF$8:$CA$8,0)-MATCH($D80,$D$45:$D$92,0)+1,0),0),1)</f>
        <v>0</v>
      </c>
      <c r="BB80" s="444" cm="1">
        <f t="array" ref="BB80">$E80*IFERROR(IF($D80&lt;=BB$8,INDEX($E$32:$E$37,MATCH(BB$8,$AF$8:$CA$8,0)-MATCH($D80,$D$45:$D$92,0)+1,0),0),1)</f>
        <v>0</v>
      </c>
      <c r="BC80" s="444" cm="1">
        <f t="array" ref="BC80">$E80*IFERROR(IF($D80&lt;=BC$8,INDEX($E$32:$E$37,MATCH(BC$8,$AF$8:$CA$8,0)-MATCH($D80,$D$45:$D$92,0)+1,0),0),1)</f>
        <v>0</v>
      </c>
      <c r="BD80" s="444" cm="1">
        <f t="array" ref="BD80">$E80*IFERROR(IF($D80&lt;=BD$8,INDEX($E$32:$E$37,MATCH(BD$8,$AF$8:$CA$8,0)-MATCH($D80,$D$45:$D$92,0)+1,0),0),1)</f>
        <v>0</v>
      </c>
      <c r="BE80" s="444" cm="1">
        <f t="array" ref="BE80">$E80*IFERROR(IF($D80&lt;=BE$8,INDEX($E$32:$E$37,MATCH(BE$8,$AF$8:$CA$8,0)-MATCH($D80,$D$45:$D$92,0)+1,0),0),1)</f>
        <v>0</v>
      </c>
      <c r="BF80" s="444" cm="1">
        <f t="array" ref="BF80">$E80*IFERROR(IF($D80&lt;=BF$8,INDEX($E$32:$E$37,MATCH(BF$8,$AF$8:$CA$8,0)-MATCH($D80,$D$45:$D$92,0)+1,0),0),1)</f>
        <v>0</v>
      </c>
      <c r="BG80" s="444" cm="1">
        <f t="array" ref="BG80">$E80*IFERROR(IF($D80&lt;=BG$8,INDEX($E$32:$E$37,MATCH(BG$8,$AF$8:$CA$8,0)-MATCH($D80,$D$45:$D$92,0)+1,0),0),1)</f>
        <v>0</v>
      </c>
      <c r="BH80" s="444" cm="1">
        <f t="array" ref="BH80">$E80*IFERROR(IF($D80&lt;=BH$8,INDEX($E$32:$E$37,MATCH(BH$8,$AF$8:$CA$8,0)-MATCH($D80,$D$45:$D$92,0)+1,0),0),1)</f>
        <v>0</v>
      </c>
      <c r="BI80" s="444" cm="1">
        <f t="array" ref="BI80">$E80*IFERROR(IF($D80&lt;=BI$8,INDEX($E$32:$E$37,MATCH(BI$8,$AF$8:$CA$8,0)-MATCH($D80,$D$45:$D$92,0)+1,0),0),1)</f>
        <v>0</v>
      </c>
      <c r="BJ80" s="444" cm="1">
        <f t="array" ref="BJ80">$E80*IFERROR(IF($D80&lt;=BJ$8,INDEX($E$32:$E$37,MATCH(BJ$8,$AF$8:$CA$8,0)-MATCH($D80,$D$45:$D$92,0)+1,0),0),1)</f>
        <v>0</v>
      </c>
      <c r="BK80" s="444" cm="1">
        <f t="array" ref="BK80">$E80*IFERROR(IF($D80&lt;=BK$8,INDEX($E$32:$E$37,MATCH(BK$8,$AF$8:$CA$8,0)-MATCH($D80,$D$45:$D$92,0)+1,0),0),1)</f>
        <v>0</v>
      </c>
      <c r="BL80" s="444" cm="1">
        <f t="array" ref="BL80">$E80*IFERROR(IF($D80&lt;=BL$8,INDEX($E$32:$E$37,MATCH(BL$8,$AF$8:$CA$8,0)-MATCH($D80,$D$45:$D$92,0)+1,0),0),1)</f>
        <v>0</v>
      </c>
      <c r="BM80" s="444" cm="1">
        <f t="array" ref="BM80">$E80*IFERROR(IF($D80&lt;=BM$8,INDEX($E$32:$E$37,MATCH(BM$8,$AF$8:$CA$8,0)-MATCH($D80,$D$45:$D$92,0)+1,0),0),1)</f>
        <v>0</v>
      </c>
      <c r="BN80" s="444" cm="1">
        <f t="array" ref="BN80">$E80*IFERROR(IF($D80&lt;=BN$8,INDEX($E$32:$E$37,MATCH(BN$8,$AF$8:$CA$8,0)-MATCH($D80,$D$45:$D$92,0)+1,0),0),1)</f>
        <v>0</v>
      </c>
      <c r="BO80" s="444" cm="1">
        <f t="array" ref="BO80">$E80*IFERROR(IF($D80&lt;=BO$8,INDEX($E$32:$E$37,MATCH(BO$8,$AF$8:$CA$8,0)-MATCH($D80,$D$45:$D$92,0)+1,0),0),1)</f>
        <v>0</v>
      </c>
      <c r="BP80" s="444" cm="1">
        <f t="array" ref="BP80">$E80*IFERROR(IF($D80&lt;=BP$8,INDEX($E$32:$E$37,MATCH(BP$8,$AF$8:$CA$8,0)-MATCH($D80,$D$45:$D$92,0)+1,0),0),1)</f>
        <v>0</v>
      </c>
      <c r="BQ80" s="444" cm="1">
        <f t="array" ref="BQ80">$E80*IFERROR(IF($D80&lt;=BQ$8,INDEX($E$32:$E$37,MATCH(BQ$8,$AF$8:$CA$8,0)-MATCH($D80,$D$45:$D$92,0)+1,0),0),1)</f>
        <v>0</v>
      </c>
      <c r="BR80" s="444" cm="1">
        <f t="array" ref="BR80">$E80*IFERROR(IF($D80&lt;=BR$8,INDEX($E$32:$E$37,MATCH(BR$8,$AF$8:$CA$8,0)-MATCH($D80,$D$45:$D$92,0)+1,0),0),1)</f>
        <v>0</v>
      </c>
      <c r="BS80" s="444" cm="1">
        <f t="array" ref="BS80">$E80*IFERROR(IF($D80&lt;=BS$8,INDEX($E$32:$E$37,MATCH(BS$8,$AF$8:$CA$8,0)-MATCH($D80,$D$45:$D$92,0)+1,0),0),1)</f>
        <v>0</v>
      </c>
      <c r="BT80" s="444" cm="1">
        <f t="array" ref="BT80">$E80*IFERROR(IF($D80&lt;=BT$8,INDEX($E$32:$E$37,MATCH(BT$8,$AF$8:$CA$8,0)-MATCH($D80,$D$45:$D$92,0)+1,0),0),1)</f>
        <v>0</v>
      </c>
      <c r="BU80" s="444" cm="1">
        <f t="array" ref="BU80">$E80*IFERROR(IF($D80&lt;=BU$8,INDEX($E$32:$E$37,MATCH(BU$8,$AF$8:$CA$8,0)-MATCH($D80,$D$45:$D$92,0)+1,0),0),1)</f>
        <v>0</v>
      </c>
      <c r="BV80" s="444" cm="1">
        <f t="array" ref="BV80">$E80*IFERROR(IF($D80&lt;=BV$8,INDEX($E$32:$E$37,MATCH(BV$8,$AF$8:$CA$8,0)-MATCH($D80,$D$45:$D$92,0)+1,0),0),1)</f>
        <v>0</v>
      </c>
      <c r="BW80" s="444" cm="1">
        <f t="array" ref="BW80">$E80*IFERROR(IF($D80&lt;=BW$8,INDEX($E$32:$E$37,MATCH(BW$8,$AF$8:$CA$8,0)-MATCH($D80,$D$45:$D$92,0)+1,0),0),1)</f>
        <v>0</v>
      </c>
      <c r="BX80" s="444" cm="1">
        <f t="array" ref="BX80">$E80*IFERROR(IF($D80&lt;=BX$8,INDEX($E$32:$E$37,MATCH(BX$8,$AF$8:$CA$8,0)-MATCH($D80,$D$45:$D$92,0)+1,0),0),1)</f>
        <v>0</v>
      </c>
      <c r="BY80" s="444" cm="1">
        <f t="array" ref="BY80">$E80*IFERROR(IF($D80&lt;=BY$8,INDEX($E$32:$E$37,MATCH(BY$8,$AF$8:$CA$8,0)-MATCH($D80,$D$45:$D$92,0)+1,0),0),1)</f>
        <v>0</v>
      </c>
      <c r="BZ80" s="444" cm="1">
        <f t="array" ref="BZ80">$E80*IFERROR(IF($D80&lt;=BZ$8,INDEX($E$32:$E$37,MATCH(BZ$8,$AF$8:$CA$8,0)-MATCH($D80,$D$45:$D$92,0)+1,0),0),1)</f>
        <v>0</v>
      </c>
      <c r="CA80" s="444" cm="1">
        <f t="array" ref="CA80">$E80*IFERROR(IF($D80&lt;=CA$8,INDEX($E$32:$E$37,MATCH(CA$8,$AF$8:$CA$8,0)-MATCH($D80,$D$45:$D$92,0)+1,0),0),1)</f>
        <v>0</v>
      </c>
    </row>
    <row r="81" spans="3:79" ht="21" hidden="1" customHeight="1" outlineLevel="3">
      <c r="C81" s="370"/>
      <c r="D81" s="374">
        <f t="shared" si="25"/>
        <v>46053</v>
      </c>
      <c r="E81" s="446" cm="1">
        <f t="array" ref="E81">INDEX($AF$41:$CA$41,0,MATCH($D81,$AF$8:$CA$8,0))</f>
        <v>0</v>
      </c>
      <c r="G81" s="431"/>
      <c r="H81" s="445">
        <f t="shared" si="26"/>
        <v>0</v>
      </c>
      <c r="I81" s="445">
        <f t="shared" si="26"/>
        <v>0</v>
      </c>
      <c r="J81" s="445">
        <f t="shared" si="26"/>
        <v>0</v>
      </c>
      <c r="K81" s="445">
        <f t="shared" si="26"/>
        <v>0</v>
      </c>
      <c r="L81" s="442"/>
      <c r="M81" s="434"/>
      <c r="N81" s="445">
        <f t="shared" si="27"/>
        <v>0</v>
      </c>
      <c r="O81" s="445">
        <f t="shared" si="27"/>
        <v>0</v>
      </c>
      <c r="P81" s="445">
        <f t="shared" si="27"/>
        <v>0</v>
      </c>
      <c r="Q81" s="445">
        <f t="shared" si="27"/>
        <v>0</v>
      </c>
      <c r="R81" s="445">
        <f t="shared" si="27"/>
        <v>0</v>
      </c>
      <c r="S81" s="445">
        <f t="shared" si="27"/>
        <v>0</v>
      </c>
      <c r="T81" s="445">
        <f t="shared" si="27"/>
        <v>0</v>
      </c>
      <c r="U81" s="445">
        <f t="shared" si="27"/>
        <v>0</v>
      </c>
      <c r="V81" s="445">
        <f t="shared" si="27"/>
        <v>0</v>
      </c>
      <c r="W81" s="445">
        <f t="shared" si="27"/>
        <v>0</v>
      </c>
      <c r="X81" s="445">
        <f t="shared" si="27"/>
        <v>0</v>
      </c>
      <c r="Y81" s="445">
        <f t="shared" si="27"/>
        <v>0</v>
      </c>
      <c r="Z81" s="445">
        <f t="shared" si="27"/>
        <v>0</v>
      </c>
      <c r="AA81" s="445">
        <f t="shared" si="27"/>
        <v>0</v>
      </c>
      <c r="AB81" s="445">
        <f t="shared" si="27"/>
        <v>0</v>
      </c>
      <c r="AC81" s="445">
        <f t="shared" si="27"/>
        <v>0</v>
      </c>
      <c r="AD81" s="442"/>
      <c r="AE81" s="434"/>
      <c r="AF81" s="444" cm="1">
        <f t="array" ref="AF81">$E81*IFERROR(IF($D81&lt;=AF$8,INDEX($E$32:$E$37,MATCH(AF$8,$AF$8:$CA$8,0)-MATCH($D81,$D$45:$D$92,0)+1,0),0),1)</f>
        <v>0</v>
      </c>
      <c r="AG81" s="444" cm="1">
        <f t="array" ref="AG81">$E81*IFERROR(IF($D81&lt;=AG$8,INDEX($E$32:$E$37,MATCH(AG$8,$AF$8:$CA$8,0)-MATCH($D81,$D$45:$D$92,0)+1,0),0),1)</f>
        <v>0</v>
      </c>
      <c r="AH81" s="444" cm="1">
        <f t="array" ref="AH81">$E81*IFERROR(IF($D81&lt;=AH$8,INDEX($E$32:$E$37,MATCH(AH$8,$AF$8:$CA$8,0)-MATCH($D81,$D$45:$D$92,0)+1,0),0),1)</f>
        <v>0</v>
      </c>
      <c r="AI81" s="444" cm="1">
        <f t="array" ref="AI81">$E81*IFERROR(IF($D81&lt;=AI$8,INDEX($E$32:$E$37,MATCH(AI$8,$AF$8:$CA$8,0)-MATCH($D81,$D$45:$D$92,0)+1,0),0),1)</f>
        <v>0</v>
      </c>
      <c r="AJ81" s="444" cm="1">
        <f t="array" ref="AJ81">$E81*IFERROR(IF($D81&lt;=AJ$8,INDEX($E$32:$E$37,MATCH(AJ$8,$AF$8:$CA$8,0)-MATCH($D81,$D$45:$D$92,0)+1,0),0),1)</f>
        <v>0</v>
      </c>
      <c r="AK81" s="444" cm="1">
        <f t="array" ref="AK81">$E81*IFERROR(IF($D81&lt;=AK$8,INDEX($E$32:$E$37,MATCH(AK$8,$AF$8:$CA$8,0)-MATCH($D81,$D$45:$D$92,0)+1,0),0),1)</f>
        <v>0</v>
      </c>
      <c r="AL81" s="444" cm="1">
        <f t="array" ref="AL81">$E81*IFERROR(IF($D81&lt;=AL$8,INDEX($E$32:$E$37,MATCH(AL$8,$AF$8:$CA$8,0)-MATCH($D81,$D$45:$D$92,0)+1,0),0),1)</f>
        <v>0</v>
      </c>
      <c r="AM81" s="444" cm="1">
        <f t="array" ref="AM81">$E81*IFERROR(IF($D81&lt;=AM$8,INDEX($E$32:$E$37,MATCH(AM$8,$AF$8:$CA$8,0)-MATCH($D81,$D$45:$D$92,0)+1,0),0),1)</f>
        <v>0</v>
      </c>
      <c r="AN81" s="444" cm="1">
        <f t="array" ref="AN81">$E81*IFERROR(IF($D81&lt;=AN$8,INDEX($E$32:$E$37,MATCH(AN$8,$AF$8:$CA$8,0)-MATCH($D81,$D$45:$D$92,0)+1,0),0),1)</f>
        <v>0</v>
      </c>
      <c r="AO81" s="444" cm="1">
        <f t="array" ref="AO81">$E81*IFERROR(IF($D81&lt;=AO$8,INDEX($E$32:$E$37,MATCH(AO$8,$AF$8:$CA$8,0)-MATCH($D81,$D$45:$D$92,0)+1,0),0),1)</f>
        <v>0</v>
      </c>
      <c r="AP81" s="444" cm="1">
        <f t="array" ref="AP81">$E81*IFERROR(IF($D81&lt;=AP$8,INDEX($E$32:$E$37,MATCH(AP$8,$AF$8:$CA$8,0)-MATCH($D81,$D$45:$D$92,0)+1,0),0),1)</f>
        <v>0</v>
      </c>
      <c r="AQ81" s="444" cm="1">
        <f t="array" ref="AQ81">$E81*IFERROR(IF($D81&lt;=AQ$8,INDEX($E$32:$E$37,MATCH(AQ$8,$AF$8:$CA$8,0)-MATCH($D81,$D$45:$D$92,0)+1,0),0),1)</f>
        <v>0</v>
      </c>
      <c r="AR81" s="444" cm="1">
        <f t="array" ref="AR81">$E81*IFERROR(IF($D81&lt;=AR$8,INDEX($E$32:$E$37,MATCH(AR$8,$AF$8:$CA$8,0)-MATCH($D81,$D$45:$D$92,0)+1,0),0),1)</f>
        <v>0</v>
      </c>
      <c r="AS81" s="444" cm="1">
        <f t="array" ref="AS81">$E81*IFERROR(IF($D81&lt;=AS$8,INDEX($E$32:$E$37,MATCH(AS$8,$AF$8:$CA$8,0)-MATCH($D81,$D$45:$D$92,0)+1,0),0),1)</f>
        <v>0</v>
      </c>
      <c r="AT81" s="444" cm="1">
        <f t="array" ref="AT81">$E81*IFERROR(IF($D81&lt;=AT$8,INDEX($E$32:$E$37,MATCH(AT$8,$AF$8:$CA$8,0)-MATCH($D81,$D$45:$D$92,0)+1,0),0),1)</f>
        <v>0</v>
      </c>
      <c r="AU81" s="444" cm="1">
        <f t="array" ref="AU81">$E81*IFERROR(IF($D81&lt;=AU$8,INDEX($E$32:$E$37,MATCH(AU$8,$AF$8:$CA$8,0)-MATCH($D81,$D$45:$D$92,0)+1,0),0),1)</f>
        <v>0</v>
      </c>
      <c r="AV81" s="444" cm="1">
        <f t="array" ref="AV81">$E81*IFERROR(IF($D81&lt;=AV$8,INDEX($E$32:$E$37,MATCH(AV$8,$AF$8:$CA$8,0)-MATCH($D81,$D$45:$D$92,0)+1,0),0),1)</f>
        <v>0</v>
      </c>
      <c r="AW81" s="444" cm="1">
        <f t="array" ref="AW81">$E81*IFERROR(IF($D81&lt;=AW$8,INDEX($E$32:$E$37,MATCH(AW$8,$AF$8:$CA$8,0)-MATCH($D81,$D$45:$D$92,0)+1,0),0),1)</f>
        <v>0</v>
      </c>
      <c r="AX81" s="444" cm="1">
        <f t="array" ref="AX81">$E81*IFERROR(IF($D81&lt;=AX$8,INDEX($E$32:$E$37,MATCH(AX$8,$AF$8:$CA$8,0)-MATCH($D81,$D$45:$D$92,0)+1,0),0),1)</f>
        <v>0</v>
      </c>
      <c r="AY81" s="444" cm="1">
        <f t="array" ref="AY81">$E81*IFERROR(IF($D81&lt;=AY$8,INDEX($E$32:$E$37,MATCH(AY$8,$AF$8:$CA$8,0)-MATCH($D81,$D$45:$D$92,0)+1,0),0),1)</f>
        <v>0</v>
      </c>
      <c r="AZ81" s="444" cm="1">
        <f t="array" ref="AZ81">$E81*IFERROR(IF($D81&lt;=AZ$8,INDEX($E$32:$E$37,MATCH(AZ$8,$AF$8:$CA$8,0)-MATCH($D81,$D$45:$D$92,0)+1,0),0),1)</f>
        <v>0</v>
      </c>
      <c r="BA81" s="444" cm="1">
        <f t="array" ref="BA81">$E81*IFERROR(IF($D81&lt;=BA$8,INDEX($E$32:$E$37,MATCH(BA$8,$AF$8:$CA$8,0)-MATCH($D81,$D$45:$D$92,0)+1,0),0),1)</f>
        <v>0</v>
      </c>
      <c r="BB81" s="444" cm="1">
        <f t="array" ref="BB81">$E81*IFERROR(IF($D81&lt;=BB$8,INDEX($E$32:$E$37,MATCH(BB$8,$AF$8:$CA$8,0)-MATCH($D81,$D$45:$D$92,0)+1,0),0),1)</f>
        <v>0</v>
      </c>
      <c r="BC81" s="444" cm="1">
        <f t="array" ref="BC81">$E81*IFERROR(IF($D81&lt;=BC$8,INDEX($E$32:$E$37,MATCH(BC$8,$AF$8:$CA$8,0)-MATCH($D81,$D$45:$D$92,0)+1,0),0),1)</f>
        <v>0</v>
      </c>
      <c r="BD81" s="444" cm="1">
        <f t="array" ref="BD81">$E81*IFERROR(IF($D81&lt;=BD$8,INDEX($E$32:$E$37,MATCH(BD$8,$AF$8:$CA$8,0)-MATCH($D81,$D$45:$D$92,0)+1,0),0),1)</f>
        <v>0</v>
      </c>
      <c r="BE81" s="444" cm="1">
        <f t="array" ref="BE81">$E81*IFERROR(IF($D81&lt;=BE$8,INDEX($E$32:$E$37,MATCH(BE$8,$AF$8:$CA$8,0)-MATCH($D81,$D$45:$D$92,0)+1,0),0),1)</f>
        <v>0</v>
      </c>
      <c r="BF81" s="444" cm="1">
        <f t="array" ref="BF81">$E81*IFERROR(IF($D81&lt;=BF$8,INDEX($E$32:$E$37,MATCH(BF$8,$AF$8:$CA$8,0)-MATCH($D81,$D$45:$D$92,0)+1,0),0),1)</f>
        <v>0</v>
      </c>
      <c r="BG81" s="444" cm="1">
        <f t="array" ref="BG81">$E81*IFERROR(IF($D81&lt;=BG$8,INDEX($E$32:$E$37,MATCH(BG$8,$AF$8:$CA$8,0)-MATCH($D81,$D$45:$D$92,0)+1,0),0),1)</f>
        <v>0</v>
      </c>
      <c r="BH81" s="444" cm="1">
        <f t="array" ref="BH81">$E81*IFERROR(IF($D81&lt;=BH$8,INDEX($E$32:$E$37,MATCH(BH$8,$AF$8:$CA$8,0)-MATCH($D81,$D$45:$D$92,0)+1,0),0),1)</f>
        <v>0</v>
      </c>
      <c r="BI81" s="444" cm="1">
        <f t="array" ref="BI81">$E81*IFERROR(IF($D81&lt;=BI$8,INDEX($E$32:$E$37,MATCH(BI$8,$AF$8:$CA$8,0)-MATCH($D81,$D$45:$D$92,0)+1,0),0),1)</f>
        <v>0</v>
      </c>
      <c r="BJ81" s="444" cm="1">
        <f t="array" ref="BJ81">$E81*IFERROR(IF($D81&lt;=BJ$8,INDEX($E$32:$E$37,MATCH(BJ$8,$AF$8:$CA$8,0)-MATCH($D81,$D$45:$D$92,0)+1,0),0),1)</f>
        <v>0</v>
      </c>
      <c r="BK81" s="444" cm="1">
        <f t="array" ref="BK81">$E81*IFERROR(IF($D81&lt;=BK$8,INDEX($E$32:$E$37,MATCH(BK$8,$AF$8:$CA$8,0)-MATCH($D81,$D$45:$D$92,0)+1,0),0),1)</f>
        <v>0</v>
      </c>
      <c r="BL81" s="444" cm="1">
        <f t="array" ref="BL81">$E81*IFERROR(IF($D81&lt;=BL$8,INDEX($E$32:$E$37,MATCH(BL$8,$AF$8:$CA$8,0)-MATCH($D81,$D$45:$D$92,0)+1,0),0),1)</f>
        <v>0</v>
      </c>
      <c r="BM81" s="444" cm="1">
        <f t="array" ref="BM81">$E81*IFERROR(IF($D81&lt;=BM$8,INDEX($E$32:$E$37,MATCH(BM$8,$AF$8:$CA$8,0)-MATCH($D81,$D$45:$D$92,0)+1,0),0),1)</f>
        <v>0</v>
      </c>
      <c r="BN81" s="444" cm="1">
        <f t="array" ref="BN81">$E81*IFERROR(IF($D81&lt;=BN$8,INDEX($E$32:$E$37,MATCH(BN$8,$AF$8:$CA$8,0)-MATCH($D81,$D$45:$D$92,0)+1,0),0),1)</f>
        <v>0</v>
      </c>
      <c r="BO81" s="444" cm="1">
        <f t="array" ref="BO81">$E81*IFERROR(IF($D81&lt;=BO$8,INDEX($E$32:$E$37,MATCH(BO$8,$AF$8:$CA$8,0)-MATCH($D81,$D$45:$D$92,0)+1,0),0),1)</f>
        <v>0</v>
      </c>
      <c r="BP81" s="444" cm="1">
        <f t="array" ref="BP81">$E81*IFERROR(IF($D81&lt;=BP$8,INDEX($E$32:$E$37,MATCH(BP$8,$AF$8:$CA$8,0)-MATCH($D81,$D$45:$D$92,0)+1,0),0),1)</f>
        <v>0</v>
      </c>
      <c r="BQ81" s="444" cm="1">
        <f t="array" ref="BQ81">$E81*IFERROR(IF($D81&lt;=BQ$8,INDEX($E$32:$E$37,MATCH(BQ$8,$AF$8:$CA$8,0)-MATCH($D81,$D$45:$D$92,0)+1,0),0),1)</f>
        <v>0</v>
      </c>
      <c r="BR81" s="444" cm="1">
        <f t="array" ref="BR81">$E81*IFERROR(IF($D81&lt;=BR$8,INDEX($E$32:$E$37,MATCH(BR$8,$AF$8:$CA$8,0)-MATCH($D81,$D$45:$D$92,0)+1,0),0),1)</f>
        <v>0</v>
      </c>
      <c r="BS81" s="444" cm="1">
        <f t="array" ref="BS81">$E81*IFERROR(IF($D81&lt;=BS$8,INDEX($E$32:$E$37,MATCH(BS$8,$AF$8:$CA$8,0)-MATCH($D81,$D$45:$D$92,0)+1,0),0),1)</f>
        <v>0</v>
      </c>
      <c r="BT81" s="444" cm="1">
        <f t="array" ref="BT81">$E81*IFERROR(IF($D81&lt;=BT$8,INDEX($E$32:$E$37,MATCH(BT$8,$AF$8:$CA$8,0)-MATCH($D81,$D$45:$D$92,0)+1,0),0),1)</f>
        <v>0</v>
      </c>
      <c r="BU81" s="444" cm="1">
        <f t="array" ref="BU81">$E81*IFERROR(IF($D81&lt;=BU$8,INDEX($E$32:$E$37,MATCH(BU$8,$AF$8:$CA$8,0)-MATCH($D81,$D$45:$D$92,0)+1,0),0),1)</f>
        <v>0</v>
      </c>
      <c r="BV81" s="444" cm="1">
        <f t="array" ref="BV81">$E81*IFERROR(IF($D81&lt;=BV$8,INDEX($E$32:$E$37,MATCH(BV$8,$AF$8:$CA$8,0)-MATCH($D81,$D$45:$D$92,0)+1,0),0),1)</f>
        <v>0</v>
      </c>
      <c r="BW81" s="444" cm="1">
        <f t="array" ref="BW81">$E81*IFERROR(IF($D81&lt;=BW$8,INDEX($E$32:$E$37,MATCH(BW$8,$AF$8:$CA$8,0)-MATCH($D81,$D$45:$D$92,0)+1,0),0),1)</f>
        <v>0</v>
      </c>
      <c r="BX81" s="444" cm="1">
        <f t="array" ref="BX81">$E81*IFERROR(IF($D81&lt;=BX$8,INDEX($E$32:$E$37,MATCH(BX$8,$AF$8:$CA$8,0)-MATCH($D81,$D$45:$D$92,0)+1,0),0),1)</f>
        <v>0</v>
      </c>
      <c r="BY81" s="444" cm="1">
        <f t="array" ref="BY81">$E81*IFERROR(IF($D81&lt;=BY$8,INDEX($E$32:$E$37,MATCH(BY$8,$AF$8:$CA$8,0)-MATCH($D81,$D$45:$D$92,0)+1,0),0),1)</f>
        <v>0</v>
      </c>
      <c r="BZ81" s="444" cm="1">
        <f t="array" ref="BZ81">$E81*IFERROR(IF($D81&lt;=BZ$8,INDEX($E$32:$E$37,MATCH(BZ$8,$AF$8:$CA$8,0)-MATCH($D81,$D$45:$D$92,0)+1,0),0),1)</f>
        <v>0</v>
      </c>
      <c r="CA81" s="444" cm="1">
        <f t="array" ref="CA81">$E81*IFERROR(IF($D81&lt;=CA$8,INDEX($E$32:$E$37,MATCH(CA$8,$AF$8:$CA$8,0)-MATCH($D81,$D$45:$D$92,0)+1,0),0),1)</f>
        <v>0</v>
      </c>
    </row>
    <row r="82" spans="3:79" ht="21" hidden="1" customHeight="1" outlineLevel="3">
      <c r="C82" s="370"/>
      <c r="D82" s="374">
        <f t="shared" si="25"/>
        <v>46081</v>
      </c>
      <c r="E82" s="446" cm="1">
        <f t="array" ref="E82">INDEX($AF$41:$CA$41,0,MATCH($D82,$AF$8:$CA$8,0))</f>
        <v>0</v>
      </c>
      <c r="G82" s="431"/>
      <c r="H82" s="445">
        <f t="shared" si="26"/>
        <v>0</v>
      </c>
      <c r="I82" s="445">
        <f t="shared" si="26"/>
        <v>0</v>
      </c>
      <c r="J82" s="445">
        <f t="shared" si="26"/>
        <v>0</v>
      </c>
      <c r="K82" s="445">
        <f t="shared" si="26"/>
        <v>0</v>
      </c>
      <c r="L82" s="442"/>
      <c r="M82" s="434"/>
      <c r="N82" s="445">
        <f t="shared" si="27"/>
        <v>0</v>
      </c>
      <c r="O82" s="445">
        <f t="shared" si="27"/>
        <v>0</v>
      </c>
      <c r="P82" s="445">
        <f t="shared" si="27"/>
        <v>0</v>
      </c>
      <c r="Q82" s="445">
        <f t="shared" si="27"/>
        <v>0</v>
      </c>
      <c r="R82" s="445">
        <f t="shared" si="27"/>
        <v>0</v>
      </c>
      <c r="S82" s="445">
        <f t="shared" si="27"/>
        <v>0</v>
      </c>
      <c r="T82" s="445">
        <f t="shared" si="27"/>
        <v>0</v>
      </c>
      <c r="U82" s="445">
        <f t="shared" si="27"/>
        <v>0</v>
      </c>
      <c r="V82" s="445">
        <f t="shared" si="27"/>
        <v>0</v>
      </c>
      <c r="W82" s="445">
        <f t="shared" si="27"/>
        <v>0</v>
      </c>
      <c r="X82" s="445">
        <f t="shared" si="27"/>
        <v>0</v>
      </c>
      <c r="Y82" s="445">
        <f t="shared" si="27"/>
        <v>0</v>
      </c>
      <c r="Z82" s="445">
        <f t="shared" si="27"/>
        <v>0</v>
      </c>
      <c r="AA82" s="445">
        <f t="shared" si="27"/>
        <v>0</v>
      </c>
      <c r="AB82" s="445">
        <f t="shared" si="27"/>
        <v>0</v>
      </c>
      <c r="AC82" s="445">
        <f t="shared" si="27"/>
        <v>0</v>
      </c>
      <c r="AD82" s="442"/>
      <c r="AE82" s="434"/>
      <c r="AF82" s="444" cm="1">
        <f t="array" ref="AF82">$E82*IFERROR(IF($D82&lt;=AF$8,INDEX($E$32:$E$37,MATCH(AF$8,$AF$8:$CA$8,0)-MATCH($D82,$D$45:$D$92,0)+1,0),0),1)</f>
        <v>0</v>
      </c>
      <c r="AG82" s="444" cm="1">
        <f t="array" ref="AG82">$E82*IFERROR(IF($D82&lt;=AG$8,INDEX($E$32:$E$37,MATCH(AG$8,$AF$8:$CA$8,0)-MATCH($D82,$D$45:$D$92,0)+1,0),0),1)</f>
        <v>0</v>
      </c>
      <c r="AH82" s="444" cm="1">
        <f t="array" ref="AH82">$E82*IFERROR(IF($D82&lt;=AH$8,INDEX($E$32:$E$37,MATCH(AH$8,$AF$8:$CA$8,0)-MATCH($D82,$D$45:$D$92,0)+1,0),0),1)</f>
        <v>0</v>
      </c>
      <c r="AI82" s="444" cm="1">
        <f t="array" ref="AI82">$E82*IFERROR(IF($D82&lt;=AI$8,INDEX($E$32:$E$37,MATCH(AI$8,$AF$8:$CA$8,0)-MATCH($D82,$D$45:$D$92,0)+1,0),0),1)</f>
        <v>0</v>
      </c>
      <c r="AJ82" s="444" cm="1">
        <f t="array" ref="AJ82">$E82*IFERROR(IF($D82&lt;=AJ$8,INDEX($E$32:$E$37,MATCH(AJ$8,$AF$8:$CA$8,0)-MATCH($D82,$D$45:$D$92,0)+1,0),0),1)</f>
        <v>0</v>
      </c>
      <c r="AK82" s="444" cm="1">
        <f t="array" ref="AK82">$E82*IFERROR(IF($D82&lt;=AK$8,INDEX($E$32:$E$37,MATCH(AK$8,$AF$8:$CA$8,0)-MATCH($D82,$D$45:$D$92,0)+1,0),0),1)</f>
        <v>0</v>
      </c>
      <c r="AL82" s="444" cm="1">
        <f t="array" ref="AL82">$E82*IFERROR(IF($D82&lt;=AL$8,INDEX($E$32:$E$37,MATCH(AL$8,$AF$8:$CA$8,0)-MATCH($D82,$D$45:$D$92,0)+1,0),0),1)</f>
        <v>0</v>
      </c>
      <c r="AM82" s="444" cm="1">
        <f t="array" ref="AM82">$E82*IFERROR(IF($D82&lt;=AM$8,INDEX($E$32:$E$37,MATCH(AM$8,$AF$8:$CA$8,0)-MATCH($D82,$D$45:$D$92,0)+1,0),0),1)</f>
        <v>0</v>
      </c>
      <c r="AN82" s="444" cm="1">
        <f t="array" ref="AN82">$E82*IFERROR(IF($D82&lt;=AN$8,INDEX($E$32:$E$37,MATCH(AN$8,$AF$8:$CA$8,0)-MATCH($D82,$D$45:$D$92,0)+1,0),0),1)</f>
        <v>0</v>
      </c>
      <c r="AO82" s="444" cm="1">
        <f t="array" ref="AO82">$E82*IFERROR(IF($D82&lt;=AO$8,INDEX($E$32:$E$37,MATCH(AO$8,$AF$8:$CA$8,0)-MATCH($D82,$D$45:$D$92,0)+1,0),0),1)</f>
        <v>0</v>
      </c>
      <c r="AP82" s="444" cm="1">
        <f t="array" ref="AP82">$E82*IFERROR(IF($D82&lt;=AP$8,INDEX($E$32:$E$37,MATCH(AP$8,$AF$8:$CA$8,0)-MATCH($D82,$D$45:$D$92,0)+1,0),0),1)</f>
        <v>0</v>
      </c>
      <c r="AQ82" s="444" cm="1">
        <f t="array" ref="AQ82">$E82*IFERROR(IF($D82&lt;=AQ$8,INDEX($E$32:$E$37,MATCH(AQ$8,$AF$8:$CA$8,0)-MATCH($D82,$D$45:$D$92,0)+1,0),0),1)</f>
        <v>0</v>
      </c>
      <c r="AR82" s="444" cm="1">
        <f t="array" ref="AR82">$E82*IFERROR(IF($D82&lt;=AR$8,INDEX($E$32:$E$37,MATCH(AR$8,$AF$8:$CA$8,0)-MATCH($D82,$D$45:$D$92,0)+1,0),0),1)</f>
        <v>0</v>
      </c>
      <c r="AS82" s="444" cm="1">
        <f t="array" ref="AS82">$E82*IFERROR(IF($D82&lt;=AS$8,INDEX($E$32:$E$37,MATCH(AS$8,$AF$8:$CA$8,0)-MATCH($D82,$D$45:$D$92,0)+1,0),0),1)</f>
        <v>0</v>
      </c>
      <c r="AT82" s="444" cm="1">
        <f t="array" ref="AT82">$E82*IFERROR(IF($D82&lt;=AT$8,INDEX($E$32:$E$37,MATCH(AT$8,$AF$8:$CA$8,0)-MATCH($D82,$D$45:$D$92,0)+1,0),0),1)</f>
        <v>0</v>
      </c>
      <c r="AU82" s="444" cm="1">
        <f t="array" ref="AU82">$E82*IFERROR(IF($D82&lt;=AU$8,INDEX($E$32:$E$37,MATCH(AU$8,$AF$8:$CA$8,0)-MATCH($D82,$D$45:$D$92,0)+1,0),0),1)</f>
        <v>0</v>
      </c>
      <c r="AV82" s="444" cm="1">
        <f t="array" ref="AV82">$E82*IFERROR(IF($D82&lt;=AV$8,INDEX($E$32:$E$37,MATCH(AV$8,$AF$8:$CA$8,0)-MATCH($D82,$D$45:$D$92,0)+1,0),0),1)</f>
        <v>0</v>
      </c>
      <c r="AW82" s="444" cm="1">
        <f t="array" ref="AW82">$E82*IFERROR(IF($D82&lt;=AW$8,INDEX($E$32:$E$37,MATCH(AW$8,$AF$8:$CA$8,0)-MATCH($D82,$D$45:$D$92,0)+1,0),0),1)</f>
        <v>0</v>
      </c>
      <c r="AX82" s="444" cm="1">
        <f t="array" ref="AX82">$E82*IFERROR(IF($D82&lt;=AX$8,INDEX($E$32:$E$37,MATCH(AX$8,$AF$8:$CA$8,0)-MATCH($D82,$D$45:$D$92,0)+1,0),0),1)</f>
        <v>0</v>
      </c>
      <c r="AY82" s="444" cm="1">
        <f t="array" ref="AY82">$E82*IFERROR(IF($D82&lt;=AY$8,INDEX($E$32:$E$37,MATCH(AY$8,$AF$8:$CA$8,0)-MATCH($D82,$D$45:$D$92,0)+1,0),0),1)</f>
        <v>0</v>
      </c>
      <c r="AZ82" s="444" cm="1">
        <f t="array" ref="AZ82">$E82*IFERROR(IF($D82&lt;=AZ$8,INDEX($E$32:$E$37,MATCH(AZ$8,$AF$8:$CA$8,0)-MATCH($D82,$D$45:$D$92,0)+1,0),0),1)</f>
        <v>0</v>
      </c>
      <c r="BA82" s="444" cm="1">
        <f t="array" ref="BA82">$E82*IFERROR(IF($D82&lt;=BA$8,INDEX($E$32:$E$37,MATCH(BA$8,$AF$8:$CA$8,0)-MATCH($D82,$D$45:$D$92,0)+1,0),0),1)</f>
        <v>0</v>
      </c>
      <c r="BB82" s="444" cm="1">
        <f t="array" ref="BB82">$E82*IFERROR(IF($D82&lt;=BB$8,INDEX($E$32:$E$37,MATCH(BB$8,$AF$8:$CA$8,0)-MATCH($D82,$D$45:$D$92,0)+1,0),0),1)</f>
        <v>0</v>
      </c>
      <c r="BC82" s="444" cm="1">
        <f t="array" ref="BC82">$E82*IFERROR(IF($D82&lt;=BC$8,INDEX($E$32:$E$37,MATCH(BC$8,$AF$8:$CA$8,0)-MATCH($D82,$D$45:$D$92,0)+1,0),0),1)</f>
        <v>0</v>
      </c>
      <c r="BD82" s="444" cm="1">
        <f t="array" ref="BD82">$E82*IFERROR(IF($D82&lt;=BD$8,INDEX($E$32:$E$37,MATCH(BD$8,$AF$8:$CA$8,0)-MATCH($D82,$D$45:$D$92,0)+1,0),0),1)</f>
        <v>0</v>
      </c>
      <c r="BE82" s="444" cm="1">
        <f t="array" ref="BE82">$E82*IFERROR(IF($D82&lt;=BE$8,INDEX($E$32:$E$37,MATCH(BE$8,$AF$8:$CA$8,0)-MATCH($D82,$D$45:$D$92,0)+1,0),0),1)</f>
        <v>0</v>
      </c>
      <c r="BF82" s="444" cm="1">
        <f t="array" ref="BF82">$E82*IFERROR(IF($D82&lt;=BF$8,INDEX($E$32:$E$37,MATCH(BF$8,$AF$8:$CA$8,0)-MATCH($D82,$D$45:$D$92,0)+1,0),0),1)</f>
        <v>0</v>
      </c>
      <c r="BG82" s="444" cm="1">
        <f t="array" ref="BG82">$E82*IFERROR(IF($D82&lt;=BG$8,INDEX($E$32:$E$37,MATCH(BG$8,$AF$8:$CA$8,0)-MATCH($D82,$D$45:$D$92,0)+1,0),0),1)</f>
        <v>0</v>
      </c>
      <c r="BH82" s="444" cm="1">
        <f t="array" ref="BH82">$E82*IFERROR(IF($D82&lt;=BH$8,INDEX($E$32:$E$37,MATCH(BH$8,$AF$8:$CA$8,0)-MATCH($D82,$D$45:$D$92,0)+1,0),0),1)</f>
        <v>0</v>
      </c>
      <c r="BI82" s="444" cm="1">
        <f t="array" ref="BI82">$E82*IFERROR(IF($D82&lt;=BI$8,INDEX($E$32:$E$37,MATCH(BI$8,$AF$8:$CA$8,0)-MATCH($D82,$D$45:$D$92,0)+1,0),0),1)</f>
        <v>0</v>
      </c>
      <c r="BJ82" s="444" cm="1">
        <f t="array" ref="BJ82">$E82*IFERROR(IF($D82&lt;=BJ$8,INDEX($E$32:$E$37,MATCH(BJ$8,$AF$8:$CA$8,0)-MATCH($D82,$D$45:$D$92,0)+1,0),0),1)</f>
        <v>0</v>
      </c>
      <c r="BK82" s="444" cm="1">
        <f t="array" ref="BK82">$E82*IFERROR(IF($D82&lt;=BK$8,INDEX($E$32:$E$37,MATCH(BK$8,$AF$8:$CA$8,0)-MATCH($D82,$D$45:$D$92,0)+1,0),0),1)</f>
        <v>0</v>
      </c>
      <c r="BL82" s="444" cm="1">
        <f t="array" ref="BL82">$E82*IFERROR(IF($D82&lt;=BL$8,INDEX($E$32:$E$37,MATCH(BL$8,$AF$8:$CA$8,0)-MATCH($D82,$D$45:$D$92,0)+1,0),0),1)</f>
        <v>0</v>
      </c>
      <c r="BM82" s="444" cm="1">
        <f t="array" ref="BM82">$E82*IFERROR(IF($D82&lt;=BM$8,INDEX($E$32:$E$37,MATCH(BM$8,$AF$8:$CA$8,0)-MATCH($D82,$D$45:$D$92,0)+1,0),0),1)</f>
        <v>0</v>
      </c>
      <c r="BN82" s="444" cm="1">
        <f t="array" ref="BN82">$E82*IFERROR(IF($D82&lt;=BN$8,INDEX($E$32:$E$37,MATCH(BN$8,$AF$8:$CA$8,0)-MATCH($D82,$D$45:$D$92,0)+1,0),0),1)</f>
        <v>0</v>
      </c>
      <c r="BO82" s="444" cm="1">
        <f t="array" ref="BO82">$E82*IFERROR(IF($D82&lt;=BO$8,INDEX($E$32:$E$37,MATCH(BO$8,$AF$8:$CA$8,0)-MATCH($D82,$D$45:$D$92,0)+1,0),0),1)</f>
        <v>0</v>
      </c>
      <c r="BP82" s="444" cm="1">
        <f t="array" ref="BP82">$E82*IFERROR(IF($D82&lt;=BP$8,INDEX($E$32:$E$37,MATCH(BP$8,$AF$8:$CA$8,0)-MATCH($D82,$D$45:$D$92,0)+1,0),0),1)</f>
        <v>0</v>
      </c>
      <c r="BQ82" s="444" cm="1">
        <f t="array" ref="BQ82">$E82*IFERROR(IF($D82&lt;=BQ$8,INDEX($E$32:$E$37,MATCH(BQ$8,$AF$8:$CA$8,0)-MATCH($D82,$D$45:$D$92,0)+1,0),0),1)</f>
        <v>0</v>
      </c>
      <c r="BR82" s="444" cm="1">
        <f t="array" ref="BR82">$E82*IFERROR(IF($D82&lt;=BR$8,INDEX($E$32:$E$37,MATCH(BR$8,$AF$8:$CA$8,0)-MATCH($D82,$D$45:$D$92,0)+1,0),0),1)</f>
        <v>0</v>
      </c>
      <c r="BS82" s="444" cm="1">
        <f t="array" ref="BS82">$E82*IFERROR(IF($D82&lt;=BS$8,INDEX($E$32:$E$37,MATCH(BS$8,$AF$8:$CA$8,0)-MATCH($D82,$D$45:$D$92,0)+1,0),0),1)</f>
        <v>0</v>
      </c>
      <c r="BT82" s="444" cm="1">
        <f t="array" ref="BT82">$E82*IFERROR(IF($D82&lt;=BT$8,INDEX($E$32:$E$37,MATCH(BT$8,$AF$8:$CA$8,0)-MATCH($D82,$D$45:$D$92,0)+1,0),0),1)</f>
        <v>0</v>
      </c>
      <c r="BU82" s="444" cm="1">
        <f t="array" ref="BU82">$E82*IFERROR(IF($D82&lt;=BU$8,INDEX($E$32:$E$37,MATCH(BU$8,$AF$8:$CA$8,0)-MATCH($D82,$D$45:$D$92,0)+1,0),0),1)</f>
        <v>0</v>
      </c>
      <c r="BV82" s="444" cm="1">
        <f t="array" ref="BV82">$E82*IFERROR(IF($D82&lt;=BV$8,INDEX($E$32:$E$37,MATCH(BV$8,$AF$8:$CA$8,0)-MATCH($D82,$D$45:$D$92,0)+1,0),0),1)</f>
        <v>0</v>
      </c>
      <c r="BW82" s="444" cm="1">
        <f t="array" ref="BW82">$E82*IFERROR(IF($D82&lt;=BW$8,INDEX($E$32:$E$37,MATCH(BW$8,$AF$8:$CA$8,0)-MATCH($D82,$D$45:$D$92,0)+1,0),0),1)</f>
        <v>0</v>
      </c>
      <c r="BX82" s="444" cm="1">
        <f t="array" ref="BX82">$E82*IFERROR(IF($D82&lt;=BX$8,INDEX($E$32:$E$37,MATCH(BX$8,$AF$8:$CA$8,0)-MATCH($D82,$D$45:$D$92,0)+1,0),0),1)</f>
        <v>0</v>
      </c>
      <c r="BY82" s="444" cm="1">
        <f t="array" ref="BY82">$E82*IFERROR(IF($D82&lt;=BY$8,INDEX($E$32:$E$37,MATCH(BY$8,$AF$8:$CA$8,0)-MATCH($D82,$D$45:$D$92,0)+1,0),0),1)</f>
        <v>0</v>
      </c>
      <c r="BZ82" s="444" cm="1">
        <f t="array" ref="BZ82">$E82*IFERROR(IF($D82&lt;=BZ$8,INDEX($E$32:$E$37,MATCH(BZ$8,$AF$8:$CA$8,0)-MATCH($D82,$D$45:$D$92,0)+1,0),0),1)</f>
        <v>0</v>
      </c>
      <c r="CA82" s="444" cm="1">
        <f t="array" ref="CA82">$E82*IFERROR(IF($D82&lt;=CA$8,INDEX($E$32:$E$37,MATCH(CA$8,$AF$8:$CA$8,0)-MATCH($D82,$D$45:$D$92,0)+1,0),0),1)</f>
        <v>0</v>
      </c>
    </row>
    <row r="83" spans="3:79" ht="21" hidden="1" customHeight="1" outlineLevel="3">
      <c r="C83" s="370"/>
      <c r="D83" s="374">
        <f t="shared" si="25"/>
        <v>46112</v>
      </c>
      <c r="E83" s="446" cm="1">
        <f t="array" ref="E83">INDEX($AF$41:$CA$41,0,MATCH($D83,$AF$8:$CA$8,0))</f>
        <v>0</v>
      </c>
      <c r="G83" s="431"/>
      <c r="H83" s="445">
        <f t="shared" si="26"/>
        <v>0</v>
      </c>
      <c r="I83" s="445">
        <f t="shared" si="26"/>
        <v>0</v>
      </c>
      <c r="J83" s="445">
        <f t="shared" si="26"/>
        <v>0</v>
      </c>
      <c r="K83" s="445">
        <f t="shared" si="26"/>
        <v>0</v>
      </c>
      <c r="L83" s="442"/>
      <c r="M83" s="434"/>
      <c r="N83" s="445">
        <f t="shared" si="27"/>
        <v>0</v>
      </c>
      <c r="O83" s="445">
        <f t="shared" si="27"/>
        <v>0</v>
      </c>
      <c r="P83" s="445">
        <f t="shared" si="27"/>
        <v>0</v>
      </c>
      <c r="Q83" s="445">
        <f t="shared" si="27"/>
        <v>0</v>
      </c>
      <c r="R83" s="445">
        <f t="shared" si="27"/>
        <v>0</v>
      </c>
      <c r="S83" s="445">
        <f t="shared" si="27"/>
        <v>0</v>
      </c>
      <c r="T83" s="445">
        <f t="shared" si="27"/>
        <v>0</v>
      </c>
      <c r="U83" s="445">
        <f t="shared" si="27"/>
        <v>0</v>
      </c>
      <c r="V83" s="445">
        <f t="shared" si="27"/>
        <v>0</v>
      </c>
      <c r="W83" s="445">
        <f t="shared" si="27"/>
        <v>0</v>
      </c>
      <c r="X83" s="445">
        <f t="shared" si="27"/>
        <v>0</v>
      </c>
      <c r="Y83" s="445">
        <f t="shared" si="27"/>
        <v>0</v>
      </c>
      <c r="Z83" s="445">
        <f t="shared" si="27"/>
        <v>0</v>
      </c>
      <c r="AA83" s="445">
        <f t="shared" si="27"/>
        <v>0</v>
      </c>
      <c r="AB83" s="445">
        <f t="shared" si="27"/>
        <v>0</v>
      </c>
      <c r="AC83" s="445">
        <f t="shared" si="27"/>
        <v>0</v>
      </c>
      <c r="AD83" s="442"/>
      <c r="AE83" s="434"/>
      <c r="AF83" s="444" cm="1">
        <f t="array" ref="AF83">$E83*IFERROR(IF($D83&lt;=AF$8,INDEX($E$32:$E$37,MATCH(AF$8,$AF$8:$CA$8,0)-MATCH($D83,$D$45:$D$92,0)+1,0),0),1)</f>
        <v>0</v>
      </c>
      <c r="AG83" s="444" cm="1">
        <f t="array" ref="AG83">$E83*IFERROR(IF($D83&lt;=AG$8,INDEX($E$32:$E$37,MATCH(AG$8,$AF$8:$CA$8,0)-MATCH($D83,$D$45:$D$92,0)+1,0),0),1)</f>
        <v>0</v>
      </c>
      <c r="AH83" s="444" cm="1">
        <f t="array" ref="AH83">$E83*IFERROR(IF($D83&lt;=AH$8,INDEX($E$32:$E$37,MATCH(AH$8,$AF$8:$CA$8,0)-MATCH($D83,$D$45:$D$92,0)+1,0),0),1)</f>
        <v>0</v>
      </c>
      <c r="AI83" s="444" cm="1">
        <f t="array" ref="AI83">$E83*IFERROR(IF($D83&lt;=AI$8,INDEX($E$32:$E$37,MATCH(AI$8,$AF$8:$CA$8,0)-MATCH($D83,$D$45:$D$92,0)+1,0),0),1)</f>
        <v>0</v>
      </c>
      <c r="AJ83" s="444" cm="1">
        <f t="array" ref="AJ83">$E83*IFERROR(IF($D83&lt;=AJ$8,INDEX($E$32:$E$37,MATCH(AJ$8,$AF$8:$CA$8,0)-MATCH($D83,$D$45:$D$92,0)+1,0),0),1)</f>
        <v>0</v>
      </c>
      <c r="AK83" s="444" cm="1">
        <f t="array" ref="AK83">$E83*IFERROR(IF($D83&lt;=AK$8,INDEX($E$32:$E$37,MATCH(AK$8,$AF$8:$CA$8,0)-MATCH($D83,$D$45:$D$92,0)+1,0),0),1)</f>
        <v>0</v>
      </c>
      <c r="AL83" s="444" cm="1">
        <f t="array" ref="AL83">$E83*IFERROR(IF($D83&lt;=AL$8,INDEX($E$32:$E$37,MATCH(AL$8,$AF$8:$CA$8,0)-MATCH($D83,$D$45:$D$92,0)+1,0),0),1)</f>
        <v>0</v>
      </c>
      <c r="AM83" s="444" cm="1">
        <f t="array" ref="AM83">$E83*IFERROR(IF($D83&lt;=AM$8,INDEX($E$32:$E$37,MATCH(AM$8,$AF$8:$CA$8,0)-MATCH($D83,$D$45:$D$92,0)+1,0),0),1)</f>
        <v>0</v>
      </c>
      <c r="AN83" s="444" cm="1">
        <f t="array" ref="AN83">$E83*IFERROR(IF($D83&lt;=AN$8,INDEX($E$32:$E$37,MATCH(AN$8,$AF$8:$CA$8,0)-MATCH($D83,$D$45:$D$92,0)+1,0),0),1)</f>
        <v>0</v>
      </c>
      <c r="AO83" s="444" cm="1">
        <f t="array" ref="AO83">$E83*IFERROR(IF($D83&lt;=AO$8,INDEX($E$32:$E$37,MATCH(AO$8,$AF$8:$CA$8,0)-MATCH($D83,$D$45:$D$92,0)+1,0),0),1)</f>
        <v>0</v>
      </c>
      <c r="AP83" s="444" cm="1">
        <f t="array" ref="AP83">$E83*IFERROR(IF($D83&lt;=AP$8,INDEX($E$32:$E$37,MATCH(AP$8,$AF$8:$CA$8,0)-MATCH($D83,$D$45:$D$92,0)+1,0),0),1)</f>
        <v>0</v>
      </c>
      <c r="AQ83" s="444" cm="1">
        <f t="array" ref="AQ83">$E83*IFERROR(IF($D83&lt;=AQ$8,INDEX($E$32:$E$37,MATCH(AQ$8,$AF$8:$CA$8,0)-MATCH($D83,$D$45:$D$92,0)+1,0),0),1)</f>
        <v>0</v>
      </c>
      <c r="AR83" s="444" cm="1">
        <f t="array" ref="AR83">$E83*IFERROR(IF($D83&lt;=AR$8,INDEX($E$32:$E$37,MATCH(AR$8,$AF$8:$CA$8,0)-MATCH($D83,$D$45:$D$92,0)+1,0),0),1)</f>
        <v>0</v>
      </c>
      <c r="AS83" s="444" cm="1">
        <f t="array" ref="AS83">$E83*IFERROR(IF($D83&lt;=AS$8,INDEX($E$32:$E$37,MATCH(AS$8,$AF$8:$CA$8,0)-MATCH($D83,$D$45:$D$92,0)+1,0),0),1)</f>
        <v>0</v>
      </c>
      <c r="AT83" s="444" cm="1">
        <f t="array" ref="AT83">$E83*IFERROR(IF($D83&lt;=AT$8,INDEX($E$32:$E$37,MATCH(AT$8,$AF$8:$CA$8,0)-MATCH($D83,$D$45:$D$92,0)+1,0),0),1)</f>
        <v>0</v>
      </c>
      <c r="AU83" s="444" cm="1">
        <f t="array" ref="AU83">$E83*IFERROR(IF($D83&lt;=AU$8,INDEX($E$32:$E$37,MATCH(AU$8,$AF$8:$CA$8,0)-MATCH($D83,$D$45:$D$92,0)+1,0),0),1)</f>
        <v>0</v>
      </c>
      <c r="AV83" s="444" cm="1">
        <f t="array" ref="AV83">$E83*IFERROR(IF($D83&lt;=AV$8,INDEX($E$32:$E$37,MATCH(AV$8,$AF$8:$CA$8,0)-MATCH($D83,$D$45:$D$92,0)+1,0),0),1)</f>
        <v>0</v>
      </c>
      <c r="AW83" s="444" cm="1">
        <f t="array" ref="AW83">$E83*IFERROR(IF($D83&lt;=AW$8,INDEX($E$32:$E$37,MATCH(AW$8,$AF$8:$CA$8,0)-MATCH($D83,$D$45:$D$92,0)+1,0),0),1)</f>
        <v>0</v>
      </c>
      <c r="AX83" s="444" cm="1">
        <f t="array" ref="AX83">$E83*IFERROR(IF($D83&lt;=AX$8,INDEX($E$32:$E$37,MATCH(AX$8,$AF$8:$CA$8,0)-MATCH($D83,$D$45:$D$92,0)+1,0),0),1)</f>
        <v>0</v>
      </c>
      <c r="AY83" s="444" cm="1">
        <f t="array" ref="AY83">$E83*IFERROR(IF($D83&lt;=AY$8,INDEX($E$32:$E$37,MATCH(AY$8,$AF$8:$CA$8,0)-MATCH($D83,$D$45:$D$92,0)+1,0),0),1)</f>
        <v>0</v>
      </c>
      <c r="AZ83" s="444" cm="1">
        <f t="array" ref="AZ83">$E83*IFERROR(IF($D83&lt;=AZ$8,INDEX($E$32:$E$37,MATCH(AZ$8,$AF$8:$CA$8,0)-MATCH($D83,$D$45:$D$92,0)+1,0),0),1)</f>
        <v>0</v>
      </c>
      <c r="BA83" s="444" cm="1">
        <f t="array" ref="BA83">$E83*IFERROR(IF($D83&lt;=BA$8,INDEX($E$32:$E$37,MATCH(BA$8,$AF$8:$CA$8,0)-MATCH($D83,$D$45:$D$92,0)+1,0),0),1)</f>
        <v>0</v>
      </c>
      <c r="BB83" s="444" cm="1">
        <f t="array" ref="BB83">$E83*IFERROR(IF($D83&lt;=BB$8,INDEX($E$32:$E$37,MATCH(BB$8,$AF$8:$CA$8,0)-MATCH($D83,$D$45:$D$92,0)+1,0),0),1)</f>
        <v>0</v>
      </c>
      <c r="BC83" s="444" cm="1">
        <f t="array" ref="BC83">$E83*IFERROR(IF($D83&lt;=BC$8,INDEX($E$32:$E$37,MATCH(BC$8,$AF$8:$CA$8,0)-MATCH($D83,$D$45:$D$92,0)+1,0),0),1)</f>
        <v>0</v>
      </c>
      <c r="BD83" s="444" cm="1">
        <f t="array" ref="BD83">$E83*IFERROR(IF($D83&lt;=BD$8,INDEX($E$32:$E$37,MATCH(BD$8,$AF$8:$CA$8,0)-MATCH($D83,$D$45:$D$92,0)+1,0),0),1)</f>
        <v>0</v>
      </c>
      <c r="BE83" s="444" cm="1">
        <f t="array" ref="BE83">$E83*IFERROR(IF($D83&lt;=BE$8,INDEX($E$32:$E$37,MATCH(BE$8,$AF$8:$CA$8,0)-MATCH($D83,$D$45:$D$92,0)+1,0),0),1)</f>
        <v>0</v>
      </c>
      <c r="BF83" s="444" cm="1">
        <f t="array" ref="BF83">$E83*IFERROR(IF($D83&lt;=BF$8,INDEX($E$32:$E$37,MATCH(BF$8,$AF$8:$CA$8,0)-MATCH($D83,$D$45:$D$92,0)+1,0),0),1)</f>
        <v>0</v>
      </c>
      <c r="BG83" s="444" cm="1">
        <f t="array" ref="BG83">$E83*IFERROR(IF($D83&lt;=BG$8,INDEX($E$32:$E$37,MATCH(BG$8,$AF$8:$CA$8,0)-MATCH($D83,$D$45:$D$92,0)+1,0),0),1)</f>
        <v>0</v>
      </c>
      <c r="BH83" s="444" cm="1">
        <f t="array" ref="BH83">$E83*IFERROR(IF($D83&lt;=BH$8,INDEX($E$32:$E$37,MATCH(BH$8,$AF$8:$CA$8,0)-MATCH($D83,$D$45:$D$92,0)+1,0),0),1)</f>
        <v>0</v>
      </c>
      <c r="BI83" s="444" cm="1">
        <f t="array" ref="BI83">$E83*IFERROR(IF($D83&lt;=BI$8,INDEX($E$32:$E$37,MATCH(BI$8,$AF$8:$CA$8,0)-MATCH($D83,$D$45:$D$92,0)+1,0),0),1)</f>
        <v>0</v>
      </c>
      <c r="BJ83" s="444" cm="1">
        <f t="array" ref="BJ83">$E83*IFERROR(IF($D83&lt;=BJ$8,INDEX($E$32:$E$37,MATCH(BJ$8,$AF$8:$CA$8,0)-MATCH($D83,$D$45:$D$92,0)+1,0),0),1)</f>
        <v>0</v>
      </c>
      <c r="BK83" s="444" cm="1">
        <f t="array" ref="BK83">$E83*IFERROR(IF($D83&lt;=BK$8,INDEX($E$32:$E$37,MATCH(BK$8,$AF$8:$CA$8,0)-MATCH($D83,$D$45:$D$92,0)+1,0),0),1)</f>
        <v>0</v>
      </c>
      <c r="BL83" s="444" cm="1">
        <f t="array" ref="BL83">$E83*IFERROR(IF($D83&lt;=BL$8,INDEX($E$32:$E$37,MATCH(BL$8,$AF$8:$CA$8,0)-MATCH($D83,$D$45:$D$92,0)+1,0),0),1)</f>
        <v>0</v>
      </c>
      <c r="BM83" s="444" cm="1">
        <f t="array" ref="BM83">$E83*IFERROR(IF($D83&lt;=BM$8,INDEX($E$32:$E$37,MATCH(BM$8,$AF$8:$CA$8,0)-MATCH($D83,$D$45:$D$92,0)+1,0),0),1)</f>
        <v>0</v>
      </c>
      <c r="BN83" s="444" cm="1">
        <f t="array" ref="BN83">$E83*IFERROR(IF($D83&lt;=BN$8,INDEX($E$32:$E$37,MATCH(BN$8,$AF$8:$CA$8,0)-MATCH($D83,$D$45:$D$92,0)+1,0),0),1)</f>
        <v>0</v>
      </c>
      <c r="BO83" s="444" cm="1">
        <f t="array" ref="BO83">$E83*IFERROR(IF($D83&lt;=BO$8,INDEX($E$32:$E$37,MATCH(BO$8,$AF$8:$CA$8,0)-MATCH($D83,$D$45:$D$92,0)+1,0),0),1)</f>
        <v>0</v>
      </c>
      <c r="BP83" s="444" cm="1">
        <f t="array" ref="BP83">$E83*IFERROR(IF($D83&lt;=BP$8,INDEX($E$32:$E$37,MATCH(BP$8,$AF$8:$CA$8,0)-MATCH($D83,$D$45:$D$92,0)+1,0),0),1)</f>
        <v>0</v>
      </c>
      <c r="BQ83" s="444" cm="1">
        <f t="array" ref="BQ83">$E83*IFERROR(IF($D83&lt;=BQ$8,INDEX($E$32:$E$37,MATCH(BQ$8,$AF$8:$CA$8,0)-MATCH($D83,$D$45:$D$92,0)+1,0),0),1)</f>
        <v>0</v>
      </c>
      <c r="BR83" s="444" cm="1">
        <f t="array" ref="BR83">$E83*IFERROR(IF($D83&lt;=BR$8,INDEX($E$32:$E$37,MATCH(BR$8,$AF$8:$CA$8,0)-MATCH($D83,$D$45:$D$92,0)+1,0),0),1)</f>
        <v>0</v>
      </c>
      <c r="BS83" s="444" cm="1">
        <f t="array" ref="BS83">$E83*IFERROR(IF($D83&lt;=BS$8,INDEX($E$32:$E$37,MATCH(BS$8,$AF$8:$CA$8,0)-MATCH($D83,$D$45:$D$92,0)+1,0),0),1)</f>
        <v>0</v>
      </c>
      <c r="BT83" s="444" cm="1">
        <f t="array" ref="BT83">$E83*IFERROR(IF($D83&lt;=BT$8,INDEX($E$32:$E$37,MATCH(BT$8,$AF$8:$CA$8,0)-MATCH($D83,$D$45:$D$92,0)+1,0),0),1)</f>
        <v>0</v>
      </c>
      <c r="BU83" s="444" cm="1">
        <f t="array" ref="BU83">$E83*IFERROR(IF($D83&lt;=BU$8,INDEX($E$32:$E$37,MATCH(BU$8,$AF$8:$CA$8,0)-MATCH($D83,$D$45:$D$92,0)+1,0),0),1)</f>
        <v>0</v>
      </c>
      <c r="BV83" s="444" cm="1">
        <f t="array" ref="BV83">$E83*IFERROR(IF($D83&lt;=BV$8,INDEX($E$32:$E$37,MATCH(BV$8,$AF$8:$CA$8,0)-MATCH($D83,$D$45:$D$92,0)+1,0),0),1)</f>
        <v>0</v>
      </c>
      <c r="BW83" s="444" cm="1">
        <f t="array" ref="BW83">$E83*IFERROR(IF($D83&lt;=BW$8,INDEX($E$32:$E$37,MATCH(BW$8,$AF$8:$CA$8,0)-MATCH($D83,$D$45:$D$92,0)+1,0),0),1)</f>
        <v>0</v>
      </c>
      <c r="BX83" s="444" cm="1">
        <f t="array" ref="BX83">$E83*IFERROR(IF($D83&lt;=BX$8,INDEX($E$32:$E$37,MATCH(BX$8,$AF$8:$CA$8,0)-MATCH($D83,$D$45:$D$92,0)+1,0),0),1)</f>
        <v>0</v>
      </c>
      <c r="BY83" s="444" cm="1">
        <f t="array" ref="BY83">$E83*IFERROR(IF($D83&lt;=BY$8,INDEX($E$32:$E$37,MATCH(BY$8,$AF$8:$CA$8,0)-MATCH($D83,$D$45:$D$92,0)+1,0),0),1)</f>
        <v>0</v>
      </c>
      <c r="BZ83" s="444" cm="1">
        <f t="array" ref="BZ83">$E83*IFERROR(IF($D83&lt;=BZ$8,INDEX($E$32:$E$37,MATCH(BZ$8,$AF$8:$CA$8,0)-MATCH($D83,$D$45:$D$92,0)+1,0),0),1)</f>
        <v>0</v>
      </c>
      <c r="CA83" s="444" cm="1">
        <f t="array" ref="CA83">$E83*IFERROR(IF($D83&lt;=CA$8,INDEX($E$32:$E$37,MATCH(CA$8,$AF$8:$CA$8,0)-MATCH($D83,$D$45:$D$92,0)+1,0),0),1)</f>
        <v>0</v>
      </c>
    </row>
    <row r="84" spans="3:79" ht="21" hidden="1" customHeight="1" outlineLevel="3">
      <c r="C84" s="370"/>
      <c r="D84" s="374">
        <f t="shared" si="25"/>
        <v>46142</v>
      </c>
      <c r="E84" s="446" cm="1">
        <f t="array" ref="E84">INDEX($AF$41:$CA$41,0,MATCH($D84,$AF$8:$CA$8,0))</f>
        <v>0</v>
      </c>
      <c r="G84" s="431"/>
      <c r="H84" s="445">
        <f t="shared" si="26"/>
        <v>0</v>
      </c>
      <c r="I84" s="445">
        <f t="shared" si="26"/>
        <v>0</v>
      </c>
      <c r="J84" s="445">
        <f t="shared" si="26"/>
        <v>0</v>
      </c>
      <c r="K84" s="445">
        <f t="shared" si="26"/>
        <v>0</v>
      </c>
      <c r="L84" s="442"/>
      <c r="M84" s="434"/>
      <c r="N84" s="445">
        <f t="shared" si="27"/>
        <v>0</v>
      </c>
      <c r="O84" s="445">
        <f t="shared" si="27"/>
        <v>0</v>
      </c>
      <c r="P84" s="445">
        <f t="shared" si="27"/>
        <v>0</v>
      </c>
      <c r="Q84" s="445">
        <f t="shared" si="27"/>
        <v>0</v>
      </c>
      <c r="R84" s="445">
        <f t="shared" si="27"/>
        <v>0</v>
      </c>
      <c r="S84" s="445">
        <f t="shared" si="27"/>
        <v>0</v>
      </c>
      <c r="T84" s="445">
        <f t="shared" si="27"/>
        <v>0</v>
      </c>
      <c r="U84" s="445">
        <f t="shared" si="27"/>
        <v>0</v>
      </c>
      <c r="V84" s="445">
        <f t="shared" si="27"/>
        <v>0</v>
      </c>
      <c r="W84" s="445">
        <f t="shared" si="27"/>
        <v>0</v>
      </c>
      <c r="X84" s="445">
        <f t="shared" si="27"/>
        <v>0</v>
      </c>
      <c r="Y84" s="445">
        <f t="shared" si="27"/>
        <v>0</v>
      </c>
      <c r="Z84" s="445">
        <f t="shared" si="27"/>
        <v>0</v>
      </c>
      <c r="AA84" s="445">
        <f t="shared" si="27"/>
        <v>0</v>
      </c>
      <c r="AB84" s="445">
        <f t="shared" si="27"/>
        <v>0</v>
      </c>
      <c r="AC84" s="445">
        <f t="shared" si="27"/>
        <v>0</v>
      </c>
      <c r="AD84" s="442"/>
      <c r="AE84" s="434"/>
      <c r="AF84" s="444" cm="1">
        <f t="array" ref="AF84">$E84*IFERROR(IF($D84&lt;=AF$8,INDEX($E$32:$E$37,MATCH(AF$8,$AF$8:$CA$8,0)-MATCH($D84,$D$45:$D$92,0)+1,0),0),1)</f>
        <v>0</v>
      </c>
      <c r="AG84" s="444" cm="1">
        <f t="array" ref="AG84">$E84*IFERROR(IF($D84&lt;=AG$8,INDEX($E$32:$E$37,MATCH(AG$8,$AF$8:$CA$8,0)-MATCH($D84,$D$45:$D$92,0)+1,0),0),1)</f>
        <v>0</v>
      </c>
      <c r="AH84" s="444" cm="1">
        <f t="array" ref="AH84">$E84*IFERROR(IF($D84&lt;=AH$8,INDEX($E$32:$E$37,MATCH(AH$8,$AF$8:$CA$8,0)-MATCH($D84,$D$45:$D$92,0)+1,0),0),1)</f>
        <v>0</v>
      </c>
      <c r="AI84" s="444" cm="1">
        <f t="array" ref="AI84">$E84*IFERROR(IF($D84&lt;=AI$8,INDEX($E$32:$E$37,MATCH(AI$8,$AF$8:$CA$8,0)-MATCH($D84,$D$45:$D$92,0)+1,0),0),1)</f>
        <v>0</v>
      </c>
      <c r="AJ84" s="444" cm="1">
        <f t="array" ref="AJ84">$E84*IFERROR(IF($D84&lt;=AJ$8,INDEX($E$32:$E$37,MATCH(AJ$8,$AF$8:$CA$8,0)-MATCH($D84,$D$45:$D$92,0)+1,0),0),1)</f>
        <v>0</v>
      </c>
      <c r="AK84" s="444" cm="1">
        <f t="array" ref="AK84">$E84*IFERROR(IF($D84&lt;=AK$8,INDEX($E$32:$E$37,MATCH(AK$8,$AF$8:$CA$8,0)-MATCH($D84,$D$45:$D$92,0)+1,0),0),1)</f>
        <v>0</v>
      </c>
      <c r="AL84" s="444" cm="1">
        <f t="array" ref="AL84">$E84*IFERROR(IF($D84&lt;=AL$8,INDEX($E$32:$E$37,MATCH(AL$8,$AF$8:$CA$8,0)-MATCH($D84,$D$45:$D$92,0)+1,0),0),1)</f>
        <v>0</v>
      </c>
      <c r="AM84" s="444" cm="1">
        <f t="array" ref="AM84">$E84*IFERROR(IF($D84&lt;=AM$8,INDEX($E$32:$E$37,MATCH(AM$8,$AF$8:$CA$8,0)-MATCH($D84,$D$45:$D$92,0)+1,0),0),1)</f>
        <v>0</v>
      </c>
      <c r="AN84" s="444" cm="1">
        <f t="array" ref="AN84">$E84*IFERROR(IF($D84&lt;=AN$8,INDEX($E$32:$E$37,MATCH(AN$8,$AF$8:$CA$8,0)-MATCH($D84,$D$45:$D$92,0)+1,0),0),1)</f>
        <v>0</v>
      </c>
      <c r="AO84" s="444" cm="1">
        <f t="array" ref="AO84">$E84*IFERROR(IF($D84&lt;=AO$8,INDEX($E$32:$E$37,MATCH(AO$8,$AF$8:$CA$8,0)-MATCH($D84,$D$45:$D$92,0)+1,0),0),1)</f>
        <v>0</v>
      </c>
      <c r="AP84" s="444" cm="1">
        <f t="array" ref="AP84">$E84*IFERROR(IF($D84&lt;=AP$8,INDEX($E$32:$E$37,MATCH(AP$8,$AF$8:$CA$8,0)-MATCH($D84,$D$45:$D$92,0)+1,0),0),1)</f>
        <v>0</v>
      </c>
      <c r="AQ84" s="444" cm="1">
        <f t="array" ref="AQ84">$E84*IFERROR(IF($D84&lt;=AQ$8,INDEX($E$32:$E$37,MATCH(AQ$8,$AF$8:$CA$8,0)-MATCH($D84,$D$45:$D$92,0)+1,0),0),1)</f>
        <v>0</v>
      </c>
      <c r="AR84" s="444" cm="1">
        <f t="array" ref="AR84">$E84*IFERROR(IF($D84&lt;=AR$8,INDEX($E$32:$E$37,MATCH(AR$8,$AF$8:$CA$8,0)-MATCH($D84,$D$45:$D$92,0)+1,0),0),1)</f>
        <v>0</v>
      </c>
      <c r="AS84" s="444" cm="1">
        <f t="array" ref="AS84">$E84*IFERROR(IF($D84&lt;=AS$8,INDEX($E$32:$E$37,MATCH(AS$8,$AF$8:$CA$8,0)-MATCH($D84,$D$45:$D$92,0)+1,0),0),1)</f>
        <v>0</v>
      </c>
      <c r="AT84" s="444" cm="1">
        <f t="array" ref="AT84">$E84*IFERROR(IF($D84&lt;=AT$8,INDEX($E$32:$E$37,MATCH(AT$8,$AF$8:$CA$8,0)-MATCH($D84,$D$45:$D$92,0)+1,0),0),1)</f>
        <v>0</v>
      </c>
      <c r="AU84" s="444" cm="1">
        <f t="array" ref="AU84">$E84*IFERROR(IF($D84&lt;=AU$8,INDEX($E$32:$E$37,MATCH(AU$8,$AF$8:$CA$8,0)-MATCH($D84,$D$45:$D$92,0)+1,0),0),1)</f>
        <v>0</v>
      </c>
      <c r="AV84" s="444" cm="1">
        <f t="array" ref="AV84">$E84*IFERROR(IF($D84&lt;=AV$8,INDEX($E$32:$E$37,MATCH(AV$8,$AF$8:$CA$8,0)-MATCH($D84,$D$45:$D$92,0)+1,0),0),1)</f>
        <v>0</v>
      </c>
      <c r="AW84" s="444" cm="1">
        <f t="array" ref="AW84">$E84*IFERROR(IF($D84&lt;=AW$8,INDEX($E$32:$E$37,MATCH(AW$8,$AF$8:$CA$8,0)-MATCH($D84,$D$45:$D$92,0)+1,0),0),1)</f>
        <v>0</v>
      </c>
      <c r="AX84" s="444" cm="1">
        <f t="array" ref="AX84">$E84*IFERROR(IF($D84&lt;=AX$8,INDEX($E$32:$E$37,MATCH(AX$8,$AF$8:$CA$8,0)-MATCH($D84,$D$45:$D$92,0)+1,0),0),1)</f>
        <v>0</v>
      </c>
      <c r="AY84" s="444" cm="1">
        <f t="array" ref="AY84">$E84*IFERROR(IF($D84&lt;=AY$8,INDEX($E$32:$E$37,MATCH(AY$8,$AF$8:$CA$8,0)-MATCH($D84,$D$45:$D$92,0)+1,0),0),1)</f>
        <v>0</v>
      </c>
      <c r="AZ84" s="444" cm="1">
        <f t="array" ref="AZ84">$E84*IFERROR(IF($D84&lt;=AZ$8,INDEX($E$32:$E$37,MATCH(AZ$8,$AF$8:$CA$8,0)-MATCH($D84,$D$45:$D$92,0)+1,0),0),1)</f>
        <v>0</v>
      </c>
      <c r="BA84" s="444" cm="1">
        <f t="array" ref="BA84">$E84*IFERROR(IF($D84&lt;=BA$8,INDEX($E$32:$E$37,MATCH(BA$8,$AF$8:$CA$8,0)-MATCH($D84,$D$45:$D$92,0)+1,0),0),1)</f>
        <v>0</v>
      </c>
      <c r="BB84" s="444" cm="1">
        <f t="array" ref="BB84">$E84*IFERROR(IF($D84&lt;=BB$8,INDEX($E$32:$E$37,MATCH(BB$8,$AF$8:$CA$8,0)-MATCH($D84,$D$45:$D$92,0)+1,0),0),1)</f>
        <v>0</v>
      </c>
      <c r="BC84" s="444" cm="1">
        <f t="array" ref="BC84">$E84*IFERROR(IF($D84&lt;=BC$8,INDEX($E$32:$E$37,MATCH(BC$8,$AF$8:$CA$8,0)-MATCH($D84,$D$45:$D$92,0)+1,0),0),1)</f>
        <v>0</v>
      </c>
      <c r="BD84" s="444" cm="1">
        <f t="array" ref="BD84">$E84*IFERROR(IF($D84&lt;=BD$8,INDEX($E$32:$E$37,MATCH(BD$8,$AF$8:$CA$8,0)-MATCH($D84,$D$45:$D$92,0)+1,0),0),1)</f>
        <v>0</v>
      </c>
      <c r="BE84" s="444" cm="1">
        <f t="array" ref="BE84">$E84*IFERROR(IF($D84&lt;=BE$8,INDEX($E$32:$E$37,MATCH(BE$8,$AF$8:$CA$8,0)-MATCH($D84,$D$45:$D$92,0)+1,0),0),1)</f>
        <v>0</v>
      </c>
      <c r="BF84" s="444" cm="1">
        <f t="array" ref="BF84">$E84*IFERROR(IF($D84&lt;=BF$8,INDEX($E$32:$E$37,MATCH(BF$8,$AF$8:$CA$8,0)-MATCH($D84,$D$45:$D$92,0)+1,0),0),1)</f>
        <v>0</v>
      </c>
      <c r="BG84" s="444" cm="1">
        <f t="array" ref="BG84">$E84*IFERROR(IF($D84&lt;=BG$8,INDEX($E$32:$E$37,MATCH(BG$8,$AF$8:$CA$8,0)-MATCH($D84,$D$45:$D$92,0)+1,0),0),1)</f>
        <v>0</v>
      </c>
      <c r="BH84" s="444" cm="1">
        <f t="array" ref="BH84">$E84*IFERROR(IF($D84&lt;=BH$8,INDEX($E$32:$E$37,MATCH(BH$8,$AF$8:$CA$8,0)-MATCH($D84,$D$45:$D$92,0)+1,0),0),1)</f>
        <v>0</v>
      </c>
      <c r="BI84" s="444" cm="1">
        <f t="array" ref="BI84">$E84*IFERROR(IF($D84&lt;=BI$8,INDEX($E$32:$E$37,MATCH(BI$8,$AF$8:$CA$8,0)-MATCH($D84,$D$45:$D$92,0)+1,0),0),1)</f>
        <v>0</v>
      </c>
      <c r="BJ84" s="444" cm="1">
        <f t="array" ref="BJ84">$E84*IFERROR(IF($D84&lt;=BJ$8,INDEX($E$32:$E$37,MATCH(BJ$8,$AF$8:$CA$8,0)-MATCH($D84,$D$45:$D$92,0)+1,0),0),1)</f>
        <v>0</v>
      </c>
      <c r="BK84" s="444" cm="1">
        <f t="array" ref="BK84">$E84*IFERROR(IF($D84&lt;=BK$8,INDEX($E$32:$E$37,MATCH(BK$8,$AF$8:$CA$8,0)-MATCH($D84,$D$45:$D$92,0)+1,0),0),1)</f>
        <v>0</v>
      </c>
      <c r="BL84" s="444" cm="1">
        <f t="array" ref="BL84">$E84*IFERROR(IF($D84&lt;=BL$8,INDEX($E$32:$E$37,MATCH(BL$8,$AF$8:$CA$8,0)-MATCH($D84,$D$45:$D$92,0)+1,0),0),1)</f>
        <v>0</v>
      </c>
      <c r="BM84" s="444" cm="1">
        <f t="array" ref="BM84">$E84*IFERROR(IF($D84&lt;=BM$8,INDEX($E$32:$E$37,MATCH(BM$8,$AF$8:$CA$8,0)-MATCH($D84,$D$45:$D$92,0)+1,0),0),1)</f>
        <v>0</v>
      </c>
      <c r="BN84" s="444" cm="1">
        <f t="array" ref="BN84">$E84*IFERROR(IF($D84&lt;=BN$8,INDEX($E$32:$E$37,MATCH(BN$8,$AF$8:$CA$8,0)-MATCH($D84,$D$45:$D$92,0)+1,0),0),1)</f>
        <v>0</v>
      </c>
      <c r="BO84" s="444" cm="1">
        <f t="array" ref="BO84">$E84*IFERROR(IF($D84&lt;=BO$8,INDEX($E$32:$E$37,MATCH(BO$8,$AF$8:$CA$8,0)-MATCH($D84,$D$45:$D$92,0)+1,0),0),1)</f>
        <v>0</v>
      </c>
      <c r="BP84" s="444" cm="1">
        <f t="array" ref="BP84">$E84*IFERROR(IF($D84&lt;=BP$8,INDEX($E$32:$E$37,MATCH(BP$8,$AF$8:$CA$8,0)-MATCH($D84,$D$45:$D$92,0)+1,0),0),1)</f>
        <v>0</v>
      </c>
      <c r="BQ84" s="444" cm="1">
        <f t="array" ref="BQ84">$E84*IFERROR(IF($D84&lt;=BQ$8,INDEX($E$32:$E$37,MATCH(BQ$8,$AF$8:$CA$8,0)-MATCH($D84,$D$45:$D$92,0)+1,0),0),1)</f>
        <v>0</v>
      </c>
      <c r="BR84" s="444" cm="1">
        <f t="array" ref="BR84">$E84*IFERROR(IF($D84&lt;=BR$8,INDEX($E$32:$E$37,MATCH(BR$8,$AF$8:$CA$8,0)-MATCH($D84,$D$45:$D$92,0)+1,0),0),1)</f>
        <v>0</v>
      </c>
      <c r="BS84" s="444" cm="1">
        <f t="array" ref="BS84">$E84*IFERROR(IF($D84&lt;=BS$8,INDEX($E$32:$E$37,MATCH(BS$8,$AF$8:$CA$8,0)-MATCH($D84,$D$45:$D$92,0)+1,0),0),1)</f>
        <v>0</v>
      </c>
      <c r="BT84" s="444" cm="1">
        <f t="array" ref="BT84">$E84*IFERROR(IF($D84&lt;=BT$8,INDEX($E$32:$E$37,MATCH(BT$8,$AF$8:$CA$8,0)-MATCH($D84,$D$45:$D$92,0)+1,0),0),1)</f>
        <v>0</v>
      </c>
      <c r="BU84" s="444" cm="1">
        <f t="array" ref="BU84">$E84*IFERROR(IF($D84&lt;=BU$8,INDEX($E$32:$E$37,MATCH(BU$8,$AF$8:$CA$8,0)-MATCH($D84,$D$45:$D$92,0)+1,0),0),1)</f>
        <v>0</v>
      </c>
      <c r="BV84" s="444" cm="1">
        <f t="array" ref="BV84">$E84*IFERROR(IF($D84&lt;=BV$8,INDEX($E$32:$E$37,MATCH(BV$8,$AF$8:$CA$8,0)-MATCH($D84,$D$45:$D$92,0)+1,0),0),1)</f>
        <v>0</v>
      </c>
      <c r="BW84" s="444" cm="1">
        <f t="array" ref="BW84">$E84*IFERROR(IF($D84&lt;=BW$8,INDEX($E$32:$E$37,MATCH(BW$8,$AF$8:$CA$8,0)-MATCH($D84,$D$45:$D$92,0)+1,0),0),1)</f>
        <v>0</v>
      </c>
      <c r="BX84" s="444" cm="1">
        <f t="array" ref="BX84">$E84*IFERROR(IF($D84&lt;=BX$8,INDEX($E$32:$E$37,MATCH(BX$8,$AF$8:$CA$8,0)-MATCH($D84,$D$45:$D$92,0)+1,0),0),1)</f>
        <v>0</v>
      </c>
      <c r="BY84" s="444" cm="1">
        <f t="array" ref="BY84">$E84*IFERROR(IF($D84&lt;=BY$8,INDEX($E$32:$E$37,MATCH(BY$8,$AF$8:$CA$8,0)-MATCH($D84,$D$45:$D$92,0)+1,0),0),1)</f>
        <v>0</v>
      </c>
      <c r="BZ84" s="444" cm="1">
        <f t="array" ref="BZ84">$E84*IFERROR(IF($D84&lt;=BZ$8,INDEX($E$32:$E$37,MATCH(BZ$8,$AF$8:$CA$8,0)-MATCH($D84,$D$45:$D$92,0)+1,0),0),1)</f>
        <v>0</v>
      </c>
      <c r="CA84" s="444" cm="1">
        <f t="array" ref="CA84">$E84*IFERROR(IF($D84&lt;=CA$8,INDEX($E$32:$E$37,MATCH(CA$8,$AF$8:$CA$8,0)-MATCH($D84,$D$45:$D$92,0)+1,0),0),1)</f>
        <v>0</v>
      </c>
    </row>
    <row r="85" spans="3:79" ht="21" hidden="1" customHeight="1" outlineLevel="3">
      <c r="C85" s="370"/>
      <c r="D85" s="374">
        <f t="shared" si="25"/>
        <v>46173</v>
      </c>
      <c r="E85" s="446" cm="1">
        <f t="array" ref="E85">INDEX($AF$41:$CA$41,0,MATCH($D85,$AF$8:$CA$8,0))</f>
        <v>0</v>
      </c>
      <c r="G85" s="431"/>
      <c r="H85" s="445">
        <f t="shared" si="26"/>
        <v>0</v>
      </c>
      <c r="I85" s="445">
        <f t="shared" si="26"/>
        <v>0</v>
      </c>
      <c r="J85" s="445">
        <f t="shared" si="26"/>
        <v>0</v>
      </c>
      <c r="K85" s="445">
        <f t="shared" si="26"/>
        <v>0</v>
      </c>
      <c r="L85" s="442"/>
      <c r="M85" s="434"/>
      <c r="N85" s="445">
        <f t="shared" si="27"/>
        <v>0</v>
      </c>
      <c r="O85" s="445">
        <f t="shared" si="27"/>
        <v>0</v>
      </c>
      <c r="P85" s="445">
        <f t="shared" si="27"/>
        <v>0</v>
      </c>
      <c r="Q85" s="445">
        <f t="shared" si="27"/>
        <v>0</v>
      </c>
      <c r="R85" s="445">
        <f t="shared" si="27"/>
        <v>0</v>
      </c>
      <c r="S85" s="445">
        <f t="shared" si="27"/>
        <v>0</v>
      </c>
      <c r="T85" s="445">
        <f t="shared" si="27"/>
        <v>0</v>
      </c>
      <c r="U85" s="445">
        <f t="shared" si="27"/>
        <v>0</v>
      </c>
      <c r="V85" s="445">
        <f t="shared" si="27"/>
        <v>0</v>
      </c>
      <c r="W85" s="445">
        <f t="shared" si="27"/>
        <v>0</v>
      </c>
      <c r="X85" s="445">
        <f t="shared" si="27"/>
        <v>0</v>
      </c>
      <c r="Y85" s="445">
        <f t="shared" si="27"/>
        <v>0</v>
      </c>
      <c r="Z85" s="445">
        <f t="shared" si="27"/>
        <v>0</v>
      </c>
      <c r="AA85" s="445">
        <f t="shared" si="27"/>
        <v>0</v>
      </c>
      <c r="AB85" s="445">
        <f t="shared" si="27"/>
        <v>0</v>
      </c>
      <c r="AC85" s="445">
        <f t="shared" si="27"/>
        <v>0</v>
      </c>
      <c r="AD85" s="442"/>
      <c r="AE85" s="434"/>
      <c r="AF85" s="444" cm="1">
        <f t="array" ref="AF85">$E85*IFERROR(IF($D85&lt;=AF$8,INDEX($E$32:$E$37,MATCH(AF$8,$AF$8:$CA$8,0)-MATCH($D85,$D$45:$D$92,0)+1,0),0),1)</f>
        <v>0</v>
      </c>
      <c r="AG85" s="444" cm="1">
        <f t="array" ref="AG85">$E85*IFERROR(IF($D85&lt;=AG$8,INDEX($E$32:$E$37,MATCH(AG$8,$AF$8:$CA$8,0)-MATCH($D85,$D$45:$D$92,0)+1,0),0),1)</f>
        <v>0</v>
      </c>
      <c r="AH85" s="444" cm="1">
        <f t="array" ref="AH85">$E85*IFERROR(IF($D85&lt;=AH$8,INDEX($E$32:$E$37,MATCH(AH$8,$AF$8:$CA$8,0)-MATCH($D85,$D$45:$D$92,0)+1,0),0),1)</f>
        <v>0</v>
      </c>
      <c r="AI85" s="444" cm="1">
        <f t="array" ref="AI85">$E85*IFERROR(IF($D85&lt;=AI$8,INDEX($E$32:$E$37,MATCH(AI$8,$AF$8:$CA$8,0)-MATCH($D85,$D$45:$D$92,0)+1,0),0),1)</f>
        <v>0</v>
      </c>
      <c r="AJ85" s="444" cm="1">
        <f t="array" ref="AJ85">$E85*IFERROR(IF($D85&lt;=AJ$8,INDEX($E$32:$E$37,MATCH(AJ$8,$AF$8:$CA$8,0)-MATCH($D85,$D$45:$D$92,0)+1,0),0),1)</f>
        <v>0</v>
      </c>
      <c r="AK85" s="444" cm="1">
        <f t="array" ref="AK85">$E85*IFERROR(IF($D85&lt;=AK$8,INDEX($E$32:$E$37,MATCH(AK$8,$AF$8:$CA$8,0)-MATCH($D85,$D$45:$D$92,0)+1,0),0),1)</f>
        <v>0</v>
      </c>
      <c r="AL85" s="444" cm="1">
        <f t="array" ref="AL85">$E85*IFERROR(IF($D85&lt;=AL$8,INDEX($E$32:$E$37,MATCH(AL$8,$AF$8:$CA$8,0)-MATCH($D85,$D$45:$D$92,0)+1,0),0),1)</f>
        <v>0</v>
      </c>
      <c r="AM85" s="444" cm="1">
        <f t="array" ref="AM85">$E85*IFERROR(IF($D85&lt;=AM$8,INDEX($E$32:$E$37,MATCH(AM$8,$AF$8:$CA$8,0)-MATCH($D85,$D$45:$D$92,0)+1,0),0),1)</f>
        <v>0</v>
      </c>
      <c r="AN85" s="444" cm="1">
        <f t="array" ref="AN85">$E85*IFERROR(IF($D85&lt;=AN$8,INDEX($E$32:$E$37,MATCH(AN$8,$AF$8:$CA$8,0)-MATCH($D85,$D$45:$D$92,0)+1,0),0),1)</f>
        <v>0</v>
      </c>
      <c r="AO85" s="444" cm="1">
        <f t="array" ref="AO85">$E85*IFERROR(IF($D85&lt;=AO$8,INDEX($E$32:$E$37,MATCH(AO$8,$AF$8:$CA$8,0)-MATCH($D85,$D$45:$D$92,0)+1,0),0),1)</f>
        <v>0</v>
      </c>
      <c r="AP85" s="444" cm="1">
        <f t="array" ref="AP85">$E85*IFERROR(IF($D85&lt;=AP$8,INDEX($E$32:$E$37,MATCH(AP$8,$AF$8:$CA$8,0)-MATCH($D85,$D$45:$D$92,0)+1,0),0),1)</f>
        <v>0</v>
      </c>
      <c r="AQ85" s="444" cm="1">
        <f t="array" ref="AQ85">$E85*IFERROR(IF($D85&lt;=AQ$8,INDEX($E$32:$E$37,MATCH(AQ$8,$AF$8:$CA$8,0)-MATCH($D85,$D$45:$D$92,0)+1,0),0),1)</f>
        <v>0</v>
      </c>
      <c r="AR85" s="444" cm="1">
        <f t="array" ref="AR85">$E85*IFERROR(IF($D85&lt;=AR$8,INDEX($E$32:$E$37,MATCH(AR$8,$AF$8:$CA$8,0)-MATCH($D85,$D$45:$D$92,0)+1,0),0),1)</f>
        <v>0</v>
      </c>
      <c r="AS85" s="444" cm="1">
        <f t="array" ref="AS85">$E85*IFERROR(IF($D85&lt;=AS$8,INDEX($E$32:$E$37,MATCH(AS$8,$AF$8:$CA$8,0)-MATCH($D85,$D$45:$D$92,0)+1,0),0),1)</f>
        <v>0</v>
      </c>
      <c r="AT85" s="444" cm="1">
        <f t="array" ref="AT85">$E85*IFERROR(IF($D85&lt;=AT$8,INDEX($E$32:$E$37,MATCH(AT$8,$AF$8:$CA$8,0)-MATCH($D85,$D$45:$D$92,0)+1,0),0),1)</f>
        <v>0</v>
      </c>
      <c r="AU85" s="444" cm="1">
        <f t="array" ref="AU85">$E85*IFERROR(IF($D85&lt;=AU$8,INDEX($E$32:$E$37,MATCH(AU$8,$AF$8:$CA$8,0)-MATCH($D85,$D$45:$D$92,0)+1,0),0),1)</f>
        <v>0</v>
      </c>
      <c r="AV85" s="444" cm="1">
        <f t="array" ref="AV85">$E85*IFERROR(IF($D85&lt;=AV$8,INDEX($E$32:$E$37,MATCH(AV$8,$AF$8:$CA$8,0)-MATCH($D85,$D$45:$D$92,0)+1,0),0),1)</f>
        <v>0</v>
      </c>
      <c r="AW85" s="444" cm="1">
        <f t="array" ref="AW85">$E85*IFERROR(IF($D85&lt;=AW$8,INDEX($E$32:$E$37,MATCH(AW$8,$AF$8:$CA$8,0)-MATCH($D85,$D$45:$D$92,0)+1,0),0),1)</f>
        <v>0</v>
      </c>
      <c r="AX85" s="444" cm="1">
        <f t="array" ref="AX85">$E85*IFERROR(IF($D85&lt;=AX$8,INDEX($E$32:$E$37,MATCH(AX$8,$AF$8:$CA$8,0)-MATCH($D85,$D$45:$D$92,0)+1,0),0),1)</f>
        <v>0</v>
      </c>
      <c r="AY85" s="444" cm="1">
        <f t="array" ref="AY85">$E85*IFERROR(IF($D85&lt;=AY$8,INDEX($E$32:$E$37,MATCH(AY$8,$AF$8:$CA$8,0)-MATCH($D85,$D$45:$D$92,0)+1,0),0),1)</f>
        <v>0</v>
      </c>
      <c r="AZ85" s="444" cm="1">
        <f t="array" ref="AZ85">$E85*IFERROR(IF($D85&lt;=AZ$8,INDEX($E$32:$E$37,MATCH(AZ$8,$AF$8:$CA$8,0)-MATCH($D85,$D$45:$D$92,0)+1,0),0),1)</f>
        <v>0</v>
      </c>
      <c r="BA85" s="444" cm="1">
        <f t="array" ref="BA85">$E85*IFERROR(IF($D85&lt;=BA$8,INDEX($E$32:$E$37,MATCH(BA$8,$AF$8:$CA$8,0)-MATCH($D85,$D$45:$D$92,0)+1,0),0),1)</f>
        <v>0</v>
      </c>
      <c r="BB85" s="444" cm="1">
        <f t="array" ref="BB85">$E85*IFERROR(IF($D85&lt;=BB$8,INDEX($E$32:$E$37,MATCH(BB$8,$AF$8:$CA$8,0)-MATCH($D85,$D$45:$D$92,0)+1,0),0),1)</f>
        <v>0</v>
      </c>
      <c r="BC85" s="444" cm="1">
        <f t="array" ref="BC85">$E85*IFERROR(IF($D85&lt;=BC$8,INDEX($E$32:$E$37,MATCH(BC$8,$AF$8:$CA$8,0)-MATCH($D85,$D$45:$D$92,0)+1,0),0),1)</f>
        <v>0</v>
      </c>
      <c r="BD85" s="444" cm="1">
        <f t="array" ref="BD85">$E85*IFERROR(IF($D85&lt;=BD$8,INDEX($E$32:$E$37,MATCH(BD$8,$AF$8:$CA$8,0)-MATCH($D85,$D$45:$D$92,0)+1,0),0),1)</f>
        <v>0</v>
      </c>
      <c r="BE85" s="444" cm="1">
        <f t="array" ref="BE85">$E85*IFERROR(IF($D85&lt;=BE$8,INDEX($E$32:$E$37,MATCH(BE$8,$AF$8:$CA$8,0)-MATCH($D85,$D$45:$D$92,0)+1,0),0),1)</f>
        <v>0</v>
      </c>
      <c r="BF85" s="444" cm="1">
        <f t="array" ref="BF85">$E85*IFERROR(IF($D85&lt;=BF$8,INDEX($E$32:$E$37,MATCH(BF$8,$AF$8:$CA$8,0)-MATCH($D85,$D$45:$D$92,0)+1,0),0),1)</f>
        <v>0</v>
      </c>
      <c r="BG85" s="444" cm="1">
        <f t="array" ref="BG85">$E85*IFERROR(IF($D85&lt;=BG$8,INDEX($E$32:$E$37,MATCH(BG$8,$AF$8:$CA$8,0)-MATCH($D85,$D$45:$D$92,0)+1,0),0),1)</f>
        <v>0</v>
      </c>
      <c r="BH85" s="444" cm="1">
        <f t="array" ref="BH85">$E85*IFERROR(IF($D85&lt;=BH$8,INDEX($E$32:$E$37,MATCH(BH$8,$AF$8:$CA$8,0)-MATCH($D85,$D$45:$D$92,0)+1,0),0),1)</f>
        <v>0</v>
      </c>
      <c r="BI85" s="444" cm="1">
        <f t="array" ref="BI85">$E85*IFERROR(IF($D85&lt;=BI$8,INDEX($E$32:$E$37,MATCH(BI$8,$AF$8:$CA$8,0)-MATCH($D85,$D$45:$D$92,0)+1,0),0),1)</f>
        <v>0</v>
      </c>
      <c r="BJ85" s="444" cm="1">
        <f t="array" ref="BJ85">$E85*IFERROR(IF($D85&lt;=BJ$8,INDEX($E$32:$E$37,MATCH(BJ$8,$AF$8:$CA$8,0)-MATCH($D85,$D$45:$D$92,0)+1,0),0),1)</f>
        <v>0</v>
      </c>
      <c r="BK85" s="444" cm="1">
        <f t="array" ref="BK85">$E85*IFERROR(IF($D85&lt;=BK$8,INDEX($E$32:$E$37,MATCH(BK$8,$AF$8:$CA$8,0)-MATCH($D85,$D$45:$D$92,0)+1,0),0),1)</f>
        <v>0</v>
      </c>
      <c r="BL85" s="444" cm="1">
        <f t="array" ref="BL85">$E85*IFERROR(IF($D85&lt;=BL$8,INDEX($E$32:$E$37,MATCH(BL$8,$AF$8:$CA$8,0)-MATCH($D85,$D$45:$D$92,0)+1,0),0),1)</f>
        <v>0</v>
      </c>
      <c r="BM85" s="444" cm="1">
        <f t="array" ref="BM85">$E85*IFERROR(IF($D85&lt;=BM$8,INDEX($E$32:$E$37,MATCH(BM$8,$AF$8:$CA$8,0)-MATCH($D85,$D$45:$D$92,0)+1,0),0),1)</f>
        <v>0</v>
      </c>
      <c r="BN85" s="444" cm="1">
        <f t="array" ref="BN85">$E85*IFERROR(IF($D85&lt;=BN$8,INDEX($E$32:$E$37,MATCH(BN$8,$AF$8:$CA$8,0)-MATCH($D85,$D$45:$D$92,0)+1,0),0),1)</f>
        <v>0</v>
      </c>
      <c r="BO85" s="444" cm="1">
        <f t="array" ref="BO85">$E85*IFERROR(IF($D85&lt;=BO$8,INDEX($E$32:$E$37,MATCH(BO$8,$AF$8:$CA$8,0)-MATCH($D85,$D$45:$D$92,0)+1,0),0),1)</f>
        <v>0</v>
      </c>
      <c r="BP85" s="444" cm="1">
        <f t="array" ref="BP85">$E85*IFERROR(IF($D85&lt;=BP$8,INDEX($E$32:$E$37,MATCH(BP$8,$AF$8:$CA$8,0)-MATCH($D85,$D$45:$D$92,0)+1,0),0),1)</f>
        <v>0</v>
      </c>
      <c r="BQ85" s="444" cm="1">
        <f t="array" ref="BQ85">$E85*IFERROR(IF($D85&lt;=BQ$8,INDEX($E$32:$E$37,MATCH(BQ$8,$AF$8:$CA$8,0)-MATCH($D85,$D$45:$D$92,0)+1,0),0),1)</f>
        <v>0</v>
      </c>
      <c r="BR85" s="444" cm="1">
        <f t="array" ref="BR85">$E85*IFERROR(IF($D85&lt;=BR$8,INDEX($E$32:$E$37,MATCH(BR$8,$AF$8:$CA$8,0)-MATCH($D85,$D$45:$D$92,0)+1,0),0),1)</f>
        <v>0</v>
      </c>
      <c r="BS85" s="444" cm="1">
        <f t="array" ref="BS85">$E85*IFERROR(IF($D85&lt;=BS$8,INDEX($E$32:$E$37,MATCH(BS$8,$AF$8:$CA$8,0)-MATCH($D85,$D$45:$D$92,0)+1,0),0),1)</f>
        <v>0</v>
      </c>
      <c r="BT85" s="444" cm="1">
        <f t="array" ref="BT85">$E85*IFERROR(IF($D85&lt;=BT$8,INDEX($E$32:$E$37,MATCH(BT$8,$AF$8:$CA$8,0)-MATCH($D85,$D$45:$D$92,0)+1,0),0),1)</f>
        <v>0</v>
      </c>
      <c r="BU85" s="444" cm="1">
        <f t="array" ref="BU85">$E85*IFERROR(IF($D85&lt;=BU$8,INDEX($E$32:$E$37,MATCH(BU$8,$AF$8:$CA$8,0)-MATCH($D85,$D$45:$D$92,0)+1,0),0),1)</f>
        <v>0</v>
      </c>
      <c r="BV85" s="444" cm="1">
        <f t="array" ref="BV85">$E85*IFERROR(IF($D85&lt;=BV$8,INDEX($E$32:$E$37,MATCH(BV$8,$AF$8:$CA$8,0)-MATCH($D85,$D$45:$D$92,0)+1,0),0),1)</f>
        <v>0</v>
      </c>
      <c r="BW85" s="444" cm="1">
        <f t="array" ref="BW85">$E85*IFERROR(IF($D85&lt;=BW$8,INDEX($E$32:$E$37,MATCH(BW$8,$AF$8:$CA$8,0)-MATCH($D85,$D$45:$D$92,0)+1,0),0),1)</f>
        <v>0</v>
      </c>
      <c r="BX85" s="444" cm="1">
        <f t="array" ref="BX85">$E85*IFERROR(IF($D85&lt;=BX$8,INDEX($E$32:$E$37,MATCH(BX$8,$AF$8:$CA$8,0)-MATCH($D85,$D$45:$D$92,0)+1,0),0),1)</f>
        <v>0</v>
      </c>
      <c r="BY85" s="444" cm="1">
        <f t="array" ref="BY85">$E85*IFERROR(IF($D85&lt;=BY$8,INDEX($E$32:$E$37,MATCH(BY$8,$AF$8:$CA$8,0)-MATCH($D85,$D$45:$D$92,0)+1,0),0),1)</f>
        <v>0</v>
      </c>
      <c r="BZ85" s="444" cm="1">
        <f t="array" ref="BZ85">$E85*IFERROR(IF($D85&lt;=BZ$8,INDEX($E$32:$E$37,MATCH(BZ$8,$AF$8:$CA$8,0)-MATCH($D85,$D$45:$D$92,0)+1,0),0),1)</f>
        <v>0</v>
      </c>
      <c r="CA85" s="444" cm="1">
        <f t="array" ref="CA85">$E85*IFERROR(IF($D85&lt;=CA$8,INDEX($E$32:$E$37,MATCH(CA$8,$AF$8:$CA$8,0)-MATCH($D85,$D$45:$D$92,0)+1,0),0),1)</f>
        <v>0</v>
      </c>
    </row>
    <row r="86" spans="3:79" ht="21" hidden="1" customHeight="1" outlineLevel="3">
      <c r="C86" s="370"/>
      <c r="D86" s="374">
        <f t="shared" si="25"/>
        <v>46203</v>
      </c>
      <c r="E86" s="446" cm="1">
        <f t="array" ref="E86">INDEX($AF$41:$CA$41,0,MATCH($D86,$AF$8:$CA$8,0))</f>
        <v>0</v>
      </c>
      <c r="G86" s="431"/>
      <c r="H86" s="445">
        <f t="shared" si="26"/>
        <v>0</v>
      </c>
      <c r="I86" s="445">
        <f t="shared" si="26"/>
        <v>0</v>
      </c>
      <c r="J86" s="445">
        <f t="shared" si="26"/>
        <v>0</v>
      </c>
      <c r="K86" s="445">
        <f t="shared" si="26"/>
        <v>0</v>
      </c>
      <c r="L86" s="442"/>
      <c r="M86" s="434"/>
      <c r="N86" s="445">
        <f t="shared" si="27"/>
        <v>0</v>
      </c>
      <c r="O86" s="445">
        <f t="shared" si="27"/>
        <v>0</v>
      </c>
      <c r="P86" s="445">
        <f t="shared" si="27"/>
        <v>0</v>
      </c>
      <c r="Q86" s="445">
        <f t="shared" si="27"/>
        <v>0</v>
      </c>
      <c r="R86" s="445">
        <f t="shared" si="27"/>
        <v>0</v>
      </c>
      <c r="S86" s="445">
        <f t="shared" si="27"/>
        <v>0</v>
      </c>
      <c r="T86" s="445">
        <f t="shared" si="27"/>
        <v>0</v>
      </c>
      <c r="U86" s="445">
        <f t="shared" si="27"/>
        <v>0</v>
      </c>
      <c r="V86" s="445">
        <f t="shared" si="27"/>
        <v>0</v>
      </c>
      <c r="W86" s="445">
        <f t="shared" si="27"/>
        <v>0</v>
      </c>
      <c r="X86" s="445">
        <f t="shared" si="27"/>
        <v>0</v>
      </c>
      <c r="Y86" s="445">
        <f t="shared" si="27"/>
        <v>0</v>
      </c>
      <c r="Z86" s="445">
        <f t="shared" si="27"/>
        <v>0</v>
      </c>
      <c r="AA86" s="445">
        <f t="shared" si="27"/>
        <v>0</v>
      </c>
      <c r="AB86" s="445">
        <f t="shared" si="27"/>
        <v>0</v>
      </c>
      <c r="AC86" s="445">
        <f t="shared" si="27"/>
        <v>0</v>
      </c>
      <c r="AD86" s="442"/>
      <c r="AE86" s="434"/>
      <c r="AF86" s="444" cm="1">
        <f t="array" ref="AF86">$E86*IFERROR(IF($D86&lt;=AF$8,INDEX($E$32:$E$37,MATCH(AF$8,$AF$8:$CA$8,0)-MATCH($D86,$D$45:$D$92,0)+1,0),0),1)</f>
        <v>0</v>
      </c>
      <c r="AG86" s="444" cm="1">
        <f t="array" ref="AG86">$E86*IFERROR(IF($D86&lt;=AG$8,INDEX($E$32:$E$37,MATCH(AG$8,$AF$8:$CA$8,0)-MATCH($D86,$D$45:$D$92,0)+1,0),0),1)</f>
        <v>0</v>
      </c>
      <c r="AH86" s="444" cm="1">
        <f t="array" ref="AH86">$E86*IFERROR(IF($D86&lt;=AH$8,INDEX($E$32:$E$37,MATCH(AH$8,$AF$8:$CA$8,0)-MATCH($D86,$D$45:$D$92,0)+1,0),0),1)</f>
        <v>0</v>
      </c>
      <c r="AI86" s="444" cm="1">
        <f t="array" ref="AI86">$E86*IFERROR(IF($D86&lt;=AI$8,INDEX($E$32:$E$37,MATCH(AI$8,$AF$8:$CA$8,0)-MATCH($D86,$D$45:$D$92,0)+1,0),0),1)</f>
        <v>0</v>
      </c>
      <c r="AJ86" s="444" cm="1">
        <f t="array" ref="AJ86">$E86*IFERROR(IF($D86&lt;=AJ$8,INDEX($E$32:$E$37,MATCH(AJ$8,$AF$8:$CA$8,0)-MATCH($D86,$D$45:$D$92,0)+1,0),0),1)</f>
        <v>0</v>
      </c>
      <c r="AK86" s="444" cm="1">
        <f t="array" ref="AK86">$E86*IFERROR(IF($D86&lt;=AK$8,INDEX($E$32:$E$37,MATCH(AK$8,$AF$8:$CA$8,0)-MATCH($D86,$D$45:$D$92,0)+1,0),0),1)</f>
        <v>0</v>
      </c>
      <c r="AL86" s="444" cm="1">
        <f t="array" ref="AL86">$E86*IFERROR(IF($D86&lt;=AL$8,INDEX($E$32:$E$37,MATCH(AL$8,$AF$8:$CA$8,0)-MATCH($D86,$D$45:$D$92,0)+1,0),0),1)</f>
        <v>0</v>
      </c>
      <c r="AM86" s="444" cm="1">
        <f t="array" ref="AM86">$E86*IFERROR(IF($D86&lt;=AM$8,INDEX($E$32:$E$37,MATCH(AM$8,$AF$8:$CA$8,0)-MATCH($D86,$D$45:$D$92,0)+1,0),0),1)</f>
        <v>0</v>
      </c>
      <c r="AN86" s="444" cm="1">
        <f t="array" ref="AN86">$E86*IFERROR(IF($D86&lt;=AN$8,INDEX($E$32:$E$37,MATCH(AN$8,$AF$8:$CA$8,0)-MATCH($D86,$D$45:$D$92,0)+1,0),0),1)</f>
        <v>0</v>
      </c>
      <c r="AO86" s="444" cm="1">
        <f t="array" ref="AO86">$E86*IFERROR(IF($D86&lt;=AO$8,INDEX($E$32:$E$37,MATCH(AO$8,$AF$8:$CA$8,0)-MATCH($D86,$D$45:$D$92,0)+1,0),0),1)</f>
        <v>0</v>
      </c>
      <c r="AP86" s="444" cm="1">
        <f t="array" ref="AP86">$E86*IFERROR(IF($D86&lt;=AP$8,INDEX($E$32:$E$37,MATCH(AP$8,$AF$8:$CA$8,0)-MATCH($D86,$D$45:$D$92,0)+1,0),0),1)</f>
        <v>0</v>
      </c>
      <c r="AQ86" s="444" cm="1">
        <f t="array" ref="AQ86">$E86*IFERROR(IF($D86&lt;=AQ$8,INDEX($E$32:$E$37,MATCH(AQ$8,$AF$8:$CA$8,0)-MATCH($D86,$D$45:$D$92,0)+1,0),0),1)</f>
        <v>0</v>
      </c>
      <c r="AR86" s="444" cm="1">
        <f t="array" ref="AR86">$E86*IFERROR(IF($D86&lt;=AR$8,INDEX($E$32:$E$37,MATCH(AR$8,$AF$8:$CA$8,0)-MATCH($D86,$D$45:$D$92,0)+1,0),0),1)</f>
        <v>0</v>
      </c>
      <c r="AS86" s="444" cm="1">
        <f t="array" ref="AS86">$E86*IFERROR(IF($D86&lt;=AS$8,INDEX($E$32:$E$37,MATCH(AS$8,$AF$8:$CA$8,0)-MATCH($D86,$D$45:$D$92,0)+1,0),0),1)</f>
        <v>0</v>
      </c>
      <c r="AT86" s="444" cm="1">
        <f t="array" ref="AT86">$E86*IFERROR(IF($D86&lt;=AT$8,INDEX($E$32:$E$37,MATCH(AT$8,$AF$8:$CA$8,0)-MATCH($D86,$D$45:$D$92,0)+1,0),0),1)</f>
        <v>0</v>
      </c>
      <c r="AU86" s="444" cm="1">
        <f t="array" ref="AU86">$E86*IFERROR(IF($D86&lt;=AU$8,INDEX($E$32:$E$37,MATCH(AU$8,$AF$8:$CA$8,0)-MATCH($D86,$D$45:$D$92,0)+1,0),0),1)</f>
        <v>0</v>
      </c>
      <c r="AV86" s="444" cm="1">
        <f t="array" ref="AV86">$E86*IFERROR(IF($D86&lt;=AV$8,INDEX($E$32:$E$37,MATCH(AV$8,$AF$8:$CA$8,0)-MATCH($D86,$D$45:$D$92,0)+1,0),0),1)</f>
        <v>0</v>
      </c>
      <c r="AW86" s="444" cm="1">
        <f t="array" ref="AW86">$E86*IFERROR(IF($D86&lt;=AW$8,INDEX($E$32:$E$37,MATCH(AW$8,$AF$8:$CA$8,0)-MATCH($D86,$D$45:$D$92,0)+1,0),0),1)</f>
        <v>0</v>
      </c>
      <c r="AX86" s="444" cm="1">
        <f t="array" ref="AX86">$E86*IFERROR(IF($D86&lt;=AX$8,INDEX($E$32:$E$37,MATCH(AX$8,$AF$8:$CA$8,0)-MATCH($D86,$D$45:$D$92,0)+1,0),0),1)</f>
        <v>0</v>
      </c>
      <c r="AY86" s="444" cm="1">
        <f t="array" ref="AY86">$E86*IFERROR(IF($D86&lt;=AY$8,INDEX($E$32:$E$37,MATCH(AY$8,$AF$8:$CA$8,0)-MATCH($D86,$D$45:$D$92,0)+1,0),0),1)</f>
        <v>0</v>
      </c>
      <c r="AZ86" s="444" cm="1">
        <f t="array" ref="AZ86">$E86*IFERROR(IF($D86&lt;=AZ$8,INDEX($E$32:$E$37,MATCH(AZ$8,$AF$8:$CA$8,0)-MATCH($D86,$D$45:$D$92,0)+1,0),0),1)</f>
        <v>0</v>
      </c>
      <c r="BA86" s="444" cm="1">
        <f t="array" ref="BA86">$E86*IFERROR(IF($D86&lt;=BA$8,INDEX($E$32:$E$37,MATCH(BA$8,$AF$8:$CA$8,0)-MATCH($D86,$D$45:$D$92,0)+1,0),0),1)</f>
        <v>0</v>
      </c>
      <c r="BB86" s="444" cm="1">
        <f t="array" ref="BB86">$E86*IFERROR(IF($D86&lt;=BB$8,INDEX($E$32:$E$37,MATCH(BB$8,$AF$8:$CA$8,0)-MATCH($D86,$D$45:$D$92,0)+1,0),0),1)</f>
        <v>0</v>
      </c>
      <c r="BC86" s="444" cm="1">
        <f t="array" ref="BC86">$E86*IFERROR(IF($D86&lt;=BC$8,INDEX($E$32:$E$37,MATCH(BC$8,$AF$8:$CA$8,0)-MATCH($D86,$D$45:$D$92,0)+1,0),0),1)</f>
        <v>0</v>
      </c>
      <c r="BD86" s="444" cm="1">
        <f t="array" ref="BD86">$E86*IFERROR(IF($D86&lt;=BD$8,INDEX($E$32:$E$37,MATCH(BD$8,$AF$8:$CA$8,0)-MATCH($D86,$D$45:$D$92,0)+1,0),0),1)</f>
        <v>0</v>
      </c>
      <c r="BE86" s="444" cm="1">
        <f t="array" ref="BE86">$E86*IFERROR(IF($D86&lt;=BE$8,INDEX($E$32:$E$37,MATCH(BE$8,$AF$8:$CA$8,0)-MATCH($D86,$D$45:$D$92,0)+1,0),0),1)</f>
        <v>0</v>
      </c>
      <c r="BF86" s="444" cm="1">
        <f t="array" ref="BF86">$E86*IFERROR(IF($D86&lt;=BF$8,INDEX($E$32:$E$37,MATCH(BF$8,$AF$8:$CA$8,0)-MATCH($D86,$D$45:$D$92,0)+1,0),0),1)</f>
        <v>0</v>
      </c>
      <c r="BG86" s="444" cm="1">
        <f t="array" ref="BG86">$E86*IFERROR(IF($D86&lt;=BG$8,INDEX($E$32:$E$37,MATCH(BG$8,$AF$8:$CA$8,0)-MATCH($D86,$D$45:$D$92,0)+1,0),0),1)</f>
        <v>0</v>
      </c>
      <c r="BH86" s="444" cm="1">
        <f t="array" ref="BH86">$E86*IFERROR(IF($D86&lt;=BH$8,INDEX($E$32:$E$37,MATCH(BH$8,$AF$8:$CA$8,0)-MATCH($D86,$D$45:$D$92,0)+1,0),0),1)</f>
        <v>0</v>
      </c>
      <c r="BI86" s="444" cm="1">
        <f t="array" ref="BI86">$E86*IFERROR(IF($D86&lt;=BI$8,INDEX($E$32:$E$37,MATCH(BI$8,$AF$8:$CA$8,0)-MATCH($D86,$D$45:$D$92,0)+1,0),0),1)</f>
        <v>0</v>
      </c>
      <c r="BJ86" s="444" cm="1">
        <f t="array" ref="BJ86">$E86*IFERROR(IF($D86&lt;=BJ$8,INDEX($E$32:$E$37,MATCH(BJ$8,$AF$8:$CA$8,0)-MATCH($D86,$D$45:$D$92,0)+1,0),0),1)</f>
        <v>0</v>
      </c>
      <c r="BK86" s="444" cm="1">
        <f t="array" ref="BK86">$E86*IFERROR(IF($D86&lt;=BK$8,INDEX($E$32:$E$37,MATCH(BK$8,$AF$8:$CA$8,0)-MATCH($D86,$D$45:$D$92,0)+1,0),0),1)</f>
        <v>0</v>
      </c>
      <c r="BL86" s="444" cm="1">
        <f t="array" ref="BL86">$E86*IFERROR(IF($D86&lt;=BL$8,INDEX($E$32:$E$37,MATCH(BL$8,$AF$8:$CA$8,0)-MATCH($D86,$D$45:$D$92,0)+1,0),0),1)</f>
        <v>0</v>
      </c>
      <c r="BM86" s="444" cm="1">
        <f t="array" ref="BM86">$E86*IFERROR(IF($D86&lt;=BM$8,INDEX($E$32:$E$37,MATCH(BM$8,$AF$8:$CA$8,0)-MATCH($D86,$D$45:$D$92,0)+1,0),0),1)</f>
        <v>0</v>
      </c>
      <c r="BN86" s="444" cm="1">
        <f t="array" ref="BN86">$E86*IFERROR(IF($D86&lt;=BN$8,INDEX($E$32:$E$37,MATCH(BN$8,$AF$8:$CA$8,0)-MATCH($D86,$D$45:$D$92,0)+1,0),0),1)</f>
        <v>0</v>
      </c>
      <c r="BO86" s="444" cm="1">
        <f t="array" ref="BO86">$E86*IFERROR(IF($D86&lt;=BO$8,INDEX($E$32:$E$37,MATCH(BO$8,$AF$8:$CA$8,0)-MATCH($D86,$D$45:$D$92,0)+1,0),0),1)</f>
        <v>0</v>
      </c>
      <c r="BP86" s="444" cm="1">
        <f t="array" ref="BP86">$E86*IFERROR(IF($D86&lt;=BP$8,INDEX($E$32:$E$37,MATCH(BP$8,$AF$8:$CA$8,0)-MATCH($D86,$D$45:$D$92,0)+1,0),0),1)</f>
        <v>0</v>
      </c>
      <c r="BQ86" s="444" cm="1">
        <f t="array" ref="BQ86">$E86*IFERROR(IF($D86&lt;=BQ$8,INDEX($E$32:$E$37,MATCH(BQ$8,$AF$8:$CA$8,0)-MATCH($D86,$D$45:$D$92,0)+1,0),0),1)</f>
        <v>0</v>
      </c>
      <c r="BR86" s="444" cm="1">
        <f t="array" ref="BR86">$E86*IFERROR(IF($D86&lt;=BR$8,INDEX($E$32:$E$37,MATCH(BR$8,$AF$8:$CA$8,0)-MATCH($D86,$D$45:$D$92,0)+1,0),0),1)</f>
        <v>0</v>
      </c>
      <c r="BS86" s="444" cm="1">
        <f t="array" ref="BS86">$E86*IFERROR(IF($D86&lt;=BS$8,INDEX($E$32:$E$37,MATCH(BS$8,$AF$8:$CA$8,0)-MATCH($D86,$D$45:$D$92,0)+1,0),0),1)</f>
        <v>0</v>
      </c>
      <c r="BT86" s="444" cm="1">
        <f t="array" ref="BT86">$E86*IFERROR(IF($D86&lt;=BT$8,INDEX($E$32:$E$37,MATCH(BT$8,$AF$8:$CA$8,0)-MATCH($D86,$D$45:$D$92,0)+1,0),0),1)</f>
        <v>0</v>
      </c>
      <c r="BU86" s="444" cm="1">
        <f t="array" ref="BU86">$E86*IFERROR(IF($D86&lt;=BU$8,INDEX($E$32:$E$37,MATCH(BU$8,$AF$8:$CA$8,0)-MATCH($D86,$D$45:$D$92,0)+1,0),0),1)</f>
        <v>0</v>
      </c>
      <c r="BV86" s="444" cm="1">
        <f t="array" ref="BV86">$E86*IFERROR(IF($D86&lt;=BV$8,INDEX($E$32:$E$37,MATCH(BV$8,$AF$8:$CA$8,0)-MATCH($D86,$D$45:$D$92,0)+1,0),0),1)</f>
        <v>0</v>
      </c>
      <c r="BW86" s="444" cm="1">
        <f t="array" ref="BW86">$E86*IFERROR(IF($D86&lt;=BW$8,INDEX($E$32:$E$37,MATCH(BW$8,$AF$8:$CA$8,0)-MATCH($D86,$D$45:$D$92,0)+1,0),0),1)</f>
        <v>0</v>
      </c>
      <c r="BX86" s="444" cm="1">
        <f t="array" ref="BX86">$E86*IFERROR(IF($D86&lt;=BX$8,INDEX($E$32:$E$37,MATCH(BX$8,$AF$8:$CA$8,0)-MATCH($D86,$D$45:$D$92,0)+1,0),0),1)</f>
        <v>0</v>
      </c>
      <c r="BY86" s="444" cm="1">
        <f t="array" ref="BY86">$E86*IFERROR(IF($D86&lt;=BY$8,INDEX($E$32:$E$37,MATCH(BY$8,$AF$8:$CA$8,0)-MATCH($D86,$D$45:$D$92,0)+1,0),0),1)</f>
        <v>0</v>
      </c>
      <c r="BZ86" s="444" cm="1">
        <f t="array" ref="BZ86">$E86*IFERROR(IF($D86&lt;=BZ$8,INDEX($E$32:$E$37,MATCH(BZ$8,$AF$8:$CA$8,0)-MATCH($D86,$D$45:$D$92,0)+1,0),0),1)</f>
        <v>0</v>
      </c>
      <c r="CA86" s="444" cm="1">
        <f t="array" ref="CA86">$E86*IFERROR(IF($D86&lt;=CA$8,INDEX($E$32:$E$37,MATCH(CA$8,$AF$8:$CA$8,0)-MATCH($D86,$D$45:$D$92,0)+1,0),0),1)</f>
        <v>0</v>
      </c>
    </row>
    <row r="87" spans="3:79" ht="21" hidden="1" customHeight="1" outlineLevel="3">
      <c r="C87" s="370"/>
      <c r="D87" s="374">
        <f t="shared" si="25"/>
        <v>46234</v>
      </c>
      <c r="E87" s="446" cm="1">
        <f t="array" ref="E87">INDEX($AF$41:$CA$41,0,MATCH($D87,$AF$8:$CA$8,0))</f>
        <v>0</v>
      </c>
      <c r="G87" s="431"/>
      <c r="H87" s="445">
        <f t="shared" si="26"/>
        <v>0</v>
      </c>
      <c r="I87" s="445">
        <f t="shared" si="26"/>
        <v>0</v>
      </c>
      <c r="J87" s="445">
        <f t="shared" si="26"/>
        <v>0</v>
      </c>
      <c r="K87" s="445">
        <f t="shared" si="26"/>
        <v>0</v>
      </c>
      <c r="L87" s="442"/>
      <c r="M87" s="434"/>
      <c r="N87" s="445">
        <f t="shared" si="27"/>
        <v>0</v>
      </c>
      <c r="O87" s="445">
        <f t="shared" si="27"/>
        <v>0</v>
      </c>
      <c r="P87" s="445">
        <f t="shared" si="27"/>
        <v>0</v>
      </c>
      <c r="Q87" s="445">
        <f t="shared" si="27"/>
        <v>0</v>
      </c>
      <c r="R87" s="445">
        <f t="shared" si="27"/>
        <v>0</v>
      </c>
      <c r="S87" s="445">
        <f t="shared" si="27"/>
        <v>0</v>
      </c>
      <c r="T87" s="445">
        <f t="shared" si="27"/>
        <v>0</v>
      </c>
      <c r="U87" s="445">
        <f t="shared" si="27"/>
        <v>0</v>
      </c>
      <c r="V87" s="445">
        <f t="shared" si="27"/>
        <v>0</v>
      </c>
      <c r="W87" s="445">
        <f t="shared" si="27"/>
        <v>0</v>
      </c>
      <c r="X87" s="445">
        <f t="shared" si="27"/>
        <v>0</v>
      </c>
      <c r="Y87" s="445">
        <f t="shared" si="27"/>
        <v>0</v>
      </c>
      <c r="Z87" s="445">
        <f t="shared" si="27"/>
        <v>0</v>
      </c>
      <c r="AA87" s="445">
        <f t="shared" si="27"/>
        <v>0</v>
      </c>
      <c r="AB87" s="445">
        <f t="shared" si="27"/>
        <v>0</v>
      </c>
      <c r="AC87" s="445">
        <f t="shared" si="27"/>
        <v>0</v>
      </c>
      <c r="AD87" s="442"/>
      <c r="AE87" s="434"/>
      <c r="AF87" s="444" cm="1">
        <f t="array" ref="AF87">$E87*IFERROR(IF($D87&lt;=AF$8,INDEX($E$32:$E$37,MATCH(AF$8,$AF$8:$CA$8,0)-MATCH($D87,$D$45:$D$92,0)+1,0),0),1)</f>
        <v>0</v>
      </c>
      <c r="AG87" s="444" cm="1">
        <f t="array" ref="AG87">$E87*IFERROR(IF($D87&lt;=AG$8,INDEX($E$32:$E$37,MATCH(AG$8,$AF$8:$CA$8,0)-MATCH($D87,$D$45:$D$92,0)+1,0),0),1)</f>
        <v>0</v>
      </c>
      <c r="AH87" s="444" cm="1">
        <f t="array" ref="AH87">$E87*IFERROR(IF($D87&lt;=AH$8,INDEX($E$32:$E$37,MATCH(AH$8,$AF$8:$CA$8,0)-MATCH($D87,$D$45:$D$92,0)+1,0),0),1)</f>
        <v>0</v>
      </c>
      <c r="AI87" s="444" cm="1">
        <f t="array" ref="AI87">$E87*IFERROR(IF($D87&lt;=AI$8,INDEX($E$32:$E$37,MATCH(AI$8,$AF$8:$CA$8,0)-MATCH($D87,$D$45:$D$92,0)+1,0),0),1)</f>
        <v>0</v>
      </c>
      <c r="AJ87" s="444" cm="1">
        <f t="array" ref="AJ87">$E87*IFERROR(IF($D87&lt;=AJ$8,INDEX($E$32:$E$37,MATCH(AJ$8,$AF$8:$CA$8,0)-MATCH($D87,$D$45:$D$92,0)+1,0),0),1)</f>
        <v>0</v>
      </c>
      <c r="AK87" s="444" cm="1">
        <f t="array" ref="AK87">$E87*IFERROR(IF($D87&lt;=AK$8,INDEX($E$32:$E$37,MATCH(AK$8,$AF$8:$CA$8,0)-MATCH($D87,$D$45:$D$92,0)+1,0),0),1)</f>
        <v>0</v>
      </c>
      <c r="AL87" s="444" cm="1">
        <f t="array" ref="AL87">$E87*IFERROR(IF($D87&lt;=AL$8,INDEX($E$32:$E$37,MATCH(AL$8,$AF$8:$CA$8,0)-MATCH($D87,$D$45:$D$92,0)+1,0),0),1)</f>
        <v>0</v>
      </c>
      <c r="AM87" s="444" cm="1">
        <f t="array" ref="AM87">$E87*IFERROR(IF($D87&lt;=AM$8,INDEX($E$32:$E$37,MATCH(AM$8,$AF$8:$CA$8,0)-MATCH($D87,$D$45:$D$92,0)+1,0),0),1)</f>
        <v>0</v>
      </c>
      <c r="AN87" s="444" cm="1">
        <f t="array" ref="AN87">$E87*IFERROR(IF($D87&lt;=AN$8,INDEX($E$32:$E$37,MATCH(AN$8,$AF$8:$CA$8,0)-MATCH($D87,$D$45:$D$92,0)+1,0),0),1)</f>
        <v>0</v>
      </c>
      <c r="AO87" s="444" cm="1">
        <f t="array" ref="AO87">$E87*IFERROR(IF($D87&lt;=AO$8,INDEX($E$32:$E$37,MATCH(AO$8,$AF$8:$CA$8,0)-MATCH($D87,$D$45:$D$92,0)+1,0),0),1)</f>
        <v>0</v>
      </c>
      <c r="AP87" s="444" cm="1">
        <f t="array" ref="AP87">$E87*IFERROR(IF($D87&lt;=AP$8,INDEX($E$32:$E$37,MATCH(AP$8,$AF$8:$CA$8,0)-MATCH($D87,$D$45:$D$92,0)+1,0),0),1)</f>
        <v>0</v>
      </c>
      <c r="AQ87" s="444" cm="1">
        <f t="array" ref="AQ87">$E87*IFERROR(IF($D87&lt;=AQ$8,INDEX($E$32:$E$37,MATCH(AQ$8,$AF$8:$CA$8,0)-MATCH($D87,$D$45:$D$92,0)+1,0),0),1)</f>
        <v>0</v>
      </c>
      <c r="AR87" s="444" cm="1">
        <f t="array" ref="AR87">$E87*IFERROR(IF($D87&lt;=AR$8,INDEX($E$32:$E$37,MATCH(AR$8,$AF$8:$CA$8,0)-MATCH($D87,$D$45:$D$92,0)+1,0),0),1)</f>
        <v>0</v>
      </c>
      <c r="AS87" s="444" cm="1">
        <f t="array" ref="AS87">$E87*IFERROR(IF($D87&lt;=AS$8,INDEX($E$32:$E$37,MATCH(AS$8,$AF$8:$CA$8,0)-MATCH($D87,$D$45:$D$92,0)+1,0),0),1)</f>
        <v>0</v>
      </c>
      <c r="AT87" s="444" cm="1">
        <f t="array" ref="AT87">$E87*IFERROR(IF($D87&lt;=AT$8,INDEX($E$32:$E$37,MATCH(AT$8,$AF$8:$CA$8,0)-MATCH($D87,$D$45:$D$92,0)+1,0),0),1)</f>
        <v>0</v>
      </c>
      <c r="AU87" s="444" cm="1">
        <f t="array" ref="AU87">$E87*IFERROR(IF($D87&lt;=AU$8,INDEX($E$32:$E$37,MATCH(AU$8,$AF$8:$CA$8,0)-MATCH($D87,$D$45:$D$92,0)+1,0),0),1)</f>
        <v>0</v>
      </c>
      <c r="AV87" s="444" cm="1">
        <f t="array" ref="AV87">$E87*IFERROR(IF($D87&lt;=AV$8,INDEX($E$32:$E$37,MATCH(AV$8,$AF$8:$CA$8,0)-MATCH($D87,$D$45:$D$92,0)+1,0),0),1)</f>
        <v>0</v>
      </c>
      <c r="AW87" s="444" cm="1">
        <f t="array" ref="AW87">$E87*IFERROR(IF($D87&lt;=AW$8,INDEX($E$32:$E$37,MATCH(AW$8,$AF$8:$CA$8,0)-MATCH($D87,$D$45:$D$92,0)+1,0),0),1)</f>
        <v>0</v>
      </c>
      <c r="AX87" s="444" cm="1">
        <f t="array" ref="AX87">$E87*IFERROR(IF($D87&lt;=AX$8,INDEX($E$32:$E$37,MATCH(AX$8,$AF$8:$CA$8,0)-MATCH($D87,$D$45:$D$92,0)+1,0),0),1)</f>
        <v>0</v>
      </c>
      <c r="AY87" s="444" cm="1">
        <f t="array" ref="AY87">$E87*IFERROR(IF($D87&lt;=AY$8,INDEX($E$32:$E$37,MATCH(AY$8,$AF$8:$CA$8,0)-MATCH($D87,$D$45:$D$92,0)+1,0),0),1)</f>
        <v>0</v>
      </c>
      <c r="AZ87" s="444" cm="1">
        <f t="array" ref="AZ87">$E87*IFERROR(IF($D87&lt;=AZ$8,INDEX($E$32:$E$37,MATCH(AZ$8,$AF$8:$CA$8,0)-MATCH($D87,$D$45:$D$92,0)+1,0),0),1)</f>
        <v>0</v>
      </c>
      <c r="BA87" s="444" cm="1">
        <f t="array" ref="BA87">$E87*IFERROR(IF($D87&lt;=BA$8,INDEX($E$32:$E$37,MATCH(BA$8,$AF$8:$CA$8,0)-MATCH($D87,$D$45:$D$92,0)+1,0),0),1)</f>
        <v>0</v>
      </c>
      <c r="BB87" s="444" cm="1">
        <f t="array" ref="BB87">$E87*IFERROR(IF($D87&lt;=BB$8,INDEX($E$32:$E$37,MATCH(BB$8,$AF$8:$CA$8,0)-MATCH($D87,$D$45:$D$92,0)+1,0),0),1)</f>
        <v>0</v>
      </c>
      <c r="BC87" s="444" cm="1">
        <f t="array" ref="BC87">$E87*IFERROR(IF($D87&lt;=BC$8,INDEX($E$32:$E$37,MATCH(BC$8,$AF$8:$CA$8,0)-MATCH($D87,$D$45:$D$92,0)+1,0),0),1)</f>
        <v>0</v>
      </c>
      <c r="BD87" s="444" cm="1">
        <f t="array" ref="BD87">$E87*IFERROR(IF($D87&lt;=BD$8,INDEX($E$32:$E$37,MATCH(BD$8,$AF$8:$CA$8,0)-MATCH($D87,$D$45:$D$92,0)+1,0),0),1)</f>
        <v>0</v>
      </c>
      <c r="BE87" s="444" cm="1">
        <f t="array" ref="BE87">$E87*IFERROR(IF($D87&lt;=BE$8,INDEX($E$32:$E$37,MATCH(BE$8,$AF$8:$CA$8,0)-MATCH($D87,$D$45:$D$92,0)+1,0),0),1)</f>
        <v>0</v>
      </c>
      <c r="BF87" s="444" cm="1">
        <f t="array" ref="BF87">$E87*IFERROR(IF($D87&lt;=BF$8,INDEX($E$32:$E$37,MATCH(BF$8,$AF$8:$CA$8,0)-MATCH($D87,$D$45:$D$92,0)+1,0),0),1)</f>
        <v>0</v>
      </c>
      <c r="BG87" s="444" cm="1">
        <f t="array" ref="BG87">$E87*IFERROR(IF($D87&lt;=BG$8,INDEX($E$32:$E$37,MATCH(BG$8,$AF$8:$CA$8,0)-MATCH($D87,$D$45:$D$92,0)+1,0),0),1)</f>
        <v>0</v>
      </c>
      <c r="BH87" s="444" cm="1">
        <f t="array" ref="BH87">$E87*IFERROR(IF($D87&lt;=BH$8,INDEX($E$32:$E$37,MATCH(BH$8,$AF$8:$CA$8,0)-MATCH($D87,$D$45:$D$92,0)+1,0),0),1)</f>
        <v>0</v>
      </c>
      <c r="BI87" s="444" cm="1">
        <f t="array" ref="BI87">$E87*IFERROR(IF($D87&lt;=BI$8,INDEX($E$32:$E$37,MATCH(BI$8,$AF$8:$CA$8,0)-MATCH($D87,$D$45:$D$92,0)+1,0),0),1)</f>
        <v>0</v>
      </c>
      <c r="BJ87" s="444" cm="1">
        <f t="array" ref="BJ87">$E87*IFERROR(IF($D87&lt;=BJ$8,INDEX($E$32:$E$37,MATCH(BJ$8,$AF$8:$CA$8,0)-MATCH($D87,$D$45:$D$92,0)+1,0),0),1)</f>
        <v>0</v>
      </c>
      <c r="BK87" s="444" cm="1">
        <f t="array" ref="BK87">$E87*IFERROR(IF($D87&lt;=BK$8,INDEX($E$32:$E$37,MATCH(BK$8,$AF$8:$CA$8,0)-MATCH($D87,$D$45:$D$92,0)+1,0),0),1)</f>
        <v>0</v>
      </c>
      <c r="BL87" s="444" cm="1">
        <f t="array" ref="BL87">$E87*IFERROR(IF($D87&lt;=BL$8,INDEX($E$32:$E$37,MATCH(BL$8,$AF$8:$CA$8,0)-MATCH($D87,$D$45:$D$92,0)+1,0),0),1)</f>
        <v>0</v>
      </c>
      <c r="BM87" s="444" cm="1">
        <f t="array" ref="BM87">$E87*IFERROR(IF($D87&lt;=BM$8,INDEX($E$32:$E$37,MATCH(BM$8,$AF$8:$CA$8,0)-MATCH($D87,$D$45:$D$92,0)+1,0),0),1)</f>
        <v>0</v>
      </c>
      <c r="BN87" s="444" cm="1">
        <f t="array" ref="BN87">$E87*IFERROR(IF($D87&lt;=BN$8,INDEX($E$32:$E$37,MATCH(BN$8,$AF$8:$CA$8,0)-MATCH($D87,$D$45:$D$92,0)+1,0),0),1)</f>
        <v>0</v>
      </c>
      <c r="BO87" s="444" cm="1">
        <f t="array" ref="BO87">$E87*IFERROR(IF($D87&lt;=BO$8,INDEX($E$32:$E$37,MATCH(BO$8,$AF$8:$CA$8,0)-MATCH($D87,$D$45:$D$92,0)+1,0),0),1)</f>
        <v>0</v>
      </c>
      <c r="BP87" s="444" cm="1">
        <f t="array" ref="BP87">$E87*IFERROR(IF($D87&lt;=BP$8,INDEX($E$32:$E$37,MATCH(BP$8,$AF$8:$CA$8,0)-MATCH($D87,$D$45:$D$92,0)+1,0),0),1)</f>
        <v>0</v>
      </c>
      <c r="BQ87" s="444" cm="1">
        <f t="array" ref="BQ87">$E87*IFERROR(IF($D87&lt;=BQ$8,INDEX($E$32:$E$37,MATCH(BQ$8,$AF$8:$CA$8,0)-MATCH($D87,$D$45:$D$92,0)+1,0),0),1)</f>
        <v>0</v>
      </c>
      <c r="BR87" s="444" cm="1">
        <f t="array" ref="BR87">$E87*IFERROR(IF($D87&lt;=BR$8,INDEX($E$32:$E$37,MATCH(BR$8,$AF$8:$CA$8,0)-MATCH($D87,$D$45:$D$92,0)+1,0),0),1)</f>
        <v>0</v>
      </c>
      <c r="BS87" s="444" cm="1">
        <f t="array" ref="BS87">$E87*IFERROR(IF($D87&lt;=BS$8,INDEX($E$32:$E$37,MATCH(BS$8,$AF$8:$CA$8,0)-MATCH($D87,$D$45:$D$92,0)+1,0),0),1)</f>
        <v>0</v>
      </c>
      <c r="BT87" s="444" cm="1">
        <f t="array" ref="BT87">$E87*IFERROR(IF($D87&lt;=BT$8,INDEX($E$32:$E$37,MATCH(BT$8,$AF$8:$CA$8,0)-MATCH($D87,$D$45:$D$92,0)+1,0),0),1)</f>
        <v>0</v>
      </c>
      <c r="BU87" s="444" cm="1">
        <f t="array" ref="BU87">$E87*IFERROR(IF($D87&lt;=BU$8,INDEX($E$32:$E$37,MATCH(BU$8,$AF$8:$CA$8,0)-MATCH($D87,$D$45:$D$92,0)+1,0),0),1)</f>
        <v>0</v>
      </c>
      <c r="BV87" s="444" cm="1">
        <f t="array" ref="BV87">$E87*IFERROR(IF($D87&lt;=BV$8,INDEX($E$32:$E$37,MATCH(BV$8,$AF$8:$CA$8,0)-MATCH($D87,$D$45:$D$92,0)+1,0),0),1)</f>
        <v>0</v>
      </c>
      <c r="BW87" s="444" cm="1">
        <f t="array" ref="BW87">$E87*IFERROR(IF($D87&lt;=BW$8,INDEX($E$32:$E$37,MATCH(BW$8,$AF$8:$CA$8,0)-MATCH($D87,$D$45:$D$92,0)+1,0),0),1)</f>
        <v>0</v>
      </c>
      <c r="BX87" s="444" cm="1">
        <f t="array" ref="BX87">$E87*IFERROR(IF($D87&lt;=BX$8,INDEX($E$32:$E$37,MATCH(BX$8,$AF$8:$CA$8,0)-MATCH($D87,$D$45:$D$92,0)+1,0),0),1)</f>
        <v>0</v>
      </c>
      <c r="BY87" s="444" cm="1">
        <f t="array" ref="BY87">$E87*IFERROR(IF($D87&lt;=BY$8,INDEX($E$32:$E$37,MATCH(BY$8,$AF$8:$CA$8,0)-MATCH($D87,$D$45:$D$92,0)+1,0),0),1)</f>
        <v>0</v>
      </c>
      <c r="BZ87" s="444" cm="1">
        <f t="array" ref="BZ87">$E87*IFERROR(IF($D87&lt;=BZ$8,INDEX($E$32:$E$37,MATCH(BZ$8,$AF$8:$CA$8,0)-MATCH($D87,$D$45:$D$92,0)+1,0),0),1)</f>
        <v>0</v>
      </c>
      <c r="CA87" s="444" cm="1">
        <f t="array" ref="CA87">$E87*IFERROR(IF($D87&lt;=CA$8,INDEX($E$32:$E$37,MATCH(CA$8,$AF$8:$CA$8,0)-MATCH($D87,$D$45:$D$92,0)+1,0),0),1)</f>
        <v>0</v>
      </c>
    </row>
    <row r="88" spans="3:79" ht="21" hidden="1" customHeight="1" outlineLevel="3">
      <c r="C88" s="370"/>
      <c r="D88" s="374">
        <f t="shared" si="25"/>
        <v>46265</v>
      </c>
      <c r="E88" s="446" cm="1">
        <f t="array" ref="E88">INDEX($AF$41:$CA$41,0,MATCH($D88,$AF$8:$CA$8,0))</f>
        <v>0</v>
      </c>
      <c r="G88" s="431"/>
      <c r="H88" s="445">
        <f t="shared" si="26"/>
        <v>0</v>
      </c>
      <c r="I88" s="445">
        <f t="shared" si="26"/>
        <v>0</v>
      </c>
      <c r="J88" s="445">
        <f t="shared" si="26"/>
        <v>0</v>
      </c>
      <c r="K88" s="445">
        <f t="shared" si="26"/>
        <v>0</v>
      </c>
      <c r="L88" s="442"/>
      <c r="M88" s="434"/>
      <c r="N88" s="445">
        <f t="shared" si="27"/>
        <v>0</v>
      </c>
      <c r="O88" s="445">
        <f t="shared" si="27"/>
        <v>0</v>
      </c>
      <c r="P88" s="445">
        <f t="shared" si="27"/>
        <v>0</v>
      </c>
      <c r="Q88" s="445">
        <f t="shared" si="27"/>
        <v>0</v>
      </c>
      <c r="R88" s="445">
        <f t="shared" si="27"/>
        <v>0</v>
      </c>
      <c r="S88" s="445">
        <f t="shared" si="27"/>
        <v>0</v>
      </c>
      <c r="T88" s="445">
        <f t="shared" si="27"/>
        <v>0</v>
      </c>
      <c r="U88" s="445">
        <f t="shared" si="27"/>
        <v>0</v>
      </c>
      <c r="V88" s="445">
        <f t="shared" si="27"/>
        <v>0</v>
      </c>
      <c r="W88" s="445">
        <f t="shared" si="27"/>
        <v>0</v>
      </c>
      <c r="X88" s="445">
        <f t="shared" si="27"/>
        <v>0</v>
      </c>
      <c r="Y88" s="445">
        <f t="shared" si="27"/>
        <v>0</v>
      </c>
      <c r="Z88" s="445">
        <f t="shared" si="27"/>
        <v>0</v>
      </c>
      <c r="AA88" s="445">
        <f t="shared" si="27"/>
        <v>0</v>
      </c>
      <c r="AB88" s="445">
        <f t="shared" si="27"/>
        <v>0</v>
      </c>
      <c r="AC88" s="445">
        <f t="shared" si="27"/>
        <v>0</v>
      </c>
      <c r="AD88" s="442"/>
      <c r="AE88" s="434"/>
      <c r="AF88" s="444" cm="1">
        <f t="array" ref="AF88">$E88*IFERROR(IF($D88&lt;=AF$8,INDEX($E$32:$E$37,MATCH(AF$8,$AF$8:$CA$8,0)-MATCH($D88,$D$45:$D$92,0)+1,0),0),1)</f>
        <v>0</v>
      </c>
      <c r="AG88" s="444" cm="1">
        <f t="array" ref="AG88">$E88*IFERROR(IF($D88&lt;=AG$8,INDEX($E$32:$E$37,MATCH(AG$8,$AF$8:$CA$8,0)-MATCH($D88,$D$45:$D$92,0)+1,0),0),1)</f>
        <v>0</v>
      </c>
      <c r="AH88" s="444" cm="1">
        <f t="array" ref="AH88">$E88*IFERROR(IF($D88&lt;=AH$8,INDEX($E$32:$E$37,MATCH(AH$8,$AF$8:$CA$8,0)-MATCH($D88,$D$45:$D$92,0)+1,0),0),1)</f>
        <v>0</v>
      </c>
      <c r="AI88" s="444" cm="1">
        <f t="array" ref="AI88">$E88*IFERROR(IF($D88&lt;=AI$8,INDEX($E$32:$E$37,MATCH(AI$8,$AF$8:$CA$8,0)-MATCH($D88,$D$45:$D$92,0)+1,0),0),1)</f>
        <v>0</v>
      </c>
      <c r="AJ88" s="444" cm="1">
        <f t="array" ref="AJ88">$E88*IFERROR(IF($D88&lt;=AJ$8,INDEX($E$32:$E$37,MATCH(AJ$8,$AF$8:$CA$8,0)-MATCH($D88,$D$45:$D$92,0)+1,0),0),1)</f>
        <v>0</v>
      </c>
      <c r="AK88" s="444" cm="1">
        <f t="array" ref="AK88">$E88*IFERROR(IF($D88&lt;=AK$8,INDEX($E$32:$E$37,MATCH(AK$8,$AF$8:$CA$8,0)-MATCH($D88,$D$45:$D$92,0)+1,0),0),1)</f>
        <v>0</v>
      </c>
      <c r="AL88" s="444" cm="1">
        <f t="array" ref="AL88">$E88*IFERROR(IF($D88&lt;=AL$8,INDEX($E$32:$E$37,MATCH(AL$8,$AF$8:$CA$8,0)-MATCH($D88,$D$45:$D$92,0)+1,0),0),1)</f>
        <v>0</v>
      </c>
      <c r="AM88" s="444" cm="1">
        <f t="array" ref="AM88">$E88*IFERROR(IF($D88&lt;=AM$8,INDEX($E$32:$E$37,MATCH(AM$8,$AF$8:$CA$8,0)-MATCH($D88,$D$45:$D$92,0)+1,0),0),1)</f>
        <v>0</v>
      </c>
      <c r="AN88" s="444" cm="1">
        <f t="array" ref="AN88">$E88*IFERROR(IF($D88&lt;=AN$8,INDEX($E$32:$E$37,MATCH(AN$8,$AF$8:$CA$8,0)-MATCH($D88,$D$45:$D$92,0)+1,0),0),1)</f>
        <v>0</v>
      </c>
      <c r="AO88" s="444" cm="1">
        <f t="array" ref="AO88">$E88*IFERROR(IF($D88&lt;=AO$8,INDEX($E$32:$E$37,MATCH(AO$8,$AF$8:$CA$8,0)-MATCH($D88,$D$45:$D$92,0)+1,0),0),1)</f>
        <v>0</v>
      </c>
      <c r="AP88" s="444" cm="1">
        <f t="array" ref="AP88">$E88*IFERROR(IF($D88&lt;=AP$8,INDEX($E$32:$E$37,MATCH(AP$8,$AF$8:$CA$8,0)-MATCH($D88,$D$45:$D$92,0)+1,0),0),1)</f>
        <v>0</v>
      </c>
      <c r="AQ88" s="444" cm="1">
        <f t="array" ref="AQ88">$E88*IFERROR(IF($D88&lt;=AQ$8,INDEX($E$32:$E$37,MATCH(AQ$8,$AF$8:$CA$8,0)-MATCH($D88,$D$45:$D$92,0)+1,0),0),1)</f>
        <v>0</v>
      </c>
      <c r="AR88" s="444" cm="1">
        <f t="array" ref="AR88">$E88*IFERROR(IF($D88&lt;=AR$8,INDEX($E$32:$E$37,MATCH(AR$8,$AF$8:$CA$8,0)-MATCH($D88,$D$45:$D$92,0)+1,0),0),1)</f>
        <v>0</v>
      </c>
      <c r="AS88" s="444" cm="1">
        <f t="array" ref="AS88">$E88*IFERROR(IF($D88&lt;=AS$8,INDEX($E$32:$E$37,MATCH(AS$8,$AF$8:$CA$8,0)-MATCH($D88,$D$45:$D$92,0)+1,0),0),1)</f>
        <v>0</v>
      </c>
      <c r="AT88" s="444" cm="1">
        <f t="array" ref="AT88">$E88*IFERROR(IF($D88&lt;=AT$8,INDEX($E$32:$E$37,MATCH(AT$8,$AF$8:$CA$8,0)-MATCH($D88,$D$45:$D$92,0)+1,0),0),1)</f>
        <v>0</v>
      </c>
      <c r="AU88" s="444" cm="1">
        <f t="array" ref="AU88">$E88*IFERROR(IF($D88&lt;=AU$8,INDEX($E$32:$E$37,MATCH(AU$8,$AF$8:$CA$8,0)-MATCH($D88,$D$45:$D$92,0)+1,0),0),1)</f>
        <v>0</v>
      </c>
      <c r="AV88" s="444" cm="1">
        <f t="array" ref="AV88">$E88*IFERROR(IF($D88&lt;=AV$8,INDEX($E$32:$E$37,MATCH(AV$8,$AF$8:$CA$8,0)-MATCH($D88,$D$45:$D$92,0)+1,0),0),1)</f>
        <v>0</v>
      </c>
      <c r="AW88" s="444" cm="1">
        <f t="array" ref="AW88">$E88*IFERROR(IF($D88&lt;=AW$8,INDEX($E$32:$E$37,MATCH(AW$8,$AF$8:$CA$8,0)-MATCH($D88,$D$45:$D$92,0)+1,0),0),1)</f>
        <v>0</v>
      </c>
      <c r="AX88" s="444" cm="1">
        <f t="array" ref="AX88">$E88*IFERROR(IF($D88&lt;=AX$8,INDEX($E$32:$E$37,MATCH(AX$8,$AF$8:$CA$8,0)-MATCH($D88,$D$45:$D$92,0)+1,0),0),1)</f>
        <v>0</v>
      </c>
      <c r="AY88" s="444" cm="1">
        <f t="array" ref="AY88">$E88*IFERROR(IF($D88&lt;=AY$8,INDEX($E$32:$E$37,MATCH(AY$8,$AF$8:$CA$8,0)-MATCH($D88,$D$45:$D$92,0)+1,0),0),1)</f>
        <v>0</v>
      </c>
      <c r="AZ88" s="444" cm="1">
        <f t="array" ref="AZ88">$E88*IFERROR(IF($D88&lt;=AZ$8,INDEX($E$32:$E$37,MATCH(AZ$8,$AF$8:$CA$8,0)-MATCH($D88,$D$45:$D$92,0)+1,0),0),1)</f>
        <v>0</v>
      </c>
      <c r="BA88" s="444" cm="1">
        <f t="array" ref="BA88">$E88*IFERROR(IF($D88&lt;=BA$8,INDEX($E$32:$E$37,MATCH(BA$8,$AF$8:$CA$8,0)-MATCH($D88,$D$45:$D$92,0)+1,0),0),1)</f>
        <v>0</v>
      </c>
      <c r="BB88" s="444" cm="1">
        <f t="array" ref="BB88">$E88*IFERROR(IF($D88&lt;=BB$8,INDEX($E$32:$E$37,MATCH(BB$8,$AF$8:$CA$8,0)-MATCH($D88,$D$45:$D$92,0)+1,0),0),1)</f>
        <v>0</v>
      </c>
      <c r="BC88" s="444" cm="1">
        <f t="array" ref="BC88">$E88*IFERROR(IF($D88&lt;=BC$8,INDEX($E$32:$E$37,MATCH(BC$8,$AF$8:$CA$8,0)-MATCH($D88,$D$45:$D$92,0)+1,0),0),1)</f>
        <v>0</v>
      </c>
      <c r="BD88" s="444" cm="1">
        <f t="array" ref="BD88">$E88*IFERROR(IF($D88&lt;=BD$8,INDEX($E$32:$E$37,MATCH(BD$8,$AF$8:$CA$8,0)-MATCH($D88,$D$45:$D$92,0)+1,0),0),1)</f>
        <v>0</v>
      </c>
      <c r="BE88" s="444" cm="1">
        <f t="array" ref="BE88">$E88*IFERROR(IF($D88&lt;=BE$8,INDEX($E$32:$E$37,MATCH(BE$8,$AF$8:$CA$8,0)-MATCH($D88,$D$45:$D$92,0)+1,0),0),1)</f>
        <v>0</v>
      </c>
      <c r="BF88" s="444" cm="1">
        <f t="array" ref="BF88">$E88*IFERROR(IF($D88&lt;=BF$8,INDEX($E$32:$E$37,MATCH(BF$8,$AF$8:$CA$8,0)-MATCH($D88,$D$45:$D$92,0)+1,0),0),1)</f>
        <v>0</v>
      </c>
      <c r="BG88" s="444" cm="1">
        <f t="array" ref="BG88">$E88*IFERROR(IF($D88&lt;=BG$8,INDEX($E$32:$E$37,MATCH(BG$8,$AF$8:$CA$8,0)-MATCH($D88,$D$45:$D$92,0)+1,0),0),1)</f>
        <v>0</v>
      </c>
      <c r="BH88" s="444" cm="1">
        <f t="array" ref="BH88">$E88*IFERROR(IF($D88&lt;=BH$8,INDEX($E$32:$E$37,MATCH(BH$8,$AF$8:$CA$8,0)-MATCH($D88,$D$45:$D$92,0)+1,0),0),1)</f>
        <v>0</v>
      </c>
      <c r="BI88" s="444" cm="1">
        <f t="array" ref="BI88">$E88*IFERROR(IF($D88&lt;=BI$8,INDEX($E$32:$E$37,MATCH(BI$8,$AF$8:$CA$8,0)-MATCH($D88,$D$45:$D$92,0)+1,0),0),1)</f>
        <v>0</v>
      </c>
      <c r="BJ88" s="444" cm="1">
        <f t="array" ref="BJ88">$E88*IFERROR(IF($D88&lt;=BJ$8,INDEX($E$32:$E$37,MATCH(BJ$8,$AF$8:$CA$8,0)-MATCH($D88,$D$45:$D$92,0)+1,0),0),1)</f>
        <v>0</v>
      </c>
      <c r="BK88" s="444" cm="1">
        <f t="array" ref="BK88">$E88*IFERROR(IF($D88&lt;=BK$8,INDEX($E$32:$E$37,MATCH(BK$8,$AF$8:$CA$8,0)-MATCH($D88,$D$45:$D$92,0)+1,0),0),1)</f>
        <v>0</v>
      </c>
      <c r="BL88" s="444" cm="1">
        <f t="array" ref="BL88">$E88*IFERROR(IF($D88&lt;=BL$8,INDEX($E$32:$E$37,MATCH(BL$8,$AF$8:$CA$8,0)-MATCH($D88,$D$45:$D$92,0)+1,0),0),1)</f>
        <v>0</v>
      </c>
      <c r="BM88" s="444" cm="1">
        <f t="array" ref="BM88">$E88*IFERROR(IF($D88&lt;=BM$8,INDEX($E$32:$E$37,MATCH(BM$8,$AF$8:$CA$8,0)-MATCH($D88,$D$45:$D$92,0)+1,0),0),1)</f>
        <v>0</v>
      </c>
      <c r="BN88" s="444" cm="1">
        <f t="array" ref="BN88">$E88*IFERROR(IF($D88&lt;=BN$8,INDEX($E$32:$E$37,MATCH(BN$8,$AF$8:$CA$8,0)-MATCH($D88,$D$45:$D$92,0)+1,0),0),1)</f>
        <v>0</v>
      </c>
      <c r="BO88" s="444" cm="1">
        <f t="array" ref="BO88">$E88*IFERROR(IF($D88&lt;=BO$8,INDEX($E$32:$E$37,MATCH(BO$8,$AF$8:$CA$8,0)-MATCH($D88,$D$45:$D$92,0)+1,0),0),1)</f>
        <v>0</v>
      </c>
      <c r="BP88" s="444" cm="1">
        <f t="array" ref="BP88">$E88*IFERROR(IF($D88&lt;=BP$8,INDEX($E$32:$E$37,MATCH(BP$8,$AF$8:$CA$8,0)-MATCH($D88,$D$45:$D$92,0)+1,0),0),1)</f>
        <v>0</v>
      </c>
      <c r="BQ88" s="444" cm="1">
        <f t="array" ref="BQ88">$E88*IFERROR(IF($D88&lt;=BQ$8,INDEX($E$32:$E$37,MATCH(BQ$8,$AF$8:$CA$8,0)-MATCH($D88,$D$45:$D$92,0)+1,0),0),1)</f>
        <v>0</v>
      </c>
      <c r="BR88" s="444" cm="1">
        <f t="array" ref="BR88">$E88*IFERROR(IF($D88&lt;=BR$8,INDEX($E$32:$E$37,MATCH(BR$8,$AF$8:$CA$8,0)-MATCH($D88,$D$45:$D$92,0)+1,0),0),1)</f>
        <v>0</v>
      </c>
      <c r="BS88" s="444" cm="1">
        <f t="array" ref="BS88">$E88*IFERROR(IF($D88&lt;=BS$8,INDEX($E$32:$E$37,MATCH(BS$8,$AF$8:$CA$8,0)-MATCH($D88,$D$45:$D$92,0)+1,0),0),1)</f>
        <v>0</v>
      </c>
      <c r="BT88" s="444" cm="1">
        <f t="array" ref="BT88">$E88*IFERROR(IF($D88&lt;=BT$8,INDEX($E$32:$E$37,MATCH(BT$8,$AF$8:$CA$8,0)-MATCH($D88,$D$45:$D$92,0)+1,0),0),1)</f>
        <v>0</v>
      </c>
      <c r="BU88" s="444" cm="1">
        <f t="array" ref="BU88">$E88*IFERROR(IF($D88&lt;=BU$8,INDEX($E$32:$E$37,MATCH(BU$8,$AF$8:$CA$8,0)-MATCH($D88,$D$45:$D$92,0)+1,0),0),1)</f>
        <v>0</v>
      </c>
      <c r="BV88" s="444" cm="1">
        <f t="array" ref="BV88">$E88*IFERROR(IF($D88&lt;=BV$8,INDEX($E$32:$E$37,MATCH(BV$8,$AF$8:$CA$8,0)-MATCH($D88,$D$45:$D$92,0)+1,0),0),1)</f>
        <v>0</v>
      </c>
      <c r="BW88" s="444" cm="1">
        <f t="array" ref="BW88">$E88*IFERROR(IF($D88&lt;=BW$8,INDEX($E$32:$E$37,MATCH(BW$8,$AF$8:$CA$8,0)-MATCH($D88,$D$45:$D$92,0)+1,0),0),1)</f>
        <v>0</v>
      </c>
      <c r="BX88" s="444" cm="1">
        <f t="array" ref="BX88">$E88*IFERROR(IF($D88&lt;=BX$8,INDEX($E$32:$E$37,MATCH(BX$8,$AF$8:$CA$8,0)-MATCH($D88,$D$45:$D$92,0)+1,0),0),1)</f>
        <v>0</v>
      </c>
      <c r="BY88" s="444" cm="1">
        <f t="array" ref="BY88">$E88*IFERROR(IF($D88&lt;=BY$8,INDEX($E$32:$E$37,MATCH(BY$8,$AF$8:$CA$8,0)-MATCH($D88,$D$45:$D$92,0)+1,0),0),1)</f>
        <v>0</v>
      </c>
      <c r="BZ88" s="444" cm="1">
        <f t="array" ref="BZ88">$E88*IFERROR(IF($D88&lt;=BZ$8,INDEX($E$32:$E$37,MATCH(BZ$8,$AF$8:$CA$8,0)-MATCH($D88,$D$45:$D$92,0)+1,0),0),1)</f>
        <v>0</v>
      </c>
      <c r="CA88" s="444" cm="1">
        <f t="array" ref="CA88">$E88*IFERROR(IF($D88&lt;=CA$8,INDEX($E$32:$E$37,MATCH(CA$8,$AF$8:$CA$8,0)-MATCH($D88,$D$45:$D$92,0)+1,0),0),1)</f>
        <v>0</v>
      </c>
    </row>
    <row r="89" spans="3:79" ht="21" hidden="1" customHeight="1" outlineLevel="3">
      <c r="C89" s="370"/>
      <c r="D89" s="374">
        <f t="shared" si="25"/>
        <v>46295</v>
      </c>
      <c r="E89" s="446" cm="1">
        <f t="array" ref="E89">INDEX($AF$41:$CA$41,0,MATCH($D89,$AF$8:$CA$8,0))</f>
        <v>0</v>
      </c>
      <c r="G89" s="431"/>
      <c r="H89" s="445">
        <f t="shared" si="26"/>
        <v>0</v>
      </c>
      <c r="I89" s="445">
        <f t="shared" si="26"/>
        <v>0</v>
      </c>
      <c r="J89" s="445">
        <f t="shared" si="26"/>
        <v>0</v>
      </c>
      <c r="K89" s="445">
        <f t="shared" si="26"/>
        <v>0</v>
      </c>
      <c r="L89" s="442"/>
      <c r="M89" s="434"/>
      <c r="N89" s="445">
        <f t="shared" si="27"/>
        <v>0</v>
      </c>
      <c r="O89" s="445">
        <f t="shared" si="27"/>
        <v>0</v>
      </c>
      <c r="P89" s="445">
        <f t="shared" si="27"/>
        <v>0</v>
      </c>
      <c r="Q89" s="445">
        <f t="shared" si="27"/>
        <v>0</v>
      </c>
      <c r="R89" s="445">
        <f t="shared" si="27"/>
        <v>0</v>
      </c>
      <c r="S89" s="445">
        <f t="shared" si="27"/>
        <v>0</v>
      </c>
      <c r="T89" s="445">
        <f t="shared" si="27"/>
        <v>0</v>
      </c>
      <c r="U89" s="445">
        <f t="shared" si="27"/>
        <v>0</v>
      </c>
      <c r="V89" s="445">
        <f t="shared" si="27"/>
        <v>0</v>
      </c>
      <c r="W89" s="445">
        <f t="shared" si="27"/>
        <v>0</v>
      </c>
      <c r="X89" s="445">
        <f t="shared" si="27"/>
        <v>0</v>
      </c>
      <c r="Y89" s="445">
        <f t="shared" si="27"/>
        <v>0</v>
      </c>
      <c r="Z89" s="445">
        <f t="shared" si="27"/>
        <v>0</v>
      </c>
      <c r="AA89" s="445">
        <f t="shared" si="27"/>
        <v>0</v>
      </c>
      <c r="AB89" s="445">
        <f t="shared" si="27"/>
        <v>0</v>
      </c>
      <c r="AC89" s="445">
        <f t="shared" si="27"/>
        <v>0</v>
      </c>
      <c r="AD89" s="442"/>
      <c r="AE89" s="434"/>
      <c r="AF89" s="444" cm="1">
        <f t="array" ref="AF89">$E89*IFERROR(IF($D89&lt;=AF$8,INDEX($E$32:$E$37,MATCH(AF$8,$AF$8:$CA$8,0)-MATCH($D89,$D$45:$D$92,0)+1,0),0),1)</f>
        <v>0</v>
      </c>
      <c r="AG89" s="444" cm="1">
        <f t="array" ref="AG89">$E89*IFERROR(IF($D89&lt;=AG$8,INDEX($E$32:$E$37,MATCH(AG$8,$AF$8:$CA$8,0)-MATCH($D89,$D$45:$D$92,0)+1,0),0),1)</f>
        <v>0</v>
      </c>
      <c r="AH89" s="444" cm="1">
        <f t="array" ref="AH89">$E89*IFERROR(IF($D89&lt;=AH$8,INDEX($E$32:$E$37,MATCH(AH$8,$AF$8:$CA$8,0)-MATCH($D89,$D$45:$D$92,0)+1,0),0),1)</f>
        <v>0</v>
      </c>
      <c r="AI89" s="444" cm="1">
        <f t="array" ref="AI89">$E89*IFERROR(IF($D89&lt;=AI$8,INDEX($E$32:$E$37,MATCH(AI$8,$AF$8:$CA$8,0)-MATCH($D89,$D$45:$D$92,0)+1,0),0),1)</f>
        <v>0</v>
      </c>
      <c r="AJ89" s="444" cm="1">
        <f t="array" ref="AJ89">$E89*IFERROR(IF($D89&lt;=AJ$8,INDEX($E$32:$E$37,MATCH(AJ$8,$AF$8:$CA$8,0)-MATCH($D89,$D$45:$D$92,0)+1,0),0),1)</f>
        <v>0</v>
      </c>
      <c r="AK89" s="444" cm="1">
        <f t="array" ref="AK89">$E89*IFERROR(IF($D89&lt;=AK$8,INDEX($E$32:$E$37,MATCH(AK$8,$AF$8:$CA$8,0)-MATCH($D89,$D$45:$D$92,0)+1,0),0),1)</f>
        <v>0</v>
      </c>
      <c r="AL89" s="444" cm="1">
        <f t="array" ref="AL89">$E89*IFERROR(IF($D89&lt;=AL$8,INDEX($E$32:$E$37,MATCH(AL$8,$AF$8:$CA$8,0)-MATCH($D89,$D$45:$D$92,0)+1,0),0),1)</f>
        <v>0</v>
      </c>
      <c r="AM89" s="444" cm="1">
        <f t="array" ref="AM89">$E89*IFERROR(IF($D89&lt;=AM$8,INDEX($E$32:$E$37,MATCH(AM$8,$AF$8:$CA$8,0)-MATCH($D89,$D$45:$D$92,0)+1,0),0),1)</f>
        <v>0</v>
      </c>
      <c r="AN89" s="444" cm="1">
        <f t="array" ref="AN89">$E89*IFERROR(IF($D89&lt;=AN$8,INDEX($E$32:$E$37,MATCH(AN$8,$AF$8:$CA$8,0)-MATCH($D89,$D$45:$D$92,0)+1,0),0),1)</f>
        <v>0</v>
      </c>
      <c r="AO89" s="444" cm="1">
        <f t="array" ref="AO89">$E89*IFERROR(IF($D89&lt;=AO$8,INDEX($E$32:$E$37,MATCH(AO$8,$AF$8:$CA$8,0)-MATCH($D89,$D$45:$D$92,0)+1,0),0),1)</f>
        <v>0</v>
      </c>
      <c r="AP89" s="444" cm="1">
        <f t="array" ref="AP89">$E89*IFERROR(IF($D89&lt;=AP$8,INDEX($E$32:$E$37,MATCH(AP$8,$AF$8:$CA$8,0)-MATCH($D89,$D$45:$D$92,0)+1,0),0),1)</f>
        <v>0</v>
      </c>
      <c r="AQ89" s="444" cm="1">
        <f t="array" ref="AQ89">$E89*IFERROR(IF($D89&lt;=AQ$8,INDEX($E$32:$E$37,MATCH(AQ$8,$AF$8:$CA$8,0)-MATCH($D89,$D$45:$D$92,0)+1,0),0),1)</f>
        <v>0</v>
      </c>
      <c r="AR89" s="444" cm="1">
        <f t="array" ref="AR89">$E89*IFERROR(IF($D89&lt;=AR$8,INDEX($E$32:$E$37,MATCH(AR$8,$AF$8:$CA$8,0)-MATCH($D89,$D$45:$D$92,0)+1,0),0),1)</f>
        <v>0</v>
      </c>
      <c r="AS89" s="444" cm="1">
        <f t="array" ref="AS89">$E89*IFERROR(IF($D89&lt;=AS$8,INDEX($E$32:$E$37,MATCH(AS$8,$AF$8:$CA$8,0)-MATCH($D89,$D$45:$D$92,0)+1,0),0),1)</f>
        <v>0</v>
      </c>
      <c r="AT89" s="444" cm="1">
        <f t="array" ref="AT89">$E89*IFERROR(IF($D89&lt;=AT$8,INDEX($E$32:$E$37,MATCH(AT$8,$AF$8:$CA$8,0)-MATCH($D89,$D$45:$D$92,0)+1,0),0),1)</f>
        <v>0</v>
      </c>
      <c r="AU89" s="444" cm="1">
        <f t="array" ref="AU89">$E89*IFERROR(IF($D89&lt;=AU$8,INDEX($E$32:$E$37,MATCH(AU$8,$AF$8:$CA$8,0)-MATCH($D89,$D$45:$D$92,0)+1,0),0),1)</f>
        <v>0</v>
      </c>
      <c r="AV89" s="444" cm="1">
        <f t="array" ref="AV89">$E89*IFERROR(IF($D89&lt;=AV$8,INDEX($E$32:$E$37,MATCH(AV$8,$AF$8:$CA$8,0)-MATCH($D89,$D$45:$D$92,0)+1,0),0),1)</f>
        <v>0</v>
      </c>
      <c r="AW89" s="444" cm="1">
        <f t="array" ref="AW89">$E89*IFERROR(IF($D89&lt;=AW$8,INDEX($E$32:$E$37,MATCH(AW$8,$AF$8:$CA$8,0)-MATCH($D89,$D$45:$D$92,0)+1,0),0),1)</f>
        <v>0</v>
      </c>
      <c r="AX89" s="444" cm="1">
        <f t="array" ref="AX89">$E89*IFERROR(IF($D89&lt;=AX$8,INDEX($E$32:$E$37,MATCH(AX$8,$AF$8:$CA$8,0)-MATCH($D89,$D$45:$D$92,0)+1,0),0),1)</f>
        <v>0</v>
      </c>
      <c r="AY89" s="444" cm="1">
        <f t="array" ref="AY89">$E89*IFERROR(IF($D89&lt;=AY$8,INDEX($E$32:$E$37,MATCH(AY$8,$AF$8:$CA$8,0)-MATCH($D89,$D$45:$D$92,0)+1,0),0),1)</f>
        <v>0</v>
      </c>
      <c r="AZ89" s="444" cm="1">
        <f t="array" ref="AZ89">$E89*IFERROR(IF($D89&lt;=AZ$8,INDEX($E$32:$E$37,MATCH(AZ$8,$AF$8:$CA$8,0)-MATCH($D89,$D$45:$D$92,0)+1,0),0),1)</f>
        <v>0</v>
      </c>
      <c r="BA89" s="444" cm="1">
        <f t="array" ref="BA89">$E89*IFERROR(IF($D89&lt;=BA$8,INDEX($E$32:$E$37,MATCH(BA$8,$AF$8:$CA$8,0)-MATCH($D89,$D$45:$D$92,0)+1,0),0),1)</f>
        <v>0</v>
      </c>
      <c r="BB89" s="444" cm="1">
        <f t="array" ref="BB89">$E89*IFERROR(IF($D89&lt;=BB$8,INDEX($E$32:$E$37,MATCH(BB$8,$AF$8:$CA$8,0)-MATCH($D89,$D$45:$D$92,0)+1,0),0),1)</f>
        <v>0</v>
      </c>
      <c r="BC89" s="444" cm="1">
        <f t="array" ref="BC89">$E89*IFERROR(IF($D89&lt;=BC$8,INDEX($E$32:$E$37,MATCH(BC$8,$AF$8:$CA$8,0)-MATCH($D89,$D$45:$D$92,0)+1,0),0),1)</f>
        <v>0</v>
      </c>
      <c r="BD89" s="444" cm="1">
        <f t="array" ref="BD89">$E89*IFERROR(IF($D89&lt;=BD$8,INDEX($E$32:$E$37,MATCH(BD$8,$AF$8:$CA$8,0)-MATCH($D89,$D$45:$D$92,0)+1,0),0),1)</f>
        <v>0</v>
      </c>
      <c r="BE89" s="444" cm="1">
        <f t="array" ref="BE89">$E89*IFERROR(IF($D89&lt;=BE$8,INDEX($E$32:$E$37,MATCH(BE$8,$AF$8:$CA$8,0)-MATCH($D89,$D$45:$D$92,0)+1,0),0),1)</f>
        <v>0</v>
      </c>
      <c r="BF89" s="444" cm="1">
        <f t="array" ref="BF89">$E89*IFERROR(IF($D89&lt;=BF$8,INDEX($E$32:$E$37,MATCH(BF$8,$AF$8:$CA$8,0)-MATCH($D89,$D$45:$D$92,0)+1,0),0),1)</f>
        <v>0</v>
      </c>
      <c r="BG89" s="444" cm="1">
        <f t="array" ref="BG89">$E89*IFERROR(IF($D89&lt;=BG$8,INDEX($E$32:$E$37,MATCH(BG$8,$AF$8:$CA$8,0)-MATCH($D89,$D$45:$D$92,0)+1,0),0),1)</f>
        <v>0</v>
      </c>
      <c r="BH89" s="444" cm="1">
        <f t="array" ref="BH89">$E89*IFERROR(IF($D89&lt;=BH$8,INDEX($E$32:$E$37,MATCH(BH$8,$AF$8:$CA$8,0)-MATCH($D89,$D$45:$D$92,0)+1,0),0),1)</f>
        <v>0</v>
      </c>
      <c r="BI89" s="444" cm="1">
        <f t="array" ref="BI89">$E89*IFERROR(IF($D89&lt;=BI$8,INDEX($E$32:$E$37,MATCH(BI$8,$AF$8:$CA$8,0)-MATCH($D89,$D$45:$D$92,0)+1,0),0),1)</f>
        <v>0</v>
      </c>
      <c r="BJ89" s="444" cm="1">
        <f t="array" ref="BJ89">$E89*IFERROR(IF($D89&lt;=BJ$8,INDEX($E$32:$E$37,MATCH(BJ$8,$AF$8:$CA$8,0)-MATCH($D89,$D$45:$D$92,0)+1,0),0),1)</f>
        <v>0</v>
      </c>
      <c r="BK89" s="444" cm="1">
        <f t="array" ref="BK89">$E89*IFERROR(IF($D89&lt;=BK$8,INDEX($E$32:$E$37,MATCH(BK$8,$AF$8:$CA$8,0)-MATCH($D89,$D$45:$D$92,0)+1,0),0),1)</f>
        <v>0</v>
      </c>
      <c r="BL89" s="444" cm="1">
        <f t="array" ref="BL89">$E89*IFERROR(IF($D89&lt;=BL$8,INDEX($E$32:$E$37,MATCH(BL$8,$AF$8:$CA$8,0)-MATCH($D89,$D$45:$D$92,0)+1,0),0),1)</f>
        <v>0</v>
      </c>
      <c r="BM89" s="444" cm="1">
        <f t="array" ref="BM89">$E89*IFERROR(IF($D89&lt;=BM$8,INDEX($E$32:$E$37,MATCH(BM$8,$AF$8:$CA$8,0)-MATCH($D89,$D$45:$D$92,0)+1,0),0),1)</f>
        <v>0</v>
      </c>
      <c r="BN89" s="444" cm="1">
        <f t="array" ref="BN89">$E89*IFERROR(IF($D89&lt;=BN$8,INDEX($E$32:$E$37,MATCH(BN$8,$AF$8:$CA$8,0)-MATCH($D89,$D$45:$D$92,0)+1,0),0),1)</f>
        <v>0</v>
      </c>
      <c r="BO89" s="444" cm="1">
        <f t="array" ref="BO89">$E89*IFERROR(IF($D89&lt;=BO$8,INDEX($E$32:$E$37,MATCH(BO$8,$AF$8:$CA$8,0)-MATCH($D89,$D$45:$D$92,0)+1,0),0),1)</f>
        <v>0</v>
      </c>
      <c r="BP89" s="444" cm="1">
        <f t="array" ref="BP89">$E89*IFERROR(IF($D89&lt;=BP$8,INDEX($E$32:$E$37,MATCH(BP$8,$AF$8:$CA$8,0)-MATCH($D89,$D$45:$D$92,0)+1,0),0),1)</f>
        <v>0</v>
      </c>
      <c r="BQ89" s="444" cm="1">
        <f t="array" ref="BQ89">$E89*IFERROR(IF($D89&lt;=BQ$8,INDEX($E$32:$E$37,MATCH(BQ$8,$AF$8:$CA$8,0)-MATCH($D89,$D$45:$D$92,0)+1,0),0),1)</f>
        <v>0</v>
      </c>
      <c r="BR89" s="444" cm="1">
        <f t="array" ref="BR89">$E89*IFERROR(IF($D89&lt;=BR$8,INDEX($E$32:$E$37,MATCH(BR$8,$AF$8:$CA$8,0)-MATCH($D89,$D$45:$D$92,0)+1,0),0),1)</f>
        <v>0</v>
      </c>
      <c r="BS89" s="444" cm="1">
        <f t="array" ref="BS89">$E89*IFERROR(IF($D89&lt;=BS$8,INDEX($E$32:$E$37,MATCH(BS$8,$AF$8:$CA$8,0)-MATCH($D89,$D$45:$D$92,0)+1,0),0),1)</f>
        <v>0</v>
      </c>
      <c r="BT89" s="444" cm="1">
        <f t="array" ref="BT89">$E89*IFERROR(IF($D89&lt;=BT$8,INDEX($E$32:$E$37,MATCH(BT$8,$AF$8:$CA$8,0)-MATCH($D89,$D$45:$D$92,0)+1,0),0),1)</f>
        <v>0</v>
      </c>
      <c r="BU89" s="444" cm="1">
        <f t="array" ref="BU89">$E89*IFERROR(IF($D89&lt;=BU$8,INDEX($E$32:$E$37,MATCH(BU$8,$AF$8:$CA$8,0)-MATCH($D89,$D$45:$D$92,0)+1,0),0),1)</f>
        <v>0</v>
      </c>
      <c r="BV89" s="444" cm="1">
        <f t="array" ref="BV89">$E89*IFERROR(IF($D89&lt;=BV$8,INDEX($E$32:$E$37,MATCH(BV$8,$AF$8:$CA$8,0)-MATCH($D89,$D$45:$D$92,0)+1,0),0),1)</f>
        <v>0</v>
      </c>
      <c r="BW89" s="444" cm="1">
        <f t="array" ref="BW89">$E89*IFERROR(IF($D89&lt;=BW$8,INDEX($E$32:$E$37,MATCH(BW$8,$AF$8:$CA$8,0)-MATCH($D89,$D$45:$D$92,0)+1,0),0),1)</f>
        <v>0</v>
      </c>
      <c r="BX89" s="444" cm="1">
        <f t="array" ref="BX89">$E89*IFERROR(IF($D89&lt;=BX$8,INDEX($E$32:$E$37,MATCH(BX$8,$AF$8:$CA$8,0)-MATCH($D89,$D$45:$D$92,0)+1,0),0),1)</f>
        <v>0</v>
      </c>
      <c r="BY89" s="444" cm="1">
        <f t="array" ref="BY89">$E89*IFERROR(IF($D89&lt;=BY$8,INDEX($E$32:$E$37,MATCH(BY$8,$AF$8:$CA$8,0)-MATCH($D89,$D$45:$D$92,0)+1,0),0),1)</f>
        <v>0</v>
      </c>
      <c r="BZ89" s="444" cm="1">
        <f t="array" ref="BZ89">$E89*IFERROR(IF($D89&lt;=BZ$8,INDEX($E$32:$E$37,MATCH(BZ$8,$AF$8:$CA$8,0)-MATCH($D89,$D$45:$D$92,0)+1,0),0),1)</f>
        <v>0</v>
      </c>
      <c r="CA89" s="444" cm="1">
        <f t="array" ref="CA89">$E89*IFERROR(IF($D89&lt;=CA$8,INDEX($E$32:$E$37,MATCH(CA$8,$AF$8:$CA$8,0)-MATCH($D89,$D$45:$D$92,0)+1,0),0),1)</f>
        <v>0</v>
      </c>
    </row>
    <row r="90" spans="3:79" ht="21" hidden="1" customHeight="1" outlineLevel="3">
      <c r="C90" s="370"/>
      <c r="D90" s="374">
        <f t="shared" si="25"/>
        <v>46326</v>
      </c>
      <c r="E90" s="446" cm="1">
        <f t="array" ref="E90">INDEX($AF$41:$CA$41,0,MATCH($D90,$AF$8:$CA$8,0))</f>
        <v>0</v>
      </c>
      <c r="G90" s="431"/>
      <c r="H90" s="445">
        <f t="shared" si="26"/>
        <v>0</v>
      </c>
      <c r="I90" s="445">
        <f t="shared" si="26"/>
        <v>0</v>
      </c>
      <c r="J90" s="445">
        <f t="shared" si="26"/>
        <v>0</v>
      </c>
      <c r="K90" s="445">
        <f t="shared" si="26"/>
        <v>0</v>
      </c>
      <c r="L90" s="442"/>
      <c r="M90" s="434"/>
      <c r="N90" s="445">
        <f t="shared" si="27"/>
        <v>0</v>
      </c>
      <c r="O90" s="445">
        <f t="shared" si="27"/>
        <v>0</v>
      </c>
      <c r="P90" s="445">
        <f t="shared" si="27"/>
        <v>0</v>
      </c>
      <c r="Q90" s="445">
        <f t="shared" si="27"/>
        <v>0</v>
      </c>
      <c r="R90" s="445">
        <f t="shared" si="27"/>
        <v>0</v>
      </c>
      <c r="S90" s="445">
        <f t="shared" si="27"/>
        <v>0</v>
      </c>
      <c r="T90" s="445">
        <f t="shared" si="27"/>
        <v>0</v>
      </c>
      <c r="U90" s="445">
        <f t="shared" si="27"/>
        <v>0</v>
      </c>
      <c r="V90" s="445">
        <f t="shared" si="27"/>
        <v>0</v>
      </c>
      <c r="W90" s="445">
        <f t="shared" si="27"/>
        <v>0</v>
      </c>
      <c r="X90" s="445">
        <f t="shared" si="27"/>
        <v>0</v>
      </c>
      <c r="Y90" s="445">
        <f t="shared" si="27"/>
        <v>0</v>
      </c>
      <c r="Z90" s="445">
        <f t="shared" si="27"/>
        <v>0</v>
      </c>
      <c r="AA90" s="445">
        <f t="shared" si="27"/>
        <v>0</v>
      </c>
      <c r="AB90" s="445">
        <f t="shared" si="27"/>
        <v>0</v>
      </c>
      <c r="AC90" s="445">
        <f t="shared" si="27"/>
        <v>0</v>
      </c>
      <c r="AD90" s="442"/>
      <c r="AE90" s="434"/>
      <c r="AF90" s="444" cm="1">
        <f t="array" ref="AF90">$E90*IFERROR(IF($D90&lt;=AF$8,INDEX($E$32:$E$37,MATCH(AF$8,$AF$8:$CA$8,0)-MATCH($D90,$D$45:$D$92,0)+1,0),0),1)</f>
        <v>0</v>
      </c>
      <c r="AG90" s="444" cm="1">
        <f t="array" ref="AG90">$E90*IFERROR(IF($D90&lt;=AG$8,INDEX($E$32:$E$37,MATCH(AG$8,$AF$8:$CA$8,0)-MATCH($D90,$D$45:$D$92,0)+1,0),0),1)</f>
        <v>0</v>
      </c>
      <c r="AH90" s="444" cm="1">
        <f t="array" ref="AH90">$E90*IFERROR(IF($D90&lt;=AH$8,INDEX($E$32:$E$37,MATCH(AH$8,$AF$8:$CA$8,0)-MATCH($D90,$D$45:$D$92,0)+1,0),0),1)</f>
        <v>0</v>
      </c>
      <c r="AI90" s="444" cm="1">
        <f t="array" ref="AI90">$E90*IFERROR(IF($D90&lt;=AI$8,INDEX($E$32:$E$37,MATCH(AI$8,$AF$8:$CA$8,0)-MATCH($D90,$D$45:$D$92,0)+1,0),0),1)</f>
        <v>0</v>
      </c>
      <c r="AJ90" s="444" cm="1">
        <f t="array" ref="AJ90">$E90*IFERROR(IF($D90&lt;=AJ$8,INDEX($E$32:$E$37,MATCH(AJ$8,$AF$8:$CA$8,0)-MATCH($D90,$D$45:$D$92,0)+1,0),0),1)</f>
        <v>0</v>
      </c>
      <c r="AK90" s="444" cm="1">
        <f t="array" ref="AK90">$E90*IFERROR(IF($D90&lt;=AK$8,INDEX($E$32:$E$37,MATCH(AK$8,$AF$8:$CA$8,0)-MATCH($D90,$D$45:$D$92,0)+1,0),0),1)</f>
        <v>0</v>
      </c>
      <c r="AL90" s="444" cm="1">
        <f t="array" ref="AL90">$E90*IFERROR(IF($D90&lt;=AL$8,INDEX($E$32:$E$37,MATCH(AL$8,$AF$8:$CA$8,0)-MATCH($D90,$D$45:$D$92,0)+1,0),0),1)</f>
        <v>0</v>
      </c>
      <c r="AM90" s="444" cm="1">
        <f t="array" ref="AM90">$E90*IFERROR(IF($D90&lt;=AM$8,INDEX($E$32:$E$37,MATCH(AM$8,$AF$8:$CA$8,0)-MATCH($D90,$D$45:$D$92,0)+1,0),0),1)</f>
        <v>0</v>
      </c>
      <c r="AN90" s="444" cm="1">
        <f t="array" ref="AN90">$E90*IFERROR(IF($D90&lt;=AN$8,INDEX($E$32:$E$37,MATCH(AN$8,$AF$8:$CA$8,0)-MATCH($D90,$D$45:$D$92,0)+1,0),0),1)</f>
        <v>0</v>
      </c>
      <c r="AO90" s="444" cm="1">
        <f t="array" ref="AO90">$E90*IFERROR(IF($D90&lt;=AO$8,INDEX($E$32:$E$37,MATCH(AO$8,$AF$8:$CA$8,0)-MATCH($D90,$D$45:$D$92,0)+1,0),0),1)</f>
        <v>0</v>
      </c>
      <c r="AP90" s="444" cm="1">
        <f t="array" ref="AP90">$E90*IFERROR(IF($D90&lt;=AP$8,INDEX($E$32:$E$37,MATCH(AP$8,$AF$8:$CA$8,0)-MATCH($D90,$D$45:$D$92,0)+1,0),0),1)</f>
        <v>0</v>
      </c>
      <c r="AQ90" s="444" cm="1">
        <f t="array" ref="AQ90">$E90*IFERROR(IF($D90&lt;=AQ$8,INDEX($E$32:$E$37,MATCH(AQ$8,$AF$8:$CA$8,0)-MATCH($D90,$D$45:$D$92,0)+1,0),0),1)</f>
        <v>0</v>
      </c>
      <c r="AR90" s="444" cm="1">
        <f t="array" ref="AR90">$E90*IFERROR(IF($D90&lt;=AR$8,INDEX($E$32:$E$37,MATCH(AR$8,$AF$8:$CA$8,0)-MATCH($D90,$D$45:$D$92,0)+1,0),0),1)</f>
        <v>0</v>
      </c>
      <c r="AS90" s="444" cm="1">
        <f t="array" ref="AS90">$E90*IFERROR(IF($D90&lt;=AS$8,INDEX($E$32:$E$37,MATCH(AS$8,$AF$8:$CA$8,0)-MATCH($D90,$D$45:$D$92,0)+1,0),0),1)</f>
        <v>0</v>
      </c>
      <c r="AT90" s="444" cm="1">
        <f t="array" ref="AT90">$E90*IFERROR(IF($D90&lt;=AT$8,INDEX($E$32:$E$37,MATCH(AT$8,$AF$8:$CA$8,0)-MATCH($D90,$D$45:$D$92,0)+1,0),0),1)</f>
        <v>0</v>
      </c>
      <c r="AU90" s="444" cm="1">
        <f t="array" ref="AU90">$E90*IFERROR(IF($D90&lt;=AU$8,INDEX($E$32:$E$37,MATCH(AU$8,$AF$8:$CA$8,0)-MATCH($D90,$D$45:$D$92,0)+1,0),0),1)</f>
        <v>0</v>
      </c>
      <c r="AV90" s="444" cm="1">
        <f t="array" ref="AV90">$E90*IFERROR(IF($D90&lt;=AV$8,INDEX($E$32:$E$37,MATCH(AV$8,$AF$8:$CA$8,0)-MATCH($D90,$D$45:$D$92,0)+1,0),0),1)</f>
        <v>0</v>
      </c>
      <c r="AW90" s="444" cm="1">
        <f t="array" ref="AW90">$E90*IFERROR(IF($D90&lt;=AW$8,INDEX($E$32:$E$37,MATCH(AW$8,$AF$8:$CA$8,0)-MATCH($D90,$D$45:$D$92,0)+1,0),0),1)</f>
        <v>0</v>
      </c>
      <c r="AX90" s="444" cm="1">
        <f t="array" ref="AX90">$E90*IFERROR(IF($D90&lt;=AX$8,INDEX($E$32:$E$37,MATCH(AX$8,$AF$8:$CA$8,0)-MATCH($D90,$D$45:$D$92,0)+1,0),0),1)</f>
        <v>0</v>
      </c>
      <c r="AY90" s="444" cm="1">
        <f t="array" ref="AY90">$E90*IFERROR(IF($D90&lt;=AY$8,INDEX($E$32:$E$37,MATCH(AY$8,$AF$8:$CA$8,0)-MATCH($D90,$D$45:$D$92,0)+1,0),0),1)</f>
        <v>0</v>
      </c>
      <c r="AZ90" s="444" cm="1">
        <f t="array" ref="AZ90">$E90*IFERROR(IF($D90&lt;=AZ$8,INDEX($E$32:$E$37,MATCH(AZ$8,$AF$8:$CA$8,0)-MATCH($D90,$D$45:$D$92,0)+1,0),0),1)</f>
        <v>0</v>
      </c>
      <c r="BA90" s="444" cm="1">
        <f t="array" ref="BA90">$E90*IFERROR(IF($D90&lt;=BA$8,INDEX($E$32:$E$37,MATCH(BA$8,$AF$8:$CA$8,0)-MATCH($D90,$D$45:$D$92,0)+1,0),0),1)</f>
        <v>0</v>
      </c>
      <c r="BB90" s="444" cm="1">
        <f t="array" ref="BB90">$E90*IFERROR(IF($D90&lt;=BB$8,INDEX($E$32:$E$37,MATCH(BB$8,$AF$8:$CA$8,0)-MATCH($D90,$D$45:$D$92,0)+1,0),0),1)</f>
        <v>0</v>
      </c>
      <c r="BC90" s="444" cm="1">
        <f t="array" ref="BC90">$E90*IFERROR(IF($D90&lt;=BC$8,INDEX($E$32:$E$37,MATCH(BC$8,$AF$8:$CA$8,0)-MATCH($D90,$D$45:$D$92,0)+1,0),0),1)</f>
        <v>0</v>
      </c>
      <c r="BD90" s="444" cm="1">
        <f t="array" ref="BD90">$E90*IFERROR(IF($D90&lt;=BD$8,INDEX($E$32:$E$37,MATCH(BD$8,$AF$8:$CA$8,0)-MATCH($D90,$D$45:$D$92,0)+1,0),0),1)</f>
        <v>0</v>
      </c>
      <c r="BE90" s="444" cm="1">
        <f t="array" ref="BE90">$E90*IFERROR(IF($D90&lt;=BE$8,INDEX($E$32:$E$37,MATCH(BE$8,$AF$8:$CA$8,0)-MATCH($D90,$D$45:$D$92,0)+1,0),0),1)</f>
        <v>0</v>
      </c>
      <c r="BF90" s="444" cm="1">
        <f t="array" ref="BF90">$E90*IFERROR(IF($D90&lt;=BF$8,INDEX($E$32:$E$37,MATCH(BF$8,$AF$8:$CA$8,0)-MATCH($D90,$D$45:$D$92,0)+1,0),0),1)</f>
        <v>0</v>
      </c>
      <c r="BG90" s="444" cm="1">
        <f t="array" ref="BG90">$E90*IFERROR(IF($D90&lt;=BG$8,INDEX($E$32:$E$37,MATCH(BG$8,$AF$8:$CA$8,0)-MATCH($D90,$D$45:$D$92,0)+1,0),0),1)</f>
        <v>0</v>
      </c>
      <c r="BH90" s="444" cm="1">
        <f t="array" ref="BH90">$E90*IFERROR(IF($D90&lt;=BH$8,INDEX($E$32:$E$37,MATCH(BH$8,$AF$8:$CA$8,0)-MATCH($D90,$D$45:$D$92,0)+1,0),0),1)</f>
        <v>0</v>
      </c>
      <c r="BI90" s="444" cm="1">
        <f t="array" ref="BI90">$E90*IFERROR(IF($D90&lt;=BI$8,INDEX($E$32:$E$37,MATCH(BI$8,$AF$8:$CA$8,0)-MATCH($D90,$D$45:$D$92,0)+1,0),0),1)</f>
        <v>0</v>
      </c>
      <c r="BJ90" s="444" cm="1">
        <f t="array" ref="BJ90">$E90*IFERROR(IF($D90&lt;=BJ$8,INDEX($E$32:$E$37,MATCH(BJ$8,$AF$8:$CA$8,0)-MATCH($D90,$D$45:$D$92,0)+1,0),0),1)</f>
        <v>0</v>
      </c>
      <c r="BK90" s="444" cm="1">
        <f t="array" ref="BK90">$E90*IFERROR(IF($D90&lt;=BK$8,INDEX($E$32:$E$37,MATCH(BK$8,$AF$8:$CA$8,0)-MATCH($D90,$D$45:$D$92,0)+1,0),0),1)</f>
        <v>0</v>
      </c>
      <c r="BL90" s="444" cm="1">
        <f t="array" ref="BL90">$E90*IFERROR(IF($D90&lt;=BL$8,INDEX($E$32:$E$37,MATCH(BL$8,$AF$8:$CA$8,0)-MATCH($D90,$D$45:$D$92,0)+1,0),0),1)</f>
        <v>0</v>
      </c>
      <c r="BM90" s="444" cm="1">
        <f t="array" ref="BM90">$E90*IFERROR(IF($D90&lt;=BM$8,INDEX($E$32:$E$37,MATCH(BM$8,$AF$8:$CA$8,0)-MATCH($D90,$D$45:$D$92,0)+1,0),0),1)</f>
        <v>0</v>
      </c>
      <c r="BN90" s="444" cm="1">
        <f t="array" ref="BN90">$E90*IFERROR(IF($D90&lt;=BN$8,INDEX($E$32:$E$37,MATCH(BN$8,$AF$8:$CA$8,0)-MATCH($D90,$D$45:$D$92,0)+1,0),0),1)</f>
        <v>0</v>
      </c>
      <c r="BO90" s="444" cm="1">
        <f t="array" ref="BO90">$E90*IFERROR(IF($D90&lt;=BO$8,INDEX($E$32:$E$37,MATCH(BO$8,$AF$8:$CA$8,0)-MATCH($D90,$D$45:$D$92,0)+1,0),0),1)</f>
        <v>0</v>
      </c>
      <c r="BP90" s="444" cm="1">
        <f t="array" ref="BP90">$E90*IFERROR(IF($D90&lt;=BP$8,INDEX($E$32:$E$37,MATCH(BP$8,$AF$8:$CA$8,0)-MATCH($D90,$D$45:$D$92,0)+1,0),0),1)</f>
        <v>0</v>
      </c>
      <c r="BQ90" s="444" cm="1">
        <f t="array" ref="BQ90">$E90*IFERROR(IF($D90&lt;=BQ$8,INDEX($E$32:$E$37,MATCH(BQ$8,$AF$8:$CA$8,0)-MATCH($D90,$D$45:$D$92,0)+1,0),0),1)</f>
        <v>0</v>
      </c>
      <c r="BR90" s="444" cm="1">
        <f t="array" ref="BR90">$E90*IFERROR(IF($D90&lt;=BR$8,INDEX($E$32:$E$37,MATCH(BR$8,$AF$8:$CA$8,0)-MATCH($D90,$D$45:$D$92,0)+1,0),0),1)</f>
        <v>0</v>
      </c>
      <c r="BS90" s="444" cm="1">
        <f t="array" ref="BS90">$E90*IFERROR(IF($D90&lt;=BS$8,INDEX($E$32:$E$37,MATCH(BS$8,$AF$8:$CA$8,0)-MATCH($D90,$D$45:$D$92,0)+1,0),0),1)</f>
        <v>0</v>
      </c>
      <c r="BT90" s="444" cm="1">
        <f t="array" ref="BT90">$E90*IFERROR(IF($D90&lt;=BT$8,INDEX($E$32:$E$37,MATCH(BT$8,$AF$8:$CA$8,0)-MATCH($D90,$D$45:$D$92,0)+1,0),0),1)</f>
        <v>0</v>
      </c>
      <c r="BU90" s="444" cm="1">
        <f t="array" ref="BU90">$E90*IFERROR(IF($D90&lt;=BU$8,INDEX($E$32:$E$37,MATCH(BU$8,$AF$8:$CA$8,0)-MATCH($D90,$D$45:$D$92,0)+1,0),0),1)</f>
        <v>0</v>
      </c>
      <c r="BV90" s="444" cm="1">
        <f t="array" ref="BV90">$E90*IFERROR(IF($D90&lt;=BV$8,INDEX($E$32:$E$37,MATCH(BV$8,$AF$8:$CA$8,0)-MATCH($D90,$D$45:$D$92,0)+1,0),0),1)</f>
        <v>0</v>
      </c>
      <c r="BW90" s="444" cm="1">
        <f t="array" ref="BW90">$E90*IFERROR(IF($D90&lt;=BW$8,INDEX($E$32:$E$37,MATCH(BW$8,$AF$8:$CA$8,0)-MATCH($D90,$D$45:$D$92,0)+1,0),0),1)</f>
        <v>0</v>
      </c>
      <c r="BX90" s="444" cm="1">
        <f t="array" ref="BX90">$E90*IFERROR(IF($D90&lt;=BX$8,INDEX($E$32:$E$37,MATCH(BX$8,$AF$8:$CA$8,0)-MATCH($D90,$D$45:$D$92,0)+1,0),0),1)</f>
        <v>0</v>
      </c>
      <c r="BY90" s="444" cm="1">
        <f t="array" ref="BY90">$E90*IFERROR(IF($D90&lt;=BY$8,INDEX($E$32:$E$37,MATCH(BY$8,$AF$8:$CA$8,0)-MATCH($D90,$D$45:$D$92,0)+1,0),0),1)</f>
        <v>0</v>
      </c>
      <c r="BZ90" s="444" cm="1">
        <f t="array" ref="BZ90">$E90*IFERROR(IF($D90&lt;=BZ$8,INDEX($E$32:$E$37,MATCH(BZ$8,$AF$8:$CA$8,0)-MATCH($D90,$D$45:$D$92,0)+1,0),0),1)</f>
        <v>0</v>
      </c>
      <c r="CA90" s="444" cm="1">
        <f t="array" ref="CA90">$E90*IFERROR(IF($D90&lt;=CA$8,INDEX($E$32:$E$37,MATCH(CA$8,$AF$8:$CA$8,0)-MATCH($D90,$D$45:$D$92,0)+1,0),0),1)</f>
        <v>0</v>
      </c>
    </row>
    <row r="91" spans="3:79" ht="21" hidden="1" customHeight="1" outlineLevel="3">
      <c r="C91" s="370"/>
      <c r="D91" s="374">
        <f t="shared" si="25"/>
        <v>46356</v>
      </c>
      <c r="E91" s="446" cm="1">
        <f t="array" ref="E91">INDEX($AF$41:$CA$41,0,MATCH($D91,$AF$8:$CA$8,0))</f>
        <v>0</v>
      </c>
      <c r="G91" s="431"/>
      <c r="H91" s="445">
        <f t="shared" si="26"/>
        <v>0</v>
      </c>
      <c r="I91" s="445">
        <f t="shared" si="26"/>
        <v>0</v>
      </c>
      <c r="J91" s="445">
        <f t="shared" si="26"/>
        <v>0</v>
      </c>
      <c r="K91" s="445">
        <f t="shared" si="26"/>
        <v>0</v>
      </c>
      <c r="L91" s="442"/>
      <c r="M91" s="434"/>
      <c r="N91" s="445">
        <f t="shared" si="27"/>
        <v>0</v>
      </c>
      <c r="O91" s="445">
        <f t="shared" si="27"/>
        <v>0</v>
      </c>
      <c r="P91" s="445">
        <f t="shared" si="27"/>
        <v>0</v>
      </c>
      <c r="Q91" s="445">
        <f t="shared" si="27"/>
        <v>0</v>
      </c>
      <c r="R91" s="445">
        <f t="shared" si="27"/>
        <v>0</v>
      </c>
      <c r="S91" s="445">
        <f t="shared" si="27"/>
        <v>0</v>
      </c>
      <c r="T91" s="445">
        <f t="shared" si="27"/>
        <v>0</v>
      </c>
      <c r="U91" s="445">
        <f t="shared" si="27"/>
        <v>0</v>
      </c>
      <c r="V91" s="445">
        <f t="shared" si="27"/>
        <v>0</v>
      </c>
      <c r="W91" s="445">
        <f t="shared" si="27"/>
        <v>0</v>
      </c>
      <c r="X91" s="445">
        <f t="shared" si="27"/>
        <v>0</v>
      </c>
      <c r="Y91" s="445">
        <f t="shared" si="27"/>
        <v>0</v>
      </c>
      <c r="Z91" s="445">
        <f t="shared" si="27"/>
        <v>0</v>
      </c>
      <c r="AA91" s="445">
        <f t="shared" si="27"/>
        <v>0</v>
      </c>
      <c r="AB91" s="445">
        <f t="shared" si="27"/>
        <v>0</v>
      </c>
      <c r="AC91" s="445">
        <f t="shared" si="27"/>
        <v>0</v>
      </c>
      <c r="AD91" s="442"/>
      <c r="AE91" s="434"/>
      <c r="AF91" s="444" cm="1">
        <f t="array" ref="AF91">$E91*IFERROR(IF($D91&lt;=AF$8,INDEX($E$32:$E$37,MATCH(AF$8,$AF$8:$CA$8,0)-MATCH($D91,$D$45:$D$92,0)+1,0),0),1)</f>
        <v>0</v>
      </c>
      <c r="AG91" s="444" cm="1">
        <f t="array" ref="AG91">$E91*IFERROR(IF($D91&lt;=AG$8,INDEX($E$32:$E$37,MATCH(AG$8,$AF$8:$CA$8,0)-MATCH($D91,$D$45:$D$92,0)+1,0),0),1)</f>
        <v>0</v>
      </c>
      <c r="AH91" s="444" cm="1">
        <f t="array" ref="AH91">$E91*IFERROR(IF($D91&lt;=AH$8,INDEX($E$32:$E$37,MATCH(AH$8,$AF$8:$CA$8,0)-MATCH($D91,$D$45:$D$92,0)+1,0),0),1)</f>
        <v>0</v>
      </c>
      <c r="AI91" s="444" cm="1">
        <f t="array" ref="AI91">$E91*IFERROR(IF($D91&lt;=AI$8,INDEX($E$32:$E$37,MATCH(AI$8,$AF$8:$CA$8,0)-MATCH($D91,$D$45:$D$92,0)+1,0),0),1)</f>
        <v>0</v>
      </c>
      <c r="AJ91" s="444" cm="1">
        <f t="array" ref="AJ91">$E91*IFERROR(IF($D91&lt;=AJ$8,INDEX($E$32:$E$37,MATCH(AJ$8,$AF$8:$CA$8,0)-MATCH($D91,$D$45:$D$92,0)+1,0),0),1)</f>
        <v>0</v>
      </c>
      <c r="AK91" s="444" cm="1">
        <f t="array" ref="AK91">$E91*IFERROR(IF($D91&lt;=AK$8,INDEX($E$32:$E$37,MATCH(AK$8,$AF$8:$CA$8,0)-MATCH($D91,$D$45:$D$92,0)+1,0),0),1)</f>
        <v>0</v>
      </c>
      <c r="AL91" s="444" cm="1">
        <f t="array" ref="AL91">$E91*IFERROR(IF($D91&lt;=AL$8,INDEX($E$32:$E$37,MATCH(AL$8,$AF$8:$CA$8,0)-MATCH($D91,$D$45:$D$92,0)+1,0),0),1)</f>
        <v>0</v>
      </c>
      <c r="AM91" s="444" cm="1">
        <f t="array" ref="AM91">$E91*IFERROR(IF($D91&lt;=AM$8,INDEX($E$32:$E$37,MATCH(AM$8,$AF$8:$CA$8,0)-MATCH($D91,$D$45:$D$92,0)+1,0),0),1)</f>
        <v>0</v>
      </c>
      <c r="AN91" s="444" cm="1">
        <f t="array" ref="AN91">$E91*IFERROR(IF($D91&lt;=AN$8,INDEX($E$32:$E$37,MATCH(AN$8,$AF$8:$CA$8,0)-MATCH($D91,$D$45:$D$92,0)+1,0),0),1)</f>
        <v>0</v>
      </c>
      <c r="AO91" s="444" cm="1">
        <f t="array" ref="AO91">$E91*IFERROR(IF($D91&lt;=AO$8,INDEX($E$32:$E$37,MATCH(AO$8,$AF$8:$CA$8,0)-MATCH($D91,$D$45:$D$92,0)+1,0),0),1)</f>
        <v>0</v>
      </c>
      <c r="AP91" s="444" cm="1">
        <f t="array" ref="AP91">$E91*IFERROR(IF($D91&lt;=AP$8,INDEX($E$32:$E$37,MATCH(AP$8,$AF$8:$CA$8,0)-MATCH($D91,$D$45:$D$92,0)+1,0),0),1)</f>
        <v>0</v>
      </c>
      <c r="AQ91" s="444" cm="1">
        <f t="array" ref="AQ91">$E91*IFERROR(IF($D91&lt;=AQ$8,INDEX($E$32:$E$37,MATCH(AQ$8,$AF$8:$CA$8,0)-MATCH($D91,$D$45:$D$92,0)+1,0),0),1)</f>
        <v>0</v>
      </c>
      <c r="AR91" s="444" cm="1">
        <f t="array" ref="AR91">$E91*IFERROR(IF($D91&lt;=AR$8,INDEX($E$32:$E$37,MATCH(AR$8,$AF$8:$CA$8,0)-MATCH($D91,$D$45:$D$92,0)+1,0),0),1)</f>
        <v>0</v>
      </c>
      <c r="AS91" s="444" cm="1">
        <f t="array" ref="AS91">$E91*IFERROR(IF($D91&lt;=AS$8,INDEX($E$32:$E$37,MATCH(AS$8,$AF$8:$CA$8,0)-MATCH($D91,$D$45:$D$92,0)+1,0),0),1)</f>
        <v>0</v>
      </c>
      <c r="AT91" s="444" cm="1">
        <f t="array" ref="AT91">$E91*IFERROR(IF($D91&lt;=AT$8,INDEX($E$32:$E$37,MATCH(AT$8,$AF$8:$CA$8,0)-MATCH($D91,$D$45:$D$92,0)+1,0),0),1)</f>
        <v>0</v>
      </c>
      <c r="AU91" s="444" cm="1">
        <f t="array" ref="AU91">$E91*IFERROR(IF($D91&lt;=AU$8,INDEX($E$32:$E$37,MATCH(AU$8,$AF$8:$CA$8,0)-MATCH($D91,$D$45:$D$92,0)+1,0),0),1)</f>
        <v>0</v>
      </c>
      <c r="AV91" s="444" cm="1">
        <f t="array" ref="AV91">$E91*IFERROR(IF($D91&lt;=AV$8,INDEX($E$32:$E$37,MATCH(AV$8,$AF$8:$CA$8,0)-MATCH($D91,$D$45:$D$92,0)+1,0),0),1)</f>
        <v>0</v>
      </c>
      <c r="AW91" s="444" cm="1">
        <f t="array" ref="AW91">$E91*IFERROR(IF($D91&lt;=AW$8,INDEX($E$32:$E$37,MATCH(AW$8,$AF$8:$CA$8,0)-MATCH($D91,$D$45:$D$92,0)+1,0),0),1)</f>
        <v>0</v>
      </c>
      <c r="AX91" s="444" cm="1">
        <f t="array" ref="AX91">$E91*IFERROR(IF($D91&lt;=AX$8,INDEX($E$32:$E$37,MATCH(AX$8,$AF$8:$CA$8,0)-MATCH($D91,$D$45:$D$92,0)+1,0),0),1)</f>
        <v>0</v>
      </c>
      <c r="AY91" s="444" cm="1">
        <f t="array" ref="AY91">$E91*IFERROR(IF($D91&lt;=AY$8,INDEX($E$32:$E$37,MATCH(AY$8,$AF$8:$CA$8,0)-MATCH($D91,$D$45:$D$92,0)+1,0),0),1)</f>
        <v>0</v>
      </c>
      <c r="AZ91" s="444" cm="1">
        <f t="array" ref="AZ91">$E91*IFERROR(IF($D91&lt;=AZ$8,INDEX($E$32:$E$37,MATCH(AZ$8,$AF$8:$CA$8,0)-MATCH($D91,$D$45:$D$92,0)+1,0),0),1)</f>
        <v>0</v>
      </c>
      <c r="BA91" s="444" cm="1">
        <f t="array" ref="BA91">$E91*IFERROR(IF($D91&lt;=BA$8,INDEX($E$32:$E$37,MATCH(BA$8,$AF$8:$CA$8,0)-MATCH($D91,$D$45:$D$92,0)+1,0),0),1)</f>
        <v>0</v>
      </c>
      <c r="BB91" s="444" cm="1">
        <f t="array" ref="BB91">$E91*IFERROR(IF($D91&lt;=BB$8,INDEX($E$32:$E$37,MATCH(BB$8,$AF$8:$CA$8,0)-MATCH($D91,$D$45:$D$92,0)+1,0),0),1)</f>
        <v>0</v>
      </c>
      <c r="BC91" s="444" cm="1">
        <f t="array" ref="BC91">$E91*IFERROR(IF($D91&lt;=BC$8,INDEX($E$32:$E$37,MATCH(BC$8,$AF$8:$CA$8,0)-MATCH($D91,$D$45:$D$92,0)+1,0),0),1)</f>
        <v>0</v>
      </c>
      <c r="BD91" s="444" cm="1">
        <f t="array" ref="BD91">$E91*IFERROR(IF($D91&lt;=BD$8,INDEX($E$32:$E$37,MATCH(BD$8,$AF$8:$CA$8,0)-MATCH($D91,$D$45:$D$92,0)+1,0),0),1)</f>
        <v>0</v>
      </c>
      <c r="BE91" s="444" cm="1">
        <f t="array" ref="BE91">$E91*IFERROR(IF($D91&lt;=BE$8,INDEX($E$32:$E$37,MATCH(BE$8,$AF$8:$CA$8,0)-MATCH($D91,$D$45:$D$92,0)+1,0),0),1)</f>
        <v>0</v>
      </c>
      <c r="BF91" s="444" cm="1">
        <f t="array" ref="BF91">$E91*IFERROR(IF($D91&lt;=BF$8,INDEX($E$32:$E$37,MATCH(BF$8,$AF$8:$CA$8,0)-MATCH($D91,$D$45:$D$92,0)+1,0),0),1)</f>
        <v>0</v>
      </c>
      <c r="BG91" s="444" cm="1">
        <f t="array" ref="BG91">$E91*IFERROR(IF($D91&lt;=BG$8,INDEX($E$32:$E$37,MATCH(BG$8,$AF$8:$CA$8,0)-MATCH($D91,$D$45:$D$92,0)+1,0),0),1)</f>
        <v>0</v>
      </c>
      <c r="BH91" s="444" cm="1">
        <f t="array" ref="BH91">$E91*IFERROR(IF($D91&lt;=BH$8,INDEX($E$32:$E$37,MATCH(BH$8,$AF$8:$CA$8,0)-MATCH($D91,$D$45:$D$92,0)+1,0),0),1)</f>
        <v>0</v>
      </c>
      <c r="BI91" s="444" cm="1">
        <f t="array" ref="BI91">$E91*IFERROR(IF($D91&lt;=BI$8,INDEX($E$32:$E$37,MATCH(BI$8,$AF$8:$CA$8,0)-MATCH($D91,$D$45:$D$92,0)+1,0),0),1)</f>
        <v>0</v>
      </c>
      <c r="BJ91" s="444" cm="1">
        <f t="array" ref="BJ91">$E91*IFERROR(IF($D91&lt;=BJ$8,INDEX($E$32:$E$37,MATCH(BJ$8,$AF$8:$CA$8,0)-MATCH($D91,$D$45:$D$92,0)+1,0),0),1)</f>
        <v>0</v>
      </c>
      <c r="BK91" s="444" cm="1">
        <f t="array" ref="BK91">$E91*IFERROR(IF($D91&lt;=BK$8,INDEX($E$32:$E$37,MATCH(BK$8,$AF$8:$CA$8,0)-MATCH($D91,$D$45:$D$92,0)+1,0),0),1)</f>
        <v>0</v>
      </c>
      <c r="BL91" s="444" cm="1">
        <f t="array" ref="BL91">$E91*IFERROR(IF($D91&lt;=BL$8,INDEX($E$32:$E$37,MATCH(BL$8,$AF$8:$CA$8,0)-MATCH($D91,$D$45:$D$92,0)+1,0),0),1)</f>
        <v>0</v>
      </c>
      <c r="BM91" s="444" cm="1">
        <f t="array" ref="BM91">$E91*IFERROR(IF($D91&lt;=BM$8,INDEX($E$32:$E$37,MATCH(BM$8,$AF$8:$CA$8,0)-MATCH($D91,$D$45:$D$92,0)+1,0),0),1)</f>
        <v>0</v>
      </c>
      <c r="BN91" s="444" cm="1">
        <f t="array" ref="BN91">$E91*IFERROR(IF($D91&lt;=BN$8,INDEX($E$32:$E$37,MATCH(BN$8,$AF$8:$CA$8,0)-MATCH($D91,$D$45:$D$92,0)+1,0),0),1)</f>
        <v>0</v>
      </c>
      <c r="BO91" s="444" cm="1">
        <f t="array" ref="BO91">$E91*IFERROR(IF($D91&lt;=BO$8,INDEX($E$32:$E$37,MATCH(BO$8,$AF$8:$CA$8,0)-MATCH($D91,$D$45:$D$92,0)+1,0),0),1)</f>
        <v>0</v>
      </c>
      <c r="BP91" s="444" cm="1">
        <f t="array" ref="BP91">$E91*IFERROR(IF($D91&lt;=BP$8,INDEX($E$32:$E$37,MATCH(BP$8,$AF$8:$CA$8,0)-MATCH($D91,$D$45:$D$92,0)+1,0),0),1)</f>
        <v>0</v>
      </c>
      <c r="BQ91" s="444" cm="1">
        <f t="array" ref="BQ91">$E91*IFERROR(IF($D91&lt;=BQ$8,INDEX($E$32:$E$37,MATCH(BQ$8,$AF$8:$CA$8,0)-MATCH($D91,$D$45:$D$92,0)+1,0),0),1)</f>
        <v>0</v>
      </c>
      <c r="BR91" s="444" cm="1">
        <f t="array" ref="BR91">$E91*IFERROR(IF($D91&lt;=BR$8,INDEX($E$32:$E$37,MATCH(BR$8,$AF$8:$CA$8,0)-MATCH($D91,$D$45:$D$92,0)+1,0),0),1)</f>
        <v>0</v>
      </c>
      <c r="BS91" s="444" cm="1">
        <f t="array" ref="BS91">$E91*IFERROR(IF($D91&lt;=BS$8,INDEX($E$32:$E$37,MATCH(BS$8,$AF$8:$CA$8,0)-MATCH($D91,$D$45:$D$92,0)+1,0),0),1)</f>
        <v>0</v>
      </c>
      <c r="BT91" s="444" cm="1">
        <f t="array" ref="BT91">$E91*IFERROR(IF($D91&lt;=BT$8,INDEX($E$32:$E$37,MATCH(BT$8,$AF$8:$CA$8,0)-MATCH($D91,$D$45:$D$92,0)+1,0),0),1)</f>
        <v>0</v>
      </c>
      <c r="BU91" s="444" cm="1">
        <f t="array" ref="BU91">$E91*IFERROR(IF($D91&lt;=BU$8,INDEX($E$32:$E$37,MATCH(BU$8,$AF$8:$CA$8,0)-MATCH($D91,$D$45:$D$92,0)+1,0),0),1)</f>
        <v>0</v>
      </c>
      <c r="BV91" s="444" cm="1">
        <f t="array" ref="BV91">$E91*IFERROR(IF($D91&lt;=BV$8,INDEX($E$32:$E$37,MATCH(BV$8,$AF$8:$CA$8,0)-MATCH($D91,$D$45:$D$92,0)+1,0),0),1)</f>
        <v>0</v>
      </c>
      <c r="BW91" s="444" cm="1">
        <f t="array" ref="BW91">$E91*IFERROR(IF($D91&lt;=BW$8,INDEX($E$32:$E$37,MATCH(BW$8,$AF$8:$CA$8,0)-MATCH($D91,$D$45:$D$92,0)+1,0),0),1)</f>
        <v>0</v>
      </c>
      <c r="BX91" s="444" cm="1">
        <f t="array" ref="BX91">$E91*IFERROR(IF($D91&lt;=BX$8,INDEX($E$32:$E$37,MATCH(BX$8,$AF$8:$CA$8,0)-MATCH($D91,$D$45:$D$92,0)+1,0),0),1)</f>
        <v>0</v>
      </c>
      <c r="BY91" s="444" cm="1">
        <f t="array" ref="BY91">$E91*IFERROR(IF($D91&lt;=BY$8,INDEX($E$32:$E$37,MATCH(BY$8,$AF$8:$CA$8,0)-MATCH($D91,$D$45:$D$92,0)+1,0),0),1)</f>
        <v>0</v>
      </c>
      <c r="BZ91" s="444" cm="1">
        <f t="array" ref="BZ91">$E91*IFERROR(IF($D91&lt;=BZ$8,INDEX($E$32:$E$37,MATCH(BZ$8,$AF$8:$CA$8,0)-MATCH($D91,$D$45:$D$92,0)+1,0),0),1)</f>
        <v>0</v>
      </c>
      <c r="CA91" s="444" cm="1">
        <f t="array" ref="CA91">$E91*IFERROR(IF($D91&lt;=CA$8,INDEX($E$32:$E$37,MATCH(CA$8,$AF$8:$CA$8,0)-MATCH($D91,$D$45:$D$92,0)+1,0),0),1)</f>
        <v>0</v>
      </c>
    </row>
    <row r="92" spans="3:79" ht="21" hidden="1" customHeight="1" outlineLevel="3">
      <c r="C92" s="370"/>
      <c r="D92" s="374">
        <f t="shared" si="25"/>
        <v>46387</v>
      </c>
      <c r="E92" s="446" cm="1">
        <f t="array" ref="E92">INDEX($AF$41:$CA$41,0,MATCH($D92,$AF$8:$CA$8,0))</f>
        <v>0</v>
      </c>
      <c r="G92" s="431"/>
      <c r="H92" s="445">
        <f t="shared" si="26"/>
        <v>0</v>
      </c>
      <c r="I92" s="445">
        <f t="shared" si="26"/>
        <v>0</v>
      </c>
      <c r="J92" s="445">
        <f t="shared" si="26"/>
        <v>0</v>
      </c>
      <c r="K92" s="445">
        <f t="shared" si="26"/>
        <v>0</v>
      </c>
      <c r="L92" s="442"/>
      <c r="M92" s="434"/>
      <c r="N92" s="445">
        <f t="shared" si="27"/>
        <v>0</v>
      </c>
      <c r="O92" s="445">
        <f t="shared" si="27"/>
        <v>0</v>
      </c>
      <c r="P92" s="445">
        <f t="shared" si="27"/>
        <v>0</v>
      </c>
      <c r="Q92" s="445">
        <f t="shared" si="27"/>
        <v>0</v>
      </c>
      <c r="R92" s="445">
        <f t="shared" si="27"/>
        <v>0</v>
      </c>
      <c r="S92" s="445">
        <f t="shared" si="27"/>
        <v>0</v>
      </c>
      <c r="T92" s="445">
        <f t="shared" si="27"/>
        <v>0</v>
      </c>
      <c r="U92" s="445">
        <f t="shared" si="27"/>
        <v>0</v>
      </c>
      <c r="V92" s="445">
        <f t="shared" si="27"/>
        <v>0</v>
      </c>
      <c r="W92" s="445">
        <f t="shared" si="27"/>
        <v>0</v>
      </c>
      <c r="X92" s="445">
        <f t="shared" si="27"/>
        <v>0</v>
      </c>
      <c r="Y92" s="445">
        <f t="shared" si="27"/>
        <v>0</v>
      </c>
      <c r="Z92" s="445">
        <f t="shared" si="27"/>
        <v>0</v>
      </c>
      <c r="AA92" s="445">
        <f t="shared" si="27"/>
        <v>0</v>
      </c>
      <c r="AB92" s="445">
        <f t="shared" si="27"/>
        <v>0</v>
      </c>
      <c r="AC92" s="445">
        <f t="shared" si="27"/>
        <v>0</v>
      </c>
      <c r="AD92" s="442"/>
      <c r="AE92" s="434"/>
      <c r="AF92" s="444" cm="1">
        <f t="array" ref="AF92">$E92*IFERROR(IF($D92&lt;=AF$8,INDEX($E$32:$E$37,MATCH(AF$8,$AF$8:$CA$8,0)-MATCH($D92,$D$45:$D$92,0)+1,0),0),1)</f>
        <v>0</v>
      </c>
      <c r="AG92" s="444" cm="1">
        <f t="array" ref="AG92">$E92*IFERROR(IF($D92&lt;=AG$8,INDEX($E$32:$E$37,MATCH(AG$8,$AF$8:$CA$8,0)-MATCH($D92,$D$45:$D$92,0)+1,0),0),1)</f>
        <v>0</v>
      </c>
      <c r="AH92" s="444" cm="1">
        <f t="array" ref="AH92">$E92*IFERROR(IF($D92&lt;=AH$8,INDEX($E$32:$E$37,MATCH(AH$8,$AF$8:$CA$8,0)-MATCH($D92,$D$45:$D$92,0)+1,0),0),1)</f>
        <v>0</v>
      </c>
      <c r="AI92" s="444" cm="1">
        <f t="array" ref="AI92">$E92*IFERROR(IF($D92&lt;=AI$8,INDEX($E$32:$E$37,MATCH(AI$8,$AF$8:$CA$8,0)-MATCH($D92,$D$45:$D$92,0)+1,0),0),1)</f>
        <v>0</v>
      </c>
      <c r="AJ92" s="444" cm="1">
        <f t="array" ref="AJ92">$E92*IFERROR(IF($D92&lt;=AJ$8,INDEX($E$32:$E$37,MATCH(AJ$8,$AF$8:$CA$8,0)-MATCH($D92,$D$45:$D$92,0)+1,0),0),1)</f>
        <v>0</v>
      </c>
      <c r="AK92" s="444" cm="1">
        <f t="array" ref="AK92">$E92*IFERROR(IF($D92&lt;=AK$8,INDEX($E$32:$E$37,MATCH(AK$8,$AF$8:$CA$8,0)-MATCH($D92,$D$45:$D$92,0)+1,0),0),1)</f>
        <v>0</v>
      </c>
      <c r="AL92" s="444" cm="1">
        <f t="array" ref="AL92">$E92*IFERROR(IF($D92&lt;=AL$8,INDEX($E$32:$E$37,MATCH(AL$8,$AF$8:$CA$8,0)-MATCH($D92,$D$45:$D$92,0)+1,0),0),1)</f>
        <v>0</v>
      </c>
      <c r="AM92" s="444" cm="1">
        <f t="array" ref="AM92">$E92*IFERROR(IF($D92&lt;=AM$8,INDEX($E$32:$E$37,MATCH(AM$8,$AF$8:$CA$8,0)-MATCH($D92,$D$45:$D$92,0)+1,0),0),1)</f>
        <v>0</v>
      </c>
      <c r="AN92" s="444" cm="1">
        <f t="array" ref="AN92">$E92*IFERROR(IF($D92&lt;=AN$8,INDEX($E$32:$E$37,MATCH(AN$8,$AF$8:$CA$8,0)-MATCH($D92,$D$45:$D$92,0)+1,0),0),1)</f>
        <v>0</v>
      </c>
      <c r="AO92" s="444" cm="1">
        <f t="array" ref="AO92">$E92*IFERROR(IF($D92&lt;=AO$8,INDEX($E$32:$E$37,MATCH(AO$8,$AF$8:$CA$8,0)-MATCH($D92,$D$45:$D$92,0)+1,0),0),1)</f>
        <v>0</v>
      </c>
      <c r="AP92" s="444" cm="1">
        <f t="array" ref="AP92">$E92*IFERROR(IF($D92&lt;=AP$8,INDEX($E$32:$E$37,MATCH(AP$8,$AF$8:$CA$8,0)-MATCH($D92,$D$45:$D$92,0)+1,0),0),1)</f>
        <v>0</v>
      </c>
      <c r="AQ92" s="444" cm="1">
        <f t="array" ref="AQ92">$E92*IFERROR(IF($D92&lt;=AQ$8,INDEX($E$32:$E$37,MATCH(AQ$8,$AF$8:$CA$8,0)-MATCH($D92,$D$45:$D$92,0)+1,0),0),1)</f>
        <v>0</v>
      </c>
      <c r="AR92" s="444" cm="1">
        <f t="array" ref="AR92">$E92*IFERROR(IF($D92&lt;=AR$8,INDEX($E$32:$E$37,MATCH(AR$8,$AF$8:$CA$8,0)-MATCH($D92,$D$45:$D$92,0)+1,0),0),1)</f>
        <v>0</v>
      </c>
      <c r="AS92" s="444" cm="1">
        <f t="array" ref="AS92">$E92*IFERROR(IF($D92&lt;=AS$8,INDEX($E$32:$E$37,MATCH(AS$8,$AF$8:$CA$8,0)-MATCH($D92,$D$45:$D$92,0)+1,0),0),1)</f>
        <v>0</v>
      </c>
      <c r="AT92" s="444" cm="1">
        <f t="array" ref="AT92">$E92*IFERROR(IF($D92&lt;=AT$8,INDEX($E$32:$E$37,MATCH(AT$8,$AF$8:$CA$8,0)-MATCH($D92,$D$45:$D$92,0)+1,0),0),1)</f>
        <v>0</v>
      </c>
      <c r="AU92" s="444" cm="1">
        <f t="array" ref="AU92">$E92*IFERROR(IF($D92&lt;=AU$8,INDEX($E$32:$E$37,MATCH(AU$8,$AF$8:$CA$8,0)-MATCH($D92,$D$45:$D$92,0)+1,0),0),1)</f>
        <v>0</v>
      </c>
      <c r="AV92" s="444" cm="1">
        <f t="array" ref="AV92">$E92*IFERROR(IF($D92&lt;=AV$8,INDEX($E$32:$E$37,MATCH(AV$8,$AF$8:$CA$8,0)-MATCH($D92,$D$45:$D$92,0)+1,0),0),1)</f>
        <v>0</v>
      </c>
      <c r="AW92" s="444" cm="1">
        <f t="array" ref="AW92">$E92*IFERROR(IF($D92&lt;=AW$8,INDEX($E$32:$E$37,MATCH(AW$8,$AF$8:$CA$8,0)-MATCH($D92,$D$45:$D$92,0)+1,0),0),1)</f>
        <v>0</v>
      </c>
      <c r="AX92" s="444" cm="1">
        <f t="array" ref="AX92">$E92*IFERROR(IF($D92&lt;=AX$8,INDEX($E$32:$E$37,MATCH(AX$8,$AF$8:$CA$8,0)-MATCH($D92,$D$45:$D$92,0)+1,0),0),1)</f>
        <v>0</v>
      </c>
      <c r="AY92" s="444" cm="1">
        <f t="array" ref="AY92">$E92*IFERROR(IF($D92&lt;=AY$8,INDEX($E$32:$E$37,MATCH(AY$8,$AF$8:$CA$8,0)-MATCH($D92,$D$45:$D$92,0)+1,0),0),1)</f>
        <v>0</v>
      </c>
      <c r="AZ92" s="444" cm="1">
        <f t="array" ref="AZ92">$E92*IFERROR(IF($D92&lt;=AZ$8,INDEX($E$32:$E$37,MATCH(AZ$8,$AF$8:$CA$8,0)-MATCH($D92,$D$45:$D$92,0)+1,0),0),1)</f>
        <v>0</v>
      </c>
      <c r="BA92" s="444" cm="1">
        <f t="array" ref="BA92">$E92*IFERROR(IF($D92&lt;=BA$8,INDEX($E$32:$E$37,MATCH(BA$8,$AF$8:$CA$8,0)-MATCH($D92,$D$45:$D$92,0)+1,0),0),1)</f>
        <v>0</v>
      </c>
      <c r="BB92" s="444" cm="1">
        <f t="array" ref="BB92">$E92*IFERROR(IF($D92&lt;=BB$8,INDEX($E$32:$E$37,MATCH(BB$8,$AF$8:$CA$8,0)-MATCH($D92,$D$45:$D$92,0)+1,0),0),1)</f>
        <v>0</v>
      </c>
      <c r="BC92" s="444" cm="1">
        <f t="array" ref="BC92">$E92*IFERROR(IF($D92&lt;=BC$8,INDEX($E$32:$E$37,MATCH(BC$8,$AF$8:$CA$8,0)-MATCH($D92,$D$45:$D$92,0)+1,0),0),1)</f>
        <v>0</v>
      </c>
      <c r="BD92" s="444" cm="1">
        <f t="array" ref="BD92">$E92*IFERROR(IF($D92&lt;=BD$8,INDEX($E$32:$E$37,MATCH(BD$8,$AF$8:$CA$8,0)-MATCH($D92,$D$45:$D$92,0)+1,0),0),1)</f>
        <v>0</v>
      </c>
      <c r="BE92" s="444" cm="1">
        <f t="array" ref="BE92">$E92*IFERROR(IF($D92&lt;=BE$8,INDEX($E$32:$E$37,MATCH(BE$8,$AF$8:$CA$8,0)-MATCH($D92,$D$45:$D$92,0)+1,0),0),1)</f>
        <v>0</v>
      </c>
      <c r="BF92" s="444" cm="1">
        <f t="array" ref="BF92">$E92*IFERROR(IF($D92&lt;=BF$8,INDEX($E$32:$E$37,MATCH(BF$8,$AF$8:$CA$8,0)-MATCH($D92,$D$45:$D$92,0)+1,0),0),1)</f>
        <v>0</v>
      </c>
      <c r="BG92" s="444" cm="1">
        <f t="array" ref="BG92">$E92*IFERROR(IF($D92&lt;=BG$8,INDEX($E$32:$E$37,MATCH(BG$8,$AF$8:$CA$8,0)-MATCH($D92,$D$45:$D$92,0)+1,0),0),1)</f>
        <v>0</v>
      </c>
      <c r="BH92" s="444" cm="1">
        <f t="array" ref="BH92">$E92*IFERROR(IF($D92&lt;=BH$8,INDEX($E$32:$E$37,MATCH(BH$8,$AF$8:$CA$8,0)-MATCH($D92,$D$45:$D$92,0)+1,0),0),1)</f>
        <v>0</v>
      </c>
      <c r="BI92" s="444" cm="1">
        <f t="array" ref="BI92">$E92*IFERROR(IF($D92&lt;=BI$8,INDEX($E$32:$E$37,MATCH(BI$8,$AF$8:$CA$8,0)-MATCH($D92,$D$45:$D$92,0)+1,0),0),1)</f>
        <v>0</v>
      </c>
      <c r="BJ92" s="444" cm="1">
        <f t="array" ref="BJ92">$E92*IFERROR(IF($D92&lt;=BJ$8,INDEX($E$32:$E$37,MATCH(BJ$8,$AF$8:$CA$8,0)-MATCH($D92,$D$45:$D$92,0)+1,0),0),1)</f>
        <v>0</v>
      </c>
      <c r="BK92" s="444" cm="1">
        <f t="array" ref="BK92">$E92*IFERROR(IF($D92&lt;=BK$8,INDEX($E$32:$E$37,MATCH(BK$8,$AF$8:$CA$8,0)-MATCH($D92,$D$45:$D$92,0)+1,0),0),1)</f>
        <v>0</v>
      </c>
      <c r="BL92" s="444" cm="1">
        <f t="array" ref="BL92">$E92*IFERROR(IF($D92&lt;=BL$8,INDEX($E$32:$E$37,MATCH(BL$8,$AF$8:$CA$8,0)-MATCH($D92,$D$45:$D$92,0)+1,0),0),1)</f>
        <v>0</v>
      </c>
      <c r="BM92" s="444" cm="1">
        <f t="array" ref="BM92">$E92*IFERROR(IF($D92&lt;=BM$8,INDEX($E$32:$E$37,MATCH(BM$8,$AF$8:$CA$8,0)-MATCH($D92,$D$45:$D$92,0)+1,0),0),1)</f>
        <v>0</v>
      </c>
      <c r="BN92" s="444" cm="1">
        <f t="array" ref="BN92">$E92*IFERROR(IF($D92&lt;=BN$8,INDEX($E$32:$E$37,MATCH(BN$8,$AF$8:$CA$8,0)-MATCH($D92,$D$45:$D$92,0)+1,0),0),1)</f>
        <v>0</v>
      </c>
      <c r="BO92" s="444" cm="1">
        <f t="array" ref="BO92">$E92*IFERROR(IF($D92&lt;=BO$8,INDEX($E$32:$E$37,MATCH(BO$8,$AF$8:$CA$8,0)-MATCH($D92,$D$45:$D$92,0)+1,0),0),1)</f>
        <v>0</v>
      </c>
      <c r="BP92" s="444" cm="1">
        <f t="array" ref="BP92">$E92*IFERROR(IF($D92&lt;=BP$8,INDEX($E$32:$E$37,MATCH(BP$8,$AF$8:$CA$8,0)-MATCH($D92,$D$45:$D$92,0)+1,0),0),1)</f>
        <v>0</v>
      </c>
      <c r="BQ92" s="444" cm="1">
        <f t="array" ref="BQ92">$E92*IFERROR(IF($D92&lt;=BQ$8,INDEX($E$32:$E$37,MATCH(BQ$8,$AF$8:$CA$8,0)-MATCH($D92,$D$45:$D$92,0)+1,0),0),1)</f>
        <v>0</v>
      </c>
      <c r="BR92" s="444" cm="1">
        <f t="array" ref="BR92">$E92*IFERROR(IF($D92&lt;=BR$8,INDEX($E$32:$E$37,MATCH(BR$8,$AF$8:$CA$8,0)-MATCH($D92,$D$45:$D$92,0)+1,0),0),1)</f>
        <v>0</v>
      </c>
      <c r="BS92" s="444" cm="1">
        <f t="array" ref="BS92">$E92*IFERROR(IF($D92&lt;=BS$8,INDEX($E$32:$E$37,MATCH(BS$8,$AF$8:$CA$8,0)-MATCH($D92,$D$45:$D$92,0)+1,0),0),1)</f>
        <v>0</v>
      </c>
      <c r="BT92" s="444" cm="1">
        <f t="array" ref="BT92">$E92*IFERROR(IF($D92&lt;=BT$8,INDEX($E$32:$E$37,MATCH(BT$8,$AF$8:$CA$8,0)-MATCH($D92,$D$45:$D$92,0)+1,0),0),1)</f>
        <v>0</v>
      </c>
      <c r="BU92" s="444" cm="1">
        <f t="array" ref="BU92">$E92*IFERROR(IF($D92&lt;=BU$8,INDEX($E$32:$E$37,MATCH(BU$8,$AF$8:$CA$8,0)-MATCH($D92,$D$45:$D$92,0)+1,0),0),1)</f>
        <v>0</v>
      </c>
      <c r="BV92" s="444" cm="1">
        <f t="array" ref="BV92">$E92*IFERROR(IF($D92&lt;=BV$8,INDEX($E$32:$E$37,MATCH(BV$8,$AF$8:$CA$8,0)-MATCH($D92,$D$45:$D$92,0)+1,0),0),1)</f>
        <v>0</v>
      </c>
      <c r="BW92" s="444" cm="1">
        <f t="array" ref="BW92">$E92*IFERROR(IF($D92&lt;=BW$8,INDEX($E$32:$E$37,MATCH(BW$8,$AF$8:$CA$8,0)-MATCH($D92,$D$45:$D$92,0)+1,0),0),1)</f>
        <v>0</v>
      </c>
      <c r="BX92" s="444" cm="1">
        <f t="array" ref="BX92">$E92*IFERROR(IF($D92&lt;=BX$8,INDEX($E$32:$E$37,MATCH(BX$8,$AF$8:$CA$8,0)-MATCH($D92,$D$45:$D$92,0)+1,0),0),1)</f>
        <v>0</v>
      </c>
      <c r="BY92" s="444" cm="1">
        <f t="array" ref="BY92">$E92*IFERROR(IF($D92&lt;=BY$8,INDEX($E$32:$E$37,MATCH(BY$8,$AF$8:$CA$8,0)-MATCH($D92,$D$45:$D$92,0)+1,0),0),1)</f>
        <v>0</v>
      </c>
      <c r="BZ92" s="444" cm="1">
        <f t="array" ref="BZ92">$E92*IFERROR(IF($D92&lt;=BZ$8,INDEX($E$32:$E$37,MATCH(BZ$8,$AF$8:$CA$8,0)-MATCH($D92,$D$45:$D$92,0)+1,0),0),1)</f>
        <v>0</v>
      </c>
      <c r="CA92" s="444" cm="1">
        <f t="array" ref="CA92">$E92*IFERROR(IF($D92&lt;=CA$8,INDEX($E$32:$E$37,MATCH(CA$8,$AF$8:$CA$8,0)-MATCH($D92,$D$45:$D$92,0)+1,0),0),1)</f>
        <v>0</v>
      </c>
    </row>
    <row r="93" spans="3:79" ht="21" hidden="1" customHeight="1" outlineLevel="3">
      <c r="C93" s="370"/>
      <c r="D93" s="374"/>
      <c r="E93" s="446"/>
      <c r="G93" s="431"/>
      <c r="H93" s="445"/>
      <c r="I93" s="445"/>
      <c r="J93" s="445"/>
      <c r="K93" s="445"/>
      <c r="L93" s="442"/>
      <c r="M93" s="434"/>
      <c r="N93" s="445"/>
      <c r="O93" s="445"/>
      <c r="P93" s="445"/>
      <c r="Q93" s="445"/>
      <c r="R93" s="445"/>
      <c r="S93" s="445"/>
      <c r="T93" s="445"/>
      <c r="U93" s="445"/>
      <c r="V93" s="445"/>
      <c r="W93" s="445"/>
      <c r="X93" s="445"/>
      <c r="Y93" s="445"/>
      <c r="Z93" s="445"/>
      <c r="AA93" s="445"/>
      <c r="AB93" s="445"/>
      <c r="AC93" s="445"/>
      <c r="AD93" s="442"/>
      <c r="AE93" s="434"/>
      <c r="AF93" s="444"/>
      <c r="AG93" s="444"/>
      <c r="AH93" s="444"/>
      <c r="AI93" s="444"/>
      <c r="AJ93" s="444"/>
      <c r="AK93" s="444"/>
      <c r="AL93" s="444"/>
      <c r="AM93" s="444"/>
      <c r="AN93" s="444"/>
      <c r="AO93" s="444"/>
      <c r="AP93" s="444"/>
      <c r="AQ93" s="444"/>
      <c r="AR93" s="444"/>
      <c r="AS93" s="444"/>
      <c r="AT93" s="444"/>
      <c r="AU93" s="444"/>
      <c r="AV93" s="444"/>
      <c r="AW93" s="444"/>
      <c r="AX93" s="444"/>
      <c r="AY93" s="444"/>
      <c r="AZ93" s="444"/>
      <c r="BA93" s="444"/>
      <c r="BB93" s="444"/>
      <c r="BC93" s="444"/>
      <c r="BD93" s="444"/>
      <c r="BE93" s="444"/>
      <c r="BF93" s="444"/>
      <c r="BG93" s="444"/>
      <c r="BH93" s="444"/>
      <c r="BI93" s="444"/>
      <c r="BJ93" s="444"/>
      <c r="BK93" s="444"/>
      <c r="BL93" s="444"/>
      <c r="BM93" s="444"/>
      <c r="BN93" s="444"/>
      <c r="BO93" s="444"/>
      <c r="BP93" s="444"/>
      <c r="BQ93" s="444"/>
      <c r="BR93" s="444"/>
      <c r="BS93" s="444"/>
      <c r="BT93" s="444"/>
      <c r="BU93" s="444"/>
      <c r="BV93" s="444"/>
      <c r="BW93" s="444"/>
      <c r="BX93" s="444"/>
      <c r="BY93" s="444"/>
      <c r="BZ93" s="444"/>
      <c r="CA93" s="444"/>
    </row>
    <row r="94" spans="3:79" ht="21" hidden="1" customHeight="1" outlineLevel="2">
      <c r="D94" s="383" t="s">
        <v>525</v>
      </c>
      <c r="G94" s="434"/>
      <c r="M94" s="434"/>
      <c r="AE94" s="434"/>
      <c r="AF94" s="443">
        <f t="shared" ref="AF94:CA94" si="28">AF43*AF40/12</f>
        <v>0</v>
      </c>
      <c r="AG94" s="443">
        <f t="shared" si="28"/>
        <v>0</v>
      </c>
      <c r="AH94" s="443">
        <f t="shared" si="28"/>
        <v>0</v>
      </c>
      <c r="AI94" s="443">
        <f t="shared" si="28"/>
        <v>0</v>
      </c>
      <c r="AJ94" s="443">
        <f t="shared" si="28"/>
        <v>0</v>
      </c>
      <c r="AK94" s="443">
        <f t="shared" si="28"/>
        <v>0</v>
      </c>
      <c r="AL94" s="443">
        <f t="shared" si="28"/>
        <v>0</v>
      </c>
      <c r="AM94" s="443">
        <f t="shared" si="28"/>
        <v>0</v>
      </c>
      <c r="AN94" s="443">
        <f t="shared" si="28"/>
        <v>0</v>
      </c>
      <c r="AO94" s="443">
        <f t="shared" si="28"/>
        <v>0</v>
      </c>
      <c r="AP94" s="443">
        <f t="shared" si="28"/>
        <v>0</v>
      </c>
      <c r="AQ94" s="443">
        <f t="shared" si="28"/>
        <v>0</v>
      </c>
      <c r="AR94" s="443">
        <f t="shared" si="28"/>
        <v>0</v>
      </c>
      <c r="AS94" s="443">
        <f t="shared" si="28"/>
        <v>0.12000000000000001</v>
      </c>
      <c r="AT94" s="443">
        <f t="shared" si="28"/>
        <v>0.32000000000000006</v>
      </c>
      <c r="AU94" s="443">
        <f t="shared" si="28"/>
        <v>0.48000000000000004</v>
      </c>
      <c r="AV94" s="443">
        <f t="shared" si="28"/>
        <v>0.62</v>
      </c>
      <c r="AW94" s="443">
        <f t="shared" si="28"/>
        <v>0.74000000000000021</v>
      </c>
      <c r="AX94" s="443">
        <f t="shared" si="28"/>
        <v>0.80000000000000016</v>
      </c>
      <c r="AY94" s="443">
        <f t="shared" si="28"/>
        <v>0.80000000000000016</v>
      </c>
      <c r="AZ94" s="443">
        <f t="shared" si="28"/>
        <v>0.80000000000000016</v>
      </c>
      <c r="BA94" s="443">
        <f t="shared" si="28"/>
        <v>0.80000000000000016</v>
      </c>
      <c r="BB94" s="443">
        <f t="shared" si="28"/>
        <v>0.80000000000000016</v>
      </c>
      <c r="BC94" s="443">
        <f t="shared" si="28"/>
        <v>0.80000000000000016</v>
      </c>
      <c r="BD94" s="443">
        <f t="shared" si="28"/>
        <v>0.80000000000000016</v>
      </c>
      <c r="BE94" s="443">
        <f t="shared" si="28"/>
        <v>0.80000000000000016</v>
      </c>
      <c r="BF94" s="443">
        <f t="shared" si="28"/>
        <v>0.80000000000000016</v>
      </c>
      <c r="BG94" s="443">
        <f t="shared" si="28"/>
        <v>0.80000000000000016</v>
      </c>
      <c r="BH94" s="443">
        <f t="shared" si="28"/>
        <v>0.80000000000000016</v>
      </c>
      <c r="BI94" s="443">
        <f t="shared" si="28"/>
        <v>1.0400000000000003</v>
      </c>
      <c r="BJ94" s="443">
        <f t="shared" si="28"/>
        <v>1.2000000000000002</v>
      </c>
      <c r="BK94" s="443">
        <f t="shared" si="28"/>
        <v>1.36</v>
      </c>
      <c r="BL94" s="443">
        <f t="shared" si="28"/>
        <v>1.4800000000000004</v>
      </c>
      <c r="BM94" s="443">
        <f t="shared" si="28"/>
        <v>1.6000000000000003</v>
      </c>
      <c r="BN94" s="443">
        <f t="shared" si="28"/>
        <v>1.6000000000000003</v>
      </c>
      <c r="BO94" s="443">
        <f t="shared" si="28"/>
        <v>1.6000000000000003</v>
      </c>
      <c r="BP94" s="443">
        <f t="shared" si="28"/>
        <v>1.6000000000000003</v>
      </c>
      <c r="BQ94" s="443">
        <f t="shared" si="28"/>
        <v>1.6000000000000003</v>
      </c>
      <c r="BR94" s="443">
        <f t="shared" si="28"/>
        <v>1.6000000000000003</v>
      </c>
      <c r="BS94" s="443">
        <f t="shared" si="28"/>
        <v>1.6000000000000003</v>
      </c>
      <c r="BT94" s="443">
        <f t="shared" si="28"/>
        <v>1.6000000000000003</v>
      </c>
      <c r="BU94" s="443">
        <f t="shared" si="28"/>
        <v>1.6000000000000003</v>
      </c>
      <c r="BV94" s="443">
        <f t="shared" si="28"/>
        <v>1.6000000000000003</v>
      </c>
      <c r="BW94" s="443">
        <f t="shared" si="28"/>
        <v>1.6000000000000003</v>
      </c>
      <c r="BX94" s="443">
        <f t="shared" si="28"/>
        <v>1.6000000000000003</v>
      </c>
      <c r="BY94" s="443">
        <f t="shared" si="28"/>
        <v>1.6000000000000003</v>
      </c>
      <c r="BZ94" s="443">
        <f t="shared" si="28"/>
        <v>1.6000000000000003</v>
      </c>
      <c r="CA94" s="443">
        <f t="shared" si="28"/>
        <v>1.6000000000000003</v>
      </c>
    </row>
    <row r="95" spans="3:79" s="51" customFormat="1" ht="15.75" outlineLevel="1">
      <c r="C95" s="386"/>
      <c r="D95" s="386"/>
      <c r="F95" s="50"/>
      <c r="G95" s="431"/>
      <c r="H95" s="441"/>
      <c r="I95" s="441"/>
      <c r="J95" s="441"/>
      <c r="K95" s="441"/>
      <c r="L95" s="442"/>
      <c r="M95" s="434"/>
      <c r="N95" s="441"/>
      <c r="O95" s="441"/>
      <c r="P95" s="441"/>
      <c r="Q95" s="441"/>
      <c r="R95" s="441"/>
      <c r="S95" s="441"/>
      <c r="T95" s="441"/>
      <c r="U95" s="441"/>
      <c r="V95" s="441"/>
      <c r="W95" s="441"/>
      <c r="X95" s="441"/>
      <c r="Y95" s="441"/>
      <c r="Z95" s="441"/>
      <c r="AA95" s="441"/>
      <c r="AB95" s="441"/>
      <c r="AC95" s="441"/>
      <c r="AD95" s="442"/>
      <c r="AE95" s="434"/>
      <c r="AF95" s="441"/>
      <c r="AG95" s="441"/>
      <c r="AH95" s="441"/>
      <c r="AI95" s="441"/>
      <c r="AJ95" s="441"/>
      <c r="AK95" s="441"/>
      <c r="AL95" s="441"/>
      <c r="AM95" s="441"/>
      <c r="AN95" s="441"/>
      <c r="AO95" s="441"/>
      <c r="AP95" s="441"/>
      <c r="AQ95" s="441"/>
      <c r="AR95" s="441"/>
      <c r="AS95" s="441"/>
      <c r="AT95" s="441"/>
      <c r="AU95" s="441"/>
      <c r="AV95" s="441"/>
      <c r="AW95" s="441"/>
      <c r="AX95" s="441"/>
      <c r="AY95" s="441"/>
      <c r="AZ95" s="441"/>
      <c r="BA95" s="441"/>
      <c r="BB95" s="441"/>
      <c r="BC95" s="441"/>
      <c r="BD95" s="441"/>
      <c r="BE95" s="441"/>
      <c r="BF95" s="441"/>
      <c r="BG95" s="441"/>
      <c r="BH95" s="441"/>
      <c r="BI95" s="441"/>
      <c r="BJ95" s="441"/>
      <c r="BK95" s="441"/>
      <c r="BL95" s="441"/>
      <c r="BM95" s="441"/>
      <c r="BN95" s="441"/>
      <c r="BO95" s="441"/>
      <c r="BP95" s="441"/>
      <c r="BQ95" s="441"/>
      <c r="BR95" s="441"/>
      <c r="BS95" s="441"/>
      <c r="BT95" s="441"/>
      <c r="BU95" s="441"/>
      <c r="BV95" s="441"/>
      <c r="BW95" s="441"/>
      <c r="BX95" s="441"/>
      <c r="BY95" s="441"/>
      <c r="BZ95" s="441"/>
      <c r="CA95" s="441"/>
    </row>
    <row r="96" spans="3:79" outlineLevel="1" collapsed="1">
      <c r="C96" s="365" t="s">
        <v>515</v>
      </c>
      <c r="D96" s="366"/>
      <c r="E96" s="365"/>
      <c r="G96" s="359"/>
      <c r="H96" s="378"/>
      <c r="I96" s="378"/>
      <c r="J96" s="378"/>
      <c r="K96" s="378"/>
      <c r="M96" s="359"/>
      <c r="N96" s="378"/>
      <c r="O96" s="378"/>
      <c r="P96" s="378"/>
      <c r="Q96" s="378"/>
      <c r="R96" s="378"/>
      <c r="S96" s="378"/>
      <c r="T96" s="378"/>
      <c r="U96" s="378"/>
      <c r="V96" s="378"/>
      <c r="W96" s="378"/>
      <c r="X96" s="378"/>
      <c r="Y96" s="378"/>
      <c r="Z96" s="378"/>
      <c r="AA96" s="378"/>
      <c r="AB96" s="378"/>
      <c r="AC96" s="378"/>
      <c r="AE96" s="359"/>
      <c r="AF96" s="440">
        <f t="shared" ref="AF96:CA96" si="29">AF101</f>
        <v>0</v>
      </c>
      <c r="AG96" s="440">
        <f t="shared" si="29"/>
        <v>0</v>
      </c>
      <c r="AH96" s="440">
        <f t="shared" si="29"/>
        <v>0</v>
      </c>
      <c r="AI96" s="440">
        <f t="shared" si="29"/>
        <v>0</v>
      </c>
      <c r="AJ96" s="440">
        <f t="shared" si="29"/>
        <v>0</v>
      </c>
      <c r="AK96" s="440">
        <f t="shared" si="29"/>
        <v>0</v>
      </c>
      <c r="AL96" s="440">
        <f t="shared" si="29"/>
        <v>0</v>
      </c>
      <c r="AM96" s="440">
        <f t="shared" si="29"/>
        <v>0</v>
      </c>
      <c r="AN96" s="440">
        <f t="shared" si="29"/>
        <v>0</v>
      </c>
      <c r="AO96" s="440">
        <f t="shared" si="29"/>
        <v>0</v>
      </c>
      <c r="AP96" s="440">
        <f t="shared" si="29"/>
        <v>0</v>
      </c>
      <c r="AQ96" s="440">
        <f t="shared" si="29"/>
        <v>0</v>
      </c>
      <c r="AR96" s="440">
        <f t="shared" si="29"/>
        <v>0</v>
      </c>
      <c r="AS96" s="440">
        <f t="shared" si="29"/>
        <v>0</v>
      </c>
      <c r="AT96" s="440">
        <f t="shared" si="29"/>
        <v>0</v>
      </c>
      <c r="AU96" s="440">
        <f t="shared" si="29"/>
        <v>0</v>
      </c>
      <c r="AV96" s="440">
        <f t="shared" si="29"/>
        <v>0</v>
      </c>
      <c r="AW96" s="440">
        <f t="shared" si="29"/>
        <v>0</v>
      </c>
      <c r="AX96" s="440">
        <f t="shared" si="29"/>
        <v>0</v>
      </c>
      <c r="AY96" s="440">
        <f t="shared" si="29"/>
        <v>0</v>
      </c>
      <c r="AZ96" s="440">
        <f t="shared" si="29"/>
        <v>0</v>
      </c>
      <c r="BA96" s="440">
        <f t="shared" si="29"/>
        <v>0</v>
      </c>
      <c r="BB96" s="440">
        <f t="shared" si="29"/>
        <v>0</v>
      </c>
      <c r="BC96" s="440">
        <f t="shared" si="29"/>
        <v>0</v>
      </c>
      <c r="BD96" s="440">
        <f t="shared" si="29"/>
        <v>0</v>
      </c>
      <c r="BE96" s="440">
        <f t="shared" si="29"/>
        <v>0</v>
      </c>
      <c r="BF96" s="440">
        <f t="shared" si="29"/>
        <v>0</v>
      </c>
      <c r="BG96" s="440">
        <f t="shared" si="29"/>
        <v>0</v>
      </c>
      <c r="BH96" s="440">
        <f t="shared" si="29"/>
        <v>0</v>
      </c>
      <c r="BI96" s="440">
        <f t="shared" si="29"/>
        <v>0</v>
      </c>
      <c r="BJ96" s="440">
        <f t="shared" si="29"/>
        <v>0</v>
      </c>
      <c r="BK96" s="440">
        <f t="shared" si="29"/>
        <v>0</v>
      </c>
      <c r="BL96" s="440">
        <f t="shared" si="29"/>
        <v>0</v>
      </c>
      <c r="BM96" s="440">
        <f t="shared" si="29"/>
        <v>0</v>
      </c>
      <c r="BN96" s="440">
        <f t="shared" si="29"/>
        <v>0</v>
      </c>
      <c r="BO96" s="440">
        <f t="shared" si="29"/>
        <v>0</v>
      </c>
      <c r="BP96" s="440">
        <f t="shared" si="29"/>
        <v>0</v>
      </c>
      <c r="BQ96" s="440">
        <f t="shared" si="29"/>
        <v>0</v>
      </c>
      <c r="BR96" s="440">
        <f t="shared" si="29"/>
        <v>0</v>
      </c>
      <c r="BS96" s="440">
        <f t="shared" si="29"/>
        <v>0</v>
      </c>
      <c r="BT96" s="440">
        <f t="shared" si="29"/>
        <v>0</v>
      </c>
      <c r="BU96" s="440">
        <f t="shared" si="29"/>
        <v>0</v>
      </c>
      <c r="BV96" s="440">
        <f t="shared" si="29"/>
        <v>0</v>
      </c>
      <c r="BW96" s="440">
        <f t="shared" si="29"/>
        <v>0</v>
      </c>
      <c r="BX96" s="440">
        <f t="shared" si="29"/>
        <v>0</v>
      </c>
      <c r="BY96" s="440">
        <f t="shared" si="29"/>
        <v>0</v>
      </c>
      <c r="BZ96" s="440">
        <f t="shared" si="29"/>
        <v>0</v>
      </c>
      <c r="CA96" s="440">
        <f t="shared" si="29"/>
        <v>0</v>
      </c>
    </row>
    <row r="97" spans="2:79" hidden="1" outlineLevel="2">
      <c r="D97" s="383" t="s">
        <v>526</v>
      </c>
      <c r="G97" s="359"/>
      <c r="M97" s="359"/>
      <c r="AD97" s="408"/>
      <c r="AE97" s="359"/>
      <c r="AF97" s="428"/>
      <c r="AG97" s="428"/>
      <c r="AH97" s="428"/>
      <c r="AI97" s="428"/>
      <c r="AJ97" s="428"/>
      <c r="AK97" s="428"/>
      <c r="AL97" s="428"/>
      <c r="AM97" s="428"/>
      <c r="AN97" s="428"/>
      <c r="AO97" s="428"/>
      <c r="AP97" s="428"/>
      <c r="AQ97" s="428"/>
      <c r="AR97" s="428"/>
      <c r="AS97" s="428"/>
      <c r="AT97" s="428"/>
      <c r="AU97" s="428"/>
      <c r="AV97" s="428"/>
      <c r="AW97" s="428"/>
      <c r="AX97" s="428"/>
      <c r="AY97" s="428"/>
      <c r="AZ97" s="428"/>
      <c r="BA97" s="428"/>
      <c r="BB97" s="428"/>
      <c r="BC97" s="428"/>
      <c r="BD97" s="428"/>
      <c r="BE97" s="428"/>
      <c r="BF97" s="428"/>
      <c r="BG97" s="428"/>
      <c r="BH97" s="428"/>
      <c r="BI97" s="428"/>
      <c r="BJ97" s="428"/>
      <c r="BK97" s="428"/>
      <c r="BL97" s="428"/>
      <c r="BM97" s="428"/>
      <c r="BN97" s="428"/>
      <c r="BO97" s="428"/>
      <c r="BP97" s="428"/>
      <c r="BQ97" s="428"/>
      <c r="BR97" s="428"/>
      <c r="BS97" s="428"/>
      <c r="BT97" s="428"/>
      <c r="BU97" s="428"/>
      <c r="BV97" s="428"/>
      <c r="BW97" s="428"/>
      <c r="BX97" s="428"/>
      <c r="BY97" s="428"/>
      <c r="BZ97" s="428"/>
      <c r="CA97" s="428"/>
    </row>
    <row r="98" spans="2:79" s="55" customFormat="1" ht="15.75" hidden="1" outlineLevel="2">
      <c r="C98" s="355"/>
      <c r="D98" s="383" t="s">
        <v>527</v>
      </c>
      <c r="E98" s="50"/>
      <c r="F98" s="50"/>
      <c r="G98" s="359"/>
      <c r="H98" s="50"/>
      <c r="I98" s="50"/>
      <c r="J98" s="50"/>
      <c r="K98" s="50"/>
      <c r="L98" s="50"/>
      <c r="M98" s="359"/>
      <c r="N98" s="50"/>
      <c r="O98" s="50"/>
      <c r="P98" s="50"/>
      <c r="Q98" s="50"/>
      <c r="R98" s="50"/>
      <c r="S98" s="50"/>
      <c r="T98" s="50"/>
      <c r="U98" s="50"/>
      <c r="V98" s="50"/>
      <c r="W98" s="50"/>
      <c r="X98" s="50"/>
      <c r="Y98" s="50"/>
      <c r="Z98" s="50"/>
      <c r="AA98" s="50"/>
      <c r="AB98" s="50"/>
      <c r="AC98" s="50"/>
      <c r="AD98" s="408"/>
      <c r="AE98" s="359"/>
      <c r="AF98" s="422">
        <v>600</v>
      </c>
      <c r="AG98" s="422">
        <v>600</v>
      </c>
      <c r="AH98" s="422">
        <v>600</v>
      </c>
      <c r="AI98" s="422">
        <v>600</v>
      </c>
      <c r="AJ98" s="422">
        <v>600</v>
      </c>
      <c r="AK98" s="422">
        <v>600</v>
      </c>
      <c r="AL98" s="422">
        <v>600</v>
      </c>
      <c r="AM98" s="422">
        <v>600</v>
      </c>
      <c r="AN98" s="422">
        <v>600</v>
      </c>
      <c r="AO98" s="422">
        <v>600</v>
      </c>
      <c r="AP98" s="422">
        <v>600</v>
      </c>
      <c r="AQ98" s="422">
        <v>600</v>
      </c>
      <c r="AR98" s="422">
        <v>600</v>
      </c>
      <c r="AS98" s="422">
        <v>600</v>
      </c>
      <c r="AT98" s="422">
        <v>600</v>
      </c>
      <c r="AU98" s="422">
        <v>600</v>
      </c>
      <c r="AV98" s="422">
        <v>600</v>
      </c>
      <c r="AW98" s="422">
        <v>600</v>
      </c>
      <c r="AX98" s="422">
        <v>600</v>
      </c>
      <c r="AY98" s="422">
        <v>600</v>
      </c>
      <c r="AZ98" s="422">
        <v>600</v>
      </c>
      <c r="BA98" s="422">
        <v>600</v>
      </c>
      <c r="BB98" s="422">
        <v>600</v>
      </c>
      <c r="BC98" s="422">
        <v>600</v>
      </c>
      <c r="BD98" s="422">
        <v>600</v>
      </c>
      <c r="BE98" s="422">
        <v>600</v>
      </c>
      <c r="BF98" s="422">
        <v>600</v>
      </c>
      <c r="BG98" s="422">
        <v>600</v>
      </c>
      <c r="BH98" s="422">
        <v>600</v>
      </c>
      <c r="BI98" s="422">
        <v>600</v>
      </c>
      <c r="BJ98" s="422">
        <v>600</v>
      </c>
      <c r="BK98" s="422">
        <v>600</v>
      </c>
      <c r="BL98" s="422">
        <v>600</v>
      </c>
      <c r="BM98" s="422">
        <v>600</v>
      </c>
      <c r="BN98" s="422">
        <v>600</v>
      </c>
      <c r="BO98" s="422">
        <v>600</v>
      </c>
      <c r="BP98" s="422">
        <v>600</v>
      </c>
      <c r="BQ98" s="422">
        <v>600</v>
      </c>
      <c r="BR98" s="422">
        <v>600</v>
      </c>
      <c r="BS98" s="422">
        <v>600</v>
      </c>
      <c r="BT98" s="422">
        <v>600</v>
      </c>
      <c r="BU98" s="422">
        <v>600</v>
      </c>
      <c r="BV98" s="422">
        <v>600</v>
      </c>
      <c r="BW98" s="422">
        <v>600</v>
      </c>
      <c r="BX98" s="422">
        <v>600</v>
      </c>
      <c r="BY98" s="422">
        <v>600</v>
      </c>
      <c r="BZ98" s="422">
        <v>600</v>
      </c>
      <c r="CA98" s="422">
        <v>600</v>
      </c>
    </row>
    <row r="99" spans="2:79" s="55" customFormat="1" ht="15.75" hidden="1" outlineLevel="2">
      <c r="C99" s="355"/>
      <c r="D99" s="383" t="s">
        <v>528</v>
      </c>
      <c r="E99" s="50"/>
      <c r="F99" s="50"/>
      <c r="G99" s="359"/>
      <c r="H99" s="50"/>
      <c r="I99" s="50"/>
      <c r="J99" s="50"/>
      <c r="K99" s="50"/>
      <c r="L99" s="50"/>
      <c r="M99" s="359"/>
      <c r="N99" s="50"/>
      <c r="O99" s="50"/>
      <c r="P99" s="50"/>
      <c r="Q99" s="50"/>
      <c r="R99" s="50"/>
      <c r="S99" s="50"/>
      <c r="T99" s="50"/>
      <c r="U99" s="50"/>
      <c r="V99" s="50"/>
      <c r="W99" s="50"/>
      <c r="X99" s="50"/>
      <c r="Y99" s="50"/>
      <c r="Z99" s="50"/>
      <c r="AA99" s="50"/>
      <c r="AB99" s="50"/>
      <c r="AC99" s="50"/>
      <c r="AD99" s="408"/>
      <c r="AE99" s="359"/>
      <c r="AF99" s="410">
        <f t="shared" ref="AF99:BM99" si="30">AF97/AF98</f>
        <v>0</v>
      </c>
      <c r="AG99" s="410">
        <f t="shared" si="30"/>
        <v>0</v>
      </c>
      <c r="AH99" s="410">
        <f t="shared" si="30"/>
        <v>0</v>
      </c>
      <c r="AI99" s="410">
        <f t="shared" si="30"/>
        <v>0</v>
      </c>
      <c r="AJ99" s="410">
        <f t="shared" si="30"/>
        <v>0</v>
      </c>
      <c r="AK99" s="410">
        <f t="shared" si="30"/>
        <v>0</v>
      </c>
      <c r="AL99" s="410">
        <f t="shared" si="30"/>
        <v>0</v>
      </c>
      <c r="AM99" s="410">
        <f t="shared" si="30"/>
        <v>0</v>
      </c>
      <c r="AN99" s="410">
        <f t="shared" si="30"/>
        <v>0</v>
      </c>
      <c r="AO99" s="410">
        <f t="shared" si="30"/>
        <v>0</v>
      </c>
      <c r="AP99" s="410">
        <f t="shared" si="30"/>
        <v>0</v>
      </c>
      <c r="AQ99" s="410">
        <f t="shared" si="30"/>
        <v>0</v>
      </c>
      <c r="AR99" s="410">
        <f t="shared" si="30"/>
        <v>0</v>
      </c>
      <c r="AS99" s="410">
        <f t="shared" si="30"/>
        <v>0</v>
      </c>
      <c r="AT99" s="410">
        <f t="shared" si="30"/>
        <v>0</v>
      </c>
      <c r="AU99" s="410">
        <f t="shared" si="30"/>
        <v>0</v>
      </c>
      <c r="AV99" s="410">
        <f t="shared" si="30"/>
        <v>0</v>
      </c>
      <c r="AW99" s="410">
        <f t="shared" si="30"/>
        <v>0</v>
      </c>
      <c r="AX99" s="410">
        <f t="shared" si="30"/>
        <v>0</v>
      </c>
      <c r="AY99" s="410">
        <f t="shared" si="30"/>
        <v>0</v>
      </c>
      <c r="AZ99" s="410">
        <f t="shared" si="30"/>
        <v>0</v>
      </c>
      <c r="BA99" s="410">
        <f t="shared" si="30"/>
        <v>0</v>
      </c>
      <c r="BB99" s="410">
        <f t="shared" si="30"/>
        <v>0</v>
      </c>
      <c r="BC99" s="410">
        <f t="shared" si="30"/>
        <v>0</v>
      </c>
      <c r="BD99" s="410">
        <f t="shared" si="30"/>
        <v>0</v>
      </c>
      <c r="BE99" s="410">
        <f t="shared" si="30"/>
        <v>0</v>
      </c>
      <c r="BF99" s="410">
        <f t="shared" si="30"/>
        <v>0</v>
      </c>
      <c r="BG99" s="410">
        <f t="shared" si="30"/>
        <v>0</v>
      </c>
      <c r="BH99" s="410">
        <f t="shared" si="30"/>
        <v>0</v>
      </c>
      <c r="BI99" s="410">
        <f t="shared" si="30"/>
        <v>0</v>
      </c>
      <c r="BJ99" s="410">
        <f t="shared" si="30"/>
        <v>0</v>
      </c>
      <c r="BK99" s="410">
        <f t="shared" si="30"/>
        <v>0</v>
      </c>
      <c r="BL99" s="410">
        <f t="shared" si="30"/>
        <v>0</v>
      </c>
      <c r="BM99" s="410">
        <f t="shared" si="30"/>
        <v>0</v>
      </c>
      <c r="BN99" s="410">
        <f t="shared" ref="BN99" si="31">BN97/BN98</f>
        <v>0</v>
      </c>
      <c r="BO99" s="410">
        <f t="shared" ref="BO99" si="32">BO97/BO98</f>
        <v>0</v>
      </c>
      <c r="BP99" s="410">
        <f t="shared" ref="BP99" si="33">BP97/BP98</f>
        <v>0</v>
      </c>
      <c r="BQ99" s="410">
        <f t="shared" ref="BQ99" si="34">BQ97/BQ98</f>
        <v>0</v>
      </c>
      <c r="BR99" s="410">
        <f t="shared" ref="BR99" si="35">BR97/BR98</f>
        <v>0</v>
      </c>
      <c r="BS99" s="410">
        <f t="shared" ref="BS99" si="36">BS97/BS98</f>
        <v>0</v>
      </c>
      <c r="BT99" s="410">
        <f t="shared" ref="BT99" si="37">BT97/BT98</f>
        <v>0</v>
      </c>
      <c r="BU99" s="410">
        <f t="shared" ref="BU99" si="38">BU97/BU98</f>
        <v>0</v>
      </c>
      <c r="BV99" s="410">
        <f t="shared" ref="BV99" si="39">BV97/BV98</f>
        <v>0</v>
      </c>
      <c r="BW99" s="410">
        <f t="shared" ref="BW99" si="40">BW97/BW98</f>
        <v>0</v>
      </c>
      <c r="BX99" s="410">
        <f t="shared" ref="BX99" si="41">BX97/BX98</f>
        <v>0</v>
      </c>
      <c r="BY99" s="410">
        <f t="shared" ref="BY99" si="42">BY97/BY98</f>
        <v>0</v>
      </c>
      <c r="BZ99" s="410">
        <f t="shared" ref="BZ99" si="43">BZ97/BZ98</f>
        <v>0</v>
      </c>
      <c r="CA99" s="410">
        <f t="shared" ref="CA99" si="44">CA97/CA98</f>
        <v>0</v>
      </c>
    </row>
    <row r="100" spans="2:79" s="55" customFormat="1" ht="15.75" hidden="1" outlineLevel="2">
      <c r="C100" s="355"/>
      <c r="D100" s="383" t="s">
        <v>529</v>
      </c>
      <c r="E100" s="50"/>
      <c r="F100" s="50"/>
      <c r="G100" s="359"/>
      <c r="H100" s="50"/>
      <c r="I100" s="50"/>
      <c r="J100" s="50"/>
      <c r="K100" s="50"/>
      <c r="L100" s="50"/>
      <c r="M100" s="359"/>
      <c r="N100" s="50"/>
      <c r="O100" s="50"/>
      <c r="P100" s="50"/>
      <c r="Q100" s="50"/>
      <c r="R100" s="50"/>
      <c r="S100" s="50"/>
      <c r="T100" s="50"/>
      <c r="U100" s="50"/>
      <c r="V100" s="50"/>
      <c r="W100" s="50"/>
      <c r="X100" s="50"/>
      <c r="Y100" s="50"/>
      <c r="Z100" s="50"/>
      <c r="AA100" s="50"/>
      <c r="AB100" s="50"/>
      <c r="AC100" s="50"/>
      <c r="AD100" s="408"/>
      <c r="AE100" s="359"/>
      <c r="AF100" s="436">
        <v>0.05</v>
      </c>
      <c r="AG100" s="436">
        <v>0.05</v>
      </c>
      <c r="AH100" s="436">
        <v>0.05</v>
      </c>
      <c r="AI100" s="436">
        <v>0.05</v>
      </c>
      <c r="AJ100" s="436">
        <v>0.05</v>
      </c>
      <c r="AK100" s="436">
        <v>0.05</v>
      </c>
      <c r="AL100" s="436">
        <v>0.05</v>
      </c>
      <c r="AM100" s="436">
        <v>0.05</v>
      </c>
      <c r="AN100" s="436">
        <v>0.05</v>
      </c>
      <c r="AO100" s="436">
        <v>0.05</v>
      </c>
      <c r="AP100" s="436">
        <v>0.05</v>
      </c>
      <c r="AQ100" s="436">
        <v>0.05</v>
      </c>
      <c r="AR100" s="436">
        <v>0.05</v>
      </c>
      <c r="AS100" s="436">
        <v>0.05</v>
      </c>
      <c r="AT100" s="436">
        <v>0.05</v>
      </c>
      <c r="AU100" s="436">
        <v>0.05</v>
      </c>
      <c r="AV100" s="436">
        <v>0.05</v>
      </c>
      <c r="AW100" s="436">
        <v>0.05</v>
      </c>
      <c r="AX100" s="436">
        <v>0.05</v>
      </c>
      <c r="AY100" s="436">
        <v>0.05</v>
      </c>
      <c r="AZ100" s="436">
        <v>0.05</v>
      </c>
      <c r="BA100" s="436">
        <v>0.05</v>
      </c>
      <c r="BB100" s="436">
        <v>0.05</v>
      </c>
      <c r="BC100" s="436">
        <v>0.05</v>
      </c>
      <c r="BD100" s="436">
        <v>0.05</v>
      </c>
      <c r="BE100" s="436">
        <v>0.05</v>
      </c>
      <c r="BF100" s="436">
        <v>0.05</v>
      </c>
      <c r="BG100" s="436">
        <v>0.05</v>
      </c>
      <c r="BH100" s="436">
        <v>0.05</v>
      </c>
      <c r="BI100" s="436">
        <v>0.05</v>
      </c>
      <c r="BJ100" s="436">
        <v>0.05</v>
      </c>
      <c r="BK100" s="436">
        <v>0.05</v>
      </c>
      <c r="BL100" s="436">
        <v>0.05</v>
      </c>
      <c r="BM100" s="436">
        <v>0.05</v>
      </c>
      <c r="BN100" s="436">
        <v>0.05</v>
      </c>
      <c r="BO100" s="436">
        <v>0.05</v>
      </c>
      <c r="BP100" s="436">
        <v>0.05</v>
      </c>
      <c r="BQ100" s="436">
        <v>0.05</v>
      </c>
      <c r="BR100" s="436">
        <v>0.05</v>
      </c>
      <c r="BS100" s="436">
        <v>0.05</v>
      </c>
      <c r="BT100" s="436">
        <v>0.05</v>
      </c>
      <c r="BU100" s="436">
        <v>0.05</v>
      </c>
      <c r="BV100" s="436">
        <v>0.05</v>
      </c>
      <c r="BW100" s="436">
        <v>0.05</v>
      </c>
      <c r="BX100" s="436">
        <v>0.05</v>
      </c>
      <c r="BY100" s="436">
        <v>0.05</v>
      </c>
      <c r="BZ100" s="436">
        <v>0.05</v>
      </c>
      <c r="CA100" s="436">
        <v>0.05</v>
      </c>
    </row>
    <row r="101" spans="2:79" s="55" customFormat="1" ht="15.75" hidden="1" outlineLevel="2">
      <c r="C101" s="355"/>
      <c r="D101" s="383" t="s">
        <v>525</v>
      </c>
      <c r="E101" s="50"/>
      <c r="F101" s="50"/>
      <c r="G101" s="434"/>
      <c r="H101" s="50"/>
      <c r="I101" s="50"/>
      <c r="J101" s="50"/>
      <c r="K101" s="50"/>
      <c r="L101" s="50"/>
      <c r="M101" s="359"/>
      <c r="N101" s="50"/>
      <c r="O101" s="50"/>
      <c r="P101" s="50"/>
      <c r="Q101" s="50"/>
      <c r="R101" s="50"/>
      <c r="S101" s="50"/>
      <c r="T101" s="50"/>
      <c r="U101" s="50"/>
      <c r="V101" s="50"/>
      <c r="W101" s="50"/>
      <c r="X101" s="50"/>
      <c r="Y101" s="50"/>
      <c r="Z101" s="50"/>
      <c r="AA101" s="50"/>
      <c r="AB101" s="50"/>
      <c r="AC101" s="50"/>
      <c r="AD101" s="408"/>
      <c r="AE101" s="359"/>
      <c r="AF101" s="433">
        <f t="shared" ref="AF101:CA101" si="45">AF99*AF100</f>
        <v>0</v>
      </c>
      <c r="AG101" s="433">
        <f t="shared" si="45"/>
        <v>0</v>
      </c>
      <c r="AH101" s="433">
        <f t="shared" si="45"/>
        <v>0</v>
      </c>
      <c r="AI101" s="433">
        <f t="shared" si="45"/>
        <v>0</v>
      </c>
      <c r="AJ101" s="433">
        <f t="shared" si="45"/>
        <v>0</v>
      </c>
      <c r="AK101" s="433">
        <f t="shared" si="45"/>
        <v>0</v>
      </c>
      <c r="AL101" s="433">
        <f t="shared" si="45"/>
        <v>0</v>
      </c>
      <c r="AM101" s="433">
        <f t="shared" si="45"/>
        <v>0</v>
      </c>
      <c r="AN101" s="433">
        <f t="shared" si="45"/>
        <v>0</v>
      </c>
      <c r="AO101" s="433">
        <f t="shared" si="45"/>
        <v>0</v>
      </c>
      <c r="AP101" s="433">
        <f t="shared" si="45"/>
        <v>0</v>
      </c>
      <c r="AQ101" s="433">
        <f t="shared" si="45"/>
        <v>0</v>
      </c>
      <c r="AR101" s="433">
        <f t="shared" si="45"/>
        <v>0</v>
      </c>
      <c r="AS101" s="433">
        <f t="shared" si="45"/>
        <v>0</v>
      </c>
      <c r="AT101" s="433">
        <f t="shared" si="45"/>
        <v>0</v>
      </c>
      <c r="AU101" s="433">
        <f t="shared" si="45"/>
        <v>0</v>
      </c>
      <c r="AV101" s="433">
        <f t="shared" si="45"/>
        <v>0</v>
      </c>
      <c r="AW101" s="433">
        <f t="shared" si="45"/>
        <v>0</v>
      </c>
      <c r="AX101" s="433">
        <f t="shared" si="45"/>
        <v>0</v>
      </c>
      <c r="AY101" s="433">
        <f t="shared" si="45"/>
        <v>0</v>
      </c>
      <c r="AZ101" s="433">
        <f t="shared" si="45"/>
        <v>0</v>
      </c>
      <c r="BA101" s="433">
        <f t="shared" si="45"/>
        <v>0</v>
      </c>
      <c r="BB101" s="433">
        <f t="shared" si="45"/>
        <v>0</v>
      </c>
      <c r="BC101" s="433">
        <f t="shared" si="45"/>
        <v>0</v>
      </c>
      <c r="BD101" s="433">
        <f t="shared" si="45"/>
        <v>0</v>
      </c>
      <c r="BE101" s="433">
        <f t="shared" si="45"/>
        <v>0</v>
      </c>
      <c r="BF101" s="433">
        <f t="shared" si="45"/>
        <v>0</v>
      </c>
      <c r="BG101" s="433">
        <f t="shared" si="45"/>
        <v>0</v>
      </c>
      <c r="BH101" s="433">
        <f t="shared" si="45"/>
        <v>0</v>
      </c>
      <c r="BI101" s="433">
        <f t="shared" si="45"/>
        <v>0</v>
      </c>
      <c r="BJ101" s="433">
        <f t="shared" si="45"/>
        <v>0</v>
      </c>
      <c r="BK101" s="433">
        <f t="shared" si="45"/>
        <v>0</v>
      </c>
      <c r="BL101" s="433">
        <f t="shared" si="45"/>
        <v>0</v>
      </c>
      <c r="BM101" s="433">
        <f t="shared" si="45"/>
        <v>0</v>
      </c>
      <c r="BN101" s="433">
        <f t="shared" si="45"/>
        <v>0</v>
      </c>
      <c r="BO101" s="433">
        <f t="shared" si="45"/>
        <v>0</v>
      </c>
      <c r="BP101" s="433">
        <f t="shared" si="45"/>
        <v>0</v>
      </c>
      <c r="BQ101" s="433">
        <f t="shared" si="45"/>
        <v>0</v>
      </c>
      <c r="BR101" s="433">
        <f t="shared" si="45"/>
        <v>0</v>
      </c>
      <c r="BS101" s="433">
        <f t="shared" si="45"/>
        <v>0</v>
      </c>
      <c r="BT101" s="433">
        <f t="shared" si="45"/>
        <v>0</v>
      </c>
      <c r="BU101" s="433">
        <f t="shared" si="45"/>
        <v>0</v>
      </c>
      <c r="BV101" s="433">
        <f t="shared" si="45"/>
        <v>0</v>
      </c>
      <c r="BW101" s="433">
        <f t="shared" si="45"/>
        <v>0</v>
      </c>
      <c r="BX101" s="433">
        <f t="shared" si="45"/>
        <v>0</v>
      </c>
      <c r="BY101" s="433">
        <f t="shared" si="45"/>
        <v>0</v>
      </c>
      <c r="BZ101" s="433">
        <f t="shared" si="45"/>
        <v>0</v>
      </c>
      <c r="CA101" s="433">
        <f t="shared" si="45"/>
        <v>0</v>
      </c>
    </row>
    <row r="102" spans="2:79" s="55" customFormat="1" ht="15.75" outlineLevel="1">
      <c r="C102" s="355"/>
      <c r="D102" s="50"/>
      <c r="E102" s="50"/>
      <c r="F102" s="50"/>
      <c r="G102" s="434"/>
      <c r="H102" s="50"/>
      <c r="I102" s="50"/>
      <c r="J102" s="50"/>
      <c r="K102" s="50"/>
      <c r="L102" s="50"/>
      <c r="M102" s="434"/>
      <c r="N102" s="50"/>
      <c r="O102" s="50"/>
      <c r="P102" s="50"/>
      <c r="Q102" s="50"/>
      <c r="R102" s="50"/>
      <c r="S102" s="50"/>
      <c r="T102" s="50"/>
      <c r="U102" s="50"/>
      <c r="V102" s="50"/>
      <c r="W102" s="50"/>
      <c r="X102" s="50"/>
      <c r="Y102" s="50"/>
      <c r="Z102" s="50"/>
      <c r="AA102" s="50"/>
      <c r="AB102" s="50"/>
      <c r="AC102" s="50"/>
      <c r="AD102" s="408"/>
      <c r="AE102" s="434"/>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c r="BP102" s="50"/>
      <c r="BQ102" s="50"/>
      <c r="BR102" s="50"/>
      <c r="BS102" s="50"/>
      <c r="BT102" s="50"/>
      <c r="BU102" s="50"/>
      <c r="BV102" s="50"/>
      <c r="BW102" s="50"/>
      <c r="BX102" s="50"/>
      <c r="BY102" s="50"/>
      <c r="BZ102" s="50"/>
      <c r="CA102" s="50"/>
    </row>
    <row r="103" spans="2:79" outlineLevel="1" collapsed="1">
      <c r="C103" s="365" t="s">
        <v>516</v>
      </c>
      <c r="D103" s="366"/>
      <c r="E103" s="365"/>
      <c r="G103" s="359"/>
      <c r="H103" s="378"/>
      <c r="I103" s="378"/>
      <c r="J103" s="378"/>
      <c r="K103" s="378"/>
      <c r="M103" s="359"/>
      <c r="N103" s="378"/>
      <c r="O103" s="378"/>
      <c r="P103" s="378"/>
      <c r="Q103" s="378"/>
      <c r="R103" s="378"/>
      <c r="S103" s="378"/>
      <c r="T103" s="378"/>
      <c r="U103" s="378"/>
      <c r="V103" s="378"/>
      <c r="W103" s="378"/>
      <c r="X103" s="378"/>
      <c r="Y103" s="378"/>
      <c r="Z103" s="378"/>
      <c r="AA103" s="378"/>
      <c r="AB103" s="378"/>
      <c r="AC103" s="378"/>
      <c r="AE103" s="359"/>
      <c r="AF103" s="440">
        <f t="shared" ref="AF103:CA103" si="46">AF109</f>
        <v>0</v>
      </c>
      <c r="AG103" s="440">
        <f t="shared" si="46"/>
        <v>0</v>
      </c>
      <c r="AH103" s="440">
        <f t="shared" si="46"/>
        <v>0</v>
      </c>
      <c r="AI103" s="440">
        <f t="shared" si="46"/>
        <v>0</v>
      </c>
      <c r="AJ103" s="440">
        <f t="shared" si="46"/>
        <v>0</v>
      </c>
      <c r="AK103" s="440">
        <f t="shared" si="46"/>
        <v>0</v>
      </c>
      <c r="AL103" s="440">
        <f t="shared" si="46"/>
        <v>0</v>
      </c>
      <c r="AM103" s="440">
        <f t="shared" si="46"/>
        <v>0</v>
      </c>
      <c r="AN103" s="440">
        <f t="shared" si="46"/>
        <v>0</v>
      </c>
      <c r="AO103" s="440">
        <f t="shared" si="46"/>
        <v>1.25</v>
      </c>
      <c r="AP103" s="440">
        <f t="shared" si="46"/>
        <v>1.25</v>
      </c>
      <c r="AQ103" s="440">
        <f t="shared" si="46"/>
        <v>1.25</v>
      </c>
      <c r="AR103" s="440">
        <f t="shared" si="46"/>
        <v>1.25</v>
      </c>
      <c r="AS103" s="440">
        <f t="shared" si="46"/>
        <v>1.25</v>
      </c>
      <c r="AT103" s="440">
        <f t="shared" si="46"/>
        <v>1.25</v>
      </c>
      <c r="AU103" s="440">
        <f t="shared" si="46"/>
        <v>1.25</v>
      </c>
      <c r="AV103" s="440">
        <f t="shared" si="46"/>
        <v>1.25</v>
      </c>
      <c r="AW103" s="440">
        <f t="shared" si="46"/>
        <v>1.25</v>
      </c>
      <c r="AX103" s="440">
        <f t="shared" si="46"/>
        <v>1.25</v>
      </c>
      <c r="AY103" s="440">
        <f t="shared" si="46"/>
        <v>1.25</v>
      </c>
      <c r="AZ103" s="440">
        <f t="shared" si="46"/>
        <v>1.25</v>
      </c>
      <c r="BA103" s="440">
        <f t="shared" si="46"/>
        <v>1.25</v>
      </c>
      <c r="BB103" s="440">
        <f t="shared" si="46"/>
        <v>2.5</v>
      </c>
      <c r="BC103" s="440">
        <f t="shared" si="46"/>
        <v>2.5</v>
      </c>
      <c r="BD103" s="440">
        <f t="shared" si="46"/>
        <v>2.5</v>
      </c>
      <c r="BE103" s="440">
        <f t="shared" si="46"/>
        <v>2.5</v>
      </c>
      <c r="BF103" s="440">
        <f t="shared" si="46"/>
        <v>2.5</v>
      </c>
      <c r="BG103" s="440">
        <f t="shared" si="46"/>
        <v>2.5</v>
      </c>
      <c r="BH103" s="440">
        <f t="shared" si="46"/>
        <v>2.5</v>
      </c>
      <c r="BI103" s="440">
        <f t="shared" si="46"/>
        <v>2.5</v>
      </c>
      <c r="BJ103" s="440">
        <f t="shared" si="46"/>
        <v>2.5</v>
      </c>
      <c r="BK103" s="440">
        <f t="shared" si="46"/>
        <v>3.75</v>
      </c>
      <c r="BL103" s="440">
        <f t="shared" si="46"/>
        <v>3.75</v>
      </c>
      <c r="BM103" s="440">
        <f t="shared" si="46"/>
        <v>3.75</v>
      </c>
      <c r="BN103" s="440">
        <f t="shared" si="46"/>
        <v>5</v>
      </c>
      <c r="BO103" s="440">
        <f t="shared" si="46"/>
        <v>5</v>
      </c>
      <c r="BP103" s="440">
        <f t="shared" si="46"/>
        <v>5</v>
      </c>
      <c r="BQ103" s="440">
        <f t="shared" si="46"/>
        <v>5</v>
      </c>
      <c r="BR103" s="440">
        <f t="shared" si="46"/>
        <v>6.25</v>
      </c>
      <c r="BS103" s="440">
        <f t="shared" si="46"/>
        <v>6.25</v>
      </c>
      <c r="BT103" s="440">
        <f t="shared" si="46"/>
        <v>6.25</v>
      </c>
      <c r="BU103" s="440">
        <f t="shared" si="46"/>
        <v>6.25</v>
      </c>
      <c r="BV103" s="440">
        <f t="shared" si="46"/>
        <v>6.25</v>
      </c>
      <c r="BW103" s="440">
        <f t="shared" si="46"/>
        <v>6.25</v>
      </c>
      <c r="BX103" s="440">
        <f t="shared" si="46"/>
        <v>6.25</v>
      </c>
      <c r="BY103" s="440">
        <f t="shared" si="46"/>
        <v>6.25</v>
      </c>
      <c r="BZ103" s="440">
        <f t="shared" si="46"/>
        <v>7.5</v>
      </c>
      <c r="CA103" s="440">
        <f t="shared" si="46"/>
        <v>7.5</v>
      </c>
    </row>
    <row r="104" spans="2:79" hidden="1" outlineLevel="2">
      <c r="D104" s="383" t="s">
        <v>530</v>
      </c>
      <c r="G104" s="359"/>
      <c r="M104" s="359"/>
      <c r="AD104" s="408"/>
      <c r="AE104" s="359"/>
      <c r="AF104" s="438"/>
      <c r="AG104" s="438"/>
      <c r="AH104" s="438"/>
      <c r="AI104" s="438"/>
      <c r="AJ104" s="438"/>
      <c r="AK104" s="438"/>
      <c r="AL104" s="438"/>
      <c r="AM104" s="438"/>
      <c r="AN104" s="438"/>
      <c r="AO104" s="438">
        <v>1</v>
      </c>
      <c r="AP104" s="438"/>
      <c r="AQ104" s="438"/>
      <c r="AR104" s="438"/>
      <c r="AS104" s="438"/>
      <c r="AT104" s="438"/>
      <c r="AU104" s="438"/>
      <c r="AV104" s="438"/>
      <c r="AW104" s="438"/>
      <c r="AX104" s="438"/>
      <c r="AY104" s="438"/>
      <c r="AZ104" s="438"/>
      <c r="BA104" s="438"/>
      <c r="BB104" s="438">
        <v>1</v>
      </c>
      <c r="BC104" s="438"/>
      <c r="BD104" s="438"/>
      <c r="BE104" s="438"/>
      <c r="BF104" s="438"/>
      <c r="BG104" s="438"/>
      <c r="BH104" s="438"/>
      <c r="BI104" s="438"/>
      <c r="BJ104" s="438"/>
      <c r="BK104" s="438">
        <v>1</v>
      </c>
      <c r="BL104" s="438"/>
      <c r="BM104" s="438"/>
      <c r="BN104" s="438">
        <v>1</v>
      </c>
      <c r="BO104" s="438"/>
      <c r="BP104" s="438"/>
      <c r="BQ104" s="438"/>
      <c r="BR104" s="438">
        <v>1</v>
      </c>
      <c r="BS104" s="438"/>
      <c r="BT104" s="438"/>
      <c r="BU104" s="438"/>
      <c r="BV104" s="438"/>
      <c r="BW104" s="438"/>
      <c r="BX104" s="438"/>
      <c r="BY104" s="438"/>
      <c r="BZ104" s="438">
        <v>1</v>
      </c>
      <c r="CA104" s="438"/>
    </row>
    <row r="105" spans="2:79" hidden="1" outlineLevel="2">
      <c r="D105" s="383" t="s">
        <v>531</v>
      </c>
      <c r="G105" s="359"/>
      <c r="M105" s="359"/>
      <c r="AD105" s="408"/>
      <c r="AE105" s="359"/>
      <c r="AF105" s="410">
        <f t="shared" ref="AF105:CA105" si="47">AF104+AE105</f>
        <v>0</v>
      </c>
      <c r="AG105" s="410">
        <f t="shared" si="47"/>
        <v>0</v>
      </c>
      <c r="AH105" s="410">
        <f t="shared" si="47"/>
        <v>0</v>
      </c>
      <c r="AI105" s="410">
        <f t="shared" si="47"/>
        <v>0</v>
      </c>
      <c r="AJ105" s="410">
        <f t="shared" si="47"/>
        <v>0</v>
      </c>
      <c r="AK105" s="410">
        <f t="shared" si="47"/>
        <v>0</v>
      </c>
      <c r="AL105" s="410">
        <f t="shared" si="47"/>
        <v>0</v>
      </c>
      <c r="AM105" s="410">
        <f t="shared" si="47"/>
        <v>0</v>
      </c>
      <c r="AN105" s="410">
        <f t="shared" si="47"/>
        <v>0</v>
      </c>
      <c r="AO105" s="410">
        <f t="shared" si="47"/>
        <v>1</v>
      </c>
      <c r="AP105" s="410">
        <f t="shared" si="47"/>
        <v>1</v>
      </c>
      <c r="AQ105" s="410">
        <f t="shared" si="47"/>
        <v>1</v>
      </c>
      <c r="AR105" s="410">
        <f t="shared" si="47"/>
        <v>1</v>
      </c>
      <c r="AS105" s="410">
        <f t="shared" si="47"/>
        <v>1</v>
      </c>
      <c r="AT105" s="410">
        <f t="shared" si="47"/>
        <v>1</v>
      </c>
      <c r="AU105" s="410">
        <f t="shared" si="47"/>
        <v>1</v>
      </c>
      <c r="AV105" s="410">
        <f t="shared" si="47"/>
        <v>1</v>
      </c>
      <c r="AW105" s="410">
        <f t="shared" si="47"/>
        <v>1</v>
      </c>
      <c r="AX105" s="410">
        <f t="shared" si="47"/>
        <v>1</v>
      </c>
      <c r="AY105" s="410">
        <f t="shared" si="47"/>
        <v>1</v>
      </c>
      <c r="AZ105" s="410">
        <f t="shared" si="47"/>
        <v>1</v>
      </c>
      <c r="BA105" s="410">
        <f t="shared" si="47"/>
        <v>1</v>
      </c>
      <c r="BB105" s="410">
        <f t="shared" si="47"/>
        <v>2</v>
      </c>
      <c r="BC105" s="410">
        <f t="shared" si="47"/>
        <v>2</v>
      </c>
      <c r="BD105" s="410">
        <f t="shared" si="47"/>
        <v>2</v>
      </c>
      <c r="BE105" s="410">
        <f t="shared" si="47"/>
        <v>2</v>
      </c>
      <c r="BF105" s="410">
        <f t="shared" si="47"/>
        <v>2</v>
      </c>
      <c r="BG105" s="410">
        <f t="shared" si="47"/>
        <v>2</v>
      </c>
      <c r="BH105" s="410">
        <f t="shared" si="47"/>
        <v>2</v>
      </c>
      <c r="BI105" s="410">
        <f t="shared" si="47"/>
        <v>2</v>
      </c>
      <c r="BJ105" s="410">
        <f t="shared" si="47"/>
        <v>2</v>
      </c>
      <c r="BK105" s="410">
        <f t="shared" si="47"/>
        <v>3</v>
      </c>
      <c r="BL105" s="410">
        <f t="shared" si="47"/>
        <v>3</v>
      </c>
      <c r="BM105" s="410">
        <f t="shared" si="47"/>
        <v>3</v>
      </c>
      <c r="BN105" s="410">
        <f t="shared" si="47"/>
        <v>4</v>
      </c>
      <c r="BO105" s="410">
        <f t="shared" si="47"/>
        <v>4</v>
      </c>
      <c r="BP105" s="410">
        <f t="shared" si="47"/>
        <v>4</v>
      </c>
      <c r="BQ105" s="410">
        <f t="shared" si="47"/>
        <v>4</v>
      </c>
      <c r="BR105" s="410">
        <f t="shared" si="47"/>
        <v>5</v>
      </c>
      <c r="BS105" s="410">
        <f t="shared" si="47"/>
        <v>5</v>
      </c>
      <c r="BT105" s="410">
        <f t="shared" si="47"/>
        <v>5</v>
      </c>
      <c r="BU105" s="410">
        <f t="shared" si="47"/>
        <v>5</v>
      </c>
      <c r="BV105" s="410">
        <f t="shared" si="47"/>
        <v>5</v>
      </c>
      <c r="BW105" s="410">
        <f t="shared" si="47"/>
        <v>5</v>
      </c>
      <c r="BX105" s="410">
        <f t="shared" si="47"/>
        <v>5</v>
      </c>
      <c r="BY105" s="410">
        <f t="shared" si="47"/>
        <v>5</v>
      </c>
      <c r="BZ105" s="410">
        <f t="shared" si="47"/>
        <v>6</v>
      </c>
      <c r="CA105" s="410">
        <f t="shared" si="47"/>
        <v>6</v>
      </c>
    </row>
    <row r="106" spans="2:79" s="55" customFormat="1" ht="15.75" hidden="1" outlineLevel="2">
      <c r="C106" s="355"/>
      <c r="D106" s="383" t="s">
        <v>532</v>
      </c>
      <c r="E106" s="50"/>
      <c r="F106" s="50"/>
      <c r="G106" s="359"/>
      <c r="H106" s="50"/>
      <c r="I106" s="50"/>
      <c r="J106" s="50"/>
      <c r="K106" s="50"/>
      <c r="L106" s="50"/>
      <c r="M106" s="359"/>
      <c r="N106" s="50"/>
      <c r="O106" s="50"/>
      <c r="P106" s="50"/>
      <c r="Q106" s="50"/>
      <c r="R106" s="50"/>
      <c r="S106" s="50"/>
      <c r="T106" s="50"/>
      <c r="U106" s="50"/>
      <c r="V106" s="50"/>
      <c r="W106" s="50"/>
      <c r="X106" s="50"/>
      <c r="Y106" s="50"/>
      <c r="Z106" s="50"/>
      <c r="AA106" s="50"/>
      <c r="AB106" s="50"/>
      <c r="AC106" s="50"/>
      <c r="AD106" s="408"/>
      <c r="AE106" s="359"/>
      <c r="AF106" s="438">
        <v>5</v>
      </c>
      <c r="AG106" s="438">
        <v>5</v>
      </c>
      <c r="AH106" s="438">
        <v>5</v>
      </c>
      <c r="AI106" s="438">
        <v>5</v>
      </c>
      <c r="AJ106" s="438">
        <v>5</v>
      </c>
      <c r="AK106" s="438">
        <v>5</v>
      </c>
      <c r="AL106" s="438">
        <v>5</v>
      </c>
      <c r="AM106" s="438">
        <v>5</v>
      </c>
      <c r="AN106" s="438">
        <v>5</v>
      </c>
      <c r="AO106" s="438">
        <v>5</v>
      </c>
      <c r="AP106" s="438">
        <v>5</v>
      </c>
      <c r="AQ106" s="438">
        <v>5</v>
      </c>
      <c r="AR106" s="438">
        <v>5</v>
      </c>
      <c r="AS106" s="438">
        <v>5</v>
      </c>
      <c r="AT106" s="438">
        <v>5</v>
      </c>
      <c r="AU106" s="438">
        <v>5</v>
      </c>
      <c r="AV106" s="438">
        <v>5</v>
      </c>
      <c r="AW106" s="438">
        <v>5</v>
      </c>
      <c r="AX106" s="438">
        <v>5</v>
      </c>
      <c r="AY106" s="438">
        <v>5</v>
      </c>
      <c r="AZ106" s="438">
        <v>5</v>
      </c>
      <c r="BA106" s="438">
        <v>5</v>
      </c>
      <c r="BB106" s="438">
        <v>5</v>
      </c>
      <c r="BC106" s="438">
        <v>5</v>
      </c>
      <c r="BD106" s="438">
        <v>5</v>
      </c>
      <c r="BE106" s="438">
        <v>5</v>
      </c>
      <c r="BF106" s="438">
        <v>5</v>
      </c>
      <c r="BG106" s="438">
        <v>5</v>
      </c>
      <c r="BH106" s="438">
        <v>5</v>
      </c>
      <c r="BI106" s="438">
        <v>5</v>
      </c>
      <c r="BJ106" s="438">
        <v>5</v>
      </c>
      <c r="BK106" s="438">
        <v>5</v>
      </c>
      <c r="BL106" s="438">
        <v>5</v>
      </c>
      <c r="BM106" s="438">
        <v>5</v>
      </c>
      <c r="BN106" s="438">
        <v>5</v>
      </c>
      <c r="BO106" s="438">
        <v>5</v>
      </c>
      <c r="BP106" s="438">
        <v>5</v>
      </c>
      <c r="BQ106" s="438">
        <v>5</v>
      </c>
      <c r="BR106" s="438">
        <v>5</v>
      </c>
      <c r="BS106" s="438">
        <v>5</v>
      </c>
      <c r="BT106" s="438">
        <v>5</v>
      </c>
      <c r="BU106" s="438">
        <v>5</v>
      </c>
      <c r="BV106" s="438">
        <v>5</v>
      </c>
      <c r="BW106" s="438">
        <v>5</v>
      </c>
      <c r="BX106" s="438">
        <v>5</v>
      </c>
      <c r="BY106" s="438">
        <v>5</v>
      </c>
      <c r="BZ106" s="438">
        <v>5</v>
      </c>
      <c r="CA106" s="438">
        <v>5</v>
      </c>
    </row>
    <row r="107" spans="2:79" s="55" customFormat="1" hidden="1" outlineLevel="2">
      <c r="B107" s="356"/>
      <c r="C107" s="355"/>
      <c r="D107" s="383" t="s">
        <v>528</v>
      </c>
      <c r="E107" s="50"/>
      <c r="F107" s="50"/>
      <c r="G107" s="359"/>
      <c r="H107" s="50"/>
      <c r="I107" s="50"/>
      <c r="J107" s="50"/>
      <c r="K107" s="50"/>
      <c r="L107" s="50"/>
      <c r="M107" s="359"/>
      <c r="N107" s="50"/>
      <c r="O107" s="50"/>
      <c r="P107" s="50"/>
      <c r="Q107" s="50"/>
      <c r="R107" s="50"/>
      <c r="S107" s="50"/>
      <c r="T107" s="50"/>
      <c r="U107" s="50"/>
      <c r="V107" s="50"/>
      <c r="W107" s="50"/>
      <c r="X107" s="50"/>
      <c r="Y107" s="50"/>
      <c r="Z107" s="50"/>
      <c r="AA107" s="50"/>
      <c r="AB107" s="50"/>
      <c r="AC107" s="50"/>
      <c r="AD107" s="408"/>
      <c r="AE107" s="359"/>
      <c r="AF107" s="410">
        <f t="shared" ref="AF107:CA107" si="48">AF105*AF106</f>
        <v>0</v>
      </c>
      <c r="AG107" s="410">
        <f t="shared" si="48"/>
        <v>0</v>
      </c>
      <c r="AH107" s="410">
        <f t="shared" si="48"/>
        <v>0</v>
      </c>
      <c r="AI107" s="410">
        <f t="shared" si="48"/>
        <v>0</v>
      </c>
      <c r="AJ107" s="410">
        <f t="shared" si="48"/>
        <v>0</v>
      </c>
      <c r="AK107" s="410">
        <f t="shared" si="48"/>
        <v>0</v>
      </c>
      <c r="AL107" s="410">
        <f t="shared" si="48"/>
        <v>0</v>
      </c>
      <c r="AM107" s="410">
        <f t="shared" si="48"/>
        <v>0</v>
      </c>
      <c r="AN107" s="410">
        <f t="shared" si="48"/>
        <v>0</v>
      </c>
      <c r="AO107" s="410">
        <f t="shared" si="48"/>
        <v>5</v>
      </c>
      <c r="AP107" s="410">
        <f t="shared" si="48"/>
        <v>5</v>
      </c>
      <c r="AQ107" s="410">
        <f t="shared" si="48"/>
        <v>5</v>
      </c>
      <c r="AR107" s="410">
        <f t="shared" si="48"/>
        <v>5</v>
      </c>
      <c r="AS107" s="410">
        <f t="shared" si="48"/>
        <v>5</v>
      </c>
      <c r="AT107" s="410">
        <f t="shared" si="48"/>
        <v>5</v>
      </c>
      <c r="AU107" s="410">
        <f t="shared" si="48"/>
        <v>5</v>
      </c>
      <c r="AV107" s="410">
        <f t="shared" si="48"/>
        <v>5</v>
      </c>
      <c r="AW107" s="410">
        <f t="shared" si="48"/>
        <v>5</v>
      </c>
      <c r="AX107" s="410">
        <f t="shared" si="48"/>
        <v>5</v>
      </c>
      <c r="AY107" s="410">
        <f t="shared" si="48"/>
        <v>5</v>
      </c>
      <c r="AZ107" s="410">
        <f t="shared" si="48"/>
        <v>5</v>
      </c>
      <c r="BA107" s="410">
        <f t="shared" si="48"/>
        <v>5</v>
      </c>
      <c r="BB107" s="410">
        <f t="shared" si="48"/>
        <v>10</v>
      </c>
      <c r="BC107" s="410">
        <f t="shared" si="48"/>
        <v>10</v>
      </c>
      <c r="BD107" s="410">
        <f t="shared" si="48"/>
        <v>10</v>
      </c>
      <c r="BE107" s="410">
        <f t="shared" si="48"/>
        <v>10</v>
      </c>
      <c r="BF107" s="410">
        <f t="shared" si="48"/>
        <v>10</v>
      </c>
      <c r="BG107" s="410">
        <f t="shared" si="48"/>
        <v>10</v>
      </c>
      <c r="BH107" s="410">
        <f t="shared" si="48"/>
        <v>10</v>
      </c>
      <c r="BI107" s="410">
        <f t="shared" si="48"/>
        <v>10</v>
      </c>
      <c r="BJ107" s="410">
        <f t="shared" si="48"/>
        <v>10</v>
      </c>
      <c r="BK107" s="410">
        <f t="shared" si="48"/>
        <v>15</v>
      </c>
      <c r="BL107" s="410">
        <f t="shared" si="48"/>
        <v>15</v>
      </c>
      <c r="BM107" s="410">
        <f t="shared" si="48"/>
        <v>15</v>
      </c>
      <c r="BN107" s="410">
        <f t="shared" si="48"/>
        <v>20</v>
      </c>
      <c r="BO107" s="410">
        <f t="shared" si="48"/>
        <v>20</v>
      </c>
      <c r="BP107" s="410">
        <f t="shared" si="48"/>
        <v>20</v>
      </c>
      <c r="BQ107" s="410">
        <f t="shared" si="48"/>
        <v>20</v>
      </c>
      <c r="BR107" s="410">
        <f t="shared" si="48"/>
        <v>25</v>
      </c>
      <c r="BS107" s="410">
        <f t="shared" si="48"/>
        <v>25</v>
      </c>
      <c r="BT107" s="410">
        <f t="shared" si="48"/>
        <v>25</v>
      </c>
      <c r="BU107" s="410">
        <f t="shared" si="48"/>
        <v>25</v>
      </c>
      <c r="BV107" s="410">
        <f t="shared" si="48"/>
        <v>25</v>
      </c>
      <c r="BW107" s="410">
        <f t="shared" si="48"/>
        <v>25</v>
      </c>
      <c r="BX107" s="410">
        <f t="shared" si="48"/>
        <v>25</v>
      </c>
      <c r="BY107" s="410">
        <f t="shared" si="48"/>
        <v>25</v>
      </c>
      <c r="BZ107" s="410">
        <f t="shared" si="48"/>
        <v>30</v>
      </c>
      <c r="CA107" s="410">
        <f t="shared" si="48"/>
        <v>30</v>
      </c>
    </row>
    <row r="108" spans="2:79" s="55" customFormat="1" hidden="1" outlineLevel="2">
      <c r="B108" s="356"/>
      <c r="C108" s="355"/>
      <c r="D108" s="383" t="s">
        <v>529</v>
      </c>
      <c r="E108" s="50"/>
      <c r="F108" s="50"/>
      <c r="G108" s="359"/>
      <c r="H108" s="50"/>
      <c r="I108" s="50"/>
      <c r="J108" s="50"/>
      <c r="K108" s="50"/>
      <c r="L108" s="50"/>
      <c r="M108" s="359"/>
      <c r="N108" s="50"/>
      <c r="O108" s="50"/>
      <c r="P108" s="50"/>
      <c r="Q108" s="50"/>
      <c r="R108" s="50"/>
      <c r="S108" s="50"/>
      <c r="T108" s="50"/>
      <c r="U108" s="50"/>
      <c r="V108" s="50"/>
      <c r="W108" s="50"/>
      <c r="X108" s="50"/>
      <c r="Y108" s="50"/>
      <c r="Z108" s="50"/>
      <c r="AA108" s="50"/>
      <c r="AB108" s="50"/>
      <c r="AC108" s="50"/>
      <c r="AD108" s="408"/>
      <c r="AE108" s="359"/>
      <c r="AF108" s="436">
        <v>0.25</v>
      </c>
      <c r="AG108" s="436">
        <v>0.25</v>
      </c>
      <c r="AH108" s="436">
        <v>0.25</v>
      </c>
      <c r="AI108" s="436">
        <v>0.25</v>
      </c>
      <c r="AJ108" s="436">
        <v>0.25</v>
      </c>
      <c r="AK108" s="436">
        <v>0.25</v>
      </c>
      <c r="AL108" s="436">
        <v>0.25</v>
      </c>
      <c r="AM108" s="436">
        <v>0.25</v>
      </c>
      <c r="AN108" s="436">
        <v>0.25</v>
      </c>
      <c r="AO108" s="436">
        <v>0.25</v>
      </c>
      <c r="AP108" s="436">
        <v>0.25</v>
      </c>
      <c r="AQ108" s="436">
        <v>0.25</v>
      </c>
      <c r="AR108" s="436">
        <v>0.25</v>
      </c>
      <c r="AS108" s="436">
        <v>0.25</v>
      </c>
      <c r="AT108" s="436">
        <v>0.25</v>
      </c>
      <c r="AU108" s="436">
        <v>0.25</v>
      </c>
      <c r="AV108" s="436">
        <v>0.25</v>
      </c>
      <c r="AW108" s="436">
        <v>0.25</v>
      </c>
      <c r="AX108" s="436">
        <v>0.25</v>
      </c>
      <c r="AY108" s="436">
        <v>0.25</v>
      </c>
      <c r="AZ108" s="436">
        <v>0.25</v>
      </c>
      <c r="BA108" s="436">
        <v>0.25</v>
      </c>
      <c r="BB108" s="436">
        <v>0.25</v>
      </c>
      <c r="BC108" s="436">
        <v>0.25</v>
      </c>
      <c r="BD108" s="436">
        <v>0.25</v>
      </c>
      <c r="BE108" s="436">
        <v>0.25</v>
      </c>
      <c r="BF108" s="436">
        <v>0.25</v>
      </c>
      <c r="BG108" s="436">
        <v>0.25</v>
      </c>
      <c r="BH108" s="436">
        <v>0.25</v>
      </c>
      <c r="BI108" s="436">
        <v>0.25</v>
      </c>
      <c r="BJ108" s="436">
        <v>0.25</v>
      </c>
      <c r="BK108" s="436">
        <v>0.25</v>
      </c>
      <c r="BL108" s="436">
        <v>0.25</v>
      </c>
      <c r="BM108" s="436">
        <v>0.25</v>
      </c>
      <c r="BN108" s="436">
        <v>0.25</v>
      </c>
      <c r="BO108" s="436">
        <v>0.25</v>
      </c>
      <c r="BP108" s="436">
        <v>0.25</v>
      </c>
      <c r="BQ108" s="436">
        <v>0.25</v>
      </c>
      <c r="BR108" s="436">
        <v>0.25</v>
      </c>
      <c r="BS108" s="436">
        <v>0.25</v>
      </c>
      <c r="BT108" s="436">
        <v>0.25</v>
      </c>
      <c r="BU108" s="436">
        <v>0.25</v>
      </c>
      <c r="BV108" s="436">
        <v>0.25</v>
      </c>
      <c r="BW108" s="436">
        <v>0.25</v>
      </c>
      <c r="BX108" s="436">
        <v>0.25</v>
      </c>
      <c r="BY108" s="436">
        <v>0.25</v>
      </c>
      <c r="BZ108" s="436">
        <v>0.25</v>
      </c>
      <c r="CA108" s="436">
        <v>0.25</v>
      </c>
    </row>
    <row r="109" spans="2:79" s="55" customFormat="1" hidden="1" outlineLevel="2">
      <c r="B109" s="356"/>
      <c r="C109" s="355"/>
      <c r="D109" s="383" t="s">
        <v>525</v>
      </c>
      <c r="E109" s="50"/>
      <c r="F109" s="50"/>
      <c r="G109" s="434"/>
      <c r="H109" s="50"/>
      <c r="I109" s="50"/>
      <c r="J109" s="50"/>
      <c r="K109" s="50"/>
      <c r="L109" s="50"/>
      <c r="M109" s="359"/>
      <c r="N109" s="50"/>
      <c r="O109" s="50"/>
      <c r="P109" s="50"/>
      <c r="Q109" s="50"/>
      <c r="R109" s="50"/>
      <c r="S109" s="50"/>
      <c r="T109" s="50"/>
      <c r="U109" s="50"/>
      <c r="V109" s="50"/>
      <c r="W109" s="50"/>
      <c r="X109" s="50"/>
      <c r="Y109" s="50"/>
      <c r="Z109" s="50"/>
      <c r="AA109" s="50"/>
      <c r="AB109" s="50"/>
      <c r="AC109" s="50"/>
      <c r="AD109" s="408"/>
      <c r="AE109" s="359"/>
      <c r="AF109" s="433">
        <f t="shared" ref="AF109:CA109" si="49">AF107*AF108</f>
        <v>0</v>
      </c>
      <c r="AG109" s="433">
        <f t="shared" si="49"/>
        <v>0</v>
      </c>
      <c r="AH109" s="433">
        <f t="shared" si="49"/>
        <v>0</v>
      </c>
      <c r="AI109" s="433">
        <f t="shared" si="49"/>
        <v>0</v>
      </c>
      <c r="AJ109" s="433">
        <f t="shared" si="49"/>
        <v>0</v>
      </c>
      <c r="AK109" s="433">
        <f t="shared" si="49"/>
        <v>0</v>
      </c>
      <c r="AL109" s="433">
        <f t="shared" si="49"/>
        <v>0</v>
      </c>
      <c r="AM109" s="433">
        <f t="shared" si="49"/>
        <v>0</v>
      </c>
      <c r="AN109" s="433">
        <f t="shared" si="49"/>
        <v>0</v>
      </c>
      <c r="AO109" s="433">
        <f t="shared" si="49"/>
        <v>1.25</v>
      </c>
      <c r="AP109" s="433">
        <f t="shared" si="49"/>
        <v>1.25</v>
      </c>
      <c r="AQ109" s="433">
        <f t="shared" si="49"/>
        <v>1.25</v>
      </c>
      <c r="AR109" s="433">
        <f t="shared" si="49"/>
        <v>1.25</v>
      </c>
      <c r="AS109" s="433">
        <f t="shared" si="49"/>
        <v>1.25</v>
      </c>
      <c r="AT109" s="433">
        <f t="shared" si="49"/>
        <v>1.25</v>
      </c>
      <c r="AU109" s="433">
        <f t="shared" si="49"/>
        <v>1.25</v>
      </c>
      <c r="AV109" s="433">
        <f t="shared" si="49"/>
        <v>1.25</v>
      </c>
      <c r="AW109" s="433">
        <f t="shared" si="49"/>
        <v>1.25</v>
      </c>
      <c r="AX109" s="433">
        <f t="shared" si="49"/>
        <v>1.25</v>
      </c>
      <c r="AY109" s="433">
        <f t="shared" si="49"/>
        <v>1.25</v>
      </c>
      <c r="AZ109" s="433">
        <f t="shared" si="49"/>
        <v>1.25</v>
      </c>
      <c r="BA109" s="433">
        <f t="shared" si="49"/>
        <v>1.25</v>
      </c>
      <c r="BB109" s="433">
        <f t="shared" si="49"/>
        <v>2.5</v>
      </c>
      <c r="BC109" s="433">
        <f t="shared" si="49"/>
        <v>2.5</v>
      </c>
      <c r="BD109" s="433">
        <f t="shared" si="49"/>
        <v>2.5</v>
      </c>
      <c r="BE109" s="433">
        <f t="shared" si="49"/>
        <v>2.5</v>
      </c>
      <c r="BF109" s="433">
        <f t="shared" si="49"/>
        <v>2.5</v>
      </c>
      <c r="BG109" s="433">
        <f t="shared" si="49"/>
        <v>2.5</v>
      </c>
      <c r="BH109" s="433">
        <f t="shared" si="49"/>
        <v>2.5</v>
      </c>
      <c r="BI109" s="433">
        <f t="shared" si="49"/>
        <v>2.5</v>
      </c>
      <c r="BJ109" s="433">
        <f t="shared" si="49"/>
        <v>2.5</v>
      </c>
      <c r="BK109" s="433">
        <f t="shared" si="49"/>
        <v>3.75</v>
      </c>
      <c r="BL109" s="433">
        <f t="shared" si="49"/>
        <v>3.75</v>
      </c>
      <c r="BM109" s="433">
        <f t="shared" si="49"/>
        <v>3.75</v>
      </c>
      <c r="BN109" s="433">
        <f t="shared" si="49"/>
        <v>5</v>
      </c>
      <c r="BO109" s="433">
        <f t="shared" si="49"/>
        <v>5</v>
      </c>
      <c r="BP109" s="433">
        <f t="shared" si="49"/>
        <v>5</v>
      </c>
      <c r="BQ109" s="433">
        <f t="shared" si="49"/>
        <v>5</v>
      </c>
      <c r="BR109" s="433">
        <f t="shared" si="49"/>
        <v>6.25</v>
      </c>
      <c r="BS109" s="433">
        <f t="shared" si="49"/>
        <v>6.25</v>
      </c>
      <c r="BT109" s="433">
        <f t="shared" si="49"/>
        <v>6.25</v>
      </c>
      <c r="BU109" s="433">
        <f t="shared" si="49"/>
        <v>6.25</v>
      </c>
      <c r="BV109" s="433">
        <f t="shared" si="49"/>
        <v>6.25</v>
      </c>
      <c r="BW109" s="433">
        <f t="shared" si="49"/>
        <v>6.25</v>
      </c>
      <c r="BX109" s="433">
        <f t="shared" si="49"/>
        <v>6.25</v>
      </c>
      <c r="BY109" s="433">
        <f t="shared" si="49"/>
        <v>6.25</v>
      </c>
      <c r="BZ109" s="433">
        <f t="shared" si="49"/>
        <v>7.5</v>
      </c>
      <c r="CA109" s="433">
        <f t="shared" si="49"/>
        <v>7.5</v>
      </c>
    </row>
    <row r="110" spans="2:79" s="55" customFormat="1" outlineLevel="1">
      <c r="B110" s="356"/>
      <c r="C110" s="355"/>
      <c r="D110" s="50"/>
      <c r="E110" s="50"/>
      <c r="F110" s="50"/>
      <c r="G110" s="434"/>
      <c r="H110" s="50"/>
      <c r="I110" s="50"/>
      <c r="J110" s="50"/>
      <c r="K110" s="50"/>
      <c r="L110" s="50"/>
      <c r="M110" s="434"/>
      <c r="N110" s="50"/>
      <c r="O110" s="50"/>
      <c r="P110" s="50"/>
      <c r="Q110" s="50"/>
      <c r="R110" s="50"/>
      <c r="S110" s="50"/>
      <c r="T110" s="50"/>
      <c r="U110" s="50"/>
      <c r="V110" s="50"/>
      <c r="W110" s="50"/>
      <c r="X110" s="50"/>
      <c r="Y110" s="50"/>
      <c r="Z110" s="50"/>
      <c r="AA110" s="50"/>
      <c r="AB110" s="50"/>
      <c r="AC110" s="50"/>
      <c r="AD110" s="408"/>
      <c r="AE110" s="434"/>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c r="BP110" s="50"/>
      <c r="BQ110" s="50"/>
      <c r="BR110" s="50"/>
      <c r="BS110" s="50"/>
      <c r="BT110" s="50"/>
      <c r="BU110" s="50"/>
      <c r="BV110" s="50"/>
      <c r="BW110" s="50"/>
      <c r="BX110" s="50"/>
      <c r="BY110" s="50"/>
      <c r="BZ110" s="50"/>
      <c r="CA110" s="50"/>
    </row>
    <row r="111" spans="2:79" ht="15" outlineLevel="1" collapsed="1">
      <c r="B111" s="367"/>
      <c r="C111" s="365" t="s">
        <v>517</v>
      </c>
      <c r="D111" s="366"/>
      <c r="E111" s="365"/>
      <c r="G111" s="434"/>
      <c r="H111" s="378"/>
      <c r="I111" s="378"/>
      <c r="J111" s="378"/>
      <c r="K111" s="378"/>
      <c r="M111" s="434"/>
      <c r="N111" s="378"/>
      <c r="O111" s="378"/>
      <c r="P111" s="378"/>
      <c r="Q111" s="378"/>
      <c r="R111" s="378"/>
      <c r="S111" s="378"/>
      <c r="T111" s="378"/>
      <c r="U111" s="378"/>
      <c r="V111" s="378"/>
      <c r="W111" s="378"/>
      <c r="X111" s="378"/>
      <c r="Y111" s="378"/>
      <c r="Z111" s="378"/>
      <c r="AA111" s="378"/>
      <c r="AB111" s="378"/>
      <c r="AC111" s="378"/>
      <c r="AE111" s="434"/>
      <c r="AF111" s="439">
        <f t="shared" ref="AF111:CA111" si="50">AF116</f>
        <v>2.5</v>
      </c>
      <c r="AG111" s="439">
        <f t="shared" si="50"/>
        <v>2.5</v>
      </c>
      <c r="AH111" s="439">
        <f t="shared" si="50"/>
        <v>2.5</v>
      </c>
      <c r="AI111" s="439">
        <f t="shared" si="50"/>
        <v>2.5</v>
      </c>
      <c r="AJ111" s="439">
        <f t="shared" si="50"/>
        <v>2.5</v>
      </c>
      <c r="AK111" s="439">
        <f t="shared" si="50"/>
        <v>2.5</v>
      </c>
      <c r="AL111" s="439">
        <f t="shared" si="50"/>
        <v>2.5</v>
      </c>
      <c r="AM111" s="439">
        <f t="shared" si="50"/>
        <v>2.5</v>
      </c>
      <c r="AN111" s="439">
        <f t="shared" si="50"/>
        <v>2.5</v>
      </c>
      <c r="AO111" s="439">
        <f t="shared" si="50"/>
        <v>2.5</v>
      </c>
      <c r="AP111" s="439">
        <f t="shared" si="50"/>
        <v>2.5</v>
      </c>
      <c r="AQ111" s="439">
        <f t="shared" si="50"/>
        <v>2.5</v>
      </c>
      <c r="AR111" s="439">
        <f t="shared" si="50"/>
        <v>2.5</v>
      </c>
      <c r="AS111" s="439">
        <f t="shared" si="50"/>
        <v>2.5</v>
      </c>
      <c r="AT111" s="439">
        <f t="shared" si="50"/>
        <v>2.5</v>
      </c>
      <c r="AU111" s="439">
        <f t="shared" si="50"/>
        <v>2.5</v>
      </c>
      <c r="AV111" s="439">
        <f t="shared" si="50"/>
        <v>2.5</v>
      </c>
      <c r="AW111" s="439">
        <f t="shared" si="50"/>
        <v>2.5</v>
      </c>
      <c r="AX111" s="439">
        <f t="shared" si="50"/>
        <v>2.5</v>
      </c>
      <c r="AY111" s="439">
        <f t="shared" si="50"/>
        <v>2.5</v>
      </c>
      <c r="AZ111" s="439">
        <f t="shared" si="50"/>
        <v>2.5</v>
      </c>
      <c r="BA111" s="439">
        <f t="shared" si="50"/>
        <v>2.5</v>
      </c>
      <c r="BB111" s="439">
        <f t="shared" si="50"/>
        <v>2.5</v>
      </c>
      <c r="BC111" s="439">
        <f t="shared" si="50"/>
        <v>2.5</v>
      </c>
      <c r="BD111" s="439">
        <f t="shared" si="50"/>
        <v>2.5</v>
      </c>
      <c r="BE111" s="439">
        <f t="shared" si="50"/>
        <v>2.5</v>
      </c>
      <c r="BF111" s="439">
        <f t="shared" si="50"/>
        <v>2.5</v>
      </c>
      <c r="BG111" s="439">
        <f t="shared" si="50"/>
        <v>2.5</v>
      </c>
      <c r="BH111" s="439">
        <f t="shared" si="50"/>
        <v>2.5</v>
      </c>
      <c r="BI111" s="439">
        <f t="shared" si="50"/>
        <v>2.5</v>
      </c>
      <c r="BJ111" s="439">
        <f t="shared" si="50"/>
        <v>2.5</v>
      </c>
      <c r="BK111" s="439">
        <f t="shared" si="50"/>
        <v>2.5</v>
      </c>
      <c r="BL111" s="439">
        <f t="shared" si="50"/>
        <v>2.5</v>
      </c>
      <c r="BM111" s="439">
        <f t="shared" si="50"/>
        <v>2.5</v>
      </c>
      <c r="BN111" s="439">
        <f t="shared" si="50"/>
        <v>2.5</v>
      </c>
      <c r="BO111" s="439">
        <f t="shared" si="50"/>
        <v>2.5</v>
      </c>
      <c r="BP111" s="439">
        <f t="shared" si="50"/>
        <v>2.5</v>
      </c>
      <c r="BQ111" s="439">
        <f t="shared" si="50"/>
        <v>2.5</v>
      </c>
      <c r="BR111" s="439">
        <f t="shared" si="50"/>
        <v>2.5</v>
      </c>
      <c r="BS111" s="439">
        <f t="shared" si="50"/>
        <v>2.5</v>
      </c>
      <c r="BT111" s="439">
        <f t="shared" si="50"/>
        <v>2.5</v>
      </c>
      <c r="BU111" s="439">
        <f t="shared" si="50"/>
        <v>2.5</v>
      </c>
      <c r="BV111" s="439">
        <f t="shared" si="50"/>
        <v>2.5</v>
      </c>
      <c r="BW111" s="439">
        <f t="shared" si="50"/>
        <v>2.5</v>
      </c>
      <c r="BX111" s="439">
        <f t="shared" si="50"/>
        <v>2.5</v>
      </c>
      <c r="BY111" s="439">
        <f t="shared" si="50"/>
        <v>2.5</v>
      </c>
      <c r="BZ111" s="439">
        <f t="shared" si="50"/>
        <v>2.5</v>
      </c>
      <c r="CA111" s="439">
        <f t="shared" si="50"/>
        <v>2.5</v>
      </c>
    </row>
    <row r="112" spans="2:79" s="55" customFormat="1" hidden="1" outlineLevel="2">
      <c r="B112" s="356"/>
      <c r="C112" s="355"/>
      <c r="D112" s="383" t="s">
        <v>533</v>
      </c>
      <c r="E112" s="50"/>
      <c r="F112" s="50"/>
      <c r="G112" s="434"/>
      <c r="H112" s="50"/>
      <c r="I112" s="50"/>
      <c r="J112" s="50"/>
      <c r="K112" s="50"/>
      <c r="L112" s="50"/>
      <c r="M112" s="434"/>
      <c r="N112" s="50"/>
      <c r="O112" s="50"/>
      <c r="P112" s="50"/>
      <c r="Q112" s="50"/>
      <c r="R112" s="50"/>
      <c r="S112" s="50"/>
      <c r="T112" s="50"/>
      <c r="U112" s="50"/>
      <c r="V112" s="50"/>
      <c r="W112" s="50"/>
      <c r="X112" s="50"/>
      <c r="Y112" s="50"/>
      <c r="Z112" s="50"/>
      <c r="AA112" s="50"/>
      <c r="AB112" s="50"/>
      <c r="AC112" s="50"/>
      <c r="AD112" s="408"/>
      <c r="AE112" s="434"/>
      <c r="AF112" s="438">
        <v>600</v>
      </c>
      <c r="AG112" s="438">
        <v>600</v>
      </c>
      <c r="AH112" s="438">
        <v>600</v>
      </c>
      <c r="AI112" s="438">
        <v>600</v>
      </c>
      <c r="AJ112" s="438">
        <v>600</v>
      </c>
      <c r="AK112" s="438">
        <v>600</v>
      </c>
      <c r="AL112" s="438">
        <v>600</v>
      </c>
      <c r="AM112" s="438">
        <v>600</v>
      </c>
      <c r="AN112" s="438">
        <v>600</v>
      </c>
      <c r="AO112" s="438">
        <v>600</v>
      </c>
      <c r="AP112" s="438">
        <v>600</v>
      </c>
      <c r="AQ112" s="438">
        <v>600</v>
      </c>
      <c r="AR112" s="438">
        <v>600</v>
      </c>
      <c r="AS112" s="438">
        <v>600</v>
      </c>
      <c r="AT112" s="438">
        <v>600</v>
      </c>
      <c r="AU112" s="438">
        <v>600</v>
      </c>
      <c r="AV112" s="438">
        <v>600</v>
      </c>
      <c r="AW112" s="438">
        <v>600</v>
      </c>
      <c r="AX112" s="438">
        <v>600</v>
      </c>
      <c r="AY112" s="438">
        <v>600</v>
      </c>
      <c r="AZ112" s="438">
        <v>600</v>
      </c>
      <c r="BA112" s="438">
        <v>600</v>
      </c>
      <c r="BB112" s="438">
        <v>600</v>
      </c>
      <c r="BC112" s="438">
        <v>600</v>
      </c>
      <c r="BD112" s="438">
        <v>600</v>
      </c>
      <c r="BE112" s="438">
        <v>600</v>
      </c>
      <c r="BF112" s="438">
        <v>600</v>
      </c>
      <c r="BG112" s="438">
        <v>600</v>
      </c>
      <c r="BH112" s="438">
        <v>600</v>
      </c>
      <c r="BI112" s="438">
        <v>600</v>
      </c>
      <c r="BJ112" s="438">
        <v>600</v>
      </c>
      <c r="BK112" s="438">
        <v>600</v>
      </c>
      <c r="BL112" s="438">
        <v>600</v>
      </c>
      <c r="BM112" s="438">
        <v>600</v>
      </c>
      <c r="BN112" s="438">
        <v>600</v>
      </c>
      <c r="BO112" s="438">
        <v>600</v>
      </c>
      <c r="BP112" s="438">
        <v>600</v>
      </c>
      <c r="BQ112" s="438">
        <v>600</v>
      </c>
      <c r="BR112" s="438">
        <v>600</v>
      </c>
      <c r="BS112" s="438">
        <v>600</v>
      </c>
      <c r="BT112" s="438">
        <v>600</v>
      </c>
      <c r="BU112" s="438">
        <v>600</v>
      </c>
      <c r="BV112" s="438">
        <v>600</v>
      </c>
      <c r="BW112" s="438">
        <v>600</v>
      </c>
      <c r="BX112" s="438">
        <v>600</v>
      </c>
      <c r="BY112" s="438">
        <v>600</v>
      </c>
      <c r="BZ112" s="438">
        <v>600</v>
      </c>
      <c r="CA112" s="438">
        <v>600</v>
      </c>
    </row>
    <row r="113" spans="2:79" s="55" customFormat="1" hidden="1" outlineLevel="2">
      <c r="B113" s="356"/>
      <c r="C113" s="355"/>
      <c r="D113" s="383" t="s">
        <v>534</v>
      </c>
      <c r="E113" s="50"/>
      <c r="F113" s="50"/>
      <c r="G113" s="434"/>
      <c r="H113" s="50"/>
      <c r="I113" s="50"/>
      <c r="J113" s="50"/>
      <c r="K113" s="50"/>
      <c r="L113" s="50"/>
      <c r="M113" s="434"/>
      <c r="N113" s="50"/>
      <c r="O113" s="50"/>
      <c r="P113" s="50"/>
      <c r="Q113" s="50"/>
      <c r="R113" s="50"/>
      <c r="S113" s="50"/>
      <c r="T113" s="50"/>
      <c r="U113" s="50"/>
      <c r="V113" s="50"/>
      <c r="W113" s="50"/>
      <c r="X113" s="50"/>
      <c r="Y113" s="50"/>
      <c r="Z113" s="50"/>
      <c r="AA113" s="50"/>
      <c r="AB113" s="50"/>
      <c r="AC113" s="50"/>
      <c r="AD113" s="408"/>
      <c r="AE113" s="434"/>
      <c r="AF113" s="437">
        <f t="shared" ref="AF113:CA113" si="51">10/AF112</f>
        <v>1.6666666666666666E-2</v>
      </c>
      <c r="AG113" s="437">
        <f t="shared" si="51"/>
        <v>1.6666666666666666E-2</v>
      </c>
      <c r="AH113" s="437">
        <f t="shared" si="51"/>
        <v>1.6666666666666666E-2</v>
      </c>
      <c r="AI113" s="437">
        <f t="shared" si="51"/>
        <v>1.6666666666666666E-2</v>
      </c>
      <c r="AJ113" s="437">
        <f t="shared" si="51"/>
        <v>1.6666666666666666E-2</v>
      </c>
      <c r="AK113" s="437">
        <f t="shared" si="51"/>
        <v>1.6666666666666666E-2</v>
      </c>
      <c r="AL113" s="437">
        <f t="shared" si="51"/>
        <v>1.6666666666666666E-2</v>
      </c>
      <c r="AM113" s="437">
        <f t="shared" si="51"/>
        <v>1.6666666666666666E-2</v>
      </c>
      <c r="AN113" s="437">
        <f t="shared" si="51"/>
        <v>1.6666666666666666E-2</v>
      </c>
      <c r="AO113" s="437">
        <f t="shared" si="51"/>
        <v>1.6666666666666666E-2</v>
      </c>
      <c r="AP113" s="437">
        <f t="shared" si="51"/>
        <v>1.6666666666666666E-2</v>
      </c>
      <c r="AQ113" s="437">
        <f t="shared" si="51"/>
        <v>1.6666666666666666E-2</v>
      </c>
      <c r="AR113" s="437">
        <f t="shared" si="51"/>
        <v>1.6666666666666666E-2</v>
      </c>
      <c r="AS113" s="437">
        <f t="shared" si="51"/>
        <v>1.6666666666666666E-2</v>
      </c>
      <c r="AT113" s="437">
        <f t="shared" si="51"/>
        <v>1.6666666666666666E-2</v>
      </c>
      <c r="AU113" s="437">
        <f t="shared" si="51"/>
        <v>1.6666666666666666E-2</v>
      </c>
      <c r="AV113" s="437">
        <f t="shared" si="51"/>
        <v>1.6666666666666666E-2</v>
      </c>
      <c r="AW113" s="437">
        <f t="shared" si="51"/>
        <v>1.6666666666666666E-2</v>
      </c>
      <c r="AX113" s="437">
        <f t="shared" si="51"/>
        <v>1.6666666666666666E-2</v>
      </c>
      <c r="AY113" s="437">
        <f t="shared" si="51"/>
        <v>1.6666666666666666E-2</v>
      </c>
      <c r="AZ113" s="437">
        <f t="shared" si="51"/>
        <v>1.6666666666666666E-2</v>
      </c>
      <c r="BA113" s="437">
        <f t="shared" si="51"/>
        <v>1.6666666666666666E-2</v>
      </c>
      <c r="BB113" s="437">
        <f t="shared" si="51"/>
        <v>1.6666666666666666E-2</v>
      </c>
      <c r="BC113" s="437">
        <f t="shared" si="51"/>
        <v>1.6666666666666666E-2</v>
      </c>
      <c r="BD113" s="437">
        <f t="shared" si="51"/>
        <v>1.6666666666666666E-2</v>
      </c>
      <c r="BE113" s="437">
        <f t="shared" si="51"/>
        <v>1.6666666666666666E-2</v>
      </c>
      <c r="BF113" s="437">
        <f t="shared" si="51"/>
        <v>1.6666666666666666E-2</v>
      </c>
      <c r="BG113" s="437">
        <f t="shared" si="51"/>
        <v>1.6666666666666666E-2</v>
      </c>
      <c r="BH113" s="437">
        <f t="shared" si="51"/>
        <v>1.6666666666666666E-2</v>
      </c>
      <c r="BI113" s="437">
        <f t="shared" si="51"/>
        <v>1.6666666666666666E-2</v>
      </c>
      <c r="BJ113" s="437">
        <f t="shared" si="51"/>
        <v>1.6666666666666666E-2</v>
      </c>
      <c r="BK113" s="437">
        <f t="shared" si="51"/>
        <v>1.6666666666666666E-2</v>
      </c>
      <c r="BL113" s="437">
        <f t="shared" si="51"/>
        <v>1.6666666666666666E-2</v>
      </c>
      <c r="BM113" s="437">
        <f t="shared" si="51"/>
        <v>1.6666666666666666E-2</v>
      </c>
      <c r="BN113" s="437">
        <f t="shared" si="51"/>
        <v>1.6666666666666666E-2</v>
      </c>
      <c r="BO113" s="437">
        <f t="shared" si="51"/>
        <v>1.6666666666666666E-2</v>
      </c>
      <c r="BP113" s="437">
        <f t="shared" si="51"/>
        <v>1.6666666666666666E-2</v>
      </c>
      <c r="BQ113" s="437">
        <f t="shared" si="51"/>
        <v>1.6666666666666666E-2</v>
      </c>
      <c r="BR113" s="437">
        <f t="shared" si="51"/>
        <v>1.6666666666666666E-2</v>
      </c>
      <c r="BS113" s="437">
        <f t="shared" si="51"/>
        <v>1.6666666666666666E-2</v>
      </c>
      <c r="BT113" s="437">
        <f t="shared" si="51"/>
        <v>1.6666666666666666E-2</v>
      </c>
      <c r="BU113" s="437">
        <f t="shared" si="51"/>
        <v>1.6666666666666666E-2</v>
      </c>
      <c r="BV113" s="437">
        <f t="shared" si="51"/>
        <v>1.6666666666666666E-2</v>
      </c>
      <c r="BW113" s="437">
        <f t="shared" si="51"/>
        <v>1.6666666666666666E-2</v>
      </c>
      <c r="BX113" s="437">
        <f t="shared" si="51"/>
        <v>1.6666666666666666E-2</v>
      </c>
      <c r="BY113" s="437">
        <f t="shared" si="51"/>
        <v>1.6666666666666666E-2</v>
      </c>
      <c r="BZ113" s="437">
        <f t="shared" si="51"/>
        <v>1.6666666666666666E-2</v>
      </c>
      <c r="CA113" s="437">
        <f t="shared" si="51"/>
        <v>1.6666666666666666E-2</v>
      </c>
    </row>
    <row r="114" spans="2:79" s="55" customFormat="1" hidden="1" outlineLevel="2">
      <c r="B114" s="356"/>
      <c r="C114" s="355"/>
      <c r="D114" s="383" t="s">
        <v>528</v>
      </c>
      <c r="E114" s="50"/>
      <c r="F114" s="50"/>
      <c r="G114" s="434"/>
      <c r="H114" s="50"/>
      <c r="I114" s="50"/>
      <c r="J114" s="50"/>
      <c r="K114" s="50"/>
      <c r="L114" s="50"/>
      <c r="M114" s="434"/>
      <c r="N114" s="50"/>
      <c r="O114" s="50"/>
      <c r="P114" s="50"/>
      <c r="Q114" s="50"/>
      <c r="R114" s="50"/>
      <c r="S114" s="50"/>
      <c r="T114" s="50"/>
      <c r="U114" s="50"/>
      <c r="V114" s="50"/>
      <c r="W114" s="50"/>
      <c r="X114" s="50"/>
      <c r="Y114" s="50"/>
      <c r="Z114" s="50"/>
      <c r="AA114" s="50"/>
      <c r="AB114" s="50"/>
      <c r="AC114" s="50"/>
      <c r="AD114" s="408"/>
      <c r="AE114" s="434"/>
      <c r="AF114" s="410">
        <f t="shared" ref="AF114:CA114" si="52">AF112*AF113</f>
        <v>10</v>
      </c>
      <c r="AG114" s="410">
        <f t="shared" si="52"/>
        <v>10</v>
      </c>
      <c r="AH114" s="410">
        <f t="shared" si="52"/>
        <v>10</v>
      </c>
      <c r="AI114" s="410">
        <f t="shared" si="52"/>
        <v>10</v>
      </c>
      <c r="AJ114" s="410">
        <f t="shared" si="52"/>
        <v>10</v>
      </c>
      <c r="AK114" s="410">
        <f t="shared" si="52"/>
        <v>10</v>
      </c>
      <c r="AL114" s="410">
        <f t="shared" si="52"/>
        <v>10</v>
      </c>
      <c r="AM114" s="410">
        <f t="shared" si="52"/>
        <v>10</v>
      </c>
      <c r="AN114" s="410">
        <f t="shared" si="52"/>
        <v>10</v>
      </c>
      <c r="AO114" s="410">
        <f t="shared" si="52"/>
        <v>10</v>
      </c>
      <c r="AP114" s="410">
        <f t="shared" si="52"/>
        <v>10</v>
      </c>
      <c r="AQ114" s="410">
        <f t="shared" si="52"/>
        <v>10</v>
      </c>
      <c r="AR114" s="410">
        <f t="shared" si="52"/>
        <v>10</v>
      </c>
      <c r="AS114" s="410">
        <f t="shared" si="52"/>
        <v>10</v>
      </c>
      <c r="AT114" s="410">
        <f t="shared" si="52"/>
        <v>10</v>
      </c>
      <c r="AU114" s="410">
        <f t="shared" si="52"/>
        <v>10</v>
      </c>
      <c r="AV114" s="410">
        <f t="shared" si="52"/>
        <v>10</v>
      </c>
      <c r="AW114" s="410">
        <f t="shared" si="52"/>
        <v>10</v>
      </c>
      <c r="AX114" s="410">
        <f t="shared" si="52"/>
        <v>10</v>
      </c>
      <c r="AY114" s="410">
        <f t="shared" si="52"/>
        <v>10</v>
      </c>
      <c r="AZ114" s="410">
        <f t="shared" si="52"/>
        <v>10</v>
      </c>
      <c r="BA114" s="410">
        <f t="shared" si="52"/>
        <v>10</v>
      </c>
      <c r="BB114" s="410">
        <f t="shared" si="52"/>
        <v>10</v>
      </c>
      <c r="BC114" s="410">
        <f t="shared" si="52"/>
        <v>10</v>
      </c>
      <c r="BD114" s="410">
        <f t="shared" si="52"/>
        <v>10</v>
      </c>
      <c r="BE114" s="410">
        <f t="shared" si="52"/>
        <v>10</v>
      </c>
      <c r="BF114" s="410">
        <f t="shared" si="52"/>
        <v>10</v>
      </c>
      <c r="BG114" s="410">
        <f t="shared" si="52"/>
        <v>10</v>
      </c>
      <c r="BH114" s="410">
        <f t="shared" si="52"/>
        <v>10</v>
      </c>
      <c r="BI114" s="410">
        <f t="shared" si="52"/>
        <v>10</v>
      </c>
      <c r="BJ114" s="410">
        <f t="shared" si="52"/>
        <v>10</v>
      </c>
      <c r="BK114" s="410">
        <f t="shared" si="52"/>
        <v>10</v>
      </c>
      <c r="BL114" s="410">
        <f t="shared" si="52"/>
        <v>10</v>
      </c>
      <c r="BM114" s="410">
        <f t="shared" si="52"/>
        <v>10</v>
      </c>
      <c r="BN114" s="410">
        <f t="shared" si="52"/>
        <v>10</v>
      </c>
      <c r="BO114" s="410">
        <f t="shared" si="52"/>
        <v>10</v>
      </c>
      <c r="BP114" s="410">
        <f t="shared" si="52"/>
        <v>10</v>
      </c>
      <c r="BQ114" s="410">
        <f t="shared" si="52"/>
        <v>10</v>
      </c>
      <c r="BR114" s="410">
        <f t="shared" si="52"/>
        <v>10</v>
      </c>
      <c r="BS114" s="410">
        <f t="shared" si="52"/>
        <v>10</v>
      </c>
      <c r="BT114" s="410">
        <f t="shared" si="52"/>
        <v>10</v>
      </c>
      <c r="BU114" s="410">
        <f t="shared" si="52"/>
        <v>10</v>
      </c>
      <c r="BV114" s="410">
        <f t="shared" si="52"/>
        <v>10</v>
      </c>
      <c r="BW114" s="410">
        <f t="shared" si="52"/>
        <v>10</v>
      </c>
      <c r="BX114" s="410">
        <f t="shared" si="52"/>
        <v>10</v>
      </c>
      <c r="BY114" s="410">
        <f t="shared" si="52"/>
        <v>10</v>
      </c>
      <c r="BZ114" s="410">
        <f t="shared" si="52"/>
        <v>10</v>
      </c>
      <c r="CA114" s="410">
        <f t="shared" si="52"/>
        <v>10</v>
      </c>
    </row>
    <row r="115" spans="2:79" s="55" customFormat="1" hidden="1" outlineLevel="2">
      <c r="B115" s="356"/>
      <c r="C115" s="355"/>
      <c r="D115" s="383" t="s">
        <v>529</v>
      </c>
      <c r="E115" s="50"/>
      <c r="F115" s="50"/>
      <c r="G115" s="434"/>
      <c r="H115" s="50"/>
      <c r="I115" s="50"/>
      <c r="J115" s="50"/>
      <c r="K115" s="50"/>
      <c r="L115" s="50"/>
      <c r="M115" s="434"/>
      <c r="N115" s="50"/>
      <c r="O115" s="50"/>
      <c r="P115" s="50"/>
      <c r="Q115" s="50"/>
      <c r="R115" s="50"/>
      <c r="S115" s="50"/>
      <c r="T115" s="50"/>
      <c r="U115" s="50"/>
      <c r="V115" s="50"/>
      <c r="W115" s="50"/>
      <c r="X115" s="50"/>
      <c r="Y115" s="50"/>
      <c r="Z115" s="50"/>
      <c r="AA115" s="50"/>
      <c r="AB115" s="50"/>
      <c r="AC115" s="50"/>
      <c r="AD115" s="408"/>
      <c r="AE115" s="434"/>
      <c r="AF115" s="436">
        <v>0.25</v>
      </c>
      <c r="AG115" s="436">
        <v>0.25</v>
      </c>
      <c r="AH115" s="436">
        <v>0.25</v>
      </c>
      <c r="AI115" s="436">
        <v>0.25</v>
      </c>
      <c r="AJ115" s="436">
        <v>0.25</v>
      </c>
      <c r="AK115" s="436">
        <v>0.25</v>
      </c>
      <c r="AL115" s="436">
        <v>0.25</v>
      </c>
      <c r="AM115" s="436">
        <v>0.25</v>
      </c>
      <c r="AN115" s="436">
        <v>0.25</v>
      </c>
      <c r="AO115" s="436">
        <v>0.25</v>
      </c>
      <c r="AP115" s="436">
        <v>0.25</v>
      </c>
      <c r="AQ115" s="436">
        <v>0.25</v>
      </c>
      <c r="AR115" s="436">
        <v>0.25</v>
      </c>
      <c r="AS115" s="436">
        <v>0.25</v>
      </c>
      <c r="AT115" s="436">
        <v>0.25</v>
      </c>
      <c r="AU115" s="436">
        <v>0.25</v>
      </c>
      <c r="AV115" s="436">
        <v>0.25</v>
      </c>
      <c r="AW115" s="436">
        <v>0.25</v>
      </c>
      <c r="AX115" s="436">
        <v>0.25</v>
      </c>
      <c r="AY115" s="436">
        <v>0.25</v>
      </c>
      <c r="AZ115" s="436">
        <v>0.25</v>
      </c>
      <c r="BA115" s="436">
        <v>0.25</v>
      </c>
      <c r="BB115" s="436">
        <v>0.25</v>
      </c>
      <c r="BC115" s="436">
        <v>0.25</v>
      </c>
      <c r="BD115" s="436">
        <v>0.25</v>
      </c>
      <c r="BE115" s="436">
        <v>0.25</v>
      </c>
      <c r="BF115" s="436">
        <v>0.25</v>
      </c>
      <c r="BG115" s="436">
        <v>0.25</v>
      </c>
      <c r="BH115" s="436">
        <v>0.25</v>
      </c>
      <c r="BI115" s="436">
        <v>0.25</v>
      </c>
      <c r="BJ115" s="436">
        <v>0.25</v>
      </c>
      <c r="BK115" s="436">
        <v>0.25</v>
      </c>
      <c r="BL115" s="436">
        <v>0.25</v>
      </c>
      <c r="BM115" s="436">
        <v>0.25</v>
      </c>
      <c r="BN115" s="436">
        <v>0.25</v>
      </c>
      <c r="BO115" s="436">
        <v>0.25</v>
      </c>
      <c r="BP115" s="436">
        <v>0.25</v>
      </c>
      <c r="BQ115" s="436">
        <v>0.25</v>
      </c>
      <c r="BR115" s="436">
        <v>0.25</v>
      </c>
      <c r="BS115" s="436">
        <v>0.25</v>
      </c>
      <c r="BT115" s="436">
        <v>0.25</v>
      </c>
      <c r="BU115" s="436">
        <v>0.25</v>
      </c>
      <c r="BV115" s="436">
        <v>0.25</v>
      </c>
      <c r="BW115" s="436">
        <v>0.25</v>
      </c>
      <c r="BX115" s="436">
        <v>0.25</v>
      </c>
      <c r="BY115" s="436">
        <v>0.25</v>
      </c>
      <c r="BZ115" s="436">
        <v>0.25</v>
      </c>
      <c r="CA115" s="436">
        <v>0.25</v>
      </c>
    </row>
    <row r="116" spans="2:79" hidden="1" outlineLevel="2">
      <c r="D116" s="383" t="s">
        <v>525</v>
      </c>
      <c r="G116" s="434"/>
      <c r="M116" s="434"/>
      <c r="AE116" s="434"/>
      <c r="AF116" s="433">
        <f t="shared" ref="AF116:CA116" si="53">AF114*AF115</f>
        <v>2.5</v>
      </c>
      <c r="AG116" s="433">
        <f t="shared" si="53"/>
        <v>2.5</v>
      </c>
      <c r="AH116" s="433">
        <f t="shared" si="53"/>
        <v>2.5</v>
      </c>
      <c r="AI116" s="433">
        <f t="shared" si="53"/>
        <v>2.5</v>
      </c>
      <c r="AJ116" s="433">
        <f t="shared" si="53"/>
        <v>2.5</v>
      </c>
      <c r="AK116" s="433">
        <f t="shared" si="53"/>
        <v>2.5</v>
      </c>
      <c r="AL116" s="433">
        <f t="shared" si="53"/>
        <v>2.5</v>
      </c>
      <c r="AM116" s="433">
        <f t="shared" si="53"/>
        <v>2.5</v>
      </c>
      <c r="AN116" s="433">
        <f t="shared" si="53"/>
        <v>2.5</v>
      </c>
      <c r="AO116" s="433">
        <f t="shared" si="53"/>
        <v>2.5</v>
      </c>
      <c r="AP116" s="433">
        <f t="shared" si="53"/>
        <v>2.5</v>
      </c>
      <c r="AQ116" s="433">
        <f t="shared" si="53"/>
        <v>2.5</v>
      </c>
      <c r="AR116" s="433">
        <f t="shared" si="53"/>
        <v>2.5</v>
      </c>
      <c r="AS116" s="433">
        <f t="shared" si="53"/>
        <v>2.5</v>
      </c>
      <c r="AT116" s="433">
        <f t="shared" si="53"/>
        <v>2.5</v>
      </c>
      <c r="AU116" s="433">
        <f t="shared" si="53"/>
        <v>2.5</v>
      </c>
      <c r="AV116" s="433">
        <f t="shared" si="53"/>
        <v>2.5</v>
      </c>
      <c r="AW116" s="433">
        <f t="shared" si="53"/>
        <v>2.5</v>
      </c>
      <c r="AX116" s="433">
        <f t="shared" si="53"/>
        <v>2.5</v>
      </c>
      <c r="AY116" s="433">
        <f t="shared" si="53"/>
        <v>2.5</v>
      </c>
      <c r="AZ116" s="433">
        <f t="shared" si="53"/>
        <v>2.5</v>
      </c>
      <c r="BA116" s="433">
        <f t="shared" si="53"/>
        <v>2.5</v>
      </c>
      <c r="BB116" s="433">
        <f t="shared" si="53"/>
        <v>2.5</v>
      </c>
      <c r="BC116" s="433">
        <f t="shared" si="53"/>
        <v>2.5</v>
      </c>
      <c r="BD116" s="433">
        <f t="shared" si="53"/>
        <v>2.5</v>
      </c>
      <c r="BE116" s="433">
        <f t="shared" si="53"/>
        <v>2.5</v>
      </c>
      <c r="BF116" s="433">
        <f t="shared" si="53"/>
        <v>2.5</v>
      </c>
      <c r="BG116" s="433">
        <f t="shared" si="53"/>
        <v>2.5</v>
      </c>
      <c r="BH116" s="433">
        <f t="shared" si="53"/>
        <v>2.5</v>
      </c>
      <c r="BI116" s="433">
        <f t="shared" si="53"/>
        <v>2.5</v>
      </c>
      <c r="BJ116" s="433">
        <f t="shared" si="53"/>
        <v>2.5</v>
      </c>
      <c r="BK116" s="433">
        <f t="shared" si="53"/>
        <v>2.5</v>
      </c>
      <c r="BL116" s="433">
        <f t="shared" si="53"/>
        <v>2.5</v>
      </c>
      <c r="BM116" s="433">
        <f t="shared" si="53"/>
        <v>2.5</v>
      </c>
      <c r="BN116" s="433">
        <f t="shared" si="53"/>
        <v>2.5</v>
      </c>
      <c r="BO116" s="433">
        <f t="shared" si="53"/>
        <v>2.5</v>
      </c>
      <c r="BP116" s="433">
        <f t="shared" si="53"/>
        <v>2.5</v>
      </c>
      <c r="BQ116" s="433">
        <f t="shared" si="53"/>
        <v>2.5</v>
      </c>
      <c r="BR116" s="433">
        <f t="shared" si="53"/>
        <v>2.5</v>
      </c>
      <c r="BS116" s="433">
        <f t="shared" si="53"/>
        <v>2.5</v>
      </c>
      <c r="BT116" s="433">
        <f t="shared" si="53"/>
        <v>2.5</v>
      </c>
      <c r="BU116" s="433">
        <f t="shared" si="53"/>
        <v>2.5</v>
      </c>
      <c r="BV116" s="433">
        <f t="shared" si="53"/>
        <v>2.5</v>
      </c>
      <c r="BW116" s="433">
        <f t="shared" si="53"/>
        <v>2.5</v>
      </c>
      <c r="BX116" s="433">
        <f t="shared" si="53"/>
        <v>2.5</v>
      </c>
      <c r="BY116" s="433">
        <f t="shared" si="53"/>
        <v>2.5</v>
      </c>
      <c r="BZ116" s="433">
        <f t="shared" si="53"/>
        <v>2.5</v>
      </c>
      <c r="CA116" s="433">
        <f t="shared" si="53"/>
        <v>2.5</v>
      </c>
    </row>
    <row r="117" spans="2:79">
      <c r="G117" s="359"/>
      <c r="M117" s="359"/>
      <c r="AE117" s="359"/>
    </row>
    <row r="118" spans="2:79" s="51" customFormat="1" ht="24">
      <c r="B118" s="635" t="s">
        <v>535</v>
      </c>
      <c r="C118" s="635"/>
      <c r="D118" s="475"/>
      <c r="E118" s="632"/>
      <c r="F118" s="50"/>
      <c r="G118" s="359"/>
      <c r="H118" s="632"/>
      <c r="I118" s="632"/>
      <c r="J118" s="632"/>
      <c r="K118" s="632"/>
      <c r="L118" s="50"/>
      <c r="M118" s="359"/>
      <c r="N118" s="632"/>
      <c r="O118" s="632"/>
      <c r="P118" s="632"/>
      <c r="Q118" s="632"/>
      <c r="R118" s="632"/>
      <c r="S118" s="632"/>
      <c r="T118" s="632"/>
      <c r="U118" s="632"/>
      <c r="V118" s="632"/>
      <c r="W118" s="632"/>
      <c r="X118" s="632"/>
      <c r="Y118" s="632"/>
      <c r="Z118" s="632"/>
      <c r="AA118" s="632"/>
      <c r="AB118" s="632"/>
      <c r="AC118" s="632"/>
      <c r="AD118" s="50"/>
      <c r="AE118" s="359"/>
      <c r="AF118" s="632"/>
      <c r="AG118" s="632"/>
      <c r="AH118" s="632"/>
      <c r="AI118" s="632"/>
      <c r="AJ118" s="632"/>
      <c r="AK118" s="632"/>
      <c r="AL118" s="632"/>
      <c r="AM118" s="632"/>
      <c r="AN118" s="632"/>
      <c r="AO118" s="632"/>
      <c r="AP118" s="632"/>
      <c r="AQ118" s="632"/>
      <c r="AR118" s="632"/>
      <c r="AS118" s="632"/>
      <c r="AT118" s="632"/>
      <c r="AU118" s="632"/>
      <c r="AV118" s="632"/>
      <c r="AW118" s="632"/>
      <c r="AX118" s="632"/>
      <c r="AY118" s="632"/>
      <c r="AZ118" s="632"/>
      <c r="BA118" s="632"/>
      <c r="BB118" s="632"/>
      <c r="BC118" s="632"/>
      <c r="BD118" s="632"/>
      <c r="BE118" s="632"/>
      <c r="BF118" s="632"/>
      <c r="BG118" s="632"/>
      <c r="BH118" s="632"/>
      <c r="BI118" s="632"/>
      <c r="BJ118" s="632"/>
      <c r="BK118" s="632"/>
      <c r="BL118" s="632"/>
      <c r="BM118" s="632"/>
      <c r="BN118" s="632"/>
      <c r="BO118" s="632"/>
      <c r="BP118" s="632"/>
      <c r="BQ118" s="632"/>
      <c r="BR118" s="632"/>
      <c r="BS118" s="632"/>
      <c r="BT118" s="632"/>
      <c r="BU118" s="632"/>
      <c r="BV118" s="632"/>
      <c r="BW118" s="632"/>
      <c r="BX118" s="632"/>
      <c r="BY118" s="632"/>
      <c r="BZ118" s="632"/>
      <c r="CA118" s="632"/>
    </row>
    <row r="119" spans="2:79" s="357" customFormat="1" ht="15" outlineLevel="1">
      <c r="B119" s="367"/>
      <c r="C119" s="365" t="s">
        <v>536</v>
      </c>
      <c r="D119" s="366"/>
      <c r="E119" s="365"/>
      <c r="G119" s="431"/>
      <c r="H119" s="364"/>
      <c r="I119" s="364"/>
      <c r="J119" s="364"/>
      <c r="K119" s="364"/>
      <c r="M119" s="359"/>
      <c r="N119" s="364"/>
      <c r="O119" s="364"/>
      <c r="P119" s="364"/>
      <c r="Q119" s="364"/>
      <c r="R119" s="364"/>
      <c r="S119" s="364"/>
      <c r="T119" s="364"/>
      <c r="U119" s="364"/>
      <c r="V119" s="364"/>
      <c r="W119" s="364"/>
      <c r="X119" s="364"/>
      <c r="Y119" s="364"/>
      <c r="Z119" s="364"/>
      <c r="AA119" s="364"/>
      <c r="AB119" s="364"/>
      <c r="AC119" s="364"/>
      <c r="AE119" s="359"/>
      <c r="AF119" s="435">
        <f t="shared" ref="AF119:CA119" si="54">AF103+AF111+AF96+AF30</f>
        <v>2.5</v>
      </c>
      <c r="AG119" s="435">
        <f t="shared" si="54"/>
        <v>2.5</v>
      </c>
      <c r="AH119" s="435">
        <f t="shared" si="54"/>
        <v>2.5</v>
      </c>
      <c r="AI119" s="435">
        <f t="shared" si="54"/>
        <v>2.5</v>
      </c>
      <c r="AJ119" s="435">
        <f t="shared" si="54"/>
        <v>2.5</v>
      </c>
      <c r="AK119" s="435">
        <f t="shared" si="54"/>
        <v>2.5</v>
      </c>
      <c r="AL119" s="435">
        <f t="shared" si="54"/>
        <v>2.5</v>
      </c>
      <c r="AM119" s="435">
        <f t="shared" si="54"/>
        <v>2.5</v>
      </c>
      <c r="AN119" s="435">
        <f t="shared" si="54"/>
        <v>2.5</v>
      </c>
      <c r="AO119" s="435">
        <f t="shared" si="54"/>
        <v>3.75</v>
      </c>
      <c r="AP119" s="435">
        <f t="shared" si="54"/>
        <v>3.75</v>
      </c>
      <c r="AQ119" s="435">
        <f t="shared" si="54"/>
        <v>3.75</v>
      </c>
      <c r="AR119" s="435">
        <f t="shared" si="54"/>
        <v>3.75</v>
      </c>
      <c r="AS119" s="435">
        <f t="shared" si="54"/>
        <v>3.87</v>
      </c>
      <c r="AT119" s="435">
        <f t="shared" si="54"/>
        <v>4.07</v>
      </c>
      <c r="AU119" s="435">
        <f t="shared" si="54"/>
        <v>4.2300000000000004</v>
      </c>
      <c r="AV119" s="435">
        <f t="shared" si="54"/>
        <v>4.37</v>
      </c>
      <c r="AW119" s="435">
        <f t="shared" si="54"/>
        <v>4.49</v>
      </c>
      <c r="AX119" s="435">
        <f t="shared" si="54"/>
        <v>4.55</v>
      </c>
      <c r="AY119" s="435">
        <f t="shared" si="54"/>
        <v>4.55</v>
      </c>
      <c r="AZ119" s="435">
        <f t="shared" si="54"/>
        <v>4.55</v>
      </c>
      <c r="BA119" s="435">
        <f t="shared" si="54"/>
        <v>4.55</v>
      </c>
      <c r="BB119" s="435">
        <f t="shared" si="54"/>
        <v>5.8</v>
      </c>
      <c r="BC119" s="435">
        <f t="shared" si="54"/>
        <v>5.8</v>
      </c>
      <c r="BD119" s="435">
        <f t="shared" si="54"/>
        <v>5.8</v>
      </c>
      <c r="BE119" s="435">
        <f t="shared" si="54"/>
        <v>5.8</v>
      </c>
      <c r="BF119" s="435">
        <f t="shared" si="54"/>
        <v>5.8</v>
      </c>
      <c r="BG119" s="435">
        <f t="shared" si="54"/>
        <v>5.8</v>
      </c>
      <c r="BH119" s="435">
        <f t="shared" si="54"/>
        <v>5.8</v>
      </c>
      <c r="BI119" s="435">
        <f t="shared" si="54"/>
        <v>6.04</v>
      </c>
      <c r="BJ119" s="435">
        <f t="shared" si="54"/>
        <v>6.2</v>
      </c>
      <c r="BK119" s="435">
        <f t="shared" si="54"/>
        <v>7.61</v>
      </c>
      <c r="BL119" s="435">
        <f t="shared" si="54"/>
        <v>7.73</v>
      </c>
      <c r="BM119" s="435">
        <f t="shared" si="54"/>
        <v>7.8500000000000005</v>
      </c>
      <c r="BN119" s="435">
        <f t="shared" si="54"/>
        <v>9.1</v>
      </c>
      <c r="BO119" s="435">
        <f t="shared" si="54"/>
        <v>9.1</v>
      </c>
      <c r="BP119" s="435">
        <f t="shared" si="54"/>
        <v>9.1</v>
      </c>
      <c r="BQ119" s="435">
        <f t="shared" si="54"/>
        <v>9.1</v>
      </c>
      <c r="BR119" s="435">
        <f t="shared" si="54"/>
        <v>10.35</v>
      </c>
      <c r="BS119" s="435">
        <f t="shared" si="54"/>
        <v>10.35</v>
      </c>
      <c r="BT119" s="435">
        <f t="shared" si="54"/>
        <v>10.35</v>
      </c>
      <c r="BU119" s="435">
        <f t="shared" si="54"/>
        <v>10.35</v>
      </c>
      <c r="BV119" s="435">
        <f t="shared" si="54"/>
        <v>10.35</v>
      </c>
      <c r="BW119" s="435">
        <f t="shared" si="54"/>
        <v>10.35</v>
      </c>
      <c r="BX119" s="435">
        <f t="shared" si="54"/>
        <v>10.35</v>
      </c>
      <c r="BY119" s="435">
        <f t="shared" si="54"/>
        <v>10.35</v>
      </c>
      <c r="BZ119" s="435">
        <f t="shared" si="54"/>
        <v>11.6</v>
      </c>
      <c r="CA119" s="435">
        <f t="shared" si="54"/>
        <v>11.6</v>
      </c>
    </row>
    <row r="120" spans="2:79" outlineLevel="1">
      <c r="D120" s="383" t="s">
        <v>507</v>
      </c>
      <c r="G120" s="359"/>
      <c r="M120" s="431"/>
      <c r="AE120" s="431"/>
      <c r="AF120" s="433">
        <f t="shared" ref="AF120:CA120" si="55">AF$119*AF16</f>
        <v>1.5</v>
      </c>
      <c r="AG120" s="433">
        <f t="shared" si="55"/>
        <v>1.5</v>
      </c>
      <c r="AH120" s="433">
        <f t="shared" si="55"/>
        <v>1.5</v>
      </c>
      <c r="AI120" s="433">
        <f t="shared" si="55"/>
        <v>1.5</v>
      </c>
      <c r="AJ120" s="433">
        <f t="shared" si="55"/>
        <v>1.5</v>
      </c>
      <c r="AK120" s="433">
        <f t="shared" si="55"/>
        <v>1.5</v>
      </c>
      <c r="AL120" s="433">
        <f t="shared" si="55"/>
        <v>1.5</v>
      </c>
      <c r="AM120" s="433">
        <f t="shared" si="55"/>
        <v>1.5</v>
      </c>
      <c r="AN120" s="433">
        <f t="shared" si="55"/>
        <v>1.5</v>
      </c>
      <c r="AO120" s="433">
        <f t="shared" si="55"/>
        <v>2.25</v>
      </c>
      <c r="AP120" s="433">
        <f t="shared" si="55"/>
        <v>2.25</v>
      </c>
      <c r="AQ120" s="433">
        <f t="shared" si="55"/>
        <v>2.25</v>
      </c>
      <c r="AR120" s="433">
        <f t="shared" si="55"/>
        <v>2.25</v>
      </c>
      <c r="AS120" s="433">
        <f t="shared" si="55"/>
        <v>2.3220000000000001</v>
      </c>
      <c r="AT120" s="433">
        <f t="shared" si="55"/>
        <v>2.4420000000000002</v>
      </c>
      <c r="AU120" s="433">
        <f t="shared" si="55"/>
        <v>2.5380000000000003</v>
      </c>
      <c r="AV120" s="433">
        <f t="shared" si="55"/>
        <v>2.6219999999999999</v>
      </c>
      <c r="AW120" s="433">
        <f t="shared" si="55"/>
        <v>2.694</v>
      </c>
      <c r="AX120" s="433">
        <f t="shared" si="55"/>
        <v>2.73</v>
      </c>
      <c r="AY120" s="433">
        <f t="shared" si="55"/>
        <v>2.73</v>
      </c>
      <c r="AZ120" s="433">
        <f t="shared" si="55"/>
        <v>2.73</v>
      </c>
      <c r="BA120" s="433">
        <f t="shared" si="55"/>
        <v>2.73</v>
      </c>
      <c r="BB120" s="433">
        <f t="shared" si="55"/>
        <v>3.48</v>
      </c>
      <c r="BC120" s="433">
        <f t="shared" si="55"/>
        <v>3.48</v>
      </c>
      <c r="BD120" s="433">
        <f t="shared" si="55"/>
        <v>3.48</v>
      </c>
      <c r="BE120" s="433">
        <f t="shared" si="55"/>
        <v>3.48</v>
      </c>
      <c r="BF120" s="433">
        <f t="shared" si="55"/>
        <v>3.48</v>
      </c>
      <c r="BG120" s="433">
        <f t="shared" si="55"/>
        <v>3.48</v>
      </c>
      <c r="BH120" s="433">
        <f t="shared" si="55"/>
        <v>3.48</v>
      </c>
      <c r="BI120" s="433">
        <f t="shared" si="55"/>
        <v>3.6239999999999997</v>
      </c>
      <c r="BJ120" s="433">
        <f t="shared" si="55"/>
        <v>3.7199999999999998</v>
      </c>
      <c r="BK120" s="433">
        <f t="shared" si="55"/>
        <v>4.5659999999999998</v>
      </c>
      <c r="BL120" s="433">
        <f t="shared" si="55"/>
        <v>4.6379999999999999</v>
      </c>
      <c r="BM120" s="433">
        <f t="shared" si="55"/>
        <v>4.71</v>
      </c>
      <c r="BN120" s="433">
        <f t="shared" si="55"/>
        <v>5.46</v>
      </c>
      <c r="BO120" s="433">
        <f t="shared" si="55"/>
        <v>5.46</v>
      </c>
      <c r="BP120" s="433">
        <f t="shared" si="55"/>
        <v>5.46</v>
      </c>
      <c r="BQ120" s="433">
        <f t="shared" si="55"/>
        <v>5.46</v>
      </c>
      <c r="BR120" s="433">
        <f t="shared" si="55"/>
        <v>6.21</v>
      </c>
      <c r="BS120" s="433">
        <f t="shared" si="55"/>
        <v>6.21</v>
      </c>
      <c r="BT120" s="433">
        <f t="shared" si="55"/>
        <v>6.21</v>
      </c>
      <c r="BU120" s="433">
        <f t="shared" si="55"/>
        <v>6.21</v>
      </c>
      <c r="BV120" s="433">
        <f t="shared" si="55"/>
        <v>6.21</v>
      </c>
      <c r="BW120" s="433">
        <f t="shared" si="55"/>
        <v>6.21</v>
      </c>
      <c r="BX120" s="433">
        <f t="shared" si="55"/>
        <v>6.21</v>
      </c>
      <c r="BY120" s="433">
        <f t="shared" si="55"/>
        <v>6.21</v>
      </c>
      <c r="BZ120" s="433">
        <f t="shared" si="55"/>
        <v>6.96</v>
      </c>
      <c r="CA120" s="433">
        <f t="shared" si="55"/>
        <v>6.96</v>
      </c>
    </row>
    <row r="121" spans="2:79" outlineLevel="1">
      <c r="D121" s="383" t="s">
        <v>508</v>
      </c>
      <c r="G121" s="431"/>
      <c r="M121" s="359"/>
      <c r="AE121" s="359"/>
      <c r="AF121" s="433">
        <f t="shared" ref="AF121:CA121" si="56">AF$119*AF17</f>
        <v>0.75</v>
      </c>
      <c r="AG121" s="433">
        <f t="shared" si="56"/>
        <v>0.75</v>
      </c>
      <c r="AH121" s="433">
        <f t="shared" si="56"/>
        <v>0.75</v>
      </c>
      <c r="AI121" s="433">
        <f t="shared" si="56"/>
        <v>0.75</v>
      </c>
      <c r="AJ121" s="433">
        <f t="shared" si="56"/>
        <v>0.75</v>
      </c>
      <c r="AK121" s="433">
        <f t="shared" si="56"/>
        <v>0.75</v>
      </c>
      <c r="AL121" s="433">
        <f t="shared" si="56"/>
        <v>0.75</v>
      </c>
      <c r="AM121" s="433">
        <f t="shared" si="56"/>
        <v>0.75</v>
      </c>
      <c r="AN121" s="433">
        <f t="shared" si="56"/>
        <v>0.75</v>
      </c>
      <c r="AO121" s="433">
        <f t="shared" si="56"/>
        <v>1.125</v>
      </c>
      <c r="AP121" s="433">
        <f t="shared" si="56"/>
        <v>1.125</v>
      </c>
      <c r="AQ121" s="433">
        <f t="shared" si="56"/>
        <v>1.125</v>
      </c>
      <c r="AR121" s="433">
        <f t="shared" si="56"/>
        <v>1.125</v>
      </c>
      <c r="AS121" s="433">
        <f t="shared" si="56"/>
        <v>1.161</v>
      </c>
      <c r="AT121" s="433">
        <f t="shared" si="56"/>
        <v>1.2210000000000001</v>
      </c>
      <c r="AU121" s="433">
        <f t="shared" si="56"/>
        <v>1.2690000000000001</v>
      </c>
      <c r="AV121" s="433">
        <f t="shared" si="56"/>
        <v>1.3109999999999999</v>
      </c>
      <c r="AW121" s="433">
        <f t="shared" si="56"/>
        <v>1.347</v>
      </c>
      <c r="AX121" s="433">
        <f t="shared" si="56"/>
        <v>1.365</v>
      </c>
      <c r="AY121" s="433">
        <f t="shared" si="56"/>
        <v>1.365</v>
      </c>
      <c r="AZ121" s="433">
        <f t="shared" si="56"/>
        <v>1.365</v>
      </c>
      <c r="BA121" s="433">
        <f t="shared" si="56"/>
        <v>1.365</v>
      </c>
      <c r="BB121" s="433">
        <f t="shared" si="56"/>
        <v>1.74</v>
      </c>
      <c r="BC121" s="433">
        <f t="shared" si="56"/>
        <v>1.74</v>
      </c>
      <c r="BD121" s="433">
        <f t="shared" si="56"/>
        <v>1.74</v>
      </c>
      <c r="BE121" s="433">
        <f t="shared" si="56"/>
        <v>1.74</v>
      </c>
      <c r="BF121" s="433">
        <f t="shared" si="56"/>
        <v>1.74</v>
      </c>
      <c r="BG121" s="433">
        <f t="shared" si="56"/>
        <v>1.74</v>
      </c>
      <c r="BH121" s="433">
        <f t="shared" si="56"/>
        <v>1.74</v>
      </c>
      <c r="BI121" s="433">
        <f t="shared" si="56"/>
        <v>1.8119999999999998</v>
      </c>
      <c r="BJ121" s="433">
        <f t="shared" si="56"/>
        <v>1.8599999999999999</v>
      </c>
      <c r="BK121" s="433">
        <f t="shared" si="56"/>
        <v>2.2829999999999999</v>
      </c>
      <c r="BL121" s="433">
        <f t="shared" si="56"/>
        <v>2.319</v>
      </c>
      <c r="BM121" s="433">
        <f t="shared" si="56"/>
        <v>2.355</v>
      </c>
      <c r="BN121" s="433">
        <f t="shared" si="56"/>
        <v>2.73</v>
      </c>
      <c r="BO121" s="433">
        <f t="shared" si="56"/>
        <v>2.73</v>
      </c>
      <c r="BP121" s="433">
        <f t="shared" si="56"/>
        <v>2.73</v>
      </c>
      <c r="BQ121" s="433">
        <f t="shared" si="56"/>
        <v>2.73</v>
      </c>
      <c r="BR121" s="433">
        <f t="shared" si="56"/>
        <v>3.105</v>
      </c>
      <c r="BS121" s="433">
        <f t="shared" si="56"/>
        <v>3.105</v>
      </c>
      <c r="BT121" s="433">
        <f t="shared" si="56"/>
        <v>3.105</v>
      </c>
      <c r="BU121" s="433">
        <f t="shared" si="56"/>
        <v>3.105</v>
      </c>
      <c r="BV121" s="433">
        <f t="shared" si="56"/>
        <v>3.105</v>
      </c>
      <c r="BW121" s="433">
        <f t="shared" si="56"/>
        <v>3.105</v>
      </c>
      <c r="BX121" s="433">
        <f t="shared" si="56"/>
        <v>3.105</v>
      </c>
      <c r="BY121" s="433">
        <f t="shared" si="56"/>
        <v>3.105</v>
      </c>
      <c r="BZ121" s="433">
        <f t="shared" si="56"/>
        <v>3.48</v>
      </c>
      <c r="CA121" s="433">
        <f t="shared" si="56"/>
        <v>3.48</v>
      </c>
    </row>
    <row r="122" spans="2:79" outlineLevel="1">
      <c r="D122" s="383" t="s">
        <v>509</v>
      </c>
      <c r="G122" s="434"/>
      <c r="M122" s="431"/>
      <c r="AE122" s="431"/>
      <c r="AF122" s="433">
        <f t="shared" ref="AF122:CA122" si="57">AF$119*AF18</f>
        <v>0.25</v>
      </c>
      <c r="AG122" s="433">
        <f t="shared" si="57"/>
        <v>0.25</v>
      </c>
      <c r="AH122" s="433">
        <f t="shared" si="57"/>
        <v>0.25</v>
      </c>
      <c r="AI122" s="433">
        <f t="shared" si="57"/>
        <v>0.25</v>
      </c>
      <c r="AJ122" s="433">
        <f t="shared" si="57"/>
        <v>0.25</v>
      </c>
      <c r="AK122" s="433">
        <f t="shared" si="57"/>
        <v>0.25</v>
      </c>
      <c r="AL122" s="433">
        <f t="shared" si="57"/>
        <v>0.25</v>
      </c>
      <c r="AM122" s="433">
        <f t="shared" si="57"/>
        <v>0.25</v>
      </c>
      <c r="AN122" s="433">
        <f t="shared" si="57"/>
        <v>0.25</v>
      </c>
      <c r="AO122" s="433">
        <f t="shared" si="57"/>
        <v>0.375</v>
      </c>
      <c r="AP122" s="433">
        <f t="shared" si="57"/>
        <v>0.375</v>
      </c>
      <c r="AQ122" s="433">
        <f t="shared" si="57"/>
        <v>0.375</v>
      </c>
      <c r="AR122" s="433">
        <f t="shared" si="57"/>
        <v>0.375</v>
      </c>
      <c r="AS122" s="433">
        <f t="shared" si="57"/>
        <v>0.38700000000000001</v>
      </c>
      <c r="AT122" s="433">
        <f t="shared" si="57"/>
        <v>0.40700000000000003</v>
      </c>
      <c r="AU122" s="433">
        <f t="shared" si="57"/>
        <v>0.42300000000000004</v>
      </c>
      <c r="AV122" s="433">
        <f t="shared" si="57"/>
        <v>0.43700000000000006</v>
      </c>
      <c r="AW122" s="433">
        <f t="shared" si="57"/>
        <v>0.44900000000000007</v>
      </c>
      <c r="AX122" s="433">
        <f t="shared" si="57"/>
        <v>0.45500000000000002</v>
      </c>
      <c r="AY122" s="433">
        <f t="shared" si="57"/>
        <v>0.45500000000000002</v>
      </c>
      <c r="AZ122" s="433">
        <f t="shared" si="57"/>
        <v>0.45500000000000002</v>
      </c>
      <c r="BA122" s="433">
        <f t="shared" si="57"/>
        <v>0.45500000000000002</v>
      </c>
      <c r="BB122" s="433">
        <f t="shared" si="57"/>
        <v>0.57999999999999996</v>
      </c>
      <c r="BC122" s="433">
        <f t="shared" si="57"/>
        <v>0.57999999999999996</v>
      </c>
      <c r="BD122" s="433">
        <f t="shared" si="57"/>
        <v>0.57999999999999996</v>
      </c>
      <c r="BE122" s="433">
        <f t="shared" si="57"/>
        <v>0.57999999999999996</v>
      </c>
      <c r="BF122" s="433">
        <f t="shared" si="57"/>
        <v>0.57999999999999996</v>
      </c>
      <c r="BG122" s="433">
        <f t="shared" si="57"/>
        <v>0.57999999999999996</v>
      </c>
      <c r="BH122" s="433">
        <f t="shared" si="57"/>
        <v>0.57999999999999996</v>
      </c>
      <c r="BI122" s="433">
        <f t="shared" si="57"/>
        <v>0.60400000000000009</v>
      </c>
      <c r="BJ122" s="433">
        <f t="shared" si="57"/>
        <v>0.62000000000000011</v>
      </c>
      <c r="BK122" s="433">
        <f t="shared" si="57"/>
        <v>0.76100000000000012</v>
      </c>
      <c r="BL122" s="433">
        <f t="shared" si="57"/>
        <v>0.77300000000000013</v>
      </c>
      <c r="BM122" s="433">
        <f t="shared" si="57"/>
        <v>0.78500000000000014</v>
      </c>
      <c r="BN122" s="433">
        <f t="shared" si="57"/>
        <v>0.91</v>
      </c>
      <c r="BO122" s="433">
        <f t="shared" si="57"/>
        <v>0.91</v>
      </c>
      <c r="BP122" s="433">
        <f t="shared" si="57"/>
        <v>0.91</v>
      </c>
      <c r="BQ122" s="433">
        <f t="shared" si="57"/>
        <v>0.91</v>
      </c>
      <c r="BR122" s="433">
        <f t="shared" si="57"/>
        <v>1.0349999999999999</v>
      </c>
      <c r="BS122" s="433">
        <f t="shared" si="57"/>
        <v>1.0349999999999999</v>
      </c>
      <c r="BT122" s="433">
        <f t="shared" si="57"/>
        <v>1.0349999999999999</v>
      </c>
      <c r="BU122" s="433">
        <f t="shared" si="57"/>
        <v>1.0349999999999999</v>
      </c>
      <c r="BV122" s="433">
        <f t="shared" si="57"/>
        <v>1.0349999999999999</v>
      </c>
      <c r="BW122" s="433">
        <f t="shared" si="57"/>
        <v>1.0349999999999999</v>
      </c>
      <c r="BX122" s="433">
        <f t="shared" si="57"/>
        <v>1.0349999999999999</v>
      </c>
      <c r="BY122" s="433">
        <f t="shared" si="57"/>
        <v>1.0349999999999999</v>
      </c>
      <c r="BZ122" s="433">
        <f t="shared" si="57"/>
        <v>1.1599999999999999</v>
      </c>
      <c r="CA122" s="433">
        <f t="shared" si="57"/>
        <v>1.1599999999999999</v>
      </c>
    </row>
    <row r="124" spans="2:79" s="51" customFormat="1" ht="24">
      <c r="B124" s="635" t="s">
        <v>537</v>
      </c>
      <c r="C124" s="475"/>
      <c r="D124" s="475"/>
      <c r="E124" s="632"/>
      <c r="F124" s="50"/>
      <c r="G124" s="431"/>
      <c r="H124" s="632"/>
      <c r="I124" s="632"/>
      <c r="J124" s="632"/>
      <c r="K124" s="632"/>
      <c r="L124" s="50"/>
      <c r="M124" s="431"/>
      <c r="N124" s="632"/>
      <c r="O124" s="632"/>
      <c r="P124" s="632"/>
      <c r="Q124" s="632"/>
      <c r="R124" s="632"/>
      <c r="S124" s="632"/>
      <c r="T124" s="632"/>
      <c r="U124" s="632"/>
      <c r="V124" s="632"/>
      <c r="W124" s="632"/>
      <c r="X124" s="632"/>
      <c r="Y124" s="632"/>
      <c r="Z124" s="632"/>
      <c r="AA124" s="632"/>
      <c r="AB124" s="632"/>
      <c r="AC124" s="632"/>
      <c r="AD124" s="50"/>
      <c r="AE124" s="431"/>
      <c r="AF124" s="632"/>
      <c r="AG124" s="632"/>
      <c r="AH124" s="632"/>
      <c r="AI124" s="632"/>
      <c r="AJ124" s="632"/>
      <c r="AK124" s="632"/>
      <c r="AL124" s="632"/>
      <c r="AM124" s="632"/>
      <c r="AN124" s="632"/>
      <c r="AO124" s="632"/>
      <c r="AP124" s="632"/>
      <c r="AQ124" s="632"/>
      <c r="AR124" s="632"/>
      <c r="AS124" s="632"/>
      <c r="AT124" s="632"/>
      <c r="AU124" s="632"/>
      <c r="AV124" s="632"/>
      <c r="AW124" s="632"/>
      <c r="AX124" s="632"/>
      <c r="AY124" s="632"/>
      <c r="AZ124" s="632"/>
      <c r="BA124" s="632"/>
      <c r="BB124" s="632"/>
      <c r="BC124" s="632"/>
      <c r="BD124" s="632"/>
      <c r="BE124" s="632"/>
      <c r="BF124" s="632"/>
      <c r="BG124" s="632"/>
      <c r="BH124" s="632"/>
      <c r="BI124" s="632"/>
      <c r="BJ124" s="632"/>
      <c r="BK124" s="632"/>
      <c r="BL124" s="632"/>
      <c r="BM124" s="632"/>
      <c r="BN124" s="632"/>
      <c r="BO124" s="632"/>
      <c r="BP124" s="632"/>
      <c r="BQ124" s="632"/>
      <c r="BR124" s="632"/>
      <c r="BS124" s="632"/>
      <c r="BT124" s="632"/>
      <c r="BU124" s="632"/>
      <c r="BV124" s="632"/>
      <c r="BW124" s="632"/>
      <c r="BX124" s="632"/>
      <c r="BY124" s="632"/>
      <c r="BZ124" s="632"/>
      <c r="CA124" s="632"/>
    </row>
    <row r="125" spans="2:79" ht="15" outlineLevel="1" collapsed="1">
      <c r="B125" s="367"/>
      <c r="C125" s="365" t="s">
        <v>538</v>
      </c>
      <c r="D125" s="366"/>
      <c r="E125" s="365"/>
      <c r="G125" s="431"/>
      <c r="H125" s="378">
        <f>SUMIFS($AF125:$CA125,$AF$6:$CA$6,H$6)</f>
        <v>67500</v>
      </c>
      <c r="I125" s="378">
        <f>SUMIFS($AF125:$CA125,$AF$6:$CA$6,I$6)</f>
        <v>109160</v>
      </c>
      <c r="J125" s="378">
        <f>SUMIFS($AF125:$CA125,$AF$6:$CA$6,J$6)</f>
        <v>165260</v>
      </c>
      <c r="K125" s="378">
        <f>SUMIFS($AF125:$CA125,$AF$6:$CA$6,K$6)</f>
        <v>248400</v>
      </c>
      <c r="M125" s="431"/>
      <c r="N125" s="378">
        <f t="shared" ref="N125:AC125" si="58">SUMIFS($AF125:$CA125,$AF$6:$CA$6,N$6,$AF$7:$CA$7,N$7)</f>
        <v>15000</v>
      </c>
      <c r="O125" s="378">
        <f t="shared" si="58"/>
        <v>15000</v>
      </c>
      <c r="P125" s="378">
        <f t="shared" si="58"/>
        <v>15000</v>
      </c>
      <c r="Q125" s="378">
        <f t="shared" si="58"/>
        <v>22500</v>
      </c>
      <c r="R125" s="378">
        <f t="shared" si="58"/>
        <v>23380</v>
      </c>
      <c r="S125" s="378">
        <f t="shared" si="58"/>
        <v>26180</v>
      </c>
      <c r="T125" s="378">
        <f t="shared" si="58"/>
        <v>27300</v>
      </c>
      <c r="U125" s="378">
        <f t="shared" si="58"/>
        <v>32300</v>
      </c>
      <c r="V125" s="378">
        <f t="shared" si="58"/>
        <v>34800</v>
      </c>
      <c r="W125" s="378">
        <f t="shared" si="58"/>
        <v>35280</v>
      </c>
      <c r="X125" s="378">
        <f t="shared" si="58"/>
        <v>43080</v>
      </c>
      <c r="Y125" s="378">
        <f t="shared" si="58"/>
        <v>52100</v>
      </c>
      <c r="Z125" s="378">
        <f t="shared" si="58"/>
        <v>57100</v>
      </c>
      <c r="AA125" s="378">
        <f t="shared" si="58"/>
        <v>62100</v>
      </c>
      <c r="AB125" s="378">
        <f t="shared" si="58"/>
        <v>62100</v>
      </c>
      <c r="AC125" s="378">
        <f t="shared" si="58"/>
        <v>67100</v>
      </c>
      <c r="AE125" s="431"/>
      <c r="AF125" s="378">
        <f t="shared" ref="AF125:CA125" si="59">SUMPRODUCT(AF120:AF122,AF11:AF13)</f>
        <v>5000</v>
      </c>
      <c r="AG125" s="378">
        <f t="shared" si="59"/>
        <v>5000</v>
      </c>
      <c r="AH125" s="378">
        <f t="shared" si="59"/>
        <v>5000</v>
      </c>
      <c r="AI125" s="378">
        <f t="shared" si="59"/>
        <v>5000</v>
      </c>
      <c r="AJ125" s="378">
        <f t="shared" si="59"/>
        <v>5000</v>
      </c>
      <c r="AK125" s="378">
        <f t="shared" si="59"/>
        <v>5000</v>
      </c>
      <c r="AL125" s="378">
        <f t="shared" si="59"/>
        <v>5000</v>
      </c>
      <c r="AM125" s="378">
        <f t="shared" si="59"/>
        <v>5000</v>
      </c>
      <c r="AN125" s="378">
        <f t="shared" si="59"/>
        <v>5000</v>
      </c>
      <c r="AO125" s="378">
        <f t="shared" si="59"/>
        <v>7500</v>
      </c>
      <c r="AP125" s="378">
        <f t="shared" si="59"/>
        <v>7500</v>
      </c>
      <c r="AQ125" s="378">
        <f t="shared" si="59"/>
        <v>7500</v>
      </c>
      <c r="AR125" s="378">
        <f t="shared" si="59"/>
        <v>7500</v>
      </c>
      <c r="AS125" s="378">
        <f t="shared" si="59"/>
        <v>7740</v>
      </c>
      <c r="AT125" s="378">
        <f t="shared" si="59"/>
        <v>8140</v>
      </c>
      <c r="AU125" s="378">
        <f t="shared" si="59"/>
        <v>8460</v>
      </c>
      <c r="AV125" s="378">
        <f t="shared" si="59"/>
        <v>8740</v>
      </c>
      <c r="AW125" s="378">
        <f t="shared" si="59"/>
        <v>8980</v>
      </c>
      <c r="AX125" s="378">
        <f t="shared" si="59"/>
        <v>9100</v>
      </c>
      <c r="AY125" s="378">
        <f t="shared" si="59"/>
        <v>9100</v>
      </c>
      <c r="AZ125" s="378">
        <f t="shared" si="59"/>
        <v>9100</v>
      </c>
      <c r="BA125" s="378">
        <f t="shared" si="59"/>
        <v>9100</v>
      </c>
      <c r="BB125" s="378">
        <f t="shared" si="59"/>
        <v>11600</v>
      </c>
      <c r="BC125" s="378">
        <f t="shared" si="59"/>
        <v>11600</v>
      </c>
      <c r="BD125" s="378">
        <f t="shared" si="59"/>
        <v>11600</v>
      </c>
      <c r="BE125" s="378">
        <f t="shared" si="59"/>
        <v>11600</v>
      </c>
      <c r="BF125" s="378">
        <f t="shared" si="59"/>
        <v>11600</v>
      </c>
      <c r="BG125" s="378">
        <f t="shared" si="59"/>
        <v>11600</v>
      </c>
      <c r="BH125" s="378">
        <f t="shared" si="59"/>
        <v>11600</v>
      </c>
      <c r="BI125" s="378">
        <f t="shared" si="59"/>
        <v>12079.999999999998</v>
      </c>
      <c r="BJ125" s="378">
        <f t="shared" si="59"/>
        <v>12400</v>
      </c>
      <c r="BK125" s="378">
        <f t="shared" si="59"/>
        <v>15220</v>
      </c>
      <c r="BL125" s="378">
        <f t="shared" si="59"/>
        <v>15460</v>
      </c>
      <c r="BM125" s="378">
        <f t="shared" si="59"/>
        <v>15700</v>
      </c>
      <c r="BN125" s="378">
        <f t="shared" si="59"/>
        <v>18200</v>
      </c>
      <c r="BO125" s="378">
        <f t="shared" si="59"/>
        <v>18200</v>
      </c>
      <c r="BP125" s="378">
        <f t="shared" si="59"/>
        <v>18200</v>
      </c>
      <c r="BQ125" s="378">
        <f t="shared" si="59"/>
        <v>18200</v>
      </c>
      <c r="BR125" s="378">
        <f t="shared" si="59"/>
        <v>20700</v>
      </c>
      <c r="BS125" s="378">
        <f t="shared" si="59"/>
        <v>20700</v>
      </c>
      <c r="BT125" s="378">
        <f t="shared" si="59"/>
        <v>20700</v>
      </c>
      <c r="BU125" s="378">
        <f t="shared" si="59"/>
        <v>20700</v>
      </c>
      <c r="BV125" s="378">
        <f t="shared" si="59"/>
        <v>20700</v>
      </c>
      <c r="BW125" s="378">
        <f t="shared" si="59"/>
        <v>20700</v>
      </c>
      <c r="BX125" s="378">
        <f t="shared" si="59"/>
        <v>20700</v>
      </c>
      <c r="BY125" s="378">
        <f t="shared" si="59"/>
        <v>20700</v>
      </c>
      <c r="BZ125" s="378">
        <f t="shared" si="59"/>
        <v>23200</v>
      </c>
      <c r="CA125" s="378">
        <f t="shared" si="59"/>
        <v>23200</v>
      </c>
    </row>
    <row r="126" spans="2:79" hidden="1" outlineLevel="2">
      <c r="D126" s="50" t="s">
        <v>539</v>
      </c>
      <c r="M126" s="431"/>
      <c r="AE126" s="431"/>
    </row>
    <row r="127" spans="2:79" hidden="1" outlineLevel="2">
      <c r="D127" s="50" t="s">
        <v>540</v>
      </c>
      <c r="M127" s="431"/>
      <c r="AE127" s="431"/>
    </row>
    <row r="128" spans="2:79" outlineLevel="1">
      <c r="M128" s="431"/>
      <c r="AE128" s="431"/>
    </row>
    <row r="129" spans="2:79" ht="15" outlineLevel="1">
      <c r="B129" s="367"/>
      <c r="C129" s="365" t="s">
        <v>541</v>
      </c>
      <c r="D129" s="366"/>
      <c r="E129" s="365"/>
      <c r="H129" s="378">
        <f>SUMIFS($AF129:$CA129,$AF$6:$CA$6,H$6)</f>
        <v>0</v>
      </c>
      <c r="I129" s="378">
        <f>SUMIFS($AF129:$CA129,$AF$6:$CA$6,I$6)</f>
        <v>67500</v>
      </c>
      <c r="J129" s="378">
        <f>SUMIFS($AF129:$CA129,$AF$6:$CA$6,J$6)</f>
        <v>176660</v>
      </c>
      <c r="K129" s="378">
        <f>SUMIFS($AF129:$CA129,$AF$6:$CA$6,K$6)</f>
        <v>341920</v>
      </c>
      <c r="N129" s="378">
        <f t="shared" ref="N129:AC129" si="60">SUMIFS($AF129:$CA129,$AF$6:$CA$6,N$6,$AF$7:$CA$7,N$7)</f>
        <v>0</v>
      </c>
      <c r="O129" s="378">
        <f t="shared" si="60"/>
        <v>0</v>
      </c>
      <c r="P129" s="378">
        <f t="shared" si="60"/>
        <v>0</v>
      </c>
      <c r="Q129" s="378">
        <f t="shared" si="60"/>
        <v>0</v>
      </c>
      <c r="R129" s="378">
        <f t="shared" si="60"/>
        <v>15000</v>
      </c>
      <c r="S129" s="378">
        <f t="shared" si="60"/>
        <v>15000</v>
      </c>
      <c r="T129" s="378">
        <f t="shared" si="60"/>
        <v>15000</v>
      </c>
      <c r="U129" s="378">
        <f t="shared" si="60"/>
        <v>22500</v>
      </c>
      <c r="V129" s="378">
        <f t="shared" si="60"/>
        <v>38380</v>
      </c>
      <c r="W129" s="378">
        <f t="shared" si="60"/>
        <v>41180</v>
      </c>
      <c r="X129" s="378">
        <f t="shared" si="60"/>
        <v>42300</v>
      </c>
      <c r="Y129" s="378">
        <f t="shared" si="60"/>
        <v>54800</v>
      </c>
      <c r="Z129" s="378">
        <f t="shared" si="60"/>
        <v>73180</v>
      </c>
      <c r="AA129" s="378">
        <f t="shared" si="60"/>
        <v>76460</v>
      </c>
      <c r="AB129" s="378">
        <f t="shared" si="60"/>
        <v>85380</v>
      </c>
      <c r="AC129" s="378">
        <f t="shared" si="60"/>
        <v>106900</v>
      </c>
      <c r="AF129" s="378">
        <v>0</v>
      </c>
      <c r="AG129" s="378">
        <v>0</v>
      </c>
      <c r="AH129" s="378">
        <v>0</v>
      </c>
      <c r="AI129" s="378">
        <v>0</v>
      </c>
      <c r="AJ129" s="378">
        <v>0</v>
      </c>
      <c r="AK129" s="378">
        <v>0</v>
      </c>
      <c r="AL129" s="378">
        <v>0</v>
      </c>
      <c r="AM129" s="378">
        <v>0</v>
      </c>
      <c r="AN129" s="378">
        <v>0</v>
      </c>
      <c r="AO129" s="378">
        <v>0</v>
      </c>
      <c r="AP129" s="378">
        <v>0</v>
      </c>
      <c r="AQ129" s="378">
        <v>0</v>
      </c>
      <c r="AR129" s="378">
        <f t="shared" ref="AR129:CA129" si="61">AF131</f>
        <v>5000</v>
      </c>
      <c r="AS129" s="378">
        <f t="shared" si="61"/>
        <v>5000</v>
      </c>
      <c r="AT129" s="378">
        <f t="shared" si="61"/>
        <v>5000</v>
      </c>
      <c r="AU129" s="378">
        <f t="shared" si="61"/>
        <v>5000</v>
      </c>
      <c r="AV129" s="378">
        <f t="shared" si="61"/>
        <v>5000</v>
      </c>
      <c r="AW129" s="378">
        <f t="shared" si="61"/>
        <v>5000</v>
      </c>
      <c r="AX129" s="378">
        <f t="shared" si="61"/>
        <v>5000</v>
      </c>
      <c r="AY129" s="378">
        <f t="shared" si="61"/>
        <v>5000</v>
      </c>
      <c r="AZ129" s="378">
        <f t="shared" si="61"/>
        <v>5000</v>
      </c>
      <c r="BA129" s="378">
        <f t="shared" si="61"/>
        <v>7500</v>
      </c>
      <c r="BB129" s="378">
        <f t="shared" si="61"/>
        <v>7500</v>
      </c>
      <c r="BC129" s="378">
        <f t="shared" si="61"/>
        <v>7500</v>
      </c>
      <c r="BD129" s="378">
        <f t="shared" si="61"/>
        <v>12500</v>
      </c>
      <c r="BE129" s="378">
        <f t="shared" si="61"/>
        <v>12740</v>
      </c>
      <c r="BF129" s="378">
        <f t="shared" si="61"/>
        <v>13140</v>
      </c>
      <c r="BG129" s="378">
        <f t="shared" si="61"/>
        <v>13460</v>
      </c>
      <c r="BH129" s="378">
        <f t="shared" si="61"/>
        <v>13740</v>
      </c>
      <c r="BI129" s="378">
        <f t="shared" si="61"/>
        <v>13980</v>
      </c>
      <c r="BJ129" s="378">
        <f t="shared" si="61"/>
        <v>14100</v>
      </c>
      <c r="BK129" s="378">
        <f t="shared" si="61"/>
        <v>14100</v>
      </c>
      <c r="BL129" s="378">
        <f t="shared" si="61"/>
        <v>14100</v>
      </c>
      <c r="BM129" s="378">
        <f t="shared" si="61"/>
        <v>16600</v>
      </c>
      <c r="BN129" s="378">
        <f t="shared" si="61"/>
        <v>19100</v>
      </c>
      <c r="BO129" s="378">
        <f t="shared" si="61"/>
        <v>19100</v>
      </c>
      <c r="BP129" s="378">
        <f t="shared" si="61"/>
        <v>24100</v>
      </c>
      <c r="BQ129" s="378">
        <f t="shared" si="61"/>
        <v>24340</v>
      </c>
      <c r="BR129" s="378">
        <f t="shared" si="61"/>
        <v>24740</v>
      </c>
      <c r="BS129" s="378">
        <f t="shared" si="61"/>
        <v>25060</v>
      </c>
      <c r="BT129" s="378">
        <f t="shared" si="61"/>
        <v>25340</v>
      </c>
      <c r="BU129" s="378">
        <f t="shared" si="61"/>
        <v>26060</v>
      </c>
      <c r="BV129" s="378">
        <f t="shared" si="61"/>
        <v>26500</v>
      </c>
      <c r="BW129" s="378">
        <f t="shared" si="61"/>
        <v>29320</v>
      </c>
      <c r="BX129" s="378">
        <f t="shared" si="61"/>
        <v>29560</v>
      </c>
      <c r="BY129" s="378">
        <f t="shared" si="61"/>
        <v>32300</v>
      </c>
      <c r="BZ129" s="378">
        <f t="shared" si="61"/>
        <v>37300</v>
      </c>
      <c r="CA129" s="378">
        <f t="shared" si="61"/>
        <v>37300</v>
      </c>
    </row>
    <row r="130" spans="2:79" outlineLevel="1"/>
    <row r="131" spans="2:79" s="357" customFormat="1" ht="15" outlineLevel="1">
      <c r="B131" s="367"/>
      <c r="C131" s="365" t="s">
        <v>542</v>
      </c>
      <c r="D131" s="366"/>
      <c r="E131" s="365"/>
      <c r="G131" s="432"/>
      <c r="H131" s="364">
        <f>SUMIFS($AF131:$CA131,$AF$6:$CA$6,H$6)</f>
        <v>67500</v>
      </c>
      <c r="I131" s="364">
        <f>SUMIFS($AF131:$CA131,$AF$6:$CA$6,I$6)</f>
        <v>176660</v>
      </c>
      <c r="J131" s="364">
        <f>SUMIFS($AF131:$CA131,$AF$6:$CA$6,J$6)</f>
        <v>341920</v>
      </c>
      <c r="K131" s="364">
        <f>SUMIFS($AF131:$CA131,$AF$6:$CA$6,K$6)</f>
        <v>590320</v>
      </c>
      <c r="M131" s="55"/>
      <c r="N131" s="364">
        <f t="shared" ref="N131:AC131" si="62">SUMIFS($AF131:$CA131,$AF$6:$CA$6,N$6,$AF$7:$CA$7,N$7)</f>
        <v>15000</v>
      </c>
      <c r="O131" s="364">
        <f t="shared" si="62"/>
        <v>15000</v>
      </c>
      <c r="P131" s="364">
        <f t="shared" si="62"/>
        <v>15000</v>
      </c>
      <c r="Q131" s="364">
        <f t="shared" si="62"/>
        <v>22500</v>
      </c>
      <c r="R131" s="364">
        <f t="shared" si="62"/>
        <v>38380</v>
      </c>
      <c r="S131" s="364">
        <f t="shared" si="62"/>
        <v>41180</v>
      </c>
      <c r="T131" s="364">
        <f t="shared" si="62"/>
        <v>42300</v>
      </c>
      <c r="U131" s="364">
        <f t="shared" si="62"/>
        <v>54800</v>
      </c>
      <c r="V131" s="364">
        <f t="shared" si="62"/>
        <v>73180</v>
      </c>
      <c r="W131" s="364">
        <f t="shared" si="62"/>
        <v>76460</v>
      </c>
      <c r="X131" s="364">
        <f t="shared" si="62"/>
        <v>85380</v>
      </c>
      <c r="Y131" s="364">
        <f t="shared" si="62"/>
        <v>106900</v>
      </c>
      <c r="Z131" s="364">
        <f t="shared" si="62"/>
        <v>130280</v>
      </c>
      <c r="AA131" s="364">
        <f t="shared" si="62"/>
        <v>138560</v>
      </c>
      <c r="AB131" s="364">
        <f t="shared" si="62"/>
        <v>147480</v>
      </c>
      <c r="AC131" s="364">
        <f t="shared" si="62"/>
        <v>174000</v>
      </c>
      <c r="AE131" s="55"/>
      <c r="AF131" s="364">
        <f t="shared" ref="AF131:CA131" si="63">AF125+AF129</f>
        <v>5000</v>
      </c>
      <c r="AG131" s="364">
        <f t="shared" si="63"/>
        <v>5000</v>
      </c>
      <c r="AH131" s="364">
        <f t="shared" si="63"/>
        <v>5000</v>
      </c>
      <c r="AI131" s="364">
        <f t="shared" si="63"/>
        <v>5000</v>
      </c>
      <c r="AJ131" s="364">
        <f t="shared" si="63"/>
        <v>5000</v>
      </c>
      <c r="AK131" s="364">
        <f t="shared" si="63"/>
        <v>5000</v>
      </c>
      <c r="AL131" s="364">
        <f t="shared" si="63"/>
        <v>5000</v>
      </c>
      <c r="AM131" s="364">
        <f t="shared" si="63"/>
        <v>5000</v>
      </c>
      <c r="AN131" s="364">
        <f t="shared" si="63"/>
        <v>5000</v>
      </c>
      <c r="AO131" s="364">
        <f t="shared" si="63"/>
        <v>7500</v>
      </c>
      <c r="AP131" s="364">
        <f t="shared" si="63"/>
        <v>7500</v>
      </c>
      <c r="AQ131" s="364">
        <f t="shared" si="63"/>
        <v>7500</v>
      </c>
      <c r="AR131" s="364">
        <f t="shared" si="63"/>
        <v>12500</v>
      </c>
      <c r="AS131" s="364">
        <f t="shared" si="63"/>
        <v>12740</v>
      </c>
      <c r="AT131" s="364">
        <f t="shared" si="63"/>
        <v>13140</v>
      </c>
      <c r="AU131" s="364">
        <f t="shared" si="63"/>
        <v>13460</v>
      </c>
      <c r="AV131" s="364">
        <f t="shared" si="63"/>
        <v>13740</v>
      </c>
      <c r="AW131" s="364">
        <f t="shared" si="63"/>
        <v>13980</v>
      </c>
      <c r="AX131" s="364">
        <f t="shared" si="63"/>
        <v>14100</v>
      </c>
      <c r="AY131" s="364">
        <f t="shared" si="63"/>
        <v>14100</v>
      </c>
      <c r="AZ131" s="364">
        <f t="shared" si="63"/>
        <v>14100</v>
      </c>
      <c r="BA131" s="364">
        <f t="shared" si="63"/>
        <v>16600</v>
      </c>
      <c r="BB131" s="364">
        <f t="shared" si="63"/>
        <v>19100</v>
      </c>
      <c r="BC131" s="364">
        <f t="shared" si="63"/>
        <v>19100</v>
      </c>
      <c r="BD131" s="364">
        <f t="shared" si="63"/>
        <v>24100</v>
      </c>
      <c r="BE131" s="364">
        <f t="shared" si="63"/>
        <v>24340</v>
      </c>
      <c r="BF131" s="364">
        <f t="shared" si="63"/>
        <v>24740</v>
      </c>
      <c r="BG131" s="364">
        <f t="shared" si="63"/>
        <v>25060</v>
      </c>
      <c r="BH131" s="364">
        <f t="shared" si="63"/>
        <v>25340</v>
      </c>
      <c r="BI131" s="364">
        <f t="shared" si="63"/>
        <v>26060</v>
      </c>
      <c r="BJ131" s="364">
        <f t="shared" si="63"/>
        <v>26500</v>
      </c>
      <c r="BK131" s="364">
        <f t="shared" si="63"/>
        <v>29320</v>
      </c>
      <c r="BL131" s="364">
        <f t="shared" si="63"/>
        <v>29560</v>
      </c>
      <c r="BM131" s="364">
        <f t="shared" si="63"/>
        <v>32300</v>
      </c>
      <c r="BN131" s="364">
        <f t="shared" si="63"/>
        <v>37300</v>
      </c>
      <c r="BO131" s="364">
        <f t="shared" si="63"/>
        <v>37300</v>
      </c>
      <c r="BP131" s="364">
        <f t="shared" si="63"/>
        <v>42300</v>
      </c>
      <c r="BQ131" s="364">
        <f t="shared" si="63"/>
        <v>42540</v>
      </c>
      <c r="BR131" s="364">
        <f t="shared" si="63"/>
        <v>45440</v>
      </c>
      <c r="BS131" s="364">
        <f t="shared" si="63"/>
        <v>45760</v>
      </c>
      <c r="BT131" s="364">
        <f t="shared" si="63"/>
        <v>46040</v>
      </c>
      <c r="BU131" s="364">
        <f t="shared" si="63"/>
        <v>46760</v>
      </c>
      <c r="BV131" s="364">
        <f t="shared" si="63"/>
        <v>47200</v>
      </c>
      <c r="BW131" s="364">
        <f t="shared" si="63"/>
        <v>50020</v>
      </c>
      <c r="BX131" s="364">
        <f t="shared" si="63"/>
        <v>50260</v>
      </c>
      <c r="BY131" s="364">
        <f t="shared" si="63"/>
        <v>53000</v>
      </c>
      <c r="BZ131" s="364">
        <f t="shared" si="63"/>
        <v>60500</v>
      </c>
      <c r="CA131" s="364">
        <f t="shared" si="63"/>
        <v>60500</v>
      </c>
    </row>
    <row r="133" spans="2:79" s="51" customFormat="1" ht="24">
      <c r="B133" s="635" t="s">
        <v>543</v>
      </c>
      <c r="C133" s="475"/>
      <c r="D133" s="475"/>
      <c r="E133" s="632"/>
      <c r="F133" s="50"/>
      <c r="G133" s="55"/>
      <c r="H133" s="632"/>
      <c r="I133" s="632"/>
      <c r="J133" s="632"/>
      <c r="K133" s="632"/>
      <c r="L133" s="50"/>
      <c r="M133" s="55"/>
      <c r="N133" s="632"/>
      <c r="O133" s="632"/>
      <c r="P133" s="632"/>
      <c r="Q133" s="632"/>
      <c r="R133" s="632"/>
      <c r="S133" s="632"/>
      <c r="T133" s="632"/>
      <c r="U133" s="632"/>
      <c r="V133" s="632"/>
      <c r="W133" s="632"/>
      <c r="X133" s="632"/>
      <c r="Y133" s="632"/>
      <c r="Z133" s="632"/>
      <c r="AA133" s="632"/>
      <c r="AB133" s="632"/>
      <c r="AC133" s="632"/>
      <c r="AD133" s="50"/>
      <c r="AE133" s="55"/>
      <c r="AF133" s="632"/>
      <c r="AG133" s="632"/>
      <c r="AH133" s="632"/>
      <c r="AI133" s="632"/>
      <c r="AJ133" s="632"/>
      <c r="AK133" s="632"/>
      <c r="AL133" s="632"/>
      <c r="AM133" s="632"/>
      <c r="AN133" s="632"/>
      <c r="AO133" s="632"/>
      <c r="AP133" s="632"/>
      <c r="AQ133" s="632"/>
      <c r="AR133" s="632"/>
      <c r="AS133" s="632"/>
      <c r="AT133" s="632"/>
      <c r="AU133" s="632"/>
      <c r="AV133" s="632"/>
      <c r="AW133" s="632"/>
      <c r="AX133" s="632"/>
      <c r="AY133" s="632"/>
      <c r="AZ133" s="632"/>
      <c r="BA133" s="632"/>
      <c r="BB133" s="632"/>
      <c r="BC133" s="632"/>
      <c r="BD133" s="632"/>
      <c r="BE133" s="632"/>
      <c r="BF133" s="632"/>
      <c r="BG133" s="632"/>
      <c r="BH133" s="632"/>
      <c r="BI133" s="632"/>
      <c r="BJ133" s="632"/>
      <c r="BK133" s="632"/>
      <c r="BL133" s="632"/>
      <c r="BM133" s="632"/>
      <c r="BN133" s="632"/>
      <c r="BO133" s="632"/>
      <c r="BP133" s="632"/>
      <c r="BQ133" s="632"/>
      <c r="BR133" s="632"/>
      <c r="BS133" s="632"/>
      <c r="BT133" s="632"/>
      <c r="BU133" s="632"/>
      <c r="BV133" s="632"/>
      <c r="BW133" s="632"/>
      <c r="BX133" s="632"/>
      <c r="BY133" s="632"/>
      <c r="BZ133" s="632"/>
      <c r="CA133" s="632"/>
    </row>
    <row r="134" spans="2:79" ht="15" outlineLevel="1" collapsed="1">
      <c r="B134" s="367"/>
      <c r="C134" s="365" t="s">
        <v>98</v>
      </c>
      <c r="D134" s="366"/>
      <c r="E134" s="365"/>
      <c r="H134" s="378">
        <f>SUMIFS($AF134:$CA134,$AF$6:$CA$6,H$6)</f>
        <v>33750</v>
      </c>
      <c r="I134" s="378">
        <f>SUMIFS($AF134:$CA134,$AF$6:$CA$6,I$6)</f>
        <v>122838.33333333334</v>
      </c>
      <c r="J134" s="378">
        <f>SUMIFS($AF134:$CA134,$AF$6:$CA$6,J$6)</f>
        <v>258210</v>
      </c>
      <c r="K134" s="378">
        <f>SUMIFS($AF134:$CA134,$AF$6:$CA$6,K$6)</f>
        <v>472303.33333333337</v>
      </c>
      <c r="N134" s="378">
        <f t="shared" ref="N134:AC134" si="64">SUMIFS($AF134:$CA134,$AF$6:$CA$6,N$6,$AF$7:$CA$7,N$7)</f>
        <v>2500</v>
      </c>
      <c r="O134" s="378">
        <f t="shared" si="64"/>
        <v>6250</v>
      </c>
      <c r="P134" s="378">
        <f t="shared" si="64"/>
        <v>10000</v>
      </c>
      <c r="Q134" s="378">
        <f t="shared" si="64"/>
        <v>15000</v>
      </c>
      <c r="R134" s="378">
        <f t="shared" si="64"/>
        <v>20718.333333333336</v>
      </c>
      <c r="S134" s="378">
        <f t="shared" si="64"/>
        <v>27040</v>
      </c>
      <c r="T134" s="378">
        <f t="shared" si="64"/>
        <v>33815</v>
      </c>
      <c r="U134" s="378">
        <f t="shared" si="64"/>
        <v>41265</v>
      </c>
      <c r="V134" s="378">
        <f t="shared" si="64"/>
        <v>49965</v>
      </c>
      <c r="W134" s="378">
        <f t="shared" si="64"/>
        <v>58705</v>
      </c>
      <c r="X134" s="378">
        <f t="shared" si="64"/>
        <v>68610</v>
      </c>
      <c r="Y134" s="378">
        <f t="shared" si="64"/>
        <v>80929.999999999985</v>
      </c>
      <c r="Z134" s="378">
        <f t="shared" si="64"/>
        <v>94788.333333333328</v>
      </c>
      <c r="AA134" s="378">
        <f t="shared" si="64"/>
        <v>110105</v>
      </c>
      <c r="AB134" s="378">
        <f t="shared" si="64"/>
        <v>125630.00000000001</v>
      </c>
      <c r="AC134" s="378">
        <f t="shared" si="64"/>
        <v>141780</v>
      </c>
      <c r="AF134" s="378">
        <f t="shared" ref="AF134:CA134" si="65">SUM(AF135:AF183)</f>
        <v>416.66666666666669</v>
      </c>
      <c r="AG134" s="378">
        <f t="shared" si="65"/>
        <v>833.33333333333337</v>
      </c>
      <c r="AH134" s="378">
        <f t="shared" si="65"/>
        <v>1250</v>
      </c>
      <c r="AI134" s="378">
        <f t="shared" si="65"/>
        <v>1666.6666666666667</v>
      </c>
      <c r="AJ134" s="378">
        <f t="shared" si="65"/>
        <v>2083.3333333333335</v>
      </c>
      <c r="AK134" s="378">
        <f t="shared" si="65"/>
        <v>2500</v>
      </c>
      <c r="AL134" s="378">
        <f t="shared" si="65"/>
        <v>2916.6666666666665</v>
      </c>
      <c r="AM134" s="378">
        <f t="shared" si="65"/>
        <v>3333.333333333333</v>
      </c>
      <c r="AN134" s="378">
        <f t="shared" si="65"/>
        <v>3749.9999999999995</v>
      </c>
      <c r="AO134" s="378">
        <f t="shared" si="65"/>
        <v>4375</v>
      </c>
      <c r="AP134" s="378">
        <f t="shared" si="65"/>
        <v>5000</v>
      </c>
      <c r="AQ134" s="378">
        <f t="shared" si="65"/>
        <v>5625</v>
      </c>
      <c r="AR134" s="378">
        <f t="shared" si="65"/>
        <v>6250</v>
      </c>
      <c r="AS134" s="378">
        <f t="shared" si="65"/>
        <v>6895</v>
      </c>
      <c r="AT134" s="378">
        <f t="shared" si="65"/>
        <v>7573.3333333333339</v>
      </c>
      <c r="AU134" s="378">
        <f t="shared" si="65"/>
        <v>8278.3333333333339</v>
      </c>
      <c r="AV134" s="378">
        <f t="shared" si="65"/>
        <v>9006.6666666666679</v>
      </c>
      <c r="AW134" s="378">
        <f t="shared" si="65"/>
        <v>9755</v>
      </c>
      <c r="AX134" s="378">
        <f t="shared" si="65"/>
        <v>10513.333333333334</v>
      </c>
      <c r="AY134" s="378">
        <f t="shared" si="65"/>
        <v>11271.666666666668</v>
      </c>
      <c r="AZ134" s="378">
        <f t="shared" si="65"/>
        <v>12030</v>
      </c>
      <c r="BA134" s="378">
        <f t="shared" si="65"/>
        <v>12788.333333333334</v>
      </c>
      <c r="BB134" s="378">
        <f t="shared" si="65"/>
        <v>13755</v>
      </c>
      <c r="BC134" s="378">
        <f t="shared" si="65"/>
        <v>14721.666666666666</v>
      </c>
      <c r="BD134" s="378">
        <f t="shared" si="65"/>
        <v>15688.333333333334</v>
      </c>
      <c r="BE134" s="378">
        <f t="shared" si="65"/>
        <v>16655</v>
      </c>
      <c r="BF134" s="378">
        <f t="shared" si="65"/>
        <v>17621.666666666668</v>
      </c>
      <c r="BG134" s="378">
        <f t="shared" si="65"/>
        <v>18588.333333333332</v>
      </c>
      <c r="BH134" s="378">
        <f t="shared" si="65"/>
        <v>19555</v>
      </c>
      <c r="BI134" s="378">
        <f t="shared" si="65"/>
        <v>20561.666666666668</v>
      </c>
      <c r="BJ134" s="378">
        <f t="shared" si="65"/>
        <v>21595</v>
      </c>
      <c r="BK134" s="378">
        <f t="shared" si="65"/>
        <v>22863.333333333332</v>
      </c>
      <c r="BL134" s="378">
        <f t="shared" si="65"/>
        <v>24151.666666666664</v>
      </c>
      <c r="BM134" s="378">
        <f t="shared" si="65"/>
        <v>25459.999999999996</v>
      </c>
      <c r="BN134" s="378">
        <f t="shared" si="65"/>
        <v>26976.666666666664</v>
      </c>
      <c r="BO134" s="378">
        <f t="shared" si="65"/>
        <v>28493.333333333328</v>
      </c>
      <c r="BP134" s="378">
        <f t="shared" si="65"/>
        <v>30010</v>
      </c>
      <c r="BQ134" s="378">
        <f t="shared" si="65"/>
        <v>31526.666666666664</v>
      </c>
      <c r="BR134" s="378">
        <f t="shared" si="65"/>
        <v>33251.666666666664</v>
      </c>
      <c r="BS134" s="378">
        <f t="shared" si="65"/>
        <v>34976.666666666664</v>
      </c>
      <c r="BT134" s="378">
        <f t="shared" si="65"/>
        <v>36701.666666666664</v>
      </c>
      <c r="BU134" s="378">
        <f t="shared" si="65"/>
        <v>38426.666666666664</v>
      </c>
      <c r="BV134" s="378">
        <f t="shared" si="65"/>
        <v>40151.666666666672</v>
      </c>
      <c r="BW134" s="378">
        <f t="shared" si="65"/>
        <v>41876.666666666672</v>
      </c>
      <c r="BX134" s="378">
        <f t="shared" si="65"/>
        <v>43601.666666666672</v>
      </c>
      <c r="BY134" s="378">
        <f t="shared" si="65"/>
        <v>45326.666666666672</v>
      </c>
      <c r="BZ134" s="378">
        <f t="shared" si="65"/>
        <v>47260</v>
      </c>
      <c r="CA134" s="378">
        <f t="shared" si="65"/>
        <v>49193.333333333328</v>
      </c>
    </row>
    <row r="135" spans="2:79" ht="21" hidden="1" customHeight="1" outlineLevel="2">
      <c r="B135" s="367"/>
      <c r="C135" s="370"/>
      <c r="D135" s="376"/>
      <c r="E135" s="369"/>
      <c r="H135" s="375"/>
      <c r="I135" s="375"/>
      <c r="J135" s="375"/>
      <c r="K135" s="375"/>
      <c r="N135" s="375"/>
      <c r="O135" s="375"/>
      <c r="P135" s="375"/>
      <c r="Q135" s="375"/>
      <c r="R135" s="375"/>
      <c r="S135" s="375"/>
      <c r="T135" s="375"/>
      <c r="U135" s="375"/>
      <c r="V135" s="375"/>
      <c r="W135" s="375"/>
      <c r="X135" s="375"/>
      <c r="Y135" s="375"/>
      <c r="Z135" s="375"/>
      <c r="AA135" s="375"/>
      <c r="AB135" s="375"/>
      <c r="AC135" s="375"/>
      <c r="AF135" s="375"/>
      <c r="AG135" s="375"/>
      <c r="AH135" s="375"/>
      <c r="AI135" s="375"/>
      <c r="AJ135" s="375"/>
      <c r="AK135" s="375"/>
      <c r="AL135" s="375"/>
      <c r="AM135" s="375"/>
      <c r="AN135" s="375"/>
      <c r="AO135" s="375"/>
      <c r="AP135" s="375"/>
      <c r="AQ135" s="375"/>
      <c r="AR135" s="375"/>
      <c r="AS135" s="375"/>
      <c r="AT135" s="375"/>
      <c r="AU135" s="375"/>
      <c r="AV135" s="375"/>
      <c r="AW135" s="375"/>
      <c r="AX135" s="375"/>
      <c r="AY135" s="375"/>
      <c r="AZ135" s="375"/>
      <c r="BA135" s="375"/>
      <c r="BB135" s="375"/>
      <c r="BC135" s="375"/>
      <c r="BD135" s="375"/>
      <c r="BE135" s="375"/>
      <c r="BF135" s="375"/>
      <c r="BG135" s="375"/>
      <c r="BH135" s="375"/>
      <c r="BI135" s="375"/>
      <c r="BJ135" s="375"/>
      <c r="BK135" s="375"/>
      <c r="BL135" s="375"/>
      <c r="BM135" s="375"/>
      <c r="BN135" s="375"/>
      <c r="BO135" s="375"/>
      <c r="BP135" s="375"/>
      <c r="BQ135" s="375"/>
      <c r="BR135" s="375"/>
      <c r="BS135" s="375"/>
      <c r="BT135" s="375"/>
      <c r="BU135" s="375"/>
      <c r="BV135" s="375"/>
      <c r="BW135" s="375"/>
      <c r="BX135" s="375"/>
      <c r="BY135" s="375"/>
      <c r="BZ135" s="375"/>
      <c r="CA135" s="375"/>
    </row>
    <row r="136" spans="2:79" ht="21" hidden="1" customHeight="1" outlineLevel="2">
      <c r="B136" s="367"/>
      <c r="C136" s="370"/>
      <c r="D136" s="374" cm="1">
        <f t="array" ref="D136">EOM_Start_Date</f>
        <v>44957</v>
      </c>
      <c r="E136" s="430" cm="1">
        <f t="array" ref="E136">INDEX($AF$131:$CA$131,0,MATCH(D136,$AF$8:$CA$8,0))</f>
        <v>5000</v>
      </c>
      <c r="G136" s="431"/>
      <c r="H136" s="375">
        <f t="shared" ref="H136:K155" si="66">SUMIFS($AF136:$CA136,$AF$6:$CA$6,H$6)</f>
        <v>5000</v>
      </c>
      <c r="I136" s="375">
        <f t="shared" si="66"/>
        <v>0</v>
      </c>
      <c r="J136" s="375">
        <f t="shared" si="66"/>
        <v>0</v>
      </c>
      <c r="K136" s="375">
        <f t="shared" si="66"/>
        <v>0</v>
      </c>
      <c r="N136" s="375">
        <f t="shared" ref="N136:AC145" si="67">SUMIFS($AF136:$CA136,$AF$6:$CA$6,N$6,$AF$7:$CA$7,N$7)</f>
        <v>1250</v>
      </c>
      <c r="O136" s="375">
        <f t="shared" si="67"/>
        <v>1250</v>
      </c>
      <c r="P136" s="375">
        <f t="shared" si="67"/>
        <v>1250</v>
      </c>
      <c r="Q136" s="375">
        <f t="shared" si="67"/>
        <v>1250</v>
      </c>
      <c r="R136" s="375">
        <f t="shared" si="67"/>
        <v>0</v>
      </c>
      <c r="S136" s="375">
        <f t="shared" si="67"/>
        <v>0</v>
      </c>
      <c r="T136" s="375">
        <f t="shared" si="67"/>
        <v>0</v>
      </c>
      <c r="U136" s="375">
        <f t="shared" si="67"/>
        <v>0</v>
      </c>
      <c r="V136" s="375">
        <f t="shared" si="67"/>
        <v>0</v>
      </c>
      <c r="W136" s="375">
        <f t="shared" si="67"/>
        <v>0</v>
      </c>
      <c r="X136" s="375">
        <f t="shared" si="67"/>
        <v>0</v>
      </c>
      <c r="Y136" s="375">
        <f t="shared" si="67"/>
        <v>0</v>
      </c>
      <c r="Z136" s="375">
        <f t="shared" si="67"/>
        <v>0</v>
      </c>
      <c r="AA136" s="375">
        <f t="shared" si="67"/>
        <v>0</v>
      </c>
      <c r="AB136" s="375">
        <f t="shared" si="67"/>
        <v>0</v>
      </c>
      <c r="AC136" s="375">
        <f t="shared" si="67"/>
        <v>0</v>
      </c>
      <c r="AF136" s="375">
        <f t="shared" ref="AF136:AO145" si="68">IF(AND(AF$8&gt;=$D136,(MATCH(AF$8,$AF$8:$CA$8,0)-MATCH($D136,$AF$8:$CA$8,0))&lt;12),$E136/12,0)</f>
        <v>416.66666666666669</v>
      </c>
      <c r="AG136" s="375">
        <f t="shared" si="68"/>
        <v>416.66666666666669</v>
      </c>
      <c r="AH136" s="375">
        <f t="shared" si="68"/>
        <v>416.66666666666669</v>
      </c>
      <c r="AI136" s="375">
        <f t="shared" si="68"/>
        <v>416.66666666666669</v>
      </c>
      <c r="AJ136" s="375">
        <f t="shared" si="68"/>
        <v>416.66666666666669</v>
      </c>
      <c r="AK136" s="375">
        <f t="shared" si="68"/>
        <v>416.66666666666669</v>
      </c>
      <c r="AL136" s="375">
        <f t="shared" si="68"/>
        <v>416.66666666666669</v>
      </c>
      <c r="AM136" s="375">
        <f t="shared" si="68"/>
        <v>416.66666666666669</v>
      </c>
      <c r="AN136" s="375">
        <f t="shared" si="68"/>
        <v>416.66666666666669</v>
      </c>
      <c r="AO136" s="375">
        <f t="shared" si="68"/>
        <v>416.66666666666669</v>
      </c>
      <c r="AP136" s="375">
        <f t="shared" ref="AP136:AY145" si="69">IF(AND(AP$8&gt;=$D136,(MATCH(AP$8,$AF$8:$CA$8,0)-MATCH($D136,$AF$8:$CA$8,0))&lt;12),$E136/12,0)</f>
        <v>416.66666666666669</v>
      </c>
      <c r="AQ136" s="375">
        <f t="shared" si="69"/>
        <v>416.66666666666669</v>
      </c>
      <c r="AR136" s="375">
        <f t="shared" si="69"/>
        <v>0</v>
      </c>
      <c r="AS136" s="375">
        <f t="shared" si="69"/>
        <v>0</v>
      </c>
      <c r="AT136" s="375">
        <f t="shared" si="69"/>
        <v>0</v>
      </c>
      <c r="AU136" s="375">
        <f t="shared" si="69"/>
        <v>0</v>
      </c>
      <c r="AV136" s="375">
        <f t="shared" si="69"/>
        <v>0</v>
      </c>
      <c r="AW136" s="375">
        <f t="shared" si="69"/>
        <v>0</v>
      </c>
      <c r="AX136" s="375">
        <f t="shared" si="69"/>
        <v>0</v>
      </c>
      <c r="AY136" s="375">
        <f t="shared" si="69"/>
        <v>0</v>
      </c>
      <c r="AZ136" s="375">
        <f t="shared" ref="AZ136:BI145" si="70">IF(AND(AZ$8&gt;=$D136,(MATCH(AZ$8,$AF$8:$CA$8,0)-MATCH($D136,$AF$8:$CA$8,0))&lt;12),$E136/12,0)</f>
        <v>0</v>
      </c>
      <c r="BA136" s="375">
        <f t="shared" si="70"/>
        <v>0</v>
      </c>
      <c r="BB136" s="375">
        <f t="shared" si="70"/>
        <v>0</v>
      </c>
      <c r="BC136" s="375">
        <f t="shared" si="70"/>
        <v>0</v>
      </c>
      <c r="BD136" s="375">
        <f t="shared" si="70"/>
        <v>0</v>
      </c>
      <c r="BE136" s="375">
        <f t="shared" si="70"/>
        <v>0</v>
      </c>
      <c r="BF136" s="375">
        <f t="shared" si="70"/>
        <v>0</v>
      </c>
      <c r="BG136" s="375">
        <f t="shared" si="70"/>
        <v>0</v>
      </c>
      <c r="BH136" s="375">
        <f t="shared" si="70"/>
        <v>0</v>
      </c>
      <c r="BI136" s="375">
        <f t="shared" si="70"/>
        <v>0</v>
      </c>
      <c r="BJ136" s="375">
        <f t="shared" ref="BJ136:BS145" si="71">IF(AND(BJ$8&gt;=$D136,(MATCH(BJ$8,$AF$8:$CA$8,0)-MATCH($D136,$AF$8:$CA$8,0))&lt;12),$E136/12,0)</f>
        <v>0</v>
      </c>
      <c r="BK136" s="375">
        <f t="shared" si="71"/>
        <v>0</v>
      </c>
      <c r="BL136" s="375">
        <f t="shared" si="71"/>
        <v>0</v>
      </c>
      <c r="BM136" s="375">
        <f t="shared" si="71"/>
        <v>0</v>
      </c>
      <c r="BN136" s="375">
        <f t="shared" si="71"/>
        <v>0</v>
      </c>
      <c r="BO136" s="375">
        <f t="shared" si="71"/>
        <v>0</v>
      </c>
      <c r="BP136" s="375">
        <f t="shared" si="71"/>
        <v>0</v>
      </c>
      <c r="BQ136" s="375">
        <f t="shared" si="71"/>
        <v>0</v>
      </c>
      <c r="BR136" s="375">
        <f t="shared" si="71"/>
        <v>0</v>
      </c>
      <c r="BS136" s="375">
        <f t="shared" si="71"/>
        <v>0</v>
      </c>
      <c r="BT136" s="375">
        <f t="shared" ref="BT136:CA145" si="72">IF(AND(BT$8&gt;=$D136,(MATCH(BT$8,$AF$8:$CA$8,0)-MATCH($D136,$AF$8:$CA$8,0))&lt;12),$E136/12,0)</f>
        <v>0</v>
      </c>
      <c r="BU136" s="375">
        <f t="shared" si="72"/>
        <v>0</v>
      </c>
      <c r="BV136" s="375">
        <f t="shared" si="72"/>
        <v>0</v>
      </c>
      <c r="BW136" s="375">
        <f t="shared" si="72"/>
        <v>0</v>
      </c>
      <c r="BX136" s="375">
        <f t="shared" si="72"/>
        <v>0</v>
      </c>
      <c r="BY136" s="375">
        <f t="shared" si="72"/>
        <v>0</v>
      </c>
      <c r="BZ136" s="375">
        <f t="shared" si="72"/>
        <v>0</v>
      </c>
      <c r="CA136" s="375">
        <f t="shared" si="72"/>
        <v>0</v>
      </c>
    </row>
    <row r="137" spans="2:79" ht="21" hidden="1" customHeight="1" outlineLevel="2">
      <c r="B137" s="367"/>
      <c r="C137" s="370"/>
      <c r="D137" s="374">
        <f t="shared" ref="D137:D170" si="73">EOMONTH(D136,1)</f>
        <v>44985</v>
      </c>
      <c r="E137" s="430" cm="1">
        <f t="array" ref="E137">INDEX($AF$131:$CA$131,0,MATCH(D137,$AF$8:$CA$8,0))</f>
        <v>5000</v>
      </c>
      <c r="H137" s="375">
        <f t="shared" si="66"/>
        <v>4583.333333333333</v>
      </c>
      <c r="I137" s="375">
        <f t="shared" si="66"/>
        <v>416.66666666666669</v>
      </c>
      <c r="J137" s="375">
        <f t="shared" si="66"/>
        <v>0</v>
      </c>
      <c r="K137" s="375">
        <f t="shared" si="66"/>
        <v>0</v>
      </c>
      <c r="M137" s="431"/>
      <c r="N137" s="375">
        <f t="shared" si="67"/>
        <v>833.33333333333337</v>
      </c>
      <c r="O137" s="375">
        <f t="shared" si="67"/>
        <v>1250</v>
      </c>
      <c r="P137" s="375">
        <f t="shared" si="67"/>
        <v>1250</v>
      </c>
      <c r="Q137" s="375">
        <f t="shared" si="67"/>
        <v>1250</v>
      </c>
      <c r="R137" s="375">
        <f t="shared" si="67"/>
        <v>416.66666666666669</v>
      </c>
      <c r="S137" s="375">
        <f t="shared" si="67"/>
        <v>0</v>
      </c>
      <c r="T137" s="375">
        <f t="shared" si="67"/>
        <v>0</v>
      </c>
      <c r="U137" s="375">
        <f t="shared" si="67"/>
        <v>0</v>
      </c>
      <c r="V137" s="375">
        <f t="shared" si="67"/>
        <v>0</v>
      </c>
      <c r="W137" s="375">
        <f t="shared" si="67"/>
        <v>0</v>
      </c>
      <c r="X137" s="375">
        <f t="shared" si="67"/>
        <v>0</v>
      </c>
      <c r="Y137" s="375">
        <f t="shared" si="67"/>
        <v>0</v>
      </c>
      <c r="Z137" s="375">
        <f t="shared" si="67"/>
        <v>0</v>
      </c>
      <c r="AA137" s="375">
        <f t="shared" si="67"/>
        <v>0</v>
      </c>
      <c r="AB137" s="375">
        <f t="shared" si="67"/>
        <v>0</v>
      </c>
      <c r="AC137" s="375">
        <f t="shared" si="67"/>
        <v>0</v>
      </c>
      <c r="AE137" s="431"/>
      <c r="AF137" s="375">
        <f t="shared" si="68"/>
        <v>0</v>
      </c>
      <c r="AG137" s="375">
        <f t="shared" si="68"/>
        <v>416.66666666666669</v>
      </c>
      <c r="AH137" s="375">
        <f t="shared" si="68"/>
        <v>416.66666666666669</v>
      </c>
      <c r="AI137" s="375">
        <f t="shared" si="68"/>
        <v>416.66666666666669</v>
      </c>
      <c r="AJ137" s="375">
        <f t="shared" si="68"/>
        <v>416.66666666666669</v>
      </c>
      <c r="AK137" s="375">
        <f t="shared" si="68"/>
        <v>416.66666666666669</v>
      </c>
      <c r="AL137" s="375">
        <f t="shared" si="68"/>
        <v>416.66666666666669</v>
      </c>
      <c r="AM137" s="375">
        <f t="shared" si="68"/>
        <v>416.66666666666669</v>
      </c>
      <c r="AN137" s="375">
        <f t="shared" si="68"/>
        <v>416.66666666666669</v>
      </c>
      <c r="AO137" s="375">
        <f t="shared" si="68"/>
        <v>416.66666666666669</v>
      </c>
      <c r="AP137" s="375">
        <f t="shared" si="69"/>
        <v>416.66666666666669</v>
      </c>
      <c r="AQ137" s="375">
        <f t="shared" si="69"/>
        <v>416.66666666666669</v>
      </c>
      <c r="AR137" s="375">
        <f t="shared" si="69"/>
        <v>416.66666666666669</v>
      </c>
      <c r="AS137" s="375">
        <f t="shared" si="69"/>
        <v>0</v>
      </c>
      <c r="AT137" s="375">
        <f t="shared" si="69"/>
        <v>0</v>
      </c>
      <c r="AU137" s="375">
        <f t="shared" si="69"/>
        <v>0</v>
      </c>
      <c r="AV137" s="375">
        <f t="shared" si="69"/>
        <v>0</v>
      </c>
      <c r="AW137" s="375">
        <f t="shared" si="69"/>
        <v>0</v>
      </c>
      <c r="AX137" s="375">
        <f t="shared" si="69"/>
        <v>0</v>
      </c>
      <c r="AY137" s="375">
        <f t="shared" si="69"/>
        <v>0</v>
      </c>
      <c r="AZ137" s="375">
        <f t="shared" si="70"/>
        <v>0</v>
      </c>
      <c r="BA137" s="375">
        <f t="shared" si="70"/>
        <v>0</v>
      </c>
      <c r="BB137" s="375">
        <f t="shared" si="70"/>
        <v>0</v>
      </c>
      <c r="BC137" s="375">
        <f t="shared" si="70"/>
        <v>0</v>
      </c>
      <c r="BD137" s="375">
        <f t="shared" si="70"/>
        <v>0</v>
      </c>
      <c r="BE137" s="375">
        <f t="shared" si="70"/>
        <v>0</v>
      </c>
      <c r="BF137" s="375">
        <f t="shared" si="70"/>
        <v>0</v>
      </c>
      <c r="BG137" s="375">
        <f t="shared" si="70"/>
        <v>0</v>
      </c>
      <c r="BH137" s="375">
        <f t="shared" si="70"/>
        <v>0</v>
      </c>
      <c r="BI137" s="375">
        <f t="shared" si="70"/>
        <v>0</v>
      </c>
      <c r="BJ137" s="375">
        <f t="shared" si="71"/>
        <v>0</v>
      </c>
      <c r="BK137" s="375">
        <f t="shared" si="71"/>
        <v>0</v>
      </c>
      <c r="BL137" s="375">
        <f t="shared" si="71"/>
        <v>0</v>
      </c>
      <c r="BM137" s="375">
        <f t="shared" si="71"/>
        <v>0</v>
      </c>
      <c r="BN137" s="375">
        <f t="shared" si="71"/>
        <v>0</v>
      </c>
      <c r="BO137" s="375">
        <f t="shared" si="71"/>
        <v>0</v>
      </c>
      <c r="BP137" s="375">
        <f t="shared" si="71"/>
        <v>0</v>
      </c>
      <c r="BQ137" s="375">
        <f t="shared" si="71"/>
        <v>0</v>
      </c>
      <c r="BR137" s="375">
        <f t="shared" si="71"/>
        <v>0</v>
      </c>
      <c r="BS137" s="375">
        <f t="shared" si="71"/>
        <v>0</v>
      </c>
      <c r="BT137" s="375">
        <f t="shared" si="72"/>
        <v>0</v>
      </c>
      <c r="BU137" s="375">
        <f t="shared" si="72"/>
        <v>0</v>
      </c>
      <c r="BV137" s="375">
        <f t="shared" si="72"/>
        <v>0</v>
      </c>
      <c r="BW137" s="375">
        <f t="shared" si="72"/>
        <v>0</v>
      </c>
      <c r="BX137" s="375">
        <f t="shared" si="72"/>
        <v>0</v>
      </c>
      <c r="BY137" s="375">
        <f t="shared" si="72"/>
        <v>0</v>
      </c>
      <c r="BZ137" s="375">
        <f t="shared" si="72"/>
        <v>0</v>
      </c>
      <c r="CA137" s="375">
        <f t="shared" si="72"/>
        <v>0</v>
      </c>
    </row>
    <row r="138" spans="2:79" ht="21" hidden="1" customHeight="1" outlineLevel="2">
      <c r="B138" s="367"/>
      <c r="C138" s="370"/>
      <c r="D138" s="374">
        <f t="shared" si="73"/>
        <v>45016</v>
      </c>
      <c r="E138" s="430" cm="1">
        <f t="array" ref="E138">INDEX($AF$131:$CA$131,0,MATCH(D138,$AF$8:$CA$8,0))</f>
        <v>5000</v>
      </c>
      <c r="G138" s="359"/>
      <c r="H138" s="375">
        <f t="shared" si="66"/>
        <v>4166.6666666666661</v>
      </c>
      <c r="I138" s="375">
        <f t="shared" si="66"/>
        <v>833.33333333333337</v>
      </c>
      <c r="J138" s="375">
        <f t="shared" si="66"/>
        <v>0</v>
      </c>
      <c r="K138" s="375">
        <f t="shared" si="66"/>
        <v>0</v>
      </c>
      <c r="N138" s="375">
        <f t="shared" si="67"/>
        <v>416.66666666666669</v>
      </c>
      <c r="O138" s="375">
        <f t="shared" si="67"/>
        <v>1250</v>
      </c>
      <c r="P138" s="375">
        <f t="shared" si="67"/>
        <v>1250</v>
      </c>
      <c r="Q138" s="375">
        <f t="shared" si="67"/>
        <v>1250</v>
      </c>
      <c r="R138" s="375">
        <f t="shared" si="67"/>
        <v>833.33333333333337</v>
      </c>
      <c r="S138" s="375">
        <f t="shared" si="67"/>
        <v>0</v>
      </c>
      <c r="T138" s="375">
        <f t="shared" si="67"/>
        <v>0</v>
      </c>
      <c r="U138" s="375">
        <f t="shared" si="67"/>
        <v>0</v>
      </c>
      <c r="V138" s="375">
        <f t="shared" si="67"/>
        <v>0</v>
      </c>
      <c r="W138" s="375">
        <f t="shared" si="67"/>
        <v>0</v>
      </c>
      <c r="X138" s="375">
        <f t="shared" si="67"/>
        <v>0</v>
      </c>
      <c r="Y138" s="375">
        <f t="shared" si="67"/>
        <v>0</v>
      </c>
      <c r="Z138" s="375">
        <f t="shared" si="67"/>
        <v>0</v>
      </c>
      <c r="AA138" s="375">
        <f t="shared" si="67"/>
        <v>0</v>
      </c>
      <c r="AB138" s="375">
        <f t="shared" si="67"/>
        <v>0</v>
      </c>
      <c r="AC138" s="375">
        <f t="shared" si="67"/>
        <v>0</v>
      </c>
      <c r="AF138" s="375">
        <f t="shared" si="68"/>
        <v>0</v>
      </c>
      <c r="AG138" s="375">
        <f t="shared" si="68"/>
        <v>0</v>
      </c>
      <c r="AH138" s="375">
        <f t="shared" si="68"/>
        <v>416.66666666666669</v>
      </c>
      <c r="AI138" s="375">
        <f t="shared" si="68"/>
        <v>416.66666666666669</v>
      </c>
      <c r="AJ138" s="375">
        <f t="shared" si="68"/>
        <v>416.66666666666669</v>
      </c>
      <c r="AK138" s="375">
        <f t="shared" si="68"/>
        <v>416.66666666666669</v>
      </c>
      <c r="AL138" s="375">
        <f t="shared" si="68"/>
        <v>416.66666666666669</v>
      </c>
      <c r="AM138" s="375">
        <f t="shared" si="68"/>
        <v>416.66666666666669</v>
      </c>
      <c r="AN138" s="375">
        <f t="shared" si="68"/>
        <v>416.66666666666669</v>
      </c>
      <c r="AO138" s="375">
        <f t="shared" si="68"/>
        <v>416.66666666666669</v>
      </c>
      <c r="AP138" s="375">
        <f t="shared" si="69"/>
        <v>416.66666666666669</v>
      </c>
      <c r="AQ138" s="375">
        <f t="shared" si="69"/>
        <v>416.66666666666669</v>
      </c>
      <c r="AR138" s="375">
        <f t="shared" si="69"/>
        <v>416.66666666666669</v>
      </c>
      <c r="AS138" s="375">
        <f t="shared" si="69"/>
        <v>416.66666666666669</v>
      </c>
      <c r="AT138" s="375">
        <f t="shared" si="69"/>
        <v>0</v>
      </c>
      <c r="AU138" s="375">
        <f t="shared" si="69"/>
        <v>0</v>
      </c>
      <c r="AV138" s="375">
        <f t="shared" si="69"/>
        <v>0</v>
      </c>
      <c r="AW138" s="375">
        <f t="shared" si="69"/>
        <v>0</v>
      </c>
      <c r="AX138" s="375">
        <f t="shared" si="69"/>
        <v>0</v>
      </c>
      <c r="AY138" s="375">
        <f t="shared" si="69"/>
        <v>0</v>
      </c>
      <c r="AZ138" s="375">
        <f t="shared" si="70"/>
        <v>0</v>
      </c>
      <c r="BA138" s="375">
        <f t="shared" si="70"/>
        <v>0</v>
      </c>
      <c r="BB138" s="375">
        <f t="shared" si="70"/>
        <v>0</v>
      </c>
      <c r="BC138" s="375">
        <f t="shared" si="70"/>
        <v>0</v>
      </c>
      <c r="BD138" s="375">
        <f t="shared" si="70"/>
        <v>0</v>
      </c>
      <c r="BE138" s="375">
        <f t="shared" si="70"/>
        <v>0</v>
      </c>
      <c r="BF138" s="375">
        <f t="shared" si="70"/>
        <v>0</v>
      </c>
      <c r="BG138" s="375">
        <f t="shared" si="70"/>
        <v>0</v>
      </c>
      <c r="BH138" s="375">
        <f t="shared" si="70"/>
        <v>0</v>
      </c>
      <c r="BI138" s="375">
        <f t="shared" si="70"/>
        <v>0</v>
      </c>
      <c r="BJ138" s="375">
        <f t="shared" si="71"/>
        <v>0</v>
      </c>
      <c r="BK138" s="375">
        <f t="shared" si="71"/>
        <v>0</v>
      </c>
      <c r="BL138" s="375">
        <f t="shared" si="71"/>
        <v>0</v>
      </c>
      <c r="BM138" s="375">
        <f t="shared" si="71"/>
        <v>0</v>
      </c>
      <c r="BN138" s="375">
        <f t="shared" si="71"/>
        <v>0</v>
      </c>
      <c r="BO138" s="375">
        <f t="shared" si="71"/>
        <v>0</v>
      </c>
      <c r="BP138" s="375">
        <f t="shared" si="71"/>
        <v>0</v>
      </c>
      <c r="BQ138" s="375">
        <f t="shared" si="71"/>
        <v>0</v>
      </c>
      <c r="BR138" s="375">
        <f t="shared" si="71"/>
        <v>0</v>
      </c>
      <c r="BS138" s="375">
        <f t="shared" si="71"/>
        <v>0</v>
      </c>
      <c r="BT138" s="375">
        <f t="shared" si="72"/>
        <v>0</v>
      </c>
      <c r="BU138" s="375">
        <f t="shared" si="72"/>
        <v>0</v>
      </c>
      <c r="BV138" s="375">
        <f t="shared" si="72"/>
        <v>0</v>
      </c>
      <c r="BW138" s="375">
        <f t="shared" si="72"/>
        <v>0</v>
      </c>
      <c r="BX138" s="375">
        <f t="shared" si="72"/>
        <v>0</v>
      </c>
      <c r="BY138" s="375">
        <f t="shared" si="72"/>
        <v>0</v>
      </c>
      <c r="BZ138" s="375">
        <f t="shared" si="72"/>
        <v>0</v>
      </c>
      <c r="CA138" s="375">
        <f t="shared" si="72"/>
        <v>0</v>
      </c>
    </row>
    <row r="139" spans="2:79" ht="21" hidden="1" customHeight="1" outlineLevel="2">
      <c r="D139" s="374">
        <f t="shared" si="73"/>
        <v>45046</v>
      </c>
      <c r="E139" s="430" cm="1">
        <f t="array" ref="E139">INDEX($AF$131:$CA$131,0,MATCH(D139,$AF$8:$CA$8,0))</f>
        <v>5000</v>
      </c>
      <c r="G139" s="431"/>
      <c r="H139" s="375">
        <f t="shared" si="66"/>
        <v>3749.9999999999995</v>
      </c>
      <c r="I139" s="375">
        <f t="shared" si="66"/>
        <v>1250</v>
      </c>
      <c r="J139" s="375">
        <f t="shared" si="66"/>
        <v>0</v>
      </c>
      <c r="K139" s="375">
        <f t="shared" si="66"/>
        <v>0</v>
      </c>
      <c r="M139" s="359"/>
      <c r="N139" s="375">
        <f t="shared" si="67"/>
        <v>0</v>
      </c>
      <c r="O139" s="375">
        <f t="shared" si="67"/>
        <v>1250</v>
      </c>
      <c r="P139" s="375">
        <f t="shared" si="67"/>
        <v>1250</v>
      </c>
      <c r="Q139" s="375">
        <f t="shared" si="67"/>
        <v>1250</v>
      </c>
      <c r="R139" s="375">
        <f t="shared" si="67"/>
        <v>1250</v>
      </c>
      <c r="S139" s="375">
        <f t="shared" si="67"/>
        <v>0</v>
      </c>
      <c r="T139" s="375">
        <f t="shared" si="67"/>
        <v>0</v>
      </c>
      <c r="U139" s="375">
        <f t="shared" si="67"/>
        <v>0</v>
      </c>
      <c r="V139" s="375">
        <f t="shared" si="67"/>
        <v>0</v>
      </c>
      <c r="W139" s="375">
        <f t="shared" si="67"/>
        <v>0</v>
      </c>
      <c r="X139" s="375">
        <f t="shared" si="67"/>
        <v>0</v>
      </c>
      <c r="Y139" s="375">
        <f t="shared" si="67"/>
        <v>0</v>
      </c>
      <c r="Z139" s="375">
        <f t="shared" si="67"/>
        <v>0</v>
      </c>
      <c r="AA139" s="375">
        <f t="shared" si="67"/>
        <v>0</v>
      </c>
      <c r="AB139" s="375">
        <f t="shared" si="67"/>
        <v>0</v>
      </c>
      <c r="AC139" s="375">
        <f t="shared" si="67"/>
        <v>0</v>
      </c>
      <c r="AE139" s="359"/>
      <c r="AF139" s="375">
        <f t="shared" si="68"/>
        <v>0</v>
      </c>
      <c r="AG139" s="375">
        <f t="shared" si="68"/>
        <v>0</v>
      </c>
      <c r="AH139" s="375">
        <f t="shared" si="68"/>
        <v>0</v>
      </c>
      <c r="AI139" s="375">
        <f t="shared" si="68"/>
        <v>416.66666666666669</v>
      </c>
      <c r="AJ139" s="375">
        <f t="shared" si="68"/>
        <v>416.66666666666669</v>
      </c>
      <c r="AK139" s="375">
        <f t="shared" si="68"/>
        <v>416.66666666666669</v>
      </c>
      <c r="AL139" s="375">
        <f t="shared" si="68"/>
        <v>416.66666666666669</v>
      </c>
      <c r="AM139" s="375">
        <f t="shared" si="68"/>
        <v>416.66666666666669</v>
      </c>
      <c r="AN139" s="375">
        <f t="shared" si="68"/>
        <v>416.66666666666669</v>
      </c>
      <c r="AO139" s="375">
        <f t="shared" si="68"/>
        <v>416.66666666666669</v>
      </c>
      <c r="AP139" s="375">
        <f t="shared" si="69"/>
        <v>416.66666666666669</v>
      </c>
      <c r="AQ139" s="375">
        <f t="shared" si="69"/>
        <v>416.66666666666669</v>
      </c>
      <c r="AR139" s="375">
        <f t="shared" si="69"/>
        <v>416.66666666666669</v>
      </c>
      <c r="AS139" s="375">
        <f t="shared" si="69"/>
        <v>416.66666666666669</v>
      </c>
      <c r="AT139" s="375">
        <f t="shared" si="69"/>
        <v>416.66666666666669</v>
      </c>
      <c r="AU139" s="375">
        <f t="shared" si="69"/>
        <v>0</v>
      </c>
      <c r="AV139" s="375">
        <f t="shared" si="69"/>
        <v>0</v>
      </c>
      <c r="AW139" s="375">
        <f t="shared" si="69"/>
        <v>0</v>
      </c>
      <c r="AX139" s="375">
        <f t="shared" si="69"/>
        <v>0</v>
      </c>
      <c r="AY139" s="375">
        <f t="shared" si="69"/>
        <v>0</v>
      </c>
      <c r="AZ139" s="375">
        <f t="shared" si="70"/>
        <v>0</v>
      </c>
      <c r="BA139" s="375">
        <f t="shared" si="70"/>
        <v>0</v>
      </c>
      <c r="BB139" s="375">
        <f t="shared" si="70"/>
        <v>0</v>
      </c>
      <c r="BC139" s="375">
        <f t="shared" si="70"/>
        <v>0</v>
      </c>
      <c r="BD139" s="375">
        <f t="shared" si="70"/>
        <v>0</v>
      </c>
      <c r="BE139" s="375">
        <f t="shared" si="70"/>
        <v>0</v>
      </c>
      <c r="BF139" s="375">
        <f t="shared" si="70"/>
        <v>0</v>
      </c>
      <c r="BG139" s="375">
        <f t="shared" si="70"/>
        <v>0</v>
      </c>
      <c r="BH139" s="375">
        <f t="shared" si="70"/>
        <v>0</v>
      </c>
      <c r="BI139" s="375">
        <f t="shared" si="70"/>
        <v>0</v>
      </c>
      <c r="BJ139" s="375">
        <f t="shared" si="71"/>
        <v>0</v>
      </c>
      <c r="BK139" s="375">
        <f t="shared" si="71"/>
        <v>0</v>
      </c>
      <c r="BL139" s="375">
        <f t="shared" si="71"/>
        <v>0</v>
      </c>
      <c r="BM139" s="375">
        <f t="shared" si="71"/>
        <v>0</v>
      </c>
      <c r="BN139" s="375">
        <f t="shared" si="71"/>
        <v>0</v>
      </c>
      <c r="BO139" s="375">
        <f t="shared" si="71"/>
        <v>0</v>
      </c>
      <c r="BP139" s="375">
        <f t="shared" si="71"/>
        <v>0</v>
      </c>
      <c r="BQ139" s="375">
        <f t="shared" si="71"/>
        <v>0</v>
      </c>
      <c r="BR139" s="375">
        <f t="shared" si="71"/>
        <v>0</v>
      </c>
      <c r="BS139" s="375">
        <f t="shared" si="71"/>
        <v>0</v>
      </c>
      <c r="BT139" s="375">
        <f t="shared" si="72"/>
        <v>0</v>
      </c>
      <c r="BU139" s="375">
        <f t="shared" si="72"/>
        <v>0</v>
      </c>
      <c r="BV139" s="375">
        <f t="shared" si="72"/>
        <v>0</v>
      </c>
      <c r="BW139" s="375">
        <f t="shared" si="72"/>
        <v>0</v>
      </c>
      <c r="BX139" s="375">
        <f t="shared" si="72"/>
        <v>0</v>
      </c>
      <c r="BY139" s="375">
        <f t="shared" si="72"/>
        <v>0</v>
      </c>
      <c r="BZ139" s="375">
        <f t="shared" si="72"/>
        <v>0</v>
      </c>
      <c r="CA139" s="375">
        <f t="shared" si="72"/>
        <v>0</v>
      </c>
    </row>
    <row r="140" spans="2:79" ht="21" hidden="1" customHeight="1" outlineLevel="2">
      <c r="D140" s="374">
        <f t="shared" si="73"/>
        <v>45077</v>
      </c>
      <c r="E140" s="430" cm="1">
        <f t="array" ref="E140">INDEX($AF$131:$CA$131,0,MATCH(D140,$AF$8:$CA$8,0))</f>
        <v>5000</v>
      </c>
      <c r="H140" s="375">
        <f t="shared" si="66"/>
        <v>3333.333333333333</v>
      </c>
      <c r="I140" s="375">
        <f t="shared" si="66"/>
        <v>1666.6666666666667</v>
      </c>
      <c r="J140" s="375">
        <f t="shared" si="66"/>
        <v>0</v>
      </c>
      <c r="K140" s="375">
        <f t="shared" si="66"/>
        <v>0</v>
      </c>
      <c r="M140" s="431"/>
      <c r="N140" s="375">
        <f t="shared" si="67"/>
        <v>0</v>
      </c>
      <c r="O140" s="375">
        <f t="shared" si="67"/>
        <v>833.33333333333337</v>
      </c>
      <c r="P140" s="375">
        <f t="shared" si="67"/>
        <v>1250</v>
      </c>
      <c r="Q140" s="375">
        <f t="shared" si="67"/>
        <v>1250</v>
      </c>
      <c r="R140" s="375">
        <f t="shared" si="67"/>
        <v>1250</v>
      </c>
      <c r="S140" s="375">
        <f t="shared" si="67"/>
        <v>416.66666666666669</v>
      </c>
      <c r="T140" s="375">
        <f t="shared" si="67"/>
        <v>0</v>
      </c>
      <c r="U140" s="375">
        <f t="shared" si="67"/>
        <v>0</v>
      </c>
      <c r="V140" s="375">
        <f t="shared" si="67"/>
        <v>0</v>
      </c>
      <c r="W140" s="375">
        <f t="shared" si="67"/>
        <v>0</v>
      </c>
      <c r="X140" s="375">
        <f t="shared" si="67"/>
        <v>0</v>
      </c>
      <c r="Y140" s="375">
        <f t="shared" si="67"/>
        <v>0</v>
      </c>
      <c r="Z140" s="375">
        <f t="shared" si="67"/>
        <v>0</v>
      </c>
      <c r="AA140" s="375">
        <f t="shared" si="67"/>
        <v>0</v>
      </c>
      <c r="AB140" s="375">
        <f t="shared" si="67"/>
        <v>0</v>
      </c>
      <c r="AC140" s="375">
        <f t="shared" si="67"/>
        <v>0</v>
      </c>
      <c r="AE140" s="431"/>
      <c r="AF140" s="375">
        <f t="shared" si="68"/>
        <v>0</v>
      </c>
      <c r="AG140" s="375">
        <f t="shared" si="68"/>
        <v>0</v>
      </c>
      <c r="AH140" s="375">
        <f t="shared" si="68"/>
        <v>0</v>
      </c>
      <c r="AI140" s="375">
        <f t="shared" si="68"/>
        <v>0</v>
      </c>
      <c r="AJ140" s="375">
        <f t="shared" si="68"/>
        <v>416.66666666666669</v>
      </c>
      <c r="AK140" s="375">
        <f t="shared" si="68"/>
        <v>416.66666666666669</v>
      </c>
      <c r="AL140" s="375">
        <f t="shared" si="68"/>
        <v>416.66666666666669</v>
      </c>
      <c r="AM140" s="375">
        <f t="shared" si="68"/>
        <v>416.66666666666669</v>
      </c>
      <c r="AN140" s="375">
        <f t="shared" si="68"/>
        <v>416.66666666666669</v>
      </c>
      <c r="AO140" s="375">
        <f t="shared" si="68"/>
        <v>416.66666666666669</v>
      </c>
      <c r="AP140" s="375">
        <f t="shared" si="69"/>
        <v>416.66666666666669</v>
      </c>
      <c r="AQ140" s="375">
        <f t="shared" si="69"/>
        <v>416.66666666666669</v>
      </c>
      <c r="AR140" s="375">
        <f t="shared" si="69"/>
        <v>416.66666666666669</v>
      </c>
      <c r="AS140" s="375">
        <f t="shared" si="69"/>
        <v>416.66666666666669</v>
      </c>
      <c r="AT140" s="375">
        <f t="shared" si="69"/>
        <v>416.66666666666669</v>
      </c>
      <c r="AU140" s="375">
        <f t="shared" si="69"/>
        <v>416.66666666666669</v>
      </c>
      <c r="AV140" s="375">
        <f t="shared" si="69"/>
        <v>0</v>
      </c>
      <c r="AW140" s="375">
        <f t="shared" si="69"/>
        <v>0</v>
      </c>
      <c r="AX140" s="375">
        <f t="shared" si="69"/>
        <v>0</v>
      </c>
      <c r="AY140" s="375">
        <f t="shared" si="69"/>
        <v>0</v>
      </c>
      <c r="AZ140" s="375">
        <f t="shared" si="70"/>
        <v>0</v>
      </c>
      <c r="BA140" s="375">
        <f t="shared" si="70"/>
        <v>0</v>
      </c>
      <c r="BB140" s="375">
        <f t="shared" si="70"/>
        <v>0</v>
      </c>
      <c r="BC140" s="375">
        <f t="shared" si="70"/>
        <v>0</v>
      </c>
      <c r="BD140" s="375">
        <f t="shared" si="70"/>
        <v>0</v>
      </c>
      <c r="BE140" s="375">
        <f t="shared" si="70"/>
        <v>0</v>
      </c>
      <c r="BF140" s="375">
        <f t="shared" si="70"/>
        <v>0</v>
      </c>
      <c r="BG140" s="375">
        <f t="shared" si="70"/>
        <v>0</v>
      </c>
      <c r="BH140" s="375">
        <f t="shared" si="70"/>
        <v>0</v>
      </c>
      <c r="BI140" s="375">
        <f t="shared" si="70"/>
        <v>0</v>
      </c>
      <c r="BJ140" s="375">
        <f t="shared" si="71"/>
        <v>0</v>
      </c>
      <c r="BK140" s="375">
        <f t="shared" si="71"/>
        <v>0</v>
      </c>
      <c r="BL140" s="375">
        <f t="shared" si="71"/>
        <v>0</v>
      </c>
      <c r="BM140" s="375">
        <f t="shared" si="71"/>
        <v>0</v>
      </c>
      <c r="BN140" s="375">
        <f t="shared" si="71"/>
        <v>0</v>
      </c>
      <c r="BO140" s="375">
        <f t="shared" si="71"/>
        <v>0</v>
      </c>
      <c r="BP140" s="375">
        <f t="shared" si="71"/>
        <v>0</v>
      </c>
      <c r="BQ140" s="375">
        <f t="shared" si="71"/>
        <v>0</v>
      </c>
      <c r="BR140" s="375">
        <f t="shared" si="71"/>
        <v>0</v>
      </c>
      <c r="BS140" s="375">
        <f t="shared" si="71"/>
        <v>0</v>
      </c>
      <c r="BT140" s="375">
        <f t="shared" si="72"/>
        <v>0</v>
      </c>
      <c r="BU140" s="375">
        <f t="shared" si="72"/>
        <v>0</v>
      </c>
      <c r="BV140" s="375">
        <f t="shared" si="72"/>
        <v>0</v>
      </c>
      <c r="BW140" s="375">
        <f t="shared" si="72"/>
        <v>0</v>
      </c>
      <c r="BX140" s="375">
        <f t="shared" si="72"/>
        <v>0</v>
      </c>
      <c r="BY140" s="375">
        <f t="shared" si="72"/>
        <v>0</v>
      </c>
      <c r="BZ140" s="375">
        <f t="shared" si="72"/>
        <v>0</v>
      </c>
      <c r="CA140" s="375">
        <f t="shared" si="72"/>
        <v>0</v>
      </c>
    </row>
    <row r="141" spans="2:79" ht="21" hidden="1" customHeight="1" outlineLevel="2">
      <c r="D141" s="374">
        <f t="shared" si="73"/>
        <v>45107</v>
      </c>
      <c r="E141" s="430" cm="1">
        <f t="array" ref="E141">INDEX($AF$131:$CA$131,0,MATCH(D141,$AF$8:$CA$8,0))</f>
        <v>5000</v>
      </c>
      <c r="H141" s="375">
        <f t="shared" si="66"/>
        <v>2916.6666666666665</v>
      </c>
      <c r="I141" s="375">
        <f t="shared" si="66"/>
        <v>2083.3333333333335</v>
      </c>
      <c r="J141" s="375">
        <f t="shared" si="66"/>
        <v>0</v>
      </c>
      <c r="K141" s="375">
        <f t="shared" si="66"/>
        <v>0</v>
      </c>
      <c r="N141" s="375">
        <f t="shared" si="67"/>
        <v>0</v>
      </c>
      <c r="O141" s="375">
        <f t="shared" si="67"/>
        <v>416.66666666666669</v>
      </c>
      <c r="P141" s="375">
        <f t="shared" si="67"/>
        <v>1250</v>
      </c>
      <c r="Q141" s="375">
        <f t="shared" si="67"/>
        <v>1250</v>
      </c>
      <c r="R141" s="375">
        <f t="shared" si="67"/>
        <v>1250</v>
      </c>
      <c r="S141" s="375">
        <f t="shared" si="67"/>
        <v>833.33333333333337</v>
      </c>
      <c r="T141" s="375">
        <f t="shared" si="67"/>
        <v>0</v>
      </c>
      <c r="U141" s="375">
        <f t="shared" si="67"/>
        <v>0</v>
      </c>
      <c r="V141" s="375">
        <f t="shared" si="67"/>
        <v>0</v>
      </c>
      <c r="W141" s="375">
        <f t="shared" si="67"/>
        <v>0</v>
      </c>
      <c r="X141" s="375">
        <f t="shared" si="67"/>
        <v>0</v>
      </c>
      <c r="Y141" s="375">
        <f t="shared" si="67"/>
        <v>0</v>
      </c>
      <c r="Z141" s="375">
        <f t="shared" si="67"/>
        <v>0</v>
      </c>
      <c r="AA141" s="375">
        <f t="shared" si="67"/>
        <v>0</v>
      </c>
      <c r="AB141" s="375">
        <f t="shared" si="67"/>
        <v>0</v>
      </c>
      <c r="AC141" s="375">
        <f t="shared" si="67"/>
        <v>0</v>
      </c>
      <c r="AF141" s="375">
        <f t="shared" si="68"/>
        <v>0</v>
      </c>
      <c r="AG141" s="375">
        <f t="shared" si="68"/>
        <v>0</v>
      </c>
      <c r="AH141" s="375">
        <f t="shared" si="68"/>
        <v>0</v>
      </c>
      <c r="AI141" s="375">
        <f t="shared" si="68"/>
        <v>0</v>
      </c>
      <c r="AJ141" s="375">
        <f t="shared" si="68"/>
        <v>0</v>
      </c>
      <c r="AK141" s="375">
        <f t="shared" si="68"/>
        <v>416.66666666666669</v>
      </c>
      <c r="AL141" s="375">
        <f t="shared" si="68"/>
        <v>416.66666666666669</v>
      </c>
      <c r="AM141" s="375">
        <f t="shared" si="68"/>
        <v>416.66666666666669</v>
      </c>
      <c r="AN141" s="375">
        <f t="shared" si="68"/>
        <v>416.66666666666669</v>
      </c>
      <c r="AO141" s="375">
        <f t="shared" si="68"/>
        <v>416.66666666666669</v>
      </c>
      <c r="AP141" s="375">
        <f t="shared" si="69"/>
        <v>416.66666666666669</v>
      </c>
      <c r="AQ141" s="375">
        <f t="shared" si="69"/>
        <v>416.66666666666669</v>
      </c>
      <c r="AR141" s="375">
        <f t="shared" si="69"/>
        <v>416.66666666666669</v>
      </c>
      <c r="AS141" s="375">
        <f t="shared" si="69"/>
        <v>416.66666666666669</v>
      </c>
      <c r="AT141" s="375">
        <f t="shared" si="69"/>
        <v>416.66666666666669</v>
      </c>
      <c r="AU141" s="375">
        <f t="shared" si="69"/>
        <v>416.66666666666669</v>
      </c>
      <c r="AV141" s="375">
        <f t="shared" si="69"/>
        <v>416.66666666666669</v>
      </c>
      <c r="AW141" s="375">
        <f t="shared" si="69"/>
        <v>0</v>
      </c>
      <c r="AX141" s="375">
        <f t="shared" si="69"/>
        <v>0</v>
      </c>
      <c r="AY141" s="375">
        <f t="shared" si="69"/>
        <v>0</v>
      </c>
      <c r="AZ141" s="375">
        <f t="shared" si="70"/>
        <v>0</v>
      </c>
      <c r="BA141" s="375">
        <f t="shared" si="70"/>
        <v>0</v>
      </c>
      <c r="BB141" s="375">
        <f t="shared" si="70"/>
        <v>0</v>
      </c>
      <c r="BC141" s="375">
        <f t="shared" si="70"/>
        <v>0</v>
      </c>
      <c r="BD141" s="375">
        <f t="shared" si="70"/>
        <v>0</v>
      </c>
      <c r="BE141" s="375">
        <f t="shared" si="70"/>
        <v>0</v>
      </c>
      <c r="BF141" s="375">
        <f t="shared" si="70"/>
        <v>0</v>
      </c>
      <c r="BG141" s="375">
        <f t="shared" si="70"/>
        <v>0</v>
      </c>
      <c r="BH141" s="375">
        <f t="shared" si="70"/>
        <v>0</v>
      </c>
      <c r="BI141" s="375">
        <f t="shared" si="70"/>
        <v>0</v>
      </c>
      <c r="BJ141" s="375">
        <f t="shared" si="71"/>
        <v>0</v>
      </c>
      <c r="BK141" s="375">
        <f t="shared" si="71"/>
        <v>0</v>
      </c>
      <c r="BL141" s="375">
        <f t="shared" si="71"/>
        <v>0</v>
      </c>
      <c r="BM141" s="375">
        <f t="shared" si="71"/>
        <v>0</v>
      </c>
      <c r="BN141" s="375">
        <f t="shared" si="71"/>
        <v>0</v>
      </c>
      <c r="BO141" s="375">
        <f t="shared" si="71"/>
        <v>0</v>
      </c>
      <c r="BP141" s="375">
        <f t="shared" si="71"/>
        <v>0</v>
      </c>
      <c r="BQ141" s="375">
        <f t="shared" si="71"/>
        <v>0</v>
      </c>
      <c r="BR141" s="375">
        <f t="shared" si="71"/>
        <v>0</v>
      </c>
      <c r="BS141" s="375">
        <f t="shared" si="71"/>
        <v>0</v>
      </c>
      <c r="BT141" s="375">
        <f t="shared" si="72"/>
        <v>0</v>
      </c>
      <c r="BU141" s="375">
        <f t="shared" si="72"/>
        <v>0</v>
      </c>
      <c r="BV141" s="375">
        <f t="shared" si="72"/>
        <v>0</v>
      </c>
      <c r="BW141" s="375">
        <f t="shared" si="72"/>
        <v>0</v>
      </c>
      <c r="BX141" s="375">
        <f t="shared" si="72"/>
        <v>0</v>
      </c>
      <c r="BY141" s="375">
        <f t="shared" si="72"/>
        <v>0</v>
      </c>
      <c r="BZ141" s="375">
        <f t="shared" si="72"/>
        <v>0</v>
      </c>
      <c r="CA141" s="375">
        <f t="shared" si="72"/>
        <v>0</v>
      </c>
    </row>
    <row r="142" spans="2:79" ht="21" hidden="1" customHeight="1" outlineLevel="2">
      <c r="D142" s="374">
        <f t="shared" si="73"/>
        <v>45138</v>
      </c>
      <c r="E142" s="430" cm="1">
        <f t="array" ref="E142">INDEX($AF$131:$CA$131,0,MATCH(D142,$AF$8:$CA$8,0))</f>
        <v>5000</v>
      </c>
      <c r="H142" s="375">
        <f t="shared" si="66"/>
        <v>2500</v>
      </c>
      <c r="I142" s="375">
        <f t="shared" si="66"/>
        <v>2500</v>
      </c>
      <c r="J142" s="375">
        <f t="shared" si="66"/>
        <v>0</v>
      </c>
      <c r="K142" s="375">
        <f t="shared" si="66"/>
        <v>0</v>
      </c>
      <c r="N142" s="375">
        <f t="shared" si="67"/>
        <v>0</v>
      </c>
      <c r="O142" s="375">
        <f t="shared" si="67"/>
        <v>0</v>
      </c>
      <c r="P142" s="375">
        <f t="shared" si="67"/>
        <v>1250</v>
      </c>
      <c r="Q142" s="375">
        <f t="shared" si="67"/>
        <v>1250</v>
      </c>
      <c r="R142" s="375">
        <f t="shared" si="67"/>
        <v>1250</v>
      </c>
      <c r="S142" s="375">
        <f t="shared" si="67"/>
        <v>1250</v>
      </c>
      <c r="T142" s="375">
        <f t="shared" si="67"/>
        <v>0</v>
      </c>
      <c r="U142" s="375">
        <f t="shared" si="67"/>
        <v>0</v>
      </c>
      <c r="V142" s="375">
        <f t="shared" si="67"/>
        <v>0</v>
      </c>
      <c r="W142" s="375">
        <f t="shared" si="67"/>
        <v>0</v>
      </c>
      <c r="X142" s="375">
        <f t="shared" si="67"/>
        <v>0</v>
      </c>
      <c r="Y142" s="375">
        <f t="shared" si="67"/>
        <v>0</v>
      </c>
      <c r="Z142" s="375">
        <f t="shared" si="67"/>
        <v>0</v>
      </c>
      <c r="AA142" s="375">
        <f t="shared" si="67"/>
        <v>0</v>
      </c>
      <c r="AB142" s="375">
        <f t="shared" si="67"/>
        <v>0</v>
      </c>
      <c r="AC142" s="375">
        <f t="shared" si="67"/>
        <v>0</v>
      </c>
      <c r="AF142" s="375">
        <f t="shared" si="68"/>
        <v>0</v>
      </c>
      <c r="AG142" s="375">
        <f t="shared" si="68"/>
        <v>0</v>
      </c>
      <c r="AH142" s="375">
        <f t="shared" si="68"/>
        <v>0</v>
      </c>
      <c r="AI142" s="375">
        <f t="shared" si="68"/>
        <v>0</v>
      </c>
      <c r="AJ142" s="375">
        <f t="shared" si="68"/>
        <v>0</v>
      </c>
      <c r="AK142" s="375">
        <f t="shared" si="68"/>
        <v>0</v>
      </c>
      <c r="AL142" s="375">
        <f t="shared" si="68"/>
        <v>416.66666666666669</v>
      </c>
      <c r="AM142" s="375">
        <f t="shared" si="68"/>
        <v>416.66666666666669</v>
      </c>
      <c r="AN142" s="375">
        <f t="shared" si="68"/>
        <v>416.66666666666669</v>
      </c>
      <c r="AO142" s="375">
        <f t="shared" si="68"/>
        <v>416.66666666666669</v>
      </c>
      <c r="AP142" s="375">
        <f t="shared" si="69"/>
        <v>416.66666666666669</v>
      </c>
      <c r="AQ142" s="375">
        <f t="shared" si="69"/>
        <v>416.66666666666669</v>
      </c>
      <c r="AR142" s="375">
        <f t="shared" si="69"/>
        <v>416.66666666666669</v>
      </c>
      <c r="AS142" s="375">
        <f t="shared" si="69"/>
        <v>416.66666666666669</v>
      </c>
      <c r="AT142" s="375">
        <f t="shared" si="69"/>
        <v>416.66666666666669</v>
      </c>
      <c r="AU142" s="375">
        <f t="shared" si="69"/>
        <v>416.66666666666669</v>
      </c>
      <c r="AV142" s="375">
        <f t="shared" si="69"/>
        <v>416.66666666666669</v>
      </c>
      <c r="AW142" s="375">
        <f t="shared" si="69"/>
        <v>416.66666666666669</v>
      </c>
      <c r="AX142" s="375">
        <f t="shared" si="69"/>
        <v>0</v>
      </c>
      <c r="AY142" s="375">
        <f t="shared" si="69"/>
        <v>0</v>
      </c>
      <c r="AZ142" s="375">
        <f t="shared" si="70"/>
        <v>0</v>
      </c>
      <c r="BA142" s="375">
        <f t="shared" si="70"/>
        <v>0</v>
      </c>
      <c r="BB142" s="375">
        <f t="shared" si="70"/>
        <v>0</v>
      </c>
      <c r="BC142" s="375">
        <f t="shared" si="70"/>
        <v>0</v>
      </c>
      <c r="BD142" s="375">
        <f t="shared" si="70"/>
        <v>0</v>
      </c>
      <c r="BE142" s="375">
        <f t="shared" si="70"/>
        <v>0</v>
      </c>
      <c r="BF142" s="375">
        <f t="shared" si="70"/>
        <v>0</v>
      </c>
      <c r="BG142" s="375">
        <f t="shared" si="70"/>
        <v>0</v>
      </c>
      <c r="BH142" s="375">
        <f t="shared" si="70"/>
        <v>0</v>
      </c>
      <c r="BI142" s="375">
        <f t="shared" si="70"/>
        <v>0</v>
      </c>
      <c r="BJ142" s="375">
        <f t="shared" si="71"/>
        <v>0</v>
      </c>
      <c r="BK142" s="375">
        <f t="shared" si="71"/>
        <v>0</v>
      </c>
      <c r="BL142" s="375">
        <f t="shared" si="71"/>
        <v>0</v>
      </c>
      <c r="BM142" s="375">
        <f t="shared" si="71"/>
        <v>0</v>
      </c>
      <c r="BN142" s="375">
        <f t="shared" si="71"/>
        <v>0</v>
      </c>
      <c r="BO142" s="375">
        <f t="shared" si="71"/>
        <v>0</v>
      </c>
      <c r="BP142" s="375">
        <f t="shared" si="71"/>
        <v>0</v>
      </c>
      <c r="BQ142" s="375">
        <f t="shared" si="71"/>
        <v>0</v>
      </c>
      <c r="BR142" s="375">
        <f t="shared" si="71"/>
        <v>0</v>
      </c>
      <c r="BS142" s="375">
        <f t="shared" si="71"/>
        <v>0</v>
      </c>
      <c r="BT142" s="375">
        <f t="shared" si="72"/>
        <v>0</v>
      </c>
      <c r="BU142" s="375">
        <f t="shared" si="72"/>
        <v>0</v>
      </c>
      <c r="BV142" s="375">
        <f t="shared" si="72"/>
        <v>0</v>
      </c>
      <c r="BW142" s="375">
        <f t="shared" si="72"/>
        <v>0</v>
      </c>
      <c r="BX142" s="375">
        <f t="shared" si="72"/>
        <v>0</v>
      </c>
      <c r="BY142" s="375">
        <f t="shared" si="72"/>
        <v>0</v>
      </c>
      <c r="BZ142" s="375">
        <f t="shared" si="72"/>
        <v>0</v>
      </c>
      <c r="CA142" s="375">
        <f t="shared" si="72"/>
        <v>0</v>
      </c>
    </row>
    <row r="143" spans="2:79" ht="21" hidden="1" customHeight="1" outlineLevel="2">
      <c r="D143" s="374">
        <f t="shared" si="73"/>
        <v>45169</v>
      </c>
      <c r="E143" s="430" cm="1">
        <f t="array" ref="E143">INDEX($AF$131:$CA$131,0,MATCH(D143,$AF$8:$CA$8,0))</f>
        <v>5000</v>
      </c>
      <c r="H143" s="375">
        <f t="shared" si="66"/>
        <v>2083.3333333333335</v>
      </c>
      <c r="I143" s="375">
        <f t="shared" si="66"/>
        <v>2916.6666666666665</v>
      </c>
      <c r="J143" s="375">
        <f t="shared" si="66"/>
        <v>0</v>
      </c>
      <c r="K143" s="375">
        <f t="shared" si="66"/>
        <v>0</v>
      </c>
      <c r="N143" s="375">
        <f t="shared" si="67"/>
        <v>0</v>
      </c>
      <c r="O143" s="375">
        <f t="shared" si="67"/>
        <v>0</v>
      </c>
      <c r="P143" s="375">
        <f t="shared" si="67"/>
        <v>833.33333333333337</v>
      </c>
      <c r="Q143" s="375">
        <f t="shared" si="67"/>
        <v>1250</v>
      </c>
      <c r="R143" s="375">
        <f t="shared" si="67"/>
        <v>1250</v>
      </c>
      <c r="S143" s="375">
        <f t="shared" si="67"/>
        <v>1250</v>
      </c>
      <c r="T143" s="375">
        <f t="shared" si="67"/>
        <v>416.66666666666669</v>
      </c>
      <c r="U143" s="375">
        <f t="shared" si="67"/>
        <v>0</v>
      </c>
      <c r="V143" s="375">
        <f t="shared" si="67"/>
        <v>0</v>
      </c>
      <c r="W143" s="375">
        <f t="shared" si="67"/>
        <v>0</v>
      </c>
      <c r="X143" s="375">
        <f t="shared" si="67"/>
        <v>0</v>
      </c>
      <c r="Y143" s="375">
        <f t="shared" si="67"/>
        <v>0</v>
      </c>
      <c r="Z143" s="375">
        <f t="shared" si="67"/>
        <v>0</v>
      </c>
      <c r="AA143" s="375">
        <f t="shared" si="67"/>
        <v>0</v>
      </c>
      <c r="AB143" s="375">
        <f t="shared" si="67"/>
        <v>0</v>
      </c>
      <c r="AC143" s="375">
        <f t="shared" si="67"/>
        <v>0</v>
      </c>
      <c r="AF143" s="375">
        <f t="shared" si="68"/>
        <v>0</v>
      </c>
      <c r="AG143" s="375">
        <f t="shared" si="68"/>
        <v>0</v>
      </c>
      <c r="AH143" s="375">
        <f t="shared" si="68"/>
        <v>0</v>
      </c>
      <c r="AI143" s="375">
        <f t="shared" si="68"/>
        <v>0</v>
      </c>
      <c r="AJ143" s="375">
        <f t="shared" si="68"/>
        <v>0</v>
      </c>
      <c r="AK143" s="375">
        <f t="shared" si="68"/>
        <v>0</v>
      </c>
      <c r="AL143" s="375">
        <f t="shared" si="68"/>
        <v>0</v>
      </c>
      <c r="AM143" s="375">
        <f t="shared" si="68"/>
        <v>416.66666666666669</v>
      </c>
      <c r="AN143" s="375">
        <f t="shared" si="68"/>
        <v>416.66666666666669</v>
      </c>
      <c r="AO143" s="375">
        <f t="shared" si="68"/>
        <v>416.66666666666669</v>
      </c>
      <c r="AP143" s="375">
        <f t="shared" si="69"/>
        <v>416.66666666666669</v>
      </c>
      <c r="AQ143" s="375">
        <f t="shared" si="69"/>
        <v>416.66666666666669</v>
      </c>
      <c r="AR143" s="375">
        <f t="shared" si="69"/>
        <v>416.66666666666669</v>
      </c>
      <c r="AS143" s="375">
        <f t="shared" si="69"/>
        <v>416.66666666666669</v>
      </c>
      <c r="AT143" s="375">
        <f t="shared" si="69"/>
        <v>416.66666666666669</v>
      </c>
      <c r="AU143" s="375">
        <f t="shared" si="69"/>
        <v>416.66666666666669</v>
      </c>
      <c r="AV143" s="375">
        <f t="shared" si="69"/>
        <v>416.66666666666669</v>
      </c>
      <c r="AW143" s="375">
        <f t="shared" si="69"/>
        <v>416.66666666666669</v>
      </c>
      <c r="AX143" s="375">
        <f t="shared" si="69"/>
        <v>416.66666666666669</v>
      </c>
      <c r="AY143" s="375">
        <f t="shared" si="69"/>
        <v>0</v>
      </c>
      <c r="AZ143" s="375">
        <f t="shared" si="70"/>
        <v>0</v>
      </c>
      <c r="BA143" s="375">
        <f t="shared" si="70"/>
        <v>0</v>
      </c>
      <c r="BB143" s="375">
        <f t="shared" si="70"/>
        <v>0</v>
      </c>
      <c r="BC143" s="375">
        <f t="shared" si="70"/>
        <v>0</v>
      </c>
      <c r="BD143" s="375">
        <f t="shared" si="70"/>
        <v>0</v>
      </c>
      <c r="BE143" s="375">
        <f t="shared" si="70"/>
        <v>0</v>
      </c>
      <c r="BF143" s="375">
        <f t="shared" si="70"/>
        <v>0</v>
      </c>
      <c r="BG143" s="375">
        <f t="shared" si="70"/>
        <v>0</v>
      </c>
      <c r="BH143" s="375">
        <f t="shared" si="70"/>
        <v>0</v>
      </c>
      <c r="BI143" s="375">
        <f t="shared" si="70"/>
        <v>0</v>
      </c>
      <c r="BJ143" s="375">
        <f t="shared" si="71"/>
        <v>0</v>
      </c>
      <c r="BK143" s="375">
        <f t="shared" si="71"/>
        <v>0</v>
      </c>
      <c r="BL143" s="375">
        <f t="shared" si="71"/>
        <v>0</v>
      </c>
      <c r="BM143" s="375">
        <f t="shared" si="71"/>
        <v>0</v>
      </c>
      <c r="BN143" s="375">
        <f t="shared" si="71"/>
        <v>0</v>
      </c>
      <c r="BO143" s="375">
        <f t="shared" si="71"/>
        <v>0</v>
      </c>
      <c r="BP143" s="375">
        <f t="shared" si="71"/>
        <v>0</v>
      </c>
      <c r="BQ143" s="375">
        <f t="shared" si="71"/>
        <v>0</v>
      </c>
      <c r="BR143" s="375">
        <f t="shared" si="71"/>
        <v>0</v>
      </c>
      <c r="BS143" s="375">
        <f t="shared" si="71"/>
        <v>0</v>
      </c>
      <c r="BT143" s="375">
        <f t="shared" si="72"/>
        <v>0</v>
      </c>
      <c r="BU143" s="375">
        <f t="shared" si="72"/>
        <v>0</v>
      </c>
      <c r="BV143" s="375">
        <f t="shared" si="72"/>
        <v>0</v>
      </c>
      <c r="BW143" s="375">
        <f t="shared" si="72"/>
        <v>0</v>
      </c>
      <c r="BX143" s="375">
        <f t="shared" si="72"/>
        <v>0</v>
      </c>
      <c r="BY143" s="375">
        <f t="shared" si="72"/>
        <v>0</v>
      </c>
      <c r="BZ143" s="375">
        <f t="shared" si="72"/>
        <v>0</v>
      </c>
      <c r="CA143" s="375">
        <f t="shared" si="72"/>
        <v>0</v>
      </c>
    </row>
    <row r="144" spans="2:79" ht="21" hidden="1" customHeight="1" outlineLevel="2">
      <c r="D144" s="374">
        <f t="shared" si="73"/>
        <v>45199</v>
      </c>
      <c r="E144" s="430" cm="1">
        <f t="array" ref="E144">INDEX($AF$131:$CA$131,0,MATCH(D144,$AF$8:$CA$8,0))</f>
        <v>5000</v>
      </c>
      <c r="G144" s="359"/>
      <c r="H144" s="375">
        <f t="shared" si="66"/>
        <v>1666.6666666666667</v>
      </c>
      <c r="I144" s="375">
        <f t="shared" si="66"/>
        <v>3333.333333333333</v>
      </c>
      <c r="J144" s="375">
        <f t="shared" si="66"/>
        <v>0</v>
      </c>
      <c r="K144" s="375">
        <f t="shared" si="66"/>
        <v>0</v>
      </c>
      <c r="N144" s="375">
        <f t="shared" si="67"/>
        <v>0</v>
      </c>
      <c r="O144" s="375">
        <f t="shared" si="67"/>
        <v>0</v>
      </c>
      <c r="P144" s="375">
        <f t="shared" si="67"/>
        <v>416.66666666666669</v>
      </c>
      <c r="Q144" s="375">
        <f t="shared" si="67"/>
        <v>1250</v>
      </c>
      <c r="R144" s="375">
        <f t="shared" si="67"/>
        <v>1250</v>
      </c>
      <c r="S144" s="375">
        <f t="shared" si="67"/>
        <v>1250</v>
      </c>
      <c r="T144" s="375">
        <f t="shared" si="67"/>
        <v>833.33333333333337</v>
      </c>
      <c r="U144" s="375">
        <f t="shared" si="67"/>
        <v>0</v>
      </c>
      <c r="V144" s="375">
        <f t="shared" si="67"/>
        <v>0</v>
      </c>
      <c r="W144" s="375">
        <f t="shared" si="67"/>
        <v>0</v>
      </c>
      <c r="X144" s="375">
        <f t="shared" si="67"/>
        <v>0</v>
      </c>
      <c r="Y144" s="375">
        <f t="shared" si="67"/>
        <v>0</v>
      </c>
      <c r="Z144" s="375">
        <f t="shared" si="67"/>
        <v>0</v>
      </c>
      <c r="AA144" s="375">
        <f t="shared" si="67"/>
        <v>0</v>
      </c>
      <c r="AB144" s="375">
        <f t="shared" si="67"/>
        <v>0</v>
      </c>
      <c r="AC144" s="375">
        <f t="shared" si="67"/>
        <v>0</v>
      </c>
      <c r="AF144" s="375">
        <f t="shared" si="68"/>
        <v>0</v>
      </c>
      <c r="AG144" s="375">
        <f t="shared" si="68"/>
        <v>0</v>
      </c>
      <c r="AH144" s="375">
        <f t="shared" si="68"/>
        <v>0</v>
      </c>
      <c r="AI144" s="375">
        <f t="shared" si="68"/>
        <v>0</v>
      </c>
      <c r="AJ144" s="375">
        <f t="shared" si="68"/>
        <v>0</v>
      </c>
      <c r="AK144" s="375">
        <f t="shared" si="68"/>
        <v>0</v>
      </c>
      <c r="AL144" s="375">
        <f t="shared" si="68"/>
        <v>0</v>
      </c>
      <c r="AM144" s="375">
        <f t="shared" si="68"/>
        <v>0</v>
      </c>
      <c r="AN144" s="375">
        <f t="shared" si="68"/>
        <v>416.66666666666669</v>
      </c>
      <c r="AO144" s="375">
        <f t="shared" si="68"/>
        <v>416.66666666666669</v>
      </c>
      <c r="AP144" s="375">
        <f t="shared" si="69"/>
        <v>416.66666666666669</v>
      </c>
      <c r="AQ144" s="375">
        <f t="shared" si="69"/>
        <v>416.66666666666669</v>
      </c>
      <c r="AR144" s="375">
        <f t="shared" si="69"/>
        <v>416.66666666666669</v>
      </c>
      <c r="AS144" s="375">
        <f t="shared" si="69"/>
        <v>416.66666666666669</v>
      </c>
      <c r="AT144" s="375">
        <f t="shared" si="69"/>
        <v>416.66666666666669</v>
      </c>
      <c r="AU144" s="375">
        <f t="shared" si="69"/>
        <v>416.66666666666669</v>
      </c>
      <c r="AV144" s="375">
        <f t="shared" si="69"/>
        <v>416.66666666666669</v>
      </c>
      <c r="AW144" s="375">
        <f t="shared" si="69"/>
        <v>416.66666666666669</v>
      </c>
      <c r="AX144" s="375">
        <f t="shared" si="69"/>
        <v>416.66666666666669</v>
      </c>
      <c r="AY144" s="375">
        <f t="shared" si="69"/>
        <v>416.66666666666669</v>
      </c>
      <c r="AZ144" s="375">
        <f t="shared" si="70"/>
        <v>0</v>
      </c>
      <c r="BA144" s="375">
        <f t="shared" si="70"/>
        <v>0</v>
      </c>
      <c r="BB144" s="375">
        <f t="shared" si="70"/>
        <v>0</v>
      </c>
      <c r="BC144" s="375">
        <f t="shared" si="70"/>
        <v>0</v>
      </c>
      <c r="BD144" s="375">
        <f t="shared" si="70"/>
        <v>0</v>
      </c>
      <c r="BE144" s="375">
        <f t="shared" si="70"/>
        <v>0</v>
      </c>
      <c r="BF144" s="375">
        <f t="shared" si="70"/>
        <v>0</v>
      </c>
      <c r="BG144" s="375">
        <f t="shared" si="70"/>
        <v>0</v>
      </c>
      <c r="BH144" s="375">
        <f t="shared" si="70"/>
        <v>0</v>
      </c>
      <c r="BI144" s="375">
        <f t="shared" si="70"/>
        <v>0</v>
      </c>
      <c r="BJ144" s="375">
        <f t="shared" si="71"/>
        <v>0</v>
      </c>
      <c r="BK144" s="375">
        <f t="shared" si="71"/>
        <v>0</v>
      </c>
      <c r="BL144" s="375">
        <f t="shared" si="71"/>
        <v>0</v>
      </c>
      <c r="BM144" s="375">
        <f t="shared" si="71"/>
        <v>0</v>
      </c>
      <c r="BN144" s="375">
        <f t="shared" si="71"/>
        <v>0</v>
      </c>
      <c r="BO144" s="375">
        <f t="shared" si="71"/>
        <v>0</v>
      </c>
      <c r="BP144" s="375">
        <f t="shared" si="71"/>
        <v>0</v>
      </c>
      <c r="BQ144" s="375">
        <f t="shared" si="71"/>
        <v>0</v>
      </c>
      <c r="BR144" s="375">
        <f t="shared" si="71"/>
        <v>0</v>
      </c>
      <c r="BS144" s="375">
        <f t="shared" si="71"/>
        <v>0</v>
      </c>
      <c r="BT144" s="375">
        <f t="shared" si="72"/>
        <v>0</v>
      </c>
      <c r="BU144" s="375">
        <f t="shared" si="72"/>
        <v>0</v>
      </c>
      <c r="BV144" s="375">
        <f t="shared" si="72"/>
        <v>0</v>
      </c>
      <c r="BW144" s="375">
        <f t="shared" si="72"/>
        <v>0</v>
      </c>
      <c r="BX144" s="375">
        <f t="shared" si="72"/>
        <v>0</v>
      </c>
      <c r="BY144" s="375">
        <f t="shared" si="72"/>
        <v>0</v>
      </c>
      <c r="BZ144" s="375">
        <f t="shared" si="72"/>
        <v>0</v>
      </c>
      <c r="CA144" s="375">
        <f t="shared" si="72"/>
        <v>0</v>
      </c>
    </row>
    <row r="145" spans="4:79" ht="21" hidden="1" customHeight="1" outlineLevel="2">
      <c r="D145" s="374">
        <f t="shared" si="73"/>
        <v>45230</v>
      </c>
      <c r="E145" s="430" cm="1">
        <f t="array" ref="E145">INDEX($AF$131:$CA$131,0,MATCH(D145,$AF$8:$CA$8,0))</f>
        <v>7500</v>
      </c>
      <c r="H145" s="375">
        <f t="shared" si="66"/>
        <v>1875</v>
      </c>
      <c r="I145" s="375">
        <f t="shared" si="66"/>
        <v>5625</v>
      </c>
      <c r="J145" s="375">
        <f t="shared" si="66"/>
        <v>0</v>
      </c>
      <c r="K145" s="375">
        <f t="shared" si="66"/>
        <v>0</v>
      </c>
      <c r="M145" s="359"/>
      <c r="N145" s="375">
        <f t="shared" si="67"/>
        <v>0</v>
      </c>
      <c r="O145" s="375">
        <f t="shared" si="67"/>
        <v>0</v>
      </c>
      <c r="P145" s="375">
        <f t="shared" si="67"/>
        <v>0</v>
      </c>
      <c r="Q145" s="375">
        <f t="shared" si="67"/>
        <v>1875</v>
      </c>
      <c r="R145" s="375">
        <f t="shared" si="67"/>
        <v>1875</v>
      </c>
      <c r="S145" s="375">
        <f t="shared" si="67"/>
        <v>1875</v>
      </c>
      <c r="T145" s="375">
        <f t="shared" si="67"/>
        <v>1875</v>
      </c>
      <c r="U145" s="375">
        <f t="shared" si="67"/>
        <v>0</v>
      </c>
      <c r="V145" s="375">
        <f t="shared" si="67"/>
        <v>0</v>
      </c>
      <c r="W145" s="375">
        <f t="shared" si="67"/>
        <v>0</v>
      </c>
      <c r="X145" s="375">
        <f t="shared" si="67"/>
        <v>0</v>
      </c>
      <c r="Y145" s="375">
        <f t="shared" si="67"/>
        <v>0</v>
      </c>
      <c r="Z145" s="375">
        <f t="shared" si="67"/>
        <v>0</v>
      </c>
      <c r="AA145" s="375">
        <f t="shared" si="67"/>
        <v>0</v>
      </c>
      <c r="AB145" s="375">
        <f t="shared" si="67"/>
        <v>0</v>
      </c>
      <c r="AC145" s="375">
        <f t="shared" si="67"/>
        <v>0</v>
      </c>
      <c r="AE145" s="359"/>
      <c r="AF145" s="375">
        <f t="shared" si="68"/>
        <v>0</v>
      </c>
      <c r="AG145" s="375">
        <f t="shared" si="68"/>
        <v>0</v>
      </c>
      <c r="AH145" s="375">
        <f t="shared" si="68"/>
        <v>0</v>
      </c>
      <c r="AI145" s="375">
        <f t="shared" si="68"/>
        <v>0</v>
      </c>
      <c r="AJ145" s="375">
        <f t="shared" si="68"/>
        <v>0</v>
      </c>
      <c r="AK145" s="375">
        <f t="shared" si="68"/>
        <v>0</v>
      </c>
      <c r="AL145" s="375">
        <f t="shared" si="68"/>
        <v>0</v>
      </c>
      <c r="AM145" s="375">
        <f t="shared" si="68"/>
        <v>0</v>
      </c>
      <c r="AN145" s="375">
        <f t="shared" si="68"/>
        <v>0</v>
      </c>
      <c r="AO145" s="375">
        <f t="shared" si="68"/>
        <v>625</v>
      </c>
      <c r="AP145" s="375">
        <f t="shared" si="69"/>
        <v>625</v>
      </c>
      <c r="AQ145" s="375">
        <f t="shared" si="69"/>
        <v>625</v>
      </c>
      <c r="AR145" s="375">
        <f t="shared" si="69"/>
        <v>625</v>
      </c>
      <c r="AS145" s="375">
        <f t="shared" si="69"/>
        <v>625</v>
      </c>
      <c r="AT145" s="375">
        <f t="shared" si="69"/>
        <v>625</v>
      </c>
      <c r="AU145" s="375">
        <f t="shared" si="69"/>
        <v>625</v>
      </c>
      <c r="AV145" s="375">
        <f t="shared" si="69"/>
        <v>625</v>
      </c>
      <c r="AW145" s="375">
        <f t="shared" si="69"/>
        <v>625</v>
      </c>
      <c r="AX145" s="375">
        <f t="shared" si="69"/>
        <v>625</v>
      </c>
      <c r="AY145" s="375">
        <f t="shared" si="69"/>
        <v>625</v>
      </c>
      <c r="AZ145" s="375">
        <f t="shared" si="70"/>
        <v>625</v>
      </c>
      <c r="BA145" s="375">
        <f t="shared" si="70"/>
        <v>0</v>
      </c>
      <c r="BB145" s="375">
        <f t="shared" si="70"/>
        <v>0</v>
      </c>
      <c r="BC145" s="375">
        <f t="shared" si="70"/>
        <v>0</v>
      </c>
      <c r="BD145" s="375">
        <f t="shared" si="70"/>
        <v>0</v>
      </c>
      <c r="BE145" s="375">
        <f t="shared" si="70"/>
        <v>0</v>
      </c>
      <c r="BF145" s="375">
        <f t="shared" si="70"/>
        <v>0</v>
      </c>
      <c r="BG145" s="375">
        <f t="shared" si="70"/>
        <v>0</v>
      </c>
      <c r="BH145" s="375">
        <f t="shared" si="70"/>
        <v>0</v>
      </c>
      <c r="BI145" s="375">
        <f t="shared" si="70"/>
        <v>0</v>
      </c>
      <c r="BJ145" s="375">
        <f t="shared" si="71"/>
        <v>0</v>
      </c>
      <c r="BK145" s="375">
        <f t="shared" si="71"/>
        <v>0</v>
      </c>
      <c r="BL145" s="375">
        <f t="shared" si="71"/>
        <v>0</v>
      </c>
      <c r="BM145" s="375">
        <f t="shared" si="71"/>
        <v>0</v>
      </c>
      <c r="BN145" s="375">
        <f t="shared" si="71"/>
        <v>0</v>
      </c>
      <c r="BO145" s="375">
        <f t="shared" si="71"/>
        <v>0</v>
      </c>
      <c r="BP145" s="375">
        <f t="shared" si="71"/>
        <v>0</v>
      </c>
      <c r="BQ145" s="375">
        <f t="shared" si="71"/>
        <v>0</v>
      </c>
      <c r="BR145" s="375">
        <f t="shared" si="71"/>
        <v>0</v>
      </c>
      <c r="BS145" s="375">
        <f t="shared" si="71"/>
        <v>0</v>
      </c>
      <c r="BT145" s="375">
        <f t="shared" si="72"/>
        <v>0</v>
      </c>
      <c r="BU145" s="375">
        <f t="shared" si="72"/>
        <v>0</v>
      </c>
      <c r="BV145" s="375">
        <f t="shared" si="72"/>
        <v>0</v>
      </c>
      <c r="BW145" s="375">
        <f t="shared" si="72"/>
        <v>0</v>
      </c>
      <c r="BX145" s="375">
        <f t="shared" si="72"/>
        <v>0</v>
      </c>
      <c r="BY145" s="375">
        <f t="shared" si="72"/>
        <v>0</v>
      </c>
      <c r="BZ145" s="375">
        <f t="shared" si="72"/>
        <v>0</v>
      </c>
      <c r="CA145" s="375">
        <f t="shared" si="72"/>
        <v>0</v>
      </c>
    </row>
    <row r="146" spans="4:79" ht="21" hidden="1" customHeight="1" outlineLevel="2">
      <c r="D146" s="374">
        <f t="shared" si="73"/>
        <v>45260</v>
      </c>
      <c r="E146" s="430" cm="1">
        <f t="array" ref="E146">INDEX($AF$131:$CA$131,0,MATCH(D146,$AF$8:$CA$8,0))</f>
        <v>7500</v>
      </c>
      <c r="H146" s="375">
        <f t="shared" si="66"/>
        <v>1250</v>
      </c>
      <c r="I146" s="375">
        <f t="shared" si="66"/>
        <v>6250</v>
      </c>
      <c r="J146" s="375">
        <f t="shared" si="66"/>
        <v>0</v>
      </c>
      <c r="K146" s="375">
        <f t="shared" si="66"/>
        <v>0</v>
      </c>
      <c r="N146" s="375">
        <f t="shared" ref="N146:AC155" si="74">SUMIFS($AF146:$CA146,$AF$6:$CA$6,N$6,$AF$7:$CA$7,N$7)</f>
        <v>0</v>
      </c>
      <c r="O146" s="375">
        <f t="shared" si="74"/>
        <v>0</v>
      </c>
      <c r="P146" s="375">
        <f t="shared" si="74"/>
        <v>0</v>
      </c>
      <c r="Q146" s="375">
        <f t="shared" si="74"/>
        <v>1250</v>
      </c>
      <c r="R146" s="375">
        <f t="shared" si="74"/>
        <v>1875</v>
      </c>
      <c r="S146" s="375">
        <f t="shared" si="74"/>
        <v>1875</v>
      </c>
      <c r="T146" s="375">
        <f t="shared" si="74"/>
        <v>1875</v>
      </c>
      <c r="U146" s="375">
        <f t="shared" si="74"/>
        <v>625</v>
      </c>
      <c r="V146" s="375">
        <f t="shared" si="74"/>
        <v>0</v>
      </c>
      <c r="W146" s="375">
        <f t="shared" si="74"/>
        <v>0</v>
      </c>
      <c r="X146" s="375">
        <f t="shared" si="74"/>
        <v>0</v>
      </c>
      <c r="Y146" s="375">
        <f t="shared" si="74"/>
        <v>0</v>
      </c>
      <c r="Z146" s="375">
        <f t="shared" si="74"/>
        <v>0</v>
      </c>
      <c r="AA146" s="375">
        <f t="shared" si="74"/>
        <v>0</v>
      </c>
      <c r="AB146" s="375">
        <f t="shared" si="74"/>
        <v>0</v>
      </c>
      <c r="AC146" s="375">
        <f t="shared" si="74"/>
        <v>0</v>
      </c>
      <c r="AF146" s="375">
        <f t="shared" ref="AF146:AO155" si="75">IF(AND(AF$8&gt;=$D146,(MATCH(AF$8,$AF$8:$CA$8,0)-MATCH($D146,$AF$8:$CA$8,0))&lt;12),$E146/12,0)</f>
        <v>0</v>
      </c>
      <c r="AG146" s="375">
        <f t="shared" si="75"/>
        <v>0</v>
      </c>
      <c r="AH146" s="375">
        <f t="shared" si="75"/>
        <v>0</v>
      </c>
      <c r="AI146" s="375">
        <f t="shared" si="75"/>
        <v>0</v>
      </c>
      <c r="AJ146" s="375">
        <f t="shared" si="75"/>
        <v>0</v>
      </c>
      <c r="AK146" s="375">
        <f t="shared" si="75"/>
        <v>0</v>
      </c>
      <c r="AL146" s="375">
        <f t="shared" si="75"/>
        <v>0</v>
      </c>
      <c r="AM146" s="375">
        <f t="shared" si="75"/>
        <v>0</v>
      </c>
      <c r="AN146" s="375">
        <f t="shared" si="75"/>
        <v>0</v>
      </c>
      <c r="AO146" s="375">
        <f t="shared" si="75"/>
        <v>0</v>
      </c>
      <c r="AP146" s="375">
        <f t="shared" ref="AP146:AY155" si="76">IF(AND(AP$8&gt;=$D146,(MATCH(AP$8,$AF$8:$CA$8,0)-MATCH($D146,$AF$8:$CA$8,0))&lt;12),$E146/12,0)</f>
        <v>625</v>
      </c>
      <c r="AQ146" s="375">
        <f t="shared" si="76"/>
        <v>625</v>
      </c>
      <c r="AR146" s="375">
        <f t="shared" si="76"/>
        <v>625</v>
      </c>
      <c r="AS146" s="375">
        <f t="shared" si="76"/>
        <v>625</v>
      </c>
      <c r="AT146" s="375">
        <f t="shared" si="76"/>
        <v>625</v>
      </c>
      <c r="AU146" s="375">
        <f t="shared" si="76"/>
        <v>625</v>
      </c>
      <c r="AV146" s="375">
        <f t="shared" si="76"/>
        <v>625</v>
      </c>
      <c r="AW146" s="375">
        <f t="shared" si="76"/>
        <v>625</v>
      </c>
      <c r="AX146" s="375">
        <f t="shared" si="76"/>
        <v>625</v>
      </c>
      <c r="AY146" s="375">
        <f t="shared" si="76"/>
        <v>625</v>
      </c>
      <c r="AZ146" s="375">
        <f t="shared" ref="AZ146:BI155" si="77">IF(AND(AZ$8&gt;=$D146,(MATCH(AZ$8,$AF$8:$CA$8,0)-MATCH($D146,$AF$8:$CA$8,0))&lt;12),$E146/12,0)</f>
        <v>625</v>
      </c>
      <c r="BA146" s="375">
        <f t="shared" si="77"/>
        <v>625</v>
      </c>
      <c r="BB146" s="375">
        <f t="shared" si="77"/>
        <v>0</v>
      </c>
      <c r="BC146" s="375">
        <f t="shared" si="77"/>
        <v>0</v>
      </c>
      <c r="BD146" s="375">
        <f t="shared" si="77"/>
        <v>0</v>
      </c>
      <c r="BE146" s="375">
        <f t="shared" si="77"/>
        <v>0</v>
      </c>
      <c r="BF146" s="375">
        <f t="shared" si="77"/>
        <v>0</v>
      </c>
      <c r="BG146" s="375">
        <f t="shared" si="77"/>
        <v>0</v>
      </c>
      <c r="BH146" s="375">
        <f t="shared" si="77"/>
        <v>0</v>
      </c>
      <c r="BI146" s="375">
        <f t="shared" si="77"/>
        <v>0</v>
      </c>
      <c r="BJ146" s="375">
        <f t="shared" ref="BJ146:BS155" si="78">IF(AND(BJ$8&gt;=$D146,(MATCH(BJ$8,$AF$8:$CA$8,0)-MATCH($D146,$AF$8:$CA$8,0))&lt;12),$E146/12,0)</f>
        <v>0</v>
      </c>
      <c r="BK146" s="375">
        <f t="shared" si="78"/>
        <v>0</v>
      </c>
      <c r="BL146" s="375">
        <f t="shared" si="78"/>
        <v>0</v>
      </c>
      <c r="BM146" s="375">
        <f t="shared" si="78"/>
        <v>0</v>
      </c>
      <c r="BN146" s="375">
        <f t="shared" si="78"/>
        <v>0</v>
      </c>
      <c r="BO146" s="375">
        <f t="shared" si="78"/>
        <v>0</v>
      </c>
      <c r="BP146" s="375">
        <f t="shared" si="78"/>
        <v>0</v>
      </c>
      <c r="BQ146" s="375">
        <f t="shared" si="78"/>
        <v>0</v>
      </c>
      <c r="BR146" s="375">
        <f t="shared" si="78"/>
        <v>0</v>
      </c>
      <c r="BS146" s="375">
        <f t="shared" si="78"/>
        <v>0</v>
      </c>
      <c r="BT146" s="375">
        <f t="shared" ref="BT146:CA155" si="79">IF(AND(BT$8&gt;=$D146,(MATCH(BT$8,$AF$8:$CA$8,0)-MATCH($D146,$AF$8:$CA$8,0))&lt;12),$E146/12,0)</f>
        <v>0</v>
      </c>
      <c r="BU146" s="375">
        <f t="shared" si="79"/>
        <v>0</v>
      </c>
      <c r="BV146" s="375">
        <f t="shared" si="79"/>
        <v>0</v>
      </c>
      <c r="BW146" s="375">
        <f t="shared" si="79"/>
        <v>0</v>
      </c>
      <c r="BX146" s="375">
        <f t="shared" si="79"/>
        <v>0</v>
      </c>
      <c r="BY146" s="375">
        <f t="shared" si="79"/>
        <v>0</v>
      </c>
      <c r="BZ146" s="375">
        <f t="shared" si="79"/>
        <v>0</v>
      </c>
      <c r="CA146" s="375">
        <f t="shared" si="79"/>
        <v>0</v>
      </c>
    </row>
    <row r="147" spans="4:79" ht="21" hidden="1" customHeight="1" outlineLevel="2">
      <c r="D147" s="374">
        <f t="shared" si="73"/>
        <v>45291</v>
      </c>
      <c r="E147" s="430" cm="1">
        <f t="array" ref="E147">INDEX($AF$131:$CA$131,0,MATCH(D147,$AF$8:$CA$8,0))</f>
        <v>7500</v>
      </c>
      <c r="G147" s="431"/>
      <c r="H147" s="375">
        <f t="shared" si="66"/>
        <v>625</v>
      </c>
      <c r="I147" s="375">
        <f t="shared" si="66"/>
        <v>6875</v>
      </c>
      <c r="J147" s="375">
        <f t="shared" si="66"/>
        <v>0</v>
      </c>
      <c r="K147" s="375">
        <f t="shared" si="66"/>
        <v>0</v>
      </c>
      <c r="N147" s="375">
        <f t="shared" si="74"/>
        <v>0</v>
      </c>
      <c r="O147" s="375">
        <f t="shared" si="74"/>
        <v>0</v>
      </c>
      <c r="P147" s="375">
        <f t="shared" si="74"/>
        <v>0</v>
      </c>
      <c r="Q147" s="375">
        <f t="shared" si="74"/>
        <v>625</v>
      </c>
      <c r="R147" s="375">
        <f t="shared" si="74"/>
        <v>1875</v>
      </c>
      <c r="S147" s="375">
        <f t="shared" si="74"/>
        <v>1875</v>
      </c>
      <c r="T147" s="375">
        <f t="shared" si="74"/>
        <v>1875</v>
      </c>
      <c r="U147" s="375">
        <f t="shared" si="74"/>
        <v>1250</v>
      </c>
      <c r="V147" s="375">
        <f t="shared" si="74"/>
        <v>0</v>
      </c>
      <c r="W147" s="375">
        <f t="shared" si="74"/>
        <v>0</v>
      </c>
      <c r="X147" s="375">
        <f t="shared" si="74"/>
        <v>0</v>
      </c>
      <c r="Y147" s="375">
        <f t="shared" si="74"/>
        <v>0</v>
      </c>
      <c r="Z147" s="375">
        <f t="shared" si="74"/>
        <v>0</v>
      </c>
      <c r="AA147" s="375">
        <f t="shared" si="74"/>
        <v>0</v>
      </c>
      <c r="AB147" s="375">
        <f t="shared" si="74"/>
        <v>0</v>
      </c>
      <c r="AC147" s="375">
        <f t="shared" si="74"/>
        <v>0</v>
      </c>
      <c r="AF147" s="375">
        <f t="shared" si="75"/>
        <v>0</v>
      </c>
      <c r="AG147" s="375">
        <f t="shared" si="75"/>
        <v>0</v>
      </c>
      <c r="AH147" s="375">
        <f t="shared" si="75"/>
        <v>0</v>
      </c>
      <c r="AI147" s="375">
        <f t="shared" si="75"/>
        <v>0</v>
      </c>
      <c r="AJ147" s="375">
        <f t="shared" si="75"/>
        <v>0</v>
      </c>
      <c r="AK147" s="375">
        <f t="shared" si="75"/>
        <v>0</v>
      </c>
      <c r="AL147" s="375">
        <f t="shared" si="75"/>
        <v>0</v>
      </c>
      <c r="AM147" s="375">
        <f t="shared" si="75"/>
        <v>0</v>
      </c>
      <c r="AN147" s="375">
        <f t="shared" si="75"/>
        <v>0</v>
      </c>
      <c r="AO147" s="375">
        <f t="shared" si="75"/>
        <v>0</v>
      </c>
      <c r="AP147" s="375">
        <f t="shared" si="76"/>
        <v>0</v>
      </c>
      <c r="AQ147" s="375">
        <f t="shared" si="76"/>
        <v>625</v>
      </c>
      <c r="AR147" s="375">
        <f t="shared" si="76"/>
        <v>625</v>
      </c>
      <c r="AS147" s="375">
        <f t="shared" si="76"/>
        <v>625</v>
      </c>
      <c r="AT147" s="375">
        <f t="shared" si="76"/>
        <v>625</v>
      </c>
      <c r="AU147" s="375">
        <f t="shared" si="76"/>
        <v>625</v>
      </c>
      <c r="AV147" s="375">
        <f t="shared" si="76"/>
        <v>625</v>
      </c>
      <c r="AW147" s="375">
        <f t="shared" si="76"/>
        <v>625</v>
      </c>
      <c r="AX147" s="375">
        <f t="shared" si="76"/>
        <v>625</v>
      </c>
      <c r="AY147" s="375">
        <f t="shared" si="76"/>
        <v>625</v>
      </c>
      <c r="AZ147" s="375">
        <f t="shared" si="77"/>
        <v>625</v>
      </c>
      <c r="BA147" s="375">
        <f t="shared" si="77"/>
        <v>625</v>
      </c>
      <c r="BB147" s="375">
        <f t="shared" si="77"/>
        <v>625</v>
      </c>
      <c r="BC147" s="375">
        <f t="shared" si="77"/>
        <v>0</v>
      </c>
      <c r="BD147" s="375">
        <f t="shared" si="77"/>
        <v>0</v>
      </c>
      <c r="BE147" s="375">
        <f t="shared" si="77"/>
        <v>0</v>
      </c>
      <c r="BF147" s="375">
        <f t="shared" si="77"/>
        <v>0</v>
      </c>
      <c r="BG147" s="375">
        <f t="shared" si="77"/>
        <v>0</v>
      </c>
      <c r="BH147" s="375">
        <f t="shared" si="77"/>
        <v>0</v>
      </c>
      <c r="BI147" s="375">
        <f t="shared" si="77"/>
        <v>0</v>
      </c>
      <c r="BJ147" s="375">
        <f t="shared" si="78"/>
        <v>0</v>
      </c>
      <c r="BK147" s="375">
        <f t="shared" si="78"/>
        <v>0</v>
      </c>
      <c r="BL147" s="375">
        <f t="shared" si="78"/>
        <v>0</v>
      </c>
      <c r="BM147" s="375">
        <f t="shared" si="78"/>
        <v>0</v>
      </c>
      <c r="BN147" s="375">
        <f t="shared" si="78"/>
        <v>0</v>
      </c>
      <c r="BO147" s="375">
        <f t="shared" si="78"/>
        <v>0</v>
      </c>
      <c r="BP147" s="375">
        <f t="shared" si="78"/>
        <v>0</v>
      </c>
      <c r="BQ147" s="375">
        <f t="shared" si="78"/>
        <v>0</v>
      </c>
      <c r="BR147" s="375">
        <f t="shared" si="78"/>
        <v>0</v>
      </c>
      <c r="BS147" s="375">
        <f t="shared" si="78"/>
        <v>0</v>
      </c>
      <c r="BT147" s="375">
        <f t="shared" si="79"/>
        <v>0</v>
      </c>
      <c r="BU147" s="375">
        <f t="shared" si="79"/>
        <v>0</v>
      </c>
      <c r="BV147" s="375">
        <f t="shared" si="79"/>
        <v>0</v>
      </c>
      <c r="BW147" s="375">
        <f t="shared" si="79"/>
        <v>0</v>
      </c>
      <c r="BX147" s="375">
        <f t="shared" si="79"/>
        <v>0</v>
      </c>
      <c r="BY147" s="375">
        <f t="shared" si="79"/>
        <v>0</v>
      </c>
      <c r="BZ147" s="375">
        <f t="shared" si="79"/>
        <v>0</v>
      </c>
      <c r="CA147" s="375">
        <f t="shared" si="79"/>
        <v>0</v>
      </c>
    </row>
    <row r="148" spans="4:79" ht="21" hidden="1" customHeight="1" outlineLevel="2">
      <c r="D148" s="374">
        <f t="shared" si="73"/>
        <v>45322</v>
      </c>
      <c r="E148" s="430" cm="1">
        <f t="array" ref="E148">INDEX($AF$131:$CA$131,0,MATCH(D148,$AF$8:$CA$8,0))</f>
        <v>12500</v>
      </c>
      <c r="G148" s="431"/>
      <c r="H148" s="375">
        <f t="shared" si="66"/>
        <v>0</v>
      </c>
      <c r="I148" s="375">
        <f t="shared" si="66"/>
        <v>12499.999999999998</v>
      </c>
      <c r="J148" s="375">
        <f t="shared" si="66"/>
        <v>0</v>
      </c>
      <c r="K148" s="375">
        <f t="shared" si="66"/>
        <v>0</v>
      </c>
      <c r="M148" s="431"/>
      <c r="N148" s="375">
        <f t="shared" si="74"/>
        <v>0</v>
      </c>
      <c r="O148" s="375">
        <f t="shared" si="74"/>
        <v>0</v>
      </c>
      <c r="P148" s="375">
        <f t="shared" si="74"/>
        <v>0</v>
      </c>
      <c r="Q148" s="375">
        <f t="shared" si="74"/>
        <v>0</v>
      </c>
      <c r="R148" s="375">
        <f t="shared" si="74"/>
        <v>3125</v>
      </c>
      <c r="S148" s="375">
        <f t="shared" si="74"/>
        <v>3125</v>
      </c>
      <c r="T148" s="375">
        <f t="shared" si="74"/>
        <v>3125</v>
      </c>
      <c r="U148" s="375">
        <f t="shared" si="74"/>
        <v>3125</v>
      </c>
      <c r="V148" s="375">
        <f t="shared" si="74"/>
        <v>0</v>
      </c>
      <c r="W148" s="375">
        <f t="shared" si="74"/>
        <v>0</v>
      </c>
      <c r="X148" s="375">
        <f t="shared" si="74"/>
        <v>0</v>
      </c>
      <c r="Y148" s="375">
        <f t="shared" si="74"/>
        <v>0</v>
      </c>
      <c r="Z148" s="375">
        <f t="shared" si="74"/>
        <v>0</v>
      </c>
      <c r="AA148" s="375">
        <f t="shared" si="74"/>
        <v>0</v>
      </c>
      <c r="AB148" s="375">
        <f t="shared" si="74"/>
        <v>0</v>
      </c>
      <c r="AC148" s="375">
        <f t="shared" si="74"/>
        <v>0</v>
      </c>
      <c r="AE148" s="431"/>
      <c r="AF148" s="375">
        <f t="shared" si="75"/>
        <v>0</v>
      </c>
      <c r="AG148" s="375">
        <f t="shared" si="75"/>
        <v>0</v>
      </c>
      <c r="AH148" s="375">
        <f t="shared" si="75"/>
        <v>0</v>
      </c>
      <c r="AI148" s="375">
        <f t="shared" si="75"/>
        <v>0</v>
      </c>
      <c r="AJ148" s="375">
        <f t="shared" si="75"/>
        <v>0</v>
      </c>
      <c r="AK148" s="375">
        <f t="shared" si="75"/>
        <v>0</v>
      </c>
      <c r="AL148" s="375">
        <f t="shared" si="75"/>
        <v>0</v>
      </c>
      <c r="AM148" s="375">
        <f t="shared" si="75"/>
        <v>0</v>
      </c>
      <c r="AN148" s="375">
        <f t="shared" si="75"/>
        <v>0</v>
      </c>
      <c r="AO148" s="375">
        <f t="shared" si="75"/>
        <v>0</v>
      </c>
      <c r="AP148" s="375">
        <f t="shared" si="76"/>
        <v>0</v>
      </c>
      <c r="AQ148" s="375">
        <f t="shared" si="76"/>
        <v>0</v>
      </c>
      <c r="AR148" s="375">
        <f t="shared" si="76"/>
        <v>1041.6666666666667</v>
      </c>
      <c r="AS148" s="375">
        <f t="shared" si="76"/>
        <v>1041.6666666666667</v>
      </c>
      <c r="AT148" s="375">
        <f t="shared" si="76"/>
        <v>1041.6666666666667</v>
      </c>
      <c r="AU148" s="375">
        <f t="shared" si="76"/>
        <v>1041.6666666666667</v>
      </c>
      <c r="AV148" s="375">
        <f t="shared" si="76"/>
        <v>1041.6666666666667</v>
      </c>
      <c r="AW148" s="375">
        <f t="shared" si="76"/>
        <v>1041.6666666666667</v>
      </c>
      <c r="AX148" s="375">
        <f t="shared" si="76"/>
        <v>1041.6666666666667</v>
      </c>
      <c r="AY148" s="375">
        <f t="shared" si="76"/>
        <v>1041.6666666666667</v>
      </c>
      <c r="AZ148" s="375">
        <f t="shared" si="77"/>
        <v>1041.6666666666667</v>
      </c>
      <c r="BA148" s="375">
        <f t="shared" si="77"/>
        <v>1041.6666666666667</v>
      </c>
      <c r="BB148" s="375">
        <f t="shared" si="77"/>
        <v>1041.6666666666667</v>
      </c>
      <c r="BC148" s="375">
        <f t="shared" si="77"/>
        <v>1041.6666666666667</v>
      </c>
      <c r="BD148" s="375">
        <f t="shared" si="77"/>
        <v>0</v>
      </c>
      <c r="BE148" s="375">
        <f t="shared" si="77"/>
        <v>0</v>
      </c>
      <c r="BF148" s="375">
        <f t="shared" si="77"/>
        <v>0</v>
      </c>
      <c r="BG148" s="375">
        <f t="shared" si="77"/>
        <v>0</v>
      </c>
      <c r="BH148" s="375">
        <f t="shared" si="77"/>
        <v>0</v>
      </c>
      <c r="BI148" s="375">
        <f t="shared" si="77"/>
        <v>0</v>
      </c>
      <c r="BJ148" s="375">
        <f t="shared" si="78"/>
        <v>0</v>
      </c>
      <c r="BK148" s="375">
        <f t="shared" si="78"/>
        <v>0</v>
      </c>
      <c r="BL148" s="375">
        <f t="shared" si="78"/>
        <v>0</v>
      </c>
      <c r="BM148" s="375">
        <f t="shared" si="78"/>
        <v>0</v>
      </c>
      <c r="BN148" s="375">
        <f t="shared" si="78"/>
        <v>0</v>
      </c>
      <c r="BO148" s="375">
        <f t="shared" si="78"/>
        <v>0</v>
      </c>
      <c r="BP148" s="375">
        <f t="shared" si="78"/>
        <v>0</v>
      </c>
      <c r="BQ148" s="375">
        <f t="shared" si="78"/>
        <v>0</v>
      </c>
      <c r="BR148" s="375">
        <f t="shared" si="78"/>
        <v>0</v>
      </c>
      <c r="BS148" s="375">
        <f t="shared" si="78"/>
        <v>0</v>
      </c>
      <c r="BT148" s="375">
        <f t="shared" si="79"/>
        <v>0</v>
      </c>
      <c r="BU148" s="375">
        <f t="shared" si="79"/>
        <v>0</v>
      </c>
      <c r="BV148" s="375">
        <f t="shared" si="79"/>
        <v>0</v>
      </c>
      <c r="BW148" s="375">
        <f t="shared" si="79"/>
        <v>0</v>
      </c>
      <c r="BX148" s="375">
        <f t="shared" si="79"/>
        <v>0</v>
      </c>
      <c r="BY148" s="375">
        <f t="shared" si="79"/>
        <v>0</v>
      </c>
      <c r="BZ148" s="375">
        <f t="shared" si="79"/>
        <v>0</v>
      </c>
      <c r="CA148" s="375">
        <f t="shared" si="79"/>
        <v>0</v>
      </c>
    </row>
    <row r="149" spans="4:79" ht="21" hidden="1" customHeight="1" outlineLevel="2">
      <c r="D149" s="374">
        <f t="shared" si="73"/>
        <v>45351</v>
      </c>
      <c r="E149" s="430" cm="1">
        <f t="array" ref="E149">INDEX($AF$131:$CA$131,0,MATCH(D149,$AF$8:$CA$8,0))</f>
        <v>12740</v>
      </c>
      <c r="H149" s="375">
        <f t="shared" si="66"/>
        <v>0</v>
      </c>
      <c r="I149" s="375">
        <f t="shared" si="66"/>
        <v>11678.333333333332</v>
      </c>
      <c r="J149" s="375">
        <f t="shared" si="66"/>
        <v>1061.6666666666667</v>
      </c>
      <c r="K149" s="375">
        <f t="shared" si="66"/>
        <v>0</v>
      </c>
      <c r="M149" s="431"/>
      <c r="N149" s="375">
        <f t="shared" si="74"/>
        <v>0</v>
      </c>
      <c r="O149" s="375">
        <f t="shared" si="74"/>
        <v>0</v>
      </c>
      <c r="P149" s="375">
        <f t="shared" si="74"/>
        <v>0</v>
      </c>
      <c r="Q149" s="375">
        <f t="shared" si="74"/>
        <v>0</v>
      </c>
      <c r="R149" s="375">
        <f t="shared" si="74"/>
        <v>2123.3333333333335</v>
      </c>
      <c r="S149" s="375">
        <f t="shared" si="74"/>
        <v>3185</v>
      </c>
      <c r="T149" s="375">
        <f t="shared" si="74"/>
        <v>3185</v>
      </c>
      <c r="U149" s="375">
        <f t="shared" si="74"/>
        <v>3185</v>
      </c>
      <c r="V149" s="375">
        <f t="shared" si="74"/>
        <v>1061.6666666666667</v>
      </c>
      <c r="W149" s="375">
        <f t="shared" si="74"/>
        <v>0</v>
      </c>
      <c r="X149" s="375">
        <f t="shared" si="74"/>
        <v>0</v>
      </c>
      <c r="Y149" s="375">
        <f t="shared" si="74"/>
        <v>0</v>
      </c>
      <c r="Z149" s="375">
        <f t="shared" si="74"/>
        <v>0</v>
      </c>
      <c r="AA149" s="375">
        <f t="shared" si="74"/>
        <v>0</v>
      </c>
      <c r="AB149" s="375">
        <f t="shared" si="74"/>
        <v>0</v>
      </c>
      <c r="AC149" s="375">
        <f t="shared" si="74"/>
        <v>0</v>
      </c>
      <c r="AE149" s="431"/>
      <c r="AF149" s="375">
        <f t="shared" si="75"/>
        <v>0</v>
      </c>
      <c r="AG149" s="375">
        <f t="shared" si="75"/>
        <v>0</v>
      </c>
      <c r="AH149" s="375">
        <f t="shared" si="75"/>
        <v>0</v>
      </c>
      <c r="AI149" s="375">
        <f t="shared" si="75"/>
        <v>0</v>
      </c>
      <c r="AJ149" s="375">
        <f t="shared" si="75"/>
        <v>0</v>
      </c>
      <c r="AK149" s="375">
        <f t="shared" si="75"/>
        <v>0</v>
      </c>
      <c r="AL149" s="375">
        <f t="shared" si="75"/>
        <v>0</v>
      </c>
      <c r="AM149" s="375">
        <f t="shared" si="75"/>
        <v>0</v>
      </c>
      <c r="AN149" s="375">
        <f t="shared" si="75"/>
        <v>0</v>
      </c>
      <c r="AO149" s="375">
        <f t="shared" si="75"/>
        <v>0</v>
      </c>
      <c r="AP149" s="375">
        <f t="shared" si="76"/>
        <v>0</v>
      </c>
      <c r="AQ149" s="375">
        <f t="shared" si="76"/>
        <v>0</v>
      </c>
      <c r="AR149" s="375">
        <f t="shared" si="76"/>
        <v>0</v>
      </c>
      <c r="AS149" s="375">
        <f t="shared" si="76"/>
        <v>1061.6666666666667</v>
      </c>
      <c r="AT149" s="375">
        <f t="shared" si="76"/>
        <v>1061.6666666666667</v>
      </c>
      <c r="AU149" s="375">
        <f t="shared" si="76"/>
        <v>1061.6666666666667</v>
      </c>
      <c r="AV149" s="375">
        <f t="shared" si="76"/>
        <v>1061.6666666666667</v>
      </c>
      <c r="AW149" s="375">
        <f t="shared" si="76"/>
        <v>1061.6666666666667</v>
      </c>
      <c r="AX149" s="375">
        <f t="shared" si="76"/>
        <v>1061.6666666666667</v>
      </c>
      <c r="AY149" s="375">
        <f t="shared" si="76"/>
        <v>1061.6666666666667</v>
      </c>
      <c r="AZ149" s="375">
        <f t="shared" si="77"/>
        <v>1061.6666666666667</v>
      </c>
      <c r="BA149" s="375">
        <f t="shared" si="77"/>
        <v>1061.6666666666667</v>
      </c>
      <c r="BB149" s="375">
        <f t="shared" si="77"/>
        <v>1061.6666666666667</v>
      </c>
      <c r="BC149" s="375">
        <f t="shared" si="77"/>
        <v>1061.6666666666667</v>
      </c>
      <c r="BD149" s="375">
        <f t="shared" si="77"/>
        <v>1061.6666666666667</v>
      </c>
      <c r="BE149" s="375">
        <f t="shared" si="77"/>
        <v>0</v>
      </c>
      <c r="BF149" s="375">
        <f t="shared" si="77"/>
        <v>0</v>
      </c>
      <c r="BG149" s="375">
        <f t="shared" si="77"/>
        <v>0</v>
      </c>
      <c r="BH149" s="375">
        <f t="shared" si="77"/>
        <v>0</v>
      </c>
      <c r="BI149" s="375">
        <f t="shared" si="77"/>
        <v>0</v>
      </c>
      <c r="BJ149" s="375">
        <f t="shared" si="78"/>
        <v>0</v>
      </c>
      <c r="BK149" s="375">
        <f t="shared" si="78"/>
        <v>0</v>
      </c>
      <c r="BL149" s="375">
        <f t="shared" si="78"/>
        <v>0</v>
      </c>
      <c r="BM149" s="375">
        <f t="shared" si="78"/>
        <v>0</v>
      </c>
      <c r="BN149" s="375">
        <f t="shared" si="78"/>
        <v>0</v>
      </c>
      <c r="BO149" s="375">
        <f t="shared" si="78"/>
        <v>0</v>
      </c>
      <c r="BP149" s="375">
        <f t="shared" si="78"/>
        <v>0</v>
      </c>
      <c r="BQ149" s="375">
        <f t="shared" si="78"/>
        <v>0</v>
      </c>
      <c r="BR149" s="375">
        <f t="shared" si="78"/>
        <v>0</v>
      </c>
      <c r="BS149" s="375">
        <f t="shared" si="78"/>
        <v>0</v>
      </c>
      <c r="BT149" s="375">
        <f t="shared" si="79"/>
        <v>0</v>
      </c>
      <c r="BU149" s="375">
        <f t="shared" si="79"/>
        <v>0</v>
      </c>
      <c r="BV149" s="375">
        <f t="shared" si="79"/>
        <v>0</v>
      </c>
      <c r="BW149" s="375">
        <f t="shared" si="79"/>
        <v>0</v>
      </c>
      <c r="BX149" s="375">
        <f t="shared" si="79"/>
        <v>0</v>
      </c>
      <c r="BY149" s="375">
        <f t="shared" si="79"/>
        <v>0</v>
      </c>
      <c r="BZ149" s="375">
        <f t="shared" si="79"/>
        <v>0</v>
      </c>
      <c r="CA149" s="375">
        <f t="shared" si="79"/>
        <v>0</v>
      </c>
    </row>
    <row r="150" spans="4:79" ht="21" hidden="1" customHeight="1" outlineLevel="2">
      <c r="D150" s="374">
        <f t="shared" si="73"/>
        <v>45382</v>
      </c>
      <c r="E150" s="430" cm="1">
        <f t="array" ref="E150">INDEX($AF$131:$CA$131,0,MATCH(D150,$AF$8:$CA$8,0))</f>
        <v>13140</v>
      </c>
      <c r="H150" s="375">
        <f t="shared" si="66"/>
        <v>0</v>
      </c>
      <c r="I150" s="375">
        <f t="shared" si="66"/>
        <v>10950</v>
      </c>
      <c r="J150" s="375">
        <f t="shared" si="66"/>
        <v>2190</v>
      </c>
      <c r="K150" s="375">
        <f t="shared" si="66"/>
        <v>0</v>
      </c>
      <c r="N150" s="375">
        <f t="shared" si="74"/>
        <v>0</v>
      </c>
      <c r="O150" s="375">
        <f t="shared" si="74"/>
        <v>0</v>
      </c>
      <c r="P150" s="375">
        <f t="shared" si="74"/>
        <v>0</v>
      </c>
      <c r="Q150" s="375">
        <f t="shared" si="74"/>
        <v>0</v>
      </c>
      <c r="R150" s="375">
        <f t="shared" si="74"/>
        <v>1095</v>
      </c>
      <c r="S150" s="375">
        <f t="shared" si="74"/>
        <v>3285</v>
      </c>
      <c r="T150" s="375">
        <f t="shared" si="74"/>
        <v>3285</v>
      </c>
      <c r="U150" s="375">
        <f t="shared" si="74"/>
        <v>3285</v>
      </c>
      <c r="V150" s="375">
        <f t="shared" si="74"/>
        <v>2190</v>
      </c>
      <c r="W150" s="375">
        <f t="shared" si="74"/>
        <v>0</v>
      </c>
      <c r="X150" s="375">
        <f t="shared" si="74"/>
        <v>0</v>
      </c>
      <c r="Y150" s="375">
        <f t="shared" si="74"/>
        <v>0</v>
      </c>
      <c r="Z150" s="375">
        <f t="shared" si="74"/>
        <v>0</v>
      </c>
      <c r="AA150" s="375">
        <f t="shared" si="74"/>
        <v>0</v>
      </c>
      <c r="AB150" s="375">
        <f t="shared" si="74"/>
        <v>0</v>
      </c>
      <c r="AC150" s="375">
        <f t="shared" si="74"/>
        <v>0</v>
      </c>
      <c r="AF150" s="375">
        <f t="shared" si="75"/>
        <v>0</v>
      </c>
      <c r="AG150" s="375">
        <f t="shared" si="75"/>
        <v>0</v>
      </c>
      <c r="AH150" s="375">
        <f t="shared" si="75"/>
        <v>0</v>
      </c>
      <c r="AI150" s="375">
        <f t="shared" si="75"/>
        <v>0</v>
      </c>
      <c r="AJ150" s="375">
        <f t="shared" si="75"/>
        <v>0</v>
      </c>
      <c r="AK150" s="375">
        <f t="shared" si="75"/>
        <v>0</v>
      </c>
      <c r="AL150" s="375">
        <f t="shared" si="75"/>
        <v>0</v>
      </c>
      <c r="AM150" s="375">
        <f t="shared" si="75"/>
        <v>0</v>
      </c>
      <c r="AN150" s="375">
        <f t="shared" si="75"/>
        <v>0</v>
      </c>
      <c r="AO150" s="375">
        <f t="shared" si="75"/>
        <v>0</v>
      </c>
      <c r="AP150" s="375">
        <f t="shared" si="76"/>
        <v>0</v>
      </c>
      <c r="AQ150" s="375">
        <f t="shared" si="76"/>
        <v>0</v>
      </c>
      <c r="AR150" s="375">
        <f t="shared" si="76"/>
        <v>0</v>
      </c>
      <c r="AS150" s="375">
        <f t="shared" si="76"/>
        <v>0</v>
      </c>
      <c r="AT150" s="375">
        <f t="shared" si="76"/>
        <v>1095</v>
      </c>
      <c r="AU150" s="375">
        <f t="shared" si="76"/>
        <v>1095</v>
      </c>
      <c r="AV150" s="375">
        <f t="shared" si="76"/>
        <v>1095</v>
      </c>
      <c r="AW150" s="375">
        <f t="shared" si="76"/>
        <v>1095</v>
      </c>
      <c r="AX150" s="375">
        <f t="shared" si="76"/>
        <v>1095</v>
      </c>
      <c r="AY150" s="375">
        <f t="shared" si="76"/>
        <v>1095</v>
      </c>
      <c r="AZ150" s="375">
        <f t="shared" si="77"/>
        <v>1095</v>
      </c>
      <c r="BA150" s="375">
        <f t="shared" si="77"/>
        <v>1095</v>
      </c>
      <c r="BB150" s="375">
        <f t="shared" si="77"/>
        <v>1095</v>
      </c>
      <c r="BC150" s="375">
        <f t="shared" si="77"/>
        <v>1095</v>
      </c>
      <c r="BD150" s="375">
        <f t="shared" si="77"/>
        <v>1095</v>
      </c>
      <c r="BE150" s="375">
        <f t="shared" si="77"/>
        <v>1095</v>
      </c>
      <c r="BF150" s="375">
        <f t="shared" si="77"/>
        <v>0</v>
      </c>
      <c r="BG150" s="375">
        <f t="shared" si="77"/>
        <v>0</v>
      </c>
      <c r="BH150" s="375">
        <f t="shared" si="77"/>
        <v>0</v>
      </c>
      <c r="BI150" s="375">
        <f t="shared" si="77"/>
        <v>0</v>
      </c>
      <c r="BJ150" s="375">
        <f t="shared" si="78"/>
        <v>0</v>
      </c>
      <c r="BK150" s="375">
        <f t="shared" si="78"/>
        <v>0</v>
      </c>
      <c r="BL150" s="375">
        <f t="shared" si="78"/>
        <v>0</v>
      </c>
      <c r="BM150" s="375">
        <f t="shared" si="78"/>
        <v>0</v>
      </c>
      <c r="BN150" s="375">
        <f t="shared" si="78"/>
        <v>0</v>
      </c>
      <c r="BO150" s="375">
        <f t="shared" si="78"/>
        <v>0</v>
      </c>
      <c r="BP150" s="375">
        <f t="shared" si="78"/>
        <v>0</v>
      </c>
      <c r="BQ150" s="375">
        <f t="shared" si="78"/>
        <v>0</v>
      </c>
      <c r="BR150" s="375">
        <f t="shared" si="78"/>
        <v>0</v>
      </c>
      <c r="BS150" s="375">
        <f t="shared" si="78"/>
        <v>0</v>
      </c>
      <c r="BT150" s="375">
        <f t="shared" si="79"/>
        <v>0</v>
      </c>
      <c r="BU150" s="375">
        <f t="shared" si="79"/>
        <v>0</v>
      </c>
      <c r="BV150" s="375">
        <f t="shared" si="79"/>
        <v>0</v>
      </c>
      <c r="BW150" s="375">
        <f t="shared" si="79"/>
        <v>0</v>
      </c>
      <c r="BX150" s="375">
        <f t="shared" si="79"/>
        <v>0</v>
      </c>
      <c r="BY150" s="375">
        <f t="shared" si="79"/>
        <v>0</v>
      </c>
      <c r="BZ150" s="375">
        <f t="shared" si="79"/>
        <v>0</v>
      </c>
      <c r="CA150" s="375">
        <f t="shared" si="79"/>
        <v>0</v>
      </c>
    </row>
    <row r="151" spans="4:79" ht="21" hidden="1" customHeight="1" outlineLevel="2">
      <c r="D151" s="374">
        <f t="shared" si="73"/>
        <v>45412</v>
      </c>
      <c r="E151" s="430" cm="1">
        <f t="array" ref="E151">INDEX($AF$131:$CA$131,0,MATCH(D151,$AF$8:$CA$8,0))</f>
        <v>13460</v>
      </c>
      <c r="H151" s="375">
        <f t="shared" si="66"/>
        <v>0</v>
      </c>
      <c r="I151" s="375">
        <f t="shared" si="66"/>
        <v>10095</v>
      </c>
      <c r="J151" s="375">
        <f t="shared" si="66"/>
        <v>3365</v>
      </c>
      <c r="K151" s="375">
        <f t="shared" si="66"/>
        <v>0</v>
      </c>
      <c r="N151" s="375">
        <f t="shared" si="74"/>
        <v>0</v>
      </c>
      <c r="O151" s="375">
        <f t="shared" si="74"/>
        <v>0</v>
      </c>
      <c r="P151" s="375">
        <f t="shared" si="74"/>
        <v>0</v>
      </c>
      <c r="Q151" s="375">
        <f t="shared" si="74"/>
        <v>0</v>
      </c>
      <c r="R151" s="375">
        <f t="shared" si="74"/>
        <v>0</v>
      </c>
      <c r="S151" s="375">
        <f t="shared" si="74"/>
        <v>3365</v>
      </c>
      <c r="T151" s="375">
        <f t="shared" si="74"/>
        <v>3365</v>
      </c>
      <c r="U151" s="375">
        <f t="shared" si="74"/>
        <v>3365</v>
      </c>
      <c r="V151" s="375">
        <f t="shared" si="74"/>
        <v>3365</v>
      </c>
      <c r="W151" s="375">
        <f t="shared" si="74"/>
        <v>0</v>
      </c>
      <c r="X151" s="375">
        <f t="shared" si="74"/>
        <v>0</v>
      </c>
      <c r="Y151" s="375">
        <f t="shared" si="74"/>
        <v>0</v>
      </c>
      <c r="Z151" s="375">
        <f t="shared" si="74"/>
        <v>0</v>
      </c>
      <c r="AA151" s="375">
        <f t="shared" si="74"/>
        <v>0</v>
      </c>
      <c r="AB151" s="375">
        <f t="shared" si="74"/>
        <v>0</v>
      </c>
      <c r="AC151" s="375">
        <f t="shared" si="74"/>
        <v>0</v>
      </c>
      <c r="AF151" s="375">
        <f t="shared" si="75"/>
        <v>0</v>
      </c>
      <c r="AG151" s="375">
        <f t="shared" si="75"/>
        <v>0</v>
      </c>
      <c r="AH151" s="375">
        <f t="shared" si="75"/>
        <v>0</v>
      </c>
      <c r="AI151" s="375">
        <f t="shared" si="75"/>
        <v>0</v>
      </c>
      <c r="AJ151" s="375">
        <f t="shared" si="75"/>
        <v>0</v>
      </c>
      <c r="AK151" s="375">
        <f t="shared" si="75"/>
        <v>0</v>
      </c>
      <c r="AL151" s="375">
        <f t="shared" si="75"/>
        <v>0</v>
      </c>
      <c r="AM151" s="375">
        <f t="shared" si="75"/>
        <v>0</v>
      </c>
      <c r="AN151" s="375">
        <f t="shared" si="75"/>
        <v>0</v>
      </c>
      <c r="AO151" s="375">
        <f t="shared" si="75"/>
        <v>0</v>
      </c>
      <c r="AP151" s="375">
        <f t="shared" si="76"/>
        <v>0</v>
      </c>
      <c r="AQ151" s="375">
        <f t="shared" si="76"/>
        <v>0</v>
      </c>
      <c r="AR151" s="375">
        <f t="shared" si="76"/>
        <v>0</v>
      </c>
      <c r="AS151" s="375">
        <f t="shared" si="76"/>
        <v>0</v>
      </c>
      <c r="AT151" s="375">
        <f t="shared" si="76"/>
        <v>0</v>
      </c>
      <c r="AU151" s="375">
        <f t="shared" si="76"/>
        <v>1121.6666666666667</v>
      </c>
      <c r="AV151" s="375">
        <f t="shared" si="76"/>
        <v>1121.6666666666667</v>
      </c>
      <c r="AW151" s="375">
        <f t="shared" si="76"/>
        <v>1121.6666666666667</v>
      </c>
      <c r="AX151" s="375">
        <f t="shared" si="76"/>
        <v>1121.6666666666667</v>
      </c>
      <c r="AY151" s="375">
        <f t="shared" si="76"/>
        <v>1121.6666666666667</v>
      </c>
      <c r="AZ151" s="375">
        <f t="shared" si="77"/>
        <v>1121.6666666666667</v>
      </c>
      <c r="BA151" s="375">
        <f t="shared" si="77"/>
        <v>1121.6666666666667</v>
      </c>
      <c r="BB151" s="375">
        <f t="shared" si="77"/>
        <v>1121.6666666666667</v>
      </c>
      <c r="BC151" s="375">
        <f t="shared" si="77"/>
        <v>1121.6666666666667</v>
      </c>
      <c r="BD151" s="375">
        <f t="shared" si="77"/>
        <v>1121.6666666666667</v>
      </c>
      <c r="BE151" s="375">
        <f t="shared" si="77"/>
        <v>1121.6666666666667</v>
      </c>
      <c r="BF151" s="375">
        <f t="shared" si="77"/>
        <v>1121.6666666666667</v>
      </c>
      <c r="BG151" s="375">
        <f t="shared" si="77"/>
        <v>0</v>
      </c>
      <c r="BH151" s="375">
        <f t="shared" si="77"/>
        <v>0</v>
      </c>
      <c r="BI151" s="375">
        <f t="shared" si="77"/>
        <v>0</v>
      </c>
      <c r="BJ151" s="375">
        <f t="shared" si="78"/>
        <v>0</v>
      </c>
      <c r="BK151" s="375">
        <f t="shared" si="78"/>
        <v>0</v>
      </c>
      <c r="BL151" s="375">
        <f t="shared" si="78"/>
        <v>0</v>
      </c>
      <c r="BM151" s="375">
        <f t="shared" si="78"/>
        <v>0</v>
      </c>
      <c r="BN151" s="375">
        <f t="shared" si="78"/>
        <v>0</v>
      </c>
      <c r="BO151" s="375">
        <f t="shared" si="78"/>
        <v>0</v>
      </c>
      <c r="BP151" s="375">
        <f t="shared" si="78"/>
        <v>0</v>
      </c>
      <c r="BQ151" s="375">
        <f t="shared" si="78"/>
        <v>0</v>
      </c>
      <c r="BR151" s="375">
        <f t="shared" si="78"/>
        <v>0</v>
      </c>
      <c r="BS151" s="375">
        <f t="shared" si="78"/>
        <v>0</v>
      </c>
      <c r="BT151" s="375">
        <f t="shared" si="79"/>
        <v>0</v>
      </c>
      <c r="BU151" s="375">
        <f t="shared" si="79"/>
        <v>0</v>
      </c>
      <c r="BV151" s="375">
        <f t="shared" si="79"/>
        <v>0</v>
      </c>
      <c r="BW151" s="375">
        <f t="shared" si="79"/>
        <v>0</v>
      </c>
      <c r="BX151" s="375">
        <f t="shared" si="79"/>
        <v>0</v>
      </c>
      <c r="BY151" s="375">
        <f t="shared" si="79"/>
        <v>0</v>
      </c>
      <c r="BZ151" s="375">
        <f t="shared" si="79"/>
        <v>0</v>
      </c>
      <c r="CA151" s="375">
        <f t="shared" si="79"/>
        <v>0</v>
      </c>
    </row>
    <row r="152" spans="4:79" ht="21" hidden="1" customHeight="1" outlineLevel="2">
      <c r="D152" s="374">
        <f t="shared" si="73"/>
        <v>45443</v>
      </c>
      <c r="E152" s="430" cm="1">
        <f t="array" ref="E152">INDEX($AF$131:$CA$131,0,MATCH(D152,$AF$8:$CA$8,0))</f>
        <v>13740</v>
      </c>
      <c r="H152" s="375">
        <f t="shared" si="66"/>
        <v>0</v>
      </c>
      <c r="I152" s="375">
        <f t="shared" si="66"/>
        <v>9160</v>
      </c>
      <c r="J152" s="375">
        <f t="shared" si="66"/>
        <v>4580</v>
      </c>
      <c r="K152" s="375">
        <f t="shared" si="66"/>
        <v>0</v>
      </c>
      <c r="N152" s="375">
        <f t="shared" si="74"/>
        <v>0</v>
      </c>
      <c r="O152" s="375">
        <f t="shared" si="74"/>
        <v>0</v>
      </c>
      <c r="P152" s="375">
        <f t="shared" si="74"/>
        <v>0</v>
      </c>
      <c r="Q152" s="375">
        <f t="shared" si="74"/>
        <v>0</v>
      </c>
      <c r="R152" s="375">
        <f t="shared" si="74"/>
        <v>0</v>
      </c>
      <c r="S152" s="375">
        <f t="shared" si="74"/>
        <v>2290</v>
      </c>
      <c r="T152" s="375">
        <f t="shared" si="74"/>
        <v>3435</v>
      </c>
      <c r="U152" s="375">
        <f t="shared" si="74"/>
        <v>3435</v>
      </c>
      <c r="V152" s="375">
        <f t="shared" si="74"/>
        <v>3435</v>
      </c>
      <c r="W152" s="375">
        <f t="shared" si="74"/>
        <v>1145</v>
      </c>
      <c r="X152" s="375">
        <f t="shared" si="74"/>
        <v>0</v>
      </c>
      <c r="Y152" s="375">
        <f t="shared" si="74"/>
        <v>0</v>
      </c>
      <c r="Z152" s="375">
        <f t="shared" si="74"/>
        <v>0</v>
      </c>
      <c r="AA152" s="375">
        <f t="shared" si="74"/>
        <v>0</v>
      </c>
      <c r="AB152" s="375">
        <f t="shared" si="74"/>
        <v>0</v>
      </c>
      <c r="AC152" s="375">
        <f t="shared" si="74"/>
        <v>0</v>
      </c>
      <c r="AF152" s="375">
        <f t="shared" si="75"/>
        <v>0</v>
      </c>
      <c r="AG152" s="375">
        <f t="shared" si="75"/>
        <v>0</v>
      </c>
      <c r="AH152" s="375">
        <f t="shared" si="75"/>
        <v>0</v>
      </c>
      <c r="AI152" s="375">
        <f t="shared" si="75"/>
        <v>0</v>
      </c>
      <c r="AJ152" s="375">
        <f t="shared" si="75"/>
        <v>0</v>
      </c>
      <c r="AK152" s="375">
        <f t="shared" si="75"/>
        <v>0</v>
      </c>
      <c r="AL152" s="375">
        <f t="shared" si="75"/>
        <v>0</v>
      </c>
      <c r="AM152" s="375">
        <f t="shared" si="75"/>
        <v>0</v>
      </c>
      <c r="AN152" s="375">
        <f t="shared" si="75"/>
        <v>0</v>
      </c>
      <c r="AO152" s="375">
        <f t="shared" si="75"/>
        <v>0</v>
      </c>
      <c r="AP152" s="375">
        <f t="shared" si="76"/>
        <v>0</v>
      </c>
      <c r="AQ152" s="375">
        <f t="shared" si="76"/>
        <v>0</v>
      </c>
      <c r="AR152" s="375">
        <f t="shared" si="76"/>
        <v>0</v>
      </c>
      <c r="AS152" s="375">
        <f t="shared" si="76"/>
        <v>0</v>
      </c>
      <c r="AT152" s="375">
        <f t="shared" si="76"/>
        <v>0</v>
      </c>
      <c r="AU152" s="375">
        <f t="shared" si="76"/>
        <v>0</v>
      </c>
      <c r="AV152" s="375">
        <f t="shared" si="76"/>
        <v>1145</v>
      </c>
      <c r="AW152" s="375">
        <f t="shared" si="76"/>
        <v>1145</v>
      </c>
      <c r="AX152" s="375">
        <f t="shared" si="76"/>
        <v>1145</v>
      </c>
      <c r="AY152" s="375">
        <f t="shared" si="76"/>
        <v>1145</v>
      </c>
      <c r="AZ152" s="375">
        <f t="shared" si="77"/>
        <v>1145</v>
      </c>
      <c r="BA152" s="375">
        <f t="shared" si="77"/>
        <v>1145</v>
      </c>
      <c r="BB152" s="375">
        <f t="shared" si="77"/>
        <v>1145</v>
      </c>
      <c r="BC152" s="375">
        <f t="shared" si="77"/>
        <v>1145</v>
      </c>
      <c r="BD152" s="375">
        <f t="shared" si="77"/>
        <v>1145</v>
      </c>
      <c r="BE152" s="375">
        <f t="shared" si="77"/>
        <v>1145</v>
      </c>
      <c r="BF152" s="375">
        <f t="shared" si="77"/>
        <v>1145</v>
      </c>
      <c r="BG152" s="375">
        <f t="shared" si="77"/>
        <v>1145</v>
      </c>
      <c r="BH152" s="375">
        <f t="shared" si="77"/>
        <v>0</v>
      </c>
      <c r="BI152" s="375">
        <f t="shared" si="77"/>
        <v>0</v>
      </c>
      <c r="BJ152" s="375">
        <f t="shared" si="78"/>
        <v>0</v>
      </c>
      <c r="BK152" s="375">
        <f t="shared" si="78"/>
        <v>0</v>
      </c>
      <c r="BL152" s="375">
        <f t="shared" si="78"/>
        <v>0</v>
      </c>
      <c r="BM152" s="375">
        <f t="shared" si="78"/>
        <v>0</v>
      </c>
      <c r="BN152" s="375">
        <f t="shared" si="78"/>
        <v>0</v>
      </c>
      <c r="BO152" s="375">
        <f t="shared" si="78"/>
        <v>0</v>
      </c>
      <c r="BP152" s="375">
        <f t="shared" si="78"/>
        <v>0</v>
      </c>
      <c r="BQ152" s="375">
        <f t="shared" si="78"/>
        <v>0</v>
      </c>
      <c r="BR152" s="375">
        <f t="shared" si="78"/>
        <v>0</v>
      </c>
      <c r="BS152" s="375">
        <f t="shared" si="78"/>
        <v>0</v>
      </c>
      <c r="BT152" s="375">
        <f t="shared" si="79"/>
        <v>0</v>
      </c>
      <c r="BU152" s="375">
        <f t="shared" si="79"/>
        <v>0</v>
      </c>
      <c r="BV152" s="375">
        <f t="shared" si="79"/>
        <v>0</v>
      </c>
      <c r="BW152" s="375">
        <f t="shared" si="79"/>
        <v>0</v>
      </c>
      <c r="BX152" s="375">
        <f t="shared" si="79"/>
        <v>0</v>
      </c>
      <c r="BY152" s="375">
        <f t="shared" si="79"/>
        <v>0</v>
      </c>
      <c r="BZ152" s="375">
        <f t="shared" si="79"/>
        <v>0</v>
      </c>
      <c r="CA152" s="375">
        <f t="shared" si="79"/>
        <v>0</v>
      </c>
    </row>
    <row r="153" spans="4:79" ht="21" hidden="1" customHeight="1" outlineLevel="2">
      <c r="D153" s="374">
        <f t="shared" si="73"/>
        <v>45473</v>
      </c>
      <c r="E153" s="430" cm="1">
        <f t="array" ref="E153">INDEX($AF$131:$CA$131,0,MATCH(D153,$AF$8:$CA$8,0))</f>
        <v>13980</v>
      </c>
      <c r="G153" s="359"/>
      <c r="H153" s="375">
        <f t="shared" si="66"/>
        <v>0</v>
      </c>
      <c r="I153" s="375">
        <f t="shared" si="66"/>
        <v>8155</v>
      </c>
      <c r="J153" s="375">
        <f t="shared" si="66"/>
        <v>5825</v>
      </c>
      <c r="K153" s="375">
        <f t="shared" si="66"/>
        <v>0</v>
      </c>
      <c r="N153" s="375">
        <f t="shared" si="74"/>
        <v>0</v>
      </c>
      <c r="O153" s="375">
        <f t="shared" si="74"/>
        <v>0</v>
      </c>
      <c r="P153" s="375">
        <f t="shared" si="74"/>
        <v>0</v>
      </c>
      <c r="Q153" s="375">
        <f t="shared" si="74"/>
        <v>0</v>
      </c>
      <c r="R153" s="375">
        <f t="shared" si="74"/>
        <v>0</v>
      </c>
      <c r="S153" s="375">
        <f t="shared" si="74"/>
        <v>1165</v>
      </c>
      <c r="T153" s="375">
        <f t="shared" si="74"/>
        <v>3495</v>
      </c>
      <c r="U153" s="375">
        <f t="shared" si="74"/>
        <v>3495</v>
      </c>
      <c r="V153" s="375">
        <f t="shared" si="74"/>
        <v>3495</v>
      </c>
      <c r="W153" s="375">
        <f t="shared" si="74"/>
        <v>2330</v>
      </c>
      <c r="X153" s="375">
        <f t="shared" si="74"/>
        <v>0</v>
      </c>
      <c r="Y153" s="375">
        <f t="shared" si="74"/>
        <v>0</v>
      </c>
      <c r="Z153" s="375">
        <f t="shared" si="74"/>
        <v>0</v>
      </c>
      <c r="AA153" s="375">
        <f t="shared" si="74"/>
        <v>0</v>
      </c>
      <c r="AB153" s="375">
        <f t="shared" si="74"/>
        <v>0</v>
      </c>
      <c r="AC153" s="375">
        <f t="shared" si="74"/>
        <v>0</v>
      </c>
      <c r="AF153" s="375">
        <f t="shared" si="75"/>
        <v>0</v>
      </c>
      <c r="AG153" s="375">
        <f t="shared" si="75"/>
        <v>0</v>
      </c>
      <c r="AH153" s="375">
        <f t="shared" si="75"/>
        <v>0</v>
      </c>
      <c r="AI153" s="375">
        <f t="shared" si="75"/>
        <v>0</v>
      </c>
      <c r="AJ153" s="375">
        <f t="shared" si="75"/>
        <v>0</v>
      </c>
      <c r="AK153" s="375">
        <f t="shared" si="75"/>
        <v>0</v>
      </c>
      <c r="AL153" s="375">
        <f t="shared" si="75"/>
        <v>0</v>
      </c>
      <c r="AM153" s="375">
        <f t="shared" si="75"/>
        <v>0</v>
      </c>
      <c r="AN153" s="375">
        <f t="shared" si="75"/>
        <v>0</v>
      </c>
      <c r="AO153" s="375">
        <f t="shared" si="75"/>
        <v>0</v>
      </c>
      <c r="AP153" s="375">
        <f t="shared" si="76"/>
        <v>0</v>
      </c>
      <c r="AQ153" s="375">
        <f t="shared" si="76"/>
        <v>0</v>
      </c>
      <c r="AR153" s="375">
        <f t="shared" si="76"/>
        <v>0</v>
      </c>
      <c r="AS153" s="375">
        <f t="shared" si="76"/>
        <v>0</v>
      </c>
      <c r="AT153" s="375">
        <f t="shared" si="76"/>
        <v>0</v>
      </c>
      <c r="AU153" s="375">
        <f t="shared" si="76"/>
        <v>0</v>
      </c>
      <c r="AV153" s="375">
        <f t="shared" si="76"/>
        <v>0</v>
      </c>
      <c r="AW153" s="375">
        <f t="shared" si="76"/>
        <v>1165</v>
      </c>
      <c r="AX153" s="375">
        <f t="shared" si="76"/>
        <v>1165</v>
      </c>
      <c r="AY153" s="375">
        <f t="shared" si="76"/>
        <v>1165</v>
      </c>
      <c r="AZ153" s="375">
        <f t="shared" si="77"/>
        <v>1165</v>
      </c>
      <c r="BA153" s="375">
        <f t="shared" si="77"/>
        <v>1165</v>
      </c>
      <c r="BB153" s="375">
        <f t="shared" si="77"/>
        <v>1165</v>
      </c>
      <c r="BC153" s="375">
        <f t="shared" si="77"/>
        <v>1165</v>
      </c>
      <c r="BD153" s="375">
        <f t="shared" si="77"/>
        <v>1165</v>
      </c>
      <c r="BE153" s="375">
        <f t="shared" si="77"/>
        <v>1165</v>
      </c>
      <c r="BF153" s="375">
        <f t="shared" si="77"/>
        <v>1165</v>
      </c>
      <c r="BG153" s="375">
        <f t="shared" si="77"/>
        <v>1165</v>
      </c>
      <c r="BH153" s="375">
        <f t="shared" si="77"/>
        <v>1165</v>
      </c>
      <c r="BI153" s="375">
        <f t="shared" si="77"/>
        <v>0</v>
      </c>
      <c r="BJ153" s="375">
        <f t="shared" si="78"/>
        <v>0</v>
      </c>
      <c r="BK153" s="375">
        <f t="shared" si="78"/>
        <v>0</v>
      </c>
      <c r="BL153" s="375">
        <f t="shared" si="78"/>
        <v>0</v>
      </c>
      <c r="BM153" s="375">
        <f t="shared" si="78"/>
        <v>0</v>
      </c>
      <c r="BN153" s="375">
        <f t="shared" si="78"/>
        <v>0</v>
      </c>
      <c r="BO153" s="375">
        <f t="shared" si="78"/>
        <v>0</v>
      </c>
      <c r="BP153" s="375">
        <f t="shared" si="78"/>
        <v>0</v>
      </c>
      <c r="BQ153" s="375">
        <f t="shared" si="78"/>
        <v>0</v>
      </c>
      <c r="BR153" s="375">
        <f t="shared" si="78"/>
        <v>0</v>
      </c>
      <c r="BS153" s="375">
        <f t="shared" si="78"/>
        <v>0</v>
      </c>
      <c r="BT153" s="375">
        <f t="shared" si="79"/>
        <v>0</v>
      </c>
      <c r="BU153" s="375">
        <f t="shared" si="79"/>
        <v>0</v>
      </c>
      <c r="BV153" s="375">
        <f t="shared" si="79"/>
        <v>0</v>
      </c>
      <c r="BW153" s="375">
        <f t="shared" si="79"/>
        <v>0</v>
      </c>
      <c r="BX153" s="375">
        <f t="shared" si="79"/>
        <v>0</v>
      </c>
      <c r="BY153" s="375">
        <f t="shared" si="79"/>
        <v>0</v>
      </c>
      <c r="BZ153" s="375">
        <f t="shared" si="79"/>
        <v>0</v>
      </c>
      <c r="CA153" s="375">
        <f t="shared" si="79"/>
        <v>0</v>
      </c>
    </row>
    <row r="154" spans="4:79" ht="21" hidden="1" customHeight="1" outlineLevel="2">
      <c r="D154" s="374">
        <f t="shared" si="73"/>
        <v>45504</v>
      </c>
      <c r="E154" s="430" cm="1">
        <f t="array" ref="E154">INDEX($AF$131:$CA$131,0,MATCH(D154,$AF$8:$CA$8,0))</f>
        <v>14100</v>
      </c>
      <c r="G154" s="359"/>
      <c r="H154" s="375">
        <f t="shared" si="66"/>
        <v>0</v>
      </c>
      <c r="I154" s="375">
        <f t="shared" si="66"/>
        <v>7050</v>
      </c>
      <c r="J154" s="375">
        <f t="shared" si="66"/>
        <v>7050</v>
      </c>
      <c r="K154" s="375">
        <f t="shared" si="66"/>
        <v>0</v>
      </c>
      <c r="M154" s="359"/>
      <c r="N154" s="375">
        <f t="shared" si="74"/>
        <v>0</v>
      </c>
      <c r="O154" s="375">
        <f t="shared" si="74"/>
        <v>0</v>
      </c>
      <c r="P154" s="375">
        <f t="shared" si="74"/>
        <v>0</v>
      </c>
      <c r="Q154" s="375">
        <f t="shared" si="74"/>
        <v>0</v>
      </c>
      <c r="R154" s="375">
        <f t="shared" si="74"/>
        <v>0</v>
      </c>
      <c r="S154" s="375">
        <f t="shared" si="74"/>
        <v>0</v>
      </c>
      <c r="T154" s="375">
        <f t="shared" si="74"/>
        <v>3525</v>
      </c>
      <c r="U154" s="375">
        <f t="shared" si="74"/>
        <v>3525</v>
      </c>
      <c r="V154" s="375">
        <f t="shared" si="74"/>
        <v>3525</v>
      </c>
      <c r="W154" s="375">
        <f t="shared" si="74"/>
        <v>3525</v>
      </c>
      <c r="X154" s="375">
        <f t="shared" si="74"/>
        <v>0</v>
      </c>
      <c r="Y154" s="375">
        <f t="shared" si="74"/>
        <v>0</v>
      </c>
      <c r="Z154" s="375">
        <f t="shared" si="74"/>
        <v>0</v>
      </c>
      <c r="AA154" s="375">
        <f t="shared" si="74"/>
        <v>0</v>
      </c>
      <c r="AB154" s="375">
        <f t="shared" si="74"/>
        <v>0</v>
      </c>
      <c r="AC154" s="375">
        <f t="shared" si="74"/>
        <v>0</v>
      </c>
      <c r="AE154" s="359"/>
      <c r="AF154" s="375">
        <f t="shared" si="75"/>
        <v>0</v>
      </c>
      <c r="AG154" s="375">
        <f t="shared" si="75"/>
        <v>0</v>
      </c>
      <c r="AH154" s="375">
        <f t="shared" si="75"/>
        <v>0</v>
      </c>
      <c r="AI154" s="375">
        <f t="shared" si="75"/>
        <v>0</v>
      </c>
      <c r="AJ154" s="375">
        <f t="shared" si="75"/>
        <v>0</v>
      </c>
      <c r="AK154" s="375">
        <f t="shared" si="75"/>
        <v>0</v>
      </c>
      <c r="AL154" s="375">
        <f t="shared" si="75"/>
        <v>0</v>
      </c>
      <c r="AM154" s="375">
        <f t="shared" si="75"/>
        <v>0</v>
      </c>
      <c r="AN154" s="375">
        <f t="shared" si="75"/>
        <v>0</v>
      </c>
      <c r="AO154" s="375">
        <f t="shared" si="75"/>
        <v>0</v>
      </c>
      <c r="AP154" s="375">
        <f t="shared" si="76"/>
        <v>0</v>
      </c>
      <c r="AQ154" s="375">
        <f t="shared" si="76"/>
        <v>0</v>
      </c>
      <c r="AR154" s="375">
        <f t="shared" si="76"/>
        <v>0</v>
      </c>
      <c r="AS154" s="375">
        <f t="shared" si="76"/>
        <v>0</v>
      </c>
      <c r="AT154" s="375">
        <f t="shared" si="76"/>
        <v>0</v>
      </c>
      <c r="AU154" s="375">
        <f t="shared" si="76"/>
        <v>0</v>
      </c>
      <c r="AV154" s="375">
        <f t="shared" si="76"/>
        <v>0</v>
      </c>
      <c r="AW154" s="375">
        <f t="shared" si="76"/>
        <v>0</v>
      </c>
      <c r="AX154" s="375">
        <f t="shared" si="76"/>
        <v>1175</v>
      </c>
      <c r="AY154" s="375">
        <f t="shared" si="76"/>
        <v>1175</v>
      </c>
      <c r="AZ154" s="375">
        <f t="shared" si="77"/>
        <v>1175</v>
      </c>
      <c r="BA154" s="375">
        <f t="shared" si="77"/>
        <v>1175</v>
      </c>
      <c r="BB154" s="375">
        <f t="shared" si="77"/>
        <v>1175</v>
      </c>
      <c r="BC154" s="375">
        <f t="shared" si="77"/>
        <v>1175</v>
      </c>
      <c r="BD154" s="375">
        <f t="shared" si="77"/>
        <v>1175</v>
      </c>
      <c r="BE154" s="375">
        <f t="shared" si="77"/>
        <v>1175</v>
      </c>
      <c r="BF154" s="375">
        <f t="shared" si="77"/>
        <v>1175</v>
      </c>
      <c r="BG154" s="375">
        <f t="shared" si="77"/>
        <v>1175</v>
      </c>
      <c r="BH154" s="375">
        <f t="shared" si="77"/>
        <v>1175</v>
      </c>
      <c r="BI154" s="375">
        <f t="shared" si="77"/>
        <v>1175</v>
      </c>
      <c r="BJ154" s="375">
        <f t="shared" si="78"/>
        <v>0</v>
      </c>
      <c r="BK154" s="375">
        <f t="shared" si="78"/>
        <v>0</v>
      </c>
      <c r="BL154" s="375">
        <f t="shared" si="78"/>
        <v>0</v>
      </c>
      <c r="BM154" s="375">
        <f t="shared" si="78"/>
        <v>0</v>
      </c>
      <c r="BN154" s="375">
        <f t="shared" si="78"/>
        <v>0</v>
      </c>
      <c r="BO154" s="375">
        <f t="shared" si="78"/>
        <v>0</v>
      </c>
      <c r="BP154" s="375">
        <f t="shared" si="78"/>
        <v>0</v>
      </c>
      <c r="BQ154" s="375">
        <f t="shared" si="78"/>
        <v>0</v>
      </c>
      <c r="BR154" s="375">
        <f t="shared" si="78"/>
        <v>0</v>
      </c>
      <c r="BS154" s="375">
        <f t="shared" si="78"/>
        <v>0</v>
      </c>
      <c r="BT154" s="375">
        <f t="shared" si="79"/>
        <v>0</v>
      </c>
      <c r="BU154" s="375">
        <f t="shared" si="79"/>
        <v>0</v>
      </c>
      <c r="BV154" s="375">
        <f t="shared" si="79"/>
        <v>0</v>
      </c>
      <c r="BW154" s="375">
        <f t="shared" si="79"/>
        <v>0</v>
      </c>
      <c r="BX154" s="375">
        <f t="shared" si="79"/>
        <v>0</v>
      </c>
      <c r="BY154" s="375">
        <f t="shared" si="79"/>
        <v>0</v>
      </c>
      <c r="BZ154" s="375">
        <f t="shared" si="79"/>
        <v>0</v>
      </c>
      <c r="CA154" s="375">
        <f t="shared" si="79"/>
        <v>0</v>
      </c>
    </row>
    <row r="155" spans="4:79" ht="21" hidden="1" customHeight="1" outlineLevel="2">
      <c r="D155" s="374">
        <f t="shared" si="73"/>
        <v>45535</v>
      </c>
      <c r="E155" s="430" cm="1">
        <f t="array" ref="E155">INDEX($AF$131:$CA$131,0,MATCH(D155,$AF$8:$CA$8,0))</f>
        <v>14100</v>
      </c>
      <c r="H155" s="375">
        <f t="shared" si="66"/>
        <v>0</v>
      </c>
      <c r="I155" s="375">
        <f t="shared" si="66"/>
        <v>5875</v>
      </c>
      <c r="J155" s="375">
        <f t="shared" si="66"/>
        <v>8225</v>
      </c>
      <c r="K155" s="375">
        <f t="shared" si="66"/>
        <v>0</v>
      </c>
      <c r="M155" s="359"/>
      <c r="N155" s="375">
        <f t="shared" si="74"/>
        <v>0</v>
      </c>
      <c r="O155" s="375">
        <f t="shared" si="74"/>
        <v>0</v>
      </c>
      <c r="P155" s="375">
        <f t="shared" si="74"/>
        <v>0</v>
      </c>
      <c r="Q155" s="375">
        <f t="shared" si="74"/>
        <v>0</v>
      </c>
      <c r="R155" s="375">
        <f t="shared" si="74"/>
        <v>0</v>
      </c>
      <c r="S155" s="375">
        <f t="shared" si="74"/>
        <v>0</v>
      </c>
      <c r="T155" s="375">
        <f t="shared" si="74"/>
        <v>2350</v>
      </c>
      <c r="U155" s="375">
        <f t="shared" si="74"/>
        <v>3525</v>
      </c>
      <c r="V155" s="375">
        <f t="shared" si="74"/>
        <v>3525</v>
      </c>
      <c r="W155" s="375">
        <f t="shared" si="74"/>
        <v>3525</v>
      </c>
      <c r="X155" s="375">
        <f t="shared" si="74"/>
        <v>1175</v>
      </c>
      <c r="Y155" s="375">
        <f t="shared" si="74"/>
        <v>0</v>
      </c>
      <c r="Z155" s="375">
        <f t="shared" si="74"/>
        <v>0</v>
      </c>
      <c r="AA155" s="375">
        <f t="shared" si="74"/>
        <v>0</v>
      </c>
      <c r="AB155" s="375">
        <f t="shared" si="74"/>
        <v>0</v>
      </c>
      <c r="AC155" s="375">
        <f t="shared" si="74"/>
        <v>0</v>
      </c>
      <c r="AE155" s="359"/>
      <c r="AF155" s="375">
        <f t="shared" si="75"/>
        <v>0</v>
      </c>
      <c r="AG155" s="375">
        <f t="shared" si="75"/>
        <v>0</v>
      </c>
      <c r="AH155" s="375">
        <f t="shared" si="75"/>
        <v>0</v>
      </c>
      <c r="AI155" s="375">
        <f t="shared" si="75"/>
        <v>0</v>
      </c>
      <c r="AJ155" s="375">
        <f t="shared" si="75"/>
        <v>0</v>
      </c>
      <c r="AK155" s="375">
        <f t="shared" si="75"/>
        <v>0</v>
      </c>
      <c r="AL155" s="375">
        <f t="shared" si="75"/>
        <v>0</v>
      </c>
      <c r="AM155" s="375">
        <f t="shared" si="75"/>
        <v>0</v>
      </c>
      <c r="AN155" s="375">
        <f t="shared" si="75"/>
        <v>0</v>
      </c>
      <c r="AO155" s="375">
        <f t="shared" si="75"/>
        <v>0</v>
      </c>
      <c r="AP155" s="375">
        <f t="shared" si="76"/>
        <v>0</v>
      </c>
      <c r="AQ155" s="375">
        <f t="shared" si="76"/>
        <v>0</v>
      </c>
      <c r="AR155" s="375">
        <f t="shared" si="76"/>
        <v>0</v>
      </c>
      <c r="AS155" s="375">
        <f t="shared" si="76"/>
        <v>0</v>
      </c>
      <c r="AT155" s="375">
        <f t="shared" si="76"/>
        <v>0</v>
      </c>
      <c r="AU155" s="375">
        <f t="shared" si="76"/>
        <v>0</v>
      </c>
      <c r="AV155" s="375">
        <f t="shared" si="76"/>
        <v>0</v>
      </c>
      <c r="AW155" s="375">
        <f t="shared" si="76"/>
        <v>0</v>
      </c>
      <c r="AX155" s="375">
        <f t="shared" si="76"/>
        <v>0</v>
      </c>
      <c r="AY155" s="375">
        <f t="shared" si="76"/>
        <v>1175</v>
      </c>
      <c r="AZ155" s="375">
        <f t="shared" si="77"/>
        <v>1175</v>
      </c>
      <c r="BA155" s="375">
        <f t="shared" si="77"/>
        <v>1175</v>
      </c>
      <c r="BB155" s="375">
        <f t="shared" si="77"/>
        <v>1175</v>
      </c>
      <c r="BC155" s="375">
        <f t="shared" si="77"/>
        <v>1175</v>
      </c>
      <c r="BD155" s="375">
        <f t="shared" si="77"/>
        <v>1175</v>
      </c>
      <c r="BE155" s="375">
        <f t="shared" si="77"/>
        <v>1175</v>
      </c>
      <c r="BF155" s="375">
        <f t="shared" si="77"/>
        <v>1175</v>
      </c>
      <c r="BG155" s="375">
        <f t="shared" si="77"/>
        <v>1175</v>
      </c>
      <c r="BH155" s="375">
        <f t="shared" si="77"/>
        <v>1175</v>
      </c>
      <c r="BI155" s="375">
        <f t="shared" si="77"/>
        <v>1175</v>
      </c>
      <c r="BJ155" s="375">
        <f t="shared" si="78"/>
        <v>1175</v>
      </c>
      <c r="BK155" s="375">
        <f t="shared" si="78"/>
        <v>0</v>
      </c>
      <c r="BL155" s="375">
        <f t="shared" si="78"/>
        <v>0</v>
      </c>
      <c r="BM155" s="375">
        <f t="shared" si="78"/>
        <v>0</v>
      </c>
      <c r="BN155" s="375">
        <f t="shared" si="78"/>
        <v>0</v>
      </c>
      <c r="BO155" s="375">
        <f t="shared" si="78"/>
        <v>0</v>
      </c>
      <c r="BP155" s="375">
        <f t="shared" si="78"/>
        <v>0</v>
      </c>
      <c r="BQ155" s="375">
        <f t="shared" si="78"/>
        <v>0</v>
      </c>
      <c r="BR155" s="375">
        <f t="shared" si="78"/>
        <v>0</v>
      </c>
      <c r="BS155" s="375">
        <f t="shared" si="78"/>
        <v>0</v>
      </c>
      <c r="BT155" s="375">
        <f t="shared" si="79"/>
        <v>0</v>
      </c>
      <c r="BU155" s="375">
        <f t="shared" si="79"/>
        <v>0</v>
      </c>
      <c r="BV155" s="375">
        <f t="shared" si="79"/>
        <v>0</v>
      </c>
      <c r="BW155" s="375">
        <f t="shared" si="79"/>
        <v>0</v>
      </c>
      <c r="BX155" s="375">
        <f t="shared" si="79"/>
        <v>0</v>
      </c>
      <c r="BY155" s="375">
        <f t="shared" si="79"/>
        <v>0</v>
      </c>
      <c r="BZ155" s="375">
        <f t="shared" si="79"/>
        <v>0</v>
      </c>
      <c r="CA155" s="375">
        <f t="shared" si="79"/>
        <v>0</v>
      </c>
    </row>
    <row r="156" spans="4:79" ht="21" hidden="1" customHeight="1" outlineLevel="2">
      <c r="D156" s="374">
        <f t="shared" si="73"/>
        <v>45565</v>
      </c>
      <c r="E156" s="430" cm="1">
        <f t="array" ref="E156">INDEX($AF$131:$CA$131,0,MATCH(D156,$AF$8:$CA$8,0))</f>
        <v>14100</v>
      </c>
      <c r="H156" s="375">
        <f t="shared" ref="H156:K170" si="80">SUMIFS($AF156:$CA156,$AF$6:$CA$6,H$6)</f>
        <v>0</v>
      </c>
      <c r="I156" s="375">
        <f t="shared" si="80"/>
        <v>4700</v>
      </c>
      <c r="J156" s="375">
        <f t="shared" si="80"/>
        <v>9400</v>
      </c>
      <c r="K156" s="375">
        <f t="shared" si="80"/>
        <v>0</v>
      </c>
      <c r="N156" s="375">
        <f t="shared" ref="N156:AC170" si="81">SUMIFS($AF156:$CA156,$AF$6:$CA$6,N$6,$AF$7:$CA$7,N$7)</f>
        <v>0</v>
      </c>
      <c r="O156" s="375">
        <f t="shared" si="81"/>
        <v>0</v>
      </c>
      <c r="P156" s="375">
        <f t="shared" si="81"/>
        <v>0</v>
      </c>
      <c r="Q156" s="375">
        <f t="shared" si="81"/>
        <v>0</v>
      </c>
      <c r="R156" s="375">
        <f t="shared" si="81"/>
        <v>0</v>
      </c>
      <c r="S156" s="375">
        <f t="shared" si="81"/>
        <v>0</v>
      </c>
      <c r="T156" s="375">
        <f t="shared" si="81"/>
        <v>1175</v>
      </c>
      <c r="U156" s="375">
        <f t="shared" si="81"/>
        <v>3525</v>
      </c>
      <c r="V156" s="375">
        <f t="shared" si="81"/>
        <v>3525</v>
      </c>
      <c r="W156" s="375">
        <f t="shared" si="81"/>
        <v>3525</v>
      </c>
      <c r="X156" s="375">
        <f t="shared" si="81"/>
        <v>2350</v>
      </c>
      <c r="Y156" s="375">
        <f t="shared" si="81"/>
        <v>0</v>
      </c>
      <c r="Z156" s="375">
        <f t="shared" si="81"/>
        <v>0</v>
      </c>
      <c r="AA156" s="375">
        <f t="shared" si="81"/>
        <v>0</v>
      </c>
      <c r="AB156" s="375">
        <f t="shared" si="81"/>
        <v>0</v>
      </c>
      <c r="AC156" s="375">
        <f t="shared" si="81"/>
        <v>0</v>
      </c>
      <c r="AF156" s="375">
        <f t="shared" ref="AF156:AO170" si="82">IF(AND(AF$8&gt;=$D156,(MATCH(AF$8,$AF$8:$CA$8,0)-MATCH($D156,$AF$8:$CA$8,0))&lt;12),$E156/12,0)</f>
        <v>0</v>
      </c>
      <c r="AG156" s="375">
        <f t="shared" si="82"/>
        <v>0</v>
      </c>
      <c r="AH156" s="375">
        <f t="shared" si="82"/>
        <v>0</v>
      </c>
      <c r="AI156" s="375">
        <f t="shared" si="82"/>
        <v>0</v>
      </c>
      <c r="AJ156" s="375">
        <f t="shared" si="82"/>
        <v>0</v>
      </c>
      <c r="AK156" s="375">
        <f t="shared" si="82"/>
        <v>0</v>
      </c>
      <c r="AL156" s="375">
        <f t="shared" si="82"/>
        <v>0</v>
      </c>
      <c r="AM156" s="375">
        <f t="shared" si="82"/>
        <v>0</v>
      </c>
      <c r="AN156" s="375">
        <f t="shared" si="82"/>
        <v>0</v>
      </c>
      <c r="AO156" s="375">
        <f t="shared" si="82"/>
        <v>0</v>
      </c>
      <c r="AP156" s="375">
        <f t="shared" ref="AP156:AY170" si="83">IF(AND(AP$8&gt;=$D156,(MATCH(AP$8,$AF$8:$CA$8,0)-MATCH($D156,$AF$8:$CA$8,0))&lt;12),$E156/12,0)</f>
        <v>0</v>
      </c>
      <c r="AQ156" s="375">
        <f t="shared" si="83"/>
        <v>0</v>
      </c>
      <c r="AR156" s="375">
        <f t="shared" si="83"/>
        <v>0</v>
      </c>
      <c r="AS156" s="375">
        <f t="shared" si="83"/>
        <v>0</v>
      </c>
      <c r="AT156" s="375">
        <f t="shared" si="83"/>
        <v>0</v>
      </c>
      <c r="AU156" s="375">
        <f t="shared" si="83"/>
        <v>0</v>
      </c>
      <c r="AV156" s="375">
        <f t="shared" si="83"/>
        <v>0</v>
      </c>
      <c r="AW156" s="375">
        <f t="shared" si="83"/>
        <v>0</v>
      </c>
      <c r="AX156" s="375">
        <f t="shared" si="83"/>
        <v>0</v>
      </c>
      <c r="AY156" s="375">
        <f t="shared" si="83"/>
        <v>0</v>
      </c>
      <c r="AZ156" s="375">
        <f t="shared" ref="AZ156:BI170" si="84">IF(AND(AZ$8&gt;=$D156,(MATCH(AZ$8,$AF$8:$CA$8,0)-MATCH($D156,$AF$8:$CA$8,0))&lt;12),$E156/12,0)</f>
        <v>1175</v>
      </c>
      <c r="BA156" s="375">
        <f t="shared" si="84"/>
        <v>1175</v>
      </c>
      <c r="BB156" s="375">
        <f t="shared" si="84"/>
        <v>1175</v>
      </c>
      <c r="BC156" s="375">
        <f t="shared" si="84"/>
        <v>1175</v>
      </c>
      <c r="BD156" s="375">
        <f t="shared" si="84"/>
        <v>1175</v>
      </c>
      <c r="BE156" s="375">
        <f t="shared" si="84"/>
        <v>1175</v>
      </c>
      <c r="BF156" s="375">
        <f t="shared" si="84"/>
        <v>1175</v>
      </c>
      <c r="BG156" s="375">
        <f t="shared" si="84"/>
        <v>1175</v>
      </c>
      <c r="BH156" s="375">
        <f t="shared" si="84"/>
        <v>1175</v>
      </c>
      <c r="BI156" s="375">
        <f t="shared" si="84"/>
        <v>1175</v>
      </c>
      <c r="BJ156" s="375">
        <f t="shared" ref="BJ156:BS170" si="85">IF(AND(BJ$8&gt;=$D156,(MATCH(BJ$8,$AF$8:$CA$8,0)-MATCH($D156,$AF$8:$CA$8,0))&lt;12),$E156/12,0)</f>
        <v>1175</v>
      </c>
      <c r="BK156" s="375">
        <f t="shared" si="85"/>
        <v>1175</v>
      </c>
      <c r="BL156" s="375">
        <f t="shared" si="85"/>
        <v>0</v>
      </c>
      <c r="BM156" s="375">
        <f t="shared" si="85"/>
        <v>0</v>
      </c>
      <c r="BN156" s="375">
        <f t="shared" si="85"/>
        <v>0</v>
      </c>
      <c r="BO156" s="375">
        <f t="shared" si="85"/>
        <v>0</v>
      </c>
      <c r="BP156" s="375">
        <f t="shared" si="85"/>
        <v>0</v>
      </c>
      <c r="BQ156" s="375">
        <f t="shared" si="85"/>
        <v>0</v>
      </c>
      <c r="BR156" s="375">
        <f t="shared" si="85"/>
        <v>0</v>
      </c>
      <c r="BS156" s="375">
        <f t="shared" si="85"/>
        <v>0</v>
      </c>
      <c r="BT156" s="375">
        <f t="shared" ref="BT156:CA170" si="86">IF(AND(BT$8&gt;=$D156,(MATCH(BT$8,$AF$8:$CA$8,0)-MATCH($D156,$AF$8:$CA$8,0))&lt;12),$E156/12,0)</f>
        <v>0</v>
      </c>
      <c r="BU156" s="375">
        <f t="shared" si="86"/>
        <v>0</v>
      </c>
      <c r="BV156" s="375">
        <f t="shared" si="86"/>
        <v>0</v>
      </c>
      <c r="BW156" s="375">
        <f t="shared" si="86"/>
        <v>0</v>
      </c>
      <c r="BX156" s="375">
        <f t="shared" si="86"/>
        <v>0</v>
      </c>
      <c r="BY156" s="375">
        <f t="shared" si="86"/>
        <v>0</v>
      </c>
      <c r="BZ156" s="375">
        <f t="shared" si="86"/>
        <v>0</v>
      </c>
      <c r="CA156" s="375">
        <f t="shared" si="86"/>
        <v>0</v>
      </c>
    </row>
    <row r="157" spans="4:79" ht="21" hidden="1" customHeight="1" outlineLevel="2">
      <c r="D157" s="374">
        <f t="shared" si="73"/>
        <v>45596</v>
      </c>
      <c r="E157" s="430" cm="1">
        <f t="array" ref="E157">INDEX($AF$131:$CA$131,0,MATCH(D157,$AF$8:$CA$8,0))</f>
        <v>16600</v>
      </c>
      <c r="G157" s="431"/>
      <c r="H157" s="375">
        <f t="shared" si="80"/>
        <v>0</v>
      </c>
      <c r="I157" s="375">
        <f t="shared" si="80"/>
        <v>4150</v>
      </c>
      <c r="J157" s="375">
        <f t="shared" si="80"/>
        <v>12450.000000000002</v>
      </c>
      <c r="K157" s="375">
        <f t="shared" si="80"/>
        <v>0</v>
      </c>
      <c r="N157" s="375">
        <f t="shared" si="81"/>
        <v>0</v>
      </c>
      <c r="O157" s="375">
        <f t="shared" si="81"/>
        <v>0</v>
      </c>
      <c r="P157" s="375">
        <f t="shared" si="81"/>
        <v>0</v>
      </c>
      <c r="Q157" s="375">
        <f t="shared" si="81"/>
        <v>0</v>
      </c>
      <c r="R157" s="375">
        <f t="shared" si="81"/>
        <v>0</v>
      </c>
      <c r="S157" s="375">
        <f t="shared" si="81"/>
        <v>0</v>
      </c>
      <c r="T157" s="375">
        <f t="shared" si="81"/>
        <v>0</v>
      </c>
      <c r="U157" s="375">
        <f t="shared" si="81"/>
        <v>4150</v>
      </c>
      <c r="V157" s="375">
        <f t="shared" si="81"/>
        <v>4150</v>
      </c>
      <c r="W157" s="375">
        <f t="shared" si="81"/>
        <v>4150</v>
      </c>
      <c r="X157" s="375">
        <f t="shared" si="81"/>
        <v>4150</v>
      </c>
      <c r="Y157" s="375">
        <f t="shared" si="81"/>
        <v>0</v>
      </c>
      <c r="Z157" s="375">
        <f t="shared" si="81"/>
        <v>0</v>
      </c>
      <c r="AA157" s="375">
        <f t="shared" si="81"/>
        <v>0</v>
      </c>
      <c r="AB157" s="375">
        <f t="shared" si="81"/>
        <v>0</v>
      </c>
      <c r="AC157" s="375">
        <f t="shared" si="81"/>
        <v>0</v>
      </c>
      <c r="AF157" s="375">
        <f t="shared" si="82"/>
        <v>0</v>
      </c>
      <c r="AG157" s="375">
        <f t="shared" si="82"/>
        <v>0</v>
      </c>
      <c r="AH157" s="375">
        <f t="shared" si="82"/>
        <v>0</v>
      </c>
      <c r="AI157" s="375">
        <f t="shared" si="82"/>
        <v>0</v>
      </c>
      <c r="AJ157" s="375">
        <f t="shared" si="82"/>
        <v>0</v>
      </c>
      <c r="AK157" s="375">
        <f t="shared" si="82"/>
        <v>0</v>
      </c>
      <c r="AL157" s="375">
        <f t="shared" si="82"/>
        <v>0</v>
      </c>
      <c r="AM157" s="375">
        <f t="shared" si="82"/>
        <v>0</v>
      </c>
      <c r="AN157" s="375">
        <f t="shared" si="82"/>
        <v>0</v>
      </c>
      <c r="AO157" s="375">
        <f t="shared" si="82"/>
        <v>0</v>
      </c>
      <c r="AP157" s="375">
        <f t="shared" si="83"/>
        <v>0</v>
      </c>
      <c r="AQ157" s="375">
        <f t="shared" si="83"/>
        <v>0</v>
      </c>
      <c r="AR157" s="375">
        <f t="shared" si="83"/>
        <v>0</v>
      </c>
      <c r="AS157" s="375">
        <f t="shared" si="83"/>
        <v>0</v>
      </c>
      <c r="AT157" s="375">
        <f t="shared" si="83"/>
        <v>0</v>
      </c>
      <c r="AU157" s="375">
        <f t="shared" si="83"/>
        <v>0</v>
      </c>
      <c r="AV157" s="375">
        <f t="shared" si="83"/>
        <v>0</v>
      </c>
      <c r="AW157" s="375">
        <f t="shared" si="83"/>
        <v>0</v>
      </c>
      <c r="AX157" s="375">
        <f t="shared" si="83"/>
        <v>0</v>
      </c>
      <c r="AY157" s="375">
        <f t="shared" si="83"/>
        <v>0</v>
      </c>
      <c r="AZ157" s="375">
        <f t="shared" si="84"/>
        <v>0</v>
      </c>
      <c r="BA157" s="375">
        <f t="shared" si="84"/>
        <v>1383.3333333333333</v>
      </c>
      <c r="BB157" s="375">
        <f t="shared" si="84"/>
        <v>1383.3333333333333</v>
      </c>
      <c r="BC157" s="375">
        <f t="shared" si="84"/>
        <v>1383.3333333333333</v>
      </c>
      <c r="BD157" s="375">
        <f t="shared" si="84"/>
        <v>1383.3333333333333</v>
      </c>
      <c r="BE157" s="375">
        <f t="shared" si="84"/>
        <v>1383.3333333333333</v>
      </c>
      <c r="BF157" s="375">
        <f t="shared" si="84"/>
        <v>1383.3333333333333</v>
      </c>
      <c r="BG157" s="375">
        <f t="shared" si="84"/>
        <v>1383.3333333333333</v>
      </c>
      <c r="BH157" s="375">
        <f t="shared" si="84"/>
        <v>1383.3333333333333</v>
      </c>
      <c r="BI157" s="375">
        <f t="shared" si="84"/>
        <v>1383.3333333333333</v>
      </c>
      <c r="BJ157" s="375">
        <f t="shared" si="85"/>
        <v>1383.3333333333333</v>
      </c>
      <c r="BK157" s="375">
        <f t="shared" si="85"/>
        <v>1383.3333333333333</v>
      </c>
      <c r="BL157" s="375">
        <f t="shared" si="85"/>
        <v>1383.3333333333333</v>
      </c>
      <c r="BM157" s="375">
        <f t="shared" si="85"/>
        <v>0</v>
      </c>
      <c r="BN157" s="375">
        <f t="shared" si="85"/>
        <v>0</v>
      </c>
      <c r="BO157" s="375">
        <f t="shared" si="85"/>
        <v>0</v>
      </c>
      <c r="BP157" s="375">
        <f t="shared" si="85"/>
        <v>0</v>
      </c>
      <c r="BQ157" s="375">
        <f t="shared" si="85"/>
        <v>0</v>
      </c>
      <c r="BR157" s="375">
        <f t="shared" si="85"/>
        <v>0</v>
      </c>
      <c r="BS157" s="375">
        <f t="shared" si="85"/>
        <v>0</v>
      </c>
      <c r="BT157" s="375">
        <f t="shared" si="86"/>
        <v>0</v>
      </c>
      <c r="BU157" s="375">
        <f t="shared" si="86"/>
        <v>0</v>
      </c>
      <c r="BV157" s="375">
        <f t="shared" si="86"/>
        <v>0</v>
      </c>
      <c r="BW157" s="375">
        <f t="shared" si="86"/>
        <v>0</v>
      </c>
      <c r="BX157" s="375">
        <f t="shared" si="86"/>
        <v>0</v>
      </c>
      <c r="BY157" s="375">
        <f t="shared" si="86"/>
        <v>0</v>
      </c>
      <c r="BZ157" s="375">
        <f t="shared" si="86"/>
        <v>0</v>
      </c>
      <c r="CA157" s="375">
        <f t="shared" si="86"/>
        <v>0</v>
      </c>
    </row>
    <row r="158" spans="4:79" ht="21" hidden="1" customHeight="1" outlineLevel="2">
      <c r="D158" s="374">
        <f t="shared" si="73"/>
        <v>45626</v>
      </c>
      <c r="E158" s="430" cm="1">
        <f t="array" ref="E158">INDEX($AF$131:$CA$131,0,MATCH(D158,$AF$8:$CA$8,0))</f>
        <v>19100</v>
      </c>
      <c r="G158" s="431"/>
      <c r="H158" s="375">
        <f t="shared" si="80"/>
        <v>0</v>
      </c>
      <c r="I158" s="375">
        <f t="shared" si="80"/>
        <v>3183.3333333333335</v>
      </c>
      <c r="J158" s="375">
        <f t="shared" si="80"/>
        <v>15916.666666666664</v>
      </c>
      <c r="K158" s="375">
        <f t="shared" si="80"/>
        <v>0</v>
      </c>
      <c r="M158" s="431"/>
      <c r="N158" s="375">
        <f t="shared" si="81"/>
        <v>0</v>
      </c>
      <c r="O158" s="375">
        <f t="shared" si="81"/>
        <v>0</v>
      </c>
      <c r="P158" s="375">
        <f t="shared" si="81"/>
        <v>0</v>
      </c>
      <c r="Q158" s="375">
        <f t="shared" si="81"/>
        <v>0</v>
      </c>
      <c r="R158" s="375">
        <f t="shared" si="81"/>
        <v>0</v>
      </c>
      <c r="S158" s="375">
        <f t="shared" si="81"/>
        <v>0</v>
      </c>
      <c r="T158" s="375">
        <f t="shared" si="81"/>
        <v>0</v>
      </c>
      <c r="U158" s="375">
        <f t="shared" si="81"/>
        <v>3183.3333333333335</v>
      </c>
      <c r="V158" s="375">
        <f t="shared" si="81"/>
        <v>4775</v>
      </c>
      <c r="W158" s="375">
        <f t="shared" si="81"/>
        <v>4775</v>
      </c>
      <c r="X158" s="375">
        <f t="shared" si="81"/>
        <v>4775</v>
      </c>
      <c r="Y158" s="375">
        <f t="shared" si="81"/>
        <v>1591.6666666666667</v>
      </c>
      <c r="Z158" s="375">
        <f t="shared" si="81"/>
        <v>0</v>
      </c>
      <c r="AA158" s="375">
        <f t="shared" si="81"/>
        <v>0</v>
      </c>
      <c r="AB158" s="375">
        <f t="shared" si="81"/>
        <v>0</v>
      </c>
      <c r="AC158" s="375">
        <f t="shared" si="81"/>
        <v>0</v>
      </c>
      <c r="AE158" s="431"/>
      <c r="AF158" s="375">
        <f t="shared" si="82"/>
        <v>0</v>
      </c>
      <c r="AG158" s="375">
        <f t="shared" si="82"/>
        <v>0</v>
      </c>
      <c r="AH158" s="375">
        <f t="shared" si="82"/>
        <v>0</v>
      </c>
      <c r="AI158" s="375">
        <f t="shared" si="82"/>
        <v>0</v>
      </c>
      <c r="AJ158" s="375">
        <f t="shared" si="82"/>
        <v>0</v>
      </c>
      <c r="AK158" s="375">
        <f t="shared" si="82"/>
        <v>0</v>
      </c>
      <c r="AL158" s="375">
        <f t="shared" si="82"/>
        <v>0</v>
      </c>
      <c r="AM158" s="375">
        <f t="shared" si="82"/>
        <v>0</v>
      </c>
      <c r="AN158" s="375">
        <f t="shared" si="82"/>
        <v>0</v>
      </c>
      <c r="AO158" s="375">
        <f t="shared" si="82"/>
        <v>0</v>
      </c>
      <c r="AP158" s="375">
        <f t="shared" si="83"/>
        <v>0</v>
      </c>
      <c r="AQ158" s="375">
        <f t="shared" si="83"/>
        <v>0</v>
      </c>
      <c r="AR158" s="375">
        <f t="shared" si="83"/>
        <v>0</v>
      </c>
      <c r="AS158" s="375">
        <f t="shared" si="83"/>
        <v>0</v>
      </c>
      <c r="AT158" s="375">
        <f t="shared" si="83"/>
        <v>0</v>
      </c>
      <c r="AU158" s="375">
        <f t="shared" si="83"/>
        <v>0</v>
      </c>
      <c r="AV158" s="375">
        <f t="shared" si="83"/>
        <v>0</v>
      </c>
      <c r="AW158" s="375">
        <f t="shared" si="83"/>
        <v>0</v>
      </c>
      <c r="AX158" s="375">
        <f t="shared" si="83"/>
        <v>0</v>
      </c>
      <c r="AY158" s="375">
        <f t="shared" si="83"/>
        <v>0</v>
      </c>
      <c r="AZ158" s="375">
        <f t="shared" si="84"/>
        <v>0</v>
      </c>
      <c r="BA158" s="375">
        <f t="shared" si="84"/>
        <v>0</v>
      </c>
      <c r="BB158" s="375">
        <f t="shared" si="84"/>
        <v>1591.6666666666667</v>
      </c>
      <c r="BC158" s="375">
        <f t="shared" si="84"/>
        <v>1591.6666666666667</v>
      </c>
      <c r="BD158" s="375">
        <f t="shared" si="84"/>
        <v>1591.6666666666667</v>
      </c>
      <c r="BE158" s="375">
        <f t="shared" si="84"/>
        <v>1591.6666666666667</v>
      </c>
      <c r="BF158" s="375">
        <f t="shared" si="84"/>
        <v>1591.6666666666667</v>
      </c>
      <c r="BG158" s="375">
        <f t="shared" si="84"/>
        <v>1591.6666666666667</v>
      </c>
      <c r="BH158" s="375">
        <f t="shared" si="84"/>
        <v>1591.6666666666667</v>
      </c>
      <c r="BI158" s="375">
        <f t="shared" si="84"/>
        <v>1591.6666666666667</v>
      </c>
      <c r="BJ158" s="375">
        <f t="shared" si="85"/>
        <v>1591.6666666666667</v>
      </c>
      <c r="BK158" s="375">
        <f t="shared" si="85"/>
        <v>1591.6666666666667</v>
      </c>
      <c r="BL158" s="375">
        <f t="shared" si="85"/>
        <v>1591.6666666666667</v>
      </c>
      <c r="BM158" s="375">
        <f t="shared" si="85"/>
        <v>1591.6666666666667</v>
      </c>
      <c r="BN158" s="375">
        <f t="shared" si="85"/>
        <v>0</v>
      </c>
      <c r="BO158" s="375">
        <f t="shared" si="85"/>
        <v>0</v>
      </c>
      <c r="BP158" s="375">
        <f t="shared" si="85"/>
        <v>0</v>
      </c>
      <c r="BQ158" s="375">
        <f t="shared" si="85"/>
        <v>0</v>
      </c>
      <c r="BR158" s="375">
        <f t="shared" si="85"/>
        <v>0</v>
      </c>
      <c r="BS158" s="375">
        <f t="shared" si="85"/>
        <v>0</v>
      </c>
      <c r="BT158" s="375">
        <f t="shared" si="86"/>
        <v>0</v>
      </c>
      <c r="BU158" s="375">
        <f t="shared" si="86"/>
        <v>0</v>
      </c>
      <c r="BV158" s="375">
        <f t="shared" si="86"/>
        <v>0</v>
      </c>
      <c r="BW158" s="375">
        <f t="shared" si="86"/>
        <v>0</v>
      </c>
      <c r="BX158" s="375">
        <f t="shared" si="86"/>
        <v>0</v>
      </c>
      <c r="BY158" s="375">
        <f t="shared" si="86"/>
        <v>0</v>
      </c>
      <c r="BZ158" s="375">
        <f t="shared" si="86"/>
        <v>0</v>
      </c>
      <c r="CA158" s="375">
        <f t="shared" si="86"/>
        <v>0</v>
      </c>
    </row>
    <row r="159" spans="4:79" ht="21" hidden="1" customHeight="1" outlineLevel="2">
      <c r="D159" s="374">
        <f t="shared" si="73"/>
        <v>45657</v>
      </c>
      <c r="E159" s="430" cm="1">
        <f t="array" ref="E159">INDEX($AF$131:$CA$131,0,MATCH(D159,$AF$8:$CA$8,0))</f>
        <v>19100</v>
      </c>
      <c r="H159" s="375">
        <f t="shared" si="80"/>
        <v>0</v>
      </c>
      <c r="I159" s="375">
        <f t="shared" si="80"/>
        <v>1591.6666666666667</v>
      </c>
      <c r="J159" s="375">
        <f t="shared" si="80"/>
        <v>17508.333333333332</v>
      </c>
      <c r="K159" s="375">
        <f t="shared" si="80"/>
        <v>0</v>
      </c>
      <c r="M159" s="431"/>
      <c r="N159" s="375">
        <f t="shared" si="81"/>
        <v>0</v>
      </c>
      <c r="O159" s="375">
        <f t="shared" si="81"/>
        <v>0</v>
      </c>
      <c r="P159" s="375">
        <f t="shared" si="81"/>
        <v>0</v>
      </c>
      <c r="Q159" s="375">
        <f t="shared" si="81"/>
        <v>0</v>
      </c>
      <c r="R159" s="375">
        <f t="shared" si="81"/>
        <v>0</v>
      </c>
      <c r="S159" s="375">
        <f t="shared" si="81"/>
        <v>0</v>
      </c>
      <c r="T159" s="375">
        <f t="shared" si="81"/>
        <v>0</v>
      </c>
      <c r="U159" s="375">
        <f t="shared" si="81"/>
        <v>1591.6666666666667</v>
      </c>
      <c r="V159" s="375">
        <f t="shared" si="81"/>
        <v>4775</v>
      </c>
      <c r="W159" s="375">
        <f t="shared" si="81"/>
        <v>4775</v>
      </c>
      <c r="X159" s="375">
        <f t="shared" si="81"/>
        <v>4775</v>
      </c>
      <c r="Y159" s="375">
        <f t="shared" si="81"/>
        <v>3183.3333333333335</v>
      </c>
      <c r="Z159" s="375">
        <f t="shared" si="81"/>
        <v>0</v>
      </c>
      <c r="AA159" s="375">
        <f t="shared" si="81"/>
        <v>0</v>
      </c>
      <c r="AB159" s="375">
        <f t="shared" si="81"/>
        <v>0</v>
      </c>
      <c r="AC159" s="375">
        <f t="shared" si="81"/>
        <v>0</v>
      </c>
      <c r="AE159" s="431"/>
      <c r="AF159" s="375">
        <f t="shared" si="82"/>
        <v>0</v>
      </c>
      <c r="AG159" s="375">
        <f t="shared" si="82"/>
        <v>0</v>
      </c>
      <c r="AH159" s="375">
        <f t="shared" si="82"/>
        <v>0</v>
      </c>
      <c r="AI159" s="375">
        <f t="shared" si="82"/>
        <v>0</v>
      </c>
      <c r="AJ159" s="375">
        <f t="shared" si="82"/>
        <v>0</v>
      </c>
      <c r="AK159" s="375">
        <f t="shared" si="82"/>
        <v>0</v>
      </c>
      <c r="AL159" s="375">
        <f t="shared" si="82"/>
        <v>0</v>
      </c>
      <c r="AM159" s="375">
        <f t="shared" si="82"/>
        <v>0</v>
      </c>
      <c r="AN159" s="375">
        <f t="shared" si="82"/>
        <v>0</v>
      </c>
      <c r="AO159" s="375">
        <f t="shared" si="82"/>
        <v>0</v>
      </c>
      <c r="AP159" s="375">
        <f t="shared" si="83"/>
        <v>0</v>
      </c>
      <c r="AQ159" s="375">
        <f t="shared" si="83"/>
        <v>0</v>
      </c>
      <c r="AR159" s="375">
        <f t="shared" si="83"/>
        <v>0</v>
      </c>
      <c r="AS159" s="375">
        <f t="shared" si="83"/>
        <v>0</v>
      </c>
      <c r="AT159" s="375">
        <f t="shared" si="83"/>
        <v>0</v>
      </c>
      <c r="AU159" s="375">
        <f t="shared" si="83"/>
        <v>0</v>
      </c>
      <c r="AV159" s="375">
        <f t="shared" si="83"/>
        <v>0</v>
      </c>
      <c r="AW159" s="375">
        <f t="shared" si="83"/>
        <v>0</v>
      </c>
      <c r="AX159" s="375">
        <f t="shared" si="83"/>
        <v>0</v>
      </c>
      <c r="AY159" s="375">
        <f t="shared" si="83"/>
        <v>0</v>
      </c>
      <c r="AZ159" s="375">
        <f t="shared" si="84"/>
        <v>0</v>
      </c>
      <c r="BA159" s="375">
        <f t="shared" si="84"/>
        <v>0</v>
      </c>
      <c r="BB159" s="375">
        <f t="shared" si="84"/>
        <v>0</v>
      </c>
      <c r="BC159" s="375">
        <f t="shared" si="84"/>
        <v>1591.6666666666667</v>
      </c>
      <c r="BD159" s="375">
        <f t="shared" si="84"/>
        <v>1591.6666666666667</v>
      </c>
      <c r="BE159" s="375">
        <f t="shared" si="84"/>
        <v>1591.6666666666667</v>
      </c>
      <c r="BF159" s="375">
        <f t="shared" si="84"/>
        <v>1591.6666666666667</v>
      </c>
      <c r="BG159" s="375">
        <f t="shared" si="84"/>
        <v>1591.6666666666667</v>
      </c>
      <c r="BH159" s="375">
        <f t="shared" si="84"/>
        <v>1591.6666666666667</v>
      </c>
      <c r="BI159" s="375">
        <f t="shared" si="84"/>
        <v>1591.6666666666667</v>
      </c>
      <c r="BJ159" s="375">
        <f t="shared" si="85"/>
        <v>1591.6666666666667</v>
      </c>
      <c r="BK159" s="375">
        <f t="shared" si="85"/>
        <v>1591.6666666666667</v>
      </c>
      <c r="BL159" s="375">
        <f t="shared" si="85"/>
        <v>1591.6666666666667</v>
      </c>
      <c r="BM159" s="375">
        <f t="shared" si="85"/>
        <v>1591.6666666666667</v>
      </c>
      <c r="BN159" s="375">
        <f t="shared" si="85"/>
        <v>1591.6666666666667</v>
      </c>
      <c r="BO159" s="375">
        <f t="shared" si="85"/>
        <v>0</v>
      </c>
      <c r="BP159" s="375">
        <f t="shared" si="85"/>
        <v>0</v>
      </c>
      <c r="BQ159" s="375">
        <f t="shared" si="85"/>
        <v>0</v>
      </c>
      <c r="BR159" s="375">
        <f t="shared" si="85"/>
        <v>0</v>
      </c>
      <c r="BS159" s="375">
        <f t="shared" si="85"/>
        <v>0</v>
      </c>
      <c r="BT159" s="375">
        <f t="shared" si="86"/>
        <v>0</v>
      </c>
      <c r="BU159" s="375">
        <f t="shared" si="86"/>
        <v>0</v>
      </c>
      <c r="BV159" s="375">
        <f t="shared" si="86"/>
        <v>0</v>
      </c>
      <c r="BW159" s="375">
        <f t="shared" si="86"/>
        <v>0</v>
      </c>
      <c r="BX159" s="375">
        <f t="shared" si="86"/>
        <v>0</v>
      </c>
      <c r="BY159" s="375">
        <f t="shared" si="86"/>
        <v>0</v>
      </c>
      <c r="BZ159" s="375">
        <f t="shared" si="86"/>
        <v>0</v>
      </c>
      <c r="CA159" s="375">
        <f t="shared" si="86"/>
        <v>0</v>
      </c>
    </row>
    <row r="160" spans="4:79" ht="21" hidden="1" customHeight="1" outlineLevel="2">
      <c r="D160" s="374">
        <f t="shared" si="73"/>
        <v>45688</v>
      </c>
      <c r="E160" s="430" cm="1">
        <f t="array" ref="E160">INDEX($AF$131:$CA$131,0,MATCH(D160,$AF$8:$CA$8,0))</f>
        <v>24100</v>
      </c>
      <c r="H160" s="375">
        <f t="shared" si="80"/>
        <v>0</v>
      </c>
      <c r="I160" s="375">
        <f t="shared" si="80"/>
        <v>0</v>
      </c>
      <c r="J160" s="375">
        <f t="shared" si="80"/>
        <v>24099.999999999996</v>
      </c>
      <c r="K160" s="375">
        <f t="shared" si="80"/>
        <v>0</v>
      </c>
      <c r="N160" s="375">
        <f t="shared" si="81"/>
        <v>0</v>
      </c>
      <c r="O160" s="375">
        <f t="shared" si="81"/>
        <v>0</v>
      </c>
      <c r="P160" s="375">
        <f t="shared" si="81"/>
        <v>0</v>
      </c>
      <c r="Q160" s="375">
        <f t="shared" si="81"/>
        <v>0</v>
      </c>
      <c r="R160" s="375">
        <f t="shared" si="81"/>
        <v>0</v>
      </c>
      <c r="S160" s="375">
        <f t="shared" si="81"/>
        <v>0</v>
      </c>
      <c r="T160" s="375">
        <f t="shared" si="81"/>
        <v>0</v>
      </c>
      <c r="U160" s="375">
        <f t="shared" si="81"/>
        <v>0</v>
      </c>
      <c r="V160" s="375">
        <f t="shared" si="81"/>
        <v>6025</v>
      </c>
      <c r="W160" s="375">
        <f t="shared" si="81"/>
        <v>6025</v>
      </c>
      <c r="X160" s="375">
        <f t="shared" si="81"/>
        <v>6025</v>
      </c>
      <c r="Y160" s="375">
        <f t="shared" si="81"/>
        <v>6025</v>
      </c>
      <c r="Z160" s="375">
        <f t="shared" si="81"/>
        <v>0</v>
      </c>
      <c r="AA160" s="375">
        <f t="shared" si="81"/>
        <v>0</v>
      </c>
      <c r="AB160" s="375">
        <f t="shared" si="81"/>
        <v>0</v>
      </c>
      <c r="AC160" s="375">
        <f t="shared" si="81"/>
        <v>0</v>
      </c>
      <c r="AF160" s="375">
        <f t="shared" si="82"/>
        <v>0</v>
      </c>
      <c r="AG160" s="375">
        <f t="shared" si="82"/>
        <v>0</v>
      </c>
      <c r="AH160" s="375">
        <f t="shared" si="82"/>
        <v>0</v>
      </c>
      <c r="AI160" s="375">
        <f t="shared" si="82"/>
        <v>0</v>
      </c>
      <c r="AJ160" s="375">
        <f t="shared" si="82"/>
        <v>0</v>
      </c>
      <c r="AK160" s="375">
        <f t="shared" si="82"/>
        <v>0</v>
      </c>
      <c r="AL160" s="375">
        <f t="shared" si="82"/>
        <v>0</v>
      </c>
      <c r="AM160" s="375">
        <f t="shared" si="82"/>
        <v>0</v>
      </c>
      <c r="AN160" s="375">
        <f t="shared" si="82"/>
        <v>0</v>
      </c>
      <c r="AO160" s="375">
        <f t="shared" si="82"/>
        <v>0</v>
      </c>
      <c r="AP160" s="375">
        <f t="shared" si="83"/>
        <v>0</v>
      </c>
      <c r="AQ160" s="375">
        <f t="shared" si="83"/>
        <v>0</v>
      </c>
      <c r="AR160" s="375">
        <f t="shared" si="83"/>
        <v>0</v>
      </c>
      <c r="AS160" s="375">
        <f t="shared" si="83"/>
        <v>0</v>
      </c>
      <c r="AT160" s="375">
        <f t="shared" si="83"/>
        <v>0</v>
      </c>
      <c r="AU160" s="375">
        <f t="shared" si="83"/>
        <v>0</v>
      </c>
      <c r="AV160" s="375">
        <f t="shared" si="83"/>
        <v>0</v>
      </c>
      <c r="AW160" s="375">
        <f t="shared" si="83"/>
        <v>0</v>
      </c>
      <c r="AX160" s="375">
        <f t="shared" si="83"/>
        <v>0</v>
      </c>
      <c r="AY160" s="375">
        <f t="shared" si="83"/>
        <v>0</v>
      </c>
      <c r="AZ160" s="375">
        <f t="shared" si="84"/>
        <v>0</v>
      </c>
      <c r="BA160" s="375">
        <f t="shared" si="84"/>
        <v>0</v>
      </c>
      <c r="BB160" s="375">
        <f t="shared" si="84"/>
        <v>0</v>
      </c>
      <c r="BC160" s="375">
        <f t="shared" si="84"/>
        <v>0</v>
      </c>
      <c r="BD160" s="375">
        <f t="shared" si="84"/>
        <v>2008.3333333333333</v>
      </c>
      <c r="BE160" s="375">
        <f t="shared" si="84"/>
        <v>2008.3333333333333</v>
      </c>
      <c r="BF160" s="375">
        <f t="shared" si="84"/>
        <v>2008.3333333333333</v>
      </c>
      <c r="BG160" s="375">
        <f t="shared" si="84"/>
        <v>2008.3333333333333</v>
      </c>
      <c r="BH160" s="375">
        <f t="shared" si="84"/>
        <v>2008.3333333333333</v>
      </c>
      <c r="BI160" s="375">
        <f t="shared" si="84"/>
        <v>2008.3333333333333</v>
      </c>
      <c r="BJ160" s="375">
        <f t="shared" si="85"/>
        <v>2008.3333333333333</v>
      </c>
      <c r="BK160" s="375">
        <f t="shared" si="85"/>
        <v>2008.3333333333333</v>
      </c>
      <c r="BL160" s="375">
        <f t="shared" si="85"/>
        <v>2008.3333333333333</v>
      </c>
      <c r="BM160" s="375">
        <f t="shared" si="85"/>
        <v>2008.3333333333333</v>
      </c>
      <c r="BN160" s="375">
        <f t="shared" si="85"/>
        <v>2008.3333333333333</v>
      </c>
      <c r="BO160" s="375">
        <f t="shared" si="85"/>
        <v>2008.3333333333333</v>
      </c>
      <c r="BP160" s="375">
        <f t="shared" si="85"/>
        <v>0</v>
      </c>
      <c r="BQ160" s="375">
        <f t="shared" si="85"/>
        <v>0</v>
      </c>
      <c r="BR160" s="375">
        <f t="shared" si="85"/>
        <v>0</v>
      </c>
      <c r="BS160" s="375">
        <f t="shared" si="85"/>
        <v>0</v>
      </c>
      <c r="BT160" s="375">
        <f t="shared" si="86"/>
        <v>0</v>
      </c>
      <c r="BU160" s="375">
        <f t="shared" si="86"/>
        <v>0</v>
      </c>
      <c r="BV160" s="375">
        <f t="shared" si="86"/>
        <v>0</v>
      </c>
      <c r="BW160" s="375">
        <f t="shared" si="86"/>
        <v>0</v>
      </c>
      <c r="BX160" s="375">
        <f t="shared" si="86"/>
        <v>0</v>
      </c>
      <c r="BY160" s="375">
        <f t="shared" si="86"/>
        <v>0</v>
      </c>
      <c r="BZ160" s="375">
        <f t="shared" si="86"/>
        <v>0</v>
      </c>
      <c r="CA160" s="375">
        <f t="shared" si="86"/>
        <v>0</v>
      </c>
    </row>
    <row r="161" spans="4:79" ht="21" hidden="1" customHeight="1" outlineLevel="2">
      <c r="D161" s="374">
        <f t="shared" si="73"/>
        <v>45716</v>
      </c>
      <c r="E161" s="430" cm="1">
        <f t="array" ref="E161">INDEX($AF$131:$CA$131,0,MATCH(D161,$AF$8:$CA$8,0))</f>
        <v>24340</v>
      </c>
      <c r="H161" s="375">
        <f t="shared" si="80"/>
        <v>0</v>
      </c>
      <c r="I161" s="375">
        <f t="shared" si="80"/>
        <v>0</v>
      </c>
      <c r="J161" s="375">
        <f t="shared" si="80"/>
        <v>22311.666666666664</v>
      </c>
      <c r="K161" s="375">
        <f t="shared" si="80"/>
        <v>2028.3333333333333</v>
      </c>
      <c r="N161" s="375">
        <f t="shared" si="81"/>
        <v>0</v>
      </c>
      <c r="O161" s="375">
        <f t="shared" si="81"/>
        <v>0</v>
      </c>
      <c r="P161" s="375">
        <f t="shared" si="81"/>
        <v>0</v>
      </c>
      <c r="Q161" s="375">
        <f t="shared" si="81"/>
        <v>0</v>
      </c>
      <c r="R161" s="375">
        <f t="shared" si="81"/>
        <v>0</v>
      </c>
      <c r="S161" s="375">
        <f t="shared" si="81"/>
        <v>0</v>
      </c>
      <c r="T161" s="375">
        <f t="shared" si="81"/>
        <v>0</v>
      </c>
      <c r="U161" s="375">
        <f t="shared" si="81"/>
        <v>0</v>
      </c>
      <c r="V161" s="375">
        <f t="shared" si="81"/>
        <v>4056.6666666666665</v>
      </c>
      <c r="W161" s="375">
        <f t="shared" si="81"/>
        <v>6085</v>
      </c>
      <c r="X161" s="375">
        <f t="shared" si="81"/>
        <v>6085</v>
      </c>
      <c r="Y161" s="375">
        <f t="shared" si="81"/>
        <v>6085</v>
      </c>
      <c r="Z161" s="375">
        <f t="shared" si="81"/>
        <v>2028.3333333333333</v>
      </c>
      <c r="AA161" s="375">
        <f t="shared" si="81"/>
        <v>0</v>
      </c>
      <c r="AB161" s="375">
        <f t="shared" si="81"/>
        <v>0</v>
      </c>
      <c r="AC161" s="375">
        <f t="shared" si="81"/>
        <v>0</v>
      </c>
      <c r="AF161" s="375">
        <f t="shared" si="82"/>
        <v>0</v>
      </c>
      <c r="AG161" s="375">
        <f t="shared" si="82"/>
        <v>0</v>
      </c>
      <c r="AH161" s="375">
        <f t="shared" si="82"/>
        <v>0</v>
      </c>
      <c r="AI161" s="375">
        <f t="shared" si="82"/>
        <v>0</v>
      </c>
      <c r="AJ161" s="375">
        <f t="shared" si="82"/>
        <v>0</v>
      </c>
      <c r="AK161" s="375">
        <f t="shared" si="82"/>
        <v>0</v>
      </c>
      <c r="AL161" s="375">
        <f t="shared" si="82"/>
        <v>0</v>
      </c>
      <c r="AM161" s="375">
        <f t="shared" si="82"/>
        <v>0</v>
      </c>
      <c r="AN161" s="375">
        <f t="shared" si="82"/>
        <v>0</v>
      </c>
      <c r="AO161" s="375">
        <f t="shared" si="82"/>
        <v>0</v>
      </c>
      <c r="AP161" s="375">
        <f t="shared" si="83"/>
        <v>0</v>
      </c>
      <c r="AQ161" s="375">
        <f t="shared" si="83"/>
        <v>0</v>
      </c>
      <c r="AR161" s="375">
        <f t="shared" si="83"/>
        <v>0</v>
      </c>
      <c r="AS161" s="375">
        <f t="shared" si="83"/>
        <v>0</v>
      </c>
      <c r="AT161" s="375">
        <f t="shared" si="83"/>
        <v>0</v>
      </c>
      <c r="AU161" s="375">
        <f t="shared" si="83"/>
        <v>0</v>
      </c>
      <c r="AV161" s="375">
        <f t="shared" si="83"/>
        <v>0</v>
      </c>
      <c r="AW161" s="375">
        <f t="shared" si="83"/>
        <v>0</v>
      </c>
      <c r="AX161" s="375">
        <f t="shared" si="83"/>
        <v>0</v>
      </c>
      <c r="AY161" s="375">
        <f t="shared" si="83"/>
        <v>0</v>
      </c>
      <c r="AZ161" s="375">
        <f t="shared" si="84"/>
        <v>0</v>
      </c>
      <c r="BA161" s="375">
        <f t="shared" si="84"/>
        <v>0</v>
      </c>
      <c r="BB161" s="375">
        <f t="shared" si="84"/>
        <v>0</v>
      </c>
      <c r="BC161" s="375">
        <f t="shared" si="84"/>
        <v>0</v>
      </c>
      <c r="BD161" s="375">
        <f t="shared" si="84"/>
        <v>0</v>
      </c>
      <c r="BE161" s="375">
        <f t="shared" si="84"/>
        <v>2028.3333333333333</v>
      </c>
      <c r="BF161" s="375">
        <f t="shared" si="84"/>
        <v>2028.3333333333333</v>
      </c>
      <c r="BG161" s="375">
        <f t="shared" si="84"/>
        <v>2028.3333333333333</v>
      </c>
      <c r="BH161" s="375">
        <f t="shared" si="84"/>
        <v>2028.3333333333333</v>
      </c>
      <c r="BI161" s="375">
        <f t="shared" si="84"/>
        <v>2028.3333333333333</v>
      </c>
      <c r="BJ161" s="375">
        <f t="shared" si="85"/>
        <v>2028.3333333333333</v>
      </c>
      <c r="BK161" s="375">
        <f t="shared" si="85"/>
        <v>2028.3333333333333</v>
      </c>
      <c r="BL161" s="375">
        <f t="shared" si="85"/>
        <v>2028.3333333333333</v>
      </c>
      <c r="BM161" s="375">
        <f t="shared" si="85"/>
        <v>2028.3333333333333</v>
      </c>
      <c r="BN161" s="375">
        <f t="shared" si="85"/>
        <v>2028.3333333333333</v>
      </c>
      <c r="BO161" s="375">
        <f t="shared" si="85"/>
        <v>2028.3333333333333</v>
      </c>
      <c r="BP161" s="375">
        <f t="shared" si="85"/>
        <v>2028.3333333333333</v>
      </c>
      <c r="BQ161" s="375">
        <f t="shared" si="85"/>
        <v>0</v>
      </c>
      <c r="BR161" s="375">
        <f t="shared" si="85"/>
        <v>0</v>
      </c>
      <c r="BS161" s="375">
        <f t="shared" si="85"/>
        <v>0</v>
      </c>
      <c r="BT161" s="375">
        <f t="shared" si="86"/>
        <v>0</v>
      </c>
      <c r="BU161" s="375">
        <f t="shared" si="86"/>
        <v>0</v>
      </c>
      <c r="BV161" s="375">
        <f t="shared" si="86"/>
        <v>0</v>
      </c>
      <c r="BW161" s="375">
        <f t="shared" si="86"/>
        <v>0</v>
      </c>
      <c r="BX161" s="375">
        <f t="shared" si="86"/>
        <v>0</v>
      </c>
      <c r="BY161" s="375">
        <f t="shared" si="86"/>
        <v>0</v>
      </c>
      <c r="BZ161" s="375">
        <f t="shared" si="86"/>
        <v>0</v>
      </c>
      <c r="CA161" s="375">
        <f t="shared" si="86"/>
        <v>0</v>
      </c>
    </row>
    <row r="162" spans="4:79" ht="21" hidden="1" customHeight="1" outlineLevel="2">
      <c r="D162" s="374">
        <f t="shared" si="73"/>
        <v>45747</v>
      </c>
      <c r="E162" s="430" cm="1">
        <f t="array" ref="E162">INDEX($AF$131:$CA$131,0,MATCH(D162,$AF$8:$CA$8,0))</f>
        <v>24740</v>
      </c>
      <c r="G162" s="359"/>
      <c r="H162" s="375">
        <f t="shared" si="80"/>
        <v>0</v>
      </c>
      <c r="I162" s="375">
        <f t="shared" si="80"/>
        <v>0</v>
      </c>
      <c r="J162" s="375">
        <f t="shared" si="80"/>
        <v>20616.666666666668</v>
      </c>
      <c r="K162" s="375">
        <f t="shared" si="80"/>
        <v>4123.333333333333</v>
      </c>
      <c r="N162" s="375">
        <f t="shared" si="81"/>
        <v>0</v>
      </c>
      <c r="O162" s="375">
        <f t="shared" si="81"/>
        <v>0</v>
      </c>
      <c r="P162" s="375">
        <f t="shared" si="81"/>
        <v>0</v>
      </c>
      <c r="Q162" s="375">
        <f t="shared" si="81"/>
        <v>0</v>
      </c>
      <c r="R162" s="375">
        <f t="shared" si="81"/>
        <v>0</v>
      </c>
      <c r="S162" s="375">
        <f t="shared" si="81"/>
        <v>0</v>
      </c>
      <c r="T162" s="375">
        <f t="shared" si="81"/>
        <v>0</v>
      </c>
      <c r="U162" s="375">
        <f t="shared" si="81"/>
        <v>0</v>
      </c>
      <c r="V162" s="375">
        <f t="shared" si="81"/>
        <v>2061.6666666666665</v>
      </c>
      <c r="W162" s="375">
        <f t="shared" si="81"/>
        <v>6185</v>
      </c>
      <c r="X162" s="375">
        <f t="shared" si="81"/>
        <v>6185</v>
      </c>
      <c r="Y162" s="375">
        <f t="shared" si="81"/>
        <v>6185</v>
      </c>
      <c r="Z162" s="375">
        <f t="shared" si="81"/>
        <v>4123.333333333333</v>
      </c>
      <c r="AA162" s="375">
        <f t="shared" si="81"/>
        <v>0</v>
      </c>
      <c r="AB162" s="375">
        <f t="shared" si="81"/>
        <v>0</v>
      </c>
      <c r="AC162" s="375">
        <f t="shared" si="81"/>
        <v>0</v>
      </c>
      <c r="AF162" s="375">
        <f t="shared" si="82"/>
        <v>0</v>
      </c>
      <c r="AG162" s="375">
        <f t="shared" si="82"/>
        <v>0</v>
      </c>
      <c r="AH162" s="375">
        <f t="shared" si="82"/>
        <v>0</v>
      </c>
      <c r="AI162" s="375">
        <f t="shared" si="82"/>
        <v>0</v>
      </c>
      <c r="AJ162" s="375">
        <f t="shared" si="82"/>
        <v>0</v>
      </c>
      <c r="AK162" s="375">
        <f t="shared" si="82"/>
        <v>0</v>
      </c>
      <c r="AL162" s="375">
        <f t="shared" si="82"/>
        <v>0</v>
      </c>
      <c r="AM162" s="375">
        <f t="shared" si="82"/>
        <v>0</v>
      </c>
      <c r="AN162" s="375">
        <f t="shared" si="82"/>
        <v>0</v>
      </c>
      <c r="AO162" s="375">
        <f t="shared" si="82"/>
        <v>0</v>
      </c>
      <c r="AP162" s="375">
        <f t="shared" si="83"/>
        <v>0</v>
      </c>
      <c r="AQ162" s="375">
        <f t="shared" si="83"/>
        <v>0</v>
      </c>
      <c r="AR162" s="375">
        <f t="shared" si="83"/>
        <v>0</v>
      </c>
      <c r="AS162" s="375">
        <f t="shared" si="83"/>
        <v>0</v>
      </c>
      <c r="AT162" s="375">
        <f t="shared" si="83"/>
        <v>0</v>
      </c>
      <c r="AU162" s="375">
        <f t="shared" si="83"/>
        <v>0</v>
      </c>
      <c r="AV162" s="375">
        <f t="shared" si="83"/>
        <v>0</v>
      </c>
      <c r="AW162" s="375">
        <f t="shared" si="83"/>
        <v>0</v>
      </c>
      <c r="AX162" s="375">
        <f t="shared" si="83"/>
        <v>0</v>
      </c>
      <c r="AY162" s="375">
        <f t="shared" si="83"/>
        <v>0</v>
      </c>
      <c r="AZ162" s="375">
        <f t="shared" si="84"/>
        <v>0</v>
      </c>
      <c r="BA162" s="375">
        <f t="shared" si="84"/>
        <v>0</v>
      </c>
      <c r="BB162" s="375">
        <f t="shared" si="84"/>
        <v>0</v>
      </c>
      <c r="BC162" s="375">
        <f t="shared" si="84"/>
        <v>0</v>
      </c>
      <c r="BD162" s="375">
        <f t="shared" si="84"/>
        <v>0</v>
      </c>
      <c r="BE162" s="375">
        <f t="shared" si="84"/>
        <v>0</v>
      </c>
      <c r="BF162" s="375">
        <f t="shared" si="84"/>
        <v>2061.6666666666665</v>
      </c>
      <c r="BG162" s="375">
        <f t="shared" si="84"/>
        <v>2061.6666666666665</v>
      </c>
      <c r="BH162" s="375">
        <f t="shared" si="84"/>
        <v>2061.6666666666665</v>
      </c>
      <c r="BI162" s="375">
        <f t="shared" si="84"/>
        <v>2061.6666666666665</v>
      </c>
      <c r="BJ162" s="375">
        <f t="shared" si="85"/>
        <v>2061.6666666666665</v>
      </c>
      <c r="BK162" s="375">
        <f t="shared" si="85"/>
        <v>2061.6666666666665</v>
      </c>
      <c r="BL162" s="375">
        <f t="shared" si="85"/>
        <v>2061.6666666666665</v>
      </c>
      <c r="BM162" s="375">
        <f t="shared" si="85"/>
        <v>2061.6666666666665</v>
      </c>
      <c r="BN162" s="375">
        <f t="shared" si="85"/>
        <v>2061.6666666666665</v>
      </c>
      <c r="BO162" s="375">
        <f t="shared" si="85"/>
        <v>2061.6666666666665</v>
      </c>
      <c r="BP162" s="375">
        <f t="shared" si="85"/>
        <v>2061.6666666666665</v>
      </c>
      <c r="BQ162" s="375">
        <f t="shared" si="85"/>
        <v>2061.6666666666665</v>
      </c>
      <c r="BR162" s="375">
        <f t="shared" si="85"/>
        <v>0</v>
      </c>
      <c r="BS162" s="375">
        <f t="shared" si="85"/>
        <v>0</v>
      </c>
      <c r="BT162" s="375">
        <f t="shared" si="86"/>
        <v>0</v>
      </c>
      <c r="BU162" s="375">
        <f t="shared" si="86"/>
        <v>0</v>
      </c>
      <c r="BV162" s="375">
        <f t="shared" si="86"/>
        <v>0</v>
      </c>
      <c r="BW162" s="375">
        <f t="shared" si="86"/>
        <v>0</v>
      </c>
      <c r="BX162" s="375">
        <f t="shared" si="86"/>
        <v>0</v>
      </c>
      <c r="BY162" s="375">
        <f t="shared" si="86"/>
        <v>0</v>
      </c>
      <c r="BZ162" s="375">
        <f t="shared" si="86"/>
        <v>0</v>
      </c>
      <c r="CA162" s="375">
        <f t="shared" si="86"/>
        <v>0</v>
      </c>
    </row>
    <row r="163" spans="4:79" ht="21" hidden="1" customHeight="1" outlineLevel="2">
      <c r="D163" s="374">
        <f t="shared" si="73"/>
        <v>45777</v>
      </c>
      <c r="E163" s="430" cm="1">
        <f t="array" ref="E163">INDEX($AF$131:$CA$131,0,MATCH(D163,$AF$8:$CA$8,0))</f>
        <v>25060</v>
      </c>
      <c r="H163" s="375">
        <f t="shared" si="80"/>
        <v>0</v>
      </c>
      <c r="I163" s="375">
        <f t="shared" si="80"/>
        <v>0</v>
      </c>
      <c r="J163" s="375">
        <f t="shared" si="80"/>
        <v>18795</v>
      </c>
      <c r="K163" s="375">
        <f t="shared" si="80"/>
        <v>6265</v>
      </c>
      <c r="M163" s="359"/>
      <c r="N163" s="375">
        <f t="shared" si="81"/>
        <v>0</v>
      </c>
      <c r="O163" s="375">
        <f t="shared" si="81"/>
        <v>0</v>
      </c>
      <c r="P163" s="375">
        <f t="shared" si="81"/>
        <v>0</v>
      </c>
      <c r="Q163" s="375">
        <f t="shared" si="81"/>
        <v>0</v>
      </c>
      <c r="R163" s="375">
        <f t="shared" si="81"/>
        <v>0</v>
      </c>
      <c r="S163" s="375">
        <f t="shared" si="81"/>
        <v>0</v>
      </c>
      <c r="T163" s="375">
        <f t="shared" si="81"/>
        <v>0</v>
      </c>
      <c r="U163" s="375">
        <f t="shared" si="81"/>
        <v>0</v>
      </c>
      <c r="V163" s="375">
        <f t="shared" si="81"/>
        <v>0</v>
      </c>
      <c r="W163" s="375">
        <f t="shared" si="81"/>
        <v>6265</v>
      </c>
      <c r="X163" s="375">
        <f t="shared" si="81"/>
        <v>6265</v>
      </c>
      <c r="Y163" s="375">
        <f t="shared" si="81"/>
        <v>6265</v>
      </c>
      <c r="Z163" s="375">
        <f t="shared" si="81"/>
        <v>6265</v>
      </c>
      <c r="AA163" s="375">
        <f t="shared" si="81"/>
        <v>0</v>
      </c>
      <c r="AB163" s="375">
        <f t="shared" si="81"/>
        <v>0</v>
      </c>
      <c r="AC163" s="375">
        <f t="shared" si="81"/>
        <v>0</v>
      </c>
      <c r="AE163" s="359"/>
      <c r="AF163" s="375">
        <f t="shared" si="82"/>
        <v>0</v>
      </c>
      <c r="AG163" s="375">
        <f t="shared" si="82"/>
        <v>0</v>
      </c>
      <c r="AH163" s="375">
        <f t="shared" si="82"/>
        <v>0</v>
      </c>
      <c r="AI163" s="375">
        <f t="shared" si="82"/>
        <v>0</v>
      </c>
      <c r="AJ163" s="375">
        <f t="shared" si="82"/>
        <v>0</v>
      </c>
      <c r="AK163" s="375">
        <f t="shared" si="82"/>
        <v>0</v>
      </c>
      <c r="AL163" s="375">
        <f t="shared" si="82"/>
        <v>0</v>
      </c>
      <c r="AM163" s="375">
        <f t="shared" si="82"/>
        <v>0</v>
      </c>
      <c r="AN163" s="375">
        <f t="shared" si="82"/>
        <v>0</v>
      </c>
      <c r="AO163" s="375">
        <f t="shared" si="82"/>
        <v>0</v>
      </c>
      <c r="AP163" s="375">
        <f t="shared" si="83"/>
        <v>0</v>
      </c>
      <c r="AQ163" s="375">
        <f t="shared" si="83"/>
        <v>0</v>
      </c>
      <c r="AR163" s="375">
        <f t="shared" si="83"/>
        <v>0</v>
      </c>
      <c r="AS163" s="375">
        <f t="shared" si="83"/>
        <v>0</v>
      </c>
      <c r="AT163" s="375">
        <f t="shared" si="83"/>
        <v>0</v>
      </c>
      <c r="AU163" s="375">
        <f t="shared" si="83"/>
        <v>0</v>
      </c>
      <c r="AV163" s="375">
        <f t="shared" si="83"/>
        <v>0</v>
      </c>
      <c r="AW163" s="375">
        <f t="shared" si="83"/>
        <v>0</v>
      </c>
      <c r="AX163" s="375">
        <f t="shared" si="83"/>
        <v>0</v>
      </c>
      <c r="AY163" s="375">
        <f t="shared" si="83"/>
        <v>0</v>
      </c>
      <c r="AZ163" s="375">
        <f t="shared" si="84"/>
        <v>0</v>
      </c>
      <c r="BA163" s="375">
        <f t="shared" si="84"/>
        <v>0</v>
      </c>
      <c r="BB163" s="375">
        <f t="shared" si="84"/>
        <v>0</v>
      </c>
      <c r="BC163" s="375">
        <f t="shared" si="84"/>
        <v>0</v>
      </c>
      <c r="BD163" s="375">
        <f t="shared" si="84"/>
        <v>0</v>
      </c>
      <c r="BE163" s="375">
        <f t="shared" si="84"/>
        <v>0</v>
      </c>
      <c r="BF163" s="375">
        <f t="shared" si="84"/>
        <v>0</v>
      </c>
      <c r="BG163" s="375">
        <f t="shared" si="84"/>
        <v>2088.3333333333335</v>
      </c>
      <c r="BH163" s="375">
        <f t="shared" si="84"/>
        <v>2088.3333333333335</v>
      </c>
      <c r="BI163" s="375">
        <f t="shared" si="84"/>
        <v>2088.3333333333335</v>
      </c>
      <c r="BJ163" s="375">
        <f t="shared" si="85"/>
        <v>2088.3333333333335</v>
      </c>
      <c r="BK163" s="375">
        <f t="shared" si="85"/>
        <v>2088.3333333333335</v>
      </c>
      <c r="BL163" s="375">
        <f t="shared" si="85"/>
        <v>2088.3333333333335</v>
      </c>
      <c r="BM163" s="375">
        <f t="shared" si="85"/>
        <v>2088.3333333333335</v>
      </c>
      <c r="BN163" s="375">
        <f t="shared" si="85"/>
        <v>2088.3333333333335</v>
      </c>
      <c r="BO163" s="375">
        <f t="shared" si="85"/>
        <v>2088.3333333333335</v>
      </c>
      <c r="BP163" s="375">
        <f t="shared" si="85"/>
        <v>2088.3333333333335</v>
      </c>
      <c r="BQ163" s="375">
        <f t="shared" si="85"/>
        <v>2088.3333333333335</v>
      </c>
      <c r="BR163" s="375">
        <f t="shared" si="85"/>
        <v>2088.3333333333335</v>
      </c>
      <c r="BS163" s="375">
        <f t="shared" si="85"/>
        <v>0</v>
      </c>
      <c r="BT163" s="375">
        <f t="shared" si="86"/>
        <v>0</v>
      </c>
      <c r="BU163" s="375">
        <f t="shared" si="86"/>
        <v>0</v>
      </c>
      <c r="BV163" s="375">
        <f t="shared" si="86"/>
        <v>0</v>
      </c>
      <c r="BW163" s="375">
        <f t="shared" si="86"/>
        <v>0</v>
      </c>
      <c r="BX163" s="375">
        <f t="shared" si="86"/>
        <v>0</v>
      </c>
      <c r="BY163" s="375">
        <f t="shared" si="86"/>
        <v>0</v>
      </c>
      <c r="BZ163" s="375">
        <f t="shared" si="86"/>
        <v>0</v>
      </c>
      <c r="CA163" s="375">
        <f t="shared" si="86"/>
        <v>0</v>
      </c>
    </row>
    <row r="164" spans="4:79" ht="21" hidden="1" customHeight="1" outlineLevel="2">
      <c r="D164" s="374">
        <f t="shared" si="73"/>
        <v>45808</v>
      </c>
      <c r="E164" s="430" cm="1">
        <f t="array" ref="E164">INDEX($AF$131:$CA$131,0,MATCH(D164,$AF$8:$CA$8,0))</f>
        <v>25340</v>
      </c>
      <c r="H164" s="375">
        <f t="shared" si="80"/>
        <v>0</v>
      </c>
      <c r="I164" s="375">
        <f t="shared" si="80"/>
        <v>0</v>
      </c>
      <c r="J164" s="375">
        <f t="shared" si="80"/>
        <v>16893.333333333332</v>
      </c>
      <c r="K164" s="375">
        <f t="shared" si="80"/>
        <v>8446.6666666666661</v>
      </c>
      <c r="N164" s="375">
        <f t="shared" si="81"/>
        <v>0</v>
      </c>
      <c r="O164" s="375">
        <f t="shared" si="81"/>
        <v>0</v>
      </c>
      <c r="P164" s="375">
        <f t="shared" si="81"/>
        <v>0</v>
      </c>
      <c r="Q164" s="375">
        <f t="shared" si="81"/>
        <v>0</v>
      </c>
      <c r="R164" s="375">
        <f t="shared" si="81"/>
        <v>0</v>
      </c>
      <c r="S164" s="375">
        <f t="shared" si="81"/>
        <v>0</v>
      </c>
      <c r="T164" s="375">
        <f t="shared" si="81"/>
        <v>0</v>
      </c>
      <c r="U164" s="375">
        <f t="shared" si="81"/>
        <v>0</v>
      </c>
      <c r="V164" s="375">
        <f t="shared" si="81"/>
        <v>0</v>
      </c>
      <c r="W164" s="375">
        <f t="shared" si="81"/>
        <v>4223.333333333333</v>
      </c>
      <c r="X164" s="375">
        <f t="shared" si="81"/>
        <v>6335</v>
      </c>
      <c r="Y164" s="375">
        <f t="shared" si="81"/>
        <v>6335</v>
      </c>
      <c r="Z164" s="375">
        <f t="shared" si="81"/>
        <v>6335</v>
      </c>
      <c r="AA164" s="375">
        <f t="shared" si="81"/>
        <v>2111.6666666666665</v>
      </c>
      <c r="AB164" s="375">
        <f t="shared" si="81"/>
        <v>0</v>
      </c>
      <c r="AC164" s="375">
        <f t="shared" si="81"/>
        <v>0</v>
      </c>
      <c r="AF164" s="375">
        <f t="shared" si="82"/>
        <v>0</v>
      </c>
      <c r="AG164" s="375">
        <f t="shared" si="82"/>
        <v>0</v>
      </c>
      <c r="AH164" s="375">
        <f t="shared" si="82"/>
        <v>0</v>
      </c>
      <c r="AI164" s="375">
        <f t="shared" si="82"/>
        <v>0</v>
      </c>
      <c r="AJ164" s="375">
        <f t="shared" si="82"/>
        <v>0</v>
      </c>
      <c r="AK164" s="375">
        <f t="shared" si="82"/>
        <v>0</v>
      </c>
      <c r="AL164" s="375">
        <f t="shared" si="82"/>
        <v>0</v>
      </c>
      <c r="AM164" s="375">
        <f t="shared" si="82"/>
        <v>0</v>
      </c>
      <c r="AN164" s="375">
        <f t="shared" si="82"/>
        <v>0</v>
      </c>
      <c r="AO164" s="375">
        <f t="shared" si="82"/>
        <v>0</v>
      </c>
      <c r="AP164" s="375">
        <f t="shared" si="83"/>
        <v>0</v>
      </c>
      <c r="AQ164" s="375">
        <f t="shared" si="83"/>
        <v>0</v>
      </c>
      <c r="AR164" s="375">
        <f t="shared" si="83"/>
        <v>0</v>
      </c>
      <c r="AS164" s="375">
        <f t="shared" si="83"/>
        <v>0</v>
      </c>
      <c r="AT164" s="375">
        <f t="shared" si="83"/>
        <v>0</v>
      </c>
      <c r="AU164" s="375">
        <f t="shared" si="83"/>
        <v>0</v>
      </c>
      <c r="AV164" s="375">
        <f t="shared" si="83"/>
        <v>0</v>
      </c>
      <c r="AW164" s="375">
        <f t="shared" si="83"/>
        <v>0</v>
      </c>
      <c r="AX164" s="375">
        <f t="shared" si="83"/>
        <v>0</v>
      </c>
      <c r="AY164" s="375">
        <f t="shared" si="83"/>
        <v>0</v>
      </c>
      <c r="AZ164" s="375">
        <f t="shared" si="84"/>
        <v>0</v>
      </c>
      <c r="BA164" s="375">
        <f t="shared" si="84"/>
        <v>0</v>
      </c>
      <c r="BB164" s="375">
        <f t="shared" si="84"/>
        <v>0</v>
      </c>
      <c r="BC164" s="375">
        <f t="shared" si="84"/>
        <v>0</v>
      </c>
      <c r="BD164" s="375">
        <f t="shared" si="84"/>
        <v>0</v>
      </c>
      <c r="BE164" s="375">
        <f t="shared" si="84"/>
        <v>0</v>
      </c>
      <c r="BF164" s="375">
        <f t="shared" si="84"/>
        <v>0</v>
      </c>
      <c r="BG164" s="375">
        <f t="shared" si="84"/>
        <v>0</v>
      </c>
      <c r="BH164" s="375">
        <f t="shared" si="84"/>
        <v>2111.6666666666665</v>
      </c>
      <c r="BI164" s="375">
        <f t="shared" si="84"/>
        <v>2111.6666666666665</v>
      </c>
      <c r="BJ164" s="375">
        <f t="shared" si="85"/>
        <v>2111.6666666666665</v>
      </c>
      <c r="BK164" s="375">
        <f t="shared" si="85"/>
        <v>2111.6666666666665</v>
      </c>
      <c r="BL164" s="375">
        <f t="shared" si="85"/>
        <v>2111.6666666666665</v>
      </c>
      <c r="BM164" s="375">
        <f t="shared" si="85"/>
        <v>2111.6666666666665</v>
      </c>
      <c r="BN164" s="375">
        <f t="shared" si="85"/>
        <v>2111.6666666666665</v>
      </c>
      <c r="BO164" s="375">
        <f t="shared" si="85"/>
        <v>2111.6666666666665</v>
      </c>
      <c r="BP164" s="375">
        <f t="shared" si="85"/>
        <v>2111.6666666666665</v>
      </c>
      <c r="BQ164" s="375">
        <f t="shared" si="85"/>
        <v>2111.6666666666665</v>
      </c>
      <c r="BR164" s="375">
        <f t="shared" si="85"/>
        <v>2111.6666666666665</v>
      </c>
      <c r="BS164" s="375">
        <f t="shared" si="85"/>
        <v>2111.6666666666665</v>
      </c>
      <c r="BT164" s="375">
        <f t="shared" si="86"/>
        <v>0</v>
      </c>
      <c r="BU164" s="375">
        <f t="shared" si="86"/>
        <v>0</v>
      </c>
      <c r="BV164" s="375">
        <f t="shared" si="86"/>
        <v>0</v>
      </c>
      <c r="BW164" s="375">
        <f t="shared" si="86"/>
        <v>0</v>
      </c>
      <c r="BX164" s="375">
        <f t="shared" si="86"/>
        <v>0</v>
      </c>
      <c r="BY164" s="375">
        <f t="shared" si="86"/>
        <v>0</v>
      </c>
      <c r="BZ164" s="375">
        <f t="shared" si="86"/>
        <v>0</v>
      </c>
      <c r="CA164" s="375">
        <f t="shared" si="86"/>
        <v>0</v>
      </c>
    </row>
    <row r="165" spans="4:79" ht="21" hidden="1" customHeight="1" outlineLevel="2">
      <c r="D165" s="374">
        <f t="shared" si="73"/>
        <v>45838</v>
      </c>
      <c r="E165" s="430" cm="1">
        <f t="array" ref="E165">INDEX($AF$131:$CA$131,0,MATCH(D165,$AF$8:$CA$8,0))</f>
        <v>26060</v>
      </c>
      <c r="H165" s="375">
        <f t="shared" si="80"/>
        <v>0</v>
      </c>
      <c r="I165" s="375">
        <f t="shared" si="80"/>
        <v>0</v>
      </c>
      <c r="J165" s="375">
        <f t="shared" si="80"/>
        <v>15201.666666666664</v>
      </c>
      <c r="K165" s="375">
        <f t="shared" si="80"/>
        <v>10858.333333333332</v>
      </c>
      <c r="N165" s="375">
        <f t="shared" si="81"/>
        <v>0</v>
      </c>
      <c r="O165" s="375">
        <f t="shared" si="81"/>
        <v>0</v>
      </c>
      <c r="P165" s="375">
        <f t="shared" si="81"/>
        <v>0</v>
      </c>
      <c r="Q165" s="375">
        <f t="shared" si="81"/>
        <v>0</v>
      </c>
      <c r="R165" s="375">
        <f t="shared" si="81"/>
        <v>0</v>
      </c>
      <c r="S165" s="375">
        <f t="shared" si="81"/>
        <v>0</v>
      </c>
      <c r="T165" s="375">
        <f t="shared" si="81"/>
        <v>0</v>
      </c>
      <c r="U165" s="375">
        <f t="shared" si="81"/>
        <v>0</v>
      </c>
      <c r="V165" s="375">
        <f t="shared" si="81"/>
        <v>0</v>
      </c>
      <c r="W165" s="375">
        <f t="shared" si="81"/>
        <v>2171.6666666666665</v>
      </c>
      <c r="X165" s="375">
        <f t="shared" si="81"/>
        <v>6515</v>
      </c>
      <c r="Y165" s="375">
        <f t="shared" si="81"/>
        <v>6515</v>
      </c>
      <c r="Z165" s="375">
        <f t="shared" si="81"/>
        <v>6515</v>
      </c>
      <c r="AA165" s="375">
        <f t="shared" si="81"/>
        <v>4343.333333333333</v>
      </c>
      <c r="AB165" s="375">
        <f t="shared" si="81"/>
        <v>0</v>
      </c>
      <c r="AC165" s="375">
        <f t="shared" si="81"/>
        <v>0</v>
      </c>
      <c r="AF165" s="375">
        <f t="shared" si="82"/>
        <v>0</v>
      </c>
      <c r="AG165" s="375">
        <f t="shared" si="82"/>
        <v>0</v>
      </c>
      <c r="AH165" s="375">
        <f t="shared" si="82"/>
        <v>0</v>
      </c>
      <c r="AI165" s="375">
        <f t="shared" si="82"/>
        <v>0</v>
      </c>
      <c r="AJ165" s="375">
        <f t="shared" si="82"/>
        <v>0</v>
      </c>
      <c r="AK165" s="375">
        <f t="shared" si="82"/>
        <v>0</v>
      </c>
      <c r="AL165" s="375">
        <f t="shared" si="82"/>
        <v>0</v>
      </c>
      <c r="AM165" s="375">
        <f t="shared" si="82"/>
        <v>0</v>
      </c>
      <c r="AN165" s="375">
        <f t="shared" si="82"/>
        <v>0</v>
      </c>
      <c r="AO165" s="375">
        <f t="shared" si="82"/>
        <v>0</v>
      </c>
      <c r="AP165" s="375">
        <f t="shared" si="83"/>
        <v>0</v>
      </c>
      <c r="AQ165" s="375">
        <f t="shared" si="83"/>
        <v>0</v>
      </c>
      <c r="AR165" s="375">
        <f t="shared" si="83"/>
        <v>0</v>
      </c>
      <c r="AS165" s="375">
        <f t="shared" si="83"/>
        <v>0</v>
      </c>
      <c r="AT165" s="375">
        <f t="shared" si="83"/>
        <v>0</v>
      </c>
      <c r="AU165" s="375">
        <f t="shared" si="83"/>
        <v>0</v>
      </c>
      <c r="AV165" s="375">
        <f t="shared" si="83"/>
        <v>0</v>
      </c>
      <c r="AW165" s="375">
        <f t="shared" si="83"/>
        <v>0</v>
      </c>
      <c r="AX165" s="375">
        <f t="shared" si="83"/>
        <v>0</v>
      </c>
      <c r="AY165" s="375">
        <f t="shared" si="83"/>
        <v>0</v>
      </c>
      <c r="AZ165" s="375">
        <f t="shared" si="84"/>
        <v>0</v>
      </c>
      <c r="BA165" s="375">
        <f t="shared" si="84"/>
        <v>0</v>
      </c>
      <c r="BB165" s="375">
        <f t="shared" si="84"/>
        <v>0</v>
      </c>
      <c r="BC165" s="375">
        <f t="shared" si="84"/>
        <v>0</v>
      </c>
      <c r="BD165" s="375">
        <f t="shared" si="84"/>
        <v>0</v>
      </c>
      <c r="BE165" s="375">
        <f t="shared" si="84"/>
        <v>0</v>
      </c>
      <c r="BF165" s="375">
        <f t="shared" si="84"/>
        <v>0</v>
      </c>
      <c r="BG165" s="375">
        <f t="shared" si="84"/>
        <v>0</v>
      </c>
      <c r="BH165" s="375">
        <f t="shared" si="84"/>
        <v>0</v>
      </c>
      <c r="BI165" s="375">
        <f t="shared" si="84"/>
        <v>2171.6666666666665</v>
      </c>
      <c r="BJ165" s="375">
        <f t="shared" si="85"/>
        <v>2171.6666666666665</v>
      </c>
      <c r="BK165" s="375">
        <f t="shared" si="85"/>
        <v>2171.6666666666665</v>
      </c>
      <c r="BL165" s="375">
        <f t="shared" si="85"/>
        <v>2171.6666666666665</v>
      </c>
      <c r="BM165" s="375">
        <f t="shared" si="85"/>
        <v>2171.6666666666665</v>
      </c>
      <c r="BN165" s="375">
        <f t="shared" si="85"/>
        <v>2171.6666666666665</v>
      </c>
      <c r="BO165" s="375">
        <f t="shared" si="85"/>
        <v>2171.6666666666665</v>
      </c>
      <c r="BP165" s="375">
        <f t="shared" si="85"/>
        <v>2171.6666666666665</v>
      </c>
      <c r="BQ165" s="375">
        <f t="shared" si="85"/>
        <v>2171.6666666666665</v>
      </c>
      <c r="BR165" s="375">
        <f t="shared" si="85"/>
        <v>2171.6666666666665</v>
      </c>
      <c r="BS165" s="375">
        <f t="shared" si="85"/>
        <v>2171.6666666666665</v>
      </c>
      <c r="BT165" s="375">
        <f t="shared" si="86"/>
        <v>2171.6666666666665</v>
      </c>
      <c r="BU165" s="375">
        <f t="shared" si="86"/>
        <v>0</v>
      </c>
      <c r="BV165" s="375">
        <f t="shared" si="86"/>
        <v>0</v>
      </c>
      <c r="BW165" s="375">
        <f t="shared" si="86"/>
        <v>0</v>
      </c>
      <c r="BX165" s="375">
        <f t="shared" si="86"/>
        <v>0</v>
      </c>
      <c r="BY165" s="375">
        <f t="shared" si="86"/>
        <v>0</v>
      </c>
      <c r="BZ165" s="375">
        <f t="shared" si="86"/>
        <v>0</v>
      </c>
      <c r="CA165" s="375">
        <f t="shared" si="86"/>
        <v>0</v>
      </c>
    </row>
    <row r="166" spans="4:79" ht="21" hidden="1" customHeight="1" outlineLevel="2">
      <c r="D166" s="374">
        <f t="shared" si="73"/>
        <v>45869</v>
      </c>
      <c r="E166" s="430" cm="1">
        <f t="array" ref="E166">INDEX($AF$131:$CA$131,0,MATCH(D166,$AF$8:$CA$8,0))</f>
        <v>26500</v>
      </c>
      <c r="H166" s="375">
        <f t="shared" si="80"/>
        <v>0</v>
      </c>
      <c r="I166" s="375">
        <f t="shared" si="80"/>
        <v>0</v>
      </c>
      <c r="J166" s="375">
        <f t="shared" si="80"/>
        <v>13250.000000000002</v>
      </c>
      <c r="K166" s="375">
        <f t="shared" si="80"/>
        <v>13250.000000000002</v>
      </c>
      <c r="N166" s="375">
        <f t="shared" si="81"/>
        <v>0</v>
      </c>
      <c r="O166" s="375">
        <f t="shared" si="81"/>
        <v>0</v>
      </c>
      <c r="P166" s="375">
        <f t="shared" si="81"/>
        <v>0</v>
      </c>
      <c r="Q166" s="375">
        <f t="shared" si="81"/>
        <v>0</v>
      </c>
      <c r="R166" s="375">
        <f t="shared" si="81"/>
        <v>0</v>
      </c>
      <c r="S166" s="375">
        <f t="shared" si="81"/>
        <v>0</v>
      </c>
      <c r="T166" s="375">
        <f t="shared" si="81"/>
        <v>0</v>
      </c>
      <c r="U166" s="375">
        <f t="shared" si="81"/>
        <v>0</v>
      </c>
      <c r="V166" s="375">
        <f t="shared" si="81"/>
        <v>0</v>
      </c>
      <c r="W166" s="375">
        <f t="shared" si="81"/>
        <v>0</v>
      </c>
      <c r="X166" s="375">
        <f t="shared" si="81"/>
        <v>6625</v>
      </c>
      <c r="Y166" s="375">
        <f t="shared" si="81"/>
        <v>6625</v>
      </c>
      <c r="Z166" s="375">
        <f t="shared" si="81"/>
        <v>6625</v>
      </c>
      <c r="AA166" s="375">
        <f t="shared" si="81"/>
        <v>6625</v>
      </c>
      <c r="AB166" s="375">
        <f t="shared" si="81"/>
        <v>0</v>
      </c>
      <c r="AC166" s="375">
        <f t="shared" si="81"/>
        <v>0</v>
      </c>
      <c r="AF166" s="375">
        <f t="shared" si="82"/>
        <v>0</v>
      </c>
      <c r="AG166" s="375">
        <f t="shared" si="82"/>
        <v>0</v>
      </c>
      <c r="AH166" s="375">
        <f t="shared" si="82"/>
        <v>0</v>
      </c>
      <c r="AI166" s="375">
        <f t="shared" si="82"/>
        <v>0</v>
      </c>
      <c r="AJ166" s="375">
        <f t="shared" si="82"/>
        <v>0</v>
      </c>
      <c r="AK166" s="375">
        <f t="shared" si="82"/>
        <v>0</v>
      </c>
      <c r="AL166" s="375">
        <f t="shared" si="82"/>
        <v>0</v>
      </c>
      <c r="AM166" s="375">
        <f t="shared" si="82"/>
        <v>0</v>
      </c>
      <c r="AN166" s="375">
        <f t="shared" si="82"/>
        <v>0</v>
      </c>
      <c r="AO166" s="375">
        <f t="shared" si="82"/>
        <v>0</v>
      </c>
      <c r="AP166" s="375">
        <f t="shared" si="83"/>
        <v>0</v>
      </c>
      <c r="AQ166" s="375">
        <f t="shared" si="83"/>
        <v>0</v>
      </c>
      <c r="AR166" s="375">
        <f t="shared" si="83"/>
        <v>0</v>
      </c>
      <c r="AS166" s="375">
        <f t="shared" si="83"/>
        <v>0</v>
      </c>
      <c r="AT166" s="375">
        <f t="shared" si="83"/>
        <v>0</v>
      </c>
      <c r="AU166" s="375">
        <f t="shared" si="83"/>
        <v>0</v>
      </c>
      <c r="AV166" s="375">
        <f t="shared" si="83"/>
        <v>0</v>
      </c>
      <c r="AW166" s="375">
        <f t="shared" si="83"/>
        <v>0</v>
      </c>
      <c r="AX166" s="375">
        <f t="shared" si="83"/>
        <v>0</v>
      </c>
      <c r="AY166" s="375">
        <f t="shared" si="83"/>
        <v>0</v>
      </c>
      <c r="AZ166" s="375">
        <f t="shared" si="84"/>
        <v>0</v>
      </c>
      <c r="BA166" s="375">
        <f t="shared" si="84"/>
        <v>0</v>
      </c>
      <c r="BB166" s="375">
        <f t="shared" si="84"/>
        <v>0</v>
      </c>
      <c r="BC166" s="375">
        <f t="shared" si="84"/>
        <v>0</v>
      </c>
      <c r="BD166" s="375">
        <f t="shared" si="84"/>
        <v>0</v>
      </c>
      <c r="BE166" s="375">
        <f t="shared" si="84"/>
        <v>0</v>
      </c>
      <c r="BF166" s="375">
        <f t="shared" si="84"/>
        <v>0</v>
      </c>
      <c r="BG166" s="375">
        <f t="shared" si="84"/>
        <v>0</v>
      </c>
      <c r="BH166" s="375">
        <f t="shared" si="84"/>
        <v>0</v>
      </c>
      <c r="BI166" s="375">
        <f t="shared" si="84"/>
        <v>0</v>
      </c>
      <c r="BJ166" s="375">
        <f t="shared" si="85"/>
        <v>2208.3333333333335</v>
      </c>
      <c r="BK166" s="375">
        <f t="shared" si="85"/>
        <v>2208.3333333333335</v>
      </c>
      <c r="BL166" s="375">
        <f t="shared" si="85"/>
        <v>2208.3333333333335</v>
      </c>
      <c r="BM166" s="375">
        <f t="shared" si="85"/>
        <v>2208.3333333333335</v>
      </c>
      <c r="BN166" s="375">
        <f t="shared" si="85"/>
        <v>2208.3333333333335</v>
      </c>
      <c r="BO166" s="375">
        <f t="shared" si="85"/>
        <v>2208.3333333333335</v>
      </c>
      <c r="BP166" s="375">
        <f t="shared" si="85"/>
        <v>2208.3333333333335</v>
      </c>
      <c r="BQ166" s="375">
        <f t="shared" si="85"/>
        <v>2208.3333333333335</v>
      </c>
      <c r="BR166" s="375">
        <f t="shared" si="85"/>
        <v>2208.3333333333335</v>
      </c>
      <c r="BS166" s="375">
        <f t="shared" si="85"/>
        <v>2208.3333333333335</v>
      </c>
      <c r="BT166" s="375">
        <f t="shared" si="86"/>
        <v>2208.3333333333335</v>
      </c>
      <c r="BU166" s="375">
        <f t="shared" si="86"/>
        <v>2208.3333333333335</v>
      </c>
      <c r="BV166" s="375">
        <f t="shared" si="86"/>
        <v>0</v>
      </c>
      <c r="BW166" s="375">
        <f t="shared" si="86"/>
        <v>0</v>
      </c>
      <c r="BX166" s="375">
        <f t="shared" si="86"/>
        <v>0</v>
      </c>
      <c r="BY166" s="375">
        <f t="shared" si="86"/>
        <v>0</v>
      </c>
      <c r="BZ166" s="375">
        <f t="shared" si="86"/>
        <v>0</v>
      </c>
      <c r="CA166" s="375">
        <f t="shared" si="86"/>
        <v>0</v>
      </c>
    </row>
    <row r="167" spans="4:79" ht="21" hidden="1" customHeight="1" outlineLevel="2">
      <c r="D167" s="374">
        <f t="shared" si="73"/>
        <v>45900</v>
      </c>
      <c r="E167" s="430" cm="1">
        <f t="array" ref="E167">INDEX($AF$131:$CA$131,0,MATCH(D167,$AF$8:$CA$8,0))</f>
        <v>29320</v>
      </c>
      <c r="H167" s="375">
        <f t="shared" si="80"/>
        <v>0</v>
      </c>
      <c r="I167" s="375">
        <f t="shared" si="80"/>
        <v>0</v>
      </c>
      <c r="J167" s="375">
        <f t="shared" si="80"/>
        <v>12216.666666666668</v>
      </c>
      <c r="K167" s="375">
        <f t="shared" si="80"/>
        <v>17103.333333333336</v>
      </c>
      <c r="N167" s="375">
        <f t="shared" si="81"/>
        <v>0</v>
      </c>
      <c r="O167" s="375">
        <f t="shared" si="81"/>
        <v>0</v>
      </c>
      <c r="P167" s="375">
        <f t="shared" si="81"/>
        <v>0</v>
      </c>
      <c r="Q167" s="375">
        <f t="shared" si="81"/>
        <v>0</v>
      </c>
      <c r="R167" s="375">
        <f t="shared" si="81"/>
        <v>0</v>
      </c>
      <c r="S167" s="375">
        <f t="shared" si="81"/>
        <v>0</v>
      </c>
      <c r="T167" s="375">
        <f t="shared" si="81"/>
        <v>0</v>
      </c>
      <c r="U167" s="375">
        <f t="shared" si="81"/>
        <v>0</v>
      </c>
      <c r="V167" s="375">
        <f t="shared" si="81"/>
        <v>0</v>
      </c>
      <c r="W167" s="375">
        <f t="shared" si="81"/>
        <v>0</v>
      </c>
      <c r="X167" s="375">
        <f t="shared" si="81"/>
        <v>4886.666666666667</v>
      </c>
      <c r="Y167" s="375">
        <f t="shared" si="81"/>
        <v>7330</v>
      </c>
      <c r="Z167" s="375">
        <f t="shared" si="81"/>
        <v>7330</v>
      </c>
      <c r="AA167" s="375">
        <f t="shared" si="81"/>
        <v>7330</v>
      </c>
      <c r="AB167" s="375">
        <f t="shared" si="81"/>
        <v>2443.3333333333335</v>
      </c>
      <c r="AC167" s="375">
        <f t="shared" si="81"/>
        <v>0</v>
      </c>
      <c r="AF167" s="375">
        <f t="shared" si="82"/>
        <v>0</v>
      </c>
      <c r="AG167" s="375">
        <f t="shared" si="82"/>
        <v>0</v>
      </c>
      <c r="AH167" s="375">
        <f t="shared" si="82"/>
        <v>0</v>
      </c>
      <c r="AI167" s="375">
        <f t="shared" si="82"/>
        <v>0</v>
      </c>
      <c r="AJ167" s="375">
        <f t="shared" si="82"/>
        <v>0</v>
      </c>
      <c r="AK167" s="375">
        <f t="shared" si="82"/>
        <v>0</v>
      </c>
      <c r="AL167" s="375">
        <f t="shared" si="82"/>
        <v>0</v>
      </c>
      <c r="AM167" s="375">
        <f t="shared" si="82"/>
        <v>0</v>
      </c>
      <c r="AN167" s="375">
        <f t="shared" si="82"/>
        <v>0</v>
      </c>
      <c r="AO167" s="375">
        <f t="shared" si="82"/>
        <v>0</v>
      </c>
      <c r="AP167" s="375">
        <f t="shared" si="83"/>
        <v>0</v>
      </c>
      <c r="AQ167" s="375">
        <f t="shared" si="83"/>
        <v>0</v>
      </c>
      <c r="AR167" s="375">
        <f t="shared" si="83"/>
        <v>0</v>
      </c>
      <c r="AS167" s="375">
        <f t="shared" si="83"/>
        <v>0</v>
      </c>
      <c r="AT167" s="375">
        <f t="shared" si="83"/>
        <v>0</v>
      </c>
      <c r="AU167" s="375">
        <f t="shared" si="83"/>
        <v>0</v>
      </c>
      <c r="AV167" s="375">
        <f t="shared" si="83"/>
        <v>0</v>
      </c>
      <c r="AW167" s="375">
        <f t="shared" si="83"/>
        <v>0</v>
      </c>
      <c r="AX167" s="375">
        <f t="shared" si="83"/>
        <v>0</v>
      </c>
      <c r="AY167" s="375">
        <f t="shared" si="83"/>
        <v>0</v>
      </c>
      <c r="AZ167" s="375">
        <f t="shared" si="84"/>
        <v>0</v>
      </c>
      <c r="BA167" s="375">
        <f t="shared" si="84"/>
        <v>0</v>
      </c>
      <c r="BB167" s="375">
        <f t="shared" si="84"/>
        <v>0</v>
      </c>
      <c r="BC167" s="375">
        <f t="shared" si="84"/>
        <v>0</v>
      </c>
      <c r="BD167" s="375">
        <f t="shared" si="84"/>
        <v>0</v>
      </c>
      <c r="BE167" s="375">
        <f t="shared" si="84"/>
        <v>0</v>
      </c>
      <c r="BF167" s="375">
        <f t="shared" si="84"/>
        <v>0</v>
      </c>
      <c r="BG167" s="375">
        <f t="shared" si="84"/>
        <v>0</v>
      </c>
      <c r="BH167" s="375">
        <f t="shared" si="84"/>
        <v>0</v>
      </c>
      <c r="BI167" s="375">
        <f t="shared" si="84"/>
        <v>0</v>
      </c>
      <c r="BJ167" s="375">
        <f t="shared" si="85"/>
        <v>0</v>
      </c>
      <c r="BK167" s="375">
        <f t="shared" si="85"/>
        <v>2443.3333333333335</v>
      </c>
      <c r="BL167" s="375">
        <f t="shared" si="85"/>
        <v>2443.3333333333335</v>
      </c>
      <c r="BM167" s="375">
        <f t="shared" si="85"/>
        <v>2443.3333333333335</v>
      </c>
      <c r="BN167" s="375">
        <f t="shared" si="85"/>
        <v>2443.3333333333335</v>
      </c>
      <c r="BO167" s="375">
        <f t="shared" si="85"/>
        <v>2443.3333333333335</v>
      </c>
      <c r="BP167" s="375">
        <f t="shared" si="85"/>
        <v>2443.3333333333335</v>
      </c>
      <c r="BQ167" s="375">
        <f t="shared" si="85"/>
        <v>2443.3333333333335</v>
      </c>
      <c r="BR167" s="375">
        <f t="shared" si="85"/>
        <v>2443.3333333333335</v>
      </c>
      <c r="BS167" s="375">
        <f t="shared" si="85"/>
        <v>2443.3333333333335</v>
      </c>
      <c r="BT167" s="375">
        <f t="shared" si="86"/>
        <v>2443.3333333333335</v>
      </c>
      <c r="BU167" s="375">
        <f t="shared" si="86"/>
        <v>2443.3333333333335</v>
      </c>
      <c r="BV167" s="375">
        <f t="shared" si="86"/>
        <v>2443.3333333333335</v>
      </c>
      <c r="BW167" s="375">
        <f t="shared" si="86"/>
        <v>0</v>
      </c>
      <c r="BX167" s="375">
        <f t="shared" si="86"/>
        <v>0</v>
      </c>
      <c r="BY167" s="375">
        <f t="shared" si="86"/>
        <v>0</v>
      </c>
      <c r="BZ167" s="375">
        <f t="shared" si="86"/>
        <v>0</v>
      </c>
      <c r="CA167" s="375">
        <f t="shared" si="86"/>
        <v>0</v>
      </c>
    </row>
    <row r="168" spans="4:79" ht="21" hidden="1" customHeight="1" outlineLevel="2">
      <c r="D168" s="374">
        <f t="shared" si="73"/>
        <v>45930</v>
      </c>
      <c r="E168" s="430" cm="1">
        <f t="array" ref="E168">INDEX($AF$131:$CA$131,0,MATCH(D168,$AF$8:$CA$8,0))</f>
        <v>29560</v>
      </c>
      <c r="H168" s="375">
        <f t="shared" si="80"/>
        <v>0</v>
      </c>
      <c r="I168" s="375">
        <f t="shared" si="80"/>
        <v>0</v>
      </c>
      <c r="J168" s="375">
        <f t="shared" si="80"/>
        <v>9853.3333333333339</v>
      </c>
      <c r="K168" s="375">
        <f t="shared" si="80"/>
        <v>19706.666666666668</v>
      </c>
      <c r="N168" s="375">
        <f t="shared" si="81"/>
        <v>0</v>
      </c>
      <c r="O168" s="375">
        <f t="shared" si="81"/>
        <v>0</v>
      </c>
      <c r="P168" s="375">
        <f t="shared" si="81"/>
        <v>0</v>
      </c>
      <c r="Q168" s="375">
        <f t="shared" si="81"/>
        <v>0</v>
      </c>
      <c r="R168" s="375">
        <f t="shared" si="81"/>
        <v>0</v>
      </c>
      <c r="S168" s="375">
        <f t="shared" si="81"/>
        <v>0</v>
      </c>
      <c r="T168" s="375">
        <f t="shared" si="81"/>
        <v>0</v>
      </c>
      <c r="U168" s="375">
        <f t="shared" si="81"/>
        <v>0</v>
      </c>
      <c r="V168" s="375">
        <f t="shared" si="81"/>
        <v>0</v>
      </c>
      <c r="W168" s="375">
        <f t="shared" si="81"/>
        <v>0</v>
      </c>
      <c r="X168" s="375">
        <f t="shared" si="81"/>
        <v>2463.3333333333335</v>
      </c>
      <c r="Y168" s="375">
        <f t="shared" si="81"/>
        <v>7390</v>
      </c>
      <c r="Z168" s="375">
        <f t="shared" si="81"/>
        <v>7390</v>
      </c>
      <c r="AA168" s="375">
        <f t="shared" si="81"/>
        <v>7390</v>
      </c>
      <c r="AB168" s="375">
        <f t="shared" si="81"/>
        <v>4926.666666666667</v>
      </c>
      <c r="AC168" s="375">
        <f t="shared" si="81"/>
        <v>0</v>
      </c>
      <c r="AF168" s="375">
        <f t="shared" si="82"/>
        <v>0</v>
      </c>
      <c r="AG168" s="375">
        <f t="shared" si="82"/>
        <v>0</v>
      </c>
      <c r="AH168" s="375">
        <f t="shared" si="82"/>
        <v>0</v>
      </c>
      <c r="AI168" s="375">
        <f t="shared" si="82"/>
        <v>0</v>
      </c>
      <c r="AJ168" s="375">
        <f t="shared" si="82"/>
        <v>0</v>
      </c>
      <c r="AK168" s="375">
        <f t="shared" si="82"/>
        <v>0</v>
      </c>
      <c r="AL168" s="375">
        <f t="shared" si="82"/>
        <v>0</v>
      </c>
      <c r="AM168" s="375">
        <f t="shared" si="82"/>
        <v>0</v>
      </c>
      <c r="AN168" s="375">
        <f t="shared" si="82"/>
        <v>0</v>
      </c>
      <c r="AO168" s="375">
        <f t="shared" si="82"/>
        <v>0</v>
      </c>
      <c r="AP168" s="375">
        <f t="shared" si="83"/>
        <v>0</v>
      </c>
      <c r="AQ168" s="375">
        <f t="shared" si="83"/>
        <v>0</v>
      </c>
      <c r="AR168" s="375">
        <f t="shared" si="83"/>
        <v>0</v>
      </c>
      <c r="AS168" s="375">
        <f t="shared" si="83"/>
        <v>0</v>
      </c>
      <c r="AT168" s="375">
        <f t="shared" si="83"/>
        <v>0</v>
      </c>
      <c r="AU168" s="375">
        <f t="shared" si="83"/>
        <v>0</v>
      </c>
      <c r="AV168" s="375">
        <f t="shared" si="83"/>
        <v>0</v>
      </c>
      <c r="AW168" s="375">
        <f t="shared" si="83"/>
        <v>0</v>
      </c>
      <c r="AX168" s="375">
        <f t="shared" si="83"/>
        <v>0</v>
      </c>
      <c r="AY168" s="375">
        <f t="shared" si="83"/>
        <v>0</v>
      </c>
      <c r="AZ168" s="375">
        <f t="shared" si="84"/>
        <v>0</v>
      </c>
      <c r="BA168" s="375">
        <f t="shared" si="84"/>
        <v>0</v>
      </c>
      <c r="BB168" s="375">
        <f t="shared" si="84"/>
        <v>0</v>
      </c>
      <c r="BC168" s="375">
        <f t="shared" si="84"/>
        <v>0</v>
      </c>
      <c r="BD168" s="375">
        <f t="shared" si="84"/>
        <v>0</v>
      </c>
      <c r="BE168" s="375">
        <f t="shared" si="84"/>
        <v>0</v>
      </c>
      <c r="BF168" s="375">
        <f t="shared" si="84"/>
        <v>0</v>
      </c>
      <c r="BG168" s="375">
        <f t="shared" si="84"/>
        <v>0</v>
      </c>
      <c r="BH168" s="375">
        <f t="shared" si="84"/>
        <v>0</v>
      </c>
      <c r="BI168" s="375">
        <f t="shared" si="84"/>
        <v>0</v>
      </c>
      <c r="BJ168" s="375">
        <f t="shared" si="85"/>
        <v>0</v>
      </c>
      <c r="BK168" s="375">
        <f t="shared" si="85"/>
        <v>0</v>
      </c>
      <c r="BL168" s="375">
        <f t="shared" si="85"/>
        <v>2463.3333333333335</v>
      </c>
      <c r="BM168" s="375">
        <f t="shared" si="85"/>
        <v>2463.3333333333335</v>
      </c>
      <c r="BN168" s="375">
        <f t="shared" si="85"/>
        <v>2463.3333333333335</v>
      </c>
      <c r="BO168" s="375">
        <f t="shared" si="85"/>
        <v>2463.3333333333335</v>
      </c>
      <c r="BP168" s="375">
        <f t="shared" si="85"/>
        <v>2463.3333333333335</v>
      </c>
      <c r="BQ168" s="375">
        <f t="shared" si="85"/>
        <v>2463.3333333333335</v>
      </c>
      <c r="BR168" s="375">
        <f t="shared" si="85"/>
        <v>2463.3333333333335</v>
      </c>
      <c r="BS168" s="375">
        <f t="shared" si="85"/>
        <v>2463.3333333333335</v>
      </c>
      <c r="BT168" s="375">
        <f t="shared" si="86"/>
        <v>2463.3333333333335</v>
      </c>
      <c r="BU168" s="375">
        <f t="shared" si="86"/>
        <v>2463.3333333333335</v>
      </c>
      <c r="BV168" s="375">
        <f t="shared" si="86"/>
        <v>2463.3333333333335</v>
      </c>
      <c r="BW168" s="375">
        <f t="shared" si="86"/>
        <v>2463.3333333333335</v>
      </c>
      <c r="BX168" s="375">
        <f t="shared" si="86"/>
        <v>0</v>
      </c>
      <c r="BY168" s="375">
        <f t="shared" si="86"/>
        <v>0</v>
      </c>
      <c r="BZ168" s="375">
        <f t="shared" si="86"/>
        <v>0</v>
      </c>
      <c r="CA168" s="375">
        <f t="shared" si="86"/>
        <v>0</v>
      </c>
    </row>
    <row r="169" spans="4:79" ht="21" hidden="1" customHeight="1" outlineLevel="2">
      <c r="D169" s="374">
        <f t="shared" si="73"/>
        <v>45961</v>
      </c>
      <c r="E169" s="430" cm="1">
        <f t="array" ref="E169">INDEX($AF$131:$CA$131,0,MATCH(D169,$AF$8:$CA$8,0))</f>
        <v>32300</v>
      </c>
      <c r="H169" s="375">
        <f t="shared" si="80"/>
        <v>0</v>
      </c>
      <c r="I169" s="375">
        <f t="shared" si="80"/>
        <v>0</v>
      </c>
      <c r="J169" s="375">
        <f t="shared" si="80"/>
        <v>8075</v>
      </c>
      <c r="K169" s="375">
        <f t="shared" si="80"/>
        <v>24225</v>
      </c>
      <c r="N169" s="375">
        <f t="shared" si="81"/>
        <v>0</v>
      </c>
      <c r="O169" s="375">
        <f t="shared" si="81"/>
        <v>0</v>
      </c>
      <c r="P169" s="375">
        <f t="shared" si="81"/>
        <v>0</v>
      </c>
      <c r="Q169" s="375">
        <f t="shared" si="81"/>
        <v>0</v>
      </c>
      <c r="R169" s="375">
        <f t="shared" si="81"/>
        <v>0</v>
      </c>
      <c r="S169" s="375">
        <f t="shared" si="81"/>
        <v>0</v>
      </c>
      <c r="T169" s="375">
        <f t="shared" si="81"/>
        <v>0</v>
      </c>
      <c r="U169" s="375">
        <f t="shared" si="81"/>
        <v>0</v>
      </c>
      <c r="V169" s="375">
        <f t="shared" si="81"/>
        <v>0</v>
      </c>
      <c r="W169" s="375">
        <f t="shared" si="81"/>
        <v>0</v>
      </c>
      <c r="X169" s="375">
        <f t="shared" si="81"/>
        <v>0</v>
      </c>
      <c r="Y169" s="375">
        <f t="shared" si="81"/>
        <v>8075</v>
      </c>
      <c r="Z169" s="375">
        <f t="shared" si="81"/>
        <v>8075</v>
      </c>
      <c r="AA169" s="375">
        <f t="shared" si="81"/>
        <v>8075</v>
      </c>
      <c r="AB169" s="375">
        <f t="shared" si="81"/>
        <v>8075</v>
      </c>
      <c r="AC169" s="375">
        <f t="shared" si="81"/>
        <v>0</v>
      </c>
      <c r="AF169" s="375">
        <f t="shared" si="82"/>
        <v>0</v>
      </c>
      <c r="AG169" s="375">
        <f t="shared" si="82"/>
        <v>0</v>
      </c>
      <c r="AH169" s="375">
        <f t="shared" si="82"/>
        <v>0</v>
      </c>
      <c r="AI169" s="375">
        <f t="shared" si="82"/>
        <v>0</v>
      </c>
      <c r="AJ169" s="375">
        <f t="shared" si="82"/>
        <v>0</v>
      </c>
      <c r="AK169" s="375">
        <f t="shared" si="82"/>
        <v>0</v>
      </c>
      <c r="AL169" s="375">
        <f t="shared" si="82"/>
        <v>0</v>
      </c>
      <c r="AM169" s="375">
        <f t="shared" si="82"/>
        <v>0</v>
      </c>
      <c r="AN169" s="375">
        <f t="shared" si="82"/>
        <v>0</v>
      </c>
      <c r="AO169" s="375">
        <f t="shared" si="82"/>
        <v>0</v>
      </c>
      <c r="AP169" s="375">
        <f t="shared" si="83"/>
        <v>0</v>
      </c>
      <c r="AQ169" s="375">
        <f t="shared" si="83"/>
        <v>0</v>
      </c>
      <c r="AR169" s="375">
        <f t="shared" si="83"/>
        <v>0</v>
      </c>
      <c r="AS169" s="375">
        <f t="shared" si="83"/>
        <v>0</v>
      </c>
      <c r="AT169" s="375">
        <f t="shared" si="83"/>
        <v>0</v>
      </c>
      <c r="AU169" s="375">
        <f t="shared" si="83"/>
        <v>0</v>
      </c>
      <c r="AV169" s="375">
        <f t="shared" si="83"/>
        <v>0</v>
      </c>
      <c r="AW169" s="375">
        <f t="shared" si="83"/>
        <v>0</v>
      </c>
      <c r="AX169" s="375">
        <f t="shared" si="83"/>
        <v>0</v>
      </c>
      <c r="AY169" s="375">
        <f t="shared" si="83"/>
        <v>0</v>
      </c>
      <c r="AZ169" s="375">
        <f t="shared" si="84"/>
        <v>0</v>
      </c>
      <c r="BA169" s="375">
        <f t="shared" si="84"/>
        <v>0</v>
      </c>
      <c r="BB169" s="375">
        <f t="shared" si="84"/>
        <v>0</v>
      </c>
      <c r="BC169" s="375">
        <f t="shared" si="84"/>
        <v>0</v>
      </c>
      <c r="BD169" s="375">
        <f t="shared" si="84"/>
        <v>0</v>
      </c>
      <c r="BE169" s="375">
        <f t="shared" si="84"/>
        <v>0</v>
      </c>
      <c r="BF169" s="375">
        <f t="shared" si="84"/>
        <v>0</v>
      </c>
      <c r="BG169" s="375">
        <f t="shared" si="84"/>
        <v>0</v>
      </c>
      <c r="BH169" s="375">
        <f t="shared" si="84"/>
        <v>0</v>
      </c>
      <c r="BI169" s="375">
        <f t="shared" si="84"/>
        <v>0</v>
      </c>
      <c r="BJ169" s="375">
        <f t="shared" si="85"/>
        <v>0</v>
      </c>
      <c r="BK169" s="375">
        <f t="shared" si="85"/>
        <v>0</v>
      </c>
      <c r="BL169" s="375">
        <f t="shared" si="85"/>
        <v>0</v>
      </c>
      <c r="BM169" s="375">
        <f t="shared" si="85"/>
        <v>2691.6666666666665</v>
      </c>
      <c r="BN169" s="375">
        <f t="shared" si="85"/>
        <v>2691.6666666666665</v>
      </c>
      <c r="BO169" s="375">
        <f t="shared" si="85"/>
        <v>2691.6666666666665</v>
      </c>
      <c r="BP169" s="375">
        <f t="shared" si="85"/>
        <v>2691.6666666666665</v>
      </c>
      <c r="BQ169" s="375">
        <f t="shared" si="85"/>
        <v>2691.6666666666665</v>
      </c>
      <c r="BR169" s="375">
        <f t="shared" si="85"/>
        <v>2691.6666666666665</v>
      </c>
      <c r="BS169" s="375">
        <f t="shared" si="85"/>
        <v>2691.6666666666665</v>
      </c>
      <c r="BT169" s="375">
        <f t="shared" si="86"/>
        <v>2691.6666666666665</v>
      </c>
      <c r="BU169" s="375">
        <f t="shared" si="86"/>
        <v>2691.6666666666665</v>
      </c>
      <c r="BV169" s="375">
        <f t="shared" si="86"/>
        <v>2691.6666666666665</v>
      </c>
      <c r="BW169" s="375">
        <f t="shared" si="86"/>
        <v>2691.6666666666665</v>
      </c>
      <c r="BX169" s="375">
        <f t="shared" si="86"/>
        <v>2691.6666666666665</v>
      </c>
      <c r="BY169" s="375">
        <f t="shared" si="86"/>
        <v>0</v>
      </c>
      <c r="BZ169" s="375">
        <f t="shared" si="86"/>
        <v>0</v>
      </c>
      <c r="CA169" s="375">
        <f t="shared" si="86"/>
        <v>0</v>
      </c>
    </row>
    <row r="170" spans="4:79" ht="21" hidden="1" customHeight="1" outlineLevel="2">
      <c r="D170" s="374">
        <f t="shared" si="73"/>
        <v>45991</v>
      </c>
      <c r="E170" s="430" cm="1">
        <f t="array" ref="E170">INDEX($AF$131:$CA$131,0,MATCH(D170,$AF$8:$CA$8,0))</f>
        <v>37300</v>
      </c>
      <c r="H170" s="375">
        <f t="shared" si="80"/>
        <v>0</v>
      </c>
      <c r="I170" s="375">
        <f t="shared" si="80"/>
        <v>0</v>
      </c>
      <c r="J170" s="375">
        <f t="shared" si="80"/>
        <v>6216.666666666667</v>
      </c>
      <c r="K170" s="375">
        <f t="shared" si="80"/>
        <v>31083.333333333328</v>
      </c>
      <c r="N170" s="375">
        <f t="shared" si="81"/>
        <v>0</v>
      </c>
      <c r="O170" s="375">
        <f t="shared" si="81"/>
        <v>0</v>
      </c>
      <c r="P170" s="375">
        <f t="shared" si="81"/>
        <v>0</v>
      </c>
      <c r="Q170" s="375">
        <f t="shared" si="81"/>
        <v>0</v>
      </c>
      <c r="R170" s="375">
        <f t="shared" si="81"/>
        <v>0</v>
      </c>
      <c r="S170" s="375">
        <f t="shared" si="81"/>
        <v>0</v>
      </c>
      <c r="T170" s="375">
        <f t="shared" si="81"/>
        <v>0</v>
      </c>
      <c r="U170" s="375">
        <f t="shared" si="81"/>
        <v>0</v>
      </c>
      <c r="V170" s="375">
        <f t="shared" si="81"/>
        <v>0</v>
      </c>
      <c r="W170" s="375">
        <f t="shared" si="81"/>
        <v>0</v>
      </c>
      <c r="X170" s="375">
        <f t="shared" si="81"/>
        <v>0</v>
      </c>
      <c r="Y170" s="375">
        <f t="shared" si="81"/>
        <v>6216.666666666667</v>
      </c>
      <c r="Z170" s="375">
        <f t="shared" si="81"/>
        <v>9325</v>
      </c>
      <c r="AA170" s="375">
        <f t="shared" si="81"/>
        <v>9325</v>
      </c>
      <c r="AB170" s="375">
        <f t="shared" si="81"/>
        <v>9325</v>
      </c>
      <c r="AC170" s="375">
        <f t="shared" si="81"/>
        <v>3108.3333333333335</v>
      </c>
      <c r="AF170" s="375">
        <f t="shared" si="82"/>
        <v>0</v>
      </c>
      <c r="AG170" s="375">
        <f t="shared" si="82"/>
        <v>0</v>
      </c>
      <c r="AH170" s="375">
        <f t="shared" si="82"/>
        <v>0</v>
      </c>
      <c r="AI170" s="375">
        <f t="shared" si="82"/>
        <v>0</v>
      </c>
      <c r="AJ170" s="375">
        <f t="shared" si="82"/>
        <v>0</v>
      </c>
      <c r="AK170" s="375">
        <f t="shared" si="82"/>
        <v>0</v>
      </c>
      <c r="AL170" s="375">
        <f t="shared" si="82"/>
        <v>0</v>
      </c>
      <c r="AM170" s="375">
        <f t="shared" si="82"/>
        <v>0</v>
      </c>
      <c r="AN170" s="375">
        <f t="shared" si="82"/>
        <v>0</v>
      </c>
      <c r="AO170" s="375">
        <f t="shared" si="82"/>
        <v>0</v>
      </c>
      <c r="AP170" s="375">
        <f t="shared" si="83"/>
        <v>0</v>
      </c>
      <c r="AQ170" s="375">
        <f t="shared" si="83"/>
        <v>0</v>
      </c>
      <c r="AR170" s="375">
        <f t="shared" si="83"/>
        <v>0</v>
      </c>
      <c r="AS170" s="375">
        <f t="shared" si="83"/>
        <v>0</v>
      </c>
      <c r="AT170" s="375">
        <f t="shared" si="83"/>
        <v>0</v>
      </c>
      <c r="AU170" s="375">
        <f t="shared" si="83"/>
        <v>0</v>
      </c>
      <c r="AV170" s="375">
        <f t="shared" si="83"/>
        <v>0</v>
      </c>
      <c r="AW170" s="375">
        <f t="shared" si="83"/>
        <v>0</v>
      </c>
      <c r="AX170" s="375">
        <f t="shared" si="83"/>
        <v>0</v>
      </c>
      <c r="AY170" s="375">
        <f t="shared" si="83"/>
        <v>0</v>
      </c>
      <c r="AZ170" s="375">
        <f t="shared" si="84"/>
        <v>0</v>
      </c>
      <c r="BA170" s="375">
        <f t="shared" si="84"/>
        <v>0</v>
      </c>
      <c r="BB170" s="375">
        <f t="shared" si="84"/>
        <v>0</v>
      </c>
      <c r="BC170" s="375">
        <f t="shared" si="84"/>
        <v>0</v>
      </c>
      <c r="BD170" s="375">
        <f t="shared" si="84"/>
        <v>0</v>
      </c>
      <c r="BE170" s="375">
        <f t="shared" si="84"/>
        <v>0</v>
      </c>
      <c r="BF170" s="375">
        <f t="shared" si="84"/>
        <v>0</v>
      </c>
      <c r="BG170" s="375">
        <f t="shared" si="84"/>
        <v>0</v>
      </c>
      <c r="BH170" s="375">
        <f t="shared" si="84"/>
        <v>0</v>
      </c>
      <c r="BI170" s="375">
        <f t="shared" si="84"/>
        <v>0</v>
      </c>
      <c r="BJ170" s="375">
        <f t="shared" si="85"/>
        <v>0</v>
      </c>
      <c r="BK170" s="375">
        <f t="shared" si="85"/>
        <v>0</v>
      </c>
      <c r="BL170" s="375">
        <f t="shared" si="85"/>
        <v>0</v>
      </c>
      <c r="BM170" s="375">
        <f t="shared" si="85"/>
        <v>0</v>
      </c>
      <c r="BN170" s="375">
        <f t="shared" si="85"/>
        <v>3108.3333333333335</v>
      </c>
      <c r="BO170" s="375">
        <f t="shared" si="85"/>
        <v>3108.3333333333335</v>
      </c>
      <c r="BP170" s="375">
        <f t="shared" si="85"/>
        <v>3108.3333333333335</v>
      </c>
      <c r="BQ170" s="375">
        <f t="shared" si="85"/>
        <v>3108.3333333333335</v>
      </c>
      <c r="BR170" s="375">
        <f t="shared" si="85"/>
        <v>3108.3333333333335</v>
      </c>
      <c r="BS170" s="375">
        <f t="shared" si="85"/>
        <v>3108.3333333333335</v>
      </c>
      <c r="BT170" s="375">
        <f t="shared" si="86"/>
        <v>3108.3333333333335</v>
      </c>
      <c r="BU170" s="375">
        <f t="shared" si="86"/>
        <v>3108.3333333333335</v>
      </c>
      <c r="BV170" s="375">
        <f t="shared" si="86"/>
        <v>3108.3333333333335</v>
      </c>
      <c r="BW170" s="375">
        <f t="shared" si="86"/>
        <v>3108.3333333333335</v>
      </c>
      <c r="BX170" s="375">
        <f t="shared" si="86"/>
        <v>3108.3333333333335</v>
      </c>
      <c r="BY170" s="375">
        <f t="shared" si="86"/>
        <v>3108.3333333333335</v>
      </c>
      <c r="BZ170" s="375">
        <f t="shared" si="86"/>
        <v>0</v>
      </c>
      <c r="CA170" s="375">
        <f t="shared" si="86"/>
        <v>0</v>
      </c>
    </row>
    <row r="171" spans="4:79" ht="21" hidden="1" customHeight="1" outlineLevel="2">
      <c r="D171" s="374">
        <f t="shared" ref="D171:D183" si="87">EOMONTH(D170,1)</f>
        <v>46022</v>
      </c>
      <c r="E171" s="430" cm="1">
        <f t="array" ref="E171">INDEX($AF$131:$CA$131,0,MATCH(D171,$AF$8:$CA$8,0))</f>
        <v>37300</v>
      </c>
      <c r="H171" s="375">
        <f t="shared" ref="H171:K183" si="88">SUMIFS($AF171:$CA171,$AF$6:$CA$6,H$6)</f>
        <v>0</v>
      </c>
      <c r="I171" s="375">
        <f t="shared" si="88"/>
        <v>0</v>
      </c>
      <c r="J171" s="375">
        <f t="shared" si="88"/>
        <v>3108.3333333333335</v>
      </c>
      <c r="K171" s="375">
        <f t="shared" si="88"/>
        <v>34191.666666666664</v>
      </c>
      <c r="N171" s="375">
        <f t="shared" ref="N171:AC183" si="89">SUMIFS($AF171:$CA171,$AF$6:$CA$6,N$6,$AF$7:$CA$7,N$7)</f>
        <v>0</v>
      </c>
      <c r="O171" s="375">
        <f t="shared" si="89"/>
        <v>0</v>
      </c>
      <c r="P171" s="375">
        <f t="shared" si="89"/>
        <v>0</v>
      </c>
      <c r="Q171" s="375">
        <f t="shared" si="89"/>
        <v>0</v>
      </c>
      <c r="R171" s="375">
        <f t="shared" si="89"/>
        <v>0</v>
      </c>
      <c r="S171" s="375">
        <f t="shared" si="89"/>
        <v>0</v>
      </c>
      <c r="T171" s="375">
        <f t="shared" si="89"/>
        <v>0</v>
      </c>
      <c r="U171" s="375">
        <f t="shared" si="89"/>
        <v>0</v>
      </c>
      <c r="V171" s="375">
        <f t="shared" si="89"/>
        <v>0</v>
      </c>
      <c r="W171" s="375">
        <f t="shared" si="89"/>
        <v>0</v>
      </c>
      <c r="X171" s="375">
        <f t="shared" si="89"/>
        <v>0</v>
      </c>
      <c r="Y171" s="375">
        <f t="shared" si="89"/>
        <v>3108.3333333333335</v>
      </c>
      <c r="Z171" s="375">
        <f t="shared" si="89"/>
        <v>9325</v>
      </c>
      <c r="AA171" s="375">
        <f t="shared" si="89"/>
        <v>9325</v>
      </c>
      <c r="AB171" s="375">
        <f t="shared" si="89"/>
        <v>9325</v>
      </c>
      <c r="AC171" s="375">
        <f t="shared" si="89"/>
        <v>6216.666666666667</v>
      </c>
      <c r="AF171" s="375">
        <f t="shared" ref="AF171:AU183" si="90">IF(AND(AF$8&gt;=$D171,(MATCH(AF$8,$AF$8:$CA$8,0)-MATCH($D171,$AF$8:$CA$8,0))&lt;12),$E171/12,0)</f>
        <v>0</v>
      </c>
      <c r="AG171" s="375">
        <f t="shared" si="90"/>
        <v>0</v>
      </c>
      <c r="AH171" s="375">
        <f t="shared" si="90"/>
        <v>0</v>
      </c>
      <c r="AI171" s="375">
        <f t="shared" si="90"/>
        <v>0</v>
      </c>
      <c r="AJ171" s="375">
        <f t="shared" si="90"/>
        <v>0</v>
      </c>
      <c r="AK171" s="375">
        <f t="shared" si="90"/>
        <v>0</v>
      </c>
      <c r="AL171" s="375">
        <f t="shared" si="90"/>
        <v>0</v>
      </c>
      <c r="AM171" s="375">
        <f t="shared" si="90"/>
        <v>0</v>
      </c>
      <c r="AN171" s="375">
        <f t="shared" si="90"/>
        <v>0</v>
      </c>
      <c r="AO171" s="375">
        <f t="shared" si="90"/>
        <v>0</v>
      </c>
      <c r="AP171" s="375">
        <f t="shared" si="90"/>
        <v>0</v>
      </c>
      <c r="AQ171" s="375">
        <f t="shared" si="90"/>
        <v>0</v>
      </c>
      <c r="AR171" s="375">
        <f t="shared" si="90"/>
        <v>0</v>
      </c>
      <c r="AS171" s="375">
        <f t="shared" si="90"/>
        <v>0</v>
      </c>
      <c r="AT171" s="375">
        <f t="shared" si="90"/>
        <v>0</v>
      </c>
      <c r="AU171" s="375">
        <f t="shared" si="90"/>
        <v>0</v>
      </c>
      <c r="AV171" s="375">
        <f t="shared" ref="AV171:BK183" si="91">IF(AND(AV$8&gt;=$D171,(MATCH(AV$8,$AF$8:$CA$8,0)-MATCH($D171,$AF$8:$CA$8,0))&lt;12),$E171/12,0)</f>
        <v>0</v>
      </c>
      <c r="AW171" s="375">
        <f t="shared" si="91"/>
        <v>0</v>
      </c>
      <c r="AX171" s="375">
        <f t="shared" si="91"/>
        <v>0</v>
      </c>
      <c r="AY171" s="375">
        <f t="shared" si="91"/>
        <v>0</v>
      </c>
      <c r="AZ171" s="375">
        <f t="shared" si="91"/>
        <v>0</v>
      </c>
      <c r="BA171" s="375">
        <f t="shared" si="91"/>
        <v>0</v>
      </c>
      <c r="BB171" s="375">
        <f t="shared" si="91"/>
        <v>0</v>
      </c>
      <c r="BC171" s="375">
        <f t="shared" si="91"/>
        <v>0</v>
      </c>
      <c r="BD171" s="375">
        <f t="shared" si="91"/>
        <v>0</v>
      </c>
      <c r="BE171" s="375">
        <f t="shared" si="91"/>
        <v>0</v>
      </c>
      <c r="BF171" s="375">
        <f t="shared" si="91"/>
        <v>0</v>
      </c>
      <c r="BG171" s="375">
        <f t="shared" si="91"/>
        <v>0</v>
      </c>
      <c r="BH171" s="375">
        <f t="shared" si="91"/>
        <v>0</v>
      </c>
      <c r="BI171" s="375">
        <f t="shared" si="91"/>
        <v>0</v>
      </c>
      <c r="BJ171" s="375">
        <f t="shared" si="91"/>
        <v>0</v>
      </c>
      <c r="BK171" s="375">
        <f t="shared" si="91"/>
        <v>0</v>
      </c>
      <c r="BL171" s="375">
        <f t="shared" ref="BL171:CA183" si="92">IF(AND(BL$8&gt;=$D171,(MATCH(BL$8,$AF$8:$CA$8,0)-MATCH($D171,$AF$8:$CA$8,0))&lt;12),$E171/12,0)</f>
        <v>0</v>
      </c>
      <c r="BM171" s="375">
        <f t="shared" si="92"/>
        <v>0</v>
      </c>
      <c r="BN171" s="375">
        <f t="shared" si="92"/>
        <v>0</v>
      </c>
      <c r="BO171" s="375">
        <f t="shared" si="92"/>
        <v>3108.3333333333335</v>
      </c>
      <c r="BP171" s="375">
        <f t="shared" si="92"/>
        <v>3108.3333333333335</v>
      </c>
      <c r="BQ171" s="375">
        <f t="shared" si="92"/>
        <v>3108.3333333333335</v>
      </c>
      <c r="BR171" s="375">
        <f t="shared" si="92"/>
        <v>3108.3333333333335</v>
      </c>
      <c r="BS171" s="375">
        <f t="shared" si="92"/>
        <v>3108.3333333333335</v>
      </c>
      <c r="BT171" s="375">
        <f t="shared" si="92"/>
        <v>3108.3333333333335</v>
      </c>
      <c r="BU171" s="375">
        <f t="shared" si="92"/>
        <v>3108.3333333333335</v>
      </c>
      <c r="BV171" s="375">
        <f t="shared" si="92"/>
        <v>3108.3333333333335</v>
      </c>
      <c r="BW171" s="375">
        <f t="shared" si="92"/>
        <v>3108.3333333333335</v>
      </c>
      <c r="BX171" s="375">
        <f t="shared" si="92"/>
        <v>3108.3333333333335</v>
      </c>
      <c r="BY171" s="375">
        <f t="shared" si="92"/>
        <v>3108.3333333333335</v>
      </c>
      <c r="BZ171" s="375">
        <f t="shared" si="92"/>
        <v>3108.3333333333335</v>
      </c>
      <c r="CA171" s="375">
        <f t="shared" si="92"/>
        <v>0</v>
      </c>
    </row>
    <row r="172" spans="4:79" ht="21" hidden="1" customHeight="1" outlineLevel="2">
      <c r="D172" s="374">
        <f t="shared" si="87"/>
        <v>46053</v>
      </c>
      <c r="E172" s="430" cm="1">
        <f t="array" ref="E172">INDEX($AF$131:$CA$131,0,MATCH(D172,$AF$8:$CA$8,0))</f>
        <v>42300</v>
      </c>
      <c r="H172" s="375">
        <f t="shared" si="88"/>
        <v>0</v>
      </c>
      <c r="I172" s="375">
        <f t="shared" si="88"/>
        <v>0</v>
      </c>
      <c r="J172" s="375">
        <f t="shared" si="88"/>
        <v>0</v>
      </c>
      <c r="K172" s="375">
        <f t="shared" si="88"/>
        <v>42300</v>
      </c>
      <c r="N172" s="375">
        <f t="shared" si="89"/>
        <v>0</v>
      </c>
      <c r="O172" s="375">
        <f t="shared" si="89"/>
        <v>0</v>
      </c>
      <c r="P172" s="375">
        <f t="shared" si="89"/>
        <v>0</v>
      </c>
      <c r="Q172" s="375">
        <f t="shared" si="89"/>
        <v>0</v>
      </c>
      <c r="R172" s="375">
        <f t="shared" si="89"/>
        <v>0</v>
      </c>
      <c r="S172" s="375">
        <f t="shared" si="89"/>
        <v>0</v>
      </c>
      <c r="T172" s="375">
        <f t="shared" si="89"/>
        <v>0</v>
      </c>
      <c r="U172" s="375">
        <f t="shared" si="89"/>
        <v>0</v>
      </c>
      <c r="V172" s="375">
        <f t="shared" si="89"/>
        <v>0</v>
      </c>
      <c r="W172" s="375">
        <f t="shared" si="89"/>
        <v>0</v>
      </c>
      <c r="X172" s="375">
        <f t="shared" si="89"/>
        <v>0</v>
      </c>
      <c r="Y172" s="375">
        <f t="shared" si="89"/>
        <v>0</v>
      </c>
      <c r="Z172" s="375">
        <f t="shared" si="89"/>
        <v>10575</v>
      </c>
      <c r="AA172" s="375">
        <f t="shared" si="89"/>
        <v>10575</v>
      </c>
      <c r="AB172" s="375">
        <f t="shared" si="89"/>
        <v>10575</v>
      </c>
      <c r="AC172" s="375">
        <f t="shared" si="89"/>
        <v>10575</v>
      </c>
      <c r="AF172" s="375">
        <f t="shared" si="90"/>
        <v>0</v>
      </c>
      <c r="AG172" s="375">
        <f t="shared" si="90"/>
        <v>0</v>
      </c>
      <c r="AH172" s="375">
        <f t="shared" si="90"/>
        <v>0</v>
      </c>
      <c r="AI172" s="375">
        <f t="shared" si="90"/>
        <v>0</v>
      </c>
      <c r="AJ172" s="375">
        <f t="shared" si="90"/>
        <v>0</v>
      </c>
      <c r="AK172" s="375">
        <f t="shared" si="90"/>
        <v>0</v>
      </c>
      <c r="AL172" s="375">
        <f t="shared" si="90"/>
        <v>0</v>
      </c>
      <c r="AM172" s="375">
        <f t="shared" si="90"/>
        <v>0</v>
      </c>
      <c r="AN172" s="375">
        <f t="shared" si="90"/>
        <v>0</v>
      </c>
      <c r="AO172" s="375">
        <f t="shared" si="90"/>
        <v>0</v>
      </c>
      <c r="AP172" s="375">
        <f t="shared" si="90"/>
        <v>0</v>
      </c>
      <c r="AQ172" s="375">
        <f t="shared" si="90"/>
        <v>0</v>
      </c>
      <c r="AR172" s="375">
        <f t="shared" si="90"/>
        <v>0</v>
      </c>
      <c r="AS172" s="375">
        <f t="shared" si="90"/>
        <v>0</v>
      </c>
      <c r="AT172" s="375">
        <f t="shared" si="90"/>
        <v>0</v>
      </c>
      <c r="AU172" s="375">
        <f t="shared" si="90"/>
        <v>0</v>
      </c>
      <c r="AV172" s="375">
        <f t="shared" si="91"/>
        <v>0</v>
      </c>
      <c r="AW172" s="375">
        <f t="shared" si="91"/>
        <v>0</v>
      </c>
      <c r="AX172" s="375">
        <f t="shared" si="91"/>
        <v>0</v>
      </c>
      <c r="AY172" s="375">
        <f t="shared" si="91"/>
        <v>0</v>
      </c>
      <c r="AZ172" s="375">
        <f t="shared" si="91"/>
        <v>0</v>
      </c>
      <c r="BA172" s="375">
        <f t="shared" si="91"/>
        <v>0</v>
      </c>
      <c r="BB172" s="375">
        <f t="shared" si="91"/>
        <v>0</v>
      </c>
      <c r="BC172" s="375">
        <f t="shared" si="91"/>
        <v>0</v>
      </c>
      <c r="BD172" s="375">
        <f t="shared" si="91"/>
        <v>0</v>
      </c>
      <c r="BE172" s="375">
        <f t="shared" si="91"/>
        <v>0</v>
      </c>
      <c r="BF172" s="375">
        <f t="shared" si="91"/>
        <v>0</v>
      </c>
      <c r="BG172" s="375">
        <f t="shared" si="91"/>
        <v>0</v>
      </c>
      <c r="BH172" s="375">
        <f t="shared" si="91"/>
        <v>0</v>
      </c>
      <c r="BI172" s="375">
        <f t="shared" si="91"/>
        <v>0</v>
      </c>
      <c r="BJ172" s="375">
        <f t="shared" si="91"/>
        <v>0</v>
      </c>
      <c r="BK172" s="375">
        <f t="shared" si="91"/>
        <v>0</v>
      </c>
      <c r="BL172" s="375">
        <f t="shared" si="92"/>
        <v>0</v>
      </c>
      <c r="BM172" s="375">
        <f t="shared" si="92"/>
        <v>0</v>
      </c>
      <c r="BN172" s="375">
        <f t="shared" si="92"/>
        <v>0</v>
      </c>
      <c r="BO172" s="375">
        <f t="shared" si="92"/>
        <v>0</v>
      </c>
      <c r="BP172" s="375">
        <f t="shared" si="92"/>
        <v>3525</v>
      </c>
      <c r="BQ172" s="375">
        <f t="shared" si="92"/>
        <v>3525</v>
      </c>
      <c r="BR172" s="375">
        <f t="shared" si="92"/>
        <v>3525</v>
      </c>
      <c r="BS172" s="375">
        <f t="shared" si="92"/>
        <v>3525</v>
      </c>
      <c r="BT172" s="375">
        <f t="shared" si="92"/>
        <v>3525</v>
      </c>
      <c r="BU172" s="375">
        <f t="shared" si="92"/>
        <v>3525</v>
      </c>
      <c r="BV172" s="375">
        <f t="shared" si="92"/>
        <v>3525</v>
      </c>
      <c r="BW172" s="375">
        <f t="shared" si="92"/>
        <v>3525</v>
      </c>
      <c r="BX172" s="375">
        <f t="shared" si="92"/>
        <v>3525</v>
      </c>
      <c r="BY172" s="375">
        <f t="shared" si="92"/>
        <v>3525</v>
      </c>
      <c r="BZ172" s="375">
        <f t="shared" si="92"/>
        <v>3525</v>
      </c>
      <c r="CA172" s="375">
        <f t="shared" si="92"/>
        <v>3525</v>
      </c>
    </row>
    <row r="173" spans="4:79" ht="21" hidden="1" customHeight="1" outlineLevel="2">
      <c r="D173" s="374">
        <f t="shared" si="87"/>
        <v>46081</v>
      </c>
      <c r="E173" s="430" cm="1">
        <f t="array" ref="E173">INDEX($AF$131:$CA$131,0,MATCH(D173,$AF$8:$CA$8,0))</f>
        <v>42540</v>
      </c>
      <c r="H173" s="375">
        <f t="shared" si="88"/>
        <v>0</v>
      </c>
      <c r="I173" s="375">
        <f t="shared" si="88"/>
        <v>0</v>
      </c>
      <c r="J173" s="375">
        <f t="shared" si="88"/>
        <v>0</v>
      </c>
      <c r="K173" s="375">
        <f t="shared" si="88"/>
        <v>38995</v>
      </c>
      <c r="N173" s="375">
        <f t="shared" si="89"/>
        <v>0</v>
      </c>
      <c r="O173" s="375">
        <f t="shared" si="89"/>
        <v>0</v>
      </c>
      <c r="P173" s="375">
        <f t="shared" si="89"/>
        <v>0</v>
      </c>
      <c r="Q173" s="375">
        <f t="shared" si="89"/>
        <v>0</v>
      </c>
      <c r="R173" s="375">
        <f t="shared" si="89"/>
        <v>0</v>
      </c>
      <c r="S173" s="375">
        <f t="shared" si="89"/>
        <v>0</v>
      </c>
      <c r="T173" s="375">
        <f t="shared" si="89"/>
        <v>0</v>
      </c>
      <c r="U173" s="375">
        <f t="shared" si="89"/>
        <v>0</v>
      </c>
      <c r="V173" s="375">
        <f t="shared" si="89"/>
        <v>0</v>
      </c>
      <c r="W173" s="375">
        <f t="shared" si="89"/>
        <v>0</v>
      </c>
      <c r="X173" s="375">
        <f t="shared" si="89"/>
        <v>0</v>
      </c>
      <c r="Y173" s="375">
        <f t="shared" si="89"/>
        <v>0</v>
      </c>
      <c r="Z173" s="375">
        <f t="shared" si="89"/>
        <v>7090</v>
      </c>
      <c r="AA173" s="375">
        <f t="shared" si="89"/>
        <v>10635</v>
      </c>
      <c r="AB173" s="375">
        <f t="shared" si="89"/>
        <v>10635</v>
      </c>
      <c r="AC173" s="375">
        <f t="shared" si="89"/>
        <v>10635</v>
      </c>
      <c r="AF173" s="375">
        <f t="shared" si="90"/>
        <v>0</v>
      </c>
      <c r="AG173" s="375">
        <f t="shared" si="90"/>
        <v>0</v>
      </c>
      <c r="AH173" s="375">
        <f t="shared" si="90"/>
        <v>0</v>
      </c>
      <c r="AI173" s="375">
        <f t="shared" si="90"/>
        <v>0</v>
      </c>
      <c r="AJ173" s="375">
        <f t="shared" si="90"/>
        <v>0</v>
      </c>
      <c r="AK173" s="375">
        <f t="shared" si="90"/>
        <v>0</v>
      </c>
      <c r="AL173" s="375">
        <f t="shared" si="90"/>
        <v>0</v>
      </c>
      <c r="AM173" s="375">
        <f t="shared" si="90"/>
        <v>0</v>
      </c>
      <c r="AN173" s="375">
        <f t="shared" si="90"/>
        <v>0</v>
      </c>
      <c r="AO173" s="375">
        <f t="shared" si="90"/>
        <v>0</v>
      </c>
      <c r="AP173" s="375">
        <f t="shared" si="90"/>
        <v>0</v>
      </c>
      <c r="AQ173" s="375">
        <f t="shared" si="90"/>
        <v>0</v>
      </c>
      <c r="AR173" s="375">
        <f t="shared" si="90"/>
        <v>0</v>
      </c>
      <c r="AS173" s="375">
        <f t="shared" si="90"/>
        <v>0</v>
      </c>
      <c r="AT173" s="375">
        <f t="shared" si="90"/>
        <v>0</v>
      </c>
      <c r="AU173" s="375">
        <f t="shared" si="90"/>
        <v>0</v>
      </c>
      <c r="AV173" s="375">
        <f t="shared" si="91"/>
        <v>0</v>
      </c>
      <c r="AW173" s="375">
        <f t="shared" si="91"/>
        <v>0</v>
      </c>
      <c r="AX173" s="375">
        <f t="shared" si="91"/>
        <v>0</v>
      </c>
      <c r="AY173" s="375">
        <f t="shared" si="91"/>
        <v>0</v>
      </c>
      <c r="AZ173" s="375">
        <f t="shared" si="91"/>
        <v>0</v>
      </c>
      <c r="BA173" s="375">
        <f t="shared" si="91"/>
        <v>0</v>
      </c>
      <c r="BB173" s="375">
        <f t="shared" si="91"/>
        <v>0</v>
      </c>
      <c r="BC173" s="375">
        <f t="shared" si="91"/>
        <v>0</v>
      </c>
      <c r="BD173" s="375">
        <f t="shared" si="91"/>
        <v>0</v>
      </c>
      <c r="BE173" s="375">
        <f t="shared" si="91"/>
        <v>0</v>
      </c>
      <c r="BF173" s="375">
        <f t="shared" si="91"/>
        <v>0</v>
      </c>
      <c r="BG173" s="375">
        <f t="shared" si="91"/>
        <v>0</v>
      </c>
      <c r="BH173" s="375">
        <f t="shared" si="91"/>
        <v>0</v>
      </c>
      <c r="BI173" s="375">
        <f t="shared" si="91"/>
        <v>0</v>
      </c>
      <c r="BJ173" s="375">
        <f t="shared" si="91"/>
        <v>0</v>
      </c>
      <c r="BK173" s="375">
        <f t="shared" si="91"/>
        <v>0</v>
      </c>
      <c r="BL173" s="375">
        <f t="shared" si="92"/>
        <v>0</v>
      </c>
      <c r="BM173" s="375">
        <f t="shared" si="92"/>
        <v>0</v>
      </c>
      <c r="BN173" s="375">
        <f t="shared" si="92"/>
        <v>0</v>
      </c>
      <c r="BO173" s="375">
        <f t="shared" si="92"/>
        <v>0</v>
      </c>
      <c r="BP173" s="375">
        <f t="shared" si="92"/>
        <v>0</v>
      </c>
      <c r="BQ173" s="375">
        <f t="shared" si="92"/>
        <v>3545</v>
      </c>
      <c r="BR173" s="375">
        <f t="shared" si="92"/>
        <v>3545</v>
      </c>
      <c r="BS173" s="375">
        <f t="shared" si="92"/>
        <v>3545</v>
      </c>
      <c r="BT173" s="375">
        <f t="shared" si="92"/>
        <v>3545</v>
      </c>
      <c r="BU173" s="375">
        <f t="shared" si="92"/>
        <v>3545</v>
      </c>
      <c r="BV173" s="375">
        <f t="shared" si="92"/>
        <v>3545</v>
      </c>
      <c r="BW173" s="375">
        <f t="shared" si="92"/>
        <v>3545</v>
      </c>
      <c r="BX173" s="375">
        <f t="shared" si="92"/>
        <v>3545</v>
      </c>
      <c r="BY173" s="375">
        <f t="shared" si="92"/>
        <v>3545</v>
      </c>
      <c r="BZ173" s="375">
        <f t="shared" si="92"/>
        <v>3545</v>
      </c>
      <c r="CA173" s="375">
        <f t="shared" si="92"/>
        <v>3545</v>
      </c>
    </row>
    <row r="174" spans="4:79" ht="21" hidden="1" customHeight="1" outlineLevel="2">
      <c r="D174" s="374">
        <f t="shared" si="87"/>
        <v>46112</v>
      </c>
      <c r="E174" s="430" cm="1">
        <f t="array" ref="E174">INDEX($AF$131:$CA$131,0,MATCH(D174,$AF$8:$CA$8,0))</f>
        <v>45440</v>
      </c>
      <c r="H174" s="375">
        <f t="shared" si="88"/>
        <v>0</v>
      </c>
      <c r="I174" s="375">
        <f t="shared" si="88"/>
        <v>0</v>
      </c>
      <c r="J174" s="375">
        <f t="shared" si="88"/>
        <v>0</v>
      </c>
      <c r="K174" s="375">
        <f t="shared" si="88"/>
        <v>37866.666666666664</v>
      </c>
      <c r="N174" s="375">
        <f t="shared" si="89"/>
        <v>0</v>
      </c>
      <c r="O174" s="375">
        <f t="shared" si="89"/>
        <v>0</v>
      </c>
      <c r="P174" s="375">
        <f t="shared" si="89"/>
        <v>0</v>
      </c>
      <c r="Q174" s="375">
        <f t="shared" si="89"/>
        <v>0</v>
      </c>
      <c r="R174" s="375">
        <f t="shared" si="89"/>
        <v>0</v>
      </c>
      <c r="S174" s="375">
        <f t="shared" si="89"/>
        <v>0</v>
      </c>
      <c r="T174" s="375">
        <f t="shared" si="89"/>
        <v>0</v>
      </c>
      <c r="U174" s="375">
        <f t="shared" si="89"/>
        <v>0</v>
      </c>
      <c r="V174" s="375">
        <f t="shared" si="89"/>
        <v>0</v>
      </c>
      <c r="W174" s="375">
        <f t="shared" si="89"/>
        <v>0</v>
      </c>
      <c r="X174" s="375">
        <f t="shared" si="89"/>
        <v>0</v>
      </c>
      <c r="Y174" s="375">
        <f t="shared" si="89"/>
        <v>0</v>
      </c>
      <c r="Z174" s="375">
        <f t="shared" si="89"/>
        <v>3786.6666666666665</v>
      </c>
      <c r="AA174" s="375">
        <f t="shared" si="89"/>
        <v>11360</v>
      </c>
      <c r="AB174" s="375">
        <f t="shared" si="89"/>
        <v>11360</v>
      </c>
      <c r="AC174" s="375">
        <f t="shared" si="89"/>
        <v>11360</v>
      </c>
      <c r="AF174" s="375">
        <f t="shared" si="90"/>
        <v>0</v>
      </c>
      <c r="AG174" s="375">
        <f t="shared" si="90"/>
        <v>0</v>
      </c>
      <c r="AH174" s="375">
        <f t="shared" si="90"/>
        <v>0</v>
      </c>
      <c r="AI174" s="375">
        <f t="shared" si="90"/>
        <v>0</v>
      </c>
      <c r="AJ174" s="375">
        <f t="shared" si="90"/>
        <v>0</v>
      </c>
      <c r="AK174" s="375">
        <f t="shared" si="90"/>
        <v>0</v>
      </c>
      <c r="AL174" s="375">
        <f t="shared" si="90"/>
        <v>0</v>
      </c>
      <c r="AM174" s="375">
        <f t="shared" si="90"/>
        <v>0</v>
      </c>
      <c r="AN174" s="375">
        <f t="shared" si="90"/>
        <v>0</v>
      </c>
      <c r="AO174" s="375">
        <f t="shared" si="90"/>
        <v>0</v>
      </c>
      <c r="AP174" s="375">
        <f t="shared" si="90"/>
        <v>0</v>
      </c>
      <c r="AQ174" s="375">
        <f t="shared" si="90"/>
        <v>0</v>
      </c>
      <c r="AR174" s="375">
        <f t="shared" si="90"/>
        <v>0</v>
      </c>
      <c r="AS174" s="375">
        <f t="shared" si="90"/>
        <v>0</v>
      </c>
      <c r="AT174" s="375">
        <f t="shared" si="90"/>
        <v>0</v>
      </c>
      <c r="AU174" s="375">
        <f t="shared" si="90"/>
        <v>0</v>
      </c>
      <c r="AV174" s="375">
        <f t="shared" si="91"/>
        <v>0</v>
      </c>
      <c r="AW174" s="375">
        <f t="shared" si="91"/>
        <v>0</v>
      </c>
      <c r="AX174" s="375">
        <f t="shared" si="91"/>
        <v>0</v>
      </c>
      <c r="AY174" s="375">
        <f t="shared" si="91"/>
        <v>0</v>
      </c>
      <c r="AZ174" s="375">
        <f t="shared" si="91"/>
        <v>0</v>
      </c>
      <c r="BA174" s="375">
        <f t="shared" si="91"/>
        <v>0</v>
      </c>
      <c r="BB174" s="375">
        <f t="shared" si="91"/>
        <v>0</v>
      </c>
      <c r="BC174" s="375">
        <f t="shared" si="91"/>
        <v>0</v>
      </c>
      <c r="BD174" s="375">
        <f t="shared" si="91"/>
        <v>0</v>
      </c>
      <c r="BE174" s="375">
        <f t="shared" si="91"/>
        <v>0</v>
      </c>
      <c r="BF174" s="375">
        <f t="shared" si="91"/>
        <v>0</v>
      </c>
      <c r="BG174" s="375">
        <f t="shared" si="91"/>
        <v>0</v>
      </c>
      <c r="BH174" s="375">
        <f t="shared" si="91"/>
        <v>0</v>
      </c>
      <c r="BI174" s="375">
        <f t="shared" si="91"/>
        <v>0</v>
      </c>
      <c r="BJ174" s="375">
        <f t="shared" si="91"/>
        <v>0</v>
      </c>
      <c r="BK174" s="375">
        <f t="shared" si="91"/>
        <v>0</v>
      </c>
      <c r="BL174" s="375">
        <f t="shared" si="92"/>
        <v>0</v>
      </c>
      <c r="BM174" s="375">
        <f t="shared" si="92"/>
        <v>0</v>
      </c>
      <c r="BN174" s="375">
        <f t="shared" si="92"/>
        <v>0</v>
      </c>
      <c r="BO174" s="375">
        <f t="shared" si="92"/>
        <v>0</v>
      </c>
      <c r="BP174" s="375">
        <f t="shared" si="92"/>
        <v>0</v>
      </c>
      <c r="BQ174" s="375">
        <f t="shared" si="92"/>
        <v>0</v>
      </c>
      <c r="BR174" s="375">
        <f t="shared" si="92"/>
        <v>3786.6666666666665</v>
      </c>
      <c r="BS174" s="375">
        <f t="shared" si="92"/>
        <v>3786.6666666666665</v>
      </c>
      <c r="BT174" s="375">
        <f t="shared" si="92"/>
        <v>3786.6666666666665</v>
      </c>
      <c r="BU174" s="375">
        <f t="shared" si="92"/>
        <v>3786.6666666666665</v>
      </c>
      <c r="BV174" s="375">
        <f t="shared" si="92"/>
        <v>3786.6666666666665</v>
      </c>
      <c r="BW174" s="375">
        <f t="shared" si="92"/>
        <v>3786.6666666666665</v>
      </c>
      <c r="BX174" s="375">
        <f t="shared" si="92"/>
        <v>3786.6666666666665</v>
      </c>
      <c r="BY174" s="375">
        <f t="shared" si="92"/>
        <v>3786.6666666666665</v>
      </c>
      <c r="BZ174" s="375">
        <f t="shared" si="92"/>
        <v>3786.6666666666665</v>
      </c>
      <c r="CA174" s="375">
        <f t="shared" si="92"/>
        <v>3786.6666666666665</v>
      </c>
    </row>
    <row r="175" spans="4:79" ht="21" hidden="1" customHeight="1" outlineLevel="2">
      <c r="D175" s="374">
        <f t="shared" si="87"/>
        <v>46142</v>
      </c>
      <c r="E175" s="430" cm="1">
        <f t="array" ref="E175">INDEX($AF$131:$CA$131,0,MATCH(D175,$AF$8:$CA$8,0))</f>
        <v>45760</v>
      </c>
      <c r="H175" s="375">
        <f t="shared" si="88"/>
        <v>0</v>
      </c>
      <c r="I175" s="375">
        <f t="shared" si="88"/>
        <v>0</v>
      </c>
      <c r="J175" s="375">
        <f t="shared" si="88"/>
        <v>0</v>
      </c>
      <c r="K175" s="375">
        <f t="shared" si="88"/>
        <v>34320</v>
      </c>
      <c r="N175" s="375">
        <f t="shared" si="89"/>
        <v>0</v>
      </c>
      <c r="O175" s="375">
        <f t="shared" si="89"/>
        <v>0</v>
      </c>
      <c r="P175" s="375">
        <f t="shared" si="89"/>
        <v>0</v>
      </c>
      <c r="Q175" s="375">
        <f t="shared" si="89"/>
        <v>0</v>
      </c>
      <c r="R175" s="375">
        <f t="shared" si="89"/>
        <v>0</v>
      </c>
      <c r="S175" s="375">
        <f t="shared" si="89"/>
        <v>0</v>
      </c>
      <c r="T175" s="375">
        <f t="shared" si="89"/>
        <v>0</v>
      </c>
      <c r="U175" s="375">
        <f t="shared" si="89"/>
        <v>0</v>
      </c>
      <c r="V175" s="375">
        <f t="shared" si="89"/>
        <v>0</v>
      </c>
      <c r="W175" s="375">
        <f t="shared" si="89"/>
        <v>0</v>
      </c>
      <c r="X175" s="375">
        <f t="shared" si="89"/>
        <v>0</v>
      </c>
      <c r="Y175" s="375">
        <f t="shared" si="89"/>
        <v>0</v>
      </c>
      <c r="Z175" s="375">
        <f t="shared" si="89"/>
        <v>0</v>
      </c>
      <c r="AA175" s="375">
        <f t="shared" si="89"/>
        <v>11440</v>
      </c>
      <c r="AB175" s="375">
        <f t="shared" si="89"/>
        <v>11440</v>
      </c>
      <c r="AC175" s="375">
        <f t="shared" si="89"/>
        <v>11440</v>
      </c>
      <c r="AF175" s="375">
        <f t="shared" si="90"/>
        <v>0</v>
      </c>
      <c r="AG175" s="375">
        <f t="shared" si="90"/>
        <v>0</v>
      </c>
      <c r="AH175" s="375">
        <f t="shared" si="90"/>
        <v>0</v>
      </c>
      <c r="AI175" s="375">
        <f t="shared" si="90"/>
        <v>0</v>
      </c>
      <c r="AJ175" s="375">
        <f t="shared" si="90"/>
        <v>0</v>
      </c>
      <c r="AK175" s="375">
        <f t="shared" si="90"/>
        <v>0</v>
      </c>
      <c r="AL175" s="375">
        <f t="shared" si="90"/>
        <v>0</v>
      </c>
      <c r="AM175" s="375">
        <f t="shared" si="90"/>
        <v>0</v>
      </c>
      <c r="AN175" s="375">
        <f t="shared" si="90"/>
        <v>0</v>
      </c>
      <c r="AO175" s="375">
        <f t="shared" si="90"/>
        <v>0</v>
      </c>
      <c r="AP175" s="375">
        <f t="shared" si="90"/>
        <v>0</v>
      </c>
      <c r="AQ175" s="375">
        <f t="shared" si="90"/>
        <v>0</v>
      </c>
      <c r="AR175" s="375">
        <f t="shared" si="90"/>
        <v>0</v>
      </c>
      <c r="AS175" s="375">
        <f t="shared" si="90"/>
        <v>0</v>
      </c>
      <c r="AT175" s="375">
        <f t="shared" si="90"/>
        <v>0</v>
      </c>
      <c r="AU175" s="375">
        <f t="shared" si="90"/>
        <v>0</v>
      </c>
      <c r="AV175" s="375">
        <f t="shared" si="91"/>
        <v>0</v>
      </c>
      <c r="AW175" s="375">
        <f t="shared" si="91"/>
        <v>0</v>
      </c>
      <c r="AX175" s="375">
        <f t="shared" si="91"/>
        <v>0</v>
      </c>
      <c r="AY175" s="375">
        <f t="shared" si="91"/>
        <v>0</v>
      </c>
      <c r="AZ175" s="375">
        <f t="shared" si="91"/>
        <v>0</v>
      </c>
      <c r="BA175" s="375">
        <f t="shared" si="91"/>
        <v>0</v>
      </c>
      <c r="BB175" s="375">
        <f t="shared" si="91"/>
        <v>0</v>
      </c>
      <c r="BC175" s="375">
        <f t="shared" si="91"/>
        <v>0</v>
      </c>
      <c r="BD175" s="375">
        <f t="shared" si="91"/>
        <v>0</v>
      </c>
      <c r="BE175" s="375">
        <f t="shared" si="91"/>
        <v>0</v>
      </c>
      <c r="BF175" s="375">
        <f t="shared" si="91"/>
        <v>0</v>
      </c>
      <c r="BG175" s="375">
        <f t="shared" si="91"/>
        <v>0</v>
      </c>
      <c r="BH175" s="375">
        <f t="shared" si="91"/>
        <v>0</v>
      </c>
      <c r="BI175" s="375">
        <f t="shared" si="91"/>
        <v>0</v>
      </c>
      <c r="BJ175" s="375">
        <f t="shared" si="91"/>
        <v>0</v>
      </c>
      <c r="BK175" s="375">
        <f t="shared" si="91"/>
        <v>0</v>
      </c>
      <c r="BL175" s="375">
        <f t="shared" si="92"/>
        <v>0</v>
      </c>
      <c r="BM175" s="375">
        <f t="shared" si="92"/>
        <v>0</v>
      </c>
      <c r="BN175" s="375">
        <f t="shared" si="92"/>
        <v>0</v>
      </c>
      <c r="BO175" s="375">
        <f t="shared" si="92"/>
        <v>0</v>
      </c>
      <c r="BP175" s="375">
        <f t="shared" si="92"/>
        <v>0</v>
      </c>
      <c r="BQ175" s="375">
        <f t="shared" si="92"/>
        <v>0</v>
      </c>
      <c r="BR175" s="375">
        <f t="shared" si="92"/>
        <v>0</v>
      </c>
      <c r="BS175" s="375">
        <f t="shared" si="92"/>
        <v>3813.3333333333335</v>
      </c>
      <c r="BT175" s="375">
        <f t="shared" si="92"/>
        <v>3813.3333333333335</v>
      </c>
      <c r="BU175" s="375">
        <f t="shared" si="92"/>
        <v>3813.3333333333335</v>
      </c>
      <c r="BV175" s="375">
        <f t="shared" si="92"/>
        <v>3813.3333333333335</v>
      </c>
      <c r="BW175" s="375">
        <f t="shared" si="92"/>
        <v>3813.3333333333335</v>
      </c>
      <c r="BX175" s="375">
        <f t="shared" si="92"/>
        <v>3813.3333333333335</v>
      </c>
      <c r="BY175" s="375">
        <f t="shared" si="92"/>
        <v>3813.3333333333335</v>
      </c>
      <c r="BZ175" s="375">
        <f t="shared" si="92"/>
        <v>3813.3333333333335</v>
      </c>
      <c r="CA175" s="375">
        <f t="shared" si="92"/>
        <v>3813.3333333333335</v>
      </c>
    </row>
    <row r="176" spans="4:79" ht="21" hidden="1" customHeight="1" outlineLevel="2">
      <c r="D176" s="374">
        <f t="shared" si="87"/>
        <v>46173</v>
      </c>
      <c r="E176" s="430" cm="1">
        <f t="array" ref="E176">INDEX($AF$131:$CA$131,0,MATCH(D176,$AF$8:$CA$8,0))</f>
        <v>46040</v>
      </c>
      <c r="H176" s="375">
        <f t="shared" si="88"/>
        <v>0</v>
      </c>
      <c r="I176" s="375">
        <f t="shared" si="88"/>
        <v>0</v>
      </c>
      <c r="J176" s="375">
        <f t="shared" si="88"/>
        <v>0</v>
      </c>
      <c r="K176" s="375">
        <f t="shared" si="88"/>
        <v>30693.333333333336</v>
      </c>
      <c r="N176" s="375">
        <f t="shared" si="89"/>
        <v>0</v>
      </c>
      <c r="O176" s="375">
        <f t="shared" si="89"/>
        <v>0</v>
      </c>
      <c r="P176" s="375">
        <f t="shared" si="89"/>
        <v>0</v>
      </c>
      <c r="Q176" s="375">
        <f t="shared" si="89"/>
        <v>0</v>
      </c>
      <c r="R176" s="375">
        <f t="shared" si="89"/>
        <v>0</v>
      </c>
      <c r="S176" s="375">
        <f t="shared" si="89"/>
        <v>0</v>
      </c>
      <c r="T176" s="375">
        <f t="shared" si="89"/>
        <v>0</v>
      </c>
      <c r="U176" s="375">
        <f t="shared" si="89"/>
        <v>0</v>
      </c>
      <c r="V176" s="375">
        <f t="shared" si="89"/>
        <v>0</v>
      </c>
      <c r="W176" s="375">
        <f t="shared" si="89"/>
        <v>0</v>
      </c>
      <c r="X176" s="375">
        <f t="shared" si="89"/>
        <v>0</v>
      </c>
      <c r="Y176" s="375">
        <f t="shared" si="89"/>
        <v>0</v>
      </c>
      <c r="Z176" s="375">
        <f t="shared" si="89"/>
        <v>0</v>
      </c>
      <c r="AA176" s="375">
        <f t="shared" si="89"/>
        <v>7673.333333333333</v>
      </c>
      <c r="AB176" s="375">
        <f t="shared" si="89"/>
        <v>11510</v>
      </c>
      <c r="AC176" s="375">
        <f t="shared" si="89"/>
        <v>11510</v>
      </c>
      <c r="AF176" s="375">
        <f t="shared" si="90"/>
        <v>0</v>
      </c>
      <c r="AG176" s="375">
        <f t="shared" si="90"/>
        <v>0</v>
      </c>
      <c r="AH176" s="375">
        <f t="shared" si="90"/>
        <v>0</v>
      </c>
      <c r="AI176" s="375">
        <f t="shared" si="90"/>
        <v>0</v>
      </c>
      <c r="AJ176" s="375">
        <f t="shared" si="90"/>
        <v>0</v>
      </c>
      <c r="AK176" s="375">
        <f t="shared" si="90"/>
        <v>0</v>
      </c>
      <c r="AL176" s="375">
        <f t="shared" si="90"/>
        <v>0</v>
      </c>
      <c r="AM176" s="375">
        <f t="shared" si="90"/>
        <v>0</v>
      </c>
      <c r="AN176" s="375">
        <f t="shared" si="90"/>
        <v>0</v>
      </c>
      <c r="AO176" s="375">
        <f t="shared" si="90"/>
        <v>0</v>
      </c>
      <c r="AP176" s="375">
        <f t="shared" si="90"/>
        <v>0</v>
      </c>
      <c r="AQ176" s="375">
        <f t="shared" si="90"/>
        <v>0</v>
      </c>
      <c r="AR176" s="375">
        <f t="shared" si="90"/>
        <v>0</v>
      </c>
      <c r="AS176" s="375">
        <f t="shared" si="90"/>
        <v>0</v>
      </c>
      <c r="AT176" s="375">
        <f t="shared" si="90"/>
        <v>0</v>
      </c>
      <c r="AU176" s="375">
        <f t="shared" si="90"/>
        <v>0</v>
      </c>
      <c r="AV176" s="375">
        <f t="shared" si="91"/>
        <v>0</v>
      </c>
      <c r="AW176" s="375">
        <f t="shared" si="91"/>
        <v>0</v>
      </c>
      <c r="AX176" s="375">
        <f t="shared" si="91"/>
        <v>0</v>
      </c>
      <c r="AY176" s="375">
        <f t="shared" si="91"/>
        <v>0</v>
      </c>
      <c r="AZ176" s="375">
        <f t="shared" si="91"/>
        <v>0</v>
      </c>
      <c r="BA176" s="375">
        <f t="shared" si="91"/>
        <v>0</v>
      </c>
      <c r="BB176" s="375">
        <f t="shared" si="91"/>
        <v>0</v>
      </c>
      <c r="BC176" s="375">
        <f t="shared" si="91"/>
        <v>0</v>
      </c>
      <c r="BD176" s="375">
        <f t="shared" si="91"/>
        <v>0</v>
      </c>
      <c r="BE176" s="375">
        <f t="shared" si="91"/>
        <v>0</v>
      </c>
      <c r="BF176" s="375">
        <f t="shared" si="91"/>
        <v>0</v>
      </c>
      <c r="BG176" s="375">
        <f t="shared" si="91"/>
        <v>0</v>
      </c>
      <c r="BH176" s="375">
        <f t="shared" si="91"/>
        <v>0</v>
      </c>
      <c r="BI176" s="375">
        <f t="shared" si="91"/>
        <v>0</v>
      </c>
      <c r="BJ176" s="375">
        <f t="shared" si="91"/>
        <v>0</v>
      </c>
      <c r="BK176" s="375">
        <f t="shared" si="91"/>
        <v>0</v>
      </c>
      <c r="BL176" s="375">
        <f t="shared" si="92"/>
        <v>0</v>
      </c>
      <c r="BM176" s="375">
        <f t="shared" si="92"/>
        <v>0</v>
      </c>
      <c r="BN176" s="375">
        <f t="shared" si="92"/>
        <v>0</v>
      </c>
      <c r="BO176" s="375">
        <f t="shared" si="92"/>
        <v>0</v>
      </c>
      <c r="BP176" s="375">
        <f t="shared" si="92"/>
        <v>0</v>
      </c>
      <c r="BQ176" s="375">
        <f t="shared" si="92"/>
        <v>0</v>
      </c>
      <c r="BR176" s="375">
        <f t="shared" si="92"/>
        <v>0</v>
      </c>
      <c r="BS176" s="375">
        <f t="shared" si="92"/>
        <v>0</v>
      </c>
      <c r="BT176" s="375">
        <f t="shared" si="92"/>
        <v>3836.6666666666665</v>
      </c>
      <c r="BU176" s="375">
        <f t="shared" si="92"/>
        <v>3836.6666666666665</v>
      </c>
      <c r="BV176" s="375">
        <f t="shared" si="92"/>
        <v>3836.6666666666665</v>
      </c>
      <c r="BW176" s="375">
        <f t="shared" si="92"/>
        <v>3836.6666666666665</v>
      </c>
      <c r="BX176" s="375">
        <f t="shared" si="92"/>
        <v>3836.6666666666665</v>
      </c>
      <c r="BY176" s="375">
        <f t="shared" si="92"/>
        <v>3836.6666666666665</v>
      </c>
      <c r="BZ176" s="375">
        <f t="shared" si="92"/>
        <v>3836.6666666666665</v>
      </c>
      <c r="CA176" s="375">
        <f t="shared" si="92"/>
        <v>3836.6666666666665</v>
      </c>
    </row>
    <row r="177" spans="3:79" ht="21" hidden="1" customHeight="1" outlineLevel="2">
      <c r="D177" s="374">
        <f t="shared" si="87"/>
        <v>46203</v>
      </c>
      <c r="E177" s="430" cm="1">
        <f t="array" ref="E177">INDEX($AF$131:$CA$131,0,MATCH(D177,$AF$8:$CA$8,0))</f>
        <v>46760</v>
      </c>
      <c r="H177" s="375">
        <f t="shared" si="88"/>
        <v>0</v>
      </c>
      <c r="I177" s="375">
        <f t="shared" si="88"/>
        <v>0</v>
      </c>
      <c r="J177" s="375">
        <f t="shared" si="88"/>
        <v>0</v>
      </c>
      <c r="K177" s="375">
        <f t="shared" si="88"/>
        <v>27276.666666666668</v>
      </c>
      <c r="N177" s="375">
        <f t="shared" si="89"/>
        <v>0</v>
      </c>
      <c r="O177" s="375">
        <f t="shared" si="89"/>
        <v>0</v>
      </c>
      <c r="P177" s="375">
        <f t="shared" si="89"/>
        <v>0</v>
      </c>
      <c r="Q177" s="375">
        <f t="shared" si="89"/>
        <v>0</v>
      </c>
      <c r="R177" s="375">
        <f t="shared" si="89"/>
        <v>0</v>
      </c>
      <c r="S177" s="375">
        <f t="shared" si="89"/>
        <v>0</v>
      </c>
      <c r="T177" s="375">
        <f t="shared" si="89"/>
        <v>0</v>
      </c>
      <c r="U177" s="375">
        <f t="shared" si="89"/>
        <v>0</v>
      </c>
      <c r="V177" s="375">
        <f t="shared" si="89"/>
        <v>0</v>
      </c>
      <c r="W177" s="375">
        <f t="shared" si="89"/>
        <v>0</v>
      </c>
      <c r="X177" s="375">
        <f t="shared" si="89"/>
        <v>0</v>
      </c>
      <c r="Y177" s="375">
        <f t="shared" si="89"/>
        <v>0</v>
      </c>
      <c r="Z177" s="375">
        <f t="shared" si="89"/>
        <v>0</v>
      </c>
      <c r="AA177" s="375">
        <f t="shared" si="89"/>
        <v>3896.6666666666665</v>
      </c>
      <c r="AB177" s="375">
        <f t="shared" si="89"/>
        <v>11690</v>
      </c>
      <c r="AC177" s="375">
        <f t="shared" si="89"/>
        <v>11690</v>
      </c>
      <c r="AF177" s="375">
        <f t="shared" si="90"/>
        <v>0</v>
      </c>
      <c r="AG177" s="375">
        <f t="shared" si="90"/>
        <v>0</v>
      </c>
      <c r="AH177" s="375">
        <f t="shared" si="90"/>
        <v>0</v>
      </c>
      <c r="AI177" s="375">
        <f t="shared" si="90"/>
        <v>0</v>
      </c>
      <c r="AJ177" s="375">
        <f t="shared" si="90"/>
        <v>0</v>
      </c>
      <c r="AK177" s="375">
        <f t="shared" si="90"/>
        <v>0</v>
      </c>
      <c r="AL177" s="375">
        <f t="shared" si="90"/>
        <v>0</v>
      </c>
      <c r="AM177" s="375">
        <f t="shared" si="90"/>
        <v>0</v>
      </c>
      <c r="AN177" s="375">
        <f t="shared" si="90"/>
        <v>0</v>
      </c>
      <c r="AO177" s="375">
        <f t="shared" si="90"/>
        <v>0</v>
      </c>
      <c r="AP177" s="375">
        <f t="shared" si="90"/>
        <v>0</v>
      </c>
      <c r="AQ177" s="375">
        <f t="shared" si="90"/>
        <v>0</v>
      </c>
      <c r="AR177" s="375">
        <f t="shared" si="90"/>
        <v>0</v>
      </c>
      <c r="AS177" s="375">
        <f t="shared" si="90"/>
        <v>0</v>
      </c>
      <c r="AT177" s="375">
        <f t="shared" si="90"/>
        <v>0</v>
      </c>
      <c r="AU177" s="375">
        <f t="shared" si="90"/>
        <v>0</v>
      </c>
      <c r="AV177" s="375">
        <f t="shared" si="91"/>
        <v>0</v>
      </c>
      <c r="AW177" s="375">
        <f t="shared" si="91"/>
        <v>0</v>
      </c>
      <c r="AX177" s="375">
        <f t="shared" si="91"/>
        <v>0</v>
      </c>
      <c r="AY177" s="375">
        <f t="shared" si="91"/>
        <v>0</v>
      </c>
      <c r="AZ177" s="375">
        <f t="shared" si="91"/>
        <v>0</v>
      </c>
      <c r="BA177" s="375">
        <f t="shared" si="91"/>
        <v>0</v>
      </c>
      <c r="BB177" s="375">
        <f t="shared" si="91"/>
        <v>0</v>
      </c>
      <c r="BC177" s="375">
        <f t="shared" si="91"/>
        <v>0</v>
      </c>
      <c r="BD177" s="375">
        <f t="shared" si="91"/>
        <v>0</v>
      </c>
      <c r="BE177" s="375">
        <f t="shared" si="91"/>
        <v>0</v>
      </c>
      <c r="BF177" s="375">
        <f t="shared" si="91"/>
        <v>0</v>
      </c>
      <c r="BG177" s="375">
        <f t="shared" si="91"/>
        <v>0</v>
      </c>
      <c r="BH177" s="375">
        <f t="shared" si="91"/>
        <v>0</v>
      </c>
      <c r="BI177" s="375">
        <f t="shared" si="91"/>
        <v>0</v>
      </c>
      <c r="BJ177" s="375">
        <f t="shared" si="91"/>
        <v>0</v>
      </c>
      <c r="BK177" s="375">
        <f t="shared" si="91"/>
        <v>0</v>
      </c>
      <c r="BL177" s="375">
        <f t="shared" si="92"/>
        <v>0</v>
      </c>
      <c r="BM177" s="375">
        <f t="shared" si="92"/>
        <v>0</v>
      </c>
      <c r="BN177" s="375">
        <f t="shared" si="92"/>
        <v>0</v>
      </c>
      <c r="BO177" s="375">
        <f t="shared" si="92"/>
        <v>0</v>
      </c>
      <c r="BP177" s="375">
        <f t="shared" si="92"/>
        <v>0</v>
      </c>
      <c r="BQ177" s="375">
        <f t="shared" si="92"/>
        <v>0</v>
      </c>
      <c r="BR177" s="375">
        <f t="shared" si="92"/>
        <v>0</v>
      </c>
      <c r="BS177" s="375">
        <f t="shared" si="92"/>
        <v>0</v>
      </c>
      <c r="BT177" s="375">
        <f t="shared" si="92"/>
        <v>0</v>
      </c>
      <c r="BU177" s="375">
        <f t="shared" si="92"/>
        <v>3896.6666666666665</v>
      </c>
      <c r="BV177" s="375">
        <f t="shared" si="92"/>
        <v>3896.6666666666665</v>
      </c>
      <c r="BW177" s="375">
        <f t="shared" si="92"/>
        <v>3896.6666666666665</v>
      </c>
      <c r="BX177" s="375">
        <f t="shared" si="92"/>
        <v>3896.6666666666665</v>
      </c>
      <c r="BY177" s="375">
        <f t="shared" si="92"/>
        <v>3896.6666666666665</v>
      </c>
      <c r="BZ177" s="375">
        <f t="shared" si="92"/>
        <v>3896.6666666666665</v>
      </c>
      <c r="CA177" s="375">
        <f t="shared" si="92"/>
        <v>3896.6666666666665</v>
      </c>
    </row>
    <row r="178" spans="3:79" ht="21" hidden="1" customHeight="1" outlineLevel="2">
      <c r="D178" s="374">
        <f t="shared" si="87"/>
        <v>46234</v>
      </c>
      <c r="E178" s="430" cm="1">
        <f t="array" ref="E178">INDEX($AF$131:$CA$131,0,MATCH(D178,$AF$8:$CA$8,0))</f>
        <v>47200</v>
      </c>
      <c r="H178" s="375">
        <f t="shared" si="88"/>
        <v>0</v>
      </c>
      <c r="I178" s="375">
        <f t="shared" si="88"/>
        <v>0</v>
      </c>
      <c r="J178" s="375">
        <f t="shared" si="88"/>
        <v>0</v>
      </c>
      <c r="K178" s="375">
        <f t="shared" si="88"/>
        <v>23600</v>
      </c>
      <c r="N178" s="375">
        <f t="shared" si="89"/>
        <v>0</v>
      </c>
      <c r="O178" s="375">
        <f t="shared" si="89"/>
        <v>0</v>
      </c>
      <c r="P178" s="375">
        <f t="shared" si="89"/>
        <v>0</v>
      </c>
      <c r="Q178" s="375">
        <f t="shared" si="89"/>
        <v>0</v>
      </c>
      <c r="R178" s="375">
        <f t="shared" si="89"/>
        <v>0</v>
      </c>
      <c r="S178" s="375">
        <f t="shared" si="89"/>
        <v>0</v>
      </c>
      <c r="T178" s="375">
        <f t="shared" si="89"/>
        <v>0</v>
      </c>
      <c r="U178" s="375">
        <f t="shared" si="89"/>
        <v>0</v>
      </c>
      <c r="V178" s="375">
        <f t="shared" si="89"/>
        <v>0</v>
      </c>
      <c r="W178" s="375">
        <f t="shared" si="89"/>
        <v>0</v>
      </c>
      <c r="X178" s="375">
        <f t="shared" si="89"/>
        <v>0</v>
      </c>
      <c r="Y178" s="375">
        <f t="shared" si="89"/>
        <v>0</v>
      </c>
      <c r="Z178" s="375">
        <f t="shared" si="89"/>
        <v>0</v>
      </c>
      <c r="AA178" s="375">
        <f t="shared" si="89"/>
        <v>0</v>
      </c>
      <c r="AB178" s="375">
        <f t="shared" si="89"/>
        <v>11800</v>
      </c>
      <c r="AC178" s="375">
        <f t="shared" si="89"/>
        <v>11800</v>
      </c>
      <c r="AF178" s="375">
        <f t="shared" si="90"/>
        <v>0</v>
      </c>
      <c r="AG178" s="375">
        <f t="shared" si="90"/>
        <v>0</v>
      </c>
      <c r="AH178" s="375">
        <f t="shared" si="90"/>
        <v>0</v>
      </c>
      <c r="AI178" s="375">
        <f t="shared" si="90"/>
        <v>0</v>
      </c>
      <c r="AJ178" s="375">
        <f t="shared" si="90"/>
        <v>0</v>
      </c>
      <c r="AK178" s="375">
        <f t="shared" si="90"/>
        <v>0</v>
      </c>
      <c r="AL178" s="375">
        <f t="shared" si="90"/>
        <v>0</v>
      </c>
      <c r="AM178" s="375">
        <f t="shared" si="90"/>
        <v>0</v>
      </c>
      <c r="AN178" s="375">
        <f t="shared" si="90"/>
        <v>0</v>
      </c>
      <c r="AO178" s="375">
        <f t="shared" si="90"/>
        <v>0</v>
      </c>
      <c r="AP178" s="375">
        <f t="shared" si="90"/>
        <v>0</v>
      </c>
      <c r="AQ178" s="375">
        <f t="shared" si="90"/>
        <v>0</v>
      </c>
      <c r="AR178" s="375">
        <f t="shared" si="90"/>
        <v>0</v>
      </c>
      <c r="AS178" s="375">
        <f t="shared" si="90"/>
        <v>0</v>
      </c>
      <c r="AT178" s="375">
        <f t="shared" si="90"/>
        <v>0</v>
      </c>
      <c r="AU178" s="375">
        <f t="shared" si="90"/>
        <v>0</v>
      </c>
      <c r="AV178" s="375">
        <f t="shared" si="91"/>
        <v>0</v>
      </c>
      <c r="AW178" s="375">
        <f t="shared" si="91"/>
        <v>0</v>
      </c>
      <c r="AX178" s="375">
        <f t="shared" si="91"/>
        <v>0</v>
      </c>
      <c r="AY178" s="375">
        <f t="shared" si="91"/>
        <v>0</v>
      </c>
      <c r="AZ178" s="375">
        <f t="shared" si="91"/>
        <v>0</v>
      </c>
      <c r="BA178" s="375">
        <f t="shared" si="91"/>
        <v>0</v>
      </c>
      <c r="BB178" s="375">
        <f t="shared" si="91"/>
        <v>0</v>
      </c>
      <c r="BC178" s="375">
        <f t="shared" si="91"/>
        <v>0</v>
      </c>
      <c r="BD178" s="375">
        <f t="shared" si="91"/>
        <v>0</v>
      </c>
      <c r="BE178" s="375">
        <f t="shared" si="91"/>
        <v>0</v>
      </c>
      <c r="BF178" s="375">
        <f t="shared" si="91"/>
        <v>0</v>
      </c>
      <c r="BG178" s="375">
        <f t="shared" si="91"/>
        <v>0</v>
      </c>
      <c r="BH178" s="375">
        <f t="shared" si="91"/>
        <v>0</v>
      </c>
      <c r="BI178" s="375">
        <f t="shared" si="91"/>
        <v>0</v>
      </c>
      <c r="BJ178" s="375">
        <f t="shared" si="91"/>
        <v>0</v>
      </c>
      <c r="BK178" s="375">
        <f t="shared" si="91"/>
        <v>0</v>
      </c>
      <c r="BL178" s="375">
        <f t="shared" si="92"/>
        <v>0</v>
      </c>
      <c r="BM178" s="375">
        <f t="shared" si="92"/>
        <v>0</v>
      </c>
      <c r="BN178" s="375">
        <f t="shared" si="92"/>
        <v>0</v>
      </c>
      <c r="BO178" s="375">
        <f t="shared" si="92"/>
        <v>0</v>
      </c>
      <c r="BP178" s="375">
        <f t="shared" si="92"/>
        <v>0</v>
      </c>
      <c r="BQ178" s="375">
        <f t="shared" si="92"/>
        <v>0</v>
      </c>
      <c r="BR178" s="375">
        <f t="shared" si="92"/>
        <v>0</v>
      </c>
      <c r="BS178" s="375">
        <f t="shared" si="92"/>
        <v>0</v>
      </c>
      <c r="BT178" s="375">
        <f t="shared" si="92"/>
        <v>0</v>
      </c>
      <c r="BU178" s="375">
        <f t="shared" si="92"/>
        <v>0</v>
      </c>
      <c r="BV178" s="375">
        <f t="shared" si="92"/>
        <v>3933.3333333333335</v>
      </c>
      <c r="BW178" s="375">
        <f t="shared" si="92"/>
        <v>3933.3333333333335</v>
      </c>
      <c r="BX178" s="375">
        <f t="shared" si="92"/>
        <v>3933.3333333333335</v>
      </c>
      <c r="BY178" s="375">
        <f t="shared" si="92"/>
        <v>3933.3333333333335</v>
      </c>
      <c r="BZ178" s="375">
        <f t="shared" si="92"/>
        <v>3933.3333333333335</v>
      </c>
      <c r="CA178" s="375">
        <f t="shared" si="92"/>
        <v>3933.3333333333335</v>
      </c>
    </row>
    <row r="179" spans="3:79" ht="21" hidden="1" customHeight="1" outlineLevel="2">
      <c r="D179" s="374">
        <f t="shared" si="87"/>
        <v>46265</v>
      </c>
      <c r="E179" s="430" cm="1">
        <f t="array" ref="E179">INDEX($AF$131:$CA$131,0,MATCH(D179,$AF$8:$CA$8,0))</f>
        <v>50020</v>
      </c>
      <c r="H179" s="375">
        <f t="shared" si="88"/>
        <v>0</v>
      </c>
      <c r="I179" s="375">
        <f t="shared" si="88"/>
        <v>0</v>
      </c>
      <c r="J179" s="375">
        <f t="shared" si="88"/>
        <v>0</v>
      </c>
      <c r="K179" s="375">
        <f t="shared" si="88"/>
        <v>20841.666666666664</v>
      </c>
      <c r="N179" s="375">
        <f t="shared" si="89"/>
        <v>0</v>
      </c>
      <c r="O179" s="375">
        <f t="shared" si="89"/>
        <v>0</v>
      </c>
      <c r="P179" s="375">
        <f t="shared" si="89"/>
        <v>0</v>
      </c>
      <c r="Q179" s="375">
        <f t="shared" si="89"/>
        <v>0</v>
      </c>
      <c r="R179" s="375">
        <f t="shared" si="89"/>
        <v>0</v>
      </c>
      <c r="S179" s="375">
        <f t="shared" si="89"/>
        <v>0</v>
      </c>
      <c r="T179" s="375">
        <f t="shared" si="89"/>
        <v>0</v>
      </c>
      <c r="U179" s="375">
        <f t="shared" si="89"/>
        <v>0</v>
      </c>
      <c r="V179" s="375">
        <f t="shared" si="89"/>
        <v>0</v>
      </c>
      <c r="W179" s="375">
        <f t="shared" si="89"/>
        <v>0</v>
      </c>
      <c r="X179" s="375">
        <f t="shared" si="89"/>
        <v>0</v>
      </c>
      <c r="Y179" s="375">
        <f t="shared" si="89"/>
        <v>0</v>
      </c>
      <c r="Z179" s="375">
        <f t="shared" si="89"/>
        <v>0</v>
      </c>
      <c r="AA179" s="375">
        <f t="shared" si="89"/>
        <v>0</v>
      </c>
      <c r="AB179" s="375">
        <f t="shared" si="89"/>
        <v>8336.6666666666661</v>
      </c>
      <c r="AC179" s="375">
        <f t="shared" si="89"/>
        <v>12505</v>
      </c>
      <c r="AF179" s="375">
        <f t="shared" si="90"/>
        <v>0</v>
      </c>
      <c r="AG179" s="375">
        <f t="shared" si="90"/>
        <v>0</v>
      </c>
      <c r="AH179" s="375">
        <f t="shared" si="90"/>
        <v>0</v>
      </c>
      <c r="AI179" s="375">
        <f t="shared" si="90"/>
        <v>0</v>
      </c>
      <c r="AJ179" s="375">
        <f t="shared" si="90"/>
        <v>0</v>
      </c>
      <c r="AK179" s="375">
        <f t="shared" si="90"/>
        <v>0</v>
      </c>
      <c r="AL179" s="375">
        <f t="shared" si="90"/>
        <v>0</v>
      </c>
      <c r="AM179" s="375">
        <f t="shared" si="90"/>
        <v>0</v>
      </c>
      <c r="AN179" s="375">
        <f t="shared" si="90"/>
        <v>0</v>
      </c>
      <c r="AO179" s="375">
        <f t="shared" si="90"/>
        <v>0</v>
      </c>
      <c r="AP179" s="375">
        <f t="shared" si="90"/>
        <v>0</v>
      </c>
      <c r="AQ179" s="375">
        <f t="shared" si="90"/>
        <v>0</v>
      </c>
      <c r="AR179" s="375">
        <f t="shared" si="90"/>
        <v>0</v>
      </c>
      <c r="AS179" s="375">
        <f t="shared" si="90"/>
        <v>0</v>
      </c>
      <c r="AT179" s="375">
        <f t="shared" si="90"/>
        <v>0</v>
      </c>
      <c r="AU179" s="375">
        <f t="shared" si="90"/>
        <v>0</v>
      </c>
      <c r="AV179" s="375">
        <f t="shared" si="91"/>
        <v>0</v>
      </c>
      <c r="AW179" s="375">
        <f t="shared" si="91"/>
        <v>0</v>
      </c>
      <c r="AX179" s="375">
        <f t="shared" si="91"/>
        <v>0</v>
      </c>
      <c r="AY179" s="375">
        <f t="shared" si="91"/>
        <v>0</v>
      </c>
      <c r="AZ179" s="375">
        <f t="shared" si="91"/>
        <v>0</v>
      </c>
      <c r="BA179" s="375">
        <f t="shared" si="91"/>
        <v>0</v>
      </c>
      <c r="BB179" s="375">
        <f t="shared" si="91"/>
        <v>0</v>
      </c>
      <c r="BC179" s="375">
        <f t="shared" si="91"/>
        <v>0</v>
      </c>
      <c r="BD179" s="375">
        <f t="shared" si="91"/>
        <v>0</v>
      </c>
      <c r="BE179" s="375">
        <f t="shared" si="91"/>
        <v>0</v>
      </c>
      <c r="BF179" s="375">
        <f t="shared" si="91"/>
        <v>0</v>
      </c>
      <c r="BG179" s="375">
        <f t="shared" si="91"/>
        <v>0</v>
      </c>
      <c r="BH179" s="375">
        <f t="shared" si="91"/>
        <v>0</v>
      </c>
      <c r="BI179" s="375">
        <f t="shared" si="91"/>
        <v>0</v>
      </c>
      <c r="BJ179" s="375">
        <f t="shared" si="91"/>
        <v>0</v>
      </c>
      <c r="BK179" s="375">
        <f t="shared" si="91"/>
        <v>0</v>
      </c>
      <c r="BL179" s="375">
        <f t="shared" si="92"/>
        <v>0</v>
      </c>
      <c r="BM179" s="375">
        <f t="shared" si="92"/>
        <v>0</v>
      </c>
      <c r="BN179" s="375">
        <f t="shared" si="92"/>
        <v>0</v>
      </c>
      <c r="BO179" s="375">
        <f t="shared" si="92"/>
        <v>0</v>
      </c>
      <c r="BP179" s="375">
        <f t="shared" si="92"/>
        <v>0</v>
      </c>
      <c r="BQ179" s="375">
        <f t="shared" si="92"/>
        <v>0</v>
      </c>
      <c r="BR179" s="375">
        <f t="shared" si="92"/>
        <v>0</v>
      </c>
      <c r="BS179" s="375">
        <f t="shared" si="92"/>
        <v>0</v>
      </c>
      <c r="BT179" s="375">
        <f t="shared" si="92"/>
        <v>0</v>
      </c>
      <c r="BU179" s="375">
        <f t="shared" si="92"/>
        <v>0</v>
      </c>
      <c r="BV179" s="375">
        <f t="shared" si="92"/>
        <v>0</v>
      </c>
      <c r="BW179" s="375">
        <f t="shared" si="92"/>
        <v>4168.333333333333</v>
      </c>
      <c r="BX179" s="375">
        <f t="shared" si="92"/>
        <v>4168.333333333333</v>
      </c>
      <c r="BY179" s="375">
        <f t="shared" si="92"/>
        <v>4168.333333333333</v>
      </c>
      <c r="BZ179" s="375">
        <f t="shared" si="92"/>
        <v>4168.333333333333</v>
      </c>
      <c r="CA179" s="375">
        <f t="shared" si="92"/>
        <v>4168.333333333333</v>
      </c>
    </row>
    <row r="180" spans="3:79" ht="21" hidden="1" customHeight="1" outlineLevel="2">
      <c r="D180" s="374">
        <f t="shared" si="87"/>
        <v>46295</v>
      </c>
      <c r="E180" s="430" cm="1">
        <f t="array" ref="E180">INDEX($AF$131:$CA$131,0,MATCH(D180,$AF$8:$CA$8,0))</f>
        <v>50260</v>
      </c>
      <c r="H180" s="375">
        <f t="shared" si="88"/>
        <v>0</v>
      </c>
      <c r="I180" s="375">
        <f t="shared" si="88"/>
        <v>0</v>
      </c>
      <c r="J180" s="375">
        <f t="shared" si="88"/>
        <v>0</v>
      </c>
      <c r="K180" s="375">
        <f t="shared" si="88"/>
        <v>16753.333333333332</v>
      </c>
      <c r="N180" s="375">
        <f t="shared" si="89"/>
        <v>0</v>
      </c>
      <c r="O180" s="375">
        <f t="shared" si="89"/>
        <v>0</v>
      </c>
      <c r="P180" s="375">
        <f t="shared" si="89"/>
        <v>0</v>
      </c>
      <c r="Q180" s="375">
        <f t="shared" si="89"/>
        <v>0</v>
      </c>
      <c r="R180" s="375">
        <f t="shared" si="89"/>
        <v>0</v>
      </c>
      <c r="S180" s="375">
        <f t="shared" si="89"/>
        <v>0</v>
      </c>
      <c r="T180" s="375">
        <f t="shared" si="89"/>
        <v>0</v>
      </c>
      <c r="U180" s="375">
        <f t="shared" si="89"/>
        <v>0</v>
      </c>
      <c r="V180" s="375">
        <f t="shared" si="89"/>
        <v>0</v>
      </c>
      <c r="W180" s="375">
        <f t="shared" si="89"/>
        <v>0</v>
      </c>
      <c r="X180" s="375">
        <f t="shared" si="89"/>
        <v>0</v>
      </c>
      <c r="Y180" s="375">
        <f t="shared" si="89"/>
        <v>0</v>
      </c>
      <c r="Z180" s="375">
        <f t="shared" si="89"/>
        <v>0</v>
      </c>
      <c r="AA180" s="375">
        <f t="shared" si="89"/>
        <v>0</v>
      </c>
      <c r="AB180" s="375">
        <f t="shared" si="89"/>
        <v>4188.333333333333</v>
      </c>
      <c r="AC180" s="375">
        <f t="shared" si="89"/>
        <v>12565</v>
      </c>
      <c r="AF180" s="375">
        <f t="shared" si="90"/>
        <v>0</v>
      </c>
      <c r="AG180" s="375">
        <f t="shared" si="90"/>
        <v>0</v>
      </c>
      <c r="AH180" s="375">
        <f t="shared" si="90"/>
        <v>0</v>
      </c>
      <c r="AI180" s="375">
        <f t="shared" si="90"/>
        <v>0</v>
      </c>
      <c r="AJ180" s="375">
        <f t="shared" si="90"/>
        <v>0</v>
      </c>
      <c r="AK180" s="375">
        <f t="shared" si="90"/>
        <v>0</v>
      </c>
      <c r="AL180" s="375">
        <f t="shared" si="90"/>
        <v>0</v>
      </c>
      <c r="AM180" s="375">
        <f t="shared" si="90"/>
        <v>0</v>
      </c>
      <c r="AN180" s="375">
        <f t="shared" si="90"/>
        <v>0</v>
      </c>
      <c r="AO180" s="375">
        <f t="shared" si="90"/>
        <v>0</v>
      </c>
      <c r="AP180" s="375">
        <f t="shared" si="90"/>
        <v>0</v>
      </c>
      <c r="AQ180" s="375">
        <f t="shared" si="90"/>
        <v>0</v>
      </c>
      <c r="AR180" s="375">
        <f t="shared" si="90"/>
        <v>0</v>
      </c>
      <c r="AS180" s="375">
        <f t="shared" si="90"/>
        <v>0</v>
      </c>
      <c r="AT180" s="375">
        <f t="shared" si="90"/>
        <v>0</v>
      </c>
      <c r="AU180" s="375">
        <f t="shared" si="90"/>
        <v>0</v>
      </c>
      <c r="AV180" s="375">
        <f t="shared" si="91"/>
        <v>0</v>
      </c>
      <c r="AW180" s="375">
        <f t="shared" si="91"/>
        <v>0</v>
      </c>
      <c r="AX180" s="375">
        <f t="shared" si="91"/>
        <v>0</v>
      </c>
      <c r="AY180" s="375">
        <f t="shared" si="91"/>
        <v>0</v>
      </c>
      <c r="AZ180" s="375">
        <f t="shared" si="91"/>
        <v>0</v>
      </c>
      <c r="BA180" s="375">
        <f t="shared" si="91"/>
        <v>0</v>
      </c>
      <c r="BB180" s="375">
        <f t="shared" si="91"/>
        <v>0</v>
      </c>
      <c r="BC180" s="375">
        <f t="shared" si="91"/>
        <v>0</v>
      </c>
      <c r="BD180" s="375">
        <f t="shared" si="91"/>
        <v>0</v>
      </c>
      <c r="BE180" s="375">
        <f t="shared" si="91"/>
        <v>0</v>
      </c>
      <c r="BF180" s="375">
        <f t="shared" si="91"/>
        <v>0</v>
      </c>
      <c r="BG180" s="375">
        <f t="shared" si="91"/>
        <v>0</v>
      </c>
      <c r="BH180" s="375">
        <f t="shared" si="91"/>
        <v>0</v>
      </c>
      <c r="BI180" s="375">
        <f t="shared" si="91"/>
        <v>0</v>
      </c>
      <c r="BJ180" s="375">
        <f t="shared" si="91"/>
        <v>0</v>
      </c>
      <c r="BK180" s="375">
        <f t="shared" si="91"/>
        <v>0</v>
      </c>
      <c r="BL180" s="375">
        <f t="shared" si="92"/>
        <v>0</v>
      </c>
      <c r="BM180" s="375">
        <f t="shared" si="92"/>
        <v>0</v>
      </c>
      <c r="BN180" s="375">
        <f t="shared" si="92"/>
        <v>0</v>
      </c>
      <c r="BO180" s="375">
        <f t="shared" si="92"/>
        <v>0</v>
      </c>
      <c r="BP180" s="375">
        <f t="shared" si="92"/>
        <v>0</v>
      </c>
      <c r="BQ180" s="375">
        <f t="shared" si="92"/>
        <v>0</v>
      </c>
      <c r="BR180" s="375">
        <f t="shared" si="92"/>
        <v>0</v>
      </c>
      <c r="BS180" s="375">
        <f t="shared" si="92"/>
        <v>0</v>
      </c>
      <c r="BT180" s="375">
        <f t="shared" si="92"/>
        <v>0</v>
      </c>
      <c r="BU180" s="375">
        <f t="shared" si="92"/>
        <v>0</v>
      </c>
      <c r="BV180" s="375">
        <f t="shared" si="92"/>
        <v>0</v>
      </c>
      <c r="BW180" s="375">
        <f t="shared" si="92"/>
        <v>0</v>
      </c>
      <c r="BX180" s="375">
        <f t="shared" si="92"/>
        <v>4188.333333333333</v>
      </c>
      <c r="BY180" s="375">
        <f t="shared" si="92"/>
        <v>4188.333333333333</v>
      </c>
      <c r="BZ180" s="375">
        <f t="shared" si="92"/>
        <v>4188.333333333333</v>
      </c>
      <c r="CA180" s="375">
        <f t="shared" si="92"/>
        <v>4188.333333333333</v>
      </c>
    </row>
    <row r="181" spans="3:79" ht="21" hidden="1" customHeight="1" outlineLevel="2">
      <c r="D181" s="374">
        <f t="shared" si="87"/>
        <v>46326</v>
      </c>
      <c r="E181" s="430" cm="1">
        <f t="array" ref="E181">INDEX($AF$131:$CA$131,0,MATCH(D181,$AF$8:$CA$8,0))</f>
        <v>53000</v>
      </c>
      <c r="H181" s="375">
        <f t="shared" si="88"/>
        <v>0</v>
      </c>
      <c r="I181" s="375">
        <f t="shared" si="88"/>
        <v>0</v>
      </c>
      <c r="J181" s="375">
        <f t="shared" si="88"/>
        <v>0</v>
      </c>
      <c r="K181" s="375">
        <f t="shared" si="88"/>
        <v>13250</v>
      </c>
      <c r="N181" s="375">
        <f t="shared" si="89"/>
        <v>0</v>
      </c>
      <c r="O181" s="375">
        <f t="shared" si="89"/>
        <v>0</v>
      </c>
      <c r="P181" s="375">
        <f t="shared" si="89"/>
        <v>0</v>
      </c>
      <c r="Q181" s="375">
        <f t="shared" si="89"/>
        <v>0</v>
      </c>
      <c r="R181" s="375">
        <f t="shared" si="89"/>
        <v>0</v>
      </c>
      <c r="S181" s="375">
        <f t="shared" si="89"/>
        <v>0</v>
      </c>
      <c r="T181" s="375">
        <f t="shared" si="89"/>
        <v>0</v>
      </c>
      <c r="U181" s="375">
        <f t="shared" si="89"/>
        <v>0</v>
      </c>
      <c r="V181" s="375">
        <f t="shared" si="89"/>
        <v>0</v>
      </c>
      <c r="W181" s="375">
        <f t="shared" si="89"/>
        <v>0</v>
      </c>
      <c r="X181" s="375">
        <f t="shared" si="89"/>
        <v>0</v>
      </c>
      <c r="Y181" s="375">
        <f t="shared" si="89"/>
        <v>0</v>
      </c>
      <c r="Z181" s="375">
        <f t="shared" si="89"/>
        <v>0</v>
      </c>
      <c r="AA181" s="375">
        <f t="shared" si="89"/>
        <v>0</v>
      </c>
      <c r="AB181" s="375">
        <f t="shared" si="89"/>
        <v>0</v>
      </c>
      <c r="AC181" s="375">
        <f t="shared" si="89"/>
        <v>13250</v>
      </c>
      <c r="AF181" s="375">
        <f t="shared" si="90"/>
        <v>0</v>
      </c>
      <c r="AG181" s="375">
        <f t="shared" si="90"/>
        <v>0</v>
      </c>
      <c r="AH181" s="375">
        <f t="shared" si="90"/>
        <v>0</v>
      </c>
      <c r="AI181" s="375">
        <f t="shared" si="90"/>
        <v>0</v>
      </c>
      <c r="AJ181" s="375">
        <f t="shared" si="90"/>
        <v>0</v>
      </c>
      <c r="AK181" s="375">
        <f t="shared" si="90"/>
        <v>0</v>
      </c>
      <c r="AL181" s="375">
        <f t="shared" si="90"/>
        <v>0</v>
      </c>
      <c r="AM181" s="375">
        <f t="shared" si="90"/>
        <v>0</v>
      </c>
      <c r="AN181" s="375">
        <f t="shared" si="90"/>
        <v>0</v>
      </c>
      <c r="AO181" s="375">
        <f t="shared" si="90"/>
        <v>0</v>
      </c>
      <c r="AP181" s="375">
        <f t="shared" si="90"/>
        <v>0</v>
      </c>
      <c r="AQ181" s="375">
        <f t="shared" si="90"/>
        <v>0</v>
      </c>
      <c r="AR181" s="375">
        <f t="shared" si="90"/>
        <v>0</v>
      </c>
      <c r="AS181" s="375">
        <f t="shared" si="90"/>
        <v>0</v>
      </c>
      <c r="AT181" s="375">
        <f t="shared" si="90"/>
        <v>0</v>
      </c>
      <c r="AU181" s="375">
        <f t="shared" si="90"/>
        <v>0</v>
      </c>
      <c r="AV181" s="375">
        <f t="shared" si="91"/>
        <v>0</v>
      </c>
      <c r="AW181" s="375">
        <f t="shared" si="91"/>
        <v>0</v>
      </c>
      <c r="AX181" s="375">
        <f t="shared" si="91"/>
        <v>0</v>
      </c>
      <c r="AY181" s="375">
        <f t="shared" si="91"/>
        <v>0</v>
      </c>
      <c r="AZ181" s="375">
        <f t="shared" si="91"/>
        <v>0</v>
      </c>
      <c r="BA181" s="375">
        <f t="shared" si="91"/>
        <v>0</v>
      </c>
      <c r="BB181" s="375">
        <f t="shared" si="91"/>
        <v>0</v>
      </c>
      <c r="BC181" s="375">
        <f t="shared" si="91"/>
        <v>0</v>
      </c>
      <c r="BD181" s="375">
        <f t="shared" si="91"/>
        <v>0</v>
      </c>
      <c r="BE181" s="375">
        <f t="shared" si="91"/>
        <v>0</v>
      </c>
      <c r="BF181" s="375">
        <f t="shared" si="91"/>
        <v>0</v>
      </c>
      <c r="BG181" s="375">
        <f t="shared" si="91"/>
        <v>0</v>
      </c>
      <c r="BH181" s="375">
        <f t="shared" si="91"/>
        <v>0</v>
      </c>
      <c r="BI181" s="375">
        <f t="shared" si="91"/>
        <v>0</v>
      </c>
      <c r="BJ181" s="375">
        <f t="shared" si="91"/>
        <v>0</v>
      </c>
      <c r="BK181" s="375">
        <f t="shared" si="91"/>
        <v>0</v>
      </c>
      <c r="BL181" s="375">
        <f t="shared" si="92"/>
        <v>0</v>
      </c>
      <c r="BM181" s="375">
        <f t="shared" si="92"/>
        <v>0</v>
      </c>
      <c r="BN181" s="375">
        <f t="shared" si="92"/>
        <v>0</v>
      </c>
      <c r="BO181" s="375">
        <f t="shared" si="92"/>
        <v>0</v>
      </c>
      <c r="BP181" s="375">
        <f t="shared" si="92"/>
        <v>0</v>
      </c>
      <c r="BQ181" s="375">
        <f t="shared" si="92"/>
        <v>0</v>
      </c>
      <c r="BR181" s="375">
        <f t="shared" si="92"/>
        <v>0</v>
      </c>
      <c r="BS181" s="375">
        <f t="shared" si="92"/>
        <v>0</v>
      </c>
      <c r="BT181" s="375">
        <f t="shared" si="92"/>
        <v>0</v>
      </c>
      <c r="BU181" s="375">
        <f t="shared" si="92"/>
        <v>0</v>
      </c>
      <c r="BV181" s="375">
        <f t="shared" si="92"/>
        <v>0</v>
      </c>
      <c r="BW181" s="375">
        <f t="shared" si="92"/>
        <v>0</v>
      </c>
      <c r="BX181" s="375">
        <f t="shared" si="92"/>
        <v>0</v>
      </c>
      <c r="BY181" s="375">
        <f t="shared" si="92"/>
        <v>4416.666666666667</v>
      </c>
      <c r="BZ181" s="375">
        <f t="shared" si="92"/>
        <v>4416.666666666667</v>
      </c>
      <c r="CA181" s="375">
        <f t="shared" si="92"/>
        <v>4416.666666666667</v>
      </c>
    </row>
    <row r="182" spans="3:79" ht="21" hidden="1" customHeight="1" outlineLevel="2">
      <c r="D182" s="374">
        <f t="shared" si="87"/>
        <v>46356</v>
      </c>
      <c r="E182" s="430" cm="1">
        <f t="array" ref="E182">INDEX($AF$131:$CA$131,0,MATCH(D182,$AF$8:$CA$8,0))</f>
        <v>60500</v>
      </c>
      <c r="H182" s="375">
        <f t="shared" si="88"/>
        <v>0</v>
      </c>
      <c r="I182" s="375">
        <f t="shared" si="88"/>
        <v>0</v>
      </c>
      <c r="J182" s="375">
        <f t="shared" si="88"/>
        <v>0</v>
      </c>
      <c r="K182" s="375">
        <f t="shared" si="88"/>
        <v>10083.333333333334</v>
      </c>
      <c r="N182" s="375">
        <f t="shared" si="89"/>
        <v>0</v>
      </c>
      <c r="O182" s="375">
        <f t="shared" si="89"/>
        <v>0</v>
      </c>
      <c r="P182" s="375">
        <f t="shared" si="89"/>
        <v>0</v>
      </c>
      <c r="Q182" s="375">
        <f t="shared" si="89"/>
        <v>0</v>
      </c>
      <c r="R182" s="375">
        <f t="shared" si="89"/>
        <v>0</v>
      </c>
      <c r="S182" s="375">
        <f t="shared" si="89"/>
        <v>0</v>
      </c>
      <c r="T182" s="375">
        <f t="shared" si="89"/>
        <v>0</v>
      </c>
      <c r="U182" s="375">
        <f t="shared" si="89"/>
        <v>0</v>
      </c>
      <c r="V182" s="375">
        <f t="shared" si="89"/>
        <v>0</v>
      </c>
      <c r="W182" s="375">
        <f t="shared" si="89"/>
        <v>0</v>
      </c>
      <c r="X182" s="375">
        <f t="shared" si="89"/>
        <v>0</v>
      </c>
      <c r="Y182" s="375">
        <f t="shared" si="89"/>
        <v>0</v>
      </c>
      <c r="Z182" s="375">
        <f t="shared" si="89"/>
        <v>0</v>
      </c>
      <c r="AA182" s="375">
        <f t="shared" si="89"/>
        <v>0</v>
      </c>
      <c r="AB182" s="375">
        <f t="shared" si="89"/>
        <v>0</v>
      </c>
      <c r="AC182" s="375">
        <f t="shared" si="89"/>
        <v>10083.333333333334</v>
      </c>
      <c r="AF182" s="375">
        <f t="shared" si="90"/>
        <v>0</v>
      </c>
      <c r="AG182" s="375">
        <f t="shared" si="90"/>
        <v>0</v>
      </c>
      <c r="AH182" s="375">
        <f t="shared" si="90"/>
        <v>0</v>
      </c>
      <c r="AI182" s="375">
        <f t="shared" si="90"/>
        <v>0</v>
      </c>
      <c r="AJ182" s="375">
        <f t="shared" si="90"/>
        <v>0</v>
      </c>
      <c r="AK182" s="375">
        <f t="shared" si="90"/>
        <v>0</v>
      </c>
      <c r="AL182" s="375">
        <f t="shared" si="90"/>
        <v>0</v>
      </c>
      <c r="AM182" s="375">
        <f t="shared" si="90"/>
        <v>0</v>
      </c>
      <c r="AN182" s="375">
        <f t="shared" si="90"/>
        <v>0</v>
      </c>
      <c r="AO182" s="375">
        <f t="shared" si="90"/>
        <v>0</v>
      </c>
      <c r="AP182" s="375">
        <f t="shared" si="90"/>
        <v>0</v>
      </c>
      <c r="AQ182" s="375">
        <f t="shared" si="90"/>
        <v>0</v>
      </c>
      <c r="AR182" s="375">
        <f t="shared" si="90"/>
        <v>0</v>
      </c>
      <c r="AS182" s="375">
        <f t="shared" si="90"/>
        <v>0</v>
      </c>
      <c r="AT182" s="375">
        <f t="shared" si="90"/>
        <v>0</v>
      </c>
      <c r="AU182" s="375">
        <f t="shared" si="90"/>
        <v>0</v>
      </c>
      <c r="AV182" s="375">
        <f t="shared" si="91"/>
        <v>0</v>
      </c>
      <c r="AW182" s="375">
        <f t="shared" si="91"/>
        <v>0</v>
      </c>
      <c r="AX182" s="375">
        <f t="shared" si="91"/>
        <v>0</v>
      </c>
      <c r="AY182" s="375">
        <f t="shared" si="91"/>
        <v>0</v>
      </c>
      <c r="AZ182" s="375">
        <f t="shared" si="91"/>
        <v>0</v>
      </c>
      <c r="BA182" s="375">
        <f t="shared" si="91"/>
        <v>0</v>
      </c>
      <c r="BB182" s="375">
        <f t="shared" si="91"/>
        <v>0</v>
      </c>
      <c r="BC182" s="375">
        <f t="shared" si="91"/>
        <v>0</v>
      </c>
      <c r="BD182" s="375">
        <f t="shared" si="91"/>
        <v>0</v>
      </c>
      <c r="BE182" s="375">
        <f t="shared" si="91"/>
        <v>0</v>
      </c>
      <c r="BF182" s="375">
        <f t="shared" si="91"/>
        <v>0</v>
      </c>
      <c r="BG182" s="375">
        <f t="shared" si="91"/>
        <v>0</v>
      </c>
      <c r="BH182" s="375">
        <f t="shared" si="91"/>
        <v>0</v>
      </c>
      <c r="BI182" s="375">
        <f t="shared" si="91"/>
        <v>0</v>
      </c>
      <c r="BJ182" s="375">
        <f t="shared" si="91"/>
        <v>0</v>
      </c>
      <c r="BK182" s="375">
        <f t="shared" si="91"/>
        <v>0</v>
      </c>
      <c r="BL182" s="375">
        <f t="shared" si="92"/>
        <v>0</v>
      </c>
      <c r="BM182" s="375">
        <f t="shared" si="92"/>
        <v>0</v>
      </c>
      <c r="BN182" s="375">
        <f t="shared" si="92"/>
        <v>0</v>
      </c>
      <c r="BO182" s="375">
        <f t="shared" si="92"/>
        <v>0</v>
      </c>
      <c r="BP182" s="375">
        <f t="shared" si="92"/>
        <v>0</v>
      </c>
      <c r="BQ182" s="375">
        <f t="shared" si="92"/>
        <v>0</v>
      </c>
      <c r="BR182" s="375">
        <f t="shared" si="92"/>
        <v>0</v>
      </c>
      <c r="BS182" s="375">
        <f t="shared" si="92"/>
        <v>0</v>
      </c>
      <c r="BT182" s="375">
        <f t="shared" si="92"/>
        <v>0</v>
      </c>
      <c r="BU182" s="375">
        <f t="shared" si="92"/>
        <v>0</v>
      </c>
      <c r="BV182" s="375">
        <f t="shared" si="92"/>
        <v>0</v>
      </c>
      <c r="BW182" s="375">
        <f t="shared" si="92"/>
        <v>0</v>
      </c>
      <c r="BX182" s="375">
        <f t="shared" si="92"/>
        <v>0</v>
      </c>
      <c r="BY182" s="375">
        <f t="shared" si="92"/>
        <v>0</v>
      </c>
      <c r="BZ182" s="375">
        <f t="shared" si="92"/>
        <v>5041.666666666667</v>
      </c>
      <c r="CA182" s="375">
        <f t="shared" si="92"/>
        <v>5041.666666666667</v>
      </c>
    </row>
    <row r="183" spans="3:79" ht="21" hidden="1" customHeight="1" outlineLevel="2">
      <c r="D183" s="374">
        <f t="shared" si="87"/>
        <v>46387</v>
      </c>
      <c r="E183" s="430" cm="1">
        <f t="array" ref="E183">INDEX($AF$131:$CA$131,0,MATCH(D183,$AF$8:$CA$8,0))</f>
        <v>60500</v>
      </c>
      <c r="H183" s="375">
        <f t="shared" si="88"/>
        <v>0</v>
      </c>
      <c r="I183" s="375">
        <f t="shared" si="88"/>
        <v>0</v>
      </c>
      <c r="J183" s="375">
        <f t="shared" si="88"/>
        <v>0</v>
      </c>
      <c r="K183" s="375">
        <f t="shared" si="88"/>
        <v>5041.666666666667</v>
      </c>
      <c r="N183" s="375">
        <f t="shared" si="89"/>
        <v>0</v>
      </c>
      <c r="O183" s="375">
        <f t="shared" si="89"/>
        <v>0</v>
      </c>
      <c r="P183" s="375">
        <f t="shared" si="89"/>
        <v>0</v>
      </c>
      <c r="Q183" s="375">
        <f t="shared" si="89"/>
        <v>0</v>
      </c>
      <c r="R183" s="375">
        <f t="shared" si="89"/>
        <v>0</v>
      </c>
      <c r="S183" s="375">
        <f t="shared" si="89"/>
        <v>0</v>
      </c>
      <c r="T183" s="375">
        <f t="shared" si="89"/>
        <v>0</v>
      </c>
      <c r="U183" s="375">
        <f t="shared" si="89"/>
        <v>0</v>
      </c>
      <c r="V183" s="375">
        <f t="shared" si="89"/>
        <v>0</v>
      </c>
      <c r="W183" s="375">
        <f t="shared" si="89"/>
        <v>0</v>
      </c>
      <c r="X183" s="375">
        <f t="shared" si="89"/>
        <v>0</v>
      </c>
      <c r="Y183" s="375">
        <f t="shared" si="89"/>
        <v>0</v>
      </c>
      <c r="Z183" s="375">
        <f t="shared" si="89"/>
        <v>0</v>
      </c>
      <c r="AA183" s="375">
        <f t="shared" si="89"/>
        <v>0</v>
      </c>
      <c r="AB183" s="375">
        <f t="shared" si="89"/>
        <v>0</v>
      </c>
      <c r="AC183" s="375">
        <f t="shared" si="89"/>
        <v>5041.666666666667</v>
      </c>
      <c r="AF183" s="375">
        <f t="shared" si="90"/>
        <v>0</v>
      </c>
      <c r="AG183" s="375">
        <f t="shared" si="90"/>
        <v>0</v>
      </c>
      <c r="AH183" s="375">
        <f t="shared" si="90"/>
        <v>0</v>
      </c>
      <c r="AI183" s="375">
        <f t="shared" si="90"/>
        <v>0</v>
      </c>
      <c r="AJ183" s="375">
        <f t="shared" si="90"/>
        <v>0</v>
      </c>
      <c r="AK183" s="375">
        <f t="shared" si="90"/>
        <v>0</v>
      </c>
      <c r="AL183" s="375">
        <f t="shared" si="90"/>
        <v>0</v>
      </c>
      <c r="AM183" s="375">
        <f t="shared" si="90"/>
        <v>0</v>
      </c>
      <c r="AN183" s="375">
        <f t="shared" si="90"/>
        <v>0</v>
      </c>
      <c r="AO183" s="375">
        <f t="shared" si="90"/>
        <v>0</v>
      </c>
      <c r="AP183" s="375">
        <f t="shared" si="90"/>
        <v>0</v>
      </c>
      <c r="AQ183" s="375">
        <f t="shared" si="90"/>
        <v>0</v>
      </c>
      <c r="AR183" s="375">
        <f t="shared" si="90"/>
        <v>0</v>
      </c>
      <c r="AS183" s="375">
        <f t="shared" si="90"/>
        <v>0</v>
      </c>
      <c r="AT183" s="375">
        <f t="shared" si="90"/>
        <v>0</v>
      </c>
      <c r="AU183" s="375">
        <f t="shared" si="90"/>
        <v>0</v>
      </c>
      <c r="AV183" s="375">
        <f t="shared" si="91"/>
        <v>0</v>
      </c>
      <c r="AW183" s="375">
        <f t="shared" si="91"/>
        <v>0</v>
      </c>
      <c r="AX183" s="375">
        <f t="shared" si="91"/>
        <v>0</v>
      </c>
      <c r="AY183" s="375">
        <f t="shared" si="91"/>
        <v>0</v>
      </c>
      <c r="AZ183" s="375">
        <f t="shared" si="91"/>
        <v>0</v>
      </c>
      <c r="BA183" s="375">
        <f t="shared" si="91"/>
        <v>0</v>
      </c>
      <c r="BB183" s="375">
        <f t="shared" si="91"/>
        <v>0</v>
      </c>
      <c r="BC183" s="375">
        <f t="shared" si="91"/>
        <v>0</v>
      </c>
      <c r="BD183" s="375">
        <f t="shared" si="91"/>
        <v>0</v>
      </c>
      <c r="BE183" s="375">
        <f t="shared" si="91"/>
        <v>0</v>
      </c>
      <c r="BF183" s="375">
        <f t="shared" si="91"/>
        <v>0</v>
      </c>
      <c r="BG183" s="375">
        <f t="shared" si="91"/>
        <v>0</v>
      </c>
      <c r="BH183" s="375">
        <f t="shared" si="91"/>
        <v>0</v>
      </c>
      <c r="BI183" s="375">
        <f t="shared" si="91"/>
        <v>0</v>
      </c>
      <c r="BJ183" s="375">
        <f t="shared" si="91"/>
        <v>0</v>
      </c>
      <c r="BK183" s="375">
        <f t="shared" si="91"/>
        <v>0</v>
      </c>
      <c r="BL183" s="375">
        <f t="shared" si="92"/>
        <v>0</v>
      </c>
      <c r="BM183" s="375">
        <f t="shared" si="92"/>
        <v>0</v>
      </c>
      <c r="BN183" s="375">
        <f t="shared" si="92"/>
        <v>0</v>
      </c>
      <c r="BO183" s="375">
        <f t="shared" si="92"/>
        <v>0</v>
      </c>
      <c r="BP183" s="375">
        <f t="shared" si="92"/>
        <v>0</v>
      </c>
      <c r="BQ183" s="375">
        <f t="shared" si="92"/>
        <v>0</v>
      </c>
      <c r="BR183" s="375">
        <f t="shared" si="92"/>
        <v>0</v>
      </c>
      <c r="BS183" s="375">
        <f t="shared" si="92"/>
        <v>0</v>
      </c>
      <c r="BT183" s="375">
        <f t="shared" si="92"/>
        <v>0</v>
      </c>
      <c r="BU183" s="375">
        <f t="shared" si="92"/>
        <v>0</v>
      </c>
      <c r="BV183" s="375">
        <f t="shared" si="92"/>
        <v>0</v>
      </c>
      <c r="BW183" s="375">
        <f t="shared" si="92"/>
        <v>0</v>
      </c>
      <c r="BX183" s="375">
        <f t="shared" si="92"/>
        <v>0</v>
      </c>
      <c r="BY183" s="375">
        <f t="shared" si="92"/>
        <v>0</v>
      </c>
      <c r="BZ183" s="375">
        <f t="shared" si="92"/>
        <v>0</v>
      </c>
      <c r="CA183" s="375">
        <f t="shared" si="92"/>
        <v>5041.666666666667</v>
      </c>
    </row>
    <row r="184" spans="3:79" ht="21" customHeight="1" outlineLevel="1">
      <c r="C184" s="370"/>
      <c r="D184" s="369"/>
      <c r="E184" s="369"/>
      <c r="H184" s="368"/>
      <c r="I184" s="368"/>
      <c r="J184" s="368"/>
      <c r="K184" s="368"/>
      <c r="M184" s="359"/>
      <c r="N184" s="368"/>
      <c r="O184" s="368"/>
      <c r="P184" s="368"/>
      <c r="Q184" s="368"/>
      <c r="R184" s="368"/>
      <c r="S184" s="368"/>
      <c r="T184" s="368"/>
      <c r="U184" s="368"/>
      <c r="V184" s="368"/>
      <c r="W184" s="368"/>
      <c r="X184" s="368"/>
      <c r="Y184" s="368"/>
      <c r="Z184" s="368"/>
      <c r="AA184" s="368"/>
      <c r="AB184" s="368"/>
      <c r="AC184" s="368"/>
      <c r="AE184" s="359"/>
      <c r="AF184" s="368"/>
      <c r="AG184" s="368"/>
      <c r="AH184" s="368"/>
      <c r="AI184" s="368"/>
      <c r="AJ184" s="368"/>
      <c r="AK184" s="368"/>
      <c r="AL184" s="368"/>
      <c r="AM184" s="368"/>
      <c r="AN184" s="368"/>
      <c r="AO184" s="368"/>
      <c r="AP184" s="368"/>
      <c r="AQ184" s="368"/>
      <c r="AR184" s="368"/>
      <c r="AS184" s="368"/>
      <c r="AT184" s="368"/>
      <c r="AU184" s="368"/>
      <c r="AV184" s="368"/>
      <c r="AW184" s="368"/>
      <c r="AX184" s="368"/>
      <c r="AY184" s="368"/>
      <c r="AZ184" s="368"/>
      <c r="BA184" s="368"/>
      <c r="BB184" s="368"/>
      <c r="BC184" s="368"/>
      <c r="BD184" s="368"/>
      <c r="BE184" s="368"/>
      <c r="BF184" s="368"/>
      <c r="BG184" s="368"/>
      <c r="BH184" s="368"/>
      <c r="BI184" s="368"/>
      <c r="BJ184" s="368"/>
      <c r="BK184" s="368"/>
      <c r="BL184" s="368"/>
      <c r="BM184" s="368"/>
      <c r="BN184" s="368"/>
      <c r="BO184" s="368"/>
      <c r="BP184" s="368"/>
      <c r="BQ184" s="368"/>
      <c r="BR184" s="368"/>
      <c r="BS184" s="368"/>
      <c r="BT184" s="368"/>
      <c r="BU184" s="368"/>
      <c r="BV184" s="368"/>
      <c r="BW184" s="368"/>
      <c r="BX184" s="368"/>
      <c r="BY184" s="368"/>
      <c r="BZ184" s="368"/>
      <c r="CA184" s="368"/>
    </row>
    <row r="185" spans="3:79" outlineLevel="1">
      <c r="C185" s="365" t="s">
        <v>80</v>
      </c>
      <c r="D185" s="366"/>
      <c r="E185" s="365"/>
      <c r="G185" s="359"/>
      <c r="H185" s="378">
        <f>SUMIFS($AF185:$CA185,$AF$6:$CA$6,H$6)</f>
        <v>6750</v>
      </c>
      <c r="I185" s="378">
        <f>SUMIFS($AF185:$CA185,$AF$6:$CA$6,I$6)</f>
        <v>24567.666666666668</v>
      </c>
      <c r="J185" s="378">
        <f>SUMIFS($AF185:$CA185,$AF$6:$CA$6,J$6)</f>
        <v>51642</v>
      </c>
      <c r="K185" s="378">
        <f>SUMIFS($AF185:$CA185,$AF$6:$CA$6,K$6)</f>
        <v>94460.666666666672</v>
      </c>
      <c r="N185" s="378">
        <f t="shared" ref="N185:AC185" si="93">SUMIFS($AF185:$CA185,$AF$6:$CA$6,N$6,$AF$7:$CA$7,N$7)</f>
        <v>500</v>
      </c>
      <c r="O185" s="378">
        <f t="shared" si="93"/>
        <v>1250</v>
      </c>
      <c r="P185" s="378">
        <f t="shared" si="93"/>
        <v>2000</v>
      </c>
      <c r="Q185" s="378">
        <f t="shared" si="93"/>
        <v>3000</v>
      </c>
      <c r="R185" s="378">
        <f t="shared" si="93"/>
        <v>4143.666666666667</v>
      </c>
      <c r="S185" s="378">
        <f t="shared" si="93"/>
        <v>5408.0000000000009</v>
      </c>
      <c r="T185" s="378">
        <f t="shared" si="93"/>
        <v>6763</v>
      </c>
      <c r="U185" s="378">
        <f t="shared" si="93"/>
        <v>8253</v>
      </c>
      <c r="V185" s="378">
        <f t="shared" si="93"/>
        <v>9993</v>
      </c>
      <c r="W185" s="378">
        <f t="shared" si="93"/>
        <v>11741</v>
      </c>
      <c r="X185" s="378">
        <f t="shared" si="93"/>
        <v>13722</v>
      </c>
      <c r="Y185" s="378">
        <f t="shared" si="93"/>
        <v>16185.999999999998</v>
      </c>
      <c r="Z185" s="378">
        <f t="shared" si="93"/>
        <v>18957.666666666664</v>
      </c>
      <c r="AA185" s="378">
        <f t="shared" si="93"/>
        <v>22021</v>
      </c>
      <c r="AB185" s="378">
        <f t="shared" si="93"/>
        <v>25126</v>
      </c>
      <c r="AC185" s="378">
        <f t="shared" si="93"/>
        <v>28356</v>
      </c>
      <c r="AF185" s="378">
        <f t="shared" ref="AF185:CA185" si="94">AF134*AF$21</f>
        <v>83.333333333333343</v>
      </c>
      <c r="AG185" s="378">
        <f t="shared" si="94"/>
        <v>166.66666666666669</v>
      </c>
      <c r="AH185" s="378">
        <f t="shared" si="94"/>
        <v>250</v>
      </c>
      <c r="AI185" s="378">
        <f t="shared" si="94"/>
        <v>333.33333333333337</v>
      </c>
      <c r="AJ185" s="378">
        <f t="shared" si="94"/>
        <v>416.66666666666674</v>
      </c>
      <c r="AK185" s="378">
        <f t="shared" si="94"/>
        <v>500</v>
      </c>
      <c r="AL185" s="378">
        <f t="shared" si="94"/>
        <v>583.33333333333337</v>
      </c>
      <c r="AM185" s="378">
        <f t="shared" si="94"/>
        <v>666.66666666666663</v>
      </c>
      <c r="AN185" s="378">
        <f t="shared" si="94"/>
        <v>750</v>
      </c>
      <c r="AO185" s="378">
        <f t="shared" si="94"/>
        <v>875</v>
      </c>
      <c r="AP185" s="378">
        <f t="shared" si="94"/>
        <v>1000</v>
      </c>
      <c r="AQ185" s="378">
        <f t="shared" si="94"/>
        <v>1125</v>
      </c>
      <c r="AR185" s="378">
        <f t="shared" si="94"/>
        <v>1250</v>
      </c>
      <c r="AS185" s="378">
        <f t="shared" si="94"/>
        <v>1379</v>
      </c>
      <c r="AT185" s="378">
        <f t="shared" si="94"/>
        <v>1514.666666666667</v>
      </c>
      <c r="AU185" s="378">
        <f t="shared" si="94"/>
        <v>1655.666666666667</v>
      </c>
      <c r="AV185" s="378">
        <f t="shared" si="94"/>
        <v>1801.3333333333337</v>
      </c>
      <c r="AW185" s="378">
        <f t="shared" si="94"/>
        <v>1951</v>
      </c>
      <c r="AX185" s="378">
        <f t="shared" si="94"/>
        <v>2102.666666666667</v>
      </c>
      <c r="AY185" s="378">
        <f t="shared" si="94"/>
        <v>2254.3333333333335</v>
      </c>
      <c r="AZ185" s="378">
        <f t="shared" si="94"/>
        <v>2406</v>
      </c>
      <c r="BA185" s="378">
        <f t="shared" si="94"/>
        <v>2557.666666666667</v>
      </c>
      <c r="BB185" s="378">
        <f t="shared" si="94"/>
        <v>2751</v>
      </c>
      <c r="BC185" s="378">
        <f t="shared" si="94"/>
        <v>2944.3333333333335</v>
      </c>
      <c r="BD185" s="378">
        <f t="shared" si="94"/>
        <v>3137.666666666667</v>
      </c>
      <c r="BE185" s="378">
        <f t="shared" si="94"/>
        <v>3331</v>
      </c>
      <c r="BF185" s="378">
        <f t="shared" si="94"/>
        <v>3524.3333333333339</v>
      </c>
      <c r="BG185" s="378">
        <f t="shared" si="94"/>
        <v>3717.6666666666665</v>
      </c>
      <c r="BH185" s="378">
        <f t="shared" si="94"/>
        <v>3911</v>
      </c>
      <c r="BI185" s="378">
        <f t="shared" si="94"/>
        <v>4112.3333333333339</v>
      </c>
      <c r="BJ185" s="378">
        <f t="shared" si="94"/>
        <v>4319</v>
      </c>
      <c r="BK185" s="378">
        <f t="shared" si="94"/>
        <v>4572.666666666667</v>
      </c>
      <c r="BL185" s="378">
        <f t="shared" si="94"/>
        <v>4830.333333333333</v>
      </c>
      <c r="BM185" s="378">
        <f t="shared" si="94"/>
        <v>5092</v>
      </c>
      <c r="BN185" s="378">
        <f t="shared" si="94"/>
        <v>5395.333333333333</v>
      </c>
      <c r="BO185" s="378">
        <f t="shared" si="94"/>
        <v>5698.6666666666661</v>
      </c>
      <c r="BP185" s="378">
        <f t="shared" si="94"/>
        <v>6002</v>
      </c>
      <c r="BQ185" s="378">
        <f t="shared" si="94"/>
        <v>6305.333333333333</v>
      </c>
      <c r="BR185" s="378">
        <f t="shared" si="94"/>
        <v>6650.333333333333</v>
      </c>
      <c r="BS185" s="378">
        <f t="shared" si="94"/>
        <v>6995.333333333333</v>
      </c>
      <c r="BT185" s="378">
        <f t="shared" si="94"/>
        <v>7340.333333333333</v>
      </c>
      <c r="BU185" s="378">
        <f t="shared" si="94"/>
        <v>7685.333333333333</v>
      </c>
      <c r="BV185" s="378">
        <f t="shared" si="94"/>
        <v>8030.3333333333348</v>
      </c>
      <c r="BW185" s="378">
        <f t="shared" si="94"/>
        <v>8375.3333333333339</v>
      </c>
      <c r="BX185" s="378">
        <f t="shared" si="94"/>
        <v>8720.3333333333339</v>
      </c>
      <c r="BY185" s="378">
        <f t="shared" si="94"/>
        <v>9065.3333333333339</v>
      </c>
      <c r="BZ185" s="378">
        <f t="shared" si="94"/>
        <v>9452</v>
      </c>
      <c r="CA185" s="378">
        <f t="shared" si="94"/>
        <v>9838.6666666666661</v>
      </c>
    </row>
    <row r="186" spans="3:79" outlineLevel="1">
      <c r="M186" s="359"/>
      <c r="AE186" s="359"/>
    </row>
    <row r="187" spans="3:79" outlineLevel="1">
      <c r="C187" s="365" t="s">
        <v>81</v>
      </c>
      <c r="D187" s="366"/>
      <c r="E187" s="365"/>
      <c r="H187" s="378">
        <f>SUMIFS($AF187:$CA187,$AF$6:$CA$6,H$6)</f>
        <v>27000</v>
      </c>
      <c r="I187" s="378">
        <f>SUMIFS($AF187:$CA187,$AF$6:$CA$6,I$6)</f>
        <v>98270.666666666672</v>
      </c>
      <c r="J187" s="378">
        <f>SUMIFS($AF187:$CA187,$AF$6:$CA$6,J$6)</f>
        <v>206568</v>
      </c>
      <c r="K187" s="378">
        <f>SUMIFS($AF187:$CA187,$AF$6:$CA$6,K$6)</f>
        <v>377842.66666666669</v>
      </c>
      <c r="N187" s="378">
        <f t="shared" ref="N187:AC187" si="95">SUMIFS($AF187:$CA187,$AF$6:$CA$6,N$6,$AF$7:$CA$7,N$7)</f>
        <v>2000</v>
      </c>
      <c r="O187" s="378">
        <f t="shared" si="95"/>
        <v>5000</v>
      </c>
      <c r="P187" s="378">
        <f t="shared" si="95"/>
        <v>8000</v>
      </c>
      <c r="Q187" s="378">
        <f t="shared" si="95"/>
        <v>12000</v>
      </c>
      <c r="R187" s="378">
        <f t="shared" si="95"/>
        <v>16574.666666666668</v>
      </c>
      <c r="S187" s="378">
        <f t="shared" si="95"/>
        <v>21632</v>
      </c>
      <c r="T187" s="378">
        <f t="shared" si="95"/>
        <v>27052</v>
      </c>
      <c r="U187" s="378">
        <f t="shared" si="95"/>
        <v>33012</v>
      </c>
      <c r="V187" s="378">
        <f t="shared" si="95"/>
        <v>39972</v>
      </c>
      <c r="W187" s="378">
        <f t="shared" si="95"/>
        <v>46964</v>
      </c>
      <c r="X187" s="378">
        <f t="shared" si="95"/>
        <v>54888</v>
      </c>
      <c r="Y187" s="378">
        <f t="shared" si="95"/>
        <v>64743.999999999993</v>
      </c>
      <c r="Z187" s="378">
        <f t="shared" si="95"/>
        <v>75830.666666666657</v>
      </c>
      <c r="AA187" s="378">
        <f t="shared" si="95"/>
        <v>88084</v>
      </c>
      <c r="AB187" s="378">
        <f t="shared" si="95"/>
        <v>100504</v>
      </c>
      <c r="AC187" s="378">
        <f t="shared" si="95"/>
        <v>113424</v>
      </c>
      <c r="AF187" s="378">
        <f t="shared" ref="AF187:CA187" si="96">AF134-AF185</f>
        <v>333.33333333333337</v>
      </c>
      <c r="AG187" s="378">
        <f t="shared" si="96"/>
        <v>666.66666666666674</v>
      </c>
      <c r="AH187" s="378">
        <f t="shared" si="96"/>
        <v>1000</v>
      </c>
      <c r="AI187" s="378">
        <f t="shared" si="96"/>
        <v>1333.3333333333335</v>
      </c>
      <c r="AJ187" s="378">
        <f t="shared" si="96"/>
        <v>1666.6666666666667</v>
      </c>
      <c r="AK187" s="378">
        <f t="shared" si="96"/>
        <v>2000</v>
      </c>
      <c r="AL187" s="378">
        <f t="shared" si="96"/>
        <v>2333.333333333333</v>
      </c>
      <c r="AM187" s="378">
        <f t="shared" si="96"/>
        <v>2666.6666666666665</v>
      </c>
      <c r="AN187" s="378">
        <f t="shared" si="96"/>
        <v>2999.9999999999995</v>
      </c>
      <c r="AO187" s="378">
        <f t="shared" si="96"/>
        <v>3500</v>
      </c>
      <c r="AP187" s="378">
        <f t="shared" si="96"/>
        <v>4000</v>
      </c>
      <c r="AQ187" s="378">
        <f t="shared" si="96"/>
        <v>4500</v>
      </c>
      <c r="AR187" s="378">
        <f t="shared" si="96"/>
        <v>5000</v>
      </c>
      <c r="AS187" s="378">
        <f t="shared" si="96"/>
        <v>5516</v>
      </c>
      <c r="AT187" s="378">
        <f t="shared" si="96"/>
        <v>6058.666666666667</v>
      </c>
      <c r="AU187" s="378">
        <f t="shared" si="96"/>
        <v>6622.666666666667</v>
      </c>
      <c r="AV187" s="378">
        <f t="shared" si="96"/>
        <v>7205.3333333333339</v>
      </c>
      <c r="AW187" s="378">
        <f t="shared" si="96"/>
        <v>7804</v>
      </c>
      <c r="AX187" s="378">
        <f t="shared" si="96"/>
        <v>8410.6666666666679</v>
      </c>
      <c r="AY187" s="378">
        <f t="shared" si="96"/>
        <v>9017.3333333333339</v>
      </c>
      <c r="AZ187" s="378">
        <f t="shared" si="96"/>
        <v>9624</v>
      </c>
      <c r="BA187" s="378">
        <f t="shared" si="96"/>
        <v>10230.666666666668</v>
      </c>
      <c r="BB187" s="378">
        <f t="shared" si="96"/>
        <v>11004</v>
      </c>
      <c r="BC187" s="378">
        <f t="shared" si="96"/>
        <v>11777.333333333332</v>
      </c>
      <c r="BD187" s="378">
        <f t="shared" si="96"/>
        <v>12550.666666666668</v>
      </c>
      <c r="BE187" s="378">
        <f t="shared" si="96"/>
        <v>13324</v>
      </c>
      <c r="BF187" s="378">
        <f t="shared" si="96"/>
        <v>14097.333333333334</v>
      </c>
      <c r="BG187" s="378">
        <f t="shared" si="96"/>
        <v>14870.666666666666</v>
      </c>
      <c r="BH187" s="378">
        <f t="shared" si="96"/>
        <v>15644</v>
      </c>
      <c r="BI187" s="378">
        <f t="shared" si="96"/>
        <v>16449.333333333336</v>
      </c>
      <c r="BJ187" s="378">
        <f t="shared" si="96"/>
        <v>17276</v>
      </c>
      <c r="BK187" s="378">
        <f t="shared" si="96"/>
        <v>18290.666666666664</v>
      </c>
      <c r="BL187" s="378">
        <f t="shared" si="96"/>
        <v>19321.333333333332</v>
      </c>
      <c r="BM187" s="378">
        <f t="shared" si="96"/>
        <v>20367.999999999996</v>
      </c>
      <c r="BN187" s="378">
        <f t="shared" si="96"/>
        <v>21581.333333333332</v>
      </c>
      <c r="BO187" s="378">
        <f t="shared" si="96"/>
        <v>22794.666666666664</v>
      </c>
      <c r="BP187" s="378">
        <f t="shared" si="96"/>
        <v>24008</v>
      </c>
      <c r="BQ187" s="378">
        <f t="shared" si="96"/>
        <v>25221.333333333332</v>
      </c>
      <c r="BR187" s="378">
        <f t="shared" si="96"/>
        <v>26601.333333333332</v>
      </c>
      <c r="BS187" s="378">
        <f t="shared" si="96"/>
        <v>27981.333333333332</v>
      </c>
      <c r="BT187" s="378">
        <f t="shared" si="96"/>
        <v>29361.333333333332</v>
      </c>
      <c r="BU187" s="378">
        <f t="shared" si="96"/>
        <v>30741.333333333332</v>
      </c>
      <c r="BV187" s="378">
        <f t="shared" si="96"/>
        <v>32121.333333333336</v>
      </c>
      <c r="BW187" s="378">
        <f t="shared" si="96"/>
        <v>33501.333333333336</v>
      </c>
      <c r="BX187" s="378">
        <f t="shared" si="96"/>
        <v>34881.333333333336</v>
      </c>
      <c r="BY187" s="378">
        <f t="shared" si="96"/>
        <v>36261.333333333336</v>
      </c>
      <c r="BZ187" s="378">
        <f t="shared" si="96"/>
        <v>37808</v>
      </c>
      <c r="CA187" s="378">
        <f t="shared" si="96"/>
        <v>39354.666666666664</v>
      </c>
    </row>
    <row r="188" spans="3:79" outlineLevel="1">
      <c r="D188" s="383" t="s">
        <v>82</v>
      </c>
      <c r="H188" s="429">
        <f>IFERROR(H187/H134,0)</f>
        <v>0.8</v>
      </c>
      <c r="I188" s="429">
        <f>IFERROR(I187/I134,0)</f>
        <v>0.79999999999999993</v>
      </c>
      <c r="J188" s="429">
        <f>IFERROR(J187/J134,0)</f>
        <v>0.8</v>
      </c>
      <c r="K188" s="429">
        <f>IFERROR(K187/K134,0)</f>
        <v>0.79999999999999993</v>
      </c>
      <c r="N188" s="429">
        <f t="shared" ref="N188:AC188" si="97">IFERROR(N187/N134,0)</f>
        <v>0.8</v>
      </c>
      <c r="O188" s="429">
        <f t="shared" si="97"/>
        <v>0.8</v>
      </c>
      <c r="P188" s="429">
        <f t="shared" si="97"/>
        <v>0.8</v>
      </c>
      <c r="Q188" s="429">
        <f t="shared" si="97"/>
        <v>0.8</v>
      </c>
      <c r="R188" s="429">
        <f t="shared" si="97"/>
        <v>0.79999999999999993</v>
      </c>
      <c r="S188" s="429">
        <f t="shared" si="97"/>
        <v>0.8</v>
      </c>
      <c r="T188" s="429">
        <f t="shared" si="97"/>
        <v>0.8</v>
      </c>
      <c r="U188" s="429">
        <f t="shared" si="97"/>
        <v>0.8</v>
      </c>
      <c r="V188" s="429">
        <f t="shared" si="97"/>
        <v>0.8</v>
      </c>
      <c r="W188" s="429">
        <f t="shared" si="97"/>
        <v>0.8</v>
      </c>
      <c r="X188" s="429">
        <f t="shared" si="97"/>
        <v>0.8</v>
      </c>
      <c r="Y188" s="429">
        <f t="shared" si="97"/>
        <v>0.8</v>
      </c>
      <c r="Z188" s="429">
        <f t="shared" si="97"/>
        <v>0.79999999999999993</v>
      </c>
      <c r="AA188" s="429">
        <f t="shared" si="97"/>
        <v>0.8</v>
      </c>
      <c r="AB188" s="429">
        <f t="shared" si="97"/>
        <v>0.79999999999999993</v>
      </c>
      <c r="AC188" s="429">
        <f t="shared" si="97"/>
        <v>0.8</v>
      </c>
      <c r="AF188" s="429">
        <f t="shared" ref="AF188:CA188" si="98">IFERROR(AF187/AF134,0)</f>
        <v>0.8</v>
      </c>
      <c r="AG188" s="429">
        <f t="shared" si="98"/>
        <v>0.8</v>
      </c>
      <c r="AH188" s="429">
        <f t="shared" si="98"/>
        <v>0.8</v>
      </c>
      <c r="AI188" s="429">
        <f t="shared" si="98"/>
        <v>0.8</v>
      </c>
      <c r="AJ188" s="429">
        <f t="shared" si="98"/>
        <v>0.79999999999999993</v>
      </c>
      <c r="AK188" s="429">
        <f t="shared" si="98"/>
        <v>0.8</v>
      </c>
      <c r="AL188" s="429">
        <f t="shared" si="98"/>
        <v>0.79999999999999993</v>
      </c>
      <c r="AM188" s="429">
        <f t="shared" si="98"/>
        <v>0.8</v>
      </c>
      <c r="AN188" s="429">
        <f t="shared" si="98"/>
        <v>0.79999999999999993</v>
      </c>
      <c r="AO188" s="429">
        <f t="shared" si="98"/>
        <v>0.8</v>
      </c>
      <c r="AP188" s="429">
        <f t="shared" si="98"/>
        <v>0.8</v>
      </c>
      <c r="AQ188" s="429">
        <f t="shared" si="98"/>
        <v>0.8</v>
      </c>
      <c r="AR188" s="429">
        <f t="shared" si="98"/>
        <v>0.8</v>
      </c>
      <c r="AS188" s="429">
        <f t="shared" si="98"/>
        <v>0.8</v>
      </c>
      <c r="AT188" s="429">
        <f t="shared" si="98"/>
        <v>0.79999999999999993</v>
      </c>
      <c r="AU188" s="429">
        <f t="shared" si="98"/>
        <v>0.79999999999999993</v>
      </c>
      <c r="AV188" s="429">
        <f t="shared" si="98"/>
        <v>0.79999999999999993</v>
      </c>
      <c r="AW188" s="429">
        <f t="shared" si="98"/>
        <v>0.8</v>
      </c>
      <c r="AX188" s="429">
        <f t="shared" si="98"/>
        <v>0.8</v>
      </c>
      <c r="AY188" s="429">
        <f t="shared" si="98"/>
        <v>0.79999999999999993</v>
      </c>
      <c r="AZ188" s="429">
        <f t="shared" si="98"/>
        <v>0.8</v>
      </c>
      <c r="BA188" s="429">
        <f t="shared" si="98"/>
        <v>0.8</v>
      </c>
      <c r="BB188" s="429">
        <f t="shared" si="98"/>
        <v>0.8</v>
      </c>
      <c r="BC188" s="429">
        <f t="shared" si="98"/>
        <v>0.79999999999999993</v>
      </c>
      <c r="BD188" s="429">
        <f t="shared" si="98"/>
        <v>0.8</v>
      </c>
      <c r="BE188" s="429">
        <f t="shared" si="98"/>
        <v>0.8</v>
      </c>
      <c r="BF188" s="429">
        <f t="shared" si="98"/>
        <v>0.79999999999999993</v>
      </c>
      <c r="BG188" s="429">
        <f t="shared" si="98"/>
        <v>0.8</v>
      </c>
      <c r="BH188" s="429">
        <f t="shared" si="98"/>
        <v>0.8</v>
      </c>
      <c r="BI188" s="429">
        <f t="shared" si="98"/>
        <v>0.8</v>
      </c>
      <c r="BJ188" s="429">
        <f t="shared" si="98"/>
        <v>0.8</v>
      </c>
      <c r="BK188" s="429">
        <f t="shared" si="98"/>
        <v>0.79999999999999993</v>
      </c>
      <c r="BL188" s="429">
        <f t="shared" si="98"/>
        <v>0.8</v>
      </c>
      <c r="BM188" s="429">
        <f t="shared" si="98"/>
        <v>0.79999999999999993</v>
      </c>
      <c r="BN188" s="429">
        <f t="shared" si="98"/>
        <v>0.8</v>
      </c>
      <c r="BO188" s="429">
        <f t="shared" si="98"/>
        <v>0.8</v>
      </c>
      <c r="BP188" s="429">
        <f t="shared" si="98"/>
        <v>0.8</v>
      </c>
      <c r="BQ188" s="429">
        <f t="shared" si="98"/>
        <v>0.8</v>
      </c>
      <c r="BR188" s="429">
        <f t="shared" si="98"/>
        <v>0.8</v>
      </c>
      <c r="BS188" s="429">
        <f t="shared" si="98"/>
        <v>0.8</v>
      </c>
      <c r="BT188" s="429">
        <f t="shared" si="98"/>
        <v>0.8</v>
      </c>
      <c r="BU188" s="429">
        <f t="shared" si="98"/>
        <v>0.8</v>
      </c>
      <c r="BV188" s="429">
        <f t="shared" si="98"/>
        <v>0.79999999999999993</v>
      </c>
      <c r="BW188" s="429">
        <f t="shared" si="98"/>
        <v>0.79999999999999993</v>
      </c>
      <c r="BX188" s="429">
        <f t="shared" si="98"/>
        <v>0.79999999999999993</v>
      </c>
      <c r="BY188" s="429">
        <f t="shared" si="98"/>
        <v>0.79999999999999993</v>
      </c>
      <c r="BZ188" s="429">
        <f t="shared" si="98"/>
        <v>0.8</v>
      </c>
      <c r="CA188" s="429">
        <f t="shared" si="98"/>
        <v>0.8</v>
      </c>
    </row>
    <row r="191" spans="3:79">
      <c r="BN191" s="410"/>
    </row>
  </sheetData>
  <mergeCells count="3">
    <mergeCell ref="G2:G8"/>
    <mergeCell ref="M2:M8"/>
    <mergeCell ref="AE2:AE8"/>
  </mergeCells>
  <pageMargins left="0.7" right="0.7" top="0.75" bottom="0.75" header="0.3" footer="0.3"/>
  <pageSetup orientation="portrait" r:id="rId1"/>
  <customProperties>
    <customPr name="sourceTemplate"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CD0B8-84A8-764C-AC62-DB63F1F59FB9}">
  <dimension ref="B2:I18"/>
  <sheetViews>
    <sheetView zoomScale="210" zoomScaleNormal="210" workbookViewId="0">
      <selection activeCell="B2" sqref="B2:E18"/>
    </sheetView>
  </sheetViews>
  <sheetFormatPr defaultColWidth="8.85546875" defaultRowHeight="15"/>
  <cols>
    <col min="1" max="1" width="2.28515625" customWidth="1"/>
    <col min="2" max="2" width="15.42578125" bestFit="1" customWidth="1"/>
    <col min="3" max="3" width="16.140625" bestFit="1" customWidth="1"/>
    <col min="4" max="4" width="15.7109375" bestFit="1" customWidth="1"/>
    <col min="5" max="5" width="12.85546875" bestFit="1" customWidth="1"/>
  </cols>
  <sheetData>
    <row r="2" spans="2:9">
      <c r="B2" s="466" t="s">
        <v>544</v>
      </c>
      <c r="C2" s="465" t="s">
        <v>545</v>
      </c>
      <c r="D2" s="465" t="s">
        <v>546</v>
      </c>
      <c r="E2" s="465" t="s">
        <v>547</v>
      </c>
    </row>
    <row r="3" spans="2:9">
      <c r="B3" s="463" t="s">
        <v>548</v>
      </c>
      <c r="C3" s="462" t="s">
        <v>549</v>
      </c>
      <c r="D3" s="461">
        <v>4360</v>
      </c>
      <c r="E3" s="464">
        <v>45586</v>
      </c>
      <c r="I3" s="546"/>
    </row>
    <row r="4" spans="2:9">
      <c r="B4" s="463" t="s">
        <v>548</v>
      </c>
      <c r="C4" s="462" t="s">
        <v>549</v>
      </c>
      <c r="D4" s="461">
        <v>7340</v>
      </c>
      <c r="E4" s="464">
        <v>45618</v>
      </c>
      <c r="I4" s="546"/>
    </row>
    <row r="5" spans="2:9">
      <c r="B5" s="463" t="s">
        <v>548</v>
      </c>
      <c r="C5" s="462" t="s">
        <v>550</v>
      </c>
      <c r="D5" s="461">
        <v>35000</v>
      </c>
      <c r="E5" s="464">
        <v>45564</v>
      </c>
      <c r="I5" s="546"/>
    </row>
    <row r="6" spans="2:9">
      <c r="B6" s="463" t="s">
        <v>548</v>
      </c>
      <c r="C6" s="462" t="s">
        <v>550</v>
      </c>
      <c r="D6" s="461">
        <v>40800</v>
      </c>
      <c r="E6" s="464">
        <v>45529</v>
      </c>
      <c r="I6" s="546"/>
    </row>
    <row r="7" spans="2:9">
      <c r="B7" s="463" t="s">
        <v>548</v>
      </c>
      <c r="C7" s="462" t="s">
        <v>551</v>
      </c>
      <c r="D7" s="461">
        <v>14500</v>
      </c>
      <c r="E7" s="464">
        <v>45527</v>
      </c>
      <c r="I7" s="546"/>
    </row>
    <row r="8" spans="2:9">
      <c r="B8" s="463" t="s">
        <v>548</v>
      </c>
      <c r="C8" s="462" t="s">
        <v>549</v>
      </c>
      <c r="D8" s="461">
        <v>4500</v>
      </c>
      <c r="E8" s="464">
        <v>45647</v>
      </c>
      <c r="I8" s="546"/>
    </row>
    <row r="9" spans="2:9">
      <c r="B9" s="463" t="s">
        <v>548</v>
      </c>
      <c r="C9" s="462" t="s">
        <v>549</v>
      </c>
      <c r="D9" s="461">
        <v>1880</v>
      </c>
      <c r="E9" s="464">
        <v>45586</v>
      </c>
      <c r="I9" s="546"/>
    </row>
    <row r="10" spans="2:9">
      <c r="B10" s="463" t="s">
        <v>548</v>
      </c>
      <c r="C10" s="462" t="s">
        <v>551</v>
      </c>
      <c r="D10" s="461">
        <v>14740</v>
      </c>
      <c r="E10" s="464">
        <v>45599</v>
      </c>
      <c r="I10" s="546"/>
    </row>
    <row r="11" spans="2:9">
      <c r="B11" s="463" t="s">
        <v>548</v>
      </c>
      <c r="C11" s="462" t="s">
        <v>549</v>
      </c>
      <c r="D11" s="461">
        <v>600</v>
      </c>
      <c r="E11" s="464">
        <v>45563</v>
      </c>
      <c r="I11" s="546"/>
    </row>
    <row r="12" spans="2:9">
      <c r="B12" s="463" t="s">
        <v>548</v>
      </c>
      <c r="C12" s="462" t="s">
        <v>549</v>
      </c>
      <c r="D12" s="461">
        <v>9260</v>
      </c>
      <c r="E12" s="464">
        <v>45588</v>
      </c>
      <c r="I12" s="546"/>
    </row>
    <row r="13" spans="2:9">
      <c r="B13" s="463" t="s">
        <v>548</v>
      </c>
      <c r="C13" s="462" t="s">
        <v>551</v>
      </c>
      <c r="D13" s="461">
        <v>18520</v>
      </c>
      <c r="E13" s="464">
        <v>45587</v>
      </c>
      <c r="I13" s="546"/>
    </row>
    <row r="14" spans="2:9">
      <c r="B14" s="463" t="s">
        <v>548</v>
      </c>
      <c r="C14" s="462" t="s">
        <v>551</v>
      </c>
      <c r="D14" s="461">
        <v>14820</v>
      </c>
      <c r="E14" s="464">
        <v>45587</v>
      </c>
      <c r="I14" s="546"/>
    </row>
    <row r="15" spans="2:9">
      <c r="B15" s="463" t="s">
        <v>548</v>
      </c>
      <c r="C15" s="462" t="s">
        <v>551</v>
      </c>
      <c r="D15" s="461">
        <v>14780</v>
      </c>
      <c r="E15" s="464">
        <v>45586</v>
      </c>
      <c r="I15" s="546"/>
    </row>
    <row r="16" spans="2:9">
      <c r="B16" s="463" t="s">
        <v>548</v>
      </c>
      <c r="C16" s="462" t="s">
        <v>550</v>
      </c>
      <c r="D16" s="461">
        <v>37400</v>
      </c>
      <c r="E16" s="464">
        <v>45602</v>
      </c>
      <c r="I16" s="546"/>
    </row>
    <row r="17" spans="2:9">
      <c r="B17" s="463" t="s">
        <v>548</v>
      </c>
      <c r="C17" s="462" t="s">
        <v>551</v>
      </c>
      <c r="D17" s="461">
        <v>14700</v>
      </c>
      <c r="E17" s="464">
        <v>45602</v>
      </c>
      <c r="I17" s="546"/>
    </row>
    <row r="18" spans="2:9">
      <c r="B18" s="463" t="s">
        <v>548</v>
      </c>
      <c r="C18" s="462" t="s">
        <v>551</v>
      </c>
      <c r="D18" s="461">
        <v>15480</v>
      </c>
      <c r="E18" s="460">
        <v>45630</v>
      </c>
      <c r="I18" s="546"/>
    </row>
  </sheetData>
  <dataValidations count="1">
    <dataValidation type="list" allowBlank="1" showErrorMessage="1" sqref="C3:C18" xr:uid="{19F571BE-4BB0-4E30-B32B-D7721CC5F165}">
      <formula1>"Every month,Every Quarter,Every Year"</formula1>
    </dataValidation>
  </dataValidations>
  <pageMargins left="0.7" right="0.7" top="0.75" bottom="0.75" header="0.3" footer="0.3"/>
  <customProperties>
    <customPr name="sourceTemplate" r:id="rId1"/>
  </customProperties>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BF959-81E8-7640-8A79-07A0F804C98A}">
  <dimension ref="A1:AG1226"/>
  <sheetViews>
    <sheetView zoomScale="140" zoomScaleNormal="140" workbookViewId="0">
      <selection activeCell="A10" sqref="A10"/>
    </sheetView>
  </sheetViews>
  <sheetFormatPr defaultColWidth="11.42578125" defaultRowHeight="15"/>
  <cols>
    <col min="1" max="1" width="38.28515625" bestFit="1" customWidth="1"/>
    <col min="4" max="4" width="16" bestFit="1" customWidth="1"/>
    <col min="5" max="6" width="0" hidden="1" customWidth="1"/>
    <col min="8" max="8" width="30.42578125" bestFit="1" customWidth="1"/>
    <col min="24" max="27" width="11.7109375" customWidth="1"/>
    <col min="32" max="32" width="19.140625" bestFit="1" customWidth="1"/>
    <col min="33" max="33" width="12" bestFit="1" customWidth="1"/>
  </cols>
  <sheetData>
    <row r="1" spans="1:33">
      <c r="A1" t="s">
        <v>106</v>
      </c>
      <c r="B1" t="s">
        <v>552</v>
      </c>
      <c r="C1" t="s">
        <v>553</v>
      </c>
      <c r="D1" t="s">
        <v>554</v>
      </c>
      <c r="E1" t="s">
        <v>164</v>
      </c>
      <c r="F1" t="s">
        <v>555</v>
      </c>
      <c r="H1" t="s">
        <v>106</v>
      </c>
      <c r="I1" t="s">
        <v>552</v>
      </c>
      <c r="J1" t="s">
        <v>553</v>
      </c>
      <c r="K1" t="s">
        <v>554</v>
      </c>
      <c r="L1" t="s">
        <v>164</v>
      </c>
      <c r="M1" t="s">
        <v>555</v>
      </c>
      <c r="O1" t="s">
        <v>552</v>
      </c>
      <c r="P1" t="s">
        <v>556</v>
      </c>
      <c r="Q1" t="s">
        <v>557</v>
      </c>
      <c r="R1" t="s">
        <v>558</v>
      </c>
      <c r="S1" t="s">
        <v>559</v>
      </c>
      <c r="T1" t="s">
        <v>560</v>
      </c>
      <c r="U1" t="s">
        <v>561</v>
      </c>
      <c r="V1" t="s">
        <v>349</v>
      </c>
      <c r="W1" t="s">
        <v>562</v>
      </c>
      <c r="X1" t="s">
        <v>563</v>
      </c>
      <c r="Y1" t="s">
        <v>348</v>
      </c>
      <c r="Z1" t="s">
        <v>564</v>
      </c>
      <c r="AA1" t="s">
        <v>119</v>
      </c>
      <c r="AC1" t="s">
        <v>552</v>
      </c>
      <c r="AD1" t="s">
        <v>565</v>
      </c>
      <c r="AF1" s="10" t="s">
        <v>566</v>
      </c>
      <c r="AG1" s="10" t="s">
        <v>175</v>
      </c>
    </row>
    <row r="2" spans="1:33">
      <c r="A2" t="s">
        <v>219</v>
      </c>
      <c r="B2">
        <v>199</v>
      </c>
      <c r="C2" s="2">
        <v>44957</v>
      </c>
      <c r="D2">
        <v>10000</v>
      </c>
      <c r="F2" s="1" t="s">
        <v>567</v>
      </c>
      <c r="H2" t="s">
        <v>275</v>
      </c>
      <c r="I2">
        <v>1150040000</v>
      </c>
      <c r="J2" s="2">
        <v>44957</v>
      </c>
      <c r="K2">
        <v>912877</v>
      </c>
      <c r="M2" s="1" t="s">
        <v>567</v>
      </c>
      <c r="O2">
        <v>4</v>
      </c>
      <c r="P2" t="s">
        <v>148</v>
      </c>
      <c r="Q2" t="b">
        <v>0</v>
      </c>
      <c r="S2" t="s">
        <v>322</v>
      </c>
      <c r="T2" t="s">
        <v>322</v>
      </c>
      <c r="U2" t="s">
        <v>568</v>
      </c>
      <c r="Y2" t="s">
        <v>146</v>
      </c>
      <c r="Z2">
        <v>10</v>
      </c>
      <c r="AA2" t="s">
        <v>148</v>
      </c>
    </row>
    <row r="3" spans="1:33">
      <c r="A3" t="s">
        <v>219</v>
      </c>
      <c r="B3">
        <v>199</v>
      </c>
      <c r="C3" s="2">
        <v>44985</v>
      </c>
      <c r="D3">
        <v>11000</v>
      </c>
      <c r="F3" s="1" t="s">
        <v>567</v>
      </c>
      <c r="H3" t="s">
        <v>275</v>
      </c>
      <c r="I3">
        <v>1150040000</v>
      </c>
      <c r="J3" s="2">
        <v>44985</v>
      </c>
      <c r="K3">
        <v>872266.5</v>
      </c>
      <c r="M3" s="1" t="s">
        <v>567</v>
      </c>
      <c r="O3">
        <v>5</v>
      </c>
      <c r="P3" t="s">
        <v>221</v>
      </c>
      <c r="Q3" t="b">
        <v>0</v>
      </c>
      <c r="S3" t="s">
        <v>98</v>
      </c>
      <c r="T3" t="s">
        <v>218</v>
      </c>
      <c r="U3" t="s">
        <v>569</v>
      </c>
      <c r="Y3" t="s">
        <v>98</v>
      </c>
      <c r="Z3">
        <v>0</v>
      </c>
      <c r="AA3" t="s">
        <v>98</v>
      </c>
    </row>
    <row r="4" spans="1:33">
      <c r="A4" t="s">
        <v>219</v>
      </c>
      <c r="B4">
        <v>199</v>
      </c>
      <c r="C4" s="2">
        <v>45016</v>
      </c>
      <c r="D4">
        <v>12100</v>
      </c>
      <c r="F4" s="1" t="s">
        <v>567</v>
      </c>
      <c r="H4" t="s">
        <v>275</v>
      </c>
      <c r="I4">
        <v>1150040000</v>
      </c>
      <c r="J4" s="2">
        <v>45016</v>
      </c>
      <c r="K4">
        <v>822468.5</v>
      </c>
      <c r="M4" s="1" t="s">
        <v>567</v>
      </c>
      <c r="O4">
        <v>7</v>
      </c>
      <c r="P4" t="s">
        <v>302</v>
      </c>
      <c r="Q4" t="b">
        <v>0</v>
      </c>
      <c r="S4" t="s">
        <v>570</v>
      </c>
      <c r="T4" t="s">
        <v>142</v>
      </c>
      <c r="U4" t="s">
        <v>571</v>
      </c>
      <c r="V4" t="s">
        <v>171</v>
      </c>
      <c r="W4" t="s">
        <v>338</v>
      </c>
      <c r="X4">
        <v>1</v>
      </c>
      <c r="Y4" t="s">
        <v>141</v>
      </c>
      <c r="Z4">
        <v>8</v>
      </c>
      <c r="AA4" t="s">
        <v>142</v>
      </c>
    </row>
    <row r="5" spans="1:33">
      <c r="A5" t="s">
        <v>219</v>
      </c>
      <c r="B5">
        <v>199</v>
      </c>
      <c r="C5" s="2">
        <v>45046</v>
      </c>
      <c r="D5">
        <v>13310</v>
      </c>
      <c r="F5" s="1" t="s">
        <v>567</v>
      </c>
      <c r="H5" t="s">
        <v>275</v>
      </c>
      <c r="I5">
        <v>1150040000</v>
      </c>
      <c r="J5" s="2">
        <v>45046</v>
      </c>
      <c r="K5">
        <v>740459</v>
      </c>
      <c r="M5" s="1" t="s">
        <v>567</v>
      </c>
      <c r="O5">
        <v>8</v>
      </c>
      <c r="P5" t="s">
        <v>572</v>
      </c>
      <c r="Q5" t="b">
        <v>0</v>
      </c>
      <c r="S5" t="s">
        <v>440</v>
      </c>
      <c r="T5" t="s">
        <v>136</v>
      </c>
      <c r="U5" t="s">
        <v>573</v>
      </c>
      <c r="V5" t="s">
        <v>171</v>
      </c>
      <c r="W5" t="s">
        <v>336</v>
      </c>
      <c r="X5">
        <v>-1</v>
      </c>
      <c r="Y5" t="s">
        <v>135</v>
      </c>
      <c r="Z5">
        <v>6</v>
      </c>
      <c r="AA5" t="s">
        <v>136</v>
      </c>
    </row>
    <row r="6" spans="1:33">
      <c r="A6" t="s">
        <v>219</v>
      </c>
      <c r="B6">
        <v>199</v>
      </c>
      <c r="C6" s="2">
        <v>45077</v>
      </c>
      <c r="D6">
        <v>14641</v>
      </c>
      <c r="F6" s="1" t="s">
        <v>567</v>
      </c>
      <c r="H6" t="s">
        <v>275</v>
      </c>
      <c r="I6">
        <v>1150040000</v>
      </c>
      <c r="J6" s="2">
        <v>45077</v>
      </c>
      <c r="K6">
        <v>698801.5</v>
      </c>
      <c r="M6" s="1" t="s">
        <v>567</v>
      </c>
      <c r="O6">
        <v>14</v>
      </c>
      <c r="P6" t="s">
        <v>467</v>
      </c>
      <c r="Q6" t="b">
        <v>0</v>
      </c>
      <c r="S6" t="s">
        <v>574</v>
      </c>
      <c r="T6" t="s">
        <v>575</v>
      </c>
      <c r="U6" t="s">
        <v>576</v>
      </c>
      <c r="Y6" t="s">
        <v>131</v>
      </c>
      <c r="Z6">
        <v>4</v>
      </c>
      <c r="AA6" t="s">
        <v>132</v>
      </c>
    </row>
    <row r="7" spans="1:33">
      <c r="A7" t="s">
        <v>219</v>
      </c>
      <c r="B7">
        <v>199</v>
      </c>
      <c r="C7" s="2">
        <v>45107</v>
      </c>
      <c r="D7">
        <v>16105</v>
      </c>
      <c r="F7" s="1" t="s">
        <v>567</v>
      </c>
      <c r="H7" t="s">
        <v>275</v>
      </c>
      <c r="I7">
        <v>1150040000</v>
      </c>
      <c r="J7" s="2">
        <v>45107</v>
      </c>
      <c r="K7">
        <v>2139776.5</v>
      </c>
      <c r="M7" s="1" t="s">
        <v>567</v>
      </c>
      <c r="O7">
        <v>24</v>
      </c>
      <c r="P7" t="s">
        <v>227</v>
      </c>
      <c r="Q7" t="b">
        <v>0</v>
      </c>
      <c r="S7" t="s">
        <v>574</v>
      </c>
      <c r="T7" t="s">
        <v>224</v>
      </c>
      <c r="U7" t="s">
        <v>577</v>
      </c>
      <c r="Y7" t="s">
        <v>80</v>
      </c>
      <c r="Z7">
        <v>1</v>
      </c>
      <c r="AA7" t="s">
        <v>80</v>
      </c>
    </row>
    <row r="8" spans="1:33">
      <c r="A8" t="s">
        <v>219</v>
      </c>
      <c r="B8">
        <v>199</v>
      </c>
      <c r="C8" s="2">
        <v>45138</v>
      </c>
      <c r="D8">
        <v>17716</v>
      </c>
      <c r="F8" s="1" t="s">
        <v>567</v>
      </c>
      <c r="H8" t="s">
        <v>275</v>
      </c>
      <c r="I8">
        <v>1150040000</v>
      </c>
      <c r="J8" s="2">
        <v>45138</v>
      </c>
      <c r="K8">
        <v>2100546</v>
      </c>
      <c r="M8" s="1" t="s">
        <v>567</v>
      </c>
      <c r="O8">
        <v>42</v>
      </c>
      <c r="P8" t="s">
        <v>285</v>
      </c>
      <c r="Q8" t="b">
        <v>0</v>
      </c>
      <c r="S8" t="s">
        <v>440</v>
      </c>
      <c r="T8" t="s">
        <v>578</v>
      </c>
      <c r="U8" t="s">
        <v>463</v>
      </c>
      <c r="V8" t="s">
        <v>171</v>
      </c>
      <c r="W8" t="s">
        <v>336</v>
      </c>
      <c r="X8">
        <v>-1</v>
      </c>
      <c r="Y8" t="s">
        <v>135</v>
      </c>
      <c r="Z8">
        <v>6</v>
      </c>
      <c r="AA8" t="s">
        <v>138</v>
      </c>
    </row>
    <row r="9" spans="1:33">
      <c r="A9" t="s">
        <v>219</v>
      </c>
      <c r="B9">
        <v>199</v>
      </c>
      <c r="C9" s="2">
        <v>45169</v>
      </c>
      <c r="D9">
        <v>19487</v>
      </c>
      <c r="F9" s="1" t="s">
        <v>567</v>
      </c>
      <c r="H9" t="s">
        <v>275</v>
      </c>
      <c r="I9">
        <v>1150040000</v>
      </c>
      <c r="J9" s="2">
        <v>45169</v>
      </c>
      <c r="K9">
        <v>2050413.5</v>
      </c>
      <c r="M9" s="1" t="s">
        <v>567</v>
      </c>
      <c r="O9">
        <v>59</v>
      </c>
      <c r="P9" t="s">
        <v>327</v>
      </c>
      <c r="Q9" t="b">
        <v>0</v>
      </c>
      <c r="S9" t="s">
        <v>322</v>
      </c>
      <c r="T9" t="s">
        <v>322</v>
      </c>
      <c r="U9" t="s">
        <v>579</v>
      </c>
      <c r="V9" t="s">
        <v>152</v>
      </c>
      <c r="X9">
        <v>1</v>
      </c>
      <c r="Y9" t="s">
        <v>146</v>
      </c>
      <c r="Z9">
        <v>10</v>
      </c>
      <c r="AA9" t="s">
        <v>148</v>
      </c>
    </row>
    <row r="10" spans="1:33">
      <c r="A10" t="s">
        <v>219</v>
      </c>
      <c r="B10">
        <v>199</v>
      </c>
      <c r="C10" s="2">
        <v>45199</v>
      </c>
      <c r="D10">
        <v>21436</v>
      </c>
      <c r="F10" s="1" t="s">
        <v>567</v>
      </c>
      <c r="H10" t="s">
        <v>275</v>
      </c>
      <c r="I10">
        <v>1150040000</v>
      </c>
      <c r="J10" s="2">
        <v>45199</v>
      </c>
      <c r="K10">
        <v>2007838.5</v>
      </c>
      <c r="M10" s="1" t="s">
        <v>567</v>
      </c>
      <c r="O10">
        <v>60</v>
      </c>
      <c r="P10" t="s">
        <v>294</v>
      </c>
      <c r="Q10" t="b">
        <v>0</v>
      </c>
      <c r="S10" t="s">
        <v>440</v>
      </c>
      <c r="T10" t="s">
        <v>580</v>
      </c>
      <c r="U10" t="s">
        <v>581</v>
      </c>
      <c r="V10" t="s">
        <v>151</v>
      </c>
      <c r="X10">
        <v>-1</v>
      </c>
      <c r="Y10" t="s">
        <v>135</v>
      </c>
      <c r="Z10">
        <v>7</v>
      </c>
      <c r="AA10" t="s">
        <v>139</v>
      </c>
    </row>
    <row r="11" spans="1:33">
      <c r="A11" t="s">
        <v>219</v>
      </c>
      <c r="B11">
        <v>199</v>
      </c>
      <c r="C11" s="2">
        <v>45230</v>
      </c>
      <c r="D11">
        <v>23579</v>
      </c>
      <c r="F11" s="1" t="s">
        <v>567</v>
      </c>
      <c r="H11" t="s">
        <v>275</v>
      </c>
      <c r="I11">
        <v>1150040000</v>
      </c>
      <c r="J11" s="2">
        <v>45230</v>
      </c>
      <c r="K11">
        <v>2963592.5</v>
      </c>
      <c r="M11" s="1" t="s">
        <v>567</v>
      </c>
      <c r="O11">
        <v>63</v>
      </c>
      <c r="P11" t="s">
        <v>310</v>
      </c>
      <c r="Q11" t="b">
        <v>0</v>
      </c>
      <c r="S11" t="s">
        <v>570</v>
      </c>
      <c r="T11" t="s">
        <v>582</v>
      </c>
      <c r="U11" t="s">
        <v>583</v>
      </c>
      <c r="V11" t="s">
        <v>171</v>
      </c>
      <c r="W11" t="s">
        <v>338</v>
      </c>
      <c r="X11">
        <v>1</v>
      </c>
      <c r="Y11" t="s">
        <v>141</v>
      </c>
      <c r="Z11">
        <v>8</v>
      </c>
      <c r="AA11" t="s">
        <v>143</v>
      </c>
    </row>
    <row r="12" spans="1:33">
      <c r="A12" t="s">
        <v>219</v>
      </c>
      <c r="B12">
        <v>199</v>
      </c>
      <c r="C12" s="2">
        <v>45260</v>
      </c>
      <c r="D12">
        <v>46149</v>
      </c>
      <c r="F12" s="1" t="s">
        <v>567</v>
      </c>
      <c r="H12" t="s">
        <v>275</v>
      </c>
      <c r="I12">
        <v>1150040000</v>
      </c>
      <c r="J12" s="2">
        <v>45260</v>
      </c>
      <c r="K12">
        <v>3396134.5</v>
      </c>
      <c r="M12" s="1" t="s">
        <v>567</v>
      </c>
      <c r="O12">
        <v>73</v>
      </c>
      <c r="P12" t="s">
        <v>220</v>
      </c>
      <c r="Q12" t="b">
        <v>0</v>
      </c>
      <c r="S12" t="s">
        <v>98</v>
      </c>
      <c r="T12" t="s">
        <v>218</v>
      </c>
      <c r="U12" t="s">
        <v>584</v>
      </c>
      <c r="Y12" t="s">
        <v>98</v>
      </c>
      <c r="Z12">
        <v>0</v>
      </c>
      <c r="AA12" t="s">
        <v>98</v>
      </c>
    </row>
    <row r="13" spans="1:33">
      <c r="A13" t="s">
        <v>219</v>
      </c>
      <c r="B13">
        <v>199</v>
      </c>
      <c r="C13" s="2">
        <v>45291</v>
      </c>
      <c r="D13">
        <v>40000</v>
      </c>
      <c r="F13" s="1" t="s">
        <v>567</v>
      </c>
      <c r="H13" t="s">
        <v>275</v>
      </c>
      <c r="I13">
        <v>1150040000</v>
      </c>
      <c r="J13" s="2">
        <v>45291</v>
      </c>
      <c r="K13">
        <v>4285000.5</v>
      </c>
      <c r="M13" s="1" t="s">
        <v>567</v>
      </c>
      <c r="O13">
        <v>150</v>
      </c>
      <c r="P13" t="s">
        <v>585</v>
      </c>
      <c r="Q13" t="b">
        <v>0</v>
      </c>
      <c r="S13" t="s">
        <v>440</v>
      </c>
      <c r="T13" t="s">
        <v>578</v>
      </c>
      <c r="U13" t="s">
        <v>586</v>
      </c>
      <c r="V13" t="s">
        <v>171</v>
      </c>
      <c r="W13" t="s">
        <v>336</v>
      </c>
      <c r="X13">
        <v>-1</v>
      </c>
      <c r="Y13" t="s">
        <v>135</v>
      </c>
      <c r="Z13">
        <v>6</v>
      </c>
      <c r="AA13" t="s">
        <v>138</v>
      </c>
    </row>
    <row r="14" spans="1:33">
      <c r="A14" t="s">
        <v>219</v>
      </c>
      <c r="B14">
        <v>199</v>
      </c>
      <c r="C14" s="2">
        <v>45322</v>
      </c>
      <c r="D14">
        <v>48456.5</v>
      </c>
      <c r="F14" s="1" t="s">
        <v>567</v>
      </c>
      <c r="H14" t="s">
        <v>275</v>
      </c>
      <c r="I14">
        <v>1150040000</v>
      </c>
      <c r="J14" s="2">
        <v>45322</v>
      </c>
      <c r="K14">
        <v>4191288.5</v>
      </c>
      <c r="M14" s="1" t="s">
        <v>567</v>
      </c>
      <c r="O14">
        <v>151</v>
      </c>
      <c r="P14" t="s">
        <v>587</v>
      </c>
      <c r="Q14" t="b">
        <v>0</v>
      </c>
      <c r="S14" t="s">
        <v>440</v>
      </c>
      <c r="T14" t="s">
        <v>578</v>
      </c>
      <c r="U14" t="s">
        <v>586</v>
      </c>
      <c r="V14" t="s">
        <v>171</v>
      </c>
      <c r="W14" t="s">
        <v>336</v>
      </c>
      <c r="X14">
        <v>-1</v>
      </c>
      <c r="Y14" t="s">
        <v>135</v>
      </c>
      <c r="Z14">
        <v>6</v>
      </c>
      <c r="AA14" t="s">
        <v>281</v>
      </c>
    </row>
    <row r="15" spans="1:33">
      <c r="A15" t="s">
        <v>219</v>
      </c>
      <c r="B15">
        <v>199</v>
      </c>
      <c r="C15" s="2">
        <v>45351</v>
      </c>
      <c r="D15">
        <v>42000</v>
      </c>
      <c r="F15" s="1" t="s">
        <v>567</v>
      </c>
      <c r="H15" t="s">
        <v>275</v>
      </c>
      <c r="I15">
        <v>1150040000</v>
      </c>
      <c r="J15" s="2">
        <v>45351</v>
      </c>
      <c r="K15">
        <v>4076334.5</v>
      </c>
      <c r="M15" s="1" t="s">
        <v>567</v>
      </c>
      <c r="O15">
        <v>152</v>
      </c>
      <c r="P15" t="s">
        <v>452</v>
      </c>
      <c r="Q15" t="b">
        <v>0</v>
      </c>
      <c r="S15" t="s">
        <v>440</v>
      </c>
      <c r="T15" t="s">
        <v>580</v>
      </c>
      <c r="U15" t="s">
        <v>588</v>
      </c>
      <c r="V15" t="s">
        <v>151</v>
      </c>
      <c r="X15">
        <v>-1</v>
      </c>
      <c r="Y15" t="s">
        <v>135</v>
      </c>
      <c r="Z15">
        <v>7</v>
      </c>
      <c r="AA15" t="s">
        <v>139</v>
      </c>
    </row>
    <row r="16" spans="1:33">
      <c r="A16" t="s">
        <v>219</v>
      </c>
      <c r="B16">
        <v>199</v>
      </c>
      <c r="C16" s="2">
        <v>45382</v>
      </c>
      <c r="D16">
        <v>50879.5</v>
      </c>
      <c r="F16" s="1" t="s">
        <v>567</v>
      </c>
      <c r="H16" t="s">
        <v>275</v>
      </c>
      <c r="I16">
        <v>1150040000</v>
      </c>
      <c r="J16" s="2">
        <v>45382</v>
      </c>
      <c r="K16">
        <v>4004840.5</v>
      </c>
      <c r="M16" s="1" t="s">
        <v>567</v>
      </c>
      <c r="O16">
        <v>153</v>
      </c>
      <c r="P16" t="s">
        <v>453</v>
      </c>
      <c r="Q16" t="b">
        <v>0</v>
      </c>
      <c r="S16" t="s">
        <v>440</v>
      </c>
      <c r="T16" t="s">
        <v>580</v>
      </c>
      <c r="U16" t="s">
        <v>588</v>
      </c>
      <c r="V16" t="s">
        <v>151</v>
      </c>
      <c r="X16">
        <v>-1</v>
      </c>
      <c r="Y16" t="s">
        <v>135</v>
      </c>
      <c r="Z16">
        <v>7</v>
      </c>
      <c r="AA16" t="s">
        <v>139</v>
      </c>
    </row>
    <row r="17" spans="1:27">
      <c r="A17" t="s">
        <v>219</v>
      </c>
      <c r="B17">
        <v>199</v>
      </c>
      <c r="C17" s="2">
        <v>45412</v>
      </c>
      <c r="D17">
        <v>44100</v>
      </c>
      <c r="F17" s="1" t="s">
        <v>567</v>
      </c>
      <c r="H17" t="s">
        <v>275</v>
      </c>
      <c r="I17">
        <v>1150040000</v>
      </c>
      <c r="J17" s="2">
        <v>45412</v>
      </c>
      <c r="K17">
        <v>3870793.5</v>
      </c>
      <c r="M17" s="1" t="s">
        <v>567</v>
      </c>
      <c r="O17">
        <v>154</v>
      </c>
      <c r="P17" t="s">
        <v>454</v>
      </c>
      <c r="Q17" t="b">
        <v>0</v>
      </c>
      <c r="S17" t="s">
        <v>440</v>
      </c>
      <c r="T17" t="s">
        <v>580</v>
      </c>
      <c r="U17" t="s">
        <v>588</v>
      </c>
      <c r="V17" t="s">
        <v>151</v>
      </c>
      <c r="X17">
        <v>-1</v>
      </c>
      <c r="Y17" t="s">
        <v>135</v>
      </c>
      <c r="Z17">
        <v>7</v>
      </c>
      <c r="AA17" t="s">
        <v>139</v>
      </c>
    </row>
    <row r="18" spans="1:27">
      <c r="A18" t="s">
        <v>219</v>
      </c>
      <c r="B18">
        <v>199</v>
      </c>
      <c r="C18" s="2">
        <v>45443</v>
      </c>
      <c r="D18">
        <v>53424</v>
      </c>
      <c r="F18" s="1" t="s">
        <v>567</v>
      </c>
      <c r="H18" t="s">
        <v>275</v>
      </c>
      <c r="I18">
        <v>1150040000</v>
      </c>
      <c r="J18" s="2">
        <v>45443</v>
      </c>
      <c r="K18">
        <v>3794994.5</v>
      </c>
      <c r="M18" s="1" t="s">
        <v>567</v>
      </c>
      <c r="O18">
        <v>155</v>
      </c>
      <c r="P18" t="s">
        <v>142</v>
      </c>
      <c r="Q18" t="b">
        <v>0</v>
      </c>
      <c r="S18" t="s">
        <v>570</v>
      </c>
      <c r="T18" t="s">
        <v>142</v>
      </c>
      <c r="U18" t="s">
        <v>571</v>
      </c>
      <c r="V18" t="s">
        <v>171</v>
      </c>
      <c r="W18" t="s">
        <v>338</v>
      </c>
      <c r="X18">
        <v>1</v>
      </c>
      <c r="Y18" t="s">
        <v>141</v>
      </c>
      <c r="Z18">
        <v>8</v>
      </c>
      <c r="AA18" t="s">
        <v>142</v>
      </c>
    </row>
    <row r="19" spans="1:27">
      <c r="A19" t="s">
        <v>219</v>
      </c>
      <c r="B19">
        <v>199</v>
      </c>
      <c r="C19" s="2">
        <v>45473</v>
      </c>
      <c r="D19">
        <v>46305</v>
      </c>
      <c r="F19" s="1" t="s">
        <v>567</v>
      </c>
      <c r="H19" t="s">
        <v>275</v>
      </c>
      <c r="I19">
        <v>1150040000</v>
      </c>
      <c r="J19" s="2">
        <v>45473</v>
      </c>
      <c r="K19">
        <v>3656851.5</v>
      </c>
      <c r="M19" s="1" t="s">
        <v>567</v>
      </c>
      <c r="O19">
        <v>156</v>
      </c>
      <c r="P19" t="s">
        <v>589</v>
      </c>
      <c r="Q19" t="b">
        <v>0</v>
      </c>
      <c r="S19" t="s">
        <v>570</v>
      </c>
      <c r="T19" t="s">
        <v>582</v>
      </c>
      <c r="U19" t="s">
        <v>590</v>
      </c>
      <c r="V19" t="s">
        <v>171</v>
      </c>
      <c r="W19" t="s">
        <v>338</v>
      </c>
      <c r="X19">
        <v>1</v>
      </c>
      <c r="Y19" t="s">
        <v>141</v>
      </c>
      <c r="Z19">
        <v>8</v>
      </c>
      <c r="AA19" t="s">
        <v>143</v>
      </c>
    </row>
    <row r="20" spans="1:27">
      <c r="A20" t="s">
        <v>219</v>
      </c>
      <c r="B20">
        <v>199</v>
      </c>
      <c r="C20" s="2">
        <v>45504</v>
      </c>
      <c r="D20">
        <v>48620</v>
      </c>
      <c r="F20" s="1" t="s">
        <v>567</v>
      </c>
      <c r="H20" t="s">
        <v>275</v>
      </c>
      <c r="I20">
        <v>1150040000</v>
      </c>
      <c r="J20" s="2">
        <v>45504</v>
      </c>
      <c r="K20">
        <v>3512188.5</v>
      </c>
      <c r="M20" s="1" t="s">
        <v>567</v>
      </c>
      <c r="O20">
        <v>157</v>
      </c>
      <c r="P20" t="s">
        <v>591</v>
      </c>
      <c r="Q20" t="b">
        <v>0</v>
      </c>
      <c r="S20" t="s">
        <v>570</v>
      </c>
      <c r="T20" t="s">
        <v>582</v>
      </c>
      <c r="U20" t="s">
        <v>590</v>
      </c>
      <c r="V20" t="s">
        <v>171</v>
      </c>
      <c r="W20" t="s">
        <v>338</v>
      </c>
      <c r="X20">
        <v>1</v>
      </c>
      <c r="Y20" t="s">
        <v>141</v>
      </c>
      <c r="Z20">
        <v>8</v>
      </c>
      <c r="AA20" t="s">
        <v>143</v>
      </c>
    </row>
    <row r="21" spans="1:27">
      <c r="A21" t="s">
        <v>219</v>
      </c>
      <c r="B21">
        <v>199</v>
      </c>
      <c r="C21" s="2">
        <v>45535</v>
      </c>
      <c r="D21">
        <v>48620</v>
      </c>
      <c r="F21" s="1" t="s">
        <v>567</v>
      </c>
      <c r="H21" t="s">
        <v>275</v>
      </c>
      <c r="I21">
        <v>1150040000</v>
      </c>
      <c r="J21" s="2">
        <v>45535</v>
      </c>
      <c r="K21">
        <v>3367871.5</v>
      </c>
      <c r="M21" s="1" t="s">
        <v>567</v>
      </c>
      <c r="O21">
        <v>158</v>
      </c>
      <c r="P21" t="s">
        <v>145</v>
      </c>
      <c r="Q21" t="b">
        <v>0</v>
      </c>
      <c r="S21" t="s">
        <v>570</v>
      </c>
      <c r="T21" t="s">
        <v>582</v>
      </c>
      <c r="U21" t="s">
        <v>590</v>
      </c>
      <c r="V21" t="s">
        <v>171</v>
      </c>
      <c r="W21" t="s">
        <v>338</v>
      </c>
      <c r="X21">
        <v>1</v>
      </c>
      <c r="Y21" t="s">
        <v>141</v>
      </c>
      <c r="Z21">
        <v>8</v>
      </c>
      <c r="AA21" t="s">
        <v>145</v>
      </c>
    </row>
    <row r="22" spans="1:27">
      <c r="A22" t="s">
        <v>219</v>
      </c>
      <c r="B22">
        <v>199</v>
      </c>
      <c r="C22" s="2">
        <v>45565</v>
      </c>
      <c r="D22">
        <v>51051</v>
      </c>
      <c r="F22" s="1" t="s">
        <v>567</v>
      </c>
      <c r="H22" t="s">
        <v>275</v>
      </c>
      <c r="I22">
        <v>1150040000</v>
      </c>
      <c r="J22" s="2">
        <v>45565</v>
      </c>
      <c r="K22">
        <v>3217220.5</v>
      </c>
      <c r="M22" s="1" t="s">
        <v>567</v>
      </c>
      <c r="O22">
        <v>159</v>
      </c>
      <c r="P22" t="s">
        <v>592</v>
      </c>
      <c r="Q22" t="b">
        <v>0</v>
      </c>
      <c r="S22" t="s">
        <v>570</v>
      </c>
      <c r="T22" t="s">
        <v>582</v>
      </c>
      <c r="U22" t="s">
        <v>590</v>
      </c>
      <c r="V22" t="s">
        <v>171</v>
      </c>
      <c r="W22" t="s">
        <v>338</v>
      </c>
      <c r="X22">
        <v>1</v>
      </c>
      <c r="Y22" t="s">
        <v>141</v>
      </c>
      <c r="Z22">
        <v>8</v>
      </c>
      <c r="AA22" t="s">
        <v>143</v>
      </c>
    </row>
    <row r="23" spans="1:27">
      <c r="A23" t="s">
        <v>219</v>
      </c>
      <c r="B23">
        <v>199</v>
      </c>
      <c r="C23" s="2">
        <v>45596</v>
      </c>
      <c r="D23">
        <v>51051</v>
      </c>
      <c r="F23" s="1" t="s">
        <v>567</v>
      </c>
      <c r="H23" t="s">
        <v>275</v>
      </c>
      <c r="I23">
        <v>1150040000</v>
      </c>
      <c r="J23" s="2">
        <v>45596</v>
      </c>
      <c r="K23">
        <v>3066455.5</v>
      </c>
      <c r="M23" s="1" t="s">
        <v>567</v>
      </c>
      <c r="O23">
        <v>162</v>
      </c>
      <c r="P23" t="s">
        <v>593</v>
      </c>
      <c r="Q23" t="b">
        <v>0</v>
      </c>
      <c r="S23" t="s">
        <v>570</v>
      </c>
      <c r="T23" t="s">
        <v>594</v>
      </c>
      <c r="U23" t="s">
        <v>595</v>
      </c>
      <c r="V23" t="s">
        <v>152</v>
      </c>
      <c r="X23">
        <v>1</v>
      </c>
      <c r="Y23" t="s">
        <v>141</v>
      </c>
      <c r="Z23">
        <v>9</v>
      </c>
      <c r="AA23" t="s">
        <v>144</v>
      </c>
    </row>
    <row r="24" spans="1:27">
      <c r="A24" t="s">
        <v>219</v>
      </c>
      <c r="B24">
        <v>199</v>
      </c>
      <c r="C24" s="2">
        <v>45626</v>
      </c>
      <c r="D24">
        <v>53604</v>
      </c>
      <c r="F24" s="1" t="s">
        <v>567</v>
      </c>
      <c r="H24" t="s">
        <v>275</v>
      </c>
      <c r="I24">
        <v>1150040000</v>
      </c>
      <c r="J24" s="2">
        <v>45626</v>
      </c>
      <c r="K24">
        <v>2909186.5</v>
      </c>
      <c r="M24" s="1" t="s">
        <v>567</v>
      </c>
      <c r="O24">
        <v>163</v>
      </c>
      <c r="P24" t="s">
        <v>596</v>
      </c>
      <c r="Q24" t="b">
        <v>0</v>
      </c>
      <c r="S24" t="s">
        <v>570</v>
      </c>
      <c r="T24" t="s">
        <v>594</v>
      </c>
      <c r="U24" t="s">
        <v>595</v>
      </c>
      <c r="V24" t="s">
        <v>152</v>
      </c>
      <c r="X24">
        <v>1</v>
      </c>
      <c r="Y24" t="s">
        <v>141</v>
      </c>
      <c r="Z24">
        <v>9</v>
      </c>
      <c r="AA24" t="s">
        <v>144</v>
      </c>
    </row>
    <row r="25" spans="1:27">
      <c r="A25" t="s">
        <v>219</v>
      </c>
      <c r="B25">
        <v>199</v>
      </c>
      <c r="C25" s="2">
        <v>45657</v>
      </c>
      <c r="D25">
        <v>56284</v>
      </c>
      <c r="F25" s="1" t="s">
        <v>567</v>
      </c>
      <c r="H25" t="s">
        <v>275</v>
      </c>
      <c r="I25">
        <v>1150040000</v>
      </c>
      <c r="J25" s="2">
        <v>45657</v>
      </c>
      <c r="K25">
        <v>2744982.5</v>
      </c>
      <c r="M25" s="1" t="s">
        <v>567</v>
      </c>
      <c r="O25">
        <v>164</v>
      </c>
      <c r="P25" t="s">
        <v>597</v>
      </c>
      <c r="Q25" t="b">
        <v>0</v>
      </c>
      <c r="S25" t="s">
        <v>574</v>
      </c>
      <c r="T25" t="s">
        <v>224</v>
      </c>
      <c r="U25" t="s">
        <v>598</v>
      </c>
      <c r="Y25" t="s">
        <v>80</v>
      </c>
      <c r="Z25">
        <v>1</v>
      </c>
      <c r="AA25" t="s">
        <v>80</v>
      </c>
    </row>
    <row r="26" spans="1:27">
      <c r="A26" t="s">
        <v>219</v>
      </c>
      <c r="B26">
        <v>199</v>
      </c>
      <c r="C26" s="2">
        <v>45688</v>
      </c>
      <c r="D26">
        <v>59098.22</v>
      </c>
      <c r="F26" s="1" t="s">
        <v>567</v>
      </c>
      <c r="H26" t="s">
        <v>275</v>
      </c>
      <c r="I26">
        <v>1150040000</v>
      </c>
      <c r="J26" s="2">
        <v>45688</v>
      </c>
      <c r="K26">
        <v>2573511.48</v>
      </c>
      <c r="M26" s="1" t="s">
        <v>567</v>
      </c>
      <c r="O26">
        <v>165</v>
      </c>
      <c r="P26" t="s">
        <v>599</v>
      </c>
      <c r="Q26" t="b">
        <v>0</v>
      </c>
      <c r="S26" t="s">
        <v>574</v>
      </c>
      <c r="T26" t="s">
        <v>224</v>
      </c>
      <c r="U26" t="s">
        <v>598</v>
      </c>
      <c r="Y26" t="s">
        <v>80</v>
      </c>
      <c r="Z26">
        <v>1</v>
      </c>
      <c r="AA26" t="s">
        <v>80</v>
      </c>
    </row>
    <row r="27" spans="1:27">
      <c r="A27" t="s">
        <v>219</v>
      </c>
      <c r="B27">
        <v>199</v>
      </c>
      <c r="C27" s="2">
        <v>45716</v>
      </c>
      <c r="D27">
        <v>62053</v>
      </c>
      <c r="F27" s="1" t="s">
        <v>567</v>
      </c>
      <c r="H27" t="s">
        <v>275</v>
      </c>
      <c r="I27">
        <v>1150040000</v>
      </c>
      <c r="J27" s="2">
        <v>45716</v>
      </c>
      <c r="K27">
        <v>2394437.48</v>
      </c>
      <c r="M27" s="1" t="s">
        <v>567</v>
      </c>
      <c r="O27">
        <v>166</v>
      </c>
      <c r="P27" t="s">
        <v>600</v>
      </c>
      <c r="Q27" t="b">
        <v>0</v>
      </c>
      <c r="S27" t="s">
        <v>574</v>
      </c>
      <c r="T27" t="s">
        <v>574</v>
      </c>
      <c r="U27" t="s">
        <v>601</v>
      </c>
      <c r="Y27" t="s">
        <v>101</v>
      </c>
      <c r="Z27">
        <v>2</v>
      </c>
      <c r="AA27" t="s">
        <v>124</v>
      </c>
    </row>
    <row r="28" spans="1:27">
      <c r="A28" t="s">
        <v>219</v>
      </c>
      <c r="B28">
        <v>199</v>
      </c>
      <c r="C28" s="2">
        <v>45747</v>
      </c>
      <c r="D28">
        <v>65156</v>
      </c>
      <c r="F28" s="1" t="s">
        <v>567</v>
      </c>
      <c r="H28" t="s">
        <v>275</v>
      </c>
      <c r="I28">
        <v>1150040000</v>
      </c>
      <c r="J28" s="2">
        <v>45747</v>
      </c>
      <c r="K28">
        <v>2207358.48</v>
      </c>
      <c r="M28" s="1" t="s">
        <v>567</v>
      </c>
      <c r="O28">
        <v>167</v>
      </c>
      <c r="P28" t="s">
        <v>602</v>
      </c>
      <c r="Q28" t="b">
        <v>0</v>
      </c>
      <c r="S28" t="s">
        <v>574</v>
      </c>
      <c r="T28" t="s">
        <v>574</v>
      </c>
      <c r="U28" t="s">
        <v>601</v>
      </c>
      <c r="Y28" t="s">
        <v>101</v>
      </c>
      <c r="Z28">
        <v>2</v>
      </c>
      <c r="AA28" t="s">
        <v>123</v>
      </c>
    </row>
    <row r="29" spans="1:27">
      <c r="A29" t="s">
        <v>219</v>
      </c>
      <c r="B29">
        <v>199</v>
      </c>
      <c r="C29" s="2">
        <v>45777</v>
      </c>
      <c r="D29">
        <v>68414</v>
      </c>
      <c r="F29" s="1" t="s">
        <v>567</v>
      </c>
      <c r="H29" t="s">
        <v>275</v>
      </c>
      <c r="I29">
        <v>1150040000</v>
      </c>
      <c r="J29" s="2">
        <v>45777</v>
      </c>
      <c r="K29">
        <v>2011881.48</v>
      </c>
      <c r="M29" s="1" t="s">
        <v>567</v>
      </c>
      <c r="O29">
        <v>168</v>
      </c>
      <c r="P29" t="s">
        <v>603</v>
      </c>
      <c r="Q29" t="b">
        <v>0</v>
      </c>
      <c r="S29" t="s">
        <v>574</v>
      </c>
      <c r="T29" t="s">
        <v>574</v>
      </c>
      <c r="U29" t="s">
        <v>601</v>
      </c>
      <c r="Y29" t="s">
        <v>101</v>
      </c>
      <c r="Z29">
        <v>2</v>
      </c>
      <c r="AA29" t="s">
        <v>124</v>
      </c>
    </row>
    <row r="30" spans="1:27">
      <c r="A30" t="s">
        <v>219</v>
      </c>
      <c r="B30">
        <v>199</v>
      </c>
      <c r="C30" s="2">
        <v>45808</v>
      </c>
      <c r="D30">
        <v>71834</v>
      </c>
      <c r="F30" s="1" t="s">
        <v>567</v>
      </c>
      <c r="H30" t="s">
        <v>275</v>
      </c>
      <c r="I30">
        <v>1150040000</v>
      </c>
      <c r="J30" s="2">
        <v>45808</v>
      </c>
      <c r="K30">
        <v>1807588.48</v>
      </c>
      <c r="M30" s="1" t="s">
        <v>567</v>
      </c>
      <c r="O30">
        <v>170</v>
      </c>
      <c r="P30" t="s">
        <v>604</v>
      </c>
      <c r="Q30" t="b">
        <v>0</v>
      </c>
      <c r="S30" t="s">
        <v>574</v>
      </c>
      <c r="T30" t="s">
        <v>574</v>
      </c>
      <c r="U30" t="s">
        <v>601</v>
      </c>
      <c r="Y30" t="s">
        <v>101</v>
      </c>
      <c r="Z30">
        <v>2</v>
      </c>
      <c r="AA30" t="s">
        <v>124</v>
      </c>
    </row>
    <row r="31" spans="1:27">
      <c r="A31" t="s">
        <v>219</v>
      </c>
      <c r="B31">
        <v>199</v>
      </c>
      <c r="C31" s="2">
        <v>45838</v>
      </c>
      <c r="D31">
        <v>83825.97</v>
      </c>
      <c r="F31" s="1" t="s">
        <v>567</v>
      </c>
      <c r="H31" t="s">
        <v>275</v>
      </c>
      <c r="I31">
        <v>1150040000</v>
      </c>
      <c r="J31" s="2">
        <v>45838</v>
      </c>
      <c r="K31">
        <v>1594040.15</v>
      </c>
      <c r="M31" s="1" t="s">
        <v>567</v>
      </c>
      <c r="O31">
        <v>171</v>
      </c>
      <c r="P31" t="s">
        <v>605</v>
      </c>
      <c r="Q31" t="b">
        <v>0</v>
      </c>
      <c r="S31" t="s">
        <v>574</v>
      </c>
      <c r="T31" t="s">
        <v>574</v>
      </c>
      <c r="U31" t="s">
        <v>601</v>
      </c>
      <c r="Y31" t="s">
        <v>101</v>
      </c>
      <c r="Z31">
        <v>2</v>
      </c>
      <c r="AA31" t="s">
        <v>124</v>
      </c>
    </row>
    <row r="32" spans="1:27">
      <c r="A32" t="s">
        <v>219</v>
      </c>
      <c r="B32">
        <v>199</v>
      </c>
      <c r="C32" s="2">
        <v>45869</v>
      </c>
      <c r="D32">
        <v>81697.259999999995</v>
      </c>
      <c r="F32" s="1" t="s">
        <v>567</v>
      </c>
      <c r="H32" t="s">
        <v>275</v>
      </c>
      <c r="I32">
        <v>1150040000</v>
      </c>
      <c r="J32" s="2">
        <v>45869</v>
      </c>
      <c r="K32">
        <v>1370773.78</v>
      </c>
      <c r="M32" s="1" t="s">
        <v>567</v>
      </c>
      <c r="O32">
        <v>172</v>
      </c>
      <c r="P32" t="s">
        <v>126</v>
      </c>
      <c r="Q32" t="b">
        <v>0</v>
      </c>
      <c r="S32" t="s">
        <v>574</v>
      </c>
      <c r="T32" t="s">
        <v>574</v>
      </c>
      <c r="U32" t="s">
        <v>601</v>
      </c>
      <c r="Y32" t="s">
        <v>101</v>
      </c>
      <c r="Z32">
        <v>2</v>
      </c>
      <c r="AA32" t="s">
        <v>126</v>
      </c>
    </row>
    <row r="33" spans="1:27">
      <c r="A33" t="s">
        <v>219</v>
      </c>
      <c r="B33">
        <v>199</v>
      </c>
      <c r="C33" s="2">
        <v>45900</v>
      </c>
      <c r="D33">
        <v>83157.13</v>
      </c>
      <c r="F33" s="1" t="s">
        <v>567</v>
      </c>
      <c r="H33" t="s">
        <v>275</v>
      </c>
      <c r="I33">
        <v>1150040000</v>
      </c>
      <c r="J33" s="2">
        <v>45900</v>
      </c>
      <c r="K33">
        <v>1137304.6599999999</v>
      </c>
      <c r="M33" s="1" t="s">
        <v>567</v>
      </c>
      <c r="O33">
        <v>173</v>
      </c>
      <c r="P33" t="s">
        <v>606</v>
      </c>
      <c r="Q33" t="b">
        <v>1</v>
      </c>
      <c r="R33">
        <v>172</v>
      </c>
      <c r="S33" t="s">
        <v>574</v>
      </c>
      <c r="T33" t="s">
        <v>574</v>
      </c>
      <c r="U33" t="s">
        <v>601</v>
      </c>
      <c r="Y33" t="s">
        <v>101</v>
      </c>
      <c r="Z33">
        <v>2</v>
      </c>
      <c r="AA33" t="s">
        <v>126</v>
      </c>
    </row>
    <row r="34" spans="1:27">
      <c r="A34" t="s">
        <v>219</v>
      </c>
      <c r="B34">
        <v>199</v>
      </c>
      <c r="C34" s="2">
        <v>45930</v>
      </c>
      <c r="D34">
        <v>87314.98</v>
      </c>
      <c r="F34" s="1" t="s">
        <v>567</v>
      </c>
      <c r="H34" t="s">
        <v>275</v>
      </c>
      <c r="I34">
        <v>1150040000</v>
      </c>
      <c r="J34" s="2">
        <v>45930</v>
      </c>
      <c r="K34">
        <v>893122.77</v>
      </c>
      <c r="M34" s="1" t="s">
        <v>567</v>
      </c>
      <c r="O34">
        <v>174</v>
      </c>
      <c r="P34" t="s">
        <v>607</v>
      </c>
      <c r="Q34" t="b">
        <v>1</v>
      </c>
      <c r="R34">
        <v>172</v>
      </c>
      <c r="S34" t="s">
        <v>574</v>
      </c>
      <c r="T34" t="s">
        <v>574</v>
      </c>
      <c r="U34" t="s">
        <v>601</v>
      </c>
      <c r="Y34" t="s">
        <v>101</v>
      </c>
      <c r="Z34">
        <v>2</v>
      </c>
      <c r="AA34" t="s">
        <v>123</v>
      </c>
    </row>
    <row r="35" spans="1:27">
      <c r="A35" t="s">
        <v>219</v>
      </c>
      <c r="B35">
        <v>199</v>
      </c>
      <c r="C35" s="2">
        <v>45961</v>
      </c>
      <c r="D35">
        <v>91680.73</v>
      </c>
      <c r="F35" s="1" t="s">
        <v>567</v>
      </c>
      <c r="H35" t="s">
        <v>275</v>
      </c>
      <c r="I35">
        <v>1150040000</v>
      </c>
      <c r="J35" s="2">
        <v>45961</v>
      </c>
      <c r="K35">
        <v>637693.89</v>
      </c>
      <c r="M35" s="1" t="s">
        <v>567</v>
      </c>
      <c r="O35">
        <v>175</v>
      </c>
      <c r="P35" t="s">
        <v>608</v>
      </c>
      <c r="Q35" t="b">
        <v>1</v>
      </c>
      <c r="R35">
        <v>172</v>
      </c>
      <c r="S35" t="s">
        <v>574</v>
      </c>
      <c r="T35" t="s">
        <v>574</v>
      </c>
      <c r="U35" t="s">
        <v>601</v>
      </c>
      <c r="Y35" t="s">
        <v>101</v>
      </c>
      <c r="Z35">
        <v>2</v>
      </c>
      <c r="AA35" t="s">
        <v>126</v>
      </c>
    </row>
    <row r="36" spans="1:27">
      <c r="A36" t="s">
        <v>219</v>
      </c>
      <c r="B36">
        <v>199</v>
      </c>
      <c r="C36" s="2">
        <v>45991</v>
      </c>
      <c r="D36">
        <v>96264.77</v>
      </c>
      <c r="F36" s="1" t="s">
        <v>567</v>
      </c>
      <c r="H36" t="s">
        <v>275</v>
      </c>
      <c r="I36">
        <v>1150040000</v>
      </c>
      <c r="J36" s="2">
        <v>45991</v>
      </c>
      <c r="K36">
        <v>370456.63</v>
      </c>
      <c r="M36" s="1" t="s">
        <v>567</v>
      </c>
      <c r="O36">
        <v>176</v>
      </c>
      <c r="P36" t="s">
        <v>609</v>
      </c>
      <c r="Q36" t="b">
        <v>0</v>
      </c>
      <c r="S36" t="s">
        <v>574</v>
      </c>
      <c r="T36" t="s">
        <v>574</v>
      </c>
      <c r="U36" t="s">
        <v>601</v>
      </c>
      <c r="Y36" t="s">
        <v>101</v>
      </c>
      <c r="Z36">
        <v>2</v>
      </c>
      <c r="AA36" t="s">
        <v>126</v>
      </c>
    </row>
    <row r="37" spans="1:27">
      <c r="A37" t="s">
        <v>220</v>
      </c>
      <c r="B37">
        <v>73</v>
      </c>
      <c r="C37" s="2">
        <v>45838</v>
      </c>
      <c r="D37">
        <v>300</v>
      </c>
      <c r="F37" s="1" t="s">
        <v>567</v>
      </c>
      <c r="H37" t="s">
        <v>276</v>
      </c>
      <c r="I37" t="s">
        <v>277</v>
      </c>
      <c r="J37" s="2">
        <v>44957</v>
      </c>
      <c r="K37">
        <v>912877</v>
      </c>
      <c r="M37" s="1" t="s">
        <v>567</v>
      </c>
      <c r="O37">
        <v>177</v>
      </c>
      <c r="P37" t="s">
        <v>610</v>
      </c>
      <c r="Q37" t="b">
        <v>0</v>
      </c>
      <c r="S37" t="s">
        <v>574</v>
      </c>
      <c r="T37" t="s">
        <v>574</v>
      </c>
      <c r="U37" t="s">
        <v>601</v>
      </c>
      <c r="Y37" t="s">
        <v>101</v>
      </c>
      <c r="Z37">
        <v>2</v>
      </c>
      <c r="AA37" t="s">
        <v>123</v>
      </c>
    </row>
    <row r="38" spans="1:27">
      <c r="A38" t="s">
        <v>221</v>
      </c>
      <c r="B38">
        <v>5</v>
      </c>
      <c r="C38" s="2">
        <v>45869</v>
      </c>
      <c r="D38">
        <v>4000</v>
      </c>
      <c r="F38" s="1" t="s">
        <v>567</v>
      </c>
      <c r="H38" t="s">
        <v>276</v>
      </c>
      <c r="I38" t="s">
        <v>277</v>
      </c>
      <c r="J38" s="2">
        <v>44985</v>
      </c>
      <c r="K38">
        <v>872266.5</v>
      </c>
      <c r="M38" s="1" t="s">
        <v>567</v>
      </c>
      <c r="O38">
        <v>178</v>
      </c>
      <c r="P38" t="s">
        <v>611</v>
      </c>
      <c r="Q38" t="b">
        <v>0</v>
      </c>
      <c r="S38" t="s">
        <v>574</v>
      </c>
      <c r="T38" t="s">
        <v>574</v>
      </c>
      <c r="U38" t="s">
        <v>601</v>
      </c>
      <c r="Y38" t="s">
        <v>101</v>
      </c>
      <c r="Z38">
        <v>2</v>
      </c>
      <c r="AA38" t="s">
        <v>125</v>
      </c>
    </row>
    <row r="39" spans="1:27">
      <c r="A39" t="s">
        <v>221</v>
      </c>
      <c r="B39">
        <v>5</v>
      </c>
      <c r="C39" s="2">
        <v>45930</v>
      </c>
      <c r="D39">
        <v>18000</v>
      </c>
      <c r="F39" s="1" t="s">
        <v>567</v>
      </c>
      <c r="H39" t="s">
        <v>276</v>
      </c>
      <c r="I39" t="s">
        <v>277</v>
      </c>
      <c r="J39" s="2">
        <v>45016</v>
      </c>
      <c r="K39">
        <v>822468.5</v>
      </c>
      <c r="M39" s="1" t="s">
        <v>567</v>
      </c>
      <c r="O39">
        <v>179</v>
      </c>
      <c r="P39" t="s">
        <v>193</v>
      </c>
      <c r="Q39" t="b">
        <v>0</v>
      </c>
      <c r="S39" t="s">
        <v>574</v>
      </c>
      <c r="T39" t="s">
        <v>574</v>
      </c>
      <c r="U39" t="s">
        <v>601</v>
      </c>
      <c r="Y39" t="s">
        <v>101</v>
      </c>
      <c r="Z39">
        <v>2</v>
      </c>
      <c r="AA39" t="s">
        <v>125</v>
      </c>
    </row>
    <row r="40" spans="1:27">
      <c r="A40" t="s">
        <v>221</v>
      </c>
      <c r="B40">
        <v>5</v>
      </c>
      <c r="C40" s="2">
        <v>45961</v>
      </c>
      <c r="D40">
        <v>10000</v>
      </c>
      <c r="F40" s="1" t="s">
        <v>567</v>
      </c>
      <c r="H40" t="s">
        <v>276</v>
      </c>
      <c r="I40" t="s">
        <v>277</v>
      </c>
      <c r="J40" s="2">
        <v>45046</v>
      </c>
      <c r="K40">
        <v>740459</v>
      </c>
      <c r="M40" s="1" t="s">
        <v>567</v>
      </c>
      <c r="O40">
        <v>180</v>
      </c>
      <c r="P40" t="s">
        <v>612</v>
      </c>
      <c r="Q40" t="b">
        <v>0</v>
      </c>
      <c r="S40" t="s">
        <v>574</v>
      </c>
      <c r="T40" t="s">
        <v>574</v>
      </c>
      <c r="U40" t="s">
        <v>601</v>
      </c>
      <c r="Y40" t="s">
        <v>101</v>
      </c>
      <c r="Z40">
        <v>2</v>
      </c>
      <c r="AA40" t="s">
        <v>125</v>
      </c>
    </row>
    <row r="41" spans="1:27">
      <c r="A41" t="s">
        <v>221</v>
      </c>
      <c r="B41">
        <v>5</v>
      </c>
      <c r="C41" s="2">
        <v>45991</v>
      </c>
      <c r="D41">
        <v>15500</v>
      </c>
      <c r="F41" s="1" t="s">
        <v>567</v>
      </c>
      <c r="H41" t="s">
        <v>276</v>
      </c>
      <c r="I41" t="s">
        <v>277</v>
      </c>
      <c r="J41" s="2">
        <v>45077</v>
      </c>
      <c r="K41">
        <v>698801.5</v>
      </c>
      <c r="M41" s="1" t="s">
        <v>567</v>
      </c>
      <c r="O41">
        <v>181</v>
      </c>
      <c r="P41" t="s">
        <v>613</v>
      </c>
      <c r="Q41" t="b">
        <v>0</v>
      </c>
      <c r="S41" t="s">
        <v>574</v>
      </c>
      <c r="T41" t="s">
        <v>574</v>
      </c>
      <c r="U41" t="s">
        <v>601</v>
      </c>
      <c r="Y41" t="s">
        <v>101</v>
      </c>
      <c r="Z41">
        <v>2</v>
      </c>
      <c r="AA41" t="s">
        <v>125</v>
      </c>
    </row>
    <row r="42" spans="1:27">
      <c r="A42" t="s">
        <v>222</v>
      </c>
      <c r="B42" t="s">
        <v>223</v>
      </c>
      <c r="C42" s="2">
        <v>44957</v>
      </c>
      <c r="D42">
        <v>10000</v>
      </c>
      <c r="F42" s="1" t="s">
        <v>567</v>
      </c>
      <c r="H42" t="s">
        <v>276</v>
      </c>
      <c r="I42" t="s">
        <v>277</v>
      </c>
      <c r="J42" s="2">
        <v>45107</v>
      </c>
      <c r="K42">
        <v>2139776.5</v>
      </c>
      <c r="M42" s="1" t="s">
        <v>567</v>
      </c>
      <c r="O42">
        <v>182</v>
      </c>
      <c r="P42" t="s">
        <v>614</v>
      </c>
      <c r="Q42" t="b">
        <v>0</v>
      </c>
      <c r="S42" t="s">
        <v>574</v>
      </c>
      <c r="T42" t="s">
        <v>574</v>
      </c>
      <c r="U42" t="s">
        <v>601</v>
      </c>
      <c r="Y42" t="s">
        <v>101</v>
      </c>
      <c r="Z42">
        <v>2</v>
      </c>
      <c r="AA42" t="s">
        <v>212</v>
      </c>
    </row>
    <row r="43" spans="1:27">
      <c r="A43" t="s">
        <v>222</v>
      </c>
      <c r="B43" t="s">
        <v>223</v>
      </c>
      <c r="C43" s="2">
        <v>44985</v>
      </c>
      <c r="D43">
        <v>11000</v>
      </c>
      <c r="F43" s="1" t="s">
        <v>567</v>
      </c>
      <c r="H43" t="s">
        <v>276</v>
      </c>
      <c r="I43" t="s">
        <v>277</v>
      </c>
      <c r="J43" s="2">
        <v>45138</v>
      </c>
      <c r="K43">
        <v>2100546</v>
      </c>
      <c r="M43" s="1" t="s">
        <v>567</v>
      </c>
      <c r="O43">
        <v>183</v>
      </c>
      <c r="P43" t="s">
        <v>615</v>
      </c>
      <c r="Q43" t="b">
        <v>0</v>
      </c>
      <c r="S43" t="s">
        <v>574</v>
      </c>
      <c r="T43" t="s">
        <v>574</v>
      </c>
      <c r="U43" t="s">
        <v>601</v>
      </c>
      <c r="Y43" t="s">
        <v>101</v>
      </c>
      <c r="Z43">
        <v>2</v>
      </c>
      <c r="AA43" t="s">
        <v>124</v>
      </c>
    </row>
    <row r="44" spans="1:27">
      <c r="A44" t="s">
        <v>222</v>
      </c>
      <c r="B44" t="s">
        <v>223</v>
      </c>
      <c r="C44" s="2">
        <v>45016</v>
      </c>
      <c r="D44">
        <v>12100</v>
      </c>
      <c r="F44" s="1" t="s">
        <v>567</v>
      </c>
      <c r="H44" t="s">
        <v>276</v>
      </c>
      <c r="I44" t="s">
        <v>277</v>
      </c>
      <c r="J44" s="2">
        <v>45169</v>
      </c>
      <c r="K44">
        <v>2050413.5</v>
      </c>
      <c r="M44" s="1" t="s">
        <v>567</v>
      </c>
      <c r="O44">
        <v>184</v>
      </c>
      <c r="P44" t="s">
        <v>215</v>
      </c>
      <c r="Q44" t="b">
        <v>0</v>
      </c>
      <c r="S44" t="s">
        <v>574</v>
      </c>
      <c r="T44" t="s">
        <v>574</v>
      </c>
      <c r="U44" t="s">
        <v>601</v>
      </c>
      <c r="Y44" t="s">
        <v>101</v>
      </c>
      <c r="Z44">
        <v>2</v>
      </c>
      <c r="AA44" t="s">
        <v>127</v>
      </c>
    </row>
    <row r="45" spans="1:27">
      <c r="A45" t="s">
        <v>222</v>
      </c>
      <c r="B45" t="s">
        <v>223</v>
      </c>
      <c r="C45" s="2">
        <v>45046</v>
      </c>
      <c r="D45">
        <v>13310</v>
      </c>
      <c r="F45" s="1" t="s">
        <v>567</v>
      </c>
      <c r="H45" t="s">
        <v>276</v>
      </c>
      <c r="I45" t="s">
        <v>277</v>
      </c>
      <c r="J45" s="2">
        <v>45199</v>
      </c>
      <c r="K45">
        <v>2007838.5</v>
      </c>
      <c r="M45" s="1" t="s">
        <v>567</v>
      </c>
      <c r="O45">
        <v>185</v>
      </c>
      <c r="P45" t="s">
        <v>616</v>
      </c>
      <c r="Q45" t="b">
        <v>1</v>
      </c>
      <c r="R45">
        <v>184</v>
      </c>
      <c r="S45" t="s">
        <v>574</v>
      </c>
      <c r="T45" t="s">
        <v>574</v>
      </c>
      <c r="U45" t="s">
        <v>601</v>
      </c>
      <c r="Y45" t="s">
        <v>101</v>
      </c>
      <c r="Z45">
        <v>2</v>
      </c>
      <c r="AA45" t="s">
        <v>127</v>
      </c>
    </row>
    <row r="46" spans="1:27">
      <c r="A46" t="s">
        <v>222</v>
      </c>
      <c r="B46" t="s">
        <v>223</v>
      </c>
      <c r="C46" s="2">
        <v>45077</v>
      </c>
      <c r="D46">
        <v>14641</v>
      </c>
      <c r="F46" s="1" t="s">
        <v>567</v>
      </c>
      <c r="H46" t="s">
        <v>276</v>
      </c>
      <c r="I46" t="s">
        <v>277</v>
      </c>
      <c r="J46" s="2">
        <v>45230</v>
      </c>
      <c r="K46">
        <v>2963592.5</v>
      </c>
      <c r="M46" s="1" t="s">
        <v>567</v>
      </c>
      <c r="O46">
        <v>186</v>
      </c>
      <c r="P46" t="s">
        <v>617</v>
      </c>
      <c r="Q46" t="b">
        <v>1</v>
      </c>
      <c r="R46">
        <v>184</v>
      </c>
      <c r="S46" t="s">
        <v>574</v>
      </c>
      <c r="T46" t="s">
        <v>574</v>
      </c>
      <c r="U46" t="s">
        <v>601</v>
      </c>
      <c r="Y46" t="s">
        <v>101</v>
      </c>
      <c r="Z46">
        <v>2</v>
      </c>
      <c r="AA46" t="s">
        <v>127</v>
      </c>
    </row>
    <row r="47" spans="1:27">
      <c r="A47" t="s">
        <v>222</v>
      </c>
      <c r="B47" t="s">
        <v>223</v>
      </c>
      <c r="C47" s="2">
        <v>45107</v>
      </c>
      <c r="D47">
        <v>16105</v>
      </c>
      <c r="F47" s="1" t="s">
        <v>567</v>
      </c>
      <c r="H47" t="s">
        <v>276</v>
      </c>
      <c r="I47" t="s">
        <v>277</v>
      </c>
      <c r="J47" s="2">
        <v>45260</v>
      </c>
      <c r="K47">
        <v>3396134.5</v>
      </c>
      <c r="M47" s="1" t="s">
        <v>567</v>
      </c>
      <c r="O47">
        <v>189</v>
      </c>
      <c r="P47" t="s">
        <v>618</v>
      </c>
      <c r="Q47" t="b">
        <v>0</v>
      </c>
      <c r="S47" t="s">
        <v>98</v>
      </c>
      <c r="T47" t="s">
        <v>130</v>
      </c>
      <c r="U47" t="s">
        <v>619</v>
      </c>
      <c r="Y47" t="s">
        <v>130</v>
      </c>
      <c r="Z47">
        <v>3</v>
      </c>
      <c r="AA47" t="s">
        <v>130</v>
      </c>
    </row>
    <row r="48" spans="1:27">
      <c r="A48" t="s">
        <v>222</v>
      </c>
      <c r="B48" t="s">
        <v>223</v>
      </c>
      <c r="C48" s="2">
        <v>45138</v>
      </c>
      <c r="D48">
        <v>17716</v>
      </c>
      <c r="F48" s="1" t="s">
        <v>567</v>
      </c>
      <c r="H48" t="s">
        <v>276</v>
      </c>
      <c r="I48" t="s">
        <v>277</v>
      </c>
      <c r="J48" s="2">
        <v>45291</v>
      </c>
      <c r="K48">
        <v>4285000.5</v>
      </c>
      <c r="M48" s="1" t="s">
        <v>567</v>
      </c>
      <c r="O48">
        <v>190</v>
      </c>
      <c r="P48" t="s">
        <v>130</v>
      </c>
      <c r="Q48" t="b">
        <v>0</v>
      </c>
      <c r="S48" t="s">
        <v>98</v>
      </c>
      <c r="T48" t="s">
        <v>130</v>
      </c>
      <c r="U48" t="s">
        <v>619</v>
      </c>
      <c r="Y48" t="s">
        <v>130</v>
      </c>
      <c r="Z48">
        <v>3</v>
      </c>
      <c r="AA48" t="s">
        <v>130</v>
      </c>
    </row>
    <row r="49" spans="1:27">
      <c r="A49" t="s">
        <v>222</v>
      </c>
      <c r="B49" t="s">
        <v>223</v>
      </c>
      <c r="C49" s="2">
        <v>45169</v>
      </c>
      <c r="D49">
        <v>19487</v>
      </c>
      <c r="F49" s="1" t="s">
        <v>567</v>
      </c>
      <c r="H49" t="s">
        <v>276</v>
      </c>
      <c r="I49" t="s">
        <v>277</v>
      </c>
      <c r="J49" s="2">
        <v>45322</v>
      </c>
      <c r="K49">
        <v>4191288.5</v>
      </c>
      <c r="M49" s="1" t="s">
        <v>567</v>
      </c>
      <c r="O49">
        <v>191</v>
      </c>
      <c r="P49" t="s">
        <v>455</v>
      </c>
      <c r="Q49" t="b">
        <v>0</v>
      </c>
      <c r="S49" t="s">
        <v>574</v>
      </c>
      <c r="T49" t="s">
        <v>575</v>
      </c>
      <c r="U49" t="s">
        <v>620</v>
      </c>
      <c r="Y49" t="s">
        <v>131</v>
      </c>
      <c r="Z49">
        <v>4</v>
      </c>
      <c r="AA49" t="s">
        <v>131</v>
      </c>
    </row>
    <row r="50" spans="1:27">
      <c r="A50" t="s">
        <v>222</v>
      </c>
      <c r="B50" t="s">
        <v>223</v>
      </c>
      <c r="C50" s="2">
        <v>45199</v>
      </c>
      <c r="D50">
        <v>21436</v>
      </c>
      <c r="F50" s="1" t="s">
        <v>567</v>
      </c>
      <c r="H50" t="s">
        <v>276</v>
      </c>
      <c r="I50" t="s">
        <v>277</v>
      </c>
      <c r="J50" s="2">
        <v>45351</v>
      </c>
      <c r="K50">
        <v>4076334.5</v>
      </c>
      <c r="M50" s="1" t="s">
        <v>567</v>
      </c>
      <c r="O50">
        <v>192</v>
      </c>
      <c r="P50" t="s">
        <v>621</v>
      </c>
      <c r="Q50" t="b">
        <v>0</v>
      </c>
      <c r="S50" t="s">
        <v>574</v>
      </c>
      <c r="T50" t="s">
        <v>575</v>
      </c>
      <c r="U50" t="s">
        <v>622</v>
      </c>
      <c r="Y50" t="s">
        <v>131</v>
      </c>
      <c r="Z50">
        <v>4</v>
      </c>
      <c r="AA50" t="s">
        <v>131</v>
      </c>
    </row>
    <row r="51" spans="1:27">
      <c r="A51" t="s">
        <v>222</v>
      </c>
      <c r="B51" t="s">
        <v>223</v>
      </c>
      <c r="C51" s="2">
        <v>45230</v>
      </c>
      <c r="D51">
        <v>23579</v>
      </c>
      <c r="F51" s="1" t="s">
        <v>567</v>
      </c>
      <c r="H51" t="s">
        <v>276</v>
      </c>
      <c r="I51" t="s">
        <v>277</v>
      </c>
      <c r="J51" s="2">
        <v>45382</v>
      </c>
      <c r="K51">
        <v>4004840.5</v>
      </c>
      <c r="M51" s="1" t="s">
        <v>567</v>
      </c>
      <c r="O51">
        <v>193</v>
      </c>
      <c r="P51" t="s">
        <v>623</v>
      </c>
      <c r="Q51" t="b">
        <v>0</v>
      </c>
      <c r="S51" t="s">
        <v>440</v>
      </c>
      <c r="T51" t="s">
        <v>578</v>
      </c>
      <c r="U51" t="s">
        <v>586</v>
      </c>
      <c r="V51" t="s">
        <v>171</v>
      </c>
      <c r="W51" t="s">
        <v>336</v>
      </c>
      <c r="X51">
        <v>-1</v>
      </c>
      <c r="Y51" t="s">
        <v>135</v>
      </c>
      <c r="Z51">
        <v>6</v>
      </c>
      <c r="AA51" t="s">
        <v>138</v>
      </c>
    </row>
    <row r="52" spans="1:27">
      <c r="A52" t="s">
        <v>222</v>
      </c>
      <c r="B52" t="s">
        <v>223</v>
      </c>
      <c r="C52" s="2">
        <v>45260</v>
      </c>
      <c r="D52">
        <v>46149</v>
      </c>
      <c r="F52" s="1" t="s">
        <v>567</v>
      </c>
      <c r="H52" t="s">
        <v>276</v>
      </c>
      <c r="I52" t="s">
        <v>277</v>
      </c>
      <c r="J52" s="2">
        <v>45412</v>
      </c>
      <c r="K52">
        <v>3870793.5</v>
      </c>
      <c r="M52" s="1" t="s">
        <v>567</v>
      </c>
      <c r="O52">
        <v>194</v>
      </c>
      <c r="P52" t="s">
        <v>451</v>
      </c>
      <c r="Q52" t="b">
        <v>0</v>
      </c>
      <c r="S52" t="s">
        <v>440</v>
      </c>
      <c r="T52" t="s">
        <v>580</v>
      </c>
      <c r="U52" t="s">
        <v>624</v>
      </c>
      <c r="V52" t="s">
        <v>150</v>
      </c>
      <c r="W52" t="s">
        <v>336</v>
      </c>
      <c r="X52">
        <v>-1</v>
      </c>
      <c r="Y52" t="s">
        <v>135</v>
      </c>
      <c r="Z52">
        <v>7</v>
      </c>
      <c r="AA52" t="s">
        <v>139</v>
      </c>
    </row>
    <row r="53" spans="1:27">
      <c r="A53" t="s">
        <v>222</v>
      </c>
      <c r="B53" t="s">
        <v>223</v>
      </c>
      <c r="C53" s="2">
        <v>45291</v>
      </c>
      <c r="D53">
        <v>40000</v>
      </c>
      <c r="F53" s="1" t="s">
        <v>567</v>
      </c>
      <c r="H53" t="s">
        <v>276</v>
      </c>
      <c r="I53" t="s">
        <v>277</v>
      </c>
      <c r="J53" s="2">
        <v>45443</v>
      </c>
      <c r="K53">
        <v>3794994.5</v>
      </c>
      <c r="M53" s="1" t="s">
        <v>567</v>
      </c>
      <c r="O53">
        <v>195</v>
      </c>
      <c r="P53" t="s">
        <v>337</v>
      </c>
      <c r="Q53" t="b">
        <v>0</v>
      </c>
      <c r="S53" t="s">
        <v>440</v>
      </c>
      <c r="T53" t="s">
        <v>580</v>
      </c>
      <c r="U53" t="s">
        <v>625</v>
      </c>
      <c r="V53" t="s">
        <v>150</v>
      </c>
      <c r="W53" t="s">
        <v>336</v>
      </c>
      <c r="X53">
        <v>-1</v>
      </c>
      <c r="Y53" t="s">
        <v>135</v>
      </c>
      <c r="Z53">
        <v>7</v>
      </c>
      <c r="AA53" t="s">
        <v>140</v>
      </c>
    </row>
    <row r="54" spans="1:27">
      <c r="A54" t="s">
        <v>222</v>
      </c>
      <c r="B54" t="s">
        <v>223</v>
      </c>
      <c r="C54" s="2">
        <v>45322</v>
      </c>
      <c r="D54">
        <v>48456.5</v>
      </c>
      <c r="F54" s="1" t="s">
        <v>567</v>
      </c>
      <c r="H54" t="s">
        <v>276</v>
      </c>
      <c r="I54" t="s">
        <v>277</v>
      </c>
      <c r="J54" s="2">
        <v>45473</v>
      </c>
      <c r="K54">
        <v>3656851.5</v>
      </c>
      <c r="M54" s="1" t="s">
        <v>567</v>
      </c>
      <c r="O54">
        <v>196</v>
      </c>
      <c r="P54" t="s">
        <v>626</v>
      </c>
      <c r="Q54" t="b">
        <v>0</v>
      </c>
      <c r="S54" t="s">
        <v>322</v>
      </c>
      <c r="T54" t="s">
        <v>322</v>
      </c>
      <c r="U54" t="s">
        <v>627</v>
      </c>
      <c r="V54" t="s">
        <v>152</v>
      </c>
      <c r="X54">
        <v>1</v>
      </c>
      <c r="Y54" t="s">
        <v>146</v>
      </c>
      <c r="Z54">
        <v>10</v>
      </c>
      <c r="AA54" t="s">
        <v>147</v>
      </c>
    </row>
    <row r="55" spans="1:27">
      <c r="A55" t="s">
        <v>222</v>
      </c>
      <c r="B55" t="s">
        <v>223</v>
      </c>
      <c r="C55" s="2">
        <v>45351</v>
      </c>
      <c r="D55">
        <v>42000</v>
      </c>
      <c r="F55" s="1" t="s">
        <v>567</v>
      </c>
      <c r="H55" t="s">
        <v>276</v>
      </c>
      <c r="I55" t="s">
        <v>277</v>
      </c>
      <c r="J55" s="2">
        <v>45504</v>
      </c>
      <c r="K55">
        <v>3512188.5</v>
      </c>
      <c r="M55" s="1" t="s">
        <v>567</v>
      </c>
      <c r="O55">
        <v>197</v>
      </c>
      <c r="P55" t="s">
        <v>628</v>
      </c>
      <c r="Q55" t="b">
        <v>0</v>
      </c>
      <c r="S55" t="s">
        <v>322</v>
      </c>
      <c r="T55" t="s">
        <v>322</v>
      </c>
      <c r="U55" t="s">
        <v>629</v>
      </c>
      <c r="V55" t="s">
        <v>152</v>
      </c>
      <c r="X55">
        <v>1</v>
      </c>
      <c r="Y55" t="s">
        <v>146</v>
      </c>
      <c r="Z55">
        <v>10</v>
      </c>
      <c r="AA55" t="s">
        <v>147</v>
      </c>
    </row>
    <row r="56" spans="1:27">
      <c r="A56" t="s">
        <v>222</v>
      </c>
      <c r="B56" t="s">
        <v>223</v>
      </c>
      <c r="C56" s="2">
        <v>45382</v>
      </c>
      <c r="D56">
        <v>50879.5</v>
      </c>
      <c r="F56" s="1" t="s">
        <v>567</v>
      </c>
      <c r="H56" t="s">
        <v>276</v>
      </c>
      <c r="I56" t="s">
        <v>277</v>
      </c>
      <c r="J56" s="2">
        <v>45535</v>
      </c>
      <c r="K56">
        <v>3367871.5</v>
      </c>
      <c r="M56" s="1" t="s">
        <v>567</v>
      </c>
      <c r="O56">
        <v>198</v>
      </c>
      <c r="P56" t="s">
        <v>630</v>
      </c>
      <c r="Q56" t="b">
        <v>0</v>
      </c>
      <c r="S56" t="s">
        <v>322</v>
      </c>
      <c r="T56" t="s">
        <v>322</v>
      </c>
      <c r="U56" t="s">
        <v>631</v>
      </c>
      <c r="V56" t="s">
        <v>152</v>
      </c>
      <c r="X56">
        <v>1</v>
      </c>
      <c r="Y56" t="s">
        <v>146</v>
      </c>
      <c r="Z56">
        <v>10</v>
      </c>
      <c r="AA56" t="s">
        <v>147</v>
      </c>
    </row>
    <row r="57" spans="1:27">
      <c r="A57" t="s">
        <v>222</v>
      </c>
      <c r="B57" t="s">
        <v>223</v>
      </c>
      <c r="C57" s="2">
        <v>45412</v>
      </c>
      <c r="D57">
        <v>44100</v>
      </c>
      <c r="F57" s="1" t="s">
        <v>567</v>
      </c>
      <c r="H57" t="s">
        <v>276</v>
      </c>
      <c r="I57" t="s">
        <v>277</v>
      </c>
      <c r="J57" s="2">
        <v>45565</v>
      </c>
      <c r="K57">
        <v>3217220.5</v>
      </c>
      <c r="M57" s="1" t="s">
        <v>567</v>
      </c>
      <c r="O57">
        <v>199</v>
      </c>
      <c r="P57" t="s">
        <v>632</v>
      </c>
      <c r="Q57" t="b">
        <v>0</v>
      </c>
      <c r="S57" t="s">
        <v>98</v>
      </c>
      <c r="T57" t="s">
        <v>218</v>
      </c>
      <c r="U57" t="s">
        <v>584</v>
      </c>
      <c r="Y57" t="s">
        <v>98</v>
      </c>
      <c r="Z57">
        <v>0</v>
      </c>
      <c r="AA57" t="s">
        <v>98</v>
      </c>
    </row>
    <row r="58" spans="1:27">
      <c r="A58" t="s">
        <v>222</v>
      </c>
      <c r="B58" t="s">
        <v>223</v>
      </c>
      <c r="C58" s="2">
        <v>45443</v>
      </c>
      <c r="D58">
        <v>53424</v>
      </c>
      <c r="F58" s="1" t="s">
        <v>567</v>
      </c>
      <c r="H58" t="s">
        <v>276</v>
      </c>
      <c r="I58" t="s">
        <v>277</v>
      </c>
      <c r="J58" s="2">
        <v>45596</v>
      </c>
      <c r="K58">
        <v>3066455.5</v>
      </c>
      <c r="M58" s="1" t="s">
        <v>567</v>
      </c>
      <c r="O58">
        <v>200</v>
      </c>
      <c r="P58" t="s">
        <v>211</v>
      </c>
      <c r="Q58" t="b">
        <v>0</v>
      </c>
      <c r="S58" t="s">
        <v>574</v>
      </c>
      <c r="T58" t="s">
        <v>574</v>
      </c>
      <c r="U58" t="s">
        <v>601</v>
      </c>
      <c r="Y58" t="s">
        <v>101</v>
      </c>
      <c r="Z58">
        <v>2</v>
      </c>
      <c r="AA58" t="s">
        <v>123</v>
      </c>
    </row>
    <row r="59" spans="1:27">
      <c r="A59" t="s">
        <v>222</v>
      </c>
      <c r="B59" t="s">
        <v>223</v>
      </c>
      <c r="C59" s="2">
        <v>45473</v>
      </c>
      <c r="D59">
        <v>46305</v>
      </c>
      <c r="F59" s="1" t="s">
        <v>567</v>
      </c>
      <c r="H59" t="s">
        <v>276</v>
      </c>
      <c r="I59" t="s">
        <v>277</v>
      </c>
      <c r="J59" s="2">
        <v>45626</v>
      </c>
      <c r="K59">
        <v>2909186.5</v>
      </c>
      <c r="M59" s="1" t="s">
        <v>567</v>
      </c>
      <c r="O59">
        <v>201</v>
      </c>
      <c r="P59" t="s">
        <v>633</v>
      </c>
      <c r="Q59" t="b">
        <v>0</v>
      </c>
      <c r="S59" t="s">
        <v>574</v>
      </c>
      <c r="T59" t="s">
        <v>574</v>
      </c>
      <c r="U59" t="s">
        <v>601</v>
      </c>
      <c r="Y59" t="s">
        <v>101</v>
      </c>
      <c r="Z59">
        <v>2</v>
      </c>
      <c r="AA59" t="s">
        <v>124</v>
      </c>
    </row>
    <row r="60" spans="1:27">
      <c r="A60" t="s">
        <v>222</v>
      </c>
      <c r="B60" t="s">
        <v>223</v>
      </c>
      <c r="C60" s="2">
        <v>45504</v>
      </c>
      <c r="D60">
        <v>48620</v>
      </c>
      <c r="F60" s="1" t="s">
        <v>567</v>
      </c>
      <c r="H60" t="s">
        <v>276</v>
      </c>
      <c r="I60" t="s">
        <v>277</v>
      </c>
      <c r="J60" s="2">
        <v>45657</v>
      </c>
      <c r="K60">
        <v>2744982.5</v>
      </c>
      <c r="M60" s="1" t="s">
        <v>567</v>
      </c>
      <c r="O60">
        <v>203</v>
      </c>
      <c r="P60" t="s">
        <v>634</v>
      </c>
      <c r="Q60" t="b">
        <v>0</v>
      </c>
      <c r="S60" t="s">
        <v>574</v>
      </c>
      <c r="T60" t="s">
        <v>574</v>
      </c>
      <c r="U60" t="s">
        <v>601</v>
      </c>
      <c r="Y60" t="s">
        <v>101</v>
      </c>
      <c r="Z60">
        <v>2</v>
      </c>
      <c r="AA60" t="s">
        <v>124</v>
      </c>
    </row>
    <row r="61" spans="1:27">
      <c r="A61" t="s">
        <v>222</v>
      </c>
      <c r="B61" t="s">
        <v>223</v>
      </c>
      <c r="C61" s="2">
        <v>45535</v>
      </c>
      <c r="D61">
        <v>48620</v>
      </c>
      <c r="F61" s="1" t="s">
        <v>567</v>
      </c>
      <c r="H61" t="s">
        <v>276</v>
      </c>
      <c r="I61" t="s">
        <v>277</v>
      </c>
      <c r="J61" s="2">
        <v>45688</v>
      </c>
      <c r="K61">
        <v>2573511.48</v>
      </c>
      <c r="M61" s="1" t="s">
        <v>567</v>
      </c>
      <c r="O61">
        <v>205</v>
      </c>
      <c r="P61" t="s">
        <v>635</v>
      </c>
      <c r="Q61" t="b">
        <v>1</v>
      </c>
      <c r="R61">
        <v>184</v>
      </c>
      <c r="S61" t="s">
        <v>574</v>
      </c>
      <c r="T61" t="s">
        <v>574</v>
      </c>
      <c r="U61" t="s">
        <v>601</v>
      </c>
      <c r="Y61" t="s">
        <v>101</v>
      </c>
      <c r="Z61">
        <v>2</v>
      </c>
      <c r="AA61" t="s">
        <v>127</v>
      </c>
    </row>
    <row r="62" spans="1:27">
      <c r="A62" t="s">
        <v>222</v>
      </c>
      <c r="B62" t="s">
        <v>223</v>
      </c>
      <c r="C62" s="2">
        <v>45565</v>
      </c>
      <c r="D62">
        <v>51051</v>
      </c>
      <c r="F62" s="1" t="s">
        <v>567</v>
      </c>
      <c r="H62" t="s">
        <v>276</v>
      </c>
      <c r="I62" t="s">
        <v>277</v>
      </c>
      <c r="J62" s="2">
        <v>45716</v>
      </c>
      <c r="K62">
        <v>2394437.48</v>
      </c>
      <c r="M62" s="1" t="s">
        <v>567</v>
      </c>
      <c r="O62">
        <v>206</v>
      </c>
      <c r="P62" t="s">
        <v>260</v>
      </c>
      <c r="Q62" t="b">
        <v>0</v>
      </c>
      <c r="S62" t="s">
        <v>574</v>
      </c>
      <c r="T62" t="s">
        <v>574</v>
      </c>
      <c r="U62" t="s">
        <v>636</v>
      </c>
      <c r="Y62" t="s">
        <v>101</v>
      </c>
      <c r="Z62">
        <v>2</v>
      </c>
      <c r="AA62" t="s">
        <v>124</v>
      </c>
    </row>
    <row r="63" spans="1:27">
      <c r="A63" t="s">
        <v>222</v>
      </c>
      <c r="B63" t="s">
        <v>223</v>
      </c>
      <c r="C63" s="2">
        <v>45596</v>
      </c>
      <c r="D63">
        <v>51051</v>
      </c>
      <c r="F63" s="1" t="s">
        <v>567</v>
      </c>
      <c r="H63" t="s">
        <v>276</v>
      </c>
      <c r="I63" t="s">
        <v>277</v>
      </c>
      <c r="J63" s="2">
        <v>45747</v>
      </c>
      <c r="K63">
        <v>2207358.48</v>
      </c>
      <c r="M63" s="1" t="s">
        <v>567</v>
      </c>
      <c r="O63">
        <v>207</v>
      </c>
      <c r="P63" t="s">
        <v>228</v>
      </c>
      <c r="Q63" t="b">
        <v>0</v>
      </c>
      <c r="S63" t="s">
        <v>574</v>
      </c>
      <c r="T63" t="s">
        <v>224</v>
      </c>
      <c r="U63" t="s">
        <v>577</v>
      </c>
      <c r="Y63" t="s">
        <v>80</v>
      </c>
      <c r="Z63">
        <v>1</v>
      </c>
      <c r="AA63" t="s">
        <v>80</v>
      </c>
    </row>
    <row r="64" spans="1:27">
      <c r="A64" t="s">
        <v>222</v>
      </c>
      <c r="B64" t="s">
        <v>223</v>
      </c>
      <c r="C64" s="2">
        <v>45626</v>
      </c>
      <c r="D64">
        <v>53604</v>
      </c>
      <c r="F64" s="1" t="s">
        <v>567</v>
      </c>
      <c r="H64" t="s">
        <v>276</v>
      </c>
      <c r="I64" t="s">
        <v>277</v>
      </c>
      <c r="J64" s="2">
        <v>45777</v>
      </c>
      <c r="K64">
        <v>2011881.48</v>
      </c>
      <c r="M64" s="1" t="s">
        <v>567</v>
      </c>
      <c r="O64">
        <v>999</v>
      </c>
      <c r="P64" t="s">
        <v>102</v>
      </c>
      <c r="Q64" t="b">
        <v>0</v>
      </c>
      <c r="S64" t="s">
        <v>322</v>
      </c>
      <c r="T64" t="s">
        <v>322</v>
      </c>
      <c r="X64">
        <v>1</v>
      </c>
      <c r="Y64" t="s">
        <v>146</v>
      </c>
      <c r="Z64">
        <v>10</v>
      </c>
      <c r="AA64" t="s">
        <v>148</v>
      </c>
    </row>
    <row r="65" spans="1:27">
      <c r="A65" t="s">
        <v>222</v>
      </c>
      <c r="B65" t="s">
        <v>223</v>
      </c>
      <c r="C65" s="2">
        <v>45657</v>
      </c>
      <c r="D65">
        <v>56284</v>
      </c>
      <c r="F65" s="1" t="s">
        <v>567</v>
      </c>
      <c r="H65" t="s">
        <v>276</v>
      </c>
      <c r="I65" t="s">
        <v>277</v>
      </c>
      <c r="J65" s="2">
        <v>45808</v>
      </c>
      <c r="K65">
        <v>1807588.48</v>
      </c>
      <c r="M65" s="1" t="s">
        <v>567</v>
      </c>
      <c r="O65">
        <v>1150040000</v>
      </c>
      <c r="P65" t="s">
        <v>637</v>
      </c>
      <c r="Q65" t="b">
        <v>0</v>
      </c>
      <c r="S65" t="s">
        <v>440</v>
      </c>
      <c r="T65" t="s">
        <v>638</v>
      </c>
      <c r="U65" t="s">
        <v>639</v>
      </c>
      <c r="Y65" t="s">
        <v>135</v>
      </c>
      <c r="Z65">
        <v>5</v>
      </c>
      <c r="AA65" t="s">
        <v>137</v>
      </c>
    </row>
    <row r="66" spans="1:27">
      <c r="A66" t="s">
        <v>222</v>
      </c>
      <c r="B66" t="s">
        <v>223</v>
      </c>
      <c r="C66" s="2">
        <v>45688</v>
      </c>
      <c r="D66">
        <v>59098.22</v>
      </c>
      <c r="F66" s="1" t="s">
        <v>567</v>
      </c>
      <c r="H66" t="s">
        <v>276</v>
      </c>
      <c r="I66" t="s">
        <v>277</v>
      </c>
      <c r="J66" s="2">
        <v>45838</v>
      </c>
      <c r="K66">
        <v>1594040.15</v>
      </c>
      <c r="M66" s="1" t="s">
        <v>567</v>
      </c>
      <c r="O66">
        <v>1150040001</v>
      </c>
      <c r="P66" t="s">
        <v>295</v>
      </c>
      <c r="Q66" t="b">
        <v>0</v>
      </c>
      <c r="S66" t="s">
        <v>440</v>
      </c>
      <c r="T66" t="s">
        <v>580</v>
      </c>
      <c r="U66" t="s">
        <v>581</v>
      </c>
      <c r="V66" t="s">
        <v>151</v>
      </c>
      <c r="X66">
        <v>-1</v>
      </c>
      <c r="Y66" t="s">
        <v>135</v>
      </c>
      <c r="Z66">
        <v>7</v>
      </c>
      <c r="AA66" t="s">
        <v>139</v>
      </c>
    </row>
    <row r="67" spans="1:27">
      <c r="A67" t="s">
        <v>222</v>
      </c>
      <c r="B67" t="s">
        <v>223</v>
      </c>
      <c r="C67" s="2">
        <v>45716</v>
      </c>
      <c r="D67">
        <v>62053</v>
      </c>
      <c r="F67" s="1" t="s">
        <v>567</v>
      </c>
      <c r="H67" t="s">
        <v>276</v>
      </c>
      <c r="I67" t="s">
        <v>277</v>
      </c>
      <c r="J67" s="2">
        <v>45869</v>
      </c>
      <c r="K67">
        <v>1370773.78</v>
      </c>
      <c r="M67" s="1" t="s">
        <v>567</v>
      </c>
    </row>
    <row r="68" spans="1:27">
      <c r="A68" t="s">
        <v>222</v>
      </c>
      <c r="B68" t="s">
        <v>223</v>
      </c>
      <c r="C68" s="2">
        <v>45747</v>
      </c>
      <c r="D68">
        <v>65156</v>
      </c>
      <c r="F68" s="1" t="s">
        <v>567</v>
      </c>
      <c r="H68" t="s">
        <v>276</v>
      </c>
      <c r="I68" t="s">
        <v>277</v>
      </c>
      <c r="J68" s="2">
        <v>45900</v>
      </c>
      <c r="K68">
        <v>1137304.6599999999</v>
      </c>
      <c r="M68" s="1" t="s">
        <v>567</v>
      </c>
    </row>
    <row r="69" spans="1:27">
      <c r="A69" t="s">
        <v>222</v>
      </c>
      <c r="B69" t="s">
        <v>223</v>
      </c>
      <c r="C69" s="2">
        <v>45777</v>
      </c>
      <c r="D69">
        <v>68414</v>
      </c>
      <c r="F69" s="1" t="s">
        <v>567</v>
      </c>
      <c r="H69" t="s">
        <v>276</v>
      </c>
      <c r="I69" t="s">
        <v>277</v>
      </c>
      <c r="J69" s="2">
        <v>45930</v>
      </c>
      <c r="K69">
        <v>893122.77</v>
      </c>
      <c r="M69" s="1" t="s">
        <v>567</v>
      </c>
    </row>
    <row r="70" spans="1:27">
      <c r="A70" t="s">
        <v>222</v>
      </c>
      <c r="B70" t="s">
        <v>223</v>
      </c>
      <c r="C70" s="2">
        <v>45808</v>
      </c>
      <c r="D70">
        <v>71834</v>
      </c>
      <c r="F70" s="1" t="s">
        <v>567</v>
      </c>
      <c r="H70" t="s">
        <v>276</v>
      </c>
      <c r="I70" t="s">
        <v>277</v>
      </c>
      <c r="J70" s="2">
        <v>45961</v>
      </c>
      <c r="K70">
        <v>637693.89</v>
      </c>
      <c r="M70" s="1" t="s">
        <v>567</v>
      </c>
    </row>
    <row r="71" spans="1:27">
      <c r="A71" t="s">
        <v>222</v>
      </c>
      <c r="B71" t="s">
        <v>223</v>
      </c>
      <c r="C71" s="2">
        <v>45838</v>
      </c>
      <c r="D71">
        <v>84125.97</v>
      </c>
      <c r="F71" s="1" t="s">
        <v>567</v>
      </c>
      <c r="H71" t="s">
        <v>276</v>
      </c>
      <c r="I71" t="s">
        <v>277</v>
      </c>
      <c r="J71" s="2">
        <v>45991</v>
      </c>
      <c r="K71">
        <v>370456.63</v>
      </c>
      <c r="M71" s="1" t="s">
        <v>567</v>
      </c>
    </row>
    <row r="72" spans="1:27">
      <c r="A72" t="s">
        <v>222</v>
      </c>
      <c r="B72" t="s">
        <v>223</v>
      </c>
      <c r="C72" s="2">
        <v>45869</v>
      </c>
      <c r="D72">
        <v>85697.26</v>
      </c>
      <c r="F72" s="1" t="s">
        <v>567</v>
      </c>
      <c r="H72" t="s">
        <v>278</v>
      </c>
      <c r="I72">
        <v>8</v>
      </c>
      <c r="J72" s="2">
        <v>44957</v>
      </c>
      <c r="K72">
        <v>10000</v>
      </c>
      <c r="M72" s="1" t="s">
        <v>567</v>
      </c>
    </row>
    <row r="73" spans="1:27">
      <c r="A73" t="s">
        <v>222</v>
      </c>
      <c r="B73" t="s">
        <v>223</v>
      </c>
      <c r="C73" s="2">
        <v>45900</v>
      </c>
      <c r="D73">
        <v>83157.13</v>
      </c>
      <c r="F73" s="1" t="s">
        <v>567</v>
      </c>
      <c r="H73" t="s">
        <v>278</v>
      </c>
      <c r="I73">
        <v>8</v>
      </c>
      <c r="J73" s="2">
        <v>44985</v>
      </c>
      <c r="K73">
        <v>16000</v>
      </c>
      <c r="M73" s="1" t="s">
        <v>567</v>
      </c>
    </row>
    <row r="74" spans="1:27">
      <c r="A74" t="s">
        <v>222</v>
      </c>
      <c r="B74" t="s">
        <v>223</v>
      </c>
      <c r="C74" s="2">
        <v>45930</v>
      </c>
      <c r="D74">
        <v>105314.98</v>
      </c>
      <c r="F74" s="1" t="s">
        <v>567</v>
      </c>
      <c r="H74" t="s">
        <v>278</v>
      </c>
      <c r="I74">
        <v>8</v>
      </c>
      <c r="J74" s="2">
        <v>45016</v>
      </c>
      <c r="K74">
        <v>20100</v>
      </c>
      <c r="M74" s="1" t="s">
        <v>567</v>
      </c>
    </row>
    <row r="75" spans="1:27">
      <c r="A75" t="s">
        <v>222</v>
      </c>
      <c r="B75" t="s">
        <v>223</v>
      </c>
      <c r="C75" s="2">
        <v>45961</v>
      </c>
      <c r="D75">
        <v>101680.73</v>
      </c>
      <c r="F75" s="1" t="s">
        <v>567</v>
      </c>
      <c r="H75" t="s">
        <v>278</v>
      </c>
      <c r="I75">
        <v>8</v>
      </c>
      <c r="J75" s="2">
        <v>45046</v>
      </c>
      <c r="K75">
        <v>22110</v>
      </c>
      <c r="M75" s="1" t="s">
        <v>567</v>
      </c>
    </row>
    <row r="76" spans="1:27">
      <c r="A76" t="s">
        <v>222</v>
      </c>
      <c r="B76" t="s">
        <v>223</v>
      </c>
      <c r="C76" s="2">
        <v>45991</v>
      </c>
      <c r="D76">
        <v>111764.77</v>
      </c>
      <c r="F76" s="1" t="s">
        <v>567</v>
      </c>
      <c r="H76" t="s">
        <v>278</v>
      </c>
      <c r="I76">
        <v>8</v>
      </c>
      <c r="J76" s="2">
        <v>45077</v>
      </c>
      <c r="K76">
        <v>24321</v>
      </c>
      <c r="M76" s="1" t="s">
        <v>567</v>
      </c>
    </row>
    <row r="77" spans="1:27">
      <c r="A77" t="s">
        <v>225</v>
      </c>
      <c r="B77">
        <v>164</v>
      </c>
      <c r="C77" s="2">
        <v>44957</v>
      </c>
      <c r="D77">
        <v>800</v>
      </c>
      <c r="F77" s="1" t="s">
        <v>567</v>
      </c>
      <c r="H77" t="s">
        <v>278</v>
      </c>
      <c r="I77">
        <v>8</v>
      </c>
      <c r="J77" s="2">
        <v>45107</v>
      </c>
      <c r="K77">
        <v>26753</v>
      </c>
      <c r="M77" s="1" t="s">
        <v>567</v>
      </c>
    </row>
    <row r="78" spans="1:27">
      <c r="A78" t="s">
        <v>225</v>
      </c>
      <c r="B78">
        <v>164</v>
      </c>
      <c r="C78" s="2">
        <v>44985</v>
      </c>
      <c r="D78">
        <v>880</v>
      </c>
      <c r="F78" s="1" t="s">
        <v>567</v>
      </c>
      <c r="H78" t="s">
        <v>278</v>
      </c>
      <c r="I78">
        <v>8</v>
      </c>
      <c r="J78" s="2">
        <v>45138</v>
      </c>
      <c r="K78">
        <v>29428</v>
      </c>
      <c r="M78" s="1" t="s">
        <v>567</v>
      </c>
    </row>
    <row r="79" spans="1:27">
      <c r="A79" t="s">
        <v>225</v>
      </c>
      <c r="B79">
        <v>164</v>
      </c>
      <c r="C79" s="2">
        <v>45016</v>
      </c>
      <c r="D79">
        <v>968</v>
      </c>
      <c r="F79" s="1" t="s">
        <v>567</v>
      </c>
      <c r="H79" t="s">
        <v>278</v>
      </c>
      <c r="I79">
        <v>8</v>
      </c>
      <c r="J79" s="2">
        <v>45169</v>
      </c>
      <c r="K79">
        <v>32371</v>
      </c>
      <c r="M79" s="1" t="s">
        <v>567</v>
      </c>
    </row>
    <row r="80" spans="1:27">
      <c r="A80" t="s">
        <v>225</v>
      </c>
      <c r="B80">
        <v>164</v>
      </c>
      <c r="C80" s="2">
        <v>45046</v>
      </c>
      <c r="D80">
        <v>1065</v>
      </c>
      <c r="F80" s="1" t="s">
        <v>567</v>
      </c>
      <c r="H80" t="s">
        <v>278</v>
      </c>
      <c r="I80">
        <v>8</v>
      </c>
      <c r="J80" s="2">
        <v>45199</v>
      </c>
      <c r="K80">
        <v>35608</v>
      </c>
      <c r="M80" s="1" t="s">
        <v>567</v>
      </c>
    </row>
    <row r="81" spans="1:13">
      <c r="A81" t="s">
        <v>225</v>
      </c>
      <c r="B81">
        <v>164</v>
      </c>
      <c r="C81" s="2">
        <v>45077</v>
      </c>
      <c r="D81">
        <v>1171</v>
      </c>
      <c r="F81" s="1" t="s">
        <v>567</v>
      </c>
      <c r="H81" t="s">
        <v>278</v>
      </c>
      <c r="I81">
        <v>8</v>
      </c>
      <c r="J81" s="2">
        <v>45230</v>
      </c>
      <c r="K81">
        <v>39169</v>
      </c>
      <c r="M81" s="1" t="s">
        <v>567</v>
      </c>
    </row>
    <row r="82" spans="1:13">
      <c r="A82" t="s">
        <v>225</v>
      </c>
      <c r="B82">
        <v>164</v>
      </c>
      <c r="C82" s="2">
        <v>45107</v>
      </c>
      <c r="D82">
        <v>1288</v>
      </c>
      <c r="F82" s="1" t="s">
        <v>567</v>
      </c>
      <c r="H82" t="s">
        <v>278</v>
      </c>
      <c r="I82">
        <v>8</v>
      </c>
      <c r="J82" s="2">
        <v>45260</v>
      </c>
      <c r="K82">
        <v>44169</v>
      </c>
      <c r="M82" s="1" t="s">
        <v>567</v>
      </c>
    </row>
    <row r="83" spans="1:13">
      <c r="A83" t="s">
        <v>225</v>
      </c>
      <c r="B83">
        <v>164</v>
      </c>
      <c r="C83" s="2">
        <v>45138</v>
      </c>
      <c r="D83">
        <v>1417</v>
      </c>
      <c r="F83" s="1" t="s">
        <v>567</v>
      </c>
      <c r="H83" t="s">
        <v>278</v>
      </c>
      <c r="I83">
        <v>8</v>
      </c>
      <c r="J83" s="2">
        <v>45291</v>
      </c>
      <c r="K83">
        <v>34169</v>
      </c>
      <c r="M83" s="1" t="s">
        <v>567</v>
      </c>
    </row>
    <row r="84" spans="1:13">
      <c r="A84" t="s">
        <v>225</v>
      </c>
      <c r="B84">
        <v>164</v>
      </c>
      <c r="C84" s="2">
        <v>45169</v>
      </c>
      <c r="D84">
        <v>1559</v>
      </c>
      <c r="F84" s="1" t="s">
        <v>567</v>
      </c>
      <c r="H84" t="s">
        <v>278</v>
      </c>
      <c r="I84">
        <v>8</v>
      </c>
      <c r="J84" s="2">
        <v>45322</v>
      </c>
      <c r="K84">
        <v>41127</v>
      </c>
      <c r="M84" s="1" t="s">
        <v>567</v>
      </c>
    </row>
    <row r="85" spans="1:13">
      <c r="A85" t="s">
        <v>225</v>
      </c>
      <c r="B85">
        <v>164</v>
      </c>
      <c r="C85" s="2">
        <v>45199</v>
      </c>
      <c r="D85">
        <v>1715</v>
      </c>
      <c r="F85" s="1" t="s">
        <v>567</v>
      </c>
      <c r="H85" t="s">
        <v>278</v>
      </c>
      <c r="I85">
        <v>8</v>
      </c>
      <c r="J85" s="2">
        <v>45351</v>
      </c>
      <c r="K85">
        <v>41812</v>
      </c>
      <c r="M85" s="1" t="s">
        <v>567</v>
      </c>
    </row>
    <row r="86" spans="1:13">
      <c r="A86" t="s">
        <v>225</v>
      </c>
      <c r="B86">
        <v>164</v>
      </c>
      <c r="C86" s="2">
        <v>45230</v>
      </c>
      <c r="D86">
        <v>1886</v>
      </c>
      <c r="F86" s="1" t="s">
        <v>567</v>
      </c>
      <c r="H86" t="s">
        <v>278</v>
      </c>
      <c r="I86">
        <v>8</v>
      </c>
      <c r="J86" s="2">
        <v>45382</v>
      </c>
      <c r="K86">
        <v>40987</v>
      </c>
      <c r="M86" s="1" t="s">
        <v>567</v>
      </c>
    </row>
    <row r="87" spans="1:13">
      <c r="A87" t="s">
        <v>225</v>
      </c>
      <c r="B87">
        <v>164</v>
      </c>
      <c r="C87" s="2">
        <v>45260</v>
      </c>
      <c r="D87">
        <v>2721</v>
      </c>
      <c r="F87" s="1" t="s">
        <v>567</v>
      </c>
      <c r="H87" t="s">
        <v>278</v>
      </c>
      <c r="I87">
        <v>8</v>
      </c>
      <c r="J87" s="2">
        <v>45412</v>
      </c>
      <c r="K87">
        <v>43374</v>
      </c>
      <c r="M87" s="1" t="s">
        <v>567</v>
      </c>
    </row>
    <row r="88" spans="1:13">
      <c r="A88" t="s">
        <v>225</v>
      </c>
      <c r="B88">
        <v>164</v>
      </c>
      <c r="C88" s="2">
        <v>45291</v>
      </c>
      <c r="D88">
        <v>2990</v>
      </c>
      <c r="F88" s="1" t="s">
        <v>567</v>
      </c>
      <c r="H88" t="s">
        <v>278</v>
      </c>
      <c r="I88">
        <v>8</v>
      </c>
      <c r="J88" s="2">
        <v>45443</v>
      </c>
      <c r="K88">
        <v>44161</v>
      </c>
      <c r="M88" s="1" t="s">
        <v>567</v>
      </c>
    </row>
    <row r="89" spans="1:13">
      <c r="A89" t="s">
        <v>225</v>
      </c>
      <c r="B89">
        <v>164</v>
      </c>
      <c r="C89" s="2">
        <v>45322</v>
      </c>
      <c r="D89">
        <v>2857</v>
      </c>
      <c r="F89" s="1" t="s">
        <v>567</v>
      </c>
      <c r="H89" t="s">
        <v>278</v>
      </c>
      <c r="I89">
        <v>8</v>
      </c>
      <c r="J89" s="2">
        <v>45473</v>
      </c>
      <c r="K89">
        <v>44983</v>
      </c>
      <c r="M89" s="1" t="s">
        <v>567</v>
      </c>
    </row>
    <row r="90" spans="1:13">
      <c r="A90" t="s">
        <v>225</v>
      </c>
      <c r="B90">
        <v>164</v>
      </c>
      <c r="C90" s="2">
        <v>45351</v>
      </c>
      <c r="D90">
        <v>3140</v>
      </c>
      <c r="F90" s="1" t="s">
        <v>567</v>
      </c>
      <c r="H90" t="s">
        <v>278</v>
      </c>
      <c r="I90">
        <v>8</v>
      </c>
      <c r="J90" s="2">
        <v>45504</v>
      </c>
      <c r="K90">
        <v>46381</v>
      </c>
      <c r="M90" s="1" t="s">
        <v>567</v>
      </c>
    </row>
    <row r="91" spans="1:13">
      <c r="A91" t="s">
        <v>225</v>
      </c>
      <c r="B91">
        <v>164</v>
      </c>
      <c r="C91" s="2">
        <v>45382</v>
      </c>
      <c r="D91">
        <v>3000</v>
      </c>
      <c r="F91" s="1" t="s">
        <v>567</v>
      </c>
      <c r="H91" t="s">
        <v>278</v>
      </c>
      <c r="I91">
        <v>8</v>
      </c>
      <c r="J91" s="2">
        <v>45535</v>
      </c>
      <c r="K91">
        <v>47434</v>
      </c>
      <c r="M91" s="1" t="s">
        <v>567</v>
      </c>
    </row>
    <row r="92" spans="1:13">
      <c r="A92" t="s">
        <v>225</v>
      </c>
      <c r="B92">
        <v>164</v>
      </c>
      <c r="C92" s="2">
        <v>45412</v>
      </c>
      <c r="D92">
        <v>3296</v>
      </c>
      <c r="F92" s="1" t="s">
        <v>567</v>
      </c>
      <c r="H92" t="s">
        <v>278</v>
      </c>
      <c r="I92">
        <v>8</v>
      </c>
      <c r="J92" s="2">
        <v>45565</v>
      </c>
      <c r="K92">
        <v>48580</v>
      </c>
      <c r="M92" s="1" t="s">
        <v>567</v>
      </c>
    </row>
    <row r="93" spans="1:13">
      <c r="A93" t="s">
        <v>225</v>
      </c>
      <c r="B93">
        <v>164</v>
      </c>
      <c r="C93" s="2">
        <v>45443</v>
      </c>
      <c r="D93">
        <v>3150</v>
      </c>
      <c r="F93" s="1" t="s">
        <v>567</v>
      </c>
      <c r="H93" t="s">
        <v>278</v>
      </c>
      <c r="I93">
        <v>8</v>
      </c>
      <c r="J93" s="2">
        <v>45596</v>
      </c>
      <c r="K93">
        <v>49839</v>
      </c>
      <c r="M93" s="1" t="s">
        <v>567</v>
      </c>
    </row>
    <row r="94" spans="1:13">
      <c r="A94" t="s">
        <v>225</v>
      </c>
      <c r="B94">
        <v>164</v>
      </c>
      <c r="C94" s="2">
        <v>45473</v>
      </c>
      <c r="D94">
        <v>3461</v>
      </c>
      <c r="F94" s="1" t="s">
        <v>567</v>
      </c>
      <c r="H94" t="s">
        <v>278</v>
      </c>
      <c r="I94">
        <v>8</v>
      </c>
      <c r="J94" s="2">
        <v>45626</v>
      </c>
      <c r="K94">
        <v>51049</v>
      </c>
      <c r="M94" s="1" t="s">
        <v>567</v>
      </c>
    </row>
    <row r="95" spans="1:13">
      <c r="A95" t="s">
        <v>225</v>
      </c>
      <c r="B95">
        <v>164</v>
      </c>
      <c r="C95" s="2">
        <v>45504</v>
      </c>
      <c r="D95">
        <v>3634</v>
      </c>
      <c r="F95" s="1" t="s">
        <v>567</v>
      </c>
      <c r="H95" t="s">
        <v>278</v>
      </c>
      <c r="I95">
        <v>8</v>
      </c>
      <c r="J95" s="2">
        <v>45657</v>
      </c>
      <c r="K95">
        <v>52314</v>
      </c>
      <c r="M95" s="1" t="s">
        <v>567</v>
      </c>
    </row>
    <row r="96" spans="1:13">
      <c r="A96" t="s">
        <v>225</v>
      </c>
      <c r="B96">
        <v>164</v>
      </c>
      <c r="C96" s="2">
        <v>45535</v>
      </c>
      <c r="D96">
        <v>3634</v>
      </c>
      <c r="F96" s="1" t="s">
        <v>567</v>
      </c>
      <c r="H96" t="s">
        <v>278</v>
      </c>
      <c r="I96">
        <v>8</v>
      </c>
      <c r="J96" s="2">
        <v>45688</v>
      </c>
      <c r="K96">
        <v>53620.77</v>
      </c>
      <c r="M96" s="1" t="s">
        <v>567</v>
      </c>
    </row>
    <row r="97" spans="1:13">
      <c r="A97" t="s">
        <v>225</v>
      </c>
      <c r="B97">
        <v>164</v>
      </c>
      <c r="C97" s="2">
        <v>45565</v>
      </c>
      <c r="D97">
        <v>3816</v>
      </c>
      <c r="F97" s="1" t="s">
        <v>567</v>
      </c>
      <c r="H97" t="s">
        <v>278</v>
      </c>
      <c r="I97">
        <v>8</v>
      </c>
      <c r="J97" s="2">
        <v>45716</v>
      </c>
      <c r="K97">
        <v>54944.77</v>
      </c>
      <c r="M97" s="1" t="s">
        <v>567</v>
      </c>
    </row>
    <row r="98" spans="1:13">
      <c r="A98" t="s">
        <v>225</v>
      </c>
      <c r="B98">
        <v>164</v>
      </c>
      <c r="C98" s="2">
        <v>45596</v>
      </c>
      <c r="D98">
        <v>3816</v>
      </c>
      <c r="F98" s="1" t="s">
        <v>567</v>
      </c>
      <c r="H98" t="s">
        <v>278</v>
      </c>
      <c r="I98">
        <v>8</v>
      </c>
      <c r="J98" s="2">
        <v>45747</v>
      </c>
      <c r="K98">
        <v>56307.77</v>
      </c>
      <c r="M98" s="1" t="s">
        <v>567</v>
      </c>
    </row>
    <row r="99" spans="1:13">
      <c r="A99" t="s">
        <v>225</v>
      </c>
      <c r="B99">
        <v>164</v>
      </c>
      <c r="C99" s="2">
        <v>45626</v>
      </c>
      <c r="D99">
        <v>4007</v>
      </c>
      <c r="F99" s="1" t="s">
        <v>567</v>
      </c>
      <c r="H99" t="s">
        <v>278</v>
      </c>
      <c r="I99">
        <v>8</v>
      </c>
      <c r="J99" s="2">
        <v>45777</v>
      </c>
      <c r="K99">
        <v>57705.77</v>
      </c>
      <c r="M99" s="1" t="s">
        <v>567</v>
      </c>
    </row>
    <row r="100" spans="1:13">
      <c r="A100" t="s">
        <v>225</v>
      </c>
      <c r="B100">
        <v>164</v>
      </c>
      <c r="C100" s="2">
        <v>45657</v>
      </c>
      <c r="D100">
        <v>4207</v>
      </c>
      <c r="F100" s="1" t="s">
        <v>567</v>
      </c>
      <c r="H100" t="s">
        <v>278</v>
      </c>
      <c r="I100">
        <v>8</v>
      </c>
      <c r="J100" s="2">
        <v>45808</v>
      </c>
      <c r="K100">
        <v>59135.77</v>
      </c>
      <c r="M100" s="1" t="s">
        <v>567</v>
      </c>
    </row>
    <row r="101" spans="1:13">
      <c r="A101" t="s">
        <v>225</v>
      </c>
      <c r="B101">
        <v>164</v>
      </c>
      <c r="C101" s="2">
        <v>45688</v>
      </c>
      <c r="D101">
        <v>4417.6099999999997</v>
      </c>
      <c r="F101" s="1" t="s">
        <v>567</v>
      </c>
      <c r="H101" t="s">
        <v>278</v>
      </c>
      <c r="I101">
        <v>8</v>
      </c>
      <c r="J101" s="2">
        <v>45838</v>
      </c>
      <c r="K101">
        <v>69302.55</v>
      </c>
      <c r="M101" s="1" t="s">
        <v>567</v>
      </c>
    </row>
    <row r="102" spans="1:13">
      <c r="A102" t="s">
        <v>225</v>
      </c>
      <c r="B102">
        <v>164</v>
      </c>
      <c r="C102" s="2">
        <v>45716</v>
      </c>
      <c r="D102">
        <v>4638</v>
      </c>
      <c r="F102" s="1" t="s">
        <v>567</v>
      </c>
      <c r="H102" t="s">
        <v>278</v>
      </c>
      <c r="I102">
        <v>8</v>
      </c>
      <c r="J102" s="2">
        <v>45869</v>
      </c>
      <c r="K102">
        <v>77305.53</v>
      </c>
      <c r="M102" s="1" t="s">
        <v>567</v>
      </c>
    </row>
    <row r="103" spans="1:13">
      <c r="A103" t="s">
        <v>225</v>
      </c>
      <c r="B103">
        <v>164</v>
      </c>
      <c r="C103" s="2">
        <v>45747</v>
      </c>
      <c r="D103">
        <v>4870</v>
      </c>
      <c r="F103" s="1" t="s">
        <v>567</v>
      </c>
      <c r="H103" t="s">
        <v>278</v>
      </c>
      <c r="I103">
        <v>8</v>
      </c>
      <c r="J103" s="2">
        <v>45900</v>
      </c>
      <c r="K103">
        <v>78845.320000000007</v>
      </c>
      <c r="M103" s="1" t="s">
        <v>567</v>
      </c>
    </row>
    <row r="104" spans="1:13">
      <c r="A104" t="s">
        <v>225</v>
      </c>
      <c r="B104">
        <v>164</v>
      </c>
      <c r="C104" s="2">
        <v>45777</v>
      </c>
      <c r="D104">
        <v>5114</v>
      </c>
      <c r="F104" s="1" t="s">
        <v>567</v>
      </c>
      <c r="H104" t="s">
        <v>278</v>
      </c>
      <c r="I104">
        <v>8</v>
      </c>
      <c r="J104" s="2">
        <v>45930</v>
      </c>
      <c r="K104">
        <v>98423.66</v>
      </c>
      <c r="M104" s="1" t="s">
        <v>567</v>
      </c>
    </row>
    <row r="105" spans="1:13">
      <c r="A105" t="s">
        <v>225</v>
      </c>
      <c r="B105">
        <v>164</v>
      </c>
      <c r="C105" s="2">
        <v>45808</v>
      </c>
      <c r="D105">
        <v>5370</v>
      </c>
      <c r="F105" s="1" t="s">
        <v>567</v>
      </c>
      <c r="H105" t="s">
        <v>278</v>
      </c>
      <c r="I105">
        <v>8</v>
      </c>
      <c r="J105" s="2">
        <v>45961</v>
      </c>
      <c r="K105">
        <v>110041.05</v>
      </c>
      <c r="M105" s="1" t="s">
        <v>567</v>
      </c>
    </row>
    <row r="106" spans="1:13">
      <c r="A106" t="s">
        <v>225</v>
      </c>
      <c r="B106">
        <v>164</v>
      </c>
      <c r="C106" s="2">
        <v>45838</v>
      </c>
      <c r="D106">
        <v>5638.12</v>
      </c>
      <c r="F106" s="1" t="s">
        <v>567</v>
      </c>
      <c r="H106" t="s">
        <v>278</v>
      </c>
      <c r="I106">
        <v>8</v>
      </c>
      <c r="J106" s="2">
        <v>45991</v>
      </c>
      <c r="K106">
        <v>127198.48</v>
      </c>
      <c r="M106" s="1" t="s">
        <v>567</v>
      </c>
    </row>
    <row r="107" spans="1:13">
      <c r="A107" t="s">
        <v>225</v>
      </c>
      <c r="B107">
        <v>164</v>
      </c>
      <c r="C107" s="2">
        <v>45869</v>
      </c>
      <c r="D107">
        <v>5920.02</v>
      </c>
      <c r="F107" s="1" t="s">
        <v>567</v>
      </c>
      <c r="H107" t="s">
        <v>279</v>
      </c>
      <c r="I107" t="s">
        <v>280</v>
      </c>
      <c r="J107" s="2">
        <v>44957</v>
      </c>
      <c r="K107">
        <v>10000</v>
      </c>
      <c r="M107" s="1" t="s">
        <v>567</v>
      </c>
    </row>
    <row r="108" spans="1:13">
      <c r="A108" t="s">
        <v>225</v>
      </c>
      <c r="B108">
        <v>164</v>
      </c>
      <c r="C108" s="2">
        <v>45900</v>
      </c>
      <c r="D108">
        <v>6216.03</v>
      </c>
      <c r="F108" s="1" t="s">
        <v>567</v>
      </c>
      <c r="H108" t="s">
        <v>279</v>
      </c>
      <c r="I108" t="s">
        <v>280</v>
      </c>
      <c r="J108" s="2">
        <v>44985</v>
      </c>
      <c r="K108">
        <v>16000</v>
      </c>
      <c r="M108" s="1" t="s">
        <v>567</v>
      </c>
    </row>
    <row r="109" spans="1:13">
      <c r="A109" t="s">
        <v>225</v>
      </c>
      <c r="B109">
        <v>164</v>
      </c>
      <c r="C109" s="2">
        <v>45930</v>
      </c>
      <c r="D109">
        <v>6526.83</v>
      </c>
      <c r="F109" s="1" t="s">
        <v>567</v>
      </c>
      <c r="H109" t="s">
        <v>279</v>
      </c>
      <c r="I109" t="s">
        <v>280</v>
      </c>
      <c r="J109" s="2">
        <v>45016</v>
      </c>
      <c r="K109">
        <v>20100</v>
      </c>
      <c r="M109" s="1" t="s">
        <v>567</v>
      </c>
    </row>
    <row r="110" spans="1:13">
      <c r="A110" t="s">
        <v>225</v>
      </c>
      <c r="B110">
        <v>164</v>
      </c>
      <c r="C110" s="2">
        <v>45961</v>
      </c>
      <c r="D110">
        <v>6853.17</v>
      </c>
      <c r="F110" s="1" t="s">
        <v>567</v>
      </c>
      <c r="H110" t="s">
        <v>279</v>
      </c>
      <c r="I110" t="s">
        <v>280</v>
      </c>
      <c r="J110" s="2">
        <v>45046</v>
      </c>
      <c r="K110">
        <v>22110</v>
      </c>
      <c r="M110" s="1" t="s">
        <v>567</v>
      </c>
    </row>
    <row r="111" spans="1:13">
      <c r="A111" t="s">
        <v>225</v>
      </c>
      <c r="B111">
        <v>164</v>
      </c>
      <c r="C111" s="2">
        <v>45991</v>
      </c>
      <c r="D111">
        <v>7195.83</v>
      </c>
      <c r="F111" s="1" t="s">
        <v>567</v>
      </c>
      <c r="H111" t="s">
        <v>279</v>
      </c>
      <c r="I111" t="s">
        <v>280</v>
      </c>
      <c r="J111" s="2">
        <v>45077</v>
      </c>
      <c r="K111">
        <v>24321</v>
      </c>
      <c r="M111" s="1" t="s">
        <v>567</v>
      </c>
    </row>
    <row r="112" spans="1:13">
      <c r="A112" t="s">
        <v>226</v>
      </c>
      <c r="B112">
        <v>165</v>
      </c>
      <c r="C112" s="2">
        <v>44957</v>
      </c>
      <c r="D112">
        <v>250</v>
      </c>
      <c r="F112" s="1" t="s">
        <v>567</v>
      </c>
      <c r="H112" t="s">
        <v>279</v>
      </c>
      <c r="I112" t="s">
        <v>280</v>
      </c>
      <c r="J112" s="2">
        <v>45107</v>
      </c>
      <c r="K112">
        <v>26753</v>
      </c>
      <c r="M112" s="1" t="s">
        <v>567</v>
      </c>
    </row>
    <row r="113" spans="1:13">
      <c r="A113" t="s">
        <v>226</v>
      </c>
      <c r="B113">
        <v>165</v>
      </c>
      <c r="C113" s="2">
        <v>44985</v>
      </c>
      <c r="D113">
        <v>275</v>
      </c>
      <c r="F113" s="1" t="s">
        <v>567</v>
      </c>
      <c r="H113" t="s">
        <v>279</v>
      </c>
      <c r="I113" t="s">
        <v>280</v>
      </c>
      <c r="J113" s="2">
        <v>45138</v>
      </c>
      <c r="K113">
        <v>29428</v>
      </c>
      <c r="M113" s="1" t="s">
        <v>567</v>
      </c>
    </row>
    <row r="114" spans="1:13">
      <c r="A114" t="s">
        <v>226</v>
      </c>
      <c r="B114">
        <v>165</v>
      </c>
      <c r="C114" s="2">
        <v>45016</v>
      </c>
      <c r="D114">
        <v>303</v>
      </c>
      <c r="F114" s="1" t="s">
        <v>567</v>
      </c>
      <c r="H114" t="s">
        <v>279</v>
      </c>
      <c r="I114" t="s">
        <v>280</v>
      </c>
      <c r="J114" s="2">
        <v>45169</v>
      </c>
      <c r="K114">
        <v>32371</v>
      </c>
      <c r="M114" s="1" t="s">
        <v>567</v>
      </c>
    </row>
    <row r="115" spans="1:13">
      <c r="A115" t="s">
        <v>226</v>
      </c>
      <c r="B115">
        <v>165</v>
      </c>
      <c r="C115" s="2">
        <v>45046</v>
      </c>
      <c r="D115">
        <v>333</v>
      </c>
      <c r="F115" s="1" t="s">
        <v>567</v>
      </c>
      <c r="H115" t="s">
        <v>279</v>
      </c>
      <c r="I115" t="s">
        <v>280</v>
      </c>
      <c r="J115" s="2">
        <v>45199</v>
      </c>
      <c r="K115">
        <v>35608</v>
      </c>
      <c r="M115" s="1" t="s">
        <v>567</v>
      </c>
    </row>
    <row r="116" spans="1:13">
      <c r="A116" t="s">
        <v>226</v>
      </c>
      <c r="B116">
        <v>165</v>
      </c>
      <c r="C116" s="2">
        <v>45077</v>
      </c>
      <c r="D116">
        <v>366</v>
      </c>
      <c r="F116" s="1" t="s">
        <v>567</v>
      </c>
      <c r="H116" t="s">
        <v>279</v>
      </c>
      <c r="I116" t="s">
        <v>280</v>
      </c>
      <c r="J116" s="2">
        <v>45230</v>
      </c>
      <c r="K116">
        <v>39169</v>
      </c>
      <c r="M116" s="1" t="s">
        <v>567</v>
      </c>
    </row>
    <row r="117" spans="1:13">
      <c r="A117" t="s">
        <v>226</v>
      </c>
      <c r="B117">
        <v>165</v>
      </c>
      <c r="C117" s="2">
        <v>45107</v>
      </c>
      <c r="D117">
        <v>403</v>
      </c>
      <c r="F117" s="1" t="s">
        <v>567</v>
      </c>
      <c r="H117" t="s">
        <v>279</v>
      </c>
      <c r="I117" t="s">
        <v>280</v>
      </c>
      <c r="J117" s="2">
        <v>45260</v>
      </c>
      <c r="K117">
        <v>44169</v>
      </c>
      <c r="M117" s="1" t="s">
        <v>567</v>
      </c>
    </row>
    <row r="118" spans="1:13">
      <c r="A118" t="s">
        <v>226</v>
      </c>
      <c r="B118">
        <v>165</v>
      </c>
      <c r="C118" s="2">
        <v>45138</v>
      </c>
      <c r="D118">
        <v>443</v>
      </c>
      <c r="F118" s="1" t="s">
        <v>567</v>
      </c>
      <c r="H118" t="s">
        <v>279</v>
      </c>
      <c r="I118" t="s">
        <v>280</v>
      </c>
      <c r="J118" s="2">
        <v>45291</v>
      </c>
      <c r="K118">
        <v>34169</v>
      </c>
      <c r="M118" s="1" t="s">
        <v>567</v>
      </c>
    </row>
    <row r="119" spans="1:13">
      <c r="A119" t="s">
        <v>226</v>
      </c>
      <c r="B119">
        <v>165</v>
      </c>
      <c r="C119" s="2">
        <v>45169</v>
      </c>
      <c r="D119">
        <v>487.5</v>
      </c>
      <c r="F119" s="1" t="s">
        <v>567</v>
      </c>
      <c r="H119" t="s">
        <v>279</v>
      </c>
      <c r="I119" t="s">
        <v>280</v>
      </c>
      <c r="J119" s="2">
        <v>45322</v>
      </c>
      <c r="K119">
        <v>41127</v>
      </c>
      <c r="M119" s="1" t="s">
        <v>567</v>
      </c>
    </row>
    <row r="120" spans="1:13">
      <c r="A120" t="s">
        <v>226</v>
      </c>
      <c r="B120">
        <v>165</v>
      </c>
      <c r="C120" s="2">
        <v>45199</v>
      </c>
      <c r="D120">
        <v>535.5</v>
      </c>
      <c r="F120" s="1" t="s">
        <v>567</v>
      </c>
      <c r="H120" t="s">
        <v>279</v>
      </c>
      <c r="I120" t="s">
        <v>280</v>
      </c>
      <c r="J120" s="2">
        <v>45351</v>
      </c>
      <c r="K120">
        <v>41812</v>
      </c>
      <c r="M120" s="1" t="s">
        <v>567</v>
      </c>
    </row>
    <row r="121" spans="1:13">
      <c r="A121" t="s">
        <v>226</v>
      </c>
      <c r="B121">
        <v>165</v>
      </c>
      <c r="C121" s="2">
        <v>45230</v>
      </c>
      <c r="D121">
        <v>589.5</v>
      </c>
      <c r="F121" s="1" t="s">
        <v>567</v>
      </c>
      <c r="H121" t="s">
        <v>279</v>
      </c>
      <c r="I121" t="s">
        <v>280</v>
      </c>
      <c r="J121" s="2">
        <v>45382</v>
      </c>
      <c r="K121">
        <v>40987</v>
      </c>
      <c r="M121" s="1" t="s">
        <v>567</v>
      </c>
    </row>
    <row r="122" spans="1:13">
      <c r="A122" t="s">
        <v>226</v>
      </c>
      <c r="B122">
        <v>165</v>
      </c>
      <c r="C122" s="2">
        <v>45260</v>
      </c>
      <c r="D122">
        <v>706.5</v>
      </c>
      <c r="F122" s="1" t="s">
        <v>567</v>
      </c>
      <c r="H122" t="s">
        <v>279</v>
      </c>
      <c r="I122" t="s">
        <v>280</v>
      </c>
      <c r="J122" s="2">
        <v>45412</v>
      </c>
      <c r="K122">
        <v>43374</v>
      </c>
      <c r="M122" s="1" t="s">
        <v>567</v>
      </c>
    </row>
    <row r="123" spans="1:13">
      <c r="A123" t="s">
        <v>226</v>
      </c>
      <c r="B123">
        <v>165</v>
      </c>
      <c r="C123" s="2">
        <v>45291</v>
      </c>
      <c r="D123">
        <v>807.5</v>
      </c>
      <c r="F123" s="1" t="s">
        <v>567</v>
      </c>
      <c r="H123" t="s">
        <v>279</v>
      </c>
      <c r="I123" t="s">
        <v>280</v>
      </c>
      <c r="J123" s="2">
        <v>45443</v>
      </c>
      <c r="K123">
        <v>44161</v>
      </c>
      <c r="M123" s="1" t="s">
        <v>567</v>
      </c>
    </row>
    <row r="124" spans="1:13">
      <c r="A124" t="s">
        <v>226</v>
      </c>
      <c r="B124">
        <v>165</v>
      </c>
      <c r="C124" s="2">
        <v>45322</v>
      </c>
      <c r="D124">
        <v>742</v>
      </c>
      <c r="F124" s="1" t="s">
        <v>567</v>
      </c>
      <c r="H124" t="s">
        <v>279</v>
      </c>
      <c r="I124" t="s">
        <v>280</v>
      </c>
      <c r="J124" s="2">
        <v>45473</v>
      </c>
      <c r="K124">
        <v>44983</v>
      </c>
      <c r="M124" s="1" t="s">
        <v>567</v>
      </c>
    </row>
    <row r="125" spans="1:13">
      <c r="A125" t="s">
        <v>226</v>
      </c>
      <c r="B125">
        <v>165</v>
      </c>
      <c r="C125" s="2">
        <v>45351</v>
      </c>
      <c r="D125">
        <v>848</v>
      </c>
      <c r="F125" s="1" t="s">
        <v>567</v>
      </c>
      <c r="H125" t="s">
        <v>279</v>
      </c>
      <c r="I125" t="s">
        <v>280</v>
      </c>
      <c r="J125" s="2">
        <v>45504</v>
      </c>
      <c r="K125">
        <v>46381</v>
      </c>
      <c r="M125" s="1" t="s">
        <v>567</v>
      </c>
    </row>
    <row r="126" spans="1:13">
      <c r="A126" t="s">
        <v>226</v>
      </c>
      <c r="B126">
        <v>165</v>
      </c>
      <c r="C126" s="2">
        <v>45382</v>
      </c>
      <c r="D126">
        <v>779</v>
      </c>
      <c r="F126" s="1" t="s">
        <v>567</v>
      </c>
      <c r="H126" t="s">
        <v>279</v>
      </c>
      <c r="I126" t="s">
        <v>280</v>
      </c>
      <c r="J126" s="2">
        <v>45535</v>
      </c>
      <c r="K126">
        <v>47434</v>
      </c>
      <c r="M126" s="1" t="s">
        <v>567</v>
      </c>
    </row>
    <row r="127" spans="1:13">
      <c r="A127" t="s">
        <v>226</v>
      </c>
      <c r="B127">
        <v>165</v>
      </c>
      <c r="C127" s="2">
        <v>45412</v>
      </c>
      <c r="D127">
        <v>890.5</v>
      </c>
      <c r="F127" s="1" t="s">
        <v>567</v>
      </c>
      <c r="H127" t="s">
        <v>279</v>
      </c>
      <c r="I127" t="s">
        <v>280</v>
      </c>
      <c r="J127" s="2">
        <v>45565</v>
      </c>
      <c r="K127">
        <v>48580</v>
      </c>
      <c r="M127" s="1" t="s">
        <v>567</v>
      </c>
    </row>
    <row r="128" spans="1:13">
      <c r="A128" t="s">
        <v>226</v>
      </c>
      <c r="B128">
        <v>165</v>
      </c>
      <c r="C128" s="2">
        <v>45443</v>
      </c>
      <c r="D128">
        <v>818.5</v>
      </c>
      <c r="F128" s="1" t="s">
        <v>567</v>
      </c>
      <c r="H128" t="s">
        <v>279</v>
      </c>
      <c r="I128" t="s">
        <v>280</v>
      </c>
      <c r="J128" s="2">
        <v>45596</v>
      </c>
      <c r="K128">
        <v>49839</v>
      </c>
      <c r="M128" s="1" t="s">
        <v>567</v>
      </c>
    </row>
    <row r="129" spans="1:13">
      <c r="A129" t="s">
        <v>226</v>
      </c>
      <c r="B129">
        <v>165</v>
      </c>
      <c r="C129" s="2">
        <v>45473</v>
      </c>
      <c r="D129">
        <v>935.5</v>
      </c>
      <c r="F129" s="1" t="s">
        <v>567</v>
      </c>
      <c r="H129" t="s">
        <v>279</v>
      </c>
      <c r="I129" t="s">
        <v>280</v>
      </c>
      <c r="J129" s="2">
        <v>45626</v>
      </c>
      <c r="K129">
        <v>51049</v>
      </c>
      <c r="M129" s="1" t="s">
        <v>567</v>
      </c>
    </row>
    <row r="130" spans="1:13">
      <c r="A130" t="s">
        <v>226</v>
      </c>
      <c r="B130">
        <v>165</v>
      </c>
      <c r="C130" s="2">
        <v>45504</v>
      </c>
      <c r="D130">
        <v>981</v>
      </c>
      <c r="F130" s="1" t="s">
        <v>567</v>
      </c>
      <c r="H130" t="s">
        <v>279</v>
      </c>
      <c r="I130" t="s">
        <v>280</v>
      </c>
      <c r="J130" s="2">
        <v>45657</v>
      </c>
      <c r="K130">
        <v>52314</v>
      </c>
      <c r="M130" s="1" t="s">
        <v>567</v>
      </c>
    </row>
    <row r="131" spans="1:13">
      <c r="A131" t="s">
        <v>226</v>
      </c>
      <c r="B131">
        <v>165</v>
      </c>
      <c r="C131" s="2">
        <v>45535</v>
      </c>
      <c r="D131">
        <v>980.5</v>
      </c>
      <c r="F131" s="1" t="s">
        <v>567</v>
      </c>
      <c r="H131" t="s">
        <v>279</v>
      </c>
      <c r="I131" t="s">
        <v>280</v>
      </c>
      <c r="J131" s="2">
        <v>45688</v>
      </c>
      <c r="K131">
        <v>53620.77</v>
      </c>
      <c r="M131" s="1" t="s">
        <v>567</v>
      </c>
    </row>
    <row r="132" spans="1:13">
      <c r="A132" t="s">
        <v>226</v>
      </c>
      <c r="B132">
        <v>165</v>
      </c>
      <c r="C132" s="2">
        <v>45565</v>
      </c>
      <c r="D132">
        <v>1030</v>
      </c>
      <c r="F132" s="1" t="s">
        <v>567</v>
      </c>
      <c r="H132" t="s">
        <v>279</v>
      </c>
      <c r="I132" t="s">
        <v>280</v>
      </c>
      <c r="J132" s="2">
        <v>45716</v>
      </c>
      <c r="K132">
        <v>54944.77</v>
      </c>
      <c r="M132" s="1" t="s">
        <v>567</v>
      </c>
    </row>
    <row r="133" spans="1:13">
      <c r="A133" t="s">
        <v>226</v>
      </c>
      <c r="B133">
        <v>165</v>
      </c>
      <c r="C133" s="2">
        <v>45596</v>
      </c>
      <c r="D133">
        <v>1030.33</v>
      </c>
      <c r="F133" s="1" t="s">
        <v>567</v>
      </c>
      <c r="H133" t="s">
        <v>279</v>
      </c>
      <c r="I133" t="s">
        <v>280</v>
      </c>
      <c r="J133" s="2">
        <v>45747</v>
      </c>
      <c r="K133">
        <v>56307.77</v>
      </c>
      <c r="M133" s="1" t="s">
        <v>567</v>
      </c>
    </row>
    <row r="134" spans="1:13">
      <c r="A134" t="s">
        <v>226</v>
      </c>
      <c r="B134">
        <v>165</v>
      </c>
      <c r="C134" s="2">
        <v>45626</v>
      </c>
      <c r="D134">
        <v>1082.33</v>
      </c>
      <c r="F134" s="1" t="s">
        <v>567</v>
      </c>
      <c r="H134" t="s">
        <v>279</v>
      </c>
      <c r="I134" t="s">
        <v>280</v>
      </c>
      <c r="J134" s="2">
        <v>45777</v>
      </c>
      <c r="K134">
        <v>57705.77</v>
      </c>
      <c r="M134" s="1" t="s">
        <v>567</v>
      </c>
    </row>
    <row r="135" spans="1:13">
      <c r="A135" t="s">
        <v>226</v>
      </c>
      <c r="B135">
        <v>165</v>
      </c>
      <c r="C135" s="2">
        <v>45657</v>
      </c>
      <c r="D135">
        <v>1136</v>
      </c>
      <c r="F135" s="1" t="s">
        <v>567</v>
      </c>
      <c r="H135" t="s">
        <v>279</v>
      </c>
      <c r="I135" t="s">
        <v>280</v>
      </c>
      <c r="J135" s="2">
        <v>45808</v>
      </c>
      <c r="K135">
        <v>59135.77</v>
      </c>
      <c r="M135" s="1" t="s">
        <v>567</v>
      </c>
    </row>
    <row r="136" spans="1:13">
      <c r="A136" t="s">
        <v>226</v>
      </c>
      <c r="B136">
        <v>165</v>
      </c>
      <c r="C136" s="2">
        <v>45688</v>
      </c>
      <c r="D136">
        <v>1192.81</v>
      </c>
      <c r="F136" s="1" t="s">
        <v>567</v>
      </c>
      <c r="H136" t="s">
        <v>279</v>
      </c>
      <c r="I136" t="s">
        <v>280</v>
      </c>
      <c r="J136" s="2">
        <v>45838</v>
      </c>
      <c r="K136">
        <v>69302.55</v>
      </c>
      <c r="M136" s="1" t="s">
        <v>567</v>
      </c>
    </row>
    <row r="137" spans="1:13">
      <c r="A137" t="s">
        <v>226</v>
      </c>
      <c r="B137">
        <v>165</v>
      </c>
      <c r="C137" s="2">
        <v>45716</v>
      </c>
      <c r="D137">
        <v>1252</v>
      </c>
      <c r="F137" s="1" t="s">
        <v>567</v>
      </c>
      <c r="H137" t="s">
        <v>279</v>
      </c>
      <c r="I137" t="s">
        <v>280</v>
      </c>
      <c r="J137" s="2">
        <v>45869</v>
      </c>
      <c r="K137">
        <v>77305.53</v>
      </c>
      <c r="M137" s="1" t="s">
        <v>567</v>
      </c>
    </row>
    <row r="138" spans="1:13">
      <c r="A138" t="s">
        <v>226</v>
      </c>
      <c r="B138">
        <v>165</v>
      </c>
      <c r="C138" s="2">
        <v>45747</v>
      </c>
      <c r="D138">
        <v>1315</v>
      </c>
      <c r="F138" s="1" t="s">
        <v>567</v>
      </c>
      <c r="H138" t="s">
        <v>279</v>
      </c>
      <c r="I138" t="s">
        <v>280</v>
      </c>
      <c r="J138" s="2">
        <v>45900</v>
      </c>
      <c r="K138">
        <v>78845.320000000007</v>
      </c>
      <c r="M138" s="1" t="s">
        <v>567</v>
      </c>
    </row>
    <row r="139" spans="1:13">
      <c r="A139" t="s">
        <v>226</v>
      </c>
      <c r="B139">
        <v>165</v>
      </c>
      <c r="C139" s="2">
        <v>45777</v>
      </c>
      <c r="D139">
        <v>1381</v>
      </c>
      <c r="F139" s="1" t="s">
        <v>567</v>
      </c>
      <c r="H139" t="s">
        <v>279</v>
      </c>
      <c r="I139" t="s">
        <v>280</v>
      </c>
      <c r="J139" s="2">
        <v>45930</v>
      </c>
      <c r="K139">
        <v>98423.66</v>
      </c>
      <c r="M139" s="1" t="s">
        <v>567</v>
      </c>
    </row>
    <row r="140" spans="1:13">
      <c r="A140" t="s">
        <v>226</v>
      </c>
      <c r="B140">
        <v>165</v>
      </c>
      <c r="C140" s="2">
        <v>45808</v>
      </c>
      <c r="D140">
        <v>1450</v>
      </c>
      <c r="F140" s="1" t="s">
        <v>567</v>
      </c>
      <c r="H140" t="s">
        <v>279</v>
      </c>
      <c r="I140" t="s">
        <v>280</v>
      </c>
      <c r="J140" s="2">
        <v>45961</v>
      </c>
      <c r="K140">
        <v>110041.05</v>
      </c>
      <c r="M140" s="1" t="s">
        <v>567</v>
      </c>
    </row>
    <row r="141" spans="1:13">
      <c r="A141" t="s">
        <v>226</v>
      </c>
      <c r="B141">
        <v>165</v>
      </c>
      <c r="C141" s="2">
        <v>45838</v>
      </c>
      <c r="D141">
        <v>1522.36</v>
      </c>
      <c r="F141" s="1" t="s">
        <v>567</v>
      </c>
      <c r="H141" t="s">
        <v>279</v>
      </c>
      <c r="I141" t="s">
        <v>280</v>
      </c>
      <c r="J141" s="2">
        <v>45991</v>
      </c>
      <c r="K141">
        <v>127198.48</v>
      </c>
      <c r="M141" s="1" t="s">
        <v>567</v>
      </c>
    </row>
    <row r="142" spans="1:13">
      <c r="A142" t="s">
        <v>226</v>
      </c>
      <c r="B142">
        <v>165</v>
      </c>
      <c r="C142" s="2">
        <v>45869</v>
      </c>
      <c r="D142">
        <v>1598.48</v>
      </c>
      <c r="F142" s="1" t="s">
        <v>567</v>
      </c>
      <c r="H142" t="s">
        <v>282</v>
      </c>
      <c r="I142">
        <v>193</v>
      </c>
      <c r="J142" s="2">
        <v>44957</v>
      </c>
      <c r="K142">
        <v>3970</v>
      </c>
      <c r="M142" s="1" t="s">
        <v>567</v>
      </c>
    </row>
    <row r="143" spans="1:13">
      <c r="A143" t="s">
        <v>226</v>
      </c>
      <c r="B143">
        <v>165</v>
      </c>
      <c r="C143" s="2">
        <v>45900</v>
      </c>
      <c r="D143">
        <v>1678.4</v>
      </c>
      <c r="F143" s="1" t="s">
        <v>567</v>
      </c>
      <c r="H143" t="s">
        <v>282</v>
      </c>
      <c r="I143">
        <v>193</v>
      </c>
      <c r="J143" s="2">
        <v>44985</v>
      </c>
      <c r="K143">
        <v>1333.5</v>
      </c>
      <c r="M143" s="1" t="s">
        <v>567</v>
      </c>
    </row>
    <row r="144" spans="1:13">
      <c r="A144" t="s">
        <v>226</v>
      </c>
      <c r="B144">
        <v>165</v>
      </c>
      <c r="C144" s="2">
        <v>45930</v>
      </c>
      <c r="D144">
        <v>1762.32</v>
      </c>
      <c r="F144" s="1" t="s">
        <v>567</v>
      </c>
      <c r="H144" t="s">
        <v>282</v>
      </c>
      <c r="I144">
        <v>193</v>
      </c>
      <c r="J144" s="2">
        <v>45016</v>
      </c>
      <c r="K144">
        <v>623.5</v>
      </c>
      <c r="M144" s="1" t="s">
        <v>567</v>
      </c>
    </row>
    <row r="145" spans="1:13">
      <c r="A145" t="s">
        <v>226</v>
      </c>
      <c r="B145">
        <v>165</v>
      </c>
      <c r="C145" s="2">
        <v>45961</v>
      </c>
      <c r="D145">
        <v>1850.44</v>
      </c>
      <c r="F145" s="1" t="s">
        <v>567</v>
      </c>
      <c r="H145" t="s">
        <v>282</v>
      </c>
      <c r="I145">
        <v>193</v>
      </c>
      <c r="J145" s="2">
        <v>45046</v>
      </c>
      <c r="K145">
        <v>6437.5</v>
      </c>
      <c r="M145" s="1" t="s">
        <v>567</v>
      </c>
    </row>
    <row r="146" spans="1:13">
      <c r="A146" t="s">
        <v>226</v>
      </c>
      <c r="B146">
        <v>165</v>
      </c>
      <c r="C146" s="2">
        <v>45991</v>
      </c>
      <c r="D146">
        <v>1942.96</v>
      </c>
      <c r="F146" s="1" t="s">
        <v>567</v>
      </c>
      <c r="H146" t="s">
        <v>282</v>
      </c>
      <c r="I146">
        <v>193</v>
      </c>
      <c r="J146" s="2">
        <v>45077</v>
      </c>
      <c r="K146">
        <v>1713</v>
      </c>
      <c r="M146" s="1" t="s">
        <v>567</v>
      </c>
    </row>
    <row r="147" spans="1:13">
      <c r="A147" t="s">
        <v>227</v>
      </c>
      <c r="B147">
        <v>24</v>
      </c>
      <c r="C147" s="2">
        <v>45838</v>
      </c>
      <c r="D147">
        <v>300</v>
      </c>
      <c r="F147" s="1" t="s">
        <v>567</v>
      </c>
      <c r="H147" t="s">
        <v>282</v>
      </c>
      <c r="I147">
        <v>193</v>
      </c>
      <c r="J147" s="2">
        <v>45107</v>
      </c>
      <c r="K147">
        <v>6402</v>
      </c>
      <c r="M147" s="1" t="s">
        <v>567</v>
      </c>
    </row>
    <row r="148" spans="1:13">
      <c r="A148" t="s">
        <v>228</v>
      </c>
      <c r="B148">
        <v>207</v>
      </c>
      <c r="C148" s="2">
        <v>45869</v>
      </c>
      <c r="D148">
        <v>-1000</v>
      </c>
      <c r="F148" s="1" t="s">
        <v>567</v>
      </c>
      <c r="H148" t="s">
        <v>282</v>
      </c>
      <c r="I148">
        <v>193</v>
      </c>
      <c r="J148" s="2">
        <v>45138</v>
      </c>
      <c r="K148">
        <v>2773.5</v>
      </c>
      <c r="M148" s="1" t="s">
        <v>567</v>
      </c>
    </row>
    <row r="149" spans="1:13">
      <c r="A149" t="s">
        <v>229</v>
      </c>
      <c r="B149" t="s">
        <v>230</v>
      </c>
      <c r="C149" s="2">
        <v>44957</v>
      </c>
      <c r="D149">
        <v>1050</v>
      </c>
      <c r="F149" s="1" t="s">
        <v>567</v>
      </c>
      <c r="H149" t="s">
        <v>282</v>
      </c>
      <c r="I149">
        <v>193</v>
      </c>
      <c r="J149" s="2">
        <v>45169</v>
      </c>
      <c r="K149">
        <v>5752.5</v>
      </c>
      <c r="M149" s="1" t="s">
        <v>567</v>
      </c>
    </row>
    <row r="150" spans="1:13">
      <c r="A150" t="s">
        <v>229</v>
      </c>
      <c r="B150" t="s">
        <v>230</v>
      </c>
      <c r="C150" s="2">
        <v>44985</v>
      </c>
      <c r="D150">
        <v>1155</v>
      </c>
      <c r="F150" s="1" t="s">
        <v>567</v>
      </c>
      <c r="H150" t="s">
        <v>282</v>
      </c>
      <c r="I150">
        <v>193</v>
      </c>
      <c r="J150" s="2">
        <v>45199</v>
      </c>
      <c r="K150">
        <v>6222.5</v>
      </c>
      <c r="M150" s="1" t="s">
        <v>567</v>
      </c>
    </row>
    <row r="151" spans="1:13">
      <c r="A151" t="s">
        <v>229</v>
      </c>
      <c r="B151" t="s">
        <v>230</v>
      </c>
      <c r="C151" s="2">
        <v>45016</v>
      </c>
      <c r="D151">
        <v>1271</v>
      </c>
      <c r="F151" s="1" t="s">
        <v>567</v>
      </c>
      <c r="H151" t="s">
        <v>282</v>
      </c>
      <c r="I151">
        <v>193</v>
      </c>
      <c r="J151" s="2">
        <v>45230</v>
      </c>
      <c r="K151">
        <v>1119.5</v>
      </c>
      <c r="M151" s="1" t="s">
        <v>567</v>
      </c>
    </row>
    <row r="152" spans="1:13">
      <c r="A152" t="s">
        <v>229</v>
      </c>
      <c r="B152" t="s">
        <v>230</v>
      </c>
      <c r="C152" s="2">
        <v>45046</v>
      </c>
      <c r="D152">
        <v>1398</v>
      </c>
      <c r="F152" s="1" t="s">
        <v>567</v>
      </c>
      <c r="H152" t="s">
        <v>282</v>
      </c>
      <c r="I152">
        <v>193</v>
      </c>
      <c r="J152" s="2">
        <v>45260</v>
      </c>
      <c r="K152">
        <v>1119.5</v>
      </c>
      <c r="M152" s="1" t="s">
        <v>567</v>
      </c>
    </row>
    <row r="153" spans="1:13">
      <c r="A153" t="s">
        <v>229</v>
      </c>
      <c r="B153" t="s">
        <v>230</v>
      </c>
      <c r="C153" s="2">
        <v>45077</v>
      </c>
      <c r="D153">
        <v>1537</v>
      </c>
      <c r="F153" s="1" t="s">
        <v>567</v>
      </c>
      <c r="H153" t="s">
        <v>282</v>
      </c>
      <c r="I153">
        <v>193</v>
      </c>
      <c r="J153" s="2">
        <v>45291</v>
      </c>
      <c r="K153">
        <v>1119.5</v>
      </c>
      <c r="M153" s="1" t="s">
        <v>567</v>
      </c>
    </row>
    <row r="154" spans="1:13">
      <c r="A154" t="s">
        <v>229</v>
      </c>
      <c r="B154" t="s">
        <v>230</v>
      </c>
      <c r="C154" s="2">
        <v>45107</v>
      </c>
      <c r="D154">
        <v>1691</v>
      </c>
      <c r="F154" s="1" t="s">
        <v>567</v>
      </c>
      <c r="H154" t="s">
        <v>282</v>
      </c>
      <c r="I154">
        <v>193</v>
      </c>
      <c r="J154" s="2">
        <v>45322</v>
      </c>
      <c r="K154">
        <v>1119.5</v>
      </c>
      <c r="M154" s="1" t="s">
        <v>567</v>
      </c>
    </row>
    <row r="155" spans="1:13">
      <c r="A155" t="s">
        <v>229</v>
      </c>
      <c r="B155" t="s">
        <v>230</v>
      </c>
      <c r="C155" s="2">
        <v>45138</v>
      </c>
      <c r="D155">
        <v>1860</v>
      </c>
      <c r="F155" s="1" t="s">
        <v>567</v>
      </c>
      <c r="H155" t="s">
        <v>282</v>
      </c>
      <c r="I155">
        <v>193</v>
      </c>
      <c r="J155" s="2">
        <v>45351</v>
      </c>
      <c r="K155">
        <v>1119.5</v>
      </c>
      <c r="M155" s="1" t="s">
        <v>567</v>
      </c>
    </row>
    <row r="156" spans="1:13">
      <c r="A156" t="s">
        <v>229</v>
      </c>
      <c r="B156" t="s">
        <v>230</v>
      </c>
      <c r="C156" s="2">
        <v>45169</v>
      </c>
      <c r="D156">
        <v>2046.5</v>
      </c>
      <c r="F156" s="1" t="s">
        <v>567</v>
      </c>
      <c r="H156" t="s">
        <v>282</v>
      </c>
      <c r="I156">
        <v>193</v>
      </c>
      <c r="J156" s="2">
        <v>45382</v>
      </c>
      <c r="K156">
        <v>1119.5</v>
      </c>
      <c r="M156" s="1" t="s">
        <v>567</v>
      </c>
    </row>
    <row r="157" spans="1:13">
      <c r="A157" t="s">
        <v>229</v>
      </c>
      <c r="B157" t="s">
        <v>230</v>
      </c>
      <c r="C157" s="2">
        <v>45199</v>
      </c>
      <c r="D157">
        <v>2250.5</v>
      </c>
      <c r="F157" s="1" t="s">
        <v>567</v>
      </c>
      <c r="H157" t="s">
        <v>282</v>
      </c>
      <c r="I157">
        <v>193</v>
      </c>
      <c r="J157" s="2">
        <v>45412</v>
      </c>
      <c r="K157">
        <v>1119.5</v>
      </c>
      <c r="M157" s="1" t="s">
        <v>567</v>
      </c>
    </row>
    <row r="158" spans="1:13">
      <c r="A158" t="s">
        <v>229</v>
      </c>
      <c r="B158" t="s">
        <v>230</v>
      </c>
      <c r="C158" s="2">
        <v>45230</v>
      </c>
      <c r="D158">
        <v>2475.5</v>
      </c>
      <c r="F158" s="1" t="s">
        <v>567</v>
      </c>
      <c r="H158" t="s">
        <v>282</v>
      </c>
      <c r="I158">
        <v>193</v>
      </c>
      <c r="J158" s="2">
        <v>45443</v>
      </c>
      <c r="K158">
        <v>1119.5</v>
      </c>
      <c r="M158" s="1" t="s">
        <v>567</v>
      </c>
    </row>
    <row r="159" spans="1:13">
      <c r="A159" t="s">
        <v>229</v>
      </c>
      <c r="B159" t="s">
        <v>230</v>
      </c>
      <c r="C159" s="2">
        <v>45260</v>
      </c>
      <c r="D159">
        <v>3427.5</v>
      </c>
      <c r="F159" s="1" t="s">
        <v>567</v>
      </c>
      <c r="H159" t="s">
        <v>282</v>
      </c>
      <c r="I159">
        <v>193</v>
      </c>
      <c r="J159" s="2">
        <v>45473</v>
      </c>
      <c r="K159">
        <v>1119.5</v>
      </c>
      <c r="M159" s="1" t="s">
        <v>567</v>
      </c>
    </row>
    <row r="160" spans="1:13">
      <c r="A160" t="s">
        <v>229</v>
      </c>
      <c r="B160" t="s">
        <v>230</v>
      </c>
      <c r="C160" s="2">
        <v>45291</v>
      </c>
      <c r="D160">
        <v>3797.5</v>
      </c>
      <c r="F160" s="1" t="s">
        <v>567</v>
      </c>
      <c r="H160" t="s">
        <v>282</v>
      </c>
      <c r="I160">
        <v>193</v>
      </c>
      <c r="J160" s="2">
        <v>45504</v>
      </c>
      <c r="K160">
        <v>1119.5</v>
      </c>
      <c r="M160" s="1" t="s">
        <v>567</v>
      </c>
    </row>
    <row r="161" spans="1:13">
      <c r="A161" t="s">
        <v>229</v>
      </c>
      <c r="B161" t="s">
        <v>230</v>
      </c>
      <c r="C161" s="2">
        <v>45322</v>
      </c>
      <c r="D161">
        <v>3599</v>
      </c>
      <c r="F161" s="1" t="s">
        <v>567</v>
      </c>
      <c r="H161" t="s">
        <v>282</v>
      </c>
      <c r="I161">
        <v>193</v>
      </c>
      <c r="J161" s="2">
        <v>45535</v>
      </c>
      <c r="K161">
        <v>1119.5</v>
      </c>
      <c r="M161" s="1" t="s">
        <v>567</v>
      </c>
    </row>
    <row r="162" spans="1:13">
      <c r="A162" t="s">
        <v>229</v>
      </c>
      <c r="B162" t="s">
        <v>230</v>
      </c>
      <c r="C162" s="2">
        <v>45351</v>
      </c>
      <c r="D162">
        <v>3988</v>
      </c>
      <c r="F162" s="1" t="s">
        <v>567</v>
      </c>
      <c r="H162" t="s">
        <v>282</v>
      </c>
      <c r="I162">
        <v>193</v>
      </c>
      <c r="J162" s="2">
        <v>45565</v>
      </c>
      <c r="K162">
        <v>1119.5</v>
      </c>
      <c r="M162" s="1" t="s">
        <v>567</v>
      </c>
    </row>
    <row r="163" spans="1:13">
      <c r="A163" t="s">
        <v>229</v>
      </c>
      <c r="B163" t="s">
        <v>230</v>
      </c>
      <c r="C163" s="2">
        <v>45382</v>
      </c>
      <c r="D163">
        <v>3779</v>
      </c>
      <c r="F163" s="1" t="s">
        <v>567</v>
      </c>
      <c r="H163" t="s">
        <v>282</v>
      </c>
      <c r="I163">
        <v>193</v>
      </c>
      <c r="J163" s="2">
        <v>45596</v>
      </c>
      <c r="K163">
        <v>1119.5</v>
      </c>
      <c r="M163" s="1" t="s">
        <v>567</v>
      </c>
    </row>
    <row r="164" spans="1:13">
      <c r="A164" t="s">
        <v>229</v>
      </c>
      <c r="B164" t="s">
        <v>230</v>
      </c>
      <c r="C164" s="2">
        <v>45412</v>
      </c>
      <c r="D164">
        <v>4186.5</v>
      </c>
      <c r="F164" s="1" t="s">
        <v>567</v>
      </c>
      <c r="H164" t="s">
        <v>282</v>
      </c>
      <c r="I164">
        <v>193</v>
      </c>
      <c r="J164" s="2">
        <v>45626</v>
      </c>
      <c r="K164">
        <v>1119.5</v>
      </c>
      <c r="M164" s="1" t="s">
        <v>567</v>
      </c>
    </row>
    <row r="165" spans="1:13">
      <c r="A165" t="s">
        <v>229</v>
      </c>
      <c r="B165" t="s">
        <v>230</v>
      </c>
      <c r="C165" s="2">
        <v>45443</v>
      </c>
      <c r="D165">
        <v>3968.5</v>
      </c>
      <c r="F165" s="1" t="s">
        <v>567</v>
      </c>
      <c r="H165" t="s">
        <v>282</v>
      </c>
      <c r="I165">
        <v>193</v>
      </c>
      <c r="J165" s="2">
        <v>45657</v>
      </c>
      <c r="K165">
        <v>1119.5</v>
      </c>
      <c r="M165" s="1" t="s">
        <v>567</v>
      </c>
    </row>
    <row r="166" spans="1:13">
      <c r="A166" t="s">
        <v>229</v>
      </c>
      <c r="B166" t="s">
        <v>230</v>
      </c>
      <c r="C166" s="2">
        <v>45473</v>
      </c>
      <c r="D166">
        <v>4396.5</v>
      </c>
      <c r="F166" s="1" t="s">
        <v>567</v>
      </c>
      <c r="H166" t="s">
        <v>282</v>
      </c>
      <c r="I166">
        <v>193</v>
      </c>
      <c r="J166" s="2">
        <v>45688</v>
      </c>
      <c r="K166">
        <v>1119.5</v>
      </c>
      <c r="M166" s="1" t="s">
        <v>567</v>
      </c>
    </row>
    <row r="167" spans="1:13">
      <c r="A167" t="s">
        <v>229</v>
      </c>
      <c r="B167" t="s">
        <v>230</v>
      </c>
      <c r="C167" s="2">
        <v>45504</v>
      </c>
      <c r="D167">
        <v>4615</v>
      </c>
      <c r="F167" s="1" t="s">
        <v>567</v>
      </c>
      <c r="H167" t="s">
        <v>282</v>
      </c>
      <c r="I167">
        <v>193</v>
      </c>
      <c r="J167" s="2">
        <v>45716</v>
      </c>
      <c r="K167">
        <v>1119.5</v>
      </c>
      <c r="M167" s="1" t="s">
        <v>567</v>
      </c>
    </row>
    <row r="168" spans="1:13">
      <c r="A168" t="s">
        <v>229</v>
      </c>
      <c r="B168" t="s">
        <v>230</v>
      </c>
      <c r="C168" s="2">
        <v>45535</v>
      </c>
      <c r="D168">
        <v>4614.5</v>
      </c>
      <c r="F168" s="1" t="s">
        <v>567</v>
      </c>
      <c r="H168" t="s">
        <v>282</v>
      </c>
      <c r="I168">
        <v>193</v>
      </c>
      <c r="J168" s="2">
        <v>45747</v>
      </c>
      <c r="K168">
        <v>1119.5</v>
      </c>
      <c r="M168" s="1" t="s">
        <v>567</v>
      </c>
    </row>
    <row r="169" spans="1:13">
      <c r="A169" t="s">
        <v>229</v>
      </c>
      <c r="B169" t="s">
        <v>230</v>
      </c>
      <c r="C169" s="2">
        <v>45565</v>
      </c>
      <c r="D169">
        <v>4846</v>
      </c>
      <c r="F169" s="1" t="s">
        <v>567</v>
      </c>
      <c r="H169" t="s">
        <v>282</v>
      </c>
      <c r="I169">
        <v>193</v>
      </c>
      <c r="J169" s="2">
        <v>45777</v>
      </c>
      <c r="K169">
        <v>1119.5</v>
      </c>
      <c r="M169" s="1" t="s">
        <v>567</v>
      </c>
    </row>
    <row r="170" spans="1:13">
      <c r="A170" t="s">
        <v>229</v>
      </c>
      <c r="B170" t="s">
        <v>230</v>
      </c>
      <c r="C170" s="2">
        <v>45596</v>
      </c>
      <c r="D170">
        <v>4846.33</v>
      </c>
      <c r="F170" s="1" t="s">
        <v>567</v>
      </c>
      <c r="H170" t="s">
        <v>282</v>
      </c>
      <c r="I170">
        <v>193</v>
      </c>
      <c r="J170" s="2">
        <v>45808</v>
      </c>
      <c r="K170">
        <v>1119.5</v>
      </c>
      <c r="M170" s="1" t="s">
        <v>567</v>
      </c>
    </row>
    <row r="171" spans="1:13">
      <c r="A171" t="s">
        <v>229</v>
      </c>
      <c r="B171" t="s">
        <v>230</v>
      </c>
      <c r="C171" s="2">
        <v>45626</v>
      </c>
      <c r="D171">
        <v>5089.33</v>
      </c>
      <c r="F171" s="1" t="s">
        <v>567</v>
      </c>
      <c r="H171" t="s">
        <v>282</v>
      </c>
      <c r="I171">
        <v>193</v>
      </c>
      <c r="J171" s="2">
        <v>45838</v>
      </c>
      <c r="K171">
        <v>1119.5</v>
      </c>
      <c r="M171" s="1" t="s">
        <v>567</v>
      </c>
    </row>
    <row r="172" spans="1:13">
      <c r="A172" t="s">
        <v>229</v>
      </c>
      <c r="B172" t="s">
        <v>230</v>
      </c>
      <c r="C172" s="2">
        <v>45657</v>
      </c>
      <c r="D172">
        <v>5343</v>
      </c>
      <c r="F172" s="1" t="s">
        <v>567</v>
      </c>
      <c r="H172" t="s">
        <v>282</v>
      </c>
      <c r="I172">
        <v>193</v>
      </c>
      <c r="J172" s="2">
        <v>45869</v>
      </c>
      <c r="K172">
        <v>-680.5</v>
      </c>
      <c r="M172" s="1" t="s">
        <v>567</v>
      </c>
    </row>
    <row r="173" spans="1:13">
      <c r="A173" t="s">
        <v>229</v>
      </c>
      <c r="B173" t="s">
        <v>230</v>
      </c>
      <c r="C173" s="2">
        <v>45688</v>
      </c>
      <c r="D173">
        <v>5610.42</v>
      </c>
      <c r="F173" s="1" t="s">
        <v>567</v>
      </c>
      <c r="H173" t="s">
        <v>282</v>
      </c>
      <c r="I173">
        <v>193</v>
      </c>
      <c r="J173" s="2">
        <v>45900</v>
      </c>
      <c r="K173">
        <v>-680.5</v>
      </c>
      <c r="M173" s="1" t="s">
        <v>567</v>
      </c>
    </row>
    <row r="174" spans="1:13">
      <c r="A174" t="s">
        <v>229</v>
      </c>
      <c r="B174" t="s">
        <v>230</v>
      </c>
      <c r="C174" s="2">
        <v>45716</v>
      </c>
      <c r="D174">
        <v>5890</v>
      </c>
      <c r="F174" s="1" t="s">
        <v>567</v>
      </c>
      <c r="H174" t="s">
        <v>282</v>
      </c>
      <c r="I174">
        <v>193</v>
      </c>
      <c r="J174" s="2">
        <v>45930</v>
      </c>
      <c r="K174">
        <v>-680.5</v>
      </c>
      <c r="M174" s="1" t="s">
        <v>567</v>
      </c>
    </row>
    <row r="175" spans="1:13">
      <c r="A175" t="s">
        <v>229</v>
      </c>
      <c r="B175" t="s">
        <v>230</v>
      </c>
      <c r="C175" s="2">
        <v>45747</v>
      </c>
      <c r="D175">
        <v>6185</v>
      </c>
      <c r="F175" s="1" t="s">
        <v>567</v>
      </c>
      <c r="H175" t="s">
        <v>282</v>
      </c>
      <c r="I175">
        <v>193</v>
      </c>
      <c r="J175" s="2">
        <v>45961</v>
      </c>
      <c r="K175">
        <v>-680.5</v>
      </c>
      <c r="M175" s="1" t="s">
        <v>567</v>
      </c>
    </row>
    <row r="176" spans="1:13">
      <c r="A176" t="s">
        <v>229</v>
      </c>
      <c r="B176" t="s">
        <v>230</v>
      </c>
      <c r="C176" s="2">
        <v>45777</v>
      </c>
      <c r="D176">
        <v>6495</v>
      </c>
      <c r="F176" s="1" t="s">
        <v>567</v>
      </c>
      <c r="H176" t="s">
        <v>282</v>
      </c>
      <c r="I176">
        <v>193</v>
      </c>
      <c r="J176" s="2">
        <v>45991</v>
      </c>
      <c r="K176">
        <v>-5730.5</v>
      </c>
      <c r="M176" s="1" t="s">
        <v>567</v>
      </c>
    </row>
    <row r="177" spans="1:13">
      <c r="A177" t="s">
        <v>229</v>
      </c>
      <c r="B177" t="s">
        <v>230</v>
      </c>
      <c r="C177" s="2">
        <v>45808</v>
      </c>
      <c r="D177">
        <v>6820</v>
      </c>
      <c r="F177" s="1" t="s">
        <v>567</v>
      </c>
      <c r="H177" t="s">
        <v>283</v>
      </c>
      <c r="I177">
        <v>150</v>
      </c>
      <c r="J177" s="2">
        <v>44957</v>
      </c>
      <c r="K177">
        <v>25000</v>
      </c>
      <c r="M177" s="1" t="s">
        <v>567</v>
      </c>
    </row>
    <row r="178" spans="1:13">
      <c r="A178" t="s">
        <v>229</v>
      </c>
      <c r="B178" t="s">
        <v>230</v>
      </c>
      <c r="C178" s="2">
        <v>45838</v>
      </c>
      <c r="D178">
        <v>7460.48</v>
      </c>
      <c r="F178" s="1" t="s">
        <v>567</v>
      </c>
      <c r="H178" t="s">
        <v>283</v>
      </c>
      <c r="I178">
        <v>150</v>
      </c>
      <c r="J178" s="2">
        <v>44985</v>
      </c>
      <c r="K178">
        <v>25000</v>
      </c>
      <c r="M178" s="1" t="s">
        <v>567</v>
      </c>
    </row>
    <row r="179" spans="1:13">
      <c r="A179" t="s">
        <v>229</v>
      </c>
      <c r="B179" t="s">
        <v>230</v>
      </c>
      <c r="C179" s="2">
        <v>45869</v>
      </c>
      <c r="D179">
        <v>6518.5</v>
      </c>
      <c r="F179" s="1" t="s">
        <v>567</v>
      </c>
      <c r="H179" t="s">
        <v>283</v>
      </c>
      <c r="I179">
        <v>150</v>
      </c>
      <c r="J179" s="2">
        <v>45016</v>
      </c>
      <c r="K179">
        <v>25000</v>
      </c>
      <c r="M179" s="1" t="s">
        <v>567</v>
      </c>
    </row>
    <row r="180" spans="1:13">
      <c r="A180" t="s">
        <v>229</v>
      </c>
      <c r="B180" t="s">
        <v>230</v>
      </c>
      <c r="C180" s="2">
        <v>45900</v>
      </c>
      <c r="D180">
        <v>7894.43</v>
      </c>
      <c r="F180" s="1" t="s">
        <v>567</v>
      </c>
      <c r="H180" t="s">
        <v>283</v>
      </c>
      <c r="I180">
        <v>150</v>
      </c>
      <c r="J180" s="2">
        <v>45046</v>
      </c>
      <c r="K180">
        <v>25000</v>
      </c>
      <c r="M180" s="1" t="s">
        <v>567</v>
      </c>
    </row>
    <row r="181" spans="1:13">
      <c r="A181" t="s">
        <v>229</v>
      </c>
      <c r="B181" t="s">
        <v>230</v>
      </c>
      <c r="C181" s="2">
        <v>45930</v>
      </c>
      <c r="D181">
        <v>8289.15</v>
      </c>
      <c r="F181" s="1" t="s">
        <v>567</v>
      </c>
      <c r="H181" t="s">
        <v>283</v>
      </c>
      <c r="I181">
        <v>150</v>
      </c>
      <c r="J181" s="2">
        <v>45077</v>
      </c>
      <c r="K181">
        <v>25000</v>
      </c>
      <c r="M181" s="1" t="s">
        <v>567</v>
      </c>
    </row>
    <row r="182" spans="1:13">
      <c r="A182" t="s">
        <v>229</v>
      </c>
      <c r="B182" t="s">
        <v>230</v>
      </c>
      <c r="C182" s="2">
        <v>45961</v>
      </c>
      <c r="D182">
        <v>8703.61</v>
      </c>
      <c r="F182" s="1" t="s">
        <v>567</v>
      </c>
      <c r="H182" t="s">
        <v>283</v>
      </c>
      <c r="I182">
        <v>150</v>
      </c>
      <c r="J182" s="2">
        <v>45107</v>
      </c>
      <c r="K182">
        <v>25000</v>
      </c>
      <c r="M182" s="1" t="s">
        <v>567</v>
      </c>
    </row>
    <row r="183" spans="1:13">
      <c r="A183" t="s">
        <v>229</v>
      </c>
      <c r="B183" t="s">
        <v>230</v>
      </c>
      <c r="C183" s="2">
        <v>45991</v>
      </c>
      <c r="D183">
        <v>9138.7900000000009</v>
      </c>
      <c r="F183" s="1" t="s">
        <v>567</v>
      </c>
      <c r="H183" t="s">
        <v>283</v>
      </c>
      <c r="I183">
        <v>150</v>
      </c>
      <c r="J183" s="2">
        <v>45138</v>
      </c>
      <c r="K183">
        <v>25000</v>
      </c>
      <c r="M183" s="1" t="s">
        <v>567</v>
      </c>
    </row>
    <row r="184" spans="1:13">
      <c r="A184" t="s">
        <v>81</v>
      </c>
      <c r="B184" t="s">
        <v>231</v>
      </c>
      <c r="C184" s="2">
        <v>44957</v>
      </c>
      <c r="D184">
        <v>8950</v>
      </c>
      <c r="F184" s="1" t="s">
        <v>567</v>
      </c>
      <c r="H184" t="s">
        <v>283</v>
      </c>
      <c r="I184">
        <v>150</v>
      </c>
      <c r="J184" s="2">
        <v>45169</v>
      </c>
      <c r="K184">
        <v>25000</v>
      </c>
      <c r="M184" s="1" t="s">
        <v>567</v>
      </c>
    </row>
    <row r="185" spans="1:13">
      <c r="A185" t="s">
        <v>81</v>
      </c>
      <c r="B185" t="s">
        <v>231</v>
      </c>
      <c r="C185" s="2">
        <v>44985</v>
      </c>
      <c r="D185">
        <v>9845</v>
      </c>
      <c r="F185" s="1" t="s">
        <v>567</v>
      </c>
      <c r="H185" t="s">
        <v>283</v>
      </c>
      <c r="I185">
        <v>150</v>
      </c>
      <c r="J185" s="2">
        <v>45199</v>
      </c>
      <c r="K185">
        <v>25000</v>
      </c>
      <c r="M185" s="1" t="s">
        <v>567</v>
      </c>
    </row>
    <row r="186" spans="1:13">
      <c r="A186" t="s">
        <v>81</v>
      </c>
      <c r="B186" t="s">
        <v>231</v>
      </c>
      <c r="C186" s="2">
        <v>45016</v>
      </c>
      <c r="D186">
        <v>10829</v>
      </c>
      <c r="F186" s="1" t="s">
        <v>567</v>
      </c>
      <c r="H186" t="s">
        <v>283</v>
      </c>
      <c r="I186">
        <v>150</v>
      </c>
      <c r="J186" s="2">
        <v>45230</v>
      </c>
      <c r="K186">
        <v>25000</v>
      </c>
      <c r="M186" s="1" t="s">
        <v>567</v>
      </c>
    </row>
    <row r="187" spans="1:13">
      <c r="A187" t="s">
        <v>81</v>
      </c>
      <c r="B187" t="s">
        <v>231</v>
      </c>
      <c r="C187" s="2">
        <v>45046</v>
      </c>
      <c r="D187">
        <v>11912</v>
      </c>
      <c r="F187" s="1" t="s">
        <v>567</v>
      </c>
      <c r="H187" t="s">
        <v>283</v>
      </c>
      <c r="I187">
        <v>150</v>
      </c>
      <c r="J187" s="2">
        <v>45260</v>
      </c>
      <c r="K187">
        <v>25000</v>
      </c>
      <c r="M187" s="1" t="s">
        <v>567</v>
      </c>
    </row>
    <row r="188" spans="1:13">
      <c r="A188" t="s">
        <v>81</v>
      </c>
      <c r="B188" t="s">
        <v>231</v>
      </c>
      <c r="C188" s="2">
        <v>45077</v>
      </c>
      <c r="D188">
        <v>13104</v>
      </c>
      <c r="F188" s="1" t="s">
        <v>567</v>
      </c>
      <c r="H188" t="s">
        <v>283</v>
      </c>
      <c r="I188">
        <v>150</v>
      </c>
      <c r="J188" s="2">
        <v>45291</v>
      </c>
      <c r="K188">
        <v>25000</v>
      </c>
      <c r="M188" s="1" t="s">
        <v>567</v>
      </c>
    </row>
    <row r="189" spans="1:13">
      <c r="A189" t="s">
        <v>81</v>
      </c>
      <c r="B189" t="s">
        <v>231</v>
      </c>
      <c r="C189" s="2">
        <v>45107</v>
      </c>
      <c r="D189">
        <v>14414</v>
      </c>
      <c r="F189" s="1" t="s">
        <v>567</v>
      </c>
      <c r="H189" t="s">
        <v>283</v>
      </c>
      <c r="I189">
        <v>150</v>
      </c>
      <c r="J189" s="2">
        <v>45322</v>
      </c>
      <c r="K189">
        <v>25000</v>
      </c>
      <c r="M189" s="1" t="s">
        <v>567</v>
      </c>
    </row>
    <row r="190" spans="1:13">
      <c r="A190" t="s">
        <v>81</v>
      </c>
      <c r="B190" t="s">
        <v>231</v>
      </c>
      <c r="C190" s="2">
        <v>45138</v>
      </c>
      <c r="D190">
        <v>15856</v>
      </c>
      <c r="F190" s="1" t="s">
        <v>567</v>
      </c>
      <c r="H190" t="s">
        <v>283</v>
      </c>
      <c r="I190">
        <v>150</v>
      </c>
      <c r="J190" s="2">
        <v>45351</v>
      </c>
      <c r="K190">
        <v>25000</v>
      </c>
      <c r="M190" s="1" t="s">
        <v>567</v>
      </c>
    </row>
    <row r="191" spans="1:13">
      <c r="A191" t="s">
        <v>81</v>
      </c>
      <c r="B191" t="s">
        <v>231</v>
      </c>
      <c r="C191" s="2">
        <v>45169</v>
      </c>
      <c r="D191">
        <v>17440.5</v>
      </c>
      <c r="F191" s="1" t="s">
        <v>567</v>
      </c>
      <c r="H191" t="s">
        <v>283</v>
      </c>
      <c r="I191">
        <v>150</v>
      </c>
      <c r="J191" s="2">
        <v>45382</v>
      </c>
      <c r="K191">
        <v>25000</v>
      </c>
      <c r="M191" s="1" t="s">
        <v>567</v>
      </c>
    </row>
    <row r="192" spans="1:13">
      <c r="A192" t="s">
        <v>81</v>
      </c>
      <c r="B192" t="s">
        <v>231</v>
      </c>
      <c r="C192" s="2">
        <v>45199</v>
      </c>
      <c r="D192">
        <v>19185.5</v>
      </c>
      <c r="F192" s="1" t="s">
        <v>567</v>
      </c>
      <c r="H192" t="s">
        <v>283</v>
      </c>
      <c r="I192">
        <v>150</v>
      </c>
      <c r="J192" s="2">
        <v>45412</v>
      </c>
      <c r="K192">
        <v>25000</v>
      </c>
      <c r="M192" s="1" t="s">
        <v>567</v>
      </c>
    </row>
    <row r="193" spans="1:13">
      <c r="A193" t="s">
        <v>81</v>
      </c>
      <c r="B193" t="s">
        <v>231</v>
      </c>
      <c r="C193" s="2">
        <v>45230</v>
      </c>
      <c r="D193">
        <v>21103.5</v>
      </c>
      <c r="F193" s="1" t="s">
        <v>567</v>
      </c>
      <c r="H193" t="s">
        <v>283</v>
      </c>
      <c r="I193">
        <v>150</v>
      </c>
      <c r="J193" s="2">
        <v>45443</v>
      </c>
      <c r="K193">
        <v>25000</v>
      </c>
      <c r="M193" s="1" t="s">
        <v>567</v>
      </c>
    </row>
    <row r="194" spans="1:13">
      <c r="A194" t="s">
        <v>81</v>
      </c>
      <c r="B194" t="s">
        <v>231</v>
      </c>
      <c r="C194" s="2">
        <v>45260</v>
      </c>
      <c r="D194">
        <v>42721.5</v>
      </c>
      <c r="F194" s="1" t="s">
        <v>567</v>
      </c>
      <c r="H194" t="s">
        <v>283</v>
      </c>
      <c r="I194">
        <v>150</v>
      </c>
      <c r="J194" s="2">
        <v>45473</v>
      </c>
      <c r="K194">
        <v>25000</v>
      </c>
      <c r="M194" s="1" t="s">
        <v>567</v>
      </c>
    </row>
    <row r="195" spans="1:13">
      <c r="A195" t="s">
        <v>81</v>
      </c>
      <c r="B195" t="s">
        <v>231</v>
      </c>
      <c r="C195" s="2">
        <v>45291</v>
      </c>
      <c r="D195">
        <v>36202.5</v>
      </c>
      <c r="F195" s="1" t="s">
        <v>567</v>
      </c>
      <c r="H195" t="s">
        <v>283</v>
      </c>
      <c r="I195">
        <v>150</v>
      </c>
      <c r="J195" s="2">
        <v>45504</v>
      </c>
      <c r="K195">
        <v>25000</v>
      </c>
      <c r="M195" s="1" t="s">
        <v>567</v>
      </c>
    </row>
    <row r="196" spans="1:13">
      <c r="A196" t="s">
        <v>81</v>
      </c>
      <c r="B196" t="s">
        <v>231</v>
      </c>
      <c r="C196" s="2">
        <v>45322</v>
      </c>
      <c r="D196">
        <v>44857.5</v>
      </c>
      <c r="F196" s="1" t="s">
        <v>567</v>
      </c>
      <c r="H196" t="s">
        <v>283</v>
      </c>
      <c r="I196">
        <v>150</v>
      </c>
      <c r="J196" s="2">
        <v>45535</v>
      </c>
      <c r="K196">
        <v>25000</v>
      </c>
      <c r="M196" s="1" t="s">
        <v>567</v>
      </c>
    </row>
    <row r="197" spans="1:13">
      <c r="A197" t="s">
        <v>81</v>
      </c>
      <c r="B197" t="s">
        <v>231</v>
      </c>
      <c r="C197" s="2">
        <v>45351</v>
      </c>
      <c r="D197">
        <v>38012</v>
      </c>
      <c r="F197" s="1" t="s">
        <v>567</v>
      </c>
      <c r="H197" t="s">
        <v>283</v>
      </c>
      <c r="I197">
        <v>150</v>
      </c>
      <c r="J197" s="2">
        <v>45565</v>
      </c>
      <c r="K197">
        <v>25000</v>
      </c>
      <c r="M197" s="1" t="s">
        <v>567</v>
      </c>
    </row>
    <row r="198" spans="1:13">
      <c r="A198" t="s">
        <v>81</v>
      </c>
      <c r="B198" t="s">
        <v>231</v>
      </c>
      <c r="C198" s="2">
        <v>45382</v>
      </c>
      <c r="D198">
        <v>47100.5</v>
      </c>
      <c r="F198" s="1" t="s">
        <v>567</v>
      </c>
      <c r="H198" t="s">
        <v>283</v>
      </c>
      <c r="I198">
        <v>150</v>
      </c>
      <c r="J198" s="2">
        <v>45596</v>
      </c>
      <c r="K198">
        <v>25000</v>
      </c>
      <c r="M198" s="1" t="s">
        <v>567</v>
      </c>
    </row>
    <row r="199" spans="1:13">
      <c r="A199" t="s">
        <v>81</v>
      </c>
      <c r="B199" t="s">
        <v>231</v>
      </c>
      <c r="C199" s="2">
        <v>45412</v>
      </c>
      <c r="D199">
        <v>39913.5</v>
      </c>
      <c r="F199" s="1" t="s">
        <v>567</v>
      </c>
      <c r="H199" t="s">
        <v>283</v>
      </c>
      <c r="I199">
        <v>150</v>
      </c>
      <c r="J199" s="2">
        <v>45626</v>
      </c>
      <c r="K199">
        <v>25000</v>
      </c>
      <c r="M199" s="1" t="s">
        <v>567</v>
      </c>
    </row>
    <row r="200" spans="1:13">
      <c r="A200" t="s">
        <v>81</v>
      </c>
      <c r="B200" t="s">
        <v>231</v>
      </c>
      <c r="C200" s="2">
        <v>45443</v>
      </c>
      <c r="D200">
        <v>49455.5</v>
      </c>
      <c r="F200" s="1" t="s">
        <v>567</v>
      </c>
      <c r="H200" t="s">
        <v>283</v>
      </c>
      <c r="I200">
        <v>150</v>
      </c>
      <c r="J200" s="2">
        <v>45657</v>
      </c>
      <c r="K200">
        <v>25000</v>
      </c>
      <c r="M200" s="1" t="s">
        <v>567</v>
      </c>
    </row>
    <row r="201" spans="1:13">
      <c r="A201" t="s">
        <v>81</v>
      </c>
      <c r="B201" t="s">
        <v>231</v>
      </c>
      <c r="C201" s="2">
        <v>45473</v>
      </c>
      <c r="D201">
        <v>41908.5</v>
      </c>
      <c r="F201" s="1" t="s">
        <v>567</v>
      </c>
      <c r="H201" t="s">
        <v>283</v>
      </c>
      <c r="I201">
        <v>150</v>
      </c>
      <c r="J201" s="2">
        <v>45688</v>
      </c>
      <c r="K201">
        <v>25000</v>
      </c>
      <c r="M201" s="1" t="s">
        <v>567</v>
      </c>
    </row>
    <row r="202" spans="1:13">
      <c r="A202" t="s">
        <v>81</v>
      </c>
      <c r="B202" t="s">
        <v>231</v>
      </c>
      <c r="C202" s="2">
        <v>45504</v>
      </c>
      <c r="D202">
        <v>44005</v>
      </c>
      <c r="F202" s="1" t="s">
        <v>567</v>
      </c>
      <c r="H202" t="s">
        <v>283</v>
      </c>
      <c r="I202">
        <v>150</v>
      </c>
      <c r="J202" s="2">
        <v>45716</v>
      </c>
      <c r="K202">
        <v>25000</v>
      </c>
      <c r="M202" s="1" t="s">
        <v>567</v>
      </c>
    </row>
    <row r="203" spans="1:13">
      <c r="A203" t="s">
        <v>81</v>
      </c>
      <c r="B203" t="s">
        <v>231</v>
      </c>
      <c r="C203" s="2">
        <v>45535</v>
      </c>
      <c r="D203">
        <v>44005.5</v>
      </c>
      <c r="F203" s="1" t="s">
        <v>567</v>
      </c>
      <c r="H203" t="s">
        <v>283</v>
      </c>
      <c r="I203">
        <v>150</v>
      </c>
      <c r="J203" s="2">
        <v>45747</v>
      </c>
      <c r="K203">
        <v>25000</v>
      </c>
      <c r="M203" s="1" t="s">
        <v>567</v>
      </c>
    </row>
    <row r="204" spans="1:13">
      <c r="A204" t="s">
        <v>81</v>
      </c>
      <c r="B204" t="s">
        <v>231</v>
      </c>
      <c r="C204" s="2">
        <v>45565</v>
      </c>
      <c r="D204">
        <v>46205</v>
      </c>
      <c r="F204" s="1" t="s">
        <v>567</v>
      </c>
      <c r="H204" t="s">
        <v>283</v>
      </c>
      <c r="I204">
        <v>150</v>
      </c>
      <c r="J204" s="2">
        <v>45777</v>
      </c>
      <c r="K204">
        <v>25000</v>
      </c>
      <c r="M204" s="1" t="s">
        <v>567</v>
      </c>
    </row>
    <row r="205" spans="1:13">
      <c r="A205" t="s">
        <v>81</v>
      </c>
      <c r="B205" t="s">
        <v>231</v>
      </c>
      <c r="C205" s="2">
        <v>45596</v>
      </c>
      <c r="D205">
        <v>46204.67</v>
      </c>
      <c r="F205" s="1" t="s">
        <v>567</v>
      </c>
      <c r="H205" t="s">
        <v>283</v>
      </c>
      <c r="I205">
        <v>150</v>
      </c>
      <c r="J205" s="2">
        <v>45808</v>
      </c>
      <c r="K205">
        <v>25000</v>
      </c>
      <c r="M205" s="1" t="s">
        <v>567</v>
      </c>
    </row>
    <row r="206" spans="1:13">
      <c r="A206" t="s">
        <v>81</v>
      </c>
      <c r="B206" t="s">
        <v>231</v>
      </c>
      <c r="C206" s="2">
        <v>45626</v>
      </c>
      <c r="D206">
        <v>48514.67</v>
      </c>
      <c r="F206" s="1" t="s">
        <v>567</v>
      </c>
      <c r="H206" t="s">
        <v>283</v>
      </c>
      <c r="I206">
        <v>150</v>
      </c>
      <c r="J206" s="2">
        <v>45838</v>
      </c>
      <c r="K206">
        <v>25000</v>
      </c>
      <c r="M206" s="1" t="s">
        <v>567</v>
      </c>
    </row>
    <row r="207" spans="1:13">
      <c r="A207" t="s">
        <v>81</v>
      </c>
      <c r="B207" t="s">
        <v>231</v>
      </c>
      <c r="C207" s="2">
        <v>45657</v>
      </c>
      <c r="D207">
        <v>50941</v>
      </c>
      <c r="F207" s="1" t="s">
        <v>567</v>
      </c>
      <c r="H207" t="s">
        <v>283</v>
      </c>
      <c r="I207">
        <v>150</v>
      </c>
      <c r="J207" s="2">
        <v>45869</v>
      </c>
      <c r="K207">
        <v>25000</v>
      </c>
      <c r="M207" s="1" t="s">
        <v>567</v>
      </c>
    </row>
    <row r="208" spans="1:13">
      <c r="A208" t="s">
        <v>81</v>
      </c>
      <c r="B208" t="s">
        <v>231</v>
      </c>
      <c r="C208" s="2">
        <v>45688</v>
      </c>
      <c r="D208">
        <v>53487.8</v>
      </c>
      <c r="F208" s="1" t="s">
        <v>567</v>
      </c>
      <c r="H208" t="s">
        <v>283</v>
      </c>
      <c r="I208">
        <v>150</v>
      </c>
      <c r="J208" s="2">
        <v>45900</v>
      </c>
      <c r="K208">
        <v>25000</v>
      </c>
      <c r="M208" s="1" t="s">
        <v>567</v>
      </c>
    </row>
    <row r="209" spans="1:13">
      <c r="A209" t="s">
        <v>81</v>
      </c>
      <c r="B209" t="s">
        <v>231</v>
      </c>
      <c r="C209" s="2">
        <v>45716</v>
      </c>
      <c r="D209">
        <v>56163</v>
      </c>
      <c r="F209" s="1" t="s">
        <v>567</v>
      </c>
      <c r="H209" t="s">
        <v>283</v>
      </c>
      <c r="I209">
        <v>150</v>
      </c>
      <c r="J209" s="2">
        <v>45930</v>
      </c>
      <c r="K209">
        <v>25000</v>
      </c>
      <c r="M209" s="1" t="s">
        <v>567</v>
      </c>
    </row>
    <row r="210" spans="1:13">
      <c r="A210" t="s">
        <v>81</v>
      </c>
      <c r="B210" t="s">
        <v>231</v>
      </c>
      <c r="C210" s="2">
        <v>45747</v>
      </c>
      <c r="D210">
        <v>58971</v>
      </c>
      <c r="F210" s="1" t="s">
        <v>567</v>
      </c>
      <c r="H210" t="s">
        <v>283</v>
      </c>
      <c r="I210">
        <v>150</v>
      </c>
      <c r="J210" s="2">
        <v>45961</v>
      </c>
      <c r="K210">
        <v>25000</v>
      </c>
      <c r="M210" s="1" t="s">
        <v>567</v>
      </c>
    </row>
    <row r="211" spans="1:13">
      <c r="A211" t="s">
        <v>81</v>
      </c>
      <c r="B211" t="s">
        <v>231</v>
      </c>
      <c r="C211" s="2">
        <v>45777</v>
      </c>
      <c r="D211">
        <v>61919</v>
      </c>
      <c r="F211" s="1" t="s">
        <v>567</v>
      </c>
      <c r="H211" t="s">
        <v>283</v>
      </c>
      <c r="I211">
        <v>150</v>
      </c>
      <c r="J211" s="2">
        <v>45991</v>
      </c>
      <c r="K211">
        <v>25000</v>
      </c>
      <c r="M211" s="1" t="s">
        <v>567</v>
      </c>
    </row>
    <row r="212" spans="1:13">
      <c r="A212" t="s">
        <v>81</v>
      </c>
      <c r="B212" t="s">
        <v>231</v>
      </c>
      <c r="C212" s="2">
        <v>45808</v>
      </c>
      <c r="D212">
        <v>65014</v>
      </c>
      <c r="F212" s="1" t="s">
        <v>567</v>
      </c>
      <c r="H212" t="s">
        <v>285</v>
      </c>
      <c r="I212">
        <v>42</v>
      </c>
      <c r="J212" s="2">
        <v>45838</v>
      </c>
      <c r="K212">
        <v>-300</v>
      </c>
      <c r="M212" s="1" t="s">
        <v>567</v>
      </c>
    </row>
    <row r="213" spans="1:13">
      <c r="A213" t="s">
        <v>81</v>
      </c>
      <c r="B213" t="s">
        <v>231</v>
      </c>
      <c r="C213" s="2">
        <v>45838</v>
      </c>
      <c r="D213">
        <v>76665.490000000005</v>
      </c>
      <c r="F213" s="1" t="s">
        <v>567</v>
      </c>
      <c r="H213" t="s">
        <v>285</v>
      </c>
      <c r="I213">
        <v>42</v>
      </c>
      <c r="J213" s="2">
        <v>45869</v>
      </c>
      <c r="K213">
        <v>700</v>
      </c>
      <c r="M213" s="1" t="s">
        <v>567</v>
      </c>
    </row>
    <row r="214" spans="1:13">
      <c r="A214" t="s">
        <v>81</v>
      </c>
      <c r="B214" t="s">
        <v>231</v>
      </c>
      <c r="C214" s="2">
        <v>45869</v>
      </c>
      <c r="D214">
        <v>79178.759999999995</v>
      </c>
      <c r="F214" s="1" t="s">
        <v>567</v>
      </c>
      <c r="H214" t="s">
        <v>285</v>
      </c>
      <c r="I214">
        <v>42</v>
      </c>
      <c r="J214" s="2">
        <v>45900</v>
      </c>
      <c r="K214">
        <v>700</v>
      </c>
      <c r="M214" s="1" t="s">
        <v>567</v>
      </c>
    </row>
    <row r="215" spans="1:13">
      <c r="A215" t="s">
        <v>81</v>
      </c>
      <c r="B215" t="s">
        <v>231</v>
      </c>
      <c r="C215" s="2">
        <v>45900</v>
      </c>
      <c r="D215">
        <v>75262.700000000012</v>
      </c>
      <c r="F215" s="1" t="s">
        <v>567</v>
      </c>
      <c r="H215" t="s">
        <v>285</v>
      </c>
      <c r="I215">
        <v>42</v>
      </c>
      <c r="J215" s="2">
        <v>45930</v>
      </c>
      <c r="K215">
        <v>700</v>
      </c>
      <c r="M215" s="1" t="s">
        <v>567</v>
      </c>
    </row>
    <row r="216" spans="1:13">
      <c r="A216" t="s">
        <v>81</v>
      </c>
      <c r="B216" t="s">
        <v>231</v>
      </c>
      <c r="C216" s="2">
        <v>45930</v>
      </c>
      <c r="D216">
        <v>97025.83</v>
      </c>
      <c r="F216" s="1" t="s">
        <v>567</v>
      </c>
      <c r="H216" t="s">
        <v>285</v>
      </c>
      <c r="I216">
        <v>42</v>
      </c>
      <c r="J216" s="2">
        <v>45961</v>
      </c>
      <c r="K216">
        <v>700</v>
      </c>
      <c r="M216" s="1" t="s">
        <v>567</v>
      </c>
    </row>
    <row r="217" spans="1:13">
      <c r="A217" t="s">
        <v>81</v>
      </c>
      <c r="B217" t="s">
        <v>231</v>
      </c>
      <c r="C217" s="2">
        <v>45961</v>
      </c>
      <c r="D217">
        <v>92977.12</v>
      </c>
      <c r="F217" s="1" t="s">
        <v>567</v>
      </c>
      <c r="H217" t="s">
        <v>285</v>
      </c>
      <c r="I217">
        <v>42</v>
      </c>
      <c r="J217" s="2">
        <v>45991</v>
      </c>
      <c r="K217">
        <v>700</v>
      </c>
      <c r="M217" s="1" t="s">
        <v>567</v>
      </c>
    </row>
    <row r="218" spans="1:13">
      <c r="A218" t="s">
        <v>81</v>
      </c>
      <c r="B218" t="s">
        <v>231</v>
      </c>
      <c r="C218" s="2">
        <v>45991</v>
      </c>
      <c r="D218">
        <v>102625.98</v>
      </c>
      <c r="F218" s="1" t="s">
        <v>567</v>
      </c>
      <c r="H218" t="s">
        <v>286</v>
      </c>
      <c r="I218" t="s">
        <v>287</v>
      </c>
      <c r="J218" s="2">
        <v>44957</v>
      </c>
      <c r="K218">
        <v>28970</v>
      </c>
      <c r="M218" s="1" t="s">
        <v>567</v>
      </c>
    </row>
    <row r="219" spans="1:13">
      <c r="A219" t="s">
        <v>233</v>
      </c>
      <c r="B219">
        <v>173</v>
      </c>
      <c r="C219" s="2">
        <v>44957</v>
      </c>
      <c r="D219">
        <v>1000</v>
      </c>
      <c r="F219" s="1" t="s">
        <v>567</v>
      </c>
      <c r="H219" t="s">
        <v>286</v>
      </c>
      <c r="I219" t="s">
        <v>287</v>
      </c>
      <c r="J219" s="2">
        <v>44985</v>
      </c>
      <c r="K219">
        <v>26333.5</v>
      </c>
      <c r="M219" s="1" t="s">
        <v>567</v>
      </c>
    </row>
    <row r="220" spans="1:13">
      <c r="A220" t="s">
        <v>233</v>
      </c>
      <c r="B220">
        <v>173</v>
      </c>
      <c r="C220" s="2">
        <v>44985</v>
      </c>
      <c r="D220">
        <v>1035</v>
      </c>
      <c r="F220" s="1" t="s">
        <v>567</v>
      </c>
      <c r="H220" t="s">
        <v>286</v>
      </c>
      <c r="I220" t="s">
        <v>287</v>
      </c>
      <c r="J220" s="2">
        <v>45016</v>
      </c>
      <c r="K220">
        <v>25623.5</v>
      </c>
      <c r="M220" s="1" t="s">
        <v>567</v>
      </c>
    </row>
    <row r="221" spans="1:13">
      <c r="A221" t="s">
        <v>233</v>
      </c>
      <c r="B221">
        <v>173</v>
      </c>
      <c r="C221" s="2">
        <v>45016</v>
      </c>
      <c r="D221">
        <v>1071</v>
      </c>
      <c r="F221" s="1" t="s">
        <v>567</v>
      </c>
      <c r="H221" t="s">
        <v>286</v>
      </c>
      <c r="I221" t="s">
        <v>287</v>
      </c>
      <c r="J221" s="2">
        <v>45046</v>
      </c>
      <c r="K221">
        <v>31437.5</v>
      </c>
      <c r="M221" s="1" t="s">
        <v>567</v>
      </c>
    </row>
    <row r="222" spans="1:13">
      <c r="A222" t="s">
        <v>233</v>
      </c>
      <c r="B222">
        <v>173</v>
      </c>
      <c r="C222" s="2">
        <v>45046</v>
      </c>
      <c r="D222">
        <v>1109</v>
      </c>
      <c r="F222" s="1" t="s">
        <v>567</v>
      </c>
      <c r="H222" t="s">
        <v>286</v>
      </c>
      <c r="I222" t="s">
        <v>287</v>
      </c>
      <c r="J222" s="2">
        <v>45077</v>
      </c>
      <c r="K222">
        <v>26713</v>
      </c>
      <c r="M222" s="1" t="s">
        <v>567</v>
      </c>
    </row>
    <row r="223" spans="1:13">
      <c r="A223" t="s">
        <v>233</v>
      </c>
      <c r="B223">
        <v>173</v>
      </c>
      <c r="C223" s="2">
        <v>45077</v>
      </c>
      <c r="D223">
        <v>1148</v>
      </c>
      <c r="F223" s="1" t="s">
        <v>567</v>
      </c>
      <c r="H223" t="s">
        <v>286</v>
      </c>
      <c r="I223" t="s">
        <v>287</v>
      </c>
      <c r="J223" s="2">
        <v>45107</v>
      </c>
      <c r="K223">
        <v>31402</v>
      </c>
      <c r="M223" s="1" t="s">
        <v>567</v>
      </c>
    </row>
    <row r="224" spans="1:13">
      <c r="A224" t="s">
        <v>233</v>
      </c>
      <c r="B224">
        <v>173</v>
      </c>
      <c r="C224" s="2">
        <v>45107</v>
      </c>
      <c r="D224">
        <v>1188</v>
      </c>
      <c r="F224" s="1" t="s">
        <v>567</v>
      </c>
      <c r="H224" t="s">
        <v>286</v>
      </c>
      <c r="I224" t="s">
        <v>287</v>
      </c>
      <c r="J224" s="2">
        <v>45138</v>
      </c>
      <c r="K224">
        <v>27773.5</v>
      </c>
      <c r="M224" s="1" t="s">
        <v>567</v>
      </c>
    </row>
    <row r="225" spans="1:13">
      <c r="A225" t="s">
        <v>233</v>
      </c>
      <c r="B225">
        <v>173</v>
      </c>
      <c r="C225" s="2">
        <v>45138</v>
      </c>
      <c r="D225">
        <v>1229</v>
      </c>
      <c r="F225" s="1" t="s">
        <v>567</v>
      </c>
      <c r="H225" t="s">
        <v>286</v>
      </c>
      <c r="I225" t="s">
        <v>287</v>
      </c>
      <c r="J225" s="2">
        <v>45169</v>
      </c>
      <c r="K225">
        <v>30752.5</v>
      </c>
      <c r="M225" s="1" t="s">
        <v>567</v>
      </c>
    </row>
    <row r="226" spans="1:13">
      <c r="A226" t="s">
        <v>233</v>
      </c>
      <c r="B226">
        <v>173</v>
      </c>
      <c r="C226" s="2">
        <v>45169</v>
      </c>
      <c r="D226">
        <v>1272</v>
      </c>
      <c r="F226" s="1" t="s">
        <v>567</v>
      </c>
      <c r="H226" t="s">
        <v>286</v>
      </c>
      <c r="I226" t="s">
        <v>287</v>
      </c>
      <c r="J226" s="2">
        <v>45199</v>
      </c>
      <c r="K226">
        <v>31222.5</v>
      </c>
      <c r="M226" s="1" t="s">
        <v>567</v>
      </c>
    </row>
    <row r="227" spans="1:13">
      <c r="A227" t="s">
        <v>233</v>
      </c>
      <c r="B227">
        <v>173</v>
      </c>
      <c r="C227" s="2">
        <v>45199</v>
      </c>
      <c r="D227">
        <v>1317</v>
      </c>
      <c r="F227" s="1" t="s">
        <v>567</v>
      </c>
      <c r="H227" t="s">
        <v>286</v>
      </c>
      <c r="I227" t="s">
        <v>287</v>
      </c>
      <c r="J227" s="2">
        <v>45230</v>
      </c>
      <c r="K227">
        <v>26119.5</v>
      </c>
      <c r="M227" s="1" t="s">
        <v>567</v>
      </c>
    </row>
    <row r="228" spans="1:13">
      <c r="A228" t="s">
        <v>233</v>
      </c>
      <c r="B228">
        <v>173</v>
      </c>
      <c r="C228" s="2">
        <v>45230</v>
      </c>
      <c r="D228">
        <v>1363</v>
      </c>
      <c r="F228" s="1" t="s">
        <v>567</v>
      </c>
      <c r="H228" t="s">
        <v>286</v>
      </c>
      <c r="I228" t="s">
        <v>287</v>
      </c>
      <c r="J228" s="2">
        <v>45260</v>
      </c>
      <c r="K228">
        <v>26119.5</v>
      </c>
      <c r="M228" s="1" t="s">
        <v>567</v>
      </c>
    </row>
    <row r="229" spans="1:13">
      <c r="A229" t="s">
        <v>233</v>
      </c>
      <c r="B229">
        <v>173</v>
      </c>
      <c r="C229" s="2">
        <v>45260</v>
      </c>
      <c r="D229">
        <v>2218</v>
      </c>
      <c r="F229" s="1" t="s">
        <v>567</v>
      </c>
      <c r="H229" t="s">
        <v>286</v>
      </c>
      <c r="I229" t="s">
        <v>287</v>
      </c>
      <c r="J229" s="2">
        <v>45291</v>
      </c>
      <c r="K229">
        <v>26119.5</v>
      </c>
      <c r="M229" s="1" t="s">
        <v>567</v>
      </c>
    </row>
    <row r="230" spans="1:13">
      <c r="A230" t="s">
        <v>233</v>
      </c>
      <c r="B230">
        <v>173</v>
      </c>
      <c r="C230" s="2">
        <v>45291</v>
      </c>
      <c r="D230">
        <v>2810</v>
      </c>
      <c r="F230" s="1" t="s">
        <v>567</v>
      </c>
      <c r="H230" t="s">
        <v>286</v>
      </c>
      <c r="I230" t="s">
        <v>287</v>
      </c>
      <c r="J230" s="2">
        <v>45322</v>
      </c>
      <c r="K230">
        <v>26119.5</v>
      </c>
      <c r="M230" s="1" t="s">
        <v>567</v>
      </c>
    </row>
    <row r="231" spans="1:13">
      <c r="A231" t="s">
        <v>233</v>
      </c>
      <c r="B231">
        <v>173</v>
      </c>
      <c r="C231" s="2">
        <v>45322</v>
      </c>
      <c r="D231">
        <v>2328</v>
      </c>
      <c r="F231" s="1" t="s">
        <v>567</v>
      </c>
      <c r="H231" t="s">
        <v>286</v>
      </c>
      <c r="I231" t="s">
        <v>287</v>
      </c>
      <c r="J231" s="2">
        <v>45351</v>
      </c>
      <c r="K231">
        <v>26119.5</v>
      </c>
      <c r="M231" s="1" t="s">
        <v>567</v>
      </c>
    </row>
    <row r="232" spans="1:13">
      <c r="A232" t="s">
        <v>233</v>
      </c>
      <c r="B232">
        <v>173</v>
      </c>
      <c r="C232" s="2">
        <v>45351</v>
      </c>
      <c r="D232">
        <v>2950</v>
      </c>
      <c r="F232" s="1" t="s">
        <v>567</v>
      </c>
      <c r="H232" t="s">
        <v>286</v>
      </c>
      <c r="I232" t="s">
        <v>287</v>
      </c>
      <c r="J232" s="2">
        <v>45382</v>
      </c>
      <c r="K232">
        <v>26119.5</v>
      </c>
      <c r="M232" s="1" t="s">
        <v>567</v>
      </c>
    </row>
    <row r="233" spans="1:13">
      <c r="A233" t="s">
        <v>233</v>
      </c>
      <c r="B233">
        <v>173</v>
      </c>
      <c r="C233" s="2">
        <v>45382</v>
      </c>
      <c r="D233">
        <v>2445</v>
      </c>
      <c r="F233" s="1" t="s">
        <v>567</v>
      </c>
      <c r="H233" t="s">
        <v>286</v>
      </c>
      <c r="I233" t="s">
        <v>287</v>
      </c>
      <c r="J233" s="2">
        <v>45412</v>
      </c>
      <c r="K233">
        <v>26119.5</v>
      </c>
      <c r="M233" s="1" t="s">
        <v>567</v>
      </c>
    </row>
    <row r="234" spans="1:13">
      <c r="A234" t="s">
        <v>233</v>
      </c>
      <c r="B234">
        <v>173</v>
      </c>
      <c r="C234" s="2">
        <v>45412</v>
      </c>
      <c r="D234">
        <v>3098</v>
      </c>
      <c r="F234" s="1" t="s">
        <v>567</v>
      </c>
      <c r="H234" t="s">
        <v>286</v>
      </c>
      <c r="I234" t="s">
        <v>287</v>
      </c>
      <c r="J234" s="2">
        <v>45443</v>
      </c>
      <c r="K234">
        <v>26119.5</v>
      </c>
      <c r="M234" s="1" t="s">
        <v>567</v>
      </c>
    </row>
    <row r="235" spans="1:13">
      <c r="A235" t="s">
        <v>233</v>
      </c>
      <c r="B235">
        <v>173</v>
      </c>
      <c r="C235" s="2">
        <v>45443</v>
      </c>
      <c r="D235">
        <v>2567</v>
      </c>
      <c r="F235" s="1" t="s">
        <v>567</v>
      </c>
      <c r="H235" t="s">
        <v>286</v>
      </c>
      <c r="I235" t="s">
        <v>287</v>
      </c>
      <c r="J235" s="2">
        <v>45473</v>
      </c>
      <c r="K235">
        <v>26119.5</v>
      </c>
      <c r="M235" s="1" t="s">
        <v>567</v>
      </c>
    </row>
    <row r="236" spans="1:13">
      <c r="A236" t="s">
        <v>233</v>
      </c>
      <c r="B236">
        <v>173</v>
      </c>
      <c r="C236" s="2">
        <v>45473</v>
      </c>
      <c r="D236">
        <v>3253</v>
      </c>
      <c r="F236" s="1" t="s">
        <v>567</v>
      </c>
      <c r="H236" t="s">
        <v>286</v>
      </c>
      <c r="I236" t="s">
        <v>287</v>
      </c>
      <c r="J236" s="2">
        <v>45504</v>
      </c>
      <c r="K236">
        <v>26119.5</v>
      </c>
      <c r="M236" s="1" t="s">
        <v>567</v>
      </c>
    </row>
    <row r="237" spans="1:13">
      <c r="A237" t="s">
        <v>233</v>
      </c>
      <c r="B237">
        <v>173</v>
      </c>
      <c r="C237" s="2">
        <v>45504</v>
      </c>
      <c r="D237">
        <v>3416</v>
      </c>
      <c r="F237" s="1" t="s">
        <v>567</v>
      </c>
      <c r="H237" t="s">
        <v>286</v>
      </c>
      <c r="I237" t="s">
        <v>287</v>
      </c>
      <c r="J237" s="2">
        <v>45535</v>
      </c>
      <c r="K237">
        <v>26119.5</v>
      </c>
      <c r="M237" s="1" t="s">
        <v>567</v>
      </c>
    </row>
    <row r="238" spans="1:13">
      <c r="A238" t="s">
        <v>233</v>
      </c>
      <c r="B238">
        <v>173</v>
      </c>
      <c r="C238" s="2">
        <v>45535</v>
      </c>
      <c r="D238">
        <v>3416</v>
      </c>
      <c r="F238" s="1" t="s">
        <v>567</v>
      </c>
      <c r="H238" t="s">
        <v>286</v>
      </c>
      <c r="I238" t="s">
        <v>287</v>
      </c>
      <c r="J238" s="2">
        <v>45565</v>
      </c>
      <c r="K238">
        <v>26119.5</v>
      </c>
      <c r="M238" s="1" t="s">
        <v>567</v>
      </c>
    </row>
    <row r="239" spans="1:13">
      <c r="A239" t="s">
        <v>233</v>
      </c>
      <c r="B239">
        <v>173</v>
      </c>
      <c r="C239" s="2">
        <v>45565</v>
      </c>
      <c r="D239">
        <v>3586</v>
      </c>
      <c r="F239" s="1" t="s">
        <v>567</v>
      </c>
      <c r="H239" t="s">
        <v>286</v>
      </c>
      <c r="I239" t="s">
        <v>287</v>
      </c>
      <c r="J239" s="2">
        <v>45596</v>
      </c>
      <c r="K239">
        <v>26119.5</v>
      </c>
      <c r="M239" s="1" t="s">
        <v>567</v>
      </c>
    </row>
    <row r="240" spans="1:13">
      <c r="A240" t="s">
        <v>233</v>
      </c>
      <c r="B240">
        <v>173</v>
      </c>
      <c r="C240" s="2">
        <v>45596</v>
      </c>
      <c r="D240">
        <v>3586</v>
      </c>
      <c r="F240" s="1" t="s">
        <v>567</v>
      </c>
      <c r="H240" t="s">
        <v>286</v>
      </c>
      <c r="I240" t="s">
        <v>287</v>
      </c>
      <c r="J240" s="2">
        <v>45626</v>
      </c>
      <c r="K240">
        <v>26119.5</v>
      </c>
      <c r="M240" s="1" t="s">
        <v>567</v>
      </c>
    </row>
    <row r="241" spans="1:13">
      <c r="A241" t="s">
        <v>233</v>
      </c>
      <c r="B241">
        <v>173</v>
      </c>
      <c r="C241" s="2">
        <v>45626</v>
      </c>
      <c r="D241">
        <v>3766</v>
      </c>
      <c r="F241" s="1" t="s">
        <v>567</v>
      </c>
      <c r="H241" t="s">
        <v>286</v>
      </c>
      <c r="I241" t="s">
        <v>287</v>
      </c>
      <c r="J241" s="2">
        <v>45657</v>
      </c>
      <c r="K241">
        <v>26119.5</v>
      </c>
      <c r="M241" s="1" t="s">
        <v>567</v>
      </c>
    </row>
    <row r="242" spans="1:13">
      <c r="A242" t="s">
        <v>233</v>
      </c>
      <c r="B242">
        <v>173</v>
      </c>
      <c r="C242" s="2">
        <v>45657</v>
      </c>
      <c r="D242">
        <v>3954</v>
      </c>
      <c r="F242" s="1" t="s">
        <v>567</v>
      </c>
      <c r="H242" t="s">
        <v>286</v>
      </c>
      <c r="I242" t="s">
        <v>287</v>
      </c>
      <c r="J242" s="2">
        <v>45688</v>
      </c>
      <c r="K242">
        <v>26119.5</v>
      </c>
      <c r="M242" s="1" t="s">
        <v>567</v>
      </c>
    </row>
    <row r="243" spans="1:13">
      <c r="A243" t="s">
        <v>233</v>
      </c>
      <c r="B243">
        <v>173</v>
      </c>
      <c r="C243" s="2">
        <v>45688</v>
      </c>
      <c r="D243">
        <v>4151.6099999999997</v>
      </c>
      <c r="F243" s="1" t="s">
        <v>567</v>
      </c>
      <c r="H243" t="s">
        <v>286</v>
      </c>
      <c r="I243" t="s">
        <v>287</v>
      </c>
      <c r="J243" s="2">
        <v>45716</v>
      </c>
      <c r="K243">
        <v>26119.5</v>
      </c>
      <c r="M243" s="1" t="s">
        <v>567</v>
      </c>
    </row>
    <row r="244" spans="1:13">
      <c r="A244" t="s">
        <v>233</v>
      </c>
      <c r="B244">
        <v>173</v>
      </c>
      <c r="C244" s="2">
        <v>45716</v>
      </c>
      <c r="D244">
        <v>4359</v>
      </c>
      <c r="F244" s="1" t="s">
        <v>567</v>
      </c>
      <c r="H244" t="s">
        <v>286</v>
      </c>
      <c r="I244" t="s">
        <v>287</v>
      </c>
      <c r="J244" s="2">
        <v>45747</v>
      </c>
      <c r="K244">
        <v>26119.5</v>
      </c>
      <c r="M244" s="1" t="s">
        <v>567</v>
      </c>
    </row>
    <row r="245" spans="1:13">
      <c r="A245" t="s">
        <v>233</v>
      </c>
      <c r="B245">
        <v>173</v>
      </c>
      <c r="C245" s="2">
        <v>45747</v>
      </c>
      <c r="D245">
        <v>4577</v>
      </c>
      <c r="F245" s="1" t="s">
        <v>567</v>
      </c>
      <c r="H245" t="s">
        <v>286</v>
      </c>
      <c r="I245" t="s">
        <v>287</v>
      </c>
      <c r="J245" s="2">
        <v>45777</v>
      </c>
      <c r="K245">
        <v>26119.5</v>
      </c>
      <c r="M245" s="1" t="s">
        <v>567</v>
      </c>
    </row>
    <row r="246" spans="1:13">
      <c r="A246" t="s">
        <v>233</v>
      </c>
      <c r="B246">
        <v>173</v>
      </c>
      <c r="C246" s="2">
        <v>45777</v>
      </c>
      <c r="D246">
        <v>4806</v>
      </c>
      <c r="F246" s="1" t="s">
        <v>567</v>
      </c>
      <c r="H246" t="s">
        <v>286</v>
      </c>
      <c r="I246" t="s">
        <v>287</v>
      </c>
      <c r="J246" s="2">
        <v>45808</v>
      </c>
      <c r="K246">
        <v>26119.5</v>
      </c>
      <c r="M246" s="1" t="s">
        <v>567</v>
      </c>
    </row>
    <row r="247" spans="1:13">
      <c r="A247" t="s">
        <v>233</v>
      </c>
      <c r="B247">
        <v>173</v>
      </c>
      <c r="C247" s="2">
        <v>45808</v>
      </c>
      <c r="D247">
        <v>5046</v>
      </c>
      <c r="F247" s="1" t="s">
        <v>567</v>
      </c>
      <c r="H247" t="s">
        <v>286</v>
      </c>
      <c r="I247" t="s">
        <v>287</v>
      </c>
      <c r="J247" s="2">
        <v>45838</v>
      </c>
      <c r="K247">
        <v>25819.5</v>
      </c>
      <c r="M247" s="1" t="s">
        <v>567</v>
      </c>
    </row>
    <row r="248" spans="1:13">
      <c r="A248" t="s">
        <v>233</v>
      </c>
      <c r="B248">
        <v>173</v>
      </c>
      <c r="C248" s="2">
        <v>45838</v>
      </c>
      <c r="D248">
        <v>5298.63</v>
      </c>
      <c r="F248" s="1" t="s">
        <v>567</v>
      </c>
      <c r="H248" t="s">
        <v>286</v>
      </c>
      <c r="I248" t="s">
        <v>287</v>
      </c>
      <c r="J248" s="2">
        <v>45869</v>
      </c>
      <c r="K248">
        <v>25019.5</v>
      </c>
      <c r="M248" s="1" t="s">
        <v>567</v>
      </c>
    </row>
    <row r="249" spans="1:13">
      <c r="A249" t="s">
        <v>233</v>
      </c>
      <c r="B249">
        <v>173</v>
      </c>
      <c r="C249" s="2">
        <v>45869</v>
      </c>
      <c r="D249">
        <v>5563.56</v>
      </c>
      <c r="F249" s="1" t="s">
        <v>567</v>
      </c>
      <c r="H249" t="s">
        <v>286</v>
      </c>
      <c r="I249" t="s">
        <v>287</v>
      </c>
      <c r="J249" s="2">
        <v>45900</v>
      </c>
      <c r="K249">
        <v>25019.5</v>
      </c>
      <c r="M249" s="1" t="s">
        <v>567</v>
      </c>
    </row>
    <row r="250" spans="1:13">
      <c r="A250" t="s">
        <v>233</v>
      </c>
      <c r="B250">
        <v>173</v>
      </c>
      <c r="C250" s="2">
        <v>45900</v>
      </c>
      <c r="D250">
        <v>5841.73</v>
      </c>
      <c r="F250" s="1" t="s">
        <v>567</v>
      </c>
      <c r="H250" t="s">
        <v>286</v>
      </c>
      <c r="I250" t="s">
        <v>287</v>
      </c>
      <c r="J250" s="2">
        <v>45930</v>
      </c>
      <c r="K250">
        <v>25019.5</v>
      </c>
      <c r="M250" s="1" t="s">
        <v>567</v>
      </c>
    </row>
    <row r="251" spans="1:13">
      <c r="A251" t="s">
        <v>233</v>
      </c>
      <c r="B251">
        <v>173</v>
      </c>
      <c r="C251" s="2">
        <v>45930</v>
      </c>
      <c r="D251">
        <v>6133.82</v>
      </c>
      <c r="F251" s="1" t="s">
        <v>567</v>
      </c>
      <c r="H251" t="s">
        <v>286</v>
      </c>
      <c r="I251" t="s">
        <v>287</v>
      </c>
      <c r="J251" s="2">
        <v>45961</v>
      </c>
      <c r="K251">
        <v>25019.5</v>
      </c>
      <c r="M251" s="1" t="s">
        <v>567</v>
      </c>
    </row>
    <row r="252" spans="1:13">
      <c r="A252" t="s">
        <v>233</v>
      </c>
      <c r="B252">
        <v>173</v>
      </c>
      <c r="C252" s="2">
        <v>45961</v>
      </c>
      <c r="D252">
        <v>6440.51</v>
      </c>
      <c r="F252" s="1" t="s">
        <v>567</v>
      </c>
      <c r="H252" t="s">
        <v>286</v>
      </c>
      <c r="I252" t="s">
        <v>287</v>
      </c>
      <c r="J252" s="2">
        <v>45991</v>
      </c>
      <c r="K252">
        <v>19969.5</v>
      </c>
      <c r="M252" s="1" t="s">
        <v>567</v>
      </c>
    </row>
    <row r="253" spans="1:13">
      <c r="A253" t="s">
        <v>233</v>
      </c>
      <c r="B253">
        <v>173</v>
      </c>
      <c r="C253" s="2">
        <v>45991</v>
      </c>
      <c r="D253">
        <v>6762.54</v>
      </c>
      <c r="F253" s="1" t="s">
        <v>567</v>
      </c>
      <c r="H253" t="s">
        <v>288</v>
      </c>
      <c r="I253" t="s">
        <v>289</v>
      </c>
      <c r="J253" s="2">
        <v>44957</v>
      </c>
      <c r="K253">
        <v>951847</v>
      </c>
      <c r="M253" s="1" t="s">
        <v>567</v>
      </c>
    </row>
    <row r="254" spans="1:13">
      <c r="A254" t="s">
        <v>234</v>
      </c>
      <c r="B254">
        <v>174</v>
      </c>
      <c r="C254" s="2">
        <v>45900</v>
      </c>
      <c r="D254">
        <v>500</v>
      </c>
      <c r="F254" s="1" t="s">
        <v>567</v>
      </c>
      <c r="H254" t="s">
        <v>288</v>
      </c>
      <c r="I254" t="s">
        <v>289</v>
      </c>
      <c r="J254" s="2">
        <v>44985</v>
      </c>
      <c r="K254">
        <v>914600</v>
      </c>
      <c r="M254" s="1" t="s">
        <v>567</v>
      </c>
    </row>
    <row r="255" spans="1:13">
      <c r="A255" t="s">
        <v>235</v>
      </c>
      <c r="B255">
        <v>175</v>
      </c>
      <c r="C255" s="2">
        <v>44957</v>
      </c>
      <c r="D255">
        <v>1500</v>
      </c>
      <c r="F255" s="1" t="s">
        <v>567</v>
      </c>
      <c r="H255" t="s">
        <v>288</v>
      </c>
      <c r="I255" t="s">
        <v>289</v>
      </c>
      <c r="J255" s="2">
        <v>45016</v>
      </c>
      <c r="K255">
        <v>868192</v>
      </c>
      <c r="M255" s="1" t="s">
        <v>567</v>
      </c>
    </row>
    <row r="256" spans="1:13">
      <c r="A256" t="s">
        <v>235</v>
      </c>
      <c r="B256">
        <v>175</v>
      </c>
      <c r="C256" s="2">
        <v>44985</v>
      </c>
      <c r="D256">
        <v>1553</v>
      </c>
      <c r="F256" s="1" t="s">
        <v>567</v>
      </c>
      <c r="H256" t="s">
        <v>288</v>
      </c>
      <c r="I256" t="s">
        <v>289</v>
      </c>
      <c r="J256" s="2">
        <v>45046</v>
      </c>
      <c r="K256">
        <v>794006.5</v>
      </c>
      <c r="M256" s="1" t="s">
        <v>567</v>
      </c>
    </row>
    <row r="257" spans="1:13">
      <c r="A257" t="s">
        <v>235</v>
      </c>
      <c r="B257">
        <v>175</v>
      </c>
      <c r="C257" s="2">
        <v>45016</v>
      </c>
      <c r="D257">
        <v>1607</v>
      </c>
      <c r="F257" s="1" t="s">
        <v>567</v>
      </c>
      <c r="H257" t="s">
        <v>288</v>
      </c>
      <c r="I257" t="s">
        <v>289</v>
      </c>
      <c r="J257" s="2">
        <v>45077</v>
      </c>
      <c r="K257">
        <v>749835.5</v>
      </c>
      <c r="M257" s="1" t="s">
        <v>567</v>
      </c>
    </row>
    <row r="258" spans="1:13">
      <c r="A258" t="s">
        <v>235</v>
      </c>
      <c r="B258">
        <v>175</v>
      </c>
      <c r="C258" s="2">
        <v>45046</v>
      </c>
      <c r="D258">
        <v>1663</v>
      </c>
      <c r="F258" s="1" t="s">
        <v>567</v>
      </c>
      <c r="H258" t="s">
        <v>288</v>
      </c>
      <c r="I258" t="s">
        <v>289</v>
      </c>
      <c r="J258" s="2">
        <v>45107</v>
      </c>
      <c r="K258">
        <v>2197931.5</v>
      </c>
      <c r="M258" s="1" t="s">
        <v>567</v>
      </c>
    </row>
    <row r="259" spans="1:13">
      <c r="A259" t="s">
        <v>235</v>
      </c>
      <c r="B259">
        <v>175</v>
      </c>
      <c r="C259" s="2">
        <v>45077</v>
      </c>
      <c r="D259">
        <v>1721</v>
      </c>
      <c r="F259" s="1" t="s">
        <v>567</v>
      </c>
      <c r="H259" t="s">
        <v>288</v>
      </c>
      <c r="I259" t="s">
        <v>289</v>
      </c>
      <c r="J259" s="2">
        <v>45138</v>
      </c>
      <c r="K259">
        <v>2157747.5</v>
      </c>
      <c r="M259" s="1" t="s">
        <v>567</v>
      </c>
    </row>
    <row r="260" spans="1:13">
      <c r="A260" t="s">
        <v>235</v>
      </c>
      <c r="B260">
        <v>175</v>
      </c>
      <c r="C260" s="2">
        <v>45107</v>
      </c>
      <c r="D260">
        <v>1782</v>
      </c>
      <c r="F260" s="1" t="s">
        <v>567</v>
      </c>
      <c r="H260" t="s">
        <v>288</v>
      </c>
      <c r="I260" t="s">
        <v>289</v>
      </c>
      <c r="J260" s="2">
        <v>45169</v>
      </c>
      <c r="K260">
        <v>2113537</v>
      </c>
      <c r="M260" s="1" t="s">
        <v>567</v>
      </c>
    </row>
    <row r="261" spans="1:13">
      <c r="A261" t="s">
        <v>235</v>
      </c>
      <c r="B261">
        <v>175</v>
      </c>
      <c r="C261" s="2">
        <v>45138</v>
      </c>
      <c r="D261">
        <v>1844</v>
      </c>
      <c r="F261" s="1" t="s">
        <v>567</v>
      </c>
      <c r="H261" t="s">
        <v>288</v>
      </c>
      <c r="I261" t="s">
        <v>289</v>
      </c>
      <c r="J261" s="2">
        <v>45199</v>
      </c>
      <c r="K261">
        <v>2074669</v>
      </c>
      <c r="M261" s="1" t="s">
        <v>567</v>
      </c>
    </row>
    <row r="262" spans="1:13">
      <c r="A262" t="s">
        <v>235</v>
      </c>
      <c r="B262">
        <v>175</v>
      </c>
      <c r="C262" s="2">
        <v>45169</v>
      </c>
      <c r="D262">
        <v>1908</v>
      </c>
      <c r="F262" s="1" t="s">
        <v>567</v>
      </c>
      <c r="H262" t="s">
        <v>288</v>
      </c>
      <c r="I262" t="s">
        <v>289</v>
      </c>
      <c r="J262" s="2">
        <v>45230</v>
      </c>
      <c r="K262">
        <v>3028881</v>
      </c>
      <c r="M262" s="1" t="s">
        <v>567</v>
      </c>
    </row>
    <row r="263" spans="1:13">
      <c r="A263" t="s">
        <v>235</v>
      </c>
      <c r="B263">
        <v>175</v>
      </c>
      <c r="C263" s="2">
        <v>45199</v>
      </c>
      <c r="D263">
        <v>1975</v>
      </c>
      <c r="F263" s="1" t="s">
        <v>567</v>
      </c>
      <c r="H263" t="s">
        <v>288</v>
      </c>
      <c r="I263" t="s">
        <v>289</v>
      </c>
      <c r="J263" s="2">
        <v>45260</v>
      </c>
      <c r="K263">
        <v>3466423</v>
      </c>
      <c r="M263" s="1" t="s">
        <v>567</v>
      </c>
    </row>
    <row r="264" spans="1:13">
      <c r="A264" t="s">
        <v>235</v>
      </c>
      <c r="B264">
        <v>175</v>
      </c>
      <c r="C264" s="2">
        <v>45230</v>
      </c>
      <c r="D264">
        <v>2044</v>
      </c>
      <c r="F264" s="1" t="s">
        <v>567</v>
      </c>
      <c r="H264" t="s">
        <v>288</v>
      </c>
      <c r="I264" t="s">
        <v>289</v>
      </c>
      <c r="J264" s="2">
        <v>45291</v>
      </c>
      <c r="K264">
        <v>4345289</v>
      </c>
      <c r="M264" s="1" t="s">
        <v>567</v>
      </c>
    </row>
    <row r="265" spans="1:13">
      <c r="A265" t="s">
        <v>235</v>
      </c>
      <c r="B265">
        <v>175</v>
      </c>
      <c r="C265" s="2">
        <v>45260</v>
      </c>
      <c r="D265">
        <v>2378</v>
      </c>
      <c r="F265" s="1" t="s">
        <v>567</v>
      </c>
      <c r="H265" t="s">
        <v>288</v>
      </c>
      <c r="I265" t="s">
        <v>289</v>
      </c>
      <c r="J265" s="2">
        <v>45322</v>
      </c>
      <c r="K265">
        <v>4258535</v>
      </c>
      <c r="M265" s="1" t="s">
        <v>567</v>
      </c>
    </row>
    <row r="266" spans="1:13">
      <c r="A266" t="s">
        <v>235</v>
      </c>
      <c r="B266">
        <v>175</v>
      </c>
      <c r="C266" s="2">
        <v>45291</v>
      </c>
      <c r="D266">
        <v>4752</v>
      </c>
      <c r="F266" s="1" t="s">
        <v>567</v>
      </c>
      <c r="H266" t="s">
        <v>288</v>
      </c>
      <c r="I266" t="s">
        <v>289</v>
      </c>
      <c r="J266" s="2">
        <v>45351</v>
      </c>
      <c r="K266">
        <v>4144266</v>
      </c>
      <c r="M266" s="1" t="s">
        <v>567</v>
      </c>
    </row>
    <row r="267" spans="1:13">
      <c r="A267" t="s">
        <v>235</v>
      </c>
      <c r="B267">
        <v>175</v>
      </c>
      <c r="C267" s="2">
        <v>45322</v>
      </c>
      <c r="D267">
        <v>2497</v>
      </c>
      <c r="F267" s="1" t="s">
        <v>567</v>
      </c>
      <c r="H267" t="s">
        <v>288</v>
      </c>
      <c r="I267" t="s">
        <v>289</v>
      </c>
      <c r="J267" s="2">
        <v>45382</v>
      </c>
      <c r="K267">
        <v>4071947</v>
      </c>
      <c r="M267" s="1" t="s">
        <v>567</v>
      </c>
    </row>
    <row r="268" spans="1:13">
      <c r="A268" t="s">
        <v>235</v>
      </c>
      <c r="B268">
        <v>175</v>
      </c>
      <c r="C268" s="2">
        <v>45351</v>
      </c>
      <c r="D268">
        <v>4990</v>
      </c>
      <c r="F268" s="1" t="s">
        <v>567</v>
      </c>
      <c r="H268" t="s">
        <v>288</v>
      </c>
      <c r="I268" t="s">
        <v>289</v>
      </c>
      <c r="J268" s="2">
        <v>45412</v>
      </c>
      <c r="K268">
        <v>3940287</v>
      </c>
      <c r="M268" s="1" t="s">
        <v>567</v>
      </c>
    </row>
    <row r="269" spans="1:13">
      <c r="A269" t="s">
        <v>235</v>
      </c>
      <c r="B269">
        <v>175</v>
      </c>
      <c r="C269" s="2">
        <v>45382</v>
      </c>
      <c r="D269">
        <v>2622</v>
      </c>
      <c r="F269" s="1" t="s">
        <v>567</v>
      </c>
      <c r="H269" t="s">
        <v>288</v>
      </c>
      <c r="I269" t="s">
        <v>289</v>
      </c>
      <c r="J269" s="2">
        <v>45443</v>
      </c>
      <c r="K269">
        <v>3865275</v>
      </c>
      <c r="M269" s="1" t="s">
        <v>567</v>
      </c>
    </row>
    <row r="270" spans="1:13">
      <c r="A270" t="s">
        <v>235</v>
      </c>
      <c r="B270">
        <v>175</v>
      </c>
      <c r="C270" s="2">
        <v>45412</v>
      </c>
      <c r="D270">
        <v>5239</v>
      </c>
      <c r="F270" s="1" t="s">
        <v>567</v>
      </c>
      <c r="H270" t="s">
        <v>288</v>
      </c>
      <c r="I270" t="s">
        <v>289</v>
      </c>
      <c r="J270" s="2">
        <v>45473</v>
      </c>
      <c r="K270">
        <v>3727954</v>
      </c>
      <c r="M270" s="1" t="s">
        <v>567</v>
      </c>
    </row>
    <row r="271" spans="1:13">
      <c r="A271" t="s">
        <v>235</v>
      </c>
      <c r="B271">
        <v>175</v>
      </c>
      <c r="C271" s="2">
        <v>45443</v>
      </c>
      <c r="D271">
        <v>2753</v>
      </c>
      <c r="F271" s="1" t="s">
        <v>567</v>
      </c>
      <c r="H271" t="s">
        <v>288</v>
      </c>
      <c r="I271" t="s">
        <v>289</v>
      </c>
      <c r="J271" s="2">
        <v>45504</v>
      </c>
      <c r="K271">
        <v>3584689</v>
      </c>
      <c r="M271" s="1" t="s">
        <v>567</v>
      </c>
    </row>
    <row r="272" spans="1:13">
      <c r="A272" t="s">
        <v>235</v>
      </c>
      <c r="B272">
        <v>175</v>
      </c>
      <c r="C272" s="2">
        <v>45473</v>
      </c>
      <c r="D272">
        <v>5501</v>
      </c>
      <c r="F272" s="1" t="s">
        <v>567</v>
      </c>
      <c r="H272" t="s">
        <v>288</v>
      </c>
      <c r="I272" t="s">
        <v>289</v>
      </c>
      <c r="J272" s="2">
        <v>45535</v>
      </c>
      <c r="K272">
        <v>3441425</v>
      </c>
      <c r="M272" s="1" t="s">
        <v>567</v>
      </c>
    </row>
    <row r="273" spans="1:13">
      <c r="A273" t="s">
        <v>235</v>
      </c>
      <c r="B273">
        <v>175</v>
      </c>
      <c r="C273" s="2">
        <v>45504</v>
      </c>
      <c r="D273">
        <v>5777</v>
      </c>
      <c r="F273" s="1" t="s">
        <v>567</v>
      </c>
      <c r="H273" t="s">
        <v>288</v>
      </c>
      <c r="I273" t="s">
        <v>289</v>
      </c>
      <c r="J273" s="2">
        <v>45565</v>
      </c>
      <c r="K273">
        <v>3291920</v>
      </c>
      <c r="M273" s="1" t="s">
        <v>567</v>
      </c>
    </row>
    <row r="274" spans="1:13">
      <c r="A274" t="s">
        <v>235</v>
      </c>
      <c r="B274">
        <v>175</v>
      </c>
      <c r="C274" s="2">
        <v>45535</v>
      </c>
      <c r="D274">
        <v>5777</v>
      </c>
      <c r="F274" s="1" t="s">
        <v>567</v>
      </c>
      <c r="H274" t="s">
        <v>288</v>
      </c>
      <c r="I274" t="s">
        <v>289</v>
      </c>
      <c r="J274" s="2">
        <v>45596</v>
      </c>
      <c r="K274">
        <v>3142414</v>
      </c>
      <c r="M274" s="1" t="s">
        <v>567</v>
      </c>
    </row>
    <row r="275" spans="1:13">
      <c r="A275" t="s">
        <v>235</v>
      </c>
      <c r="B275">
        <v>175</v>
      </c>
      <c r="C275" s="2">
        <v>45565</v>
      </c>
      <c r="D275">
        <v>6065</v>
      </c>
      <c r="F275" s="1" t="s">
        <v>567</v>
      </c>
      <c r="H275" t="s">
        <v>288</v>
      </c>
      <c r="I275" t="s">
        <v>289</v>
      </c>
      <c r="J275" s="2">
        <v>45626</v>
      </c>
      <c r="K275">
        <v>2986355</v>
      </c>
      <c r="M275" s="1" t="s">
        <v>567</v>
      </c>
    </row>
    <row r="276" spans="1:13">
      <c r="A276" t="s">
        <v>235</v>
      </c>
      <c r="B276">
        <v>175</v>
      </c>
      <c r="C276" s="2">
        <v>45596</v>
      </c>
      <c r="D276">
        <v>6065</v>
      </c>
      <c r="F276" s="1" t="s">
        <v>567</v>
      </c>
      <c r="H276" t="s">
        <v>288</v>
      </c>
      <c r="I276" t="s">
        <v>289</v>
      </c>
      <c r="J276" s="2">
        <v>45657</v>
      </c>
      <c r="K276">
        <v>2823416</v>
      </c>
      <c r="M276" s="1" t="s">
        <v>567</v>
      </c>
    </row>
    <row r="277" spans="1:13">
      <c r="A277" t="s">
        <v>235</v>
      </c>
      <c r="B277">
        <v>175</v>
      </c>
      <c r="C277" s="2">
        <v>45626</v>
      </c>
      <c r="D277">
        <v>6369</v>
      </c>
      <c r="F277" s="1" t="s">
        <v>567</v>
      </c>
      <c r="H277" t="s">
        <v>288</v>
      </c>
      <c r="I277" t="s">
        <v>289</v>
      </c>
      <c r="J277" s="2">
        <v>45688</v>
      </c>
      <c r="K277">
        <v>2653251.75</v>
      </c>
      <c r="M277" s="1" t="s">
        <v>567</v>
      </c>
    </row>
    <row r="278" spans="1:13">
      <c r="A278" t="s">
        <v>235</v>
      </c>
      <c r="B278">
        <v>175</v>
      </c>
      <c r="C278" s="2">
        <v>45657</v>
      </c>
      <c r="D278">
        <v>6687</v>
      </c>
      <c r="F278" s="1" t="s">
        <v>567</v>
      </c>
      <c r="H278" t="s">
        <v>288</v>
      </c>
      <c r="I278" t="s">
        <v>289</v>
      </c>
      <c r="J278" s="2">
        <v>45716</v>
      </c>
      <c r="K278">
        <v>2475501.75</v>
      </c>
      <c r="M278" s="1" t="s">
        <v>567</v>
      </c>
    </row>
    <row r="279" spans="1:13">
      <c r="A279" t="s">
        <v>235</v>
      </c>
      <c r="B279">
        <v>175</v>
      </c>
      <c r="C279" s="2">
        <v>45688</v>
      </c>
      <c r="D279">
        <v>7021.37</v>
      </c>
      <c r="F279" s="1" t="s">
        <v>567</v>
      </c>
      <c r="H279" t="s">
        <v>288</v>
      </c>
      <c r="I279" t="s">
        <v>289</v>
      </c>
      <c r="J279" s="2">
        <v>45747</v>
      </c>
      <c r="K279">
        <v>2289785.75</v>
      </c>
      <c r="M279" s="1" t="s">
        <v>567</v>
      </c>
    </row>
    <row r="280" spans="1:13">
      <c r="A280" t="s">
        <v>235</v>
      </c>
      <c r="B280">
        <v>175</v>
      </c>
      <c r="C280" s="2">
        <v>45716</v>
      </c>
      <c r="D280">
        <v>7372</v>
      </c>
      <c r="F280" s="1" t="s">
        <v>567</v>
      </c>
      <c r="H280" t="s">
        <v>288</v>
      </c>
      <c r="I280" t="s">
        <v>289</v>
      </c>
      <c r="J280" s="2">
        <v>45777</v>
      </c>
      <c r="K280">
        <v>2095706.75</v>
      </c>
      <c r="M280" s="1" t="s">
        <v>567</v>
      </c>
    </row>
    <row r="281" spans="1:13">
      <c r="A281" t="s">
        <v>235</v>
      </c>
      <c r="B281">
        <v>175</v>
      </c>
      <c r="C281" s="2">
        <v>45747</v>
      </c>
      <c r="D281">
        <v>7741</v>
      </c>
      <c r="F281" s="1" t="s">
        <v>567</v>
      </c>
      <c r="H281" t="s">
        <v>288</v>
      </c>
      <c r="I281" t="s">
        <v>289</v>
      </c>
      <c r="J281" s="2">
        <v>45808</v>
      </c>
      <c r="K281">
        <v>1892843.75</v>
      </c>
      <c r="M281" s="1" t="s">
        <v>567</v>
      </c>
    </row>
    <row r="282" spans="1:13">
      <c r="A282" t="s">
        <v>235</v>
      </c>
      <c r="B282">
        <v>175</v>
      </c>
      <c r="C282" s="2">
        <v>45777</v>
      </c>
      <c r="D282">
        <v>8128</v>
      </c>
      <c r="F282" s="1" t="s">
        <v>567</v>
      </c>
      <c r="H282" t="s">
        <v>288</v>
      </c>
      <c r="I282" t="s">
        <v>289</v>
      </c>
      <c r="J282" s="2">
        <v>45838</v>
      </c>
      <c r="K282">
        <v>1689162.2</v>
      </c>
      <c r="M282" s="1" t="s">
        <v>567</v>
      </c>
    </row>
    <row r="283" spans="1:13">
      <c r="A283" t="s">
        <v>235</v>
      </c>
      <c r="B283">
        <v>175</v>
      </c>
      <c r="C283" s="2">
        <v>45808</v>
      </c>
      <c r="D283">
        <v>8535</v>
      </c>
      <c r="F283" s="1" t="s">
        <v>567</v>
      </c>
      <c r="H283" t="s">
        <v>288</v>
      </c>
      <c r="I283" t="s">
        <v>289</v>
      </c>
      <c r="J283" s="2">
        <v>45869</v>
      </c>
      <c r="K283">
        <v>1473098.81</v>
      </c>
      <c r="M283" s="1" t="s">
        <v>567</v>
      </c>
    </row>
    <row r="284" spans="1:13">
      <c r="A284" t="s">
        <v>235</v>
      </c>
      <c r="B284">
        <v>175</v>
      </c>
      <c r="C284" s="2">
        <v>45838</v>
      </c>
      <c r="D284">
        <v>8961.25</v>
      </c>
      <c r="F284" s="1" t="s">
        <v>567</v>
      </c>
      <c r="H284" t="s">
        <v>288</v>
      </c>
      <c r="I284" t="s">
        <v>289</v>
      </c>
      <c r="J284" s="2">
        <v>45900</v>
      </c>
      <c r="K284">
        <v>1241169.48</v>
      </c>
      <c r="M284" s="1" t="s">
        <v>567</v>
      </c>
    </row>
    <row r="285" spans="1:13">
      <c r="A285" t="s">
        <v>235</v>
      </c>
      <c r="B285">
        <v>175</v>
      </c>
      <c r="C285" s="2">
        <v>45869</v>
      </c>
      <c r="D285">
        <v>9409.31</v>
      </c>
      <c r="F285" s="1" t="s">
        <v>567</v>
      </c>
      <c r="H285" t="s">
        <v>288</v>
      </c>
      <c r="I285" t="s">
        <v>289</v>
      </c>
      <c r="J285" s="2">
        <v>45930</v>
      </c>
      <c r="K285">
        <v>1016565.93</v>
      </c>
      <c r="M285" s="1" t="s">
        <v>567</v>
      </c>
    </row>
    <row r="286" spans="1:13">
      <c r="A286" t="s">
        <v>235</v>
      </c>
      <c r="B286">
        <v>175</v>
      </c>
      <c r="C286" s="2">
        <v>45900</v>
      </c>
      <c r="D286">
        <v>9879.7800000000007</v>
      </c>
      <c r="F286" s="1" t="s">
        <v>567</v>
      </c>
      <c r="H286" t="s">
        <v>288</v>
      </c>
      <c r="I286" t="s">
        <v>289</v>
      </c>
      <c r="J286" s="2">
        <v>45961</v>
      </c>
      <c r="K286">
        <v>772754.44000000006</v>
      </c>
      <c r="M286" s="1" t="s">
        <v>567</v>
      </c>
    </row>
    <row r="287" spans="1:13">
      <c r="A287" t="s">
        <v>235</v>
      </c>
      <c r="B287">
        <v>175</v>
      </c>
      <c r="C287" s="2">
        <v>45930</v>
      </c>
      <c r="D287">
        <v>10373.77</v>
      </c>
      <c r="F287" s="1" t="s">
        <v>567</v>
      </c>
      <c r="H287" t="s">
        <v>288</v>
      </c>
      <c r="I287" t="s">
        <v>289</v>
      </c>
      <c r="J287" s="2">
        <v>45991</v>
      </c>
      <c r="K287">
        <v>517624.61</v>
      </c>
      <c r="M287" s="1" t="s">
        <v>567</v>
      </c>
    </row>
    <row r="288" spans="1:13">
      <c r="A288" t="s">
        <v>235</v>
      </c>
      <c r="B288">
        <v>175</v>
      </c>
      <c r="C288" s="2">
        <v>45961</v>
      </c>
      <c r="D288">
        <v>10892.45</v>
      </c>
      <c r="F288" s="1" t="s">
        <v>567</v>
      </c>
      <c r="H288" t="s">
        <v>290</v>
      </c>
      <c r="I288">
        <v>152</v>
      </c>
      <c r="J288" s="2">
        <v>44957</v>
      </c>
      <c r="K288">
        <v>2500</v>
      </c>
      <c r="M288" s="1" t="s">
        <v>567</v>
      </c>
    </row>
    <row r="289" spans="1:13">
      <c r="A289" t="s">
        <v>235</v>
      </c>
      <c r="B289">
        <v>175</v>
      </c>
      <c r="C289" s="2">
        <v>45991</v>
      </c>
      <c r="D289">
        <v>11437.08</v>
      </c>
      <c r="F289" s="1" t="s">
        <v>567</v>
      </c>
      <c r="H289" t="s">
        <v>290</v>
      </c>
      <c r="I289">
        <v>152</v>
      </c>
      <c r="J289" s="2">
        <v>44985</v>
      </c>
      <c r="K289">
        <v>2500</v>
      </c>
      <c r="M289" s="1" t="s">
        <v>567</v>
      </c>
    </row>
    <row r="290" spans="1:13">
      <c r="A290" t="s">
        <v>236</v>
      </c>
      <c r="B290" t="s">
        <v>237</v>
      </c>
      <c r="C290" s="2">
        <v>44957</v>
      </c>
      <c r="D290">
        <v>2500</v>
      </c>
      <c r="F290" s="1" t="s">
        <v>567</v>
      </c>
      <c r="H290" t="s">
        <v>290</v>
      </c>
      <c r="I290">
        <v>152</v>
      </c>
      <c r="J290" s="2">
        <v>45016</v>
      </c>
      <c r="K290">
        <v>5000</v>
      </c>
      <c r="M290" s="1" t="s">
        <v>567</v>
      </c>
    </row>
    <row r="291" spans="1:13">
      <c r="A291" t="s">
        <v>236</v>
      </c>
      <c r="B291" t="s">
        <v>237</v>
      </c>
      <c r="C291" s="2">
        <v>44985</v>
      </c>
      <c r="D291">
        <v>2588</v>
      </c>
      <c r="F291" s="1" t="s">
        <v>567</v>
      </c>
      <c r="H291" t="s">
        <v>290</v>
      </c>
      <c r="I291">
        <v>152</v>
      </c>
      <c r="J291" s="2">
        <v>45046</v>
      </c>
      <c r="K291">
        <v>5000</v>
      </c>
      <c r="M291" s="1" t="s">
        <v>567</v>
      </c>
    </row>
    <row r="292" spans="1:13">
      <c r="A292" t="s">
        <v>236</v>
      </c>
      <c r="B292" t="s">
        <v>237</v>
      </c>
      <c r="C292" s="2">
        <v>45016</v>
      </c>
      <c r="D292">
        <v>2678</v>
      </c>
      <c r="F292" s="1" t="s">
        <v>567</v>
      </c>
      <c r="H292" t="s">
        <v>290</v>
      </c>
      <c r="I292">
        <v>152</v>
      </c>
      <c r="J292" s="2">
        <v>45077</v>
      </c>
      <c r="K292">
        <v>7500</v>
      </c>
      <c r="M292" s="1" t="s">
        <v>567</v>
      </c>
    </row>
    <row r="293" spans="1:13">
      <c r="A293" t="s">
        <v>236</v>
      </c>
      <c r="B293" t="s">
        <v>237</v>
      </c>
      <c r="C293" s="2">
        <v>45046</v>
      </c>
      <c r="D293">
        <v>2772</v>
      </c>
      <c r="F293" s="1" t="s">
        <v>567</v>
      </c>
      <c r="H293" t="s">
        <v>290</v>
      </c>
      <c r="I293">
        <v>152</v>
      </c>
      <c r="J293" s="2">
        <v>45107</v>
      </c>
      <c r="K293">
        <v>7500</v>
      </c>
      <c r="M293" s="1" t="s">
        <v>567</v>
      </c>
    </row>
    <row r="294" spans="1:13">
      <c r="A294" t="s">
        <v>236</v>
      </c>
      <c r="B294" t="s">
        <v>237</v>
      </c>
      <c r="C294" s="2">
        <v>45077</v>
      </c>
      <c r="D294">
        <v>2869</v>
      </c>
      <c r="F294" s="1" t="s">
        <v>567</v>
      </c>
      <c r="H294" t="s">
        <v>290</v>
      </c>
      <c r="I294">
        <v>152</v>
      </c>
      <c r="J294" s="2">
        <v>45138</v>
      </c>
      <c r="K294">
        <v>7500</v>
      </c>
      <c r="M294" s="1" t="s">
        <v>567</v>
      </c>
    </row>
    <row r="295" spans="1:13">
      <c r="A295" t="s">
        <v>236</v>
      </c>
      <c r="B295" t="s">
        <v>237</v>
      </c>
      <c r="C295" s="2">
        <v>45107</v>
      </c>
      <c r="D295">
        <v>2970</v>
      </c>
      <c r="F295" s="1" t="s">
        <v>567</v>
      </c>
      <c r="H295" t="s">
        <v>290</v>
      </c>
      <c r="I295">
        <v>152</v>
      </c>
      <c r="J295" s="2">
        <v>45169</v>
      </c>
      <c r="K295">
        <v>10000</v>
      </c>
      <c r="M295" s="1" t="s">
        <v>567</v>
      </c>
    </row>
    <row r="296" spans="1:13">
      <c r="A296" t="s">
        <v>236</v>
      </c>
      <c r="B296" t="s">
        <v>237</v>
      </c>
      <c r="C296" s="2">
        <v>45138</v>
      </c>
      <c r="D296">
        <v>3073</v>
      </c>
      <c r="F296" s="1" t="s">
        <v>567</v>
      </c>
      <c r="H296" t="s">
        <v>290</v>
      </c>
      <c r="I296">
        <v>152</v>
      </c>
      <c r="J296" s="2">
        <v>45199</v>
      </c>
      <c r="K296">
        <v>10000</v>
      </c>
      <c r="M296" s="1" t="s">
        <v>567</v>
      </c>
    </row>
    <row r="297" spans="1:13">
      <c r="A297" t="s">
        <v>236</v>
      </c>
      <c r="B297" t="s">
        <v>237</v>
      </c>
      <c r="C297" s="2">
        <v>45169</v>
      </c>
      <c r="D297">
        <v>3180</v>
      </c>
      <c r="F297" s="1" t="s">
        <v>567</v>
      </c>
      <c r="H297" t="s">
        <v>290</v>
      </c>
      <c r="I297">
        <v>152</v>
      </c>
      <c r="J297" s="2">
        <v>45230</v>
      </c>
      <c r="K297">
        <v>10000</v>
      </c>
      <c r="M297" s="1" t="s">
        <v>567</v>
      </c>
    </row>
    <row r="298" spans="1:13">
      <c r="A298" t="s">
        <v>236</v>
      </c>
      <c r="B298" t="s">
        <v>237</v>
      </c>
      <c r="C298" s="2">
        <v>45199</v>
      </c>
      <c r="D298">
        <v>3292</v>
      </c>
      <c r="F298" s="1" t="s">
        <v>567</v>
      </c>
      <c r="H298" t="s">
        <v>290</v>
      </c>
      <c r="I298">
        <v>152</v>
      </c>
      <c r="J298" s="2">
        <v>45260</v>
      </c>
      <c r="K298">
        <v>10000</v>
      </c>
      <c r="M298" s="1" t="s">
        <v>567</v>
      </c>
    </row>
    <row r="299" spans="1:13">
      <c r="A299" t="s">
        <v>236</v>
      </c>
      <c r="B299" t="s">
        <v>237</v>
      </c>
      <c r="C299" s="2">
        <v>45230</v>
      </c>
      <c r="D299">
        <v>3407</v>
      </c>
      <c r="F299" s="1" t="s">
        <v>567</v>
      </c>
      <c r="H299" t="s">
        <v>290</v>
      </c>
      <c r="I299">
        <v>152</v>
      </c>
      <c r="J299" s="2">
        <v>45291</v>
      </c>
      <c r="K299">
        <v>10000</v>
      </c>
      <c r="M299" s="1" t="s">
        <v>567</v>
      </c>
    </row>
    <row r="300" spans="1:13">
      <c r="A300" t="s">
        <v>236</v>
      </c>
      <c r="B300" t="s">
        <v>237</v>
      </c>
      <c r="C300" s="2">
        <v>45260</v>
      </c>
      <c r="D300">
        <v>4596</v>
      </c>
      <c r="F300" s="1" t="s">
        <v>567</v>
      </c>
      <c r="H300" t="s">
        <v>290</v>
      </c>
      <c r="I300">
        <v>152</v>
      </c>
      <c r="J300" s="2">
        <v>45322</v>
      </c>
      <c r="K300">
        <v>15000</v>
      </c>
      <c r="M300" s="1" t="s">
        <v>567</v>
      </c>
    </row>
    <row r="301" spans="1:13">
      <c r="A301" t="s">
        <v>236</v>
      </c>
      <c r="B301" t="s">
        <v>237</v>
      </c>
      <c r="C301" s="2">
        <v>45291</v>
      </c>
      <c r="D301">
        <v>7562</v>
      </c>
      <c r="F301" s="1" t="s">
        <v>567</v>
      </c>
      <c r="H301" t="s">
        <v>290</v>
      </c>
      <c r="I301">
        <v>152</v>
      </c>
      <c r="J301" s="2">
        <v>45351</v>
      </c>
      <c r="K301">
        <v>15000</v>
      </c>
      <c r="M301" s="1" t="s">
        <v>567</v>
      </c>
    </row>
    <row r="302" spans="1:13">
      <c r="A302" t="s">
        <v>236</v>
      </c>
      <c r="B302" t="s">
        <v>237</v>
      </c>
      <c r="C302" s="2">
        <v>45322</v>
      </c>
      <c r="D302">
        <v>4825</v>
      </c>
      <c r="F302" s="1" t="s">
        <v>567</v>
      </c>
      <c r="H302" t="s">
        <v>290</v>
      </c>
      <c r="I302">
        <v>152</v>
      </c>
      <c r="J302" s="2">
        <v>45382</v>
      </c>
      <c r="K302">
        <v>15000</v>
      </c>
      <c r="M302" s="1" t="s">
        <v>567</v>
      </c>
    </row>
    <row r="303" spans="1:13">
      <c r="A303" t="s">
        <v>236</v>
      </c>
      <c r="B303" t="s">
        <v>237</v>
      </c>
      <c r="C303" s="2">
        <v>45351</v>
      </c>
      <c r="D303">
        <v>7940</v>
      </c>
      <c r="F303" s="1" t="s">
        <v>567</v>
      </c>
      <c r="H303" t="s">
        <v>290</v>
      </c>
      <c r="I303">
        <v>152</v>
      </c>
      <c r="J303" s="2">
        <v>45412</v>
      </c>
      <c r="K303">
        <v>15000</v>
      </c>
      <c r="M303" s="1" t="s">
        <v>567</v>
      </c>
    </row>
    <row r="304" spans="1:13">
      <c r="A304" t="s">
        <v>236</v>
      </c>
      <c r="B304" t="s">
        <v>237</v>
      </c>
      <c r="C304" s="2">
        <v>45382</v>
      </c>
      <c r="D304">
        <v>5067</v>
      </c>
      <c r="F304" s="1" t="s">
        <v>567</v>
      </c>
      <c r="H304" t="s">
        <v>290</v>
      </c>
      <c r="I304">
        <v>152</v>
      </c>
      <c r="J304" s="2">
        <v>45443</v>
      </c>
      <c r="K304">
        <v>15000</v>
      </c>
      <c r="M304" s="1" t="s">
        <v>567</v>
      </c>
    </row>
    <row r="305" spans="1:13">
      <c r="A305" t="s">
        <v>236</v>
      </c>
      <c r="B305" t="s">
        <v>237</v>
      </c>
      <c r="C305" s="2">
        <v>45412</v>
      </c>
      <c r="D305">
        <v>8337</v>
      </c>
      <c r="F305" s="1" t="s">
        <v>567</v>
      </c>
      <c r="H305" t="s">
        <v>290</v>
      </c>
      <c r="I305">
        <v>152</v>
      </c>
      <c r="J305" s="2">
        <v>45473</v>
      </c>
      <c r="K305">
        <v>15000</v>
      </c>
      <c r="M305" s="1" t="s">
        <v>567</v>
      </c>
    </row>
    <row r="306" spans="1:13">
      <c r="A306" t="s">
        <v>236</v>
      </c>
      <c r="B306" t="s">
        <v>237</v>
      </c>
      <c r="C306" s="2">
        <v>45443</v>
      </c>
      <c r="D306">
        <v>5320</v>
      </c>
      <c r="F306" s="1" t="s">
        <v>567</v>
      </c>
      <c r="H306" t="s">
        <v>290</v>
      </c>
      <c r="I306">
        <v>152</v>
      </c>
      <c r="J306" s="2">
        <v>45504</v>
      </c>
      <c r="K306">
        <v>15000</v>
      </c>
      <c r="M306" s="1" t="s">
        <v>567</v>
      </c>
    </row>
    <row r="307" spans="1:13">
      <c r="A307" t="s">
        <v>236</v>
      </c>
      <c r="B307" t="s">
        <v>237</v>
      </c>
      <c r="C307" s="2">
        <v>45473</v>
      </c>
      <c r="D307">
        <v>8754</v>
      </c>
      <c r="F307" s="1" t="s">
        <v>567</v>
      </c>
      <c r="H307" t="s">
        <v>290</v>
      </c>
      <c r="I307">
        <v>152</v>
      </c>
      <c r="J307" s="2">
        <v>45535</v>
      </c>
      <c r="K307">
        <v>15000</v>
      </c>
      <c r="M307" s="1" t="s">
        <v>567</v>
      </c>
    </row>
    <row r="308" spans="1:13">
      <c r="A308" t="s">
        <v>236</v>
      </c>
      <c r="B308" t="s">
        <v>237</v>
      </c>
      <c r="C308" s="2">
        <v>45504</v>
      </c>
      <c r="D308">
        <v>9193</v>
      </c>
      <c r="F308" s="1" t="s">
        <v>567</v>
      </c>
      <c r="H308" t="s">
        <v>290</v>
      </c>
      <c r="I308">
        <v>152</v>
      </c>
      <c r="J308" s="2">
        <v>45565</v>
      </c>
      <c r="K308">
        <v>15000</v>
      </c>
      <c r="M308" s="1" t="s">
        <v>567</v>
      </c>
    </row>
    <row r="309" spans="1:13">
      <c r="A309" t="s">
        <v>236</v>
      </c>
      <c r="B309" t="s">
        <v>237</v>
      </c>
      <c r="C309" s="2">
        <v>45535</v>
      </c>
      <c r="D309">
        <v>9193</v>
      </c>
      <c r="F309" s="1" t="s">
        <v>567</v>
      </c>
      <c r="H309" t="s">
        <v>290</v>
      </c>
      <c r="I309">
        <v>152</v>
      </c>
      <c r="J309" s="2">
        <v>45596</v>
      </c>
      <c r="K309">
        <v>15000</v>
      </c>
      <c r="M309" s="1" t="s">
        <v>567</v>
      </c>
    </row>
    <row r="310" spans="1:13">
      <c r="A310" t="s">
        <v>236</v>
      </c>
      <c r="B310" t="s">
        <v>237</v>
      </c>
      <c r="C310" s="2">
        <v>45565</v>
      </c>
      <c r="D310">
        <v>9651</v>
      </c>
      <c r="F310" s="1" t="s">
        <v>567</v>
      </c>
      <c r="H310" t="s">
        <v>290</v>
      </c>
      <c r="I310">
        <v>152</v>
      </c>
      <c r="J310" s="2">
        <v>45626</v>
      </c>
      <c r="K310">
        <v>15000</v>
      </c>
      <c r="M310" s="1" t="s">
        <v>567</v>
      </c>
    </row>
    <row r="311" spans="1:13">
      <c r="A311" t="s">
        <v>236</v>
      </c>
      <c r="B311" t="s">
        <v>237</v>
      </c>
      <c r="C311" s="2">
        <v>45596</v>
      </c>
      <c r="D311">
        <v>9651</v>
      </c>
      <c r="F311" s="1" t="s">
        <v>567</v>
      </c>
      <c r="H311" t="s">
        <v>290</v>
      </c>
      <c r="I311">
        <v>152</v>
      </c>
      <c r="J311" s="2">
        <v>45657</v>
      </c>
      <c r="K311">
        <v>15000</v>
      </c>
      <c r="M311" s="1" t="s">
        <v>567</v>
      </c>
    </row>
    <row r="312" spans="1:13">
      <c r="A312" t="s">
        <v>236</v>
      </c>
      <c r="B312" t="s">
        <v>237</v>
      </c>
      <c r="C312" s="2">
        <v>45626</v>
      </c>
      <c r="D312">
        <v>10135</v>
      </c>
      <c r="F312" s="1" t="s">
        <v>567</v>
      </c>
      <c r="H312" t="s">
        <v>290</v>
      </c>
      <c r="I312">
        <v>152</v>
      </c>
      <c r="J312" s="2">
        <v>45688</v>
      </c>
      <c r="K312">
        <v>15000</v>
      </c>
      <c r="M312" s="1" t="s">
        <v>567</v>
      </c>
    </row>
    <row r="313" spans="1:13">
      <c r="A313" t="s">
        <v>236</v>
      </c>
      <c r="B313" t="s">
        <v>237</v>
      </c>
      <c r="C313" s="2">
        <v>45657</v>
      </c>
      <c r="D313">
        <v>10641</v>
      </c>
      <c r="F313" s="1" t="s">
        <v>567</v>
      </c>
      <c r="H313" t="s">
        <v>290</v>
      </c>
      <c r="I313">
        <v>152</v>
      </c>
      <c r="J313" s="2">
        <v>45716</v>
      </c>
      <c r="K313">
        <v>15000</v>
      </c>
      <c r="M313" s="1" t="s">
        <v>567</v>
      </c>
    </row>
    <row r="314" spans="1:13">
      <c r="A314" t="s">
        <v>236</v>
      </c>
      <c r="B314" t="s">
        <v>237</v>
      </c>
      <c r="C314" s="2">
        <v>45688</v>
      </c>
      <c r="D314">
        <v>11172.98</v>
      </c>
      <c r="F314" s="1" t="s">
        <v>567</v>
      </c>
      <c r="H314" t="s">
        <v>290</v>
      </c>
      <c r="I314">
        <v>152</v>
      </c>
      <c r="J314" s="2">
        <v>45747</v>
      </c>
      <c r="K314">
        <v>15000</v>
      </c>
      <c r="M314" s="1" t="s">
        <v>567</v>
      </c>
    </row>
    <row r="315" spans="1:13">
      <c r="A315" t="s">
        <v>236</v>
      </c>
      <c r="B315" t="s">
        <v>237</v>
      </c>
      <c r="C315" s="2">
        <v>45716</v>
      </c>
      <c r="D315">
        <v>11731</v>
      </c>
      <c r="F315" s="1" t="s">
        <v>567</v>
      </c>
      <c r="H315" t="s">
        <v>290</v>
      </c>
      <c r="I315">
        <v>152</v>
      </c>
      <c r="J315" s="2">
        <v>45777</v>
      </c>
      <c r="K315">
        <v>15000</v>
      </c>
      <c r="M315" s="1" t="s">
        <v>567</v>
      </c>
    </row>
    <row r="316" spans="1:13">
      <c r="A316" t="s">
        <v>236</v>
      </c>
      <c r="B316" t="s">
        <v>237</v>
      </c>
      <c r="C316" s="2">
        <v>45747</v>
      </c>
      <c r="D316">
        <v>12318</v>
      </c>
      <c r="F316" s="1" t="s">
        <v>567</v>
      </c>
      <c r="H316" t="s">
        <v>290</v>
      </c>
      <c r="I316">
        <v>152</v>
      </c>
      <c r="J316" s="2">
        <v>45808</v>
      </c>
      <c r="K316">
        <v>15000</v>
      </c>
      <c r="M316" s="1" t="s">
        <v>567</v>
      </c>
    </row>
    <row r="317" spans="1:13">
      <c r="A317" t="s">
        <v>236</v>
      </c>
      <c r="B317" t="s">
        <v>237</v>
      </c>
      <c r="C317" s="2">
        <v>45777</v>
      </c>
      <c r="D317">
        <v>12934</v>
      </c>
      <c r="F317" s="1" t="s">
        <v>567</v>
      </c>
      <c r="H317" t="s">
        <v>290</v>
      </c>
      <c r="I317">
        <v>152</v>
      </c>
      <c r="J317" s="2">
        <v>45838</v>
      </c>
      <c r="K317">
        <v>15000</v>
      </c>
      <c r="M317" s="1" t="s">
        <v>567</v>
      </c>
    </row>
    <row r="318" spans="1:13">
      <c r="A318" t="s">
        <v>236</v>
      </c>
      <c r="B318" t="s">
        <v>237</v>
      </c>
      <c r="C318" s="2">
        <v>45808</v>
      </c>
      <c r="D318">
        <v>13581</v>
      </c>
      <c r="F318" s="1" t="s">
        <v>567</v>
      </c>
      <c r="H318" t="s">
        <v>290</v>
      </c>
      <c r="I318">
        <v>152</v>
      </c>
      <c r="J318" s="2">
        <v>45869</v>
      </c>
      <c r="K318">
        <v>15000</v>
      </c>
      <c r="M318" s="1" t="s">
        <v>567</v>
      </c>
    </row>
    <row r="319" spans="1:13">
      <c r="A319" t="s">
        <v>236</v>
      </c>
      <c r="B319" t="s">
        <v>237</v>
      </c>
      <c r="C319" s="2">
        <v>45838</v>
      </c>
      <c r="D319">
        <v>14259.88</v>
      </c>
      <c r="F319" s="1" t="s">
        <v>567</v>
      </c>
      <c r="H319" t="s">
        <v>290</v>
      </c>
      <c r="I319">
        <v>152</v>
      </c>
      <c r="J319" s="2">
        <v>45900</v>
      </c>
      <c r="K319">
        <v>15000</v>
      </c>
      <c r="M319" s="1" t="s">
        <v>567</v>
      </c>
    </row>
    <row r="320" spans="1:13">
      <c r="A320" t="s">
        <v>236</v>
      </c>
      <c r="B320" t="s">
        <v>237</v>
      </c>
      <c r="C320" s="2">
        <v>45869</v>
      </c>
      <c r="D320">
        <v>14972.87</v>
      </c>
      <c r="F320" s="1" t="s">
        <v>567</v>
      </c>
      <c r="H320" t="s">
        <v>290</v>
      </c>
      <c r="I320">
        <v>152</v>
      </c>
      <c r="J320" s="2">
        <v>45930</v>
      </c>
      <c r="K320">
        <v>15000</v>
      </c>
      <c r="M320" s="1" t="s">
        <v>567</v>
      </c>
    </row>
    <row r="321" spans="1:13">
      <c r="A321" t="s">
        <v>236</v>
      </c>
      <c r="B321" t="s">
        <v>237</v>
      </c>
      <c r="C321" s="2">
        <v>45900</v>
      </c>
      <c r="D321">
        <v>16221.51</v>
      </c>
      <c r="F321" s="1" t="s">
        <v>567</v>
      </c>
      <c r="H321" t="s">
        <v>290</v>
      </c>
      <c r="I321">
        <v>152</v>
      </c>
      <c r="J321" s="2">
        <v>45961</v>
      </c>
      <c r="K321">
        <v>15000</v>
      </c>
      <c r="M321" s="1" t="s">
        <v>567</v>
      </c>
    </row>
    <row r="322" spans="1:13">
      <c r="A322" t="s">
        <v>236</v>
      </c>
      <c r="B322" t="s">
        <v>237</v>
      </c>
      <c r="C322" s="2">
        <v>45930</v>
      </c>
      <c r="D322">
        <v>16507.59</v>
      </c>
      <c r="F322" s="1" t="s">
        <v>567</v>
      </c>
      <c r="H322" t="s">
        <v>290</v>
      </c>
      <c r="I322">
        <v>152</v>
      </c>
      <c r="J322" s="2">
        <v>45991</v>
      </c>
      <c r="K322">
        <v>15000</v>
      </c>
      <c r="M322" s="1" t="s">
        <v>567</v>
      </c>
    </row>
    <row r="323" spans="1:13">
      <c r="A323" t="s">
        <v>236</v>
      </c>
      <c r="B323" t="s">
        <v>237</v>
      </c>
      <c r="C323" s="2">
        <v>45961</v>
      </c>
      <c r="D323">
        <v>17332.96</v>
      </c>
      <c r="F323" s="1" t="s">
        <v>567</v>
      </c>
      <c r="H323" t="s">
        <v>291</v>
      </c>
      <c r="I323">
        <v>153</v>
      </c>
      <c r="J323" s="2">
        <v>45046</v>
      </c>
      <c r="K323">
        <v>35000</v>
      </c>
      <c r="M323" s="1" t="s">
        <v>567</v>
      </c>
    </row>
    <row r="324" spans="1:13">
      <c r="A324" t="s">
        <v>236</v>
      </c>
      <c r="B324" t="s">
        <v>237</v>
      </c>
      <c r="C324" s="2">
        <v>45991</v>
      </c>
      <c r="D324">
        <v>18199.62</v>
      </c>
      <c r="F324" s="1" t="s">
        <v>567</v>
      </c>
      <c r="H324" t="s">
        <v>291</v>
      </c>
      <c r="I324">
        <v>153</v>
      </c>
      <c r="J324" s="2">
        <v>45077</v>
      </c>
      <c r="K324">
        <v>35000</v>
      </c>
      <c r="M324" s="1" t="s">
        <v>567</v>
      </c>
    </row>
    <row r="325" spans="1:13">
      <c r="A325" t="s">
        <v>239</v>
      </c>
      <c r="B325">
        <v>185</v>
      </c>
      <c r="C325" s="2">
        <v>44957</v>
      </c>
      <c r="D325">
        <v>850</v>
      </c>
      <c r="F325" s="1" t="s">
        <v>567</v>
      </c>
      <c r="H325" t="s">
        <v>291</v>
      </c>
      <c r="I325">
        <v>153</v>
      </c>
      <c r="J325" s="2">
        <v>45107</v>
      </c>
      <c r="K325">
        <v>35000</v>
      </c>
      <c r="M325" s="1" t="s">
        <v>567</v>
      </c>
    </row>
    <row r="326" spans="1:13">
      <c r="A326" t="s">
        <v>239</v>
      </c>
      <c r="B326">
        <v>185</v>
      </c>
      <c r="C326" s="2">
        <v>44985</v>
      </c>
      <c r="D326">
        <v>880</v>
      </c>
      <c r="F326" s="1" t="s">
        <v>567</v>
      </c>
      <c r="H326" t="s">
        <v>291</v>
      </c>
      <c r="I326">
        <v>153</v>
      </c>
      <c r="J326" s="2">
        <v>45138</v>
      </c>
      <c r="K326">
        <v>35000</v>
      </c>
      <c r="M326" s="1" t="s">
        <v>567</v>
      </c>
    </row>
    <row r="327" spans="1:13">
      <c r="A327" t="s">
        <v>239</v>
      </c>
      <c r="B327">
        <v>185</v>
      </c>
      <c r="C327" s="2">
        <v>45016</v>
      </c>
      <c r="D327">
        <v>911</v>
      </c>
      <c r="F327" s="1" t="s">
        <v>567</v>
      </c>
      <c r="H327" t="s">
        <v>291</v>
      </c>
      <c r="I327">
        <v>153</v>
      </c>
      <c r="J327" s="2">
        <v>45169</v>
      </c>
      <c r="K327">
        <v>35000</v>
      </c>
      <c r="M327" s="1" t="s">
        <v>567</v>
      </c>
    </row>
    <row r="328" spans="1:13">
      <c r="A328" t="s">
        <v>239</v>
      </c>
      <c r="B328">
        <v>185</v>
      </c>
      <c r="C328" s="2">
        <v>45046</v>
      </c>
      <c r="D328">
        <v>942</v>
      </c>
      <c r="F328" s="1" t="s">
        <v>567</v>
      </c>
      <c r="H328" t="s">
        <v>291</v>
      </c>
      <c r="I328">
        <v>153</v>
      </c>
      <c r="J328" s="2">
        <v>45199</v>
      </c>
      <c r="K328">
        <v>35000</v>
      </c>
      <c r="M328" s="1" t="s">
        <v>567</v>
      </c>
    </row>
    <row r="329" spans="1:13">
      <c r="A329" t="s">
        <v>239</v>
      </c>
      <c r="B329">
        <v>185</v>
      </c>
      <c r="C329" s="2">
        <v>45077</v>
      </c>
      <c r="D329">
        <v>975</v>
      </c>
      <c r="F329" s="1" t="s">
        <v>567</v>
      </c>
      <c r="H329" t="s">
        <v>291</v>
      </c>
      <c r="I329">
        <v>153</v>
      </c>
      <c r="J329" s="2">
        <v>45230</v>
      </c>
      <c r="K329">
        <v>35000</v>
      </c>
      <c r="M329" s="1" t="s">
        <v>567</v>
      </c>
    </row>
    <row r="330" spans="1:13">
      <c r="A330" t="s">
        <v>239</v>
      </c>
      <c r="B330">
        <v>185</v>
      </c>
      <c r="C330" s="2">
        <v>45107</v>
      </c>
      <c r="D330">
        <v>1010</v>
      </c>
      <c r="F330" s="1" t="s">
        <v>567</v>
      </c>
      <c r="H330" t="s">
        <v>291</v>
      </c>
      <c r="I330">
        <v>153</v>
      </c>
      <c r="J330" s="2">
        <v>45260</v>
      </c>
      <c r="K330">
        <v>35000</v>
      </c>
      <c r="M330" s="1" t="s">
        <v>567</v>
      </c>
    </row>
    <row r="331" spans="1:13">
      <c r="A331" t="s">
        <v>239</v>
      </c>
      <c r="B331">
        <v>185</v>
      </c>
      <c r="C331" s="2">
        <v>45138</v>
      </c>
      <c r="D331">
        <v>1045</v>
      </c>
      <c r="F331" s="1" t="s">
        <v>567</v>
      </c>
      <c r="H331" t="s">
        <v>291</v>
      </c>
      <c r="I331">
        <v>153</v>
      </c>
      <c r="J331" s="2">
        <v>45291</v>
      </c>
      <c r="K331">
        <v>35000</v>
      </c>
      <c r="M331" s="1" t="s">
        <v>567</v>
      </c>
    </row>
    <row r="332" spans="1:13">
      <c r="A332" t="s">
        <v>239</v>
      </c>
      <c r="B332">
        <v>185</v>
      </c>
      <c r="C332" s="2">
        <v>45169</v>
      </c>
      <c r="D332">
        <v>1081</v>
      </c>
      <c r="F332" s="1" t="s">
        <v>567</v>
      </c>
      <c r="H332" t="s">
        <v>291</v>
      </c>
      <c r="I332">
        <v>153</v>
      </c>
      <c r="J332" s="2">
        <v>45322</v>
      </c>
      <c r="K332">
        <v>45000</v>
      </c>
      <c r="M332" s="1" t="s">
        <v>567</v>
      </c>
    </row>
    <row r="333" spans="1:13">
      <c r="A333" t="s">
        <v>239</v>
      </c>
      <c r="B333">
        <v>185</v>
      </c>
      <c r="C333" s="2">
        <v>45199</v>
      </c>
      <c r="D333">
        <v>1119</v>
      </c>
      <c r="F333" s="1" t="s">
        <v>567</v>
      </c>
      <c r="H333" t="s">
        <v>291</v>
      </c>
      <c r="I333">
        <v>153</v>
      </c>
      <c r="J333" s="2">
        <v>45351</v>
      </c>
      <c r="K333">
        <v>35000</v>
      </c>
      <c r="M333" s="1" t="s">
        <v>567</v>
      </c>
    </row>
    <row r="334" spans="1:13">
      <c r="A334" t="s">
        <v>239</v>
      </c>
      <c r="B334">
        <v>185</v>
      </c>
      <c r="C334" s="2">
        <v>45230</v>
      </c>
      <c r="D334">
        <v>1158</v>
      </c>
      <c r="F334" s="1" t="s">
        <v>567</v>
      </c>
      <c r="H334" t="s">
        <v>291</v>
      </c>
      <c r="I334">
        <v>153</v>
      </c>
      <c r="J334" s="2">
        <v>45382</v>
      </c>
      <c r="K334">
        <v>35000</v>
      </c>
      <c r="M334" s="1" t="s">
        <v>567</v>
      </c>
    </row>
    <row r="335" spans="1:13">
      <c r="A335" t="s">
        <v>239</v>
      </c>
      <c r="B335">
        <v>185</v>
      </c>
      <c r="C335" s="2">
        <v>45260</v>
      </c>
      <c r="D335">
        <v>1180</v>
      </c>
      <c r="F335" s="1" t="s">
        <v>567</v>
      </c>
      <c r="H335" t="s">
        <v>291</v>
      </c>
      <c r="I335">
        <v>153</v>
      </c>
      <c r="J335" s="2">
        <v>45412</v>
      </c>
      <c r="K335">
        <v>35000</v>
      </c>
      <c r="M335" s="1" t="s">
        <v>567</v>
      </c>
    </row>
    <row r="336" spans="1:13">
      <c r="A336" t="s">
        <v>239</v>
      </c>
      <c r="B336">
        <v>185</v>
      </c>
      <c r="C336" s="2">
        <v>45291</v>
      </c>
      <c r="D336">
        <v>1796</v>
      </c>
      <c r="F336" s="1" t="s">
        <v>567</v>
      </c>
      <c r="H336" t="s">
        <v>291</v>
      </c>
      <c r="I336">
        <v>153</v>
      </c>
      <c r="J336" s="2">
        <v>45443</v>
      </c>
      <c r="K336">
        <v>35000</v>
      </c>
      <c r="M336" s="1" t="s">
        <v>567</v>
      </c>
    </row>
    <row r="337" spans="1:13">
      <c r="A337" t="s">
        <v>239</v>
      </c>
      <c r="B337">
        <v>185</v>
      </c>
      <c r="C337" s="2">
        <v>45322</v>
      </c>
      <c r="D337">
        <v>1238</v>
      </c>
      <c r="F337" s="1" t="s">
        <v>567</v>
      </c>
      <c r="H337" t="s">
        <v>291</v>
      </c>
      <c r="I337">
        <v>153</v>
      </c>
      <c r="J337" s="2">
        <v>45473</v>
      </c>
      <c r="K337">
        <v>35000</v>
      </c>
      <c r="M337" s="1" t="s">
        <v>567</v>
      </c>
    </row>
    <row r="338" spans="1:13">
      <c r="A338" t="s">
        <v>239</v>
      </c>
      <c r="B338">
        <v>185</v>
      </c>
      <c r="C338" s="2">
        <v>45351</v>
      </c>
      <c r="D338">
        <v>1886</v>
      </c>
      <c r="F338" s="1" t="s">
        <v>567</v>
      </c>
      <c r="H338" t="s">
        <v>291</v>
      </c>
      <c r="I338">
        <v>153</v>
      </c>
      <c r="J338" s="2">
        <v>45504</v>
      </c>
      <c r="K338">
        <v>35000</v>
      </c>
      <c r="M338" s="1" t="s">
        <v>567</v>
      </c>
    </row>
    <row r="339" spans="1:13">
      <c r="A339" t="s">
        <v>239</v>
      </c>
      <c r="B339">
        <v>185</v>
      </c>
      <c r="C339" s="2">
        <v>45382</v>
      </c>
      <c r="D339">
        <v>1300</v>
      </c>
      <c r="F339" s="1" t="s">
        <v>567</v>
      </c>
      <c r="H339" t="s">
        <v>291</v>
      </c>
      <c r="I339">
        <v>153</v>
      </c>
      <c r="J339" s="2">
        <v>45535</v>
      </c>
      <c r="K339">
        <v>35000</v>
      </c>
      <c r="M339" s="1" t="s">
        <v>567</v>
      </c>
    </row>
    <row r="340" spans="1:13">
      <c r="A340" t="s">
        <v>239</v>
      </c>
      <c r="B340">
        <v>185</v>
      </c>
      <c r="C340" s="2">
        <v>45412</v>
      </c>
      <c r="D340">
        <v>1981</v>
      </c>
      <c r="F340" s="1" t="s">
        <v>567</v>
      </c>
      <c r="H340" t="s">
        <v>291</v>
      </c>
      <c r="I340">
        <v>153</v>
      </c>
      <c r="J340" s="2">
        <v>45565</v>
      </c>
      <c r="K340">
        <v>35000</v>
      </c>
      <c r="M340" s="1" t="s">
        <v>567</v>
      </c>
    </row>
    <row r="341" spans="1:13">
      <c r="A341" t="s">
        <v>239</v>
      </c>
      <c r="B341">
        <v>185</v>
      </c>
      <c r="C341" s="2">
        <v>45443</v>
      </c>
      <c r="D341">
        <v>1365</v>
      </c>
      <c r="F341" s="1" t="s">
        <v>567</v>
      </c>
      <c r="H341" t="s">
        <v>291</v>
      </c>
      <c r="I341">
        <v>153</v>
      </c>
      <c r="J341" s="2">
        <v>45596</v>
      </c>
      <c r="K341">
        <v>35000</v>
      </c>
      <c r="M341" s="1" t="s">
        <v>567</v>
      </c>
    </row>
    <row r="342" spans="1:13">
      <c r="A342" t="s">
        <v>239</v>
      </c>
      <c r="B342">
        <v>185</v>
      </c>
      <c r="C342" s="2">
        <v>45473</v>
      </c>
      <c r="D342">
        <v>2080</v>
      </c>
      <c r="F342" s="1" t="s">
        <v>567</v>
      </c>
      <c r="H342" t="s">
        <v>291</v>
      </c>
      <c r="I342">
        <v>153</v>
      </c>
      <c r="J342" s="2">
        <v>45626</v>
      </c>
      <c r="K342">
        <v>35000</v>
      </c>
      <c r="M342" s="1" t="s">
        <v>567</v>
      </c>
    </row>
    <row r="343" spans="1:13">
      <c r="A343" t="s">
        <v>239</v>
      </c>
      <c r="B343">
        <v>185</v>
      </c>
      <c r="C343" s="2">
        <v>45504</v>
      </c>
      <c r="D343">
        <v>2184</v>
      </c>
      <c r="F343" s="1" t="s">
        <v>567</v>
      </c>
      <c r="H343" t="s">
        <v>291</v>
      </c>
      <c r="I343">
        <v>153</v>
      </c>
      <c r="J343" s="2">
        <v>45657</v>
      </c>
      <c r="K343">
        <v>35000</v>
      </c>
      <c r="M343" s="1" t="s">
        <v>567</v>
      </c>
    </row>
    <row r="344" spans="1:13">
      <c r="A344" t="s">
        <v>239</v>
      </c>
      <c r="B344">
        <v>185</v>
      </c>
      <c r="C344" s="2">
        <v>45535</v>
      </c>
      <c r="D344">
        <v>2184</v>
      </c>
      <c r="F344" s="1" t="s">
        <v>567</v>
      </c>
      <c r="H344" t="s">
        <v>291</v>
      </c>
      <c r="I344">
        <v>153</v>
      </c>
      <c r="J344" s="2">
        <v>45688</v>
      </c>
      <c r="K344">
        <v>35000</v>
      </c>
      <c r="M344" s="1" t="s">
        <v>567</v>
      </c>
    </row>
    <row r="345" spans="1:13">
      <c r="A345" t="s">
        <v>239</v>
      </c>
      <c r="B345">
        <v>185</v>
      </c>
      <c r="C345" s="2">
        <v>45565</v>
      </c>
      <c r="D345">
        <v>2293</v>
      </c>
      <c r="F345" s="1" t="s">
        <v>567</v>
      </c>
      <c r="H345" t="s">
        <v>291</v>
      </c>
      <c r="I345">
        <v>153</v>
      </c>
      <c r="J345" s="2">
        <v>45716</v>
      </c>
      <c r="K345">
        <v>35000</v>
      </c>
      <c r="M345" s="1" t="s">
        <v>567</v>
      </c>
    </row>
    <row r="346" spans="1:13">
      <c r="A346" t="s">
        <v>239</v>
      </c>
      <c r="B346">
        <v>185</v>
      </c>
      <c r="C346" s="2">
        <v>45596</v>
      </c>
      <c r="D346">
        <v>2293</v>
      </c>
      <c r="F346" s="1" t="s">
        <v>567</v>
      </c>
      <c r="H346" t="s">
        <v>291</v>
      </c>
      <c r="I346">
        <v>153</v>
      </c>
      <c r="J346" s="2">
        <v>45747</v>
      </c>
      <c r="K346">
        <v>35000</v>
      </c>
      <c r="M346" s="1" t="s">
        <v>567</v>
      </c>
    </row>
    <row r="347" spans="1:13">
      <c r="A347" t="s">
        <v>239</v>
      </c>
      <c r="B347">
        <v>185</v>
      </c>
      <c r="C347" s="2">
        <v>45626</v>
      </c>
      <c r="D347">
        <v>2407</v>
      </c>
      <c r="F347" s="1" t="s">
        <v>567</v>
      </c>
      <c r="H347" t="s">
        <v>291</v>
      </c>
      <c r="I347">
        <v>153</v>
      </c>
      <c r="J347" s="2">
        <v>45777</v>
      </c>
      <c r="K347">
        <v>35000</v>
      </c>
      <c r="M347" s="1" t="s">
        <v>567</v>
      </c>
    </row>
    <row r="348" spans="1:13">
      <c r="A348" t="s">
        <v>239</v>
      </c>
      <c r="B348">
        <v>185</v>
      </c>
      <c r="C348" s="2">
        <v>45657</v>
      </c>
      <c r="D348">
        <v>2528</v>
      </c>
      <c r="F348" s="1" t="s">
        <v>567</v>
      </c>
      <c r="H348" t="s">
        <v>291</v>
      </c>
      <c r="I348">
        <v>153</v>
      </c>
      <c r="J348" s="2">
        <v>45808</v>
      </c>
      <c r="K348">
        <v>35000</v>
      </c>
      <c r="M348" s="1" t="s">
        <v>567</v>
      </c>
    </row>
    <row r="349" spans="1:13">
      <c r="A349" t="s">
        <v>239</v>
      </c>
      <c r="B349">
        <v>185</v>
      </c>
      <c r="C349" s="2">
        <v>45688</v>
      </c>
      <c r="D349">
        <v>2654.23</v>
      </c>
      <c r="F349" s="1" t="s">
        <v>567</v>
      </c>
      <c r="H349" t="s">
        <v>291</v>
      </c>
      <c r="I349">
        <v>153</v>
      </c>
      <c r="J349" s="2">
        <v>45838</v>
      </c>
      <c r="K349">
        <v>35000</v>
      </c>
      <c r="M349" s="1" t="s">
        <v>567</v>
      </c>
    </row>
    <row r="350" spans="1:13">
      <c r="A350" t="s">
        <v>239</v>
      </c>
      <c r="B350">
        <v>185</v>
      </c>
      <c r="C350" s="2">
        <v>45716</v>
      </c>
      <c r="D350">
        <v>2787</v>
      </c>
      <c r="F350" s="1" t="s">
        <v>567</v>
      </c>
      <c r="H350" t="s">
        <v>291</v>
      </c>
      <c r="I350">
        <v>153</v>
      </c>
      <c r="J350" s="2">
        <v>45869</v>
      </c>
      <c r="K350">
        <v>35000</v>
      </c>
      <c r="M350" s="1" t="s">
        <v>567</v>
      </c>
    </row>
    <row r="351" spans="1:13">
      <c r="A351" t="s">
        <v>239</v>
      </c>
      <c r="B351">
        <v>185</v>
      </c>
      <c r="C351" s="2">
        <v>45747</v>
      </c>
      <c r="D351">
        <v>2926</v>
      </c>
      <c r="F351" s="1" t="s">
        <v>567</v>
      </c>
      <c r="H351" t="s">
        <v>291</v>
      </c>
      <c r="I351">
        <v>153</v>
      </c>
      <c r="J351" s="2">
        <v>45900</v>
      </c>
      <c r="K351">
        <v>35000</v>
      </c>
      <c r="M351" s="1" t="s">
        <v>567</v>
      </c>
    </row>
    <row r="352" spans="1:13">
      <c r="A352" t="s">
        <v>239</v>
      </c>
      <c r="B352">
        <v>185</v>
      </c>
      <c r="C352" s="2">
        <v>45777</v>
      </c>
      <c r="D352">
        <v>3073</v>
      </c>
      <c r="F352" s="1" t="s">
        <v>567</v>
      </c>
      <c r="H352" t="s">
        <v>291</v>
      </c>
      <c r="I352">
        <v>153</v>
      </c>
      <c r="J352" s="2">
        <v>45930</v>
      </c>
      <c r="K352">
        <v>35000</v>
      </c>
      <c r="M352" s="1" t="s">
        <v>567</v>
      </c>
    </row>
    <row r="353" spans="1:13">
      <c r="A353" t="s">
        <v>239</v>
      </c>
      <c r="B353">
        <v>185</v>
      </c>
      <c r="C353" s="2">
        <v>45808</v>
      </c>
      <c r="D353">
        <v>3226</v>
      </c>
      <c r="F353" s="1" t="s">
        <v>567</v>
      </c>
      <c r="H353" t="s">
        <v>291</v>
      </c>
      <c r="I353">
        <v>153</v>
      </c>
      <c r="J353" s="2">
        <v>45961</v>
      </c>
      <c r="K353">
        <v>35000</v>
      </c>
      <c r="M353" s="1" t="s">
        <v>567</v>
      </c>
    </row>
    <row r="354" spans="1:13">
      <c r="A354" t="s">
        <v>239</v>
      </c>
      <c r="B354">
        <v>185</v>
      </c>
      <c r="C354" s="2">
        <v>45838</v>
      </c>
      <c r="D354">
        <v>3387.55</v>
      </c>
      <c r="F354" s="1" t="s">
        <v>567</v>
      </c>
      <c r="H354" t="s">
        <v>291</v>
      </c>
      <c r="I354">
        <v>153</v>
      </c>
      <c r="J354" s="2">
        <v>45991</v>
      </c>
      <c r="K354">
        <v>35000</v>
      </c>
      <c r="M354" s="1" t="s">
        <v>567</v>
      </c>
    </row>
    <row r="355" spans="1:13">
      <c r="A355" t="s">
        <v>239</v>
      </c>
      <c r="B355">
        <v>185</v>
      </c>
      <c r="C355" s="2">
        <v>45869</v>
      </c>
      <c r="D355">
        <v>3556.93</v>
      </c>
      <c r="F355" s="1" t="s">
        <v>567</v>
      </c>
      <c r="H355" t="s">
        <v>292</v>
      </c>
      <c r="I355">
        <v>154</v>
      </c>
      <c r="J355" s="2">
        <v>45107</v>
      </c>
      <c r="K355">
        <v>8000</v>
      </c>
      <c r="M355" s="1" t="s">
        <v>567</v>
      </c>
    </row>
    <row r="356" spans="1:13">
      <c r="A356" t="s">
        <v>239</v>
      </c>
      <c r="B356">
        <v>185</v>
      </c>
      <c r="C356" s="2">
        <v>45900</v>
      </c>
      <c r="D356">
        <v>3734.77</v>
      </c>
      <c r="F356" s="1" t="s">
        <v>567</v>
      </c>
      <c r="H356" t="s">
        <v>292</v>
      </c>
      <c r="I356">
        <v>154</v>
      </c>
      <c r="J356" s="2">
        <v>45138</v>
      </c>
      <c r="K356">
        <v>8000</v>
      </c>
      <c r="M356" s="1" t="s">
        <v>567</v>
      </c>
    </row>
    <row r="357" spans="1:13">
      <c r="A357" t="s">
        <v>239</v>
      </c>
      <c r="B357">
        <v>185</v>
      </c>
      <c r="C357" s="2">
        <v>45930</v>
      </c>
      <c r="D357">
        <v>3921.51</v>
      </c>
      <c r="F357" s="1" t="s">
        <v>567</v>
      </c>
      <c r="H357" t="s">
        <v>292</v>
      </c>
      <c r="I357">
        <v>154</v>
      </c>
      <c r="J357" s="2">
        <v>45169</v>
      </c>
      <c r="K357">
        <v>8000</v>
      </c>
      <c r="M357" s="1" t="s">
        <v>567</v>
      </c>
    </row>
    <row r="358" spans="1:13">
      <c r="A358" t="s">
        <v>239</v>
      </c>
      <c r="B358">
        <v>185</v>
      </c>
      <c r="C358" s="2">
        <v>45961</v>
      </c>
      <c r="D358">
        <v>4117.59</v>
      </c>
      <c r="F358" s="1" t="s">
        <v>567</v>
      </c>
      <c r="H358" t="s">
        <v>292</v>
      </c>
      <c r="I358">
        <v>154</v>
      </c>
      <c r="J358" s="2">
        <v>45199</v>
      </c>
      <c r="K358">
        <v>8000</v>
      </c>
      <c r="M358" s="1" t="s">
        <v>567</v>
      </c>
    </row>
    <row r="359" spans="1:13">
      <c r="A359" t="s">
        <v>239</v>
      </c>
      <c r="B359">
        <v>185</v>
      </c>
      <c r="C359" s="2">
        <v>45991</v>
      </c>
      <c r="D359">
        <v>4323.47</v>
      </c>
      <c r="F359" s="1" t="s">
        <v>567</v>
      </c>
      <c r="H359" t="s">
        <v>292</v>
      </c>
      <c r="I359">
        <v>154</v>
      </c>
      <c r="J359" s="2">
        <v>45230</v>
      </c>
      <c r="K359">
        <v>8000</v>
      </c>
      <c r="M359" s="1" t="s">
        <v>567</v>
      </c>
    </row>
    <row r="360" spans="1:13">
      <c r="A360" t="s">
        <v>240</v>
      </c>
      <c r="B360">
        <v>186</v>
      </c>
      <c r="C360" s="2">
        <v>44957</v>
      </c>
      <c r="D360">
        <v>600</v>
      </c>
      <c r="F360" s="1" t="s">
        <v>567</v>
      </c>
      <c r="H360" t="s">
        <v>292</v>
      </c>
      <c r="I360">
        <v>154</v>
      </c>
      <c r="J360" s="2">
        <v>45260</v>
      </c>
      <c r="K360">
        <v>8000</v>
      </c>
      <c r="M360" s="1" t="s">
        <v>567</v>
      </c>
    </row>
    <row r="361" spans="1:13">
      <c r="A361" t="s">
        <v>240</v>
      </c>
      <c r="B361">
        <v>186</v>
      </c>
      <c r="C361" s="2">
        <v>44985</v>
      </c>
      <c r="D361">
        <v>621</v>
      </c>
      <c r="F361" s="1" t="s">
        <v>567</v>
      </c>
      <c r="H361" t="s">
        <v>292</v>
      </c>
      <c r="I361">
        <v>154</v>
      </c>
      <c r="J361" s="2">
        <v>45291</v>
      </c>
      <c r="K361">
        <v>8000</v>
      </c>
      <c r="M361" s="1" t="s">
        <v>567</v>
      </c>
    </row>
    <row r="362" spans="1:13">
      <c r="A362" t="s">
        <v>240</v>
      </c>
      <c r="B362">
        <v>186</v>
      </c>
      <c r="C362" s="2">
        <v>45016</v>
      </c>
      <c r="D362">
        <v>643</v>
      </c>
      <c r="F362" s="1" t="s">
        <v>567</v>
      </c>
      <c r="H362" t="s">
        <v>292</v>
      </c>
      <c r="I362">
        <v>154</v>
      </c>
      <c r="J362" s="2">
        <v>45322</v>
      </c>
      <c r="K362">
        <v>10000</v>
      </c>
      <c r="M362" s="1" t="s">
        <v>567</v>
      </c>
    </row>
    <row r="363" spans="1:13">
      <c r="A363" t="s">
        <v>240</v>
      </c>
      <c r="B363">
        <v>186</v>
      </c>
      <c r="C363" s="2">
        <v>45046</v>
      </c>
      <c r="D363">
        <v>665</v>
      </c>
      <c r="F363" s="1" t="s">
        <v>567</v>
      </c>
      <c r="H363" t="s">
        <v>292</v>
      </c>
      <c r="I363">
        <v>154</v>
      </c>
      <c r="J363" s="2">
        <v>45351</v>
      </c>
      <c r="K363">
        <v>8000</v>
      </c>
      <c r="M363" s="1" t="s">
        <v>567</v>
      </c>
    </row>
    <row r="364" spans="1:13">
      <c r="A364" t="s">
        <v>240</v>
      </c>
      <c r="B364">
        <v>186</v>
      </c>
      <c r="C364" s="2">
        <v>45077</v>
      </c>
      <c r="D364">
        <v>689</v>
      </c>
      <c r="F364" s="1" t="s">
        <v>567</v>
      </c>
      <c r="H364" t="s">
        <v>292</v>
      </c>
      <c r="I364">
        <v>154</v>
      </c>
      <c r="J364" s="2">
        <v>45382</v>
      </c>
      <c r="K364">
        <v>8000</v>
      </c>
      <c r="M364" s="1" t="s">
        <v>567</v>
      </c>
    </row>
    <row r="365" spans="1:13">
      <c r="A365" t="s">
        <v>240</v>
      </c>
      <c r="B365">
        <v>186</v>
      </c>
      <c r="C365" s="2">
        <v>45107</v>
      </c>
      <c r="D365">
        <v>713</v>
      </c>
      <c r="F365" s="1" t="s">
        <v>567</v>
      </c>
      <c r="H365" t="s">
        <v>292</v>
      </c>
      <c r="I365">
        <v>154</v>
      </c>
      <c r="J365" s="2">
        <v>45412</v>
      </c>
      <c r="K365">
        <v>8000</v>
      </c>
      <c r="M365" s="1" t="s">
        <v>567</v>
      </c>
    </row>
    <row r="366" spans="1:13">
      <c r="A366" t="s">
        <v>240</v>
      </c>
      <c r="B366">
        <v>186</v>
      </c>
      <c r="C366" s="2">
        <v>45138</v>
      </c>
      <c r="D366">
        <v>738</v>
      </c>
      <c r="F366" s="1" t="s">
        <v>567</v>
      </c>
      <c r="H366" t="s">
        <v>292</v>
      </c>
      <c r="I366">
        <v>154</v>
      </c>
      <c r="J366" s="2">
        <v>45443</v>
      </c>
      <c r="K366">
        <v>8000</v>
      </c>
      <c r="M366" s="1" t="s">
        <v>567</v>
      </c>
    </row>
    <row r="367" spans="1:13">
      <c r="A367" t="s">
        <v>240</v>
      </c>
      <c r="B367">
        <v>186</v>
      </c>
      <c r="C367" s="2">
        <v>45169</v>
      </c>
      <c r="D367">
        <v>763</v>
      </c>
      <c r="F367" s="1" t="s">
        <v>567</v>
      </c>
      <c r="H367" t="s">
        <v>292</v>
      </c>
      <c r="I367">
        <v>154</v>
      </c>
      <c r="J367" s="2">
        <v>45473</v>
      </c>
      <c r="K367">
        <v>8000</v>
      </c>
      <c r="M367" s="1" t="s">
        <v>567</v>
      </c>
    </row>
    <row r="368" spans="1:13">
      <c r="A368" t="s">
        <v>240</v>
      </c>
      <c r="B368">
        <v>186</v>
      </c>
      <c r="C368" s="2">
        <v>45199</v>
      </c>
      <c r="D368">
        <v>790</v>
      </c>
      <c r="F368" s="1" t="s">
        <v>567</v>
      </c>
      <c r="H368" t="s">
        <v>292</v>
      </c>
      <c r="I368">
        <v>154</v>
      </c>
      <c r="J368" s="2">
        <v>45504</v>
      </c>
      <c r="K368">
        <v>8000</v>
      </c>
      <c r="M368" s="1" t="s">
        <v>567</v>
      </c>
    </row>
    <row r="369" spans="1:13">
      <c r="A369" t="s">
        <v>240</v>
      </c>
      <c r="B369">
        <v>186</v>
      </c>
      <c r="C369" s="2">
        <v>45230</v>
      </c>
      <c r="D369">
        <v>818</v>
      </c>
      <c r="F369" s="1" t="s">
        <v>567</v>
      </c>
      <c r="H369" t="s">
        <v>292</v>
      </c>
      <c r="I369">
        <v>154</v>
      </c>
      <c r="J369" s="2">
        <v>45535</v>
      </c>
      <c r="K369">
        <v>8000</v>
      </c>
      <c r="M369" s="1" t="s">
        <v>567</v>
      </c>
    </row>
    <row r="370" spans="1:13">
      <c r="A370" t="s">
        <v>240</v>
      </c>
      <c r="B370">
        <v>186</v>
      </c>
      <c r="C370" s="2">
        <v>45260</v>
      </c>
      <c r="D370">
        <v>1111</v>
      </c>
      <c r="F370" s="1" t="s">
        <v>567</v>
      </c>
      <c r="H370" t="s">
        <v>292</v>
      </c>
      <c r="I370">
        <v>154</v>
      </c>
      <c r="J370" s="2">
        <v>45565</v>
      </c>
      <c r="K370">
        <v>8000</v>
      </c>
      <c r="M370" s="1" t="s">
        <v>567</v>
      </c>
    </row>
    <row r="371" spans="1:13">
      <c r="A371" t="s">
        <v>240</v>
      </c>
      <c r="B371">
        <v>186</v>
      </c>
      <c r="C371" s="2">
        <v>45291</v>
      </c>
      <c r="D371">
        <v>1973</v>
      </c>
      <c r="F371" s="1" t="s">
        <v>567</v>
      </c>
      <c r="H371" t="s">
        <v>292</v>
      </c>
      <c r="I371">
        <v>154</v>
      </c>
      <c r="J371" s="2">
        <v>45596</v>
      </c>
      <c r="K371">
        <v>8000</v>
      </c>
      <c r="M371" s="1" t="s">
        <v>567</v>
      </c>
    </row>
    <row r="372" spans="1:13">
      <c r="A372" t="s">
        <v>240</v>
      </c>
      <c r="B372">
        <v>186</v>
      </c>
      <c r="C372" s="2">
        <v>45322</v>
      </c>
      <c r="D372">
        <v>1167</v>
      </c>
      <c r="F372" s="1" t="s">
        <v>567</v>
      </c>
      <c r="H372" t="s">
        <v>292</v>
      </c>
      <c r="I372">
        <v>154</v>
      </c>
      <c r="J372" s="2">
        <v>45626</v>
      </c>
      <c r="K372">
        <v>8000</v>
      </c>
      <c r="M372" s="1" t="s">
        <v>567</v>
      </c>
    </row>
    <row r="373" spans="1:13">
      <c r="A373" t="s">
        <v>240</v>
      </c>
      <c r="B373">
        <v>186</v>
      </c>
      <c r="C373" s="2">
        <v>45351</v>
      </c>
      <c r="D373">
        <v>2071</v>
      </c>
      <c r="F373" s="1" t="s">
        <v>567</v>
      </c>
      <c r="H373" t="s">
        <v>292</v>
      </c>
      <c r="I373">
        <v>154</v>
      </c>
      <c r="J373" s="2">
        <v>45657</v>
      </c>
      <c r="K373">
        <v>8000</v>
      </c>
      <c r="M373" s="1" t="s">
        <v>567</v>
      </c>
    </row>
    <row r="374" spans="1:13">
      <c r="A374" t="s">
        <v>240</v>
      </c>
      <c r="B374">
        <v>186</v>
      </c>
      <c r="C374" s="2">
        <v>45382</v>
      </c>
      <c r="D374">
        <v>1225</v>
      </c>
      <c r="F374" s="1" t="s">
        <v>567</v>
      </c>
      <c r="H374" t="s">
        <v>292</v>
      </c>
      <c r="I374">
        <v>154</v>
      </c>
      <c r="J374" s="2">
        <v>45688</v>
      </c>
      <c r="K374">
        <v>8000</v>
      </c>
      <c r="M374" s="1" t="s">
        <v>567</v>
      </c>
    </row>
    <row r="375" spans="1:13">
      <c r="A375" t="s">
        <v>240</v>
      </c>
      <c r="B375">
        <v>186</v>
      </c>
      <c r="C375" s="2">
        <v>45412</v>
      </c>
      <c r="D375">
        <v>2175</v>
      </c>
      <c r="F375" s="1" t="s">
        <v>567</v>
      </c>
      <c r="H375" t="s">
        <v>292</v>
      </c>
      <c r="I375">
        <v>154</v>
      </c>
      <c r="J375" s="2">
        <v>45716</v>
      </c>
      <c r="K375">
        <v>8000</v>
      </c>
      <c r="M375" s="1" t="s">
        <v>567</v>
      </c>
    </row>
    <row r="376" spans="1:13">
      <c r="A376" t="s">
        <v>240</v>
      </c>
      <c r="B376">
        <v>186</v>
      </c>
      <c r="C376" s="2">
        <v>45443</v>
      </c>
      <c r="D376">
        <v>1286</v>
      </c>
      <c r="F376" s="1" t="s">
        <v>567</v>
      </c>
      <c r="H376" t="s">
        <v>292</v>
      </c>
      <c r="I376">
        <v>154</v>
      </c>
      <c r="J376" s="2">
        <v>45747</v>
      </c>
      <c r="K376">
        <v>8000</v>
      </c>
      <c r="M376" s="1" t="s">
        <v>567</v>
      </c>
    </row>
    <row r="377" spans="1:13">
      <c r="A377" t="s">
        <v>240</v>
      </c>
      <c r="B377">
        <v>186</v>
      </c>
      <c r="C377" s="2">
        <v>45473</v>
      </c>
      <c r="D377">
        <v>2284</v>
      </c>
      <c r="F377" s="1" t="s">
        <v>567</v>
      </c>
      <c r="H377" t="s">
        <v>292</v>
      </c>
      <c r="I377">
        <v>154</v>
      </c>
      <c r="J377" s="2">
        <v>45777</v>
      </c>
      <c r="K377">
        <v>8000</v>
      </c>
      <c r="M377" s="1" t="s">
        <v>567</v>
      </c>
    </row>
    <row r="378" spans="1:13">
      <c r="A378" t="s">
        <v>240</v>
      </c>
      <c r="B378">
        <v>186</v>
      </c>
      <c r="C378" s="2">
        <v>45504</v>
      </c>
      <c r="D378">
        <v>2398</v>
      </c>
      <c r="F378" s="1" t="s">
        <v>567</v>
      </c>
      <c r="H378" t="s">
        <v>292</v>
      </c>
      <c r="I378">
        <v>154</v>
      </c>
      <c r="J378" s="2">
        <v>45808</v>
      </c>
      <c r="K378">
        <v>8000</v>
      </c>
      <c r="M378" s="1" t="s">
        <v>567</v>
      </c>
    </row>
    <row r="379" spans="1:13">
      <c r="A379" t="s">
        <v>240</v>
      </c>
      <c r="B379">
        <v>186</v>
      </c>
      <c r="C379" s="2">
        <v>45535</v>
      </c>
      <c r="D379">
        <v>2398</v>
      </c>
      <c r="F379" s="1" t="s">
        <v>567</v>
      </c>
      <c r="H379" t="s">
        <v>292</v>
      </c>
      <c r="I379">
        <v>154</v>
      </c>
      <c r="J379" s="2">
        <v>45838</v>
      </c>
      <c r="K379">
        <v>8000</v>
      </c>
      <c r="M379" s="1" t="s">
        <v>567</v>
      </c>
    </row>
    <row r="380" spans="1:13">
      <c r="A380" t="s">
        <v>240</v>
      </c>
      <c r="B380">
        <v>186</v>
      </c>
      <c r="C380" s="2">
        <v>45565</v>
      </c>
      <c r="D380">
        <v>2518</v>
      </c>
      <c r="F380" s="1" t="s">
        <v>567</v>
      </c>
      <c r="H380" t="s">
        <v>292</v>
      </c>
      <c r="I380">
        <v>154</v>
      </c>
      <c r="J380" s="2">
        <v>45869</v>
      </c>
      <c r="K380">
        <v>8000</v>
      </c>
      <c r="M380" s="1" t="s">
        <v>567</v>
      </c>
    </row>
    <row r="381" spans="1:13">
      <c r="A381" t="s">
        <v>240</v>
      </c>
      <c r="B381">
        <v>186</v>
      </c>
      <c r="C381" s="2">
        <v>45596</v>
      </c>
      <c r="D381">
        <v>2518</v>
      </c>
      <c r="F381" s="1" t="s">
        <v>567</v>
      </c>
      <c r="H381" t="s">
        <v>292</v>
      </c>
      <c r="I381">
        <v>154</v>
      </c>
      <c r="J381" s="2">
        <v>45900</v>
      </c>
      <c r="K381">
        <v>8000</v>
      </c>
      <c r="M381" s="1" t="s">
        <v>567</v>
      </c>
    </row>
    <row r="382" spans="1:13">
      <c r="A382" t="s">
        <v>240</v>
      </c>
      <c r="B382">
        <v>186</v>
      </c>
      <c r="C382" s="2">
        <v>45626</v>
      </c>
      <c r="D382">
        <v>2644</v>
      </c>
      <c r="F382" s="1" t="s">
        <v>567</v>
      </c>
      <c r="H382" t="s">
        <v>292</v>
      </c>
      <c r="I382">
        <v>154</v>
      </c>
      <c r="J382" s="2">
        <v>45930</v>
      </c>
      <c r="K382">
        <v>8000</v>
      </c>
      <c r="M382" s="1" t="s">
        <v>567</v>
      </c>
    </row>
    <row r="383" spans="1:13">
      <c r="A383" t="s">
        <v>240</v>
      </c>
      <c r="B383">
        <v>186</v>
      </c>
      <c r="C383" s="2">
        <v>45657</v>
      </c>
      <c r="D383">
        <v>2776</v>
      </c>
      <c r="F383" s="1" t="s">
        <v>567</v>
      </c>
      <c r="H383" t="s">
        <v>292</v>
      </c>
      <c r="I383">
        <v>154</v>
      </c>
      <c r="J383" s="2">
        <v>45961</v>
      </c>
      <c r="K383">
        <v>8000</v>
      </c>
      <c r="M383" s="1" t="s">
        <v>567</v>
      </c>
    </row>
    <row r="384" spans="1:13">
      <c r="A384" t="s">
        <v>240</v>
      </c>
      <c r="B384">
        <v>186</v>
      </c>
      <c r="C384" s="2">
        <v>45688</v>
      </c>
      <c r="D384">
        <v>2914.68</v>
      </c>
      <c r="F384" s="1" t="s">
        <v>567</v>
      </c>
      <c r="H384" t="s">
        <v>292</v>
      </c>
      <c r="I384">
        <v>154</v>
      </c>
      <c r="J384" s="2">
        <v>45991</v>
      </c>
      <c r="K384">
        <v>8000</v>
      </c>
      <c r="M384" s="1" t="s">
        <v>567</v>
      </c>
    </row>
    <row r="385" spans="1:13">
      <c r="A385" t="s">
        <v>240</v>
      </c>
      <c r="B385">
        <v>186</v>
      </c>
      <c r="C385" s="2">
        <v>45716</v>
      </c>
      <c r="D385">
        <v>3060</v>
      </c>
      <c r="F385" s="1" t="s">
        <v>567</v>
      </c>
      <c r="H385" t="s">
        <v>293</v>
      </c>
      <c r="I385">
        <v>194</v>
      </c>
      <c r="J385" s="2">
        <v>44957</v>
      </c>
      <c r="K385">
        <v>-69</v>
      </c>
      <c r="M385" s="1" t="s">
        <v>567</v>
      </c>
    </row>
    <row r="386" spans="1:13">
      <c r="A386" t="s">
        <v>240</v>
      </c>
      <c r="B386">
        <v>186</v>
      </c>
      <c r="C386" s="2">
        <v>45747</v>
      </c>
      <c r="D386">
        <v>3213</v>
      </c>
      <c r="F386" s="1" t="s">
        <v>567</v>
      </c>
      <c r="H386" t="s">
        <v>293</v>
      </c>
      <c r="I386">
        <v>194</v>
      </c>
      <c r="J386" s="2">
        <v>44985</v>
      </c>
      <c r="K386">
        <v>-138</v>
      </c>
      <c r="M386" s="1" t="s">
        <v>567</v>
      </c>
    </row>
    <row r="387" spans="1:13">
      <c r="A387" t="s">
        <v>240</v>
      </c>
      <c r="B387">
        <v>186</v>
      </c>
      <c r="C387" s="2">
        <v>45777</v>
      </c>
      <c r="D387">
        <v>3374</v>
      </c>
      <c r="F387" s="1" t="s">
        <v>567</v>
      </c>
      <c r="H387" t="s">
        <v>293</v>
      </c>
      <c r="I387">
        <v>194</v>
      </c>
      <c r="J387" s="2">
        <v>45016</v>
      </c>
      <c r="K387">
        <v>-277</v>
      </c>
      <c r="M387" s="1" t="s">
        <v>567</v>
      </c>
    </row>
    <row r="388" spans="1:13">
      <c r="A388" t="s">
        <v>240</v>
      </c>
      <c r="B388">
        <v>186</v>
      </c>
      <c r="C388" s="2">
        <v>45808</v>
      </c>
      <c r="D388">
        <v>3543</v>
      </c>
      <c r="F388" s="1" t="s">
        <v>567</v>
      </c>
      <c r="H388" t="s">
        <v>293</v>
      </c>
      <c r="I388">
        <v>194</v>
      </c>
      <c r="J388" s="2">
        <v>45046</v>
      </c>
      <c r="K388">
        <v>-1388</v>
      </c>
      <c r="M388" s="1" t="s">
        <v>567</v>
      </c>
    </row>
    <row r="389" spans="1:13">
      <c r="A389" t="s">
        <v>240</v>
      </c>
      <c r="B389">
        <v>186</v>
      </c>
      <c r="C389" s="2">
        <v>45838</v>
      </c>
      <c r="D389">
        <v>3719.9</v>
      </c>
      <c r="F389" s="1" t="s">
        <v>567</v>
      </c>
      <c r="H389" t="s">
        <v>293</v>
      </c>
      <c r="I389">
        <v>194</v>
      </c>
      <c r="J389" s="2">
        <v>45077</v>
      </c>
      <c r="K389">
        <v>-2569</v>
      </c>
      <c r="M389" s="1" t="s">
        <v>567</v>
      </c>
    </row>
    <row r="390" spans="1:13">
      <c r="A390" t="s">
        <v>240</v>
      </c>
      <c r="B390">
        <v>186</v>
      </c>
      <c r="C390" s="2">
        <v>45869</v>
      </c>
      <c r="D390">
        <v>3905.95</v>
      </c>
      <c r="F390" s="1" t="s">
        <v>567</v>
      </c>
      <c r="H390" t="s">
        <v>293</v>
      </c>
      <c r="I390">
        <v>194</v>
      </c>
      <c r="J390" s="2">
        <v>45107</v>
      </c>
      <c r="K390">
        <v>-3972</v>
      </c>
      <c r="M390" s="1" t="s">
        <v>567</v>
      </c>
    </row>
    <row r="391" spans="1:13">
      <c r="A391" t="s">
        <v>240</v>
      </c>
      <c r="B391">
        <v>186</v>
      </c>
      <c r="C391" s="2">
        <v>45900</v>
      </c>
      <c r="D391">
        <v>4101.25</v>
      </c>
      <c r="F391" s="1" t="s">
        <v>567</v>
      </c>
      <c r="H391" t="s">
        <v>293</v>
      </c>
      <c r="I391">
        <v>194</v>
      </c>
      <c r="J391" s="2">
        <v>45138</v>
      </c>
      <c r="K391">
        <v>-5375</v>
      </c>
      <c r="M391" s="1" t="s">
        <v>567</v>
      </c>
    </row>
    <row r="392" spans="1:13">
      <c r="A392" t="s">
        <v>240</v>
      </c>
      <c r="B392">
        <v>186</v>
      </c>
      <c r="C392" s="2">
        <v>45930</v>
      </c>
      <c r="D392">
        <v>4306.32</v>
      </c>
      <c r="F392" s="1" t="s">
        <v>567</v>
      </c>
      <c r="H392" t="s">
        <v>293</v>
      </c>
      <c r="I392">
        <v>194</v>
      </c>
      <c r="J392" s="2">
        <v>45169</v>
      </c>
      <c r="K392">
        <v>-6847</v>
      </c>
      <c r="M392" s="1" t="s">
        <v>567</v>
      </c>
    </row>
    <row r="393" spans="1:13">
      <c r="A393" t="s">
        <v>240</v>
      </c>
      <c r="B393">
        <v>186</v>
      </c>
      <c r="C393" s="2">
        <v>45961</v>
      </c>
      <c r="D393">
        <v>4521.63</v>
      </c>
      <c r="F393" s="1" t="s">
        <v>567</v>
      </c>
      <c r="H393" t="s">
        <v>293</v>
      </c>
      <c r="I393">
        <v>194</v>
      </c>
      <c r="J393" s="2">
        <v>45199</v>
      </c>
      <c r="K393">
        <v>-8319</v>
      </c>
      <c r="M393" s="1" t="s">
        <v>567</v>
      </c>
    </row>
    <row r="394" spans="1:13">
      <c r="A394" t="s">
        <v>240</v>
      </c>
      <c r="B394">
        <v>186</v>
      </c>
      <c r="C394" s="2">
        <v>45991</v>
      </c>
      <c r="D394">
        <v>4747.71</v>
      </c>
      <c r="F394" s="1" t="s">
        <v>567</v>
      </c>
      <c r="H394" t="s">
        <v>293</v>
      </c>
      <c r="I394">
        <v>194</v>
      </c>
      <c r="J394" s="2">
        <v>45230</v>
      </c>
      <c r="K394">
        <v>-9791</v>
      </c>
      <c r="M394" s="1" t="s">
        <v>567</v>
      </c>
    </row>
    <row r="395" spans="1:13">
      <c r="A395" t="s">
        <v>241</v>
      </c>
      <c r="B395">
        <v>205</v>
      </c>
      <c r="C395" s="2">
        <v>44957</v>
      </c>
      <c r="D395">
        <v>250</v>
      </c>
      <c r="F395" s="1" t="s">
        <v>567</v>
      </c>
      <c r="H395" t="s">
        <v>293</v>
      </c>
      <c r="I395">
        <v>194</v>
      </c>
      <c r="J395" s="2">
        <v>45260</v>
      </c>
      <c r="K395">
        <v>-12151</v>
      </c>
      <c r="M395" s="1" t="s">
        <v>567</v>
      </c>
    </row>
    <row r="396" spans="1:13">
      <c r="A396" t="s">
        <v>241</v>
      </c>
      <c r="B396">
        <v>205</v>
      </c>
      <c r="C396" s="2">
        <v>44985</v>
      </c>
      <c r="D396">
        <v>259</v>
      </c>
      <c r="F396" s="1" t="s">
        <v>567</v>
      </c>
      <c r="H396" t="s">
        <v>293</v>
      </c>
      <c r="I396">
        <v>194</v>
      </c>
      <c r="J396" s="2">
        <v>45291</v>
      </c>
      <c r="K396">
        <v>-15202</v>
      </c>
      <c r="M396" s="1" t="s">
        <v>567</v>
      </c>
    </row>
    <row r="397" spans="1:13">
      <c r="A397" t="s">
        <v>241</v>
      </c>
      <c r="B397">
        <v>205</v>
      </c>
      <c r="C397" s="2">
        <v>45016</v>
      </c>
      <c r="D397">
        <v>268</v>
      </c>
      <c r="F397" s="1" t="s">
        <v>567</v>
      </c>
      <c r="H397" t="s">
        <v>293</v>
      </c>
      <c r="I397">
        <v>194</v>
      </c>
      <c r="J397" s="2">
        <v>45322</v>
      </c>
      <c r="K397">
        <v>-18252.5</v>
      </c>
      <c r="M397" s="1" t="s">
        <v>567</v>
      </c>
    </row>
    <row r="398" spans="1:13">
      <c r="A398" t="s">
        <v>241</v>
      </c>
      <c r="B398">
        <v>205</v>
      </c>
      <c r="C398" s="2">
        <v>45046</v>
      </c>
      <c r="D398">
        <v>277</v>
      </c>
      <c r="F398" s="1" t="s">
        <v>567</v>
      </c>
      <c r="H398" t="s">
        <v>293</v>
      </c>
      <c r="I398">
        <v>194</v>
      </c>
      <c r="J398" s="2">
        <v>45351</v>
      </c>
      <c r="K398">
        <v>-21303.5</v>
      </c>
      <c r="M398" s="1" t="s">
        <v>567</v>
      </c>
    </row>
    <row r="399" spans="1:13">
      <c r="A399" t="s">
        <v>241</v>
      </c>
      <c r="B399">
        <v>205</v>
      </c>
      <c r="C399" s="2">
        <v>45077</v>
      </c>
      <c r="D399">
        <v>287</v>
      </c>
      <c r="F399" s="1" t="s">
        <v>567</v>
      </c>
      <c r="H399" t="s">
        <v>293</v>
      </c>
      <c r="I399">
        <v>194</v>
      </c>
      <c r="J399" s="2">
        <v>45382</v>
      </c>
      <c r="K399">
        <v>-24354</v>
      </c>
      <c r="M399" s="1" t="s">
        <v>567</v>
      </c>
    </row>
    <row r="400" spans="1:13">
      <c r="A400" t="s">
        <v>241</v>
      </c>
      <c r="B400">
        <v>205</v>
      </c>
      <c r="C400" s="2">
        <v>45107</v>
      </c>
      <c r="D400">
        <v>297</v>
      </c>
      <c r="F400" s="1" t="s">
        <v>567</v>
      </c>
      <c r="H400" t="s">
        <v>293</v>
      </c>
      <c r="I400">
        <v>194</v>
      </c>
      <c r="J400" s="2">
        <v>45412</v>
      </c>
      <c r="K400">
        <v>-27404.5</v>
      </c>
      <c r="M400" s="1" t="s">
        <v>567</v>
      </c>
    </row>
    <row r="401" spans="1:13">
      <c r="A401" t="s">
        <v>241</v>
      </c>
      <c r="B401">
        <v>205</v>
      </c>
      <c r="C401" s="2">
        <v>45138</v>
      </c>
      <c r="D401">
        <v>307</v>
      </c>
      <c r="F401" s="1" t="s">
        <v>567</v>
      </c>
      <c r="H401" t="s">
        <v>293</v>
      </c>
      <c r="I401">
        <v>194</v>
      </c>
      <c r="J401" s="2">
        <v>45443</v>
      </c>
      <c r="K401">
        <v>-30455</v>
      </c>
      <c r="M401" s="1" t="s">
        <v>567</v>
      </c>
    </row>
    <row r="402" spans="1:13">
      <c r="A402" t="s">
        <v>241</v>
      </c>
      <c r="B402">
        <v>205</v>
      </c>
      <c r="C402" s="2">
        <v>45169</v>
      </c>
      <c r="D402">
        <v>318</v>
      </c>
      <c r="F402" s="1" t="s">
        <v>567</v>
      </c>
      <c r="H402" t="s">
        <v>293</v>
      </c>
      <c r="I402">
        <v>194</v>
      </c>
      <c r="J402" s="2">
        <v>45473</v>
      </c>
      <c r="K402">
        <v>-33506</v>
      </c>
      <c r="M402" s="1" t="s">
        <v>567</v>
      </c>
    </row>
    <row r="403" spans="1:13">
      <c r="A403" t="s">
        <v>241</v>
      </c>
      <c r="B403">
        <v>205</v>
      </c>
      <c r="C403" s="2">
        <v>45199</v>
      </c>
      <c r="D403">
        <v>329</v>
      </c>
      <c r="F403" s="1" t="s">
        <v>567</v>
      </c>
      <c r="H403" t="s">
        <v>293</v>
      </c>
      <c r="I403">
        <v>194</v>
      </c>
      <c r="J403" s="2">
        <v>45504</v>
      </c>
      <c r="K403">
        <v>-36557</v>
      </c>
      <c r="M403" s="1" t="s">
        <v>567</v>
      </c>
    </row>
    <row r="404" spans="1:13">
      <c r="A404" t="s">
        <v>241</v>
      </c>
      <c r="B404">
        <v>205</v>
      </c>
      <c r="C404" s="2">
        <v>45230</v>
      </c>
      <c r="D404">
        <v>341</v>
      </c>
      <c r="F404" s="1" t="s">
        <v>567</v>
      </c>
      <c r="H404" t="s">
        <v>293</v>
      </c>
      <c r="I404">
        <v>194</v>
      </c>
      <c r="J404" s="2">
        <v>45535</v>
      </c>
      <c r="K404">
        <v>-39608</v>
      </c>
      <c r="M404" s="1" t="s">
        <v>567</v>
      </c>
    </row>
    <row r="405" spans="1:13">
      <c r="A405" t="s">
        <v>241</v>
      </c>
      <c r="B405">
        <v>205</v>
      </c>
      <c r="C405" s="2">
        <v>45260</v>
      </c>
      <c r="D405">
        <v>596</v>
      </c>
      <c r="F405" s="1" t="s">
        <v>567</v>
      </c>
      <c r="H405" t="s">
        <v>293</v>
      </c>
      <c r="I405">
        <v>194</v>
      </c>
      <c r="J405" s="2">
        <v>45565</v>
      </c>
      <c r="K405">
        <v>-42659</v>
      </c>
      <c r="M405" s="1" t="s">
        <v>567</v>
      </c>
    </row>
    <row r="406" spans="1:13">
      <c r="A406" t="s">
        <v>241</v>
      </c>
      <c r="B406">
        <v>205</v>
      </c>
      <c r="C406" s="2">
        <v>45291</v>
      </c>
      <c r="D406">
        <v>766.5</v>
      </c>
      <c r="F406" s="1" t="s">
        <v>567</v>
      </c>
      <c r="H406" t="s">
        <v>293</v>
      </c>
      <c r="I406">
        <v>194</v>
      </c>
      <c r="J406" s="2">
        <v>45596</v>
      </c>
      <c r="K406">
        <v>-45710</v>
      </c>
      <c r="M406" s="1" t="s">
        <v>567</v>
      </c>
    </row>
    <row r="407" spans="1:13">
      <c r="A407" t="s">
        <v>241</v>
      </c>
      <c r="B407">
        <v>205</v>
      </c>
      <c r="C407" s="2">
        <v>45322</v>
      </c>
      <c r="D407">
        <v>626</v>
      </c>
      <c r="F407" s="1" t="s">
        <v>567</v>
      </c>
      <c r="H407" t="s">
        <v>293</v>
      </c>
      <c r="I407">
        <v>194</v>
      </c>
      <c r="J407" s="2">
        <v>45626</v>
      </c>
      <c r="K407">
        <v>-48761</v>
      </c>
      <c r="M407" s="1" t="s">
        <v>567</v>
      </c>
    </row>
    <row r="408" spans="1:13">
      <c r="A408" t="s">
        <v>241</v>
      </c>
      <c r="B408">
        <v>205</v>
      </c>
      <c r="C408" s="2">
        <v>45351</v>
      </c>
      <c r="D408">
        <v>805</v>
      </c>
      <c r="F408" s="1" t="s">
        <v>567</v>
      </c>
      <c r="H408" t="s">
        <v>293</v>
      </c>
      <c r="I408">
        <v>194</v>
      </c>
      <c r="J408" s="2">
        <v>45657</v>
      </c>
      <c r="K408">
        <v>-51811.5</v>
      </c>
      <c r="M408" s="1" t="s">
        <v>567</v>
      </c>
    </row>
    <row r="409" spans="1:13">
      <c r="A409" t="s">
        <v>241</v>
      </c>
      <c r="B409">
        <v>205</v>
      </c>
      <c r="C409" s="2">
        <v>45382</v>
      </c>
      <c r="D409">
        <v>658</v>
      </c>
      <c r="F409" s="1" t="s">
        <v>567</v>
      </c>
      <c r="H409" t="s">
        <v>293</v>
      </c>
      <c r="I409">
        <v>194</v>
      </c>
      <c r="J409" s="2">
        <v>45688</v>
      </c>
      <c r="K409">
        <v>-54862.16</v>
      </c>
      <c r="M409" s="1" t="s">
        <v>567</v>
      </c>
    </row>
    <row r="410" spans="1:13">
      <c r="A410" t="s">
        <v>241</v>
      </c>
      <c r="B410">
        <v>205</v>
      </c>
      <c r="C410" s="2">
        <v>45412</v>
      </c>
      <c r="D410">
        <v>845</v>
      </c>
      <c r="F410" s="1" t="s">
        <v>567</v>
      </c>
      <c r="H410" t="s">
        <v>293</v>
      </c>
      <c r="I410">
        <v>194</v>
      </c>
      <c r="J410" s="2">
        <v>45716</v>
      </c>
      <c r="K410">
        <v>-57912.82</v>
      </c>
      <c r="M410" s="1" t="s">
        <v>567</v>
      </c>
    </row>
    <row r="411" spans="1:13">
      <c r="A411" t="s">
        <v>241</v>
      </c>
      <c r="B411">
        <v>205</v>
      </c>
      <c r="C411" s="2">
        <v>45443</v>
      </c>
      <c r="D411">
        <v>690</v>
      </c>
      <c r="F411" s="1" t="s">
        <v>567</v>
      </c>
      <c r="H411" t="s">
        <v>293</v>
      </c>
      <c r="I411">
        <v>194</v>
      </c>
      <c r="J411" s="2">
        <v>45747</v>
      </c>
      <c r="K411">
        <v>-60963.48</v>
      </c>
      <c r="M411" s="1" t="s">
        <v>567</v>
      </c>
    </row>
    <row r="412" spans="1:13">
      <c r="A412" t="s">
        <v>241</v>
      </c>
      <c r="B412">
        <v>205</v>
      </c>
      <c r="C412" s="2">
        <v>45473</v>
      </c>
      <c r="D412">
        <v>887</v>
      </c>
      <c r="F412" s="1" t="s">
        <v>567</v>
      </c>
      <c r="H412" t="s">
        <v>293</v>
      </c>
      <c r="I412">
        <v>194</v>
      </c>
      <c r="J412" s="2">
        <v>45777</v>
      </c>
      <c r="K412">
        <v>-64014.14</v>
      </c>
      <c r="M412" s="1" t="s">
        <v>567</v>
      </c>
    </row>
    <row r="413" spans="1:13">
      <c r="A413" t="s">
        <v>241</v>
      </c>
      <c r="B413">
        <v>205</v>
      </c>
      <c r="C413" s="2">
        <v>45504</v>
      </c>
      <c r="D413">
        <v>932</v>
      </c>
      <c r="F413" s="1" t="s">
        <v>567</v>
      </c>
      <c r="H413" t="s">
        <v>293</v>
      </c>
      <c r="I413">
        <v>194</v>
      </c>
      <c r="J413" s="2">
        <v>45808</v>
      </c>
      <c r="K413">
        <v>-67064.800000000003</v>
      </c>
      <c r="M413" s="1" t="s">
        <v>567</v>
      </c>
    </row>
    <row r="414" spans="1:13">
      <c r="A414" t="s">
        <v>241</v>
      </c>
      <c r="B414">
        <v>205</v>
      </c>
      <c r="C414" s="2">
        <v>45535</v>
      </c>
      <c r="D414">
        <v>932</v>
      </c>
      <c r="F414" s="1" t="s">
        <v>567</v>
      </c>
      <c r="H414" t="s">
        <v>293</v>
      </c>
      <c r="I414">
        <v>194</v>
      </c>
      <c r="J414" s="2">
        <v>45838</v>
      </c>
      <c r="K414">
        <v>-70115.460000000006</v>
      </c>
      <c r="M414" s="1" t="s">
        <v>567</v>
      </c>
    </row>
    <row r="415" spans="1:13">
      <c r="A415" t="s">
        <v>241</v>
      </c>
      <c r="B415">
        <v>205</v>
      </c>
      <c r="C415" s="2">
        <v>45565</v>
      </c>
      <c r="D415">
        <v>978</v>
      </c>
      <c r="F415" s="1" t="s">
        <v>567</v>
      </c>
      <c r="H415" t="s">
        <v>293</v>
      </c>
      <c r="I415">
        <v>194</v>
      </c>
      <c r="J415" s="2">
        <v>45869</v>
      </c>
      <c r="K415">
        <v>-73166.12</v>
      </c>
      <c r="M415" s="1" t="s">
        <v>567</v>
      </c>
    </row>
    <row r="416" spans="1:13">
      <c r="A416" t="s">
        <v>241</v>
      </c>
      <c r="B416">
        <v>205</v>
      </c>
      <c r="C416" s="2">
        <v>45596</v>
      </c>
      <c r="D416">
        <v>978</v>
      </c>
      <c r="F416" s="1" t="s">
        <v>567</v>
      </c>
      <c r="H416" t="s">
        <v>293</v>
      </c>
      <c r="I416">
        <v>194</v>
      </c>
      <c r="J416" s="2">
        <v>45900</v>
      </c>
      <c r="K416">
        <v>-76216.78</v>
      </c>
      <c r="M416" s="1" t="s">
        <v>567</v>
      </c>
    </row>
    <row r="417" spans="1:13">
      <c r="A417" t="s">
        <v>241</v>
      </c>
      <c r="B417">
        <v>205</v>
      </c>
      <c r="C417" s="2">
        <v>45626</v>
      </c>
      <c r="D417">
        <v>1027</v>
      </c>
      <c r="F417" s="1" t="s">
        <v>567</v>
      </c>
      <c r="H417" t="s">
        <v>293</v>
      </c>
      <c r="I417">
        <v>194</v>
      </c>
      <c r="J417" s="2">
        <v>45930</v>
      </c>
      <c r="K417">
        <v>-79267.44</v>
      </c>
      <c r="M417" s="1" t="s">
        <v>567</v>
      </c>
    </row>
    <row r="418" spans="1:13">
      <c r="A418" t="s">
        <v>241</v>
      </c>
      <c r="B418">
        <v>205</v>
      </c>
      <c r="C418" s="2">
        <v>45657</v>
      </c>
      <c r="D418">
        <v>1079</v>
      </c>
      <c r="F418" s="1" t="s">
        <v>567</v>
      </c>
      <c r="H418" t="s">
        <v>293</v>
      </c>
      <c r="I418">
        <v>194</v>
      </c>
      <c r="J418" s="2">
        <v>45961</v>
      </c>
      <c r="K418">
        <v>-82318.100000000006</v>
      </c>
      <c r="M418" s="1" t="s">
        <v>567</v>
      </c>
    </row>
    <row r="419" spans="1:13">
      <c r="A419" t="s">
        <v>241</v>
      </c>
      <c r="B419">
        <v>205</v>
      </c>
      <c r="C419" s="2">
        <v>45688</v>
      </c>
      <c r="D419">
        <v>1132.55</v>
      </c>
      <c r="F419" s="1" t="s">
        <v>567</v>
      </c>
      <c r="H419" t="s">
        <v>293</v>
      </c>
      <c r="I419">
        <v>194</v>
      </c>
      <c r="J419" s="2">
        <v>45991</v>
      </c>
      <c r="K419">
        <v>-85368.76</v>
      </c>
      <c r="M419" s="1" t="s">
        <v>567</v>
      </c>
    </row>
    <row r="420" spans="1:13">
      <c r="A420" t="s">
        <v>241</v>
      </c>
      <c r="B420">
        <v>205</v>
      </c>
      <c r="C420" s="2">
        <v>45716</v>
      </c>
      <c r="D420">
        <v>1189</v>
      </c>
      <c r="F420" s="1" t="s">
        <v>567</v>
      </c>
      <c r="H420" t="s">
        <v>294</v>
      </c>
      <c r="I420">
        <v>60</v>
      </c>
      <c r="J420" s="2">
        <v>44957</v>
      </c>
      <c r="K420">
        <v>52718</v>
      </c>
      <c r="M420" s="1" t="s">
        <v>567</v>
      </c>
    </row>
    <row r="421" spans="1:13">
      <c r="A421" t="s">
        <v>241</v>
      </c>
      <c r="B421">
        <v>205</v>
      </c>
      <c r="C421" s="2">
        <v>45747</v>
      </c>
      <c r="D421">
        <v>1249</v>
      </c>
      <c r="F421" s="1" t="s">
        <v>567</v>
      </c>
      <c r="H421" t="s">
        <v>294</v>
      </c>
      <c r="I421">
        <v>60</v>
      </c>
      <c r="J421" s="2">
        <v>44985</v>
      </c>
      <c r="K421">
        <v>52718</v>
      </c>
      <c r="M421" s="1" t="s">
        <v>567</v>
      </c>
    </row>
    <row r="422" spans="1:13">
      <c r="A422" t="s">
        <v>241</v>
      </c>
      <c r="B422">
        <v>205</v>
      </c>
      <c r="C422" s="2">
        <v>45777</v>
      </c>
      <c r="D422">
        <v>1311</v>
      </c>
      <c r="F422" s="1" t="s">
        <v>567</v>
      </c>
      <c r="H422" t="s">
        <v>294</v>
      </c>
      <c r="I422">
        <v>60</v>
      </c>
      <c r="J422" s="2">
        <v>45016</v>
      </c>
      <c r="K422">
        <v>52718</v>
      </c>
      <c r="M422" s="1" t="s">
        <v>567</v>
      </c>
    </row>
    <row r="423" spans="1:13">
      <c r="A423" t="s">
        <v>241</v>
      </c>
      <c r="B423">
        <v>205</v>
      </c>
      <c r="C423" s="2">
        <v>45808</v>
      </c>
      <c r="D423">
        <v>1377</v>
      </c>
      <c r="F423" s="1" t="s">
        <v>567</v>
      </c>
      <c r="H423" t="s">
        <v>294</v>
      </c>
      <c r="I423">
        <v>60</v>
      </c>
      <c r="J423" s="2">
        <v>45046</v>
      </c>
      <c r="K423">
        <v>52718</v>
      </c>
      <c r="M423" s="1" t="s">
        <v>567</v>
      </c>
    </row>
    <row r="424" spans="1:13">
      <c r="A424" t="s">
        <v>241</v>
      </c>
      <c r="B424">
        <v>205</v>
      </c>
      <c r="C424" s="2">
        <v>45838</v>
      </c>
      <c r="D424">
        <v>1445.45</v>
      </c>
      <c r="F424" s="1" t="s">
        <v>567</v>
      </c>
      <c r="H424" t="s">
        <v>294</v>
      </c>
      <c r="I424">
        <v>60</v>
      </c>
      <c r="J424" s="2">
        <v>45077</v>
      </c>
      <c r="K424">
        <v>52718</v>
      </c>
      <c r="M424" s="1" t="s">
        <v>567</v>
      </c>
    </row>
    <row r="425" spans="1:13">
      <c r="A425" t="s">
        <v>241</v>
      </c>
      <c r="B425">
        <v>205</v>
      </c>
      <c r="C425" s="2">
        <v>45869</v>
      </c>
      <c r="D425">
        <v>1517.72</v>
      </c>
      <c r="F425" s="1" t="s">
        <v>567</v>
      </c>
      <c r="H425" t="s">
        <v>294</v>
      </c>
      <c r="I425">
        <v>60</v>
      </c>
      <c r="J425" s="2">
        <v>45107</v>
      </c>
      <c r="K425">
        <v>52718</v>
      </c>
      <c r="M425" s="1" t="s">
        <v>567</v>
      </c>
    </row>
    <row r="426" spans="1:13">
      <c r="A426" t="s">
        <v>241</v>
      </c>
      <c r="B426">
        <v>205</v>
      </c>
      <c r="C426" s="2">
        <v>45900</v>
      </c>
      <c r="D426">
        <v>1593.63</v>
      </c>
      <c r="F426" s="1" t="s">
        <v>567</v>
      </c>
      <c r="H426" t="s">
        <v>294</v>
      </c>
      <c r="I426">
        <v>60</v>
      </c>
      <c r="J426" s="2">
        <v>45138</v>
      </c>
      <c r="K426">
        <v>52718</v>
      </c>
      <c r="M426" s="1" t="s">
        <v>567</v>
      </c>
    </row>
    <row r="427" spans="1:13">
      <c r="A427" t="s">
        <v>241</v>
      </c>
      <c r="B427">
        <v>205</v>
      </c>
      <c r="C427" s="2">
        <v>45930</v>
      </c>
      <c r="D427">
        <v>1673.28</v>
      </c>
      <c r="F427" s="1" t="s">
        <v>567</v>
      </c>
      <c r="H427" t="s">
        <v>294</v>
      </c>
      <c r="I427">
        <v>60</v>
      </c>
      <c r="J427" s="2">
        <v>45169</v>
      </c>
      <c r="K427">
        <v>52718</v>
      </c>
      <c r="M427" s="1" t="s">
        <v>567</v>
      </c>
    </row>
    <row r="428" spans="1:13">
      <c r="A428" t="s">
        <v>241</v>
      </c>
      <c r="B428">
        <v>205</v>
      </c>
      <c r="C428" s="2">
        <v>45961</v>
      </c>
      <c r="D428">
        <v>1756.96</v>
      </c>
      <c r="F428" s="1" t="s">
        <v>567</v>
      </c>
      <c r="H428" t="s">
        <v>294</v>
      </c>
      <c r="I428">
        <v>60</v>
      </c>
      <c r="J428" s="2">
        <v>45199</v>
      </c>
      <c r="K428">
        <v>52718</v>
      </c>
      <c r="M428" s="1" t="s">
        <v>567</v>
      </c>
    </row>
    <row r="429" spans="1:13">
      <c r="A429" t="s">
        <v>241</v>
      </c>
      <c r="B429">
        <v>205</v>
      </c>
      <c r="C429" s="2">
        <v>45991</v>
      </c>
      <c r="D429">
        <v>1844.81</v>
      </c>
      <c r="F429" s="1" t="s">
        <v>567</v>
      </c>
      <c r="H429" t="s">
        <v>294</v>
      </c>
      <c r="I429">
        <v>60</v>
      </c>
      <c r="J429" s="2">
        <v>45230</v>
      </c>
      <c r="K429">
        <v>52718</v>
      </c>
      <c r="M429" s="1" t="s">
        <v>567</v>
      </c>
    </row>
    <row r="430" spans="1:13">
      <c r="A430" t="s">
        <v>242</v>
      </c>
      <c r="B430" t="s">
        <v>243</v>
      </c>
      <c r="C430" s="2">
        <v>44957</v>
      </c>
      <c r="D430">
        <v>1700</v>
      </c>
      <c r="F430" s="1" t="s">
        <v>567</v>
      </c>
      <c r="H430" t="s">
        <v>294</v>
      </c>
      <c r="I430">
        <v>60</v>
      </c>
      <c r="J430" s="2">
        <v>45260</v>
      </c>
      <c r="K430">
        <v>52718</v>
      </c>
      <c r="M430" s="1" t="s">
        <v>567</v>
      </c>
    </row>
    <row r="431" spans="1:13">
      <c r="A431" t="s">
        <v>242</v>
      </c>
      <c r="B431" t="s">
        <v>243</v>
      </c>
      <c r="C431" s="2">
        <v>44985</v>
      </c>
      <c r="D431">
        <v>1760</v>
      </c>
      <c r="F431" s="1" t="s">
        <v>567</v>
      </c>
      <c r="H431" t="s">
        <v>294</v>
      </c>
      <c r="I431">
        <v>60</v>
      </c>
      <c r="J431" s="2">
        <v>45291</v>
      </c>
      <c r="K431">
        <v>52718</v>
      </c>
      <c r="M431" s="1" t="s">
        <v>567</v>
      </c>
    </row>
    <row r="432" spans="1:13">
      <c r="A432" t="s">
        <v>242</v>
      </c>
      <c r="B432" t="s">
        <v>243</v>
      </c>
      <c r="C432" s="2">
        <v>45016</v>
      </c>
      <c r="D432">
        <v>1822</v>
      </c>
      <c r="F432" s="1" t="s">
        <v>567</v>
      </c>
      <c r="H432" t="s">
        <v>294</v>
      </c>
      <c r="I432">
        <v>60</v>
      </c>
      <c r="J432" s="2">
        <v>45322</v>
      </c>
      <c r="K432">
        <v>52718</v>
      </c>
      <c r="M432" s="1" t="s">
        <v>567</v>
      </c>
    </row>
    <row r="433" spans="1:13">
      <c r="A433" t="s">
        <v>242</v>
      </c>
      <c r="B433" t="s">
        <v>243</v>
      </c>
      <c r="C433" s="2">
        <v>45046</v>
      </c>
      <c r="D433">
        <v>1884</v>
      </c>
      <c r="F433" s="1" t="s">
        <v>567</v>
      </c>
      <c r="H433" t="s">
        <v>294</v>
      </c>
      <c r="I433">
        <v>60</v>
      </c>
      <c r="J433" s="2">
        <v>45351</v>
      </c>
      <c r="K433">
        <v>52718</v>
      </c>
      <c r="M433" s="1" t="s">
        <v>567</v>
      </c>
    </row>
    <row r="434" spans="1:13">
      <c r="A434" t="s">
        <v>242</v>
      </c>
      <c r="B434" t="s">
        <v>243</v>
      </c>
      <c r="C434" s="2">
        <v>45077</v>
      </c>
      <c r="D434">
        <v>1951</v>
      </c>
      <c r="F434" s="1" t="s">
        <v>567</v>
      </c>
      <c r="H434" t="s">
        <v>294</v>
      </c>
      <c r="I434">
        <v>60</v>
      </c>
      <c r="J434" s="2">
        <v>45382</v>
      </c>
      <c r="K434">
        <v>52718</v>
      </c>
      <c r="M434" s="1" t="s">
        <v>567</v>
      </c>
    </row>
    <row r="435" spans="1:13">
      <c r="A435" t="s">
        <v>242</v>
      </c>
      <c r="B435" t="s">
        <v>243</v>
      </c>
      <c r="C435" s="2">
        <v>45107</v>
      </c>
      <c r="D435">
        <v>2020</v>
      </c>
      <c r="F435" s="1" t="s">
        <v>567</v>
      </c>
      <c r="H435" t="s">
        <v>294</v>
      </c>
      <c r="I435">
        <v>60</v>
      </c>
      <c r="J435" s="2">
        <v>45412</v>
      </c>
      <c r="K435">
        <v>52718</v>
      </c>
      <c r="M435" s="1" t="s">
        <v>567</v>
      </c>
    </row>
    <row r="436" spans="1:13">
      <c r="A436" t="s">
        <v>242</v>
      </c>
      <c r="B436" t="s">
        <v>243</v>
      </c>
      <c r="C436" s="2">
        <v>45138</v>
      </c>
      <c r="D436">
        <v>2090</v>
      </c>
      <c r="F436" s="1" t="s">
        <v>567</v>
      </c>
      <c r="H436" t="s">
        <v>294</v>
      </c>
      <c r="I436">
        <v>60</v>
      </c>
      <c r="J436" s="2">
        <v>45443</v>
      </c>
      <c r="K436">
        <v>52718</v>
      </c>
      <c r="M436" s="1" t="s">
        <v>567</v>
      </c>
    </row>
    <row r="437" spans="1:13">
      <c r="A437" t="s">
        <v>242</v>
      </c>
      <c r="B437" t="s">
        <v>243</v>
      </c>
      <c r="C437" s="2">
        <v>45169</v>
      </c>
      <c r="D437">
        <v>2162</v>
      </c>
      <c r="F437" s="1" t="s">
        <v>567</v>
      </c>
      <c r="H437" t="s">
        <v>294</v>
      </c>
      <c r="I437">
        <v>60</v>
      </c>
      <c r="J437" s="2">
        <v>45473</v>
      </c>
      <c r="K437">
        <v>52718</v>
      </c>
      <c r="M437" s="1" t="s">
        <v>567</v>
      </c>
    </row>
    <row r="438" spans="1:13">
      <c r="A438" t="s">
        <v>242</v>
      </c>
      <c r="B438" t="s">
        <v>243</v>
      </c>
      <c r="C438" s="2">
        <v>45199</v>
      </c>
      <c r="D438">
        <v>2238</v>
      </c>
      <c r="F438" s="1" t="s">
        <v>567</v>
      </c>
      <c r="H438" t="s">
        <v>294</v>
      </c>
      <c r="I438">
        <v>60</v>
      </c>
      <c r="J438" s="2">
        <v>45504</v>
      </c>
      <c r="K438">
        <v>52718</v>
      </c>
      <c r="M438" s="1" t="s">
        <v>567</v>
      </c>
    </row>
    <row r="439" spans="1:13">
      <c r="A439" t="s">
        <v>242</v>
      </c>
      <c r="B439" t="s">
        <v>243</v>
      </c>
      <c r="C439" s="2">
        <v>45230</v>
      </c>
      <c r="D439">
        <v>2317</v>
      </c>
      <c r="F439" s="1" t="s">
        <v>567</v>
      </c>
      <c r="H439" t="s">
        <v>294</v>
      </c>
      <c r="I439">
        <v>60</v>
      </c>
      <c r="J439" s="2">
        <v>45535</v>
      </c>
      <c r="K439">
        <v>52718</v>
      </c>
      <c r="M439" s="1" t="s">
        <v>567</v>
      </c>
    </row>
    <row r="440" spans="1:13">
      <c r="A440" t="s">
        <v>242</v>
      </c>
      <c r="B440" t="s">
        <v>243</v>
      </c>
      <c r="C440" s="2">
        <v>45260</v>
      </c>
      <c r="D440">
        <v>2887</v>
      </c>
      <c r="F440" s="1" t="s">
        <v>567</v>
      </c>
      <c r="H440" t="s">
        <v>294</v>
      </c>
      <c r="I440">
        <v>60</v>
      </c>
      <c r="J440" s="2">
        <v>45565</v>
      </c>
      <c r="K440">
        <v>52718</v>
      </c>
      <c r="M440" s="1" t="s">
        <v>567</v>
      </c>
    </row>
    <row r="441" spans="1:13">
      <c r="A441" t="s">
        <v>242</v>
      </c>
      <c r="B441" t="s">
        <v>243</v>
      </c>
      <c r="C441" s="2">
        <v>45291</v>
      </c>
      <c r="D441">
        <v>4535.5</v>
      </c>
      <c r="F441" s="1" t="s">
        <v>567</v>
      </c>
      <c r="H441" t="s">
        <v>294</v>
      </c>
      <c r="I441">
        <v>60</v>
      </c>
      <c r="J441" s="2">
        <v>45596</v>
      </c>
      <c r="K441">
        <v>52718</v>
      </c>
      <c r="M441" s="1" t="s">
        <v>567</v>
      </c>
    </row>
    <row r="442" spans="1:13">
      <c r="A442" t="s">
        <v>242</v>
      </c>
      <c r="B442" t="s">
        <v>243</v>
      </c>
      <c r="C442" s="2">
        <v>45322</v>
      </c>
      <c r="D442">
        <v>3031</v>
      </c>
      <c r="F442" s="1" t="s">
        <v>567</v>
      </c>
      <c r="H442" t="s">
        <v>294</v>
      </c>
      <c r="I442">
        <v>60</v>
      </c>
      <c r="J442" s="2">
        <v>45626</v>
      </c>
      <c r="K442">
        <v>52718</v>
      </c>
      <c r="M442" s="1" t="s">
        <v>567</v>
      </c>
    </row>
    <row r="443" spans="1:13">
      <c r="A443" t="s">
        <v>242</v>
      </c>
      <c r="B443" t="s">
        <v>243</v>
      </c>
      <c r="C443" s="2">
        <v>45351</v>
      </c>
      <c r="D443">
        <v>4762</v>
      </c>
      <c r="F443" s="1" t="s">
        <v>567</v>
      </c>
      <c r="H443" t="s">
        <v>294</v>
      </c>
      <c r="I443">
        <v>60</v>
      </c>
      <c r="J443" s="2">
        <v>45657</v>
      </c>
      <c r="K443">
        <v>52718</v>
      </c>
      <c r="M443" s="1" t="s">
        <v>567</v>
      </c>
    </row>
    <row r="444" spans="1:13">
      <c r="A444" t="s">
        <v>242</v>
      </c>
      <c r="B444" t="s">
        <v>243</v>
      </c>
      <c r="C444" s="2">
        <v>45382</v>
      </c>
      <c r="D444">
        <v>3183</v>
      </c>
      <c r="F444" s="1" t="s">
        <v>567</v>
      </c>
      <c r="H444" t="s">
        <v>294</v>
      </c>
      <c r="I444">
        <v>60</v>
      </c>
      <c r="J444" s="2">
        <v>45688</v>
      </c>
      <c r="K444">
        <v>52718</v>
      </c>
      <c r="M444" s="1" t="s">
        <v>567</v>
      </c>
    </row>
    <row r="445" spans="1:13">
      <c r="A445" t="s">
        <v>242</v>
      </c>
      <c r="B445" t="s">
        <v>243</v>
      </c>
      <c r="C445" s="2">
        <v>45412</v>
      </c>
      <c r="D445">
        <v>5001</v>
      </c>
      <c r="F445" s="1" t="s">
        <v>567</v>
      </c>
      <c r="H445" t="s">
        <v>294</v>
      </c>
      <c r="I445">
        <v>60</v>
      </c>
      <c r="J445" s="2">
        <v>45716</v>
      </c>
      <c r="K445">
        <v>52718</v>
      </c>
      <c r="M445" s="1" t="s">
        <v>567</v>
      </c>
    </row>
    <row r="446" spans="1:13">
      <c r="A446" t="s">
        <v>242</v>
      </c>
      <c r="B446" t="s">
        <v>243</v>
      </c>
      <c r="C446" s="2">
        <v>45443</v>
      </c>
      <c r="D446">
        <v>3341</v>
      </c>
      <c r="F446" s="1" t="s">
        <v>567</v>
      </c>
      <c r="H446" t="s">
        <v>294</v>
      </c>
      <c r="I446">
        <v>60</v>
      </c>
      <c r="J446" s="2">
        <v>45747</v>
      </c>
      <c r="K446">
        <v>52718</v>
      </c>
      <c r="M446" s="1" t="s">
        <v>567</v>
      </c>
    </row>
    <row r="447" spans="1:13">
      <c r="A447" t="s">
        <v>242</v>
      </c>
      <c r="B447" t="s">
        <v>243</v>
      </c>
      <c r="C447" s="2">
        <v>45473</v>
      </c>
      <c r="D447">
        <v>5251</v>
      </c>
      <c r="F447" s="1" t="s">
        <v>567</v>
      </c>
      <c r="H447" t="s">
        <v>294</v>
      </c>
      <c r="I447">
        <v>60</v>
      </c>
      <c r="J447" s="2">
        <v>45777</v>
      </c>
      <c r="K447">
        <v>52718</v>
      </c>
      <c r="M447" s="1" t="s">
        <v>567</v>
      </c>
    </row>
    <row r="448" spans="1:13">
      <c r="A448" t="s">
        <v>242</v>
      </c>
      <c r="B448" t="s">
        <v>243</v>
      </c>
      <c r="C448" s="2">
        <v>45504</v>
      </c>
      <c r="D448">
        <v>5514</v>
      </c>
      <c r="F448" s="1" t="s">
        <v>567</v>
      </c>
      <c r="H448" t="s">
        <v>294</v>
      </c>
      <c r="I448">
        <v>60</v>
      </c>
      <c r="J448" s="2">
        <v>45808</v>
      </c>
      <c r="K448">
        <v>52718</v>
      </c>
      <c r="M448" s="1" t="s">
        <v>567</v>
      </c>
    </row>
    <row r="449" spans="1:13">
      <c r="A449" t="s">
        <v>242</v>
      </c>
      <c r="B449" t="s">
        <v>243</v>
      </c>
      <c r="C449" s="2">
        <v>45535</v>
      </c>
      <c r="D449">
        <v>5514</v>
      </c>
      <c r="F449" s="1" t="s">
        <v>567</v>
      </c>
      <c r="H449" t="s">
        <v>294</v>
      </c>
      <c r="I449">
        <v>60</v>
      </c>
      <c r="J449" s="2">
        <v>45838</v>
      </c>
      <c r="K449">
        <v>52718</v>
      </c>
      <c r="M449" s="1" t="s">
        <v>567</v>
      </c>
    </row>
    <row r="450" spans="1:13">
      <c r="A450" t="s">
        <v>242</v>
      </c>
      <c r="B450" t="s">
        <v>243</v>
      </c>
      <c r="C450" s="2">
        <v>45565</v>
      </c>
      <c r="D450">
        <v>5789</v>
      </c>
      <c r="F450" s="1" t="s">
        <v>567</v>
      </c>
      <c r="H450" t="s">
        <v>294</v>
      </c>
      <c r="I450">
        <v>60</v>
      </c>
      <c r="J450" s="2">
        <v>45869</v>
      </c>
      <c r="K450">
        <v>52718</v>
      </c>
      <c r="M450" s="1" t="s">
        <v>567</v>
      </c>
    </row>
    <row r="451" spans="1:13">
      <c r="A451" t="s">
        <v>242</v>
      </c>
      <c r="B451" t="s">
        <v>243</v>
      </c>
      <c r="C451" s="2">
        <v>45596</v>
      </c>
      <c r="D451">
        <v>5789</v>
      </c>
      <c r="F451" s="1" t="s">
        <v>567</v>
      </c>
      <c r="H451" t="s">
        <v>294</v>
      </c>
      <c r="I451">
        <v>60</v>
      </c>
      <c r="J451" s="2">
        <v>45900</v>
      </c>
      <c r="K451">
        <v>52718</v>
      </c>
      <c r="M451" s="1" t="s">
        <v>567</v>
      </c>
    </row>
    <row r="452" spans="1:13">
      <c r="A452" t="s">
        <v>242</v>
      </c>
      <c r="B452" t="s">
        <v>243</v>
      </c>
      <c r="C452" s="2">
        <v>45626</v>
      </c>
      <c r="D452">
        <v>6078</v>
      </c>
      <c r="F452" s="1" t="s">
        <v>567</v>
      </c>
      <c r="H452" t="s">
        <v>294</v>
      </c>
      <c r="I452">
        <v>60</v>
      </c>
      <c r="J452" s="2">
        <v>45930</v>
      </c>
      <c r="K452">
        <v>52718</v>
      </c>
      <c r="M452" s="1" t="s">
        <v>567</v>
      </c>
    </row>
    <row r="453" spans="1:13">
      <c r="A453" t="s">
        <v>242</v>
      </c>
      <c r="B453" t="s">
        <v>243</v>
      </c>
      <c r="C453" s="2">
        <v>45657</v>
      </c>
      <c r="D453">
        <v>6383</v>
      </c>
      <c r="F453" s="1" t="s">
        <v>567</v>
      </c>
      <c r="H453" t="s">
        <v>294</v>
      </c>
      <c r="I453">
        <v>60</v>
      </c>
      <c r="J453" s="2">
        <v>45961</v>
      </c>
      <c r="K453">
        <v>52718</v>
      </c>
      <c r="M453" s="1" t="s">
        <v>567</v>
      </c>
    </row>
    <row r="454" spans="1:13">
      <c r="A454" t="s">
        <v>242</v>
      </c>
      <c r="B454" t="s">
        <v>243</v>
      </c>
      <c r="C454" s="2">
        <v>45688</v>
      </c>
      <c r="D454">
        <v>6701.46</v>
      </c>
      <c r="F454" s="1" t="s">
        <v>567</v>
      </c>
      <c r="H454" t="s">
        <v>294</v>
      </c>
      <c r="I454">
        <v>60</v>
      </c>
      <c r="J454" s="2">
        <v>45991</v>
      </c>
      <c r="K454">
        <v>52718</v>
      </c>
      <c r="M454" s="1" t="s">
        <v>567</v>
      </c>
    </row>
    <row r="455" spans="1:13">
      <c r="A455" t="s">
        <v>242</v>
      </c>
      <c r="B455" t="s">
        <v>243</v>
      </c>
      <c r="C455" s="2">
        <v>45716</v>
      </c>
      <c r="D455">
        <v>7036</v>
      </c>
      <c r="F455" s="1" t="s">
        <v>567</v>
      </c>
      <c r="H455" t="s">
        <v>295</v>
      </c>
      <c r="I455">
        <v>1150040001</v>
      </c>
      <c r="J455" s="2">
        <v>44957</v>
      </c>
      <c r="K455">
        <v>7951</v>
      </c>
      <c r="M455" s="1" t="s">
        <v>567</v>
      </c>
    </row>
    <row r="456" spans="1:13">
      <c r="A456" t="s">
        <v>242</v>
      </c>
      <c r="B456" t="s">
        <v>243</v>
      </c>
      <c r="C456" s="2">
        <v>45747</v>
      </c>
      <c r="D456">
        <v>7388</v>
      </c>
      <c r="F456" s="1" t="s">
        <v>567</v>
      </c>
      <c r="H456" t="s">
        <v>295</v>
      </c>
      <c r="I456">
        <v>1150040001</v>
      </c>
      <c r="J456" s="2">
        <v>44985</v>
      </c>
      <c r="K456">
        <v>7951</v>
      </c>
      <c r="M456" s="1" t="s">
        <v>567</v>
      </c>
    </row>
    <row r="457" spans="1:13">
      <c r="A457" t="s">
        <v>242</v>
      </c>
      <c r="B457" t="s">
        <v>243</v>
      </c>
      <c r="C457" s="2">
        <v>45777</v>
      </c>
      <c r="D457">
        <v>7758</v>
      </c>
      <c r="F457" s="1" t="s">
        <v>567</v>
      </c>
      <c r="H457" t="s">
        <v>295</v>
      </c>
      <c r="I457">
        <v>1150040001</v>
      </c>
      <c r="J457" s="2">
        <v>45016</v>
      </c>
      <c r="K457">
        <v>7951</v>
      </c>
      <c r="M457" s="1" t="s">
        <v>567</v>
      </c>
    </row>
    <row r="458" spans="1:13">
      <c r="A458" t="s">
        <v>242</v>
      </c>
      <c r="B458" t="s">
        <v>243</v>
      </c>
      <c r="C458" s="2">
        <v>45808</v>
      </c>
      <c r="D458">
        <v>8146</v>
      </c>
      <c r="F458" s="1" t="s">
        <v>567</v>
      </c>
      <c r="H458" t="s">
        <v>295</v>
      </c>
      <c r="I458">
        <v>1150040001</v>
      </c>
      <c r="J458" s="2">
        <v>45046</v>
      </c>
      <c r="K458">
        <v>7951</v>
      </c>
      <c r="M458" s="1" t="s">
        <v>567</v>
      </c>
    </row>
    <row r="459" spans="1:13">
      <c r="A459" t="s">
        <v>242</v>
      </c>
      <c r="B459" t="s">
        <v>243</v>
      </c>
      <c r="C459" s="2">
        <v>45838</v>
      </c>
      <c r="D459">
        <v>8552.9000000000015</v>
      </c>
      <c r="F459" s="1" t="s">
        <v>567</v>
      </c>
      <c r="H459" t="s">
        <v>295</v>
      </c>
      <c r="I459">
        <v>1150040001</v>
      </c>
      <c r="J459" s="2">
        <v>45077</v>
      </c>
      <c r="K459">
        <v>7951</v>
      </c>
      <c r="M459" s="1" t="s">
        <v>567</v>
      </c>
    </row>
    <row r="460" spans="1:13">
      <c r="A460" t="s">
        <v>242</v>
      </c>
      <c r="B460" t="s">
        <v>243</v>
      </c>
      <c r="C460" s="2">
        <v>45869</v>
      </c>
      <c r="D460">
        <v>8980.5999999999985</v>
      </c>
      <c r="F460" s="1" t="s">
        <v>567</v>
      </c>
      <c r="H460" t="s">
        <v>295</v>
      </c>
      <c r="I460">
        <v>1150040001</v>
      </c>
      <c r="J460" s="2">
        <v>45107</v>
      </c>
      <c r="K460">
        <v>7951</v>
      </c>
      <c r="M460" s="1" t="s">
        <v>567</v>
      </c>
    </row>
    <row r="461" spans="1:13">
      <c r="A461" t="s">
        <v>242</v>
      </c>
      <c r="B461" t="s">
        <v>243</v>
      </c>
      <c r="C461" s="2">
        <v>45900</v>
      </c>
      <c r="D461">
        <v>9429.65</v>
      </c>
      <c r="F461" s="1" t="s">
        <v>567</v>
      </c>
      <c r="H461" t="s">
        <v>295</v>
      </c>
      <c r="I461">
        <v>1150040001</v>
      </c>
      <c r="J461" s="2">
        <v>45138</v>
      </c>
      <c r="K461">
        <v>7951</v>
      </c>
      <c r="M461" s="1" t="s">
        <v>567</v>
      </c>
    </row>
    <row r="462" spans="1:13">
      <c r="A462" t="s">
        <v>242</v>
      </c>
      <c r="B462" t="s">
        <v>243</v>
      </c>
      <c r="C462" s="2">
        <v>45930</v>
      </c>
      <c r="D462">
        <v>9901.11</v>
      </c>
      <c r="F462" s="1" t="s">
        <v>567</v>
      </c>
      <c r="H462" t="s">
        <v>295</v>
      </c>
      <c r="I462">
        <v>1150040001</v>
      </c>
      <c r="J462" s="2">
        <v>45169</v>
      </c>
      <c r="K462">
        <v>7951</v>
      </c>
      <c r="M462" s="1" t="s">
        <v>567</v>
      </c>
    </row>
    <row r="463" spans="1:13">
      <c r="A463" t="s">
        <v>242</v>
      </c>
      <c r="B463" t="s">
        <v>243</v>
      </c>
      <c r="C463" s="2">
        <v>45961</v>
      </c>
      <c r="D463">
        <v>10396.18</v>
      </c>
      <c r="F463" s="1" t="s">
        <v>567</v>
      </c>
      <c r="H463" t="s">
        <v>295</v>
      </c>
      <c r="I463">
        <v>1150040001</v>
      </c>
      <c r="J463" s="2">
        <v>45199</v>
      </c>
      <c r="K463">
        <v>7951</v>
      </c>
      <c r="M463" s="1" t="s">
        <v>567</v>
      </c>
    </row>
    <row r="464" spans="1:13">
      <c r="A464" t="s">
        <v>242</v>
      </c>
      <c r="B464" t="s">
        <v>243</v>
      </c>
      <c r="C464" s="2">
        <v>45991</v>
      </c>
      <c r="D464">
        <v>10915.99</v>
      </c>
      <c r="F464" s="1" t="s">
        <v>567</v>
      </c>
      <c r="H464" t="s">
        <v>295</v>
      </c>
      <c r="I464">
        <v>1150040001</v>
      </c>
      <c r="J464" s="2">
        <v>45230</v>
      </c>
      <c r="K464">
        <v>7951</v>
      </c>
      <c r="M464" s="1" t="s">
        <v>567</v>
      </c>
    </row>
    <row r="465" spans="1:13">
      <c r="A465" t="s">
        <v>244</v>
      </c>
      <c r="B465">
        <v>200</v>
      </c>
      <c r="C465" s="2">
        <v>44957</v>
      </c>
      <c r="D465">
        <v>8000</v>
      </c>
      <c r="F465" s="1" t="s">
        <v>567</v>
      </c>
      <c r="H465" t="s">
        <v>295</v>
      </c>
      <c r="I465">
        <v>1150040001</v>
      </c>
      <c r="J465" s="2">
        <v>45260</v>
      </c>
      <c r="K465">
        <v>7951</v>
      </c>
      <c r="M465" s="1" t="s">
        <v>567</v>
      </c>
    </row>
    <row r="466" spans="1:13">
      <c r="A466" t="s">
        <v>244</v>
      </c>
      <c r="B466">
        <v>200</v>
      </c>
      <c r="C466" s="2">
        <v>44985</v>
      </c>
      <c r="D466">
        <v>8280</v>
      </c>
      <c r="F466" s="1" t="s">
        <v>567</v>
      </c>
      <c r="H466" t="s">
        <v>295</v>
      </c>
      <c r="I466">
        <v>1150040001</v>
      </c>
      <c r="J466" s="2">
        <v>45291</v>
      </c>
      <c r="K466">
        <v>7951</v>
      </c>
      <c r="M466" s="1" t="s">
        <v>567</v>
      </c>
    </row>
    <row r="467" spans="1:13">
      <c r="A467" t="s">
        <v>244</v>
      </c>
      <c r="B467">
        <v>200</v>
      </c>
      <c r="C467" s="2">
        <v>45016</v>
      </c>
      <c r="D467">
        <v>8570</v>
      </c>
      <c r="F467" s="1" t="s">
        <v>567</v>
      </c>
      <c r="H467" t="s">
        <v>295</v>
      </c>
      <c r="I467">
        <v>1150040001</v>
      </c>
      <c r="J467" s="2">
        <v>45322</v>
      </c>
      <c r="K467">
        <v>7951</v>
      </c>
      <c r="M467" s="1" t="s">
        <v>567</v>
      </c>
    </row>
    <row r="468" spans="1:13">
      <c r="A468" t="s">
        <v>244</v>
      </c>
      <c r="B468">
        <v>200</v>
      </c>
      <c r="C468" s="2">
        <v>45046</v>
      </c>
      <c r="D468">
        <v>8870</v>
      </c>
      <c r="F468" s="1" t="s">
        <v>567</v>
      </c>
      <c r="H468" t="s">
        <v>295</v>
      </c>
      <c r="I468">
        <v>1150040001</v>
      </c>
      <c r="J468" s="2">
        <v>45351</v>
      </c>
      <c r="K468">
        <v>7951</v>
      </c>
      <c r="M468" s="1" t="s">
        <v>567</v>
      </c>
    </row>
    <row r="469" spans="1:13">
      <c r="A469" t="s">
        <v>244</v>
      </c>
      <c r="B469">
        <v>200</v>
      </c>
      <c r="C469" s="2">
        <v>45077</v>
      </c>
      <c r="D469">
        <v>9180</v>
      </c>
      <c r="F469" s="1" t="s">
        <v>567</v>
      </c>
      <c r="H469" t="s">
        <v>295</v>
      </c>
      <c r="I469">
        <v>1150040001</v>
      </c>
      <c r="J469" s="2">
        <v>45382</v>
      </c>
      <c r="K469">
        <v>7951</v>
      </c>
      <c r="M469" s="1" t="s">
        <v>567</v>
      </c>
    </row>
    <row r="470" spans="1:13">
      <c r="A470" t="s">
        <v>244</v>
      </c>
      <c r="B470">
        <v>200</v>
      </c>
      <c r="C470" s="2">
        <v>45107</v>
      </c>
      <c r="D470">
        <v>9501</v>
      </c>
      <c r="F470" s="1" t="s">
        <v>567</v>
      </c>
      <c r="H470" t="s">
        <v>295</v>
      </c>
      <c r="I470">
        <v>1150040001</v>
      </c>
      <c r="J470" s="2">
        <v>45412</v>
      </c>
      <c r="K470">
        <v>7951</v>
      </c>
      <c r="M470" s="1" t="s">
        <v>567</v>
      </c>
    </row>
    <row r="471" spans="1:13">
      <c r="A471" t="s">
        <v>244</v>
      </c>
      <c r="B471">
        <v>200</v>
      </c>
      <c r="C471" s="2">
        <v>45138</v>
      </c>
      <c r="D471">
        <v>9834</v>
      </c>
      <c r="F471" s="1" t="s">
        <v>567</v>
      </c>
      <c r="H471" t="s">
        <v>295</v>
      </c>
      <c r="I471">
        <v>1150040001</v>
      </c>
      <c r="J471" s="2">
        <v>45443</v>
      </c>
      <c r="K471">
        <v>7951</v>
      </c>
      <c r="M471" s="1" t="s">
        <v>567</v>
      </c>
    </row>
    <row r="472" spans="1:13">
      <c r="A472" t="s">
        <v>244</v>
      </c>
      <c r="B472">
        <v>200</v>
      </c>
      <c r="C472" s="2">
        <v>45169</v>
      </c>
      <c r="D472">
        <v>10178</v>
      </c>
      <c r="F472" s="1" t="s">
        <v>567</v>
      </c>
      <c r="H472" t="s">
        <v>295</v>
      </c>
      <c r="I472">
        <v>1150040001</v>
      </c>
      <c r="J472" s="2">
        <v>45473</v>
      </c>
      <c r="K472">
        <v>7951</v>
      </c>
      <c r="M472" s="1" t="s">
        <v>567</v>
      </c>
    </row>
    <row r="473" spans="1:13">
      <c r="A473" t="s">
        <v>244</v>
      </c>
      <c r="B473">
        <v>200</v>
      </c>
      <c r="C473" s="2">
        <v>45199</v>
      </c>
      <c r="D473">
        <v>10534</v>
      </c>
      <c r="F473" s="1" t="s">
        <v>567</v>
      </c>
      <c r="H473" t="s">
        <v>295</v>
      </c>
      <c r="I473">
        <v>1150040001</v>
      </c>
      <c r="J473" s="2">
        <v>45504</v>
      </c>
      <c r="K473">
        <v>7951</v>
      </c>
      <c r="M473" s="1" t="s">
        <v>567</v>
      </c>
    </row>
    <row r="474" spans="1:13">
      <c r="A474" t="s">
        <v>244</v>
      </c>
      <c r="B474">
        <v>200</v>
      </c>
      <c r="C474" s="2">
        <v>45230</v>
      </c>
      <c r="D474">
        <v>10903</v>
      </c>
      <c r="F474" s="1" t="s">
        <v>567</v>
      </c>
      <c r="H474" t="s">
        <v>295</v>
      </c>
      <c r="I474">
        <v>1150040001</v>
      </c>
      <c r="J474" s="2">
        <v>45535</v>
      </c>
      <c r="K474">
        <v>7951</v>
      </c>
      <c r="M474" s="1" t="s">
        <v>567</v>
      </c>
    </row>
    <row r="475" spans="1:13">
      <c r="A475" t="s">
        <v>244</v>
      </c>
      <c r="B475">
        <v>200</v>
      </c>
      <c r="C475" s="2">
        <v>45260</v>
      </c>
      <c r="D475">
        <v>11416.5</v>
      </c>
      <c r="F475" s="1" t="s">
        <v>567</v>
      </c>
      <c r="H475" t="s">
        <v>295</v>
      </c>
      <c r="I475">
        <v>1150040001</v>
      </c>
      <c r="J475" s="2">
        <v>45565</v>
      </c>
      <c r="K475">
        <v>7951</v>
      </c>
      <c r="M475" s="1" t="s">
        <v>567</v>
      </c>
    </row>
    <row r="476" spans="1:13">
      <c r="A476" t="s">
        <v>244</v>
      </c>
      <c r="B476">
        <v>200</v>
      </c>
      <c r="C476" s="2">
        <v>45291</v>
      </c>
      <c r="D476">
        <v>15816</v>
      </c>
      <c r="F476" s="1" t="s">
        <v>567</v>
      </c>
      <c r="H476" t="s">
        <v>295</v>
      </c>
      <c r="I476">
        <v>1150040001</v>
      </c>
      <c r="J476" s="2">
        <v>45596</v>
      </c>
      <c r="K476">
        <v>7951</v>
      </c>
      <c r="M476" s="1" t="s">
        <v>567</v>
      </c>
    </row>
    <row r="477" spans="1:13">
      <c r="A477" t="s">
        <v>244</v>
      </c>
      <c r="B477">
        <v>200</v>
      </c>
      <c r="C477" s="2">
        <v>45322</v>
      </c>
      <c r="D477">
        <v>11988</v>
      </c>
      <c r="F477" s="1" t="s">
        <v>567</v>
      </c>
      <c r="H477" t="s">
        <v>295</v>
      </c>
      <c r="I477">
        <v>1150040001</v>
      </c>
      <c r="J477" s="2">
        <v>45626</v>
      </c>
      <c r="K477">
        <v>7951</v>
      </c>
      <c r="M477" s="1" t="s">
        <v>567</v>
      </c>
    </row>
    <row r="478" spans="1:13">
      <c r="A478" t="s">
        <v>244</v>
      </c>
      <c r="B478">
        <v>200</v>
      </c>
      <c r="C478" s="2">
        <v>45351</v>
      </c>
      <c r="D478">
        <v>16607</v>
      </c>
      <c r="F478" s="1" t="s">
        <v>567</v>
      </c>
      <c r="H478" t="s">
        <v>295</v>
      </c>
      <c r="I478">
        <v>1150040001</v>
      </c>
      <c r="J478" s="2">
        <v>45657</v>
      </c>
      <c r="K478">
        <v>7951</v>
      </c>
      <c r="M478" s="1" t="s">
        <v>567</v>
      </c>
    </row>
    <row r="479" spans="1:13">
      <c r="A479" t="s">
        <v>244</v>
      </c>
      <c r="B479">
        <v>200</v>
      </c>
      <c r="C479" s="2">
        <v>45382</v>
      </c>
      <c r="D479">
        <v>12587</v>
      </c>
      <c r="F479" s="1" t="s">
        <v>567</v>
      </c>
      <c r="H479" t="s">
        <v>295</v>
      </c>
      <c r="I479">
        <v>1150040001</v>
      </c>
      <c r="J479" s="2">
        <v>45688</v>
      </c>
      <c r="K479">
        <v>7951</v>
      </c>
      <c r="M479" s="1" t="s">
        <v>567</v>
      </c>
    </row>
    <row r="480" spans="1:13">
      <c r="A480" t="s">
        <v>244</v>
      </c>
      <c r="B480">
        <v>200</v>
      </c>
      <c r="C480" s="2">
        <v>45412</v>
      </c>
      <c r="D480">
        <v>17437</v>
      </c>
      <c r="F480" s="1" t="s">
        <v>567</v>
      </c>
      <c r="H480" t="s">
        <v>295</v>
      </c>
      <c r="I480">
        <v>1150040001</v>
      </c>
      <c r="J480" s="2">
        <v>45716</v>
      </c>
      <c r="K480">
        <v>7951</v>
      </c>
      <c r="M480" s="1" t="s">
        <v>567</v>
      </c>
    </row>
    <row r="481" spans="1:13">
      <c r="A481" t="s">
        <v>244</v>
      </c>
      <c r="B481">
        <v>200</v>
      </c>
      <c r="C481" s="2">
        <v>45443</v>
      </c>
      <c r="D481">
        <v>13216</v>
      </c>
      <c r="F481" s="1" t="s">
        <v>567</v>
      </c>
      <c r="H481" t="s">
        <v>295</v>
      </c>
      <c r="I481">
        <v>1150040001</v>
      </c>
      <c r="J481" s="2">
        <v>45747</v>
      </c>
      <c r="K481">
        <v>7951</v>
      </c>
      <c r="M481" s="1" t="s">
        <v>567</v>
      </c>
    </row>
    <row r="482" spans="1:13">
      <c r="A482" t="s">
        <v>244</v>
      </c>
      <c r="B482">
        <v>200</v>
      </c>
      <c r="C482" s="2">
        <v>45473</v>
      </c>
      <c r="D482">
        <v>18309</v>
      </c>
      <c r="F482" s="1" t="s">
        <v>567</v>
      </c>
      <c r="H482" t="s">
        <v>295</v>
      </c>
      <c r="I482">
        <v>1150040001</v>
      </c>
      <c r="J482" s="2">
        <v>45777</v>
      </c>
      <c r="K482">
        <v>7951</v>
      </c>
      <c r="M482" s="1" t="s">
        <v>567</v>
      </c>
    </row>
    <row r="483" spans="1:13">
      <c r="A483" t="s">
        <v>244</v>
      </c>
      <c r="B483">
        <v>200</v>
      </c>
      <c r="C483" s="2">
        <v>45504</v>
      </c>
      <c r="D483">
        <v>19224</v>
      </c>
      <c r="F483" s="1" t="s">
        <v>567</v>
      </c>
      <c r="H483" t="s">
        <v>295</v>
      </c>
      <c r="I483">
        <v>1150040001</v>
      </c>
      <c r="J483" s="2">
        <v>45808</v>
      </c>
      <c r="K483">
        <v>7951</v>
      </c>
      <c r="M483" s="1" t="s">
        <v>567</v>
      </c>
    </row>
    <row r="484" spans="1:13">
      <c r="A484" t="s">
        <v>244</v>
      </c>
      <c r="B484">
        <v>200</v>
      </c>
      <c r="C484" s="2">
        <v>45535</v>
      </c>
      <c r="D484">
        <v>19224</v>
      </c>
      <c r="F484" s="1" t="s">
        <v>567</v>
      </c>
      <c r="H484" t="s">
        <v>295</v>
      </c>
      <c r="I484">
        <v>1150040001</v>
      </c>
      <c r="J484" s="2">
        <v>45838</v>
      </c>
      <c r="K484">
        <v>7951</v>
      </c>
      <c r="M484" s="1" t="s">
        <v>567</v>
      </c>
    </row>
    <row r="485" spans="1:13">
      <c r="A485" t="s">
        <v>244</v>
      </c>
      <c r="B485">
        <v>200</v>
      </c>
      <c r="C485" s="2">
        <v>45565</v>
      </c>
      <c r="D485">
        <v>20186</v>
      </c>
      <c r="F485" s="1" t="s">
        <v>567</v>
      </c>
      <c r="H485" t="s">
        <v>295</v>
      </c>
      <c r="I485">
        <v>1150040001</v>
      </c>
      <c r="J485" s="2">
        <v>45869</v>
      </c>
      <c r="K485">
        <v>7951</v>
      </c>
      <c r="M485" s="1" t="s">
        <v>567</v>
      </c>
    </row>
    <row r="486" spans="1:13">
      <c r="A486" t="s">
        <v>244</v>
      </c>
      <c r="B486">
        <v>200</v>
      </c>
      <c r="C486" s="2">
        <v>45596</v>
      </c>
      <c r="D486">
        <v>20186</v>
      </c>
      <c r="F486" s="1" t="s">
        <v>567</v>
      </c>
      <c r="H486" t="s">
        <v>295</v>
      </c>
      <c r="I486">
        <v>1150040001</v>
      </c>
      <c r="J486" s="2">
        <v>45900</v>
      </c>
      <c r="K486">
        <v>7951</v>
      </c>
      <c r="M486" s="1" t="s">
        <v>567</v>
      </c>
    </row>
    <row r="487" spans="1:13">
      <c r="A487" t="s">
        <v>244</v>
      </c>
      <c r="B487">
        <v>200</v>
      </c>
      <c r="C487" s="2">
        <v>45626</v>
      </c>
      <c r="D487">
        <v>21195</v>
      </c>
      <c r="F487" s="1" t="s">
        <v>567</v>
      </c>
      <c r="H487" t="s">
        <v>295</v>
      </c>
      <c r="I487">
        <v>1150040001</v>
      </c>
      <c r="J487" s="2">
        <v>45930</v>
      </c>
      <c r="K487">
        <v>7951</v>
      </c>
      <c r="M487" s="1" t="s">
        <v>567</v>
      </c>
    </row>
    <row r="488" spans="1:13">
      <c r="A488" t="s">
        <v>244</v>
      </c>
      <c r="B488">
        <v>200</v>
      </c>
      <c r="C488" s="2">
        <v>45657</v>
      </c>
      <c r="D488">
        <v>22255</v>
      </c>
      <c r="F488" s="1" t="s">
        <v>567</v>
      </c>
      <c r="H488" t="s">
        <v>295</v>
      </c>
      <c r="I488">
        <v>1150040001</v>
      </c>
      <c r="J488" s="2">
        <v>45961</v>
      </c>
      <c r="K488">
        <v>7951</v>
      </c>
      <c r="M488" s="1" t="s">
        <v>567</v>
      </c>
    </row>
    <row r="489" spans="1:13">
      <c r="A489" t="s">
        <v>244</v>
      </c>
      <c r="B489">
        <v>200</v>
      </c>
      <c r="C489" s="2">
        <v>45688</v>
      </c>
      <c r="D489">
        <v>23367.37</v>
      </c>
      <c r="F489" s="1" t="s">
        <v>567</v>
      </c>
      <c r="H489" t="s">
        <v>295</v>
      </c>
      <c r="I489">
        <v>1150040001</v>
      </c>
      <c r="J489" s="2">
        <v>45991</v>
      </c>
      <c r="K489">
        <v>7951</v>
      </c>
      <c r="M489" s="1" t="s">
        <v>567</v>
      </c>
    </row>
    <row r="490" spans="1:13">
      <c r="A490" t="s">
        <v>244</v>
      </c>
      <c r="B490">
        <v>200</v>
      </c>
      <c r="C490" s="2">
        <v>45716</v>
      </c>
      <c r="D490">
        <v>24536</v>
      </c>
      <c r="F490" s="1" t="s">
        <v>567</v>
      </c>
      <c r="H490" t="s">
        <v>296</v>
      </c>
      <c r="I490" t="s">
        <v>297</v>
      </c>
      <c r="J490" s="2">
        <v>44957</v>
      </c>
      <c r="K490">
        <v>63100</v>
      </c>
      <c r="M490" s="1" t="s">
        <v>567</v>
      </c>
    </row>
    <row r="491" spans="1:13">
      <c r="A491" t="s">
        <v>244</v>
      </c>
      <c r="B491">
        <v>200</v>
      </c>
      <c r="C491" s="2">
        <v>45747</v>
      </c>
      <c r="D491">
        <v>25763</v>
      </c>
      <c r="F491" s="1" t="s">
        <v>567</v>
      </c>
      <c r="H491" t="s">
        <v>296</v>
      </c>
      <c r="I491" t="s">
        <v>297</v>
      </c>
      <c r="J491" s="2">
        <v>44985</v>
      </c>
      <c r="K491">
        <v>63031</v>
      </c>
      <c r="M491" s="1" t="s">
        <v>567</v>
      </c>
    </row>
    <row r="492" spans="1:13">
      <c r="A492" t="s">
        <v>244</v>
      </c>
      <c r="B492">
        <v>200</v>
      </c>
      <c r="C492" s="2">
        <v>45777</v>
      </c>
      <c r="D492">
        <v>27051</v>
      </c>
      <c r="F492" s="1" t="s">
        <v>567</v>
      </c>
      <c r="H492" t="s">
        <v>296</v>
      </c>
      <c r="I492" t="s">
        <v>297</v>
      </c>
      <c r="J492" s="2">
        <v>45016</v>
      </c>
      <c r="K492">
        <v>65392</v>
      </c>
      <c r="M492" s="1" t="s">
        <v>567</v>
      </c>
    </row>
    <row r="493" spans="1:13">
      <c r="A493" t="s">
        <v>244</v>
      </c>
      <c r="B493">
        <v>200</v>
      </c>
      <c r="C493" s="2">
        <v>45808</v>
      </c>
      <c r="D493">
        <v>28403</v>
      </c>
      <c r="F493" s="1" t="s">
        <v>567</v>
      </c>
      <c r="H493" t="s">
        <v>296</v>
      </c>
      <c r="I493" t="s">
        <v>297</v>
      </c>
      <c r="J493" s="2">
        <v>45046</v>
      </c>
      <c r="K493">
        <v>99281</v>
      </c>
      <c r="M493" s="1" t="s">
        <v>567</v>
      </c>
    </row>
    <row r="494" spans="1:13">
      <c r="A494" t="s">
        <v>244</v>
      </c>
      <c r="B494">
        <v>200</v>
      </c>
      <c r="C494" s="2">
        <v>45838</v>
      </c>
      <c r="D494">
        <v>29823.35</v>
      </c>
      <c r="F494" s="1" t="s">
        <v>567</v>
      </c>
      <c r="H494" t="s">
        <v>296</v>
      </c>
      <c r="I494" t="s">
        <v>297</v>
      </c>
      <c r="J494" s="2">
        <v>45077</v>
      </c>
      <c r="K494">
        <v>100600</v>
      </c>
      <c r="M494" s="1" t="s">
        <v>567</v>
      </c>
    </row>
    <row r="495" spans="1:13">
      <c r="A495" t="s">
        <v>244</v>
      </c>
      <c r="B495">
        <v>200</v>
      </c>
      <c r="C495" s="2">
        <v>45869</v>
      </c>
      <c r="D495">
        <v>31314.51</v>
      </c>
      <c r="F495" s="1" t="s">
        <v>567</v>
      </c>
      <c r="H495" t="s">
        <v>296</v>
      </c>
      <c r="I495" t="s">
        <v>297</v>
      </c>
      <c r="J495" s="2">
        <v>45107</v>
      </c>
      <c r="K495">
        <v>107197</v>
      </c>
      <c r="M495" s="1" t="s">
        <v>567</v>
      </c>
    </row>
    <row r="496" spans="1:13">
      <c r="A496" t="s">
        <v>244</v>
      </c>
      <c r="B496">
        <v>200</v>
      </c>
      <c r="C496" s="2">
        <v>45900</v>
      </c>
      <c r="D496">
        <v>32880.239999999998</v>
      </c>
      <c r="F496" s="1" t="s">
        <v>567</v>
      </c>
      <c r="H496" t="s">
        <v>296</v>
      </c>
      <c r="I496" t="s">
        <v>297</v>
      </c>
      <c r="J496" s="2">
        <v>45138</v>
      </c>
      <c r="K496">
        <v>105794</v>
      </c>
      <c r="M496" s="1" t="s">
        <v>567</v>
      </c>
    </row>
    <row r="497" spans="1:13">
      <c r="A497" t="s">
        <v>244</v>
      </c>
      <c r="B497">
        <v>200</v>
      </c>
      <c r="C497" s="2">
        <v>45930</v>
      </c>
      <c r="D497">
        <v>34524.25</v>
      </c>
      <c r="F497" s="1" t="s">
        <v>567</v>
      </c>
      <c r="H497" t="s">
        <v>296</v>
      </c>
      <c r="I497" t="s">
        <v>297</v>
      </c>
      <c r="J497" s="2">
        <v>45169</v>
      </c>
      <c r="K497">
        <v>106822</v>
      </c>
      <c r="M497" s="1" t="s">
        <v>567</v>
      </c>
    </row>
    <row r="498" spans="1:13">
      <c r="A498" t="s">
        <v>244</v>
      </c>
      <c r="B498">
        <v>200</v>
      </c>
      <c r="C498" s="2">
        <v>45961</v>
      </c>
      <c r="D498">
        <v>36250.46</v>
      </c>
      <c r="F498" s="1" t="s">
        <v>567</v>
      </c>
      <c r="H498" t="s">
        <v>296</v>
      </c>
      <c r="I498" t="s">
        <v>297</v>
      </c>
      <c r="J498" s="2">
        <v>45199</v>
      </c>
      <c r="K498">
        <v>105350</v>
      </c>
      <c r="M498" s="1" t="s">
        <v>567</v>
      </c>
    </row>
    <row r="499" spans="1:13">
      <c r="A499" t="s">
        <v>244</v>
      </c>
      <c r="B499">
        <v>200</v>
      </c>
      <c r="C499" s="2">
        <v>45991</v>
      </c>
      <c r="D499">
        <v>38562.99</v>
      </c>
      <c r="F499" s="1" t="s">
        <v>567</v>
      </c>
      <c r="H499" t="s">
        <v>296</v>
      </c>
      <c r="I499" t="s">
        <v>297</v>
      </c>
      <c r="J499" s="2">
        <v>45230</v>
      </c>
      <c r="K499">
        <v>103878</v>
      </c>
      <c r="M499" s="1" t="s">
        <v>567</v>
      </c>
    </row>
    <row r="500" spans="1:13">
      <c r="A500" t="s">
        <v>245</v>
      </c>
      <c r="B500">
        <v>166</v>
      </c>
      <c r="C500" s="2">
        <v>44957</v>
      </c>
      <c r="D500">
        <v>350</v>
      </c>
      <c r="F500" s="1" t="s">
        <v>567</v>
      </c>
      <c r="H500" t="s">
        <v>296</v>
      </c>
      <c r="I500" t="s">
        <v>297</v>
      </c>
      <c r="J500" s="2">
        <v>45260</v>
      </c>
      <c r="K500">
        <v>101518</v>
      </c>
      <c r="M500" s="1" t="s">
        <v>567</v>
      </c>
    </row>
    <row r="501" spans="1:13">
      <c r="A501" t="s">
        <v>245</v>
      </c>
      <c r="B501">
        <v>166</v>
      </c>
      <c r="C501" s="2">
        <v>44985</v>
      </c>
      <c r="D501">
        <v>362</v>
      </c>
      <c r="F501" s="1" t="s">
        <v>567</v>
      </c>
      <c r="H501" t="s">
        <v>296</v>
      </c>
      <c r="I501" t="s">
        <v>297</v>
      </c>
      <c r="J501" s="2">
        <v>45291</v>
      </c>
      <c r="K501">
        <v>98467</v>
      </c>
      <c r="M501" s="1" t="s">
        <v>567</v>
      </c>
    </row>
    <row r="502" spans="1:13">
      <c r="A502" t="s">
        <v>245</v>
      </c>
      <c r="B502">
        <v>166</v>
      </c>
      <c r="C502" s="2">
        <v>45016</v>
      </c>
      <c r="D502">
        <v>375</v>
      </c>
      <c r="F502" s="1" t="s">
        <v>567</v>
      </c>
      <c r="H502" t="s">
        <v>296</v>
      </c>
      <c r="I502" t="s">
        <v>297</v>
      </c>
      <c r="J502" s="2">
        <v>45322</v>
      </c>
      <c r="K502">
        <v>112416.5</v>
      </c>
      <c r="M502" s="1" t="s">
        <v>567</v>
      </c>
    </row>
    <row r="503" spans="1:13">
      <c r="A503" t="s">
        <v>245</v>
      </c>
      <c r="B503">
        <v>166</v>
      </c>
      <c r="C503" s="2">
        <v>45046</v>
      </c>
      <c r="D503">
        <v>388</v>
      </c>
      <c r="F503" s="1" t="s">
        <v>567</v>
      </c>
      <c r="H503" t="s">
        <v>296</v>
      </c>
      <c r="I503" t="s">
        <v>297</v>
      </c>
      <c r="J503" s="2">
        <v>45351</v>
      </c>
      <c r="K503">
        <v>97365.5</v>
      </c>
      <c r="M503" s="1" t="s">
        <v>567</v>
      </c>
    </row>
    <row r="504" spans="1:13">
      <c r="A504" t="s">
        <v>245</v>
      </c>
      <c r="B504">
        <v>166</v>
      </c>
      <c r="C504" s="2">
        <v>45077</v>
      </c>
      <c r="D504">
        <v>402</v>
      </c>
      <c r="F504" s="1" t="s">
        <v>567</v>
      </c>
      <c r="H504" t="s">
        <v>296</v>
      </c>
      <c r="I504" t="s">
        <v>297</v>
      </c>
      <c r="J504" s="2">
        <v>45382</v>
      </c>
      <c r="K504">
        <v>94315</v>
      </c>
      <c r="M504" s="1" t="s">
        <v>567</v>
      </c>
    </row>
    <row r="505" spans="1:13">
      <c r="A505" t="s">
        <v>245</v>
      </c>
      <c r="B505">
        <v>166</v>
      </c>
      <c r="C505" s="2">
        <v>45107</v>
      </c>
      <c r="D505">
        <v>416</v>
      </c>
      <c r="F505" s="1" t="s">
        <v>567</v>
      </c>
      <c r="H505" t="s">
        <v>296</v>
      </c>
      <c r="I505" t="s">
        <v>297</v>
      </c>
      <c r="J505" s="2">
        <v>45412</v>
      </c>
      <c r="K505">
        <v>91264.5</v>
      </c>
      <c r="M505" s="1" t="s">
        <v>567</v>
      </c>
    </row>
    <row r="506" spans="1:13">
      <c r="A506" t="s">
        <v>245</v>
      </c>
      <c r="B506">
        <v>166</v>
      </c>
      <c r="C506" s="2">
        <v>45138</v>
      </c>
      <c r="D506">
        <v>430</v>
      </c>
      <c r="F506" s="1" t="s">
        <v>567</v>
      </c>
      <c r="H506" t="s">
        <v>296</v>
      </c>
      <c r="I506" t="s">
        <v>297</v>
      </c>
      <c r="J506" s="2">
        <v>45443</v>
      </c>
      <c r="K506">
        <v>88214</v>
      </c>
      <c r="M506" s="1" t="s">
        <v>567</v>
      </c>
    </row>
    <row r="507" spans="1:13">
      <c r="A507" t="s">
        <v>245</v>
      </c>
      <c r="B507">
        <v>166</v>
      </c>
      <c r="C507" s="2">
        <v>45169</v>
      </c>
      <c r="D507">
        <v>445.5</v>
      </c>
      <c r="F507" s="1" t="s">
        <v>567</v>
      </c>
      <c r="H507" t="s">
        <v>296</v>
      </c>
      <c r="I507" t="s">
        <v>297</v>
      </c>
      <c r="J507" s="2">
        <v>45473</v>
      </c>
      <c r="K507">
        <v>85163</v>
      </c>
      <c r="M507" s="1" t="s">
        <v>567</v>
      </c>
    </row>
    <row r="508" spans="1:13">
      <c r="A508" t="s">
        <v>245</v>
      </c>
      <c r="B508">
        <v>166</v>
      </c>
      <c r="C508" s="2">
        <v>45199</v>
      </c>
      <c r="D508">
        <v>461</v>
      </c>
      <c r="F508" s="1" t="s">
        <v>567</v>
      </c>
      <c r="H508" t="s">
        <v>296</v>
      </c>
      <c r="I508" t="s">
        <v>297</v>
      </c>
      <c r="J508" s="2">
        <v>45504</v>
      </c>
      <c r="K508">
        <v>82112</v>
      </c>
      <c r="M508" s="1" t="s">
        <v>567</v>
      </c>
    </row>
    <row r="509" spans="1:13">
      <c r="A509" t="s">
        <v>245</v>
      </c>
      <c r="B509">
        <v>166</v>
      </c>
      <c r="C509" s="2">
        <v>45230</v>
      </c>
      <c r="D509">
        <v>477.5</v>
      </c>
      <c r="F509" s="1" t="s">
        <v>567</v>
      </c>
      <c r="H509" t="s">
        <v>296</v>
      </c>
      <c r="I509" t="s">
        <v>297</v>
      </c>
      <c r="J509" s="2">
        <v>45535</v>
      </c>
      <c r="K509">
        <v>79061</v>
      </c>
      <c r="M509" s="1" t="s">
        <v>567</v>
      </c>
    </row>
    <row r="510" spans="1:13">
      <c r="A510" t="s">
        <v>245</v>
      </c>
      <c r="B510">
        <v>166</v>
      </c>
      <c r="C510" s="2">
        <v>45260</v>
      </c>
      <c r="D510">
        <v>821.5</v>
      </c>
      <c r="F510" s="1" t="s">
        <v>567</v>
      </c>
      <c r="H510" t="s">
        <v>296</v>
      </c>
      <c r="I510" t="s">
        <v>297</v>
      </c>
      <c r="J510" s="2">
        <v>45565</v>
      </c>
      <c r="K510">
        <v>76010</v>
      </c>
      <c r="M510" s="1" t="s">
        <v>567</v>
      </c>
    </row>
    <row r="511" spans="1:13">
      <c r="A511" t="s">
        <v>245</v>
      </c>
      <c r="B511">
        <v>166</v>
      </c>
      <c r="C511" s="2">
        <v>45291</v>
      </c>
      <c r="D511">
        <v>1088.5</v>
      </c>
      <c r="F511" s="1" t="s">
        <v>567</v>
      </c>
      <c r="H511" t="s">
        <v>296</v>
      </c>
      <c r="I511" t="s">
        <v>297</v>
      </c>
      <c r="J511" s="2">
        <v>45596</v>
      </c>
      <c r="K511">
        <v>72959</v>
      </c>
      <c r="M511" s="1" t="s">
        <v>567</v>
      </c>
    </row>
    <row r="512" spans="1:13">
      <c r="A512" t="s">
        <v>245</v>
      </c>
      <c r="B512">
        <v>166</v>
      </c>
      <c r="C512" s="2">
        <v>45322</v>
      </c>
      <c r="D512">
        <v>863.5</v>
      </c>
      <c r="F512" s="1" t="s">
        <v>567</v>
      </c>
      <c r="H512" t="s">
        <v>296</v>
      </c>
      <c r="I512" t="s">
        <v>297</v>
      </c>
      <c r="J512" s="2">
        <v>45626</v>
      </c>
      <c r="K512">
        <v>69908</v>
      </c>
      <c r="M512" s="1" t="s">
        <v>567</v>
      </c>
    </row>
    <row r="513" spans="1:13">
      <c r="A513" t="s">
        <v>245</v>
      </c>
      <c r="B513">
        <v>166</v>
      </c>
      <c r="C513" s="2">
        <v>45351</v>
      </c>
      <c r="D513">
        <v>1143</v>
      </c>
      <c r="F513" s="1" t="s">
        <v>567</v>
      </c>
      <c r="H513" t="s">
        <v>296</v>
      </c>
      <c r="I513" t="s">
        <v>297</v>
      </c>
      <c r="J513" s="2">
        <v>45657</v>
      </c>
      <c r="K513">
        <v>66857.5</v>
      </c>
      <c r="M513" s="1" t="s">
        <v>567</v>
      </c>
    </row>
    <row r="514" spans="1:13">
      <c r="A514" t="s">
        <v>245</v>
      </c>
      <c r="B514">
        <v>166</v>
      </c>
      <c r="C514" s="2">
        <v>45382</v>
      </c>
      <c r="D514">
        <v>906</v>
      </c>
      <c r="F514" s="1" t="s">
        <v>567</v>
      </c>
      <c r="H514" t="s">
        <v>296</v>
      </c>
      <c r="I514" t="s">
        <v>297</v>
      </c>
      <c r="J514" s="2">
        <v>45688</v>
      </c>
      <c r="K514">
        <v>63806.84</v>
      </c>
      <c r="M514" s="1" t="s">
        <v>567</v>
      </c>
    </row>
    <row r="515" spans="1:13">
      <c r="A515" t="s">
        <v>245</v>
      </c>
      <c r="B515">
        <v>166</v>
      </c>
      <c r="C515" s="2">
        <v>45412</v>
      </c>
      <c r="D515">
        <v>1200</v>
      </c>
      <c r="F515" s="1" t="s">
        <v>567</v>
      </c>
      <c r="H515" t="s">
        <v>296</v>
      </c>
      <c r="I515" t="s">
        <v>297</v>
      </c>
      <c r="J515" s="2">
        <v>45716</v>
      </c>
      <c r="K515">
        <v>60756.18</v>
      </c>
      <c r="M515" s="1" t="s">
        <v>567</v>
      </c>
    </row>
    <row r="516" spans="1:13">
      <c r="A516" t="s">
        <v>245</v>
      </c>
      <c r="B516">
        <v>166</v>
      </c>
      <c r="C516" s="2">
        <v>45443</v>
      </c>
      <c r="D516">
        <v>952</v>
      </c>
      <c r="F516" s="1" t="s">
        <v>567</v>
      </c>
      <c r="H516" t="s">
        <v>296</v>
      </c>
      <c r="I516" t="s">
        <v>297</v>
      </c>
      <c r="J516" s="2">
        <v>45747</v>
      </c>
      <c r="K516">
        <v>57705.52</v>
      </c>
      <c r="M516" s="1" t="s">
        <v>567</v>
      </c>
    </row>
    <row r="517" spans="1:13">
      <c r="A517" t="s">
        <v>245</v>
      </c>
      <c r="B517">
        <v>166</v>
      </c>
      <c r="C517" s="2">
        <v>45473</v>
      </c>
      <c r="D517">
        <v>1260.5</v>
      </c>
      <c r="F517" s="1" t="s">
        <v>567</v>
      </c>
      <c r="H517" t="s">
        <v>296</v>
      </c>
      <c r="I517" t="s">
        <v>297</v>
      </c>
      <c r="J517" s="2">
        <v>45777</v>
      </c>
      <c r="K517">
        <v>54654.86</v>
      </c>
      <c r="M517" s="1" t="s">
        <v>567</v>
      </c>
    </row>
    <row r="518" spans="1:13">
      <c r="A518" t="s">
        <v>245</v>
      </c>
      <c r="B518">
        <v>166</v>
      </c>
      <c r="C518" s="2">
        <v>45504</v>
      </c>
      <c r="D518">
        <v>1323</v>
      </c>
      <c r="F518" s="1" t="s">
        <v>567</v>
      </c>
      <c r="H518" t="s">
        <v>296</v>
      </c>
      <c r="I518" t="s">
        <v>297</v>
      </c>
      <c r="J518" s="2">
        <v>45808</v>
      </c>
      <c r="K518">
        <v>51604.2</v>
      </c>
      <c r="M518" s="1" t="s">
        <v>567</v>
      </c>
    </row>
    <row r="519" spans="1:13">
      <c r="A519" t="s">
        <v>245</v>
      </c>
      <c r="B519">
        <v>166</v>
      </c>
      <c r="C519" s="2">
        <v>45535</v>
      </c>
      <c r="D519">
        <v>1322.5</v>
      </c>
      <c r="F519" s="1" t="s">
        <v>567</v>
      </c>
      <c r="H519" t="s">
        <v>296</v>
      </c>
      <c r="I519" t="s">
        <v>297</v>
      </c>
      <c r="J519" s="2">
        <v>45838</v>
      </c>
      <c r="K519">
        <v>48553.539999999994</v>
      </c>
      <c r="M519" s="1" t="s">
        <v>567</v>
      </c>
    </row>
    <row r="520" spans="1:13">
      <c r="A520" t="s">
        <v>245</v>
      </c>
      <c r="B520">
        <v>166</v>
      </c>
      <c r="C520" s="2">
        <v>45565</v>
      </c>
      <c r="D520">
        <v>1389</v>
      </c>
      <c r="F520" s="1" t="s">
        <v>567</v>
      </c>
      <c r="H520" t="s">
        <v>296</v>
      </c>
      <c r="I520" t="s">
        <v>297</v>
      </c>
      <c r="J520" s="2">
        <v>45869</v>
      </c>
      <c r="K520">
        <v>45502.880000000005</v>
      </c>
      <c r="M520" s="1" t="s">
        <v>567</v>
      </c>
    </row>
    <row r="521" spans="1:13">
      <c r="A521" t="s">
        <v>245</v>
      </c>
      <c r="B521">
        <v>166</v>
      </c>
      <c r="C521" s="2">
        <v>45596</v>
      </c>
      <c r="D521">
        <v>1389.33</v>
      </c>
      <c r="F521" s="1" t="s">
        <v>567</v>
      </c>
      <c r="H521" t="s">
        <v>296</v>
      </c>
      <c r="I521" t="s">
        <v>297</v>
      </c>
      <c r="J521" s="2">
        <v>45900</v>
      </c>
      <c r="K521">
        <v>42452.22</v>
      </c>
      <c r="M521" s="1" t="s">
        <v>567</v>
      </c>
    </row>
    <row r="522" spans="1:13">
      <c r="A522" t="s">
        <v>245</v>
      </c>
      <c r="B522">
        <v>166</v>
      </c>
      <c r="C522" s="2">
        <v>45626</v>
      </c>
      <c r="D522">
        <v>1459.33</v>
      </c>
      <c r="F522" s="1" t="s">
        <v>567</v>
      </c>
      <c r="H522" t="s">
        <v>296</v>
      </c>
      <c r="I522" t="s">
        <v>297</v>
      </c>
      <c r="J522" s="2">
        <v>45930</v>
      </c>
      <c r="K522">
        <v>39401.56</v>
      </c>
      <c r="M522" s="1" t="s">
        <v>567</v>
      </c>
    </row>
    <row r="523" spans="1:13">
      <c r="A523" t="s">
        <v>245</v>
      </c>
      <c r="B523">
        <v>166</v>
      </c>
      <c r="C523" s="2">
        <v>45657</v>
      </c>
      <c r="D523">
        <v>1529.5</v>
      </c>
      <c r="F523" s="1" t="s">
        <v>567</v>
      </c>
      <c r="H523" t="s">
        <v>296</v>
      </c>
      <c r="I523" t="s">
        <v>297</v>
      </c>
      <c r="J523" s="2">
        <v>45961</v>
      </c>
      <c r="K523">
        <v>36350.899999999994</v>
      </c>
      <c r="M523" s="1" t="s">
        <v>567</v>
      </c>
    </row>
    <row r="524" spans="1:13">
      <c r="A524" t="s">
        <v>245</v>
      </c>
      <c r="B524">
        <v>166</v>
      </c>
      <c r="C524" s="2">
        <v>45688</v>
      </c>
      <c r="D524">
        <v>1608.28</v>
      </c>
      <c r="F524" s="1" t="s">
        <v>567</v>
      </c>
      <c r="H524" t="s">
        <v>296</v>
      </c>
      <c r="I524" t="s">
        <v>297</v>
      </c>
      <c r="J524" s="2">
        <v>45991</v>
      </c>
      <c r="K524">
        <v>33300.240000000005</v>
      </c>
      <c r="M524" s="1" t="s">
        <v>567</v>
      </c>
    </row>
    <row r="525" spans="1:13">
      <c r="A525" t="s">
        <v>245</v>
      </c>
      <c r="B525">
        <v>166</v>
      </c>
      <c r="C525" s="2">
        <v>45716</v>
      </c>
      <c r="D525">
        <v>1691</v>
      </c>
      <c r="F525" s="1" t="s">
        <v>567</v>
      </c>
      <c r="H525" t="s">
        <v>298</v>
      </c>
      <c r="I525" t="s">
        <v>299</v>
      </c>
      <c r="J525" s="2">
        <v>44957</v>
      </c>
      <c r="K525">
        <v>1014947</v>
      </c>
      <c r="M525" s="1" t="s">
        <v>567</v>
      </c>
    </row>
    <row r="526" spans="1:13">
      <c r="A526" t="s">
        <v>245</v>
      </c>
      <c r="B526">
        <v>166</v>
      </c>
      <c r="C526" s="2">
        <v>45747</v>
      </c>
      <c r="D526">
        <v>1773</v>
      </c>
      <c r="F526" s="1" t="s">
        <v>567</v>
      </c>
      <c r="H526" t="s">
        <v>298</v>
      </c>
      <c r="I526" t="s">
        <v>299</v>
      </c>
      <c r="J526" s="2">
        <v>44985</v>
      </c>
      <c r="K526">
        <v>977631</v>
      </c>
      <c r="M526" s="1" t="s">
        <v>567</v>
      </c>
    </row>
    <row r="527" spans="1:13">
      <c r="A527" t="s">
        <v>245</v>
      </c>
      <c r="B527">
        <v>166</v>
      </c>
      <c r="C527" s="2">
        <v>45777</v>
      </c>
      <c r="D527">
        <v>1862</v>
      </c>
      <c r="F527" s="1" t="s">
        <v>567</v>
      </c>
      <c r="H527" t="s">
        <v>298</v>
      </c>
      <c r="I527" t="s">
        <v>299</v>
      </c>
      <c r="J527" s="2">
        <v>45016</v>
      </c>
      <c r="K527">
        <v>933584</v>
      </c>
      <c r="M527" s="1" t="s">
        <v>567</v>
      </c>
    </row>
    <row r="528" spans="1:13">
      <c r="A528" t="s">
        <v>245</v>
      </c>
      <c r="B528">
        <v>166</v>
      </c>
      <c r="C528" s="2">
        <v>45808</v>
      </c>
      <c r="D528">
        <v>1955</v>
      </c>
      <c r="F528" s="1" t="s">
        <v>567</v>
      </c>
      <c r="H528" t="s">
        <v>298</v>
      </c>
      <c r="I528" t="s">
        <v>299</v>
      </c>
      <c r="J528" s="2">
        <v>45046</v>
      </c>
      <c r="K528">
        <v>893287.5</v>
      </c>
      <c r="M528" s="1" t="s">
        <v>567</v>
      </c>
    </row>
    <row r="529" spans="1:13">
      <c r="A529" t="s">
        <v>245</v>
      </c>
      <c r="B529">
        <v>166</v>
      </c>
      <c r="C529" s="2">
        <v>45838</v>
      </c>
      <c r="D529">
        <v>2052.62</v>
      </c>
      <c r="F529" s="1" t="s">
        <v>567</v>
      </c>
      <c r="H529" t="s">
        <v>298</v>
      </c>
      <c r="I529" t="s">
        <v>299</v>
      </c>
      <c r="J529" s="2">
        <v>45077</v>
      </c>
      <c r="K529">
        <v>850435.5</v>
      </c>
      <c r="M529" s="1" t="s">
        <v>567</v>
      </c>
    </row>
    <row r="530" spans="1:13">
      <c r="A530" t="s">
        <v>245</v>
      </c>
      <c r="B530">
        <v>166</v>
      </c>
      <c r="C530" s="2">
        <v>45869</v>
      </c>
      <c r="D530">
        <v>2155.25</v>
      </c>
      <c r="F530" s="1" t="s">
        <v>567</v>
      </c>
      <c r="H530" t="s">
        <v>298</v>
      </c>
      <c r="I530" t="s">
        <v>299</v>
      </c>
      <c r="J530" s="2">
        <v>45107</v>
      </c>
      <c r="K530">
        <v>2305128.5</v>
      </c>
      <c r="M530" s="1" t="s">
        <v>567</v>
      </c>
    </row>
    <row r="531" spans="1:13">
      <c r="A531" t="s">
        <v>245</v>
      </c>
      <c r="B531">
        <v>166</v>
      </c>
      <c r="C531" s="2">
        <v>45900</v>
      </c>
      <c r="D531">
        <v>2263.0100000000002</v>
      </c>
      <c r="F531" s="1" t="s">
        <v>567</v>
      </c>
      <c r="H531" t="s">
        <v>298</v>
      </c>
      <c r="I531" t="s">
        <v>299</v>
      </c>
      <c r="J531" s="2">
        <v>45138</v>
      </c>
      <c r="K531">
        <v>2263541.5</v>
      </c>
      <c r="M531" s="1" t="s">
        <v>567</v>
      </c>
    </row>
    <row r="532" spans="1:13">
      <c r="A532" t="s">
        <v>245</v>
      </c>
      <c r="B532">
        <v>166</v>
      </c>
      <c r="C532" s="2">
        <v>45930</v>
      </c>
      <c r="D532">
        <v>2376.16</v>
      </c>
      <c r="F532" s="1" t="s">
        <v>567</v>
      </c>
      <c r="H532" t="s">
        <v>298</v>
      </c>
      <c r="I532" t="s">
        <v>299</v>
      </c>
      <c r="J532" s="2">
        <v>45169</v>
      </c>
      <c r="K532">
        <v>2220359</v>
      </c>
      <c r="M532" s="1" t="s">
        <v>567</v>
      </c>
    </row>
    <row r="533" spans="1:13">
      <c r="A533" t="s">
        <v>245</v>
      </c>
      <c r="B533">
        <v>166</v>
      </c>
      <c r="C533" s="2">
        <v>45961</v>
      </c>
      <c r="D533">
        <v>2494.9699999999998</v>
      </c>
      <c r="F533" s="1" t="s">
        <v>567</v>
      </c>
      <c r="H533" t="s">
        <v>298</v>
      </c>
      <c r="I533" t="s">
        <v>299</v>
      </c>
      <c r="J533" s="2">
        <v>45199</v>
      </c>
      <c r="K533">
        <v>2180019</v>
      </c>
      <c r="M533" s="1" t="s">
        <v>567</v>
      </c>
    </row>
    <row r="534" spans="1:13">
      <c r="A534" t="s">
        <v>245</v>
      </c>
      <c r="B534">
        <v>166</v>
      </c>
      <c r="C534" s="2">
        <v>45991</v>
      </c>
      <c r="D534">
        <v>2619.7199999999998</v>
      </c>
      <c r="F534" s="1" t="s">
        <v>567</v>
      </c>
      <c r="H534" t="s">
        <v>298</v>
      </c>
      <c r="I534" t="s">
        <v>299</v>
      </c>
      <c r="J534" s="2">
        <v>45230</v>
      </c>
      <c r="K534">
        <v>3132759</v>
      </c>
      <c r="M534" s="1" t="s">
        <v>567</v>
      </c>
    </row>
    <row r="535" spans="1:13">
      <c r="A535" t="s">
        <v>246</v>
      </c>
      <c r="B535">
        <v>167</v>
      </c>
      <c r="C535" s="2">
        <v>44957</v>
      </c>
      <c r="D535">
        <v>10000</v>
      </c>
      <c r="F535" s="1" t="s">
        <v>567</v>
      </c>
      <c r="H535" t="s">
        <v>298</v>
      </c>
      <c r="I535" t="s">
        <v>299</v>
      </c>
      <c r="J535" s="2">
        <v>45260</v>
      </c>
      <c r="K535">
        <v>3567941</v>
      </c>
      <c r="M535" s="1" t="s">
        <v>567</v>
      </c>
    </row>
    <row r="536" spans="1:13">
      <c r="A536" t="s">
        <v>246</v>
      </c>
      <c r="B536">
        <v>167</v>
      </c>
      <c r="C536" s="2">
        <v>44985</v>
      </c>
      <c r="D536">
        <v>10350</v>
      </c>
      <c r="F536" s="1" t="s">
        <v>567</v>
      </c>
      <c r="H536" t="s">
        <v>298</v>
      </c>
      <c r="I536" t="s">
        <v>299</v>
      </c>
      <c r="J536" s="2">
        <v>45291</v>
      </c>
      <c r="K536">
        <v>4443756</v>
      </c>
      <c r="M536" s="1" t="s">
        <v>567</v>
      </c>
    </row>
    <row r="537" spans="1:13">
      <c r="A537" t="s">
        <v>246</v>
      </c>
      <c r="B537">
        <v>167</v>
      </c>
      <c r="C537" s="2">
        <v>45016</v>
      </c>
      <c r="D537">
        <v>10712</v>
      </c>
      <c r="F537" s="1" t="s">
        <v>567</v>
      </c>
      <c r="H537" t="s">
        <v>298</v>
      </c>
      <c r="I537" t="s">
        <v>299</v>
      </c>
      <c r="J537" s="2">
        <v>45322</v>
      </c>
      <c r="K537">
        <v>4370951.5</v>
      </c>
      <c r="M537" s="1" t="s">
        <v>567</v>
      </c>
    </row>
    <row r="538" spans="1:13">
      <c r="A538" t="s">
        <v>246</v>
      </c>
      <c r="B538">
        <v>167</v>
      </c>
      <c r="C538" s="2">
        <v>45046</v>
      </c>
      <c r="D538">
        <v>11087</v>
      </c>
      <c r="F538" s="1" t="s">
        <v>567</v>
      </c>
      <c r="H538" t="s">
        <v>298</v>
      </c>
      <c r="I538" t="s">
        <v>299</v>
      </c>
      <c r="J538" s="2">
        <v>45351</v>
      </c>
      <c r="K538">
        <v>4241631.5</v>
      </c>
      <c r="M538" s="1" t="s">
        <v>567</v>
      </c>
    </row>
    <row r="539" spans="1:13">
      <c r="A539" t="s">
        <v>246</v>
      </c>
      <c r="B539">
        <v>167</v>
      </c>
      <c r="C539" s="2">
        <v>45077</v>
      </c>
      <c r="D539">
        <v>11475</v>
      </c>
      <c r="F539" s="1" t="s">
        <v>567</v>
      </c>
      <c r="H539" t="s">
        <v>298</v>
      </c>
      <c r="I539" t="s">
        <v>299</v>
      </c>
      <c r="J539" s="2">
        <v>45382</v>
      </c>
      <c r="K539">
        <v>4166262</v>
      </c>
      <c r="M539" s="1" t="s">
        <v>567</v>
      </c>
    </row>
    <row r="540" spans="1:13">
      <c r="A540" t="s">
        <v>246</v>
      </c>
      <c r="B540">
        <v>167</v>
      </c>
      <c r="C540" s="2">
        <v>45107</v>
      </c>
      <c r="D540">
        <v>11877</v>
      </c>
      <c r="F540" s="1" t="s">
        <v>567</v>
      </c>
      <c r="H540" t="s">
        <v>298</v>
      </c>
      <c r="I540" t="s">
        <v>299</v>
      </c>
      <c r="J540" s="2">
        <v>45412</v>
      </c>
      <c r="K540">
        <v>4031551.5</v>
      </c>
      <c r="M540" s="1" t="s">
        <v>567</v>
      </c>
    </row>
    <row r="541" spans="1:13">
      <c r="A541" t="s">
        <v>246</v>
      </c>
      <c r="B541">
        <v>167</v>
      </c>
      <c r="C541" s="2">
        <v>45138</v>
      </c>
      <c r="D541">
        <v>12293</v>
      </c>
      <c r="F541" s="1" t="s">
        <v>567</v>
      </c>
      <c r="H541" t="s">
        <v>298</v>
      </c>
      <c r="I541" t="s">
        <v>299</v>
      </c>
      <c r="J541" s="2">
        <v>45443</v>
      </c>
      <c r="K541">
        <v>3953489</v>
      </c>
      <c r="M541" s="1" t="s">
        <v>567</v>
      </c>
    </row>
    <row r="542" spans="1:13">
      <c r="A542" t="s">
        <v>246</v>
      </c>
      <c r="B542">
        <v>167</v>
      </c>
      <c r="C542" s="2">
        <v>45169</v>
      </c>
      <c r="D542">
        <v>12723.5</v>
      </c>
      <c r="F542" s="1" t="s">
        <v>567</v>
      </c>
      <c r="H542" t="s">
        <v>298</v>
      </c>
      <c r="I542" t="s">
        <v>299</v>
      </c>
      <c r="J542" s="2">
        <v>45473</v>
      </c>
      <c r="K542">
        <v>3813117</v>
      </c>
      <c r="M542" s="1" t="s">
        <v>567</v>
      </c>
    </row>
    <row r="543" spans="1:13">
      <c r="A543" t="s">
        <v>246</v>
      </c>
      <c r="B543">
        <v>167</v>
      </c>
      <c r="C543" s="2">
        <v>45199</v>
      </c>
      <c r="D543">
        <v>13168</v>
      </c>
      <c r="F543" s="1" t="s">
        <v>567</v>
      </c>
      <c r="H543" t="s">
        <v>298</v>
      </c>
      <c r="I543" t="s">
        <v>299</v>
      </c>
      <c r="J543" s="2">
        <v>45504</v>
      </c>
      <c r="K543">
        <v>3666801</v>
      </c>
      <c r="M543" s="1" t="s">
        <v>567</v>
      </c>
    </row>
    <row r="544" spans="1:13">
      <c r="A544" t="s">
        <v>246</v>
      </c>
      <c r="B544">
        <v>167</v>
      </c>
      <c r="C544" s="2">
        <v>45230</v>
      </c>
      <c r="D544">
        <v>13629</v>
      </c>
      <c r="F544" s="1" t="s">
        <v>567</v>
      </c>
      <c r="H544" t="s">
        <v>298</v>
      </c>
      <c r="I544" t="s">
        <v>299</v>
      </c>
      <c r="J544" s="2">
        <v>45535</v>
      </c>
      <c r="K544">
        <v>3520486</v>
      </c>
      <c r="M544" s="1" t="s">
        <v>567</v>
      </c>
    </row>
    <row r="545" spans="1:13">
      <c r="A545" t="s">
        <v>246</v>
      </c>
      <c r="B545">
        <v>167</v>
      </c>
      <c r="C545" s="2">
        <v>45260</v>
      </c>
      <c r="D545">
        <v>15237</v>
      </c>
      <c r="F545" s="1" t="s">
        <v>567</v>
      </c>
      <c r="H545" t="s">
        <v>298</v>
      </c>
      <c r="I545" t="s">
        <v>299</v>
      </c>
      <c r="J545" s="2">
        <v>45565</v>
      </c>
      <c r="K545">
        <v>3367930</v>
      </c>
      <c r="M545" s="1" t="s">
        <v>567</v>
      </c>
    </row>
    <row r="546" spans="1:13">
      <c r="A546" t="s">
        <v>246</v>
      </c>
      <c r="B546">
        <v>167</v>
      </c>
      <c r="C546" s="2">
        <v>45291</v>
      </c>
      <c r="D546">
        <v>26158.5</v>
      </c>
      <c r="F546" s="1" t="s">
        <v>567</v>
      </c>
      <c r="H546" t="s">
        <v>298</v>
      </c>
      <c r="I546" t="s">
        <v>299</v>
      </c>
      <c r="J546" s="2">
        <v>45596</v>
      </c>
      <c r="K546">
        <v>3215373</v>
      </c>
      <c r="M546" s="1" t="s">
        <v>567</v>
      </c>
    </row>
    <row r="547" spans="1:13">
      <c r="A547" t="s">
        <v>246</v>
      </c>
      <c r="B547">
        <v>167</v>
      </c>
      <c r="C547" s="2">
        <v>45322</v>
      </c>
      <c r="D547">
        <v>15999</v>
      </c>
      <c r="F547" s="1" t="s">
        <v>567</v>
      </c>
      <c r="H547" t="s">
        <v>298</v>
      </c>
      <c r="I547" t="s">
        <v>299</v>
      </c>
      <c r="J547" s="2">
        <v>45626</v>
      </c>
      <c r="K547">
        <v>3056263</v>
      </c>
      <c r="M547" s="1" t="s">
        <v>567</v>
      </c>
    </row>
    <row r="548" spans="1:13">
      <c r="A548" t="s">
        <v>246</v>
      </c>
      <c r="B548">
        <v>167</v>
      </c>
      <c r="C548" s="2">
        <v>45351</v>
      </c>
      <c r="D548">
        <v>27467</v>
      </c>
      <c r="F548" s="1" t="s">
        <v>567</v>
      </c>
      <c r="H548" t="s">
        <v>298</v>
      </c>
      <c r="I548" t="s">
        <v>299</v>
      </c>
      <c r="J548" s="2">
        <v>45657</v>
      </c>
      <c r="K548">
        <v>2890273.5</v>
      </c>
      <c r="M548" s="1" t="s">
        <v>567</v>
      </c>
    </row>
    <row r="549" spans="1:13">
      <c r="A549" t="s">
        <v>246</v>
      </c>
      <c r="B549">
        <v>167</v>
      </c>
      <c r="C549" s="2">
        <v>45382</v>
      </c>
      <c r="D549">
        <v>16799</v>
      </c>
      <c r="F549" s="1" t="s">
        <v>567</v>
      </c>
      <c r="H549" t="s">
        <v>298</v>
      </c>
      <c r="I549" t="s">
        <v>299</v>
      </c>
      <c r="J549" s="2">
        <v>45688</v>
      </c>
      <c r="K549">
        <v>2717058.59</v>
      </c>
      <c r="M549" s="1" t="s">
        <v>567</v>
      </c>
    </row>
    <row r="550" spans="1:13">
      <c r="A550" t="s">
        <v>246</v>
      </c>
      <c r="B550">
        <v>167</v>
      </c>
      <c r="C550" s="2">
        <v>45412</v>
      </c>
      <c r="D550">
        <v>28840</v>
      </c>
      <c r="F550" s="1" t="s">
        <v>567</v>
      </c>
      <c r="H550" t="s">
        <v>298</v>
      </c>
      <c r="I550" t="s">
        <v>299</v>
      </c>
      <c r="J550" s="2">
        <v>45716</v>
      </c>
      <c r="K550">
        <v>2536257.9300000002</v>
      </c>
      <c r="M550" s="1" t="s">
        <v>567</v>
      </c>
    </row>
    <row r="551" spans="1:13">
      <c r="A551" t="s">
        <v>246</v>
      </c>
      <c r="B551">
        <v>167</v>
      </c>
      <c r="C551" s="2">
        <v>45443</v>
      </c>
      <c r="D551">
        <v>17639</v>
      </c>
      <c r="F551" s="1" t="s">
        <v>567</v>
      </c>
      <c r="H551" t="s">
        <v>298</v>
      </c>
      <c r="I551" t="s">
        <v>299</v>
      </c>
      <c r="J551" s="2">
        <v>45747</v>
      </c>
      <c r="K551">
        <v>2347491.27</v>
      </c>
      <c r="M551" s="1" t="s">
        <v>567</v>
      </c>
    </row>
    <row r="552" spans="1:13">
      <c r="A552" t="s">
        <v>246</v>
      </c>
      <c r="B552">
        <v>167</v>
      </c>
      <c r="C552" s="2">
        <v>45473</v>
      </c>
      <c r="D552">
        <v>30282</v>
      </c>
      <c r="F552" s="1" t="s">
        <v>567</v>
      </c>
      <c r="H552" t="s">
        <v>298</v>
      </c>
      <c r="I552" t="s">
        <v>299</v>
      </c>
      <c r="J552" s="2">
        <v>45777</v>
      </c>
      <c r="K552">
        <v>2150361.6100000003</v>
      </c>
      <c r="M552" s="1" t="s">
        <v>567</v>
      </c>
    </row>
    <row r="553" spans="1:13">
      <c r="A553" t="s">
        <v>246</v>
      </c>
      <c r="B553">
        <v>167</v>
      </c>
      <c r="C553" s="2">
        <v>45504</v>
      </c>
      <c r="D553">
        <v>31796</v>
      </c>
      <c r="F553" s="1" t="s">
        <v>567</v>
      </c>
      <c r="H553" t="s">
        <v>298</v>
      </c>
      <c r="I553" t="s">
        <v>299</v>
      </c>
      <c r="J553" s="2">
        <v>45808</v>
      </c>
      <c r="K553">
        <v>1944447.95</v>
      </c>
      <c r="M553" s="1" t="s">
        <v>567</v>
      </c>
    </row>
    <row r="554" spans="1:13">
      <c r="A554" t="s">
        <v>246</v>
      </c>
      <c r="B554">
        <v>167</v>
      </c>
      <c r="C554" s="2">
        <v>45535</v>
      </c>
      <c r="D554">
        <v>31796</v>
      </c>
      <c r="F554" s="1" t="s">
        <v>567</v>
      </c>
      <c r="H554" t="s">
        <v>298</v>
      </c>
      <c r="I554" t="s">
        <v>299</v>
      </c>
      <c r="J554" s="2">
        <v>45838</v>
      </c>
      <c r="K554">
        <v>1737715.74</v>
      </c>
      <c r="M554" s="1" t="s">
        <v>567</v>
      </c>
    </row>
    <row r="555" spans="1:13">
      <c r="A555" t="s">
        <v>246</v>
      </c>
      <c r="B555">
        <v>167</v>
      </c>
      <c r="C555" s="2">
        <v>45565</v>
      </c>
      <c r="D555">
        <v>33386</v>
      </c>
      <c r="F555" s="1" t="s">
        <v>567</v>
      </c>
      <c r="H555" t="s">
        <v>298</v>
      </c>
      <c r="I555" t="s">
        <v>299</v>
      </c>
      <c r="J555" s="2">
        <v>45869</v>
      </c>
      <c r="K555">
        <v>1518601.69</v>
      </c>
      <c r="M555" s="1" t="s">
        <v>567</v>
      </c>
    </row>
    <row r="556" spans="1:13">
      <c r="A556" t="s">
        <v>246</v>
      </c>
      <c r="B556">
        <v>167</v>
      </c>
      <c r="C556" s="2">
        <v>45596</v>
      </c>
      <c r="D556">
        <v>33386</v>
      </c>
      <c r="F556" s="1" t="s">
        <v>567</v>
      </c>
      <c r="H556" t="s">
        <v>298</v>
      </c>
      <c r="I556" t="s">
        <v>299</v>
      </c>
      <c r="J556" s="2">
        <v>45900</v>
      </c>
      <c r="K556">
        <v>1283621.7</v>
      </c>
      <c r="M556" s="1" t="s">
        <v>567</v>
      </c>
    </row>
    <row r="557" spans="1:13">
      <c r="A557" t="s">
        <v>246</v>
      </c>
      <c r="B557">
        <v>167</v>
      </c>
      <c r="C557" s="2">
        <v>45626</v>
      </c>
      <c r="D557">
        <v>35055</v>
      </c>
      <c r="F557" s="1" t="s">
        <v>567</v>
      </c>
      <c r="H557" t="s">
        <v>298</v>
      </c>
      <c r="I557" t="s">
        <v>299</v>
      </c>
      <c r="J557" s="2">
        <v>45930</v>
      </c>
      <c r="K557">
        <v>1055967.4900000002</v>
      </c>
      <c r="M557" s="1" t="s">
        <v>567</v>
      </c>
    </row>
    <row r="558" spans="1:13">
      <c r="A558" t="s">
        <v>246</v>
      </c>
      <c r="B558">
        <v>167</v>
      </c>
      <c r="C558" s="2">
        <v>45657</v>
      </c>
      <c r="D558">
        <v>36808</v>
      </c>
      <c r="F558" s="1" t="s">
        <v>567</v>
      </c>
      <c r="H558" t="s">
        <v>298</v>
      </c>
      <c r="I558" t="s">
        <v>299</v>
      </c>
      <c r="J558" s="2">
        <v>45961</v>
      </c>
      <c r="K558">
        <v>809105.34000000008</v>
      </c>
      <c r="M558" s="1" t="s">
        <v>567</v>
      </c>
    </row>
    <row r="559" spans="1:13">
      <c r="A559" t="s">
        <v>246</v>
      </c>
      <c r="B559">
        <v>167</v>
      </c>
      <c r="C559" s="2">
        <v>45688</v>
      </c>
      <c r="D559">
        <v>38648.5</v>
      </c>
      <c r="F559" s="1" t="s">
        <v>567</v>
      </c>
      <c r="H559" t="s">
        <v>298</v>
      </c>
      <c r="I559" t="s">
        <v>299</v>
      </c>
      <c r="J559" s="2">
        <v>45991</v>
      </c>
      <c r="K559">
        <v>550924.85</v>
      </c>
      <c r="M559" s="1" t="s">
        <v>567</v>
      </c>
    </row>
    <row r="560" spans="1:13">
      <c r="A560" t="s">
        <v>246</v>
      </c>
      <c r="B560">
        <v>167</v>
      </c>
      <c r="C560" s="2">
        <v>45716</v>
      </c>
      <c r="D560">
        <v>40581</v>
      </c>
      <c r="F560" s="1" t="s">
        <v>567</v>
      </c>
      <c r="H560" t="s">
        <v>301</v>
      </c>
      <c r="I560">
        <v>155</v>
      </c>
      <c r="J560" s="2">
        <v>44957</v>
      </c>
      <c r="K560">
        <v>37350</v>
      </c>
      <c r="M560" s="1" t="s">
        <v>567</v>
      </c>
    </row>
    <row r="561" spans="1:13">
      <c r="A561" t="s">
        <v>246</v>
      </c>
      <c r="B561">
        <v>167</v>
      </c>
      <c r="C561" s="2">
        <v>45747</v>
      </c>
      <c r="D561">
        <v>42610</v>
      </c>
      <c r="F561" s="1" t="s">
        <v>567</v>
      </c>
      <c r="H561" t="s">
        <v>301</v>
      </c>
      <c r="I561">
        <v>155</v>
      </c>
      <c r="J561" s="2">
        <v>44985</v>
      </c>
      <c r="K561">
        <v>42033</v>
      </c>
      <c r="M561" s="1" t="s">
        <v>567</v>
      </c>
    </row>
    <row r="562" spans="1:13">
      <c r="A562" t="s">
        <v>246</v>
      </c>
      <c r="B562">
        <v>167</v>
      </c>
      <c r="C562" s="2">
        <v>45777</v>
      </c>
      <c r="D562">
        <v>44740</v>
      </c>
      <c r="F562" s="1" t="s">
        <v>567</v>
      </c>
      <c r="H562" t="s">
        <v>301</v>
      </c>
      <c r="I562">
        <v>155</v>
      </c>
      <c r="J562" s="2">
        <v>45016</v>
      </c>
      <c r="K562">
        <v>43504</v>
      </c>
      <c r="M562" s="1" t="s">
        <v>567</v>
      </c>
    </row>
    <row r="563" spans="1:13">
      <c r="A563" t="s">
        <v>246</v>
      </c>
      <c r="B563">
        <v>167</v>
      </c>
      <c r="C563" s="2">
        <v>45808</v>
      </c>
      <c r="D563">
        <v>46977</v>
      </c>
      <c r="F563" s="1" t="s">
        <v>567</v>
      </c>
      <c r="H563" t="s">
        <v>301</v>
      </c>
      <c r="I563">
        <v>155</v>
      </c>
      <c r="J563" s="2">
        <v>45046</v>
      </c>
      <c r="K563">
        <v>45027</v>
      </c>
      <c r="M563" s="1" t="s">
        <v>567</v>
      </c>
    </row>
    <row r="564" spans="1:13">
      <c r="A564" t="s">
        <v>246</v>
      </c>
      <c r="B564">
        <v>167</v>
      </c>
      <c r="C564" s="2">
        <v>45838</v>
      </c>
      <c r="D564">
        <v>49326.37</v>
      </c>
      <c r="F564" s="1" t="s">
        <v>567</v>
      </c>
      <c r="H564" t="s">
        <v>301</v>
      </c>
      <c r="I564">
        <v>155</v>
      </c>
      <c r="J564" s="2">
        <v>45077</v>
      </c>
      <c r="K564">
        <v>46603</v>
      </c>
      <c r="M564" s="1" t="s">
        <v>567</v>
      </c>
    </row>
    <row r="565" spans="1:13">
      <c r="A565" t="s">
        <v>246</v>
      </c>
      <c r="B565">
        <v>167</v>
      </c>
      <c r="C565" s="2">
        <v>45869</v>
      </c>
      <c r="D565">
        <v>51792.69</v>
      </c>
      <c r="F565" s="1" t="s">
        <v>567</v>
      </c>
      <c r="H565" t="s">
        <v>301</v>
      </c>
      <c r="I565">
        <v>155</v>
      </c>
      <c r="J565" s="2">
        <v>45107</v>
      </c>
      <c r="K565">
        <v>48234</v>
      </c>
      <c r="M565" s="1" t="s">
        <v>567</v>
      </c>
    </row>
    <row r="566" spans="1:13">
      <c r="A566" t="s">
        <v>246</v>
      </c>
      <c r="B566">
        <v>167</v>
      </c>
      <c r="C566" s="2">
        <v>45900</v>
      </c>
      <c r="D566">
        <v>54382.33</v>
      </c>
      <c r="F566" s="1" t="s">
        <v>567</v>
      </c>
      <c r="H566" t="s">
        <v>301</v>
      </c>
      <c r="I566">
        <v>155</v>
      </c>
      <c r="J566" s="2">
        <v>45138</v>
      </c>
      <c r="K566">
        <v>49922</v>
      </c>
      <c r="M566" s="1" t="s">
        <v>567</v>
      </c>
    </row>
    <row r="567" spans="1:13">
      <c r="A567" t="s">
        <v>246</v>
      </c>
      <c r="B567">
        <v>167</v>
      </c>
      <c r="C567" s="2">
        <v>45930</v>
      </c>
      <c r="D567">
        <v>57101.440000000002</v>
      </c>
      <c r="F567" s="1" t="s">
        <v>567</v>
      </c>
      <c r="H567" t="s">
        <v>301</v>
      </c>
      <c r="I567">
        <v>155</v>
      </c>
      <c r="J567" s="2">
        <v>45169</v>
      </c>
      <c r="K567">
        <v>51669.5</v>
      </c>
      <c r="M567" s="1" t="s">
        <v>567</v>
      </c>
    </row>
    <row r="568" spans="1:13">
      <c r="A568" t="s">
        <v>246</v>
      </c>
      <c r="B568">
        <v>167</v>
      </c>
      <c r="C568" s="2">
        <v>45961</v>
      </c>
      <c r="D568">
        <v>59956.51</v>
      </c>
      <c r="F568" s="1" t="s">
        <v>567</v>
      </c>
      <c r="H568" t="s">
        <v>301</v>
      </c>
      <c r="I568">
        <v>155</v>
      </c>
      <c r="J568" s="2">
        <v>45199</v>
      </c>
      <c r="K568">
        <v>53477.5</v>
      </c>
      <c r="M568" s="1" t="s">
        <v>567</v>
      </c>
    </row>
    <row r="569" spans="1:13">
      <c r="A569" t="s">
        <v>246</v>
      </c>
      <c r="B569">
        <v>167</v>
      </c>
      <c r="C569" s="2">
        <v>45991</v>
      </c>
      <c r="D569">
        <v>62954.34</v>
      </c>
      <c r="F569" s="1" t="s">
        <v>567</v>
      </c>
      <c r="H569" t="s">
        <v>301</v>
      </c>
      <c r="I569">
        <v>155</v>
      </c>
      <c r="J569" s="2">
        <v>45230</v>
      </c>
      <c r="K569">
        <v>55349.5</v>
      </c>
      <c r="M569" s="1" t="s">
        <v>567</v>
      </c>
    </row>
    <row r="570" spans="1:13">
      <c r="A570" t="s">
        <v>247</v>
      </c>
      <c r="B570">
        <v>168</v>
      </c>
      <c r="C570" s="2">
        <v>44957</v>
      </c>
      <c r="D570">
        <v>8500</v>
      </c>
      <c r="F570" s="1" t="s">
        <v>567</v>
      </c>
      <c r="H570" t="s">
        <v>301</v>
      </c>
      <c r="I570">
        <v>155</v>
      </c>
      <c r="J570" s="2">
        <v>45260</v>
      </c>
      <c r="K570">
        <v>55349.5</v>
      </c>
      <c r="M570" s="1" t="s">
        <v>567</v>
      </c>
    </row>
    <row r="571" spans="1:13">
      <c r="A571" t="s">
        <v>247</v>
      </c>
      <c r="B571">
        <v>168</v>
      </c>
      <c r="C571" s="2">
        <v>44985</v>
      </c>
      <c r="D571">
        <v>8798</v>
      </c>
      <c r="F571" s="1" t="s">
        <v>567</v>
      </c>
      <c r="H571" t="s">
        <v>301</v>
      </c>
      <c r="I571">
        <v>155</v>
      </c>
      <c r="J571" s="2">
        <v>45291</v>
      </c>
      <c r="K571">
        <v>55349.5</v>
      </c>
      <c r="M571" s="1" t="s">
        <v>567</v>
      </c>
    </row>
    <row r="572" spans="1:13">
      <c r="A572" t="s">
        <v>247</v>
      </c>
      <c r="B572">
        <v>168</v>
      </c>
      <c r="C572" s="2">
        <v>45016</v>
      </c>
      <c r="D572">
        <v>9105</v>
      </c>
      <c r="F572" s="1" t="s">
        <v>567</v>
      </c>
      <c r="H572" t="s">
        <v>301</v>
      </c>
      <c r="I572">
        <v>155</v>
      </c>
      <c r="J572" s="2">
        <v>45322</v>
      </c>
      <c r="K572">
        <v>55349.5</v>
      </c>
      <c r="M572" s="1" t="s">
        <v>567</v>
      </c>
    </row>
    <row r="573" spans="1:13">
      <c r="A573" t="s">
        <v>247</v>
      </c>
      <c r="B573">
        <v>168</v>
      </c>
      <c r="C573" s="2">
        <v>45046</v>
      </c>
      <c r="D573">
        <v>9424</v>
      </c>
      <c r="F573" s="1" t="s">
        <v>567</v>
      </c>
      <c r="H573" t="s">
        <v>301</v>
      </c>
      <c r="I573">
        <v>155</v>
      </c>
      <c r="J573" s="2">
        <v>45351</v>
      </c>
      <c r="K573">
        <v>55349.5</v>
      </c>
      <c r="M573" s="1" t="s">
        <v>567</v>
      </c>
    </row>
    <row r="574" spans="1:13">
      <c r="A574" t="s">
        <v>247</v>
      </c>
      <c r="B574">
        <v>168</v>
      </c>
      <c r="C574" s="2">
        <v>45077</v>
      </c>
      <c r="D574">
        <v>9754</v>
      </c>
      <c r="F574" s="1" t="s">
        <v>567</v>
      </c>
      <c r="H574" t="s">
        <v>301</v>
      </c>
      <c r="I574">
        <v>155</v>
      </c>
      <c r="J574" s="2">
        <v>45382</v>
      </c>
      <c r="K574">
        <v>55349.5</v>
      </c>
      <c r="M574" s="1" t="s">
        <v>567</v>
      </c>
    </row>
    <row r="575" spans="1:13">
      <c r="A575" t="s">
        <v>247</v>
      </c>
      <c r="B575">
        <v>168</v>
      </c>
      <c r="C575" s="2">
        <v>45107</v>
      </c>
      <c r="D575">
        <v>10095</v>
      </c>
      <c r="F575" s="1" t="s">
        <v>567</v>
      </c>
      <c r="H575" t="s">
        <v>301</v>
      </c>
      <c r="I575">
        <v>155</v>
      </c>
      <c r="J575" s="2">
        <v>45412</v>
      </c>
      <c r="K575">
        <v>55349.5</v>
      </c>
      <c r="M575" s="1" t="s">
        <v>567</v>
      </c>
    </row>
    <row r="576" spans="1:13">
      <c r="A576" t="s">
        <v>247</v>
      </c>
      <c r="B576">
        <v>168</v>
      </c>
      <c r="C576" s="2">
        <v>45138</v>
      </c>
      <c r="D576">
        <v>10449</v>
      </c>
      <c r="F576" s="1" t="s">
        <v>567</v>
      </c>
      <c r="H576" t="s">
        <v>301</v>
      </c>
      <c r="I576">
        <v>155</v>
      </c>
      <c r="J576" s="2">
        <v>45443</v>
      </c>
      <c r="K576">
        <v>55349.5</v>
      </c>
      <c r="M576" s="1" t="s">
        <v>567</v>
      </c>
    </row>
    <row r="577" spans="1:13">
      <c r="A577" t="s">
        <v>247</v>
      </c>
      <c r="B577">
        <v>168</v>
      </c>
      <c r="C577" s="2">
        <v>45169</v>
      </c>
      <c r="D577">
        <v>10814</v>
      </c>
      <c r="F577" s="1" t="s">
        <v>567</v>
      </c>
      <c r="H577" t="s">
        <v>301</v>
      </c>
      <c r="I577">
        <v>155</v>
      </c>
      <c r="J577" s="2">
        <v>45473</v>
      </c>
      <c r="K577">
        <v>55349.5</v>
      </c>
      <c r="M577" s="1" t="s">
        <v>567</v>
      </c>
    </row>
    <row r="578" spans="1:13">
      <c r="A578" t="s">
        <v>247</v>
      </c>
      <c r="B578">
        <v>168</v>
      </c>
      <c r="C578" s="2">
        <v>45199</v>
      </c>
      <c r="D578">
        <v>11193</v>
      </c>
      <c r="F578" s="1" t="s">
        <v>567</v>
      </c>
      <c r="H578" t="s">
        <v>301</v>
      </c>
      <c r="I578">
        <v>155</v>
      </c>
      <c r="J578" s="2">
        <v>45504</v>
      </c>
      <c r="K578">
        <v>55349.5</v>
      </c>
      <c r="M578" s="1" t="s">
        <v>567</v>
      </c>
    </row>
    <row r="579" spans="1:13">
      <c r="A579" t="s">
        <v>247</v>
      </c>
      <c r="B579">
        <v>168</v>
      </c>
      <c r="C579" s="2">
        <v>45230</v>
      </c>
      <c r="D579">
        <v>11585</v>
      </c>
      <c r="F579" s="1" t="s">
        <v>567</v>
      </c>
      <c r="H579" t="s">
        <v>301</v>
      </c>
      <c r="I579">
        <v>155</v>
      </c>
      <c r="J579" s="2">
        <v>45535</v>
      </c>
      <c r="K579">
        <v>55349.5</v>
      </c>
      <c r="M579" s="1" t="s">
        <v>567</v>
      </c>
    </row>
    <row r="580" spans="1:13">
      <c r="A580" t="s">
        <v>247</v>
      </c>
      <c r="B580">
        <v>168</v>
      </c>
      <c r="C580" s="2">
        <v>45260</v>
      </c>
      <c r="D580">
        <v>20234</v>
      </c>
      <c r="F580" s="1" t="s">
        <v>567</v>
      </c>
      <c r="H580" t="s">
        <v>301</v>
      </c>
      <c r="I580">
        <v>155</v>
      </c>
      <c r="J580" s="2">
        <v>45565</v>
      </c>
      <c r="K580">
        <v>55349.5</v>
      </c>
      <c r="M580" s="1" t="s">
        <v>567</v>
      </c>
    </row>
    <row r="581" spans="1:13">
      <c r="A581" t="s">
        <v>247</v>
      </c>
      <c r="B581">
        <v>168</v>
      </c>
      <c r="C581" s="2">
        <v>45291</v>
      </c>
      <c r="D581">
        <v>25029</v>
      </c>
      <c r="F581" s="1" t="s">
        <v>567</v>
      </c>
      <c r="H581" t="s">
        <v>301</v>
      </c>
      <c r="I581">
        <v>155</v>
      </c>
      <c r="J581" s="2">
        <v>45596</v>
      </c>
      <c r="K581">
        <v>55349.5</v>
      </c>
      <c r="M581" s="1" t="s">
        <v>567</v>
      </c>
    </row>
    <row r="582" spans="1:13">
      <c r="A582" t="s">
        <v>247</v>
      </c>
      <c r="B582">
        <v>168</v>
      </c>
      <c r="C582" s="2">
        <v>45322</v>
      </c>
      <c r="D582">
        <v>21246</v>
      </c>
      <c r="F582" s="1" t="s">
        <v>567</v>
      </c>
      <c r="H582" t="s">
        <v>301</v>
      </c>
      <c r="I582">
        <v>155</v>
      </c>
      <c r="J582" s="2">
        <v>45626</v>
      </c>
      <c r="K582">
        <v>55349.5</v>
      </c>
      <c r="M582" s="1" t="s">
        <v>567</v>
      </c>
    </row>
    <row r="583" spans="1:13">
      <c r="A583" t="s">
        <v>247</v>
      </c>
      <c r="B583">
        <v>168</v>
      </c>
      <c r="C583" s="2">
        <v>45351</v>
      </c>
      <c r="D583">
        <v>26280</v>
      </c>
      <c r="F583" s="1" t="s">
        <v>567</v>
      </c>
      <c r="H583" t="s">
        <v>301</v>
      </c>
      <c r="I583">
        <v>155</v>
      </c>
      <c r="J583" s="2">
        <v>45657</v>
      </c>
      <c r="K583">
        <v>55349.5</v>
      </c>
      <c r="M583" s="1" t="s">
        <v>567</v>
      </c>
    </row>
    <row r="584" spans="1:13">
      <c r="A584" t="s">
        <v>247</v>
      </c>
      <c r="B584">
        <v>168</v>
      </c>
      <c r="C584" s="2">
        <v>45382</v>
      </c>
      <c r="D584">
        <v>22308</v>
      </c>
      <c r="F584" s="1" t="s">
        <v>567</v>
      </c>
      <c r="H584" t="s">
        <v>301</v>
      </c>
      <c r="I584">
        <v>155</v>
      </c>
      <c r="J584" s="2">
        <v>45688</v>
      </c>
      <c r="K584">
        <v>55349.5</v>
      </c>
      <c r="M584" s="1" t="s">
        <v>567</v>
      </c>
    </row>
    <row r="585" spans="1:13">
      <c r="A585" t="s">
        <v>247</v>
      </c>
      <c r="B585">
        <v>168</v>
      </c>
      <c r="C585" s="2">
        <v>45412</v>
      </c>
      <c r="D585">
        <v>27594</v>
      </c>
      <c r="F585" s="1" t="s">
        <v>567</v>
      </c>
      <c r="H585" t="s">
        <v>301</v>
      </c>
      <c r="I585">
        <v>155</v>
      </c>
      <c r="J585" s="2">
        <v>45716</v>
      </c>
      <c r="K585">
        <v>55349.5</v>
      </c>
      <c r="M585" s="1" t="s">
        <v>567</v>
      </c>
    </row>
    <row r="586" spans="1:13">
      <c r="A586" t="s">
        <v>247</v>
      </c>
      <c r="B586">
        <v>168</v>
      </c>
      <c r="C586" s="2">
        <v>45443</v>
      </c>
      <c r="D586">
        <v>23424</v>
      </c>
      <c r="F586" s="1" t="s">
        <v>567</v>
      </c>
      <c r="H586" t="s">
        <v>301</v>
      </c>
      <c r="I586">
        <v>155</v>
      </c>
      <c r="J586" s="2">
        <v>45747</v>
      </c>
      <c r="K586">
        <v>55349.5</v>
      </c>
      <c r="M586" s="1" t="s">
        <v>567</v>
      </c>
    </row>
    <row r="587" spans="1:13">
      <c r="A587" t="s">
        <v>247</v>
      </c>
      <c r="B587">
        <v>168</v>
      </c>
      <c r="C587" s="2">
        <v>45473</v>
      </c>
      <c r="D587">
        <v>28974</v>
      </c>
      <c r="F587" s="1" t="s">
        <v>567</v>
      </c>
      <c r="H587" t="s">
        <v>301</v>
      </c>
      <c r="I587">
        <v>155</v>
      </c>
      <c r="J587" s="2">
        <v>45777</v>
      </c>
      <c r="K587">
        <v>55349.5</v>
      </c>
      <c r="M587" s="1" t="s">
        <v>567</v>
      </c>
    </row>
    <row r="588" spans="1:13">
      <c r="A588" t="s">
        <v>247</v>
      </c>
      <c r="B588">
        <v>168</v>
      </c>
      <c r="C588" s="2">
        <v>45504</v>
      </c>
      <c r="D588">
        <v>30423</v>
      </c>
      <c r="F588" s="1" t="s">
        <v>567</v>
      </c>
      <c r="H588" t="s">
        <v>301</v>
      </c>
      <c r="I588">
        <v>155</v>
      </c>
      <c r="J588" s="2">
        <v>45808</v>
      </c>
      <c r="K588">
        <v>55349.5</v>
      </c>
      <c r="M588" s="1" t="s">
        <v>567</v>
      </c>
    </row>
    <row r="589" spans="1:13">
      <c r="A589" t="s">
        <v>247</v>
      </c>
      <c r="B589">
        <v>168</v>
      </c>
      <c r="C589" s="2">
        <v>45535</v>
      </c>
      <c r="D589">
        <v>30423</v>
      </c>
      <c r="F589" s="1" t="s">
        <v>567</v>
      </c>
      <c r="H589" t="s">
        <v>301</v>
      </c>
      <c r="I589">
        <v>155</v>
      </c>
      <c r="J589" s="2">
        <v>45838</v>
      </c>
      <c r="K589">
        <v>55349.5</v>
      </c>
      <c r="M589" s="1" t="s">
        <v>567</v>
      </c>
    </row>
    <row r="590" spans="1:13">
      <c r="A590" t="s">
        <v>247</v>
      </c>
      <c r="B590">
        <v>168</v>
      </c>
      <c r="C590" s="2">
        <v>45565</v>
      </c>
      <c r="D590">
        <v>31944</v>
      </c>
      <c r="F590" s="1" t="s">
        <v>567</v>
      </c>
      <c r="H590" t="s">
        <v>301</v>
      </c>
      <c r="I590">
        <v>155</v>
      </c>
      <c r="J590" s="2">
        <v>45869</v>
      </c>
      <c r="K590">
        <v>55349.5</v>
      </c>
      <c r="M590" s="1" t="s">
        <v>567</v>
      </c>
    </row>
    <row r="591" spans="1:13">
      <c r="A591" t="s">
        <v>247</v>
      </c>
      <c r="B591">
        <v>168</v>
      </c>
      <c r="C591" s="2">
        <v>45596</v>
      </c>
      <c r="D591">
        <v>31944</v>
      </c>
      <c r="F591" s="1" t="s">
        <v>567</v>
      </c>
      <c r="H591" t="s">
        <v>301</v>
      </c>
      <c r="I591">
        <v>155</v>
      </c>
      <c r="J591" s="2">
        <v>45900</v>
      </c>
      <c r="K591">
        <v>55349.5</v>
      </c>
      <c r="M591" s="1" t="s">
        <v>567</v>
      </c>
    </row>
    <row r="592" spans="1:13">
      <c r="A592" t="s">
        <v>247</v>
      </c>
      <c r="B592">
        <v>168</v>
      </c>
      <c r="C592" s="2">
        <v>45626</v>
      </c>
      <c r="D592">
        <v>33541</v>
      </c>
      <c r="F592" s="1" t="s">
        <v>567</v>
      </c>
      <c r="H592" t="s">
        <v>301</v>
      </c>
      <c r="I592">
        <v>155</v>
      </c>
      <c r="J592" s="2">
        <v>45930</v>
      </c>
      <c r="K592">
        <v>55349.5</v>
      </c>
      <c r="M592" s="1" t="s">
        <v>567</v>
      </c>
    </row>
    <row r="593" spans="1:13">
      <c r="A593" t="s">
        <v>247</v>
      </c>
      <c r="B593">
        <v>168</v>
      </c>
      <c r="C593" s="2">
        <v>45657</v>
      </c>
      <c r="D593">
        <v>35218</v>
      </c>
      <c r="F593" s="1" t="s">
        <v>567</v>
      </c>
      <c r="H593" t="s">
        <v>301</v>
      </c>
      <c r="I593">
        <v>155</v>
      </c>
      <c r="J593" s="2">
        <v>45961</v>
      </c>
      <c r="K593">
        <v>55349.5</v>
      </c>
      <c r="M593" s="1" t="s">
        <v>567</v>
      </c>
    </row>
    <row r="594" spans="1:13">
      <c r="A594" t="s">
        <v>247</v>
      </c>
      <c r="B594">
        <v>168</v>
      </c>
      <c r="C594" s="2">
        <v>45688</v>
      </c>
      <c r="D594">
        <v>36979.269999999997</v>
      </c>
      <c r="F594" s="1" t="s">
        <v>567</v>
      </c>
      <c r="H594" t="s">
        <v>301</v>
      </c>
      <c r="I594">
        <v>155</v>
      </c>
      <c r="J594" s="2">
        <v>45991</v>
      </c>
      <c r="K594">
        <v>55349.5</v>
      </c>
      <c r="M594" s="1" t="s">
        <v>567</v>
      </c>
    </row>
    <row r="595" spans="1:13">
      <c r="A595" t="s">
        <v>247</v>
      </c>
      <c r="B595">
        <v>168</v>
      </c>
      <c r="C595" s="2">
        <v>45716</v>
      </c>
      <c r="D595">
        <v>38828</v>
      </c>
      <c r="F595" s="1" t="s">
        <v>567</v>
      </c>
      <c r="H595" t="s">
        <v>302</v>
      </c>
      <c r="I595">
        <v>7</v>
      </c>
      <c r="J595" s="2">
        <v>45838</v>
      </c>
      <c r="K595">
        <v>1000</v>
      </c>
      <c r="M595" s="1" t="s">
        <v>567</v>
      </c>
    </row>
    <row r="596" spans="1:13">
      <c r="A596" t="s">
        <v>247</v>
      </c>
      <c r="B596">
        <v>168</v>
      </c>
      <c r="C596" s="2">
        <v>45747</v>
      </c>
      <c r="D596">
        <v>40770</v>
      </c>
      <c r="F596" s="1" t="s">
        <v>567</v>
      </c>
      <c r="H596" t="s">
        <v>302</v>
      </c>
      <c r="I596">
        <v>7</v>
      </c>
      <c r="J596" s="2">
        <v>45869</v>
      </c>
      <c r="K596">
        <v>1000</v>
      </c>
      <c r="M596" s="1" t="s">
        <v>567</v>
      </c>
    </row>
    <row r="597" spans="1:13">
      <c r="A597" t="s">
        <v>247</v>
      </c>
      <c r="B597">
        <v>168</v>
      </c>
      <c r="C597" s="2">
        <v>45777</v>
      </c>
      <c r="D597">
        <v>42808</v>
      </c>
      <c r="F597" s="1" t="s">
        <v>567</v>
      </c>
      <c r="H597" t="s">
        <v>302</v>
      </c>
      <c r="I597">
        <v>7</v>
      </c>
      <c r="J597" s="2">
        <v>45900</v>
      </c>
      <c r="K597">
        <v>1500</v>
      </c>
      <c r="M597" s="1" t="s">
        <v>567</v>
      </c>
    </row>
    <row r="598" spans="1:13">
      <c r="A598" t="s">
        <v>247</v>
      </c>
      <c r="B598">
        <v>168</v>
      </c>
      <c r="C598" s="2">
        <v>45808</v>
      </c>
      <c r="D598">
        <v>44949</v>
      </c>
      <c r="F598" s="1" t="s">
        <v>567</v>
      </c>
      <c r="H598" t="s">
        <v>302</v>
      </c>
      <c r="I598">
        <v>7</v>
      </c>
      <c r="J598" s="2">
        <v>45930</v>
      </c>
      <c r="K598">
        <v>1500</v>
      </c>
      <c r="M598" s="1" t="s">
        <v>567</v>
      </c>
    </row>
    <row r="599" spans="1:13">
      <c r="A599" t="s">
        <v>247</v>
      </c>
      <c r="B599">
        <v>168</v>
      </c>
      <c r="C599" s="2">
        <v>45838</v>
      </c>
      <c r="D599">
        <v>47195.96</v>
      </c>
      <c r="F599" s="1" t="s">
        <v>567</v>
      </c>
      <c r="H599" t="s">
        <v>302</v>
      </c>
      <c r="I599">
        <v>7</v>
      </c>
      <c r="J599" s="2">
        <v>45961</v>
      </c>
      <c r="K599">
        <v>1500</v>
      </c>
      <c r="M599" s="1" t="s">
        <v>567</v>
      </c>
    </row>
    <row r="600" spans="1:13">
      <c r="A600" t="s">
        <v>247</v>
      </c>
      <c r="B600">
        <v>168</v>
      </c>
      <c r="C600" s="2">
        <v>45869</v>
      </c>
      <c r="D600">
        <v>49555.75</v>
      </c>
      <c r="F600" s="1" t="s">
        <v>567</v>
      </c>
      <c r="H600" t="s">
        <v>302</v>
      </c>
      <c r="I600">
        <v>7</v>
      </c>
      <c r="J600" s="2">
        <v>45991</v>
      </c>
      <c r="K600">
        <v>2500</v>
      </c>
      <c r="M600" s="1" t="s">
        <v>567</v>
      </c>
    </row>
    <row r="601" spans="1:13">
      <c r="A601" t="s">
        <v>247</v>
      </c>
      <c r="B601">
        <v>168</v>
      </c>
      <c r="C601" s="2">
        <v>45900</v>
      </c>
      <c r="D601">
        <v>52033.54</v>
      </c>
      <c r="F601" s="1" t="s">
        <v>567</v>
      </c>
      <c r="H601" t="s">
        <v>303</v>
      </c>
      <c r="I601" t="s">
        <v>304</v>
      </c>
      <c r="J601" s="2">
        <v>44957</v>
      </c>
      <c r="K601">
        <v>37350</v>
      </c>
      <c r="M601" s="1" t="s">
        <v>567</v>
      </c>
    </row>
    <row r="602" spans="1:13">
      <c r="A602" t="s">
        <v>247</v>
      </c>
      <c r="B602">
        <v>168</v>
      </c>
      <c r="C602" s="2">
        <v>45930</v>
      </c>
      <c r="D602">
        <v>54635.22</v>
      </c>
      <c r="F602" s="1" t="s">
        <v>567</v>
      </c>
      <c r="H602" t="s">
        <v>303</v>
      </c>
      <c r="I602" t="s">
        <v>304</v>
      </c>
      <c r="J602" s="2">
        <v>44985</v>
      </c>
      <c r="K602">
        <v>42033</v>
      </c>
      <c r="M602" s="1" t="s">
        <v>567</v>
      </c>
    </row>
    <row r="603" spans="1:13">
      <c r="A603" t="s">
        <v>247</v>
      </c>
      <c r="B603">
        <v>168</v>
      </c>
      <c r="C603" s="2">
        <v>45961</v>
      </c>
      <c r="D603">
        <v>57366.98</v>
      </c>
      <c r="F603" s="1" t="s">
        <v>567</v>
      </c>
      <c r="H603" t="s">
        <v>303</v>
      </c>
      <c r="I603" t="s">
        <v>304</v>
      </c>
      <c r="J603" s="2">
        <v>45016</v>
      </c>
      <c r="K603">
        <v>43504</v>
      </c>
      <c r="M603" s="1" t="s">
        <v>567</v>
      </c>
    </row>
    <row r="604" spans="1:13">
      <c r="A604" t="s">
        <v>247</v>
      </c>
      <c r="B604">
        <v>168</v>
      </c>
      <c r="C604" s="2">
        <v>45991</v>
      </c>
      <c r="D604">
        <v>60235.33</v>
      </c>
      <c r="F604" s="1" t="s">
        <v>567</v>
      </c>
      <c r="H604" t="s">
        <v>303</v>
      </c>
      <c r="I604" t="s">
        <v>304</v>
      </c>
      <c r="J604" s="2">
        <v>45046</v>
      </c>
      <c r="K604">
        <v>45027</v>
      </c>
      <c r="M604" s="1" t="s">
        <v>567</v>
      </c>
    </row>
    <row r="605" spans="1:13">
      <c r="A605" t="s">
        <v>248</v>
      </c>
      <c r="B605">
        <v>201</v>
      </c>
      <c r="C605" s="2">
        <v>44957</v>
      </c>
      <c r="D605">
        <v>250</v>
      </c>
      <c r="F605" s="1" t="s">
        <v>567</v>
      </c>
      <c r="H605" t="s">
        <v>303</v>
      </c>
      <c r="I605" t="s">
        <v>304</v>
      </c>
      <c r="J605" s="2">
        <v>45077</v>
      </c>
      <c r="K605">
        <v>46603</v>
      </c>
      <c r="M605" s="1" t="s">
        <v>567</v>
      </c>
    </row>
    <row r="606" spans="1:13">
      <c r="A606" t="s">
        <v>248</v>
      </c>
      <c r="B606">
        <v>201</v>
      </c>
      <c r="C606" s="2">
        <v>44985</v>
      </c>
      <c r="D606">
        <v>259</v>
      </c>
      <c r="F606" s="1" t="s">
        <v>567</v>
      </c>
      <c r="H606" t="s">
        <v>303</v>
      </c>
      <c r="I606" t="s">
        <v>304</v>
      </c>
      <c r="J606" s="2">
        <v>45107</v>
      </c>
      <c r="K606">
        <v>48234</v>
      </c>
      <c r="M606" s="1" t="s">
        <v>567</v>
      </c>
    </row>
    <row r="607" spans="1:13">
      <c r="A607" t="s">
        <v>248</v>
      </c>
      <c r="B607">
        <v>201</v>
      </c>
      <c r="C607" s="2">
        <v>45016</v>
      </c>
      <c r="D607">
        <v>268</v>
      </c>
      <c r="F607" s="1" t="s">
        <v>567</v>
      </c>
      <c r="H607" t="s">
        <v>303</v>
      </c>
      <c r="I607" t="s">
        <v>304</v>
      </c>
      <c r="J607" s="2">
        <v>45138</v>
      </c>
      <c r="K607">
        <v>49922</v>
      </c>
      <c r="M607" s="1" t="s">
        <v>567</v>
      </c>
    </row>
    <row r="608" spans="1:13">
      <c r="A608" t="s">
        <v>248</v>
      </c>
      <c r="B608">
        <v>201</v>
      </c>
      <c r="C608" s="2">
        <v>45046</v>
      </c>
      <c r="D608">
        <v>277</v>
      </c>
      <c r="F608" s="1" t="s">
        <v>567</v>
      </c>
      <c r="H608" t="s">
        <v>303</v>
      </c>
      <c r="I608" t="s">
        <v>304</v>
      </c>
      <c r="J608" s="2">
        <v>45169</v>
      </c>
      <c r="K608">
        <v>51669.5</v>
      </c>
      <c r="M608" s="1" t="s">
        <v>567</v>
      </c>
    </row>
    <row r="609" spans="1:13">
      <c r="A609" t="s">
        <v>248</v>
      </c>
      <c r="B609">
        <v>201</v>
      </c>
      <c r="C609" s="2">
        <v>45077</v>
      </c>
      <c r="D609">
        <v>287</v>
      </c>
      <c r="F609" s="1" t="s">
        <v>567</v>
      </c>
      <c r="H609" t="s">
        <v>303</v>
      </c>
      <c r="I609" t="s">
        <v>304</v>
      </c>
      <c r="J609" s="2">
        <v>45199</v>
      </c>
      <c r="K609">
        <v>53477.5</v>
      </c>
      <c r="M609" s="1" t="s">
        <v>567</v>
      </c>
    </row>
    <row r="610" spans="1:13">
      <c r="A610" t="s">
        <v>248</v>
      </c>
      <c r="B610">
        <v>201</v>
      </c>
      <c r="C610" s="2">
        <v>45107</v>
      </c>
      <c r="D610">
        <v>297</v>
      </c>
      <c r="F610" s="1" t="s">
        <v>567</v>
      </c>
      <c r="H610" t="s">
        <v>303</v>
      </c>
      <c r="I610" t="s">
        <v>304</v>
      </c>
      <c r="J610" s="2">
        <v>45230</v>
      </c>
      <c r="K610">
        <v>55349.5</v>
      </c>
      <c r="M610" s="1" t="s">
        <v>567</v>
      </c>
    </row>
    <row r="611" spans="1:13">
      <c r="A611" t="s">
        <v>248</v>
      </c>
      <c r="B611">
        <v>201</v>
      </c>
      <c r="C611" s="2">
        <v>45138</v>
      </c>
      <c r="D611">
        <v>307</v>
      </c>
      <c r="F611" s="1" t="s">
        <v>567</v>
      </c>
      <c r="H611" t="s">
        <v>303</v>
      </c>
      <c r="I611" t="s">
        <v>304</v>
      </c>
      <c r="J611" s="2">
        <v>45260</v>
      </c>
      <c r="K611">
        <v>55349.5</v>
      </c>
      <c r="M611" s="1" t="s">
        <v>567</v>
      </c>
    </row>
    <row r="612" spans="1:13">
      <c r="A612" t="s">
        <v>248</v>
      </c>
      <c r="B612">
        <v>201</v>
      </c>
      <c r="C612" s="2">
        <v>45169</v>
      </c>
      <c r="D612">
        <v>318</v>
      </c>
      <c r="F612" s="1" t="s">
        <v>567</v>
      </c>
      <c r="H612" t="s">
        <v>303</v>
      </c>
      <c r="I612" t="s">
        <v>304</v>
      </c>
      <c r="J612" s="2">
        <v>45291</v>
      </c>
      <c r="K612">
        <v>55349.5</v>
      </c>
      <c r="M612" s="1" t="s">
        <v>567</v>
      </c>
    </row>
    <row r="613" spans="1:13">
      <c r="A613" t="s">
        <v>248</v>
      </c>
      <c r="B613">
        <v>201</v>
      </c>
      <c r="C613" s="2">
        <v>45199</v>
      </c>
      <c r="D613">
        <v>329</v>
      </c>
      <c r="F613" s="1" t="s">
        <v>567</v>
      </c>
      <c r="H613" t="s">
        <v>303</v>
      </c>
      <c r="I613" t="s">
        <v>304</v>
      </c>
      <c r="J613" s="2">
        <v>45322</v>
      </c>
      <c r="K613">
        <v>55349.5</v>
      </c>
      <c r="M613" s="1" t="s">
        <v>567</v>
      </c>
    </row>
    <row r="614" spans="1:13">
      <c r="A614" t="s">
        <v>248</v>
      </c>
      <c r="B614">
        <v>201</v>
      </c>
      <c r="C614" s="2">
        <v>45230</v>
      </c>
      <c r="D614">
        <v>341</v>
      </c>
      <c r="F614" s="1" t="s">
        <v>567</v>
      </c>
      <c r="H614" t="s">
        <v>303</v>
      </c>
      <c r="I614" t="s">
        <v>304</v>
      </c>
      <c r="J614" s="2">
        <v>45351</v>
      </c>
      <c r="K614">
        <v>55349.5</v>
      </c>
      <c r="M614" s="1" t="s">
        <v>567</v>
      </c>
    </row>
    <row r="615" spans="1:13">
      <c r="A615" t="s">
        <v>248</v>
      </c>
      <c r="B615">
        <v>201</v>
      </c>
      <c r="C615" s="2">
        <v>45260</v>
      </c>
      <c r="D615">
        <v>508</v>
      </c>
      <c r="F615" s="1" t="s">
        <v>567</v>
      </c>
      <c r="H615" t="s">
        <v>303</v>
      </c>
      <c r="I615" t="s">
        <v>304</v>
      </c>
      <c r="J615" s="2">
        <v>45382</v>
      </c>
      <c r="K615">
        <v>55349.5</v>
      </c>
      <c r="M615" s="1" t="s">
        <v>567</v>
      </c>
    </row>
    <row r="616" spans="1:13">
      <c r="A616" t="s">
        <v>248</v>
      </c>
      <c r="B616">
        <v>201</v>
      </c>
      <c r="C616" s="2">
        <v>45291</v>
      </c>
      <c r="D616">
        <v>972</v>
      </c>
      <c r="F616" s="1" t="s">
        <v>567</v>
      </c>
      <c r="H616" t="s">
        <v>303</v>
      </c>
      <c r="I616" t="s">
        <v>304</v>
      </c>
      <c r="J616" s="2">
        <v>45412</v>
      </c>
      <c r="K616">
        <v>55349.5</v>
      </c>
      <c r="M616" s="1" t="s">
        <v>567</v>
      </c>
    </row>
    <row r="617" spans="1:13">
      <c r="A617" t="s">
        <v>248</v>
      </c>
      <c r="B617">
        <v>201</v>
      </c>
      <c r="C617" s="2">
        <v>45322</v>
      </c>
      <c r="D617">
        <v>533</v>
      </c>
      <c r="F617" s="1" t="s">
        <v>567</v>
      </c>
      <c r="H617" t="s">
        <v>303</v>
      </c>
      <c r="I617" t="s">
        <v>304</v>
      </c>
      <c r="J617" s="2">
        <v>45443</v>
      </c>
      <c r="K617">
        <v>55349.5</v>
      </c>
      <c r="M617" s="1" t="s">
        <v>567</v>
      </c>
    </row>
    <row r="618" spans="1:13">
      <c r="A618" t="s">
        <v>248</v>
      </c>
      <c r="B618">
        <v>201</v>
      </c>
      <c r="C618" s="2">
        <v>45351</v>
      </c>
      <c r="D618">
        <v>1020</v>
      </c>
      <c r="F618" s="1" t="s">
        <v>567</v>
      </c>
      <c r="H618" t="s">
        <v>303</v>
      </c>
      <c r="I618" t="s">
        <v>304</v>
      </c>
      <c r="J618" s="2">
        <v>45473</v>
      </c>
      <c r="K618">
        <v>55349.5</v>
      </c>
      <c r="M618" s="1" t="s">
        <v>567</v>
      </c>
    </row>
    <row r="619" spans="1:13">
      <c r="A619" t="s">
        <v>248</v>
      </c>
      <c r="B619">
        <v>201</v>
      </c>
      <c r="C619" s="2">
        <v>45382</v>
      </c>
      <c r="D619">
        <v>560</v>
      </c>
      <c r="F619" s="1" t="s">
        <v>567</v>
      </c>
      <c r="H619" t="s">
        <v>303</v>
      </c>
      <c r="I619" t="s">
        <v>304</v>
      </c>
      <c r="J619" s="2">
        <v>45504</v>
      </c>
      <c r="K619">
        <v>55349.5</v>
      </c>
      <c r="M619" s="1" t="s">
        <v>567</v>
      </c>
    </row>
    <row r="620" spans="1:13">
      <c r="A620" t="s">
        <v>248</v>
      </c>
      <c r="B620">
        <v>201</v>
      </c>
      <c r="C620" s="2">
        <v>45412</v>
      </c>
      <c r="D620">
        <v>1071</v>
      </c>
      <c r="F620" s="1" t="s">
        <v>567</v>
      </c>
      <c r="H620" t="s">
        <v>303</v>
      </c>
      <c r="I620" t="s">
        <v>304</v>
      </c>
      <c r="J620" s="2">
        <v>45535</v>
      </c>
      <c r="K620">
        <v>55349.5</v>
      </c>
      <c r="M620" s="1" t="s">
        <v>567</v>
      </c>
    </row>
    <row r="621" spans="1:13">
      <c r="A621" t="s">
        <v>248</v>
      </c>
      <c r="B621">
        <v>201</v>
      </c>
      <c r="C621" s="2">
        <v>45443</v>
      </c>
      <c r="D621">
        <v>588</v>
      </c>
      <c r="F621" s="1" t="s">
        <v>567</v>
      </c>
      <c r="H621" t="s">
        <v>303</v>
      </c>
      <c r="I621" t="s">
        <v>304</v>
      </c>
      <c r="J621" s="2">
        <v>45565</v>
      </c>
      <c r="K621">
        <v>55349.5</v>
      </c>
      <c r="M621" s="1" t="s">
        <v>567</v>
      </c>
    </row>
    <row r="622" spans="1:13">
      <c r="A622" t="s">
        <v>248</v>
      </c>
      <c r="B622">
        <v>201</v>
      </c>
      <c r="C622" s="2">
        <v>45473</v>
      </c>
      <c r="D622">
        <v>1125</v>
      </c>
      <c r="F622" s="1" t="s">
        <v>567</v>
      </c>
      <c r="H622" t="s">
        <v>303</v>
      </c>
      <c r="I622" t="s">
        <v>304</v>
      </c>
      <c r="J622" s="2">
        <v>45596</v>
      </c>
      <c r="K622">
        <v>55349.5</v>
      </c>
      <c r="M622" s="1" t="s">
        <v>567</v>
      </c>
    </row>
    <row r="623" spans="1:13">
      <c r="A623" t="s">
        <v>248</v>
      </c>
      <c r="B623">
        <v>201</v>
      </c>
      <c r="C623" s="2">
        <v>45504</v>
      </c>
      <c r="D623">
        <v>1181</v>
      </c>
      <c r="F623" s="1" t="s">
        <v>567</v>
      </c>
      <c r="H623" t="s">
        <v>303</v>
      </c>
      <c r="I623" t="s">
        <v>304</v>
      </c>
      <c r="J623" s="2">
        <v>45626</v>
      </c>
      <c r="K623">
        <v>55349.5</v>
      </c>
      <c r="M623" s="1" t="s">
        <v>567</v>
      </c>
    </row>
    <row r="624" spans="1:13">
      <c r="A624" t="s">
        <v>248</v>
      </c>
      <c r="B624">
        <v>201</v>
      </c>
      <c r="C624" s="2">
        <v>45535</v>
      </c>
      <c r="D624">
        <v>1181</v>
      </c>
      <c r="F624" s="1" t="s">
        <v>567</v>
      </c>
      <c r="H624" t="s">
        <v>303</v>
      </c>
      <c r="I624" t="s">
        <v>304</v>
      </c>
      <c r="J624" s="2">
        <v>45657</v>
      </c>
      <c r="K624">
        <v>55349.5</v>
      </c>
      <c r="M624" s="1" t="s">
        <v>567</v>
      </c>
    </row>
    <row r="625" spans="1:13">
      <c r="A625" t="s">
        <v>248</v>
      </c>
      <c r="B625">
        <v>201</v>
      </c>
      <c r="C625" s="2">
        <v>45565</v>
      </c>
      <c r="D625">
        <v>1240</v>
      </c>
      <c r="F625" s="1" t="s">
        <v>567</v>
      </c>
      <c r="H625" t="s">
        <v>303</v>
      </c>
      <c r="I625" t="s">
        <v>304</v>
      </c>
      <c r="J625" s="2">
        <v>45688</v>
      </c>
      <c r="K625">
        <v>55349.5</v>
      </c>
      <c r="M625" s="1" t="s">
        <v>567</v>
      </c>
    </row>
    <row r="626" spans="1:13">
      <c r="A626" t="s">
        <v>248</v>
      </c>
      <c r="B626">
        <v>201</v>
      </c>
      <c r="C626" s="2">
        <v>45596</v>
      </c>
      <c r="D626">
        <v>1240</v>
      </c>
      <c r="F626" s="1" t="s">
        <v>567</v>
      </c>
      <c r="H626" t="s">
        <v>303</v>
      </c>
      <c r="I626" t="s">
        <v>304</v>
      </c>
      <c r="J626" s="2">
        <v>45716</v>
      </c>
      <c r="K626">
        <v>55349.5</v>
      </c>
      <c r="M626" s="1" t="s">
        <v>567</v>
      </c>
    </row>
    <row r="627" spans="1:13">
      <c r="A627" t="s">
        <v>248</v>
      </c>
      <c r="B627">
        <v>201</v>
      </c>
      <c r="C627" s="2">
        <v>45626</v>
      </c>
      <c r="D627">
        <v>1302</v>
      </c>
      <c r="F627" s="1" t="s">
        <v>567</v>
      </c>
      <c r="H627" t="s">
        <v>303</v>
      </c>
      <c r="I627" t="s">
        <v>304</v>
      </c>
      <c r="J627" s="2">
        <v>45747</v>
      </c>
      <c r="K627">
        <v>55349.5</v>
      </c>
      <c r="M627" s="1" t="s">
        <v>567</v>
      </c>
    </row>
    <row r="628" spans="1:13">
      <c r="A628" t="s">
        <v>248</v>
      </c>
      <c r="B628">
        <v>201</v>
      </c>
      <c r="C628" s="2">
        <v>45657</v>
      </c>
      <c r="D628">
        <v>1367</v>
      </c>
      <c r="F628" s="1" t="s">
        <v>567</v>
      </c>
      <c r="H628" t="s">
        <v>303</v>
      </c>
      <c r="I628" t="s">
        <v>304</v>
      </c>
      <c r="J628" s="2">
        <v>45777</v>
      </c>
      <c r="K628">
        <v>55349.5</v>
      </c>
      <c r="M628" s="1" t="s">
        <v>567</v>
      </c>
    </row>
    <row r="629" spans="1:13">
      <c r="A629" t="s">
        <v>248</v>
      </c>
      <c r="B629">
        <v>201</v>
      </c>
      <c r="C629" s="2">
        <v>45688</v>
      </c>
      <c r="D629">
        <v>1435.7</v>
      </c>
      <c r="F629" s="1" t="s">
        <v>567</v>
      </c>
      <c r="H629" t="s">
        <v>303</v>
      </c>
      <c r="I629" t="s">
        <v>304</v>
      </c>
      <c r="J629" s="2">
        <v>45808</v>
      </c>
      <c r="K629">
        <v>55349.5</v>
      </c>
      <c r="M629" s="1" t="s">
        <v>567</v>
      </c>
    </row>
    <row r="630" spans="1:13">
      <c r="A630" t="s">
        <v>248</v>
      </c>
      <c r="B630">
        <v>201</v>
      </c>
      <c r="C630" s="2">
        <v>45716</v>
      </c>
      <c r="D630">
        <v>1507</v>
      </c>
      <c r="F630" s="1" t="s">
        <v>567</v>
      </c>
      <c r="H630" t="s">
        <v>303</v>
      </c>
      <c r="I630" t="s">
        <v>304</v>
      </c>
      <c r="J630" s="2">
        <v>45838</v>
      </c>
      <c r="K630">
        <v>56349.5</v>
      </c>
      <c r="M630" s="1" t="s">
        <v>567</v>
      </c>
    </row>
    <row r="631" spans="1:13">
      <c r="A631" t="s">
        <v>248</v>
      </c>
      <c r="B631">
        <v>201</v>
      </c>
      <c r="C631" s="2">
        <v>45747</v>
      </c>
      <c r="D631">
        <v>1583</v>
      </c>
      <c r="F631" s="1" t="s">
        <v>567</v>
      </c>
      <c r="H631" t="s">
        <v>303</v>
      </c>
      <c r="I631" t="s">
        <v>304</v>
      </c>
      <c r="J631" s="2">
        <v>45869</v>
      </c>
      <c r="K631">
        <v>56349.5</v>
      </c>
      <c r="M631" s="1" t="s">
        <v>567</v>
      </c>
    </row>
    <row r="632" spans="1:13">
      <c r="A632" t="s">
        <v>248</v>
      </c>
      <c r="B632">
        <v>201</v>
      </c>
      <c r="C632" s="2">
        <v>45777</v>
      </c>
      <c r="D632">
        <v>1662</v>
      </c>
      <c r="F632" s="1" t="s">
        <v>567</v>
      </c>
      <c r="H632" t="s">
        <v>303</v>
      </c>
      <c r="I632" t="s">
        <v>304</v>
      </c>
      <c r="J632" s="2">
        <v>45900</v>
      </c>
      <c r="K632">
        <v>56849.5</v>
      </c>
      <c r="M632" s="1" t="s">
        <v>567</v>
      </c>
    </row>
    <row r="633" spans="1:13">
      <c r="A633" t="s">
        <v>248</v>
      </c>
      <c r="B633">
        <v>201</v>
      </c>
      <c r="C633" s="2">
        <v>45808</v>
      </c>
      <c r="D633">
        <v>1745</v>
      </c>
      <c r="F633" s="1" t="s">
        <v>567</v>
      </c>
      <c r="H633" t="s">
        <v>303</v>
      </c>
      <c r="I633" t="s">
        <v>304</v>
      </c>
      <c r="J633" s="2">
        <v>45930</v>
      </c>
      <c r="K633">
        <v>56849.5</v>
      </c>
      <c r="M633" s="1" t="s">
        <v>567</v>
      </c>
    </row>
    <row r="634" spans="1:13">
      <c r="A634" t="s">
        <v>248</v>
      </c>
      <c r="B634">
        <v>201</v>
      </c>
      <c r="C634" s="2">
        <v>45838</v>
      </c>
      <c r="D634">
        <v>1832.35</v>
      </c>
      <c r="F634" s="1" t="s">
        <v>567</v>
      </c>
      <c r="H634" t="s">
        <v>303</v>
      </c>
      <c r="I634" t="s">
        <v>304</v>
      </c>
      <c r="J634" s="2">
        <v>45961</v>
      </c>
      <c r="K634">
        <v>56849.5</v>
      </c>
      <c r="M634" s="1" t="s">
        <v>567</v>
      </c>
    </row>
    <row r="635" spans="1:13">
      <c r="A635" t="s">
        <v>248</v>
      </c>
      <c r="B635">
        <v>201</v>
      </c>
      <c r="C635" s="2">
        <v>45869</v>
      </c>
      <c r="D635">
        <v>1923.97</v>
      </c>
      <c r="F635" s="1" t="s">
        <v>567</v>
      </c>
      <c r="H635" t="s">
        <v>303</v>
      </c>
      <c r="I635" t="s">
        <v>304</v>
      </c>
      <c r="J635" s="2">
        <v>45991</v>
      </c>
      <c r="K635">
        <v>57849.5</v>
      </c>
      <c r="M635" s="1" t="s">
        <v>567</v>
      </c>
    </row>
    <row r="636" spans="1:13">
      <c r="A636" t="s">
        <v>248</v>
      </c>
      <c r="B636">
        <v>201</v>
      </c>
      <c r="C636" s="2">
        <v>45900</v>
      </c>
      <c r="D636">
        <v>2020.17</v>
      </c>
      <c r="F636" s="1" t="s">
        <v>567</v>
      </c>
      <c r="H636" t="s">
        <v>306</v>
      </c>
      <c r="I636">
        <v>156</v>
      </c>
      <c r="J636" s="2">
        <v>44957</v>
      </c>
      <c r="K636">
        <v>2942</v>
      </c>
      <c r="M636" s="1" t="s">
        <v>567</v>
      </c>
    </row>
    <row r="637" spans="1:13">
      <c r="A637" t="s">
        <v>248</v>
      </c>
      <c r="B637">
        <v>201</v>
      </c>
      <c r="C637" s="2">
        <v>45930</v>
      </c>
      <c r="D637">
        <v>2121.1799999999998</v>
      </c>
      <c r="F637" s="1" t="s">
        <v>567</v>
      </c>
      <c r="H637" t="s">
        <v>306</v>
      </c>
      <c r="I637">
        <v>156</v>
      </c>
      <c r="J637" s="2">
        <v>44985</v>
      </c>
      <c r="K637">
        <v>1584</v>
      </c>
      <c r="M637" s="1" t="s">
        <v>567</v>
      </c>
    </row>
    <row r="638" spans="1:13">
      <c r="A638" t="s">
        <v>248</v>
      </c>
      <c r="B638">
        <v>201</v>
      </c>
      <c r="C638" s="2">
        <v>45961</v>
      </c>
      <c r="D638">
        <v>2227.2399999999998</v>
      </c>
      <c r="F638" s="1" t="s">
        <v>567</v>
      </c>
      <c r="H638" t="s">
        <v>306</v>
      </c>
      <c r="I638">
        <v>156</v>
      </c>
      <c r="J638" s="2">
        <v>45016</v>
      </c>
      <c r="K638">
        <v>1026</v>
      </c>
      <c r="M638" s="1" t="s">
        <v>567</v>
      </c>
    </row>
    <row r="639" spans="1:13">
      <c r="A639" t="s">
        <v>248</v>
      </c>
      <c r="B639">
        <v>201</v>
      </c>
      <c r="C639" s="2">
        <v>45991</v>
      </c>
      <c r="D639">
        <v>2338.6</v>
      </c>
      <c r="F639" s="1" t="s">
        <v>567</v>
      </c>
      <c r="H639" t="s">
        <v>306</v>
      </c>
      <c r="I639">
        <v>156</v>
      </c>
      <c r="J639" s="2">
        <v>45046</v>
      </c>
      <c r="K639">
        <v>1024</v>
      </c>
      <c r="M639" s="1" t="s">
        <v>567</v>
      </c>
    </row>
    <row r="640" spans="1:13">
      <c r="A640" t="s">
        <v>249</v>
      </c>
      <c r="B640">
        <v>170</v>
      </c>
      <c r="C640" s="2">
        <v>44957</v>
      </c>
      <c r="D640">
        <v>800</v>
      </c>
      <c r="F640" s="1" t="s">
        <v>567</v>
      </c>
      <c r="H640" t="s">
        <v>306</v>
      </c>
      <c r="I640">
        <v>156</v>
      </c>
      <c r="J640" s="2">
        <v>45077</v>
      </c>
      <c r="K640">
        <v>2667</v>
      </c>
      <c r="M640" s="1" t="s">
        <v>567</v>
      </c>
    </row>
    <row r="641" spans="1:13">
      <c r="A641" t="s">
        <v>249</v>
      </c>
      <c r="B641">
        <v>170</v>
      </c>
      <c r="C641" s="2">
        <v>44985</v>
      </c>
      <c r="D641">
        <v>828</v>
      </c>
      <c r="F641" s="1" t="s">
        <v>567</v>
      </c>
      <c r="H641" t="s">
        <v>306</v>
      </c>
      <c r="I641">
        <v>156</v>
      </c>
      <c r="J641" s="2">
        <v>45107</v>
      </c>
      <c r="K641">
        <v>1160.5</v>
      </c>
      <c r="M641" s="1" t="s">
        <v>567</v>
      </c>
    </row>
    <row r="642" spans="1:13">
      <c r="A642" t="s">
        <v>249</v>
      </c>
      <c r="B642">
        <v>170</v>
      </c>
      <c r="C642" s="2">
        <v>45016</v>
      </c>
      <c r="D642">
        <v>857</v>
      </c>
      <c r="F642" s="1" t="s">
        <v>567</v>
      </c>
      <c r="H642" t="s">
        <v>306</v>
      </c>
      <c r="I642">
        <v>156</v>
      </c>
      <c r="J642" s="2">
        <v>45138</v>
      </c>
      <c r="K642">
        <v>2328.5</v>
      </c>
      <c r="M642" s="1" t="s">
        <v>567</v>
      </c>
    </row>
    <row r="643" spans="1:13">
      <c r="A643" t="s">
        <v>249</v>
      </c>
      <c r="B643">
        <v>170</v>
      </c>
      <c r="C643" s="2">
        <v>45046</v>
      </c>
      <c r="D643">
        <v>887</v>
      </c>
      <c r="F643" s="1" t="s">
        <v>567</v>
      </c>
      <c r="H643" t="s">
        <v>306</v>
      </c>
      <c r="I643">
        <v>156</v>
      </c>
      <c r="J643" s="2">
        <v>45169</v>
      </c>
      <c r="K643">
        <v>2690.5</v>
      </c>
      <c r="M643" s="1" t="s">
        <v>567</v>
      </c>
    </row>
    <row r="644" spans="1:13">
      <c r="A644" t="s">
        <v>249</v>
      </c>
      <c r="B644">
        <v>170</v>
      </c>
      <c r="C644" s="2">
        <v>45077</v>
      </c>
      <c r="D644">
        <v>918</v>
      </c>
      <c r="F644" s="1" t="s">
        <v>567</v>
      </c>
      <c r="H644" t="s">
        <v>306</v>
      </c>
      <c r="I644">
        <v>156</v>
      </c>
      <c r="J644" s="2">
        <v>45199</v>
      </c>
      <c r="K644">
        <v>1940.5</v>
      </c>
      <c r="M644" s="1" t="s">
        <v>567</v>
      </c>
    </row>
    <row r="645" spans="1:13">
      <c r="A645" t="s">
        <v>249</v>
      </c>
      <c r="B645">
        <v>170</v>
      </c>
      <c r="C645" s="2">
        <v>45107</v>
      </c>
      <c r="D645">
        <v>950</v>
      </c>
      <c r="F645" s="1" t="s">
        <v>567</v>
      </c>
      <c r="H645" t="s">
        <v>306</v>
      </c>
      <c r="I645">
        <v>156</v>
      </c>
      <c r="J645" s="2">
        <v>45230</v>
      </c>
      <c r="K645">
        <v>1624.5</v>
      </c>
      <c r="M645" s="1" t="s">
        <v>567</v>
      </c>
    </row>
    <row r="646" spans="1:13">
      <c r="A646" t="s">
        <v>249</v>
      </c>
      <c r="B646">
        <v>170</v>
      </c>
      <c r="C646" s="2">
        <v>45138</v>
      </c>
      <c r="D646">
        <v>983</v>
      </c>
      <c r="F646" s="1" t="s">
        <v>567</v>
      </c>
      <c r="H646" t="s">
        <v>306</v>
      </c>
      <c r="I646">
        <v>156</v>
      </c>
      <c r="J646" s="2">
        <v>45260</v>
      </c>
      <c r="K646">
        <v>1624.5</v>
      </c>
      <c r="M646" s="1" t="s">
        <v>567</v>
      </c>
    </row>
    <row r="647" spans="1:13">
      <c r="A647" t="s">
        <v>249</v>
      </c>
      <c r="B647">
        <v>170</v>
      </c>
      <c r="C647" s="2">
        <v>45169</v>
      </c>
      <c r="D647">
        <v>1018</v>
      </c>
      <c r="F647" s="1" t="s">
        <v>567</v>
      </c>
      <c r="H647" t="s">
        <v>306</v>
      </c>
      <c r="I647">
        <v>156</v>
      </c>
      <c r="J647" s="2">
        <v>45291</v>
      </c>
      <c r="K647">
        <v>1624.5</v>
      </c>
      <c r="M647" s="1" t="s">
        <v>567</v>
      </c>
    </row>
    <row r="648" spans="1:13">
      <c r="A648" t="s">
        <v>249</v>
      </c>
      <c r="B648">
        <v>170</v>
      </c>
      <c r="C648" s="2">
        <v>45199</v>
      </c>
      <c r="D648">
        <v>1053</v>
      </c>
      <c r="F648" s="1" t="s">
        <v>567</v>
      </c>
      <c r="H648" t="s">
        <v>306</v>
      </c>
      <c r="I648">
        <v>156</v>
      </c>
      <c r="J648" s="2">
        <v>45322</v>
      </c>
      <c r="K648">
        <v>1624.5</v>
      </c>
      <c r="M648" s="1" t="s">
        <v>567</v>
      </c>
    </row>
    <row r="649" spans="1:13">
      <c r="A649" t="s">
        <v>249</v>
      </c>
      <c r="B649">
        <v>170</v>
      </c>
      <c r="C649" s="2">
        <v>45230</v>
      </c>
      <c r="D649">
        <v>1090</v>
      </c>
      <c r="F649" s="1" t="s">
        <v>567</v>
      </c>
      <c r="H649" t="s">
        <v>306</v>
      </c>
      <c r="I649">
        <v>156</v>
      </c>
      <c r="J649" s="2">
        <v>45351</v>
      </c>
      <c r="K649">
        <v>1624.5</v>
      </c>
      <c r="M649" s="1" t="s">
        <v>567</v>
      </c>
    </row>
    <row r="650" spans="1:13">
      <c r="A650" t="s">
        <v>249</v>
      </c>
      <c r="B650">
        <v>170</v>
      </c>
      <c r="C650" s="2">
        <v>45260</v>
      </c>
      <c r="D650">
        <v>1790.5</v>
      </c>
      <c r="F650" s="1" t="s">
        <v>567</v>
      </c>
      <c r="H650" t="s">
        <v>306</v>
      </c>
      <c r="I650">
        <v>156</v>
      </c>
      <c r="J650" s="2">
        <v>45382</v>
      </c>
      <c r="K650">
        <v>1624.5</v>
      </c>
      <c r="M650" s="1" t="s">
        <v>567</v>
      </c>
    </row>
    <row r="651" spans="1:13">
      <c r="A651" t="s">
        <v>249</v>
      </c>
      <c r="B651">
        <v>170</v>
      </c>
      <c r="C651" s="2">
        <v>45291</v>
      </c>
      <c r="D651">
        <v>2123.5</v>
      </c>
      <c r="F651" s="1" t="s">
        <v>567</v>
      </c>
      <c r="H651" t="s">
        <v>306</v>
      </c>
      <c r="I651">
        <v>156</v>
      </c>
      <c r="J651" s="2">
        <v>45412</v>
      </c>
      <c r="K651">
        <v>1624.5</v>
      </c>
      <c r="M651" s="1" t="s">
        <v>567</v>
      </c>
    </row>
    <row r="652" spans="1:13">
      <c r="A652" t="s">
        <v>249</v>
      </c>
      <c r="B652">
        <v>170</v>
      </c>
      <c r="C652" s="2">
        <v>45322</v>
      </c>
      <c r="D652">
        <v>1880</v>
      </c>
      <c r="F652" s="1" t="s">
        <v>567</v>
      </c>
      <c r="H652" t="s">
        <v>306</v>
      </c>
      <c r="I652">
        <v>156</v>
      </c>
      <c r="J652" s="2">
        <v>45443</v>
      </c>
      <c r="K652">
        <v>1624.5</v>
      </c>
      <c r="M652" s="1" t="s">
        <v>567</v>
      </c>
    </row>
    <row r="653" spans="1:13">
      <c r="A653" t="s">
        <v>249</v>
      </c>
      <c r="B653">
        <v>170</v>
      </c>
      <c r="C653" s="2">
        <v>45351</v>
      </c>
      <c r="D653">
        <v>2230</v>
      </c>
      <c r="F653" s="1" t="s">
        <v>567</v>
      </c>
      <c r="H653" t="s">
        <v>306</v>
      </c>
      <c r="I653">
        <v>156</v>
      </c>
      <c r="J653" s="2">
        <v>45473</v>
      </c>
      <c r="K653">
        <v>1624.5</v>
      </c>
      <c r="M653" s="1" t="s">
        <v>567</v>
      </c>
    </row>
    <row r="654" spans="1:13">
      <c r="A654" t="s">
        <v>249</v>
      </c>
      <c r="B654">
        <v>170</v>
      </c>
      <c r="C654" s="2">
        <v>45382</v>
      </c>
      <c r="D654">
        <v>1974</v>
      </c>
      <c r="F654" s="1" t="s">
        <v>567</v>
      </c>
      <c r="H654" t="s">
        <v>306</v>
      </c>
      <c r="I654">
        <v>156</v>
      </c>
      <c r="J654" s="2">
        <v>45504</v>
      </c>
      <c r="K654">
        <v>1624.5</v>
      </c>
      <c r="M654" s="1" t="s">
        <v>567</v>
      </c>
    </row>
    <row r="655" spans="1:13">
      <c r="A655" t="s">
        <v>249</v>
      </c>
      <c r="B655">
        <v>170</v>
      </c>
      <c r="C655" s="2">
        <v>45412</v>
      </c>
      <c r="D655">
        <v>2341</v>
      </c>
      <c r="F655" s="1" t="s">
        <v>567</v>
      </c>
      <c r="H655" t="s">
        <v>306</v>
      </c>
      <c r="I655">
        <v>156</v>
      </c>
      <c r="J655" s="2">
        <v>45535</v>
      </c>
      <c r="K655">
        <v>1624.5</v>
      </c>
      <c r="M655" s="1" t="s">
        <v>567</v>
      </c>
    </row>
    <row r="656" spans="1:13">
      <c r="A656" t="s">
        <v>249</v>
      </c>
      <c r="B656">
        <v>170</v>
      </c>
      <c r="C656" s="2">
        <v>45443</v>
      </c>
      <c r="D656">
        <v>2073</v>
      </c>
      <c r="F656" s="1" t="s">
        <v>567</v>
      </c>
      <c r="H656" t="s">
        <v>306</v>
      </c>
      <c r="I656">
        <v>156</v>
      </c>
      <c r="J656" s="2">
        <v>45565</v>
      </c>
      <c r="K656">
        <v>1624.5</v>
      </c>
      <c r="M656" s="1" t="s">
        <v>567</v>
      </c>
    </row>
    <row r="657" spans="1:13">
      <c r="A657" t="s">
        <v>249</v>
      </c>
      <c r="B657">
        <v>170</v>
      </c>
      <c r="C657" s="2">
        <v>45473</v>
      </c>
      <c r="D657">
        <v>2458</v>
      </c>
      <c r="F657" s="1" t="s">
        <v>567</v>
      </c>
      <c r="H657" t="s">
        <v>306</v>
      </c>
      <c r="I657">
        <v>156</v>
      </c>
      <c r="J657" s="2">
        <v>45596</v>
      </c>
      <c r="K657">
        <v>1624.5</v>
      </c>
      <c r="M657" s="1" t="s">
        <v>567</v>
      </c>
    </row>
    <row r="658" spans="1:13">
      <c r="A658" t="s">
        <v>249</v>
      </c>
      <c r="B658">
        <v>170</v>
      </c>
      <c r="C658" s="2">
        <v>45504</v>
      </c>
      <c r="D658">
        <v>2581</v>
      </c>
      <c r="F658" s="1" t="s">
        <v>567</v>
      </c>
      <c r="H658" t="s">
        <v>306</v>
      </c>
      <c r="I658">
        <v>156</v>
      </c>
      <c r="J658" s="2">
        <v>45626</v>
      </c>
      <c r="K658">
        <v>1624.5</v>
      </c>
      <c r="M658" s="1" t="s">
        <v>567</v>
      </c>
    </row>
    <row r="659" spans="1:13">
      <c r="A659" t="s">
        <v>249</v>
      </c>
      <c r="B659">
        <v>170</v>
      </c>
      <c r="C659" s="2">
        <v>45535</v>
      </c>
      <c r="D659">
        <v>2581</v>
      </c>
      <c r="F659" s="1" t="s">
        <v>567</v>
      </c>
      <c r="H659" t="s">
        <v>306</v>
      </c>
      <c r="I659">
        <v>156</v>
      </c>
      <c r="J659" s="2">
        <v>45657</v>
      </c>
      <c r="K659">
        <v>1624.5</v>
      </c>
      <c r="M659" s="1" t="s">
        <v>567</v>
      </c>
    </row>
    <row r="660" spans="1:13">
      <c r="A660" t="s">
        <v>249</v>
      </c>
      <c r="B660">
        <v>170</v>
      </c>
      <c r="C660" s="2">
        <v>45565</v>
      </c>
      <c r="D660">
        <v>2710</v>
      </c>
      <c r="F660" s="1" t="s">
        <v>567</v>
      </c>
      <c r="H660" t="s">
        <v>306</v>
      </c>
      <c r="I660">
        <v>156</v>
      </c>
      <c r="J660" s="2">
        <v>45688</v>
      </c>
      <c r="K660">
        <v>1624.5</v>
      </c>
      <c r="M660" s="1" t="s">
        <v>567</v>
      </c>
    </row>
    <row r="661" spans="1:13">
      <c r="A661" t="s">
        <v>249</v>
      </c>
      <c r="B661">
        <v>170</v>
      </c>
      <c r="C661" s="2">
        <v>45596</v>
      </c>
      <c r="D661">
        <v>2710</v>
      </c>
      <c r="F661" s="1" t="s">
        <v>567</v>
      </c>
      <c r="H661" t="s">
        <v>306</v>
      </c>
      <c r="I661">
        <v>156</v>
      </c>
      <c r="J661" s="2">
        <v>45716</v>
      </c>
      <c r="K661">
        <v>1624.5</v>
      </c>
      <c r="M661" s="1" t="s">
        <v>567</v>
      </c>
    </row>
    <row r="662" spans="1:13">
      <c r="A662" t="s">
        <v>249</v>
      </c>
      <c r="B662">
        <v>170</v>
      </c>
      <c r="C662" s="2">
        <v>45626</v>
      </c>
      <c r="D662">
        <v>2846</v>
      </c>
      <c r="F662" s="1" t="s">
        <v>567</v>
      </c>
      <c r="H662" t="s">
        <v>306</v>
      </c>
      <c r="I662">
        <v>156</v>
      </c>
      <c r="J662" s="2">
        <v>45747</v>
      </c>
      <c r="K662">
        <v>1624.5</v>
      </c>
      <c r="M662" s="1" t="s">
        <v>567</v>
      </c>
    </row>
    <row r="663" spans="1:13">
      <c r="A663" t="s">
        <v>249</v>
      </c>
      <c r="B663">
        <v>170</v>
      </c>
      <c r="C663" s="2">
        <v>45657</v>
      </c>
      <c r="D663">
        <v>2988</v>
      </c>
      <c r="F663" s="1" t="s">
        <v>567</v>
      </c>
      <c r="H663" t="s">
        <v>306</v>
      </c>
      <c r="I663">
        <v>156</v>
      </c>
      <c r="J663" s="2">
        <v>45777</v>
      </c>
      <c r="K663">
        <v>1624.5</v>
      </c>
      <c r="M663" s="1" t="s">
        <v>567</v>
      </c>
    </row>
    <row r="664" spans="1:13">
      <c r="A664" t="s">
        <v>249</v>
      </c>
      <c r="B664">
        <v>170</v>
      </c>
      <c r="C664" s="2">
        <v>45688</v>
      </c>
      <c r="D664">
        <v>3137.43</v>
      </c>
      <c r="F664" s="1" t="s">
        <v>567</v>
      </c>
      <c r="H664" t="s">
        <v>306</v>
      </c>
      <c r="I664">
        <v>156</v>
      </c>
      <c r="J664" s="2">
        <v>45808</v>
      </c>
      <c r="K664">
        <v>1624.5</v>
      </c>
      <c r="M664" s="1" t="s">
        <v>567</v>
      </c>
    </row>
    <row r="665" spans="1:13">
      <c r="A665" t="s">
        <v>249</v>
      </c>
      <c r="B665">
        <v>170</v>
      </c>
      <c r="C665" s="2">
        <v>45716</v>
      </c>
      <c r="D665">
        <v>3294</v>
      </c>
      <c r="F665" s="1" t="s">
        <v>567</v>
      </c>
      <c r="H665" t="s">
        <v>306</v>
      </c>
      <c r="I665">
        <v>156</v>
      </c>
      <c r="J665" s="2">
        <v>45838</v>
      </c>
      <c r="K665">
        <v>1624.5</v>
      </c>
      <c r="M665" s="1" t="s">
        <v>567</v>
      </c>
    </row>
    <row r="666" spans="1:13">
      <c r="A666" t="s">
        <v>249</v>
      </c>
      <c r="B666">
        <v>170</v>
      </c>
      <c r="C666" s="2">
        <v>45747</v>
      </c>
      <c r="D666">
        <v>3459</v>
      </c>
      <c r="F666" s="1" t="s">
        <v>567</v>
      </c>
      <c r="H666" t="s">
        <v>306</v>
      </c>
      <c r="I666">
        <v>156</v>
      </c>
      <c r="J666" s="2">
        <v>45869</v>
      </c>
      <c r="K666">
        <v>1624.5</v>
      </c>
      <c r="M666" s="1" t="s">
        <v>567</v>
      </c>
    </row>
    <row r="667" spans="1:13">
      <c r="A667" t="s">
        <v>249</v>
      </c>
      <c r="B667">
        <v>170</v>
      </c>
      <c r="C667" s="2">
        <v>45777</v>
      </c>
      <c r="D667">
        <v>3632</v>
      </c>
      <c r="F667" s="1" t="s">
        <v>567</v>
      </c>
      <c r="H667" t="s">
        <v>306</v>
      </c>
      <c r="I667">
        <v>156</v>
      </c>
      <c r="J667" s="2">
        <v>45900</v>
      </c>
      <c r="K667">
        <v>1624.5</v>
      </c>
      <c r="M667" s="1" t="s">
        <v>567</v>
      </c>
    </row>
    <row r="668" spans="1:13">
      <c r="A668" t="s">
        <v>249</v>
      </c>
      <c r="B668">
        <v>170</v>
      </c>
      <c r="C668" s="2">
        <v>45808</v>
      </c>
      <c r="D668">
        <v>3814</v>
      </c>
      <c r="F668" s="1" t="s">
        <v>567</v>
      </c>
      <c r="H668" t="s">
        <v>306</v>
      </c>
      <c r="I668">
        <v>156</v>
      </c>
      <c r="J668" s="2">
        <v>45930</v>
      </c>
      <c r="K668">
        <v>1624.5</v>
      </c>
      <c r="M668" s="1" t="s">
        <v>567</v>
      </c>
    </row>
    <row r="669" spans="1:13">
      <c r="A669" t="s">
        <v>249</v>
      </c>
      <c r="B669">
        <v>170</v>
      </c>
      <c r="C669" s="2">
        <v>45838</v>
      </c>
      <c r="D669">
        <v>4004.25</v>
      </c>
      <c r="F669" s="1" t="s">
        <v>567</v>
      </c>
      <c r="H669" t="s">
        <v>306</v>
      </c>
      <c r="I669">
        <v>156</v>
      </c>
      <c r="J669" s="2">
        <v>45961</v>
      </c>
      <c r="K669">
        <v>1624.5</v>
      </c>
      <c r="M669" s="1" t="s">
        <v>567</v>
      </c>
    </row>
    <row r="670" spans="1:13">
      <c r="A670" t="s">
        <v>249</v>
      </c>
      <c r="B670">
        <v>170</v>
      </c>
      <c r="C670" s="2">
        <v>45869</v>
      </c>
      <c r="D670">
        <v>4204.46</v>
      </c>
      <c r="F670" s="1" t="s">
        <v>567</v>
      </c>
      <c r="H670" t="s">
        <v>306</v>
      </c>
      <c r="I670">
        <v>156</v>
      </c>
      <c r="J670" s="2">
        <v>45991</v>
      </c>
      <c r="K670">
        <v>1624.5</v>
      </c>
      <c r="M670" s="1" t="s">
        <v>567</v>
      </c>
    </row>
    <row r="671" spans="1:13">
      <c r="A671" t="s">
        <v>249</v>
      </c>
      <c r="B671">
        <v>170</v>
      </c>
      <c r="C671" s="2">
        <v>45900</v>
      </c>
      <c r="D671">
        <v>4414.68</v>
      </c>
      <c r="F671" s="1" t="s">
        <v>567</v>
      </c>
      <c r="H671" t="s">
        <v>307</v>
      </c>
      <c r="I671">
        <v>157</v>
      </c>
      <c r="J671" s="2">
        <v>44957</v>
      </c>
      <c r="K671">
        <v>2150</v>
      </c>
      <c r="M671" s="1" t="s">
        <v>567</v>
      </c>
    </row>
    <row r="672" spans="1:13">
      <c r="A672" t="s">
        <v>249</v>
      </c>
      <c r="B672">
        <v>170</v>
      </c>
      <c r="C672" s="2">
        <v>45930</v>
      </c>
      <c r="D672">
        <v>4635.41</v>
      </c>
      <c r="F672" s="1" t="s">
        <v>567</v>
      </c>
      <c r="H672" t="s">
        <v>307</v>
      </c>
      <c r="I672">
        <v>157</v>
      </c>
      <c r="J672" s="2">
        <v>44985</v>
      </c>
      <c r="K672">
        <v>3394</v>
      </c>
      <c r="M672" s="1" t="s">
        <v>567</v>
      </c>
    </row>
    <row r="673" spans="1:13">
      <c r="A673" t="s">
        <v>249</v>
      </c>
      <c r="B673">
        <v>170</v>
      </c>
      <c r="C673" s="2">
        <v>45961</v>
      </c>
      <c r="D673">
        <v>4867.18</v>
      </c>
      <c r="F673" s="1" t="s">
        <v>567</v>
      </c>
      <c r="H673" t="s">
        <v>307</v>
      </c>
      <c r="I673">
        <v>157</v>
      </c>
      <c r="J673" s="2">
        <v>45016</v>
      </c>
      <c r="K673">
        <v>676</v>
      </c>
      <c r="M673" s="1" t="s">
        <v>567</v>
      </c>
    </row>
    <row r="674" spans="1:13">
      <c r="A674" t="s">
        <v>249</v>
      </c>
      <c r="B674">
        <v>170</v>
      </c>
      <c r="C674" s="2">
        <v>45991</v>
      </c>
      <c r="D674">
        <v>5460.54</v>
      </c>
      <c r="F674" s="1" t="s">
        <v>567</v>
      </c>
      <c r="H674" t="s">
        <v>307</v>
      </c>
      <c r="I674">
        <v>157</v>
      </c>
      <c r="J674" s="2">
        <v>45046</v>
      </c>
      <c r="K674">
        <v>2390</v>
      </c>
      <c r="M674" s="1" t="s">
        <v>567</v>
      </c>
    </row>
    <row r="675" spans="1:13">
      <c r="A675" t="s">
        <v>250</v>
      </c>
      <c r="B675">
        <v>171</v>
      </c>
      <c r="C675" s="2">
        <v>44957</v>
      </c>
      <c r="D675">
        <v>3500</v>
      </c>
      <c r="F675" s="1" t="s">
        <v>567</v>
      </c>
      <c r="H675" t="s">
        <v>307</v>
      </c>
      <c r="I675">
        <v>157</v>
      </c>
      <c r="J675" s="2">
        <v>45077</v>
      </c>
      <c r="K675">
        <v>1981</v>
      </c>
      <c r="M675" s="1" t="s">
        <v>567</v>
      </c>
    </row>
    <row r="676" spans="1:13">
      <c r="A676" t="s">
        <v>250</v>
      </c>
      <c r="B676">
        <v>171</v>
      </c>
      <c r="C676" s="2">
        <v>44985</v>
      </c>
      <c r="D676">
        <v>3623</v>
      </c>
      <c r="F676" s="1" t="s">
        <v>567</v>
      </c>
      <c r="H676" t="s">
        <v>307</v>
      </c>
      <c r="I676">
        <v>157</v>
      </c>
      <c r="J676" s="2">
        <v>45107</v>
      </c>
      <c r="K676">
        <v>1486.5</v>
      </c>
      <c r="M676" s="1" t="s">
        <v>567</v>
      </c>
    </row>
    <row r="677" spans="1:13">
      <c r="A677" t="s">
        <v>250</v>
      </c>
      <c r="B677">
        <v>171</v>
      </c>
      <c r="C677" s="2">
        <v>45016</v>
      </c>
      <c r="D677">
        <v>3749</v>
      </c>
      <c r="F677" s="1" t="s">
        <v>567</v>
      </c>
      <c r="H677" t="s">
        <v>307</v>
      </c>
      <c r="I677">
        <v>157</v>
      </c>
      <c r="J677" s="2">
        <v>45138</v>
      </c>
      <c r="K677">
        <v>433.5</v>
      </c>
      <c r="M677" s="1" t="s">
        <v>567</v>
      </c>
    </row>
    <row r="678" spans="1:13">
      <c r="A678" t="s">
        <v>250</v>
      </c>
      <c r="B678">
        <v>171</v>
      </c>
      <c r="C678" s="2">
        <v>45046</v>
      </c>
      <c r="D678">
        <v>3881</v>
      </c>
      <c r="F678" s="1" t="s">
        <v>567</v>
      </c>
      <c r="H678" t="s">
        <v>307</v>
      </c>
      <c r="I678">
        <v>157</v>
      </c>
      <c r="J678" s="2">
        <v>45169</v>
      </c>
      <c r="K678">
        <v>2928.5</v>
      </c>
      <c r="M678" s="1" t="s">
        <v>567</v>
      </c>
    </row>
    <row r="679" spans="1:13">
      <c r="A679" t="s">
        <v>250</v>
      </c>
      <c r="B679">
        <v>171</v>
      </c>
      <c r="C679" s="2">
        <v>45077</v>
      </c>
      <c r="D679">
        <v>4016</v>
      </c>
      <c r="F679" s="1" t="s">
        <v>567</v>
      </c>
      <c r="H679" t="s">
        <v>307</v>
      </c>
      <c r="I679">
        <v>157</v>
      </c>
      <c r="J679" s="2">
        <v>45199</v>
      </c>
      <c r="K679">
        <v>3274.5</v>
      </c>
      <c r="M679" s="1" t="s">
        <v>567</v>
      </c>
    </row>
    <row r="680" spans="1:13">
      <c r="A680" t="s">
        <v>250</v>
      </c>
      <c r="B680">
        <v>171</v>
      </c>
      <c r="C680" s="2">
        <v>45107</v>
      </c>
      <c r="D680">
        <v>4157</v>
      </c>
      <c r="F680" s="1" t="s">
        <v>567</v>
      </c>
      <c r="H680" t="s">
        <v>307</v>
      </c>
      <c r="I680">
        <v>157</v>
      </c>
      <c r="J680" s="2">
        <v>45230</v>
      </c>
      <c r="K680">
        <v>1353.5</v>
      </c>
      <c r="M680" s="1" t="s">
        <v>567</v>
      </c>
    </row>
    <row r="681" spans="1:13">
      <c r="A681" t="s">
        <v>250</v>
      </c>
      <c r="B681">
        <v>171</v>
      </c>
      <c r="C681" s="2">
        <v>45138</v>
      </c>
      <c r="D681">
        <v>4302</v>
      </c>
      <c r="F681" s="1" t="s">
        <v>567</v>
      </c>
      <c r="H681" t="s">
        <v>307</v>
      </c>
      <c r="I681">
        <v>157</v>
      </c>
      <c r="J681" s="2">
        <v>45260</v>
      </c>
      <c r="K681">
        <v>1353.5</v>
      </c>
      <c r="M681" s="1" t="s">
        <v>567</v>
      </c>
    </row>
    <row r="682" spans="1:13">
      <c r="A682" t="s">
        <v>250</v>
      </c>
      <c r="B682">
        <v>171</v>
      </c>
      <c r="C682" s="2">
        <v>45169</v>
      </c>
      <c r="D682">
        <v>4453</v>
      </c>
      <c r="F682" s="1" t="s">
        <v>567</v>
      </c>
      <c r="H682" t="s">
        <v>307</v>
      </c>
      <c r="I682">
        <v>157</v>
      </c>
      <c r="J682" s="2">
        <v>45291</v>
      </c>
      <c r="K682">
        <v>1353.5</v>
      </c>
      <c r="M682" s="1" t="s">
        <v>567</v>
      </c>
    </row>
    <row r="683" spans="1:13">
      <c r="A683" t="s">
        <v>250</v>
      </c>
      <c r="B683">
        <v>171</v>
      </c>
      <c r="C683" s="2">
        <v>45199</v>
      </c>
      <c r="D683">
        <v>4609</v>
      </c>
      <c r="F683" s="1" t="s">
        <v>567</v>
      </c>
      <c r="H683" t="s">
        <v>307</v>
      </c>
      <c r="I683">
        <v>157</v>
      </c>
      <c r="J683" s="2">
        <v>45322</v>
      </c>
      <c r="K683">
        <v>1353.5</v>
      </c>
      <c r="M683" s="1" t="s">
        <v>567</v>
      </c>
    </row>
    <row r="684" spans="1:13">
      <c r="A684" t="s">
        <v>250</v>
      </c>
      <c r="B684">
        <v>171</v>
      </c>
      <c r="C684" s="2">
        <v>45230</v>
      </c>
      <c r="D684">
        <v>4770</v>
      </c>
      <c r="F684" s="1" t="s">
        <v>567</v>
      </c>
      <c r="H684" t="s">
        <v>307</v>
      </c>
      <c r="I684">
        <v>157</v>
      </c>
      <c r="J684" s="2">
        <v>45351</v>
      </c>
      <c r="K684">
        <v>1353.5</v>
      </c>
      <c r="M684" s="1" t="s">
        <v>567</v>
      </c>
    </row>
    <row r="685" spans="1:13">
      <c r="A685" t="s">
        <v>250</v>
      </c>
      <c r="B685">
        <v>171</v>
      </c>
      <c r="C685" s="2">
        <v>45260</v>
      </c>
      <c r="D685">
        <v>8625</v>
      </c>
      <c r="F685" s="1" t="s">
        <v>567</v>
      </c>
      <c r="H685" t="s">
        <v>307</v>
      </c>
      <c r="I685">
        <v>157</v>
      </c>
      <c r="J685" s="2">
        <v>45382</v>
      </c>
      <c r="K685">
        <v>1353.5</v>
      </c>
      <c r="M685" s="1" t="s">
        <v>567</v>
      </c>
    </row>
    <row r="686" spans="1:13">
      <c r="A686" t="s">
        <v>250</v>
      </c>
      <c r="B686">
        <v>171</v>
      </c>
      <c r="C686" s="2">
        <v>45291</v>
      </c>
      <c r="D686">
        <v>10367</v>
      </c>
      <c r="F686" s="1" t="s">
        <v>567</v>
      </c>
      <c r="H686" t="s">
        <v>307</v>
      </c>
      <c r="I686">
        <v>157</v>
      </c>
      <c r="J686" s="2">
        <v>45412</v>
      </c>
      <c r="K686">
        <v>1353.5</v>
      </c>
      <c r="M686" s="1" t="s">
        <v>567</v>
      </c>
    </row>
    <row r="687" spans="1:13">
      <c r="A687" t="s">
        <v>250</v>
      </c>
      <c r="B687">
        <v>171</v>
      </c>
      <c r="C687" s="2">
        <v>45322</v>
      </c>
      <c r="D687">
        <v>9056</v>
      </c>
      <c r="F687" s="1" t="s">
        <v>567</v>
      </c>
      <c r="H687" t="s">
        <v>307</v>
      </c>
      <c r="I687">
        <v>157</v>
      </c>
      <c r="J687" s="2">
        <v>45443</v>
      </c>
      <c r="K687">
        <v>1353.5</v>
      </c>
      <c r="M687" s="1" t="s">
        <v>567</v>
      </c>
    </row>
    <row r="688" spans="1:13">
      <c r="A688" t="s">
        <v>250</v>
      </c>
      <c r="B688">
        <v>171</v>
      </c>
      <c r="C688" s="2">
        <v>45351</v>
      </c>
      <c r="D688">
        <v>10886</v>
      </c>
      <c r="F688" s="1" t="s">
        <v>567</v>
      </c>
      <c r="H688" t="s">
        <v>307</v>
      </c>
      <c r="I688">
        <v>157</v>
      </c>
      <c r="J688" s="2">
        <v>45473</v>
      </c>
      <c r="K688">
        <v>1353.5</v>
      </c>
      <c r="M688" s="1" t="s">
        <v>567</v>
      </c>
    </row>
    <row r="689" spans="1:13">
      <c r="A689" t="s">
        <v>250</v>
      </c>
      <c r="B689">
        <v>171</v>
      </c>
      <c r="C689" s="2">
        <v>45382</v>
      </c>
      <c r="D689">
        <v>9509</v>
      </c>
      <c r="F689" s="1" t="s">
        <v>567</v>
      </c>
      <c r="H689" t="s">
        <v>307</v>
      </c>
      <c r="I689">
        <v>157</v>
      </c>
      <c r="J689" s="2">
        <v>45504</v>
      </c>
      <c r="K689">
        <v>1353.5</v>
      </c>
      <c r="M689" s="1" t="s">
        <v>567</v>
      </c>
    </row>
    <row r="690" spans="1:13">
      <c r="A690" t="s">
        <v>250</v>
      </c>
      <c r="B690">
        <v>171</v>
      </c>
      <c r="C690" s="2">
        <v>45412</v>
      </c>
      <c r="D690">
        <v>11430</v>
      </c>
      <c r="F690" s="1" t="s">
        <v>567</v>
      </c>
      <c r="H690" t="s">
        <v>307</v>
      </c>
      <c r="I690">
        <v>157</v>
      </c>
      <c r="J690" s="2">
        <v>45535</v>
      </c>
      <c r="K690">
        <v>1353.5</v>
      </c>
      <c r="M690" s="1" t="s">
        <v>567</v>
      </c>
    </row>
    <row r="691" spans="1:13">
      <c r="A691" t="s">
        <v>250</v>
      </c>
      <c r="B691">
        <v>171</v>
      </c>
      <c r="C691" s="2">
        <v>45443</v>
      </c>
      <c r="D691">
        <v>9984</v>
      </c>
      <c r="F691" s="1" t="s">
        <v>567</v>
      </c>
      <c r="H691" t="s">
        <v>307</v>
      </c>
      <c r="I691">
        <v>157</v>
      </c>
      <c r="J691" s="2">
        <v>45565</v>
      </c>
      <c r="K691">
        <v>1353.5</v>
      </c>
      <c r="M691" s="1" t="s">
        <v>567</v>
      </c>
    </row>
    <row r="692" spans="1:13">
      <c r="A692" t="s">
        <v>250</v>
      </c>
      <c r="B692">
        <v>171</v>
      </c>
      <c r="C692" s="2">
        <v>45473</v>
      </c>
      <c r="D692">
        <v>12002</v>
      </c>
      <c r="F692" s="1" t="s">
        <v>567</v>
      </c>
      <c r="H692" t="s">
        <v>307</v>
      </c>
      <c r="I692">
        <v>157</v>
      </c>
      <c r="J692" s="2">
        <v>45596</v>
      </c>
      <c r="K692">
        <v>1353.5</v>
      </c>
      <c r="M692" s="1" t="s">
        <v>567</v>
      </c>
    </row>
    <row r="693" spans="1:13">
      <c r="A693" t="s">
        <v>250</v>
      </c>
      <c r="B693">
        <v>171</v>
      </c>
      <c r="C693" s="2">
        <v>45504</v>
      </c>
      <c r="D693">
        <v>12602</v>
      </c>
      <c r="F693" s="1" t="s">
        <v>567</v>
      </c>
      <c r="H693" t="s">
        <v>307</v>
      </c>
      <c r="I693">
        <v>157</v>
      </c>
      <c r="J693" s="2">
        <v>45626</v>
      </c>
      <c r="K693">
        <v>1353.5</v>
      </c>
      <c r="M693" s="1" t="s">
        <v>567</v>
      </c>
    </row>
    <row r="694" spans="1:13">
      <c r="A694" t="s">
        <v>250</v>
      </c>
      <c r="B694">
        <v>171</v>
      </c>
      <c r="C694" s="2">
        <v>45535</v>
      </c>
      <c r="D694">
        <v>12602</v>
      </c>
      <c r="F694" s="1" t="s">
        <v>567</v>
      </c>
      <c r="H694" t="s">
        <v>307</v>
      </c>
      <c r="I694">
        <v>157</v>
      </c>
      <c r="J694" s="2">
        <v>45657</v>
      </c>
      <c r="K694">
        <v>1353.5</v>
      </c>
      <c r="M694" s="1" t="s">
        <v>567</v>
      </c>
    </row>
    <row r="695" spans="1:13">
      <c r="A695" t="s">
        <v>250</v>
      </c>
      <c r="B695">
        <v>171</v>
      </c>
      <c r="C695" s="2">
        <v>45565</v>
      </c>
      <c r="D695">
        <v>13232</v>
      </c>
      <c r="F695" s="1" t="s">
        <v>567</v>
      </c>
      <c r="H695" t="s">
        <v>307</v>
      </c>
      <c r="I695">
        <v>157</v>
      </c>
      <c r="J695" s="2">
        <v>45688</v>
      </c>
      <c r="K695">
        <v>1353.5</v>
      </c>
      <c r="M695" s="1" t="s">
        <v>567</v>
      </c>
    </row>
    <row r="696" spans="1:13">
      <c r="A696" t="s">
        <v>250</v>
      </c>
      <c r="B696">
        <v>171</v>
      </c>
      <c r="C696" s="2">
        <v>45596</v>
      </c>
      <c r="D696">
        <v>13232</v>
      </c>
      <c r="F696" s="1" t="s">
        <v>567</v>
      </c>
      <c r="H696" t="s">
        <v>307</v>
      </c>
      <c r="I696">
        <v>157</v>
      </c>
      <c r="J696" s="2">
        <v>45716</v>
      </c>
      <c r="K696">
        <v>1353.5</v>
      </c>
      <c r="M696" s="1" t="s">
        <v>567</v>
      </c>
    </row>
    <row r="697" spans="1:13">
      <c r="A697" t="s">
        <v>250</v>
      </c>
      <c r="B697">
        <v>171</v>
      </c>
      <c r="C697" s="2">
        <v>45626</v>
      </c>
      <c r="D697">
        <v>13893</v>
      </c>
      <c r="F697" s="1" t="s">
        <v>567</v>
      </c>
      <c r="H697" t="s">
        <v>307</v>
      </c>
      <c r="I697">
        <v>157</v>
      </c>
      <c r="J697" s="2">
        <v>45747</v>
      </c>
      <c r="K697">
        <v>1353.5</v>
      </c>
      <c r="M697" s="1" t="s">
        <v>567</v>
      </c>
    </row>
    <row r="698" spans="1:13">
      <c r="A698" t="s">
        <v>250</v>
      </c>
      <c r="B698">
        <v>171</v>
      </c>
      <c r="C698" s="2">
        <v>45657</v>
      </c>
      <c r="D698">
        <v>14588</v>
      </c>
      <c r="F698" s="1" t="s">
        <v>567</v>
      </c>
      <c r="H698" t="s">
        <v>307</v>
      </c>
      <c r="I698">
        <v>157</v>
      </c>
      <c r="J698" s="2">
        <v>45777</v>
      </c>
      <c r="K698">
        <v>1353.5</v>
      </c>
      <c r="M698" s="1" t="s">
        <v>567</v>
      </c>
    </row>
    <row r="699" spans="1:13">
      <c r="A699" t="s">
        <v>250</v>
      </c>
      <c r="B699">
        <v>171</v>
      </c>
      <c r="C699" s="2">
        <v>45688</v>
      </c>
      <c r="D699">
        <v>15317.51</v>
      </c>
      <c r="F699" s="1" t="s">
        <v>567</v>
      </c>
      <c r="H699" t="s">
        <v>307</v>
      </c>
      <c r="I699">
        <v>157</v>
      </c>
      <c r="J699" s="2">
        <v>45808</v>
      </c>
      <c r="K699">
        <v>1353.5</v>
      </c>
      <c r="M699" s="1" t="s">
        <v>567</v>
      </c>
    </row>
    <row r="700" spans="1:13">
      <c r="A700" t="s">
        <v>250</v>
      </c>
      <c r="B700">
        <v>171</v>
      </c>
      <c r="C700" s="2">
        <v>45716</v>
      </c>
      <c r="D700">
        <v>16083</v>
      </c>
      <c r="F700" s="1" t="s">
        <v>567</v>
      </c>
      <c r="H700" t="s">
        <v>307</v>
      </c>
      <c r="I700">
        <v>157</v>
      </c>
      <c r="J700" s="2">
        <v>45838</v>
      </c>
      <c r="K700">
        <v>1353.5</v>
      </c>
      <c r="M700" s="1" t="s">
        <v>567</v>
      </c>
    </row>
    <row r="701" spans="1:13">
      <c r="A701" t="s">
        <v>250</v>
      </c>
      <c r="B701">
        <v>171</v>
      </c>
      <c r="C701" s="2">
        <v>45747</v>
      </c>
      <c r="D701">
        <v>16888</v>
      </c>
      <c r="F701" s="1" t="s">
        <v>567</v>
      </c>
      <c r="H701" t="s">
        <v>307</v>
      </c>
      <c r="I701">
        <v>157</v>
      </c>
      <c r="J701" s="2">
        <v>45869</v>
      </c>
      <c r="K701">
        <v>1353.5</v>
      </c>
      <c r="M701" s="1" t="s">
        <v>567</v>
      </c>
    </row>
    <row r="702" spans="1:13">
      <c r="A702" t="s">
        <v>250</v>
      </c>
      <c r="B702">
        <v>171</v>
      </c>
      <c r="C702" s="2">
        <v>45777</v>
      </c>
      <c r="D702">
        <v>17732</v>
      </c>
      <c r="F702" s="1" t="s">
        <v>567</v>
      </c>
      <c r="H702" t="s">
        <v>307</v>
      </c>
      <c r="I702">
        <v>157</v>
      </c>
      <c r="J702" s="2">
        <v>45900</v>
      </c>
      <c r="K702">
        <v>1353.5</v>
      </c>
      <c r="M702" s="1" t="s">
        <v>567</v>
      </c>
    </row>
    <row r="703" spans="1:13">
      <c r="A703" t="s">
        <v>250</v>
      </c>
      <c r="B703">
        <v>171</v>
      </c>
      <c r="C703" s="2">
        <v>45808</v>
      </c>
      <c r="D703">
        <v>18619</v>
      </c>
      <c r="F703" s="1" t="s">
        <v>567</v>
      </c>
      <c r="H703" t="s">
        <v>307</v>
      </c>
      <c r="I703">
        <v>157</v>
      </c>
      <c r="J703" s="2">
        <v>45930</v>
      </c>
      <c r="K703">
        <v>1353.5</v>
      </c>
      <c r="M703" s="1" t="s">
        <v>567</v>
      </c>
    </row>
    <row r="704" spans="1:13">
      <c r="A704" t="s">
        <v>250</v>
      </c>
      <c r="B704">
        <v>171</v>
      </c>
      <c r="C704" s="2">
        <v>45838</v>
      </c>
      <c r="D704">
        <v>19549.45</v>
      </c>
      <c r="F704" s="1" t="s">
        <v>567</v>
      </c>
      <c r="H704" t="s">
        <v>307</v>
      </c>
      <c r="I704">
        <v>157</v>
      </c>
      <c r="J704" s="2">
        <v>45961</v>
      </c>
      <c r="K704">
        <v>1353.5</v>
      </c>
      <c r="M704" s="1" t="s">
        <v>567</v>
      </c>
    </row>
    <row r="705" spans="1:13">
      <c r="A705" t="s">
        <v>250</v>
      </c>
      <c r="B705">
        <v>171</v>
      </c>
      <c r="C705" s="2">
        <v>45869</v>
      </c>
      <c r="D705">
        <v>20526.93</v>
      </c>
      <c r="F705" s="1" t="s">
        <v>567</v>
      </c>
      <c r="H705" t="s">
        <v>307</v>
      </c>
      <c r="I705">
        <v>157</v>
      </c>
      <c r="J705" s="2">
        <v>45991</v>
      </c>
      <c r="K705">
        <v>1353.5</v>
      </c>
      <c r="M705" s="1" t="s">
        <v>567</v>
      </c>
    </row>
    <row r="706" spans="1:13">
      <c r="A706" t="s">
        <v>250</v>
      </c>
      <c r="B706">
        <v>171</v>
      </c>
      <c r="C706" s="2">
        <v>45900</v>
      </c>
      <c r="D706">
        <v>21553.27</v>
      </c>
      <c r="F706" s="1" t="s">
        <v>567</v>
      </c>
      <c r="H706" t="s">
        <v>308</v>
      </c>
      <c r="I706">
        <v>158</v>
      </c>
      <c r="J706" s="2">
        <v>44957</v>
      </c>
      <c r="K706">
        <v>15000</v>
      </c>
      <c r="M706" s="1" t="s">
        <v>567</v>
      </c>
    </row>
    <row r="707" spans="1:13">
      <c r="A707" t="s">
        <v>250</v>
      </c>
      <c r="B707">
        <v>171</v>
      </c>
      <c r="C707" s="2">
        <v>45930</v>
      </c>
      <c r="D707">
        <v>22630.94</v>
      </c>
      <c r="F707" s="1" t="s">
        <v>567</v>
      </c>
      <c r="H707" t="s">
        <v>308</v>
      </c>
      <c r="I707">
        <v>158</v>
      </c>
      <c r="J707" s="2">
        <v>44985</v>
      </c>
      <c r="K707">
        <v>15750</v>
      </c>
      <c r="M707" s="1" t="s">
        <v>567</v>
      </c>
    </row>
    <row r="708" spans="1:13">
      <c r="A708" t="s">
        <v>250</v>
      </c>
      <c r="B708">
        <v>171</v>
      </c>
      <c r="C708" s="2">
        <v>45961</v>
      </c>
      <c r="D708">
        <v>23762.48</v>
      </c>
      <c r="F708" s="1" t="s">
        <v>567</v>
      </c>
      <c r="H708" t="s">
        <v>308</v>
      </c>
      <c r="I708">
        <v>158</v>
      </c>
      <c r="J708" s="2">
        <v>45016</v>
      </c>
      <c r="K708">
        <v>16538</v>
      </c>
      <c r="M708" s="1" t="s">
        <v>567</v>
      </c>
    </row>
    <row r="709" spans="1:13">
      <c r="A709" t="s">
        <v>250</v>
      </c>
      <c r="B709">
        <v>171</v>
      </c>
      <c r="C709" s="2">
        <v>45991</v>
      </c>
      <c r="D709">
        <v>24950.61</v>
      </c>
      <c r="F709" s="1" t="s">
        <v>567</v>
      </c>
      <c r="H709" t="s">
        <v>308</v>
      </c>
      <c r="I709">
        <v>158</v>
      </c>
      <c r="J709" s="2">
        <v>45046</v>
      </c>
      <c r="K709">
        <v>17365</v>
      </c>
      <c r="M709" s="1" t="s">
        <v>567</v>
      </c>
    </row>
    <row r="710" spans="1:13">
      <c r="A710" t="s">
        <v>251</v>
      </c>
      <c r="B710">
        <v>203</v>
      </c>
      <c r="C710" s="2">
        <v>44957</v>
      </c>
      <c r="D710">
        <v>350</v>
      </c>
      <c r="F710" s="1" t="s">
        <v>567</v>
      </c>
      <c r="H710" t="s">
        <v>308</v>
      </c>
      <c r="I710">
        <v>158</v>
      </c>
      <c r="J710" s="2">
        <v>45077</v>
      </c>
      <c r="K710">
        <v>18233</v>
      </c>
      <c r="M710" s="1" t="s">
        <v>567</v>
      </c>
    </row>
    <row r="711" spans="1:13">
      <c r="A711" t="s">
        <v>251</v>
      </c>
      <c r="B711">
        <v>203</v>
      </c>
      <c r="C711" s="2">
        <v>44985</v>
      </c>
      <c r="D711">
        <v>362</v>
      </c>
      <c r="F711" s="1" t="s">
        <v>567</v>
      </c>
      <c r="H711" t="s">
        <v>308</v>
      </c>
      <c r="I711">
        <v>158</v>
      </c>
      <c r="J711" s="2">
        <v>45107</v>
      </c>
      <c r="K711">
        <v>19145</v>
      </c>
      <c r="M711" s="1" t="s">
        <v>567</v>
      </c>
    </row>
    <row r="712" spans="1:13">
      <c r="A712" t="s">
        <v>251</v>
      </c>
      <c r="B712">
        <v>203</v>
      </c>
      <c r="C712" s="2">
        <v>45016</v>
      </c>
      <c r="D712">
        <v>375</v>
      </c>
      <c r="F712" s="1" t="s">
        <v>567</v>
      </c>
      <c r="H712" t="s">
        <v>308</v>
      </c>
      <c r="I712">
        <v>158</v>
      </c>
      <c r="J712" s="2">
        <v>45138</v>
      </c>
      <c r="K712">
        <v>20102</v>
      </c>
      <c r="M712" s="1" t="s">
        <v>567</v>
      </c>
    </row>
    <row r="713" spans="1:13">
      <c r="A713" t="s">
        <v>251</v>
      </c>
      <c r="B713">
        <v>203</v>
      </c>
      <c r="C713" s="2">
        <v>45046</v>
      </c>
      <c r="D713">
        <v>388</v>
      </c>
      <c r="F713" s="1" t="s">
        <v>567</v>
      </c>
      <c r="H713" t="s">
        <v>308</v>
      </c>
      <c r="I713">
        <v>158</v>
      </c>
      <c r="J713" s="2">
        <v>45169</v>
      </c>
      <c r="K713">
        <v>21107</v>
      </c>
      <c r="M713" s="1" t="s">
        <v>567</v>
      </c>
    </row>
    <row r="714" spans="1:13">
      <c r="A714" t="s">
        <v>251</v>
      </c>
      <c r="B714">
        <v>203</v>
      </c>
      <c r="C714" s="2">
        <v>45077</v>
      </c>
      <c r="D714">
        <v>402</v>
      </c>
      <c r="F714" s="1" t="s">
        <v>567</v>
      </c>
      <c r="H714" t="s">
        <v>308</v>
      </c>
      <c r="I714">
        <v>158</v>
      </c>
      <c r="J714" s="2">
        <v>45199</v>
      </c>
      <c r="K714">
        <v>22162</v>
      </c>
      <c r="M714" s="1" t="s">
        <v>567</v>
      </c>
    </row>
    <row r="715" spans="1:13">
      <c r="A715" t="s">
        <v>251</v>
      </c>
      <c r="B715">
        <v>203</v>
      </c>
      <c r="C715" s="2">
        <v>45107</v>
      </c>
      <c r="D715">
        <v>416</v>
      </c>
      <c r="F715" s="1" t="s">
        <v>567</v>
      </c>
      <c r="H715" t="s">
        <v>308</v>
      </c>
      <c r="I715">
        <v>158</v>
      </c>
      <c r="J715" s="2">
        <v>45230</v>
      </c>
      <c r="K715">
        <v>23270</v>
      </c>
      <c r="M715" s="1" t="s">
        <v>567</v>
      </c>
    </row>
    <row r="716" spans="1:13">
      <c r="A716" t="s">
        <v>251</v>
      </c>
      <c r="B716">
        <v>203</v>
      </c>
      <c r="C716" s="2">
        <v>45138</v>
      </c>
      <c r="D716">
        <v>430</v>
      </c>
      <c r="F716" s="1" t="s">
        <v>567</v>
      </c>
      <c r="H716" t="s">
        <v>308</v>
      </c>
      <c r="I716">
        <v>158</v>
      </c>
      <c r="J716" s="2">
        <v>45260</v>
      </c>
      <c r="K716">
        <v>23270</v>
      </c>
      <c r="M716" s="1" t="s">
        <v>567</v>
      </c>
    </row>
    <row r="717" spans="1:13">
      <c r="A717" t="s">
        <v>251</v>
      </c>
      <c r="B717">
        <v>203</v>
      </c>
      <c r="C717" s="2">
        <v>45169</v>
      </c>
      <c r="D717">
        <v>445</v>
      </c>
      <c r="F717" s="1" t="s">
        <v>567</v>
      </c>
      <c r="H717" t="s">
        <v>308</v>
      </c>
      <c r="I717">
        <v>158</v>
      </c>
      <c r="J717" s="2">
        <v>45291</v>
      </c>
      <c r="K717">
        <v>23270</v>
      </c>
      <c r="M717" s="1" t="s">
        <v>567</v>
      </c>
    </row>
    <row r="718" spans="1:13">
      <c r="A718" t="s">
        <v>251</v>
      </c>
      <c r="B718">
        <v>203</v>
      </c>
      <c r="C718" s="2">
        <v>45199</v>
      </c>
      <c r="D718">
        <v>460.5</v>
      </c>
      <c r="F718" s="1" t="s">
        <v>567</v>
      </c>
      <c r="H718" t="s">
        <v>308</v>
      </c>
      <c r="I718">
        <v>158</v>
      </c>
      <c r="J718" s="2">
        <v>45322</v>
      </c>
      <c r="K718">
        <v>23270</v>
      </c>
      <c r="M718" s="1" t="s">
        <v>567</v>
      </c>
    </row>
    <row r="719" spans="1:13">
      <c r="A719" t="s">
        <v>251</v>
      </c>
      <c r="B719">
        <v>203</v>
      </c>
      <c r="C719" s="2">
        <v>45230</v>
      </c>
      <c r="D719">
        <v>477</v>
      </c>
      <c r="F719" s="1" t="s">
        <v>567</v>
      </c>
      <c r="H719" t="s">
        <v>308</v>
      </c>
      <c r="I719">
        <v>158</v>
      </c>
      <c r="J719" s="2">
        <v>45351</v>
      </c>
      <c r="K719">
        <v>23270</v>
      </c>
      <c r="M719" s="1" t="s">
        <v>567</v>
      </c>
    </row>
    <row r="720" spans="1:13">
      <c r="A720" t="s">
        <v>251</v>
      </c>
      <c r="B720">
        <v>203</v>
      </c>
      <c r="C720" s="2">
        <v>45260</v>
      </c>
      <c r="D720">
        <v>769</v>
      </c>
      <c r="F720" s="1" t="s">
        <v>567</v>
      </c>
      <c r="H720" t="s">
        <v>308</v>
      </c>
      <c r="I720">
        <v>158</v>
      </c>
      <c r="J720" s="2">
        <v>45382</v>
      </c>
      <c r="K720">
        <v>23270</v>
      </c>
      <c r="M720" s="1" t="s">
        <v>567</v>
      </c>
    </row>
    <row r="721" spans="1:13">
      <c r="A721" t="s">
        <v>251</v>
      </c>
      <c r="B721">
        <v>203</v>
      </c>
      <c r="C721" s="2">
        <v>45291</v>
      </c>
      <c r="D721">
        <v>1364</v>
      </c>
      <c r="F721" s="1" t="s">
        <v>567</v>
      </c>
      <c r="H721" t="s">
        <v>308</v>
      </c>
      <c r="I721">
        <v>158</v>
      </c>
      <c r="J721" s="2">
        <v>45412</v>
      </c>
      <c r="K721">
        <v>23270</v>
      </c>
      <c r="M721" s="1" t="s">
        <v>567</v>
      </c>
    </row>
    <row r="722" spans="1:13">
      <c r="A722" t="s">
        <v>251</v>
      </c>
      <c r="B722">
        <v>203</v>
      </c>
      <c r="C722" s="2">
        <v>45322</v>
      </c>
      <c r="D722">
        <v>808</v>
      </c>
      <c r="F722" s="1" t="s">
        <v>567</v>
      </c>
      <c r="H722" t="s">
        <v>308</v>
      </c>
      <c r="I722">
        <v>158</v>
      </c>
      <c r="J722" s="2">
        <v>45443</v>
      </c>
      <c r="K722">
        <v>23270</v>
      </c>
      <c r="M722" s="1" t="s">
        <v>567</v>
      </c>
    </row>
    <row r="723" spans="1:13">
      <c r="A723" t="s">
        <v>251</v>
      </c>
      <c r="B723">
        <v>203</v>
      </c>
      <c r="C723" s="2">
        <v>45351</v>
      </c>
      <c r="D723">
        <v>1432</v>
      </c>
      <c r="F723" s="1" t="s">
        <v>567</v>
      </c>
      <c r="H723" t="s">
        <v>308</v>
      </c>
      <c r="I723">
        <v>158</v>
      </c>
      <c r="J723" s="2">
        <v>45473</v>
      </c>
      <c r="K723">
        <v>23270</v>
      </c>
      <c r="M723" s="1" t="s">
        <v>567</v>
      </c>
    </row>
    <row r="724" spans="1:13">
      <c r="A724" t="s">
        <v>251</v>
      </c>
      <c r="B724">
        <v>203</v>
      </c>
      <c r="C724" s="2">
        <v>45382</v>
      </c>
      <c r="D724">
        <v>848</v>
      </c>
      <c r="F724" s="1" t="s">
        <v>567</v>
      </c>
      <c r="H724" t="s">
        <v>308</v>
      </c>
      <c r="I724">
        <v>158</v>
      </c>
      <c r="J724" s="2">
        <v>45504</v>
      </c>
      <c r="K724">
        <v>23270</v>
      </c>
      <c r="M724" s="1" t="s">
        <v>567</v>
      </c>
    </row>
    <row r="725" spans="1:13">
      <c r="A725" t="s">
        <v>251</v>
      </c>
      <c r="B725">
        <v>203</v>
      </c>
      <c r="C725" s="2">
        <v>45412</v>
      </c>
      <c r="D725">
        <v>1504</v>
      </c>
      <c r="F725" s="1" t="s">
        <v>567</v>
      </c>
      <c r="H725" t="s">
        <v>308</v>
      </c>
      <c r="I725">
        <v>158</v>
      </c>
      <c r="J725" s="2">
        <v>45535</v>
      </c>
      <c r="K725">
        <v>23270</v>
      </c>
      <c r="M725" s="1" t="s">
        <v>567</v>
      </c>
    </row>
    <row r="726" spans="1:13">
      <c r="A726" t="s">
        <v>251</v>
      </c>
      <c r="B726">
        <v>203</v>
      </c>
      <c r="C726" s="2">
        <v>45443</v>
      </c>
      <c r="D726">
        <v>890</v>
      </c>
      <c r="F726" s="1" t="s">
        <v>567</v>
      </c>
      <c r="H726" t="s">
        <v>308</v>
      </c>
      <c r="I726">
        <v>158</v>
      </c>
      <c r="J726" s="2">
        <v>45565</v>
      </c>
      <c r="K726">
        <v>23270</v>
      </c>
      <c r="M726" s="1" t="s">
        <v>567</v>
      </c>
    </row>
    <row r="727" spans="1:13">
      <c r="A727" t="s">
        <v>251</v>
      </c>
      <c r="B727">
        <v>203</v>
      </c>
      <c r="C727" s="2">
        <v>45473</v>
      </c>
      <c r="D727">
        <v>1579</v>
      </c>
      <c r="F727" s="1" t="s">
        <v>567</v>
      </c>
      <c r="H727" t="s">
        <v>308</v>
      </c>
      <c r="I727">
        <v>158</v>
      </c>
      <c r="J727" s="2">
        <v>45596</v>
      </c>
      <c r="K727">
        <v>23270</v>
      </c>
      <c r="M727" s="1" t="s">
        <v>567</v>
      </c>
    </row>
    <row r="728" spans="1:13">
      <c r="A728" t="s">
        <v>251</v>
      </c>
      <c r="B728">
        <v>203</v>
      </c>
      <c r="C728" s="2">
        <v>45504</v>
      </c>
      <c r="D728">
        <v>1658</v>
      </c>
      <c r="F728" s="1" t="s">
        <v>567</v>
      </c>
      <c r="H728" t="s">
        <v>308</v>
      </c>
      <c r="I728">
        <v>158</v>
      </c>
      <c r="J728" s="2">
        <v>45626</v>
      </c>
      <c r="K728">
        <v>23270</v>
      </c>
      <c r="M728" s="1" t="s">
        <v>567</v>
      </c>
    </row>
    <row r="729" spans="1:13">
      <c r="A729" t="s">
        <v>251</v>
      </c>
      <c r="B729">
        <v>203</v>
      </c>
      <c r="C729" s="2">
        <v>45535</v>
      </c>
      <c r="D729">
        <v>1658</v>
      </c>
      <c r="F729" s="1" t="s">
        <v>567</v>
      </c>
      <c r="H729" t="s">
        <v>308</v>
      </c>
      <c r="I729">
        <v>158</v>
      </c>
      <c r="J729" s="2">
        <v>45657</v>
      </c>
      <c r="K729">
        <v>23270</v>
      </c>
      <c r="M729" s="1" t="s">
        <v>567</v>
      </c>
    </row>
    <row r="730" spans="1:13">
      <c r="A730" t="s">
        <v>251</v>
      </c>
      <c r="B730">
        <v>203</v>
      </c>
      <c r="C730" s="2">
        <v>45565</v>
      </c>
      <c r="D730">
        <v>1741</v>
      </c>
      <c r="F730" s="1" t="s">
        <v>567</v>
      </c>
      <c r="H730" t="s">
        <v>308</v>
      </c>
      <c r="I730">
        <v>158</v>
      </c>
      <c r="J730" s="2">
        <v>45688</v>
      </c>
      <c r="K730">
        <v>23270</v>
      </c>
      <c r="M730" s="1" t="s">
        <v>567</v>
      </c>
    </row>
    <row r="731" spans="1:13">
      <c r="A731" t="s">
        <v>251</v>
      </c>
      <c r="B731">
        <v>203</v>
      </c>
      <c r="C731" s="2">
        <v>45596</v>
      </c>
      <c r="D731">
        <v>1741</v>
      </c>
      <c r="F731" s="1" t="s">
        <v>567</v>
      </c>
      <c r="H731" t="s">
        <v>308</v>
      </c>
      <c r="I731">
        <v>158</v>
      </c>
      <c r="J731" s="2">
        <v>45716</v>
      </c>
      <c r="K731">
        <v>23270</v>
      </c>
      <c r="M731" s="1" t="s">
        <v>567</v>
      </c>
    </row>
    <row r="732" spans="1:13">
      <c r="A732" t="s">
        <v>251</v>
      </c>
      <c r="B732">
        <v>203</v>
      </c>
      <c r="C732" s="2">
        <v>45626</v>
      </c>
      <c r="D732">
        <v>1828</v>
      </c>
      <c r="F732" s="1" t="s">
        <v>567</v>
      </c>
      <c r="H732" t="s">
        <v>308</v>
      </c>
      <c r="I732">
        <v>158</v>
      </c>
      <c r="J732" s="2">
        <v>45747</v>
      </c>
      <c r="K732">
        <v>23270</v>
      </c>
      <c r="M732" s="1" t="s">
        <v>567</v>
      </c>
    </row>
    <row r="733" spans="1:13">
      <c r="A733" t="s">
        <v>251</v>
      </c>
      <c r="B733">
        <v>203</v>
      </c>
      <c r="C733" s="2">
        <v>45657</v>
      </c>
      <c r="D733">
        <v>1920</v>
      </c>
      <c r="F733" s="1" t="s">
        <v>567</v>
      </c>
      <c r="H733" t="s">
        <v>308</v>
      </c>
      <c r="I733">
        <v>158</v>
      </c>
      <c r="J733" s="2">
        <v>45777</v>
      </c>
      <c r="K733">
        <v>23270</v>
      </c>
      <c r="M733" s="1" t="s">
        <v>567</v>
      </c>
    </row>
    <row r="734" spans="1:13">
      <c r="A734" t="s">
        <v>251</v>
      </c>
      <c r="B734">
        <v>203</v>
      </c>
      <c r="C734" s="2">
        <v>45688</v>
      </c>
      <c r="D734">
        <v>2015.65</v>
      </c>
      <c r="F734" s="1" t="s">
        <v>567</v>
      </c>
      <c r="H734" t="s">
        <v>308</v>
      </c>
      <c r="I734">
        <v>158</v>
      </c>
      <c r="J734" s="2">
        <v>45808</v>
      </c>
      <c r="K734">
        <v>23270</v>
      </c>
      <c r="M734" s="1" t="s">
        <v>567</v>
      </c>
    </row>
    <row r="735" spans="1:13">
      <c r="A735" t="s">
        <v>251</v>
      </c>
      <c r="B735">
        <v>203</v>
      </c>
      <c r="C735" s="2">
        <v>45716</v>
      </c>
      <c r="D735">
        <v>2116</v>
      </c>
      <c r="F735" s="1" t="s">
        <v>567</v>
      </c>
      <c r="H735" t="s">
        <v>308</v>
      </c>
      <c r="I735">
        <v>158</v>
      </c>
      <c r="J735" s="2">
        <v>45838</v>
      </c>
      <c r="K735">
        <v>23270</v>
      </c>
      <c r="M735" s="1" t="s">
        <v>567</v>
      </c>
    </row>
    <row r="736" spans="1:13">
      <c r="A736" t="s">
        <v>251</v>
      </c>
      <c r="B736">
        <v>203</v>
      </c>
      <c r="C736" s="2">
        <v>45747</v>
      </c>
      <c r="D736">
        <v>2222</v>
      </c>
      <c r="F736" s="1" t="s">
        <v>567</v>
      </c>
      <c r="H736" t="s">
        <v>308</v>
      </c>
      <c r="I736">
        <v>158</v>
      </c>
      <c r="J736" s="2">
        <v>45869</v>
      </c>
      <c r="K736">
        <v>23270</v>
      </c>
      <c r="M736" s="1" t="s">
        <v>567</v>
      </c>
    </row>
    <row r="737" spans="1:13">
      <c r="A737" t="s">
        <v>251</v>
      </c>
      <c r="B737">
        <v>203</v>
      </c>
      <c r="C737" s="2">
        <v>45777</v>
      </c>
      <c r="D737">
        <v>2333</v>
      </c>
      <c r="F737" s="1" t="s">
        <v>567</v>
      </c>
      <c r="H737" t="s">
        <v>308</v>
      </c>
      <c r="I737">
        <v>158</v>
      </c>
      <c r="J737" s="2">
        <v>45900</v>
      </c>
      <c r="K737">
        <v>23270</v>
      </c>
      <c r="M737" s="1" t="s">
        <v>567</v>
      </c>
    </row>
    <row r="738" spans="1:13">
      <c r="A738" t="s">
        <v>251</v>
      </c>
      <c r="B738">
        <v>203</v>
      </c>
      <c r="C738" s="2">
        <v>45808</v>
      </c>
      <c r="D738">
        <v>2450</v>
      </c>
      <c r="F738" s="1" t="s">
        <v>567</v>
      </c>
      <c r="H738" t="s">
        <v>308</v>
      </c>
      <c r="I738">
        <v>158</v>
      </c>
      <c r="J738" s="2">
        <v>45930</v>
      </c>
      <c r="K738">
        <v>23270</v>
      </c>
      <c r="M738" s="1" t="s">
        <v>567</v>
      </c>
    </row>
    <row r="739" spans="1:13">
      <c r="A739" t="s">
        <v>251</v>
      </c>
      <c r="B739">
        <v>203</v>
      </c>
      <c r="C739" s="2">
        <v>45838</v>
      </c>
      <c r="D739">
        <v>2572.5300000000002</v>
      </c>
      <c r="F739" s="1" t="s">
        <v>567</v>
      </c>
      <c r="H739" t="s">
        <v>308</v>
      </c>
      <c r="I739">
        <v>158</v>
      </c>
      <c r="J739" s="2">
        <v>45961</v>
      </c>
      <c r="K739">
        <v>23270</v>
      </c>
      <c r="M739" s="1" t="s">
        <v>567</v>
      </c>
    </row>
    <row r="740" spans="1:13">
      <c r="A740" t="s">
        <v>251</v>
      </c>
      <c r="B740">
        <v>203</v>
      </c>
      <c r="C740" s="2">
        <v>45869</v>
      </c>
      <c r="D740">
        <v>2701.16</v>
      </c>
      <c r="F740" s="1" t="s">
        <v>567</v>
      </c>
      <c r="H740" t="s">
        <v>308</v>
      </c>
      <c r="I740">
        <v>158</v>
      </c>
      <c r="J740" s="2">
        <v>45991</v>
      </c>
      <c r="K740">
        <v>23270</v>
      </c>
      <c r="M740" s="1" t="s">
        <v>567</v>
      </c>
    </row>
    <row r="741" spans="1:13">
      <c r="A741" t="s">
        <v>251</v>
      </c>
      <c r="B741">
        <v>203</v>
      </c>
      <c r="C741" s="2">
        <v>45900</v>
      </c>
      <c r="D741">
        <v>2836.22</v>
      </c>
      <c r="F741" s="1" t="s">
        <v>567</v>
      </c>
      <c r="H741" t="s">
        <v>309</v>
      </c>
      <c r="I741">
        <v>159</v>
      </c>
      <c r="J741" s="2">
        <v>44957</v>
      </c>
      <c r="K741">
        <v>322</v>
      </c>
      <c r="M741" s="1" t="s">
        <v>567</v>
      </c>
    </row>
    <row r="742" spans="1:13">
      <c r="A742" t="s">
        <v>251</v>
      </c>
      <c r="B742">
        <v>203</v>
      </c>
      <c r="C742" s="2">
        <v>45930</v>
      </c>
      <c r="D742">
        <v>2978.03</v>
      </c>
      <c r="F742" s="1" t="s">
        <v>567</v>
      </c>
      <c r="H742" t="s">
        <v>309</v>
      </c>
      <c r="I742">
        <v>159</v>
      </c>
      <c r="J742" s="2">
        <v>44985</v>
      </c>
      <c r="K742">
        <v>944</v>
      </c>
      <c r="M742" s="1" t="s">
        <v>567</v>
      </c>
    </row>
    <row r="743" spans="1:13">
      <c r="A743" t="s">
        <v>251</v>
      </c>
      <c r="B743">
        <v>203</v>
      </c>
      <c r="C743" s="2">
        <v>45961</v>
      </c>
      <c r="D743">
        <v>3126.93</v>
      </c>
      <c r="F743" s="1" t="s">
        <v>567</v>
      </c>
      <c r="H743" t="s">
        <v>309</v>
      </c>
      <c r="I743">
        <v>159</v>
      </c>
      <c r="J743" s="2">
        <v>45016</v>
      </c>
      <c r="K743">
        <v>1636</v>
      </c>
      <c r="M743" s="1" t="s">
        <v>567</v>
      </c>
    </row>
    <row r="744" spans="1:13">
      <c r="A744" t="s">
        <v>251</v>
      </c>
      <c r="B744">
        <v>203</v>
      </c>
      <c r="C744" s="2">
        <v>45991</v>
      </c>
      <c r="D744">
        <v>3283.28</v>
      </c>
      <c r="F744" s="1" t="s">
        <v>567</v>
      </c>
      <c r="H744" t="s">
        <v>309</v>
      </c>
      <c r="I744">
        <v>159</v>
      </c>
      <c r="J744" s="2">
        <v>45046</v>
      </c>
      <c r="K744">
        <v>2317</v>
      </c>
      <c r="M744" s="1" t="s">
        <v>567</v>
      </c>
    </row>
    <row r="745" spans="1:13">
      <c r="A745" t="s">
        <v>252</v>
      </c>
      <c r="B745">
        <v>176</v>
      </c>
      <c r="C745" s="2">
        <v>44957</v>
      </c>
      <c r="D745">
        <v>2000</v>
      </c>
      <c r="F745" s="1" t="s">
        <v>567</v>
      </c>
      <c r="H745" t="s">
        <v>309</v>
      </c>
      <c r="I745">
        <v>159</v>
      </c>
      <c r="J745" s="2">
        <v>45077</v>
      </c>
      <c r="K745">
        <v>1183</v>
      </c>
      <c r="M745" s="1" t="s">
        <v>567</v>
      </c>
    </row>
    <row r="746" spans="1:13">
      <c r="A746" t="s">
        <v>252</v>
      </c>
      <c r="B746">
        <v>176</v>
      </c>
      <c r="C746" s="2">
        <v>44985</v>
      </c>
      <c r="D746">
        <v>2070</v>
      </c>
      <c r="F746" s="1" t="s">
        <v>567</v>
      </c>
      <c r="H746" t="s">
        <v>309</v>
      </c>
      <c r="I746">
        <v>159</v>
      </c>
      <c r="J746" s="2">
        <v>45107</v>
      </c>
      <c r="K746">
        <v>1173</v>
      </c>
      <c r="M746" s="1" t="s">
        <v>567</v>
      </c>
    </row>
    <row r="747" spans="1:13">
      <c r="A747" t="s">
        <v>252</v>
      </c>
      <c r="B747">
        <v>176</v>
      </c>
      <c r="C747" s="2">
        <v>45016</v>
      </c>
      <c r="D747">
        <v>2142</v>
      </c>
      <c r="F747" s="1" t="s">
        <v>567</v>
      </c>
      <c r="H747" t="s">
        <v>309</v>
      </c>
      <c r="I747">
        <v>159</v>
      </c>
      <c r="J747" s="2">
        <v>45138</v>
      </c>
      <c r="K747">
        <v>2805</v>
      </c>
      <c r="M747" s="1" t="s">
        <v>567</v>
      </c>
    </row>
    <row r="748" spans="1:13">
      <c r="A748" t="s">
        <v>252</v>
      </c>
      <c r="B748">
        <v>176</v>
      </c>
      <c r="C748" s="2">
        <v>45046</v>
      </c>
      <c r="D748">
        <v>2217</v>
      </c>
      <c r="F748" s="1" t="s">
        <v>567</v>
      </c>
      <c r="H748" t="s">
        <v>309</v>
      </c>
      <c r="I748">
        <v>159</v>
      </c>
      <c r="J748" s="2">
        <v>45169</v>
      </c>
      <c r="K748">
        <v>115.5</v>
      </c>
      <c r="M748" s="1" t="s">
        <v>567</v>
      </c>
    </row>
    <row r="749" spans="1:13">
      <c r="A749" t="s">
        <v>252</v>
      </c>
      <c r="B749">
        <v>176</v>
      </c>
      <c r="C749" s="2">
        <v>45077</v>
      </c>
      <c r="D749">
        <v>2295</v>
      </c>
      <c r="F749" s="1" t="s">
        <v>567</v>
      </c>
      <c r="H749" t="s">
        <v>309</v>
      </c>
      <c r="I749">
        <v>159</v>
      </c>
      <c r="J749" s="2">
        <v>45199</v>
      </c>
      <c r="K749">
        <v>3370.5</v>
      </c>
      <c r="M749" s="1" t="s">
        <v>567</v>
      </c>
    </row>
    <row r="750" spans="1:13">
      <c r="A750" t="s">
        <v>252</v>
      </c>
      <c r="B750">
        <v>176</v>
      </c>
      <c r="C750" s="2">
        <v>45107</v>
      </c>
      <c r="D750">
        <v>2375</v>
      </c>
      <c r="F750" s="1" t="s">
        <v>567</v>
      </c>
      <c r="H750" t="s">
        <v>309</v>
      </c>
      <c r="I750">
        <v>159</v>
      </c>
      <c r="J750" s="2">
        <v>45230</v>
      </c>
      <c r="K750">
        <v>1260.5</v>
      </c>
      <c r="M750" s="1" t="s">
        <v>567</v>
      </c>
    </row>
    <row r="751" spans="1:13">
      <c r="A751" t="s">
        <v>252</v>
      </c>
      <c r="B751">
        <v>176</v>
      </c>
      <c r="C751" s="2">
        <v>45138</v>
      </c>
      <c r="D751">
        <v>2459</v>
      </c>
      <c r="F751" s="1" t="s">
        <v>567</v>
      </c>
      <c r="H751" t="s">
        <v>309</v>
      </c>
      <c r="I751">
        <v>159</v>
      </c>
      <c r="J751" s="2">
        <v>45260</v>
      </c>
      <c r="K751">
        <v>1260.5</v>
      </c>
      <c r="M751" s="1" t="s">
        <v>567</v>
      </c>
    </row>
    <row r="752" spans="1:13">
      <c r="A752" t="s">
        <v>252</v>
      </c>
      <c r="B752">
        <v>176</v>
      </c>
      <c r="C752" s="2">
        <v>45169</v>
      </c>
      <c r="D752">
        <v>2545</v>
      </c>
      <c r="F752" s="1" t="s">
        <v>567</v>
      </c>
      <c r="H752" t="s">
        <v>309</v>
      </c>
      <c r="I752">
        <v>159</v>
      </c>
      <c r="J752" s="2">
        <v>45291</v>
      </c>
      <c r="K752">
        <v>1260.5</v>
      </c>
      <c r="M752" s="1" t="s">
        <v>567</v>
      </c>
    </row>
    <row r="753" spans="1:13">
      <c r="A753" t="s">
        <v>252</v>
      </c>
      <c r="B753">
        <v>176</v>
      </c>
      <c r="C753" s="2">
        <v>45199</v>
      </c>
      <c r="D753">
        <v>2634</v>
      </c>
      <c r="F753" s="1" t="s">
        <v>567</v>
      </c>
      <c r="H753" t="s">
        <v>309</v>
      </c>
      <c r="I753">
        <v>159</v>
      </c>
      <c r="J753" s="2">
        <v>45322</v>
      </c>
      <c r="K753">
        <v>1260.5</v>
      </c>
      <c r="M753" s="1" t="s">
        <v>567</v>
      </c>
    </row>
    <row r="754" spans="1:13">
      <c r="A754" t="s">
        <v>252</v>
      </c>
      <c r="B754">
        <v>176</v>
      </c>
      <c r="C754" s="2">
        <v>45230</v>
      </c>
      <c r="D754">
        <v>2726</v>
      </c>
      <c r="F754" s="1" t="s">
        <v>567</v>
      </c>
      <c r="H754" t="s">
        <v>309</v>
      </c>
      <c r="I754">
        <v>159</v>
      </c>
      <c r="J754" s="2">
        <v>45351</v>
      </c>
      <c r="K754">
        <v>1260.5</v>
      </c>
      <c r="M754" s="1" t="s">
        <v>567</v>
      </c>
    </row>
    <row r="755" spans="1:13">
      <c r="A755" t="s">
        <v>252</v>
      </c>
      <c r="B755">
        <v>176</v>
      </c>
      <c r="C755" s="2">
        <v>45260</v>
      </c>
      <c r="D755">
        <v>3184</v>
      </c>
      <c r="F755" s="1" t="s">
        <v>567</v>
      </c>
      <c r="H755" t="s">
        <v>309</v>
      </c>
      <c r="I755">
        <v>159</v>
      </c>
      <c r="J755" s="2">
        <v>45382</v>
      </c>
      <c r="K755">
        <v>1260.5</v>
      </c>
      <c r="M755" s="1" t="s">
        <v>567</v>
      </c>
    </row>
    <row r="756" spans="1:13">
      <c r="A756" t="s">
        <v>252</v>
      </c>
      <c r="B756">
        <v>176</v>
      </c>
      <c r="C756" s="2">
        <v>45291</v>
      </c>
      <c r="D756">
        <v>5903</v>
      </c>
      <c r="F756" s="1" t="s">
        <v>567</v>
      </c>
      <c r="H756" t="s">
        <v>309</v>
      </c>
      <c r="I756">
        <v>159</v>
      </c>
      <c r="J756" s="2">
        <v>45412</v>
      </c>
      <c r="K756">
        <v>1260.5</v>
      </c>
      <c r="M756" s="1" t="s">
        <v>567</v>
      </c>
    </row>
    <row r="757" spans="1:13">
      <c r="A757" t="s">
        <v>252</v>
      </c>
      <c r="B757">
        <v>176</v>
      </c>
      <c r="C757" s="2">
        <v>45322</v>
      </c>
      <c r="D757">
        <v>3343</v>
      </c>
      <c r="F757" s="1" t="s">
        <v>567</v>
      </c>
      <c r="H757" t="s">
        <v>309</v>
      </c>
      <c r="I757">
        <v>159</v>
      </c>
      <c r="J757" s="2">
        <v>45443</v>
      </c>
      <c r="K757">
        <v>1260.5</v>
      </c>
      <c r="M757" s="1" t="s">
        <v>567</v>
      </c>
    </row>
    <row r="758" spans="1:13">
      <c r="A758" t="s">
        <v>252</v>
      </c>
      <c r="B758">
        <v>176</v>
      </c>
      <c r="C758" s="2">
        <v>45351</v>
      </c>
      <c r="D758">
        <v>6198</v>
      </c>
      <c r="F758" s="1" t="s">
        <v>567</v>
      </c>
      <c r="H758" t="s">
        <v>309</v>
      </c>
      <c r="I758">
        <v>159</v>
      </c>
      <c r="J758" s="2">
        <v>45473</v>
      </c>
      <c r="K758">
        <v>1260.5</v>
      </c>
      <c r="M758" s="1" t="s">
        <v>567</v>
      </c>
    </row>
    <row r="759" spans="1:13">
      <c r="A759" t="s">
        <v>252</v>
      </c>
      <c r="B759">
        <v>176</v>
      </c>
      <c r="C759" s="2">
        <v>45382</v>
      </c>
      <c r="D759">
        <v>3510</v>
      </c>
      <c r="F759" s="1" t="s">
        <v>567</v>
      </c>
      <c r="H759" t="s">
        <v>309</v>
      </c>
      <c r="I759">
        <v>159</v>
      </c>
      <c r="J759" s="2">
        <v>45504</v>
      </c>
      <c r="K759">
        <v>1260.5</v>
      </c>
      <c r="M759" s="1" t="s">
        <v>567</v>
      </c>
    </row>
    <row r="760" spans="1:13">
      <c r="A760" t="s">
        <v>252</v>
      </c>
      <c r="B760">
        <v>176</v>
      </c>
      <c r="C760" s="2">
        <v>45412</v>
      </c>
      <c r="D760">
        <v>6508</v>
      </c>
      <c r="F760" s="1" t="s">
        <v>567</v>
      </c>
      <c r="H760" t="s">
        <v>309</v>
      </c>
      <c r="I760">
        <v>159</v>
      </c>
      <c r="J760" s="2">
        <v>45535</v>
      </c>
      <c r="K760">
        <v>1260.5</v>
      </c>
      <c r="M760" s="1" t="s">
        <v>567</v>
      </c>
    </row>
    <row r="761" spans="1:13">
      <c r="A761" t="s">
        <v>252</v>
      </c>
      <c r="B761">
        <v>176</v>
      </c>
      <c r="C761" s="2">
        <v>45443</v>
      </c>
      <c r="D761">
        <v>3685</v>
      </c>
      <c r="F761" s="1" t="s">
        <v>567</v>
      </c>
      <c r="H761" t="s">
        <v>309</v>
      </c>
      <c r="I761">
        <v>159</v>
      </c>
      <c r="J761" s="2">
        <v>45565</v>
      </c>
      <c r="K761">
        <v>1260.5</v>
      </c>
      <c r="M761" s="1" t="s">
        <v>567</v>
      </c>
    </row>
    <row r="762" spans="1:13">
      <c r="A762" t="s">
        <v>252</v>
      </c>
      <c r="B762">
        <v>176</v>
      </c>
      <c r="C762" s="2">
        <v>45473</v>
      </c>
      <c r="D762">
        <v>6833</v>
      </c>
      <c r="F762" s="1" t="s">
        <v>567</v>
      </c>
      <c r="H762" t="s">
        <v>309</v>
      </c>
      <c r="I762">
        <v>159</v>
      </c>
      <c r="J762" s="2">
        <v>45596</v>
      </c>
      <c r="K762">
        <v>1260.5</v>
      </c>
      <c r="M762" s="1" t="s">
        <v>567</v>
      </c>
    </row>
    <row r="763" spans="1:13">
      <c r="A763" t="s">
        <v>252</v>
      </c>
      <c r="B763">
        <v>176</v>
      </c>
      <c r="C763" s="2">
        <v>45504</v>
      </c>
      <c r="D763">
        <v>7175</v>
      </c>
      <c r="F763" s="1" t="s">
        <v>567</v>
      </c>
      <c r="H763" t="s">
        <v>309</v>
      </c>
      <c r="I763">
        <v>159</v>
      </c>
      <c r="J763" s="2">
        <v>45626</v>
      </c>
      <c r="K763">
        <v>1260.5</v>
      </c>
      <c r="M763" s="1" t="s">
        <v>567</v>
      </c>
    </row>
    <row r="764" spans="1:13">
      <c r="A764" t="s">
        <v>252</v>
      </c>
      <c r="B764">
        <v>176</v>
      </c>
      <c r="C764" s="2">
        <v>45535</v>
      </c>
      <c r="D764">
        <v>7175</v>
      </c>
      <c r="F764" s="1" t="s">
        <v>567</v>
      </c>
      <c r="H764" t="s">
        <v>309</v>
      </c>
      <c r="I764">
        <v>159</v>
      </c>
      <c r="J764" s="2">
        <v>45657</v>
      </c>
      <c r="K764">
        <v>1260.5</v>
      </c>
      <c r="M764" s="1" t="s">
        <v>567</v>
      </c>
    </row>
    <row r="765" spans="1:13">
      <c r="A765" t="s">
        <v>252</v>
      </c>
      <c r="B765">
        <v>176</v>
      </c>
      <c r="C765" s="2">
        <v>45565</v>
      </c>
      <c r="D765">
        <v>7533</v>
      </c>
      <c r="F765" s="1" t="s">
        <v>567</v>
      </c>
      <c r="H765" t="s">
        <v>309</v>
      </c>
      <c r="I765">
        <v>159</v>
      </c>
      <c r="J765" s="2">
        <v>45688</v>
      </c>
      <c r="K765">
        <v>1260.5</v>
      </c>
      <c r="M765" s="1" t="s">
        <v>567</v>
      </c>
    </row>
    <row r="766" spans="1:13">
      <c r="A766" t="s">
        <v>252</v>
      </c>
      <c r="B766">
        <v>176</v>
      </c>
      <c r="C766" s="2">
        <v>45596</v>
      </c>
      <c r="D766">
        <v>7533</v>
      </c>
      <c r="F766" s="1" t="s">
        <v>567</v>
      </c>
      <c r="H766" t="s">
        <v>309</v>
      </c>
      <c r="I766">
        <v>159</v>
      </c>
      <c r="J766" s="2">
        <v>45716</v>
      </c>
      <c r="K766">
        <v>1260.5</v>
      </c>
      <c r="M766" s="1" t="s">
        <v>567</v>
      </c>
    </row>
    <row r="767" spans="1:13">
      <c r="A767" t="s">
        <v>252</v>
      </c>
      <c r="B767">
        <v>176</v>
      </c>
      <c r="C767" s="2">
        <v>45626</v>
      </c>
      <c r="D767">
        <v>7910</v>
      </c>
      <c r="F767" s="1" t="s">
        <v>567</v>
      </c>
      <c r="H767" t="s">
        <v>309</v>
      </c>
      <c r="I767">
        <v>159</v>
      </c>
      <c r="J767" s="2">
        <v>45747</v>
      </c>
      <c r="K767">
        <v>1260.5</v>
      </c>
      <c r="M767" s="1" t="s">
        <v>567</v>
      </c>
    </row>
    <row r="768" spans="1:13">
      <c r="A768" t="s">
        <v>252</v>
      </c>
      <c r="B768">
        <v>176</v>
      </c>
      <c r="C768" s="2">
        <v>45657</v>
      </c>
      <c r="D768">
        <v>8305</v>
      </c>
      <c r="F768" s="1" t="s">
        <v>567</v>
      </c>
      <c r="H768" t="s">
        <v>309</v>
      </c>
      <c r="I768">
        <v>159</v>
      </c>
      <c r="J768" s="2">
        <v>45777</v>
      </c>
      <c r="K768">
        <v>1260.5</v>
      </c>
      <c r="M768" s="1" t="s">
        <v>567</v>
      </c>
    </row>
    <row r="769" spans="1:13">
      <c r="A769" t="s">
        <v>252</v>
      </c>
      <c r="B769">
        <v>176</v>
      </c>
      <c r="C769" s="2">
        <v>45688</v>
      </c>
      <c r="D769">
        <v>8720.74</v>
      </c>
      <c r="F769" s="1" t="s">
        <v>567</v>
      </c>
      <c r="H769" t="s">
        <v>309</v>
      </c>
      <c r="I769">
        <v>159</v>
      </c>
      <c r="J769" s="2">
        <v>45808</v>
      </c>
      <c r="K769">
        <v>1260.5</v>
      </c>
      <c r="M769" s="1" t="s">
        <v>567</v>
      </c>
    </row>
    <row r="770" spans="1:13">
      <c r="A770" t="s">
        <v>252</v>
      </c>
      <c r="B770">
        <v>176</v>
      </c>
      <c r="C770" s="2">
        <v>45716</v>
      </c>
      <c r="D770">
        <v>9157</v>
      </c>
      <c r="F770" s="1" t="s">
        <v>567</v>
      </c>
      <c r="H770" t="s">
        <v>309</v>
      </c>
      <c r="I770">
        <v>159</v>
      </c>
      <c r="J770" s="2">
        <v>45838</v>
      </c>
      <c r="K770">
        <v>1260.5</v>
      </c>
      <c r="M770" s="1" t="s">
        <v>567</v>
      </c>
    </row>
    <row r="771" spans="1:13">
      <c r="A771" t="s">
        <v>252</v>
      </c>
      <c r="B771">
        <v>176</v>
      </c>
      <c r="C771" s="2">
        <v>45747</v>
      </c>
      <c r="D771">
        <v>9615</v>
      </c>
      <c r="F771" s="1" t="s">
        <v>567</v>
      </c>
      <c r="H771" t="s">
        <v>309</v>
      </c>
      <c r="I771">
        <v>159</v>
      </c>
      <c r="J771" s="2">
        <v>45869</v>
      </c>
      <c r="K771">
        <v>1260.5</v>
      </c>
      <c r="M771" s="1" t="s">
        <v>567</v>
      </c>
    </row>
    <row r="772" spans="1:13">
      <c r="A772" t="s">
        <v>252</v>
      </c>
      <c r="B772">
        <v>176</v>
      </c>
      <c r="C772" s="2">
        <v>45777</v>
      </c>
      <c r="D772">
        <v>10095</v>
      </c>
      <c r="F772" s="1" t="s">
        <v>567</v>
      </c>
      <c r="H772" t="s">
        <v>309</v>
      </c>
      <c r="I772">
        <v>159</v>
      </c>
      <c r="J772" s="2">
        <v>45900</v>
      </c>
      <c r="K772">
        <v>1260.5</v>
      </c>
      <c r="M772" s="1" t="s">
        <v>567</v>
      </c>
    </row>
    <row r="773" spans="1:13">
      <c r="A773" t="s">
        <v>252</v>
      </c>
      <c r="B773">
        <v>176</v>
      </c>
      <c r="C773" s="2">
        <v>45808</v>
      </c>
      <c r="D773">
        <v>10600</v>
      </c>
      <c r="F773" s="1" t="s">
        <v>567</v>
      </c>
      <c r="H773" t="s">
        <v>309</v>
      </c>
      <c r="I773">
        <v>159</v>
      </c>
      <c r="J773" s="2">
        <v>45930</v>
      </c>
      <c r="K773">
        <v>1260.5</v>
      </c>
      <c r="M773" s="1" t="s">
        <v>567</v>
      </c>
    </row>
    <row r="774" spans="1:13">
      <c r="A774" t="s">
        <v>252</v>
      </c>
      <c r="B774">
        <v>176</v>
      </c>
      <c r="C774" s="2">
        <v>45838</v>
      </c>
      <c r="D774">
        <v>11130.12</v>
      </c>
      <c r="F774" s="1" t="s">
        <v>567</v>
      </c>
      <c r="H774" t="s">
        <v>309</v>
      </c>
      <c r="I774">
        <v>159</v>
      </c>
      <c r="J774" s="2">
        <v>45961</v>
      </c>
      <c r="K774">
        <v>1260.5</v>
      </c>
      <c r="M774" s="1" t="s">
        <v>567</v>
      </c>
    </row>
    <row r="775" spans="1:13">
      <c r="A775" t="s">
        <v>252</v>
      </c>
      <c r="B775">
        <v>176</v>
      </c>
      <c r="C775" s="2">
        <v>45869</v>
      </c>
      <c r="D775">
        <v>11686.62</v>
      </c>
      <c r="F775" s="1" t="s">
        <v>567</v>
      </c>
      <c r="H775" t="s">
        <v>309</v>
      </c>
      <c r="I775">
        <v>159</v>
      </c>
      <c r="J775" s="2">
        <v>45991</v>
      </c>
      <c r="K775">
        <v>1260.5</v>
      </c>
      <c r="M775" s="1" t="s">
        <v>567</v>
      </c>
    </row>
    <row r="776" spans="1:13">
      <c r="A776" t="s">
        <v>252</v>
      </c>
      <c r="B776">
        <v>176</v>
      </c>
      <c r="C776" s="2">
        <v>45900</v>
      </c>
      <c r="D776">
        <v>12270.95</v>
      </c>
      <c r="F776" s="1" t="s">
        <v>567</v>
      </c>
      <c r="H776" t="s">
        <v>310</v>
      </c>
      <c r="I776">
        <v>63</v>
      </c>
      <c r="J776" s="2">
        <v>44957</v>
      </c>
      <c r="K776">
        <v>-918</v>
      </c>
      <c r="M776" s="1" t="s">
        <v>567</v>
      </c>
    </row>
    <row r="777" spans="1:13">
      <c r="A777" t="s">
        <v>252</v>
      </c>
      <c r="B777">
        <v>176</v>
      </c>
      <c r="C777" s="2">
        <v>45930</v>
      </c>
      <c r="D777">
        <v>12884.5</v>
      </c>
      <c r="F777" s="1" t="s">
        <v>567</v>
      </c>
      <c r="H777" t="s">
        <v>310</v>
      </c>
      <c r="I777">
        <v>63</v>
      </c>
      <c r="J777" s="2">
        <v>44985</v>
      </c>
      <c r="K777">
        <v>-1836</v>
      </c>
      <c r="M777" s="1" t="s">
        <v>567</v>
      </c>
    </row>
    <row r="778" spans="1:13">
      <c r="A778" t="s">
        <v>252</v>
      </c>
      <c r="B778">
        <v>176</v>
      </c>
      <c r="C778" s="2">
        <v>45961</v>
      </c>
      <c r="D778">
        <v>13528.73</v>
      </c>
      <c r="F778" s="1" t="s">
        <v>567</v>
      </c>
      <c r="H778" t="s">
        <v>310</v>
      </c>
      <c r="I778">
        <v>63</v>
      </c>
      <c r="J778" s="2">
        <v>45016</v>
      </c>
      <c r="K778">
        <v>-2754</v>
      </c>
      <c r="M778" s="1" t="s">
        <v>567</v>
      </c>
    </row>
    <row r="779" spans="1:13">
      <c r="A779" t="s">
        <v>252</v>
      </c>
      <c r="B779">
        <v>176</v>
      </c>
      <c r="C779" s="2">
        <v>45991</v>
      </c>
      <c r="D779">
        <v>14205.16</v>
      </c>
      <c r="F779" s="1" t="s">
        <v>567</v>
      </c>
      <c r="H779" t="s">
        <v>310</v>
      </c>
      <c r="I779">
        <v>63</v>
      </c>
      <c r="J779" s="2">
        <v>45046</v>
      </c>
      <c r="K779">
        <v>-3672.5</v>
      </c>
      <c r="M779" s="1" t="s">
        <v>567</v>
      </c>
    </row>
    <row r="780" spans="1:13">
      <c r="A780" t="s">
        <v>253</v>
      </c>
      <c r="B780">
        <v>177</v>
      </c>
      <c r="C780" s="2">
        <v>45869</v>
      </c>
      <c r="D780">
        <v>1800</v>
      </c>
      <c r="F780" s="1" t="s">
        <v>567</v>
      </c>
      <c r="H780" t="s">
        <v>310</v>
      </c>
      <c r="I780">
        <v>63</v>
      </c>
      <c r="J780" s="2">
        <v>45077</v>
      </c>
      <c r="K780">
        <v>-4590.5</v>
      </c>
      <c r="M780" s="1" t="s">
        <v>567</v>
      </c>
    </row>
    <row r="781" spans="1:13">
      <c r="A781" t="s">
        <v>253</v>
      </c>
      <c r="B781">
        <v>177</v>
      </c>
      <c r="C781" s="2">
        <v>45991</v>
      </c>
      <c r="D781">
        <v>4200</v>
      </c>
      <c r="F781" s="1" t="s">
        <v>567</v>
      </c>
      <c r="H781" t="s">
        <v>310</v>
      </c>
      <c r="I781">
        <v>63</v>
      </c>
      <c r="J781" s="2">
        <v>45107</v>
      </c>
      <c r="K781">
        <v>-5508.5</v>
      </c>
      <c r="M781" s="1" t="s">
        <v>567</v>
      </c>
    </row>
    <row r="782" spans="1:13">
      <c r="A782" t="s">
        <v>254</v>
      </c>
      <c r="B782">
        <v>178</v>
      </c>
      <c r="C782" s="2">
        <v>44957</v>
      </c>
      <c r="D782">
        <v>11475</v>
      </c>
      <c r="F782" s="1" t="s">
        <v>567</v>
      </c>
      <c r="H782" t="s">
        <v>310</v>
      </c>
      <c r="I782">
        <v>63</v>
      </c>
      <c r="J782" s="2">
        <v>45138</v>
      </c>
      <c r="K782">
        <v>-6426.5</v>
      </c>
      <c r="M782" s="1" t="s">
        <v>567</v>
      </c>
    </row>
    <row r="783" spans="1:13">
      <c r="A783" t="s">
        <v>254</v>
      </c>
      <c r="B783">
        <v>178</v>
      </c>
      <c r="C783" s="2">
        <v>44985</v>
      </c>
      <c r="D783">
        <v>11475</v>
      </c>
      <c r="F783" s="1" t="s">
        <v>567</v>
      </c>
      <c r="H783" t="s">
        <v>310</v>
      </c>
      <c r="I783">
        <v>63</v>
      </c>
      <c r="J783" s="2">
        <v>45169</v>
      </c>
      <c r="K783">
        <v>-7344.5</v>
      </c>
      <c r="M783" s="1" t="s">
        <v>567</v>
      </c>
    </row>
    <row r="784" spans="1:13">
      <c r="A784" t="s">
        <v>254</v>
      </c>
      <c r="B784">
        <v>178</v>
      </c>
      <c r="C784" s="2">
        <v>45016</v>
      </c>
      <c r="D784">
        <v>11475</v>
      </c>
      <c r="F784" s="1" t="s">
        <v>567</v>
      </c>
      <c r="H784" t="s">
        <v>310</v>
      </c>
      <c r="I784">
        <v>63</v>
      </c>
      <c r="J784" s="2">
        <v>45199</v>
      </c>
      <c r="K784">
        <v>-8262.5</v>
      </c>
      <c r="M784" s="1" t="s">
        <v>567</v>
      </c>
    </row>
    <row r="785" spans="1:13">
      <c r="A785" t="s">
        <v>254</v>
      </c>
      <c r="B785">
        <v>178</v>
      </c>
      <c r="C785" s="2">
        <v>45046</v>
      </c>
      <c r="D785">
        <v>11475</v>
      </c>
      <c r="F785" s="1" t="s">
        <v>567</v>
      </c>
      <c r="H785" t="s">
        <v>310</v>
      </c>
      <c r="I785">
        <v>63</v>
      </c>
      <c r="J785" s="2">
        <v>45230</v>
      </c>
      <c r="K785">
        <v>-9180.5</v>
      </c>
      <c r="M785" s="1" t="s">
        <v>567</v>
      </c>
    </row>
    <row r="786" spans="1:13">
      <c r="A786" t="s">
        <v>254</v>
      </c>
      <c r="B786">
        <v>178</v>
      </c>
      <c r="C786" s="2">
        <v>45077</v>
      </c>
      <c r="D786">
        <v>11475</v>
      </c>
      <c r="F786" s="1" t="s">
        <v>567</v>
      </c>
      <c r="H786" t="s">
        <v>310</v>
      </c>
      <c r="I786">
        <v>63</v>
      </c>
      <c r="J786" s="2">
        <v>45260</v>
      </c>
      <c r="K786">
        <v>-9180.5</v>
      </c>
      <c r="M786" s="1" t="s">
        <v>567</v>
      </c>
    </row>
    <row r="787" spans="1:13">
      <c r="A787" t="s">
        <v>254</v>
      </c>
      <c r="B787">
        <v>178</v>
      </c>
      <c r="C787" s="2">
        <v>45107</v>
      </c>
      <c r="D787">
        <v>11475</v>
      </c>
      <c r="F787" s="1" t="s">
        <v>567</v>
      </c>
      <c r="H787" t="s">
        <v>310</v>
      </c>
      <c r="I787">
        <v>63</v>
      </c>
      <c r="J787" s="2">
        <v>45291</v>
      </c>
      <c r="K787">
        <v>-9180.5</v>
      </c>
      <c r="M787" s="1" t="s">
        <v>567</v>
      </c>
    </row>
    <row r="788" spans="1:13">
      <c r="A788" t="s">
        <v>254</v>
      </c>
      <c r="B788">
        <v>178</v>
      </c>
      <c r="C788" s="2">
        <v>45138</v>
      </c>
      <c r="D788">
        <v>11475</v>
      </c>
      <c r="F788" s="1" t="s">
        <v>567</v>
      </c>
      <c r="H788" t="s">
        <v>310</v>
      </c>
      <c r="I788">
        <v>63</v>
      </c>
      <c r="J788" s="2">
        <v>45322</v>
      </c>
      <c r="K788">
        <v>-9180.5</v>
      </c>
      <c r="M788" s="1" t="s">
        <v>567</v>
      </c>
    </row>
    <row r="789" spans="1:13">
      <c r="A789" t="s">
        <v>254</v>
      </c>
      <c r="B789">
        <v>178</v>
      </c>
      <c r="C789" s="2">
        <v>45169</v>
      </c>
      <c r="D789">
        <v>11475</v>
      </c>
      <c r="F789" s="1" t="s">
        <v>567</v>
      </c>
      <c r="H789" t="s">
        <v>310</v>
      </c>
      <c r="I789">
        <v>63</v>
      </c>
      <c r="J789" s="2">
        <v>45351</v>
      </c>
      <c r="K789">
        <v>-9180.5</v>
      </c>
      <c r="M789" s="1" t="s">
        <v>567</v>
      </c>
    </row>
    <row r="790" spans="1:13">
      <c r="A790" t="s">
        <v>254</v>
      </c>
      <c r="B790">
        <v>178</v>
      </c>
      <c r="C790" s="2">
        <v>45199</v>
      </c>
      <c r="D790">
        <v>11475</v>
      </c>
      <c r="F790" s="1" t="s">
        <v>567</v>
      </c>
      <c r="H790" t="s">
        <v>310</v>
      </c>
      <c r="I790">
        <v>63</v>
      </c>
      <c r="J790" s="2">
        <v>45382</v>
      </c>
      <c r="K790">
        <v>-9180.5</v>
      </c>
      <c r="M790" s="1" t="s">
        <v>567</v>
      </c>
    </row>
    <row r="791" spans="1:13">
      <c r="A791" t="s">
        <v>254</v>
      </c>
      <c r="B791">
        <v>178</v>
      </c>
      <c r="C791" s="2">
        <v>45230</v>
      </c>
      <c r="D791">
        <v>11475</v>
      </c>
      <c r="F791" s="1" t="s">
        <v>567</v>
      </c>
      <c r="H791" t="s">
        <v>310</v>
      </c>
      <c r="I791">
        <v>63</v>
      </c>
      <c r="J791" s="2">
        <v>45412</v>
      </c>
      <c r="K791">
        <v>-9180.5</v>
      </c>
      <c r="M791" s="1" t="s">
        <v>567</v>
      </c>
    </row>
    <row r="792" spans="1:13">
      <c r="A792" t="s">
        <v>254</v>
      </c>
      <c r="B792">
        <v>178</v>
      </c>
      <c r="C792" s="2">
        <v>45260</v>
      </c>
      <c r="D792">
        <v>18166</v>
      </c>
      <c r="F792" s="1" t="s">
        <v>567</v>
      </c>
      <c r="H792" t="s">
        <v>310</v>
      </c>
      <c r="I792">
        <v>63</v>
      </c>
      <c r="J792" s="2">
        <v>45443</v>
      </c>
      <c r="K792">
        <v>-9180.5</v>
      </c>
      <c r="M792" s="1" t="s">
        <v>567</v>
      </c>
    </row>
    <row r="793" spans="1:13">
      <c r="A793" t="s">
        <v>254</v>
      </c>
      <c r="B793">
        <v>178</v>
      </c>
      <c r="C793" s="2">
        <v>45291</v>
      </c>
      <c r="D793">
        <v>32623</v>
      </c>
      <c r="F793" s="1" t="s">
        <v>567</v>
      </c>
      <c r="H793" t="s">
        <v>310</v>
      </c>
      <c r="I793">
        <v>63</v>
      </c>
      <c r="J793" s="2">
        <v>45473</v>
      </c>
      <c r="K793">
        <v>-9180.5</v>
      </c>
      <c r="M793" s="1" t="s">
        <v>567</v>
      </c>
    </row>
    <row r="794" spans="1:13">
      <c r="A794" t="s">
        <v>254</v>
      </c>
      <c r="B794">
        <v>178</v>
      </c>
      <c r="C794" s="2">
        <v>45322</v>
      </c>
      <c r="D794">
        <v>19075</v>
      </c>
      <c r="F794" s="1" t="s">
        <v>567</v>
      </c>
      <c r="H794" t="s">
        <v>310</v>
      </c>
      <c r="I794">
        <v>63</v>
      </c>
      <c r="J794" s="2">
        <v>45504</v>
      </c>
      <c r="K794">
        <v>-9180.5</v>
      </c>
      <c r="M794" s="1" t="s">
        <v>567</v>
      </c>
    </row>
    <row r="795" spans="1:13">
      <c r="A795" t="s">
        <v>254</v>
      </c>
      <c r="B795">
        <v>178</v>
      </c>
      <c r="C795" s="2">
        <v>45351</v>
      </c>
      <c r="D795">
        <v>34254</v>
      </c>
      <c r="F795" s="1" t="s">
        <v>567</v>
      </c>
      <c r="H795" t="s">
        <v>310</v>
      </c>
      <c r="I795">
        <v>63</v>
      </c>
      <c r="J795" s="2">
        <v>45535</v>
      </c>
      <c r="K795">
        <v>-9180.5</v>
      </c>
      <c r="M795" s="1" t="s">
        <v>567</v>
      </c>
    </row>
    <row r="796" spans="1:13">
      <c r="A796" t="s">
        <v>254</v>
      </c>
      <c r="B796">
        <v>178</v>
      </c>
      <c r="C796" s="2">
        <v>45382</v>
      </c>
      <c r="D796">
        <v>20028</v>
      </c>
      <c r="F796" s="1" t="s">
        <v>567</v>
      </c>
      <c r="H796" t="s">
        <v>310</v>
      </c>
      <c r="I796">
        <v>63</v>
      </c>
      <c r="J796" s="2">
        <v>45565</v>
      </c>
      <c r="K796">
        <v>-9180.5</v>
      </c>
      <c r="M796" s="1" t="s">
        <v>567</v>
      </c>
    </row>
    <row r="797" spans="1:13">
      <c r="A797" t="s">
        <v>254</v>
      </c>
      <c r="B797">
        <v>178</v>
      </c>
      <c r="C797" s="2">
        <v>45412</v>
      </c>
      <c r="D797">
        <v>35967</v>
      </c>
      <c r="F797" s="1" t="s">
        <v>567</v>
      </c>
      <c r="H797" t="s">
        <v>310</v>
      </c>
      <c r="I797">
        <v>63</v>
      </c>
      <c r="J797" s="2">
        <v>45596</v>
      </c>
      <c r="K797">
        <v>-9180.5</v>
      </c>
      <c r="M797" s="1" t="s">
        <v>567</v>
      </c>
    </row>
    <row r="798" spans="1:13">
      <c r="A798" t="s">
        <v>254</v>
      </c>
      <c r="B798">
        <v>178</v>
      </c>
      <c r="C798" s="2">
        <v>45443</v>
      </c>
      <c r="D798">
        <v>21030</v>
      </c>
      <c r="F798" s="1" t="s">
        <v>567</v>
      </c>
      <c r="H798" t="s">
        <v>310</v>
      </c>
      <c r="I798">
        <v>63</v>
      </c>
      <c r="J798" s="2">
        <v>45626</v>
      </c>
      <c r="K798">
        <v>-9180.5</v>
      </c>
      <c r="M798" s="1" t="s">
        <v>567</v>
      </c>
    </row>
    <row r="799" spans="1:13">
      <c r="A799" t="s">
        <v>254</v>
      </c>
      <c r="B799">
        <v>178</v>
      </c>
      <c r="C799" s="2">
        <v>45473</v>
      </c>
      <c r="D799">
        <v>37765</v>
      </c>
      <c r="F799" s="1" t="s">
        <v>567</v>
      </c>
      <c r="H799" t="s">
        <v>310</v>
      </c>
      <c r="I799">
        <v>63</v>
      </c>
      <c r="J799" s="2">
        <v>45657</v>
      </c>
      <c r="K799">
        <v>-9180.5</v>
      </c>
      <c r="M799" s="1" t="s">
        <v>567</v>
      </c>
    </row>
    <row r="800" spans="1:13">
      <c r="A800" t="s">
        <v>254</v>
      </c>
      <c r="B800">
        <v>178</v>
      </c>
      <c r="C800" s="2">
        <v>45504</v>
      </c>
      <c r="D800">
        <v>39653</v>
      </c>
      <c r="F800" s="1" t="s">
        <v>567</v>
      </c>
      <c r="H800" t="s">
        <v>310</v>
      </c>
      <c r="I800">
        <v>63</v>
      </c>
      <c r="J800" s="2">
        <v>45688</v>
      </c>
      <c r="K800">
        <v>-9180.5</v>
      </c>
      <c r="M800" s="1" t="s">
        <v>567</v>
      </c>
    </row>
    <row r="801" spans="1:13">
      <c r="A801" t="s">
        <v>254</v>
      </c>
      <c r="B801">
        <v>178</v>
      </c>
      <c r="C801" s="2">
        <v>45535</v>
      </c>
      <c r="D801">
        <v>39653</v>
      </c>
      <c r="F801" s="1" t="s">
        <v>567</v>
      </c>
      <c r="H801" t="s">
        <v>310</v>
      </c>
      <c r="I801">
        <v>63</v>
      </c>
      <c r="J801" s="2">
        <v>45716</v>
      </c>
      <c r="K801">
        <v>-9180.5</v>
      </c>
      <c r="M801" s="1" t="s">
        <v>567</v>
      </c>
    </row>
    <row r="802" spans="1:13">
      <c r="A802" t="s">
        <v>254</v>
      </c>
      <c r="B802">
        <v>178</v>
      </c>
      <c r="C802" s="2">
        <v>45565</v>
      </c>
      <c r="D802">
        <v>41636</v>
      </c>
      <c r="F802" s="1" t="s">
        <v>567</v>
      </c>
      <c r="H802" t="s">
        <v>310</v>
      </c>
      <c r="I802">
        <v>63</v>
      </c>
      <c r="J802" s="2">
        <v>45747</v>
      </c>
      <c r="K802">
        <v>-9180.5</v>
      </c>
      <c r="M802" s="1" t="s">
        <v>567</v>
      </c>
    </row>
    <row r="803" spans="1:13">
      <c r="A803" t="s">
        <v>254</v>
      </c>
      <c r="B803">
        <v>178</v>
      </c>
      <c r="C803" s="2">
        <v>45596</v>
      </c>
      <c r="D803">
        <v>41636</v>
      </c>
      <c r="F803" s="1" t="s">
        <v>567</v>
      </c>
      <c r="H803" t="s">
        <v>310</v>
      </c>
      <c r="I803">
        <v>63</v>
      </c>
      <c r="J803" s="2">
        <v>45777</v>
      </c>
      <c r="K803">
        <v>-9180.5</v>
      </c>
      <c r="M803" s="1" t="s">
        <v>567</v>
      </c>
    </row>
    <row r="804" spans="1:13">
      <c r="A804" t="s">
        <v>254</v>
      </c>
      <c r="B804">
        <v>178</v>
      </c>
      <c r="C804" s="2">
        <v>45626</v>
      </c>
      <c r="D804">
        <v>43718</v>
      </c>
      <c r="F804" s="1" t="s">
        <v>567</v>
      </c>
      <c r="H804" t="s">
        <v>310</v>
      </c>
      <c r="I804">
        <v>63</v>
      </c>
      <c r="J804" s="2">
        <v>45808</v>
      </c>
      <c r="K804">
        <v>-9180.5</v>
      </c>
      <c r="M804" s="1" t="s">
        <v>567</v>
      </c>
    </row>
    <row r="805" spans="1:13">
      <c r="A805" t="s">
        <v>254</v>
      </c>
      <c r="B805">
        <v>178</v>
      </c>
      <c r="C805" s="2">
        <v>45657</v>
      </c>
      <c r="D805">
        <v>45904</v>
      </c>
      <c r="F805" s="1" t="s">
        <v>567</v>
      </c>
      <c r="H805" t="s">
        <v>310</v>
      </c>
      <c r="I805">
        <v>63</v>
      </c>
      <c r="J805" s="2">
        <v>45838</v>
      </c>
      <c r="K805">
        <v>-9180.5</v>
      </c>
      <c r="M805" s="1" t="s">
        <v>567</v>
      </c>
    </row>
    <row r="806" spans="1:13">
      <c r="A806" t="s">
        <v>254</v>
      </c>
      <c r="B806">
        <v>178</v>
      </c>
      <c r="C806" s="2">
        <v>45688</v>
      </c>
      <c r="D806">
        <v>48198.73</v>
      </c>
      <c r="F806" s="1" t="s">
        <v>567</v>
      </c>
      <c r="H806" t="s">
        <v>310</v>
      </c>
      <c r="I806">
        <v>63</v>
      </c>
      <c r="J806" s="2">
        <v>45869</v>
      </c>
      <c r="K806">
        <v>-9180.5</v>
      </c>
      <c r="M806" s="1" t="s">
        <v>567</v>
      </c>
    </row>
    <row r="807" spans="1:13">
      <c r="A807" t="s">
        <v>254</v>
      </c>
      <c r="B807">
        <v>178</v>
      </c>
      <c r="C807" s="2">
        <v>45716</v>
      </c>
      <c r="D807">
        <v>50609</v>
      </c>
      <c r="F807" s="1" t="s">
        <v>567</v>
      </c>
      <c r="H807" t="s">
        <v>310</v>
      </c>
      <c r="I807">
        <v>63</v>
      </c>
      <c r="J807" s="2">
        <v>45900</v>
      </c>
      <c r="K807">
        <v>-9180.5</v>
      </c>
      <c r="M807" s="1" t="s">
        <v>567</v>
      </c>
    </row>
    <row r="808" spans="1:13">
      <c r="A808" t="s">
        <v>254</v>
      </c>
      <c r="B808">
        <v>178</v>
      </c>
      <c r="C808" s="2">
        <v>45747</v>
      </c>
      <c r="D808">
        <v>53139</v>
      </c>
      <c r="F808" s="1" t="s">
        <v>567</v>
      </c>
      <c r="H808" t="s">
        <v>310</v>
      </c>
      <c r="I808">
        <v>63</v>
      </c>
      <c r="J808" s="2">
        <v>45930</v>
      </c>
      <c r="K808">
        <v>-9180.5</v>
      </c>
      <c r="M808" s="1" t="s">
        <v>567</v>
      </c>
    </row>
    <row r="809" spans="1:13">
      <c r="A809" t="s">
        <v>254</v>
      </c>
      <c r="B809">
        <v>178</v>
      </c>
      <c r="C809" s="2">
        <v>45777</v>
      </c>
      <c r="D809">
        <v>55796</v>
      </c>
      <c r="F809" s="1" t="s">
        <v>567</v>
      </c>
      <c r="H809" t="s">
        <v>310</v>
      </c>
      <c r="I809">
        <v>63</v>
      </c>
      <c r="J809" s="2">
        <v>45961</v>
      </c>
      <c r="K809">
        <v>-9180.5</v>
      </c>
      <c r="M809" s="1" t="s">
        <v>567</v>
      </c>
    </row>
    <row r="810" spans="1:13">
      <c r="A810" t="s">
        <v>254</v>
      </c>
      <c r="B810">
        <v>178</v>
      </c>
      <c r="C810" s="2">
        <v>45808</v>
      </c>
      <c r="D810">
        <v>58586</v>
      </c>
      <c r="F810" s="1" t="s">
        <v>567</v>
      </c>
      <c r="H810" t="s">
        <v>310</v>
      </c>
      <c r="I810">
        <v>63</v>
      </c>
      <c r="J810" s="2">
        <v>45991</v>
      </c>
      <c r="K810">
        <v>-9180.5</v>
      </c>
      <c r="M810" s="1" t="s">
        <v>567</v>
      </c>
    </row>
    <row r="811" spans="1:13">
      <c r="A811" t="s">
        <v>254</v>
      </c>
      <c r="B811">
        <v>178</v>
      </c>
      <c r="C811" s="2">
        <v>45838</v>
      </c>
      <c r="D811">
        <v>61515.15</v>
      </c>
      <c r="F811" s="1" t="s">
        <v>567</v>
      </c>
      <c r="H811" t="s">
        <v>311</v>
      </c>
      <c r="I811" t="s">
        <v>312</v>
      </c>
      <c r="J811" s="2">
        <v>44957</v>
      </c>
      <c r="K811">
        <v>19496</v>
      </c>
      <c r="M811" s="1" t="s">
        <v>567</v>
      </c>
    </row>
    <row r="812" spans="1:13">
      <c r="A812" t="s">
        <v>254</v>
      </c>
      <c r="B812">
        <v>178</v>
      </c>
      <c r="C812" s="2">
        <v>45869</v>
      </c>
      <c r="D812">
        <v>64590.9</v>
      </c>
      <c r="F812" s="1" t="s">
        <v>567</v>
      </c>
      <c r="H812" t="s">
        <v>311</v>
      </c>
      <c r="I812" t="s">
        <v>312</v>
      </c>
      <c r="J812" s="2">
        <v>44985</v>
      </c>
      <c r="K812">
        <v>19836</v>
      </c>
      <c r="M812" s="1" t="s">
        <v>567</v>
      </c>
    </row>
    <row r="813" spans="1:13">
      <c r="A813" t="s">
        <v>254</v>
      </c>
      <c r="B813">
        <v>178</v>
      </c>
      <c r="C813" s="2">
        <v>45900</v>
      </c>
      <c r="D813">
        <v>67820.45</v>
      </c>
      <c r="F813" s="1" t="s">
        <v>567</v>
      </c>
      <c r="H813" t="s">
        <v>311</v>
      </c>
      <c r="I813" t="s">
        <v>312</v>
      </c>
      <c r="J813" s="2">
        <v>45016</v>
      </c>
      <c r="K813">
        <v>17122</v>
      </c>
      <c r="M813" s="1" t="s">
        <v>567</v>
      </c>
    </row>
    <row r="814" spans="1:13">
      <c r="A814" t="s">
        <v>254</v>
      </c>
      <c r="B814">
        <v>178</v>
      </c>
      <c r="C814" s="2">
        <v>45930</v>
      </c>
      <c r="D814">
        <v>71211.47</v>
      </c>
      <c r="F814" s="1" t="s">
        <v>567</v>
      </c>
      <c r="H814" t="s">
        <v>311</v>
      </c>
      <c r="I814" t="s">
        <v>312</v>
      </c>
      <c r="J814" s="2">
        <v>45046</v>
      </c>
      <c r="K814">
        <v>19423.5</v>
      </c>
      <c r="M814" s="1" t="s">
        <v>567</v>
      </c>
    </row>
    <row r="815" spans="1:13">
      <c r="A815" t="s">
        <v>254</v>
      </c>
      <c r="B815">
        <v>178</v>
      </c>
      <c r="C815" s="2">
        <v>45961</v>
      </c>
      <c r="D815">
        <v>74772.039999999994</v>
      </c>
      <c r="F815" s="1" t="s">
        <v>567</v>
      </c>
      <c r="H815" t="s">
        <v>311</v>
      </c>
      <c r="I815" t="s">
        <v>312</v>
      </c>
      <c r="J815" s="2">
        <v>45077</v>
      </c>
      <c r="K815">
        <v>19473.5</v>
      </c>
      <c r="M815" s="1" t="s">
        <v>567</v>
      </c>
    </row>
    <row r="816" spans="1:13">
      <c r="A816" t="s">
        <v>254</v>
      </c>
      <c r="B816">
        <v>178</v>
      </c>
      <c r="C816" s="2">
        <v>45991</v>
      </c>
      <c r="D816">
        <v>78510.64</v>
      </c>
      <c r="F816" s="1" t="s">
        <v>567</v>
      </c>
      <c r="H816" t="s">
        <v>311</v>
      </c>
      <c r="I816" t="s">
        <v>312</v>
      </c>
      <c r="J816" s="2">
        <v>45107</v>
      </c>
      <c r="K816">
        <v>17456.5</v>
      </c>
      <c r="M816" s="1" t="s">
        <v>567</v>
      </c>
    </row>
    <row r="817" spans="1:13">
      <c r="A817" t="s">
        <v>255</v>
      </c>
      <c r="B817">
        <v>179</v>
      </c>
      <c r="C817" s="2">
        <v>45260</v>
      </c>
      <c r="D817">
        <v>1684</v>
      </c>
      <c r="F817" s="1" t="s">
        <v>567</v>
      </c>
      <c r="H817" t="s">
        <v>311</v>
      </c>
      <c r="I817" t="s">
        <v>312</v>
      </c>
      <c r="J817" s="2">
        <v>45138</v>
      </c>
      <c r="K817">
        <v>19242.5</v>
      </c>
      <c r="M817" s="1" t="s">
        <v>567</v>
      </c>
    </row>
    <row r="818" spans="1:13">
      <c r="A818" t="s">
        <v>255</v>
      </c>
      <c r="B818">
        <v>179</v>
      </c>
      <c r="C818" s="2">
        <v>45291</v>
      </c>
      <c r="D818">
        <v>3229</v>
      </c>
      <c r="F818" s="1" t="s">
        <v>567</v>
      </c>
      <c r="H818" t="s">
        <v>311</v>
      </c>
      <c r="I818" t="s">
        <v>312</v>
      </c>
      <c r="J818" s="2">
        <v>45169</v>
      </c>
      <c r="K818">
        <v>19497</v>
      </c>
      <c r="M818" s="1" t="s">
        <v>567</v>
      </c>
    </row>
    <row r="819" spans="1:13">
      <c r="A819" t="s">
        <v>255</v>
      </c>
      <c r="B819">
        <v>179</v>
      </c>
      <c r="C819" s="2">
        <v>45322</v>
      </c>
      <c r="D819">
        <v>1768</v>
      </c>
      <c r="F819" s="1" t="s">
        <v>567</v>
      </c>
      <c r="H819" t="s">
        <v>311</v>
      </c>
      <c r="I819" t="s">
        <v>312</v>
      </c>
      <c r="J819" s="2">
        <v>45199</v>
      </c>
      <c r="K819">
        <v>22485</v>
      </c>
      <c r="M819" s="1" t="s">
        <v>567</v>
      </c>
    </row>
    <row r="820" spans="1:13">
      <c r="A820" t="s">
        <v>255</v>
      </c>
      <c r="B820">
        <v>179</v>
      </c>
      <c r="C820" s="2">
        <v>45351</v>
      </c>
      <c r="D820">
        <v>3390</v>
      </c>
      <c r="F820" s="1" t="s">
        <v>567</v>
      </c>
      <c r="H820" t="s">
        <v>311</v>
      </c>
      <c r="I820" t="s">
        <v>312</v>
      </c>
      <c r="J820" s="2">
        <v>45230</v>
      </c>
      <c r="K820">
        <v>18328</v>
      </c>
      <c r="M820" s="1" t="s">
        <v>567</v>
      </c>
    </row>
    <row r="821" spans="1:13">
      <c r="A821" t="s">
        <v>255</v>
      </c>
      <c r="B821">
        <v>179</v>
      </c>
      <c r="C821" s="2">
        <v>45382</v>
      </c>
      <c r="D821">
        <v>1857</v>
      </c>
      <c r="F821" s="1" t="s">
        <v>567</v>
      </c>
      <c r="H821" t="s">
        <v>311</v>
      </c>
      <c r="I821" t="s">
        <v>312</v>
      </c>
      <c r="J821" s="2">
        <v>45260</v>
      </c>
      <c r="K821">
        <v>18328</v>
      </c>
      <c r="M821" s="1" t="s">
        <v>567</v>
      </c>
    </row>
    <row r="822" spans="1:13">
      <c r="A822" t="s">
        <v>255</v>
      </c>
      <c r="B822">
        <v>179</v>
      </c>
      <c r="C822" s="2">
        <v>45412</v>
      </c>
      <c r="D822">
        <v>3560</v>
      </c>
      <c r="F822" s="1" t="s">
        <v>567</v>
      </c>
      <c r="H822" t="s">
        <v>311</v>
      </c>
      <c r="I822" t="s">
        <v>312</v>
      </c>
      <c r="J822" s="2">
        <v>45291</v>
      </c>
      <c r="K822">
        <v>18328</v>
      </c>
      <c r="M822" s="1" t="s">
        <v>567</v>
      </c>
    </row>
    <row r="823" spans="1:13">
      <c r="A823" t="s">
        <v>255</v>
      </c>
      <c r="B823">
        <v>179</v>
      </c>
      <c r="C823" s="2">
        <v>45443</v>
      </c>
      <c r="D823">
        <v>1950</v>
      </c>
      <c r="F823" s="1" t="s">
        <v>567</v>
      </c>
      <c r="H823" t="s">
        <v>311</v>
      </c>
      <c r="I823" t="s">
        <v>312</v>
      </c>
      <c r="J823" s="2">
        <v>45322</v>
      </c>
      <c r="K823">
        <v>18328</v>
      </c>
      <c r="M823" s="1" t="s">
        <v>567</v>
      </c>
    </row>
    <row r="824" spans="1:13">
      <c r="A824" t="s">
        <v>255</v>
      </c>
      <c r="B824">
        <v>179</v>
      </c>
      <c r="C824" s="2">
        <v>45473</v>
      </c>
      <c r="D824">
        <v>3738</v>
      </c>
      <c r="F824" s="1" t="s">
        <v>567</v>
      </c>
      <c r="H824" t="s">
        <v>311</v>
      </c>
      <c r="I824" t="s">
        <v>312</v>
      </c>
      <c r="J824" s="2">
        <v>45351</v>
      </c>
      <c r="K824">
        <v>18328</v>
      </c>
      <c r="M824" s="1" t="s">
        <v>567</v>
      </c>
    </row>
    <row r="825" spans="1:13">
      <c r="A825" t="s">
        <v>255</v>
      </c>
      <c r="B825">
        <v>179</v>
      </c>
      <c r="C825" s="2">
        <v>45504</v>
      </c>
      <c r="D825">
        <v>3925</v>
      </c>
      <c r="F825" s="1" t="s">
        <v>567</v>
      </c>
      <c r="H825" t="s">
        <v>311</v>
      </c>
      <c r="I825" t="s">
        <v>312</v>
      </c>
      <c r="J825" s="2">
        <v>45382</v>
      </c>
      <c r="K825">
        <v>18328</v>
      </c>
      <c r="M825" s="1" t="s">
        <v>567</v>
      </c>
    </row>
    <row r="826" spans="1:13">
      <c r="A826" t="s">
        <v>255</v>
      </c>
      <c r="B826">
        <v>179</v>
      </c>
      <c r="C826" s="2">
        <v>45535</v>
      </c>
      <c r="D826">
        <v>3925</v>
      </c>
      <c r="F826" s="1" t="s">
        <v>567</v>
      </c>
      <c r="H826" t="s">
        <v>311</v>
      </c>
      <c r="I826" t="s">
        <v>312</v>
      </c>
      <c r="J826" s="2">
        <v>45412</v>
      </c>
      <c r="K826">
        <v>18328</v>
      </c>
      <c r="M826" s="1" t="s">
        <v>567</v>
      </c>
    </row>
    <row r="827" spans="1:13">
      <c r="A827" t="s">
        <v>255</v>
      </c>
      <c r="B827">
        <v>179</v>
      </c>
      <c r="C827" s="2">
        <v>45565</v>
      </c>
      <c r="D827">
        <v>4121</v>
      </c>
      <c r="F827" s="1" t="s">
        <v>567</v>
      </c>
      <c r="H827" t="s">
        <v>311</v>
      </c>
      <c r="I827" t="s">
        <v>312</v>
      </c>
      <c r="J827" s="2">
        <v>45443</v>
      </c>
      <c r="K827">
        <v>18328</v>
      </c>
      <c r="M827" s="1" t="s">
        <v>567</v>
      </c>
    </row>
    <row r="828" spans="1:13">
      <c r="A828" t="s">
        <v>255</v>
      </c>
      <c r="B828">
        <v>179</v>
      </c>
      <c r="C828" s="2">
        <v>45596</v>
      </c>
      <c r="D828">
        <v>4121</v>
      </c>
      <c r="F828" s="1" t="s">
        <v>567</v>
      </c>
      <c r="H828" t="s">
        <v>311</v>
      </c>
      <c r="I828" t="s">
        <v>312</v>
      </c>
      <c r="J828" s="2">
        <v>45473</v>
      </c>
      <c r="K828">
        <v>18328</v>
      </c>
      <c r="M828" s="1" t="s">
        <v>567</v>
      </c>
    </row>
    <row r="829" spans="1:13">
      <c r="A829" t="s">
        <v>255</v>
      </c>
      <c r="B829">
        <v>179</v>
      </c>
      <c r="C829" s="2">
        <v>45626</v>
      </c>
      <c r="D829">
        <v>4327</v>
      </c>
      <c r="F829" s="1" t="s">
        <v>567</v>
      </c>
      <c r="H829" t="s">
        <v>311</v>
      </c>
      <c r="I829" t="s">
        <v>312</v>
      </c>
      <c r="J829" s="2">
        <v>45504</v>
      </c>
      <c r="K829">
        <v>18328</v>
      </c>
      <c r="M829" s="1" t="s">
        <v>567</v>
      </c>
    </row>
    <row r="830" spans="1:13">
      <c r="A830" t="s">
        <v>255</v>
      </c>
      <c r="B830">
        <v>179</v>
      </c>
      <c r="C830" s="2">
        <v>45657</v>
      </c>
      <c r="D830">
        <v>4544</v>
      </c>
      <c r="F830" s="1" t="s">
        <v>567</v>
      </c>
      <c r="H830" t="s">
        <v>311</v>
      </c>
      <c r="I830" t="s">
        <v>312</v>
      </c>
      <c r="J830" s="2">
        <v>45535</v>
      </c>
      <c r="K830">
        <v>18328</v>
      </c>
      <c r="M830" s="1" t="s">
        <v>567</v>
      </c>
    </row>
    <row r="831" spans="1:13">
      <c r="A831" t="s">
        <v>255</v>
      </c>
      <c r="B831">
        <v>179</v>
      </c>
      <c r="C831" s="2">
        <v>45688</v>
      </c>
      <c r="D831">
        <v>4770.7</v>
      </c>
      <c r="F831" s="1" t="s">
        <v>567</v>
      </c>
      <c r="H831" t="s">
        <v>311</v>
      </c>
      <c r="I831" t="s">
        <v>312</v>
      </c>
      <c r="J831" s="2">
        <v>45565</v>
      </c>
      <c r="K831">
        <v>18328</v>
      </c>
      <c r="M831" s="1" t="s">
        <v>567</v>
      </c>
    </row>
    <row r="832" spans="1:13">
      <c r="A832" t="s">
        <v>255</v>
      </c>
      <c r="B832">
        <v>179</v>
      </c>
      <c r="C832" s="2">
        <v>45716</v>
      </c>
      <c r="D832">
        <v>5009</v>
      </c>
      <c r="F832" s="1" t="s">
        <v>567</v>
      </c>
      <c r="H832" t="s">
        <v>311</v>
      </c>
      <c r="I832" t="s">
        <v>312</v>
      </c>
      <c r="J832" s="2">
        <v>45596</v>
      </c>
      <c r="K832">
        <v>18328</v>
      </c>
      <c r="M832" s="1" t="s">
        <v>567</v>
      </c>
    </row>
    <row r="833" spans="1:13">
      <c r="A833" t="s">
        <v>255</v>
      </c>
      <c r="B833">
        <v>179</v>
      </c>
      <c r="C833" s="2">
        <v>45747</v>
      </c>
      <c r="D833">
        <v>5260</v>
      </c>
      <c r="F833" s="1" t="s">
        <v>567</v>
      </c>
      <c r="H833" t="s">
        <v>311</v>
      </c>
      <c r="I833" t="s">
        <v>312</v>
      </c>
      <c r="J833" s="2">
        <v>45626</v>
      </c>
      <c r="K833">
        <v>18328</v>
      </c>
      <c r="M833" s="1" t="s">
        <v>567</v>
      </c>
    </row>
    <row r="834" spans="1:13">
      <c r="A834" t="s">
        <v>255</v>
      </c>
      <c r="B834">
        <v>179</v>
      </c>
      <c r="C834" s="2">
        <v>45777</v>
      </c>
      <c r="D834">
        <v>5523</v>
      </c>
      <c r="F834" s="1" t="s">
        <v>567</v>
      </c>
      <c r="H834" t="s">
        <v>311</v>
      </c>
      <c r="I834" t="s">
        <v>312</v>
      </c>
      <c r="J834" s="2">
        <v>45657</v>
      </c>
      <c r="K834">
        <v>18328</v>
      </c>
      <c r="M834" s="1" t="s">
        <v>567</v>
      </c>
    </row>
    <row r="835" spans="1:13">
      <c r="A835" t="s">
        <v>255</v>
      </c>
      <c r="B835">
        <v>179</v>
      </c>
      <c r="C835" s="2">
        <v>45808</v>
      </c>
      <c r="D835">
        <v>5799</v>
      </c>
      <c r="F835" s="1" t="s">
        <v>567</v>
      </c>
      <c r="H835" t="s">
        <v>311</v>
      </c>
      <c r="I835" t="s">
        <v>312</v>
      </c>
      <c r="J835" s="2">
        <v>45688</v>
      </c>
      <c r="K835">
        <v>18328</v>
      </c>
      <c r="M835" s="1" t="s">
        <v>567</v>
      </c>
    </row>
    <row r="836" spans="1:13">
      <c r="A836" t="s">
        <v>255</v>
      </c>
      <c r="B836">
        <v>179</v>
      </c>
      <c r="C836" s="2">
        <v>45838</v>
      </c>
      <c r="D836">
        <v>6088.78</v>
      </c>
      <c r="F836" s="1" t="s">
        <v>567</v>
      </c>
      <c r="H836" t="s">
        <v>311</v>
      </c>
      <c r="I836" t="s">
        <v>312</v>
      </c>
      <c r="J836" s="2">
        <v>45716</v>
      </c>
      <c r="K836">
        <v>18328</v>
      </c>
      <c r="M836" s="1" t="s">
        <v>567</v>
      </c>
    </row>
    <row r="837" spans="1:13">
      <c r="A837" t="s">
        <v>255</v>
      </c>
      <c r="B837">
        <v>179</v>
      </c>
      <c r="C837" s="2">
        <v>45869</v>
      </c>
      <c r="D837">
        <v>6393.19</v>
      </c>
      <c r="F837" s="1" t="s">
        <v>567</v>
      </c>
      <c r="H837" t="s">
        <v>311</v>
      </c>
      <c r="I837" t="s">
        <v>312</v>
      </c>
      <c r="J837" s="2">
        <v>45747</v>
      </c>
      <c r="K837">
        <v>18328</v>
      </c>
      <c r="M837" s="1" t="s">
        <v>567</v>
      </c>
    </row>
    <row r="838" spans="1:13">
      <c r="A838" t="s">
        <v>255</v>
      </c>
      <c r="B838">
        <v>179</v>
      </c>
      <c r="C838" s="2">
        <v>45900</v>
      </c>
      <c r="D838">
        <v>6712.85</v>
      </c>
      <c r="F838" s="1" t="s">
        <v>567</v>
      </c>
      <c r="H838" t="s">
        <v>311</v>
      </c>
      <c r="I838" t="s">
        <v>312</v>
      </c>
      <c r="J838" s="2">
        <v>45777</v>
      </c>
      <c r="K838">
        <v>18328</v>
      </c>
      <c r="M838" s="1" t="s">
        <v>567</v>
      </c>
    </row>
    <row r="839" spans="1:13">
      <c r="A839" t="s">
        <v>255</v>
      </c>
      <c r="B839">
        <v>179</v>
      </c>
      <c r="C839" s="2">
        <v>45930</v>
      </c>
      <c r="D839">
        <v>7048.49</v>
      </c>
      <c r="F839" s="1" t="s">
        <v>567</v>
      </c>
      <c r="H839" t="s">
        <v>311</v>
      </c>
      <c r="I839" t="s">
        <v>312</v>
      </c>
      <c r="J839" s="2">
        <v>45808</v>
      </c>
      <c r="K839">
        <v>18328</v>
      </c>
      <c r="M839" s="1" t="s">
        <v>567</v>
      </c>
    </row>
    <row r="840" spans="1:13">
      <c r="A840" t="s">
        <v>255</v>
      </c>
      <c r="B840">
        <v>179</v>
      </c>
      <c r="C840" s="2">
        <v>45961</v>
      </c>
      <c r="D840">
        <v>7400.92</v>
      </c>
      <c r="F840" s="1" t="s">
        <v>567</v>
      </c>
      <c r="H840" t="s">
        <v>311</v>
      </c>
      <c r="I840" t="s">
        <v>312</v>
      </c>
      <c r="J840" s="2">
        <v>45838</v>
      </c>
      <c r="K840">
        <v>18328</v>
      </c>
      <c r="M840" s="1" t="s">
        <v>567</v>
      </c>
    </row>
    <row r="841" spans="1:13">
      <c r="A841" t="s">
        <v>255</v>
      </c>
      <c r="B841">
        <v>179</v>
      </c>
      <c r="C841" s="2">
        <v>45991</v>
      </c>
      <c r="D841">
        <v>7770.96</v>
      </c>
      <c r="F841" s="1" t="s">
        <v>567</v>
      </c>
      <c r="H841" t="s">
        <v>311</v>
      </c>
      <c r="I841" t="s">
        <v>312</v>
      </c>
      <c r="J841" s="2">
        <v>45869</v>
      </c>
      <c r="K841">
        <v>18328</v>
      </c>
      <c r="M841" s="1" t="s">
        <v>567</v>
      </c>
    </row>
    <row r="842" spans="1:13">
      <c r="A842" t="s">
        <v>256</v>
      </c>
      <c r="B842">
        <v>180</v>
      </c>
      <c r="C842" s="2">
        <v>44957</v>
      </c>
      <c r="D842">
        <v>1148</v>
      </c>
      <c r="F842" s="1" t="s">
        <v>567</v>
      </c>
      <c r="H842" t="s">
        <v>311</v>
      </c>
      <c r="I842" t="s">
        <v>312</v>
      </c>
      <c r="J842" s="2">
        <v>45900</v>
      </c>
      <c r="K842">
        <v>18328</v>
      </c>
      <c r="M842" s="1" t="s">
        <v>567</v>
      </c>
    </row>
    <row r="843" spans="1:13">
      <c r="A843" t="s">
        <v>256</v>
      </c>
      <c r="B843">
        <v>180</v>
      </c>
      <c r="C843" s="2">
        <v>44985</v>
      </c>
      <c r="D843">
        <v>1148</v>
      </c>
      <c r="F843" s="1" t="s">
        <v>567</v>
      </c>
      <c r="H843" t="s">
        <v>311</v>
      </c>
      <c r="I843" t="s">
        <v>312</v>
      </c>
      <c r="J843" s="2">
        <v>45930</v>
      </c>
      <c r="K843">
        <v>18328</v>
      </c>
      <c r="M843" s="1" t="s">
        <v>567</v>
      </c>
    </row>
    <row r="844" spans="1:13">
      <c r="A844" t="s">
        <v>256</v>
      </c>
      <c r="B844">
        <v>180</v>
      </c>
      <c r="C844" s="2">
        <v>45016</v>
      </c>
      <c r="D844">
        <v>1148</v>
      </c>
      <c r="F844" s="1" t="s">
        <v>567</v>
      </c>
      <c r="H844" t="s">
        <v>311</v>
      </c>
      <c r="I844" t="s">
        <v>312</v>
      </c>
      <c r="J844" s="2">
        <v>45961</v>
      </c>
      <c r="K844">
        <v>18328</v>
      </c>
      <c r="M844" s="1" t="s">
        <v>567</v>
      </c>
    </row>
    <row r="845" spans="1:13">
      <c r="A845" t="s">
        <v>256</v>
      </c>
      <c r="B845">
        <v>180</v>
      </c>
      <c r="C845" s="2">
        <v>45046</v>
      </c>
      <c r="D845">
        <v>1148</v>
      </c>
      <c r="F845" s="1" t="s">
        <v>567</v>
      </c>
      <c r="H845" t="s">
        <v>311</v>
      </c>
      <c r="I845" t="s">
        <v>312</v>
      </c>
      <c r="J845" s="2">
        <v>45991</v>
      </c>
      <c r="K845">
        <v>18328</v>
      </c>
      <c r="M845" s="1" t="s">
        <v>567</v>
      </c>
    </row>
    <row r="846" spans="1:13">
      <c r="A846" t="s">
        <v>256</v>
      </c>
      <c r="B846">
        <v>180</v>
      </c>
      <c r="C846" s="2">
        <v>45077</v>
      </c>
      <c r="D846">
        <v>1148</v>
      </c>
      <c r="F846" s="1" t="s">
        <v>567</v>
      </c>
      <c r="H846" t="s">
        <v>313</v>
      </c>
      <c r="I846" t="s">
        <v>314</v>
      </c>
      <c r="J846" s="2">
        <v>44957</v>
      </c>
      <c r="K846">
        <v>56846</v>
      </c>
      <c r="M846" s="1" t="s">
        <v>567</v>
      </c>
    </row>
    <row r="847" spans="1:13">
      <c r="A847" t="s">
        <v>256</v>
      </c>
      <c r="B847">
        <v>180</v>
      </c>
      <c r="C847" s="2">
        <v>45107</v>
      </c>
      <c r="D847">
        <v>1148</v>
      </c>
      <c r="F847" s="1" t="s">
        <v>567</v>
      </c>
      <c r="H847" t="s">
        <v>313</v>
      </c>
      <c r="I847" t="s">
        <v>314</v>
      </c>
      <c r="J847" s="2">
        <v>44985</v>
      </c>
      <c r="K847">
        <v>61869</v>
      </c>
      <c r="M847" s="1" t="s">
        <v>567</v>
      </c>
    </row>
    <row r="848" spans="1:13">
      <c r="A848" t="s">
        <v>256</v>
      </c>
      <c r="B848">
        <v>180</v>
      </c>
      <c r="C848" s="2">
        <v>45138</v>
      </c>
      <c r="D848">
        <v>1148</v>
      </c>
      <c r="F848" s="1" t="s">
        <v>567</v>
      </c>
      <c r="H848" t="s">
        <v>313</v>
      </c>
      <c r="I848" t="s">
        <v>314</v>
      </c>
      <c r="J848" s="2">
        <v>45016</v>
      </c>
      <c r="K848">
        <v>60626</v>
      </c>
      <c r="M848" s="1" t="s">
        <v>567</v>
      </c>
    </row>
    <row r="849" spans="1:13">
      <c r="A849" t="s">
        <v>256</v>
      </c>
      <c r="B849">
        <v>180</v>
      </c>
      <c r="C849" s="2">
        <v>45169</v>
      </c>
      <c r="D849">
        <v>1148</v>
      </c>
      <c r="F849" s="1" t="s">
        <v>567</v>
      </c>
      <c r="H849" t="s">
        <v>313</v>
      </c>
      <c r="I849" t="s">
        <v>314</v>
      </c>
      <c r="J849" s="2">
        <v>45046</v>
      </c>
      <c r="K849">
        <v>64450.5</v>
      </c>
      <c r="M849" s="1" t="s">
        <v>567</v>
      </c>
    </row>
    <row r="850" spans="1:13">
      <c r="A850" t="s">
        <v>256</v>
      </c>
      <c r="B850">
        <v>180</v>
      </c>
      <c r="C850" s="2">
        <v>45199</v>
      </c>
      <c r="D850">
        <v>1148</v>
      </c>
      <c r="F850" s="1" t="s">
        <v>567</v>
      </c>
      <c r="H850" t="s">
        <v>313</v>
      </c>
      <c r="I850" t="s">
        <v>314</v>
      </c>
      <c r="J850" s="2">
        <v>45077</v>
      </c>
      <c r="K850">
        <v>66076.5</v>
      </c>
      <c r="M850" s="1" t="s">
        <v>567</v>
      </c>
    </row>
    <row r="851" spans="1:13">
      <c r="A851" t="s">
        <v>256</v>
      </c>
      <c r="B851">
        <v>180</v>
      </c>
      <c r="C851" s="2">
        <v>45230</v>
      </c>
      <c r="D851">
        <v>1148</v>
      </c>
      <c r="F851" s="1" t="s">
        <v>567</v>
      </c>
      <c r="H851" t="s">
        <v>313</v>
      </c>
      <c r="I851" t="s">
        <v>314</v>
      </c>
      <c r="J851" s="2">
        <v>45107</v>
      </c>
      <c r="K851">
        <v>65690.5</v>
      </c>
      <c r="M851" s="1" t="s">
        <v>567</v>
      </c>
    </row>
    <row r="852" spans="1:13">
      <c r="A852" t="s">
        <v>256</v>
      </c>
      <c r="B852">
        <v>180</v>
      </c>
      <c r="C852" s="2">
        <v>45260</v>
      </c>
      <c r="D852">
        <v>1224</v>
      </c>
      <c r="F852" s="1" t="s">
        <v>567</v>
      </c>
      <c r="H852" t="s">
        <v>313</v>
      </c>
      <c r="I852" t="s">
        <v>314</v>
      </c>
      <c r="J852" s="2">
        <v>45138</v>
      </c>
      <c r="K852">
        <v>69164.5</v>
      </c>
      <c r="M852" s="1" t="s">
        <v>567</v>
      </c>
    </row>
    <row r="853" spans="1:13">
      <c r="A853" t="s">
        <v>256</v>
      </c>
      <c r="B853">
        <v>180</v>
      </c>
      <c r="C853" s="2">
        <v>45291</v>
      </c>
      <c r="D853">
        <v>1436</v>
      </c>
      <c r="F853" s="1" t="s">
        <v>567</v>
      </c>
      <c r="H853" t="s">
        <v>313</v>
      </c>
      <c r="I853" t="s">
        <v>314</v>
      </c>
      <c r="J853" s="2">
        <v>45169</v>
      </c>
      <c r="K853">
        <v>71166.5</v>
      </c>
      <c r="M853" s="1" t="s">
        <v>567</v>
      </c>
    </row>
    <row r="854" spans="1:13">
      <c r="A854" t="s">
        <v>256</v>
      </c>
      <c r="B854">
        <v>180</v>
      </c>
      <c r="C854" s="2">
        <v>45322</v>
      </c>
      <c r="D854">
        <v>1285</v>
      </c>
      <c r="F854" s="1" t="s">
        <v>567</v>
      </c>
      <c r="H854" t="s">
        <v>313</v>
      </c>
      <c r="I854" t="s">
        <v>314</v>
      </c>
      <c r="J854" s="2">
        <v>45199</v>
      </c>
      <c r="K854">
        <v>75962.5</v>
      </c>
      <c r="M854" s="1" t="s">
        <v>567</v>
      </c>
    </row>
    <row r="855" spans="1:13">
      <c r="A855" t="s">
        <v>256</v>
      </c>
      <c r="B855">
        <v>180</v>
      </c>
      <c r="C855" s="2">
        <v>45351</v>
      </c>
      <c r="D855">
        <v>1508</v>
      </c>
      <c r="F855" s="1" t="s">
        <v>567</v>
      </c>
      <c r="H855" t="s">
        <v>313</v>
      </c>
      <c r="I855" t="s">
        <v>314</v>
      </c>
      <c r="J855" s="2">
        <v>45230</v>
      </c>
      <c r="K855">
        <v>73677.5</v>
      </c>
      <c r="M855" s="1" t="s">
        <v>567</v>
      </c>
    </row>
    <row r="856" spans="1:13">
      <c r="A856" t="s">
        <v>256</v>
      </c>
      <c r="B856">
        <v>180</v>
      </c>
      <c r="C856" s="2">
        <v>45382</v>
      </c>
      <c r="D856">
        <v>1349</v>
      </c>
      <c r="F856" s="1" t="s">
        <v>567</v>
      </c>
      <c r="H856" t="s">
        <v>313</v>
      </c>
      <c r="I856" t="s">
        <v>314</v>
      </c>
      <c r="J856" s="2">
        <v>45260</v>
      </c>
      <c r="K856">
        <v>73677.5</v>
      </c>
      <c r="M856" s="1" t="s">
        <v>567</v>
      </c>
    </row>
    <row r="857" spans="1:13">
      <c r="A857" t="s">
        <v>256</v>
      </c>
      <c r="B857">
        <v>180</v>
      </c>
      <c r="C857" s="2">
        <v>45412</v>
      </c>
      <c r="D857">
        <v>1583</v>
      </c>
      <c r="F857" s="1" t="s">
        <v>567</v>
      </c>
      <c r="H857" t="s">
        <v>313</v>
      </c>
      <c r="I857" t="s">
        <v>314</v>
      </c>
      <c r="J857" s="2">
        <v>45291</v>
      </c>
      <c r="K857">
        <v>73677.5</v>
      </c>
      <c r="M857" s="1" t="s">
        <v>567</v>
      </c>
    </row>
    <row r="858" spans="1:13">
      <c r="A858" t="s">
        <v>256</v>
      </c>
      <c r="B858">
        <v>180</v>
      </c>
      <c r="C858" s="2">
        <v>45443</v>
      </c>
      <c r="D858">
        <v>1416</v>
      </c>
      <c r="F858" s="1" t="s">
        <v>567</v>
      </c>
      <c r="H858" t="s">
        <v>313</v>
      </c>
      <c r="I858" t="s">
        <v>314</v>
      </c>
      <c r="J858" s="2">
        <v>45322</v>
      </c>
      <c r="K858">
        <v>73677.5</v>
      </c>
      <c r="M858" s="1" t="s">
        <v>567</v>
      </c>
    </row>
    <row r="859" spans="1:13">
      <c r="A859" t="s">
        <v>256</v>
      </c>
      <c r="B859">
        <v>180</v>
      </c>
      <c r="C859" s="2">
        <v>45473</v>
      </c>
      <c r="D859">
        <v>1662</v>
      </c>
      <c r="F859" s="1" t="s">
        <v>567</v>
      </c>
      <c r="H859" t="s">
        <v>313</v>
      </c>
      <c r="I859" t="s">
        <v>314</v>
      </c>
      <c r="J859" s="2">
        <v>45351</v>
      </c>
      <c r="K859">
        <v>73677.5</v>
      </c>
      <c r="M859" s="1" t="s">
        <v>567</v>
      </c>
    </row>
    <row r="860" spans="1:13">
      <c r="A860" t="s">
        <v>256</v>
      </c>
      <c r="B860">
        <v>180</v>
      </c>
      <c r="C860" s="2">
        <v>45504</v>
      </c>
      <c r="D860">
        <v>1745</v>
      </c>
      <c r="F860" s="1" t="s">
        <v>567</v>
      </c>
      <c r="H860" t="s">
        <v>313</v>
      </c>
      <c r="I860" t="s">
        <v>314</v>
      </c>
      <c r="J860" s="2">
        <v>45382</v>
      </c>
      <c r="K860">
        <v>73677.5</v>
      </c>
      <c r="M860" s="1" t="s">
        <v>567</v>
      </c>
    </row>
    <row r="861" spans="1:13">
      <c r="A861" t="s">
        <v>256</v>
      </c>
      <c r="B861">
        <v>180</v>
      </c>
      <c r="C861" s="2">
        <v>45535</v>
      </c>
      <c r="D861">
        <v>1745</v>
      </c>
      <c r="F861" s="1" t="s">
        <v>567</v>
      </c>
      <c r="H861" t="s">
        <v>313</v>
      </c>
      <c r="I861" t="s">
        <v>314</v>
      </c>
      <c r="J861" s="2">
        <v>45412</v>
      </c>
      <c r="K861">
        <v>73677.5</v>
      </c>
      <c r="M861" s="1" t="s">
        <v>567</v>
      </c>
    </row>
    <row r="862" spans="1:13">
      <c r="A862" t="s">
        <v>256</v>
      </c>
      <c r="B862">
        <v>180</v>
      </c>
      <c r="C862" s="2">
        <v>45565</v>
      </c>
      <c r="D862">
        <v>1833</v>
      </c>
      <c r="F862" s="1" t="s">
        <v>567</v>
      </c>
      <c r="H862" t="s">
        <v>313</v>
      </c>
      <c r="I862" t="s">
        <v>314</v>
      </c>
      <c r="J862" s="2">
        <v>45443</v>
      </c>
      <c r="K862">
        <v>73677.5</v>
      </c>
      <c r="M862" s="1" t="s">
        <v>567</v>
      </c>
    </row>
    <row r="863" spans="1:13">
      <c r="A863" t="s">
        <v>256</v>
      </c>
      <c r="B863">
        <v>180</v>
      </c>
      <c r="C863" s="2">
        <v>45596</v>
      </c>
      <c r="D863">
        <v>1833</v>
      </c>
      <c r="F863" s="1" t="s">
        <v>567</v>
      </c>
      <c r="H863" t="s">
        <v>313</v>
      </c>
      <c r="I863" t="s">
        <v>314</v>
      </c>
      <c r="J863" s="2">
        <v>45473</v>
      </c>
      <c r="K863">
        <v>73677.5</v>
      </c>
      <c r="M863" s="1" t="s">
        <v>567</v>
      </c>
    </row>
    <row r="864" spans="1:13">
      <c r="A864" t="s">
        <v>256</v>
      </c>
      <c r="B864">
        <v>180</v>
      </c>
      <c r="C864" s="2">
        <v>45626</v>
      </c>
      <c r="D864">
        <v>1924</v>
      </c>
      <c r="F864" s="1" t="s">
        <v>567</v>
      </c>
      <c r="H864" t="s">
        <v>313</v>
      </c>
      <c r="I864" t="s">
        <v>314</v>
      </c>
      <c r="J864" s="2">
        <v>45504</v>
      </c>
      <c r="K864">
        <v>73677.5</v>
      </c>
      <c r="M864" s="1" t="s">
        <v>567</v>
      </c>
    </row>
    <row r="865" spans="1:13">
      <c r="A865" t="s">
        <v>256</v>
      </c>
      <c r="B865">
        <v>180</v>
      </c>
      <c r="C865" s="2">
        <v>45657</v>
      </c>
      <c r="D865">
        <v>2021</v>
      </c>
      <c r="F865" s="1" t="s">
        <v>567</v>
      </c>
      <c r="H865" t="s">
        <v>313</v>
      </c>
      <c r="I865" t="s">
        <v>314</v>
      </c>
      <c r="J865" s="2">
        <v>45535</v>
      </c>
      <c r="K865">
        <v>73677.5</v>
      </c>
      <c r="M865" s="1" t="s">
        <v>567</v>
      </c>
    </row>
    <row r="866" spans="1:13">
      <c r="A866" t="s">
        <v>256</v>
      </c>
      <c r="B866">
        <v>180</v>
      </c>
      <c r="C866" s="2">
        <v>45688</v>
      </c>
      <c r="D866">
        <v>2121.61</v>
      </c>
      <c r="F866" s="1" t="s">
        <v>567</v>
      </c>
      <c r="H866" t="s">
        <v>313</v>
      </c>
      <c r="I866" t="s">
        <v>314</v>
      </c>
      <c r="J866" s="2">
        <v>45565</v>
      </c>
      <c r="K866">
        <v>73677.5</v>
      </c>
      <c r="M866" s="1" t="s">
        <v>567</v>
      </c>
    </row>
    <row r="867" spans="1:13">
      <c r="A867" t="s">
        <v>256</v>
      </c>
      <c r="B867">
        <v>180</v>
      </c>
      <c r="C867" s="2">
        <v>45716</v>
      </c>
      <c r="D867">
        <v>2228</v>
      </c>
      <c r="F867" s="1" t="s">
        <v>567</v>
      </c>
      <c r="H867" t="s">
        <v>313</v>
      </c>
      <c r="I867" t="s">
        <v>314</v>
      </c>
      <c r="J867" s="2">
        <v>45596</v>
      </c>
      <c r="K867">
        <v>73677.5</v>
      </c>
      <c r="M867" s="1" t="s">
        <v>567</v>
      </c>
    </row>
    <row r="868" spans="1:13">
      <c r="A868" t="s">
        <v>256</v>
      </c>
      <c r="B868">
        <v>180</v>
      </c>
      <c r="C868" s="2">
        <v>45747</v>
      </c>
      <c r="D868">
        <v>2339</v>
      </c>
      <c r="F868" s="1" t="s">
        <v>567</v>
      </c>
      <c r="H868" t="s">
        <v>313</v>
      </c>
      <c r="I868" t="s">
        <v>314</v>
      </c>
      <c r="J868" s="2">
        <v>45626</v>
      </c>
      <c r="K868">
        <v>73677.5</v>
      </c>
      <c r="M868" s="1" t="s">
        <v>567</v>
      </c>
    </row>
    <row r="869" spans="1:13">
      <c r="A869" t="s">
        <v>256</v>
      </c>
      <c r="B869">
        <v>180</v>
      </c>
      <c r="C869" s="2">
        <v>45777</v>
      </c>
      <c r="D869">
        <v>2456</v>
      </c>
      <c r="F869" s="1" t="s">
        <v>567</v>
      </c>
      <c r="H869" t="s">
        <v>313</v>
      </c>
      <c r="I869" t="s">
        <v>314</v>
      </c>
      <c r="J869" s="2">
        <v>45657</v>
      </c>
      <c r="K869">
        <v>73677.5</v>
      </c>
      <c r="M869" s="1" t="s">
        <v>567</v>
      </c>
    </row>
    <row r="870" spans="1:13">
      <c r="A870" t="s">
        <v>256</v>
      </c>
      <c r="B870">
        <v>180</v>
      </c>
      <c r="C870" s="2">
        <v>45808</v>
      </c>
      <c r="D870">
        <v>2579</v>
      </c>
      <c r="F870" s="1" t="s">
        <v>567</v>
      </c>
      <c r="H870" t="s">
        <v>313</v>
      </c>
      <c r="I870" t="s">
        <v>314</v>
      </c>
      <c r="J870" s="2">
        <v>45688</v>
      </c>
      <c r="K870">
        <v>73677.5</v>
      </c>
      <c r="M870" s="1" t="s">
        <v>567</v>
      </c>
    </row>
    <row r="871" spans="1:13">
      <c r="A871" t="s">
        <v>256</v>
      </c>
      <c r="B871">
        <v>180</v>
      </c>
      <c r="C871" s="2">
        <v>45838</v>
      </c>
      <c r="D871">
        <v>2707.78</v>
      </c>
      <c r="F871" s="1" t="s">
        <v>567</v>
      </c>
      <c r="H871" t="s">
        <v>313</v>
      </c>
      <c r="I871" t="s">
        <v>314</v>
      </c>
      <c r="J871" s="2">
        <v>45716</v>
      </c>
      <c r="K871">
        <v>73677.5</v>
      </c>
      <c r="M871" s="1" t="s">
        <v>567</v>
      </c>
    </row>
    <row r="872" spans="1:13">
      <c r="A872" t="s">
        <v>256</v>
      </c>
      <c r="B872">
        <v>180</v>
      </c>
      <c r="C872" s="2">
        <v>45869</v>
      </c>
      <c r="D872">
        <v>2843.16</v>
      </c>
      <c r="F872" s="1" t="s">
        <v>567</v>
      </c>
      <c r="H872" t="s">
        <v>313</v>
      </c>
      <c r="I872" t="s">
        <v>314</v>
      </c>
      <c r="J872" s="2">
        <v>45747</v>
      </c>
      <c r="K872">
        <v>73677.5</v>
      </c>
      <c r="M872" s="1" t="s">
        <v>567</v>
      </c>
    </row>
    <row r="873" spans="1:13">
      <c r="A873" t="s">
        <v>256</v>
      </c>
      <c r="B873">
        <v>180</v>
      </c>
      <c r="C873" s="2">
        <v>45900</v>
      </c>
      <c r="D873">
        <v>2985.31</v>
      </c>
      <c r="F873" s="1" t="s">
        <v>567</v>
      </c>
      <c r="H873" t="s">
        <v>313</v>
      </c>
      <c r="I873" t="s">
        <v>314</v>
      </c>
      <c r="J873" s="2">
        <v>45777</v>
      </c>
      <c r="K873">
        <v>73677.5</v>
      </c>
      <c r="M873" s="1" t="s">
        <v>567</v>
      </c>
    </row>
    <row r="874" spans="1:13">
      <c r="A874" t="s">
        <v>256</v>
      </c>
      <c r="B874">
        <v>180</v>
      </c>
      <c r="C874" s="2">
        <v>45930</v>
      </c>
      <c r="D874">
        <v>3134.58</v>
      </c>
      <c r="F874" s="1" t="s">
        <v>567</v>
      </c>
      <c r="H874" t="s">
        <v>313</v>
      </c>
      <c r="I874" t="s">
        <v>314</v>
      </c>
      <c r="J874" s="2">
        <v>45808</v>
      </c>
      <c r="K874">
        <v>73677.5</v>
      </c>
      <c r="M874" s="1" t="s">
        <v>567</v>
      </c>
    </row>
    <row r="875" spans="1:13">
      <c r="A875" t="s">
        <v>256</v>
      </c>
      <c r="B875">
        <v>180</v>
      </c>
      <c r="C875" s="2">
        <v>45961</v>
      </c>
      <c r="D875">
        <v>3291.31</v>
      </c>
      <c r="F875" s="1" t="s">
        <v>567</v>
      </c>
      <c r="H875" t="s">
        <v>313</v>
      </c>
      <c r="I875" t="s">
        <v>314</v>
      </c>
      <c r="J875" s="2">
        <v>45838</v>
      </c>
      <c r="K875">
        <v>74677.5</v>
      </c>
      <c r="M875" s="1" t="s">
        <v>567</v>
      </c>
    </row>
    <row r="876" spans="1:13">
      <c r="A876" t="s">
        <v>256</v>
      </c>
      <c r="B876">
        <v>180</v>
      </c>
      <c r="C876" s="2">
        <v>45991</v>
      </c>
      <c r="D876">
        <v>3455.87</v>
      </c>
      <c r="F876" s="1" t="s">
        <v>567</v>
      </c>
      <c r="H876" t="s">
        <v>313</v>
      </c>
      <c r="I876" t="s">
        <v>314</v>
      </c>
      <c r="J876" s="2">
        <v>45869</v>
      </c>
      <c r="K876">
        <v>74677.5</v>
      </c>
      <c r="M876" s="1" t="s">
        <v>567</v>
      </c>
    </row>
    <row r="877" spans="1:13">
      <c r="A877" t="s">
        <v>257</v>
      </c>
      <c r="B877">
        <v>181</v>
      </c>
      <c r="C877" s="2">
        <v>44957</v>
      </c>
      <c r="D877">
        <v>57</v>
      </c>
      <c r="F877" s="1" t="s">
        <v>567</v>
      </c>
      <c r="H877" t="s">
        <v>313</v>
      </c>
      <c r="I877" t="s">
        <v>314</v>
      </c>
      <c r="J877" s="2">
        <v>45900</v>
      </c>
      <c r="K877">
        <v>75177.5</v>
      </c>
      <c r="M877" s="1" t="s">
        <v>567</v>
      </c>
    </row>
    <row r="878" spans="1:13">
      <c r="A878" t="s">
        <v>257</v>
      </c>
      <c r="B878">
        <v>181</v>
      </c>
      <c r="C878" s="2">
        <v>44985</v>
      </c>
      <c r="D878">
        <v>57</v>
      </c>
      <c r="F878" s="1" t="s">
        <v>567</v>
      </c>
      <c r="H878" t="s">
        <v>313</v>
      </c>
      <c r="I878" t="s">
        <v>314</v>
      </c>
      <c r="J878" s="2">
        <v>45930</v>
      </c>
      <c r="K878">
        <v>75177.5</v>
      </c>
      <c r="M878" s="1" t="s">
        <v>567</v>
      </c>
    </row>
    <row r="879" spans="1:13">
      <c r="A879" t="s">
        <v>257</v>
      </c>
      <c r="B879">
        <v>181</v>
      </c>
      <c r="C879" s="2">
        <v>45016</v>
      </c>
      <c r="D879">
        <v>57</v>
      </c>
      <c r="F879" s="1" t="s">
        <v>567</v>
      </c>
      <c r="H879" t="s">
        <v>313</v>
      </c>
      <c r="I879" t="s">
        <v>314</v>
      </c>
      <c r="J879" s="2">
        <v>45961</v>
      </c>
      <c r="K879">
        <v>75177.5</v>
      </c>
      <c r="M879" s="1" t="s">
        <v>567</v>
      </c>
    </row>
    <row r="880" spans="1:13">
      <c r="A880" t="s">
        <v>257</v>
      </c>
      <c r="B880">
        <v>181</v>
      </c>
      <c r="C880" s="2">
        <v>45046</v>
      </c>
      <c r="D880">
        <v>57.5</v>
      </c>
      <c r="F880" s="1" t="s">
        <v>567</v>
      </c>
      <c r="H880" t="s">
        <v>313</v>
      </c>
      <c r="I880" t="s">
        <v>314</v>
      </c>
      <c r="J880" s="2">
        <v>45991</v>
      </c>
      <c r="K880">
        <v>76177.5</v>
      </c>
      <c r="M880" s="1" t="s">
        <v>567</v>
      </c>
    </row>
    <row r="881" spans="1:13">
      <c r="A881" t="s">
        <v>257</v>
      </c>
      <c r="B881">
        <v>181</v>
      </c>
      <c r="C881" s="2">
        <v>45077</v>
      </c>
      <c r="D881">
        <v>57</v>
      </c>
      <c r="F881" s="1" t="s">
        <v>567</v>
      </c>
      <c r="H881" t="s">
        <v>316</v>
      </c>
      <c r="I881">
        <v>162</v>
      </c>
      <c r="J881" s="2">
        <v>44957</v>
      </c>
      <c r="K881">
        <v>500000</v>
      </c>
      <c r="M881" s="1" t="s">
        <v>567</v>
      </c>
    </row>
    <row r="882" spans="1:13">
      <c r="A882" t="s">
        <v>257</v>
      </c>
      <c r="B882">
        <v>181</v>
      </c>
      <c r="C882" s="2">
        <v>45107</v>
      </c>
      <c r="D882">
        <v>57</v>
      </c>
      <c r="F882" s="1" t="s">
        <v>567</v>
      </c>
      <c r="H882" t="s">
        <v>316</v>
      </c>
      <c r="I882">
        <v>162</v>
      </c>
      <c r="J882" s="2">
        <v>44985</v>
      </c>
      <c r="K882">
        <v>500000</v>
      </c>
      <c r="M882" s="1" t="s">
        <v>567</v>
      </c>
    </row>
    <row r="883" spans="1:13">
      <c r="A883" t="s">
        <v>257</v>
      </c>
      <c r="B883">
        <v>181</v>
      </c>
      <c r="C883" s="2">
        <v>45138</v>
      </c>
      <c r="D883">
        <v>57</v>
      </c>
      <c r="F883" s="1" t="s">
        <v>567</v>
      </c>
      <c r="H883" t="s">
        <v>316</v>
      </c>
      <c r="I883">
        <v>162</v>
      </c>
      <c r="J883" s="2">
        <v>45016</v>
      </c>
      <c r="K883">
        <v>500000</v>
      </c>
      <c r="M883" s="1" t="s">
        <v>567</v>
      </c>
    </row>
    <row r="884" spans="1:13">
      <c r="A884" t="s">
        <v>257</v>
      </c>
      <c r="B884">
        <v>181</v>
      </c>
      <c r="C884" s="2">
        <v>45169</v>
      </c>
      <c r="D884">
        <v>57</v>
      </c>
      <c r="F884" s="1" t="s">
        <v>567</v>
      </c>
      <c r="H884" t="s">
        <v>316</v>
      </c>
      <c r="I884">
        <v>162</v>
      </c>
      <c r="J884" s="2">
        <v>45046</v>
      </c>
      <c r="K884">
        <v>500000</v>
      </c>
      <c r="M884" s="1" t="s">
        <v>567</v>
      </c>
    </row>
    <row r="885" spans="1:13">
      <c r="A885" t="s">
        <v>257</v>
      </c>
      <c r="B885">
        <v>181</v>
      </c>
      <c r="C885" s="2">
        <v>45199</v>
      </c>
      <c r="D885">
        <v>57</v>
      </c>
      <c r="F885" s="1" t="s">
        <v>567</v>
      </c>
      <c r="H885" t="s">
        <v>316</v>
      </c>
      <c r="I885">
        <v>162</v>
      </c>
      <c r="J885" s="2">
        <v>45077</v>
      </c>
      <c r="K885">
        <v>500000</v>
      </c>
      <c r="M885" s="1" t="s">
        <v>567</v>
      </c>
    </row>
    <row r="886" spans="1:13">
      <c r="A886" t="s">
        <v>257</v>
      </c>
      <c r="B886">
        <v>181</v>
      </c>
      <c r="C886" s="2">
        <v>45230</v>
      </c>
      <c r="D886">
        <v>57</v>
      </c>
      <c r="F886" s="1" t="s">
        <v>567</v>
      </c>
      <c r="H886" t="s">
        <v>316</v>
      </c>
      <c r="I886">
        <v>162</v>
      </c>
      <c r="J886" s="2">
        <v>45107</v>
      </c>
      <c r="K886">
        <v>500000</v>
      </c>
      <c r="M886" s="1" t="s">
        <v>567</v>
      </c>
    </row>
    <row r="887" spans="1:13">
      <c r="A887" t="s">
        <v>257</v>
      </c>
      <c r="B887">
        <v>181</v>
      </c>
      <c r="C887" s="2">
        <v>45260</v>
      </c>
      <c r="D887">
        <v>58</v>
      </c>
      <c r="F887" s="1" t="s">
        <v>567</v>
      </c>
      <c r="H887" t="s">
        <v>316</v>
      </c>
      <c r="I887">
        <v>162</v>
      </c>
      <c r="J887" s="2">
        <v>45138</v>
      </c>
      <c r="K887">
        <v>500000</v>
      </c>
      <c r="M887" s="1" t="s">
        <v>567</v>
      </c>
    </row>
    <row r="888" spans="1:13">
      <c r="A888" t="s">
        <v>257</v>
      </c>
      <c r="B888">
        <v>181</v>
      </c>
      <c r="C888" s="2">
        <v>45291</v>
      </c>
      <c r="D888">
        <v>99</v>
      </c>
      <c r="F888" s="1" t="s">
        <v>567</v>
      </c>
      <c r="H888" t="s">
        <v>316</v>
      </c>
      <c r="I888">
        <v>162</v>
      </c>
      <c r="J888" s="2">
        <v>45169</v>
      </c>
      <c r="K888">
        <v>500000</v>
      </c>
      <c r="M888" s="1" t="s">
        <v>567</v>
      </c>
    </row>
    <row r="889" spans="1:13">
      <c r="A889" t="s">
        <v>257</v>
      </c>
      <c r="B889">
        <v>181</v>
      </c>
      <c r="C889" s="2">
        <v>45322</v>
      </c>
      <c r="D889">
        <v>60</v>
      </c>
      <c r="F889" s="1" t="s">
        <v>567</v>
      </c>
      <c r="H889" t="s">
        <v>316</v>
      </c>
      <c r="I889">
        <v>162</v>
      </c>
      <c r="J889" s="2">
        <v>45199</v>
      </c>
      <c r="K889">
        <v>500000</v>
      </c>
      <c r="M889" s="1" t="s">
        <v>567</v>
      </c>
    </row>
    <row r="890" spans="1:13">
      <c r="A890" t="s">
        <v>257</v>
      </c>
      <c r="B890">
        <v>181</v>
      </c>
      <c r="C890" s="2">
        <v>45351</v>
      </c>
      <c r="D890">
        <v>104</v>
      </c>
      <c r="F890" s="1" t="s">
        <v>567</v>
      </c>
      <c r="H890" t="s">
        <v>316</v>
      </c>
      <c r="I890">
        <v>162</v>
      </c>
      <c r="J890" s="2">
        <v>45230</v>
      </c>
      <c r="K890">
        <v>1500000</v>
      </c>
      <c r="M890" s="1" t="s">
        <v>567</v>
      </c>
    </row>
    <row r="891" spans="1:13">
      <c r="A891" t="s">
        <v>257</v>
      </c>
      <c r="B891">
        <v>181</v>
      </c>
      <c r="C891" s="2">
        <v>45382</v>
      </c>
      <c r="D891">
        <v>63</v>
      </c>
      <c r="F891" s="1" t="s">
        <v>567</v>
      </c>
      <c r="H891" t="s">
        <v>316</v>
      </c>
      <c r="I891">
        <v>162</v>
      </c>
      <c r="J891" s="2">
        <v>45260</v>
      </c>
      <c r="K891">
        <v>1500000</v>
      </c>
      <c r="M891" s="1" t="s">
        <v>567</v>
      </c>
    </row>
    <row r="892" spans="1:13">
      <c r="A892" t="s">
        <v>257</v>
      </c>
      <c r="B892">
        <v>181</v>
      </c>
      <c r="C892" s="2">
        <v>45412</v>
      </c>
      <c r="D892">
        <v>109</v>
      </c>
      <c r="F892" s="1" t="s">
        <v>567</v>
      </c>
      <c r="H892" t="s">
        <v>316</v>
      </c>
      <c r="I892">
        <v>162</v>
      </c>
      <c r="J892" s="2">
        <v>45291</v>
      </c>
      <c r="K892">
        <v>1500000</v>
      </c>
      <c r="M892" s="1" t="s">
        <v>567</v>
      </c>
    </row>
    <row r="893" spans="1:13">
      <c r="A893" t="s">
        <v>257</v>
      </c>
      <c r="B893">
        <v>181</v>
      </c>
      <c r="C893" s="2">
        <v>45443</v>
      </c>
      <c r="D893">
        <v>67</v>
      </c>
      <c r="F893" s="1" t="s">
        <v>567</v>
      </c>
      <c r="H893" t="s">
        <v>316</v>
      </c>
      <c r="I893">
        <v>162</v>
      </c>
      <c r="J893" s="2">
        <v>45322</v>
      </c>
      <c r="K893">
        <v>1500000</v>
      </c>
      <c r="M893" s="1" t="s">
        <v>567</v>
      </c>
    </row>
    <row r="894" spans="1:13">
      <c r="A894" t="s">
        <v>257</v>
      </c>
      <c r="B894">
        <v>181</v>
      </c>
      <c r="C894" s="2">
        <v>45473</v>
      </c>
      <c r="D894">
        <v>114</v>
      </c>
      <c r="F894" s="1" t="s">
        <v>567</v>
      </c>
      <c r="H894" t="s">
        <v>316</v>
      </c>
      <c r="I894">
        <v>162</v>
      </c>
      <c r="J894" s="2">
        <v>45351</v>
      </c>
      <c r="K894">
        <v>1500000</v>
      </c>
      <c r="M894" s="1" t="s">
        <v>567</v>
      </c>
    </row>
    <row r="895" spans="1:13">
      <c r="A895" t="s">
        <v>257</v>
      </c>
      <c r="B895">
        <v>181</v>
      </c>
      <c r="C895" s="2">
        <v>45504</v>
      </c>
      <c r="D895">
        <v>120</v>
      </c>
      <c r="F895" s="1" t="s">
        <v>567</v>
      </c>
      <c r="H895" t="s">
        <v>316</v>
      </c>
      <c r="I895">
        <v>162</v>
      </c>
      <c r="J895" s="2">
        <v>45382</v>
      </c>
      <c r="K895">
        <v>1500000</v>
      </c>
      <c r="M895" s="1" t="s">
        <v>567</v>
      </c>
    </row>
    <row r="896" spans="1:13">
      <c r="A896" t="s">
        <v>257</v>
      </c>
      <c r="B896">
        <v>181</v>
      </c>
      <c r="C896" s="2">
        <v>45535</v>
      </c>
      <c r="D896">
        <v>120</v>
      </c>
      <c r="F896" s="1" t="s">
        <v>567</v>
      </c>
      <c r="H896" t="s">
        <v>316</v>
      </c>
      <c r="I896">
        <v>162</v>
      </c>
      <c r="J896" s="2">
        <v>45412</v>
      </c>
      <c r="K896">
        <v>1500000</v>
      </c>
      <c r="M896" s="1" t="s">
        <v>567</v>
      </c>
    </row>
    <row r="897" spans="1:13">
      <c r="A897" t="s">
        <v>257</v>
      </c>
      <c r="B897">
        <v>181</v>
      </c>
      <c r="C897" s="2">
        <v>45565</v>
      </c>
      <c r="D897">
        <v>126</v>
      </c>
      <c r="F897" s="1" t="s">
        <v>567</v>
      </c>
      <c r="H897" t="s">
        <v>316</v>
      </c>
      <c r="I897">
        <v>162</v>
      </c>
      <c r="J897" s="2">
        <v>45443</v>
      </c>
      <c r="K897">
        <v>1500000</v>
      </c>
      <c r="M897" s="1" t="s">
        <v>567</v>
      </c>
    </row>
    <row r="898" spans="1:13">
      <c r="A898" t="s">
        <v>257</v>
      </c>
      <c r="B898">
        <v>181</v>
      </c>
      <c r="C898" s="2">
        <v>45596</v>
      </c>
      <c r="D898">
        <v>126.34</v>
      </c>
      <c r="F898" s="1" t="s">
        <v>567</v>
      </c>
      <c r="H898" t="s">
        <v>316</v>
      </c>
      <c r="I898">
        <v>162</v>
      </c>
      <c r="J898" s="2">
        <v>45473</v>
      </c>
      <c r="K898">
        <v>1500000</v>
      </c>
      <c r="M898" s="1" t="s">
        <v>567</v>
      </c>
    </row>
    <row r="899" spans="1:13">
      <c r="A899" t="s">
        <v>257</v>
      </c>
      <c r="B899">
        <v>181</v>
      </c>
      <c r="C899" s="2">
        <v>45626</v>
      </c>
      <c r="D899">
        <v>132.34</v>
      </c>
      <c r="F899" s="1" t="s">
        <v>567</v>
      </c>
      <c r="H899" t="s">
        <v>316</v>
      </c>
      <c r="I899">
        <v>162</v>
      </c>
      <c r="J899" s="2">
        <v>45504</v>
      </c>
      <c r="K899">
        <v>1500000</v>
      </c>
      <c r="M899" s="1" t="s">
        <v>567</v>
      </c>
    </row>
    <row r="900" spans="1:13">
      <c r="A900" t="s">
        <v>257</v>
      </c>
      <c r="B900">
        <v>181</v>
      </c>
      <c r="C900" s="2">
        <v>45657</v>
      </c>
      <c r="D900">
        <v>139</v>
      </c>
      <c r="F900" s="1" t="s">
        <v>567</v>
      </c>
      <c r="H900" t="s">
        <v>316</v>
      </c>
      <c r="I900">
        <v>162</v>
      </c>
      <c r="J900" s="2">
        <v>45535</v>
      </c>
      <c r="K900">
        <v>1500000</v>
      </c>
      <c r="M900" s="1" t="s">
        <v>567</v>
      </c>
    </row>
    <row r="901" spans="1:13">
      <c r="A901" t="s">
        <v>257</v>
      </c>
      <c r="B901">
        <v>181</v>
      </c>
      <c r="C901" s="2">
        <v>45688</v>
      </c>
      <c r="D901">
        <v>145.83000000000001</v>
      </c>
      <c r="F901" s="1" t="s">
        <v>567</v>
      </c>
      <c r="H901" t="s">
        <v>316</v>
      </c>
      <c r="I901">
        <v>162</v>
      </c>
      <c r="J901" s="2">
        <v>45565</v>
      </c>
      <c r="K901">
        <v>1500000</v>
      </c>
      <c r="M901" s="1" t="s">
        <v>567</v>
      </c>
    </row>
    <row r="902" spans="1:13">
      <c r="A902" t="s">
        <v>257</v>
      </c>
      <c r="B902">
        <v>181</v>
      </c>
      <c r="C902" s="2">
        <v>45716</v>
      </c>
      <c r="D902">
        <v>153</v>
      </c>
      <c r="F902" s="1" t="s">
        <v>567</v>
      </c>
      <c r="H902" t="s">
        <v>316</v>
      </c>
      <c r="I902">
        <v>162</v>
      </c>
      <c r="J902" s="2">
        <v>45596</v>
      </c>
      <c r="K902">
        <v>1500000</v>
      </c>
      <c r="M902" s="1" t="s">
        <v>567</v>
      </c>
    </row>
    <row r="903" spans="1:13">
      <c r="A903" t="s">
        <v>257</v>
      </c>
      <c r="B903">
        <v>181</v>
      </c>
      <c r="C903" s="2">
        <v>45747</v>
      </c>
      <c r="D903">
        <v>161</v>
      </c>
      <c r="F903" s="1" t="s">
        <v>567</v>
      </c>
      <c r="H903" t="s">
        <v>316</v>
      </c>
      <c r="I903">
        <v>162</v>
      </c>
      <c r="J903" s="2">
        <v>45626</v>
      </c>
      <c r="K903">
        <v>1500000</v>
      </c>
      <c r="M903" s="1" t="s">
        <v>567</v>
      </c>
    </row>
    <row r="904" spans="1:13">
      <c r="A904" t="s">
        <v>257</v>
      </c>
      <c r="B904">
        <v>181</v>
      </c>
      <c r="C904" s="2">
        <v>45777</v>
      </c>
      <c r="D904">
        <v>169</v>
      </c>
      <c r="F904" s="1" t="s">
        <v>567</v>
      </c>
      <c r="H904" t="s">
        <v>316</v>
      </c>
      <c r="I904">
        <v>162</v>
      </c>
      <c r="J904" s="2">
        <v>45657</v>
      </c>
      <c r="K904">
        <v>1500000</v>
      </c>
      <c r="M904" s="1" t="s">
        <v>567</v>
      </c>
    </row>
    <row r="905" spans="1:13">
      <c r="A905" t="s">
        <v>257</v>
      </c>
      <c r="B905">
        <v>181</v>
      </c>
      <c r="C905" s="2">
        <v>45808</v>
      </c>
      <c r="D905">
        <v>177</v>
      </c>
      <c r="F905" s="1" t="s">
        <v>567</v>
      </c>
      <c r="H905" t="s">
        <v>316</v>
      </c>
      <c r="I905">
        <v>162</v>
      </c>
      <c r="J905" s="2">
        <v>45688</v>
      </c>
      <c r="K905">
        <v>1500000</v>
      </c>
      <c r="M905" s="1" t="s">
        <v>567</v>
      </c>
    </row>
    <row r="906" spans="1:13">
      <c r="A906" t="s">
        <v>257</v>
      </c>
      <c r="B906">
        <v>181</v>
      </c>
      <c r="C906" s="2">
        <v>45838</v>
      </c>
      <c r="D906">
        <v>186.13</v>
      </c>
      <c r="F906" s="1" t="s">
        <v>567</v>
      </c>
      <c r="H906" t="s">
        <v>316</v>
      </c>
      <c r="I906">
        <v>162</v>
      </c>
      <c r="J906" s="2">
        <v>45716</v>
      </c>
      <c r="K906">
        <v>1500000</v>
      </c>
      <c r="M906" s="1" t="s">
        <v>567</v>
      </c>
    </row>
    <row r="907" spans="1:13">
      <c r="A907" t="s">
        <v>257</v>
      </c>
      <c r="B907">
        <v>181</v>
      </c>
      <c r="C907" s="2">
        <v>45869</v>
      </c>
      <c r="D907">
        <v>195.43</v>
      </c>
      <c r="F907" s="1" t="s">
        <v>567</v>
      </c>
      <c r="H907" t="s">
        <v>316</v>
      </c>
      <c r="I907">
        <v>162</v>
      </c>
      <c r="J907" s="2">
        <v>45747</v>
      </c>
      <c r="K907">
        <v>1500000</v>
      </c>
      <c r="M907" s="1" t="s">
        <v>567</v>
      </c>
    </row>
    <row r="908" spans="1:13">
      <c r="A908" t="s">
        <v>257</v>
      </c>
      <c r="B908">
        <v>181</v>
      </c>
      <c r="C908" s="2">
        <v>45900</v>
      </c>
      <c r="D908">
        <v>205.2</v>
      </c>
      <c r="F908" s="1" t="s">
        <v>567</v>
      </c>
      <c r="H908" t="s">
        <v>316</v>
      </c>
      <c r="I908">
        <v>162</v>
      </c>
      <c r="J908" s="2">
        <v>45777</v>
      </c>
      <c r="K908">
        <v>1500000</v>
      </c>
      <c r="M908" s="1" t="s">
        <v>567</v>
      </c>
    </row>
    <row r="909" spans="1:13">
      <c r="A909" t="s">
        <v>257</v>
      </c>
      <c r="B909">
        <v>181</v>
      </c>
      <c r="C909" s="2">
        <v>45930</v>
      </c>
      <c r="D909">
        <v>215.46</v>
      </c>
      <c r="F909" s="1" t="s">
        <v>567</v>
      </c>
      <c r="H909" t="s">
        <v>316</v>
      </c>
      <c r="I909">
        <v>162</v>
      </c>
      <c r="J909" s="2">
        <v>45808</v>
      </c>
      <c r="K909">
        <v>1500000</v>
      </c>
      <c r="M909" s="1" t="s">
        <v>567</v>
      </c>
    </row>
    <row r="910" spans="1:13">
      <c r="A910" t="s">
        <v>257</v>
      </c>
      <c r="B910">
        <v>181</v>
      </c>
      <c r="C910" s="2">
        <v>45961</v>
      </c>
      <c r="D910">
        <v>226.23</v>
      </c>
      <c r="F910" s="1" t="s">
        <v>567</v>
      </c>
      <c r="H910" t="s">
        <v>316</v>
      </c>
      <c r="I910">
        <v>162</v>
      </c>
      <c r="J910" s="2">
        <v>45838</v>
      </c>
      <c r="K910">
        <v>1500000</v>
      </c>
      <c r="M910" s="1" t="s">
        <v>567</v>
      </c>
    </row>
    <row r="911" spans="1:13">
      <c r="A911" t="s">
        <v>257</v>
      </c>
      <c r="B911">
        <v>181</v>
      </c>
      <c r="C911" s="2">
        <v>45991</v>
      </c>
      <c r="D911">
        <v>237.54</v>
      </c>
      <c r="F911" s="1" t="s">
        <v>567</v>
      </c>
      <c r="H911" t="s">
        <v>316</v>
      </c>
      <c r="I911">
        <v>162</v>
      </c>
      <c r="J911" s="2">
        <v>45869</v>
      </c>
      <c r="K911">
        <v>1500000</v>
      </c>
      <c r="M911" s="1" t="s">
        <v>567</v>
      </c>
    </row>
    <row r="912" spans="1:13">
      <c r="A912" t="s">
        <v>259</v>
      </c>
      <c r="B912">
        <v>183</v>
      </c>
      <c r="C912" s="2">
        <v>44957</v>
      </c>
      <c r="D912">
        <v>150</v>
      </c>
      <c r="F912" s="1" t="s">
        <v>567</v>
      </c>
      <c r="H912" t="s">
        <v>316</v>
      </c>
      <c r="I912">
        <v>162</v>
      </c>
      <c r="J912" s="2">
        <v>45900</v>
      </c>
      <c r="K912">
        <v>1500000</v>
      </c>
      <c r="M912" s="1" t="s">
        <v>567</v>
      </c>
    </row>
    <row r="913" spans="1:13">
      <c r="A913" t="s">
        <v>259</v>
      </c>
      <c r="B913">
        <v>183</v>
      </c>
      <c r="C913" s="2">
        <v>44985</v>
      </c>
      <c r="D913">
        <v>155</v>
      </c>
      <c r="F913" s="1" t="s">
        <v>567</v>
      </c>
      <c r="H913" t="s">
        <v>316</v>
      </c>
      <c r="I913">
        <v>162</v>
      </c>
      <c r="J913" s="2">
        <v>45930</v>
      </c>
      <c r="K913">
        <v>1500000</v>
      </c>
      <c r="M913" s="1" t="s">
        <v>567</v>
      </c>
    </row>
    <row r="914" spans="1:13">
      <c r="A914" t="s">
        <v>259</v>
      </c>
      <c r="B914">
        <v>183</v>
      </c>
      <c r="C914" s="2">
        <v>45016</v>
      </c>
      <c r="D914">
        <v>161</v>
      </c>
      <c r="F914" s="1" t="s">
        <v>567</v>
      </c>
      <c r="H914" t="s">
        <v>316</v>
      </c>
      <c r="I914">
        <v>162</v>
      </c>
      <c r="J914" s="2">
        <v>45961</v>
      </c>
      <c r="K914">
        <v>1500000</v>
      </c>
      <c r="M914" s="1" t="s">
        <v>567</v>
      </c>
    </row>
    <row r="915" spans="1:13">
      <c r="A915" t="s">
        <v>259</v>
      </c>
      <c r="B915">
        <v>183</v>
      </c>
      <c r="C915" s="2">
        <v>45046</v>
      </c>
      <c r="D915">
        <v>166</v>
      </c>
      <c r="F915" s="1" t="s">
        <v>567</v>
      </c>
      <c r="H915" t="s">
        <v>316</v>
      </c>
      <c r="I915">
        <v>162</v>
      </c>
      <c r="J915" s="2">
        <v>45991</v>
      </c>
      <c r="K915">
        <v>1500000</v>
      </c>
      <c r="M915" s="1" t="s">
        <v>567</v>
      </c>
    </row>
    <row r="916" spans="1:13">
      <c r="A916" t="s">
        <v>259</v>
      </c>
      <c r="B916">
        <v>183</v>
      </c>
      <c r="C916" s="2">
        <v>45077</v>
      </c>
      <c r="D916">
        <v>172</v>
      </c>
      <c r="F916" s="1" t="s">
        <v>567</v>
      </c>
      <c r="H916" t="s">
        <v>317</v>
      </c>
      <c r="I916">
        <v>163</v>
      </c>
      <c r="J916" s="2">
        <v>44957</v>
      </c>
      <c r="K916">
        <v>2500</v>
      </c>
      <c r="M916" s="1" t="s">
        <v>567</v>
      </c>
    </row>
    <row r="917" spans="1:13">
      <c r="A917" t="s">
        <v>259</v>
      </c>
      <c r="B917">
        <v>183</v>
      </c>
      <c r="C917" s="2">
        <v>45107</v>
      </c>
      <c r="D917">
        <v>178</v>
      </c>
      <c r="F917" s="1" t="s">
        <v>567</v>
      </c>
      <c r="H917" t="s">
        <v>317</v>
      </c>
      <c r="I917">
        <v>163</v>
      </c>
      <c r="J917" s="2">
        <v>44985</v>
      </c>
      <c r="K917">
        <v>5000</v>
      </c>
      <c r="M917" s="1" t="s">
        <v>567</v>
      </c>
    </row>
    <row r="918" spans="1:13">
      <c r="A918" t="s">
        <v>259</v>
      </c>
      <c r="B918">
        <v>183</v>
      </c>
      <c r="C918" s="2">
        <v>45138</v>
      </c>
      <c r="D918">
        <v>184</v>
      </c>
      <c r="F918" s="1" t="s">
        <v>567</v>
      </c>
      <c r="H918" t="s">
        <v>317</v>
      </c>
      <c r="I918">
        <v>163</v>
      </c>
      <c r="J918" s="2">
        <v>45016</v>
      </c>
      <c r="K918">
        <v>7500</v>
      </c>
      <c r="M918" s="1" t="s">
        <v>567</v>
      </c>
    </row>
    <row r="919" spans="1:13">
      <c r="A919" t="s">
        <v>259</v>
      </c>
      <c r="B919">
        <v>183</v>
      </c>
      <c r="C919" s="2">
        <v>45169</v>
      </c>
      <c r="D919">
        <v>191</v>
      </c>
      <c r="F919" s="1" t="s">
        <v>567</v>
      </c>
      <c r="H919" t="s">
        <v>317</v>
      </c>
      <c r="I919">
        <v>163</v>
      </c>
      <c r="J919" s="2">
        <v>45046</v>
      </c>
      <c r="K919">
        <v>10000</v>
      </c>
      <c r="M919" s="1" t="s">
        <v>567</v>
      </c>
    </row>
    <row r="920" spans="1:13">
      <c r="A920" t="s">
        <v>259</v>
      </c>
      <c r="B920">
        <v>183</v>
      </c>
      <c r="C920" s="2">
        <v>45199</v>
      </c>
      <c r="D920">
        <v>198</v>
      </c>
      <c r="F920" s="1" t="s">
        <v>567</v>
      </c>
      <c r="H920" t="s">
        <v>317</v>
      </c>
      <c r="I920">
        <v>163</v>
      </c>
      <c r="J920" s="2">
        <v>45077</v>
      </c>
      <c r="K920">
        <v>12500</v>
      </c>
      <c r="M920" s="1" t="s">
        <v>567</v>
      </c>
    </row>
    <row r="921" spans="1:13">
      <c r="A921" t="s">
        <v>259</v>
      </c>
      <c r="B921">
        <v>183</v>
      </c>
      <c r="C921" s="2">
        <v>45230</v>
      </c>
      <c r="D921">
        <v>204</v>
      </c>
      <c r="F921" s="1" t="s">
        <v>567</v>
      </c>
      <c r="H921" t="s">
        <v>317</v>
      </c>
      <c r="I921">
        <v>163</v>
      </c>
      <c r="J921" s="2">
        <v>45107</v>
      </c>
      <c r="K921">
        <v>15000</v>
      </c>
      <c r="M921" s="1" t="s">
        <v>567</v>
      </c>
    </row>
    <row r="922" spans="1:13">
      <c r="A922" t="s">
        <v>259</v>
      </c>
      <c r="B922">
        <v>183</v>
      </c>
      <c r="C922" s="2">
        <v>45260</v>
      </c>
      <c r="D922">
        <v>386</v>
      </c>
      <c r="F922" s="1" t="s">
        <v>567</v>
      </c>
      <c r="H922" t="s">
        <v>317</v>
      </c>
      <c r="I922">
        <v>163</v>
      </c>
      <c r="J922" s="2">
        <v>45138</v>
      </c>
      <c r="K922">
        <v>17500</v>
      </c>
      <c r="M922" s="1" t="s">
        <v>567</v>
      </c>
    </row>
    <row r="923" spans="1:13">
      <c r="A923" t="s">
        <v>259</v>
      </c>
      <c r="B923">
        <v>183</v>
      </c>
      <c r="C923" s="2">
        <v>45291</v>
      </c>
      <c r="D923">
        <v>586</v>
      </c>
      <c r="F923" s="1" t="s">
        <v>567</v>
      </c>
      <c r="H923" t="s">
        <v>317</v>
      </c>
      <c r="I923">
        <v>163</v>
      </c>
      <c r="J923" s="2">
        <v>45169</v>
      </c>
      <c r="K923">
        <v>20000</v>
      </c>
      <c r="M923" s="1" t="s">
        <v>567</v>
      </c>
    </row>
    <row r="924" spans="1:13">
      <c r="A924" t="s">
        <v>259</v>
      </c>
      <c r="B924">
        <v>183</v>
      </c>
      <c r="C924" s="2">
        <v>45322</v>
      </c>
      <c r="D924">
        <v>406</v>
      </c>
      <c r="F924" s="1" t="s">
        <v>567</v>
      </c>
      <c r="H924" t="s">
        <v>317</v>
      </c>
      <c r="I924">
        <v>163</v>
      </c>
      <c r="J924" s="2">
        <v>45199</v>
      </c>
      <c r="K924">
        <v>22500</v>
      </c>
      <c r="M924" s="1" t="s">
        <v>567</v>
      </c>
    </row>
    <row r="925" spans="1:13">
      <c r="A925" t="s">
        <v>259</v>
      </c>
      <c r="B925">
        <v>183</v>
      </c>
      <c r="C925" s="2">
        <v>45351</v>
      </c>
      <c r="D925">
        <v>615</v>
      </c>
      <c r="F925" s="1" t="s">
        <v>567</v>
      </c>
      <c r="H925" t="s">
        <v>317</v>
      </c>
      <c r="I925">
        <v>163</v>
      </c>
      <c r="J925" s="2">
        <v>45230</v>
      </c>
      <c r="K925">
        <v>30000</v>
      </c>
      <c r="M925" s="1" t="s">
        <v>567</v>
      </c>
    </row>
    <row r="926" spans="1:13">
      <c r="A926" t="s">
        <v>259</v>
      </c>
      <c r="B926">
        <v>183</v>
      </c>
      <c r="C926" s="2">
        <v>45382</v>
      </c>
      <c r="D926">
        <v>426</v>
      </c>
      <c r="F926" s="1" t="s">
        <v>567</v>
      </c>
      <c r="H926" t="s">
        <v>317</v>
      </c>
      <c r="I926">
        <v>163</v>
      </c>
      <c r="J926" s="2">
        <v>45260</v>
      </c>
      <c r="K926">
        <v>30000</v>
      </c>
      <c r="M926" s="1" t="s">
        <v>567</v>
      </c>
    </row>
    <row r="927" spans="1:13">
      <c r="A927" t="s">
        <v>259</v>
      </c>
      <c r="B927">
        <v>183</v>
      </c>
      <c r="C927" s="2">
        <v>45412</v>
      </c>
      <c r="D927">
        <v>646</v>
      </c>
      <c r="F927" s="1" t="s">
        <v>567</v>
      </c>
      <c r="H927" t="s">
        <v>317</v>
      </c>
      <c r="I927">
        <v>163</v>
      </c>
      <c r="J927" s="2">
        <v>45291</v>
      </c>
      <c r="K927">
        <v>30000</v>
      </c>
      <c r="M927" s="1" t="s">
        <v>567</v>
      </c>
    </row>
    <row r="928" spans="1:13">
      <c r="A928" t="s">
        <v>259</v>
      </c>
      <c r="B928">
        <v>183</v>
      </c>
      <c r="C928" s="2">
        <v>45443</v>
      </c>
      <c r="D928">
        <v>447</v>
      </c>
      <c r="F928" s="1" t="s">
        <v>567</v>
      </c>
      <c r="H928" t="s">
        <v>317</v>
      </c>
      <c r="I928">
        <v>163</v>
      </c>
      <c r="J928" s="2">
        <v>45322</v>
      </c>
      <c r="K928">
        <v>30000</v>
      </c>
      <c r="M928" s="1" t="s">
        <v>567</v>
      </c>
    </row>
    <row r="929" spans="1:13">
      <c r="A929" t="s">
        <v>259</v>
      </c>
      <c r="B929">
        <v>183</v>
      </c>
      <c r="C929" s="2">
        <v>45473</v>
      </c>
      <c r="D929">
        <v>678</v>
      </c>
      <c r="F929" s="1" t="s">
        <v>567</v>
      </c>
      <c r="H929" t="s">
        <v>317</v>
      </c>
      <c r="I929">
        <v>163</v>
      </c>
      <c r="J929" s="2">
        <v>45351</v>
      </c>
      <c r="K929">
        <v>30000</v>
      </c>
      <c r="M929" s="1" t="s">
        <v>567</v>
      </c>
    </row>
    <row r="930" spans="1:13">
      <c r="A930" t="s">
        <v>259</v>
      </c>
      <c r="B930">
        <v>183</v>
      </c>
      <c r="C930" s="2">
        <v>45504</v>
      </c>
      <c r="D930">
        <v>712</v>
      </c>
      <c r="F930" s="1" t="s">
        <v>567</v>
      </c>
      <c r="H930" t="s">
        <v>317</v>
      </c>
      <c r="I930">
        <v>163</v>
      </c>
      <c r="J930" s="2">
        <v>45382</v>
      </c>
      <c r="K930">
        <v>30000</v>
      </c>
      <c r="M930" s="1" t="s">
        <v>567</v>
      </c>
    </row>
    <row r="931" spans="1:13">
      <c r="A931" t="s">
        <v>259</v>
      </c>
      <c r="B931">
        <v>183</v>
      </c>
      <c r="C931" s="2">
        <v>45535</v>
      </c>
      <c r="D931">
        <v>712</v>
      </c>
      <c r="F931" s="1" t="s">
        <v>567</v>
      </c>
      <c r="H931" t="s">
        <v>317</v>
      </c>
      <c r="I931">
        <v>163</v>
      </c>
      <c r="J931" s="2">
        <v>45412</v>
      </c>
      <c r="K931">
        <v>30000</v>
      </c>
      <c r="M931" s="1" t="s">
        <v>567</v>
      </c>
    </row>
    <row r="932" spans="1:13">
      <c r="A932" t="s">
        <v>259</v>
      </c>
      <c r="B932">
        <v>183</v>
      </c>
      <c r="C932" s="2">
        <v>45565</v>
      </c>
      <c r="D932">
        <v>748</v>
      </c>
      <c r="F932" s="1" t="s">
        <v>567</v>
      </c>
      <c r="H932" t="s">
        <v>317</v>
      </c>
      <c r="I932">
        <v>163</v>
      </c>
      <c r="J932" s="2">
        <v>45443</v>
      </c>
      <c r="K932">
        <v>30000</v>
      </c>
      <c r="M932" s="1" t="s">
        <v>567</v>
      </c>
    </row>
    <row r="933" spans="1:13">
      <c r="A933" t="s">
        <v>259</v>
      </c>
      <c r="B933">
        <v>183</v>
      </c>
      <c r="C933" s="2">
        <v>45596</v>
      </c>
      <c r="D933">
        <v>748</v>
      </c>
      <c r="F933" s="1" t="s">
        <v>567</v>
      </c>
      <c r="H933" t="s">
        <v>317</v>
      </c>
      <c r="I933">
        <v>163</v>
      </c>
      <c r="J933" s="2">
        <v>45473</v>
      </c>
      <c r="K933">
        <v>30000</v>
      </c>
      <c r="M933" s="1" t="s">
        <v>567</v>
      </c>
    </row>
    <row r="934" spans="1:13">
      <c r="A934" t="s">
        <v>259</v>
      </c>
      <c r="B934">
        <v>183</v>
      </c>
      <c r="C934" s="2">
        <v>45626</v>
      </c>
      <c r="D934">
        <v>785</v>
      </c>
      <c r="F934" s="1" t="s">
        <v>567</v>
      </c>
      <c r="H934" t="s">
        <v>317</v>
      </c>
      <c r="I934">
        <v>163</v>
      </c>
      <c r="J934" s="2">
        <v>45504</v>
      </c>
      <c r="K934">
        <v>30000</v>
      </c>
      <c r="M934" s="1" t="s">
        <v>567</v>
      </c>
    </row>
    <row r="935" spans="1:13">
      <c r="A935" t="s">
        <v>259</v>
      </c>
      <c r="B935">
        <v>183</v>
      </c>
      <c r="C935" s="2">
        <v>45657</v>
      </c>
      <c r="D935">
        <v>824</v>
      </c>
      <c r="F935" s="1" t="s">
        <v>567</v>
      </c>
      <c r="H935" t="s">
        <v>317</v>
      </c>
      <c r="I935">
        <v>163</v>
      </c>
      <c r="J935" s="2">
        <v>45535</v>
      </c>
      <c r="K935">
        <v>30000</v>
      </c>
      <c r="M935" s="1" t="s">
        <v>567</v>
      </c>
    </row>
    <row r="936" spans="1:13">
      <c r="A936" t="s">
        <v>259</v>
      </c>
      <c r="B936">
        <v>183</v>
      </c>
      <c r="C936" s="2">
        <v>45688</v>
      </c>
      <c r="D936">
        <v>865.53</v>
      </c>
      <c r="F936" s="1" t="s">
        <v>567</v>
      </c>
      <c r="H936" t="s">
        <v>317</v>
      </c>
      <c r="I936">
        <v>163</v>
      </c>
      <c r="J936" s="2">
        <v>45565</v>
      </c>
      <c r="K936">
        <v>30000</v>
      </c>
      <c r="M936" s="1" t="s">
        <v>567</v>
      </c>
    </row>
    <row r="937" spans="1:13">
      <c r="A937" t="s">
        <v>259</v>
      </c>
      <c r="B937">
        <v>183</v>
      </c>
      <c r="C937" s="2">
        <v>45716</v>
      </c>
      <c r="D937">
        <v>909</v>
      </c>
      <c r="F937" s="1" t="s">
        <v>567</v>
      </c>
      <c r="H937" t="s">
        <v>317</v>
      </c>
      <c r="I937">
        <v>163</v>
      </c>
      <c r="J937" s="2">
        <v>45596</v>
      </c>
      <c r="K937">
        <v>30000</v>
      </c>
      <c r="M937" s="1" t="s">
        <v>567</v>
      </c>
    </row>
    <row r="938" spans="1:13">
      <c r="A938" t="s">
        <v>259</v>
      </c>
      <c r="B938">
        <v>183</v>
      </c>
      <c r="C938" s="2">
        <v>45747</v>
      </c>
      <c r="D938">
        <v>954</v>
      </c>
      <c r="F938" s="1" t="s">
        <v>567</v>
      </c>
      <c r="H938" t="s">
        <v>317</v>
      </c>
      <c r="I938">
        <v>163</v>
      </c>
      <c r="J938" s="2">
        <v>45626</v>
      </c>
      <c r="K938">
        <v>30000</v>
      </c>
      <c r="M938" s="1" t="s">
        <v>567</v>
      </c>
    </row>
    <row r="939" spans="1:13">
      <c r="A939" t="s">
        <v>259</v>
      </c>
      <c r="B939">
        <v>183</v>
      </c>
      <c r="C939" s="2">
        <v>45777</v>
      </c>
      <c r="D939">
        <v>1002</v>
      </c>
      <c r="F939" s="1" t="s">
        <v>567</v>
      </c>
      <c r="H939" t="s">
        <v>317</v>
      </c>
      <c r="I939">
        <v>163</v>
      </c>
      <c r="J939" s="2">
        <v>45657</v>
      </c>
      <c r="K939">
        <v>30000</v>
      </c>
      <c r="M939" s="1" t="s">
        <v>567</v>
      </c>
    </row>
    <row r="940" spans="1:13">
      <c r="A940" t="s">
        <v>259</v>
      </c>
      <c r="B940">
        <v>183</v>
      </c>
      <c r="C940" s="2">
        <v>45808</v>
      </c>
      <c r="D940">
        <v>1052</v>
      </c>
      <c r="F940" s="1" t="s">
        <v>567</v>
      </c>
      <c r="H940" t="s">
        <v>317</v>
      </c>
      <c r="I940">
        <v>163</v>
      </c>
      <c r="J940" s="2">
        <v>45688</v>
      </c>
      <c r="K940">
        <v>30000</v>
      </c>
      <c r="M940" s="1" t="s">
        <v>567</v>
      </c>
    </row>
    <row r="941" spans="1:13">
      <c r="A941" t="s">
        <v>259</v>
      </c>
      <c r="B941">
        <v>183</v>
      </c>
      <c r="C941" s="2">
        <v>45838</v>
      </c>
      <c r="D941">
        <v>1104.6600000000001</v>
      </c>
      <c r="F941" s="1" t="s">
        <v>567</v>
      </c>
      <c r="H941" t="s">
        <v>317</v>
      </c>
      <c r="I941">
        <v>163</v>
      </c>
      <c r="J941" s="2">
        <v>45716</v>
      </c>
      <c r="K941">
        <v>30000</v>
      </c>
      <c r="M941" s="1" t="s">
        <v>567</v>
      </c>
    </row>
    <row r="942" spans="1:13">
      <c r="A942" t="s">
        <v>259</v>
      </c>
      <c r="B942">
        <v>183</v>
      </c>
      <c r="C942" s="2">
        <v>45869</v>
      </c>
      <c r="D942">
        <v>1159.9000000000001</v>
      </c>
      <c r="F942" s="1" t="s">
        <v>567</v>
      </c>
      <c r="H942" t="s">
        <v>317</v>
      </c>
      <c r="I942">
        <v>163</v>
      </c>
      <c r="J942" s="2">
        <v>45747</v>
      </c>
      <c r="K942">
        <v>30000</v>
      </c>
      <c r="M942" s="1" t="s">
        <v>567</v>
      </c>
    </row>
    <row r="943" spans="1:13">
      <c r="A943" t="s">
        <v>259</v>
      </c>
      <c r="B943">
        <v>183</v>
      </c>
      <c r="C943" s="2">
        <v>45900</v>
      </c>
      <c r="D943">
        <v>1217.8900000000001</v>
      </c>
      <c r="F943" s="1" t="s">
        <v>567</v>
      </c>
      <c r="H943" t="s">
        <v>317</v>
      </c>
      <c r="I943">
        <v>163</v>
      </c>
      <c r="J943" s="2">
        <v>45777</v>
      </c>
      <c r="K943">
        <v>30000</v>
      </c>
      <c r="M943" s="1" t="s">
        <v>567</v>
      </c>
    </row>
    <row r="944" spans="1:13">
      <c r="A944" t="s">
        <v>259</v>
      </c>
      <c r="B944">
        <v>183</v>
      </c>
      <c r="C944" s="2">
        <v>45930</v>
      </c>
      <c r="D944">
        <v>1278.79</v>
      </c>
      <c r="F944" s="1" t="s">
        <v>567</v>
      </c>
      <c r="H944" t="s">
        <v>317</v>
      </c>
      <c r="I944">
        <v>163</v>
      </c>
      <c r="J944" s="2">
        <v>45808</v>
      </c>
      <c r="K944">
        <v>30000</v>
      </c>
      <c r="M944" s="1" t="s">
        <v>567</v>
      </c>
    </row>
    <row r="945" spans="1:13">
      <c r="A945" t="s">
        <v>259</v>
      </c>
      <c r="B945">
        <v>183</v>
      </c>
      <c r="C945" s="2">
        <v>45961</v>
      </c>
      <c r="D945">
        <v>1342.73</v>
      </c>
      <c r="F945" s="1" t="s">
        <v>567</v>
      </c>
      <c r="H945" t="s">
        <v>317</v>
      </c>
      <c r="I945">
        <v>163</v>
      </c>
      <c r="J945" s="2">
        <v>45838</v>
      </c>
      <c r="K945">
        <v>30000</v>
      </c>
      <c r="M945" s="1" t="s">
        <v>567</v>
      </c>
    </row>
    <row r="946" spans="1:13">
      <c r="A946" t="s">
        <v>259</v>
      </c>
      <c r="B946">
        <v>183</v>
      </c>
      <c r="C946" s="2">
        <v>45991</v>
      </c>
      <c r="D946">
        <v>1409.86</v>
      </c>
      <c r="F946" s="1" t="s">
        <v>567</v>
      </c>
      <c r="H946" t="s">
        <v>317</v>
      </c>
      <c r="I946">
        <v>163</v>
      </c>
      <c r="J946" s="2">
        <v>45869</v>
      </c>
      <c r="K946">
        <v>30000</v>
      </c>
      <c r="M946" s="1" t="s">
        <v>567</v>
      </c>
    </row>
    <row r="947" spans="1:13">
      <c r="A947" t="s">
        <v>260</v>
      </c>
      <c r="B947">
        <v>206</v>
      </c>
      <c r="C947" s="2">
        <v>45838</v>
      </c>
      <c r="D947">
        <v>1000</v>
      </c>
      <c r="F947" s="1" t="s">
        <v>567</v>
      </c>
      <c r="H947" t="s">
        <v>317</v>
      </c>
      <c r="I947">
        <v>163</v>
      </c>
      <c r="J947" s="2">
        <v>45900</v>
      </c>
      <c r="K947">
        <v>30000</v>
      </c>
      <c r="M947" s="1" t="s">
        <v>567</v>
      </c>
    </row>
    <row r="948" spans="1:13">
      <c r="A948" t="s">
        <v>260</v>
      </c>
      <c r="B948">
        <v>206</v>
      </c>
      <c r="C948" s="2">
        <v>45991</v>
      </c>
      <c r="D948">
        <v>1000</v>
      </c>
      <c r="F948" s="1" t="s">
        <v>567</v>
      </c>
      <c r="H948" t="s">
        <v>317</v>
      </c>
      <c r="I948">
        <v>163</v>
      </c>
      <c r="J948" s="2">
        <v>45930</v>
      </c>
      <c r="K948">
        <v>30000</v>
      </c>
      <c r="M948" s="1" t="s">
        <v>567</v>
      </c>
    </row>
    <row r="949" spans="1:13">
      <c r="A949" t="s">
        <v>261</v>
      </c>
      <c r="B949" t="s">
        <v>262</v>
      </c>
      <c r="C949" s="2">
        <v>44957</v>
      </c>
      <c r="D949">
        <v>50780</v>
      </c>
      <c r="F949" s="1" t="s">
        <v>567</v>
      </c>
      <c r="H949" t="s">
        <v>317</v>
      </c>
      <c r="I949">
        <v>163</v>
      </c>
      <c r="J949" s="2">
        <v>45961</v>
      </c>
      <c r="K949">
        <v>30000</v>
      </c>
      <c r="M949" s="1" t="s">
        <v>567</v>
      </c>
    </row>
    <row r="950" spans="1:13">
      <c r="A950" t="s">
        <v>261</v>
      </c>
      <c r="B950" t="s">
        <v>262</v>
      </c>
      <c r="C950" s="2">
        <v>44985</v>
      </c>
      <c r="D950">
        <v>52115</v>
      </c>
      <c r="F950" s="1" t="s">
        <v>567</v>
      </c>
      <c r="H950" t="s">
        <v>317</v>
      </c>
      <c r="I950">
        <v>163</v>
      </c>
      <c r="J950" s="2">
        <v>45991</v>
      </c>
      <c r="K950">
        <v>30000</v>
      </c>
      <c r="M950" s="1" t="s">
        <v>567</v>
      </c>
    </row>
    <row r="951" spans="1:13">
      <c r="A951" t="s">
        <v>261</v>
      </c>
      <c r="B951" t="s">
        <v>262</v>
      </c>
      <c r="C951" s="2">
        <v>45016</v>
      </c>
      <c r="D951">
        <v>53494</v>
      </c>
      <c r="F951" s="1" t="s">
        <v>567</v>
      </c>
      <c r="H951" t="s">
        <v>318</v>
      </c>
      <c r="I951" t="s">
        <v>319</v>
      </c>
      <c r="J951" s="2">
        <v>44957</v>
      </c>
      <c r="K951">
        <v>502500</v>
      </c>
      <c r="M951" s="1" t="s">
        <v>567</v>
      </c>
    </row>
    <row r="952" spans="1:13">
      <c r="A952" t="s">
        <v>261</v>
      </c>
      <c r="B952" t="s">
        <v>262</v>
      </c>
      <c r="C952" s="2">
        <v>45046</v>
      </c>
      <c r="D952">
        <v>54921.5</v>
      </c>
      <c r="F952" s="1" t="s">
        <v>567</v>
      </c>
      <c r="H952" t="s">
        <v>318</v>
      </c>
      <c r="I952" t="s">
        <v>319</v>
      </c>
      <c r="J952" s="2">
        <v>44985</v>
      </c>
      <c r="K952">
        <v>505000</v>
      </c>
      <c r="M952" s="1" t="s">
        <v>567</v>
      </c>
    </row>
    <row r="953" spans="1:13">
      <c r="A953" t="s">
        <v>261</v>
      </c>
      <c r="B953" t="s">
        <v>262</v>
      </c>
      <c r="C953" s="2">
        <v>45077</v>
      </c>
      <c r="D953">
        <v>56401</v>
      </c>
      <c r="F953" s="1" t="s">
        <v>567</v>
      </c>
      <c r="H953" t="s">
        <v>318</v>
      </c>
      <c r="I953" t="s">
        <v>319</v>
      </c>
      <c r="J953" s="2">
        <v>45016</v>
      </c>
      <c r="K953">
        <v>507500</v>
      </c>
      <c r="M953" s="1" t="s">
        <v>567</v>
      </c>
    </row>
    <row r="954" spans="1:13">
      <c r="A954" t="s">
        <v>261</v>
      </c>
      <c r="B954" t="s">
        <v>262</v>
      </c>
      <c r="C954" s="2">
        <v>45107</v>
      </c>
      <c r="D954">
        <v>57932</v>
      </c>
      <c r="F954" s="1" t="s">
        <v>567</v>
      </c>
      <c r="H954" t="s">
        <v>318</v>
      </c>
      <c r="I954" t="s">
        <v>319</v>
      </c>
      <c r="J954" s="2">
        <v>45046</v>
      </c>
      <c r="K954">
        <v>510000</v>
      </c>
      <c r="M954" s="1" t="s">
        <v>567</v>
      </c>
    </row>
    <row r="955" spans="1:13">
      <c r="A955" t="s">
        <v>261</v>
      </c>
      <c r="B955" t="s">
        <v>262</v>
      </c>
      <c r="C955" s="2">
        <v>45138</v>
      </c>
      <c r="D955">
        <v>59514</v>
      </c>
      <c r="F955" s="1" t="s">
        <v>567</v>
      </c>
      <c r="H955" t="s">
        <v>318</v>
      </c>
      <c r="I955" t="s">
        <v>319</v>
      </c>
      <c r="J955" s="2">
        <v>45077</v>
      </c>
      <c r="K955">
        <v>512500</v>
      </c>
      <c r="M955" s="1" t="s">
        <v>567</v>
      </c>
    </row>
    <row r="956" spans="1:13">
      <c r="A956" t="s">
        <v>261</v>
      </c>
      <c r="B956" t="s">
        <v>262</v>
      </c>
      <c r="C956" s="2">
        <v>45169</v>
      </c>
      <c r="D956">
        <v>61153</v>
      </c>
      <c r="F956" s="1" t="s">
        <v>567</v>
      </c>
      <c r="H956" t="s">
        <v>318</v>
      </c>
      <c r="I956" t="s">
        <v>319</v>
      </c>
      <c r="J956" s="2">
        <v>45107</v>
      </c>
      <c r="K956">
        <v>515000</v>
      </c>
      <c r="M956" s="1" t="s">
        <v>567</v>
      </c>
    </row>
    <row r="957" spans="1:13">
      <c r="A957" t="s">
        <v>261</v>
      </c>
      <c r="B957" t="s">
        <v>262</v>
      </c>
      <c r="C957" s="2">
        <v>45199</v>
      </c>
      <c r="D957">
        <v>62849.5</v>
      </c>
      <c r="F957" s="1" t="s">
        <v>567</v>
      </c>
      <c r="H957" t="s">
        <v>318</v>
      </c>
      <c r="I957" t="s">
        <v>319</v>
      </c>
      <c r="J957" s="2">
        <v>45138</v>
      </c>
      <c r="K957">
        <v>517500</v>
      </c>
      <c r="M957" s="1" t="s">
        <v>567</v>
      </c>
    </row>
    <row r="958" spans="1:13">
      <c r="A958" t="s">
        <v>261</v>
      </c>
      <c r="B958" t="s">
        <v>262</v>
      </c>
      <c r="C958" s="2">
        <v>45230</v>
      </c>
      <c r="D958">
        <v>64606.5</v>
      </c>
      <c r="F958" s="1" t="s">
        <v>567</v>
      </c>
      <c r="H958" t="s">
        <v>318</v>
      </c>
      <c r="I958" t="s">
        <v>319</v>
      </c>
      <c r="J958" s="2">
        <v>45169</v>
      </c>
      <c r="K958">
        <v>520000</v>
      </c>
      <c r="M958" s="1" t="s">
        <v>567</v>
      </c>
    </row>
    <row r="959" spans="1:13">
      <c r="A959" t="s">
        <v>261</v>
      </c>
      <c r="B959" t="s">
        <v>262</v>
      </c>
      <c r="C959" s="2">
        <v>45260</v>
      </c>
      <c r="D959">
        <v>91586.5</v>
      </c>
      <c r="F959" s="1" t="s">
        <v>567</v>
      </c>
      <c r="H959" t="s">
        <v>318</v>
      </c>
      <c r="I959" t="s">
        <v>319</v>
      </c>
      <c r="J959" s="2">
        <v>45199</v>
      </c>
      <c r="K959">
        <v>522500</v>
      </c>
      <c r="M959" s="1" t="s">
        <v>567</v>
      </c>
    </row>
    <row r="960" spans="1:13">
      <c r="A960" t="s">
        <v>261</v>
      </c>
      <c r="B960" t="s">
        <v>262</v>
      </c>
      <c r="C960" s="2">
        <v>45291</v>
      </c>
      <c r="D960">
        <v>138892</v>
      </c>
      <c r="F960" s="1" t="s">
        <v>567</v>
      </c>
      <c r="H960" t="s">
        <v>318</v>
      </c>
      <c r="I960" t="s">
        <v>319</v>
      </c>
      <c r="J960" s="2">
        <v>45230</v>
      </c>
      <c r="K960">
        <v>1530000</v>
      </c>
      <c r="M960" s="1" t="s">
        <v>567</v>
      </c>
    </row>
    <row r="961" spans="1:13">
      <c r="A961" t="s">
        <v>261</v>
      </c>
      <c r="B961" t="s">
        <v>262</v>
      </c>
      <c r="C961" s="2">
        <v>45322</v>
      </c>
      <c r="D961">
        <v>96166.5</v>
      </c>
      <c r="F961" s="1" t="s">
        <v>567</v>
      </c>
      <c r="H961" t="s">
        <v>318</v>
      </c>
      <c r="I961" t="s">
        <v>319</v>
      </c>
      <c r="J961" s="2">
        <v>45260</v>
      </c>
      <c r="K961">
        <v>1530000</v>
      </c>
      <c r="M961" s="1" t="s">
        <v>567</v>
      </c>
    </row>
    <row r="962" spans="1:13">
      <c r="A962" t="s">
        <v>261</v>
      </c>
      <c r="B962" t="s">
        <v>262</v>
      </c>
      <c r="C962" s="2">
        <v>45351</v>
      </c>
      <c r="D962">
        <v>145836</v>
      </c>
      <c r="F962" s="1" t="s">
        <v>567</v>
      </c>
      <c r="H962" t="s">
        <v>318</v>
      </c>
      <c r="I962" t="s">
        <v>319</v>
      </c>
      <c r="J962" s="2">
        <v>45291</v>
      </c>
      <c r="K962">
        <v>1530000</v>
      </c>
      <c r="M962" s="1" t="s">
        <v>567</v>
      </c>
    </row>
    <row r="963" spans="1:13">
      <c r="A963" t="s">
        <v>261</v>
      </c>
      <c r="B963" t="s">
        <v>262</v>
      </c>
      <c r="C963" s="2">
        <v>45382</v>
      </c>
      <c r="D963">
        <v>100974</v>
      </c>
      <c r="F963" s="1" t="s">
        <v>567</v>
      </c>
      <c r="H963" t="s">
        <v>318</v>
      </c>
      <c r="I963" t="s">
        <v>319</v>
      </c>
      <c r="J963" s="2">
        <v>45322</v>
      </c>
      <c r="K963">
        <v>1530000</v>
      </c>
      <c r="M963" s="1" t="s">
        <v>567</v>
      </c>
    </row>
    <row r="964" spans="1:13">
      <c r="A964" t="s">
        <v>261</v>
      </c>
      <c r="B964" t="s">
        <v>262</v>
      </c>
      <c r="C964" s="2">
        <v>45412</v>
      </c>
      <c r="D964">
        <v>153128</v>
      </c>
      <c r="F964" s="1" t="s">
        <v>567</v>
      </c>
      <c r="H964" t="s">
        <v>318</v>
      </c>
      <c r="I964" t="s">
        <v>319</v>
      </c>
      <c r="J964" s="2">
        <v>45351</v>
      </c>
      <c r="K964">
        <v>1530000</v>
      </c>
      <c r="M964" s="1" t="s">
        <v>567</v>
      </c>
    </row>
    <row r="965" spans="1:13">
      <c r="A965" t="s">
        <v>261</v>
      </c>
      <c r="B965" t="s">
        <v>262</v>
      </c>
      <c r="C965" s="2">
        <v>45443</v>
      </c>
      <c r="D965">
        <v>106022</v>
      </c>
      <c r="F965" s="1" t="s">
        <v>567</v>
      </c>
      <c r="H965" t="s">
        <v>318</v>
      </c>
      <c r="I965" t="s">
        <v>319</v>
      </c>
      <c r="J965" s="2">
        <v>45382</v>
      </c>
      <c r="K965">
        <v>1530000</v>
      </c>
      <c r="M965" s="1" t="s">
        <v>567</v>
      </c>
    </row>
    <row r="966" spans="1:13">
      <c r="A966" t="s">
        <v>261</v>
      </c>
      <c r="B966" t="s">
        <v>262</v>
      </c>
      <c r="C966" s="2">
        <v>45473</v>
      </c>
      <c r="D966">
        <v>160784.5</v>
      </c>
      <c r="F966" s="1" t="s">
        <v>567</v>
      </c>
      <c r="H966" t="s">
        <v>318</v>
      </c>
      <c r="I966" t="s">
        <v>319</v>
      </c>
      <c r="J966" s="2">
        <v>45412</v>
      </c>
      <c r="K966">
        <v>1530000</v>
      </c>
      <c r="M966" s="1" t="s">
        <v>567</v>
      </c>
    </row>
    <row r="967" spans="1:13">
      <c r="A967" t="s">
        <v>261</v>
      </c>
      <c r="B967" t="s">
        <v>262</v>
      </c>
      <c r="C967" s="2">
        <v>45504</v>
      </c>
      <c r="D967">
        <v>168825</v>
      </c>
      <c r="F967" s="1" t="s">
        <v>567</v>
      </c>
      <c r="H967" t="s">
        <v>318</v>
      </c>
      <c r="I967" t="s">
        <v>319</v>
      </c>
      <c r="J967" s="2">
        <v>45443</v>
      </c>
      <c r="K967">
        <v>1530000</v>
      </c>
      <c r="M967" s="1" t="s">
        <v>567</v>
      </c>
    </row>
    <row r="968" spans="1:13">
      <c r="A968" t="s">
        <v>261</v>
      </c>
      <c r="B968" t="s">
        <v>262</v>
      </c>
      <c r="C968" s="2">
        <v>45535</v>
      </c>
      <c r="D968">
        <v>168824.5</v>
      </c>
      <c r="F968" s="1" t="s">
        <v>567</v>
      </c>
      <c r="H968" t="s">
        <v>318</v>
      </c>
      <c r="I968" t="s">
        <v>319</v>
      </c>
      <c r="J968" s="2">
        <v>45473</v>
      </c>
      <c r="K968">
        <v>1530000</v>
      </c>
      <c r="M968" s="1" t="s">
        <v>567</v>
      </c>
    </row>
    <row r="969" spans="1:13">
      <c r="A969" t="s">
        <v>261</v>
      </c>
      <c r="B969" t="s">
        <v>262</v>
      </c>
      <c r="C969" s="2">
        <v>45565</v>
      </c>
      <c r="D969">
        <v>177265</v>
      </c>
      <c r="F969" s="1" t="s">
        <v>567</v>
      </c>
      <c r="H969" t="s">
        <v>318</v>
      </c>
      <c r="I969" t="s">
        <v>319</v>
      </c>
      <c r="J969" s="2">
        <v>45504</v>
      </c>
      <c r="K969">
        <v>1530000</v>
      </c>
      <c r="M969" s="1" t="s">
        <v>567</v>
      </c>
    </row>
    <row r="970" spans="1:13">
      <c r="A970" t="s">
        <v>261</v>
      </c>
      <c r="B970" t="s">
        <v>262</v>
      </c>
      <c r="C970" s="2">
        <v>45596</v>
      </c>
      <c r="D970">
        <v>177265.66999999998</v>
      </c>
      <c r="F970" s="1" t="s">
        <v>567</v>
      </c>
      <c r="H970" t="s">
        <v>318</v>
      </c>
      <c r="I970" t="s">
        <v>319</v>
      </c>
      <c r="J970" s="2">
        <v>45535</v>
      </c>
      <c r="K970">
        <v>1530000</v>
      </c>
      <c r="M970" s="1" t="s">
        <v>567</v>
      </c>
    </row>
    <row r="971" spans="1:13">
      <c r="A971" t="s">
        <v>261</v>
      </c>
      <c r="B971" t="s">
        <v>262</v>
      </c>
      <c r="C971" s="2">
        <v>45626</v>
      </c>
      <c r="D971">
        <v>186128.67</v>
      </c>
      <c r="F971" s="1" t="s">
        <v>567</v>
      </c>
      <c r="H971" t="s">
        <v>318</v>
      </c>
      <c r="I971" t="s">
        <v>319</v>
      </c>
      <c r="J971" s="2">
        <v>45565</v>
      </c>
      <c r="K971">
        <v>1530000</v>
      </c>
      <c r="M971" s="1" t="s">
        <v>567</v>
      </c>
    </row>
    <row r="972" spans="1:13">
      <c r="A972" t="s">
        <v>261</v>
      </c>
      <c r="B972" t="s">
        <v>262</v>
      </c>
      <c r="C972" s="2">
        <v>45657</v>
      </c>
      <c r="D972">
        <v>195434.5</v>
      </c>
      <c r="F972" s="1" t="s">
        <v>567</v>
      </c>
      <c r="H972" t="s">
        <v>318</v>
      </c>
      <c r="I972" t="s">
        <v>319</v>
      </c>
      <c r="J972" s="2">
        <v>45596</v>
      </c>
      <c r="K972">
        <v>1530000</v>
      </c>
      <c r="M972" s="1" t="s">
        <v>567</v>
      </c>
    </row>
    <row r="973" spans="1:13">
      <c r="A973" t="s">
        <v>261</v>
      </c>
      <c r="B973" t="s">
        <v>262</v>
      </c>
      <c r="C973" s="2">
        <v>45688</v>
      </c>
      <c r="D973">
        <v>205207.29</v>
      </c>
      <c r="F973" s="1" t="s">
        <v>567</v>
      </c>
      <c r="H973" t="s">
        <v>318</v>
      </c>
      <c r="I973" t="s">
        <v>319</v>
      </c>
      <c r="J973" s="2">
        <v>45626</v>
      </c>
      <c r="K973">
        <v>1530000</v>
      </c>
      <c r="M973" s="1" t="s">
        <v>567</v>
      </c>
    </row>
    <row r="974" spans="1:13">
      <c r="A974" t="s">
        <v>261</v>
      </c>
      <c r="B974" t="s">
        <v>262</v>
      </c>
      <c r="C974" s="2">
        <v>45716</v>
      </c>
      <c r="D974">
        <v>215468</v>
      </c>
      <c r="F974" s="1" t="s">
        <v>567</v>
      </c>
      <c r="H974" t="s">
        <v>318</v>
      </c>
      <c r="I974" t="s">
        <v>319</v>
      </c>
      <c r="J974" s="2">
        <v>45657</v>
      </c>
      <c r="K974">
        <v>1530000</v>
      </c>
      <c r="M974" s="1" t="s">
        <v>567</v>
      </c>
    </row>
    <row r="975" spans="1:13">
      <c r="A975" t="s">
        <v>261</v>
      </c>
      <c r="B975" t="s">
        <v>262</v>
      </c>
      <c r="C975" s="2">
        <v>45747</v>
      </c>
      <c r="D975">
        <v>226242</v>
      </c>
      <c r="F975" s="1" t="s">
        <v>567</v>
      </c>
      <c r="H975" t="s">
        <v>318</v>
      </c>
      <c r="I975" t="s">
        <v>319</v>
      </c>
      <c r="J975" s="2">
        <v>45688</v>
      </c>
      <c r="K975">
        <v>1530000</v>
      </c>
      <c r="M975" s="1" t="s">
        <v>567</v>
      </c>
    </row>
    <row r="976" spans="1:13">
      <c r="A976" t="s">
        <v>261</v>
      </c>
      <c r="B976" t="s">
        <v>262</v>
      </c>
      <c r="C976" s="2">
        <v>45777</v>
      </c>
      <c r="D976">
        <v>237553</v>
      </c>
      <c r="F976" s="1" t="s">
        <v>567</v>
      </c>
      <c r="H976" t="s">
        <v>318</v>
      </c>
      <c r="I976" t="s">
        <v>319</v>
      </c>
      <c r="J976" s="2">
        <v>45716</v>
      </c>
      <c r="K976">
        <v>1530000</v>
      </c>
      <c r="M976" s="1" t="s">
        <v>567</v>
      </c>
    </row>
    <row r="977" spans="1:13">
      <c r="A977" t="s">
        <v>261</v>
      </c>
      <c r="B977" t="s">
        <v>262</v>
      </c>
      <c r="C977" s="2">
        <v>45808</v>
      </c>
      <c r="D977">
        <v>249432</v>
      </c>
      <c r="F977" s="1" t="s">
        <v>567</v>
      </c>
      <c r="H977" t="s">
        <v>318</v>
      </c>
      <c r="I977" t="s">
        <v>319</v>
      </c>
      <c r="J977" s="2">
        <v>45747</v>
      </c>
      <c r="K977">
        <v>1530000</v>
      </c>
      <c r="M977" s="1" t="s">
        <v>567</v>
      </c>
    </row>
    <row r="978" spans="1:13">
      <c r="A978" t="s">
        <v>261</v>
      </c>
      <c r="B978" t="s">
        <v>262</v>
      </c>
      <c r="C978" s="2">
        <v>45838</v>
      </c>
      <c r="D978">
        <v>262902.28000000003</v>
      </c>
      <c r="F978" s="1" t="s">
        <v>567</v>
      </c>
      <c r="H978" t="s">
        <v>318</v>
      </c>
      <c r="I978" t="s">
        <v>319</v>
      </c>
      <c r="J978" s="2">
        <v>45777</v>
      </c>
      <c r="K978">
        <v>1530000</v>
      </c>
      <c r="M978" s="1" t="s">
        <v>567</v>
      </c>
    </row>
    <row r="979" spans="1:13">
      <c r="A979" t="s">
        <v>261</v>
      </c>
      <c r="B979" t="s">
        <v>262</v>
      </c>
      <c r="C979" s="2">
        <v>45869</v>
      </c>
      <c r="D979">
        <v>276797.39</v>
      </c>
      <c r="F979" s="1" t="s">
        <v>567</v>
      </c>
      <c r="H979" t="s">
        <v>318</v>
      </c>
      <c r="I979" t="s">
        <v>319</v>
      </c>
      <c r="J979" s="2">
        <v>45808</v>
      </c>
      <c r="K979">
        <v>1530000</v>
      </c>
      <c r="M979" s="1" t="s">
        <v>567</v>
      </c>
    </row>
    <row r="980" spans="1:13">
      <c r="A980" t="s">
        <v>261</v>
      </c>
      <c r="B980" t="s">
        <v>262</v>
      </c>
      <c r="C980" s="2">
        <v>45900</v>
      </c>
      <c r="D980">
        <v>289247.27</v>
      </c>
      <c r="F980" s="1" t="s">
        <v>567</v>
      </c>
      <c r="H980" t="s">
        <v>318</v>
      </c>
      <c r="I980" t="s">
        <v>319</v>
      </c>
      <c r="J980" s="2">
        <v>45838</v>
      </c>
      <c r="K980">
        <v>1530000</v>
      </c>
      <c r="M980" s="1" t="s">
        <v>567</v>
      </c>
    </row>
    <row r="981" spans="1:13">
      <c r="A981" t="s">
        <v>261</v>
      </c>
      <c r="B981" t="s">
        <v>262</v>
      </c>
      <c r="C981" s="2">
        <v>45930</v>
      </c>
      <c r="D981">
        <v>303184.62</v>
      </c>
      <c r="F981" s="1" t="s">
        <v>567</v>
      </c>
      <c r="H981" t="s">
        <v>318</v>
      </c>
      <c r="I981" t="s">
        <v>319</v>
      </c>
      <c r="J981" s="2">
        <v>45869</v>
      </c>
      <c r="K981">
        <v>1530000</v>
      </c>
      <c r="M981" s="1" t="s">
        <v>567</v>
      </c>
    </row>
    <row r="982" spans="1:13">
      <c r="A982" t="s">
        <v>261</v>
      </c>
      <c r="B982" t="s">
        <v>262</v>
      </c>
      <c r="C982" s="2">
        <v>45961</v>
      </c>
      <c r="D982">
        <v>318343.84999999998</v>
      </c>
      <c r="F982" s="1" t="s">
        <v>567</v>
      </c>
      <c r="H982" t="s">
        <v>318</v>
      </c>
      <c r="I982" t="s">
        <v>319</v>
      </c>
      <c r="J982" s="2">
        <v>45900</v>
      </c>
      <c r="K982">
        <v>1530000</v>
      </c>
      <c r="M982" s="1" t="s">
        <v>567</v>
      </c>
    </row>
    <row r="983" spans="1:13">
      <c r="A983" t="s">
        <v>261</v>
      </c>
      <c r="B983" t="s">
        <v>262</v>
      </c>
      <c r="C983" s="2">
        <v>45991</v>
      </c>
      <c r="D983">
        <v>340311.04999999993</v>
      </c>
      <c r="F983" s="1" t="s">
        <v>567</v>
      </c>
      <c r="H983" t="s">
        <v>318</v>
      </c>
      <c r="I983" t="s">
        <v>319</v>
      </c>
      <c r="J983" s="2">
        <v>45930</v>
      </c>
      <c r="K983">
        <v>1530000</v>
      </c>
      <c r="M983" s="1" t="s">
        <v>567</v>
      </c>
    </row>
    <row r="984" spans="1:13">
      <c r="A984" t="s">
        <v>128</v>
      </c>
      <c r="B984" t="s">
        <v>263</v>
      </c>
      <c r="C984" s="2">
        <v>44957</v>
      </c>
      <c r="D984">
        <v>-41830</v>
      </c>
      <c r="F984" s="1" t="s">
        <v>567</v>
      </c>
      <c r="H984" t="s">
        <v>318</v>
      </c>
      <c r="I984" t="s">
        <v>319</v>
      </c>
      <c r="J984" s="2">
        <v>45961</v>
      </c>
      <c r="K984">
        <v>1530000</v>
      </c>
      <c r="M984" s="1" t="s">
        <v>567</v>
      </c>
    </row>
    <row r="985" spans="1:13">
      <c r="A985" t="s">
        <v>128</v>
      </c>
      <c r="B985" t="s">
        <v>263</v>
      </c>
      <c r="C985" s="2">
        <v>44985</v>
      </c>
      <c r="D985">
        <v>-42270</v>
      </c>
      <c r="F985" s="1" t="s">
        <v>567</v>
      </c>
      <c r="H985" t="s">
        <v>318</v>
      </c>
      <c r="I985" t="s">
        <v>319</v>
      </c>
      <c r="J985" s="2">
        <v>45991</v>
      </c>
      <c r="K985">
        <v>1530000</v>
      </c>
      <c r="M985" s="1" t="s">
        <v>567</v>
      </c>
    </row>
    <row r="986" spans="1:13">
      <c r="A986" t="s">
        <v>128</v>
      </c>
      <c r="B986" t="s">
        <v>263</v>
      </c>
      <c r="C986" s="2">
        <v>45016</v>
      </c>
      <c r="D986">
        <v>-42665</v>
      </c>
      <c r="F986" s="1" t="s">
        <v>567</v>
      </c>
      <c r="H986" t="s">
        <v>320</v>
      </c>
      <c r="I986" t="s">
        <v>321</v>
      </c>
      <c r="J986" s="2">
        <v>44957</v>
      </c>
      <c r="K986">
        <v>559346</v>
      </c>
      <c r="M986" s="1" t="s">
        <v>567</v>
      </c>
    </row>
    <row r="987" spans="1:13">
      <c r="A987" t="s">
        <v>128</v>
      </c>
      <c r="B987" t="s">
        <v>263</v>
      </c>
      <c r="C987" s="2">
        <v>45046</v>
      </c>
      <c r="D987">
        <v>-43009.5</v>
      </c>
      <c r="F987" s="1" t="s">
        <v>567</v>
      </c>
      <c r="H987" t="s">
        <v>320</v>
      </c>
      <c r="I987" t="s">
        <v>321</v>
      </c>
      <c r="J987" s="2">
        <v>44985</v>
      </c>
      <c r="K987">
        <v>566869</v>
      </c>
      <c r="M987" s="1" t="s">
        <v>567</v>
      </c>
    </row>
    <row r="988" spans="1:13">
      <c r="A988" t="s">
        <v>128</v>
      </c>
      <c r="B988" t="s">
        <v>263</v>
      </c>
      <c r="C988" s="2">
        <v>45077</v>
      </c>
      <c r="D988">
        <v>-43297</v>
      </c>
      <c r="F988" s="1" t="s">
        <v>567</v>
      </c>
      <c r="H988" t="s">
        <v>320</v>
      </c>
      <c r="I988" t="s">
        <v>321</v>
      </c>
      <c r="J988" s="2">
        <v>45016</v>
      </c>
      <c r="K988">
        <v>568126</v>
      </c>
      <c r="M988" s="1" t="s">
        <v>567</v>
      </c>
    </row>
    <row r="989" spans="1:13">
      <c r="A989" t="s">
        <v>128</v>
      </c>
      <c r="B989" t="s">
        <v>263</v>
      </c>
      <c r="C989" s="2">
        <v>45107</v>
      </c>
      <c r="D989">
        <v>-43518</v>
      </c>
      <c r="F989" s="1" t="s">
        <v>567</v>
      </c>
      <c r="H989" t="s">
        <v>320</v>
      </c>
      <c r="I989" t="s">
        <v>321</v>
      </c>
      <c r="J989" s="2">
        <v>45046</v>
      </c>
      <c r="K989">
        <v>574450.5</v>
      </c>
      <c r="M989" s="1" t="s">
        <v>567</v>
      </c>
    </row>
    <row r="990" spans="1:13">
      <c r="A990" t="s">
        <v>128</v>
      </c>
      <c r="B990" t="s">
        <v>263</v>
      </c>
      <c r="C990" s="2">
        <v>45138</v>
      </c>
      <c r="D990">
        <v>-43658</v>
      </c>
      <c r="F990" s="1" t="s">
        <v>567</v>
      </c>
      <c r="H990" t="s">
        <v>320</v>
      </c>
      <c r="I990" t="s">
        <v>321</v>
      </c>
      <c r="J990" s="2">
        <v>45077</v>
      </c>
      <c r="K990">
        <v>578576.5</v>
      </c>
      <c r="M990" s="1" t="s">
        <v>567</v>
      </c>
    </row>
    <row r="991" spans="1:13">
      <c r="A991" t="s">
        <v>128</v>
      </c>
      <c r="B991" t="s">
        <v>263</v>
      </c>
      <c r="C991" s="2">
        <v>45169</v>
      </c>
      <c r="D991">
        <v>-43712.5</v>
      </c>
      <c r="F991" s="1" t="s">
        <v>567</v>
      </c>
      <c r="H991" t="s">
        <v>320</v>
      </c>
      <c r="I991" t="s">
        <v>321</v>
      </c>
      <c r="J991" s="2">
        <v>45107</v>
      </c>
      <c r="K991">
        <v>580690.5</v>
      </c>
      <c r="M991" s="1" t="s">
        <v>567</v>
      </c>
    </row>
    <row r="992" spans="1:13">
      <c r="A992" t="s">
        <v>128</v>
      </c>
      <c r="B992" t="s">
        <v>263</v>
      </c>
      <c r="C992" s="2">
        <v>45199</v>
      </c>
      <c r="D992">
        <v>-43664</v>
      </c>
      <c r="F992" s="1" t="s">
        <v>567</v>
      </c>
      <c r="H992" t="s">
        <v>320</v>
      </c>
      <c r="I992" t="s">
        <v>321</v>
      </c>
      <c r="J992" s="2">
        <v>45138</v>
      </c>
      <c r="K992">
        <v>586664.5</v>
      </c>
      <c r="M992" s="1" t="s">
        <v>567</v>
      </c>
    </row>
    <row r="993" spans="1:13">
      <c r="A993" t="s">
        <v>128</v>
      </c>
      <c r="B993" t="s">
        <v>263</v>
      </c>
      <c r="C993" s="2">
        <v>45230</v>
      </c>
      <c r="D993">
        <v>-43503</v>
      </c>
      <c r="F993" s="1" t="s">
        <v>567</v>
      </c>
      <c r="H993" t="s">
        <v>320</v>
      </c>
      <c r="I993" t="s">
        <v>321</v>
      </c>
      <c r="J993" s="2">
        <v>45169</v>
      </c>
      <c r="K993">
        <v>591166.5</v>
      </c>
      <c r="M993" s="1" t="s">
        <v>567</v>
      </c>
    </row>
    <row r="994" spans="1:13">
      <c r="A994" t="s">
        <v>128</v>
      </c>
      <c r="B994" t="s">
        <v>263</v>
      </c>
      <c r="C994" s="2">
        <v>45260</v>
      </c>
      <c r="D994">
        <v>-48865</v>
      </c>
      <c r="F994" s="1" t="s">
        <v>567</v>
      </c>
      <c r="H994" t="s">
        <v>320</v>
      </c>
      <c r="I994" t="s">
        <v>321</v>
      </c>
      <c r="J994" s="2">
        <v>45199</v>
      </c>
      <c r="K994">
        <v>598462.5</v>
      </c>
      <c r="M994" s="1" t="s">
        <v>567</v>
      </c>
    </row>
    <row r="995" spans="1:13">
      <c r="A995" t="s">
        <v>128</v>
      </c>
      <c r="B995" t="s">
        <v>263</v>
      </c>
      <c r="C995" s="2">
        <v>45291</v>
      </c>
      <c r="D995">
        <v>-102689.5</v>
      </c>
      <c r="F995" s="1" t="s">
        <v>567</v>
      </c>
      <c r="H995" t="s">
        <v>320</v>
      </c>
      <c r="I995" t="s">
        <v>321</v>
      </c>
      <c r="J995" s="2">
        <v>45230</v>
      </c>
      <c r="K995">
        <v>1603677.5</v>
      </c>
      <c r="M995" s="1" t="s">
        <v>567</v>
      </c>
    </row>
    <row r="996" spans="1:13">
      <c r="A996" t="s">
        <v>128</v>
      </c>
      <c r="B996" t="s">
        <v>263</v>
      </c>
      <c r="C996" s="2">
        <v>45322</v>
      </c>
      <c r="D996">
        <v>-51309</v>
      </c>
      <c r="F996" s="1" t="s">
        <v>567</v>
      </c>
      <c r="H996" t="s">
        <v>320</v>
      </c>
      <c r="I996" t="s">
        <v>321</v>
      </c>
      <c r="J996" s="2">
        <v>45260</v>
      </c>
      <c r="K996">
        <v>1603677.5</v>
      </c>
      <c r="M996" s="1" t="s">
        <v>567</v>
      </c>
    </row>
    <row r="997" spans="1:13">
      <c r="A997" t="s">
        <v>128</v>
      </c>
      <c r="B997" t="s">
        <v>263</v>
      </c>
      <c r="C997" s="2">
        <v>45351</v>
      </c>
      <c r="D997">
        <v>-107824</v>
      </c>
      <c r="F997" s="1" t="s">
        <v>567</v>
      </c>
      <c r="H997" t="s">
        <v>320</v>
      </c>
      <c r="I997" t="s">
        <v>321</v>
      </c>
      <c r="J997" s="2">
        <v>45291</v>
      </c>
      <c r="K997">
        <v>1603677.5</v>
      </c>
      <c r="M997" s="1" t="s">
        <v>567</v>
      </c>
    </row>
    <row r="998" spans="1:13">
      <c r="A998" t="s">
        <v>128</v>
      </c>
      <c r="B998" t="s">
        <v>263</v>
      </c>
      <c r="C998" s="2">
        <v>45382</v>
      </c>
      <c r="D998">
        <v>-53873.5</v>
      </c>
      <c r="F998" s="1" t="s">
        <v>567</v>
      </c>
      <c r="H998" t="s">
        <v>320</v>
      </c>
      <c r="I998" t="s">
        <v>321</v>
      </c>
      <c r="J998" s="2">
        <v>45322</v>
      </c>
      <c r="K998">
        <v>1603677.5</v>
      </c>
      <c r="M998" s="1" t="s">
        <v>567</v>
      </c>
    </row>
    <row r="999" spans="1:13">
      <c r="A999" t="s">
        <v>128</v>
      </c>
      <c r="B999" t="s">
        <v>263</v>
      </c>
      <c r="C999" s="2">
        <v>45412</v>
      </c>
      <c r="D999">
        <v>-113214.5</v>
      </c>
      <c r="F999" s="1" t="s">
        <v>567</v>
      </c>
      <c r="H999" t="s">
        <v>320</v>
      </c>
      <c r="I999" t="s">
        <v>321</v>
      </c>
      <c r="J999" s="2">
        <v>45351</v>
      </c>
      <c r="K999">
        <v>1603677.5</v>
      </c>
      <c r="M999" s="1" t="s">
        <v>567</v>
      </c>
    </row>
    <row r="1000" spans="1:13">
      <c r="A1000" t="s">
        <v>128</v>
      </c>
      <c r="B1000" t="s">
        <v>263</v>
      </c>
      <c r="C1000" s="2">
        <v>45443</v>
      </c>
      <c r="D1000">
        <v>-56566.5</v>
      </c>
      <c r="F1000" s="1" t="s">
        <v>567</v>
      </c>
      <c r="H1000" t="s">
        <v>320</v>
      </c>
      <c r="I1000" t="s">
        <v>321</v>
      </c>
      <c r="J1000" s="2">
        <v>45382</v>
      </c>
      <c r="K1000">
        <v>1603677.5</v>
      </c>
      <c r="M1000" s="1" t="s">
        <v>567</v>
      </c>
    </row>
    <row r="1001" spans="1:13">
      <c r="A1001" t="s">
        <v>128</v>
      </c>
      <c r="B1001" t="s">
        <v>263</v>
      </c>
      <c r="C1001" s="2">
        <v>45473</v>
      </c>
      <c r="D1001">
        <v>-118876</v>
      </c>
      <c r="F1001" s="1" t="s">
        <v>567</v>
      </c>
      <c r="H1001" t="s">
        <v>320</v>
      </c>
      <c r="I1001" t="s">
        <v>321</v>
      </c>
      <c r="J1001" s="2">
        <v>45412</v>
      </c>
      <c r="K1001">
        <v>1603677.5</v>
      </c>
      <c r="M1001" s="1" t="s">
        <v>567</v>
      </c>
    </row>
    <row r="1002" spans="1:13">
      <c r="A1002" t="s">
        <v>128</v>
      </c>
      <c r="B1002" t="s">
        <v>263</v>
      </c>
      <c r="C1002" s="2">
        <v>45504</v>
      </c>
      <c r="D1002">
        <v>-124820</v>
      </c>
      <c r="F1002" s="1" t="s">
        <v>567</v>
      </c>
      <c r="H1002" t="s">
        <v>320</v>
      </c>
      <c r="I1002" t="s">
        <v>321</v>
      </c>
      <c r="J1002" s="2">
        <v>45443</v>
      </c>
      <c r="K1002">
        <v>1603677.5</v>
      </c>
      <c r="M1002" s="1" t="s">
        <v>567</v>
      </c>
    </row>
    <row r="1003" spans="1:13">
      <c r="A1003" t="s">
        <v>128</v>
      </c>
      <c r="B1003" t="s">
        <v>263</v>
      </c>
      <c r="C1003" s="2">
        <v>45535</v>
      </c>
      <c r="D1003">
        <v>-124819</v>
      </c>
      <c r="F1003" s="1" t="s">
        <v>567</v>
      </c>
      <c r="H1003" t="s">
        <v>320</v>
      </c>
      <c r="I1003" t="s">
        <v>321</v>
      </c>
      <c r="J1003" s="2">
        <v>45473</v>
      </c>
      <c r="K1003">
        <v>1603677.5</v>
      </c>
      <c r="M1003" s="1" t="s">
        <v>567</v>
      </c>
    </row>
    <row r="1004" spans="1:13">
      <c r="A1004" t="s">
        <v>128</v>
      </c>
      <c r="B1004" t="s">
        <v>263</v>
      </c>
      <c r="C1004" s="2">
        <v>45565</v>
      </c>
      <c r="D1004">
        <v>-131060</v>
      </c>
      <c r="F1004" s="1" t="s">
        <v>567</v>
      </c>
      <c r="H1004" t="s">
        <v>320</v>
      </c>
      <c r="I1004" t="s">
        <v>321</v>
      </c>
      <c r="J1004" s="2">
        <v>45504</v>
      </c>
      <c r="K1004">
        <v>1603677.5</v>
      </c>
      <c r="M1004" s="1" t="s">
        <v>567</v>
      </c>
    </row>
    <row r="1005" spans="1:13">
      <c r="A1005" t="s">
        <v>128</v>
      </c>
      <c r="B1005" t="s">
        <v>263</v>
      </c>
      <c r="C1005" s="2">
        <v>45596</v>
      </c>
      <c r="D1005">
        <v>-131061</v>
      </c>
      <c r="F1005" s="1" t="s">
        <v>567</v>
      </c>
      <c r="H1005" t="s">
        <v>320</v>
      </c>
      <c r="I1005" t="s">
        <v>321</v>
      </c>
      <c r="J1005" s="2">
        <v>45535</v>
      </c>
      <c r="K1005">
        <v>1603677.5</v>
      </c>
      <c r="M1005" s="1" t="s">
        <v>567</v>
      </c>
    </row>
    <row r="1006" spans="1:13">
      <c r="A1006" t="s">
        <v>128</v>
      </c>
      <c r="B1006" t="s">
        <v>263</v>
      </c>
      <c r="C1006" s="2">
        <v>45626</v>
      </c>
      <c r="D1006">
        <v>-137614</v>
      </c>
      <c r="F1006" s="1" t="s">
        <v>567</v>
      </c>
      <c r="H1006" t="s">
        <v>320</v>
      </c>
      <c r="I1006" t="s">
        <v>321</v>
      </c>
      <c r="J1006" s="2">
        <v>45565</v>
      </c>
      <c r="K1006">
        <v>1603677.5</v>
      </c>
      <c r="M1006" s="1" t="s">
        <v>567</v>
      </c>
    </row>
    <row r="1007" spans="1:13">
      <c r="A1007" t="s">
        <v>128</v>
      </c>
      <c r="B1007" t="s">
        <v>263</v>
      </c>
      <c r="C1007" s="2">
        <v>45657</v>
      </c>
      <c r="D1007">
        <v>-144493.5</v>
      </c>
      <c r="F1007" s="1" t="s">
        <v>567</v>
      </c>
      <c r="H1007" t="s">
        <v>320</v>
      </c>
      <c r="I1007" t="s">
        <v>321</v>
      </c>
      <c r="J1007" s="2">
        <v>45596</v>
      </c>
      <c r="K1007">
        <v>1603677.5</v>
      </c>
      <c r="M1007" s="1" t="s">
        <v>567</v>
      </c>
    </row>
    <row r="1008" spans="1:13">
      <c r="A1008" t="s">
        <v>128</v>
      </c>
      <c r="B1008" t="s">
        <v>263</v>
      </c>
      <c r="C1008" s="2">
        <v>45688</v>
      </c>
      <c r="D1008">
        <v>-151719.49</v>
      </c>
      <c r="F1008" s="1" t="s">
        <v>567</v>
      </c>
      <c r="H1008" t="s">
        <v>320</v>
      </c>
      <c r="I1008" t="s">
        <v>321</v>
      </c>
      <c r="J1008" s="2">
        <v>45626</v>
      </c>
      <c r="K1008">
        <v>1603677.5</v>
      </c>
      <c r="M1008" s="1" t="s">
        <v>567</v>
      </c>
    </row>
    <row r="1009" spans="1:13">
      <c r="A1009" t="s">
        <v>128</v>
      </c>
      <c r="B1009" t="s">
        <v>263</v>
      </c>
      <c r="C1009" s="2">
        <v>45716</v>
      </c>
      <c r="D1009">
        <v>-159305</v>
      </c>
      <c r="F1009" s="1" t="s">
        <v>567</v>
      </c>
      <c r="H1009" t="s">
        <v>320</v>
      </c>
      <c r="I1009" t="s">
        <v>321</v>
      </c>
      <c r="J1009" s="2">
        <v>45657</v>
      </c>
      <c r="K1009">
        <v>1603677.5</v>
      </c>
      <c r="M1009" s="1" t="s">
        <v>567</v>
      </c>
    </row>
    <row r="1010" spans="1:13">
      <c r="A1010" t="s">
        <v>128</v>
      </c>
      <c r="B1010" t="s">
        <v>263</v>
      </c>
      <c r="C1010" s="2">
        <v>45747</v>
      </c>
      <c r="D1010">
        <v>-167271</v>
      </c>
      <c r="F1010" s="1" t="s">
        <v>567</v>
      </c>
      <c r="H1010" t="s">
        <v>320</v>
      </c>
      <c r="I1010" t="s">
        <v>321</v>
      </c>
      <c r="J1010" s="2">
        <v>45688</v>
      </c>
      <c r="K1010">
        <v>1603677.5</v>
      </c>
      <c r="M1010" s="1" t="s">
        <v>567</v>
      </c>
    </row>
    <row r="1011" spans="1:13">
      <c r="A1011" t="s">
        <v>128</v>
      </c>
      <c r="B1011" t="s">
        <v>263</v>
      </c>
      <c r="C1011" s="2">
        <v>45777</v>
      </c>
      <c r="D1011">
        <v>-175634</v>
      </c>
      <c r="F1011" s="1" t="s">
        <v>567</v>
      </c>
      <c r="H1011" t="s">
        <v>320</v>
      </c>
      <c r="I1011" t="s">
        <v>321</v>
      </c>
      <c r="J1011" s="2">
        <v>45716</v>
      </c>
      <c r="K1011">
        <v>1603677.5</v>
      </c>
      <c r="M1011" s="1" t="s">
        <v>567</v>
      </c>
    </row>
    <row r="1012" spans="1:13">
      <c r="A1012" t="s">
        <v>128</v>
      </c>
      <c r="B1012" t="s">
        <v>263</v>
      </c>
      <c r="C1012" s="2">
        <v>45808</v>
      </c>
      <c r="D1012">
        <v>-184418</v>
      </c>
      <c r="F1012" s="1" t="s">
        <v>567</v>
      </c>
      <c r="H1012" t="s">
        <v>320</v>
      </c>
      <c r="I1012" t="s">
        <v>321</v>
      </c>
      <c r="J1012" s="2">
        <v>45747</v>
      </c>
      <c r="K1012">
        <v>1603677.5</v>
      </c>
      <c r="M1012" s="1" t="s">
        <v>567</v>
      </c>
    </row>
    <row r="1013" spans="1:13">
      <c r="A1013" t="s">
        <v>128</v>
      </c>
      <c r="B1013" t="s">
        <v>263</v>
      </c>
      <c r="C1013" s="2">
        <v>45838</v>
      </c>
      <c r="D1013">
        <v>-186236.79000000004</v>
      </c>
      <c r="F1013" s="1" t="s">
        <v>567</v>
      </c>
      <c r="H1013" t="s">
        <v>320</v>
      </c>
      <c r="I1013" t="s">
        <v>321</v>
      </c>
      <c r="J1013" s="2">
        <v>45777</v>
      </c>
      <c r="K1013">
        <v>1603677.5</v>
      </c>
      <c r="M1013" s="1" t="s">
        <v>567</v>
      </c>
    </row>
    <row r="1014" spans="1:13">
      <c r="A1014" t="s">
        <v>128</v>
      </c>
      <c r="B1014" t="s">
        <v>263</v>
      </c>
      <c r="C1014" s="2">
        <v>45869</v>
      </c>
      <c r="D1014">
        <v>-197618.63</v>
      </c>
      <c r="F1014" s="1" t="s">
        <v>567</v>
      </c>
      <c r="H1014" t="s">
        <v>320</v>
      </c>
      <c r="I1014" t="s">
        <v>321</v>
      </c>
      <c r="J1014" s="2">
        <v>45808</v>
      </c>
      <c r="K1014">
        <v>1603677.5</v>
      </c>
      <c r="M1014" s="1" t="s">
        <v>567</v>
      </c>
    </row>
    <row r="1015" spans="1:13">
      <c r="A1015" t="s">
        <v>128</v>
      </c>
      <c r="B1015" t="s">
        <v>263</v>
      </c>
      <c r="C1015" s="2">
        <v>45900</v>
      </c>
      <c r="D1015">
        <v>-213984.57</v>
      </c>
      <c r="F1015" s="1" t="s">
        <v>567</v>
      </c>
      <c r="H1015" t="s">
        <v>320</v>
      </c>
      <c r="I1015" t="s">
        <v>321</v>
      </c>
      <c r="J1015" s="2">
        <v>45838</v>
      </c>
      <c r="K1015">
        <v>1604677.5</v>
      </c>
      <c r="M1015" s="1" t="s">
        <v>567</v>
      </c>
    </row>
    <row r="1016" spans="1:13">
      <c r="A1016" t="s">
        <v>128</v>
      </c>
      <c r="B1016" t="s">
        <v>263</v>
      </c>
      <c r="C1016" s="2">
        <v>45930</v>
      </c>
      <c r="D1016">
        <v>-206158.79</v>
      </c>
      <c r="F1016" s="1" t="s">
        <v>567</v>
      </c>
      <c r="H1016" t="s">
        <v>320</v>
      </c>
      <c r="I1016" t="s">
        <v>321</v>
      </c>
      <c r="J1016" s="2">
        <v>45869</v>
      </c>
      <c r="K1016">
        <v>1604677.5</v>
      </c>
      <c r="M1016" s="1" t="s">
        <v>567</v>
      </c>
    </row>
    <row r="1017" spans="1:13">
      <c r="A1017" t="s">
        <v>128</v>
      </c>
      <c r="B1017" t="s">
        <v>263</v>
      </c>
      <c r="C1017" s="2">
        <v>45961</v>
      </c>
      <c r="D1017">
        <v>-225366.73</v>
      </c>
      <c r="F1017" s="1" t="s">
        <v>567</v>
      </c>
      <c r="H1017" t="s">
        <v>320</v>
      </c>
      <c r="I1017" t="s">
        <v>321</v>
      </c>
      <c r="J1017" s="2">
        <v>45900</v>
      </c>
      <c r="K1017">
        <v>1605177.5</v>
      </c>
      <c r="M1017" s="1" t="s">
        <v>567</v>
      </c>
    </row>
    <row r="1018" spans="1:13">
      <c r="A1018" t="s">
        <v>128</v>
      </c>
      <c r="B1018" t="s">
        <v>263</v>
      </c>
      <c r="C1018" s="2">
        <v>45991</v>
      </c>
      <c r="D1018">
        <v>-237685.06999999992</v>
      </c>
      <c r="F1018" s="1" t="s">
        <v>567</v>
      </c>
      <c r="H1018" t="s">
        <v>320</v>
      </c>
      <c r="I1018" t="s">
        <v>321</v>
      </c>
      <c r="J1018" s="2">
        <v>45930</v>
      </c>
      <c r="K1018">
        <v>1605177.5</v>
      </c>
      <c r="M1018" s="1" t="s">
        <v>567</v>
      </c>
    </row>
    <row r="1019" spans="1:13">
      <c r="A1019" t="s">
        <v>268</v>
      </c>
      <c r="B1019">
        <v>191</v>
      </c>
      <c r="C1019" s="2">
        <v>44957</v>
      </c>
      <c r="D1019">
        <v>69</v>
      </c>
      <c r="F1019" s="1" t="s">
        <v>567</v>
      </c>
      <c r="H1019" t="s">
        <v>320</v>
      </c>
      <c r="I1019" t="s">
        <v>321</v>
      </c>
      <c r="J1019" s="2">
        <v>45961</v>
      </c>
      <c r="K1019">
        <v>1605177.5</v>
      </c>
      <c r="M1019" s="1" t="s">
        <v>567</v>
      </c>
    </row>
    <row r="1020" spans="1:13">
      <c r="A1020" t="s">
        <v>268</v>
      </c>
      <c r="B1020">
        <v>191</v>
      </c>
      <c r="C1020" s="2">
        <v>44985</v>
      </c>
      <c r="D1020">
        <v>69</v>
      </c>
      <c r="F1020" s="1" t="s">
        <v>567</v>
      </c>
      <c r="H1020" t="s">
        <v>320</v>
      </c>
      <c r="I1020" t="s">
        <v>321</v>
      </c>
      <c r="J1020" s="2">
        <v>45991</v>
      </c>
      <c r="K1020">
        <v>1606177.5</v>
      </c>
      <c r="M1020" s="1" t="s">
        <v>567</v>
      </c>
    </row>
    <row r="1021" spans="1:13">
      <c r="A1021" t="s">
        <v>268</v>
      </c>
      <c r="B1021">
        <v>191</v>
      </c>
      <c r="C1021" s="2">
        <v>45016</v>
      </c>
      <c r="D1021">
        <v>139</v>
      </c>
      <c r="F1021" s="1" t="s">
        <v>567</v>
      </c>
      <c r="H1021" t="s">
        <v>323</v>
      </c>
      <c r="I1021">
        <v>196</v>
      </c>
      <c r="J1021" s="2">
        <v>44957</v>
      </c>
      <c r="K1021">
        <v>500000</v>
      </c>
      <c r="M1021" s="1" t="s">
        <v>567</v>
      </c>
    </row>
    <row r="1022" spans="1:13">
      <c r="A1022" t="s">
        <v>268</v>
      </c>
      <c r="B1022">
        <v>191</v>
      </c>
      <c r="C1022" s="2">
        <v>45046</v>
      </c>
      <c r="D1022">
        <v>1111.5</v>
      </c>
      <c r="F1022" s="1" t="s">
        <v>567</v>
      </c>
      <c r="H1022" t="s">
        <v>323</v>
      </c>
      <c r="I1022">
        <v>196</v>
      </c>
      <c r="J1022" s="2">
        <v>44985</v>
      </c>
      <c r="K1022">
        <v>500000</v>
      </c>
      <c r="M1022" s="1" t="s">
        <v>567</v>
      </c>
    </row>
    <row r="1023" spans="1:13">
      <c r="A1023" t="s">
        <v>268</v>
      </c>
      <c r="B1023">
        <v>191</v>
      </c>
      <c r="C1023" s="2">
        <v>45077</v>
      </c>
      <c r="D1023">
        <v>1181</v>
      </c>
      <c r="F1023" s="1" t="s">
        <v>567</v>
      </c>
      <c r="H1023" t="s">
        <v>323</v>
      </c>
      <c r="I1023">
        <v>196</v>
      </c>
      <c r="J1023" s="2">
        <v>45016</v>
      </c>
      <c r="K1023">
        <v>500000</v>
      </c>
      <c r="M1023" s="1" t="s">
        <v>567</v>
      </c>
    </row>
    <row r="1024" spans="1:13">
      <c r="A1024" t="s">
        <v>268</v>
      </c>
      <c r="B1024">
        <v>191</v>
      </c>
      <c r="C1024" s="2">
        <v>45107</v>
      </c>
      <c r="D1024">
        <v>1403</v>
      </c>
      <c r="F1024" s="1" t="s">
        <v>567</v>
      </c>
      <c r="H1024" t="s">
        <v>323</v>
      </c>
      <c r="I1024">
        <v>196</v>
      </c>
      <c r="J1024" s="2">
        <v>45046</v>
      </c>
      <c r="K1024">
        <v>500000</v>
      </c>
      <c r="M1024" s="1" t="s">
        <v>567</v>
      </c>
    </row>
    <row r="1025" spans="1:13">
      <c r="A1025" t="s">
        <v>268</v>
      </c>
      <c r="B1025">
        <v>191</v>
      </c>
      <c r="C1025" s="2">
        <v>45138</v>
      </c>
      <c r="D1025">
        <v>1403</v>
      </c>
      <c r="F1025" s="1" t="s">
        <v>567</v>
      </c>
      <c r="H1025" t="s">
        <v>323</v>
      </c>
      <c r="I1025">
        <v>196</v>
      </c>
      <c r="J1025" s="2">
        <v>45077</v>
      </c>
      <c r="K1025">
        <v>500000</v>
      </c>
      <c r="M1025" s="1" t="s">
        <v>567</v>
      </c>
    </row>
    <row r="1026" spans="1:13">
      <c r="A1026" t="s">
        <v>268</v>
      </c>
      <c r="B1026">
        <v>191</v>
      </c>
      <c r="C1026" s="2">
        <v>45169</v>
      </c>
      <c r="D1026">
        <v>1472</v>
      </c>
      <c r="F1026" s="1" t="s">
        <v>567</v>
      </c>
      <c r="H1026" t="s">
        <v>323</v>
      </c>
      <c r="I1026">
        <v>196</v>
      </c>
      <c r="J1026" s="2">
        <v>45107</v>
      </c>
      <c r="K1026">
        <v>500000</v>
      </c>
      <c r="M1026" s="1" t="s">
        <v>567</v>
      </c>
    </row>
    <row r="1027" spans="1:13">
      <c r="A1027" t="s">
        <v>268</v>
      </c>
      <c r="B1027">
        <v>191</v>
      </c>
      <c r="C1027" s="2">
        <v>45199</v>
      </c>
      <c r="D1027">
        <v>1472</v>
      </c>
      <c r="F1027" s="1" t="s">
        <v>567</v>
      </c>
      <c r="H1027" t="s">
        <v>323</v>
      </c>
      <c r="I1027">
        <v>196</v>
      </c>
      <c r="J1027" s="2">
        <v>45138</v>
      </c>
      <c r="K1027">
        <v>500000</v>
      </c>
      <c r="M1027" s="1" t="s">
        <v>567</v>
      </c>
    </row>
    <row r="1028" spans="1:13">
      <c r="A1028" t="s">
        <v>268</v>
      </c>
      <c r="B1028">
        <v>191</v>
      </c>
      <c r="C1028" s="2">
        <v>45230</v>
      </c>
      <c r="D1028">
        <v>1472</v>
      </c>
      <c r="F1028" s="1" t="s">
        <v>567</v>
      </c>
      <c r="H1028" t="s">
        <v>323</v>
      </c>
      <c r="I1028">
        <v>196</v>
      </c>
      <c r="J1028" s="2">
        <v>45169</v>
      </c>
      <c r="K1028">
        <v>500000</v>
      </c>
      <c r="M1028" s="1" t="s">
        <v>567</v>
      </c>
    </row>
    <row r="1029" spans="1:13">
      <c r="A1029" t="s">
        <v>268</v>
      </c>
      <c r="B1029">
        <v>191</v>
      </c>
      <c r="C1029" s="2">
        <v>45260</v>
      </c>
      <c r="D1029">
        <v>2360</v>
      </c>
      <c r="F1029" s="1" t="s">
        <v>567</v>
      </c>
      <c r="H1029" t="s">
        <v>323</v>
      </c>
      <c r="I1029">
        <v>196</v>
      </c>
      <c r="J1029" s="2">
        <v>45199</v>
      </c>
      <c r="K1029">
        <v>500000</v>
      </c>
      <c r="M1029" s="1" t="s">
        <v>567</v>
      </c>
    </row>
    <row r="1030" spans="1:13">
      <c r="A1030" t="s">
        <v>268</v>
      </c>
      <c r="B1030">
        <v>191</v>
      </c>
      <c r="C1030" s="2">
        <v>45291</v>
      </c>
      <c r="D1030">
        <v>3051</v>
      </c>
      <c r="F1030" s="1" t="s">
        <v>567</v>
      </c>
      <c r="H1030" t="s">
        <v>323</v>
      </c>
      <c r="I1030">
        <v>196</v>
      </c>
      <c r="J1030" s="2">
        <v>45230</v>
      </c>
      <c r="K1030">
        <v>500000</v>
      </c>
      <c r="M1030" s="1" t="s">
        <v>567</v>
      </c>
    </row>
    <row r="1031" spans="1:13">
      <c r="A1031" t="s">
        <v>268</v>
      </c>
      <c r="B1031">
        <v>191</v>
      </c>
      <c r="C1031" s="2">
        <v>45322</v>
      </c>
      <c r="D1031">
        <v>3051</v>
      </c>
      <c r="F1031" s="1" t="s">
        <v>567</v>
      </c>
      <c r="H1031" t="s">
        <v>323</v>
      </c>
      <c r="I1031">
        <v>196</v>
      </c>
      <c r="J1031" s="2">
        <v>45260</v>
      </c>
      <c r="K1031">
        <v>500000</v>
      </c>
      <c r="M1031" s="1" t="s">
        <v>567</v>
      </c>
    </row>
    <row r="1032" spans="1:13">
      <c r="A1032" t="s">
        <v>268</v>
      </c>
      <c r="B1032">
        <v>191</v>
      </c>
      <c r="C1032" s="2">
        <v>45351</v>
      </c>
      <c r="D1032">
        <v>3051</v>
      </c>
      <c r="F1032" s="1" t="s">
        <v>567</v>
      </c>
      <c r="H1032" t="s">
        <v>323</v>
      </c>
      <c r="I1032">
        <v>196</v>
      </c>
      <c r="J1032" s="2">
        <v>45291</v>
      </c>
      <c r="K1032">
        <v>500000</v>
      </c>
      <c r="M1032" s="1" t="s">
        <v>567</v>
      </c>
    </row>
    <row r="1033" spans="1:13">
      <c r="A1033" t="s">
        <v>268</v>
      </c>
      <c r="B1033">
        <v>191</v>
      </c>
      <c r="C1033" s="2">
        <v>45382</v>
      </c>
      <c r="D1033">
        <v>3051</v>
      </c>
      <c r="F1033" s="1" t="s">
        <v>567</v>
      </c>
      <c r="H1033" t="s">
        <v>323</v>
      </c>
      <c r="I1033">
        <v>196</v>
      </c>
      <c r="J1033" s="2">
        <v>45322</v>
      </c>
      <c r="K1033">
        <v>500000</v>
      </c>
      <c r="M1033" s="1" t="s">
        <v>567</v>
      </c>
    </row>
    <row r="1034" spans="1:13">
      <c r="A1034" t="s">
        <v>268</v>
      </c>
      <c r="B1034">
        <v>191</v>
      </c>
      <c r="C1034" s="2">
        <v>45412</v>
      </c>
      <c r="D1034">
        <v>3051</v>
      </c>
      <c r="F1034" s="1" t="s">
        <v>567</v>
      </c>
      <c r="H1034" t="s">
        <v>323</v>
      </c>
      <c r="I1034">
        <v>196</v>
      </c>
      <c r="J1034" s="2">
        <v>45351</v>
      </c>
      <c r="K1034">
        <v>500000</v>
      </c>
      <c r="M1034" s="1" t="s">
        <v>567</v>
      </c>
    </row>
    <row r="1035" spans="1:13">
      <c r="A1035" t="s">
        <v>268</v>
      </c>
      <c r="B1035">
        <v>191</v>
      </c>
      <c r="C1035" s="2">
        <v>45443</v>
      </c>
      <c r="D1035">
        <v>3051</v>
      </c>
      <c r="F1035" s="1" t="s">
        <v>567</v>
      </c>
      <c r="H1035" t="s">
        <v>323</v>
      </c>
      <c r="I1035">
        <v>196</v>
      </c>
      <c r="J1035" s="2">
        <v>45382</v>
      </c>
      <c r="K1035">
        <v>500000</v>
      </c>
      <c r="M1035" s="1" t="s">
        <v>567</v>
      </c>
    </row>
    <row r="1036" spans="1:13">
      <c r="A1036" t="s">
        <v>268</v>
      </c>
      <c r="B1036">
        <v>191</v>
      </c>
      <c r="C1036" s="2">
        <v>45473</v>
      </c>
      <c r="D1036">
        <v>3051</v>
      </c>
      <c r="F1036" s="1" t="s">
        <v>567</v>
      </c>
      <c r="H1036" t="s">
        <v>323</v>
      </c>
      <c r="I1036">
        <v>196</v>
      </c>
      <c r="J1036" s="2">
        <v>45412</v>
      </c>
      <c r="K1036">
        <v>500000</v>
      </c>
      <c r="M1036" s="1" t="s">
        <v>567</v>
      </c>
    </row>
    <row r="1037" spans="1:13">
      <c r="A1037" t="s">
        <v>268</v>
      </c>
      <c r="B1037">
        <v>191</v>
      </c>
      <c r="C1037" s="2">
        <v>45504</v>
      </c>
      <c r="D1037">
        <v>3051</v>
      </c>
      <c r="F1037" s="1" t="s">
        <v>567</v>
      </c>
      <c r="H1037" t="s">
        <v>323</v>
      </c>
      <c r="I1037">
        <v>196</v>
      </c>
      <c r="J1037" s="2">
        <v>45443</v>
      </c>
      <c r="K1037">
        <v>500000</v>
      </c>
      <c r="M1037" s="1" t="s">
        <v>567</v>
      </c>
    </row>
    <row r="1038" spans="1:13">
      <c r="A1038" t="s">
        <v>268</v>
      </c>
      <c r="B1038">
        <v>191</v>
      </c>
      <c r="C1038" s="2">
        <v>45535</v>
      </c>
      <c r="D1038">
        <v>3051</v>
      </c>
      <c r="F1038" s="1" t="s">
        <v>567</v>
      </c>
      <c r="H1038" t="s">
        <v>323</v>
      </c>
      <c r="I1038">
        <v>196</v>
      </c>
      <c r="J1038" s="2">
        <v>45473</v>
      </c>
      <c r="K1038">
        <v>500000</v>
      </c>
      <c r="M1038" s="1" t="s">
        <v>567</v>
      </c>
    </row>
    <row r="1039" spans="1:13">
      <c r="A1039" t="s">
        <v>268</v>
      </c>
      <c r="B1039">
        <v>191</v>
      </c>
      <c r="C1039" s="2">
        <v>45565</v>
      </c>
      <c r="D1039">
        <v>3051</v>
      </c>
      <c r="F1039" s="1" t="s">
        <v>567</v>
      </c>
      <c r="H1039" t="s">
        <v>323</v>
      </c>
      <c r="I1039">
        <v>196</v>
      </c>
      <c r="J1039" s="2">
        <v>45504</v>
      </c>
      <c r="K1039">
        <v>500000</v>
      </c>
      <c r="M1039" s="1" t="s">
        <v>567</v>
      </c>
    </row>
    <row r="1040" spans="1:13">
      <c r="A1040" t="s">
        <v>268</v>
      </c>
      <c r="B1040">
        <v>191</v>
      </c>
      <c r="C1040" s="2">
        <v>45596</v>
      </c>
      <c r="D1040">
        <v>3051</v>
      </c>
      <c r="F1040" s="1" t="s">
        <v>567</v>
      </c>
      <c r="H1040" t="s">
        <v>323</v>
      </c>
      <c r="I1040">
        <v>196</v>
      </c>
      <c r="J1040" s="2">
        <v>45535</v>
      </c>
      <c r="K1040">
        <v>500000</v>
      </c>
      <c r="M1040" s="1" t="s">
        <v>567</v>
      </c>
    </row>
    <row r="1041" spans="1:13">
      <c r="A1041" t="s">
        <v>268</v>
      </c>
      <c r="B1041">
        <v>191</v>
      </c>
      <c r="C1041" s="2">
        <v>45626</v>
      </c>
      <c r="D1041">
        <v>3051</v>
      </c>
      <c r="F1041" s="1" t="s">
        <v>567</v>
      </c>
      <c r="H1041" t="s">
        <v>323</v>
      </c>
      <c r="I1041">
        <v>196</v>
      </c>
      <c r="J1041" s="2">
        <v>45565</v>
      </c>
      <c r="K1041">
        <v>500000</v>
      </c>
      <c r="M1041" s="1" t="s">
        <v>567</v>
      </c>
    </row>
    <row r="1042" spans="1:13">
      <c r="A1042" t="s">
        <v>268</v>
      </c>
      <c r="B1042">
        <v>191</v>
      </c>
      <c r="C1042" s="2">
        <v>45657</v>
      </c>
      <c r="D1042">
        <v>3051</v>
      </c>
      <c r="F1042" s="1" t="s">
        <v>567</v>
      </c>
      <c r="H1042" t="s">
        <v>323</v>
      </c>
      <c r="I1042">
        <v>196</v>
      </c>
      <c r="J1042" s="2">
        <v>45596</v>
      </c>
      <c r="K1042">
        <v>500000</v>
      </c>
      <c r="M1042" s="1" t="s">
        <v>567</v>
      </c>
    </row>
    <row r="1043" spans="1:13">
      <c r="A1043" t="s">
        <v>268</v>
      </c>
      <c r="B1043">
        <v>191</v>
      </c>
      <c r="C1043" s="2">
        <v>45688</v>
      </c>
      <c r="D1043">
        <v>3050.66</v>
      </c>
      <c r="F1043" s="1" t="s">
        <v>567</v>
      </c>
      <c r="H1043" t="s">
        <v>323</v>
      </c>
      <c r="I1043">
        <v>196</v>
      </c>
      <c r="J1043" s="2">
        <v>45626</v>
      </c>
      <c r="K1043">
        <v>500000</v>
      </c>
      <c r="M1043" s="1" t="s">
        <v>567</v>
      </c>
    </row>
    <row r="1044" spans="1:13">
      <c r="A1044" t="s">
        <v>268</v>
      </c>
      <c r="B1044">
        <v>191</v>
      </c>
      <c r="C1044" s="2">
        <v>45716</v>
      </c>
      <c r="D1044">
        <v>3050.66</v>
      </c>
      <c r="F1044" s="1" t="s">
        <v>567</v>
      </c>
      <c r="H1044" t="s">
        <v>323</v>
      </c>
      <c r="I1044">
        <v>196</v>
      </c>
      <c r="J1044" s="2">
        <v>45657</v>
      </c>
      <c r="K1044">
        <v>500000</v>
      </c>
      <c r="M1044" s="1" t="s">
        <v>567</v>
      </c>
    </row>
    <row r="1045" spans="1:13">
      <c r="A1045" t="s">
        <v>268</v>
      </c>
      <c r="B1045">
        <v>191</v>
      </c>
      <c r="C1045" s="2">
        <v>45747</v>
      </c>
      <c r="D1045">
        <v>3050.66</v>
      </c>
      <c r="F1045" s="1" t="s">
        <v>567</v>
      </c>
      <c r="H1045" t="s">
        <v>323</v>
      </c>
      <c r="I1045">
        <v>196</v>
      </c>
      <c r="J1045" s="2">
        <v>45688</v>
      </c>
      <c r="K1045">
        <v>500000</v>
      </c>
      <c r="M1045" s="1" t="s">
        <v>567</v>
      </c>
    </row>
    <row r="1046" spans="1:13">
      <c r="A1046" t="s">
        <v>268</v>
      </c>
      <c r="B1046">
        <v>191</v>
      </c>
      <c r="C1046" s="2">
        <v>45777</v>
      </c>
      <c r="D1046">
        <v>3050.66</v>
      </c>
      <c r="F1046" s="1" t="s">
        <v>567</v>
      </c>
      <c r="H1046" t="s">
        <v>323</v>
      </c>
      <c r="I1046">
        <v>196</v>
      </c>
      <c r="J1046" s="2">
        <v>45716</v>
      </c>
      <c r="K1046">
        <v>500000</v>
      </c>
      <c r="M1046" s="1" t="s">
        <v>567</v>
      </c>
    </row>
    <row r="1047" spans="1:13">
      <c r="A1047" t="s">
        <v>268</v>
      </c>
      <c r="B1047">
        <v>191</v>
      </c>
      <c r="C1047" s="2">
        <v>45808</v>
      </c>
      <c r="D1047">
        <v>3050.66</v>
      </c>
      <c r="F1047" s="1" t="s">
        <v>567</v>
      </c>
      <c r="H1047" t="s">
        <v>323</v>
      </c>
      <c r="I1047">
        <v>196</v>
      </c>
      <c r="J1047" s="2">
        <v>45747</v>
      </c>
      <c r="K1047">
        <v>500000</v>
      </c>
      <c r="M1047" s="1" t="s">
        <v>567</v>
      </c>
    </row>
    <row r="1048" spans="1:13">
      <c r="A1048" t="s">
        <v>268</v>
      </c>
      <c r="B1048">
        <v>191</v>
      </c>
      <c r="C1048" s="2">
        <v>45838</v>
      </c>
      <c r="D1048">
        <v>3050.66</v>
      </c>
      <c r="F1048" s="1" t="s">
        <v>567</v>
      </c>
      <c r="H1048" t="s">
        <v>323</v>
      </c>
      <c r="I1048">
        <v>196</v>
      </c>
      <c r="J1048" s="2">
        <v>45777</v>
      </c>
      <c r="K1048">
        <v>500000</v>
      </c>
      <c r="M1048" s="1" t="s">
        <v>567</v>
      </c>
    </row>
    <row r="1049" spans="1:13">
      <c r="A1049" t="s">
        <v>268</v>
      </c>
      <c r="B1049">
        <v>191</v>
      </c>
      <c r="C1049" s="2">
        <v>45869</v>
      </c>
      <c r="D1049">
        <v>3050.66</v>
      </c>
      <c r="F1049" s="1" t="s">
        <v>567</v>
      </c>
      <c r="H1049" t="s">
        <v>323</v>
      </c>
      <c r="I1049">
        <v>196</v>
      </c>
      <c r="J1049" s="2">
        <v>45808</v>
      </c>
      <c r="K1049">
        <v>500000</v>
      </c>
      <c r="M1049" s="1" t="s">
        <v>567</v>
      </c>
    </row>
    <row r="1050" spans="1:13">
      <c r="A1050" t="s">
        <v>268</v>
      </c>
      <c r="B1050">
        <v>191</v>
      </c>
      <c r="C1050" s="2">
        <v>45900</v>
      </c>
      <c r="D1050">
        <v>3050.66</v>
      </c>
      <c r="F1050" s="1" t="s">
        <v>567</v>
      </c>
      <c r="H1050" t="s">
        <v>323</v>
      </c>
      <c r="I1050">
        <v>196</v>
      </c>
      <c r="J1050" s="2">
        <v>45838</v>
      </c>
      <c r="K1050">
        <v>500000</v>
      </c>
      <c r="M1050" s="1" t="s">
        <v>567</v>
      </c>
    </row>
    <row r="1051" spans="1:13">
      <c r="A1051" t="s">
        <v>268</v>
      </c>
      <c r="B1051">
        <v>191</v>
      </c>
      <c r="C1051" s="2">
        <v>45930</v>
      </c>
      <c r="D1051">
        <v>3050.66</v>
      </c>
      <c r="F1051" s="1" t="s">
        <v>567</v>
      </c>
      <c r="H1051" t="s">
        <v>323</v>
      </c>
      <c r="I1051">
        <v>196</v>
      </c>
      <c r="J1051" s="2">
        <v>45869</v>
      </c>
      <c r="K1051">
        <v>500000</v>
      </c>
      <c r="M1051" s="1" t="s">
        <v>567</v>
      </c>
    </row>
    <row r="1052" spans="1:13">
      <c r="A1052" t="s">
        <v>268</v>
      </c>
      <c r="B1052">
        <v>191</v>
      </c>
      <c r="C1052" s="2">
        <v>45961</v>
      </c>
      <c r="D1052">
        <v>3050.66</v>
      </c>
      <c r="F1052" s="1" t="s">
        <v>567</v>
      </c>
      <c r="H1052" t="s">
        <v>323</v>
      </c>
      <c r="I1052">
        <v>196</v>
      </c>
      <c r="J1052" s="2">
        <v>45900</v>
      </c>
      <c r="K1052">
        <v>500000</v>
      </c>
      <c r="M1052" s="1" t="s">
        <v>567</v>
      </c>
    </row>
    <row r="1053" spans="1:13">
      <c r="A1053" t="s">
        <v>268</v>
      </c>
      <c r="B1053">
        <v>191</v>
      </c>
      <c r="C1053" s="2">
        <v>45991</v>
      </c>
      <c r="D1053">
        <v>3050.66</v>
      </c>
      <c r="F1053" s="1" t="s">
        <v>567</v>
      </c>
      <c r="H1053" t="s">
        <v>323</v>
      </c>
      <c r="I1053">
        <v>196</v>
      </c>
      <c r="J1053" s="2">
        <v>45930</v>
      </c>
      <c r="K1053">
        <v>500000</v>
      </c>
      <c r="M1053" s="1" t="s">
        <v>567</v>
      </c>
    </row>
    <row r="1054" spans="1:13">
      <c r="A1054" t="s">
        <v>269</v>
      </c>
      <c r="B1054">
        <v>192</v>
      </c>
      <c r="C1054" s="2">
        <v>44957</v>
      </c>
      <c r="D1054">
        <v>2500</v>
      </c>
      <c r="F1054" s="1" t="s">
        <v>567</v>
      </c>
      <c r="H1054" t="s">
        <v>323</v>
      </c>
      <c r="I1054">
        <v>196</v>
      </c>
      <c r="J1054" s="2">
        <v>45961</v>
      </c>
      <c r="K1054">
        <v>500000</v>
      </c>
      <c r="M1054" s="1" t="s">
        <v>567</v>
      </c>
    </row>
    <row r="1055" spans="1:13">
      <c r="A1055" t="s">
        <v>269</v>
      </c>
      <c r="B1055">
        <v>192</v>
      </c>
      <c r="C1055" s="2">
        <v>44985</v>
      </c>
      <c r="D1055">
        <v>2500</v>
      </c>
      <c r="F1055" s="1" t="s">
        <v>567</v>
      </c>
      <c r="H1055" t="s">
        <v>323</v>
      </c>
      <c r="I1055">
        <v>196</v>
      </c>
      <c r="J1055" s="2">
        <v>45991</v>
      </c>
      <c r="K1055">
        <v>500000</v>
      </c>
      <c r="M1055" s="1" t="s">
        <v>567</v>
      </c>
    </row>
    <row r="1056" spans="1:13">
      <c r="A1056" t="s">
        <v>269</v>
      </c>
      <c r="B1056">
        <v>192</v>
      </c>
      <c r="C1056" s="2">
        <v>45016</v>
      </c>
      <c r="D1056">
        <v>2500</v>
      </c>
      <c r="F1056" s="1" t="s">
        <v>567</v>
      </c>
      <c r="H1056" t="s">
        <v>325</v>
      </c>
      <c r="I1056">
        <v>198</v>
      </c>
      <c r="J1056" s="2">
        <v>45107</v>
      </c>
      <c r="K1056">
        <v>1500000</v>
      </c>
      <c r="M1056" s="1" t="s">
        <v>567</v>
      </c>
    </row>
    <row r="1057" spans="1:13">
      <c r="A1057" t="s">
        <v>269</v>
      </c>
      <c r="B1057">
        <v>192</v>
      </c>
      <c r="C1057" s="2">
        <v>45046</v>
      </c>
      <c r="D1057">
        <v>2500</v>
      </c>
      <c r="F1057" s="1" t="s">
        <v>567</v>
      </c>
      <c r="H1057" t="s">
        <v>325</v>
      </c>
      <c r="I1057">
        <v>198</v>
      </c>
      <c r="J1057" s="2">
        <v>45138</v>
      </c>
      <c r="K1057">
        <v>1500000</v>
      </c>
      <c r="M1057" s="1" t="s">
        <v>567</v>
      </c>
    </row>
    <row r="1058" spans="1:13">
      <c r="A1058" t="s">
        <v>269</v>
      </c>
      <c r="B1058">
        <v>192</v>
      </c>
      <c r="C1058" s="2">
        <v>45077</v>
      </c>
      <c r="D1058">
        <v>2500</v>
      </c>
      <c r="F1058" s="1" t="s">
        <v>567</v>
      </c>
      <c r="H1058" t="s">
        <v>325</v>
      </c>
      <c r="I1058">
        <v>198</v>
      </c>
      <c r="J1058" s="2">
        <v>45169</v>
      </c>
      <c r="K1058">
        <v>1500000</v>
      </c>
      <c r="M1058" s="1" t="s">
        <v>567</v>
      </c>
    </row>
    <row r="1059" spans="1:13">
      <c r="A1059" t="s">
        <v>269</v>
      </c>
      <c r="B1059">
        <v>192</v>
      </c>
      <c r="C1059" s="2">
        <v>45107</v>
      </c>
      <c r="D1059">
        <v>2500</v>
      </c>
      <c r="F1059" s="1" t="s">
        <v>567</v>
      </c>
      <c r="H1059" t="s">
        <v>325</v>
      </c>
      <c r="I1059">
        <v>198</v>
      </c>
      <c r="J1059" s="2">
        <v>45199</v>
      </c>
      <c r="K1059">
        <v>1500000</v>
      </c>
      <c r="M1059" s="1" t="s">
        <v>567</v>
      </c>
    </row>
    <row r="1060" spans="1:13">
      <c r="A1060" t="s">
        <v>269</v>
      </c>
      <c r="B1060">
        <v>192</v>
      </c>
      <c r="C1060" s="2">
        <v>45138</v>
      </c>
      <c r="D1060">
        <v>2500</v>
      </c>
      <c r="F1060" s="1" t="s">
        <v>567</v>
      </c>
      <c r="H1060" t="s">
        <v>325</v>
      </c>
      <c r="I1060">
        <v>198</v>
      </c>
      <c r="J1060" s="2">
        <v>45230</v>
      </c>
      <c r="K1060">
        <v>1500000</v>
      </c>
      <c r="M1060" s="1" t="s">
        <v>567</v>
      </c>
    </row>
    <row r="1061" spans="1:13">
      <c r="A1061" t="s">
        <v>269</v>
      </c>
      <c r="B1061">
        <v>192</v>
      </c>
      <c r="C1061" s="2">
        <v>45169</v>
      </c>
      <c r="D1061">
        <v>2500</v>
      </c>
      <c r="F1061" s="1" t="s">
        <v>567</v>
      </c>
      <c r="H1061" t="s">
        <v>325</v>
      </c>
      <c r="I1061">
        <v>198</v>
      </c>
      <c r="J1061" s="2">
        <v>45260</v>
      </c>
      <c r="K1061">
        <v>2000000</v>
      </c>
      <c r="M1061" s="1" t="s">
        <v>567</v>
      </c>
    </row>
    <row r="1062" spans="1:13">
      <c r="A1062" t="s">
        <v>269</v>
      </c>
      <c r="B1062">
        <v>192</v>
      </c>
      <c r="C1062" s="2">
        <v>45199</v>
      </c>
      <c r="D1062">
        <v>2500</v>
      </c>
      <c r="F1062" s="1" t="s">
        <v>567</v>
      </c>
      <c r="H1062" t="s">
        <v>325</v>
      </c>
      <c r="I1062">
        <v>198</v>
      </c>
      <c r="J1062" s="2">
        <v>45291</v>
      </c>
      <c r="K1062">
        <v>3000000</v>
      </c>
      <c r="M1062" s="1" t="s">
        <v>567</v>
      </c>
    </row>
    <row r="1063" spans="1:13">
      <c r="A1063" t="s">
        <v>269</v>
      </c>
      <c r="B1063">
        <v>192</v>
      </c>
      <c r="C1063" s="2">
        <v>45230</v>
      </c>
      <c r="D1063">
        <v>7500</v>
      </c>
      <c r="F1063" s="1" t="s">
        <v>567</v>
      </c>
      <c r="H1063" t="s">
        <v>325</v>
      </c>
      <c r="I1063">
        <v>198</v>
      </c>
      <c r="J1063" s="2">
        <v>45322</v>
      </c>
      <c r="K1063">
        <v>3000000</v>
      </c>
      <c r="M1063" s="1" t="s">
        <v>567</v>
      </c>
    </row>
    <row r="1064" spans="1:13">
      <c r="A1064" t="s">
        <v>269</v>
      </c>
      <c r="B1064">
        <v>192</v>
      </c>
      <c r="C1064" s="2">
        <v>45260</v>
      </c>
      <c r="D1064">
        <v>13593</v>
      </c>
      <c r="F1064" s="1" t="s">
        <v>567</v>
      </c>
      <c r="H1064" t="s">
        <v>325</v>
      </c>
      <c r="I1064">
        <v>198</v>
      </c>
      <c r="J1064" s="2">
        <v>45351</v>
      </c>
      <c r="K1064">
        <v>3000000</v>
      </c>
      <c r="M1064" s="1" t="s">
        <v>567</v>
      </c>
    </row>
    <row r="1065" spans="1:13">
      <c r="A1065" t="s">
        <v>269</v>
      </c>
      <c r="B1065">
        <v>192</v>
      </c>
      <c r="C1065" s="2">
        <v>45291</v>
      </c>
      <c r="D1065">
        <v>18444.5</v>
      </c>
      <c r="F1065" s="1" t="s">
        <v>567</v>
      </c>
      <c r="H1065" t="s">
        <v>325</v>
      </c>
      <c r="I1065">
        <v>198</v>
      </c>
      <c r="J1065" s="2">
        <v>45382</v>
      </c>
      <c r="K1065">
        <v>3000000</v>
      </c>
      <c r="M1065" s="1" t="s">
        <v>567</v>
      </c>
    </row>
    <row r="1066" spans="1:13">
      <c r="A1066" t="s">
        <v>269</v>
      </c>
      <c r="B1066">
        <v>192</v>
      </c>
      <c r="C1066" s="2">
        <v>45322</v>
      </c>
      <c r="D1066">
        <v>18444.5</v>
      </c>
      <c r="F1066" s="1" t="s">
        <v>567</v>
      </c>
      <c r="H1066" t="s">
        <v>325</v>
      </c>
      <c r="I1066">
        <v>198</v>
      </c>
      <c r="J1066" s="2">
        <v>45412</v>
      </c>
      <c r="K1066">
        <v>3000000</v>
      </c>
      <c r="M1066" s="1" t="s">
        <v>567</v>
      </c>
    </row>
    <row r="1067" spans="1:13">
      <c r="A1067" t="s">
        <v>269</v>
      </c>
      <c r="B1067">
        <v>192</v>
      </c>
      <c r="C1067" s="2">
        <v>45351</v>
      </c>
      <c r="D1067">
        <v>18445</v>
      </c>
      <c r="F1067" s="1" t="s">
        <v>567</v>
      </c>
      <c r="H1067" t="s">
        <v>325</v>
      </c>
      <c r="I1067">
        <v>198</v>
      </c>
      <c r="J1067" s="2">
        <v>45443</v>
      </c>
      <c r="K1067">
        <v>3000000</v>
      </c>
      <c r="M1067" s="1" t="s">
        <v>567</v>
      </c>
    </row>
    <row r="1068" spans="1:13">
      <c r="A1068" t="s">
        <v>269</v>
      </c>
      <c r="B1068">
        <v>192</v>
      </c>
      <c r="C1068" s="2">
        <v>45382</v>
      </c>
      <c r="D1068">
        <v>18445</v>
      </c>
      <c r="F1068" s="1" t="s">
        <v>567</v>
      </c>
      <c r="H1068" t="s">
        <v>325</v>
      </c>
      <c r="I1068">
        <v>198</v>
      </c>
      <c r="J1068" s="2">
        <v>45473</v>
      </c>
      <c r="K1068">
        <v>3000000</v>
      </c>
      <c r="M1068" s="1" t="s">
        <v>567</v>
      </c>
    </row>
    <row r="1069" spans="1:13">
      <c r="A1069" t="s">
        <v>269</v>
      </c>
      <c r="B1069">
        <v>192</v>
      </c>
      <c r="C1069" s="2">
        <v>45412</v>
      </c>
      <c r="D1069">
        <v>18445</v>
      </c>
      <c r="F1069" s="1" t="s">
        <v>567</v>
      </c>
      <c r="H1069" t="s">
        <v>325</v>
      </c>
      <c r="I1069">
        <v>198</v>
      </c>
      <c r="J1069" s="2">
        <v>45504</v>
      </c>
      <c r="K1069">
        <v>3000000</v>
      </c>
      <c r="M1069" s="1" t="s">
        <v>567</v>
      </c>
    </row>
    <row r="1070" spans="1:13">
      <c r="A1070" t="s">
        <v>269</v>
      </c>
      <c r="B1070">
        <v>192</v>
      </c>
      <c r="C1070" s="2">
        <v>45443</v>
      </c>
      <c r="D1070">
        <v>18445</v>
      </c>
      <c r="F1070" s="1" t="s">
        <v>567</v>
      </c>
      <c r="H1070" t="s">
        <v>325</v>
      </c>
      <c r="I1070">
        <v>198</v>
      </c>
      <c r="J1070" s="2">
        <v>45535</v>
      </c>
      <c r="K1070">
        <v>3000000</v>
      </c>
      <c r="M1070" s="1" t="s">
        <v>567</v>
      </c>
    </row>
    <row r="1071" spans="1:13">
      <c r="A1071" t="s">
        <v>269</v>
      </c>
      <c r="B1071">
        <v>192</v>
      </c>
      <c r="C1071" s="2">
        <v>45473</v>
      </c>
      <c r="D1071">
        <v>18445</v>
      </c>
      <c r="F1071" s="1" t="s">
        <v>567</v>
      </c>
      <c r="H1071" t="s">
        <v>325</v>
      </c>
      <c r="I1071">
        <v>198</v>
      </c>
      <c r="J1071" s="2">
        <v>45565</v>
      </c>
      <c r="K1071">
        <v>3000000</v>
      </c>
      <c r="M1071" s="1" t="s">
        <v>567</v>
      </c>
    </row>
    <row r="1072" spans="1:13">
      <c r="A1072" t="s">
        <v>269</v>
      </c>
      <c r="B1072">
        <v>192</v>
      </c>
      <c r="C1072" s="2">
        <v>45504</v>
      </c>
      <c r="D1072">
        <v>18445</v>
      </c>
      <c r="F1072" s="1" t="s">
        <v>567</v>
      </c>
      <c r="H1072" t="s">
        <v>325</v>
      </c>
      <c r="I1072">
        <v>198</v>
      </c>
      <c r="J1072" s="2">
        <v>45596</v>
      </c>
      <c r="K1072">
        <v>3000000</v>
      </c>
      <c r="M1072" s="1" t="s">
        <v>567</v>
      </c>
    </row>
    <row r="1073" spans="1:13">
      <c r="A1073" t="s">
        <v>269</v>
      </c>
      <c r="B1073">
        <v>192</v>
      </c>
      <c r="C1073" s="2">
        <v>45535</v>
      </c>
      <c r="D1073">
        <v>18445</v>
      </c>
      <c r="F1073" s="1" t="s">
        <v>567</v>
      </c>
      <c r="H1073" t="s">
        <v>325</v>
      </c>
      <c r="I1073">
        <v>198</v>
      </c>
      <c r="J1073" s="2">
        <v>45626</v>
      </c>
      <c r="K1073">
        <v>3000000</v>
      </c>
      <c r="M1073" s="1" t="s">
        <v>567</v>
      </c>
    </row>
    <row r="1074" spans="1:13">
      <c r="A1074" t="s">
        <v>269</v>
      </c>
      <c r="B1074">
        <v>192</v>
      </c>
      <c r="C1074" s="2">
        <v>45565</v>
      </c>
      <c r="D1074">
        <v>18445</v>
      </c>
      <c r="F1074" s="1" t="s">
        <v>567</v>
      </c>
      <c r="H1074" t="s">
        <v>325</v>
      </c>
      <c r="I1074">
        <v>198</v>
      </c>
      <c r="J1074" s="2">
        <v>45657</v>
      </c>
      <c r="K1074">
        <v>3000000</v>
      </c>
      <c r="M1074" s="1" t="s">
        <v>567</v>
      </c>
    </row>
    <row r="1075" spans="1:13">
      <c r="A1075" t="s">
        <v>269</v>
      </c>
      <c r="B1075">
        <v>192</v>
      </c>
      <c r="C1075" s="2">
        <v>45596</v>
      </c>
      <c r="D1075">
        <v>18445</v>
      </c>
      <c r="F1075" s="1" t="s">
        <v>567</v>
      </c>
      <c r="H1075" t="s">
        <v>325</v>
      </c>
      <c r="I1075">
        <v>198</v>
      </c>
      <c r="J1075" s="2">
        <v>45688</v>
      </c>
      <c r="K1075">
        <v>3000000</v>
      </c>
      <c r="M1075" s="1" t="s">
        <v>567</v>
      </c>
    </row>
    <row r="1076" spans="1:13">
      <c r="A1076" t="s">
        <v>269</v>
      </c>
      <c r="B1076">
        <v>192</v>
      </c>
      <c r="C1076" s="2">
        <v>45626</v>
      </c>
      <c r="D1076">
        <v>18445</v>
      </c>
      <c r="F1076" s="1" t="s">
        <v>567</v>
      </c>
      <c r="H1076" t="s">
        <v>325</v>
      </c>
      <c r="I1076">
        <v>198</v>
      </c>
      <c r="J1076" s="2">
        <v>45716</v>
      </c>
      <c r="K1076">
        <v>3000000</v>
      </c>
      <c r="M1076" s="1" t="s">
        <v>567</v>
      </c>
    </row>
    <row r="1077" spans="1:13">
      <c r="A1077" t="s">
        <v>269</v>
      </c>
      <c r="B1077">
        <v>192</v>
      </c>
      <c r="C1077" s="2">
        <v>45657</v>
      </c>
      <c r="D1077">
        <v>18445</v>
      </c>
      <c r="F1077" s="1" t="s">
        <v>567</v>
      </c>
      <c r="H1077" t="s">
        <v>325</v>
      </c>
      <c r="I1077">
        <v>198</v>
      </c>
      <c r="J1077" s="2">
        <v>45747</v>
      </c>
      <c r="K1077">
        <v>3000000</v>
      </c>
      <c r="M1077" s="1" t="s">
        <v>567</v>
      </c>
    </row>
    <row r="1078" spans="1:13">
      <c r="A1078" t="s">
        <v>269</v>
      </c>
      <c r="B1078">
        <v>192</v>
      </c>
      <c r="C1078" s="2">
        <v>45688</v>
      </c>
      <c r="D1078">
        <v>18444.759999999998</v>
      </c>
      <c r="F1078" s="1" t="s">
        <v>567</v>
      </c>
      <c r="H1078" t="s">
        <v>325</v>
      </c>
      <c r="I1078">
        <v>198</v>
      </c>
      <c r="J1078" s="2">
        <v>45777</v>
      </c>
      <c r="K1078">
        <v>3000000</v>
      </c>
      <c r="M1078" s="1" t="s">
        <v>567</v>
      </c>
    </row>
    <row r="1079" spans="1:13">
      <c r="A1079" t="s">
        <v>269</v>
      </c>
      <c r="B1079">
        <v>192</v>
      </c>
      <c r="C1079" s="2">
        <v>45716</v>
      </c>
      <c r="D1079">
        <v>18445</v>
      </c>
      <c r="F1079" s="1" t="s">
        <v>567</v>
      </c>
      <c r="H1079" t="s">
        <v>325</v>
      </c>
      <c r="I1079">
        <v>198</v>
      </c>
      <c r="J1079" s="2">
        <v>45808</v>
      </c>
      <c r="K1079">
        <v>3000000</v>
      </c>
      <c r="M1079" s="1" t="s">
        <v>567</v>
      </c>
    </row>
    <row r="1080" spans="1:13">
      <c r="A1080" t="s">
        <v>269</v>
      </c>
      <c r="B1080">
        <v>192</v>
      </c>
      <c r="C1080" s="2">
        <v>45747</v>
      </c>
      <c r="D1080">
        <v>18445</v>
      </c>
      <c r="F1080" s="1" t="s">
        <v>567</v>
      </c>
      <c r="H1080" t="s">
        <v>325</v>
      </c>
      <c r="I1080">
        <v>198</v>
      </c>
      <c r="J1080" s="2">
        <v>45838</v>
      </c>
      <c r="K1080">
        <v>3000000</v>
      </c>
      <c r="M1080" s="1" t="s">
        <v>567</v>
      </c>
    </row>
    <row r="1081" spans="1:13">
      <c r="A1081" t="s">
        <v>269</v>
      </c>
      <c r="B1081">
        <v>192</v>
      </c>
      <c r="C1081" s="2">
        <v>45777</v>
      </c>
      <c r="D1081">
        <v>18445</v>
      </c>
      <c r="F1081" s="1" t="s">
        <v>567</v>
      </c>
      <c r="H1081" t="s">
        <v>325</v>
      </c>
      <c r="I1081">
        <v>198</v>
      </c>
      <c r="J1081" s="2">
        <v>45869</v>
      </c>
      <c r="K1081">
        <v>3000000</v>
      </c>
      <c r="M1081" s="1" t="s">
        <v>567</v>
      </c>
    </row>
    <row r="1082" spans="1:13">
      <c r="A1082" t="s">
        <v>269</v>
      </c>
      <c r="B1082">
        <v>192</v>
      </c>
      <c r="C1082" s="2">
        <v>45808</v>
      </c>
      <c r="D1082">
        <v>18445</v>
      </c>
      <c r="F1082" s="1" t="s">
        <v>567</v>
      </c>
      <c r="H1082" t="s">
        <v>325</v>
      </c>
      <c r="I1082">
        <v>198</v>
      </c>
      <c r="J1082" s="2">
        <v>45900</v>
      </c>
      <c r="K1082">
        <v>3000000</v>
      </c>
      <c r="M1082" s="1" t="s">
        <v>567</v>
      </c>
    </row>
    <row r="1083" spans="1:13">
      <c r="A1083" t="s">
        <v>269</v>
      </c>
      <c r="B1083">
        <v>192</v>
      </c>
      <c r="C1083" s="2">
        <v>45838</v>
      </c>
      <c r="D1083">
        <v>18444.759999999998</v>
      </c>
      <c r="F1083" s="1" t="s">
        <v>567</v>
      </c>
      <c r="H1083" t="s">
        <v>325</v>
      </c>
      <c r="I1083">
        <v>198</v>
      </c>
      <c r="J1083" s="2">
        <v>45930</v>
      </c>
      <c r="K1083">
        <v>3000000</v>
      </c>
      <c r="M1083" s="1" t="s">
        <v>567</v>
      </c>
    </row>
    <row r="1084" spans="1:13">
      <c r="A1084" t="s">
        <v>269</v>
      </c>
      <c r="B1084">
        <v>192</v>
      </c>
      <c r="C1084" s="2">
        <v>45869</v>
      </c>
      <c r="D1084">
        <v>18444.759999999998</v>
      </c>
      <c r="F1084" s="1" t="s">
        <v>567</v>
      </c>
      <c r="H1084" t="s">
        <v>325</v>
      </c>
      <c r="I1084">
        <v>198</v>
      </c>
      <c r="J1084" s="2">
        <v>45961</v>
      </c>
      <c r="K1084">
        <v>3000000</v>
      </c>
      <c r="M1084" s="1" t="s">
        <v>567</v>
      </c>
    </row>
    <row r="1085" spans="1:13">
      <c r="A1085" t="s">
        <v>269</v>
      </c>
      <c r="B1085">
        <v>192</v>
      </c>
      <c r="C1085" s="2">
        <v>45900</v>
      </c>
      <c r="D1085">
        <v>18444.759999999998</v>
      </c>
      <c r="F1085" s="1" t="s">
        <v>567</v>
      </c>
      <c r="H1085" t="s">
        <v>325</v>
      </c>
      <c r="I1085">
        <v>198</v>
      </c>
      <c r="J1085" s="2">
        <v>45991</v>
      </c>
      <c r="K1085">
        <v>3000000</v>
      </c>
      <c r="M1085" s="1" t="s">
        <v>567</v>
      </c>
    </row>
    <row r="1086" spans="1:13">
      <c r="A1086" t="s">
        <v>269</v>
      </c>
      <c r="B1086">
        <v>192</v>
      </c>
      <c r="C1086" s="2">
        <v>45930</v>
      </c>
      <c r="D1086">
        <v>18444.759999999998</v>
      </c>
      <c r="F1086" s="1" t="s">
        <v>567</v>
      </c>
      <c r="H1086" t="s">
        <v>326</v>
      </c>
      <c r="I1086">
        <v>4</v>
      </c>
      <c r="J1086" s="2">
        <v>44926</v>
      </c>
      <c r="K1086">
        <v>0</v>
      </c>
      <c r="M1086" s="1" t="s">
        <v>567</v>
      </c>
    </row>
    <row r="1087" spans="1:13">
      <c r="A1087" t="s">
        <v>269</v>
      </c>
      <c r="B1087">
        <v>192</v>
      </c>
      <c r="C1087" s="2">
        <v>45961</v>
      </c>
      <c r="D1087">
        <v>18444.759999999998</v>
      </c>
      <c r="F1087" s="1" t="s">
        <v>567</v>
      </c>
      <c r="H1087" t="s">
        <v>326</v>
      </c>
      <c r="I1087">
        <v>4</v>
      </c>
      <c r="J1087" s="2">
        <v>44957</v>
      </c>
      <c r="K1087">
        <v>0</v>
      </c>
      <c r="M1087" s="1" t="s">
        <v>567</v>
      </c>
    </row>
    <row r="1088" spans="1:13">
      <c r="A1088" t="s">
        <v>269</v>
      </c>
      <c r="B1088">
        <v>192</v>
      </c>
      <c r="C1088" s="2">
        <v>45991</v>
      </c>
      <c r="D1088">
        <v>18444.759999999998</v>
      </c>
      <c r="F1088" s="1" t="s">
        <v>567</v>
      </c>
      <c r="H1088" t="s">
        <v>326</v>
      </c>
      <c r="I1088">
        <v>4</v>
      </c>
      <c r="J1088" s="2">
        <v>44985</v>
      </c>
      <c r="K1088">
        <v>0</v>
      </c>
      <c r="M1088" s="1" t="s">
        <v>567</v>
      </c>
    </row>
    <row r="1089" spans="1:13">
      <c r="A1089" t="s">
        <v>270</v>
      </c>
      <c r="B1089" t="s">
        <v>271</v>
      </c>
      <c r="C1089" s="2">
        <v>44957</v>
      </c>
      <c r="D1089">
        <v>2569</v>
      </c>
      <c r="F1089" s="1" t="s">
        <v>567</v>
      </c>
      <c r="H1089" t="s">
        <v>326</v>
      </c>
      <c r="I1089">
        <v>4</v>
      </c>
      <c r="J1089" s="2">
        <v>45016</v>
      </c>
      <c r="K1089">
        <v>0</v>
      </c>
      <c r="M1089" s="1" t="s">
        <v>567</v>
      </c>
    </row>
    <row r="1090" spans="1:13">
      <c r="A1090" t="s">
        <v>270</v>
      </c>
      <c r="B1090" t="s">
        <v>271</v>
      </c>
      <c r="C1090" s="2">
        <v>44985</v>
      </c>
      <c r="D1090">
        <v>2569</v>
      </c>
      <c r="F1090" s="1" t="s">
        <v>567</v>
      </c>
      <c r="H1090" t="s">
        <v>326</v>
      </c>
      <c r="I1090">
        <v>4</v>
      </c>
      <c r="J1090" s="2">
        <v>45046</v>
      </c>
      <c r="K1090">
        <v>0</v>
      </c>
      <c r="M1090" s="1" t="s">
        <v>567</v>
      </c>
    </row>
    <row r="1091" spans="1:13">
      <c r="A1091" t="s">
        <v>270</v>
      </c>
      <c r="B1091" t="s">
        <v>271</v>
      </c>
      <c r="C1091" s="2">
        <v>45016</v>
      </c>
      <c r="D1091">
        <v>2639</v>
      </c>
      <c r="F1091" s="1" t="s">
        <v>567</v>
      </c>
      <c r="H1091" t="s">
        <v>326</v>
      </c>
      <c r="I1091">
        <v>4</v>
      </c>
      <c r="J1091" s="2">
        <v>45077</v>
      </c>
      <c r="K1091">
        <v>0</v>
      </c>
      <c r="M1091" s="1" t="s">
        <v>567</v>
      </c>
    </row>
    <row r="1092" spans="1:13">
      <c r="A1092" t="s">
        <v>270</v>
      </c>
      <c r="B1092" t="s">
        <v>271</v>
      </c>
      <c r="C1092" s="2">
        <v>45046</v>
      </c>
      <c r="D1092">
        <v>3611.5</v>
      </c>
      <c r="F1092" s="1" t="s">
        <v>567</v>
      </c>
      <c r="H1092" t="s">
        <v>326</v>
      </c>
      <c r="I1092">
        <v>4</v>
      </c>
      <c r="J1092" s="2">
        <v>45107</v>
      </c>
      <c r="K1092">
        <v>0</v>
      </c>
      <c r="M1092" s="1" t="s">
        <v>567</v>
      </c>
    </row>
    <row r="1093" spans="1:13">
      <c r="A1093" t="s">
        <v>270</v>
      </c>
      <c r="B1093" t="s">
        <v>271</v>
      </c>
      <c r="C1093" s="2">
        <v>45077</v>
      </c>
      <c r="D1093">
        <v>3681</v>
      </c>
      <c r="F1093" s="1" t="s">
        <v>567</v>
      </c>
      <c r="H1093" t="s">
        <v>326</v>
      </c>
      <c r="I1093">
        <v>4</v>
      </c>
      <c r="J1093" s="2">
        <v>45138</v>
      </c>
      <c r="K1093">
        <v>0</v>
      </c>
      <c r="M1093" s="1" t="s">
        <v>567</v>
      </c>
    </row>
    <row r="1094" spans="1:13">
      <c r="A1094" t="s">
        <v>270</v>
      </c>
      <c r="B1094" t="s">
        <v>271</v>
      </c>
      <c r="C1094" s="2">
        <v>45107</v>
      </c>
      <c r="D1094">
        <v>3903</v>
      </c>
      <c r="F1094" s="1" t="s">
        <v>567</v>
      </c>
      <c r="H1094" t="s">
        <v>326</v>
      </c>
      <c r="I1094">
        <v>4</v>
      </c>
      <c r="J1094" s="2">
        <v>45169</v>
      </c>
      <c r="K1094">
        <v>0</v>
      </c>
      <c r="M1094" s="1" t="s">
        <v>567</v>
      </c>
    </row>
    <row r="1095" spans="1:13">
      <c r="A1095" t="s">
        <v>270</v>
      </c>
      <c r="B1095" t="s">
        <v>271</v>
      </c>
      <c r="C1095" s="2">
        <v>45138</v>
      </c>
      <c r="D1095">
        <v>3903</v>
      </c>
      <c r="F1095" s="1" t="s">
        <v>567</v>
      </c>
      <c r="H1095" t="s">
        <v>326</v>
      </c>
      <c r="I1095">
        <v>4</v>
      </c>
      <c r="J1095" s="2">
        <v>45199</v>
      </c>
      <c r="K1095">
        <v>0</v>
      </c>
      <c r="M1095" s="1" t="s">
        <v>567</v>
      </c>
    </row>
    <row r="1096" spans="1:13">
      <c r="A1096" t="s">
        <v>270</v>
      </c>
      <c r="B1096" t="s">
        <v>271</v>
      </c>
      <c r="C1096" s="2">
        <v>45169</v>
      </c>
      <c r="D1096">
        <v>3972</v>
      </c>
      <c r="F1096" s="1" t="s">
        <v>567</v>
      </c>
      <c r="H1096" t="s">
        <v>326</v>
      </c>
      <c r="I1096">
        <v>4</v>
      </c>
      <c r="J1096" s="2">
        <v>45230</v>
      </c>
      <c r="K1096">
        <v>0</v>
      </c>
      <c r="M1096" s="1" t="s">
        <v>567</v>
      </c>
    </row>
    <row r="1097" spans="1:13">
      <c r="A1097" t="s">
        <v>270</v>
      </c>
      <c r="B1097" t="s">
        <v>271</v>
      </c>
      <c r="C1097" s="2">
        <v>45199</v>
      </c>
      <c r="D1097">
        <v>3972</v>
      </c>
      <c r="F1097" s="1" t="s">
        <v>567</v>
      </c>
      <c r="H1097" t="s">
        <v>326</v>
      </c>
      <c r="I1097">
        <v>4</v>
      </c>
      <c r="J1097" s="2">
        <v>45260</v>
      </c>
      <c r="K1097">
        <v>0</v>
      </c>
      <c r="M1097" s="1" t="s">
        <v>567</v>
      </c>
    </row>
    <row r="1098" spans="1:13">
      <c r="A1098" t="s">
        <v>270</v>
      </c>
      <c r="B1098" t="s">
        <v>271</v>
      </c>
      <c r="C1098" s="2">
        <v>45230</v>
      </c>
      <c r="D1098">
        <v>8972</v>
      </c>
      <c r="F1098" s="1" t="s">
        <v>567</v>
      </c>
      <c r="H1098" t="s">
        <v>326</v>
      </c>
      <c r="I1098">
        <v>4</v>
      </c>
      <c r="J1098" s="2">
        <v>45291</v>
      </c>
      <c r="K1098">
        <v>0</v>
      </c>
      <c r="M1098" s="1" t="s">
        <v>567</v>
      </c>
    </row>
    <row r="1099" spans="1:13">
      <c r="A1099" t="s">
        <v>270</v>
      </c>
      <c r="B1099" t="s">
        <v>271</v>
      </c>
      <c r="C1099" s="2">
        <v>45260</v>
      </c>
      <c r="D1099">
        <v>15953</v>
      </c>
      <c r="F1099" s="1" t="s">
        <v>567</v>
      </c>
      <c r="H1099" t="s">
        <v>326</v>
      </c>
      <c r="I1099">
        <v>4</v>
      </c>
      <c r="J1099" s="2">
        <v>45322</v>
      </c>
      <c r="K1099">
        <v>-659921.5</v>
      </c>
      <c r="M1099" s="1" t="s">
        <v>567</v>
      </c>
    </row>
    <row r="1100" spans="1:13">
      <c r="A1100" t="s">
        <v>270</v>
      </c>
      <c r="B1100" t="s">
        <v>271</v>
      </c>
      <c r="C1100" s="2">
        <v>45291</v>
      </c>
      <c r="D1100">
        <v>21495.5</v>
      </c>
      <c r="F1100" s="1" t="s">
        <v>567</v>
      </c>
      <c r="H1100" t="s">
        <v>326</v>
      </c>
      <c r="I1100">
        <v>4</v>
      </c>
      <c r="J1100" s="2">
        <v>45351</v>
      </c>
      <c r="K1100">
        <v>-659921.5</v>
      </c>
      <c r="M1100" s="1" t="s">
        <v>567</v>
      </c>
    </row>
    <row r="1101" spans="1:13">
      <c r="A1101" t="s">
        <v>270</v>
      </c>
      <c r="B1101" t="s">
        <v>271</v>
      </c>
      <c r="C1101" s="2">
        <v>45322</v>
      </c>
      <c r="D1101">
        <v>21495.5</v>
      </c>
      <c r="F1101" s="1" t="s">
        <v>567</v>
      </c>
      <c r="H1101" t="s">
        <v>326</v>
      </c>
      <c r="I1101">
        <v>4</v>
      </c>
      <c r="J1101" s="2">
        <v>45382</v>
      </c>
      <c r="K1101">
        <v>-659921.5</v>
      </c>
      <c r="M1101" s="1" t="s">
        <v>567</v>
      </c>
    </row>
    <row r="1102" spans="1:13">
      <c r="A1102" t="s">
        <v>270</v>
      </c>
      <c r="B1102" t="s">
        <v>271</v>
      </c>
      <c r="C1102" s="2">
        <v>45351</v>
      </c>
      <c r="D1102">
        <v>21496</v>
      </c>
      <c r="F1102" s="1" t="s">
        <v>567</v>
      </c>
      <c r="H1102" t="s">
        <v>326</v>
      </c>
      <c r="I1102">
        <v>4</v>
      </c>
      <c r="J1102" s="2">
        <v>45412</v>
      </c>
      <c r="K1102">
        <v>-659921.5</v>
      </c>
      <c r="M1102" s="1" t="s">
        <v>567</v>
      </c>
    </row>
    <row r="1103" spans="1:13">
      <c r="A1103" t="s">
        <v>270</v>
      </c>
      <c r="B1103" t="s">
        <v>271</v>
      </c>
      <c r="C1103" s="2">
        <v>45382</v>
      </c>
      <c r="D1103">
        <v>21496</v>
      </c>
      <c r="F1103" s="1" t="s">
        <v>567</v>
      </c>
      <c r="H1103" t="s">
        <v>326</v>
      </c>
      <c r="I1103">
        <v>4</v>
      </c>
      <c r="J1103" s="2">
        <v>45443</v>
      </c>
      <c r="K1103">
        <v>-659921.5</v>
      </c>
      <c r="M1103" s="1" t="s">
        <v>567</v>
      </c>
    </row>
    <row r="1104" spans="1:13">
      <c r="A1104" t="s">
        <v>270</v>
      </c>
      <c r="B1104" t="s">
        <v>271</v>
      </c>
      <c r="C1104" s="2">
        <v>45412</v>
      </c>
      <c r="D1104">
        <v>21496</v>
      </c>
      <c r="F1104" s="1" t="s">
        <v>567</v>
      </c>
      <c r="H1104" t="s">
        <v>326</v>
      </c>
      <c r="I1104">
        <v>4</v>
      </c>
      <c r="J1104" s="2">
        <v>45473</v>
      </c>
      <c r="K1104">
        <v>-659921.5</v>
      </c>
      <c r="M1104" s="1" t="s">
        <v>567</v>
      </c>
    </row>
    <row r="1105" spans="1:13">
      <c r="A1105" t="s">
        <v>270</v>
      </c>
      <c r="B1105" t="s">
        <v>271</v>
      </c>
      <c r="C1105" s="2">
        <v>45443</v>
      </c>
      <c r="D1105">
        <v>21496</v>
      </c>
      <c r="F1105" s="1" t="s">
        <v>567</v>
      </c>
      <c r="H1105" t="s">
        <v>326</v>
      </c>
      <c r="I1105">
        <v>4</v>
      </c>
      <c r="J1105" s="2">
        <v>45504</v>
      </c>
      <c r="K1105">
        <v>-659921.5</v>
      </c>
      <c r="M1105" s="1" t="s">
        <v>567</v>
      </c>
    </row>
    <row r="1106" spans="1:13">
      <c r="A1106" t="s">
        <v>270</v>
      </c>
      <c r="B1106" t="s">
        <v>271</v>
      </c>
      <c r="C1106" s="2">
        <v>45473</v>
      </c>
      <c r="D1106">
        <v>21496</v>
      </c>
      <c r="F1106" s="1" t="s">
        <v>567</v>
      </c>
      <c r="H1106" t="s">
        <v>326</v>
      </c>
      <c r="I1106">
        <v>4</v>
      </c>
      <c r="J1106" s="2">
        <v>45535</v>
      </c>
      <c r="K1106">
        <v>-659921.5</v>
      </c>
      <c r="M1106" s="1" t="s">
        <v>567</v>
      </c>
    </row>
    <row r="1107" spans="1:13">
      <c r="A1107" t="s">
        <v>270</v>
      </c>
      <c r="B1107" t="s">
        <v>271</v>
      </c>
      <c r="C1107" s="2">
        <v>45504</v>
      </c>
      <c r="D1107">
        <v>21496</v>
      </c>
      <c r="F1107" s="1" t="s">
        <v>567</v>
      </c>
      <c r="H1107" t="s">
        <v>326</v>
      </c>
      <c r="I1107">
        <v>4</v>
      </c>
      <c r="J1107" s="2">
        <v>45565</v>
      </c>
      <c r="K1107">
        <v>-659921.5</v>
      </c>
      <c r="M1107" s="1" t="s">
        <v>567</v>
      </c>
    </row>
    <row r="1108" spans="1:13">
      <c r="A1108" t="s">
        <v>270</v>
      </c>
      <c r="B1108" t="s">
        <v>271</v>
      </c>
      <c r="C1108" s="2">
        <v>45535</v>
      </c>
      <c r="D1108">
        <v>21496</v>
      </c>
      <c r="F1108" s="1" t="s">
        <v>567</v>
      </c>
      <c r="H1108" t="s">
        <v>326</v>
      </c>
      <c r="I1108">
        <v>4</v>
      </c>
      <c r="J1108" s="2">
        <v>45596</v>
      </c>
      <c r="K1108">
        <v>-659921.5</v>
      </c>
      <c r="M1108" s="1" t="s">
        <v>567</v>
      </c>
    </row>
    <row r="1109" spans="1:13">
      <c r="A1109" t="s">
        <v>270</v>
      </c>
      <c r="B1109" t="s">
        <v>271</v>
      </c>
      <c r="C1109" s="2">
        <v>45565</v>
      </c>
      <c r="D1109">
        <v>21496</v>
      </c>
      <c r="F1109" s="1" t="s">
        <v>567</v>
      </c>
      <c r="H1109" t="s">
        <v>326</v>
      </c>
      <c r="I1109">
        <v>4</v>
      </c>
      <c r="J1109" s="2">
        <v>45626</v>
      </c>
      <c r="K1109">
        <v>-659921.5</v>
      </c>
      <c r="M1109" s="1" t="s">
        <v>567</v>
      </c>
    </row>
    <row r="1110" spans="1:13">
      <c r="A1110" t="s">
        <v>270</v>
      </c>
      <c r="B1110" t="s">
        <v>271</v>
      </c>
      <c r="C1110" s="2">
        <v>45596</v>
      </c>
      <c r="D1110">
        <v>21496</v>
      </c>
      <c r="F1110" s="1" t="s">
        <v>567</v>
      </c>
      <c r="H1110" t="s">
        <v>326</v>
      </c>
      <c r="I1110">
        <v>4</v>
      </c>
      <c r="J1110" s="2">
        <v>45657</v>
      </c>
      <c r="K1110">
        <v>-659921.5</v>
      </c>
      <c r="M1110" s="1" t="s">
        <v>567</v>
      </c>
    </row>
    <row r="1111" spans="1:13">
      <c r="A1111" t="s">
        <v>270</v>
      </c>
      <c r="B1111" t="s">
        <v>271</v>
      </c>
      <c r="C1111" s="2">
        <v>45626</v>
      </c>
      <c r="D1111">
        <v>21496</v>
      </c>
      <c r="F1111" s="1" t="s">
        <v>567</v>
      </c>
      <c r="H1111" t="s">
        <v>326</v>
      </c>
      <c r="I1111">
        <v>4</v>
      </c>
      <c r="J1111" s="2">
        <v>45688</v>
      </c>
      <c r="K1111">
        <v>-2213404</v>
      </c>
      <c r="M1111" s="1" t="s">
        <v>567</v>
      </c>
    </row>
    <row r="1112" spans="1:13">
      <c r="A1112" t="s">
        <v>270</v>
      </c>
      <c r="B1112" t="s">
        <v>271</v>
      </c>
      <c r="C1112" s="2">
        <v>45657</v>
      </c>
      <c r="D1112">
        <v>21496</v>
      </c>
      <c r="F1112" s="1" t="s">
        <v>567</v>
      </c>
      <c r="H1112" t="s">
        <v>326</v>
      </c>
      <c r="I1112">
        <v>4</v>
      </c>
      <c r="J1112" s="2">
        <v>45716</v>
      </c>
      <c r="K1112">
        <v>-2213404</v>
      </c>
      <c r="M1112" s="1" t="s">
        <v>567</v>
      </c>
    </row>
    <row r="1113" spans="1:13">
      <c r="A1113" t="s">
        <v>270</v>
      </c>
      <c r="B1113" t="s">
        <v>271</v>
      </c>
      <c r="C1113" s="2">
        <v>45688</v>
      </c>
      <c r="D1113">
        <v>21495.42</v>
      </c>
      <c r="F1113" s="1" t="s">
        <v>567</v>
      </c>
      <c r="H1113" t="s">
        <v>326</v>
      </c>
      <c r="I1113">
        <v>4</v>
      </c>
      <c r="J1113" s="2">
        <v>45747</v>
      </c>
      <c r="K1113">
        <v>-2213404</v>
      </c>
      <c r="M1113" s="1" t="s">
        <v>567</v>
      </c>
    </row>
    <row r="1114" spans="1:13">
      <c r="A1114" t="s">
        <v>270</v>
      </c>
      <c r="B1114" t="s">
        <v>271</v>
      </c>
      <c r="C1114" s="2">
        <v>45716</v>
      </c>
      <c r="D1114">
        <v>21495.66</v>
      </c>
      <c r="F1114" s="1" t="s">
        <v>567</v>
      </c>
      <c r="H1114" t="s">
        <v>326</v>
      </c>
      <c r="I1114">
        <v>4</v>
      </c>
      <c r="J1114" s="2">
        <v>45777</v>
      </c>
      <c r="K1114">
        <v>-2213404</v>
      </c>
      <c r="M1114" s="1" t="s">
        <v>567</v>
      </c>
    </row>
    <row r="1115" spans="1:13">
      <c r="A1115" t="s">
        <v>270</v>
      </c>
      <c r="B1115" t="s">
        <v>271</v>
      </c>
      <c r="C1115" s="2">
        <v>45747</v>
      </c>
      <c r="D1115">
        <v>21495.66</v>
      </c>
      <c r="F1115" s="1" t="s">
        <v>567</v>
      </c>
      <c r="H1115" t="s">
        <v>326</v>
      </c>
      <c r="I1115">
        <v>4</v>
      </c>
      <c r="J1115" s="2">
        <v>45808</v>
      </c>
      <c r="K1115">
        <v>-2213404</v>
      </c>
      <c r="M1115" s="1" t="s">
        <v>567</v>
      </c>
    </row>
    <row r="1116" spans="1:13">
      <c r="A1116" t="s">
        <v>270</v>
      </c>
      <c r="B1116" t="s">
        <v>271</v>
      </c>
      <c r="C1116" s="2">
        <v>45777</v>
      </c>
      <c r="D1116">
        <v>21495.66</v>
      </c>
      <c r="F1116" s="1" t="s">
        <v>567</v>
      </c>
      <c r="H1116" t="s">
        <v>326</v>
      </c>
      <c r="I1116">
        <v>4</v>
      </c>
      <c r="J1116" s="2">
        <v>45838</v>
      </c>
      <c r="K1116">
        <v>-2213404</v>
      </c>
      <c r="M1116" s="1" t="s">
        <v>567</v>
      </c>
    </row>
    <row r="1117" spans="1:13">
      <c r="A1117" t="s">
        <v>270</v>
      </c>
      <c r="B1117" t="s">
        <v>271</v>
      </c>
      <c r="C1117" s="2">
        <v>45808</v>
      </c>
      <c r="D1117">
        <v>21495.66</v>
      </c>
      <c r="F1117" s="1" t="s">
        <v>567</v>
      </c>
      <c r="H1117" t="s">
        <v>326</v>
      </c>
      <c r="I1117">
        <v>4</v>
      </c>
      <c r="J1117" s="2">
        <v>45869</v>
      </c>
      <c r="K1117">
        <v>-2213404</v>
      </c>
      <c r="M1117" s="1" t="s">
        <v>567</v>
      </c>
    </row>
    <row r="1118" spans="1:13">
      <c r="A1118" t="s">
        <v>270</v>
      </c>
      <c r="B1118" t="s">
        <v>271</v>
      </c>
      <c r="C1118" s="2">
        <v>45838</v>
      </c>
      <c r="D1118">
        <v>21495.42</v>
      </c>
      <c r="F1118" s="1" t="s">
        <v>567</v>
      </c>
      <c r="H1118" t="s">
        <v>326</v>
      </c>
      <c r="I1118">
        <v>4</v>
      </c>
      <c r="J1118" s="2">
        <v>45900</v>
      </c>
      <c r="K1118">
        <v>-2213404</v>
      </c>
      <c r="M1118" s="1" t="s">
        <v>567</v>
      </c>
    </row>
    <row r="1119" spans="1:13">
      <c r="A1119" t="s">
        <v>270</v>
      </c>
      <c r="B1119" t="s">
        <v>271</v>
      </c>
      <c r="C1119" s="2">
        <v>45869</v>
      </c>
      <c r="D1119">
        <v>21495.42</v>
      </c>
      <c r="F1119" s="1" t="s">
        <v>567</v>
      </c>
      <c r="H1119" t="s">
        <v>326</v>
      </c>
      <c r="I1119">
        <v>4</v>
      </c>
      <c r="J1119" s="2">
        <v>45930</v>
      </c>
      <c r="K1119">
        <v>-2213404</v>
      </c>
      <c r="M1119" s="1" t="s">
        <v>567</v>
      </c>
    </row>
    <row r="1120" spans="1:13">
      <c r="A1120" t="s">
        <v>270</v>
      </c>
      <c r="B1120" t="s">
        <v>271</v>
      </c>
      <c r="C1120" s="2">
        <v>45900</v>
      </c>
      <c r="D1120">
        <v>21495.42</v>
      </c>
      <c r="F1120" s="1" t="s">
        <v>567</v>
      </c>
      <c r="H1120" t="s">
        <v>326</v>
      </c>
      <c r="I1120">
        <v>4</v>
      </c>
      <c r="J1120" s="2">
        <v>45961</v>
      </c>
      <c r="K1120">
        <v>-2213404</v>
      </c>
      <c r="M1120" s="1" t="s">
        <v>567</v>
      </c>
    </row>
    <row r="1121" spans="1:13">
      <c r="A1121" t="s">
        <v>270</v>
      </c>
      <c r="B1121" t="s">
        <v>271</v>
      </c>
      <c r="C1121" s="2">
        <v>45930</v>
      </c>
      <c r="D1121">
        <v>21495.42</v>
      </c>
      <c r="F1121" s="1" t="s">
        <v>567</v>
      </c>
      <c r="H1121" t="s">
        <v>326</v>
      </c>
      <c r="I1121">
        <v>4</v>
      </c>
      <c r="J1121" s="2">
        <v>45991</v>
      </c>
      <c r="K1121">
        <v>-2213404</v>
      </c>
      <c r="M1121" s="1" t="s">
        <v>567</v>
      </c>
    </row>
    <row r="1122" spans="1:13">
      <c r="A1122" t="s">
        <v>270</v>
      </c>
      <c r="B1122" t="s">
        <v>271</v>
      </c>
      <c r="C1122" s="2">
        <v>45961</v>
      </c>
      <c r="D1122">
        <v>21495.42</v>
      </c>
      <c r="F1122" s="1" t="s">
        <v>567</v>
      </c>
      <c r="H1122" t="s">
        <v>102</v>
      </c>
      <c r="I1122">
        <v>999</v>
      </c>
      <c r="J1122" s="2">
        <v>44957</v>
      </c>
      <c r="K1122">
        <v>-44399</v>
      </c>
      <c r="M1122" s="1" t="s">
        <v>567</v>
      </c>
    </row>
    <row r="1123" spans="1:13">
      <c r="A1123" t="s">
        <v>270</v>
      </c>
      <c r="B1123" t="s">
        <v>271</v>
      </c>
      <c r="C1123" s="2">
        <v>45991</v>
      </c>
      <c r="D1123">
        <v>21495.42</v>
      </c>
      <c r="F1123" s="1" t="s">
        <v>567</v>
      </c>
      <c r="H1123" t="s">
        <v>102</v>
      </c>
      <c r="I1123">
        <v>999</v>
      </c>
      <c r="J1123" s="2">
        <v>44985</v>
      </c>
      <c r="K1123">
        <v>-89238</v>
      </c>
      <c r="M1123" s="1" t="s">
        <v>567</v>
      </c>
    </row>
    <row r="1124" spans="1:13">
      <c r="A1124" t="s">
        <v>133</v>
      </c>
      <c r="B1124" t="s">
        <v>272</v>
      </c>
      <c r="C1124" s="2">
        <v>44957</v>
      </c>
      <c r="D1124">
        <v>-2569</v>
      </c>
      <c r="F1124" s="1" t="s">
        <v>567</v>
      </c>
      <c r="H1124" t="s">
        <v>102</v>
      </c>
      <c r="I1124">
        <v>999</v>
      </c>
      <c r="J1124" s="2">
        <v>45016</v>
      </c>
      <c r="K1124">
        <v>-134542</v>
      </c>
      <c r="M1124" s="1" t="s">
        <v>567</v>
      </c>
    </row>
    <row r="1125" spans="1:13">
      <c r="A1125" t="s">
        <v>133</v>
      </c>
      <c r="B1125" t="s">
        <v>272</v>
      </c>
      <c r="C1125" s="2">
        <v>44985</v>
      </c>
      <c r="D1125">
        <v>-2569</v>
      </c>
      <c r="F1125" s="1" t="s">
        <v>567</v>
      </c>
      <c r="H1125" t="s">
        <v>102</v>
      </c>
      <c r="I1125">
        <v>999</v>
      </c>
      <c r="J1125" s="2">
        <v>45046</v>
      </c>
      <c r="K1125">
        <v>-181163</v>
      </c>
      <c r="M1125" s="1" t="s">
        <v>567</v>
      </c>
    </row>
    <row r="1126" spans="1:13">
      <c r="A1126" t="s">
        <v>133</v>
      </c>
      <c r="B1126" t="s">
        <v>272</v>
      </c>
      <c r="C1126" s="2">
        <v>45016</v>
      </c>
      <c r="D1126">
        <v>-2639</v>
      </c>
      <c r="F1126" s="1" t="s">
        <v>567</v>
      </c>
      <c r="H1126" t="s">
        <v>102</v>
      </c>
      <c r="I1126">
        <v>999</v>
      </c>
      <c r="J1126" s="2">
        <v>45077</v>
      </c>
      <c r="K1126">
        <v>-228141</v>
      </c>
      <c r="M1126" s="1" t="s">
        <v>567</v>
      </c>
    </row>
    <row r="1127" spans="1:13">
      <c r="A1127" t="s">
        <v>133</v>
      </c>
      <c r="B1127" t="s">
        <v>272</v>
      </c>
      <c r="C1127" s="2">
        <v>45046</v>
      </c>
      <c r="D1127">
        <v>-3611.5</v>
      </c>
      <c r="F1127" s="1" t="s">
        <v>567</v>
      </c>
      <c r="H1127" t="s">
        <v>102</v>
      </c>
      <c r="I1127">
        <v>999</v>
      </c>
      <c r="J1127" s="2">
        <v>45107</v>
      </c>
      <c r="K1127">
        <v>-275562</v>
      </c>
      <c r="M1127" s="1" t="s">
        <v>567</v>
      </c>
    </row>
    <row r="1128" spans="1:13">
      <c r="A1128" t="s">
        <v>133</v>
      </c>
      <c r="B1128" t="s">
        <v>272</v>
      </c>
      <c r="C1128" s="2">
        <v>45077</v>
      </c>
      <c r="D1128">
        <v>-3681</v>
      </c>
      <c r="F1128" s="1" t="s">
        <v>567</v>
      </c>
      <c r="H1128" t="s">
        <v>102</v>
      </c>
      <c r="I1128">
        <v>999</v>
      </c>
      <c r="J1128" s="2">
        <v>45138</v>
      </c>
      <c r="K1128">
        <v>-323123</v>
      </c>
      <c r="M1128" s="1" t="s">
        <v>567</v>
      </c>
    </row>
    <row r="1129" spans="1:13">
      <c r="A1129" t="s">
        <v>133</v>
      </c>
      <c r="B1129" t="s">
        <v>272</v>
      </c>
      <c r="C1129" s="2">
        <v>45107</v>
      </c>
      <c r="D1129">
        <v>-3903</v>
      </c>
      <c r="F1129" s="1" t="s">
        <v>567</v>
      </c>
      <c r="H1129" t="s">
        <v>102</v>
      </c>
      <c r="I1129">
        <v>999</v>
      </c>
      <c r="J1129" s="2">
        <v>45169</v>
      </c>
      <c r="K1129">
        <v>-370807.5</v>
      </c>
      <c r="M1129" s="1" t="s">
        <v>567</v>
      </c>
    </row>
    <row r="1130" spans="1:13">
      <c r="A1130" t="s">
        <v>133</v>
      </c>
      <c r="B1130" t="s">
        <v>272</v>
      </c>
      <c r="C1130" s="2">
        <v>45138</v>
      </c>
      <c r="D1130">
        <v>-3903</v>
      </c>
      <c r="F1130" s="1" t="s">
        <v>567</v>
      </c>
      <c r="H1130" t="s">
        <v>102</v>
      </c>
      <c r="I1130">
        <v>999</v>
      </c>
      <c r="J1130" s="2">
        <v>45199</v>
      </c>
      <c r="K1130">
        <v>-418443.5</v>
      </c>
      <c r="M1130" s="1" t="s">
        <v>567</v>
      </c>
    </row>
    <row r="1131" spans="1:13">
      <c r="A1131" t="s">
        <v>133</v>
      </c>
      <c r="B1131" t="s">
        <v>272</v>
      </c>
      <c r="C1131" s="2">
        <v>45169</v>
      </c>
      <c r="D1131">
        <v>-3972</v>
      </c>
      <c r="F1131" s="1" t="s">
        <v>567</v>
      </c>
      <c r="H1131" t="s">
        <v>102</v>
      </c>
      <c r="I1131">
        <v>999</v>
      </c>
      <c r="J1131" s="2">
        <v>45230</v>
      </c>
      <c r="K1131">
        <v>-470918.5</v>
      </c>
      <c r="M1131" s="1" t="s">
        <v>567</v>
      </c>
    </row>
    <row r="1132" spans="1:13">
      <c r="A1132" t="s">
        <v>133</v>
      </c>
      <c r="B1132" t="s">
        <v>272</v>
      </c>
      <c r="C1132" s="2">
        <v>45199</v>
      </c>
      <c r="D1132">
        <v>-3972</v>
      </c>
      <c r="F1132" s="1" t="s">
        <v>567</v>
      </c>
      <c r="H1132" t="s">
        <v>102</v>
      </c>
      <c r="I1132">
        <v>999</v>
      </c>
      <c r="J1132" s="2">
        <v>45260</v>
      </c>
      <c r="K1132">
        <v>-535736.5</v>
      </c>
      <c r="M1132" s="1" t="s">
        <v>567</v>
      </c>
    </row>
    <row r="1133" spans="1:13">
      <c r="A1133" t="s">
        <v>133</v>
      </c>
      <c r="B1133" t="s">
        <v>272</v>
      </c>
      <c r="C1133" s="2">
        <v>45230</v>
      </c>
      <c r="D1133">
        <v>-8972</v>
      </c>
      <c r="F1133" s="1" t="s">
        <v>567</v>
      </c>
      <c r="H1133" t="s">
        <v>102</v>
      </c>
      <c r="I1133">
        <v>999</v>
      </c>
      <c r="J1133" s="2">
        <v>45291</v>
      </c>
      <c r="K1133">
        <v>-659921.5</v>
      </c>
      <c r="M1133" s="1" t="s">
        <v>567</v>
      </c>
    </row>
    <row r="1134" spans="1:13">
      <c r="A1134" t="s">
        <v>133</v>
      </c>
      <c r="B1134" t="s">
        <v>272</v>
      </c>
      <c r="C1134" s="2">
        <v>45260</v>
      </c>
      <c r="D1134">
        <v>-15953</v>
      </c>
      <c r="F1134" s="1" t="s">
        <v>567</v>
      </c>
      <c r="H1134" t="s">
        <v>102</v>
      </c>
      <c r="I1134">
        <v>999</v>
      </c>
      <c r="J1134" s="2">
        <v>45322</v>
      </c>
      <c r="K1134">
        <v>-72804.5</v>
      </c>
      <c r="M1134" s="1" t="s">
        <v>567</v>
      </c>
    </row>
    <row r="1135" spans="1:13">
      <c r="A1135" t="s">
        <v>133</v>
      </c>
      <c r="B1135" t="s">
        <v>272</v>
      </c>
      <c r="C1135" s="2">
        <v>45291</v>
      </c>
      <c r="D1135">
        <v>-21495.5</v>
      </c>
      <c r="F1135" s="1" t="s">
        <v>567</v>
      </c>
      <c r="H1135" t="s">
        <v>102</v>
      </c>
      <c r="I1135">
        <v>999</v>
      </c>
      <c r="J1135" s="2">
        <v>45351</v>
      </c>
      <c r="K1135">
        <v>-202124.5</v>
      </c>
      <c r="M1135" s="1" t="s">
        <v>567</v>
      </c>
    </row>
    <row r="1136" spans="1:13">
      <c r="A1136" t="s">
        <v>133</v>
      </c>
      <c r="B1136" t="s">
        <v>272</v>
      </c>
      <c r="C1136" s="2">
        <v>45322</v>
      </c>
      <c r="D1136">
        <v>-21495.5</v>
      </c>
      <c r="F1136" s="1" t="s">
        <v>567</v>
      </c>
      <c r="H1136" t="s">
        <v>102</v>
      </c>
      <c r="I1136">
        <v>999</v>
      </c>
      <c r="J1136" s="2">
        <v>45382</v>
      </c>
      <c r="K1136">
        <v>-277494</v>
      </c>
      <c r="M1136" s="1" t="s">
        <v>567</v>
      </c>
    </row>
    <row r="1137" spans="1:13">
      <c r="A1137" t="s">
        <v>133</v>
      </c>
      <c r="B1137" t="s">
        <v>272</v>
      </c>
      <c r="C1137" s="2">
        <v>45351</v>
      </c>
      <c r="D1137">
        <v>-21496</v>
      </c>
      <c r="F1137" s="1" t="s">
        <v>567</v>
      </c>
      <c r="H1137" t="s">
        <v>102</v>
      </c>
      <c r="I1137">
        <v>999</v>
      </c>
      <c r="J1137" s="2">
        <v>45412</v>
      </c>
      <c r="K1137">
        <v>-412204.5</v>
      </c>
      <c r="M1137" s="1" t="s">
        <v>567</v>
      </c>
    </row>
    <row r="1138" spans="1:13">
      <c r="A1138" t="s">
        <v>133</v>
      </c>
      <c r="B1138" t="s">
        <v>272</v>
      </c>
      <c r="C1138" s="2">
        <v>45382</v>
      </c>
      <c r="D1138">
        <v>-21496</v>
      </c>
      <c r="F1138" s="1" t="s">
        <v>567</v>
      </c>
      <c r="H1138" t="s">
        <v>102</v>
      </c>
      <c r="I1138">
        <v>999</v>
      </c>
      <c r="J1138" s="2">
        <v>45443</v>
      </c>
      <c r="K1138">
        <v>-490267</v>
      </c>
      <c r="M1138" s="1" t="s">
        <v>567</v>
      </c>
    </row>
    <row r="1139" spans="1:13">
      <c r="A1139" t="s">
        <v>133</v>
      </c>
      <c r="B1139" t="s">
        <v>272</v>
      </c>
      <c r="C1139" s="2">
        <v>45412</v>
      </c>
      <c r="D1139">
        <v>-21496</v>
      </c>
      <c r="F1139" s="1" t="s">
        <v>567</v>
      </c>
      <c r="H1139" t="s">
        <v>102</v>
      </c>
      <c r="I1139">
        <v>999</v>
      </c>
      <c r="J1139" s="2">
        <v>45473</v>
      </c>
      <c r="K1139">
        <v>-630639</v>
      </c>
      <c r="M1139" s="1" t="s">
        <v>567</v>
      </c>
    </row>
    <row r="1140" spans="1:13">
      <c r="A1140" t="s">
        <v>133</v>
      </c>
      <c r="B1140" t="s">
        <v>272</v>
      </c>
      <c r="C1140" s="2">
        <v>45443</v>
      </c>
      <c r="D1140">
        <v>-21496</v>
      </c>
      <c r="F1140" s="1" t="s">
        <v>567</v>
      </c>
      <c r="H1140" t="s">
        <v>102</v>
      </c>
      <c r="I1140">
        <v>999</v>
      </c>
      <c r="J1140" s="2">
        <v>45504</v>
      </c>
      <c r="K1140">
        <v>-776955</v>
      </c>
      <c r="M1140" s="1" t="s">
        <v>567</v>
      </c>
    </row>
    <row r="1141" spans="1:13">
      <c r="A1141" t="s">
        <v>133</v>
      </c>
      <c r="B1141" t="s">
        <v>272</v>
      </c>
      <c r="C1141" s="2">
        <v>45473</v>
      </c>
      <c r="D1141">
        <v>-21496</v>
      </c>
      <c r="F1141" s="1" t="s">
        <v>567</v>
      </c>
      <c r="H1141" t="s">
        <v>102</v>
      </c>
      <c r="I1141">
        <v>999</v>
      </c>
      <c r="J1141" s="2">
        <v>45535</v>
      </c>
      <c r="K1141">
        <v>-923270</v>
      </c>
      <c r="M1141" s="1" t="s">
        <v>567</v>
      </c>
    </row>
    <row r="1142" spans="1:13">
      <c r="A1142" t="s">
        <v>133</v>
      </c>
      <c r="B1142" t="s">
        <v>272</v>
      </c>
      <c r="C1142" s="2">
        <v>45504</v>
      </c>
      <c r="D1142">
        <v>-21496</v>
      </c>
      <c r="F1142" s="1" t="s">
        <v>567</v>
      </c>
      <c r="H1142" t="s">
        <v>102</v>
      </c>
      <c r="I1142">
        <v>999</v>
      </c>
      <c r="J1142" s="2">
        <v>45565</v>
      </c>
      <c r="K1142">
        <v>-1075826</v>
      </c>
      <c r="M1142" s="1" t="s">
        <v>567</v>
      </c>
    </row>
    <row r="1143" spans="1:13">
      <c r="A1143" t="s">
        <v>133</v>
      </c>
      <c r="B1143" t="s">
        <v>272</v>
      </c>
      <c r="C1143" s="2">
        <v>45535</v>
      </c>
      <c r="D1143">
        <v>-21496</v>
      </c>
      <c r="F1143" s="1" t="s">
        <v>567</v>
      </c>
      <c r="H1143" t="s">
        <v>102</v>
      </c>
      <c r="I1143">
        <v>999</v>
      </c>
      <c r="J1143" s="2">
        <v>45596</v>
      </c>
      <c r="K1143">
        <v>-1228383</v>
      </c>
      <c r="M1143" s="1" t="s">
        <v>567</v>
      </c>
    </row>
    <row r="1144" spans="1:13">
      <c r="A1144" t="s">
        <v>133</v>
      </c>
      <c r="B1144" t="s">
        <v>272</v>
      </c>
      <c r="C1144" s="2">
        <v>45565</v>
      </c>
      <c r="D1144">
        <v>-21496</v>
      </c>
      <c r="F1144" s="1" t="s">
        <v>567</v>
      </c>
      <c r="H1144" t="s">
        <v>102</v>
      </c>
      <c r="I1144">
        <v>999</v>
      </c>
      <c r="J1144" s="2">
        <v>45626</v>
      </c>
      <c r="K1144">
        <v>-1387493</v>
      </c>
      <c r="M1144" s="1" t="s">
        <v>567</v>
      </c>
    </row>
    <row r="1145" spans="1:13">
      <c r="A1145" t="s">
        <v>133</v>
      </c>
      <c r="B1145" t="s">
        <v>272</v>
      </c>
      <c r="C1145" s="2">
        <v>45596</v>
      </c>
      <c r="D1145">
        <v>-21496</v>
      </c>
      <c r="F1145" s="1" t="s">
        <v>567</v>
      </c>
      <c r="H1145" t="s">
        <v>102</v>
      </c>
      <c r="I1145">
        <v>999</v>
      </c>
      <c r="J1145" s="2">
        <v>45657</v>
      </c>
      <c r="K1145">
        <v>-1553482.5</v>
      </c>
      <c r="M1145" s="1" t="s">
        <v>567</v>
      </c>
    </row>
    <row r="1146" spans="1:13">
      <c r="A1146" t="s">
        <v>133</v>
      </c>
      <c r="B1146" t="s">
        <v>272</v>
      </c>
      <c r="C1146" s="2">
        <v>45626</v>
      </c>
      <c r="D1146">
        <v>-21496</v>
      </c>
      <c r="F1146" s="1" t="s">
        <v>567</v>
      </c>
      <c r="H1146" t="s">
        <v>102</v>
      </c>
      <c r="I1146">
        <v>999</v>
      </c>
      <c r="J1146" s="2">
        <v>45688</v>
      </c>
      <c r="K1146">
        <v>-173214.91</v>
      </c>
      <c r="M1146" s="1" t="s">
        <v>567</v>
      </c>
    </row>
    <row r="1147" spans="1:13">
      <c r="A1147" t="s">
        <v>133</v>
      </c>
      <c r="B1147" t="s">
        <v>272</v>
      </c>
      <c r="C1147" s="2">
        <v>45657</v>
      </c>
      <c r="D1147">
        <v>-21496</v>
      </c>
      <c r="F1147" s="1" t="s">
        <v>567</v>
      </c>
      <c r="H1147" t="s">
        <v>102</v>
      </c>
      <c r="I1147">
        <v>999</v>
      </c>
      <c r="J1147" s="2">
        <v>45716</v>
      </c>
      <c r="K1147">
        <v>-354015.57</v>
      </c>
      <c r="M1147" s="1" t="s">
        <v>567</v>
      </c>
    </row>
    <row r="1148" spans="1:13">
      <c r="A1148" t="s">
        <v>133</v>
      </c>
      <c r="B1148" t="s">
        <v>272</v>
      </c>
      <c r="C1148" s="2">
        <v>45688</v>
      </c>
      <c r="D1148">
        <v>-21495.42</v>
      </c>
      <c r="F1148" s="1" t="s">
        <v>567</v>
      </c>
      <c r="H1148" t="s">
        <v>102</v>
      </c>
      <c r="I1148">
        <v>999</v>
      </c>
      <c r="J1148" s="2">
        <v>45747</v>
      </c>
      <c r="K1148">
        <v>-542782.23</v>
      </c>
      <c r="M1148" s="1" t="s">
        <v>567</v>
      </c>
    </row>
    <row r="1149" spans="1:13">
      <c r="A1149" t="s">
        <v>133</v>
      </c>
      <c r="B1149" t="s">
        <v>272</v>
      </c>
      <c r="C1149" s="2">
        <v>45716</v>
      </c>
      <c r="D1149">
        <v>-21495.66</v>
      </c>
      <c r="F1149" s="1" t="s">
        <v>567</v>
      </c>
      <c r="H1149" t="s">
        <v>102</v>
      </c>
      <c r="I1149">
        <v>999</v>
      </c>
      <c r="J1149" s="2">
        <v>45777</v>
      </c>
      <c r="K1149">
        <v>-739911.89</v>
      </c>
      <c r="M1149" s="1" t="s">
        <v>567</v>
      </c>
    </row>
    <row r="1150" spans="1:13">
      <c r="A1150" t="s">
        <v>133</v>
      </c>
      <c r="B1150" t="s">
        <v>272</v>
      </c>
      <c r="C1150" s="2">
        <v>45747</v>
      </c>
      <c r="D1150">
        <v>-21495.66</v>
      </c>
      <c r="F1150" s="1" t="s">
        <v>567</v>
      </c>
      <c r="H1150" t="s">
        <v>102</v>
      </c>
      <c r="I1150">
        <v>999</v>
      </c>
      <c r="J1150" s="2">
        <v>45808</v>
      </c>
      <c r="K1150">
        <v>-945825.55</v>
      </c>
      <c r="M1150" s="1" t="s">
        <v>567</v>
      </c>
    </row>
    <row r="1151" spans="1:13">
      <c r="A1151" t="s">
        <v>133</v>
      </c>
      <c r="B1151" t="s">
        <v>272</v>
      </c>
      <c r="C1151" s="2">
        <v>45777</v>
      </c>
      <c r="D1151">
        <v>-21495.66</v>
      </c>
      <c r="F1151" s="1" t="s">
        <v>567</v>
      </c>
      <c r="H1151" t="s">
        <v>102</v>
      </c>
      <c r="I1151">
        <v>999</v>
      </c>
      <c r="J1151" s="2">
        <v>45838</v>
      </c>
      <c r="K1151">
        <v>-1153557.76</v>
      </c>
      <c r="M1151" s="1" t="s">
        <v>567</v>
      </c>
    </row>
    <row r="1152" spans="1:13">
      <c r="A1152" t="s">
        <v>133</v>
      </c>
      <c r="B1152" t="s">
        <v>272</v>
      </c>
      <c r="C1152" s="2">
        <v>45808</v>
      </c>
      <c r="D1152">
        <v>-21495.66</v>
      </c>
      <c r="F1152" s="1" t="s">
        <v>567</v>
      </c>
      <c r="H1152" t="s">
        <v>102</v>
      </c>
      <c r="I1152">
        <v>999</v>
      </c>
      <c r="J1152" s="2">
        <v>45869</v>
      </c>
      <c r="K1152">
        <v>-1372671.81</v>
      </c>
      <c r="M1152" s="1" t="s">
        <v>567</v>
      </c>
    </row>
    <row r="1153" spans="1:13">
      <c r="A1153" t="s">
        <v>133</v>
      </c>
      <c r="B1153" t="s">
        <v>272</v>
      </c>
      <c r="C1153" s="2">
        <v>45838</v>
      </c>
      <c r="D1153">
        <v>-21495.42</v>
      </c>
      <c r="F1153" s="1" t="s">
        <v>567</v>
      </c>
      <c r="H1153" t="s">
        <v>102</v>
      </c>
      <c r="I1153">
        <v>999</v>
      </c>
      <c r="J1153" s="2">
        <v>45900</v>
      </c>
      <c r="K1153">
        <v>-1608151.8</v>
      </c>
      <c r="M1153" s="1" t="s">
        <v>567</v>
      </c>
    </row>
    <row r="1154" spans="1:13">
      <c r="A1154" t="s">
        <v>133</v>
      </c>
      <c r="B1154" t="s">
        <v>272</v>
      </c>
      <c r="C1154" s="2">
        <v>45869</v>
      </c>
      <c r="D1154">
        <v>-21495.42</v>
      </c>
      <c r="F1154" s="1" t="s">
        <v>567</v>
      </c>
      <c r="H1154" t="s">
        <v>102</v>
      </c>
      <c r="I1154">
        <v>999</v>
      </c>
      <c r="J1154" s="2">
        <v>45930</v>
      </c>
      <c r="K1154">
        <v>-1835806.01</v>
      </c>
      <c r="M1154" s="1" t="s">
        <v>567</v>
      </c>
    </row>
    <row r="1155" spans="1:13">
      <c r="A1155" t="s">
        <v>133</v>
      </c>
      <c r="B1155" t="s">
        <v>272</v>
      </c>
      <c r="C1155" s="2">
        <v>45900</v>
      </c>
      <c r="D1155">
        <v>-21495.42</v>
      </c>
      <c r="F1155" s="1" t="s">
        <v>567</v>
      </c>
      <c r="H1155" t="s">
        <v>102</v>
      </c>
      <c r="I1155">
        <v>999</v>
      </c>
      <c r="J1155" s="2">
        <v>45961</v>
      </c>
      <c r="K1155">
        <v>-2082668.16</v>
      </c>
      <c r="M1155" s="1" t="s">
        <v>567</v>
      </c>
    </row>
    <row r="1156" spans="1:13">
      <c r="A1156" t="s">
        <v>133</v>
      </c>
      <c r="B1156" t="s">
        <v>272</v>
      </c>
      <c r="C1156" s="2">
        <v>45930</v>
      </c>
      <c r="D1156">
        <v>-21495.42</v>
      </c>
      <c r="F1156" s="1" t="s">
        <v>567</v>
      </c>
      <c r="H1156" t="s">
        <v>102</v>
      </c>
      <c r="I1156">
        <v>999</v>
      </c>
      <c r="J1156" s="2">
        <v>45991</v>
      </c>
      <c r="K1156">
        <v>-2341848.65</v>
      </c>
      <c r="M1156" s="1" t="s">
        <v>567</v>
      </c>
    </row>
    <row r="1157" spans="1:13">
      <c r="A1157" t="s">
        <v>133</v>
      </c>
      <c r="B1157" t="s">
        <v>272</v>
      </c>
      <c r="C1157" s="2">
        <v>45961</v>
      </c>
      <c r="D1157">
        <v>-21495.42</v>
      </c>
      <c r="F1157" s="1" t="s">
        <v>567</v>
      </c>
      <c r="H1157" t="s">
        <v>328</v>
      </c>
      <c r="I1157" t="s">
        <v>329</v>
      </c>
      <c r="J1157" s="2">
        <v>44957</v>
      </c>
      <c r="K1157">
        <v>455601</v>
      </c>
      <c r="M1157" s="1" t="s">
        <v>567</v>
      </c>
    </row>
    <row r="1158" spans="1:13">
      <c r="A1158" t="s">
        <v>133</v>
      </c>
      <c r="B1158" t="s">
        <v>272</v>
      </c>
      <c r="C1158" s="2">
        <v>45991</v>
      </c>
      <c r="D1158">
        <v>-21495.42</v>
      </c>
      <c r="F1158" s="1" t="s">
        <v>567</v>
      </c>
      <c r="H1158" t="s">
        <v>328</v>
      </c>
      <c r="I1158" t="s">
        <v>329</v>
      </c>
      <c r="J1158" s="2">
        <v>44985</v>
      </c>
      <c r="K1158">
        <v>410762</v>
      </c>
      <c r="M1158" s="1" t="s">
        <v>567</v>
      </c>
    </row>
    <row r="1159" spans="1:13">
      <c r="A1159" t="s">
        <v>102</v>
      </c>
      <c r="B1159" t="s">
        <v>102</v>
      </c>
      <c r="C1159" s="2">
        <v>44957</v>
      </c>
      <c r="D1159">
        <v>-44399</v>
      </c>
      <c r="F1159" s="1" t="s">
        <v>567</v>
      </c>
      <c r="H1159" t="s">
        <v>328</v>
      </c>
      <c r="I1159" t="s">
        <v>329</v>
      </c>
      <c r="J1159" s="2">
        <v>45016</v>
      </c>
      <c r="K1159">
        <v>365458</v>
      </c>
      <c r="M1159" s="1" t="s">
        <v>567</v>
      </c>
    </row>
    <row r="1160" spans="1:13">
      <c r="A1160" t="s">
        <v>102</v>
      </c>
      <c r="B1160" t="s">
        <v>102</v>
      </c>
      <c r="C1160" s="2">
        <v>44985</v>
      </c>
      <c r="D1160">
        <v>-44839</v>
      </c>
      <c r="F1160" s="1" t="s">
        <v>567</v>
      </c>
      <c r="H1160" t="s">
        <v>328</v>
      </c>
      <c r="I1160" t="s">
        <v>329</v>
      </c>
      <c r="J1160" s="2">
        <v>45046</v>
      </c>
      <c r="K1160">
        <v>318837</v>
      </c>
      <c r="M1160" s="1" t="s">
        <v>567</v>
      </c>
    </row>
    <row r="1161" spans="1:13">
      <c r="A1161" t="s">
        <v>102</v>
      </c>
      <c r="B1161" t="s">
        <v>102</v>
      </c>
      <c r="C1161" s="2">
        <v>45016</v>
      </c>
      <c r="D1161">
        <v>-45304</v>
      </c>
      <c r="F1161" s="1" t="s">
        <v>567</v>
      </c>
      <c r="H1161" t="s">
        <v>328</v>
      </c>
      <c r="I1161" t="s">
        <v>329</v>
      </c>
      <c r="J1161" s="2">
        <v>45077</v>
      </c>
      <c r="K1161">
        <v>271859</v>
      </c>
      <c r="M1161" s="1" t="s">
        <v>567</v>
      </c>
    </row>
    <row r="1162" spans="1:13">
      <c r="A1162" t="s">
        <v>102</v>
      </c>
      <c r="B1162" t="s">
        <v>102</v>
      </c>
      <c r="C1162" s="2">
        <v>45046</v>
      </c>
      <c r="D1162">
        <v>-46621</v>
      </c>
      <c r="F1162" s="1" t="s">
        <v>567</v>
      </c>
      <c r="H1162" t="s">
        <v>328</v>
      </c>
      <c r="I1162" t="s">
        <v>329</v>
      </c>
      <c r="J1162" s="2">
        <v>45107</v>
      </c>
      <c r="K1162">
        <v>1724438</v>
      </c>
      <c r="M1162" s="1" t="s">
        <v>567</v>
      </c>
    </row>
    <row r="1163" spans="1:13">
      <c r="A1163" t="s">
        <v>102</v>
      </c>
      <c r="B1163" t="s">
        <v>102</v>
      </c>
      <c r="C1163" s="2">
        <v>45077</v>
      </c>
      <c r="D1163">
        <v>-46978</v>
      </c>
      <c r="F1163" s="1" t="s">
        <v>567</v>
      </c>
      <c r="H1163" t="s">
        <v>328</v>
      </c>
      <c r="I1163" t="s">
        <v>329</v>
      </c>
      <c r="J1163" s="2">
        <v>45138</v>
      </c>
      <c r="K1163">
        <v>1676877</v>
      </c>
      <c r="M1163" s="1" t="s">
        <v>567</v>
      </c>
    </row>
    <row r="1164" spans="1:13">
      <c r="A1164" t="s">
        <v>102</v>
      </c>
      <c r="B1164" t="s">
        <v>102</v>
      </c>
      <c r="C1164" s="2">
        <v>45107</v>
      </c>
      <c r="D1164">
        <v>-47421</v>
      </c>
      <c r="F1164" s="1" t="s">
        <v>567</v>
      </c>
      <c r="H1164" t="s">
        <v>328</v>
      </c>
      <c r="I1164" t="s">
        <v>329</v>
      </c>
      <c r="J1164" s="2">
        <v>45169</v>
      </c>
      <c r="K1164">
        <v>1629192.5</v>
      </c>
      <c r="M1164" s="1" t="s">
        <v>567</v>
      </c>
    </row>
    <row r="1165" spans="1:13">
      <c r="A1165" t="s">
        <v>102</v>
      </c>
      <c r="B1165" t="s">
        <v>102</v>
      </c>
      <c r="C1165" s="2">
        <v>45138</v>
      </c>
      <c r="D1165">
        <v>-47561</v>
      </c>
      <c r="F1165" s="1" t="s">
        <v>567</v>
      </c>
      <c r="H1165" t="s">
        <v>328</v>
      </c>
      <c r="I1165" t="s">
        <v>329</v>
      </c>
      <c r="J1165" s="2">
        <v>45199</v>
      </c>
      <c r="K1165">
        <v>1581556.5</v>
      </c>
      <c r="M1165" s="1" t="s">
        <v>567</v>
      </c>
    </row>
    <row r="1166" spans="1:13">
      <c r="A1166" t="s">
        <v>102</v>
      </c>
      <c r="B1166" t="s">
        <v>102</v>
      </c>
      <c r="C1166" s="2">
        <v>45169</v>
      </c>
      <c r="D1166">
        <v>-47684.5</v>
      </c>
      <c r="F1166" s="1" t="s">
        <v>567</v>
      </c>
      <c r="H1166" t="s">
        <v>328</v>
      </c>
      <c r="I1166" t="s">
        <v>329</v>
      </c>
      <c r="J1166" s="2">
        <v>45230</v>
      </c>
      <c r="K1166">
        <v>1529081.5</v>
      </c>
      <c r="M1166" s="1" t="s">
        <v>567</v>
      </c>
    </row>
    <row r="1167" spans="1:13">
      <c r="A1167" t="s">
        <v>102</v>
      </c>
      <c r="B1167" t="s">
        <v>102</v>
      </c>
      <c r="C1167" s="2">
        <v>45199</v>
      </c>
      <c r="D1167">
        <v>-47636</v>
      </c>
      <c r="F1167" s="1" t="s">
        <v>567</v>
      </c>
      <c r="H1167" t="s">
        <v>328</v>
      </c>
      <c r="I1167" t="s">
        <v>329</v>
      </c>
      <c r="J1167" s="2">
        <v>45260</v>
      </c>
      <c r="K1167">
        <v>1964263.5</v>
      </c>
      <c r="M1167" s="1" t="s">
        <v>567</v>
      </c>
    </row>
    <row r="1168" spans="1:13">
      <c r="A1168" t="s">
        <v>102</v>
      </c>
      <c r="B1168" t="s">
        <v>102</v>
      </c>
      <c r="C1168" s="2">
        <v>45230</v>
      </c>
      <c r="D1168">
        <v>-52475</v>
      </c>
      <c r="F1168" s="1" t="s">
        <v>567</v>
      </c>
      <c r="H1168" t="s">
        <v>328</v>
      </c>
      <c r="I1168" t="s">
        <v>329</v>
      </c>
      <c r="J1168" s="2">
        <v>45291</v>
      </c>
      <c r="K1168">
        <v>2840078.5</v>
      </c>
      <c r="M1168" s="1" t="s">
        <v>567</v>
      </c>
    </row>
    <row r="1169" spans="1:13">
      <c r="A1169" t="s">
        <v>102</v>
      </c>
      <c r="B1169" t="s">
        <v>102</v>
      </c>
      <c r="C1169" s="2">
        <v>45260</v>
      </c>
      <c r="D1169">
        <v>-64818</v>
      </c>
      <c r="F1169" s="1" t="s">
        <v>567</v>
      </c>
      <c r="H1169" t="s">
        <v>328</v>
      </c>
      <c r="I1169" t="s">
        <v>329</v>
      </c>
      <c r="J1169" s="2">
        <v>45322</v>
      </c>
      <c r="K1169">
        <v>2767274</v>
      </c>
      <c r="M1169" s="1" t="s">
        <v>567</v>
      </c>
    </row>
    <row r="1170" spans="1:13">
      <c r="A1170" t="s">
        <v>102</v>
      </c>
      <c r="B1170" t="s">
        <v>102</v>
      </c>
      <c r="C1170" s="2">
        <v>45291</v>
      </c>
      <c r="D1170">
        <v>-124185</v>
      </c>
      <c r="F1170" s="1" t="s">
        <v>567</v>
      </c>
      <c r="H1170" t="s">
        <v>328</v>
      </c>
      <c r="I1170" t="s">
        <v>329</v>
      </c>
      <c r="J1170" s="2">
        <v>45351</v>
      </c>
      <c r="K1170">
        <v>2637954</v>
      </c>
      <c r="M1170" s="1" t="s">
        <v>567</v>
      </c>
    </row>
    <row r="1171" spans="1:13">
      <c r="A1171" t="s">
        <v>102</v>
      </c>
      <c r="B1171" t="s">
        <v>102</v>
      </c>
      <c r="C1171" s="2">
        <v>45322</v>
      </c>
      <c r="D1171">
        <v>-72804.5</v>
      </c>
      <c r="F1171" s="1" t="s">
        <v>567</v>
      </c>
      <c r="H1171" t="s">
        <v>328</v>
      </c>
      <c r="I1171" t="s">
        <v>329</v>
      </c>
      <c r="J1171" s="2">
        <v>45382</v>
      </c>
      <c r="K1171">
        <v>2562584.5</v>
      </c>
      <c r="M1171" s="1" t="s">
        <v>567</v>
      </c>
    </row>
    <row r="1172" spans="1:13">
      <c r="A1172" t="s">
        <v>102</v>
      </c>
      <c r="B1172" t="s">
        <v>102</v>
      </c>
      <c r="C1172" s="2">
        <v>45351</v>
      </c>
      <c r="D1172">
        <v>-129320</v>
      </c>
      <c r="F1172" s="1" t="s">
        <v>567</v>
      </c>
      <c r="H1172" t="s">
        <v>328</v>
      </c>
      <c r="I1172" t="s">
        <v>329</v>
      </c>
      <c r="J1172" s="2">
        <v>45412</v>
      </c>
      <c r="K1172">
        <v>2427874</v>
      </c>
      <c r="M1172" s="1" t="s">
        <v>567</v>
      </c>
    </row>
    <row r="1173" spans="1:13">
      <c r="A1173" t="s">
        <v>102</v>
      </c>
      <c r="B1173" t="s">
        <v>102</v>
      </c>
      <c r="C1173" s="2">
        <v>45382</v>
      </c>
      <c r="D1173">
        <v>-75369.5</v>
      </c>
      <c r="F1173" s="1" t="s">
        <v>567</v>
      </c>
      <c r="H1173" t="s">
        <v>328</v>
      </c>
      <c r="I1173" t="s">
        <v>329</v>
      </c>
      <c r="J1173" s="2">
        <v>45443</v>
      </c>
      <c r="K1173">
        <v>2349811.5</v>
      </c>
      <c r="M1173" s="1" t="s">
        <v>567</v>
      </c>
    </row>
    <row r="1174" spans="1:13">
      <c r="A1174" t="s">
        <v>102</v>
      </c>
      <c r="B1174" t="s">
        <v>102</v>
      </c>
      <c r="C1174" s="2">
        <v>45412</v>
      </c>
      <c r="D1174">
        <v>-134710.5</v>
      </c>
      <c r="F1174" s="1" t="s">
        <v>567</v>
      </c>
      <c r="H1174" t="s">
        <v>328</v>
      </c>
      <c r="I1174" t="s">
        <v>329</v>
      </c>
      <c r="J1174" s="2">
        <v>45473</v>
      </c>
      <c r="K1174">
        <v>2209439.5</v>
      </c>
      <c r="M1174" s="1" t="s">
        <v>567</v>
      </c>
    </row>
    <row r="1175" spans="1:13">
      <c r="A1175" t="s">
        <v>102</v>
      </c>
      <c r="B1175" t="s">
        <v>102</v>
      </c>
      <c r="C1175" s="2">
        <v>45443</v>
      </c>
      <c r="D1175">
        <v>-78062.5</v>
      </c>
      <c r="F1175" s="1" t="s">
        <v>567</v>
      </c>
      <c r="H1175" t="s">
        <v>328</v>
      </c>
      <c r="I1175" t="s">
        <v>329</v>
      </c>
      <c r="J1175" s="2">
        <v>45504</v>
      </c>
      <c r="K1175">
        <v>2063123.5</v>
      </c>
      <c r="M1175" s="1" t="s">
        <v>567</v>
      </c>
    </row>
    <row r="1176" spans="1:13">
      <c r="A1176" t="s">
        <v>102</v>
      </c>
      <c r="B1176" t="s">
        <v>102</v>
      </c>
      <c r="C1176" s="2">
        <v>45473</v>
      </c>
      <c r="D1176">
        <v>-140372</v>
      </c>
      <c r="F1176" s="1" t="s">
        <v>567</v>
      </c>
      <c r="H1176" t="s">
        <v>328</v>
      </c>
      <c r="I1176" t="s">
        <v>329</v>
      </c>
      <c r="J1176" s="2">
        <v>45535</v>
      </c>
      <c r="K1176">
        <v>1916808.5</v>
      </c>
      <c r="M1176" s="1" t="s">
        <v>567</v>
      </c>
    </row>
    <row r="1177" spans="1:13">
      <c r="A1177" t="s">
        <v>102</v>
      </c>
      <c r="B1177" t="s">
        <v>102</v>
      </c>
      <c r="C1177" s="2">
        <v>45504</v>
      </c>
      <c r="D1177">
        <v>-146316</v>
      </c>
      <c r="F1177" s="1" t="s">
        <v>567</v>
      </c>
      <c r="H1177" t="s">
        <v>328</v>
      </c>
      <c r="I1177" t="s">
        <v>329</v>
      </c>
      <c r="J1177" s="2">
        <v>45565</v>
      </c>
      <c r="K1177">
        <v>1764252.5</v>
      </c>
      <c r="M1177" s="1" t="s">
        <v>567</v>
      </c>
    </row>
    <row r="1178" spans="1:13">
      <c r="A1178" t="s">
        <v>102</v>
      </c>
      <c r="B1178" t="s">
        <v>102</v>
      </c>
      <c r="C1178" s="2">
        <v>45535</v>
      </c>
      <c r="D1178">
        <v>-146315</v>
      </c>
      <c r="F1178" s="1" t="s">
        <v>567</v>
      </c>
      <c r="H1178" t="s">
        <v>328</v>
      </c>
      <c r="I1178" t="s">
        <v>329</v>
      </c>
      <c r="J1178" s="2">
        <v>45596</v>
      </c>
      <c r="K1178">
        <v>1611695.5</v>
      </c>
      <c r="M1178" s="1" t="s">
        <v>567</v>
      </c>
    </row>
    <row r="1179" spans="1:13">
      <c r="A1179" t="s">
        <v>102</v>
      </c>
      <c r="B1179" t="s">
        <v>102</v>
      </c>
      <c r="C1179" s="2">
        <v>45565</v>
      </c>
      <c r="D1179">
        <v>-152556</v>
      </c>
      <c r="F1179" s="1" t="s">
        <v>567</v>
      </c>
      <c r="H1179" t="s">
        <v>328</v>
      </c>
      <c r="I1179" t="s">
        <v>329</v>
      </c>
      <c r="J1179" s="2">
        <v>45626</v>
      </c>
      <c r="K1179">
        <v>1452585.5</v>
      </c>
      <c r="M1179" s="1" t="s">
        <v>567</v>
      </c>
    </row>
    <row r="1180" spans="1:13">
      <c r="A1180" t="s">
        <v>102</v>
      </c>
      <c r="B1180" t="s">
        <v>102</v>
      </c>
      <c r="C1180" s="2">
        <v>45596</v>
      </c>
      <c r="D1180">
        <v>-152557</v>
      </c>
      <c r="F1180" s="1" t="s">
        <v>567</v>
      </c>
      <c r="H1180" t="s">
        <v>328</v>
      </c>
      <c r="I1180" t="s">
        <v>329</v>
      </c>
      <c r="J1180" s="2">
        <v>45657</v>
      </c>
      <c r="K1180">
        <v>1286596</v>
      </c>
      <c r="M1180" s="1" t="s">
        <v>567</v>
      </c>
    </row>
    <row r="1181" spans="1:13">
      <c r="A1181" t="s">
        <v>102</v>
      </c>
      <c r="B1181" t="s">
        <v>102</v>
      </c>
      <c r="C1181" s="2">
        <v>45626</v>
      </c>
      <c r="D1181">
        <v>-159110</v>
      </c>
      <c r="F1181" s="1" t="s">
        <v>567</v>
      </c>
      <c r="H1181" t="s">
        <v>328</v>
      </c>
      <c r="I1181" t="s">
        <v>329</v>
      </c>
      <c r="J1181" s="2">
        <v>45688</v>
      </c>
      <c r="K1181">
        <v>1113381.0900000001</v>
      </c>
      <c r="M1181" s="1" t="s">
        <v>567</v>
      </c>
    </row>
    <row r="1182" spans="1:13">
      <c r="A1182" t="s">
        <v>102</v>
      </c>
      <c r="B1182" t="s">
        <v>102</v>
      </c>
      <c r="C1182" s="2">
        <v>45657</v>
      </c>
      <c r="D1182">
        <v>-165989.5</v>
      </c>
      <c r="F1182" s="1" t="s">
        <v>567</v>
      </c>
      <c r="H1182" t="s">
        <v>328</v>
      </c>
      <c r="I1182" t="s">
        <v>329</v>
      </c>
      <c r="J1182" s="2">
        <v>45716</v>
      </c>
      <c r="K1182">
        <v>932580.43</v>
      </c>
      <c r="M1182" s="1" t="s">
        <v>567</v>
      </c>
    </row>
    <row r="1183" spans="1:13">
      <c r="A1183" t="s">
        <v>102</v>
      </c>
      <c r="B1183" t="s">
        <v>102</v>
      </c>
      <c r="C1183" s="2">
        <v>45688</v>
      </c>
      <c r="D1183">
        <v>-173214.90999999997</v>
      </c>
      <c r="F1183" s="1" t="s">
        <v>567</v>
      </c>
      <c r="H1183" t="s">
        <v>328</v>
      </c>
      <c r="I1183" t="s">
        <v>329</v>
      </c>
      <c r="J1183" s="2">
        <v>45747</v>
      </c>
      <c r="K1183">
        <v>743813.77</v>
      </c>
      <c r="M1183" s="1" t="s">
        <v>567</v>
      </c>
    </row>
    <row r="1184" spans="1:13">
      <c r="A1184" t="s">
        <v>102</v>
      </c>
      <c r="B1184" t="s">
        <v>102</v>
      </c>
      <c r="C1184" s="2">
        <v>45716</v>
      </c>
      <c r="D1184">
        <v>-180800.66</v>
      </c>
      <c r="F1184" s="1" t="s">
        <v>567</v>
      </c>
      <c r="H1184" t="s">
        <v>328</v>
      </c>
      <c r="I1184" t="s">
        <v>329</v>
      </c>
      <c r="J1184" s="2">
        <v>45777</v>
      </c>
      <c r="K1184">
        <v>546684.11</v>
      </c>
      <c r="M1184" s="1" t="s">
        <v>567</v>
      </c>
    </row>
    <row r="1185" spans="1:13">
      <c r="A1185" t="s">
        <v>102</v>
      </c>
      <c r="B1185" t="s">
        <v>102</v>
      </c>
      <c r="C1185" s="2">
        <v>45747</v>
      </c>
      <c r="D1185">
        <v>-188766.66</v>
      </c>
      <c r="F1185" s="1" t="s">
        <v>567</v>
      </c>
      <c r="H1185" t="s">
        <v>328</v>
      </c>
      <c r="I1185" t="s">
        <v>329</v>
      </c>
      <c r="J1185" s="2">
        <v>45808</v>
      </c>
      <c r="K1185">
        <v>340770.44999999995</v>
      </c>
      <c r="M1185" s="1" t="s">
        <v>567</v>
      </c>
    </row>
    <row r="1186" spans="1:13">
      <c r="A1186" t="s">
        <v>102</v>
      </c>
      <c r="B1186" t="s">
        <v>102</v>
      </c>
      <c r="C1186" s="2">
        <v>45777</v>
      </c>
      <c r="D1186">
        <v>-197129.66</v>
      </c>
      <c r="F1186" s="1" t="s">
        <v>567</v>
      </c>
      <c r="H1186" t="s">
        <v>328</v>
      </c>
      <c r="I1186" t="s">
        <v>329</v>
      </c>
      <c r="J1186" s="2">
        <v>45838</v>
      </c>
      <c r="K1186">
        <v>133038.24</v>
      </c>
      <c r="M1186" s="1" t="s">
        <v>567</v>
      </c>
    </row>
    <row r="1187" spans="1:13">
      <c r="A1187" t="s">
        <v>102</v>
      </c>
      <c r="B1187" t="s">
        <v>102</v>
      </c>
      <c r="C1187" s="2">
        <v>45808</v>
      </c>
      <c r="D1187">
        <v>-205913.66</v>
      </c>
      <c r="F1187" s="1" t="s">
        <v>567</v>
      </c>
      <c r="H1187" t="s">
        <v>328</v>
      </c>
      <c r="I1187" t="s">
        <v>329</v>
      </c>
      <c r="J1187" s="2">
        <v>45869</v>
      </c>
      <c r="K1187">
        <v>-86075.810000000056</v>
      </c>
      <c r="M1187" s="1" t="s">
        <v>567</v>
      </c>
    </row>
    <row r="1188" spans="1:13">
      <c r="A1188" t="s">
        <v>102</v>
      </c>
      <c r="B1188" t="s">
        <v>102</v>
      </c>
      <c r="C1188" s="2">
        <v>45838</v>
      </c>
      <c r="D1188">
        <v>-207732.21</v>
      </c>
      <c r="F1188" s="1" t="s">
        <v>567</v>
      </c>
      <c r="H1188" t="s">
        <v>328</v>
      </c>
      <c r="I1188" t="s">
        <v>329</v>
      </c>
      <c r="J1188" s="2">
        <v>45900</v>
      </c>
      <c r="K1188">
        <v>-321555.80000000005</v>
      </c>
      <c r="M1188" s="1" t="s">
        <v>567</v>
      </c>
    </row>
    <row r="1189" spans="1:13">
      <c r="A1189" t="s">
        <v>102</v>
      </c>
      <c r="B1189" t="s">
        <v>102</v>
      </c>
      <c r="C1189" s="2">
        <v>45869</v>
      </c>
      <c r="D1189">
        <v>-219114.05</v>
      </c>
      <c r="F1189" s="1" t="s">
        <v>567</v>
      </c>
      <c r="H1189" t="s">
        <v>328</v>
      </c>
      <c r="I1189" t="s">
        <v>329</v>
      </c>
      <c r="J1189" s="2">
        <v>45930</v>
      </c>
      <c r="K1189">
        <v>-549210.01</v>
      </c>
      <c r="M1189" s="1" t="s">
        <v>567</v>
      </c>
    </row>
    <row r="1190" spans="1:13">
      <c r="A1190" t="s">
        <v>102</v>
      </c>
      <c r="B1190" t="s">
        <v>102</v>
      </c>
      <c r="C1190" s="2">
        <v>45900</v>
      </c>
      <c r="D1190">
        <v>-235479.99</v>
      </c>
      <c r="F1190" s="1" t="s">
        <v>567</v>
      </c>
      <c r="H1190" t="s">
        <v>328</v>
      </c>
      <c r="I1190" t="s">
        <v>329</v>
      </c>
      <c r="J1190" s="2">
        <v>45961</v>
      </c>
      <c r="K1190">
        <v>-796072.15999999992</v>
      </c>
      <c r="M1190" s="1" t="s">
        <v>567</v>
      </c>
    </row>
    <row r="1191" spans="1:13">
      <c r="A1191" t="s">
        <v>102</v>
      </c>
      <c r="B1191" t="s">
        <v>102</v>
      </c>
      <c r="C1191" s="2">
        <v>45930</v>
      </c>
      <c r="D1191">
        <v>-227654.20999999996</v>
      </c>
      <c r="F1191" s="1" t="s">
        <v>567</v>
      </c>
      <c r="H1191" t="s">
        <v>328</v>
      </c>
      <c r="I1191" t="s">
        <v>329</v>
      </c>
      <c r="J1191" s="2">
        <v>45991</v>
      </c>
      <c r="K1191">
        <v>-1055252.6499999999</v>
      </c>
      <c r="M1191" s="1" t="s">
        <v>567</v>
      </c>
    </row>
    <row r="1192" spans="1:13">
      <c r="A1192" t="s">
        <v>102</v>
      </c>
      <c r="B1192" t="s">
        <v>102</v>
      </c>
      <c r="C1192" s="2">
        <v>45961</v>
      </c>
      <c r="D1192">
        <v>-246862.14999999997</v>
      </c>
      <c r="F1192" s="1" t="s">
        <v>567</v>
      </c>
      <c r="H1192" t="s">
        <v>330</v>
      </c>
      <c r="I1192" t="s">
        <v>331</v>
      </c>
      <c r="J1192" s="2">
        <v>44957</v>
      </c>
      <c r="K1192">
        <v>1014947</v>
      </c>
      <c r="M1192" s="1" t="s">
        <v>567</v>
      </c>
    </row>
    <row r="1193" spans="1:13">
      <c r="A1193" t="s">
        <v>102</v>
      </c>
      <c r="B1193" t="s">
        <v>102</v>
      </c>
      <c r="C1193" s="2">
        <v>45991</v>
      </c>
      <c r="D1193">
        <v>-259180.48999999993</v>
      </c>
      <c r="F1193" s="1" t="s">
        <v>567</v>
      </c>
      <c r="H1193" t="s">
        <v>330</v>
      </c>
      <c r="I1193" t="s">
        <v>331</v>
      </c>
      <c r="J1193" s="2">
        <v>44985</v>
      </c>
      <c r="K1193">
        <v>977631</v>
      </c>
      <c r="M1193" s="1" t="s">
        <v>567</v>
      </c>
    </row>
    <row r="1194" spans="1:13">
      <c r="H1194" t="s">
        <v>330</v>
      </c>
      <c r="I1194" t="s">
        <v>331</v>
      </c>
      <c r="J1194" s="2">
        <v>45016</v>
      </c>
      <c r="K1194">
        <v>933584</v>
      </c>
      <c r="M1194" s="1" t="s">
        <v>567</v>
      </c>
    </row>
    <row r="1195" spans="1:13">
      <c r="H1195" t="s">
        <v>330</v>
      </c>
      <c r="I1195" t="s">
        <v>331</v>
      </c>
      <c r="J1195" s="2">
        <v>45046</v>
      </c>
      <c r="K1195">
        <v>893287.5</v>
      </c>
      <c r="M1195" s="1" t="s">
        <v>567</v>
      </c>
    </row>
    <row r="1196" spans="1:13">
      <c r="H1196" t="s">
        <v>330</v>
      </c>
      <c r="I1196" t="s">
        <v>331</v>
      </c>
      <c r="J1196" s="2">
        <v>45077</v>
      </c>
      <c r="K1196">
        <v>850435.5</v>
      </c>
      <c r="M1196" s="1" t="s">
        <v>567</v>
      </c>
    </row>
    <row r="1197" spans="1:13">
      <c r="H1197" t="s">
        <v>330</v>
      </c>
      <c r="I1197" t="s">
        <v>331</v>
      </c>
      <c r="J1197" s="2">
        <v>45107</v>
      </c>
      <c r="K1197">
        <v>2305128.5</v>
      </c>
      <c r="M1197" s="1" t="s">
        <v>567</v>
      </c>
    </row>
    <row r="1198" spans="1:13">
      <c r="H1198" t="s">
        <v>330</v>
      </c>
      <c r="I1198" t="s">
        <v>331</v>
      </c>
      <c r="J1198" s="2">
        <v>45138</v>
      </c>
      <c r="K1198">
        <v>2263541.5</v>
      </c>
      <c r="M1198" s="1" t="s">
        <v>567</v>
      </c>
    </row>
    <row r="1199" spans="1:13">
      <c r="H1199" t="s">
        <v>330</v>
      </c>
      <c r="I1199" t="s">
        <v>331</v>
      </c>
      <c r="J1199" s="2">
        <v>45169</v>
      </c>
      <c r="K1199">
        <v>2220359</v>
      </c>
      <c r="M1199" s="1" t="s">
        <v>567</v>
      </c>
    </row>
    <row r="1200" spans="1:13">
      <c r="H1200" t="s">
        <v>330</v>
      </c>
      <c r="I1200" t="s">
        <v>331</v>
      </c>
      <c r="J1200" s="2">
        <v>45199</v>
      </c>
      <c r="K1200">
        <v>2180019</v>
      </c>
      <c r="M1200" s="1" t="s">
        <v>567</v>
      </c>
    </row>
    <row r="1201" spans="8:13">
      <c r="H1201" t="s">
        <v>330</v>
      </c>
      <c r="I1201" t="s">
        <v>331</v>
      </c>
      <c r="J1201" s="2">
        <v>45230</v>
      </c>
      <c r="K1201">
        <v>3132759</v>
      </c>
      <c r="M1201" s="1" t="s">
        <v>567</v>
      </c>
    </row>
    <row r="1202" spans="8:13">
      <c r="H1202" t="s">
        <v>330</v>
      </c>
      <c r="I1202" t="s">
        <v>331</v>
      </c>
      <c r="J1202" s="2">
        <v>45260</v>
      </c>
      <c r="K1202">
        <v>3567941</v>
      </c>
      <c r="M1202" s="1" t="s">
        <v>567</v>
      </c>
    </row>
    <row r="1203" spans="8:13">
      <c r="H1203" t="s">
        <v>330</v>
      </c>
      <c r="I1203" t="s">
        <v>331</v>
      </c>
      <c r="J1203" s="2">
        <v>45291</v>
      </c>
      <c r="K1203">
        <v>4443756</v>
      </c>
      <c r="M1203" s="1" t="s">
        <v>567</v>
      </c>
    </row>
    <row r="1204" spans="8:13">
      <c r="H1204" t="s">
        <v>330</v>
      </c>
      <c r="I1204" t="s">
        <v>331</v>
      </c>
      <c r="J1204" s="2">
        <v>45322</v>
      </c>
      <c r="K1204">
        <v>4370951.5</v>
      </c>
      <c r="M1204" s="1" t="s">
        <v>567</v>
      </c>
    </row>
    <row r="1205" spans="8:13">
      <c r="H1205" t="s">
        <v>330</v>
      </c>
      <c r="I1205" t="s">
        <v>331</v>
      </c>
      <c r="J1205" s="2">
        <v>45351</v>
      </c>
      <c r="K1205">
        <v>4241631.5</v>
      </c>
      <c r="M1205" s="1" t="s">
        <v>567</v>
      </c>
    </row>
    <row r="1206" spans="8:13">
      <c r="H1206" t="s">
        <v>330</v>
      </c>
      <c r="I1206" t="s">
        <v>331</v>
      </c>
      <c r="J1206" s="2">
        <v>45382</v>
      </c>
      <c r="K1206">
        <v>4166262</v>
      </c>
      <c r="M1206" s="1" t="s">
        <v>567</v>
      </c>
    </row>
    <row r="1207" spans="8:13">
      <c r="H1207" t="s">
        <v>330</v>
      </c>
      <c r="I1207" t="s">
        <v>331</v>
      </c>
      <c r="J1207" s="2">
        <v>45412</v>
      </c>
      <c r="K1207">
        <v>4031551.5</v>
      </c>
      <c r="M1207" s="1" t="s">
        <v>567</v>
      </c>
    </row>
    <row r="1208" spans="8:13">
      <c r="H1208" t="s">
        <v>330</v>
      </c>
      <c r="I1208" t="s">
        <v>331</v>
      </c>
      <c r="J1208" s="2">
        <v>45443</v>
      </c>
      <c r="K1208">
        <v>3953489</v>
      </c>
      <c r="M1208" s="1" t="s">
        <v>567</v>
      </c>
    </row>
    <row r="1209" spans="8:13">
      <c r="H1209" t="s">
        <v>330</v>
      </c>
      <c r="I1209" t="s">
        <v>331</v>
      </c>
      <c r="J1209" s="2">
        <v>45473</v>
      </c>
      <c r="K1209">
        <v>3813117</v>
      </c>
      <c r="M1209" s="1" t="s">
        <v>567</v>
      </c>
    </row>
    <row r="1210" spans="8:13">
      <c r="H1210" t="s">
        <v>330</v>
      </c>
      <c r="I1210" t="s">
        <v>331</v>
      </c>
      <c r="J1210" s="2">
        <v>45504</v>
      </c>
      <c r="K1210">
        <v>3666801</v>
      </c>
      <c r="M1210" s="1" t="s">
        <v>567</v>
      </c>
    </row>
    <row r="1211" spans="8:13">
      <c r="H1211" t="s">
        <v>330</v>
      </c>
      <c r="I1211" t="s">
        <v>331</v>
      </c>
      <c r="J1211" s="2">
        <v>45535</v>
      </c>
      <c r="K1211">
        <v>3520486</v>
      </c>
      <c r="M1211" s="1" t="s">
        <v>567</v>
      </c>
    </row>
    <row r="1212" spans="8:13">
      <c r="H1212" t="s">
        <v>330</v>
      </c>
      <c r="I1212" t="s">
        <v>331</v>
      </c>
      <c r="J1212" s="2">
        <v>45565</v>
      </c>
      <c r="K1212">
        <v>3367930</v>
      </c>
      <c r="M1212" s="1" t="s">
        <v>567</v>
      </c>
    </row>
    <row r="1213" spans="8:13">
      <c r="H1213" t="s">
        <v>330</v>
      </c>
      <c r="I1213" t="s">
        <v>331</v>
      </c>
      <c r="J1213" s="2">
        <v>45596</v>
      </c>
      <c r="K1213">
        <v>3215373</v>
      </c>
      <c r="M1213" s="1" t="s">
        <v>567</v>
      </c>
    </row>
    <row r="1214" spans="8:13">
      <c r="H1214" t="s">
        <v>330</v>
      </c>
      <c r="I1214" t="s">
        <v>331</v>
      </c>
      <c r="J1214" s="2">
        <v>45626</v>
      </c>
      <c r="K1214">
        <v>3056263</v>
      </c>
      <c r="M1214" s="1" t="s">
        <v>567</v>
      </c>
    </row>
    <row r="1215" spans="8:13">
      <c r="H1215" t="s">
        <v>330</v>
      </c>
      <c r="I1215" t="s">
        <v>331</v>
      </c>
      <c r="J1215" s="2">
        <v>45657</v>
      </c>
      <c r="K1215">
        <v>2890273.5</v>
      </c>
      <c r="M1215" s="1" t="s">
        <v>567</v>
      </c>
    </row>
    <row r="1216" spans="8:13">
      <c r="H1216" t="s">
        <v>330</v>
      </c>
      <c r="I1216" t="s">
        <v>331</v>
      </c>
      <c r="J1216" s="2">
        <v>45688</v>
      </c>
      <c r="K1216">
        <v>2717058.59</v>
      </c>
      <c r="M1216" s="1" t="s">
        <v>567</v>
      </c>
    </row>
    <row r="1217" spans="8:13">
      <c r="H1217" t="s">
        <v>330</v>
      </c>
      <c r="I1217" t="s">
        <v>331</v>
      </c>
      <c r="J1217" s="2">
        <v>45716</v>
      </c>
      <c r="K1217">
        <v>2536257.9300000002</v>
      </c>
      <c r="M1217" s="1" t="s">
        <v>567</v>
      </c>
    </row>
    <row r="1218" spans="8:13">
      <c r="H1218" t="s">
        <v>330</v>
      </c>
      <c r="I1218" t="s">
        <v>331</v>
      </c>
      <c r="J1218" s="2">
        <v>45747</v>
      </c>
      <c r="K1218">
        <v>2347491.27</v>
      </c>
      <c r="M1218" s="1" t="s">
        <v>567</v>
      </c>
    </row>
    <row r="1219" spans="8:13">
      <c r="H1219" t="s">
        <v>330</v>
      </c>
      <c r="I1219" t="s">
        <v>331</v>
      </c>
      <c r="J1219" s="2">
        <v>45777</v>
      </c>
      <c r="K1219">
        <v>2150361.61</v>
      </c>
      <c r="M1219" s="1" t="s">
        <v>567</v>
      </c>
    </row>
    <row r="1220" spans="8:13">
      <c r="H1220" t="s">
        <v>330</v>
      </c>
      <c r="I1220" t="s">
        <v>331</v>
      </c>
      <c r="J1220" s="2">
        <v>45808</v>
      </c>
      <c r="K1220">
        <v>1944447.95</v>
      </c>
      <c r="M1220" s="1" t="s">
        <v>567</v>
      </c>
    </row>
    <row r="1221" spans="8:13">
      <c r="H1221" t="s">
        <v>330</v>
      </c>
      <c r="I1221" t="s">
        <v>331</v>
      </c>
      <c r="J1221" s="2">
        <v>45838</v>
      </c>
      <c r="K1221">
        <v>1737715.74</v>
      </c>
      <c r="M1221" s="1" t="s">
        <v>567</v>
      </c>
    </row>
    <row r="1222" spans="8:13">
      <c r="H1222" t="s">
        <v>330</v>
      </c>
      <c r="I1222" t="s">
        <v>331</v>
      </c>
      <c r="J1222" s="2">
        <v>45869</v>
      </c>
      <c r="K1222">
        <v>1518601.69</v>
      </c>
      <c r="M1222" s="1" t="s">
        <v>567</v>
      </c>
    </row>
    <row r="1223" spans="8:13">
      <c r="H1223" t="s">
        <v>330</v>
      </c>
      <c r="I1223" t="s">
        <v>331</v>
      </c>
      <c r="J1223" s="2">
        <v>45900</v>
      </c>
      <c r="K1223">
        <v>1283621.7</v>
      </c>
      <c r="M1223" s="1" t="s">
        <v>567</v>
      </c>
    </row>
    <row r="1224" spans="8:13">
      <c r="H1224" t="s">
        <v>330</v>
      </c>
      <c r="I1224" t="s">
        <v>331</v>
      </c>
      <c r="J1224" s="2">
        <v>45930</v>
      </c>
      <c r="K1224">
        <v>1055967.49</v>
      </c>
      <c r="M1224" s="1" t="s">
        <v>567</v>
      </c>
    </row>
    <row r="1225" spans="8:13">
      <c r="H1225" t="s">
        <v>330</v>
      </c>
      <c r="I1225" t="s">
        <v>331</v>
      </c>
      <c r="J1225" s="2">
        <v>45961</v>
      </c>
      <c r="K1225">
        <v>809105.34000000008</v>
      </c>
      <c r="M1225" s="1" t="s">
        <v>567</v>
      </c>
    </row>
    <row r="1226" spans="8:13">
      <c r="H1226" t="s">
        <v>330</v>
      </c>
      <c r="I1226" t="s">
        <v>331</v>
      </c>
      <c r="J1226" s="2">
        <v>45991</v>
      </c>
      <c r="K1226">
        <v>550924.85000000009</v>
      </c>
      <c r="M1226" s="1" t="s">
        <v>567</v>
      </c>
    </row>
  </sheetData>
  <pageMargins left="0.7" right="0.7" top="0.75" bottom="0.75" header="0.3" footer="0.3"/>
  <customProperties>
    <customPr name="sheetName" r:id="rId1"/>
  </customProperties>
  <tableParts count="4">
    <tablePart r:id="rId2"/>
    <tablePart r:id="rId3"/>
    <tablePart r:id="rId4"/>
    <tablePart r:id="rId5"/>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A96C3-A0B9-B24D-BFC3-BB5A4E5F9CF8}">
  <dimension ref="B2:M161"/>
  <sheetViews>
    <sheetView zoomScale="140" zoomScaleNormal="140" workbookViewId="0">
      <selection activeCell="B2" sqref="B2:E18"/>
    </sheetView>
  </sheetViews>
  <sheetFormatPr defaultColWidth="8.85546875" defaultRowHeight="15"/>
  <cols>
    <col min="2" max="2" width="13.140625" bestFit="1" customWidth="1"/>
    <col min="3" max="3" width="13.28515625" customWidth="1"/>
    <col min="4" max="4" width="9.7109375" customWidth="1"/>
    <col min="5" max="5" width="28.85546875" bestFit="1" customWidth="1"/>
    <col min="6" max="6" width="14.28515625" customWidth="1"/>
    <col min="7" max="7" width="10.7109375" customWidth="1"/>
    <col min="8" max="8" width="8.85546875" customWidth="1"/>
    <col min="9" max="9" width="21.7109375" customWidth="1"/>
    <col min="11" max="11" width="10.42578125" bestFit="1" customWidth="1"/>
  </cols>
  <sheetData>
    <row r="2" spans="2:13">
      <c r="B2" s="467" t="s">
        <v>640</v>
      </c>
      <c r="C2" s="467" t="s">
        <v>641</v>
      </c>
      <c r="D2" s="467" t="s">
        <v>642</v>
      </c>
      <c r="E2" s="467" t="s">
        <v>643</v>
      </c>
      <c r="F2" s="467" t="s">
        <v>644</v>
      </c>
      <c r="G2" s="467" t="s">
        <v>645</v>
      </c>
      <c r="H2" s="467" t="s">
        <v>646</v>
      </c>
      <c r="I2" s="467" t="s">
        <v>647</v>
      </c>
    </row>
    <row r="3" spans="2:13">
      <c r="B3" s="467">
        <v>23433227563.596104</v>
      </c>
      <c r="C3" s="467" t="s">
        <v>648</v>
      </c>
      <c r="D3" s="467" t="s">
        <v>551</v>
      </c>
      <c r="E3" s="467" t="s">
        <v>490</v>
      </c>
      <c r="F3" s="470">
        <v>46055</v>
      </c>
      <c r="G3" s="469">
        <v>1815</v>
      </c>
      <c r="H3" s="468">
        <v>0.25</v>
      </c>
      <c r="I3" s="467">
        <v>4537.5</v>
      </c>
      <c r="M3" s="547"/>
    </row>
    <row r="4" spans="2:13">
      <c r="B4" s="467">
        <v>27602722215.92347</v>
      </c>
      <c r="C4" s="467" t="s">
        <v>648</v>
      </c>
      <c r="D4" s="467" t="s">
        <v>649</v>
      </c>
      <c r="E4" s="467" t="s">
        <v>490</v>
      </c>
      <c r="F4" s="470">
        <v>46104</v>
      </c>
      <c r="G4" s="469">
        <v>1020</v>
      </c>
      <c r="H4" s="468">
        <v>0.25</v>
      </c>
      <c r="I4" s="467">
        <v>2550</v>
      </c>
      <c r="M4" s="547"/>
    </row>
    <row r="5" spans="2:13">
      <c r="B5" s="467">
        <v>13232430693.429665</v>
      </c>
      <c r="C5" s="467" t="s">
        <v>648</v>
      </c>
      <c r="D5" s="467" t="s">
        <v>649</v>
      </c>
      <c r="E5" s="467" t="s">
        <v>490</v>
      </c>
      <c r="F5" s="470">
        <v>46050</v>
      </c>
      <c r="G5" s="469">
        <v>885</v>
      </c>
      <c r="H5" s="468">
        <v>0.25</v>
      </c>
      <c r="I5" s="467">
        <v>2212.5</v>
      </c>
      <c r="M5" s="547"/>
    </row>
    <row r="6" spans="2:13">
      <c r="B6" s="467">
        <v>62844760489.615189</v>
      </c>
      <c r="C6" s="467" t="s">
        <v>648</v>
      </c>
      <c r="D6" s="467" t="s">
        <v>551</v>
      </c>
      <c r="E6" s="467" t="s">
        <v>491</v>
      </c>
      <c r="F6" s="470">
        <v>46062</v>
      </c>
      <c r="G6" s="469">
        <v>1960</v>
      </c>
      <c r="H6" s="468">
        <v>0.5</v>
      </c>
      <c r="I6" s="467">
        <v>9800</v>
      </c>
      <c r="M6" s="547"/>
    </row>
    <row r="7" spans="2:13">
      <c r="B7" s="467">
        <v>24385485328.697498</v>
      </c>
      <c r="C7" s="467" t="s">
        <v>648</v>
      </c>
      <c r="D7" s="467" t="s">
        <v>650</v>
      </c>
      <c r="E7" s="467" t="s">
        <v>492</v>
      </c>
      <c r="F7" s="470">
        <v>46051</v>
      </c>
      <c r="G7" s="469">
        <v>1135</v>
      </c>
      <c r="H7" s="468">
        <v>0.8</v>
      </c>
      <c r="I7" s="467">
        <v>9080</v>
      </c>
      <c r="M7" s="547"/>
    </row>
    <row r="8" spans="2:13">
      <c r="B8" s="467">
        <v>54872830662.258766</v>
      </c>
      <c r="C8" s="467" t="s">
        <v>648</v>
      </c>
      <c r="D8" s="467" t="s">
        <v>650</v>
      </c>
      <c r="E8" s="467" t="s">
        <v>492</v>
      </c>
      <c r="F8" s="470">
        <v>46029</v>
      </c>
      <c r="G8" s="469">
        <v>880</v>
      </c>
      <c r="H8" s="468">
        <v>0.8</v>
      </c>
      <c r="I8" s="467">
        <v>7040</v>
      </c>
      <c r="M8" s="547"/>
    </row>
    <row r="9" spans="2:13">
      <c r="B9" s="467">
        <v>91030376796.556946</v>
      </c>
      <c r="C9" s="467" t="s">
        <v>648</v>
      </c>
      <c r="D9" s="467" t="s">
        <v>649</v>
      </c>
      <c r="E9" s="467" t="s">
        <v>493</v>
      </c>
      <c r="F9" s="470">
        <v>46098</v>
      </c>
      <c r="G9" s="469">
        <v>265</v>
      </c>
      <c r="H9" s="468">
        <v>1</v>
      </c>
      <c r="I9" s="467">
        <v>2650</v>
      </c>
      <c r="M9" s="547"/>
    </row>
    <row r="10" spans="2:13">
      <c r="B10" s="467">
        <v>59034265950.817932</v>
      </c>
      <c r="C10" s="467" t="s">
        <v>648</v>
      </c>
      <c r="D10" s="467" t="s">
        <v>551</v>
      </c>
      <c r="E10" s="467" t="s">
        <v>490</v>
      </c>
      <c r="F10" s="470">
        <v>46098</v>
      </c>
      <c r="G10" s="469">
        <v>1350</v>
      </c>
      <c r="H10" s="468">
        <v>0.25</v>
      </c>
      <c r="I10" s="467">
        <v>3375</v>
      </c>
      <c r="M10" s="547"/>
    </row>
    <row r="11" spans="2:13">
      <c r="B11" s="467">
        <v>12155127524.971609</v>
      </c>
      <c r="C11" s="467" t="s">
        <v>648</v>
      </c>
      <c r="D11" s="467" t="s">
        <v>650</v>
      </c>
      <c r="E11" s="467" t="s">
        <v>490</v>
      </c>
      <c r="F11" s="470">
        <v>46098</v>
      </c>
      <c r="G11" s="469">
        <v>490</v>
      </c>
      <c r="H11" s="468">
        <v>0.25</v>
      </c>
      <c r="I11" s="467">
        <v>1225</v>
      </c>
      <c r="M11" s="547"/>
    </row>
    <row r="12" spans="2:13">
      <c r="B12" s="467">
        <v>12311989390.329403</v>
      </c>
      <c r="C12" s="467" t="s">
        <v>648</v>
      </c>
      <c r="D12" s="467" t="s">
        <v>551</v>
      </c>
      <c r="E12" s="467" t="s">
        <v>490</v>
      </c>
      <c r="F12" s="470">
        <v>46082</v>
      </c>
      <c r="G12" s="469">
        <v>355</v>
      </c>
      <c r="H12" s="468">
        <v>0.25</v>
      </c>
      <c r="I12" s="467">
        <v>887.5</v>
      </c>
      <c r="M12" s="547"/>
    </row>
    <row r="13" spans="2:13">
      <c r="B13" s="467">
        <v>1530395189.5774047</v>
      </c>
      <c r="C13" s="467" t="s">
        <v>648</v>
      </c>
      <c r="D13" s="467" t="s">
        <v>551</v>
      </c>
      <c r="E13" s="467" t="s">
        <v>490</v>
      </c>
      <c r="F13" s="470">
        <v>46019</v>
      </c>
      <c r="G13" s="469">
        <v>2500</v>
      </c>
      <c r="H13" s="468">
        <v>0.25</v>
      </c>
      <c r="I13" s="467">
        <v>6250</v>
      </c>
      <c r="M13" s="547"/>
    </row>
    <row r="14" spans="2:13">
      <c r="B14" s="467">
        <v>34815645719.210052</v>
      </c>
      <c r="C14" s="467" t="s">
        <v>648</v>
      </c>
      <c r="D14" s="467" t="s">
        <v>649</v>
      </c>
      <c r="E14" s="467" t="s">
        <v>494</v>
      </c>
      <c r="F14" s="470">
        <v>46051</v>
      </c>
      <c r="G14" s="469">
        <v>1920</v>
      </c>
      <c r="H14" s="468">
        <v>0</v>
      </c>
      <c r="I14" s="467">
        <v>0</v>
      </c>
      <c r="M14" s="547"/>
    </row>
    <row r="15" spans="2:13">
      <c r="B15" s="467">
        <v>16102718187.887955</v>
      </c>
      <c r="C15" s="467" t="s">
        <v>648</v>
      </c>
      <c r="D15" s="467" t="s">
        <v>551</v>
      </c>
      <c r="E15" s="467" t="s">
        <v>492</v>
      </c>
      <c r="F15" s="470">
        <v>46050</v>
      </c>
      <c r="G15" s="469">
        <v>250</v>
      </c>
      <c r="H15" s="468">
        <v>0.8</v>
      </c>
      <c r="I15" s="467">
        <v>2000</v>
      </c>
      <c r="M15" s="547"/>
    </row>
    <row r="16" spans="2:13">
      <c r="B16" s="467">
        <v>25839041473.004086</v>
      </c>
      <c r="C16" s="467" t="s">
        <v>648</v>
      </c>
      <c r="D16" s="467" t="s">
        <v>649</v>
      </c>
      <c r="E16" s="467" t="s">
        <v>491</v>
      </c>
      <c r="F16" s="470">
        <v>46044</v>
      </c>
      <c r="G16" s="469">
        <v>685</v>
      </c>
      <c r="H16" s="468">
        <v>0.5</v>
      </c>
      <c r="I16" s="467">
        <v>3425</v>
      </c>
      <c r="M16" s="547"/>
    </row>
    <row r="17" spans="2:13">
      <c r="B17" s="467">
        <v>63916479526.239136</v>
      </c>
      <c r="C17" s="467" t="s">
        <v>648</v>
      </c>
      <c r="D17" s="467" t="s">
        <v>649</v>
      </c>
      <c r="E17" s="467" t="s">
        <v>490</v>
      </c>
      <c r="F17" s="470">
        <v>46044</v>
      </c>
      <c r="G17" s="469">
        <v>1560</v>
      </c>
      <c r="H17" s="468">
        <v>0.25</v>
      </c>
      <c r="I17" s="467">
        <v>3900</v>
      </c>
      <c r="M17" s="547"/>
    </row>
    <row r="18" spans="2:13">
      <c r="B18" s="467">
        <v>53808658414.735703</v>
      </c>
      <c r="C18" s="467" t="s">
        <v>648</v>
      </c>
      <c r="D18" s="467" t="s">
        <v>650</v>
      </c>
      <c r="E18" s="467" t="s">
        <v>490</v>
      </c>
      <c r="F18" s="470">
        <v>46077</v>
      </c>
      <c r="G18" s="469">
        <v>1090</v>
      </c>
      <c r="H18" s="468">
        <v>0.25</v>
      </c>
      <c r="I18" s="467">
        <v>2725</v>
      </c>
      <c r="M18" s="547"/>
    </row>
    <row r="19" spans="2:13">
      <c r="B19" s="467">
        <v>82284521008.126068</v>
      </c>
      <c r="C19" s="467" t="s">
        <v>648</v>
      </c>
      <c r="D19" s="467" t="s">
        <v>650</v>
      </c>
      <c r="E19" s="467" t="s">
        <v>490</v>
      </c>
      <c r="F19" s="470">
        <v>45990</v>
      </c>
      <c r="G19" s="469">
        <v>1890</v>
      </c>
      <c r="H19" s="468">
        <v>0.25</v>
      </c>
      <c r="I19" s="467">
        <v>4725</v>
      </c>
      <c r="M19" s="547"/>
    </row>
    <row r="20" spans="2:13">
      <c r="B20" s="467">
        <v>39115560772.284012</v>
      </c>
      <c r="C20" s="467" t="s">
        <v>648</v>
      </c>
      <c r="D20" s="467" t="s">
        <v>649</v>
      </c>
      <c r="E20" s="467" t="s">
        <v>494</v>
      </c>
      <c r="F20" s="470">
        <v>46008</v>
      </c>
      <c r="G20" s="469">
        <v>570</v>
      </c>
      <c r="H20" s="468">
        <v>0</v>
      </c>
      <c r="I20" s="467">
        <v>0</v>
      </c>
      <c r="M20" s="547"/>
    </row>
    <row r="21" spans="2:13">
      <c r="B21" s="467">
        <v>36163946502.093269</v>
      </c>
      <c r="C21" s="467" t="s">
        <v>648</v>
      </c>
      <c r="D21" s="467" t="s">
        <v>551</v>
      </c>
      <c r="E21" s="467" t="s">
        <v>494</v>
      </c>
      <c r="F21" s="470">
        <v>46048</v>
      </c>
      <c r="G21" s="469">
        <v>2145</v>
      </c>
      <c r="H21" s="468">
        <v>0</v>
      </c>
      <c r="I21" s="467">
        <v>0</v>
      </c>
      <c r="M21" s="547"/>
    </row>
    <row r="22" spans="2:13">
      <c r="B22" s="467">
        <v>38367234087.319168</v>
      </c>
      <c r="C22" s="467" t="s">
        <v>648</v>
      </c>
      <c r="D22" s="467" t="s">
        <v>551</v>
      </c>
      <c r="E22" s="467" t="s">
        <v>491</v>
      </c>
      <c r="F22" s="470">
        <v>46063</v>
      </c>
      <c r="G22" s="469">
        <v>1095</v>
      </c>
      <c r="H22" s="468">
        <v>0.5</v>
      </c>
      <c r="I22" s="467">
        <v>5475</v>
      </c>
      <c r="M22" s="547"/>
    </row>
    <row r="23" spans="2:13">
      <c r="B23" s="467">
        <v>45677887525.532288</v>
      </c>
      <c r="C23" s="467" t="s">
        <v>648</v>
      </c>
      <c r="D23" s="467" t="s">
        <v>649</v>
      </c>
      <c r="E23" s="467" t="s">
        <v>495</v>
      </c>
      <c r="F23" s="470">
        <v>46063</v>
      </c>
      <c r="G23" s="469">
        <v>1650</v>
      </c>
      <c r="H23" s="468">
        <v>0.9</v>
      </c>
      <c r="I23" s="467">
        <v>14850</v>
      </c>
      <c r="M23" s="547"/>
    </row>
    <row r="24" spans="2:13">
      <c r="B24" s="467">
        <v>7552402841.1391048</v>
      </c>
      <c r="C24" s="467" t="s">
        <v>648</v>
      </c>
      <c r="D24" s="467" t="s">
        <v>551</v>
      </c>
      <c r="E24" s="467" t="s">
        <v>492</v>
      </c>
      <c r="F24" s="470">
        <v>46044</v>
      </c>
      <c r="G24" s="469">
        <v>1060</v>
      </c>
      <c r="H24" s="468">
        <v>0.8</v>
      </c>
      <c r="I24" s="467">
        <v>8480</v>
      </c>
      <c r="M24" s="547"/>
    </row>
    <row r="25" spans="2:13">
      <c r="B25" s="467">
        <v>95112325843.942093</v>
      </c>
      <c r="C25" s="467" t="s">
        <v>648</v>
      </c>
      <c r="D25" s="467" t="s">
        <v>649</v>
      </c>
      <c r="E25" s="467" t="s">
        <v>490</v>
      </c>
      <c r="F25" s="470">
        <v>46007</v>
      </c>
      <c r="G25" s="469">
        <v>625</v>
      </c>
      <c r="H25" s="468">
        <v>0.25</v>
      </c>
      <c r="I25" s="467">
        <v>1562.5</v>
      </c>
      <c r="M25" s="547"/>
    </row>
    <row r="26" spans="2:13">
      <c r="B26" s="467">
        <v>63041140258.743126</v>
      </c>
      <c r="C26" s="467" t="s">
        <v>648</v>
      </c>
      <c r="D26" s="467" t="s">
        <v>650</v>
      </c>
      <c r="E26" s="467" t="s">
        <v>493</v>
      </c>
      <c r="F26" s="470">
        <v>46049</v>
      </c>
      <c r="G26" s="469">
        <v>555</v>
      </c>
      <c r="H26" s="468">
        <v>1</v>
      </c>
      <c r="I26" s="467">
        <v>5550</v>
      </c>
      <c r="M26" s="547"/>
    </row>
    <row r="27" spans="2:13">
      <c r="B27" s="467">
        <v>56305329433.152885</v>
      </c>
      <c r="C27" s="467" t="s">
        <v>648</v>
      </c>
      <c r="D27" s="467" t="s">
        <v>650</v>
      </c>
      <c r="E27" s="467" t="s">
        <v>491</v>
      </c>
      <c r="F27" s="470">
        <v>46044</v>
      </c>
      <c r="G27" s="469">
        <v>1675</v>
      </c>
      <c r="H27" s="468">
        <v>0.5</v>
      </c>
      <c r="I27" s="467">
        <v>8375</v>
      </c>
      <c r="M27" s="547"/>
    </row>
    <row r="28" spans="2:13">
      <c r="B28" s="467">
        <v>47603639292.129318</v>
      </c>
      <c r="C28" s="467" t="s">
        <v>648</v>
      </c>
      <c r="D28" s="467" t="s">
        <v>551</v>
      </c>
      <c r="E28" s="467" t="s">
        <v>491</v>
      </c>
      <c r="F28" s="470">
        <v>46044</v>
      </c>
      <c r="G28" s="469">
        <v>740</v>
      </c>
      <c r="H28" s="468">
        <v>0.5</v>
      </c>
      <c r="I28" s="467">
        <v>3700</v>
      </c>
      <c r="M28" s="547"/>
    </row>
    <row r="29" spans="2:13">
      <c r="B29" s="467">
        <v>90838437652.48764</v>
      </c>
      <c r="C29" s="467" t="s">
        <v>648</v>
      </c>
      <c r="D29" s="467" t="s">
        <v>551</v>
      </c>
      <c r="E29" s="467" t="s">
        <v>491</v>
      </c>
      <c r="F29" s="470">
        <v>45982</v>
      </c>
      <c r="G29" s="469">
        <v>2205</v>
      </c>
      <c r="H29" s="468">
        <v>0.5</v>
      </c>
      <c r="I29" s="467">
        <v>11025</v>
      </c>
      <c r="M29" s="547"/>
    </row>
    <row r="30" spans="2:13">
      <c r="B30" s="467">
        <v>40574707283.531151</v>
      </c>
      <c r="C30" s="467" t="s">
        <v>648</v>
      </c>
      <c r="D30" s="467" t="s">
        <v>650</v>
      </c>
      <c r="E30" s="467" t="s">
        <v>493</v>
      </c>
      <c r="F30" s="470">
        <v>46049</v>
      </c>
      <c r="G30" s="469">
        <v>985</v>
      </c>
      <c r="H30" s="468">
        <v>1</v>
      </c>
      <c r="I30" s="467">
        <v>9850</v>
      </c>
      <c r="M30" s="547"/>
    </row>
    <row r="31" spans="2:13">
      <c r="B31" s="467">
        <v>18671896862.966763</v>
      </c>
      <c r="C31" s="467" t="s">
        <v>648</v>
      </c>
      <c r="D31" s="467" t="s">
        <v>551</v>
      </c>
      <c r="E31" s="467" t="s">
        <v>490</v>
      </c>
      <c r="F31" s="470">
        <v>46078</v>
      </c>
      <c r="G31" s="469">
        <v>455</v>
      </c>
      <c r="H31" s="468">
        <v>0.25</v>
      </c>
      <c r="I31" s="467">
        <v>1137.5</v>
      </c>
      <c r="M31" s="547"/>
    </row>
    <row r="32" spans="2:13">
      <c r="B32" s="467">
        <v>75063002115.640015</v>
      </c>
      <c r="C32" s="467" t="s">
        <v>648</v>
      </c>
      <c r="D32" s="467" t="s">
        <v>650</v>
      </c>
      <c r="E32" s="467" t="s">
        <v>491</v>
      </c>
      <c r="F32" s="470">
        <v>46046</v>
      </c>
      <c r="G32" s="469">
        <v>2395</v>
      </c>
      <c r="H32" s="468">
        <v>0.5</v>
      </c>
      <c r="I32" s="467">
        <v>11975</v>
      </c>
      <c r="M32" s="547"/>
    </row>
    <row r="33" spans="2:13">
      <c r="B33" s="467">
        <v>33624592835.825661</v>
      </c>
      <c r="C33" s="467" t="s">
        <v>648</v>
      </c>
      <c r="D33" s="467" t="s">
        <v>650</v>
      </c>
      <c r="E33" s="467" t="s">
        <v>491</v>
      </c>
      <c r="F33" s="470">
        <v>46042</v>
      </c>
      <c r="G33" s="469">
        <v>1180</v>
      </c>
      <c r="H33" s="468">
        <v>0.5</v>
      </c>
      <c r="I33" s="467">
        <v>5900</v>
      </c>
      <c r="M33" s="547"/>
    </row>
    <row r="34" spans="2:13">
      <c r="B34" s="467">
        <v>74882377506.962784</v>
      </c>
      <c r="C34" s="467" t="s">
        <v>648</v>
      </c>
      <c r="D34" s="467" t="s">
        <v>649</v>
      </c>
      <c r="E34" s="467" t="s">
        <v>490</v>
      </c>
      <c r="F34" s="470">
        <v>45992</v>
      </c>
      <c r="G34" s="469">
        <v>1095</v>
      </c>
      <c r="H34" s="468">
        <v>0.25</v>
      </c>
      <c r="I34" s="467">
        <v>2737.5</v>
      </c>
      <c r="M34" s="547"/>
    </row>
    <row r="35" spans="2:13">
      <c r="B35" s="467">
        <v>85239395268.602875</v>
      </c>
      <c r="C35" s="467" t="s">
        <v>648</v>
      </c>
      <c r="D35" s="467" t="s">
        <v>649</v>
      </c>
      <c r="E35" s="467" t="s">
        <v>493</v>
      </c>
      <c r="F35" s="470">
        <v>46046</v>
      </c>
      <c r="G35" s="469">
        <v>2190</v>
      </c>
      <c r="H35" s="468">
        <v>1</v>
      </c>
      <c r="I35" s="467">
        <v>21900</v>
      </c>
      <c r="M35" s="547"/>
    </row>
    <row r="36" spans="2:13">
      <c r="B36" s="467">
        <v>57723616169.014465</v>
      </c>
      <c r="C36" s="467" t="s">
        <v>648</v>
      </c>
      <c r="D36" s="467" t="s">
        <v>551</v>
      </c>
      <c r="E36" s="467" t="s">
        <v>490</v>
      </c>
      <c r="F36" s="470">
        <v>46107</v>
      </c>
      <c r="G36" s="469">
        <v>1960</v>
      </c>
      <c r="H36" s="468">
        <v>0.25</v>
      </c>
      <c r="I36" s="467">
        <v>4900</v>
      </c>
      <c r="M36" s="547"/>
    </row>
    <row r="37" spans="2:13">
      <c r="B37" s="467">
        <v>20457888689.415871</v>
      </c>
      <c r="C37" s="467" t="s">
        <v>648</v>
      </c>
      <c r="D37" s="467" t="s">
        <v>551</v>
      </c>
      <c r="E37" s="467" t="s">
        <v>491</v>
      </c>
      <c r="F37" s="470">
        <v>46106</v>
      </c>
      <c r="G37" s="469">
        <v>1510</v>
      </c>
      <c r="H37" s="468">
        <v>0.5</v>
      </c>
      <c r="I37" s="467">
        <v>7550</v>
      </c>
      <c r="M37" s="547"/>
    </row>
    <row r="38" spans="2:13">
      <c r="B38" s="467">
        <v>22855314065.492085</v>
      </c>
      <c r="C38" s="467" t="s">
        <v>648</v>
      </c>
      <c r="D38" s="467" t="s">
        <v>649</v>
      </c>
      <c r="E38" s="467" t="s">
        <v>491</v>
      </c>
      <c r="F38" s="470">
        <v>46077</v>
      </c>
      <c r="G38" s="469">
        <v>680</v>
      </c>
      <c r="H38" s="468">
        <v>0.5</v>
      </c>
      <c r="I38" s="467">
        <v>3400</v>
      </c>
      <c r="M38" s="547"/>
    </row>
    <row r="39" spans="2:13">
      <c r="B39" s="467">
        <v>27564916550.178631</v>
      </c>
      <c r="C39" s="467" t="s">
        <v>648</v>
      </c>
      <c r="D39" s="467" t="s">
        <v>649</v>
      </c>
      <c r="E39" s="467" t="s">
        <v>491</v>
      </c>
      <c r="F39" s="470">
        <v>46063</v>
      </c>
      <c r="G39" s="469">
        <v>765</v>
      </c>
      <c r="H39" s="468">
        <v>0.5</v>
      </c>
      <c r="I39" s="467">
        <v>3825</v>
      </c>
      <c r="M39" s="547"/>
    </row>
    <row r="40" spans="2:13">
      <c r="B40" s="467">
        <v>50979648340.510719</v>
      </c>
      <c r="C40" s="467" t="s">
        <v>648</v>
      </c>
      <c r="D40" s="467" t="s">
        <v>650</v>
      </c>
      <c r="E40" s="467" t="s">
        <v>491</v>
      </c>
      <c r="F40" s="470">
        <v>46107</v>
      </c>
      <c r="G40" s="469">
        <v>140</v>
      </c>
      <c r="H40" s="468">
        <v>0.5</v>
      </c>
      <c r="I40" s="467">
        <v>700</v>
      </c>
      <c r="M40" s="547"/>
    </row>
    <row r="41" spans="2:13">
      <c r="B41" s="467">
        <v>60013930785.382027</v>
      </c>
      <c r="C41" s="467" t="s">
        <v>648</v>
      </c>
      <c r="D41" s="467" t="s">
        <v>650</v>
      </c>
      <c r="E41" s="467" t="s">
        <v>490</v>
      </c>
      <c r="F41" s="470">
        <v>46077</v>
      </c>
      <c r="G41" s="469">
        <v>610</v>
      </c>
      <c r="H41" s="468">
        <v>0.25</v>
      </c>
      <c r="I41" s="467">
        <v>1525</v>
      </c>
      <c r="M41" s="547"/>
    </row>
    <row r="42" spans="2:13">
      <c r="B42" s="467">
        <v>30703511958.382202</v>
      </c>
      <c r="C42" s="467" t="s">
        <v>648</v>
      </c>
      <c r="D42" s="467" t="s">
        <v>649</v>
      </c>
      <c r="E42" s="467" t="s">
        <v>495</v>
      </c>
      <c r="F42" s="470">
        <v>45956</v>
      </c>
      <c r="G42" s="469">
        <v>1945</v>
      </c>
      <c r="H42" s="468">
        <v>0.9</v>
      </c>
      <c r="I42" s="467">
        <v>17505</v>
      </c>
      <c r="M42" s="547"/>
    </row>
    <row r="43" spans="2:13">
      <c r="B43" s="467">
        <v>12582434598.781023</v>
      </c>
      <c r="C43" s="467" t="s">
        <v>648</v>
      </c>
      <c r="D43" s="467" t="s">
        <v>551</v>
      </c>
      <c r="E43" s="467" t="s">
        <v>494</v>
      </c>
      <c r="F43" s="470">
        <v>46077</v>
      </c>
      <c r="G43" s="469">
        <v>125</v>
      </c>
      <c r="H43" s="468">
        <v>0</v>
      </c>
      <c r="I43" s="467">
        <v>0</v>
      </c>
      <c r="M43" s="547"/>
    </row>
    <row r="44" spans="2:13">
      <c r="B44" s="467">
        <v>72140743311.631363</v>
      </c>
      <c r="C44" s="467" t="s">
        <v>648</v>
      </c>
      <c r="D44" s="467" t="s">
        <v>551</v>
      </c>
      <c r="E44" s="467" t="s">
        <v>490</v>
      </c>
      <c r="F44" s="470">
        <v>46044</v>
      </c>
      <c r="G44" s="469">
        <v>445</v>
      </c>
      <c r="H44" s="468">
        <v>0.25</v>
      </c>
      <c r="I44" s="467">
        <v>1112.5</v>
      </c>
      <c r="M44" s="547"/>
    </row>
    <row r="45" spans="2:13">
      <c r="B45" s="467">
        <v>30423042090.048023</v>
      </c>
      <c r="C45" s="467" t="s">
        <v>648</v>
      </c>
      <c r="D45" s="467" t="s">
        <v>649</v>
      </c>
      <c r="E45" s="467" t="s">
        <v>490</v>
      </c>
      <c r="F45" s="470">
        <v>46076</v>
      </c>
      <c r="G45" s="469">
        <v>615</v>
      </c>
      <c r="H45" s="468">
        <v>0.25</v>
      </c>
      <c r="I45" s="467">
        <v>1537.5</v>
      </c>
      <c r="M45" s="547"/>
    </row>
    <row r="46" spans="2:13">
      <c r="B46" s="467">
        <v>11938908495.873358</v>
      </c>
      <c r="C46" s="467" t="s">
        <v>648</v>
      </c>
      <c r="D46" s="467" t="s">
        <v>551</v>
      </c>
      <c r="E46" s="467" t="s">
        <v>491</v>
      </c>
      <c r="F46" s="470">
        <v>45963</v>
      </c>
      <c r="G46" s="469">
        <v>310</v>
      </c>
      <c r="H46" s="468">
        <v>0.5</v>
      </c>
      <c r="I46" s="467">
        <v>1550</v>
      </c>
      <c r="M46" s="547"/>
    </row>
    <row r="47" spans="2:13">
      <c r="B47" s="467">
        <v>65973665516.715378</v>
      </c>
      <c r="C47" s="467" t="s">
        <v>648</v>
      </c>
      <c r="D47" s="467" t="s">
        <v>551</v>
      </c>
      <c r="E47" s="467" t="s">
        <v>494</v>
      </c>
      <c r="F47" s="470">
        <v>46092</v>
      </c>
      <c r="G47" s="469">
        <v>855</v>
      </c>
      <c r="H47" s="468">
        <v>0</v>
      </c>
      <c r="I47" s="467">
        <v>0</v>
      </c>
      <c r="M47" s="547"/>
    </row>
    <row r="48" spans="2:13">
      <c r="B48" s="467">
        <v>90463972842.925919</v>
      </c>
      <c r="C48" s="467" t="s">
        <v>648</v>
      </c>
      <c r="D48" s="467" t="s">
        <v>650</v>
      </c>
      <c r="E48" s="467" t="s">
        <v>491</v>
      </c>
      <c r="F48" s="470">
        <v>46008</v>
      </c>
      <c r="G48" s="469">
        <v>280</v>
      </c>
      <c r="H48" s="468">
        <v>0.5</v>
      </c>
      <c r="I48" s="467">
        <v>1400</v>
      </c>
      <c r="M48" s="547"/>
    </row>
    <row r="49" spans="2:13">
      <c r="B49" s="467">
        <v>38806200860.282059</v>
      </c>
      <c r="C49" s="467" t="s">
        <v>648</v>
      </c>
      <c r="D49" s="467" t="s">
        <v>551</v>
      </c>
      <c r="E49" s="467" t="s">
        <v>494</v>
      </c>
      <c r="F49" s="470">
        <v>46027</v>
      </c>
      <c r="G49" s="469">
        <v>800</v>
      </c>
      <c r="H49" s="468">
        <v>0</v>
      </c>
      <c r="I49" s="467">
        <v>0</v>
      </c>
      <c r="M49" s="547"/>
    </row>
    <row r="50" spans="2:13">
      <c r="B50" s="467">
        <v>75149994556.461273</v>
      </c>
      <c r="C50" s="467" t="s">
        <v>648</v>
      </c>
      <c r="D50" s="467" t="s">
        <v>551</v>
      </c>
      <c r="E50" s="467" t="s">
        <v>494</v>
      </c>
      <c r="F50" s="470">
        <v>46090</v>
      </c>
      <c r="G50" s="469">
        <v>1035</v>
      </c>
      <c r="H50" s="468">
        <v>0</v>
      </c>
      <c r="I50" s="467">
        <v>0</v>
      </c>
      <c r="M50" s="547"/>
    </row>
    <row r="51" spans="2:13">
      <c r="B51" s="467">
        <v>48905514655.192741</v>
      </c>
      <c r="C51" s="467" t="s">
        <v>648</v>
      </c>
      <c r="D51" s="467" t="s">
        <v>649</v>
      </c>
      <c r="E51" s="467" t="s">
        <v>490</v>
      </c>
      <c r="F51" s="470">
        <v>46077</v>
      </c>
      <c r="G51" s="469">
        <v>690</v>
      </c>
      <c r="H51" s="468">
        <v>0.25</v>
      </c>
      <c r="I51" s="467">
        <v>1725</v>
      </c>
      <c r="M51" s="547"/>
    </row>
    <row r="52" spans="2:13">
      <c r="B52" s="467">
        <v>10170327414.555836</v>
      </c>
      <c r="C52" s="467" t="s">
        <v>648</v>
      </c>
      <c r="D52" s="467" t="s">
        <v>551</v>
      </c>
      <c r="E52" s="467" t="s">
        <v>495</v>
      </c>
      <c r="F52" s="470">
        <v>46076</v>
      </c>
      <c r="G52" s="469">
        <v>615</v>
      </c>
      <c r="H52" s="468">
        <v>0.9</v>
      </c>
      <c r="I52" s="467">
        <v>5535</v>
      </c>
      <c r="M52" s="547"/>
    </row>
    <row r="53" spans="2:13">
      <c r="B53" s="467">
        <v>18473846480.663803</v>
      </c>
      <c r="C53" s="467" t="s">
        <v>648</v>
      </c>
      <c r="D53" s="467" t="s">
        <v>650</v>
      </c>
      <c r="E53" s="467" t="s">
        <v>490</v>
      </c>
      <c r="F53" s="470">
        <v>45991</v>
      </c>
      <c r="G53" s="469">
        <v>1090</v>
      </c>
      <c r="H53" s="468">
        <v>0.25</v>
      </c>
      <c r="I53" s="467">
        <v>2725</v>
      </c>
      <c r="M53" s="547"/>
    </row>
    <row r="54" spans="2:13">
      <c r="B54" s="467">
        <v>97466899401.584702</v>
      </c>
      <c r="C54" s="467" t="s">
        <v>648</v>
      </c>
      <c r="D54" s="467" t="s">
        <v>551</v>
      </c>
      <c r="E54" s="467" t="s">
        <v>491</v>
      </c>
      <c r="F54" s="470">
        <v>45914</v>
      </c>
      <c r="G54" s="469">
        <v>870</v>
      </c>
      <c r="H54" s="468">
        <v>0.5</v>
      </c>
      <c r="I54" s="467">
        <v>4350</v>
      </c>
      <c r="M54" s="547"/>
    </row>
    <row r="55" spans="2:13">
      <c r="B55" s="467">
        <v>75365903234.893173</v>
      </c>
      <c r="C55" s="467" t="s">
        <v>648</v>
      </c>
      <c r="D55" s="467" t="s">
        <v>649</v>
      </c>
      <c r="E55" s="467" t="s">
        <v>494</v>
      </c>
      <c r="F55" s="470">
        <v>46138</v>
      </c>
      <c r="G55" s="469">
        <v>295</v>
      </c>
      <c r="H55" s="468">
        <v>0</v>
      </c>
      <c r="I55" s="467">
        <v>0</v>
      </c>
      <c r="M55" s="547"/>
    </row>
    <row r="56" spans="2:13">
      <c r="B56" s="467">
        <v>91482058031.658279</v>
      </c>
      <c r="C56" s="467" t="s">
        <v>648</v>
      </c>
      <c r="D56" s="467" t="s">
        <v>650</v>
      </c>
      <c r="E56" s="467" t="s">
        <v>491</v>
      </c>
      <c r="F56" s="470">
        <v>46044</v>
      </c>
      <c r="G56" s="469">
        <v>1000</v>
      </c>
      <c r="H56" s="468">
        <v>0.5</v>
      </c>
      <c r="I56" s="467">
        <v>5000</v>
      </c>
      <c r="M56" s="547"/>
    </row>
    <row r="57" spans="2:13">
      <c r="B57" s="467">
        <v>95895144688.782257</v>
      </c>
      <c r="C57" s="467" t="s">
        <v>648</v>
      </c>
      <c r="D57" s="467" t="s">
        <v>551</v>
      </c>
      <c r="E57" s="467" t="s">
        <v>490</v>
      </c>
      <c r="F57" s="470">
        <v>46072</v>
      </c>
      <c r="G57" s="469">
        <v>860</v>
      </c>
      <c r="H57" s="468">
        <v>0.25</v>
      </c>
      <c r="I57" s="467">
        <v>2150</v>
      </c>
      <c r="M57" s="547"/>
    </row>
    <row r="58" spans="2:13">
      <c r="B58" s="467">
        <v>13709175057.135559</v>
      </c>
      <c r="C58" s="467" t="s">
        <v>648</v>
      </c>
      <c r="D58" s="467" t="s">
        <v>649</v>
      </c>
      <c r="E58" s="467" t="s">
        <v>491</v>
      </c>
      <c r="F58" s="470">
        <v>45880</v>
      </c>
      <c r="G58" s="469">
        <v>1250</v>
      </c>
      <c r="H58" s="468">
        <v>0.5</v>
      </c>
      <c r="I58" s="467">
        <v>6250</v>
      </c>
      <c r="M58" s="547"/>
    </row>
    <row r="59" spans="2:13">
      <c r="B59" s="467">
        <v>53658145547.077637</v>
      </c>
      <c r="C59" s="467" t="s">
        <v>648</v>
      </c>
      <c r="D59" s="467" t="s">
        <v>649</v>
      </c>
      <c r="E59" s="467" t="s">
        <v>493</v>
      </c>
      <c r="F59" s="470">
        <v>45992</v>
      </c>
      <c r="G59" s="469">
        <v>1660</v>
      </c>
      <c r="H59" s="468">
        <v>1</v>
      </c>
      <c r="I59" s="467">
        <v>16600</v>
      </c>
      <c r="M59" s="547"/>
    </row>
    <row r="60" spans="2:13">
      <c r="B60" s="467">
        <v>95730098061.613449</v>
      </c>
      <c r="C60" s="467" t="s">
        <v>648</v>
      </c>
      <c r="D60" s="467" t="s">
        <v>649</v>
      </c>
      <c r="E60" s="467" t="s">
        <v>494</v>
      </c>
      <c r="F60" s="470">
        <v>45896</v>
      </c>
      <c r="G60" s="469">
        <v>955</v>
      </c>
      <c r="H60" s="468">
        <v>0</v>
      </c>
      <c r="I60" s="467">
        <v>0</v>
      </c>
      <c r="M60" s="547"/>
    </row>
    <row r="61" spans="2:13">
      <c r="B61" s="467">
        <v>26296651492.352539</v>
      </c>
      <c r="C61" s="467" t="s">
        <v>648</v>
      </c>
      <c r="D61" s="467" t="s">
        <v>551</v>
      </c>
      <c r="E61" s="467" t="s">
        <v>492</v>
      </c>
      <c r="F61" s="470">
        <v>46065</v>
      </c>
      <c r="G61" s="469">
        <v>1170</v>
      </c>
      <c r="H61" s="468">
        <v>0.8</v>
      </c>
      <c r="I61" s="467">
        <v>9360</v>
      </c>
      <c r="M61" s="547"/>
    </row>
    <row r="62" spans="2:13">
      <c r="B62" s="467">
        <v>96775297345.805893</v>
      </c>
      <c r="C62" s="467" t="s">
        <v>648</v>
      </c>
      <c r="D62" s="467" t="s">
        <v>649</v>
      </c>
      <c r="E62" s="467" t="s">
        <v>490</v>
      </c>
      <c r="F62" s="470">
        <v>45896</v>
      </c>
      <c r="G62" s="469">
        <v>2490</v>
      </c>
      <c r="H62" s="468">
        <v>0.25</v>
      </c>
      <c r="I62" s="467">
        <v>6225</v>
      </c>
      <c r="M62" s="547"/>
    </row>
    <row r="63" spans="2:13">
      <c r="B63" s="467">
        <v>72231622286.204086</v>
      </c>
      <c r="C63" s="467" t="s">
        <v>648</v>
      </c>
      <c r="D63" s="467" t="s">
        <v>650</v>
      </c>
      <c r="E63" s="467" t="s">
        <v>492</v>
      </c>
      <c r="F63" s="470">
        <v>45896</v>
      </c>
      <c r="G63" s="469">
        <v>1560</v>
      </c>
      <c r="H63" s="468">
        <v>0.8</v>
      </c>
      <c r="I63" s="467">
        <v>12480</v>
      </c>
      <c r="M63" s="547"/>
    </row>
    <row r="64" spans="2:13">
      <c r="B64" s="467">
        <v>10655505655.11788</v>
      </c>
      <c r="C64" s="467" t="s">
        <v>648</v>
      </c>
      <c r="D64" s="467" t="s">
        <v>551</v>
      </c>
      <c r="E64" s="467" t="s">
        <v>492</v>
      </c>
      <c r="F64" s="470">
        <v>46076</v>
      </c>
      <c r="G64" s="469">
        <v>910</v>
      </c>
      <c r="H64" s="468">
        <v>0.8</v>
      </c>
      <c r="I64" s="467">
        <v>7280</v>
      </c>
      <c r="M64" s="547"/>
    </row>
    <row r="65" spans="2:13">
      <c r="B65" s="467">
        <v>70003229257.627548</v>
      </c>
      <c r="C65" s="467" t="s">
        <v>648</v>
      </c>
      <c r="D65" s="467" t="s">
        <v>551</v>
      </c>
      <c r="E65" s="467" t="s">
        <v>491</v>
      </c>
      <c r="F65" s="470">
        <v>46107</v>
      </c>
      <c r="G65" s="469">
        <v>1670</v>
      </c>
      <c r="H65" s="468">
        <v>0.5</v>
      </c>
      <c r="I65" s="467">
        <v>8350</v>
      </c>
      <c r="M65" s="547"/>
    </row>
    <row r="66" spans="2:13">
      <c r="B66" s="467">
        <v>84891313739.791534</v>
      </c>
      <c r="C66" s="467" t="s">
        <v>648</v>
      </c>
      <c r="D66" s="467" t="s">
        <v>650</v>
      </c>
      <c r="E66" s="467" t="s">
        <v>490</v>
      </c>
      <c r="F66" s="470">
        <v>45888</v>
      </c>
      <c r="G66" s="469">
        <v>1365</v>
      </c>
      <c r="H66" s="468">
        <v>0.25</v>
      </c>
      <c r="I66" s="467">
        <v>3412.5</v>
      </c>
      <c r="M66" s="547"/>
    </row>
    <row r="67" spans="2:13">
      <c r="B67" s="467">
        <v>67281037569.320076</v>
      </c>
      <c r="C67" s="467" t="s">
        <v>648</v>
      </c>
      <c r="D67" s="467" t="s">
        <v>551</v>
      </c>
      <c r="E67" s="467" t="s">
        <v>493</v>
      </c>
      <c r="F67" s="470">
        <v>46107</v>
      </c>
      <c r="G67" s="469">
        <v>2195</v>
      </c>
      <c r="H67" s="468">
        <v>1</v>
      </c>
      <c r="I67" s="467">
        <v>21950</v>
      </c>
      <c r="M67" s="547"/>
    </row>
    <row r="68" spans="2:13">
      <c r="B68" s="467">
        <v>2679058325.7603416</v>
      </c>
      <c r="C68" s="467" t="s">
        <v>648</v>
      </c>
      <c r="D68" s="467" t="s">
        <v>649</v>
      </c>
      <c r="E68" s="467" t="s">
        <v>490</v>
      </c>
      <c r="F68" s="470">
        <v>45985</v>
      </c>
      <c r="G68" s="469">
        <v>640</v>
      </c>
      <c r="H68" s="468">
        <v>0.25</v>
      </c>
      <c r="I68" s="467">
        <v>1600</v>
      </c>
      <c r="M68" s="547"/>
    </row>
    <row r="69" spans="2:13">
      <c r="B69" s="467">
        <v>19068181939.887653</v>
      </c>
      <c r="C69" s="467" t="s">
        <v>648</v>
      </c>
      <c r="D69" s="467" t="s">
        <v>551</v>
      </c>
      <c r="E69" s="467" t="s">
        <v>491</v>
      </c>
      <c r="F69" s="470">
        <v>45959</v>
      </c>
      <c r="G69" s="469">
        <v>150</v>
      </c>
      <c r="H69" s="468">
        <v>0.5</v>
      </c>
      <c r="I69" s="467">
        <v>750</v>
      </c>
      <c r="M69" s="547"/>
    </row>
    <row r="70" spans="2:13">
      <c r="B70" s="467">
        <v>40117348902.802826</v>
      </c>
      <c r="C70" s="467" t="s">
        <v>648</v>
      </c>
      <c r="D70" s="467" t="s">
        <v>551</v>
      </c>
      <c r="E70" s="467" t="s">
        <v>494</v>
      </c>
      <c r="F70" s="470">
        <v>46107</v>
      </c>
      <c r="G70" s="469">
        <v>1145</v>
      </c>
      <c r="H70" s="468">
        <v>0</v>
      </c>
      <c r="I70" s="467">
        <v>0</v>
      </c>
      <c r="M70" s="547"/>
    </row>
    <row r="71" spans="2:13">
      <c r="B71" s="467">
        <v>36249036443.227081</v>
      </c>
      <c r="C71" s="467" t="s">
        <v>648</v>
      </c>
      <c r="D71" s="467" t="s">
        <v>551</v>
      </c>
      <c r="E71" s="467" t="s">
        <v>491</v>
      </c>
      <c r="F71" s="470">
        <v>45775</v>
      </c>
      <c r="G71" s="469">
        <v>340</v>
      </c>
      <c r="H71" s="468">
        <v>0.5</v>
      </c>
      <c r="I71" s="467">
        <v>1700</v>
      </c>
      <c r="M71" s="547"/>
    </row>
    <row r="72" spans="2:13">
      <c r="B72" s="467">
        <v>55755898234.617142</v>
      </c>
      <c r="C72" s="467" t="s">
        <v>648</v>
      </c>
      <c r="D72" s="467" t="s">
        <v>650</v>
      </c>
      <c r="E72" s="467" t="s">
        <v>494</v>
      </c>
      <c r="F72" s="470">
        <v>45834</v>
      </c>
      <c r="G72" s="469">
        <v>530</v>
      </c>
      <c r="H72" s="468">
        <v>0</v>
      </c>
      <c r="I72" s="467">
        <v>0</v>
      </c>
      <c r="M72" s="547"/>
    </row>
    <row r="73" spans="2:13">
      <c r="B73" s="467">
        <v>34368534354.063553</v>
      </c>
      <c r="C73" s="467" t="s">
        <v>648</v>
      </c>
      <c r="D73" s="467" t="s">
        <v>551</v>
      </c>
      <c r="E73" s="467" t="s">
        <v>494</v>
      </c>
      <c r="F73" s="470">
        <v>45952</v>
      </c>
      <c r="G73" s="469">
        <v>1090</v>
      </c>
      <c r="H73" s="468">
        <v>0</v>
      </c>
      <c r="I73" s="467">
        <v>0</v>
      </c>
      <c r="M73" s="547"/>
    </row>
    <row r="74" spans="2:13">
      <c r="B74" s="467">
        <v>44387737464.946785</v>
      </c>
      <c r="C74" s="467" t="s">
        <v>648</v>
      </c>
      <c r="D74" s="467" t="s">
        <v>650</v>
      </c>
      <c r="E74" s="467" t="s">
        <v>494</v>
      </c>
      <c r="F74" s="470">
        <v>45952</v>
      </c>
      <c r="G74" s="469">
        <v>1050</v>
      </c>
      <c r="H74" s="468">
        <v>0</v>
      </c>
      <c r="I74" s="467">
        <v>0</v>
      </c>
      <c r="M74" s="547"/>
    </row>
    <row r="75" spans="2:13">
      <c r="B75" s="467">
        <v>34760878915.353851</v>
      </c>
      <c r="C75" s="467" t="s">
        <v>648</v>
      </c>
      <c r="D75" s="467" t="s">
        <v>551</v>
      </c>
      <c r="E75" s="467" t="s">
        <v>494</v>
      </c>
      <c r="F75" s="470">
        <v>45931</v>
      </c>
      <c r="G75" s="469">
        <v>2475</v>
      </c>
      <c r="H75" s="468">
        <v>0</v>
      </c>
      <c r="I75" s="467">
        <v>0</v>
      </c>
      <c r="M75" s="547"/>
    </row>
    <row r="76" spans="2:13">
      <c r="B76" s="467">
        <v>95914016564.103622</v>
      </c>
      <c r="C76" s="467" t="s">
        <v>648</v>
      </c>
      <c r="D76" s="467" t="s">
        <v>649</v>
      </c>
      <c r="E76" s="467" t="s">
        <v>494</v>
      </c>
      <c r="F76" s="470">
        <v>45806</v>
      </c>
      <c r="G76" s="469">
        <v>825</v>
      </c>
      <c r="H76" s="468">
        <v>0</v>
      </c>
      <c r="I76" s="467">
        <v>0</v>
      </c>
      <c r="M76" s="547"/>
    </row>
    <row r="77" spans="2:13">
      <c r="B77" s="467">
        <v>58699787966.190544</v>
      </c>
      <c r="C77" s="467" t="s">
        <v>648</v>
      </c>
      <c r="D77" s="467" t="s">
        <v>551</v>
      </c>
      <c r="E77" s="467" t="s">
        <v>494</v>
      </c>
      <c r="F77" s="470">
        <v>45841</v>
      </c>
      <c r="G77" s="469">
        <v>2275</v>
      </c>
      <c r="H77" s="468">
        <v>0</v>
      </c>
      <c r="I77" s="467">
        <v>0</v>
      </c>
      <c r="M77" s="547"/>
    </row>
    <row r="78" spans="2:13">
      <c r="B78" s="467">
        <v>56641552398.321472</v>
      </c>
      <c r="C78" s="467" t="s">
        <v>648</v>
      </c>
      <c r="D78" s="467" t="s">
        <v>649</v>
      </c>
      <c r="E78" s="467" t="s">
        <v>494</v>
      </c>
      <c r="F78" s="470">
        <v>45880</v>
      </c>
      <c r="G78" s="469">
        <v>640</v>
      </c>
      <c r="H78" s="468">
        <v>0</v>
      </c>
      <c r="I78" s="467">
        <v>0</v>
      </c>
      <c r="M78" s="547"/>
    </row>
    <row r="79" spans="2:13">
      <c r="B79" s="467">
        <v>98343123615.594727</v>
      </c>
      <c r="C79" s="467" t="s">
        <v>648</v>
      </c>
      <c r="D79" s="467" t="s">
        <v>649</v>
      </c>
      <c r="E79" s="467" t="s">
        <v>493</v>
      </c>
      <c r="F79" s="470">
        <v>46107</v>
      </c>
      <c r="G79" s="469">
        <v>1770</v>
      </c>
      <c r="H79" s="468">
        <v>1</v>
      </c>
      <c r="I79" s="467">
        <v>17700</v>
      </c>
      <c r="M79" s="547"/>
    </row>
    <row r="80" spans="2:13">
      <c r="B80" s="467">
        <v>56114680945.504379</v>
      </c>
      <c r="C80" s="467" t="s">
        <v>648</v>
      </c>
      <c r="D80" s="467" t="s">
        <v>551</v>
      </c>
      <c r="E80" s="467" t="s">
        <v>490</v>
      </c>
      <c r="F80" s="470">
        <v>45748</v>
      </c>
      <c r="G80" s="469">
        <v>140</v>
      </c>
      <c r="H80" s="468">
        <v>0.25</v>
      </c>
      <c r="I80" s="467">
        <v>350</v>
      </c>
      <c r="M80" s="547"/>
    </row>
    <row r="81" spans="2:13">
      <c r="B81" s="467">
        <v>55373402730.009491</v>
      </c>
      <c r="C81" s="467" t="s">
        <v>648</v>
      </c>
      <c r="D81" s="467" t="s">
        <v>551</v>
      </c>
      <c r="E81" s="467" t="s">
        <v>493</v>
      </c>
      <c r="F81" s="470">
        <v>45833</v>
      </c>
      <c r="G81" s="469">
        <v>395</v>
      </c>
      <c r="H81" s="468">
        <v>1</v>
      </c>
      <c r="I81" s="467">
        <v>3950</v>
      </c>
      <c r="M81" s="547"/>
    </row>
    <row r="82" spans="2:13">
      <c r="B82" s="467">
        <v>59470250161.328766</v>
      </c>
      <c r="C82" s="467" t="s">
        <v>648</v>
      </c>
      <c r="D82" s="467" t="s">
        <v>649</v>
      </c>
      <c r="E82" s="467" t="s">
        <v>492</v>
      </c>
      <c r="F82" s="470">
        <v>45813</v>
      </c>
      <c r="G82" s="469">
        <v>1055</v>
      </c>
      <c r="H82" s="468">
        <v>0.8</v>
      </c>
      <c r="I82" s="467">
        <v>8440</v>
      </c>
      <c r="M82" s="547"/>
    </row>
    <row r="83" spans="2:13">
      <c r="B83" s="467">
        <v>8265684261.8226147</v>
      </c>
      <c r="C83" s="467" t="s">
        <v>648</v>
      </c>
      <c r="D83" s="467" t="s">
        <v>650</v>
      </c>
      <c r="E83" s="467" t="s">
        <v>494</v>
      </c>
      <c r="F83" s="470">
        <v>45879</v>
      </c>
      <c r="G83" s="469">
        <v>1820</v>
      </c>
      <c r="H83" s="468">
        <v>0</v>
      </c>
      <c r="I83" s="467">
        <v>0</v>
      </c>
      <c r="M83" s="547"/>
    </row>
    <row r="84" spans="2:13">
      <c r="B84" s="467">
        <v>60977069453.661278</v>
      </c>
      <c r="C84" s="467" t="s">
        <v>648</v>
      </c>
      <c r="D84" s="467" t="s">
        <v>551</v>
      </c>
      <c r="E84" s="467" t="s">
        <v>494</v>
      </c>
      <c r="F84" s="470">
        <v>45988</v>
      </c>
      <c r="G84" s="469">
        <v>2070</v>
      </c>
      <c r="H84" s="468">
        <v>0</v>
      </c>
      <c r="I84" s="467">
        <v>0</v>
      </c>
      <c r="M84" s="547"/>
    </row>
    <row r="85" spans="2:13">
      <c r="B85" s="467">
        <v>85186186380.947159</v>
      </c>
      <c r="C85" s="467" t="s">
        <v>648</v>
      </c>
      <c r="D85" s="467" t="s">
        <v>551</v>
      </c>
      <c r="E85" s="467" t="s">
        <v>494</v>
      </c>
      <c r="F85" s="470">
        <v>45810</v>
      </c>
      <c r="G85" s="469">
        <v>1180</v>
      </c>
      <c r="H85" s="468">
        <v>0</v>
      </c>
      <c r="I85" s="467">
        <v>0</v>
      </c>
      <c r="M85" s="547"/>
    </row>
    <row r="86" spans="2:13">
      <c r="B86" s="467">
        <v>37376253255.286118</v>
      </c>
      <c r="C86" s="467" t="s">
        <v>648</v>
      </c>
      <c r="D86" s="467" t="s">
        <v>650</v>
      </c>
      <c r="E86" s="467" t="s">
        <v>492</v>
      </c>
      <c r="F86" s="470">
        <v>45810</v>
      </c>
      <c r="G86" s="469">
        <v>705</v>
      </c>
      <c r="H86" s="468">
        <v>0.8</v>
      </c>
      <c r="I86" s="467">
        <v>5640</v>
      </c>
      <c r="M86" s="547"/>
    </row>
    <row r="87" spans="2:13">
      <c r="B87" s="467">
        <v>24272760362.980495</v>
      </c>
      <c r="C87" s="467" t="s">
        <v>648</v>
      </c>
      <c r="D87" s="467" t="s">
        <v>551</v>
      </c>
      <c r="E87" s="467" t="s">
        <v>492</v>
      </c>
      <c r="F87" s="470">
        <v>45810</v>
      </c>
      <c r="G87" s="469">
        <v>930</v>
      </c>
      <c r="H87" s="468">
        <v>0.8</v>
      </c>
      <c r="I87" s="467">
        <v>7440</v>
      </c>
      <c r="M87" s="547"/>
    </row>
    <row r="88" spans="2:13">
      <c r="B88" s="467">
        <v>96656148649.519012</v>
      </c>
      <c r="C88" s="467" t="s">
        <v>648</v>
      </c>
      <c r="D88" s="467" t="s">
        <v>551</v>
      </c>
      <c r="E88" s="467" t="s">
        <v>492</v>
      </c>
      <c r="F88" s="470">
        <v>45887</v>
      </c>
      <c r="G88" s="469">
        <v>2460</v>
      </c>
      <c r="H88" s="468">
        <v>0.8</v>
      </c>
      <c r="I88" s="467">
        <v>19680</v>
      </c>
      <c r="M88" s="547"/>
    </row>
    <row r="89" spans="2:13">
      <c r="B89" s="467">
        <v>37130131557.047951</v>
      </c>
      <c r="C89" s="467" t="s">
        <v>648</v>
      </c>
      <c r="D89" s="467" t="s">
        <v>551</v>
      </c>
      <c r="E89" s="467" t="s">
        <v>492</v>
      </c>
      <c r="F89" s="470">
        <v>45923</v>
      </c>
      <c r="G89" s="469">
        <v>180</v>
      </c>
      <c r="H89" s="468">
        <v>0.8</v>
      </c>
      <c r="I89" s="467">
        <v>1440</v>
      </c>
      <c r="M89" s="547"/>
    </row>
    <row r="90" spans="2:13">
      <c r="B90" s="467">
        <v>61814251187.652855</v>
      </c>
      <c r="C90" s="467" t="s">
        <v>648</v>
      </c>
      <c r="D90" s="467" t="s">
        <v>551</v>
      </c>
      <c r="E90" s="467" t="s">
        <v>492</v>
      </c>
      <c r="F90" s="470">
        <v>45748</v>
      </c>
      <c r="G90" s="469">
        <v>1085</v>
      </c>
      <c r="H90" s="468">
        <v>0.8</v>
      </c>
      <c r="I90" s="467">
        <v>8680</v>
      </c>
      <c r="M90" s="547"/>
    </row>
    <row r="91" spans="2:13">
      <c r="B91" s="467">
        <v>92613991556.785217</v>
      </c>
      <c r="C91" s="467" t="s">
        <v>648</v>
      </c>
      <c r="D91" s="467" t="s">
        <v>551</v>
      </c>
      <c r="E91" s="467" t="s">
        <v>490</v>
      </c>
      <c r="F91" s="470">
        <v>45760</v>
      </c>
      <c r="G91" s="469">
        <v>425</v>
      </c>
      <c r="H91" s="468">
        <v>0.25</v>
      </c>
      <c r="I91" s="467">
        <v>1062.5</v>
      </c>
      <c r="M91" s="547"/>
    </row>
    <row r="92" spans="2:13">
      <c r="B92" s="467">
        <v>36429574889.304153</v>
      </c>
      <c r="C92" s="467" t="s">
        <v>648</v>
      </c>
      <c r="D92" s="467" t="s">
        <v>650</v>
      </c>
      <c r="E92" s="467" t="s">
        <v>490</v>
      </c>
      <c r="F92" s="470">
        <v>45726</v>
      </c>
      <c r="G92" s="469">
        <v>1670</v>
      </c>
      <c r="H92" s="468">
        <v>0.25</v>
      </c>
      <c r="I92" s="467">
        <v>4175</v>
      </c>
      <c r="M92" s="547"/>
    </row>
    <row r="93" spans="2:13">
      <c r="B93" s="467">
        <v>56456265948.970253</v>
      </c>
      <c r="C93" s="467" t="s">
        <v>648</v>
      </c>
      <c r="D93" s="467" t="s">
        <v>551</v>
      </c>
      <c r="E93" s="467" t="s">
        <v>494</v>
      </c>
      <c r="F93" s="470">
        <v>45931</v>
      </c>
      <c r="G93" s="469">
        <v>410</v>
      </c>
      <c r="H93" s="468">
        <v>0</v>
      </c>
      <c r="I93" s="467">
        <v>0</v>
      </c>
      <c r="M93" s="547"/>
    </row>
    <row r="94" spans="2:13">
      <c r="B94" s="467">
        <v>81365160074.762436</v>
      </c>
      <c r="C94" s="467" t="s">
        <v>648</v>
      </c>
      <c r="D94" s="467" t="s">
        <v>551</v>
      </c>
      <c r="E94" s="467" t="s">
        <v>494</v>
      </c>
      <c r="F94" s="470">
        <v>45733</v>
      </c>
      <c r="G94" s="469">
        <v>1060</v>
      </c>
      <c r="H94" s="468">
        <v>0</v>
      </c>
      <c r="I94" s="467">
        <v>0</v>
      </c>
      <c r="M94" s="547"/>
    </row>
    <row r="95" spans="2:13">
      <c r="B95" s="467">
        <v>13447579357.845163</v>
      </c>
      <c r="C95" s="467" t="s">
        <v>648</v>
      </c>
      <c r="D95" s="467" t="s">
        <v>650</v>
      </c>
      <c r="E95" s="467" t="s">
        <v>494</v>
      </c>
      <c r="F95" s="470">
        <v>46014</v>
      </c>
      <c r="G95" s="469">
        <v>505</v>
      </c>
      <c r="H95" s="468">
        <v>0</v>
      </c>
      <c r="I95" s="467">
        <v>0</v>
      </c>
      <c r="M95" s="547"/>
    </row>
    <row r="96" spans="2:13">
      <c r="B96" s="467">
        <v>87377223698.639557</v>
      </c>
      <c r="C96" s="467" t="s">
        <v>648</v>
      </c>
      <c r="D96" s="467" t="s">
        <v>649</v>
      </c>
      <c r="E96" s="467" t="s">
        <v>494</v>
      </c>
      <c r="F96" s="470">
        <v>46044</v>
      </c>
      <c r="G96" s="469">
        <v>1430</v>
      </c>
      <c r="H96" s="468">
        <v>0</v>
      </c>
      <c r="I96" s="467">
        <v>0</v>
      </c>
      <c r="M96" s="547"/>
    </row>
    <row r="97" spans="2:13">
      <c r="B97" s="467">
        <v>58996617976.29615</v>
      </c>
      <c r="C97" s="467" t="s">
        <v>648</v>
      </c>
      <c r="D97" s="467" t="s">
        <v>551</v>
      </c>
      <c r="E97" s="467" t="s">
        <v>490</v>
      </c>
      <c r="F97" s="470">
        <v>45792</v>
      </c>
      <c r="G97" s="469">
        <v>1035</v>
      </c>
      <c r="H97" s="468">
        <v>0.25</v>
      </c>
      <c r="I97" s="467">
        <v>2587.5</v>
      </c>
      <c r="M97" s="547"/>
    </row>
    <row r="98" spans="2:13">
      <c r="B98" s="467">
        <v>13991301251.167921</v>
      </c>
      <c r="C98" s="467" t="s">
        <v>648</v>
      </c>
      <c r="D98" s="467" t="s">
        <v>551</v>
      </c>
      <c r="E98" s="467" t="s">
        <v>494</v>
      </c>
      <c r="F98" s="470">
        <v>45651</v>
      </c>
      <c r="G98" s="469">
        <v>465</v>
      </c>
      <c r="H98" s="468">
        <v>0</v>
      </c>
      <c r="I98" s="467">
        <v>0</v>
      </c>
      <c r="M98" s="547"/>
    </row>
    <row r="99" spans="2:13">
      <c r="B99" s="467">
        <v>95504160760.116257</v>
      </c>
      <c r="C99" s="467" t="s">
        <v>648</v>
      </c>
      <c r="D99" s="467" t="s">
        <v>649</v>
      </c>
      <c r="E99" s="467" t="s">
        <v>494</v>
      </c>
      <c r="F99" s="470">
        <v>45775</v>
      </c>
      <c r="G99" s="469">
        <v>1265</v>
      </c>
      <c r="H99" s="468">
        <v>0</v>
      </c>
      <c r="I99" s="467">
        <v>0</v>
      </c>
      <c r="M99" s="547"/>
    </row>
    <row r="100" spans="2:13">
      <c r="B100" s="467">
        <v>69106249859.680374</v>
      </c>
      <c r="C100" s="467" t="s">
        <v>648</v>
      </c>
      <c r="D100" s="467" t="s">
        <v>650</v>
      </c>
      <c r="E100" s="467" t="s">
        <v>494</v>
      </c>
      <c r="F100" s="470">
        <v>45496</v>
      </c>
      <c r="G100" s="469">
        <v>375</v>
      </c>
      <c r="H100" s="468">
        <v>0</v>
      </c>
      <c r="I100" s="467">
        <v>0</v>
      </c>
      <c r="M100" s="547"/>
    </row>
    <row r="101" spans="2:13">
      <c r="B101" s="467">
        <v>3226202868.4321818</v>
      </c>
      <c r="C101" s="467" t="s">
        <v>648</v>
      </c>
      <c r="D101" s="467" t="s">
        <v>649</v>
      </c>
      <c r="E101" s="467" t="s">
        <v>493</v>
      </c>
      <c r="F101" s="470">
        <v>45734</v>
      </c>
      <c r="G101" s="469">
        <v>280</v>
      </c>
      <c r="H101" s="468">
        <v>1</v>
      </c>
      <c r="I101" s="467">
        <v>2800</v>
      </c>
      <c r="M101" s="547"/>
    </row>
    <row r="102" spans="2:13">
      <c r="B102" s="467">
        <v>88075145843.663071</v>
      </c>
      <c r="C102" s="467" t="s">
        <v>648</v>
      </c>
      <c r="D102" s="467" t="s">
        <v>551</v>
      </c>
      <c r="E102" s="467" t="s">
        <v>494</v>
      </c>
      <c r="F102" s="470">
        <v>45825</v>
      </c>
      <c r="G102" s="469">
        <v>580</v>
      </c>
      <c r="H102" s="468">
        <v>0</v>
      </c>
      <c r="I102" s="467">
        <v>0</v>
      </c>
      <c r="M102" s="547"/>
    </row>
    <row r="103" spans="2:13">
      <c r="B103" s="467">
        <v>60488791276.677902</v>
      </c>
      <c r="C103" s="467" t="s">
        <v>648</v>
      </c>
      <c r="D103" s="467" t="s">
        <v>551</v>
      </c>
      <c r="E103" s="467" t="s">
        <v>494</v>
      </c>
      <c r="F103" s="470">
        <v>46230</v>
      </c>
      <c r="G103" s="469">
        <v>1185</v>
      </c>
      <c r="H103" s="468">
        <v>0</v>
      </c>
      <c r="I103" s="467">
        <v>0</v>
      </c>
      <c r="M103" s="547"/>
    </row>
    <row r="104" spans="2:13">
      <c r="B104" s="467">
        <v>93845379660.96315</v>
      </c>
      <c r="C104" s="467" t="s">
        <v>648</v>
      </c>
      <c r="D104" s="467" t="s">
        <v>551</v>
      </c>
      <c r="E104" s="467" t="s">
        <v>490</v>
      </c>
      <c r="F104" s="470">
        <v>45440</v>
      </c>
      <c r="G104" s="469">
        <v>1945</v>
      </c>
      <c r="H104" s="468">
        <v>0.25</v>
      </c>
      <c r="I104" s="467">
        <v>4862.5</v>
      </c>
      <c r="M104" s="547"/>
    </row>
    <row r="105" spans="2:13">
      <c r="B105" s="467">
        <v>59988178553.347763</v>
      </c>
      <c r="C105" s="467" t="s">
        <v>648</v>
      </c>
      <c r="D105" s="467" t="s">
        <v>649</v>
      </c>
      <c r="E105" s="467" t="s">
        <v>493</v>
      </c>
      <c r="F105" s="470">
        <v>45440</v>
      </c>
      <c r="G105" s="469">
        <v>1615</v>
      </c>
      <c r="H105" s="468">
        <v>1</v>
      </c>
      <c r="I105" s="467">
        <v>16150</v>
      </c>
      <c r="M105" s="547"/>
    </row>
    <row r="106" spans="2:13">
      <c r="B106" s="467">
        <v>36800518023.188042</v>
      </c>
      <c r="C106" s="467" t="s">
        <v>648</v>
      </c>
      <c r="D106" s="467" t="s">
        <v>649</v>
      </c>
      <c r="E106" s="467" t="s">
        <v>494</v>
      </c>
      <c r="F106" s="470">
        <v>45308</v>
      </c>
      <c r="G106" s="469">
        <v>2120</v>
      </c>
      <c r="H106" s="468">
        <v>0</v>
      </c>
      <c r="I106" s="467">
        <v>0</v>
      </c>
      <c r="M106" s="547"/>
    </row>
    <row r="107" spans="2:13">
      <c r="B107" s="467">
        <v>26999038175.089294</v>
      </c>
      <c r="C107" s="467" t="s">
        <v>648</v>
      </c>
      <c r="D107" s="467" t="s">
        <v>650</v>
      </c>
      <c r="E107" s="467" t="s">
        <v>494</v>
      </c>
      <c r="F107" s="470">
        <v>45308</v>
      </c>
      <c r="G107" s="469">
        <v>145</v>
      </c>
      <c r="H107" s="468">
        <v>0</v>
      </c>
      <c r="I107" s="467">
        <v>0</v>
      </c>
      <c r="M107" s="547"/>
    </row>
    <row r="108" spans="2:13">
      <c r="B108" s="467">
        <v>98883112785.420212</v>
      </c>
      <c r="C108" s="467" t="s">
        <v>648</v>
      </c>
      <c r="D108" s="467" t="s">
        <v>650</v>
      </c>
      <c r="E108" s="467" t="s">
        <v>494</v>
      </c>
      <c r="F108" s="470">
        <v>45308</v>
      </c>
      <c r="G108" s="469">
        <v>630</v>
      </c>
      <c r="H108" s="468">
        <v>0</v>
      </c>
      <c r="I108" s="467">
        <v>0</v>
      </c>
      <c r="M108" s="547"/>
    </row>
    <row r="109" spans="2:13">
      <c r="B109" s="467">
        <v>16885208638.50449</v>
      </c>
      <c r="C109" s="467" t="s">
        <v>648</v>
      </c>
      <c r="D109" s="467" t="s">
        <v>650</v>
      </c>
      <c r="E109" s="467" t="s">
        <v>494</v>
      </c>
      <c r="F109" s="470">
        <v>45308</v>
      </c>
      <c r="G109" s="469">
        <v>375</v>
      </c>
      <c r="H109" s="468">
        <v>0</v>
      </c>
      <c r="I109" s="467">
        <v>0</v>
      </c>
      <c r="M109" s="547"/>
    </row>
    <row r="110" spans="2:13">
      <c r="B110" s="467">
        <v>57682908321.183189</v>
      </c>
      <c r="C110" s="467" t="s">
        <v>648</v>
      </c>
      <c r="D110" s="467" t="s">
        <v>551</v>
      </c>
      <c r="E110" s="467" t="s">
        <v>494</v>
      </c>
      <c r="F110" s="470">
        <v>45308</v>
      </c>
      <c r="G110" s="469">
        <v>280</v>
      </c>
      <c r="H110" s="468">
        <v>0</v>
      </c>
      <c r="I110" s="467">
        <v>0</v>
      </c>
      <c r="M110" s="547"/>
    </row>
    <row r="111" spans="2:13">
      <c r="B111" s="467">
        <v>54172135992.581902</v>
      </c>
      <c r="C111" s="467" t="s">
        <v>648</v>
      </c>
      <c r="D111" s="467" t="s">
        <v>551</v>
      </c>
      <c r="E111" s="467" t="s">
        <v>494</v>
      </c>
      <c r="F111" s="470">
        <v>45308</v>
      </c>
      <c r="G111" s="469">
        <v>1175</v>
      </c>
      <c r="H111" s="468">
        <v>0</v>
      </c>
      <c r="I111" s="467">
        <v>0</v>
      </c>
      <c r="M111" s="547"/>
    </row>
    <row r="112" spans="2:13">
      <c r="B112" s="467">
        <v>56541485733.918182</v>
      </c>
      <c r="C112" s="467" t="s">
        <v>648</v>
      </c>
      <c r="D112" s="467" t="s">
        <v>551</v>
      </c>
      <c r="E112" s="467" t="s">
        <v>494</v>
      </c>
      <c r="F112" s="470">
        <v>45308</v>
      </c>
      <c r="G112" s="469">
        <v>1205</v>
      </c>
      <c r="H112" s="468">
        <v>0</v>
      </c>
      <c r="I112" s="467">
        <v>0</v>
      </c>
      <c r="M112" s="547"/>
    </row>
    <row r="113" spans="2:13">
      <c r="B113" s="467">
        <v>43771221050.437462</v>
      </c>
      <c r="C113" s="467" t="s">
        <v>648</v>
      </c>
      <c r="D113" s="467" t="s">
        <v>650</v>
      </c>
      <c r="E113" s="467" t="s">
        <v>494</v>
      </c>
      <c r="F113" s="470">
        <v>45308</v>
      </c>
      <c r="G113" s="469">
        <v>1865</v>
      </c>
      <c r="H113" s="468">
        <v>0</v>
      </c>
      <c r="I113" s="467">
        <v>0</v>
      </c>
      <c r="M113" s="547"/>
    </row>
    <row r="114" spans="2:13">
      <c r="B114" s="467">
        <v>91465972321.806091</v>
      </c>
      <c r="C114" s="467" t="s">
        <v>648</v>
      </c>
      <c r="D114" s="467" t="s">
        <v>551</v>
      </c>
      <c r="E114" s="467" t="s">
        <v>494</v>
      </c>
      <c r="F114" s="470">
        <v>45308</v>
      </c>
      <c r="G114" s="469">
        <v>2315</v>
      </c>
      <c r="H114" s="468">
        <v>0</v>
      </c>
      <c r="I114" s="467">
        <v>0</v>
      </c>
      <c r="M114" s="547"/>
    </row>
    <row r="115" spans="2:13">
      <c r="B115" s="467">
        <v>34235044569.121544</v>
      </c>
      <c r="C115" s="467" t="s">
        <v>648</v>
      </c>
      <c r="D115" s="467" t="s">
        <v>649</v>
      </c>
      <c r="E115" s="467" t="s">
        <v>494</v>
      </c>
      <c r="F115" s="470">
        <v>45308</v>
      </c>
      <c r="G115" s="469">
        <v>1495</v>
      </c>
      <c r="H115" s="468">
        <v>0</v>
      </c>
      <c r="I115" s="467">
        <v>0</v>
      </c>
      <c r="M115" s="547"/>
    </row>
    <row r="116" spans="2:13">
      <c r="B116" s="467">
        <v>732043829.26975727</v>
      </c>
      <c r="C116" s="467" t="s">
        <v>648</v>
      </c>
      <c r="D116" s="467" t="s">
        <v>551</v>
      </c>
      <c r="E116" s="467" t="s">
        <v>494</v>
      </c>
      <c r="F116" s="470">
        <v>45308</v>
      </c>
      <c r="G116" s="469">
        <v>325</v>
      </c>
      <c r="H116" s="468">
        <v>0</v>
      </c>
      <c r="I116" s="467">
        <v>0</v>
      </c>
      <c r="M116" s="547"/>
    </row>
    <row r="117" spans="2:13">
      <c r="B117" s="467">
        <v>6562236190.8688202</v>
      </c>
      <c r="C117" s="467" t="s">
        <v>648</v>
      </c>
      <c r="D117" s="467" t="s">
        <v>650</v>
      </c>
      <c r="E117" s="467" t="s">
        <v>494</v>
      </c>
      <c r="F117" s="470">
        <v>45308</v>
      </c>
      <c r="G117" s="469">
        <v>1015</v>
      </c>
      <c r="H117" s="468">
        <v>0</v>
      </c>
      <c r="I117" s="467">
        <v>0</v>
      </c>
      <c r="M117" s="547"/>
    </row>
    <row r="118" spans="2:13">
      <c r="B118" s="467">
        <v>37758187243.516083</v>
      </c>
      <c r="C118" s="467" t="s">
        <v>648</v>
      </c>
      <c r="D118" s="467" t="s">
        <v>649</v>
      </c>
      <c r="E118" s="467" t="s">
        <v>494</v>
      </c>
      <c r="F118" s="470">
        <v>45308</v>
      </c>
      <c r="G118" s="469">
        <v>2030</v>
      </c>
      <c r="H118" s="468">
        <v>0</v>
      </c>
      <c r="I118" s="467">
        <v>0</v>
      </c>
      <c r="M118" s="547"/>
    </row>
    <row r="119" spans="2:13">
      <c r="B119" s="467">
        <v>22658874378.94244</v>
      </c>
      <c r="C119" s="467" t="s">
        <v>648</v>
      </c>
      <c r="D119" s="467" t="s">
        <v>551</v>
      </c>
      <c r="E119" s="467" t="s">
        <v>494</v>
      </c>
      <c r="F119" s="470">
        <v>45287</v>
      </c>
      <c r="G119" s="469">
        <v>1595</v>
      </c>
      <c r="H119" s="468">
        <v>0</v>
      </c>
      <c r="I119" s="467">
        <v>0</v>
      </c>
      <c r="M119" s="547"/>
    </row>
    <row r="120" spans="2:13">
      <c r="B120" s="467">
        <v>55687351403.498199</v>
      </c>
      <c r="C120" s="467" t="s">
        <v>648</v>
      </c>
      <c r="D120" s="467" t="s">
        <v>649</v>
      </c>
      <c r="E120" s="467" t="s">
        <v>494</v>
      </c>
      <c r="F120" s="470">
        <v>45306</v>
      </c>
      <c r="G120" s="469">
        <v>505</v>
      </c>
      <c r="H120" s="468">
        <v>0</v>
      </c>
      <c r="I120" s="467">
        <v>0</v>
      </c>
      <c r="M120" s="547"/>
    </row>
    <row r="121" spans="2:13">
      <c r="B121" s="467">
        <v>39087139605.046532</v>
      </c>
      <c r="C121" s="467" t="s">
        <v>648</v>
      </c>
      <c r="D121" s="467" t="s">
        <v>649</v>
      </c>
      <c r="E121" s="467" t="s">
        <v>494</v>
      </c>
      <c r="F121" s="470">
        <v>45294</v>
      </c>
      <c r="G121" s="469">
        <v>900</v>
      </c>
      <c r="H121" s="468">
        <v>0</v>
      </c>
      <c r="I121" s="467">
        <v>0</v>
      </c>
      <c r="M121" s="547"/>
    </row>
    <row r="122" spans="2:13">
      <c r="B122" s="467">
        <v>47909385956.865715</v>
      </c>
      <c r="C122" s="467" t="s">
        <v>648</v>
      </c>
      <c r="D122" s="467" t="s">
        <v>551</v>
      </c>
      <c r="E122" s="467" t="s">
        <v>494</v>
      </c>
      <c r="F122" s="470">
        <v>45293</v>
      </c>
      <c r="G122" s="469">
        <v>1720</v>
      </c>
      <c r="H122" s="468">
        <v>0</v>
      </c>
      <c r="I122" s="467">
        <v>0</v>
      </c>
      <c r="M122" s="547"/>
    </row>
    <row r="123" spans="2:13">
      <c r="B123" s="467">
        <v>35058534780.926483</v>
      </c>
      <c r="C123" s="467" t="s">
        <v>648</v>
      </c>
      <c r="D123" s="467" t="s">
        <v>551</v>
      </c>
      <c r="E123" s="467" t="s">
        <v>494</v>
      </c>
      <c r="F123" s="470">
        <v>45309</v>
      </c>
      <c r="G123" s="469">
        <v>820</v>
      </c>
      <c r="H123" s="468">
        <v>0</v>
      </c>
      <c r="I123" s="467">
        <v>0</v>
      </c>
      <c r="M123" s="547"/>
    </row>
    <row r="124" spans="2:13">
      <c r="B124" s="467">
        <v>34184105005.377686</v>
      </c>
      <c r="C124" s="467" t="s">
        <v>648</v>
      </c>
      <c r="D124" s="467" t="s">
        <v>649</v>
      </c>
      <c r="E124" s="467" t="s">
        <v>493</v>
      </c>
      <c r="F124" s="470">
        <v>45286</v>
      </c>
      <c r="G124" s="469">
        <v>1085</v>
      </c>
      <c r="H124" s="468">
        <v>1</v>
      </c>
      <c r="I124" s="467">
        <v>10850</v>
      </c>
      <c r="M124" s="547"/>
    </row>
    <row r="125" spans="2:13">
      <c r="B125" s="467">
        <v>18028434155.469131</v>
      </c>
      <c r="C125" s="467" t="s">
        <v>648</v>
      </c>
      <c r="D125" s="467" t="s">
        <v>551</v>
      </c>
      <c r="E125" s="467" t="s">
        <v>494</v>
      </c>
      <c r="F125" s="470">
        <v>45288</v>
      </c>
      <c r="G125" s="469">
        <v>955</v>
      </c>
      <c r="H125" s="468">
        <v>0</v>
      </c>
      <c r="I125" s="467">
        <v>0</v>
      </c>
      <c r="M125" s="547"/>
    </row>
    <row r="126" spans="2:13">
      <c r="B126" s="467">
        <v>7882287658.3249712</v>
      </c>
      <c r="C126" s="467" t="s">
        <v>648</v>
      </c>
      <c r="D126" s="467" t="s">
        <v>551</v>
      </c>
      <c r="E126" s="467" t="s">
        <v>494</v>
      </c>
      <c r="F126" s="470">
        <v>45295</v>
      </c>
      <c r="G126" s="469">
        <v>2040</v>
      </c>
      <c r="H126" s="468">
        <v>0</v>
      </c>
      <c r="I126" s="467">
        <v>0</v>
      </c>
      <c r="M126" s="547"/>
    </row>
    <row r="127" spans="2:13">
      <c r="B127" s="467">
        <v>52827760629.574791</v>
      </c>
      <c r="C127" s="467" t="s">
        <v>648</v>
      </c>
      <c r="D127" s="467" t="s">
        <v>551</v>
      </c>
      <c r="E127" s="467" t="s">
        <v>494</v>
      </c>
      <c r="F127" s="470">
        <v>45295</v>
      </c>
      <c r="G127" s="469">
        <v>1120</v>
      </c>
      <c r="H127" s="468">
        <v>0</v>
      </c>
      <c r="I127" s="467">
        <v>0</v>
      </c>
      <c r="M127" s="547"/>
    </row>
    <row r="128" spans="2:13">
      <c r="B128" s="467">
        <v>32414052371.949497</v>
      </c>
      <c r="C128" s="467" t="s">
        <v>648</v>
      </c>
      <c r="D128" s="467" t="s">
        <v>551</v>
      </c>
      <c r="E128" s="467" t="s">
        <v>494</v>
      </c>
      <c r="F128" s="470">
        <v>45299</v>
      </c>
      <c r="G128" s="469">
        <v>1835</v>
      </c>
      <c r="H128" s="468">
        <v>0</v>
      </c>
      <c r="I128" s="467">
        <v>0</v>
      </c>
      <c r="M128" s="547"/>
    </row>
    <row r="129" spans="2:13">
      <c r="B129" s="467">
        <v>50931244751.689095</v>
      </c>
      <c r="C129" s="467" t="s">
        <v>648</v>
      </c>
      <c r="D129" s="467" t="s">
        <v>649</v>
      </c>
      <c r="E129" s="467" t="s">
        <v>494</v>
      </c>
      <c r="F129" s="470">
        <v>45307</v>
      </c>
      <c r="G129" s="469">
        <v>1555</v>
      </c>
      <c r="H129" s="468">
        <v>0</v>
      </c>
      <c r="I129" s="467">
        <v>0</v>
      </c>
      <c r="M129" s="547"/>
    </row>
    <row r="130" spans="2:13">
      <c r="B130" s="467">
        <v>18216410379.899551</v>
      </c>
      <c r="C130" s="467" t="s">
        <v>648</v>
      </c>
      <c r="D130" s="467" t="s">
        <v>650</v>
      </c>
      <c r="E130" s="467" t="s">
        <v>494</v>
      </c>
      <c r="F130" s="470">
        <v>45301</v>
      </c>
      <c r="G130" s="469">
        <v>855</v>
      </c>
      <c r="H130" s="468">
        <v>0</v>
      </c>
      <c r="I130" s="467">
        <v>0</v>
      </c>
      <c r="M130" s="547"/>
    </row>
    <row r="131" spans="2:13">
      <c r="B131" s="467">
        <v>23407715552.111229</v>
      </c>
      <c r="C131" s="467" t="s">
        <v>648</v>
      </c>
      <c r="D131" s="467" t="s">
        <v>551</v>
      </c>
      <c r="E131" s="467" t="s">
        <v>494</v>
      </c>
      <c r="F131" s="470">
        <v>45326</v>
      </c>
      <c r="G131" s="469">
        <v>1135</v>
      </c>
      <c r="H131" s="468">
        <v>0</v>
      </c>
      <c r="I131" s="467">
        <v>0</v>
      </c>
      <c r="M131" s="547"/>
    </row>
    <row r="132" spans="2:13">
      <c r="B132" s="467">
        <v>1345118233.3644841</v>
      </c>
      <c r="C132" s="467" t="s">
        <v>648</v>
      </c>
      <c r="D132" s="467" t="s">
        <v>551</v>
      </c>
      <c r="E132" s="467" t="s">
        <v>494</v>
      </c>
      <c r="F132" s="470">
        <v>45287</v>
      </c>
      <c r="G132" s="469">
        <v>2170</v>
      </c>
      <c r="H132" s="468">
        <v>0</v>
      </c>
      <c r="I132" s="467">
        <v>0</v>
      </c>
      <c r="M132" s="547"/>
    </row>
    <row r="133" spans="2:13">
      <c r="B133" s="467">
        <v>60918781377.96669</v>
      </c>
      <c r="C133" s="467" t="s">
        <v>648</v>
      </c>
      <c r="D133" s="467" t="s">
        <v>650</v>
      </c>
      <c r="E133" s="467" t="s">
        <v>494</v>
      </c>
      <c r="F133" s="470">
        <v>45311</v>
      </c>
      <c r="G133" s="469">
        <v>305</v>
      </c>
      <c r="H133" s="468">
        <v>0</v>
      </c>
      <c r="I133" s="467">
        <v>0</v>
      </c>
      <c r="M133" s="547"/>
    </row>
    <row r="134" spans="2:13">
      <c r="B134" s="467">
        <v>25104493470.984989</v>
      </c>
      <c r="C134" s="467" t="s">
        <v>648</v>
      </c>
      <c r="D134" s="467" t="s">
        <v>650</v>
      </c>
      <c r="E134" s="467" t="s">
        <v>494</v>
      </c>
      <c r="F134" s="470">
        <v>45385</v>
      </c>
      <c r="G134" s="469">
        <v>2200</v>
      </c>
      <c r="H134" s="468">
        <v>0</v>
      </c>
      <c r="I134" s="467">
        <v>0</v>
      </c>
      <c r="M134" s="547"/>
    </row>
    <row r="135" spans="2:13">
      <c r="B135" s="467">
        <v>86712346207.454117</v>
      </c>
      <c r="C135" s="467" t="s">
        <v>648</v>
      </c>
      <c r="D135" s="467" t="s">
        <v>649</v>
      </c>
      <c r="E135" s="467" t="s">
        <v>494</v>
      </c>
      <c r="F135" s="470">
        <v>45287</v>
      </c>
      <c r="G135" s="469">
        <v>2025</v>
      </c>
      <c r="H135" s="468">
        <v>0</v>
      </c>
      <c r="I135" s="467">
        <v>0</v>
      </c>
      <c r="M135" s="547"/>
    </row>
    <row r="136" spans="2:13">
      <c r="B136" s="467">
        <v>13729821972.490564</v>
      </c>
      <c r="C136" s="467" t="s">
        <v>648</v>
      </c>
      <c r="D136" s="467" t="s">
        <v>551</v>
      </c>
      <c r="E136" s="467" t="s">
        <v>494</v>
      </c>
      <c r="F136" s="470">
        <v>45385</v>
      </c>
      <c r="G136" s="469">
        <v>1335</v>
      </c>
      <c r="H136" s="468">
        <v>0</v>
      </c>
      <c r="I136" s="467">
        <v>0</v>
      </c>
      <c r="M136" s="547"/>
    </row>
    <row r="137" spans="2:13">
      <c r="B137" s="467">
        <v>12879280222.974154</v>
      </c>
      <c r="C137" s="467" t="s">
        <v>648</v>
      </c>
      <c r="D137" s="467" t="s">
        <v>551</v>
      </c>
      <c r="E137" s="467" t="s">
        <v>493</v>
      </c>
      <c r="F137" s="470">
        <v>45312</v>
      </c>
      <c r="G137" s="469">
        <v>1635</v>
      </c>
      <c r="H137" s="468">
        <v>1</v>
      </c>
      <c r="I137" s="467">
        <v>16350</v>
      </c>
      <c r="M137" s="547"/>
    </row>
    <row r="138" spans="2:13">
      <c r="B138" s="467">
        <v>62781525431.902077</v>
      </c>
      <c r="C138" s="467" t="s">
        <v>648</v>
      </c>
      <c r="D138" s="467" t="s">
        <v>551</v>
      </c>
      <c r="E138" s="467" t="s">
        <v>494</v>
      </c>
      <c r="F138" s="470">
        <v>45308</v>
      </c>
      <c r="G138" s="469">
        <v>2005</v>
      </c>
      <c r="H138" s="468">
        <v>0</v>
      </c>
      <c r="I138" s="467">
        <v>0</v>
      </c>
      <c r="M138" s="547"/>
    </row>
    <row r="139" spans="2:13">
      <c r="B139" s="467">
        <v>74953847596.25972</v>
      </c>
      <c r="C139" s="467" t="s">
        <v>648</v>
      </c>
      <c r="D139" s="467" t="s">
        <v>551</v>
      </c>
      <c r="E139" s="467" t="s">
        <v>494</v>
      </c>
      <c r="F139" s="470">
        <v>45287</v>
      </c>
      <c r="G139" s="469">
        <v>1085</v>
      </c>
      <c r="H139" s="468">
        <v>0</v>
      </c>
      <c r="I139" s="467">
        <v>0</v>
      </c>
      <c r="M139" s="547"/>
    </row>
    <row r="140" spans="2:13">
      <c r="B140" s="467">
        <v>49186388150.366913</v>
      </c>
      <c r="C140" s="467" t="s">
        <v>648</v>
      </c>
      <c r="D140" s="467" t="s">
        <v>551</v>
      </c>
      <c r="E140" s="467" t="s">
        <v>494</v>
      </c>
      <c r="F140" s="470">
        <v>45440</v>
      </c>
      <c r="G140" s="469">
        <v>2290</v>
      </c>
      <c r="H140" s="468">
        <v>0</v>
      </c>
      <c r="I140" s="467">
        <v>0</v>
      </c>
      <c r="M140" s="547"/>
    </row>
    <row r="141" spans="2:13">
      <c r="B141" s="467">
        <v>17040514992.491196</v>
      </c>
      <c r="C141" s="467" t="s">
        <v>648</v>
      </c>
      <c r="D141" s="467" t="s">
        <v>650</v>
      </c>
      <c r="E141" s="467" t="s">
        <v>494</v>
      </c>
      <c r="F141" s="470">
        <v>45440</v>
      </c>
      <c r="G141" s="469">
        <v>1965</v>
      </c>
      <c r="H141" s="468">
        <v>0</v>
      </c>
      <c r="I141" s="467">
        <v>0</v>
      </c>
      <c r="M141" s="547"/>
    </row>
    <row r="142" spans="2:13">
      <c r="B142" s="467">
        <v>69175322874.11409</v>
      </c>
      <c r="C142" s="467" t="s">
        <v>648</v>
      </c>
      <c r="D142" s="467" t="s">
        <v>650</v>
      </c>
      <c r="E142" s="467" t="s">
        <v>494</v>
      </c>
      <c r="F142" s="470">
        <v>45347</v>
      </c>
      <c r="G142" s="469">
        <v>1435</v>
      </c>
      <c r="H142" s="468">
        <v>0</v>
      </c>
      <c r="I142" s="467">
        <v>0</v>
      </c>
      <c r="M142" s="547"/>
    </row>
    <row r="143" spans="2:13">
      <c r="B143" s="467">
        <v>56888877052.998123</v>
      </c>
      <c r="C143" s="467" t="s">
        <v>648</v>
      </c>
      <c r="D143" s="467" t="s">
        <v>551</v>
      </c>
      <c r="E143" s="467" t="s">
        <v>494</v>
      </c>
      <c r="F143" s="470">
        <v>45307</v>
      </c>
      <c r="G143" s="469">
        <v>850</v>
      </c>
      <c r="H143" s="468">
        <v>0</v>
      </c>
      <c r="I143" s="467">
        <v>0</v>
      </c>
      <c r="M143" s="547"/>
    </row>
    <row r="144" spans="2:13">
      <c r="B144" s="467">
        <v>99387946117.773636</v>
      </c>
      <c r="C144" s="467" t="s">
        <v>648</v>
      </c>
      <c r="D144" s="467" t="s">
        <v>649</v>
      </c>
      <c r="E144" s="467" t="s">
        <v>494</v>
      </c>
      <c r="F144" s="470">
        <v>45385</v>
      </c>
      <c r="G144" s="469">
        <v>780</v>
      </c>
      <c r="H144" s="468">
        <v>0</v>
      </c>
      <c r="I144" s="467">
        <v>0</v>
      </c>
      <c r="M144" s="547"/>
    </row>
    <row r="145" spans="2:13">
      <c r="B145" s="467">
        <v>98144624849.194244</v>
      </c>
      <c r="C145" s="467" t="s">
        <v>648</v>
      </c>
      <c r="D145" s="467" t="s">
        <v>551</v>
      </c>
      <c r="E145" s="467" t="s">
        <v>494</v>
      </c>
      <c r="F145" s="470">
        <v>45307</v>
      </c>
      <c r="G145" s="469">
        <v>810</v>
      </c>
      <c r="H145" s="468">
        <v>0</v>
      </c>
      <c r="I145" s="467">
        <v>0</v>
      </c>
      <c r="M145" s="547"/>
    </row>
    <row r="146" spans="2:13">
      <c r="B146" s="467">
        <v>14858389282.278095</v>
      </c>
      <c r="C146" s="467" t="s">
        <v>648</v>
      </c>
      <c r="D146" s="467" t="s">
        <v>650</v>
      </c>
      <c r="E146" s="467" t="s">
        <v>494</v>
      </c>
      <c r="F146" s="470">
        <v>45719</v>
      </c>
      <c r="G146" s="469">
        <v>1610</v>
      </c>
      <c r="H146" s="468">
        <v>0</v>
      </c>
      <c r="I146" s="467">
        <v>0</v>
      </c>
      <c r="M146" s="547"/>
    </row>
    <row r="147" spans="2:13">
      <c r="B147" s="467">
        <v>60537119029.071693</v>
      </c>
      <c r="C147" s="467" t="s">
        <v>648</v>
      </c>
      <c r="D147" s="467" t="s">
        <v>650</v>
      </c>
      <c r="E147" s="467" t="s">
        <v>493</v>
      </c>
      <c r="F147" s="470">
        <v>45291</v>
      </c>
      <c r="G147" s="469">
        <v>1605</v>
      </c>
      <c r="H147" s="468">
        <v>1</v>
      </c>
      <c r="I147" s="467">
        <v>16050</v>
      </c>
      <c r="M147" s="547"/>
    </row>
    <row r="148" spans="2:13">
      <c r="B148" s="467">
        <v>2987164539.3408475</v>
      </c>
      <c r="C148" s="467" t="s">
        <v>648</v>
      </c>
      <c r="D148" s="467" t="s">
        <v>649</v>
      </c>
      <c r="E148" s="467" t="s">
        <v>494</v>
      </c>
      <c r="F148" s="470">
        <v>45286</v>
      </c>
      <c r="G148" s="469">
        <v>2155</v>
      </c>
      <c r="H148" s="468">
        <v>0</v>
      </c>
      <c r="I148" s="467">
        <v>0</v>
      </c>
      <c r="M148" s="547"/>
    </row>
    <row r="149" spans="2:13">
      <c r="B149" s="467">
        <v>88036925093.248001</v>
      </c>
      <c r="C149" s="467" t="s">
        <v>648</v>
      </c>
      <c r="D149" s="467" t="s">
        <v>650</v>
      </c>
      <c r="E149" s="467" t="s">
        <v>493</v>
      </c>
      <c r="F149" s="470">
        <v>45326</v>
      </c>
      <c r="G149" s="469">
        <v>1355</v>
      </c>
      <c r="H149" s="468">
        <v>1</v>
      </c>
      <c r="I149" s="467">
        <v>13550</v>
      </c>
      <c r="M149" s="547"/>
    </row>
    <row r="150" spans="2:13">
      <c r="B150" s="467">
        <v>36299730444.513512</v>
      </c>
      <c r="C150" s="467" t="s">
        <v>648</v>
      </c>
      <c r="D150" s="467" t="s">
        <v>650</v>
      </c>
      <c r="E150" s="467" t="s">
        <v>493</v>
      </c>
      <c r="F150" s="470">
        <v>45305</v>
      </c>
      <c r="G150" s="469">
        <v>2085</v>
      </c>
      <c r="H150" s="468">
        <v>1</v>
      </c>
      <c r="I150" s="467">
        <v>20850</v>
      </c>
      <c r="M150" s="547"/>
    </row>
    <row r="151" spans="2:13">
      <c r="B151" s="467">
        <v>82053314552.579346</v>
      </c>
      <c r="C151" s="467" t="s">
        <v>648</v>
      </c>
      <c r="D151" s="467" t="s">
        <v>650</v>
      </c>
      <c r="E151" s="467" t="s">
        <v>494</v>
      </c>
      <c r="F151" s="470">
        <v>45301</v>
      </c>
      <c r="G151" s="469">
        <v>865</v>
      </c>
      <c r="H151" s="468">
        <v>0</v>
      </c>
      <c r="I151" s="467">
        <v>0</v>
      </c>
      <c r="M151" s="547"/>
    </row>
    <row r="152" spans="2:13">
      <c r="B152" s="467">
        <v>24684520513.220165</v>
      </c>
      <c r="C152" s="467" t="s">
        <v>648</v>
      </c>
      <c r="D152" s="467" t="s">
        <v>649</v>
      </c>
      <c r="E152" s="467" t="s">
        <v>494</v>
      </c>
      <c r="F152" s="470">
        <v>45322</v>
      </c>
      <c r="G152" s="469">
        <v>1190</v>
      </c>
      <c r="H152" s="468">
        <v>0</v>
      </c>
      <c r="I152" s="467">
        <v>0</v>
      </c>
      <c r="M152" s="547"/>
    </row>
    <row r="153" spans="2:13">
      <c r="B153" s="467">
        <v>82897268895.848557</v>
      </c>
      <c r="C153" s="467" t="s">
        <v>648</v>
      </c>
      <c r="D153" s="467" t="s">
        <v>551</v>
      </c>
      <c r="E153" s="467" t="s">
        <v>494</v>
      </c>
      <c r="F153" s="470">
        <v>45312</v>
      </c>
      <c r="G153" s="469">
        <v>1985</v>
      </c>
      <c r="H153" s="468">
        <v>0</v>
      </c>
      <c r="I153" s="467">
        <v>0</v>
      </c>
      <c r="M153" s="547"/>
    </row>
    <row r="154" spans="2:13">
      <c r="B154" s="467">
        <v>96817259163.354797</v>
      </c>
      <c r="C154" s="467" t="s">
        <v>648</v>
      </c>
      <c r="D154" s="467" t="s">
        <v>551</v>
      </c>
      <c r="E154" s="467" t="s">
        <v>494</v>
      </c>
      <c r="F154" s="470">
        <v>45440</v>
      </c>
      <c r="G154" s="469">
        <v>820</v>
      </c>
      <c r="H154" s="468">
        <v>0</v>
      </c>
      <c r="I154" s="467">
        <v>0</v>
      </c>
      <c r="M154" s="547"/>
    </row>
    <row r="155" spans="2:13">
      <c r="B155" s="467">
        <v>36513266406.472931</v>
      </c>
      <c r="C155" s="467" t="s">
        <v>648</v>
      </c>
      <c r="D155" s="467" t="s">
        <v>551</v>
      </c>
      <c r="E155" s="467" t="s">
        <v>494</v>
      </c>
      <c r="F155" s="470">
        <v>45321</v>
      </c>
      <c r="G155" s="469">
        <v>1770</v>
      </c>
      <c r="H155" s="468">
        <v>0</v>
      </c>
      <c r="I155" s="467">
        <v>0</v>
      </c>
      <c r="M155" s="547"/>
    </row>
    <row r="156" spans="2:13">
      <c r="B156" s="467">
        <v>53709854672.674492</v>
      </c>
      <c r="C156" s="467" t="s">
        <v>648</v>
      </c>
      <c r="D156" s="467" t="s">
        <v>649</v>
      </c>
      <c r="E156" s="467" t="s">
        <v>494</v>
      </c>
      <c r="F156" s="470">
        <v>45313</v>
      </c>
      <c r="G156" s="469">
        <v>1955</v>
      </c>
      <c r="H156" s="468">
        <v>0</v>
      </c>
      <c r="I156" s="467">
        <v>0</v>
      </c>
      <c r="M156" s="547"/>
    </row>
    <row r="157" spans="2:13">
      <c r="B157" s="467">
        <v>52731067174.671265</v>
      </c>
      <c r="C157" s="467" t="s">
        <v>648</v>
      </c>
      <c r="D157" s="467" t="s">
        <v>649</v>
      </c>
      <c r="E157" s="467" t="s">
        <v>494</v>
      </c>
      <c r="F157" s="470">
        <v>45308</v>
      </c>
      <c r="G157" s="469">
        <v>2025</v>
      </c>
      <c r="H157" s="468">
        <v>0</v>
      </c>
      <c r="I157" s="467">
        <v>0</v>
      </c>
      <c r="M157" s="547"/>
    </row>
    <row r="158" spans="2:13">
      <c r="B158" s="467">
        <v>61760110139.457817</v>
      </c>
      <c r="C158" s="467" t="s">
        <v>648</v>
      </c>
      <c r="D158" s="467" t="s">
        <v>649</v>
      </c>
      <c r="E158" s="467" t="s">
        <v>494</v>
      </c>
      <c r="F158" s="470">
        <v>45293</v>
      </c>
      <c r="G158" s="469">
        <v>1750</v>
      </c>
      <c r="H158" s="468">
        <v>0</v>
      </c>
      <c r="I158" s="467">
        <v>0</v>
      </c>
      <c r="M158" s="547"/>
    </row>
    <row r="159" spans="2:13">
      <c r="B159" s="467">
        <v>14090717151.234833</v>
      </c>
      <c r="C159" s="467" t="s">
        <v>648</v>
      </c>
      <c r="D159" s="467" t="s">
        <v>551</v>
      </c>
      <c r="E159" s="467" t="s">
        <v>494</v>
      </c>
      <c r="F159" s="470">
        <v>45314</v>
      </c>
      <c r="G159" s="469">
        <v>2160</v>
      </c>
      <c r="H159" s="468">
        <v>0</v>
      </c>
      <c r="I159" s="467">
        <v>0</v>
      </c>
      <c r="M159" s="547"/>
    </row>
    <row r="160" spans="2:13">
      <c r="B160" s="467">
        <v>57209696308.93573</v>
      </c>
      <c r="C160" s="467" t="s">
        <v>648</v>
      </c>
      <c r="D160" s="467" t="s">
        <v>650</v>
      </c>
      <c r="E160" s="467" t="s">
        <v>494</v>
      </c>
      <c r="F160" s="470">
        <v>45385</v>
      </c>
      <c r="G160" s="469">
        <v>1720</v>
      </c>
      <c r="H160" s="468">
        <v>0</v>
      </c>
      <c r="I160" s="467">
        <v>0</v>
      </c>
      <c r="M160" s="547"/>
    </row>
    <row r="161" spans="2:13">
      <c r="B161" s="467">
        <v>19785210422.375576</v>
      </c>
      <c r="C161" s="467" t="s">
        <v>648</v>
      </c>
      <c r="D161" s="467" t="s">
        <v>649</v>
      </c>
      <c r="E161" s="467" t="s">
        <v>494</v>
      </c>
      <c r="F161" s="470">
        <v>45385.573611111111</v>
      </c>
      <c r="G161" s="469">
        <v>1275</v>
      </c>
      <c r="H161" s="468">
        <v>0</v>
      </c>
      <c r="I161" s="467">
        <v>0</v>
      </c>
      <c r="M161" s="547"/>
    </row>
  </sheetData>
  <pageMargins left="0.7" right="0.7" top="0.75" bottom="0.75" header="0.3" footer="0.3"/>
  <pageSetup orientation="portrait" r:id="rId1"/>
  <customProperties>
    <customPr name="sourceTemplate" r:id="rId2"/>
  </customProperties>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19B78-E373-CB41-A556-811A405C91FA}">
  <dimension ref="A1:T65"/>
  <sheetViews>
    <sheetView zoomScaleNormal="100" workbookViewId="0">
      <selection activeCell="G43" sqref="G43"/>
    </sheetView>
  </sheetViews>
  <sheetFormatPr defaultColWidth="8.85546875" defaultRowHeight="15"/>
  <cols>
    <col min="1" max="1" width="1.42578125" customWidth="1"/>
    <col min="2" max="3" width="16.85546875" customWidth="1"/>
    <col min="4" max="4" width="1.42578125" customWidth="1"/>
    <col min="5" max="5" width="17.42578125" bestFit="1" customWidth="1"/>
    <col min="6" max="6" width="12" bestFit="1" customWidth="1"/>
    <col min="7" max="7" width="11.140625" bestFit="1" customWidth="1"/>
    <col min="8" max="8" width="22.7109375" bestFit="1" customWidth="1"/>
    <col min="9" max="9" width="10.140625" bestFit="1" customWidth="1"/>
    <col min="10" max="10" width="18.7109375" bestFit="1" customWidth="1"/>
    <col min="11" max="11" width="17.85546875" bestFit="1" customWidth="1"/>
    <col min="12" max="12" width="25.42578125" bestFit="1" customWidth="1"/>
    <col min="13" max="13" width="16.85546875" bestFit="1" customWidth="1"/>
    <col min="14" max="14" width="16" bestFit="1" customWidth="1"/>
    <col min="15" max="15" width="23.85546875" bestFit="1" customWidth="1"/>
    <col min="16" max="16" width="1.42578125" customWidth="1"/>
    <col min="17" max="17" width="14.28515625" customWidth="1"/>
    <col min="18" max="18" width="19.7109375" bestFit="1" customWidth="1"/>
    <col min="19" max="19" width="2.42578125" customWidth="1"/>
    <col min="20" max="20" width="9.140625" bestFit="1" customWidth="1"/>
    <col min="21" max="21" width="19.7109375" bestFit="1" customWidth="1"/>
    <col min="22" max="22" width="24" customWidth="1"/>
    <col min="23" max="23" width="14.28515625" customWidth="1"/>
    <col min="24" max="24" width="20.140625" customWidth="1"/>
    <col min="25" max="25" width="9.140625" bestFit="1" customWidth="1"/>
  </cols>
  <sheetData>
    <row r="1" spans="1:20" s="8" customFormat="1">
      <c r="A1" s="10" t="str">
        <f>_xlfn.SINGLE(Company_Name)</f>
        <v>Model Wiz Demo *</v>
      </c>
    </row>
    <row r="2" spans="1:20" s="12" customFormat="1">
      <c r="A2" t="str">
        <f ca="1">MID(CELL("filename",A1),FIND("]",CELL("filename",A1))+1,255)</f>
        <v>Lists</v>
      </c>
    </row>
    <row r="3" spans="1:20">
      <c r="A3" t="e" cm="1">
        <f t="array" ref="A3">errorCheck</f>
        <v>#NAME?</v>
      </c>
    </row>
    <row r="5" spans="1:20" s="9" customFormat="1">
      <c r="B5" s="11" t="s">
        <v>651</v>
      </c>
      <c r="C5" s="11" t="s">
        <v>652</v>
      </c>
      <c r="E5" s="10" t="s">
        <v>76</v>
      </c>
      <c r="F5" s="10" t="s">
        <v>653</v>
      </c>
      <c r="G5" s="10" t="s">
        <v>654</v>
      </c>
      <c r="H5" s="10" t="s">
        <v>655</v>
      </c>
      <c r="I5" s="10" t="s">
        <v>656</v>
      </c>
      <c r="J5" s="10" t="s">
        <v>657</v>
      </c>
      <c r="K5" s="10" t="s">
        <v>658</v>
      </c>
      <c r="L5" s="10" t="s">
        <v>659</v>
      </c>
      <c r="M5" s="10" t="s">
        <v>660</v>
      </c>
      <c r="N5" s="10" t="s">
        <v>661</v>
      </c>
      <c r="O5" s="10" t="s">
        <v>662</v>
      </c>
      <c r="Q5" s="9" t="s">
        <v>663</v>
      </c>
      <c r="R5" s="9" t="s">
        <v>664</v>
      </c>
      <c r="T5" s="10" t="s">
        <v>411</v>
      </c>
    </row>
    <row r="6" spans="1:20">
      <c r="B6" s="3" t="str" cm="1">
        <f t="array" ref="B6:B21">{"This Month";"Last Month";"Next Month";"This Quarter";"Last Quarter";"Next Quarter";"This Year";"Last Year";"Next Year";"YTD";"Forecast";"Quarter to Date";"Trailing 3 Months";"Trailing 6 Months";"Trailing 12 Months";"Custom"}</f>
        <v>This Month</v>
      </c>
      <c r="C6" t="str" cm="1">
        <f t="array" ref="C6:C16">{"Comma";"Comma Var";"Millions";"Millions Var";"Thousands";"Thousands Var";"%";"% Var";"2 Decimal";"2 Decimal Var";"Months"}</f>
        <v>Comma</v>
      </c>
      <c r="E6" t="s">
        <v>15</v>
      </c>
      <c r="F6" s="2">
        <f>EOMONTH(LatestMonthOfActuals,-1)+1</f>
        <v>45962</v>
      </c>
      <c r="G6" s="2">
        <f>LatestMonthOfActuals</f>
        <v>45991</v>
      </c>
      <c r="H6" s="5" t="str">
        <f>TEXT(G6,"MMMM YYY")</f>
        <v>November 2025</v>
      </c>
      <c r="I6">
        <f>(YEAR(PeriodTable[[#This Row],[End date]])-YEAR(PeriodTable[[#This Row],[Start date]]))*12+(MONTH(PeriodTable[[#This Row],[End date]])-MONTH(PeriodTable[[#This Row],[Start date]]))+1</f>
        <v>1</v>
      </c>
      <c r="J6" s="2">
        <f>EOMONTH(PeriodTable[[#This Row],[Start date]],-PeriodTable[[#This Row],[Periods]]-1)+1</f>
        <v>45931</v>
      </c>
      <c r="K6" s="2">
        <f>EOMONTH(PeriodTable[[#This Row],[Prior Period Start]],PeriodTable[[#This Row],[Periods]]-1)</f>
        <v>45961</v>
      </c>
      <c r="L6" s="5" t="str">
        <f>TEXT(K6,"MMMM YYY")</f>
        <v>October 2025</v>
      </c>
      <c r="M6" s="2">
        <f>EOMONTH(PeriodTable[[#This Row],[Start date]],-13)+1</f>
        <v>45597</v>
      </c>
      <c r="N6" s="2">
        <f>EOMONTH(PeriodTable[[#This Row],[Prior Year Start]],PeriodTable[[#This Row],[Periods]]-1)</f>
        <v>45626</v>
      </c>
      <c r="O6" t="str">
        <f>TEXT(N6,"MMMM YYY")</f>
        <v>November 2024</v>
      </c>
      <c r="Q6" t="s">
        <v>665</v>
      </c>
      <c r="R6" s="6" t="s">
        <v>666</v>
      </c>
      <c r="T6" t="str" cm="1">
        <f t="array" ref="T6:T17">{"3 month avg";"6 month avg";"12 month avg";"Prior month";"Prior year";"Monthly assumption";"Quarterly assumption";"Annual assumption";"% of Revenue";"Headcount";"0";"Custom"}</f>
        <v>3 month avg</v>
      </c>
    </row>
    <row r="7" spans="1:20">
      <c r="B7" s="3" t="str">
        <v>Last Month</v>
      </c>
      <c r="C7" t="str">
        <v>Comma Var</v>
      </c>
      <c r="E7" t="s">
        <v>69</v>
      </c>
      <c r="F7" s="2">
        <f>EOMONTH(LatestMonthOfActuals,-2)+1</f>
        <v>45931</v>
      </c>
      <c r="G7" s="2">
        <f>EOMONTH(LatestMonthOfActuals,-1)</f>
        <v>45961</v>
      </c>
      <c r="H7" s="5" t="str">
        <f>TEXT(G7,"MMMM YYY")</f>
        <v>October 2025</v>
      </c>
      <c r="I7">
        <f>(YEAR(PeriodTable[[#This Row],[End date]])-YEAR(PeriodTable[[#This Row],[Start date]]))*12+(MONTH(PeriodTable[[#This Row],[End date]])-MONTH(PeriodTable[[#This Row],[Start date]]))+1</f>
        <v>1</v>
      </c>
      <c r="J7" s="2">
        <f>EOMONTH(PeriodTable[[#This Row],[Start date]],-PeriodTable[[#This Row],[Periods]]-1)+1</f>
        <v>45901</v>
      </c>
      <c r="K7" s="2">
        <f>EOMONTH(PeriodTable[[#This Row],[Prior Period Start]],PeriodTable[[#This Row],[Periods]]-1)</f>
        <v>45930</v>
      </c>
      <c r="L7" s="5" t="str">
        <f>TEXT(K7,"MMMM YYY")</f>
        <v>September 2025</v>
      </c>
      <c r="M7" s="2">
        <f>EOMONTH(PeriodTable[[#This Row],[Start date]],-13)+1</f>
        <v>45566</v>
      </c>
      <c r="N7" s="2">
        <f>EOMONTH(PeriodTable[[#This Row],[Prior Year Start]],PeriodTable[[#This Row],[Periods]]-1)</f>
        <v>45596</v>
      </c>
      <c r="O7" t="str">
        <f>TEXT(N7,"MMMM YYY")</f>
        <v>October 2024</v>
      </c>
      <c r="Q7" t="s">
        <v>667</v>
      </c>
      <c r="R7" s="6" t="s">
        <v>668</v>
      </c>
      <c r="T7" t="str">
        <v>6 month avg</v>
      </c>
    </row>
    <row r="8" spans="1:20">
      <c r="B8" s="3" t="str">
        <v>Next Month</v>
      </c>
      <c r="C8" t="str">
        <v>Millions</v>
      </c>
      <c r="E8" t="s">
        <v>669</v>
      </c>
      <c r="F8" s="2">
        <f>LatestMonthOfActuals+1</f>
        <v>45992</v>
      </c>
      <c r="G8" s="2">
        <f>EOMONTH(LatestMonthOfActuals,1)</f>
        <v>46022</v>
      </c>
      <c r="H8" s="5" t="str">
        <f>TEXT(G8,"MMMM YYY")</f>
        <v>December 2025</v>
      </c>
      <c r="I8">
        <f>(YEAR(PeriodTable[[#This Row],[End date]])-YEAR(PeriodTable[[#This Row],[Start date]]))*12+(MONTH(PeriodTable[[#This Row],[End date]])-MONTH(PeriodTable[[#This Row],[Start date]]))+1</f>
        <v>1</v>
      </c>
      <c r="J8" s="2">
        <f>EOMONTH(PeriodTable[[#This Row],[Start date]],-PeriodTable[[#This Row],[Periods]]-1)+1</f>
        <v>45962</v>
      </c>
      <c r="K8" s="2">
        <f>EOMONTH(PeriodTable[[#This Row],[Prior Period Start]],PeriodTable[[#This Row],[Periods]]-1)</f>
        <v>45991</v>
      </c>
      <c r="L8" s="5" t="str">
        <f>TEXT(K8,"MMMM YYY")</f>
        <v>November 2025</v>
      </c>
      <c r="M8" s="2">
        <f>EOMONTH(PeriodTable[[#This Row],[Start date]],-13)+1</f>
        <v>45627</v>
      </c>
      <c r="N8" s="2">
        <f>EOMONTH(PeriodTable[[#This Row],[Prior Year Start]],PeriodTable[[#This Row],[Periods]]-1)</f>
        <v>45657</v>
      </c>
      <c r="O8" t="str">
        <f>TEXT(N8,"MMMM YYY")</f>
        <v>December 2024</v>
      </c>
      <c r="Q8" t="s">
        <v>670</v>
      </c>
      <c r="R8" s="6" t="s">
        <v>671</v>
      </c>
      <c r="T8" t="str">
        <v>12 month avg</v>
      </c>
    </row>
    <row r="9" spans="1:20">
      <c r="B9" s="3" t="str">
        <v>This Quarter</v>
      </c>
      <c r="C9" t="str">
        <v>Millions Var</v>
      </c>
      <c r="E9" t="s">
        <v>672</v>
      </c>
      <c r="F9" s="2">
        <f>EOMONTH(DATE(YEAR(LatestMonthOfActuals),ROUNDUP((MONTH(LatestMonthOfActuals)-Fiscal_Offset+12)/3,0)*3-2+Fiscal_Offset-12,1),-1)+1</f>
        <v>45931</v>
      </c>
      <c r="G9" s="2">
        <f>EOMONTH(DATE(YEAR(LatestMonthOfActuals),ROUNDUP((MONTH(LatestMonthOfActuals)-Fiscal_Offset+12)/3,0)*3+Fiscal_Offset-12,1),0)</f>
        <v>46022</v>
      </c>
      <c r="H9" s="5" t="str">
        <f>"Q"&amp;ROUNDUP((MOD(MONTH(LatestMonthOfActuals)-Fiscal_Offset+11,12)+1)/3,0)&amp;" "&amp;(YEAR(LatestMonthOfActuals)-IF(MONTH(LatestMonthOfActuals)&lt;=Fiscal_Offset,1,0))</f>
        <v>Q4 2025</v>
      </c>
      <c r="I9">
        <f>(YEAR(PeriodTable[[#This Row],[End date]])-YEAR(PeriodTable[[#This Row],[Start date]]))*12+(MONTH(PeriodTable[[#This Row],[End date]])-MONTH(PeriodTable[[#This Row],[Start date]]))+1</f>
        <v>3</v>
      </c>
      <c r="J9" s="2">
        <f>EOMONTH(PeriodTable[[#This Row],[Start date]],-PeriodTable[[#This Row],[Periods]]-1)+1</f>
        <v>45839</v>
      </c>
      <c r="K9" s="2">
        <f>EOMONTH(PeriodTable[[#This Row],[Prior Period Start]],PeriodTable[[#This Row],[Periods]]-1)</f>
        <v>45930</v>
      </c>
      <c r="L9" s="5" t="str">
        <f>"Q"&amp;ROUNDUP((MOD(MONTH(K9)-Fiscal_Offset+11,12)+1)/3,0)&amp;" "&amp;(YEAR(K9)-IF(MONTH(K9)&lt;=Fiscal_Offset,1,0))</f>
        <v>Q3 2025</v>
      </c>
      <c r="M9" s="2">
        <f>EOMONTH(PeriodTable[[#This Row],[Start date]],-13)+1</f>
        <v>45566</v>
      </c>
      <c r="N9" s="2">
        <f>EOMONTH(PeriodTable[[#This Row],[Prior Year Start]],PeriodTable[[#This Row],[Periods]]-1)</f>
        <v>45657</v>
      </c>
      <c r="O9" t="str">
        <f>"Q"&amp;ROUNDUP((MOD(MONTH(N9)-Fiscal_Offset+11,12)+1)/3,0)&amp;" "&amp;(YEAR(N9)-IF(MONTH(N9)&lt;=Fiscal_Offset,1,0))</f>
        <v>Q4 2024</v>
      </c>
      <c r="Q9" t="s">
        <v>673</v>
      </c>
      <c r="R9" s="6" t="s">
        <v>674</v>
      </c>
      <c r="T9" t="str">
        <v>Prior month</v>
      </c>
    </row>
    <row r="10" spans="1:20">
      <c r="B10" s="3" t="str">
        <v>Last Quarter</v>
      </c>
      <c r="C10" t="str">
        <v>Thousands</v>
      </c>
      <c r="E10" t="s">
        <v>675</v>
      </c>
      <c r="F10" s="2">
        <f>EDATE(F9,-3)</f>
        <v>45839</v>
      </c>
      <c r="G10" s="2">
        <f>EOMONTH(G9,-3)</f>
        <v>45930</v>
      </c>
      <c r="H10" s="5" t="str">
        <f>"Q"&amp;ROUNDUP((MOD(MONTH(F10)-Fiscal_Offset+11,12)+1)/3,0)&amp;" "&amp;(YEAR(F10)-IF(MONTH(F10)&lt;=Fiscal_Offset,1,0))</f>
        <v>Q3 2025</v>
      </c>
      <c r="I10">
        <f>(YEAR(PeriodTable[[#This Row],[End date]])-YEAR(PeriodTable[[#This Row],[Start date]]))*12+(MONTH(PeriodTable[[#This Row],[End date]])-MONTH(PeriodTable[[#This Row],[Start date]]))+1</f>
        <v>3</v>
      </c>
      <c r="J10" s="2">
        <f>EOMONTH(PeriodTable[[#This Row],[Start date]],-PeriodTable[[#This Row],[Periods]]-1)+1</f>
        <v>45748</v>
      </c>
      <c r="K10" s="2">
        <f>EOMONTH(PeriodTable[[#This Row],[Prior Period Start]],PeriodTable[[#This Row],[Periods]]-1)</f>
        <v>45838</v>
      </c>
      <c r="L10" s="5" t="str">
        <f>"Q"&amp;ROUNDUP((MOD(MONTH(J10)-Fiscal_Offset+11,12)+1)/3,0)&amp;" "&amp;(YEAR(J10)-IF(MONTH(J10)&lt;=Fiscal_Offset,1,0))</f>
        <v>Q2 2025</v>
      </c>
      <c r="M10" s="2">
        <f>EOMONTH(PeriodTable[[#This Row],[Start date]],-13)+1</f>
        <v>45474</v>
      </c>
      <c r="N10" s="2">
        <f>EOMONTH(PeriodTable[[#This Row],[Prior Year Start]],PeriodTable[[#This Row],[Periods]]-1)</f>
        <v>45565</v>
      </c>
      <c r="O10" s="5" t="str">
        <f>"Q"&amp;ROUNDUP((MOD(MONTH(M10)-Fiscal_Offset+11,12)+1)/3,0)&amp;" "&amp;(YEAR(M10)-IF(MONTH(M10)&lt;=Fiscal_Offset,1,0))</f>
        <v>Q3 2024</v>
      </c>
      <c r="Q10" t="s">
        <v>676</v>
      </c>
      <c r="R10" t="s">
        <v>677</v>
      </c>
      <c r="T10" t="str">
        <v>Prior year</v>
      </c>
    </row>
    <row r="11" spans="1:20" s="8" customFormat="1" ht="30">
      <c r="B11" s="3" t="str">
        <v>Next Quarter</v>
      </c>
      <c r="C11" s="8" t="str">
        <v>Thousands Var</v>
      </c>
      <c r="E11" t="s">
        <v>678</v>
      </c>
      <c r="F11" s="2">
        <f>EDATE(F9,3)</f>
        <v>46023</v>
      </c>
      <c r="G11" s="2">
        <f>EOMONTH(G9,3)</f>
        <v>46112</v>
      </c>
      <c r="H11" s="5" t="str">
        <f>"Q"&amp;ROUNDUP((MOD(MONTH(F11)-Fiscal_Offset+11,12)+1)/3,0)&amp;" "&amp;(YEAR(F11)-IF(MONTH(F11)&lt;=Fiscal_Offset,1,0))</f>
        <v>Q1 2026</v>
      </c>
      <c r="I11">
        <f>(YEAR(PeriodTable[[#This Row],[End date]])-YEAR(PeriodTable[[#This Row],[Start date]]))*12+(MONTH(PeriodTable[[#This Row],[End date]])-MONTH(PeriodTable[[#This Row],[Start date]]))+1</f>
        <v>3</v>
      </c>
      <c r="J11" s="2">
        <f>EOMONTH(PeriodTable[[#This Row],[Start date]],-PeriodTable[[#This Row],[Periods]]-1)+1</f>
        <v>45931</v>
      </c>
      <c r="K11" s="2">
        <f>EOMONTH(PeriodTable[[#This Row],[Prior Period Start]],PeriodTable[[#This Row],[Periods]]-1)</f>
        <v>46022</v>
      </c>
      <c r="L11" s="5" t="str">
        <f>"Q"&amp;ROUNDUP((MOD(MONTH(J11)-Fiscal_Offset+11,12)+1)/3,0)&amp;" "&amp;(YEAR(J11)-IF(MONTH(J11)&lt;=Fiscal_Offset,1,0))</f>
        <v>Q4 2025</v>
      </c>
      <c r="M11" s="2">
        <f>EOMONTH(PeriodTable[[#This Row],[Start date]],-13)+1</f>
        <v>45658</v>
      </c>
      <c r="N11" s="2">
        <f>EOMONTH(PeriodTable[[#This Row],[Prior Year Start]],PeriodTable[[#This Row],[Periods]]-1)</f>
        <v>45747</v>
      </c>
      <c r="O11" s="5" t="str">
        <f>"Q"&amp;ROUNDUP((MOD(MONTH(M11)-Fiscal_Offset+11,12)+1)/3,0)&amp;" "&amp;(YEAR(M11)-IF(MONTH(M11)&lt;=Fiscal_Offset,1,0))</f>
        <v>Q1 2025</v>
      </c>
      <c r="Q11" s="8" t="s">
        <v>679</v>
      </c>
      <c r="R11" s="6" t="s">
        <v>680</v>
      </c>
      <c r="T11" s="8" t="str">
        <v>Monthly assumption</v>
      </c>
    </row>
    <row r="12" spans="1:20">
      <c r="B12" s="3" t="str">
        <v>This Year</v>
      </c>
      <c r="C12" t="str">
        <v>%</v>
      </c>
      <c r="E12" t="s">
        <v>681</v>
      </c>
      <c r="F12" s="2">
        <f>DATE(YEAR(LatestMonthOfActuals)-IF(MONTH(LatestMonthOfActuals)&lt;=Fiscal_Offset,1,0),Fiscal_Offset+1,1)</f>
        <v>45658</v>
      </c>
      <c r="G12" s="2">
        <f>EOMONTH(PeriodTable[[#This Row],[Start date]],11)</f>
        <v>46022</v>
      </c>
      <c r="H12" s="5">
        <f>YEAR(PeriodTable[[#This Row],[Start date]])</f>
        <v>2025</v>
      </c>
      <c r="I12">
        <f>(YEAR(PeriodTable[[#This Row],[End date]])-YEAR(PeriodTable[[#This Row],[Start date]]))*12+(MONTH(PeriodTable[[#This Row],[End date]])-MONTH(PeriodTable[[#This Row],[Start date]]))+1</f>
        <v>12</v>
      </c>
      <c r="J12" s="2">
        <f>EOMONTH(PeriodTable[[#This Row],[Start date]],-PeriodTable[[#This Row],[Periods]]-1)+1</f>
        <v>45292</v>
      </c>
      <c r="K12" s="2">
        <f>EOMONTH(PeriodTable[[#This Row],[Prior Period Start]],PeriodTable[[#This Row],[Periods]]-1)</f>
        <v>45657</v>
      </c>
      <c r="L12" s="5">
        <f>YEAR(PeriodTable[[#This Row],[Prior Period Start]])</f>
        <v>2024</v>
      </c>
      <c r="M12" s="2">
        <f>EOMONTH(PeriodTable[[#This Row],[Start date]],-13)+1</f>
        <v>45292</v>
      </c>
      <c r="N12" s="2">
        <f>EOMONTH(PeriodTable[[#This Row],[Prior Year Start]],PeriodTable[[#This Row],[Periods]]-1)</f>
        <v>45657</v>
      </c>
      <c r="O12">
        <f>YEAR(PeriodTable[[#This Row],[Prior Year Start]])</f>
        <v>2024</v>
      </c>
      <c r="Q12" t="s">
        <v>121</v>
      </c>
      <c r="R12" s="7" t="s">
        <v>682</v>
      </c>
      <c r="T12" t="str">
        <v>Quarterly assumption</v>
      </c>
    </row>
    <row r="13" spans="1:20">
      <c r="B13" s="3" t="str">
        <v>Last Year</v>
      </c>
      <c r="C13" t="str">
        <v>% Var</v>
      </c>
      <c r="E13" t="s">
        <v>683</v>
      </c>
      <c r="F13" s="2">
        <f>EDATE(F12,-12)</f>
        <v>45292</v>
      </c>
      <c r="G13" s="2">
        <f>EOMONTH(PeriodTable[[#This Row],[Start date]],11)</f>
        <v>45657</v>
      </c>
      <c r="H13" s="5">
        <f>YEAR(PeriodTable[[#This Row],[Start date]])</f>
        <v>2024</v>
      </c>
      <c r="I13">
        <f>(YEAR(PeriodTable[[#This Row],[End date]])-YEAR(PeriodTable[[#This Row],[Start date]]))*12+(MONTH(PeriodTable[[#This Row],[End date]])-MONTH(PeriodTable[[#This Row],[Start date]]))+1</f>
        <v>12</v>
      </c>
      <c r="J13" s="2">
        <f>EOMONTH(PeriodTable[[#This Row],[Start date]],-PeriodTable[[#This Row],[Periods]]-1)+1</f>
        <v>44927</v>
      </c>
      <c r="K13" s="2">
        <f>EOMONTH(PeriodTable[[#This Row],[Prior Period Start]],PeriodTable[[#This Row],[Periods]]-1)</f>
        <v>45291</v>
      </c>
      <c r="L13" s="5">
        <f>YEAR(PeriodTable[[#This Row],[Prior Period Start]])</f>
        <v>2023</v>
      </c>
      <c r="M13" s="2">
        <f>EOMONTH(PeriodTable[[#This Row],[Start date]],-13)+1</f>
        <v>44927</v>
      </c>
      <c r="N13" s="2">
        <f>EOMONTH(PeriodTable[[#This Row],[Prior Year Start]],PeriodTable[[#This Row],[Periods]]-1)</f>
        <v>45291</v>
      </c>
      <c r="O13">
        <f>YEAR(PeriodTable[[#This Row],[Prior Year Start]])</f>
        <v>2023</v>
      </c>
      <c r="Q13" t="s">
        <v>684</v>
      </c>
      <c r="R13" s="7" t="s">
        <v>685</v>
      </c>
      <c r="T13" t="str">
        <v>Annual assumption</v>
      </c>
    </row>
    <row r="14" spans="1:20">
      <c r="B14" s="3" t="str">
        <v>Next Year</v>
      </c>
      <c r="C14" t="str">
        <v>2 Decimal</v>
      </c>
      <c r="E14" t="s">
        <v>686</v>
      </c>
      <c r="F14" s="2">
        <f>EDATE(F12,12)</f>
        <v>46023</v>
      </c>
      <c r="G14" s="2">
        <f>EOMONTH(PeriodTable[[#This Row],[Start date]],11)</f>
        <v>46387</v>
      </c>
      <c r="H14" s="5">
        <f>YEAR(PeriodTable[[#This Row],[Start date]])</f>
        <v>2026</v>
      </c>
      <c r="I14">
        <f>(YEAR(PeriodTable[[#This Row],[End date]])-YEAR(PeriodTable[[#This Row],[Start date]]))*12+(MONTH(PeriodTable[[#This Row],[End date]])-MONTH(PeriodTable[[#This Row],[Start date]]))+1</f>
        <v>12</v>
      </c>
      <c r="J14" s="2">
        <f>EOMONTH(PeriodTable[[#This Row],[Start date]],-PeriodTable[[#This Row],[Periods]]-1)+1</f>
        <v>45658</v>
      </c>
      <c r="K14" s="2">
        <f>EOMONTH(PeriodTable[[#This Row],[Prior Period Start]],PeriodTable[[#This Row],[Periods]]-1)</f>
        <v>46022</v>
      </c>
      <c r="L14" s="5">
        <f>YEAR(PeriodTable[[#This Row],[Prior Period Start]])</f>
        <v>2025</v>
      </c>
      <c r="M14" s="2">
        <f>EOMONTH(PeriodTable[[#This Row],[Start date]],-13)+1</f>
        <v>45658</v>
      </c>
      <c r="N14" s="2">
        <f>EOMONTH(PeriodTable[[#This Row],[Prior Year Start]],PeriodTable[[#This Row],[Periods]]-1)</f>
        <v>46022</v>
      </c>
      <c r="O14">
        <f>YEAR(PeriodTable[[#This Row],[Prior Year Start]])</f>
        <v>2025</v>
      </c>
      <c r="Q14" t="s">
        <v>687</v>
      </c>
      <c r="R14" t="s">
        <v>688</v>
      </c>
      <c r="T14" t="str">
        <v>% of Revenue</v>
      </c>
    </row>
    <row r="15" spans="1:20">
      <c r="B15" s="3" t="str">
        <v>YTD</v>
      </c>
      <c r="C15" t="str">
        <v>2 Decimal Var</v>
      </c>
      <c r="E15" t="s">
        <v>166</v>
      </c>
      <c r="F15" s="2">
        <f>DATE(YEAR(LatestMonthOfActuals)-IF(MONTH(LatestMonthOfActuals)&lt;=Fiscal_Offset,1,0),Fiscal_Offset+1,1)</f>
        <v>45658</v>
      </c>
      <c r="G15" s="2">
        <f>LatestMonthOfActuals</f>
        <v>45991</v>
      </c>
      <c r="H15" s="5" t="str">
        <f>TEXT(F15,"MMMM YYYY")&amp;IF(EOMONTH(PeriodTable[[#This Row],[Start date]],0)=PeriodTable[[#This Row],[End date]],""," - "&amp;TEXT(G15,"MMMM YYYY"))</f>
        <v>January 2025 - November 2025</v>
      </c>
      <c r="I15">
        <f>(YEAR(PeriodTable[[#This Row],[End date]])-YEAR(PeriodTable[[#This Row],[Start date]]))*12+(MONTH(PeriodTable[[#This Row],[End date]])-MONTH(PeriodTable[[#This Row],[Start date]]))+1</f>
        <v>11</v>
      </c>
      <c r="J15" s="2">
        <f>EOMONTH(PeriodTable[[#This Row],[Start date]],-PeriodTable[[#This Row],[Periods]]-1)+1</f>
        <v>45323</v>
      </c>
      <c r="K15" s="2">
        <f>EOMONTH(PeriodTable[[#This Row],[Prior Period Start]],PeriodTable[[#This Row],[Periods]]-1)</f>
        <v>45657</v>
      </c>
      <c r="L15" s="5" t="str">
        <f>TEXT(J15,"MMM-YY")&amp;IF(EOMONTH(J15,0)=PeriodTable[[#This Row],[Prior Period End]],""," - "&amp;TEXT(K15,"MMM-YY"))</f>
        <v>Feb-24 - Dec-24</v>
      </c>
      <c r="M15" s="2">
        <f>EOMONTH(PeriodTable[[#This Row],[Start date]],-13)+1</f>
        <v>45292</v>
      </c>
      <c r="N15" s="2">
        <f>EOMONTH(PeriodTable[[#This Row],[Prior Year Start]],PeriodTable[[#This Row],[Periods]]-1)</f>
        <v>45626</v>
      </c>
      <c r="O15" t="str">
        <f>TEXT(M15,"MMM-YY")&amp;" - "&amp;TEXT(N15,"MMM-YY")</f>
        <v>Jan-24 - Nov-24</v>
      </c>
      <c r="Q15" t="s">
        <v>689</v>
      </c>
      <c r="R15" s="6" t="s">
        <v>690</v>
      </c>
      <c r="T15" t="str">
        <v>Headcount</v>
      </c>
    </row>
    <row r="16" spans="1:20">
      <c r="B16" s="3" t="str">
        <v>Forecast</v>
      </c>
      <c r="C16" t="str">
        <v>Months</v>
      </c>
      <c r="E16" t="s">
        <v>691</v>
      </c>
      <c r="F16" s="2">
        <f>LatestMonthOfActuals+1</f>
        <v>45992</v>
      </c>
      <c r="G16" s="2">
        <f>EOMONTH(DATE(YEAR(LatestMonthOfActuals)-IF(MONTH(LatestMonthOfActuals)&lt;=Fiscal_Offset,1,0),12+Fiscal_Offset,1),0)</f>
        <v>46022</v>
      </c>
      <c r="H16" s="5" t="str">
        <f>TEXT(F16,"MMMM YYYY")&amp;IF(EOMONTH(PeriodTable[[#This Row],[Start date]],0)=PeriodTable[[#This Row],[End date]],""," - "&amp;TEXT(G16,"MMMM YYYY"))</f>
        <v>December 2025</v>
      </c>
      <c r="I16">
        <f>(YEAR(PeriodTable[[#This Row],[End date]])-YEAR(PeriodTable[[#This Row],[Start date]]))*12+(MONTH(PeriodTable[[#This Row],[End date]])-MONTH(PeriodTable[[#This Row],[Start date]]))+1</f>
        <v>1</v>
      </c>
      <c r="J16" s="2">
        <f>EOMONTH(PeriodTable[[#This Row],[Start date]],-PeriodTable[[#This Row],[Periods]]-1)+1</f>
        <v>45962</v>
      </c>
      <c r="K16" s="2">
        <f>EOMONTH(PeriodTable[[#This Row],[Prior Period Start]],PeriodTable[[#This Row],[Periods]]-1)</f>
        <v>45991</v>
      </c>
      <c r="L16" s="5" t="str">
        <f>TEXT(J16,"MMM-YY")&amp;IF(EOMONTH(J16,0)=PeriodTable[[#This Row],[Prior Period End]],""," - "&amp;TEXT(K16,"MMM-YY"))</f>
        <v>Nov-25</v>
      </c>
      <c r="M16" s="2">
        <f>EOMONTH(PeriodTable[[#This Row],[Start date]],-13)+1</f>
        <v>45627</v>
      </c>
      <c r="N16" s="2">
        <f>EOMONTH(PeriodTable[[#This Row],[Prior Year Start]],PeriodTable[[#This Row],[Periods]]-1)</f>
        <v>45657</v>
      </c>
      <c r="O16" t="str">
        <f>TEXT(M16,"MMM-YY")&amp;" - "&amp;TEXT(N16,"MMM-YY")</f>
        <v>Dec-24 - Dec-24</v>
      </c>
      <c r="Q16" t="s">
        <v>692</v>
      </c>
      <c r="R16" t="s">
        <v>693</v>
      </c>
      <c r="T16" t="str">
        <v>0</v>
      </c>
    </row>
    <row r="17" spans="2:20">
      <c r="B17" s="3" t="str">
        <v>Quarter to Date</v>
      </c>
      <c r="C17" s="3"/>
      <c r="E17" t="s">
        <v>694</v>
      </c>
      <c r="F17" s="2">
        <f>EOMONTH(DATE(YEAR(LatestMonthOfActuals),ROUNDUP((MONTH(LatestMonthOfActuals)-Fiscal_Offset+12)/3,0)*3-2+Fiscal_Offset-12,1),-1)+1</f>
        <v>45931</v>
      </c>
      <c r="G17" s="2">
        <f>LatestMonthOfActuals</f>
        <v>45991</v>
      </c>
      <c r="H17" s="5" t="str">
        <f>TEXT(F17,"MMMM YYYY")&amp;IF(EOMONTH(PeriodTable[[#This Row],[Start date]],0)=PeriodTable[[#This Row],[End date]],""," - "&amp;TEXT(G17,"MMMM YYYY"))</f>
        <v>October 2025 - November 2025</v>
      </c>
      <c r="I17">
        <f>(YEAR(PeriodTable[[#This Row],[End date]])-YEAR(PeriodTable[[#This Row],[Start date]]))*12+(MONTH(PeriodTable[[#This Row],[End date]])-MONTH(PeriodTable[[#This Row],[Start date]]))+1</f>
        <v>2</v>
      </c>
      <c r="J17" s="2">
        <f>EOMONTH(PeriodTable[[#This Row],[Start date]],-PeriodTable[[#This Row],[Periods]]-1)+1</f>
        <v>45870</v>
      </c>
      <c r="K17" s="2">
        <f>EOMONTH(PeriodTable[[#This Row],[Prior Period Start]],PeriodTable[[#This Row],[Periods]]-1)</f>
        <v>45930</v>
      </c>
      <c r="L17" s="5" t="str">
        <f>TEXT(J17,"MMM-YY")&amp;IF(EOMONTH(J17,0)=PeriodTable[[#This Row],[Prior Period End]],""," - "&amp;TEXT(K17,"MMM-YY"))</f>
        <v>Aug-25 - Sep-25</v>
      </c>
      <c r="M17" s="2">
        <f>EOMONTH(PeriodTable[[#This Row],[Start date]],-13)+1</f>
        <v>45566</v>
      </c>
      <c r="N17" s="2">
        <f>EOMONTH(PeriodTable[[#This Row],[Prior Year Start]],PeriodTable[[#This Row],[Periods]]-1)</f>
        <v>45626</v>
      </c>
      <c r="O17" t="str">
        <f>TEXT(M17,"MMM-YY")&amp;IF(N17=EOMONTH(M17,0),""," - "&amp;TEXT(N17,"MMM-YY"))</f>
        <v>Oct-24 - Nov-24</v>
      </c>
      <c r="T17" t="str">
        <v>Custom</v>
      </c>
    </row>
    <row r="18" spans="2:20">
      <c r="B18" s="3" t="str">
        <v>Trailing 3 Months</v>
      </c>
      <c r="C18" s="3"/>
      <c r="E18" t="s">
        <v>695</v>
      </c>
      <c r="F18" s="2">
        <f>EOMONTH(LatestMonthOfActuals,-3)+1</f>
        <v>45901</v>
      </c>
      <c r="G18" s="2">
        <f>LatestMonthOfActuals</f>
        <v>45991</v>
      </c>
      <c r="H18" s="5" t="str">
        <f>TEXT(F18,"MMMM YYYY")&amp;" - "&amp;TEXT(G18,"MMMM YYYY")</f>
        <v>September 2025 - November 2025</v>
      </c>
      <c r="I18">
        <f>(YEAR(PeriodTable[[#This Row],[End date]])-YEAR(PeriodTable[[#This Row],[Start date]]))*12+(MONTH(PeriodTable[[#This Row],[End date]])-MONTH(PeriodTable[[#This Row],[Start date]]))+1</f>
        <v>3</v>
      </c>
      <c r="J18" s="2">
        <f>EOMONTH(PeriodTable[[#This Row],[Start date]],-PeriodTable[[#This Row],[Periods]]-1)+1</f>
        <v>45809</v>
      </c>
      <c r="K18" s="2">
        <f>EOMONTH(PeriodTable[[#This Row],[Prior Period Start]],PeriodTable[[#This Row],[Periods]]-1)</f>
        <v>45900</v>
      </c>
      <c r="L18" s="5" t="str">
        <f>TEXT(J18,"MMM-YY")&amp;IF(EOMONTH(J18,0)=PeriodTable[[#This Row],[Prior Period End]],""," - "&amp;TEXT(K18,"MMM-YY"))</f>
        <v>Jun-25 - Aug-25</v>
      </c>
      <c r="M18" s="2">
        <f>EOMONTH(PeriodTable[[#This Row],[Start date]],-13)+1</f>
        <v>45536</v>
      </c>
      <c r="N18" s="2">
        <f>EOMONTH(PeriodTable[[#This Row],[Prior Year Start]],PeriodTable[[#This Row],[Periods]]-1)</f>
        <v>45626</v>
      </c>
      <c r="O18" t="str">
        <f>TEXT(M18,"MMM-YY")&amp;" - "&amp;TEXT(N18,"MMM-YY")</f>
        <v>Sep-24 - Nov-24</v>
      </c>
    </row>
    <row r="19" spans="2:20">
      <c r="B19" s="3" t="str">
        <v>Trailing 6 Months</v>
      </c>
      <c r="C19" s="3"/>
      <c r="E19" t="s">
        <v>696</v>
      </c>
      <c r="F19" s="2">
        <f>EOMONTH(LatestMonthOfActuals,-6)+1</f>
        <v>45809</v>
      </c>
      <c r="G19" s="2">
        <f>LatestMonthOfActuals</f>
        <v>45991</v>
      </c>
      <c r="H19" s="5" t="str">
        <f>TEXT(F19,"MMMM YYYY")&amp;" - "&amp;TEXT(G19,"MMMM YYYY")</f>
        <v>June 2025 - November 2025</v>
      </c>
      <c r="I19">
        <f>(YEAR(PeriodTable[[#This Row],[End date]])-YEAR(PeriodTable[[#This Row],[Start date]]))*12+(MONTH(PeriodTable[[#This Row],[End date]])-MONTH(PeriodTable[[#This Row],[Start date]]))+1</f>
        <v>6</v>
      </c>
      <c r="J19" s="2">
        <f>EOMONTH(PeriodTable[[#This Row],[Start date]],-PeriodTable[[#This Row],[Periods]]-1)+1</f>
        <v>45627</v>
      </c>
      <c r="K19" s="2">
        <f>EOMONTH(PeriodTable[[#This Row],[Prior Period Start]],PeriodTable[[#This Row],[Periods]]-1)</f>
        <v>45808</v>
      </c>
      <c r="L19" s="5" t="str">
        <f>TEXT(J19,"MMM-YY")&amp;IF(EOMONTH(J19,0)=PeriodTable[[#This Row],[Prior Period End]],""," - "&amp;TEXT(K19,"MMM-YY"))</f>
        <v>Dec-24 - May-25</v>
      </c>
      <c r="M19" s="2">
        <f>EOMONTH(PeriodTable[[#This Row],[Start date]],-13)+1</f>
        <v>45444</v>
      </c>
      <c r="N19" s="2">
        <f>EOMONTH(PeriodTable[[#This Row],[Prior Year Start]],PeriodTable[[#This Row],[Periods]]-1)</f>
        <v>45626</v>
      </c>
      <c r="O19" t="str">
        <f>TEXT(M19,"MMM-YY")&amp;" - "&amp;TEXT(N19,"MMM-YY")</f>
        <v>Jun-24 - Nov-24</v>
      </c>
    </row>
    <row r="20" spans="2:20" ht="30">
      <c r="B20" s="3" t="str">
        <v>Trailing 12 Months</v>
      </c>
      <c r="C20" s="3"/>
      <c r="E20" t="s">
        <v>697</v>
      </c>
      <c r="F20" s="2">
        <f>EOMONTH(LatestMonthOfActuals,-12)+1</f>
        <v>45627</v>
      </c>
      <c r="G20" s="2">
        <f>LatestMonthOfActuals</f>
        <v>45991</v>
      </c>
      <c r="H20" s="5" t="str">
        <f>TEXT(F20,"MMMM YYYY")&amp;" - "&amp;TEXT(G20,"MMMM YYYY")</f>
        <v>December 2024 - November 2025</v>
      </c>
      <c r="I20">
        <f>(YEAR(PeriodTable[[#This Row],[End date]])-YEAR(PeriodTable[[#This Row],[Start date]]))*12+(MONTH(PeriodTable[[#This Row],[End date]])-MONTH(PeriodTable[[#This Row],[Start date]]))+1</f>
        <v>12</v>
      </c>
      <c r="J20" s="2">
        <f>EOMONTH(PeriodTable[[#This Row],[Start date]],-PeriodTable[[#This Row],[Periods]]-1)+1</f>
        <v>45261</v>
      </c>
      <c r="K20" s="2">
        <f>EOMONTH(PeriodTable[[#This Row],[Prior Period Start]],PeriodTable[[#This Row],[Periods]]-1)</f>
        <v>45626</v>
      </c>
      <c r="L20" s="5" t="str">
        <f>TEXT(J20,"MMM-YY")&amp;IF(EOMONTH(J20,0)=PeriodTable[[#This Row],[Prior Period End]],""," - "&amp;TEXT(K20,"MMM-YY"))</f>
        <v>Dec-23 - Nov-24</v>
      </c>
      <c r="M20" s="2">
        <f>EOMONTH(PeriodTable[[#This Row],[Start date]],-13)+1</f>
        <v>45261</v>
      </c>
      <c r="N20" s="2">
        <f>EOMONTH(PeriodTable[[#This Row],[Prior Year Start]],PeriodTable[[#This Row],[Periods]]-1)</f>
        <v>45626</v>
      </c>
      <c r="O20" t="str">
        <f>TEXT(M20,"MMM-YY")&amp;" - "&amp;TEXT(N20,"MMM-YY")</f>
        <v>Dec-23 - Nov-24</v>
      </c>
    </row>
    <row r="21" spans="2:20">
      <c r="B21" s="3" t="str">
        <v>Custom</v>
      </c>
      <c r="C21" s="3"/>
      <c r="F21" s="2"/>
      <c r="G21" s="2"/>
      <c r="J21" s="2"/>
      <c r="K21" s="2"/>
      <c r="M21" s="2"/>
      <c r="N21" s="2"/>
    </row>
    <row r="22" spans="2:20">
      <c r="B22" s="3"/>
      <c r="C22" s="3"/>
    </row>
    <row r="23" spans="2:20">
      <c r="B23" s="3"/>
      <c r="C23" s="3"/>
    </row>
    <row r="24" spans="2:20">
      <c r="B24" s="3"/>
      <c r="C24" s="3"/>
    </row>
    <row r="25" spans="2:20">
      <c r="B25" s="3"/>
      <c r="C25" s="3"/>
    </row>
    <row r="26" spans="2:20">
      <c r="B26" s="3"/>
      <c r="C26" s="3"/>
    </row>
    <row r="27" spans="2:20">
      <c r="B27" s="3"/>
      <c r="C27" s="3"/>
      <c r="E27" s="2"/>
      <c r="H27" s="4"/>
    </row>
    <row r="28" spans="2:20">
      <c r="B28" s="3"/>
      <c r="C28" s="3"/>
      <c r="E28" s="2"/>
    </row>
    <row r="29" spans="2:20">
      <c r="B29" s="3"/>
      <c r="C29" s="3"/>
      <c r="E29" s="2"/>
    </row>
    <row r="30" spans="2:20">
      <c r="B30" s="3"/>
      <c r="C30" s="3"/>
      <c r="E30" s="2"/>
    </row>
    <row r="31" spans="2:20">
      <c r="B31" s="3"/>
      <c r="C31" s="3"/>
      <c r="E31" s="2"/>
    </row>
    <row r="32" spans="2:20">
      <c r="B32" s="3"/>
      <c r="C32" s="3"/>
      <c r="E32" s="2"/>
    </row>
    <row r="33" spans="2:5">
      <c r="B33" s="3"/>
      <c r="C33" s="3"/>
      <c r="E33" s="2"/>
    </row>
    <row r="34" spans="2:5">
      <c r="B34" s="3"/>
      <c r="C34" s="3"/>
      <c r="E34" s="2"/>
    </row>
    <row r="35" spans="2:5">
      <c r="B35" s="3"/>
      <c r="C35" s="3"/>
      <c r="E35" s="2"/>
    </row>
    <row r="36" spans="2:5">
      <c r="B36" s="3"/>
      <c r="C36" s="3"/>
      <c r="E36" s="2"/>
    </row>
    <row r="37" spans="2:5">
      <c r="B37" s="3"/>
      <c r="C37" s="3"/>
      <c r="E37" s="2"/>
    </row>
    <row r="38" spans="2:5">
      <c r="B38" s="3"/>
      <c r="C38" s="3"/>
      <c r="E38" s="2"/>
    </row>
    <row r="39" spans="2:5">
      <c r="B39" s="3"/>
      <c r="C39" s="3"/>
      <c r="E39" s="2"/>
    </row>
    <row r="40" spans="2:5">
      <c r="B40" s="3"/>
      <c r="C40" s="3"/>
      <c r="E40" s="2"/>
    </row>
    <row r="41" spans="2:5">
      <c r="B41" s="3"/>
      <c r="C41" s="3"/>
    </row>
    <row r="42" spans="2:5">
      <c r="B42" s="3"/>
      <c r="C42" s="3"/>
    </row>
    <row r="43" spans="2:5">
      <c r="B43" s="3"/>
      <c r="C43" s="3"/>
    </row>
    <row r="44" spans="2:5">
      <c r="B44" s="3"/>
      <c r="C44" s="3"/>
    </row>
    <row r="45" spans="2:5">
      <c r="B45" s="3"/>
      <c r="C45" s="3"/>
    </row>
    <row r="46" spans="2:5">
      <c r="B46" s="3"/>
      <c r="C46" s="3"/>
    </row>
    <row r="47" spans="2:5">
      <c r="B47" s="3"/>
      <c r="C47" s="3"/>
    </row>
    <row r="48" spans="2:5">
      <c r="B48" s="3"/>
      <c r="C48" s="3"/>
    </row>
    <row r="49" spans="2:3">
      <c r="B49" s="3"/>
      <c r="C49" s="3"/>
    </row>
    <row r="50" spans="2:3">
      <c r="B50" s="3"/>
      <c r="C50" s="3"/>
    </row>
    <row r="51" spans="2:3">
      <c r="B51" s="3"/>
      <c r="C51" s="3"/>
    </row>
    <row r="52" spans="2:3">
      <c r="B52" s="3"/>
      <c r="C52" s="3"/>
    </row>
    <row r="53" spans="2:3">
      <c r="B53" s="3"/>
      <c r="C53" s="3"/>
    </row>
    <row r="54" spans="2:3">
      <c r="B54" s="3"/>
      <c r="C54" s="3"/>
    </row>
    <row r="55" spans="2:3">
      <c r="B55" s="3"/>
      <c r="C55" s="3"/>
    </row>
    <row r="56" spans="2:3">
      <c r="B56" s="3"/>
      <c r="C56" s="3"/>
    </row>
    <row r="57" spans="2:3">
      <c r="B57" s="3"/>
      <c r="C57" s="3"/>
    </row>
    <row r="58" spans="2:3">
      <c r="B58" s="3"/>
      <c r="C58" s="3"/>
    </row>
    <row r="59" spans="2:3">
      <c r="B59" s="3"/>
      <c r="C59" s="3"/>
    </row>
    <row r="60" spans="2:3">
      <c r="B60" s="3"/>
      <c r="C60" s="3"/>
    </row>
    <row r="61" spans="2:3">
      <c r="B61" s="3"/>
      <c r="C61" s="3"/>
    </row>
    <row r="62" spans="2:3">
      <c r="B62" s="3"/>
      <c r="C62" s="3"/>
    </row>
    <row r="63" spans="2:3">
      <c r="B63" s="3"/>
      <c r="C63" s="3"/>
    </row>
    <row r="64" spans="2:3">
      <c r="B64" s="3"/>
      <c r="C64" s="3"/>
    </row>
    <row r="65" spans="2:3">
      <c r="B65" s="3"/>
      <c r="C65" s="3"/>
    </row>
  </sheetData>
  <pageMargins left="0.7" right="0.7" top="0.75" bottom="0.75" header="0.3" footer="0.3"/>
  <pageSetup orientation="portrait" r:id="rId1"/>
  <customProperties>
    <customPr name="sheetName" r:id="rId2"/>
  </customProperties>
  <tableParts count="2">
    <tablePart r:id="rId3"/>
    <tablePart r:id="rId4"/>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01A3B-28FF-4745-AA4E-310C89A3114F}">
  <sheetPr>
    <outlinePr summaryBelow="0" summaryRight="0"/>
  </sheetPr>
  <dimension ref="B1:H112"/>
  <sheetViews>
    <sheetView showGridLines="0" workbookViewId="0">
      <selection activeCell="C13" sqref="C13"/>
    </sheetView>
  </sheetViews>
  <sheetFormatPr defaultColWidth="10.28515625" defaultRowHeight="15" outlineLevelRow="1"/>
  <cols>
    <col min="1" max="1" width="2.7109375" style="13" customWidth="1"/>
    <col min="2" max="2" width="32" style="13" customWidth="1"/>
    <col min="3" max="3" width="12.7109375" style="14" bestFit="1" customWidth="1"/>
    <col min="4" max="4" width="67" style="13" customWidth="1"/>
    <col min="5" max="5" width="4.7109375" style="13" customWidth="1"/>
    <col min="6" max="6" width="3.28515625" style="13" customWidth="1"/>
    <col min="7" max="7" width="1.140625" style="13" bestFit="1" customWidth="1"/>
    <col min="8" max="8" width="9.42578125" style="13" bestFit="1" customWidth="1"/>
    <col min="9" max="9" width="12.42578125" style="13" bestFit="1" customWidth="1"/>
    <col min="10" max="10" width="18" style="13" bestFit="1" customWidth="1"/>
    <col min="11" max="11" width="19.28515625" style="13" customWidth="1"/>
    <col min="12" max="13" width="10.28515625" style="13" customWidth="1"/>
    <col min="14" max="14" width="10.7109375" style="13" bestFit="1" customWidth="1"/>
    <col min="15" max="16384" width="10.28515625" style="13"/>
  </cols>
  <sheetData>
    <row r="1" spans="2:8" ht="24">
      <c r="B1" s="39" t="s">
        <v>59</v>
      </c>
      <c r="C1" s="38"/>
      <c r="D1" s="37"/>
      <c r="E1" s="36"/>
    </row>
    <row r="2" spans="2:8" ht="15.75">
      <c r="B2" s="27" t="s">
        <v>411</v>
      </c>
      <c r="C2" s="35"/>
      <c r="D2" s="34"/>
      <c r="E2" s="33"/>
    </row>
    <row r="3" spans="2:8" outlineLevel="1">
      <c r="B3" s="31" t="s">
        <v>698</v>
      </c>
      <c r="C3" s="32"/>
      <c r="D3" s="854" t="s">
        <v>699</v>
      </c>
      <c r="E3" s="855"/>
    </row>
    <row r="4" spans="2:8" outlineLevel="1">
      <c r="B4" s="31" t="s">
        <v>700</v>
      </c>
      <c r="C4" s="30"/>
      <c r="D4" s="856" t="s">
        <v>701</v>
      </c>
      <c r="E4" s="857"/>
      <c r="G4" s="29" t="e" vm="7">
        <v>#VALUE!</v>
      </c>
      <c r="H4" s="28" t="s">
        <v>702</v>
      </c>
    </row>
    <row r="5" spans="2:8" outlineLevel="1">
      <c r="B5" s="31" t="s">
        <v>703</v>
      </c>
      <c r="C5" s="30"/>
      <c r="D5" s="858" t="s">
        <v>704</v>
      </c>
      <c r="E5" s="859"/>
      <c r="G5" s="29" t="e" vm="8">
        <v>#VALUE!</v>
      </c>
      <c r="H5" s="28" t="s">
        <v>705</v>
      </c>
    </row>
    <row r="7" spans="2:8" ht="15.75">
      <c r="B7" s="27" t="s">
        <v>59</v>
      </c>
      <c r="C7" s="26"/>
      <c r="D7" s="26"/>
      <c r="E7" s="25"/>
    </row>
    <row r="8" spans="2:8">
      <c r="B8" s="24" t="s">
        <v>706</v>
      </c>
      <c r="C8" s="24" t="s">
        <v>155</v>
      </c>
      <c r="D8" s="24" t="s">
        <v>707</v>
      </c>
      <c r="E8" s="24"/>
    </row>
    <row r="9" spans="2:8">
      <c r="B9" s="23" t="s">
        <v>51</v>
      </c>
      <c r="C9" s="22" cm="1">
        <f t="array" ref="C9">COUNTIF('Summary Financials'!J149:CG157,"&gt;= 1") + COUNTIF('Summary Financials'!J149:CG157,"&lt;= -1") + SUM(--ISERROR('Summary Financials'!J149:CG157))</f>
        <v>0</v>
      </c>
      <c r="D9" s="21" t="str">
        <f t="shared" ref="D9:D19" si="0">IF(OR($C9&gt;0.5,$C9&lt;-0.5),"See Check at the bottom of " &amp;  B9,"No Errors")</f>
        <v>No Errors</v>
      </c>
      <c r="E9" s="20" t="e" vm="9">
        <f t="shared" ref="E9:E19" si="1">IF($D9="No Errors",$G$5,$G$4)</f>
        <v>#VALUE!</v>
      </c>
    </row>
    <row r="10" spans="2:8">
      <c r="B10" s="23" t="s">
        <v>53</v>
      </c>
      <c r="C10" s="22" cm="1">
        <f t="array" ref="C10">COUNTIF('Income Statement'!F65:BY70,"&gt;= 1") + COUNTIF('Income Statement'!F65:BY70,"&lt;= -1") + SUM(--ISERROR('Income Statement'!F65:BY70))</f>
        <v>0</v>
      </c>
      <c r="D10" s="21" t="str">
        <f t="shared" si="0"/>
        <v>No Errors</v>
      </c>
      <c r="E10" s="20" t="e" vm="9">
        <f t="shared" si="1"/>
        <v>#VALUE!</v>
      </c>
    </row>
    <row r="11" spans="2:8">
      <c r="B11" s="23" t="s">
        <v>55</v>
      </c>
      <c r="C11" s="22" cm="1">
        <f t="array" ref="C11">COUNTIF('Balance Sheet'!F66:BY69,"&gt;= 1") + COUNTIF('Balance Sheet'!F66:BY69,"&lt;= -1") + SUM(--ISERROR('Balance Sheet'!F66:BY69))</f>
        <v>0</v>
      </c>
      <c r="D11" s="21" t="str">
        <f t="shared" si="0"/>
        <v>No Errors</v>
      </c>
      <c r="E11" s="20" t="e" vm="9">
        <f t="shared" si="1"/>
        <v>#VALUE!</v>
      </c>
    </row>
    <row r="12" spans="2:8">
      <c r="B12" s="23" t="s">
        <v>57</v>
      </c>
      <c r="C12" s="22" cm="1">
        <f t="array" ref="C12">COUNTIF('Cash Flows'!E60:BX60,"&gt;= 1") + COUNTIF('Cash Flows'!E60:BX60,"&lt;= -1") + SUM(--ISERROR('Cash Flows'!E60:BX60))</f>
        <v>0</v>
      </c>
      <c r="D12" s="21" t="str">
        <f t="shared" si="0"/>
        <v>No Errors</v>
      </c>
      <c r="E12" s="20" t="e" vm="9">
        <f t="shared" si="1"/>
        <v>#VALUE!</v>
      </c>
    </row>
    <row r="13" spans="2:8">
      <c r="B13" s="23" t="s">
        <v>35</v>
      </c>
      <c r="C13" s="22" cm="1">
        <f t="array" ref="C13">COUNTIF(Drivers!P109:CJ119,"&gt;= 1") + COUNTIF(Drivers!P109:CJ119,"&lt;= -1") + SUM(--ISERROR(Drivers!P109:CJ119))</f>
        <v>0</v>
      </c>
      <c r="D13" s="21" t="str">
        <f t="shared" si="0"/>
        <v>No Errors</v>
      </c>
      <c r="E13" s="20" t="e" vm="9">
        <f t="shared" si="1"/>
        <v>#VALUE!</v>
      </c>
    </row>
    <row r="14" spans="2:8">
      <c r="B14" s="23" t="s">
        <v>61</v>
      </c>
      <c r="C14" s="22" cm="1">
        <f t="array" ref="C14">COUNTIF('Data Summary'!L148:BH165,"&gt;= 1") + COUNTIF('Data Summary'!L148:BH165,"&lt;= -1") + SUM(--ISERROR('Data Summary'!L148:BH165))</f>
        <v>0</v>
      </c>
      <c r="D14" s="21" t="str">
        <f t="shared" si="0"/>
        <v>No Errors</v>
      </c>
      <c r="E14" s="20" t="e" vm="9">
        <f t="shared" si="1"/>
        <v>#VALUE!</v>
      </c>
    </row>
    <row r="15" spans="2:8">
      <c r="B15" s="23" t="s">
        <v>42</v>
      </c>
      <c r="C15" s="22">
        <v>0</v>
      </c>
      <c r="D15" s="21" t="str">
        <f t="shared" si="0"/>
        <v>No Errors</v>
      </c>
      <c r="E15" s="20" t="e" vm="9">
        <f t="shared" si="1"/>
        <v>#VALUE!</v>
      </c>
    </row>
    <row r="16" spans="2:8">
      <c r="B16" s="23" t="s">
        <v>44</v>
      </c>
      <c r="C16" s="22">
        <v>0</v>
      </c>
      <c r="D16" s="21" t="str">
        <f t="shared" si="0"/>
        <v>No Errors</v>
      </c>
      <c r="E16" s="20" t="e" vm="9">
        <f t="shared" si="1"/>
        <v>#VALUE!</v>
      </c>
    </row>
    <row r="17" spans="2:5">
      <c r="B17" s="23" t="s">
        <v>38</v>
      </c>
      <c r="C17" s="22" cm="1">
        <f t="array" ref="C17">COUNTIF(Headcount!R114:CK115,"&gt;= 1") + COUNTIF(Headcount!R114:CK115,"&lt;= -1") + SUM(--ISERROR(Headcount!R114:CK115))</f>
        <v>0</v>
      </c>
      <c r="D17" s="21" t="str">
        <f t="shared" si="0"/>
        <v>No Errors</v>
      </c>
      <c r="E17" s="20" t="e" vm="9">
        <f t="shared" si="1"/>
        <v>#VALUE!</v>
      </c>
    </row>
    <row r="18" spans="2:5">
      <c r="B18" s="23" t="s">
        <v>708</v>
      </c>
      <c r="C18" s="22" cm="1">
        <f t="array" ref="C18">COUNTIF(Comparison!G99:O107,"&gt;= 1") + COUNTIF(Comparison!G99:O107,"&lt;= -1") + SUM(--ISERROR(Comparison!G99:O107))</f>
        <v>0</v>
      </c>
      <c r="D18" s="21" t="str">
        <f t="shared" ref="D18" si="2">IF(OR($C18&gt;0.5,$C18&lt;-0.5),"See Check at the bottom of " &amp;  B18,"No Errors")</f>
        <v>No Errors</v>
      </c>
      <c r="E18" s="20" t="e" vm="9">
        <f t="shared" si="1"/>
        <v>#VALUE!</v>
      </c>
    </row>
    <row r="19" spans="2:5">
      <c r="B19" s="23" t="s">
        <v>709</v>
      </c>
      <c r="C19" s="22">
        <v>0</v>
      </c>
      <c r="D19" s="21" t="str">
        <f t="shared" si="0"/>
        <v>No Errors</v>
      </c>
      <c r="E19" s="20" t="e" vm="9">
        <f t="shared" si="1"/>
        <v>#VALUE!</v>
      </c>
    </row>
    <row r="20" spans="2:5">
      <c r="B20" s="19" t="s">
        <v>710</v>
      </c>
      <c r="C20" s="18">
        <f>SUM(C9:C19)</f>
        <v>0</v>
      </c>
      <c r="D20" s="17" t="str">
        <f>IF(D3 = "On",IF(COUNTIF($D$9:$D$19,"No Errors")=COUNTA($B$9:$B$19),D4,D5),"")</f>
        <v>Model Functioning Properly</v>
      </c>
      <c r="E20" s="16"/>
    </row>
    <row r="112" spans="4:4">
      <c r="D112" s="15" t="s">
        <v>575</v>
      </c>
    </row>
  </sheetData>
  <mergeCells count="3">
    <mergeCell ref="D3:E3"/>
    <mergeCell ref="D4:E4"/>
    <mergeCell ref="D5:E5"/>
  </mergeCells>
  <dataValidations disablePrompts="1" count="1">
    <dataValidation type="list" allowBlank="1" showInputMessage="1" showErrorMessage="1" sqref="D3" xr:uid="{60FCAB38-ABE7-4AA2-8F5D-61EA1D876E86}">
      <formula1>"On, Off"</formula1>
    </dataValidation>
  </dataValidations>
  <pageMargins left="0.7" right="0.7" top="0.75" bottom="0.75" header="0.3" footer="0.3"/>
  <customProperties>
    <customPr name="sheetName"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ED64A-6FE6-D947-9508-D8E38D292538}">
  <sheetPr>
    <tabColor rgb="FFF5F5E7"/>
  </sheetPr>
  <dimension ref="A1:X37"/>
  <sheetViews>
    <sheetView showGridLines="0" topLeftCell="A7" workbookViewId="0">
      <selection activeCell="D54" sqref="D54"/>
    </sheetView>
  </sheetViews>
  <sheetFormatPr defaultColWidth="8.85546875" defaultRowHeight="12.6" customHeight="1" outlineLevelRow="1"/>
  <cols>
    <col min="1" max="1" width="2.28515625" customWidth="1"/>
    <col min="2" max="2" width="4.28515625" customWidth="1"/>
    <col min="3" max="3" width="6.28515625" customWidth="1"/>
    <col min="4" max="4" width="5.42578125" bestFit="1" customWidth="1"/>
    <col min="5" max="5" width="7.85546875" customWidth="1"/>
    <col min="6" max="11" width="5.42578125" bestFit="1" customWidth="1"/>
    <col min="12" max="12" width="5.42578125" customWidth="1"/>
    <col min="13" max="13" width="4.28515625" customWidth="1"/>
    <col min="14" max="14" width="6.28515625" customWidth="1"/>
    <col min="15" max="15" width="5.42578125" bestFit="1" customWidth="1"/>
    <col min="16" max="16" width="7.85546875" customWidth="1"/>
    <col min="17" max="23" width="5.42578125" bestFit="1" customWidth="1"/>
    <col min="24" max="24" width="2.28515625" customWidth="1"/>
  </cols>
  <sheetData>
    <row r="1" spans="1:24" ht="12.6" customHeight="1" outlineLevel="1">
      <c r="A1" s="59"/>
      <c r="B1" s="58"/>
      <c r="C1" s="58"/>
      <c r="D1" s="58"/>
      <c r="E1" s="58"/>
      <c r="F1" s="58"/>
      <c r="G1" s="58"/>
      <c r="H1" s="58"/>
      <c r="I1" s="58"/>
      <c r="J1" s="58"/>
      <c r="K1" s="58"/>
      <c r="L1" s="58"/>
      <c r="M1" s="58"/>
      <c r="N1" s="58"/>
      <c r="O1" s="58"/>
      <c r="P1" s="58"/>
      <c r="Q1" s="58"/>
      <c r="R1" s="58"/>
      <c r="S1" s="58"/>
      <c r="T1" s="58"/>
      <c r="U1" s="58"/>
      <c r="V1" s="58"/>
      <c r="W1" s="58"/>
      <c r="X1" s="103"/>
    </row>
    <row r="2" spans="1:24" ht="15" outlineLevel="1">
      <c r="A2" s="52"/>
      <c r="B2" s="51"/>
      <c r="C2" s="50"/>
      <c r="D2" s="50"/>
      <c r="E2" s="50"/>
      <c r="F2" s="50"/>
      <c r="G2" s="50"/>
      <c r="H2" s="50"/>
      <c r="I2" s="50"/>
      <c r="J2" s="50"/>
      <c r="K2" s="50"/>
      <c r="L2" s="50"/>
      <c r="N2" s="50"/>
      <c r="O2" s="50"/>
      <c r="P2" s="50"/>
      <c r="Q2" s="50"/>
      <c r="R2" s="50"/>
      <c r="S2" s="50"/>
      <c r="T2" s="50"/>
      <c r="U2" s="50"/>
      <c r="V2" s="50"/>
      <c r="W2" s="50"/>
      <c r="X2" s="99"/>
    </row>
    <row r="3" spans="1:24" ht="18.75" outlineLevel="1">
      <c r="A3" s="52"/>
      <c r="B3" s="792" t="e" vm="3">
        <v>#VALUE!</v>
      </c>
      <c r="C3" s="792"/>
      <c r="D3" s="102" t="str">
        <f>Company_Name</f>
        <v>Model Wiz Demo *</v>
      </c>
      <c r="E3" s="50"/>
      <c r="F3" s="50"/>
      <c r="G3" s="50"/>
      <c r="H3" s="101"/>
      <c r="I3" s="50"/>
      <c r="J3" s="50"/>
      <c r="K3" s="50"/>
      <c r="L3" s="50"/>
      <c r="M3" s="50"/>
      <c r="N3" s="50"/>
      <c r="O3" s="50"/>
      <c r="P3" s="50"/>
      <c r="Q3" s="50"/>
      <c r="R3" s="50"/>
      <c r="S3" s="51"/>
      <c r="T3" s="51"/>
      <c r="U3" s="51"/>
      <c r="V3" s="51"/>
      <c r="W3" s="51"/>
      <c r="X3" s="99"/>
    </row>
    <row r="4" spans="1:24" ht="15" outlineLevel="1">
      <c r="A4" s="52"/>
      <c r="B4" s="792"/>
      <c r="C4" s="792"/>
      <c r="D4" s="100" t="str">
        <f>Error_Check</f>
        <v>Model Functioning Properly</v>
      </c>
      <c r="E4" s="50"/>
      <c r="F4" s="50"/>
      <c r="G4" s="50"/>
      <c r="H4" s="53"/>
      <c r="I4" s="50"/>
      <c r="J4" s="50"/>
      <c r="K4" s="50"/>
      <c r="L4" s="50"/>
      <c r="M4" s="50"/>
      <c r="N4" s="50"/>
      <c r="O4" s="50"/>
      <c r="P4" s="50"/>
      <c r="Q4" s="50"/>
      <c r="R4" s="50"/>
      <c r="S4" s="51"/>
      <c r="T4" s="51"/>
      <c r="U4" s="51"/>
      <c r="V4" s="51"/>
      <c r="W4" s="51"/>
      <c r="X4" s="99"/>
    </row>
    <row r="5" spans="1:24" ht="15" outlineLevel="1">
      <c r="A5" s="52"/>
      <c r="B5" s="51"/>
      <c r="C5" s="50"/>
      <c r="D5" s="50"/>
      <c r="E5" s="50"/>
      <c r="F5" s="50"/>
      <c r="G5" s="50"/>
      <c r="H5" s="50"/>
      <c r="I5" s="50"/>
      <c r="J5" s="50"/>
      <c r="K5" s="50"/>
      <c r="L5" s="50"/>
      <c r="M5" s="50"/>
      <c r="N5" s="50"/>
      <c r="O5" s="50"/>
      <c r="P5" s="50"/>
      <c r="Q5" s="50"/>
      <c r="R5" s="50"/>
      <c r="S5" s="50"/>
      <c r="T5" s="50"/>
      <c r="U5" s="50"/>
      <c r="V5" s="50"/>
      <c r="W5" s="50"/>
      <c r="X5" s="99"/>
    </row>
    <row r="6" spans="1:24" ht="12.6" customHeight="1" outlineLevel="1">
      <c r="A6" s="98"/>
      <c r="B6" s="97"/>
      <c r="C6" s="97"/>
      <c r="D6" s="97"/>
      <c r="E6" s="97"/>
      <c r="F6" s="97"/>
      <c r="G6" s="97"/>
      <c r="H6" s="97"/>
      <c r="I6" s="97"/>
      <c r="J6" s="97"/>
      <c r="K6" s="97"/>
      <c r="L6" s="97"/>
      <c r="M6" s="97"/>
      <c r="N6" s="97"/>
      <c r="O6" s="97"/>
      <c r="P6" s="97"/>
      <c r="Q6" s="97"/>
      <c r="R6" s="97"/>
      <c r="S6" s="97"/>
      <c r="T6" s="97"/>
      <c r="U6" s="97"/>
      <c r="V6" s="97"/>
      <c r="W6" s="97"/>
      <c r="X6" s="96"/>
    </row>
    <row r="7" spans="1:24" ht="20.25">
      <c r="A7" s="95"/>
      <c r="B7" s="829" t="s">
        <v>4</v>
      </c>
      <c r="C7" s="829"/>
      <c r="D7" s="829"/>
      <c r="E7" s="829"/>
      <c r="F7" s="829"/>
      <c r="G7" s="829"/>
      <c r="H7" s="829"/>
      <c r="I7" s="829"/>
      <c r="J7" s="829"/>
      <c r="K7" s="829"/>
      <c r="L7" s="92"/>
      <c r="M7" s="92"/>
      <c r="N7" s="92"/>
      <c r="O7" s="92"/>
      <c r="P7" s="92"/>
      <c r="Q7" s="93"/>
      <c r="R7" s="830"/>
      <c r="S7" s="830"/>
      <c r="T7" s="830"/>
      <c r="U7" s="830"/>
      <c r="V7" s="830"/>
      <c r="W7" s="830"/>
      <c r="X7" s="94"/>
    </row>
    <row r="8" spans="1:24" s="74" customFormat="1" ht="20.25">
      <c r="A8" s="82"/>
      <c r="B8" s="829"/>
      <c r="C8" s="829"/>
      <c r="D8" s="829"/>
      <c r="E8" s="829"/>
      <c r="F8" s="829"/>
      <c r="G8" s="829"/>
      <c r="H8" s="829"/>
      <c r="I8" s="829"/>
      <c r="J8" s="829"/>
      <c r="K8" s="829"/>
      <c r="L8" s="92"/>
      <c r="M8" s="92"/>
      <c r="N8" s="92"/>
      <c r="O8" s="92"/>
      <c r="P8" s="93"/>
      <c r="Q8" s="93"/>
      <c r="R8" s="830"/>
      <c r="S8" s="830"/>
      <c r="T8" s="830"/>
      <c r="U8" s="830"/>
      <c r="V8" s="830"/>
      <c r="W8" s="830"/>
      <c r="X8" s="80"/>
    </row>
    <row r="9" spans="1:24" s="74" customFormat="1" ht="15">
      <c r="A9" s="82"/>
      <c r="B9" s="829"/>
      <c r="C9" s="829"/>
      <c r="D9" s="829"/>
      <c r="E9" s="829"/>
      <c r="F9" s="829"/>
      <c r="G9" s="829"/>
      <c r="H9" s="829"/>
      <c r="I9" s="829"/>
      <c r="J9" s="829"/>
      <c r="K9" s="829"/>
      <c r="L9" s="92"/>
      <c r="M9" s="92"/>
      <c r="N9" s="92"/>
      <c r="O9" s="92"/>
      <c r="P9" s="92"/>
      <c r="Q9" s="92"/>
      <c r="R9" s="92"/>
      <c r="S9" s="92"/>
      <c r="T9" s="92"/>
      <c r="U9" s="92"/>
      <c r="V9" s="92"/>
      <c r="W9" s="92"/>
      <c r="X9" s="80"/>
    </row>
    <row r="10" spans="1:24" s="74" customFormat="1" ht="29.25" customHeight="1">
      <c r="A10" s="82"/>
      <c r="B10" s="89"/>
      <c r="C10" s="831" t="s">
        <v>18</v>
      </c>
      <c r="D10" s="831"/>
      <c r="E10" s="91" t="s">
        <v>19</v>
      </c>
      <c r="F10" s="825" t="s">
        <v>20</v>
      </c>
      <c r="G10" s="825"/>
      <c r="H10" s="825"/>
      <c r="I10" s="825"/>
      <c r="J10" s="825"/>
      <c r="K10" s="825"/>
      <c r="L10" s="825"/>
      <c r="M10" s="89"/>
      <c r="N10" s="832" t="s">
        <v>21</v>
      </c>
      <c r="O10" s="832"/>
      <c r="P10" s="90" t="s">
        <v>22</v>
      </c>
      <c r="Q10" s="825" t="s">
        <v>23</v>
      </c>
      <c r="R10" s="825"/>
      <c r="S10" s="825"/>
      <c r="T10" s="825"/>
      <c r="U10" s="825"/>
      <c r="V10" s="825"/>
      <c r="W10" s="827"/>
      <c r="X10" s="80"/>
    </row>
    <row r="11" spans="1:24" s="74" customFormat="1" ht="27" customHeight="1">
      <c r="A11" s="82"/>
      <c r="B11" s="89"/>
      <c r="C11" s="824" t="s">
        <v>24</v>
      </c>
      <c r="D11" s="824"/>
      <c r="E11" s="88" t="s">
        <v>22</v>
      </c>
      <c r="F11" s="825" t="s">
        <v>25</v>
      </c>
      <c r="G11" s="825"/>
      <c r="H11" s="825"/>
      <c r="I11" s="825"/>
      <c r="J11" s="825"/>
      <c r="K11" s="825"/>
      <c r="L11" s="825"/>
      <c r="M11" s="89"/>
      <c r="N11" s="826" t="s">
        <v>26</v>
      </c>
      <c r="O11" s="826"/>
      <c r="P11" s="88" t="s">
        <v>22</v>
      </c>
      <c r="Q11" s="825" t="s">
        <v>27</v>
      </c>
      <c r="R11" s="825"/>
      <c r="S11" s="825"/>
      <c r="T11" s="825"/>
      <c r="U11" s="825"/>
      <c r="V11" s="825"/>
      <c r="W11" s="827"/>
      <c r="X11" s="80"/>
    </row>
    <row r="12" spans="1:24" s="74" customFormat="1" ht="15">
      <c r="A12" s="82"/>
      <c r="B12" s="86"/>
      <c r="C12" s="87"/>
      <c r="D12" s="87"/>
      <c r="E12" s="84"/>
      <c r="F12" s="83"/>
      <c r="G12" s="83"/>
      <c r="H12" s="83"/>
      <c r="I12" s="83"/>
      <c r="J12" s="83"/>
      <c r="K12" s="83"/>
      <c r="L12" s="83"/>
      <c r="M12" s="86"/>
      <c r="N12" s="85"/>
      <c r="O12" s="85"/>
      <c r="P12" s="84"/>
      <c r="Q12" s="83"/>
      <c r="R12" s="83"/>
      <c r="S12" s="83"/>
      <c r="T12" s="83"/>
      <c r="U12" s="83"/>
      <c r="V12" s="83"/>
      <c r="W12" s="83"/>
      <c r="X12" s="80"/>
    </row>
    <row r="13" spans="1:24" s="74" customFormat="1" ht="15">
      <c r="A13" s="82"/>
      <c r="B13" s="828" t="s">
        <v>28</v>
      </c>
      <c r="C13" s="828"/>
      <c r="D13" s="828"/>
      <c r="E13" s="828"/>
      <c r="F13" s="828"/>
      <c r="G13" s="828"/>
      <c r="H13" s="828" t="s">
        <v>29</v>
      </c>
      <c r="I13" s="828"/>
      <c r="J13" s="828"/>
      <c r="K13" s="828"/>
      <c r="L13" s="828"/>
      <c r="M13" s="828"/>
      <c r="N13" s="828"/>
      <c r="O13" s="828"/>
      <c r="P13" s="828" t="s">
        <v>30</v>
      </c>
      <c r="Q13" s="828"/>
      <c r="R13" s="828"/>
      <c r="S13" s="828"/>
      <c r="T13" s="828"/>
      <c r="U13" s="828"/>
      <c r="V13" s="828"/>
      <c r="W13" s="828"/>
      <c r="X13" s="80"/>
    </row>
    <row r="14" spans="1:24" s="74" customFormat="1" ht="15">
      <c r="A14" s="82"/>
      <c r="B14" s="81"/>
      <c r="C14" s="81"/>
      <c r="D14" s="81"/>
      <c r="E14" s="81"/>
      <c r="F14" s="81"/>
      <c r="G14" s="81"/>
      <c r="H14" s="81"/>
      <c r="I14" s="81"/>
      <c r="J14" s="81"/>
      <c r="K14" s="81"/>
      <c r="L14" s="81"/>
      <c r="M14" s="81"/>
      <c r="N14" s="81"/>
      <c r="O14" s="81"/>
      <c r="P14" s="81"/>
      <c r="Q14" s="81"/>
      <c r="R14" s="81"/>
      <c r="S14" s="81"/>
      <c r="T14" s="81"/>
      <c r="U14" s="81"/>
      <c r="V14" s="81"/>
      <c r="W14" s="81"/>
      <c r="X14" s="80"/>
    </row>
    <row r="15" spans="1:24" s="74" customFormat="1" ht="15">
      <c r="A15" s="76"/>
      <c r="B15" s="51"/>
      <c r="C15" s="78"/>
      <c r="D15" s="79"/>
      <c r="E15" s="78"/>
      <c r="F15" s="79"/>
      <c r="G15" s="78"/>
      <c r="H15" s="51"/>
      <c r="I15" s="78"/>
      <c r="J15" s="51"/>
      <c r="K15" s="51"/>
      <c r="X15" s="77"/>
    </row>
    <row r="16" spans="1:24" s="74" customFormat="1" ht="15">
      <c r="A16" s="76"/>
      <c r="B16" s="814" t="s">
        <v>31</v>
      </c>
      <c r="C16" s="814"/>
      <c r="D16" s="814"/>
      <c r="E16" s="814"/>
      <c r="F16" s="815" t="s">
        <v>32</v>
      </c>
      <c r="G16" s="815"/>
      <c r="H16" s="816" t="s">
        <v>33</v>
      </c>
      <c r="I16" s="817"/>
      <c r="J16" s="818"/>
      <c r="K16" s="819" t="s">
        <v>34</v>
      </c>
      <c r="L16" s="820"/>
      <c r="M16" s="820"/>
      <c r="N16" s="820"/>
      <c r="O16" s="820"/>
      <c r="P16" s="820"/>
      <c r="Q16" s="820"/>
      <c r="R16" s="820"/>
      <c r="S16" s="820"/>
      <c r="T16" s="820"/>
      <c r="U16" s="821"/>
      <c r="V16" s="822" t="s">
        <v>4</v>
      </c>
      <c r="W16" s="823"/>
      <c r="X16" s="75"/>
    </row>
    <row r="17" spans="1:24" ht="24" customHeight="1">
      <c r="A17" s="72"/>
      <c r="B17" s="794" t="s">
        <v>35</v>
      </c>
      <c r="C17" s="794"/>
      <c r="D17" s="794"/>
      <c r="E17" s="794"/>
      <c r="F17" s="795" t="s">
        <v>36</v>
      </c>
      <c r="G17" s="795"/>
      <c r="H17" s="806" t="s">
        <v>19</v>
      </c>
      <c r="I17" s="807"/>
      <c r="J17" s="808"/>
      <c r="K17" s="809" t="s">
        <v>37</v>
      </c>
      <c r="L17" s="810"/>
      <c r="M17" s="810"/>
      <c r="N17" s="810"/>
      <c r="O17" s="810"/>
      <c r="P17" s="810"/>
      <c r="Q17" s="810"/>
      <c r="R17" s="810"/>
      <c r="S17" s="810"/>
      <c r="T17" s="810"/>
      <c r="U17" s="811"/>
      <c r="V17" s="812" t="e" vm="4">
        <v>#VALUE!</v>
      </c>
      <c r="W17" s="813"/>
      <c r="X17" s="71"/>
    </row>
    <row r="18" spans="1:24" ht="24" customHeight="1">
      <c r="A18" s="72"/>
      <c r="B18" s="794" t="s">
        <v>38</v>
      </c>
      <c r="C18" s="794"/>
      <c r="D18" s="794"/>
      <c r="E18" s="794"/>
      <c r="F18" s="542" t="s">
        <v>36</v>
      </c>
      <c r="G18" s="542"/>
      <c r="H18" s="806" t="s">
        <v>19</v>
      </c>
      <c r="I18" s="807"/>
      <c r="J18" s="808"/>
      <c r="K18" s="809" t="s">
        <v>39</v>
      </c>
      <c r="L18" s="810"/>
      <c r="M18" s="810"/>
      <c r="N18" s="810"/>
      <c r="O18" s="810"/>
      <c r="P18" s="810"/>
      <c r="Q18" s="810"/>
      <c r="R18" s="810"/>
      <c r="S18" s="810"/>
      <c r="T18" s="810"/>
      <c r="U18" s="811"/>
      <c r="V18" s="812" t="e" vm="4">
        <v>#VALUE!</v>
      </c>
      <c r="W18" s="813"/>
      <c r="X18" s="71"/>
    </row>
    <row r="19" spans="1:24" ht="24" customHeight="1">
      <c r="A19" s="72"/>
      <c r="B19" s="794" t="s">
        <v>40</v>
      </c>
      <c r="C19" s="794"/>
      <c r="D19" s="794"/>
      <c r="E19" s="794"/>
      <c r="F19" s="542" t="s">
        <v>36</v>
      </c>
      <c r="G19" s="542"/>
      <c r="H19" s="806" t="s">
        <v>19</v>
      </c>
      <c r="I19" s="807"/>
      <c r="J19" s="808"/>
      <c r="K19" s="809" t="s">
        <v>41</v>
      </c>
      <c r="L19" s="810"/>
      <c r="M19" s="810"/>
      <c r="N19" s="810"/>
      <c r="O19" s="810"/>
      <c r="P19" s="810"/>
      <c r="Q19" s="810"/>
      <c r="R19" s="810"/>
      <c r="S19" s="810"/>
      <c r="T19" s="810"/>
      <c r="U19" s="811"/>
      <c r="V19" s="812" t="e" vm="4">
        <v>#VALUE!</v>
      </c>
      <c r="W19" s="813"/>
      <c r="X19" s="71"/>
    </row>
    <row r="20" spans="1:24" ht="24" customHeight="1">
      <c r="A20" s="72"/>
      <c r="B20" s="794" t="s">
        <v>42</v>
      </c>
      <c r="C20" s="794"/>
      <c r="D20" s="794"/>
      <c r="E20" s="794"/>
      <c r="F20" s="542" t="s">
        <v>36</v>
      </c>
      <c r="G20" s="542"/>
      <c r="H20" s="806" t="s">
        <v>19</v>
      </c>
      <c r="I20" s="807"/>
      <c r="J20" s="808"/>
      <c r="K20" s="809" t="s">
        <v>43</v>
      </c>
      <c r="L20" s="810"/>
      <c r="M20" s="810"/>
      <c r="N20" s="810"/>
      <c r="O20" s="810"/>
      <c r="P20" s="810"/>
      <c r="Q20" s="810"/>
      <c r="R20" s="810"/>
      <c r="S20" s="810"/>
      <c r="T20" s="810"/>
      <c r="U20" s="811"/>
      <c r="V20" s="812" t="e" vm="4">
        <v>#VALUE!</v>
      </c>
      <c r="W20" s="813"/>
      <c r="X20" s="71"/>
    </row>
    <row r="21" spans="1:24" ht="24" customHeight="1">
      <c r="A21" s="72"/>
      <c r="B21" s="794" t="s">
        <v>44</v>
      </c>
      <c r="C21" s="794"/>
      <c r="D21" s="794"/>
      <c r="E21" s="794"/>
      <c r="F21" s="542" t="s">
        <v>36</v>
      </c>
      <c r="G21" s="542"/>
      <c r="H21" s="806" t="s">
        <v>19</v>
      </c>
      <c r="I21" s="807"/>
      <c r="J21" s="808"/>
      <c r="K21" s="809" t="s">
        <v>45</v>
      </c>
      <c r="L21" s="810"/>
      <c r="M21" s="810"/>
      <c r="N21" s="810"/>
      <c r="O21" s="810"/>
      <c r="P21" s="810"/>
      <c r="Q21" s="810"/>
      <c r="R21" s="810"/>
      <c r="S21" s="810"/>
      <c r="T21" s="810"/>
      <c r="U21" s="811"/>
      <c r="V21" s="812" t="e" vm="4">
        <v>#VALUE!</v>
      </c>
      <c r="W21" s="813"/>
      <c r="X21" s="71"/>
    </row>
    <row r="22" spans="1:24" ht="24" customHeight="1">
      <c r="A22" s="72"/>
      <c r="B22" s="794" t="s">
        <v>46</v>
      </c>
      <c r="C22" s="794"/>
      <c r="D22" s="794"/>
      <c r="E22" s="794"/>
      <c r="F22" s="542" t="s">
        <v>36</v>
      </c>
      <c r="G22" s="542"/>
      <c r="H22" s="806" t="s">
        <v>19</v>
      </c>
      <c r="I22" s="807"/>
      <c r="J22" s="808"/>
      <c r="K22" s="809" t="s">
        <v>47</v>
      </c>
      <c r="L22" s="810"/>
      <c r="M22" s="810"/>
      <c r="N22" s="810"/>
      <c r="O22" s="810"/>
      <c r="P22" s="810"/>
      <c r="Q22" s="810"/>
      <c r="R22" s="810"/>
      <c r="S22" s="810"/>
      <c r="T22" s="810"/>
      <c r="U22" s="811"/>
      <c r="V22" s="812" t="e" vm="4">
        <v>#VALUE!</v>
      </c>
      <c r="W22" s="813"/>
      <c r="X22" s="71"/>
    </row>
    <row r="23" spans="1:24" ht="24" customHeight="1">
      <c r="A23" s="72"/>
      <c r="B23" s="794" t="s">
        <v>48</v>
      </c>
      <c r="C23" s="794"/>
      <c r="D23" s="794"/>
      <c r="E23" s="794"/>
      <c r="F23" s="795" t="s">
        <v>49</v>
      </c>
      <c r="G23" s="795"/>
      <c r="H23" s="796" t="s">
        <v>22</v>
      </c>
      <c r="I23" s="797"/>
      <c r="J23" s="798"/>
      <c r="K23" s="799" t="s">
        <v>50</v>
      </c>
      <c r="L23" s="800"/>
      <c r="M23" s="800"/>
      <c r="N23" s="800"/>
      <c r="O23" s="800"/>
      <c r="P23" s="800"/>
      <c r="Q23" s="800"/>
      <c r="R23" s="800"/>
      <c r="S23" s="800"/>
      <c r="T23" s="800"/>
      <c r="U23" s="801"/>
      <c r="V23" s="804" t="e" vm="5">
        <v>#VALUE!</v>
      </c>
      <c r="W23" s="805"/>
      <c r="X23" s="71"/>
    </row>
    <row r="24" spans="1:24" ht="24" customHeight="1">
      <c r="A24" s="72"/>
      <c r="B24" s="794" t="s">
        <v>51</v>
      </c>
      <c r="C24" s="794"/>
      <c r="D24" s="794"/>
      <c r="E24" s="794"/>
      <c r="F24" s="795" t="s">
        <v>49</v>
      </c>
      <c r="G24" s="795"/>
      <c r="H24" s="796" t="s">
        <v>22</v>
      </c>
      <c r="I24" s="797"/>
      <c r="J24" s="798"/>
      <c r="K24" s="799" t="s">
        <v>52</v>
      </c>
      <c r="L24" s="800"/>
      <c r="M24" s="800"/>
      <c r="N24" s="800"/>
      <c r="O24" s="800"/>
      <c r="P24" s="800"/>
      <c r="Q24" s="800"/>
      <c r="R24" s="800"/>
      <c r="S24" s="800"/>
      <c r="T24" s="800"/>
      <c r="U24" s="801"/>
      <c r="V24" s="802" t="e" vm="4">
        <v>#VALUE!</v>
      </c>
      <c r="W24" s="803"/>
      <c r="X24" s="71"/>
    </row>
    <row r="25" spans="1:24" ht="24" customHeight="1">
      <c r="A25" s="72"/>
      <c r="B25" s="794" t="s">
        <v>53</v>
      </c>
      <c r="C25" s="794"/>
      <c r="D25" s="794"/>
      <c r="E25" s="794"/>
      <c r="F25" s="795" t="s">
        <v>49</v>
      </c>
      <c r="G25" s="795"/>
      <c r="H25" s="796" t="s">
        <v>22</v>
      </c>
      <c r="I25" s="797"/>
      <c r="J25" s="798"/>
      <c r="K25" s="799" t="s">
        <v>54</v>
      </c>
      <c r="L25" s="800"/>
      <c r="M25" s="800"/>
      <c r="N25" s="800"/>
      <c r="O25" s="800"/>
      <c r="P25" s="800"/>
      <c r="Q25" s="800"/>
      <c r="R25" s="800"/>
      <c r="S25" s="800"/>
      <c r="T25" s="800"/>
      <c r="U25" s="801"/>
      <c r="V25" s="804" t="e" vm="5">
        <v>#VALUE!</v>
      </c>
      <c r="W25" s="805"/>
      <c r="X25" s="73"/>
    </row>
    <row r="26" spans="1:24" ht="24" customHeight="1">
      <c r="A26" s="72"/>
      <c r="B26" s="794" t="s">
        <v>55</v>
      </c>
      <c r="C26" s="794"/>
      <c r="D26" s="794"/>
      <c r="E26" s="794"/>
      <c r="F26" s="795" t="s">
        <v>49</v>
      </c>
      <c r="G26" s="795"/>
      <c r="H26" s="796" t="s">
        <v>22</v>
      </c>
      <c r="I26" s="797"/>
      <c r="J26" s="798"/>
      <c r="K26" s="799" t="s">
        <v>56</v>
      </c>
      <c r="L26" s="800"/>
      <c r="M26" s="800"/>
      <c r="N26" s="800"/>
      <c r="O26" s="800"/>
      <c r="P26" s="800"/>
      <c r="Q26" s="800"/>
      <c r="R26" s="800"/>
      <c r="S26" s="800"/>
      <c r="T26" s="800"/>
      <c r="U26" s="801"/>
      <c r="V26" s="804" t="e" vm="5">
        <v>#VALUE!</v>
      </c>
      <c r="W26" s="805"/>
      <c r="X26" s="71"/>
    </row>
    <row r="27" spans="1:24" ht="24" customHeight="1">
      <c r="A27" s="72"/>
      <c r="B27" s="794" t="s">
        <v>57</v>
      </c>
      <c r="C27" s="794"/>
      <c r="D27" s="794"/>
      <c r="E27" s="794"/>
      <c r="F27" s="795" t="s">
        <v>49</v>
      </c>
      <c r="G27" s="795"/>
      <c r="H27" s="796" t="s">
        <v>22</v>
      </c>
      <c r="I27" s="797"/>
      <c r="J27" s="798"/>
      <c r="K27" s="799" t="s">
        <v>58</v>
      </c>
      <c r="L27" s="800"/>
      <c r="M27" s="800"/>
      <c r="N27" s="800"/>
      <c r="O27" s="800"/>
      <c r="P27" s="800"/>
      <c r="Q27" s="800"/>
      <c r="R27" s="800"/>
      <c r="S27" s="800"/>
      <c r="T27" s="800"/>
      <c r="U27" s="801"/>
      <c r="V27" s="804" t="e" vm="5">
        <v>#VALUE!</v>
      </c>
      <c r="W27" s="805"/>
      <c r="X27" s="71"/>
    </row>
    <row r="28" spans="1:24" ht="24" customHeight="1">
      <c r="A28" s="72"/>
      <c r="B28" s="794" t="s">
        <v>59</v>
      </c>
      <c r="C28" s="794"/>
      <c r="D28" s="794"/>
      <c r="E28" s="794"/>
      <c r="F28" s="795" t="s">
        <v>49</v>
      </c>
      <c r="G28" s="795"/>
      <c r="H28" s="796" t="s">
        <v>22</v>
      </c>
      <c r="I28" s="797"/>
      <c r="J28" s="798"/>
      <c r="K28" s="799" t="s">
        <v>60</v>
      </c>
      <c r="L28" s="800"/>
      <c r="M28" s="800"/>
      <c r="N28" s="800"/>
      <c r="O28" s="800"/>
      <c r="P28" s="800"/>
      <c r="Q28" s="800"/>
      <c r="R28" s="800"/>
      <c r="S28" s="800"/>
      <c r="T28" s="800"/>
      <c r="U28" s="801"/>
      <c r="V28" s="804" t="e" vm="5">
        <v>#VALUE!</v>
      </c>
      <c r="W28" s="805"/>
      <c r="X28" s="71"/>
    </row>
    <row r="29" spans="1:24" ht="24" customHeight="1">
      <c r="A29" s="72"/>
      <c r="B29" s="794" t="s">
        <v>61</v>
      </c>
      <c r="C29" s="794"/>
      <c r="D29" s="794"/>
      <c r="E29" s="794"/>
      <c r="F29" s="795" t="s">
        <v>49</v>
      </c>
      <c r="G29" s="795"/>
      <c r="H29" s="796" t="s">
        <v>62</v>
      </c>
      <c r="I29" s="797"/>
      <c r="J29" s="798"/>
      <c r="K29" s="799" t="s">
        <v>63</v>
      </c>
      <c r="L29" s="800"/>
      <c r="M29" s="800"/>
      <c r="N29" s="800"/>
      <c r="O29" s="800"/>
      <c r="P29" s="800"/>
      <c r="Q29" s="800"/>
      <c r="R29" s="800"/>
      <c r="S29" s="800"/>
      <c r="T29" s="800"/>
      <c r="U29" s="801"/>
      <c r="V29" s="802" t="e" vm="4">
        <v>#VALUE!</v>
      </c>
      <c r="W29" s="803"/>
      <c r="X29" s="71"/>
    </row>
    <row r="30" spans="1:24" ht="24" customHeight="1">
      <c r="A30" s="72"/>
      <c r="B30" s="794" t="s">
        <v>64</v>
      </c>
      <c r="C30" s="794"/>
      <c r="D30" s="794"/>
      <c r="E30" s="794"/>
      <c r="F30" s="795" t="s">
        <v>36</v>
      </c>
      <c r="G30" s="795"/>
      <c r="H30" s="796" t="s">
        <v>62</v>
      </c>
      <c r="I30" s="797"/>
      <c r="J30" s="798"/>
      <c r="K30" s="799" t="s">
        <v>65</v>
      </c>
      <c r="L30" s="800"/>
      <c r="M30" s="800"/>
      <c r="N30" s="800"/>
      <c r="O30" s="800"/>
      <c r="P30" s="800"/>
      <c r="Q30" s="800"/>
      <c r="R30" s="800"/>
      <c r="S30" s="800"/>
      <c r="T30" s="800"/>
      <c r="U30" s="801"/>
      <c r="V30" s="802" t="e" vm="4">
        <v>#VALUE!</v>
      </c>
      <c r="W30" s="803"/>
      <c r="X30" s="71"/>
    </row>
    <row r="31" spans="1:24" ht="24" customHeight="1">
      <c r="A31" s="72"/>
      <c r="B31" s="794" t="s">
        <v>66</v>
      </c>
      <c r="C31" s="794"/>
      <c r="D31" s="794"/>
      <c r="E31" s="794"/>
      <c r="F31" s="795" t="s">
        <v>67</v>
      </c>
      <c r="G31" s="795"/>
      <c r="H31" s="796" t="s">
        <v>62</v>
      </c>
      <c r="I31" s="797"/>
      <c r="J31" s="798"/>
      <c r="K31" s="799" t="s">
        <v>68</v>
      </c>
      <c r="L31" s="800"/>
      <c r="M31" s="800"/>
      <c r="N31" s="800"/>
      <c r="O31" s="800"/>
      <c r="P31" s="800"/>
      <c r="Q31" s="800"/>
      <c r="R31" s="800"/>
      <c r="S31" s="800"/>
      <c r="T31" s="800"/>
      <c r="U31" s="801"/>
      <c r="V31" s="802" t="e" vm="4">
        <v>#VALUE!</v>
      </c>
      <c r="W31" s="803"/>
      <c r="X31" s="71"/>
    </row>
    <row r="32" spans="1:24" ht="15">
      <c r="A32" s="70"/>
      <c r="B32" s="65"/>
      <c r="C32" s="69"/>
      <c r="D32" s="69"/>
      <c r="E32" s="69"/>
      <c r="F32" s="68"/>
      <c r="G32" s="67"/>
      <c r="H32" s="65"/>
      <c r="I32" s="66"/>
      <c r="J32" s="65"/>
      <c r="K32" s="65"/>
      <c r="L32" s="64"/>
      <c r="M32" s="64"/>
      <c r="N32" s="64"/>
      <c r="O32" s="64"/>
      <c r="P32" s="64"/>
      <c r="Q32" s="64"/>
      <c r="R32" s="64"/>
      <c r="S32" s="64"/>
      <c r="T32" s="64"/>
      <c r="U32" s="64"/>
      <c r="V32" s="64"/>
      <c r="W32" s="64"/>
      <c r="X32" s="63"/>
    </row>
    <row r="33" spans="2:11" ht="15">
      <c r="B33" s="50"/>
      <c r="C33" s="62"/>
      <c r="D33" s="62"/>
      <c r="E33" s="62"/>
      <c r="F33" s="61"/>
      <c r="G33" s="61"/>
      <c r="H33" s="50"/>
      <c r="I33" s="60"/>
      <c r="J33" s="50"/>
      <c r="K33" s="50"/>
    </row>
    <row r="34" spans="2:11" ht="12.6" customHeight="1">
      <c r="B34" s="50"/>
      <c r="C34" s="50"/>
      <c r="D34" s="50"/>
      <c r="E34" s="50"/>
      <c r="F34" s="50"/>
      <c r="G34" s="50"/>
      <c r="H34" s="50"/>
      <c r="I34" s="50"/>
      <c r="J34" s="50"/>
      <c r="K34" s="50"/>
    </row>
    <row r="35" spans="2:11" ht="12.6" customHeight="1">
      <c r="B35" s="50"/>
      <c r="C35" s="50"/>
      <c r="D35" s="50"/>
      <c r="E35" s="50"/>
      <c r="F35" s="50"/>
      <c r="G35" s="50"/>
      <c r="H35" s="50"/>
      <c r="I35" s="50"/>
      <c r="J35" s="50"/>
      <c r="K35" s="50"/>
    </row>
    <row r="36" spans="2:11" ht="12.6" customHeight="1">
      <c r="B36" s="50"/>
      <c r="C36" s="50"/>
      <c r="D36" s="50"/>
      <c r="E36" s="50"/>
      <c r="F36" s="50"/>
      <c r="G36" s="50"/>
      <c r="H36" s="50"/>
      <c r="I36" s="50"/>
      <c r="J36" s="50"/>
      <c r="K36" s="50"/>
    </row>
    <row r="37" spans="2:11" ht="12.6" customHeight="1">
      <c r="B37" s="50"/>
      <c r="C37" s="50"/>
      <c r="D37" s="50"/>
      <c r="E37" s="50"/>
      <c r="F37" s="50"/>
      <c r="G37" s="50"/>
      <c r="H37" s="50"/>
      <c r="I37" s="50"/>
      <c r="J37" s="50"/>
      <c r="K37" s="50"/>
    </row>
  </sheetData>
  <mergeCells count="89">
    <mergeCell ref="B22:E22"/>
    <mergeCell ref="H22:J22"/>
    <mergeCell ref="K22:U22"/>
    <mergeCell ref="V22:W22"/>
    <mergeCell ref="B21:E21"/>
    <mergeCell ref="H21:J21"/>
    <mergeCell ref="K21:U21"/>
    <mergeCell ref="V21:W21"/>
    <mergeCell ref="B20:E20"/>
    <mergeCell ref="H20:J20"/>
    <mergeCell ref="K20:U20"/>
    <mergeCell ref="V20:W20"/>
    <mergeCell ref="B18:E18"/>
    <mergeCell ref="H18:J18"/>
    <mergeCell ref="K18:U18"/>
    <mergeCell ref="V18:W18"/>
    <mergeCell ref="B19:E19"/>
    <mergeCell ref="H19:J19"/>
    <mergeCell ref="K19:U19"/>
    <mergeCell ref="V19:W19"/>
    <mergeCell ref="B3:C4"/>
    <mergeCell ref="B7:K9"/>
    <mergeCell ref="R7:W8"/>
    <mergeCell ref="C10:D10"/>
    <mergeCell ref="F10:L10"/>
    <mergeCell ref="N10:O10"/>
    <mergeCell ref="Q10:W10"/>
    <mergeCell ref="C11:D11"/>
    <mergeCell ref="F11:L11"/>
    <mergeCell ref="N11:O11"/>
    <mergeCell ref="Q11:W11"/>
    <mergeCell ref="B13:G13"/>
    <mergeCell ref="H13:O13"/>
    <mergeCell ref="P13:W13"/>
    <mergeCell ref="B16:E16"/>
    <mergeCell ref="F16:G16"/>
    <mergeCell ref="H16:J16"/>
    <mergeCell ref="K16:U16"/>
    <mergeCell ref="V16:W16"/>
    <mergeCell ref="B17:E17"/>
    <mergeCell ref="F17:G17"/>
    <mergeCell ref="H17:J17"/>
    <mergeCell ref="K17:U17"/>
    <mergeCell ref="V17:W17"/>
    <mergeCell ref="B23:E23"/>
    <mergeCell ref="F23:G23"/>
    <mergeCell ref="H23:J23"/>
    <mergeCell ref="K23:U23"/>
    <mergeCell ref="V23:W23"/>
    <mergeCell ref="B24:E24"/>
    <mergeCell ref="F24:G24"/>
    <mergeCell ref="H24:J24"/>
    <mergeCell ref="K24:U24"/>
    <mergeCell ref="V24:W24"/>
    <mergeCell ref="B25:E25"/>
    <mergeCell ref="F25:G25"/>
    <mergeCell ref="H25:J25"/>
    <mergeCell ref="K25:U25"/>
    <mergeCell ref="V25:W25"/>
    <mergeCell ref="B26:E26"/>
    <mergeCell ref="F26:G26"/>
    <mergeCell ref="H26:J26"/>
    <mergeCell ref="K26:U26"/>
    <mergeCell ref="V26:W26"/>
    <mergeCell ref="B27:E27"/>
    <mergeCell ref="F27:G27"/>
    <mergeCell ref="H27:J27"/>
    <mergeCell ref="K27:U27"/>
    <mergeCell ref="V27:W27"/>
    <mergeCell ref="B28:E28"/>
    <mergeCell ref="F28:G28"/>
    <mergeCell ref="H28:J28"/>
    <mergeCell ref="K28:U28"/>
    <mergeCell ref="V28:W28"/>
    <mergeCell ref="B30:E30"/>
    <mergeCell ref="F30:G30"/>
    <mergeCell ref="H30:J30"/>
    <mergeCell ref="K30:U30"/>
    <mergeCell ref="V30:W30"/>
    <mergeCell ref="B31:E31"/>
    <mergeCell ref="F31:G31"/>
    <mergeCell ref="H31:J31"/>
    <mergeCell ref="K31:U31"/>
    <mergeCell ref="V31:W31"/>
    <mergeCell ref="B29:E29"/>
    <mergeCell ref="F29:G29"/>
    <mergeCell ref="H29:J29"/>
    <mergeCell ref="K29:U29"/>
    <mergeCell ref="V29:W29"/>
  </mergeCells>
  <hyperlinks>
    <hyperlink ref="B23" location="'KPI Dashboard'!A1" display="KPI Dashboard" xr:uid="{9F4C8AE3-332C-7F44-8CFF-C854F1112232}"/>
    <hyperlink ref="B17" location="Drivers!A1" display="Drivers" xr:uid="{D92638F9-AE66-FD48-8E1B-DD8ACE8E7749}"/>
    <hyperlink ref="B24" location="'Pitch Deck'!A1" display="Pitch Deck" xr:uid="{2D2C24A4-C5ED-994F-8F36-479E58006E06}"/>
    <hyperlink ref="B25" location="'Income Statement'!A1" display="Income Statement" xr:uid="{12F7B618-553C-514C-8055-365F27E7A111}"/>
    <hyperlink ref="B28" location="'Error Check'!A1" display="Error Check" xr:uid="{7452766A-06EF-2D44-9247-2665CA4B573F}"/>
    <hyperlink ref="B30" location="Lists!A1" display="Lists" xr:uid="{19E1567B-BD21-E140-8FE0-515C319A1391}"/>
    <hyperlink ref="B26" location="'Balance Sheet'!A1" display="Balance Sheet" xr:uid="{B7284275-8C8B-DB4E-8778-7AAC89D303D8}"/>
    <hyperlink ref="B27" location="'Cash Flows'!A1" display="Cash Flows" xr:uid="{110F9256-6843-0A4F-9790-43ABA89A488E}"/>
    <hyperlink ref="V23:W23" r:id="rId1" display="https://www.modelwiz.com/templates/kpi-dashboard" xr:uid="{E2958145-4F21-A047-A2E8-F3EC20B60A73}"/>
    <hyperlink ref="V25:W25" r:id="rId2" display="https://www.modelwiz.com/templates/summarized-p%26l" xr:uid="{4A4E4CE4-99AC-0E45-8DC6-D09F07FF3C59}"/>
    <hyperlink ref="V26:W26" r:id="rId3" display="https://www.modelwiz.com/templates/summarized-balance-sheet" xr:uid="{E829A49A-251C-AB43-9EFB-F50A27745476}"/>
    <hyperlink ref="V27:W27" r:id="rId4" display="https://www.modelwiz.com/templates/summarized-cash-flows" xr:uid="{BC5A05A1-DCDF-5A47-AC3A-F8E367772041}"/>
    <hyperlink ref="V28:W28" r:id="rId5" display="https://www.modelwiz.com/templates/error-check" xr:uid="{AB624650-6E40-0847-AC09-F885AD135D74}"/>
    <hyperlink ref="B29" location="Lists!A1" display="Lists" xr:uid="{41F6B819-F211-6645-8051-89CDF6C38774}"/>
    <hyperlink ref="B29:E29" location="'Data Summary'!A1" display="Data Summary" xr:uid="{F587EC20-E5A1-CC4C-826A-67AF80FEFB40}"/>
  </hyperlinks>
  <pageMargins left="0.7" right="0.7" top="0.75" bottom="0.75" header="0.3" footer="0.3"/>
  <customProperties>
    <customPr name="sourceTemplate" r:id="rId6"/>
  </customProperties>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E0C1E-5831-FF49-9928-482B28D5A3D2}">
  <sheetPr>
    <tabColor rgb="FFF5F5E7"/>
  </sheetPr>
  <dimension ref="A1:AQ48"/>
  <sheetViews>
    <sheetView showGridLines="0" zoomScale="70" zoomScaleNormal="70" workbookViewId="0">
      <selection activeCell="Q4" sqref="Q4"/>
    </sheetView>
  </sheetViews>
  <sheetFormatPr defaultColWidth="8.85546875" defaultRowHeight="15" outlineLevelRow="1"/>
  <cols>
    <col min="1" max="1" width="2.85546875" customWidth="1"/>
    <col min="2" max="2" width="12.7109375" bestFit="1" customWidth="1"/>
    <col min="3" max="4" width="5.140625" customWidth="1"/>
    <col min="5" max="5" width="7.42578125" customWidth="1"/>
    <col min="6" max="6" width="7.7109375" customWidth="1"/>
    <col min="7" max="7" width="2.28515625" customWidth="1"/>
    <col min="8" max="8" width="12.7109375" bestFit="1" customWidth="1"/>
    <col min="9" max="10" width="5.140625" customWidth="1"/>
    <col min="11" max="11" width="7.42578125" customWidth="1"/>
    <col min="12" max="12" width="7.7109375" customWidth="1"/>
    <col min="13" max="13" width="2.28515625" customWidth="1"/>
    <col min="14" max="14" width="12.7109375" bestFit="1" customWidth="1"/>
    <col min="15" max="16" width="5.140625" customWidth="1"/>
    <col min="17" max="17" width="7.42578125" customWidth="1"/>
    <col min="18" max="18" width="7.7109375" customWidth="1"/>
    <col min="19" max="19" width="2.28515625" customWidth="1"/>
    <col min="20" max="20" width="12.7109375" bestFit="1" customWidth="1"/>
    <col min="21" max="22" width="5.140625" customWidth="1"/>
    <col min="23" max="23" width="7.42578125" customWidth="1"/>
    <col min="24" max="24" width="7.7109375" customWidth="1"/>
    <col min="25" max="25" width="2.85546875" customWidth="1"/>
    <col min="26" max="26" width="71.85546875" customWidth="1"/>
    <col min="27" max="27" width="16" bestFit="1" customWidth="1"/>
    <col min="28" max="28" width="22.7109375" bestFit="1" customWidth="1"/>
    <col min="29" max="29" width="17.85546875" bestFit="1" customWidth="1"/>
    <col min="30" max="31" width="10.42578125" bestFit="1" customWidth="1"/>
    <col min="32" max="32" width="9.85546875" bestFit="1" customWidth="1"/>
    <col min="33" max="33" width="9.7109375" bestFit="1" customWidth="1"/>
    <col min="34" max="34" width="10.42578125" bestFit="1" customWidth="1"/>
    <col min="35" max="35" width="11.28515625" bestFit="1" customWidth="1"/>
    <col min="36" max="36" width="12.85546875" bestFit="1" customWidth="1"/>
    <col min="37" max="37" width="13.140625" bestFit="1" customWidth="1"/>
    <col min="38" max="38" width="13.7109375" bestFit="1" customWidth="1"/>
    <col min="39" max="39" width="13.85546875" bestFit="1" customWidth="1"/>
    <col min="40" max="40" width="15.7109375" bestFit="1" customWidth="1"/>
    <col min="41" max="41" width="14.42578125" bestFit="1" customWidth="1"/>
    <col min="42" max="42" width="18.7109375" bestFit="1" customWidth="1"/>
  </cols>
  <sheetData>
    <row r="1" spans="1:43" ht="16.350000000000001" customHeight="1" outlineLevel="1">
      <c r="A1" s="49"/>
      <c r="B1" s="49"/>
      <c r="C1" s="49"/>
      <c r="D1" s="49"/>
      <c r="E1" s="49"/>
      <c r="F1" s="49"/>
      <c r="G1" s="49"/>
      <c r="H1" s="49"/>
      <c r="I1" s="49"/>
      <c r="J1" s="49"/>
      <c r="K1" s="49"/>
      <c r="L1" s="49"/>
      <c r="M1" s="49"/>
      <c r="N1" s="49"/>
      <c r="O1" s="49"/>
      <c r="P1" s="49"/>
      <c r="Q1" s="49"/>
      <c r="R1" s="49"/>
      <c r="S1" s="49"/>
      <c r="T1" s="49"/>
      <c r="U1" s="49"/>
      <c r="V1" s="49"/>
      <c r="W1" s="49"/>
      <c r="X1" s="49"/>
      <c r="Y1" s="49"/>
    </row>
    <row r="2" spans="1:43" outlineLevel="1">
      <c r="A2" s="49"/>
      <c r="B2" s="147"/>
      <c r="C2" s="146"/>
      <c r="D2" s="146"/>
      <c r="E2" s="146"/>
      <c r="F2" s="146"/>
      <c r="G2" s="146"/>
      <c r="H2" s="146"/>
      <c r="I2" s="146"/>
      <c r="J2" s="146"/>
      <c r="K2" s="146"/>
      <c r="L2" s="146"/>
      <c r="M2" s="146"/>
      <c r="N2" s="146"/>
      <c r="O2" s="146"/>
      <c r="P2" s="146"/>
      <c r="Q2" s="146"/>
      <c r="R2" s="146"/>
      <c r="S2" s="146"/>
      <c r="T2" s="146"/>
      <c r="U2" s="146"/>
      <c r="V2" s="146"/>
      <c r="W2" s="146"/>
      <c r="X2" s="145"/>
      <c r="Y2" s="49"/>
    </row>
    <row r="3" spans="1:43" ht="17.100000000000001" customHeight="1" outlineLevel="1">
      <c r="A3" s="49"/>
      <c r="B3" s="844" t="e" vm="6">
        <v>#VALUE!</v>
      </c>
      <c r="C3" s="144" t="str">
        <f>Company_Name</f>
        <v>Model Wiz Demo *</v>
      </c>
      <c r="D3" s="144"/>
      <c r="E3" s="50"/>
      <c r="F3" s="50"/>
      <c r="G3" s="50"/>
      <c r="H3" s="50"/>
      <c r="I3" s="50"/>
      <c r="J3" s="143" t="s">
        <v>14</v>
      </c>
      <c r="K3" s="845" t="s">
        <v>69</v>
      </c>
      <c r="L3" s="845"/>
      <c r="M3" s="50"/>
      <c r="N3" s="143" t="s">
        <v>70</v>
      </c>
      <c r="O3" s="50"/>
      <c r="P3" s="138" t="s">
        <v>71</v>
      </c>
      <c r="Q3" s="137" t="b">
        <v>1</v>
      </c>
      <c r="R3" s="50"/>
      <c r="S3" s="845"/>
      <c r="T3" s="845"/>
      <c r="U3" s="50"/>
      <c r="V3" s="50"/>
      <c r="W3" s="50"/>
      <c r="X3" s="135"/>
      <c r="Y3" s="49"/>
    </row>
    <row r="4" spans="1:43" ht="17.100000000000001" customHeight="1" outlineLevel="1">
      <c r="A4" s="49"/>
      <c r="B4" s="844"/>
      <c r="C4" s="142" t="str">
        <f>Error_Check</f>
        <v>Model Functioning Properly</v>
      </c>
      <c r="D4" s="140"/>
      <c r="E4" s="50"/>
      <c r="F4" s="50"/>
      <c r="G4" s="50"/>
      <c r="H4" s="50"/>
      <c r="I4" s="50"/>
      <c r="J4" s="139" t="s">
        <v>72</v>
      </c>
      <c r="K4" s="843">
        <v>45809</v>
      </c>
      <c r="L4" s="843"/>
      <c r="M4" s="50"/>
      <c r="N4" s="50"/>
      <c r="O4" s="50"/>
      <c r="P4" s="138" t="s">
        <v>73</v>
      </c>
      <c r="Q4" s="137" t="b">
        <v>1</v>
      </c>
      <c r="R4" s="50"/>
      <c r="S4" s="845"/>
      <c r="T4" s="845"/>
      <c r="U4" s="50"/>
      <c r="V4" s="50"/>
      <c r="W4" s="50"/>
      <c r="X4" s="135"/>
      <c r="Y4" s="49"/>
    </row>
    <row r="5" spans="1:43" ht="17.100000000000001" customHeight="1" outlineLevel="1">
      <c r="A5" s="49"/>
      <c r="B5" s="141"/>
      <c r="C5" s="140"/>
      <c r="D5" s="140"/>
      <c r="E5" s="50"/>
      <c r="F5" s="50"/>
      <c r="G5" s="50"/>
      <c r="H5" s="50"/>
      <c r="I5" s="53"/>
      <c r="J5" s="139" t="s">
        <v>74</v>
      </c>
      <c r="K5" s="843">
        <v>46022</v>
      </c>
      <c r="L5" s="843"/>
      <c r="M5" s="138"/>
      <c r="N5" s="136"/>
      <c r="O5" s="50"/>
      <c r="P5" s="138" t="s">
        <v>75</v>
      </c>
      <c r="Q5" s="137" t="b">
        <v>0</v>
      </c>
      <c r="R5" s="50"/>
      <c r="S5" s="136"/>
      <c r="T5" s="136"/>
      <c r="U5" s="50"/>
      <c r="V5" s="50"/>
      <c r="W5" s="50"/>
      <c r="X5" s="135"/>
      <c r="Y5" s="49"/>
    </row>
    <row r="6" spans="1:43" outlineLevel="1">
      <c r="A6" s="49"/>
      <c r="B6" s="134"/>
      <c r="C6" s="133"/>
      <c r="D6" s="133"/>
      <c r="E6" s="133"/>
      <c r="F6" s="133"/>
      <c r="G6" s="133"/>
      <c r="H6" s="133"/>
      <c r="I6" s="133"/>
      <c r="J6" s="133"/>
      <c r="K6" s="133"/>
      <c r="L6" s="133"/>
      <c r="M6" s="133"/>
      <c r="N6" s="133"/>
      <c r="O6" s="133"/>
      <c r="P6" s="133"/>
      <c r="Q6" s="133"/>
      <c r="R6" s="133"/>
      <c r="S6" s="133"/>
      <c r="T6" s="133"/>
      <c r="U6" s="133"/>
      <c r="V6" s="133"/>
      <c r="W6" s="133"/>
      <c r="X6" s="132"/>
      <c r="Y6" s="49"/>
    </row>
    <row r="7" spans="1:43" outlineLevel="1">
      <c r="A7" s="49"/>
      <c r="B7" s="131"/>
      <c r="C7" s="49"/>
      <c r="D7" s="49"/>
      <c r="E7" s="49"/>
      <c r="F7" s="49"/>
      <c r="G7" s="49"/>
      <c r="H7" s="49"/>
      <c r="I7" s="49"/>
      <c r="J7" s="49"/>
      <c r="K7" s="49"/>
      <c r="L7" s="49"/>
      <c r="M7" s="49"/>
      <c r="N7" s="49"/>
      <c r="O7" s="49"/>
      <c r="P7" s="49"/>
      <c r="Q7" s="49"/>
      <c r="R7" s="49"/>
      <c r="S7" s="49"/>
      <c r="T7" s="49"/>
      <c r="U7" s="49"/>
      <c r="V7" s="49"/>
      <c r="W7" s="49"/>
      <c r="X7" s="49"/>
      <c r="Y7" s="49"/>
    </row>
    <row r="9" spans="1:43" ht="18.600000000000001" customHeight="1">
      <c r="B9" s="846" t="str">
        <f>Company_Name&amp;" "&amp;"Financial Summary"</f>
        <v>Model Wiz Demo * Financial Summary</v>
      </c>
      <c r="C9" s="846"/>
      <c r="D9" s="846"/>
      <c r="E9" s="846"/>
      <c r="F9" s="846"/>
      <c r="G9" s="846"/>
      <c r="H9" s="846"/>
      <c r="I9" s="846"/>
      <c r="J9" s="846"/>
      <c r="K9" s="846"/>
      <c r="L9" s="846"/>
      <c r="M9" s="846"/>
      <c r="N9" s="846"/>
      <c r="O9" s="846"/>
      <c r="P9" s="846"/>
      <c r="Q9" s="846"/>
      <c r="R9" s="842" t="str">
        <f>IF(Report_Period="Custom",$AB$10,INDEX(PeriodTable[Display text],MATCH(Report_Period,PeriodTable[Period],0)))</f>
        <v>October 2025</v>
      </c>
      <c r="S9" s="842"/>
      <c r="T9" s="842"/>
      <c r="U9" s="842"/>
      <c r="V9" s="842"/>
      <c r="W9" s="842"/>
      <c r="X9" s="842"/>
      <c r="AA9" s="126" t="s">
        <v>76</v>
      </c>
      <c r="AB9" s="126" t="s">
        <v>77</v>
      </c>
      <c r="AC9" s="126" t="s">
        <v>72</v>
      </c>
      <c r="AD9" s="126" t="s">
        <v>78</v>
      </c>
    </row>
    <row r="10" spans="1:43" ht="18.600000000000001" customHeight="1">
      <c r="B10" s="846"/>
      <c r="C10" s="846"/>
      <c r="D10" s="846"/>
      <c r="E10" s="846"/>
      <c r="F10" s="846"/>
      <c r="G10" s="846"/>
      <c r="H10" s="846"/>
      <c r="I10" s="846"/>
      <c r="J10" s="846"/>
      <c r="K10" s="846"/>
      <c r="L10" s="846"/>
      <c r="M10" s="846"/>
      <c r="N10" s="846"/>
      <c r="O10" s="846"/>
      <c r="P10" s="846"/>
      <c r="Q10" s="846"/>
      <c r="R10" s="842"/>
      <c r="S10" s="842"/>
      <c r="T10" s="842"/>
      <c r="U10" s="842"/>
      <c r="V10" s="842"/>
      <c r="W10" s="842"/>
      <c r="X10" s="842"/>
      <c r="AA10" s="117" t="s">
        <v>79</v>
      </c>
      <c r="AB10" s="117" t="str">
        <f>IF(Report_Period="Custom",TEXT($AC10,"MMMM YYYY")&amp;IF(EOMONTH($AC10,0)=$AD10,""," - "&amp;TEXT($AD10,"MMMM YYYY")),INDEX(PeriodTable[Display text],MATCH(Report_Period,PeriodTable[Period],0)))</f>
        <v>October 2025</v>
      </c>
      <c r="AC10" s="129">
        <f>IF(Report_Period="Custom",$K$4,INDEX(PeriodTable[Start date],MATCH(Report_Period,PeriodTable[Period],0)))</f>
        <v>45931</v>
      </c>
      <c r="AD10" s="129">
        <f>IF(Report_Period="Custom",$K$5,INDEX(PeriodTable[End date],MATCH(Report_Period,PeriodTable[Period],0)))</f>
        <v>45961</v>
      </c>
    </row>
    <row r="11" spans="1:43">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AA11" s="117" t="s">
        <v>71</v>
      </c>
      <c r="AB11" s="117" t="str">
        <f>IF(Report_Period="Custom",TEXT($AC11,"MMM-YY")&amp;IF(EOMONTH($AC11,0)=$AD11,""," - "&amp;TEXT($AD11,"MMM-YY")),INDEX(PeriodTable[Prior Period Display text],MATCH(Report_Period,PeriodTable[Period],0)))</f>
        <v>September 2025</v>
      </c>
      <c r="AC11" s="129">
        <f>IF(Report_Period="Custom",EOMONTH($AD11,-(MATCH($K$5,endDates,0)-MATCH($K$4,startDates,0))),INDEX(PeriodTable[Prior Period Start],MATCH(Report_Period,PeriodTable[Period],0)))</f>
        <v>45901</v>
      </c>
      <c r="AD11" s="129">
        <f>IF(Report_Period="Custom",AC10-1,INDEX(PeriodTable[Prior Period End],MATCH(Report_Period,PeriodTable[Period],0)))</f>
        <v>45930</v>
      </c>
    </row>
    <row r="12" spans="1:43" ht="15.75" thickBot="1">
      <c r="B12" s="123"/>
      <c r="C12" s="123"/>
      <c r="D12" s="123"/>
      <c r="E12" s="123"/>
      <c r="F12" s="123"/>
      <c r="H12" s="123"/>
      <c r="I12" s="123"/>
      <c r="J12" s="123"/>
      <c r="K12" s="123"/>
      <c r="L12" s="123"/>
      <c r="N12" s="123"/>
      <c r="O12" s="123"/>
      <c r="P12" s="123"/>
      <c r="Q12" s="123"/>
      <c r="R12" s="123"/>
      <c r="T12" s="123"/>
      <c r="U12" s="123"/>
      <c r="V12" s="123"/>
      <c r="W12" s="123"/>
      <c r="X12" s="123"/>
      <c r="AA12" s="117" t="s">
        <v>73</v>
      </c>
      <c r="AB12" s="117" t="str">
        <f>IF(Report_Period="Custom",TEXT($AC12,"MMM-YY")&amp;IF(EOMONTH($AC12,0)=$AD12,""," - "&amp;TEXT($AD12,"MMM-YY")),INDEX(PeriodTable[Prior Year Display Text],MATCH(Report_Period,PeriodTable[Period],0)))</f>
        <v>October 2024</v>
      </c>
      <c r="AC12" s="129">
        <f>IF(Report_Period="Custom",EDATE($K$4,-12),INDEX(PeriodTable[Prior Year Start],MATCH(Report_Period,PeriodTable[Period],0)))</f>
        <v>45566</v>
      </c>
      <c r="AD12" s="129">
        <f>IF(Report_Period="Custom",EDATE($K$5,-12),INDEX(PeriodTable[Prior Year End],MATCH(Report_Period,PeriodTable[Period],0)))</f>
        <v>45596</v>
      </c>
    </row>
    <row r="13" spans="1:43" ht="15.75" thickTop="1">
      <c r="B13" s="116"/>
      <c r="C13" s="115"/>
      <c r="D13" s="115"/>
      <c r="E13" s="115"/>
      <c r="F13" s="114"/>
      <c r="H13" s="116"/>
      <c r="I13" s="115"/>
      <c r="J13" s="115"/>
      <c r="K13" s="115"/>
      <c r="L13" s="114"/>
      <c r="N13" s="116"/>
      <c r="O13" s="115"/>
      <c r="P13" s="115"/>
      <c r="Q13" s="115"/>
      <c r="R13" s="114"/>
      <c r="T13" s="116"/>
      <c r="U13" s="115"/>
      <c r="V13" s="115"/>
      <c r="W13" s="115"/>
      <c r="X13" s="114"/>
      <c r="AA13" s="117" t="s">
        <v>75</v>
      </c>
      <c r="AB13" s="117" t="s">
        <v>75</v>
      </c>
      <c r="AC13" s="129">
        <f>AC10</f>
        <v>45931</v>
      </c>
      <c r="AD13" s="129">
        <f>AD10</f>
        <v>45961</v>
      </c>
    </row>
    <row r="14" spans="1:43" ht="15.6" customHeight="1">
      <c r="B14" s="839" t="str">
        <f>$AA$16</f>
        <v>Revenue</v>
      </c>
      <c r="C14" s="840"/>
      <c r="D14" s="840"/>
      <c r="E14" s="840"/>
      <c r="F14" s="841"/>
      <c r="H14" s="839" t="s">
        <v>80</v>
      </c>
      <c r="I14" s="840"/>
      <c r="J14" s="840"/>
      <c r="K14" s="840"/>
      <c r="L14" s="841"/>
      <c r="N14" s="839" t="s">
        <v>81</v>
      </c>
      <c r="O14" s="840"/>
      <c r="P14" s="840"/>
      <c r="Q14" s="840"/>
      <c r="R14" s="841"/>
      <c r="T14" s="839" t="s">
        <v>82</v>
      </c>
      <c r="U14" s="840"/>
      <c r="V14" s="840"/>
      <c r="W14" s="840"/>
      <c r="X14" s="841"/>
      <c r="AA14" s="128"/>
      <c r="AB14" s="127"/>
      <c r="AC14" s="127"/>
      <c r="AD14" s="127"/>
    </row>
    <row r="15" spans="1:43" ht="14.45" customHeight="1">
      <c r="B15" s="835" t="str">
        <f>TEXT(INDEX($AD$16:$AD$23,MATCH(B14,$AA$16:$AA$23,0)),INDEX(FormatTable[Code],MATCH(INDEX($AN$16:$AN$23,MATCH(B14,$AA$16:$AA$23,0)),FormatTable[Format],0)))</f>
        <v>102K</v>
      </c>
      <c r="C15" s="836"/>
      <c r="D15" s="836"/>
      <c r="E15" s="836"/>
      <c r="F15" s="837"/>
      <c r="H15" s="835" t="str">
        <f>TEXT(INDEX($AD$16:$AD$23,MATCH(H14,$AA$16:$AA$23,0)),INDEX(FormatTable[Code],MATCH(INDEX($AN$16:$AN$23,MATCH(H14,$AA$16:$AA$23,0)),FormatTable[Format],0)))</f>
        <v>8,704</v>
      </c>
      <c r="I15" s="836"/>
      <c r="J15" s="836"/>
      <c r="K15" s="836"/>
      <c r="L15" s="837"/>
      <c r="N15" s="835" t="str">
        <f>TEXT(INDEX($AD$16:$AD$23,MATCH(N14,$AA$16:$AA$23,0)),INDEX(FormatTable[Code],MATCH(INDEX($AN$16:$AN$23,MATCH(N14,$AA$16:$AA$23,0)),FormatTable[Format],0)))</f>
        <v>92,977</v>
      </c>
      <c r="O15" s="836"/>
      <c r="P15" s="836"/>
      <c r="Q15" s="836"/>
      <c r="R15" s="837"/>
      <c r="T15" s="835" t="str">
        <f>TEXT(INDEX($AD$16:$AD$23,MATCH(T14,$AA$16:$AA$23,0)),INDEX(FormatTable[Code],MATCH(INDEX($AN$16:$AN$23,MATCH(T14,$AA$16:$AA$23,0)),FormatTable[Format],0)))</f>
        <v>91%</v>
      </c>
      <c r="U15" s="836"/>
      <c r="V15" s="836"/>
      <c r="W15" s="836"/>
      <c r="X15" s="837"/>
      <c r="AA15" s="126" t="s">
        <v>83</v>
      </c>
      <c r="AB15" s="126" t="s">
        <v>84</v>
      </c>
      <c r="AC15" s="126" t="s">
        <v>85</v>
      </c>
      <c r="AD15" s="126" t="s">
        <v>79</v>
      </c>
      <c r="AE15" s="126" t="s">
        <v>86</v>
      </c>
      <c r="AF15" s="126" t="s">
        <v>87</v>
      </c>
      <c r="AG15" s="126" t="s">
        <v>88</v>
      </c>
      <c r="AH15" s="126" t="s">
        <v>89</v>
      </c>
      <c r="AI15" s="126" t="s">
        <v>90</v>
      </c>
      <c r="AJ15" s="126" t="s">
        <v>91</v>
      </c>
      <c r="AK15" s="126" t="s">
        <v>75</v>
      </c>
      <c r="AL15" s="126" t="s">
        <v>92</v>
      </c>
      <c r="AM15" s="126" t="s">
        <v>93</v>
      </c>
      <c r="AN15" s="126" t="s">
        <v>94</v>
      </c>
      <c r="AO15" s="126" t="s">
        <v>95</v>
      </c>
      <c r="AP15" s="126" t="s">
        <v>96</v>
      </c>
      <c r="AQ15" s="126" t="s">
        <v>97</v>
      </c>
    </row>
    <row r="16" spans="1:43" ht="14.45" customHeight="1">
      <c r="B16" s="838"/>
      <c r="C16" s="836"/>
      <c r="D16" s="836"/>
      <c r="E16" s="836"/>
      <c r="F16" s="837"/>
      <c r="H16" s="838"/>
      <c r="I16" s="836"/>
      <c r="J16" s="836"/>
      <c r="K16" s="836"/>
      <c r="L16" s="837"/>
      <c r="N16" s="838"/>
      <c r="O16" s="836"/>
      <c r="P16" s="836"/>
      <c r="Q16" s="836"/>
      <c r="R16" s="837"/>
      <c r="T16" s="838"/>
      <c r="U16" s="836"/>
      <c r="V16" s="836"/>
      <c r="W16" s="836"/>
      <c r="X16" s="837"/>
      <c r="AA16" s="122" t="s">
        <v>98</v>
      </c>
      <c r="AB16" s="121" t="s">
        <v>99</v>
      </c>
      <c r="AC16" s="121" t="s">
        <v>98</v>
      </c>
      <c r="AD16" s="120" cm="1">
        <f t="array" ref="AD16">IFERROR(SUM(_xlfn._xlws.FILTER(_xlfn._xlws.FILTER(dataSummaryPL,(startDates&gt;=AC$10)*(endDates&lt;=AD$10)),dataSummaryPLSections=$AC16)),0)</f>
        <v>101680.73</v>
      </c>
      <c r="AE16" s="120" cm="1">
        <f t="array" ref="AE16">IFERROR(SUM(_xlfn._xlws.FILTER(_xlfn._xlws.FILTER(dataSummaryPL,(startDates&gt;=AC$11)*(endDates&lt;=AD$11)),dataSummaryPLSections=$AC16)),0)</f>
        <v>105314.98</v>
      </c>
      <c r="AF16" s="119">
        <f t="shared" ref="AF16:AF23" si="0">$AD16-AE16</f>
        <v>-3634.25</v>
      </c>
      <c r="AG16" s="118">
        <f t="shared" ref="AG16:AG23" si="1">IFERROR(AF16/ABS(AE16),0)</f>
        <v>-3.45083861764015E-2</v>
      </c>
      <c r="AH16" s="120" cm="1">
        <f t="array" ref="AH16">IFERROR(SUM(_xlfn._xlws.FILTER(_xlfn._xlws.FILTER(dataSummaryPL,(startDates&gt;=AC$12)*(endDates&lt;=AD$12)),dataSummaryPLSections=$AC16)),0)</f>
        <v>51051</v>
      </c>
      <c r="AI16" s="119">
        <f t="shared" ref="AI16:AI23" si="2">$AD16-AH16</f>
        <v>50629.729999999996</v>
      </c>
      <c r="AJ16" s="118">
        <f t="shared" ref="AJ16:AJ23" si="3">IFERROR(AI16/ABS(AH16),0)</f>
        <v>0.9917480558657028</v>
      </c>
      <c r="AK16" s="119">
        <f t="shared" ref="AK16:AK23" si="4">AD16</f>
        <v>101680.73</v>
      </c>
      <c r="AL16" s="119">
        <f t="shared" ref="AL16:AL23" si="5">$AD16-AK16</f>
        <v>0</v>
      </c>
      <c r="AM16" s="118">
        <f t="shared" ref="AM16:AM23" si="6">IFERROR(AL16/AK16,0)</f>
        <v>0</v>
      </c>
      <c r="AN16" s="117" t="str" cm="1">
        <f t="array" ref="AN16">_xlfn.LET(_xlpm.v,ABS(AD16),_xlfn.SWITCH(TRUE,_xlpm.v&lt;1,"%",_xlpm.v&lt;100000,"Comma",_xlpm.v&lt;1000000,"Thousands","Millions"))</f>
        <v>Thousands</v>
      </c>
      <c r="AO16" s="117" t="str" cm="1">
        <f t="array" ref="AO16">_xlfn.LET(_xlpm.v,ABS(AF16),_xlfn.SWITCH(TRUE,_xlpm.v&lt;1,"% Var",_xlpm.v&lt;100000,"Comma Var",_xlpm.v&lt;1000000,"Thousands Var","Millions Var"))</f>
        <v>Comma Var</v>
      </c>
      <c r="AP16" s="117" t="str" cm="1">
        <f t="array" ref="AP16">_xlfn.LET(_xlpm.v,ABS(AI16),_xlfn.SWITCH(TRUE,_xlpm.v&lt;1,"% Var",_xlpm.v&lt;100000,"Comma Var",_xlpm.v&lt;1000000,"Thousands Var","Millions Var"))</f>
        <v>Comma Var</v>
      </c>
      <c r="AQ16" s="117" t="str" cm="1">
        <f t="array" ref="AQ16">_xlfn.LET(_xlpm.v,ABS(AL16),_xlfn.SWITCH(TRUE,_xlpm.v&lt;1,"% Var",_xlpm.v&lt;100000,"Comma Var",_xlpm.v&lt;1000000,"Thousands Var","Millions Var"))</f>
        <v>% Var</v>
      </c>
    </row>
    <row r="17" spans="2:43" ht="14.45" customHeight="1">
      <c r="B17" s="838"/>
      <c r="C17" s="836"/>
      <c r="D17" s="836"/>
      <c r="E17" s="836"/>
      <c r="F17" s="837"/>
      <c r="H17" s="838"/>
      <c r="I17" s="836"/>
      <c r="J17" s="836"/>
      <c r="K17" s="836"/>
      <c r="L17" s="837"/>
      <c r="N17" s="838"/>
      <c r="O17" s="836"/>
      <c r="P17" s="836"/>
      <c r="Q17" s="836"/>
      <c r="R17" s="837"/>
      <c r="T17" s="838"/>
      <c r="U17" s="836"/>
      <c r="V17" s="836"/>
      <c r="W17" s="836"/>
      <c r="X17" s="837"/>
      <c r="AA17" s="122" t="s">
        <v>80</v>
      </c>
      <c r="AB17" s="121" t="s">
        <v>99</v>
      </c>
      <c r="AC17" s="121" t="str">
        <f>AA17</f>
        <v>COGS</v>
      </c>
      <c r="AD17" s="120" cm="1">
        <f t="array" ref="AD17">IFERROR(SUM(_xlfn._xlws.FILTER(_xlfn._xlws.FILTER(dataSummaryPL,(startDates&gt;=AC$10)*(endDates&lt;=AD$10)),dataSummaryPLSections=$AC17)),0)</f>
        <v>8703.61</v>
      </c>
      <c r="AE17" s="120" cm="1">
        <f t="array" ref="AE17">IFERROR(SUM(_xlfn._xlws.FILTER(_xlfn._xlws.FILTER(dataSummaryPL,(startDates&gt;=AC$11)*(endDates&lt;=AD$11)),dataSummaryPLSections=$AC17)),0)</f>
        <v>8289.15</v>
      </c>
      <c r="AF17" s="119">
        <f t="shared" si="0"/>
        <v>414.46000000000095</v>
      </c>
      <c r="AG17" s="118">
        <f t="shared" si="1"/>
        <v>5.000030159907843E-2</v>
      </c>
      <c r="AH17" s="120" cm="1">
        <f t="array" ref="AH17">IFERROR(SUM(_xlfn._xlws.FILTER(_xlfn._xlws.FILTER(dataSummaryPL,(startDates&gt;=AC$12)*(endDates&lt;=AD$12)),dataSummaryPLSections=$AC17)),0)</f>
        <v>4846.33</v>
      </c>
      <c r="AI17" s="119">
        <f t="shared" si="2"/>
        <v>3857.2800000000007</v>
      </c>
      <c r="AJ17" s="118">
        <f t="shared" si="3"/>
        <v>0.79591773568865531</v>
      </c>
      <c r="AK17" s="119">
        <f t="shared" si="4"/>
        <v>8703.61</v>
      </c>
      <c r="AL17" s="119">
        <f t="shared" si="5"/>
        <v>0</v>
      </c>
      <c r="AM17" s="118">
        <f t="shared" si="6"/>
        <v>0</v>
      </c>
      <c r="AN17" s="117" t="str" cm="1">
        <f t="array" ref="AN17">_xlfn.LET(_xlpm.v,ABS(AD17),_xlfn.SWITCH(TRUE,_xlpm.v&lt;1,"%",_xlpm.v&lt;100000,"Comma",_xlpm.v&lt;1000000,"Thousands","Millions"))</f>
        <v>Comma</v>
      </c>
      <c r="AO17" s="117" t="str" cm="1">
        <f t="array" ref="AO17">_xlfn.LET(_xlpm.v,ABS(AF17),_xlfn.SWITCH(TRUE,_xlpm.v&lt;1,"% Var",_xlpm.v&lt;100000,"Comma Var",_xlpm.v&lt;1000000,"Thousands Var","Millions Var"))</f>
        <v>Comma Var</v>
      </c>
      <c r="AP17" s="117" t="str" cm="1">
        <f t="array" ref="AP17">_xlfn.LET(_xlpm.v,ABS(AI17),_xlfn.SWITCH(TRUE,_xlpm.v&lt;1,"% Var",_xlpm.v&lt;100000,"Comma Var",_xlpm.v&lt;1000000,"Thousands Var","Millions Var"))</f>
        <v>Comma Var</v>
      </c>
      <c r="AQ17" s="117" t="str" cm="1">
        <f t="array" ref="AQ17">_xlfn.LET(_xlpm.v,ABS(AL17),_xlfn.SWITCH(TRUE,_xlpm.v&lt;1,"% Var",_xlpm.v&lt;100000,"Comma Var",_xlpm.v&lt;1000000,"Thousands Var","Millions Var"))</f>
        <v>% Var</v>
      </c>
    </row>
    <row r="18" spans="2:43" ht="22.35" customHeight="1">
      <c r="B18" s="113" t="str">
        <f>IF(--SUM($Q$3:$Q$5)=0,"","Compared to")</f>
        <v/>
      </c>
      <c r="C18" s="112"/>
      <c r="D18" s="112"/>
      <c r="E18" s="112"/>
      <c r="F18" s="111"/>
      <c r="H18" s="113" t="str">
        <f>IF(--SUM($Q$3:$Q$5)=0,"","Compared to")</f>
        <v/>
      </c>
      <c r="I18" s="112"/>
      <c r="J18" s="112"/>
      <c r="K18" s="112"/>
      <c r="L18" s="111"/>
      <c r="N18" s="113" t="str">
        <f>IF(--SUM($Q$3:$Q$5)=0,"","Compared to")</f>
        <v/>
      </c>
      <c r="O18" s="112"/>
      <c r="P18" s="112"/>
      <c r="Q18" s="112"/>
      <c r="R18" s="111"/>
      <c r="T18" s="113" t="str">
        <f>IF(--SUM($Q$3:$Q$5)=0,"","Compared to")</f>
        <v/>
      </c>
      <c r="U18" s="112"/>
      <c r="V18" s="112"/>
      <c r="W18" s="112"/>
      <c r="X18" s="111"/>
      <c r="AA18" s="122" t="s">
        <v>81</v>
      </c>
      <c r="AB18" s="121" t="s">
        <v>100</v>
      </c>
      <c r="AC18" s="121" t="str">
        <f>AA18</f>
        <v>Gross Profit</v>
      </c>
      <c r="AD18" s="120" cm="1">
        <f t="array" ref="AD18">IFERROR(SUM(_xlfn._xlws.FILTER(_xlfn._xlws.FILTER(dataSummaryPL,(startDates&gt;=AC$10)*(endDates&lt;=AD$10)),dataSummaryPLSections="Revenue")),0)-IFERROR(SUM(_xlfn._xlws.FILTER(_xlfn._xlws.FILTER(dataSummaryPL,(startDates&gt;=AC$10)*(endDates&lt;=AD$10)),dataSummaryPLSections="COGS")),0)</f>
        <v>92977.12</v>
      </c>
      <c r="AE18" s="120" cm="1">
        <f t="array" ref="AE18">IFERROR(SUM(_xlfn._xlws.FILTER(_xlfn._xlws.FILTER(dataSummaryPL,(startDates&gt;=AC$11)*(endDates&lt;=AD$11)),dataSummaryPLSections="Revenue"))-SUM(_xlfn._xlws.FILTER(_xlfn._xlws.FILTER(dataSummaryPL,(startDates&gt;=AC$11)*(endDates&lt;=AD$11)),dataSummaryPLSections="COGS")),0)</f>
        <v>97025.83</v>
      </c>
      <c r="AF18" s="119">
        <f t="shared" si="0"/>
        <v>-4048.7100000000064</v>
      </c>
      <c r="AG18" s="118">
        <f t="shared" si="1"/>
        <v>-4.1728166612952512E-2</v>
      </c>
      <c r="AH18" s="120" cm="1">
        <f t="array" ref="AH18">IFERROR(SUM(_xlfn._xlws.FILTER(_xlfn._xlws.FILTER(dataSummaryPL,(startDates&gt;=AC$12)*(endDates&lt;=AD$12)),dataSummaryPLSections="Revenue"))-SUM(_xlfn._xlws.FILTER(_xlfn._xlws.FILTER(dataSummaryPL,(startDates&gt;=AC$12)*(endDates&lt;=AD$12)),dataSummaryPLSections="COGS")),0)</f>
        <v>46204.67</v>
      </c>
      <c r="AI18" s="119">
        <f t="shared" si="2"/>
        <v>46772.45</v>
      </c>
      <c r="AJ18" s="118">
        <f t="shared" si="3"/>
        <v>1.0122883682536852</v>
      </c>
      <c r="AK18" s="119">
        <f t="shared" si="4"/>
        <v>92977.12</v>
      </c>
      <c r="AL18" s="119">
        <f t="shared" si="5"/>
        <v>0</v>
      </c>
      <c r="AM18" s="118">
        <f t="shared" si="6"/>
        <v>0</v>
      </c>
      <c r="AN18" s="117" t="str" cm="1">
        <f t="array" ref="AN18">_xlfn.LET(_xlpm.v,ABS(AD18),_xlfn.SWITCH(TRUE,_xlpm.v&lt;1,"%",_xlpm.v&lt;100000,"Comma",_xlpm.v&lt;1000000,"Thousands","Millions"))</f>
        <v>Comma</v>
      </c>
      <c r="AO18" s="117" t="str" cm="1">
        <f t="array" ref="AO18">_xlfn.LET(_xlpm.v,ABS(AF18),_xlfn.SWITCH(TRUE,_xlpm.v&lt;1,"% Var",_xlpm.v&lt;100000,"Comma Var",_xlpm.v&lt;1000000,"Thousands Var","Millions Var"))</f>
        <v>Comma Var</v>
      </c>
      <c r="AP18" s="117" t="str" cm="1">
        <f t="array" ref="AP18">_xlfn.LET(_xlpm.v,ABS(AI18),_xlfn.SWITCH(TRUE,_xlpm.v&lt;1,"% Var",_xlpm.v&lt;100000,"Comma Var",_xlpm.v&lt;1000000,"Thousands Var","Millions Var"))</f>
        <v>Comma Var</v>
      </c>
      <c r="AQ18" s="117" t="str" cm="1">
        <f t="array" ref="AQ18">_xlfn.LET(_xlpm.v,ABS(AL18),_xlfn.SWITCH(TRUE,_xlpm.v&lt;1,"% Var",_xlpm.v&lt;100000,"Comma Var",_xlpm.v&lt;1000000,"Thousands Var","Millions Var"))</f>
        <v>% Var</v>
      </c>
    </row>
    <row r="19" spans="2:43" ht="18.600000000000001" customHeight="1">
      <c r="B19" s="833" t="str">
        <f>IF($Q$3,$AB$11,"")</f>
        <v>September 2025</v>
      </c>
      <c r="C19" s="834"/>
      <c r="D19" s="110">
        <f>IF($Q$3,INDEX($AF$16:$AF$23,MATCH(B14,$AA$16:$AA$23,0)),"")</f>
        <v>-3634.25</v>
      </c>
      <c r="E19" s="109" t="str">
        <f>IF($Q$3,TEXT(INDEX($AF$16:$AF$23,MATCH(B14,$AA$16:$AA$23,0)),INDEX(FormatTable[Code],MATCH(INDEX($AO$16:$AO$23,MATCH(B14,$AA$16:$AA$23,0)),FormatTable[Format],0))),"")</f>
        <v xml:space="preserve"> -3,634</v>
      </c>
      <c r="F19" s="108">
        <f>IF($Q$3,INDEX($AG$16:$AG$23,MATCH(B14,$AA$16:$AA$23,0)),"")</f>
        <v>-3.45083861764015E-2</v>
      </c>
      <c r="H19" s="833" t="str">
        <f>IF($Q$3,$AB$11,"")</f>
        <v>September 2025</v>
      </c>
      <c r="I19" s="834"/>
      <c r="J19" s="110">
        <f>IF($Q$3,INDEX($AF$16:$AF$23,MATCH(H14,$AA$16:$AA$23,0)),"")</f>
        <v>414.46000000000095</v>
      </c>
      <c r="K19" s="109" t="str">
        <f>IF($Q$3,TEXT(INDEX($AF$16:$AF$23,MATCH(H14,$AA$16:$AA$23,0)),INDEX(FormatTable[Code],MATCH(INDEX($AO$16:$AO$23,MATCH(H14,$AA$16:$AA$23,0)),FormatTable[Format],0))),"")</f>
        <v>+414</v>
      </c>
      <c r="L19" s="108">
        <f>IF($Q$3,INDEX($AG$16:$AG$23,MATCH(H14,$AA$16:$AA$23,0)),"")</f>
        <v>5.000030159907843E-2</v>
      </c>
      <c r="N19" s="833" t="str">
        <f>IF($Q$3,$AB$11,"")</f>
        <v>September 2025</v>
      </c>
      <c r="O19" s="834"/>
      <c r="P19" s="110">
        <f>IF($Q$3,INDEX($AF$16:$AF$23,MATCH(N14,$AA$16:$AA$23,0)),"")</f>
        <v>-4048.7100000000064</v>
      </c>
      <c r="Q19" s="109" t="str">
        <f>IF($Q$3,TEXT(INDEX($AF$16:$AF$23,MATCH(N14,$AA$16:$AA$23,0)),INDEX(FormatTable[Code],MATCH(INDEX($AO$16:$AO$23,MATCH(N14,$AA$16:$AA$23,0)),FormatTable[Format],0))),"")</f>
        <v xml:space="preserve"> -4,049</v>
      </c>
      <c r="R19" s="108">
        <f>IF($Q$3,INDEX($AG$16:$AG$23,MATCH(N14,$AA$16:$AA$23,0)),"")</f>
        <v>-4.1728166612952512E-2</v>
      </c>
      <c r="T19" s="833" t="str">
        <f>IF($Q$3,$AB$11,"")</f>
        <v>September 2025</v>
      </c>
      <c r="U19" s="834"/>
      <c r="V19" s="110">
        <f>IF($Q$3,INDEX($AF$16:$AF$23,MATCH(T14,$AA$16:$AA$23,0)),"")</f>
        <v>-6.8892619995364335E-3</v>
      </c>
      <c r="W19" s="109" t="str">
        <f>IF($Q$3,TEXT(INDEX($AF$16:$AF$23,MATCH(T14,$AA$16:$AA$23,0)),INDEX(FormatTable[Code],MATCH(INDEX($AO$16:$AO$23,MATCH(T14,$AA$16:$AA$23,0)),FormatTable[Format],0))),"")</f>
        <v>(1%)</v>
      </c>
      <c r="X19" s="124"/>
      <c r="AA19" s="122" t="s">
        <v>82</v>
      </c>
      <c r="AB19" s="121" t="s">
        <v>100</v>
      </c>
      <c r="AC19" s="121" t="str">
        <f>AA19</f>
        <v>Gross Margin</v>
      </c>
      <c r="AD19" s="125" cm="1">
        <f t="array" ref="AD19">IFERROR((SUM(_xlfn._xlws.FILTER(_xlfn._xlws.FILTER(dataSummaryPL,(startDates&gt;=AC$10)*(endDates&lt;=AD$10)),dataSummaryPLSections="Revenue"))-SUM(_xlfn._xlws.FILTER(_xlfn._xlws.FILTER(dataSummaryPL,(startDates&gt;=AC$10)*(endDates&lt;=AD$10)),dataSummaryPLSections="COGS")))/SUM(_xlfn._xlws.FILTER(_xlfn._xlws.FILTER(dataSummaryPL,(startDates&gt;=AC$10)*(endDates&lt;=AD$10)),dataSummaryPLSections="Revenue")),0)</f>
        <v>0.91440256182267765</v>
      </c>
      <c r="AE19" s="125" cm="1">
        <f t="array" ref="AE19">IFERROR((SUM(_xlfn._xlws.FILTER(_xlfn._xlws.FILTER(dataSummaryPL,(startDates&gt;=AC$11)*(endDates&lt;=AD$11)),dataSummaryPLSections="Revenue"))-SUM(_xlfn._xlws.FILTER(_xlfn._xlws.FILTER(dataSummaryPL,(startDates&gt;=AC$11)*(endDates&lt;=AD$11)),dataSummaryPLSections="COGS")))/SUM(_xlfn._xlws.FILTER(_xlfn._xlws.FILTER(dataSummaryPL,(startDates&gt;=AC$11)*(endDates&lt;=AD$11)),dataSummaryPLSections="Revenue")),0)</f>
        <v>0.92129182382221408</v>
      </c>
      <c r="AF19" s="125">
        <f t="shared" si="0"/>
        <v>-6.8892619995364335E-3</v>
      </c>
      <c r="AG19" s="118">
        <f t="shared" si="1"/>
        <v>-7.4778282205464203E-3</v>
      </c>
      <c r="AH19" s="125" cm="1">
        <f t="array" ref="AH19">IFERROR((SUM(_xlfn._xlws.FILTER(_xlfn._xlws.FILTER(dataSummaryPL,(startDates&gt;=AC$12)*(endDates&lt;=AD$12)),dataSummaryPLSections="Revenue"))-SUM(_xlfn._xlws.FILTER(_xlfn._xlws.FILTER(dataSummaryPL,(startDates&gt;=AC$12)*(endDates&lt;=AD$12)),dataSummaryPLSections="COGS")))/SUM(_xlfn._xlws.FILTER(_xlfn._xlws.FILTER(dataSummaryPL,(startDates&gt;=AC$12)*(endDates&lt;=AD$12)),dataSummaryPLSections="Revenue")),0)</f>
        <v>0.90506885271591153</v>
      </c>
      <c r="AI19" s="125">
        <f t="shared" si="2"/>
        <v>9.3337091067661193E-3</v>
      </c>
      <c r="AJ19" s="118">
        <f t="shared" si="3"/>
        <v>1.0312706131426048E-2</v>
      </c>
      <c r="AK19" s="125">
        <f t="shared" si="4"/>
        <v>0.91440256182267765</v>
      </c>
      <c r="AL19" s="125">
        <f t="shared" si="5"/>
        <v>0</v>
      </c>
      <c r="AM19" s="118">
        <f t="shared" si="6"/>
        <v>0</v>
      </c>
      <c r="AN19" s="117" t="str" cm="1">
        <f t="array" ref="AN19">_xlfn.LET(_xlpm.v,ABS(AD19),_xlfn.SWITCH(TRUE,_xlpm.v&lt;1,"%",_xlpm.v&lt;100000,"Comma",_xlpm.v&lt;1000000,"Thousands","Millions"))</f>
        <v>%</v>
      </c>
      <c r="AO19" s="117" t="str" cm="1">
        <f t="array" ref="AO19">_xlfn.LET(_xlpm.v,ABS(AF19),_xlfn.SWITCH(TRUE,_xlpm.v&lt;1,"% Var",_xlpm.v&lt;100000,"Comma Var",_xlpm.v&lt;1000000,"Thousands Var","Millions Var"))</f>
        <v>% Var</v>
      </c>
      <c r="AP19" s="117" t="str" cm="1">
        <f t="array" ref="AP19">_xlfn.LET(_xlpm.v,ABS(AI19),_xlfn.SWITCH(TRUE,_xlpm.v&lt;1,"% Var",_xlpm.v&lt;100000,"Comma Var",_xlpm.v&lt;1000000,"Thousands Var","Millions Var"))</f>
        <v>% Var</v>
      </c>
      <c r="AQ19" s="117" t="str" cm="1">
        <f t="array" ref="AQ19">_xlfn.LET(_xlpm.v,ABS(AL19),_xlfn.SWITCH(TRUE,_xlpm.v&lt;1,"% Var",_xlpm.v&lt;100000,"Comma Var",_xlpm.v&lt;1000000,"Thousands Var","Millions Var"))</f>
        <v>% Var</v>
      </c>
    </row>
    <row r="20" spans="2:43" ht="18.600000000000001" customHeight="1">
      <c r="B20" s="833" t="str">
        <f>IF($Q$4,$AB$12,"")</f>
        <v>October 2024</v>
      </c>
      <c r="C20" s="834"/>
      <c r="D20" s="110">
        <f>IF($Q$4,INDEX($AI$16:$AI$23,MATCH(B14,$AA$16:$AA$23,0)),"")</f>
        <v>50629.729999999996</v>
      </c>
      <c r="E20" s="109" t="str">
        <f>IF($Q$4,TEXT(INDEX($AI$16:$AI$23,MATCH(B14,$AA$16:$AA$23,0)),INDEX(FormatTable[Code],MATCH(INDEX($AP$16:$AP$23,MATCH(B14,$AA$16:$AA$23,0)),FormatTable[Format],0))),"")</f>
        <v>+50,630</v>
      </c>
      <c r="F20" s="108">
        <f>IF($Q$4,INDEX($AJ$16:$AJ$23,MATCH(B14,$AA$16:$AA$23,0)),"")</f>
        <v>0.9917480558657028</v>
      </c>
      <c r="H20" s="833" t="str">
        <f>IF($Q$4,$AB$12,"")</f>
        <v>October 2024</v>
      </c>
      <c r="I20" s="834"/>
      <c r="J20" s="110">
        <f>IF($Q$4,INDEX($AI$16:$AI$23,MATCH(H14,$AA$16:$AA$23,0)),"")</f>
        <v>3857.2800000000007</v>
      </c>
      <c r="K20" s="109" t="str">
        <f>IF($Q$4,TEXT(INDEX($AI$16:$AI$23,MATCH(H14,$AA$16:$AA$23,0)),INDEX(FormatTable[Code],MATCH(INDEX($AP$16:$AP$23,MATCH(H14,$AA$16:$AA$23,0)),FormatTable[Format],0))),"")</f>
        <v>+3,857</v>
      </c>
      <c r="L20" s="108">
        <f>IF($Q$4,INDEX($AJ$16:$AJ$23,MATCH(H14,$AA$16:$AA$23,0)),"")</f>
        <v>0.79591773568865531</v>
      </c>
      <c r="N20" s="833" t="str">
        <f>IF($Q$4,$AB$12,"")</f>
        <v>October 2024</v>
      </c>
      <c r="O20" s="834"/>
      <c r="P20" s="110">
        <f>IF($Q$4,INDEX($AI$16:$AI$23,MATCH(N14,$AA$16:$AA$23,0)),"")</f>
        <v>46772.45</v>
      </c>
      <c r="Q20" s="109" t="str">
        <f>IF($Q$4,TEXT(INDEX($AI$16:$AI$23,MATCH(N14,$AA$16:$AA$23,0)),INDEX(FormatTable[Code],MATCH(INDEX($AP$16:$AP$23,MATCH(N14,$AA$16:$AA$23,0)),FormatTable[Format],0))),"")</f>
        <v>+46,772</v>
      </c>
      <c r="R20" s="108">
        <f>IF($Q$4,INDEX($AJ$16:$AJ$23,MATCH(N14,$AA$16:$AA$23,0)),"")</f>
        <v>1.0122883682536852</v>
      </c>
      <c r="T20" s="833" t="str">
        <f>IF($Q$4,$AB$12,"")</f>
        <v>October 2024</v>
      </c>
      <c r="U20" s="834"/>
      <c r="V20" s="110">
        <f>IF($Q$4,INDEX($AI$16:$AI$23,MATCH(T14,$AA$16:$AA$23,0)),"")</f>
        <v>9.3337091067661193E-3</v>
      </c>
      <c r="W20" s="109" t="str">
        <f>IF($Q$4,TEXT(INDEX($AI$16:$AI$23,MATCH(T14,$AA$16:$AA$23,0)),INDEX(FormatTable[Code],MATCH(INDEX($AP$16:$AP$23,MATCH(T14,$AA$16:$AA$23,0)),FormatTable[Format],0))),"")</f>
        <v>+1%</v>
      </c>
      <c r="X20" s="124"/>
      <c r="AA20" s="122" t="s">
        <v>101</v>
      </c>
      <c r="AB20" s="121" t="s">
        <v>99</v>
      </c>
      <c r="AC20" s="121" t="str">
        <f>AA20</f>
        <v>Opex</v>
      </c>
      <c r="AD20" s="120" cm="1">
        <f t="array" ref="AD20">IFERROR(SUM(_xlfn._xlws.FILTER(_xlfn._xlws.FILTER(dataSummaryPL,(startDates&gt;=AC$10)*(endDates&lt;=AD$10)),dataSummaryPLSections=$AC20)),0)</f>
        <v>318343.84999999998</v>
      </c>
      <c r="AE20" s="120" cm="1">
        <f t="array" ref="AE20">IFERROR(SUM(_xlfn._xlws.FILTER(_xlfn._xlws.FILTER(dataSummaryPL,(startDates&gt;=AC$11)*(endDates&lt;=AD$11)),dataSummaryPLSections=$AC20)),0)</f>
        <v>303184.62</v>
      </c>
      <c r="AF20" s="119">
        <f t="shared" si="0"/>
        <v>15159.229999999981</v>
      </c>
      <c r="AG20" s="118">
        <f t="shared" si="1"/>
        <v>4.9999996701679594E-2</v>
      </c>
      <c r="AH20" s="120" cm="1">
        <f t="array" ref="AH20">IFERROR(SUM(_xlfn._xlws.FILTER(_xlfn._xlws.FILTER(dataSummaryPL,(startDates&gt;=AC$12)*(endDates&lt;=AD$12)),dataSummaryPLSections=$AC20)),0)</f>
        <v>177265.66999999998</v>
      </c>
      <c r="AI20" s="119">
        <f t="shared" si="2"/>
        <v>141078.18</v>
      </c>
      <c r="AJ20" s="118">
        <f t="shared" si="3"/>
        <v>0.79585731405296922</v>
      </c>
      <c r="AK20" s="119">
        <f t="shared" si="4"/>
        <v>318343.84999999998</v>
      </c>
      <c r="AL20" s="119">
        <f t="shared" si="5"/>
        <v>0</v>
      </c>
      <c r="AM20" s="118">
        <f t="shared" si="6"/>
        <v>0</v>
      </c>
      <c r="AN20" s="117" t="str" cm="1">
        <f t="array" ref="AN20">_xlfn.LET(_xlpm.v,ABS(AD20),_xlfn.SWITCH(TRUE,_xlpm.v&lt;1,"%",_xlpm.v&lt;100000,"Comma",_xlpm.v&lt;1000000,"Thousands","Millions"))</f>
        <v>Thousands</v>
      </c>
      <c r="AO20" s="117" t="str" cm="1">
        <f t="array" ref="AO20">_xlfn.LET(_xlpm.v,ABS(AF20),_xlfn.SWITCH(TRUE,_xlpm.v&lt;1,"% Var",_xlpm.v&lt;100000,"Comma Var",_xlpm.v&lt;1000000,"Thousands Var","Millions Var"))</f>
        <v>Comma Var</v>
      </c>
      <c r="AP20" s="117" t="str" cm="1">
        <f t="array" ref="AP20">_xlfn.LET(_xlpm.v,ABS(AI20),_xlfn.SWITCH(TRUE,_xlpm.v&lt;1,"% Var",_xlpm.v&lt;100000,"Comma Var",_xlpm.v&lt;1000000,"Thousands Var","Millions Var"))</f>
        <v>Thousands Var</v>
      </c>
      <c r="AQ20" s="117" t="str" cm="1">
        <f t="array" ref="AQ20">_xlfn.LET(_xlpm.v,ABS(AL20),_xlfn.SWITCH(TRUE,_xlpm.v&lt;1,"% Var",_xlpm.v&lt;100000,"Comma Var",_xlpm.v&lt;1000000,"Thousands Var","Millions Var"))</f>
        <v>% Var</v>
      </c>
    </row>
    <row r="21" spans="2:43" ht="18.600000000000001" customHeight="1">
      <c r="B21" s="833" t="str">
        <f>IF($Q$5,$AB$13,"")</f>
        <v/>
      </c>
      <c r="C21" s="834"/>
      <c r="D21" s="110" t="str">
        <f>IF($Q$5,INDEX($AL$16:$AL$23,MATCH(B14,$AA$16:$AA$23,0)),"")</f>
        <v/>
      </c>
      <c r="E21" s="109" t="str">
        <f>IF($Q$5,TEXT(INDEX($AL$16:$AL$23,MATCH(B14,$AA$16:$AA$23,0)),INDEX(FormatTable[Code],MATCH(INDEX($AQ$16:$AQ$23,MATCH(B14,$AA$16:$AA$23,0)),FormatTable[Format],0))),"")</f>
        <v/>
      </c>
      <c r="F21" s="108" t="str">
        <f>IF($Q$5,INDEX($AM$16:$AM$23,MATCH(B14,$AA$16:$AA$23,0)),"")</f>
        <v/>
      </c>
      <c r="H21" s="833" t="str">
        <f>IF($Q$5,$AB$13,"")</f>
        <v/>
      </c>
      <c r="I21" s="834"/>
      <c r="J21" s="110" t="str">
        <f>IF($Q$5,INDEX($AL$16:$AL$23,MATCH(H14,$AA$16:$AA$23,0)),"")</f>
        <v/>
      </c>
      <c r="K21" s="109" t="str">
        <f>IF($Q$5,TEXT(INDEX($AL$16:$AL$23,MATCH(H14,$AA$16:$AA$23,0)),INDEX(FormatTable[Code],MATCH(INDEX($AQ$16:$AQ$23,MATCH(H14,$AA$16:$AA$23,0)),FormatTable[Format],0))),"")</f>
        <v/>
      </c>
      <c r="L21" s="108" t="str">
        <f>IF($Q$5,INDEX($AM$16:$AM$23,MATCH(H14,$AA$16:$AA$23,0)),"")</f>
        <v/>
      </c>
      <c r="N21" s="833" t="str">
        <f>IF($Q$5,$AB$13,"")</f>
        <v/>
      </c>
      <c r="O21" s="834"/>
      <c r="P21" s="110" t="str">
        <f>IF($Q$5,INDEX($AL$16:$AL$23,MATCH(N14,$AA$16:$AA$23,0)),"")</f>
        <v/>
      </c>
      <c r="Q21" s="109" t="str">
        <f>IF($Q$5,TEXT(INDEX($AL$16:$AL$23,MATCH(N14,$AA$16:$AA$23,0)),INDEX(FormatTable[Code],MATCH(INDEX($AQ$16:$AQ$23,MATCH(N14,$AA$16:$AA$23,0)),FormatTable[Format],0))),"")</f>
        <v/>
      </c>
      <c r="R21" s="108" t="str">
        <f>IF($Q$5,INDEX($AM$16:$AM$23,MATCH(N14,$AA$16:$AA$23,0)),"")</f>
        <v/>
      </c>
      <c r="T21" s="833" t="str">
        <f>IF($Q$5,$AB$13,"")</f>
        <v/>
      </c>
      <c r="U21" s="834"/>
      <c r="V21" s="110" t="str">
        <f>IF($Q$5,INDEX($AL$16:$AL$23,MATCH(T14,$AA$16:$AA$23,0)),"")</f>
        <v/>
      </c>
      <c r="W21" s="109" t="str">
        <f>IF($Q$5,TEXT(INDEX($AL$16:$AL$23,MATCH(T14,$AA$16:$AA$23,0)),INDEX(FormatTable[Code],MATCH(INDEX($AQ$16:$AQ$23,MATCH(T14,$AA$16:$AA$23,0)),FormatTable[Format],0))),"")</f>
        <v/>
      </c>
      <c r="X21" s="124"/>
      <c r="AA21" s="122" t="s">
        <v>102</v>
      </c>
      <c r="AB21" s="121" t="s">
        <v>100</v>
      </c>
      <c r="AC21" s="121" t="s">
        <v>103</v>
      </c>
      <c r="AD21" s="120" cm="1">
        <f t="array" ref="AD21">IFERROR(SUM(_xlfn._xlws.FILTER(_xlfn._xlws.FILTER(dataGLPL,ISNUMBER(MATCH(dataGLPLSections,{"Revenue","Other Income"},0))),(startDates&gt;=AC$10)*(endDates&lt;=AD$10)))-SUM(_xlfn._xlws.FILTER(_xlfn._xlws.FILTER(dataGLPL,ISNUMBER(MATCH(dataGLPLSections,{"COGS","Opex","Other Expenses"},0))),(startDates&gt;=AC$10)*(endDates&lt;=AD$10))),0)</f>
        <v>-246862.15000000002</v>
      </c>
      <c r="AE21" s="120" cm="1">
        <f t="array" ref="AE21">IFERROR(SUM(_xlfn._xlws.FILTER(_xlfn._xlws.FILTER(dataGLPL,ISNUMBER(MATCH(dataGLPLSections,{"Revenue","Other Income"},0))),(startDates&gt;=AC$11)*(endDates&lt;=AD$11)))-SUM(_xlfn._xlws.FILTER(_xlfn._xlws.FILTER(dataGLPL,ISNUMBER(MATCH(dataGLPLSections,{"COGS","Opex","Other Expenses"},0))),(startDates&gt;=AC$11)*(endDates&lt;=AD$11))),0)</f>
        <v>-227654.21000000002</v>
      </c>
      <c r="AF21" s="119">
        <f t="shared" si="0"/>
        <v>-19207.940000000002</v>
      </c>
      <c r="AG21" s="118">
        <f t="shared" si="1"/>
        <v>-8.4373313368551361E-2</v>
      </c>
      <c r="AH21" s="120" cm="1">
        <f t="array" ref="AH21">IFERROR(SUM(_xlfn._xlws.FILTER(_xlfn._xlws.FILTER(dataGLPL,ISNUMBER(MATCH(dataGLPLSections,{"Revenue","Other Income"},0))),(startDates&gt;=AC$12)*(endDates&lt;=AD$12)))-SUM(_xlfn._xlws.FILTER(_xlfn._xlws.FILTER(dataGLPL,ISNUMBER(MATCH(dataGLPLSections,{"COGS","Opex","Other Expenses"},0))),(startDates&gt;=AC$12)*(endDates&lt;=AD$12))),0)</f>
        <v>-152557</v>
      </c>
      <c r="AI21" s="119">
        <f t="shared" si="2"/>
        <v>-94305.150000000023</v>
      </c>
      <c r="AJ21" s="118">
        <f t="shared" si="3"/>
        <v>-0.61816337500081953</v>
      </c>
      <c r="AK21" s="119">
        <f t="shared" si="4"/>
        <v>-246862.15000000002</v>
      </c>
      <c r="AL21" s="119">
        <f t="shared" si="5"/>
        <v>0</v>
      </c>
      <c r="AM21" s="118">
        <f t="shared" si="6"/>
        <v>0</v>
      </c>
      <c r="AN21" s="117" t="str" cm="1">
        <f t="array" ref="AN21">_xlfn.LET(_xlpm.v,ABS(AD21),_xlfn.SWITCH(TRUE,_xlpm.v&lt;1,"%",_xlpm.v&lt;100000,"Comma",_xlpm.v&lt;1000000,"Thousands","Millions"))</f>
        <v>Thousands</v>
      </c>
      <c r="AO21" s="117" t="str" cm="1">
        <f t="array" ref="AO21">_xlfn.LET(_xlpm.v,ABS(AF21),_xlfn.SWITCH(TRUE,_xlpm.v&lt;1,"% Var",_xlpm.v&lt;100000,"Comma Var",_xlpm.v&lt;1000000,"Thousands Var","Millions Var"))</f>
        <v>Comma Var</v>
      </c>
      <c r="AP21" s="117" t="str" cm="1">
        <f t="array" ref="AP21">_xlfn.LET(_xlpm.v,ABS(AI21),_xlfn.SWITCH(TRUE,_xlpm.v&lt;1,"% Var",_xlpm.v&lt;100000,"Comma Var",_xlpm.v&lt;1000000,"Thousands Var","Millions Var"))</f>
        <v>Comma Var</v>
      </c>
      <c r="AQ21" s="117" t="str" cm="1">
        <f t="array" ref="AQ21">_xlfn.LET(_xlpm.v,ABS(AL21),_xlfn.SWITCH(TRUE,_xlpm.v&lt;1,"% Var",_xlpm.v&lt;100000,"Comma Var",_xlpm.v&lt;1000000,"Thousands Var","Millions Var"))</f>
        <v>% Var</v>
      </c>
    </row>
    <row r="22" spans="2:43">
      <c r="B22" s="106"/>
      <c r="C22" s="105"/>
      <c r="D22" s="105"/>
      <c r="E22" s="105"/>
      <c r="F22" s="107"/>
      <c r="H22" s="106"/>
      <c r="I22" s="105"/>
      <c r="J22" s="105"/>
      <c r="K22" s="105"/>
      <c r="L22" s="104"/>
      <c r="N22" s="106"/>
      <c r="O22" s="105"/>
      <c r="P22" s="105"/>
      <c r="Q22" s="105"/>
      <c r="R22" s="104"/>
      <c r="T22" s="106"/>
      <c r="U22" s="105"/>
      <c r="V22" s="105"/>
      <c r="W22" s="105"/>
      <c r="X22" s="107"/>
      <c r="AA22" s="122" t="s">
        <v>57</v>
      </c>
      <c r="AB22" s="121" t="s">
        <v>100</v>
      </c>
      <c r="AC22" s="121" t="s">
        <v>104</v>
      </c>
      <c r="AD22" s="120" cm="1">
        <f t="array" ref="AD22">SUM(_xlfn._xlws.FILTER(_xlfn._xlws.FILTER(dataGLBSCF,(endDatesCF=AD$10)),dataGLBSAcctIDs=$AC22))-SUM(_xlfn._xlws.FILTER(_xlfn._xlws.FILTER(dataGLBSCF,(endDatesCF=AC$10-1)),dataGLBSAcctIDs=$AC22))</f>
        <v>-255428.88</v>
      </c>
      <c r="AE22" s="120" cm="1">
        <f t="array" ref="AE22">IFERROR(SUM(_xlfn._xlws.FILTER(_xlfn._xlws.FILTER(dataGLBSCF,(endDatesCF=AD$11)),dataGLBSAcctIDs=$AC22))-SUM(_xlfn._xlws.FILTER(_xlfn._xlws.FILTER(dataGLBSCF,(endDatesCF=AC$11-1)),dataGLBSAcctIDs=$AC22)),0)</f>
        <v>-244181.8899999999</v>
      </c>
      <c r="AF22" s="119">
        <f t="shared" si="0"/>
        <v>-11246.990000000107</v>
      </c>
      <c r="AG22" s="118">
        <f t="shared" si="1"/>
        <v>-4.6059885931754037E-2</v>
      </c>
      <c r="AH22" s="120" cm="1">
        <f t="array" ref="AH22">IFERROR(SUM(_xlfn._xlws.FILTER(_xlfn._xlws.FILTER(dataGLBSCF,(endDatesCF=AD$12)),dataGLBSAcctIDs=$AC22))-SUM(_xlfn._xlws.FILTER(_xlfn._xlws.FILTER(dataGLBSCF,(endDatesCF=AC$12-1)),dataGLBSAcctIDs=$AC22)),0)</f>
        <v>-150765</v>
      </c>
      <c r="AI22" s="119">
        <f t="shared" si="2"/>
        <v>-104663.88</v>
      </c>
      <c r="AJ22" s="118">
        <f t="shared" si="3"/>
        <v>-0.69421868470798931</v>
      </c>
      <c r="AK22" s="119">
        <f t="shared" si="4"/>
        <v>-255428.88</v>
      </c>
      <c r="AL22" s="119">
        <f t="shared" si="5"/>
        <v>0</v>
      </c>
      <c r="AM22" s="118">
        <f t="shared" si="6"/>
        <v>0</v>
      </c>
      <c r="AN22" s="117" t="str" cm="1">
        <f t="array" ref="AN22">_xlfn.LET(_xlpm.v,ABS(AD22),_xlfn.SWITCH(TRUE,_xlpm.v&lt;1,"%",_xlpm.v&lt;100000,"Comma",_xlpm.v&lt;1000000,"Thousands","Millions"))</f>
        <v>Thousands</v>
      </c>
      <c r="AO22" s="117" t="str" cm="1">
        <f t="array" ref="AO22">_xlfn.LET(_xlpm.v,ABS(AF22),_xlfn.SWITCH(TRUE,_xlpm.v&lt;1,"% Var",_xlpm.v&lt;100000,"Comma Var",_xlpm.v&lt;1000000,"Thousands Var","Millions Var"))</f>
        <v>Comma Var</v>
      </c>
      <c r="AP22" s="117" t="str" cm="1">
        <f t="array" ref="AP22">_xlfn.LET(_xlpm.v,ABS(AI22),_xlfn.SWITCH(TRUE,_xlpm.v&lt;1,"% Var",_xlpm.v&lt;100000,"Comma Var",_xlpm.v&lt;1000000,"Thousands Var","Millions Var"))</f>
        <v>Thousands Var</v>
      </c>
      <c r="AQ22" s="117" t="str" cm="1">
        <f t="array" ref="AQ22">_xlfn.LET(_xlpm.v,ABS(AL22),_xlfn.SWITCH(TRUE,_xlpm.v&lt;1,"% Var",_xlpm.v&lt;100000,"Comma Var",_xlpm.v&lt;1000000,"Thousands Var","Millions Var"))</f>
        <v>% Var</v>
      </c>
    </row>
    <row r="23" spans="2:43" ht="14.45" customHeight="1" thickBot="1">
      <c r="B23" s="123"/>
      <c r="C23" s="123"/>
      <c r="D23" s="123"/>
      <c r="E23" s="123"/>
      <c r="F23" s="123"/>
      <c r="H23" s="123"/>
      <c r="I23" s="123"/>
      <c r="J23" s="123"/>
      <c r="K23" s="123"/>
      <c r="L23" s="123"/>
      <c r="N23" s="123"/>
      <c r="O23" s="123"/>
      <c r="P23" s="123"/>
      <c r="Q23" s="123"/>
      <c r="R23" s="123"/>
      <c r="T23" s="123"/>
      <c r="U23" s="123"/>
      <c r="V23" s="123"/>
      <c r="W23" s="123"/>
      <c r="X23" s="123"/>
      <c r="AA23" s="122" t="s">
        <v>105</v>
      </c>
      <c r="AB23" s="121" t="s">
        <v>106</v>
      </c>
      <c r="AC23" s="121" t="s">
        <v>104</v>
      </c>
      <c r="AD23" s="120" cm="1">
        <f t="array" ref="AD23">SUM(_xlfn._xlws.FILTER(_xlfn._xlws.FILTER(dataGLBS,(endDates=AD$10)),dataGLBSAcctIDs=$AC23))</f>
        <v>637693.89</v>
      </c>
      <c r="AE23" s="120" cm="1">
        <f t="array" ref="AE23">IFERROR(SUM(_xlfn._xlws.FILTER(_xlfn._xlws.FILTER(dataGLBS,(endDates=AD$11)),dataGLBSAcctIDs=$AC23)),0)</f>
        <v>893122.77</v>
      </c>
      <c r="AF23" s="119">
        <f t="shared" si="0"/>
        <v>-255428.88</v>
      </c>
      <c r="AG23" s="118">
        <f t="shared" si="1"/>
        <v>-0.28599526132336767</v>
      </c>
      <c r="AH23" s="120" cm="1">
        <f t="array" ref="AH23">IFERROR(SUM(_xlfn._xlws.FILTER(_xlfn._xlws.FILTER(dataGLBS,(endDates=AD$12)),dataGLBSAcctIDs=$AC23)),0)</f>
        <v>3066455.5</v>
      </c>
      <c r="AI23" s="119">
        <f t="shared" si="2"/>
        <v>-2428761.61</v>
      </c>
      <c r="AJ23" s="118">
        <f t="shared" si="3"/>
        <v>-0.79204202050217254</v>
      </c>
      <c r="AK23" s="119">
        <f t="shared" si="4"/>
        <v>637693.89</v>
      </c>
      <c r="AL23" s="119">
        <f t="shared" si="5"/>
        <v>0</v>
      </c>
      <c r="AM23" s="118">
        <f t="shared" si="6"/>
        <v>0</v>
      </c>
      <c r="AN23" s="117" t="str" cm="1">
        <f t="array" ref="AN23">_xlfn.LET(_xlpm.v,ABS(AD23),_xlfn.SWITCH(TRUE,_xlpm.v&lt;1,"%",_xlpm.v&lt;100000,"Comma",_xlpm.v&lt;1000000,"Thousands","Millions"))</f>
        <v>Thousands</v>
      </c>
      <c r="AO23" s="117" t="str" cm="1">
        <f t="array" ref="AO23">_xlfn.LET(_xlpm.v,ABS(AF23),_xlfn.SWITCH(TRUE,_xlpm.v&lt;1,"% Var",_xlpm.v&lt;100000,"Comma Var",_xlpm.v&lt;1000000,"Thousands Var","Millions Var"))</f>
        <v>Thousands Var</v>
      </c>
      <c r="AP23" s="117" t="str" cm="1">
        <f t="array" ref="AP23">_xlfn.LET(_xlpm.v,ABS(AI23),_xlfn.SWITCH(TRUE,_xlpm.v&lt;1,"% Var",_xlpm.v&lt;100000,"Comma Var",_xlpm.v&lt;1000000,"Thousands Var","Millions Var"))</f>
        <v>Millions Var</v>
      </c>
      <c r="AQ23" s="117" t="str" cm="1">
        <f t="array" ref="AQ23">_xlfn.LET(_xlpm.v,ABS(AL23),_xlfn.SWITCH(TRUE,_xlpm.v&lt;1,"% Var",_xlpm.v&lt;100000,"Comma Var",_xlpm.v&lt;1000000,"Thousands Var","Millions Var"))</f>
        <v>% Var</v>
      </c>
    </row>
    <row r="24" spans="2:43" ht="14.45" customHeight="1" thickTop="1">
      <c r="B24" s="116"/>
      <c r="C24" s="115"/>
      <c r="D24" s="115"/>
      <c r="E24" s="115"/>
      <c r="F24" s="114"/>
      <c r="H24" s="116"/>
      <c r="I24" s="115"/>
      <c r="J24" s="115"/>
      <c r="K24" s="115"/>
      <c r="L24" s="114"/>
      <c r="N24" s="116"/>
      <c r="O24" s="115"/>
      <c r="P24" s="115"/>
      <c r="Q24" s="115"/>
      <c r="R24" s="114"/>
      <c r="T24" s="116"/>
      <c r="U24" s="115"/>
      <c r="V24" s="115"/>
      <c r="W24" s="115"/>
      <c r="X24" s="114"/>
    </row>
    <row r="25" spans="2:43" ht="15.75">
      <c r="B25" s="839" t="s">
        <v>101</v>
      </c>
      <c r="C25" s="840"/>
      <c r="D25" s="840"/>
      <c r="E25" s="840"/>
      <c r="F25" s="841"/>
      <c r="H25" s="839" t="s">
        <v>102</v>
      </c>
      <c r="I25" s="840"/>
      <c r="J25" s="840"/>
      <c r="K25" s="840"/>
      <c r="L25" s="841"/>
      <c r="N25" s="839" t="s">
        <v>57</v>
      </c>
      <c r="O25" s="840"/>
      <c r="P25" s="840"/>
      <c r="Q25" s="840"/>
      <c r="R25" s="841"/>
      <c r="T25" s="839" t="s">
        <v>105</v>
      </c>
      <c r="U25" s="840"/>
      <c r="V25" s="840"/>
      <c r="W25" s="840"/>
      <c r="X25" s="841"/>
    </row>
    <row r="26" spans="2:43" ht="15" customHeight="1">
      <c r="B26" s="835" t="str">
        <f>TEXT(INDEX($AD$16:$AD$23,MATCH(B25,$AA$16:$AA$23,0)),INDEX(FormatTable[Code],MATCH(INDEX($AN$16:$AN$23,MATCH(B25,$AA$16:$AA$23,0)),FormatTable[Format],0)))</f>
        <v>318K</v>
      </c>
      <c r="C26" s="836"/>
      <c r="D26" s="836"/>
      <c r="E26" s="836"/>
      <c r="F26" s="837"/>
      <c r="H26" s="835" t="str">
        <f>TEXT(INDEX($AD$16:$AD$23,MATCH(H25,$AA$16:$AA$23,0)),INDEX(FormatTable[Code],MATCH(INDEX($AN$16:$AN$23,MATCH(H25,$AA$16:$AA$23,0)),FormatTable[Format],0)))</f>
        <v>(247K)</v>
      </c>
      <c r="I26" s="836"/>
      <c r="J26" s="836"/>
      <c r="K26" s="836"/>
      <c r="L26" s="837"/>
      <c r="N26" s="835" t="str">
        <f>TEXT(INDEX($AD$16:$AD$23,MATCH(N25,$AA$16:$AA$23,0)),INDEX(FormatTable[Code],MATCH(INDEX($AN$16:$AN$23,MATCH(N25,$AA$16:$AA$23,0)),FormatTable[Format],0)))</f>
        <v>(255K)</v>
      </c>
      <c r="O26" s="836"/>
      <c r="P26" s="836"/>
      <c r="Q26" s="836"/>
      <c r="R26" s="837"/>
      <c r="T26" s="835" t="str">
        <f>TEXT(INDEX($AD$16:$AD$23,MATCH(T25,$AA$16:$AA$23,0)),INDEX(FormatTable[Code],MATCH(INDEX($AN$16:$AN$23,MATCH(T25,$AA$16:$AA$23,0)),FormatTable[Format],0)))</f>
        <v>638K</v>
      </c>
      <c r="U26" s="836"/>
      <c r="V26" s="836"/>
      <c r="W26" s="836"/>
      <c r="X26" s="837"/>
    </row>
    <row r="27" spans="2:43" ht="15" customHeight="1">
      <c r="B27" s="838"/>
      <c r="C27" s="836"/>
      <c r="D27" s="836"/>
      <c r="E27" s="836"/>
      <c r="F27" s="837"/>
      <c r="H27" s="838"/>
      <c r="I27" s="836"/>
      <c r="J27" s="836"/>
      <c r="K27" s="836"/>
      <c r="L27" s="837"/>
      <c r="N27" s="838"/>
      <c r="O27" s="836"/>
      <c r="P27" s="836"/>
      <c r="Q27" s="836"/>
      <c r="R27" s="837"/>
      <c r="T27" s="838"/>
      <c r="U27" s="836"/>
      <c r="V27" s="836"/>
      <c r="W27" s="836"/>
      <c r="X27" s="837"/>
    </row>
    <row r="28" spans="2:43" ht="15" customHeight="1">
      <c r="B28" s="838"/>
      <c r="C28" s="836"/>
      <c r="D28" s="836"/>
      <c r="E28" s="836"/>
      <c r="F28" s="837"/>
      <c r="H28" s="838"/>
      <c r="I28" s="836"/>
      <c r="J28" s="836"/>
      <c r="K28" s="836"/>
      <c r="L28" s="837"/>
      <c r="N28" s="838"/>
      <c r="O28" s="836"/>
      <c r="P28" s="836"/>
      <c r="Q28" s="836"/>
      <c r="R28" s="837"/>
      <c r="T28" s="838"/>
      <c r="U28" s="836"/>
      <c r="V28" s="836"/>
      <c r="W28" s="836"/>
      <c r="X28" s="837"/>
    </row>
    <row r="29" spans="2:43" ht="22.35" customHeight="1">
      <c r="B29" s="113" t="str">
        <f>IF(--SUM($Q$3:$Q$5)=0,"","Compared to")</f>
        <v/>
      </c>
      <c r="C29" s="112"/>
      <c r="D29" s="112"/>
      <c r="E29" s="112"/>
      <c r="F29" s="111"/>
      <c r="H29" s="113" t="str">
        <f>IF(--SUM($Q$3:$Q$5)=0,"","Compared to")</f>
        <v/>
      </c>
      <c r="I29" s="112"/>
      <c r="J29" s="112"/>
      <c r="K29" s="112"/>
      <c r="L29" s="111"/>
      <c r="N29" s="113" t="str">
        <f>IF(--SUM($Q$3:$Q$5)=0,"","Compared to")</f>
        <v/>
      </c>
      <c r="O29" s="112"/>
      <c r="P29" s="112"/>
      <c r="Q29" s="112"/>
      <c r="R29" s="111"/>
      <c r="T29" s="113" t="str">
        <f>IF(--SUM($Q$3:$Q$5)=0,"","Compared to")</f>
        <v/>
      </c>
      <c r="U29" s="112"/>
      <c r="V29" s="112"/>
      <c r="W29" s="112"/>
      <c r="X29" s="111"/>
    </row>
    <row r="30" spans="2:43">
      <c r="B30" s="833" t="str">
        <f>IF($Q$3,$AB$11,"")</f>
        <v>September 2025</v>
      </c>
      <c r="C30" s="834"/>
      <c r="D30" s="110">
        <f>IF($Q$3,INDEX($AF$16:$AF$23,MATCH(B25,$AA$16:$AA$23,0)),"")</f>
        <v>15159.229999999981</v>
      </c>
      <c r="E30" s="109" t="str">
        <f>IF($Q$3,TEXT(INDEX($AF$16:$AF$23,MATCH(B25,$AA$16:$AA$23,0)),INDEX(FormatTable[Code],MATCH(INDEX($AO$16:$AO$23,MATCH(B25,$AA$16:$AA$23,0)),FormatTable[Format],0))),"")</f>
        <v>+15,159</v>
      </c>
      <c r="F30" s="108">
        <f>IF($Q$3,INDEX($AG$16:$AG$23,MATCH(B25,$AA$16:$AA$23,0)),"")</f>
        <v>4.9999996701679594E-2</v>
      </c>
      <c r="H30" s="833" t="str">
        <f>IF($Q$3,$AB$11,"")</f>
        <v>September 2025</v>
      </c>
      <c r="I30" s="834"/>
      <c r="J30" s="110">
        <f>IF($Q$3,INDEX($AF$16:$AF$23,MATCH(H25,$AA$16:$AA$23,0)),"")</f>
        <v>-19207.940000000002</v>
      </c>
      <c r="K30" s="109" t="str">
        <f>IF($Q$3,TEXT(INDEX($AF$16:$AF$23,MATCH(H25,$AA$16:$AA$23,0)),INDEX(FormatTable[Code],MATCH(INDEX($AO$16:$AO$23,MATCH(H25,$AA$16:$AA$23,0)),FormatTable[Format],0))),"")</f>
        <v xml:space="preserve"> -19,208</v>
      </c>
      <c r="L30" s="108">
        <f>IF($Q$3,INDEX($AG$16:$AG$23,MATCH(H25,$AA$16:$AA$23,0)),"")</f>
        <v>-8.4373313368551361E-2</v>
      </c>
      <c r="N30" s="833" t="str">
        <f>IF($Q$3,$AB$11,"")</f>
        <v>September 2025</v>
      </c>
      <c r="O30" s="834"/>
      <c r="P30" s="110">
        <f>IF($Q$3,INDEX($AF$16:$AF$23,MATCH(N25,$AA$16:$AA$23,0)),"")</f>
        <v>-11246.990000000107</v>
      </c>
      <c r="Q30" s="109" t="str">
        <f>IF($Q$3,TEXT(INDEX($AF$16:$AF$23,MATCH(N25,$AA$16:$AA$23,0)),INDEX(FormatTable[Code],MATCH(INDEX($AO$16:$AO$23,MATCH(N25,$AA$16:$AA$23,0)),FormatTable[Format],0))),"")</f>
        <v xml:space="preserve"> -11,247</v>
      </c>
      <c r="R30" s="108">
        <f>IF($Q$3,INDEX($AG$16:$AG$23,MATCH(N25,$AA$16:$AA$23,0)),"")</f>
        <v>-4.6059885931754037E-2</v>
      </c>
      <c r="T30" s="833" t="str">
        <f>IF($Q$3,$AB$11,"")</f>
        <v>September 2025</v>
      </c>
      <c r="U30" s="834"/>
      <c r="V30" s="110">
        <f>IF($Q$3,INDEX($AF$16:$AF$23,MATCH(T25,$AA$16:$AA$23,0)),"")</f>
        <v>-255428.88</v>
      </c>
      <c r="W30" s="109" t="str">
        <f>IF($Q$3,TEXT(INDEX($AF$16:$AF$23,MATCH(T25,$AA$16:$AA$23,0)),INDEX(FormatTable[Code],MATCH(INDEX($AO$16:$AO$23,MATCH(T25,$AA$16:$AA$23,0)),FormatTable[Format],0))),"")</f>
        <v>(255K)</v>
      </c>
      <c r="X30" s="108">
        <f>IF($Q$3,INDEX($AG$16:$AG$23,MATCH(T25,$AA$16:$AA$23,0)),"")</f>
        <v>-0.28599526132336767</v>
      </c>
    </row>
    <row r="31" spans="2:43">
      <c r="B31" s="833" t="str">
        <f>IF($Q$4,$AB$12,"")</f>
        <v>October 2024</v>
      </c>
      <c r="C31" s="834"/>
      <c r="D31" s="110">
        <f>IF($Q$4,INDEX($AI$16:$AI$23,MATCH(B25,$AA$16:$AA$23,0)),"")</f>
        <v>141078.18</v>
      </c>
      <c r="E31" s="109" t="str">
        <f>IF($Q$4,TEXT(INDEX($AI$16:$AI$23,MATCH(B25,$AA$16:$AA$23,0)),INDEX(FormatTable[Code],MATCH(INDEX($AP$16:$AP$23,MATCH(B25,$AA$16:$AA$23,0)),FormatTable[Format],0))),"")</f>
        <v>+141K</v>
      </c>
      <c r="F31" s="108">
        <f>IF($Q$4,INDEX($AJ$16:$AJ$23,MATCH(B25,$AA$16:$AA$23,0)),"")</f>
        <v>0.79585731405296922</v>
      </c>
      <c r="H31" s="833" t="str">
        <f>IF($Q$4,$AB$12,"")</f>
        <v>October 2024</v>
      </c>
      <c r="I31" s="834"/>
      <c r="J31" s="110">
        <f>IF($Q$4,INDEX($AI$16:$AI$23,MATCH(H25,$AA$16:$AA$23,0)),"")</f>
        <v>-94305.150000000023</v>
      </c>
      <c r="K31" s="109" t="str">
        <f>IF($Q$4,TEXT(INDEX($AI$16:$AI$23,MATCH(H25,$AA$16:$AA$23,0)),INDEX(FormatTable[Code],MATCH(INDEX($AP$16:$AP$23,MATCH(H25,$AA$16:$AA$23,0)),FormatTable[Format],0))),"")</f>
        <v xml:space="preserve"> -94,305</v>
      </c>
      <c r="L31" s="108">
        <f>IF($Q$4,INDEX($AJ$16:$AJ$23,MATCH(H25,$AA$16:$AA$23,0)),"")</f>
        <v>-0.61816337500081953</v>
      </c>
      <c r="N31" s="833" t="str">
        <f>IF($Q$4,$AB$12,"")</f>
        <v>October 2024</v>
      </c>
      <c r="O31" s="834"/>
      <c r="P31" s="110">
        <f>IF($Q$4,INDEX($AI$16:$AI$23,MATCH(N25,$AA$16:$AA$23,0)),"")</f>
        <v>-104663.88</v>
      </c>
      <c r="Q31" s="109" t="str">
        <f>IF($Q$4,TEXT(INDEX($AI$16:$AI$23,MATCH(N25,$AA$16:$AA$23,0)),INDEX(FormatTable[Code],MATCH(INDEX($AP$16:$AP$23,MATCH(N25,$AA$16:$AA$23,0)),FormatTable[Format],0))),"")</f>
        <v>(105K)</v>
      </c>
      <c r="R31" s="108">
        <f>IF($Q$4,INDEX($AJ$16:$AJ$23,MATCH(N25,$AA$16:$AA$23,0)),"")</f>
        <v>-0.69421868470798931</v>
      </c>
      <c r="T31" s="833" t="str">
        <f>IF($Q$4,$AB$12,"")</f>
        <v>October 2024</v>
      </c>
      <c r="U31" s="834"/>
      <c r="V31" s="110">
        <f>IF($Q$4,INDEX($AI$16:$AI$23,MATCH(T25,$AA$16:$AA$23,0)),"")</f>
        <v>-2428761.61</v>
      </c>
      <c r="W31" s="109" t="str">
        <f>IF($Q$4,TEXT(INDEX($AI$16:$AI$23,MATCH(T25,$AA$16:$AA$23,0)),INDEX(FormatTable[Code],MATCH(INDEX($AP$16:$AP$23,MATCH(T25,$AA$16:$AA$23,0)),FormatTable[Format],0))),"")</f>
        <v>(2.43M)</v>
      </c>
      <c r="X31" s="108">
        <f>IF($Q$4,INDEX($AJ$16:$AJ$23,MATCH(T25,$AA$16:$AA$23,0)),"")</f>
        <v>-0.79204202050217254</v>
      </c>
    </row>
    <row r="32" spans="2:43">
      <c r="B32" s="833" t="str">
        <f>IF($Q$5,$AB$13,"")</f>
        <v/>
      </c>
      <c r="C32" s="834"/>
      <c r="D32" s="110" t="str">
        <f>IF($Q$5,INDEX($AL$16:$AL$23,MATCH(B25,$AA$16:$AA$23,0)),"")</f>
        <v/>
      </c>
      <c r="E32" s="109" t="str">
        <f>IF($Q$5,TEXT(INDEX($AL$16:$AL$23,MATCH(B25,$AA$16:$AA$23,0)),INDEX(#REF!,MATCH(INDEX($AQ$16:$AQ$23,MATCH(B25,$AA$16:$AA$23,0)),#REF!,0))),"")</f>
        <v/>
      </c>
      <c r="F32" s="108" t="str">
        <f>IF($Q$5,INDEX($AM$16:$AM$23,MATCH(B25,$AA$16:$AA$23,0)),"")</f>
        <v/>
      </c>
      <c r="H32" s="833" t="str">
        <f>IF($Q$5,$AB$13,"")</f>
        <v/>
      </c>
      <c r="I32" s="834"/>
      <c r="J32" s="110" t="str">
        <f>IF($Q$5,INDEX($AL$16:$AL$23,MATCH(H25,$AA$16:$AA$23,0)),"")</f>
        <v/>
      </c>
      <c r="K32" s="109" t="str">
        <f>IF($Q$5,TEXT(INDEX($AL$16:$AL$23,MATCH(H25,$AA$16:$AA$23,0)),INDEX(#REF!,MATCH(INDEX($AQ$16:$AQ$23,MATCH(H25,$AA$16:$AA$23,0)),#REF!,0))),"")</f>
        <v/>
      </c>
      <c r="L32" s="108" t="str">
        <f>IF($Q$5,INDEX($AM$16:$AM$23,MATCH(H25,$AA$16:$AA$23,0)),"")</f>
        <v/>
      </c>
      <c r="N32" s="833" t="str">
        <f>IF($Q$5,$AB$13,"")</f>
        <v/>
      </c>
      <c r="O32" s="834"/>
      <c r="P32" s="110" t="str">
        <f>IF($Q$5,INDEX($AL$16:$AL$23,MATCH(N25,$AA$16:$AA$23,0)),"")</f>
        <v/>
      </c>
      <c r="Q32" s="109" t="str">
        <f>IF($Q$5,TEXT(INDEX($AL$16:$AL$23,MATCH(N25,$AA$16:$AA$23,0)),INDEX(#REF!,MATCH(INDEX($AQ$16:$AQ$23,MATCH(N25,$AA$16:$AA$23,0)),#REF!,0))),"")</f>
        <v/>
      </c>
      <c r="R32" s="108" t="str">
        <f>IF($Q$5,INDEX($AM$16:$AM$23,MATCH(N25,$AA$16:$AA$23,0)),"")</f>
        <v/>
      </c>
      <c r="T32" s="833" t="str">
        <f>IF($Q$5,$AB$13,"")</f>
        <v/>
      </c>
      <c r="U32" s="834"/>
      <c r="V32" s="110" t="str">
        <f>IF($Q$5,INDEX($AL$16:$AL$23,MATCH(T25,$AA$16:$AA$23,0)),"")</f>
        <v/>
      </c>
      <c r="W32" s="109" t="str">
        <f>IF($Q$5,TEXT(INDEX($AL$16:$AL$23,MATCH(T25,$AA$16:$AA$23,0)),INDEX(#REF!,MATCH(INDEX($AQ$16:$AQ$23,MATCH(T25,$AA$16:$AA$23,0)),#REF!,0))),"")</f>
        <v/>
      </c>
      <c r="X32" s="108" t="str">
        <f>IF($Q$5,INDEX($AM$16:$AM$23,MATCH(T25,$AA$16:$AA$23,0)),"")</f>
        <v/>
      </c>
    </row>
    <row r="33" spans="1:26">
      <c r="B33" s="106"/>
      <c r="C33" s="105"/>
      <c r="D33" s="105"/>
      <c r="E33" s="105"/>
      <c r="F33" s="107"/>
      <c r="H33" s="106"/>
      <c r="I33" s="105"/>
      <c r="J33" s="105"/>
      <c r="K33" s="105"/>
      <c r="L33" s="104"/>
      <c r="N33" s="106"/>
      <c r="O33" s="105"/>
      <c r="P33" s="105"/>
      <c r="Q33" s="105"/>
      <c r="R33" s="104"/>
      <c r="T33" s="106"/>
      <c r="U33" s="105"/>
      <c r="V33" s="105"/>
      <c r="W33" s="105"/>
      <c r="X33" s="104"/>
    </row>
    <row r="36" spans="1:26">
      <c r="A36" s="50"/>
      <c r="B36" s="50"/>
      <c r="C36" s="50"/>
      <c r="D36" s="50"/>
      <c r="E36" s="50"/>
      <c r="F36" s="50"/>
      <c r="G36" s="50"/>
      <c r="H36" s="50"/>
      <c r="I36" s="50"/>
      <c r="J36" s="50"/>
      <c r="K36" s="50"/>
      <c r="L36" s="50"/>
      <c r="M36" s="50"/>
      <c r="N36" s="50"/>
      <c r="O36" s="50"/>
      <c r="P36" s="50"/>
      <c r="Q36" s="50"/>
      <c r="R36" s="50"/>
      <c r="S36" s="50"/>
      <c r="T36" s="50"/>
      <c r="U36" s="50"/>
      <c r="V36" s="50"/>
      <c r="W36" s="50"/>
      <c r="X36" s="50"/>
      <c r="Y36" s="50"/>
      <c r="Z36" s="50"/>
    </row>
    <row r="37" spans="1:26">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row>
    <row r="38" spans="1:26">
      <c r="A38" s="50"/>
      <c r="B38" s="50"/>
      <c r="C38" s="50"/>
      <c r="D38" s="50"/>
      <c r="E38" s="50"/>
      <c r="F38" s="50"/>
      <c r="G38" s="50"/>
      <c r="H38" s="50"/>
      <c r="I38" s="50"/>
      <c r="J38" s="50"/>
      <c r="K38" s="50"/>
      <c r="L38" s="50"/>
      <c r="M38" s="50"/>
      <c r="N38" s="50"/>
      <c r="O38" s="50"/>
      <c r="P38" s="50"/>
      <c r="Q38" s="50"/>
      <c r="R38" s="50"/>
      <c r="S38" s="50"/>
      <c r="T38" s="50"/>
      <c r="U38" s="50"/>
      <c r="V38" s="50"/>
      <c r="W38" s="50"/>
      <c r="X38" s="50"/>
      <c r="Y38" s="50"/>
      <c r="Z38" s="50"/>
    </row>
    <row r="39" spans="1:26">
      <c r="A39" s="50"/>
      <c r="B39" s="50"/>
      <c r="C39" s="50"/>
      <c r="D39" s="50"/>
      <c r="E39" s="50"/>
      <c r="F39" s="50"/>
      <c r="G39" s="50"/>
      <c r="H39" s="50"/>
      <c r="I39" s="50"/>
      <c r="J39" s="50"/>
      <c r="K39" s="50"/>
      <c r="L39" s="50"/>
      <c r="M39" s="50"/>
      <c r="N39" s="50"/>
      <c r="O39" s="50"/>
      <c r="P39" s="50"/>
      <c r="Q39" s="50"/>
      <c r="R39" s="50"/>
      <c r="S39" s="50"/>
      <c r="T39" s="50"/>
      <c r="U39" s="50"/>
      <c r="V39" s="50"/>
      <c r="W39" s="50"/>
      <c r="X39" s="50"/>
      <c r="Y39" s="50"/>
      <c r="Z39" s="50"/>
    </row>
    <row r="40" spans="1:26">
      <c r="A40" s="50"/>
      <c r="B40" s="50"/>
      <c r="C40" s="50"/>
      <c r="D40" s="50"/>
      <c r="E40" s="50"/>
      <c r="F40" s="50"/>
      <c r="G40" s="50"/>
      <c r="H40" s="50"/>
      <c r="I40" s="50"/>
      <c r="J40" s="50"/>
      <c r="K40" s="50"/>
      <c r="L40" s="50"/>
      <c r="M40" s="50"/>
      <c r="N40" s="50"/>
      <c r="O40" s="50"/>
      <c r="P40" s="50"/>
      <c r="Q40" s="50"/>
      <c r="R40" s="50"/>
      <c r="S40" s="50"/>
      <c r="T40" s="50"/>
      <c r="U40" s="50"/>
      <c r="V40" s="50"/>
      <c r="W40" s="50"/>
      <c r="X40" s="50"/>
      <c r="Y40" s="50"/>
      <c r="Z40" s="50"/>
    </row>
    <row r="41" spans="1:26">
      <c r="A41" s="50"/>
      <c r="B41" s="50"/>
      <c r="C41" s="50"/>
      <c r="D41" s="50"/>
      <c r="E41" s="50"/>
      <c r="F41" s="50"/>
      <c r="G41" s="50"/>
      <c r="H41" s="50"/>
      <c r="I41" s="50"/>
      <c r="J41" s="50"/>
      <c r="K41" s="50"/>
      <c r="L41" s="50"/>
      <c r="M41" s="50"/>
      <c r="N41" s="50"/>
      <c r="O41" s="50"/>
      <c r="P41" s="50"/>
      <c r="Q41" s="50"/>
      <c r="R41" s="50"/>
      <c r="S41" s="50"/>
      <c r="T41" s="50"/>
      <c r="U41" s="50"/>
      <c r="V41" s="50"/>
      <c r="W41" s="50"/>
      <c r="X41" s="50"/>
      <c r="Y41" s="50"/>
      <c r="Z41" s="50"/>
    </row>
    <row r="42" spans="1:26">
      <c r="A42" s="50"/>
      <c r="B42" s="50"/>
      <c r="C42" s="50"/>
      <c r="D42" s="50"/>
      <c r="E42" s="50"/>
      <c r="F42" s="50"/>
      <c r="G42" s="50"/>
      <c r="H42" s="50"/>
      <c r="I42" s="50"/>
      <c r="J42" s="50"/>
      <c r="K42" s="50"/>
      <c r="L42" s="50"/>
      <c r="M42" s="50"/>
      <c r="N42" s="50"/>
      <c r="O42" s="50"/>
      <c r="P42" s="50"/>
      <c r="Q42" s="50"/>
      <c r="R42" s="50"/>
      <c r="S42" s="50"/>
      <c r="T42" s="50"/>
      <c r="U42" s="50"/>
      <c r="V42" s="50"/>
      <c r="W42" s="50"/>
      <c r="X42" s="50"/>
      <c r="Y42" s="50"/>
      <c r="Z42" s="50"/>
    </row>
    <row r="43" spans="1:26">
      <c r="A43" s="50"/>
      <c r="B43" s="50"/>
      <c r="C43" s="50"/>
      <c r="D43" s="50"/>
      <c r="E43" s="50"/>
      <c r="F43" s="50"/>
      <c r="G43" s="50"/>
      <c r="H43" s="50"/>
      <c r="I43" s="50"/>
      <c r="J43" s="50"/>
      <c r="K43" s="50"/>
      <c r="L43" s="50"/>
      <c r="M43" s="50"/>
      <c r="N43" s="50"/>
      <c r="O43" s="50"/>
      <c r="P43" s="50"/>
      <c r="Q43" s="50"/>
      <c r="R43" s="50"/>
      <c r="S43" s="50"/>
      <c r="T43" s="50"/>
      <c r="U43" s="50"/>
      <c r="V43" s="50"/>
      <c r="W43" s="50"/>
      <c r="X43" s="50"/>
      <c r="Y43" s="50"/>
      <c r="Z43" s="50"/>
    </row>
    <row r="44" spans="1:26">
      <c r="A44" s="50"/>
      <c r="B44" s="50"/>
      <c r="C44" s="50"/>
      <c r="D44" s="50"/>
      <c r="E44" s="50"/>
      <c r="F44" s="50"/>
      <c r="G44" s="50"/>
      <c r="H44" s="50"/>
      <c r="I44" s="50"/>
      <c r="J44" s="50"/>
      <c r="K44" s="50"/>
      <c r="L44" s="50"/>
      <c r="M44" s="50"/>
      <c r="N44" s="50"/>
      <c r="O44" s="50"/>
      <c r="P44" s="50"/>
      <c r="Q44" s="50"/>
      <c r="R44" s="50"/>
      <c r="S44" s="50"/>
      <c r="T44" s="50"/>
      <c r="U44" s="50"/>
      <c r="V44" s="50"/>
      <c r="W44" s="50"/>
      <c r="X44" s="50"/>
      <c r="Y44" s="50"/>
      <c r="Z44" s="50"/>
    </row>
    <row r="45" spans="1:26">
      <c r="A45" s="50"/>
      <c r="B45" s="50"/>
      <c r="C45" s="50"/>
      <c r="D45" s="50"/>
      <c r="E45" s="50"/>
      <c r="F45" s="50"/>
      <c r="G45" s="50"/>
      <c r="H45" s="50"/>
      <c r="I45" s="50"/>
      <c r="J45" s="50"/>
      <c r="K45" s="50"/>
      <c r="L45" s="50"/>
      <c r="M45" s="50"/>
      <c r="N45" s="50"/>
      <c r="O45" s="50"/>
      <c r="P45" s="50"/>
      <c r="Q45" s="50"/>
      <c r="R45" s="50"/>
      <c r="S45" s="50"/>
      <c r="T45" s="50"/>
      <c r="U45" s="50"/>
      <c r="V45" s="50"/>
      <c r="W45" s="50"/>
      <c r="X45" s="50"/>
      <c r="Y45" s="50"/>
      <c r="Z45" s="50"/>
    </row>
    <row r="46" spans="1:26">
      <c r="A46" s="50"/>
      <c r="B46" s="50"/>
      <c r="C46" s="50"/>
      <c r="D46" s="50"/>
      <c r="E46" s="50"/>
      <c r="F46" s="50"/>
      <c r="G46" s="50"/>
      <c r="H46" s="50"/>
      <c r="I46" s="50"/>
      <c r="J46" s="50"/>
      <c r="K46" s="50"/>
      <c r="L46" s="50"/>
      <c r="M46" s="50"/>
      <c r="N46" s="50"/>
      <c r="O46" s="50"/>
      <c r="P46" s="50"/>
      <c r="Q46" s="50"/>
      <c r="R46" s="50"/>
      <c r="S46" s="50"/>
      <c r="T46" s="50"/>
      <c r="U46" s="50"/>
      <c r="V46" s="50"/>
      <c r="W46" s="50"/>
      <c r="X46" s="50"/>
      <c r="Y46" s="50"/>
      <c r="Z46" s="50"/>
    </row>
    <row r="47" spans="1:26">
      <c r="A47" s="50"/>
      <c r="B47" s="50"/>
      <c r="C47" s="50"/>
      <c r="D47" s="50"/>
      <c r="E47" s="50"/>
      <c r="F47" s="50"/>
      <c r="G47" s="50"/>
      <c r="H47" s="50"/>
      <c r="I47" s="50"/>
      <c r="J47" s="50"/>
      <c r="K47" s="50"/>
      <c r="L47" s="50"/>
      <c r="M47" s="50"/>
      <c r="N47" s="50"/>
      <c r="O47" s="50"/>
      <c r="P47" s="50"/>
      <c r="Q47" s="50"/>
      <c r="R47" s="50"/>
      <c r="S47" s="50"/>
      <c r="T47" s="50"/>
      <c r="U47" s="50"/>
      <c r="V47" s="50"/>
      <c r="W47" s="50"/>
      <c r="X47" s="50"/>
      <c r="Y47" s="50"/>
      <c r="Z47" s="50"/>
    </row>
    <row r="48" spans="1:26">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row>
  </sheetData>
  <mergeCells count="48">
    <mergeCell ref="R9:X10"/>
    <mergeCell ref="K5:L5"/>
    <mergeCell ref="B3:B4"/>
    <mergeCell ref="K3:L3"/>
    <mergeCell ref="S3:T3"/>
    <mergeCell ref="K4:L4"/>
    <mergeCell ref="S4:T4"/>
    <mergeCell ref="B9:Q10"/>
    <mergeCell ref="B14:F14"/>
    <mergeCell ref="H14:L14"/>
    <mergeCell ref="N14:R14"/>
    <mergeCell ref="T14:X14"/>
    <mergeCell ref="B15:F17"/>
    <mergeCell ref="H15:L17"/>
    <mergeCell ref="N15:R17"/>
    <mergeCell ref="T15:X17"/>
    <mergeCell ref="B19:C19"/>
    <mergeCell ref="H19:I19"/>
    <mergeCell ref="N19:O19"/>
    <mergeCell ref="T19:U19"/>
    <mergeCell ref="B20:C20"/>
    <mergeCell ref="H20:I20"/>
    <mergeCell ref="N20:O20"/>
    <mergeCell ref="T20:U20"/>
    <mergeCell ref="B21:C21"/>
    <mergeCell ref="H21:I21"/>
    <mergeCell ref="N21:O21"/>
    <mergeCell ref="T21:U21"/>
    <mergeCell ref="B25:F25"/>
    <mergeCell ref="H25:L25"/>
    <mergeCell ref="N25:R25"/>
    <mergeCell ref="T25:X25"/>
    <mergeCell ref="B26:F28"/>
    <mergeCell ref="H26:L28"/>
    <mergeCell ref="N26:R28"/>
    <mergeCell ref="T26:X28"/>
    <mergeCell ref="B30:C30"/>
    <mergeCell ref="H30:I30"/>
    <mergeCell ref="N30:O30"/>
    <mergeCell ref="T30:U30"/>
    <mergeCell ref="B31:C31"/>
    <mergeCell ref="H31:I31"/>
    <mergeCell ref="N31:O31"/>
    <mergeCell ref="T31:U31"/>
    <mergeCell ref="B32:C32"/>
    <mergeCell ref="H32:I32"/>
    <mergeCell ref="N32:O32"/>
    <mergeCell ref="T32:U32"/>
  </mergeCells>
  <conditionalFormatting sqref="D19:F21">
    <cfRule type="expression" dxfId="25" priority="17">
      <formula>$D19&gt;0</formula>
    </cfRule>
    <cfRule type="expression" dxfId="24" priority="18">
      <formula>$D19&lt;0</formula>
    </cfRule>
  </conditionalFormatting>
  <conditionalFormatting sqref="D30:F32">
    <cfRule type="expression" dxfId="23" priority="9">
      <formula>$D30&lt;0</formula>
    </cfRule>
    <cfRule type="expression" dxfId="22" priority="10">
      <formula>$D30&gt;0</formula>
    </cfRule>
  </conditionalFormatting>
  <conditionalFormatting sqref="J4:J5">
    <cfRule type="expression" dxfId="21" priority="1">
      <formula>$K$3="Custom"</formula>
    </cfRule>
  </conditionalFormatting>
  <conditionalFormatting sqref="J19:L21">
    <cfRule type="expression" dxfId="20" priority="15">
      <formula>$J19&lt;0</formula>
    </cfRule>
    <cfRule type="expression" dxfId="19" priority="16">
      <formula>$J19&gt;0</formula>
    </cfRule>
  </conditionalFormatting>
  <conditionalFormatting sqref="J30:L32">
    <cfRule type="expression" dxfId="18" priority="7">
      <formula>$J30&gt;0</formula>
    </cfRule>
    <cfRule type="expression" dxfId="17" priority="8">
      <formula>$J30&lt;0</formula>
    </cfRule>
  </conditionalFormatting>
  <conditionalFormatting sqref="K4:L5">
    <cfRule type="expression" dxfId="16" priority="2">
      <formula>$K$3="Custom"</formula>
    </cfRule>
  </conditionalFormatting>
  <conditionalFormatting sqref="P19:R21">
    <cfRule type="expression" dxfId="15" priority="13">
      <formula>$P19&gt;0</formula>
    </cfRule>
    <cfRule type="expression" dxfId="14" priority="14">
      <formula>$P19&lt;0</formula>
    </cfRule>
  </conditionalFormatting>
  <conditionalFormatting sqref="P30:R32">
    <cfRule type="expression" dxfId="13" priority="5">
      <formula>$P30&gt;0</formula>
    </cfRule>
    <cfRule type="expression" dxfId="12" priority="6">
      <formula>$P30&lt;0</formula>
    </cfRule>
  </conditionalFormatting>
  <conditionalFormatting sqref="V19:X21">
    <cfRule type="expression" dxfId="11" priority="11">
      <formula>$V19&gt;0</formula>
    </cfRule>
    <cfRule type="expression" dxfId="10" priority="12">
      <formula>$V19&lt;0</formula>
    </cfRule>
  </conditionalFormatting>
  <conditionalFormatting sqref="V30:X32">
    <cfRule type="expression" dxfId="9" priority="3">
      <formula>$V30&gt;0</formula>
    </cfRule>
    <cfRule type="expression" dxfId="8" priority="4">
      <formula>$V30&lt;0</formula>
    </cfRule>
  </conditionalFormatting>
  <dataValidations count="5">
    <dataValidation type="list" allowBlank="1" showInputMessage="1" showErrorMessage="1" sqref="AN16:AQ23" xr:uid="{1C2C797C-2BAA-41CB-8EC9-179EC47DF37A}">
      <formula1>_xlfn.ANCHORARRAY(#REF!)</formula1>
    </dataValidation>
    <dataValidation type="list" allowBlank="1" showInputMessage="1" showErrorMessage="1" sqref="S3:S5 N5" xr:uid="{5485CA85-5A54-486B-9B63-73F1E4B14BEA}">
      <formula1>$CQ$2:$CQ$77</formula1>
    </dataValidation>
    <dataValidation type="list" allowBlank="1" showInputMessage="1" showErrorMessage="1" sqref="K3:L3" xr:uid="{AAD422AA-F905-4D4A-AC17-0ECF68406225}">
      <formula1>Periods</formula1>
    </dataValidation>
    <dataValidation type="list" allowBlank="1" showInputMessage="1" showErrorMessage="1" sqref="K5:L5" xr:uid="{BE1DE760-8084-4232-B466-7B82001E4FE1}">
      <formula1>endDates</formula1>
    </dataValidation>
    <dataValidation type="list" allowBlank="1" showInputMessage="1" showErrorMessage="1" sqref="K4:L4" xr:uid="{EEBF4A1B-2B1B-45F3-B2CE-0F13B1343375}">
      <formula1>startDates</formula1>
    </dataValidation>
  </dataValidations>
  <pageMargins left="0.7" right="0.7" top="0.75" bottom="0.75" header="0.3" footer="0.3"/>
  <customProperties>
    <customPr name="sourceTemplate" r:id="rId1"/>
  </customPropertie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1ED2-B74D-4AAE-A3BB-89036F979DA5}">
  <sheetPr>
    <tabColor rgb="FFF5F5E7"/>
    <outlinePr summaryBelow="0" summaryRight="0"/>
  </sheetPr>
  <dimension ref="B1:W47"/>
  <sheetViews>
    <sheetView zoomScale="60" zoomScaleNormal="60" workbookViewId="0">
      <selection activeCell="G28" sqref="G28"/>
    </sheetView>
  </sheetViews>
  <sheetFormatPr defaultColWidth="9.140625" defaultRowHeight="15"/>
  <cols>
    <col min="1" max="1" width="2.7109375" style="592" customWidth="1"/>
    <col min="2" max="2" width="2.42578125" style="592" customWidth="1"/>
    <col min="3" max="3" width="15.85546875" style="621" customWidth="1"/>
    <col min="4" max="15" width="13.85546875" style="592" bestFit="1" customWidth="1"/>
    <col min="16" max="16" width="2.42578125" style="592" customWidth="1"/>
    <col min="17" max="17" width="20.140625" style="592" customWidth="1"/>
    <col min="18" max="18" width="9.140625" style="592"/>
    <col min="19" max="19" width="12.42578125" style="592" bestFit="1" customWidth="1"/>
    <col min="20" max="20" width="12.85546875" style="592" bestFit="1" customWidth="1"/>
    <col min="21" max="22" width="9.140625" style="592"/>
    <col min="23" max="23" width="12.140625" style="592" bestFit="1" customWidth="1"/>
    <col min="24" max="16384" width="9.140625" style="592"/>
  </cols>
  <sheetData>
    <row r="1" spans="2:23" ht="61.35" customHeight="1">
      <c r="B1" s="589"/>
      <c r="C1" s="590" t="s">
        <v>107</v>
      </c>
      <c r="D1" s="591"/>
      <c r="E1" s="591"/>
      <c r="F1" s="591"/>
      <c r="G1" s="591"/>
      <c r="H1" s="591"/>
      <c r="I1" s="591"/>
      <c r="J1" s="591"/>
      <c r="K1" s="591"/>
      <c r="L1" s="591"/>
      <c r="M1" s="591"/>
      <c r="N1" s="847"/>
      <c r="O1" s="848"/>
      <c r="P1" s="589"/>
      <c r="S1" s="849" t="s">
        <v>108</v>
      </c>
      <c r="T1" s="849"/>
    </row>
    <row r="2" spans="2:23" s="595" customFormat="1" ht="13.35" customHeight="1">
      <c r="B2" s="593"/>
      <c r="C2" s="594"/>
      <c r="D2" s="593"/>
      <c r="E2" s="384"/>
      <c r="F2" s="384"/>
      <c r="G2" s="384"/>
      <c r="H2" s="384"/>
      <c r="I2" s="384"/>
      <c r="J2" s="384"/>
      <c r="K2" s="384"/>
      <c r="L2" s="384"/>
      <c r="M2" s="384"/>
      <c r="N2" s="384"/>
      <c r="O2" s="384"/>
      <c r="P2" s="593"/>
      <c r="S2" s="596" t="s">
        <v>109</v>
      </c>
      <c r="T2" s="597">
        <f>D27</f>
        <v>349000</v>
      </c>
      <c r="V2" s="598"/>
      <c r="W2" s="599"/>
    </row>
    <row r="3" spans="2:23" s="595" customFormat="1">
      <c r="B3" s="593"/>
      <c r="C3" s="594"/>
      <c r="D3" s="593"/>
      <c r="E3" s="384"/>
      <c r="F3" s="384"/>
      <c r="G3" s="384"/>
      <c r="H3" s="384"/>
      <c r="I3" s="384"/>
      <c r="J3" s="384"/>
      <c r="K3" s="384"/>
      <c r="L3" s="384"/>
      <c r="M3" s="384"/>
      <c r="N3" s="384"/>
      <c r="O3" s="384"/>
      <c r="P3" s="593"/>
      <c r="S3" s="536" t="s">
        <v>110</v>
      </c>
      <c r="T3" s="600">
        <f>SUM(D28:O28)</f>
        <v>120000</v>
      </c>
    </row>
    <row r="4" spans="2:23" s="595" customFormat="1">
      <c r="B4" s="593"/>
      <c r="C4" s="594"/>
      <c r="D4" s="593"/>
      <c r="E4" s="384"/>
      <c r="F4" s="384"/>
      <c r="G4" s="384"/>
      <c r="H4" s="384"/>
      <c r="I4" s="384"/>
      <c r="J4" s="384"/>
      <c r="K4" s="384"/>
      <c r="L4" s="384"/>
      <c r="M4" s="384"/>
      <c r="N4" s="384"/>
      <c r="O4" s="384"/>
      <c r="P4" s="593"/>
      <c r="S4" s="536" t="s">
        <v>111</v>
      </c>
      <c r="T4" s="600">
        <f>SUM(D29:O29)</f>
        <v>-16000</v>
      </c>
    </row>
    <row r="5" spans="2:23" s="595" customFormat="1">
      <c r="B5" s="593"/>
      <c r="C5" s="594"/>
      <c r="D5" s="593"/>
      <c r="E5" s="384"/>
      <c r="F5" s="384"/>
      <c r="G5" s="384"/>
      <c r="H5" s="384"/>
      <c r="I5" s="384"/>
      <c r="J5" s="384"/>
      <c r="K5" s="384"/>
      <c r="L5" s="384"/>
      <c r="M5" s="384"/>
      <c r="N5" s="384"/>
      <c r="O5" s="384"/>
      <c r="P5" s="593"/>
      <c r="S5" s="536" t="s">
        <v>112</v>
      </c>
      <c r="T5" s="600">
        <f>SUM(D30:O30)</f>
        <v>66000</v>
      </c>
    </row>
    <row r="6" spans="2:23" s="595" customFormat="1">
      <c r="B6" s="593"/>
      <c r="C6" s="594"/>
      <c r="D6" s="593"/>
      <c r="E6" s="384"/>
      <c r="F6" s="384"/>
      <c r="G6" s="384"/>
      <c r="H6" s="384"/>
      <c r="I6" s="384"/>
      <c r="J6" s="384"/>
      <c r="K6" s="384"/>
      <c r="L6" s="384"/>
      <c r="M6" s="384"/>
      <c r="N6" s="384"/>
      <c r="O6" s="384"/>
      <c r="P6" s="593"/>
      <c r="S6" s="536" t="s">
        <v>113</v>
      </c>
      <c r="T6" s="600">
        <f>SUM(D31:O31)</f>
        <v>-38000</v>
      </c>
    </row>
    <row r="7" spans="2:23" s="595" customFormat="1">
      <c r="B7" s="593"/>
      <c r="C7" s="594"/>
      <c r="D7" s="593"/>
      <c r="E7" s="384"/>
      <c r="F7" s="384"/>
      <c r="G7" s="384"/>
      <c r="H7" s="384"/>
      <c r="I7" s="384"/>
      <c r="J7" s="384"/>
      <c r="K7" s="384"/>
      <c r="L7" s="384"/>
      <c r="M7" s="384"/>
      <c r="N7" s="384"/>
      <c r="O7" s="384"/>
      <c r="P7" s="593"/>
      <c r="S7" s="525" t="s">
        <v>114</v>
      </c>
      <c r="T7" s="601">
        <f>SUM(T2:T6)</f>
        <v>481000</v>
      </c>
    </row>
    <row r="8" spans="2:23" s="595" customFormat="1">
      <c r="B8" s="593"/>
      <c r="C8" s="594"/>
      <c r="D8" s="593"/>
      <c r="E8" s="384"/>
      <c r="F8" s="384"/>
      <c r="G8" s="384"/>
      <c r="H8" s="384"/>
      <c r="I8" s="384"/>
      <c r="J8" s="384"/>
      <c r="K8" s="384"/>
      <c r="L8" s="384"/>
      <c r="M8" s="384"/>
      <c r="N8" s="384"/>
      <c r="O8" s="384"/>
      <c r="P8" s="593"/>
      <c r="S8" s="602"/>
      <c r="T8" s="589"/>
    </row>
    <row r="9" spans="2:23" s="595" customFormat="1">
      <c r="B9" s="593"/>
      <c r="C9" s="594"/>
      <c r="D9" s="593"/>
      <c r="E9" s="384"/>
      <c r="F9" s="384"/>
      <c r="G9" s="384"/>
      <c r="H9" s="384"/>
      <c r="I9" s="384"/>
      <c r="J9" s="384"/>
      <c r="K9" s="384"/>
      <c r="L9" s="384"/>
      <c r="M9" s="384"/>
      <c r="N9" s="384"/>
      <c r="O9" s="384"/>
      <c r="P9" s="593"/>
      <c r="S9" s="536" t="s">
        <v>110</v>
      </c>
      <c r="T9" s="603">
        <f>IFERROR(T3/T$2,0)</f>
        <v>0.34383954154727792</v>
      </c>
    </row>
    <row r="10" spans="2:23" s="595" customFormat="1">
      <c r="B10" s="593"/>
      <c r="C10" s="594"/>
      <c r="D10" s="593"/>
      <c r="E10" s="384"/>
      <c r="F10" s="384"/>
      <c r="G10" s="384"/>
      <c r="H10" s="384"/>
      <c r="I10" s="384"/>
      <c r="J10" s="384"/>
      <c r="K10" s="384"/>
      <c r="L10" s="384"/>
      <c r="M10" s="384"/>
      <c r="N10" s="384"/>
      <c r="O10" s="384"/>
      <c r="P10" s="593"/>
      <c r="S10" s="536" t="s">
        <v>111</v>
      </c>
      <c r="T10" s="603">
        <f>IFERROR(T4/T$2,0)</f>
        <v>-4.5845272206303724E-2</v>
      </c>
    </row>
    <row r="11" spans="2:23" s="595" customFormat="1">
      <c r="B11" s="593"/>
      <c r="C11" s="594"/>
      <c r="D11" s="593"/>
      <c r="E11" s="384"/>
      <c r="F11" s="384"/>
      <c r="G11" s="384"/>
      <c r="H11" s="384"/>
      <c r="I11" s="384"/>
      <c r="J11" s="384"/>
      <c r="K11" s="384"/>
      <c r="L11" s="384"/>
      <c r="M11" s="384"/>
      <c r="N11" s="384"/>
      <c r="O11" s="384"/>
      <c r="P11" s="593"/>
      <c r="S11" s="536" t="s">
        <v>112</v>
      </c>
      <c r="T11" s="603">
        <f>IFERROR(T5/T$2,0)</f>
        <v>0.18911174785100288</v>
      </c>
    </row>
    <row r="12" spans="2:23" s="595" customFormat="1">
      <c r="B12" s="593"/>
      <c r="C12" s="594"/>
      <c r="D12" s="593"/>
      <c r="E12" s="384"/>
      <c r="F12" s="384"/>
      <c r="G12" s="384"/>
      <c r="H12" s="384"/>
      <c r="I12" s="384"/>
      <c r="J12" s="384"/>
      <c r="K12" s="384"/>
      <c r="L12" s="384"/>
      <c r="M12" s="384"/>
      <c r="N12" s="384"/>
      <c r="O12" s="384"/>
      <c r="P12" s="593"/>
      <c r="S12" s="536" t="s">
        <v>113</v>
      </c>
      <c r="T12" s="603">
        <f>IFERROR(T6/T$2,0)</f>
        <v>-0.10888252148997135</v>
      </c>
    </row>
    <row r="13" spans="2:23" s="595" customFormat="1">
      <c r="B13" s="593"/>
      <c r="C13" s="594"/>
      <c r="D13" s="593"/>
      <c r="E13" s="384"/>
      <c r="F13" s="384"/>
      <c r="G13" s="384"/>
      <c r="H13" s="384"/>
      <c r="I13" s="384"/>
      <c r="J13" s="384"/>
      <c r="K13" s="384"/>
      <c r="L13" s="384"/>
      <c r="M13" s="384"/>
      <c r="N13" s="384"/>
      <c r="O13" s="384"/>
      <c r="P13" s="593"/>
      <c r="S13" s="589"/>
      <c r="T13" s="589"/>
    </row>
    <row r="14" spans="2:23" s="595" customFormat="1">
      <c r="B14" s="593"/>
      <c r="C14" s="594"/>
      <c r="D14" s="593"/>
      <c r="E14" s="384"/>
      <c r="F14" s="384"/>
      <c r="G14" s="384"/>
      <c r="H14" s="384"/>
      <c r="I14" s="384"/>
      <c r="J14" s="384"/>
      <c r="K14" s="384"/>
      <c r="L14" s="384"/>
      <c r="M14" s="384"/>
      <c r="N14" s="384"/>
      <c r="O14" s="384"/>
      <c r="P14" s="593"/>
    </row>
    <row r="15" spans="2:23" s="595" customFormat="1">
      <c r="B15" s="593"/>
      <c r="C15" s="594"/>
      <c r="D15" s="593"/>
      <c r="E15" s="384"/>
      <c r="F15" s="384"/>
      <c r="G15" s="384"/>
      <c r="H15" s="384"/>
      <c r="I15" s="384"/>
      <c r="J15" s="384"/>
      <c r="K15" s="384"/>
      <c r="L15" s="384"/>
      <c r="M15" s="384"/>
      <c r="N15" s="384"/>
      <c r="O15" s="384"/>
      <c r="P15" s="593"/>
    </row>
    <row r="16" spans="2:23" s="595" customFormat="1">
      <c r="B16" s="593"/>
      <c r="C16" s="594"/>
      <c r="D16" s="593"/>
      <c r="E16" s="384"/>
      <c r="F16" s="384"/>
      <c r="G16" s="384"/>
      <c r="H16" s="384"/>
      <c r="I16" s="384"/>
      <c r="J16" s="384"/>
      <c r="K16" s="384"/>
      <c r="L16" s="384"/>
      <c r="M16" s="384"/>
      <c r="N16" s="384"/>
      <c r="O16" s="384"/>
      <c r="P16" s="593"/>
    </row>
    <row r="17" spans="2:19" s="595" customFormat="1" ht="90" customHeight="1">
      <c r="B17" s="593"/>
      <c r="C17" s="594"/>
      <c r="D17" s="593"/>
      <c r="E17" s="384"/>
      <c r="F17" s="384"/>
      <c r="G17" s="384"/>
      <c r="H17" s="384"/>
      <c r="I17" s="384"/>
      <c r="J17" s="384"/>
      <c r="K17" s="384"/>
      <c r="L17" s="384"/>
      <c r="M17" s="384"/>
      <c r="N17" s="384"/>
      <c r="O17" s="384"/>
      <c r="P17" s="593"/>
    </row>
    <row r="18" spans="2:19" s="595" customFormat="1">
      <c r="B18" s="593"/>
      <c r="C18" s="594"/>
      <c r="D18" s="593"/>
      <c r="E18" s="384"/>
      <c r="F18" s="384"/>
      <c r="G18" s="384"/>
      <c r="H18" s="384"/>
      <c r="I18" s="384"/>
      <c r="J18" s="384"/>
      <c r="K18" s="384"/>
      <c r="L18" s="384"/>
      <c r="M18" s="384"/>
      <c r="N18" s="384"/>
      <c r="O18" s="384"/>
      <c r="P18" s="593"/>
    </row>
    <row r="19" spans="2:19" s="595" customFormat="1">
      <c r="B19" s="593"/>
      <c r="C19" s="594"/>
      <c r="D19" s="593"/>
      <c r="E19" s="384"/>
      <c r="F19" s="384"/>
      <c r="G19" s="384"/>
      <c r="H19" s="384"/>
      <c r="I19" s="384"/>
      <c r="J19" s="384"/>
      <c r="K19" s="384"/>
      <c r="L19" s="384"/>
      <c r="M19" s="384"/>
      <c r="N19" s="384"/>
      <c r="O19" s="384"/>
      <c r="P19" s="593"/>
    </row>
    <row r="20" spans="2:19" s="595" customFormat="1">
      <c r="B20" s="593"/>
      <c r="C20" s="594"/>
      <c r="D20" s="593"/>
      <c r="E20" s="384"/>
      <c r="F20" s="384"/>
      <c r="G20" s="384"/>
      <c r="H20" s="384"/>
      <c r="I20" s="384"/>
      <c r="J20" s="384"/>
      <c r="K20" s="384"/>
      <c r="L20" s="384"/>
      <c r="M20" s="384"/>
      <c r="N20" s="384"/>
      <c r="O20" s="384"/>
      <c r="P20" s="593"/>
    </row>
    <row r="21" spans="2:19" s="595" customFormat="1">
      <c r="B21" s="593"/>
      <c r="C21" s="593"/>
      <c r="D21" s="593"/>
      <c r="E21" s="384"/>
      <c r="F21" s="384"/>
      <c r="G21" s="384"/>
      <c r="H21" s="384"/>
      <c r="I21" s="384"/>
      <c r="J21" s="384"/>
      <c r="K21" s="384"/>
      <c r="L21" s="384"/>
      <c r="M21" s="384"/>
      <c r="N21" s="384"/>
      <c r="O21" s="384"/>
      <c r="P21" s="593"/>
    </row>
    <row r="22" spans="2:19" s="595" customFormat="1">
      <c r="B22" s="593"/>
      <c r="C22" s="594"/>
      <c r="D22" s="593"/>
      <c r="E22" s="384"/>
      <c r="F22" s="384"/>
      <c r="G22" s="384"/>
      <c r="H22" s="384"/>
      <c r="I22" s="384"/>
      <c r="J22" s="384"/>
      <c r="K22" s="384"/>
      <c r="L22" s="384"/>
      <c r="M22" s="384"/>
      <c r="N22" s="384"/>
      <c r="O22" s="384"/>
      <c r="P22" s="593"/>
    </row>
    <row r="23" spans="2:19" s="595" customFormat="1">
      <c r="B23" s="593"/>
      <c r="C23" s="594"/>
      <c r="D23" s="593"/>
      <c r="E23" s="384"/>
      <c r="F23" s="384"/>
      <c r="G23" s="384"/>
      <c r="H23" s="384"/>
      <c r="I23" s="384"/>
      <c r="J23" s="384"/>
      <c r="K23" s="384"/>
      <c r="L23" s="384"/>
      <c r="M23" s="384"/>
      <c r="N23" s="384"/>
      <c r="O23" s="384"/>
      <c r="P23" s="593"/>
    </row>
    <row r="24" spans="2:19" s="595" customFormat="1">
      <c r="B24" s="593"/>
      <c r="C24" s="594"/>
      <c r="D24" s="593"/>
      <c r="E24" s="384"/>
      <c r="F24" s="384"/>
      <c r="G24" s="384"/>
      <c r="H24" s="384"/>
      <c r="I24" s="384"/>
      <c r="J24" s="384"/>
      <c r="K24" s="384"/>
      <c r="L24" s="384"/>
      <c r="M24" s="384"/>
      <c r="N24" s="384"/>
      <c r="O24" s="384"/>
      <c r="P24" s="593"/>
    </row>
    <row r="25" spans="2:19" s="595" customFormat="1" ht="20.25" customHeight="1">
      <c r="B25" s="593"/>
      <c r="C25" s="594"/>
      <c r="D25" s="593"/>
      <c r="E25" s="384"/>
      <c r="F25" s="384"/>
      <c r="G25" s="384"/>
      <c r="H25" s="384"/>
      <c r="I25" s="384"/>
      <c r="J25" s="384"/>
      <c r="K25" s="384"/>
      <c r="L25" s="384"/>
      <c r="M25" s="384"/>
      <c r="N25" s="384"/>
      <c r="O25" s="384"/>
      <c r="P25" s="593"/>
    </row>
    <row r="26" spans="2:19" s="595" customFormat="1" ht="31.5" customHeight="1">
      <c r="B26" s="593"/>
      <c r="C26" s="604" t="s">
        <v>115</v>
      </c>
      <c r="D26" s="605">
        <v>45688</v>
      </c>
      <c r="E26" s="605">
        <f t="shared" ref="E26:O26" si="0">EOMONTH(D26,1)</f>
        <v>45716</v>
      </c>
      <c r="F26" s="605">
        <f t="shared" si="0"/>
        <v>45747</v>
      </c>
      <c r="G26" s="605">
        <f t="shared" si="0"/>
        <v>45777</v>
      </c>
      <c r="H26" s="605">
        <f t="shared" si="0"/>
        <v>45808</v>
      </c>
      <c r="I26" s="605">
        <f t="shared" si="0"/>
        <v>45838</v>
      </c>
      <c r="J26" s="605">
        <f t="shared" si="0"/>
        <v>45869</v>
      </c>
      <c r="K26" s="605">
        <f t="shared" si="0"/>
        <v>45900</v>
      </c>
      <c r="L26" s="605">
        <f t="shared" si="0"/>
        <v>45930</v>
      </c>
      <c r="M26" s="605">
        <f t="shared" si="0"/>
        <v>45961</v>
      </c>
      <c r="N26" s="605">
        <f t="shared" si="0"/>
        <v>45991</v>
      </c>
      <c r="O26" s="605">
        <f t="shared" si="0"/>
        <v>46022</v>
      </c>
      <c r="P26" s="593"/>
    </row>
    <row r="27" spans="2:19" s="598" customFormat="1" ht="29.25" customHeight="1">
      <c r="B27" s="606"/>
      <c r="C27" s="607" t="s">
        <v>109</v>
      </c>
      <c r="D27" s="608">
        <v>349000</v>
      </c>
      <c r="E27" s="609">
        <f>D32</f>
        <v>369000</v>
      </c>
      <c r="F27" s="609">
        <f t="shared" ref="F27:O27" si="1">E32</f>
        <v>374500</v>
      </c>
      <c r="G27" s="609">
        <f t="shared" si="1"/>
        <v>382000</v>
      </c>
      <c r="H27" s="609">
        <f t="shared" si="1"/>
        <v>402000</v>
      </c>
      <c r="I27" s="609">
        <f t="shared" si="1"/>
        <v>407500</v>
      </c>
      <c r="J27" s="609">
        <f t="shared" si="1"/>
        <v>415000</v>
      </c>
      <c r="K27" s="609">
        <f t="shared" si="1"/>
        <v>435000</v>
      </c>
      <c r="L27" s="609">
        <f t="shared" si="1"/>
        <v>440500</v>
      </c>
      <c r="M27" s="609">
        <f t="shared" si="1"/>
        <v>448000</v>
      </c>
      <c r="N27" s="609">
        <f t="shared" si="1"/>
        <v>468000</v>
      </c>
      <c r="O27" s="609">
        <f t="shared" si="1"/>
        <v>473500</v>
      </c>
      <c r="P27" s="606"/>
      <c r="S27" s="610"/>
    </row>
    <row r="28" spans="2:19" ht="29.25" customHeight="1">
      <c r="B28" s="589"/>
      <c r="C28" s="611" t="s">
        <v>110</v>
      </c>
      <c r="D28" s="609">
        <v>15000</v>
      </c>
      <c r="E28" s="609">
        <v>5000</v>
      </c>
      <c r="F28" s="609">
        <v>10000</v>
      </c>
      <c r="G28" s="609">
        <v>15000</v>
      </c>
      <c r="H28" s="609">
        <v>5000</v>
      </c>
      <c r="I28" s="609">
        <v>10000</v>
      </c>
      <c r="J28" s="609">
        <v>15000</v>
      </c>
      <c r="K28" s="609">
        <v>5000</v>
      </c>
      <c r="L28" s="609">
        <v>10000</v>
      </c>
      <c r="M28" s="609">
        <v>15000</v>
      </c>
      <c r="N28" s="609">
        <v>5000</v>
      </c>
      <c r="O28" s="609">
        <v>10000</v>
      </c>
      <c r="P28" s="589"/>
      <c r="S28" s="612"/>
    </row>
    <row r="29" spans="2:19" ht="32.25" customHeight="1">
      <c r="B29" s="589"/>
      <c r="C29" s="611" t="s">
        <v>111</v>
      </c>
      <c r="D29" s="609">
        <v>3000</v>
      </c>
      <c r="E29" s="609">
        <v>-2000</v>
      </c>
      <c r="F29" s="609">
        <v>-5000</v>
      </c>
      <c r="G29" s="609">
        <v>3000</v>
      </c>
      <c r="H29" s="609">
        <v>-2000</v>
      </c>
      <c r="I29" s="609">
        <v>-5000</v>
      </c>
      <c r="J29" s="609">
        <v>3000</v>
      </c>
      <c r="K29" s="609">
        <v>-2000</v>
      </c>
      <c r="L29" s="609">
        <v>-5000</v>
      </c>
      <c r="M29" s="609">
        <v>3000</v>
      </c>
      <c r="N29" s="609">
        <v>-2000</v>
      </c>
      <c r="O29" s="609">
        <v>-5000</v>
      </c>
      <c r="P29" s="589"/>
      <c r="Q29" s="598"/>
      <c r="S29" s="610"/>
    </row>
    <row r="30" spans="2:19" ht="31.5" customHeight="1">
      <c r="B30" s="589"/>
      <c r="C30" s="611" t="s">
        <v>112</v>
      </c>
      <c r="D30" s="609">
        <v>4000</v>
      </c>
      <c r="E30" s="609">
        <v>5000</v>
      </c>
      <c r="F30" s="609">
        <v>7500</v>
      </c>
      <c r="G30" s="609">
        <v>4000</v>
      </c>
      <c r="H30" s="609">
        <v>5000</v>
      </c>
      <c r="I30" s="609">
        <v>7500</v>
      </c>
      <c r="J30" s="609">
        <v>4000</v>
      </c>
      <c r="K30" s="609">
        <v>5000</v>
      </c>
      <c r="L30" s="609">
        <v>7500</v>
      </c>
      <c r="M30" s="609">
        <v>4000</v>
      </c>
      <c r="N30" s="609">
        <v>5000</v>
      </c>
      <c r="O30" s="609">
        <v>7500</v>
      </c>
      <c r="P30" s="589"/>
      <c r="S30" s="610"/>
    </row>
    <row r="31" spans="2:19" ht="31.5" customHeight="1">
      <c r="B31" s="589"/>
      <c r="C31" s="611" t="s">
        <v>113</v>
      </c>
      <c r="D31" s="609">
        <v>-2000</v>
      </c>
      <c r="E31" s="609">
        <v>-2500</v>
      </c>
      <c r="F31" s="609">
        <v>-5000</v>
      </c>
      <c r="G31" s="609">
        <v>-2000</v>
      </c>
      <c r="H31" s="609">
        <v>-2500</v>
      </c>
      <c r="I31" s="609">
        <v>-5000</v>
      </c>
      <c r="J31" s="609">
        <v>-2000</v>
      </c>
      <c r="K31" s="609">
        <v>-2500</v>
      </c>
      <c r="L31" s="609">
        <v>-5000</v>
      </c>
      <c r="M31" s="609">
        <v>-2000</v>
      </c>
      <c r="N31" s="609">
        <v>-2500</v>
      </c>
      <c r="O31" s="609">
        <v>-5000</v>
      </c>
      <c r="P31" s="589"/>
      <c r="S31" s="613"/>
    </row>
    <row r="32" spans="2:19" ht="30" customHeight="1">
      <c r="B32" s="589"/>
      <c r="C32" s="614" t="s">
        <v>114</v>
      </c>
      <c r="D32" s="615">
        <f>SUM(D27:D31)</f>
        <v>369000</v>
      </c>
      <c r="E32" s="615">
        <f t="shared" ref="E32:O32" si="2">SUM(E27:E31)</f>
        <v>374500</v>
      </c>
      <c r="F32" s="615">
        <f t="shared" si="2"/>
        <v>382000</v>
      </c>
      <c r="G32" s="615">
        <f t="shared" si="2"/>
        <v>402000</v>
      </c>
      <c r="H32" s="615">
        <f t="shared" si="2"/>
        <v>407500</v>
      </c>
      <c r="I32" s="615">
        <f t="shared" si="2"/>
        <v>415000</v>
      </c>
      <c r="J32" s="615">
        <f t="shared" si="2"/>
        <v>435000</v>
      </c>
      <c r="K32" s="615">
        <f t="shared" si="2"/>
        <v>440500</v>
      </c>
      <c r="L32" s="615">
        <f t="shared" si="2"/>
        <v>448000</v>
      </c>
      <c r="M32" s="615">
        <f t="shared" si="2"/>
        <v>468000</v>
      </c>
      <c r="N32" s="615">
        <f t="shared" si="2"/>
        <v>473500</v>
      </c>
      <c r="O32" s="615">
        <f t="shared" si="2"/>
        <v>481000</v>
      </c>
      <c r="P32" s="589"/>
      <c r="S32" s="610"/>
    </row>
    <row r="33" spans="2:19" s="598" customFormat="1" ht="21" customHeight="1">
      <c r="B33" s="606"/>
      <c r="C33" s="606"/>
      <c r="D33" s="606"/>
      <c r="E33" s="606"/>
      <c r="F33" s="606"/>
      <c r="G33" s="606"/>
      <c r="H33" s="606"/>
      <c r="I33" s="606"/>
      <c r="J33" s="606"/>
      <c r="K33" s="606"/>
      <c r="L33" s="606"/>
      <c r="M33" s="606"/>
      <c r="N33" s="606"/>
      <c r="O33" s="606"/>
      <c r="P33" s="606"/>
      <c r="S33" s="610"/>
    </row>
    <row r="34" spans="2:19" ht="21" customHeight="1">
      <c r="C34" s="616"/>
      <c r="D34" s="617"/>
      <c r="E34" s="617"/>
      <c r="F34" s="617"/>
      <c r="G34" s="617"/>
      <c r="H34" s="617"/>
      <c r="I34" s="617"/>
      <c r="J34" s="617"/>
      <c r="K34" s="617"/>
      <c r="L34" s="617"/>
      <c r="M34" s="617"/>
      <c r="N34" s="617"/>
      <c r="S34" s="610"/>
    </row>
    <row r="35" spans="2:19" ht="21" customHeight="1">
      <c r="C35" s="592"/>
      <c r="N35" s="618"/>
      <c r="S35" s="610"/>
    </row>
    <row r="36" spans="2:19" ht="21" customHeight="1">
      <c r="C36" s="592"/>
      <c r="N36" s="618"/>
      <c r="S36" s="610"/>
    </row>
    <row r="37" spans="2:19" ht="21" customHeight="1">
      <c r="C37" s="592"/>
      <c r="N37" s="618"/>
    </row>
    <row r="38" spans="2:19" ht="21" customHeight="1">
      <c r="C38" s="592"/>
      <c r="N38" s="618"/>
    </row>
    <row r="39" spans="2:19" ht="21" customHeight="1">
      <c r="C39" s="592"/>
      <c r="N39" s="619"/>
      <c r="O39" s="619"/>
    </row>
    <row r="40" spans="2:19" ht="21" customHeight="1">
      <c r="C40" s="592"/>
      <c r="N40" s="619"/>
      <c r="O40" s="619"/>
    </row>
    <row r="41" spans="2:19" ht="21" customHeight="1">
      <c r="C41" s="592"/>
      <c r="N41" s="619"/>
      <c r="O41" s="619"/>
    </row>
    <row r="42" spans="2:19" s="620" customFormat="1" ht="21" customHeight="1"/>
    <row r="43" spans="2:19">
      <c r="C43" s="592"/>
    </row>
    <row r="44" spans="2:19">
      <c r="C44" s="592"/>
    </row>
    <row r="45" spans="2:19">
      <c r="C45" s="592"/>
    </row>
    <row r="46" spans="2:19">
      <c r="C46" s="592"/>
    </row>
    <row r="47" spans="2:19">
      <c r="C47" s="592"/>
    </row>
  </sheetData>
  <sheetProtection formatCells="0" formatColumns="0" formatRows="0" sort="0" autoFilter="0" pivotTables="0"/>
  <mergeCells count="2">
    <mergeCell ref="N1:O1"/>
    <mergeCell ref="S1:T1"/>
  </mergeCells>
  <pageMargins left="0.7" right="0.7" top="0.75" bottom="0.75" header="0.3" footer="0.3"/>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B4A06-4208-4425-B386-857D0F835CA7}">
  <sheetPr>
    <tabColor rgb="FFF5F5E7"/>
    <outlinePr summaryBelow="0" summaryRight="0"/>
    <pageSetUpPr autoPageBreaks="0"/>
  </sheetPr>
  <dimension ref="A1:P107"/>
  <sheetViews>
    <sheetView showGridLines="0" topLeftCell="A68" zoomScale="85" zoomScaleNormal="85" workbookViewId="0">
      <selection activeCell="X22" sqref="X22"/>
    </sheetView>
  </sheetViews>
  <sheetFormatPr defaultColWidth="9.140625" defaultRowHeight="15" customHeight="1" outlineLevelRow="2" outlineLevelCol="2"/>
  <cols>
    <col min="1" max="2" width="2.42578125" style="148" customWidth="1"/>
    <col min="3" max="3" width="42.28515625" style="731" bestFit="1" customWidth="1" collapsed="1"/>
    <col min="4" max="4" width="38.28515625" style="731" hidden="1" customWidth="1" outlineLevel="2"/>
    <col min="5" max="5" width="19.5703125" style="731" hidden="1" customWidth="1" outlineLevel="2"/>
    <col min="6" max="6" width="3.5703125" style="730" customWidth="1"/>
    <col min="7" max="7" width="14.140625" style="148" bestFit="1" customWidth="1"/>
    <col min="8" max="8" width="3.140625" style="148" customWidth="1"/>
    <col min="9" max="9" width="15" style="148" bestFit="1" customWidth="1" outlineLevel="1"/>
    <col min="10" max="10" width="12.28515625" style="148" bestFit="1" customWidth="1" outlineLevel="1"/>
    <col min="11" max="11" width="11.140625" style="148" bestFit="1" customWidth="1" outlineLevel="1"/>
    <col min="12" max="12" width="3.140625" style="148" customWidth="1"/>
    <col min="13" max="13" width="14.140625" style="148" customWidth="1" outlineLevel="1"/>
    <col min="14" max="14" width="13" style="148" customWidth="1" outlineLevel="1"/>
    <col min="15" max="15" width="10" style="148" customWidth="1" outlineLevel="1"/>
    <col min="16" max="16" width="2.85546875" style="148" customWidth="1"/>
    <col min="17" max="16384" width="9.140625" style="148"/>
  </cols>
  <sheetData>
    <row r="1" spans="1:16" customFormat="1" ht="16.149999999999999" customHeight="1">
      <c r="A1" s="49"/>
      <c r="B1" s="49"/>
      <c r="C1" s="49"/>
      <c r="D1" s="49"/>
      <c r="E1" s="49"/>
      <c r="F1" s="49"/>
      <c r="G1" s="49"/>
      <c r="H1" s="49"/>
      <c r="I1" s="49"/>
      <c r="J1" s="49"/>
      <c r="K1" s="49"/>
      <c r="L1" s="49"/>
      <c r="M1" s="49"/>
      <c r="N1" s="49"/>
      <c r="O1" s="49"/>
      <c r="P1" s="49"/>
    </row>
    <row r="2" spans="1:16" customFormat="1" outlineLevel="1">
      <c r="A2" s="49"/>
      <c r="B2" s="147"/>
      <c r="C2" s="146"/>
      <c r="D2" s="146"/>
      <c r="E2" s="146"/>
      <c r="F2" s="146"/>
      <c r="G2" s="146"/>
      <c r="H2" s="146"/>
      <c r="I2" s="146"/>
      <c r="J2" s="146"/>
      <c r="K2" s="146"/>
      <c r="L2" s="146"/>
      <c r="M2" s="146"/>
      <c r="N2" s="146"/>
      <c r="O2" s="145"/>
      <c r="P2" s="49"/>
    </row>
    <row r="3" spans="1:16" customFormat="1" ht="16.899999999999999" customHeight="1" outlineLevel="1">
      <c r="A3" s="49"/>
      <c r="B3" s="844"/>
      <c r="C3" s="144" t="str">
        <f>Company_Name</f>
        <v>Model Wiz Demo *</v>
      </c>
      <c r="D3" s="144"/>
      <c r="E3" s="144"/>
      <c r="F3" s="50"/>
      <c r="G3" s="143" t="s">
        <v>14</v>
      </c>
      <c r="H3" s="845" t="s">
        <v>15</v>
      </c>
      <c r="I3" s="845"/>
      <c r="J3" s="50"/>
      <c r="K3" s="143"/>
      <c r="L3" s="50"/>
      <c r="M3" s="138"/>
      <c r="N3" s="775"/>
      <c r="O3" s="850" t="e" vm="6">
        <v>#VALUE!</v>
      </c>
      <c r="P3" s="49"/>
    </row>
    <row r="4" spans="1:16" customFormat="1" ht="16.899999999999999" customHeight="1" outlineLevel="1">
      <c r="A4" s="49"/>
      <c r="B4" s="844"/>
      <c r="C4" s="140" t="str">
        <f>Error_Check</f>
        <v>Model Functioning Properly</v>
      </c>
      <c r="D4" s="140"/>
      <c r="E4" s="140"/>
      <c r="F4" s="50"/>
      <c r="G4" s="139" t="s">
        <v>72</v>
      </c>
      <c r="H4" s="843">
        <v>45597</v>
      </c>
      <c r="I4" s="843"/>
      <c r="J4" s="50"/>
      <c r="K4" s="50"/>
      <c r="L4" s="50"/>
      <c r="M4" s="138"/>
      <c r="N4" s="775"/>
      <c r="O4" s="850"/>
      <c r="P4" s="49"/>
    </row>
    <row r="5" spans="1:16" customFormat="1" ht="16.899999999999999" customHeight="1" outlineLevel="1">
      <c r="A5" s="49"/>
      <c r="B5" s="141"/>
      <c r="C5" s="140"/>
      <c r="D5" s="140"/>
      <c r="E5" s="140"/>
      <c r="F5" s="53"/>
      <c r="G5" s="139" t="s">
        <v>74</v>
      </c>
      <c r="H5" s="843">
        <v>46022</v>
      </c>
      <c r="I5" s="843"/>
      <c r="J5" s="138"/>
      <c r="K5" s="136"/>
      <c r="L5" s="50"/>
      <c r="M5" s="138"/>
      <c r="N5" s="775"/>
      <c r="O5" s="135"/>
      <c r="P5" s="49"/>
    </row>
    <row r="6" spans="1:16" customFormat="1" outlineLevel="1">
      <c r="A6" s="49"/>
      <c r="B6" s="134"/>
      <c r="C6" s="133"/>
      <c r="D6" s="133"/>
      <c r="E6" s="133"/>
      <c r="F6" s="133"/>
      <c r="G6" s="133"/>
      <c r="H6" s="133"/>
      <c r="I6" s="133"/>
      <c r="J6" s="133"/>
      <c r="K6" s="133"/>
      <c r="L6" s="133"/>
      <c r="M6" s="133"/>
      <c r="N6" s="133"/>
      <c r="O6" s="132"/>
      <c r="P6" s="49"/>
    </row>
    <row r="7" spans="1:16" customFormat="1" outlineLevel="1">
      <c r="A7" s="49"/>
      <c r="B7" s="131"/>
      <c r="C7" s="49"/>
      <c r="D7" s="49"/>
      <c r="E7" s="49"/>
      <c r="F7" s="49"/>
      <c r="G7" s="49"/>
      <c r="H7" s="49"/>
      <c r="I7" s="49"/>
      <c r="J7" s="49"/>
      <c r="K7" s="49"/>
      <c r="L7" s="49"/>
      <c r="M7" s="49"/>
      <c r="N7" s="49"/>
      <c r="O7" s="49"/>
      <c r="P7" s="49"/>
    </row>
    <row r="8" spans="1:16" ht="9.6" customHeight="1" outlineLevel="1">
      <c r="A8" s="774"/>
      <c r="B8" s="774"/>
      <c r="C8" s="774"/>
      <c r="D8" s="774"/>
      <c r="E8" s="774"/>
      <c r="F8" s="774"/>
      <c r="G8" s="774"/>
      <c r="H8" s="774"/>
      <c r="I8" s="774"/>
      <c r="J8" s="774"/>
      <c r="K8" s="774"/>
      <c r="L8" s="774"/>
      <c r="M8" s="774"/>
      <c r="N8" s="774"/>
      <c r="O8" s="774"/>
      <c r="P8" s="774"/>
    </row>
    <row r="9" spans="1:16" ht="56.45" customHeight="1">
      <c r="A9" s="180"/>
      <c r="B9" s="183"/>
      <c r="C9" s="182" t="s">
        <v>116</v>
      </c>
      <c r="D9" s="182"/>
      <c r="E9" s="182"/>
      <c r="F9" s="759"/>
      <c r="G9" s="180"/>
      <c r="H9" s="180"/>
      <c r="I9" s="180"/>
      <c r="J9" s="180"/>
      <c r="K9" s="180"/>
      <c r="L9" s="180"/>
      <c r="M9" s="180"/>
      <c r="N9" s="180"/>
      <c r="O9" s="180"/>
      <c r="P9" s="180"/>
    </row>
    <row r="10" spans="1:16" ht="9.6" customHeight="1">
      <c r="B10" s="157"/>
      <c r="C10" s="773"/>
      <c r="D10" s="773"/>
      <c r="E10" s="773"/>
      <c r="F10" s="772"/>
    </row>
    <row r="11" spans="1:16">
      <c r="C11" s="148"/>
      <c r="D11" s="148"/>
      <c r="E11" s="148"/>
      <c r="F11" s="407"/>
      <c r="G11" s="172" t="s">
        <v>79</v>
      </c>
      <c r="H11" s="157"/>
      <c r="I11" s="756" t="s">
        <v>117</v>
      </c>
      <c r="J11" s="756"/>
      <c r="K11" s="756"/>
      <c r="L11" s="157"/>
      <c r="M11" s="756" t="s">
        <v>118</v>
      </c>
      <c r="N11" s="756"/>
      <c r="O11" s="756"/>
    </row>
    <row r="12" spans="1:16" collapsed="1">
      <c r="C12" s="755"/>
      <c r="D12" s="755"/>
      <c r="E12" s="755"/>
      <c r="F12" s="751"/>
      <c r="G12" s="754" t="str">
        <f>IF(G$14&lt;=LatestMonthOfActuals,"Actual","Projected")</f>
        <v>Actual</v>
      </c>
      <c r="H12" s="186"/>
      <c r="I12" s="753" t="str">
        <f>IF(I$14&lt;=LatestMonthOfActuals,"Actual","Projected")</f>
        <v>Actual</v>
      </c>
      <c r="J12" s="753"/>
      <c r="K12" s="753"/>
      <c r="L12" s="186"/>
      <c r="M12" s="753" t="str">
        <f>IF(M$14&lt;=LatestMonthOfActuals,"Actual","Projected")</f>
        <v>Actual</v>
      </c>
      <c r="N12" s="753"/>
      <c r="O12" s="753"/>
    </row>
    <row r="13" spans="1:16" ht="14.45" hidden="1" customHeight="1" outlineLevel="2">
      <c r="C13" s="752" t="s">
        <v>72</v>
      </c>
      <c r="D13" s="752"/>
      <c r="E13" s="752"/>
      <c r="F13" s="751"/>
      <c r="G13" s="403">
        <f>IF(Report_Period="Custom",$H$4,INDEX(PeriodTable[Start date],MATCH(Report_Period,PeriodTable[Period],0)))</f>
        <v>45962</v>
      </c>
      <c r="I13" s="403">
        <f>IF(Report_Period="Custom",EOMONTH(I14,-(MONTH(G14)-MONTH(G13)+1+(YEAR(G14)-YEAR(G13))*12))+1,INDEX(PeriodTable[Prior Period Start],MATCH(Report_Period,PeriodTable[Period],0)))</f>
        <v>45931</v>
      </c>
      <c r="J13" s="403">
        <f>I13</f>
        <v>45931</v>
      </c>
      <c r="K13" s="403">
        <f>J13</f>
        <v>45931</v>
      </c>
      <c r="M13" s="403">
        <f>IF(Report_Period="Custom",EDATE(G13,-12),INDEX(PeriodTable[Prior Year Start],MATCH(Report_Period,PeriodTable[Period],0)))</f>
        <v>45597</v>
      </c>
      <c r="N13" s="403">
        <f>M13</f>
        <v>45597</v>
      </c>
      <c r="O13" s="403">
        <f>N13</f>
        <v>45597</v>
      </c>
    </row>
    <row r="14" spans="1:16" ht="14.45" hidden="1" customHeight="1" outlineLevel="2">
      <c r="C14" s="752" t="s">
        <v>78</v>
      </c>
      <c r="D14" s="752"/>
      <c r="E14" s="752"/>
      <c r="F14" s="751"/>
      <c r="G14" s="403">
        <f>IF(Report_Period="Custom",$H$5,INDEX(PeriodTable[End date],MATCH(Report_Period,PeriodTable[Period],0)))</f>
        <v>45991</v>
      </c>
      <c r="I14" s="403">
        <f>IF(Report_Period="Custom",$H$4-1,INDEX(PeriodTable[Prior Period End],MATCH(Report_Period,PeriodTable[Period],0)))</f>
        <v>45961</v>
      </c>
      <c r="J14" s="403">
        <f>I14</f>
        <v>45961</v>
      </c>
      <c r="K14" s="403">
        <f>J14</f>
        <v>45961</v>
      </c>
      <c r="M14" s="403">
        <f>IF(Report_Period="Custom",EOMONTH(G14,-12),INDEX(PeriodTable[Prior Year End],MATCH(Report_Period,PeriodTable[Period],0)))</f>
        <v>45626</v>
      </c>
      <c r="N14" s="403">
        <f>M14</f>
        <v>45626</v>
      </c>
      <c r="O14" s="403">
        <f>N14</f>
        <v>45626</v>
      </c>
    </row>
    <row r="15" spans="1:16" s="747" customFormat="1" collapsed="1">
      <c r="C15" s="750"/>
      <c r="D15" s="190" t="s">
        <v>119</v>
      </c>
      <c r="E15" s="190" t="s">
        <v>99</v>
      </c>
      <c r="F15" s="749"/>
      <c r="G15" s="748" t="str">
        <f>IF(Report_Period="Custom",TEXT(G13,"MMM-YY")&amp;" - "&amp;TEXT(G14,"MMM-YY"),INDEX(PeriodTable[Display text],MATCH(Report_Period,PeriodTable[Period],0)))</f>
        <v>November 2025</v>
      </c>
      <c r="I15" s="748" t="str">
        <f>IF(Report_Period="Custom",TEXT(I13,"MMM-YY")&amp;" - "&amp;TEXT(I14,"MMM-YY"),INDEX(PeriodTable[Prior Period Display text],MATCH(Report_Period,PeriodTable[Period],0)))</f>
        <v>October 2025</v>
      </c>
      <c r="J15" s="748" t="s">
        <v>120</v>
      </c>
      <c r="K15" s="748" t="s">
        <v>121</v>
      </c>
      <c r="M15" s="748" t="str">
        <f>IF(Report_Period="Custom",TEXT(M13,"MMM-YY")&amp;" - "&amp;TEXT(M14,"MMM-YY"),INDEX(PeriodTable[Prior Year Display Text],MATCH(Report_Period,PeriodTable[Period],0)))</f>
        <v>November 2024</v>
      </c>
      <c r="N15" s="748" t="s">
        <v>120</v>
      </c>
      <c r="O15" s="748" t="s">
        <v>121</v>
      </c>
    </row>
    <row r="16" spans="1:16">
      <c r="A16" s="475"/>
      <c r="B16" s="475"/>
      <c r="C16" s="746"/>
      <c r="D16" s="746"/>
      <c r="E16" s="746"/>
      <c r="G16" s="745"/>
      <c r="I16" s="745"/>
      <c r="J16" s="745"/>
      <c r="K16" s="745"/>
      <c r="M16" s="745"/>
      <c r="N16" s="745"/>
      <c r="O16" s="745"/>
    </row>
    <row r="17" spans="1:15" s="157" customFormat="1">
      <c r="C17" s="740" t="s">
        <v>98</v>
      </c>
      <c r="D17" s="740"/>
      <c r="E17" s="740"/>
      <c r="F17" s="739"/>
      <c r="G17" s="738">
        <f>SUM(G18:G19)</f>
        <v>111764.77</v>
      </c>
      <c r="I17" s="738">
        <f>SUM(I18:I19)</f>
        <v>101680.73</v>
      </c>
      <c r="J17" s="738">
        <f>G17-I17</f>
        <v>10084.040000000008</v>
      </c>
      <c r="K17" s="737">
        <f>IFERROR(J17/ABS(I17),0)</f>
        <v>9.9173560221292756E-2</v>
      </c>
      <c r="M17" s="738">
        <f>SUM(M18:M19)</f>
        <v>53604</v>
      </c>
      <c r="N17" s="738">
        <f>G17-M17</f>
        <v>58160.770000000004</v>
      </c>
      <c r="O17" s="737">
        <f>IFERROR(N17/ABS(M17),0)</f>
        <v>1.0850080217894187</v>
      </c>
    </row>
    <row r="18" spans="1:15" outlineLevel="2">
      <c r="C18" s="163" t="s">
        <v>98</v>
      </c>
      <c r="D18" s="163" t="str">
        <f>C18</f>
        <v>Revenue</v>
      </c>
      <c r="E18" s="150" t="s">
        <v>98</v>
      </c>
      <c r="F18" s="743"/>
      <c r="G18" s="742" cm="1">
        <f t="array" ref="G18">SUM(_xlfn._xlws.FILTER(_xlfn._xlws.FILTER(dataSummaryPL,(dataSummaryPLSummarys=$D18)*(dataSummaryPLSections=$E18)),(startDates&gt;=G$13)*(endDates&lt;=G$14)))</f>
        <v>111764.77</v>
      </c>
      <c r="I18" s="676" cm="1">
        <f t="array" ref="I18">SUM(_xlfn._xlws.FILTER(_xlfn._xlws.FILTER(dataSummaryPL,(dataSummaryPLSummarys=$D18)*(dataSummaryPLSections=$E18)),(startDates&gt;=I$13)*(endDates&lt;=I$14)))</f>
        <v>101680.73</v>
      </c>
      <c r="J18" s="742">
        <f>G18-I18</f>
        <v>10084.040000000008</v>
      </c>
      <c r="K18" s="741">
        <f>IFERROR(J18/ABS(I18),0)</f>
        <v>9.9173560221292756E-2</v>
      </c>
      <c r="M18" s="676" cm="1">
        <f t="array" ref="M18">SUM(_xlfn._xlws.FILTER(_xlfn._xlws.FILTER(dataSummaryPL,(dataSummaryPLSummarys=$D18)*(dataSummaryPLSections=$E18)),(startDates&gt;=M$13)*(endDates&lt;=M$14)))</f>
        <v>53604</v>
      </c>
      <c r="N18" s="742">
        <f>G18-M18</f>
        <v>58160.770000000004</v>
      </c>
      <c r="O18" s="741">
        <f>IFERROR(N18/ABS(M18),0)</f>
        <v>1.0850080217894187</v>
      </c>
    </row>
    <row r="19" spans="1:15" ht="15" customHeight="1">
      <c r="D19" s="764"/>
      <c r="E19" s="764"/>
      <c r="K19" s="766"/>
      <c r="O19" s="766"/>
    </row>
    <row r="20" spans="1:15" s="157" customFormat="1">
      <c r="C20" s="740" t="s">
        <v>80</v>
      </c>
      <c r="D20" s="764"/>
      <c r="E20" s="764"/>
      <c r="F20" s="739"/>
      <c r="G20" s="738">
        <f>SUM(G21:G22)</f>
        <v>9138.7900000000009</v>
      </c>
      <c r="I20" s="738">
        <f>SUM(I21:I22)</f>
        <v>8703.61</v>
      </c>
      <c r="J20" s="738">
        <f>G20-I20</f>
        <v>435.18000000000029</v>
      </c>
      <c r="K20" s="737">
        <f>IFERROR(J20/ABS(I20),0)</f>
        <v>4.9999942552573041E-2</v>
      </c>
      <c r="M20" s="738">
        <f>SUM(M21:M22)</f>
        <v>5089.33</v>
      </c>
      <c r="N20" s="738">
        <f>G20-M20</f>
        <v>4049.4600000000009</v>
      </c>
      <c r="O20" s="737">
        <f>IFERROR(N20/ABS(M20),0)</f>
        <v>0.79567644464006082</v>
      </c>
    </row>
    <row r="21" spans="1:15" outlineLevel="2">
      <c r="C21" s="163" t="s">
        <v>80</v>
      </c>
      <c r="D21" s="163" t="str">
        <f>C21</f>
        <v>COGS</v>
      </c>
      <c r="E21" s="150" t="s">
        <v>80</v>
      </c>
      <c r="F21" s="743"/>
      <c r="G21" s="742" cm="1">
        <f t="array" ref="G21">SUM(_xlfn._xlws.FILTER(_xlfn._xlws.FILTER(dataSummaryPL,(dataSummaryPLSummarys=$D21)*(dataSummaryPLSections=$E21)),(startDates&gt;=G$13)*(endDates&lt;=G$14)))</f>
        <v>9138.7900000000009</v>
      </c>
      <c r="I21" s="676" cm="1">
        <f t="array" ref="I21">SUM(_xlfn._xlws.FILTER(_xlfn._xlws.FILTER(dataSummaryPL,(dataSummaryPLSummarys=$D21)*(dataSummaryPLSections=$E21)),(startDates&gt;=I$13)*(endDates&lt;=I$14)))</f>
        <v>8703.61</v>
      </c>
      <c r="J21" s="742">
        <f>G21-I21</f>
        <v>435.18000000000029</v>
      </c>
      <c r="K21" s="741">
        <f>IFERROR(J21/ABS(I21),0)</f>
        <v>4.9999942552573041E-2</v>
      </c>
      <c r="M21" s="676" cm="1">
        <f t="array" ref="M21">SUM(_xlfn._xlws.FILTER(_xlfn._xlws.FILTER(dataSummaryPL,(dataSummaryPLSummarys=$D21)*(dataSummaryPLSections=$E21)),(startDates&gt;=M$13)*(endDates&lt;=M$14)))</f>
        <v>5089.33</v>
      </c>
      <c r="N21" s="742">
        <f>G21-M21</f>
        <v>4049.4600000000009</v>
      </c>
      <c r="O21" s="741">
        <f>IFERROR(N21/ABS(M21),0)</f>
        <v>0.79567644464006082</v>
      </c>
    </row>
    <row r="22" spans="1:15" ht="15" customHeight="1">
      <c r="D22" s="764"/>
      <c r="E22" s="764"/>
      <c r="K22" s="766"/>
      <c r="M22"/>
      <c r="O22" s="766"/>
    </row>
    <row r="23" spans="1:15" s="157" customFormat="1">
      <c r="C23" s="740" t="s">
        <v>81</v>
      </c>
      <c r="D23" s="764"/>
      <c r="E23" s="764"/>
      <c r="F23" s="739"/>
      <c r="G23" s="738">
        <f>G17-G20</f>
        <v>102625.98000000001</v>
      </c>
      <c r="I23" s="738">
        <f>I17-I20</f>
        <v>92977.12</v>
      </c>
      <c r="J23" s="738">
        <f>G23-I23</f>
        <v>9648.8600000000151</v>
      </c>
      <c r="K23" s="737">
        <f>IFERROR(J23/ABS(I23),0)</f>
        <v>0.10377671409912477</v>
      </c>
      <c r="M23" s="738">
        <f>M17-M20</f>
        <v>48514.67</v>
      </c>
      <c r="N23" s="738">
        <f>G23-M23</f>
        <v>54111.310000000012</v>
      </c>
      <c r="O23" s="737">
        <f>IFERROR(N23/ABS(M23),0)</f>
        <v>1.1153597458253353</v>
      </c>
    </row>
    <row r="24" spans="1:15" s="186" customFormat="1" outlineLevel="2">
      <c r="A24" s="148"/>
      <c r="B24" s="148"/>
      <c r="C24" s="771" t="s">
        <v>82</v>
      </c>
      <c r="D24" s="764"/>
      <c r="E24" s="764"/>
      <c r="F24" s="770"/>
      <c r="G24" s="769">
        <f>IFERROR(G23/G$17,0)</f>
        <v>0.91823192585642155</v>
      </c>
      <c r="I24" s="769">
        <f>IFERROR(I23/I$17,0)</f>
        <v>0.91440256182267765</v>
      </c>
      <c r="J24" s="768">
        <f>G24-I24</f>
        <v>3.8293640337438983E-3</v>
      </c>
      <c r="K24" s="741">
        <f>IFERROR(J24/ABS(I24),0)</f>
        <v>4.1878316986676319E-3</v>
      </c>
      <c r="M24" s="769">
        <f>IFERROR(M23/M$17,0)</f>
        <v>0.90505689873890005</v>
      </c>
      <c r="N24" s="768">
        <f>G24-M24</f>
        <v>1.3175027117521498E-2</v>
      </c>
      <c r="O24" s="741">
        <f>IFERROR(N24/ABS(M24),0)</f>
        <v>1.4557125784997042E-2</v>
      </c>
    </row>
    <row r="25" spans="1:15" ht="15" customHeight="1">
      <c r="D25" s="764"/>
      <c r="E25" s="764"/>
      <c r="K25" s="766"/>
      <c r="O25" s="766"/>
    </row>
    <row r="26" spans="1:15" s="157" customFormat="1">
      <c r="A26" s="148"/>
      <c r="B26" s="148"/>
      <c r="C26" s="740" t="s">
        <v>122</v>
      </c>
      <c r="D26" s="764"/>
      <c r="E26" s="764"/>
      <c r="F26" s="739"/>
      <c r="G26" s="738">
        <f>SUM(G27:G32)</f>
        <v>340311.04999999993</v>
      </c>
      <c r="I26" s="738">
        <f>SUM(I27:I32)</f>
        <v>318343.84999999998</v>
      </c>
      <c r="J26" s="738">
        <f>G26-I26</f>
        <v>21967.199999999953</v>
      </c>
      <c r="K26" s="737">
        <f>IFERROR(J26/ABS(I26),0)</f>
        <v>6.9004631312965387E-2</v>
      </c>
      <c r="M26" s="738">
        <f>SUM(M27:M32)</f>
        <v>186128.66999999998</v>
      </c>
      <c r="N26" s="738">
        <f>G26-M26</f>
        <v>154182.37999999995</v>
      </c>
      <c r="O26" s="737">
        <f>IFERROR(N26/ABS(M26),0)</f>
        <v>0.82836448570765564</v>
      </c>
    </row>
    <row r="27" spans="1:15" outlineLevel="1">
      <c r="C27" s="331" t="s">
        <v>123</v>
      </c>
      <c r="D27" s="163" t="str">
        <f t="shared" ref="D27:D30" si="0">C27</f>
        <v>Marketing &amp; Advertising</v>
      </c>
      <c r="E27" s="150" t="s">
        <v>101</v>
      </c>
      <c r="F27" s="743"/>
      <c r="G27" s="742" cm="1">
        <f t="array" ref="G27">SUM(_xlfn._xlws.FILTER(_xlfn._xlws.FILTER(dataSummaryPL,(dataSummaryPLSummarys=$D27)*(dataSummaryPLSections=$E27)),(startDates&gt;=G$13)*(endDates&lt;=G$14)))</f>
        <v>105717.32999999999</v>
      </c>
      <c r="I27" s="676" cm="1">
        <f t="array" ref="I27">SUM(_xlfn._xlws.FILTER(_xlfn._xlws.FILTER(dataSummaryPL,(dataSummaryPLSummarys=$D27)*(dataSummaryPLSections=$E27)),(startDates&gt;=I$13)*(endDates&lt;=I$14)))</f>
        <v>96206.97</v>
      </c>
      <c r="J27" s="742">
        <f t="shared" ref="J27:J30" si="1">G27-I27</f>
        <v>9510.359999999986</v>
      </c>
      <c r="K27" s="741">
        <f t="shared" ref="K27:K30" si="2">IFERROR(J27/ABS(I27),0)</f>
        <v>9.885312883255741E-2</v>
      </c>
      <c r="M27" s="676" cm="1">
        <f t="array" ref="M27">SUM(_xlfn._xlws.FILTER(_xlfn._xlws.FILTER(dataSummaryPL,(dataSummaryPLSummarys=$D27)*(dataSummaryPLSections=$E27)),(startDates&gt;=M$13)*(endDates&lt;=M$14)))</f>
        <v>56250</v>
      </c>
      <c r="N27" s="742">
        <f t="shared" ref="N27:N30" si="3">G27-M27</f>
        <v>49467.329999999987</v>
      </c>
      <c r="O27" s="741">
        <f t="shared" ref="O27:O30" si="4">IFERROR(N27/ABS(M27),0)</f>
        <v>0.87941919999999973</v>
      </c>
    </row>
    <row r="28" spans="1:15" outlineLevel="1">
      <c r="C28" s="331" t="s">
        <v>124</v>
      </c>
      <c r="D28" s="163" t="str">
        <f t="shared" si="0"/>
        <v>G&amp;A</v>
      </c>
      <c r="E28" s="150" t="s">
        <v>101</v>
      </c>
      <c r="F28" s="743"/>
      <c r="G28" s="742" cm="1">
        <f t="array" ref="G28">SUM(_xlfn._xlws.FILTER(_xlfn._xlws.FILTER(dataSummaryPL,(dataSummaryPLSummarys=$D28)*(dataSummaryPLSections=$E28)),(startDates&gt;=G$13)*(endDates&lt;=G$14)))</f>
        <v>101297.94</v>
      </c>
      <c r="I28" s="676" cm="1">
        <f t="array" ref="I28">SUM(_xlfn._xlws.FILTER(_xlfn._xlws.FILTER(dataSummaryPL,(dataSummaryPLSummarys=$D28)*(dataSummaryPLSections=$E28)),(startDates&gt;=I$13)*(endDates&lt;=I$14)))</f>
        <v>95188.50999999998</v>
      </c>
      <c r="J28" s="742">
        <f t="shared" si="1"/>
        <v>6109.4300000000221</v>
      </c>
      <c r="K28" s="741">
        <f t="shared" si="2"/>
        <v>6.4182431261924605E-2</v>
      </c>
      <c r="M28" s="676" cm="1">
        <f t="array" ref="M28">SUM(_xlfn._xlws.FILTER(_xlfn._xlws.FILTER(dataSummaryPL,(dataSummaryPLSummarys=$D28)*(dataSummaryPLSections=$E28)),(startDates&gt;=M$13)*(endDates&lt;=M$14)))</f>
        <v>55654.33</v>
      </c>
      <c r="N28" s="742">
        <f t="shared" si="3"/>
        <v>45643.61</v>
      </c>
      <c r="O28" s="741">
        <f t="shared" si="4"/>
        <v>0.82012684367954836</v>
      </c>
    </row>
    <row r="29" spans="1:15" outlineLevel="1">
      <c r="C29" s="331" t="s">
        <v>125</v>
      </c>
      <c r="D29" s="163" t="str">
        <f t="shared" si="0"/>
        <v>Payroll</v>
      </c>
      <c r="E29" s="150" t="s">
        <v>101</v>
      </c>
      <c r="F29" s="743"/>
      <c r="G29" s="742" cm="1">
        <f t="array" ref="G29">SUM(_xlfn._xlws.FILTER(_xlfn._xlws.FILTER(dataSummaryPL,(dataSummaryPLSummarys=$D29)*(dataSummaryPLSections=$E29)),(startDates&gt;=G$13)*(endDates&lt;=G$14)))</f>
        <v>89975.01</v>
      </c>
      <c r="I29" s="676" cm="1">
        <f t="array" ref="I29">SUM(_xlfn._xlws.FILTER(_xlfn._xlws.FILTER(dataSummaryPL,(dataSummaryPLSummarys=$D29)*(dataSummaryPLSections=$E29)),(startDates&gt;=I$13)*(endDates&lt;=I$14)))</f>
        <v>85690.499999999985</v>
      </c>
      <c r="J29" s="742">
        <f t="shared" si="1"/>
        <v>4284.5100000000093</v>
      </c>
      <c r="K29" s="741">
        <f t="shared" si="2"/>
        <v>4.9999824951424139E-2</v>
      </c>
      <c r="M29" s="676" cm="1">
        <f t="array" ref="M29">SUM(_xlfn._xlws.FILTER(_xlfn._xlws.FILTER(dataSummaryPL,(dataSummaryPLSummarys=$D29)*(dataSummaryPLSections=$E29)),(startDates&gt;=M$13)*(endDates&lt;=M$14)))</f>
        <v>50101.34</v>
      </c>
      <c r="N29" s="742">
        <f t="shared" si="3"/>
        <v>39873.67</v>
      </c>
      <c r="O29" s="741">
        <f t="shared" si="4"/>
        <v>0.79586035024212931</v>
      </c>
    </row>
    <row r="30" spans="1:15" outlineLevel="1">
      <c r="C30" s="331" t="s">
        <v>126</v>
      </c>
      <c r="D30" s="163" t="str">
        <f t="shared" si="0"/>
        <v>Professional Services</v>
      </c>
      <c r="E30" s="150" t="s">
        <v>101</v>
      </c>
      <c r="F30" s="743"/>
      <c r="G30" s="742" cm="1">
        <f t="array" ref="G30">SUM(_xlfn._xlws.FILTER(_xlfn._xlws.FILTER(dataSummaryPL,(dataSummaryPLSummarys=$D30)*(dataSummaryPLSections=$E30)),(startDates&gt;=G$13)*(endDates&lt;=G$14)))</f>
        <v>32404.78</v>
      </c>
      <c r="I30" s="676" cm="1">
        <f t="array" ref="I30">SUM(_xlfn._xlws.FILTER(_xlfn._xlws.FILTER(dataSummaryPL,(dataSummaryPLSummarys=$D30)*(dataSummaryPLSections=$E30)),(startDates&gt;=I$13)*(endDates&lt;=I$14)))</f>
        <v>30861.69</v>
      </c>
      <c r="J30" s="742">
        <f t="shared" si="1"/>
        <v>1543.0900000000001</v>
      </c>
      <c r="K30" s="741">
        <f t="shared" si="2"/>
        <v>5.0000178214478865E-2</v>
      </c>
      <c r="M30" s="676" cm="1">
        <f t="array" ref="M30">SUM(_xlfn._xlws.FILTER(_xlfn._xlws.FILTER(dataSummaryPL,(dataSummaryPLSummarys=$D30)*(dataSummaryPLSections=$E30)),(startDates&gt;=M$13)*(endDates&lt;=M$14)))</f>
        <v>18045</v>
      </c>
      <c r="N30" s="742">
        <f t="shared" si="3"/>
        <v>14359.779999999999</v>
      </c>
      <c r="O30" s="741">
        <f t="shared" si="4"/>
        <v>0.79577611526738701</v>
      </c>
    </row>
    <row r="31" spans="1:15" outlineLevel="1">
      <c r="C31" s="331" t="s">
        <v>127</v>
      </c>
      <c r="D31" s="163" t="str">
        <f>C31</f>
        <v>Travel &amp; Entertainment</v>
      </c>
      <c r="E31" s="150" t="s">
        <v>101</v>
      </c>
      <c r="F31" s="743"/>
      <c r="G31" s="742" cm="1">
        <f t="array" ref="G31">SUM(_xlfn._xlws.FILTER(_xlfn._xlws.FILTER(dataSummaryPL,(dataSummaryPLSummarys=$D31)*(dataSummaryPLSections=$E31)),(startDates&gt;=G$13)*(endDates&lt;=G$14)))</f>
        <v>10915.99</v>
      </c>
      <c r="I31" s="676" cm="1">
        <f t="array" ref="I31">SUM(_xlfn._xlws.FILTER(_xlfn._xlws.FILTER(dataSummaryPL,(dataSummaryPLSummarys=$D31)*(dataSummaryPLSections=$E31)),(startDates&gt;=I$13)*(endDates&lt;=I$14)))</f>
        <v>10396.18</v>
      </c>
      <c r="J31" s="742">
        <f>G31-I31</f>
        <v>519.80999999999949</v>
      </c>
      <c r="K31" s="741">
        <f>IFERROR(J31/ABS(I31),0)</f>
        <v>5.0000096189177126E-2</v>
      </c>
      <c r="M31" s="676" cm="1">
        <f t="array" ref="M31">SUM(_xlfn._xlws.FILTER(_xlfn._xlws.FILTER(dataSummaryPL,(dataSummaryPLSummarys=$D31)*(dataSummaryPLSections=$E31)),(startDates&gt;=M$13)*(endDates&lt;=M$14)))</f>
        <v>6078</v>
      </c>
      <c r="N31" s="742">
        <f>G31-M31</f>
        <v>4837.99</v>
      </c>
      <c r="O31" s="741">
        <f>IFERROR(N31/ABS(M31),0)</f>
        <v>0.79598387627509049</v>
      </c>
    </row>
    <row r="32" spans="1:15">
      <c r="D32" s="764"/>
      <c r="E32" s="764"/>
      <c r="K32" s="766"/>
      <c r="O32" s="766"/>
    </row>
    <row r="33" spans="1:15" s="157" customFormat="1">
      <c r="A33" s="148"/>
      <c r="B33" s="148"/>
      <c r="C33" s="740" t="s">
        <v>128</v>
      </c>
      <c r="D33" s="764"/>
      <c r="E33" s="764"/>
      <c r="F33" s="739"/>
      <c r="G33" s="738">
        <f>G23-G26</f>
        <v>-237685.06999999992</v>
      </c>
      <c r="I33" s="738">
        <f>I23-I26</f>
        <v>-225366.72999999998</v>
      </c>
      <c r="J33" s="738">
        <f>G33-I33</f>
        <v>-12318.339999999938</v>
      </c>
      <c r="K33" s="737">
        <f>IFERROR(J33/ABS(I33),0)</f>
        <v>-5.4659088322397631E-2</v>
      </c>
      <c r="M33" s="738">
        <f>M23-M26</f>
        <v>-137614</v>
      </c>
      <c r="N33" s="738">
        <f>G33-M33</f>
        <v>-100071.06999999992</v>
      </c>
      <c r="O33" s="737">
        <f>IFERROR(N33/ABS(M33),0)</f>
        <v>-0.72718669612103359</v>
      </c>
    </row>
    <row r="34" spans="1:15" s="186" customFormat="1" outlineLevel="2">
      <c r="A34" s="148"/>
      <c r="B34" s="148"/>
      <c r="C34" s="771" t="s">
        <v>129</v>
      </c>
      <c r="D34" s="764"/>
      <c r="E34" s="764"/>
      <c r="F34" s="770"/>
      <c r="G34" s="769">
        <f>IFERROR(G33/G$17,0)</f>
        <v>-2.1266546694454784</v>
      </c>
      <c r="I34" s="769">
        <f>IFERROR(I33/I$17,0)</f>
        <v>-2.2164153424154214</v>
      </c>
      <c r="J34" s="768">
        <f>G34-I34</f>
        <v>8.9760672969942945E-2</v>
      </c>
      <c r="K34" s="741">
        <f>IFERROR(J34/ABS(I34),0)</f>
        <v>4.0498128330100303E-2</v>
      </c>
      <c r="M34" s="769">
        <f>IFERROR(M33/M$17,0)</f>
        <v>-2.5672337885232444</v>
      </c>
      <c r="N34" s="768">
        <f>G34-M34</f>
        <v>0.44057911907776592</v>
      </c>
      <c r="O34" s="741">
        <f>IFERROR(N34/ABS(M34),0)</f>
        <v>0.17161628249338415</v>
      </c>
    </row>
    <row r="35" spans="1:15" ht="15" customHeight="1">
      <c r="D35" s="764"/>
      <c r="E35" s="764"/>
      <c r="K35" s="766"/>
      <c r="O35" s="766"/>
    </row>
    <row r="36" spans="1:15" s="157" customFormat="1" collapsed="1">
      <c r="A36" s="148"/>
      <c r="B36" s="148"/>
      <c r="C36" s="740" t="s">
        <v>130</v>
      </c>
      <c r="D36" s="764"/>
      <c r="E36" s="764"/>
      <c r="F36" s="739"/>
      <c r="G36" s="738">
        <f>SUM(G38:G39)</f>
        <v>0</v>
      </c>
      <c r="I36" s="738">
        <f>SUM(I38:I39)</f>
        <v>0</v>
      </c>
      <c r="J36" s="738">
        <f>G36-I36</f>
        <v>0</v>
      </c>
      <c r="K36" s="737">
        <f>IFERROR(J36/ABS(I36),0)</f>
        <v>0</v>
      </c>
      <c r="M36" s="738">
        <f>SUM(M38:M39)</f>
        <v>0</v>
      </c>
      <c r="N36" s="738">
        <f>G36-M36</f>
        <v>0</v>
      </c>
      <c r="O36" s="737">
        <f>IFERROR(N36/ABS(M36),0)</f>
        <v>0</v>
      </c>
    </row>
    <row r="37" spans="1:15" hidden="1" outlineLevel="2">
      <c r="C37" s="163" t="s">
        <v>130</v>
      </c>
      <c r="D37" s="163"/>
      <c r="E37" s="150"/>
      <c r="F37" s="743"/>
      <c r="G37" s="742"/>
      <c r="I37" s="742"/>
      <c r="J37" s="742"/>
      <c r="K37" s="741"/>
      <c r="M37" s="742"/>
      <c r="N37" s="742"/>
      <c r="O37" s="741"/>
    </row>
    <row r="38" spans="1:15" hidden="1" outlineLevel="2">
      <c r="C38" s="163" t="s">
        <v>130</v>
      </c>
      <c r="D38" s="163" t="str">
        <f>C38</f>
        <v>Other Income</v>
      </c>
      <c r="E38" s="150" t="s">
        <v>130</v>
      </c>
      <c r="F38" s="743"/>
      <c r="G38" s="742" cm="1">
        <f t="array" ref="G38">SUM(_xlfn._xlws.FILTER(_xlfn._xlws.FILTER(dataSummaryPL,(dataSummaryPLSummarys=$D38)*(dataSummaryPLSections=$E38)),(startDates&gt;=G$13)*(endDates&lt;=G$14)))</f>
        <v>0</v>
      </c>
      <c r="I38" s="676" cm="1">
        <f t="array" ref="I38">SUM(_xlfn._xlws.FILTER(_xlfn._xlws.FILTER(dataSummaryPL,(dataSummaryPLSummarys=$D38)*(dataSummaryPLSections=$E38)),(startDates&gt;=I$13)*(endDates&lt;=I$14)))</f>
        <v>0</v>
      </c>
      <c r="J38" s="742">
        <f>G38-I38</f>
        <v>0</v>
      </c>
      <c r="K38" s="741">
        <f>IFERROR(J38/ABS(I38),0)</f>
        <v>0</v>
      </c>
      <c r="M38" s="676" cm="1">
        <f t="array" ref="M38">SUM(_xlfn._xlws.FILTER(_xlfn._xlws.FILTER(dataSummaryPL,(dataSummaryPLSummarys=$D38)*(dataSummaryPLSections=$E38)),(startDates&gt;=M$13)*(endDates&lt;=M$14)))</f>
        <v>0</v>
      </c>
      <c r="N38" s="742">
        <f>G38-M38</f>
        <v>0</v>
      </c>
      <c r="O38" s="741">
        <f>IFERROR(N38/ABS(M38),0)</f>
        <v>0</v>
      </c>
    </row>
    <row r="39" spans="1:15">
      <c r="A39" s="734"/>
      <c r="B39" s="734"/>
      <c r="D39" s="764"/>
      <c r="E39" s="764"/>
      <c r="K39" s="766"/>
      <c r="O39" s="766"/>
    </row>
    <row r="40" spans="1:15" s="157" customFormat="1" collapsed="1">
      <c r="A40" s="148"/>
      <c r="B40" s="148"/>
      <c r="C40" s="740" t="s">
        <v>131</v>
      </c>
      <c r="D40" s="764"/>
      <c r="E40" s="764"/>
      <c r="F40" s="739"/>
      <c r="G40" s="738">
        <f>SUM(G43:G44)</f>
        <v>21495.42</v>
      </c>
      <c r="I40" s="738">
        <f>SUM(I43:I44)</f>
        <v>21495.42</v>
      </c>
      <c r="J40" s="738">
        <f>G40-I40</f>
        <v>0</v>
      </c>
      <c r="K40" s="737">
        <f>IFERROR(J40/ABS(I40),0)</f>
        <v>0</v>
      </c>
      <c r="M40" s="738">
        <f>SUM(M43:M44)</f>
        <v>21496</v>
      </c>
      <c r="N40" s="738">
        <f>G40-M40</f>
        <v>-0.58000000000174623</v>
      </c>
      <c r="O40" s="737">
        <f>IFERROR(N40/ABS(M40),0)</f>
        <v>-2.6981764049206652E-5</v>
      </c>
    </row>
    <row r="41" spans="1:15" hidden="1" outlineLevel="2">
      <c r="C41" s="163" t="s">
        <v>132</v>
      </c>
      <c r="D41" s="163"/>
      <c r="E41" s="150"/>
      <c r="F41" s="743"/>
      <c r="G41" s="742"/>
      <c r="I41" s="742"/>
      <c r="J41" s="742"/>
      <c r="K41" s="741"/>
      <c r="M41" s="742"/>
      <c r="N41" s="742"/>
      <c r="O41" s="741"/>
    </row>
    <row r="42" spans="1:15" hidden="1" outlineLevel="2">
      <c r="C42" s="163" t="s">
        <v>131</v>
      </c>
      <c r="D42" s="163" t="str">
        <f t="shared" ref="D42" si="5">C42</f>
        <v>Other Expenses</v>
      </c>
      <c r="E42" s="150" t="s">
        <v>131</v>
      </c>
      <c r="F42" s="743"/>
      <c r="G42" s="742" cm="1">
        <f t="array" ref="G42">SUM(_xlfn._xlws.FILTER(_xlfn._xlws.FILTER(dataSummaryPL,(dataSummaryPLSummarys=$D42)*(dataSummaryPLSections=$E42)),(startDates&gt;=G$13)*(endDates&lt;=G$14)))</f>
        <v>21495.42</v>
      </c>
      <c r="I42" s="676" cm="1">
        <f t="array" ref="I42">SUM(_xlfn._xlws.FILTER(_xlfn._xlws.FILTER(dataSummaryPL,(dataSummaryPLSummarys=$D42)*(dataSummaryPLSections=$E42)),(startDates&gt;=I$13)*(endDates&lt;=I$14)))</f>
        <v>21495.42</v>
      </c>
      <c r="J42" s="742">
        <f t="shared" ref="J42" si="6">G42-I42</f>
        <v>0</v>
      </c>
      <c r="K42" s="741">
        <f t="shared" ref="K42" si="7">IFERROR(J42/ABS(I42),0)</f>
        <v>0</v>
      </c>
      <c r="M42" s="676" cm="1">
        <f t="array" ref="M42">SUM(_xlfn._xlws.FILTER(_xlfn._xlws.FILTER(dataSummaryPL,(dataSummaryPLSummarys=$D42)*(dataSummaryPLSections=$E42)),(startDates&gt;=M$13)*(endDates&lt;=M$14)))</f>
        <v>21496</v>
      </c>
      <c r="N42" s="742">
        <f t="shared" ref="N42" si="8">G42-M42</f>
        <v>-0.58000000000174623</v>
      </c>
      <c r="O42" s="741">
        <f t="shared" ref="O42" si="9">IFERROR(N42/ABS(M42),0)</f>
        <v>-2.6981764049206652E-5</v>
      </c>
    </row>
    <row r="43" spans="1:15" hidden="1" outlineLevel="2">
      <c r="C43" s="163" t="s">
        <v>131</v>
      </c>
      <c r="D43" s="163" t="str">
        <f>C43</f>
        <v>Other Expenses</v>
      </c>
      <c r="E43" s="150" t="s">
        <v>131</v>
      </c>
      <c r="F43" s="743"/>
      <c r="G43" s="742" cm="1">
        <f t="array" ref="G43">SUM(_xlfn._xlws.FILTER(_xlfn._xlws.FILTER(dataSummaryPL,(dataSummaryPLSummarys=$D43)*(dataSummaryPLSections=$E43)),(startDates&gt;=G$13)*(endDates&lt;=G$14)))</f>
        <v>21495.42</v>
      </c>
      <c r="I43" s="676" cm="1">
        <f t="array" ref="I43">SUM(_xlfn._xlws.FILTER(_xlfn._xlws.FILTER(dataSummaryPL,(dataSummaryPLSummarys=$D43)*(dataSummaryPLSections=$E43)),(startDates&gt;=I$13)*(endDates&lt;=I$14)))</f>
        <v>21495.42</v>
      </c>
      <c r="J43" s="742">
        <f>G43-I43</f>
        <v>0</v>
      </c>
      <c r="K43" s="741">
        <f>IFERROR(J43/ABS(I43),0)</f>
        <v>0</v>
      </c>
      <c r="M43" s="676" cm="1">
        <f t="array" ref="M43">SUM(_xlfn._xlws.FILTER(_xlfn._xlws.FILTER(dataSummaryPL,(dataSummaryPLSummarys=$D43)*(dataSummaryPLSections=$E43)),(startDates&gt;=M$13)*(endDates&lt;=M$14)))</f>
        <v>21496</v>
      </c>
      <c r="N43" s="742">
        <f>G43-M43</f>
        <v>-0.58000000000174623</v>
      </c>
      <c r="O43" s="741">
        <f>IFERROR(N43/ABS(M43),0)</f>
        <v>-2.6981764049206652E-5</v>
      </c>
    </row>
    <row r="44" spans="1:15">
      <c r="C44" s="767"/>
      <c r="D44" s="767"/>
      <c r="E44" s="767"/>
      <c r="F44" s="743"/>
      <c r="G44" s="676"/>
      <c r="I44" s="676"/>
      <c r="J44" s="676"/>
      <c r="K44" s="766"/>
      <c r="M44" s="676"/>
      <c r="N44" s="676"/>
      <c r="O44" s="766"/>
    </row>
    <row r="45" spans="1:15" s="157" customFormat="1">
      <c r="A45" s="148"/>
      <c r="B45" s="148"/>
      <c r="C45" s="740" t="s">
        <v>133</v>
      </c>
      <c r="D45" s="740"/>
      <c r="E45" s="740"/>
      <c r="F45" s="739"/>
      <c r="G45" s="738">
        <f>G36-G40</f>
        <v>-21495.42</v>
      </c>
      <c r="I45" s="738">
        <f>I36-I40</f>
        <v>-21495.42</v>
      </c>
      <c r="J45" s="738">
        <f>G45-I45</f>
        <v>0</v>
      </c>
      <c r="K45" s="737">
        <f>IFERROR(J45/ABS(I45),0)</f>
        <v>0</v>
      </c>
      <c r="M45" s="738">
        <f>M36-M40</f>
        <v>-21496</v>
      </c>
      <c r="N45" s="738">
        <f>G45-M45</f>
        <v>0.58000000000174623</v>
      </c>
      <c r="O45" s="737">
        <f>IFERROR(N45/ABS(M45),0)</f>
        <v>2.6981764049206652E-5</v>
      </c>
    </row>
    <row r="46" spans="1:15" ht="15" customHeight="1">
      <c r="K46" s="766"/>
      <c r="O46" s="766"/>
    </row>
    <row r="47" spans="1:15" s="157" customFormat="1">
      <c r="A47" s="148"/>
      <c r="B47" s="148"/>
      <c r="C47" s="740" t="s">
        <v>102</v>
      </c>
      <c r="D47" s="740"/>
      <c r="E47" s="740"/>
      <c r="F47" s="739"/>
      <c r="G47" s="738">
        <f>G33+G45</f>
        <v>-259180.48999999993</v>
      </c>
      <c r="I47" s="738">
        <f>I33+I45</f>
        <v>-246862.14999999997</v>
      </c>
      <c r="J47" s="738">
        <f>G47-I47</f>
        <v>-12318.339999999967</v>
      </c>
      <c r="K47" s="737">
        <f>IFERROR(J47/ABS(I47),0)</f>
        <v>-4.9899670727164815E-2</v>
      </c>
      <c r="M47" s="738">
        <f>M33+M45</f>
        <v>-159110</v>
      </c>
      <c r="N47" s="738">
        <f>G47-M47</f>
        <v>-100070.48999999993</v>
      </c>
      <c r="O47" s="737">
        <f>IFERROR(N47/ABS(M47),0)</f>
        <v>-0.62893903588712174</v>
      </c>
    </row>
    <row r="48" spans="1:15" s="186" customFormat="1" outlineLevel="2">
      <c r="A48" s="148"/>
      <c r="B48" s="148"/>
      <c r="C48" s="771" t="s">
        <v>134</v>
      </c>
      <c r="D48" s="764"/>
      <c r="E48" s="764"/>
      <c r="F48" s="770"/>
      <c r="G48" s="769">
        <f>IFERROR(G47/G$17,0)</f>
        <v>-2.3189820012155882</v>
      </c>
      <c r="I48" s="769">
        <f>IFERROR(I47/I$17,0)</f>
        <v>-2.4278164604050341</v>
      </c>
      <c r="J48" s="768">
        <f>G48-I48</f>
        <v>0.1088344591894459</v>
      </c>
      <c r="K48" s="741">
        <f>IFERROR(J48/ABS(I48),0)</f>
        <v>4.4828124763306443E-2</v>
      </c>
      <c r="M48" s="769">
        <f>IFERROR(M47/M$17,0)</f>
        <v>-2.9682486381613313</v>
      </c>
      <c r="N48" s="768">
        <f>G48-M48</f>
        <v>0.64926663694574316</v>
      </c>
      <c r="O48" s="741">
        <f>IFERROR(N48/ABS(M48),0)</f>
        <v>0.21873728116925156</v>
      </c>
    </row>
    <row r="49" spans="1:16" s="157" customFormat="1">
      <c r="A49" s="148"/>
      <c r="B49" s="148"/>
      <c r="C49" s="740"/>
      <c r="D49" s="740"/>
      <c r="E49" s="740"/>
      <c r="F49" s="739"/>
      <c r="G49" s="765"/>
      <c r="I49" s="765"/>
      <c r="J49" s="765"/>
      <c r="K49" s="765"/>
      <c r="M49" s="765"/>
      <c r="N49" s="765"/>
      <c r="O49" s="765"/>
    </row>
    <row r="50" spans="1:16" ht="56.45" customHeight="1">
      <c r="A50" s="180"/>
      <c r="B50" s="183"/>
      <c r="C50" s="182" t="s">
        <v>55</v>
      </c>
      <c r="D50" s="182"/>
      <c r="E50" s="182"/>
      <c r="F50" s="759"/>
      <c r="G50" s="180"/>
      <c r="H50" s="180"/>
      <c r="I50" s="180"/>
      <c r="J50" s="180"/>
      <c r="K50" s="180"/>
      <c r="L50" s="180"/>
      <c r="M50" s="180"/>
      <c r="N50" s="180"/>
      <c r="O50" s="180"/>
      <c r="P50" s="180"/>
    </row>
    <row r="51" spans="1:16" ht="9.6" customHeight="1">
      <c r="B51" s="157"/>
      <c r="C51" s="758"/>
      <c r="D51" s="758"/>
      <c r="E51" s="758"/>
      <c r="F51" s="757"/>
    </row>
    <row r="52" spans="1:16">
      <c r="C52" s="148"/>
      <c r="D52" s="148"/>
      <c r="E52" s="148"/>
      <c r="F52" s="407"/>
      <c r="G52" s="172" t="s">
        <v>79</v>
      </c>
      <c r="H52" s="157"/>
      <c r="I52" s="756" t="s">
        <v>117</v>
      </c>
      <c r="J52" s="756"/>
      <c r="K52" s="756"/>
      <c r="L52" s="157"/>
      <c r="M52" s="756" t="s">
        <v>118</v>
      </c>
      <c r="N52" s="756"/>
      <c r="O52" s="756"/>
    </row>
    <row r="53" spans="1:16" collapsed="1">
      <c r="C53" s="755"/>
      <c r="D53" s="755"/>
      <c r="E53" s="755"/>
      <c r="F53" s="751"/>
      <c r="G53" s="754" t="str">
        <f>IF(G$14&lt;=LatestMonthOfActuals,"Actual","Projected")</f>
        <v>Actual</v>
      </c>
      <c r="H53" s="186"/>
      <c r="I53" s="753" t="str">
        <f>IF(I$14&lt;=LatestMonthOfActuals,"Actual","Projected")</f>
        <v>Actual</v>
      </c>
      <c r="J53" s="753"/>
      <c r="K53" s="753"/>
      <c r="L53" s="186"/>
      <c r="M53" s="753" t="str">
        <f>IF(M$14&lt;=LatestMonthOfActuals,"Actual","Projected")</f>
        <v>Actual</v>
      </c>
      <c r="N53" s="753"/>
      <c r="O53" s="753"/>
    </row>
    <row r="54" spans="1:16" ht="14.45" hidden="1" customHeight="1" outlineLevel="2">
      <c r="C54" s="752" t="s">
        <v>72</v>
      </c>
      <c r="D54" s="752"/>
      <c r="E54" s="752"/>
      <c r="F54" s="751"/>
      <c r="G54" s="403">
        <f>IF(Report_Period="Custom",$H$4,INDEX(PeriodTable[Start date],MATCH(Report_Period,PeriodTable[Period],0)))</f>
        <v>45962</v>
      </c>
      <c r="I54" s="403">
        <f>IF(Report_Period="Custom",EOMONTH(I55,-(MONTH(G55)-MONTH(G54)+1+(YEAR(G55)-YEAR(G54))*12))+1,INDEX(PeriodTable[Prior Period Start],MATCH(Report_Period,PeriodTable[Period],0)))</f>
        <v>45931</v>
      </c>
      <c r="J54" s="403">
        <f>I54</f>
        <v>45931</v>
      </c>
      <c r="K54" s="403">
        <f>J54</f>
        <v>45931</v>
      </c>
      <c r="M54" s="403">
        <f>IF(Report_Period="Custom",EDATE(G54,-12),INDEX(PeriodTable[Prior Year Start],MATCH(Report_Period,PeriodTable[Period],0)))</f>
        <v>45597</v>
      </c>
      <c r="N54" s="403">
        <f>M54</f>
        <v>45597</v>
      </c>
      <c r="O54" s="403">
        <f>N54</f>
        <v>45597</v>
      </c>
    </row>
    <row r="55" spans="1:16" ht="14.45" hidden="1" customHeight="1" outlineLevel="2">
      <c r="C55" s="752" t="s">
        <v>78</v>
      </c>
      <c r="D55" s="752"/>
      <c r="E55" s="752"/>
      <c r="F55" s="751"/>
      <c r="G55" s="403">
        <f>IF(Report_Period="Custom",$H$5,INDEX(PeriodTable[End date],MATCH(Report_Period,PeriodTable[Period],0)))</f>
        <v>45991</v>
      </c>
      <c r="I55" s="403">
        <f>IF(Report_Period="Custom",$H$4-1,INDEX(PeriodTable[Prior Period End],MATCH(Report_Period,PeriodTable[Period],0)))</f>
        <v>45961</v>
      </c>
      <c r="J55" s="403">
        <f>I55</f>
        <v>45961</v>
      </c>
      <c r="K55" s="403">
        <f>J55</f>
        <v>45961</v>
      </c>
      <c r="M55" s="403">
        <f>IF(Report_Period="Custom",EOMONTH(G55,-12),INDEX(PeriodTable[Prior Year End],MATCH(Report_Period,PeriodTable[Period],0)))</f>
        <v>45626</v>
      </c>
      <c r="N55" s="403">
        <f>M55</f>
        <v>45626</v>
      </c>
      <c r="O55" s="403">
        <f>N55</f>
        <v>45626</v>
      </c>
    </row>
    <row r="56" spans="1:16" s="747" customFormat="1" collapsed="1">
      <c r="C56" s="750"/>
      <c r="D56" s="750"/>
      <c r="E56" s="750"/>
      <c r="F56" s="749"/>
      <c r="G56" s="748" t="str">
        <f>IF(Report_Period="Custom",TEXT(G54,"MMM-YY")&amp;" - "&amp;TEXT(G55,"MMM-YY"),INDEX(PeriodTable[Display text],MATCH(Report_Period,PeriodTable[Period],0)))</f>
        <v>November 2025</v>
      </c>
      <c r="I56" s="748" t="str">
        <f>IF(Report_Period="Custom",TEXT(I54,"MMM-YY")&amp;" - "&amp;TEXT(I55,"MMM-YY"),INDEX(PeriodTable[Prior Period Display text],MATCH(Report_Period,PeriodTable[Period],0)))</f>
        <v>October 2025</v>
      </c>
      <c r="J56" s="748" t="s">
        <v>120</v>
      </c>
      <c r="K56" s="748" t="s">
        <v>121</v>
      </c>
      <c r="M56" s="748" t="str">
        <f>IF(Report_Period="Custom",TEXT(M54,"MMM-YY")&amp;" - "&amp;TEXT(M55,"MMM-YY"),INDEX(PeriodTable[Prior Year Display Text],MATCH(Report_Period,PeriodTable[Period],0)))</f>
        <v>November 2024</v>
      </c>
      <c r="N56" s="748" t="s">
        <v>120</v>
      </c>
      <c r="O56" s="748" t="s">
        <v>121</v>
      </c>
    </row>
    <row r="57" spans="1:16">
      <c r="A57" s="475"/>
      <c r="B57" s="475"/>
      <c r="C57" s="746"/>
      <c r="D57" s="746"/>
      <c r="E57" s="746"/>
      <c r="G57" s="745"/>
      <c r="I57" s="745"/>
      <c r="J57" s="745"/>
      <c r="K57" s="745"/>
      <c r="M57" s="745"/>
      <c r="N57" s="745"/>
      <c r="O57" s="745"/>
    </row>
    <row r="58" spans="1:16" s="157" customFormat="1">
      <c r="C58" s="740" t="s">
        <v>135</v>
      </c>
      <c r="D58" s="740"/>
      <c r="E58" s="740"/>
      <c r="F58" s="739"/>
      <c r="G58" s="738">
        <f>SUM(G59:G64)</f>
        <v>550924.85</v>
      </c>
      <c r="I58" s="738">
        <f>SUM(I59:I64)</f>
        <v>809105.34000000008</v>
      </c>
      <c r="J58" s="738">
        <f>G58-I58</f>
        <v>-258180.49000000011</v>
      </c>
      <c r="K58" s="737">
        <f>IFERROR(J58/ABS(I58),0)</f>
        <v>-0.31909379067996274</v>
      </c>
      <c r="M58" s="738">
        <f>SUM(M59:M64)</f>
        <v>3056263</v>
      </c>
      <c r="N58" s="738">
        <f>G58-M58</f>
        <v>-2505338.15</v>
      </c>
      <c r="O58" s="737">
        <f>IFERROR(N58/ABS(M58),0)</f>
        <v>-0.81973905714266082</v>
      </c>
    </row>
    <row r="59" spans="1:16" outlineLevel="1">
      <c r="C59" s="331" t="s">
        <v>136</v>
      </c>
      <c r="D59" s="149" t="str">
        <f t="shared" ref="D59:D62" si="10">C59</f>
        <v>Accounts Receivable</v>
      </c>
      <c r="E59" s="150" t="s">
        <v>135</v>
      </c>
      <c r="F59" s="536"/>
      <c r="G59" s="761" cm="1">
        <f t="array" ref="G59">SUM(_xlfn._xlws.FILTER(_xlfn._xlws.FILTER(dataSummaryBS,(dataSummaryBSSummarys=$D59)*(dataSummaryBSSections=$E59)),(endDates=G$55)))</f>
        <v>127198.48</v>
      </c>
      <c r="I59" s="776" cm="1">
        <f t="array" ref="I59">SUM(_xlfn._xlws.FILTER(_xlfn._xlws.FILTER(dataSummaryBS,(dataSummaryBSSummarys=$D59)*(dataSummaryBSSections=$E59)),(endDates=I$55)))</f>
        <v>110041.05</v>
      </c>
      <c r="J59" s="761">
        <f t="shared" ref="J59:J62" si="11">G59-I59</f>
        <v>17157.429999999993</v>
      </c>
      <c r="K59" s="760">
        <f t="shared" ref="K59:K62" si="12">IFERROR(J59/ABS(I59),0)</f>
        <v>0.15591845043281569</v>
      </c>
      <c r="M59" s="776" cm="1">
        <f t="array" ref="M59">SUM(_xlfn._xlws.FILTER(_xlfn._xlws.FILTER(dataSummaryBS,(dataSummaryBSSummarys=$D59)*(dataSummaryBSSections=$E59)),(endDates=M$55)))</f>
        <v>51049</v>
      </c>
      <c r="N59" s="761">
        <f t="shared" ref="N59:N62" si="13">G59-M59</f>
        <v>76149.48</v>
      </c>
      <c r="O59" s="760">
        <f t="shared" ref="O59:O62" si="14">IFERROR(N59/ABS(M59),0)</f>
        <v>1.4916938627593097</v>
      </c>
    </row>
    <row r="60" spans="1:16" outlineLevel="1">
      <c r="C60" s="331" t="s">
        <v>137</v>
      </c>
      <c r="D60" s="149" t="str">
        <f t="shared" si="10"/>
        <v>Cash</v>
      </c>
      <c r="E60" s="150" t="s">
        <v>135</v>
      </c>
      <c r="F60" s="536"/>
      <c r="G60" s="761" cm="1">
        <f t="array" ref="G60">SUM(_xlfn._xlws.FILTER(_xlfn._xlws.FILTER(dataSummaryBS,(dataSummaryBSSummarys=$D60)*(dataSummaryBSSections=$E60)),(endDates=G$55)))</f>
        <v>370456.63</v>
      </c>
      <c r="I60" s="776" cm="1">
        <f t="array" ref="I60">SUM(_xlfn._xlws.FILTER(_xlfn._xlws.FILTER(dataSummaryBS,(dataSummaryBSSummarys=$D60)*(dataSummaryBSSections=$E60)),(endDates=I$55)))</f>
        <v>637693.89</v>
      </c>
      <c r="J60" s="761">
        <f t="shared" si="11"/>
        <v>-267237.26</v>
      </c>
      <c r="K60" s="760">
        <f t="shared" si="12"/>
        <v>-0.4190682460514088</v>
      </c>
      <c r="M60" s="776" cm="1">
        <f t="array" ref="M60">SUM(_xlfn._xlws.FILTER(_xlfn._xlws.FILTER(dataSummaryBS,(dataSummaryBSSummarys=$D60)*(dataSummaryBSSections=$E60)),(endDates=M$55)))</f>
        <v>2909186.5</v>
      </c>
      <c r="N60" s="761">
        <f t="shared" si="13"/>
        <v>-2538729.87</v>
      </c>
      <c r="O60" s="760">
        <f t="shared" si="14"/>
        <v>-0.87265971775958673</v>
      </c>
    </row>
    <row r="61" spans="1:16" outlineLevel="1">
      <c r="C61" s="331" t="s">
        <v>138</v>
      </c>
      <c r="D61" s="149" t="str">
        <f t="shared" si="10"/>
        <v>Current Assets</v>
      </c>
      <c r="E61" s="150" t="s">
        <v>135</v>
      </c>
      <c r="F61" s="536"/>
      <c r="G61" s="761" cm="1">
        <f t="array" ref="G61">SUM(_xlfn._xlws.FILTER(_xlfn._xlws.FILTER(dataSummaryBS,(dataSummaryBSSummarys=$D61)*(dataSummaryBSSections=$E61)),(endDates=G$55)))</f>
        <v>19969.5</v>
      </c>
      <c r="I61" s="776" cm="1">
        <f t="array" ref="I61">SUM(_xlfn._xlws.FILTER(_xlfn._xlws.FILTER(dataSummaryBS,(dataSummaryBSSummarys=$D61)*(dataSummaryBSSections=$E61)),(endDates=I$55)))</f>
        <v>25019.5</v>
      </c>
      <c r="J61" s="761">
        <f t="shared" si="11"/>
        <v>-5050</v>
      </c>
      <c r="K61" s="760">
        <f t="shared" si="12"/>
        <v>-0.2018425628010152</v>
      </c>
      <c r="M61" s="776" cm="1">
        <f t="array" ref="M61">SUM(_xlfn._xlws.FILTER(_xlfn._xlws.FILTER(dataSummaryBS,(dataSummaryBSSummarys=$D61)*(dataSummaryBSSections=$E61)),(endDates=M$55)))</f>
        <v>26119.5</v>
      </c>
      <c r="N61" s="761">
        <f t="shared" si="13"/>
        <v>-6150</v>
      </c>
      <c r="O61" s="760">
        <f t="shared" si="14"/>
        <v>-0.23545626830528915</v>
      </c>
    </row>
    <row r="62" spans="1:16" outlineLevel="1">
      <c r="C62" s="331" t="s">
        <v>139</v>
      </c>
      <c r="D62" s="149" t="str">
        <f t="shared" si="10"/>
        <v>Fixed Assets</v>
      </c>
      <c r="E62" s="150" t="s">
        <v>135</v>
      </c>
      <c r="F62" s="536"/>
      <c r="G62" s="761" cm="1">
        <f t="array" ref="G62">SUM(_xlfn._xlws.FILTER(_xlfn._xlws.FILTER(dataSummaryBS,(dataSummaryBSSummarys=$D62)*(dataSummaryBSSections=$E62)),(endDates=G$55)))</f>
        <v>33300.240000000005</v>
      </c>
      <c r="I62" s="776" cm="1">
        <f t="array" ref="I62">SUM(_xlfn._xlws.FILTER(_xlfn._xlws.FILTER(dataSummaryBS,(dataSummaryBSSummarys=$D62)*(dataSummaryBSSections=$E62)),(endDates=I$55)))</f>
        <v>36350.899999999994</v>
      </c>
      <c r="J62" s="761">
        <f t="shared" si="11"/>
        <v>-3050.6599999999889</v>
      </c>
      <c r="K62" s="760">
        <f t="shared" si="12"/>
        <v>-8.3922543870990518E-2</v>
      </c>
      <c r="M62" s="776" cm="1">
        <f t="array" ref="M62">SUM(_xlfn._xlws.FILTER(_xlfn._xlws.FILTER(dataSummaryBS,(dataSummaryBSSummarys=$D62)*(dataSummaryBSSections=$E62)),(endDates=M$55)))</f>
        <v>69908</v>
      </c>
      <c r="N62" s="761">
        <f t="shared" si="13"/>
        <v>-36607.759999999995</v>
      </c>
      <c r="O62" s="760">
        <f t="shared" si="14"/>
        <v>-0.52365623390742111</v>
      </c>
    </row>
    <row r="63" spans="1:16" outlineLevel="1">
      <c r="C63" s="331" t="s">
        <v>140</v>
      </c>
      <c r="D63" s="149" t="str">
        <f>C63</f>
        <v>Intangible Assets</v>
      </c>
      <c r="E63" s="150" t="s">
        <v>135</v>
      </c>
      <c r="F63" s="536"/>
      <c r="G63" s="761" cm="1">
        <f t="array" ref="G63">SUM(_xlfn._xlws.FILTER(_xlfn._xlws.FILTER(dataSummaryBS,(dataSummaryBSSummarys=$D63)*(dataSummaryBSSections=$E63)),(endDates=G$55)))</f>
        <v>0</v>
      </c>
      <c r="I63" s="776" cm="1">
        <f t="array" ref="I63">SUM(_xlfn._xlws.FILTER(_xlfn._xlws.FILTER(dataSummaryBS,(dataSummaryBSSummarys=$D63)*(dataSummaryBSSections=$E63)),(endDates=I$55)))</f>
        <v>0</v>
      </c>
      <c r="J63" s="761">
        <f>G63-I63</f>
        <v>0</v>
      </c>
      <c r="K63" s="760">
        <f>IFERROR(J63/ABS(I63),0)</f>
        <v>0</v>
      </c>
      <c r="M63" s="776" cm="1">
        <f t="array" ref="M63">SUM(_xlfn._xlws.FILTER(_xlfn._xlws.FILTER(dataSummaryBS,(dataSummaryBSSummarys=$D63)*(dataSummaryBSSections=$E63)),(endDates=M$55)))</f>
        <v>0</v>
      </c>
      <c r="N63" s="761">
        <f>G63-M63</f>
        <v>0</v>
      </c>
      <c r="O63" s="760">
        <f>IFERROR(N63/ABS(M63),0)</f>
        <v>0</v>
      </c>
    </row>
    <row r="64" spans="1:16">
      <c r="D64" s="764"/>
      <c r="E64" s="764"/>
    </row>
    <row r="65" spans="1:16" s="157" customFormat="1">
      <c r="C65" s="740" t="s">
        <v>141</v>
      </c>
      <c r="D65" s="764"/>
      <c r="E65" s="764"/>
      <c r="F65" s="739"/>
      <c r="G65" s="763">
        <f>SUM(G66:G70)</f>
        <v>1606177.5</v>
      </c>
      <c r="I65" s="763">
        <f>SUM(I66:I70)</f>
        <v>1605177.5</v>
      </c>
      <c r="J65" s="763">
        <f>G65-I65</f>
        <v>1000</v>
      </c>
      <c r="K65" s="762">
        <f>IFERROR(J65/ABS(I65),0)</f>
        <v>6.2298406251022078E-4</v>
      </c>
      <c r="M65" s="763">
        <f>SUM(M66:M70)</f>
        <v>1603677.5</v>
      </c>
      <c r="N65" s="763">
        <f>G65-M65</f>
        <v>2500</v>
      </c>
      <c r="O65" s="762">
        <f>IFERROR(N65/ABS(M65),0)</f>
        <v>1.5589169268758838E-3</v>
      </c>
    </row>
    <row r="66" spans="1:16" outlineLevel="1">
      <c r="C66" s="331" t="s">
        <v>142</v>
      </c>
      <c r="D66" s="149" t="str">
        <f>C66</f>
        <v>Accounts Payable</v>
      </c>
      <c r="E66" s="150" t="s">
        <v>141</v>
      </c>
      <c r="F66" s="536"/>
      <c r="G66" s="676" cm="1">
        <f t="array" ref="G66">SUM(_xlfn._xlws.FILTER(_xlfn._xlws.FILTER(dataSummaryBS,(dataSummaryBSSummarys=$D66)*(dataSummaryBSSections=$E66)),(endDates=G$55)))</f>
        <v>57849.5</v>
      </c>
      <c r="I66" s="676" cm="1">
        <f t="array" ref="I66">SUM(_xlfn._xlws.FILTER(_xlfn._xlws.FILTER(dataSummaryBS,(dataSummaryBSSummarys=$D66)*(dataSummaryBSSections=$E66)),(endDates=I$55)))</f>
        <v>56849.5</v>
      </c>
      <c r="J66" s="676">
        <f>G66-I66</f>
        <v>1000</v>
      </c>
      <c r="K66" s="766">
        <f>IFERROR(J66/ABS(I66),0)</f>
        <v>1.759030422431156E-2</v>
      </c>
      <c r="M66" s="676" cm="1">
        <f t="array" ref="M66">SUM(_xlfn._xlws.FILTER(_xlfn._xlws.FILTER(dataSummaryBS,(dataSummaryBSSummarys=$D66)*(dataSummaryBSSections=$E66)),(endDates=M$55)))</f>
        <v>55349.5</v>
      </c>
      <c r="N66" s="676">
        <f>G66-M66</f>
        <v>2500</v>
      </c>
      <c r="O66" s="766">
        <f>IFERROR(N66/ABS(M66),0)</f>
        <v>4.5167526355251626E-2</v>
      </c>
    </row>
    <row r="67" spans="1:16" outlineLevel="1">
      <c r="C67" s="331" t="s">
        <v>143</v>
      </c>
      <c r="D67" s="149" t="str">
        <f>C67</f>
        <v>Current Liabilities</v>
      </c>
      <c r="E67" s="150" t="s">
        <v>141</v>
      </c>
      <c r="F67" s="536"/>
      <c r="G67" s="676" cm="1">
        <f t="array" ref="G67">SUM(_xlfn._xlws.FILTER(_xlfn._xlws.FILTER(dataSummaryBS,(dataSummaryBSSummarys=$D67)*(dataSummaryBSSections=$E67)),(endDates=G$55)))</f>
        <v>-4942</v>
      </c>
      <c r="I67" s="676" cm="1">
        <f t="array" ref="I67">SUM(_xlfn._xlws.FILTER(_xlfn._xlws.FILTER(dataSummaryBS,(dataSummaryBSSummarys=$D67)*(dataSummaryBSSections=$E67)),(endDates=I$55)))</f>
        <v>-4942</v>
      </c>
      <c r="J67" s="676">
        <f>G67-I67</f>
        <v>0</v>
      </c>
      <c r="K67" s="766">
        <f>IFERROR(J67/ABS(I67),0)</f>
        <v>0</v>
      </c>
      <c r="M67" s="676" cm="1">
        <f t="array" ref="M67">SUM(_xlfn._xlws.FILTER(_xlfn._xlws.FILTER(dataSummaryBS,(dataSummaryBSSummarys=$D67)*(dataSummaryBSSections=$E67)),(endDates=M$55)))</f>
        <v>-4942</v>
      </c>
      <c r="N67" s="676">
        <f>G67-M67</f>
        <v>0</v>
      </c>
      <c r="O67" s="766">
        <f>IFERROR(N67/ABS(M67),0)</f>
        <v>0</v>
      </c>
    </row>
    <row r="68" spans="1:16" outlineLevel="1">
      <c r="C68" s="331" t="s">
        <v>144</v>
      </c>
      <c r="D68" s="149" t="str">
        <f>C68</f>
        <v>Debt</v>
      </c>
      <c r="E68" s="150" t="s">
        <v>141</v>
      </c>
      <c r="F68" s="536"/>
      <c r="G68" s="676" cm="1">
        <f t="array" ref="G68">SUM(_xlfn._xlws.FILTER(_xlfn._xlws.FILTER(dataSummaryBS,(dataSummaryBSSummarys=$D68)*(dataSummaryBSSections=$E68)),(endDates=G$55)))</f>
        <v>1530000</v>
      </c>
      <c r="I68" s="676" cm="1">
        <f t="array" ref="I68">SUM(_xlfn._xlws.FILTER(_xlfn._xlws.FILTER(dataSummaryBS,(dataSummaryBSSummarys=$D68)*(dataSummaryBSSections=$E68)),(endDates=I$55)))</f>
        <v>1530000</v>
      </c>
      <c r="J68" s="676">
        <f>G68-I68</f>
        <v>0</v>
      </c>
      <c r="K68" s="766">
        <f>IFERROR(J68/ABS(I68),0)</f>
        <v>0</v>
      </c>
      <c r="M68" s="676" cm="1">
        <f t="array" ref="M68">SUM(_xlfn._xlws.FILTER(_xlfn._xlws.FILTER(dataSummaryBS,(dataSummaryBSSummarys=$D68)*(dataSummaryBSSections=$E68)),(endDates=M$55)))</f>
        <v>1530000</v>
      </c>
      <c r="N68" s="676">
        <f>G68-M68</f>
        <v>0</v>
      </c>
      <c r="O68" s="766">
        <f>IFERROR(N68/ABS(M68),0)</f>
        <v>0</v>
      </c>
    </row>
    <row r="69" spans="1:16" outlineLevel="1">
      <c r="C69" s="331" t="s">
        <v>145</v>
      </c>
      <c r="D69" s="149" t="str">
        <f>C69</f>
        <v>Deferred Revenue</v>
      </c>
      <c r="E69" s="150" t="s">
        <v>141</v>
      </c>
      <c r="F69" s="536"/>
      <c r="G69" s="761" cm="1">
        <f t="array" ref="G69">SUM(_xlfn._xlws.FILTER(_xlfn._xlws.FILTER(dataSummaryBS,(dataSummaryBSSummarys=$D69)*(dataSummaryBSSections=$E69)),(endDates=G$55)))</f>
        <v>23270</v>
      </c>
      <c r="I69" s="776" cm="1">
        <f t="array" ref="I69">SUM(_xlfn._xlws.FILTER(_xlfn._xlws.FILTER(dataSummaryBS,(dataSummaryBSSummarys=$D69)*(dataSummaryBSSections=$E69)),(endDates=I$55)))</f>
        <v>23270</v>
      </c>
      <c r="J69" s="761">
        <f>G69-I69</f>
        <v>0</v>
      </c>
      <c r="K69" s="760">
        <f>IFERROR(J69/ABS(I69),0)</f>
        <v>0</v>
      </c>
      <c r="M69" s="776" cm="1">
        <f t="array" ref="M69">SUM(_xlfn._xlws.FILTER(_xlfn._xlws.FILTER(dataSummaryBS,(dataSummaryBSSummarys=$D69)*(dataSummaryBSSections=$E69)),(endDates=M$55)))</f>
        <v>23270</v>
      </c>
      <c r="N69" s="761">
        <f>G69-M69</f>
        <v>0</v>
      </c>
      <c r="O69" s="760">
        <f>IFERROR(N69/ABS(M69),0)</f>
        <v>0</v>
      </c>
    </row>
    <row r="70" spans="1:16">
      <c r="D70" s="764"/>
      <c r="E70" s="764"/>
    </row>
    <row r="71" spans="1:16" s="157" customFormat="1">
      <c r="C71" s="740" t="s">
        <v>146</v>
      </c>
      <c r="D71" s="764"/>
      <c r="E71" s="764"/>
      <c r="F71" s="739"/>
      <c r="G71" s="763">
        <f>SUM(G72:G75)</f>
        <v>-1055252.6500000004</v>
      </c>
      <c r="I71" s="763">
        <f>SUM(I72:I75)</f>
        <v>-796072.16000000015</v>
      </c>
      <c r="J71" s="763">
        <f>G71-I71</f>
        <v>-259180.49000000022</v>
      </c>
      <c r="K71" s="762">
        <f>IFERROR(J71/ABS(I71),0)</f>
        <v>-0.32557411629619126</v>
      </c>
      <c r="M71" s="763">
        <f>SUM(M72:M75)</f>
        <v>1452585.5</v>
      </c>
      <c r="N71" s="763">
        <f>G71-M71</f>
        <v>-2507838.1500000004</v>
      </c>
      <c r="O71" s="762">
        <f>IFERROR(N71/ABS(M71),0)</f>
        <v>-1.7264650858761845</v>
      </c>
    </row>
    <row r="72" spans="1:16" outlineLevel="1">
      <c r="C72" s="163"/>
      <c r="D72" s="149"/>
      <c r="E72" s="150"/>
      <c r="F72" s="536"/>
      <c r="G72" s="676"/>
      <c r="I72" s="676"/>
      <c r="J72" s="676"/>
      <c r="K72" s="766"/>
      <c r="M72" s="676"/>
      <c r="N72" s="676"/>
      <c r="O72" s="766"/>
    </row>
    <row r="73" spans="1:16" outlineLevel="1">
      <c r="C73" s="331" t="s">
        <v>147</v>
      </c>
      <c r="D73" s="149" t="str">
        <f>C73</f>
        <v>Contributed Capital</v>
      </c>
      <c r="E73" s="150" t="s">
        <v>146</v>
      </c>
      <c r="F73" s="536"/>
      <c r="G73" s="676" cm="1">
        <f t="array" ref="G73">SUM(_xlfn._xlws.FILTER(_xlfn._xlws.FILTER(dataSummaryBS,(dataSummaryBSSummarys=$D73)*(dataSummaryBSSections=$E73)),(endDates=G$55)))</f>
        <v>3500000</v>
      </c>
      <c r="I73" s="676" cm="1">
        <f t="array" ref="I73">SUM(_xlfn._xlws.FILTER(_xlfn._xlws.FILTER(dataSummaryBS,(dataSummaryBSSummarys=$D73)*(dataSummaryBSSections=$E73)),(endDates=I$55)))</f>
        <v>3500000</v>
      </c>
      <c r="J73" s="676">
        <f>G73-I73</f>
        <v>0</v>
      </c>
      <c r="K73" s="766">
        <f>IFERROR(J73/ABS(I73),0)</f>
        <v>0</v>
      </c>
      <c r="M73" s="676" cm="1">
        <f t="array" ref="M73">SUM(_xlfn._xlws.FILTER(_xlfn._xlws.FILTER(dataSummaryBS,(dataSummaryBSSummarys=$D73)*(dataSummaryBSSections=$E73)),(endDates=M$55)))</f>
        <v>3500000</v>
      </c>
      <c r="N73" s="676">
        <f>G73-M73</f>
        <v>0</v>
      </c>
      <c r="O73" s="766">
        <f>IFERROR(N73/ABS(M73),0)</f>
        <v>0</v>
      </c>
    </row>
    <row r="74" spans="1:16" outlineLevel="1">
      <c r="C74" s="331" t="s">
        <v>148</v>
      </c>
      <c r="D74" s="149" t="str">
        <f>C74</f>
        <v>Retained Earnings</v>
      </c>
      <c r="E74" s="150" t="s">
        <v>146</v>
      </c>
      <c r="F74" s="536"/>
      <c r="G74" s="761" cm="1">
        <f t="array" ref="G74">SUM(_xlfn._xlws.FILTER(_xlfn._xlws.FILTER(dataSummaryBS,(dataSummaryBSSummarys=$D74)*(dataSummaryBSSections=$E74)),(endDates=G$55)))</f>
        <v>-4555252.6500000004</v>
      </c>
      <c r="I74" s="776" cm="1">
        <f t="array" ref="I74">SUM(_xlfn._xlws.FILTER(_xlfn._xlws.FILTER(dataSummaryBS,(dataSummaryBSSummarys=$D74)*(dataSummaryBSSections=$E74)),(endDates=I$55)))</f>
        <v>-4296072.16</v>
      </c>
      <c r="J74" s="761">
        <f>G74-I74</f>
        <v>-259180.49000000022</v>
      </c>
      <c r="K74" s="760">
        <f>IFERROR(J74/ABS(I74),0)</f>
        <v>-6.0329640738623028E-2</v>
      </c>
      <c r="M74" s="776" cm="1">
        <f t="array" ref="M74">SUM(_xlfn._xlws.FILTER(_xlfn._xlws.FILTER(dataSummaryBS,(dataSummaryBSSummarys=$D74)*(dataSummaryBSSections=$E74)),(endDates=M$55)))</f>
        <v>-2047414.5</v>
      </c>
      <c r="N74" s="761">
        <f>G74-M74</f>
        <v>-2507838.1500000004</v>
      </c>
      <c r="O74" s="760">
        <f>IFERROR(N74/ABS(M74),0)</f>
        <v>-1.2248805261465132</v>
      </c>
    </row>
    <row r="75" spans="1:16"/>
    <row r="76" spans="1:16" ht="56.45" customHeight="1">
      <c r="A76" s="180"/>
      <c r="B76" s="183"/>
      <c r="C76" s="182" t="s">
        <v>57</v>
      </c>
      <c r="D76" s="182"/>
      <c r="E76" s="182"/>
      <c r="F76" s="759"/>
      <c r="G76" s="180"/>
      <c r="H76" s="180"/>
      <c r="I76" s="180"/>
      <c r="J76" s="180"/>
      <c r="K76" s="180"/>
      <c r="L76" s="180"/>
      <c r="M76" s="180"/>
      <c r="N76" s="180"/>
      <c r="O76" s="180"/>
      <c r="P76" s="180"/>
    </row>
    <row r="77" spans="1:16" ht="9.6" customHeight="1">
      <c r="B77" s="157"/>
      <c r="C77" s="758"/>
      <c r="D77" s="758"/>
      <c r="E77" s="758"/>
      <c r="F77" s="757"/>
    </row>
    <row r="78" spans="1:16">
      <c r="C78" s="148"/>
      <c r="D78" s="148"/>
      <c r="E78" s="148"/>
      <c r="F78" s="407"/>
      <c r="G78" s="172" t="s">
        <v>79</v>
      </c>
      <c r="I78" s="756" t="s">
        <v>117</v>
      </c>
      <c r="J78" s="756"/>
      <c r="K78" s="756"/>
      <c r="L78" s="157"/>
      <c r="M78" s="756" t="s">
        <v>118</v>
      </c>
      <c r="N78" s="756"/>
      <c r="O78" s="756"/>
    </row>
    <row r="79" spans="1:16" collapsed="1">
      <c r="C79" s="755"/>
      <c r="D79" s="755"/>
      <c r="E79" s="755"/>
      <c r="F79" s="751"/>
      <c r="G79" s="754" t="str">
        <f>IF(G$14&lt;=LatestMonthOfActuals,"Actual","Projected")</f>
        <v>Actual</v>
      </c>
      <c r="H79" s="186"/>
      <c r="I79" s="753" t="str">
        <f>IF(I$14&lt;=LatestMonthOfActuals,"Actual","Projected")</f>
        <v>Actual</v>
      </c>
      <c r="J79" s="753"/>
      <c r="K79" s="753"/>
      <c r="L79" s="186"/>
      <c r="M79" s="753" t="str">
        <f>IF(M$14&lt;=LatestMonthOfActuals,"Actual","Projected")</f>
        <v>Actual</v>
      </c>
      <c r="N79" s="753"/>
      <c r="O79" s="753"/>
    </row>
    <row r="80" spans="1:16" ht="14.45" hidden="1" customHeight="1" outlineLevel="2">
      <c r="C80" s="752" t="s">
        <v>72</v>
      </c>
      <c r="D80" s="752"/>
      <c r="E80" s="752"/>
      <c r="F80" s="751"/>
      <c r="G80" s="403">
        <f>IF(Report_Period="Custom",$H$4,INDEX(PeriodTable[Start date],MATCH(Report_Period,PeriodTable[Period],0)))</f>
        <v>45962</v>
      </c>
      <c r="I80" s="403">
        <f>IF(Report_Period="Custom",EOMONTH(I81,-(MONTH(G81)-MONTH(G80)+1+(YEAR(G81)-YEAR(G80))*12))+1,INDEX(PeriodTable[Prior Period Start],MATCH(Report_Period,PeriodTable[Period],0)))</f>
        <v>45931</v>
      </c>
      <c r="J80" s="403">
        <f>I80</f>
        <v>45931</v>
      </c>
      <c r="K80" s="403">
        <f>J80</f>
        <v>45931</v>
      </c>
      <c r="M80" s="403">
        <f>IF(Report_Period="Custom",EDATE(G80,-12),INDEX(PeriodTable[Prior Year Start],MATCH(Report_Period,PeriodTable[Period],0)))</f>
        <v>45597</v>
      </c>
      <c r="N80" s="403">
        <f>M80</f>
        <v>45597</v>
      </c>
      <c r="O80" s="403">
        <f>N80</f>
        <v>45597</v>
      </c>
    </row>
    <row r="81" spans="1:15" ht="14.45" hidden="1" customHeight="1" outlineLevel="2">
      <c r="C81" s="752" t="s">
        <v>78</v>
      </c>
      <c r="D81" s="752"/>
      <c r="E81" s="752"/>
      <c r="F81" s="751"/>
      <c r="G81" s="403">
        <f>IF(Report_Period="Custom",$H$5,INDEX(PeriodTable[End date],MATCH(Report_Period,PeriodTable[Period],0)))</f>
        <v>45991</v>
      </c>
      <c r="I81" s="403">
        <f>IF(Report_Period="Custom",$H$4-1,INDEX(PeriodTable[Prior Period End],MATCH(Report_Period,PeriodTable[Period],0)))</f>
        <v>45961</v>
      </c>
      <c r="J81" s="403">
        <f>I81</f>
        <v>45961</v>
      </c>
      <c r="K81" s="403">
        <f>J81</f>
        <v>45961</v>
      </c>
      <c r="M81" s="403">
        <f>IF(Report_Period="Custom",EOMONTH(G81,-12),INDEX(PeriodTable[Prior Year End],MATCH(Report_Period,PeriodTable[Period],0)))</f>
        <v>45626</v>
      </c>
      <c r="N81" s="403">
        <f>M81</f>
        <v>45626</v>
      </c>
      <c r="O81" s="403">
        <f>N81</f>
        <v>45626</v>
      </c>
    </row>
    <row r="82" spans="1:15" s="747" customFormat="1" collapsed="1">
      <c r="C82" s="750"/>
      <c r="D82" s="750"/>
      <c r="E82" s="750"/>
      <c r="F82" s="749"/>
      <c r="G82" s="748" t="str">
        <f>IF(Report_Period="Custom",TEXT(G80,"MMM-YY")&amp;" - "&amp;TEXT(G81,"MMM-YY"),INDEX(PeriodTable[Display text],MATCH(Report_Period,PeriodTable[Period],0)))</f>
        <v>November 2025</v>
      </c>
      <c r="I82" s="748" t="str">
        <f>IF(Report_Period="Custom",TEXT(I80,"MMM-YY")&amp;" - "&amp;TEXT(I81,"MMM-YY"),INDEX(PeriodTable[Prior Period Display text],MATCH(Report_Period,PeriodTable[Period],0)))</f>
        <v>October 2025</v>
      </c>
      <c r="J82" s="748" t="s">
        <v>120</v>
      </c>
      <c r="K82" s="748" t="s">
        <v>121</v>
      </c>
      <c r="M82" s="748" t="str">
        <f>IF(Report_Period="Custom",TEXT(M80,"MMM-YY")&amp;" - "&amp;TEXT(M81,"MMM-YY"),INDEX(PeriodTable[Prior Year Display Text],MATCH(Report_Period,PeriodTable[Period],0)))</f>
        <v>November 2024</v>
      </c>
      <c r="N82" s="748" t="s">
        <v>120</v>
      </c>
      <c r="O82" s="748" t="s">
        <v>121</v>
      </c>
    </row>
    <row r="83" spans="1:15">
      <c r="A83" s="475"/>
      <c r="B83" s="475"/>
      <c r="C83" s="746"/>
      <c r="D83" s="746"/>
      <c r="E83" s="746"/>
      <c r="G83" s="745"/>
      <c r="I83" s="745"/>
      <c r="J83" s="745"/>
      <c r="K83" s="745"/>
      <c r="M83" s="745"/>
      <c r="N83" s="745"/>
      <c r="O83" s="745"/>
    </row>
    <row r="84" spans="1:15" s="157" customFormat="1">
      <c r="C84" s="740" t="s">
        <v>149</v>
      </c>
      <c r="D84" s="740"/>
      <c r="E84" s="740"/>
      <c r="F84" s="739"/>
      <c r="G84" s="744" cm="1">
        <f t="array" ref="G84">SUM(_xlfn._xlws.FILTER(_xlfn._xlws.FILTER(dataGLBSCF,dataGLBSAcctIDs="Sum(Bank Accounts)"),(startDatesCF=EDATE(G$80,-1))))</f>
        <v>637693.89</v>
      </c>
      <c r="I84" s="738" cm="1">
        <f t="array" ref="I84">SUM(_xlfn._xlws.FILTER(_xlfn._xlws.FILTER(dataGLBSCF,dataGLBSAcctIDs="Sum(Bank Accounts)"),(startDatesCF=EDATE(I$80,-1))))</f>
        <v>893122.77</v>
      </c>
      <c r="J84" s="744">
        <f>G84-I84</f>
        <v>-255428.88</v>
      </c>
      <c r="K84" s="737">
        <f>IFERROR(J84/ABS(I84),0)</f>
        <v>-0.28599526132336767</v>
      </c>
      <c r="M84" s="738" cm="1">
        <f t="array" ref="M84">SUM(_xlfn._xlws.FILTER(_xlfn._xlws.FILTER(dataGLBSCF,dataGLBSAcctIDs="Sum(Bank Accounts)"),(startDatesCF=EDATE(M$80,-1))))</f>
        <v>3066455.5</v>
      </c>
      <c r="N84" s="744">
        <f>G84-M84</f>
        <v>-2428761.61</v>
      </c>
      <c r="O84" s="737">
        <f>IFERROR(N84/ABS(M84),0)</f>
        <v>-0.79204202050217254</v>
      </c>
    </row>
    <row r="85" spans="1:15"/>
    <row r="86" spans="1:15" s="157" customFormat="1">
      <c r="A86" s="148"/>
      <c r="B86" s="148"/>
      <c r="C86" s="740" t="s">
        <v>57</v>
      </c>
      <c r="D86" s="740"/>
      <c r="E86" s="740"/>
      <c r="F86" s="739"/>
      <c r="G86" s="738">
        <f>SUM(G87:G89)</f>
        <v>-267237.26000000024</v>
      </c>
      <c r="I86" s="738">
        <f>SUM(I87:I89)</f>
        <v>-255428.88000000035</v>
      </c>
      <c r="J86" s="738">
        <f>G86-I86</f>
        <v>-11808.379999999888</v>
      </c>
      <c r="K86" s="737">
        <f>IFERROR(J86/ABS(I86),0)</f>
        <v>-4.6229619767349218E-2</v>
      </c>
      <c r="M86" s="738">
        <f>SUM(M87:M89)</f>
        <v>-157269</v>
      </c>
      <c r="N86" s="738">
        <f>G86-M86</f>
        <v>-109968.26000000024</v>
      </c>
      <c r="O86" s="737">
        <f>IFERROR(N86/ABS(M86),0)</f>
        <v>-0.6992367217951424</v>
      </c>
    </row>
    <row r="87" spans="1:15" outlineLevel="1">
      <c r="A87" s="157"/>
      <c r="B87" s="157"/>
      <c r="C87" s="163" t="s">
        <v>150</v>
      </c>
      <c r="D87" s="163"/>
      <c r="E87" s="150"/>
      <c r="F87" s="743"/>
      <c r="G87" s="742" cm="1">
        <f t="array" ref="G87">IFERROR(SUM(_xlfn._xlws.FILTER(_xlfn._xlws.FILTER(dataGLPL,ISNUMBER(MATCH(dataGLPLSections,{"Revenue","Other Income"},0))),(startDates&gt;=G$80)*(endDates&lt;=G$81))),0)-IFERROR(SUM(_xlfn._xlws.FILTER(_xlfn._xlws.FILTER(dataGLPL,ISNUMBER(MATCH(dataGLPLSections,{"COGS","Opex","Other Expenses"},0))),(startDates&gt;=G$80)*(endDates&lt;=G$81))),0) +IFERROR(SUM(_xlfn._xlws.FILTER(_xlfn._xlws.FILTER(dataGLBSCF,ISNUMBER(_xlfn.XMATCH(dataGLBSAcctIDs,_xlfn._xlws.FILTER(PBC_ACCOUNT_LIST[Id], ((PBC_ACCOUNT_LIST[Cash Flow Section]="Cash from Operating Activities")*(PBC_ACCOUNT_LIST[Drivers Section]="Assets"))),0))),startDatesCF=EDATE(G$80,-1))),0)-IFERROR(SUM(_xlfn._xlws.FILTER(_xlfn._xlws.FILTER(dataGLBSCF,ISNUMBER(_xlfn.XMATCH(dataGLBSAcctIDs,_xlfn._xlws.FILTER(PBC_ACCOUNT_LIST[Id], ((PBC_ACCOUNT_LIST[Cash Flow Section]="Cash from Operating Activities")*(PBC_ACCOUNT_LIST[Drivers Section]="Assets"))),0))),endDatesCF=G$81)),0)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Equity")))),0))),endDatesCF=G$81)),0)-IFERROR(SUM(_xlfn._xlws.FILTER(_xlfn._xlws.FILTER(dataGLBSCF,ISNUMBER(_xlfn.XMATCH(dataGLBSAcctIDs,_xlfn._xlws.FILTER(PBC_ACCOUNT_LIST[Id],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Equity")))),0))),startDatesCF=EDATE(G$80,-1))),0)</f>
        <v>-267237.25999999995</v>
      </c>
      <c r="I87" s="676" cm="1">
        <f t="array" ref="I87">IFERROR(SUM(_xlfn._xlws.FILTER(_xlfn._xlws.FILTER(dataGLPL,ISNUMBER(MATCH(dataGLPLSections,{"Revenue","Other Income"},0))),(startDates&gt;=I$80)*(endDates&lt;=I$81))),0)-IFERROR(SUM(_xlfn._xlws.FILTER(_xlfn._xlws.FILTER(dataGLPL,ISNUMBER(MATCH(dataGLPLSections,{"COGS","Opex","Other Expenses"},0))),(startDates&gt;=I$80)*(endDates&lt;=I$81))),0) +IFERROR(SUM(_xlfn._xlws.FILTER(_xlfn._xlws.FILTER(dataGLBSCF,ISNUMBER(_xlfn.XMATCH(dataGLBSAcctIDs,_xlfn._xlws.FILTER(PBC_ACCOUNT_LIST[Id], ((PBC_ACCOUNT_LIST[Cash Flow Section]="Cash from Operating Activities")*(PBC_ACCOUNT_LIST[Drivers Section]="Assets"))),0))),startDatesCF=EDATE(I$80,-1))),0)-IFERROR(SUM(_xlfn._xlws.FILTER(_xlfn._xlws.FILTER(dataGLBSCF,ISNUMBER(_xlfn.XMATCH(dataGLBSAcctIDs,_xlfn._xlws.FILTER(PBC_ACCOUNT_LIST[Id], ((PBC_ACCOUNT_LIST[Cash Flow Section]="Cash from Operating Activities")*(PBC_ACCOUNT_LIST[Drivers Section]="Assets"))),0))),endDatesCF=I$81)),0)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Equity")))),0))),endDatesCF=I$81)),0)-IFERROR(SUM(_xlfn._xlws.FILTER(_xlfn._xlws.FILTER(dataGLBSCF,ISNUMBER(_xlfn.XMATCH(dataGLBSAcctIDs,_xlfn._xlws.FILTER(PBC_ACCOUNT_LIST[Id],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Equity")))),0))),startDatesCF=EDATE(I$80,-1))),0)</f>
        <v>-255428.88</v>
      </c>
      <c r="J87" s="742">
        <f>G87-I87</f>
        <v>-11808.379999999946</v>
      </c>
      <c r="K87" s="741">
        <f>IFERROR(J87/ABS(I87),0)</f>
        <v>-4.622961976734951E-2</v>
      </c>
      <c r="M87" s="676" cm="1">
        <f t="array" ref="M87">IFERROR(SUM(_xlfn._xlws.FILTER(_xlfn._xlws.FILTER(dataGLPL,ISNUMBER(MATCH(dataGLPLSections,{"Revenue","Other Income"},0))),(startDates&gt;=M$80)*(endDates&lt;=M$81))),0)-IFERROR(SUM(_xlfn._xlws.FILTER(_xlfn._xlws.FILTER(dataGLPL,ISNUMBER(MATCH(dataGLPLSections,{"COGS","Opex","Other Expenses"},0))),(startDates&gt;=M$80)*(endDates&lt;=M$81))),0) +IFERROR(SUM(_xlfn._xlws.FILTER(_xlfn._xlws.FILTER(dataGLBSCF,ISNUMBER(_xlfn.XMATCH(dataGLBSAcctIDs,_xlfn._xlws.FILTER(PBC_ACCOUNT_LIST[Id], ((PBC_ACCOUNT_LIST[Cash Flow Section]="Cash from Operating Activities")*(PBC_ACCOUNT_LIST[Drivers Section]="Assets"))),0))),startDatesCF=EDATE(M$80,-1))),0)-IFERROR(SUM(_xlfn._xlws.FILTER(_xlfn._xlws.FILTER(dataGLBSCF,ISNUMBER(_xlfn.XMATCH(dataGLBSAcctIDs,_xlfn._xlws.FILTER(PBC_ACCOUNT_LIST[Id], ((PBC_ACCOUNT_LIST[Cash Flow Section]="Cash from Operating Activities")*(PBC_ACCOUNT_LIST[Drivers Section]="Assets"))),0))),endDatesCF=M$81)),0)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Equity")))),0))),endDatesCF=M$81)),0)-IFERROR(SUM(_xlfn._xlws.FILTER(_xlfn._xlws.FILTER(dataGLBSCF,ISNUMBER(_xlfn.XMATCH(dataGLBSAcctIDs,_xlfn._xlws.FILTER(PBC_ACCOUNT_LIST[Id],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Equity")))),0))),startDatesCF=EDATE(M$80,-1))),0)</f>
        <v>-157269</v>
      </c>
      <c r="N87" s="742">
        <f>G87-M87</f>
        <v>-109968.25999999995</v>
      </c>
      <c r="O87" s="741">
        <f>IFERROR(N87/ABS(M87),0)</f>
        <v>-0.69923672179514051</v>
      </c>
    </row>
    <row r="88" spans="1:15" outlineLevel="1">
      <c r="C88" s="163" t="s">
        <v>151</v>
      </c>
      <c r="D88" s="163"/>
      <c r="E88" s="150"/>
      <c r="F88" s="743"/>
      <c r="G88" s="742" cm="1">
        <f t="array" ref="G88">IFERROR(SUM(_xlfn._xlws.FILTER(_xlfn._xlws.FILTER(dataGLBSCF,ISNUMBER(_xlfn.XMATCH(dataGLBSAcctIDs,_xlfn._xlws.FILTER(PBC_ACCOUNT_LIST[Id], ((PBC_ACCOUNT_LIST[Cash Flow Section]="Cash from Investing Activities")*(PBC_ACCOUNT_LIST[Drivers Section]="Assets"))),0))),startDatesCF=EDATE(G$80,-1))),0)-IFERROR(SUM(_xlfn._xlws.FILTER(_xlfn._xlws.FILTER(dataGLBSCF,ISNUMBER(_xlfn.XMATCH(dataGLBSAcctIDs,_xlfn._xlws.FILTER(PBC_ACCOUNT_LIST[Id], ((PBC_ACCOUNT_LIST[Cash Flow Section]="Cash from Investing Activities")*(PBC_ACCOUNT_LIST[Drivers Section]="Assets"))),0))),endDatesCF=G$81)),0)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Equity")))),0))),endDatesCF=G$81)),0)-IFERROR(SUM(_xlfn._xlws.FILTER(_xlfn._xlws.FILTER(dataGLBSCF,ISNUMBER(_xlfn.XMATCH(dataGLBSAcctIDs,_xlfn._xlws.FILTER(PBC_ACCOUNT_LIST[Id],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Equity")))),0))),startDatesCF=EDATE(G$80,-1))),0)</f>
        <v>0</v>
      </c>
      <c r="I88" s="676" cm="1">
        <f t="array" ref="I88">IFERROR(SUM(_xlfn._xlws.FILTER(_xlfn._xlws.FILTER(dataGLBSCF,ISNUMBER(_xlfn.XMATCH(dataGLBSAcctIDs,_xlfn._xlws.FILTER(PBC_ACCOUNT_LIST[Id], ((PBC_ACCOUNT_LIST[Cash Flow Section]="Cash from Investing Activities")*(PBC_ACCOUNT_LIST[Drivers Section]="Assets"))),0))),startDatesCF=EDATE(I$80,-1))),0)-IFERROR(SUM(_xlfn._xlws.FILTER(_xlfn._xlws.FILTER(dataGLBSCF,ISNUMBER(_xlfn.XMATCH(dataGLBSAcctIDs,_xlfn._xlws.FILTER(PBC_ACCOUNT_LIST[Id], ((PBC_ACCOUNT_LIST[Cash Flow Section]="Cash from Investing Activities")*(PBC_ACCOUNT_LIST[Drivers Section]="Assets"))),0))),endDatesCF=I$81)),0)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Equity")))),0))),endDatesCF=I$81)),0)-IFERROR(SUM(_xlfn._xlws.FILTER(_xlfn._xlws.FILTER(dataGLBSCF,ISNUMBER(_xlfn.XMATCH(dataGLBSAcctIDs,_xlfn._xlws.FILTER(PBC_ACCOUNT_LIST[Id],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Equity")))),0))),startDatesCF=EDATE(I$80,-1))),0)</f>
        <v>0</v>
      </c>
      <c r="J88" s="742">
        <f>G88-I88</f>
        <v>0</v>
      </c>
      <c r="K88" s="741">
        <f>IFERROR(J88/ABS(I88),0)</f>
        <v>0</v>
      </c>
      <c r="M88" s="676" cm="1">
        <f t="array" ref="M88">IFERROR(SUM(_xlfn._xlws.FILTER(_xlfn._xlws.FILTER(dataGLBSCF,ISNUMBER(_xlfn.XMATCH(dataGLBSAcctIDs,_xlfn._xlws.FILTER(PBC_ACCOUNT_LIST[Id], ((PBC_ACCOUNT_LIST[Cash Flow Section]="Cash from Investing Activities")*(PBC_ACCOUNT_LIST[Drivers Section]="Assets"))),0))),startDatesCF=EDATE(M$80,-1))),0)-IFERROR(SUM(_xlfn._xlws.FILTER(_xlfn._xlws.FILTER(dataGLBSCF,ISNUMBER(_xlfn.XMATCH(dataGLBSAcctIDs,_xlfn._xlws.FILTER(PBC_ACCOUNT_LIST[Id], ((PBC_ACCOUNT_LIST[Cash Flow Section]="Cash from Investing Activities")*(PBC_ACCOUNT_LIST[Drivers Section]="Assets"))),0))),endDatesCF=M$81)),0)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Equity")))),0))),endDatesCF=M$81)),0)-IFERROR(SUM(_xlfn._xlws.FILTER(_xlfn._xlws.FILTER(dataGLBSCF,ISNUMBER(_xlfn.XMATCH(dataGLBSAcctIDs,_xlfn._xlws.FILTER(PBC_ACCOUNT_LIST[Id],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Equity")))),0))),startDatesCF=EDATE(M$80,-1))),0)</f>
        <v>0</v>
      </c>
      <c r="N88" s="742">
        <f>G88-M88</f>
        <v>0</v>
      </c>
      <c r="O88" s="741">
        <f>IFERROR(N88/ABS(M88),0)</f>
        <v>0</v>
      </c>
    </row>
    <row r="89" spans="1:15" outlineLevel="1" collapsed="1">
      <c r="C89" s="163" t="s">
        <v>152</v>
      </c>
      <c r="D89" s="163"/>
      <c r="E89" s="150"/>
      <c r="F89" s="743"/>
      <c r="G89" s="742" cm="1">
        <f t="array" ref="G89">IFERROR(SUM(_xlfn._xlws.FILTER(_xlfn._xlws.FILTER(dataGLBSCF,ISNUMBER(_xlfn.XMATCH(dataGLBSAcctIDs,_xlfn._xlws.FILTER(PBC_ACCOUNT_LIST[Id], ((PBC_ACCOUNT_LIST[Cash Flow Section]="Cash from Financing Activities")*(PBC_ACCOUNT_LIST[Drivers Section]="Assets"))),0))),startDatesCF=EDATE(G$80,-1))),0)-IFERROR(SUM(_xlfn._xlws.FILTER(_xlfn._xlws.FILTER(dataGLBSCF,ISNUMBER(_xlfn.XMATCH(dataGLBSAcctIDs,_xlfn._xlws.FILTER(PBC_ACCOUNT_LIST[Id], ((PBC_ACCOUNT_LIST[Cash Flow Section]="Cash from Financing Activities")*(PBC_ACCOUNT_LIST[Drivers Section]="Assets"))),0))),endDatesCF=G$81)),0)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Equity")))),0))),endDatesCF=G$81)),0)-IFERROR(SUM(_xlfn._xlws.FILTER(_xlfn._xlws.FILTER(dataGLBSCF,ISNUMBER(_xlfn.XMATCH(dataGLBSAcctIDs,_xlfn._xlws.FILTER(PBC_ACCOUNT_LIST[Id],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Equity")))),0))),startDatesCF=EDATE(G$80,-1))),0)+G90</f>
        <v>-2.9103830456733704E-10</v>
      </c>
      <c r="I89" s="676" cm="1">
        <f t="array" ref="I89">IFERROR(SUM(_xlfn._xlws.FILTER(_xlfn._xlws.FILTER(dataGLBSCF,ISNUMBER(_xlfn.XMATCH(dataGLBSAcctIDs,_xlfn._xlws.FILTER(PBC_ACCOUNT_LIST[Id], ((PBC_ACCOUNT_LIST[Cash Flow Section]="Cash from Financing Activities")*(PBC_ACCOUNT_LIST[Drivers Section]="Assets"))),0))),startDatesCF=EDATE(I$80,-1))),0)-IFERROR(SUM(_xlfn._xlws.FILTER(_xlfn._xlws.FILTER(dataGLBSCF,ISNUMBER(_xlfn.XMATCH(dataGLBSAcctIDs,_xlfn._xlws.FILTER(PBC_ACCOUNT_LIST[Id], ((PBC_ACCOUNT_LIST[Cash Flow Section]="Cash from Financing Activities")*(PBC_ACCOUNT_LIST[Drivers Section]="Assets"))),0))),endDatesCF=I$81)),0)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Equity")))),0))),endDatesCF=I$81)),0)-IFERROR(SUM(_xlfn._xlws.FILTER(_xlfn._xlws.FILTER(dataGLBSCF,ISNUMBER(_xlfn.XMATCH(dataGLBSAcctIDs,_xlfn._xlws.FILTER(PBC_ACCOUNT_LIST[Id],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Equity")))),0))),startDatesCF=EDATE(I$80,-1))),0)+I90</f>
        <v>-3.4924596548080444E-10</v>
      </c>
      <c r="J89" s="742">
        <f>G89-I89</f>
        <v>5.8207660913467407E-11</v>
      </c>
      <c r="K89" s="741">
        <f>IFERROR(J89/ABS(I89),0)</f>
        <v>0.16666666666666666</v>
      </c>
      <c r="M89" s="676" cm="1">
        <f t="array" ref="M89">IFERROR(SUM(_xlfn._xlws.FILTER(_xlfn._xlws.FILTER(dataGLBSCF,ISNUMBER(_xlfn.XMATCH(dataGLBSAcctIDs,_xlfn._xlws.FILTER(PBC_ACCOUNT_LIST[Id], ((PBC_ACCOUNT_LIST[Cash Flow Section]="Cash from Financing Activities")*(PBC_ACCOUNT_LIST[Drivers Section]="Assets"))),0))),startDatesCF=EDATE(M$80,-1))),0)-IFERROR(SUM(_xlfn._xlws.FILTER(_xlfn._xlws.FILTER(dataGLBSCF,ISNUMBER(_xlfn.XMATCH(dataGLBSAcctIDs,_xlfn._xlws.FILTER(PBC_ACCOUNT_LIST[Id], ((PBC_ACCOUNT_LIST[Cash Flow Section]="Cash from Financing Activities")*(PBC_ACCOUNT_LIST[Drivers Section]="Assets"))),0))),endDatesCF=M$81)),0)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Equity")))),0))),endDatesCF=M$81)),0)-IFERROR(SUM(_xlfn._xlws.FILTER(_xlfn._xlws.FILTER(dataGLBSCF,ISNUMBER(_xlfn.XMATCH(dataGLBSAcctIDs,_xlfn._xlws.FILTER(PBC_ACCOUNT_LIST[Id],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Equity")))),0))),startDatesCF=EDATE(M$80,-1))),0)+M90</f>
        <v>0</v>
      </c>
      <c r="N89" s="742">
        <f>G89-M89</f>
        <v>-2.9103830456733704E-10</v>
      </c>
      <c r="O89" s="741">
        <f>IFERROR(N89/ABS(M89),0)</f>
        <v>0</v>
      </c>
    </row>
    <row r="90" spans="1:15" hidden="1" outlineLevel="2">
      <c r="C90" s="164" t="s">
        <v>153</v>
      </c>
      <c r="D90" s="163"/>
      <c r="E90" s="150"/>
      <c r="F90" s="743"/>
      <c r="G90" s="742" cm="1">
        <f t="array" ref="G90">SUM(_xlfn._xlws.FILTER(_xlfn._xlws.FILTER(dataGLBSCF,((dataGLBSAcctIDs=999)+(ISNUMBER(_xlfn.XMATCH(dataGLBSAcctIDs,_xlfn._xlws.FILTER(PBC_ACCOUNT_LIST[Id],PBC_ACCOUNT_LIST[AccountSubType]="RetainedEarnings")))))),endDatesCF=G$81))-SUM(_xlfn._xlws.FILTER(_xlfn._xlws.FILTER(dataGLBSCF,((dataGLBSAcctIDs=999)+(ISNUMBER(_xlfn.XMATCH(dataGLBSAcctIDs,_xlfn._xlws.FILTER(PBC_ACCOUNT_LIST[Id],PBC_ACCOUNT_LIST[AccountSubType]="RetainedEarnings")))))),startDatesCF=EDATE(G$80,-1)))-(IFERROR(SUM(_xlfn._xlws.FILTER(_xlfn._xlws.FILTER(dataGLPL,ISNUMBER(MATCH(dataGLPLSections,{"Revenue","Other Income"},0))),(startDates&gt;=G$80)*(endDates&lt;=G$81))),0)-IFERROR(SUM(_xlfn._xlws.FILTER(_xlfn._xlws.FILTER(dataGLPL,ISNUMBER(MATCH(dataGLPLSections,{"COGS","Opex","Other Expenses"},0))),(startDates&gt;=G$80)*(endDates&lt;=G$81))),0))</f>
        <v>-2.9103830456733704E-10</v>
      </c>
      <c r="I90" s="676" cm="1">
        <f t="array" ref="I90">SUM(_xlfn._xlws.FILTER(_xlfn._xlws.FILTER(dataGLBSCF,((dataGLBSAcctIDs=999)+(ISNUMBER(_xlfn.XMATCH(dataGLBSAcctIDs,_xlfn._xlws.FILTER(PBC_ACCOUNT_LIST[Id],PBC_ACCOUNT_LIST[AccountSubType]="RetainedEarnings")))))),endDatesCF=I$81))-SUM(_xlfn._xlws.FILTER(_xlfn._xlws.FILTER(dataGLBSCF,((dataGLBSAcctIDs=999)+(ISNUMBER(_xlfn.XMATCH(dataGLBSAcctIDs,_xlfn._xlws.FILTER(PBC_ACCOUNT_LIST[Id],PBC_ACCOUNT_LIST[AccountSubType]="RetainedEarnings")))))),startDatesCF=EDATE(I$80,-1)))-(IFERROR(SUM(_xlfn._xlws.FILTER(_xlfn._xlws.FILTER(dataGLPL,ISNUMBER(MATCH(dataGLPLSections,{"Revenue","Other Income"},0))),(startDates&gt;=I$80)*(endDates&lt;=I$81))),0)-IFERROR(SUM(_xlfn._xlws.FILTER(_xlfn._xlws.FILTER(dataGLPL,ISNUMBER(MATCH(dataGLPLSections,{"COGS","Opex","Other Expenses"},0))),(startDates&gt;=I$80)*(endDates&lt;=I$81))),0))</f>
        <v>-3.4924596548080444E-10</v>
      </c>
      <c r="J90" s="742">
        <f>G90-I90</f>
        <v>5.8207660913467407E-11</v>
      </c>
      <c r="K90" s="741">
        <f>IFERROR(J90/ABS(I90),0)</f>
        <v>0.16666666666666666</v>
      </c>
      <c r="M90" s="676" cm="1">
        <f t="array" ref="M90">SUM(_xlfn._xlws.FILTER(_xlfn._xlws.FILTER(dataGLBSCF,((dataGLBSAcctIDs=999)+(ISNUMBER(_xlfn.XMATCH(dataGLBSAcctIDs,_xlfn._xlws.FILTER(PBC_ACCOUNT_LIST[Id],PBC_ACCOUNT_LIST[AccountSubType]="RetainedEarnings")))))),endDatesCF=M$81))-SUM(_xlfn._xlws.FILTER(_xlfn._xlws.FILTER(dataGLBSCF,((dataGLBSAcctIDs=999)+(ISNUMBER(_xlfn.XMATCH(dataGLBSAcctIDs,_xlfn._xlws.FILTER(PBC_ACCOUNT_LIST[Id],PBC_ACCOUNT_LIST[AccountSubType]="RetainedEarnings")))))),startDatesCF=EDATE(M$80,-1)))-(IFERROR(SUM(_xlfn._xlws.FILTER(_xlfn._xlws.FILTER(dataGLPL,ISNUMBER(MATCH(dataGLPLSections,{"Revenue","Other Income"},0))),(startDates&gt;=M$80)*(endDates&lt;=M$81))),0)-IFERROR(SUM(_xlfn._xlws.FILTER(_xlfn._xlws.FILTER(dataGLPL,ISNUMBER(MATCH(dataGLPLSections,{"COGS","Opex","Other Expenses"},0))),(startDates&gt;=M$80)*(endDates&lt;=M$81))),0))</f>
        <v>0</v>
      </c>
      <c r="N90" s="742">
        <f>G90-M90</f>
        <v>-2.9103830456733704E-10</v>
      </c>
      <c r="O90" s="741">
        <f>IFERROR(N90/ABS(M90),0)</f>
        <v>0</v>
      </c>
    </row>
    <row r="91" spans="1:15">
      <c r="A91" s="157"/>
      <c r="B91" s="157"/>
    </row>
    <row r="92" spans="1:15" s="157" customFormat="1">
      <c r="A92" s="148"/>
      <c r="B92" s="148"/>
      <c r="C92" s="740" t="s">
        <v>105</v>
      </c>
      <c r="D92" s="740"/>
      <c r="E92" s="740"/>
      <c r="F92" s="739"/>
      <c r="G92" s="738">
        <f>SUM(G86,G84)</f>
        <v>370456.62999999977</v>
      </c>
      <c r="I92" s="738">
        <f>SUM(I86,I84)</f>
        <v>637693.88999999966</v>
      </c>
      <c r="J92" s="738">
        <f>G92-I92</f>
        <v>-267237.25999999989</v>
      </c>
      <c r="K92" s="737">
        <f>IFERROR(J92/ABS(I92),0)</f>
        <v>-0.4190682460514088</v>
      </c>
      <c r="M92" s="738">
        <f>SUM(M86,M84)</f>
        <v>2909186.5</v>
      </c>
      <c r="N92" s="738">
        <f>G92-M92</f>
        <v>-2538729.87</v>
      </c>
      <c r="O92" s="737">
        <f>IFERROR(N92/ABS(M92),0)</f>
        <v>-0.87265971775958673</v>
      </c>
    </row>
    <row r="93" spans="1:15"/>
    <row r="94" spans="1:15" s="157" customFormat="1">
      <c r="A94" s="148"/>
      <c r="B94" s="148"/>
      <c r="C94" s="740" t="s">
        <v>154</v>
      </c>
      <c r="D94" s="740"/>
      <c r="E94" s="740"/>
      <c r="F94" s="739"/>
      <c r="G94" s="738">
        <f>SUM(G87:G88)</f>
        <v>-267237.25999999995</v>
      </c>
      <c r="I94" s="738">
        <f>SUM(I87:I88)</f>
        <v>-255428.88</v>
      </c>
      <c r="J94" s="738">
        <f>G94-I94</f>
        <v>-11808.379999999946</v>
      </c>
      <c r="K94" s="737">
        <f>IFERROR(J94/ABS(I94),0)</f>
        <v>-4.622961976734951E-2</v>
      </c>
      <c r="M94" s="738">
        <f>SUM(M87:M88)</f>
        <v>-157269</v>
      </c>
      <c r="N94" s="738">
        <f>G94-M94</f>
        <v>-109968.25999999995</v>
      </c>
      <c r="O94" s="737">
        <f>IFERROR(N94/ABS(M94),0)</f>
        <v>-0.69923672179514051</v>
      </c>
    </row>
    <row r="95" spans="1:15"/>
    <row r="96" spans="1:15"/>
    <row r="98" spans="1:15" ht="15" customHeight="1" collapsed="1">
      <c r="B98" s="151" t="s">
        <v>155</v>
      </c>
      <c r="D98" s="151" t="s">
        <v>156</v>
      </c>
    </row>
    <row r="99" spans="1:15" s="151" customFormat="1" ht="15" hidden="1" customHeight="1" outlineLevel="2">
      <c r="A99" s="148"/>
      <c r="B99" s="148"/>
      <c r="C99" s="733" t="s">
        <v>98</v>
      </c>
      <c r="D99" s="733" t="str">
        <f t="shared" ref="D99:D106" si="15">C99</f>
        <v>Revenue</v>
      </c>
      <c r="E99" s="733"/>
      <c r="F99" s="736"/>
      <c r="G99" s="732" cm="1">
        <f t="array" ref="G99">G17-SUM(_xlfn._xlws.FILTER(_xlfn._xlws.FILTER(dataSummaryPL,dataSummaryPLSections=$D99),(startDates&gt;=G$13)*(endDates&lt;=G$14)))</f>
        <v>0</v>
      </c>
      <c r="I99" s="734" cm="1">
        <f t="array" ref="I99">I17-SUM(_xlfn._xlws.FILTER(_xlfn._xlws.FILTER(dataSummaryPL,dataSummaryPLSections=$D99),(startDates&gt;=I$13)*(endDates&lt;=I$14)))</f>
        <v>0</v>
      </c>
      <c r="J99" s="732"/>
      <c r="K99" s="732"/>
      <c r="M99" s="734" cm="1">
        <f t="array" ref="M99">M17-SUM(_xlfn._xlws.FILTER(_xlfn._xlws.FILTER(dataSummaryPL,dataSummaryPLSections=$D99),(startDates&gt;=M$13)*(endDates&lt;=M$14)))</f>
        <v>0</v>
      </c>
      <c r="N99" s="732"/>
      <c r="O99" s="732"/>
    </row>
    <row r="100" spans="1:15" s="151" customFormat="1" ht="15" hidden="1" customHeight="1" outlineLevel="2">
      <c r="A100" s="148"/>
      <c r="B100" s="148"/>
      <c r="C100" s="733" t="s">
        <v>80</v>
      </c>
      <c r="D100" s="733" t="str">
        <f t="shared" si="15"/>
        <v>COGS</v>
      </c>
      <c r="E100" s="733"/>
      <c r="F100" s="736"/>
      <c r="G100" s="732" cm="1">
        <f t="array" ref="G100">G20-SUM(_xlfn._xlws.FILTER(_xlfn._xlws.FILTER(dataSummaryPL,dataSummaryPLSections=$D100),(startDates&gt;=G$13)*(endDates&lt;=G$14)))</f>
        <v>0</v>
      </c>
      <c r="I100" s="734" cm="1">
        <f t="array" ref="I100">I20-SUM(_xlfn._xlws.FILTER(_xlfn._xlws.FILTER(dataSummaryPL,dataSummaryPLSections=$D100),(startDates&gt;=I$13)*(endDates&lt;=I$14)))</f>
        <v>0</v>
      </c>
      <c r="J100" s="732"/>
      <c r="K100" s="732"/>
      <c r="M100" s="734" cm="1">
        <f t="array" ref="M100">M20-SUM(_xlfn._xlws.FILTER(_xlfn._xlws.FILTER(dataSummaryPL,dataSummaryPLSections=$D100),(startDates&gt;=M$13)*(endDates&lt;=M$14)))</f>
        <v>0</v>
      </c>
      <c r="N100" s="732"/>
      <c r="O100" s="732"/>
    </row>
    <row r="101" spans="1:15" s="151" customFormat="1" ht="15" hidden="1" customHeight="1" outlineLevel="2">
      <c r="A101" s="148"/>
      <c r="B101" s="148"/>
      <c r="C101" s="733" t="s">
        <v>101</v>
      </c>
      <c r="D101" s="733" t="str">
        <f t="shared" si="15"/>
        <v>Opex</v>
      </c>
      <c r="E101" s="733"/>
      <c r="F101" s="736"/>
      <c r="G101" s="732" cm="1">
        <f t="array" ref="G101">G26-SUM(_xlfn._xlws.FILTER(_xlfn._xlws.FILTER(dataSummaryPL,dataSummaryPLSections=$D101),(startDates&gt;=G$13)*(endDates&lt;=G$14)))</f>
        <v>0</v>
      </c>
      <c r="I101" s="734" cm="1">
        <f t="array" ref="I101">I26-SUM(_xlfn._xlws.FILTER(_xlfn._xlws.FILTER(dataSummaryPL,dataSummaryPLSections=$D101),(startDates&gt;=I$13)*(endDates&lt;=I$14)))</f>
        <v>0</v>
      </c>
      <c r="J101" s="732"/>
      <c r="K101" s="732"/>
      <c r="M101" s="734" cm="1">
        <f t="array" ref="M101">M26-SUM(_xlfn._xlws.FILTER(_xlfn._xlws.FILTER(dataSummaryPL,dataSummaryPLSections=$D101),(startDates&gt;=M$13)*(endDates&lt;=M$14)))</f>
        <v>0</v>
      </c>
      <c r="N101" s="732"/>
      <c r="O101" s="732"/>
    </row>
    <row r="102" spans="1:15" s="151" customFormat="1" ht="15" hidden="1" customHeight="1" outlineLevel="2">
      <c r="A102" s="148"/>
      <c r="B102" s="148"/>
      <c r="C102" s="733" t="s">
        <v>130</v>
      </c>
      <c r="D102" s="733" t="str">
        <f t="shared" si="15"/>
        <v>Other Income</v>
      </c>
      <c r="E102" s="733"/>
      <c r="F102" s="736"/>
      <c r="G102" s="732" cm="1">
        <f t="array" ref="G102">G36-SUM(_xlfn._xlws.FILTER(_xlfn._xlws.FILTER(dataSummaryPL,dataSummaryPLSections=$D102),(startDates&gt;=G$13)*(endDates&lt;=G$14)))</f>
        <v>0</v>
      </c>
      <c r="I102" s="734" cm="1">
        <f t="array" ref="I102">I36-SUM(_xlfn._xlws.FILTER(_xlfn._xlws.FILTER(dataSummaryPL,dataSummaryPLSections=$D102),(startDates&gt;=I$13)*(endDates&lt;=I$14)))</f>
        <v>0</v>
      </c>
      <c r="J102" s="732"/>
      <c r="K102" s="732"/>
      <c r="M102" s="734" cm="1">
        <f t="array" ref="M102">M36-SUM(_xlfn._xlws.FILTER(_xlfn._xlws.FILTER(dataSummaryPL,dataSummaryPLSections=$D102),(startDates&gt;=M$13)*(endDates&lt;=M$14)))</f>
        <v>0</v>
      </c>
      <c r="N102" s="732"/>
      <c r="O102" s="732"/>
    </row>
    <row r="103" spans="1:15" s="151" customFormat="1" ht="15" hidden="1" customHeight="1" outlineLevel="2">
      <c r="A103" s="148"/>
      <c r="B103" s="148"/>
      <c r="C103" s="733" t="s">
        <v>131</v>
      </c>
      <c r="D103" s="733" t="str">
        <f t="shared" si="15"/>
        <v>Other Expenses</v>
      </c>
      <c r="E103" s="733"/>
      <c r="F103" s="736"/>
      <c r="G103" s="732" cm="1">
        <f t="array" ref="G103">G40-SUM(_xlfn._xlws.FILTER(_xlfn._xlws.FILTER(dataSummaryPL,dataSummaryPLSections=$D103),(startDates&gt;=G$13)*(endDates&lt;=G$14)))</f>
        <v>0</v>
      </c>
      <c r="I103" s="734" cm="1">
        <f t="array" ref="I103">I40-SUM(_xlfn._xlws.FILTER(_xlfn._xlws.FILTER(dataSummaryPL,dataSummaryPLSections=$D103),(startDates&gt;=I$13)*(endDates&lt;=I$14)))</f>
        <v>0</v>
      </c>
      <c r="J103" s="732"/>
      <c r="K103" s="732"/>
      <c r="M103" s="734" cm="1">
        <f t="array" ref="M103">M40-SUM(_xlfn._xlws.FILTER(_xlfn._xlws.FILTER(dataSummaryPL,dataSummaryPLSections=$D103),(startDates&gt;=M$13)*(endDates&lt;=M$14)))</f>
        <v>0</v>
      </c>
      <c r="N103" s="732"/>
      <c r="O103" s="732"/>
    </row>
    <row r="104" spans="1:15" ht="15" hidden="1" customHeight="1" outlineLevel="2">
      <c r="C104" s="733" t="s">
        <v>135</v>
      </c>
      <c r="D104" s="733" t="str">
        <f t="shared" si="15"/>
        <v>Assets</v>
      </c>
      <c r="E104" s="733"/>
      <c r="F104" s="735"/>
      <c r="G104" s="734" cm="1">
        <f t="array" ref="G104">G58-SUM(_xlfn._xlws.FILTER(_xlfn._xlws.FILTER(dataSummaryBS,dataSummaryBSSections=$D104),(endDates=G$55)))</f>
        <v>0</v>
      </c>
      <c r="I104" s="734" cm="1">
        <f t="array" ref="I104">I58-SUM(_xlfn._xlws.FILTER(_xlfn._xlws.FILTER(dataSummaryBS,dataSummaryBSSections=$D104),(endDates=I$55)))</f>
        <v>0</v>
      </c>
      <c r="J104" s="734"/>
      <c r="K104" s="734"/>
      <c r="M104" s="734" cm="1">
        <f t="array" ref="M104">M58-SUM(_xlfn._xlws.FILTER(_xlfn._xlws.FILTER(dataSummaryBS,dataSummaryBSSections=$D104),(endDates=M$55)))</f>
        <v>0</v>
      </c>
      <c r="N104" s="734"/>
      <c r="O104" s="734"/>
    </row>
    <row r="105" spans="1:15" ht="15" hidden="1" customHeight="1" outlineLevel="2">
      <c r="C105" s="733" t="s">
        <v>141</v>
      </c>
      <c r="D105" s="733" t="str">
        <f t="shared" si="15"/>
        <v>Liabilities</v>
      </c>
      <c r="E105" s="733"/>
      <c r="F105" s="735"/>
      <c r="G105" s="734" cm="1">
        <f t="array" ref="G105">G65-SUM(_xlfn._xlws.FILTER(_xlfn._xlws.FILTER(dataSummaryBS,dataSummaryBSSections=$D105),(endDates=G$55)))</f>
        <v>0</v>
      </c>
      <c r="I105" s="734" cm="1">
        <f t="array" ref="I105">I65-SUM(_xlfn._xlws.FILTER(_xlfn._xlws.FILTER(dataSummaryBS,dataSummaryBSSections=$D105),(endDates=I$55)))</f>
        <v>0</v>
      </c>
      <c r="J105" s="734"/>
      <c r="K105" s="734"/>
      <c r="M105" s="734" cm="1">
        <f t="array" ref="M105">M65-SUM(_xlfn._xlws.FILTER(_xlfn._xlws.FILTER(dataSummaryBS,dataSummaryBSSections=$D105),(endDates=M$55)))</f>
        <v>0</v>
      </c>
      <c r="N105" s="734"/>
      <c r="O105" s="734"/>
    </row>
    <row r="106" spans="1:15" ht="15" hidden="1" customHeight="1" outlineLevel="2">
      <c r="C106" s="733" t="s">
        <v>146</v>
      </c>
      <c r="D106" s="733" t="str">
        <f t="shared" si="15"/>
        <v>Owners Equity</v>
      </c>
      <c r="E106" s="733"/>
      <c r="F106" s="735"/>
      <c r="G106" s="734" cm="1">
        <f t="array" ref="G106">G71-SUM(_xlfn._xlws.FILTER(_xlfn._xlws.FILTER(dataSummaryBS,dataSummaryBSSections=$D106),(endDates=G$55)))</f>
        <v>0</v>
      </c>
      <c r="I106" s="734" cm="1">
        <f t="array" ref="I106">I71-SUM(_xlfn._xlws.FILTER(_xlfn._xlws.FILTER(dataSummaryBS,dataSummaryBSSections=$D106),(endDates=I$55)))</f>
        <v>0</v>
      </c>
      <c r="J106" s="734"/>
      <c r="K106" s="734"/>
      <c r="M106" s="734" cm="1">
        <f t="array" ref="M106">M71-SUM(_xlfn._xlws.FILTER(_xlfn._xlws.FILTER(dataSummaryBS,dataSummaryBSSections=$D106),(endDates=M$55)))</f>
        <v>0</v>
      </c>
      <c r="N106" s="734"/>
      <c r="O106" s="734"/>
    </row>
    <row r="107" spans="1:15" hidden="1" outlineLevel="2">
      <c r="C107" s="733" t="s">
        <v>157</v>
      </c>
      <c r="D107" s="151" t="s">
        <v>104</v>
      </c>
      <c r="E107" s="733"/>
      <c r="F107" s="407"/>
      <c r="G107" s="732" cm="1">
        <f t="array" ref="G107">G92-SUM(_xlfn._xlws.FILTER(_xlfn._xlws.FILTER(dataGLBS,dataGLBSAcctIDs=$D107),(endDates=G$55)))</f>
        <v>0</v>
      </c>
      <c r="I107" s="734" cm="1">
        <f t="array" ref="I107">I92-SUM(_xlfn._xlws.FILTER(_xlfn._xlws.FILTER(dataGLBS,dataGLBSAcctIDs=$D107),(endDates=I$55)))</f>
        <v>0</v>
      </c>
      <c r="J107" s="732"/>
      <c r="K107" s="732"/>
      <c r="M107" s="734" cm="1">
        <f t="array" ref="M107">M92-SUM(_xlfn._xlws.FILTER(_xlfn._xlws.FILTER(dataGLBS,dataGLBSAcctIDs=$D107),(endDates=M$55)))</f>
        <v>0</v>
      </c>
      <c r="N107" s="732"/>
      <c r="O107" s="732"/>
    </row>
  </sheetData>
  <mergeCells count="5">
    <mergeCell ref="B3:B4"/>
    <mergeCell ref="H3:I3"/>
    <mergeCell ref="H4:I4"/>
    <mergeCell ref="H5:I5"/>
    <mergeCell ref="O3:O4"/>
  </mergeCells>
  <conditionalFormatting sqref="G4:G5">
    <cfRule type="expression" dxfId="7" priority="1">
      <formula>$H$3="Custom"</formula>
    </cfRule>
  </conditionalFormatting>
  <conditionalFormatting sqref="G12:H12 L12:L17 G13:K17 M13:O17 G18:O20 G21:N21 O21:O30 G22:L30 M23:N30 G31:O48 G53:H53 L53 G54:O74 G79:H79 L79 G80:O94">
    <cfRule type="expression" dxfId="6" priority="4">
      <formula>#REF!=LatestMonthOfActuals</formula>
    </cfRule>
  </conditionalFormatting>
  <conditionalFormatting sqref="H4:I5">
    <cfRule type="expression" dxfId="5" priority="2">
      <formula>$H$3="Custom"</formula>
    </cfRule>
  </conditionalFormatting>
  <conditionalFormatting sqref="N22">
    <cfRule type="expression" dxfId="4" priority="3">
      <formula>#REF!=LatestMonthOfActuals</formula>
    </cfRule>
  </conditionalFormatting>
  <dataValidations count="3">
    <dataValidation type="list" allowBlank="1" showInputMessage="1" showErrorMessage="1" sqref="H5:I5" xr:uid="{B357C94D-BE8A-4144-BC1E-272B60AFB121}">
      <formula1>endDates</formula1>
    </dataValidation>
    <dataValidation type="list" allowBlank="1" showInputMessage="1" showErrorMessage="1" sqref="H4:I4" xr:uid="{012CEFDA-D7F1-4243-9B1A-90A5AA076E5D}">
      <formula1>startDates</formula1>
    </dataValidation>
    <dataValidation type="list" allowBlank="1" showInputMessage="1" showErrorMessage="1" sqref="H3:I3" xr:uid="{C0F5A5DE-DC04-4DD0-85EF-8A42E35C9893}">
      <formula1>Periods</formula1>
    </dataValidation>
  </dataValidations>
  <pageMargins left="0.7" right="0.7" top="0.75" bottom="0.75" header="0.3" footer="0.3"/>
  <pageSetup orientation="portrait" r:id="rId1"/>
  <customProperties>
    <customPr name="mw_flags_replaced" r:id="rId2"/>
    <customPr name="mw_sheet_automation_config" r:id="rId3"/>
    <customPr name="sourceTemplate" r:id="rId4"/>
  </customPropertie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1193D-76D7-FB4C-BE51-84144A464582}">
  <sheetPr>
    <tabColor rgb="FFF5F5E7"/>
    <outlinePr summaryBelow="0" summaryRight="0"/>
    <pageSetUpPr autoPageBreaks="0"/>
  </sheetPr>
  <dimension ref="A1:CG157"/>
  <sheetViews>
    <sheetView showGridLines="0" topLeftCell="A89" zoomScale="80" zoomScaleNormal="80" workbookViewId="0">
      <pane xSplit="7" topLeftCell="BO1" activePane="topRight" state="frozen"/>
      <selection activeCell="D54" sqref="D54"/>
      <selection pane="topRight" activeCell="J58" sqref="J58"/>
    </sheetView>
  </sheetViews>
  <sheetFormatPr defaultColWidth="9.140625" defaultRowHeight="15" customHeight="1" outlineLevelRow="2" outlineLevelCol="2"/>
  <cols>
    <col min="1" max="2" width="2.42578125" style="148" customWidth="1"/>
    <col min="3" max="3" width="45.28515625" style="149" bestFit="1" customWidth="1" collapsed="1"/>
    <col min="4" max="4" width="38.28515625" style="149" hidden="1" customWidth="1" outlineLevel="2"/>
    <col min="5" max="5" width="10.28515625" style="150" hidden="1" customWidth="1" outlineLevel="2"/>
    <col min="6" max="7" width="30.140625" style="149" hidden="1" customWidth="1" outlineLevel="2"/>
    <col min="8" max="8" width="3.140625" style="148" customWidth="1"/>
    <col min="9" max="9" width="4.28515625" style="148" customWidth="1"/>
    <col min="10" max="11" width="12.85546875" style="148" customWidth="1" outlineLevel="2"/>
    <col min="12" max="12" width="3.140625" style="148" customWidth="1"/>
    <col min="13" max="13" width="4.28515625" style="148" customWidth="1" collapsed="1"/>
    <col min="14" max="14" width="12.28515625" style="148" hidden="1" customWidth="1" outlineLevel="2"/>
    <col min="15" max="16" width="12.85546875" style="148" hidden="1" customWidth="1" outlineLevel="2"/>
    <col min="17" max="17" width="13" style="148" hidden="1" customWidth="1" outlineLevel="2"/>
    <col min="18" max="18" width="3.42578125" style="148" customWidth="1"/>
    <col min="19" max="19" width="4.28515625" style="148" customWidth="1"/>
    <col min="20" max="20" width="11.28515625" style="148" customWidth="1" outlineLevel="2"/>
    <col min="21" max="30" width="11.140625" style="148" customWidth="1" outlineLevel="2"/>
    <col min="31" max="35" width="11.7109375" style="148" customWidth="1" outlineLevel="2"/>
    <col min="36" max="36" width="3.42578125" style="148" customWidth="1"/>
    <col min="37" max="37" width="4.28515625" style="148" customWidth="1"/>
    <col min="38" max="38" width="11.140625" style="148" customWidth="1" outlineLevel="1"/>
    <col min="39" max="40" width="9.7109375" style="148" customWidth="1" outlineLevel="1"/>
    <col min="41" max="42" width="9.7109375" style="148" customWidth="1" outlineLevel="1" collapsed="1"/>
    <col min="43" max="59" width="11.140625" style="148" customWidth="1" outlineLevel="1" collapsed="1"/>
    <col min="60" max="73" width="12.28515625" style="148" customWidth="1" outlineLevel="1" collapsed="1"/>
    <col min="74" max="85" width="11.7109375" style="148" customWidth="1" outlineLevel="1" collapsed="1"/>
    <col min="86" max="16384" width="9.140625" style="148"/>
  </cols>
  <sheetData>
    <row r="1" spans="1:85" outlineLevel="1">
      <c r="A1" s="193" t="str">
        <f>Company_Name</f>
        <v>Model Wiz Demo *</v>
      </c>
      <c r="C1" s="148"/>
      <c r="D1" s="191"/>
      <c r="E1" s="148"/>
      <c r="F1" s="191"/>
      <c r="G1" s="191"/>
    </row>
    <row r="2" spans="1:85" outlineLevel="1">
      <c r="A2" s="148" t="str" cm="1">
        <f t="array" aca="1" ref="A2" ca="1">IFERROR(MID(CELL("filename",A1),FIND("]",CELL("filename",A1))+1,LEN(CELL("filename",A1))),"")</f>
        <v>Summary Financials</v>
      </c>
      <c r="C2" s="148"/>
      <c r="D2" s="191"/>
      <c r="E2" s="148"/>
      <c r="F2" s="191"/>
      <c r="G2" s="191"/>
    </row>
    <row r="3" spans="1:85" outlineLevel="1">
      <c r="A3" s="192" t="str">
        <f>Error_Check</f>
        <v>Model Functioning Properly</v>
      </c>
      <c r="C3" s="148"/>
      <c r="D3" s="191"/>
      <c r="E3" s="148"/>
      <c r="F3" s="191"/>
      <c r="G3" s="191"/>
    </row>
    <row r="4" spans="1:85" s="180" customFormat="1" ht="62.1" customHeight="1">
      <c r="B4" s="183"/>
      <c r="C4" s="182" t="s">
        <v>116</v>
      </c>
      <c r="D4" s="181"/>
      <c r="E4" s="182"/>
      <c r="F4" s="181"/>
      <c r="G4" s="181"/>
    </row>
    <row r="5" spans="1:85" ht="18" customHeight="1">
      <c r="C5" s="148"/>
      <c r="D5" s="191"/>
      <c r="E5" s="148"/>
      <c r="F5" s="191"/>
      <c r="G5" s="191"/>
      <c r="I5" s="851" t="s">
        <v>158</v>
      </c>
      <c r="M5" s="851" t="s">
        <v>159</v>
      </c>
      <c r="S5" s="851" t="s">
        <v>160</v>
      </c>
      <c r="T5" s="176"/>
      <c r="AK5" s="851" t="s">
        <v>161</v>
      </c>
    </row>
    <row r="6" spans="1:85" ht="29.25" customHeight="1" collapsed="1">
      <c r="C6" s="174"/>
      <c r="I6" s="851"/>
      <c r="J6" s="178" t="str">
        <f>IF(J$8&lt;=LatestMonthOfActuals,"Actual","Projected")</f>
        <v>Actual</v>
      </c>
      <c r="K6" s="178" t="str">
        <f>IF(K$8&lt;=LatestMonthOfActuals,"Actual","Projected")</f>
        <v>Actual</v>
      </c>
      <c r="M6" s="851"/>
      <c r="N6" s="178" t="str">
        <f>IF(N$8&lt;=LatestMonthOfActuals,"Actual","Projected")</f>
        <v>Actual</v>
      </c>
      <c r="O6" s="178" t="str">
        <f>IF(O$8&lt;=LatestMonthOfActuals,"Actual","Projected")</f>
        <v>Actual</v>
      </c>
      <c r="P6" s="178" t="str">
        <f>IF(P$8&lt;=LatestMonthOfActuals,"Actual","Projected")</f>
        <v>Projected</v>
      </c>
      <c r="Q6" s="178" t="str">
        <f>IF(Q$8&lt;=LatestMonthOfActuals,"Actual","Projected")</f>
        <v>Projected</v>
      </c>
      <c r="S6" s="851"/>
      <c r="T6" s="178" t="str">
        <f t="shared" ref="T6:AI6" si="0">IF(T$8&lt;=LatestMonthOfActuals,"Actual","Projected")</f>
        <v>Actual</v>
      </c>
      <c r="U6" s="178" t="str">
        <f t="shared" si="0"/>
        <v>Actual</v>
      </c>
      <c r="V6" s="178" t="str">
        <f t="shared" si="0"/>
        <v>Actual</v>
      </c>
      <c r="W6" s="178" t="str">
        <f t="shared" si="0"/>
        <v>Actual</v>
      </c>
      <c r="X6" s="178" t="str">
        <f t="shared" si="0"/>
        <v>Actual</v>
      </c>
      <c r="Y6" s="178" t="str">
        <f t="shared" si="0"/>
        <v>Actual</v>
      </c>
      <c r="Z6" s="178" t="str">
        <f t="shared" si="0"/>
        <v>Actual</v>
      </c>
      <c r="AA6" s="178" t="str">
        <f t="shared" si="0"/>
        <v>Actual</v>
      </c>
      <c r="AB6" s="178" t="str">
        <f t="shared" si="0"/>
        <v>Actual</v>
      </c>
      <c r="AC6" s="178" t="str">
        <f t="shared" si="0"/>
        <v>Actual</v>
      </c>
      <c r="AD6" s="178" t="str">
        <f t="shared" si="0"/>
        <v>Actual</v>
      </c>
      <c r="AE6" s="178" t="str">
        <f t="shared" si="0"/>
        <v>Projected</v>
      </c>
      <c r="AF6" s="178" t="str">
        <f t="shared" si="0"/>
        <v>Projected</v>
      </c>
      <c r="AG6" s="178" t="str">
        <f t="shared" si="0"/>
        <v>Projected</v>
      </c>
      <c r="AH6" s="178" t="str">
        <f t="shared" si="0"/>
        <v>Projected</v>
      </c>
      <c r="AI6" s="178" t="str">
        <f t="shared" si="0"/>
        <v>Projected</v>
      </c>
      <c r="AJ6" s="179"/>
      <c r="AK6" s="851"/>
      <c r="AL6" s="178" t="str">
        <f t="shared" ref="AL6:CG6" si="1">IF(AL$8&lt;=LatestMonthOfActuals,"Actual","Projected")</f>
        <v>Actual</v>
      </c>
      <c r="AM6" s="178" t="str">
        <f t="shared" si="1"/>
        <v>Actual</v>
      </c>
      <c r="AN6" s="178" t="str">
        <f t="shared" si="1"/>
        <v>Actual</v>
      </c>
      <c r="AO6" s="178" t="str">
        <f t="shared" si="1"/>
        <v>Actual</v>
      </c>
      <c r="AP6" s="178" t="str">
        <f t="shared" si="1"/>
        <v>Actual</v>
      </c>
      <c r="AQ6" s="178" t="str">
        <f t="shared" si="1"/>
        <v>Actual</v>
      </c>
      <c r="AR6" s="178" t="str">
        <f t="shared" si="1"/>
        <v>Actual</v>
      </c>
      <c r="AS6" s="178" t="str">
        <f t="shared" si="1"/>
        <v>Actual</v>
      </c>
      <c r="AT6" s="178" t="str">
        <f t="shared" si="1"/>
        <v>Actual</v>
      </c>
      <c r="AU6" s="178" t="str">
        <f t="shared" si="1"/>
        <v>Actual</v>
      </c>
      <c r="AV6" s="178" t="str">
        <f t="shared" si="1"/>
        <v>Actual</v>
      </c>
      <c r="AW6" s="178" t="str">
        <f t="shared" si="1"/>
        <v>Actual</v>
      </c>
      <c r="AX6" s="178" t="str">
        <f t="shared" si="1"/>
        <v>Actual</v>
      </c>
      <c r="AY6" s="178" t="str">
        <f t="shared" si="1"/>
        <v>Actual</v>
      </c>
      <c r="AZ6" s="178" t="str">
        <f t="shared" si="1"/>
        <v>Actual</v>
      </c>
      <c r="BA6" s="178" t="str">
        <f t="shared" si="1"/>
        <v>Actual</v>
      </c>
      <c r="BB6" s="178" t="str">
        <f t="shared" si="1"/>
        <v>Actual</v>
      </c>
      <c r="BC6" s="178" t="str">
        <f t="shared" si="1"/>
        <v>Actual</v>
      </c>
      <c r="BD6" s="178" t="str">
        <f t="shared" si="1"/>
        <v>Actual</v>
      </c>
      <c r="BE6" s="178" t="str">
        <f t="shared" si="1"/>
        <v>Actual</v>
      </c>
      <c r="BF6" s="178" t="str">
        <f t="shared" si="1"/>
        <v>Actual</v>
      </c>
      <c r="BG6" s="178" t="str">
        <f t="shared" si="1"/>
        <v>Actual</v>
      </c>
      <c r="BH6" s="178" t="str">
        <f t="shared" si="1"/>
        <v>Actual</v>
      </c>
      <c r="BI6" s="178" t="str">
        <f t="shared" si="1"/>
        <v>Actual</v>
      </c>
      <c r="BJ6" s="178" t="str">
        <f t="shared" si="1"/>
        <v>Actual</v>
      </c>
      <c r="BK6" s="178" t="str">
        <f t="shared" si="1"/>
        <v>Actual</v>
      </c>
      <c r="BL6" s="178" t="str">
        <f t="shared" si="1"/>
        <v>Actual</v>
      </c>
      <c r="BM6" s="178" t="str">
        <f t="shared" si="1"/>
        <v>Actual</v>
      </c>
      <c r="BN6" s="178" t="str">
        <f t="shared" si="1"/>
        <v>Actual</v>
      </c>
      <c r="BO6" s="178" t="str">
        <f t="shared" si="1"/>
        <v>Actual</v>
      </c>
      <c r="BP6" s="178" t="str">
        <f t="shared" si="1"/>
        <v>Actual</v>
      </c>
      <c r="BQ6" s="178" t="str">
        <f t="shared" si="1"/>
        <v>Actual</v>
      </c>
      <c r="BR6" s="178" t="str">
        <f t="shared" si="1"/>
        <v>Actual</v>
      </c>
      <c r="BS6" s="178" t="str">
        <f t="shared" si="1"/>
        <v>Actual</v>
      </c>
      <c r="BT6" s="178" t="str">
        <f t="shared" si="1"/>
        <v>Actual</v>
      </c>
      <c r="BU6" s="178" t="str">
        <f t="shared" si="1"/>
        <v>Projected</v>
      </c>
      <c r="BV6" s="178" t="str">
        <f t="shared" si="1"/>
        <v>Projected</v>
      </c>
      <c r="BW6" s="178" t="str">
        <f t="shared" si="1"/>
        <v>Projected</v>
      </c>
      <c r="BX6" s="178" t="str">
        <f t="shared" si="1"/>
        <v>Projected</v>
      </c>
      <c r="BY6" s="178" t="str">
        <f t="shared" si="1"/>
        <v>Projected</v>
      </c>
      <c r="BZ6" s="178" t="str">
        <f t="shared" si="1"/>
        <v>Projected</v>
      </c>
      <c r="CA6" s="178" t="str">
        <f t="shared" si="1"/>
        <v>Projected</v>
      </c>
      <c r="CB6" s="178" t="str">
        <f t="shared" si="1"/>
        <v>Projected</v>
      </c>
      <c r="CC6" s="178" t="str">
        <f t="shared" si="1"/>
        <v>Projected</v>
      </c>
      <c r="CD6" s="178" t="str">
        <f t="shared" si="1"/>
        <v>Projected</v>
      </c>
      <c r="CE6" s="178" t="str">
        <f t="shared" si="1"/>
        <v>Projected</v>
      </c>
      <c r="CF6" s="178" t="str">
        <f t="shared" si="1"/>
        <v>Projected</v>
      </c>
      <c r="CG6" s="178" t="str">
        <f t="shared" si="1"/>
        <v>Projected</v>
      </c>
    </row>
    <row r="7" spans="1:85" ht="14.45" hidden="1" customHeight="1" outlineLevel="2">
      <c r="C7" s="174" t="s">
        <v>72</v>
      </c>
      <c r="I7" s="851"/>
      <c r="J7" s="176" cm="1">
        <f t="array" ref="J7">DATE(YEAR(LatestMonthOfActuals)-IF(DATE(YEAR(LatestMonthOfActuals),1+Fiscal_Offset,1)&gt;LatestMonthOfActuals,1,0),1+Fiscal_Offset,1)</f>
        <v>45658</v>
      </c>
      <c r="K7" s="176">
        <f>MAX(Start_Date,EOMONTH(K8,-12)+1)</f>
        <v>45627</v>
      </c>
      <c r="M7" s="851"/>
      <c r="N7" s="176">
        <f>Start_Date</f>
        <v>44927</v>
      </c>
      <c r="O7" s="176">
        <f>N8+1</f>
        <v>45292</v>
      </c>
      <c r="P7" s="176">
        <f>O8+1</f>
        <v>45658</v>
      </c>
      <c r="Q7" s="176">
        <f>P8+1</f>
        <v>46023</v>
      </c>
      <c r="S7" s="851"/>
      <c r="T7" s="176">
        <f>Start_Date</f>
        <v>44927</v>
      </c>
      <c r="U7" s="4">
        <f t="shared" ref="U7:AI7" si="2">T8+1</f>
        <v>45017</v>
      </c>
      <c r="V7" s="4">
        <f t="shared" si="2"/>
        <v>45108</v>
      </c>
      <c r="W7" s="4">
        <f t="shared" si="2"/>
        <v>45200</v>
      </c>
      <c r="X7" s="4">
        <f t="shared" si="2"/>
        <v>45292</v>
      </c>
      <c r="Y7" s="4">
        <f t="shared" si="2"/>
        <v>45383</v>
      </c>
      <c r="Z7" s="4">
        <f t="shared" si="2"/>
        <v>45474</v>
      </c>
      <c r="AA7" s="4">
        <f t="shared" si="2"/>
        <v>45566</v>
      </c>
      <c r="AB7" s="4">
        <f t="shared" si="2"/>
        <v>45658</v>
      </c>
      <c r="AC7" s="4">
        <f t="shared" si="2"/>
        <v>45748</v>
      </c>
      <c r="AD7" s="4">
        <f t="shared" si="2"/>
        <v>45839</v>
      </c>
      <c r="AE7" s="4">
        <f t="shared" si="2"/>
        <v>45931</v>
      </c>
      <c r="AF7" s="4">
        <f t="shared" si="2"/>
        <v>46023</v>
      </c>
      <c r="AG7" s="4">
        <f t="shared" si="2"/>
        <v>46113</v>
      </c>
      <c r="AH7" s="4">
        <f t="shared" si="2"/>
        <v>46204</v>
      </c>
      <c r="AI7" s="4">
        <f t="shared" si="2"/>
        <v>46296</v>
      </c>
      <c r="AJ7" s="177"/>
      <c r="AK7" s="851"/>
      <c r="AL7" s="176">
        <f>Start_Date</f>
        <v>44927</v>
      </c>
      <c r="AM7" s="176">
        <f t="shared" ref="AM7:CG7" si="3">EOMONTH(AM8,-1)+1</f>
        <v>44958</v>
      </c>
      <c r="AN7" s="176">
        <f t="shared" si="3"/>
        <v>44986</v>
      </c>
      <c r="AO7" s="176">
        <f t="shared" si="3"/>
        <v>45017</v>
      </c>
      <c r="AP7" s="176">
        <f t="shared" si="3"/>
        <v>45047</v>
      </c>
      <c r="AQ7" s="176">
        <f t="shared" si="3"/>
        <v>45078</v>
      </c>
      <c r="AR7" s="176">
        <f t="shared" si="3"/>
        <v>45108</v>
      </c>
      <c r="AS7" s="176">
        <f t="shared" si="3"/>
        <v>45139</v>
      </c>
      <c r="AT7" s="176">
        <f t="shared" si="3"/>
        <v>45170</v>
      </c>
      <c r="AU7" s="176">
        <f t="shared" si="3"/>
        <v>45200</v>
      </c>
      <c r="AV7" s="176">
        <f t="shared" si="3"/>
        <v>45231</v>
      </c>
      <c r="AW7" s="176">
        <f t="shared" si="3"/>
        <v>45261</v>
      </c>
      <c r="AX7" s="176">
        <f t="shared" si="3"/>
        <v>45292</v>
      </c>
      <c r="AY7" s="176">
        <f t="shared" si="3"/>
        <v>45323</v>
      </c>
      <c r="AZ7" s="176">
        <f t="shared" si="3"/>
        <v>45352</v>
      </c>
      <c r="BA7" s="176">
        <f t="shared" si="3"/>
        <v>45383</v>
      </c>
      <c r="BB7" s="176">
        <f t="shared" si="3"/>
        <v>45413</v>
      </c>
      <c r="BC7" s="176">
        <f t="shared" si="3"/>
        <v>45444</v>
      </c>
      <c r="BD7" s="176">
        <f t="shared" si="3"/>
        <v>45474</v>
      </c>
      <c r="BE7" s="176">
        <f t="shared" si="3"/>
        <v>45505</v>
      </c>
      <c r="BF7" s="176">
        <f t="shared" si="3"/>
        <v>45536</v>
      </c>
      <c r="BG7" s="176">
        <f t="shared" si="3"/>
        <v>45566</v>
      </c>
      <c r="BH7" s="176">
        <f t="shared" si="3"/>
        <v>45597</v>
      </c>
      <c r="BI7" s="176">
        <f t="shared" si="3"/>
        <v>45627</v>
      </c>
      <c r="BJ7" s="176">
        <f t="shared" si="3"/>
        <v>45658</v>
      </c>
      <c r="BK7" s="176">
        <f t="shared" si="3"/>
        <v>45689</v>
      </c>
      <c r="BL7" s="176">
        <f t="shared" si="3"/>
        <v>45717</v>
      </c>
      <c r="BM7" s="176">
        <f t="shared" si="3"/>
        <v>45748</v>
      </c>
      <c r="BN7" s="176">
        <f t="shared" si="3"/>
        <v>45778</v>
      </c>
      <c r="BO7" s="176">
        <f t="shared" si="3"/>
        <v>45809</v>
      </c>
      <c r="BP7" s="176">
        <f t="shared" si="3"/>
        <v>45839</v>
      </c>
      <c r="BQ7" s="176">
        <f t="shared" si="3"/>
        <v>45870</v>
      </c>
      <c r="BR7" s="176">
        <f t="shared" si="3"/>
        <v>45901</v>
      </c>
      <c r="BS7" s="176">
        <f t="shared" si="3"/>
        <v>45931</v>
      </c>
      <c r="BT7" s="176">
        <f t="shared" si="3"/>
        <v>45962</v>
      </c>
      <c r="BU7" s="176">
        <f t="shared" si="3"/>
        <v>45992</v>
      </c>
      <c r="BV7" s="176">
        <f t="shared" si="3"/>
        <v>46023</v>
      </c>
      <c r="BW7" s="176">
        <f t="shared" si="3"/>
        <v>46054</v>
      </c>
      <c r="BX7" s="176">
        <f t="shared" si="3"/>
        <v>46082</v>
      </c>
      <c r="BY7" s="176">
        <f t="shared" si="3"/>
        <v>46113</v>
      </c>
      <c r="BZ7" s="176">
        <f t="shared" si="3"/>
        <v>46143</v>
      </c>
      <c r="CA7" s="176">
        <f t="shared" si="3"/>
        <v>46174</v>
      </c>
      <c r="CB7" s="176">
        <f t="shared" si="3"/>
        <v>46204</v>
      </c>
      <c r="CC7" s="176">
        <f t="shared" si="3"/>
        <v>46235</v>
      </c>
      <c r="CD7" s="176">
        <f t="shared" si="3"/>
        <v>46266</v>
      </c>
      <c r="CE7" s="176">
        <f t="shared" si="3"/>
        <v>46296</v>
      </c>
      <c r="CF7" s="176">
        <f t="shared" si="3"/>
        <v>46327</v>
      </c>
      <c r="CG7" s="176">
        <f t="shared" si="3"/>
        <v>46357</v>
      </c>
    </row>
    <row r="8" spans="1:85" ht="14.45" hidden="1" customHeight="1" outlineLevel="2">
      <c r="C8" s="174" t="s">
        <v>78</v>
      </c>
      <c r="I8" s="851"/>
      <c r="J8" s="176" cm="1">
        <f t="array" ref="J8">LatestMonthOfActuals</f>
        <v>45991</v>
      </c>
      <c r="K8" s="4">
        <f>MAX(LatestMonthOfActuals,EOM_Start_Date)</f>
        <v>45991</v>
      </c>
      <c r="M8" s="851"/>
      <c r="N8" s="176">
        <f>EOMONTH(DATE(YEAR(Start_Date),1,1),Fiscal_Offset+IF(T9&lt;YEAR(Start_Date),-1,11))</f>
        <v>45291</v>
      </c>
      <c r="O8" s="4">
        <f>MIN(EOMONTH(N8,12),End_Date)</f>
        <v>45657</v>
      </c>
      <c r="P8" s="4">
        <f>MIN(EOMONTH(O8,12),End_Date)</f>
        <v>46022</v>
      </c>
      <c r="Q8" s="4">
        <f>MIN(EOMONTH(P8,12),End_Date)</f>
        <v>46387</v>
      </c>
      <c r="S8" s="851"/>
      <c r="T8" s="4">
        <f>EOMONTH(DATE(YEAR(Start_Date),1,1),MOD(ROUNDUP(MONTH(EOMONTH(Start_Date,-Fiscal_Offset))/3,0)*3+Fiscal_Offset-1,12))</f>
        <v>45016</v>
      </c>
      <c r="U8" s="4">
        <f t="shared" ref="U8:AI8" si="4">MIN(EOMONTH(U$7,2),End_Date)</f>
        <v>45107</v>
      </c>
      <c r="V8" s="4">
        <f t="shared" si="4"/>
        <v>45199</v>
      </c>
      <c r="W8" s="4">
        <f t="shared" si="4"/>
        <v>45291</v>
      </c>
      <c r="X8" s="4">
        <f t="shared" si="4"/>
        <v>45382</v>
      </c>
      <c r="Y8" s="4">
        <f t="shared" si="4"/>
        <v>45473</v>
      </c>
      <c r="Z8" s="4">
        <f t="shared" si="4"/>
        <v>45565</v>
      </c>
      <c r="AA8" s="4">
        <f t="shared" si="4"/>
        <v>45657</v>
      </c>
      <c r="AB8" s="4">
        <f t="shared" si="4"/>
        <v>45747</v>
      </c>
      <c r="AC8" s="4">
        <f t="shared" si="4"/>
        <v>45838</v>
      </c>
      <c r="AD8" s="4">
        <f t="shared" si="4"/>
        <v>45930</v>
      </c>
      <c r="AE8" s="4">
        <f t="shared" si="4"/>
        <v>46022</v>
      </c>
      <c r="AF8" s="4">
        <f t="shared" si="4"/>
        <v>46112</v>
      </c>
      <c r="AG8" s="4">
        <f t="shared" si="4"/>
        <v>46203</v>
      </c>
      <c r="AH8" s="4">
        <f t="shared" si="4"/>
        <v>46295</v>
      </c>
      <c r="AI8" s="4">
        <f t="shared" si="4"/>
        <v>46387</v>
      </c>
      <c r="AJ8" s="177"/>
      <c r="AK8" s="851"/>
      <c r="AL8" s="176" cm="1">
        <f t="array" ref="AL8">EOM_Start_Date</f>
        <v>44957</v>
      </c>
      <c r="AM8" s="4">
        <f t="shared" ref="AM8:CG8" si="5">EOMONTH(AL8,1)</f>
        <v>44985</v>
      </c>
      <c r="AN8" s="4">
        <f t="shared" si="5"/>
        <v>45016</v>
      </c>
      <c r="AO8" s="4">
        <f t="shared" si="5"/>
        <v>45046</v>
      </c>
      <c r="AP8" s="4">
        <f t="shared" si="5"/>
        <v>45077</v>
      </c>
      <c r="AQ8" s="4">
        <f t="shared" si="5"/>
        <v>45107</v>
      </c>
      <c r="AR8" s="4">
        <f t="shared" si="5"/>
        <v>45138</v>
      </c>
      <c r="AS8" s="4">
        <f t="shared" si="5"/>
        <v>45169</v>
      </c>
      <c r="AT8" s="4">
        <f t="shared" si="5"/>
        <v>45199</v>
      </c>
      <c r="AU8" s="4">
        <f t="shared" si="5"/>
        <v>45230</v>
      </c>
      <c r="AV8" s="4">
        <f t="shared" si="5"/>
        <v>45260</v>
      </c>
      <c r="AW8" s="4">
        <f t="shared" si="5"/>
        <v>45291</v>
      </c>
      <c r="AX8" s="4">
        <f t="shared" si="5"/>
        <v>45322</v>
      </c>
      <c r="AY8" s="4">
        <f t="shared" si="5"/>
        <v>45351</v>
      </c>
      <c r="AZ8" s="4">
        <f t="shared" si="5"/>
        <v>45382</v>
      </c>
      <c r="BA8" s="4">
        <f t="shared" si="5"/>
        <v>45412</v>
      </c>
      <c r="BB8" s="4">
        <f t="shared" si="5"/>
        <v>45443</v>
      </c>
      <c r="BC8" s="4">
        <f t="shared" si="5"/>
        <v>45473</v>
      </c>
      <c r="BD8" s="4">
        <f t="shared" si="5"/>
        <v>45504</v>
      </c>
      <c r="BE8" s="4">
        <f t="shared" si="5"/>
        <v>45535</v>
      </c>
      <c r="BF8" s="4">
        <f t="shared" si="5"/>
        <v>45565</v>
      </c>
      <c r="BG8" s="4">
        <f t="shared" si="5"/>
        <v>45596</v>
      </c>
      <c r="BH8" s="4">
        <f t="shared" si="5"/>
        <v>45626</v>
      </c>
      <c r="BI8" s="4">
        <f t="shared" si="5"/>
        <v>45657</v>
      </c>
      <c r="BJ8" s="4">
        <f t="shared" si="5"/>
        <v>45688</v>
      </c>
      <c r="BK8" s="4">
        <f t="shared" si="5"/>
        <v>45716</v>
      </c>
      <c r="BL8" s="4">
        <f t="shared" si="5"/>
        <v>45747</v>
      </c>
      <c r="BM8" s="4">
        <f t="shared" si="5"/>
        <v>45777</v>
      </c>
      <c r="BN8" s="4">
        <f t="shared" si="5"/>
        <v>45808</v>
      </c>
      <c r="BO8" s="4">
        <f t="shared" si="5"/>
        <v>45838</v>
      </c>
      <c r="BP8" s="4">
        <f t="shared" si="5"/>
        <v>45869</v>
      </c>
      <c r="BQ8" s="4">
        <f t="shared" si="5"/>
        <v>45900</v>
      </c>
      <c r="BR8" s="4">
        <f t="shared" si="5"/>
        <v>45930</v>
      </c>
      <c r="BS8" s="4">
        <f t="shared" si="5"/>
        <v>45961</v>
      </c>
      <c r="BT8" s="4">
        <f t="shared" si="5"/>
        <v>45991</v>
      </c>
      <c r="BU8" s="4">
        <f t="shared" si="5"/>
        <v>46022</v>
      </c>
      <c r="BV8" s="4">
        <f t="shared" si="5"/>
        <v>46053</v>
      </c>
      <c r="BW8" s="4">
        <f t="shared" si="5"/>
        <v>46081</v>
      </c>
      <c r="BX8" s="4">
        <f t="shared" si="5"/>
        <v>46112</v>
      </c>
      <c r="BY8" s="4">
        <f t="shared" si="5"/>
        <v>46142</v>
      </c>
      <c r="BZ8" s="4">
        <f t="shared" si="5"/>
        <v>46173</v>
      </c>
      <c r="CA8" s="4">
        <f t="shared" si="5"/>
        <v>46203</v>
      </c>
      <c r="CB8" s="4">
        <f t="shared" si="5"/>
        <v>46234</v>
      </c>
      <c r="CC8" s="4">
        <f t="shared" si="5"/>
        <v>46265</v>
      </c>
      <c r="CD8" s="4">
        <f t="shared" si="5"/>
        <v>46295</v>
      </c>
      <c r="CE8" s="4">
        <f t="shared" si="5"/>
        <v>46326</v>
      </c>
      <c r="CF8" s="4">
        <f t="shared" si="5"/>
        <v>46356</v>
      </c>
      <c r="CG8" s="4">
        <f t="shared" si="5"/>
        <v>46387</v>
      </c>
    </row>
    <row r="9" spans="1:85" ht="14.45" hidden="1" customHeight="1" outlineLevel="2">
      <c r="C9" s="174" t="s">
        <v>162</v>
      </c>
      <c r="I9" s="851"/>
      <c r="J9" s="12">
        <f>YEAR(EOMONTH(J8,-Fiscal_Offset))</f>
        <v>2025</v>
      </c>
      <c r="K9" s="12">
        <f>YEAR(EOMONTH(K8,-Fiscal_Offset))</f>
        <v>2025</v>
      </c>
      <c r="M9" s="851"/>
      <c r="N9" s="12">
        <f>YEAR(EOMONTH(N8,-Fiscal_Offset))</f>
        <v>2023</v>
      </c>
      <c r="O9" s="12">
        <f>YEAR(EOMONTH(O8,-Fiscal_Offset))</f>
        <v>2024</v>
      </c>
      <c r="P9" s="12">
        <f>YEAR(EOMONTH(P8,-Fiscal_Offset))</f>
        <v>2025</v>
      </c>
      <c r="Q9" s="12">
        <f>YEAR(EOMONTH(Q8,-Fiscal_Offset))</f>
        <v>2026</v>
      </c>
      <c r="S9" s="851"/>
      <c r="T9" s="12">
        <f t="shared" ref="T9:AI9" si="6">YEAR(EOMONTH(T8,-Fiscal_Offset))</f>
        <v>2023</v>
      </c>
      <c r="U9" s="12">
        <f t="shared" si="6"/>
        <v>2023</v>
      </c>
      <c r="V9" s="12">
        <f t="shared" si="6"/>
        <v>2023</v>
      </c>
      <c r="W9" s="12">
        <f t="shared" si="6"/>
        <v>2023</v>
      </c>
      <c r="X9" s="12">
        <f t="shared" si="6"/>
        <v>2024</v>
      </c>
      <c r="Y9" s="12">
        <f t="shared" si="6"/>
        <v>2024</v>
      </c>
      <c r="Z9" s="12">
        <f t="shared" si="6"/>
        <v>2024</v>
      </c>
      <c r="AA9" s="12">
        <f t="shared" si="6"/>
        <v>2024</v>
      </c>
      <c r="AB9" s="12">
        <f t="shared" si="6"/>
        <v>2025</v>
      </c>
      <c r="AC9" s="12">
        <f t="shared" si="6"/>
        <v>2025</v>
      </c>
      <c r="AD9" s="12">
        <f t="shared" si="6"/>
        <v>2025</v>
      </c>
      <c r="AE9" s="12">
        <f t="shared" si="6"/>
        <v>2025</v>
      </c>
      <c r="AF9" s="12">
        <f t="shared" si="6"/>
        <v>2026</v>
      </c>
      <c r="AG9" s="12">
        <f t="shared" si="6"/>
        <v>2026</v>
      </c>
      <c r="AH9" s="12">
        <f t="shared" si="6"/>
        <v>2026</v>
      </c>
      <c r="AI9" s="12">
        <f t="shared" si="6"/>
        <v>2026</v>
      </c>
      <c r="AJ9" s="175"/>
      <c r="AK9" s="851"/>
      <c r="AL9" s="12">
        <f t="shared" ref="AL9:CG9" si="7">YEAR(EOMONTH(AL8,-Fiscal_Offset))</f>
        <v>2023</v>
      </c>
      <c r="AM9" s="12">
        <f t="shared" si="7"/>
        <v>2023</v>
      </c>
      <c r="AN9" s="12">
        <f t="shared" si="7"/>
        <v>2023</v>
      </c>
      <c r="AO9" s="12">
        <f t="shared" si="7"/>
        <v>2023</v>
      </c>
      <c r="AP9" s="12">
        <f t="shared" si="7"/>
        <v>2023</v>
      </c>
      <c r="AQ9" s="12">
        <f t="shared" si="7"/>
        <v>2023</v>
      </c>
      <c r="AR9" s="12">
        <f t="shared" si="7"/>
        <v>2023</v>
      </c>
      <c r="AS9" s="12">
        <f t="shared" si="7"/>
        <v>2023</v>
      </c>
      <c r="AT9" s="12">
        <f t="shared" si="7"/>
        <v>2023</v>
      </c>
      <c r="AU9" s="12">
        <f t="shared" si="7"/>
        <v>2023</v>
      </c>
      <c r="AV9" s="12">
        <f t="shared" si="7"/>
        <v>2023</v>
      </c>
      <c r="AW9" s="12">
        <f t="shared" si="7"/>
        <v>2023</v>
      </c>
      <c r="AX9" s="12">
        <f t="shared" si="7"/>
        <v>2024</v>
      </c>
      <c r="AY9" s="12">
        <f t="shared" si="7"/>
        <v>2024</v>
      </c>
      <c r="AZ9" s="12">
        <f t="shared" si="7"/>
        <v>2024</v>
      </c>
      <c r="BA9" s="12">
        <f t="shared" si="7"/>
        <v>2024</v>
      </c>
      <c r="BB9" s="12">
        <f t="shared" si="7"/>
        <v>2024</v>
      </c>
      <c r="BC9" s="12">
        <f t="shared" si="7"/>
        <v>2024</v>
      </c>
      <c r="BD9" s="12">
        <f t="shared" si="7"/>
        <v>2024</v>
      </c>
      <c r="BE9" s="12">
        <f t="shared" si="7"/>
        <v>2024</v>
      </c>
      <c r="BF9" s="12">
        <f t="shared" si="7"/>
        <v>2024</v>
      </c>
      <c r="BG9" s="12">
        <f t="shared" si="7"/>
        <v>2024</v>
      </c>
      <c r="BH9" s="12">
        <f t="shared" si="7"/>
        <v>2024</v>
      </c>
      <c r="BI9" s="12">
        <f t="shared" si="7"/>
        <v>2024</v>
      </c>
      <c r="BJ9" s="12">
        <f t="shared" si="7"/>
        <v>2025</v>
      </c>
      <c r="BK9" s="12">
        <f t="shared" si="7"/>
        <v>2025</v>
      </c>
      <c r="BL9" s="12">
        <f t="shared" si="7"/>
        <v>2025</v>
      </c>
      <c r="BM9" s="12">
        <f t="shared" si="7"/>
        <v>2025</v>
      </c>
      <c r="BN9" s="12">
        <f t="shared" si="7"/>
        <v>2025</v>
      </c>
      <c r="BO9" s="12">
        <f t="shared" si="7"/>
        <v>2025</v>
      </c>
      <c r="BP9" s="12">
        <f t="shared" si="7"/>
        <v>2025</v>
      </c>
      <c r="BQ9" s="12">
        <f t="shared" si="7"/>
        <v>2025</v>
      </c>
      <c r="BR9" s="12">
        <f t="shared" si="7"/>
        <v>2025</v>
      </c>
      <c r="BS9" s="12">
        <f t="shared" si="7"/>
        <v>2025</v>
      </c>
      <c r="BT9" s="12">
        <f t="shared" si="7"/>
        <v>2025</v>
      </c>
      <c r="BU9" s="12">
        <f t="shared" si="7"/>
        <v>2025</v>
      </c>
      <c r="BV9" s="12">
        <f t="shared" si="7"/>
        <v>2026</v>
      </c>
      <c r="BW9" s="12">
        <f t="shared" si="7"/>
        <v>2026</v>
      </c>
      <c r="BX9" s="12">
        <f t="shared" si="7"/>
        <v>2026</v>
      </c>
      <c r="BY9" s="12">
        <f t="shared" si="7"/>
        <v>2026</v>
      </c>
      <c r="BZ9" s="12">
        <f t="shared" si="7"/>
        <v>2026</v>
      </c>
      <c r="CA9" s="12">
        <f t="shared" si="7"/>
        <v>2026</v>
      </c>
      <c r="CB9" s="12">
        <f t="shared" si="7"/>
        <v>2026</v>
      </c>
      <c r="CC9" s="12">
        <f t="shared" si="7"/>
        <v>2026</v>
      </c>
      <c r="CD9" s="12">
        <f t="shared" si="7"/>
        <v>2026</v>
      </c>
      <c r="CE9" s="12">
        <f t="shared" si="7"/>
        <v>2026</v>
      </c>
      <c r="CF9" s="12">
        <f t="shared" si="7"/>
        <v>2026</v>
      </c>
      <c r="CG9" s="12">
        <f t="shared" si="7"/>
        <v>2026</v>
      </c>
    </row>
    <row r="10" spans="1:85" ht="14.45" hidden="1" customHeight="1" outlineLevel="2">
      <c r="C10" s="174" t="s">
        <v>163</v>
      </c>
      <c r="I10" s="851"/>
      <c r="J10" s="12" t="str">
        <f>"Q"&amp; ROUNDUP(MONTH(EOMONTH(J8,-Fiscal_Offset))/3,0)</f>
        <v>Q4</v>
      </c>
      <c r="K10" s="12" t="str">
        <f>"Q"&amp; ROUNDUP(MONTH(EOMONTH(K8,-Fiscal_Offset))/3,0)</f>
        <v>Q4</v>
      </c>
      <c r="M10" s="851"/>
      <c r="N10" s="12" t="str">
        <f>"Q"&amp; ROUNDUP(MONTH(EOMONTH(N8,-Fiscal_Offset))/3,0)</f>
        <v>Q4</v>
      </c>
      <c r="O10" s="12" t="str">
        <f>"Q"&amp; ROUNDUP(MONTH(EOMONTH(O8,-Fiscal_Offset))/3,0)</f>
        <v>Q4</v>
      </c>
      <c r="P10" s="12" t="str">
        <f>"Q"&amp; ROUNDUP(MONTH(EOMONTH(P8,-Fiscal_Offset))/3,0)</f>
        <v>Q4</v>
      </c>
      <c r="Q10" s="12" t="str">
        <f>"Q"&amp; ROUNDUP(MONTH(EOMONTH(Q8,-Fiscal_Offset))/3,0)</f>
        <v>Q4</v>
      </c>
      <c r="S10" s="851"/>
      <c r="T10" s="12" t="str">
        <f t="shared" ref="T10:AI10" si="8">"Q"&amp; ROUNDUP(MONTH(EOMONTH(T8,-Fiscal_Offset))/3,0)</f>
        <v>Q1</v>
      </c>
      <c r="U10" s="12" t="str">
        <f t="shared" si="8"/>
        <v>Q2</v>
      </c>
      <c r="V10" s="12" t="str">
        <f t="shared" si="8"/>
        <v>Q3</v>
      </c>
      <c r="W10" s="12" t="str">
        <f t="shared" si="8"/>
        <v>Q4</v>
      </c>
      <c r="X10" s="12" t="str">
        <f t="shared" si="8"/>
        <v>Q1</v>
      </c>
      <c r="Y10" s="12" t="str">
        <f t="shared" si="8"/>
        <v>Q2</v>
      </c>
      <c r="Z10" s="12" t="str">
        <f t="shared" si="8"/>
        <v>Q3</v>
      </c>
      <c r="AA10" s="12" t="str">
        <f t="shared" si="8"/>
        <v>Q4</v>
      </c>
      <c r="AB10" s="12" t="str">
        <f t="shared" si="8"/>
        <v>Q1</v>
      </c>
      <c r="AC10" s="12" t="str">
        <f t="shared" si="8"/>
        <v>Q2</v>
      </c>
      <c r="AD10" s="12" t="str">
        <f t="shared" si="8"/>
        <v>Q3</v>
      </c>
      <c r="AE10" s="12" t="str">
        <f t="shared" si="8"/>
        <v>Q4</v>
      </c>
      <c r="AF10" s="12" t="str">
        <f t="shared" si="8"/>
        <v>Q1</v>
      </c>
      <c r="AG10" s="12" t="str">
        <f t="shared" si="8"/>
        <v>Q2</v>
      </c>
      <c r="AH10" s="12" t="str">
        <f t="shared" si="8"/>
        <v>Q3</v>
      </c>
      <c r="AI10" s="12" t="str">
        <f t="shared" si="8"/>
        <v>Q4</v>
      </c>
      <c r="AJ10" s="175"/>
      <c r="AK10" s="851"/>
      <c r="AL10" s="12" t="str">
        <f t="shared" ref="AL10:CG10" si="9">"Q"&amp; ROUNDUP(MONTH(EOMONTH(AL8,-Fiscal_Offset))/3,0)</f>
        <v>Q1</v>
      </c>
      <c r="AM10" s="12" t="str">
        <f t="shared" si="9"/>
        <v>Q1</v>
      </c>
      <c r="AN10" s="12" t="str">
        <f t="shared" si="9"/>
        <v>Q1</v>
      </c>
      <c r="AO10" s="12" t="str">
        <f t="shared" si="9"/>
        <v>Q2</v>
      </c>
      <c r="AP10" s="12" t="str">
        <f t="shared" si="9"/>
        <v>Q2</v>
      </c>
      <c r="AQ10" s="12" t="str">
        <f t="shared" si="9"/>
        <v>Q2</v>
      </c>
      <c r="AR10" s="12" t="str">
        <f t="shared" si="9"/>
        <v>Q3</v>
      </c>
      <c r="AS10" s="12" t="str">
        <f t="shared" si="9"/>
        <v>Q3</v>
      </c>
      <c r="AT10" s="12" t="str">
        <f t="shared" si="9"/>
        <v>Q3</v>
      </c>
      <c r="AU10" s="12" t="str">
        <f t="shared" si="9"/>
        <v>Q4</v>
      </c>
      <c r="AV10" s="12" t="str">
        <f t="shared" si="9"/>
        <v>Q4</v>
      </c>
      <c r="AW10" s="12" t="str">
        <f t="shared" si="9"/>
        <v>Q4</v>
      </c>
      <c r="AX10" s="12" t="str">
        <f t="shared" si="9"/>
        <v>Q1</v>
      </c>
      <c r="AY10" s="12" t="str">
        <f t="shared" si="9"/>
        <v>Q1</v>
      </c>
      <c r="AZ10" s="12" t="str">
        <f t="shared" si="9"/>
        <v>Q1</v>
      </c>
      <c r="BA10" s="12" t="str">
        <f t="shared" si="9"/>
        <v>Q2</v>
      </c>
      <c r="BB10" s="12" t="str">
        <f t="shared" si="9"/>
        <v>Q2</v>
      </c>
      <c r="BC10" s="12" t="str">
        <f t="shared" si="9"/>
        <v>Q2</v>
      </c>
      <c r="BD10" s="12" t="str">
        <f t="shared" si="9"/>
        <v>Q3</v>
      </c>
      <c r="BE10" s="12" t="str">
        <f t="shared" si="9"/>
        <v>Q3</v>
      </c>
      <c r="BF10" s="12" t="str">
        <f t="shared" si="9"/>
        <v>Q3</v>
      </c>
      <c r="BG10" s="12" t="str">
        <f t="shared" si="9"/>
        <v>Q4</v>
      </c>
      <c r="BH10" s="12" t="str">
        <f t="shared" si="9"/>
        <v>Q4</v>
      </c>
      <c r="BI10" s="12" t="str">
        <f t="shared" si="9"/>
        <v>Q4</v>
      </c>
      <c r="BJ10" s="12" t="str">
        <f t="shared" si="9"/>
        <v>Q1</v>
      </c>
      <c r="BK10" s="12" t="str">
        <f t="shared" si="9"/>
        <v>Q1</v>
      </c>
      <c r="BL10" s="12" t="str">
        <f t="shared" si="9"/>
        <v>Q1</v>
      </c>
      <c r="BM10" s="12" t="str">
        <f t="shared" si="9"/>
        <v>Q2</v>
      </c>
      <c r="BN10" s="12" t="str">
        <f t="shared" si="9"/>
        <v>Q2</v>
      </c>
      <c r="BO10" s="12" t="str">
        <f t="shared" si="9"/>
        <v>Q2</v>
      </c>
      <c r="BP10" s="12" t="str">
        <f t="shared" si="9"/>
        <v>Q3</v>
      </c>
      <c r="BQ10" s="12" t="str">
        <f t="shared" si="9"/>
        <v>Q3</v>
      </c>
      <c r="BR10" s="12" t="str">
        <f t="shared" si="9"/>
        <v>Q3</v>
      </c>
      <c r="BS10" s="12" t="str">
        <f t="shared" si="9"/>
        <v>Q4</v>
      </c>
      <c r="BT10" s="12" t="str">
        <f t="shared" si="9"/>
        <v>Q4</v>
      </c>
      <c r="BU10" s="12" t="str">
        <f t="shared" si="9"/>
        <v>Q4</v>
      </c>
      <c r="BV10" s="12" t="str">
        <f t="shared" si="9"/>
        <v>Q1</v>
      </c>
      <c r="BW10" s="12" t="str">
        <f t="shared" si="9"/>
        <v>Q1</v>
      </c>
      <c r="BX10" s="12" t="str">
        <f t="shared" si="9"/>
        <v>Q1</v>
      </c>
      <c r="BY10" s="12" t="str">
        <f t="shared" si="9"/>
        <v>Q2</v>
      </c>
      <c r="BZ10" s="12" t="str">
        <f t="shared" si="9"/>
        <v>Q2</v>
      </c>
      <c r="CA10" s="12" t="str">
        <f t="shared" si="9"/>
        <v>Q2</v>
      </c>
      <c r="CB10" s="12" t="str">
        <f t="shared" si="9"/>
        <v>Q3</v>
      </c>
      <c r="CC10" s="12" t="str">
        <f t="shared" si="9"/>
        <v>Q3</v>
      </c>
      <c r="CD10" s="12" t="str">
        <f t="shared" si="9"/>
        <v>Q3</v>
      </c>
      <c r="CE10" s="12" t="str">
        <f t="shared" si="9"/>
        <v>Q4</v>
      </c>
      <c r="CF10" s="12" t="str">
        <f t="shared" si="9"/>
        <v>Q4</v>
      </c>
      <c r="CG10" s="12" t="str">
        <f t="shared" si="9"/>
        <v>Q4</v>
      </c>
    </row>
    <row r="11" spans="1:85" collapsed="1">
      <c r="C11" s="174"/>
      <c r="D11" s="190" t="s">
        <v>119</v>
      </c>
      <c r="E11" s="190" t="s">
        <v>99</v>
      </c>
      <c r="F11" s="190" t="s">
        <v>164</v>
      </c>
      <c r="G11" s="190" t="s">
        <v>165</v>
      </c>
      <c r="I11" s="851"/>
      <c r="J11" s="173" t="s">
        <v>166</v>
      </c>
      <c r="K11" s="173" t="s">
        <v>167</v>
      </c>
      <c r="M11" s="851"/>
      <c r="N11" s="173">
        <f>N9</f>
        <v>2023</v>
      </c>
      <c r="O11" s="173">
        <f>O9</f>
        <v>2024</v>
      </c>
      <c r="P11" s="173">
        <f>P9</f>
        <v>2025</v>
      </c>
      <c r="Q11" s="173">
        <f>Q9</f>
        <v>2026</v>
      </c>
      <c r="R11" s="172"/>
      <c r="S11" s="851"/>
      <c r="T11" s="171" t="str">
        <f t="shared" ref="T11:AI11" si="10">CONCATENATE(CONCATENATE(T$10," ",T$9))</f>
        <v>Q1 2023</v>
      </c>
      <c r="U11" s="171" t="str">
        <f t="shared" si="10"/>
        <v>Q2 2023</v>
      </c>
      <c r="V11" s="171" t="str">
        <f t="shared" si="10"/>
        <v>Q3 2023</v>
      </c>
      <c r="W11" s="171" t="str">
        <f t="shared" si="10"/>
        <v>Q4 2023</v>
      </c>
      <c r="X11" s="171" t="str">
        <f t="shared" si="10"/>
        <v>Q1 2024</v>
      </c>
      <c r="Y11" s="171" t="str">
        <f t="shared" si="10"/>
        <v>Q2 2024</v>
      </c>
      <c r="Z11" s="171" t="str">
        <f t="shared" si="10"/>
        <v>Q3 2024</v>
      </c>
      <c r="AA11" s="171" t="str">
        <f t="shared" si="10"/>
        <v>Q4 2024</v>
      </c>
      <c r="AB11" s="171" t="str">
        <f t="shared" si="10"/>
        <v>Q1 2025</v>
      </c>
      <c r="AC11" s="171" t="str">
        <f t="shared" si="10"/>
        <v>Q2 2025</v>
      </c>
      <c r="AD11" s="171" t="str">
        <f t="shared" si="10"/>
        <v>Q3 2025</v>
      </c>
      <c r="AE11" s="171" t="str">
        <f t="shared" si="10"/>
        <v>Q4 2025</v>
      </c>
      <c r="AF11" s="171" t="str">
        <f t="shared" si="10"/>
        <v>Q1 2026</v>
      </c>
      <c r="AG11" s="171" t="str">
        <f t="shared" si="10"/>
        <v>Q2 2026</v>
      </c>
      <c r="AH11" s="171" t="str">
        <f t="shared" si="10"/>
        <v>Q3 2026</v>
      </c>
      <c r="AI11" s="171" t="str">
        <f t="shared" si="10"/>
        <v>Q4 2026</v>
      </c>
      <c r="AJ11" s="170"/>
      <c r="AK11" s="851"/>
      <c r="AL11" s="169">
        <f t="shared" ref="AL11:CG11" si="11">AL8</f>
        <v>44957</v>
      </c>
      <c r="AM11" s="169">
        <f t="shared" si="11"/>
        <v>44985</v>
      </c>
      <c r="AN11" s="169">
        <f t="shared" si="11"/>
        <v>45016</v>
      </c>
      <c r="AO11" s="169">
        <f t="shared" si="11"/>
        <v>45046</v>
      </c>
      <c r="AP11" s="169">
        <f t="shared" si="11"/>
        <v>45077</v>
      </c>
      <c r="AQ11" s="169">
        <f t="shared" si="11"/>
        <v>45107</v>
      </c>
      <c r="AR11" s="169">
        <f t="shared" si="11"/>
        <v>45138</v>
      </c>
      <c r="AS11" s="169">
        <f t="shared" si="11"/>
        <v>45169</v>
      </c>
      <c r="AT11" s="169">
        <f t="shared" si="11"/>
        <v>45199</v>
      </c>
      <c r="AU11" s="169">
        <f t="shared" si="11"/>
        <v>45230</v>
      </c>
      <c r="AV11" s="169">
        <f t="shared" si="11"/>
        <v>45260</v>
      </c>
      <c r="AW11" s="169">
        <f t="shared" si="11"/>
        <v>45291</v>
      </c>
      <c r="AX11" s="169">
        <f t="shared" si="11"/>
        <v>45322</v>
      </c>
      <c r="AY11" s="169">
        <f t="shared" si="11"/>
        <v>45351</v>
      </c>
      <c r="AZ11" s="169">
        <f t="shared" si="11"/>
        <v>45382</v>
      </c>
      <c r="BA11" s="169">
        <f t="shared" si="11"/>
        <v>45412</v>
      </c>
      <c r="BB11" s="169">
        <f t="shared" si="11"/>
        <v>45443</v>
      </c>
      <c r="BC11" s="169">
        <f t="shared" si="11"/>
        <v>45473</v>
      </c>
      <c r="BD11" s="169">
        <f t="shared" si="11"/>
        <v>45504</v>
      </c>
      <c r="BE11" s="169">
        <f t="shared" si="11"/>
        <v>45535</v>
      </c>
      <c r="BF11" s="169">
        <f t="shared" si="11"/>
        <v>45565</v>
      </c>
      <c r="BG11" s="169">
        <f t="shared" si="11"/>
        <v>45596</v>
      </c>
      <c r="BH11" s="169">
        <f t="shared" si="11"/>
        <v>45626</v>
      </c>
      <c r="BI11" s="169">
        <f t="shared" si="11"/>
        <v>45657</v>
      </c>
      <c r="BJ11" s="169">
        <f t="shared" si="11"/>
        <v>45688</v>
      </c>
      <c r="BK11" s="169">
        <f t="shared" si="11"/>
        <v>45716</v>
      </c>
      <c r="BL11" s="169">
        <f t="shared" si="11"/>
        <v>45747</v>
      </c>
      <c r="BM11" s="169">
        <f t="shared" si="11"/>
        <v>45777</v>
      </c>
      <c r="BN11" s="169">
        <f t="shared" si="11"/>
        <v>45808</v>
      </c>
      <c r="BO11" s="169">
        <f t="shared" si="11"/>
        <v>45838</v>
      </c>
      <c r="BP11" s="169">
        <f t="shared" si="11"/>
        <v>45869</v>
      </c>
      <c r="BQ11" s="169">
        <f t="shared" si="11"/>
        <v>45900</v>
      </c>
      <c r="BR11" s="169">
        <f t="shared" si="11"/>
        <v>45930</v>
      </c>
      <c r="BS11" s="169">
        <f t="shared" si="11"/>
        <v>45961</v>
      </c>
      <c r="BT11" s="169">
        <f t="shared" si="11"/>
        <v>45991</v>
      </c>
      <c r="BU11" s="169">
        <f t="shared" si="11"/>
        <v>46022</v>
      </c>
      <c r="BV11" s="169">
        <f t="shared" si="11"/>
        <v>46053</v>
      </c>
      <c r="BW11" s="169">
        <f t="shared" si="11"/>
        <v>46081</v>
      </c>
      <c r="BX11" s="169">
        <f t="shared" si="11"/>
        <v>46112</v>
      </c>
      <c r="BY11" s="169">
        <f t="shared" si="11"/>
        <v>46142</v>
      </c>
      <c r="BZ11" s="169">
        <f t="shared" si="11"/>
        <v>46173</v>
      </c>
      <c r="CA11" s="169">
        <f t="shared" si="11"/>
        <v>46203</v>
      </c>
      <c r="CB11" s="169">
        <f t="shared" si="11"/>
        <v>46234</v>
      </c>
      <c r="CC11" s="169">
        <f t="shared" si="11"/>
        <v>46265</v>
      </c>
      <c r="CD11" s="169">
        <f t="shared" si="11"/>
        <v>46295</v>
      </c>
      <c r="CE11" s="169">
        <f t="shared" si="11"/>
        <v>46326</v>
      </c>
      <c r="CF11" s="169">
        <f t="shared" si="11"/>
        <v>46356</v>
      </c>
      <c r="CG11" s="169">
        <f t="shared" si="11"/>
        <v>46387</v>
      </c>
    </row>
    <row r="12" spans="1:85">
      <c r="A12" s="168"/>
      <c r="B12" s="168"/>
      <c r="C12" s="166"/>
      <c r="D12" s="166"/>
      <c r="E12" s="167"/>
      <c r="F12" s="166"/>
      <c r="G12" s="166"/>
      <c r="I12" s="165"/>
      <c r="J12" s="165"/>
      <c r="K12" s="165"/>
      <c r="M12" s="165"/>
      <c r="N12" s="165"/>
      <c r="O12" s="165"/>
      <c r="P12" s="165"/>
      <c r="Q12" s="165"/>
      <c r="S12" s="165"/>
      <c r="T12" s="165"/>
      <c r="U12" s="165"/>
      <c r="V12" s="165"/>
      <c r="W12" s="165"/>
      <c r="X12" s="165"/>
      <c r="Y12" s="165"/>
      <c r="Z12" s="165"/>
      <c r="AA12" s="165"/>
      <c r="AB12" s="165"/>
      <c r="AC12" s="165"/>
      <c r="AD12" s="165"/>
      <c r="AE12" s="165"/>
      <c r="AF12" s="165"/>
      <c r="AG12" s="165"/>
      <c r="AH12" s="165"/>
      <c r="AI12" s="165"/>
      <c r="AK12" s="165"/>
      <c r="AL12" s="165"/>
      <c r="AM12" s="165"/>
      <c r="AN12" s="165"/>
      <c r="AO12" s="165"/>
      <c r="AP12" s="165"/>
      <c r="AQ12" s="165"/>
      <c r="AR12" s="165"/>
      <c r="AS12" s="165"/>
      <c r="AT12" s="165"/>
      <c r="AU12" s="165"/>
      <c r="AV12" s="165"/>
      <c r="AW12" s="165"/>
      <c r="AX12" s="165"/>
      <c r="AY12" s="165"/>
      <c r="AZ12" s="165"/>
      <c r="BA12" s="165"/>
      <c r="BB12" s="165"/>
      <c r="BC12" s="165"/>
      <c r="BD12" s="165"/>
      <c r="BE12" s="165"/>
      <c r="BF12" s="165"/>
      <c r="BG12" s="165"/>
      <c r="BH12" s="165"/>
      <c r="BI12" s="165"/>
      <c r="BJ12" s="165"/>
      <c r="BK12" s="165"/>
      <c r="BL12" s="165"/>
      <c r="BM12" s="165"/>
      <c r="BN12" s="165"/>
      <c r="BO12" s="165"/>
      <c r="BP12" s="165"/>
      <c r="BQ12" s="165"/>
      <c r="BR12" s="165"/>
      <c r="BS12" s="165"/>
      <c r="BT12" s="165"/>
      <c r="BU12" s="165"/>
      <c r="BV12" s="165"/>
      <c r="BW12" s="165"/>
      <c r="BX12" s="165"/>
      <c r="BY12" s="165"/>
      <c r="BZ12" s="165"/>
      <c r="CA12" s="165"/>
      <c r="CB12" s="165"/>
      <c r="CC12" s="165"/>
      <c r="CD12" s="165"/>
      <c r="CE12" s="165"/>
      <c r="CF12" s="165"/>
      <c r="CG12" s="165"/>
    </row>
    <row r="13" spans="1:85" s="157" customFormat="1" ht="15.75" collapsed="1">
      <c r="C13" s="160" t="s">
        <v>98</v>
      </c>
      <c r="D13" s="160"/>
      <c r="E13" s="161"/>
      <c r="F13" s="160"/>
      <c r="G13" s="160"/>
      <c r="J13" s="158">
        <f>SUM(J14:J16)</f>
        <v>898296.05999999994</v>
      </c>
      <c r="K13" s="158">
        <f>SUM(K14:K16)</f>
        <v>954580.05999999994</v>
      </c>
      <c r="N13" s="158">
        <f>SUM(N14:N16)</f>
        <v>245523</v>
      </c>
      <c r="O13" s="158">
        <f>SUM(O14:O16)</f>
        <v>594395</v>
      </c>
      <c r="P13" s="158">
        <f>SUM(P14:P16)</f>
        <v>942735.22666666657</v>
      </c>
      <c r="Q13" s="158">
        <f>SUM(Q14:Q16)</f>
        <v>1451330.8333333335</v>
      </c>
      <c r="R13" s="159"/>
      <c r="S13" s="159"/>
      <c r="T13" s="158">
        <f t="shared" ref="T13:AI13" si="12">SUM(T14:T16)</f>
        <v>33100</v>
      </c>
      <c r="U13" s="158">
        <f t="shared" si="12"/>
        <v>44056</v>
      </c>
      <c r="V13" s="158">
        <f t="shared" si="12"/>
        <v>58639</v>
      </c>
      <c r="W13" s="158">
        <f t="shared" si="12"/>
        <v>109728</v>
      </c>
      <c r="X13" s="158">
        <f t="shared" si="12"/>
        <v>141336</v>
      </c>
      <c r="Y13" s="158">
        <f t="shared" si="12"/>
        <v>143829</v>
      </c>
      <c r="Z13" s="158">
        <f t="shared" si="12"/>
        <v>148291</v>
      </c>
      <c r="AA13" s="158">
        <f t="shared" si="12"/>
        <v>160939</v>
      </c>
      <c r="AB13" s="158">
        <f t="shared" si="12"/>
        <v>186307.22</v>
      </c>
      <c r="AC13" s="158">
        <f t="shared" si="12"/>
        <v>224373.97</v>
      </c>
      <c r="AD13" s="158">
        <f t="shared" si="12"/>
        <v>274169.37</v>
      </c>
      <c r="AE13" s="158">
        <f t="shared" si="12"/>
        <v>257884.66666666666</v>
      </c>
      <c r="AF13" s="158">
        <f t="shared" si="12"/>
        <v>333317.5</v>
      </c>
      <c r="AG13" s="158">
        <f t="shared" si="12"/>
        <v>373317.5</v>
      </c>
      <c r="AH13" s="158">
        <f t="shared" si="12"/>
        <v>373317.5</v>
      </c>
      <c r="AI13" s="158">
        <f t="shared" si="12"/>
        <v>371378.33333333337</v>
      </c>
      <c r="AJ13" s="159"/>
      <c r="AK13" s="159"/>
      <c r="AL13" s="158">
        <f t="shared" ref="AL13:CG13" si="13">SUM(AL14:AL16)</f>
        <v>10000</v>
      </c>
      <c r="AM13" s="158">
        <f t="shared" si="13"/>
        <v>11000</v>
      </c>
      <c r="AN13" s="158">
        <f t="shared" si="13"/>
        <v>12100</v>
      </c>
      <c r="AO13" s="158">
        <f t="shared" si="13"/>
        <v>13310</v>
      </c>
      <c r="AP13" s="158">
        <f t="shared" si="13"/>
        <v>14641</v>
      </c>
      <c r="AQ13" s="158">
        <f t="shared" si="13"/>
        <v>16105</v>
      </c>
      <c r="AR13" s="158">
        <f t="shared" si="13"/>
        <v>17716</v>
      </c>
      <c r="AS13" s="158">
        <f t="shared" si="13"/>
        <v>19487</v>
      </c>
      <c r="AT13" s="158">
        <f t="shared" si="13"/>
        <v>21436</v>
      </c>
      <c r="AU13" s="158">
        <f t="shared" si="13"/>
        <v>23579</v>
      </c>
      <c r="AV13" s="158">
        <f t="shared" si="13"/>
        <v>46149</v>
      </c>
      <c r="AW13" s="158">
        <f t="shared" si="13"/>
        <v>40000</v>
      </c>
      <c r="AX13" s="158">
        <f t="shared" si="13"/>
        <v>48456.5</v>
      </c>
      <c r="AY13" s="158">
        <f t="shared" si="13"/>
        <v>42000</v>
      </c>
      <c r="AZ13" s="158">
        <f t="shared" si="13"/>
        <v>50879.5</v>
      </c>
      <c r="BA13" s="158">
        <f t="shared" si="13"/>
        <v>44100</v>
      </c>
      <c r="BB13" s="158">
        <f t="shared" si="13"/>
        <v>53424</v>
      </c>
      <c r="BC13" s="158">
        <f t="shared" si="13"/>
        <v>46305</v>
      </c>
      <c r="BD13" s="158">
        <f t="shared" si="13"/>
        <v>48620</v>
      </c>
      <c r="BE13" s="158">
        <f t="shared" si="13"/>
        <v>48620</v>
      </c>
      <c r="BF13" s="158">
        <f t="shared" si="13"/>
        <v>51051</v>
      </c>
      <c r="BG13" s="158">
        <f t="shared" si="13"/>
        <v>51051</v>
      </c>
      <c r="BH13" s="158">
        <f t="shared" si="13"/>
        <v>53604</v>
      </c>
      <c r="BI13" s="158">
        <f t="shared" si="13"/>
        <v>56284</v>
      </c>
      <c r="BJ13" s="158">
        <f t="shared" si="13"/>
        <v>59098.22</v>
      </c>
      <c r="BK13" s="158">
        <f t="shared" si="13"/>
        <v>62053</v>
      </c>
      <c r="BL13" s="158">
        <f t="shared" si="13"/>
        <v>65156</v>
      </c>
      <c r="BM13" s="158">
        <f t="shared" si="13"/>
        <v>68414</v>
      </c>
      <c r="BN13" s="158">
        <f t="shared" si="13"/>
        <v>71834</v>
      </c>
      <c r="BO13" s="158">
        <f t="shared" si="13"/>
        <v>84125.97</v>
      </c>
      <c r="BP13" s="158">
        <f t="shared" si="13"/>
        <v>85697.26</v>
      </c>
      <c r="BQ13" s="158">
        <f t="shared" si="13"/>
        <v>83157.13</v>
      </c>
      <c r="BR13" s="158">
        <f t="shared" si="13"/>
        <v>105314.98</v>
      </c>
      <c r="BS13" s="158">
        <f t="shared" si="13"/>
        <v>101680.73</v>
      </c>
      <c r="BT13" s="158">
        <f t="shared" si="13"/>
        <v>111764.77</v>
      </c>
      <c r="BU13" s="158">
        <f t="shared" si="13"/>
        <v>44439.166666666664</v>
      </c>
      <c r="BV13" s="158">
        <f t="shared" si="13"/>
        <v>84439.166666666672</v>
      </c>
      <c r="BW13" s="158">
        <f t="shared" si="13"/>
        <v>124439.16666666667</v>
      </c>
      <c r="BX13" s="158">
        <f t="shared" si="13"/>
        <v>124439.16666666667</v>
      </c>
      <c r="BY13" s="158">
        <f t="shared" si="13"/>
        <v>124439.16666666667</v>
      </c>
      <c r="BZ13" s="158">
        <f t="shared" si="13"/>
        <v>124439.16666666667</v>
      </c>
      <c r="CA13" s="158">
        <f t="shared" si="13"/>
        <v>124439.16666666667</v>
      </c>
      <c r="CB13" s="158">
        <f t="shared" si="13"/>
        <v>124439.16666666667</v>
      </c>
      <c r="CC13" s="158">
        <f t="shared" si="13"/>
        <v>124439.16666666667</v>
      </c>
      <c r="CD13" s="158">
        <f t="shared" si="13"/>
        <v>124439.16666666667</v>
      </c>
      <c r="CE13" s="158">
        <f t="shared" si="13"/>
        <v>124439.16666666667</v>
      </c>
      <c r="CF13" s="158">
        <f t="shared" si="13"/>
        <v>124439.16666666667</v>
      </c>
      <c r="CG13" s="158">
        <f t="shared" si="13"/>
        <v>122500</v>
      </c>
    </row>
    <row r="14" spans="1:85" hidden="1" outlineLevel="2">
      <c r="C14" s="331" t="s">
        <v>98</v>
      </c>
      <c r="D14" s="163" t="str">
        <f>C14</f>
        <v>Revenue</v>
      </c>
      <c r="E14" s="150" t="s">
        <v>98</v>
      </c>
      <c r="F14" s="163"/>
      <c r="G14" s="163"/>
      <c r="J14" s="184" cm="1">
        <f t="array" ref="J14">IFERROR(SUM(_xlfn._xlws.FILTER(_xlfn._xlws.FILTER(dataSummaryPL,(dataSummaryPLSummarys=$D14)*(dataSummaryPLSections=$E14)),(startDates&gt;=J$7)*(endDates&lt;=J$8))),0)</f>
        <v>898296.05999999994</v>
      </c>
      <c r="K14" s="184" cm="1">
        <f t="array" ref="K14">IFERROR(SUM(_xlfn._xlws.FILTER(_xlfn._xlws.FILTER(dataSummaryPL,(dataSummaryPLSummarys=$D14)*(dataSummaryPLSections=$E14)),(startDates&gt;=K$7)*(endDates&lt;=K$8))),0)</f>
        <v>954580.05999999994</v>
      </c>
      <c r="N14" s="184" cm="1">
        <f t="array" ref="N14">IFERROR(SUM(_xlfn._xlws.FILTER(_xlfn._xlws.FILTER(dataSummaryPL,(dataSummaryPLSummarys=$D14)*(dataSummaryPLSections=$E14)),(startDates&gt;=N$7)*(endDates&lt;=N$8))),0)</f>
        <v>245523</v>
      </c>
      <c r="O14" s="184" cm="1">
        <f t="array" ref="O14">IFERROR(SUM(_xlfn._xlws.FILTER(_xlfn._xlws.FILTER(dataSummaryPL,(dataSummaryPLSummarys=$D14)*(dataSummaryPLSections=$E14)),(startDates&gt;=O$7)*(endDates&lt;=O$8))),0)</f>
        <v>594395</v>
      </c>
      <c r="P14" s="184" cm="1">
        <f t="array" ref="P14">IFERROR(SUM(_xlfn._xlws.FILTER(_xlfn._xlws.FILTER(dataSummaryPL,(dataSummaryPLSummarys=$D14)*(dataSummaryPLSections=$E14)),(startDates&gt;=P$7)*(endDates&lt;=P$8))),0)</f>
        <v>942735.22666666657</v>
      </c>
      <c r="Q14" s="184" cm="1">
        <f t="array" ref="Q14">IFERROR(SUM(_xlfn._xlws.FILTER(_xlfn._xlws.FILTER(dataSummaryPL,(dataSummaryPLSummarys=$D14)*(dataSummaryPLSections=$E14)),(startDates&gt;=Q$7)*(endDates&lt;=Q$8))),0)</f>
        <v>1451330.8333333335</v>
      </c>
      <c r="T14" s="184" cm="1">
        <f t="array" ref="T14">IFERROR(SUM(_xlfn._xlws.FILTER(_xlfn._xlws.FILTER(dataSummaryPL,(dataSummaryPLSummarys=$D14)*(dataSummaryPLSections=$E14)),(startDates&gt;=T$7)*(endDates&lt;=T$8))),0)</f>
        <v>33100</v>
      </c>
      <c r="U14" s="184" cm="1">
        <f t="array" ref="U14">IFERROR(SUM(_xlfn._xlws.FILTER(_xlfn._xlws.FILTER(dataSummaryPL,(dataSummaryPLSummarys=$D14)*(dataSummaryPLSections=$E14)),(startDates&gt;=U$7)*(endDates&lt;=U$8))),0)</f>
        <v>44056</v>
      </c>
      <c r="V14" s="184" cm="1">
        <f t="array" ref="V14">IFERROR(SUM(_xlfn._xlws.FILTER(_xlfn._xlws.FILTER(dataSummaryPL,(dataSummaryPLSummarys=$D14)*(dataSummaryPLSections=$E14)),(startDates&gt;=V$7)*(endDates&lt;=V$8))),0)</f>
        <v>58639</v>
      </c>
      <c r="W14" s="184" cm="1">
        <f t="array" ref="W14">IFERROR(SUM(_xlfn._xlws.FILTER(_xlfn._xlws.FILTER(dataSummaryPL,(dataSummaryPLSummarys=$D14)*(dataSummaryPLSections=$E14)),(startDates&gt;=W$7)*(endDates&lt;=W$8))),0)</f>
        <v>109728</v>
      </c>
      <c r="X14" s="184" cm="1">
        <f t="array" ref="X14">IFERROR(SUM(_xlfn._xlws.FILTER(_xlfn._xlws.FILTER(dataSummaryPL,(dataSummaryPLSummarys=$D14)*(dataSummaryPLSections=$E14)),(startDates&gt;=X$7)*(endDates&lt;=X$8))),0)</f>
        <v>141336</v>
      </c>
      <c r="Y14" s="184" cm="1">
        <f t="array" ref="Y14">IFERROR(SUM(_xlfn._xlws.FILTER(_xlfn._xlws.FILTER(dataSummaryPL,(dataSummaryPLSummarys=$D14)*(dataSummaryPLSections=$E14)),(startDates&gt;=Y$7)*(endDates&lt;=Y$8))),0)</f>
        <v>143829</v>
      </c>
      <c r="Z14" s="184" cm="1">
        <f t="array" ref="Z14">IFERROR(SUM(_xlfn._xlws.FILTER(_xlfn._xlws.FILTER(dataSummaryPL,(dataSummaryPLSummarys=$D14)*(dataSummaryPLSections=$E14)),(startDates&gt;=Z$7)*(endDates&lt;=Z$8))),0)</f>
        <v>148291</v>
      </c>
      <c r="AA14" s="184" cm="1">
        <f t="array" ref="AA14">IFERROR(SUM(_xlfn._xlws.FILTER(_xlfn._xlws.FILTER(dataSummaryPL,(dataSummaryPLSummarys=$D14)*(dataSummaryPLSections=$E14)),(startDates&gt;=AA$7)*(endDates&lt;=AA$8))),0)</f>
        <v>160939</v>
      </c>
      <c r="AB14" s="184" cm="1">
        <f t="array" ref="AB14">IFERROR(SUM(_xlfn._xlws.FILTER(_xlfn._xlws.FILTER(dataSummaryPL,(dataSummaryPLSummarys=$D14)*(dataSummaryPLSections=$E14)),(startDates&gt;=AB$7)*(endDates&lt;=AB$8))),0)</f>
        <v>186307.22</v>
      </c>
      <c r="AC14" s="184" cm="1">
        <f t="array" ref="AC14">IFERROR(SUM(_xlfn._xlws.FILTER(_xlfn._xlws.FILTER(dataSummaryPL,(dataSummaryPLSummarys=$D14)*(dataSummaryPLSections=$E14)),(startDates&gt;=AC$7)*(endDates&lt;=AC$8))),0)</f>
        <v>224373.97</v>
      </c>
      <c r="AD14" s="184" cm="1">
        <f t="array" ref="AD14">IFERROR(SUM(_xlfn._xlws.FILTER(_xlfn._xlws.FILTER(dataSummaryPL,(dataSummaryPLSummarys=$D14)*(dataSummaryPLSections=$E14)),(startDates&gt;=AD$7)*(endDates&lt;=AD$8))),0)</f>
        <v>274169.37</v>
      </c>
      <c r="AE14" s="184" cm="1">
        <f t="array" ref="AE14">IFERROR(SUM(_xlfn._xlws.FILTER(_xlfn._xlws.FILTER(dataSummaryPL,(dataSummaryPLSummarys=$D14)*(dataSummaryPLSections=$E14)),(startDates&gt;=AE$7)*(endDates&lt;=AE$8))),0)</f>
        <v>257884.66666666666</v>
      </c>
      <c r="AF14" s="184" cm="1">
        <f t="array" ref="AF14">IFERROR(SUM(_xlfn._xlws.FILTER(_xlfn._xlws.FILTER(dataSummaryPL,(dataSummaryPLSummarys=$D14)*(dataSummaryPLSections=$E14)),(startDates&gt;=AF$7)*(endDates&lt;=AF$8))),0)</f>
        <v>333317.5</v>
      </c>
      <c r="AG14" s="184" cm="1">
        <f t="array" ref="AG14">IFERROR(SUM(_xlfn._xlws.FILTER(_xlfn._xlws.FILTER(dataSummaryPL,(dataSummaryPLSummarys=$D14)*(dataSummaryPLSections=$E14)),(startDates&gt;=AG$7)*(endDates&lt;=AG$8))),0)</f>
        <v>373317.5</v>
      </c>
      <c r="AH14" s="184" cm="1">
        <f t="array" ref="AH14">IFERROR(SUM(_xlfn._xlws.FILTER(_xlfn._xlws.FILTER(dataSummaryPL,(dataSummaryPLSummarys=$D14)*(dataSummaryPLSections=$E14)),(startDates&gt;=AH$7)*(endDates&lt;=AH$8))),0)</f>
        <v>373317.5</v>
      </c>
      <c r="AI14" s="184" cm="1">
        <f t="array" ref="AI14">IFERROR(SUM(_xlfn._xlws.FILTER(_xlfn._xlws.FILTER(dataSummaryPL,(dataSummaryPLSummarys=$D14)*(dataSummaryPLSections=$E14)),(startDates&gt;=AI$7)*(endDates&lt;=AI$8))),0)</f>
        <v>371378.33333333337</v>
      </c>
      <c r="AL14" s="184" cm="1">
        <f t="array" ref="AL14">IFERROR(SUM(_xlfn._xlws.FILTER(_xlfn._xlws.FILTER(dataSummaryPL,(dataSummaryPLSummarys=$D14)*(dataSummaryPLSections=$E14)),(startDates&gt;=AL$7)*(endDates&lt;=AL$8))),0)</f>
        <v>10000</v>
      </c>
      <c r="AM14" s="184" cm="1">
        <f t="array" ref="AM14">IFERROR(SUM(_xlfn._xlws.FILTER(_xlfn._xlws.FILTER(dataSummaryPL,(dataSummaryPLSummarys=$D14)*(dataSummaryPLSections=$E14)),(startDates&gt;=AM$7)*(endDates&lt;=AM$8))),0)</f>
        <v>11000</v>
      </c>
      <c r="AN14" s="184" cm="1">
        <f t="array" ref="AN14">IFERROR(SUM(_xlfn._xlws.FILTER(_xlfn._xlws.FILTER(dataSummaryPL,(dataSummaryPLSummarys=$D14)*(dataSummaryPLSections=$E14)),(startDates&gt;=AN$7)*(endDates&lt;=AN$8))),0)</f>
        <v>12100</v>
      </c>
      <c r="AO14" s="184" cm="1">
        <f t="array" ref="AO14">IFERROR(SUM(_xlfn._xlws.FILTER(_xlfn._xlws.FILTER(dataSummaryPL,(dataSummaryPLSummarys=$D14)*(dataSummaryPLSections=$E14)),(startDates&gt;=AO$7)*(endDates&lt;=AO$8))),0)</f>
        <v>13310</v>
      </c>
      <c r="AP14" s="184" cm="1">
        <f t="array" ref="AP14">IFERROR(SUM(_xlfn._xlws.FILTER(_xlfn._xlws.FILTER(dataSummaryPL,(dataSummaryPLSummarys=$D14)*(dataSummaryPLSections=$E14)),(startDates&gt;=AP$7)*(endDates&lt;=AP$8))),0)</f>
        <v>14641</v>
      </c>
      <c r="AQ14" s="184" cm="1">
        <f t="array" ref="AQ14">IFERROR(SUM(_xlfn._xlws.FILTER(_xlfn._xlws.FILTER(dataSummaryPL,(dataSummaryPLSummarys=$D14)*(dataSummaryPLSections=$E14)),(startDates&gt;=AQ$7)*(endDates&lt;=AQ$8))),0)</f>
        <v>16105</v>
      </c>
      <c r="AR14" s="184" cm="1">
        <f t="array" ref="AR14">IFERROR(SUM(_xlfn._xlws.FILTER(_xlfn._xlws.FILTER(dataSummaryPL,(dataSummaryPLSummarys=$D14)*(dataSummaryPLSections=$E14)),(startDates&gt;=AR$7)*(endDates&lt;=AR$8))),0)</f>
        <v>17716</v>
      </c>
      <c r="AS14" s="184" cm="1">
        <f t="array" ref="AS14">IFERROR(SUM(_xlfn._xlws.FILTER(_xlfn._xlws.FILTER(dataSummaryPL,(dataSummaryPLSummarys=$D14)*(dataSummaryPLSections=$E14)),(startDates&gt;=AS$7)*(endDates&lt;=AS$8))),0)</f>
        <v>19487</v>
      </c>
      <c r="AT14" s="184" cm="1">
        <f t="array" ref="AT14">IFERROR(SUM(_xlfn._xlws.FILTER(_xlfn._xlws.FILTER(dataSummaryPL,(dataSummaryPLSummarys=$D14)*(dataSummaryPLSections=$E14)),(startDates&gt;=AT$7)*(endDates&lt;=AT$8))),0)</f>
        <v>21436</v>
      </c>
      <c r="AU14" s="184" cm="1">
        <f t="array" ref="AU14">IFERROR(SUM(_xlfn._xlws.FILTER(_xlfn._xlws.FILTER(dataSummaryPL,(dataSummaryPLSummarys=$D14)*(dataSummaryPLSections=$E14)),(startDates&gt;=AU$7)*(endDates&lt;=AU$8))),0)</f>
        <v>23579</v>
      </c>
      <c r="AV14" s="184" cm="1">
        <f t="array" ref="AV14">IFERROR(SUM(_xlfn._xlws.FILTER(_xlfn._xlws.FILTER(dataSummaryPL,(dataSummaryPLSummarys=$D14)*(dataSummaryPLSections=$E14)),(startDates&gt;=AV$7)*(endDates&lt;=AV$8))),0)</f>
        <v>46149</v>
      </c>
      <c r="AW14" s="184" cm="1">
        <f t="array" ref="AW14">IFERROR(SUM(_xlfn._xlws.FILTER(_xlfn._xlws.FILTER(dataSummaryPL,(dataSummaryPLSummarys=$D14)*(dataSummaryPLSections=$E14)),(startDates&gt;=AW$7)*(endDates&lt;=AW$8))),0)</f>
        <v>40000</v>
      </c>
      <c r="AX14" s="184" cm="1">
        <f t="array" ref="AX14">IFERROR(SUM(_xlfn._xlws.FILTER(_xlfn._xlws.FILTER(dataSummaryPL,(dataSummaryPLSummarys=$D14)*(dataSummaryPLSections=$E14)),(startDates&gt;=AX$7)*(endDates&lt;=AX$8))),0)</f>
        <v>48456.5</v>
      </c>
      <c r="AY14" s="184" cm="1">
        <f t="array" ref="AY14">IFERROR(SUM(_xlfn._xlws.FILTER(_xlfn._xlws.FILTER(dataSummaryPL,(dataSummaryPLSummarys=$D14)*(dataSummaryPLSections=$E14)),(startDates&gt;=AY$7)*(endDates&lt;=AY$8))),0)</f>
        <v>42000</v>
      </c>
      <c r="AZ14" s="184" cm="1">
        <f t="array" ref="AZ14">IFERROR(SUM(_xlfn._xlws.FILTER(_xlfn._xlws.FILTER(dataSummaryPL,(dataSummaryPLSummarys=$D14)*(dataSummaryPLSections=$E14)),(startDates&gt;=AZ$7)*(endDates&lt;=AZ$8))),0)</f>
        <v>50879.5</v>
      </c>
      <c r="BA14" s="184" cm="1">
        <f t="array" ref="BA14">IFERROR(SUM(_xlfn._xlws.FILTER(_xlfn._xlws.FILTER(dataSummaryPL,(dataSummaryPLSummarys=$D14)*(dataSummaryPLSections=$E14)),(startDates&gt;=BA$7)*(endDates&lt;=BA$8))),0)</f>
        <v>44100</v>
      </c>
      <c r="BB14" s="184" cm="1">
        <f t="array" ref="BB14">IFERROR(SUM(_xlfn._xlws.FILTER(_xlfn._xlws.FILTER(dataSummaryPL,(dataSummaryPLSummarys=$D14)*(dataSummaryPLSections=$E14)),(startDates&gt;=BB$7)*(endDates&lt;=BB$8))),0)</f>
        <v>53424</v>
      </c>
      <c r="BC14" s="184" cm="1">
        <f t="array" ref="BC14">IFERROR(SUM(_xlfn._xlws.FILTER(_xlfn._xlws.FILTER(dataSummaryPL,(dataSummaryPLSummarys=$D14)*(dataSummaryPLSections=$E14)),(startDates&gt;=BC$7)*(endDates&lt;=BC$8))),0)</f>
        <v>46305</v>
      </c>
      <c r="BD14" s="184" cm="1">
        <f t="array" ref="BD14">IFERROR(SUM(_xlfn._xlws.FILTER(_xlfn._xlws.FILTER(dataSummaryPL,(dataSummaryPLSummarys=$D14)*(dataSummaryPLSections=$E14)),(startDates&gt;=BD$7)*(endDates&lt;=BD$8))),0)</f>
        <v>48620</v>
      </c>
      <c r="BE14" s="184" cm="1">
        <f t="array" ref="BE14">IFERROR(SUM(_xlfn._xlws.FILTER(_xlfn._xlws.FILTER(dataSummaryPL,(dataSummaryPLSummarys=$D14)*(dataSummaryPLSections=$E14)),(startDates&gt;=BE$7)*(endDates&lt;=BE$8))),0)</f>
        <v>48620</v>
      </c>
      <c r="BF14" s="184" cm="1">
        <f t="array" ref="BF14">IFERROR(SUM(_xlfn._xlws.FILTER(_xlfn._xlws.FILTER(dataSummaryPL,(dataSummaryPLSummarys=$D14)*(dataSummaryPLSections=$E14)),(startDates&gt;=BF$7)*(endDates&lt;=BF$8))),0)</f>
        <v>51051</v>
      </c>
      <c r="BG14" s="184" cm="1">
        <f t="array" ref="BG14">IFERROR(SUM(_xlfn._xlws.FILTER(_xlfn._xlws.FILTER(dataSummaryPL,(dataSummaryPLSummarys=$D14)*(dataSummaryPLSections=$E14)),(startDates&gt;=BG$7)*(endDates&lt;=BG$8))),0)</f>
        <v>51051</v>
      </c>
      <c r="BH14" s="184" cm="1">
        <f t="array" ref="BH14">IFERROR(SUM(_xlfn._xlws.FILTER(_xlfn._xlws.FILTER(dataSummaryPL,(dataSummaryPLSummarys=$D14)*(dataSummaryPLSections=$E14)),(startDates&gt;=BH$7)*(endDates&lt;=BH$8))),0)</f>
        <v>53604</v>
      </c>
      <c r="BI14" s="184" cm="1">
        <f t="array" ref="BI14">IFERROR(SUM(_xlfn._xlws.FILTER(_xlfn._xlws.FILTER(dataSummaryPL,(dataSummaryPLSummarys=$D14)*(dataSummaryPLSections=$E14)),(startDates&gt;=BI$7)*(endDates&lt;=BI$8))),0)</f>
        <v>56284</v>
      </c>
      <c r="BJ14" s="184" cm="1">
        <f t="array" ref="BJ14">IFERROR(SUM(_xlfn._xlws.FILTER(_xlfn._xlws.FILTER(dataSummaryPL,(dataSummaryPLSummarys=$D14)*(dataSummaryPLSections=$E14)),(startDates&gt;=BJ$7)*(endDates&lt;=BJ$8))),0)</f>
        <v>59098.22</v>
      </c>
      <c r="BK14" s="184" cm="1">
        <f t="array" ref="BK14">IFERROR(SUM(_xlfn._xlws.FILTER(_xlfn._xlws.FILTER(dataSummaryPL,(dataSummaryPLSummarys=$D14)*(dataSummaryPLSections=$E14)),(startDates&gt;=BK$7)*(endDates&lt;=BK$8))),0)</f>
        <v>62053</v>
      </c>
      <c r="BL14" s="184" cm="1">
        <f t="array" ref="BL14">IFERROR(SUM(_xlfn._xlws.FILTER(_xlfn._xlws.FILTER(dataSummaryPL,(dataSummaryPLSummarys=$D14)*(dataSummaryPLSections=$E14)),(startDates&gt;=BL$7)*(endDates&lt;=BL$8))),0)</f>
        <v>65156</v>
      </c>
      <c r="BM14" s="184" cm="1">
        <f t="array" ref="BM14">IFERROR(SUM(_xlfn._xlws.FILTER(_xlfn._xlws.FILTER(dataSummaryPL,(dataSummaryPLSummarys=$D14)*(dataSummaryPLSections=$E14)),(startDates&gt;=BM$7)*(endDates&lt;=BM$8))),0)</f>
        <v>68414</v>
      </c>
      <c r="BN14" s="184" cm="1">
        <f t="array" ref="BN14">IFERROR(SUM(_xlfn._xlws.FILTER(_xlfn._xlws.FILTER(dataSummaryPL,(dataSummaryPLSummarys=$D14)*(dataSummaryPLSections=$E14)),(startDates&gt;=BN$7)*(endDates&lt;=BN$8))),0)</f>
        <v>71834</v>
      </c>
      <c r="BO14" s="184" cm="1">
        <f t="array" ref="BO14">IFERROR(SUM(_xlfn._xlws.FILTER(_xlfn._xlws.FILTER(dataSummaryPL,(dataSummaryPLSummarys=$D14)*(dataSummaryPLSections=$E14)),(startDates&gt;=BO$7)*(endDates&lt;=BO$8))),0)</f>
        <v>84125.97</v>
      </c>
      <c r="BP14" s="184" cm="1">
        <f t="array" ref="BP14">IFERROR(SUM(_xlfn._xlws.FILTER(_xlfn._xlws.FILTER(dataSummaryPL,(dataSummaryPLSummarys=$D14)*(dataSummaryPLSections=$E14)),(startDates&gt;=BP$7)*(endDates&lt;=BP$8))),0)</f>
        <v>85697.26</v>
      </c>
      <c r="BQ14" s="184" cm="1">
        <f t="array" ref="BQ14">IFERROR(SUM(_xlfn._xlws.FILTER(_xlfn._xlws.FILTER(dataSummaryPL,(dataSummaryPLSummarys=$D14)*(dataSummaryPLSections=$E14)),(startDates&gt;=BQ$7)*(endDates&lt;=BQ$8))),0)</f>
        <v>83157.13</v>
      </c>
      <c r="BR14" s="184" cm="1">
        <f t="array" ref="BR14">IFERROR(SUM(_xlfn._xlws.FILTER(_xlfn._xlws.FILTER(dataSummaryPL,(dataSummaryPLSummarys=$D14)*(dataSummaryPLSections=$E14)),(startDates&gt;=BR$7)*(endDates&lt;=BR$8))),0)</f>
        <v>105314.98</v>
      </c>
      <c r="BS14" s="184" cm="1">
        <f t="array" ref="BS14">IFERROR(SUM(_xlfn._xlws.FILTER(_xlfn._xlws.FILTER(dataSummaryPL,(dataSummaryPLSummarys=$D14)*(dataSummaryPLSections=$E14)),(startDates&gt;=BS$7)*(endDates&lt;=BS$8))),0)</f>
        <v>101680.73</v>
      </c>
      <c r="BT14" s="184" cm="1">
        <f t="array" ref="BT14">IFERROR(SUM(_xlfn._xlws.FILTER(_xlfn._xlws.FILTER(dataSummaryPL,(dataSummaryPLSummarys=$D14)*(dataSummaryPLSections=$E14)),(startDates&gt;=BT$7)*(endDates&lt;=BT$8))),0)</f>
        <v>111764.77</v>
      </c>
      <c r="BU14" s="184" cm="1">
        <f t="array" ref="BU14">IFERROR(SUM(_xlfn._xlws.FILTER(_xlfn._xlws.FILTER(dataSummaryPL,(dataSummaryPLSummarys=$D14)*(dataSummaryPLSections=$E14)),(startDates&gt;=BU$7)*(endDates&lt;=BU$8))),0)</f>
        <v>44439.166666666664</v>
      </c>
      <c r="BV14" s="184" cm="1">
        <f t="array" ref="BV14">IFERROR(SUM(_xlfn._xlws.FILTER(_xlfn._xlws.FILTER(dataSummaryPL,(dataSummaryPLSummarys=$D14)*(dataSummaryPLSections=$E14)),(startDates&gt;=BV$7)*(endDates&lt;=BV$8))),0)</f>
        <v>84439.166666666672</v>
      </c>
      <c r="BW14" s="184" cm="1">
        <f t="array" ref="BW14">IFERROR(SUM(_xlfn._xlws.FILTER(_xlfn._xlws.FILTER(dataSummaryPL,(dataSummaryPLSummarys=$D14)*(dataSummaryPLSections=$E14)),(startDates&gt;=BW$7)*(endDates&lt;=BW$8))),0)</f>
        <v>124439.16666666667</v>
      </c>
      <c r="BX14" s="184" cm="1">
        <f t="array" ref="BX14">IFERROR(SUM(_xlfn._xlws.FILTER(_xlfn._xlws.FILTER(dataSummaryPL,(dataSummaryPLSummarys=$D14)*(dataSummaryPLSections=$E14)),(startDates&gt;=BX$7)*(endDates&lt;=BX$8))),0)</f>
        <v>124439.16666666667</v>
      </c>
      <c r="BY14" s="184" cm="1">
        <f t="array" ref="BY14">IFERROR(SUM(_xlfn._xlws.FILTER(_xlfn._xlws.FILTER(dataSummaryPL,(dataSummaryPLSummarys=$D14)*(dataSummaryPLSections=$E14)),(startDates&gt;=BY$7)*(endDates&lt;=BY$8))),0)</f>
        <v>124439.16666666667</v>
      </c>
      <c r="BZ14" s="184" cm="1">
        <f t="array" ref="BZ14">IFERROR(SUM(_xlfn._xlws.FILTER(_xlfn._xlws.FILTER(dataSummaryPL,(dataSummaryPLSummarys=$D14)*(dataSummaryPLSections=$E14)),(startDates&gt;=BZ$7)*(endDates&lt;=BZ$8))),0)</f>
        <v>124439.16666666667</v>
      </c>
      <c r="CA14" s="184" cm="1">
        <f t="array" ref="CA14">IFERROR(SUM(_xlfn._xlws.FILTER(_xlfn._xlws.FILTER(dataSummaryPL,(dataSummaryPLSummarys=$D14)*(dataSummaryPLSections=$E14)),(startDates&gt;=CA$7)*(endDates&lt;=CA$8))),0)</f>
        <v>124439.16666666667</v>
      </c>
      <c r="CB14" s="184" cm="1">
        <f t="array" ref="CB14">IFERROR(SUM(_xlfn._xlws.FILTER(_xlfn._xlws.FILTER(dataSummaryPL,(dataSummaryPLSummarys=$D14)*(dataSummaryPLSections=$E14)),(startDates&gt;=CB$7)*(endDates&lt;=CB$8))),0)</f>
        <v>124439.16666666667</v>
      </c>
      <c r="CC14" s="184" cm="1">
        <f t="array" ref="CC14">IFERROR(SUM(_xlfn._xlws.FILTER(_xlfn._xlws.FILTER(dataSummaryPL,(dataSummaryPLSummarys=$D14)*(dataSummaryPLSections=$E14)),(startDates&gt;=CC$7)*(endDates&lt;=CC$8))),0)</f>
        <v>124439.16666666667</v>
      </c>
      <c r="CD14" s="184" cm="1">
        <f t="array" ref="CD14">IFERROR(SUM(_xlfn._xlws.FILTER(_xlfn._xlws.FILTER(dataSummaryPL,(dataSummaryPLSummarys=$D14)*(dataSummaryPLSections=$E14)),(startDates&gt;=CD$7)*(endDates&lt;=CD$8))),0)</f>
        <v>124439.16666666667</v>
      </c>
      <c r="CE14" s="184" cm="1">
        <f t="array" ref="CE14">IFERROR(SUM(_xlfn._xlws.FILTER(_xlfn._xlws.FILTER(dataSummaryPL,(dataSummaryPLSummarys=$D14)*(dataSummaryPLSections=$E14)),(startDates&gt;=CE$7)*(endDates&lt;=CE$8))),0)</f>
        <v>124439.16666666667</v>
      </c>
      <c r="CF14" s="184" cm="1">
        <f t="array" ref="CF14">IFERROR(SUM(_xlfn._xlws.FILTER(_xlfn._xlws.FILTER(dataSummaryPL,(dataSummaryPLSummarys=$D14)*(dataSummaryPLSections=$E14)),(startDates&gt;=CF$7)*(endDates&lt;=CF$8))),0)</f>
        <v>124439.16666666667</v>
      </c>
      <c r="CG14" s="184" cm="1">
        <f t="array" ref="CG14">IFERROR(SUM(_xlfn._xlws.FILTER(_xlfn._xlws.FILTER(dataSummaryPL,(dataSummaryPLSummarys=$D14)*(dataSummaryPLSections=$E14)),(startDates&gt;=CG$7)*(endDates&lt;=CG$8))),0)</f>
        <v>122500</v>
      </c>
    </row>
    <row r="15" spans="1:85" hidden="1" outlineLevel="2">
      <c r="C15" s="331" t="s">
        <v>168</v>
      </c>
      <c r="D15" s="163" t="str">
        <f>C15</f>
        <v>Product Revenue</v>
      </c>
      <c r="E15" s="150" t="s">
        <v>98</v>
      </c>
      <c r="F15" s="163"/>
      <c r="G15" s="163"/>
      <c r="J15" s="184" cm="1">
        <f t="array" ref="J15">IFERROR(SUM(_xlfn._xlws.FILTER(_xlfn._xlws.FILTER(dataSummaryPL,(dataSummaryPLSummarys=$D15)*(dataSummaryPLSections=$E15)),(startDates&gt;=J$7)*(endDates&lt;=J$8))),0)</f>
        <v>0</v>
      </c>
      <c r="K15" s="184" cm="1">
        <f t="array" ref="K15">IFERROR(SUM(_xlfn._xlws.FILTER(_xlfn._xlws.FILTER(dataSummaryPL,(dataSummaryPLSummarys=$D15)*(dataSummaryPLSections=$E15)),(startDates&gt;=K$7)*(endDates&lt;=K$8))),0)</f>
        <v>0</v>
      </c>
      <c r="N15" s="184" cm="1">
        <f t="array" ref="N15">IFERROR(SUM(_xlfn._xlws.FILTER(_xlfn._xlws.FILTER(dataSummaryPL,(dataSummaryPLSummarys=$D15)*(dataSummaryPLSections=$E15)),(startDates&gt;=N$7)*(endDates&lt;=N$8))),0)</f>
        <v>0</v>
      </c>
      <c r="O15" s="184" cm="1">
        <f t="array" ref="O15">IFERROR(SUM(_xlfn._xlws.FILTER(_xlfn._xlws.FILTER(dataSummaryPL,(dataSummaryPLSummarys=$D15)*(dataSummaryPLSections=$E15)),(startDates&gt;=O$7)*(endDates&lt;=O$8))),0)</f>
        <v>0</v>
      </c>
      <c r="P15" s="184" cm="1">
        <f t="array" ref="P15">IFERROR(SUM(_xlfn._xlws.FILTER(_xlfn._xlws.FILTER(dataSummaryPL,(dataSummaryPLSummarys=$D15)*(dataSummaryPLSections=$E15)),(startDates&gt;=P$7)*(endDates&lt;=P$8))),0)</f>
        <v>0</v>
      </c>
      <c r="Q15" s="184" cm="1">
        <f t="array" ref="Q15">IFERROR(SUM(_xlfn._xlws.FILTER(_xlfn._xlws.FILTER(dataSummaryPL,(dataSummaryPLSummarys=$D15)*(dataSummaryPLSections=$E15)),(startDates&gt;=Q$7)*(endDates&lt;=Q$8))),0)</f>
        <v>0</v>
      </c>
      <c r="T15" s="184" cm="1">
        <f t="array" ref="T15">IFERROR(SUM(_xlfn._xlws.FILTER(_xlfn._xlws.FILTER(dataSummaryPL,(dataSummaryPLSummarys=$D15)*(dataSummaryPLSections=$E15)),(startDates&gt;=T$7)*(endDates&lt;=T$8))),0)</f>
        <v>0</v>
      </c>
      <c r="U15" s="184" cm="1">
        <f t="array" ref="U15">IFERROR(SUM(_xlfn._xlws.FILTER(_xlfn._xlws.FILTER(dataSummaryPL,(dataSummaryPLSummarys=$D15)*(dataSummaryPLSections=$E15)),(startDates&gt;=U$7)*(endDates&lt;=U$8))),0)</f>
        <v>0</v>
      </c>
      <c r="V15" s="184" cm="1">
        <f t="array" ref="V15">IFERROR(SUM(_xlfn._xlws.FILTER(_xlfn._xlws.FILTER(dataSummaryPL,(dataSummaryPLSummarys=$D15)*(dataSummaryPLSections=$E15)),(startDates&gt;=V$7)*(endDates&lt;=V$8))),0)</f>
        <v>0</v>
      </c>
      <c r="W15" s="184" cm="1">
        <f t="array" ref="W15">IFERROR(SUM(_xlfn._xlws.FILTER(_xlfn._xlws.FILTER(dataSummaryPL,(dataSummaryPLSummarys=$D15)*(dataSummaryPLSections=$E15)),(startDates&gt;=W$7)*(endDates&lt;=W$8))),0)</f>
        <v>0</v>
      </c>
      <c r="X15" s="184" cm="1">
        <f t="array" ref="X15">IFERROR(SUM(_xlfn._xlws.FILTER(_xlfn._xlws.FILTER(dataSummaryPL,(dataSummaryPLSummarys=$D15)*(dataSummaryPLSections=$E15)),(startDates&gt;=X$7)*(endDates&lt;=X$8))),0)</f>
        <v>0</v>
      </c>
      <c r="Y15" s="184" cm="1">
        <f t="array" ref="Y15">IFERROR(SUM(_xlfn._xlws.FILTER(_xlfn._xlws.FILTER(dataSummaryPL,(dataSummaryPLSummarys=$D15)*(dataSummaryPLSections=$E15)),(startDates&gt;=Y$7)*(endDates&lt;=Y$8))),0)</f>
        <v>0</v>
      </c>
      <c r="Z15" s="184" cm="1">
        <f t="array" ref="Z15">IFERROR(SUM(_xlfn._xlws.FILTER(_xlfn._xlws.FILTER(dataSummaryPL,(dataSummaryPLSummarys=$D15)*(dataSummaryPLSections=$E15)),(startDates&gt;=Z$7)*(endDates&lt;=Z$8))),0)</f>
        <v>0</v>
      </c>
      <c r="AA15" s="184" cm="1">
        <f t="array" ref="AA15">IFERROR(SUM(_xlfn._xlws.FILTER(_xlfn._xlws.FILTER(dataSummaryPL,(dataSummaryPLSummarys=$D15)*(dataSummaryPLSections=$E15)),(startDates&gt;=AA$7)*(endDates&lt;=AA$8))),0)</f>
        <v>0</v>
      </c>
      <c r="AB15" s="184" cm="1">
        <f t="array" ref="AB15">IFERROR(SUM(_xlfn._xlws.FILTER(_xlfn._xlws.FILTER(dataSummaryPL,(dataSummaryPLSummarys=$D15)*(dataSummaryPLSections=$E15)),(startDates&gt;=AB$7)*(endDates&lt;=AB$8))),0)</f>
        <v>0</v>
      </c>
      <c r="AC15" s="184" cm="1">
        <f t="array" ref="AC15">IFERROR(SUM(_xlfn._xlws.FILTER(_xlfn._xlws.FILTER(dataSummaryPL,(dataSummaryPLSummarys=$D15)*(dataSummaryPLSections=$E15)),(startDates&gt;=AC$7)*(endDates&lt;=AC$8))),0)</f>
        <v>0</v>
      </c>
      <c r="AD15" s="184" cm="1">
        <f t="array" ref="AD15">IFERROR(SUM(_xlfn._xlws.FILTER(_xlfn._xlws.FILTER(dataSummaryPL,(dataSummaryPLSummarys=$D15)*(dataSummaryPLSections=$E15)),(startDates&gt;=AD$7)*(endDates&lt;=AD$8))),0)</f>
        <v>0</v>
      </c>
      <c r="AE15" s="184" cm="1">
        <f t="array" ref="AE15">IFERROR(SUM(_xlfn._xlws.FILTER(_xlfn._xlws.FILTER(dataSummaryPL,(dataSummaryPLSummarys=$D15)*(dataSummaryPLSections=$E15)),(startDates&gt;=AE$7)*(endDates&lt;=AE$8))),0)</f>
        <v>0</v>
      </c>
      <c r="AF15" s="184" cm="1">
        <f t="array" ref="AF15">IFERROR(SUM(_xlfn._xlws.FILTER(_xlfn._xlws.FILTER(dataSummaryPL,(dataSummaryPLSummarys=$D15)*(dataSummaryPLSections=$E15)),(startDates&gt;=AF$7)*(endDates&lt;=AF$8))),0)</f>
        <v>0</v>
      </c>
      <c r="AG15" s="184" cm="1">
        <f t="array" ref="AG15">IFERROR(SUM(_xlfn._xlws.FILTER(_xlfn._xlws.FILTER(dataSummaryPL,(dataSummaryPLSummarys=$D15)*(dataSummaryPLSections=$E15)),(startDates&gt;=AG$7)*(endDates&lt;=AG$8))),0)</f>
        <v>0</v>
      </c>
      <c r="AH15" s="184" cm="1">
        <f t="array" ref="AH15">IFERROR(SUM(_xlfn._xlws.FILTER(_xlfn._xlws.FILTER(dataSummaryPL,(dataSummaryPLSummarys=$D15)*(dataSummaryPLSections=$E15)),(startDates&gt;=AH$7)*(endDates&lt;=AH$8))),0)</f>
        <v>0</v>
      </c>
      <c r="AI15" s="184" cm="1">
        <f t="array" ref="AI15">IFERROR(SUM(_xlfn._xlws.FILTER(_xlfn._xlws.FILTER(dataSummaryPL,(dataSummaryPLSummarys=$D15)*(dataSummaryPLSections=$E15)),(startDates&gt;=AI$7)*(endDates&lt;=AI$8))),0)</f>
        <v>0</v>
      </c>
      <c r="AL15" s="184" cm="1">
        <f t="array" ref="AL15">IFERROR(SUM(_xlfn._xlws.FILTER(_xlfn._xlws.FILTER(dataSummaryPL,(dataSummaryPLSummarys=$D15)*(dataSummaryPLSections=$E15)),(startDates&gt;=AL$7)*(endDates&lt;=AL$8))),0)</f>
        <v>0</v>
      </c>
      <c r="AM15" s="184" cm="1">
        <f t="array" ref="AM15">IFERROR(SUM(_xlfn._xlws.FILTER(_xlfn._xlws.FILTER(dataSummaryPL,(dataSummaryPLSummarys=$D15)*(dataSummaryPLSections=$E15)),(startDates&gt;=AM$7)*(endDates&lt;=AM$8))),0)</f>
        <v>0</v>
      </c>
      <c r="AN15" s="184" cm="1">
        <f t="array" ref="AN15">IFERROR(SUM(_xlfn._xlws.FILTER(_xlfn._xlws.FILTER(dataSummaryPL,(dataSummaryPLSummarys=$D15)*(dataSummaryPLSections=$E15)),(startDates&gt;=AN$7)*(endDates&lt;=AN$8))),0)</f>
        <v>0</v>
      </c>
      <c r="AO15" s="184" cm="1">
        <f t="array" ref="AO15">IFERROR(SUM(_xlfn._xlws.FILTER(_xlfn._xlws.FILTER(dataSummaryPL,(dataSummaryPLSummarys=$D15)*(dataSummaryPLSections=$E15)),(startDates&gt;=AO$7)*(endDates&lt;=AO$8))),0)</f>
        <v>0</v>
      </c>
      <c r="AP15" s="184" cm="1">
        <f t="array" ref="AP15">IFERROR(SUM(_xlfn._xlws.FILTER(_xlfn._xlws.FILTER(dataSummaryPL,(dataSummaryPLSummarys=$D15)*(dataSummaryPLSections=$E15)),(startDates&gt;=AP$7)*(endDates&lt;=AP$8))),0)</f>
        <v>0</v>
      </c>
      <c r="AQ15" s="184" cm="1">
        <f t="array" ref="AQ15">IFERROR(SUM(_xlfn._xlws.FILTER(_xlfn._xlws.FILTER(dataSummaryPL,(dataSummaryPLSummarys=$D15)*(dataSummaryPLSections=$E15)),(startDates&gt;=AQ$7)*(endDates&lt;=AQ$8))),0)</f>
        <v>0</v>
      </c>
      <c r="AR15" s="184" cm="1">
        <f t="array" ref="AR15">IFERROR(SUM(_xlfn._xlws.FILTER(_xlfn._xlws.FILTER(dataSummaryPL,(dataSummaryPLSummarys=$D15)*(dataSummaryPLSections=$E15)),(startDates&gt;=AR$7)*(endDates&lt;=AR$8))),0)</f>
        <v>0</v>
      </c>
      <c r="AS15" s="184" cm="1">
        <f t="array" ref="AS15">IFERROR(SUM(_xlfn._xlws.FILTER(_xlfn._xlws.FILTER(dataSummaryPL,(dataSummaryPLSummarys=$D15)*(dataSummaryPLSections=$E15)),(startDates&gt;=AS$7)*(endDates&lt;=AS$8))),0)</f>
        <v>0</v>
      </c>
      <c r="AT15" s="184" cm="1">
        <f t="array" ref="AT15">IFERROR(SUM(_xlfn._xlws.FILTER(_xlfn._xlws.FILTER(dataSummaryPL,(dataSummaryPLSummarys=$D15)*(dataSummaryPLSections=$E15)),(startDates&gt;=AT$7)*(endDates&lt;=AT$8))),0)</f>
        <v>0</v>
      </c>
      <c r="AU15" s="184" cm="1">
        <f t="array" ref="AU15">IFERROR(SUM(_xlfn._xlws.FILTER(_xlfn._xlws.FILTER(dataSummaryPL,(dataSummaryPLSummarys=$D15)*(dataSummaryPLSections=$E15)),(startDates&gt;=AU$7)*(endDates&lt;=AU$8))),0)</f>
        <v>0</v>
      </c>
      <c r="AV15" s="184" cm="1">
        <f t="array" ref="AV15">IFERROR(SUM(_xlfn._xlws.FILTER(_xlfn._xlws.FILTER(dataSummaryPL,(dataSummaryPLSummarys=$D15)*(dataSummaryPLSections=$E15)),(startDates&gt;=AV$7)*(endDates&lt;=AV$8))),0)</f>
        <v>0</v>
      </c>
      <c r="AW15" s="184" cm="1">
        <f t="array" ref="AW15">IFERROR(SUM(_xlfn._xlws.FILTER(_xlfn._xlws.FILTER(dataSummaryPL,(dataSummaryPLSummarys=$D15)*(dataSummaryPLSections=$E15)),(startDates&gt;=AW$7)*(endDates&lt;=AW$8))),0)</f>
        <v>0</v>
      </c>
      <c r="AX15" s="184" cm="1">
        <f t="array" ref="AX15">IFERROR(SUM(_xlfn._xlws.FILTER(_xlfn._xlws.FILTER(dataSummaryPL,(dataSummaryPLSummarys=$D15)*(dataSummaryPLSections=$E15)),(startDates&gt;=AX$7)*(endDates&lt;=AX$8))),0)</f>
        <v>0</v>
      </c>
      <c r="AY15" s="184" cm="1">
        <f t="array" ref="AY15">IFERROR(SUM(_xlfn._xlws.FILTER(_xlfn._xlws.FILTER(dataSummaryPL,(dataSummaryPLSummarys=$D15)*(dataSummaryPLSections=$E15)),(startDates&gt;=AY$7)*(endDates&lt;=AY$8))),0)</f>
        <v>0</v>
      </c>
      <c r="AZ15" s="184" cm="1">
        <f t="array" ref="AZ15">IFERROR(SUM(_xlfn._xlws.FILTER(_xlfn._xlws.FILTER(dataSummaryPL,(dataSummaryPLSummarys=$D15)*(dataSummaryPLSections=$E15)),(startDates&gt;=AZ$7)*(endDates&lt;=AZ$8))),0)</f>
        <v>0</v>
      </c>
      <c r="BA15" s="184" cm="1">
        <f t="array" ref="BA15">IFERROR(SUM(_xlfn._xlws.FILTER(_xlfn._xlws.FILTER(dataSummaryPL,(dataSummaryPLSummarys=$D15)*(dataSummaryPLSections=$E15)),(startDates&gt;=BA$7)*(endDates&lt;=BA$8))),0)</f>
        <v>0</v>
      </c>
      <c r="BB15" s="184" cm="1">
        <f t="array" ref="BB15">IFERROR(SUM(_xlfn._xlws.FILTER(_xlfn._xlws.FILTER(dataSummaryPL,(dataSummaryPLSummarys=$D15)*(dataSummaryPLSections=$E15)),(startDates&gt;=BB$7)*(endDates&lt;=BB$8))),0)</f>
        <v>0</v>
      </c>
      <c r="BC15" s="184" cm="1">
        <f t="array" ref="BC15">IFERROR(SUM(_xlfn._xlws.FILTER(_xlfn._xlws.FILTER(dataSummaryPL,(dataSummaryPLSummarys=$D15)*(dataSummaryPLSections=$E15)),(startDates&gt;=BC$7)*(endDates&lt;=BC$8))),0)</f>
        <v>0</v>
      </c>
      <c r="BD15" s="184" cm="1">
        <f t="array" ref="BD15">IFERROR(SUM(_xlfn._xlws.FILTER(_xlfn._xlws.FILTER(dataSummaryPL,(dataSummaryPLSummarys=$D15)*(dataSummaryPLSections=$E15)),(startDates&gt;=BD$7)*(endDates&lt;=BD$8))),0)</f>
        <v>0</v>
      </c>
      <c r="BE15" s="184" cm="1">
        <f t="array" ref="BE15">IFERROR(SUM(_xlfn._xlws.FILTER(_xlfn._xlws.FILTER(dataSummaryPL,(dataSummaryPLSummarys=$D15)*(dataSummaryPLSections=$E15)),(startDates&gt;=BE$7)*(endDates&lt;=BE$8))),0)</f>
        <v>0</v>
      </c>
      <c r="BF15" s="184" cm="1">
        <f t="array" ref="BF15">IFERROR(SUM(_xlfn._xlws.FILTER(_xlfn._xlws.FILTER(dataSummaryPL,(dataSummaryPLSummarys=$D15)*(dataSummaryPLSections=$E15)),(startDates&gt;=BF$7)*(endDates&lt;=BF$8))),0)</f>
        <v>0</v>
      </c>
      <c r="BG15" s="184" cm="1">
        <f t="array" ref="BG15">IFERROR(SUM(_xlfn._xlws.FILTER(_xlfn._xlws.FILTER(dataSummaryPL,(dataSummaryPLSummarys=$D15)*(dataSummaryPLSections=$E15)),(startDates&gt;=BG$7)*(endDates&lt;=BG$8))),0)</f>
        <v>0</v>
      </c>
      <c r="BH15" s="184" cm="1">
        <f t="array" ref="BH15">IFERROR(SUM(_xlfn._xlws.FILTER(_xlfn._xlws.FILTER(dataSummaryPL,(dataSummaryPLSummarys=$D15)*(dataSummaryPLSections=$E15)),(startDates&gt;=BH$7)*(endDates&lt;=BH$8))),0)</f>
        <v>0</v>
      </c>
      <c r="BI15" s="184" cm="1">
        <f t="array" ref="BI15">IFERROR(SUM(_xlfn._xlws.FILTER(_xlfn._xlws.FILTER(dataSummaryPL,(dataSummaryPLSummarys=$D15)*(dataSummaryPLSections=$E15)),(startDates&gt;=BI$7)*(endDates&lt;=BI$8))),0)</f>
        <v>0</v>
      </c>
      <c r="BJ15" s="184" cm="1">
        <f t="array" ref="BJ15">IFERROR(SUM(_xlfn._xlws.FILTER(_xlfn._xlws.FILTER(dataSummaryPL,(dataSummaryPLSummarys=$D15)*(dataSummaryPLSections=$E15)),(startDates&gt;=BJ$7)*(endDates&lt;=BJ$8))),0)</f>
        <v>0</v>
      </c>
      <c r="BK15" s="184" cm="1">
        <f t="array" ref="BK15">IFERROR(SUM(_xlfn._xlws.FILTER(_xlfn._xlws.FILTER(dataSummaryPL,(dataSummaryPLSummarys=$D15)*(dataSummaryPLSections=$E15)),(startDates&gt;=BK$7)*(endDates&lt;=BK$8))),0)</f>
        <v>0</v>
      </c>
      <c r="BL15" s="184" cm="1">
        <f t="array" ref="BL15">IFERROR(SUM(_xlfn._xlws.FILTER(_xlfn._xlws.FILTER(dataSummaryPL,(dataSummaryPLSummarys=$D15)*(dataSummaryPLSections=$E15)),(startDates&gt;=BL$7)*(endDates&lt;=BL$8))),0)</f>
        <v>0</v>
      </c>
      <c r="BM15" s="184" cm="1">
        <f t="array" ref="BM15">IFERROR(SUM(_xlfn._xlws.FILTER(_xlfn._xlws.FILTER(dataSummaryPL,(dataSummaryPLSummarys=$D15)*(dataSummaryPLSections=$E15)),(startDates&gt;=BM$7)*(endDates&lt;=BM$8))),0)</f>
        <v>0</v>
      </c>
      <c r="BN15" s="184" cm="1">
        <f t="array" ref="BN15">IFERROR(SUM(_xlfn._xlws.FILTER(_xlfn._xlws.FILTER(dataSummaryPL,(dataSummaryPLSummarys=$D15)*(dataSummaryPLSections=$E15)),(startDates&gt;=BN$7)*(endDates&lt;=BN$8))),0)</f>
        <v>0</v>
      </c>
      <c r="BO15" s="184" cm="1">
        <f t="array" ref="BO15">IFERROR(SUM(_xlfn._xlws.FILTER(_xlfn._xlws.FILTER(dataSummaryPL,(dataSummaryPLSummarys=$D15)*(dataSummaryPLSections=$E15)),(startDates&gt;=BO$7)*(endDates&lt;=BO$8))),0)</f>
        <v>0</v>
      </c>
      <c r="BP15" s="184" cm="1">
        <f t="array" ref="BP15">IFERROR(SUM(_xlfn._xlws.FILTER(_xlfn._xlws.FILTER(dataSummaryPL,(dataSummaryPLSummarys=$D15)*(dataSummaryPLSections=$E15)),(startDates&gt;=BP$7)*(endDates&lt;=BP$8))),0)</f>
        <v>0</v>
      </c>
      <c r="BQ15" s="184" cm="1">
        <f t="array" ref="BQ15">IFERROR(SUM(_xlfn._xlws.FILTER(_xlfn._xlws.FILTER(dataSummaryPL,(dataSummaryPLSummarys=$D15)*(dataSummaryPLSections=$E15)),(startDates&gt;=BQ$7)*(endDates&lt;=BQ$8))),0)</f>
        <v>0</v>
      </c>
      <c r="BR15" s="184" cm="1">
        <f t="array" ref="BR15">IFERROR(SUM(_xlfn._xlws.FILTER(_xlfn._xlws.FILTER(dataSummaryPL,(dataSummaryPLSummarys=$D15)*(dataSummaryPLSections=$E15)),(startDates&gt;=BR$7)*(endDates&lt;=BR$8))),0)</f>
        <v>0</v>
      </c>
      <c r="BS15" s="184" cm="1">
        <f t="array" ref="BS15">IFERROR(SUM(_xlfn._xlws.FILTER(_xlfn._xlws.FILTER(dataSummaryPL,(dataSummaryPLSummarys=$D15)*(dataSummaryPLSections=$E15)),(startDates&gt;=BS$7)*(endDates&lt;=BS$8))),0)</f>
        <v>0</v>
      </c>
      <c r="BT15" s="184" cm="1">
        <f t="array" ref="BT15">IFERROR(SUM(_xlfn._xlws.FILTER(_xlfn._xlws.FILTER(dataSummaryPL,(dataSummaryPLSummarys=$D15)*(dataSummaryPLSections=$E15)),(startDates&gt;=BT$7)*(endDates&lt;=BT$8))),0)</f>
        <v>0</v>
      </c>
      <c r="BU15" s="184" cm="1">
        <f t="array" ref="BU15">IFERROR(SUM(_xlfn._xlws.FILTER(_xlfn._xlws.FILTER(dataSummaryPL,(dataSummaryPLSummarys=$D15)*(dataSummaryPLSections=$E15)),(startDates&gt;=BU$7)*(endDates&lt;=BU$8))),0)</f>
        <v>0</v>
      </c>
      <c r="BV15" s="184" cm="1">
        <f t="array" ref="BV15">IFERROR(SUM(_xlfn._xlws.FILTER(_xlfn._xlws.FILTER(dataSummaryPL,(dataSummaryPLSummarys=$D15)*(dataSummaryPLSections=$E15)),(startDates&gt;=BV$7)*(endDates&lt;=BV$8))),0)</f>
        <v>0</v>
      </c>
      <c r="BW15" s="184" cm="1">
        <f t="array" ref="BW15">IFERROR(SUM(_xlfn._xlws.FILTER(_xlfn._xlws.FILTER(dataSummaryPL,(dataSummaryPLSummarys=$D15)*(dataSummaryPLSections=$E15)),(startDates&gt;=BW$7)*(endDates&lt;=BW$8))),0)</f>
        <v>0</v>
      </c>
      <c r="BX15" s="184" cm="1">
        <f t="array" ref="BX15">IFERROR(SUM(_xlfn._xlws.FILTER(_xlfn._xlws.FILTER(dataSummaryPL,(dataSummaryPLSummarys=$D15)*(dataSummaryPLSections=$E15)),(startDates&gt;=BX$7)*(endDates&lt;=BX$8))),0)</f>
        <v>0</v>
      </c>
      <c r="BY15" s="184" cm="1">
        <f t="array" ref="BY15">IFERROR(SUM(_xlfn._xlws.FILTER(_xlfn._xlws.FILTER(dataSummaryPL,(dataSummaryPLSummarys=$D15)*(dataSummaryPLSections=$E15)),(startDates&gt;=BY$7)*(endDates&lt;=BY$8))),0)</f>
        <v>0</v>
      </c>
      <c r="BZ15" s="184" cm="1">
        <f t="array" ref="BZ15">IFERROR(SUM(_xlfn._xlws.FILTER(_xlfn._xlws.FILTER(dataSummaryPL,(dataSummaryPLSummarys=$D15)*(dataSummaryPLSections=$E15)),(startDates&gt;=BZ$7)*(endDates&lt;=BZ$8))),0)</f>
        <v>0</v>
      </c>
      <c r="CA15" s="184" cm="1">
        <f t="array" ref="CA15">IFERROR(SUM(_xlfn._xlws.FILTER(_xlfn._xlws.FILTER(dataSummaryPL,(dataSummaryPLSummarys=$D15)*(dataSummaryPLSections=$E15)),(startDates&gt;=CA$7)*(endDates&lt;=CA$8))),0)</f>
        <v>0</v>
      </c>
      <c r="CB15" s="184" cm="1">
        <f t="array" ref="CB15">IFERROR(SUM(_xlfn._xlws.FILTER(_xlfn._xlws.FILTER(dataSummaryPL,(dataSummaryPLSummarys=$D15)*(dataSummaryPLSections=$E15)),(startDates&gt;=CB$7)*(endDates&lt;=CB$8))),0)</f>
        <v>0</v>
      </c>
      <c r="CC15" s="184" cm="1">
        <f t="array" ref="CC15">IFERROR(SUM(_xlfn._xlws.FILTER(_xlfn._xlws.FILTER(dataSummaryPL,(dataSummaryPLSummarys=$D15)*(dataSummaryPLSections=$E15)),(startDates&gt;=CC$7)*(endDates&lt;=CC$8))),0)</f>
        <v>0</v>
      </c>
      <c r="CD15" s="184" cm="1">
        <f t="array" ref="CD15">IFERROR(SUM(_xlfn._xlws.FILTER(_xlfn._xlws.FILTER(dataSummaryPL,(dataSummaryPLSummarys=$D15)*(dataSummaryPLSections=$E15)),(startDates&gt;=CD$7)*(endDates&lt;=CD$8))),0)</f>
        <v>0</v>
      </c>
      <c r="CE15" s="184" cm="1">
        <f t="array" ref="CE15">IFERROR(SUM(_xlfn._xlws.FILTER(_xlfn._xlws.FILTER(dataSummaryPL,(dataSummaryPLSummarys=$D15)*(dataSummaryPLSections=$E15)),(startDates&gt;=CE$7)*(endDates&lt;=CE$8))),0)</f>
        <v>0</v>
      </c>
      <c r="CF15" s="184" cm="1">
        <f t="array" ref="CF15">IFERROR(SUM(_xlfn._xlws.FILTER(_xlfn._xlws.FILTER(dataSummaryPL,(dataSummaryPLSummarys=$D15)*(dataSummaryPLSections=$E15)),(startDates&gt;=CF$7)*(endDates&lt;=CF$8))),0)</f>
        <v>0</v>
      </c>
      <c r="CG15" s="184" cm="1">
        <f t="array" ref="CG15">IFERROR(SUM(_xlfn._xlws.FILTER(_xlfn._xlws.FILTER(dataSummaryPL,(dataSummaryPLSummarys=$D15)*(dataSummaryPLSections=$E15)),(startDates&gt;=CG$7)*(endDates&lt;=CG$8))),0)</f>
        <v>0</v>
      </c>
    </row>
    <row r="17" spans="1:85" s="157" customFormat="1" ht="15.75" collapsed="1">
      <c r="C17" s="160" t="s">
        <v>80</v>
      </c>
      <c r="D17" s="160"/>
      <c r="E17" s="161"/>
      <c r="F17" s="160"/>
      <c r="G17" s="160"/>
      <c r="J17" s="158">
        <f>SUM(J18:J19)</f>
        <v>79005.38</v>
      </c>
      <c r="K17" s="158">
        <f>SUM(K18:K19)</f>
        <v>84348.38</v>
      </c>
      <c r="N17" s="158">
        <f>SUM(N18:N19)</f>
        <v>23959.5</v>
      </c>
      <c r="O17" s="158">
        <f>SUM(O18:O19)</f>
        <v>53271.66</v>
      </c>
      <c r="P17" s="158">
        <f>SUM(P18:P19)</f>
        <v>117947.93077272727</v>
      </c>
      <c r="Q17" s="158">
        <f>SUM(Q18:Q19)</f>
        <v>380313.00326676201</v>
      </c>
      <c r="R17" s="159"/>
      <c r="S17" s="159"/>
      <c r="T17" s="158">
        <f t="shared" ref="T17:AI17" si="14">SUM(T18:T19)</f>
        <v>3476</v>
      </c>
      <c r="U17" s="158">
        <f t="shared" si="14"/>
        <v>4626</v>
      </c>
      <c r="V17" s="158">
        <f t="shared" si="14"/>
        <v>6157</v>
      </c>
      <c r="W17" s="158">
        <f t="shared" si="14"/>
        <v>9700.5</v>
      </c>
      <c r="X17" s="158">
        <f t="shared" si="14"/>
        <v>11366</v>
      </c>
      <c r="Y17" s="158">
        <f t="shared" si="14"/>
        <v>12551.5</v>
      </c>
      <c r="Z17" s="158">
        <f t="shared" si="14"/>
        <v>14075.5</v>
      </c>
      <c r="AA17" s="158">
        <f t="shared" si="14"/>
        <v>15278.66</v>
      </c>
      <c r="AB17" s="158">
        <f t="shared" si="14"/>
        <v>17685.419999999998</v>
      </c>
      <c r="AC17" s="158">
        <f t="shared" si="14"/>
        <v>20775.48</v>
      </c>
      <c r="AD17" s="158">
        <f t="shared" si="14"/>
        <v>22702.080000000002</v>
      </c>
      <c r="AE17" s="158">
        <f t="shared" si="14"/>
        <v>56784.950772727272</v>
      </c>
      <c r="AF17" s="158">
        <f t="shared" si="14"/>
        <v>94737.759374023415</v>
      </c>
      <c r="AG17" s="158">
        <f t="shared" si="14"/>
        <v>95060.567145950175</v>
      </c>
      <c r="AH17" s="158">
        <f t="shared" si="14"/>
        <v>95244.241279507973</v>
      </c>
      <c r="AI17" s="158">
        <f t="shared" si="14"/>
        <v>95270.435467280389</v>
      </c>
      <c r="AJ17" s="159"/>
      <c r="AK17" s="159"/>
      <c r="AL17" s="158">
        <f t="shared" ref="AL17:CG17" si="15">SUM(AL18:AL19)</f>
        <v>1050</v>
      </c>
      <c r="AM17" s="158">
        <f t="shared" si="15"/>
        <v>1155</v>
      </c>
      <c r="AN17" s="158">
        <f t="shared" si="15"/>
        <v>1271</v>
      </c>
      <c r="AO17" s="158">
        <f t="shared" si="15"/>
        <v>1398</v>
      </c>
      <c r="AP17" s="158">
        <f t="shared" si="15"/>
        <v>1537</v>
      </c>
      <c r="AQ17" s="158">
        <f t="shared" si="15"/>
        <v>1691</v>
      </c>
      <c r="AR17" s="158">
        <f t="shared" si="15"/>
        <v>1860</v>
      </c>
      <c r="AS17" s="158">
        <f t="shared" si="15"/>
        <v>2046.5</v>
      </c>
      <c r="AT17" s="158">
        <f t="shared" si="15"/>
        <v>2250.5</v>
      </c>
      <c r="AU17" s="158">
        <f t="shared" si="15"/>
        <v>2475.5</v>
      </c>
      <c r="AV17" s="158">
        <f t="shared" si="15"/>
        <v>3427.5</v>
      </c>
      <c r="AW17" s="158">
        <f t="shared" si="15"/>
        <v>3797.5</v>
      </c>
      <c r="AX17" s="158">
        <f t="shared" si="15"/>
        <v>3599</v>
      </c>
      <c r="AY17" s="158">
        <f t="shared" si="15"/>
        <v>3988</v>
      </c>
      <c r="AZ17" s="158">
        <f t="shared" si="15"/>
        <v>3779</v>
      </c>
      <c r="BA17" s="158">
        <f t="shared" si="15"/>
        <v>4186.5</v>
      </c>
      <c r="BB17" s="158">
        <f t="shared" si="15"/>
        <v>3968.5</v>
      </c>
      <c r="BC17" s="158">
        <f t="shared" si="15"/>
        <v>4396.5</v>
      </c>
      <c r="BD17" s="158">
        <f t="shared" si="15"/>
        <v>4615</v>
      </c>
      <c r="BE17" s="158">
        <f t="shared" si="15"/>
        <v>4614.5</v>
      </c>
      <c r="BF17" s="158">
        <f t="shared" si="15"/>
        <v>4846</v>
      </c>
      <c r="BG17" s="158">
        <f t="shared" si="15"/>
        <v>4846.33</v>
      </c>
      <c r="BH17" s="158">
        <f t="shared" si="15"/>
        <v>5089.33</v>
      </c>
      <c r="BI17" s="158">
        <f t="shared" si="15"/>
        <v>5343</v>
      </c>
      <c r="BJ17" s="158">
        <f t="shared" si="15"/>
        <v>5610.42</v>
      </c>
      <c r="BK17" s="158">
        <f t="shared" si="15"/>
        <v>5890</v>
      </c>
      <c r="BL17" s="158">
        <f t="shared" si="15"/>
        <v>6185</v>
      </c>
      <c r="BM17" s="158">
        <f t="shared" si="15"/>
        <v>6495</v>
      </c>
      <c r="BN17" s="158">
        <f t="shared" si="15"/>
        <v>6820</v>
      </c>
      <c r="BO17" s="158">
        <f t="shared" si="15"/>
        <v>7460.48</v>
      </c>
      <c r="BP17" s="158">
        <f t="shared" si="15"/>
        <v>6518.5</v>
      </c>
      <c r="BQ17" s="158">
        <f t="shared" si="15"/>
        <v>7894.43</v>
      </c>
      <c r="BR17" s="158">
        <f t="shared" si="15"/>
        <v>8289.15</v>
      </c>
      <c r="BS17" s="158">
        <f t="shared" si="15"/>
        <v>8703.61</v>
      </c>
      <c r="BT17" s="158">
        <f t="shared" si="15"/>
        <v>9138.7900000000009</v>
      </c>
      <c r="BU17" s="158">
        <f t="shared" si="15"/>
        <v>38942.550772727271</v>
      </c>
      <c r="BV17" s="158">
        <f t="shared" si="15"/>
        <v>31452.469210123967</v>
      </c>
      <c r="BW17" s="158">
        <f t="shared" si="15"/>
        <v>31630.248373363072</v>
      </c>
      <c r="BX17" s="158">
        <f t="shared" si="15"/>
        <v>31655.041790536368</v>
      </c>
      <c r="BY17" s="158">
        <f t="shared" si="15"/>
        <v>31674.97461929921</v>
      </c>
      <c r="BZ17" s="158">
        <f t="shared" si="15"/>
        <v>31689.134265021912</v>
      </c>
      <c r="CA17" s="158">
        <f t="shared" si="15"/>
        <v>31696.458261629054</v>
      </c>
      <c r="CB17" s="158">
        <f t="shared" si="15"/>
        <v>31726.336178118778</v>
      </c>
      <c r="CC17" s="158">
        <f t="shared" si="15"/>
        <v>31757.465382879651</v>
      </c>
      <c r="CD17" s="158">
        <f t="shared" si="15"/>
        <v>31760.439718509548</v>
      </c>
      <c r="CE17" s="158">
        <f t="shared" si="15"/>
        <v>31756.81534913414</v>
      </c>
      <c r="CF17" s="158">
        <f t="shared" si="15"/>
        <v>31745.972210347336</v>
      </c>
      <c r="CG17" s="158">
        <f t="shared" si="15"/>
        <v>31767.647907798917</v>
      </c>
    </row>
    <row r="18" spans="1:85" hidden="1" outlineLevel="2">
      <c r="C18" s="331" t="s">
        <v>80</v>
      </c>
      <c r="D18" s="163" t="str">
        <f>C18</f>
        <v>COGS</v>
      </c>
      <c r="E18" s="150" t="s">
        <v>80</v>
      </c>
      <c r="F18" s="163"/>
      <c r="G18" s="163"/>
      <c r="J18" s="184" cm="1">
        <f t="array" ref="J18">IFERROR(SUM(_xlfn._xlws.FILTER(_xlfn._xlws.FILTER(dataSummaryPL,(dataSummaryPLSummarys=$D18)*(dataSummaryPLSections=$E18)),(startDates&gt;=J$7)*(endDates&lt;=J$8))),0)</f>
        <v>79005.38</v>
      </c>
      <c r="K18" s="184" cm="1">
        <f t="array" ref="K18">IFERROR(SUM(_xlfn._xlws.FILTER(_xlfn._xlws.FILTER(dataSummaryPL,(dataSummaryPLSummarys=$D18)*(dataSummaryPLSections=$E18)),(startDates&gt;=K$7)*(endDates&lt;=K$8))),0)</f>
        <v>84348.38</v>
      </c>
      <c r="N18" s="184" cm="1">
        <f t="array" ref="N18">IFERROR(SUM(_xlfn._xlws.FILTER(_xlfn._xlws.FILTER(dataSummaryPL,(dataSummaryPLSummarys=$D18)*(dataSummaryPLSections=$E18)),(startDates&gt;=N$7)*(endDates&lt;=N$8))),0)</f>
        <v>23959.5</v>
      </c>
      <c r="O18" s="184" cm="1">
        <f t="array" ref="O18">IFERROR(SUM(_xlfn._xlws.FILTER(_xlfn._xlws.FILTER(dataSummaryPL,(dataSummaryPLSummarys=$D18)*(dataSummaryPLSections=$E18)),(startDates&gt;=O$7)*(endDates&lt;=O$8))),0)</f>
        <v>53271.66</v>
      </c>
      <c r="P18" s="184" cm="1">
        <f t="array" ref="P18">IFERROR(SUM(_xlfn._xlws.FILTER(_xlfn._xlws.FILTER(dataSummaryPL,(dataSummaryPLSummarys=$D18)*(dataSummaryPLSections=$E18)),(startDates&gt;=P$7)*(endDates&lt;=P$8))),0)</f>
        <v>117947.93077272727</v>
      </c>
      <c r="Q18" s="184" cm="1">
        <f t="array" ref="Q18">IFERROR(SUM(_xlfn._xlws.FILTER(_xlfn._xlws.FILTER(dataSummaryPL,(dataSummaryPLSummarys=$D18)*(dataSummaryPLSections=$E18)),(startDates&gt;=Q$7)*(endDates&lt;=Q$8))),0)</f>
        <v>380313.00326676201</v>
      </c>
      <c r="T18" s="184" cm="1">
        <f t="array" ref="T18">IFERROR(SUM(_xlfn._xlws.FILTER(_xlfn._xlws.FILTER(dataSummaryPL,(dataSummaryPLSummarys=$D18)*(dataSummaryPLSections=$E18)),(startDates&gt;=T$7)*(endDates&lt;=T$8))),0)</f>
        <v>3476</v>
      </c>
      <c r="U18" s="184" cm="1">
        <f t="array" ref="U18">IFERROR(SUM(_xlfn._xlws.FILTER(_xlfn._xlws.FILTER(dataSummaryPL,(dataSummaryPLSummarys=$D18)*(dataSummaryPLSections=$E18)),(startDates&gt;=U$7)*(endDates&lt;=U$8))),0)</f>
        <v>4626</v>
      </c>
      <c r="V18" s="184" cm="1">
        <f t="array" ref="V18">IFERROR(SUM(_xlfn._xlws.FILTER(_xlfn._xlws.FILTER(dataSummaryPL,(dataSummaryPLSummarys=$D18)*(dataSummaryPLSections=$E18)),(startDates&gt;=V$7)*(endDates&lt;=V$8))),0)</f>
        <v>6157</v>
      </c>
      <c r="W18" s="184" cm="1">
        <f t="array" ref="W18">IFERROR(SUM(_xlfn._xlws.FILTER(_xlfn._xlws.FILTER(dataSummaryPL,(dataSummaryPLSummarys=$D18)*(dataSummaryPLSections=$E18)),(startDates&gt;=W$7)*(endDates&lt;=W$8))),0)</f>
        <v>9700.5</v>
      </c>
      <c r="X18" s="184" cm="1">
        <f t="array" ref="X18">IFERROR(SUM(_xlfn._xlws.FILTER(_xlfn._xlws.FILTER(dataSummaryPL,(dataSummaryPLSummarys=$D18)*(dataSummaryPLSections=$E18)),(startDates&gt;=X$7)*(endDates&lt;=X$8))),0)</f>
        <v>11366</v>
      </c>
      <c r="Y18" s="184" cm="1">
        <f t="array" ref="Y18">IFERROR(SUM(_xlfn._xlws.FILTER(_xlfn._xlws.FILTER(dataSummaryPL,(dataSummaryPLSummarys=$D18)*(dataSummaryPLSections=$E18)),(startDates&gt;=Y$7)*(endDates&lt;=Y$8))),0)</f>
        <v>12551.5</v>
      </c>
      <c r="Z18" s="184" cm="1">
        <f t="array" ref="Z18">IFERROR(SUM(_xlfn._xlws.FILTER(_xlfn._xlws.FILTER(dataSummaryPL,(dataSummaryPLSummarys=$D18)*(dataSummaryPLSections=$E18)),(startDates&gt;=Z$7)*(endDates&lt;=Z$8))),0)</f>
        <v>14075.5</v>
      </c>
      <c r="AA18" s="184" cm="1">
        <f t="array" ref="AA18">IFERROR(SUM(_xlfn._xlws.FILTER(_xlfn._xlws.FILTER(dataSummaryPL,(dataSummaryPLSummarys=$D18)*(dataSummaryPLSections=$E18)),(startDates&gt;=AA$7)*(endDates&lt;=AA$8))),0)</f>
        <v>15278.66</v>
      </c>
      <c r="AB18" s="184" cm="1">
        <f t="array" ref="AB18">IFERROR(SUM(_xlfn._xlws.FILTER(_xlfn._xlws.FILTER(dataSummaryPL,(dataSummaryPLSummarys=$D18)*(dataSummaryPLSections=$E18)),(startDates&gt;=AB$7)*(endDates&lt;=AB$8))),0)</f>
        <v>17685.419999999998</v>
      </c>
      <c r="AC18" s="184" cm="1">
        <f t="array" ref="AC18">IFERROR(SUM(_xlfn._xlws.FILTER(_xlfn._xlws.FILTER(dataSummaryPL,(dataSummaryPLSummarys=$D18)*(dataSummaryPLSections=$E18)),(startDates&gt;=AC$7)*(endDates&lt;=AC$8))),0)</f>
        <v>20775.48</v>
      </c>
      <c r="AD18" s="184" cm="1">
        <f t="array" ref="AD18">IFERROR(SUM(_xlfn._xlws.FILTER(_xlfn._xlws.FILTER(dataSummaryPL,(dataSummaryPLSummarys=$D18)*(dataSummaryPLSections=$E18)),(startDates&gt;=AD$7)*(endDates&lt;=AD$8))),0)</f>
        <v>22702.080000000002</v>
      </c>
      <c r="AE18" s="184" cm="1">
        <f t="array" ref="AE18">IFERROR(SUM(_xlfn._xlws.FILTER(_xlfn._xlws.FILTER(dataSummaryPL,(dataSummaryPLSummarys=$D18)*(dataSummaryPLSections=$E18)),(startDates&gt;=AE$7)*(endDates&lt;=AE$8))),0)</f>
        <v>56784.950772727272</v>
      </c>
      <c r="AF18" s="184" cm="1">
        <f t="array" ref="AF18">IFERROR(SUM(_xlfn._xlws.FILTER(_xlfn._xlws.FILTER(dataSummaryPL,(dataSummaryPLSummarys=$D18)*(dataSummaryPLSections=$E18)),(startDates&gt;=AF$7)*(endDates&lt;=AF$8))),0)</f>
        <v>94737.759374023415</v>
      </c>
      <c r="AG18" s="184" cm="1">
        <f t="array" ref="AG18">IFERROR(SUM(_xlfn._xlws.FILTER(_xlfn._xlws.FILTER(dataSummaryPL,(dataSummaryPLSummarys=$D18)*(dataSummaryPLSections=$E18)),(startDates&gt;=AG$7)*(endDates&lt;=AG$8))),0)</f>
        <v>95060.567145950175</v>
      </c>
      <c r="AH18" s="184" cm="1">
        <f t="array" ref="AH18">IFERROR(SUM(_xlfn._xlws.FILTER(_xlfn._xlws.FILTER(dataSummaryPL,(dataSummaryPLSummarys=$D18)*(dataSummaryPLSections=$E18)),(startDates&gt;=AH$7)*(endDates&lt;=AH$8))),0)</f>
        <v>95244.241279507973</v>
      </c>
      <c r="AI18" s="184" cm="1">
        <f t="array" ref="AI18">IFERROR(SUM(_xlfn._xlws.FILTER(_xlfn._xlws.FILTER(dataSummaryPL,(dataSummaryPLSummarys=$D18)*(dataSummaryPLSections=$E18)),(startDates&gt;=AI$7)*(endDates&lt;=AI$8))),0)</f>
        <v>95270.435467280389</v>
      </c>
      <c r="AL18" s="184" cm="1">
        <f t="array" ref="AL18">IFERROR(SUM(_xlfn._xlws.FILTER(_xlfn._xlws.FILTER(dataSummaryPL,(dataSummaryPLSummarys=$D18)*(dataSummaryPLSections=$E18)),(startDates&gt;=AL$7)*(endDates&lt;=AL$8))),0)</f>
        <v>1050</v>
      </c>
      <c r="AM18" s="184" cm="1">
        <f t="array" ref="AM18">IFERROR(SUM(_xlfn._xlws.FILTER(_xlfn._xlws.FILTER(dataSummaryPL,(dataSummaryPLSummarys=$D18)*(dataSummaryPLSections=$E18)),(startDates&gt;=AM$7)*(endDates&lt;=AM$8))),0)</f>
        <v>1155</v>
      </c>
      <c r="AN18" s="184" cm="1">
        <f t="array" ref="AN18">IFERROR(SUM(_xlfn._xlws.FILTER(_xlfn._xlws.FILTER(dataSummaryPL,(dataSummaryPLSummarys=$D18)*(dataSummaryPLSections=$E18)),(startDates&gt;=AN$7)*(endDates&lt;=AN$8))),0)</f>
        <v>1271</v>
      </c>
      <c r="AO18" s="184" cm="1">
        <f t="array" ref="AO18">IFERROR(SUM(_xlfn._xlws.FILTER(_xlfn._xlws.FILTER(dataSummaryPL,(dataSummaryPLSummarys=$D18)*(dataSummaryPLSections=$E18)),(startDates&gt;=AO$7)*(endDates&lt;=AO$8))),0)</f>
        <v>1398</v>
      </c>
      <c r="AP18" s="184" cm="1">
        <f t="array" ref="AP18">IFERROR(SUM(_xlfn._xlws.FILTER(_xlfn._xlws.FILTER(dataSummaryPL,(dataSummaryPLSummarys=$D18)*(dataSummaryPLSections=$E18)),(startDates&gt;=AP$7)*(endDates&lt;=AP$8))),0)</f>
        <v>1537</v>
      </c>
      <c r="AQ18" s="184" cm="1">
        <f t="array" ref="AQ18">IFERROR(SUM(_xlfn._xlws.FILTER(_xlfn._xlws.FILTER(dataSummaryPL,(dataSummaryPLSummarys=$D18)*(dataSummaryPLSections=$E18)),(startDates&gt;=AQ$7)*(endDates&lt;=AQ$8))),0)</f>
        <v>1691</v>
      </c>
      <c r="AR18" s="184" cm="1">
        <f t="array" ref="AR18">IFERROR(SUM(_xlfn._xlws.FILTER(_xlfn._xlws.FILTER(dataSummaryPL,(dataSummaryPLSummarys=$D18)*(dataSummaryPLSections=$E18)),(startDates&gt;=AR$7)*(endDates&lt;=AR$8))),0)</f>
        <v>1860</v>
      </c>
      <c r="AS18" s="184" cm="1">
        <f t="array" ref="AS18">IFERROR(SUM(_xlfn._xlws.FILTER(_xlfn._xlws.FILTER(dataSummaryPL,(dataSummaryPLSummarys=$D18)*(dataSummaryPLSections=$E18)),(startDates&gt;=AS$7)*(endDates&lt;=AS$8))),0)</f>
        <v>2046.5</v>
      </c>
      <c r="AT18" s="184" cm="1">
        <f t="array" ref="AT18">IFERROR(SUM(_xlfn._xlws.FILTER(_xlfn._xlws.FILTER(dataSummaryPL,(dataSummaryPLSummarys=$D18)*(dataSummaryPLSections=$E18)),(startDates&gt;=AT$7)*(endDates&lt;=AT$8))),0)</f>
        <v>2250.5</v>
      </c>
      <c r="AU18" s="184" cm="1">
        <f t="array" ref="AU18">IFERROR(SUM(_xlfn._xlws.FILTER(_xlfn._xlws.FILTER(dataSummaryPL,(dataSummaryPLSummarys=$D18)*(dataSummaryPLSections=$E18)),(startDates&gt;=AU$7)*(endDates&lt;=AU$8))),0)</f>
        <v>2475.5</v>
      </c>
      <c r="AV18" s="184" cm="1">
        <f t="array" ref="AV18">IFERROR(SUM(_xlfn._xlws.FILTER(_xlfn._xlws.FILTER(dataSummaryPL,(dataSummaryPLSummarys=$D18)*(dataSummaryPLSections=$E18)),(startDates&gt;=AV$7)*(endDates&lt;=AV$8))),0)</f>
        <v>3427.5</v>
      </c>
      <c r="AW18" s="184" cm="1">
        <f t="array" ref="AW18">IFERROR(SUM(_xlfn._xlws.FILTER(_xlfn._xlws.FILTER(dataSummaryPL,(dataSummaryPLSummarys=$D18)*(dataSummaryPLSections=$E18)),(startDates&gt;=AW$7)*(endDates&lt;=AW$8))),0)</f>
        <v>3797.5</v>
      </c>
      <c r="AX18" s="184" cm="1">
        <f t="array" ref="AX18">IFERROR(SUM(_xlfn._xlws.FILTER(_xlfn._xlws.FILTER(dataSummaryPL,(dataSummaryPLSummarys=$D18)*(dataSummaryPLSections=$E18)),(startDates&gt;=AX$7)*(endDates&lt;=AX$8))),0)</f>
        <v>3599</v>
      </c>
      <c r="AY18" s="184" cm="1">
        <f t="array" ref="AY18">IFERROR(SUM(_xlfn._xlws.FILTER(_xlfn._xlws.FILTER(dataSummaryPL,(dataSummaryPLSummarys=$D18)*(dataSummaryPLSections=$E18)),(startDates&gt;=AY$7)*(endDates&lt;=AY$8))),0)</f>
        <v>3988</v>
      </c>
      <c r="AZ18" s="184" cm="1">
        <f t="array" ref="AZ18">IFERROR(SUM(_xlfn._xlws.FILTER(_xlfn._xlws.FILTER(dataSummaryPL,(dataSummaryPLSummarys=$D18)*(dataSummaryPLSections=$E18)),(startDates&gt;=AZ$7)*(endDates&lt;=AZ$8))),0)</f>
        <v>3779</v>
      </c>
      <c r="BA18" s="184" cm="1">
        <f t="array" ref="BA18">IFERROR(SUM(_xlfn._xlws.FILTER(_xlfn._xlws.FILTER(dataSummaryPL,(dataSummaryPLSummarys=$D18)*(dataSummaryPLSections=$E18)),(startDates&gt;=BA$7)*(endDates&lt;=BA$8))),0)</f>
        <v>4186.5</v>
      </c>
      <c r="BB18" s="184" cm="1">
        <f t="array" ref="BB18">IFERROR(SUM(_xlfn._xlws.FILTER(_xlfn._xlws.FILTER(dataSummaryPL,(dataSummaryPLSummarys=$D18)*(dataSummaryPLSections=$E18)),(startDates&gt;=BB$7)*(endDates&lt;=BB$8))),0)</f>
        <v>3968.5</v>
      </c>
      <c r="BC18" s="184" cm="1">
        <f t="array" ref="BC18">IFERROR(SUM(_xlfn._xlws.FILTER(_xlfn._xlws.FILTER(dataSummaryPL,(dataSummaryPLSummarys=$D18)*(dataSummaryPLSections=$E18)),(startDates&gt;=BC$7)*(endDates&lt;=BC$8))),0)</f>
        <v>4396.5</v>
      </c>
      <c r="BD18" s="184" cm="1">
        <f t="array" ref="BD18">IFERROR(SUM(_xlfn._xlws.FILTER(_xlfn._xlws.FILTER(dataSummaryPL,(dataSummaryPLSummarys=$D18)*(dataSummaryPLSections=$E18)),(startDates&gt;=BD$7)*(endDates&lt;=BD$8))),0)</f>
        <v>4615</v>
      </c>
      <c r="BE18" s="184" cm="1">
        <f t="array" ref="BE18">IFERROR(SUM(_xlfn._xlws.FILTER(_xlfn._xlws.FILTER(dataSummaryPL,(dataSummaryPLSummarys=$D18)*(dataSummaryPLSections=$E18)),(startDates&gt;=BE$7)*(endDates&lt;=BE$8))),0)</f>
        <v>4614.5</v>
      </c>
      <c r="BF18" s="184" cm="1">
        <f t="array" ref="BF18">IFERROR(SUM(_xlfn._xlws.FILTER(_xlfn._xlws.FILTER(dataSummaryPL,(dataSummaryPLSummarys=$D18)*(dataSummaryPLSections=$E18)),(startDates&gt;=BF$7)*(endDates&lt;=BF$8))),0)</f>
        <v>4846</v>
      </c>
      <c r="BG18" s="184" cm="1">
        <f t="array" ref="BG18">IFERROR(SUM(_xlfn._xlws.FILTER(_xlfn._xlws.FILTER(dataSummaryPL,(dataSummaryPLSummarys=$D18)*(dataSummaryPLSections=$E18)),(startDates&gt;=BG$7)*(endDates&lt;=BG$8))),0)</f>
        <v>4846.33</v>
      </c>
      <c r="BH18" s="184" cm="1">
        <f t="array" ref="BH18">IFERROR(SUM(_xlfn._xlws.FILTER(_xlfn._xlws.FILTER(dataSummaryPL,(dataSummaryPLSummarys=$D18)*(dataSummaryPLSections=$E18)),(startDates&gt;=BH$7)*(endDates&lt;=BH$8))),0)</f>
        <v>5089.33</v>
      </c>
      <c r="BI18" s="184" cm="1">
        <f t="array" ref="BI18">IFERROR(SUM(_xlfn._xlws.FILTER(_xlfn._xlws.FILTER(dataSummaryPL,(dataSummaryPLSummarys=$D18)*(dataSummaryPLSections=$E18)),(startDates&gt;=BI$7)*(endDates&lt;=BI$8))),0)</f>
        <v>5343</v>
      </c>
      <c r="BJ18" s="184" cm="1">
        <f t="array" ref="BJ18">IFERROR(SUM(_xlfn._xlws.FILTER(_xlfn._xlws.FILTER(dataSummaryPL,(dataSummaryPLSummarys=$D18)*(dataSummaryPLSections=$E18)),(startDates&gt;=BJ$7)*(endDates&lt;=BJ$8))),0)</f>
        <v>5610.42</v>
      </c>
      <c r="BK18" s="184" cm="1">
        <f t="array" ref="BK18">IFERROR(SUM(_xlfn._xlws.FILTER(_xlfn._xlws.FILTER(dataSummaryPL,(dataSummaryPLSummarys=$D18)*(dataSummaryPLSections=$E18)),(startDates&gt;=BK$7)*(endDates&lt;=BK$8))),0)</f>
        <v>5890</v>
      </c>
      <c r="BL18" s="184" cm="1">
        <f t="array" ref="BL18">IFERROR(SUM(_xlfn._xlws.FILTER(_xlfn._xlws.FILTER(dataSummaryPL,(dataSummaryPLSummarys=$D18)*(dataSummaryPLSections=$E18)),(startDates&gt;=BL$7)*(endDates&lt;=BL$8))),0)</f>
        <v>6185</v>
      </c>
      <c r="BM18" s="184" cm="1">
        <f t="array" ref="BM18">IFERROR(SUM(_xlfn._xlws.FILTER(_xlfn._xlws.FILTER(dataSummaryPL,(dataSummaryPLSummarys=$D18)*(dataSummaryPLSections=$E18)),(startDates&gt;=BM$7)*(endDates&lt;=BM$8))),0)</f>
        <v>6495</v>
      </c>
      <c r="BN18" s="184" cm="1">
        <f t="array" ref="BN18">IFERROR(SUM(_xlfn._xlws.FILTER(_xlfn._xlws.FILTER(dataSummaryPL,(dataSummaryPLSummarys=$D18)*(dataSummaryPLSections=$E18)),(startDates&gt;=BN$7)*(endDates&lt;=BN$8))),0)</f>
        <v>6820</v>
      </c>
      <c r="BO18" s="184" cm="1">
        <f t="array" ref="BO18">IFERROR(SUM(_xlfn._xlws.FILTER(_xlfn._xlws.FILTER(dataSummaryPL,(dataSummaryPLSummarys=$D18)*(dataSummaryPLSections=$E18)),(startDates&gt;=BO$7)*(endDates&lt;=BO$8))),0)</f>
        <v>7460.48</v>
      </c>
      <c r="BP18" s="184" cm="1">
        <f t="array" ref="BP18">IFERROR(SUM(_xlfn._xlws.FILTER(_xlfn._xlws.FILTER(dataSummaryPL,(dataSummaryPLSummarys=$D18)*(dataSummaryPLSections=$E18)),(startDates&gt;=BP$7)*(endDates&lt;=BP$8))),0)</f>
        <v>6518.5</v>
      </c>
      <c r="BQ18" s="184" cm="1">
        <f t="array" ref="BQ18">IFERROR(SUM(_xlfn._xlws.FILTER(_xlfn._xlws.FILTER(dataSummaryPL,(dataSummaryPLSummarys=$D18)*(dataSummaryPLSections=$E18)),(startDates&gt;=BQ$7)*(endDates&lt;=BQ$8))),0)</f>
        <v>7894.43</v>
      </c>
      <c r="BR18" s="184" cm="1">
        <f t="array" ref="BR18">IFERROR(SUM(_xlfn._xlws.FILTER(_xlfn._xlws.FILTER(dataSummaryPL,(dataSummaryPLSummarys=$D18)*(dataSummaryPLSections=$E18)),(startDates&gt;=BR$7)*(endDates&lt;=BR$8))),0)</f>
        <v>8289.15</v>
      </c>
      <c r="BS18" s="184" cm="1">
        <f t="array" ref="BS18">IFERROR(SUM(_xlfn._xlws.FILTER(_xlfn._xlws.FILTER(dataSummaryPL,(dataSummaryPLSummarys=$D18)*(dataSummaryPLSections=$E18)),(startDates&gt;=BS$7)*(endDates&lt;=BS$8))),0)</f>
        <v>8703.61</v>
      </c>
      <c r="BT18" s="184" cm="1">
        <f t="array" ref="BT18">IFERROR(SUM(_xlfn._xlws.FILTER(_xlfn._xlws.FILTER(dataSummaryPL,(dataSummaryPLSummarys=$D18)*(dataSummaryPLSections=$E18)),(startDates&gt;=BT$7)*(endDates&lt;=BT$8))),0)</f>
        <v>9138.7900000000009</v>
      </c>
      <c r="BU18" s="184" cm="1">
        <f t="array" ref="BU18">IFERROR(SUM(_xlfn._xlws.FILTER(_xlfn._xlws.FILTER(dataSummaryPL,(dataSummaryPLSummarys=$D18)*(dataSummaryPLSections=$E18)),(startDates&gt;=BU$7)*(endDates&lt;=BU$8))),0)</f>
        <v>38942.550772727271</v>
      </c>
      <c r="BV18" s="184" cm="1">
        <f t="array" ref="BV18">IFERROR(SUM(_xlfn._xlws.FILTER(_xlfn._xlws.FILTER(dataSummaryPL,(dataSummaryPLSummarys=$D18)*(dataSummaryPLSections=$E18)),(startDates&gt;=BV$7)*(endDates&lt;=BV$8))),0)</f>
        <v>31452.469210123967</v>
      </c>
      <c r="BW18" s="184" cm="1">
        <f t="array" ref="BW18">IFERROR(SUM(_xlfn._xlws.FILTER(_xlfn._xlws.FILTER(dataSummaryPL,(dataSummaryPLSummarys=$D18)*(dataSummaryPLSections=$E18)),(startDates&gt;=BW$7)*(endDates&lt;=BW$8))),0)</f>
        <v>31630.248373363072</v>
      </c>
      <c r="BX18" s="184" cm="1">
        <f t="array" ref="BX18">IFERROR(SUM(_xlfn._xlws.FILTER(_xlfn._xlws.FILTER(dataSummaryPL,(dataSummaryPLSummarys=$D18)*(dataSummaryPLSections=$E18)),(startDates&gt;=BX$7)*(endDates&lt;=BX$8))),0)</f>
        <v>31655.041790536368</v>
      </c>
      <c r="BY18" s="184" cm="1">
        <f t="array" ref="BY18">IFERROR(SUM(_xlfn._xlws.FILTER(_xlfn._xlws.FILTER(dataSummaryPL,(dataSummaryPLSummarys=$D18)*(dataSummaryPLSections=$E18)),(startDates&gt;=BY$7)*(endDates&lt;=BY$8))),0)</f>
        <v>31674.97461929921</v>
      </c>
      <c r="BZ18" s="184" cm="1">
        <f t="array" ref="BZ18">IFERROR(SUM(_xlfn._xlws.FILTER(_xlfn._xlws.FILTER(dataSummaryPL,(dataSummaryPLSummarys=$D18)*(dataSummaryPLSections=$E18)),(startDates&gt;=BZ$7)*(endDates&lt;=BZ$8))),0)</f>
        <v>31689.134265021912</v>
      </c>
      <c r="CA18" s="184" cm="1">
        <f t="array" ref="CA18">IFERROR(SUM(_xlfn._xlws.FILTER(_xlfn._xlws.FILTER(dataSummaryPL,(dataSummaryPLSummarys=$D18)*(dataSummaryPLSections=$E18)),(startDates&gt;=CA$7)*(endDates&lt;=CA$8))),0)</f>
        <v>31696.458261629054</v>
      </c>
      <c r="CB18" s="184" cm="1">
        <f t="array" ref="CB18">IFERROR(SUM(_xlfn._xlws.FILTER(_xlfn._xlws.FILTER(dataSummaryPL,(dataSummaryPLSummarys=$D18)*(dataSummaryPLSections=$E18)),(startDates&gt;=CB$7)*(endDates&lt;=CB$8))),0)</f>
        <v>31726.336178118778</v>
      </c>
      <c r="CC18" s="184" cm="1">
        <f t="array" ref="CC18">IFERROR(SUM(_xlfn._xlws.FILTER(_xlfn._xlws.FILTER(dataSummaryPL,(dataSummaryPLSummarys=$D18)*(dataSummaryPLSections=$E18)),(startDates&gt;=CC$7)*(endDates&lt;=CC$8))),0)</f>
        <v>31757.465382879651</v>
      </c>
      <c r="CD18" s="184" cm="1">
        <f t="array" ref="CD18">IFERROR(SUM(_xlfn._xlws.FILTER(_xlfn._xlws.FILTER(dataSummaryPL,(dataSummaryPLSummarys=$D18)*(dataSummaryPLSections=$E18)),(startDates&gt;=CD$7)*(endDates&lt;=CD$8))),0)</f>
        <v>31760.439718509548</v>
      </c>
      <c r="CE18" s="184" cm="1">
        <f t="array" ref="CE18">IFERROR(SUM(_xlfn._xlws.FILTER(_xlfn._xlws.FILTER(dataSummaryPL,(dataSummaryPLSummarys=$D18)*(dataSummaryPLSections=$E18)),(startDates&gt;=CE$7)*(endDates&lt;=CE$8))),0)</f>
        <v>31756.81534913414</v>
      </c>
      <c r="CF18" s="184" cm="1">
        <f t="array" ref="CF18">IFERROR(SUM(_xlfn._xlws.FILTER(_xlfn._xlws.FILTER(dataSummaryPL,(dataSummaryPLSummarys=$D18)*(dataSummaryPLSections=$E18)),(startDates&gt;=CF$7)*(endDates&lt;=CF$8))),0)</f>
        <v>31745.972210347336</v>
      </c>
      <c r="CG18" s="184" cm="1">
        <f t="array" ref="CG18">IFERROR(SUM(_xlfn._xlws.FILTER(_xlfn._xlws.FILTER(dataSummaryPL,(dataSummaryPLSummarys=$D18)*(dataSummaryPLSections=$E18)),(startDates&gt;=CG$7)*(endDates&lt;=CG$8))),0)</f>
        <v>31767.647907798917</v>
      </c>
    </row>
    <row r="20" spans="1:85" s="157" customFormat="1" ht="15.75">
      <c r="C20" s="160" t="s">
        <v>81</v>
      </c>
      <c r="D20" s="160"/>
      <c r="E20" s="161"/>
      <c r="F20" s="160"/>
      <c r="G20" s="160"/>
      <c r="J20" s="158">
        <f>J13-J17</f>
        <v>819290.67999999993</v>
      </c>
      <c r="K20" s="158">
        <f>K13-K17</f>
        <v>870231.67999999993</v>
      </c>
      <c r="N20" s="158">
        <f>N13-N17</f>
        <v>221563.5</v>
      </c>
      <c r="O20" s="158">
        <f>O13-O17</f>
        <v>541123.34</v>
      </c>
      <c r="P20" s="158">
        <f>P13-P17</f>
        <v>824787.29589393933</v>
      </c>
      <c r="Q20" s="158">
        <f>Q13-Q17</f>
        <v>1071017.8300665715</v>
      </c>
      <c r="R20" s="159"/>
      <c r="S20" s="159"/>
      <c r="T20" s="158">
        <f t="shared" ref="T20:AI20" si="16">T13-T17</f>
        <v>29624</v>
      </c>
      <c r="U20" s="158">
        <f t="shared" si="16"/>
        <v>39430</v>
      </c>
      <c r="V20" s="158">
        <f t="shared" si="16"/>
        <v>52482</v>
      </c>
      <c r="W20" s="158">
        <f t="shared" si="16"/>
        <v>100027.5</v>
      </c>
      <c r="X20" s="158">
        <f t="shared" si="16"/>
        <v>129970</v>
      </c>
      <c r="Y20" s="158">
        <f t="shared" si="16"/>
        <v>131277.5</v>
      </c>
      <c r="Z20" s="158">
        <f t="shared" si="16"/>
        <v>134215.5</v>
      </c>
      <c r="AA20" s="158">
        <f t="shared" si="16"/>
        <v>145660.34</v>
      </c>
      <c r="AB20" s="158">
        <f t="shared" si="16"/>
        <v>168621.8</v>
      </c>
      <c r="AC20" s="158">
        <f t="shared" si="16"/>
        <v>203598.49</v>
      </c>
      <c r="AD20" s="158">
        <f t="shared" si="16"/>
        <v>251467.28999999998</v>
      </c>
      <c r="AE20" s="158">
        <f t="shared" si="16"/>
        <v>201099.71589393937</v>
      </c>
      <c r="AF20" s="158">
        <f t="shared" si="16"/>
        <v>238579.74062597658</v>
      </c>
      <c r="AG20" s="158">
        <f t="shared" si="16"/>
        <v>278256.93285404984</v>
      </c>
      <c r="AH20" s="158">
        <f t="shared" si="16"/>
        <v>278073.25872049201</v>
      </c>
      <c r="AI20" s="158">
        <f t="shared" si="16"/>
        <v>276107.89786605298</v>
      </c>
      <c r="AJ20" s="159"/>
      <c r="AK20" s="159"/>
      <c r="AL20" s="158">
        <f t="shared" ref="AL20:CG20" si="17">AL13-AL17</f>
        <v>8950</v>
      </c>
      <c r="AM20" s="158">
        <f t="shared" si="17"/>
        <v>9845</v>
      </c>
      <c r="AN20" s="158">
        <f t="shared" si="17"/>
        <v>10829</v>
      </c>
      <c r="AO20" s="158">
        <f t="shared" si="17"/>
        <v>11912</v>
      </c>
      <c r="AP20" s="158">
        <f t="shared" si="17"/>
        <v>13104</v>
      </c>
      <c r="AQ20" s="158">
        <f t="shared" si="17"/>
        <v>14414</v>
      </c>
      <c r="AR20" s="158">
        <f t="shared" si="17"/>
        <v>15856</v>
      </c>
      <c r="AS20" s="158">
        <f t="shared" si="17"/>
        <v>17440.5</v>
      </c>
      <c r="AT20" s="158">
        <f t="shared" si="17"/>
        <v>19185.5</v>
      </c>
      <c r="AU20" s="158">
        <f t="shared" si="17"/>
        <v>21103.5</v>
      </c>
      <c r="AV20" s="158">
        <f t="shared" si="17"/>
        <v>42721.5</v>
      </c>
      <c r="AW20" s="158">
        <f t="shared" si="17"/>
        <v>36202.5</v>
      </c>
      <c r="AX20" s="158">
        <f t="shared" si="17"/>
        <v>44857.5</v>
      </c>
      <c r="AY20" s="158">
        <f t="shared" si="17"/>
        <v>38012</v>
      </c>
      <c r="AZ20" s="158">
        <f t="shared" si="17"/>
        <v>47100.5</v>
      </c>
      <c r="BA20" s="158">
        <f t="shared" si="17"/>
        <v>39913.5</v>
      </c>
      <c r="BB20" s="158">
        <f t="shared" si="17"/>
        <v>49455.5</v>
      </c>
      <c r="BC20" s="158">
        <f t="shared" si="17"/>
        <v>41908.5</v>
      </c>
      <c r="BD20" s="158">
        <f t="shared" si="17"/>
        <v>44005</v>
      </c>
      <c r="BE20" s="158">
        <f t="shared" si="17"/>
        <v>44005.5</v>
      </c>
      <c r="BF20" s="158">
        <f t="shared" si="17"/>
        <v>46205</v>
      </c>
      <c r="BG20" s="158">
        <f t="shared" si="17"/>
        <v>46204.67</v>
      </c>
      <c r="BH20" s="158">
        <f t="shared" si="17"/>
        <v>48514.67</v>
      </c>
      <c r="BI20" s="158">
        <f t="shared" si="17"/>
        <v>50941</v>
      </c>
      <c r="BJ20" s="158">
        <f t="shared" si="17"/>
        <v>53487.8</v>
      </c>
      <c r="BK20" s="158">
        <f t="shared" si="17"/>
        <v>56163</v>
      </c>
      <c r="BL20" s="158">
        <f t="shared" si="17"/>
        <v>58971</v>
      </c>
      <c r="BM20" s="158">
        <f t="shared" si="17"/>
        <v>61919</v>
      </c>
      <c r="BN20" s="158">
        <f t="shared" si="17"/>
        <v>65014</v>
      </c>
      <c r="BO20" s="158">
        <f t="shared" si="17"/>
        <v>76665.490000000005</v>
      </c>
      <c r="BP20" s="158">
        <f t="shared" si="17"/>
        <v>79178.759999999995</v>
      </c>
      <c r="BQ20" s="158">
        <f t="shared" si="17"/>
        <v>75262.700000000012</v>
      </c>
      <c r="BR20" s="158">
        <f t="shared" si="17"/>
        <v>97025.83</v>
      </c>
      <c r="BS20" s="158">
        <f t="shared" si="17"/>
        <v>92977.12</v>
      </c>
      <c r="BT20" s="158">
        <f t="shared" si="17"/>
        <v>102625.98000000001</v>
      </c>
      <c r="BU20" s="158">
        <f t="shared" si="17"/>
        <v>5496.6158939393936</v>
      </c>
      <c r="BV20" s="158">
        <f t="shared" si="17"/>
        <v>52986.697456542708</v>
      </c>
      <c r="BW20" s="158">
        <f t="shared" si="17"/>
        <v>92808.918293303606</v>
      </c>
      <c r="BX20" s="158">
        <f t="shared" si="17"/>
        <v>92784.1248761303</v>
      </c>
      <c r="BY20" s="158">
        <f t="shared" si="17"/>
        <v>92764.192047367455</v>
      </c>
      <c r="BZ20" s="158">
        <f t="shared" si="17"/>
        <v>92750.032401644756</v>
      </c>
      <c r="CA20" s="158">
        <f t="shared" si="17"/>
        <v>92742.708405037614</v>
      </c>
      <c r="CB20" s="158">
        <f t="shared" si="17"/>
        <v>92712.830488547886</v>
      </c>
      <c r="CC20" s="158">
        <f t="shared" si="17"/>
        <v>92681.701283787028</v>
      </c>
      <c r="CD20" s="158">
        <f t="shared" si="17"/>
        <v>92678.726948157127</v>
      </c>
      <c r="CE20" s="158">
        <f t="shared" si="17"/>
        <v>92682.351317532535</v>
      </c>
      <c r="CF20" s="158">
        <f t="shared" si="17"/>
        <v>92693.194456319339</v>
      </c>
      <c r="CG20" s="158">
        <f t="shared" si="17"/>
        <v>90732.352092201079</v>
      </c>
    </row>
    <row r="21" spans="1:85" s="186" customFormat="1" outlineLevel="2">
      <c r="A21" s="148"/>
      <c r="B21" s="148"/>
      <c r="C21" s="188" t="s">
        <v>82</v>
      </c>
      <c r="D21" s="188"/>
      <c r="E21" s="189"/>
      <c r="F21" s="188"/>
      <c r="G21" s="188"/>
      <c r="J21" s="187">
        <f>IFERROR(J20/J$13,0)</f>
        <v>0.91204973113207244</v>
      </c>
      <c r="K21" s="187">
        <f>IFERROR(K20/K$13,0)</f>
        <v>0.9116382338847514</v>
      </c>
      <c r="N21" s="187">
        <f>IFERROR(N20/N$13,0)</f>
        <v>0.90241443775124941</v>
      </c>
      <c r="O21" s="187">
        <f>IFERROR(O20/O$13,0)</f>
        <v>0.91037666871356582</v>
      </c>
      <c r="P21" s="187">
        <f>IFERROR(P20/P$13,0)</f>
        <v>0.87488753211252235</v>
      </c>
      <c r="Q21" s="187">
        <f>IFERROR(Q20/Q$13,0)</f>
        <v>0.7379556786557887</v>
      </c>
      <c r="T21" s="187">
        <f t="shared" ref="T21:AI21" si="18">IFERROR(T20/T$13,0)</f>
        <v>0.89498489425981875</v>
      </c>
      <c r="U21" s="187">
        <f t="shared" si="18"/>
        <v>0.89499727619393499</v>
      </c>
      <c r="V21" s="187">
        <f t="shared" si="18"/>
        <v>0.89500162008219786</v>
      </c>
      <c r="W21" s="187">
        <f t="shared" si="18"/>
        <v>0.91159503499562555</v>
      </c>
      <c r="X21" s="187">
        <f t="shared" si="18"/>
        <v>0.91958170600554712</v>
      </c>
      <c r="Y21" s="187">
        <f t="shared" si="18"/>
        <v>0.91273317620229577</v>
      </c>
      <c r="Z21" s="187">
        <f t="shared" si="18"/>
        <v>0.90508189977813891</v>
      </c>
      <c r="AA21" s="187">
        <f t="shared" si="18"/>
        <v>0.90506552171940924</v>
      </c>
      <c r="AB21" s="187">
        <f t="shared" si="18"/>
        <v>0.90507388817244971</v>
      </c>
      <c r="AC21" s="187">
        <f t="shared" si="18"/>
        <v>0.90740690642501887</v>
      </c>
      <c r="AD21" s="187">
        <f t="shared" si="18"/>
        <v>0.91719687724416477</v>
      </c>
      <c r="AE21" s="187">
        <f t="shared" si="18"/>
        <v>0.77980485809136657</v>
      </c>
      <c r="AF21" s="187">
        <f t="shared" si="18"/>
        <v>0.71577322110593233</v>
      </c>
      <c r="AG21" s="187">
        <f t="shared" si="18"/>
        <v>0.74536268150850105</v>
      </c>
      <c r="AH21" s="187">
        <f t="shared" si="18"/>
        <v>0.74487067635589543</v>
      </c>
      <c r="AI21" s="187">
        <f t="shared" si="18"/>
        <v>0.74346797614127447</v>
      </c>
      <c r="AL21" s="187">
        <f t="shared" ref="AL21:CG21" si="19">IFERROR(AL20/AL$13,0)</f>
        <v>0.89500000000000002</v>
      </c>
      <c r="AM21" s="187">
        <f t="shared" si="19"/>
        <v>0.89500000000000002</v>
      </c>
      <c r="AN21" s="187">
        <f t="shared" si="19"/>
        <v>0.89495867768595039</v>
      </c>
      <c r="AO21" s="187">
        <f t="shared" si="19"/>
        <v>0.89496619083395945</v>
      </c>
      <c r="AP21" s="187">
        <f t="shared" si="19"/>
        <v>0.89502083191038861</v>
      </c>
      <c r="AQ21" s="187">
        <f t="shared" si="19"/>
        <v>0.89500155231294631</v>
      </c>
      <c r="AR21" s="187">
        <f t="shared" si="19"/>
        <v>0.89501016030706704</v>
      </c>
      <c r="AS21" s="187">
        <f t="shared" si="19"/>
        <v>0.89498126956432489</v>
      </c>
      <c r="AT21" s="187">
        <f t="shared" si="19"/>
        <v>0.89501306213845866</v>
      </c>
      <c r="AU21" s="187">
        <f t="shared" si="19"/>
        <v>0.89501251113278768</v>
      </c>
      <c r="AV21" s="187">
        <f t="shared" si="19"/>
        <v>0.92572970161866996</v>
      </c>
      <c r="AW21" s="187">
        <f t="shared" si="19"/>
        <v>0.90506249999999999</v>
      </c>
      <c r="AX21" s="187">
        <f t="shared" si="19"/>
        <v>0.92572719862144393</v>
      </c>
      <c r="AY21" s="187">
        <f t="shared" si="19"/>
        <v>0.9050476190476191</v>
      </c>
      <c r="AZ21" s="187">
        <f t="shared" si="19"/>
        <v>0.92572647136862585</v>
      </c>
      <c r="BA21" s="187">
        <f t="shared" si="19"/>
        <v>0.90506802721088431</v>
      </c>
      <c r="BB21" s="187">
        <f t="shared" si="19"/>
        <v>0.9257169062593591</v>
      </c>
      <c r="BC21" s="187">
        <f t="shared" si="19"/>
        <v>0.90505344995140913</v>
      </c>
      <c r="BD21" s="187">
        <f t="shared" si="19"/>
        <v>0.90508021390374327</v>
      </c>
      <c r="BE21" s="187">
        <f t="shared" si="19"/>
        <v>0.90509049773755657</v>
      </c>
      <c r="BF21" s="187">
        <f t="shared" si="19"/>
        <v>0.90507531684002274</v>
      </c>
      <c r="BG21" s="187">
        <f t="shared" si="19"/>
        <v>0.90506885271591153</v>
      </c>
      <c r="BH21" s="187">
        <f t="shared" si="19"/>
        <v>0.90505689873890005</v>
      </c>
      <c r="BI21" s="187">
        <f t="shared" si="19"/>
        <v>0.9050707128135882</v>
      </c>
      <c r="BJ21" s="187">
        <f t="shared" si="19"/>
        <v>0.90506617627400621</v>
      </c>
      <c r="BK21" s="187">
        <f t="shared" si="19"/>
        <v>0.90508114031553677</v>
      </c>
      <c r="BL21" s="187">
        <f t="shared" si="19"/>
        <v>0.90507397630302655</v>
      </c>
      <c r="BM21" s="187">
        <f t="shared" si="19"/>
        <v>0.90506329113924056</v>
      </c>
      <c r="BN21" s="187">
        <f t="shared" si="19"/>
        <v>0.9050588857644013</v>
      </c>
      <c r="BO21" s="187">
        <f t="shared" si="19"/>
        <v>0.91131775360212786</v>
      </c>
      <c r="BP21" s="187">
        <f t="shared" si="19"/>
        <v>0.92393572443272987</v>
      </c>
      <c r="BQ21" s="187">
        <f t="shared" si="19"/>
        <v>0.90506610798136022</v>
      </c>
      <c r="BR21" s="187">
        <f t="shared" si="19"/>
        <v>0.92129182382221408</v>
      </c>
      <c r="BS21" s="187">
        <f t="shared" si="19"/>
        <v>0.91440256182267765</v>
      </c>
      <c r="BT21" s="187">
        <f t="shared" si="19"/>
        <v>0.91823192585642155</v>
      </c>
      <c r="BU21" s="187">
        <f t="shared" si="19"/>
        <v>0.12368854562842974</v>
      </c>
      <c r="BV21" s="187">
        <f t="shared" si="19"/>
        <v>0.62751326840675481</v>
      </c>
      <c r="BW21" s="187">
        <f t="shared" si="19"/>
        <v>0.74581758122753639</v>
      </c>
      <c r="BX21" s="187">
        <f t="shared" si="19"/>
        <v>0.74561833996100069</v>
      </c>
      <c r="BY21" s="187">
        <f t="shared" si="19"/>
        <v>0.7454581586507526</v>
      </c>
      <c r="BZ21" s="187">
        <f t="shared" si="19"/>
        <v>0.74534437095752071</v>
      </c>
      <c r="CA21" s="187">
        <f t="shared" si="19"/>
        <v>0.7452855149172295</v>
      </c>
      <c r="CB21" s="187">
        <f t="shared" si="19"/>
        <v>0.74504541433402838</v>
      </c>
      <c r="CC21" s="187">
        <f t="shared" si="19"/>
        <v>0.7447952583293338</v>
      </c>
      <c r="CD21" s="187">
        <f t="shared" si="19"/>
        <v>0.74477135640432435</v>
      </c>
      <c r="CE21" s="187">
        <f t="shared" si="19"/>
        <v>0.74480048203632987</v>
      </c>
      <c r="CF21" s="187">
        <f t="shared" si="19"/>
        <v>0.74488761809708359</v>
      </c>
      <c r="CG21" s="187">
        <f t="shared" si="19"/>
        <v>0.74067226197715164</v>
      </c>
    </row>
    <row r="23" spans="1:85" s="157" customFormat="1" ht="15.75">
      <c r="A23" s="148"/>
      <c r="B23" s="148"/>
      <c r="C23" s="160" t="s">
        <v>122</v>
      </c>
      <c r="D23" s="160"/>
      <c r="E23" s="161"/>
      <c r="F23" s="160"/>
      <c r="G23" s="160"/>
      <c r="J23" s="158">
        <f>SUM(J24:J29)</f>
        <v>2924688.75</v>
      </c>
      <c r="K23" s="158">
        <f>SUM(K24:K29)</f>
        <v>3120123.25</v>
      </c>
      <c r="N23" s="158">
        <f>SUM(N24:N29)</f>
        <v>804245</v>
      </c>
      <c r="O23" s="158">
        <f>SUM(O24:O29)</f>
        <v>1836654.34</v>
      </c>
      <c r="P23" s="158">
        <f>SUM(P24:P29)</f>
        <v>3189510.6435000007</v>
      </c>
      <c r="Q23" s="158">
        <f>SUM(Q24:Q29)</f>
        <v>3584650.4663251508</v>
      </c>
      <c r="R23" s="159"/>
      <c r="S23" s="159"/>
      <c r="T23" s="158">
        <f t="shared" ref="T23:AI23" si="20">SUM(T24:T29)</f>
        <v>156389</v>
      </c>
      <c r="U23" s="158">
        <f t="shared" si="20"/>
        <v>169254.5</v>
      </c>
      <c r="V23" s="158">
        <f t="shared" si="20"/>
        <v>183516.5</v>
      </c>
      <c r="W23" s="158">
        <f t="shared" si="20"/>
        <v>295085</v>
      </c>
      <c r="X23" s="158">
        <f t="shared" si="20"/>
        <v>342976.5</v>
      </c>
      <c r="Y23" s="158">
        <f t="shared" si="20"/>
        <v>419934.5</v>
      </c>
      <c r="Z23" s="158">
        <f t="shared" si="20"/>
        <v>514914.5</v>
      </c>
      <c r="AA23" s="158">
        <f t="shared" si="20"/>
        <v>558828.84000000008</v>
      </c>
      <c r="AB23" s="158">
        <f t="shared" si="20"/>
        <v>646917.28999999992</v>
      </c>
      <c r="AC23" s="158">
        <f t="shared" si="20"/>
        <v>749887.28000000014</v>
      </c>
      <c r="AD23" s="158">
        <f t="shared" si="20"/>
        <v>869229.28</v>
      </c>
      <c r="AE23" s="158">
        <f t="shared" si="20"/>
        <v>923476.79349999991</v>
      </c>
      <c r="AF23" s="158">
        <f t="shared" si="20"/>
        <v>780146.08600219537</v>
      </c>
      <c r="AG23" s="158">
        <f t="shared" si="20"/>
        <v>889840.25774899882</v>
      </c>
      <c r="AH23" s="158">
        <f t="shared" si="20"/>
        <v>935366.34930551273</v>
      </c>
      <c r="AI23" s="158">
        <f t="shared" si="20"/>
        <v>979297.77326844377</v>
      </c>
      <c r="AJ23" s="159"/>
      <c r="AK23" s="159"/>
      <c r="AL23" s="158">
        <f t="shared" ref="AL23:CG23" si="21">SUM(AL24:AL29)</f>
        <v>50780</v>
      </c>
      <c r="AM23" s="158">
        <f t="shared" si="21"/>
        <v>52115</v>
      </c>
      <c r="AN23" s="158">
        <f t="shared" si="21"/>
        <v>53494</v>
      </c>
      <c r="AO23" s="158">
        <f t="shared" si="21"/>
        <v>54921.5</v>
      </c>
      <c r="AP23" s="158">
        <f t="shared" si="21"/>
        <v>56401</v>
      </c>
      <c r="AQ23" s="158">
        <f t="shared" si="21"/>
        <v>57932</v>
      </c>
      <c r="AR23" s="158">
        <f t="shared" si="21"/>
        <v>59514</v>
      </c>
      <c r="AS23" s="158">
        <f t="shared" si="21"/>
        <v>61153</v>
      </c>
      <c r="AT23" s="158">
        <f t="shared" si="21"/>
        <v>62849.5</v>
      </c>
      <c r="AU23" s="158">
        <f t="shared" si="21"/>
        <v>64606.5</v>
      </c>
      <c r="AV23" s="158">
        <f t="shared" si="21"/>
        <v>91586.5</v>
      </c>
      <c r="AW23" s="158">
        <f t="shared" si="21"/>
        <v>138892</v>
      </c>
      <c r="AX23" s="158">
        <f t="shared" si="21"/>
        <v>96166.5</v>
      </c>
      <c r="AY23" s="158">
        <f t="shared" si="21"/>
        <v>145836</v>
      </c>
      <c r="AZ23" s="158">
        <f t="shared" si="21"/>
        <v>100974</v>
      </c>
      <c r="BA23" s="158">
        <f t="shared" si="21"/>
        <v>153128</v>
      </c>
      <c r="BB23" s="158">
        <f t="shared" si="21"/>
        <v>106022</v>
      </c>
      <c r="BC23" s="158">
        <f t="shared" si="21"/>
        <v>160784.5</v>
      </c>
      <c r="BD23" s="158">
        <f t="shared" si="21"/>
        <v>168825</v>
      </c>
      <c r="BE23" s="158">
        <f t="shared" si="21"/>
        <v>168824.5</v>
      </c>
      <c r="BF23" s="158">
        <f t="shared" si="21"/>
        <v>177265</v>
      </c>
      <c r="BG23" s="158">
        <f t="shared" si="21"/>
        <v>177265.66999999998</v>
      </c>
      <c r="BH23" s="158">
        <f t="shared" si="21"/>
        <v>186128.66999999998</v>
      </c>
      <c r="BI23" s="158">
        <f t="shared" si="21"/>
        <v>195434.5</v>
      </c>
      <c r="BJ23" s="158">
        <f t="shared" si="21"/>
        <v>205207.28999999998</v>
      </c>
      <c r="BK23" s="158">
        <f t="shared" si="21"/>
        <v>215468</v>
      </c>
      <c r="BL23" s="158">
        <f t="shared" si="21"/>
        <v>226242</v>
      </c>
      <c r="BM23" s="158">
        <f t="shared" si="21"/>
        <v>237553</v>
      </c>
      <c r="BN23" s="158">
        <f t="shared" si="21"/>
        <v>249432</v>
      </c>
      <c r="BO23" s="158">
        <f t="shared" si="21"/>
        <v>262902.28000000003</v>
      </c>
      <c r="BP23" s="158">
        <f t="shared" si="21"/>
        <v>276797.38999999996</v>
      </c>
      <c r="BQ23" s="158">
        <f t="shared" si="21"/>
        <v>289247.27</v>
      </c>
      <c r="BR23" s="158">
        <f t="shared" si="21"/>
        <v>303184.62</v>
      </c>
      <c r="BS23" s="158">
        <f t="shared" si="21"/>
        <v>318343.84999999998</v>
      </c>
      <c r="BT23" s="158">
        <f t="shared" si="21"/>
        <v>340311.04999999993</v>
      </c>
      <c r="BU23" s="158">
        <f t="shared" si="21"/>
        <v>264821.89350000001</v>
      </c>
      <c r="BV23" s="158">
        <f t="shared" si="21"/>
        <v>255299.97161250003</v>
      </c>
      <c r="BW23" s="158">
        <f t="shared" si="21"/>
        <v>260182.86914468749</v>
      </c>
      <c r="BX23" s="158">
        <f t="shared" si="21"/>
        <v>264663.2452450078</v>
      </c>
      <c r="BY23" s="158">
        <f t="shared" si="21"/>
        <v>293091.85257955088</v>
      </c>
      <c r="BZ23" s="158">
        <f t="shared" si="21"/>
        <v>295912.16061430564</v>
      </c>
      <c r="CA23" s="158">
        <f t="shared" si="21"/>
        <v>300836.24455514242</v>
      </c>
      <c r="CB23" s="158">
        <f t="shared" si="21"/>
        <v>308283.39140645904</v>
      </c>
      <c r="CC23" s="158">
        <f t="shared" si="21"/>
        <v>311864.70862040186</v>
      </c>
      <c r="CD23" s="158">
        <f t="shared" si="21"/>
        <v>315218.24927865184</v>
      </c>
      <c r="CE23" s="158">
        <f t="shared" si="21"/>
        <v>318374.59373453952</v>
      </c>
      <c r="CF23" s="158">
        <f t="shared" si="21"/>
        <v>321419.49010332924</v>
      </c>
      <c r="CG23" s="158">
        <f t="shared" si="21"/>
        <v>339503.689430575</v>
      </c>
    </row>
    <row r="24" spans="1:85" outlineLevel="1">
      <c r="C24" s="331" t="s">
        <v>123</v>
      </c>
      <c r="D24" s="163" t="str">
        <f>C24</f>
        <v>Marketing &amp; Advertising</v>
      </c>
      <c r="E24" s="150" t="s">
        <v>101</v>
      </c>
      <c r="F24" s="163"/>
      <c r="G24" s="163"/>
      <c r="J24" s="184" cm="1">
        <f t="array" ref="J24">IFERROR(SUM(_xlfn._xlws.FILTER(_xlfn._xlws.FILTER(dataSummaryPL,(dataSummaryPLSummarys=$D24)*(dataSummaryPLSections=$E24)),(startDates&gt;=J$7)*(endDates&lt;=J$8))),0)</f>
        <v>888046.35</v>
      </c>
      <c r="K24" s="184" cm="1">
        <f t="array" ref="K24">IFERROR(SUM(_xlfn._xlws.FILTER(_xlfn._xlws.FILTER(dataSummaryPL,(dataSummaryPLSummarys=$D24)*(dataSummaryPLSections=$E24)),(startDates&gt;=K$7)*(endDates&lt;=K$8))),0)</f>
        <v>947109.34999999974</v>
      </c>
      <c r="N24" s="184" cm="1">
        <f t="array" ref="N24">IFERROR(SUM(_xlfn._xlws.FILTER(_xlfn._xlws.FILTER(dataSummaryPL,(dataSummaryPLSummarys=$D24)*(dataSummaryPLSections=$E24)),(startDates&gt;=N$7)*(endDates&lt;=N$8))),0)</f>
        <v>279792.5</v>
      </c>
      <c r="O24" s="184" cm="1">
        <f t="array" ref="O24">IFERROR(SUM(_xlfn._xlws.FILTER(_xlfn._xlws.FILTER(dataSummaryPL,(dataSummaryPLSummarys=$D24)*(dataSummaryPLSections=$E24)),(startDates&gt;=O$7)*(endDates&lt;=O$8))),0)</f>
        <v>551667</v>
      </c>
      <c r="P24" s="184" cm="1">
        <f t="array" ref="P24">IFERROR(SUM(_xlfn._xlws.FILTER(_xlfn._xlws.FILTER(dataSummaryPL,(dataSummaryPLSummarys=$D24)*(dataSummaryPLSections=$E24)),(startDates&gt;=P$7)*(endDates&lt;=P$8))),0)</f>
        <v>954565.41066666669</v>
      </c>
      <c r="Q24" s="184" cm="1">
        <f t="array" ref="Q24">IFERROR(SUM(_xlfn._xlws.FILTER(_xlfn._xlws.FILTER(dataSummaryPL,(dataSummaryPLSummarys=$D24)*(dataSummaryPLSections=$E24)),(startDates&gt;=Q$7)*(endDates&lt;=Q$8))),0)</f>
        <v>892961.1782667361</v>
      </c>
      <c r="T24" s="184" cm="1">
        <f t="array" ref="T24">IFERROR(SUM(_xlfn._xlws.FILTER(_xlfn._xlws.FILTER(dataSummaryPL,(dataSummaryPLSummarys=$D24)*(dataSummaryPLSections=$E24)),(startDates&gt;=T$7)*(endDates&lt;=T$8))),0)</f>
        <v>55912</v>
      </c>
      <c r="U24" s="184" cm="1">
        <f t="array" ref="U24">IFERROR(SUM(_xlfn._xlws.FILTER(_xlfn._xlws.FILTER(dataSummaryPL,(dataSummaryPLSummarys=$D24)*(dataSummaryPLSections=$E24)),(startDates&gt;=U$7)*(endDates&lt;=U$8))),0)</f>
        <v>61990</v>
      </c>
      <c r="V24" s="184" cm="1">
        <f t="array" ref="V24">IFERROR(SUM(_xlfn._xlws.FILTER(_xlfn._xlws.FILTER(dataSummaryPL,(dataSummaryPLSummarys=$D24)*(dataSummaryPLSections=$E24)),(startDates&gt;=V$7)*(endDates&lt;=V$8))),0)</f>
        <v>68730.5</v>
      </c>
      <c r="W24" s="184" cm="1">
        <f t="array" ref="W24">IFERROR(SUM(_xlfn._xlws.FILTER(_xlfn._xlws.FILTER(dataSummaryPL,(dataSummaryPLSummarys=$D24)*(dataSummaryPLSections=$E24)),(startDates&gt;=W$7)*(endDates&lt;=W$8))),0)</f>
        <v>93160</v>
      </c>
      <c r="X24" s="184" cm="1">
        <f t="array" ref="X24">IFERROR(SUM(_xlfn._xlws.FILTER(_xlfn._xlws.FILTER(dataSummaryPL,(dataSummaryPLSummarys=$D24)*(dataSummaryPLSections=$E24)),(startDates&gt;=X$7)*(endDates&lt;=X$8))),0)</f>
        <v>101447</v>
      </c>
      <c r="Y24" s="184" cm="1">
        <f t="array" ref="Y24">IFERROR(SUM(_xlfn._xlws.FILTER(_xlfn._xlws.FILTER(dataSummaryPL,(dataSummaryPLSummarys=$D24)*(dataSummaryPLSections=$E24)),(startDates&gt;=Y$7)*(endDates&lt;=Y$8))),0)</f>
        <v>125723</v>
      </c>
      <c r="Z24" s="184" cm="1">
        <f t="array" ref="Z24">IFERROR(SUM(_xlfn._xlws.FILTER(_xlfn._xlws.FILTER(dataSummaryPL,(dataSummaryPLSummarys=$D24)*(dataSummaryPLSections=$E24)),(startDates&gt;=Z$7)*(endDates&lt;=Z$8))),0)</f>
        <v>155612</v>
      </c>
      <c r="AA24" s="184" cm="1">
        <f t="array" ref="AA24">IFERROR(SUM(_xlfn._xlws.FILTER(_xlfn._xlws.FILTER(dataSummaryPL,(dataSummaryPLSummarys=$D24)*(dataSummaryPLSections=$E24)),(startDates&gt;=AA$7)*(endDates&lt;=AA$8))),0)</f>
        <v>168885</v>
      </c>
      <c r="AB24" s="184" cm="1">
        <f t="array" ref="AB24">IFERROR(SUM(_xlfn._xlws.FILTER(_xlfn._xlws.FILTER(dataSummaryPL,(dataSummaryPLSummarys=$D24)*(dataSummaryPLSections=$E24)),(startDates&gt;=AB$7)*(endDates&lt;=AB$8))),0)</f>
        <v>195505.87</v>
      </c>
      <c r="AC24" s="184" cm="1">
        <f t="array" ref="AC24">IFERROR(SUM(_xlfn._xlws.FILTER(_xlfn._xlws.FILTER(dataSummaryPL,(dataSummaryPLSummarys=$D24)*(dataSummaryPLSections=$E24)),(startDates&gt;=AC$7)*(endDates&lt;=AC$8))),0)</f>
        <v>226320.72</v>
      </c>
      <c r="AD24" s="184" cm="1">
        <f t="array" ref="AD24">IFERROR(SUM(_xlfn._xlws.FILTER(_xlfn._xlws.FILTER(dataSummaryPL,(dataSummaryPLSummarys=$D24)*(dataSummaryPLSections=$E24)),(startDates&gt;=AD$7)*(endDates&lt;=AD$8))),0)</f>
        <v>264295.46000000002</v>
      </c>
      <c r="AE24" s="184" cm="1">
        <f t="array" ref="AE24">IFERROR(SUM(_xlfn._xlws.FILTER(_xlfn._xlws.FILTER(dataSummaryPL,(dataSummaryPLSummarys=$D24)*(dataSummaryPLSections=$E24)),(startDates&gt;=AE$7)*(endDates&lt;=AE$8))),0)</f>
        <v>268443.36066666665</v>
      </c>
      <c r="AF24" s="184" cm="1">
        <f t="array" ref="AF24">IFERROR(SUM(_xlfn._xlws.FILTER(_xlfn._xlws.FILTER(dataSummaryPL,(dataSummaryPLSummarys=$D24)*(dataSummaryPLSections=$E24)),(startDates&gt;=AF$7)*(endDates&lt;=AF$8))),0)</f>
        <v>209359.19699987501</v>
      </c>
      <c r="AG24" s="184" cm="1">
        <f t="array" ref="AG24">IFERROR(SUM(_xlfn._xlws.FILTER(_xlfn._xlws.FILTER(dataSummaryPL,(dataSummaryPLSummarys=$D24)*(dataSummaryPLSections=$E24)),(startDates&gt;=AG$7)*(endDates&lt;=AG$8))),0)</f>
        <v>219587.80275528165</v>
      </c>
      <c r="AH24" s="184" cm="1">
        <f t="array" ref="AH24">IFERROR(SUM(_xlfn._xlws.FILTER(_xlfn._xlws.FILTER(dataSummaryPL,(dataSummaryPLSummarys=$D24)*(dataSummaryPLSections=$E24)),(startDates&gt;=AH$7)*(endDates&lt;=AH$8))),0)</f>
        <v>227489.09917477512</v>
      </c>
      <c r="AI24" s="184" cm="1">
        <f t="array" ref="AI24">IFERROR(SUM(_xlfn._xlws.FILTER(_xlfn._xlws.FILTER(dataSummaryPL,(dataSummaryPLSummarys=$D24)*(dataSummaryPLSections=$E24)),(startDates&gt;=AI$7)*(endDates&lt;=AI$8))),0)</f>
        <v>236525.07933680419</v>
      </c>
      <c r="AL24" s="184" cm="1">
        <f t="array" ref="AL24">IFERROR(SUM(_xlfn._xlws.FILTER(_xlfn._xlws.FILTER(dataSummaryPL,(dataSummaryPLSummarys=$D24)*(dataSummaryPLSections=$E24)),(startDates&gt;=AL$7)*(endDates&lt;=AL$8))),0)</f>
        <v>18000</v>
      </c>
      <c r="AM24" s="184" cm="1">
        <f t="array" ref="AM24">IFERROR(SUM(_xlfn._xlws.FILTER(_xlfn._xlws.FILTER(dataSummaryPL,(dataSummaryPLSummarys=$D24)*(dataSummaryPLSections=$E24)),(startDates&gt;=AM$7)*(endDates&lt;=AM$8))),0)</f>
        <v>18630</v>
      </c>
      <c r="AN24" s="184" cm="1">
        <f t="array" ref="AN24">IFERROR(SUM(_xlfn._xlws.FILTER(_xlfn._xlws.FILTER(dataSummaryPL,(dataSummaryPLSummarys=$D24)*(dataSummaryPLSections=$E24)),(startDates&gt;=AN$7)*(endDates&lt;=AN$8))),0)</f>
        <v>19282</v>
      </c>
      <c r="AO24" s="184" cm="1">
        <f t="array" ref="AO24">IFERROR(SUM(_xlfn._xlws.FILTER(_xlfn._xlws.FILTER(dataSummaryPL,(dataSummaryPLSummarys=$D24)*(dataSummaryPLSections=$E24)),(startDates&gt;=AO$7)*(endDates&lt;=AO$8))),0)</f>
        <v>19957</v>
      </c>
      <c r="AP24" s="184" cm="1">
        <f t="array" ref="AP24">IFERROR(SUM(_xlfn._xlws.FILTER(_xlfn._xlws.FILTER(dataSummaryPL,(dataSummaryPLSummarys=$D24)*(dataSummaryPLSections=$E24)),(startDates&gt;=AP$7)*(endDates&lt;=AP$8))),0)</f>
        <v>20655</v>
      </c>
      <c r="AQ24" s="184" cm="1">
        <f t="array" ref="AQ24">IFERROR(SUM(_xlfn._xlws.FILTER(_xlfn._xlws.FILTER(dataSummaryPL,(dataSummaryPLSummarys=$D24)*(dataSummaryPLSections=$E24)),(startDates&gt;=AQ$7)*(endDates&lt;=AQ$8))),0)</f>
        <v>21378</v>
      </c>
      <c r="AR24" s="184" cm="1">
        <f t="array" ref="AR24">IFERROR(SUM(_xlfn._xlws.FILTER(_xlfn._xlws.FILTER(dataSummaryPL,(dataSummaryPLSummarys=$D24)*(dataSummaryPLSections=$E24)),(startDates&gt;=AR$7)*(endDates&lt;=AR$8))),0)</f>
        <v>22127</v>
      </c>
      <c r="AS24" s="184" cm="1">
        <f t="array" ref="AS24">IFERROR(SUM(_xlfn._xlws.FILTER(_xlfn._xlws.FILTER(dataSummaryPL,(dataSummaryPLSummarys=$D24)*(dataSummaryPLSections=$E24)),(startDates&gt;=AS$7)*(endDates&lt;=AS$8))),0)</f>
        <v>22901.5</v>
      </c>
      <c r="AT24" s="184" cm="1">
        <f t="array" ref="AT24">IFERROR(SUM(_xlfn._xlws.FILTER(_xlfn._xlws.FILTER(dataSummaryPL,(dataSummaryPLSummarys=$D24)*(dataSummaryPLSections=$E24)),(startDates&gt;=AT$7)*(endDates&lt;=AT$8))),0)</f>
        <v>23702</v>
      </c>
      <c r="AU24" s="184" cm="1">
        <f t="array" ref="AU24">IFERROR(SUM(_xlfn._xlws.FILTER(_xlfn._xlws.FILTER(dataSummaryPL,(dataSummaryPLSummarys=$D24)*(dataSummaryPLSections=$E24)),(startDates&gt;=AU$7)*(endDates&lt;=AU$8))),0)</f>
        <v>24532</v>
      </c>
      <c r="AV24" s="184" cm="1">
        <f t="array" ref="AV24">IFERROR(SUM(_xlfn._xlws.FILTER(_xlfn._xlws.FILTER(dataSummaryPL,(dataSummaryPLSummarys=$D24)*(dataSummaryPLSections=$E24)),(startDates&gt;=AV$7)*(endDates&lt;=AV$8))),0)</f>
        <v>26653.5</v>
      </c>
      <c r="AW24" s="184" cm="1">
        <f t="array" ref="AW24">IFERROR(SUM(_xlfn._xlws.FILTER(_xlfn._xlws.FILTER(dataSummaryPL,(dataSummaryPLSummarys=$D24)*(dataSummaryPLSections=$E24)),(startDates&gt;=AW$7)*(endDates&lt;=AW$8))),0)</f>
        <v>41974.5</v>
      </c>
      <c r="AX24" s="184" cm="1">
        <f t="array" ref="AX24">IFERROR(SUM(_xlfn._xlws.FILTER(_xlfn._xlws.FILTER(dataSummaryPL,(dataSummaryPLSummarys=$D24)*(dataSummaryPLSections=$E24)),(startDates&gt;=AX$7)*(endDates&lt;=AX$8))),0)</f>
        <v>27987</v>
      </c>
      <c r="AY24" s="184" cm="1">
        <f t="array" ref="AY24">IFERROR(SUM(_xlfn._xlws.FILTER(_xlfn._xlws.FILTER(dataSummaryPL,(dataSummaryPLSummarys=$D24)*(dataSummaryPLSections=$E24)),(startDates&gt;=AY$7)*(endDates&lt;=AY$8))),0)</f>
        <v>44074</v>
      </c>
      <c r="AZ24" s="184" cm="1">
        <f t="array" ref="AZ24">IFERROR(SUM(_xlfn._xlws.FILTER(_xlfn._xlws.FILTER(dataSummaryPL,(dataSummaryPLSummarys=$D24)*(dataSummaryPLSections=$E24)),(startDates&gt;=AZ$7)*(endDates&lt;=AZ$8))),0)</f>
        <v>29386</v>
      </c>
      <c r="BA24" s="184" cm="1">
        <f t="array" ref="BA24">IFERROR(SUM(_xlfn._xlws.FILTER(_xlfn._xlws.FILTER(dataSummaryPL,(dataSummaryPLSummarys=$D24)*(dataSummaryPLSections=$E24)),(startDates&gt;=BA$7)*(endDates&lt;=BA$8))),0)</f>
        <v>46277</v>
      </c>
      <c r="BB24" s="184" cm="1">
        <f t="array" ref="BB24">IFERROR(SUM(_xlfn._xlws.FILTER(_xlfn._xlws.FILTER(dataSummaryPL,(dataSummaryPLSummarys=$D24)*(dataSummaryPLSections=$E24)),(startDates&gt;=BB$7)*(endDates&lt;=BB$8))),0)</f>
        <v>30855</v>
      </c>
      <c r="BC24" s="184" cm="1">
        <f t="array" ref="BC24">IFERROR(SUM(_xlfn._xlws.FILTER(_xlfn._xlws.FILTER(dataSummaryPL,(dataSummaryPLSummarys=$D24)*(dataSummaryPLSections=$E24)),(startDates&gt;=BC$7)*(endDates&lt;=BC$8))),0)</f>
        <v>48591</v>
      </c>
      <c r="BD24" s="184" cm="1">
        <f t="array" ref="BD24">IFERROR(SUM(_xlfn._xlws.FILTER(_xlfn._xlws.FILTER(dataSummaryPL,(dataSummaryPLSummarys=$D24)*(dataSummaryPLSections=$E24)),(startDates&gt;=BD$7)*(endDates&lt;=BD$8))),0)</f>
        <v>51020</v>
      </c>
      <c r="BE24" s="184" cm="1">
        <f t="array" ref="BE24">IFERROR(SUM(_xlfn._xlws.FILTER(_xlfn._xlws.FILTER(dataSummaryPL,(dataSummaryPLSummarys=$D24)*(dataSummaryPLSections=$E24)),(startDates&gt;=BE$7)*(endDates&lt;=BE$8))),0)</f>
        <v>51020</v>
      </c>
      <c r="BF24" s="184" cm="1">
        <f t="array" ref="BF24">IFERROR(SUM(_xlfn._xlws.FILTER(_xlfn._xlws.FILTER(dataSummaryPL,(dataSummaryPLSummarys=$D24)*(dataSummaryPLSections=$E24)),(startDates&gt;=BF$7)*(endDates&lt;=BF$8))),0)</f>
        <v>53572</v>
      </c>
      <c r="BG24" s="184" cm="1">
        <f t="array" ref="BG24">IFERROR(SUM(_xlfn._xlws.FILTER(_xlfn._xlws.FILTER(dataSummaryPL,(dataSummaryPLSummarys=$D24)*(dataSummaryPLSections=$E24)),(startDates&gt;=BG$7)*(endDates&lt;=BG$8))),0)</f>
        <v>53572</v>
      </c>
      <c r="BH24" s="184" cm="1">
        <f t="array" ref="BH24">IFERROR(SUM(_xlfn._xlws.FILTER(_xlfn._xlws.FILTER(dataSummaryPL,(dataSummaryPLSummarys=$D24)*(dataSummaryPLSections=$E24)),(startDates&gt;=BH$7)*(endDates&lt;=BH$8))),0)</f>
        <v>56250</v>
      </c>
      <c r="BI24" s="184" cm="1">
        <f t="array" ref="BI24">IFERROR(SUM(_xlfn._xlws.FILTER(_xlfn._xlws.FILTER(dataSummaryPL,(dataSummaryPLSummarys=$D24)*(dataSummaryPLSections=$E24)),(startDates&gt;=BI$7)*(endDates&lt;=BI$8))),0)</f>
        <v>59063</v>
      </c>
      <c r="BJ24" s="184" cm="1">
        <f t="array" ref="BJ24">IFERROR(SUM(_xlfn._xlws.FILTER(_xlfn._xlws.FILTER(dataSummaryPL,(dataSummaryPLSummarys=$D24)*(dataSummaryPLSections=$E24)),(startDates&gt;=BJ$7)*(endDates&lt;=BJ$8))),0)</f>
        <v>62015.869999999995</v>
      </c>
      <c r="BK24" s="184" cm="1">
        <f t="array" ref="BK24">IFERROR(SUM(_xlfn._xlws.FILTER(_xlfn._xlws.FILTER(dataSummaryPL,(dataSummaryPLSummarys=$D24)*(dataSummaryPLSections=$E24)),(startDates&gt;=BK$7)*(endDates&lt;=BK$8))),0)</f>
        <v>65117</v>
      </c>
      <c r="BL24" s="184" cm="1">
        <f t="array" ref="BL24">IFERROR(SUM(_xlfn._xlws.FILTER(_xlfn._xlws.FILTER(dataSummaryPL,(dataSummaryPLSummarys=$D24)*(dataSummaryPLSections=$E24)),(startDates&gt;=BL$7)*(endDates&lt;=BL$8))),0)</f>
        <v>68373</v>
      </c>
      <c r="BM24" s="184" cm="1">
        <f t="array" ref="BM24">IFERROR(SUM(_xlfn._xlws.FILTER(_xlfn._xlws.FILTER(dataSummaryPL,(dataSummaryPLSummarys=$D24)*(dataSummaryPLSections=$E24)),(startDates&gt;=BM$7)*(endDates&lt;=BM$8))),0)</f>
        <v>71791</v>
      </c>
      <c r="BN24" s="184" cm="1">
        <f t="array" ref="BN24">IFERROR(SUM(_xlfn._xlws.FILTER(_xlfn._xlws.FILTER(dataSummaryPL,(dataSummaryPLSummarys=$D24)*(dataSummaryPLSections=$E24)),(startDates&gt;=BN$7)*(endDates&lt;=BN$8))),0)</f>
        <v>75380</v>
      </c>
      <c r="BO24" s="184" cm="1">
        <f t="array" ref="BO24">IFERROR(SUM(_xlfn._xlws.FILTER(_xlfn._xlws.FILTER(dataSummaryPL,(dataSummaryPLSummarys=$D24)*(dataSummaryPLSections=$E24)),(startDates&gt;=BO$7)*(endDates&lt;=BO$8))),0)</f>
        <v>79149.72</v>
      </c>
      <c r="BP24" s="184" cm="1">
        <f t="array" ref="BP24">IFERROR(SUM(_xlfn._xlws.FILTER(_xlfn._xlws.FILTER(dataSummaryPL,(dataSummaryPLSummarys=$D24)*(dataSummaryPLSections=$E24)),(startDates&gt;=BP$7)*(endDates&lt;=BP$8))),0)</f>
        <v>84907.199999999997</v>
      </c>
      <c r="BQ24" s="184" cm="1">
        <f t="array" ref="BQ24">IFERROR(SUM(_xlfn._xlws.FILTER(_xlfn._xlws.FILTER(dataSummaryPL,(dataSummaryPLSummarys=$D24)*(dataSummaryPLSections=$E24)),(startDates&gt;=BQ$7)*(endDates&lt;=BQ$8))),0)</f>
        <v>87762.57</v>
      </c>
      <c r="BR24" s="184" cm="1">
        <f t="array" ref="BR24">IFERROR(SUM(_xlfn._xlws.FILTER(_xlfn._xlws.FILTER(dataSummaryPL,(dataSummaryPLSummarys=$D24)*(dataSummaryPLSections=$E24)),(startDates&gt;=BR$7)*(endDates&lt;=BR$8))),0)</f>
        <v>91625.69</v>
      </c>
      <c r="BS24" s="184" cm="1">
        <f t="array" ref="BS24">IFERROR(SUM(_xlfn._xlws.FILTER(_xlfn._xlws.FILTER(dataSummaryPL,(dataSummaryPLSummarys=$D24)*(dataSummaryPLSections=$E24)),(startDates&gt;=BS$7)*(endDates&lt;=BS$8))),0)</f>
        <v>96206.97</v>
      </c>
      <c r="BT24" s="184" cm="1">
        <f t="array" ref="BT24">IFERROR(SUM(_xlfn._xlws.FILTER(_xlfn._xlws.FILTER(dataSummaryPL,(dataSummaryPLSummarys=$D24)*(dataSummaryPLSections=$E24)),(startDates&gt;=BT$7)*(endDates&lt;=BT$8))),0)</f>
        <v>105717.32999999999</v>
      </c>
      <c r="BU24" s="184" cm="1">
        <f t="array" ref="BU24">IFERROR(SUM(_xlfn._xlws.FILTER(_xlfn._xlws.FILTER(dataSummaryPL,(dataSummaryPLSummarys=$D24)*(dataSummaryPLSections=$E24)),(startDates&gt;=BU$7)*(endDates&lt;=BU$8))),0)</f>
        <v>66519.060666666686</v>
      </c>
      <c r="BV24" s="184" cm="1">
        <f t="array" ref="BV24">IFERROR(SUM(_xlfn._xlws.FILTER(_xlfn._xlws.FILTER(dataSummaryPL,(dataSummaryPLSummarys=$D24)*(dataSummaryPLSections=$E24)),(startDates&gt;=BV$7)*(endDates&lt;=BV$8))),0)</f>
        <v>68361.114866666685</v>
      </c>
      <c r="BW24" s="184" cm="1">
        <f t="array" ref="BW24">IFERROR(SUM(_xlfn._xlws.FILTER(_xlfn._xlws.FILTER(dataSummaryPL,(dataSummaryPLSummarys=$D24)*(dataSummaryPLSections=$E24)),(startDates&gt;=BW$7)*(endDates&lt;=BW$8))),0)</f>
        <v>69778.922551666677</v>
      </c>
      <c r="BX24" s="184" cm="1">
        <f t="array" ref="BX24">IFERROR(SUM(_xlfn._xlws.FILTER(_xlfn._xlws.FILTER(dataSummaryPL,(dataSummaryPLSummarys=$D24)*(dataSummaryPLSections=$E24)),(startDates&gt;=BX$7)*(endDates&lt;=BX$8))),0)</f>
        <v>71219.15958154168</v>
      </c>
      <c r="BY24" s="184" cm="1">
        <f t="array" ref="BY24">IFERROR(SUM(_xlfn._xlws.FILTER(_xlfn._xlws.FILTER(dataSummaryPL,(dataSummaryPLSummarys=$D24)*(dataSummaryPLSections=$E24)),(startDates&gt;=BY$7)*(endDates&lt;=BY$8))),0)</f>
        <v>72523.093841644804</v>
      </c>
      <c r="BZ24" s="184" cm="1">
        <f t="array" ref="BZ24">IFERROR(SUM(_xlfn._xlws.FILTER(_xlfn._xlws.FILTER(dataSummaryPL,(dataSummaryPLSummarys=$D24)*(dataSummaryPLSections=$E24)),(startDates&gt;=BZ$7)*(endDates&lt;=BZ$8))),0)</f>
        <v>73555.579347265986</v>
      </c>
      <c r="CA24" s="184" cm="1">
        <f t="array" ref="CA24">IFERROR(SUM(_xlfn._xlws.FILTER(_xlfn._xlws.FILTER(dataSummaryPL,(dataSummaryPLSummarys=$D24)*(dataSummaryPLSections=$E24)),(startDates&gt;=CA$7)*(endDates&lt;=CA$8))),0)</f>
        <v>73509.129566370859</v>
      </c>
      <c r="CB24" s="184" cm="1">
        <f t="array" ref="CB24">IFERROR(SUM(_xlfn._xlws.FILTER(_xlfn._xlws.FILTER(dataSummaryPL,(dataSummaryPLSummarys=$D24)*(dataSummaryPLSections=$E24)),(startDates&gt;=CB$7)*(endDates&lt;=CB$8))),0)</f>
        <v>74732.391623819101</v>
      </c>
      <c r="CC24" s="184" cm="1">
        <f t="array" ref="CC24">IFERROR(SUM(_xlfn._xlws.FILTER(_xlfn._xlws.FILTER(dataSummaryPL,(dataSummaryPLSummarys=$D24)*(dataSummaryPLSections=$E24)),(startDates&gt;=CC$7)*(endDates&lt;=CC$8))),0)</f>
        <v>75847.365056320778</v>
      </c>
      <c r="CD24" s="184" cm="1">
        <f t="array" ref="CD24">IFERROR(SUM(_xlfn._xlws.FILTER(_xlfn._xlws.FILTER(dataSummaryPL,(dataSummaryPLSummarys=$D24)*(dataSummaryPLSections=$E24)),(startDates&gt;=CD$7)*(endDates&lt;=CD$8))),0)</f>
        <v>76909.342494635246</v>
      </c>
      <c r="CE24" s="184" cm="1">
        <f t="array" ref="CE24">IFERROR(SUM(_xlfn._xlws.FILTER(_xlfn._xlws.FILTER(dataSummaryPL,(dataSummaryPLSummarys=$D24)*(dataSummaryPLSections=$E24)),(startDates&gt;=CE$7)*(endDates&lt;=CE$8))),0)</f>
        <v>77905.124504426596</v>
      </c>
      <c r="CF24" s="184" cm="1">
        <f t="array" ref="CF24">IFERROR(SUM(_xlfn._xlws.FILTER(_xlfn._xlws.FILTER(dataSummaryPL,(dataSummaryPLSummarys=$D24)*(dataSummaryPLSections=$E24)),(startDates&gt;=CF$7)*(endDates&lt;=CF$8))),0)</f>
        <v>78846.979870413401</v>
      </c>
      <c r="CG24" s="184" cm="1">
        <f t="array" ref="CG24">IFERROR(SUM(_xlfn._xlws.FILTER(_xlfn._xlws.FILTER(dataSummaryPL,(dataSummaryPLSummarys=$D24)*(dataSummaryPLSections=$E24)),(startDates&gt;=CG$7)*(endDates&lt;=CG$8))),0)</f>
        <v>79772.97496196421</v>
      </c>
    </row>
    <row r="25" spans="1:85" outlineLevel="1">
      <c r="C25" s="331" t="s">
        <v>124</v>
      </c>
      <c r="D25" s="163" t="str">
        <f t="shared" ref="D25:D28" si="22">C25</f>
        <v>G&amp;A</v>
      </c>
      <c r="E25" s="150" t="s">
        <v>101</v>
      </c>
      <c r="F25" s="163"/>
      <c r="G25" s="163"/>
      <c r="J25" s="184" cm="1">
        <f t="array" ref="J25">IFERROR(SUM(_xlfn._xlws.FILTER(_xlfn._xlws.FILTER(dataSummaryPL,(dataSummaryPLSummarys=$D25)*(dataSummaryPLSections=$E25)),(startDates&gt;=J$7)*(endDates&lt;=J$8))),0)</f>
        <v>874071.57000000007</v>
      </c>
      <c r="K25" s="184" cm="1">
        <f t="array" ref="K25">IFERROR(SUM(_xlfn._xlws.FILTER(_xlfn._xlws.FILTER(dataSummaryPL,(dataSummaryPLSummarys=$D25)*(dataSummaryPLSections=$E25)),(startDates&gt;=K$7)*(endDates&lt;=K$8))),0)</f>
        <v>932506.07000000007</v>
      </c>
      <c r="N25" s="184" cm="1">
        <f t="array" ref="N25">IFERROR(SUM(_xlfn._xlws.FILTER(_xlfn._xlws.FILTER(dataSummaryPL,(dataSummaryPLSummarys=$D25)*(dataSummaryPLSections=$E25)),(startDates&gt;=N$7)*(endDates&lt;=N$8))),0)</f>
        <v>237729.5</v>
      </c>
      <c r="O25" s="184" cm="1">
        <f t="array" ref="O25">IFERROR(SUM(_xlfn._xlws.FILTER(_xlfn._xlws.FILTER(dataSummaryPL,(dataSummaryPLSummarys=$D25)*(dataSummaryPLSections=$E25)),(startDates&gt;=O$7)*(endDates&lt;=O$8))),0)</f>
        <v>568206.66</v>
      </c>
      <c r="P25" s="184" cm="1">
        <f t="array" ref="P25">IFERROR(SUM(_xlfn._xlws.FILTER(_xlfn._xlws.FILTER(dataSummaryPL,(dataSummaryPLSummarys=$D25)*(dataSummaryPLSections=$E25)),(startDates&gt;=P$7)*(endDates&lt;=P$8))),0)</f>
        <v>967700.1050000001</v>
      </c>
      <c r="Q25" s="184" cm="1">
        <f t="array" ref="Q25">IFERROR(SUM(_xlfn._xlws.FILTER(_xlfn._xlws.FILTER(dataSummaryPL,(dataSummaryPLSummarys=$D25)*(dataSummaryPLSections=$E25)),(startDates&gt;=Q$7)*(endDates&lt;=Q$8))),0)</f>
        <v>1265897.301107571</v>
      </c>
      <c r="T25" s="184" cm="1">
        <f t="array" ref="T25">IFERROR(SUM(_xlfn._xlws.FILTER(_xlfn._xlws.FILTER(dataSummaryPL,(dataSummaryPLSummarys=$D25)*(dataSummaryPLSections=$E25)),(startDates&gt;=T$7)*(endDates&lt;=T$8))),0)</f>
        <v>43177</v>
      </c>
      <c r="U25" s="184" cm="1">
        <f t="array" ref="U25">IFERROR(SUM(_xlfn._xlws.FILTER(_xlfn._xlws.FILTER(dataSummaryPL,(dataSummaryPLSummarys=$D25)*(dataSummaryPLSections=$E25)),(startDates&gt;=U$7)*(endDates&lt;=U$8))),0)</f>
        <v>47871</v>
      </c>
      <c r="V25" s="184" cm="1">
        <f t="array" ref="V25">IFERROR(SUM(_xlfn._xlws.FILTER(_xlfn._xlws.FILTER(dataSummaryPL,(dataSummaryPLSummarys=$D25)*(dataSummaryPLSections=$E25)),(startDates&gt;=V$7)*(endDates&lt;=V$8))),0)</f>
        <v>53073</v>
      </c>
      <c r="W25" s="184" cm="1">
        <f t="array" ref="W25">IFERROR(SUM(_xlfn._xlws.FILTER(_xlfn._xlws.FILTER(dataSummaryPL,(dataSummaryPLSummarys=$D25)*(dataSummaryPLSections=$E25)),(startDates&gt;=W$7)*(endDates&lt;=W$8))),0)</f>
        <v>93608.5</v>
      </c>
      <c r="X25" s="184" cm="1">
        <f t="array" ref="X25">IFERROR(SUM(_xlfn._xlws.FILTER(_xlfn._xlws.FILTER(dataSummaryPL,(dataSummaryPLSummarys=$D25)*(dataSummaryPLSections=$E25)),(startDates&gt;=X$7)*(endDates&lt;=X$8))),0)</f>
        <v>114929.5</v>
      </c>
      <c r="Y25" s="184" cm="1">
        <f t="array" ref="Y25">IFERROR(SUM(_xlfn._xlws.FILTER(_xlfn._xlws.FILTER(dataSummaryPL,(dataSummaryPLSummarys=$D25)*(dataSummaryPLSections=$E25)),(startDates&gt;=Y$7)*(endDates&lt;=Y$8))),0)</f>
        <v>132220.5</v>
      </c>
      <c r="Z25" s="184" cm="1">
        <f t="array" ref="Z25">IFERROR(SUM(_xlfn._xlws.FILTER(_xlfn._xlws.FILTER(dataSummaryPL,(dataSummaryPLSummarys=$D25)*(dataSummaryPLSections=$E25)),(startDates&gt;=Z$7)*(endDates&lt;=Z$8))),0)</f>
        <v>153963.5</v>
      </c>
      <c r="AA25" s="184" cm="1">
        <f t="array" ref="AA25">IFERROR(SUM(_xlfn._xlws.FILTER(_xlfn._xlws.FILTER(dataSummaryPL,(dataSummaryPLSummarys=$D25)*(dataSummaryPLSections=$E25)),(startDates&gt;=AA$7)*(endDates&lt;=AA$8))),0)</f>
        <v>167093.16</v>
      </c>
      <c r="AB25" s="184" cm="1">
        <f t="array" ref="AB25">IFERROR(SUM(_xlfn._xlws.FILTER(_xlfn._xlws.FILTER(dataSummaryPL,(dataSummaryPLSummarys=$D25)*(dataSummaryPLSections=$E25)),(startDates&gt;=AB$7)*(endDates&lt;=AB$8))),0)</f>
        <v>193436.37</v>
      </c>
      <c r="AC25" s="184" cm="1">
        <f t="array" ref="AC25">IFERROR(SUM(_xlfn._xlws.FILTER(_xlfn._xlws.FILTER(dataSummaryPL,(dataSummaryPLSummarys=$D25)*(dataSummaryPLSections=$E25)),(startDates&gt;=AC$7)*(endDates&lt;=AC$8))),0)</f>
        <v>224926.82</v>
      </c>
      <c r="AD25" s="184" cm="1">
        <f t="array" ref="AD25">IFERROR(SUM(_xlfn._xlws.FILTER(_xlfn._xlws.FILTER(dataSummaryPL,(dataSummaryPLSummarys=$D25)*(dataSummaryPLSections=$E25)),(startDates&gt;=AD$7)*(endDates&lt;=AD$8))),0)</f>
        <v>259221.93</v>
      </c>
      <c r="AE25" s="184" cm="1">
        <f t="array" ref="AE25">IFERROR(SUM(_xlfn._xlws.FILTER(_xlfn._xlws.FILTER(dataSummaryPL,(dataSummaryPLSummarys=$D25)*(dataSummaryPLSections=$E25)),(startDates&gt;=AE$7)*(endDates&lt;=AE$8))),0)</f>
        <v>290114.98499999999</v>
      </c>
      <c r="AF25" s="184" cm="1">
        <f t="array" ref="AF25">IFERROR(SUM(_xlfn._xlws.FILTER(_xlfn._xlws.FILTER(dataSummaryPL,(dataSummaryPLSummarys=$D25)*(dataSummaryPLSections=$E25)),(startDates&gt;=AF$7)*(endDates&lt;=AF$8))),0)</f>
        <v>295409.21373195318</v>
      </c>
      <c r="AG25" s="184" cm="1">
        <f t="array" ref="AG25">IFERROR(SUM(_xlfn._xlws.FILTER(_xlfn._xlws.FILTER(dataSummaryPL,(dataSummaryPLSummarys=$D25)*(dataSummaryPLSections=$E25)),(startDates&gt;=AG$7)*(endDates&lt;=AG$8))),0)</f>
        <v>310375.01772660267</v>
      </c>
      <c r="AH25" s="184" cm="1">
        <f t="array" ref="AH25">IFERROR(SUM(_xlfn._xlws.FILTER(_xlfn._xlws.FILTER(dataSummaryPL,(dataSummaryPLSummarys=$D25)*(dataSummaryPLSections=$E25)),(startDates&gt;=AH$7)*(endDates&lt;=AH$8))),0)</f>
        <v>323099.45326068858</v>
      </c>
      <c r="AI25" s="184" cm="1">
        <f t="array" ref="AI25">IFERROR(SUM(_xlfn._xlws.FILTER(_xlfn._xlws.FILTER(dataSummaryPL,(dataSummaryPLSummarys=$D25)*(dataSummaryPLSections=$E25)),(startDates&gt;=AI$7)*(endDates&lt;=AI$8))),0)</f>
        <v>337013.61638832651</v>
      </c>
      <c r="AL25" s="184" cm="1">
        <f t="array" ref="AL25">IFERROR(SUM(_xlfn._xlws.FILTER(_xlfn._xlws.FILTER(dataSummaryPL,(dataSummaryPLSummarys=$D25)*(dataSummaryPLSections=$E25)),(startDates&gt;=AL$7)*(endDates&lt;=AL$8))),0)</f>
        <v>13900</v>
      </c>
      <c r="AM25" s="184" cm="1">
        <f t="array" ref="AM25">IFERROR(SUM(_xlfn._xlws.FILTER(_xlfn._xlws.FILTER(dataSummaryPL,(dataSummaryPLSummarys=$D25)*(dataSummaryPLSections=$E25)),(startDates&gt;=AM$7)*(endDates&lt;=AM$8))),0)</f>
        <v>14387</v>
      </c>
      <c r="AN25" s="184" cm="1">
        <f t="array" ref="AN25">IFERROR(SUM(_xlfn._xlws.FILTER(_xlfn._xlws.FILTER(dataSummaryPL,(dataSummaryPLSummarys=$D25)*(dataSummaryPLSections=$E25)),(startDates&gt;=AN$7)*(endDates&lt;=AN$8))),0)</f>
        <v>14890</v>
      </c>
      <c r="AO25" s="184" cm="1">
        <f t="array" ref="AO25">IFERROR(SUM(_xlfn._xlws.FILTER(_xlfn._xlws.FILTER(dataSummaryPL,(dataSummaryPLSummarys=$D25)*(dataSummaryPLSections=$E25)),(startDates&gt;=AO$7)*(endDates&lt;=AO$8))),0)</f>
        <v>15411</v>
      </c>
      <c r="AP25" s="184" cm="1">
        <f t="array" ref="AP25">IFERROR(SUM(_xlfn._xlws.FILTER(_xlfn._xlws.FILTER(dataSummaryPL,(dataSummaryPLSummarys=$D25)*(dataSummaryPLSections=$E25)),(startDates&gt;=AP$7)*(endDates&lt;=AP$8))),0)</f>
        <v>15951</v>
      </c>
      <c r="AQ25" s="184" cm="1">
        <f t="array" ref="AQ25">IFERROR(SUM(_xlfn._xlws.FILTER(_xlfn._xlws.FILTER(dataSummaryPL,(dataSummaryPLSummarys=$D25)*(dataSummaryPLSections=$E25)),(startDates&gt;=AQ$7)*(endDates&lt;=AQ$8))),0)</f>
        <v>16509</v>
      </c>
      <c r="AR25" s="184" cm="1">
        <f t="array" ref="AR25">IFERROR(SUM(_xlfn._xlws.FILTER(_xlfn._xlws.FILTER(dataSummaryPL,(dataSummaryPLSummarys=$D25)*(dataSummaryPLSections=$E25)),(startDates&gt;=AR$7)*(endDates&lt;=AR$8))),0)</f>
        <v>17085</v>
      </c>
      <c r="AS25" s="184" cm="1">
        <f t="array" ref="AS25">IFERROR(SUM(_xlfn._xlws.FILTER(_xlfn._xlws.FILTER(dataSummaryPL,(dataSummaryPLSummarys=$D25)*(dataSummaryPLSections=$E25)),(startDates&gt;=AS$7)*(endDates&lt;=AS$8))),0)</f>
        <v>17684.5</v>
      </c>
      <c r="AT25" s="184" cm="1">
        <f t="array" ref="AT25">IFERROR(SUM(_xlfn._xlws.FILTER(_xlfn._xlws.FILTER(dataSummaryPL,(dataSummaryPLSummarys=$D25)*(dataSummaryPLSections=$E25)),(startDates&gt;=AT$7)*(endDates&lt;=AT$8))),0)</f>
        <v>18303.5</v>
      </c>
      <c r="AU25" s="184" cm="1">
        <f t="array" ref="AU25">IFERROR(SUM(_xlfn._xlws.FILTER(_xlfn._xlws.FILTER(dataSummaryPL,(dataSummaryPLSummarys=$D25)*(dataSummaryPLSections=$E25)),(startDates&gt;=AU$7)*(endDates&lt;=AU$8))),0)</f>
        <v>18944.5</v>
      </c>
      <c r="AV25" s="184" cm="1">
        <f t="array" ref="AV25">IFERROR(SUM(_xlfn._xlws.FILTER(_xlfn._xlws.FILTER(dataSummaryPL,(dataSummaryPLSummarys=$D25)*(dataSummaryPLSections=$E25)),(startDates&gt;=AV$7)*(endDates&lt;=AV$8))),0)</f>
        <v>33134</v>
      </c>
      <c r="AW25" s="184" cm="1">
        <f t="array" ref="AW25">IFERROR(SUM(_xlfn._xlws.FILTER(_xlfn._xlws.FILTER(dataSummaryPL,(dataSummaryPLSummarys=$D25)*(dataSummaryPLSections=$E25)),(startDates&gt;=AW$7)*(endDates&lt;=AW$8))),0)</f>
        <v>41530</v>
      </c>
      <c r="AX25" s="184" cm="1">
        <f t="array" ref="AX25">IFERROR(SUM(_xlfn._xlws.FILTER(_xlfn._xlws.FILTER(dataSummaryPL,(dataSummaryPLSummarys=$D25)*(dataSummaryPLSections=$E25)),(startDates&gt;=AX$7)*(endDates&lt;=AX$8))),0)</f>
        <v>34792.5</v>
      </c>
      <c r="AY25" s="184" cm="1">
        <f t="array" ref="AY25">IFERROR(SUM(_xlfn._xlws.FILTER(_xlfn._xlws.FILTER(dataSummaryPL,(dataSummaryPLSummarys=$D25)*(dataSummaryPLSections=$E25)),(startDates&gt;=AY$7)*(endDates&lt;=AY$8))),0)</f>
        <v>43606</v>
      </c>
      <c r="AZ25" s="184" cm="1">
        <f t="array" ref="AZ25">IFERROR(SUM(_xlfn._xlws.FILTER(_xlfn._xlws.FILTER(dataSummaryPL,(dataSummaryPLSummarys=$D25)*(dataSummaryPLSections=$E25)),(startDates&gt;=AZ$7)*(endDates&lt;=AZ$8))),0)</f>
        <v>36531</v>
      </c>
      <c r="BA25" s="184" cm="1">
        <f t="array" ref="BA25">IFERROR(SUM(_xlfn._xlws.FILTER(_xlfn._xlws.FILTER(dataSummaryPL,(dataSummaryPLSummarys=$D25)*(dataSummaryPLSections=$E25)),(startDates&gt;=BA$7)*(endDates&lt;=BA$8))),0)</f>
        <v>45786</v>
      </c>
      <c r="BB25" s="184" cm="1">
        <f t="array" ref="BB25">IFERROR(SUM(_xlfn._xlws.FILTER(_xlfn._xlws.FILTER(dataSummaryPL,(dataSummaryPLSummarys=$D25)*(dataSummaryPLSections=$E25)),(startDates&gt;=BB$7)*(endDates&lt;=BB$8))),0)</f>
        <v>38358</v>
      </c>
      <c r="BC25" s="184" cm="1">
        <f t="array" ref="BC25">IFERROR(SUM(_xlfn._xlws.FILTER(_xlfn._xlws.FILTER(dataSummaryPL,(dataSummaryPLSummarys=$D25)*(dataSummaryPLSections=$E25)),(startDates&gt;=BC$7)*(endDates&lt;=BC$8))),0)</f>
        <v>48076.5</v>
      </c>
      <c r="BD25" s="184" cm="1">
        <f t="array" ref="BD25">IFERROR(SUM(_xlfn._xlws.FILTER(_xlfn._xlws.FILTER(dataSummaryPL,(dataSummaryPLSummarys=$D25)*(dataSummaryPLSections=$E25)),(startDates&gt;=BD$7)*(endDates&lt;=BD$8))),0)</f>
        <v>50480</v>
      </c>
      <c r="BE25" s="184" cm="1">
        <f t="array" ref="BE25">IFERROR(SUM(_xlfn._xlws.FILTER(_xlfn._xlws.FILTER(dataSummaryPL,(dataSummaryPLSummarys=$D25)*(dataSummaryPLSections=$E25)),(startDates&gt;=BE$7)*(endDates&lt;=BE$8))),0)</f>
        <v>50479.5</v>
      </c>
      <c r="BF25" s="184" cm="1">
        <f t="array" ref="BF25">IFERROR(SUM(_xlfn._xlws.FILTER(_xlfn._xlws.FILTER(dataSummaryPL,(dataSummaryPLSummarys=$D25)*(dataSummaryPLSections=$E25)),(startDates&gt;=BF$7)*(endDates&lt;=BF$8))),0)</f>
        <v>53004</v>
      </c>
      <c r="BG25" s="184" cm="1">
        <f t="array" ref="BG25">IFERROR(SUM(_xlfn._xlws.FILTER(_xlfn._xlws.FILTER(dataSummaryPL,(dataSummaryPLSummarys=$D25)*(dataSummaryPLSections=$E25)),(startDates&gt;=BG$7)*(endDates&lt;=BG$8))),0)</f>
        <v>53004.33</v>
      </c>
      <c r="BH25" s="184" cm="1">
        <f t="array" ref="BH25">IFERROR(SUM(_xlfn._xlws.FILTER(_xlfn._xlws.FILTER(dataSummaryPL,(dataSummaryPLSummarys=$D25)*(dataSummaryPLSections=$E25)),(startDates&gt;=BH$7)*(endDates&lt;=BH$8))),0)</f>
        <v>55654.33</v>
      </c>
      <c r="BI25" s="184" cm="1">
        <f t="array" ref="BI25">IFERROR(SUM(_xlfn._xlws.FILTER(_xlfn._xlws.FILTER(dataSummaryPL,(dataSummaryPLSummarys=$D25)*(dataSummaryPLSections=$E25)),(startDates&gt;=BI$7)*(endDates&lt;=BI$8))),0)</f>
        <v>58434.5</v>
      </c>
      <c r="BJ25" s="184" cm="1">
        <f t="array" ref="BJ25">IFERROR(SUM(_xlfn._xlws.FILTER(_xlfn._xlws.FILTER(dataSummaryPL,(dataSummaryPLSummarys=$D25)*(dataSummaryPLSections=$E25)),(startDates&gt;=BJ$7)*(endDates&lt;=BJ$8))),0)</f>
        <v>61359.369999999995</v>
      </c>
      <c r="BK25" s="184" cm="1">
        <f t="array" ref="BK25">IFERROR(SUM(_xlfn._xlws.FILTER(_xlfn._xlws.FILTER(dataSummaryPL,(dataSummaryPLSummarys=$D25)*(dataSummaryPLSections=$E25)),(startDates&gt;=BK$7)*(endDates&lt;=BK$8))),0)</f>
        <v>64428</v>
      </c>
      <c r="BL25" s="184" cm="1">
        <f t="array" ref="BL25">IFERROR(SUM(_xlfn._xlws.FILTER(_xlfn._xlws.FILTER(dataSummaryPL,(dataSummaryPLSummarys=$D25)*(dataSummaryPLSections=$E25)),(startDates&gt;=BL$7)*(endDates&lt;=BL$8))),0)</f>
        <v>67649</v>
      </c>
      <c r="BM25" s="184" cm="1">
        <f t="array" ref="BM25">IFERROR(SUM(_xlfn._xlws.FILTER(_xlfn._xlws.FILTER(dataSummaryPL,(dataSummaryPLSummarys=$D25)*(dataSummaryPLSections=$E25)),(startDates&gt;=BM$7)*(endDates&lt;=BM$8))),0)</f>
        <v>71031</v>
      </c>
      <c r="BN25" s="184" cm="1">
        <f t="array" ref="BN25">IFERROR(SUM(_xlfn._xlws.FILTER(_xlfn._xlws.FILTER(dataSummaryPL,(dataSummaryPLSummarys=$D25)*(dataSummaryPLSections=$E25)),(startDates&gt;=BN$7)*(endDates&lt;=BN$8))),0)</f>
        <v>74584</v>
      </c>
      <c r="BO25" s="184" cm="1">
        <f t="array" ref="BO25">IFERROR(SUM(_xlfn._xlws.FILTER(_xlfn._xlws.FILTER(dataSummaryPL,(dataSummaryPLSummarys=$D25)*(dataSummaryPLSections=$E25)),(startDates&gt;=BO$7)*(endDates&lt;=BO$8))),0)</f>
        <v>79311.820000000007</v>
      </c>
      <c r="BP25" s="184" cm="1">
        <f t="array" ref="BP25">IFERROR(SUM(_xlfn._xlws.FILTER(_xlfn._xlws.FILTER(dataSummaryPL,(dataSummaryPLSummarys=$D25)*(dataSummaryPLSections=$E25)),(startDates&gt;=BP$7)*(endDates&lt;=BP$8))),0)</f>
        <v>82227.42</v>
      </c>
      <c r="BQ25" s="184" cm="1">
        <f t="array" ref="BQ25">IFERROR(SUM(_xlfn._xlws.FILTER(_xlfn._xlws.FILTER(dataSummaryPL,(dataSummaryPLSummarys=$D25)*(dataSummaryPLSections=$E25)),(startDates&gt;=BQ$7)*(endDates&lt;=BQ$8))),0)</f>
        <v>86338.78</v>
      </c>
      <c r="BR25" s="184" cm="1">
        <f t="array" ref="BR25">IFERROR(SUM(_xlfn._xlws.FILTER(_xlfn._xlws.FILTER(dataSummaryPL,(dataSummaryPLSummarys=$D25)*(dataSummaryPLSections=$E25)),(startDates&gt;=BR$7)*(endDates&lt;=BR$8))),0)</f>
        <v>90655.73</v>
      </c>
      <c r="BS25" s="184" cm="1">
        <f t="array" ref="BS25">IFERROR(SUM(_xlfn._xlws.FILTER(_xlfn._xlws.FILTER(dataSummaryPL,(dataSummaryPLSummarys=$D25)*(dataSummaryPLSections=$E25)),(startDates&gt;=BS$7)*(endDates&lt;=BS$8))),0)</f>
        <v>95188.50999999998</v>
      </c>
      <c r="BT25" s="184" cm="1">
        <f t="array" ref="BT25">IFERROR(SUM(_xlfn._xlws.FILTER(_xlfn._xlws.FILTER(dataSummaryPL,(dataSummaryPLSummarys=$D25)*(dataSummaryPLSections=$E25)),(startDates&gt;=BT$7)*(endDates&lt;=BT$8))),0)</f>
        <v>101297.94</v>
      </c>
      <c r="BU25" s="184" cm="1">
        <f t="array" ref="BU25">IFERROR(SUM(_xlfn._xlws.FILTER(_xlfn._xlws.FILTER(dataSummaryPL,(dataSummaryPLSummarys=$D25)*(dataSummaryPLSections=$E25)),(startDates&gt;=BU$7)*(endDates&lt;=BU$8))),0)</f>
        <v>93628.535000000003</v>
      </c>
      <c r="BV25" s="184" cm="1">
        <f t="array" ref="BV25">IFERROR(SUM(_xlfn._xlws.FILTER(_xlfn._xlws.FILTER(dataSummaryPL,(dataSummaryPLSummarys=$D25)*(dataSummaryPLSections=$E25)),(startDates&gt;=BV$7)*(endDates&lt;=BV$8))),0)</f>
        <v>96133.960124999998</v>
      </c>
      <c r="BW25" s="184" cm="1">
        <f t="array" ref="BW25">IFERROR(SUM(_xlfn._xlws.FILTER(_xlfn._xlws.FILTER(dataSummaryPL,(dataSummaryPLSummarys=$D25)*(dataSummaryPLSections=$E25)),(startDates&gt;=BW$7)*(endDates&lt;=BW$8))),0)</f>
        <v>98567.604646875014</v>
      </c>
      <c r="BX25" s="184" cm="1">
        <f t="array" ref="BX25">IFERROR(SUM(_xlfn._xlws.FILTER(_xlfn._xlws.FILTER(dataSummaryPL,(dataSummaryPLSummarys=$D25)*(dataSummaryPLSections=$E25)),(startDates&gt;=BX$7)*(endDates&lt;=BX$8))),0)</f>
        <v>100707.64896007814</v>
      </c>
      <c r="BY25" s="184" cm="1">
        <f t="array" ref="BY25">IFERROR(SUM(_xlfn._xlws.FILTER(_xlfn._xlws.FILTER(dataSummaryPL,(dataSummaryPLSummarys=$D25)*(dataSummaryPLSections=$E25)),(startDates&gt;=BY$7)*(endDates&lt;=BY$8))),0)</f>
        <v>102466.73477809182</v>
      </c>
      <c r="BZ25" s="184" cm="1">
        <f t="array" ref="BZ25">IFERROR(SUM(_xlfn._xlws.FILTER(_xlfn._xlws.FILTER(dataSummaryPL,(dataSummaryPLSummarys=$D25)*(dataSummaryPLSections=$E25)),(startDates&gt;=BZ$7)*(endDates&lt;=BZ$8))),0)</f>
        <v>103740.42411425787</v>
      </c>
      <c r="CA25" s="184" cm="1">
        <f t="array" ref="CA25">IFERROR(SUM(_xlfn._xlws.FILTER(_xlfn._xlws.FILTER(dataSummaryPL,(dataSummaryPLSummarys=$D25)*(dataSummaryPLSections=$E25)),(startDates&gt;=CA$7)*(endDates&lt;=CA$8))),0)</f>
        <v>104167.85883425298</v>
      </c>
      <c r="CB25" s="184" cm="1">
        <f t="array" ref="CB25">IFERROR(SUM(_xlfn._xlws.FILTER(_xlfn._xlws.FILTER(dataSummaryPL,(dataSummaryPLSummarys=$D25)*(dataSummaryPLSections=$E25)),(startDates&gt;=CB$7)*(endDates&lt;=CB$8))),0)</f>
        <v>106012.24050524726</v>
      </c>
      <c r="CC25" s="184" cm="1">
        <f t="array" ref="CC25">IFERROR(SUM(_xlfn._xlws.FILTER(_xlfn._xlws.FILTER(dataSummaryPL,(dataSummaryPLSummarys=$D25)*(dataSummaryPLSections=$E25)),(startDates&gt;=CC$7)*(endDates&lt;=CC$8))),0)</f>
        <v>107740.93957179056</v>
      </c>
      <c r="CD25" s="184" cm="1">
        <f t="array" ref="CD25">IFERROR(SUM(_xlfn._xlws.FILTER(_xlfn._xlws.FILTER(dataSummaryPL,(dataSummaryPLSummarys=$D25)*(dataSummaryPLSections=$E25)),(startDates&gt;=CD$7)*(endDates&lt;=CD$8))),0)</f>
        <v>109346.27318365076</v>
      </c>
      <c r="CE25" s="184" cm="1">
        <f t="array" ref="CE25">IFERROR(SUM(_xlfn._xlws.FILTER(_xlfn._xlws.FILTER(dataSummaryPL,(dataSummaryPLSummarys=$D25)*(dataSummaryPLSections=$E25)),(startDates&gt;=CE$7)*(endDates&lt;=CE$8))),0)</f>
        <v>110858.03242277596</v>
      </c>
      <c r="CF25" s="184" cm="1">
        <f t="array" ref="CF25">IFERROR(SUM(_xlfn._xlws.FILTER(_xlfn._xlws.FILTER(dataSummaryPL,(dataSummaryPLSummarys=$D25)*(dataSummaryPLSections=$E25)),(startDates&gt;=CF$7)*(endDates&lt;=CF$8))),0)</f>
        <v>112326.5095105957</v>
      </c>
      <c r="CG25" s="184" cm="1">
        <f t="array" ref="CG25">IFERROR(SUM(_xlfn._xlws.FILTER(_xlfn._xlws.FILTER(dataSummaryPL,(dataSummaryPLSummarys=$D25)*(dataSummaryPLSections=$E25)),(startDates&gt;=CG$7)*(endDates&lt;=CG$8))),0)</f>
        <v>113829.07445495484</v>
      </c>
    </row>
    <row r="26" spans="1:85" outlineLevel="1">
      <c r="C26" s="331" t="s">
        <v>125</v>
      </c>
      <c r="D26" s="163" t="str">
        <f t="shared" si="22"/>
        <v>Payroll</v>
      </c>
      <c r="E26" s="150" t="s">
        <v>101</v>
      </c>
      <c r="F26" s="163"/>
      <c r="G26" s="163"/>
      <c r="J26" s="184" cm="1">
        <f t="array" ref="J26">IFERROR(SUM(_xlfn._xlws.FILTER(_xlfn._xlws.FILTER(dataSummaryPL,(dataSummaryPLSummarys=$D26)*(dataSummaryPLSections=$E26)),(startDates&gt;=J$7)*(endDates&lt;=J$8))),0)</f>
        <v>784739.71</v>
      </c>
      <c r="K26" s="184" cm="1">
        <f t="array" ref="K26">IFERROR(SUM(_xlfn._xlws.FILTER(_xlfn._xlws.FILTER(dataSummaryPL,(dataSummaryPLSummarys=$D26)*(dataSummaryPLSections=$E26)),(startDates&gt;=K$7)*(endDates&lt;=K$8))),0)</f>
        <v>837347.71</v>
      </c>
      <c r="N26" s="184" cm="1">
        <f t="array" ref="N26">IFERROR(SUM(_xlfn._xlws.FILTER(_xlfn._xlws.FILTER(dataSummaryPL,(dataSummaryPLSummarys=$D26)*(dataSummaryPLSections=$E26)),(startDates&gt;=N$7)*(endDates&lt;=N$8))),0)</f>
        <v>185319.5</v>
      </c>
      <c r="O26" s="184" cm="1">
        <f t="array" ref="O26">IFERROR(SUM(_xlfn._xlws.FILTER(_xlfn._xlws.FILTER(dataSummaryPL,(dataSummaryPLSummarys=$D26)*(dataSummaryPLSections=$E26)),(startDates&gt;=O$7)*(endDates&lt;=O$8))),0)</f>
        <v>482729.67999999993</v>
      </c>
      <c r="P26" s="184" cm="1">
        <f t="array" ref="P26">IFERROR(SUM(_xlfn._xlws.FILTER(_xlfn._xlws.FILTER(dataSummaryPL,(dataSummaryPLSummarys=$D26)*(dataSummaryPLSections=$E26)),(startDates&gt;=P$7)*(endDates&lt;=P$8))),0)</f>
        <v>849010.54333333333</v>
      </c>
      <c r="Q26" s="184" cm="1">
        <f t="array" ref="Q26">IFERROR(SUM(_xlfn._xlws.FILTER(_xlfn._xlws.FILTER(dataSummaryPL,(dataSummaryPLSummarys=$D26)*(dataSummaryPLSections=$E26)),(startDates&gt;=Q$7)*(endDates&lt;=Q$8))),0)</f>
        <v>879568.75000000012</v>
      </c>
      <c r="T26" s="184" cm="1">
        <f t="array" ref="T26">IFERROR(SUM(_xlfn._xlws.FILTER(_xlfn._xlws.FILTER(dataSummaryPL,(dataSummaryPLSummarys=$D26)*(dataSummaryPLSections=$E26)),(startDates&gt;=T$7)*(endDates&lt;=T$8))),0)</f>
        <v>38040</v>
      </c>
      <c r="U26" s="184" cm="1">
        <f t="array" ref="U26">IFERROR(SUM(_xlfn._xlws.FILTER(_xlfn._xlws.FILTER(dataSummaryPL,(dataSummaryPLSummarys=$D26)*(dataSummaryPLSections=$E26)),(startDates&gt;=U$7)*(endDates&lt;=U$8))),0)</f>
        <v>38040.5</v>
      </c>
      <c r="V26" s="184" cm="1">
        <f t="array" ref="V26">IFERROR(SUM(_xlfn._xlws.FILTER(_xlfn._xlws.FILTER(dataSummaryPL,(dataSummaryPLSummarys=$D26)*(dataSummaryPLSections=$E26)),(startDates&gt;=V$7)*(endDates&lt;=V$8))),0)</f>
        <v>38040</v>
      </c>
      <c r="W26" s="184" cm="1">
        <f t="array" ref="W26">IFERROR(SUM(_xlfn._xlws.FILTER(_xlfn._xlws.FILTER(dataSummaryPL,(dataSummaryPLSummarys=$D26)*(dataSummaryPLSections=$E26)),(startDates&gt;=W$7)*(endDates&lt;=W$8))),0)</f>
        <v>71199</v>
      </c>
      <c r="X26" s="184" cm="1">
        <f t="array" ref="X26">IFERROR(SUM(_xlfn._xlws.FILTER(_xlfn._xlws.FILTER(dataSummaryPL,(dataSummaryPLSummarys=$D26)*(dataSummaryPLSections=$E26)),(startDates&gt;=X$7)*(endDates&lt;=X$8))),0)</f>
        <v>84741</v>
      </c>
      <c r="Y26" s="184" cm="1">
        <f t="array" ref="Y26">IFERROR(SUM(_xlfn._xlws.FILTER(_xlfn._xlws.FILTER(dataSummaryPL,(dataSummaryPLSummarys=$D26)*(dataSummaryPLSections=$E26)),(startDates&gt;=Y$7)*(endDates&lt;=Y$8))),0)</f>
        <v>108961</v>
      </c>
      <c r="Z26" s="184" cm="1">
        <f t="array" ref="Z26">IFERROR(SUM(_xlfn._xlws.FILTER(_xlfn._xlws.FILTER(dataSummaryPL,(dataSummaryPLSummarys=$D26)*(dataSummaryPLSections=$E26)),(startDates&gt;=Z$7)*(endDates&lt;=Z$8))),0)</f>
        <v>138602</v>
      </c>
      <c r="AA26" s="184" cm="1">
        <f t="array" ref="AA26">IFERROR(SUM(_xlfn._xlws.FILTER(_xlfn._xlws.FILTER(dataSummaryPL,(dataSummaryPLSummarys=$D26)*(dataSummaryPLSections=$E26)),(startDates&gt;=AA$7)*(endDates&lt;=AA$8))),0)</f>
        <v>150425.68</v>
      </c>
      <c r="AB26" s="184" cm="1">
        <f t="array" ref="AB26">IFERROR(SUM(_xlfn._xlws.FILTER(_xlfn._xlws.FILTER(dataSummaryPL,(dataSummaryPLSummarys=$D26)*(dataSummaryPLSections=$E26)),(startDates&gt;=AB$7)*(endDates&lt;=AB$8))),0)</f>
        <v>174134.87</v>
      </c>
      <c r="AC26" s="184" cm="1">
        <f t="array" ref="AC26">IFERROR(SUM(_xlfn._xlws.FILTER(_xlfn._xlws.FILTER(dataSummaryPL,(dataSummaryPLSummarys=$D26)*(dataSummaryPLSections=$E26)),(startDates&gt;=AC$7)*(endDates&lt;=AC$8))),0)</f>
        <v>201582.84000000003</v>
      </c>
      <c r="AD26" s="184" cm="1">
        <f t="array" ref="AD26">IFERROR(SUM(_xlfn._xlws.FILTER(_xlfn._xlws.FILTER(dataSummaryPL,(dataSummaryPLSummarys=$D26)*(dataSummaryPLSections=$E26)),(startDates&gt;=AD$7)*(endDates&lt;=AD$8))),0)</f>
        <v>233356.49</v>
      </c>
      <c r="AE26" s="184" cm="1">
        <f t="array" ref="AE26">IFERROR(SUM(_xlfn._xlws.FILTER(_xlfn._xlws.FILTER(dataSummaryPL,(dataSummaryPLSummarys=$D26)*(dataSummaryPLSections=$E26)),(startDates&gt;=AE$7)*(endDates&lt;=AE$8))),0)</f>
        <v>239936.34333333332</v>
      </c>
      <c r="AF26" s="184" cm="1">
        <f t="array" ref="AF26">IFERROR(SUM(_xlfn._xlws.FILTER(_xlfn._xlws.FILTER(dataSummaryPL,(dataSummaryPLSummarys=$D26)*(dataSummaryPLSections=$E26)),(startDates&gt;=AF$7)*(endDates&lt;=AF$8))),0)</f>
        <v>147812.5</v>
      </c>
      <c r="AG26" s="184" cm="1">
        <f t="array" ref="AG26">IFERROR(SUM(_xlfn._xlws.FILTER(_xlfn._xlws.FILTER(dataSummaryPL,(dataSummaryPLSummarys=$D26)*(dataSummaryPLSections=$E26)),(startDates&gt;=AG$7)*(endDates&lt;=AG$8))),0)</f>
        <v>226018.74999999997</v>
      </c>
      <c r="AH26" s="184" cm="1">
        <f t="array" ref="AH26">IFERROR(SUM(_xlfn._xlws.FILTER(_xlfn._xlws.FILTER(dataSummaryPL,(dataSummaryPLSummarys=$D26)*(dataSummaryPLSections=$E26)),(startDates&gt;=AH$7)*(endDates&lt;=AH$8))),0)</f>
        <v>245368.75</v>
      </c>
      <c r="AI26" s="184" cm="1">
        <f t="array" ref="AI26">IFERROR(SUM(_xlfn._xlws.FILTER(_xlfn._xlws.FILTER(dataSummaryPL,(dataSummaryPLSummarys=$D26)*(dataSummaryPLSections=$E26)),(startDates&gt;=AI$7)*(endDates&lt;=AI$8))),0)</f>
        <v>260368.75</v>
      </c>
      <c r="AL26" s="184" cm="1">
        <f t="array" ref="AL26">IFERROR(SUM(_xlfn._xlws.FILTER(_xlfn._xlws.FILTER(dataSummaryPL,(dataSummaryPLSummarys=$D26)*(dataSummaryPLSections=$E26)),(startDates&gt;=AL$7)*(endDates&lt;=AL$8))),0)</f>
        <v>12680</v>
      </c>
      <c r="AM26" s="184" cm="1">
        <f t="array" ref="AM26">IFERROR(SUM(_xlfn._xlws.FILTER(_xlfn._xlws.FILTER(dataSummaryPL,(dataSummaryPLSummarys=$D26)*(dataSummaryPLSections=$E26)),(startDates&gt;=AM$7)*(endDates&lt;=AM$8))),0)</f>
        <v>12680</v>
      </c>
      <c r="AN26" s="184" cm="1">
        <f t="array" ref="AN26">IFERROR(SUM(_xlfn._xlws.FILTER(_xlfn._xlws.FILTER(dataSummaryPL,(dataSummaryPLSummarys=$D26)*(dataSummaryPLSections=$E26)),(startDates&gt;=AN$7)*(endDates&lt;=AN$8))),0)</f>
        <v>12680</v>
      </c>
      <c r="AO26" s="184" cm="1">
        <f t="array" ref="AO26">IFERROR(SUM(_xlfn._xlws.FILTER(_xlfn._xlws.FILTER(dataSummaryPL,(dataSummaryPLSummarys=$D26)*(dataSummaryPLSections=$E26)),(startDates&gt;=AO$7)*(endDates&lt;=AO$8))),0)</f>
        <v>12680.5</v>
      </c>
      <c r="AP26" s="184" cm="1">
        <f t="array" ref="AP26">IFERROR(SUM(_xlfn._xlws.FILTER(_xlfn._xlws.FILTER(dataSummaryPL,(dataSummaryPLSummarys=$D26)*(dataSummaryPLSections=$E26)),(startDates&gt;=AP$7)*(endDates&lt;=AP$8))),0)</f>
        <v>12680</v>
      </c>
      <c r="AQ26" s="184" cm="1">
        <f t="array" ref="AQ26">IFERROR(SUM(_xlfn._xlws.FILTER(_xlfn._xlws.FILTER(dataSummaryPL,(dataSummaryPLSummarys=$D26)*(dataSummaryPLSections=$E26)),(startDates&gt;=AQ$7)*(endDates&lt;=AQ$8))),0)</f>
        <v>12680</v>
      </c>
      <c r="AR26" s="184" cm="1">
        <f t="array" ref="AR26">IFERROR(SUM(_xlfn._xlws.FILTER(_xlfn._xlws.FILTER(dataSummaryPL,(dataSummaryPLSummarys=$D26)*(dataSummaryPLSections=$E26)),(startDates&gt;=AR$7)*(endDates&lt;=AR$8))),0)</f>
        <v>12680</v>
      </c>
      <c r="AS26" s="184" cm="1">
        <f t="array" ref="AS26">IFERROR(SUM(_xlfn._xlws.FILTER(_xlfn._xlws.FILTER(dataSummaryPL,(dataSummaryPLSummarys=$D26)*(dataSummaryPLSections=$E26)),(startDates&gt;=AS$7)*(endDates&lt;=AS$8))),0)</f>
        <v>12680</v>
      </c>
      <c r="AT26" s="184" cm="1">
        <f t="array" ref="AT26">IFERROR(SUM(_xlfn._xlws.FILTER(_xlfn._xlws.FILTER(dataSummaryPL,(dataSummaryPLSummarys=$D26)*(dataSummaryPLSections=$E26)),(startDates&gt;=AT$7)*(endDates&lt;=AT$8))),0)</f>
        <v>12680</v>
      </c>
      <c r="AU26" s="184" cm="1">
        <f t="array" ref="AU26">IFERROR(SUM(_xlfn._xlws.FILTER(_xlfn._xlws.FILTER(dataSummaryPL,(dataSummaryPLSummarys=$D26)*(dataSummaryPLSections=$E26)),(startDates&gt;=AU$7)*(endDates&lt;=AU$8))),0)</f>
        <v>12680</v>
      </c>
      <c r="AV26" s="184" cm="1">
        <f t="array" ref="AV26">IFERROR(SUM(_xlfn._xlws.FILTER(_xlfn._xlws.FILTER(dataSummaryPL,(dataSummaryPLSummarys=$D26)*(dataSummaryPLSections=$E26)),(startDates&gt;=AV$7)*(endDates&lt;=AV$8))),0)</f>
        <v>21132</v>
      </c>
      <c r="AW26" s="184" cm="1">
        <f t="array" ref="AW26">IFERROR(SUM(_xlfn._xlws.FILTER(_xlfn._xlws.FILTER(dataSummaryPL,(dataSummaryPLSummarys=$D26)*(dataSummaryPLSections=$E26)),(startDates&gt;=AW$7)*(endDates&lt;=AW$8))),0)</f>
        <v>37387</v>
      </c>
      <c r="AX26" s="184" cm="1">
        <f t="array" ref="AX26">IFERROR(SUM(_xlfn._xlws.FILTER(_xlfn._xlws.FILTER(dataSummaryPL,(dataSummaryPLSummarys=$D26)*(dataSummaryPLSections=$E26)),(startDates&gt;=AX$7)*(endDates&lt;=AX$8))),0)</f>
        <v>22188</v>
      </c>
      <c r="AY26" s="184" cm="1">
        <f t="array" ref="AY26">IFERROR(SUM(_xlfn._xlws.FILTER(_xlfn._xlws.FILTER(dataSummaryPL,(dataSummaryPLSummarys=$D26)*(dataSummaryPLSections=$E26)),(startDates&gt;=AY$7)*(endDates&lt;=AY$8))),0)</f>
        <v>39256</v>
      </c>
      <c r="AZ26" s="184" cm="1">
        <f t="array" ref="AZ26">IFERROR(SUM(_xlfn._xlws.FILTER(_xlfn._xlws.FILTER(dataSummaryPL,(dataSummaryPLSummarys=$D26)*(dataSummaryPLSections=$E26)),(startDates&gt;=AZ$7)*(endDates&lt;=AZ$8))),0)</f>
        <v>23297</v>
      </c>
      <c r="BA26" s="184" cm="1">
        <f t="array" ref="BA26">IFERROR(SUM(_xlfn._xlws.FILTER(_xlfn._xlws.FILTER(dataSummaryPL,(dataSummaryPLSummarys=$D26)*(dataSummaryPLSections=$E26)),(startDates&gt;=BA$7)*(endDates&lt;=BA$8))),0)</f>
        <v>41219</v>
      </c>
      <c r="BB26" s="184" cm="1">
        <f t="array" ref="BB26">IFERROR(SUM(_xlfn._xlws.FILTER(_xlfn._xlws.FILTER(dataSummaryPL,(dataSummaryPLSummarys=$D26)*(dataSummaryPLSections=$E26)),(startDates&gt;=BB$7)*(endDates&lt;=BB$8))),0)</f>
        <v>24463</v>
      </c>
      <c r="BC26" s="184" cm="1">
        <f t="array" ref="BC26">IFERROR(SUM(_xlfn._xlws.FILTER(_xlfn._xlws.FILTER(dataSummaryPL,(dataSummaryPLSummarys=$D26)*(dataSummaryPLSections=$E26)),(startDates&gt;=BC$7)*(endDates&lt;=BC$8))),0)</f>
        <v>43279</v>
      </c>
      <c r="BD26" s="184" cm="1">
        <f t="array" ref="BD26">IFERROR(SUM(_xlfn._xlws.FILTER(_xlfn._xlws.FILTER(dataSummaryPL,(dataSummaryPLSummarys=$D26)*(dataSummaryPLSections=$E26)),(startDates&gt;=BD$7)*(endDates&lt;=BD$8))),0)</f>
        <v>45443</v>
      </c>
      <c r="BE26" s="184" cm="1">
        <f t="array" ref="BE26">IFERROR(SUM(_xlfn._xlws.FILTER(_xlfn._xlws.FILTER(dataSummaryPL,(dataSummaryPLSummarys=$D26)*(dataSummaryPLSections=$E26)),(startDates&gt;=BE$7)*(endDates&lt;=BE$8))),0)</f>
        <v>45443</v>
      </c>
      <c r="BF26" s="184" cm="1">
        <f t="array" ref="BF26">IFERROR(SUM(_xlfn._xlws.FILTER(_xlfn._xlws.FILTER(dataSummaryPL,(dataSummaryPLSummarys=$D26)*(dataSummaryPLSections=$E26)),(startDates&gt;=BF$7)*(endDates&lt;=BF$8))),0)</f>
        <v>47716</v>
      </c>
      <c r="BG26" s="184" cm="1">
        <f t="array" ref="BG26">IFERROR(SUM(_xlfn._xlws.FILTER(_xlfn._xlws.FILTER(dataSummaryPL,(dataSummaryPLSummarys=$D26)*(dataSummaryPLSections=$E26)),(startDates&gt;=BG$7)*(endDates&lt;=BG$8))),0)</f>
        <v>47716.34</v>
      </c>
      <c r="BH26" s="184" cm="1">
        <f t="array" ref="BH26">IFERROR(SUM(_xlfn._xlws.FILTER(_xlfn._xlws.FILTER(dataSummaryPL,(dataSummaryPLSummarys=$D26)*(dataSummaryPLSections=$E26)),(startDates&gt;=BH$7)*(endDates&lt;=BH$8))),0)</f>
        <v>50101.34</v>
      </c>
      <c r="BI26" s="184" cm="1">
        <f t="array" ref="BI26">IFERROR(SUM(_xlfn._xlws.FILTER(_xlfn._xlws.FILTER(dataSummaryPL,(dataSummaryPLSummarys=$D26)*(dataSummaryPLSections=$E26)),(startDates&gt;=BI$7)*(endDates&lt;=BI$8))),0)</f>
        <v>52608</v>
      </c>
      <c r="BJ26" s="184" cm="1">
        <f t="array" ref="BJ26">IFERROR(SUM(_xlfn._xlws.FILTER(_xlfn._xlws.FILTER(dataSummaryPL,(dataSummaryPLSummarys=$D26)*(dataSummaryPLSections=$E26)),(startDates&gt;=BJ$7)*(endDates&lt;=BJ$8))),0)</f>
        <v>55236.87</v>
      </c>
      <c r="BK26" s="184" cm="1">
        <f t="array" ref="BK26">IFERROR(SUM(_xlfn._xlws.FILTER(_xlfn._xlws.FILTER(dataSummaryPL,(dataSummaryPLSummarys=$D26)*(dataSummaryPLSections=$E26)),(startDates&gt;=BK$7)*(endDates&lt;=BK$8))),0)</f>
        <v>57999</v>
      </c>
      <c r="BL26" s="184" cm="1">
        <f t="array" ref="BL26">IFERROR(SUM(_xlfn._xlws.FILTER(_xlfn._xlws.FILTER(dataSummaryPL,(dataSummaryPLSummarys=$D26)*(dataSummaryPLSections=$E26)),(startDates&gt;=BL$7)*(endDates&lt;=BL$8))),0)</f>
        <v>60899</v>
      </c>
      <c r="BM26" s="184" cm="1">
        <f t="array" ref="BM26">IFERROR(SUM(_xlfn._xlws.FILTER(_xlfn._xlws.FILTER(dataSummaryPL,(dataSummaryPLSummarys=$D26)*(dataSummaryPLSections=$E26)),(startDates&gt;=BM$7)*(endDates&lt;=BM$8))),0)</f>
        <v>63944</v>
      </c>
      <c r="BN26" s="184" cm="1">
        <f t="array" ref="BN26">IFERROR(SUM(_xlfn._xlws.FILTER(_xlfn._xlws.FILTER(dataSummaryPL,(dataSummaryPLSummarys=$D26)*(dataSummaryPLSections=$E26)),(startDates&gt;=BN$7)*(endDates&lt;=BN$8))),0)</f>
        <v>67141</v>
      </c>
      <c r="BO26" s="184" cm="1">
        <f t="array" ref="BO26">IFERROR(SUM(_xlfn._xlws.FILTER(_xlfn._xlws.FILTER(dataSummaryPL,(dataSummaryPLSummarys=$D26)*(dataSummaryPLSections=$E26)),(startDates&gt;=BO$7)*(endDates&lt;=BO$8))),0)</f>
        <v>70497.840000000011</v>
      </c>
      <c r="BP26" s="184" cm="1">
        <f t="array" ref="BP26">IFERROR(SUM(_xlfn._xlws.FILTER(_xlfn._xlws.FILTER(dataSummaryPL,(dataSummaryPLSummarys=$D26)*(dataSummaryPLSections=$E26)),(startDates&gt;=BP$7)*(endDates&lt;=BP$8))),0)</f>
        <v>74022.679999999993</v>
      </c>
      <c r="BQ26" s="184" cm="1">
        <f t="array" ref="BQ26">IFERROR(SUM(_xlfn._xlws.FILTER(_xlfn._xlws.FILTER(dataSummaryPL,(dataSummaryPLSummarys=$D26)*(dataSummaryPLSections=$E26)),(startDates&gt;=BQ$7)*(endDates&lt;=BQ$8))),0)</f>
        <v>77723.81</v>
      </c>
      <c r="BR26" s="184" cm="1">
        <f t="array" ref="BR26">IFERROR(SUM(_xlfn._xlws.FILTER(_xlfn._xlws.FILTER(dataSummaryPL,(dataSummaryPLSummarys=$D26)*(dataSummaryPLSections=$E26)),(startDates&gt;=BR$7)*(endDates&lt;=BR$8))),0)</f>
        <v>81610.000000000015</v>
      </c>
      <c r="BS26" s="184" cm="1">
        <f t="array" ref="BS26">IFERROR(SUM(_xlfn._xlws.FILTER(_xlfn._xlws.FILTER(dataSummaryPL,(dataSummaryPLSummarys=$D26)*(dataSummaryPLSections=$E26)),(startDates&gt;=BS$7)*(endDates&lt;=BS$8))),0)</f>
        <v>85690.499999999985</v>
      </c>
      <c r="BT26" s="184" cm="1">
        <f t="array" ref="BT26">IFERROR(SUM(_xlfn._xlws.FILTER(_xlfn._xlws.FILTER(dataSummaryPL,(dataSummaryPLSummarys=$D26)*(dataSummaryPLSections=$E26)),(startDates&gt;=BT$7)*(endDates&lt;=BT$8))),0)</f>
        <v>89975.01</v>
      </c>
      <c r="BU26" s="184" cm="1">
        <f t="array" ref="BU26">IFERROR(SUM(_xlfn._xlws.FILTER(_xlfn._xlws.FILTER(dataSummaryPL,(dataSummaryPLSummarys=$D26)*(dataSummaryPLSections=$E26)),(startDates&gt;=BU$7)*(endDates&lt;=BU$8))),0)</f>
        <v>64270.833333333328</v>
      </c>
      <c r="BV26" s="184" cm="1">
        <f t="array" ref="BV26">IFERROR(SUM(_xlfn._xlws.FILTER(_xlfn._xlws.FILTER(dataSummaryPL,(dataSummaryPLSummarys=$D26)*(dataSummaryPLSections=$E26)),(startDates&gt;=BV$7)*(endDates&lt;=BV$8))),0)</f>
        <v>49270.833333333328</v>
      </c>
      <c r="BW26" s="184" cm="1">
        <f t="array" ref="BW26">IFERROR(SUM(_xlfn._xlws.FILTER(_xlfn._xlws.FILTER(dataSummaryPL,(dataSummaryPLSummarys=$D26)*(dataSummaryPLSections=$E26)),(startDates&gt;=BW$7)*(endDates&lt;=BW$8))),0)</f>
        <v>49270.833333333328</v>
      </c>
      <c r="BX26" s="184" cm="1">
        <f t="array" ref="BX26">IFERROR(SUM(_xlfn._xlws.FILTER(_xlfn._xlws.FILTER(dataSummaryPL,(dataSummaryPLSummarys=$D26)*(dataSummaryPLSections=$E26)),(startDates&gt;=BX$7)*(endDates&lt;=BX$8))),0)</f>
        <v>49270.833333333328</v>
      </c>
      <c r="BY26" s="184" cm="1">
        <f t="array" ref="BY26">IFERROR(SUM(_xlfn._xlws.FILTER(_xlfn._xlws.FILTER(dataSummaryPL,(dataSummaryPLSummarys=$D26)*(dataSummaryPLSections=$E26)),(startDates&gt;=BY$7)*(endDates&lt;=BY$8))),0)</f>
        <v>73906.249999999985</v>
      </c>
      <c r="BZ26" s="184" cm="1">
        <f t="array" ref="BZ26">IFERROR(SUM(_xlfn._xlws.FILTER(_xlfn._xlws.FILTER(dataSummaryPL,(dataSummaryPLSummarys=$D26)*(dataSummaryPLSections=$E26)),(startDates&gt;=BZ$7)*(endDates&lt;=BZ$8))),0)</f>
        <v>73906.249999999985</v>
      </c>
      <c r="CA26" s="184" cm="1">
        <f t="array" ref="CA26">IFERROR(SUM(_xlfn._xlws.FILTER(_xlfn._xlws.FILTER(dataSummaryPL,(dataSummaryPLSummarys=$D26)*(dataSummaryPLSections=$E26)),(startDates&gt;=CA$7)*(endDates&lt;=CA$8))),0)</f>
        <v>78206.25</v>
      </c>
      <c r="CB26" s="184" cm="1">
        <f t="array" ref="CB26">IFERROR(SUM(_xlfn._xlws.FILTER(_xlfn._xlws.FILTER(dataSummaryPL,(dataSummaryPLSummarys=$D26)*(dataSummaryPLSections=$E26)),(startDates&gt;=CB$7)*(endDates&lt;=CB$8))),0)</f>
        <v>81789.583333333328</v>
      </c>
      <c r="CC26" s="184" cm="1">
        <f t="array" ref="CC26">IFERROR(SUM(_xlfn._xlws.FILTER(_xlfn._xlws.FILTER(dataSummaryPL,(dataSummaryPLSummarys=$D26)*(dataSummaryPLSections=$E26)),(startDates&gt;=CC$7)*(endDates&lt;=CC$8))),0)</f>
        <v>81789.583333333328</v>
      </c>
      <c r="CD26" s="184" cm="1">
        <f t="array" ref="CD26">IFERROR(SUM(_xlfn._xlws.FILTER(_xlfn._xlws.FILTER(dataSummaryPL,(dataSummaryPLSummarys=$D26)*(dataSummaryPLSections=$E26)),(startDates&gt;=CD$7)*(endDates&lt;=CD$8))),0)</f>
        <v>81789.583333333328</v>
      </c>
      <c r="CE26" s="184" cm="1">
        <f t="array" ref="CE26">IFERROR(SUM(_xlfn._xlws.FILTER(_xlfn._xlws.FILTER(dataSummaryPL,(dataSummaryPLSummarys=$D26)*(dataSummaryPLSections=$E26)),(startDates&gt;=CE$7)*(endDates&lt;=CE$8))),0)</f>
        <v>81789.583333333328</v>
      </c>
      <c r="CF26" s="184" cm="1">
        <f t="array" ref="CF26">IFERROR(SUM(_xlfn._xlws.FILTER(_xlfn._xlws.FILTER(dataSummaryPL,(dataSummaryPLSummarys=$D26)*(dataSummaryPLSections=$E26)),(startDates&gt;=CF$7)*(endDates&lt;=CF$8))),0)</f>
        <v>81789.583333333328</v>
      </c>
      <c r="CG26" s="184" cm="1">
        <f t="array" ref="CG26">IFERROR(SUM(_xlfn._xlws.FILTER(_xlfn._xlws.FILTER(dataSummaryPL,(dataSummaryPLSummarys=$D26)*(dataSummaryPLSections=$E26)),(startDates&gt;=CG$7)*(endDates&lt;=CG$8))),0)</f>
        <v>96789.583333333328</v>
      </c>
    </row>
    <row r="27" spans="1:85" outlineLevel="1">
      <c r="C27" s="331" t="s">
        <v>126</v>
      </c>
      <c r="D27" s="163" t="str">
        <f t="shared" si="22"/>
        <v>Professional Services</v>
      </c>
      <c r="E27" s="150" t="s">
        <v>101</v>
      </c>
      <c r="F27" s="163"/>
      <c r="G27" s="163"/>
      <c r="J27" s="184" cm="1">
        <f t="array" ref="J27">IFERROR(SUM(_xlfn._xlws.FILTER(_xlfn._xlws.FILTER(dataSummaryPL,(dataSummaryPLSummarys=$D27)*(dataSummaryPLSections=$E27)),(startDates&gt;=J$7)*(endDates&lt;=J$8))),0)</f>
        <v>282625.23</v>
      </c>
      <c r="K27" s="184" cm="1">
        <f t="array" ref="K27">IFERROR(SUM(_xlfn._xlws.FILTER(_xlfn._xlws.FILTER(dataSummaryPL,(dataSummaryPLSummarys=$D27)*(dataSummaryPLSections=$E27)),(startDates&gt;=K$7)*(endDates&lt;=K$8))),0)</f>
        <v>301571.23</v>
      </c>
      <c r="N27" s="184" cm="1">
        <f t="array" ref="N27">IFERROR(SUM(_xlfn._xlws.FILTER(_xlfn._xlws.FILTER(dataSummaryPL,(dataSummaryPLSummarys=$D27)*(dataSummaryPLSections=$E27)),(startDates&gt;=N$7)*(endDates&lt;=N$8))),0)</f>
        <v>74037</v>
      </c>
      <c r="O27" s="184" cm="1">
        <f t="array" ref="O27">IFERROR(SUM(_xlfn._xlws.FILTER(_xlfn._xlws.FILTER(dataSummaryPL,(dataSummaryPLSummarys=$D27)*(dataSummaryPLSections=$E27)),(startDates&gt;=O$7)*(endDates&lt;=O$8))),0)</f>
        <v>174415</v>
      </c>
      <c r="P27" s="184" cm="1">
        <f t="array" ref="P27">IFERROR(SUM(_xlfn._xlws.FILTER(_xlfn._xlws.FILTER(dataSummaryPL,(dataSummaryPLSummarys=$D27)*(dataSummaryPLSections=$E27)),(startDates&gt;=P$7)*(endDates&lt;=P$8))),0)</f>
        <v>312847.81925</v>
      </c>
      <c r="Q27" s="184" cm="1">
        <f t="array" ref="Q27">IFERROR(SUM(_xlfn._xlws.FILTER(_xlfn._xlws.FILTER(dataSummaryPL,(dataSummaryPLSummarys=$D27)*(dataSummaryPLSections=$E27)),(startDates&gt;=Q$7)*(endDates&lt;=Q$8))),0)</f>
        <v>408585.67761419172</v>
      </c>
      <c r="T27" s="184" cm="1">
        <f t="array" ref="T27">IFERROR(SUM(_xlfn._xlws.FILTER(_xlfn._xlws.FILTER(dataSummaryPL,(dataSummaryPLSummarys=$D27)*(dataSummaryPLSections=$E27)),(startDates&gt;=T$7)*(endDates&lt;=T$8))),0)</f>
        <v>13978</v>
      </c>
      <c r="U27" s="184" cm="1">
        <f t="array" ref="U27">IFERROR(SUM(_xlfn._xlws.FILTER(_xlfn._xlws.FILTER(dataSummaryPL,(dataSummaryPLSummarys=$D27)*(dataSummaryPLSections=$E27)),(startDates&gt;=U$7)*(endDates&lt;=U$8))),0)</f>
        <v>15498</v>
      </c>
      <c r="V27" s="184" cm="1">
        <f t="array" ref="V27">IFERROR(SUM(_xlfn._xlws.FILTER(_xlfn._xlws.FILTER(dataSummaryPL,(dataSummaryPLSummarys=$D27)*(dataSummaryPLSections=$E27)),(startDates&gt;=V$7)*(endDates&lt;=V$8))),0)</f>
        <v>17183</v>
      </c>
      <c r="W27" s="184" cm="1">
        <f t="array" ref="W27">IFERROR(SUM(_xlfn._xlws.FILTER(_xlfn._xlws.FILTER(dataSummaryPL,(dataSummaryPLSummarys=$D27)*(dataSummaryPLSections=$E27)),(startDates&gt;=W$7)*(endDates&lt;=W$8))),0)</f>
        <v>27378</v>
      </c>
      <c r="X27" s="184" cm="1">
        <f t="array" ref="X27">IFERROR(SUM(_xlfn._xlws.FILTER(_xlfn._xlws.FILTER(dataSummaryPL,(dataSummaryPLSummarys=$D27)*(dataSummaryPLSections=$E27)),(startDates&gt;=X$7)*(endDates&lt;=X$8))),0)</f>
        <v>30883</v>
      </c>
      <c r="Y27" s="184" cm="1">
        <f t="array" ref="Y27">IFERROR(SUM(_xlfn._xlws.FILTER(_xlfn._xlws.FILTER(dataSummaryPL,(dataSummaryPLSummarys=$D27)*(dataSummaryPLSections=$E27)),(startDates&gt;=Y$7)*(endDates&lt;=Y$8))),0)</f>
        <v>39437</v>
      </c>
      <c r="Z27" s="184" cm="1">
        <f t="array" ref="Z27">IFERROR(SUM(_xlfn._xlws.FILTER(_xlfn._xlws.FILTER(dataSummaryPL,(dataSummaryPLSummarys=$D27)*(dataSummaryPLSections=$E27)),(startDates&gt;=Z$7)*(endDates&lt;=Z$8))),0)</f>
        <v>49920</v>
      </c>
      <c r="AA27" s="184" cm="1">
        <f t="array" ref="AA27">IFERROR(SUM(_xlfn._xlws.FILTER(_xlfn._xlws.FILTER(dataSummaryPL,(dataSummaryPLSummarys=$D27)*(dataSummaryPLSections=$E27)),(startDates&gt;=AA$7)*(endDates&lt;=AA$8))),0)</f>
        <v>54175</v>
      </c>
      <c r="AB27" s="184" cm="1">
        <f t="array" ref="AB27">IFERROR(SUM(_xlfn._xlws.FILTER(_xlfn._xlws.FILTER(dataSummaryPL,(dataSummaryPLSummarys=$D27)*(dataSummaryPLSections=$E27)),(startDates&gt;=AB$7)*(endDates&lt;=AB$8))),0)</f>
        <v>62714.720000000001</v>
      </c>
      <c r="AC27" s="184" cm="1">
        <f t="array" ref="AC27">IFERROR(SUM(_xlfn._xlws.FILTER(_xlfn._xlws.FILTER(dataSummaryPL,(dataSummaryPLSummarys=$D27)*(dataSummaryPLSections=$E27)),(startDates&gt;=AC$7)*(endDates&lt;=AC$8))),0)</f>
        <v>72600</v>
      </c>
      <c r="AD27" s="184" cm="1">
        <f t="array" ref="AD27">IFERROR(SUM(_xlfn._xlws.FILTER(_xlfn._xlws.FILTER(dataSummaryPL,(dataSummaryPLSummarys=$D27)*(dataSummaryPLSections=$E27)),(startDates&gt;=AD$7)*(endDates&lt;=AD$8))),0)</f>
        <v>84044.04</v>
      </c>
      <c r="AE27" s="184" cm="1">
        <f t="array" ref="AE27">IFERROR(SUM(_xlfn._xlws.FILTER(_xlfn._xlws.FILTER(dataSummaryPL,(dataSummaryPLSummarys=$D27)*(dataSummaryPLSections=$E27)),(startDates&gt;=AE$7)*(endDates&lt;=AE$8))),0)</f>
        <v>93489.059249999991</v>
      </c>
      <c r="AF27" s="184" cm="1">
        <f t="array" ref="AF27">IFERROR(SUM(_xlfn._xlws.FILTER(_xlfn._xlws.FILTER(dataSummaryPL,(dataSummaryPLSummarys=$D27)*(dataSummaryPLSections=$E27)),(startDates&gt;=AF$7)*(endDates&lt;=AF$8))),0)</f>
        <v>95421.248172386724</v>
      </c>
      <c r="AG27" s="184" cm="1">
        <f t="array" ref="AG27">IFERROR(SUM(_xlfn._xlws.FILTER(_xlfn._xlws.FILTER(dataSummaryPL,(dataSummaryPLSummarys=$D27)*(dataSummaryPLSections=$E27)),(startDates&gt;=AG$7)*(endDates&lt;=AG$8))),0)</f>
        <v>100128.91981377668</v>
      </c>
      <c r="AH27" s="184" cm="1">
        <f t="array" ref="AH27">IFERROR(SUM(_xlfn._xlws.FILTER(_xlfn._xlws.FILTER(dataSummaryPL,(dataSummaryPLSummarys=$D27)*(dataSummaryPLSections=$E27)),(startDates&gt;=AH$7)*(endDates&lt;=AH$8))),0)</f>
        <v>104280.69703808572</v>
      </c>
      <c r="AI27" s="184" cm="1">
        <f t="array" ref="AI27">IFERROR(SUM(_xlfn._xlws.FILTER(_xlfn._xlws.FILTER(dataSummaryPL,(dataSummaryPLSummarys=$D27)*(dataSummaryPLSections=$E27)),(startDates&gt;=AI$7)*(endDates&lt;=AI$8))),0)</f>
        <v>108754.81258994256</v>
      </c>
      <c r="AL27" s="184" cm="1">
        <f t="array" ref="AL27">IFERROR(SUM(_xlfn._xlws.FILTER(_xlfn._xlws.FILTER(dataSummaryPL,(dataSummaryPLSummarys=$D27)*(dataSummaryPLSections=$E27)),(startDates&gt;=AL$7)*(endDates&lt;=AL$8))),0)</f>
        <v>4500</v>
      </c>
      <c r="AM27" s="184" cm="1">
        <f t="array" ref="AM27">IFERROR(SUM(_xlfn._xlws.FILTER(_xlfn._xlws.FILTER(dataSummaryPL,(dataSummaryPLSummarys=$D27)*(dataSummaryPLSections=$E27)),(startDates&gt;=AM$7)*(endDates&lt;=AM$8))),0)</f>
        <v>4658</v>
      </c>
      <c r="AN27" s="184" cm="1">
        <f t="array" ref="AN27">IFERROR(SUM(_xlfn._xlws.FILTER(_xlfn._xlws.FILTER(dataSummaryPL,(dataSummaryPLSummarys=$D27)*(dataSummaryPLSections=$E27)),(startDates&gt;=AN$7)*(endDates&lt;=AN$8))),0)</f>
        <v>4820</v>
      </c>
      <c r="AO27" s="184" cm="1">
        <f t="array" ref="AO27">IFERROR(SUM(_xlfn._xlws.FILTER(_xlfn._xlws.FILTER(dataSummaryPL,(dataSummaryPLSummarys=$D27)*(dataSummaryPLSections=$E27)),(startDates&gt;=AO$7)*(endDates&lt;=AO$8))),0)</f>
        <v>4989</v>
      </c>
      <c r="AP27" s="184" cm="1">
        <f t="array" ref="AP27">IFERROR(SUM(_xlfn._xlws.FILTER(_xlfn._xlws.FILTER(dataSummaryPL,(dataSummaryPLSummarys=$D27)*(dataSummaryPLSections=$E27)),(startDates&gt;=AP$7)*(endDates&lt;=AP$8))),0)</f>
        <v>5164</v>
      </c>
      <c r="AQ27" s="184" cm="1">
        <f t="array" ref="AQ27">IFERROR(SUM(_xlfn._xlws.FILTER(_xlfn._xlws.FILTER(dataSummaryPL,(dataSummaryPLSummarys=$D27)*(dataSummaryPLSections=$E27)),(startDates&gt;=AQ$7)*(endDates&lt;=AQ$8))),0)</f>
        <v>5345</v>
      </c>
      <c r="AR27" s="184" cm="1">
        <f t="array" ref="AR27">IFERROR(SUM(_xlfn._xlws.FILTER(_xlfn._xlws.FILTER(dataSummaryPL,(dataSummaryPLSummarys=$D27)*(dataSummaryPLSections=$E27)),(startDates&gt;=AR$7)*(endDates&lt;=AR$8))),0)</f>
        <v>5532</v>
      </c>
      <c r="AS27" s="184" cm="1">
        <f t="array" ref="AS27">IFERROR(SUM(_xlfn._xlws.FILTER(_xlfn._xlws.FILTER(dataSummaryPL,(dataSummaryPLSummarys=$D27)*(dataSummaryPLSections=$E27)),(startDates&gt;=AS$7)*(endDates&lt;=AS$8))),0)</f>
        <v>5725</v>
      </c>
      <c r="AT27" s="184" cm="1">
        <f t="array" ref="AT27">IFERROR(SUM(_xlfn._xlws.FILTER(_xlfn._xlws.FILTER(dataSummaryPL,(dataSummaryPLSummarys=$D27)*(dataSummaryPLSections=$E27)),(startDates&gt;=AT$7)*(endDates&lt;=AT$8))),0)</f>
        <v>5926</v>
      </c>
      <c r="AU27" s="184" cm="1">
        <f t="array" ref="AU27">IFERROR(SUM(_xlfn._xlws.FILTER(_xlfn._xlws.FILTER(dataSummaryPL,(dataSummaryPLSummarys=$D27)*(dataSummaryPLSections=$E27)),(startDates&gt;=AU$7)*(endDates&lt;=AU$8))),0)</f>
        <v>6133</v>
      </c>
      <c r="AV27" s="184" cm="1">
        <f t="array" ref="AV27">IFERROR(SUM(_xlfn._xlws.FILTER(_xlfn._xlws.FILTER(dataSummaryPL,(dataSummaryPLSummarys=$D27)*(dataSummaryPLSections=$E27)),(startDates&gt;=AV$7)*(endDates&lt;=AV$8))),0)</f>
        <v>7780</v>
      </c>
      <c r="AW27" s="184" cm="1">
        <f t="array" ref="AW27">IFERROR(SUM(_xlfn._xlws.FILTER(_xlfn._xlws.FILTER(dataSummaryPL,(dataSummaryPLSummarys=$D27)*(dataSummaryPLSections=$E27)),(startDates&gt;=AW$7)*(endDates&lt;=AW$8))),0)</f>
        <v>13465</v>
      </c>
      <c r="AX27" s="184" cm="1">
        <f t="array" ref="AX27">IFERROR(SUM(_xlfn._xlws.FILTER(_xlfn._xlws.FILTER(dataSummaryPL,(dataSummaryPLSummarys=$D27)*(dataSummaryPLSections=$E27)),(startDates&gt;=AX$7)*(endDates&lt;=AX$8))),0)</f>
        <v>8168</v>
      </c>
      <c r="AY27" s="184" cm="1">
        <f t="array" ref="AY27">IFERROR(SUM(_xlfn._xlws.FILTER(_xlfn._xlws.FILTER(dataSummaryPL,(dataSummaryPLSummarys=$D27)*(dataSummaryPLSections=$E27)),(startDates&gt;=AY$7)*(endDates&lt;=AY$8))),0)</f>
        <v>14138</v>
      </c>
      <c r="AZ27" s="184" cm="1">
        <f t="array" ref="AZ27">IFERROR(SUM(_xlfn._xlws.FILTER(_xlfn._xlws.FILTER(dataSummaryPL,(dataSummaryPLSummarys=$D27)*(dataSummaryPLSections=$E27)),(startDates&gt;=AZ$7)*(endDates&lt;=AZ$8))),0)</f>
        <v>8577</v>
      </c>
      <c r="BA27" s="184" cm="1">
        <f t="array" ref="BA27">IFERROR(SUM(_xlfn._xlws.FILTER(_xlfn._xlws.FILTER(dataSummaryPL,(dataSummaryPLSummarys=$D27)*(dataSummaryPLSections=$E27)),(startDates&gt;=BA$7)*(endDates&lt;=BA$8))),0)</f>
        <v>14845</v>
      </c>
      <c r="BB27" s="184" cm="1">
        <f t="array" ref="BB27">IFERROR(SUM(_xlfn._xlws.FILTER(_xlfn._xlws.FILTER(dataSummaryPL,(dataSummaryPLSummarys=$D27)*(dataSummaryPLSections=$E27)),(startDates&gt;=BB$7)*(endDates&lt;=BB$8))),0)</f>
        <v>9005</v>
      </c>
      <c r="BC27" s="184" cm="1">
        <f t="array" ref="BC27">IFERROR(SUM(_xlfn._xlws.FILTER(_xlfn._xlws.FILTER(dataSummaryPL,(dataSummaryPLSummarys=$D27)*(dataSummaryPLSections=$E27)),(startDates&gt;=BC$7)*(endDates&lt;=BC$8))),0)</f>
        <v>15587</v>
      </c>
      <c r="BD27" s="184" cm="1">
        <f t="array" ref="BD27">IFERROR(SUM(_xlfn._xlws.FILTER(_xlfn._xlws.FILTER(dataSummaryPL,(dataSummaryPLSummarys=$D27)*(dataSummaryPLSections=$E27)),(startDates&gt;=BD$7)*(endDates&lt;=BD$8))),0)</f>
        <v>16368</v>
      </c>
      <c r="BE27" s="184" cm="1">
        <f t="array" ref="BE27">IFERROR(SUM(_xlfn._xlws.FILTER(_xlfn._xlws.FILTER(dataSummaryPL,(dataSummaryPLSummarys=$D27)*(dataSummaryPLSections=$E27)),(startDates&gt;=BE$7)*(endDates&lt;=BE$8))),0)</f>
        <v>16368</v>
      </c>
      <c r="BF27" s="184" cm="1">
        <f t="array" ref="BF27">IFERROR(SUM(_xlfn._xlws.FILTER(_xlfn._xlws.FILTER(dataSummaryPL,(dataSummaryPLSummarys=$D27)*(dataSummaryPLSections=$E27)),(startDates&gt;=BF$7)*(endDates&lt;=BF$8))),0)</f>
        <v>17184</v>
      </c>
      <c r="BG27" s="184" cm="1">
        <f t="array" ref="BG27">IFERROR(SUM(_xlfn._xlws.FILTER(_xlfn._xlws.FILTER(dataSummaryPL,(dataSummaryPLSummarys=$D27)*(dataSummaryPLSections=$E27)),(startDates&gt;=BG$7)*(endDates&lt;=BG$8))),0)</f>
        <v>17184</v>
      </c>
      <c r="BH27" s="184" cm="1">
        <f t="array" ref="BH27">IFERROR(SUM(_xlfn._xlws.FILTER(_xlfn._xlws.FILTER(dataSummaryPL,(dataSummaryPLSummarys=$D27)*(dataSummaryPLSections=$E27)),(startDates&gt;=BH$7)*(endDates&lt;=BH$8))),0)</f>
        <v>18045</v>
      </c>
      <c r="BI27" s="184" cm="1">
        <f t="array" ref="BI27">IFERROR(SUM(_xlfn._xlws.FILTER(_xlfn._xlws.FILTER(dataSummaryPL,(dataSummaryPLSummarys=$D27)*(dataSummaryPLSections=$E27)),(startDates&gt;=BI$7)*(endDates&lt;=BI$8))),0)</f>
        <v>18946</v>
      </c>
      <c r="BJ27" s="184" cm="1">
        <f t="array" ref="BJ27">IFERROR(SUM(_xlfn._xlws.FILTER(_xlfn._xlws.FILTER(dataSummaryPL,(dataSummaryPLSummarys=$D27)*(dataSummaryPLSections=$E27)),(startDates&gt;=BJ$7)*(endDates&lt;=BJ$8))),0)</f>
        <v>19893.72</v>
      </c>
      <c r="BK27" s="184" cm="1">
        <f t="array" ref="BK27">IFERROR(SUM(_xlfn._xlws.FILTER(_xlfn._xlws.FILTER(dataSummaryPL,(dataSummaryPLSummarys=$D27)*(dataSummaryPLSections=$E27)),(startDates&gt;=BK$7)*(endDates&lt;=BK$8))),0)</f>
        <v>20888</v>
      </c>
      <c r="BL27" s="184" cm="1">
        <f t="array" ref="BL27">IFERROR(SUM(_xlfn._xlws.FILTER(_xlfn._xlws.FILTER(dataSummaryPL,(dataSummaryPLSummarys=$D27)*(dataSummaryPLSections=$E27)),(startDates&gt;=BL$7)*(endDates&lt;=BL$8))),0)</f>
        <v>21933</v>
      </c>
      <c r="BM27" s="184" cm="1">
        <f t="array" ref="BM27">IFERROR(SUM(_xlfn._xlws.FILTER(_xlfn._xlws.FILTER(dataSummaryPL,(dataSummaryPLSummarys=$D27)*(dataSummaryPLSections=$E27)),(startDates&gt;=BM$7)*(endDates&lt;=BM$8))),0)</f>
        <v>23029</v>
      </c>
      <c r="BN27" s="184" cm="1">
        <f t="array" ref="BN27">IFERROR(SUM(_xlfn._xlws.FILTER(_xlfn._xlws.FILTER(dataSummaryPL,(dataSummaryPLSummarys=$D27)*(dataSummaryPLSections=$E27)),(startDates&gt;=BN$7)*(endDates&lt;=BN$8))),0)</f>
        <v>24181</v>
      </c>
      <c r="BO27" s="184" cm="1">
        <f t="array" ref="BO27">IFERROR(SUM(_xlfn._xlws.FILTER(_xlfn._xlws.FILTER(dataSummaryPL,(dataSummaryPLSummarys=$D27)*(dataSummaryPLSections=$E27)),(startDates&gt;=BO$7)*(endDates&lt;=BO$8))),0)</f>
        <v>25390</v>
      </c>
      <c r="BP27" s="184" cm="1">
        <f t="array" ref="BP27">IFERROR(SUM(_xlfn._xlws.FILTER(_xlfn._xlws.FILTER(dataSummaryPL,(dataSummaryPLSummarys=$D27)*(dataSummaryPLSections=$E27)),(startDates&gt;=BP$7)*(endDates&lt;=BP$8))),0)</f>
        <v>26659.489999999998</v>
      </c>
      <c r="BQ27" s="184" cm="1">
        <f t="array" ref="BQ27">IFERROR(SUM(_xlfn._xlws.FILTER(_xlfn._xlws.FILTER(dataSummaryPL,(dataSummaryPLSummarys=$D27)*(dataSummaryPLSections=$E27)),(startDates&gt;=BQ$7)*(endDates&lt;=BQ$8))),0)</f>
        <v>27992.46</v>
      </c>
      <c r="BR27" s="184" cm="1">
        <f t="array" ref="BR27">IFERROR(SUM(_xlfn._xlws.FILTER(_xlfn._xlws.FILTER(dataSummaryPL,(dataSummaryPLSummarys=$D27)*(dataSummaryPLSections=$E27)),(startDates&gt;=BR$7)*(endDates&lt;=BR$8))),0)</f>
        <v>29392.09</v>
      </c>
      <c r="BS27" s="184" cm="1">
        <f t="array" ref="BS27">IFERROR(SUM(_xlfn._xlws.FILTER(_xlfn._xlws.FILTER(dataSummaryPL,(dataSummaryPLSummarys=$D27)*(dataSummaryPLSections=$E27)),(startDates&gt;=BS$7)*(endDates&lt;=BS$8))),0)</f>
        <v>30861.69</v>
      </c>
      <c r="BT27" s="184" cm="1">
        <f t="array" ref="BT27">IFERROR(SUM(_xlfn._xlws.FILTER(_xlfn._xlws.FILTER(dataSummaryPL,(dataSummaryPLSummarys=$D27)*(dataSummaryPLSections=$E27)),(startDates&gt;=BT$7)*(endDates&lt;=BT$8))),0)</f>
        <v>32404.78</v>
      </c>
      <c r="BU27" s="184" cm="1">
        <f t="array" ref="BU27">IFERROR(SUM(_xlfn._xlws.FILTER(_xlfn._xlws.FILTER(dataSummaryPL,(dataSummaryPLSummarys=$D27)*(dataSummaryPLSections=$E27)),(startDates&gt;=BU$7)*(endDates&lt;=BU$8))),0)</f>
        <v>30222.589249999997</v>
      </c>
      <c r="BV27" s="184" cm="1">
        <f t="array" ref="BV27">IFERROR(SUM(_xlfn._xlws.FILTER(_xlfn._xlws.FILTER(dataSummaryPL,(dataSummaryPLSummarys=$D27)*(dataSummaryPLSections=$E27)),(startDates&gt;=BV$7)*(endDates&lt;=BV$8))),0)</f>
        <v>31068.292368750004</v>
      </c>
      <c r="BW27" s="184" cm="1">
        <f t="array" ref="BW27">IFERROR(SUM(_xlfn._xlws.FILTER(_xlfn._xlws.FILTER(dataSummaryPL,(dataSummaryPLSummarys=$D27)*(dataSummaryPLSections=$E27)),(startDates&gt;=BW$7)*(endDates&lt;=BW$8))),0)</f>
        <v>31839.83278328125</v>
      </c>
      <c r="BX27" s="184" cm="1">
        <f t="array" ref="BX27">IFERROR(SUM(_xlfn._xlws.FILTER(_xlfn._xlws.FILTER(dataSummaryPL,(dataSummaryPLSummarys=$D27)*(dataSummaryPLSections=$E27)),(startDates&gt;=BX$7)*(endDates&lt;=BX$8))),0)</f>
        <v>32513.123020355473</v>
      </c>
      <c r="BY27" s="184" cm="1">
        <f t="array" ref="BY27">IFERROR(SUM(_xlfn._xlws.FILTER(_xlfn._xlws.FILTER(dataSummaryPL,(dataSummaryPLSummarys=$D27)*(dataSummaryPLSections=$E27)),(startDates&gt;=BY$7)*(endDates&lt;=BY$8))),0)</f>
        <v>33059.303798917681</v>
      </c>
      <c r="BZ27" s="184" cm="1">
        <f t="array" ref="BZ27">IFERROR(SUM(_xlfn._xlws.FILTER(_xlfn._xlws.FILTER(dataSummaryPL,(dataSummaryPLSummarys=$D27)*(dataSummaryPLSections=$E27)),(startDates&gt;=BZ$7)*(endDates&lt;=BZ$8))),0)</f>
        <v>33443.886213728278</v>
      </c>
      <c r="CA27" s="184" cm="1">
        <f t="array" ref="CA27">IFERROR(SUM(_xlfn._xlws.FILTER(_xlfn._xlws.FILTER(dataSummaryPL,(dataSummaryPLSummarys=$D27)*(dataSummaryPLSections=$E27)),(startDates&gt;=CA$7)*(endDates&lt;=CA$8))),0)</f>
        <v>33625.729801130721</v>
      </c>
      <c r="CB27" s="184" cm="1">
        <f t="array" ref="CB27">IFERROR(SUM(_xlfn._xlws.FILTER(_xlfn._xlws.FILTER(dataSummaryPL,(dataSummaryPLSummarys=$D27)*(dataSummaryPLSections=$E27)),(startDates&gt;=CB$7)*(endDates&lt;=CB$8))),0)</f>
        <v>34221.279397578597</v>
      </c>
      <c r="CC27" s="184" cm="1">
        <f t="array" ref="CC27">IFERROR(SUM(_xlfn._xlws.FILTER(_xlfn._xlws.FILTER(dataSummaryPL,(dataSummaryPLSummarys=$D27)*(dataSummaryPLSections=$E27)),(startDates&gt;=CC$7)*(endDates&lt;=CC$8))),0)</f>
        <v>34773.052127623603</v>
      </c>
      <c r="CD27" s="184" cm="1">
        <f t="array" ref="CD27">IFERROR(SUM(_xlfn._xlws.FILTER(_xlfn._xlws.FILTER(dataSummaryPL,(dataSummaryPLSummarys=$D27)*(dataSummaryPLSections=$E27)),(startDates&gt;=CD$7)*(endDates&lt;=CD$8))),0)</f>
        <v>35286.365512883516</v>
      </c>
      <c r="CE27" s="184" cm="1">
        <f t="array" ref="CE27">IFERROR(SUM(_xlfn._xlws.FILTER(_xlfn._xlws.FILTER(dataSummaryPL,(dataSummaryPLSummarys=$D27)*(dataSummaryPLSections=$E27)),(startDates&gt;=CE$7)*(endDates&lt;=CE$8))),0)</f>
        <v>35771.682949075919</v>
      </c>
      <c r="CF27" s="184" cm="1">
        <f t="array" ref="CF27">IFERROR(SUM(_xlfn._xlws.FILTER(_xlfn._xlws.FILTER(dataSummaryPL,(dataSummaryPLSummarys=$D27)*(dataSummaryPLSections=$E27)),(startDates&gt;=CF$7)*(endDates&lt;=CF$8))),0)</f>
        <v>36246.349300353613</v>
      </c>
      <c r="CG27" s="184" cm="1">
        <f t="array" ref="CG27">IFERROR(SUM(_xlfn._xlws.FILTER(_xlfn._xlws.FILTER(dataSummaryPL,(dataSummaryPLSummarys=$D27)*(dataSummaryPLSections=$E27)),(startDates&gt;=CG$7)*(endDates&lt;=CG$8))),0)</f>
        <v>36736.780340513047</v>
      </c>
    </row>
    <row r="28" spans="1:85" outlineLevel="1">
      <c r="C28" s="331" t="s">
        <v>127</v>
      </c>
      <c r="D28" s="163" t="str">
        <f t="shared" si="22"/>
        <v>Travel &amp; Entertainment</v>
      </c>
      <c r="E28" s="150" t="s">
        <v>101</v>
      </c>
      <c r="F28" s="163"/>
      <c r="G28" s="163"/>
      <c r="J28" s="184" cm="1">
        <f t="array" ref="J28">IFERROR(SUM(_xlfn._xlws.FILTER(_xlfn._xlws.FILTER(dataSummaryPL,(dataSummaryPLSummarys=$D28)*(dataSummaryPLSections=$E28)),(startDates&gt;=J$7)*(endDates&lt;=J$8))),0)</f>
        <v>95205.89</v>
      </c>
      <c r="K28" s="184" cm="1">
        <f t="array" ref="K28">IFERROR(SUM(_xlfn._xlws.FILTER(_xlfn._xlws.FILTER(dataSummaryPL,(dataSummaryPLSummarys=$D28)*(dataSummaryPLSections=$E28)),(startDates&gt;=K$7)*(endDates&lt;=K$8))),0)</f>
        <v>101588.89</v>
      </c>
      <c r="N28" s="184" cm="1">
        <f t="array" ref="N28">IFERROR(SUM(_xlfn._xlws.FILTER(_xlfn._xlws.FILTER(dataSummaryPL,(dataSummaryPLSummarys=$D28)*(dataSummaryPLSections=$E28)),(startDates&gt;=N$7)*(endDates&lt;=N$8))),0)</f>
        <v>27366.5</v>
      </c>
      <c r="O28" s="184" cm="1">
        <f t="array" ref="O28">IFERROR(SUM(_xlfn._xlws.FILTER(_xlfn._xlws.FILTER(dataSummaryPL,(dataSummaryPLSummarys=$D28)*(dataSummaryPLSections=$E28)),(startDates&gt;=O$7)*(endDates&lt;=O$8))),0)</f>
        <v>59636</v>
      </c>
      <c r="P28" s="184" cm="1">
        <f t="array" ref="P28">IFERROR(SUM(_xlfn._xlws.FILTER(_xlfn._xlws.FILTER(dataSummaryPL,(dataSummaryPLSummarys=$D28)*(dataSummaryPLSections=$E28)),(startDates&gt;=P$7)*(endDates&lt;=P$8))),0)</f>
        <v>105386.76525</v>
      </c>
      <c r="Q28" s="184" cm="1">
        <f t="array" ref="Q28">IFERROR(SUM(_xlfn._xlws.FILTER(_xlfn._xlws.FILTER(dataSummaryPL,(dataSummaryPLSummarys=$D28)*(dataSummaryPLSections=$E28)),(startDates&gt;=Q$7)*(endDates&lt;=Q$8))),0)</f>
        <v>137637.55933665219</v>
      </c>
      <c r="T28" s="184" cm="1">
        <f t="array" ref="T28">IFERROR(SUM(_xlfn._xlws.FILTER(_xlfn._xlws.FILTER(dataSummaryPL,(dataSummaryPLSummarys=$D28)*(dataSummaryPLSections=$E28)),(startDates&gt;=T$7)*(endDates&lt;=T$8))),0)</f>
        <v>5282</v>
      </c>
      <c r="U28" s="184" cm="1">
        <f t="array" ref="U28">IFERROR(SUM(_xlfn._xlws.FILTER(_xlfn._xlws.FILTER(dataSummaryPL,(dataSummaryPLSummarys=$D28)*(dataSummaryPLSections=$E28)),(startDates&gt;=U$7)*(endDates&lt;=U$8))),0)</f>
        <v>5855</v>
      </c>
      <c r="V28" s="184" cm="1">
        <f t="array" ref="V28">IFERROR(SUM(_xlfn._xlws.FILTER(_xlfn._xlws.FILTER(dataSummaryPL,(dataSummaryPLSummarys=$D28)*(dataSummaryPLSections=$E28)),(startDates&gt;=V$7)*(endDates&lt;=V$8))),0)</f>
        <v>6490</v>
      </c>
      <c r="W28" s="184" cm="1">
        <f t="array" ref="W28">IFERROR(SUM(_xlfn._xlws.FILTER(_xlfn._xlws.FILTER(dataSummaryPL,(dataSummaryPLSummarys=$D28)*(dataSummaryPLSections=$E28)),(startDates&gt;=W$7)*(endDates&lt;=W$8))),0)</f>
        <v>9739.5</v>
      </c>
      <c r="X28" s="184" cm="1">
        <f t="array" ref="X28">IFERROR(SUM(_xlfn._xlws.FILTER(_xlfn._xlws.FILTER(dataSummaryPL,(dataSummaryPLSummarys=$D28)*(dataSummaryPLSections=$E28)),(startDates&gt;=X$7)*(endDates&lt;=X$8))),0)</f>
        <v>10976</v>
      </c>
      <c r="Y28" s="184" cm="1">
        <f t="array" ref="Y28">IFERROR(SUM(_xlfn._xlws.FILTER(_xlfn._xlws.FILTER(dataSummaryPL,(dataSummaryPLSummarys=$D28)*(dataSummaryPLSections=$E28)),(startDates&gt;=Y$7)*(endDates&lt;=Y$8))),0)</f>
        <v>13593</v>
      </c>
      <c r="Z28" s="184" cm="1">
        <f t="array" ref="Z28">IFERROR(SUM(_xlfn._xlws.FILTER(_xlfn._xlws.FILTER(dataSummaryPL,(dataSummaryPLSummarys=$D28)*(dataSummaryPLSections=$E28)),(startDates&gt;=Z$7)*(endDates&lt;=Z$8))),0)</f>
        <v>16817</v>
      </c>
      <c r="AA28" s="184" cm="1">
        <f t="array" ref="AA28">IFERROR(SUM(_xlfn._xlws.FILTER(_xlfn._xlws.FILTER(dataSummaryPL,(dataSummaryPLSummarys=$D28)*(dataSummaryPLSections=$E28)),(startDates&gt;=AA$7)*(endDates&lt;=AA$8))),0)</f>
        <v>18250</v>
      </c>
      <c r="AB28" s="184" cm="1">
        <f t="array" ref="AB28">IFERROR(SUM(_xlfn._xlws.FILTER(_xlfn._xlws.FILTER(dataSummaryPL,(dataSummaryPLSummarys=$D28)*(dataSummaryPLSections=$E28)),(startDates&gt;=AB$7)*(endDates&lt;=AB$8))),0)</f>
        <v>21125.46</v>
      </c>
      <c r="AC28" s="184" cm="1">
        <f t="array" ref="AC28">IFERROR(SUM(_xlfn._xlws.FILTER(_xlfn._xlws.FILTER(dataSummaryPL,(dataSummaryPLSummarys=$D28)*(dataSummaryPLSections=$E28)),(startDates&gt;=AC$7)*(endDates&lt;=AC$8))),0)</f>
        <v>24456.9</v>
      </c>
      <c r="AD28" s="184" cm="1">
        <f t="array" ref="AD28">IFERROR(SUM(_xlfn._xlws.FILTER(_xlfn._xlws.FILTER(dataSummaryPL,(dataSummaryPLSummarys=$D28)*(dataSummaryPLSections=$E28)),(startDates&gt;=AD$7)*(endDates&lt;=AD$8))),0)</f>
        <v>28311.360000000001</v>
      </c>
      <c r="AE28" s="184" cm="1">
        <f t="array" ref="AE28">IFERROR(SUM(_xlfn._xlws.FILTER(_xlfn._xlws.FILTER(dataSummaryPL,(dataSummaryPLSummarys=$D28)*(dataSummaryPLSections=$E28)),(startDates&gt;=AE$7)*(endDates&lt;=AE$8))),0)</f>
        <v>31493.045249999996</v>
      </c>
      <c r="AF28" s="184" cm="1">
        <f t="array" ref="AF28">IFERROR(SUM(_xlfn._xlws.FILTER(_xlfn._xlws.FILTER(dataSummaryPL,(dataSummaryPLSummarys=$D28)*(dataSummaryPLSections=$E28)),(startDates&gt;=AF$7)*(endDates&lt;=AF$8))),0)</f>
        <v>32143.927097980471</v>
      </c>
      <c r="AG28" s="184" cm="1">
        <f t="array" ref="AG28">IFERROR(SUM(_xlfn._xlws.FILTER(_xlfn._xlws.FILTER(dataSummaryPL,(dataSummaryPLSummarys=$D28)*(dataSummaryPLSections=$E28)),(startDates&gt;=AG$7)*(endDates&lt;=AG$8))),0)</f>
        <v>33729.76745333791</v>
      </c>
      <c r="AH28" s="184" cm="1">
        <f t="array" ref="AH28">IFERROR(SUM(_xlfn._xlws.FILTER(_xlfn._xlws.FILTER(dataSummaryPL,(dataSummaryPLSummarys=$D28)*(dataSummaryPLSections=$E28)),(startDates&gt;=AH$7)*(endDates&lt;=AH$8))),0)</f>
        <v>35128.349831963307</v>
      </c>
      <c r="AI28" s="184" cm="1">
        <f t="array" ref="AI28">IFERROR(SUM(_xlfn._xlws.FILTER(_xlfn._xlws.FILTER(dataSummaryPL,(dataSummaryPLSummarys=$D28)*(dataSummaryPLSections=$E28)),(startDates&gt;=AI$7)*(endDates&lt;=AI$8))),0)</f>
        <v>36635.514953370483</v>
      </c>
      <c r="AL28" s="184" cm="1">
        <f t="array" ref="AL28">IFERROR(SUM(_xlfn._xlws.FILTER(_xlfn._xlws.FILTER(dataSummaryPL,(dataSummaryPLSummarys=$D28)*(dataSummaryPLSections=$E28)),(startDates&gt;=AL$7)*(endDates&lt;=AL$8))),0)</f>
        <v>1700</v>
      </c>
      <c r="AM28" s="184" cm="1">
        <f t="array" ref="AM28">IFERROR(SUM(_xlfn._xlws.FILTER(_xlfn._xlws.FILTER(dataSummaryPL,(dataSummaryPLSummarys=$D28)*(dataSummaryPLSections=$E28)),(startDates&gt;=AM$7)*(endDates&lt;=AM$8))),0)</f>
        <v>1760</v>
      </c>
      <c r="AN28" s="184" cm="1">
        <f t="array" ref="AN28">IFERROR(SUM(_xlfn._xlws.FILTER(_xlfn._xlws.FILTER(dataSummaryPL,(dataSummaryPLSummarys=$D28)*(dataSummaryPLSections=$E28)),(startDates&gt;=AN$7)*(endDates&lt;=AN$8))),0)</f>
        <v>1822</v>
      </c>
      <c r="AO28" s="184" cm="1">
        <f t="array" ref="AO28">IFERROR(SUM(_xlfn._xlws.FILTER(_xlfn._xlws.FILTER(dataSummaryPL,(dataSummaryPLSummarys=$D28)*(dataSummaryPLSections=$E28)),(startDates&gt;=AO$7)*(endDates&lt;=AO$8))),0)</f>
        <v>1884</v>
      </c>
      <c r="AP28" s="184" cm="1">
        <f t="array" ref="AP28">IFERROR(SUM(_xlfn._xlws.FILTER(_xlfn._xlws.FILTER(dataSummaryPL,(dataSummaryPLSummarys=$D28)*(dataSummaryPLSections=$E28)),(startDates&gt;=AP$7)*(endDates&lt;=AP$8))),0)</f>
        <v>1951</v>
      </c>
      <c r="AQ28" s="184" cm="1">
        <f t="array" ref="AQ28">IFERROR(SUM(_xlfn._xlws.FILTER(_xlfn._xlws.FILTER(dataSummaryPL,(dataSummaryPLSummarys=$D28)*(dataSummaryPLSections=$E28)),(startDates&gt;=AQ$7)*(endDates&lt;=AQ$8))),0)</f>
        <v>2020</v>
      </c>
      <c r="AR28" s="184" cm="1">
        <f t="array" ref="AR28">IFERROR(SUM(_xlfn._xlws.FILTER(_xlfn._xlws.FILTER(dataSummaryPL,(dataSummaryPLSummarys=$D28)*(dataSummaryPLSections=$E28)),(startDates&gt;=AR$7)*(endDates&lt;=AR$8))),0)</f>
        <v>2090</v>
      </c>
      <c r="AS28" s="184" cm="1">
        <f t="array" ref="AS28">IFERROR(SUM(_xlfn._xlws.FILTER(_xlfn._xlws.FILTER(dataSummaryPL,(dataSummaryPLSummarys=$D28)*(dataSummaryPLSections=$E28)),(startDates&gt;=AS$7)*(endDates&lt;=AS$8))),0)</f>
        <v>2162</v>
      </c>
      <c r="AT28" s="184" cm="1">
        <f t="array" ref="AT28">IFERROR(SUM(_xlfn._xlws.FILTER(_xlfn._xlws.FILTER(dataSummaryPL,(dataSummaryPLSummarys=$D28)*(dataSummaryPLSections=$E28)),(startDates&gt;=AT$7)*(endDates&lt;=AT$8))),0)</f>
        <v>2238</v>
      </c>
      <c r="AU28" s="184" cm="1">
        <f t="array" ref="AU28">IFERROR(SUM(_xlfn._xlws.FILTER(_xlfn._xlws.FILTER(dataSummaryPL,(dataSummaryPLSummarys=$D28)*(dataSummaryPLSections=$E28)),(startDates&gt;=AU$7)*(endDates&lt;=AU$8))),0)</f>
        <v>2317</v>
      </c>
      <c r="AV28" s="184" cm="1">
        <f t="array" ref="AV28">IFERROR(SUM(_xlfn._xlws.FILTER(_xlfn._xlws.FILTER(dataSummaryPL,(dataSummaryPLSummarys=$D28)*(dataSummaryPLSections=$E28)),(startDates&gt;=AV$7)*(endDates&lt;=AV$8))),0)</f>
        <v>2887</v>
      </c>
      <c r="AW28" s="184" cm="1">
        <f t="array" ref="AW28">IFERROR(SUM(_xlfn._xlws.FILTER(_xlfn._xlws.FILTER(dataSummaryPL,(dataSummaryPLSummarys=$D28)*(dataSummaryPLSections=$E28)),(startDates&gt;=AW$7)*(endDates&lt;=AW$8))),0)</f>
        <v>4535.5</v>
      </c>
      <c r="AX28" s="184" cm="1">
        <f t="array" ref="AX28">IFERROR(SUM(_xlfn._xlws.FILTER(_xlfn._xlws.FILTER(dataSummaryPL,(dataSummaryPLSummarys=$D28)*(dataSummaryPLSections=$E28)),(startDates&gt;=AX$7)*(endDates&lt;=AX$8))),0)</f>
        <v>3031</v>
      </c>
      <c r="AY28" s="184" cm="1">
        <f t="array" ref="AY28">IFERROR(SUM(_xlfn._xlws.FILTER(_xlfn._xlws.FILTER(dataSummaryPL,(dataSummaryPLSummarys=$D28)*(dataSummaryPLSections=$E28)),(startDates&gt;=AY$7)*(endDates&lt;=AY$8))),0)</f>
        <v>4762</v>
      </c>
      <c r="AZ28" s="184" cm="1">
        <f t="array" ref="AZ28">IFERROR(SUM(_xlfn._xlws.FILTER(_xlfn._xlws.FILTER(dataSummaryPL,(dataSummaryPLSummarys=$D28)*(dataSummaryPLSections=$E28)),(startDates&gt;=AZ$7)*(endDates&lt;=AZ$8))),0)</f>
        <v>3183</v>
      </c>
      <c r="BA28" s="184" cm="1">
        <f t="array" ref="BA28">IFERROR(SUM(_xlfn._xlws.FILTER(_xlfn._xlws.FILTER(dataSummaryPL,(dataSummaryPLSummarys=$D28)*(dataSummaryPLSections=$E28)),(startDates&gt;=BA$7)*(endDates&lt;=BA$8))),0)</f>
        <v>5001</v>
      </c>
      <c r="BB28" s="184" cm="1">
        <f t="array" ref="BB28">IFERROR(SUM(_xlfn._xlws.FILTER(_xlfn._xlws.FILTER(dataSummaryPL,(dataSummaryPLSummarys=$D28)*(dataSummaryPLSections=$E28)),(startDates&gt;=BB$7)*(endDates&lt;=BB$8))),0)</f>
        <v>3341</v>
      </c>
      <c r="BC28" s="184" cm="1">
        <f t="array" ref="BC28">IFERROR(SUM(_xlfn._xlws.FILTER(_xlfn._xlws.FILTER(dataSummaryPL,(dataSummaryPLSummarys=$D28)*(dataSummaryPLSections=$E28)),(startDates&gt;=BC$7)*(endDates&lt;=BC$8))),0)</f>
        <v>5251</v>
      </c>
      <c r="BD28" s="184" cm="1">
        <f t="array" ref="BD28">IFERROR(SUM(_xlfn._xlws.FILTER(_xlfn._xlws.FILTER(dataSummaryPL,(dataSummaryPLSummarys=$D28)*(dataSummaryPLSections=$E28)),(startDates&gt;=BD$7)*(endDates&lt;=BD$8))),0)</f>
        <v>5514</v>
      </c>
      <c r="BE28" s="184" cm="1">
        <f t="array" ref="BE28">IFERROR(SUM(_xlfn._xlws.FILTER(_xlfn._xlws.FILTER(dataSummaryPL,(dataSummaryPLSummarys=$D28)*(dataSummaryPLSections=$E28)),(startDates&gt;=BE$7)*(endDates&lt;=BE$8))),0)</f>
        <v>5514</v>
      </c>
      <c r="BF28" s="184" cm="1">
        <f t="array" ref="BF28">IFERROR(SUM(_xlfn._xlws.FILTER(_xlfn._xlws.FILTER(dataSummaryPL,(dataSummaryPLSummarys=$D28)*(dataSummaryPLSections=$E28)),(startDates&gt;=BF$7)*(endDates&lt;=BF$8))),0)</f>
        <v>5789</v>
      </c>
      <c r="BG28" s="184" cm="1">
        <f t="array" ref="BG28">IFERROR(SUM(_xlfn._xlws.FILTER(_xlfn._xlws.FILTER(dataSummaryPL,(dataSummaryPLSummarys=$D28)*(dataSummaryPLSections=$E28)),(startDates&gt;=BG$7)*(endDates&lt;=BG$8))),0)</f>
        <v>5789</v>
      </c>
      <c r="BH28" s="184" cm="1">
        <f t="array" ref="BH28">IFERROR(SUM(_xlfn._xlws.FILTER(_xlfn._xlws.FILTER(dataSummaryPL,(dataSummaryPLSummarys=$D28)*(dataSummaryPLSections=$E28)),(startDates&gt;=BH$7)*(endDates&lt;=BH$8))),0)</f>
        <v>6078</v>
      </c>
      <c r="BI28" s="184" cm="1">
        <f t="array" ref="BI28">IFERROR(SUM(_xlfn._xlws.FILTER(_xlfn._xlws.FILTER(dataSummaryPL,(dataSummaryPLSummarys=$D28)*(dataSummaryPLSections=$E28)),(startDates&gt;=BI$7)*(endDates&lt;=BI$8))),0)</f>
        <v>6383</v>
      </c>
      <c r="BJ28" s="184" cm="1">
        <f t="array" ref="BJ28">IFERROR(SUM(_xlfn._xlws.FILTER(_xlfn._xlws.FILTER(dataSummaryPL,(dataSummaryPLSummarys=$D28)*(dataSummaryPLSections=$E28)),(startDates&gt;=BJ$7)*(endDates&lt;=BJ$8))),0)</f>
        <v>6701.46</v>
      </c>
      <c r="BK28" s="184" cm="1">
        <f t="array" ref="BK28">IFERROR(SUM(_xlfn._xlws.FILTER(_xlfn._xlws.FILTER(dataSummaryPL,(dataSummaryPLSummarys=$D28)*(dataSummaryPLSections=$E28)),(startDates&gt;=BK$7)*(endDates&lt;=BK$8))),0)</f>
        <v>7036</v>
      </c>
      <c r="BL28" s="184" cm="1">
        <f t="array" ref="BL28">IFERROR(SUM(_xlfn._xlws.FILTER(_xlfn._xlws.FILTER(dataSummaryPL,(dataSummaryPLSummarys=$D28)*(dataSummaryPLSections=$E28)),(startDates&gt;=BL$7)*(endDates&lt;=BL$8))),0)</f>
        <v>7388</v>
      </c>
      <c r="BM28" s="184" cm="1">
        <f t="array" ref="BM28">IFERROR(SUM(_xlfn._xlws.FILTER(_xlfn._xlws.FILTER(dataSummaryPL,(dataSummaryPLSummarys=$D28)*(dataSummaryPLSections=$E28)),(startDates&gt;=BM$7)*(endDates&lt;=BM$8))),0)</f>
        <v>7758</v>
      </c>
      <c r="BN28" s="184" cm="1">
        <f t="array" ref="BN28">IFERROR(SUM(_xlfn._xlws.FILTER(_xlfn._xlws.FILTER(dataSummaryPL,(dataSummaryPLSummarys=$D28)*(dataSummaryPLSections=$E28)),(startDates&gt;=BN$7)*(endDates&lt;=BN$8))),0)</f>
        <v>8146</v>
      </c>
      <c r="BO28" s="184" cm="1">
        <f t="array" ref="BO28">IFERROR(SUM(_xlfn._xlws.FILTER(_xlfn._xlws.FILTER(dataSummaryPL,(dataSummaryPLSummarys=$D28)*(dataSummaryPLSections=$E28)),(startDates&gt;=BO$7)*(endDates&lt;=BO$8))),0)</f>
        <v>8552.9000000000015</v>
      </c>
      <c r="BP28" s="184" cm="1">
        <f t="array" ref="BP28">IFERROR(SUM(_xlfn._xlws.FILTER(_xlfn._xlws.FILTER(dataSummaryPL,(dataSummaryPLSummarys=$D28)*(dataSummaryPLSections=$E28)),(startDates&gt;=BP$7)*(endDates&lt;=BP$8))),0)</f>
        <v>8980.5999999999985</v>
      </c>
      <c r="BQ28" s="184" cm="1">
        <f t="array" ref="BQ28">IFERROR(SUM(_xlfn._xlws.FILTER(_xlfn._xlws.FILTER(dataSummaryPL,(dataSummaryPLSummarys=$D28)*(dataSummaryPLSections=$E28)),(startDates&gt;=BQ$7)*(endDates&lt;=BQ$8))),0)</f>
        <v>9429.6500000000015</v>
      </c>
      <c r="BR28" s="184" cm="1">
        <f t="array" ref="BR28">IFERROR(SUM(_xlfn._xlws.FILTER(_xlfn._xlws.FILTER(dataSummaryPL,(dataSummaryPLSummarys=$D28)*(dataSummaryPLSections=$E28)),(startDates&gt;=BR$7)*(endDates&lt;=BR$8))),0)</f>
        <v>9901.11</v>
      </c>
      <c r="BS28" s="184" cm="1">
        <f t="array" ref="BS28">IFERROR(SUM(_xlfn._xlws.FILTER(_xlfn._xlws.FILTER(dataSummaryPL,(dataSummaryPLSummarys=$D28)*(dataSummaryPLSections=$E28)),(startDates&gt;=BS$7)*(endDates&lt;=BS$8))),0)</f>
        <v>10396.18</v>
      </c>
      <c r="BT28" s="184" cm="1">
        <f t="array" ref="BT28">IFERROR(SUM(_xlfn._xlws.FILTER(_xlfn._xlws.FILTER(dataSummaryPL,(dataSummaryPLSummarys=$D28)*(dataSummaryPLSections=$E28)),(startDates&gt;=BT$7)*(endDates&lt;=BT$8))),0)</f>
        <v>10915.99</v>
      </c>
      <c r="BU28" s="184" cm="1">
        <f t="array" ref="BU28">IFERROR(SUM(_xlfn._xlws.FILTER(_xlfn._xlws.FILTER(dataSummaryPL,(dataSummaryPLSummarys=$D28)*(dataSummaryPLSections=$E28)),(startDates&gt;=BU$7)*(endDates&lt;=BU$8))),0)</f>
        <v>10180.875249999999</v>
      </c>
      <c r="BV28" s="184" cm="1">
        <f t="array" ref="BV28">IFERROR(SUM(_xlfn._xlws.FILTER(_xlfn._xlws.FILTER(dataSummaryPL,(dataSummaryPLSummarys=$D28)*(dataSummaryPLSections=$E28)),(startDates&gt;=BV$7)*(endDates&lt;=BV$8))),0)</f>
        <v>10465.770918750002</v>
      </c>
      <c r="BW28" s="184" cm="1">
        <f t="array" ref="BW28">IFERROR(SUM(_xlfn._xlws.FILTER(_xlfn._xlws.FILTER(dataSummaryPL,(dataSummaryPLSummarys=$D28)*(dataSummaryPLSections=$E28)),(startDates&gt;=BW$7)*(endDates&lt;=BW$8))),0)</f>
        <v>10725.675829531252</v>
      </c>
      <c r="BX28" s="184" cm="1">
        <f t="array" ref="BX28">IFERROR(SUM(_xlfn._xlws.FILTER(_xlfn._xlws.FILTER(dataSummaryPL,(dataSummaryPLSummarys=$D28)*(dataSummaryPLSections=$E28)),(startDates&gt;=BX$7)*(endDates&lt;=BX$8))),0)</f>
        <v>10952.480349699219</v>
      </c>
      <c r="BY28" s="184" cm="1">
        <f t="array" ref="BY28">IFERROR(SUM(_xlfn._xlws.FILTER(_xlfn._xlws.FILTER(dataSummaryPL,(dataSummaryPLSummarys=$D28)*(dataSummaryPLSections=$E28)),(startDates&gt;=BY$7)*(endDates&lt;=BY$8))),0)</f>
        <v>11136.470160896584</v>
      </c>
      <c r="BZ28" s="184" cm="1">
        <f t="array" ref="BZ28">IFERROR(SUM(_xlfn._xlws.FILTER(_xlfn._xlws.FILTER(dataSummaryPL,(dataSummaryPLSummarys=$D28)*(dataSummaryPLSections=$E28)),(startDates&gt;=BZ$7)*(endDates&lt;=BZ$8))),0)</f>
        <v>11266.020939053484</v>
      </c>
      <c r="CA28" s="184" cm="1">
        <f t="array" ref="CA28">IFERROR(SUM(_xlfn._xlws.FILTER(_xlfn._xlws.FILTER(dataSummaryPL,(dataSummaryPLSummarys=$D28)*(dataSummaryPLSections=$E28)),(startDates&gt;=CA$7)*(endDates&lt;=CA$8))),0)</f>
        <v>11327.276353387844</v>
      </c>
      <c r="CB28" s="184" cm="1">
        <f t="array" ref="CB28">IFERROR(SUM(_xlfn._xlws.FILTER(_xlfn._xlws.FILTER(dataSummaryPL,(dataSummaryPLSummarys=$D28)*(dataSummaryPLSections=$E28)),(startDates&gt;=CB$7)*(endDates&lt;=CB$8))),0)</f>
        <v>11527.896546480717</v>
      </c>
      <c r="CC28" s="184" cm="1">
        <f t="array" ref="CC28">IFERROR(SUM(_xlfn._xlws.FILTER(_xlfn._xlws.FILTER(dataSummaryPL,(dataSummaryPLSummarys=$D28)*(dataSummaryPLSections=$E28)),(startDates&gt;=CC$7)*(endDates&lt;=CC$8))),0)</f>
        <v>11713.768531333593</v>
      </c>
      <c r="CD28" s="184" cm="1">
        <f t="array" ref="CD28">IFERROR(SUM(_xlfn._xlws.FILTER(_xlfn._xlws.FILTER(dataSummaryPL,(dataSummaryPLSummarys=$D28)*(dataSummaryPLSections=$E28)),(startDates&gt;=CD$7)*(endDates&lt;=CD$8))),0)</f>
        <v>11886.684754149002</v>
      </c>
      <c r="CE28" s="184" cm="1">
        <f t="array" ref="CE28">IFERROR(SUM(_xlfn._xlws.FILTER(_xlfn._xlws.FILTER(dataSummaryPL,(dataSummaryPLSummarys=$D28)*(dataSummaryPLSections=$E28)),(startDates&gt;=CE$7)*(endDates&lt;=CE$8))),0)</f>
        <v>12050.170524927715</v>
      </c>
      <c r="CF28" s="184" cm="1">
        <f t="array" ref="CF28">IFERROR(SUM(_xlfn._xlws.FILTER(_xlfn._xlws.FILTER(dataSummaryPL,(dataSummaryPLSummarys=$D28)*(dataSummaryPLSections=$E28)),(startDates&gt;=CF$7)*(endDates&lt;=CF$8))),0)</f>
        <v>12210.068088633165</v>
      </c>
      <c r="CG28" s="184" cm="1">
        <f t="array" ref="CG28">IFERROR(SUM(_xlfn._xlws.FILTER(_xlfn._xlws.FILTER(dataSummaryPL,(dataSummaryPLSummarys=$D28)*(dataSummaryPLSections=$E28)),(startDates&gt;=CG$7)*(endDates&lt;=CG$8))),0)</f>
        <v>12375.276339809607</v>
      </c>
    </row>
    <row r="29" spans="1:85"/>
    <row r="30" spans="1:85" s="157" customFormat="1" ht="15.75">
      <c r="A30" s="148"/>
      <c r="B30" s="148"/>
      <c r="C30" s="160" t="s">
        <v>128</v>
      </c>
      <c r="D30" s="160"/>
      <c r="E30" s="161"/>
      <c r="F30" s="160"/>
      <c r="G30" s="160"/>
      <c r="J30" s="158">
        <f>J20-J23</f>
        <v>-2105398.0700000003</v>
      </c>
      <c r="K30" s="158">
        <f>K20-K23</f>
        <v>-2249891.5700000003</v>
      </c>
      <c r="N30" s="158">
        <f>N20-N23</f>
        <v>-582681.5</v>
      </c>
      <c r="O30" s="158">
        <f>O20-O23</f>
        <v>-1295531</v>
      </c>
      <c r="P30" s="158">
        <f>P20-P23</f>
        <v>-2364723.3476060615</v>
      </c>
      <c r="Q30" s="158">
        <f>Q20-Q23</f>
        <v>-2513632.6362585793</v>
      </c>
      <c r="R30" s="159"/>
      <c r="S30" s="159"/>
      <c r="T30" s="158">
        <f t="shared" ref="T30:AI30" si="23">T20-T23</f>
        <v>-126765</v>
      </c>
      <c r="U30" s="158">
        <f t="shared" si="23"/>
        <v>-129824.5</v>
      </c>
      <c r="V30" s="158">
        <f t="shared" si="23"/>
        <v>-131034.5</v>
      </c>
      <c r="W30" s="158">
        <f t="shared" si="23"/>
        <v>-195057.5</v>
      </c>
      <c r="X30" s="158">
        <f t="shared" si="23"/>
        <v>-213006.5</v>
      </c>
      <c r="Y30" s="158">
        <f t="shared" si="23"/>
        <v>-288657</v>
      </c>
      <c r="Z30" s="158">
        <f t="shared" si="23"/>
        <v>-380699</v>
      </c>
      <c r="AA30" s="158">
        <f t="shared" si="23"/>
        <v>-413168.50000000012</v>
      </c>
      <c r="AB30" s="158">
        <f t="shared" si="23"/>
        <v>-478295.48999999993</v>
      </c>
      <c r="AC30" s="158">
        <f t="shared" si="23"/>
        <v>-546288.79000000015</v>
      </c>
      <c r="AD30" s="158">
        <f t="shared" si="23"/>
        <v>-617761.99</v>
      </c>
      <c r="AE30" s="158">
        <f t="shared" si="23"/>
        <v>-722377.07760606054</v>
      </c>
      <c r="AF30" s="158">
        <f t="shared" si="23"/>
        <v>-541566.34537621879</v>
      </c>
      <c r="AG30" s="158">
        <f t="shared" si="23"/>
        <v>-611583.32489494898</v>
      </c>
      <c r="AH30" s="158">
        <f t="shared" si="23"/>
        <v>-657293.09058502072</v>
      </c>
      <c r="AI30" s="158">
        <f t="shared" si="23"/>
        <v>-703189.87540239072</v>
      </c>
      <c r="AJ30" s="159"/>
      <c r="AK30" s="159"/>
      <c r="AL30" s="158">
        <f t="shared" ref="AL30:CG30" si="24">AL20-AL23</f>
        <v>-41830</v>
      </c>
      <c r="AM30" s="158">
        <f t="shared" si="24"/>
        <v>-42270</v>
      </c>
      <c r="AN30" s="158">
        <f t="shared" si="24"/>
        <v>-42665</v>
      </c>
      <c r="AO30" s="158">
        <f t="shared" si="24"/>
        <v>-43009.5</v>
      </c>
      <c r="AP30" s="158">
        <f t="shared" si="24"/>
        <v>-43297</v>
      </c>
      <c r="AQ30" s="158">
        <f t="shared" si="24"/>
        <v>-43518</v>
      </c>
      <c r="AR30" s="158">
        <f t="shared" si="24"/>
        <v>-43658</v>
      </c>
      <c r="AS30" s="158">
        <f t="shared" si="24"/>
        <v>-43712.5</v>
      </c>
      <c r="AT30" s="158">
        <f t="shared" si="24"/>
        <v>-43664</v>
      </c>
      <c r="AU30" s="158">
        <f t="shared" si="24"/>
        <v>-43503</v>
      </c>
      <c r="AV30" s="158">
        <f t="shared" si="24"/>
        <v>-48865</v>
      </c>
      <c r="AW30" s="158">
        <f t="shared" si="24"/>
        <v>-102689.5</v>
      </c>
      <c r="AX30" s="158">
        <f t="shared" si="24"/>
        <v>-51309</v>
      </c>
      <c r="AY30" s="158">
        <f t="shared" si="24"/>
        <v>-107824</v>
      </c>
      <c r="AZ30" s="158">
        <f t="shared" si="24"/>
        <v>-53873.5</v>
      </c>
      <c r="BA30" s="158">
        <f t="shared" si="24"/>
        <v>-113214.5</v>
      </c>
      <c r="BB30" s="158">
        <f t="shared" si="24"/>
        <v>-56566.5</v>
      </c>
      <c r="BC30" s="158">
        <f t="shared" si="24"/>
        <v>-118876</v>
      </c>
      <c r="BD30" s="158">
        <f t="shared" si="24"/>
        <v>-124820</v>
      </c>
      <c r="BE30" s="158">
        <f t="shared" si="24"/>
        <v>-124819</v>
      </c>
      <c r="BF30" s="158">
        <f t="shared" si="24"/>
        <v>-131060</v>
      </c>
      <c r="BG30" s="158">
        <f t="shared" si="24"/>
        <v>-131060.99999999999</v>
      </c>
      <c r="BH30" s="158">
        <f t="shared" si="24"/>
        <v>-137614</v>
      </c>
      <c r="BI30" s="158">
        <f t="shared" si="24"/>
        <v>-144493.5</v>
      </c>
      <c r="BJ30" s="158">
        <f t="shared" si="24"/>
        <v>-151719.49</v>
      </c>
      <c r="BK30" s="158">
        <f t="shared" si="24"/>
        <v>-159305</v>
      </c>
      <c r="BL30" s="158">
        <f t="shared" si="24"/>
        <v>-167271</v>
      </c>
      <c r="BM30" s="158">
        <f t="shared" si="24"/>
        <v>-175634</v>
      </c>
      <c r="BN30" s="158">
        <f t="shared" si="24"/>
        <v>-184418</v>
      </c>
      <c r="BO30" s="158">
        <f t="shared" si="24"/>
        <v>-186236.79000000004</v>
      </c>
      <c r="BP30" s="158">
        <f t="shared" si="24"/>
        <v>-197618.62999999995</v>
      </c>
      <c r="BQ30" s="158">
        <f t="shared" si="24"/>
        <v>-213984.57</v>
      </c>
      <c r="BR30" s="158">
        <f t="shared" si="24"/>
        <v>-206158.78999999998</v>
      </c>
      <c r="BS30" s="158">
        <f t="shared" si="24"/>
        <v>-225366.72999999998</v>
      </c>
      <c r="BT30" s="158">
        <f t="shared" si="24"/>
        <v>-237685.06999999992</v>
      </c>
      <c r="BU30" s="158">
        <f t="shared" si="24"/>
        <v>-259325.27760606061</v>
      </c>
      <c r="BV30" s="158">
        <f t="shared" si="24"/>
        <v>-202313.27415595733</v>
      </c>
      <c r="BW30" s="158">
        <f t="shared" si="24"/>
        <v>-167373.95085138388</v>
      </c>
      <c r="BX30" s="158">
        <f t="shared" si="24"/>
        <v>-171879.12036887748</v>
      </c>
      <c r="BY30" s="158">
        <f t="shared" si="24"/>
        <v>-200327.66053218342</v>
      </c>
      <c r="BZ30" s="158">
        <f t="shared" si="24"/>
        <v>-203162.1282126609</v>
      </c>
      <c r="CA30" s="158">
        <f t="shared" si="24"/>
        <v>-208093.5361501048</v>
      </c>
      <c r="CB30" s="158">
        <f t="shared" si="24"/>
        <v>-215570.56091791115</v>
      </c>
      <c r="CC30" s="158">
        <f t="shared" si="24"/>
        <v>-219183.00733661483</v>
      </c>
      <c r="CD30" s="158">
        <f t="shared" si="24"/>
        <v>-222539.52233049471</v>
      </c>
      <c r="CE30" s="158">
        <f t="shared" si="24"/>
        <v>-225692.24241700699</v>
      </c>
      <c r="CF30" s="158">
        <f t="shared" si="24"/>
        <v>-228726.29564700992</v>
      </c>
      <c r="CG30" s="158">
        <f t="shared" si="24"/>
        <v>-248771.33733837394</v>
      </c>
    </row>
    <row r="31" spans="1:85" s="186" customFormat="1" outlineLevel="2">
      <c r="A31" s="148"/>
      <c r="B31" s="148"/>
      <c r="C31" s="188" t="s">
        <v>169</v>
      </c>
      <c r="D31" s="188"/>
      <c r="E31" s="189"/>
      <c r="F31" s="188"/>
      <c r="G31" s="188"/>
      <c r="J31" s="187">
        <f>IFERROR(J30/J$13,0)</f>
        <v>-2.3437685677926723</v>
      </c>
      <c r="K31" s="187">
        <f>IFERROR(K30/K$13,0)</f>
        <v>-2.3569438167396881</v>
      </c>
      <c r="N31" s="187">
        <f>IFERROR(N30/N$13,0)</f>
        <v>-2.3732257263067003</v>
      </c>
      <c r="O31" s="187">
        <f>IFERROR(O30/O$13,0)</f>
        <v>-2.1795792360299129</v>
      </c>
      <c r="P31" s="187">
        <f>IFERROR(P30/P$13,0)</f>
        <v>-2.508364258294745</v>
      </c>
      <c r="Q31" s="187">
        <f>IFERROR(Q30/Q$13,0)</f>
        <v>-1.7319501374372457</v>
      </c>
      <c r="T31" s="187">
        <f t="shared" ref="T31:AI31" si="25">IFERROR(T30/T$13,0)</f>
        <v>-3.8297583081570998</v>
      </c>
      <c r="U31" s="187">
        <f t="shared" si="25"/>
        <v>-2.9468063373887778</v>
      </c>
      <c r="V31" s="187">
        <f t="shared" si="25"/>
        <v>-2.234596428997766</v>
      </c>
      <c r="W31" s="187">
        <f t="shared" si="25"/>
        <v>-1.7776456328375621</v>
      </c>
      <c r="X31" s="187">
        <f t="shared" si="25"/>
        <v>-1.5070930265466689</v>
      </c>
      <c r="Y31" s="187">
        <f t="shared" si="25"/>
        <v>-2.0069457480758399</v>
      </c>
      <c r="Z31" s="187">
        <f t="shared" si="25"/>
        <v>-2.5672427861434612</v>
      </c>
      <c r="AA31" s="187">
        <f t="shared" si="25"/>
        <v>-2.5672366548816639</v>
      </c>
      <c r="AB31" s="187">
        <f t="shared" si="25"/>
        <v>-2.5672407650116829</v>
      </c>
      <c r="AC31" s="187">
        <f t="shared" si="25"/>
        <v>-2.4347244468687705</v>
      </c>
      <c r="AD31" s="187">
        <f t="shared" si="25"/>
        <v>-2.2532130047933507</v>
      </c>
      <c r="AE31" s="187">
        <f t="shared" si="25"/>
        <v>-2.801163353150351</v>
      </c>
      <c r="AF31" s="187">
        <f t="shared" si="25"/>
        <v>-1.6247762129987737</v>
      </c>
      <c r="AG31" s="187">
        <f t="shared" si="25"/>
        <v>-1.6382390991446931</v>
      </c>
      <c r="AH31" s="187">
        <f t="shared" si="25"/>
        <v>-1.7606811643842593</v>
      </c>
      <c r="AI31" s="187">
        <f t="shared" si="25"/>
        <v>-1.8934596132489976</v>
      </c>
      <c r="AL31" s="187">
        <f t="shared" ref="AL31:CG31" si="26">IFERROR(AL30/AL$13,0)</f>
        <v>-4.1829999999999998</v>
      </c>
      <c r="AM31" s="187">
        <f t="shared" si="26"/>
        <v>-3.8427272727272728</v>
      </c>
      <c r="AN31" s="187">
        <f t="shared" si="26"/>
        <v>-3.5260330578512398</v>
      </c>
      <c r="AO31" s="187">
        <f t="shared" si="26"/>
        <v>-3.2313673929376407</v>
      </c>
      <c r="AP31" s="187">
        <f t="shared" si="26"/>
        <v>-2.9572433576941464</v>
      </c>
      <c r="AQ31" s="187">
        <f t="shared" si="26"/>
        <v>-2.7021421918658803</v>
      </c>
      <c r="AR31" s="187">
        <f t="shared" si="26"/>
        <v>-2.4643260329645518</v>
      </c>
      <c r="AS31" s="187">
        <f t="shared" si="26"/>
        <v>-2.2431621080720481</v>
      </c>
      <c r="AT31" s="187">
        <f t="shared" si="26"/>
        <v>-2.0369471916402313</v>
      </c>
      <c r="AU31" s="187">
        <f t="shared" si="26"/>
        <v>-1.8449891852919971</v>
      </c>
      <c r="AV31" s="187">
        <f t="shared" si="26"/>
        <v>-1.0588528462155193</v>
      </c>
      <c r="AW31" s="187">
        <f t="shared" si="26"/>
        <v>-2.5672375000000001</v>
      </c>
      <c r="AX31" s="187">
        <f t="shared" si="26"/>
        <v>-1.0588672314343792</v>
      </c>
      <c r="AY31" s="187">
        <f t="shared" si="26"/>
        <v>-2.5672380952380953</v>
      </c>
      <c r="AZ31" s="187">
        <f t="shared" si="26"/>
        <v>-1.0588449178942403</v>
      </c>
      <c r="BA31" s="187">
        <f t="shared" si="26"/>
        <v>-2.5672222222222221</v>
      </c>
      <c r="BB31" s="187">
        <f t="shared" si="26"/>
        <v>-1.058821877807727</v>
      </c>
      <c r="BC31" s="187">
        <f t="shared" si="26"/>
        <v>-2.5672389590756937</v>
      </c>
      <c r="BD31" s="187">
        <f t="shared" si="26"/>
        <v>-2.5672562731386259</v>
      </c>
      <c r="BE31" s="187">
        <f t="shared" si="26"/>
        <v>-2.5672357054709996</v>
      </c>
      <c r="BF31" s="187">
        <f t="shared" si="26"/>
        <v>-2.5672366848837438</v>
      </c>
      <c r="BG31" s="187">
        <f t="shared" si="26"/>
        <v>-2.5672562731386259</v>
      </c>
      <c r="BH31" s="187">
        <f t="shared" si="26"/>
        <v>-2.5672337885232444</v>
      </c>
      <c r="BI31" s="187">
        <f t="shared" si="26"/>
        <v>-2.5672215905052944</v>
      </c>
      <c r="BJ31" s="187">
        <f t="shared" si="26"/>
        <v>-2.5672429728001958</v>
      </c>
      <c r="BK31" s="187">
        <f t="shared" si="26"/>
        <v>-2.5672409069666253</v>
      </c>
      <c r="BL31" s="187">
        <f t="shared" si="26"/>
        <v>-2.5672386272944934</v>
      </c>
      <c r="BM31" s="187">
        <f t="shared" si="26"/>
        <v>-2.5672230829947087</v>
      </c>
      <c r="BN31" s="187">
        <f t="shared" si="26"/>
        <v>-2.5672801180499487</v>
      </c>
      <c r="BO31" s="187">
        <f t="shared" si="26"/>
        <v>-2.2137847563600164</v>
      </c>
      <c r="BP31" s="187">
        <f t="shared" si="26"/>
        <v>-2.3060087335347705</v>
      </c>
      <c r="BQ31" s="187">
        <f t="shared" si="26"/>
        <v>-2.5732558350679011</v>
      </c>
      <c r="BR31" s="187">
        <f t="shared" si="26"/>
        <v>-1.957544786126342</v>
      </c>
      <c r="BS31" s="187">
        <f t="shared" si="26"/>
        <v>-2.2164153424154214</v>
      </c>
      <c r="BT31" s="187">
        <f t="shared" si="26"/>
        <v>-2.1266546694454784</v>
      </c>
      <c r="BU31" s="187">
        <f t="shared" si="26"/>
        <v>-5.8355117131523011</v>
      </c>
      <c r="BV31" s="187">
        <f t="shared" si="26"/>
        <v>-2.3959648364912489</v>
      </c>
      <c r="BW31" s="187">
        <f t="shared" si="26"/>
        <v>-1.345026291438659</v>
      </c>
      <c r="BX31" s="187">
        <f t="shared" si="26"/>
        <v>-1.381230081918561</v>
      </c>
      <c r="BY31" s="187">
        <f t="shared" si="26"/>
        <v>-1.6098441182011296</v>
      </c>
      <c r="BZ31" s="187">
        <f t="shared" si="26"/>
        <v>-1.6326220566621781</v>
      </c>
      <c r="CA31" s="187">
        <f t="shared" si="26"/>
        <v>-1.6722511225707726</v>
      </c>
      <c r="CB31" s="187">
        <f t="shared" si="26"/>
        <v>-1.73233690559305</v>
      </c>
      <c r="CC31" s="187">
        <f t="shared" si="26"/>
        <v>-1.7613667240615414</v>
      </c>
      <c r="CD31" s="187">
        <f t="shared" si="26"/>
        <v>-1.7883398634981862</v>
      </c>
      <c r="CE31" s="187">
        <f t="shared" si="26"/>
        <v>-1.8136752958300131</v>
      </c>
      <c r="CF31" s="187">
        <f t="shared" si="26"/>
        <v>-1.8380571147643219</v>
      </c>
      <c r="CG31" s="187">
        <f t="shared" si="26"/>
        <v>-2.030786427252032</v>
      </c>
    </row>
    <row r="33" spans="1:85" s="157" customFormat="1" ht="15.75" collapsed="1">
      <c r="A33" s="148"/>
      <c r="B33" s="148"/>
      <c r="C33" s="160" t="s">
        <v>130</v>
      </c>
      <c r="D33" s="160"/>
      <c r="E33" s="161"/>
      <c r="F33" s="160"/>
      <c r="G33" s="160"/>
      <c r="J33" s="158">
        <f>SUM(J34:J35)</f>
        <v>0</v>
      </c>
      <c r="K33" s="158">
        <f>SUM(K34:K35)</f>
        <v>0</v>
      </c>
      <c r="N33" s="158">
        <f>SUM(N34:N35)</f>
        <v>0</v>
      </c>
      <c r="O33" s="158">
        <f>SUM(O34:O35)</f>
        <v>0</v>
      </c>
      <c r="P33" s="158">
        <f>SUM(P34:P35)</f>
        <v>0</v>
      </c>
      <c r="Q33" s="158">
        <f>SUM(Q34:Q35)</f>
        <v>0</v>
      </c>
      <c r="R33" s="159"/>
      <c r="S33" s="159"/>
      <c r="T33" s="158">
        <f t="shared" ref="T33:AI33" si="27">SUM(T34:T35)</f>
        <v>0</v>
      </c>
      <c r="U33" s="158">
        <f t="shared" si="27"/>
        <v>0</v>
      </c>
      <c r="V33" s="158">
        <f t="shared" si="27"/>
        <v>0</v>
      </c>
      <c r="W33" s="158">
        <f t="shared" si="27"/>
        <v>0</v>
      </c>
      <c r="X33" s="158">
        <f t="shared" si="27"/>
        <v>0</v>
      </c>
      <c r="Y33" s="158">
        <f t="shared" si="27"/>
        <v>0</v>
      </c>
      <c r="Z33" s="158">
        <f t="shared" si="27"/>
        <v>0</v>
      </c>
      <c r="AA33" s="158">
        <f t="shared" si="27"/>
        <v>0</v>
      </c>
      <c r="AB33" s="158">
        <f t="shared" si="27"/>
        <v>0</v>
      </c>
      <c r="AC33" s="158">
        <f t="shared" si="27"/>
        <v>0</v>
      </c>
      <c r="AD33" s="158">
        <f t="shared" si="27"/>
        <v>0</v>
      </c>
      <c r="AE33" s="158">
        <f t="shared" si="27"/>
        <v>0</v>
      </c>
      <c r="AF33" s="158">
        <f t="shared" si="27"/>
        <v>0</v>
      </c>
      <c r="AG33" s="158">
        <f t="shared" si="27"/>
        <v>0</v>
      </c>
      <c r="AH33" s="158">
        <f t="shared" si="27"/>
        <v>0</v>
      </c>
      <c r="AI33" s="158">
        <f t="shared" si="27"/>
        <v>0</v>
      </c>
      <c r="AJ33" s="159"/>
      <c r="AK33" s="159"/>
      <c r="AL33" s="158">
        <f t="shared" ref="AL33:CG33" si="28">SUM(AL34:AL35)</f>
        <v>0</v>
      </c>
      <c r="AM33" s="158">
        <f t="shared" si="28"/>
        <v>0</v>
      </c>
      <c r="AN33" s="158">
        <f t="shared" si="28"/>
        <v>0</v>
      </c>
      <c r="AO33" s="158">
        <f t="shared" si="28"/>
        <v>0</v>
      </c>
      <c r="AP33" s="158">
        <f t="shared" si="28"/>
        <v>0</v>
      </c>
      <c r="AQ33" s="158">
        <f t="shared" si="28"/>
        <v>0</v>
      </c>
      <c r="AR33" s="158">
        <f t="shared" si="28"/>
        <v>0</v>
      </c>
      <c r="AS33" s="158">
        <f t="shared" si="28"/>
        <v>0</v>
      </c>
      <c r="AT33" s="158">
        <f t="shared" si="28"/>
        <v>0</v>
      </c>
      <c r="AU33" s="158">
        <f t="shared" si="28"/>
        <v>0</v>
      </c>
      <c r="AV33" s="158">
        <f t="shared" si="28"/>
        <v>0</v>
      </c>
      <c r="AW33" s="158">
        <f t="shared" si="28"/>
        <v>0</v>
      </c>
      <c r="AX33" s="158">
        <f t="shared" si="28"/>
        <v>0</v>
      </c>
      <c r="AY33" s="158">
        <f t="shared" si="28"/>
        <v>0</v>
      </c>
      <c r="AZ33" s="158">
        <f t="shared" si="28"/>
        <v>0</v>
      </c>
      <c r="BA33" s="158">
        <f t="shared" si="28"/>
        <v>0</v>
      </c>
      <c r="BB33" s="158">
        <f t="shared" si="28"/>
        <v>0</v>
      </c>
      <c r="BC33" s="158">
        <f t="shared" si="28"/>
        <v>0</v>
      </c>
      <c r="BD33" s="158">
        <f t="shared" si="28"/>
        <v>0</v>
      </c>
      <c r="BE33" s="158">
        <f t="shared" si="28"/>
        <v>0</v>
      </c>
      <c r="BF33" s="158">
        <f t="shared" si="28"/>
        <v>0</v>
      </c>
      <c r="BG33" s="158">
        <f t="shared" si="28"/>
        <v>0</v>
      </c>
      <c r="BH33" s="158">
        <f t="shared" si="28"/>
        <v>0</v>
      </c>
      <c r="BI33" s="158">
        <f t="shared" si="28"/>
        <v>0</v>
      </c>
      <c r="BJ33" s="158">
        <f t="shared" si="28"/>
        <v>0</v>
      </c>
      <c r="BK33" s="158">
        <f t="shared" si="28"/>
        <v>0</v>
      </c>
      <c r="BL33" s="158">
        <f t="shared" si="28"/>
        <v>0</v>
      </c>
      <c r="BM33" s="158">
        <f t="shared" si="28"/>
        <v>0</v>
      </c>
      <c r="BN33" s="158">
        <f t="shared" si="28"/>
        <v>0</v>
      </c>
      <c r="BO33" s="158">
        <f t="shared" si="28"/>
        <v>0</v>
      </c>
      <c r="BP33" s="158">
        <f t="shared" si="28"/>
        <v>0</v>
      </c>
      <c r="BQ33" s="158">
        <f t="shared" si="28"/>
        <v>0</v>
      </c>
      <c r="BR33" s="158">
        <f t="shared" si="28"/>
        <v>0</v>
      </c>
      <c r="BS33" s="158">
        <f t="shared" si="28"/>
        <v>0</v>
      </c>
      <c r="BT33" s="158">
        <f t="shared" si="28"/>
        <v>0</v>
      </c>
      <c r="BU33" s="158">
        <f t="shared" si="28"/>
        <v>0</v>
      </c>
      <c r="BV33" s="158">
        <f t="shared" si="28"/>
        <v>0</v>
      </c>
      <c r="BW33" s="158">
        <f t="shared" si="28"/>
        <v>0</v>
      </c>
      <c r="BX33" s="158">
        <f t="shared" si="28"/>
        <v>0</v>
      </c>
      <c r="BY33" s="158">
        <f t="shared" si="28"/>
        <v>0</v>
      </c>
      <c r="BZ33" s="158">
        <f t="shared" si="28"/>
        <v>0</v>
      </c>
      <c r="CA33" s="158">
        <f t="shared" si="28"/>
        <v>0</v>
      </c>
      <c r="CB33" s="158">
        <f t="shared" si="28"/>
        <v>0</v>
      </c>
      <c r="CC33" s="158">
        <f t="shared" si="28"/>
        <v>0</v>
      </c>
      <c r="CD33" s="158">
        <f t="shared" si="28"/>
        <v>0</v>
      </c>
      <c r="CE33" s="158">
        <f t="shared" si="28"/>
        <v>0</v>
      </c>
      <c r="CF33" s="158">
        <f t="shared" si="28"/>
        <v>0</v>
      </c>
      <c r="CG33" s="158">
        <f t="shared" si="28"/>
        <v>0</v>
      </c>
    </row>
    <row r="34" spans="1:85" hidden="1" outlineLevel="2">
      <c r="C34" s="331" t="s">
        <v>130</v>
      </c>
      <c r="D34" s="163" t="str">
        <f>C34</f>
        <v>Other Income</v>
      </c>
      <c r="E34" s="150" t="s">
        <v>130</v>
      </c>
      <c r="F34" s="163"/>
      <c r="G34" s="163"/>
      <c r="J34" s="184" cm="1">
        <f t="array" ref="J34">IFERROR(SUM(_xlfn._xlws.FILTER(_xlfn._xlws.FILTER(dataSummaryPL,(dataSummaryPLSummarys=$D34)*(dataSummaryPLSections=$E34)),(startDates&gt;=J$7)*(endDates&lt;=J$8))),0)</f>
        <v>0</v>
      </c>
      <c r="K34" s="184" cm="1">
        <f t="array" ref="K34">IFERROR(SUM(_xlfn._xlws.FILTER(_xlfn._xlws.FILTER(dataSummaryPL,(dataSummaryPLSummarys=$D34)*(dataSummaryPLSections=$E34)),(startDates&gt;=K$7)*(endDates&lt;=K$8))),0)</f>
        <v>0</v>
      </c>
      <c r="N34" s="184" cm="1">
        <f t="array" ref="N34">IFERROR(SUM(_xlfn._xlws.FILTER(_xlfn._xlws.FILTER(dataSummaryPL,(dataSummaryPLSummarys=$D34)*(dataSummaryPLSections=$E34)),(startDates&gt;=N$7)*(endDates&lt;=N$8))),0)</f>
        <v>0</v>
      </c>
      <c r="O34" s="184" cm="1">
        <f t="array" ref="O34">IFERROR(SUM(_xlfn._xlws.FILTER(_xlfn._xlws.FILTER(dataSummaryPL,(dataSummaryPLSummarys=$D34)*(dataSummaryPLSections=$E34)),(startDates&gt;=O$7)*(endDates&lt;=O$8))),0)</f>
        <v>0</v>
      </c>
      <c r="P34" s="184" cm="1">
        <f t="array" ref="P34">IFERROR(SUM(_xlfn._xlws.FILTER(_xlfn._xlws.FILTER(dataSummaryPL,(dataSummaryPLSummarys=$D34)*(dataSummaryPLSections=$E34)),(startDates&gt;=P$7)*(endDates&lt;=P$8))),0)</f>
        <v>0</v>
      </c>
      <c r="Q34" s="184" cm="1">
        <f t="array" ref="Q34">IFERROR(SUM(_xlfn._xlws.FILTER(_xlfn._xlws.FILTER(dataSummaryPL,(dataSummaryPLSummarys=$D34)*(dataSummaryPLSections=$E34)),(startDates&gt;=Q$7)*(endDates&lt;=Q$8))),0)</f>
        <v>0</v>
      </c>
      <c r="T34" s="184" cm="1">
        <f t="array" ref="T34">IFERROR(SUM(_xlfn._xlws.FILTER(_xlfn._xlws.FILTER(dataSummaryPL,(dataSummaryPLSummarys=$D34)*(dataSummaryPLSections=$E34)),(startDates&gt;=T$7)*(endDates&lt;=T$8))),0)</f>
        <v>0</v>
      </c>
      <c r="U34" s="184" cm="1">
        <f t="array" ref="U34">IFERROR(SUM(_xlfn._xlws.FILTER(_xlfn._xlws.FILTER(dataSummaryPL,(dataSummaryPLSummarys=$D34)*(dataSummaryPLSections=$E34)),(startDates&gt;=U$7)*(endDates&lt;=U$8))),0)</f>
        <v>0</v>
      </c>
      <c r="V34" s="184" cm="1">
        <f t="array" ref="V34">IFERROR(SUM(_xlfn._xlws.FILTER(_xlfn._xlws.FILTER(dataSummaryPL,(dataSummaryPLSummarys=$D34)*(dataSummaryPLSections=$E34)),(startDates&gt;=V$7)*(endDates&lt;=V$8))),0)</f>
        <v>0</v>
      </c>
      <c r="W34" s="184" cm="1">
        <f t="array" ref="W34">IFERROR(SUM(_xlfn._xlws.FILTER(_xlfn._xlws.FILTER(dataSummaryPL,(dataSummaryPLSummarys=$D34)*(dataSummaryPLSections=$E34)),(startDates&gt;=W$7)*(endDates&lt;=W$8))),0)</f>
        <v>0</v>
      </c>
      <c r="X34" s="184" cm="1">
        <f t="array" ref="X34">IFERROR(SUM(_xlfn._xlws.FILTER(_xlfn._xlws.FILTER(dataSummaryPL,(dataSummaryPLSummarys=$D34)*(dataSummaryPLSections=$E34)),(startDates&gt;=X$7)*(endDates&lt;=X$8))),0)</f>
        <v>0</v>
      </c>
      <c r="Y34" s="184" cm="1">
        <f t="array" ref="Y34">IFERROR(SUM(_xlfn._xlws.FILTER(_xlfn._xlws.FILTER(dataSummaryPL,(dataSummaryPLSummarys=$D34)*(dataSummaryPLSections=$E34)),(startDates&gt;=Y$7)*(endDates&lt;=Y$8))),0)</f>
        <v>0</v>
      </c>
      <c r="Z34" s="184" cm="1">
        <f t="array" ref="Z34">IFERROR(SUM(_xlfn._xlws.FILTER(_xlfn._xlws.FILTER(dataSummaryPL,(dataSummaryPLSummarys=$D34)*(dataSummaryPLSections=$E34)),(startDates&gt;=Z$7)*(endDates&lt;=Z$8))),0)</f>
        <v>0</v>
      </c>
      <c r="AA34" s="184" cm="1">
        <f t="array" ref="AA34">IFERROR(SUM(_xlfn._xlws.FILTER(_xlfn._xlws.FILTER(dataSummaryPL,(dataSummaryPLSummarys=$D34)*(dataSummaryPLSections=$E34)),(startDates&gt;=AA$7)*(endDates&lt;=AA$8))),0)</f>
        <v>0</v>
      </c>
      <c r="AB34" s="184" cm="1">
        <f t="array" ref="AB34">IFERROR(SUM(_xlfn._xlws.FILTER(_xlfn._xlws.FILTER(dataSummaryPL,(dataSummaryPLSummarys=$D34)*(dataSummaryPLSections=$E34)),(startDates&gt;=AB$7)*(endDates&lt;=AB$8))),0)</f>
        <v>0</v>
      </c>
      <c r="AC34" s="184" cm="1">
        <f t="array" ref="AC34">IFERROR(SUM(_xlfn._xlws.FILTER(_xlfn._xlws.FILTER(dataSummaryPL,(dataSummaryPLSummarys=$D34)*(dataSummaryPLSections=$E34)),(startDates&gt;=AC$7)*(endDates&lt;=AC$8))),0)</f>
        <v>0</v>
      </c>
      <c r="AD34" s="184" cm="1">
        <f t="array" ref="AD34">IFERROR(SUM(_xlfn._xlws.FILTER(_xlfn._xlws.FILTER(dataSummaryPL,(dataSummaryPLSummarys=$D34)*(dataSummaryPLSections=$E34)),(startDates&gt;=AD$7)*(endDates&lt;=AD$8))),0)</f>
        <v>0</v>
      </c>
      <c r="AE34" s="184" cm="1">
        <f t="array" ref="AE34">IFERROR(SUM(_xlfn._xlws.FILTER(_xlfn._xlws.FILTER(dataSummaryPL,(dataSummaryPLSummarys=$D34)*(dataSummaryPLSections=$E34)),(startDates&gt;=AE$7)*(endDates&lt;=AE$8))),0)</f>
        <v>0</v>
      </c>
      <c r="AF34" s="184" cm="1">
        <f t="array" ref="AF34">IFERROR(SUM(_xlfn._xlws.FILTER(_xlfn._xlws.FILTER(dataSummaryPL,(dataSummaryPLSummarys=$D34)*(dataSummaryPLSections=$E34)),(startDates&gt;=AF$7)*(endDates&lt;=AF$8))),0)</f>
        <v>0</v>
      </c>
      <c r="AG34" s="184" cm="1">
        <f t="array" ref="AG34">IFERROR(SUM(_xlfn._xlws.FILTER(_xlfn._xlws.FILTER(dataSummaryPL,(dataSummaryPLSummarys=$D34)*(dataSummaryPLSections=$E34)),(startDates&gt;=AG$7)*(endDates&lt;=AG$8))),0)</f>
        <v>0</v>
      </c>
      <c r="AH34" s="184" cm="1">
        <f t="array" ref="AH34">IFERROR(SUM(_xlfn._xlws.FILTER(_xlfn._xlws.FILTER(dataSummaryPL,(dataSummaryPLSummarys=$D34)*(dataSummaryPLSections=$E34)),(startDates&gt;=AH$7)*(endDates&lt;=AH$8))),0)</f>
        <v>0</v>
      </c>
      <c r="AI34" s="184" cm="1">
        <f t="array" ref="AI34">IFERROR(SUM(_xlfn._xlws.FILTER(_xlfn._xlws.FILTER(dataSummaryPL,(dataSummaryPLSummarys=$D34)*(dataSummaryPLSections=$E34)),(startDates&gt;=AI$7)*(endDates&lt;=AI$8))),0)</f>
        <v>0</v>
      </c>
      <c r="AL34" s="184" cm="1">
        <f t="array" ref="AL34">IFERROR(SUM(_xlfn._xlws.FILTER(_xlfn._xlws.FILTER(dataSummaryPL,(dataSummaryPLSummarys=$D34)*(dataSummaryPLSections=$E34)),(startDates&gt;=AL$7)*(endDates&lt;=AL$8))),0)</f>
        <v>0</v>
      </c>
      <c r="AM34" s="184" cm="1">
        <f t="array" ref="AM34">IFERROR(SUM(_xlfn._xlws.FILTER(_xlfn._xlws.FILTER(dataSummaryPL,(dataSummaryPLSummarys=$D34)*(dataSummaryPLSections=$E34)),(startDates&gt;=AM$7)*(endDates&lt;=AM$8))),0)</f>
        <v>0</v>
      </c>
      <c r="AN34" s="184" cm="1">
        <f t="array" ref="AN34">IFERROR(SUM(_xlfn._xlws.FILTER(_xlfn._xlws.FILTER(dataSummaryPL,(dataSummaryPLSummarys=$D34)*(dataSummaryPLSections=$E34)),(startDates&gt;=AN$7)*(endDates&lt;=AN$8))),0)</f>
        <v>0</v>
      </c>
      <c r="AO34" s="184" cm="1">
        <f t="array" ref="AO34">IFERROR(SUM(_xlfn._xlws.FILTER(_xlfn._xlws.FILTER(dataSummaryPL,(dataSummaryPLSummarys=$D34)*(dataSummaryPLSections=$E34)),(startDates&gt;=AO$7)*(endDates&lt;=AO$8))),0)</f>
        <v>0</v>
      </c>
      <c r="AP34" s="184" cm="1">
        <f t="array" ref="AP34">IFERROR(SUM(_xlfn._xlws.FILTER(_xlfn._xlws.FILTER(dataSummaryPL,(dataSummaryPLSummarys=$D34)*(dataSummaryPLSections=$E34)),(startDates&gt;=AP$7)*(endDates&lt;=AP$8))),0)</f>
        <v>0</v>
      </c>
      <c r="AQ34" s="184" cm="1">
        <f t="array" ref="AQ34">IFERROR(SUM(_xlfn._xlws.FILTER(_xlfn._xlws.FILTER(dataSummaryPL,(dataSummaryPLSummarys=$D34)*(dataSummaryPLSections=$E34)),(startDates&gt;=AQ$7)*(endDates&lt;=AQ$8))),0)</f>
        <v>0</v>
      </c>
      <c r="AR34" s="184" cm="1">
        <f t="array" ref="AR34">IFERROR(SUM(_xlfn._xlws.FILTER(_xlfn._xlws.FILTER(dataSummaryPL,(dataSummaryPLSummarys=$D34)*(dataSummaryPLSections=$E34)),(startDates&gt;=AR$7)*(endDates&lt;=AR$8))),0)</f>
        <v>0</v>
      </c>
      <c r="AS34" s="184" cm="1">
        <f t="array" ref="AS34">IFERROR(SUM(_xlfn._xlws.FILTER(_xlfn._xlws.FILTER(dataSummaryPL,(dataSummaryPLSummarys=$D34)*(dataSummaryPLSections=$E34)),(startDates&gt;=AS$7)*(endDates&lt;=AS$8))),0)</f>
        <v>0</v>
      </c>
      <c r="AT34" s="184" cm="1">
        <f t="array" ref="AT34">IFERROR(SUM(_xlfn._xlws.FILTER(_xlfn._xlws.FILTER(dataSummaryPL,(dataSummaryPLSummarys=$D34)*(dataSummaryPLSections=$E34)),(startDates&gt;=AT$7)*(endDates&lt;=AT$8))),0)</f>
        <v>0</v>
      </c>
      <c r="AU34" s="184" cm="1">
        <f t="array" ref="AU34">IFERROR(SUM(_xlfn._xlws.FILTER(_xlfn._xlws.FILTER(dataSummaryPL,(dataSummaryPLSummarys=$D34)*(dataSummaryPLSections=$E34)),(startDates&gt;=AU$7)*(endDates&lt;=AU$8))),0)</f>
        <v>0</v>
      </c>
      <c r="AV34" s="184" cm="1">
        <f t="array" ref="AV34">IFERROR(SUM(_xlfn._xlws.FILTER(_xlfn._xlws.FILTER(dataSummaryPL,(dataSummaryPLSummarys=$D34)*(dataSummaryPLSections=$E34)),(startDates&gt;=AV$7)*(endDates&lt;=AV$8))),0)</f>
        <v>0</v>
      </c>
      <c r="AW34" s="184" cm="1">
        <f t="array" ref="AW34">IFERROR(SUM(_xlfn._xlws.FILTER(_xlfn._xlws.FILTER(dataSummaryPL,(dataSummaryPLSummarys=$D34)*(dataSummaryPLSections=$E34)),(startDates&gt;=AW$7)*(endDates&lt;=AW$8))),0)</f>
        <v>0</v>
      </c>
      <c r="AX34" s="184" cm="1">
        <f t="array" ref="AX34">IFERROR(SUM(_xlfn._xlws.FILTER(_xlfn._xlws.FILTER(dataSummaryPL,(dataSummaryPLSummarys=$D34)*(dataSummaryPLSections=$E34)),(startDates&gt;=AX$7)*(endDates&lt;=AX$8))),0)</f>
        <v>0</v>
      </c>
      <c r="AY34" s="184" cm="1">
        <f t="array" ref="AY34">IFERROR(SUM(_xlfn._xlws.FILTER(_xlfn._xlws.FILTER(dataSummaryPL,(dataSummaryPLSummarys=$D34)*(dataSummaryPLSections=$E34)),(startDates&gt;=AY$7)*(endDates&lt;=AY$8))),0)</f>
        <v>0</v>
      </c>
      <c r="AZ34" s="184" cm="1">
        <f t="array" ref="AZ34">IFERROR(SUM(_xlfn._xlws.FILTER(_xlfn._xlws.FILTER(dataSummaryPL,(dataSummaryPLSummarys=$D34)*(dataSummaryPLSections=$E34)),(startDates&gt;=AZ$7)*(endDates&lt;=AZ$8))),0)</f>
        <v>0</v>
      </c>
      <c r="BA34" s="184" cm="1">
        <f t="array" ref="BA34">IFERROR(SUM(_xlfn._xlws.FILTER(_xlfn._xlws.FILTER(dataSummaryPL,(dataSummaryPLSummarys=$D34)*(dataSummaryPLSections=$E34)),(startDates&gt;=BA$7)*(endDates&lt;=BA$8))),0)</f>
        <v>0</v>
      </c>
      <c r="BB34" s="184" cm="1">
        <f t="array" ref="BB34">IFERROR(SUM(_xlfn._xlws.FILTER(_xlfn._xlws.FILTER(dataSummaryPL,(dataSummaryPLSummarys=$D34)*(dataSummaryPLSections=$E34)),(startDates&gt;=BB$7)*(endDates&lt;=BB$8))),0)</f>
        <v>0</v>
      </c>
      <c r="BC34" s="184" cm="1">
        <f t="array" ref="BC34">IFERROR(SUM(_xlfn._xlws.FILTER(_xlfn._xlws.FILTER(dataSummaryPL,(dataSummaryPLSummarys=$D34)*(dataSummaryPLSections=$E34)),(startDates&gt;=BC$7)*(endDates&lt;=BC$8))),0)</f>
        <v>0</v>
      </c>
      <c r="BD34" s="184" cm="1">
        <f t="array" ref="BD34">IFERROR(SUM(_xlfn._xlws.FILTER(_xlfn._xlws.FILTER(dataSummaryPL,(dataSummaryPLSummarys=$D34)*(dataSummaryPLSections=$E34)),(startDates&gt;=BD$7)*(endDates&lt;=BD$8))),0)</f>
        <v>0</v>
      </c>
      <c r="BE34" s="184" cm="1">
        <f t="array" ref="BE34">IFERROR(SUM(_xlfn._xlws.FILTER(_xlfn._xlws.FILTER(dataSummaryPL,(dataSummaryPLSummarys=$D34)*(dataSummaryPLSections=$E34)),(startDates&gt;=BE$7)*(endDates&lt;=BE$8))),0)</f>
        <v>0</v>
      </c>
      <c r="BF34" s="184" cm="1">
        <f t="array" ref="BF34">IFERROR(SUM(_xlfn._xlws.FILTER(_xlfn._xlws.FILTER(dataSummaryPL,(dataSummaryPLSummarys=$D34)*(dataSummaryPLSections=$E34)),(startDates&gt;=BF$7)*(endDates&lt;=BF$8))),0)</f>
        <v>0</v>
      </c>
      <c r="BG34" s="184" cm="1">
        <f t="array" ref="BG34">IFERROR(SUM(_xlfn._xlws.FILTER(_xlfn._xlws.FILTER(dataSummaryPL,(dataSummaryPLSummarys=$D34)*(dataSummaryPLSections=$E34)),(startDates&gt;=BG$7)*(endDates&lt;=BG$8))),0)</f>
        <v>0</v>
      </c>
      <c r="BH34" s="184" cm="1">
        <f t="array" ref="BH34">IFERROR(SUM(_xlfn._xlws.FILTER(_xlfn._xlws.FILTER(dataSummaryPL,(dataSummaryPLSummarys=$D34)*(dataSummaryPLSections=$E34)),(startDates&gt;=BH$7)*(endDates&lt;=BH$8))),0)</f>
        <v>0</v>
      </c>
      <c r="BI34" s="184" cm="1">
        <f t="array" ref="BI34">IFERROR(SUM(_xlfn._xlws.FILTER(_xlfn._xlws.FILTER(dataSummaryPL,(dataSummaryPLSummarys=$D34)*(dataSummaryPLSections=$E34)),(startDates&gt;=BI$7)*(endDates&lt;=BI$8))),0)</f>
        <v>0</v>
      </c>
      <c r="BJ34" s="184" cm="1">
        <f t="array" ref="BJ34">IFERROR(SUM(_xlfn._xlws.FILTER(_xlfn._xlws.FILTER(dataSummaryPL,(dataSummaryPLSummarys=$D34)*(dataSummaryPLSections=$E34)),(startDates&gt;=BJ$7)*(endDates&lt;=BJ$8))),0)</f>
        <v>0</v>
      </c>
      <c r="BK34" s="184" cm="1">
        <f t="array" ref="BK34">IFERROR(SUM(_xlfn._xlws.FILTER(_xlfn._xlws.FILTER(dataSummaryPL,(dataSummaryPLSummarys=$D34)*(dataSummaryPLSections=$E34)),(startDates&gt;=BK$7)*(endDates&lt;=BK$8))),0)</f>
        <v>0</v>
      </c>
      <c r="BL34" s="184" cm="1">
        <f t="array" ref="BL34">IFERROR(SUM(_xlfn._xlws.FILTER(_xlfn._xlws.FILTER(dataSummaryPL,(dataSummaryPLSummarys=$D34)*(dataSummaryPLSections=$E34)),(startDates&gt;=BL$7)*(endDates&lt;=BL$8))),0)</f>
        <v>0</v>
      </c>
      <c r="BM34" s="184" cm="1">
        <f t="array" ref="BM34">IFERROR(SUM(_xlfn._xlws.FILTER(_xlfn._xlws.FILTER(dataSummaryPL,(dataSummaryPLSummarys=$D34)*(dataSummaryPLSections=$E34)),(startDates&gt;=BM$7)*(endDates&lt;=BM$8))),0)</f>
        <v>0</v>
      </c>
      <c r="BN34" s="184" cm="1">
        <f t="array" ref="BN34">IFERROR(SUM(_xlfn._xlws.FILTER(_xlfn._xlws.FILTER(dataSummaryPL,(dataSummaryPLSummarys=$D34)*(dataSummaryPLSections=$E34)),(startDates&gt;=BN$7)*(endDates&lt;=BN$8))),0)</f>
        <v>0</v>
      </c>
      <c r="BO34" s="184" cm="1">
        <f t="array" ref="BO34">IFERROR(SUM(_xlfn._xlws.FILTER(_xlfn._xlws.FILTER(dataSummaryPL,(dataSummaryPLSummarys=$D34)*(dataSummaryPLSections=$E34)),(startDates&gt;=BO$7)*(endDates&lt;=BO$8))),0)</f>
        <v>0</v>
      </c>
      <c r="BP34" s="184" cm="1">
        <f t="array" ref="BP34">IFERROR(SUM(_xlfn._xlws.FILTER(_xlfn._xlws.FILTER(dataSummaryPL,(dataSummaryPLSummarys=$D34)*(dataSummaryPLSections=$E34)),(startDates&gt;=BP$7)*(endDates&lt;=BP$8))),0)</f>
        <v>0</v>
      </c>
      <c r="BQ34" s="184" cm="1">
        <f t="array" ref="BQ34">IFERROR(SUM(_xlfn._xlws.FILTER(_xlfn._xlws.FILTER(dataSummaryPL,(dataSummaryPLSummarys=$D34)*(dataSummaryPLSections=$E34)),(startDates&gt;=BQ$7)*(endDates&lt;=BQ$8))),0)</f>
        <v>0</v>
      </c>
      <c r="BR34" s="184" cm="1">
        <f t="array" ref="BR34">IFERROR(SUM(_xlfn._xlws.FILTER(_xlfn._xlws.FILTER(dataSummaryPL,(dataSummaryPLSummarys=$D34)*(dataSummaryPLSections=$E34)),(startDates&gt;=BR$7)*(endDates&lt;=BR$8))),0)</f>
        <v>0</v>
      </c>
      <c r="BS34" s="184" cm="1">
        <f t="array" ref="BS34">IFERROR(SUM(_xlfn._xlws.FILTER(_xlfn._xlws.FILTER(dataSummaryPL,(dataSummaryPLSummarys=$D34)*(dataSummaryPLSections=$E34)),(startDates&gt;=BS$7)*(endDates&lt;=BS$8))),0)</f>
        <v>0</v>
      </c>
      <c r="BT34" s="184" cm="1">
        <f t="array" ref="BT34">IFERROR(SUM(_xlfn._xlws.FILTER(_xlfn._xlws.FILTER(dataSummaryPL,(dataSummaryPLSummarys=$D34)*(dataSummaryPLSections=$E34)),(startDates&gt;=BT$7)*(endDates&lt;=BT$8))),0)</f>
        <v>0</v>
      </c>
      <c r="BU34" s="184" cm="1">
        <f t="array" ref="BU34">IFERROR(SUM(_xlfn._xlws.FILTER(_xlfn._xlws.FILTER(dataSummaryPL,(dataSummaryPLSummarys=$D34)*(dataSummaryPLSections=$E34)),(startDates&gt;=BU$7)*(endDates&lt;=BU$8))),0)</f>
        <v>0</v>
      </c>
      <c r="BV34" s="184" cm="1">
        <f t="array" ref="BV34">IFERROR(SUM(_xlfn._xlws.FILTER(_xlfn._xlws.FILTER(dataSummaryPL,(dataSummaryPLSummarys=$D34)*(dataSummaryPLSections=$E34)),(startDates&gt;=BV$7)*(endDates&lt;=BV$8))),0)</f>
        <v>0</v>
      </c>
      <c r="BW34" s="184" cm="1">
        <f t="array" ref="BW34">IFERROR(SUM(_xlfn._xlws.FILTER(_xlfn._xlws.FILTER(dataSummaryPL,(dataSummaryPLSummarys=$D34)*(dataSummaryPLSections=$E34)),(startDates&gt;=BW$7)*(endDates&lt;=BW$8))),0)</f>
        <v>0</v>
      </c>
      <c r="BX34" s="184" cm="1">
        <f t="array" ref="BX34">IFERROR(SUM(_xlfn._xlws.FILTER(_xlfn._xlws.FILTER(dataSummaryPL,(dataSummaryPLSummarys=$D34)*(dataSummaryPLSections=$E34)),(startDates&gt;=BX$7)*(endDates&lt;=BX$8))),0)</f>
        <v>0</v>
      </c>
      <c r="BY34" s="184" cm="1">
        <f t="array" ref="BY34">IFERROR(SUM(_xlfn._xlws.FILTER(_xlfn._xlws.FILTER(dataSummaryPL,(dataSummaryPLSummarys=$D34)*(dataSummaryPLSections=$E34)),(startDates&gt;=BY$7)*(endDates&lt;=BY$8))),0)</f>
        <v>0</v>
      </c>
      <c r="BZ34" s="184" cm="1">
        <f t="array" ref="BZ34">IFERROR(SUM(_xlfn._xlws.FILTER(_xlfn._xlws.FILTER(dataSummaryPL,(dataSummaryPLSummarys=$D34)*(dataSummaryPLSections=$E34)),(startDates&gt;=BZ$7)*(endDates&lt;=BZ$8))),0)</f>
        <v>0</v>
      </c>
      <c r="CA34" s="184" cm="1">
        <f t="array" ref="CA34">IFERROR(SUM(_xlfn._xlws.FILTER(_xlfn._xlws.FILTER(dataSummaryPL,(dataSummaryPLSummarys=$D34)*(dataSummaryPLSections=$E34)),(startDates&gt;=CA$7)*(endDates&lt;=CA$8))),0)</f>
        <v>0</v>
      </c>
      <c r="CB34" s="184" cm="1">
        <f t="array" ref="CB34">IFERROR(SUM(_xlfn._xlws.FILTER(_xlfn._xlws.FILTER(dataSummaryPL,(dataSummaryPLSummarys=$D34)*(dataSummaryPLSections=$E34)),(startDates&gt;=CB$7)*(endDates&lt;=CB$8))),0)</f>
        <v>0</v>
      </c>
      <c r="CC34" s="184" cm="1">
        <f t="array" ref="CC34">IFERROR(SUM(_xlfn._xlws.FILTER(_xlfn._xlws.FILTER(dataSummaryPL,(dataSummaryPLSummarys=$D34)*(dataSummaryPLSections=$E34)),(startDates&gt;=CC$7)*(endDates&lt;=CC$8))),0)</f>
        <v>0</v>
      </c>
      <c r="CD34" s="184" cm="1">
        <f t="array" ref="CD34">IFERROR(SUM(_xlfn._xlws.FILTER(_xlfn._xlws.FILTER(dataSummaryPL,(dataSummaryPLSummarys=$D34)*(dataSummaryPLSections=$E34)),(startDates&gt;=CD$7)*(endDates&lt;=CD$8))),0)</f>
        <v>0</v>
      </c>
      <c r="CE34" s="184" cm="1">
        <f t="array" ref="CE34">IFERROR(SUM(_xlfn._xlws.FILTER(_xlfn._xlws.FILTER(dataSummaryPL,(dataSummaryPLSummarys=$D34)*(dataSummaryPLSections=$E34)),(startDates&gt;=CE$7)*(endDates&lt;=CE$8))),0)</f>
        <v>0</v>
      </c>
      <c r="CF34" s="184" cm="1">
        <f t="array" ref="CF34">IFERROR(SUM(_xlfn._xlws.FILTER(_xlfn._xlws.FILTER(dataSummaryPL,(dataSummaryPLSummarys=$D34)*(dataSummaryPLSections=$E34)),(startDates&gt;=CF$7)*(endDates&lt;=CF$8))),0)</f>
        <v>0</v>
      </c>
      <c r="CG34" s="184" cm="1">
        <f t="array" ref="CG34">IFERROR(SUM(_xlfn._xlws.FILTER(_xlfn._xlws.FILTER(dataSummaryPL,(dataSummaryPLSummarys=$D34)*(dataSummaryPLSections=$E34)),(startDates&gt;=CG$7)*(endDates&lt;=CG$8))),0)</f>
        <v>0</v>
      </c>
    </row>
    <row r="35" spans="1:85">
      <c r="A35" s="153"/>
      <c r="B35" s="153"/>
    </row>
    <row r="36" spans="1:85" s="157" customFormat="1" ht="15.75" collapsed="1">
      <c r="A36" s="148"/>
      <c r="B36" s="148"/>
      <c r="C36" s="160" t="s">
        <v>131</v>
      </c>
      <c r="D36" s="160"/>
      <c r="E36" s="161"/>
      <c r="F36" s="160"/>
      <c r="G36" s="160"/>
      <c r="J36" s="158">
        <f>SUM(J37:J39)</f>
        <v>236450.57999999996</v>
      </c>
      <c r="K36" s="158">
        <f>SUM(K37:K39)</f>
        <v>257946.57999999996</v>
      </c>
      <c r="N36" s="158">
        <f>SUM(N37:N39)</f>
        <v>77240</v>
      </c>
      <c r="O36" s="158">
        <f>SUM(O37:O39)</f>
        <v>257951.5</v>
      </c>
      <c r="P36" s="158">
        <f>SUM(P37:P39)</f>
        <v>258995.39466666663</v>
      </c>
      <c r="Q36" s="158">
        <f>SUM(Q37:Q39)</f>
        <v>283852.35949751397</v>
      </c>
      <c r="R36" s="159"/>
      <c r="S36" s="159"/>
      <c r="T36" s="158">
        <f t="shared" ref="T36:AI36" si="29">SUM(T37:T39)</f>
        <v>7777</v>
      </c>
      <c r="U36" s="158">
        <f t="shared" si="29"/>
        <v>11195.5</v>
      </c>
      <c r="V36" s="158">
        <f t="shared" si="29"/>
        <v>11847</v>
      </c>
      <c r="W36" s="158">
        <f t="shared" si="29"/>
        <v>46420.5</v>
      </c>
      <c r="X36" s="158">
        <f t="shared" si="29"/>
        <v>64487.5</v>
      </c>
      <c r="Y36" s="158">
        <f t="shared" si="29"/>
        <v>64488</v>
      </c>
      <c r="Z36" s="158">
        <f t="shared" si="29"/>
        <v>64488</v>
      </c>
      <c r="AA36" s="158">
        <f t="shared" si="29"/>
        <v>64488</v>
      </c>
      <c r="AB36" s="158">
        <f t="shared" si="29"/>
        <v>64486.740000000005</v>
      </c>
      <c r="AC36" s="158">
        <f t="shared" si="29"/>
        <v>64486.74</v>
      </c>
      <c r="AD36" s="158">
        <f t="shared" si="29"/>
        <v>64486.259999999995</v>
      </c>
      <c r="AE36" s="158">
        <f t="shared" si="29"/>
        <v>65535.654666666662</v>
      </c>
      <c r="AF36" s="158">
        <f t="shared" si="29"/>
        <v>68998.488452059028</v>
      </c>
      <c r="AG36" s="158">
        <f t="shared" si="29"/>
        <v>69090.389918251953</v>
      </c>
      <c r="AH36" s="158">
        <f t="shared" si="29"/>
        <v>71534.389932562568</v>
      </c>
      <c r="AI36" s="158">
        <f t="shared" si="29"/>
        <v>74229.091194640438</v>
      </c>
      <c r="AJ36" s="159"/>
      <c r="AK36" s="159"/>
      <c r="AL36" s="158">
        <f t="shared" ref="AL36:CG36" si="30">SUM(AL37:AL39)</f>
        <v>2569</v>
      </c>
      <c r="AM36" s="158">
        <f t="shared" si="30"/>
        <v>2569</v>
      </c>
      <c r="AN36" s="158">
        <f t="shared" si="30"/>
        <v>2639</v>
      </c>
      <c r="AO36" s="158">
        <f t="shared" si="30"/>
        <v>3611.5</v>
      </c>
      <c r="AP36" s="158">
        <f t="shared" si="30"/>
        <v>3681</v>
      </c>
      <c r="AQ36" s="158">
        <f t="shared" si="30"/>
        <v>3903</v>
      </c>
      <c r="AR36" s="158">
        <f t="shared" si="30"/>
        <v>3903</v>
      </c>
      <c r="AS36" s="158">
        <f t="shared" si="30"/>
        <v>3972</v>
      </c>
      <c r="AT36" s="158">
        <f t="shared" si="30"/>
        <v>3972</v>
      </c>
      <c r="AU36" s="158">
        <f t="shared" si="30"/>
        <v>8972</v>
      </c>
      <c r="AV36" s="158">
        <f t="shared" si="30"/>
        <v>15953</v>
      </c>
      <c r="AW36" s="158">
        <f t="shared" si="30"/>
        <v>21495.5</v>
      </c>
      <c r="AX36" s="158">
        <f t="shared" si="30"/>
        <v>21495.5</v>
      </c>
      <c r="AY36" s="158">
        <f t="shared" si="30"/>
        <v>21496</v>
      </c>
      <c r="AZ36" s="158">
        <f t="shared" si="30"/>
        <v>21496</v>
      </c>
      <c r="BA36" s="158">
        <f t="shared" si="30"/>
        <v>21496</v>
      </c>
      <c r="BB36" s="158">
        <f t="shared" si="30"/>
        <v>21496</v>
      </c>
      <c r="BC36" s="158">
        <f t="shared" si="30"/>
        <v>21496</v>
      </c>
      <c r="BD36" s="158">
        <f t="shared" si="30"/>
        <v>21496</v>
      </c>
      <c r="BE36" s="158">
        <f t="shared" si="30"/>
        <v>21496</v>
      </c>
      <c r="BF36" s="158">
        <f t="shared" si="30"/>
        <v>21496</v>
      </c>
      <c r="BG36" s="158">
        <f t="shared" si="30"/>
        <v>21496</v>
      </c>
      <c r="BH36" s="158">
        <f t="shared" si="30"/>
        <v>21496</v>
      </c>
      <c r="BI36" s="158">
        <f t="shared" si="30"/>
        <v>21496</v>
      </c>
      <c r="BJ36" s="158">
        <f t="shared" si="30"/>
        <v>21495.42</v>
      </c>
      <c r="BK36" s="158">
        <f t="shared" si="30"/>
        <v>21495.66</v>
      </c>
      <c r="BL36" s="158">
        <f t="shared" si="30"/>
        <v>21495.66</v>
      </c>
      <c r="BM36" s="158">
        <f t="shared" si="30"/>
        <v>21495.66</v>
      </c>
      <c r="BN36" s="158">
        <f t="shared" si="30"/>
        <v>21495.66</v>
      </c>
      <c r="BO36" s="158">
        <f t="shared" si="30"/>
        <v>21495.42</v>
      </c>
      <c r="BP36" s="158">
        <f t="shared" si="30"/>
        <v>21495.42</v>
      </c>
      <c r="BQ36" s="158">
        <f t="shared" si="30"/>
        <v>21495.42</v>
      </c>
      <c r="BR36" s="158">
        <f t="shared" si="30"/>
        <v>21495.42</v>
      </c>
      <c r="BS36" s="158">
        <f t="shared" si="30"/>
        <v>21495.42</v>
      </c>
      <c r="BT36" s="158">
        <f t="shared" si="30"/>
        <v>21495.42</v>
      </c>
      <c r="BU36" s="158">
        <f t="shared" si="30"/>
        <v>22544.814666666665</v>
      </c>
      <c r="BV36" s="158">
        <f t="shared" si="30"/>
        <v>22636.761872222225</v>
      </c>
      <c r="BW36" s="158">
        <f t="shared" si="30"/>
        <v>23104.174838749994</v>
      </c>
      <c r="BX36" s="158">
        <f t="shared" si="30"/>
        <v>23257.551741086805</v>
      </c>
      <c r="BY36" s="158">
        <f t="shared" si="30"/>
        <v>22547.144601332555</v>
      </c>
      <c r="BZ36" s="158">
        <f t="shared" si="30"/>
        <v>23201.999545454637</v>
      </c>
      <c r="CA36" s="158">
        <f t="shared" si="30"/>
        <v>23341.245771464753</v>
      </c>
      <c r="CB36" s="158">
        <f t="shared" si="30"/>
        <v>23604.57954813775</v>
      </c>
      <c r="CC36" s="158">
        <f t="shared" si="30"/>
        <v>23816.308752534078</v>
      </c>
      <c r="CD36" s="158">
        <f t="shared" si="30"/>
        <v>24113.501631890736</v>
      </c>
      <c r="CE36" s="158">
        <f t="shared" si="30"/>
        <v>24423.709529448093</v>
      </c>
      <c r="CF36" s="158">
        <f t="shared" si="30"/>
        <v>24742.386169646088</v>
      </c>
      <c r="CG36" s="158">
        <f t="shared" si="30"/>
        <v>25062.99549554626</v>
      </c>
    </row>
    <row r="37" spans="1:85" hidden="1" outlineLevel="2">
      <c r="C37" s="331" t="s">
        <v>131</v>
      </c>
      <c r="D37" s="163" t="str">
        <f>C37</f>
        <v>Other Expenses</v>
      </c>
      <c r="E37" s="150" t="s">
        <v>131</v>
      </c>
      <c r="F37" s="163"/>
      <c r="G37" s="163"/>
      <c r="J37" s="184" cm="1">
        <f t="array" ref="J37">IFERROR(SUM(_xlfn._xlws.FILTER(_xlfn._xlws.FILTER(dataSummaryPL,(dataSummaryPLSummarys=$D37)*(dataSummaryPLSections=$E37)),(startDates&gt;=J$7)*(endDates&lt;=J$8))),0)</f>
        <v>236450.57999999996</v>
      </c>
      <c r="K37" s="184" cm="1">
        <f t="array" ref="K37">IFERROR(SUM(_xlfn._xlws.FILTER(_xlfn._xlws.FILTER(dataSummaryPL,(dataSummaryPLSummarys=$D37)*(dataSummaryPLSections=$E37)),(startDates&gt;=K$7)*(endDates&lt;=K$8))),0)</f>
        <v>257946.57999999996</v>
      </c>
      <c r="N37" s="184" cm="1">
        <f t="array" ref="N37">IFERROR(SUM(_xlfn._xlws.FILTER(_xlfn._xlws.FILTER(dataSummaryPL,(dataSummaryPLSummarys=$D37)*(dataSummaryPLSections=$E37)),(startDates&gt;=N$7)*(endDates&lt;=N$8))),0)</f>
        <v>77240</v>
      </c>
      <c r="O37" s="184" cm="1">
        <f t="array" ref="O37">IFERROR(SUM(_xlfn._xlws.FILTER(_xlfn._xlws.FILTER(dataSummaryPL,(dataSummaryPLSummarys=$D37)*(dataSummaryPLSections=$E37)),(startDates&gt;=O$7)*(endDates&lt;=O$8))),0)</f>
        <v>257951.5</v>
      </c>
      <c r="P37" s="184" cm="1">
        <f t="array" ref="P37">IFERROR(SUM(_xlfn._xlws.FILTER(_xlfn._xlws.FILTER(dataSummaryPL,(dataSummaryPLSummarys=$D37)*(dataSummaryPLSections=$E37)),(startDates&gt;=P$7)*(endDates&lt;=P$8))),0)</f>
        <v>258995.39466666663</v>
      </c>
      <c r="Q37" s="184" cm="1">
        <f t="array" ref="Q37">IFERROR(SUM(_xlfn._xlws.FILTER(_xlfn._xlws.FILTER(dataSummaryPL,(dataSummaryPLSummarys=$D37)*(dataSummaryPLSections=$E37)),(startDates&gt;=Q$7)*(endDates&lt;=Q$8))),0)</f>
        <v>283852.35949751397</v>
      </c>
      <c r="T37" s="184" cm="1">
        <f t="array" ref="T37">IFERROR(SUM(_xlfn._xlws.FILTER(_xlfn._xlws.FILTER(dataSummaryPL,(dataSummaryPLSummarys=$D37)*(dataSummaryPLSections=$E37)),(startDates&gt;=T$7)*(endDates&lt;=T$8))),0)</f>
        <v>7777</v>
      </c>
      <c r="U37" s="184" cm="1">
        <f t="array" ref="U37">IFERROR(SUM(_xlfn._xlws.FILTER(_xlfn._xlws.FILTER(dataSummaryPL,(dataSummaryPLSummarys=$D37)*(dataSummaryPLSections=$E37)),(startDates&gt;=U$7)*(endDates&lt;=U$8))),0)</f>
        <v>11195.5</v>
      </c>
      <c r="V37" s="184" cm="1">
        <f t="array" ref="V37">IFERROR(SUM(_xlfn._xlws.FILTER(_xlfn._xlws.FILTER(dataSummaryPL,(dataSummaryPLSummarys=$D37)*(dataSummaryPLSections=$E37)),(startDates&gt;=V$7)*(endDates&lt;=V$8))),0)</f>
        <v>11847</v>
      </c>
      <c r="W37" s="184" cm="1">
        <f t="array" ref="W37">IFERROR(SUM(_xlfn._xlws.FILTER(_xlfn._xlws.FILTER(dataSummaryPL,(dataSummaryPLSummarys=$D37)*(dataSummaryPLSections=$E37)),(startDates&gt;=W$7)*(endDates&lt;=W$8))),0)</f>
        <v>46420.5</v>
      </c>
      <c r="X37" s="184" cm="1">
        <f t="array" ref="X37">IFERROR(SUM(_xlfn._xlws.FILTER(_xlfn._xlws.FILTER(dataSummaryPL,(dataSummaryPLSummarys=$D37)*(dataSummaryPLSections=$E37)),(startDates&gt;=X$7)*(endDates&lt;=X$8))),0)</f>
        <v>64487.5</v>
      </c>
      <c r="Y37" s="184" cm="1">
        <f t="array" ref="Y37">IFERROR(SUM(_xlfn._xlws.FILTER(_xlfn._xlws.FILTER(dataSummaryPL,(dataSummaryPLSummarys=$D37)*(dataSummaryPLSections=$E37)),(startDates&gt;=Y$7)*(endDates&lt;=Y$8))),0)</f>
        <v>64488</v>
      </c>
      <c r="Z37" s="184" cm="1">
        <f t="array" ref="Z37">IFERROR(SUM(_xlfn._xlws.FILTER(_xlfn._xlws.FILTER(dataSummaryPL,(dataSummaryPLSummarys=$D37)*(dataSummaryPLSections=$E37)),(startDates&gt;=Z$7)*(endDates&lt;=Z$8))),0)</f>
        <v>64488</v>
      </c>
      <c r="AA37" s="184" cm="1">
        <f t="array" ref="AA37">IFERROR(SUM(_xlfn._xlws.FILTER(_xlfn._xlws.FILTER(dataSummaryPL,(dataSummaryPLSummarys=$D37)*(dataSummaryPLSections=$E37)),(startDates&gt;=AA$7)*(endDates&lt;=AA$8))),0)</f>
        <v>64488</v>
      </c>
      <c r="AB37" s="184" cm="1">
        <f t="array" ref="AB37">IFERROR(SUM(_xlfn._xlws.FILTER(_xlfn._xlws.FILTER(dataSummaryPL,(dataSummaryPLSummarys=$D37)*(dataSummaryPLSections=$E37)),(startDates&gt;=AB$7)*(endDates&lt;=AB$8))),0)</f>
        <v>64486.740000000005</v>
      </c>
      <c r="AC37" s="184" cm="1">
        <f t="array" ref="AC37">IFERROR(SUM(_xlfn._xlws.FILTER(_xlfn._xlws.FILTER(dataSummaryPL,(dataSummaryPLSummarys=$D37)*(dataSummaryPLSections=$E37)),(startDates&gt;=AC$7)*(endDates&lt;=AC$8))),0)</f>
        <v>64486.74</v>
      </c>
      <c r="AD37" s="184" cm="1">
        <f t="array" ref="AD37">IFERROR(SUM(_xlfn._xlws.FILTER(_xlfn._xlws.FILTER(dataSummaryPL,(dataSummaryPLSummarys=$D37)*(dataSummaryPLSections=$E37)),(startDates&gt;=AD$7)*(endDates&lt;=AD$8))),0)</f>
        <v>64486.259999999995</v>
      </c>
      <c r="AE37" s="184" cm="1">
        <f t="array" ref="AE37">IFERROR(SUM(_xlfn._xlws.FILTER(_xlfn._xlws.FILTER(dataSummaryPL,(dataSummaryPLSummarys=$D37)*(dataSummaryPLSections=$E37)),(startDates&gt;=AE$7)*(endDates&lt;=AE$8))),0)</f>
        <v>65535.654666666662</v>
      </c>
      <c r="AF37" s="184" cm="1">
        <f t="array" ref="AF37">IFERROR(SUM(_xlfn._xlws.FILTER(_xlfn._xlws.FILTER(dataSummaryPL,(dataSummaryPLSummarys=$D37)*(dataSummaryPLSections=$E37)),(startDates&gt;=AF$7)*(endDates&lt;=AF$8))),0)</f>
        <v>68998.488452059028</v>
      </c>
      <c r="AG37" s="184" cm="1">
        <f t="array" ref="AG37">IFERROR(SUM(_xlfn._xlws.FILTER(_xlfn._xlws.FILTER(dataSummaryPL,(dataSummaryPLSummarys=$D37)*(dataSummaryPLSections=$E37)),(startDates&gt;=AG$7)*(endDates&lt;=AG$8))),0)</f>
        <v>69090.389918251953</v>
      </c>
      <c r="AH37" s="184" cm="1">
        <f t="array" ref="AH37">IFERROR(SUM(_xlfn._xlws.FILTER(_xlfn._xlws.FILTER(dataSummaryPL,(dataSummaryPLSummarys=$D37)*(dataSummaryPLSections=$E37)),(startDates&gt;=AH$7)*(endDates&lt;=AH$8))),0)</f>
        <v>71534.389932562568</v>
      </c>
      <c r="AI37" s="184" cm="1">
        <f t="array" ref="AI37">IFERROR(SUM(_xlfn._xlws.FILTER(_xlfn._xlws.FILTER(dataSummaryPL,(dataSummaryPLSummarys=$D37)*(dataSummaryPLSections=$E37)),(startDates&gt;=AI$7)*(endDates&lt;=AI$8))),0)</f>
        <v>74229.091194640438</v>
      </c>
      <c r="AL37" s="184" cm="1">
        <f t="array" ref="AL37">IFERROR(SUM(_xlfn._xlws.FILTER(_xlfn._xlws.FILTER(dataSummaryPL,(dataSummaryPLSummarys=$D37)*(dataSummaryPLSections=$E37)),(startDates&gt;=AL$7)*(endDates&lt;=AL$8))),0)</f>
        <v>2569</v>
      </c>
      <c r="AM37" s="184" cm="1">
        <f t="array" ref="AM37">IFERROR(SUM(_xlfn._xlws.FILTER(_xlfn._xlws.FILTER(dataSummaryPL,(dataSummaryPLSummarys=$D37)*(dataSummaryPLSections=$E37)),(startDates&gt;=AM$7)*(endDates&lt;=AM$8))),0)</f>
        <v>2569</v>
      </c>
      <c r="AN37" s="184" cm="1">
        <f t="array" ref="AN37">IFERROR(SUM(_xlfn._xlws.FILTER(_xlfn._xlws.FILTER(dataSummaryPL,(dataSummaryPLSummarys=$D37)*(dataSummaryPLSections=$E37)),(startDates&gt;=AN$7)*(endDates&lt;=AN$8))),0)</f>
        <v>2639</v>
      </c>
      <c r="AO37" s="184" cm="1">
        <f t="array" ref="AO37">IFERROR(SUM(_xlfn._xlws.FILTER(_xlfn._xlws.FILTER(dataSummaryPL,(dataSummaryPLSummarys=$D37)*(dataSummaryPLSections=$E37)),(startDates&gt;=AO$7)*(endDates&lt;=AO$8))),0)</f>
        <v>3611.5</v>
      </c>
      <c r="AP37" s="184" cm="1">
        <f t="array" ref="AP37">IFERROR(SUM(_xlfn._xlws.FILTER(_xlfn._xlws.FILTER(dataSummaryPL,(dataSummaryPLSummarys=$D37)*(dataSummaryPLSections=$E37)),(startDates&gt;=AP$7)*(endDates&lt;=AP$8))),0)</f>
        <v>3681</v>
      </c>
      <c r="AQ37" s="184" cm="1">
        <f t="array" ref="AQ37">IFERROR(SUM(_xlfn._xlws.FILTER(_xlfn._xlws.FILTER(dataSummaryPL,(dataSummaryPLSummarys=$D37)*(dataSummaryPLSections=$E37)),(startDates&gt;=AQ$7)*(endDates&lt;=AQ$8))),0)</f>
        <v>3903</v>
      </c>
      <c r="AR37" s="184" cm="1">
        <f t="array" ref="AR37">IFERROR(SUM(_xlfn._xlws.FILTER(_xlfn._xlws.FILTER(dataSummaryPL,(dataSummaryPLSummarys=$D37)*(dataSummaryPLSections=$E37)),(startDates&gt;=AR$7)*(endDates&lt;=AR$8))),0)</f>
        <v>3903</v>
      </c>
      <c r="AS37" s="184" cm="1">
        <f t="array" ref="AS37">IFERROR(SUM(_xlfn._xlws.FILTER(_xlfn._xlws.FILTER(dataSummaryPL,(dataSummaryPLSummarys=$D37)*(dataSummaryPLSections=$E37)),(startDates&gt;=AS$7)*(endDates&lt;=AS$8))),0)</f>
        <v>3972</v>
      </c>
      <c r="AT37" s="184" cm="1">
        <f t="array" ref="AT37">IFERROR(SUM(_xlfn._xlws.FILTER(_xlfn._xlws.FILTER(dataSummaryPL,(dataSummaryPLSummarys=$D37)*(dataSummaryPLSections=$E37)),(startDates&gt;=AT$7)*(endDates&lt;=AT$8))),0)</f>
        <v>3972</v>
      </c>
      <c r="AU37" s="184" cm="1">
        <f t="array" ref="AU37">IFERROR(SUM(_xlfn._xlws.FILTER(_xlfn._xlws.FILTER(dataSummaryPL,(dataSummaryPLSummarys=$D37)*(dataSummaryPLSections=$E37)),(startDates&gt;=AU$7)*(endDates&lt;=AU$8))),0)</f>
        <v>8972</v>
      </c>
      <c r="AV37" s="184" cm="1">
        <f t="array" ref="AV37">IFERROR(SUM(_xlfn._xlws.FILTER(_xlfn._xlws.FILTER(dataSummaryPL,(dataSummaryPLSummarys=$D37)*(dataSummaryPLSections=$E37)),(startDates&gt;=AV$7)*(endDates&lt;=AV$8))),0)</f>
        <v>15953</v>
      </c>
      <c r="AW37" s="184" cm="1">
        <f t="array" ref="AW37">IFERROR(SUM(_xlfn._xlws.FILTER(_xlfn._xlws.FILTER(dataSummaryPL,(dataSummaryPLSummarys=$D37)*(dataSummaryPLSections=$E37)),(startDates&gt;=AW$7)*(endDates&lt;=AW$8))),0)</f>
        <v>21495.5</v>
      </c>
      <c r="AX37" s="184" cm="1">
        <f t="array" ref="AX37">IFERROR(SUM(_xlfn._xlws.FILTER(_xlfn._xlws.FILTER(dataSummaryPL,(dataSummaryPLSummarys=$D37)*(dataSummaryPLSections=$E37)),(startDates&gt;=AX$7)*(endDates&lt;=AX$8))),0)</f>
        <v>21495.5</v>
      </c>
      <c r="AY37" s="184" cm="1">
        <f t="array" ref="AY37">IFERROR(SUM(_xlfn._xlws.FILTER(_xlfn._xlws.FILTER(dataSummaryPL,(dataSummaryPLSummarys=$D37)*(dataSummaryPLSections=$E37)),(startDates&gt;=AY$7)*(endDates&lt;=AY$8))),0)</f>
        <v>21496</v>
      </c>
      <c r="AZ37" s="184" cm="1">
        <f t="array" ref="AZ37">IFERROR(SUM(_xlfn._xlws.FILTER(_xlfn._xlws.FILTER(dataSummaryPL,(dataSummaryPLSummarys=$D37)*(dataSummaryPLSections=$E37)),(startDates&gt;=AZ$7)*(endDates&lt;=AZ$8))),0)</f>
        <v>21496</v>
      </c>
      <c r="BA37" s="184" cm="1">
        <f t="array" ref="BA37">IFERROR(SUM(_xlfn._xlws.FILTER(_xlfn._xlws.FILTER(dataSummaryPL,(dataSummaryPLSummarys=$D37)*(dataSummaryPLSections=$E37)),(startDates&gt;=BA$7)*(endDates&lt;=BA$8))),0)</f>
        <v>21496</v>
      </c>
      <c r="BB37" s="184" cm="1">
        <f t="array" ref="BB37">IFERROR(SUM(_xlfn._xlws.FILTER(_xlfn._xlws.FILTER(dataSummaryPL,(dataSummaryPLSummarys=$D37)*(dataSummaryPLSections=$E37)),(startDates&gt;=BB$7)*(endDates&lt;=BB$8))),0)</f>
        <v>21496</v>
      </c>
      <c r="BC37" s="184" cm="1">
        <f t="array" ref="BC37">IFERROR(SUM(_xlfn._xlws.FILTER(_xlfn._xlws.FILTER(dataSummaryPL,(dataSummaryPLSummarys=$D37)*(dataSummaryPLSections=$E37)),(startDates&gt;=BC$7)*(endDates&lt;=BC$8))),0)</f>
        <v>21496</v>
      </c>
      <c r="BD37" s="184" cm="1">
        <f t="array" ref="BD37">IFERROR(SUM(_xlfn._xlws.FILTER(_xlfn._xlws.FILTER(dataSummaryPL,(dataSummaryPLSummarys=$D37)*(dataSummaryPLSections=$E37)),(startDates&gt;=BD$7)*(endDates&lt;=BD$8))),0)</f>
        <v>21496</v>
      </c>
      <c r="BE37" s="184" cm="1">
        <f t="array" ref="BE37">IFERROR(SUM(_xlfn._xlws.FILTER(_xlfn._xlws.FILTER(dataSummaryPL,(dataSummaryPLSummarys=$D37)*(dataSummaryPLSections=$E37)),(startDates&gt;=BE$7)*(endDates&lt;=BE$8))),0)</f>
        <v>21496</v>
      </c>
      <c r="BF37" s="184" cm="1">
        <f t="array" ref="BF37">IFERROR(SUM(_xlfn._xlws.FILTER(_xlfn._xlws.FILTER(dataSummaryPL,(dataSummaryPLSummarys=$D37)*(dataSummaryPLSections=$E37)),(startDates&gt;=BF$7)*(endDates&lt;=BF$8))),0)</f>
        <v>21496</v>
      </c>
      <c r="BG37" s="184" cm="1">
        <f t="array" ref="BG37">IFERROR(SUM(_xlfn._xlws.FILTER(_xlfn._xlws.FILTER(dataSummaryPL,(dataSummaryPLSummarys=$D37)*(dataSummaryPLSections=$E37)),(startDates&gt;=BG$7)*(endDates&lt;=BG$8))),0)</f>
        <v>21496</v>
      </c>
      <c r="BH37" s="184" cm="1">
        <f t="array" ref="BH37">IFERROR(SUM(_xlfn._xlws.FILTER(_xlfn._xlws.FILTER(dataSummaryPL,(dataSummaryPLSummarys=$D37)*(dataSummaryPLSections=$E37)),(startDates&gt;=BH$7)*(endDates&lt;=BH$8))),0)</f>
        <v>21496</v>
      </c>
      <c r="BI37" s="184" cm="1">
        <f t="array" ref="BI37">IFERROR(SUM(_xlfn._xlws.FILTER(_xlfn._xlws.FILTER(dataSummaryPL,(dataSummaryPLSummarys=$D37)*(dataSummaryPLSections=$E37)),(startDates&gt;=BI$7)*(endDates&lt;=BI$8))),0)</f>
        <v>21496</v>
      </c>
      <c r="BJ37" s="184" cm="1">
        <f t="array" ref="BJ37">IFERROR(SUM(_xlfn._xlws.FILTER(_xlfn._xlws.FILTER(dataSummaryPL,(dataSummaryPLSummarys=$D37)*(dataSummaryPLSections=$E37)),(startDates&gt;=BJ$7)*(endDates&lt;=BJ$8))),0)</f>
        <v>21495.42</v>
      </c>
      <c r="BK37" s="184" cm="1">
        <f t="array" ref="BK37">IFERROR(SUM(_xlfn._xlws.FILTER(_xlfn._xlws.FILTER(dataSummaryPL,(dataSummaryPLSummarys=$D37)*(dataSummaryPLSections=$E37)),(startDates&gt;=BK$7)*(endDates&lt;=BK$8))),0)</f>
        <v>21495.66</v>
      </c>
      <c r="BL37" s="184" cm="1">
        <f t="array" ref="BL37">IFERROR(SUM(_xlfn._xlws.FILTER(_xlfn._xlws.FILTER(dataSummaryPL,(dataSummaryPLSummarys=$D37)*(dataSummaryPLSections=$E37)),(startDates&gt;=BL$7)*(endDates&lt;=BL$8))),0)</f>
        <v>21495.66</v>
      </c>
      <c r="BM37" s="184" cm="1">
        <f t="array" ref="BM37">IFERROR(SUM(_xlfn._xlws.FILTER(_xlfn._xlws.FILTER(dataSummaryPL,(dataSummaryPLSummarys=$D37)*(dataSummaryPLSections=$E37)),(startDates&gt;=BM$7)*(endDates&lt;=BM$8))),0)</f>
        <v>21495.66</v>
      </c>
      <c r="BN37" s="184" cm="1">
        <f t="array" ref="BN37">IFERROR(SUM(_xlfn._xlws.FILTER(_xlfn._xlws.FILTER(dataSummaryPL,(dataSummaryPLSummarys=$D37)*(dataSummaryPLSections=$E37)),(startDates&gt;=BN$7)*(endDates&lt;=BN$8))),0)</f>
        <v>21495.66</v>
      </c>
      <c r="BO37" s="184" cm="1">
        <f t="array" ref="BO37">IFERROR(SUM(_xlfn._xlws.FILTER(_xlfn._xlws.FILTER(dataSummaryPL,(dataSummaryPLSummarys=$D37)*(dataSummaryPLSections=$E37)),(startDates&gt;=BO$7)*(endDates&lt;=BO$8))),0)</f>
        <v>21495.42</v>
      </c>
      <c r="BP37" s="184" cm="1">
        <f t="array" ref="BP37">IFERROR(SUM(_xlfn._xlws.FILTER(_xlfn._xlws.FILTER(dataSummaryPL,(dataSummaryPLSummarys=$D37)*(dataSummaryPLSections=$E37)),(startDates&gt;=BP$7)*(endDates&lt;=BP$8))),0)</f>
        <v>21495.42</v>
      </c>
      <c r="BQ37" s="184" cm="1">
        <f t="array" ref="BQ37">IFERROR(SUM(_xlfn._xlws.FILTER(_xlfn._xlws.FILTER(dataSummaryPL,(dataSummaryPLSummarys=$D37)*(dataSummaryPLSections=$E37)),(startDates&gt;=BQ$7)*(endDates&lt;=BQ$8))),0)</f>
        <v>21495.42</v>
      </c>
      <c r="BR37" s="184" cm="1">
        <f t="array" ref="BR37">IFERROR(SUM(_xlfn._xlws.FILTER(_xlfn._xlws.FILTER(dataSummaryPL,(dataSummaryPLSummarys=$D37)*(dataSummaryPLSections=$E37)),(startDates&gt;=BR$7)*(endDates&lt;=BR$8))),0)</f>
        <v>21495.42</v>
      </c>
      <c r="BS37" s="184" cm="1">
        <f t="array" ref="BS37">IFERROR(SUM(_xlfn._xlws.FILTER(_xlfn._xlws.FILTER(dataSummaryPL,(dataSummaryPLSummarys=$D37)*(dataSummaryPLSections=$E37)),(startDates&gt;=BS$7)*(endDates&lt;=BS$8))),0)</f>
        <v>21495.42</v>
      </c>
      <c r="BT37" s="184" cm="1">
        <f t="array" ref="BT37">IFERROR(SUM(_xlfn._xlws.FILTER(_xlfn._xlws.FILTER(dataSummaryPL,(dataSummaryPLSummarys=$D37)*(dataSummaryPLSections=$E37)),(startDates&gt;=BT$7)*(endDates&lt;=BT$8))),0)</f>
        <v>21495.42</v>
      </c>
      <c r="BU37" s="184" cm="1">
        <f t="array" ref="BU37">IFERROR(SUM(_xlfn._xlws.FILTER(_xlfn._xlws.FILTER(dataSummaryPL,(dataSummaryPLSummarys=$D37)*(dataSummaryPLSections=$E37)),(startDates&gt;=BU$7)*(endDates&lt;=BU$8))),0)</f>
        <v>22544.814666666665</v>
      </c>
      <c r="BV37" s="184" cm="1">
        <f t="array" ref="BV37">IFERROR(SUM(_xlfn._xlws.FILTER(_xlfn._xlws.FILTER(dataSummaryPL,(dataSummaryPLSummarys=$D37)*(dataSummaryPLSections=$E37)),(startDates&gt;=BV$7)*(endDates&lt;=BV$8))),0)</f>
        <v>22636.761872222225</v>
      </c>
      <c r="BW37" s="184" cm="1">
        <f t="array" ref="BW37">IFERROR(SUM(_xlfn._xlws.FILTER(_xlfn._xlws.FILTER(dataSummaryPL,(dataSummaryPLSummarys=$D37)*(dataSummaryPLSections=$E37)),(startDates&gt;=BW$7)*(endDates&lt;=BW$8))),0)</f>
        <v>23104.174838749994</v>
      </c>
      <c r="BX37" s="184" cm="1">
        <f t="array" ref="BX37">IFERROR(SUM(_xlfn._xlws.FILTER(_xlfn._xlws.FILTER(dataSummaryPL,(dataSummaryPLSummarys=$D37)*(dataSummaryPLSections=$E37)),(startDates&gt;=BX$7)*(endDates&lt;=BX$8))),0)</f>
        <v>23257.551741086805</v>
      </c>
      <c r="BY37" s="184" cm="1">
        <f t="array" ref="BY37">IFERROR(SUM(_xlfn._xlws.FILTER(_xlfn._xlws.FILTER(dataSummaryPL,(dataSummaryPLSummarys=$D37)*(dataSummaryPLSections=$E37)),(startDates&gt;=BY$7)*(endDates&lt;=BY$8))),0)</f>
        <v>22547.144601332555</v>
      </c>
      <c r="BZ37" s="184" cm="1">
        <f t="array" ref="BZ37">IFERROR(SUM(_xlfn._xlws.FILTER(_xlfn._xlws.FILTER(dataSummaryPL,(dataSummaryPLSummarys=$D37)*(dataSummaryPLSections=$E37)),(startDates&gt;=BZ$7)*(endDates&lt;=BZ$8))),0)</f>
        <v>23201.999545454637</v>
      </c>
      <c r="CA37" s="184" cm="1">
        <f t="array" ref="CA37">IFERROR(SUM(_xlfn._xlws.FILTER(_xlfn._xlws.FILTER(dataSummaryPL,(dataSummaryPLSummarys=$D37)*(dataSummaryPLSections=$E37)),(startDates&gt;=CA$7)*(endDates&lt;=CA$8))),0)</f>
        <v>23341.245771464753</v>
      </c>
      <c r="CB37" s="184" cm="1">
        <f t="array" ref="CB37">IFERROR(SUM(_xlfn._xlws.FILTER(_xlfn._xlws.FILTER(dataSummaryPL,(dataSummaryPLSummarys=$D37)*(dataSummaryPLSections=$E37)),(startDates&gt;=CB$7)*(endDates&lt;=CB$8))),0)</f>
        <v>23604.57954813775</v>
      </c>
      <c r="CC37" s="184" cm="1">
        <f t="array" ref="CC37">IFERROR(SUM(_xlfn._xlws.FILTER(_xlfn._xlws.FILTER(dataSummaryPL,(dataSummaryPLSummarys=$D37)*(dataSummaryPLSections=$E37)),(startDates&gt;=CC$7)*(endDates&lt;=CC$8))),0)</f>
        <v>23816.308752534078</v>
      </c>
      <c r="CD37" s="184" cm="1">
        <f t="array" ref="CD37">IFERROR(SUM(_xlfn._xlws.FILTER(_xlfn._xlws.FILTER(dataSummaryPL,(dataSummaryPLSummarys=$D37)*(dataSummaryPLSections=$E37)),(startDates&gt;=CD$7)*(endDates&lt;=CD$8))),0)</f>
        <v>24113.501631890736</v>
      </c>
      <c r="CE37" s="184" cm="1">
        <f t="array" ref="CE37">IFERROR(SUM(_xlfn._xlws.FILTER(_xlfn._xlws.FILTER(dataSummaryPL,(dataSummaryPLSummarys=$D37)*(dataSummaryPLSections=$E37)),(startDates&gt;=CE$7)*(endDates&lt;=CE$8))),0)</f>
        <v>24423.709529448093</v>
      </c>
      <c r="CF37" s="184" cm="1">
        <f t="array" ref="CF37">IFERROR(SUM(_xlfn._xlws.FILTER(_xlfn._xlws.FILTER(dataSummaryPL,(dataSummaryPLSummarys=$D37)*(dataSummaryPLSections=$E37)),(startDates&gt;=CF$7)*(endDates&lt;=CF$8))),0)</f>
        <v>24742.386169646088</v>
      </c>
      <c r="CG37" s="184" cm="1">
        <f t="array" ref="CG37">IFERROR(SUM(_xlfn._xlws.FILTER(_xlfn._xlws.FILTER(dataSummaryPL,(dataSummaryPLSummarys=$D37)*(dataSummaryPLSections=$E37)),(startDates&gt;=CG$7)*(endDates&lt;=CG$8))),0)</f>
        <v>25062.99549554626</v>
      </c>
    </row>
    <row r="38" spans="1:85" hidden="1" outlineLevel="2">
      <c r="C38" s="331" t="s">
        <v>132</v>
      </c>
      <c r="D38" s="163" t="str">
        <f>C38</f>
        <v>Depreciation &amp; Amortization</v>
      </c>
      <c r="E38" s="150" t="s">
        <v>131</v>
      </c>
      <c r="F38" s="163"/>
      <c r="G38" s="163"/>
      <c r="J38" s="184" cm="1">
        <f t="array" ref="J38">IFERROR(SUM(_xlfn._xlws.FILTER(_xlfn._xlws.FILTER(dataSummaryPL,(dataSummaryPLSummarys=$D38)*(dataSummaryPLSections=$E38)),(startDates&gt;=J$7)*(endDates&lt;=J$8))),0)</f>
        <v>0</v>
      </c>
      <c r="K38" s="184" cm="1">
        <f t="array" ref="K38">IFERROR(SUM(_xlfn._xlws.FILTER(_xlfn._xlws.FILTER(dataSummaryPL,(dataSummaryPLSummarys=$D38)*(dataSummaryPLSections=$E38)),(startDates&gt;=K$7)*(endDates&lt;=K$8))),0)</f>
        <v>0</v>
      </c>
      <c r="N38" s="184" cm="1">
        <f t="array" ref="N38">IFERROR(SUM(_xlfn._xlws.FILTER(_xlfn._xlws.FILTER(dataSummaryPL,(dataSummaryPLSummarys=$D38)*(dataSummaryPLSections=$E38)),(startDates&gt;=N$7)*(endDates&lt;=N$8))),0)</f>
        <v>0</v>
      </c>
      <c r="O38" s="184" cm="1">
        <f t="array" ref="O38">IFERROR(SUM(_xlfn._xlws.FILTER(_xlfn._xlws.FILTER(dataSummaryPL,(dataSummaryPLSummarys=$D38)*(dataSummaryPLSections=$E38)),(startDates&gt;=O$7)*(endDates&lt;=O$8))),0)</f>
        <v>0</v>
      </c>
      <c r="P38" s="184" cm="1">
        <f t="array" ref="P38">IFERROR(SUM(_xlfn._xlws.FILTER(_xlfn._xlws.FILTER(dataSummaryPL,(dataSummaryPLSummarys=$D38)*(dataSummaryPLSections=$E38)),(startDates&gt;=P$7)*(endDates&lt;=P$8))),0)</f>
        <v>0</v>
      </c>
      <c r="Q38" s="184" cm="1">
        <f t="array" ref="Q38">IFERROR(SUM(_xlfn._xlws.FILTER(_xlfn._xlws.FILTER(dataSummaryPL,(dataSummaryPLSummarys=$D38)*(dataSummaryPLSections=$E38)),(startDates&gt;=Q$7)*(endDates&lt;=Q$8))),0)</f>
        <v>0</v>
      </c>
      <c r="T38" s="184" cm="1">
        <f t="array" ref="T38">IFERROR(SUM(_xlfn._xlws.FILTER(_xlfn._xlws.FILTER(dataSummaryPL,(dataSummaryPLSummarys=$D38)*(dataSummaryPLSections=$E38)),(startDates&gt;=T$7)*(endDates&lt;=T$8))),0)</f>
        <v>0</v>
      </c>
      <c r="U38" s="184" cm="1">
        <f t="array" ref="U38">IFERROR(SUM(_xlfn._xlws.FILTER(_xlfn._xlws.FILTER(dataSummaryPL,(dataSummaryPLSummarys=$D38)*(dataSummaryPLSections=$E38)),(startDates&gt;=U$7)*(endDates&lt;=U$8))),0)</f>
        <v>0</v>
      </c>
      <c r="V38" s="184" cm="1">
        <f t="array" ref="V38">IFERROR(SUM(_xlfn._xlws.FILTER(_xlfn._xlws.FILTER(dataSummaryPL,(dataSummaryPLSummarys=$D38)*(dataSummaryPLSections=$E38)),(startDates&gt;=V$7)*(endDates&lt;=V$8))),0)</f>
        <v>0</v>
      </c>
      <c r="W38" s="184" cm="1">
        <f t="array" ref="W38">IFERROR(SUM(_xlfn._xlws.FILTER(_xlfn._xlws.FILTER(dataSummaryPL,(dataSummaryPLSummarys=$D38)*(dataSummaryPLSections=$E38)),(startDates&gt;=W$7)*(endDates&lt;=W$8))),0)</f>
        <v>0</v>
      </c>
      <c r="X38" s="184" cm="1">
        <f t="array" ref="X38">IFERROR(SUM(_xlfn._xlws.FILTER(_xlfn._xlws.FILTER(dataSummaryPL,(dataSummaryPLSummarys=$D38)*(dataSummaryPLSections=$E38)),(startDates&gt;=X$7)*(endDates&lt;=X$8))),0)</f>
        <v>0</v>
      </c>
      <c r="Y38" s="184" cm="1">
        <f t="array" ref="Y38">IFERROR(SUM(_xlfn._xlws.FILTER(_xlfn._xlws.FILTER(dataSummaryPL,(dataSummaryPLSummarys=$D38)*(dataSummaryPLSections=$E38)),(startDates&gt;=Y$7)*(endDates&lt;=Y$8))),0)</f>
        <v>0</v>
      </c>
      <c r="Z38" s="184" cm="1">
        <f t="array" ref="Z38">IFERROR(SUM(_xlfn._xlws.FILTER(_xlfn._xlws.FILTER(dataSummaryPL,(dataSummaryPLSummarys=$D38)*(dataSummaryPLSections=$E38)),(startDates&gt;=Z$7)*(endDates&lt;=Z$8))),0)</f>
        <v>0</v>
      </c>
      <c r="AA38" s="184" cm="1">
        <f t="array" ref="AA38">IFERROR(SUM(_xlfn._xlws.FILTER(_xlfn._xlws.FILTER(dataSummaryPL,(dataSummaryPLSummarys=$D38)*(dataSummaryPLSections=$E38)),(startDates&gt;=AA$7)*(endDates&lt;=AA$8))),0)</f>
        <v>0</v>
      </c>
      <c r="AB38" s="184" cm="1">
        <f t="array" ref="AB38">IFERROR(SUM(_xlfn._xlws.FILTER(_xlfn._xlws.FILTER(dataSummaryPL,(dataSummaryPLSummarys=$D38)*(dataSummaryPLSections=$E38)),(startDates&gt;=AB$7)*(endDates&lt;=AB$8))),0)</f>
        <v>0</v>
      </c>
      <c r="AC38" s="184" cm="1">
        <f t="array" ref="AC38">IFERROR(SUM(_xlfn._xlws.FILTER(_xlfn._xlws.FILTER(dataSummaryPL,(dataSummaryPLSummarys=$D38)*(dataSummaryPLSections=$E38)),(startDates&gt;=AC$7)*(endDates&lt;=AC$8))),0)</f>
        <v>0</v>
      </c>
      <c r="AD38" s="184" cm="1">
        <f t="array" ref="AD38">IFERROR(SUM(_xlfn._xlws.FILTER(_xlfn._xlws.FILTER(dataSummaryPL,(dataSummaryPLSummarys=$D38)*(dataSummaryPLSections=$E38)),(startDates&gt;=AD$7)*(endDates&lt;=AD$8))),0)</f>
        <v>0</v>
      </c>
      <c r="AE38" s="184" cm="1">
        <f t="array" ref="AE38">IFERROR(SUM(_xlfn._xlws.FILTER(_xlfn._xlws.FILTER(dataSummaryPL,(dataSummaryPLSummarys=$D38)*(dataSummaryPLSections=$E38)),(startDates&gt;=AE$7)*(endDates&lt;=AE$8))),0)</f>
        <v>0</v>
      </c>
      <c r="AF38" s="184" cm="1">
        <f t="array" ref="AF38">IFERROR(SUM(_xlfn._xlws.FILTER(_xlfn._xlws.FILTER(dataSummaryPL,(dataSummaryPLSummarys=$D38)*(dataSummaryPLSections=$E38)),(startDates&gt;=AF$7)*(endDates&lt;=AF$8))),0)</f>
        <v>0</v>
      </c>
      <c r="AG38" s="184" cm="1">
        <f t="array" ref="AG38">IFERROR(SUM(_xlfn._xlws.FILTER(_xlfn._xlws.FILTER(dataSummaryPL,(dataSummaryPLSummarys=$D38)*(dataSummaryPLSections=$E38)),(startDates&gt;=AG$7)*(endDates&lt;=AG$8))),0)</f>
        <v>0</v>
      </c>
      <c r="AH38" s="184" cm="1">
        <f t="array" ref="AH38">IFERROR(SUM(_xlfn._xlws.FILTER(_xlfn._xlws.FILTER(dataSummaryPL,(dataSummaryPLSummarys=$D38)*(dataSummaryPLSections=$E38)),(startDates&gt;=AH$7)*(endDates&lt;=AH$8))),0)</f>
        <v>0</v>
      </c>
      <c r="AI38" s="184" cm="1">
        <f t="array" ref="AI38">IFERROR(SUM(_xlfn._xlws.FILTER(_xlfn._xlws.FILTER(dataSummaryPL,(dataSummaryPLSummarys=$D38)*(dataSummaryPLSections=$E38)),(startDates&gt;=AI$7)*(endDates&lt;=AI$8))),0)</f>
        <v>0</v>
      </c>
      <c r="AL38" s="184" cm="1">
        <f t="array" ref="AL38">IFERROR(SUM(_xlfn._xlws.FILTER(_xlfn._xlws.FILTER(dataSummaryPL,(dataSummaryPLSummarys=$D38)*(dataSummaryPLSections=$E38)),(startDates&gt;=AL$7)*(endDates&lt;=AL$8))),0)</f>
        <v>0</v>
      </c>
      <c r="AM38" s="184" cm="1">
        <f t="array" ref="AM38">IFERROR(SUM(_xlfn._xlws.FILTER(_xlfn._xlws.FILTER(dataSummaryPL,(dataSummaryPLSummarys=$D38)*(dataSummaryPLSections=$E38)),(startDates&gt;=AM$7)*(endDates&lt;=AM$8))),0)</f>
        <v>0</v>
      </c>
      <c r="AN38" s="184" cm="1">
        <f t="array" ref="AN38">IFERROR(SUM(_xlfn._xlws.FILTER(_xlfn._xlws.FILTER(dataSummaryPL,(dataSummaryPLSummarys=$D38)*(dataSummaryPLSections=$E38)),(startDates&gt;=AN$7)*(endDates&lt;=AN$8))),0)</f>
        <v>0</v>
      </c>
      <c r="AO38" s="184" cm="1">
        <f t="array" ref="AO38">IFERROR(SUM(_xlfn._xlws.FILTER(_xlfn._xlws.FILTER(dataSummaryPL,(dataSummaryPLSummarys=$D38)*(dataSummaryPLSections=$E38)),(startDates&gt;=AO$7)*(endDates&lt;=AO$8))),0)</f>
        <v>0</v>
      </c>
      <c r="AP38" s="184" cm="1">
        <f t="array" ref="AP38">IFERROR(SUM(_xlfn._xlws.FILTER(_xlfn._xlws.FILTER(dataSummaryPL,(dataSummaryPLSummarys=$D38)*(dataSummaryPLSections=$E38)),(startDates&gt;=AP$7)*(endDates&lt;=AP$8))),0)</f>
        <v>0</v>
      </c>
      <c r="AQ38" s="184" cm="1">
        <f t="array" ref="AQ38">IFERROR(SUM(_xlfn._xlws.FILTER(_xlfn._xlws.FILTER(dataSummaryPL,(dataSummaryPLSummarys=$D38)*(dataSummaryPLSections=$E38)),(startDates&gt;=AQ$7)*(endDates&lt;=AQ$8))),0)</f>
        <v>0</v>
      </c>
      <c r="AR38" s="184" cm="1">
        <f t="array" ref="AR38">IFERROR(SUM(_xlfn._xlws.FILTER(_xlfn._xlws.FILTER(dataSummaryPL,(dataSummaryPLSummarys=$D38)*(dataSummaryPLSections=$E38)),(startDates&gt;=AR$7)*(endDates&lt;=AR$8))),0)</f>
        <v>0</v>
      </c>
      <c r="AS38" s="184" cm="1">
        <f t="array" ref="AS38">IFERROR(SUM(_xlfn._xlws.FILTER(_xlfn._xlws.FILTER(dataSummaryPL,(dataSummaryPLSummarys=$D38)*(dataSummaryPLSections=$E38)),(startDates&gt;=AS$7)*(endDates&lt;=AS$8))),0)</f>
        <v>0</v>
      </c>
      <c r="AT38" s="184" cm="1">
        <f t="array" ref="AT38">IFERROR(SUM(_xlfn._xlws.FILTER(_xlfn._xlws.FILTER(dataSummaryPL,(dataSummaryPLSummarys=$D38)*(dataSummaryPLSections=$E38)),(startDates&gt;=AT$7)*(endDates&lt;=AT$8))),0)</f>
        <v>0</v>
      </c>
      <c r="AU38" s="184" cm="1">
        <f t="array" ref="AU38">IFERROR(SUM(_xlfn._xlws.FILTER(_xlfn._xlws.FILTER(dataSummaryPL,(dataSummaryPLSummarys=$D38)*(dataSummaryPLSections=$E38)),(startDates&gt;=AU$7)*(endDates&lt;=AU$8))),0)</f>
        <v>0</v>
      </c>
      <c r="AV38" s="184" cm="1">
        <f t="array" ref="AV38">IFERROR(SUM(_xlfn._xlws.FILTER(_xlfn._xlws.FILTER(dataSummaryPL,(dataSummaryPLSummarys=$D38)*(dataSummaryPLSections=$E38)),(startDates&gt;=AV$7)*(endDates&lt;=AV$8))),0)</f>
        <v>0</v>
      </c>
      <c r="AW38" s="184" cm="1">
        <f t="array" ref="AW38">IFERROR(SUM(_xlfn._xlws.FILTER(_xlfn._xlws.FILTER(dataSummaryPL,(dataSummaryPLSummarys=$D38)*(dataSummaryPLSections=$E38)),(startDates&gt;=AW$7)*(endDates&lt;=AW$8))),0)</f>
        <v>0</v>
      </c>
      <c r="AX38" s="184" cm="1">
        <f t="array" ref="AX38">IFERROR(SUM(_xlfn._xlws.FILTER(_xlfn._xlws.FILTER(dataSummaryPL,(dataSummaryPLSummarys=$D38)*(dataSummaryPLSections=$E38)),(startDates&gt;=AX$7)*(endDates&lt;=AX$8))),0)</f>
        <v>0</v>
      </c>
      <c r="AY38" s="184" cm="1">
        <f t="array" ref="AY38">IFERROR(SUM(_xlfn._xlws.FILTER(_xlfn._xlws.FILTER(dataSummaryPL,(dataSummaryPLSummarys=$D38)*(dataSummaryPLSections=$E38)),(startDates&gt;=AY$7)*(endDates&lt;=AY$8))),0)</f>
        <v>0</v>
      </c>
      <c r="AZ38" s="184" cm="1">
        <f t="array" ref="AZ38">IFERROR(SUM(_xlfn._xlws.FILTER(_xlfn._xlws.FILTER(dataSummaryPL,(dataSummaryPLSummarys=$D38)*(dataSummaryPLSections=$E38)),(startDates&gt;=AZ$7)*(endDates&lt;=AZ$8))),0)</f>
        <v>0</v>
      </c>
      <c r="BA38" s="184" cm="1">
        <f t="array" ref="BA38">IFERROR(SUM(_xlfn._xlws.FILTER(_xlfn._xlws.FILTER(dataSummaryPL,(dataSummaryPLSummarys=$D38)*(dataSummaryPLSections=$E38)),(startDates&gt;=BA$7)*(endDates&lt;=BA$8))),0)</f>
        <v>0</v>
      </c>
      <c r="BB38" s="184" cm="1">
        <f t="array" ref="BB38">IFERROR(SUM(_xlfn._xlws.FILTER(_xlfn._xlws.FILTER(dataSummaryPL,(dataSummaryPLSummarys=$D38)*(dataSummaryPLSections=$E38)),(startDates&gt;=BB$7)*(endDates&lt;=BB$8))),0)</f>
        <v>0</v>
      </c>
      <c r="BC38" s="184" cm="1">
        <f t="array" ref="BC38">IFERROR(SUM(_xlfn._xlws.FILTER(_xlfn._xlws.FILTER(dataSummaryPL,(dataSummaryPLSummarys=$D38)*(dataSummaryPLSections=$E38)),(startDates&gt;=BC$7)*(endDates&lt;=BC$8))),0)</f>
        <v>0</v>
      </c>
      <c r="BD38" s="184" cm="1">
        <f t="array" ref="BD38">IFERROR(SUM(_xlfn._xlws.FILTER(_xlfn._xlws.FILTER(dataSummaryPL,(dataSummaryPLSummarys=$D38)*(dataSummaryPLSections=$E38)),(startDates&gt;=BD$7)*(endDates&lt;=BD$8))),0)</f>
        <v>0</v>
      </c>
      <c r="BE38" s="184" cm="1">
        <f t="array" ref="BE38">IFERROR(SUM(_xlfn._xlws.FILTER(_xlfn._xlws.FILTER(dataSummaryPL,(dataSummaryPLSummarys=$D38)*(dataSummaryPLSections=$E38)),(startDates&gt;=BE$7)*(endDates&lt;=BE$8))),0)</f>
        <v>0</v>
      </c>
      <c r="BF38" s="184" cm="1">
        <f t="array" ref="BF38">IFERROR(SUM(_xlfn._xlws.FILTER(_xlfn._xlws.FILTER(dataSummaryPL,(dataSummaryPLSummarys=$D38)*(dataSummaryPLSections=$E38)),(startDates&gt;=BF$7)*(endDates&lt;=BF$8))),0)</f>
        <v>0</v>
      </c>
      <c r="BG38" s="184" cm="1">
        <f t="array" ref="BG38">IFERROR(SUM(_xlfn._xlws.FILTER(_xlfn._xlws.FILTER(dataSummaryPL,(dataSummaryPLSummarys=$D38)*(dataSummaryPLSections=$E38)),(startDates&gt;=BG$7)*(endDates&lt;=BG$8))),0)</f>
        <v>0</v>
      </c>
      <c r="BH38" s="184" cm="1">
        <f t="array" ref="BH38">IFERROR(SUM(_xlfn._xlws.FILTER(_xlfn._xlws.FILTER(dataSummaryPL,(dataSummaryPLSummarys=$D38)*(dataSummaryPLSections=$E38)),(startDates&gt;=BH$7)*(endDates&lt;=BH$8))),0)</f>
        <v>0</v>
      </c>
      <c r="BI38" s="184" cm="1">
        <f t="array" ref="BI38">IFERROR(SUM(_xlfn._xlws.FILTER(_xlfn._xlws.FILTER(dataSummaryPL,(dataSummaryPLSummarys=$D38)*(dataSummaryPLSections=$E38)),(startDates&gt;=BI$7)*(endDates&lt;=BI$8))),0)</f>
        <v>0</v>
      </c>
      <c r="BJ38" s="184" cm="1">
        <f t="array" ref="BJ38">IFERROR(SUM(_xlfn._xlws.FILTER(_xlfn._xlws.FILTER(dataSummaryPL,(dataSummaryPLSummarys=$D38)*(dataSummaryPLSections=$E38)),(startDates&gt;=BJ$7)*(endDates&lt;=BJ$8))),0)</f>
        <v>0</v>
      </c>
      <c r="BK38" s="184" cm="1">
        <f t="array" ref="BK38">IFERROR(SUM(_xlfn._xlws.FILTER(_xlfn._xlws.FILTER(dataSummaryPL,(dataSummaryPLSummarys=$D38)*(dataSummaryPLSections=$E38)),(startDates&gt;=BK$7)*(endDates&lt;=BK$8))),0)</f>
        <v>0</v>
      </c>
      <c r="BL38" s="184" cm="1">
        <f t="array" ref="BL38">IFERROR(SUM(_xlfn._xlws.FILTER(_xlfn._xlws.FILTER(dataSummaryPL,(dataSummaryPLSummarys=$D38)*(dataSummaryPLSections=$E38)),(startDates&gt;=BL$7)*(endDates&lt;=BL$8))),0)</f>
        <v>0</v>
      </c>
      <c r="BM38" s="184" cm="1">
        <f t="array" ref="BM38">IFERROR(SUM(_xlfn._xlws.FILTER(_xlfn._xlws.FILTER(dataSummaryPL,(dataSummaryPLSummarys=$D38)*(dataSummaryPLSections=$E38)),(startDates&gt;=BM$7)*(endDates&lt;=BM$8))),0)</f>
        <v>0</v>
      </c>
      <c r="BN38" s="184" cm="1">
        <f t="array" ref="BN38">IFERROR(SUM(_xlfn._xlws.FILTER(_xlfn._xlws.FILTER(dataSummaryPL,(dataSummaryPLSummarys=$D38)*(dataSummaryPLSections=$E38)),(startDates&gt;=BN$7)*(endDates&lt;=BN$8))),0)</f>
        <v>0</v>
      </c>
      <c r="BO38" s="184" cm="1">
        <f t="array" ref="BO38">IFERROR(SUM(_xlfn._xlws.FILTER(_xlfn._xlws.FILTER(dataSummaryPL,(dataSummaryPLSummarys=$D38)*(dataSummaryPLSections=$E38)),(startDates&gt;=BO$7)*(endDates&lt;=BO$8))),0)</f>
        <v>0</v>
      </c>
      <c r="BP38" s="184" cm="1">
        <f t="array" ref="BP38">IFERROR(SUM(_xlfn._xlws.FILTER(_xlfn._xlws.FILTER(dataSummaryPL,(dataSummaryPLSummarys=$D38)*(dataSummaryPLSections=$E38)),(startDates&gt;=BP$7)*(endDates&lt;=BP$8))),0)</f>
        <v>0</v>
      </c>
      <c r="BQ38" s="184" cm="1">
        <f t="array" ref="BQ38">IFERROR(SUM(_xlfn._xlws.FILTER(_xlfn._xlws.FILTER(dataSummaryPL,(dataSummaryPLSummarys=$D38)*(dataSummaryPLSections=$E38)),(startDates&gt;=BQ$7)*(endDates&lt;=BQ$8))),0)</f>
        <v>0</v>
      </c>
      <c r="BR38" s="184" cm="1">
        <f t="array" ref="BR38">IFERROR(SUM(_xlfn._xlws.FILTER(_xlfn._xlws.FILTER(dataSummaryPL,(dataSummaryPLSummarys=$D38)*(dataSummaryPLSections=$E38)),(startDates&gt;=BR$7)*(endDates&lt;=BR$8))),0)</f>
        <v>0</v>
      </c>
      <c r="BS38" s="184" cm="1">
        <f t="array" ref="BS38">IFERROR(SUM(_xlfn._xlws.FILTER(_xlfn._xlws.FILTER(dataSummaryPL,(dataSummaryPLSummarys=$D38)*(dataSummaryPLSections=$E38)),(startDates&gt;=BS$7)*(endDates&lt;=BS$8))),0)</f>
        <v>0</v>
      </c>
      <c r="BT38" s="184" cm="1">
        <f t="array" ref="BT38">IFERROR(SUM(_xlfn._xlws.FILTER(_xlfn._xlws.FILTER(dataSummaryPL,(dataSummaryPLSummarys=$D38)*(dataSummaryPLSections=$E38)),(startDates&gt;=BT$7)*(endDates&lt;=BT$8))),0)</f>
        <v>0</v>
      </c>
      <c r="BU38" s="184" cm="1">
        <f t="array" ref="BU38">IFERROR(SUM(_xlfn._xlws.FILTER(_xlfn._xlws.FILTER(dataSummaryPL,(dataSummaryPLSummarys=$D38)*(dataSummaryPLSections=$E38)),(startDates&gt;=BU$7)*(endDates&lt;=BU$8))),0)</f>
        <v>0</v>
      </c>
      <c r="BV38" s="184" cm="1">
        <f t="array" ref="BV38">IFERROR(SUM(_xlfn._xlws.FILTER(_xlfn._xlws.FILTER(dataSummaryPL,(dataSummaryPLSummarys=$D38)*(dataSummaryPLSections=$E38)),(startDates&gt;=BV$7)*(endDates&lt;=BV$8))),0)</f>
        <v>0</v>
      </c>
      <c r="BW38" s="184" cm="1">
        <f t="array" ref="BW38">IFERROR(SUM(_xlfn._xlws.FILTER(_xlfn._xlws.FILTER(dataSummaryPL,(dataSummaryPLSummarys=$D38)*(dataSummaryPLSections=$E38)),(startDates&gt;=BW$7)*(endDates&lt;=BW$8))),0)</f>
        <v>0</v>
      </c>
      <c r="BX38" s="184" cm="1">
        <f t="array" ref="BX38">IFERROR(SUM(_xlfn._xlws.FILTER(_xlfn._xlws.FILTER(dataSummaryPL,(dataSummaryPLSummarys=$D38)*(dataSummaryPLSections=$E38)),(startDates&gt;=BX$7)*(endDates&lt;=BX$8))),0)</f>
        <v>0</v>
      </c>
      <c r="BY38" s="184" cm="1">
        <f t="array" ref="BY38">IFERROR(SUM(_xlfn._xlws.FILTER(_xlfn._xlws.FILTER(dataSummaryPL,(dataSummaryPLSummarys=$D38)*(dataSummaryPLSections=$E38)),(startDates&gt;=BY$7)*(endDates&lt;=BY$8))),0)</f>
        <v>0</v>
      </c>
      <c r="BZ38" s="184" cm="1">
        <f t="array" ref="BZ38">IFERROR(SUM(_xlfn._xlws.FILTER(_xlfn._xlws.FILTER(dataSummaryPL,(dataSummaryPLSummarys=$D38)*(dataSummaryPLSections=$E38)),(startDates&gt;=BZ$7)*(endDates&lt;=BZ$8))),0)</f>
        <v>0</v>
      </c>
      <c r="CA38" s="184" cm="1">
        <f t="array" ref="CA38">IFERROR(SUM(_xlfn._xlws.FILTER(_xlfn._xlws.FILTER(dataSummaryPL,(dataSummaryPLSummarys=$D38)*(dataSummaryPLSections=$E38)),(startDates&gt;=CA$7)*(endDates&lt;=CA$8))),0)</f>
        <v>0</v>
      </c>
      <c r="CB38" s="184" cm="1">
        <f t="array" ref="CB38">IFERROR(SUM(_xlfn._xlws.FILTER(_xlfn._xlws.FILTER(dataSummaryPL,(dataSummaryPLSummarys=$D38)*(dataSummaryPLSections=$E38)),(startDates&gt;=CB$7)*(endDates&lt;=CB$8))),0)</f>
        <v>0</v>
      </c>
      <c r="CC38" s="184" cm="1">
        <f t="array" ref="CC38">IFERROR(SUM(_xlfn._xlws.FILTER(_xlfn._xlws.FILTER(dataSummaryPL,(dataSummaryPLSummarys=$D38)*(dataSummaryPLSections=$E38)),(startDates&gt;=CC$7)*(endDates&lt;=CC$8))),0)</f>
        <v>0</v>
      </c>
      <c r="CD38" s="184" cm="1">
        <f t="array" ref="CD38">IFERROR(SUM(_xlfn._xlws.FILTER(_xlfn._xlws.FILTER(dataSummaryPL,(dataSummaryPLSummarys=$D38)*(dataSummaryPLSections=$E38)),(startDates&gt;=CD$7)*(endDates&lt;=CD$8))),0)</f>
        <v>0</v>
      </c>
      <c r="CE38" s="184" cm="1">
        <f t="array" ref="CE38">IFERROR(SUM(_xlfn._xlws.FILTER(_xlfn._xlws.FILTER(dataSummaryPL,(dataSummaryPLSummarys=$D38)*(dataSummaryPLSections=$E38)),(startDates&gt;=CE$7)*(endDates&lt;=CE$8))),0)</f>
        <v>0</v>
      </c>
      <c r="CF38" s="184" cm="1">
        <f t="array" ref="CF38">IFERROR(SUM(_xlfn._xlws.FILTER(_xlfn._xlws.FILTER(dataSummaryPL,(dataSummaryPLSummarys=$D38)*(dataSummaryPLSections=$E38)),(startDates&gt;=CF$7)*(endDates&lt;=CF$8))),0)</f>
        <v>0</v>
      </c>
      <c r="CG38" s="184" cm="1">
        <f t="array" ref="CG38">IFERROR(SUM(_xlfn._xlws.FILTER(_xlfn._xlws.FILTER(dataSummaryPL,(dataSummaryPLSummarys=$D38)*(dataSummaryPLSections=$E38)),(startDates&gt;=CG$7)*(endDates&lt;=CG$8))),0)</f>
        <v>0</v>
      </c>
    </row>
    <row r="39" spans="1:85">
      <c r="C39" s="163"/>
      <c r="D39" s="163"/>
      <c r="F39" s="163"/>
      <c r="G39" s="163"/>
      <c r="J39" s="184"/>
      <c r="K39" s="184"/>
      <c r="N39" s="184"/>
      <c r="O39" s="184"/>
      <c r="P39" s="184"/>
      <c r="Q39" s="184"/>
      <c r="T39" s="184"/>
      <c r="U39" s="184"/>
      <c r="V39" s="184"/>
      <c r="W39" s="184"/>
      <c r="X39" s="184"/>
      <c r="Y39" s="184"/>
      <c r="Z39" s="184"/>
      <c r="AA39" s="184"/>
      <c r="AB39" s="184"/>
      <c r="AC39" s="184"/>
      <c r="AD39" s="184"/>
      <c r="AE39" s="184"/>
      <c r="AF39" s="184"/>
      <c r="AG39" s="184"/>
      <c r="AH39" s="184"/>
      <c r="AI39" s="184"/>
      <c r="AL39" s="184"/>
      <c r="AM39" s="184"/>
      <c r="AN39" s="184"/>
      <c r="AO39" s="184"/>
      <c r="AP39" s="184"/>
      <c r="AQ39" s="184"/>
      <c r="AR39" s="184"/>
      <c r="AS39" s="184"/>
      <c r="AT39" s="184"/>
      <c r="AU39" s="184"/>
      <c r="AV39" s="184"/>
      <c r="AW39" s="184"/>
      <c r="AX39" s="184"/>
      <c r="AY39" s="184"/>
      <c r="AZ39" s="184"/>
      <c r="BA39" s="184"/>
      <c r="BB39" s="184"/>
      <c r="BC39" s="184"/>
      <c r="BD39" s="184"/>
      <c r="BE39" s="184"/>
      <c r="BF39" s="184"/>
      <c r="BG39" s="184"/>
      <c r="BH39" s="184"/>
      <c r="BI39" s="184"/>
      <c r="BJ39" s="184"/>
      <c r="BK39" s="184"/>
      <c r="BL39" s="184"/>
      <c r="BM39" s="184"/>
      <c r="BN39" s="184"/>
      <c r="BO39" s="184"/>
      <c r="BP39" s="184"/>
      <c r="BQ39" s="184"/>
      <c r="BR39" s="184"/>
      <c r="BS39" s="184"/>
      <c r="BT39" s="184"/>
      <c r="BU39" s="184"/>
      <c r="BV39" s="184"/>
      <c r="BW39" s="184"/>
      <c r="BX39" s="184"/>
      <c r="BY39" s="184"/>
      <c r="BZ39" s="184"/>
      <c r="CA39" s="184"/>
      <c r="CB39" s="184"/>
      <c r="CC39" s="184"/>
      <c r="CD39" s="184"/>
      <c r="CE39" s="184"/>
      <c r="CF39" s="184"/>
      <c r="CG39" s="184"/>
    </row>
    <row r="40" spans="1:85" s="157" customFormat="1" ht="15.75">
      <c r="A40" s="148"/>
      <c r="B40" s="148"/>
      <c r="C40" s="160" t="s">
        <v>133</v>
      </c>
      <c r="D40" s="160"/>
      <c r="E40" s="161"/>
      <c r="F40" s="160"/>
      <c r="G40" s="160"/>
      <c r="J40" s="158">
        <f>J33-J36</f>
        <v>-236450.57999999996</v>
      </c>
      <c r="K40" s="158">
        <f>K33-K36</f>
        <v>-257946.57999999996</v>
      </c>
      <c r="N40" s="158">
        <f>N33-N36</f>
        <v>-77240</v>
      </c>
      <c r="O40" s="158">
        <f>O33-O36</f>
        <v>-257951.5</v>
      </c>
      <c r="P40" s="158">
        <f>P33-P36</f>
        <v>-258995.39466666663</v>
      </c>
      <c r="Q40" s="158">
        <f>Q33-Q36</f>
        <v>-283852.35949751397</v>
      </c>
      <c r="R40" s="159"/>
      <c r="S40" s="159"/>
      <c r="T40" s="158">
        <f t="shared" ref="T40:AI40" si="31">T33-T36</f>
        <v>-7777</v>
      </c>
      <c r="U40" s="158">
        <f t="shared" si="31"/>
        <v>-11195.5</v>
      </c>
      <c r="V40" s="158">
        <f t="shared" si="31"/>
        <v>-11847</v>
      </c>
      <c r="W40" s="158">
        <f t="shared" si="31"/>
        <v>-46420.5</v>
      </c>
      <c r="X40" s="158">
        <f t="shared" si="31"/>
        <v>-64487.5</v>
      </c>
      <c r="Y40" s="158">
        <f t="shared" si="31"/>
        <v>-64488</v>
      </c>
      <c r="Z40" s="158">
        <f t="shared" si="31"/>
        <v>-64488</v>
      </c>
      <c r="AA40" s="158">
        <f t="shared" si="31"/>
        <v>-64488</v>
      </c>
      <c r="AB40" s="158">
        <f t="shared" si="31"/>
        <v>-64486.740000000005</v>
      </c>
      <c r="AC40" s="158">
        <f t="shared" si="31"/>
        <v>-64486.74</v>
      </c>
      <c r="AD40" s="158">
        <f t="shared" si="31"/>
        <v>-64486.259999999995</v>
      </c>
      <c r="AE40" s="158">
        <f t="shared" si="31"/>
        <v>-65535.654666666662</v>
      </c>
      <c r="AF40" s="158">
        <f t="shared" si="31"/>
        <v>-68998.488452059028</v>
      </c>
      <c r="AG40" s="158">
        <f t="shared" si="31"/>
        <v>-69090.389918251953</v>
      </c>
      <c r="AH40" s="158">
        <f t="shared" si="31"/>
        <v>-71534.389932562568</v>
      </c>
      <c r="AI40" s="158">
        <f t="shared" si="31"/>
        <v>-74229.091194640438</v>
      </c>
      <c r="AJ40" s="159"/>
      <c r="AK40" s="159"/>
      <c r="AL40" s="158">
        <f t="shared" ref="AL40:CG40" si="32">AL33-AL36</f>
        <v>-2569</v>
      </c>
      <c r="AM40" s="158">
        <f t="shared" si="32"/>
        <v>-2569</v>
      </c>
      <c r="AN40" s="158">
        <f t="shared" si="32"/>
        <v>-2639</v>
      </c>
      <c r="AO40" s="158">
        <f t="shared" si="32"/>
        <v>-3611.5</v>
      </c>
      <c r="AP40" s="158">
        <f t="shared" si="32"/>
        <v>-3681</v>
      </c>
      <c r="AQ40" s="158">
        <f t="shared" si="32"/>
        <v>-3903</v>
      </c>
      <c r="AR40" s="158">
        <f t="shared" si="32"/>
        <v>-3903</v>
      </c>
      <c r="AS40" s="158">
        <f t="shared" si="32"/>
        <v>-3972</v>
      </c>
      <c r="AT40" s="158">
        <f t="shared" si="32"/>
        <v>-3972</v>
      </c>
      <c r="AU40" s="158">
        <f t="shared" si="32"/>
        <v>-8972</v>
      </c>
      <c r="AV40" s="158">
        <f t="shared" si="32"/>
        <v>-15953</v>
      </c>
      <c r="AW40" s="158">
        <f t="shared" si="32"/>
        <v>-21495.5</v>
      </c>
      <c r="AX40" s="158">
        <f t="shared" si="32"/>
        <v>-21495.5</v>
      </c>
      <c r="AY40" s="158">
        <f t="shared" si="32"/>
        <v>-21496</v>
      </c>
      <c r="AZ40" s="158">
        <f t="shared" si="32"/>
        <v>-21496</v>
      </c>
      <c r="BA40" s="158">
        <f t="shared" si="32"/>
        <v>-21496</v>
      </c>
      <c r="BB40" s="158">
        <f t="shared" si="32"/>
        <v>-21496</v>
      </c>
      <c r="BC40" s="158">
        <f t="shared" si="32"/>
        <v>-21496</v>
      </c>
      <c r="BD40" s="158">
        <f t="shared" si="32"/>
        <v>-21496</v>
      </c>
      <c r="BE40" s="158">
        <f t="shared" si="32"/>
        <v>-21496</v>
      </c>
      <c r="BF40" s="158">
        <f t="shared" si="32"/>
        <v>-21496</v>
      </c>
      <c r="BG40" s="158">
        <f t="shared" si="32"/>
        <v>-21496</v>
      </c>
      <c r="BH40" s="158">
        <f t="shared" si="32"/>
        <v>-21496</v>
      </c>
      <c r="BI40" s="158">
        <f t="shared" si="32"/>
        <v>-21496</v>
      </c>
      <c r="BJ40" s="158">
        <f t="shared" si="32"/>
        <v>-21495.42</v>
      </c>
      <c r="BK40" s="158">
        <f t="shared" si="32"/>
        <v>-21495.66</v>
      </c>
      <c r="BL40" s="158">
        <f t="shared" si="32"/>
        <v>-21495.66</v>
      </c>
      <c r="BM40" s="158">
        <f t="shared" si="32"/>
        <v>-21495.66</v>
      </c>
      <c r="BN40" s="158">
        <f t="shared" si="32"/>
        <v>-21495.66</v>
      </c>
      <c r="BO40" s="158">
        <f t="shared" si="32"/>
        <v>-21495.42</v>
      </c>
      <c r="BP40" s="158">
        <f t="shared" si="32"/>
        <v>-21495.42</v>
      </c>
      <c r="BQ40" s="158">
        <f t="shared" si="32"/>
        <v>-21495.42</v>
      </c>
      <c r="BR40" s="158">
        <f t="shared" si="32"/>
        <v>-21495.42</v>
      </c>
      <c r="BS40" s="158">
        <f t="shared" si="32"/>
        <v>-21495.42</v>
      </c>
      <c r="BT40" s="158">
        <f t="shared" si="32"/>
        <v>-21495.42</v>
      </c>
      <c r="BU40" s="158">
        <f t="shared" si="32"/>
        <v>-22544.814666666665</v>
      </c>
      <c r="BV40" s="158">
        <f t="shared" si="32"/>
        <v>-22636.761872222225</v>
      </c>
      <c r="BW40" s="158">
        <f t="shared" si="32"/>
        <v>-23104.174838749994</v>
      </c>
      <c r="BX40" s="158">
        <f t="shared" si="32"/>
        <v>-23257.551741086805</v>
      </c>
      <c r="BY40" s="158">
        <f t="shared" si="32"/>
        <v>-22547.144601332555</v>
      </c>
      <c r="BZ40" s="158">
        <f t="shared" si="32"/>
        <v>-23201.999545454637</v>
      </c>
      <c r="CA40" s="158">
        <f t="shared" si="32"/>
        <v>-23341.245771464753</v>
      </c>
      <c r="CB40" s="158">
        <f t="shared" si="32"/>
        <v>-23604.57954813775</v>
      </c>
      <c r="CC40" s="158">
        <f t="shared" si="32"/>
        <v>-23816.308752534078</v>
      </c>
      <c r="CD40" s="158">
        <f t="shared" si="32"/>
        <v>-24113.501631890736</v>
      </c>
      <c r="CE40" s="158">
        <f t="shared" si="32"/>
        <v>-24423.709529448093</v>
      </c>
      <c r="CF40" s="158">
        <f t="shared" si="32"/>
        <v>-24742.386169646088</v>
      </c>
      <c r="CG40" s="158">
        <f t="shared" si="32"/>
        <v>-25062.99549554626</v>
      </c>
    </row>
    <row r="42" spans="1:85" s="157" customFormat="1" ht="15.75">
      <c r="A42" s="148"/>
      <c r="B42" s="148"/>
      <c r="C42" s="160" t="s">
        <v>102</v>
      </c>
      <c r="D42" s="160"/>
      <c r="E42" s="161"/>
      <c r="F42" s="160"/>
      <c r="G42" s="160"/>
      <c r="J42" s="158">
        <f>J30+J40</f>
        <v>-2341848.6500000004</v>
      </c>
      <c r="K42" s="158">
        <f>K30+K40</f>
        <v>-2507838.1500000004</v>
      </c>
      <c r="N42" s="158">
        <f>N30+N40</f>
        <v>-659921.5</v>
      </c>
      <c r="O42" s="158">
        <f>O30+O40</f>
        <v>-1553482.5</v>
      </c>
      <c r="P42" s="158">
        <f>P30+P40</f>
        <v>-2623718.7422727281</v>
      </c>
      <c r="Q42" s="158">
        <f>Q30+Q40</f>
        <v>-2797484.9957560934</v>
      </c>
      <c r="R42" s="159"/>
      <c r="S42" s="159"/>
      <c r="T42" s="158">
        <f t="shared" ref="T42:AI42" si="33">T30+T40</f>
        <v>-134542</v>
      </c>
      <c r="U42" s="158">
        <f t="shared" si="33"/>
        <v>-141020</v>
      </c>
      <c r="V42" s="158">
        <f t="shared" si="33"/>
        <v>-142881.5</v>
      </c>
      <c r="W42" s="158">
        <f t="shared" si="33"/>
        <v>-241478</v>
      </c>
      <c r="X42" s="158">
        <f t="shared" si="33"/>
        <v>-277494</v>
      </c>
      <c r="Y42" s="158">
        <f t="shared" si="33"/>
        <v>-353145</v>
      </c>
      <c r="Z42" s="158">
        <f t="shared" si="33"/>
        <v>-445187</v>
      </c>
      <c r="AA42" s="158">
        <f t="shared" si="33"/>
        <v>-477656.50000000012</v>
      </c>
      <c r="AB42" s="158">
        <f t="shared" si="33"/>
        <v>-542782.23</v>
      </c>
      <c r="AC42" s="158">
        <f t="shared" si="33"/>
        <v>-610775.53000000014</v>
      </c>
      <c r="AD42" s="158">
        <f t="shared" si="33"/>
        <v>-682248.25</v>
      </c>
      <c r="AE42" s="158">
        <f t="shared" si="33"/>
        <v>-787912.73227272718</v>
      </c>
      <c r="AF42" s="158">
        <f t="shared" si="33"/>
        <v>-610564.83382827777</v>
      </c>
      <c r="AG42" s="158">
        <f t="shared" si="33"/>
        <v>-680673.71481320099</v>
      </c>
      <c r="AH42" s="158">
        <f t="shared" si="33"/>
        <v>-728827.48051758332</v>
      </c>
      <c r="AI42" s="158">
        <f t="shared" si="33"/>
        <v>-777418.9665970311</v>
      </c>
      <c r="AJ42" s="159"/>
      <c r="AK42" s="159"/>
      <c r="AL42" s="158">
        <f t="shared" ref="AL42:CG42" si="34">AL30+AL40</f>
        <v>-44399</v>
      </c>
      <c r="AM42" s="158">
        <f t="shared" si="34"/>
        <v>-44839</v>
      </c>
      <c r="AN42" s="158">
        <f t="shared" si="34"/>
        <v>-45304</v>
      </c>
      <c r="AO42" s="158">
        <f t="shared" si="34"/>
        <v>-46621</v>
      </c>
      <c r="AP42" s="158">
        <f t="shared" si="34"/>
        <v>-46978</v>
      </c>
      <c r="AQ42" s="158">
        <f t="shared" si="34"/>
        <v>-47421</v>
      </c>
      <c r="AR42" s="158">
        <f t="shared" si="34"/>
        <v>-47561</v>
      </c>
      <c r="AS42" s="158">
        <f t="shared" si="34"/>
        <v>-47684.5</v>
      </c>
      <c r="AT42" s="158">
        <f t="shared" si="34"/>
        <v>-47636</v>
      </c>
      <c r="AU42" s="158">
        <f t="shared" si="34"/>
        <v>-52475</v>
      </c>
      <c r="AV42" s="158">
        <f t="shared" si="34"/>
        <v>-64818</v>
      </c>
      <c r="AW42" s="158">
        <f t="shared" si="34"/>
        <v>-124185</v>
      </c>
      <c r="AX42" s="158">
        <f t="shared" si="34"/>
        <v>-72804.5</v>
      </c>
      <c r="AY42" s="158">
        <f t="shared" si="34"/>
        <v>-129320</v>
      </c>
      <c r="AZ42" s="158">
        <f t="shared" si="34"/>
        <v>-75369.5</v>
      </c>
      <c r="BA42" s="158">
        <f t="shared" si="34"/>
        <v>-134710.5</v>
      </c>
      <c r="BB42" s="158">
        <f t="shared" si="34"/>
        <v>-78062.5</v>
      </c>
      <c r="BC42" s="158">
        <f t="shared" si="34"/>
        <v>-140372</v>
      </c>
      <c r="BD42" s="158">
        <f t="shared" si="34"/>
        <v>-146316</v>
      </c>
      <c r="BE42" s="158">
        <f t="shared" si="34"/>
        <v>-146315</v>
      </c>
      <c r="BF42" s="158">
        <f t="shared" si="34"/>
        <v>-152556</v>
      </c>
      <c r="BG42" s="158">
        <f t="shared" si="34"/>
        <v>-152557</v>
      </c>
      <c r="BH42" s="158">
        <f t="shared" si="34"/>
        <v>-159110</v>
      </c>
      <c r="BI42" s="158">
        <f t="shared" si="34"/>
        <v>-165989.5</v>
      </c>
      <c r="BJ42" s="158">
        <f t="shared" si="34"/>
        <v>-173214.90999999997</v>
      </c>
      <c r="BK42" s="158">
        <f t="shared" si="34"/>
        <v>-180800.66</v>
      </c>
      <c r="BL42" s="158">
        <f t="shared" si="34"/>
        <v>-188766.66</v>
      </c>
      <c r="BM42" s="158">
        <f t="shared" si="34"/>
        <v>-197129.66</v>
      </c>
      <c r="BN42" s="158">
        <f t="shared" si="34"/>
        <v>-205913.66</v>
      </c>
      <c r="BO42" s="158">
        <f t="shared" si="34"/>
        <v>-207732.21000000002</v>
      </c>
      <c r="BP42" s="158">
        <f t="shared" si="34"/>
        <v>-219114.04999999993</v>
      </c>
      <c r="BQ42" s="158">
        <f t="shared" si="34"/>
        <v>-235479.99</v>
      </c>
      <c r="BR42" s="158">
        <f t="shared" si="34"/>
        <v>-227654.20999999996</v>
      </c>
      <c r="BS42" s="158">
        <f t="shared" si="34"/>
        <v>-246862.14999999997</v>
      </c>
      <c r="BT42" s="158">
        <f t="shared" si="34"/>
        <v>-259180.48999999993</v>
      </c>
      <c r="BU42" s="158">
        <f t="shared" si="34"/>
        <v>-281870.09227272728</v>
      </c>
      <c r="BV42" s="158">
        <f t="shared" si="34"/>
        <v>-224950.03602817957</v>
      </c>
      <c r="BW42" s="158">
        <f t="shared" si="34"/>
        <v>-190478.12569013386</v>
      </c>
      <c r="BX42" s="158">
        <f t="shared" si="34"/>
        <v>-195136.6721099643</v>
      </c>
      <c r="BY42" s="158">
        <f t="shared" si="34"/>
        <v>-222874.80513351597</v>
      </c>
      <c r="BZ42" s="158">
        <f t="shared" si="34"/>
        <v>-226364.12775811553</v>
      </c>
      <c r="CA42" s="158">
        <f t="shared" si="34"/>
        <v>-231434.78192156955</v>
      </c>
      <c r="CB42" s="158">
        <f t="shared" si="34"/>
        <v>-239175.14046604891</v>
      </c>
      <c r="CC42" s="158">
        <f t="shared" si="34"/>
        <v>-242999.3160891489</v>
      </c>
      <c r="CD42" s="158">
        <f t="shared" si="34"/>
        <v>-246653.02396238546</v>
      </c>
      <c r="CE42" s="158">
        <f t="shared" si="34"/>
        <v>-250115.95194645508</v>
      </c>
      <c r="CF42" s="158">
        <f t="shared" si="34"/>
        <v>-253468.681816656</v>
      </c>
      <c r="CG42" s="158">
        <f t="shared" si="34"/>
        <v>-273834.3328339202</v>
      </c>
    </row>
    <row r="43" spans="1:85" s="186" customFormat="1" outlineLevel="2">
      <c r="A43" s="148"/>
      <c r="B43" s="148"/>
      <c r="C43" s="188" t="s">
        <v>134</v>
      </c>
      <c r="D43" s="188"/>
      <c r="E43" s="189"/>
      <c r="F43" s="188"/>
      <c r="G43" s="188"/>
      <c r="J43" s="187">
        <f>IFERROR(J42/J$13,0)</f>
        <v>-2.6069897824109352</v>
      </c>
      <c r="K43" s="187">
        <f>IFERROR(K42/K$13,0)</f>
        <v>-2.6271637708418094</v>
      </c>
      <c r="N43" s="187">
        <f>IFERROR(N42/N$13,0)</f>
        <v>-2.6878194710882481</v>
      </c>
      <c r="O43" s="187">
        <f>IFERROR(O42/O$13,0)</f>
        <v>-2.6135524356698827</v>
      </c>
      <c r="P43" s="187">
        <f>IFERROR(P42/P$13,0)</f>
        <v>-2.7830918672146168</v>
      </c>
      <c r="Q43" s="187">
        <f>IFERROR(Q42/Q$13,0)</f>
        <v>-1.9275308782154033</v>
      </c>
      <c r="T43" s="187">
        <f t="shared" ref="T43:AI43" si="35">IFERROR(T42/T$13,0)</f>
        <v>-4.064712990936556</v>
      </c>
      <c r="U43" s="187">
        <f t="shared" si="35"/>
        <v>-3.2009260940621029</v>
      </c>
      <c r="V43" s="187">
        <f t="shared" si="35"/>
        <v>-2.4366292058186532</v>
      </c>
      <c r="W43" s="187">
        <f t="shared" si="35"/>
        <v>-2.2006962671332748</v>
      </c>
      <c r="X43" s="187">
        <f t="shared" si="35"/>
        <v>-1.9633638987943625</v>
      </c>
      <c r="Y43" s="187">
        <f t="shared" si="35"/>
        <v>-2.4553115157582961</v>
      </c>
      <c r="Z43" s="187">
        <f t="shared" si="35"/>
        <v>-3.0021174582408912</v>
      </c>
      <c r="AA43" s="187">
        <f t="shared" si="35"/>
        <v>-2.9679350561392832</v>
      </c>
      <c r="AB43" s="187">
        <f t="shared" si="35"/>
        <v>-2.9133719562773788</v>
      </c>
      <c r="AC43" s="187">
        <f t="shared" si="35"/>
        <v>-2.7221318497863196</v>
      </c>
      <c r="AD43" s="187">
        <f t="shared" si="35"/>
        <v>-2.4884189287811398</v>
      </c>
      <c r="AE43" s="187">
        <f t="shared" si="35"/>
        <v>-3.0552911208604643</v>
      </c>
      <c r="AF43" s="187">
        <f t="shared" si="35"/>
        <v>-1.8317815111066109</v>
      </c>
      <c r="AG43" s="187">
        <f t="shared" si="35"/>
        <v>-1.8233104925785719</v>
      </c>
      <c r="AH43" s="187">
        <f t="shared" si="35"/>
        <v>-1.9522992640783872</v>
      </c>
      <c r="AI43" s="187">
        <f t="shared" si="35"/>
        <v>-2.0933342007845486</v>
      </c>
      <c r="AL43" s="187">
        <f t="shared" ref="AL43:CG43" si="36">IFERROR(AL42/AL$13,0)</f>
        <v>-4.4398999999999997</v>
      </c>
      <c r="AM43" s="187">
        <f t="shared" si="36"/>
        <v>-4.0762727272727277</v>
      </c>
      <c r="AN43" s="187">
        <f t="shared" si="36"/>
        <v>-3.7441322314049588</v>
      </c>
      <c r="AO43" s="187">
        <f t="shared" si="36"/>
        <v>-3.5027047332832457</v>
      </c>
      <c r="AP43" s="187">
        <f t="shared" si="36"/>
        <v>-3.2086606106140292</v>
      </c>
      <c r="AQ43" s="187">
        <f t="shared" si="36"/>
        <v>-2.9444892890406704</v>
      </c>
      <c r="AR43" s="187">
        <f t="shared" si="36"/>
        <v>-2.6846353578685935</v>
      </c>
      <c r="AS43" s="187">
        <f t="shared" si="36"/>
        <v>-2.4469903012264589</v>
      </c>
      <c r="AT43" s="187">
        <f t="shared" si="36"/>
        <v>-2.2222429557753314</v>
      </c>
      <c r="AU43" s="187">
        <f t="shared" si="36"/>
        <v>-2.2254972645150346</v>
      </c>
      <c r="AV43" s="187">
        <f t="shared" si="36"/>
        <v>-1.4045374764350256</v>
      </c>
      <c r="AW43" s="187">
        <f t="shared" si="36"/>
        <v>-3.104625</v>
      </c>
      <c r="AX43" s="187">
        <f t="shared" si="36"/>
        <v>-1.502471288681601</v>
      </c>
      <c r="AY43" s="187">
        <f t="shared" si="36"/>
        <v>-3.079047619047619</v>
      </c>
      <c r="AZ43" s="187">
        <f t="shared" si="36"/>
        <v>-1.4813333464361875</v>
      </c>
      <c r="BA43" s="187">
        <f t="shared" si="36"/>
        <v>-3.0546598639455782</v>
      </c>
      <c r="BB43" s="187">
        <f t="shared" si="36"/>
        <v>-1.4611878556454028</v>
      </c>
      <c r="BC43" s="187">
        <f t="shared" si="36"/>
        <v>-3.0314652845265089</v>
      </c>
      <c r="BD43" s="187">
        <f t="shared" si="36"/>
        <v>-3.0093788564376798</v>
      </c>
      <c r="BE43" s="187">
        <f t="shared" si="36"/>
        <v>-3.0093582887700534</v>
      </c>
      <c r="BF43" s="187">
        <f t="shared" si="36"/>
        <v>-2.9883058118352235</v>
      </c>
      <c r="BG43" s="187">
        <f t="shared" si="36"/>
        <v>-2.9883254000901061</v>
      </c>
      <c r="BH43" s="187">
        <f t="shared" si="36"/>
        <v>-2.9682486381613313</v>
      </c>
      <c r="BI43" s="187">
        <f t="shared" si="36"/>
        <v>-2.9491418520361026</v>
      </c>
      <c r="BJ43" s="187">
        <f t="shared" si="36"/>
        <v>-2.9309666179455145</v>
      </c>
      <c r="BK43" s="187">
        <f t="shared" si="36"/>
        <v>-2.9136489774869871</v>
      </c>
      <c r="BL43" s="187">
        <f t="shared" si="36"/>
        <v>-2.8971493032107558</v>
      </c>
      <c r="BM43" s="187">
        <f t="shared" si="36"/>
        <v>-2.8814228081971525</v>
      </c>
      <c r="BN43" s="187">
        <f t="shared" si="36"/>
        <v>-2.8665208675557534</v>
      </c>
      <c r="BO43" s="187">
        <f t="shared" si="36"/>
        <v>-2.4692994327435396</v>
      </c>
      <c r="BP43" s="187">
        <f t="shared" si="36"/>
        <v>-2.5568384566787778</v>
      </c>
      <c r="BQ43" s="187">
        <f t="shared" si="36"/>
        <v>-2.8317474400571543</v>
      </c>
      <c r="BR43" s="187">
        <f t="shared" si="36"/>
        <v>-2.1616507926982464</v>
      </c>
      <c r="BS43" s="187">
        <f t="shared" si="36"/>
        <v>-2.4278164604050341</v>
      </c>
      <c r="BT43" s="187">
        <f t="shared" si="36"/>
        <v>-2.3189820012155882</v>
      </c>
      <c r="BU43" s="187">
        <f t="shared" si="36"/>
        <v>-6.3428302872329736</v>
      </c>
      <c r="BV43" s="187">
        <f t="shared" si="36"/>
        <v>-2.6640485086286527</v>
      </c>
      <c r="BW43" s="187">
        <f t="shared" si="36"/>
        <v>-1.5306927134956212</v>
      </c>
      <c r="BX43" s="187">
        <f t="shared" si="36"/>
        <v>-1.5681290492138538</v>
      </c>
      <c r="BY43" s="187">
        <f t="shared" si="36"/>
        <v>-1.7910342145775322</v>
      </c>
      <c r="BZ43" s="187">
        <f t="shared" si="36"/>
        <v>-1.8190746034524139</v>
      </c>
      <c r="CA43" s="187">
        <f t="shared" si="36"/>
        <v>-1.8598226597057694</v>
      </c>
      <c r="CB43" s="187">
        <f t="shared" si="36"/>
        <v>-1.9220246074672274</v>
      </c>
      <c r="CC43" s="187">
        <f t="shared" si="36"/>
        <v>-1.9527558934886435</v>
      </c>
      <c r="CD43" s="187">
        <f t="shared" si="36"/>
        <v>-1.9821172912792899</v>
      </c>
      <c r="CE43" s="187">
        <f t="shared" si="36"/>
        <v>-2.0099455713685139</v>
      </c>
      <c r="CF43" s="187">
        <f t="shared" si="36"/>
        <v>-2.0368882933427122</v>
      </c>
      <c r="CG43" s="187">
        <f t="shared" si="36"/>
        <v>-2.2353823088483282</v>
      </c>
    </row>
    <row r="44" spans="1:85" s="157" customFormat="1" ht="15.75">
      <c r="A44" s="148"/>
      <c r="B44" s="148"/>
      <c r="C44" s="160"/>
      <c r="D44" s="160"/>
      <c r="E44" s="161"/>
      <c r="F44" s="160"/>
      <c r="G44" s="160"/>
      <c r="J44" s="185"/>
      <c r="K44" s="185"/>
      <c r="N44" s="185"/>
      <c r="O44" s="185"/>
      <c r="P44" s="185"/>
      <c r="Q44" s="185"/>
      <c r="R44" s="159"/>
      <c r="S44" s="159"/>
      <c r="T44" s="185"/>
      <c r="U44" s="185"/>
      <c r="V44" s="185"/>
      <c r="W44" s="185"/>
      <c r="X44" s="185"/>
      <c r="Y44" s="185"/>
      <c r="Z44" s="185"/>
      <c r="AA44" s="185"/>
      <c r="AB44" s="185"/>
      <c r="AC44" s="185"/>
      <c r="AD44" s="185"/>
      <c r="AE44" s="185"/>
      <c r="AF44" s="185"/>
      <c r="AG44" s="185"/>
      <c r="AH44" s="185"/>
      <c r="AI44" s="185"/>
      <c r="AJ44" s="159"/>
      <c r="AK44" s="159"/>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row>
    <row r="45" spans="1:85" s="180" customFormat="1" ht="62.1" customHeight="1">
      <c r="B45" s="183"/>
      <c r="C45" s="182" t="s">
        <v>55</v>
      </c>
      <c r="D45" s="181"/>
      <c r="E45" s="182"/>
      <c r="F45" s="181"/>
      <c r="G45" s="181"/>
    </row>
    <row r="46" spans="1:85" ht="20.25" customHeight="1">
      <c r="I46" s="851" t="s">
        <v>158</v>
      </c>
      <c r="M46" s="851" t="s">
        <v>159</v>
      </c>
      <c r="S46" s="851" t="s">
        <v>160</v>
      </c>
      <c r="T46" s="176"/>
      <c r="AK46" s="851" t="s">
        <v>161</v>
      </c>
    </row>
    <row r="47" spans="1:85" ht="29.25" customHeight="1" collapsed="1">
      <c r="C47" s="174"/>
      <c r="I47" s="851"/>
      <c r="J47" s="178" t="str">
        <f>IF(J$8&lt;=LatestMonthOfActuals,"Actual","Projected")</f>
        <v>Actual</v>
      </c>
      <c r="K47" s="178" t="str">
        <f>IF(K$8&lt;=LatestMonthOfActuals,"Actual","Projected")</f>
        <v>Actual</v>
      </c>
      <c r="M47" s="851"/>
      <c r="N47" s="178" t="str">
        <f>IF(N$8&lt;=LatestMonthOfActuals,"Actual","Projected")</f>
        <v>Actual</v>
      </c>
      <c r="O47" s="178" t="str">
        <f>IF(O$8&lt;=LatestMonthOfActuals,"Actual","Projected")</f>
        <v>Actual</v>
      </c>
      <c r="P47" s="178" t="str">
        <f>IF(P$8&lt;=LatestMonthOfActuals,"Actual","Projected")</f>
        <v>Projected</v>
      </c>
      <c r="Q47" s="178" t="str">
        <f>IF(Q$8&lt;=LatestMonthOfActuals,"Actual","Projected")</f>
        <v>Projected</v>
      </c>
      <c r="S47" s="851"/>
      <c r="T47" s="178" t="str">
        <f t="shared" ref="T47:AI47" si="37">IF(T$8&lt;=LatestMonthOfActuals,"Actual","Projected")</f>
        <v>Actual</v>
      </c>
      <c r="U47" s="178" t="str">
        <f t="shared" si="37"/>
        <v>Actual</v>
      </c>
      <c r="V47" s="178" t="str">
        <f t="shared" si="37"/>
        <v>Actual</v>
      </c>
      <c r="W47" s="178" t="str">
        <f t="shared" si="37"/>
        <v>Actual</v>
      </c>
      <c r="X47" s="178" t="str">
        <f t="shared" si="37"/>
        <v>Actual</v>
      </c>
      <c r="Y47" s="178" t="str">
        <f t="shared" si="37"/>
        <v>Actual</v>
      </c>
      <c r="Z47" s="178" t="str">
        <f t="shared" si="37"/>
        <v>Actual</v>
      </c>
      <c r="AA47" s="178" t="str">
        <f t="shared" si="37"/>
        <v>Actual</v>
      </c>
      <c r="AB47" s="178" t="str">
        <f t="shared" si="37"/>
        <v>Actual</v>
      </c>
      <c r="AC47" s="178" t="str">
        <f t="shared" si="37"/>
        <v>Actual</v>
      </c>
      <c r="AD47" s="178" t="str">
        <f t="shared" si="37"/>
        <v>Actual</v>
      </c>
      <c r="AE47" s="178" t="str">
        <f t="shared" si="37"/>
        <v>Projected</v>
      </c>
      <c r="AF47" s="178" t="str">
        <f t="shared" si="37"/>
        <v>Projected</v>
      </c>
      <c r="AG47" s="178" t="str">
        <f t="shared" si="37"/>
        <v>Projected</v>
      </c>
      <c r="AH47" s="178" t="str">
        <f t="shared" si="37"/>
        <v>Projected</v>
      </c>
      <c r="AI47" s="178" t="str">
        <f t="shared" si="37"/>
        <v>Projected</v>
      </c>
      <c r="AJ47" s="179"/>
      <c r="AK47" s="851"/>
      <c r="AL47" s="178" t="str">
        <f t="shared" ref="AL47:CG47" si="38">IF(AL$8&lt;=LatestMonthOfActuals,"Actual","Projected")</f>
        <v>Actual</v>
      </c>
      <c r="AM47" s="178" t="str">
        <f t="shared" si="38"/>
        <v>Actual</v>
      </c>
      <c r="AN47" s="178" t="str">
        <f t="shared" si="38"/>
        <v>Actual</v>
      </c>
      <c r="AO47" s="178" t="str">
        <f t="shared" si="38"/>
        <v>Actual</v>
      </c>
      <c r="AP47" s="178" t="str">
        <f t="shared" si="38"/>
        <v>Actual</v>
      </c>
      <c r="AQ47" s="178" t="str">
        <f t="shared" si="38"/>
        <v>Actual</v>
      </c>
      <c r="AR47" s="178" t="str">
        <f t="shared" si="38"/>
        <v>Actual</v>
      </c>
      <c r="AS47" s="178" t="str">
        <f t="shared" si="38"/>
        <v>Actual</v>
      </c>
      <c r="AT47" s="178" t="str">
        <f t="shared" si="38"/>
        <v>Actual</v>
      </c>
      <c r="AU47" s="178" t="str">
        <f t="shared" si="38"/>
        <v>Actual</v>
      </c>
      <c r="AV47" s="178" t="str">
        <f t="shared" si="38"/>
        <v>Actual</v>
      </c>
      <c r="AW47" s="178" t="str">
        <f t="shared" si="38"/>
        <v>Actual</v>
      </c>
      <c r="AX47" s="178" t="str">
        <f t="shared" si="38"/>
        <v>Actual</v>
      </c>
      <c r="AY47" s="178" t="str">
        <f t="shared" si="38"/>
        <v>Actual</v>
      </c>
      <c r="AZ47" s="178" t="str">
        <f t="shared" si="38"/>
        <v>Actual</v>
      </c>
      <c r="BA47" s="178" t="str">
        <f t="shared" si="38"/>
        <v>Actual</v>
      </c>
      <c r="BB47" s="178" t="str">
        <f t="shared" si="38"/>
        <v>Actual</v>
      </c>
      <c r="BC47" s="178" t="str">
        <f t="shared" si="38"/>
        <v>Actual</v>
      </c>
      <c r="BD47" s="178" t="str">
        <f t="shared" si="38"/>
        <v>Actual</v>
      </c>
      <c r="BE47" s="178" t="str">
        <f t="shared" si="38"/>
        <v>Actual</v>
      </c>
      <c r="BF47" s="178" t="str">
        <f t="shared" si="38"/>
        <v>Actual</v>
      </c>
      <c r="BG47" s="178" t="str">
        <f t="shared" si="38"/>
        <v>Actual</v>
      </c>
      <c r="BH47" s="178" t="str">
        <f t="shared" si="38"/>
        <v>Actual</v>
      </c>
      <c r="BI47" s="178" t="str">
        <f t="shared" si="38"/>
        <v>Actual</v>
      </c>
      <c r="BJ47" s="178" t="str">
        <f t="shared" si="38"/>
        <v>Actual</v>
      </c>
      <c r="BK47" s="178" t="str">
        <f t="shared" si="38"/>
        <v>Actual</v>
      </c>
      <c r="BL47" s="178" t="str">
        <f t="shared" si="38"/>
        <v>Actual</v>
      </c>
      <c r="BM47" s="178" t="str">
        <f t="shared" si="38"/>
        <v>Actual</v>
      </c>
      <c r="BN47" s="178" t="str">
        <f t="shared" si="38"/>
        <v>Actual</v>
      </c>
      <c r="BO47" s="178" t="str">
        <f t="shared" si="38"/>
        <v>Actual</v>
      </c>
      <c r="BP47" s="178" t="str">
        <f t="shared" si="38"/>
        <v>Actual</v>
      </c>
      <c r="BQ47" s="178" t="str">
        <f t="shared" si="38"/>
        <v>Actual</v>
      </c>
      <c r="BR47" s="178" t="str">
        <f t="shared" si="38"/>
        <v>Actual</v>
      </c>
      <c r="BS47" s="178" t="str">
        <f t="shared" si="38"/>
        <v>Actual</v>
      </c>
      <c r="BT47" s="178" t="str">
        <f t="shared" si="38"/>
        <v>Actual</v>
      </c>
      <c r="BU47" s="178" t="str">
        <f t="shared" si="38"/>
        <v>Projected</v>
      </c>
      <c r="BV47" s="178" t="str">
        <f t="shared" si="38"/>
        <v>Projected</v>
      </c>
      <c r="BW47" s="178" t="str">
        <f t="shared" si="38"/>
        <v>Projected</v>
      </c>
      <c r="BX47" s="178" t="str">
        <f t="shared" si="38"/>
        <v>Projected</v>
      </c>
      <c r="BY47" s="178" t="str">
        <f t="shared" si="38"/>
        <v>Projected</v>
      </c>
      <c r="BZ47" s="178" t="str">
        <f t="shared" si="38"/>
        <v>Projected</v>
      </c>
      <c r="CA47" s="178" t="str">
        <f t="shared" si="38"/>
        <v>Projected</v>
      </c>
      <c r="CB47" s="178" t="str">
        <f t="shared" si="38"/>
        <v>Projected</v>
      </c>
      <c r="CC47" s="178" t="str">
        <f t="shared" si="38"/>
        <v>Projected</v>
      </c>
      <c r="CD47" s="178" t="str">
        <f t="shared" si="38"/>
        <v>Projected</v>
      </c>
      <c r="CE47" s="178" t="str">
        <f t="shared" si="38"/>
        <v>Projected</v>
      </c>
      <c r="CF47" s="178" t="str">
        <f t="shared" si="38"/>
        <v>Projected</v>
      </c>
      <c r="CG47" s="178" t="str">
        <f t="shared" si="38"/>
        <v>Projected</v>
      </c>
    </row>
    <row r="48" spans="1:85" ht="14.45" hidden="1" customHeight="1" outlineLevel="2">
      <c r="C48" s="174" t="s">
        <v>72</v>
      </c>
      <c r="I48" s="851"/>
      <c r="J48" s="176" cm="1">
        <f t="array" ref="J48">DATE(YEAR(LatestMonthOfActuals)-IF(DATE(YEAR(LatestMonthOfActuals),1+Fiscal_Offset,1)&gt;LatestMonthOfActuals,1,0),1+Fiscal_Offset,1)</f>
        <v>45658</v>
      </c>
      <c r="K48" s="176">
        <f>MAX(Start_Date,EOMONTH(K49,-12)+1)</f>
        <v>45627</v>
      </c>
      <c r="M48" s="851"/>
      <c r="N48" s="176">
        <f>Start_Date</f>
        <v>44927</v>
      </c>
      <c r="O48" s="176">
        <f>N49+1</f>
        <v>45292</v>
      </c>
      <c r="P48" s="176">
        <f>O49+1</f>
        <v>45658</v>
      </c>
      <c r="Q48" s="176">
        <f>P49+1</f>
        <v>46023</v>
      </c>
      <c r="S48" s="851"/>
      <c r="T48" s="176">
        <f>Start_Date</f>
        <v>44927</v>
      </c>
      <c r="U48" s="4">
        <f t="shared" ref="U48:AI48" si="39">T49+1</f>
        <v>45017</v>
      </c>
      <c r="V48" s="4">
        <f t="shared" si="39"/>
        <v>45108</v>
      </c>
      <c r="W48" s="4">
        <f t="shared" si="39"/>
        <v>45200</v>
      </c>
      <c r="X48" s="4">
        <f t="shared" si="39"/>
        <v>45292</v>
      </c>
      <c r="Y48" s="4">
        <f t="shared" si="39"/>
        <v>45383</v>
      </c>
      <c r="Z48" s="4">
        <f t="shared" si="39"/>
        <v>45474</v>
      </c>
      <c r="AA48" s="4">
        <f t="shared" si="39"/>
        <v>45566</v>
      </c>
      <c r="AB48" s="4">
        <f t="shared" si="39"/>
        <v>45658</v>
      </c>
      <c r="AC48" s="4">
        <f t="shared" si="39"/>
        <v>45748</v>
      </c>
      <c r="AD48" s="4">
        <f t="shared" si="39"/>
        <v>45839</v>
      </c>
      <c r="AE48" s="4">
        <f t="shared" si="39"/>
        <v>45931</v>
      </c>
      <c r="AF48" s="4">
        <f t="shared" si="39"/>
        <v>46023</v>
      </c>
      <c r="AG48" s="4">
        <f t="shared" si="39"/>
        <v>46113</v>
      </c>
      <c r="AH48" s="4">
        <f t="shared" si="39"/>
        <v>46204</v>
      </c>
      <c r="AI48" s="4">
        <f t="shared" si="39"/>
        <v>46296</v>
      </c>
      <c r="AJ48" s="177"/>
      <c r="AK48" s="851"/>
      <c r="AL48" s="176">
        <f>Start_Date</f>
        <v>44927</v>
      </c>
      <c r="AM48" s="176">
        <f t="shared" ref="AM48:CG48" si="40">EOMONTH(AM49,-1)+1</f>
        <v>44958</v>
      </c>
      <c r="AN48" s="176">
        <f t="shared" si="40"/>
        <v>44986</v>
      </c>
      <c r="AO48" s="176">
        <f t="shared" si="40"/>
        <v>45017</v>
      </c>
      <c r="AP48" s="176">
        <f t="shared" si="40"/>
        <v>45047</v>
      </c>
      <c r="AQ48" s="176">
        <f t="shared" si="40"/>
        <v>45078</v>
      </c>
      <c r="AR48" s="176">
        <f t="shared" si="40"/>
        <v>45108</v>
      </c>
      <c r="AS48" s="176">
        <f t="shared" si="40"/>
        <v>45139</v>
      </c>
      <c r="AT48" s="176">
        <f t="shared" si="40"/>
        <v>45170</v>
      </c>
      <c r="AU48" s="176">
        <f t="shared" si="40"/>
        <v>45200</v>
      </c>
      <c r="AV48" s="176">
        <f t="shared" si="40"/>
        <v>45231</v>
      </c>
      <c r="AW48" s="176">
        <f t="shared" si="40"/>
        <v>45261</v>
      </c>
      <c r="AX48" s="176">
        <f t="shared" si="40"/>
        <v>45292</v>
      </c>
      <c r="AY48" s="176">
        <f t="shared" si="40"/>
        <v>45323</v>
      </c>
      <c r="AZ48" s="176">
        <f t="shared" si="40"/>
        <v>45352</v>
      </c>
      <c r="BA48" s="176">
        <f t="shared" si="40"/>
        <v>45383</v>
      </c>
      <c r="BB48" s="176">
        <f t="shared" si="40"/>
        <v>45413</v>
      </c>
      <c r="BC48" s="176">
        <f t="shared" si="40"/>
        <v>45444</v>
      </c>
      <c r="BD48" s="176">
        <f t="shared" si="40"/>
        <v>45474</v>
      </c>
      <c r="BE48" s="176">
        <f t="shared" si="40"/>
        <v>45505</v>
      </c>
      <c r="BF48" s="176">
        <f t="shared" si="40"/>
        <v>45536</v>
      </c>
      <c r="BG48" s="176">
        <f t="shared" si="40"/>
        <v>45566</v>
      </c>
      <c r="BH48" s="176">
        <f t="shared" si="40"/>
        <v>45597</v>
      </c>
      <c r="BI48" s="176">
        <f t="shared" si="40"/>
        <v>45627</v>
      </c>
      <c r="BJ48" s="176">
        <f t="shared" si="40"/>
        <v>45658</v>
      </c>
      <c r="BK48" s="176">
        <f t="shared" si="40"/>
        <v>45689</v>
      </c>
      <c r="BL48" s="176">
        <f t="shared" si="40"/>
        <v>45717</v>
      </c>
      <c r="BM48" s="176">
        <f t="shared" si="40"/>
        <v>45748</v>
      </c>
      <c r="BN48" s="176">
        <f t="shared" si="40"/>
        <v>45778</v>
      </c>
      <c r="BO48" s="176">
        <f t="shared" si="40"/>
        <v>45809</v>
      </c>
      <c r="BP48" s="176">
        <f t="shared" si="40"/>
        <v>45839</v>
      </c>
      <c r="BQ48" s="176">
        <f t="shared" si="40"/>
        <v>45870</v>
      </c>
      <c r="BR48" s="176">
        <f t="shared" si="40"/>
        <v>45901</v>
      </c>
      <c r="BS48" s="176">
        <f t="shared" si="40"/>
        <v>45931</v>
      </c>
      <c r="BT48" s="176">
        <f t="shared" si="40"/>
        <v>45962</v>
      </c>
      <c r="BU48" s="176">
        <f t="shared" si="40"/>
        <v>45992</v>
      </c>
      <c r="BV48" s="176">
        <f t="shared" si="40"/>
        <v>46023</v>
      </c>
      <c r="BW48" s="176">
        <f t="shared" si="40"/>
        <v>46054</v>
      </c>
      <c r="BX48" s="176">
        <f t="shared" si="40"/>
        <v>46082</v>
      </c>
      <c r="BY48" s="176">
        <f t="shared" si="40"/>
        <v>46113</v>
      </c>
      <c r="BZ48" s="176">
        <f t="shared" si="40"/>
        <v>46143</v>
      </c>
      <c r="CA48" s="176">
        <f t="shared" si="40"/>
        <v>46174</v>
      </c>
      <c r="CB48" s="176">
        <f t="shared" si="40"/>
        <v>46204</v>
      </c>
      <c r="CC48" s="176">
        <f t="shared" si="40"/>
        <v>46235</v>
      </c>
      <c r="CD48" s="176">
        <f t="shared" si="40"/>
        <v>46266</v>
      </c>
      <c r="CE48" s="176">
        <f t="shared" si="40"/>
        <v>46296</v>
      </c>
      <c r="CF48" s="176">
        <f t="shared" si="40"/>
        <v>46327</v>
      </c>
      <c r="CG48" s="176">
        <f t="shared" si="40"/>
        <v>46357</v>
      </c>
    </row>
    <row r="49" spans="1:85" ht="14.45" hidden="1" customHeight="1" outlineLevel="2">
      <c r="C49" s="174" t="s">
        <v>78</v>
      </c>
      <c r="I49" s="851"/>
      <c r="J49" s="176" cm="1">
        <f t="array" ref="J49">LatestMonthOfActuals</f>
        <v>45991</v>
      </c>
      <c r="K49" s="4">
        <f>MAX(LatestMonthOfActuals,EOM_Start_Date)</f>
        <v>45991</v>
      </c>
      <c r="M49" s="851"/>
      <c r="N49" s="176">
        <f>EOMONTH(DATE(YEAR(Start_Date),1,1),Fiscal_Offset+IF(T50&lt;YEAR(Start_Date),-1,11))</f>
        <v>45291</v>
      </c>
      <c r="O49" s="4">
        <f>MIN(EOMONTH(N49,12),End_Date)</f>
        <v>45657</v>
      </c>
      <c r="P49" s="4">
        <f>MIN(EOMONTH(O49,12),End_Date)</f>
        <v>46022</v>
      </c>
      <c r="Q49" s="4">
        <f>MIN(EOMONTH(P49,12),End_Date)</f>
        <v>46387</v>
      </c>
      <c r="S49" s="851"/>
      <c r="T49" s="4">
        <f>EOMONTH(DATE(YEAR(Start_Date),1,1),MOD(ROUNDUP(MONTH(EOMONTH(Start_Date,-Fiscal_Offset))/3,0)*3+Fiscal_Offset-1,12))</f>
        <v>45016</v>
      </c>
      <c r="U49" s="4">
        <f t="shared" ref="U49:AI49" si="41">MIN(EOMONTH(U$7,2),End_Date)</f>
        <v>45107</v>
      </c>
      <c r="V49" s="4">
        <f t="shared" si="41"/>
        <v>45199</v>
      </c>
      <c r="W49" s="4">
        <f t="shared" si="41"/>
        <v>45291</v>
      </c>
      <c r="X49" s="4">
        <f t="shared" si="41"/>
        <v>45382</v>
      </c>
      <c r="Y49" s="4">
        <f t="shared" si="41"/>
        <v>45473</v>
      </c>
      <c r="Z49" s="4">
        <f t="shared" si="41"/>
        <v>45565</v>
      </c>
      <c r="AA49" s="4">
        <f t="shared" si="41"/>
        <v>45657</v>
      </c>
      <c r="AB49" s="4">
        <f t="shared" si="41"/>
        <v>45747</v>
      </c>
      <c r="AC49" s="4">
        <f t="shared" si="41"/>
        <v>45838</v>
      </c>
      <c r="AD49" s="4">
        <f t="shared" si="41"/>
        <v>45930</v>
      </c>
      <c r="AE49" s="4">
        <f t="shared" si="41"/>
        <v>46022</v>
      </c>
      <c r="AF49" s="4">
        <f t="shared" si="41"/>
        <v>46112</v>
      </c>
      <c r="AG49" s="4">
        <f t="shared" si="41"/>
        <v>46203</v>
      </c>
      <c r="AH49" s="4">
        <f t="shared" si="41"/>
        <v>46295</v>
      </c>
      <c r="AI49" s="4">
        <f t="shared" si="41"/>
        <v>46387</v>
      </c>
      <c r="AJ49" s="177"/>
      <c r="AK49" s="851"/>
      <c r="AL49" s="176" cm="1">
        <f t="array" ref="AL49">EOM_Start_Date</f>
        <v>44957</v>
      </c>
      <c r="AM49" s="4">
        <f t="shared" ref="AM49:CG49" si="42">EOMONTH(AL49,1)</f>
        <v>44985</v>
      </c>
      <c r="AN49" s="4">
        <f t="shared" si="42"/>
        <v>45016</v>
      </c>
      <c r="AO49" s="4">
        <f t="shared" si="42"/>
        <v>45046</v>
      </c>
      <c r="AP49" s="4">
        <f t="shared" si="42"/>
        <v>45077</v>
      </c>
      <c r="AQ49" s="4">
        <f t="shared" si="42"/>
        <v>45107</v>
      </c>
      <c r="AR49" s="4">
        <f t="shared" si="42"/>
        <v>45138</v>
      </c>
      <c r="AS49" s="4">
        <f t="shared" si="42"/>
        <v>45169</v>
      </c>
      <c r="AT49" s="4">
        <f t="shared" si="42"/>
        <v>45199</v>
      </c>
      <c r="AU49" s="4">
        <f t="shared" si="42"/>
        <v>45230</v>
      </c>
      <c r="AV49" s="4">
        <f t="shared" si="42"/>
        <v>45260</v>
      </c>
      <c r="AW49" s="4">
        <f t="shared" si="42"/>
        <v>45291</v>
      </c>
      <c r="AX49" s="4">
        <f t="shared" si="42"/>
        <v>45322</v>
      </c>
      <c r="AY49" s="4">
        <f t="shared" si="42"/>
        <v>45351</v>
      </c>
      <c r="AZ49" s="4">
        <f t="shared" si="42"/>
        <v>45382</v>
      </c>
      <c r="BA49" s="4">
        <f t="shared" si="42"/>
        <v>45412</v>
      </c>
      <c r="BB49" s="4">
        <f t="shared" si="42"/>
        <v>45443</v>
      </c>
      <c r="BC49" s="4">
        <f t="shared" si="42"/>
        <v>45473</v>
      </c>
      <c r="BD49" s="4">
        <f t="shared" si="42"/>
        <v>45504</v>
      </c>
      <c r="BE49" s="4">
        <f t="shared" si="42"/>
        <v>45535</v>
      </c>
      <c r="BF49" s="4">
        <f t="shared" si="42"/>
        <v>45565</v>
      </c>
      <c r="BG49" s="4">
        <f t="shared" si="42"/>
        <v>45596</v>
      </c>
      <c r="BH49" s="4">
        <f t="shared" si="42"/>
        <v>45626</v>
      </c>
      <c r="BI49" s="4">
        <f t="shared" si="42"/>
        <v>45657</v>
      </c>
      <c r="BJ49" s="4">
        <f t="shared" si="42"/>
        <v>45688</v>
      </c>
      <c r="BK49" s="4">
        <f t="shared" si="42"/>
        <v>45716</v>
      </c>
      <c r="BL49" s="4">
        <f t="shared" si="42"/>
        <v>45747</v>
      </c>
      <c r="BM49" s="4">
        <f t="shared" si="42"/>
        <v>45777</v>
      </c>
      <c r="BN49" s="4">
        <f t="shared" si="42"/>
        <v>45808</v>
      </c>
      <c r="BO49" s="4">
        <f t="shared" si="42"/>
        <v>45838</v>
      </c>
      <c r="BP49" s="4">
        <f t="shared" si="42"/>
        <v>45869</v>
      </c>
      <c r="BQ49" s="4">
        <f t="shared" si="42"/>
        <v>45900</v>
      </c>
      <c r="BR49" s="4">
        <f t="shared" si="42"/>
        <v>45930</v>
      </c>
      <c r="BS49" s="4">
        <f t="shared" si="42"/>
        <v>45961</v>
      </c>
      <c r="BT49" s="4">
        <f t="shared" si="42"/>
        <v>45991</v>
      </c>
      <c r="BU49" s="4">
        <f t="shared" si="42"/>
        <v>46022</v>
      </c>
      <c r="BV49" s="4">
        <f t="shared" si="42"/>
        <v>46053</v>
      </c>
      <c r="BW49" s="4">
        <f t="shared" si="42"/>
        <v>46081</v>
      </c>
      <c r="BX49" s="4">
        <f t="shared" si="42"/>
        <v>46112</v>
      </c>
      <c r="BY49" s="4">
        <f t="shared" si="42"/>
        <v>46142</v>
      </c>
      <c r="BZ49" s="4">
        <f t="shared" si="42"/>
        <v>46173</v>
      </c>
      <c r="CA49" s="4">
        <f t="shared" si="42"/>
        <v>46203</v>
      </c>
      <c r="CB49" s="4">
        <f t="shared" si="42"/>
        <v>46234</v>
      </c>
      <c r="CC49" s="4">
        <f t="shared" si="42"/>
        <v>46265</v>
      </c>
      <c r="CD49" s="4">
        <f t="shared" si="42"/>
        <v>46295</v>
      </c>
      <c r="CE49" s="4">
        <f t="shared" si="42"/>
        <v>46326</v>
      </c>
      <c r="CF49" s="4">
        <f t="shared" si="42"/>
        <v>46356</v>
      </c>
      <c r="CG49" s="4">
        <f t="shared" si="42"/>
        <v>46387</v>
      </c>
    </row>
    <row r="50" spans="1:85" ht="14.45" hidden="1" customHeight="1" outlineLevel="2">
      <c r="C50" s="174" t="s">
        <v>162</v>
      </c>
      <c r="I50" s="851"/>
      <c r="J50" s="12">
        <f>YEAR(EOMONTH(J49,-Fiscal_Offset))</f>
        <v>2025</v>
      </c>
      <c r="K50" s="12">
        <f>YEAR(EOMONTH(K49,-Fiscal_Offset))</f>
        <v>2025</v>
      </c>
      <c r="M50" s="851"/>
      <c r="N50" s="12">
        <f>YEAR(EOMONTH(N49,-Fiscal_Offset))</f>
        <v>2023</v>
      </c>
      <c r="O50" s="12">
        <f>YEAR(EOMONTH(O49,-Fiscal_Offset))</f>
        <v>2024</v>
      </c>
      <c r="P50" s="12">
        <f>YEAR(EOMONTH(P49,-Fiscal_Offset))</f>
        <v>2025</v>
      </c>
      <c r="Q50" s="12">
        <f>YEAR(EOMONTH(Q49,-Fiscal_Offset))</f>
        <v>2026</v>
      </c>
      <c r="S50" s="851"/>
      <c r="T50" s="12">
        <f t="shared" ref="T50:AI50" si="43">YEAR(EOMONTH(T49,-Fiscal_Offset))</f>
        <v>2023</v>
      </c>
      <c r="U50" s="12">
        <f t="shared" si="43"/>
        <v>2023</v>
      </c>
      <c r="V50" s="12">
        <f t="shared" si="43"/>
        <v>2023</v>
      </c>
      <c r="W50" s="12">
        <f t="shared" si="43"/>
        <v>2023</v>
      </c>
      <c r="X50" s="12">
        <f t="shared" si="43"/>
        <v>2024</v>
      </c>
      <c r="Y50" s="12">
        <f t="shared" si="43"/>
        <v>2024</v>
      </c>
      <c r="Z50" s="12">
        <f t="shared" si="43"/>
        <v>2024</v>
      </c>
      <c r="AA50" s="12">
        <f t="shared" si="43"/>
        <v>2024</v>
      </c>
      <c r="AB50" s="12">
        <f t="shared" si="43"/>
        <v>2025</v>
      </c>
      <c r="AC50" s="12">
        <f t="shared" si="43"/>
        <v>2025</v>
      </c>
      <c r="AD50" s="12">
        <f t="shared" si="43"/>
        <v>2025</v>
      </c>
      <c r="AE50" s="12">
        <f t="shared" si="43"/>
        <v>2025</v>
      </c>
      <c r="AF50" s="12">
        <f t="shared" si="43"/>
        <v>2026</v>
      </c>
      <c r="AG50" s="12">
        <f t="shared" si="43"/>
        <v>2026</v>
      </c>
      <c r="AH50" s="12">
        <f t="shared" si="43"/>
        <v>2026</v>
      </c>
      <c r="AI50" s="12">
        <f t="shared" si="43"/>
        <v>2026</v>
      </c>
      <c r="AJ50" s="175"/>
      <c r="AK50" s="851"/>
      <c r="AL50" s="12">
        <f t="shared" ref="AL50:CG50" si="44">YEAR(EOMONTH(AL49,-Fiscal_Offset))</f>
        <v>2023</v>
      </c>
      <c r="AM50" s="12">
        <f t="shared" si="44"/>
        <v>2023</v>
      </c>
      <c r="AN50" s="12">
        <f t="shared" si="44"/>
        <v>2023</v>
      </c>
      <c r="AO50" s="12">
        <f t="shared" si="44"/>
        <v>2023</v>
      </c>
      <c r="AP50" s="12">
        <f t="shared" si="44"/>
        <v>2023</v>
      </c>
      <c r="AQ50" s="12">
        <f t="shared" si="44"/>
        <v>2023</v>
      </c>
      <c r="AR50" s="12">
        <f t="shared" si="44"/>
        <v>2023</v>
      </c>
      <c r="AS50" s="12">
        <f t="shared" si="44"/>
        <v>2023</v>
      </c>
      <c r="AT50" s="12">
        <f t="shared" si="44"/>
        <v>2023</v>
      </c>
      <c r="AU50" s="12">
        <f t="shared" si="44"/>
        <v>2023</v>
      </c>
      <c r="AV50" s="12">
        <f t="shared" si="44"/>
        <v>2023</v>
      </c>
      <c r="AW50" s="12">
        <f t="shared" si="44"/>
        <v>2023</v>
      </c>
      <c r="AX50" s="12">
        <f t="shared" si="44"/>
        <v>2024</v>
      </c>
      <c r="AY50" s="12">
        <f t="shared" si="44"/>
        <v>2024</v>
      </c>
      <c r="AZ50" s="12">
        <f t="shared" si="44"/>
        <v>2024</v>
      </c>
      <c r="BA50" s="12">
        <f t="shared" si="44"/>
        <v>2024</v>
      </c>
      <c r="BB50" s="12">
        <f t="shared" si="44"/>
        <v>2024</v>
      </c>
      <c r="BC50" s="12">
        <f t="shared" si="44"/>
        <v>2024</v>
      </c>
      <c r="BD50" s="12">
        <f t="shared" si="44"/>
        <v>2024</v>
      </c>
      <c r="BE50" s="12">
        <f t="shared" si="44"/>
        <v>2024</v>
      </c>
      <c r="BF50" s="12">
        <f t="shared" si="44"/>
        <v>2024</v>
      </c>
      <c r="BG50" s="12">
        <f t="shared" si="44"/>
        <v>2024</v>
      </c>
      <c r="BH50" s="12">
        <f t="shared" si="44"/>
        <v>2024</v>
      </c>
      <c r="BI50" s="12">
        <f t="shared" si="44"/>
        <v>2024</v>
      </c>
      <c r="BJ50" s="12">
        <f t="shared" si="44"/>
        <v>2025</v>
      </c>
      <c r="BK50" s="12">
        <f t="shared" si="44"/>
        <v>2025</v>
      </c>
      <c r="BL50" s="12">
        <f t="shared" si="44"/>
        <v>2025</v>
      </c>
      <c r="BM50" s="12">
        <f t="shared" si="44"/>
        <v>2025</v>
      </c>
      <c r="BN50" s="12">
        <f t="shared" si="44"/>
        <v>2025</v>
      </c>
      <c r="BO50" s="12">
        <f t="shared" si="44"/>
        <v>2025</v>
      </c>
      <c r="BP50" s="12">
        <f t="shared" si="44"/>
        <v>2025</v>
      </c>
      <c r="BQ50" s="12">
        <f t="shared" si="44"/>
        <v>2025</v>
      </c>
      <c r="BR50" s="12">
        <f t="shared" si="44"/>
        <v>2025</v>
      </c>
      <c r="BS50" s="12">
        <f t="shared" si="44"/>
        <v>2025</v>
      </c>
      <c r="BT50" s="12">
        <f t="shared" si="44"/>
        <v>2025</v>
      </c>
      <c r="BU50" s="12">
        <f t="shared" si="44"/>
        <v>2025</v>
      </c>
      <c r="BV50" s="12">
        <f t="shared" si="44"/>
        <v>2026</v>
      </c>
      <c r="BW50" s="12">
        <f t="shared" si="44"/>
        <v>2026</v>
      </c>
      <c r="BX50" s="12">
        <f t="shared" si="44"/>
        <v>2026</v>
      </c>
      <c r="BY50" s="12">
        <f t="shared" si="44"/>
        <v>2026</v>
      </c>
      <c r="BZ50" s="12">
        <f t="shared" si="44"/>
        <v>2026</v>
      </c>
      <c r="CA50" s="12">
        <f t="shared" si="44"/>
        <v>2026</v>
      </c>
      <c r="CB50" s="12">
        <f t="shared" si="44"/>
        <v>2026</v>
      </c>
      <c r="CC50" s="12">
        <f t="shared" si="44"/>
        <v>2026</v>
      </c>
      <c r="CD50" s="12">
        <f t="shared" si="44"/>
        <v>2026</v>
      </c>
      <c r="CE50" s="12">
        <f t="shared" si="44"/>
        <v>2026</v>
      </c>
      <c r="CF50" s="12">
        <f t="shared" si="44"/>
        <v>2026</v>
      </c>
      <c r="CG50" s="12">
        <f t="shared" si="44"/>
        <v>2026</v>
      </c>
    </row>
    <row r="51" spans="1:85" ht="14.45" hidden="1" customHeight="1" outlineLevel="2">
      <c r="C51" s="174" t="s">
        <v>163</v>
      </c>
      <c r="I51" s="851"/>
      <c r="J51" s="12" t="str">
        <f>"Q"&amp; ROUNDUP(MONTH(EOMONTH(J49,-Fiscal_Offset))/3,0)</f>
        <v>Q4</v>
      </c>
      <c r="K51" s="12" t="str">
        <f>"Q"&amp; ROUNDUP(MONTH(EOMONTH(K49,-Fiscal_Offset))/3,0)</f>
        <v>Q4</v>
      </c>
      <c r="M51" s="851"/>
      <c r="N51" s="12" t="str">
        <f>"Q"&amp; ROUNDUP(MONTH(EOMONTH(N49,-Fiscal_Offset))/3,0)</f>
        <v>Q4</v>
      </c>
      <c r="O51" s="12" t="str">
        <f>"Q"&amp; ROUNDUP(MONTH(EOMONTH(O49,-Fiscal_Offset))/3,0)</f>
        <v>Q4</v>
      </c>
      <c r="P51" s="12" t="str">
        <f>"Q"&amp; ROUNDUP(MONTH(EOMONTH(P49,-Fiscal_Offset))/3,0)</f>
        <v>Q4</v>
      </c>
      <c r="Q51" s="12" t="str">
        <f>"Q"&amp; ROUNDUP(MONTH(EOMONTH(Q49,-Fiscal_Offset))/3,0)</f>
        <v>Q4</v>
      </c>
      <c r="S51" s="851"/>
      <c r="T51" s="12" t="str">
        <f t="shared" ref="T51:AI51" si="45">"Q"&amp; ROUNDUP(MONTH(EOMONTH(T49,-Fiscal_Offset))/3,0)</f>
        <v>Q1</v>
      </c>
      <c r="U51" s="12" t="str">
        <f t="shared" si="45"/>
        <v>Q2</v>
      </c>
      <c r="V51" s="12" t="str">
        <f t="shared" si="45"/>
        <v>Q3</v>
      </c>
      <c r="W51" s="12" t="str">
        <f t="shared" si="45"/>
        <v>Q4</v>
      </c>
      <c r="X51" s="12" t="str">
        <f t="shared" si="45"/>
        <v>Q1</v>
      </c>
      <c r="Y51" s="12" t="str">
        <f t="shared" si="45"/>
        <v>Q2</v>
      </c>
      <c r="Z51" s="12" t="str">
        <f t="shared" si="45"/>
        <v>Q3</v>
      </c>
      <c r="AA51" s="12" t="str">
        <f t="shared" si="45"/>
        <v>Q4</v>
      </c>
      <c r="AB51" s="12" t="str">
        <f t="shared" si="45"/>
        <v>Q1</v>
      </c>
      <c r="AC51" s="12" t="str">
        <f t="shared" si="45"/>
        <v>Q2</v>
      </c>
      <c r="AD51" s="12" t="str">
        <f t="shared" si="45"/>
        <v>Q3</v>
      </c>
      <c r="AE51" s="12" t="str">
        <f t="shared" si="45"/>
        <v>Q4</v>
      </c>
      <c r="AF51" s="12" t="str">
        <f t="shared" si="45"/>
        <v>Q1</v>
      </c>
      <c r="AG51" s="12" t="str">
        <f t="shared" si="45"/>
        <v>Q2</v>
      </c>
      <c r="AH51" s="12" t="str">
        <f t="shared" si="45"/>
        <v>Q3</v>
      </c>
      <c r="AI51" s="12" t="str">
        <f t="shared" si="45"/>
        <v>Q4</v>
      </c>
      <c r="AJ51" s="175"/>
      <c r="AK51" s="851"/>
      <c r="AL51" s="12" t="str">
        <f t="shared" ref="AL51:CG51" si="46">"Q"&amp; ROUNDUP(MONTH(EOMONTH(AL49,-Fiscal_Offset))/3,0)</f>
        <v>Q1</v>
      </c>
      <c r="AM51" s="12" t="str">
        <f t="shared" si="46"/>
        <v>Q1</v>
      </c>
      <c r="AN51" s="12" t="str">
        <f t="shared" si="46"/>
        <v>Q1</v>
      </c>
      <c r="AO51" s="12" t="str">
        <f t="shared" si="46"/>
        <v>Q2</v>
      </c>
      <c r="AP51" s="12" t="str">
        <f t="shared" si="46"/>
        <v>Q2</v>
      </c>
      <c r="AQ51" s="12" t="str">
        <f t="shared" si="46"/>
        <v>Q2</v>
      </c>
      <c r="AR51" s="12" t="str">
        <f t="shared" si="46"/>
        <v>Q3</v>
      </c>
      <c r="AS51" s="12" t="str">
        <f t="shared" si="46"/>
        <v>Q3</v>
      </c>
      <c r="AT51" s="12" t="str">
        <f t="shared" si="46"/>
        <v>Q3</v>
      </c>
      <c r="AU51" s="12" t="str">
        <f t="shared" si="46"/>
        <v>Q4</v>
      </c>
      <c r="AV51" s="12" t="str">
        <f t="shared" si="46"/>
        <v>Q4</v>
      </c>
      <c r="AW51" s="12" t="str">
        <f t="shared" si="46"/>
        <v>Q4</v>
      </c>
      <c r="AX51" s="12" t="str">
        <f t="shared" si="46"/>
        <v>Q1</v>
      </c>
      <c r="AY51" s="12" t="str">
        <f t="shared" si="46"/>
        <v>Q1</v>
      </c>
      <c r="AZ51" s="12" t="str">
        <f t="shared" si="46"/>
        <v>Q1</v>
      </c>
      <c r="BA51" s="12" t="str">
        <f t="shared" si="46"/>
        <v>Q2</v>
      </c>
      <c r="BB51" s="12" t="str">
        <f t="shared" si="46"/>
        <v>Q2</v>
      </c>
      <c r="BC51" s="12" t="str">
        <f t="shared" si="46"/>
        <v>Q2</v>
      </c>
      <c r="BD51" s="12" t="str">
        <f t="shared" si="46"/>
        <v>Q3</v>
      </c>
      <c r="BE51" s="12" t="str">
        <f t="shared" si="46"/>
        <v>Q3</v>
      </c>
      <c r="BF51" s="12" t="str">
        <f t="shared" si="46"/>
        <v>Q3</v>
      </c>
      <c r="BG51" s="12" t="str">
        <f t="shared" si="46"/>
        <v>Q4</v>
      </c>
      <c r="BH51" s="12" t="str">
        <f t="shared" si="46"/>
        <v>Q4</v>
      </c>
      <c r="BI51" s="12" t="str">
        <f t="shared" si="46"/>
        <v>Q4</v>
      </c>
      <c r="BJ51" s="12" t="str">
        <f t="shared" si="46"/>
        <v>Q1</v>
      </c>
      <c r="BK51" s="12" t="str">
        <f t="shared" si="46"/>
        <v>Q1</v>
      </c>
      <c r="BL51" s="12" t="str">
        <f t="shared" si="46"/>
        <v>Q1</v>
      </c>
      <c r="BM51" s="12" t="str">
        <f t="shared" si="46"/>
        <v>Q2</v>
      </c>
      <c r="BN51" s="12" t="str">
        <f t="shared" si="46"/>
        <v>Q2</v>
      </c>
      <c r="BO51" s="12" t="str">
        <f t="shared" si="46"/>
        <v>Q2</v>
      </c>
      <c r="BP51" s="12" t="str">
        <f t="shared" si="46"/>
        <v>Q3</v>
      </c>
      <c r="BQ51" s="12" t="str">
        <f t="shared" si="46"/>
        <v>Q3</v>
      </c>
      <c r="BR51" s="12" t="str">
        <f t="shared" si="46"/>
        <v>Q3</v>
      </c>
      <c r="BS51" s="12" t="str">
        <f t="shared" si="46"/>
        <v>Q4</v>
      </c>
      <c r="BT51" s="12" t="str">
        <f t="shared" si="46"/>
        <v>Q4</v>
      </c>
      <c r="BU51" s="12" t="str">
        <f t="shared" si="46"/>
        <v>Q4</v>
      </c>
      <c r="BV51" s="12" t="str">
        <f t="shared" si="46"/>
        <v>Q1</v>
      </c>
      <c r="BW51" s="12" t="str">
        <f t="shared" si="46"/>
        <v>Q1</v>
      </c>
      <c r="BX51" s="12" t="str">
        <f t="shared" si="46"/>
        <v>Q1</v>
      </c>
      <c r="BY51" s="12" t="str">
        <f t="shared" si="46"/>
        <v>Q2</v>
      </c>
      <c r="BZ51" s="12" t="str">
        <f t="shared" si="46"/>
        <v>Q2</v>
      </c>
      <c r="CA51" s="12" t="str">
        <f t="shared" si="46"/>
        <v>Q2</v>
      </c>
      <c r="CB51" s="12" t="str">
        <f t="shared" si="46"/>
        <v>Q3</v>
      </c>
      <c r="CC51" s="12" t="str">
        <f t="shared" si="46"/>
        <v>Q3</v>
      </c>
      <c r="CD51" s="12" t="str">
        <f t="shared" si="46"/>
        <v>Q3</v>
      </c>
      <c r="CE51" s="12" t="str">
        <f t="shared" si="46"/>
        <v>Q4</v>
      </c>
      <c r="CF51" s="12" t="str">
        <f t="shared" si="46"/>
        <v>Q4</v>
      </c>
      <c r="CG51" s="12" t="str">
        <f t="shared" si="46"/>
        <v>Q4</v>
      </c>
    </row>
    <row r="52" spans="1:85" collapsed="1">
      <c r="C52" s="174"/>
      <c r="I52" s="851"/>
      <c r="J52" s="173" t="s">
        <v>166</v>
      </c>
      <c r="K52" s="173" t="s">
        <v>167</v>
      </c>
      <c r="M52" s="851"/>
      <c r="N52" s="173">
        <f>N50</f>
        <v>2023</v>
      </c>
      <c r="O52" s="173">
        <f>O50</f>
        <v>2024</v>
      </c>
      <c r="P52" s="173">
        <f>P50</f>
        <v>2025</v>
      </c>
      <c r="Q52" s="173">
        <f>Q50</f>
        <v>2026</v>
      </c>
      <c r="R52" s="172"/>
      <c r="S52" s="851"/>
      <c r="T52" s="171" t="str">
        <f t="shared" ref="T52:AI52" si="47">CONCATENATE(CONCATENATE(T$10," ",T$9))</f>
        <v>Q1 2023</v>
      </c>
      <c r="U52" s="171" t="str">
        <f t="shared" si="47"/>
        <v>Q2 2023</v>
      </c>
      <c r="V52" s="171" t="str">
        <f t="shared" si="47"/>
        <v>Q3 2023</v>
      </c>
      <c r="W52" s="171" t="str">
        <f t="shared" si="47"/>
        <v>Q4 2023</v>
      </c>
      <c r="X52" s="171" t="str">
        <f t="shared" si="47"/>
        <v>Q1 2024</v>
      </c>
      <c r="Y52" s="171" t="str">
        <f t="shared" si="47"/>
        <v>Q2 2024</v>
      </c>
      <c r="Z52" s="171" t="str">
        <f t="shared" si="47"/>
        <v>Q3 2024</v>
      </c>
      <c r="AA52" s="171" t="str">
        <f t="shared" si="47"/>
        <v>Q4 2024</v>
      </c>
      <c r="AB52" s="171" t="str">
        <f t="shared" si="47"/>
        <v>Q1 2025</v>
      </c>
      <c r="AC52" s="171" t="str">
        <f t="shared" si="47"/>
        <v>Q2 2025</v>
      </c>
      <c r="AD52" s="171" t="str">
        <f t="shared" si="47"/>
        <v>Q3 2025</v>
      </c>
      <c r="AE52" s="171" t="str">
        <f t="shared" si="47"/>
        <v>Q4 2025</v>
      </c>
      <c r="AF52" s="171" t="str">
        <f t="shared" si="47"/>
        <v>Q1 2026</v>
      </c>
      <c r="AG52" s="171" t="str">
        <f t="shared" si="47"/>
        <v>Q2 2026</v>
      </c>
      <c r="AH52" s="171" t="str">
        <f t="shared" si="47"/>
        <v>Q3 2026</v>
      </c>
      <c r="AI52" s="171" t="str">
        <f t="shared" si="47"/>
        <v>Q4 2026</v>
      </c>
      <c r="AJ52" s="170"/>
      <c r="AK52" s="851"/>
      <c r="AL52" s="169">
        <f t="shared" ref="AL52:CG52" si="48">AL49</f>
        <v>44957</v>
      </c>
      <c r="AM52" s="169">
        <f t="shared" si="48"/>
        <v>44985</v>
      </c>
      <c r="AN52" s="169">
        <f t="shared" si="48"/>
        <v>45016</v>
      </c>
      <c r="AO52" s="169">
        <f t="shared" si="48"/>
        <v>45046</v>
      </c>
      <c r="AP52" s="169">
        <f t="shared" si="48"/>
        <v>45077</v>
      </c>
      <c r="AQ52" s="169">
        <f t="shared" si="48"/>
        <v>45107</v>
      </c>
      <c r="AR52" s="169">
        <f t="shared" si="48"/>
        <v>45138</v>
      </c>
      <c r="AS52" s="169">
        <f t="shared" si="48"/>
        <v>45169</v>
      </c>
      <c r="AT52" s="169">
        <f t="shared" si="48"/>
        <v>45199</v>
      </c>
      <c r="AU52" s="169">
        <f t="shared" si="48"/>
        <v>45230</v>
      </c>
      <c r="AV52" s="169">
        <f t="shared" si="48"/>
        <v>45260</v>
      </c>
      <c r="AW52" s="169">
        <f t="shared" si="48"/>
        <v>45291</v>
      </c>
      <c r="AX52" s="169">
        <f t="shared" si="48"/>
        <v>45322</v>
      </c>
      <c r="AY52" s="169">
        <f t="shared" si="48"/>
        <v>45351</v>
      </c>
      <c r="AZ52" s="169">
        <f t="shared" si="48"/>
        <v>45382</v>
      </c>
      <c r="BA52" s="169">
        <f t="shared" si="48"/>
        <v>45412</v>
      </c>
      <c r="BB52" s="169">
        <f t="shared" si="48"/>
        <v>45443</v>
      </c>
      <c r="BC52" s="169">
        <f t="shared" si="48"/>
        <v>45473</v>
      </c>
      <c r="BD52" s="169">
        <f t="shared" si="48"/>
        <v>45504</v>
      </c>
      <c r="BE52" s="169">
        <f t="shared" si="48"/>
        <v>45535</v>
      </c>
      <c r="BF52" s="169">
        <f t="shared" si="48"/>
        <v>45565</v>
      </c>
      <c r="BG52" s="169">
        <f t="shared" si="48"/>
        <v>45596</v>
      </c>
      <c r="BH52" s="169">
        <f t="shared" si="48"/>
        <v>45626</v>
      </c>
      <c r="BI52" s="169">
        <f t="shared" si="48"/>
        <v>45657</v>
      </c>
      <c r="BJ52" s="169">
        <f t="shared" si="48"/>
        <v>45688</v>
      </c>
      <c r="BK52" s="169">
        <f t="shared" si="48"/>
        <v>45716</v>
      </c>
      <c r="BL52" s="169">
        <f t="shared" si="48"/>
        <v>45747</v>
      </c>
      <c r="BM52" s="169">
        <f t="shared" si="48"/>
        <v>45777</v>
      </c>
      <c r="BN52" s="169">
        <f t="shared" si="48"/>
        <v>45808</v>
      </c>
      <c r="BO52" s="169">
        <f t="shared" si="48"/>
        <v>45838</v>
      </c>
      <c r="BP52" s="169">
        <f t="shared" si="48"/>
        <v>45869</v>
      </c>
      <c r="BQ52" s="169">
        <f t="shared" si="48"/>
        <v>45900</v>
      </c>
      <c r="BR52" s="169">
        <f t="shared" si="48"/>
        <v>45930</v>
      </c>
      <c r="BS52" s="169">
        <f t="shared" si="48"/>
        <v>45961</v>
      </c>
      <c r="BT52" s="169">
        <f t="shared" si="48"/>
        <v>45991</v>
      </c>
      <c r="BU52" s="169">
        <f t="shared" si="48"/>
        <v>46022</v>
      </c>
      <c r="BV52" s="169">
        <f t="shared" si="48"/>
        <v>46053</v>
      </c>
      <c r="BW52" s="169">
        <f t="shared" si="48"/>
        <v>46081</v>
      </c>
      <c r="BX52" s="169">
        <f t="shared" si="48"/>
        <v>46112</v>
      </c>
      <c r="BY52" s="169">
        <f t="shared" si="48"/>
        <v>46142</v>
      </c>
      <c r="BZ52" s="169">
        <f t="shared" si="48"/>
        <v>46173</v>
      </c>
      <c r="CA52" s="169">
        <f t="shared" si="48"/>
        <v>46203</v>
      </c>
      <c r="CB52" s="169">
        <f t="shared" si="48"/>
        <v>46234</v>
      </c>
      <c r="CC52" s="169">
        <f t="shared" si="48"/>
        <v>46265</v>
      </c>
      <c r="CD52" s="169">
        <f t="shared" si="48"/>
        <v>46295</v>
      </c>
      <c r="CE52" s="169">
        <f t="shared" si="48"/>
        <v>46326</v>
      </c>
      <c r="CF52" s="169">
        <f t="shared" si="48"/>
        <v>46356</v>
      </c>
      <c r="CG52" s="169">
        <f t="shared" si="48"/>
        <v>46387</v>
      </c>
    </row>
    <row r="53" spans="1:85">
      <c r="A53" s="168"/>
      <c r="B53" s="168"/>
      <c r="C53" s="166"/>
      <c r="D53" s="166"/>
      <c r="E53" s="167"/>
      <c r="F53" s="166"/>
      <c r="G53" s="166"/>
      <c r="I53" s="165"/>
      <c r="J53" s="165"/>
      <c r="K53" s="165"/>
      <c r="M53" s="165"/>
      <c r="N53" s="165"/>
      <c r="O53" s="165"/>
      <c r="P53" s="165"/>
      <c r="Q53" s="165"/>
      <c r="S53" s="165"/>
      <c r="T53" s="165"/>
      <c r="U53" s="165"/>
      <c r="V53" s="165"/>
      <c r="W53" s="165"/>
      <c r="X53" s="165"/>
      <c r="Y53" s="165"/>
      <c r="Z53" s="165"/>
      <c r="AA53" s="165"/>
      <c r="AB53" s="165"/>
      <c r="AC53" s="165"/>
      <c r="AD53" s="165"/>
      <c r="AE53" s="165"/>
      <c r="AF53" s="165"/>
      <c r="AG53" s="165"/>
      <c r="AH53" s="165"/>
      <c r="AI53" s="165"/>
      <c r="AK53" s="165"/>
      <c r="AL53" s="165"/>
      <c r="AM53" s="165"/>
      <c r="AN53" s="165"/>
      <c r="AO53" s="165"/>
      <c r="AP53" s="165"/>
      <c r="AQ53" s="165"/>
      <c r="AR53" s="165"/>
      <c r="AS53" s="165"/>
      <c r="AT53" s="165"/>
      <c r="AU53" s="165"/>
      <c r="AV53" s="165"/>
      <c r="AW53" s="165"/>
      <c r="AX53" s="165"/>
      <c r="AY53" s="165"/>
      <c r="AZ53" s="165"/>
      <c r="BA53" s="165"/>
      <c r="BB53" s="165"/>
      <c r="BC53" s="165"/>
      <c r="BD53" s="165"/>
      <c r="BE53" s="165"/>
      <c r="BF53" s="165"/>
      <c r="BG53" s="165"/>
      <c r="BH53" s="165"/>
      <c r="BI53" s="165"/>
      <c r="BJ53" s="165"/>
      <c r="BK53" s="165"/>
      <c r="BL53" s="165"/>
      <c r="BM53" s="165"/>
      <c r="BN53" s="165"/>
      <c r="BO53" s="165"/>
      <c r="BP53" s="165"/>
      <c r="BQ53" s="165"/>
      <c r="BR53" s="165"/>
      <c r="BS53" s="165"/>
      <c r="BT53" s="165"/>
      <c r="BU53" s="165"/>
      <c r="BV53" s="165"/>
      <c r="BW53" s="165"/>
      <c r="BX53" s="165"/>
      <c r="BY53" s="165"/>
      <c r="BZ53" s="165"/>
      <c r="CA53" s="165"/>
      <c r="CB53" s="165"/>
      <c r="CC53" s="165"/>
      <c r="CD53" s="165"/>
      <c r="CE53" s="165"/>
      <c r="CF53" s="165"/>
      <c r="CG53" s="165"/>
    </row>
    <row r="54" spans="1:85" s="157" customFormat="1" ht="15.75">
      <c r="C54" s="160" t="s">
        <v>135</v>
      </c>
      <c r="D54" s="160"/>
      <c r="E54" s="161"/>
      <c r="F54" s="160"/>
      <c r="G54" s="160"/>
      <c r="J54" s="158">
        <f>SUM(J55:J60)</f>
        <v>550924.85</v>
      </c>
      <c r="K54" s="158">
        <f>SUM(K55:K60)</f>
        <v>550924.85</v>
      </c>
      <c r="N54" s="158">
        <f>SUM(N55:N60)</f>
        <v>4443756</v>
      </c>
      <c r="O54" s="158">
        <f>SUM(O55:O60)</f>
        <v>2890273.5</v>
      </c>
      <c r="P54" s="158">
        <f>SUM(P55:P60)</f>
        <v>1410570.1743424244</v>
      </c>
      <c r="Q54" s="158">
        <f>SUM(Q55:Q60)</f>
        <v>-1375668.3368273086</v>
      </c>
      <c r="R54" s="159"/>
      <c r="S54" s="159"/>
      <c r="T54" s="158">
        <f t="shared" ref="T54:AI54" si="49">SUM(T55:T60)</f>
        <v>933584</v>
      </c>
      <c r="U54" s="158">
        <f t="shared" si="49"/>
        <v>2305128.5</v>
      </c>
      <c r="V54" s="158">
        <f t="shared" si="49"/>
        <v>2180019</v>
      </c>
      <c r="W54" s="158">
        <f t="shared" si="49"/>
        <v>4443756</v>
      </c>
      <c r="X54" s="158">
        <f t="shared" si="49"/>
        <v>4166262</v>
      </c>
      <c r="Y54" s="158">
        <f t="shared" si="49"/>
        <v>3813117</v>
      </c>
      <c r="Z54" s="158">
        <f t="shared" si="49"/>
        <v>3367930</v>
      </c>
      <c r="AA54" s="158">
        <f t="shared" si="49"/>
        <v>2890273.5</v>
      </c>
      <c r="AB54" s="158">
        <f t="shared" si="49"/>
        <v>2347491.27</v>
      </c>
      <c r="AC54" s="158">
        <f t="shared" si="49"/>
        <v>1737715.74</v>
      </c>
      <c r="AD54" s="158">
        <f t="shared" si="49"/>
        <v>1055967.49</v>
      </c>
      <c r="AE54" s="158">
        <f t="shared" si="49"/>
        <v>1410570.1743424244</v>
      </c>
      <c r="AF54" s="158">
        <f t="shared" si="49"/>
        <v>804279.24334299157</v>
      </c>
      <c r="AG54" s="158">
        <f t="shared" si="49"/>
        <v>128652.35326415888</v>
      </c>
      <c r="AH54" s="158">
        <f t="shared" si="49"/>
        <v>-601658.83139930747</v>
      </c>
      <c r="AI54" s="158">
        <f t="shared" si="49"/>
        <v>-1375668.3368273086</v>
      </c>
      <c r="AJ54" s="185"/>
      <c r="AK54" s="159"/>
      <c r="AL54" s="158">
        <f t="shared" ref="AL54:CG54" si="50">SUM(AL55:AL60)</f>
        <v>1014947</v>
      </c>
      <c r="AM54" s="158">
        <f t="shared" si="50"/>
        <v>977631</v>
      </c>
      <c r="AN54" s="158">
        <f t="shared" si="50"/>
        <v>933584</v>
      </c>
      <c r="AO54" s="158">
        <f t="shared" si="50"/>
        <v>893287.5</v>
      </c>
      <c r="AP54" s="158">
        <f t="shared" si="50"/>
        <v>850435.5</v>
      </c>
      <c r="AQ54" s="158">
        <f t="shared" si="50"/>
        <v>2305128.5</v>
      </c>
      <c r="AR54" s="158">
        <f t="shared" si="50"/>
        <v>2263541.5</v>
      </c>
      <c r="AS54" s="158">
        <f t="shared" si="50"/>
        <v>2220359</v>
      </c>
      <c r="AT54" s="158">
        <f t="shared" si="50"/>
        <v>2180019</v>
      </c>
      <c r="AU54" s="158">
        <f t="shared" si="50"/>
        <v>3132759</v>
      </c>
      <c r="AV54" s="158">
        <f t="shared" si="50"/>
        <v>3567941</v>
      </c>
      <c r="AW54" s="158">
        <f t="shared" si="50"/>
        <v>4443756</v>
      </c>
      <c r="AX54" s="158">
        <f t="shared" si="50"/>
        <v>4370951.5</v>
      </c>
      <c r="AY54" s="158">
        <f t="shared" si="50"/>
        <v>4241631.5</v>
      </c>
      <c r="AZ54" s="158">
        <f t="shared" si="50"/>
        <v>4166262</v>
      </c>
      <c r="BA54" s="158">
        <f t="shared" si="50"/>
        <v>4031551.5</v>
      </c>
      <c r="BB54" s="158">
        <f t="shared" si="50"/>
        <v>3953489</v>
      </c>
      <c r="BC54" s="158">
        <f t="shared" si="50"/>
        <v>3813117</v>
      </c>
      <c r="BD54" s="158">
        <f t="shared" si="50"/>
        <v>3666801</v>
      </c>
      <c r="BE54" s="158">
        <f t="shared" si="50"/>
        <v>3520486</v>
      </c>
      <c r="BF54" s="158">
        <f t="shared" si="50"/>
        <v>3367930</v>
      </c>
      <c r="BG54" s="158">
        <f t="shared" si="50"/>
        <v>3215373</v>
      </c>
      <c r="BH54" s="158">
        <f t="shared" si="50"/>
        <v>3056263</v>
      </c>
      <c r="BI54" s="158">
        <f t="shared" si="50"/>
        <v>2890273.5</v>
      </c>
      <c r="BJ54" s="158">
        <f t="shared" si="50"/>
        <v>2717058.59</v>
      </c>
      <c r="BK54" s="158">
        <f t="shared" si="50"/>
        <v>2536257.9300000002</v>
      </c>
      <c r="BL54" s="158">
        <f t="shared" si="50"/>
        <v>2347491.27</v>
      </c>
      <c r="BM54" s="158">
        <f t="shared" si="50"/>
        <v>2150361.61</v>
      </c>
      <c r="BN54" s="158">
        <f t="shared" si="50"/>
        <v>1944447.95</v>
      </c>
      <c r="BO54" s="158">
        <f t="shared" si="50"/>
        <v>1737715.74</v>
      </c>
      <c r="BP54" s="158">
        <f t="shared" si="50"/>
        <v>1518601.69</v>
      </c>
      <c r="BQ54" s="158">
        <f t="shared" si="50"/>
        <v>1283621.7</v>
      </c>
      <c r="BR54" s="158">
        <f t="shared" si="50"/>
        <v>1055967.49</v>
      </c>
      <c r="BS54" s="158">
        <f t="shared" si="50"/>
        <v>809105.34000000008</v>
      </c>
      <c r="BT54" s="158">
        <f t="shared" si="50"/>
        <v>550924.85</v>
      </c>
      <c r="BU54" s="158">
        <f t="shared" si="50"/>
        <v>1410570.1743424244</v>
      </c>
      <c r="BV54" s="158">
        <f t="shared" si="50"/>
        <v>1204739.9956125473</v>
      </c>
      <c r="BW54" s="158">
        <f t="shared" si="50"/>
        <v>1000003.5312643746</v>
      </c>
      <c r="BX54" s="158">
        <f t="shared" si="50"/>
        <v>804279.24334299157</v>
      </c>
      <c r="BY54" s="158">
        <f t="shared" si="50"/>
        <v>587999.83359180077</v>
      </c>
      <c r="BZ54" s="158">
        <f t="shared" si="50"/>
        <v>360546.87947116193</v>
      </c>
      <c r="CA54" s="158">
        <f t="shared" si="50"/>
        <v>128652.35326415888</v>
      </c>
      <c r="CB54" s="158">
        <f t="shared" si="50"/>
        <v>-110218.84643821475</v>
      </c>
      <c r="CC54" s="158">
        <f t="shared" si="50"/>
        <v>-354073.59526841913</v>
      </c>
      <c r="CD54" s="158">
        <f t="shared" si="50"/>
        <v>-601658.83139930747</v>
      </c>
      <c r="CE54" s="158">
        <f t="shared" si="50"/>
        <v>-852768.13398647564</v>
      </c>
      <c r="CF54" s="158">
        <f t="shared" si="50"/>
        <v>-1107265.7665007974</v>
      </c>
      <c r="CG54" s="158">
        <f t="shared" si="50"/>
        <v>-1375668.3368273086</v>
      </c>
    </row>
    <row r="55" spans="1:85" outlineLevel="1">
      <c r="C55" s="331" t="s">
        <v>136</v>
      </c>
      <c r="D55" s="163" t="str">
        <f>C55</f>
        <v>Accounts Receivable</v>
      </c>
      <c r="E55" s="150" t="s">
        <v>135</v>
      </c>
      <c r="F55" s="163"/>
      <c r="G55" s="163"/>
      <c r="J55" s="184" cm="1">
        <f t="array" ref="J55">IFERROR(SUM(_xlfn._xlws.FILTER(_xlfn._xlws.FILTER(dataSummaryBS,(dataSummaryBSSummarys=$D55)*(dataSummaryBSSections=$E55)),endDates=J$8)),0)</f>
        <v>127198.48</v>
      </c>
      <c r="K55" s="184" cm="1">
        <f t="array" ref="K55">IFERROR(SUM(_xlfn._xlws.FILTER(_xlfn._xlws.FILTER(dataSummaryBS,(dataSummaryBSSummarys=$D55)*(dataSummaryBSSections=$E55)),endDates=K$8)),0)</f>
        <v>127198.48</v>
      </c>
      <c r="N55" s="184" cm="1">
        <f t="array" ref="N55">IFERROR(SUM(_xlfn._xlws.FILTER(_xlfn._xlws.FILTER(dataSummaryBS,(dataSummaryBSSummarys=$D55)*(dataSummaryBSSections=$E55)),endDates=N$8)),0)</f>
        <v>34169</v>
      </c>
      <c r="O55" s="184" cm="1">
        <f t="array" ref="O55">IFERROR(SUM(_xlfn._xlws.FILTER(_xlfn._xlws.FILTER(dataSummaryBS,(dataSummaryBSSummarys=$D55)*(dataSummaryBSSections=$E55)),endDates=O$8)),0)</f>
        <v>52314</v>
      </c>
      <c r="P55" s="184" cm="1">
        <f t="array" ref="P55">IFERROR(SUM(_xlfn._xlws.FILTER(_xlfn._xlws.FILTER(dataSummaryBS,(dataSummaryBSSummarys=$D55)*(dataSummaryBSSections=$E55)),endDates=P$8)),0)</f>
        <v>183599.24</v>
      </c>
      <c r="Q55" s="184" cm="1">
        <f t="array" ref="Q55">IFERROR(SUM(_xlfn._xlws.FILTER(_xlfn._xlws.FILTER(dataSummaryBS,(dataSummaryBSSummarys=$D55)*(dataSummaryBSSections=$E55)),endDates=Q$8)),0)</f>
        <v>0</v>
      </c>
      <c r="T55" s="184" cm="1">
        <f t="array" ref="T55">IFERROR(SUM(_xlfn._xlws.FILTER(_xlfn._xlws.FILTER(dataSummaryBS,(dataSummaryBSSummarys=$D55)*(dataSummaryBSSections=$E55)),endDates=T$8)),0)</f>
        <v>20100</v>
      </c>
      <c r="U55" s="184" cm="1">
        <f t="array" ref="U55">IFERROR(SUM(_xlfn._xlws.FILTER(_xlfn._xlws.FILTER(dataSummaryBS,(dataSummaryBSSummarys=$D55)*(dataSummaryBSSections=$E55)),endDates=U$8)),0)</f>
        <v>26753</v>
      </c>
      <c r="V55" s="184" cm="1">
        <f t="array" ref="V55">IFERROR(SUM(_xlfn._xlws.FILTER(_xlfn._xlws.FILTER(dataSummaryBS,(dataSummaryBSSummarys=$D55)*(dataSummaryBSSections=$E55)),endDates=V$8)),0)</f>
        <v>35608</v>
      </c>
      <c r="W55" s="184" cm="1">
        <f t="array" ref="W55">IFERROR(SUM(_xlfn._xlws.FILTER(_xlfn._xlws.FILTER(dataSummaryBS,(dataSummaryBSSummarys=$D55)*(dataSummaryBSSections=$E55)),endDates=W$8)),0)</f>
        <v>34169</v>
      </c>
      <c r="X55" s="184" cm="1">
        <f t="array" ref="X55">IFERROR(SUM(_xlfn._xlws.FILTER(_xlfn._xlws.FILTER(dataSummaryBS,(dataSummaryBSSummarys=$D55)*(dataSummaryBSSections=$E55)),endDates=X$8)),0)</f>
        <v>40987</v>
      </c>
      <c r="Y55" s="184" cm="1">
        <f t="array" ref="Y55">IFERROR(SUM(_xlfn._xlws.FILTER(_xlfn._xlws.FILTER(dataSummaryBS,(dataSummaryBSSummarys=$D55)*(dataSummaryBSSections=$E55)),endDates=Y$8)),0)</f>
        <v>44983</v>
      </c>
      <c r="Z55" s="184" cm="1">
        <f t="array" ref="Z55">IFERROR(SUM(_xlfn._xlws.FILTER(_xlfn._xlws.FILTER(dataSummaryBS,(dataSummaryBSSummarys=$D55)*(dataSummaryBSSections=$E55)),endDates=Z$8)),0)</f>
        <v>48580</v>
      </c>
      <c r="AA55" s="184" cm="1">
        <f t="array" ref="AA55">IFERROR(SUM(_xlfn._xlws.FILTER(_xlfn._xlws.FILTER(dataSummaryBS,(dataSummaryBSSummarys=$D55)*(dataSummaryBSSections=$E55)),endDates=AA$8)),0)</f>
        <v>52314</v>
      </c>
      <c r="AB55" s="184" cm="1">
        <f t="array" ref="AB55">IFERROR(SUM(_xlfn._xlws.FILTER(_xlfn._xlws.FILTER(dataSummaryBS,(dataSummaryBSSummarys=$D55)*(dataSummaryBSSections=$E55)),endDates=AB$8)),0)</f>
        <v>56307.77</v>
      </c>
      <c r="AC55" s="184" cm="1">
        <f t="array" ref="AC55">IFERROR(SUM(_xlfn._xlws.FILTER(_xlfn._xlws.FILTER(dataSummaryBS,(dataSummaryBSSummarys=$D55)*(dataSummaryBSSections=$E55)),endDates=AC$8)),0)</f>
        <v>69302.55</v>
      </c>
      <c r="AD55" s="184" cm="1">
        <f t="array" ref="AD55">IFERROR(SUM(_xlfn._xlws.FILTER(_xlfn._xlws.FILTER(dataSummaryBS,(dataSummaryBSSummarys=$D55)*(dataSummaryBSSections=$E55)),endDates=AD$8)),0)</f>
        <v>98423.66</v>
      </c>
      <c r="AE55" s="184" cm="1">
        <f t="array" ref="AE55">IFERROR(SUM(_xlfn._xlws.FILTER(_xlfn._xlws.FILTER(dataSummaryBS,(dataSummaryBSSummarys=$D55)*(dataSummaryBSSections=$E55)),endDates=AE$8)),0)</f>
        <v>183599.24</v>
      </c>
      <c r="AF55" s="184" cm="1">
        <f t="array" ref="AF55">IFERROR(SUM(_xlfn._xlws.FILTER(_xlfn._xlws.FILTER(dataSummaryBS,(dataSummaryBSSummarys=$D55)*(dataSummaryBSSections=$E55)),endDates=AF$8)),0)</f>
        <v>0</v>
      </c>
      <c r="AG55" s="184" cm="1">
        <f t="array" ref="AG55">IFERROR(SUM(_xlfn._xlws.FILTER(_xlfn._xlws.FILTER(dataSummaryBS,(dataSummaryBSSummarys=$D55)*(dataSummaryBSSections=$E55)),endDates=AG$8)),0)</f>
        <v>0</v>
      </c>
      <c r="AH55" s="184" cm="1">
        <f t="array" ref="AH55">IFERROR(SUM(_xlfn._xlws.FILTER(_xlfn._xlws.FILTER(dataSummaryBS,(dataSummaryBSSummarys=$D55)*(dataSummaryBSSections=$E55)),endDates=AH$8)),0)</f>
        <v>0</v>
      </c>
      <c r="AI55" s="184" cm="1">
        <f t="array" ref="AI55">IFERROR(SUM(_xlfn._xlws.FILTER(_xlfn._xlws.FILTER(dataSummaryBS,(dataSummaryBSSummarys=$D55)*(dataSummaryBSSections=$E55)),endDates=AI$8)),0)</f>
        <v>0</v>
      </c>
      <c r="AJ55" s="184"/>
      <c r="AL55" s="184" cm="1">
        <f t="array" ref="AL55">IFERROR(SUM(_xlfn._xlws.FILTER(_xlfn._xlws.FILTER(dataSummaryBS,(dataSummaryBSSummarys=$D55)*(dataSummaryBSSections=$E55)),endDates=AL$8)),0)</f>
        <v>10000</v>
      </c>
      <c r="AM55" s="184" cm="1">
        <f t="array" ref="AM55">IFERROR(SUM(_xlfn._xlws.FILTER(_xlfn._xlws.FILTER(dataSummaryBS,(dataSummaryBSSummarys=$D55)*(dataSummaryBSSections=$E55)),endDates=AM$8)),0)</f>
        <v>16000</v>
      </c>
      <c r="AN55" s="184" cm="1">
        <f t="array" ref="AN55">IFERROR(SUM(_xlfn._xlws.FILTER(_xlfn._xlws.FILTER(dataSummaryBS,(dataSummaryBSSummarys=$D55)*(dataSummaryBSSections=$E55)),endDates=AN$8)),0)</f>
        <v>20100</v>
      </c>
      <c r="AO55" s="184" cm="1">
        <f t="array" ref="AO55">IFERROR(SUM(_xlfn._xlws.FILTER(_xlfn._xlws.FILTER(dataSummaryBS,(dataSummaryBSSummarys=$D55)*(dataSummaryBSSections=$E55)),endDates=AO$8)),0)</f>
        <v>22110</v>
      </c>
      <c r="AP55" s="184" cm="1">
        <f t="array" ref="AP55">IFERROR(SUM(_xlfn._xlws.FILTER(_xlfn._xlws.FILTER(dataSummaryBS,(dataSummaryBSSummarys=$D55)*(dataSummaryBSSections=$E55)),endDates=AP$8)),0)</f>
        <v>24321</v>
      </c>
      <c r="AQ55" s="184" cm="1">
        <f t="array" ref="AQ55">IFERROR(SUM(_xlfn._xlws.FILTER(_xlfn._xlws.FILTER(dataSummaryBS,(dataSummaryBSSummarys=$D55)*(dataSummaryBSSections=$E55)),endDates=AQ$8)),0)</f>
        <v>26753</v>
      </c>
      <c r="AR55" s="184" cm="1">
        <f t="array" ref="AR55">IFERROR(SUM(_xlfn._xlws.FILTER(_xlfn._xlws.FILTER(dataSummaryBS,(dataSummaryBSSummarys=$D55)*(dataSummaryBSSections=$E55)),endDates=AR$8)),0)</f>
        <v>29428</v>
      </c>
      <c r="AS55" s="184" cm="1">
        <f t="array" ref="AS55">IFERROR(SUM(_xlfn._xlws.FILTER(_xlfn._xlws.FILTER(dataSummaryBS,(dataSummaryBSSummarys=$D55)*(dataSummaryBSSections=$E55)),endDates=AS$8)),0)</f>
        <v>32371</v>
      </c>
      <c r="AT55" s="184" cm="1">
        <f t="array" ref="AT55">IFERROR(SUM(_xlfn._xlws.FILTER(_xlfn._xlws.FILTER(dataSummaryBS,(dataSummaryBSSummarys=$D55)*(dataSummaryBSSections=$E55)),endDates=AT$8)),0)</f>
        <v>35608</v>
      </c>
      <c r="AU55" s="184" cm="1">
        <f t="array" ref="AU55">IFERROR(SUM(_xlfn._xlws.FILTER(_xlfn._xlws.FILTER(dataSummaryBS,(dataSummaryBSSummarys=$D55)*(dataSummaryBSSections=$E55)),endDates=AU$8)),0)</f>
        <v>39169</v>
      </c>
      <c r="AV55" s="184" cm="1">
        <f t="array" ref="AV55">IFERROR(SUM(_xlfn._xlws.FILTER(_xlfn._xlws.FILTER(dataSummaryBS,(dataSummaryBSSummarys=$D55)*(dataSummaryBSSections=$E55)),endDates=AV$8)),0)</f>
        <v>44169</v>
      </c>
      <c r="AW55" s="184" cm="1">
        <f t="array" ref="AW55">IFERROR(SUM(_xlfn._xlws.FILTER(_xlfn._xlws.FILTER(dataSummaryBS,(dataSummaryBSSummarys=$D55)*(dataSummaryBSSections=$E55)),endDates=AW$8)),0)</f>
        <v>34169</v>
      </c>
      <c r="AX55" s="184" cm="1">
        <f t="array" ref="AX55">IFERROR(SUM(_xlfn._xlws.FILTER(_xlfn._xlws.FILTER(dataSummaryBS,(dataSummaryBSSummarys=$D55)*(dataSummaryBSSections=$E55)),endDates=AX$8)),0)</f>
        <v>41127</v>
      </c>
      <c r="AY55" s="184" cm="1">
        <f t="array" ref="AY55">IFERROR(SUM(_xlfn._xlws.FILTER(_xlfn._xlws.FILTER(dataSummaryBS,(dataSummaryBSSummarys=$D55)*(dataSummaryBSSections=$E55)),endDates=AY$8)),0)</f>
        <v>41812</v>
      </c>
      <c r="AZ55" s="184" cm="1">
        <f t="array" ref="AZ55">IFERROR(SUM(_xlfn._xlws.FILTER(_xlfn._xlws.FILTER(dataSummaryBS,(dataSummaryBSSummarys=$D55)*(dataSummaryBSSections=$E55)),endDates=AZ$8)),0)</f>
        <v>40987</v>
      </c>
      <c r="BA55" s="184" cm="1">
        <f t="array" ref="BA55">IFERROR(SUM(_xlfn._xlws.FILTER(_xlfn._xlws.FILTER(dataSummaryBS,(dataSummaryBSSummarys=$D55)*(dataSummaryBSSections=$E55)),endDates=BA$8)),0)</f>
        <v>43374</v>
      </c>
      <c r="BB55" s="184" cm="1">
        <f t="array" ref="BB55">IFERROR(SUM(_xlfn._xlws.FILTER(_xlfn._xlws.FILTER(dataSummaryBS,(dataSummaryBSSummarys=$D55)*(dataSummaryBSSections=$E55)),endDates=BB$8)),0)</f>
        <v>44161</v>
      </c>
      <c r="BC55" s="184" cm="1">
        <f t="array" ref="BC55">IFERROR(SUM(_xlfn._xlws.FILTER(_xlfn._xlws.FILTER(dataSummaryBS,(dataSummaryBSSummarys=$D55)*(dataSummaryBSSections=$E55)),endDates=BC$8)),0)</f>
        <v>44983</v>
      </c>
      <c r="BD55" s="184" cm="1">
        <f t="array" ref="BD55">IFERROR(SUM(_xlfn._xlws.FILTER(_xlfn._xlws.FILTER(dataSummaryBS,(dataSummaryBSSummarys=$D55)*(dataSummaryBSSections=$E55)),endDates=BD$8)),0)</f>
        <v>46381</v>
      </c>
      <c r="BE55" s="184" cm="1">
        <f t="array" ref="BE55">IFERROR(SUM(_xlfn._xlws.FILTER(_xlfn._xlws.FILTER(dataSummaryBS,(dataSummaryBSSummarys=$D55)*(dataSummaryBSSections=$E55)),endDates=BE$8)),0)</f>
        <v>47434</v>
      </c>
      <c r="BF55" s="184" cm="1">
        <f t="array" ref="BF55">IFERROR(SUM(_xlfn._xlws.FILTER(_xlfn._xlws.FILTER(dataSummaryBS,(dataSummaryBSSummarys=$D55)*(dataSummaryBSSections=$E55)),endDates=BF$8)),0)</f>
        <v>48580</v>
      </c>
      <c r="BG55" s="184" cm="1">
        <f t="array" ref="BG55">IFERROR(SUM(_xlfn._xlws.FILTER(_xlfn._xlws.FILTER(dataSummaryBS,(dataSummaryBSSummarys=$D55)*(dataSummaryBSSections=$E55)),endDates=BG$8)),0)</f>
        <v>49839</v>
      </c>
      <c r="BH55" s="184" cm="1">
        <f t="array" ref="BH55">IFERROR(SUM(_xlfn._xlws.FILTER(_xlfn._xlws.FILTER(dataSummaryBS,(dataSummaryBSSummarys=$D55)*(dataSummaryBSSections=$E55)),endDates=BH$8)),0)</f>
        <v>51049</v>
      </c>
      <c r="BI55" s="184" cm="1">
        <f t="array" ref="BI55">IFERROR(SUM(_xlfn._xlws.FILTER(_xlfn._xlws.FILTER(dataSummaryBS,(dataSummaryBSSummarys=$D55)*(dataSummaryBSSections=$E55)),endDates=BI$8)),0)</f>
        <v>52314</v>
      </c>
      <c r="BJ55" s="184" cm="1">
        <f t="array" ref="BJ55">IFERROR(SUM(_xlfn._xlws.FILTER(_xlfn._xlws.FILTER(dataSummaryBS,(dataSummaryBSSummarys=$D55)*(dataSummaryBSSections=$E55)),endDates=BJ$8)),0)</f>
        <v>53620.77</v>
      </c>
      <c r="BK55" s="184" cm="1">
        <f t="array" ref="BK55">IFERROR(SUM(_xlfn._xlws.FILTER(_xlfn._xlws.FILTER(dataSummaryBS,(dataSummaryBSSummarys=$D55)*(dataSummaryBSSections=$E55)),endDates=BK$8)),0)</f>
        <v>54944.77</v>
      </c>
      <c r="BL55" s="184" cm="1">
        <f t="array" ref="BL55">IFERROR(SUM(_xlfn._xlws.FILTER(_xlfn._xlws.FILTER(dataSummaryBS,(dataSummaryBSSummarys=$D55)*(dataSummaryBSSections=$E55)),endDates=BL$8)),0)</f>
        <v>56307.77</v>
      </c>
      <c r="BM55" s="184" cm="1">
        <f t="array" ref="BM55">IFERROR(SUM(_xlfn._xlws.FILTER(_xlfn._xlws.FILTER(dataSummaryBS,(dataSummaryBSSummarys=$D55)*(dataSummaryBSSections=$E55)),endDates=BM$8)),0)</f>
        <v>57705.77</v>
      </c>
      <c r="BN55" s="184" cm="1">
        <f t="array" ref="BN55">IFERROR(SUM(_xlfn._xlws.FILTER(_xlfn._xlws.FILTER(dataSummaryBS,(dataSummaryBSSummarys=$D55)*(dataSummaryBSSections=$E55)),endDates=BN$8)),0)</f>
        <v>59135.77</v>
      </c>
      <c r="BO55" s="184" cm="1">
        <f t="array" ref="BO55">IFERROR(SUM(_xlfn._xlws.FILTER(_xlfn._xlws.FILTER(dataSummaryBS,(dataSummaryBSSummarys=$D55)*(dataSummaryBSSections=$E55)),endDates=BO$8)),0)</f>
        <v>69302.55</v>
      </c>
      <c r="BP55" s="184" cm="1">
        <f t="array" ref="BP55">IFERROR(SUM(_xlfn._xlws.FILTER(_xlfn._xlws.FILTER(dataSummaryBS,(dataSummaryBSSummarys=$D55)*(dataSummaryBSSections=$E55)),endDates=BP$8)),0)</f>
        <v>77305.53</v>
      </c>
      <c r="BQ55" s="184" cm="1">
        <f t="array" ref="BQ55">IFERROR(SUM(_xlfn._xlws.FILTER(_xlfn._xlws.FILTER(dataSummaryBS,(dataSummaryBSSummarys=$D55)*(dataSummaryBSSections=$E55)),endDates=BQ$8)),0)</f>
        <v>78845.320000000007</v>
      </c>
      <c r="BR55" s="184" cm="1">
        <f t="array" ref="BR55">IFERROR(SUM(_xlfn._xlws.FILTER(_xlfn._xlws.FILTER(dataSummaryBS,(dataSummaryBSSummarys=$D55)*(dataSummaryBSSections=$E55)),endDates=BR$8)),0)</f>
        <v>98423.66</v>
      </c>
      <c r="BS55" s="184" cm="1">
        <f t="array" ref="BS55">IFERROR(SUM(_xlfn._xlws.FILTER(_xlfn._xlws.FILTER(dataSummaryBS,(dataSummaryBSSummarys=$D55)*(dataSummaryBSSections=$E55)),endDates=BS$8)),0)</f>
        <v>110041.05</v>
      </c>
      <c r="BT55" s="184" cm="1">
        <f t="array" ref="BT55">IFERROR(SUM(_xlfn._xlws.FILTER(_xlfn._xlws.FILTER(dataSummaryBS,(dataSummaryBSSummarys=$D55)*(dataSummaryBSSections=$E55)),endDates=BT$8)),0)</f>
        <v>127198.48</v>
      </c>
      <c r="BU55" s="184" cm="1">
        <f t="array" ref="BU55">IFERROR(SUM(_xlfn._xlws.FILTER(_xlfn._xlws.FILTER(dataSummaryBS,(dataSummaryBSSummarys=$D55)*(dataSummaryBSSections=$E55)),endDates=BU$8)),0)</f>
        <v>183599.24</v>
      </c>
      <c r="BV55" s="184" cm="1">
        <f t="array" ref="BV55">IFERROR(SUM(_xlfn._xlws.FILTER(_xlfn._xlws.FILTER(dataSummaryBS,(dataSummaryBSSummarys=$D55)*(dataSummaryBSSections=$E55)),endDates=BV$8)),0)</f>
        <v>91799.62</v>
      </c>
      <c r="BW55" s="184" cm="1">
        <f t="array" ref="BW55">IFERROR(SUM(_xlfn._xlws.FILTER(_xlfn._xlws.FILTER(dataSummaryBS,(dataSummaryBSSummarys=$D55)*(dataSummaryBSSections=$E55)),endDates=BW$8)),0)</f>
        <v>0</v>
      </c>
      <c r="BX55" s="184" cm="1">
        <f t="array" ref="BX55">IFERROR(SUM(_xlfn._xlws.FILTER(_xlfn._xlws.FILTER(dataSummaryBS,(dataSummaryBSSummarys=$D55)*(dataSummaryBSSections=$E55)),endDates=BX$8)),0)</f>
        <v>0</v>
      </c>
      <c r="BY55" s="184" cm="1">
        <f t="array" ref="BY55">IFERROR(SUM(_xlfn._xlws.FILTER(_xlfn._xlws.FILTER(dataSummaryBS,(dataSummaryBSSummarys=$D55)*(dataSummaryBSSections=$E55)),endDates=BY$8)),0)</f>
        <v>0</v>
      </c>
      <c r="BZ55" s="184" cm="1">
        <f t="array" ref="BZ55">IFERROR(SUM(_xlfn._xlws.FILTER(_xlfn._xlws.FILTER(dataSummaryBS,(dataSummaryBSSummarys=$D55)*(dataSummaryBSSections=$E55)),endDates=BZ$8)),0)</f>
        <v>0</v>
      </c>
      <c r="CA55" s="184" cm="1">
        <f t="array" ref="CA55">IFERROR(SUM(_xlfn._xlws.FILTER(_xlfn._xlws.FILTER(dataSummaryBS,(dataSummaryBSSummarys=$D55)*(dataSummaryBSSections=$E55)),endDates=CA$8)),0)</f>
        <v>0</v>
      </c>
      <c r="CB55" s="184" cm="1">
        <f t="array" ref="CB55">IFERROR(SUM(_xlfn._xlws.FILTER(_xlfn._xlws.FILTER(dataSummaryBS,(dataSummaryBSSummarys=$D55)*(dataSummaryBSSections=$E55)),endDates=CB$8)),0)</f>
        <v>0</v>
      </c>
      <c r="CC55" s="184" cm="1">
        <f t="array" ref="CC55">IFERROR(SUM(_xlfn._xlws.FILTER(_xlfn._xlws.FILTER(dataSummaryBS,(dataSummaryBSSummarys=$D55)*(dataSummaryBSSections=$E55)),endDates=CC$8)),0)</f>
        <v>0</v>
      </c>
      <c r="CD55" s="184" cm="1">
        <f t="array" ref="CD55">IFERROR(SUM(_xlfn._xlws.FILTER(_xlfn._xlws.FILTER(dataSummaryBS,(dataSummaryBSSummarys=$D55)*(dataSummaryBSSections=$E55)),endDates=CD$8)),0)</f>
        <v>0</v>
      </c>
      <c r="CE55" s="184" cm="1">
        <f t="array" ref="CE55">IFERROR(SUM(_xlfn._xlws.FILTER(_xlfn._xlws.FILTER(dataSummaryBS,(dataSummaryBSSummarys=$D55)*(dataSummaryBSSections=$E55)),endDates=CE$8)),0)</f>
        <v>0</v>
      </c>
      <c r="CF55" s="184" cm="1">
        <f t="array" ref="CF55">IFERROR(SUM(_xlfn._xlws.FILTER(_xlfn._xlws.FILTER(dataSummaryBS,(dataSummaryBSSummarys=$D55)*(dataSummaryBSSections=$E55)),endDates=CF$8)),0)</f>
        <v>0</v>
      </c>
      <c r="CG55" s="184" cm="1">
        <f t="array" ref="CG55">IFERROR(SUM(_xlfn._xlws.FILTER(_xlfn._xlws.FILTER(dataSummaryBS,(dataSummaryBSSummarys=$D55)*(dataSummaryBSSections=$E55)),endDates=CG$8)),0)</f>
        <v>0</v>
      </c>
    </row>
    <row r="56" spans="1:85" outlineLevel="1">
      <c r="C56" s="331" t="s">
        <v>137</v>
      </c>
      <c r="D56" s="163" t="str">
        <f t="shared" ref="D56:D58" si="51">C56</f>
        <v>Cash</v>
      </c>
      <c r="E56" s="150" t="s">
        <v>135</v>
      </c>
      <c r="F56" s="163"/>
      <c r="G56" s="163"/>
      <c r="J56" s="184" cm="1">
        <f t="array" ref="J56">IFERROR(SUM(_xlfn._xlws.FILTER(_xlfn._xlws.FILTER(dataSummaryBS,(dataSummaryBSSummarys=$D56)*(dataSummaryBSSections=$E56)),endDates=J$8)),0)</f>
        <v>370456.63</v>
      </c>
      <c r="K56" s="184" cm="1">
        <f t="array" ref="K56">IFERROR(SUM(_xlfn._xlws.FILTER(_xlfn._xlws.FILTER(dataSummaryBS,(dataSummaryBSSummarys=$D56)*(dataSummaryBSSections=$E56)),endDates=K$8)),0)</f>
        <v>370456.63</v>
      </c>
      <c r="N56" s="184" cm="1">
        <f t="array" ref="N56">IFERROR(SUM(_xlfn._xlws.FILTER(_xlfn._xlws.FILTER(dataSummaryBS,(dataSummaryBSSummarys=$D56)*(dataSummaryBSSections=$E56)),endDates=N$8)),0)</f>
        <v>4285000.5</v>
      </c>
      <c r="O56" s="184" cm="1">
        <f t="array" ref="O56">IFERROR(SUM(_xlfn._xlws.FILTER(_xlfn._xlws.FILTER(dataSummaryBS,(dataSummaryBSSummarys=$D56)*(dataSummaryBSSections=$E56)),endDates=O$8)),0)</f>
        <v>2744982.5</v>
      </c>
      <c r="P56" s="184" cm="1">
        <f t="array" ref="P56">IFERROR(SUM(_xlfn._xlws.FILTER(_xlfn._xlws.FILTER(dataSummaryBS,(dataSummaryBSSummarys=$D56)*(dataSummaryBSSections=$E56)),endDates=P$8)),0)</f>
        <v>1156879.011009091</v>
      </c>
      <c r="Q56" s="184" cm="1">
        <f t="array" ref="Q56">IFERROR(SUM(_xlfn._xlws.FILTER(_xlfn._xlws.FILTER(dataSummaryBS,(dataSummaryBSSummarys=$D56)*(dataSummaryBSSections=$E56)),endDates=Q$8)),0)</f>
        <v>-1438973.6823828642</v>
      </c>
      <c r="T56" s="184" cm="1">
        <f t="array" ref="T56">IFERROR(SUM(_xlfn._xlws.FILTER(_xlfn._xlws.FILTER(dataSummaryBS,(dataSummaryBSSummarys=$D56)*(dataSummaryBSSections=$E56)),endDates=T$8)),0)</f>
        <v>822468.5</v>
      </c>
      <c r="U56" s="184" cm="1">
        <f t="array" ref="U56">IFERROR(SUM(_xlfn._xlws.FILTER(_xlfn._xlws.FILTER(dataSummaryBS,(dataSummaryBSSummarys=$D56)*(dataSummaryBSSections=$E56)),endDates=U$8)),0)</f>
        <v>2139776.5</v>
      </c>
      <c r="V56" s="184" cm="1">
        <f t="array" ref="V56">IFERROR(SUM(_xlfn._xlws.FILTER(_xlfn._xlws.FILTER(dataSummaryBS,(dataSummaryBSSummarys=$D56)*(dataSummaryBSSections=$E56)),endDates=V$8)),0)</f>
        <v>2007838.5</v>
      </c>
      <c r="W56" s="184" cm="1">
        <f t="array" ref="W56">IFERROR(SUM(_xlfn._xlws.FILTER(_xlfn._xlws.FILTER(dataSummaryBS,(dataSummaryBSSummarys=$D56)*(dataSummaryBSSections=$E56)),endDates=W$8)),0)</f>
        <v>4285000.5</v>
      </c>
      <c r="X56" s="184" cm="1">
        <f t="array" ref="X56">IFERROR(SUM(_xlfn._xlws.FILTER(_xlfn._xlws.FILTER(dataSummaryBS,(dataSummaryBSSummarys=$D56)*(dataSummaryBSSections=$E56)),endDates=X$8)),0)</f>
        <v>4004840.5</v>
      </c>
      <c r="Y56" s="184" cm="1">
        <f t="array" ref="Y56">IFERROR(SUM(_xlfn._xlws.FILTER(_xlfn._xlws.FILTER(dataSummaryBS,(dataSummaryBSSummarys=$D56)*(dataSummaryBSSections=$E56)),endDates=Y$8)),0)</f>
        <v>3656851.5</v>
      </c>
      <c r="Z56" s="184" cm="1">
        <f t="array" ref="Z56">IFERROR(SUM(_xlfn._xlws.FILTER(_xlfn._xlws.FILTER(dataSummaryBS,(dataSummaryBSSummarys=$D56)*(dataSummaryBSSections=$E56)),endDates=Z$8)),0)</f>
        <v>3217220.5</v>
      </c>
      <c r="AA56" s="184" cm="1">
        <f t="array" ref="AA56">IFERROR(SUM(_xlfn._xlws.FILTER(_xlfn._xlws.FILTER(dataSummaryBS,(dataSummaryBSSummarys=$D56)*(dataSummaryBSSections=$E56)),endDates=AA$8)),0)</f>
        <v>2744982.5</v>
      </c>
      <c r="AB56" s="184" cm="1">
        <f t="array" ref="AB56">IFERROR(SUM(_xlfn._xlws.FILTER(_xlfn._xlws.FILTER(dataSummaryBS,(dataSummaryBSSummarys=$D56)*(dataSummaryBSSections=$E56)),endDates=AB$8)),0)</f>
        <v>2207358.48</v>
      </c>
      <c r="AC56" s="184" cm="1">
        <f t="array" ref="AC56">IFERROR(SUM(_xlfn._xlws.FILTER(_xlfn._xlws.FILTER(dataSummaryBS,(dataSummaryBSSummarys=$D56)*(dataSummaryBSSections=$E56)),endDates=AC$8)),0)</f>
        <v>1594040.15</v>
      </c>
      <c r="AD56" s="184" cm="1">
        <f t="array" ref="AD56">IFERROR(SUM(_xlfn._xlws.FILTER(_xlfn._xlws.FILTER(dataSummaryBS,(dataSummaryBSSummarys=$D56)*(dataSummaryBSSections=$E56)),endDates=AD$8)),0)</f>
        <v>893122.77</v>
      </c>
      <c r="AE56" s="184" cm="1">
        <f t="array" ref="AE56">IFERROR(SUM(_xlfn._xlws.FILTER(_xlfn._xlws.FILTER(dataSummaryBS,(dataSummaryBSSummarys=$D56)*(dataSummaryBSSections=$E56)),endDates=AE$8)),0)</f>
        <v>1156879.011009091</v>
      </c>
      <c r="AF56" s="184" cm="1">
        <f t="array" ref="AF56">IFERROR(SUM(_xlfn._xlws.FILTER(_xlfn._xlws.FILTER(dataSummaryBS,(dataSummaryBSSummarys=$D56)*(dataSummaryBSSections=$E56)),endDates=AF$8)),0)</f>
        <v>733998.54778743605</v>
      </c>
      <c r="AG56" s="184" cm="1">
        <f t="array" ref="AG56">IFERROR(SUM(_xlfn._xlws.FILTER(_xlfn._xlws.FILTER(dataSummaryBS,(dataSummaryBSSummarys=$D56)*(dataSummaryBSSections=$E56)),endDates=AG$8)),0)</f>
        <v>50877.329930825552</v>
      </c>
      <c r="AH56" s="184" cm="1">
        <f t="array" ref="AH56">IFERROR(SUM(_xlfn._xlws.FILTER(_xlfn._xlws.FILTER(dataSummaryBS,(dataSummaryBSSummarys=$D56)*(dataSummaryBSSections=$E56)),endDates=AH$8)),0)</f>
        <v>-672164.29362152971</v>
      </c>
      <c r="AI56" s="184" cm="1">
        <f t="array" ref="AI56">IFERROR(SUM(_xlfn._xlws.FILTER(_xlfn._xlws.FILTER(dataSummaryBS,(dataSummaryBSSummarys=$D56)*(dataSummaryBSSections=$E56)),endDates=AI$8)),0)</f>
        <v>-1438973.6823828642</v>
      </c>
      <c r="AJ56" s="184"/>
      <c r="AL56" s="184" cm="1">
        <f t="array" ref="AL56">IFERROR(SUM(_xlfn._xlws.FILTER(_xlfn._xlws.FILTER(dataSummaryBS,(dataSummaryBSSummarys=$D56)*(dataSummaryBSSections=$E56)),endDates=AL$8)),0)</f>
        <v>912877</v>
      </c>
      <c r="AM56" s="184" cm="1">
        <f t="array" ref="AM56">IFERROR(SUM(_xlfn._xlws.FILTER(_xlfn._xlws.FILTER(dataSummaryBS,(dataSummaryBSSummarys=$D56)*(dataSummaryBSSections=$E56)),endDates=AM$8)),0)</f>
        <v>872266.5</v>
      </c>
      <c r="AN56" s="184" cm="1">
        <f t="array" ref="AN56">IFERROR(SUM(_xlfn._xlws.FILTER(_xlfn._xlws.FILTER(dataSummaryBS,(dataSummaryBSSummarys=$D56)*(dataSummaryBSSections=$E56)),endDates=AN$8)),0)</f>
        <v>822468.5</v>
      </c>
      <c r="AO56" s="184" cm="1">
        <f t="array" ref="AO56">IFERROR(SUM(_xlfn._xlws.FILTER(_xlfn._xlws.FILTER(dataSummaryBS,(dataSummaryBSSummarys=$D56)*(dataSummaryBSSections=$E56)),endDates=AO$8)),0)</f>
        <v>740459</v>
      </c>
      <c r="AP56" s="184" cm="1">
        <f t="array" ref="AP56">IFERROR(SUM(_xlfn._xlws.FILTER(_xlfn._xlws.FILTER(dataSummaryBS,(dataSummaryBSSummarys=$D56)*(dataSummaryBSSections=$E56)),endDates=AP$8)),0)</f>
        <v>698801.5</v>
      </c>
      <c r="AQ56" s="184" cm="1">
        <f t="array" ref="AQ56">IFERROR(SUM(_xlfn._xlws.FILTER(_xlfn._xlws.FILTER(dataSummaryBS,(dataSummaryBSSummarys=$D56)*(dataSummaryBSSections=$E56)),endDates=AQ$8)),0)</f>
        <v>2139776.5</v>
      </c>
      <c r="AR56" s="184" cm="1">
        <f t="array" ref="AR56">IFERROR(SUM(_xlfn._xlws.FILTER(_xlfn._xlws.FILTER(dataSummaryBS,(dataSummaryBSSummarys=$D56)*(dataSummaryBSSections=$E56)),endDates=AR$8)),0)</f>
        <v>2100546</v>
      </c>
      <c r="AS56" s="184" cm="1">
        <f t="array" ref="AS56">IFERROR(SUM(_xlfn._xlws.FILTER(_xlfn._xlws.FILTER(dataSummaryBS,(dataSummaryBSSummarys=$D56)*(dataSummaryBSSections=$E56)),endDates=AS$8)),0)</f>
        <v>2050413.5</v>
      </c>
      <c r="AT56" s="184" cm="1">
        <f t="array" ref="AT56">IFERROR(SUM(_xlfn._xlws.FILTER(_xlfn._xlws.FILTER(dataSummaryBS,(dataSummaryBSSummarys=$D56)*(dataSummaryBSSections=$E56)),endDates=AT$8)),0)</f>
        <v>2007838.5</v>
      </c>
      <c r="AU56" s="184" cm="1">
        <f t="array" ref="AU56">IFERROR(SUM(_xlfn._xlws.FILTER(_xlfn._xlws.FILTER(dataSummaryBS,(dataSummaryBSSummarys=$D56)*(dataSummaryBSSections=$E56)),endDates=AU$8)),0)</f>
        <v>2963592.5</v>
      </c>
      <c r="AV56" s="184" cm="1">
        <f t="array" ref="AV56">IFERROR(SUM(_xlfn._xlws.FILTER(_xlfn._xlws.FILTER(dataSummaryBS,(dataSummaryBSSummarys=$D56)*(dataSummaryBSSections=$E56)),endDates=AV$8)),0)</f>
        <v>3396134.5</v>
      </c>
      <c r="AW56" s="184" cm="1">
        <f t="array" ref="AW56">IFERROR(SUM(_xlfn._xlws.FILTER(_xlfn._xlws.FILTER(dataSummaryBS,(dataSummaryBSSummarys=$D56)*(dataSummaryBSSections=$E56)),endDates=AW$8)),0)</f>
        <v>4285000.5</v>
      </c>
      <c r="AX56" s="184" cm="1">
        <f t="array" ref="AX56">IFERROR(SUM(_xlfn._xlws.FILTER(_xlfn._xlws.FILTER(dataSummaryBS,(dataSummaryBSSummarys=$D56)*(dataSummaryBSSections=$E56)),endDates=AX$8)),0)</f>
        <v>4191288.5</v>
      </c>
      <c r="AY56" s="184" cm="1">
        <f t="array" ref="AY56">IFERROR(SUM(_xlfn._xlws.FILTER(_xlfn._xlws.FILTER(dataSummaryBS,(dataSummaryBSSummarys=$D56)*(dataSummaryBSSections=$E56)),endDates=AY$8)),0)</f>
        <v>4076334.5</v>
      </c>
      <c r="AZ56" s="184" cm="1">
        <f t="array" ref="AZ56">IFERROR(SUM(_xlfn._xlws.FILTER(_xlfn._xlws.FILTER(dataSummaryBS,(dataSummaryBSSummarys=$D56)*(dataSummaryBSSections=$E56)),endDates=AZ$8)),0)</f>
        <v>4004840.5</v>
      </c>
      <c r="BA56" s="184" cm="1">
        <f t="array" ref="BA56">IFERROR(SUM(_xlfn._xlws.FILTER(_xlfn._xlws.FILTER(dataSummaryBS,(dataSummaryBSSummarys=$D56)*(dataSummaryBSSections=$E56)),endDates=BA$8)),0)</f>
        <v>3870793.5</v>
      </c>
      <c r="BB56" s="184" cm="1">
        <f t="array" ref="BB56">IFERROR(SUM(_xlfn._xlws.FILTER(_xlfn._xlws.FILTER(dataSummaryBS,(dataSummaryBSSummarys=$D56)*(dataSummaryBSSections=$E56)),endDates=BB$8)),0)</f>
        <v>3794994.5</v>
      </c>
      <c r="BC56" s="184" cm="1">
        <f t="array" ref="BC56">IFERROR(SUM(_xlfn._xlws.FILTER(_xlfn._xlws.FILTER(dataSummaryBS,(dataSummaryBSSummarys=$D56)*(dataSummaryBSSections=$E56)),endDates=BC$8)),0)</f>
        <v>3656851.5</v>
      </c>
      <c r="BD56" s="184" cm="1">
        <f t="array" ref="BD56">IFERROR(SUM(_xlfn._xlws.FILTER(_xlfn._xlws.FILTER(dataSummaryBS,(dataSummaryBSSummarys=$D56)*(dataSummaryBSSections=$E56)),endDates=BD$8)),0)</f>
        <v>3512188.5</v>
      </c>
      <c r="BE56" s="184" cm="1">
        <f t="array" ref="BE56">IFERROR(SUM(_xlfn._xlws.FILTER(_xlfn._xlws.FILTER(dataSummaryBS,(dataSummaryBSSummarys=$D56)*(dataSummaryBSSections=$E56)),endDates=BE$8)),0)</f>
        <v>3367871.5</v>
      </c>
      <c r="BF56" s="184" cm="1">
        <f t="array" ref="BF56">IFERROR(SUM(_xlfn._xlws.FILTER(_xlfn._xlws.FILTER(dataSummaryBS,(dataSummaryBSSummarys=$D56)*(dataSummaryBSSections=$E56)),endDates=BF$8)),0)</f>
        <v>3217220.5</v>
      </c>
      <c r="BG56" s="184" cm="1">
        <f t="array" ref="BG56">IFERROR(SUM(_xlfn._xlws.FILTER(_xlfn._xlws.FILTER(dataSummaryBS,(dataSummaryBSSummarys=$D56)*(dataSummaryBSSections=$E56)),endDates=BG$8)),0)</f>
        <v>3066455.5</v>
      </c>
      <c r="BH56" s="184" cm="1">
        <f t="array" ref="BH56">IFERROR(SUM(_xlfn._xlws.FILTER(_xlfn._xlws.FILTER(dataSummaryBS,(dataSummaryBSSummarys=$D56)*(dataSummaryBSSections=$E56)),endDates=BH$8)),0)</f>
        <v>2909186.5</v>
      </c>
      <c r="BI56" s="184" cm="1">
        <f t="array" ref="BI56">IFERROR(SUM(_xlfn._xlws.FILTER(_xlfn._xlws.FILTER(dataSummaryBS,(dataSummaryBSSummarys=$D56)*(dataSummaryBSSections=$E56)),endDates=BI$8)),0)</f>
        <v>2744982.5</v>
      </c>
      <c r="BJ56" s="184" cm="1">
        <f t="array" ref="BJ56">IFERROR(SUM(_xlfn._xlws.FILTER(_xlfn._xlws.FILTER(dataSummaryBS,(dataSummaryBSSummarys=$D56)*(dataSummaryBSSections=$E56)),endDates=BJ$8)),0)</f>
        <v>2573511.48</v>
      </c>
      <c r="BK56" s="184" cm="1">
        <f t="array" ref="BK56">IFERROR(SUM(_xlfn._xlws.FILTER(_xlfn._xlws.FILTER(dataSummaryBS,(dataSummaryBSSummarys=$D56)*(dataSummaryBSSections=$E56)),endDates=BK$8)),0)</f>
        <v>2394437.48</v>
      </c>
      <c r="BL56" s="184" cm="1">
        <f t="array" ref="BL56">IFERROR(SUM(_xlfn._xlws.FILTER(_xlfn._xlws.FILTER(dataSummaryBS,(dataSummaryBSSummarys=$D56)*(dataSummaryBSSections=$E56)),endDates=BL$8)),0)</f>
        <v>2207358.48</v>
      </c>
      <c r="BM56" s="184" cm="1">
        <f t="array" ref="BM56">IFERROR(SUM(_xlfn._xlws.FILTER(_xlfn._xlws.FILTER(dataSummaryBS,(dataSummaryBSSummarys=$D56)*(dataSummaryBSSections=$E56)),endDates=BM$8)),0)</f>
        <v>2011881.48</v>
      </c>
      <c r="BN56" s="184" cm="1">
        <f t="array" ref="BN56">IFERROR(SUM(_xlfn._xlws.FILTER(_xlfn._xlws.FILTER(dataSummaryBS,(dataSummaryBSSummarys=$D56)*(dataSummaryBSSections=$E56)),endDates=BN$8)),0)</f>
        <v>1807588.48</v>
      </c>
      <c r="BO56" s="184" cm="1">
        <f t="array" ref="BO56">IFERROR(SUM(_xlfn._xlws.FILTER(_xlfn._xlws.FILTER(dataSummaryBS,(dataSummaryBSSummarys=$D56)*(dataSummaryBSSections=$E56)),endDates=BO$8)),0)</f>
        <v>1594040.15</v>
      </c>
      <c r="BP56" s="184" cm="1">
        <f t="array" ref="BP56">IFERROR(SUM(_xlfn._xlws.FILTER(_xlfn._xlws.FILTER(dataSummaryBS,(dataSummaryBSSummarys=$D56)*(dataSummaryBSSections=$E56)),endDates=BP$8)),0)</f>
        <v>1370773.78</v>
      </c>
      <c r="BQ56" s="184" cm="1">
        <f t="array" ref="BQ56">IFERROR(SUM(_xlfn._xlws.FILTER(_xlfn._xlws.FILTER(dataSummaryBS,(dataSummaryBSSummarys=$D56)*(dataSummaryBSSections=$E56)),endDates=BQ$8)),0)</f>
        <v>1137304.6599999999</v>
      </c>
      <c r="BR56" s="184" cm="1">
        <f t="array" ref="BR56">IFERROR(SUM(_xlfn._xlws.FILTER(_xlfn._xlws.FILTER(dataSummaryBS,(dataSummaryBSSummarys=$D56)*(dataSummaryBSSections=$E56)),endDates=BR$8)),0)</f>
        <v>893122.77</v>
      </c>
      <c r="BS56" s="184" cm="1">
        <f t="array" ref="BS56">IFERROR(SUM(_xlfn._xlws.FILTER(_xlfn._xlws.FILTER(dataSummaryBS,(dataSummaryBSSummarys=$D56)*(dataSummaryBSSections=$E56)),endDates=BS$8)),0)</f>
        <v>637693.89</v>
      </c>
      <c r="BT56" s="184" cm="1">
        <f t="array" ref="BT56">IFERROR(SUM(_xlfn._xlws.FILTER(_xlfn._xlws.FILTER(dataSummaryBS,(dataSummaryBSSummarys=$D56)*(dataSummaryBSSections=$E56)),endDates=BT$8)),0)</f>
        <v>370456.63</v>
      </c>
      <c r="BU56" s="184" cm="1">
        <f t="array" ref="BU56">IFERROR(SUM(_xlfn._xlws.FILTER(_xlfn._xlws.FILTER(dataSummaryBS,(dataSummaryBSSummarys=$D56)*(dataSummaryBSSections=$E56)),endDates=BU$8)),0)</f>
        <v>1156879.011009091</v>
      </c>
      <c r="BV56" s="184" cm="1">
        <f t="array" ref="BV56">IFERROR(SUM(_xlfn._xlws.FILTER(_xlfn._xlws.FILTER(dataSummaryBS,(dataSummaryBSSummarys=$D56)*(dataSummaryBSSections=$E56)),endDates=BV$8)),0)</f>
        <v>1045956.8245014361</v>
      </c>
      <c r="BW56" s="184" cm="1">
        <f t="array" ref="BW56">IFERROR(SUM(_xlfn._xlws.FILTER(_xlfn._xlws.FILTER(dataSummaryBS,(dataSummaryBSSummarys=$D56)*(dataSummaryBSSections=$E56)),endDates=BW$8)),0)</f>
        <v>926406.13015326345</v>
      </c>
      <c r="BX56" s="184" cm="1">
        <f t="array" ref="BX56">IFERROR(SUM(_xlfn._xlws.FILTER(_xlfn._xlws.FILTER(dataSummaryBS,(dataSummaryBSSummarys=$D56)*(dataSummaryBSSections=$E56)),endDates=BX$8)),0)</f>
        <v>733998.54778743605</v>
      </c>
      <c r="BY56" s="184" cm="1">
        <f t="array" ref="BY56">IFERROR(SUM(_xlfn._xlws.FILTER(_xlfn._xlws.FILTER(dataSummaryBS,(dataSummaryBSSummarys=$D56)*(dataSummaryBSSections=$E56)),endDates=BY$8)),0)</f>
        <v>520063.62136957853</v>
      </c>
      <c r="BZ56" s="184" cm="1">
        <f t="array" ref="BZ56">IFERROR(SUM(_xlfn._xlws.FILTER(_xlfn._xlws.FILTER(dataSummaryBS,(dataSummaryBSSummarys=$D56)*(dataSummaryBSSections=$E56)),endDates=BZ$8)),0)</f>
        <v>280302.37280449527</v>
      </c>
      <c r="CA56" s="184" cm="1">
        <f t="array" ref="CA56">IFERROR(SUM(_xlfn._xlws.FILTER(_xlfn._xlws.FILTER(dataSummaryBS,(dataSummaryBSSummarys=$D56)*(dataSummaryBSSections=$E56)),endDates=CA$8)),0)</f>
        <v>50877.329930825552</v>
      </c>
      <c r="CB56" s="184" cm="1">
        <f t="array" ref="CB56">IFERROR(SUM(_xlfn._xlws.FILTER(_xlfn._xlws.FILTER(dataSummaryBS,(dataSummaryBSSummarys=$D56)*(dataSummaryBSSections=$E56)),endDates=CB$8)),0)</f>
        <v>-185524.38643821474</v>
      </c>
      <c r="CC56" s="184" cm="1">
        <f t="array" ref="CC56">IFERROR(SUM(_xlfn._xlws.FILTER(_xlfn._xlws.FILTER(dataSummaryBS,(dataSummaryBSSummarys=$D56)*(dataSummaryBSSections=$E56)),endDates=CC$8)),0)</f>
        <v>-426979.09637953027</v>
      </c>
      <c r="CD56" s="184" cm="1">
        <f t="array" ref="CD56">IFERROR(SUM(_xlfn._xlws.FILTER(_xlfn._xlws.FILTER(dataSummaryBS,(dataSummaryBSSummarys=$D56)*(dataSummaryBSSections=$E56)),endDates=CD$8)),0)</f>
        <v>-672164.29362152971</v>
      </c>
      <c r="CE56" s="184" cm="1">
        <f t="array" ref="CE56">IFERROR(SUM(_xlfn._xlws.FILTER(_xlfn._xlws.FILTER(dataSummaryBS,(dataSummaryBSSummarys=$D56)*(dataSummaryBSSections=$E56)),endDates=CE$8)),0)</f>
        <v>-920873.55731980898</v>
      </c>
      <c r="CF56" s="184" cm="1">
        <f t="array" ref="CF56">IFERROR(SUM(_xlfn._xlws.FILTER(_xlfn._xlws.FILTER(dataSummaryBS,(dataSummaryBSSummarys=$D56)*(dataSummaryBSSections=$E56)),endDates=CF$8)),0)</f>
        <v>-1172971.1509452418</v>
      </c>
      <c r="CG56" s="184" cm="1">
        <f t="array" ref="CG56">IFERROR(SUM(_xlfn._xlws.FILTER(_xlfn._xlws.FILTER(dataSummaryBS,(dataSummaryBSSummarys=$D56)*(dataSummaryBSSections=$E56)),endDates=CG$8)),0)</f>
        <v>-1438973.6823828642</v>
      </c>
    </row>
    <row r="57" spans="1:85" outlineLevel="1">
      <c r="C57" s="331" t="s">
        <v>138</v>
      </c>
      <c r="D57" s="163" t="str">
        <f t="shared" si="51"/>
        <v>Current Assets</v>
      </c>
      <c r="E57" s="150" t="s">
        <v>135</v>
      </c>
      <c r="F57" s="163"/>
      <c r="G57" s="163"/>
      <c r="J57" s="184" cm="1">
        <f t="array" ref="J57">IFERROR(SUM(_xlfn._xlws.FILTER(_xlfn._xlws.FILTER(dataSummaryBS,(dataSummaryBSSummarys=$D57)*(dataSummaryBSSections=$E57)),endDates=J$8)),0)</f>
        <v>19969.5</v>
      </c>
      <c r="K57" s="184" cm="1">
        <f t="array" ref="K57">IFERROR(SUM(_xlfn._xlws.FILTER(_xlfn._xlws.FILTER(dataSummaryBS,(dataSummaryBSSummarys=$D57)*(dataSummaryBSSections=$E57)),endDates=K$8)),0)</f>
        <v>19969.5</v>
      </c>
      <c r="N57" s="184" cm="1">
        <f t="array" ref="N57">IFERROR(SUM(_xlfn._xlws.FILTER(_xlfn._xlws.FILTER(dataSummaryBS,(dataSummaryBSSummarys=$D57)*(dataSummaryBSSections=$E57)),endDates=N$8)),0)</f>
        <v>26119.5</v>
      </c>
      <c r="O57" s="184" cm="1">
        <f t="array" ref="O57">IFERROR(SUM(_xlfn._xlws.FILTER(_xlfn._xlws.FILTER(dataSummaryBS,(dataSummaryBSSummarys=$D57)*(dataSummaryBSSections=$E57)),endDates=O$8)),0)</f>
        <v>26119.5</v>
      </c>
      <c r="P57" s="184" cm="1">
        <f t="array" ref="P57">IFERROR(SUM(_xlfn._xlws.FILTER(_xlfn._xlws.FILTER(dataSummaryBS,(dataSummaryBSSummarys=$D57)*(dataSummaryBSSections=$E57)),endDates=P$8)),0)</f>
        <v>19969.5</v>
      </c>
      <c r="Q57" s="184" cm="1">
        <f t="array" ref="Q57">IFERROR(SUM(_xlfn._xlws.FILTER(_xlfn._xlws.FILTER(dataSummaryBS,(dataSummaryBSSummarys=$D57)*(dataSummaryBSSections=$E57)),endDates=Q$8)),0)</f>
        <v>19969.5</v>
      </c>
      <c r="T57" s="184" cm="1">
        <f t="array" ref="T57">IFERROR(SUM(_xlfn._xlws.FILTER(_xlfn._xlws.FILTER(dataSummaryBS,(dataSummaryBSSummarys=$D57)*(dataSummaryBSSections=$E57)),endDates=T$8)),0)</f>
        <v>25623.5</v>
      </c>
      <c r="U57" s="184" cm="1">
        <f t="array" ref="U57">IFERROR(SUM(_xlfn._xlws.FILTER(_xlfn._xlws.FILTER(dataSummaryBS,(dataSummaryBSSummarys=$D57)*(dataSummaryBSSections=$E57)),endDates=U$8)),0)</f>
        <v>31402</v>
      </c>
      <c r="V57" s="184" cm="1">
        <f t="array" ref="V57">IFERROR(SUM(_xlfn._xlws.FILTER(_xlfn._xlws.FILTER(dataSummaryBS,(dataSummaryBSSummarys=$D57)*(dataSummaryBSSections=$E57)),endDates=V$8)),0)</f>
        <v>31222.5</v>
      </c>
      <c r="W57" s="184" cm="1">
        <f t="array" ref="W57">IFERROR(SUM(_xlfn._xlws.FILTER(_xlfn._xlws.FILTER(dataSummaryBS,(dataSummaryBSSummarys=$D57)*(dataSummaryBSSections=$E57)),endDates=W$8)),0)</f>
        <v>26119.5</v>
      </c>
      <c r="X57" s="184" cm="1">
        <f t="array" ref="X57">IFERROR(SUM(_xlfn._xlws.FILTER(_xlfn._xlws.FILTER(dataSummaryBS,(dataSummaryBSSummarys=$D57)*(dataSummaryBSSections=$E57)),endDates=X$8)),0)</f>
        <v>26119.5</v>
      </c>
      <c r="Y57" s="184" cm="1">
        <f t="array" ref="Y57">IFERROR(SUM(_xlfn._xlws.FILTER(_xlfn._xlws.FILTER(dataSummaryBS,(dataSummaryBSSummarys=$D57)*(dataSummaryBSSections=$E57)),endDates=Y$8)),0)</f>
        <v>26119.5</v>
      </c>
      <c r="Z57" s="184" cm="1">
        <f t="array" ref="Z57">IFERROR(SUM(_xlfn._xlws.FILTER(_xlfn._xlws.FILTER(dataSummaryBS,(dataSummaryBSSummarys=$D57)*(dataSummaryBSSections=$E57)),endDates=Z$8)),0)</f>
        <v>26119.5</v>
      </c>
      <c r="AA57" s="184" cm="1">
        <f t="array" ref="AA57">IFERROR(SUM(_xlfn._xlws.FILTER(_xlfn._xlws.FILTER(dataSummaryBS,(dataSummaryBSSummarys=$D57)*(dataSummaryBSSections=$E57)),endDates=AA$8)),0)</f>
        <v>26119.5</v>
      </c>
      <c r="AB57" s="184" cm="1">
        <f t="array" ref="AB57">IFERROR(SUM(_xlfn._xlws.FILTER(_xlfn._xlws.FILTER(dataSummaryBS,(dataSummaryBSSummarys=$D57)*(dataSummaryBSSections=$E57)),endDates=AB$8)),0)</f>
        <v>26119.5</v>
      </c>
      <c r="AC57" s="184" cm="1">
        <f t="array" ref="AC57">IFERROR(SUM(_xlfn._xlws.FILTER(_xlfn._xlws.FILTER(dataSummaryBS,(dataSummaryBSSummarys=$D57)*(dataSummaryBSSections=$E57)),endDates=AC$8)),0)</f>
        <v>25819.5</v>
      </c>
      <c r="AD57" s="184" cm="1">
        <f t="array" ref="AD57">IFERROR(SUM(_xlfn._xlws.FILTER(_xlfn._xlws.FILTER(dataSummaryBS,(dataSummaryBSSummarys=$D57)*(dataSummaryBSSections=$E57)),endDates=AD$8)),0)</f>
        <v>25019.5</v>
      </c>
      <c r="AE57" s="184" cm="1">
        <f t="array" ref="AE57">IFERROR(SUM(_xlfn._xlws.FILTER(_xlfn._xlws.FILTER(dataSummaryBS,(dataSummaryBSSummarys=$D57)*(dataSummaryBSSections=$E57)),endDates=AE$8)),0)</f>
        <v>19969.5</v>
      </c>
      <c r="AF57" s="184" cm="1">
        <f t="array" ref="AF57">IFERROR(SUM(_xlfn._xlws.FILTER(_xlfn._xlws.FILTER(dataSummaryBS,(dataSummaryBSSummarys=$D57)*(dataSummaryBSSections=$E57)),endDates=AF$8)),0)</f>
        <v>19969.5</v>
      </c>
      <c r="AG57" s="184" cm="1">
        <f t="array" ref="AG57">IFERROR(SUM(_xlfn._xlws.FILTER(_xlfn._xlws.FILTER(dataSummaryBS,(dataSummaryBSSummarys=$D57)*(dataSummaryBSSections=$E57)),endDates=AG$8)),0)</f>
        <v>19969.5</v>
      </c>
      <c r="AH57" s="184" cm="1">
        <f t="array" ref="AH57">IFERROR(SUM(_xlfn._xlws.FILTER(_xlfn._xlws.FILTER(dataSummaryBS,(dataSummaryBSSummarys=$D57)*(dataSummaryBSSections=$E57)),endDates=AH$8)),0)</f>
        <v>19969.5</v>
      </c>
      <c r="AI57" s="184" cm="1">
        <f t="array" ref="AI57">IFERROR(SUM(_xlfn._xlws.FILTER(_xlfn._xlws.FILTER(dataSummaryBS,(dataSummaryBSSummarys=$D57)*(dataSummaryBSSections=$E57)),endDates=AI$8)),0)</f>
        <v>19969.5</v>
      </c>
      <c r="AJ57" s="184"/>
      <c r="AL57" s="184" cm="1">
        <f t="array" ref="AL57">IFERROR(SUM(_xlfn._xlws.FILTER(_xlfn._xlws.FILTER(dataSummaryBS,(dataSummaryBSSummarys=$D57)*(dataSummaryBSSections=$E57)),endDates=AL$8)),0)</f>
        <v>28970</v>
      </c>
      <c r="AM57" s="184" cm="1">
        <f t="array" ref="AM57">IFERROR(SUM(_xlfn._xlws.FILTER(_xlfn._xlws.FILTER(dataSummaryBS,(dataSummaryBSSummarys=$D57)*(dataSummaryBSSections=$E57)),endDates=AM$8)),0)</f>
        <v>26333.5</v>
      </c>
      <c r="AN57" s="184" cm="1">
        <f t="array" ref="AN57">IFERROR(SUM(_xlfn._xlws.FILTER(_xlfn._xlws.FILTER(dataSummaryBS,(dataSummaryBSSummarys=$D57)*(dataSummaryBSSections=$E57)),endDates=AN$8)),0)</f>
        <v>25623.5</v>
      </c>
      <c r="AO57" s="184" cm="1">
        <f t="array" ref="AO57">IFERROR(SUM(_xlfn._xlws.FILTER(_xlfn._xlws.FILTER(dataSummaryBS,(dataSummaryBSSummarys=$D57)*(dataSummaryBSSections=$E57)),endDates=AO$8)),0)</f>
        <v>31437.5</v>
      </c>
      <c r="AP57" s="184" cm="1">
        <f t="array" ref="AP57">IFERROR(SUM(_xlfn._xlws.FILTER(_xlfn._xlws.FILTER(dataSummaryBS,(dataSummaryBSSummarys=$D57)*(dataSummaryBSSections=$E57)),endDates=AP$8)),0)</f>
        <v>26713</v>
      </c>
      <c r="AQ57" s="184" cm="1">
        <f t="array" ref="AQ57">IFERROR(SUM(_xlfn._xlws.FILTER(_xlfn._xlws.FILTER(dataSummaryBS,(dataSummaryBSSummarys=$D57)*(dataSummaryBSSections=$E57)),endDates=AQ$8)),0)</f>
        <v>31402</v>
      </c>
      <c r="AR57" s="184" cm="1">
        <f t="array" ref="AR57">IFERROR(SUM(_xlfn._xlws.FILTER(_xlfn._xlws.FILTER(dataSummaryBS,(dataSummaryBSSummarys=$D57)*(dataSummaryBSSections=$E57)),endDates=AR$8)),0)</f>
        <v>27773.5</v>
      </c>
      <c r="AS57" s="184" cm="1">
        <f t="array" ref="AS57">IFERROR(SUM(_xlfn._xlws.FILTER(_xlfn._xlws.FILTER(dataSummaryBS,(dataSummaryBSSummarys=$D57)*(dataSummaryBSSections=$E57)),endDates=AS$8)),0)</f>
        <v>30752.5</v>
      </c>
      <c r="AT57" s="184" cm="1">
        <f t="array" ref="AT57">IFERROR(SUM(_xlfn._xlws.FILTER(_xlfn._xlws.FILTER(dataSummaryBS,(dataSummaryBSSummarys=$D57)*(dataSummaryBSSections=$E57)),endDates=AT$8)),0)</f>
        <v>31222.5</v>
      </c>
      <c r="AU57" s="184" cm="1">
        <f t="array" ref="AU57">IFERROR(SUM(_xlfn._xlws.FILTER(_xlfn._xlws.FILTER(dataSummaryBS,(dataSummaryBSSummarys=$D57)*(dataSummaryBSSections=$E57)),endDates=AU$8)),0)</f>
        <v>26119.5</v>
      </c>
      <c r="AV57" s="184" cm="1">
        <f t="array" ref="AV57">IFERROR(SUM(_xlfn._xlws.FILTER(_xlfn._xlws.FILTER(dataSummaryBS,(dataSummaryBSSummarys=$D57)*(dataSummaryBSSections=$E57)),endDates=AV$8)),0)</f>
        <v>26119.5</v>
      </c>
      <c r="AW57" s="184" cm="1">
        <f t="array" ref="AW57">IFERROR(SUM(_xlfn._xlws.FILTER(_xlfn._xlws.FILTER(dataSummaryBS,(dataSummaryBSSummarys=$D57)*(dataSummaryBSSections=$E57)),endDates=AW$8)),0)</f>
        <v>26119.5</v>
      </c>
      <c r="AX57" s="184" cm="1">
        <f t="array" ref="AX57">IFERROR(SUM(_xlfn._xlws.FILTER(_xlfn._xlws.FILTER(dataSummaryBS,(dataSummaryBSSummarys=$D57)*(dataSummaryBSSections=$E57)),endDates=AX$8)),0)</f>
        <v>26119.5</v>
      </c>
      <c r="AY57" s="184" cm="1">
        <f t="array" ref="AY57">IFERROR(SUM(_xlfn._xlws.FILTER(_xlfn._xlws.FILTER(dataSummaryBS,(dataSummaryBSSummarys=$D57)*(dataSummaryBSSections=$E57)),endDates=AY$8)),0)</f>
        <v>26119.5</v>
      </c>
      <c r="AZ57" s="184" cm="1">
        <f t="array" ref="AZ57">IFERROR(SUM(_xlfn._xlws.FILTER(_xlfn._xlws.FILTER(dataSummaryBS,(dataSummaryBSSummarys=$D57)*(dataSummaryBSSections=$E57)),endDates=AZ$8)),0)</f>
        <v>26119.5</v>
      </c>
      <c r="BA57" s="184" cm="1">
        <f t="array" ref="BA57">IFERROR(SUM(_xlfn._xlws.FILTER(_xlfn._xlws.FILTER(dataSummaryBS,(dataSummaryBSSummarys=$D57)*(dataSummaryBSSections=$E57)),endDates=BA$8)),0)</f>
        <v>26119.5</v>
      </c>
      <c r="BB57" s="184" cm="1">
        <f t="array" ref="BB57">IFERROR(SUM(_xlfn._xlws.FILTER(_xlfn._xlws.FILTER(dataSummaryBS,(dataSummaryBSSummarys=$D57)*(dataSummaryBSSections=$E57)),endDates=BB$8)),0)</f>
        <v>26119.5</v>
      </c>
      <c r="BC57" s="184" cm="1">
        <f t="array" ref="BC57">IFERROR(SUM(_xlfn._xlws.FILTER(_xlfn._xlws.FILTER(dataSummaryBS,(dataSummaryBSSummarys=$D57)*(dataSummaryBSSections=$E57)),endDates=BC$8)),0)</f>
        <v>26119.5</v>
      </c>
      <c r="BD57" s="184" cm="1">
        <f t="array" ref="BD57">IFERROR(SUM(_xlfn._xlws.FILTER(_xlfn._xlws.FILTER(dataSummaryBS,(dataSummaryBSSummarys=$D57)*(dataSummaryBSSections=$E57)),endDates=BD$8)),0)</f>
        <v>26119.5</v>
      </c>
      <c r="BE57" s="184" cm="1">
        <f t="array" ref="BE57">IFERROR(SUM(_xlfn._xlws.FILTER(_xlfn._xlws.FILTER(dataSummaryBS,(dataSummaryBSSummarys=$D57)*(dataSummaryBSSections=$E57)),endDates=BE$8)),0)</f>
        <v>26119.5</v>
      </c>
      <c r="BF57" s="184" cm="1">
        <f t="array" ref="BF57">IFERROR(SUM(_xlfn._xlws.FILTER(_xlfn._xlws.FILTER(dataSummaryBS,(dataSummaryBSSummarys=$D57)*(dataSummaryBSSections=$E57)),endDates=BF$8)),0)</f>
        <v>26119.5</v>
      </c>
      <c r="BG57" s="184" cm="1">
        <f t="array" ref="BG57">IFERROR(SUM(_xlfn._xlws.FILTER(_xlfn._xlws.FILTER(dataSummaryBS,(dataSummaryBSSummarys=$D57)*(dataSummaryBSSections=$E57)),endDates=BG$8)),0)</f>
        <v>26119.5</v>
      </c>
      <c r="BH57" s="184" cm="1">
        <f t="array" ref="BH57">IFERROR(SUM(_xlfn._xlws.FILTER(_xlfn._xlws.FILTER(dataSummaryBS,(dataSummaryBSSummarys=$D57)*(dataSummaryBSSections=$E57)),endDates=BH$8)),0)</f>
        <v>26119.5</v>
      </c>
      <c r="BI57" s="184" cm="1">
        <f t="array" ref="BI57">IFERROR(SUM(_xlfn._xlws.FILTER(_xlfn._xlws.FILTER(dataSummaryBS,(dataSummaryBSSummarys=$D57)*(dataSummaryBSSections=$E57)),endDates=BI$8)),0)</f>
        <v>26119.5</v>
      </c>
      <c r="BJ57" s="184" cm="1">
        <f t="array" ref="BJ57">IFERROR(SUM(_xlfn._xlws.FILTER(_xlfn._xlws.FILTER(dataSummaryBS,(dataSummaryBSSummarys=$D57)*(dataSummaryBSSections=$E57)),endDates=BJ$8)),0)</f>
        <v>26119.5</v>
      </c>
      <c r="BK57" s="184" cm="1">
        <f t="array" ref="BK57">IFERROR(SUM(_xlfn._xlws.FILTER(_xlfn._xlws.FILTER(dataSummaryBS,(dataSummaryBSSummarys=$D57)*(dataSummaryBSSections=$E57)),endDates=BK$8)),0)</f>
        <v>26119.5</v>
      </c>
      <c r="BL57" s="184" cm="1">
        <f t="array" ref="BL57">IFERROR(SUM(_xlfn._xlws.FILTER(_xlfn._xlws.FILTER(dataSummaryBS,(dataSummaryBSSummarys=$D57)*(dataSummaryBSSections=$E57)),endDates=BL$8)),0)</f>
        <v>26119.5</v>
      </c>
      <c r="BM57" s="184" cm="1">
        <f t="array" ref="BM57">IFERROR(SUM(_xlfn._xlws.FILTER(_xlfn._xlws.FILTER(dataSummaryBS,(dataSummaryBSSummarys=$D57)*(dataSummaryBSSections=$E57)),endDates=BM$8)),0)</f>
        <v>26119.5</v>
      </c>
      <c r="BN57" s="184" cm="1">
        <f t="array" ref="BN57">IFERROR(SUM(_xlfn._xlws.FILTER(_xlfn._xlws.FILTER(dataSummaryBS,(dataSummaryBSSummarys=$D57)*(dataSummaryBSSections=$E57)),endDates=BN$8)),0)</f>
        <v>26119.5</v>
      </c>
      <c r="BO57" s="184" cm="1">
        <f t="array" ref="BO57">IFERROR(SUM(_xlfn._xlws.FILTER(_xlfn._xlws.FILTER(dataSummaryBS,(dataSummaryBSSummarys=$D57)*(dataSummaryBSSections=$E57)),endDates=BO$8)),0)</f>
        <v>25819.5</v>
      </c>
      <c r="BP57" s="184" cm="1">
        <f t="array" ref="BP57">IFERROR(SUM(_xlfn._xlws.FILTER(_xlfn._xlws.FILTER(dataSummaryBS,(dataSummaryBSSummarys=$D57)*(dataSummaryBSSections=$E57)),endDates=BP$8)),0)</f>
        <v>25019.5</v>
      </c>
      <c r="BQ57" s="184" cm="1">
        <f t="array" ref="BQ57">IFERROR(SUM(_xlfn._xlws.FILTER(_xlfn._xlws.FILTER(dataSummaryBS,(dataSummaryBSSummarys=$D57)*(dataSummaryBSSections=$E57)),endDates=BQ$8)),0)</f>
        <v>25019.5</v>
      </c>
      <c r="BR57" s="184" cm="1">
        <f t="array" ref="BR57">IFERROR(SUM(_xlfn._xlws.FILTER(_xlfn._xlws.FILTER(dataSummaryBS,(dataSummaryBSSummarys=$D57)*(dataSummaryBSSections=$E57)),endDates=BR$8)),0)</f>
        <v>25019.5</v>
      </c>
      <c r="BS57" s="184" cm="1">
        <f t="array" ref="BS57">IFERROR(SUM(_xlfn._xlws.FILTER(_xlfn._xlws.FILTER(dataSummaryBS,(dataSummaryBSSummarys=$D57)*(dataSummaryBSSections=$E57)),endDates=BS$8)),0)</f>
        <v>25019.5</v>
      </c>
      <c r="BT57" s="184" cm="1">
        <f t="array" ref="BT57">IFERROR(SUM(_xlfn._xlws.FILTER(_xlfn._xlws.FILTER(dataSummaryBS,(dataSummaryBSSummarys=$D57)*(dataSummaryBSSections=$E57)),endDates=BT$8)),0)</f>
        <v>19969.5</v>
      </c>
      <c r="BU57" s="184" cm="1">
        <f t="array" ref="BU57">IFERROR(SUM(_xlfn._xlws.FILTER(_xlfn._xlws.FILTER(dataSummaryBS,(dataSummaryBSSummarys=$D57)*(dataSummaryBSSections=$E57)),endDates=BU$8)),0)</f>
        <v>19969.5</v>
      </c>
      <c r="BV57" s="184" cm="1">
        <f t="array" ref="BV57">IFERROR(SUM(_xlfn._xlws.FILTER(_xlfn._xlws.FILTER(dataSummaryBS,(dataSummaryBSSummarys=$D57)*(dataSummaryBSSections=$E57)),endDates=BV$8)),0)</f>
        <v>19969.5</v>
      </c>
      <c r="BW57" s="184" cm="1">
        <f t="array" ref="BW57">IFERROR(SUM(_xlfn._xlws.FILTER(_xlfn._xlws.FILTER(dataSummaryBS,(dataSummaryBSSummarys=$D57)*(dataSummaryBSSections=$E57)),endDates=BW$8)),0)</f>
        <v>19969.5</v>
      </c>
      <c r="BX57" s="184" cm="1">
        <f t="array" ref="BX57">IFERROR(SUM(_xlfn._xlws.FILTER(_xlfn._xlws.FILTER(dataSummaryBS,(dataSummaryBSSummarys=$D57)*(dataSummaryBSSections=$E57)),endDates=BX$8)),0)</f>
        <v>19969.5</v>
      </c>
      <c r="BY57" s="184" cm="1">
        <f t="array" ref="BY57">IFERROR(SUM(_xlfn._xlws.FILTER(_xlfn._xlws.FILTER(dataSummaryBS,(dataSummaryBSSummarys=$D57)*(dataSummaryBSSections=$E57)),endDates=BY$8)),0)</f>
        <v>19969.5</v>
      </c>
      <c r="BZ57" s="184" cm="1">
        <f t="array" ref="BZ57">IFERROR(SUM(_xlfn._xlws.FILTER(_xlfn._xlws.FILTER(dataSummaryBS,(dataSummaryBSSummarys=$D57)*(dataSummaryBSSections=$E57)),endDates=BZ$8)),0)</f>
        <v>19969.5</v>
      </c>
      <c r="CA57" s="184" cm="1">
        <f t="array" ref="CA57">IFERROR(SUM(_xlfn._xlws.FILTER(_xlfn._xlws.FILTER(dataSummaryBS,(dataSummaryBSSummarys=$D57)*(dataSummaryBSSections=$E57)),endDates=CA$8)),0)</f>
        <v>19969.5</v>
      </c>
      <c r="CB57" s="184" cm="1">
        <f t="array" ref="CB57">IFERROR(SUM(_xlfn._xlws.FILTER(_xlfn._xlws.FILTER(dataSummaryBS,(dataSummaryBSSummarys=$D57)*(dataSummaryBSSections=$E57)),endDates=CB$8)),0)</f>
        <v>19969.5</v>
      </c>
      <c r="CC57" s="184" cm="1">
        <f t="array" ref="CC57">IFERROR(SUM(_xlfn._xlws.FILTER(_xlfn._xlws.FILTER(dataSummaryBS,(dataSummaryBSSummarys=$D57)*(dataSummaryBSSections=$E57)),endDates=CC$8)),0)</f>
        <v>19969.5</v>
      </c>
      <c r="CD57" s="184" cm="1">
        <f t="array" ref="CD57">IFERROR(SUM(_xlfn._xlws.FILTER(_xlfn._xlws.FILTER(dataSummaryBS,(dataSummaryBSSummarys=$D57)*(dataSummaryBSSections=$E57)),endDates=CD$8)),0)</f>
        <v>19969.5</v>
      </c>
      <c r="CE57" s="184" cm="1">
        <f t="array" ref="CE57">IFERROR(SUM(_xlfn._xlws.FILTER(_xlfn._xlws.FILTER(dataSummaryBS,(dataSummaryBSSummarys=$D57)*(dataSummaryBSSections=$E57)),endDates=CE$8)),0)</f>
        <v>19969.5</v>
      </c>
      <c r="CF57" s="184" cm="1">
        <f t="array" ref="CF57">IFERROR(SUM(_xlfn._xlws.FILTER(_xlfn._xlws.FILTER(dataSummaryBS,(dataSummaryBSSummarys=$D57)*(dataSummaryBSSections=$E57)),endDates=CF$8)),0)</f>
        <v>19969.5</v>
      </c>
      <c r="CG57" s="184" cm="1">
        <f t="array" ref="CG57">IFERROR(SUM(_xlfn._xlws.FILTER(_xlfn._xlws.FILTER(dataSummaryBS,(dataSummaryBSSummarys=$D57)*(dataSummaryBSSections=$E57)),endDates=CG$8)),0)</f>
        <v>19969.5</v>
      </c>
    </row>
    <row r="58" spans="1:85" outlineLevel="1">
      <c r="C58" s="331" t="s">
        <v>139</v>
      </c>
      <c r="D58" s="163" t="str">
        <f t="shared" si="51"/>
        <v>Fixed Assets</v>
      </c>
      <c r="E58" s="150" t="s">
        <v>135</v>
      </c>
      <c r="F58" s="163"/>
      <c r="G58" s="163"/>
      <c r="J58" s="184" cm="1">
        <f t="array" ref="J58">IFERROR(SUM(_xlfn._xlws.FILTER(_xlfn._xlws.FILTER(dataSummaryBS,(dataSummaryBSSummarys=$D58)*(dataSummaryBSSections=$E58)),endDates=J$8)),0)</f>
        <v>33300.240000000005</v>
      </c>
      <c r="K58" s="184" cm="1">
        <f t="array" ref="K58">IFERROR(SUM(_xlfn._xlws.FILTER(_xlfn._xlws.FILTER(dataSummaryBS,(dataSummaryBSSummarys=$D58)*(dataSummaryBSSections=$E58)),endDates=K$8)),0)</f>
        <v>33300.240000000005</v>
      </c>
      <c r="N58" s="184" cm="1">
        <f t="array" ref="N58">IFERROR(SUM(_xlfn._xlws.FILTER(_xlfn._xlws.FILTER(dataSummaryBS,(dataSummaryBSSummarys=$D58)*(dataSummaryBSSections=$E58)),endDates=N$8)),0)</f>
        <v>98467</v>
      </c>
      <c r="O58" s="184" cm="1">
        <f t="array" ref="O58">IFERROR(SUM(_xlfn._xlws.FILTER(_xlfn._xlws.FILTER(dataSummaryBS,(dataSummaryBSSummarys=$D58)*(dataSummaryBSSections=$E58)),endDates=O$8)),0)</f>
        <v>66857.5</v>
      </c>
      <c r="P58" s="184" cm="1">
        <f t="array" ref="P58">IFERROR(SUM(_xlfn._xlws.FILTER(_xlfn._xlws.FILTER(dataSummaryBS,(dataSummaryBSSummarys=$D58)*(dataSummaryBSSections=$E58)),endDates=P$8)),0)</f>
        <v>50122.42333333334</v>
      </c>
      <c r="Q58" s="184" cm="1">
        <f t="array" ref="Q58">IFERROR(SUM(_xlfn._xlws.FILTER(_xlfn._xlws.FILTER(dataSummaryBS,(dataSummaryBSSummarys=$D58)*(dataSummaryBSSections=$E58)),endDates=Q$8)),0)</f>
        <v>43335.84555555557</v>
      </c>
      <c r="T58" s="184" cm="1">
        <f t="array" ref="T58">IFERROR(SUM(_xlfn._xlws.FILTER(_xlfn._xlws.FILTER(dataSummaryBS,(dataSummaryBSSummarys=$D58)*(dataSummaryBSSections=$E58)),endDates=T$8)),0)</f>
        <v>65392</v>
      </c>
      <c r="U58" s="184" cm="1">
        <f t="array" ref="U58">IFERROR(SUM(_xlfn._xlws.FILTER(_xlfn._xlws.FILTER(dataSummaryBS,(dataSummaryBSSummarys=$D58)*(dataSummaryBSSections=$E58)),endDates=U$8)),0)</f>
        <v>107197</v>
      </c>
      <c r="V58" s="184" cm="1">
        <f t="array" ref="V58">IFERROR(SUM(_xlfn._xlws.FILTER(_xlfn._xlws.FILTER(dataSummaryBS,(dataSummaryBSSummarys=$D58)*(dataSummaryBSSections=$E58)),endDates=V$8)),0)</f>
        <v>105350</v>
      </c>
      <c r="W58" s="184" cm="1">
        <f t="array" ref="W58">IFERROR(SUM(_xlfn._xlws.FILTER(_xlfn._xlws.FILTER(dataSummaryBS,(dataSummaryBSSummarys=$D58)*(dataSummaryBSSections=$E58)),endDates=W$8)),0)</f>
        <v>98467</v>
      </c>
      <c r="X58" s="184" cm="1">
        <f t="array" ref="X58">IFERROR(SUM(_xlfn._xlws.FILTER(_xlfn._xlws.FILTER(dataSummaryBS,(dataSummaryBSSummarys=$D58)*(dataSummaryBSSections=$E58)),endDates=X$8)),0)</f>
        <v>94315</v>
      </c>
      <c r="Y58" s="184" cm="1">
        <f t="array" ref="Y58">IFERROR(SUM(_xlfn._xlws.FILTER(_xlfn._xlws.FILTER(dataSummaryBS,(dataSummaryBSSummarys=$D58)*(dataSummaryBSSections=$E58)),endDates=Y$8)),0)</f>
        <v>85163</v>
      </c>
      <c r="Z58" s="184" cm="1">
        <f t="array" ref="Z58">IFERROR(SUM(_xlfn._xlws.FILTER(_xlfn._xlws.FILTER(dataSummaryBS,(dataSummaryBSSummarys=$D58)*(dataSummaryBSSections=$E58)),endDates=Z$8)),0)</f>
        <v>76010</v>
      </c>
      <c r="AA58" s="184" cm="1">
        <f t="array" ref="AA58">IFERROR(SUM(_xlfn._xlws.FILTER(_xlfn._xlws.FILTER(dataSummaryBS,(dataSummaryBSSummarys=$D58)*(dataSummaryBSSections=$E58)),endDates=AA$8)),0)</f>
        <v>66857.5</v>
      </c>
      <c r="AB58" s="184" cm="1">
        <f t="array" ref="AB58">IFERROR(SUM(_xlfn._xlws.FILTER(_xlfn._xlws.FILTER(dataSummaryBS,(dataSummaryBSSummarys=$D58)*(dataSummaryBSSections=$E58)),endDates=AB$8)),0)</f>
        <v>57705.52</v>
      </c>
      <c r="AC58" s="184" cm="1">
        <f t="array" ref="AC58">IFERROR(SUM(_xlfn._xlws.FILTER(_xlfn._xlws.FILTER(dataSummaryBS,(dataSummaryBSSummarys=$D58)*(dataSummaryBSSections=$E58)),endDates=AC$8)),0)</f>
        <v>48553.539999999994</v>
      </c>
      <c r="AD58" s="184" cm="1">
        <f t="array" ref="AD58">IFERROR(SUM(_xlfn._xlws.FILTER(_xlfn._xlws.FILTER(dataSummaryBS,(dataSummaryBSSummarys=$D58)*(dataSummaryBSSections=$E58)),endDates=AD$8)),0)</f>
        <v>39401.56</v>
      </c>
      <c r="AE58" s="184" cm="1">
        <f t="array" ref="AE58">IFERROR(SUM(_xlfn._xlws.FILTER(_xlfn._xlws.FILTER(dataSummaryBS,(dataSummaryBSSummarys=$D58)*(dataSummaryBSSections=$E58)),endDates=AE$8)),0)</f>
        <v>50122.42333333334</v>
      </c>
      <c r="AF58" s="184" cm="1">
        <f t="array" ref="AF58">IFERROR(SUM(_xlfn._xlws.FILTER(_xlfn._xlws.FILTER(dataSummaryBS,(dataSummaryBSSummarys=$D58)*(dataSummaryBSSections=$E58)),endDates=AF$8)),0)</f>
        <v>50311.195555555561</v>
      </c>
      <c r="AG58" s="184" cm="1">
        <f t="array" ref="AG58">IFERROR(SUM(_xlfn._xlws.FILTER(_xlfn._xlws.FILTER(dataSummaryBS,(dataSummaryBSSummarys=$D58)*(dataSummaryBSSections=$E58)),endDates=AG$8)),0)</f>
        <v>57805.523333333331</v>
      </c>
      <c r="AH58" s="184" cm="1">
        <f t="array" ref="AH58">IFERROR(SUM(_xlfn._xlws.FILTER(_xlfn._xlws.FILTER(dataSummaryBS,(dataSummaryBSSummarys=$D58)*(dataSummaryBSSections=$E58)),endDates=AH$8)),0)</f>
        <v>50535.962222222224</v>
      </c>
      <c r="AI58" s="184" cm="1">
        <f t="array" ref="AI58">IFERROR(SUM(_xlfn._xlws.FILTER(_xlfn._xlws.FILTER(dataSummaryBS,(dataSummaryBSSummarys=$D58)*(dataSummaryBSSections=$E58)),endDates=AI$8)),0)</f>
        <v>43335.84555555557</v>
      </c>
      <c r="AJ58" s="184"/>
      <c r="AL58" s="184" cm="1">
        <f t="array" ref="AL58">IFERROR(SUM(_xlfn._xlws.FILTER(_xlfn._xlws.FILTER(dataSummaryBS,(dataSummaryBSSummarys=$D58)*(dataSummaryBSSections=$E58)),endDates=AL$8)),0)</f>
        <v>63100</v>
      </c>
      <c r="AM58" s="184" cm="1">
        <f t="array" ref="AM58">IFERROR(SUM(_xlfn._xlws.FILTER(_xlfn._xlws.FILTER(dataSummaryBS,(dataSummaryBSSummarys=$D58)*(dataSummaryBSSections=$E58)),endDates=AM$8)),0)</f>
        <v>63031</v>
      </c>
      <c r="AN58" s="184" cm="1">
        <f t="array" ref="AN58">IFERROR(SUM(_xlfn._xlws.FILTER(_xlfn._xlws.FILTER(dataSummaryBS,(dataSummaryBSSummarys=$D58)*(dataSummaryBSSections=$E58)),endDates=AN$8)),0)</f>
        <v>65392</v>
      </c>
      <c r="AO58" s="184" cm="1">
        <f t="array" ref="AO58">IFERROR(SUM(_xlfn._xlws.FILTER(_xlfn._xlws.FILTER(dataSummaryBS,(dataSummaryBSSummarys=$D58)*(dataSummaryBSSections=$E58)),endDates=AO$8)),0)</f>
        <v>99281</v>
      </c>
      <c r="AP58" s="184" cm="1">
        <f t="array" ref="AP58">IFERROR(SUM(_xlfn._xlws.FILTER(_xlfn._xlws.FILTER(dataSummaryBS,(dataSummaryBSSummarys=$D58)*(dataSummaryBSSections=$E58)),endDates=AP$8)),0)</f>
        <v>100600</v>
      </c>
      <c r="AQ58" s="184" cm="1">
        <f t="array" ref="AQ58">IFERROR(SUM(_xlfn._xlws.FILTER(_xlfn._xlws.FILTER(dataSummaryBS,(dataSummaryBSSummarys=$D58)*(dataSummaryBSSections=$E58)),endDates=AQ$8)),0)</f>
        <v>107197</v>
      </c>
      <c r="AR58" s="184" cm="1">
        <f t="array" ref="AR58">IFERROR(SUM(_xlfn._xlws.FILTER(_xlfn._xlws.FILTER(dataSummaryBS,(dataSummaryBSSummarys=$D58)*(dataSummaryBSSections=$E58)),endDates=AR$8)),0)</f>
        <v>105794</v>
      </c>
      <c r="AS58" s="184" cm="1">
        <f t="array" ref="AS58">IFERROR(SUM(_xlfn._xlws.FILTER(_xlfn._xlws.FILTER(dataSummaryBS,(dataSummaryBSSummarys=$D58)*(dataSummaryBSSections=$E58)),endDates=AS$8)),0)</f>
        <v>106822</v>
      </c>
      <c r="AT58" s="184" cm="1">
        <f t="array" ref="AT58">IFERROR(SUM(_xlfn._xlws.FILTER(_xlfn._xlws.FILTER(dataSummaryBS,(dataSummaryBSSummarys=$D58)*(dataSummaryBSSections=$E58)),endDates=AT$8)),0)</f>
        <v>105350</v>
      </c>
      <c r="AU58" s="184" cm="1">
        <f t="array" ref="AU58">IFERROR(SUM(_xlfn._xlws.FILTER(_xlfn._xlws.FILTER(dataSummaryBS,(dataSummaryBSSummarys=$D58)*(dataSummaryBSSections=$E58)),endDates=AU$8)),0)</f>
        <v>103878</v>
      </c>
      <c r="AV58" s="184" cm="1">
        <f t="array" ref="AV58">IFERROR(SUM(_xlfn._xlws.FILTER(_xlfn._xlws.FILTER(dataSummaryBS,(dataSummaryBSSummarys=$D58)*(dataSummaryBSSections=$E58)),endDates=AV$8)),0)</f>
        <v>101518</v>
      </c>
      <c r="AW58" s="184" cm="1">
        <f t="array" ref="AW58">IFERROR(SUM(_xlfn._xlws.FILTER(_xlfn._xlws.FILTER(dataSummaryBS,(dataSummaryBSSummarys=$D58)*(dataSummaryBSSections=$E58)),endDates=AW$8)),0)</f>
        <v>98467</v>
      </c>
      <c r="AX58" s="184" cm="1">
        <f t="array" ref="AX58">IFERROR(SUM(_xlfn._xlws.FILTER(_xlfn._xlws.FILTER(dataSummaryBS,(dataSummaryBSSummarys=$D58)*(dataSummaryBSSections=$E58)),endDates=AX$8)),0)</f>
        <v>112416.5</v>
      </c>
      <c r="AY58" s="184" cm="1">
        <f t="array" ref="AY58">IFERROR(SUM(_xlfn._xlws.FILTER(_xlfn._xlws.FILTER(dataSummaryBS,(dataSummaryBSSummarys=$D58)*(dataSummaryBSSections=$E58)),endDates=AY$8)),0)</f>
        <v>97365.5</v>
      </c>
      <c r="AZ58" s="184" cm="1">
        <f t="array" ref="AZ58">IFERROR(SUM(_xlfn._xlws.FILTER(_xlfn._xlws.FILTER(dataSummaryBS,(dataSummaryBSSummarys=$D58)*(dataSummaryBSSections=$E58)),endDates=AZ$8)),0)</f>
        <v>94315</v>
      </c>
      <c r="BA58" s="184" cm="1">
        <f t="array" ref="BA58">IFERROR(SUM(_xlfn._xlws.FILTER(_xlfn._xlws.FILTER(dataSummaryBS,(dataSummaryBSSummarys=$D58)*(dataSummaryBSSections=$E58)),endDates=BA$8)),0)</f>
        <v>91264.5</v>
      </c>
      <c r="BB58" s="184" cm="1">
        <f t="array" ref="BB58">IFERROR(SUM(_xlfn._xlws.FILTER(_xlfn._xlws.FILTER(dataSummaryBS,(dataSummaryBSSummarys=$D58)*(dataSummaryBSSections=$E58)),endDates=BB$8)),0)</f>
        <v>88214</v>
      </c>
      <c r="BC58" s="184" cm="1">
        <f t="array" ref="BC58">IFERROR(SUM(_xlfn._xlws.FILTER(_xlfn._xlws.FILTER(dataSummaryBS,(dataSummaryBSSummarys=$D58)*(dataSummaryBSSections=$E58)),endDates=BC$8)),0)</f>
        <v>85163</v>
      </c>
      <c r="BD58" s="184" cm="1">
        <f t="array" ref="BD58">IFERROR(SUM(_xlfn._xlws.FILTER(_xlfn._xlws.FILTER(dataSummaryBS,(dataSummaryBSSummarys=$D58)*(dataSummaryBSSections=$E58)),endDates=BD$8)),0)</f>
        <v>82112</v>
      </c>
      <c r="BE58" s="184" cm="1">
        <f t="array" ref="BE58">IFERROR(SUM(_xlfn._xlws.FILTER(_xlfn._xlws.FILTER(dataSummaryBS,(dataSummaryBSSummarys=$D58)*(dataSummaryBSSections=$E58)),endDates=BE$8)),0)</f>
        <v>79061</v>
      </c>
      <c r="BF58" s="184" cm="1">
        <f t="array" ref="BF58">IFERROR(SUM(_xlfn._xlws.FILTER(_xlfn._xlws.FILTER(dataSummaryBS,(dataSummaryBSSummarys=$D58)*(dataSummaryBSSections=$E58)),endDates=BF$8)),0)</f>
        <v>76010</v>
      </c>
      <c r="BG58" s="184" cm="1">
        <f t="array" ref="BG58">IFERROR(SUM(_xlfn._xlws.FILTER(_xlfn._xlws.FILTER(dataSummaryBS,(dataSummaryBSSummarys=$D58)*(dataSummaryBSSections=$E58)),endDates=BG$8)),0)</f>
        <v>72959</v>
      </c>
      <c r="BH58" s="184" cm="1">
        <f t="array" ref="BH58">IFERROR(SUM(_xlfn._xlws.FILTER(_xlfn._xlws.FILTER(dataSummaryBS,(dataSummaryBSSummarys=$D58)*(dataSummaryBSSections=$E58)),endDates=BH$8)),0)</f>
        <v>69908</v>
      </c>
      <c r="BI58" s="184" cm="1">
        <f t="array" ref="BI58">IFERROR(SUM(_xlfn._xlws.FILTER(_xlfn._xlws.FILTER(dataSummaryBS,(dataSummaryBSSummarys=$D58)*(dataSummaryBSSections=$E58)),endDates=BI$8)),0)</f>
        <v>66857.5</v>
      </c>
      <c r="BJ58" s="184" cm="1">
        <f t="array" ref="BJ58">IFERROR(SUM(_xlfn._xlws.FILTER(_xlfn._xlws.FILTER(dataSummaryBS,(dataSummaryBSSummarys=$D58)*(dataSummaryBSSections=$E58)),endDates=BJ$8)),0)</f>
        <v>63806.84</v>
      </c>
      <c r="BK58" s="184" cm="1">
        <f t="array" ref="BK58">IFERROR(SUM(_xlfn._xlws.FILTER(_xlfn._xlws.FILTER(dataSummaryBS,(dataSummaryBSSummarys=$D58)*(dataSummaryBSSections=$E58)),endDates=BK$8)),0)</f>
        <v>60756.18</v>
      </c>
      <c r="BL58" s="184" cm="1">
        <f t="array" ref="BL58">IFERROR(SUM(_xlfn._xlws.FILTER(_xlfn._xlws.FILTER(dataSummaryBS,(dataSummaryBSSummarys=$D58)*(dataSummaryBSSections=$E58)),endDates=BL$8)),0)</f>
        <v>57705.52</v>
      </c>
      <c r="BM58" s="184" cm="1">
        <f t="array" ref="BM58">IFERROR(SUM(_xlfn._xlws.FILTER(_xlfn._xlws.FILTER(dataSummaryBS,(dataSummaryBSSummarys=$D58)*(dataSummaryBSSections=$E58)),endDates=BM$8)),0)</f>
        <v>54654.86</v>
      </c>
      <c r="BN58" s="184" cm="1">
        <f t="array" ref="BN58">IFERROR(SUM(_xlfn._xlws.FILTER(_xlfn._xlws.FILTER(dataSummaryBS,(dataSummaryBSSummarys=$D58)*(dataSummaryBSSections=$E58)),endDates=BN$8)),0)</f>
        <v>51604.2</v>
      </c>
      <c r="BO58" s="184" cm="1">
        <f t="array" ref="BO58">IFERROR(SUM(_xlfn._xlws.FILTER(_xlfn._xlws.FILTER(dataSummaryBS,(dataSummaryBSSummarys=$D58)*(dataSummaryBSSections=$E58)),endDates=BO$8)),0)</f>
        <v>48553.539999999994</v>
      </c>
      <c r="BP58" s="184" cm="1">
        <f t="array" ref="BP58">IFERROR(SUM(_xlfn._xlws.FILTER(_xlfn._xlws.FILTER(dataSummaryBS,(dataSummaryBSSummarys=$D58)*(dataSummaryBSSections=$E58)),endDates=BP$8)),0)</f>
        <v>45502.880000000005</v>
      </c>
      <c r="BQ58" s="184" cm="1">
        <f t="array" ref="BQ58">IFERROR(SUM(_xlfn._xlws.FILTER(_xlfn._xlws.FILTER(dataSummaryBS,(dataSummaryBSSummarys=$D58)*(dataSummaryBSSections=$E58)),endDates=BQ$8)),0)</f>
        <v>42452.22</v>
      </c>
      <c r="BR58" s="184" cm="1">
        <f t="array" ref="BR58">IFERROR(SUM(_xlfn._xlws.FILTER(_xlfn._xlws.FILTER(dataSummaryBS,(dataSummaryBSSummarys=$D58)*(dataSummaryBSSections=$E58)),endDates=BR$8)),0)</f>
        <v>39401.56</v>
      </c>
      <c r="BS58" s="184" cm="1">
        <f t="array" ref="BS58">IFERROR(SUM(_xlfn._xlws.FILTER(_xlfn._xlws.FILTER(dataSummaryBS,(dataSummaryBSSummarys=$D58)*(dataSummaryBSSections=$E58)),endDates=BS$8)),0)</f>
        <v>36350.899999999994</v>
      </c>
      <c r="BT58" s="184" cm="1">
        <f t="array" ref="BT58">IFERROR(SUM(_xlfn._xlws.FILTER(_xlfn._xlws.FILTER(dataSummaryBS,(dataSummaryBSSummarys=$D58)*(dataSummaryBSSections=$E58)),endDates=BT$8)),0)</f>
        <v>33300.240000000005</v>
      </c>
      <c r="BU58" s="184" cm="1">
        <f t="array" ref="BU58">IFERROR(SUM(_xlfn._xlws.FILTER(_xlfn._xlws.FILTER(dataSummaryBS,(dataSummaryBSSummarys=$D58)*(dataSummaryBSSections=$E58)),endDates=BU$8)),0)</f>
        <v>50122.42333333334</v>
      </c>
      <c r="BV58" s="184" cm="1">
        <f t="array" ref="BV58">IFERROR(SUM(_xlfn._xlws.FILTER(_xlfn._xlws.FILTER(dataSummaryBS,(dataSummaryBSSummarys=$D58)*(dataSummaryBSSections=$E58)),endDates=BV$8)),0)</f>
        <v>47014.051111111112</v>
      </c>
      <c r="BW58" s="184" cm="1">
        <f t="array" ref="BW58">IFERROR(SUM(_xlfn._xlws.FILTER(_xlfn._xlws.FILTER(dataSummaryBS,(dataSummaryBSSummarys=$D58)*(dataSummaryBSSections=$E58)),endDates=BW$8)),0)</f>
        <v>53627.901111111118</v>
      </c>
      <c r="BX58" s="184" cm="1">
        <f t="array" ref="BX58">IFERROR(SUM(_xlfn._xlws.FILTER(_xlfn._xlws.FILTER(dataSummaryBS,(dataSummaryBSSummarys=$D58)*(dataSummaryBSSections=$E58)),endDates=BX$8)),0)</f>
        <v>50311.195555555561</v>
      </c>
      <c r="BY58" s="184" cm="1">
        <f t="array" ref="BY58">IFERROR(SUM(_xlfn._xlws.FILTER(_xlfn._xlws.FILTER(dataSummaryBS,(dataSummaryBSSummarys=$D58)*(dataSummaryBSSections=$E58)),endDates=BY$8)),0)</f>
        <v>47966.712222222224</v>
      </c>
      <c r="BZ58" s="184" cm="1">
        <f t="array" ref="BZ58">IFERROR(SUM(_xlfn._xlws.FILTER(_xlfn._xlws.FILTER(dataSummaryBS,(dataSummaryBSSummarys=$D58)*(dataSummaryBSSections=$E58)),endDates=BZ$8)),0)</f>
        <v>60275.006666666668</v>
      </c>
      <c r="CA58" s="184" cm="1">
        <f t="array" ref="CA58">IFERROR(SUM(_xlfn._xlws.FILTER(_xlfn._xlws.FILTER(dataSummaryBS,(dataSummaryBSSummarys=$D58)*(dataSummaryBSSections=$E58)),endDates=CA$8)),0)</f>
        <v>57805.523333333331</v>
      </c>
      <c r="CB58" s="184" cm="1">
        <f t="array" ref="CB58">IFERROR(SUM(_xlfn._xlws.FILTER(_xlfn._xlws.FILTER(dataSummaryBS,(dataSummaryBSSummarys=$D58)*(dataSummaryBSSections=$E58)),endDates=CB$8)),0)</f>
        <v>55336.039999999994</v>
      </c>
      <c r="CC58" s="184" cm="1">
        <f t="array" ref="CC58">IFERROR(SUM(_xlfn._xlws.FILTER(_xlfn._xlws.FILTER(dataSummaryBS,(dataSummaryBSSummarys=$D58)*(dataSummaryBSSections=$E58)),endDates=CC$8)),0)</f>
        <v>52936.001111111109</v>
      </c>
      <c r="CD58" s="184" cm="1">
        <f t="array" ref="CD58">IFERROR(SUM(_xlfn._xlws.FILTER(_xlfn._xlws.FILTER(dataSummaryBS,(dataSummaryBSSummarys=$D58)*(dataSummaryBSSections=$E58)),endDates=CD$8)),0)</f>
        <v>50535.962222222224</v>
      </c>
      <c r="CE58" s="184" cm="1">
        <f t="array" ref="CE58">IFERROR(SUM(_xlfn._xlws.FILTER(_xlfn._xlws.FILTER(dataSummaryBS,(dataSummaryBSSummarys=$D58)*(dataSummaryBSSections=$E58)),endDates=CE$8)),0)</f>
        <v>48135.92333333334</v>
      </c>
      <c r="CF58" s="184" cm="1">
        <f t="array" ref="CF58">IFERROR(SUM(_xlfn._xlws.FILTER(_xlfn._xlws.FILTER(dataSummaryBS,(dataSummaryBSSummarys=$D58)*(dataSummaryBSSections=$E58)),endDates=CF$8)),0)</f>
        <v>45735.884444444455</v>
      </c>
      <c r="CG58" s="184" cm="1">
        <f t="array" ref="CG58">IFERROR(SUM(_xlfn._xlws.FILTER(_xlfn._xlws.FILTER(dataSummaryBS,(dataSummaryBSSummarys=$D58)*(dataSummaryBSSections=$E58)),endDates=CG$8)),0)</f>
        <v>43335.84555555557</v>
      </c>
    </row>
    <row r="59" spans="1:85" outlineLevel="1">
      <c r="C59" s="331" t="s">
        <v>140</v>
      </c>
      <c r="D59" s="163" t="str">
        <f>C59</f>
        <v>Intangible Assets</v>
      </c>
      <c r="E59" s="150" t="s">
        <v>135</v>
      </c>
      <c r="F59" s="163"/>
      <c r="G59" s="163"/>
      <c r="J59" s="184" cm="1">
        <f t="array" ref="J59">IFERROR(SUM(_xlfn._xlws.FILTER(_xlfn._xlws.FILTER(dataSummaryBS,(dataSummaryBSSummarys=$D59)*(dataSummaryBSSections=$E59)),endDates=J$8)),0)</f>
        <v>0</v>
      </c>
      <c r="K59" s="184" cm="1">
        <f t="array" ref="K59">IFERROR(SUM(_xlfn._xlws.FILTER(_xlfn._xlws.FILTER(dataSummaryBS,(dataSummaryBSSummarys=$D59)*(dataSummaryBSSections=$E59)),endDates=K$8)),0)</f>
        <v>0</v>
      </c>
      <c r="N59" s="184" cm="1">
        <f t="array" ref="N59">IFERROR(SUM(_xlfn._xlws.FILTER(_xlfn._xlws.FILTER(dataSummaryBS,(dataSummaryBSSummarys=$D59)*(dataSummaryBSSections=$E59)),endDates=N$8)),0)</f>
        <v>0</v>
      </c>
      <c r="O59" s="184" cm="1">
        <f t="array" ref="O59">IFERROR(SUM(_xlfn._xlws.FILTER(_xlfn._xlws.FILTER(dataSummaryBS,(dataSummaryBSSummarys=$D59)*(dataSummaryBSSections=$E59)),endDates=O$8)),0)</f>
        <v>0</v>
      </c>
      <c r="P59" s="184" cm="1">
        <f t="array" ref="P59">IFERROR(SUM(_xlfn._xlws.FILTER(_xlfn._xlws.FILTER(dataSummaryBS,(dataSummaryBSSummarys=$D59)*(dataSummaryBSSections=$E59)),endDates=P$8)),0)</f>
        <v>0</v>
      </c>
      <c r="Q59" s="184" cm="1">
        <f t="array" ref="Q59">IFERROR(SUM(_xlfn._xlws.FILTER(_xlfn._xlws.FILTER(dataSummaryBS,(dataSummaryBSSummarys=$D59)*(dataSummaryBSSections=$E59)),endDates=Q$8)),0)</f>
        <v>0</v>
      </c>
      <c r="T59" s="184" cm="1">
        <f t="array" ref="T59">IFERROR(SUM(_xlfn._xlws.FILTER(_xlfn._xlws.FILTER(dataSummaryBS,(dataSummaryBSSummarys=$D59)*(dataSummaryBSSections=$E59)),endDates=T$8)),0)</f>
        <v>0</v>
      </c>
      <c r="U59" s="184" cm="1">
        <f t="array" ref="U59">IFERROR(SUM(_xlfn._xlws.FILTER(_xlfn._xlws.FILTER(dataSummaryBS,(dataSummaryBSSummarys=$D59)*(dataSummaryBSSections=$E59)),endDates=U$8)),0)</f>
        <v>0</v>
      </c>
      <c r="V59" s="184" cm="1">
        <f t="array" ref="V59">IFERROR(SUM(_xlfn._xlws.FILTER(_xlfn._xlws.FILTER(dataSummaryBS,(dataSummaryBSSummarys=$D59)*(dataSummaryBSSections=$E59)),endDates=V$8)),0)</f>
        <v>0</v>
      </c>
      <c r="W59" s="184" cm="1">
        <f t="array" ref="W59">IFERROR(SUM(_xlfn._xlws.FILTER(_xlfn._xlws.FILTER(dataSummaryBS,(dataSummaryBSSummarys=$D59)*(dataSummaryBSSections=$E59)),endDates=W$8)),0)</f>
        <v>0</v>
      </c>
      <c r="X59" s="184" cm="1">
        <f t="array" ref="X59">IFERROR(SUM(_xlfn._xlws.FILTER(_xlfn._xlws.FILTER(dataSummaryBS,(dataSummaryBSSummarys=$D59)*(dataSummaryBSSections=$E59)),endDates=X$8)),0)</f>
        <v>0</v>
      </c>
      <c r="Y59" s="184" cm="1">
        <f t="array" ref="Y59">IFERROR(SUM(_xlfn._xlws.FILTER(_xlfn._xlws.FILTER(dataSummaryBS,(dataSummaryBSSummarys=$D59)*(dataSummaryBSSections=$E59)),endDates=Y$8)),0)</f>
        <v>0</v>
      </c>
      <c r="Z59" s="184" cm="1">
        <f t="array" ref="Z59">IFERROR(SUM(_xlfn._xlws.FILTER(_xlfn._xlws.FILTER(dataSummaryBS,(dataSummaryBSSummarys=$D59)*(dataSummaryBSSections=$E59)),endDates=Z$8)),0)</f>
        <v>0</v>
      </c>
      <c r="AA59" s="184" cm="1">
        <f t="array" ref="AA59">IFERROR(SUM(_xlfn._xlws.FILTER(_xlfn._xlws.FILTER(dataSummaryBS,(dataSummaryBSSummarys=$D59)*(dataSummaryBSSections=$E59)),endDates=AA$8)),0)</f>
        <v>0</v>
      </c>
      <c r="AB59" s="184" cm="1">
        <f t="array" ref="AB59">IFERROR(SUM(_xlfn._xlws.FILTER(_xlfn._xlws.FILTER(dataSummaryBS,(dataSummaryBSSummarys=$D59)*(dataSummaryBSSections=$E59)),endDates=AB$8)),0)</f>
        <v>0</v>
      </c>
      <c r="AC59" s="184" cm="1">
        <f t="array" ref="AC59">IFERROR(SUM(_xlfn._xlws.FILTER(_xlfn._xlws.FILTER(dataSummaryBS,(dataSummaryBSSummarys=$D59)*(dataSummaryBSSections=$E59)),endDates=AC$8)),0)</f>
        <v>0</v>
      </c>
      <c r="AD59" s="184" cm="1">
        <f t="array" ref="AD59">IFERROR(SUM(_xlfn._xlws.FILTER(_xlfn._xlws.FILTER(dataSummaryBS,(dataSummaryBSSummarys=$D59)*(dataSummaryBSSections=$E59)),endDates=AD$8)),0)</f>
        <v>0</v>
      </c>
      <c r="AE59" s="184" cm="1">
        <f t="array" ref="AE59">IFERROR(SUM(_xlfn._xlws.FILTER(_xlfn._xlws.FILTER(dataSummaryBS,(dataSummaryBSSummarys=$D59)*(dataSummaryBSSections=$E59)),endDates=AE$8)),0)</f>
        <v>0</v>
      </c>
      <c r="AF59" s="184" cm="1">
        <f t="array" ref="AF59">IFERROR(SUM(_xlfn._xlws.FILTER(_xlfn._xlws.FILTER(dataSummaryBS,(dataSummaryBSSummarys=$D59)*(dataSummaryBSSections=$E59)),endDates=AF$8)),0)</f>
        <v>0</v>
      </c>
      <c r="AG59" s="184" cm="1">
        <f t="array" ref="AG59">IFERROR(SUM(_xlfn._xlws.FILTER(_xlfn._xlws.FILTER(dataSummaryBS,(dataSummaryBSSummarys=$D59)*(dataSummaryBSSections=$E59)),endDates=AG$8)),0)</f>
        <v>0</v>
      </c>
      <c r="AH59" s="184" cm="1">
        <f t="array" ref="AH59">IFERROR(SUM(_xlfn._xlws.FILTER(_xlfn._xlws.FILTER(dataSummaryBS,(dataSummaryBSSummarys=$D59)*(dataSummaryBSSections=$E59)),endDates=AH$8)),0)</f>
        <v>0</v>
      </c>
      <c r="AI59" s="184" cm="1">
        <f t="array" ref="AI59">IFERROR(SUM(_xlfn._xlws.FILTER(_xlfn._xlws.FILTER(dataSummaryBS,(dataSummaryBSSummarys=$D59)*(dataSummaryBSSections=$E59)),endDates=AI$8)),0)</f>
        <v>0</v>
      </c>
      <c r="AJ59" s="184"/>
      <c r="AL59" s="184" cm="1">
        <f t="array" ref="AL59">IFERROR(SUM(_xlfn._xlws.FILTER(_xlfn._xlws.FILTER(dataSummaryBS,(dataSummaryBSSummarys=$D59)*(dataSummaryBSSections=$E59)),endDates=AL$8)),0)</f>
        <v>0</v>
      </c>
      <c r="AM59" s="184" cm="1">
        <f t="array" ref="AM59">IFERROR(SUM(_xlfn._xlws.FILTER(_xlfn._xlws.FILTER(dataSummaryBS,(dataSummaryBSSummarys=$D59)*(dataSummaryBSSections=$E59)),endDates=AM$8)),0)</f>
        <v>0</v>
      </c>
      <c r="AN59" s="184" cm="1">
        <f t="array" ref="AN59">IFERROR(SUM(_xlfn._xlws.FILTER(_xlfn._xlws.FILTER(dataSummaryBS,(dataSummaryBSSummarys=$D59)*(dataSummaryBSSections=$E59)),endDates=AN$8)),0)</f>
        <v>0</v>
      </c>
      <c r="AO59" s="184" cm="1">
        <f t="array" ref="AO59">IFERROR(SUM(_xlfn._xlws.FILTER(_xlfn._xlws.FILTER(dataSummaryBS,(dataSummaryBSSummarys=$D59)*(dataSummaryBSSections=$E59)),endDates=AO$8)),0)</f>
        <v>0</v>
      </c>
      <c r="AP59" s="184" cm="1">
        <f t="array" ref="AP59">IFERROR(SUM(_xlfn._xlws.FILTER(_xlfn._xlws.FILTER(dataSummaryBS,(dataSummaryBSSummarys=$D59)*(dataSummaryBSSections=$E59)),endDates=AP$8)),0)</f>
        <v>0</v>
      </c>
      <c r="AQ59" s="184" cm="1">
        <f t="array" ref="AQ59">IFERROR(SUM(_xlfn._xlws.FILTER(_xlfn._xlws.FILTER(dataSummaryBS,(dataSummaryBSSummarys=$D59)*(dataSummaryBSSections=$E59)),endDates=AQ$8)),0)</f>
        <v>0</v>
      </c>
      <c r="AR59" s="184" cm="1">
        <f t="array" ref="AR59">IFERROR(SUM(_xlfn._xlws.FILTER(_xlfn._xlws.FILTER(dataSummaryBS,(dataSummaryBSSummarys=$D59)*(dataSummaryBSSections=$E59)),endDates=AR$8)),0)</f>
        <v>0</v>
      </c>
      <c r="AS59" s="184" cm="1">
        <f t="array" ref="AS59">IFERROR(SUM(_xlfn._xlws.FILTER(_xlfn._xlws.FILTER(dataSummaryBS,(dataSummaryBSSummarys=$D59)*(dataSummaryBSSections=$E59)),endDates=AS$8)),0)</f>
        <v>0</v>
      </c>
      <c r="AT59" s="184" cm="1">
        <f t="array" ref="AT59">IFERROR(SUM(_xlfn._xlws.FILTER(_xlfn._xlws.FILTER(dataSummaryBS,(dataSummaryBSSummarys=$D59)*(dataSummaryBSSections=$E59)),endDates=AT$8)),0)</f>
        <v>0</v>
      </c>
      <c r="AU59" s="184" cm="1">
        <f t="array" ref="AU59">IFERROR(SUM(_xlfn._xlws.FILTER(_xlfn._xlws.FILTER(dataSummaryBS,(dataSummaryBSSummarys=$D59)*(dataSummaryBSSections=$E59)),endDates=AU$8)),0)</f>
        <v>0</v>
      </c>
      <c r="AV59" s="184" cm="1">
        <f t="array" ref="AV59">IFERROR(SUM(_xlfn._xlws.FILTER(_xlfn._xlws.FILTER(dataSummaryBS,(dataSummaryBSSummarys=$D59)*(dataSummaryBSSections=$E59)),endDates=AV$8)),0)</f>
        <v>0</v>
      </c>
      <c r="AW59" s="184" cm="1">
        <f t="array" ref="AW59">IFERROR(SUM(_xlfn._xlws.FILTER(_xlfn._xlws.FILTER(dataSummaryBS,(dataSummaryBSSummarys=$D59)*(dataSummaryBSSections=$E59)),endDates=AW$8)),0)</f>
        <v>0</v>
      </c>
      <c r="AX59" s="184" cm="1">
        <f t="array" ref="AX59">IFERROR(SUM(_xlfn._xlws.FILTER(_xlfn._xlws.FILTER(dataSummaryBS,(dataSummaryBSSummarys=$D59)*(dataSummaryBSSections=$E59)),endDates=AX$8)),0)</f>
        <v>0</v>
      </c>
      <c r="AY59" s="184" cm="1">
        <f t="array" ref="AY59">IFERROR(SUM(_xlfn._xlws.FILTER(_xlfn._xlws.FILTER(dataSummaryBS,(dataSummaryBSSummarys=$D59)*(dataSummaryBSSections=$E59)),endDates=AY$8)),0)</f>
        <v>0</v>
      </c>
      <c r="AZ59" s="184" cm="1">
        <f t="array" ref="AZ59">IFERROR(SUM(_xlfn._xlws.FILTER(_xlfn._xlws.FILTER(dataSummaryBS,(dataSummaryBSSummarys=$D59)*(dataSummaryBSSections=$E59)),endDates=AZ$8)),0)</f>
        <v>0</v>
      </c>
      <c r="BA59" s="184" cm="1">
        <f t="array" ref="BA59">IFERROR(SUM(_xlfn._xlws.FILTER(_xlfn._xlws.FILTER(dataSummaryBS,(dataSummaryBSSummarys=$D59)*(dataSummaryBSSections=$E59)),endDates=BA$8)),0)</f>
        <v>0</v>
      </c>
      <c r="BB59" s="184" cm="1">
        <f t="array" ref="BB59">IFERROR(SUM(_xlfn._xlws.FILTER(_xlfn._xlws.FILTER(dataSummaryBS,(dataSummaryBSSummarys=$D59)*(dataSummaryBSSections=$E59)),endDates=BB$8)),0)</f>
        <v>0</v>
      </c>
      <c r="BC59" s="184" cm="1">
        <f t="array" ref="BC59">IFERROR(SUM(_xlfn._xlws.FILTER(_xlfn._xlws.FILTER(dataSummaryBS,(dataSummaryBSSummarys=$D59)*(dataSummaryBSSections=$E59)),endDates=BC$8)),0)</f>
        <v>0</v>
      </c>
      <c r="BD59" s="184" cm="1">
        <f t="array" ref="BD59">IFERROR(SUM(_xlfn._xlws.FILTER(_xlfn._xlws.FILTER(dataSummaryBS,(dataSummaryBSSummarys=$D59)*(dataSummaryBSSections=$E59)),endDates=BD$8)),0)</f>
        <v>0</v>
      </c>
      <c r="BE59" s="184" cm="1">
        <f t="array" ref="BE59">IFERROR(SUM(_xlfn._xlws.FILTER(_xlfn._xlws.FILTER(dataSummaryBS,(dataSummaryBSSummarys=$D59)*(dataSummaryBSSections=$E59)),endDates=BE$8)),0)</f>
        <v>0</v>
      </c>
      <c r="BF59" s="184" cm="1">
        <f t="array" ref="BF59">IFERROR(SUM(_xlfn._xlws.FILTER(_xlfn._xlws.FILTER(dataSummaryBS,(dataSummaryBSSummarys=$D59)*(dataSummaryBSSections=$E59)),endDates=BF$8)),0)</f>
        <v>0</v>
      </c>
      <c r="BG59" s="184" cm="1">
        <f t="array" ref="BG59">IFERROR(SUM(_xlfn._xlws.FILTER(_xlfn._xlws.FILTER(dataSummaryBS,(dataSummaryBSSummarys=$D59)*(dataSummaryBSSections=$E59)),endDates=BG$8)),0)</f>
        <v>0</v>
      </c>
      <c r="BH59" s="184" cm="1">
        <f t="array" ref="BH59">IFERROR(SUM(_xlfn._xlws.FILTER(_xlfn._xlws.FILTER(dataSummaryBS,(dataSummaryBSSummarys=$D59)*(dataSummaryBSSections=$E59)),endDates=BH$8)),0)</f>
        <v>0</v>
      </c>
      <c r="BI59" s="184" cm="1">
        <f t="array" ref="BI59">IFERROR(SUM(_xlfn._xlws.FILTER(_xlfn._xlws.FILTER(dataSummaryBS,(dataSummaryBSSummarys=$D59)*(dataSummaryBSSections=$E59)),endDates=BI$8)),0)</f>
        <v>0</v>
      </c>
      <c r="BJ59" s="184" cm="1">
        <f t="array" ref="BJ59">IFERROR(SUM(_xlfn._xlws.FILTER(_xlfn._xlws.FILTER(dataSummaryBS,(dataSummaryBSSummarys=$D59)*(dataSummaryBSSections=$E59)),endDates=BJ$8)),0)</f>
        <v>0</v>
      </c>
      <c r="BK59" s="184" cm="1">
        <f t="array" ref="BK59">IFERROR(SUM(_xlfn._xlws.FILTER(_xlfn._xlws.FILTER(dataSummaryBS,(dataSummaryBSSummarys=$D59)*(dataSummaryBSSections=$E59)),endDates=BK$8)),0)</f>
        <v>0</v>
      </c>
      <c r="BL59" s="184" cm="1">
        <f t="array" ref="BL59">IFERROR(SUM(_xlfn._xlws.FILTER(_xlfn._xlws.FILTER(dataSummaryBS,(dataSummaryBSSummarys=$D59)*(dataSummaryBSSections=$E59)),endDates=BL$8)),0)</f>
        <v>0</v>
      </c>
      <c r="BM59" s="184" cm="1">
        <f t="array" ref="BM59">IFERROR(SUM(_xlfn._xlws.FILTER(_xlfn._xlws.FILTER(dataSummaryBS,(dataSummaryBSSummarys=$D59)*(dataSummaryBSSections=$E59)),endDates=BM$8)),0)</f>
        <v>0</v>
      </c>
      <c r="BN59" s="184" cm="1">
        <f t="array" ref="BN59">IFERROR(SUM(_xlfn._xlws.FILTER(_xlfn._xlws.FILTER(dataSummaryBS,(dataSummaryBSSummarys=$D59)*(dataSummaryBSSections=$E59)),endDates=BN$8)),0)</f>
        <v>0</v>
      </c>
      <c r="BO59" s="184" cm="1">
        <f t="array" ref="BO59">IFERROR(SUM(_xlfn._xlws.FILTER(_xlfn._xlws.FILTER(dataSummaryBS,(dataSummaryBSSummarys=$D59)*(dataSummaryBSSections=$E59)),endDates=BO$8)),0)</f>
        <v>0</v>
      </c>
      <c r="BP59" s="184" cm="1">
        <f t="array" ref="BP59">IFERROR(SUM(_xlfn._xlws.FILTER(_xlfn._xlws.FILTER(dataSummaryBS,(dataSummaryBSSummarys=$D59)*(dataSummaryBSSections=$E59)),endDates=BP$8)),0)</f>
        <v>0</v>
      </c>
      <c r="BQ59" s="184" cm="1">
        <f t="array" ref="BQ59">IFERROR(SUM(_xlfn._xlws.FILTER(_xlfn._xlws.FILTER(dataSummaryBS,(dataSummaryBSSummarys=$D59)*(dataSummaryBSSections=$E59)),endDates=BQ$8)),0)</f>
        <v>0</v>
      </c>
      <c r="BR59" s="184" cm="1">
        <f t="array" ref="BR59">IFERROR(SUM(_xlfn._xlws.FILTER(_xlfn._xlws.FILTER(dataSummaryBS,(dataSummaryBSSummarys=$D59)*(dataSummaryBSSections=$E59)),endDates=BR$8)),0)</f>
        <v>0</v>
      </c>
      <c r="BS59" s="184" cm="1">
        <f t="array" ref="BS59">IFERROR(SUM(_xlfn._xlws.FILTER(_xlfn._xlws.FILTER(dataSummaryBS,(dataSummaryBSSummarys=$D59)*(dataSummaryBSSections=$E59)),endDates=BS$8)),0)</f>
        <v>0</v>
      </c>
      <c r="BT59" s="184" cm="1">
        <f t="array" ref="BT59">IFERROR(SUM(_xlfn._xlws.FILTER(_xlfn._xlws.FILTER(dataSummaryBS,(dataSummaryBSSummarys=$D59)*(dataSummaryBSSections=$E59)),endDates=BT$8)),0)</f>
        <v>0</v>
      </c>
      <c r="BU59" s="184" cm="1">
        <f t="array" ref="BU59">IFERROR(SUM(_xlfn._xlws.FILTER(_xlfn._xlws.FILTER(dataSummaryBS,(dataSummaryBSSummarys=$D59)*(dataSummaryBSSections=$E59)),endDates=BU$8)),0)</f>
        <v>0</v>
      </c>
      <c r="BV59" s="184" cm="1">
        <f t="array" ref="BV59">IFERROR(SUM(_xlfn._xlws.FILTER(_xlfn._xlws.FILTER(dataSummaryBS,(dataSummaryBSSummarys=$D59)*(dataSummaryBSSections=$E59)),endDates=BV$8)),0)</f>
        <v>0</v>
      </c>
      <c r="BW59" s="184" cm="1">
        <f t="array" ref="BW59">IFERROR(SUM(_xlfn._xlws.FILTER(_xlfn._xlws.FILTER(dataSummaryBS,(dataSummaryBSSummarys=$D59)*(dataSummaryBSSections=$E59)),endDates=BW$8)),0)</f>
        <v>0</v>
      </c>
      <c r="BX59" s="184" cm="1">
        <f t="array" ref="BX59">IFERROR(SUM(_xlfn._xlws.FILTER(_xlfn._xlws.FILTER(dataSummaryBS,(dataSummaryBSSummarys=$D59)*(dataSummaryBSSections=$E59)),endDates=BX$8)),0)</f>
        <v>0</v>
      </c>
      <c r="BY59" s="184" cm="1">
        <f t="array" ref="BY59">IFERROR(SUM(_xlfn._xlws.FILTER(_xlfn._xlws.FILTER(dataSummaryBS,(dataSummaryBSSummarys=$D59)*(dataSummaryBSSections=$E59)),endDates=BY$8)),0)</f>
        <v>0</v>
      </c>
      <c r="BZ59" s="184" cm="1">
        <f t="array" ref="BZ59">IFERROR(SUM(_xlfn._xlws.FILTER(_xlfn._xlws.FILTER(dataSummaryBS,(dataSummaryBSSummarys=$D59)*(dataSummaryBSSections=$E59)),endDates=BZ$8)),0)</f>
        <v>0</v>
      </c>
      <c r="CA59" s="184" cm="1">
        <f t="array" ref="CA59">IFERROR(SUM(_xlfn._xlws.FILTER(_xlfn._xlws.FILTER(dataSummaryBS,(dataSummaryBSSummarys=$D59)*(dataSummaryBSSections=$E59)),endDates=CA$8)),0)</f>
        <v>0</v>
      </c>
      <c r="CB59" s="184" cm="1">
        <f t="array" ref="CB59">IFERROR(SUM(_xlfn._xlws.FILTER(_xlfn._xlws.FILTER(dataSummaryBS,(dataSummaryBSSummarys=$D59)*(dataSummaryBSSections=$E59)),endDates=CB$8)),0)</f>
        <v>0</v>
      </c>
      <c r="CC59" s="184" cm="1">
        <f t="array" ref="CC59">IFERROR(SUM(_xlfn._xlws.FILTER(_xlfn._xlws.FILTER(dataSummaryBS,(dataSummaryBSSummarys=$D59)*(dataSummaryBSSections=$E59)),endDates=CC$8)),0)</f>
        <v>0</v>
      </c>
      <c r="CD59" s="184" cm="1">
        <f t="array" ref="CD59">IFERROR(SUM(_xlfn._xlws.FILTER(_xlfn._xlws.FILTER(dataSummaryBS,(dataSummaryBSSummarys=$D59)*(dataSummaryBSSections=$E59)),endDates=CD$8)),0)</f>
        <v>0</v>
      </c>
      <c r="CE59" s="184" cm="1">
        <f t="array" ref="CE59">IFERROR(SUM(_xlfn._xlws.FILTER(_xlfn._xlws.FILTER(dataSummaryBS,(dataSummaryBSSummarys=$D59)*(dataSummaryBSSections=$E59)),endDates=CE$8)),0)</f>
        <v>0</v>
      </c>
      <c r="CF59" s="184" cm="1">
        <f t="array" ref="CF59">IFERROR(SUM(_xlfn._xlws.FILTER(_xlfn._xlws.FILTER(dataSummaryBS,(dataSummaryBSSummarys=$D59)*(dataSummaryBSSections=$E59)),endDates=CF$8)),0)</f>
        <v>0</v>
      </c>
      <c r="CG59" s="184" cm="1">
        <f t="array" ref="CG59">IFERROR(SUM(_xlfn._xlws.FILTER(_xlfn._xlws.FILTER(dataSummaryBS,(dataSummaryBSSummarys=$D59)*(dataSummaryBSSections=$E59)),endDates=CG$8)),0)</f>
        <v>0</v>
      </c>
    </row>
    <row r="60" spans="1:85"/>
    <row r="61" spans="1:85" s="157" customFormat="1" ht="15.75">
      <c r="C61" s="160" t="s">
        <v>141</v>
      </c>
      <c r="D61" s="160"/>
      <c r="E61" s="161"/>
      <c r="F61" s="160"/>
      <c r="G61" s="160"/>
      <c r="J61" s="158">
        <f>SUM(J62:J66)</f>
        <v>1606177.5</v>
      </c>
      <c r="K61" s="158">
        <f>SUM(K62:K66)</f>
        <v>1606177.5</v>
      </c>
      <c r="N61" s="158">
        <f>SUM(N62:N66)</f>
        <v>1603677.5</v>
      </c>
      <c r="O61" s="158">
        <f>SUM(O62:O66)</f>
        <v>1603677.5</v>
      </c>
      <c r="P61" s="158">
        <f>SUM(P62:P66)</f>
        <v>1747692.9166151516</v>
      </c>
      <c r="Q61" s="158">
        <f>SUM(Q62:Q66)</f>
        <v>1758939.401201512</v>
      </c>
      <c r="R61" s="159"/>
      <c r="S61" s="159"/>
      <c r="T61" s="158">
        <f t="shared" ref="T61:AI61" si="52">SUM(T62:T66)</f>
        <v>568126</v>
      </c>
      <c r="U61" s="158">
        <f t="shared" si="52"/>
        <v>580690.5</v>
      </c>
      <c r="V61" s="158">
        <f t="shared" si="52"/>
        <v>598462.5</v>
      </c>
      <c r="W61" s="158">
        <f t="shared" si="52"/>
        <v>1603677.5</v>
      </c>
      <c r="X61" s="158">
        <f t="shared" si="52"/>
        <v>1603677.5</v>
      </c>
      <c r="Y61" s="158">
        <f t="shared" si="52"/>
        <v>1603677.5</v>
      </c>
      <c r="Z61" s="158">
        <f t="shared" si="52"/>
        <v>1603677.5</v>
      </c>
      <c r="AA61" s="158">
        <f t="shared" si="52"/>
        <v>1603677.5</v>
      </c>
      <c r="AB61" s="158">
        <f t="shared" si="52"/>
        <v>1603677.5</v>
      </c>
      <c r="AC61" s="158">
        <f t="shared" si="52"/>
        <v>1604677.5</v>
      </c>
      <c r="AD61" s="158">
        <f t="shared" si="52"/>
        <v>1605177.5</v>
      </c>
      <c r="AE61" s="158">
        <f t="shared" si="52"/>
        <v>1747692.9166151516</v>
      </c>
      <c r="AF61" s="158">
        <f t="shared" si="52"/>
        <v>1751966.8194439965</v>
      </c>
      <c r="AG61" s="158">
        <f t="shared" si="52"/>
        <v>1757013.6441783647</v>
      </c>
      <c r="AH61" s="158">
        <f t="shared" si="52"/>
        <v>1755529.9400324817</v>
      </c>
      <c r="AI61" s="158">
        <f t="shared" si="52"/>
        <v>1758939.401201512</v>
      </c>
      <c r="AJ61" s="185"/>
      <c r="AK61" s="159"/>
      <c r="AL61" s="158">
        <f t="shared" ref="AL61:CG61" si="53">SUM(AL62:AL66)</f>
        <v>559346</v>
      </c>
      <c r="AM61" s="158">
        <f t="shared" si="53"/>
        <v>566869</v>
      </c>
      <c r="AN61" s="158">
        <f t="shared" si="53"/>
        <v>568126</v>
      </c>
      <c r="AO61" s="158">
        <f t="shared" si="53"/>
        <v>574450.5</v>
      </c>
      <c r="AP61" s="158">
        <f t="shared" si="53"/>
        <v>578576.5</v>
      </c>
      <c r="AQ61" s="158">
        <f t="shared" si="53"/>
        <v>580690.5</v>
      </c>
      <c r="AR61" s="158">
        <f t="shared" si="53"/>
        <v>586664.5</v>
      </c>
      <c r="AS61" s="158">
        <f t="shared" si="53"/>
        <v>591166.5</v>
      </c>
      <c r="AT61" s="158">
        <f t="shared" si="53"/>
        <v>598462.5</v>
      </c>
      <c r="AU61" s="158">
        <f t="shared" si="53"/>
        <v>1603677.5</v>
      </c>
      <c r="AV61" s="158">
        <f t="shared" si="53"/>
        <v>1603677.5</v>
      </c>
      <c r="AW61" s="158">
        <f t="shared" si="53"/>
        <v>1603677.5</v>
      </c>
      <c r="AX61" s="158">
        <f t="shared" si="53"/>
        <v>1603677.5</v>
      </c>
      <c r="AY61" s="158">
        <f t="shared" si="53"/>
        <v>1603677.5</v>
      </c>
      <c r="AZ61" s="158">
        <f t="shared" si="53"/>
        <v>1603677.5</v>
      </c>
      <c r="BA61" s="158">
        <f t="shared" si="53"/>
        <v>1603677.5</v>
      </c>
      <c r="BB61" s="158">
        <f t="shared" si="53"/>
        <v>1603677.5</v>
      </c>
      <c r="BC61" s="158">
        <f t="shared" si="53"/>
        <v>1603677.5</v>
      </c>
      <c r="BD61" s="158">
        <f t="shared" si="53"/>
        <v>1603677.5</v>
      </c>
      <c r="BE61" s="158">
        <f t="shared" si="53"/>
        <v>1603677.5</v>
      </c>
      <c r="BF61" s="158">
        <f t="shared" si="53"/>
        <v>1603677.5</v>
      </c>
      <c r="BG61" s="158">
        <f t="shared" si="53"/>
        <v>1603677.5</v>
      </c>
      <c r="BH61" s="158">
        <f t="shared" si="53"/>
        <v>1603677.5</v>
      </c>
      <c r="BI61" s="158">
        <f t="shared" si="53"/>
        <v>1603677.5</v>
      </c>
      <c r="BJ61" s="158">
        <f t="shared" si="53"/>
        <v>1603677.5</v>
      </c>
      <c r="BK61" s="158">
        <f t="shared" si="53"/>
        <v>1603677.5</v>
      </c>
      <c r="BL61" s="158">
        <f t="shared" si="53"/>
        <v>1603677.5</v>
      </c>
      <c r="BM61" s="158">
        <f t="shared" si="53"/>
        <v>1603677.5</v>
      </c>
      <c r="BN61" s="158">
        <f t="shared" si="53"/>
        <v>1603677.5</v>
      </c>
      <c r="BO61" s="158">
        <f t="shared" si="53"/>
        <v>1604677.5</v>
      </c>
      <c r="BP61" s="158">
        <f t="shared" si="53"/>
        <v>1604677.5</v>
      </c>
      <c r="BQ61" s="158">
        <f t="shared" si="53"/>
        <v>1605177.5</v>
      </c>
      <c r="BR61" s="158">
        <f t="shared" si="53"/>
        <v>1605177.5</v>
      </c>
      <c r="BS61" s="158">
        <f t="shared" si="53"/>
        <v>1605177.5</v>
      </c>
      <c r="BT61" s="158">
        <f t="shared" si="53"/>
        <v>1606177.5</v>
      </c>
      <c r="BU61" s="158">
        <f t="shared" si="53"/>
        <v>1747692.9166151516</v>
      </c>
      <c r="BV61" s="158">
        <f t="shared" si="53"/>
        <v>1766812.773913454</v>
      </c>
      <c r="BW61" s="158">
        <f t="shared" si="53"/>
        <v>1752554.4352554153</v>
      </c>
      <c r="BX61" s="158">
        <f t="shared" si="53"/>
        <v>1751966.8194439965</v>
      </c>
      <c r="BY61" s="158">
        <f t="shared" si="53"/>
        <v>1758562.2148263217</v>
      </c>
      <c r="BZ61" s="158">
        <f t="shared" si="53"/>
        <v>1757473.3884637982</v>
      </c>
      <c r="CA61" s="158">
        <f t="shared" si="53"/>
        <v>1757013.6441783647</v>
      </c>
      <c r="CB61" s="158">
        <f t="shared" si="53"/>
        <v>1757317.5849420398</v>
      </c>
      <c r="CC61" s="158">
        <f t="shared" si="53"/>
        <v>1756462.1522009845</v>
      </c>
      <c r="CD61" s="158">
        <f t="shared" si="53"/>
        <v>1755529.9400324817</v>
      </c>
      <c r="CE61" s="158">
        <f t="shared" si="53"/>
        <v>1754536.5893917687</v>
      </c>
      <c r="CF61" s="158">
        <f t="shared" si="53"/>
        <v>1753507.6386941026</v>
      </c>
      <c r="CG61" s="158">
        <f t="shared" si="53"/>
        <v>1758939.401201512</v>
      </c>
    </row>
    <row r="62" spans="1:85" outlineLevel="1">
      <c r="C62" s="331" t="s">
        <v>142</v>
      </c>
      <c r="D62" s="163" t="str">
        <f>C62</f>
        <v>Accounts Payable</v>
      </c>
      <c r="E62" s="150" t="s">
        <v>141</v>
      </c>
      <c r="F62" s="163"/>
      <c r="G62" s="163"/>
      <c r="J62" s="184" cm="1">
        <f t="array" ref="J62">IFERROR(SUM(_xlfn._xlws.FILTER(_xlfn._xlws.FILTER(dataSummaryBS,(dataSummaryBSSummarys=$D62)*(dataSummaryBSSections=$E62)),endDates=J$8)),0)</f>
        <v>57849.5</v>
      </c>
      <c r="K62" s="184" cm="1">
        <f t="array" ref="K62">IFERROR(SUM(_xlfn._xlws.FILTER(_xlfn._xlws.FILTER(dataSummaryBS,(dataSummaryBSSummarys=$D62)*(dataSummaryBSSections=$E62)),endDates=K$8)),0)</f>
        <v>57849.5</v>
      </c>
      <c r="N62" s="184" cm="1">
        <f t="array" ref="N62">IFERROR(SUM(_xlfn._xlws.FILTER(_xlfn._xlws.FILTER(dataSummaryBS,(dataSummaryBSSummarys=$D62)*(dataSummaryBSSections=$E62)),endDates=N$8)),0)</f>
        <v>55349.5</v>
      </c>
      <c r="O62" s="184" cm="1">
        <f t="array" ref="O62">IFERROR(SUM(_xlfn._xlws.FILTER(_xlfn._xlws.FILTER(dataSummaryBS,(dataSummaryBSSummarys=$D62)*(dataSummaryBSSections=$E62)),endDates=O$8)),0)</f>
        <v>55349.5</v>
      </c>
      <c r="P62" s="184" cm="1">
        <f t="array" ref="P62">IFERROR(SUM(_xlfn._xlws.FILTER(_xlfn._xlws.FILTER(dataSummaryBS,(dataSummaryBSSummarys=$D62)*(dataSummaryBSSections=$E62)),endDates=P$8)),0)</f>
        <v>121304.0832818182</v>
      </c>
      <c r="Q62" s="184" cm="1">
        <f t="array" ref="Q62">IFERROR(SUM(_xlfn._xlws.FILTER(_xlfn._xlws.FILTER(dataSummaryBS,(dataSummaryBSSummarys=$D62)*(dataSummaryBSSections=$E62)),endDates=Q$8)),0)</f>
        <v>113881.40120151216</v>
      </c>
      <c r="T62" s="184" cm="1">
        <f t="array" ref="T62">IFERROR(SUM(_xlfn._xlws.FILTER(_xlfn._xlws.FILTER(dataSummaryBS,(dataSummaryBSSummarys=$D62)*(dataSummaryBSSections=$E62)),endDates=T$8)),0)</f>
        <v>43504</v>
      </c>
      <c r="U62" s="184" cm="1">
        <f t="array" ref="U62">IFERROR(SUM(_xlfn._xlws.FILTER(_xlfn._xlws.FILTER(dataSummaryBS,(dataSummaryBSSummarys=$D62)*(dataSummaryBSSections=$E62)),endDates=U$8)),0)</f>
        <v>48234</v>
      </c>
      <c r="V62" s="184" cm="1">
        <f t="array" ref="V62">IFERROR(SUM(_xlfn._xlws.FILTER(_xlfn._xlws.FILTER(dataSummaryBS,(dataSummaryBSSummarys=$D62)*(dataSummaryBSSections=$E62)),endDates=V$8)),0)</f>
        <v>53477.5</v>
      </c>
      <c r="W62" s="184" cm="1">
        <f t="array" ref="W62">IFERROR(SUM(_xlfn._xlws.FILTER(_xlfn._xlws.FILTER(dataSummaryBS,(dataSummaryBSSummarys=$D62)*(dataSummaryBSSections=$E62)),endDates=W$8)),0)</f>
        <v>55349.5</v>
      </c>
      <c r="X62" s="184" cm="1">
        <f t="array" ref="X62">IFERROR(SUM(_xlfn._xlws.FILTER(_xlfn._xlws.FILTER(dataSummaryBS,(dataSummaryBSSummarys=$D62)*(dataSummaryBSSections=$E62)),endDates=X$8)),0)</f>
        <v>55349.5</v>
      </c>
      <c r="Y62" s="184" cm="1">
        <f t="array" ref="Y62">IFERROR(SUM(_xlfn._xlws.FILTER(_xlfn._xlws.FILTER(dataSummaryBS,(dataSummaryBSSummarys=$D62)*(dataSummaryBSSections=$E62)),endDates=Y$8)),0)</f>
        <v>55349.5</v>
      </c>
      <c r="Z62" s="184" cm="1">
        <f t="array" ref="Z62">IFERROR(SUM(_xlfn._xlws.FILTER(_xlfn._xlws.FILTER(dataSummaryBS,(dataSummaryBSSummarys=$D62)*(dataSummaryBSSections=$E62)),endDates=Z$8)),0)</f>
        <v>55349.5</v>
      </c>
      <c r="AA62" s="184" cm="1">
        <f t="array" ref="AA62">IFERROR(SUM(_xlfn._xlws.FILTER(_xlfn._xlws.FILTER(dataSummaryBS,(dataSummaryBSSummarys=$D62)*(dataSummaryBSSections=$E62)),endDates=AA$8)),0)</f>
        <v>55349.5</v>
      </c>
      <c r="AB62" s="184" cm="1">
        <f t="array" ref="AB62">IFERROR(SUM(_xlfn._xlws.FILTER(_xlfn._xlws.FILTER(dataSummaryBS,(dataSummaryBSSummarys=$D62)*(dataSummaryBSSections=$E62)),endDates=AB$8)),0)</f>
        <v>55349.5</v>
      </c>
      <c r="AC62" s="184" cm="1">
        <f t="array" ref="AC62">IFERROR(SUM(_xlfn._xlws.FILTER(_xlfn._xlws.FILTER(dataSummaryBS,(dataSummaryBSSummarys=$D62)*(dataSummaryBSSections=$E62)),endDates=AC$8)),0)</f>
        <v>56349.5</v>
      </c>
      <c r="AD62" s="184" cm="1">
        <f t="array" ref="AD62">IFERROR(SUM(_xlfn._xlws.FILTER(_xlfn._xlws.FILTER(dataSummaryBS,(dataSummaryBSSummarys=$D62)*(dataSummaryBSSections=$E62)),endDates=AD$8)),0)</f>
        <v>56849.5</v>
      </c>
      <c r="AE62" s="184" cm="1">
        <f t="array" ref="AE62">IFERROR(SUM(_xlfn._xlws.FILTER(_xlfn._xlws.FILTER(dataSummaryBS,(dataSummaryBSSummarys=$D62)*(dataSummaryBSSections=$E62)),endDates=AE$8)),0)</f>
        <v>121304.0832818182</v>
      </c>
      <c r="AF62" s="184" cm="1">
        <f t="array" ref="AF62">IFERROR(SUM(_xlfn._xlws.FILTER(_xlfn._xlws.FILTER(dataSummaryBS,(dataSummaryBSSummarys=$D62)*(dataSummaryBSSections=$E62)),endDates=AF$8)),0)</f>
        <v>91395.486110663274</v>
      </c>
      <c r="AG62" s="184" cm="1">
        <f t="array" ref="AG62">IFERROR(SUM(_xlfn._xlws.FILTER(_xlfn._xlws.FILTER(dataSummaryBS,(dataSummaryBSSummarys=$D62)*(dataSummaryBSSections=$E62)),endDates=AG$8)),0)</f>
        <v>102259.81084503142</v>
      </c>
      <c r="AH62" s="184" cm="1">
        <f t="array" ref="AH62">IFERROR(SUM(_xlfn._xlws.FILTER(_xlfn._xlws.FILTER(dataSummaryBS,(dataSummaryBSSummarys=$D62)*(dataSummaryBSSections=$E62)),endDates=AH$8)),0)</f>
        <v>106593.6066991484</v>
      </c>
      <c r="AI62" s="184" cm="1">
        <f t="array" ref="AI62">IFERROR(SUM(_xlfn._xlws.FILTER(_xlfn._xlws.FILTER(dataSummaryBS,(dataSummaryBSSummarys=$D62)*(dataSummaryBSSections=$E62)),endDates=AI$8)),0)</f>
        <v>113881.40120151216</v>
      </c>
      <c r="AJ62" s="184"/>
      <c r="AL62" s="184" cm="1">
        <f t="array" ref="AL62">IFERROR(SUM(_xlfn._xlws.FILTER(_xlfn._xlws.FILTER(dataSummaryBS,(dataSummaryBSSummarys=$D62)*(dataSummaryBSSections=$E62)),endDates=AL$8)),0)</f>
        <v>37350</v>
      </c>
      <c r="AM62" s="184" cm="1">
        <f t="array" ref="AM62">IFERROR(SUM(_xlfn._xlws.FILTER(_xlfn._xlws.FILTER(dataSummaryBS,(dataSummaryBSSummarys=$D62)*(dataSummaryBSSections=$E62)),endDates=AM$8)),0)</f>
        <v>42033</v>
      </c>
      <c r="AN62" s="184" cm="1">
        <f t="array" ref="AN62">IFERROR(SUM(_xlfn._xlws.FILTER(_xlfn._xlws.FILTER(dataSummaryBS,(dataSummaryBSSummarys=$D62)*(dataSummaryBSSections=$E62)),endDates=AN$8)),0)</f>
        <v>43504</v>
      </c>
      <c r="AO62" s="184" cm="1">
        <f t="array" ref="AO62">IFERROR(SUM(_xlfn._xlws.FILTER(_xlfn._xlws.FILTER(dataSummaryBS,(dataSummaryBSSummarys=$D62)*(dataSummaryBSSections=$E62)),endDates=AO$8)),0)</f>
        <v>45027</v>
      </c>
      <c r="AP62" s="184" cm="1">
        <f t="array" ref="AP62">IFERROR(SUM(_xlfn._xlws.FILTER(_xlfn._xlws.FILTER(dataSummaryBS,(dataSummaryBSSummarys=$D62)*(dataSummaryBSSections=$E62)),endDates=AP$8)),0)</f>
        <v>46603</v>
      </c>
      <c r="AQ62" s="184" cm="1">
        <f t="array" ref="AQ62">IFERROR(SUM(_xlfn._xlws.FILTER(_xlfn._xlws.FILTER(dataSummaryBS,(dataSummaryBSSummarys=$D62)*(dataSummaryBSSections=$E62)),endDates=AQ$8)),0)</f>
        <v>48234</v>
      </c>
      <c r="AR62" s="184" cm="1">
        <f t="array" ref="AR62">IFERROR(SUM(_xlfn._xlws.FILTER(_xlfn._xlws.FILTER(dataSummaryBS,(dataSummaryBSSummarys=$D62)*(dataSummaryBSSections=$E62)),endDates=AR$8)),0)</f>
        <v>49922</v>
      </c>
      <c r="AS62" s="184" cm="1">
        <f t="array" ref="AS62">IFERROR(SUM(_xlfn._xlws.FILTER(_xlfn._xlws.FILTER(dataSummaryBS,(dataSummaryBSSummarys=$D62)*(dataSummaryBSSections=$E62)),endDates=AS$8)),0)</f>
        <v>51669.5</v>
      </c>
      <c r="AT62" s="184" cm="1">
        <f t="array" ref="AT62">IFERROR(SUM(_xlfn._xlws.FILTER(_xlfn._xlws.FILTER(dataSummaryBS,(dataSummaryBSSummarys=$D62)*(dataSummaryBSSections=$E62)),endDates=AT$8)),0)</f>
        <v>53477.5</v>
      </c>
      <c r="AU62" s="184" cm="1">
        <f t="array" ref="AU62">IFERROR(SUM(_xlfn._xlws.FILTER(_xlfn._xlws.FILTER(dataSummaryBS,(dataSummaryBSSummarys=$D62)*(dataSummaryBSSections=$E62)),endDates=AU$8)),0)</f>
        <v>55349.5</v>
      </c>
      <c r="AV62" s="184" cm="1">
        <f t="array" ref="AV62">IFERROR(SUM(_xlfn._xlws.FILTER(_xlfn._xlws.FILTER(dataSummaryBS,(dataSummaryBSSummarys=$D62)*(dataSummaryBSSections=$E62)),endDates=AV$8)),0)</f>
        <v>55349.5</v>
      </c>
      <c r="AW62" s="184" cm="1">
        <f t="array" ref="AW62">IFERROR(SUM(_xlfn._xlws.FILTER(_xlfn._xlws.FILTER(dataSummaryBS,(dataSummaryBSSummarys=$D62)*(dataSummaryBSSections=$E62)),endDates=AW$8)),0)</f>
        <v>55349.5</v>
      </c>
      <c r="AX62" s="184" cm="1">
        <f t="array" ref="AX62">IFERROR(SUM(_xlfn._xlws.FILTER(_xlfn._xlws.FILTER(dataSummaryBS,(dataSummaryBSSummarys=$D62)*(dataSummaryBSSections=$E62)),endDates=AX$8)),0)</f>
        <v>55349.5</v>
      </c>
      <c r="AY62" s="184" cm="1">
        <f t="array" ref="AY62">IFERROR(SUM(_xlfn._xlws.FILTER(_xlfn._xlws.FILTER(dataSummaryBS,(dataSummaryBSSummarys=$D62)*(dataSummaryBSSections=$E62)),endDates=AY$8)),0)</f>
        <v>55349.5</v>
      </c>
      <c r="AZ62" s="184" cm="1">
        <f t="array" ref="AZ62">IFERROR(SUM(_xlfn._xlws.FILTER(_xlfn._xlws.FILTER(dataSummaryBS,(dataSummaryBSSummarys=$D62)*(dataSummaryBSSections=$E62)),endDates=AZ$8)),0)</f>
        <v>55349.5</v>
      </c>
      <c r="BA62" s="184" cm="1">
        <f t="array" ref="BA62">IFERROR(SUM(_xlfn._xlws.FILTER(_xlfn._xlws.FILTER(dataSummaryBS,(dataSummaryBSSummarys=$D62)*(dataSummaryBSSections=$E62)),endDates=BA$8)),0)</f>
        <v>55349.5</v>
      </c>
      <c r="BB62" s="184" cm="1">
        <f t="array" ref="BB62">IFERROR(SUM(_xlfn._xlws.FILTER(_xlfn._xlws.FILTER(dataSummaryBS,(dataSummaryBSSummarys=$D62)*(dataSummaryBSSections=$E62)),endDates=BB$8)),0)</f>
        <v>55349.5</v>
      </c>
      <c r="BC62" s="184" cm="1">
        <f t="array" ref="BC62">IFERROR(SUM(_xlfn._xlws.FILTER(_xlfn._xlws.FILTER(dataSummaryBS,(dataSummaryBSSummarys=$D62)*(dataSummaryBSSections=$E62)),endDates=BC$8)),0)</f>
        <v>55349.5</v>
      </c>
      <c r="BD62" s="184" cm="1">
        <f t="array" ref="BD62">IFERROR(SUM(_xlfn._xlws.FILTER(_xlfn._xlws.FILTER(dataSummaryBS,(dataSummaryBSSummarys=$D62)*(dataSummaryBSSections=$E62)),endDates=BD$8)),0)</f>
        <v>55349.5</v>
      </c>
      <c r="BE62" s="184" cm="1">
        <f t="array" ref="BE62">IFERROR(SUM(_xlfn._xlws.FILTER(_xlfn._xlws.FILTER(dataSummaryBS,(dataSummaryBSSummarys=$D62)*(dataSummaryBSSections=$E62)),endDates=BE$8)),0)</f>
        <v>55349.5</v>
      </c>
      <c r="BF62" s="184" cm="1">
        <f t="array" ref="BF62">IFERROR(SUM(_xlfn._xlws.FILTER(_xlfn._xlws.FILTER(dataSummaryBS,(dataSummaryBSSummarys=$D62)*(dataSummaryBSSections=$E62)),endDates=BF$8)),0)</f>
        <v>55349.5</v>
      </c>
      <c r="BG62" s="184" cm="1">
        <f t="array" ref="BG62">IFERROR(SUM(_xlfn._xlws.FILTER(_xlfn._xlws.FILTER(dataSummaryBS,(dataSummaryBSSummarys=$D62)*(dataSummaryBSSections=$E62)),endDates=BG$8)),0)</f>
        <v>55349.5</v>
      </c>
      <c r="BH62" s="184" cm="1">
        <f t="array" ref="BH62">IFERROR(SUM(_xlfn._xlws.FILTER(_xlfn._xlws.FILTER(dataSummaryBS,(dataSummaryBSSummarys=$D62)*(dataSummaryBSSections=$E62)),endDates=BH$8)),0)</f>
        <v>55349.5</v>
      </c>
      <c r="BI62" s="184" cm="1">
        <f t="array" ref="BI62">IFERROR(SUM(_xlfn._xlws.FILTER(_xlfn._xlws.FILTER(dataSummaryBS,(dataSummaryBSSummarys=$D62)*(dataSummaryBSSections=$E62)),endDates=BI$8)),0)</f>
        <v>55349.5</v>
      </c>
      <c r="BJ62" s="184" cm="1">
        <f t="array" ref="BJ62">IFERROR(SUM(_xlfn._xlws.FILTER(_xlfn._xlws.FILTER(dataSummaryBS,(dataSummaryBSSummarys=$D62)*(dataSummaryBSSections=$E62)),endDates=BJ$8)),0)</f>
        <v>55349.5</v>
      </c>
      <c r="BK62" s="184" cm="1">
        <f t="array" ref="BK62">IFERROR(SUM(_xlfn._xlws.FILTER(_xlfn._xlws.FILTER(dataSummaryBS,(dataSummaryBSSummarys=$D62)*(dataSummaryBSSections=$E62)),endDates=BK$8)),0)</f>
        <v>55349.5</v>
      </c>
      <c r="BL62" s="184" cm="1">
        <f t="array" ref="BL62">IFERROR(SUM(_xlfn._xlws.FILTER(_xlfn._xlws.FILTER(dataSummaryBS,(dataSummaryBSSummarys=$D62)*(dataSummaryBSSections=$E62)),endDates=BL$8)),0)</f>
        <v>55349.5</v>
      </c>
      <c r="BM62" s="184" cm="1">
        <f t="array" ref="BM62">IFERROR(SUM(_xlfn._xlws.FILTER(_xlfn._xlws.FILTER(dataSummaryBS,(dataSummaryBSSummarys=$D62)*(dataSummaryBSSections=$E62)),endDates=BM$8)),0)</f>
        <v>55349.5</v>
      </c>
      <c r="BN62" s="184" cm="1">
        <f t="array" ref="BN62">IFERROR(SUM(_xlfn._xlws.FILTER(_xlfn._xlws.FILTER(dataSummaryBS,(dataSummaryBSSummarys=$D62)*(dataSummaryBSSections=$E62)),endDates=BN$8)),0)</f>
        <v>55349.5</v>
      </c>
      <c r="BO62" s="184" cm="1">
        <f t="array" ref="BO62">IFERROR(SUM(_xlfn._xlws.FILTER(_xlfn._xlws.FILTER(dataSummaryBS,(dataSummaryBSSummarys=$D62)*(dataSummaryBSSections=$E62)),endDates=BO$8)),0)</f>
        <v>56349.5</v>
      </c>
      <c r="BP62" s="184" cm="1">
        <f t="array" ref="BP62">IFERROR(SUM(_xlfn._xlws.FILTER(_xlfn._xlws.FILTER(dataSummaryBS,(dataSummaryBSSummarys=$D62)*(dataSummaryBSSections=$E62)),endDates=BP$8)),0)</f>
        <v>56349.5</v>
      </c>
      <c r="BQ62" s="184" cm="1">
        <f t="array" ref="BQ62">IFERROR(SUM(_xlfn._xlws.FILTER(_xlfn._xlws.FILTER(dataSummaryBS,(dataSummaryBSSummarys=$D62)*(dataSummaryBSSections=$E62)),endDates=BQ$8)),0)</f>
        <v>56849.5</v>
      </c>
      <c r="BR62" s="184" cm="1">
        <f t="array" ref="BR62">IFERROR(SUM(_xlfn._xlws.FILTER(_xlfn._xlws.FILTER(dataSummaryBS,(dataSummaryBSSummarys=$D62)*(dataSummaryBSSections=$E62)),endDates=BR$8)),0)</f>
        <v>56849.5</v>
      </c>
      <c r="BS62" s="184" cm="1">
        <f t="array" ref="BS62">IFERROR(SUM(_xlfn._xlws.FILTER(_xlfn._xlws.FILTER(dataSummaryBS,(dataSummaryBSSummarys=$D62)*(dataSummaryBSSections=$E62)),endDates=BS$8)),0)</f>
        <v>56849.5</v>
      </c>
      <c r="BT62" s="184" cm="1">
        <f t="array" ref="BT62">IFERROR(SUM(_xlfn._xlws.FILTER(_xlfn._xlws.FILTER(dataSummaryBS,(dataSummaryBSSummarys=$D62)*(dataSummaryBSSections=$E62)),endDates=BT$8)),0)</f>
        <v>57849.5</v>
      </c>
      <c r="BU62" s="184" cm="1">
        <f t="array" ref="BU62">IFERROR(SUM(_xlfn._xlws.FILTER(_xlfn._xlws.FILTER(dataSummaryBS,(dataSummaryBSSummarys=$D62)*(dataSummaryBSSections=$E62)),endDates=BU$8)),0)</f>
        <v>121304.0832818182</v>
      </c>
      <c r="BV62" s="184" cm="1">
        <f t="array" ref="BV62">IFERROR(SUM(_xlfn._xlws.FILTER(_xlfn._xlws.FILTER(dataSummaryBS,(dataSummaryBSSummarys=$D62)*(dataSummaryBSSections=$E62)),endDates=BV$8)),0)</f>
        <v>102363.10724678721</v>
      </c>
      <c r="BW62" s="184" cm="1">
        <f t="array" ref="BW62">IFERROR(SUM(_xlfn._xlws.FILTER(_xlfn._xlws.FILTER(dataSummaryBS,(dataSummaryBSSummarys=$D62)*(dataSummaryBSSections=$E62)),endDates=BW$8)),0)</f>
        <v>90043.935255415185</v>
      </c>
      <c r="BX62" s="184" cm="1">
        <f t="array" ref="BX62">IFERROR(SUM(_xlfn._xlws.FILTER(_xlfn._xlws.FILTER(dataSummaryBS,(dataSummaryBSSummarys=$D62)*(dataSummaryBSSections=$E62)),endDates=BX$8)),0)</f>
        <v>91395.486110663274</v>
      </c>
      <c r="BY62" s="184" cm="1">
        <f t="array" ref="BY62">IFERROR(SUM(_xlfn._xlws.FILTER(_xlfn._xlws.FILTER(dataSummaryBS,(dataSummaryBSSummarys=$D62)*(dataSummaryBSSections=$E62)),endDates=BY$8)),0)</f>
        <v>99930.048159655038</v>
      </c>
      <c r="BZ62" s="184" cm="1">
        <f t="array" ref="BZ62">IFERROR(SUM(_xlfn._xlws.FILTER(_xlfn._xlws.FILTER(dataSummaryBS,(dataSummaryBSSummarys=$D62)*(dataSummaryBSSections=$E62)),endDates=BZ$8)),0)</f>
        <v>100780.38846379826</v>
      </c>
      <c r="CA62" s="184" cm="1">
        <f t="array" ref="CA62">IFERROR(SUM(_xlfn._xlws.FILTER(_xlfn._xlws.FILTER(dataSummaryBS,(dataSummaryBSSummarys=$D62)*(dataSummaryBSSections=$E62)),endDates=CA$8)),0)</f>
        <v>102259.81084503142</v>
      </c>
      <c r="CB62" s="184" cm="1">
        <f t="array" ref="CB62">IFERROR(SUM(_xlfn._xlws.FILTER(_xlfn._xlws.FILTER(dataSummaryBS,(dataSummaryBSSummarys=$D62)*(dataSummaryBSSections=$E62)),endDates=CB$8)),0)</f>
        <v>104502.91827537332</v>
      </c>
      <c r="CC62" s="184" cm="1">
        <f t="array" ref="CC62">IFERROR(SUM(_xlfn._xlws.FILTER(_xlfn._xlws.FILTER(dataSummaryBS,(dataSummaryBSSummarys=$D62)*(dataSummaryBSSections=$E62)),endDates=CC$8)),0)</f>
        <v>105586.65220098443</v>
      </c>
      <c r="CD62" s="184" cm="1">
        <f t="array" ref="CD62">IFERROR(SUM(_xlfn._xlws.FILTER(_xlfn._xlws.FILTER(dataSummaryBS,(dataSummaryBSSummarys=$D62)*(dataSummaryBSSections=$E62)),endDates=CD$8)),0)</f>
        <v>106593.6066991484</v>
      </c>
      <c r="CE62" s="184" cm="1">
        <f t="array" ref="CE62">IFERROR(SUM(_xlfn._xlws.FILTER(_xlfn._xlws.FILTER(dataSummaryBS,(dataSummaryBSSummarys=$D62)*(dataSummaryBSSections=$E62)),endDates=CE$8)),0)</f>
        <v>107539.42272510206</v>
      </c>
      <c r="CF62" s="184" cm="1">
        <f t="array" ref="CF62">IFERROR(SUM(_xlfn._xlws.FILTER(_xlfn._xlws.FILTER(dataSummaryBS,(dataSummaryBSSummarys=$D62)*(dataSummaryBSSections=$E62)),endDates=CF$8)),0)</f>
        <v>108449.63869410295</v>
      </c>
      <c r="CG62" s="184" cm="1">
        <f t="array" ref="CG62">IFERROR(SUM(_xlfn._xlws.FILTER(_xlfn._xlws.FILTER(dataSummaryBS,(dataSummaryBSSummarys=$D62)*(dataSummaryBSSections=$E62)),endDates=CG$8)),0)</f>
        <v>113881.40120151216</v>
      </c>
    </row>
    <row r="63" spans="1:85" outlineLevel="1">
      <c r="C63" s="331" t="s">
        <v>143</v>
      </c>
      <c r="D63" s="163" t="str">
        <f t="shared" ref="D63:D65" si="54">C63</f>
        <v>Current Liabilities</v>
      </c>
      <c r="E63" s="150" t="s">
        <v>141</v>
      </c>
      <c r="F63" s="163"/>
      <c r="G63" s="163"/>
      <c r="J63" s="184" cm="1">
        <f t="array" ref="J63">IFERROR(SUM(_xlfn._xlws.FILTER(_xlfn._xlws.FILTER(dataSummaryBS,(dataSummaryBSSummarys=$D63)*(dataSummaryBSSections=$E63)),endDates=J$8)),0)</f>
        <v>-4942</v>
      </c>
      <c r="K63" s="184" cm="1">
        <f t="array" ref="K63">IFERROR(SUM(_xlfn._xlws.FILTER(_xlfn._xlws.FILTER(dataSummaryBS,(dataSummaryBSSummarys=$D63)*(dataSummaryBSSections=$E63)),endDates=K$8)),0)</f>
        <v>-4942</v>
      </c>
      <c r="N63" s="184" cm="1">
        <f t="array" ref="N63">IFERROR(SUM(_xlfn._xlws.FILTER(_xlfn._xlws.FILTER(dataSummaryBS,(dataSummaryBSSummarys=$D63)*(dataSummaryBSSections=$E63)),endDates=N$8)),0)</f>
        <v>-4942</v>
      </c>
      <c r="O63" s="184" cm="1">
        <f t="array" ref="O63">IFERROR(SUM(_xlfn._xlws.FILTER(_xlfn._xlws.FILTER(dataSummaryBS,(dataSummaryBSSummarys=$D63)*(dataSummaryBSSections=$E63)),endDates=O$8)),0)</f>
        <v>-4942</v>
      </c>
      <c r="P63" s="184" cm="1">
        <f t="array" ref="P63">IFERROR(SUM(_xlfn._xlws.FILTER(_xlfn._xlws.FILTER(dataSummaryBS,(dataSummaryBSSummarys=$D63)*(dataSummaryBSSections=$E63)),endDates=P$8)),0)</f>
        <v>-4942</v>
      </c>
      <c r="Q63" s="184" cm="1">
        <f t="array" ref="Q63">IFERROR(SUM(_xlfn._xlws.FILTER(_xlfn._xlws.FILTER(dataSummaryBS,(dataSummaryBSSummarys=$D63)*(dataSummaryBSSections=$E63)),endDates=Q$8)),0)</f>
        <v>-4942</v>
      </c>
      <c r="T63" s="184" cm="1">
        <f t="array" ref="T63">IFERROR(SUM(_xlfn._xlws.FILTER(_xlfn._xlws.FILTER(dataSummaryBS,(dataSummaryBSSummarys=$D63)*(dataSummaryBSSections=$E63)),endDates=T$8)),0)</f>
        <v>584</v>
      </c>
      <c r="U63" s="184" cm="1">
        <f t="array" ref="U63">IFERROR(SUM(_xlfn._xlws.FILTER(_xlfn._xlws.FILTER(dataSummaryBS,(dataSummaryBSSummarys=$D63)*(dataSummaryBSSections=$E63)),endDates=U$8)),0)</f>
        <v>-1688.5</v>
      </c>
      <c r="V63" s="184" cm="1">
        <f t="array" ref="V63">IFERROR(SUM(_xlfn._xlws.FILTER(_xlfn._xlws.FILTER(dataSummaryBS,(dataSummaryBSSummarys=$D63)*(dataSummaryBSSections=$E63)),endDates=V$8)),0)</f>
        <v>323</v>
      </c>
      <c r="W63" s="184" cm="1">
        <f t="array" ref="W63">IFERROR(SUM(_xlfn._xlws.FILTER(_xlfn._xlws.FILTER(dataSummaryBS,(dataSummaryBSSummarys=$D63)*(dataSummaryBSSections=$E63)),endDates=W$8)),0)</f>
        <v>-4942</v>
      </c>
      <c r="X63" s="184" cm="1">
        <f t="array" ref="X63">IFERROR(SUM(_xlfn._xlws.FILTER(_xlfn._xlws.FILTER(dataSummaryBS,(dataSummaryBSSummarys=$D63)*(dataSummaryBSSections=$E63)),endDates=X$8)),0)</f>
        <v>-4942</v>
      </c>
      <c r="Y63" s="184" cm="1">
        <f t="array" ref="Y63">IFERROR(SUM(_xlfn._xlws.FILTER(_xlfn._xlws.FILTER(dataSummaryBS,(dataSummaryBSSummarys=$D63)*(dataSummaryBSSections=$E63)),endDates=Y$8)),0)</f>
        <v>-4942</v>
      </c>
      <c r="Z63" s="184" cm="1">
        <f t="array" ref="Z63">IFERROR(SUM(_xlfn._xlws.FILTER(_xlfn._xlws.FILTER(dataSummaryBS,(dataSummaryBSSummarys=$D63)*(dataSummaryBSSections=$E63)),endDates=Z$8)),0)</f>
        <v>-4942</v>
      </c>
      <c r="AA63" s="184" cm="1">
        <f t="array" ref="AA63">IFERROR(SUM(_xlfn._xlws.FILTER(_xlfn._xlws.FILTER(dataSummaryBS,(dataSummaryBSSummarys=$D63)*(dataSummaryBSSections=$E63)),endDates=AA$8)),0)</f>
        <v>-4942</v>
      </c>
      <c r="AB63" s="184" cm="1">
        <f t="array" ref="AB63">IFERROR(SUM(_xlfn._xlws.FILTER(_xlfn._xlws.FILTER(dataSummaryBS,(dataSummaryBSSummarys=$D63)*(dataSummaryBSSections=$E63)),endDates=AB$8)),0)</f>
        <v>-4942</v>
      </c>
      <c r="AC63" s="184" cm="1">
        <f t="array" ref="AC63">IFERROR(SUM(_xlfn._xlws.FILTER(_xlfn._xlws.FILTER(dataSummaryBS,(dataSummaryBSSummarys=$D63)*(dataSummaryBSSections=$E63)),endDates=AC$8)),0)</f>
        <v>-4942</v>
      </c>
      <c r="AD63" s="184" cm="1">
        <f t="array" ref="AD63">IFERROR(SUM(_xlfn._xlws.FILTER(_xlfn._xlws.FILTER(dataSummaryBS,(dataSummaryBSSummarys=$D63)*(dataSummaryBSSections=$E63)),endDates=AD$8)),0)</f>
        <v>-4942</v>
      </c>
      <c r="AE63" s="184" cm="1">
        <f t="array" ref="AE63">IFERROR(SUM(_xlfn._xlws.FILTER(_xlfn._xlws.FILTER(dataSummaryBS,(dataSummaryBSSummarys=$D63)*(dataSummaryBSSections=$E63)),endDates=AE$8)),0)</f>
        <v>-4942</v>
      </c>
      <c r="AF63" s="184" cm="1">
        <f t="array" ref="AF63">IFERROR(SUM(_xlfn._xlws.FILTER(_xlfn._xlws.FILTER(dataSummaryBS,(dataSummaryBSSummarys=$D63)*(dataSummaryBSSections=$E63)),endDates=AF$8)),0)</f>
        <v>-4942</v>
      </c>
      <c r="AG63" s="184" cm="1">
        <f t="array" ref="AG63">IFERROR(SUM(_xlfn._xlws.FILTER(_xlfn._xlws.FILTER(dataSummaryBS,(dataSummaryBSSummarys=$D63)*(dataSummaryBSSections=$E63)),endDates=AG$8)),0)</f>
        <v>-4942</v>
      </c>
      <c r="AH63" s="184" cm="1">
        <f t="array" ref="AH63">IFERROR(SUM(_xlfn._xlws.FILTER(_xlfn._xlws.FILTER(dataSummaryBS,(dataSummaryBSSummarys=$D63)*(dataSummaryBSSections=$E63)),endDates=AH$8)),0)</f>
        <v>-4942</v>
      </c>
      <c r="AI63" s="184" cm="1">
        <f t="array" ref="AI63">IFERROR(SUM(_xlfn._xlws.FILTER(_xlfn._xlws.FILTER(dataSummaryBS,(dataSummaryBSSummarys=$D63)*(dataSummaryBSSections=$E63)),endDates=AI$8)),0)</f>
        <v>-4942</v>
      </c>
      <c r="AJ63" s="184"/>
      <c r="AL63" s="184" cm="1">
        <f t="array" ref="AL63">IFERROR(SUM(_xlfn._xlws.FILTER(_xlfn._xlws.FILTER(dataSummaryBS,(dataSummaryBSSummarys=$D63)*(dataSummaryBSSections=$E63)),endDates=AL$8)),0)</f>
        <v>4496</v>
      </c>
      <c r="AM63" s="184" cm="1">
        <f t="array" ref="AM63">IFERROR(SUM(_xlfn._xlws.FILTER(_xlfn._xlws.FILTER(dataSummaryBS,(dataSummaryBSSummarys=$D63)*(dataSummaryBSSections=$E63)),endDates=AM$8)),0)</f>
        <v>4086</v>
      </c>
      <c r="AN63" s="184" cm="1">
        <f t="array" ref="AN63">IFERROR(SUM(_xlfn._xlws.FILTER(_xlfn._xlws.FILTER(dataSummaryBS,(dataSummaryBSSummarys=$D63)*(dataSummaryBSSections=$E63)),endDates=AN$8)),0)</f>
        <v>584</v>
      </c>
      <c r="AO63" s="184" cm="1">
        <f t="array" ref="AO63">IFERROR(SUM(_xlfn._xlws.FILTER(_xlfn._xlws.FILTER(dataSummaryBS,(dataSummaryBSSummarys=$D63)*(dataSummaryBSSections=$E63)),endDates=AO$8)),0)</f>
        <v>2058.5</v>
      </c>
      <c r="AP63" s="184" cm="1">
        <f t="array" ref="AP63">IFERROR(SUM(_xlfn._xlws.FILTER(_xlfn._xlws.FILTER(dataSummaryBS,(dataSummaryBSSummarys=$D63)*(dataSummaryBSSections=$E63)),endDates=AP$8)),0)</f>
        <v>1240.5</v>
      </c>
      <c r="AQ63" s="184" cm="1">
        <f t="array" ref="AQ63">IFERROR(SUM(_xlfn._xlws.FILTER(_xlfn._xlws.FILTER(dataSummaryBS,(dataSummaryBSSummarys=$D63)*(dataSummaryBSSections=$E63)),endDates=AQ$8)),0)</f>
        <v>-1688.5</v>
      </c>
      <c r="AR63" s="184" cm="1">
        <f t="array" ref="AR63">IFERROR(SUM(_xlfn._xlws.FILTER(_xlfn._xlws.FILTER(dataSummaryBS,(dataSummaryBSSummarys=$D63)*(dataSummaryBSSections=$E63)),endDates=AR$8)),0)</f>
        <v>-859.5</v>
      </c>
      <c r="AS63" s="184" cm="1">
        <f t="array" ref="AS63">IFERROR(SUM(_xlfn._xlws.FILTER(_xlfn._xlws.FILTER(dataSummaryBS,(dataSummaryBSSummarys=$D63)*(dataSummaryBSSections=$E63)),endDates=AS$8)),0)</f>
        <v>-1610</v>
      </c>
      <c r="AT63" s="184" cm="1">
        <f t="array" ref="AT63">IFERROR(SUM(_xlfn._xlws.FILTER(_xlfn._xlws.FILTER(dataSummaryBS,(dataSummaryBSSummarys=$D63)*(dataSummaryBSSections=$E63)),endDates=AT$8)),0)</f>
        <v>323</v>
      </c>
      <c r="AU63" s="184" cm="1">
        <f t="array" ref="AU63">IFERROR(SUM(_xlfn._xlws.FILTER(_xlfn._xlws.FILTER(dataSummaryBS,(dataSummaryBSSummarys=$D63)*(dataSummaryBSSections=$E63)),endDates=AU$8)),0)</f>
        <v>-4942</v>
      </c>
      <c r="AV63" s="184" cm="1">
        <f t="array" ref="AV63">IFERROR(SUM(_xlfn._xlws.FILTER(_xlfn._xlws.FILTER(dataSummaryBS,(dataSummaryBSSummarys=$D63)*(dataSummaryBSSections=$E63)),endDates=AV$8)),0)</f>
        <v>-4942</v>
      </c>
      <c r="AW63" s="184" cm="1">
        <f t="array" ref="AW63">IFERROR(SUM(_xlfn._xlws.FILTER(_xlfn._xlws.FILTER(dataSummaryBS,(dataSummaryBSSummarys=$D63)*(dataSummaryBSSections=$E63)),endDates=AW$8)),0)</f>
        <v>-4942</v>
      </c>
      <c r="AX63" s="184" cm="1">
        <f t="array" ref="AX63">IFERROR(SUM(_xlfn._xlws.FILTER(_xlfn._xlws.FILTER(dataSummaryBS,(dataSummaryBSSummarys=$D63)*(dataSummaryBSSections=$E63)),endDates=AX$8)),0)</f>
        <v>-4942</v>
      </c>
      <c r="AY63" s="184" cm="1">
        <f t="array" ref="AY63">IFERROR(SUM(_xlfn._xlws.FILTER(_xlfn._xlws.FILTER(dataSummaryBS,(dataSummaryBSSummarys=$D63)*(dataSummaryBSSections=$E63)),endDates=AY$8)),0)</f>
        <v>-4942</v>
      </c>
      <c r="AZ63" s="184" cm="1">
        <f t="array" ref="AZ63">IFERROR(SUM(_xlfn._xlws.FILTER(_xlfn._xlws.FILTER(dataSummaryBS,(dataSummaryBSSummarys=$D63)*(dataSummaryBSSections=$E63)),endDates=AZ$8)),0)</f>
        <v>-4942</v>
      </c>
      <c r="BA63" s="184" cm="1">
        <f t="array" ref="BA63">IFERROR(SUM(_xlfn._xlws.FILTER(_xlfn._xlws.FILTER(dataSummaryBS,(dataSummaryBSSummarys=$D63)*(dataSummaryBSSections=$E63)),endDates=BA$8)),0)</f>
        <v>-4942</v>
      </c>
      <c r="BB63" s="184" cm="1">
        <f t="array" ref="BB63">IFERROR(SUM(_xlfn._xlws.FILTER(_xlfn._xlws.FILTER(dataSummaryBS,(dataSummaryBSSummarys=$D63)*(dataSummaryBSSections=$E63)),endDates=BB$8)),0)</f>
        <v>-4942</v>
      </c>
      <c r="BC63" s="184" cm="1">
        <f t="array" ref="BC63">IFERROR(SUM(_xlfn._xlws.FILTER(_xlfn._xlws.FILTER(dataSummaryBS,(dataSummaryBSSummarys=$D63)*(dataSummaryBSSections=$E63)),endDates=BC$8)),0)</f>
        <v>-4942</v>
      </c>
      <c r="BD63" s="184" cm="1">
        <f t="array" ref="BD63">IFERROR(SUM(_xlfn._xlws.FILTER(_xlfn._xlws.FILTER(dataSummaryBS,(dataSummaryBSSummarys=$D63)*(dataSummaryBSSections=$E63)),endDates=BD$8)),0)</f>
        <v>-4942</v>
      </c>
      <c r="BE63" s="184" cm="1">
        <f t="array" ref="BE63">IFERROR(SUM(_xlfn._xlws.FILTER(_xlfn._xlws.FILTER(dataSummaryBS,(dataSummaryBSSummarys=$D63)*(dataSummaryBSSections=$E63)),endDates=BE$8)),0)</f>
        <v>-4942</v>
      </c>
      <c r="BF63" s="184" cm="1">
        <f t="array" ref="BF63">IFERROR(SUM(_xlfn._xlws.FILTER(_xlfn._xlws.FILTER(dataSummaryBS,(dataSummaryBSSummarys=$D63)*(dataSummaryBSSections=$E63)),endDates=BF$8)),0)</f>
        <v>-4942</v>
      </c>
      <c r="BG63" s="184" cm="1">
        <f t="array" ref="BG63">IFERROR(SUM(_xlfn._xlws.FILTER(_xlfn._xlws.FILTER(dataSummaryBS,(dataSummaryBSSummarys=$D63)*(dataSummaryBSSections=$E63)),endDates=BG$8)),0)</f>
        <v>-4942</v>
      </c>
      <c r="BH63" s="184" cm="1">
        <f t="array" ref="BH63">IFERROR(SUM(_xlfn._xlws.FILTER(_xlfn._xlws.FILTER(dataSummaryBS,(dataSummaryBSSummarys=$D63)*(dataSummaryBSSections=$E63)),endDates=BH$8)),0)</f>
        <v>-4942</v>
      </c>
      <c r="BI63" s="184" cm="1">
        <f t="array" ref="BI63">IFERROR(SUM(_xlfn._xlws.FILTER(_xlfn._xlws.FILTER(dataSummaryBS,(dataSummaryBSSummarys=$D63)*(dataSummaryBSSections=$E63)),endDates=BI$8)),0)</f>
        <v>-4942</v>
      </c>
      <c r="BJ63" s="184" cm="1">
        <f t="array" ref="BJ63">IFERROR(SUM(_xlfn._xlws.FILTER(_xlfn._xlws.FILTER(dataSummaryBS,(dataSummaryBSSummarys=$D63)*(dataSummaryBSSections=$E63)),endDates=BJ$8)),0)</f>
        <v>-4942</v>
      </c>
      <c r="BK63" s="184" cm="1">
        <f t="array" ref="BK63">IFERROR(SUM(_xlfn._xlws.FILTER(_xlfn._xlws.FILTER(dataSummaryBS,(dataSummaryBSSummarys=$D63)*(dataSummaryBSSections=$E63)),endDates=BK$8)),0)</f>
        <v>-4942</v>
      </c>
      <c r="BL63" s="184" cm="1">
        <f t="array" ref="BL63">IFERROR(SUM(_xlfn._xlws.FILTER(_xlfn._xlws.FILTER(dataSummaryBS,(dataSummaryBSSummarys=$D63)*(dataSummaryBSSections=$E63)),endDates=BL$8)),0)</f>
        <v>-4942</v>
      </c>
      <c r="BM63" s="184" cm="1">
        <f t="array" ref="BM63">IFERROR(SUM(_xlfn._xlws.FILTER(_xlfn._xlws.FILTER(dataSummaryBS,(dataSummaryBSSummarys=$D63)*(dataSummaryBSSections=$E63)),endDates=BM$8)),0)</f>
        <v>-4942</v>
      </c>
      <c r="BN63" s="184" cm="1">
        <f t="array" ref="BN63">IFERROR(SUM(_xlfn._xlws.FILTER(_xlfn._xlws.FILTER(dataSummaryBS,(dataSummaryBSSummarys=$D63)*(dataSummaryBSSections=$E63)),endDates=BN$8)),0)</f>
        <v>-4942</v>
      </c>
      <c r="BO63" s="184" cm="1">
        <f t="array" ref="BO63">IFERROR(SUM(_xlfn._xlws.FILTER(_xlfn._xlws.FILTER(dataSummaryBS,(dataSummaryBSSummarys=$D63)*(dataSummaryBSSections=$E63)),endDates=BO$8)),0)</f>
        <v>-4942</v>
      </c>
      <c r="BP63" s="184" cm="1">
        <f t="array" ref="BP63">IFERROR(SUM(_xlfn._xlws.FILTER(_xlfn._xlws.FILTER(dataSummaryBS,(dataSummaryBSSummarys=$D63)*(dataSummaryBSSections=$E63)),endDates=BP$8)),0)</f>
        <v>-4942</v>
      </c>
      <c r="BQ63" s="184" cm="1">
        <f t="array" ref="BQ63">IFERROR(SUM(_xlfn._xlws.FILTER(_xlfn._xlws.FILTER(dataSummaryBS,(dataSummaryBSSummarys=$D63)*(dataSummaryBSSections=$E63)),endDates=BQ$8)),0)</f>
        <v>-4942</v>
      </c>
      <c r="BR63" s="184" cm="1">
        <f t="array" ref="BR63">IFERROR(SUM(_xlfn._xlws.FILTER(_xlfn._xlws.FILTER(dataSummaryBS,(dataSummaryBSSummarys=$D63)*(dataSummaryBSSections=$E63)),endDates=BR$8)),0)</f>
        <v>-4942</v>
      </c>
      <c r="BS63" s="184" cm="1">
        <f t="array" ref="BS63">IFERROR(SUM(_xlfn._xlws.FILTER(_xlfn._xlws.FILTER(dataSummaryBS,(dataSummaryBSSummarys=$D63)*(dataSummaryBSSections=$E63)),endDates=BS$8)),0)</f>
        <v>-4942</v>
      </c>
      <c r="BT63" s="184" cm="1">
        <f t="array" ref="BT63">IFERROR(SUM(_xlfn._xlws.FILTER(_xlfn._xlws.FILTER(dataSummaryBS,(dataSummaryBSSummarys=$D63)*(dataSummaryBSSections=$E63)),endDates=BT$8)),0)</f>
        <v>-4942</v>
      </c>
      <c r="BU63" s="184" cm="1">
        <f t="array" ref="BU63">IFERROR(SUM(_xlfn._xlws.FILTER(_xlfn._xlws.FILTER(dataSummaryBS,(dataSummaryBSSummarys=$D63)*(dataSummaryBSSections=$E63)),endDates=BU$8)),0)</f>
        <v>-4942</v>
      </c>
      <c r="BV63" s="184" cm="1">
        <f t="array" ref="BV63">IFERROR(SUM(_xlfn._xlws.FILTER(_xlfn._xlws.FILTER(dataSummaryBS,(dataSummaryBSSummarys=$D63)*(dataSummaryBSSections=$E63)),endDates=BV$8)),0)</f>
        <v>-4942</v>
      </c>
      <c r="BW63" s="184" cm="1">
        <f t="array" ref="BW63">IFERROR(SUM(_xlfn._xlws.FILTER(_xlfn._xlws.FILTER(dataSummaryBS,(dataSummaryBSSummarys=$D63)*(dataSummaryBSSections=$E63)),endDates=BW$8)),0)</f>
        <v>-4942</v>
      </c>
      <c r="BX63" s="184" cm="1">
        <f t="array" ref="BX63">IFERROR(SUM(_xlfn._xlws.FILTER(_xlfn._xlws.FILTER(dataSummaryBS,(dataSummaryBSSummarys=$D63)*(dataSummaryBSSections=$E63)),endDates=BX$8)),0)</f>
        <v>-4942</v>
      </c>
      <c r="BY63" s="184" cm="1">
        <f t="array" ref="BY63">IFERROR(SUM(_xlfn._xlws.FILTER(_xlfn._xlws.FILTER(dataSummaryBS,(dataSummaryBSSummarys=$D63)*(dataSummaryBSSections=$E63)),endDates=BY$8)),0)</f>
        <v>-4942</v>
      </c>
      <c r="BZ63" s="184" cm="1">
        <f t="array" ref="BZ63">IFERROR(SUM(_xlfn._xlws.FILTER(_xlfn._xlws.FILTER(dataSummaryBS,(dataSummaryBSSummarys=$D63)*(dataSummaryBSSections=$E63)),endDates=BZ$8)),0)</f>
        <v>-4942</v>
      </c>
      <c r="CA63" s="184" cm="1">
        <f t="array" ref="CA63">IFERROR(SUM(_xlfn._xlws.FILTER(_xlfn._xlws.FILTER(dataSummaryBS,(dataSummaryBSSummarys=$D63)*(dataSummaryBSSections=$E63)),endDates=CA$8)),0)</f>
        <v>-4942</v>
      </c>
      <c r="CB63" s="184" cm="1">
        <f t="array" ref="CB63">IFERROR(SUM(_xlfn._xlws.FILTER(_xlfn._xlws.FILTER(dataSummaryBS,(dataSummaryBSSummarys=$D63)*(dataSummaryBSSections=$E63)),endDates=CB$8)),0)</f>
        <v>-4942</v>
      </c>
      <c r="CC63" s="184" cm="1">
        <f t="array" ref="CC63">IFERROR(SUM(_xlfn._xlws.FILTER(_xlfn._xlws.FILTER(dataSummaryBS,(dataSummaryBSSummarys=$D63)*(dataSummaryBSSections=$E63)),endDates=CC$8)),0)</f>
        <v>-4942</v>
      </c>
      <c r="CD63" s="184" cm="1">
        <f t="array" ref="CD63">IFERROR(SUM(_xlfn._xlws.FILTER(_xlfn._xlws.FILTER(dataSummaryBS,(dataSummaryBSSummarys=$D63)*(dataSummaryBSSections=$E63)),endDates=CD$8)),0)</f>
        <v>-4942</v>
      </c>
      <c r="CE63" s="184" cm="1">
        <f t="array" ref="CE63">IFERROR(SUM(_xlfn._xlws.FILTER(_xlfn._xlws.FILTER(dataSummaryBS,(dataSummaryBSSummarys=$D63)*(dataSummaryBSSections=$E63)),endDates=CE$8)),0)</f>
        <v>-4942</v>
      </c>
      <c r="CF63" s="184" cm="1">
        <f t="array" ref="CF63">IFERROR(SUM(_xlfn._xlws.FILTER(_xlfn._xlws.FILTER(dataSummaryBS,(dataSummaryBSSummarys=$D63)*(dataSummaryBSSections=$E63)),endDates=CF$8)),0)</f>
        <v>-4942</v>
      </c>
      <c r="CG63" s="184" cm="1">
        <f t="array" ref="CG63">IFERROR(SUM(_xlfn._xlws.FILTER(_xlfn._xlws.FILTER(dataSummaryBS,(dataSummaryBSSummarys=$D63)*(dataSummaryBSSections=$E63)),endDates=CG$8)),0)</f>
        <v>-4942</v>
      </c>
    </row>
    <row r="64" spans="1:85" outlineLevel="1">
      <c r="C64" s="331" t="s">
        <v>144</v>
      </c>
      <c r="D64" s="163" t="str">
        <f t="shared" si="54"/>
        <v>Debt</v>
      </c>
      <c r="E64" s="150" t="s">
        <v>141</v>
      </c>
      <c r="F64" s="163"/>
      <c r="G64" s="163"/>
      <c r="J64" s="184" cm="1">
        <f t="array" ref="J64">IFERROR(SUM(_xlfn._xlws.FILTER(_xlfn._xlws.FILTER(dataSummaryBS,(dataSummaryBSSummarys=$D64)*(dataSummaryBSSections=$E64)),endDates=J$8)),0)</f>
        <v>1530000</v>
      </c>
      <c r="K64" s="184" cm="1">
        <f t="array" ref="K64">IFERROR(SUM(_xlfn._xlws.FILTER(_xlfn._xlws.FILTER(dataSummaryBS,(dataSummaryBSSummarys=$D64)*(dataSummaryBSSections=$E64)),endDates=K$8)),0)</f>
        <v>1530000</v>
      </c>
      <c r="N64" s="184" cm="1">
        <f t="array" ref="N64">IFERROR(SUM(_xlfn._xlws.FILTER(_xlfn._xlws.FILTER(dataSummaryBS,(dataSummaryBSSummarys=$D64)*(dataSummaryBSSections=$E64)),endDates=N$8)),0)</f>
        <v>1530000</v>
      </c>
      <c r="O64" s="184" cm="1">
        <f t="array" ref="O64">IFERROR(SUM(_xlfn._xlws.FILTER(_xlfn._xlws.FILTER(dataSummaryBS,(dataSummaryBSSummarys=$D64)*(dataSummaryBSSections=$E64)),endDates=O$8)),0)</f>
        <v>1530000</v>
      </c>
      <c r="P64" s="184" cm="1">
        <f t="array" ref="P64">IFERROR(SUM(_xlfn._xlws.FILTER(_xlfn._xlws.FILTER(dataSummaryBS,(dataSummaryBSSummarys=$D64)*(dataSummaryBSSections=$E64)),endDates=P$8)),0)</f>
        <v>1530000</v>
      </c>
      <c r="Q64" s="184" cm="1">
        <f t="array" ref="Q64">IFERROR(SUM(_xlfn._xlws.FILTER(_xlfn._xlws.FILTER(dataSummaryBS,(dataSummaryBSSummarys=$D64)*(dataSummaryBSSections=$E64)),endDates=Q$8)),0)</f>
        <v>1530000</v>
      </c>
      <c r="T64" s="184" cm="1">
        <f t="array" ref="T64">IFERROR(SUM(_xlfn._xlws.FILTER(_xlfn._xlws.FILTER(dataSummaryBS,(dataSummaryBSSummarys=$D64)*(dataSummaryBSSections=$E64)),endDates=T$8)),0)</f>
        <v>507500</v>
      </c>
      <c r="U64" s="184" cm="1">
        <f t="array" ref="U64">IFERROR(SUM(_xlfn._xlws.FILTER(_xlfn._xlws.FILTER(dataSummaryBS,(dataSummaryBSSummarys=$D64)*(dataSummaryBSSections=$E64)),endDates=U$8)),0)</f>
        <v>515000</v>
      </c>
      <c r="V64" s="184" cm="1">
        <f t="array" ref="V64">IFERROR(SUM(_xlfn._xlws.FILTER(_xlfn._xlws.FILTER(dataSummaryBS,(dataSummaryBSSummarys=$D64)*(dataSummaryBSSections=$E64)),endDates=V$8)),0)</f>
        <v>522500</v>
      </c>
      <c r="W64" s="184" cm="1">
        <f t="array" ref="W64">IFERROR(SUM(_xlfn._xlws.FILTER(_xlfn._xlws.FILTER(dataSummaryBS,(dataSummaryBSSummarys=$D64)*(dataSummaryBSSections=$E64)),endDates=W$8)),0)</f>
        <v>1530000</v>
      </c>
      <c r="X64" s="184" cm="1">
        <f t="array" ref="X64">IFERROR(SUM(_xlfn._xlws.FILTER(_xlfn._xlws.FILTER(dataSummaryBS,(dataSummaryBSSummarys=$D64)*(dataSummaryBSSections=$E64)),endDates=X$8)),0)</f>
        <v>1530000</v>
      </c>
      <c r="Y64" s="184" cm="1">
        <f t="array" ref="Y64">IFERROR(SUM(_xlfn._xlws.FILTER(_xlfn._xlws.FILTER(dataSummaryBS,(dataSummaryBSSummarys=$D64)*(dataSummaryBSSections=$E64)),endDates=Y$8)),0)</f>
        <v>1530000</v>
      </c>
      <c r="Z64" s="184" cm="1">
        <f t="array" ref="Z64">IFERROR(SUM(_xlfn._xlws.FILTER(_xlfn._xlws.FILTER(dataSummaryBS,(dataSummaryBSSummarys=$D64)*(dataSummaryBSSections=$E64)),endDates=Z$8)),0)</f>
        <v>1530000</v>
      </c>
      <c r="AA64" s="184" cm="1">
        <f t="array" ref="AA64">IFERROR(SUM(_xlfn._xlws.FILTER(_xlfn._xlws.FILTER(dataSummaryBS,(dataSummaryBSSummarys=$D64)*(dataSummaryBSSections=$E64)),endDates=AA$8)),0)</f>
        <v>1530000</v>
      </c>
      <c r="AB64" s="184" cm="1">
        <f t="array" ref="AB64">IFERROR(SUM(_xlfn._xlws.FILTER(_xlfn._xlws.FILTER(dataSummaryBS,(dataSummaryBSSummarys=$D64)*(dataSummaryBSSections=$E64)),endDates=AB$8)),0)</f>
        <v>1530000</v>
      </c>
      <c r="AC64" s="184" cm="1">
        <f t="array" ref="AC64">IFERROR(SUM(_xlfn._xlws.FILTER(_xlfn._xlws.FILTER(dataSummaryBS,(dataSummaryBSSummarys=$D64)*(dataSummaryBSSections=$E64)),endDates=AC$8)),0)</f>
        <v>1530000</v>
      </c>
      <c r="AD64" s="184" cm="1">
        <f t="array" ref="AD64">IFERROR(SUM(_xlfn._xlws.FILTER(_xlfn._xlws.FILTER(dataSummaryBS,(dataSummaryBSSummarys=$D64)*(dataSummaryBSSections=$E64)),endDates=AD$8)),0)</f>
        <v>1530000</v>
      </c>
      <c r="AE64" s="184" cm="1">
        <f t="array" ref="AE64">IFERROR(SUM(_xlfn._xlws.FILTER(_xlfn._xlws.FILTER(dataSummaryBS,(dataSummaryBSSummarys=$D64)*(dataSummaryBSSections=$E64)),endDates=AE$8)),0)</f>
        <v>1530000</v>
      </c>
      <c r="AF64" s="184" cm="1">
        <f t="array" ref="AF64">IFERROR(SUM(_xlfn._xlws.FILTER(_xlfn._xlws.FILTER(dataSummaryBS,(dataSummaryBSSummarys=$D64)*(dataSummaryBSSections=$E64)),endDates=AF$8)),0)</f>
        <v>1530000</v>
      </c>
      <c r="AG64" s="184" cm="1">
        <f t="array" ref="AG64">IFERROR(SUM(_xlfn._xlws.FILTER(_xlfn._xlws.FILTER(dataSummaryBS,(dataSummaryBSSummarys=$D64)*(dataSummaryBSSections=$E64)),endDates=AG$8)),0)</f>
        <v>1530000</v>
      </c>
      <c r="AH64" s="184" cm="1">
        <f t="array" ref="AH64">IFERROR(SUM(_xlfn._xlws.FILTER(_xlfn._xlws.FILTER(dataSummaryBS,(dataSummaryBSSummarys=$D64)*(dataSummaryBSSections=$E64)),endDates=AH$8)),0)</f>
        <v>1530000</v>
      </c>
      <c r="AI64" s="184" cm="1">
        <f t="array" ref="AI64">IFERROR(SUM(_xlfn._xlws.FILTER(_xlfn._xlws.FILTER(dataSummaryBS,(dataSummaryBSSummarys=$D64)*(dataSummaryBSSections=$E64)),endDates=AI$8)),0)</f>
        <v>1530000</v>
      </c>
      <c r="AJ64" s="184"/>
      <c r="AL64" s="184" cm="1">
        <f t="array" ref="AL64">IFERROR(SUM(_xlfn._xlws.FILTER(_xlfn._xlws.FILTER(dataSummaryBS,(dataSummaryBSSummarys=$D64)*(dataSummaryBSSections=$E64)),endDates=AL$8)),0)</f>
        <v>502500</v>
      </c>
      <c r="AM64" s="184" cm="1">
        <f t="array" ref="AM64">IFERROR(SUM(_xlfn._xlws.FILTER(_xlfn._xlws.FILTER(dataSummaryBS,(dataSummaryBSSummarys=$D64)*(dataSummaryBSSections=$E64)),endDates=AM$8)),0)</f>
        <v>505000</v>
      </c>
      <c r="AN64" s="184" cm="1">
        <f t="array" ref="AN64">IFERROR(SUM(_xlfn._xlws.FILTER(_xlfn._xlws.FILTER(dataSummaryBS,(dataSummaryBSSummarys=$D64)*(dataSummaryBSSections=$E64)),endDates=AN$8)),0)</f>
        <v>507500</v>
      </c>
      <c r="AO64" s="184" cm="1">
        <f t="array" ref="AO64">IFERROR(SUM(_xlfn._xlws.FILTER(_xlfn._xlws.FILTER(dataSummaryBS,(dataSummaryBSSummarys=$D64)*(dataSummaryBSSections=$E64)),endDates=AO$8)),0)</f>
        <v>510000</v>
      </c>
      <c r="AP64" s="184" cm="1">
        <f t="array" ref="AP64">IFERROR(SUM(_xlfn._xlws.FILTER(_xlfn._xlws.FILTER(dataSummaryBS,(dataSummaryBSSummarys=$D64)*(dataSummaryBSSections=$E64)),endDates=AP$8)),0)</f>
        <v>512500</v>
      </c>
      <c r="AQ64" s="184" cm="1">
        <f t="array" ref="AQ64">IFERROR(SUM(_xlfn._xlws.FILTER(_xlfn._xlws.FILTER(dataSummaryBS,(dataSummaryBSSummarys=$D64)*(dataSummaryBSSections=$E64)),endDates=AQ$8)),0)</f>
        <v>515000</v>
      </c>
      <c r="AR64" s="184" cm="1">
        <f t="array" ref="AR64">IFERROR(SUM(_xlfn._xlws.FILTER(_xlfn._xlws.FILTER(dataSummaryBS,(dataSummaryBSSummarys=$D64)*(dataSummaryBSSections=$E64)),endDates=AR$8)),0)</f>
        <v>517500</v>
      </c>
      <c r="AS64" s="184" cm="1">
        <f t="array" ref="AS64">IFERROR(SUM(_xlfn._xlws.FILTER(_xlfn._xlws.FILTER(dataSummaryBS,(dataSummaryBSSummarys=$D64)*(dataSummaryBSSections=$E64)),endDates=AS$8)),0)</f>
        <v>520000</v>
      </c>
      <c r="AT64" s="184" cm="1">
        <f t="array" ref="AT64">IFERROR(SUM(_xlfn._xlws.FILTER(_xlfn._xlws.FILTER(dataSummaryBS,(dataSummaryBSSummarys=$D64)*(dataSummaryBSSections=$E64)),endDates=AT$8)),0)</f>
        <v>522500</v>
      </c>
      <c r="AU64" s="184" cm="1">
        <f t="array" ref="AU64">IFERROR(SUM(_xlfn._xlws.FILTER(_xlfn._xlws.FILTER(dataSummaryBS,(dataSummaryBSSummarys=$D64)*(dataSummaryBSSections=$E64)),endDates=AU$8)),0)</f>
        <v>1530000</v>
      </c>
      <c r="AV64" s="184" cm="1">
        <f t="array" ref="AV64">IFERROR(SUM(_xlfn._xlws.FILTER(_xlfn._xlws.FILTER(dataSummaryBS,(dataSummaryBSSummarys=$D64)*(dataSummaryBSSections=$E64)),endDates=AV$8)),0)</f>
        <v>1530000</v>
      </c>
      <c r="AW64" s="184" cm="1">
        <f t="array" ref="AW64">IFERROR(SUM(_xlfn._xlws.FILTER(_xlfn._xlws.FILTER(dataSummaryBS,(dataSummaryBSSummarys=$D64)*(dataSummaryBSSections=$E64)),endDates=AW$8)),0)</f>
        <v>1530000</v>
      </c>
      <c r="AX64" s="184" cm="1">
        <f t="array" ref="AX64">IFERROR(SUM(_xlfn._xlws.FILTER(_xlfn._xlws.FILTER(dataSummaryBS,(dataSummaryBSSummarys=$D64)*(dataSummaryBSSections=$E64)),endDates=AX$8)),0)</f>
        <v>1530000</v>
      </c>
      <c r="AY64" s="184" cm="1">
        <f t="array" ref="AY64">IFERROR(SUM(_xlfn._xlws.FILTER(_xlfn._xlws.FILTER(dataSummaryBS,(dataSummaryBSSummarys=$D64)*(dataSummaryBSSections=$E64)),endDates=AY$8)),0)</f>
        <v>1530000</v>
      </c>
      <c r="AZ64" s="184" cm="1">
        <f t="array" ref="AZ64">IFERROR(SUM(_xlfn._xlws.FILTER(_xlfn._xlws.FILTER(dataSummaryBS,(dataSummaryBSSummarys=$D64)*(dataSummaryBSSections=$E64)),endDates=AZ$8)),0)</f>
        <v>1530000</v>
      </c>
      <c r="BA64" s="184" cm="1">
        <f t="array" ref="BA64">IFERROR(SUM(_xlfn._xlws.FILTER(_xlfn._xlws.FILTER(dataSummaryBS,(dataSummaryBSSummarys=$D64)*(dataSummaryBSSections=$E64)),endDates=BA$8)),0)</f>
        <v>1530000</v>
      </c>
      <c r="BB64" s="184" cm="1">
        <f t="array" ref="BB64">IFERROR(SUM(_xlfn._xlws.FILTER(_xlfn._xlws.FILTER(dataSummaryBS,(dataSummaryBSSummarys=$D64)*(dataSummaryBSSections=$E64)),endDates=BB$8)),0)</f>
        <v>1530000</v>
      </c>
      <c r="BC64" s="184" cm="1">
        <f t="array" ref="BC64">IFERROR(SUM(_xlfn._xlws.FILTER(_xlfn._xlws.FILTER(dataSummaryBS,(dataSummaryBSSummarys=$D64)*(dataSummaryBSSections=$E64)),endDates=BC$8)),0)</f>
        <v>1530000</v>
      </c>
      <c r="BD64" s="184" cm="1">
        <f t="array" ref="BD64">IFERROR(SUM(_xlfn._xlws.FILTER(_xlfn._xlws.FILTER(dataSummaryBS,(dataSummaryBSSummarys=$D64)*(dataSummaryBSSections=$E64)),endDates=BD$8)),0)</f>
        <v>1530000</v>
      </c>
      <c r="BE64" s="184" cm="1">
        <f t="array" ref="BE64">IFERROR(SUM(_xlfn._xlws.FILTER(_xlfn._xlws.FILTER(dataSummaryBS,(dataSummaryBSSummarys=$D64)*(dataSummaryBSSections=$E64)),endDates=BE$8)),0)</f>
        <v>1530000</v>
      </c>
      <c r="BF64" s="184" cm="1">
        <f t="array" ref="BF64">IFERROR(SUM(_xlfn._xlws.FILTER(_xlfn._xlws.FILTER(dataSummaryBS,(dataSummaryBSSummarys=$D64)*(dataSummaryBSSections=$E64)),endDates=BF$8)),0)</f>
        <v>1530000</v>
      </c>
      <c r="BG64" s="184" cm="1">
        <f t="array" ref="BG64">IFERROR(SUM(_xlfn._xlws.FILTER(_xlfn._xlws.FILTER(dataSummaryBS,(dataSummaryBSSummarys=$D64)*(dataSummaryBSSections=$E64)),endDates=BG$8)),0)</f>
        <v>1530000</v>
      </c>
      <c r="BH64" s="184" cm="1">
        <f t="array" ref="BH64">IFERROR(SUM(_xlfn._xlws.FILTER(_xlfn._xlws.FILTER(dataSummaryBS,(dataSummaryBSSummarys=$D64)*(dataSummaryBSSections=$E64)),endDates=BH$8)),0)</f>
        <v>1530000</v>
      </c>
      <c r="BI64" s="184" cm="1">
        <f t="array" ref="BI64">IFERROR(SUM(_xlfn._xlws.FILTER(_xlfn._xlws.FILTER(dataSummaryBS,(dataSummaryBSSummarys=$D64)*(dataSummaryBSSections=$E64)),endDates=BI$8)),0)</f>
        <v>1530000</v>
      </c>
      <c r="BJ64" s="184" cm="1">
        <f t="array" ref="BJ64">IFERROR(SUM(_xlfn._xlws.FILTER(_xlfn._xlws.FILTER(dataSummaryBS,(dataSummaryBSSummarys=$D64)*(dataSummaryBSSections=$E64)),endDates=BJ$8)),0)</f>
        <v>1530000</v>
      </c>
      <c r="BK64" s="184" cm="1">
        <f t="array" ref="BK64">IFERROR(SUM(_xlfn._xlws.FILTER(_xlfn._xlws.FILTER(dataSummaryBS,(dataSummaryBSSummarys=$D64)*(dataSummaryBSSections=$E64)),endDates=BK$8)),0)</f>
        <v>1530000</v>
      </c>
      <c r="BL64" s="184" cm="1">
        <f t="array" ref="BL64">IFERROR(SUM(_xlfn._xlws.FILTER(_xlfn._xlws.FILTER(dataSummaryBS,(dataSummaryBSSummarys=$D64)*(dataSummaryBSSections=$E64)),endDates=BL$8)),0)</f>
        <v>1530000</v>
      </c>
      <c r="BM64" s="184" cm="1">
        <f t="array" ref="BM64">IFERROR(SUM(_xlfn._xlws.FILTER(_xlfn._xlws.FILTER(dataSummaryBS,(dataSummaryBSSummarys=$D64)*(dataSummaryBSSections=$E64)),endDates=BM$8)),0)</f>
        <v>1530000</v>
      </c>
      <c r="BN64" s="184" cm="1">
        <f t="array" ref="BN64">IFERROR(SUM(_xlfn._xlws.FILTER(_xlfn._xlws.FILTER(dataSummaryBS,(dataSummaryBSSummarys=$D64)*(dataSummaryBSSections=$E64)),endDates=BN$8)),0)</f>
        <v>1530000</v>
      </c>
      <c r="BO64" s="184" cm="1">
        <f t="array" ref="BO64">IFERROR(SUM(_xlfn._xlws.FILTER(_xlfn._xlws.FILTER(dataSummaryBS,(dataSummaryBSSummarys=$D64)*(dataSummaryBSSections=$E64)),endDates=BO$8)),0)</f>
        <v>1530000</v>
      </c>
      <c r="BP64" s="184" cm="1">
        <f t="array" ref="BP64">IFERROR(SUM(_xlfn._xlws.FILTER(_xlfn._xlws.FILTER(dataSummaryBS,(dataSummaryBSSummarys=$D64)*(dataSummaryBSSections=$E64)),endDates=BP$8)),0)</f>
        <v>1530000</v>
      </c>
      <c r="BQ64" s="184" cm="1">
        <f t="array" ref="BQ64">IFERROR(SUM(_xlfn._xlws.FILTER(_xlfn._xlws.FILTER(dataSummaryBS,(dataSummaryBSSummarys=$D64)*(dataSummaryBSSections=$E64)),endDates=BQ$8)),0)</f>
        <v>1530000</v>
      </c>
      <c r="BR64" s="184" cm="1">
        <f t="array" ref="BR64">IFERROR(SUM(_xlfn._xlws.FILTER(_xlfn._xlws.FILTER(dataSummaryBS,(dataSummaryBSSummarys=$D64)*(dataSummaryBSSections=$E64)),endDates=BR$8)),0)</f>
        <v>1530000</v>
      </c>
      <c r="BS64" s="184" cm="1">
        <f t="array" ref="BS64">IFERROR(SUM(_xlfn._xlws.FILTER(_xlfn._xlws.FILTER(dataSummaryBS,(dataSummaryBSSummarys=$D64)*(dataSummaryBSSections=$E64)),endDates=BS$8)),0)</f>
        <v>1530000</v>
      </c>
      <c r="BT64" s="184" cm="1">
        <f t="array" ref="BT64">IFERROR(SUM(_xlfn._xlws.FILTER(_xlfn._xlws.FILTER(dataSummaryBS,(dataSummaryBSSummarys=$D64)*(dataSummaryBSSections=$E64)),endDates=BT$8)),0)</f>
        <v>1530000</v>
      </c>
      <c r="BU64" s="184" cm="1">
        <f t="array" ref="BU64">IFERROR(SUM(_xlfn._xlws.FILTER(_xlfn._xlws.FILTER(dataSummaryBS,(dataSummaryBSSummarys=$D64)*(dataSummaryBSSections=$E64)),endDates=BU$8)),0)</f>
        <v>1530000</v>
      </c>
      <c r="BV64" s="184" cm="1">
        <f t="array" ref="BV64">IFERROR(SUM(_xlfn._xlws.FILTER(_xlfn._xlws.FILTER(dataSummaryBS,(dataSummaryBSSummarys=$D64)*(dataSummaryBSSections=$E64)),endDates=BV$8)),0)</f>
        <v>1530000</v>
      </c>
      <c r="BW64" s="184" cm="1">
        <f t="array" ref="BW64">IFERROR(SUM(_xlfn._xlws.FILTER(_xlfn._xlws.FILTER(dataSummaryBS,(dataSummaryBSSummarys=$D64)*(dataSummaryBSSections=$E64)),endDates=BW$8)),0)</f>
        <v>1530000</v>
      </c>
      <c r="BX64" s="184" cm="1">
        <f t="array" ref="BX64">IFERROR(SUM(_xlfn._xlws.FILTER(_xlfn._xlws.FILTER(dataSummaryBS,(dataSummaryBSSummarys=$D64)*(dataSummaryBSSections=$E64)),endDates=BX$8)),0)</f>
        <v>1530000</v>
      </c>
      <c r="BY64" s="184" cm="1">
        <f t="array" ref="BY64">IFERROR(SUM(_xlfn._xlws.FILTER(_xlfn._xlws.FILTER(dataSummaryBS,(dataSummaryBSSummarys=$D64)*(dataSummaryBSSections=$E64)),endDates=BY$8)),0)</f>
        <v>1530000</v>
      </c>
      <c r="BZ64" s="184" cm="1">
        <f t="array" ref="BZ64">IFERROR(SUM(_xlfn._xlws.FILTER(_xlfn._xlws.FILTER(dataSummaryBS,(dataSummaryBSSummarys=$D64)*(dataSummaryBSSections=$E64)),endDates=BZ$8)),0)</f>
        <v>1530000</v>
      </c>
      <c r="CA64" s="184" cm="1">
        <f t="array" ref="CA64">IFERROR(SUM(_xlfn._xlws.FILTER(_xlfn._xlws.FILTER(dataSummaryBS,(dataSummaryBSSummarys=$D64)*(dataSummaryBSSections=$E64)),endDates=CA$8)),0)</f>
        <v>1530000</v>
      </c>
      <c r="CB64" s="184" cm="1">
        <f t="array" ref="CB64">IFERROR(SUM(_xlfn._xlws.FILTER(_xlfn._xlws.FILTER(dataSummaryBS,(dataSummaryBSSummarys=$D64)*(dataSummaryBSSections=$E64)),endDates=CB$8)),0)</f>
        <v>1530000</v>
      </c>
      <c r="CC64" s="184" cm="1">
        <f t="array" ref="CC64">IFERROR(SUM(_xlfn._xlws.FILTER(_xlfn._xlws.FILTER(dataSummaryBS,(dataSummaryBSSummarys=$D64)*(dataSummaryBSSections=$E64)),endDates=CC$8)),0)</f>
        <v>1530000</v>
      </c>
      <c r="CD64" s="184" cm="1">
        <f t="array" ref="CD64">IFERROR(SUM(_xlfn._xlws.FILTER(_xlfn._xlws.FILTER(dataSummaryBS,(dataSummaryBSSummarys=$D64)*(dataSummaryBSSections=$E64)),endDates=CD$8)),0)</f>
        <v>1530000</v>
      </c>
      <c r="CE64" s="184" cm="1">
        <f t="array" ref="CE64">IFERROR(SUM(_xlfn._xlws.FILTER(_xlfn._xlws.FILTER(dataSummaryBS,(dataSummaryBSSummarys=$D64)*(dataSummaryBSSections=$E64)),endDates=CE$8)),0)</f>
        <v>1530000</v>
      </c>
      <c r="CF64" s="184" cm="1">
        <f t="array" ref="CF64">IFERROR(SUM(_xlfn._xlws.FILTER(_xlfn._xlws.FILTER(dataSummaryBS,(dataSummaryBSSummarys=$D64)*(dataSummaryBSSections=$E64)),endDates=CF$8)),0)</f>
        <v>1530000</v>
      </c>
      <c r="CG64" s="184" cm="1">
        <f t="array" ref="CG64">IFERROR(SUM(_xlfn._xlws.FILTER(_xlfn._xlws.FILTER(dataSummaryBS,(dataSummaryBSSummarys=$D64)*(dataSummaryBSSections=$E64)),endDates=CG$8)),0)</f>
        <v>1530000</v>
      </c>
    </row>
    <row r="65" spans="1:85" outlineLevel="1">
      <c r="C65" s="331" t="s">
        <v>145</v>
      </c>
      <c r="D65" s="163" t="str">
        <f t="shared" si="54"/>
        <v>Deferred Revenue</v>
      </c>
      <c r="E65" s="150" t="s">
        <v>141</v>
      </c>
      <c r="F65" s="163"/>
      <c r="G65" s="163"/>
      <c r="J65" s="184" cm="1">
        <f t="array" ref="J65">IFERROR(SUM(_xlfn._xlws.FILTER(_xlfn._xlws.FILTER(dataSummaryBS,(dataSummaryBSSummarys=$D65)*(dataSummaryBSSections=$E65)),endDates=J$8)),0)</f>
        <v>23270</v>
      </c>
      <c r="K65" s="184" cm="1">
        <f t="array" ref="K65">IFERROR(SUM(_xlfn._xlws.FILTER(_xlfn._xlws.FILTER(dataSummaryBS,(dataSummaryBSSummarys=$D65)*(dataSummaryBSSections=$E65)),endDates=K$8)),0)</f>
        <v>23270</v>
      </c>
      <c r="N65" s="184" cm="1">
        <f t="array" ref="N65">IFERROR(SUM(_xlfn._xlws.FILTER(_xlfn._xlws.FILTER(dataSummaryBS,(dataSummaryBSSummarys=$D65)*(dataSummaryBSSections=$E65)),endDates=N$8)),0)</f>
        <v>23270</v>
      </c>
      <c r="O65" s="184" cm="1">
        <f t="array" ref="O65">IFERROR(SUM(_xlfn._xlws.FILTER(_xlfn._xlws.FILTER(dataSummaryBS,(dataSummaryBSSummarys=$D65)*(dataSummaryBSSections=$E65)),endDates=O$8)),0)</f>
        <v>23270</v>
      </c>
      <c r="P65" s="184" cm="1">
        <f t="array" ref="P65">IFERROR(SUM(_xlfn._xlws.FILTER(_xlfn._xlws.FILTER(dataSummaryBS,(dataSummaryBSSummarys=$D65)*(dataSummaryBSSections=$E65)),endDates=P$8)),0)</f>
        <v>101330.83333333334</v>
      </c>
      <c r="Q65" s="184" cm="1">
        <f t="array" ref="Q65">IFERROR(SUM(_xlfn._xlws.FILTER(_xlfn._xlws.FILTER(dataSummaryBS,(dataSummaryBSSummarys=$D65)*(dataSummaryBSSections=$E65)),endDates=Q$8)),0)</f>
        <v>119999.99999999983</v>
      </c>
      <c r="T65" s="184" cm="1">
        <f t="array" ref="T65">IFERROR(SUM(_xlfn._xlws.FILTER(_xlfn._xlws.FILTER(dataSummaryBS,(dataSummaryBSSummarys=$D65)*(dataSummaryBSSections=$E65)),endDates=T$8)),0)</f>
        <v>16538</v>
      </c>
      <c r="U65" s="184" cm="1">
        <f t="array" ref="U65">IFERROR(SUM(_xlfn._xlws.FILTER(_xlfn._xlws.FILTER(dataSummaryBS,(dataSummaryBSSummarys=$D65)*(dataSummaryBSSections=$E65)),endDates=U$8)),0)</f>
        <v>19145</v>
      </c>
      <c r="V65" s="184" cm="1">
        <f t="array" ref="V65">IFERROR(SUM(_xlfn._xlws.FILTER(_xlfn._xlws.FILTER(dataSummaryBS,(dataSummaryBSSummarys=$D65)*(dataSummaryBSSections=$E65)),endDates=V$8)),0)</f>
        <v>22162</v>
      </c>
      <c r="W65" s="184" cm="1">
        <f t="array" ref="W65">IFERROR(SUM(_xlfn._xlws.FILTER(_xlfn._xlws.FILTER(dataSummaryBS,(dataSummaryBSSummarys=$D65)*(dataSummaryBSSections=$E65)),endDates=W$8)),0)</f>
        <v>23270</v>
      </c>
      <c r="X65" s="184" cm="1">
        <f t="array" ref="X65">IFERROR(SUM(_xlfn._xlws.FILTER(_xlfn._xlws.FILTER(dataSummaryBS,(dataSummaryBSSummarys=$D65)*(dataSummaryBSSections=$E65)),endDates=X$8)),0)</f>
        <v>23270</v>
      </c>
      <c r="Y65" s="184" cm="1">
        <f t="array" ref="Y65">IFERROR(SUM(_xlfn._xlws.FILTER(_xlfn._xlws.FILTER(dataSummaryBS,(dataSummaryBSSummarys=$D65)*(dataSummaryBSSections=$E65)),endDates=Y$8)),0)</f>
        <v>23270</v>
      </c>
      <c r="Z65" s="184" cm="1">
        <f t="array" ref="Z65">IFERROR(SUM(_xlfn._xlws.FILTER(_xlfn._xlws.FILTER(dataSummaryBS,(dataSummaryBSSummarys=$D65)*(dataSummaryBSSections=$E65)),endDates=Z$8)),0)</f>
        <v>23270</v>
      </c>
      <c r="AA65" s="184" cm="1">
        <f t="array" ref="AA65">IFERROR(SUM(_xlfn._xlws.FILTER(_xlfn._xlws.FILTER(dataSummaryBS,(dataSummaryBSSummarys=$D65)*(dataSummaryBSSections=$E65)),endDates=AA$8)),0)</f>
        <v>23270</v>
      </c>
      <c r="AB65" s="184" cm="1">
        <f t="array" ref="AB65">IFERROR(SUM(_xlfn._xlws.FILTER(_xlfn._xlws.FILTER(dataSummaryBS,(dataSummaryBSSummarys=$D65)*(dataSummaryBSSections=$E65)),endDates=AB$8)),0)</f>
        <v>23270</v>
      </c>
      <c r="AC65" s="184" cm="1">
        <f t="array" ref="AC65">IFERROR(SUM(_xlfn._xlws.FILTER(_xlfn._xlws.FILTER(dataSummaryBS,(dataSummaryBSSummarys=$D65)*(dataSummaryBSSections=$E65)),endDates=AC$8)),0)</f>
        <v>23270</v>
      </c>
      <c r="AD65" s="184" cm="1">
        <f t="array" ref="AD65">IFERROR(SUM(_xlfn._xlws.FILTER(_xlfn._xlws.FILTER(dataSummaryBS,(dataSummaryBSSummarys=$D65)*(dataSummaryBSSections=$E65)),endDates=AD$8)),0)</f>
        <v>23270</v>
      </c>
      <c r="AE65" s="184" cm="1">
        <f t="array" ref="AE65">IFERROR(SUM(_xlfn._xlws.FILTER(_xlfn._xlws.FILTER(dataSummaryBS,(dataSummaryBSSummarys=$D65)*(dataSummaryBSSections=$E65)),endDates=AE$8)),0)</f>
        <v>101330.83333333334</v>
      </c>
      <c r="AF65" s="184" cm="1">
        <f t="array" ref="AF65">IFERROR(SUM(_xlfn._xlws.FILTER(_xlfn._xlws.FILTER(dataSummaryBS,(dataSummaryBSSummarys=$D65)*(dataSummaryBSSections=$E65)),endDates=AF$8)),0)</f>
        <v>135513.33333333331</v>
      </c>
      <c r="AG65" s="184" cm="1">
        <f t="array" ref="AG65">IFERROR(SUM(_xlfn._xlws.FILTER(_xlfn._xlws.FILTER(dataSummaryBS,(dataSummaryBSSummarys=$D65)*(dataSummaryBSSections=$E65)),endDates=AG$8)),0)</f>
        <v>129695.83333333327</v>
      </c>
      <c r="AH65" s="184" cm="1">
        <f t="array" ref="AH65">IFERROR(SUM(_xlfn._xlws.FILTER(_xlfn._xlws.FILTER(dataSummaryBS,(dataSummaryBSSummarys=$D65)*(dataSummaryBSSections=$E65)),endDates=AH$8)),0)</f>
        <v>123878.33333333321</v>
      </c>
      <c r="AI65" s="184" cm="1">
        <f t="array" ref="AI65">IFERROR(SUM(_xlfn._xlws.FILTER(_xlfn._xlws.FILTER(dataSummaryBS,(dataSummaryBSSummarys=$D65)*(dataSummaryBSSections=$E65)),endDates=AI$8)),0)</f>
        <v>119999.99999999983</v>
      </c>
      <c r="AJ65" s="184"/>
      <c r="AL65" s="184" cm="1">
        <f t="array" ref="AL65">IFERROR(SUM(_xlfn._xlws.FILTER(_xlfn._xlws.FILTER(dataSummaryBS,(dataSummaryBSSummarys=$D65)*(dataSummaryBSSections=$E65)),endDates=AL$8)),0)</f>
        <v>15000</v>
      </c>
      <c r="AM65" s="184" cm="1">
        <f t="array" ref="AM65">IFERROR(SUM(_xlfn._xlws.FILTER(_xlfn._xlws.FILTER(dataSummaryBS,(dataSummaryBSSummarys=$D65)*(dataSummaryBSSections=$E65)),endDates=AM$8)),0)</f>
        <v>15750</v>
      </c>
      <c r="AN65" s="184" cm="1">
        <f t="array" ref="AN65">IFERROR(SUM(_xlfn._xlws.FILTER(_xlfn._xlws.FILTER(dataSummaryBS,(dataSummaryBSSummarys=$D65)*(dataSummaryBSSections=$E65)),endDates=AN$8)),0)</f>
        <v>16538</v>
      </c>
      <c r="AO65" s="184" cm="1">
        <f t="array" ref="AO65">IFERROR(SUM(_xlfn._xlws.FILTER(_xlfn._xlws.FILTER(dataSummaryBS,(dataSummaryBSSummarys=$D65)*(dataSummaryBSSections=$E65)),endDates=AO$8)),0)</f>
        <v>17365</v>
      </c>
      <c r="AP65" s="184" cm="1">
        <f t="array" ref="AP65">IFERROR(SUM(_xlfn._xlws.FILTER(_xlfn._xlws.FILTER(dataSummaryBS,(dataSummaryBSSummarys=$D65)*(dataSummaryBSSections=$E65)),endDates=AP$8)),0)</f>
        <v>18233</v>
      </c>
      <c r="AQ65" s="184" cm="1">
        <f t="array" ref="AQ65">IFERROR(SUM(_xlfn._xlws.FILTER(_xlfn._xlws.FILTER(dataSummaryBS,(dataSummaryBSSummarys=$D65)*(dataSummaryBSSections=$E65)),endDates=AQ$8)),0)</f>
        <v>19145</v>
      </c>
      <c r="AR65" s="184" cm="1">
        <f t="array" ref="AR65">IFERROR(SUM(_xlfn._xlws.FILTER(_xlfn._xlws.FILTER(dataSummaryBS,(dataSummaryBSSummarys=$D65)*(dataSummaryBSSections=$E65)),endDates=AR$8)),0)</f>
        <v>20102</v>
      </c>
      <c r="AS65" s="184" cm="1">
        <f t="array" ref="AS65">IFERROR(SUM(_xlfn._xlws.FILTER(_xlfn._xlws.FILTER(dataSummaryBS,(dataSummaryBSSummarys=$D65)*(dataSummaryBSSections=$E65)),endDates=AS$8)),0)</f>
        <v>21107</v>
      </c>
      <c r="AT65" s="184" cm="1">
        <f t="array" ref="AT65">IFERROR(SUM(_xlfn._xlws.FILTER(_xlfn._xlws.FILTER(dataSummaryBS,(dataSummaryBSSummarys=$D65)*(dataSummaryBSSections=$E65)),endDates=AT$8)),0)</f>
        <v>22162</v>
      </c>
      <c r="AU65" s="184" cm="1">
        <f t="array" ref="AU65">IFERROR(SUM(_xlfn._xlws.FILTER(_xlfn._xlws.FILTER(dataSummaryBS,(dataSummaryBSSummarys=$D65)*(dataSummaryBSSections=$E65)),endDates=AU$8)),0)</f>
        <v>23270</v>
      </c>
      <c r="AV65" s="184" cm="1">
        <f t="array" ref="AV65">IFERROR(SUM(_xlfn._xlws.FILTER(_xlfn._xlws.FILTER(dataSummaryBS,(dataSummaryBSSummarys=$D65)*(dataSummaryBSSections=$E65)),endDates=AV$8)),0)</f>
        <v>23270</v>
      </c>
      <c r="AW65" s="184" cm="1">
        <f t="array" ref="AW65">IFERROR(SUM(_xlfn._xlws.FILTER(_xlfn._xlws.FILTER(dataSummaryBS,(dataSummaryBSSummarys=$D65)*(dataSummaryBSSections=$E65)),endDates=AW$8)),0)</f>
        <v>23270</v>
      </c>
      <c r="AX65" s="184" cm="1">
        <f t="array" ref="AX65">IFERROR(SUM(_xlfn._xlws.FILTER(_xlfn._xlws.FILTER(dataSummaryBS,(dataSummaryBSSummarys=$D65)*(dataSummaryBSSections=$E65)),endDates=AX$8)),0)</f>
        <v>23270</v>
      </c>
      <c r="AY65" s="184" cm="1">
        <f t="array" ref="AY65">IFERROR(SUM(_xlfn._xlws.FILTER(_xlfn._xlws.FILTER(dataSummaryBS,(dataSummaryBSSummarys=$D65)*(dataSummaryBSSections=$E65)),endDates=AY$8)),0)</f>
        <v>23270</v>
      </c>
      <c r="AZ65" s="184" cm="1">
        <f t="array" ref="AZ65">IFERROR(SUM(_xlfn._xlws.FILTER(_xlfn._xlws.FILTER(dataSummaryBS,(dataSummaryBSSummarys=$D65)*(dataSummaryBSSections=$E65)),endDates=AZ$8)),0)</f>
        <v>23270</v>
      </c>
      <c r="BA65" s="184" cm="1">
        <f t="array" ref="BA65">IFERROR(SUM(_xlfn._xlws.FILTER(_xlfn._xlws.FILTER(dataSummaryBS,(dataSummaryBSSummarys=$D65)*(dataSummaryBSSections=$E65)),endDates=BA$8)),0)</f>
        <v>23270</v>
      </c>
      <c r="BB65" s="184" cm="1">
        <f t="array" ref="BB65">IFERROR(SUM(_xlfn._xlws.FILTER(_xlfn._xlws.FILTER(dataSummaryBS,(dataSummaryBSSummarys=$D65)*(dataSummaryBSSections=$E65)),endDates=BB$8)),0)</f>
        <v>23270</v>
      </c>
      <c r="BC65" s="184" cm="1">
        <f t="array" ref="BC65">IFERROR(SUM(_xlfn._xlws.FILTER(_xlfn._xlws.FILTER(dataSummaryBS,(dataSummaryBSSummarys=$D65)*(dataSummaryBSSections=$E65)),endDates=BC$8)),0)</f>
        <v>23270</v>
      </c>
      <c r="BD65" s="184" cm="1">
        <f t="array" ref="BD65">IFERROR(SUM(_xlfn._xlws.FILTER(_xlfn._xlws.FILTER(dataSummaryBS,(dataSummaryBSSummarys=$D65)*(dataSummaryBSSections=$E65)),endDates=BD$8)),0)</f>
        <v>23270</v>
      </c>
      <c r="BE65" s="184" cm="1">
        <f t="array" ref="BE65">IFERROR(SUM(_xlfn._xlws.FILTER(_xlfn._xlws.FILTER(dataSummaryBS,(dataSummaryBSSummarys=$D65)*(dataSummaryBSSections=$E65)),endDates=BE$8)),0)</f>
        <v>23270</v>
      </c>
      <c r="BF65" s="184" cm="1">
        <f t="array" ref="BF65">IFERROR(SUM(_xlfn._xlws.FILTER(_xlfn._xlws.FILTER(dataSummaryBS,(dataSummaryBSSummarys=$D65)*(dataSummaryBSSections=$E65)),endDates=BF$8)),0)</f>
        <v>23270</v>
      </c>
      <c r="BG65" s="184" cm="1">
        <f t="array" ref="BG65">IFERROR(SUM(_xlfn._xlws.FILTER(_xlfn._xlws.FILTER(dataSummaryBS,(dataSummaryBSSummarys=$D65)*(dataSummaryBSSections=$E65)),endDates=BG$8)),0)</f>
        <v>23270</v>
      </c>
      <c r="BH65" s="184" cm="1">
        <f t="array" ref="BH65">IFERROR(SUM(_xlfn._xlws.FILTER(_xlfn._xlws.FILTER(dataSummaryBS,(dataSummaryBSSummarys=$D65)*(dataSummaryBSSections=$E65)),endDates=BH$8)),0)</f>
        <v>23270</v>
      </c>
      <c r="BI65" s="184" cm="1">
        <f t="array" ref="BI65">IFERROR(SUM(_xlfn._xlws.FILTER(_xlfn._xlws.FILTER(dataSummaryBS,(dataSummaryBSSummarys=$D65)*(dataSummaryBSSections=$E65)),endDates=BI$8)),0)</f>
        <v>23270</v>
      </c>
      <c r="BJ65" s="184" cm="1">
        <f t="array" ref="BJ65">IFERROR(SUM(_xlfn._xlws.FILTER(_xlfn._xlws.FILTER(dataSummaryBS,(dataSummaryBSSummarys=$D65)*(dataSummaryBSSections=$E65)),endDates=BJ$8)),0)</f>
        <v>23270</v>
      </c>
      <c r="BK65" s="184" cm="1">
        <f t="array" ref="BK65">IFERROR(SUM(_xlfn._xlws.FILTER(_xlfn._xlws.FILTER(dataSummaryBS,(dataSummaryBSSummarys=$D65)*(dataSummaryBSSections=$E65)),endDates=BK$8)),0)</f>
        <v>23270</v>
      </c>
      <c r="BL65" s="184" cm="1">
        <f t="array" ref="BL65">IFERROR(SUM(_xlfn._xlws.FILTER(_xlfn._xlws.FILTER(dataSummaryBS,(dataSummaryBSSummarys=$D65)*(dataSummaryBSSections=$E65)),endDates=BL$8)),0)</f>
        <v>23270</v>
      </c>
      <c r="BM65" s="184" cm="1">
        <f t="array" ref="BM65">IFERROR(SUM(_xlfn._xlws.FILTER(_xlfn._xlws.FILTER(dataSummaryBS,(dataSummaryBSSummarys=$D65)*(dataSummaryBSSections=$E65)),endDates=BM$8)),0)</f>
        <v>23270</v>
      </c>
      <c r="BN65" s="184" cm="1">
        <f t="array" ref="BN65">IFERROR(SUM(_xlfn._xlws.FILTER(_xlfn._xlws.FILTER(dataSummaryBS,(dataSummaryBSSummarys=$D65)*(dataSummaryBSSections=$E65)),endDates=BN$8)),0)</f>
        <v>23270</v>
      </c>
      <c r="BO65" s="184" cm="1">
        <f t="array" ref="BO65">IFERROR(SUM(_xlfn._xlws.FILTER(_xlfn._xlws.FILTER(dataSummaryBS,(dataSummaryBSSummarys=$D65)*(dataSummaryBSSections=$E65)),endDates=BO$8)),0)</f>
        <v>23270</v>
      </c>
      <c r="BP65" s="184" cm="1">
        <f t="array" ref="BP65">IFERROR(SUM(_xlfn._xlws.FILTER(_xlfn._xlws.FILTER(dataSummaryBS,(dataSummaryBSSummarys=$D65)*(dataSummaryBSSections=$E65)),endDates=BP$8)),0)</f>
        <v>23270</v>
      </c>
      <c r="BQ65" s="184" cm="1">
        <f t="array" ref="BQ65">IFERROR(SUM(_xlfn._xlws.FILTER(_xlfn._xlws.FILTER(dataSummaryBS,(dataSummaryBSSummarys=$D65)*(dataSummaryBSSections=$E65)),endDates=BQ$8)),0)</f>
        <v>23270</v>
      </c>
      <c r="BR65" s="184" cm="1">
        <f t="array" ref="BR65">IFERROR(SUM(_xlfn._xlws.FILTER(_xlfn._xlws.FILTER(dataSummaryBS,(dataSummaryBSSummarys=$D65)*(dataSummaryBSSections=$E65)),endDates=BR$8)),0)</f>
        <v>23270</v>
      </c>
      <c r="BS65" s="184" cm="1">
        <f t="array" ref="BS65">IFERROR(SUM(_xlfn._xlws.FILTER(_xlfn._xlws.FILTER(dataSummaryBS,(dataSummaryBSSummarys=$D65)*(dataSummaryBSSections=$E65)),endDates=BS$8)),0)</f>
        <v>23270</v>
      </c>
      <c r="BT65" s="184" cm="1">
        <f t="array" ref="BT65">IFERROR(SUM(_xlfn._xlws.FILTER(_xlfn._xlws.FILTER(dataSummaryBS,(dataSummaryBSSummarys=$D65)*(dataSummaryBSSections=$E65)),endDates=BT$8)),0)</f>
        <v>23270</v>
      </c>
      <c r="BU65" s="184" cm="1">
        <f t="array" ref="BU65">IFERROR(SUM(_xlfn._xlws.FILTER(_xlfn._xlws.FILTER(dataSummaryBS,(dataSummaryBSSummarys=$D65)*(dataSummaryBSSections=$E65)),endDates=BU$8)),0)</f>
        <v>101330.83333333334</v>
      </c>
      <c r="BV65" s="184" cm="1">
        <f t="array" ref="BV65">IFERROR(SUM(_xlfn._xlws.FILTER(_xlfn._xlws.FILTER(dataSummaryBS,(dataSummaryBSSummarys=$D65)*(dataSummaryBSSections=$E65)),endDates=BV$8)),0)</f>
        <v>139391.66666666669</v>
      </c>
      <c r="BW65" s="184" cm="1">
        <f t="array" ref="BW65">IFERROR(SUM(_xlfn._xlws.FILTER(_xlfn._xlws.FILTER(dataSummaryBS,(dataSummaryBSSummarys=$D65)*(dataSummaryBSSections=$E65)),endDates=BW$8)),0)</f>
        <v>137452.5</v>
      </c>
      <c r="BX65" s="184" cm="1">
        <f t="array" ref="BX65">IFERROR(SUM(_xlfn._xlws.FILTER(_xlfn._xlws.FILTER(dataSummaryBS,(dataSummaryBSSummarys=$D65)*(dataSummaryBSSections=$E65)),endDates=BX$8)),0)</f>
        <v>135513.33333333331</v>
      </c>
      <c r="BY65" s="184" cm="1">
        <f t="array" ref="BY65">IFERROR(SUM(_xlfn._xlws.FILTER(_xlfn._xlws.FILTER(dataSummaryBS,(dataSummaryBSSummarys=$D65)*(dataSummaryBSSections=$E65)),endDates=BY$8)),0)</f>
        <v>133574.16666666663</v>
      </c>
      <c r="BZ65" s="184" cm="1">
        <f t="array" ref="BZ65">IFERROR(SUM(_xlfn._xlws.FILTER(_xlfn._xlws.FILTER(dataSummaryBS,(dataSummaryBSSummarys=$D65)*(dataSummaryBSSections=$E65)),endDates=BZ$8)),0)</f>
        <v>131634.99999999994</v>
      </c>
      <c r="CA65" s="184" cm="1">
        <f t="array" ref="CA65">IFERROR(SUM(_xlfn._xlws.FILTER(_xlfn._xlws.FILTER(dataSummaryBS,(dataSummaryBSSummarys=$D65)*(dataSummaryBSSections=$E65)),endDates=CA$8)),0)</f>
        <v>129695.83333333327</v>
      </c>
      <c r="CB65" s="184" cm="1">
        <f t="array" ref="CB65">IFERROR(SUM(_xlfn._xlws.FILTER(_xlfn._xlws.FILTER(dataSummaryBS,(dataSummaryBSSummarys=$D65)*(dataSummaryBSSections=$E65)),endDates=CB$8)),0)</f>
        <v>127756.66666666658</v>
      </c>
      <c r="CC65" s="184" cm="1">
        <f t="array" ref="CC65">IFERROR(SUM(_xlfn._xlws.FILTER(_xlfn._xlws.FILTER(dataSummaryBS,(dataSummaryBSSummarys=$D65)*(dataSummaryBSSections=$E65)),endDates=CC$8)),0)</f>
        <v>125817.4999999999</v>
      </c>
      <c r="CD65" s="184" cm="1">
        <f t="array" ref="CD65">IFERROR(SUM(_xlfn._xlws.FILTER(_xlfn._xlws.FILTER(dataSummaryBS,(dataSummaryBSSummarys=$D65)*(dataSummaryBSSections=$E65)),endDates=CD$8)),0)</f>
        <v>123878.33333333321</v>
      </c>
      <c r="CE65" s="184" cm="1">
        <f t="array" ref="CE65">IFERROR(SUM(_xlfn._xlws.FILTER(_xlfn._xlws.FILTER(dataSummaryBS,(dataSummaryBSSummarys=$D65)*(dataSummaryBSSections=$E65)),endDates=CE$8)),0)</f>
        <v>121939.16666666653</v>
      </c>
      <c r="CF65" s="184" cm="1">
        <f t="array" ref="CF65">IFERROR(SUM(_xlfn._xlws.FILTER(_xlfn._xlws.FILTER(dataSummaryBS,(dataSummaryBSSummarys=$D65)*(dataSummaryBSSections=$E65)),endDates=CF$8)),0)</f>
        <v>119999.99999999984</v>
      </c>
      <c r="CG65" s="184" cm="1">
        <f t="array" ref="CG65">IFERROR(SUM(_xlfn._xlws.FILTER(_xlfn._xlws.FILTER(dataSummaryBS,(dataSummaryBSSummarys=$D65)*(dataSummaryBSSections=$E65)),endDates=CG$8)),0)</f>
        <v>119999.99999999983</v>
      </c>
    </row>
    <row r="66" spans="1:85"/>
    <row r="67" spans="1:85" s="157" customFormat="1" ht="15.75">
      <c r="C67" s="160" t="s">
        <v>146</v>
      </c>
      <c r="D67" s="160"/>
      <c r="E67" s="161"/>
      <c r="F67" s="160"/>
      <c r="G67" s="160"/>
      <c r="J67" s="158">
        <f>SUM(J68:J70)</f>
        <v>-1055252.6500000004</v>
      </c>
      <c r="K67" s="158">
        <f>SUM(K68:K70)</f>
        <v>-1055252.6500000004</v>
      </c>
      <c r="N67" s="158">
        <f>SUM(N68:N70)</f>
        <v>2840078.5</v>
      </c>
      <c r="O67" s="158">
        <f>SUM(O68:O70)</f>
        <v>1286596</v>
      </c>
      <c r="P67" s="158">
        <f>SUM(P68:P70)</f>
        <v>-337122.74227272719</v>
      </c>
      <c r="Q67" s="158">
        <f>SUM(Q68:Q70)</f>
        <v>-3134607.7380288206</v>
      </c>
      <c r="R67" s="159"/>
      <c r="S67" s="159"/>
      <c r="T67" s="158">
        <f t="shared" ref="T67:AI67" si="55">SUM(T68:T70)</f>
        <v>365458</v>
      </c>
      <c r="U67" s="158">
        <f t="shared" si="55"/>
        <v>1724438</v>
      </c>
      <c r="V67" s="158">
        <f t="shared" si="55"/>
        <v>1581556.5</v>
      </c>
      <c r="W67" s="158">
        <f t="shared" si="55"/>
        <v>2840078.5</v>
      </c>
      <c r="X67" s="158">
        <f t="shared" si="55"/>
        <v>2562584.5</v>
      </c>
      <c r="Y67" s="158">
        <f t="shared" si="55"/>
        <v>2209439.5</v>
      </c>
      <c r="Z67" s="158">
        <f t="shared" si="55"/>
        <v>1764252.5</v>
      </c>
      <c r="AA67" s="158">
        <f t="shared" si="55"/>
        <v>1286596</v>
      </c>
      <c r="AB67" s="158">
        <f t="shared" si="55"/>
        <v>743813.77</v>
      </c>
      <c r="AC67" s="158">
        <f t="shared" si="55"/>
        <v>133038.24000000022</v>
      </c>
      <c r="AD67" s="158">
        <f t="shared" si="55"/>
        <v>-549210.00999999978</v>
      </c>
      <c r="AE67" s="158">
        <f t="shared" si="55"/>
        <v>-337122.74227272719</v>
      </c>
      <c r="AF67" s="158">
        <f t="shared" si="55"/>
        <v>-947687.57610100508</v>
      </c>
      <c r="AG67" s="158">
        <f t="shared" si="55"/>
        <v>-1628361.2909142058</v>
      </c>
      <c r="AH67" s="158">
        <f t="shared" si="55"/>
        <v>-2357188.7714317888</v>
      </c>
      <c r="AI67" s="158">
        <f t="shared" si="55"/>
        <v>-3134607.7380288206</v>
      </c>
      <c r="AJ67" s="185"/>
      <c r="AK67" s="159"/>
      <c r="AL67" s="158">
        <f t="shared" ref="AL67:CG67" si="56">SUM(AL68:AL70)</f>
        <v>455601</v>
      </c>
      <c r="AM67" s="158">
        <f t="shared" si="56"/>
        <v>410762</v>
      </c>
      <c r="AN67" s="158">
        <f t="shared" si="56"/>
        <v>365458</v>
      </c>
      <c r="AO67" s="158">
        <f t="shared" si="56"/>
        <v>318837</v>
      </c>
      <c r="AP67" s="158">
        <f t="shared" si="56"/>
        <v>271859</v>
      </c>
      <c r="AQ67" s="158">
        <f t="shared" si="56"/>
        <v>1724438</v>
      </c>
      <c r="AR67" s="158">
        <f t="shared" si="56"/>
        <v>1676877</v>
      </c>
      <c r="AS67" s="158">
        <f t="shared" si="56"/>
        <v>1629192.5</v>
      </c>
      <c r="AT67" s="158">
        <f t="shared" si="56"/>
        <v>1581556.5</v>
      </c>
      <c r="AU67" s="158">
        <f t="shared" si="56"/>
        <v>1529081.5</v>
      </c>
      <c r="AV67" s="158">
        <f t="shared" si="56"/>
        <v>1964263.5</v>
      </c>
      <c r="AW67" s="158">
        <f t="shared" si="56"/>
        <v>2840078.5</v>
      </c>
      <c r="AX67" s="158">
        <f t="shared" si="56"/>
        <v>2767274</v>
      </c>
      <c r="AY67" s="158">
        <f t="shared" si="56"/>
        <v>2637954</v>
      </c>
      <c r="AZ67" s="158">
        <f t="shared" si="56"/>
        <v>2562584.5</v>
      </c>
      <c r="BA67" s="158">
        <f t="shared" si="56"/>
        <v>2427874</v>
      </c>
      <c r="BB67" s="158">
        <f t="shared" si="56"/>
        <v>2349811.5</v>
      </c>
      <c r="BC67" s="158">
        <f t="shared" si="56"/>
        <v>2209439.5</v>
      </c>
      <c r="BD67" s="158">
        <f t="shared" si="56"/>
        <v>2063123.5</v>
      </c>
      <c r="BE67" s="158">
        <f t="shared" si="56"/>
        <v>1916808.5</v>
      </c>
      <c r="BF67" s="158">
        <f t="shared" si="56"/>
        <v>1764252.5</v>
      </c>
      <c r="BG67" s="158">
        <f t="shared" si="56"/>
        <v>1611695.5</v>
      </c>
      <c r="BH67" s="158">
        <f t="shared" si="56"/>
        <v>1452585.5</v>
      </c>
      <c r="BI67" s="158">
        <f t="shared" si="56"/>
        <v>1286596</v>
      </c>
      <c r="BJ67" s="158">
        <f t="shared" si="56"/>
        <v>1113381.0899999999</v>
      </c>
      <c r="BK67" s="158">
        <f t="shared" si="56"/>
        <v>932580.43000000017</v>
      </c>
      <c r="BL67" s="158">
        <f t="shared" si="56"/>
        <v>743813.77</v>
      </c>
      <c r="BM67" s="158">
        <f t="shared" si="56"/>
        <v>546684.10999999987</v>
      </c>
      <c r="BN67" s="158">
        <f t="shared" si="56"/>
        <v>340770.45000000019</v>
      </c>
      <c r="BO67" s="158">
        <f t="shared" si="56"/>
        <v>133038.24000000022</v>
      </c>
      <c r="BP67" s="158">
        <f t="shared" si="56"/>
        <v>-86075.810000000056</v>
      </c>
      <c r="BQ67" s="158">
        <f t="shared" si="56"/>
        <v>-321555.79999999981</v>
      </c>
      <c r="BR67" s="158">
        <f t="shared" si="56"/>
        <v>-549210.00999999978</v>
      </c>
      <c r="BS67" s="158">
        <f t="shared" si="56"/>
        <v>-796072.16000000015</v>
      </c>
      <c r="BT67" s="158">
        <f t="shared" si="56"/>
        <v>-1055252.6500000004</v>
      </c>
      <c r="BU67" s="158">
        <f t="shared" si="56"/>
        <v>-337122.74227272719</v>
      </c>
      <c r="BV67" s="158">
        <f t="shared" si="56"/>
        <v>-562072.77830090653</v>
      </c>
      <c r="BW67" s="158">
        <f t="shared" si="56"/>
        <v>-752550.90399104077</v>
      </c>
      <c r="BX67" s="158">
        <f t="shared" si="56"/>
        <v>-947687.57610100508</v>
      </c>
      <c r="BY67" s="158">
        <f t="shared" si="56"/>
        <v>-1170562.381234521</v>
      </c>
      <c r="BZ67" s="158">
        <f t="shared" si="56"/>
        <v>-1396926.5089926366</v>
      </c>
      <c r="CA67" s="158">
        <f t="shared" si="56"/>
        <v>-1628361.2909142058</v>
      </c>
      <c r="CB67" s="158">
        <f t="shared" si="56"/>
        <v>-1867536.4313802551</v>
      </c>
      <c r="CC67" s="158">
        <f t="shared" si="56"/>
        <v>-2110535.7474694038</v>
      </c>
      <c r="CD67" s="158">
        <f t="shared" si="56"/>
        <v>-2357188.7714317888</v>
      </c>
      <c r="CE67" s="158">
        <f t="shared" si="56"/>
        <v>-2607304.7233782439</v>
      </c>
      <c r="CF67" s="158">
        <f t="shared" si="56"/>
        <v>-2860773.4051949</v>
      </c>
      <c r="CG67" s="158">
        <f t="shared" si="56"/>
        <v>-3134607.7380288206</v>
      </c>
    </row>
    <row r="68" spans="1:85" outlineLevel="1">
      <c r="C68" s="331" t="s">
        <v>147</v>
      </c>
      <c r="D68" s="163" t="str">
        <f>C68</f>
        <v>Contributed Capital</v>
      </c>
      <c r="E68" s="150" t="s">
        <v>146</v>
      </c>
      <c r="F68" s="163"/>
      <c r="G68" s="163"/>
      <c r="J68" s="184" cm="1">
        <f t="array" ref="J68">IFERROR(SUM(_xlfn._xlws.FILTER(_xlfn._xlws.FILTER(dataSummaryBS,(dataSummaryBSSummarys=$D68)*(dataSummaryBSSections=$E68)),endDates=J$8)),0)</f>
        <v>3500000</v>
      </c>
      <c r="K68" s="184" cm="1">
        <f t="array" ref="K68">IFERROR(SUM(_xlfn._xlws.FILTER(_xlfn._xlws.FILTER(dataSummaryBS,(dataSummaryBSSummarys=$D68)*(dataSummaryBSSections=$E68)),endDates=K$8)),0)</f>
        <v>3500000</v>
      </c>
      <c r="N68" s="184" cm="1">
        <f t="array" ref="N68">IFERROR(SUM(_xlfn._xlws.FILTER(_xlfn._xlws.FILTER(dataSummaryBS,(dataSummaryBSSummarys=$D68)*(dataSummaryBSSections=$E68)),endDates=N$8)),0)</f>
        <v>3500000</v>
      </c>
      <c r="O68" s="184" cm="1">
        <f t="array" ref="O68">IFERROR(SUM(_xlfn._xlws.FILTER(_xlfn._xlws.FILTER(dataSummaryBS,(dataSummaryBSSummarys=$D68)*(dataSummaryBSSections=$E68)),endDates=O$8)),0)</f>
        <v>3500000</v>
      </c>
      <c r="P68" s="184" cm="1">
        <f t="array" ref="P68">IFERROR(SUM(_xlfn._xlws.FILTER(_xlfn._xlws.FILTER(dataSummaryBS,(dataSummaryBSSummarys=$D68)*(dataSummaryBSSections=$E68)),endDates=P$8)),0)</f>
        <v>4500000</v>
      </c>
      <c r="Q68" s="184" cm="1">
        <f t="array" ref="Q68">IFERROR(SUM(_xlfn._xlws.FILTER(_xlfn._xlws.FILTER(dataSummaryBS,(dataSummaryBSSummarys=$D68)*(dataSummaryBSSections=$E68)),endDates=Q$8)),0)</f>
        <v>4500000</v>
      </c>
      <c r="T68" s="184" cm="1">
        <f t="array" ref="T68">IFERROR(SUM(_xlfn._xlws.FILTER(_xlfn._xlws.FILTER(dataSummaryBS,(dataSummaryBSSummarys=$D68)*(dataSummaryBSSections=$E68)),endDates=T$8)),0)</f>
        <v>500000</v>
      </c>
      <c r="U68" s="184" cm="1">
        <f t="array" ref="U68">IFERROR(SUM(_xlfn._xlws.FILTER(_xlfn._xlws.FILTER(dataSummaryBS,(dataSummaryBSSummarys=$D68)*(dataSummaryBSSections=$E68)),endDates=U$8)),0)</f>
        <v>2000000</v>
      </c>
      <c r="V68" s="184" cm="1">
        <f t="array" ref="V68">IFERROR(SUM(_xlfn._xlws.FILTER(_xlfn._xlws.FILTER(dataSummaryBS,(dataSummaryBSSummarys=$D68)*(dataSummaryBSSections=$E68)),endDates=V$8)),0)</f>
        <v>2000000</v>
      </c>
      <c r="W68" s="184" cm="1">
        <f t="array" ref="W68">IFERROR(SUM(_xlfn._xlws.FILTER(_xlfn._xlws.FILTER(dataSummaryBS,(dataSummaryBSSummarys=$D68)*(dataSummaryBSSections=$E68)),endDates=W$8)),0)</f>
        <v>3500000</v>
      </c>
      <c r="X68" s="184" cm="1">
        <f t="array" ref="X68">IFERROR(SUM(_xlfn._xlws.FILTER(_xlfn._xlws.FILTER(dataSummaryBS,(dataSummaryBSSummarys=$D68)*(dataSummaryBSSections=$E68)),endDates=X$8)),0)</f>
        <v>3500000</v>
      </c>
      <c r="Y68" s="184" cm="1">
        <f t="array" ref="Y68">IFERROR(SUM(_xlfn._xlws.FILTER(_xlfn._xlws.FILTER(dataSummaryBS,(dataSummaryBSSummarys=$D68)*(dataSummaryBSSections=$E68)),endDates=Y$8)),0)</f>
        <v>3500000</v>
      </c>
      <c r="Z68" s="184" cm="1">
        <f t="array" ref="Z68">IFERROR(SUM(_xlfn._xlws.FILTER(_xlfn._xlws.FILTER(dataSummaryBS,(dataSummaryBSSummarys=$D68)*(dataSummaryBSSections=$E68)),endDates=Z$8)),0)</f>
        <v>3500000</v>
      </c>
      <c r="AA68" s="184" cm="1">
        <f t="array" ref="AA68">IFERROR(SUM(_xlfn._xlws.FILTER(_xlfn._xlws.FILTER(dataSummaryBS,(dataSummaryBSSummarys=$D68)*(dataSummaryBSSections=$E68)),endDates=AA$8)),0)</f>
        <v>3500000</v>
      </c>
      <c r="AB68" s="184" cm="1">
        <f t="array" ref="AB68">IFERROR(SUM(_xlfn._xlws.FILTER(_xlfn._xlws.FILTER(dataSummaryBS,(dataSummaryBSSummarys=$D68)*(dataSummaryBSSections=$E68)),endDates=AB$8)),0)</f>
        <v>3500000</v>
      </c>
      <c r="AC68" s="184" cm="1">
        <f t="array" ref="AC68">IFERROR(SUM(_xlfn._xlws.FILTER(_xlfn._xlws.FILTER(dataSummaryBS,(dataSummaryBSSummarys=$D68)*(dataSummaryBSSections=$E68)),endDates=AC$8)),0)</f>
        <v>3500000</v>
      </c>
      <c r="AD68" s="184" cm="1">
        <f t="array" ref="AD68">IFERROR(SUM(_xlfn._xlws.FILTER(_xlfn._xlws.FILTER(dataSummaryBS,(dataSummaryBSSummarys=$D68)*(dataSummaryBSSections=$E68)),endDates=AD$8)),0)</f>
        <v>3500000</v>
      </c>
      <c r="AE68" s="184" cm="1">
        <f t="array" ref="AE68">IFERROR(SUM(_xlfn._xlws.FILTER(_xlfn._xlws.FILTER(dataSummaryBS,(dataSummaryBSSummarys=$D68)*(dataSummaryBSSections=$E68)),endDates=AE$8)),0)</f>
        <v>4500000</v>
      </c>
      <c r="AF68" s="184" cm="1">
        <f t="array" ref="AF68">IFERROR(SUM(_xlfn._xlws.FILTER(_xlfn._xlws.FILTER(dataSummaryBS,(dataSummaryBSSummarys=$D68)*(dataSummaryBSSections=$E68)),endDates=AF$8)),0)</f>
        <v>4500000</v>
      </c>
      <c r="AG68" s="184" cm="1">
        <f t="array" ref="AG68">IFERROR(SUM(_xlfn._xlws.FILTER(_xlfn._xlws.FILTER(dataSummaryBS,(dataSummaryBSSummarys=$D68)*(dataSummaryBSSections=$E68)),endDates=AG$8)),0)</f>
        <v>4500000</v>
      </c>
      <c r="AH68" s="184" cm="1">
        <f t="array" ref="AH68">IFERROR(SUM(_xlfn._xlws.FILTER(_xlfn._xlws.FILTER(dataSummaryBS,(dataSummaryBSSummarys=$D68)*(dataSummaryBSSections=$E68)),endDates=AH$8)),0)</f>
        <v>4500000</v>
      </c>
      <c r="AI68" s="184" cm="1">
        <f t="array" ref="AI68">IFERROR(SUM(_xlfn._xlws.FILTER(_xlfn._xlws.FILTER(dataSummaryBS,(dataSummaryBSSummarys=$D68)*(dataSummaryBSSections=$E68)),endDates=AI$8)),0)</f>
        <v>4500000</v>
      </c>
      <c r="AJ68" s="184"/>
      <c r="AL68" s="184" cm="1">
        <f t="array" ref="AL68">IFERROR(SUM(_xlfn._xlws.FILTER(_xlfn._xlws.FILTER(dataSummaryBS,(dataSummaryBSSummarys=$D68)*(dataSummaryBSSections=$E68)),endDates=AL$8)),0)</f>
        <v>500000</v>
      </c>
      <c r="AM68" s="184" cm="1">
        <f t="array" ref="AM68">IFERROR(SUM(_xlfn._xlws.FILTER(_xlfn._xlws.FILTER(dataSummaryBS,(dataSummaryBSSummarys=$D68)*(dataSummaryBSSections=$E68)),endDates=AM$8)),0)</f>
        <v>500000</v>
      </c>
      <c r="AN68" s="184" cm="1">
        <f t="array" ref="AN68">IFERROR(SUM(_xlfn._xlws.FILTER(_xlfn._xlws.FILTER(dataSummaryBS,(dataSummaryBSSummarys=$D68)*(dataSummaryBSSections=$E68)),endDates=AN$8)),0)</f>
        <v>500000</v>
      </c>
      <c r="AO68" s="184" cm="1">
        <f t="array" ref="AO68">IFERROR(SUM(_xlfn._xlws.FILTER(_xlfn._xlws.FILTER(dataSummaryBS,(dataSummaryBSSummarys=$D68)*(dataSummaryBSSections=$E68)),endDates=AO$8)),0)</f>
        <v>500000</v>
      </c>
      <c r="AP68" s="184" cm="1">
        <f t="array" ref="AP68">IFERROR(SUM(_xlfn._xlws.FILTER(_xlfn._xlws.FILTER(dataSummaryBS,(dataSummaryBSSummarys=$D68)*(dataSummaryBSSections=$E68)),endDates=AP$8)),0)</f>
        <v>500000</v>
      </c>
      <c r="AQ68" s="184" cm="1">
        <f t="array" ref="AQ68">IFERROR(SUM(_xlfn._xlws.FILTER(_xlfn._xlws.FILTER(dataSummaryBS,(dataSummaryBSSummarys=$D68)*(dataSummaryBSSections=$E68)),endDates=AQ$8)),0)</f>
        <v>2000000</v>
      </c>
      <c r="AR68" s="184" cm="1">
        <f t="array" ref="AR68">IFERROR(SUM(_xlfn._xlws.FILTER(_xlfn._xlws.FILTER(dataSummaryBS,(dataSummaryBSSummarys=$D68)*(dataSummaryBSSections=$E68)),endDates=AR$8)),0)</f>
        <v>2000000</v>
      </c>
      <c r="AS68" s="184" cm="1">
        <f t="array" ref="AS68">IFERROR(SUM(_xlfn._xlws.FILTER(_xlfn._xlws.FILTER(dataSummaryBS,(dataSummaryBSSummarys=$D68)*(dataSummaryBSSections=$E68)),endDates=AS$8)),0)</f>
        <v>2000000</v>
      </c>
      <c r="AT68" s="184" cm="1">
        <f t="array" ref="AT68">IFERROR(SUM(_xlfn._xlws.FILTER(_xlfn._xlws.FILTER(dataSummaryBS,(dataSummaryBSSummarys=$D68)*(dataSummaryBSSections=$E68)),endDates=AT$8)),0)</f>
        <v>2000000</v>
      </c>
      <c r="AU68" s="184" cm="1">
        <f t="array" ref="AU68">IFERROR(SUM(_xlfn._xlws.FILTER(_xlfn._xlws.FILTER(dataSummaryBS,(dataSummaryBSSummarys=$D68)*(dataSummaryBSSections=$E68)),endDates=AU$8)),0)</f>
        <v>2000000</v>
      </c>
      <c r="AV68" s="184" cm="1">
        <f t="array" ref="AV68">IFERROR(SUM(_xlfn._xlws.FILTER(_xlfn._xlws.FILTER(dataSummaryBS,(dataSummaryBSSummarys=$D68)*(dataSummaryBSSections=$E68)),endDates=AV$8)),0)</f>
        <v>2500000</v>
      </c>
      <c r="AW68" s="184" cm="1">
        <f t="array" ref="AW68">IFERROR(SUM(_xlfn._xlws.FILTER(_xlfn._xlws.FILTER(dataSummaryBS,(dataSummaryBSSummarys=$D68)*(dataSummaryBSSections=$E68)),endDates=AW$8)),0)</f>
        <v>3500000</v>
      </c>
      <c r="AX68" s="184" cm="1">
        <f t="array" ref="AX68">IFERROR(SUM(_xlfn._xlws.FILTER(_xlfn._xlws.FILTER(dataSummaryBS,(dataSummaryBSSummarys=$D68)*(dataSummaryBSSections=$E68)),endDates=AX$8)),0)</f>
        <v>3500000</v>
      </c>
      <c r="AY68" s="184" cm="1">
        <f t="array" ref="AY68">IFERROR(SUM(_xlfn._xlws.FILTER(_xlfn._xlws.FILTER(dataSummaryBS,(dataSummaryBSSummarys=$D68)*(dataSummaryBSSections=$E68)),endDates=AY$8)),0)</f>
        <v>3500000</v>
      </c>
      <c r="AZ68" s="184" cm="1">
        <f t="array" ref="AZ68">IFERROR(SUM(_xlfn._xlws.FILTER(_xlfn._xlws.FILTER(dataSummaryBS,(dataSummaryBSSummarys=$D68)*(dataSummaryBSSections=$E68)),endDates=AZ$8)),0)</f>
        <v>3500000</v>
      </c>
      <c r="BA68" s="184" cm="1">
        <f t="array" ref="BA68">IFERROR(SUM(_xlfn._xlws.FILTER(_xlfn._xlws.FILTER(dataSummaryBS,(dataSummaryBSSummarys=$D68)*(dataSummaryBSSections=$E68)),endDates=BA$8)),0)</f>
        <v>3500000</v>
      </c>
      <c r="BB68" s="184" cm="1">
        <f t="array" ref="BB68">IFERROR(SUM(_xlfn._xlws.FILTER(_xlfn._xlws.FILTER(dataSummaryBS,(dataSummaryBSSummarys=$D68)*(dataSummaryBSSections=$E68)),endDates=BB$8)),0)</f>
        <v>3500000</v>
      </c>
      <c r="BC68" s="184" cm="1">
        <f t="array" ref="BC68">IFERROR(SUM(_xlfn._xlws.FILTER(_xlfn._xlws.FILTER(dataSummaryBS,(dataSummaryBSSummarys=$D68)*(dataSummaryBSSections=$E68)),endDates=BC$8)),0)</f>
        <v>3500000</v>
      </c>
      <c r="BD68" s="184" cm="1">
        <f t="array" ref="BD68">IFERROR(SUM(_xlfn._xlws.FILTER(_xlfn._xlws.FILTER(dataSummaryBS,(dataSummaryBSSummarys=$D68)*(dataSummaryBSSections=$E68)),endDates=BD$8)),0)</f>
        <v>3500000</v>
      </c>
      <c r="BE68" s="184" cm="1">
        <f t="array" ref="BE68">IFERROR(SUM(_xlfn._xlws.FILTER(_xlfn._xlws.FILTER(dataSummaryBS,(dataSummaryBSSummarys=$D68)*(dataSummaryBSSections=$E68)),endDates=BE$8)),0)</f>
        <v>3500000</v>
      </c>
      <c r="BF68" s="184" cm="1">
        <f t="array" ref="BF68">IFERROR(SUM(_xlfn._xlws.FILTER(_xlfn._xlws.FILTER(dataSummaryBS,(dataSummaryBSSummarys=$D68)*(dataSummaryBSSections=$E68)),endDates=BF$8)),0)</f>
        <v>3500000</v>
      </c>
      <c r="BG68" s="184" cm="1">
        <f t="array" ref="BG68">IFERROR(SUM(_xlfn._xlws.FILTER(_xlfn._xlws.FILTER(dataSummaryBS,(dataSummaryBSSummarys=$D68)*(dataSummaryBSSections=$E68)),endDates=BG$8)),0)</f>
        <v>3500000</v>
      </c>
      <c r="BH68" s="184" cm="1">
        <f t="array" ref="BH68">IFERROR(SUM(_xlfn._xlws.FILTER(_xlfn._xlws.FILTER(dataSummaryBS,(dataSummaryBSSummarys=$D68)*(dataSummaryBSSections=$E68)),endDates=BH$8)),0)</f>
        <v>3500000</v>
      </c>
      <c r="BI68" s="184" cm="1">
        <f t="array" ref="BI68">IFERROR(SUM(_xlfn._xlws.FILTER(_xlfn._xlws.FILTER(dataSummaryBS,(dataSummaryBSSummarys=$D68)*(dataSummaryBSSections=$E68)),endDates=BI$8)),0)</f>
        <v>3500000</v>
      </c>
      <c r="BJ68" s="184" cm="1">
        <f t="array" ref="BJ68">IFERROR(SUM(_xlfn._xlws.FILTER(_xlfn._xlws.FILTER(dataSummaryBS,(dataSummaryBSSummarys=$D68)*(dataSummaryBSSections=$E68)),endDates=BJ$8)),0)</f>
        <v>3500000</v>
      </c>
      <c r="BK68" s="184" cm="1">
        <f t="array" ref="BK68">IFERROR(SUM(_xlfn._xlws.FILTER(_xlfn._xlws.FILTER(dataSummaryBS,(dataSummaryBSSummarys=$D68)*(dataSummaryBSSections=$E68)),endDates=BK$8)),0)</f>
        <v>3500000</v>
      </c>
      <c r="BL68" s="184" cm="1">
        <f t="array" ref="BL68">IFERROR(SUM(_xlfn._xlws.FILTER(_xlfn._xlws.FILTER(dataSummaryBS,(dataSummaryBSSummarys=$D68)*(dataSummaryBSSections=$E68)),endDates=BL$8)),0)</f>
        <v>3500000</v>
      </c>
      <c r="BM68" s="184" cm="1">
        <f t="array" ref="BM68">IFERROR(SUM(_xlfn._xlws.FILTER(_xlfn._xlws.FILTER(dataSummaryBS,(dataSummaryBSSummarys=$D68)*(dataSummaryBSSections=$E68)),endDates=BM$8)),0)</f>
        <v>3500000</v>
      </c>
      <c r="BN68" s="184" cm="1">
        <f t="array" ref="BN68">IFERROR(SUM(_xlfn._xlws.FILTER(_xlfn._xlws.FILTER(dataSummaryBS,(dataSummaryBSSummarys=$D68)*(dataSummaryBSSections=$E68)),endDates=BN$8)),0)</f>
        <v>3500000</v>
      </c>
      <c r="BO68" s="184" cm="1">
        <f t="array" ref="BO68">IFERROR(SUM(_xlfn._xlws.FILTER(_xlfn._xlws.FILTER(dataSummaryBS,(dataSummaryBSSummarys=$D68)*(dataSummaryBSSections=$E68)),endDates=BO$8)),0)</f>
        <v>3500000</v>
      </c>
      <c r="BP68" s="184" cm="1">
        <f t="array" ref="BP68">IFERROR(SUM(_xlfn._xlws.FILTER(_xlfn._xlws.FILTER(dataSummaryBS,(dataSummaryBSSummarys=$D68)*(dataSummaryBSSections=$E68)),endDates=BP$8)),0)</f>
        <v>3500000</v>
      </c>
      <c r="BQ68" s="184" cm="1">
        <f t="array" ref="BQ68">IFERROR(SUM(_xlfn._xlws.FILTER(_xlfn._xlws.FILTER(dataSummaryBS,(dataSummaryBSSummarys=$D68)*(dataSummaryBSSections=$E68)),endDates=BQ$8)),0)</f>
        <v>3500000</v>
      </c>
      <c r="BR68" s="184" cm="1">
        <f t="array" ref="BR68">IFERROR(SUM(_xlfn._xlws.FILTER(_xlfn._xlws.FILTER(dataSummaryBS,(dataSummaryBSSummarys=$D68)*(dataSummaryBSSections=$E68)),endDates=BR$8)),0)</f>
        <v>3500000</v>
      </c>
      <c r="BS68" s="184" cm="1">
        <f t="array" ref="BS68">IFERROR(SUM(_xlfn._xlws.FILTER(_xlfn._xlws.FILTER(dataSummaryBS,(dataSummaryBSSummarys=$D68)*(dataSummaryBSSections=$E68)),endDates=BS$8)),0)</f>
        <v>3500000</v>
      </c>
      <c r="BT68" s="184" cm="1">
        <f t="array" ref="BT68">IFERROR(SUM(_xlfn._xlws.FILTER(_xlfn._xlws.FILTER(dataSummaryBS,(dataSummaryBSSummarys=$D68)*(dataSummaryBSSections=$E68)),endDates=BT$8)),0)</f>
        <v>3500000</v>
      </c>
      <c r="BU68" s="184" cm="1">
        <f t="array" ref="BU68">IFERROR(SUM(_xlfn._xlws.FILTER(_xlfn._xlws.FILTER(dataSummaryBS,(dataSummaryBSSummarys=$D68)*(dataSummaryBSSections=$E68)),endDates=BU$8)),0)</f>
        <v>4500000</v>
      </c>
      <c r="BV68" s="184" cm="1">
        <f t="array" ref="BV68">IFERROR(SUM(_xlfn._xlws.FILTER(_xlfn._xlws.FILTER(dataSummaryBS,(dataSummaryBSSummarys=$D68)*(dataSummaryBSSections=$E68)),endDates=BV$8)),0)</f>
        <v>4500000</v>
      </c>
      <c r="BW68" s="184" cm="1">
        <f t="array" ref="BW68">IFERROR(SUM(_xlfn._xlws.FILTER(_xlfn._xlws.FILTER(dataSummaryBS,(dataSummaryBSSummarys=$D68)*(dataSummaryBSSections=$E68)),endDates=BW$8)),0)</f>
        <v>4500000</v>
      </c>
      <c r="BX68" s="184" cm="1">
        <f t="array" ref="BX68">IFERROR(SUM(_xlfn._xlws.FILTER(_xlfn._xlws.FILTER(dataSummaryBS,(dataSummaryBSSummarys=$D68)*(dataSummaryBSSections=$E68)),endDates=BX$8)),0)</f>
        <v>4500000</v>
      </c>
      <c r="BY68" s="184" cm="1">
        <f t="array" ref="BY68">IFERROR(SUM(_xlfn._xlws.FILTER(_xlfn._xlws.FILTER(dataSummaryBS,(dataSummaryBSSummarys=$D68)*(dataSummaryBSSections=$E68)),endDates=BY$8)),0)</f>
        <v>4500000</v>
      </c>
      <c r="BZ68" s="184" cm="1">
        <f t="array" ref="BZ68">IFERROR(SUM(_xlfn._xlws.FILTER(_xlfn._xlws.FILTER(dataSummaryBS,(dataSummaryBSSummarys=$D68)*(dataSummaryBSSections=$E68)),endDates=BZ$8)),0)</f>
        <v>4500000</v>
      </c>
      <c r="CA68" s="184" cm="1">
        <f t="array" ref="CA68">IFERROR(SUM(_xlfn._xlws.FILTER(_xlfn._xlws.FILTER(dataSummaryBS,(dataSummaryBSSummarys=$D68)*(dataSummaryBSSections=$E68)),endDates=CA$8)),0)</f>
        <v>4500000</v>
      </c>
      <c r="CB68" s="184" cm="1">
        <f t="array" ref="CB68">IFERROR(SUM(_xlfn._xlws.FILTER(_xlfn._xlws.FILTER(dataSummaryBS,(dataSummaryBSSummarys=$D68)*(dataSummaryBSSections=$E68)),endDates=CB$8)),0)</f>
        <v>4500000</v>
      </c>
      <c r="CC68" s="184" cm="1">
        <f t="array" ref="CC68">IFERROR(SUM(_xlfn._xlws.FILTER(_xlfn._xlws.FILTER(dataSummaryBS,(dataSummaryBSSummarys=$D68)*(dataSummaryBSSections=$E68)),endDates=CC$8)),0)</f>
        <v>4500000</v>
      </c>
      <c r="CD68" s="184" cm="1">
        <f t="array" ref="CD68">IFERROR(SUM(_xlfn._xlws.FILTER(_xlfn._xlws.FILTER(dataSummaryBS,(dataSummaryBSSummarys=$D68)*(dataSummaryBSSections=$E68)),endDates=CD$8)),0)</f>
        <v>4500000</v>
      </c>
      <c r="CE68" s="184" cm="1">
        <f t="array" ref="CE68">IFERROR(SUM(_xlfn._xlws.FILTER(_xlfn._xlws.FILTER(dataSummaryBS,(dataSummaryBSSummarys=$D68)*(dataSummaryBSSections=$E68)),endDates=CE$8)),0)</f>
        <v>4500000</v>
      </c>
      <c r="CF68" s="184" cm="1">
        <f t="array" ref="CF68">IFERROR(SUM(_xlfn._xlws.FILTER(_xlfn._xlws.FILTER(dataSummaryBS,(dataSummaryBSSummarys=$D68)*(dataSummaryBSSections=$E68)),endDates=CF$8)),0)</f>
        <v>4500000</v>
      </c>
      <c r="CG68" s="184" cm="1">
        <f t="array" ref="CG68">IFERROR(SUM(_xlfn._xlws.FILTER(_xlfn._xlws.FILTER(dataSummaryBS,(dataSummaryBSSummarys=$D68)*(dataSummaryBSSections=$E68)),endDates=CG$8)),0)</f>
        <v>4500000</v>
      </c>
    </row>
    <row r="69" spans="1:85" outlineLevel="1">
      <c r="C69" s="331" t="s">
        <v>148</v>
      </c>
      <c r="D69" s="163" t="str">
        <f>C69</f>
        <v>Retained Earnings</v>
      </c>
      <c r="E69" s="150" t="s">
        <v>146</v>
      </c>
      <c r="F69" s="163"/>
      <c r="G69" s="163"/>
      <c r="J69" s="184" cm="1">
        <f t="array" ref="J69">IFERROR(SUM(_xlfn._xlws.FILTER(_xlfn._xlws.FILTER(dataSummaryBS,(dataSummaryBSSummarys=$D69)*(dataSummaryBSSections=$E69)),endDates=J$8)),0)</f>
        <v>-4555252.6500000004</v>
      </c>
      <c r="K69" s="184" cm="1">
        <f t="array" ref="K69">IFERROR(SUM(_xlfn._xlws.FILTER(_xlfn._xlws.FILTER(dataSummaryBS,(dataSummaryBSSummarys=$D69)*(dataSummaryBSSections=$E69)),endDates=K$8)),0)</f>
        <v>-4555252.6500000004</v>
      </c>
      <c r="N69" s="184" cm="1">
        <f t="array" ref="N69">IFERROR(SUM(_xlfn._xlws.FILTER(_xlfn._xlws.FILTER(dataSummaryBS,(dataSummaryBSSummarys=$D69)*(dataSummaryBSSections=$E69)),endDates=N$8)),0)</f>
        <v>-659921.5</v>
      </c>
      <c r="O69" s="184" cm="1">
        <f t="array" ref="O69">IFERROR(SUM(_xlfn._xlws.FILTER(_xlfn._xlws.FILTER(dataSummaryBS,(dataSummaryBSSummarys=$D69)*(dataSummaryBSSections=$E69)),endDates=O$8)),0)</f>
        <v>-2213404</v>
      </c>
      <c r="P69" s="184" cm="1">
        <f t="array" ref="P69">IFERROR(SUM(_xlfn._xlws.FILTER(_xlfn._xlws.FILTER(dataSummaryBS,(dataSummaryBSSummarys=$D69)*(dataSummaryBSSections=$E69)),endDates=P$8)),0)</f>
        <v>-4837122.7422727272</v>
      </c>
      <c r="Q69" s="184" cm="1">
        <f t="array" ref="Q69">IFERROR(SUM(_xlfn._xlws.FILTER(_xlfn._xlws.FILTER(dataSummaryBS,(dataSummaryBSSummarys=$D69)*(dataSummaryBSSections=$E69)),endDates=Q$8)),0)</f>
        <v>-7634607.7380288206</v>
      </c>
      <c r="T69" s="184" cm="1">
        <f t="array" ref="T69">IFERROR(SUM(_xlfn._xlws.FILTER(_xlfn._xlws.FILTER(dataSummaryBS,(dataSummaryBSSummarys=$D69)*(dataSummaryBSSections=$E69)),endDates=T$8)),0)</f>
        <v>-134542</v>
      </c>
      <c r="U69" s="184" cm="1">
        <f t="array" ref="U69">IFERROR(SUM(_xlfn._xlws.FILTER(_xlfn._xlws.FILTER(dataSummaryBS,(dataSummaryBSSummarys=$D69)*(dataSummaryBSSections=$E69)),endDates=U$8)),0)</f>
        <v>-275562</v>
      </c>
      <c r="V69" s="184" cm="1">
        <f t="array" ref="V69">IFERROR(SUM(_xlfn._xlws.FILTER(_xlfn._xlws.FILTER(dataSummaryBS,(dataSummaryBSSummarys=$D69)*(dataSummaryBSSections=$E69)),endDates=V$8)),0)</f>
        <v>-418443.5</v>
      </c>
      <c r="W69" s="184" cm="1">
        <f t="array" ref="W69">IFERROR(SUM(_xlfn._xlws.FILTER(_xlfn._xlws.FILTER(dataSummaryBS,(dataSummaryBSSummarys=$D69)*(dataSummaryBSSections=$E69)),endDates=W$8)),0)</f>
        <v>-659921.5</v>
      </c>
      <c r="X69" s="184" cm="1">
        <f t="array" ref="X69">IFERROR(SUM(_xlfn._xlws.FILTER(_xlfn._xlws.FILTER(dataSummaryBS,(dataSummaryBSSummarys=$D69)*(dataSummaryBSSections=$E69)),endDates=X$8)),0)</f>
        <v>-937415.5</v>
      </c>
      <c r="Y69" s="184" cm="1">
        <f t="array" ref="Y69">IFERROR(SUM(_xlfn._xlws.FILTER(_xlfn._xlws.FILTER(dataSummaryBS,(dataSummaryBSSummarys=$D69)*(dataSummaryBSSections=$E69)),endDates=Y$8)),0)</f>
        <v>-1290560.5</v>
      </c>
      <c r="Z69" s="184" cm="1">
        <f t="array" ref="Z69">IFERROR(SUM(_xlfn._xlws.FILTER(_xlfn._xlws.FILTER(dataSummaryBS,(dataSummaryBSSummarys=$D69)*(dataSummaryBSSections=$E69)),endDates=Z$8)),0)</f>
        <v>-1735747.5</v>
      </c>
      <c r="AA69" s="184" cm="1">
        <f t="array" ref="AA69">IFERROR(SUM(_xlfn._xlws.FILTER(_xlfn._xlws.FILTER(dataSummaryBS,(dataSummaryBSSummarys=$D69)*(dataSummaryBSSections=$E69)),endDates=AA$8)),0)</f>
        <v>-2213404</v>
      </c>
      <c r="AB69" s="184" cm="1">
        <f t="array" ref="AB69">IFERROR(SUM(_xlfn._xlws.FILTER(_xlfn._xlws.FILTER(dataSummaryBS,(dataSummaryBSSummarys=$D69)*(dataSummaryBSSections=$E69)),endDates=AB$8)),0)</f>
        <v>-2756186.23</v>
      </c>
      <c r="AC69" s="184" cm="1">
        <f t="array" ref="AC69">IFERROR(SUM(_xlfn._xlws.FILTER(_xlfn._xlws.FILTER(dataSummaryBS,(dataSummaryBSSummarys=$D69)*(dataSummaryBSSections=$E69)),endDates=AC$8)),0)</f>
        <v>-3366961.76</v>
      </c>
      <c r="AD69" s="184" cm="1">
        <f t="array" ref="AD69">IFERROR(SUM(_xlfn._xlws.FILTER(_xlfn._xlws.FILTER(dataSummaryBS,(dataSummaryBSSummarys=$D69)*(dataSummaryBSSections=$E69)),endDates=AD$8)),0)</f>
        <v>-4049210.01</v>
      </c>
      <c r="AE69" s="184" cm="1">
        <f t="array" ref="AE69">IFERROR(SUM(_xlfn._xlws.FILTER(_xlfn._xlws.FILTER(dataSummaryBS,(dataSummaryBSSummarys=$D69)*(dataSummaryBSSections=$E69)),endDates=AE$8)),0)</f>
        <v>-4837122.7422727272</v>
      </c>
      <c r="AF69" s="184" cm="1">
        <f t="array" ref="AF69">IFERROR(SUM(_xlfn._xlws.FILTER(_xlfn._xlws.FILTER(dataSummaryBS,(dataSummaryBSSummarys=$D69)*(dataSummaryBSSections=$E69)),endDates=AF$8)),0)</f>
        <v>-5447687.5761010051</v>
      </c>
      <c r="AG69" s="184" cm="1">
        <f t="array" ref="AG69">IFERROR(SUM(_xlfn._xlws.FILTER(_xlfn._xlws.FILTER(dataSummaryBS,(dataSummaryBSSummarys=$D69)*(dataSummaryBSSections=$E69)),endDates=AG$8)),0)</f>
        <v>-6128361.2909142058</v>
      </c>
      <c r="AH69" s="184" cm="1">
        <f t="array" ref="AH69">IFERROR(SUM(_xlfn._xlws.FILTER(_xlfn._xlws.FILTER(dataSummaryBS,(dataSummaryBSSummarys=$D69)*(dataSummaryBSSections=$E69)),endDates=AH$8)),0)</f>
        <v>-6857188.7714317888</v>
      </c>
      <c r="AI69" s="184" cm="1">
        <f t="array" ref="AI69">IFERROR(SUM(_xlfn._xlws.FILTER(_xlfn._xlws.FILTER(dataSummaryBS,(dataSummaryBSSummarys=$D69)*(dataSummaryBSSections=$E69)),endDates=AI$8)),0)</f>
        <v>-7634607.7380288206</v>
      </c>
      <c r="AJ69" s="184"/>
      <c r="AL69" s="184" cm="1">
        <f t="array" ref="AL69">IFERROR(SUM(_xlfn._xlws.FILTER(_xlfn._xlws.FILTER(dataSummaryBS,(dataSummaryBSSummarys=$D69)*(dataSummaryBSSections=$E69)),endDates=AL$8)),0)</f>
        <v>-44399</v>
      </c>
      <c r="AM69" s="184" cm="1">
        <f t="array" ref="AM69">IFERROR(SUM(_xlfn._xlws.FILTER(_xlfn._xlws.FILTER(dataSummaryBS,(dataSummaryBSSummarys=$D69)*(dataSummaryBSSections=$E69)),endDates=AM$8)),0)</f>
        <v>-89238</v>
      </c>
      <c r="AN69" s="184" cm="1">
        <f t="array" ref="AN69">IFERROR(SUM(_xlfn._xlws.FILTER(_xlfn._xlws.FILTER(dataSummaryBS,(dataSummaryBSSummarys=$D69)*(dataSummaryBSSections=$E69)),endDates=AN$8)),0)</f>
        <v>-134542</v>
      </c>
      <c r="AO69" s="184" cm="1">
        <f t="array" ref="AO69">IFERROR(SUM(_xlfn._xlws.FILTER(_xlfn._xlws.FILTER(dataSummaryBS,(dataSummaryBSSummarys=$D69)*(dataSummaryBSSections=$E69)),endDates=AO$8)),0)</f>
        <v>-181163</v>
      </c>
      <c r="AP69" s="184" cm="1">
        <f t="array" ref="AP69">IFERROR(SUM(_xlfn._xlws.FILTER(_xlfn._xlws.FILTER(dataSummaryBS,(dataSummaryBSSummarys=$D69)*(dataSummaryBSSections=$E69)),endDates=AP$8)),0)</f>
        <v>-228141</v>
      </c>
      <c r="AQ69" s="184" cm="1">
        <f t="array" ref="AQ69">IFERROR(SUM(_xlfn._xlws.FILTER(_xlfn._xlws.FILTER(dataSummaryBS,(dataSummaryBSSummarys=$D69)*(dataSummaryBSSections=$E69)),endDates=AQ$8)),0)</f>
        <v>-275562</v>
      </c>
      <c r="AR69" s="184" cm="1">
        <f t="array" ref="AR69">IFERROR(SUM(_xlfn._xlws.FILTER(_xlfn._xlws.FILTER(dataSummaryBS,(dataSummaryBSSummarys=$D69)*(dataSummaryBSSections=$E69)),endDates=AR$8)),0)</f>
        <v>-323123</v>
      </c>
      <c r="AS69" s="184" cm="1">
        <f t="array" ref="AS69">IFERROR(SUM(_xlfn._xlws.FILTER(_xlfn._xlws.FILTER(dataSummaryBS,(dataSummaryBSSummarys=$D69)*(dataSummaryBSSections=$E69)),endDates=AS$8)),0)</f>
        <v>-370807.5</v>
      </c>
      <c r="AT69" s="184" cm="1">
        <f t="array" ref="AT69">IFERROR(SUM(_xlfn._xlws.FILTER(_xlfn._xlws.FILTER(dataSummaryBS,(dataSummaryBSSummarys=$D69)*(dataSummaryBSSections=$E69)),endDates=AT$8)),0)</f>
        <v>-418443.5</v>
      </c>
      <c r="AU69" s="184" cm="1">
        <f t="array" ref="AU69">IFERROR(SUM(_xlfn._xlws.FILTER(_xlfn._xlws.FILTER(dataSummaryBS,(dataSummaryBSSummarys=$D69)*(dataSummaryBSSections=$E69)),endDates=AU$8)),0)</f>
        <v>-470918.5</v>
      </c>
      <c r="AV69" s="184" cm="1">
        <f t="array" ref="AV69">IFERROR(SUM(_xlfn._xlws.FILTER(_xlfn._xlws.FILTER(dataSummaryBS,(dataSummaryBSSummarys=$D69)*(dataSummaryBSSections=$E69)),endDates=AV$8)),0)</f>
        <v>-535736.5</v>
      </c>
      <c r="AW69" s="184" cm="1">
        <f t="array" ref="AW69">IFERROR(SUM(_xlfn._xlws.FILTER(_xlfn._xlws.FILTER(dataSummaryBS,(dataSummaryBSSummarys=$D69)*(dataSummaryBSSections=$E69)),endDates=AW$8)),0)</f>
        <v>-659921.5</v>
      </c>
      <c r="AX69" s="184" cm="1">
        <f t="array" ref="AX69">IFERROR(SUM(_xlfn._xlws.FILTER(_xlfn._xlws.FILTER(dataSummaryBS,(dataSummaryBSSummarys=$D69)*(dataSummaryBSSections=$E69)),endDates=AX$8)),0)</f>
        <v>-732726</v>
      </c>
      <c r="AY69" s="184" cm="1">
        <f t="array" ref="AY69">IFERROR(SUM(_xlfn._xlws.FILTER(_xlfn._xlws.FILTER(dataSummaryBS,(dataSummaryBSSummarys=$D69)*(dataSummaryBSSections=$E69)),endDates=AY$8)),0)</f>
        <v>-862046</v>
      </c>
      <c r="AZ69" s="184" cm="1">
        <f t="array" ref="AZ69">IFERROR(SUM(_xlfn._xlws.FILTER(_xlfn._xlws.FILTER(dataSummaryBS,(dataSummaryBSSummarys=$D69)*(dataSummaryBSSections=$E69)),endDates=AZ$8)),0)</f>
        <v>-937415.5</v>
      </c>
      <c r="BA69" s="184" cm="1">
        <f t="array" ref="BA69">IFERROR(SUM(_xlfn._xlws.FILTER(_xlfn._xlws.FILTER(dataSummaryBS,(dataSummaryBSSummarys=$D69)*(dataSummaryBSSections=$E69)),endDates=BA$8)),0)</f>
        <v>-1072126</v>
      </c>
      <c r="BB69" s="184" cm="1">
        <f t="array" ref="BB69">IFERROR(SUM(_xlfn._xlws.FILTER(_xlfn._xlws.FILTER(dataSummaryBS,(dataSummaryBSSummarys=$D69)*(dataSummaryBSSections=$E69)),endDates=BB$8)),0)</f>
        <v>-1150188.5</v>
      </c>
      <c r="BC69" s="184" cm="1">
        <f t="array" ref="BC69">IFERROR(SUM(_xlfn._xlws.FILTER(_xlfn._xlws.FILTER(dataSummaryBS,(dataSummaryBSSummarys=$D69)*(dataSummaryBSSections=$E69)),endDates=BC$8)),0)</f>
        <v>-1290560.5</v>
      </c>
      <c r="BD69" s="184" cm="1">
        <f t="array" ref="BD69">IFERROR(SUM(_xlfn._xlws.FILTER(_xlfn._xlws.FILTER(dataSummaryBS,(dataSummaryBSSummarys=$D69)*(dataSummaryBSSections=$E69)),endDates=BD$8)),0)</f>
        <v>-1436876.5</v>
      </c>
      <c r="BE69" s="184" cm="1">
        <f t="array" ref="BE69">IFERROR(SUM(_xlfn._xlws.FILTER(_xlfn._xlws.FILTER(dataSummaryBS,(dataSummaryBSSummarys=$D69)*(dataSummaryBSSections=$E69)),endDates=BE$8)),0)</f>
        <v>-1583191.5</v>
      </c>
      <c r="BF69" s="184" cm="1">
        <f t="array" ref="BF69">IFERROR(SUM(_xlfn._xlws.FILTER(_xlfn._xlws.FILTER(dataSummaryBS,(dataSummaryBSSummarys=$D69)*(dataSummaryBSSections=$E69)),endDates=BF$8)),0)</f>
        <v>-1735747.5</v>
      </c>
      <c r="BG69" s="184" cm="1">
        <f t="array" ref="BG69">IFERROR(SUM(_xlfn._xlws.FILTER(_xlfn._xlws.FILTER(dataSummaryBS,(dataSummaryBSSummarys=$D69)*(dataSummaryBSSections=$E69)),endDates=BG$8)),0)</f>
        <v>-1888304.5</v>
      </c>
      <c r="BH69" s="184" cm="1">
        <f t="array" ref="BH69">IFERROR(SUM(_xlfn._xlws.FILTER(_xlfn._xlws.FILTER(dataSummaryBS,(dataSummaryBSSummarys=$D69)*(dataSummaryBSSections=$E69)),endDates=BH$8)),0)</f>
        <v>-2047414.5</v>
      </c>
      <c r="BI69" s="184" cm="1">
        <f t="array" ref="BI69">IFERROR(SUM(_xlfn._xlws.FILTER(_xlfn._xlws.FILTER(dataSummaryBS,(dataSummaryBSSummarys=$D69)*(dataSummaryBSSections=$E69)),endDates=BI$8)),0)</f>
        <v>-2213404</v>
      </c>
      <c r="BJ69" s="184" cm="1">
        <f t="array" ref="BJ69">IFERROR(SUM(_xlfn._xlws.FILTER(_xlfn._xlws.FILTER(dataSummaryBS,(dataSummaryBSSummarys=$D69)*(dataSummaryBSSections=$E69)),endDates=BJ$8)),0)</f>
        <v>-2386618.91</v>
      </c>
      <c r="BK69" s="184" cm="1">
        <f t="array" ref="BK69">IFERROR(SUM(_xlfn._xlws.FILTER(_xlfn._xlws.FILTER(dataSummaryBS,(dataSummaryBSSummarys=$D69)*(dataSummaryBSSections=$E69)),endDates=BK$8)),0)</f>
        <v>-2567419.5699999998</v>
      </c>
      <c r="BL69" s="184" cm="1">
        <f t="array" ref="BL69">IFERROR(SUM(_xlfn._xlws.FILTER(_xlfn._xlws.FILTER(dataSummaryBS,(dataSummaryBSSummarys=$D69)*(dataSummaryBSSections=$E69)),endDates=BL$8)),0)</f>
        <v>-2756186.23</v>
      </c>
      <c r="BM69" s="184" cm="1">
        <f t="array" ref="BM69">IFERROR(SUM(_xlfn._xlws.FILTER(_xlfn._xlws.FILTER(dataSummaryBS,(dataSummaryBSSummarys=$D69)*(dataSummaryBSSections=$E69)),endDates=BM$8)),0)</f>
        <v>-2953315.89</v>
      </c>
      <c r="BN69" s="184" cm="1">
        <f t="array" ref="BN69">IFERROR(SUM(_xlfn._xlws.FILTER(_xlfn._xlws.FILTER(dataSummaryBS,(dataSummaryBSSummarys=$D69)*(dataSummaryBSSections=$E69)),endDates=BN$8)),0)</f>
        <v>-3159229.55</v>
      </c>
      <c r="BO69" s="184" cm="1">
        <f t="array" ref="BO69">IFERROR(SUM(_xlfn._xlws.FILTER(_xlfn._xlws.FILTER(dataSummaryBS,(dataSummaryBSSummarys=$D69)*(dataSummaryBSSections=$E69)),endDates=BO$8)),0)</f>
        <v>-3366961.76</v>
      </c>
      <c r="BP69" s="184" cm="1">
        <f t="array" ref="BP69">IFERROR(SUM(_xlfn._xlws.FILTER(_xlfn._xlws.FILTER(dataSummaryBS,(dataSummaryBSSummarys=$D69)*(dataSummaryBSSections=$E69)),endDates=BP$8)),0)</f>
        <v>-3586075.81</v>
      </c>
      <c r="BQ69" s="184" cm="1">
        <f t="array" ref="BQ69">IFERROR(SUM(_xlfn._xlws.FILTER(_xlfn._xlws.FILTER(dataSummaryBS,(dataSummaryBSSummarys=$D69)*(dataSummaryBSSections=$E69)),endDates=BQ$8)),0)</f>
        <v>-3821555.8</v>
      </c>
      <c r="BR69" s="184" cm="1">
        <f t="array" ref="BR69">IFERROR(SUM(_xlfn._xlws.FILTER(_xlfn._xlws.FILTER(dataSummaryBS,(dataSummaryBSSummarys=$D69)*(dataSummaryBSSections=$E69)),endDates=BR$8)),0)</f>
        <v>-4049210.01</v>
      </c>
      <c r="BS69" s="184" cm="1">
        <f t="array" ref="BS69">IFERROR(SUM(_xlfn._xlws.FILTER(_xlfn._xlws.FILTER(dataSummaryBS,(dataSummaryBSSummarys=$D69)*(dataSummaryBSSections=$E69)),endDates=BS$8)),0)</f>
        <v>-4296072.16</v>
      </c>
      <c r="BT69" s="184" cm="1">
        <f t="array" ref="BT69">IFERROR(SUM(_xlfn._xlws.FILTER(_xlfn._xlws.FILTER(dataSummaryBS,(dataSummaryBSSummarys=$D69)*(dataSummaryBSSections=$E69)),endDates=BT$8)),0)</f>
        <v>-4555252.6500000004</v>
      </c>
      <c r="BU69" s="184" cm="1">
        <f t="array" ref="BU69">IFERROR(SUM(_xlfn._xlws.FILTER(_xlfn._xlws.FILTER(dataSummaryBS,(dataSummaryBSSummarys=$D69)*(dataSummaryBSSections=$E69)),endDates=BU$8)),0)</f>
        <v>-4837122.7422727272</v>
      </c>
      <c r="BV69" s="184" cm="1">
        <f t="array" ref="BV69">IFERROR(SUM(_xlfn._xlws.FILTER(_xlfn._xlws.FILTER(dataSummaryBS,(dataSummaryBSSummarys=$D69)*(dataSummaryBSSections=$E69)),endDates=BV$8)),0)</f>
        <v>-5062072.7783009065</v>
      </c>
      <c r="BW69" s="184" cm="1">
        <f t="array" ref="BW69">IFERROR(SUM(_xlfn._xlws.FILTER(_xlfn._xlws.FILTER(dataSummaryBS,(dataSummaryBSSummarys=$D69)*(dataSummaryBSSections=$E69)),endDates=BW$8)),0)</f>
        <v>-5252550.9039910408</v>
      </c>
      <c r="BX69" s="184" cm="1">
        <f t="array" ref="BX69">IFERROR(SUM(_xlfn._xlws.FILTER(_xlfn._xlws.FILTER(dataSummaryBS,(dataSummaryBSSummarys=$D69)*(dataSummaryBSSections=$E69)),endDates=BX$8)),0)</f>
        <v>-5447687.5761010051</v>
      </c>
      <c r="BY69" s="184" cm="1">
        <f t="array" ref="BY69">IFERROR(SUM(_xlfn._xlws.FILTER(_xlfn._xlws.FILTER(dataSummaryBS,(dataSummaryBSSummarys=$D69)*(dataSummaryBSSections=$E69)),endDates=BY$8)),0)</f>
        <v>-5670562.381234521</v>
      </c>
      <c r="BZ69" s="184" cm="1">
        <f t="array" ref="BZ69">IFERROR(SUM(_xlfn._xlws.FILTER(_xlfn._xlws.FILTER(dataSummaryBS,(dataSummaryBSSummarys=$D69)*(dataSummaryBSSections=$E69)),endDates=BZ$8)),0)</f>
        <v>-5896926.5089926366</v>
      </c>
      <c r="CA69" s="184" cm="1">
        <f t="array" ref="CA69">IFERROR(SUM(_xlfn._xlws.FILTER(_xlfn._xlws.FILTER(dataSummaryBS,(dataSummaryBSSummarys=$D69)*(dataSummaryBSSections=$E69)),endDates=CA$8)),0)</f>
        <v>-6128361.2909142058</v>
      </c>
      <c r="CB69" s="184" cm="1">
        <f t="array" ref="CB69">IFERROR(SUM(_xlfn._xlws.FILTER(_xlfn._xlws.FILTER(dataSummaryBS,(dataSummaryBSSummarys=$D69)*(dataSummaryBSSections=$E69)),endDates=CB$8)),0)</f>
        <v>-6367536.4313802551</v>
      </c>
      <c r="CC69" s="184" cm="1">
        <f t="array" ref="CC69">IFERROR(SUM(_xlfn._xlws.FILTER(_xlfn._xlws.FILTER(dataSummaryBS,(dataSummaryBSSummarys=$D69)*(dataSummaryBSSections=$E69)),endDates=CC$8)),0)</f>
        <v>-6610535.7474694038</v>
      </c>
      <c r="CD69" s="184" cm="1">
        <f t="array" ref="CD69">IFERROR(SUM(_xlfn._xlws.FILTER(_xlfn._xlws.FILTER(dataSummaryBS,(dataSummaryBSSummarys=$D69)*(dataSummaryBSSections=$E69)),endDates=CD$8)),0)</f>
        <v>-6857188.7714317888</v>
      </c>
      <c r="CE69" s="184" cm="1">
        <f t="array" ref="CE69">IFERROR(SUM(_xlfn._xlws.FILTER(_xlfn._xlws.FILTER(dataSummaryBS,(dataSummaryBSSummarys=$D69)*(dataSummaryBSSections=$E69)),endDates=CE$8)),0)</f>
        <v>-7107304.7233782439</v>
      </c>
      <c r="CF69" s="184" cm="1">
        <f t="array" ref="CF69">IFERROR(SUM(_xlfn._xlws.FILTER(_xlfn._xlws.FILTER(dataSummaryBS,(dataSummaryBSSummarys=$D69)*(dataSummaryBSSections=$E69)),endDates=CF$8)),0)</f>
        <v>-7360773.4051949</v>
      </c>
      <c r="CG69" s="184" cm="1">
        <f t="array" ref="CG69">IFERROR(SUM(_xlfn._xlws.FILTER(_xlfn._xlws.FILTER(dataSummaryBS,(dataSummaryBSSummarys=$D69)*(dataSummaryBSSections=$E69)),endDates=CG$8)),0)</f>
        <v>-7634607.7380288206</v>
      </c>
    </row>
    <row r="70" spans="1:85"/>
    <row r="71" spans="1:85" s="180" customFormat="1" ht="62.1" customHeight="1">
      <c r="B71" s="183"/>
      <c r="C71" s="182" t="s">
        <v>57</v>
      </c>
      <c r="D71" s="181"/>
      <c r="E71" s="182"/>
      <c r="F71" s="181"/>
      <c r="G71" s="181"/>
    </row>
    <row r="72" spans="1:85" ht="15.75" customHeight="1">
      <c r="I72" s="851" t="s">
        <v>158</v>
      </c>
      <c r="M72" s="851" t="s">
        <v>159</v>
      </c>
      <c r="S72" s="851" t="s">
        <v>160</v>
      </c>
      <c r="T72" s="176"/>
      <c r="AK72" s="851" t="s">
        <v>161</v>
      </c>
    </row>
    <row r="73" spans="1:85" ht="29.25" customHeight="1" collapsed="1">
      <c r="C73" s="174"/>
      <c r="I73" s="851"/>
      <c r="J73" s="178" t="str">
        <f>IF(J$8&lt;=LatestMonthOfActuals,"Actual","Projected")</f>
        <v>Actual</v>
      </c>
      <c r="K73" s="178" t="str">
        <f>IF(K$8&lt;=LatestMonthOfActuals,"Actual","Projected")</f>
        <v>Actual</v>
      </c>
      <c r="M73" s="851"/>
      <c r="N73" s="178" t="str">
        <f>IF(N$8&lt;=LatestMonthOfActuals,"Actual","Projected")</f>
        <v>Actual</v>
      </c>
      <c r="O73" s="178" t="str">
        <f>IF(O$8&lt;=LatestMonthOfActuals,"Actual","Projected")</f>
        <v>Actual</v>
      </c>
      <c r="P73" s="178" t="str">
        <f>IF(P$8&lt;=LatestMonthOfActuals,"Actual","Projected")</f>
        <v>Projected</v>
      </c>
      <c r="Q73" s="178" t="str">
        <f>IF(Q$8&lt;=LatestMonthOfActuals,"Actual","Projected")</f>
        <v>Projected</v>
      </c>
      <c r="S73" s="851"/>
      <c r="T73" s="178" t="str">
        <f t="shared" ref="T73:AI73" si="57">IF(T$8&lt;=LatestMonthOfActuals,"Actual","Projected")</f>
        <v>Actual</v>
      </c>
      <c r="U73" s="178" t="str">
        <f t="shared" si="57"/>
        <v>Actual</v>
      </c>
      <c r="V73" s="178" t="str">
        <f t="shared" si="57"/>
        <v>Actual</v>
      </c>
      <c r="W73" s="178" t="str">
        <f t="shared" si="57"/>
        <v>Actual</v>
      </c>
      <c r="X73" s="178" t="str">
        <f t="shared" si="57"/>
        <v>Actual</v>
      </c>
      <c r="Y73" s="178" t="str">
        <f t="shared" si="57"/>
        <v>Actual</v>
      </c>
      <c r="Z73" s="178" t="str">
        <f t="shared" si="57"/>
        <v>Actual</v>
      </c>
      <c r="AA73" s="178" t="str">
        <f t="shared" si="57"/>
        <v>Actual</v>
      </c>
      <c r="AB73" s="178" t="str">
        <f t="shared" si="57"/>
        <v>Actual</v>
      </c>
      <c r="AC73" s="178" t="str">
        <f t="shared" si="57"/>
        <v>Actual</v>
      </c>
      <c r="AD73" s="178" t="str">
        <f t="shared" si="57"/>
        <v>Actual</v>
      </c>
      <c r="AE73" s="178" t="str">
        <f t="shared" si="57"/>
        <v>Projected</v>
      </c>
      <c r="AF73" s="178" t="str">
        <f t="shared" si="57"/>
        <v>Projected</v>
      </c>
      <c r="AG73" s="178" t="str">
        <f t="shared" si="57"/>
        <v>Projected</v>
      </c>
      <c r="AH73" s="178" t="str">
        <f t="shared" si="57"/>
        <v>Projected</v>
      </c>
      <c r="AI73" s="178" t="str">
        <f t="shared" si="57"/>
        <v>Projected</v>
      </c>
      <c r="AJ73" s="179"/>
      <c r="AK73" s="851"/>
      <c r="AL73" s="178" t="str">
        <f t="shared" ref="AL73:CG73" si="58">IF(AL$8&lt;=LatestMonthOfActuals,"Actual","Projected")</f>
        <v>Actual</v>
      </c>
      <c r="AM73" s="178" t="str">
        <f t="shared" si="58"/>
        <v>Actual</v>
      </c>
      <c r="AN73" s="178" t="str">
        <f t="shared" si="58"/>
        <v>Actual</v>
      </c>
      <c r="AO73" s="178" t="str">
        <f t="shared" si="58"/>
        <v>Actual</v>
      </c>
      <c r="AP73" s="178" t="str">
        <f t="shared" si="58"/>
        <v>Actual</v>
      </c>
      <c r="AQ73" s="178" t="str">
        <f t="shared" si="58"/>
        <v>Actual</v>
      </c>
      <c r="AR73" s="178" t="str">
        <f t="shared" si="58"/>
        <v>Actual</v>
      </c>
      <c r="AS73" s="178" t="str">
        <f t="shared" si="58"/>
        <v>Actual</v>
      </c>
      <c r="AT73" s="178" t="str">
        <f t="shared" si="58"/>
        <v>Actual</v>
      </c>
      <c r="AU73" s="178" t="str">
        <f t="shared" si="58"/>
        <v>Actual</v>
      </c>
      <c r="AV73" s="178" t="str">
        <f t="shared" si="58"/>
        <v>Actual</v>
      </c>
      <c r="AW73" s="178" t="str">
        <f t="shared" si="58"/>
        <v>Actual</v>
      </c>
      <c r="AX73" s="178" t="str">
        <f t="shared" si="58"/>
        <v>Actual</v>
      </c>
      <c r="AY73" s="178" t="str">
        <f t="shared" si="58"/>
        <v>Actual</v>
      </c>
      <c r="AZ73" s="178" t="str">
        <f t="shared" si="58"/>
        <v>Actual</v>
      </c>
      <c r="BA73" s="178" t="str">
        <f t="shared" si="58"/>
        <v>Actual</v>
      </c>
      <c r="BB73" s="178" t="str">
        <f t="shared" si="58"/>
        <v>Actual</v>
      </c>
      <c r="BC73" s="178" t="str">
        <f t="shared" si="58"/>
        <v>Actual</v>
      </c>
      <c r="BD73" s="178" t="str">
        <f t="shared" si="58"/>
        <v>Actual</v>
      </c>
      <c r="BE73" s="178" t="str">
        <f t="shared" si="58"/>
        <v>Actual</v>
      </c>
      <c r="BF73" s="178" t="str">
        <f t="shared" si="58"/>
        <v>Actual</v>
      </c>
      <c r="BG73" s="178" t="str">
        <f t="shared" si="58"/>
        <v>Actual</v>
      </c>
      <c r="BH73" s="178" t="str">
        <f t="shared" si="58"/>
        <v>Actual</v>
      </c>
      <c r="BI73" s="178" t="str">
        <f t="shared" si="58"/>
        <v>Actual</v>
      </c>
      <c r="BJ73" s="178" t="str">
        <f t="shared" si="58"/>
        <v>Actual</v>
      </c>
      <c r="BK73" s="178" t="str">
        <f t="shared" si="58"/>
        <v>Actual</v>
      </c>
      <c r="BL73" s="178" t="str">
        <f t="shared" si="58"/>
        <v>Actual</v>
      </c>
      <c r="BM73" s="178" t="str">
        <f t="shared" si="58"/>
        <v>Actual</v>
      </c>
      <c r="BN73" s="178" t="str">
        <f t="shared" si="58"/>
        <v>Actual</v>
      </c>
      <c r="BO73" s="178" t="str">
        <f t="shared" si="58"/>
        <v>Actual</v>
      </c>
      <c r="BP73" s="178" t="str">
        <f t="shared" si="58"/>
        <v>Actual</v>
      </c>
      <c r="BQ73" s="178" t="str">
        <f t="shared" si="58"/>
        <v>Actual</v>
      </c>
      <c r="BR73" s="178" t="str">
        <f t="shared" si="58"/>
        <v>Actual</v>
      </c>
      <c r="BS73" s="178" t="str">
        <f t="shared" si="58"/>
        <v>Actual</v>
      </c>
      <c r="BT73" s="178" t="str">
        <f t="shared" si="58"/>
        <v>Actual</v>
      </c>
      <c r="BU73" s="178" t="str">
        <f t="shared" si="58"/>
        <v>Projected</v>
      </c>
      <c r="BV73" s="178" t="str">
        <f t="shared" si="58"/>
        <v>Projected</v>
      </c>
      <c r="BW73" s="178" t="str">
        <f t="shared" si="58"/>
        <v>Projected</v>
      </c>
      <c r="BX73" s="178" t="str">
        <f t="shared" si="58"/>
        <v>Projected</v>
      </c>
      <c r="BY73" s="178" t="str">
        <f t="shared" si="58"/>
        <v>Projected</v>
      </c>
      <c r="BZ73" s="178" t="str">
        <f t="shared" si="58"/>
        <v>Projected</v>
      </c>
      <c r="CA73" s="178" t="str">
        <f t="shared" si="58"/>
        <v>Projected</v>
      </c>
      <c r="CB73" s="178" t="str">
        <f t="shared" si="58"/>
        <v>Projected</v>
      </c>
      <c r="CC73" s="178" t="str">
        <f t="shared" si="58"/>
        <v>Projected</v>
      </c>
      <c r="CD73" s="178" t="str">
        <f t="shared" si="58"/>
        <v>Projected</v>
      </c>
      <c r="CE73" s="178" t="str">
        <f t="shared" si="58"/>
        <v>Projected</v>
      </c>
      <c r="CF73" s="178" t="str">
        <f t="shared" si="58"/>
        <v>Projected</v>
      </c>
      <c r="CG73" s="178" t="str">
        <f t="shared" si="58"/>
        <v>Projected</v>
      </c>
    </row>
    <row r="74" spans="1:85" ht="14.45" hidden="1" customHeight="1" outlineLevel="2">
      <c r="C74" s="174" t="s">
        <v>72</v>
      </c>
      <c r="I74" s="851"/>
      <c r="J74" s="176" cm="1">
        <f t="array" ref="J74">DATE(YEAR(LatestMonthOfActuals)-IF(DATE(YEAR(LatestMonthOfActuals),1+Fiscal_Offset,1)&gt;LatestMonthOfActuals,1,0),1+Fiscal_Offset,1)</f>
        <v>45658</v>
      </c>
      <c r="K74" s="176">
        <f>MAX(Start_Date,EOMONTH(K75,-12)+1)</f>
        <v>45627</v>
      </c>
      <c r="M74" s="851"/>
      <c r="N74" s="176">
        <f>Start_Date</f>
        <v>44927</v>
      </c>
      <c r="O74" s="176">
        <f>N75+1</f>
        <v>45292</v>
      </c>
      <c r="P74" s="176">
        <f>O75+1</f>
        <v>45658</v>
      </c>
      <c r="Q74" s="176">
        <f>P75+1</f>
        <v>46023</v>
      </c>
      <c r="S74" s="851"/>
      <c r="T74" s="176">
        <f>Start_Date</f>
        <v>44927</v>
      </c>
      <c r="U74" s="4">
        <f t="shared" ref="U74:AI74" si="59">T75+1</f>
        <v>45017</v>
      </c>
      <c r="V74" s="4">
        <f t="shared" si="59"/>
        <v>45108</v>
      </c>
      <c r="W74" s="4">
        <f t="shared" si="59"/>
        <v>45200</v>
      </c>
      <c r="X74" s="4">
        <f t="shared" si="59"/>
        <v>45292</v>
      </c>
      <c r="Y74" s="4">
        <f t="shared" si="59"/>
        <v>45383</v>
      </c>
      <c r="Z74" s="4">
        <f t="shared" si="59"/>
        <v>45474</v>
      </c>
      <c r="AA74" s="4">
        <f t="shared" si="59"/>
        <v>45566</v>
      </c>
      <c r="AB74" s="4">
        <f t="shared" si="59"/>
        <v>45658</v>
      </c>
      <c r="AC74" s="4">
        <f t="shared" si="59"/>
        <v>45748</v>
      </c>
      <c r="AD74" s="4">
        <f t="shared" si="59"/>
        <v>45839</v>
      </c>
      <c r="AE74" s="4">
        <f t="shared" si="59"/>
        <v>45931</v>
      </c>
      <c r="AF74" s="4">
        <f t="shared" si="59"/>
        <v>46023</v>
      </c>
      <c r="AG74" s="4">
        <f t="shared" si="59"/>
        <v>46113</v>
      </c>
      <c r="AH74" s="4">
        <f t="shared" si="59"/>
        <v>46204</v>
      </c>
      <c r="AI74" s="4">
        <f t="shared" si="59"/>
        <v>46296</v>
      </c>
      <c r="AJ74" s="177"/>
      <c r="AK74" s="851"/>
      <c r="AL74" s="176">
        <f>Start_Date</f>
        <v>44927</v>
      </c>
      <c r="AM74" s="176">
        <f t="shared" ref="AM74:CG74" si="60">EOMONTH(AM75,-1)+1</f>
        <v>44958</v>
      </c>
      <c r="AN74" s="176">
        <f t="shared" si="60"/>
        <v>44986</v>
      </c>
      <c r="AO74" s="176">
        <f t="shared" si="60"/>
        <v>45017</v>
      </c>
      <c r="AP74" s="176">
        <f t="shared" si="60"/>
        <v>45047</v>
      </c>
      <c r="AQ74" s="176">
        <f t="shared" si="60"/>
        <v>45078</v>
      </c>
      <c r="AR74" s="176">
        <f t="shared" si="60"/>
        <v>45108</v>
      </c>
      <c r="AS74" s="176">
        <f t="shared" si="60"/>
        <v>45139</v>
      </c>
      <c r="AT74" s="176">
        <f t="shared" si="60"/>
        <v>45170</v>
      </c>
      <c r="AU74" s="176">
        <f t="shared" si="60"/>
        <v>45200</v>
      </c>
      <c r="AV74" s="176">
        <f t="shared" si="60"/>
        <v>45231</v>
      </c>
      <c r="AW74" s="176">
        <f t="shared" si="60"/>
        <v>45261</v>
      </c>
      <c r="AX74" s="176">
        <f t="shared" si="60"/>
        <v>45292</v>
      </c>
      <c r="AY74" s="176">
        <f t="shared" si="60"/>
        <v>45323</v>
      </c>
      <c r="AZ74" s="176">
        <f t="shared" si="60"/>
        <v>45352</v>
      </c>
      <c r="BA74" s="176">
        <f t="shared" si="60"/>
        <v>45383</v>
      </c>
      <c r="BB74" s="176">
        <f t="shared" si="60"/>
        <v>45413</v>
      </c>
      <c r="BC74" s="176">
        <f t="shared" si="60"/>
        <v>45444</v>
      </c>
      <c r="BD74" s="176">
        <f t="shared" si="60"/>
        <v>45474</v>
      </c>
      <c r="BE74" s="176">
        <f t="shared" si="60"/>
        <v>45505</v>
      </c>
      <c r="BF74" s="176">
        <f t="shared" si="60"/>
        <v>45536</v>
      </c>
      <c r="BG74" s="176">
        <f t="shared" si="60"/>
        <v>45566</v>
      </c>
      <c r="BH74" s="176">
        <f t="shared" si="60"/>
        <v>45597</v>
      </c>
      <c r="BI74" s="176">
        <f t="shared" si="60"/>
        <v>45627</v>
      </c>
      <c r="BJ74" s="176">
        <f t="shared" si="60"/>
        <v>45658</v>
      </c>
      <c r="BK74" s="176">
        <f t="shared" si="60"/>
        <v>45689</v>
      </c>
      <c r="BL74" s="176">
        <f t="shared" si="60"/>
        <v>45717</v>
      </c>
      <c r="BM74" s="176">
        <f t="shared" si="60"/>
        <v>45748</v>
      </c>
      <c r="BN74" s="176">
        <f t="shared" si="60"/>
        <v>45778</v>
      </c>
      <c r="BO74" s="176">
        <f t="shared" si="60"/>
        <v>45809</v>
      </c>
      <c r="BP74" s="176">
        <f t="shared" si="60"/>
        <v>45839</v>
      </c>
      <c r="BQ74" s="176">
        <f t="shared" si="60"/>
        <v>45870</v>
      </c>
      <c r="BR74" s="176">
        <f t="shared" si="60"/>
        <v>45901</v>
      </c>
      <c r="BS74" s="176">
        <f t="shared" si="60"/>
        <v>45931</v>
      </c>
      <c r="BT74" s="176">
        <f t="shared" si="60"/>
        <v>45962</v>
      </c>
      <c r="BU74" s="176">
        <f t="shared" si="60"/>
        <v>45992</v>
      </c>
      <c r="BV74" s="176">
        <f t="shared" si="60"/>
        <v>46023</v>
      </c>
      <c r="BW74" s="176">
        <f t="shared" si="60"/>
        <v>46054</v>
      </c>
      <c r="BX74" s="176">
        <f t="shared" si="60"/>
        <v>46082</v>
      </c>
      <c r="BY74" s="176">
        <f t="shared" si="60"/>
        <v>46113</v>
      </c>
      <c r="BZ74" s="176">
        <f t="shared" si="60"/>
        <v>46143</v>
      </c>
      <c r="CA74" s="176">
        <f t="shared" si="60"/>
        <v>46174</v>
      </c>
      <c r="CB74" s="176">
        <f t="shared" si="60"/>
        <v>46204</v>
      </c>
      <c r="CC74" s="176">
        <f t="shared" si="60"/>
        <v>46235</v>
      </c>
      <c r="CD74" s="176">
        <f t="shared" si="60"/>
        <v>46266</v>
      </c>
      <c r="CE74" s="176">
        <f t="shared" si="60"/>
        <v>46296</v>
      </c>
      <c r="CF74" s="176">
        <f t="shared" si="60"/>
        <v>46327</v>
      </c>
      <c r="CG74" s="176">
        <f t="shared" si="60"/>
        <v>46357</v>
      </c>
    </row>
    <row r="75" spans="1:85" ht="14.45" hidden="1" customHeight="1" outlineLevel="2">
      <c r="C75" s="174" t="s">
        <v>78</v>
      </c>
      <c r="I75" s="851"/>
      <c r="J75" s="176" cm="1">
        <f t="array" ref="J75">LatestMonthOfActuals</f>
        <v>45991</v>
      </c>
      <c r="K75" s="4">
        <f>MAX(LatestMonthOfActuals,EOM_Start_Date)</f>
        <v>45991</v>
      </c>
      <c r="M75" s="851"/>
      <c r="N75" s="176">
        <f>EOMONTH(DATE(YEAR(Start_Date),1,1),Fiscal_Offset+IF(T76&lt;YEAR(Start_Date),-1,11))</f>
        <v>45291</v>
      </c>
      <c r="O75" s="4">
        <f>MIN(EOMONTH(N75,12),End_Date)</f>
        <v>45657</v>
      </c>
      <c r="P75" s="4">
        <f>MIN(EOMONTH(O75,12),End_Date)</f>
        <v>46022</v>
      </c>
      <c r="Q75" s="4">
        <f>MIN(EOMONTH(P75,12),End_Date)</f>
        <v>46387</v>
      </c>
      <c r="S75" s="851"/>
      <c r="T75" s="4">
        <f>EOMONTH(DATE(YEAR(Start_Date),1,1),MOD(ROUNDUP(MONTH(EOMONTH(Start_Date,-Fiscal_Offset))/3,0)*3+Fiscal_Offset-1,12))</f>
        <v>45016</v>
      </c>
      <c r="U75" s="4">
        <f t="shared" ref="U75:AI75" si="61">MIN(EOMONTH(U$7,2),End_Date)</f>
        <v>45107</v>
      </c>
      <c r="V75" s="4">
        <f t="shared" si="61"/>
        <v>45199</v>
      </c>
      <c r="W75" s="4">
        <f t="shared" si="61"/>
        <v>45291</v>
      </c>
      <c r="X75" s="4">
        <f t="shared" si="61"/>
        <v>45382</v>
      </c>
      <c r="Y75" s="4">
        <f t="shared" si="61"/>
        <v>45473</v>
      </c>
      <c r="Z75" s="4">
        <f t="shared" si="61"/>
        <v>45565</v>
      </c>
      <c r="AA75" s="4">
        <f t="shared" si="61"/>
        <v>45657</v>
      </c>
      <c r="AB75" s="4">
        <f t="shared" si="61"/>
        <v>45747</v>
      </c>
      <c r="AC75" s="4">
        <f t="shared" si="61"/>
        <v>45838</v>
      </c>
      <c r="AD75" s="4">
        <f t="shared" si="61"/>
        <v>45930</v>
      </c>
      <c r="AE75" s="4">
        <f t="shared" si="61"/>
        <v>46022</v>
      </c>
      <c r="AF75" s="4">
        <f t="shared" si="61"/>
        <v>46112</v>
      </c>
      <c r="AG75" s="4">
        <f t="shared" si="61"/>
        <v>46203</v>
      </c>
      <c r="AH75" s="4">
        <f t="shared" si="61"/>
        <v>46295</v>
      </c>
      <c r="AI75" s="4">
        <f t="shared" si="61"/>
        <v>46387</v>
      </c>
      <c r="AJ75" s="177"/>
      <c r="AK75" s="851"/>
      <c r="AL75" s="176" cm="1">
        <f t="array" ref="AL75">EOM_Start_Date</f>
        <v>44957</v>
      </c>
      <c r="AM75" s="4">
        <f t="shared" ref="AM75:CG75" si="62">EOMONTH(AL75,1)</f>
        <v>44985</v>
      </c>
      <c r="AN75" s="4">
        <f t="shared" si="62"/>
        <v>45016</v>
      </c>
      <c r="AO75" s="4">
        <f t="shared" si="62"/>
        <v>45046</v>
      </c>
      <c r="AP75" s="4">
        <f t="shared" si="62"/>
        <v>45077</v>
      </c>
      <c r="AQ75" s="4">
        <f t="shared" si="62"/>
        <v>45107</v>
      </c>
      <c r="AR75" s="4">
        <f t="shared" si="62"/>
        <v>45138</v>
      </c>
      <c r="AS75" s="4">
        <f t="shared" si="62"/>
        <v>45169</v>
      </c>
      <c r="AT75" s="4">
        <f t="shared" si="62"/>
        <v>45199</v>
      </c>
      <c r="AU75" s="4">
        <f t="shared" si="62"/>
        <v>45230</v>
      </c>
      <c r="AV75" s="4">
        <f t="shared" si="62"/>
        <v>45260</v>
      </c>
      <c r="AW75" s="4">
        <f t="shared" si="62"/>
        <v>45291</v>
      </c>
      <c r="AX75" s="4">
        <f t="shared" si="62"/>
        <v>45322</v>
      </c>
      <c r="AY75" s="4">
        <f t="shared" si="62"/>
        <v>45351</v>
      </c>
      <c r="AZ75" s="4">
        <f t="shared" si="62"/>
        <v>45382</v>
      </c>
      <c r="BA75" s="4">
        <f t="shared" si="62"/>
        <v>45412</v>
      </c>
      <c r="BB75" s="4">
        <f t="shared" si="62"/>
        <v>45443</v>
      </c>
      <c r="BC75" s="4">
        <f t="shared" si="62"/>
        <v>45473</v>
      </c>
      <c r="BD75" s="4">
        <f t="shared" si="62"/>
        <v>45504</v>
      </c>
      <c r="BE75" s="4">
        <f t="shared" si="62"/>
        <v>45535</v>
      </c>
      <c r="BF75" s="4">
        <f t="shared" si="62"/>
        <v>45565</v>
      </c>
      <c r="BG75" s="4">
        <f t="shared" si="62"/>
        <v>45596</v>
      </c>
      <c r="BH75" s="4">
        <f t="shared" si="62"/>
        <v>45626</v>
      </c>
      <c r="BI75" s="4">
        <f t="shared" si="62"/>
        <v>45657</v>
      </c>
      <c r="BJ75" s="4">
        <f t="shared" si="62"/>
        <v>45688</v>
      </c>
      <c r="BK75" s="4">
        <f t="shared" si="62"/>
        <v>45716</v>
      </c>
      <c r="BL75" s="4">
        <f t="shared" si="62"/>
        <v>45747</v>
      </c>
      <c r="BM75" s="4">
        <f t="shared" si="62"/>
        <v>45777</v>
      </c>
      <c r="BN75" s="4">
        <f t="shared" si="62"/>
        <v>45808</v>
      </c>
      <c r="BO75" s="4">
        <f t="shared" si="62"/>
        <v>45838</v>
      </c>
      <c r="BP75" s="4">
        <f t="shared" si="62"/>
        <v>45869</v>
      </c>
      <c r="BQ75" s="4">
        <f t="shared" si="62"/>
        <v>45900</v>
      </c>
      <c r="BR75" s="4">
        <f t="shared" si="62"/>
        <v>45930</v>
      </c>
      <c r="BS75" s="4">
        <f t="shared" si="62"/>
        <v>45961</v>
      </c>
      <c r="BT75" s="4">
        <f t="shared" si="62"/>
        <v>45991</v>
      </c>
      <c r="BU75" s="4">
        <f t="shared" si="62"/>
        <v>46022</v>
      </c>
      <c r="BV75" s="4">
        <f t="shared" si="62"/>
        <v>46053</v>
      </c>
      <c r="BW75" s="4">
        <f t="shared" si="62"/>
        <v>46081</v>
      </c>
      <c r="BX75" s="4">
        <f t="shared" si="62"/>
        <v>46112</v>
      </c>
      <c r="BY75" s="4">
        <f t="shared" si="62"/>
        <v>46142</v>
      </c>
      <c r="BZ75" s="4">
        <f t="shared" si="62"/>
        <v>46173</v>
      </c>
      <c r="CA75" s="4">
        <f t="shared" si="62"/>
        <v>46203</v>
      </c>
      <c r="CB75" s="4">
        <f t="shared" si="62"/>
        <v>46234</v>
      </c>
      <c r="CC75" s="4">
        <f t="shared" si="62"/>
        <v>46265</v>
      </c>
      <c r="CD75" s="4">
        <f t="shared" si="62"/>
        <v>46295</v>
      </c>
      <c r="CE75" s="4">
        <f t="shared" si="62"/>
        <v>46326</v>
      </c>
      <c r="CF75" s="4">
        <f t="shared" si="62"/>
        <v>46356</v>
      </c>
      <c r="CG75" s="4">
        <f t="shared" si="62"/>
        <v>46387</v>
      </c>
    </row>
    <row r="76" spans="1:85" ht="14.45" hidden="1" customHeight="1" outlineLevel="2">
      <c r="C76" s="174" t="s">
        <v>162</v>
      </c>
      <c r="I76" s="851"/>
      <c r="J76" s="12">
        <f>YEAR(EOMONTH(J75,-Fiscal_Offset))</f>
        <v>2025</v>
      </c>
      <c r="K76" s="12">
        <f>YEAR(EOMONTH(K75,-Fiscal_Offset))</f>
        <v>2025</v>
      </c>
      <c r="M76" s="851"/>
      <c r="N76" s="12">
        <f>YEAR(EOMONTH(N75,-Fiscal_Offset))</f>
        <v>2023</v>
      </c>
      <c r="O76" s="12">
        <f>YEAR(EOMONTH(O75,-Fiscal_Offset))</f>
        <v>2024</v>
      </c>
      <c r="P76" s="12">
        <f>YEAR(EOMONTH(P75,-Fiscal_Offset))</f>
        <v>2025</v>
      </c>
      <c r="Q76" s="12">
        <f>YEAR(EOMONTH(Q75,-Fiscal_Offset))</f>
        <v>2026</v>
      </c>
      <c r="S76" s="851"/>
      <c r="T76" s="12">
        <f t="shared" ref="T76:AI76" si="63">YEAR(EOMONTH(T75,-Fiscal_Offset))</f>
        <v>2023</v>
      </c>
      <c r="U76" s="12">
        <f t="shared" si="63"/>
        <v>2023</v>
      </c>
      <c r="V76" s="12">
        <f t="shared" si="63"/>
        <v>2023</v>
      </c>
      <c r="W76" s="12">
        <f t="shared" si="63"/>
        <v>2023</v>
      </c>
      <c r="X76" s="12">
        <f t="shared" si="63"/>
        <v>2024</v>
      </c>
      <c r="Y76" s="12">
        <f t="shared" si="63"/>
        <v>2024</v>
      </c>
      <c r="Z76" s="12">
        <f t="shared" si="63"/>
        <v>2024</v>
      </c>
      <c r="AA76" s="12">
        <f t="shared" si="63"/>
        <v>2024</v>
      </c>
      <c r="AB76" s="12">
        <f t="shared" si="63"/>
        <v>2025</v>
      </c>
      <c r="AC76" s="12">
        <f t="shared" si="63"/>
        <v>2025</v>
      </c>
      <c r="AD76" s="12">
        <f t="shared" si="63"/>
        <v>2025</v>
      </c>
      <c r="AE76" s="12">
        <f t="shared" si="63"/>
        <v>2025</v>
      </c>
      <c r="AF76" s="12">
        <f t="shared" si="63"/>
        <v>2026</v>
      </c>
      <c r="AG76" s="12">
        <f t="shared" si="63"/>
        <v>2026</v>
      </c>
      <c r="AH76" s="12">
        <f t="shared" si="63"/>
        <v>2026</v>
      </c>
      <c r="AI76" s="12">
        <f t="shared" si="63"/>
        <v>2026</v>
      </c>
      <c r="AJ76" s="175"/>
      <c r="AK76" s="851"/>
      <c r="AL76" s="12">
        <f t="shared" ref="AL76:CG76" si="64">YEAR(EOMONTH(AL75,-Fiscal_Offset))</f>
        <v>2023</v>
      </c>
      <c r="AM76" s="12">
        <f t="shared" si="64"/>
        <v>2023</v>
      </c>
      <c r="AN76" s="12">
        <f t="shared" si="64"/>
        <v>2023</v>
      </c>
      <c r="AO76" s="12">
        <f t="shared" si="64"/>
        <v>2023</v>
      </c>
      <c r="AP76" s="12">
        <f t="shared" si="64"/>
        <v>2023</v>
      </c>
      <c r="AQ76" s="12">
        <f t="shared" si="64"/>
        <v>2023</v>
      </c>
      <c r="AR76" s="12">
        <f t="shared" si="64"/>
        <v>2023</v>
      </c>
      <c r="AS76" s="12">
        <f t="shared" si="64"/>
        <v>2023</v>
      </c>
      <c r="AT76" s="12">
        <f t="shared" si="64"/>
        <v>2023</v>
      </c>
      <c r="AU76" s="12">
        <f t="shared" si="64"/>
        <v>2023</v>
      </c>
      <c r="AV76" s="12">
        <f t="shared" si="64"/>
        <v>2023</v>
      </c>
      <c r="AW76" s="12">
        <f t="shared" si="64"/>
        <v>2023</v>
      </c>
      <c r="AX76" s="12">
        <f t="shared" si="64"/>
        <v>2024</v>
      </c>
      <c r="AY76" s="12">
        <f t="shared" si="64"/>
        <v>2024</v>
      </c>
      <c r="AZ76" s="12">
        <f t="shared" si="64"/>
        <v>2024</v>
      </c>
      <c r="BA76" s="12">
        <f t="shared" si="64"/>
        <v>2024</v>
      </c>
      <c r="BB76" s="12">
        <f t="shared" si="64"/>
        <v>2024</v>
      </c>
      <c r="BC76" s="12">
        <f t="shared" si="64"/>
        <v>2024</v>
      </c>
      <c r="BD76" s="12">
        <f t="shared" si="64"/>
        <v>2024</v>
      </c>
      <c r="BE76" s="12">
        <f t="shared" si="64"/>
        <v>2024</v>
      </c>
      <c r="BF76" s="12">
        <f t="shared" si="64"/>
        <v>2024</v>
      </c>
      <c r="BG76" s="12">
        <f t="shared" si="64"/>
        <v>2024</v>
      </c>
      <c r="BH76" s="12">
        <f t="shared" si="64"/>
        <v>2024</v>
      </c>
      <c r="BI76" s="12">
        <f t="shared" si="64"/>
        <v>2024</v>
      </c>
      <c r="BJ76" s="12">
        <f t="shared" si="64"/>
        <v>2025</v>
      </c>
      <c r="BK76" s="12">
        <f t="shared" si="64"/>
        <v>2025</v>
      </c>
      <c r="BL76" s="12">
        <f t="shared" si="64"/>
        <v>2025</v>
      </c>
      <c r="BM76" s="12">
        <f t="shared" si="64"/>
        <v>2025</v>
      </c>
      <c r="BN76" s="12">
        <f t="shared" si="64"/>
        <v>2025</v>
      </c>
      <c r="BO76" s="12">
        <f t="shared" si="64"/>
        <v>2025</v>
      </c>
      <c r="BP76" s="12">
        <f t="shared" si="64"/>
        <v>2025</v>
      </c>
      <c r="BQ76" s="12">
        <f t="shared" si="64"/>
        <v>2025</v>
      </c>
      <c r="BR76" s="12">
        <f t="shared" si="64"/>
        <v>2025</v>
      </c>
      <c r="BS76" s="12">
        <f t="shared" si="64"/>
        <v>2025</v>
      </c>
      <c r="BT76" s="12">
        <f t="shared" si="64"/>
        <v>2025</v>
      </c>
      <c r="BU76" s="12">
        <f t="shared" si="64"/>
        <v>2025</v>
      </c>
      <c r="BV76" s="12">
        <f t="shared" si="64"/>
        <v>2026</v>
      </c>
      <c r="BW76" s="12">
        <f t="shared" si="64"/>
        <v>2026</v>
      </c>
      <c r="BX76" s="12">
        <f t="shared" si="64"/>
        <v>2026</v>
      </c>
      <c r="BY76" s="12">
        <f t="shared" si="64"/>
        <v>2026</v>
      </c>
      <c r="BZ76" s="12">
        <f t="shared" si="64"/>
        <v>2026</v>
      </c>
      <c r="CA76" s="12">
        <f t="shared" si="64"/>
        <v>2026</v>
      </c>
      <c r="CB76" s="12">
        <f t="shared" si="64"/>
        <v>2026</v>
      </c>
      <c r="CC76" s="12">
        <f t="shared" si="64"/>
        <v>2026</v>
      </c>
      <c r="CD76" s="12">
        <f t="shared" si="64"/>
        <v>2026</v>
      </c>
      <c r="CE76" s="12">
        <f t="shared" si="64"/>
        <v>2026</v>
      </c>
      <c r="CF76" s="12">
        <f t="shared" si="64"/>
        <v>2026</v>
      </c>
      <c r="CG76" s="12">
        <f t="shared" si="64"/>
        <v>2026</v>
      </c>
    </row>
    <row r="77" spans="1:85" ht="14.45" hidden="1" customHeight="1" outlineLevel="2">
      <c r="C77" s="174" t="s">
        <v>163</v>
      </c>
      <c r="I77" s="851"/>
      <c r="J77" s="12" t="str">
        <f>"Q"&amp; ROUNDUP(MONTH(EOMONTH(J75,-Fiscal_Offset))/3,0)</f>
        <v>Q4</v>
      </c>
      <c r="K77" s="12" t="str">
        <f>"Q"&amp; ROUNDUP(MONTH(EOMONTH(K75,-Fiscal_Offset))/3,0)</f>
        <v>Q4</v>
      </c>
      <c r="M77" s="851"/>
      <c r="N77" s="12" t="str">
        <f>"Q"&amp; ROUNDUP(MONTH(EOMONTH(N75,-Fiscal_Offset))/3,0)</f>
        <v>Q4</v>
      </c>
      <c r="O77" s="12" t="str">
        <f>"Q"&amp; ROUNDUP(MONTH(EOMONTH(O75,-Fiscal_Offset))/3,0)</f>
        <v>Q4</v>
      </c>
      <c r="P77" s="12" t="str">
        <f>"Q"&amp; ROUNDUP(MONTH(EOMONTH(P75,-Fiscal_Offset))/3,0)</f>
        <v>Q4</v>
      </c>
      <c r="Q77" s="12" t="str">
        <f>"Q"&amp; ROUNDUP(MONTH(EOMONTH(Q75,-Fiscal_Offset))/3,0)</f>
        <v>Q4</v>
      </c>
      <c r="S77" s="851"/>
      <c r="T77" s="12" t="str">
        <f t="shared" ref="T77:AI77" si="65">"Q"&amp; ROUNDUP(MONTH(EOMONTH(T75,-Fiscal_Offset))/3,0)</f>
        <v>Q1</v>
      </c>
      <c r="U77" s="12" t="str">
        <f t="shared" si="65"/>
        <v>Q2</v>
      </c>
      <c r="V77" s="12" t="str">
        <f t="shared" si="65"/>
        <v>Q3</v>
      </c>
      <c r="W77" s="12" t="str">
        <f t="shared" si="65"/>
        <v>Q4</v>
      </c>
      <c r="X77" s="12" t="str">
        <f t="shared" si="65"/>
        <v>Q1</v>
      </c>
      <c r="Y77" s="12" t="str">
        <f t="shared" si="65"/>
        <v>Q2</v>
      </c>
      <c r="Z77" s="12" t="str">
        <f t="shared" si="65"/>
        <v>Q3</v>
      </c>
      <c r="AA77" s="12" t="str">
        <f t="shared" si="65"/>
        <v>Q4</v>
      </c>
      <c r="AB77" s="12" t="str">
        <f t="shared" si="65"/>
        <v>Q1</v>
      </c>
      <c r="AC77" s="12" t="str">
        <f t="shared" si="65"/>
        <v>Q2</v>
      </c>
      <c r="AD77" s="12" t="str">
        <f t="shared" si="65"/>
        <v>Q3</v>
      </c>
      <c r="AE77" s="12" t="str">
        <f t="shared" si="65"/>
        <v>Q4</v>
      </c>
      <c r="AF77" s="12" t="str">
        <f t="shared" si="65"/>
        <v>Q1</v>
      </c>
      <c r="AG77" s="12" t="str">
        <f t="shared" si="65"/>
        <v>Q2</v>
      </c>
      <c r="AH77" s="12" t="str">
        <f t="shared" si="65"/>
        <v>Q3</v>
      </c>
      <c r="AI77" s="12" t="str">
        <f t="shared" si="65"/>
        <v>Q4</v>
      </c>
      <c r="AJ77" s="175"/>
      <c r="AK77" s="851"/>
      <c r="AL77" s="12" t="str">
        <f t="shared" ref="AL77:CG77" si="66">"Q"&amp; ROUNDUP(MONTH(EOMONTH(AL75,-Fiscal_Offset))/3,0)</f>
        <v>Q1</v>
      </c>
      <c r="AM77" s="12" t="str">
        <f t="shared" si="66"/>
        <v>Q1</v>
      </c>
      <c r="AN77" s="12" t="str">
        <f t="shared" si="66"/>
        <v>Q1</v>
      </c>
      <c r="AO77" s="12" t="str">
        <f t="shared" si="66"/>
        <v>Q2</v>
      </c>
      <c r="AP77" s="12" t="str">
        <f t="shared" si="66"/>
        <v>Q2</v>
      </c>
      <c r="AQ77" s="12" t="str">
        <f t="shared" si="66"/>
        <v>Q2</v>
      </c>
      <c r="AR77" s="12" t="str">
        <f t="shared" si="66"/>
        <v>Q3</v>
      </c>
      <c r="AS77" s="12" t="str">
        <f t="shared" si="66"/>
        <v>Q3</v>
      </c>
      <c r="AT77" s="12" t="str">
        <f t="shared" si="66"/>
        <v>Q3</v>
      </c>
      <c r="AU77" s="12" t="str">
        <f t="shared" si="66"/>
        <v>Q4</v>
      </c>
      <c r="AV77" s="12" t="str">
        <f t="shared" si="66"/>
        <v>Q4</v>
      </c>
      <c r="AW77" s="12" t="str">
        <f t="shared" si="66"/>
        <v>Q4</v>
      </c>
      <c r="AX77" s="12" t="str">
        <f t="shared" si="66"/>
        <v>Q1</v>
      </c>
      <c r="AY77" s="12" t="str">
        <f t="shared" si="66"/>
        <v>Q1</v>
      </c>
      <c r="AZ77" s="12" t="str">
        <f t="shared" si="66"/>
        <v>Q1</v>
      </c>
      <c r="BA77" s="12" t="str">
        <f t="shared" si="66"/>
        <v>Q2</v>
      </c>
      <c r="BB77" s="12" t="str">
        <f t="shared" si="66"/>
        <v>Q2</v>
      </c>
      <c r="BC77" s="12" t="str">
        <f t="shared" si="66"/>
        <v>Q2</v>
      </c>
      <c r="BD77" s="12" t="str">
        <f t="shared" si="66"/>
        <v>Q3</v>
      </c>
      <c r="BE77" s="12" t="str">
        <f t="shared" si="66"/>
        <v>Q3</v>
      </c>
      <c r="BF77" s="12" t="str">
        <f t="shared" si="66"/>
        <v>Q3</v>
      </c>
      <c r="BG77" s="12" t="str">
        <f t="shared" si="66"/>
        <v>Q4</v>
      </c>
      <c r="BH77" s="12" t="str">
        <f t="shared" si="66"/>
        <v>Q4</v>
      </c>
      <c r="BI77" s="12" t="str">
        <f t="shared" si="66"/>
        <v>Q4</v>
      </c>
      <c r="BJ77" s="12" t="str">
        <f t="shared" si="66"/>
        <v>Q1</v>
      </c>
      <c r="BK77" s="12" t="str">
        <f t="shared" si="66"/>
        <v>Q1</v>
      </c>
      <c r="BL77" s="12" t="str">
        <f t="shared" si="66"/>
        <v>Q1</v>
      </c>
      <c r="BM77" s="12" t="str">
        <f t="shared" si="66"/>
        <v>Q2</v>
      </c>
      <c r="BN77" s="12" t="str">
        <f t="shared" si="66"/>
        <v>Q2</v>
      </c>
      <c r="BO77" s="12" t="str">
        <f t="shared" si="66"/>
        <v>Q2</v>
      </c>
      <c r="BP77" s="12" t="str">
        <f t="shared" si="66"/>
        <v>Q3</v>
      </c>
      <c r="BQ77" s="12" t="str">
        <f t="shared" si="66"/>
        <v>Q3</v>
      </c>
      <c r="BR77" s="12" t="str">
        <f t="shared" si="66"/>
        <v>Q3</v>
      </c>
      <c r="BS77" s="12" t="str">
        <f t="shared" si="66"/>
        <v>Q4</v>
      </c>
      <c r="BT77" s="12" t="str">
        <f t="shared" si="66"/>
        <v>Q4</v>
      </c>
      <c r="BU77" s="12" t="str">
        <f t="shared" si="66"/>
        <v>Q4</v>
      </c>
      <c r="BV77" s="12" t="str">
        <f t="shared" si="66"/>
        <v>Q1</v>
      </c>
      <c r="BW77" s="12" t="str">
        <f t="shared" si="66"/>
        <v>Q1</v>
      </c>
      <c r="BX77" s="12" t="str">
        <f t="shared" si="66"/>
        <v>Q1</v>
      </c>
      <c r="BY77" s="12" t="str">
        <f t="shared" si="66"/>
        <v>Q2</v>
      </c>
      <c r="BZ77" s="12" t="str">
        <f t="shared" si="66"/>
        <v>Q2</v>
      </c>
      <c r="CA77" s="12" t="str">
        <f t="shared" si="66"/>
        <v>Q2</v>
      </c>
      <c r="CB77" s="12" t="str">
        <f t="shared" si="66"/>
        <v>Q3</v>
      </c>
      <c r="CC77" s="12" t="str">
        <f t="shared" si="66"/>
        <v>Q3</v>
      </c>
      <c r="CD77" s="12" t="str">
        <f t="shared" si="66"/>
        <v>Q3</v>
      </c>
      <c r="CE77" s="12" t="str">
        <f t="shared" si="66"/>
        <v>Q4</v>
      </c>
      <c r="CF77" s="12" t="str">
        <f t="shared" si="66"/>
        <v>Q4</v>
      </c>
      <c r="CG77" s="12" t="str">
        <f t="shared" si="66"/>
        <v>Q4</v>
      </c>
    </row>
    <row r="78" spans="1:85" collapsed="1">
      <c r="C78" s="174"/>
      <c r="I78" s="851"/>
      <c r="J78" s="173" t="s">
        <v>166</v>
      </c>
      <c r="K78" s="173" t="s">
        <v>167</v>
      </c>
      <c r="M78" s="851"/>
      <c r="N78" s="173">
        <f>N76</f>
        <v>2023</v>
      </c>
      <c r="O78" s="173">
        <f>O76</f>
        <v>2024</v>
      </c>
      <c r="P78" s="173">
        <f>P76</f>
        <v>2025</v>
      </c>
      <c r="Q78" s="173">
        <f>Q76</f>
        <v>2026</v>
      </c>
      <c r="R78" s="172"/>
      <c r="S78" s="851"/>
      <c r="T78" s="171" t="str">
        <f t="shared" ref="T78:AI78" si="67">CONCATENATE(CONCATENATE(T$10," ",T$9))</f>
        <v>Q1 2023</v>
      </c>
      <c r="U78" s="171" t="str">
        <f t="shared" si="67"/>
        <v>Q2 2023</v>
      </c>
      <c r="V78" s="171" t="str">
        <f t="shared" si="67"/>
        <v>Q3 2023</v>
      </c>
      <c r="W78" s="171" t="str">
        <f t="shared" si="67"/>
        <v>Q4 2023</v>
      </c>
      <c r="X78" s="171" t="str">
        <f t="shared" si="67"/>
        <v>Q1 2024</v>
      </c>
      <c r="Y78" s="171" t="str">
        <f t="shared" si="67"/>
        <v>Q2 2024</v>
      </c>
      <c r="Z78" s="171" t="str">
        <f t="shared" si="67"/>
        <v>Q3 2024</v>
      </c>
      <c r="AA78" s="171" t="str">
        <f t="shared" si="67"/>
        <v>Q4 2024</v>
      </c>
      <c r="AB78" s="171" t="str">
        <f t="shared" si="67"/>
        <v>Q1 2025</v>
      </c>
      <c r="AC78" s="171" t="str">
        <f t="shared" si="67"/>
        <v>Q2 2025</v>
      </c>
      <c r="AD78" s="171" t="str">
        <f t="shared" si="67"/>
        <v>Q3 2025</v>
      </c>
      <c r="AE78" s="171" t="str">
        <f t="shared" si="67"/>
        <v>Q4 2025</v>
      </c>
      <c r="AF78" s="171" t="str">
        <f t="shared" si="67"/>
        <v>Q1 2026</v>
      </c>
      <c r="AG78" s="171" t="str">
        <f t="shared" si="67"/>
        <v>Q2 2026</v>
      </c>
      <c r="AH78" s="171" t="str">
        <f t="shared" si="67"/>
        <v>Q3 2026</v>
      </c>
      <c r="AI78" s="171" t="str">
        <f t="shared" si="67"/>
        <v>Q4 2026</v>
      </c>
      <c r="AJ78" s="170"/>
      <c r="AK78" s="851"/>
      <c r="AL78" s="169">
        <f t="shared" ref="AL78:CG78" si="68">AL75</f>
        <v>44957</v>
      </c>
      <c r="AM78" s="169">
        <f t="shared" si="68"/>
        <v>44985</v>
      </c>
      <c r="AN78" s="169">
        <f t="shared" si="68"/>
        <v>45016</v>
      </c>
      <c r="AO78" s="169">
        <f t="shared" si="68"/>
        <v>45046</v>
      </c>
      <c r="AP78" s="169">
        <f t="shared" si="68"/>
        <v>45077</v>
      </c>
      <c r="AQ78" s="169">
        <f t="shared" si="68"/>
        <v>45107</v>
      </c>
      <c r="AR78" s="169">
        <f t="shared" si="68"/>
        <v>45138</v>
      </c>
      <c r="AS78" s="169">
        <f t="shared" si="68"/>
        <v>45169</v>
      </c>
      <c r="AT78" s="169">
        <f t="shared" si="68"/>
        <v>45199</v>
      </c>
      <c r="AU78" s="169">
        <f t="shared" si="68"/>
        <v>45230</v>
      </c>
      <c r="AV78" s="169">
        <f t="shared" si="68"/>
        <v>45260</v>
      </c>
      <c r="AW78" s="169">
        <f t="shared" si="68"/>
        <v>45291</v>
      </c>
      <c r="AX78" s="169">
        <f t="shared" si="68"/>
        <v>45322</v>
      </c>
      <c r="AY78" s="169">
        <f t="shared" si="68"/>
        <v>45351</v>
      </c>
      <c r="AZ78" s="169">
        <f t="shared" si="68"/>
        <v>45382</v>
      </c>
      <c r="BA78" s="169">
        <f t="shared" si="68"/>
        <v>45412</v>
      </c>
      <c r="BB78" s="169">
        <f t="shared" si="68"/>
        <v>45443</v>
      </c>
      <c r="BC78" s="169">
        <f t="shared" si="68"/>
        <v>45473</v>
      </c>
      <c r="BD78" s="169">
        <f t="shared" si="68"/>
        <v>45504</v>
      </c>
      <c r="BE78" s="169">
        <f t="shared" si="68"/>
        <v>45535</v>
      </c>
      <c r="BF78" s="169">
        <f t="shared" si="68"/>
        <v>45565</v>
      </c>
      <c r="BG78" s="169">
        <f t="shared" si="68"/>
        <v>45596</v>
      </c>
      <c r="BH78" s="169">
        <f t="shared" si="68"/>
        <v>45626</v>
      </c>
      <c r="BI78" s="169">
        <f t="shared" si="68"/>
        <v>45657</v>
      </c>
      <c r="BJ78" s="169">
        <f t="shared" si="68"/>
        <v>45688</v>
      </c>
      <c r="BK78" s="169">
        <f t="shared" si="68"/>
        <v>45716</v>
      </c>
      <c r="BL78" s="169">
        <f t="shared" si="68"/>
        <v>45747</v>
      </c>
      <c r="BM78" s="169">
        <f t="shared" si="68"/>
        <v>45777</v>
      </c>
      <c r="BN78" s="169">
        <f t="shared" si="68"/>
        <v>45808</v>
      </c>
      <c r="BO78" s="169">
        <f t="shared" si="68"/>
        <v>45838</v>
      </c>
      <c r="BP78" s="169">
        <f t="shared" si="68"/>
        <v>45869</v>
      </c>
      <c r="BQ78" s="169">
        <f t="shared" si="68"/>
        <v>45900</v>
      </c>
      <c r="BR78" s="169">
        <f t="shared" si="68"/>
        <v>45930</v>
      </c>
      <c r="BS78" s="169">
        <f t="shared" si="68"/>
        <v>45961</v>
      </c>
      <c r="BT78" s="169">
        <f t="shared" si="68"/>
        <v>45991</v>
      </c>
      <c r="BU78" s="169">
        <f t="shared" si="68"/>
        <v>46022</v>
      </c>
      <c r="BV78" s="169">
        <f t="shared" si="68"/>
        <v>46053</v>
      </c>
      <c r="BW78" s="169">
        <f t="shared" si="68"/>
        <v>46081</v>
      </c>
      <c r="BX78" s="169">
        <f t="shared" si="68"/>
        <v>46112</v>
      </c>
      <c r="BY78" s="169">
        <f t="shared" si="68"/>
        <v>46142</v>
      </c>
      <c r="BZ78" s="169">
        <f t="shared" si="68"/>
        <v>46173</v>
      </c>
      <c r="CA78" s="169">
        <f t="shared" si="68"/>
        <v>46203</v>
      </c>
      <c r="CB78" s="169">
        <f t="shared" si="68"/>
        <v>46234</v>
      </c>
      <c r="CC78" s="169">
        <f t="shared" si="68"/>
        <v>46265</v>
      </c>
      <c r="CD78" s="169">
        <f t="shared" si="68"/>
        <v>46295</v>
      </c>
      <c r="CE78" s="169">
        <f t="shared" si="68"/>
        <v>46326</v>
      </c>
      <c r="CF78" s="169">
        <f t="shared" si="68"/>
        <v>46356</v>
      </c>
      <c r="CG78" s="169">
        <f t="shared" si="68"/>
        <v>46387</v>
      </c>
    </row>
    <row r="79" spans="1:85">
      <c r="A79" s="168"/>
      <c r="B79" s="168"/>
      <c r="C79" s="166"/>
      <c r="D79" s="166"/>
      <c r="E79" s="167"/>
      <c r="F79" s="166"/>
      <c r="G79" s="166"/>
      <c r="I79" s="165"/>
      <c r="J79" s="165"/>
      <c r="K79" s="165"/>
      <c r="M79" s="165"/>
      <c r="N79" s="165"/>
      <c r="O79" s="165"/>
      <c r="P79" s="165"/>
      <c r="Q79" s="165"/>
      <c r="S79" s="165"/>
      <c r="T79" s="165"/>
      <c r="U79" s="165"/>
      <c r="V79" s="165"/>
      <c r="W79" s="165"/>
      <c r="X79" s="165"/>
      <c r="Y79" s="165"/>
      <c r="Z79" s="165"/>
      <c r="AA79" s="165"/>
      <c r="AB79" s="165"/>
      <c r="AC79" s="165"/>
      <c r="AD79" s="165"/>
      <c r="AE79" s="165"/>
      <c r="AF79" s="165"/>
      <c r="AG79" s="165"/>
      <c r="AH79" s="165"/>
      <c r="AI79" s="165"/>
      <c r="AK79" s="165"/>
      <c r="AL79" s="165"/>
      <c r="AM79" s="165"/>
      <c r="AN79" s="165"/>
      <c r="AO79" s="165"/>
      <c r="AP79" s="165"/>
      <c r="AQ79" s="165"/>
      <c r="AR79" s="165"/>
      <c r="AS79" s="165"/>
      <c r="AT79" s="165"/>
      <c r="AU79" s="165"/>
      <c r="AV79" s="165"/>
      <c r="AW79" s="165"/>
      <c r="AX79" s="165"/>
      <c r="AY79" s="165"/>
      <c r="AZ79" s="165"/>
      <c r="BA79" s="165"/>
      <c r="BB79" s="165"/>
      <c r="BC79" s="165"/>
      <c r="BD79" s="165"/>
      <c r="BE79" s="165"/>
      <c r="BF79" s="165"/>
      <c r="BG79" s="165"/>
      <c r="BH79" s="165"/>
      <c r="BI79" s="165"/>
      <c r="BJ79" s="165"/>
      <c r="BK79" s="165"/>
      <c r="BL79" s="165"/>
      <c r="BM79" s="165"/>
      <c r="BN79" s="165"/>
      <c r="BO79" s="165"/>
      <c r="BP79" s="165"/>
      <c r="BQ79" s="165"/>
      <c r="BR79" s="165"/>
      <c r="BS79" s="165"/>
      <c r="BT79" s="165"/>
      <c r="BU79" s="165"/>
      <c r="BV79" s="165"/>
      <c r="BW79" s="165"/>
      <c r="BX79" s="165"/>
      <c r="BY79" s="165"/>
      <c r="BZ79" s="165"/>
      <c r="CA79" s="165"/>
      <c r="CB79" s="165"/>
      <c r="CC79" s="165"/>
      <c r="CD79" s="165"/>
      <c r="CE79" s="165"/>
      <c r="CF79" s="165"/>
      <c r="CG79" s="165"/>
    </row>
    <row r="80" spans="1:85" s="157" customFormat="1" ht="15.75">
      <c r="C80" s="160" t="s">
        <v>149</v>
      </c>
      <c r="D80" s="160"/>
      <c r="E80" s="161"/>
      <c r="F80" s="160"/>
      <c r="G80" s="160"/>
      <c r="J80" s="158" cm="1">
        <f t="array" ref="J80">SUM(_xlfn._xlws.FILTER(_xlfn._xlws.FILTER(dataGLBSCF,dataGLBSAcctIDs="Sum(Bank Accounts)"),(startDatesCF=EDATE(J$74,-1))))</f>
        <v>2744982.5</v>
      </c>
      <c r="K80" s="158" cm="1">
        <f t="array" ref="K80">SUM(_xlfn._xlws.FILTER(_xlfn._xlws.FILTER(dataGLBSCF,dataGLBSAcctIDs="Sum(Bank Accounts)"),(startDatesCF=EDATE(K$74,-1))))</f>
        <v>2909186.5</v>
      </c>
      <c r="N80" s="158" cm="1">
        <f t="array" ref="N80">SUM(_xlfn._xlws.FILTER(_xlfn._xlws.FILTER(dataGLBSCF,dataGLBSAcctIDs="Sum(Bank Accounts)"),(startDatesCF=EDATE(N$74,-1))))</f>
        <v>0</v>
      </c>
      <c r="O80" s="158" cm="1">
        <f t="array" ref="O80">SUM(_xlfn._xlws.FILTER(_xlfn._xlws.FILTER(dataGLBSCF,dataGLBSAcctIDs="Sum(Bank Accounts)"),(startDatesCF=EDATE(O$74,-1))))</f>
        <v>4285000.5</v>
      </c>
      <c r="P80" s="158" cm="1">
        <f t="array" ref="P80">SUM(_xlfn._xlws.FILTER(_xlfn._xlws.FILTER(dataGLBSCF,dataGLBSAcctIDs="Sum(Bank Accounts)"),(startDatesCF=EDATE(P$74,-1))))</f>
        <v>2744982.5</v>
      </c>
      <c r="Q80" s="158" cm="1">
        <f t="array" ref="Q80">SUM(_xlfn._xlws.FILTER(_xlfn._xlws.FILTER(dataGLBSCF,dataGLBSAcctIDs="Sum(Bank Accounts)"),(startDatesCF=EDATE(Q$74,-1))))</f>
        <v>1156879.011009091</v>
      </c>
      <c r="R80" s="159"/>
      <c r="S80" s="159"/>
      <c r="T80" s="158" cm="1">
        <f t="array" ref="T80">SUM(_xlfn._xlws.FILTER(_xlfn._xlws.FILTER(dataGLBSCF,dataGLBSAcctIDs="Sum(Bank Accounts)"),(startDatesCF=EDATE(T$74,-1))))</f>
        <v>0</v>
      </c>
      <c r="U80" s="158" cm="1">
        <f t="array" ref="U80">SUM(_xlfn._xlws.FILTER(_xlfn._xlws.FILTER(dataGLBSCF,dataGLBSAcctIDs="Sum(Bank Accounts)"),(startDatesCF=EDATE(U$74,-1))))</f>
        <v>822468.5</v>
      </c>
      <c r="V80" s="158" cm="1">
        <f t="array" ref="V80">SUM(_xlfn._xlws.FILTER(_xlfn._xlws.FILTER(dataGLBSCF,dataGLBSAcctIDs="Sum(Bank Accounts)"),(startDatesCF=EDATE(V$74,-1))))</f>
        <v>2139776.5</v>
      </c>
      <c r="W80" s="158" cm="1">
        <f t="array" ref="W80">SUM(_xlfn._xlws.FILTER(_xlfn._xlws.FILTER(dataGLBSCF,dataGLBSAcctIDs="Sum(Bank Accounts)"),(startDatesCF=EDATE(W$74,-1))))</f>
        <v>2007838.5</v>
      </c>
      <c r="X80" s="158" cm="1">
        <f t="array" ref="X80">SUM(_xlfn._xlws.FILTER(_xlfn._xlws.FILTER(dataGLBSCF,dataGLBSAcctIDs="Sum(Bank Accounts)"),(startDatesCF=EDATE(X$74,-1))))</f>
        <v>4285000.5</v>
      </c>
      <c r="Y80" s="158" cm="1">
        <f t="array" ref="Y80">SUM(_xlfn._xlws.FILTER(_xlfn._xlws.FILTER(dataGLBSCF,dataGLBSAcctIDs="Sum(Bank Accounts)"),(startDatesCF=EDATE(Y$74,-1))))</f>
        <v>4004840.5</v>
      </c>
      <c r="Z80" s="158" cm="1">
        <f t="array" ref="Z80">SUM(_xlfn._xlws.FILTER(_xlfn._xlws.FILTER(dataGLBSCF,dataGLBSAcctIDs="Sum(Bank Accounts)"),(startDatesCF=EDATE(Z$74,-1))))</f>
        <v>3656851.5</v>
      </c>
      <c r="AA80" s="158" cm="1">
        <f t="array" ref="AA80">SUM(_xlfn._xlws.FILTER(_xlfn._xlws.FILTER(dataGLBSCF,dataGLBSAcctIDs="Sum(Bank Accounts)"),(startDatesCF=EDATE(AA$74,-1))))</f>
        <v>3217220.5</v>
      </c>
      <c r="AB80" s="158" cm="1">
        <f t="array" ref="AB80">SUM(_xlfn._xlws.FILTER(_xlfn._xlws.FILTER(dataGLBSCF,dataGLBSAcctIDs="Sum(Bank Accounts)"),(startDatesCF=EDATE(AB$74,-1))))</f>
        <v>2744982.5</v>
      </c>
      <c r="AC80" s="158" cm="1">
        <f t="array" ref="AC80">SUM(_xlfn._xlws.FILTER(_xlfn._xlws.FILTER(dataGLBSCF,dataGLBSAcctIDs="Sum(Bank Accounts)"),(startDatesCF=EDATE(AC$74,-1))))</f>
        <v>2207358.48</v>
      </c>
      <c r="AD80" s="158" cm="1">
        <f t="array" ref="AD80">SUM(_xlfn._xlws.FILTER(_xlfn._xlws.FILTER(dataGLBSCF,dataGLBSAcctIDs="Sum(Bank Accounts)"),(startDatesCF=EDATE(AD$74,-1))))</f>
        <v>1594040.15</v>
      </c>
      <c r="AE80" s="158" cm="1">
        <f t="array" ref="AE80">SUM(_xlfn._xlws.FILTER(_xlfn._xlws.FILTER(dataGLBSCF,dataGLBSAcctIDs="Sum(Bank Accounts)"),(startDatesCF=EDATE(AE$74,-1))))</f>
        <v>893122.77</v>
      </c>
      <c r="AF80" s="158" cm="1">
        <f t="array" ref="AF80">SUM(_xlfn._xlws.FILTER(_xlfn._xlws.FILTER(dataGLBSCF,dataGLBSAcctIDs="Sum(Bank Accounts)"),(startDatesCF=EDATE(AF$74,-1))))</f>
        <v>1156879.011009091</v>
      </c>
      <c r="AG80" s="158" cm="1">
        <f t="array" ref="AG80">SUM(_xlfn._xlws.FILTER(_xlfn._xlws.FILTER(dataGLBSCF,dataGLBSAcctIDs="Sum(Bank Accounts)"),(startDatesCF=EDATE(AG$74,-1))))</f>
        <v>733998.54778743605</v>
      </c>
      <c r="AH80" s="158" cm="1">
        <f t="array" ref="AH80">SUM(_xlfn._xlws.FILTER(_xlfn._xlws.FILTER(dataGLBSCF,dataGLBSAcctIDs="Sum(Bank Accounts)"),(startDatesCF=EDATE(AH$74,-1))))</f>
        <v>50877.329930825552</v>
      </c>
      <c r="AI80" s="158" cm="1">
        <f t="array" ref="AI80">SUM(_xlfn._xlws.FILTER(_xlfn._xlws.FILTER(dataGLBSCF,dataGLBSAcctIDs="Sum(Bank Accounts)"),(startDatesCF=EDATE(AI$74,-1))))</f>
        <v>-672164.29362152971</v>
      </c>
      <c r="AJ80" s="159"/>
      <c r="AK80" s="159"/>
      <c r="AL80" s="158" cm="1">
        <f t="array" ref="AL80">SUM(_xlfn._xlws.FILTER(_xlfn._xlws.FILTER(dataGLBSCF,dataGLBSAcctIDs="Sum(Bank Accounts)"),(startDatesCF=EDATE(AL$74,-1))))</f>
        <v>0</v>
      </c>
      <c r="AM80" s="158" cm="1">
        <f t="array" ref="AM80">SUM(_xlfn._xlws.FILTER(_xlfn._xlws.FILTER(dataGLBSCF,dataGLBSAcctIDs="Sum(Bank Accounts)"),(startDatesCF=EDATE(AM$74,-1))))</f>
        <v>912877</v>
      </c>
      <c r="AN80" s="158" cm="1">
        <f t="array" ref="AN80">SUM(_xlfn._xlws.FILTER(_xlfn._xlws.FILTER(dataGLBSCF,dataGLBSAcctIDs="Sum(Bank Accounts)"),(startDatesCF=EDATE(AN$74,-1))))</f>
        <v>872266.5</v>
      </c>
      <c r="AO80" s="158" cm="1">
        <f t="array" ref="AO80">SUM(_xlfn._xlws.FILTER(_xlfn._xlws.FILTER(dataGLBSCF,dataGLBSAcctIDs="Sum(Bank Accounts)"),(startDatesCF=EDATE(AO$74,-1))))</f>
        <v>822468.5</v>
      </c>
      <c r="AP80" s="158" cm="1">
        <f t="array" ref="AP80">SUM(_xlfn._xlws.FILTER(_xlfn._xlws.FILTER(dataGLBSCF,dataGLBSAcctIDs="Sum(Bank Accounts)"),(startDatesCF=EDATE(AP$74,-1))))</f>
        <v>740459</v>
      </c>
      <c r="AQ80" s="158" cm="1">
        <f t="array" ref="AQ80">SUM(_xlfn._xlws.FILTER(_xlfn._xlws.FILTER(dataGLBSCF,dataGLBSAcctIDs="Sum(Bank Accounts)"),(startDatesCF=EDATE(AQ$74,-1))))</f>
        <v>698801.5</v>
      </c>
      <c r="AR80" s="158" cm="1">
        <f t="array" ref="AR80">SUM(_xlfn._xlws.FILTER(_xlfn._xlws.FILTER(dataGLBSCF,dataGLBSAcctIDs="Sum(Bank Accounts)"),(startDatesCF=EDATE(AR$74,-1))))</f>
        <v>2139776.5</v>
      </c>
      <c r="AS80" s="158" cm="1">
        <f t="array" ref="AS80">SUM(_xlfn._xlws.FILTER(_xlfn._xlws.FILTER(dataGLBSCF,dataGLBSAcctIDs="Sum(Bank Accounts)"),(startDatesCF=EDATE(AS$74,-1))))</f>
        <v>2100546</v>
      </c>
      <c r="AT80" s="158" cm="1">
        <f t="array" ref="AT80">SUM(_xlfn._xlws.FILTER(_xlfn._xlws.FILTER(dataGLBSCF,dataGLBSAcctIDs="Sum(Bank Accounts)"),(startDatesCF=EDATE(AT$74,-1))))</f>
        <v>2050413.5</v>
      </c>
      <c r="AU80" s="158" cm="1">
        <f t="array" ref="AU80">SUM(_xlfn._xlws.FILTER(_xlfn._xlws.FILTER(dataGLBSCF,dataGLBSAcctIDs="Sum(Bank Accounts)"),(startDatesCF=EDATE(AU$74,-1))))</f>
        <v>2007838.5</v>
      </c>
      <c r="AV80" s="158" cm="1">
        <f t="array" ref="AV80">SUM(_xlfn._xlws.FILTER(_xlfn._xlws.FILTER(dataGLBSCF,dataGLBSAcctIDs="Sum(Bank Accounts)"),(startDatesCF=EDATE(AV$74,-1))))</f>
        <v>2963592.5</v>
      </c>
      <c r="AW80" s="158" cm="1">
        <f t="array" ref="AW80">SUM(_xlfn._xlws.FILTER(_xlfn._xlws.FILTER(dataGLBSCF,dataGLBSAcctIDs="Sum(Bank Accounts)"),(startDatesCF=EDATE(AW$74,-1))))</f>
        <v>3396134.5</v>
      </c>
      <c r="AX80" s="158" cm="1">
        <f t="array" ref="AX80">SUM(_xlfn._xlws.FILTER(_xlfn._xlws.FILTER(dataGLBSCF,dataGLBSAcctIDs="Sum(Bank Accounts)"),(startDatesCF=EDATE(AX$74,-1))))</f>
        <v>4285000.5</v>
      </c>
      <c r="AY80" s="158" cm="1">
        <f t="array" ref="AY80">SUM(_xlfn._xlws.FILTER(_xlfn._xlws.FILTER(dataGLBSCF,dataGLBSAcctIDs="Sum(Bank Accounts)"),(startDatesCF=EDATE(AY$74,-1))))</f>
        <v>4191288.5</v>
      </c>
      <c r="AZ80" s="158" cm="1">
        <f t="array" ref="AZ80">SUM(_xlfn._xlws.FILTER(_xlfn._xlws.FILTER(dataGLBSCF,dataGLBSAcctIDs="Sum(Bank Accounts)"),(startDatesCF=EDATE(AZ$74,-1))))</f>
        <v>4076334.5</v>
      </c>
      <c r="BA80" s="158" cm="1">
        <f t="array" ref="BA80">SUM(_xlfn._xlws.FILTER(_xlfn._xlws.FILTER(dataGLBSCF,dataGLBSAcctIDs="Sum(Bank Accounts)"),(startDatesCF=EDATE(BA$74,-1))))</f>
        <v>4004840.5</v>
      </c>
      <c r="BB80" s="158" cm="1">
        <f t="array" ref="BB80">SUM(_xlfn._xlws.FILTER(_xlfn._xlws.FILTER(dataGLBSCF,dataGLBSAcctIDs="Sum(Bank Accounts)"),(startDatesCF=EDATE(BB$74,-1))))</f>
        <v>3870793.5</v>
      </c>
      <c r="BC80" s="158" cm="1">
        <f t="array" ref="BC80">SUM(_xlfn._xlws.FILTER(_xlfn._xlws.FILTER(dataGLBSCF,dataGLBSAcctIDs="Sum(Bank Accounts)"),(startDatesCF=EDATE(BC$74,-1))))</f>
        <v>3794994.5</v>
      </c>
      <c r="BD80" s="158" cm="1">
        <f t="array" ref="BD80">SUM(_xlfn._xlws.FILTER(_xlfn._xlws.FILTER(dataGLBSCF,dataGLBSAcctIDs="Sum(Bank Accounts)"),(startDatesCF=EDATE(BD$74,-1))))</f>
        <v>3656851.5</v>
      </c>
      <c r="BE80" s="158" cm="1">
        <f t="array" ref="BE80">SUM(_xlfn._xlws.FILTER(_xlfn._xlws.FILTER(dataGLBSCF,dataGLBSAcctIDs="Sum(Bank Accounts)"),(startDatesCF=EDATE(BE$74,-1))))</f>
        <v>3512188.5</v>
      </c>
      <c r="BF80" s="158" cm="1">
        <f t="array" ref="BF80">SUM(_xlfn._xlws.FILTER(_xlfn._xlws.FILTER(dataGLBSCF,dataGLBSAcctIDs="Sum(Bank Accounts)"),(startDatesCF=EDATE(BF$74,-1))))</f>
        <v>3367871.5</v>
      </c>
      <c r="BG80" s="158" cm="1">
        <f t="array" ref="BG80">SUM(_xlfn._xlws.FILTER(_xlfn._xlws.FILTER(dataGLBSCF,dataGLBSAcctIDs="Sum(Bank Accounts)"),(startDatesCF=EDATE(BG$74,-1))))</f>
        <v>3217220.5</v>
      </c>
      <c r="BH80" s="158" cm="1">
        <f t="array" ref="BH80">SUM(_xlfn._xlws.FILTER(_xlfn._xlws.FILTER(dataGLBSCF,dataGLBSAcctIDs="Sum(Bank Accounts)"),(startDatesCF=EDATE(BH$74,-1))))</f>
        <v>3066455.5</v>
      </c>
      <c r="BI80" s="158" cm="1">
        <f t="array" ref="BI80">SUM(_xlfn._xlws.FILTER(_xlfn._xlws.FILTER(dataGLBSCF,dataGLBSAcctIDs="Sum(Bank Accounts)"),(startDatesCF=EDATE(BI$74,-1))))</f>
        <v>2909186.5</v>
      </c>
      <c r="BJ80" s="158" cm="1">
        <f t="array" ref="BJ80">SUM(_xlfn._xlws.FILTER(_xlfn._xlws.FILTER(dataGLBSCF,dataGLBSAcctIDs="Sum(Bank Accounts)"),(startDatesCF=EDATE(BJ$74,-1))))</f>
        <v>2744982.5</v>
      </c>
      <c r="BK80" s="158" cm="1">
        <f t="array" ref="BK80">SUM(_xlfn._xlws.FILTER(_xlfn._xlws.FILTER(dataGLBSCF,dataGLBSAcctIDs="Sum(Bank Accounts)"),(startDatesCF=EDATE(BK$74,-1))))</f>
        <v>2573511.48</v>
      </c>
      <c r="BL80" s="158" cm="1">
        <f t="array" ref="BL80">SUM(_xlfn._xlws.FILTER(_xlfn._xlws.FILTER(dataGLBSCF,dataGLBSAcctIDs="Sum(Bank Accounts)"),(startDatesCF=EDATE(BL$74,-1))))</f>
        <v>2394437.48</v>
      </c>
      <c r="BM80" s="158" cm="1">
        <f t="array" ref="BM80">SUM(_xlfn._xlws.FILTER(_xlfn._xlws.FILTER(dataGLBSCF,dataGLBSAcctIDs="Sum(Bank Accounts)"),(startDatesCF=EDATE(BM$74,-1))))</f>
        <v>2207358.48</v>
      </c>
      <c r="BN80" s="158" cm="1">
        <f t="array" ref="BN80">SUM(_xlfn._xlws.FILTER(_xlfn._xlws.FILTER(dataGLBSCF,dataGLBSAcctIDs="Sum(Bank Accounts)"),(startDatesCF=EDATE(BN$74,-1))))</f>
        <v>2011881.48</v>
      </c>
      <c r="BO80" s="158" cm="1">
        <f t="array" ref="BO80">SUM(_xlfn._xlws.FILTER(_xlfn._xlws.FILTER(dataGLBSCF,dataGLBSAcctIDs="Sum(Bank Accounts)"),(startDatesCF=EDATE(BO$74,-1))))</f>
        <v>1807588.48</v>
      </c>
      <c r="BP80" s="158" cm="1">
        <f t="array" ref="BP80">SUM(_xlfn._xlws.FILTER(_xlfn._xlws.FILTER(dataGLBSCF,dataGLBSAcctIDs="Sum(Bank Accounts)"),(startDatesCF=EDATE(BP$74,-1))))</f>
        <v>1594040.15</v>
      </c>
      <c r="BQ80" s="158" cm="1">
        <f t="array" ref="BQ80">SUM(_xlfn._xlws.FILTER(_xlfn._xlws.FILTER(dataGLBSCF,dataGLBSAcctIDs="Sum(Bank Accounts)"),(startDatesCF=EDATE(BQ$74,-1))))</f>
        <v>1370773.78</v>
      </c>
      <c r="BR80" s="158" cm="1">
        <f t="array" ref="BR80">SUM(_xlfn._xlws.FILTER(_xlfn._xlws.FILTER(dataGLBSCF,dataGLBSAcctIDs="Sum(Bank Accounts)"),(startDatesCF=EDATE(BR$74,-1))))</f>
        <v>1137304.6599999999</v>
      </c>
      <c r="BS80" s="158" cm="1">
        <f t="array" ref="BS80">SUM(_xlfn._xlws.FILTER(_xlfn._xlws.FILTER(dataGLBSCF,dataGLBSAcctIDs="Sum(Bank Accounts)"),(startDatesCF=EDATE(BS$74,-1))))</f>
        <v>893122.77</v>
      </c>
      <c r="BT80" s="158" cm="1">
        <f t="array" ref="BT80">SUM(_xlfn._xlws.FILTER(_xlfn._xlws.FILTER(dataGLBSCF,dataGLBSAcctIDs="Sum(Bank Accounts)"),(startDatesCF=EDATE(BT$74,-1))))</f>
        <v>637693.89</v>
      </c>
      <c r="BU80" s="158" cm="1">
        <f t="array" ref="BU80">SUM(_xlfn._xlws.FILTER(_xlfn._xlws.FILTER(dataGLBSCF,dataGLBSAcctIDs="Sum(Bank Accounts)"),(startDatesCF=EDATE(BU$74,-1))))</f>
        <v>370456.63</v>
      </c>
      <c r="BV80" s="158" cm="1">
        <f t="array" ref="BV80">SUM(_xlfn._xlws.FILTER(_xlfn._xlws.FILTER(dataGLBSCF,dataGLBSAcctIDs="Sum(Bank Accounts)"),(startDatesCF=EDATE(BV$74,-1))))</f>
        <v>1156879.011009091</v>
      </c>
      <c r="BW80" s="158" cm="1">
        <f t="array" ref="BW80">SUM(_xlfn._xlws.FILTER(_xlfn._xlws.FILTER(dataGLBSCF,dataGLBSAcctIDs="Sum(Bank Accounts)"),(startDatesCF=EDATE(BW$74,-1))))</f>
        <v>1045956.8245014361</v>
      </c>
      <c r="BX80" s="158" cm="1">
        <f t="array" ref="BX80">SUM(_xlfn._xlws.FILTER(_xlfn._xlws.FILTER(dataGLBSCF,dataGLBSAcctIDs="Sum(Bank Accounts)"),(startDatesCF=EDATE(BX$74,-1))))</f>
        <v>926406.13015326345</v>
      </c>
      <c r="BY80" s="158" cm="1">
        <f t="array" ref="BY80">SUM(_xlfn._xlws.FILTER(_xlfn._xlws.FILTER(dataGLBSCF,dataGLBSAcctIDs="Sum(Bank Accounts)"),(startDatesCF=EDATE(BY$74,-1))))</f>
        <v>733998.54778743605</v>
      </c>
      <c r="BZ80" s="158" cm="1">
        <f t="array" ref="BZ80">SUM(_xlfn._xlws.FILTER(_xlfn._xlws.FILTER(dataGLBSCF,dataGLBSAcctIDs="Sum(Bank Accounts)"),(startDatesCF=EDATE(BZ$74,-1))))</f>
        <v>520063.62136957853</v>
      </c>
      <c r="CA80" s="158" cm="1">
        <f t="array" ref="CA80">SUM(_xlfn._xlws.FILTER(_xlfn._xlws.FILTER(dataGLBSCF,dataGLBSAcctIDs="Sum(Bank Accounts)"),(startDatesCF=EDATE(CA$74,-1))))</f>
        <v>280302.37280449527</v>
      </c>
      <c r="CB80" s="158" cm="1">
        <f t="array" ref="CB80">SUM(_xlfn._xlws.FILTER(_xlfn._xlws.FILTER(dataGLBSCF,dataGLBSAcctIDs="Sum(Bank Accounts)"),(startDatesCF=EDATE(CB$74,-1))))</f>
        <v>50877.329930825552</v>
      </c>
      <c r="CC80" s="158" cm="1">
        <f t="array" ref="CC80">SUM(_xlfn._xlws.FILTER(_xlfn._xlws.FILTER(dataGLBSCF,dataGLBSAcctIDs="Sum(Bank Accounts)"),(startDatesCF=EDATE(CC$74,-1))))</f>
        <v>-185524.38643821474</v>
      </c>
      <c r="CD80" s="158" cm="1">
        <f t="array" ref="CD80">SUM(_xlfn._xlws.FILTER(_xlfn._xlws.FILTER(dataGLBSCF,dataGLBSAcctIDs="Sum(Bank Accounts)"),(startDatesCF=EDATE(CD$74,-1))))</f>
        <v>-426979.09637953027</v>
      </c>
      <c r="CE80" s="158" cm="1">
        <f t="array" ref="CE80">SUM(_xlfn._xlws.FILTER(_xlfn._xlws.FILTER(dataGLBSCF,dataGLBSAcctIDs="Sum(Bank Accounts)"),(startDatesCF=EDATE(CE$74,-1))))</f>
        <v>-672164.29362152971</v>
      </c>
      <c r="CF80" s="158" cm="1">
        <f t="array" ref="CF80">SUM(_xlfn._xlws.FILTER(_xlfn._xlws.FILTER(dataGLBSCF,dataGLBSAcctIDs="Sum(Bank Accounts)"),(startDatesCF=EDATE(CF$74,-1))))</f>
        <v>-920873.55731980898</v>
      </c>
      <c r="CG80" s="158" cm="1">
        <f t="array" ref="CG80">SUM(_xlfn._xlws.FILTER(_xlfn._xlws.FILTER(dataGLBSCF,dataGLBSAcctIDs="Sum(Bank Accounts)"),(startDatesCF=EDATE(CG$74,-1))))</f>
        <v>-1172971.1509452418</v>
      </c>
    </row>
    <row r="81" spans="1:85"/>
    <row r="82" spans="1:85" s="157" customFormat="1" ht="15.75">
      <c r="A82" s="148"/>
      <c r="B82" s="148"/>
      <c r="C82" s="160" t="s">
        <v>170</v>
      </c>
      <c r="D82" s="160"/>
      <c r="E82" s="161"/>
      <c r="F82" s="160"/>
      <c r="G82" s="160"/>
      <c r="I82" s="148"/>
      <c r="J82" s="158">
        <f>SUM(J83:J85)</f>
        <v>-2374525.8700000006</v>
      </c>
      <c r="K82" s="158">
        <f>SUM(K83:K85)</f>
        <v>-2538729.8700000015</v>
      </c>
      <c r="M82" s="148"/>
      <c r="N82" s="158">
        <f>SUM(N83:N85)</f>
        <v>4285000.5</v>
      </c>
      <c r="O82" s="158">
        <f>SUM(O83:O85)</f>
        <v>-1540018</v>
      </c>
      <c r="P82" s="158">
        <f>SUM(P83:P85)</f>
        <v>-1588103.4889909108</v>
      </c>
      <c r="Q82" s="158">
        <f>SUM(Q83:Q85)</f>
        <v>-2595852.6933919531</v>
      </c>
      <c r="R82" s="159"/>
      <c r="S82" s="148"/>
      <c r="T82" s="158">
        <f t="shared" ref="T82:AI82" si="69">SUM(T83:T85)</f>
        <v>822468.5</v>
      </c>
      <c r="U82" s="158">
        <f t="shared" si="69"/>
        <v>1317308</v>
      </c>
      <c r="V82" s="158">
        <f t="shared" si="69"/>
        <v>-131938</v>
      </c>
      <c r="W82" s="158">
        <f t="shared" si="69"/>
        <v>2277162</v>
      </c>
      <c r="X82" s="158">
        <f t="shared" si="69"/>
        <v>-280160</v>
      </c>
      <c r="Y82" s="158">
        <f t="shared" si="69"/>
        <v>-347989</v>
      </c>
      <c r="Z82" s="158">
        <f t="shared" si="69"/>
        <v>-439631</v>
      </c>
      <c r="AA82" s="158">
        <f t="shared" si="69"/>
        <v>-472238</v>
      </c>
      <c r="AB82" s="158">
        <f t="shared" si="69"/>
        <v>-537624.02000000014</v>
      </c>
      <c r="AC82" s="158">
        <f t="shared" si="69"/>
        <v>-613318.33000000019</v>
      </c>
      <c r="AD82" s="158">
        <f t="shared" si="69"/>
        <v>-700917.38</v>
      </c>
      <c r="AE82" s="158">
        <f t="shared" si="69"/>
        <v>263756.24100909091</v>
      </c>
      <c r="AF82" s="158">
        <f t="shared" si="69"/>
        <v>-422880.46322165488</v>
      </c>
      <c r="AG82" s="158">
        <f t="shared" si="69"/>
        <v>-683121.21785661089</v>
      </c>
      <c r="AH82" s="158">
        <f t="shared" si="69"/>
        <v>-723041.62355235475</v>
      </c>
      <c r="AI82" s="158">
        <f t="shared" si="69"/>
        <v>-766809.38876133412</v>
      </c>
      <c r="AJ82" s="159"/>
      <c r="AK82" s="159"/>
      <c r="AL82" s="158">
        <f t="shared" ref="AL82:CG82" si="70">SUM(AL83:AL85)</f>
        <v>912877</v>
      </c>
      <c r="AM82" s="158">
        <f t="shared" si="70"/>
        <v>-40610.5</v>
      </c>
      <c r="AN82" s="158">
        <f t="shared" si="70"/>
        <v>-49798</v>
      </c>
      <c r="AO82" s="158">
        <f t="shared" si="70"/>
        <v>-82009.5</v>
      </c>
      <c r="AP82" s="158">
        <f t="shared" si="70"/>
        <v>-41657.5</v>
      </c>
      <c r="AQ82" s="158">
        <f t="shared" si="70"/>
        <v>1440975</v>
      </c>
      <c r="AR82" s="158">
        <f t="shared" si="70"/>
        <v>-39230.5</v>
      </c>
      <c r="AS82" s="158">
        <f t="shared" si="70"/>
        <v>-50132.5</v>
      </c>
      <c r="AT82" s="158">
        <f t="shared" si="70"/>
        <v>-42575</v>
      </c>
      <c r="AU82" s="158">
        <f t="shared" si="70"/>
        <v>955754</v>
      </c>
      <c r="AV82" s="158">
        <f t="shared" si="70"/>
        <v>432542</v>
      </c>
      <c r="AW82" s="158">
        <f t="shared" si="70"/>
        <v>888866</v>
      </c>
      <c r="AX82" s="158">
        <f t="shared" si="70"/>
        <v>-93712</v>
      </c>
      <c r="AY82" s="158">
        <f t="shared" si="70"/>
        <v>-114954</v>
      </c>
      <c r="AZ82" s="158">
        <f t="shared" si="70"/>
        <v>-71494</v>
      </c>
      <c r="BA82" s="158">
        <f t="shared" si="70"/>
        <v>-134047</v>
      </c>
      <c r="BB82" s="158">
        <f t="shared" si="70"/>
        <v>-75799</v>
      </c>
      <c r="BC82" s="158">
        <f t="shared" si="70"/>
        <v>-138143</v>
      </c>
      <c r="BD82" s="158">
        <f t="shared" si="70"/>
        <v>-144663</v>
      </c>
      <c r="BE82" s="158">
        <f t="shared" si="70"/>
        <v>-144317</v>
      </c>
      <c r="BF82" s="158">
        <f t="shared" si="70"/>
        <v>-150651</v>
      </c>
      <c r="BG82" s="158">
        <f t="shared" si="70"/>
        <v>-150765</v>
      </c>
      <c r="BH82" s="158">
        <f t="shared" si="70"/>
        <v>-157269</v>
      </c>
      <c r="BI82" s="158">
        <f t="shared" si="70"/>
        <v>-164204</v>
      </c>
      <c r="BJ82" s="158">
        <f t="shared" si="70"/>
        <v>-171471.01999999993</v>
      </c>
      <c r="BK82" s="158">
        <f t="shared" si="70"/>
        <v>-179073.99999999968</v>
      </c>
      <c r="BL82" s="158">
        <f t="shared" si="70"/>
        <v>-187079</v>
      </c>
      <c r="BM82" s="158">
        <f t="shared" si="70"/>
        <v>-195477.00000000006</v>
      </c>
      <c r="BN82" s="158">
        <f t="shared" si="70"/>
        <v>-204292.99999999965</v>
      </c>
      <c r="BO82" s="158">
        <f t="shared" si="70"/>
        <v>-213548.33000000005</v>
      </c>
      <c r="BP82" s="158">
        <f t="shared" si="70"/>
        <v>-223266.37000000029</v>
      </c>
      <c r="BQ82" s="158">
        <f t="shared" si="70"/>
        <v>-233469.11999999976</v>
      </c>
      <c r="BR82" s="158">
        <f t="shared" si="70"/>
        <v>-244181.89</v>
      </c>
      <c r="BS82" s="158">
        <f t="shared" si="70"/>
        <v>-255428.88000000035</v>
      </c>
      <c r="BT82" s="158">
        <f t="shared" si="70"/>
        <v>-267237.26000000024</v>
      </c>
      <c r="BU82" s="158">
        <f t="shared" si="70"/>
        <v>786422.38100909139</v>
      </c>
      <c r="BV82" s="158">
        <f t="shared" si="70"/>
        <v>-110922.18650765491</v>
      </c>
      <c r="BW82" s="158">
        <f t="shared" si="70"/>
        <v>-119550.69434817297</v>
      </c>
      <c r="BX82" s="158">
        <f t="shared" si="70"/>
        <v>-192407.58236582743</v>
      </c>
      <c r="BY82" s="158">
        <f t="shared" si="70"/>
        <v>-213934.9264178575</v>
      </c>
      <c r="BZ82" s="158">
        <f t="shared" si="70"/>
        <v>-239761.24856508322</v>
      </c>
      <c r="CA82" s="158">
        <f t="shared" si="70"/>
        <v>-229425.04287366944</v>
      </c>
      <c r="CB82" s="158">
        <f t="shared" si="70"/>
        <v>-236401.71636904075</v>
      </c>
      <c r="CC82" s="158">
        <f t="shared" si="70"/>
        <v>-241454.70994131535</v>
      </c>
      <c r="CD82" s="158">
        <f t="shared" si="70"/>
        <v>-245185.19724199889</v>
      </c>
      <c r="CE82" s="158">
        <f t="shared" si="70"/>
        <v>-248709.2636982793</v>
      </c>
      <c r="CF82" s="158">
        <f t="shared" si="70"/>
        <v>-252097.59362543287</v>
      </c>
      <c r="CG82" s="158">
        <f t="shared" si="70"/>
        <v>-266002.53143762215</v>
      </c>
    </row>
    <row r="83" spans="1:85" outlineLevel="1">
      <c r="A83" s="157"/>
      <c r="B83" s="157"/>
      <c r="C83" s="163" t="s">
        <v>171</v>
      </c>
      <c r="D83" s="163"/>
      <c r="F83" s="163"/>
      <c r="G83" s="163"/>
      <c r="J83" s="162" cm="1">
        <f t="array" ref="J83">IFERROR(SUM(_xlfn._xlws.FILTER(_xlfn._xlws.FILTER(dataGLPL,ISNUMBER(MATCH(dataGLPLSections,{"Revenue","Other Income"},0))),(startDates&gt;=J$74)*(endDates&lt;=J$75))),0)-IFERROR(SUM(_xlfn._xlws.FILTER(_xlfn._xlws.FILTER(dataGLPL,ISNUMBER(MATCH(dataGLPLSections,{"COGS","Opex","Other Expenses"},0))),(startDates&gt;=J$74)*(endDates&lt;=J$75))),0) +IFERROR(SUM(_xlfn._xlws.FILTER(_xlfn._xlws.FILTER(dataGLBSCF,ISNUMBER(_xlfn.XMATCH(dataGLBSAcctIDs,_xlfn._xlws.FILTER(PBC_ACCOUNT_LIST[Id], ((PBC_ACCOUNT_LIST[Cash Flow Section]="Cash from Operating Activities")*(PBC_ACCOUNT_LIST[Drivers Section]="Assets"))),0))),startDatesCF=EDATE(J$74,-1))),0)-IFERROR(SUM(_xlfn._xlws.FILTER(_xlfn._xlws.FILTER(dataGLBSCF,ISNUMBER(_xlfn.XMATCH(dataGLBSAcctIDs,_xlfn._xlws.FILTER(PBC_ACCOUNT_LIST[Id], ((PBC_ACCOUNT_LIST[Cash Flow Section]="Cash from Operating Activities")*(PBC_ACCOUNT_LIST[Drivers Section]="Assets"))),0))),endDatesCF=J$75)),0)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Equity")))),0))),endDatesCF=J$75)),0)-IFERROR(SUM(_xlfn._xlws.FILTER(_xlfn._xlws.FILTER(dataGLBSCF,ISNUMBER(_xlfn.XMATCH(dataGLBSAcctIDs,_xlfn._xlws.FILTER(PBC_ACCOUNT_LIST[Id],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Equity")))),0))),startDatesCF=EDATE(J$74,-1))),0)</f>
        <v>-2374525.8700000006</v>
      </c>
      <c r="K83" s="162" cm="1">
        <f t="array" ref="K83">IFERROR(SUM(_xlfn._xlws.FILTER(_xlfn._xlws.FILTER(dataGLPL,ISNUMBER(MATCH(dataGLPLSections,{"Revenue","Other Income"},0))),(startDates&gt;=K$74)*(endDates&lt;=K$75))),0)-IFERROR(SUM(_xlfn._xlws.FILTER(_xlfn._xlws.FILTER(dataGLPL,ISNUMBER(MATCH(dataGLPLSections,{"COGS","Opex","Other Expenses"},0))),(startDates&gt;=K$74)*(endDates&lt;=K$75))),0) +IFERROR(SUM(_xlfn._xlws.FILTER(_xlfn._xlws.FILTER(dataGLBSCF,ISNUMBER(_xlfn.XMATCH(dataGLBSAcctIDs,_xlfn._xlws.FILTER(PBC_ACCOUNT_LIST[Id], ((PBC_ACCOUNT_LIST[Cash Flow Section]="Cash from Operating Activities")*(PBC_ACCOUNT_LIST[Drivers Section]="Assets"))),0))),startDatesCF=EDATE(K$74,-1))),0)-IFERROR(SUM(_xlfn._xlws.FILTER(_xlfn._xlws.FILTER(dataGLBSCF,ISNUMBER(_xlfn.XMATCH(dataGLBSAcctIDs,_xlfn._xlws.FILTER(PBC_ACCOUNT_LIST[Id], ((PBC_ACCOUNT_LIST[Cash Flow Section]="Cash from Operating Activities")*(PBC_ACCOUNT_LIST[Drivers Section]="Assets"))),0))),endDatesCF=K$75)),0)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Equity")))),0))),endDatesCF=K$75)),0)-IFERROR(SUM(_xlfn._xlws.FILTER(_xlfn._xlws.FILTER(dataGLBSCF,ISNUMBER(_xlfn.XMATCH(dataGLBSAcctIDs,_xlfn._xlws.FILTER(PBC_ACCOUNT_LIST[Id],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Equity")))),0))),startDatesCF=EDATE(K$74,-1))),0)</f>
        <v>-2538729.8700000015</v>
      </c>
      <c r="N83" s="162" cm="1">
        <f t="array" ref="N83">IFERROR(SUM(_xlfn._xlws.FILTER(_xlfn._xlws.FILTER(dataGLPL,ISNUMBER(MATCH(dataGLPLSections,{"Revenue","Other Income"},0))),(startDates&gt;=N$74)*(endDates&lt;=N$75))),0)-IFERROR(SUM(_xlfn._xlws.FILTER(_xlfn._xlws.FILTER(dataGLPL,ISNUMBER(MATCH(dataGLPLSections,{"COGS","Opex","Other Expenses"},0))),(startDates&gt;=N$74)*(endDates&lt;=N$75))),0) +IFERROR(SUM(_xlfn._xlws.FILTER(_xlfn._xlws.FILTER(dataGLBSCF,ISNUMBER(_xlfn.XMATCH(dataGLBSAcctIDs,_xlfn._xlws.FILTER(PBC_ACCOUNT_LIST[Id], ((PBC_ACCOUNT_LIST[Cash Flow Section]="Cash from Operating Activities")*(PBC_ACCOUNT_LIST[Drivers Section]="Assets"))),0))),startDatesCF=EDATE(N$74,-1))),0)-IFERROR(SUM(_xlfn._xlws.FILTER(_xlfn._xlws.FILTER(dataGLBSCF,ISNUMBER(_xlfn.XMATCH(dataGLBSAcctIDs,_xlfn._xlws.FILTER(PBC_ACCOUNT_LIST[Id], ((PBC_ACCOUNT_LIST[Cash Flow Section]="Cash from Operating Activities")*(PBC_ACCOUNT_LIST[Drivers Section]="Assets"))),0))),endDatesCF=N$75)),0)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Equity")))),0))),endDatesCF=N$75)),0)-IFERROR(SUM(_xlfn._xlws.FILTER(_xlfn._xlws.FILTER(dataGLBSCF,ISNUMBER(_xlfn.XMATCH(dataGLBSAcctIDs,_xlfn._xlws.FILTER(PBC_ACCOUNT_LIST[Id],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Equity")))),0))),startDatesCF=EDATE(N$74,-1))),0)</f>
        <v>-631330.5</v>
      </c>
      <c r="O83" s="162" cm="1">
        <f t="array" ref="O83">IFERROR(SUM(_xlfn._xlws.FILTER(_xlfn._xlws.FILTER(dataGLPL,ISNUMBER(MATCH(dataGLPLSections,{"Revenue","Other Income"},0))),(startDates&gt;=O$74)*(endDates&lt;=O$75))),0)-IFERROR(SUM(_xlfn._xlws.FILTER(_xlfn._xlws.FILTER(dataGLPL,ISNUMBER(MATCH(dataGLPLSections,{"COGS","Opex","Other Expenses"},0))),(startDates&gt;=O$74)*(endDates&lt;=O$75))),0) +IFERROR(SUM(_xlfn._xlws.FILTER(_xlfn._xlws.FILTER(dataGLBSCF,ISNUMBER(_xlfn.XMATCH(dataGLBSAcctIDs,_xlfn._xlws.FILTER(PBC_ACCOUNT_LIST[Id], ((PBC_ACCOUNT_LIST[Cash Flow Section]="Cash from Operating Activities")*(PBC_ACCOUNT_LIST[Drivers Section]="Assets"))),0))),startDatesCF=EDATE(O$74,-1))),0)-IFERROR(SUM(_xlfn._xlws.FILTER(_xlfn._xlws.FILTER(dataGLBSCF,ISNUMBER(_xlfn.XMATCH(dataGLBSAcctIDs,_xlfn._xlws.FILTER(PBC_ACCOUNT_LIST[Id], ((PBC_ACCOUNT_LIST[Cash Flow Section]="Cash from Operating Activities")*(PBC_ACCOUNT_LIST[Drivers Section]="Assets"))),0))),endDatesCF=O$75)),0)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Equity")))),0))),endDatesCF=O$75)),0)-IFERROR(SUM(_xlfn._xlws.FILTER(_xlfn._xlws.FILTER(dataGLBSCF,ISNUMBER(_xlfn.XMATCH(dataGLBSAcctIDs,_xlfn._xlws.FILTER(PBC_ACCOUNT_LIST[Id],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Equity")))),0))),startDatesCF=EDATE(O$74,-1))),0)</f>
        <v>-1535018</v>
      </c>
      <c r="P83" s="162" cm="1">
        <f t="array" ref="P83">IFERROR(SUM(_xlfn._xlws.FILTER(_xlfn._xlws.FILTER(dataGLPL,ISNUMBER(MATCH(dataGLPLSections,{"Revenue","Other Income"},0))),(startDates&gt;=P$74)*(endDates&lt;=P$75))),0)-IFERROR(SUM(_xlfn._xlws.FILTER(_xlfn._xlws.FILTER(dataGLPL,ISNUMBER(MATCH(dataGLPLSections,{"COGS","Opex","Other Expenses"},0))),(startDates&gt;=P$74)*(endDates&lt;=P$75))),0) +IFERROR(SUM(_xlfn._xlws.FILTER(_xlfn._xlws.FILTER(dataGLBSCF,ISNUMBER(_xlfn.XMATCH(dataGLBSAcctIDs,_xlfn._xlws.FILTER(PBC_ACCOUNT_LIST[Id], ((PBC_ACCOUNT_LIST[Cash Flow Section]="Cash from Operating Activities")*(PBC_ACCOUNT_LIST[Drivers Section]="Assets"))),0))),startDatesCF=EDATE(P$74,-1))),0)-IFERROR(SUM(_xlfn._xlws.FILTER(_xlfn._xlws.FILTER(dataGLBSCF,ISNUMBER(_xlfn.XMATCH(dataGLBSAcctIDs,_xlfn._xlws.FILTER(PBC_ACCOUNT_LIST[Id], ((PBC_ACCOUNT_LIST[Cash Flow Section]="Cash from Operating Activities")*(PBC_ACCOUNT_LIST[Drivers Section]="Assets"))),0))),endDatesCF=P$75)),0)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Equity")))),0))),endDatesCF=P$75)),0)-IFERROR(SUM(_xlfn._xlws.FILTER(_xlfn._xlws.FILTER(dataGLBSCF,ISNUMBER(_xlfn.XMATCH(dataGLBSAcctIDs,_xlfn._xlws.FILTER(PBC_ACCOUNT_LIST[Id],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Equity")))),0))),startDatesCF=EDATE(P$74,-1))),0)</f>
        <v>-2568103.4889909108</v>
      </c>
      <c r="Q83" s="162" cm="1">
        <f t="array" ref="Q83">IFERROR(SUM(_xlfn._xlws.FILTER(_xlfn._xlws.FILTER(dataGLPL,ISNUMBER(MATCH(dataGLPLSections,{"Revenue","Other Income"},0))),(startDates&gt;=Q$74)*(endDates&lt;=Q$75))),0)-IFERROR(SUM(_xlfn._xlws.FILTER(_xlfn._xlws.FILTER(dataGLPL,ISNUMBER(MATCH(dataGLPLSections,{"COGS","Opex","Other Expenses"},0))),(startDates&gt;=Q$74)*(endDates&lt;=Q$75))),0) +IFERROR(SUM(_xlfn._xlws.FILTER(_xlfn._xlws.FILTER(dataGLBSCF,ISNUMBER(_xlfn.XMATCH(dataGLBSAcctIDs,_xlfn._xlws.FILTER(PBC_ACCOUNT_LIST[Id], ((PBC_ACCOUNT_LIST[Cash Flow Section]="Cash from Operating Activities")*(PBC_ACCOUNT_LIST[Drivers Section]="Assets"))),0))),startDatesCF=EDATE(Q$74,-1))),0)-IFERROR(SUM(_xlfn._xlws.FILTER(_xlfn._xlws.FILTER(dataGLBSCF,ISNUMBER(_xlfn.XMATCH(dataGLBSAcctIDs,_xlfn._xlws.FILTER(PBC_ACCOUNT_LIST[Id], ((PBC_ACCOUNT_LIST[Cash Flow Section]="Cash from Operating Activities")*(PBC_ACCOUNT_LIST[Drivers Section]="Assets"))),0))),endDatesCF=Q$75)),0)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Equity")))),0))),endDatesCF=Q$75)),0)-IFERROR(SUM(_xlfn._xlws.FILTER(_xlfn._xlws.FILTER(dataGLBSCF,ISNUMBER(_xlfn.XMATCH(dataGLBSAcctIDs,_xlfn._xlws.FILTER(PBC_ACCOUNT_LIST[Id],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Equity")))),0))),startDatesCF=EDATE(Q$74,-1))),0)</f>
        <v>-2570852.6933919531</v>
      </c>
      <c r="T83" s="162" cm="1">
        <f t="array" ref="T83">IFERROR(SUM(_xlfn._xlws.FILTER(_xlfn._xlws.FILTER(dataGLPL,ISNUMBER(MATCH(dataGLPLSections,{"Revenue","Other Income"},0))),(startDates&gt;=T$74)*(endDates&lt;=T$75))),0)-IFERROR(SUM(_xlfn._xlws.FILTER(_xlfn._xlws.FILTER(dataGLPL,ISNUMBER(MATCH(dataGLPLSections,{"COGS","Opex","Other Expenses"},0))),(startDates&gt;=T$74)*(endDates&lt;=T$75))),0) +IFERROR(SUM(_xlfn._xlws.FILTER(_xlfn._xlws.FILTER(dataGLBSCF,ISNUMBER(_xlfn.XMATCH(dataGLBSAcctIDs,_xlfn._xlws.FILTER(PBC_ACCOUNT_LIST[Id], ((PBC_ACCOUNT_LIST[Cash Flow Section]="Cash from Operating Activities")*(PBC_ACCOUNT_LIST[Drivers Section]="Assets"))),0))),startDatesCF=EDATE(T$74,-1))),0)-IFERROR(SUM(_xlfn._xlws.FILTER(_xlfn._xlws.FILTER(dataGLBSCF,ISNUMBER(_xlfn.XMATCH(dataGLBSAcctIDs,_xlfn._xlws.FILTER(PBC_ACCOUNT_LIST[Id], ((PBC_ACCOUNT_LIST[Cash Flow Section]="Cash from Operating Activities")*(PBC_ACCOUNT_LIST[Drivers Section]="Assets"))),0))),endDatesCF=T$75)),0)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Equity")))),0))),endDatesCF=T$75)),0)-IFERROR(SUM(_xlfn._xlws.FILTER(_xlfn._xlws.FILTER(dataGLBSCF,ISNUMBER(_xlfn.XMATCH(dataGLBSAcctIDs,_xlfn._xlws.FILTER(PBC_ACCOUNT_LIST[Id],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Equity")))),0))),startDatesCF=EDATE(T$74,-1))),0)</f>
        <v>-119362.5</v>
      </c>
      <c r="U83" s="162" cm="1">
        <f t="array" ref="U83">IFERROR(SUM(_xlfn._xlws.FILTER(_xlfn._xlws.FILTER(dataGLPL,ISNUMBER(MATCH(dataGLPLSections,{"Revenue","Other Income"},0))),(startDates&gt;=U$74)*(endDates&lt;=U$75))),0)-IFERROR(SUM(_xlfn._xlws.FILTER(_xlfn._xlws.FILTER(dataGLPL,ISNUMBER(MATCH(dataGLPLSections,{"COGS","Opex","Other Expenses"},0))),(startDates&gt;=U$74)*(endDates&lt;=U$75))),0) +IFERROR(SUM(_xlfn._xlws.FILTER(_xlfn._xlws.FILTER(dataGLBSCF,ISNUMBER(_xlfn.XMATCH(dataGLBSAcctIDs,_xlfn._xlws.FILTER(PBC_ACCOUNT_LIST[Id], ((PBC_ACCOUNT_LIST[Cash Flow Section]="Cash from Operating Activities")*(PBC_ACCOUNT_LIST[Drivers Section]="Assets"))),0))),startDatesCF=EDATE(U$74,-1))),0)-IFERROR(SUM(_xlfn._xlws.FILTER(_xlfn._xlws.FILTER(dataGLBSCF,ISNUMBER(_xlfn.XMATCH(dataGLBSAcctIDs,_xlfn._xlws.FILTER(PBC_ACCOUNT_LIST[Id], ((PBC_ACCOUNT_LIST[Cash Flow Section]="Cash from Operating Activities")*(PBC_ACCOUNT_LIST[Drivers Section]="Assets"))),0))),endDatesCF=U$75)),0)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Equity")))),0))),endDatesCF=U$75)),0)-IFERROR(SUM(_xlfn._xlws.FILTER(_xlfn._xlws.FILTER(dataGLBSCF,ISNUMBER(_xlfn.XMATCH(dataGLBSAcctIDs,_xlfn._xlws.FILTER(PBC_ACCOUNT_LIST[Id],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Equity")))),0))),startDatesCF=EDATE(U$74,-1))),0)</f>
        <v>-144692</v>
      </c>
      <c r="V83" s="162" cm="1">
        <f t="array" ref="V83">IFERROR(SUM(_xlfn._xlws.FILTER(_xlfn._xlws.FILTER(dataGLPL,ISNUMBER(MATCH(dataGLPLSections,{"Revenue","Other Income"},0))),(startDates&gt;=V$74)*(endDates&lt;=V$75))),0)-IFERROR(SUM(_xlfn._xlws.FILTER(_xlfn._xlws.FILTER(dataGLPL,ISNUMBER(MATCH(dataGLPLSections,{"COGS","Opex","Other Expenses"},0))),(startDates&gt;=V$74)*(endDates&lt;=V$75))),0) +IFERROR(SUM(_xlfn._xlws.FILTER(_xlfn._xlws.FILTER(dataGLBSCF,ISNUMBER(_xlfn.XMATCH(dataGLBSAcctIDs,_xlfn._xlws.FILTER(PBC_ACCOUNT_LIST[Id], ((PBC_ACCOUNT_LIST[Cash Flow Section]="Cash from Operating Activities")*(PBC_ACCOUNT_LIST[Drivers Section]="Assets"))),0))),startDatesCF=EDATE(V$74,-1))),0)-IFERROR(SUM(_xlfn._xlws.FILTER(_xlfn._xlws.FILTER(dataGLBSCF,ISNUMBER(_xlfn.XMATCH(dataGLBSAcctIDs,_xlfn._xlws.FILTER(PBC_ACCOUNT_LIST[Id], ((PBC_ACCOUNT_LIST[Cash Flow Section]="Cash from Operating Activities")*(PBC_ACCOUNT_LIST[Drivers Section]="Assets"))),0))),endDatesCF=V$75)),0)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Equity")))),0))),endDatesCF=V$75)),0)-IFERROR(SUM(_xlfn._xlws.FILTER(_xlfn._xlws.FILTER(dataGLBSCF,ISNUMBER(_xlfn.XMATCH(dataGLBSAcctIDs,_xlfn._xlws.FILTER(PBC_ACCOUNT_LIST[Id],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Equity")))),0))),startDatesCF=EDATE(V$74,-1))),0)</f>
        <v>-136938</v>
      </c>
      <c r="W83" s="162" cm="1">
        <f t="array" ref="W83">IFERROR(SUM(_xlfn._xlws.FILTER(_xlfn._xlws.FILTER(dataGLPL,ISNUMBER(MATCH(dataGLPLSections,{"Revenue","Other Income"},0))),(startDates&gt;=W$74)*(endDates&lt;=W$75))),0)-IFERROR(SUM(_xlfn._xlws.FILTER(_xlfn._xlws.FILTER(dataGLPL,ISNUMBER(MATCH(dataGLPLSections,{"COGS","Opex","Other Expenses"},0))),(startDates&gt;=W$74)*(endDates&lt;=W$75))),0) +IFERROR(SUM(_xlfn._xlws.FILTER(_xlfn._xlws.FILTER(dataGLBSCF,ISNUMBER(_xlfn.XMATCH(dataGLBSAcctIDs,_xlfn._xlws.FILTER(PBC_ACCOUNT_LIST[Id], ((PBC_ACCOUNT_LIST[Cash Flow Section]="Cash from Operating Activities")*(PBC_ACCOUNT_LIST[Drivers Section]="Assets"))),0))),startDatesCF=EDATE(W$74,-1))),0)-IFERROR(SUM(_xlfn._xlws.FILTER(_xlfn._xlws.FILTER(dataGLBSCF,ISNUMBER(_xlfn.XMATCH(dataGLBSAcctIDs,_xlfn._xlws.FILTER(PBC_ACCOUNT_LIST[Id], ((PBC_ACCOUNT_LIST[Cash Flow Section]="Cash from Operating Activities")*(PBC_ACCOUNT_LIST[Drivers Section]="Assets"))),0))),endDatesCF=W$75)),0)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Equity")))),0))),endDatesCF=W$75)),0)-IFERROR(SUM(_xlfn._xlws.FILTER(_xlfn._xlws.FILTER(dataGLBSCF,ISNUMBER(_xlfn.XMATCH(dataGLBSAcctIDs,_xlfn._xlws.FILTER(PBC_ACCOUNT_LIST[Id],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Equity")))),0))),startDatesCF=EDATE(W$74,-1))),0)</f>
        <v>-230338</v>
      </c>
      <c r="X83" s="162" cm="1">
        <f t="array" ref="X83">IFERROR(SUM(_xlfn._xlws.FILTER(_xlfn._xlws.FILTER(dataGLPL,ISNUMBER(MATCH(dataGLPLSections,{"Revenue","Other Income"},0))),(startDates&gt;=X$74)*(endDates&lt;=X$75))),0)-IFERROR(SUM(_xlfn._xlws.FILTER(_xlfn._xlws.FILTER(dataGLPL,ISNUMBER(MATCH(dataGLPLSections,{"COGS","Opex","Other Expenses"},0))),(startDates&gt;=X$74)*(endDates&lt;=X$75))),0) +IFERROR(SUM(_xlfn._xlws.FILTER(_xlfn._xlws.FILTER(dataGLBSCF,ISNUMBER(_xlfn.XMATCH(dataGLBSAcctIDs,_xlfn._xlws.FILTER(PBC_ACCOUNT_LIST[Id], ((PBC_ACCOUNT_LIST[Cash Flow Section]="Cash from Operating Activities")*(PBC_ACCOUNT_LIST[Drivers Section]="Assets"))),0))),startDatesCF=EDATE(X$74,-1))),0)-IFERROR(SUM(_xlfn._xlws.FILTER(_xlfn._xlws.FILTER(dataGLBSCF,ISNUMBER(_xlfn.XMATCH(dataGLBSAcctIDs,_xlfn._xlws.FILTER(PBC_ACCOUNT_LIST[Id], ((PBC_ACCOUNT_LIST[Cash Flow Section]="Cash from Operating Activities")*(PBC_ACCOUNT_LIST[Drivers Section]="Assets"))),0))),endDatesCF=X$75)),0)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Equity")))),0))),endDatesCF=X$75)),0)-IFERROR(SUM(_xlfn._xlws.FILTER(_xlfn._xlws.FILTER(dataGLBSCF,ISNUMBER(_xlfn.XMATCH(dataGLBSAcctIDs,_xlfn._xlws.FILTER(PBC_ACCOUNT_LIST[Id],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Equity")))),0))),startDatesCF=EDATE(X$74,-1))),0)</f>
        <v>-275160</v>
      </c>
      <c r="Y83" s="162" cm="1">
        <f t="array" ref="Y83">IFERROR(SUM(_xlfn._xlws.FILTER(_xlfn._xlws.FILTER(dataGLPL,ISNUMBER(MATCH(dataGLPLSections,{"Revenue","Other Income"},0))),(startDates&gt;=Y$74)*(endDates&lt;=Y$75))),0)-IFERROR(SUM(_xlfn._xlws.FILTER(_xlfn._xlws.FILTER(dataGLPL,ISNUMBER(MATCH(dataGLPLSections,{"COGS","Opex","Other Expenses"},0))),(startDates&gt;=Y$74)*(endDates&lt;=Y$75))),0) +IFERROR(SUM(_xlfn._xlws.FILTER(_xlfn._xlws.FILTER(dataGLBSCF,ISNUMBER(_xlfn.XMATCH(dataGLBSAcctIDs,_xlfn._xlws.FILTER(PBC_ACCOUNT_LIST[Id], ((PBC_ACCOUNT_LIST[Cash Flow Section]="Cash from Operating Activities")*(PBC_ACCOUNT_LIST[Drivers Section]="Assets"))),0))),startDatesCF=EDATE(Y$74,-1))),0)-IFERROR(SUM(_xlfn._xlws.FILTER(_xlfn._xlws.FILTER(dataGLBSCF,ISNUMBER(_xlfn.XMATCH(dataGLBSAcctIDs,_xlfn._xlws.FILTER(PBC_ACCOUNT_LIST[Id], ((PBC_ACCOUNT_LIST[Cash Flow Section]="Cash from Operating Activities")*(PBC_ACCOUNT_LIST[Drivers Section]="Assets"))),0))),endDatesCF=Y$75)),0)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Equity")))),0))),endDatesCF=Y$75)),0)-IFERROR(SUM(_xlfn._xlws.FILTER(_xlfn._xlws.FILTER(dataGLBSCF,ISNUMBER(_xlfn.XMATCH(dataGLBSAcctIDs,_xlfn._xlws.FILTER(PBC_ACCOUNT_LIST[Id],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Equity")))),0))),startDatesCF=EDATE(Y$74,-1))),0)</f>
        <v>-347989</v>
      </c>
      <c r="Z83" s="162" cm="1">
        <f t="array" ref="Z83">IFERROR(SUM(_xlfn._xlws.FILTER(_xlfn._xlws.FILTER(dataGLPL,ISNUMBER(MATCH(dataGLPLSections,{"Revenue","Other Income"},0))),(startDates&gt;=Z$74)*(endDates&lt;=Z$75))),0)-IFERROR(SUM(_xlfn._xlws.FILTER(_xlfn._xlws.FILTER(dataGLPL,ISNUMBER(MATCH(dataGLPLSections,{"COGS","Opex","Other Expenses"},0))),(startDates&gt;=Z$74)*(endDates&lt;=Z$75))),0) +IFERROR(SUM(_xlfn._xlws.FILTER(_xlfn._xlws.FILTER(dataGLBSCF,ISNUMBER(_xlfn.XMATCH(dataGLBSAcctIDs,_xlfn._xlws.FILTER(PBC_ACCOUNT_LIST[Id], ((PBC_ACCOUNT_LIST[Cash Flow Section]="Cash from Operating Activities")*(PBC_ACCOUNT_LIST[Drivers Section]="Assets"))),0))),startDatesCF=EDATE(Z$74,-1))),0)-IFERROR(SUM(_xlfn._xlws.FILTER(_xlfn._xlws.FILTER(dataGLBSCF,ISNUMBER(_xlfn.XMATCH(dataGLBSAcctIDs,_xlfn._xlws.FILTER(PBC_ACCOUNT_LIST[Id], ((PBC_ACCOUNT_LIST[Cash Flow Section]="Cash from Operating Activities")*(PBC_ACCOUNT_LIST[Drivers Section]="Assets"))),0))),endDatesCF=Z$75)),0)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Equity")))),0))),endDatesCF=Z$75)),0)-IFERROR(SUM(_xlfn._xlws.FILTER(_xlfn._xlws.FILTER(dataGLBSCF,ISNUMBER(_xlfn.XMATCH(dataGLBSAcctIDs,_xlfn._xlws.FILTER(PBC_ACCOUNT_LIST[Id],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Equity")))),0))),startDatesCF=EDATE(Z$74,-1))),0)</f>
        <v>-439631</v>
      </c>
      <c r="AA83" s="162" cm="1">
        <f t="array" ref="AA83">IFERROR(SUM(_xlfn._xlws.FILTER(_xlfn._xlws.FILTER(dataGLPL,ISNUMBER(MATCH(dataGLPLSections,{"Revenue","Other Income"},0))),(startDates&gt;=AA$74)*(endDates&lt;=AA$75))),0)-IFERROR(SUM(_xlfn._xlws.FILTER(_xlfn._xlws.FILTER(dataGLPL,ISNUMBER(MATCH(dataGLPLSections,{"COGS","Opex","Other Expenses"},0))),(startDates&gt;=AA$74)*(endDates&lt;=AA$75))),0) +IFERROR(SUM(_xlfn._xlws.FILTER(_xlfn._xlws.FILTER(dataGLBSCF,ISNUMBER(_xlfn.XMATCH(dataGLBSAcctIDs,_xlfn._xlws.FILTER(PBC_ACCOUNT_LIST[Id], ((PBC_ACCOUNT_LIST[Cash Flow Section]="Cash from Operating Activities")*(PBC_ACCOUNT_LIST[Drivers Section]="Assets"))),0))),startDatesCF=EDATE(AA$74,-1))),0)-IFERROR(SUM(_xlfn._xlws.FILTER(_xlfn._xlws.FILTER(dataGLBSCF,ISNUMBER(_xlfn.XMATCH(dataGLBSAcctIDs,_xlfn._xlws.FILTER(PBC_ACCOUNT_LIST[Id], ((PBC_ACCOUNT_LIST[Cash Flow Section]="Cash from Operating Activities")*(PBC_ACCOUNT_LIST[Drivers Section]="Assets"))),0))),endDatesCF=AA$75)),0)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Equity")))),0))),endDatesCF=AA$75)),0)-IFERROR(SUM(_xlfn._xlws.FILTER(_xlfn._xlws.FILTER(dataGLBSCF,ISNUMBER(_xlfn.XMATCH(dataGLBSAcctIDs,_xlfn._xlws.FILTER(PBC_ACCOUNT_LIST[Id],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Equity")))),0))),startDatesCF=EDATE(AA$74,-1))),0)</f>
        <v>-472238</v>
      </c>
      <c r="AB83" s="162" cm="1">
        <f t="array" ref="AB83">IFERROR(SUM(_xlfn._xlws.FILTER(_xlfn._xlws.FILTER(dataGLPL,ISNUMBER(MATCH(dataGLPLSections,{"Revenue","Other Income"},0))),(startDates&gt;=AB$74)*(endDates&lt;=AB$75))),0)-IFERROR(SUM(_xlfn._xlws.FILTER(_xlfn._xlws.FILTER(dataGLPL,ISNUMBER(MATCH(dataGLPLSections,{"COGS","Opex","Other Expenses"},0))),(startDates&gt;=AB$74)*(endDates&lt;=AB$75))),0) +IFERROR(SUM(_xlfn._xlws.FILTER(_xlfn._xlws.FILTER(dataGLBSCF,ISNUMBER(_xlfn.XMATCH(dataGLBSAcctIDs,_xlfn._xlws.FILTER(PBC_ACCOUNT_LIST[Id], ((PBC_ACCOUNT_LIST[Cash Flow Section]="Cash from Operating Activities")*(PBC_ACCOUNT_LIST[Drivers Section]="Assets"))),0))),startDatesCF=EDATE(AB$74,-1))),0)-IFERROR(SUM(_xlfn._xlws.FILTER(_xlfn._xlws.FILTER(dataGLBSCF,ISNUMBER(_xlfn.XMATCH(dataGLBSAcctIDs,_xlfn._xlws.FILTER(PBC_ACCOUNT_LIST[Id], ((PBC_ACCOUNT_LIST[Cash Flow Section]="Cash from Operating Activities")*(PBC_ACCOUNT_LIST[Drivers Section]="Assets"))),0))),endDatesCF=AB$75)),0)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Equity")))),0))),endDatesCF=AB$75)),0)-IFERROR(SUM(_xlfn._xlws.FILTER(_xlfn._xlws.FILTER(dataGLBSCF,ISNUMBER(_xlfn.XMATCH(dataGLBSAcctIDs,_xlfn._xlws.FILTER(PBC_ACCOUNT_LIST[Id],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Equity")))),0))),startDatesCF=EDATE(AB$74,-1))),0)</f>
        <v>-537624.02000000014</v>
      </c>
      <c r="AC83" s="162" cm="1">
        <f t="array" ref="AC83">IFERROR(SUM(_xlfn._xlws.FILTER(_xlfn._xlws.FILTER(dataGLPL,ISNUMBER(MATCH(dataGLPLSections,{"Revenue","Other Income"},0))),(startDates&gt;=AC$74)*(endDates&lt;=AC$75))),0)-IFERROR(SUM(_xlfn._xlws.FILTER(_xlfn._xlws.FILTER(dataGLPL,ISNUMBER(MATCH(dataGLPLSections,{"COGS","Opex","Other Expenses"},0))),(startDates&gt;=AC$74)*(endDates&lt;=AC$75))),0) +IFERROR(SUM(_xlfn._xlws.FILTER(_xlfn._xlws.FILTER(dataGLBSCF,ISNUMBER(_xlfn.XMATCH(dataGLBSAcctIDs,_xlfn._xlws.FILTER(PBC_ACCOUNT_LIST[Id], ((PBC_ACCOUNT_LIST[Cash Flow Section]="Cash from Operating Activities")*(PBC_ACCOUNT_LIST[Drivers Section]="Assets"))),0))),startDatesCF=EDATE(AC$74,-1))),0)-IFERROR(SUM(_xlfn._xlws.FILTER(_xlfn._xlws.FILTER(dataGLBSCF,ISNUMBER(_xlfn.XMATCH(dataGLBSAcctIDs,_xlfn._xlws.FILTER(PBC_ACCOUNT_LIST[Id], ((PBC_ACCOUNT_LIST[Cash Flow Section]="Cash from Operating Activities")*(PBC_ACCOUNT_LIST[Drivers Section]="Assets"))),0))),endDatesCF=AC$75)),0)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Equity")))),0))),endDatesCF=AC$75)),0)-IFERROR(SUM(_xlfn._xlws.FILTER(_xlfn._xlws.FILTER(dataGLBSCF,ISNUMBER(_xlfn.XMATCH(dataGLBSAcctIDs,_xlfn._xlws.FILTER(PBC_ACCOUNT_LIST[Id],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Equity")))),0))),startDatesCF=EDATE(AC$74,-1))),0)</f>
        <v>-613318.33000000019</v>
      </c>
      <c r="AD83" s="162" cm="1">
        <f t="array" ref="AD83">IFERROR(SUM(_xlfn._xlws.FILTER(_xlfn._xlws.FILTER(dataGLPL,ISNUMBER(MATCH(dataGLPLSections,{"Revenue","Other Income"},0))),(startDates&gt;=AD$74)*(endDates&lt;=AD$75))),0)-IFERROR(SUM(_xlfn._xlws.FILTER(_xlfn._xlws.FILTER(dataGLPL,ISNUMBER(MATCH(dataGLPLSections,{"COGS","Opex","Other Expenses"},0))),(startDates&gt;=AD$74)*(endDates&lt;=AD$75))),0) +IFERROR(SUM(_xlfn._xlws.FILTER(_xlfn._xlws.FILTER(dataGLBSCF,ISNUMBER(_xlfn.XMATCH(dataGLBSAcctIDs,_xlfn._xlws.FILTER(PBC_ACCOUNT_LIST[Id], ((PBC_ACCOUNT_LIST[Cash Flow Section]="Cash from Operating Activities")*(PBC_ACCOUNT_LIST[Drivers Section]="Assets"))),0))),startDatesCF=EDATE(AD$74,-1))),0)-IFERROR(SUM(_xlfn._xlws.FILTER(_xlfn._xlws.FILTER(dataGLBSCF,ISNUMBER(_xlfn.XMATCH(dataGLBSAcctIDs,_xlfn._xlws.FILTER(PBC_ACCOUNT_LIST[Id], ((PBC_ACCOUNT_LIST[Cash Flow Section]="Cash from Operating Activities")*(PBC_ACCOUNT_LIST[Drivers Section]="Assets"))),0))),endDatesCF=AD$75)),0)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Equity")))),0))),endDatesCF=AD$75)),0)-IFERROR(SUM(_xlfn._xlws.FILTER(_xlfn._xlws.FILTER(dataGLBSCF,ISNUMBER(_xlfn.XMATCH(dataGLBSAcctIDs,_xlfn._xlws.FILTER(PBC_ACCOUNT_LIST[Id],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Equity")))),0))),startDatesCF=EDATE(AD$74,-1))),0)</f>
        <v>-700917.38</v>
      </c>
      <c r="AE83" s="162" cm="1">
        <f t="array" ref="AE83">IFERROR(SUM(_xlfn._xlws.FILTER(_xlfn._xlws.FILTER(dataGLPL,ISNUMBER(MATCH(dataGLPLSections,{"Revenue","Other Income"},0))),(startDates&gt;=AE$74)*(endDates&lt;=AE$75))),0)-IFERROR(SUM(_xlfn._xlws.FILTER(_xlfn._xlws.FILTER(dataGLPL,ISNUMBER(MATCH(dataGLPLSections,{"COGS","Opex","Other Expenses"},0))),(startDates&gt;=AE$74)*(endDates&lt;=AE$75))),0) +IFERROR(SUM(_xlfn._xlws.FILTER(_xlfn._xlws.FILTER(dataGLBSCF,ISNUMBER(_xlfn.XMATCH(dataGLBSAcctIDs,_xlfn._xlws.FILTER(PBC_ACCOUNT_LIST[Id], ((PBC_ACCOUNT_LIST[Cash Flow Section]="Cash from Operating Activities")*(PBC_ACCOUNT_LIST[Drivers Section]="Assets"))),0))),startDatesCF=EDATE(AE$74,-1))),0)-IFERROR(SUM(_xlfn._xlws.FILTER(_xlfn._xlws.FILTER(dataGLBSCF,ISNUMBER(_xlfn.XMATCH(dataGLBSAcctIDs,_xlfn._xlws.FILTER(PBC_ACCOUNT_LIST[Id], ((PBC_ACCOUNT_LIST[Cash Flow Section]="Cash from Operating Activities")*(PBC_ACCOUNT_LIST[Drivers Section]="Assets"))),0))),endDatesCF=AE$75)),0)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Equity")))),0))),endDatesCF=AE$75)),0)-IFERROR(SUM(_xlfn._xlws.FILTER(_xlfn._xlws.FILTER(dataGLBSCF,ISNUMBER(_xlfn.XMATCH(dataGLBSAcctIDs,_xlfn._xlws.FILTER(PBC_ACCOUNT_LIST[Id],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Equity")))),0))),startDatesCF=EDATE(AE$74,-1))),0)</f>
        <v>-716243.75899090909</v>
      </c>
      <c r="AF83" s="162" cm="1">
        <f t="array" ref="AF83">IFERROR(SUM(_xlfn._xlws.FILTER(_xlfn._xlws.FILTER(dataGLPL,ISNUMBER(MATCH(dataGLPLSections,{"Revenue","Other Income"},0))),(startDates&gt;=AF$74)*(endDates&lt;=AF$75))),0)-IFERROR(SUM(_xlfn._xlws.FILTER(_xlfn._xlws.FILTER(dataGLPL,ISNUMBER(MATCH(dataGLPLSections,{"COGS","Opex","Other Expenses"},0))),(startDates&gt;=AF$74)*(endDates&lt;=AF$75))),0) +IFERROR(SUM(_xlfn._xlws.FILTER(_xlfn._xlws.FILTER(dataGLBSCF,ISNUMBER(_xlfn.XMATCH(dataGLBSAcctIDs,_xlfn._xlws.FILTER(PBC_ACCOUNT_LIST[Id], ((PBC_ACCOUNT_LIST[Cash Flow Section]="Cash from Operating Activities")*(PBC_ACCOUNT_LIST[Drivers Section]="Assets"))),0))),startDatesCF=EDATE(AF$74,-1))),0)-IFERROR(SUM(_xlfn._xlws.FILTER(_xlfn._xlws.FILTER(dataGLBSCF,ISNUMBER(_xlfn.XMATCH(dataGLBSAcctIDs,_xlfn._xlws.FILTER(PBC_ACCOUNT_LIST[Id], ((PBC_ACCOUNT_LIST[Cash Flow Section]="Cash from Operating Activities")*(PBC_ACCOUNT_LIST[Drivers Section]="Assets"))),0))),endDatesCF=AF$75)),0)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Equity")))),0))),endDatesCF=AF$75)),0)-IFERROR(SUM(_xlfn._xlws.FILTER(_xlfn._xlws.FILTER(dataGLBSCF,ISNUMBER(_xlfn.XMATCH(dataGLBSAcctIDs,_xlfn._xlws.FILTER(PBC_ACCOUNT_LIST[Id],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Equity")))),0))),startDatesCF=EDATE(AF$74,-1))),0)</f>
        <v>-412880.46322165488</v>
      </c>
      <c r="AG83" s="162" cm="1">
        <f t="array" ref="AG83">IFERROR(SUM(_xlfn._xlws.FILTER(_xlfn._xlws.FILTER(dataGLPL,ISNUMBER(MATCH(dataGLPLSections,{"Revenue","Other Income"},0))),(startDates&gt;=AG$74)*(endDates&lt;=AG$75))),0)-IFERROR(SUM(_xlfn._xlws.FILTER(_xlfn._xlws.FILTER(dataGLPL,ISNUMBER(MATCH(dataGLPLSections,{"COGS","Opex","Other Expenses"},0))),(startDates&gt;=AG$74)*(endDates&lt;=AG$75))),0) +IFERROR(SUM(_xlfn._xlws.FILTER(_xlfn._xlws.FILTER(dataGLBSCF,ISNUMBER(_xlfn.XMATCH(dataGLBSAcctIDs,_xlfn._xlws.FILTER(PBC_ACCOUNT_LIST[Id], ((PBC_ACCOUNT_LIST[Cash Flow Section]="Cash from Operating Activities")*(PBC_ACCOUNT_LIST[Drivers Section]="Assets"))),0))),startDatesCF=EDATE(AG$74,-1))),0)-IFERROR(SUM(_xlfn._xlws.FILTER(_xlfn._xlws.FILTER(dataGLBSCF,ISNUMBER(_xlfn.XMATCH(dataGLBSAcctIDs,_xlfn._xlws.FILTER(PBC_ACCOUNT_LIST[Id], ((PBC_ACCOUNT_LIST[Cash Flow Section]="Cash from Operating Activities")*(PBC_ACCOUNT_LIST[Drivers Section]="Assets"))),0))),endDatesCF=AG$75)),0)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Equity")))),0))),endDatesCF=AG$75)),0)-IFERROR(SUM(_xlfn._xlws.FILTER(_xlfn._xlws.FILTER(dataGLBSCF,ISNUMBER(_xlfn.XMATCH(dataGLBSAcctIDs,_xlfn._xlws.FILTER(PBC_ACCOUNT_LIST[Id],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Equity")))),0))),startDatesCF=EDATE(AG$74,-1))),0)</f>
        <v>-668121.21785661089</v>
      </c>
      <c r="AH83" s="162" cm="1">
        <f t="array" ref="AH83">IFERROR(SUM(_xlfn._xlws.FILTER(_xlfn._xlws.FILTER(dataGLPL,ISNUMBER(MATCH(dataGLPLSections,{"Revenue","Other Income"},0))),(startDates&gt;=AH$74)*(endDates&lt;=AH$75))),0)-IFERROR(SUM(_xlfn._xlws.FILTER(_xlfn._xlws.FILTER(dataGLPL,ISNUMBER(MATCH(dataGLPLSections,{"COGS","Opex","Other Expenses"},0))),(startDates&gt;=AH$74)*(endDates&lt;=AH$75))),0) +IFERROR(SUM(_xlfn._xlws.FILTER(_xlfn._xlws.FILTER(dataGLBSCF,ISNUMBER(_xlfn.XMATCH(dataGLBSAcctIDs,_xlfn._xlws.FILTER(PBC_ACCOUNT_LIST[Id], ((PBC_ACCOUNT_LIST[Cash Flow Section]="Cash from Operating Activities")*(PBC_ACCOUNT_LIST[Drivers Section]="Assets"))),0))),startDatesCF=EDATE(AH$74,-1))),0)-IFERROR(SUM(_xlfn._xlws.FILTER(_xlfn._xlws.FILTER(dataGLBSCF,ISNUMBER(_xlfn.XMATCH(dataGLBSAcctIDs,_xlfn._xlws.FILTER(PBC_ACCOUNT_LIST[Id], ((PBC_ACCOUNT_LIST[Cash Flow Section]="Cash from Operating Activities")*(PBC_ACCOUNT_LIST[Drivers Section]="Assets"))),0))),endDatesCF=AH$75)),0)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Equity")))),0))),endDatesCF=AH$75)),0)-IFERROR(SUM(_xlfn._xlws.FILTER(_xlfn._xlws.FILTER(dataGLBSCF,ISNUMBER(_xlfn.XMATCH(dataGLBSAcctIDs,_xlfn._xlws.FILTER(PBC_ACCOUNT_LIST[Id],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Equity")))),0))),startDatesCF=EDATE(AH$74,-1))),0)</f>
        <v>-723041.62355235475</v>
      </c>
      <c r="AI83" s="162" cm="1">
        <f t="array" ref="AI83">IFERROR(SUM(_xlfn._xlws.FILTER(_xlfn._xlws.FILTER(dataGLPL,ISNUMBER(MATCH(dataGLPLSections,{"Revenue","Other Income"},0))),(startDates&gt;=AI$74)*(endDates&lt;=AI$75))),0)-IFERROR(SUM(_xlfn._xlws.FILTER(_xlfn._xlws.FILTER(dataGLPL,ISNUMBER(MATCH(dataGLPLSections,{"COGS","Opex","Other Expenses"},0))),(startDates&gt;=AI$74)*(endDates&lt;=AI$75))),0) +IFERROR(SUM(_xlfn._xlws.FILTER(_xlfn._xlws.FILTER(dataGLBSCF,ISNUMBER(_xlfn.XMATCH(dataGLBSAcctIDs,_xlfn._xlws.FILTER(PBC_ACCOUNT_LIST[Id], ((PBC_ACCOUNT_LIST[Cash Flow Section]="Cash from Operating Activities")*(PBC_ACCOUNT_LIST[Drivers Section]="Assets"))),0))),startDatesCF=EDATE(AI$74,-1))),0)-IFERROR(SUM(_xlfn._xlws.FILTER(_xlfn._xlws.FILTER(dataGLBSCF,ISNUMBER(_xlfn.XMATCH(dataGLBSAcctIDs,_xlfn._xlws.FILTER(PBC_ACCOUNT_LIST[Id], ((PBC_ACCOUNT_LIST[Cash Flow Section]="Cash from Operating Activities")*(PBC_ACCOUNT_LIST[Drivers Section]="Assets"))),0))),endDatesCF=AI$75)),0)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Equity")))),0))),endDatesCF=AI$75)),0)-IFERROR(SUM(_xlfn._xlws.FILTER(_xlfn._xlws.FILTER(dataGLBSCF,ISNUMBER(_xlfn.XMATCH(dataGLBSAcctIDs,_xlfn._xlws.FILTER(PBC_ACCOUNT_LIST[Id],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Equity")))),0))),startDatesCF=EDATE(AI$74,-1))),0)</f>
        <v>-766809.38876133412</v>
      </c>
      <c r="AL83" s="162" cm="1">
        <f t="array" ref="AL83">IFERROR(SUM(_xlfn._xlws.FILTER(_xlfn._xlws.FILTER(dataGLPL,ISNUMBER(MATCH(dataGLPLSections,{"Revenue","Other Income"},0))),(startDates&gt;=AL$74)*(endDates&lt;=AL$75))),0)-IFERROR(SUM(_xlfn._xlws.FILTER(_xlfn._xlws.FILTER(dataGLPL,ISNUMBER(MATCH(dataGLPLSections,{"COGS","Opex","Other Expenses"},0))),(startDates&gt;=AL$74)*(endDates&lt;=AL$75))),0) +IFERROR(SUM(_xlfn._xlws.FILTER(_xlfn._xlws.FILTER(dataGLBSCF,ISNUMBER(_xlfn.XMATCH(dataGLBSAcctIDs,_xlfn._xlws.FILTER(PBC_ACCOUNT_LIST[Id], ((PBC_ACCOUNT_LIST[Cash Flow Section]="Cash from Operating Activities")*(PBC_ACCOUNT_LIST[Drivers Section]="Assets"))),0))),startDatesCF=EDATE(AL$74,-1))),0)-IFERROR(SUM(_xlfn._xlws.FILTER(_xlfn._xlws.FILTER(dataGLBSCF,ISNUMBER(_xlfn.XMATCH(dataGLBSAcctIDs,_xlfn._xlws.FILTER(PBC_ACCOUNT_LIST[Id], ((PBC_ACCOUNT_LIST[Cash Flow Section]="Cash from Operating Activities")*(PBC_ACCOUNT_LIST[Drivers Section]="Assets"))),0))),endDatesCF=AL$75)),0)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Equity")))),0))),endDatesCF=AL$75)),0)-IFERROR(SUM(_xlfn._xlws.FILTER(_xlfn._xlws.FILTER(dataGLBSCF,ISNUMBER(_xlfn.XMATCH(dataGLBSAcctIDs,_xlfn._xlws.FILTER(PBC_ACCOUNT_LIST[Id],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Equity")))),0))),startDatesCF=EDATE(AL$74,-1))),0)</f>
        <v>-26454</v>
      </c>
      <c r="AM83" s="162" cm="1">
        <f t="array" ref="AM83">IFERROR(SUM(_xlfn._xlws.FILTER(_xlfn._xlws.FILTER(dataGLPL,ISNUMBER(MATCH(dataGLPLSections,{"Revenue","Other Income"},0))),(startDates&gt;=AM$74)*(endDates&lt;=AM$75))),0)-IFERROR(SUM(_xlfn._xlws.FILTER(_xlfn._xlws.FILTER(dataGLPL,ISNUMBER(MATCH(dataGLPLSections,{"COGS","Opex","Other Expenses"},0))),(startDates&gt;=AM$74)*(endDates&lt;=AM$75))),0) +IFERROR(SUM(_xlfn._xlws.FILTER(_xlfn._xlws.FILTER(dataGLBSCF,ISNUMBER(_xlfn.XMATCH(dataGLBSAcctIDs,_xlfn._xlws.FILTER(PBC_ACCOUNT_LIST[Id], ((PBC_ACCOUNT_LIST[Cash Flow Section]="Cash from Operating Activities")*(PBC_ACCOUNT_LIST[Drivers Section]="Assets"))),0))),startDatesCF=EDATE(AM$74,-1))),0)-IFERROR(SUM(_xlfn._xlws.FILTER(_xlfn._xlws.FILTER(dataGLBSCF,ISNUMBER(_xlfn.XMATCH(dataGLBSAcctIDs,_xlfn._xlws.FILTER(PBC_ACCOUNT_LIST[Id], ((PBC_ACCOUNT_LIST[Cash Flow Section]="Cash from Operating Activities")*(PBC_ACCOUNT_LIST[Drivers Section]="Assets"))),0))),endDatesCF=AM$75)),0)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Equity")))),0))),endDatesCF=AM$75)),0)-IFERROR(SUM(_xlfn._xlws.FILTER(_xlfn._xlws.FILTER(dataGLBSCF,ISNUMBER(_xlfn.XMATCH(dataGLBSAcctIDs,_xlfn._xlws.FILTER(PBC_ACCOUNT_LIST[Id],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Equity")))),0))),startDatesCF=EDATE(AM$74,-1))),0)</f>
        <v>-43110.5</v>
      </c>
      <c r="AN83" s="162" cm="1">
        <f t="array" ref="AN83">IFERROR(SUM(_xlfn._xlws.FILTER(_xlfn._xlws.FILTER(dataGLPL,ISNUMBER(MATCH(dataGLPLSections,{"Revenue","Other Income"},0))),(startDates&gt;=AN$74)*(endDates&lt;=AN$75))),0)-IFERROR(SUM(_xlfn._xlws.FILTER(_xlfn._xlws.FILTER(dataGLPL,ISNUMBER(MATCH(dataGLPLSections,{"COGS","Opex","Other Expenses"},0))),(startDates&gt;=AN$74)*(endDates&lt;=AN$75))),0) +IFERROR(SUM(_xlfn._xlws.FILTER(_xlfn._xlws.FILTER(dataGLBSCF,ISNUMBER(_xlfn.XMATCH(dataGLBSAcctIDs,_xlfn._xlws.FILTER(PBC_ACCOUNT_LIST[Id], ((PBC_ACCOUNT_LIST[Cash Flow Section]="Cash from Operating Activities")*(PBC_ACCOUNT_LIST[Drivers Section]="Assets"))),0))),startDatesCF=EDATE(AN$74,-1))),0)-IFERROR(SUM(_xlfn._xlws.FILTER(_xlfn._xlws.FILTER(dataGLBSCF,ISNUMBER(_xlfn.XMATCH(dataGLBSAcctIDs,_xlfn._xlws.FILTER(PBC_ACCOUNT_LIST[Id], ((PBC_ACCOUNT_LIST[Cash Flow Section]="Cash from Operating Activities")*(PBC_ACCOUNT_LIST[Drivers Section]="Assets"))),0))),endDatesCF=AN$75)),0)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Equity")))),0))),endDatesCF=AN$75)),0)-IFERROR(SUM(_xlfn._xlws.FILTER(_xlfn._xlws.FILTER(dataGLBSCF,ISNUMBER(_xlfn.XMATCH(dataGLBSAcctIDs,_xlfn._xlws.FILTER(PBC_ACCOUNT_LIST[Id],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Equity")))),0))),startDatesCF=EDATE(AN$74,-1))),0)</f>
        <v>-49798</v>
      </c>
      <c r="AO83" s="162" cm="1">
        <f t="array" ref="AO83">IFERROR(SUM(_xlfn._xlws.FILTER(_xlfn._xlws.FILTER(dataGLPL,ISNUMBER(MATCH(dataGLPLSections,{"Revenue","Other Income"},0))),(startDates&gt;=AO$74)*(endDates&lt;=AO$75))),0)-IFERROR(SUM(_xlfn._xlws.FILTER(_xlfn._xlws.FILTER(dataGLPL,ISNUMBER(MATCH(dataGLPLSections,{"COGS","Opex","Other Expenses"},0))),(startDates&gt;=AO$74)*(endDates&lt;=AO$75))),0) +IFERROR(SUM(_xlfn._xlws.FILTER(_xlfn._xlws.FILTER(dataGLBSCF,ISNUMBER(_xlfn.XMATCH(dataGLBSAcctIDs,_xlfn._xlws.FILTER(PBC_ACCOUNT_LIST[Id], ((PBC_ACCOUNT_LIST[Cash Flow Section]="Cash from Operating Activities")*(PBC_ACCOUNT_LIST[Drivers Section]="Assets"))),0))),startDatesCF=EDATE(AO$74,-1))),0)-IFERROR(SUM(_xlfn._xlws.FILTER(_xlfn._xlws.FILTER(dataGLBSCF,ISNUMBER(_xlfn.XMATCH(dataGLBSAcctIDs,_xlfn._xlws.FILTER(PBC_ACCOUNT_LIST[Id], ((PBC_ACCOUNT_LIST[Cash Flow Section]="Cash from Operating Activities")*(PBC_ACCOUNT_LIST[Drivers Section]="Assets"))),0))),endDatesCF=AO$75)),0)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Equity")))),0))),endDatesCF=AO$75)),0)-IFERROR(SUM(_xlfn._xlws.FILTER(_xlfn._xlws.FILTER(dataGLBSCF,ISNUMBER(_xlfn.XMATCH(dataGLBSAcctIDs,_xlfn._xlws.FILTER(PBC_ACCOUNT_LIST[Id],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Equity")))),0))),startDatesCF=EDATE(AO$74,-1))),0)</f>
        <v>-49509.5</v>
      </c>
      <c r="AP83" s="162" cm="1">
        <f t="array" ref="AP83">IFERROR(SUM(_xlfn._xlws.FILTER(_xlfn._xlws.FILTER(dataGLPL,ISNUMBER(MATCH(dataGLPLSections,{"Revenue","Other Income"},0))),(startDates&gt;=AP$74)*(endDates&lt;=AP$75))),0)-IFERROR(SUM(_xlfn._xlws.FILTER(_xlfn._xlws.FILTER(dataGLPL,ISNUMBER(MATCH(dataGLPLSections,{"COGS","Opex","Other Expenses"},0))),(startDates&gt;=AP$74)*(endDates&lt;=AP$75))),0) +IFERROR(SUM(_xlfn._xlws.FILTER(_xlfn._xlws.FILTER(dataGLBSCF,ISNUMBER(_xlfn.XMATCH(dataGLBSAcctIDs,_xlfn._xlws.FILTER(PBC_ACCOUNT_LIST[Id], ((PBC_ACCOUNT_LIST[Cash Flow Section]="Cash from Operating Activities")*(PBC_ACCOUNT_LIST[Drivers Section]="Assets"))),0))),startDatesCF=EDATE(AP$74,-1))),0)-IFERROR(SUM(_xlfn._xlws.FILTER(_xlfn._xlws.FILTER(dataGLBSCF,ISNUMBER(_xlfn.XMATCH(dataGLBSAcctIDs,_xlfn._xlws.FILTER(PBC_ACCOUNT_LIST[Id], ((PBC_ACCOUNT_LIST[Cash Flow Section]="Cash from Operating Activities")*(PBC_ACCOUNT_LIST[Drivers Section]="Assets"))),0))),endDatesCF=AP$75)),0)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Equity")))),0))),endDatesCF=AP$75)),0)-IFERROR(SUM(_xlfn._xlws.FILTER(_xlfn._xlws.FILTER(dataGLBSCF,ISNUMBER(_xlfn.XMATCH(dataGLBSAcctIDs,_xlfn._xlws.FILTER(PBC_ACCOUNT_LIST[Id],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Equity")))),0))),startDatesCF=EDATE(AP$74,-1))),0)</f>
        <v>-41657.5</v>
      </c>
      <c r="AQ83" s="162" cm="1">
        <f t="array" ref="AQ83">IFERROR(SUM(_xlfn._xlws.FILTER(_xlfn._xlws.FILTER(dataGLPL,ISNUMBER(MATCH(dataGLPLSections,{"Revenue","Other Income"},0))),(startDates&gt;=AQ$74)*(endDates&lt;=AQ$75))),0)-IFERROR(SUM(_xlfn._xlws.FILTER(_xlfn._xlws.FILTER(dataGLPL,ISNUMBER(MATCH(dataGLPLSections,{"COGS","Opex","Other Expenses"},0))),(startDates&gt;=AQ$74)*(endDates&lt;=AQ$75))),0) +IFERROR(SUM(_xlfn._xlws.FILTER(_xlfn._xlws.FILTER(dataGLBSCF,ISNUMBER(_xlfn.XMATCH(dataGLBSAcctIDs,_xlfn._xlws.FILTER(PBC_ACCOUNT_LIST[Id], ((PBC_ACCOUNT_LIST[Cash Flow Section]="Cash from Operating Activities")*(PBC_ACCOUNT_LIST[Drivers Section]="Assets"))),0))),startDatesCF=EDATE(AQ$74,-1))),0)-IFERROR(SUM(_xlfn._xlws.FILTER(_xlfn._xlws.FILTER(dataGLBSCF,ISNUMBER(_xlfn.XMATCH(dataGLBSAcctIDs,_xlfn._xlws.FILTER(PBC_ACCOUNT_LIST[Id], ((PBC_ACCOUNT_LIST[Cash Flow Section]="Cash from Operating Activities")*(PBC_ACCOUNT_LIST[Drivers Section]="Assets"))),0))),endDatesCF=AQ$75)),0)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Equity")))),0))),endDatesCF=AQ$75)),0)-IFERROR(SUM(_xlfn._xlws.FILTER(_xlfn._xlws.FILTER(dataGLBSCF,ISNUMBER(_xlfn.XMATCH(dataGLBSAcctIDs,_xlfn._xlws.FILTER(PBC_ACCOUNT_LIST[Id],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Equity")))),0))),startDatesCF=EDATE(AQ$74,-1))),0)</f>
        <v>-53525</v>
      </c>
      <c r="AR83" s="162" cm="1">
        <f t="array" ref="AR83">IFERROR(SUM(_xlfn._xlws.FILTER(_xlfn._xlws.FILTER(dataGLPL,ISNUMBER(MATCH(dataGLPLSections,{"Revenue","Other Income"},0))),(startDates&gt;=AR$74)*(endDates&lt;=AR$75))),0)-IFERROR(SUM(_xlfn._xlws.FILTER(_xlfn._xlws.FILTER(dataGLPL,ISNUMBER(MATCH(dataGLPLSections,{"COGS","Opex","Other Expenses"},0))),(startDates&gt;=AR$74)*(endDates&lt;=AR$75))),0) +IFERROR(SUM(_xlfn._xlws.FILTER(_xlfn._xlws.FILTER(dataGLBSCF,ISNUMBER(_xlfn.XMATCH(dataGLBSAcctIDs,_xlfn._xlws.FILTER(PBC_ACCOUNT_LIST[Id], ((PBC_ACCOUNT_LIST[Cash Flow Section]="Cash from Operating Activities")*(PBC_ACCOUNT_LIST[Drivers Section]="Assets"))),0))),startDatesCF=EDATE(AR$74,-1))),0)-IFERROR(SUM(_xlfn._xlws.FILTER(_xlfn._xlws.FILTER(dataGLBSCF,ISNUMBER(_xlfn.XMATCH(dataGLBSAcctIDs,_xlfn._xlws.FILTER(PBC_ACCOUNT_LIST[Id], ((PBC_ACCOUNT_LIST[Cash Flow Section]="Cash from Operating Activities")*(PBC_ACCOUNT_LIST[Drivers Section]="Assets"))),0))),endDatesCF=AR$75)),0)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Equity")))),0))),endDatesCF=AR$75)),0)-IFERROR(SUM(_xlfn._xlws.FILTER(_xlfn._xlws.FILTER(dataGLBSCF,ISNUMBER(_xlfn.XMATCH(dataGLBSAcctIDs,_xlfn._xlws.FILTER(PBC_ACCOUNT_LIST[Id],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Equity")))),0))),startDatesCF=EDATE(AR$74,-1))),0)</f>
        <v>-41730.5</v>
      </c>
      <c r="AS83" s="162" cm="1">
        <f t="array" ref="AS83">IFERROR(SUM(_xlfn._xlws.FILTER(_xlfn._xlws.FILTER(dataGLPL,ISNUMBER(MATCH(dataGLPLSections,{"Revenue","Other Income"},0))),(startDates&gt;=AS$74)*(endDates&lt;=AS$75))),0)-IFERROR(SUM(_xlfn._xlws.FILTER(_xlfn._xlws.FILTER(dataGLPL,ISNUMBER(MATCH(dataGLPLSections,{"COGS","Opex","Other Expenses"},0))),(startDates&gt;=AS$74)*(endDates&lt;=AS$75))),0) +IFERROR(SUM(_xlfn._xlws.FILTER(_xlfn._xlws.FILTER(dataGLBSCF,ISNUMBER(_xlfn.XMATCH(dataGLBSAcctIDs,_xlfn._xlws.FILTER(PBC_ACCOUNT_LIST[Id], ((PBC_ACCOUNT_LIST[Cash Flow Section]="Cash from Operating Activities")*(PBC_ACCOUNT_LIST[Drivers Section]="Assets"))),0))),startDatesCF=EDATE(AS$74,-1))),0)-IFERROR(SUM(_xlfn._xlws.FILTER(_xlfn._xlws.FILTER(dataGLBSCF,ISNUMBER(_xlfn.XMATCH(dataGLBSAcctIDs,_xlfn._xlws.FILTER(PBC_ACCOUNT_LIST[Id], ((PBC_ACCOUNT_LIST[Cash Flow Section]="Cash from Operating Activities")*(PBC_ACCOUNT_LIST[Drivers Section]="Assets"))),0))),endDatesCF=AS$75)),0)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Equity")))),0))),endDatesCF=AS$75)),0)-IFERROR(SUM(_xlfn._xlws.FILTER(_xlfn._xlws.FILTER(dataGLBSCF,ISNUMBER(_xlfn.XMATCH(dataGLBSAcctIDs,_xlfn._xlws.FILTER(PBC_ACCOUNT_LIST[Id],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Equity")))),0))),startDatesCF=EDATE(AS$74,-1))),0)</f>
        <v>-50132.5</v>
      </c>
      <c r="AT83" s="162" cm="1">
        <f t="array" ref="AT83">IFERROR(SUM(_xlfn._xlws.FILTER(_xlfn._xlws.FILTER(dataGLPL,ISNUMBER(MATCH(dataGLPLSections,{"Revenue","Other Income"},0))),(startDates&gt;=AT$74)*(endDates&lt;=AT$75))),0)-IFERROR(SUM(_xlfn._xlws.FILTER(_xlfn._xlws.FILTER(dataGLPL,ISNUMBER(MATCH(dataGLPLSections,{"COGS","Opex","Other Expenses"},0))),(startDates&gt;=AT$74)*(endDates&lt;=AT$75))),0) +IFERROR(SUM(_xlfn._xlws.FILTER(_xlfn._xlws.FILTER(dataGLBSCF,ISNUMBER(_xlfn.XMATCH(dataGLBSAcctIDs,_xlfn._xlws.FILTER(PBC_ACCOUNT_LIST[Id], ((PBC_ACCOUNT_LIST[Cash Flow Section]="Cash from Operating Activities")*(PBC_ACCOUNT_LIST[Drivers Section]="Assets"))),0))),startDatesCF=EDATE(AT$74,-1))),0)-IFERROR(SUM(_xlfn._xlws.FILTER(_xlfn._xlws.FILTER(dataGLBSCF,ISNUMBER(_xlfn.XMATCH(dataGLBSAcctIDs,_xlfn._xlws.FILTER(PBC_ACCOUNT_LIST[Id], ((PBC_ACCOUNT_LIST[Cash Flow Section]="Cash from Operating Activities")*(PBC_ACCOUNT_LIST[Drivers Section]="Assets"))),0))),endDatesCF=AT$75)),0)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Equity")))),0))),endDatesCF=AT$75)),0)-IFERROR(SUM(_xlfn._xlws.FILTER(_xlfn._xlws.FILTER(dataGLBSCF,ISNUMBER(_xlfn.XMATCH(dataGLBSAcctIDs,_xlfn._xlws.FILTER(PBC_ACCOUNT_LIST[Id],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Equity")))),0))),startDatesCF=EDATE(AT$74,-1))),0)</f>
        <v>-45075</v>
      </c>
      <c r="AU83" s="162" cm="1">
        <f t="array" ref="AU83">IFERROR(SUM(_xlfn._xlws.FILTER(_xlfn._xlws.FILTER(dataGLPL,ISNUMBER(MATCH(dataGLPLSections,{"Revenue","Other Income"},0))),(startDates&gt;=AU$74)*(endDates&lt;=AU$75))),0)-IFERROR(SUM(_xlfn._xlws.FILTER(_xlfn._xlws.FILTER(dataGLPL,ISNUMBER(MATCH(dataGLPLSections,{"COGS","Opex","Other Expenses"},0))),(startDates&gt;=AU$74)*(endDates&lt;=AU$75))),0) +IFERROR(SUM(_xlfn._xlws.FILTER(_xlfn._xlws.FILTER(dataGLBSCF,ISNUMBER(_xlfn.XMATCH(dataGLBSAcctIDs,_xlfn._xlws.FILTER(PBC_ACCOUNT_LIST[Id], ((PBC_ACCOUNT_LIST[Cash Flow Section]="Cash from Operating Activities")*(PBC_ACCOUNT_LIST[Drivers Section]="Assets"))),0))),startDatesCF=EDATE(AU$74,-1))),0)-IFERROR(SUM(_xlfn._xlws.FILTER(_xlfn._xlws.FILTER(dataGLBSCF,ISNUMBER(_xlfn.XMATCH(dataGLBSAcctIDs,_xlfn._xlws.FILTER(PBC_ACCOUNT_LIST[Id], ((PBC_ACCOUNT_LIST[Cash Flow Section]="Cash from Operating Activities")*(PBC_ACCOUNT_LIST[Drivers Section]="Assets"))),0))),endDatesCF=AU$75)),0)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Equity")))),0))),endDatesCF=AU$75)),0)-IFERROR(SUM(_xlfn._xlws.FILTER(_xlfn._xlws.FILTER(dataGLBSCF,ISNUMBER(_xlfn.XMATCH(dataGLBSAcctIDs,_xlfn._xlws.FILTER(PBC_ACCOUNT_LIST[Id],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Equity")))),0))),startDatesCF=EDATE(AU$74,-1))),0)</f>
        <v>-51746</v>
      </c>
      <c r="AV83" s="162" cm="1">
        <f t="array" ref="AV83">IFERROR(SUM(_xlfn._xlws.FILTER(_xlfn._xlws.FILTER(dataGLPL,ISNUMBER(MATCH(dataGLPLSections,{"Revenue","Other Income"},0))),(startDates&gt;=AV$74)*(endDates&lt;=AV$75))),0)-IFERROR(SUM(_xlfn._xlws.FILTER(_xlfn._xlws.FILTER(dataGLPL,ISNUMBER(MATCH(dataGLPLSections,{"COGS","Opex","Other Expenses"},0))),(startDates&gt;=AV$74)*(endDates&lt;=AV$75))),0) +IFERROR(SUM(_xlfn._xlws.FILTER(_xlfn._xlws.FILTER(dataGLBSCF,ISNUMBER(_xlfn.XMATCH(dataGLBSAcctIDs,_xlfn._xlws.FILTER(PBC_ACCOUNT_LIST[Id], ((PBC_ACCOUNT_LIST[Cash Flow Section]="Cash from Operating Activities")*(PBC_ACCOUNT_LIST[Drivers Section]="Assets"))),0))),startDatesCF=EDATE(AV$74,-1))),0)-IFERROR(SUM(_xlfn._xlws.FILTER(_xlfn._xlws.FILTER(dataGLBSCF,ISNUMBER(_xlfn.XMATCH(dataGLBSAcctIDs,_xlfn._xlws.FILTER(PBC_ACCOUNT_LIST[Id], ((PBC_ACCOUNT_LIST[Cash Flow Section]="Cash from Operating Activities")*(PBC_ACCOUNT_LIST[Drivers Section]="Assets"))),0))),endDatesCF=AV$75)),0)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Equity")))),0))),endDatesCF=AV$75)),0)-IFERROR(SUM(_xlfn._xlws.FILTER(_xlfn._xlws.FILTER(dataGLBSCF,ISNUMBER(_xlfn.XMATCH(dataGLBSAcctIDs,_xlfn._xlws.FILTER(PBC_ACCOUNT_LIST[Id],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Equity")))),0))),startDatesCF=EDATE(AV$74,-1))),0)</f>
        <v>-67458</v>
      </c>
      <c r="AW83" s="162" cm="1">
        <f t="array" ref="AW83">IFERROR(SUM(_xlfn._xlws.FILTER(_xlfn._xlws.FILTER(dataGLPL,ISNUMBER(MATCH(dataGLPLSections,{"Revenue","Other Income"},0))),(startDates&gt;=AW$74)*(endDates&lt;=AW$75))),0)-IFERROR(SUM(_xlfn._xlws.FILTER(_xlfn._xlws.FILTER(dataGLPL,ISNUMBER(MATCH(dataGLPLSections,{"COGS","Opex","Other Expenses"},0))),(startDates&gt;=AW$74)*(endDates&lt;=AW$75))),0) +IFERROR(SUM(_xlfn._xlws.FILTER(_xlfn._xlws.FILTER(dataGLBSCF,ISNUMBER(_xlfn.XMATCH(dataGLBSAcctIDs,_xlfn._xlws.FILTER(PBC_ACCOUNT_LIST[Id], ((PBC_ACCOUNT_LIST[Cash Flow Section]="Cash from Operating Activities")*(PBC_ACCOUNT_LIST[Drivers Section]="Assets"))),0))),startDatesCF=EDATE(AW$74,-1))),0)-IFERROR(SUM(_xlfn._xlws.FILTER(_xlfn._xlws.FILTER(dataGLBSCF,ISNUMBER(_xlfn.XMATCH(dataGLBSAcctIDs,_xlfn._xlws.FILTER(PBC_ACCOUNT_LIST[Id], ((PBC_ACCOUNT_LIST[Cash Flow Section]="Cash from Operating Activities")*(PBC_ACCOUNT_LIST[Drivers Section]="Assets"))),0))),endDatesCF=AW$75)),0)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Equity")))),0))),endDatesCF=AW$75)),0)-IFERROR(SUM(_xlfn._xlws.FILTER(_xlfn._xlws.FILTER(dataGLBSCF,ISNUMBER(_xlfn.XMATCH(dataGLBSAcctIDs,_xlfn._xlws.FILTER(PBC_ACCOUNT_LIST[Id],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Equity")))),0))),startDatesCF=EDATE(AW$74,-1))),0)</f>
        <v>-111134</v>
      </c>
      <c r="AX83" s="162" cm="1">
        <f t="array" ref="AX83">IFERROR(SUM(_xlfn._xlws.FILTER(_xlfn._xlws.FILTER(dataGLPL,ISNUMBER(MATCH(dataGLPLSections,{"Revenue","Other Income"},0))),(startDates&gt;=AX$74)*(endDates&lt;=AX$75))),0)-IFERROR(SUM(_xlfn._xlws.FILTER(_xlfn._xlws.FILTER(dataGLPL,ISNUMBER(MATCH(dataGLPLSections,{"COGS","Opex","Other Expenses"},0))),(startDates&gt;=AX$74)*(endDates&lt;=AX$75))),0) +IFERROR(SUM(_xlfn._xlws.FILTER(_xlfn._xlws.FILTER(dataGLBSCF,ISNUMBER(_xlfn.XMATCH(dataGLBSAcctIDs,_xlfn._xlws.FILTER(PBC_ACCOUNT_LIST[Id], ((PBC_ACCOUNT_LIST[Cash Flow Section]="Cash from Operating Activities")*(PBC_ACCOUNT_LIST[Drivers Section]="Assets"))),0))),startDatesCF=EDATE(AX$74,-1))),0)-IFERROR(SUM(_xlfn._xlws.FILTER(_xlfn._xlws.FILTER(dataGLBSCF,ISNUMBER(_xlfn.XMATCH(dataGLBSAcctIDs,_xlfn._xlws.FILTER(PBC_ACCOUNT_LIST[Id], ((PBC_ACCOUNT_LIST[Cash Flow Section]="Cash from Operating Activities")*(PBC_ACCOUNT_LIST[Drivers Section]="Assets"))),0))),endDatesCF=AX$75)),0)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Equity")))),0))),endDatesCF=AX$75)),0)-IFERROR(SUM(_xlfn._xlws.FILTER(_xlfn._xlws.FILTER(dataGLBSCF,ISNUMBER(_xlfn.XMATCH(dataGLBSAcctIDs,_xlfn._xlws.FILTER(PBC_ACCOUNT_LIST[Id],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Equity")))),0))),startDatesCF=EDATE(AX$74,-1))),0)</f>
        <v>-76712</v>
      </c>
      <c r="AY83" s="162" cm="1">
        <f t="array" ref="AY83">IFERROR(SUM(_xlfn._xlws.FILTER(_xlfn._xlws.FILTER(dataGLPL,ISNUMBER(MATCH(dataGLPLSections,{"Revenue","Other Income"},0))),(startDates&gt;=AY$74)*(endDates&lt;=AY$75))),0)-IFERROR(SUM(_xlfn._xlws.FILTER(_xlfn._xlws.FILTER(dataGLPL,ISNUMBER(MATCH(dataGLPLSections,{"COGS","Opex","Other Expenses"},0))),(startDates&gt;=AY$74)*(endDates&lt;=AY$75))),0) +IFERROR(SUM(_xlfn._xlws.FILTER(_xlfn._xlws.FILTER(dataGLBSCF,ISNUMBER(_xlfn.XMATCH(dataGLBSAcctIDs,_xlfn._xlws.FILTER(PBC_ACCOUNT_LIST[Id], ((PBC_ACCOUNT_LIST[Cash Flow Section]="Cash from Operating Activities")*(PBC_ACCOUNT_LIST[Drivers Section]="Assets"))),0))),startDatesCF=EDATE(AY$74,-1))),0)-IFERROR(SUM(_xlfn._xlws.FILTER(_xlfn._xlws.FILTER(dataGLBSCF,ISNUMBER(_xlfn.XMATCH(dataGLBSAcctIDs,_xlfn._xlws.FILTER(PBC_ACCOUNT_LIST[Id], ((PBC_ACCOUNT_LIST[Cash Flow Section]="Cash from Operating Activities")*(PBC_ACCOUNT_LIST[Drivers Section]="Assets"))),0))),endDatesCF=AY$75)),0)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Equity")))),0))),endDatesCF=AY$75)),0)-IFERROR(SUM(_xlfn._xlws.FILTER(_xlfn._xlws.FILTER(dataGLBSCF,ISNUMBER(_xlfn.XMATCH(dataGLBSAcctIDs,_xlfn._xlws.FILTER(PBC_ACCOUNT_LIST[Id],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Equity")))),0))),startDatesCF=EDATE(AY$74,-1))),0)</f>
        <v>-126954</v>
      </c>
      <c r="AZ83" s="162" cm="1">
        <f t="array" ref="AZ83">IFERROR(SUM(_xlfn._xlws.FILTER(_xlfn._xlws.FILTER(dataGLPL,ISNUMBER(MATCH(dataGLPLSections,{"Revenue","Other Income"},0))),(startDates&gt;=AZ$74)*(endDates&lt;=AZ$75))),0)-IFERROR(SUM(_xlfn._xlws.FILTER(_xlfn._xlws.FILTER(dataGLPL,ISNUMBER(MATCH(dataGLPLSections,{"COGS","Opex","Other Expenses"},0))),(startDates&gt;=AZ$74)*(endDates&lt;=AZ$75))),0) +IFERROR(SUM(_xlfn._xlws.FILTER(_xlfn._xlws.FILTER(dataGLBSCF,ISNUMBER(_xlfn.XMATCH(dataGLBSAcctIDs,_xlfn._xlws.FILTER(PBC_ACCOUNT_LIST[Id], ((PBC_ACCOUNT_LIST[Cash Flow Section]="Cash from Operating Activities")*(PBC_ACCOUNT_LIST[Drivers Section]="Assets"))),0))),startDatesCF=EDATE(AZ$74,-1))),0)-IFERROR(SUM(_xlfn._xlws.FILTER(_xlfn._xlws.FILTER(dataGLBSCF,ISNUMBER(_xlfn.XMATCH(dataGLBSAcctIDs,_xlfn._xlws.FILTER(PBC_ACCOUNT_LIST[Id], ((PBC_ACCOUNT_LIST[Cash Flow Section]="Cash from Operating Activities")*(PBC_ACCOUNT_LIST[Drivers Section]="Assets"))),0))),endDatesCF=AZ$75)),0)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Equity")))),0))),endDatesCF=AZ$75)),0)-IFERROR(SUM(_xlfn._xlws.FILTER(_xlfn._xlws.FILTER(dataGLBSCF,ISNUMBER(_xlfn.XMATCH(dataGLBSAcctIDs,_xlfn._xlws.FILTER(PBC_ACCOUNT_LIST[Id],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Equity")))),0))),startDatesCF=EDATE(AZ$74,-1))),0)</f>
        <v>-71494</v>
      </c>
      <c r="BA83" s="162" cm="1">
        <f t="array" ref="BA83">IFERROR(SUM(_xlfn._xlws.FILTER(_xlfn._xlws.FILTER(dataGLPL,ISNUMBER(MATCH(dataGLPLSections,{"Revenue","Other Income"},0))),(startDates&gt;=BA$74)*(endDates&lt;=BA$75))),0)-IFERROR(SUM(_xlfn._xlws.FILTER(_xlfn._xlws.FILTER(dataGLPL,ISNUMBER(MATCH(dataGLPLSections,{"COGS","Opex","Other Expenses"},0))),(startDates&gt;=BA$74)*(endDates&lt;=BA$75))),0) +IFERROR(SUM(_xlfn._xlws.FILTER(_xlfn._xlws.FILTER(dataGLBSCF,ISNUMBER(_xlfn.XMATCH(dataGLBSAcctIDs,_xlfn._xlws.FILTER(PBC_ACCOUNT_LIST[Id], ((PBC_ACCOUNT_LIST[Cash Flow Section]="Cash from Operating Activities")*(PBC_ACCOUNT_LIST[Drivers Section]="Assets"))),0))),startDatesCF=EDATE(BA$74,-1))),0)-IFERROR(SUM(_xlfn._xlws.FILTER(_xlfn._xlws.FILTER(dataGLBSCF,ISNUMBER(_xlfn.XMATCH(dataGLBSAcctIDs,_xlfn._xlws.FILTER(PBC_ACCOUNT_LIST[Id], ((PBC_ACCOUNT_LIST[Cash Flow Section]="Cash from Operating Activities")*(PBC_ACCOUNT_LIST[Drivers Section]="Assets"))),0))),endDatesCF=BA$75)),0)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Equity")))),0))),endDatesCF=BA$75)),0)-IFERROR(SUM(_xlfn._xlws.FILTER(_xlfn._xlws.FILTER(dataGLBSCF,ISNUMBER(_xlfn.XMATCH(dataGLBSAcctIDs,_xlfn._xlws.FILTER(PBC_ACCOUNT_LIST[Id],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Equity")))),0))),startDatesCF=EDATE(BA$74,-1))),0)</f>
        <v>-134047</v>
      </c>
      <c r="BB83" s="162" cm="1">
        <f t="array" ref="BB83">IFERROR(SUM(_xlfn._xlws.FILTER(_xlfn._xlws.FILTER(dataGLPL,ISNUMBER(MATCH(dataGLPLSections,{"Revenue","Other Income"},0))),(startDates&gt;=BB$74)*(endDates&lt;=BB$75))),0)-IFERROR(SUM(_xlfn._xlws.FILTER(_xlfn._xlws.FILTER(dataGLPL,ISNUMBER(MATCH(dataGLPLSections,{"COGS","Opex","Other Expenses"},0))),(startDates&gt;=BB$74)*(endDates&lt;=BB$75))),0) +IFERROR(SUM(_xlfn._xlws.FILTER(_xlfn._xlws.FILTER(dataGLBSCF,ISNUMBER(_xlfn.XMATCH(dataGLBSAcctIDs,_xlfn._xlws.FILTER(PBC_ACCOUNT_LIST[Id], ((PBC_ACCOUNT_LIST[Cash Flow Section]="Cash from Operating Activities")*(PBC_ACCOUNT_LIST[Drivers Section]="Assets"))),0))),startDatesCF=EDATE(BB$74,-1))),0)-IFERROR(SUM(_xlfn._xlws.FILTER(_xlfn._xlws.FILTER(dataGLBSCF,ISNUMBER(_xlfn.XMATCH(dataGLBSAcctIDs,_xlfn._xlws.FILTER(PBC_ACCOUNT_LIST[Id], ((PBC_ACCOUNT_LIST[Cash Flow Section]="Cash from Operating Activities")*(PBC_ACCOUNT_LIST[Drivers Section]="Assets"))),0))),endDatesCF=BB$75)),0)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Equity")))),0))),endDatesCF=BB$75)),0)-IFERROR(SUM(_xlfn._xlws.FILTER(_xlfn._xlws.FILTER(dataGLBSCF,ISNUMBER(_xlfn.XMATCH(dataGLBSAcctIDs,_xlfn._xlws.FILTER(PBC_ACCOUNT_LIST[Id],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Equity")))),0))),startDatesCF=EDATE(BB$74,-1))),0)</f>
        <v>-75799</v>
      </c>
      <c r="BC83" s="162" cm="1">
        <f t="array" ref="BC83">IFERROR(SUM(_xlfn._xlws.FILTER(_xlfn._xlws.FILTER(dataGLPL,ISNUMBER(MATCH(dataGLPLSections,{"Revenue","Other Income"},0))),(startDates&gt;=BC$74)*(endDates&lt;=BC$75))),0)-IFERROR(SUM(_xlfn._xlws.FILTER(_xlfn._xlws.FILTER(dataGLPL,ISNUMBER(MATCH(dataGLPLSections,{"COGS","Opex","Other Expenses"},0))),(startDates&gt;=BC$74)*(endDates&lt;=BC$75))),0) +IFERROR(SUM(_xlfn._xlws.FILTER(_xlfn._xlws.FILTER(dataGLBSCF,ISNUMBER(_xlfn.XMATCH(dataGLBSAcctIDs,_xlfn._xlws.FILTER(PBC_ACCOUNT_LIST[Id], ((PBC_ACCOUNT_LIST[Cash Flow Section]="Cash from Operating Activities")*(PBC_ACCOUNT_LIST[Drivers Section]="Assets"))),0))),startDatesCF=EDATE(BC$74,-1))),0)-IFERROR(SUM(_xlfn._xlws.FILTER(_xlfn._xlws.FILTER(dataGLBSCF,ISNUMBER(_xlfn.XMATCH(dataGLBSAcctIDs,_xlfn._xlws.FILTER(PBC_ACCOUNT_LIST[Id], ((PBC_ACCOUNT_LIST[Cash Flow Section]="Cash from Operating Activities")*(PBC_ACCOUNT_LIST[Drivers Section]="Assets"))),0))),endDatesCF=BC$75)),0)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Equity")))),0))),endDatesCF=BC$75)),0)-IFERROR(SUM(_xlfn._xlws.FILTER(_xlfn._xlws.FILTER(dataGLBSCF,ISNUMBER(_xlfn.XMATCH(dataGLBSAcctIDs,_xlfn._xlws.FILTER(PBC_ACCOUNT_LIST[Id],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Equity")))),0))),startDatesCF=EDATE(BC$74,-1))),0)</f>
        <v>-138143</v>
      </c>
      <c r="BD83" s="162" cm="1">
        <f t="array" ref="BD83">IFERROR(SUM(_xlfn._xlws.FILTER(_xlfn._xlws.FILTER(dataGLPL,ISNUMBER(MATCH(dataGLPLSections,{"Revenue","Other Income"},0))),(startDates&gt;=BD$74)*(endDates&lt;=BD$75))),0)-IFERROR(SUM(_xlfn._xlws.FILTER(_xlfn._xlws.FILTER(dataGLPL,ISNUMBER(MATCH(dataGLPLSections,{"COGS","Opex","Other Expenses"},0))),(startDates&gt;=BD$74)*(endDates&lt;=BD$75))),0) +IFERROR(SUM(_xlfn._xlws.FILTER(_xlfn._xlws.FILTER(dataGLBSCF,ISNUMBER(_xlfn.XMATCH(dataGLBSAcctIDs,_xlfn._xlws.FILTER(PBC_ACCOUNT_LIST[Id], ((PBC_ACCOUNT_LIST[Cash Flow Section]="Cash from Operating Activities")*(PBC_ACCOUNT_LIST[Drivers Section]="Assets"))),0))),startDatesCF=EDATE(BD$74,-1))),0)-IFERROR(SUM(_xlfn._xlws.FILTER(_xlfn._xlws.FILTER(dataGLBSCF,ISNUMBER(_xlfn.XMATCH(dataGLBSAcctIDs,_xlfn._xlws.FILTER(PBC_ACCOUNT_LIST[Id], ((PBC_ACCOUNT_LIST[Cash Flow Section]="Cash from Operating Activities")*(PBC_ACCOUNT_LIST[Drivers Section]="Assets"))),0))),endDatesCF=BD$75)),0)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Equity")))),0))),endDatesCF=BD$75)),0)-IFERROR(SUM(_xlfn._xlws.FILTER(_xlfn._xlws.FILTER(dataGLBSCF,ISNUMBER(_xlfn.XMATCH(dataGLBSAcctIDs,_xlfn._xlws.FILTER(PBC_ACCOUNT_LIST[Id],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Equity")))),0))),startDatesCF=EDATE(BD$74,-1))),0)</f>
        <v>-144663</v>
      </c>
      <c r="BE83" s="162" cm="1">
        <f t="array" ref="BE83">IFERROR(SUM(_xlfn._xlws.FILTER(_xlfn._xlws.FILTER(dataGLPL,ISNUMBER(MATCH(dataGLPLSections,{"Revenue","Other Income"},0))),(startDates&gt;=BE$74)*(endDates&lt;=BE$75))),0)-IFERROR(SUM(_xlfn._xlws.FILTER(_xlfn._xlws.FILTER(dataGLPL,ISNUMBER(MATCH(dataGLPLSections,{"COGS","Opex","Other Expenses"},0))),(startDates&gt;=BE$74)*(endDates&lt;=BE$75))),0) +IFERROR(SUM(_xlfn._xlws.FILTER(_xlfn._xlws.FILTER(dataGLBSCF,ISNUMBER(_xlfn.XMATCH(dataGLBSAcctIDs,_xlfn._xlws.FILTER(PBC_ACCOUNT_LIST[Id], ((PBC_ACCOUNT_LIST[Cash Flow Section]="Cash from Operating Activities")*(PBC_ACCOUNT_LIST[Drivers Section]="Assets"))),0))),startDatesCF=EDATE(BE$74,-1))),0)-IFERROR(SUM(_xlfn._xlws.FILTER(_xlfn._xlws.FILTER(dataGLBSCF,ISNUMBER(_xlfn.XMATCH(dataGLBSAcctIDs,_xlfn._xlws.FILTER(PBC_ACCOUNT_LIST[Id], ((PBC_ACCOUNT_LIST[Cash Flow Section]="Cash from Operating Activities")*(PBC_ACCOUNT_LIST[Drivers Section]="Assets"))),0))),endDatesCF=BE$75)),0)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Equity")))),0))),endDatesCF=BE$75)),0)-IFERROR(SUM(_xlfn._xlws.FILTER(_xlfn._xlws.FILTER(dataGLBSCF,ISNUMBER(_xlfn.XMATCH(dataGLBSAcctIDs,_xlfn._xlws.FILTER(PBC_ACCOUNT_LIST[Id],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Equity")))),0))),startDatesCF=EDATE(BE$74,-1))),0)</f>
        <v>-144317</v>
      </c>
      <c r="BF83" s="162" cm="1">
        <f t="array" ref="BF83">IFERROR(SUM(_xlfn._xlws.FILTER(_xlfn._xlws.FILTER(dataGLPL,ISNUMBER(MATCH(dataGLPLSections,{"Revenue","Other Income"},0))),(startDates&gt;=BF$74)*(endDates&lt;=BF$75))),0)-IFERROR(SUM(_xlfn._xlws.FILTER(_xlfn._xlws.FILTER(dataGLPL,ISNUMBER(MATCH(dataGLPLSections,{"COGS","Opex","Other Expenses"},0))),(startDates&gt;=BF$74)*(endDates&lt;=BF$75))),0) +IFERROR(SUM(_xlfn._xlws.FILTER(_xlfn._xlws.FILTER(dataGLBSCF,ISNUMBER(_xlfn.XMATCH(dataGLBSAcctIDs,_xlfn._xlws.FILTER(PBC_ACCOUNT_LIST[Id], ((PBC_ACCOUNT_LIST[Cash Flow Section]="Cash from Operating Activities")*(PBC_ACCOUNT_LIST[Drivers Section]="Assets"))),0))),startDatesCF=EDATE(BF$74,-1))),0)-IFERROR(SUM(_xlfn._xlws.FILTER(_xlfn._xlws.FILTER(dataGLBSCF,ISNUMBER(_xlfn.XMATCH(dataGLBSAcctIDs,_xlfn._xlws.FILTER(PBC_ACCOUNT_LIST[Id], ((PBC_ACCOUNT_LIST[Cash Flow Section]="Cash from Operating Activities")*(PBC_ACCOUNT_LIST[Drivers Section]="Assets"))),0))),endDatesCF=BF$75)),0)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Equity")))),0))),endDatesCF=BF$75)),0)-IFERROR(SUM(_xlfn._xlws.FILTER(_xlfn._xlws.FILTER(dataGLBSCF,ISNUMBER(_xlfn.XMATCH(dataGLBSAcctIDs,_xlfn._xlws.FILTER(PBC_ACCOUNT_LIST[Id],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Equity")))),0))),startDatesCF=EDATE(BF$74,-1))),0)</f>
        <v>-150651</v>
      </c>
      <c r="BG83" s="162" cm="1">
        <f t="array" ref="BG83">IFERROR(SUM(_xlfn._xlws.FILTER(_xlfn._xlws.FILTER(dataGLPL,ISNUMBER(MATCH(dataGLPLSections,{"Revenue","Other Income"},0))),(startDates&gt;=BG$74)*(endDates&lt;=BG$75))),0)-IFERROR(SUM(_xlfn._xlws.FILTER(_xlfn._xlws.FILTER(dataGLPL,ISNUMBER(MATCH(dataGLPLSections,{"COGS","Opex","Other Expenses"},0))),(startDates&gt;=BG$74)*(endDates&lt;=BG$75))),0) +IFERROR(SUM(_xlfn._xlws.FILTER(_xlfn._xlws.FILTER(dataGLBSCF,ISNUMBER(_xlfn.XMATCH(dataGLBSAcctIDs,_xlfn._xlws.FILTER(PBC_ACCOUNT_LIST[Id], ((PBC_ACCOUNT_LIST[Cash Flow Section]="Cash from Operating Activities")*(PBC_ACCOUNT_LIST[Drivers Section]="Assets"))),0))),startDatesCF=EDATE(BG$74,-1))),0)-IFERROR(SUM(_xlfn._xlws.FILTER(_xlfn._xlws.FILTER(dataGLBSCF,ISNUMBER(_xlfn.XMATCH(dataGLBSAcctIDs,_xlfn._xlws.FILTER(PBC_ACCOUNT_LIST[Id], ((PBC_ACCOUNT_LIST[Cash Flow Section]="Cash from Operating Activities")*(PBC_ACCOUNT_LIST[Drivers Section]="Assets"))),0))),endDatesCF=BG$75)),0)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Equity")))),0))),endDatesCF=BG$75)),0)-IFERROR(SUM(_xlfn._xlws.FILTER(_xlfn._xlws.FILTER(dataGLBSCF,ISNUMBER(_xlfn.XMATCH(dataGLBSAcctIDs,_xlfn._xlws.FILTER(PBC_ACCOUNT_LIST[Id],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Equity")))),0))),startDatesCF=EDATE(BG$74,-1))),0)</f>
        <v>-150765</v>
      </c>
      <c r="BH83" s="162" cm="1">
        <f t="array" ref="BH83">IFERROR(SUM(_xlfn._xlws.FILTER(_xlfn._xlws.FILTER(dataGLPL,ISNUMBER(MATCH(dataGLPLSections,{"Revenue","Other Income"},0))),(startDates&gt;=BH$74)*(endDates&lt;=BH$75))),0)-IFERROR(SUM(_xlfn._xlws.FILTER(_xlfn._xlws.FILTER(dataGLPL,ISNUMBER(MATCH(dataGLPLSections,{"COGS","Opex","Other Expenses"},0))),(startDates&gt;=BH$74)*(endDates&lt;=BH$75))),0) +IFERROR(SUM(_xlfn._xlws.FILTER(_xlfn._xlws.FILTER(dataGLBSCF,ISNUMBER(_xlfn.XMATCH(dataGLBSAcctIDs,_xlfn._xlws.FILTER(PBC_ACCOUNT_LIST[Id], ((PBC_ACCOUNT_LIST[Cash Flow Section]="Cash from Operating Activities")*(PBC_ACCOUNT_LIST[Drivers Section]="Assets"))),0))),startDatesCF=EDATE(BH$74,-1))),0)-IFERROR(SUM(_xlfn._xlws.FILTER(_xlfn._xlws.FILTER(dataGLBSCF,ISNUMBER(_xlfn.XMATCH(dataGLBSAcctIDs,_xlfn._xlws.FILTER(PBC_ACCOUNT_LIST[Id], ((PBC_ACCOUNT_LIST[Cash Flow Section]="Cash from Operating Activities")*(PBC_ACCOUNT_LIST[Drivers Section]="Assets"))),0))),endDatesCF=BH$75)),0)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Equity")))),0))),endDatesCF=BH$75)),0)-IFERROR(SUM(_xlfn._xlws.FILTER(_xlfn._xlws.FILTER(dataGLBSCF,ISNUMBER(_xlfn.XMATCH(dataGLBSAcctIDs,_xlfn._xlws.FILTER(PBC_ACCOUNT_LIST[Id],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Equity")))),0))),startDatesCF=EDATE(BH$74,-1))),0)</f>
        <v>-157269</v>
      </c>
      <c r="BI83" s="162" cm="1">
        <f t="array" ref="BI83">IFERROR(SUM(_xlfn._xlws.FILTER(_xlfn._xlws.FILTER(dataGLPL,ISNUMBER(MATCH(dataGLPLSections,{"Revenue","Other Income"},0))),(startDates&gt;=BI$74)*(endDates&lt;=BI$75))),0)-IFERROR(SUM(_xlfn._xlws.FILTER(_xlfn._xlws.FILTER(dataGLPL,ISNUMBER(MATCH(dataGLPLSections,{"COGS","Opex","Other Expenses"},0))),(startDates&gt;=BI$74)*(endDates&lt;=BI$75))),0) +IFERROR(SUM(_xlfn._xlws.FILTER(_xlfn._xlws.FILTER(dataGLBSCF,ISNUMBER(_xlfn.XMATCH(dataGLBSAcctIDs,_xlfn._xlws.FILTER(PBC_ACCOUNT_LIST[Id], ((PBC_ACCOUNT_LIST[Cash Flow Section]="Cash from Operating Activities")*(PBC_ACCOUNT_LIST[Drivers Section]="Assets"))),0))),startDatesCF=EDATE(BI$74,-1))),0)-IFERROR(SUM(_xlfn._xlws.FILTER(_xlfn._xlws.FILTER(dataGLBSCF,ISNUMBER(_xlfn.XMATCH(dataGLBSAcctIDs,_xlfn._xlws.FILTER(PBC_ACCOUNT_LIST[Id], ((PBC_ACCOUNT_LIST[Cash Flow Section]="Cash from Operating Activities")*(PBC_ACCOUNT_LIST[Drivers Section]="Assets"))),0))),endDatesCF=BI$75)),0)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Equity")))),0))),endDatesCF=BI$75)),0)-IFERROR(SUM(_xlfn._xlws.FILTER(_xlfn._xlws.FILTER(dataGLBSCF,ISNUMBER(_xlfn.XMATCH(dataGLBSAcctIDs,_xlfn._xlws.FILTER(PBC_ACCOUNT_LIST[Id],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Equity")))),0))),startDatesCF=EDATE(BI$74,-1))),0)</f>
        <v>-164204</v>
      </c>
      <c r="BJ83" s="162" cm="1">
        <f t="array" ref="BJ83">IFERROR(SUM(_xlfn._xlws.FILTER(_xlfn._xlws.FILTER(dataGLPL,ISNUMBER(MATCH(dataGLPLSections,{"Revenue","Other Income"},0))),(startDates&gt;=BJ$74)*(endDates&lt;=BJ$75))),0)-IFERROR(SUM(_xlfn._xlws.FILTER(_xlfn._xlws.FILTER(dataGLPL,ISNUMBER(MATCH(dataGLPLSections,{"COGS","Opex","Other Expenses"},0))),(startDates&gt;=BJ$74)*(endDates&lt;=BJ$75))),0) +IFERROR(SUM(_xlfn._xlws.FILTER(_xlfn._xlws.FILTER(dataGLBSCF,ISNUMBER(_xlfn.XMATCH(dataGLBSAcctIDs,_xlfn._xlws.FILTER(PBC_ACCOUNT_LIST[Id], ((PBC_ACCOUNT_LIST[Cash Flow Section]="Cash from Operating Activities")*(PBC_ACCOUNT_LIST[Drivers Section]="Assets"))),0))),startDatesCF=EDATE(BJ$74,-1))),0)-IFERROR(SUM(_xlfn._xlws.FILTER(_xlfn._xlws.FILTER(dataGLBSCF,ISNUMBER(_xlfn.XMATCH(dataGLBSAcctIDs,_xlfn._xlws.FILTER(PBC_ACCOUNT_LIST[Id], ((PBC_ACCOUNT_LIST[Cash Flow Section]="Cash from Operating Activities")*(PBC_ACCOUNT_LIST[Drivers Section]="Assets"))),0))),endDatesCF=BJ$75)),0)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Equity")))),0))),endDatesCF=BJ$75)),0)-IFERROR(SUM(_xlfn._xlws.FILTER(_xlfn._xlws.FILTER(dataGLBSCF,ISNUMBER(_xlfn.XMATCH(dataGLBSAcctIDs,_xlfn._xlws.FILTER(PBC_ACCOUNT_LIST[Id],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Equity")))),0))),startDatesCF=EDATE(BJ$74,-1))),0)</f>
        <v>-171471.01999999993</v>
      </c>
      <c r="BK83" s="162" cm="1">
        <f t="array" ref="BK83">IFERROR(SUM(_xlfn._xlws.FILTER(_xlfn._xlws.FILTER(dataGLPL,ISNUMBER(MATCH(dataGLPLSections,{"Revenue","Other Income"},0))),(startDates&gt;=BK$74)*(endDates&lt;=BK$75))),0)-IFERROR(SUM(_xlfn._xlws.FILTER(_xlfn._xlws.FILTER(dataGLPL,ISNUMBER(MATCH(dataGLPLSections,{"COGS","Opex","Other Expenses"},0))),(startDates&gt;=BK$74)*(endDates&lt;=BK$75))),0) +IFERROR(SUM(_xlfn._xlws.FILTER(_xlfn._xlws.FILTER(dataGLBSCF,ISNUMBER(_xlfn.XMATCH(dataGLBSAcctIDs,_xlfn._xlws.FILTER(PBC_ACCOUNT_LIST[Id], ((PBC_ACCOUNT_LIST[Cash Flow Section]="Cash from Operating Activities")*(PBC_ACCOUNT_LIST[Drivers Section]="Assets"))),0))),startDatesCF=EDATE(BK$74,-1))),0)-IFERROR(SUM(_xlfn._xlws.FILTER(_xlfn._xlws.FILTER(dataGLBSCF,ISNUMBER(_xlfn.XMATCH(dataGLBSAcctIDs,_xlfn._xlws.FILTER(PBC_ACCOUNT_LIST[Id], ((PBC_ACCOUNT_LIST[Cash Flow Section]="Cash from Operating Activities")*(PBC_ACCOUNT_LIST[Drivers Section]="Assets"))),0))),endDatesCF=BK$75)),0)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Equity")))),0))),endDatesCF=BK$75)),0)-IFERROR(SUM(_xlfn._xlws.FILTER(_xlfn._xlws.FILTER(dataGLBSCF,ISNUMBER(_xlfn.XMATCH(dataGLBSAcctIDs,_xlfn._xlws.FILTER(PBC_ACCOUNT_LIST[Id],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Equity")))),0))),startDatesCF=EDATE(BK$74,-1))),0)</f>
        <v>-179074</v>
      </c>
      <c r="BL83" s="162" cm="1">
        <f t="array" ref="BL83">IFERROR(SUM(_xlfn._xlws.FILTER(_xlfn._xlws.FILTER(dataGLPL,ISNUMBER(MATCH(dataGLPLSections,{"Revenue","Other Income"},0))),(startDates&gt;=BL$74)*(endDates&lt;=BL$75))),0)-IFERROR(SUM(_xlfn._xlws.FILTER(_xlfn._xlws.FILTER(dataGLPL,ISNUMBER(MATCH(dataGLPLSections,{"COGS","Opex","Other Expenses"},0))),(startDates&gt;=BL$74)*(endDates&lt;=BL$75))),0) +IFERROR(SUM(_xlfn._xlws.FILTER(_xlfn._xlws.FILTER(dataGLBSCF,ISNUMBER(_xlfn.XMATCH(dataGLBSAcctIDs,_xlfn._xlws.FILTER(PBC_ACCOUNT_LIST[Id], ((PBC_ACCOUNT_LIST[Cash Flow Section]="Cash from Operating Activities")*(PBC_ACCOUNT_LIST[Drivers Section]="Assets"))),0))),startDatesCF=EDATE(BL$74,-1))),0)-IFERROR(SUM(_xlfn._xlws.FILTER(_xlfn._xlws.FILTER(dataGLBSCF,ISNUMBER(_xlfn.XMATCH(dataGLBSAcctIDs,_xlfn._xlws.FILTER(PBC_ACCOUNT_LIST[Id], ((PBC_ACCOUNT_LIST[Cash Flow Section]="Cash from Operating Activities")*(PBC_ACCOUNT_LIST[Drivers Section]="Assets"))),0))),endDatesCF=BL$75)),0)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Equity")))),0))),endDatesCF=BL$75)),0)-IFERROR(SUM(_xlfn._xlws.FILTER(_xlfn._xlws.FILTER(dataGLBSCF,ISNUMBER(_xlfn.XMATCH(dataGLBSAcctIDs,_xlfn._xlws.FILTER(PBC_ACCOUNT_LIST[Id],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Equity")))),0))),startDatesCF=EDATE(BL$74,-1))),0)</f>
        <v>-187079</v>
      </c>
      <c r="BM83" s="162" cm="1">
        <f t="array" ref="BM83">IFERROR(SUM(_xlfn._xlws.FILTER(_xlfn._xlws.FILTER(dataGLPL,ISNUMBER(MATCH(dataGLPLSections,{"Revenue","Other Income"},0))),(startDates&gt;=BM$74)*(endDates&lt;=BM$75))),0)-IFERROR(SUM(_xlfn._xlws.FILTER(_xlfn._xlws.FILTER(dataGLPL,ISNUMBER(MATCH(dataGLPLSections,{"COGS","Opex","Other Expenses"},0))),(startDates&gt;=BM$74)*(endDates&lt;=BM$75))),0) +IFERROR(SUM(_xlfn._xlws.FILTER(_xlfn._xlws.FILTER(dataGLBSCF,ISNUMBER(_xlfn.XMATCH(dataGLBSAcctIDs,_xlfn._xlws.FILTER(PBC_ACCOUNT_LIST[Id], ((PBC_ACCOUNT_LIST[Cash Flow Section]="Cash from Operating Activities")*(PBC_ACCOUNT_LIST[Drivers Section]="Assets"))),0))),startDatesCF=EDATE(BM$74,-1))),0)-IFERROR(SUM(_xlfn._xlws.FILTER(_xlfn._xlws.FILTER(dataGLBSCF,ISNUMBER(_xlfn.XMATCH(dataGLBSAcctIDs,_xlfn._xlws.FILTER(PBC_ACCOUNT_LIST[Id], ((PBC_ACCOUNT_LIST[Cash Flow Section]="Cash from Operating Activities")*(PBC_ACCOUNT_LIST[Drivers Section]="Assets"))),0))),endDatesCF=BM$75)),0)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Equity")))),0))),endDatesCF=BM$75)),0)-IFERROR(SUM(_xlfn._xlws.FILTER(_xlfn._xlws.FILTER(dataGLBSCF,ISNUMBER(_xlfn.XMATCH(dataGLBSAcctIDs,_xlfn._xlws.FILTER(PBC_ACCOUNT_LIST[Id],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Equity")))),0))),startDatesCF=EDATE(BM$74,-1))),0)</f>
        <v>-195477.00000000006</v>
      </c>
      <c r="BN83" s="162" cm="1">
        <f t="array" ref="BN83">IFERROR(SUM(_xlfn._xlws.FILTER(_xlfn._xlws.FILTER(dataGLPL,ISNUMBER(MATCH(dataGLPLSections,{"Revenue","Other Income"},0))),(startDates&gt;=BN$74)*(endDates&lt;=BN$75))),0)-IFERROR(SUM(_xlfn._xlws.FILTER(_xlfn._xlws.FILTER(dataGLPL,ISNUMBER(MATCH(dataGLPLSections,{"COGS","Opex","Other Expenses"},0))),(startDates&gt;=BN$74)*(endDates&lt;=BN$75))),0) +IFERROR(SUM(_xlfn._xlws.FILTER(_xlfn._xlws.FILTER(dataGLBSCF,ISNUMBER(_xlfn.XMATCH(dataGLBSAcctIDs,_xlfn._xlws.FILTER(PBC_ACCOUNT_LIST[Id], ((PBC_ACCOUNT_LIST[Cash Flow Section]="Cash from Operating Activities")*(PBC_ACCOUNT_LIST[Drivers Section]="Assets"))),0))),startDatesCF=EDATE(BN$74,-1))),0)-IFERROR(SUM(_xlfn._xlws.FILTER(_xlfn._xlws.FILTER(dataGLBSCF,ISNUMBER(_xlfn.XMATCH(dataGLBSAcctIDs,_xlfn._xlws.FILTER(PBC_ACCOUNT_LIST[Id], ((PBC_ACCOUNT_LIST[Cash Flow Section]="Cash from Operating Activities")*(PBC_ACCOUNT_LIST[Drivers Section]="Assets"))),0))),endDatesCF=BN$75)),0)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Equity")))),0))),endDatesCF=BN$75)),0)-IFERROR(SUM(_xlfn._xlws.FILTER(_xlfn._xlws.FILTER(dataGLBSCF,ISNUMBER(_xlfn.XMATCH(dataGLBSAcctIDs,_xlfn._xlws.FILTER(PBC_ACCOUNT_LIST[Id],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Equity")))),0))),startDatesCF=EDATE(BN$74,-1))),0)</f>
        <v>-204293</v>
      </c>
      <c r="BO83" s="162" cm="1">
        <f t="array" ref="BO83">IFERROR(SUM(_xlfn._xlws.FILTER(_xlfn._xlws.FILTER(dataGLPL,ISNUMBER(MATCH(dataGLPLSections,{"Revenue","Other Income"},0))),(startDates&gt;=BO$74)*(endDates&lt;=BO$75))),0)-IFERROR(SUM(_xlfn._xlws.FILTER(_xlfn._xlws.FILTER(dataGLPL,ISNUMBER(MATCH(dataGLPLSections,{"COGS","Opex","Other Expenses"},0))),(startDates&gt;=BO$74)*(endDates&lt;=BO$75))),0) +IFERROR(SUM(_xlfn._xlws.FILTER(_xlfn._xlws.FILTER(dataGLBSCF,ISNUMBER(_xlfn.XMATCH(dataGLBSAcctIDs,_xlfn._xlws.FILTER(PBC_ACCOUNT_LIST[Id], ((PBC_ACCOUNT_LIST[Cash Flow Section]="Cash from Operating Activities")*(PBC_ACCOUNT_LIST[Drivers Section]="Assets"))),0))),startDatesCF=EDATE(BO$74,-1))),0)-IFERROR(SUM(_xlfn._xlws.FILTER(_xlfn._xlws.FILTER(dataGLBSCF,ISNUMBER(_xlfn.XMATCH(dataGLBSAcctIDs,_xlfn._xlws.FILTER(PBC_ACCOUNT_LIST[Id], ((PBC_ACCOUNT_LIST[Cash Flow Section]="Cash from Operating Activities")*(PBC_ACCOUNT_LIST[Drivers Section]="Assets"))),0))),endDatesCF=BO$75)),0)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Equity")))),0))),endDatesCF=BO$75)),0)-IFERROR(SUM(_xlfn._xlws.FILTER(_xlfn._xlws.FILTER(dataGLBSCF,ISNUMBER(_xlfn.XMATCH(dataGLBSAcctIDs,_xlfn._xlws.FILTER(PBC_ACCOUNT_LIST[Id],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Equity")))),0))),startDatesCF=EDATE(BO$74,-1))),0)</f>
        <v>-213548.33000000005</v>
      </c>
      <c r="BP83" s="162" cm="1">
        <f t="array" ref="BP83">IFERROR(SUM(_xlfn._xlws.FILTER(_xlfn._xlws.FILTER(dataGLPL,ISNUMBER(MATCH(dataGLPLSections,{"Revenue","Other Income"},0))),(startDates&gt;=BP$74)*(endDates&lt;=BP$75))),0)-IFERROR(SUM(_xlfn._xlws.FILTER(_xlfn._xlws.FILTER(dataGLPL,ISNUMBER(MATCH(dataGLPLSections,{"COGS","Opex","Other Expenses"},0))),(startDates&gt;=BP$74)*(endDates&lt;=BP$75))),0) +IFERROR(SUM(_xlfn._xlws.FILTER(_xlfn._xlws.FILTER(dataGLBSCF,ISNUMBER(_xlfn.XMATCH(dataGLBSAcctIDs,_xlfn._xlws.FILTER(PBC_ACCOUNT_LIST[Id], ((PBC_ACCOUNT_LIST[Cash Flow Section]="Cash from Operating Activities")*(PBC_ACCOUNT_LIST[Drivers Section]="Assets"))),0))),startDatesCF=EDATE(BP$74,-1))),0)-IFERROR(SUM(_xlfn._xlws.FILTER(_xlfn._xlws.FILTER(dataGLBSCF,ISNUMBER(_xlfn.XMATCH(dataGLBSAcctIDs,_xlfn._xlws.FILTER(PBC_ACCOUNT_LIST[Id], ((PBC_ACCOUNT_LIST[Cash Flow Section]="Cash from Operating Activities")*(PBC_ACCOUNT_LIST[Drivers Section]="Assets"))),0))),endDatesCF=BP$75)),0)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Equity")))),0))),endDatesCF=BP$75)),0)-IFERROR(SUM(_xlfn._xlws.FILTER(_xlfn._xlws.FILTER(dataGLBSCF,ISNUMBER(_xlfn.XMATCH(dataGLBSAcctIDs,_xlfn._xlws.FILTER(PBC_ACCOUNT_LIST[Id],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Equity")))),0))),startDatesCF=EDATE(BP$74,-1))),0)</f>
        <v>-223266.36999999994</v>
      </c>
      <c r="BQ83" s="162" cm="1">
        <f t="array" ref="BQ83">IFERROR(SUM(_xlfn._xlws.FILTER(_xlfn._xlws.FILTER(dataGLPL,ISNUMBER(MATCH(dataGLPLSections,{"Revenue","Other Income"},0))),(startDates&gt;=BQ$74)*(endDates&lt;=BQ$75))),0)-IFERROR(SUM(_xlfn._xlws.FILTER(_xlfn._xlws.FILTER(dataGLPL,ISNUMBER(MATCH(dataGLPLSections,{"COGS","Opex","Other Expenses"},0))),(startDates&gt;=BQ$74)*(endDates&lt;=BQ$75))),0) +IFERROR(SUM(_xlfn._xlws.FILTER(_xlfn._xlws.FILTER(dataGLBSCF,ISNUMBER(_xlfn.XMATCH(dataGLBSAcctIDs,_xlfn._xlws.FILTER(PBC_ACCOUNT_LIST[Id], ((PBC_ACCOUNT_LIST[Cash Flow Section]="Cash from Operating Activities")*(PBC_ACCOUNT_LIST[Drivers Section]="Assets"))),0))),startDatesCF=EDATE(BQ$74,-1))),0)-IFERROR(SUM(_xlfn._xlws.FILTER(_xlfn._xlws.FILTER(dataGLBSCF,ISNUMBER(_xlfn.XMATCH(dataGLBSAcctIDs,_xlfn._xlws.FILTER(PBC_ACCOUNT_LIST[Id], ((PBC_ACCOUNT_LIST[Cash Flow Section]="Cash from Operating Activities")*(PBC_ACCOUNT_LIST[Drivers Section]="Assets"))),0))),endDatesCF=BQ$75)),0)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Equity")))),0))),endDatesCF=BQ$75)),0)-IFERROR(SUM(_xlfn._xlws.FILTER(_xlfn._xlws.FILTER(dataGLBSCF,ISNUMBER(_xlfn.XMATCH(dataGLBSAcctIDs,_xlfn._xlws.FILTER(PBC_ACCOUNT_LIST[Id],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Equity")))),0))),startDatesCF=EDATE(BQ$74,-1))),0)</f>
        <v>-233469.12000000005</v>
      </c>
      <c r="BR83" s="162" cm="1">
        <f t="array" ref="BR83">IFERROR(SUM(_xlfn._xlws.FILTER(_xlfn._xlws.FILTER(dataGLPL,ISNUMBER(MATCH(dataGLPLSections,{"Revenue","Other Income"},0))),(startDates&gt;=BR$74)*(endDates&lt;=BR$75))),0)-IFERROR(SUM(_xlfn._xlws.FILTER(_xlfn._xlws.FILTER(dataGLPL,ISNUMBER(MATCH(dataGLPLSections,{"COGS","Opex","Other Expenses"},0))),(startDates&gt;=BR$74)*(endDates&lt;=BR$75))),0) +IFERROR(SUM(_xlfn._xlws.FILTER(_xlfn._xlws.FILTER(dataGLBSCF,ISNUMBER(_xlfn.XMATCH(dataGLBSAcctIDs,_xlfn._xlws.FILTER(PBC_ACCOUNT_LIST[Id], ((PBC_ACCOUNT_LIST[Cash Flow Section]="Cash from Operating Activities")*(PBC_ACCOUNT_LIST[Drivers Section]="Assets"))),0))),startDatesCF=EDATE(BR$74,-1))),0)-IFERROR(SUM(_xlfn._xlws.FILTER(_xlfn._xlws.FILTER(dataGLBSCF,ISNUMBER(_xlfn.XMATCH(dataGLBSAcctIDs,_xlfn._xlws.FILTER(PBC_ACCOUNT_LIST[Id], ((PBC_ACCOUNT_LIST[Cash Flow Section]="Cash from Operating Activities")*(PBC_ACCOUNT_LIST[Drivers Section]="Assets"))),0))),endDatesCF=BR$75)),0)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Equity")))),0))),endDatesCF=BR$75)),0)-IFERROR(SUM(_xlfn._xlws.FILTER(_xlfn._xlws.FILTER(dataGLBSCF,ISNUMBER(_xlfn.XMATCH(dataGLBSAcctIDs,_xlfn._xlws.FILTER(PBC_ACCOUNT_LIST[Id],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Equity")))),0))),startDatesCF=EDATE(BR$74,-1))),0)</f>
        <v>-244181.89</v>
      </c>
      <c r="BS83" s="162" cm="1">
        <f t="array" ref="BS83">IFERROR(SUM(_xlfn._xlws.FILTER(_xlfn._xlws.FILTER(dataGLPL,ISNUMBER(MATCH(dataGLPLSections,{"Revenue","Other Income"},0))),(startDates&gt;=BS$74)*(endDates&lt;=BS$75))),0)-IFERROR(SUM(_xlfn._xlws.FILTER(_xlfn._xlws.FILTER(dataGLPL,ISNUMBER(MATCH(dataGLPLSections,{"COGS","Opex","Other Expenses"},0))),(startDates&gt;=BS$74)*(endDates&lt;=BS$75))),0) +IFERROR(SUM(_xlfn._xlws.FILTER(_xlfn._xlws.FILTER(dataGLBSCF,ISNUMBER(_xlfn.XMATCH(dataGLBSAcctIDs,_xlfn._xlws.FILTER(PBC_ACCOUNT_LIST[Id], ((PBC_ACCOUNT_LIST[Cash Flow Section]="Cash from Operating Activities")*(PBC_ACCOUNT_LIST[Drivers Section]="Assets"))),0))),startDatesCF=EDATE(BS$74,-1))),0)-IFERROR(SUM(_xlfn._xlws.FILTER(_xlfn._xlws.FILTER(dataGLBSCF,ISNUMBER(_xlfn.XMATCH(dataGLBSAcctIDs,_xlfn._xlws.FILTER(PBC_ACCOUNT_LIST[Id], ((PBC_ACCOUNT_LIST[Cash Flow Section]="Cash from Operating Activities")*(PBC_ACCOUNT_LIST[Drivers Section]="Assets"))),0))),endDatesCF=BS$75)),0)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Equity")))),0))),endDatesCF=BS$75)),0)-IFERROR(SUM(_xlfn._xlws.FILTER(_xlfn._xlws.FILTER(dataGLBSCF,ISNUMBER(_xlfn.XMATCH(dataGLBSAcctIDs,_xlfn._xlws.FILTER(PBC_ACCOUNT_LIST[Id],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Equity")))),0))),startDatesCF=EDATE(BS$74,-1))),0)</f>
        <v>-255428.88</v>
      </c>
      <c r="BT83" s="162" cm="1">
        <f t="array" ref="BT83">IFERROR(SUM(_xlfn._xlws.FILTER(_xlfn._xlws.FILTER(dataGLPL,ISNUMBER(MATCH(dataGLPLSections,{"Revenue","Other Income"},0))),(startDates&gt;=BT$74)*(endDates&lt;=BT$75))),0)-IFERROR(SUM(_xlfn._xlws.FILTER(_xlfn._xlws.FILTER(dataGLPL,ISNUMBER(MATCH(dataGLPLSections,{"COGS","Opex","Other Expenses"},0))),(startDates&gt;=BT$74)*(endDates&lt;=BT$75))),0) +IFERROR(SUM(_xlfn._xlws.FILTER(_xlfn._xlws.FILTER(dataGLBSCF,ISNUMBER(_xlfn.XMATCH(dataGLBSAcctIDs,_xlfn._xlws.FILTER(PBC_ACCOUNT_LIST[Id], ((PBC_ACCOUNT_LIST[Cash Flow Section]="Cash from Operating Activities")*(PBC_ACCOUNT_LIST[Drivers Section]="Assets"))),0))),startDatesCF=EDATE(BT$74,-1))),0)-IFERROR(SUM(_xlfn._xlws.FILTER(_xlfn._xlws.FILTER(dataGLBSCF,ISNUMBER(_xlfn.XMATCH(dataGLBSAcctIDs,_xlfn._xlws.FILTER(PBC_ACCOUNT_LIST[Id], ((PBC_ACCOUNT_LIST[Cash Flow Section]="Cash from Operating Activities")*(PBC_ACCOUNT_LIST[Drivers Section]="Assets"))),0))),endDatesCF=BT$75)),0)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Equity")))),0))),endDatesCF=BT$75)),0)-IFERROR(SUM(_xlfn._xlws.FILTER(_xlfn._xlws.FILTER(dataGLBSCF,ISNUMBER(_xlfn.XMATCH(dataGLBSAcctIDs,_xlfn._xlws.FILTER(PBC_ACCOUNT_LIST[Id],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Equity")))),0))),startDatesCF=EDATE(BT$74,-1))),0)</f>
        <v>-267237.25999999995</v>
      </c>
      <c r="BU83" s="162" cm="1">
        <f t="array" ref="BU83">IFERROR(SUM(_xlfn._xlws.FILTER(_xlfn._xlws.FILTER(dataGLPL,ISNUMBER(MATCH(dataGLPLSections,{"Revenue","Other Income"},0))),(startDates&gt;=BU$74)*(endDates&lt;=BU$75))),0)-IFERROR(SUM(_xlfn._xlws.FILTER(_xlfn._xlws.FILTER(dataGLPL,ISNUMBER(MATCH(dataGLPLSections,{"COGS","Opex","Other Expenses"},0))),(startDates&gt;=BU$74)*(endDates&lt;=BU$75))),0) +IFERROR(SUM(_xlfn._xlws.FILTER(_xlfn._xlws.FILTER(dataGLBSCF,ISNUMBER(_xlfn.XMATCH(dataGLBSAcctIDs,_xlfn._xlws.FILTER(PBC_ACCOUNT_LIST[Id], ((PBC_ACCOUNT_LIST[Cash Flow Section]="Cash from Operating Activities")*(PBC_ACCOUNT_LIST[Drivers Section]="Assets"))),0))),startDatesCF=EDATE(BU$74,-1))),0)-IFERROR(SUM(_xlfn._xlws.FILTER(_xlfn._xlws.FILTER(dataGLBSCF,ISNUMBER(_xlfn.XMATCH(dataGLBSAcctIDs,_xlfn._xlws.FILTER(PBC_ACCOUNT_LIST[Id], ((PBC_ACCOUNT_LIST[Cash Flow Section]="Cash from Operating Activities")*(PBC_ACCOUNT_LIST[Drivers Section]="Assets"))),0))),endDatesCF=BU$75)),0)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Equity")))),0))),endDatesCF=BU$75)),0)-IFERROR(SUM(_xlfn._xlws.FILTER(_xlfn._xlws.FILTER(dataGLBSCF,ISNUMBER(_xlfn.XMATCH(dataGLBSAcctIDs,_xlfn._xlws.FILTER(PBC_ACCOUNT_LIST[Id],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Equity")))),0))),startDatesCF=EDATE(BU$74,-1))),0)</f>
        <v>-193577.6189909091</v>
      </c>
      <c r="BV83" s="162" cm="1">
        <f t="array" ref="BV83">IFERROR(SUM(_xlfn._xlws.FILTER(_xlfn._xlws.FILTER(dataGLPL,ISNUMBER(MATCH(dataGLPLSections,{"Revenue","Other Income"},0))),(startDates&gt;=BV$74)*(endDates&lt;=BV$75))),0)-IFERROR(SUM(_xlfn._xlws.FILTER(_xlfn._xlws.FILTER(dataGLPL,ISNUMBER(MATCH(dataGLPLSections,{"COGS","Opex","Other Expenses"},0))),(startDates&gt;=BV$74)*(endDates&lt;=BV$75))),0) +IFERROR(SUM(_xlfn._xlws.FILTER(_xlfn._xlws.FILTER(dataGLBSCF,ISNUMBER(_xlfn.XMATCH(dataGLBSAcctIDs,_xlfn._xlws.FILTER(PBC_ACCOUNT_LIST[Id], ((PBC_ACCOUNT_LIST[Cash Flow Section]="Cash from Operating Activities")*(PBC_ACCOUNT_LIST[Drivers Section]="Assets"))),0))),startDatesCF=EDATE(BV$74,-1))),0)-IFERROR(SUM(_xlfn._xlws.FILTER(_xlfn._xlws.FILTER(dataGLBSCF,ISNUMBER(_xlfn.XMATCH(dataGLBSAcctIDs,_xlfn._xlws.FILTER(PBC_ACCOUNT_LIST[Id], ((PBC_ACCOUNT_LIST[Cash Flow Section]="Cash from Operating Activities")*(PBC_ACCOUNT_LIST[Drivers Section]="Assets"))),0))),endDatesCF=BV$75)),0)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Equity")))),0))),endDatesCF=BV$75)),0)-IFERROR(SUM(_xlfn._xlws.FILTER(_xlfn._xlws.FILTER(dataGLBSCF,ISNUMBER(_xlfn.XMATCH(dataGLBSAcctIDs,_xlfn._xlws.FILTER(PBC_ACCOUNT_LIST[Id],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Equity")))),0))),startDatesCF=EDATE(BV$74,-1))),0)</f>
        <v>-110922.18650765491</v>
      </c>
      <c r="BW83" s="162" cm="1">
        <f t="array" ref="BW83">IFERROR(SUM(_xlfn._xlws.FILTER(_xlfn._xlws.FILTER(dataGLPL,ISNUMBER(MATCH(dataGLPLSections,{"Revenue","Other Income"},0))),(startDates&gt;=BW$74)*(endDates&lt;=BW$75))),0)-IFERROR(SUM(_xlfn._xlws.FILTER(_xlfn._xlws.FILTER(dataGLPL,ISNUMBER(MATCH(dataGLPLSections,{"COGS","Opex","Other Expenses"},0))),(startDates&gt;=BW$74)*(endDates&lt;=BW$75))),0) +IFERROR(SUM(_xlfn._xlws.FILTER(_xlfn._xlws.FILTER(dataGLBSCF,ISNUMBER(_xlfn.XMATCH(dataGLBSAcctIDs,_xlfn._xlws.FILTER(PBC_ACCOUNT_LIST[Id], ((PBC_ACCOUNT_LIST[Cash Flow Section]="Cash from Operating Activities")*(PBC_ACCOUNT_LIST[Drivers Section]="Assets"))),0))),startDatesCF=EDATE(BW$74,-1))),0)-IFERROR(SUM(_xlfn._xlws.FILTER(_xlfn._xlws.FILTER(dataGLBSCF,ISNUMBER(_xlfn.XMATCH(dataGLBSAcctIDs,_xlfn._xlws.FILTER(PBC_ACCOUNT_LIST[Id], ((PBC_ACCOUNT_LIST[Cash Flow Section]="Cash from Operating Activities")*(PBC_ACCOUNT_LIST[Drivers Section]="Assets"))),0))),endDatesCF=BW$75)),0)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Equity")))),0))),endDatesCF=BW$75)),0)-IFERROR(SUM(_xlfn._xlws.FILTER(_xlfn._xlws.FILTER(dataGLBSCF,ISNUMBER(_xlfn.XMATCH(dataGLBSAcctIDs,_xlfn._xlws.FILTER(PBC_ACCOUNT_LIST[Id],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Equity")))),0))),startDatesCF=EDATE(BW$74,-1))),0)</f>
        <v>-109550.69434817256</v>
      </c>
      <c r="BX83" s="162" cm="1">
        <f t="array" ref="BX83">IFERROR(SUM(_xlfn._xlws.FILTER(_xlfn._xlws.FILTER(dataGLPL,ISNUMBER(MATCH(dataGLPLSections,{"Revenue","Other Income"},0))),(startDates&gt;=BX$74)*(endDates&lt;=BX$75))),0)-IFERROR(SUM(_xlfn._xlws.FILTER(_xlfn._xlws.FILTER(dataGLPL,ISNUMBER(MATCH(dataGLPLSections,{"COGS","Opex","Other Expenses"},0))),(startDates&gt;=BX$74)*(endDates&lt;=BX$75))),0) +IFERROR(SUM(_xlfn._xlws.FILTER(_xlfn._xlws.FILTER(dataGLBSCF,ISNUMBER(_xlfn.XMATCH(dataGLBSAcctIDs,_xlfn._xlws.FILTER(PBC_ACCOUNT_LIST[Id], ((PBC_ACCOUNT_LIST[Cash Flow Section]="Cash from Operating Activities")*(PBC_ACCOUNT_LIST[Drivers Section]="Assets"))),0))),startDatesCF=EDATE(BX$74,-1))),0)-IFERROR(SUM(_xlfn._xlws.FILTER(_xlfn._xlws.FILTER(dataGLBSCF,ISNUMBER(_xlfn.XMATCH(dataGLBSAcctIDs,_xlfn._xlws.FILTER(PBC_ACCOUNT_LIST[Id], ((PBC_ACCOUNT_LIST[Cash Flow Section]="Cash from Operating Activities")*(PBC_ACCOUNT_LIST[Drivers Section]="Assets"))),0))),endDatesCF=BX$75)),0)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Equity")))),0))),endDatesCF=BX$75)),0)-IFERROR(SUM(_xlfn._xlws.FILTER(_xlfn._xlws.FILTER(dataGLBSCF,ISNUMBER(_xlfn.XMATCH(dataGLBSAcctIDs,_xlfn._xlws.FILTER(PBC_ACCOUNT_LIST[Id],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Equity")))),0))),startDatesCF=EDATE(BX$74,-1))),0)</f>
        <v>-192407.58236582743</v>
      </c>
      <c r="BY83" s="162" cm="1">
        <f t="array" ref="BY83">IFERROR(SUM(_xlfn._xlws.FILTER(_xlfn._xlws.FILTER(dataGLPL,ISNUMBER(MATCH(dataGLPLSections,{"Revenue","Other Income"},0))),(startDates&gt;=BY$74)*(endDates&lt;=BY$75))),0)-IFERROR(SUM(_xlfn._xlws.FILTER(_xlfn._xlws.FILTER(dataGLPL,ISNUMBER(MATCH(dataGLPLSections,{"COGS","Opex","Other Expenses"},0))),(startDates&gt;=BY$74)*(endDates&lt;=BY$75))),0) +IFERROR(SUM(_xlfn._xlws.FILTER(_xlfn._xlws.FILTER(dataGLBSCF,ISNUMBER(_xlfn.XMATCH(dataGLBSAcctIDs,_xlfn._xlws.FILTER(PBC_ACCOUNT_LIST[Id], ((PBC_ACCOUNT_LIST[Cash Flow Section]="Cash from Operating Activities")*(PBC_ACCOUNT_LIST[Drivers Section]="Assets"))),0))),startDatesCF=EDATE(BY$74,-1))),0)-IFERROR(SUM(_xlfn._xlws.FILTER(_xlfn._xlws.FILTER(dataGLBSCF,ISNUMBER(_xlfn.XMATCH(dataGLBSAcctIDs,_xlfn._xlws.FILTER(PBC_ACCOUNT_LIST[Id], ((PBC_ACCOUNT_LIST[Cash Flow Section]="Cash from Operating Activities")*(PBC_ACCOUNT_LIST[Drivers Section]="Assets"))),0))),endDatesCF=BY$75)),0)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Equity")))),0))),endDatesCF=BY$75)),0)-IFERROR(SUM(_xlfn._xlws.FILTER(_xlfn._xlws.FILTER(dataGLBSCF,ISNUMBER(_xlfn.XMATCH(dataGLBSAcctIDs,_xlfn._xlws.FILTER(PBC_ACCOUNT_LIST[Id],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Equity")))),0))),startDatesCF=EDATE(BY$74,-1))),0)</f>
        <v>-213934.9264178575</v>
      </c>
      <c r="BZ83" s="162" cm="1">
        <f t="array" ref="BZ83">IFERROR(SUM(_xlfn._xlws.FILTER(_xlfn._xlws.FILTER(dataGLPL,ISNUMBER(MATCH(dataGLPLSections,{"Revenue","Other Income"},0))),(startDates&gt;=BZ$74)*(endDates&lt;=BZ$75))),0)-IFERROR(SUM(_xlfn._xlws.FILTER(_xlfn._xlws.FILTER(dataGLPL,ISNUMBER(MATCH(dataGLPLSections,{"COGS","Opex","Other Expenses"},0))),(startDates&gt;=BZ$74)*(endDates&lt;=BZ$75))),0) +IFERROR(SUM(_xlfn._xlws.FILTER(_xlfn._xlws.FILTER(dataGLBSCF,ISNUMBER(_xlfn.XMATCH(dataGLBSAcctIDs,_xlfn._xlws.FILTER(PBC_ACCOUNT_LIST[Id], ((PBC_ACCOUNT_LIST[Cash Flow Section]="Cash from Operating Activities")*(PBC_ACCOUNT_LIST[Drivers Section]="Assets"))),0))),startDatesCF=EDATE(BZ$74,-1))),0)-IFERROR(SUM(_xlfn._xlws.FILTER(_xlfn._xlws.FILTER(dataGLBSCF,ISNUMBER(_xlfn.XMATCH(dataGLBSAcctIDs,_xlfn._xlws.FILTER(PBC_ACCOUNT_LIST[Id], ((PBC_ACCOUNT_LIST[Cash Flow Section]="Cash from Operating Activities")*(PBC_ACCOUNT_LIST[Drivers Section]="Assets"))),0))),endDatesCF=BZ$75)),0)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Equity")))),0))),endDatesCF=BZ$75)),0)-IFERROR(SUM(_xlfn._xlws.FILTER(_xlfn._xlws.FILTER(dataGLBSCF,ISNUMBER(_xlfn.XMATCH(dataGLBSAcctIDs,_xlfn._xlws.FILTER(PBC_ACCOUNT_LIST[Id],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Equity")))),0))),startDatesCF=EDATE(BZ$74,-1))),0)</f>
        <v>-224761.24856508322</v>
      </c>
      <c r="CA83" s="162" cm="1">
        <f t="array" ref="CA83">IFERROR(SUM(_xlfn._xlws.FILTER(_xlfn._xlws.FILTER(dataGLPL,ISNUMBER(MATCH(dataGLPLSections,{"Revenue","Other Income"},0))),(startDates&gt;=CA$74)*(endDates&lt;=CA$75))),0)-IFERROR(SUM(_xlfn._xlws.FILTER(_xlfn._xlws.FILTER(dataGLPL,ISNUMBER(MATCH(dataGLPLSections,{"COGS","Opex","Other Expenses"},0))),(startDates&gt;=CA$74)*(endDates&lt;=CA$75))),0) +IFERROR(SUM(_xlfn._xlws.FILTER(_xlfn._xlws.FILTER(dataGLBSCF,ISNUMBER(_xlfn.XMATCH(dataGLBSAcctIDs,_xlfn._xlws.FILTER(PBC_ACCOUNT_LIST[Id], ((PBC_ACCOUNT_LIST[Cash Flow Section]="Cash from Operating Activities")*(PBC_ACCOUNT_LIST[Drivers Section]="Assets"))),0))),startDatesCF=EDATE(CA$74,-1))),0)-IFERROR(SUM(_xlfn._xlws.FILTER(_xlfn._xlws.FILTER(dataGLBSCF,ISNUMBER(_xlfn.XMATCH(dataGLBSAcctIDs,_xlfn._xlws.FILTER(PBC_ACCOUNT_LIST[Id], ((PBC_ACCOUNT_LIST[Cash Flow Section]="Cash from Operating Activities")*(PBC_ACCOUNT_LIST[Drivers Section]="Assets"))),0))),endDatesCF=CA$75)),0)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Equity")))),0))),endDatesCF=CA$75)),0)-IFERROR(SUM(_xlfn._xlws.FILTER(_xlfn._xlws.FILTER(dataGLBSCF,ISNUMBER(_xlfn.XMATCH(dataGLBSAcctIDs,_xlfn._xlws.FILTER(PBC_ACCOUNT_LIST[Id],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Equity")))),0))),startDatesCF=EDATE(CA$74,-1))),0)</f>
        <v>-229425.04287366974</v>
      </c>
      <c r="CB83" s="162" cm="1">
        <f t="array" ref="CB83">IFERROR(SUM(_xlfn._xlws.FILTER(_xlfn._xlws.FILTER(dataGLPL,ISNUMBER(MATCH(dataGLPLSections,{"Revenue","Other Income"},0))),(startDates&gt;=CB$74)*(endDates&lt;=CB$75))),0)-IFERROR(SUM(_xlfn._xlws.FILTER(_xlfn._xlws.FILTER(dataGLPL,ISNUMBER(MATCH(dataGLPLSections,{"COGS","Opex","Other Expenses"},0))),(startDates&gt;=CB$74)*(endDates&lt;=CB$75))),0) +IFERROR(SUM(_xlfn._xlws.FILTER(_xlfn._xlws.FILTER(dataGLBSCF,ISNUMBER(_xlfn.XMATCH(dataGLBSAcctIDs,_xlfn._xlws.FILTER(PBC_ACCOUNT_LIST[Id], ((PBC_ACCOUNT_LIST[Cash Flow Section]="Cash from Operating Activities")*(PBC_ACCOUNT_LIST[Drivers Section]="Assets"))),0))),startDatesCF=EDATE(CB$74,-1))),0)-IFERROR(SUM(_xlfn._xlws.FILTER(_xlfn._xlws.FILTER(dataGLBSCF,ISNUMBER(_xlfn.XMATCH(dataGLBSAcctIDs,_xlfn._xlws.FILTER(PBC_ACCOUNT_LIST[Id], ((PBC_ACCOUNT_LIST[Cash Flow Section]="Cash from Operating Activities")*(PBC_ACCOUNT_LIST[Drivers Section]="Assets"))),0))),endDatesCF=CB$75)),0)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Equity")))),0))),endDatesCF=CB$75)),0)-IFERROR(SUM(_xlfn._xlws.FILTER(_xlfn._xlws.FILTER(dataGLBSCF,ISNUMBER(_xlfn.XMATCH(dataGLBSAcctIDs,_xlfn._xlws.FILTER(PBC_ACCOUNT_LIST[Id],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Equity")))),0))),startDatesCF=EDATE(CB$74,-1))),0)</f>
        <v>-236401.71636904028</v>
      </c>
      <c r="CC83" s="162" cm="1">
        <f t="array" ref="CC83">IFERROR(SUM(_xlfn._xlws.FILTER(_xlfn._xlws.FILTER(dataGLPL,ISNUMBER(MATCH(dataGLPLSections,{"Revenue","Other Income"},0))),(startDates&gt;=CC$74)*(endDates&lt;=CC$75))),0)-IFERROR(SUM(_xlfn._xlws.FILTER(_xlfn._xlws.FILTER(dataGLPL,ISNUMBER(MATCH(dataGLPLSections,{"COGS","Opex","Other Expenses"},0))),(startDates&gt;=CC$74)*(endDates&lt;=CC$75))),0) +IFERROR(SUM(_xlfn._xlws.FILTER(_xlfn._xlws.FILTER(dataGLBSCF,ISNUMBER(_xlfn.XMATCH(dataGLBSAcctIDs,_xlfn._xlws.FILTER(PBC_ACCOUNT_LIST[Id], ((PBC_ACCOUNT_LIST[Cash Flow Section]="Cash from Operating Activities")*(PBC_ACCOUNT_LIST[Drivers Section]="Assets"))),0))),startDatesCF=EDATE(CC$74,-1))),0)-IFERROR(SUM(_xlfn._xlws.FILTER(_xlfn._xlws.FILTER(dataGLBSCF,ISNUMBER(_xlfn.XMATCH(dataGLBSAcctIDs,_xlfn._xlws.FILTER(PBC_ACCOUNT_LIST[Id], ((PBC_ACCOUNT_LIST[Cash Flow Section]="Cash from Operating Activities")*(PBC_ACCOUNT_LIST[Drivers Section]="Assets"))),0))),endDatesCF=CC$75)),0)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Equity")))),0))),endDatesCF=CC$75)),0)-IFERROR(SUM(_xlfn._xlws.FILTER(_xlfn._xlws.FILTER(dataGLBSCF,ISNUMBER(_xlfn.XMATCH(dataGLBSAcctIDs,_xlfn._xlws.FILTER(PBC_ACCOUNT_LIST[Id],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Equity")))),0))),startDatesCF=EDATE(CC$74,-1))),0)</f>
        <v>-241454.70994131558</v>
      </c>
      <c r="CD83" s="162" cm="1">
        <f t="array" ref="CD83">IFERROR(SUM(_xlfn._xlws.FILTER(_xlfn._xlws.FILTER(dataGLPL,ISNUMBER(MATCH(dataGLPLSections,{"Revenue","Other Income"},0))),(startDates&gt;=CD$74)*(endDates&lt;=CD$75))),0)-IFERROR(SUM(_xlfn._xlws.FILTER(_xlfn._xlws.FILTER(dataGLPL,ISNUMBER(MATCH(dataGLPLSections,{"COGS","Opex","Other Expenses"},0))),(startDates&gt;=CD$74)*(endDates&lt;=CD$75))),0) +IFERROR(SUM(_xlfn._xlws.FILTER(_xlfn._xlws.FILTER(dataGLBSCF,ISNUMBER(_xlfn.XMATCH(dataGLBSAcctIDs,_xlfn._xlws.FILTER(PBC_ACCOUNT_LIST[Id], ((PBC_ACCOUNT_LIST[Cash Flow Section]="Cash from Operating Activities")*(PBC_ACCOUNT_LIST[Drivers Section]="Assets"))),0))),startDatesCF=EDATE(CD$74,-1))),0)-IFERROR(SUM(_xlfn._xlws.FILTER(_xlfn._xlws.FILTER(dataGLBSCF,ISNUMBER(_xlfn.XMATCH(dataGLBSAcctIDs,_xlfn._xlws.FILTER(PBC_ACCOUNT_LIST[Id], ((PBC_ACCOUNT_LIST[Cash Flow Section]="Cash from Operating Activities")*(PBC_ACCOUNT_LIST[Drivers Section]="Assets"))),0))),endDatesCF=CD$75)),0)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Equity")))),0))),endDatesCF=CD$75)),0)-IFERROR(SUM(_xlfn._xlws.FILTER(_xlfn._xlws.FILTER(dataGLBSCF,ISNUMBER(_xlfn.XMATCH(dataGLBSAcctIDs,_xlfn._xlws.FILTER(PBC_ACCOUNT_LIST[Id],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Equity")))),0))),startDatesCF=EDATE(CD$74,-1))),0)</f>
        <v>-245185.19724199941</v>
      </c>
      <c r="CE83" s="162" cm="1">
        <f t="array" ref="CE83">IFERROR(SUM(_xlfn._xlws.FILTER(_xlfn._xlws.FILTER(dataGLPL,ISNUMBER(MATCH(dataGLPLSections,{"Revenue","Other Income"},0))),(startDates&gt;=CE$74)*(endDates&lt;=CE$75))),0)-IFERROR(SUM(_xlfn._xlws.FILTER(_xlfn._xlws.FILTER(dataGLPL,ISNUMBER(MATCH(dataGLPLSections,{"COGS","Opex","Other Expenses"},0))),(startDates&gt;=CE$74)*(endDates&lt;=CE$75))),0) +IFERROR(SUM(_xlfn._xlws.FILTER(_xlfn._xlws.FILTER(dataGLBSCF,ISNUMBER(_xlfn.XMATCH(dataGLBSAcctIDs,_xlfn._xlws.FILTER(PBC_ACCOUNT_LIST[Id], ((PBC_ACCOUNT_LIST[Cash Flow Section]="Cash from Operating Activities")*(PBC_ACCOUNT_LIST[Drivers Section]="Assets"))),0))),startDatesCF=EDATE(CE$74,-1))),0)-IFERROR(SUM(_xlfn._xlws.FILTER(_xlfn._xlws.FILTER(dataGLBSCF,ISNUMBER(_xlfn.XMATCH(dataGLBSAcctIDs,_xlfn._xlws.FILTER(PBC_ACCOUNT_LIST[Id], ((PBC_ACCOUNT_LIST[Cash Flow Section]="Cash from Operating Activities")*(PBC_ACCOUNT_LIST[Drivers Section]="Assets"))),0))),endDatesCF=CE$75)),0)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Equity")))),0))),endDatesCF=CE$75)),0)-IFERROR(SUM(_xlfn._xlws.FILTER(_xlfn._xlws.FILTER(dataGLBSCF,ISNUMBER(_xlfn.XMATCH(dataGLBSAcctIDs,_xlfn._xlws.FILTER(PBC_ACCOUNT_LIST[Id],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Equity")))),0))),startDatesCF=EDATE(CE$74,-1))),0)</f>
        <v>-248709.2636982793</v>
      </c>
      <c r="CF83" s="162" cm="1">
        <f t="array" ref="CF83">IFERROR(SUM(_xlfn._xlws.FILTER(_xlfn._xlws.FILTER(dataGLPL,ISNUMBER(MATCH(dataGLPLSections,{"Revenue","Other Income"},0))),(startDates&gt;=CF$74)*(endDates&lt;=CF$75))),0)-IFERROR(SUM(_xlfn._xlws.FILTER(_xlfn._xlws.FILTER(dataGLPL,ISNUMBER(MATCH(dataGLPLSections,{"COGS","Opex","Other Expenses"},0))),(startDates&gt;=CF$74)*(endDates&lt;=CF$75))),0) +IFERROR(SUM(_xlfn._xlws.FILTER(_xlfn._xlws.FILTER(dataGLBSCF,ISNUMBER(_xlfn.XMATCH(dataGLBSAcctIDs,_xlfn._xlws.FILTER(PBC_ACCOUNT_LIST[Id], ((PBC_ACCOUNT_LIST[Cash Flow Section]="Cash from Operating Activities")*(PBC_ACCOUNT_LIST[Drivers Section]="Assets"))),0))),startDatesCF=EDATE(CF$74,-1))),0)-IFERROR(SUM(_xlfn._xlws.FILTER(_xlfn._xlws.FILTER(dataGLBSCF,ISNUMBER(_xlfn.XMATCH(dataGLBSAcctIDs,_xlfn._xlws.FILTER(PBC_ACCOUNT_LIST[Id], ((PBC_ACCOUNT_LIST[Cash Flow Section]="Cash from Operating Activities")*(PBC_ACCOUNT_LIST[Drivers Section]="Assets"))),0))),endDatesCF=CF$75)),0)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Equity")))),0))),endDatesCF=CF$75)),0)-IFERROR(SUM(_xlfn._xlws.FILTER(_xlfn._xlws.FILTER(dataGLBSCF,ISNUMBER(_xlfn.XMATCH(dataGLBSAcctIDs,_xlfn._xlws.FILTER(PBC_ACCOUNT_LIST[Id],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Equity")))),0))),startDatesCF=EDATE(CF$74,-1))),0)</f>
        <v>-252097.59362543287</v>
      </c>
      <c r="CG83" s="162" cm="1">
        <f t="array" ref="CG83">IFERROR(SUM(_xlfn._xlws.FILTER(_xlfn._xlws.FILTER(dataGLPL,ISNUMBER(MATCH(dataGLPLSections,{"Revenue","Other Income"},0))),(startDates&gt;=CG$74)*(endDates&lt;=CG$75))),0)-IFERROR(SUM(_xlfn._xlws.FILTER(_xlfn._xlws.FILTER(dataGLPL,ISNUMBER(MATCH(dataGLPLSections,{"COGS","Opex","Other Expenses"},0))),(startDates&gt;=CG$74)*(endDates&lt;=CG$75))),0) +IFERROR(SUM(_xlfn._xlws.FILTER(_xlfn._xlws.FILTER(dataGLBSCF,ISNUMBER(_xlfn.XMATCH(dataGLBSAcctIDs,_xlfn._xlws.FILTER(PBC_ACCOUNT_LIST[Id], ((PBC_ACCOUNT_LIST[Cash Flow Section]="Cash from Operating Activities")*(PBC_ACCOUNT_LIST[Drivers Section]="Assets"))),0))),startDatesCF=EDATE(CG$74,-1))),0)-IFERROR(SUM(_xlfn._xlws.FILTER(_xlfn._xlws.FILTER(dataGLBSCF,ISNUMBER(_xlfn.XMATCH(dataGLBSAcctIDs,_xlfn._xlws.FILTER(PBC_ACCOUNT_LIST[Id], ((PBC_ACCOUNT_LIST[Cash Flow Section]="Cash from Operating Activities")*(PBC_ACCOUNT_LIST[Drivers Section]="Assets"))),0))),endDatesCF=CG$75)),0) +IFERROR(SUM(_xlfn._xlws.FILTER(_xlfn._xlws.FILTER(dataGLBSCF,ISNUMBER(_xlfn.XMATCH(dataGLBSAcctIDs,_xlfn._xlws.FILTER(PBC_ACCOUNT_LIST[Id], ((PBC_ACCOUNT_LIST[Cash Flow Section]="Cash from Operating Activities")*((PBC_ACCOUNT_LIST[Drivers Section]="Liabilities")+(PBC_ACCOUNT_LIST[Drivers Section]="Owners Equity")))),0))),endDatesCF=CG$75)),0)-IFERROR(SUM(_xlfn._xlws.FILTER(_xlfn._xlws.FILTER(dataGLBSCF,ISNUMBER(_xlfn.XMATCH(dataGLBSAcctIDs,_xlfn._xlws.FILTER(PBC_ACCOUNT_LIST[Id], ((PBC_ACCOUNT_LIST[Cash Flow Section]="Cash from Operating Activities")*((PBC_ACCOUNT_LIST[Drivers Section]="Liabilities")+(PBC_ACCOUNT_LIST[Drivers Section]="Owners Equity")))),0))),startDatesCF=EDATE(CG$74,-1))),0)</f>
        <v>-266002.53143762215</v>
      </c>
    </row>
    <row r="84" spans="1:85" outlineLevel="1">
      <c r="A84" s="157"/>
      <c r="B84" s="157"/>
      <c r="C84" s="163" t="s">
        <v>172</v>
      </c>
      <c r="D84" s="163"/>
      <c r="F84" s="163"/>
      <c r="G84" s="163"/>
      <c r="J84" s="162" cm="1">
        <f t="array" ref="J84">IFERROR(SUM(_xlfn._xlws.FILTER(_xlfn._xlws.FILTER(dataGLBSCF,ISNUMBER(_xlfn.XMATCH(dataGLBSAcctIDs,_xlfn._xlws.FILTER(PBC_ACCOUNT_LIST[Id], ((PBC_ACCOUNT_LIST[Cash Flow Section]="Cash from Investing Activities")*(PBC_ACCOUNT_LIST[Drivers Section]="Assets"))),0))),startDatesCF=EDATE(J$74,-1))),0)-IFERROR(SUM(_xlfn._xlws.FILTER(_xlfn._xlws.FILTER(dataGLBSCF,ISNUMBER(_xlfn.XMATCH(dataGLBSAcctIDs,_xlfn._xlws.FILTER(PBC_ACCOUNT_LIST[Id], ((PBC_ACCOUNT_LIST[Cash Flow Section]="Cash from Investing Activities")*(PBC_ACCOUNT_LIST[Drivers Section]="Assets"))),0))),endDatesCF=J$75)),0)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Equity")))),0))),endDatesCF=J$75)),0)-IFERROR(SUM(_xlfn._xlws.FILTER(_xlfn._xlws.FILTER(dataGLBSCF,ISNUMBER(_xlfn.XMATCH(dataGLBSAcctIDs,_xlfn._xlws.FILTER(PBC_ACCOUNT_LIST[Id],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Equity")))),0))),startDatesCF=EDATE(J$74,-1))),0)</f>
        <v>0</v>
      </c>
      <c r="K84" s="162" cm="1">
        <f t="array" ref="K84">IFERROR(SUM(_xlfn._xlws.FILTER(_xlfn._xlws.FILTER(dataGLBSCF,ISNUMBER(_xlfn.XMATCH(dataGLBSAcctIDs,_xlfn._xlws.FILTER(PBC_ACCOUNT_LIST[Id], ((PBC_ACCOUNT_LIST[Cash Flow Section]="Cash from Investing Activities")*(PBC_ACCOUNT_LIST[Drivers Section]="Assets"))),0))),startDatesCF=EDATE(K$74,-1))),0)-IFERROR(SUM(_xlfn._xlws.FILTER(_xlfn._xlws.FILTER(dataGLBSCF,ISNUMBER(_xlfn.XMATCH(dataGLBSAcctIDs,_xlfn._xlws.FILTER(PBC_ACCOUNT_LIST[Id], ((PBC_ACCOUNT_LIST[Cash Flow Section]="Cash from Investing Activities")*(PBC_ACCOUNT_LIST[Drivers Section]="Assets"))),0))),endDatesCF=K$75)),0)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Equity")))),0))),endDatesCF=K$75)),0)-IFERROR(SUM(_xlfn._xlws.FILTER(_xlfn._xlws.FILTER(dataGLBSCF,ISNUMBER(_xlfn.XMATCH(dataGLBSAcctIDs,_xlfn._xlws.FILTER(PBC_ACCOUNT_LIST[Id],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Equity")))),0))),startDatesCF=EDATE(K$74,-1))),0)</f>
        <v>0</v>
      </c>
      <c r="N84" s="162" cm="1">
        <f t="array" ref="N84">IFERROR(SUM(_xlfn._xlws.FILTER(_xlfn._xlws.FILTER(dataGLBSCF,ISNUMBER(_xlfn.XMATCH(dataGLBSAcctIDs,_xlfn._xlws.FILTER(PBC_ACCOUNT_LIST[Id], ((PBC_ACCOUNT_LIST[Cash Flow Section]="Cash from Investing Activities")*(PBC_ACCOUNT_LIST[Drivers Section]="Assets"))),0))),startDatesCF=EDATE(N$74,-1))),0)-IFERROR(SUM(_xlfn._xlws.FILTER(_xlfn._xlws.FILTER(dataGLBSCF,ISNUMBER(_xlfn.XMATCH(dataGLBSAcctIDs,_xlfn._xlws.FILTER(PBC_ACCOUNT_LIST[Id], ((PBC_ACCOUNT_LIST[Cash Flow Section]="Cash from Investing Activities")*(PBC_ACCOUNT_LIST[Drivers Section]="Assets"))),0))),endDatesCF=N$75)),0)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Equity")))),0))),endDatesCF=N$75)),0)-IFERROR(SUM(_xlfn._xlws.FILTER(_xlfn._xlws.FILTER(dataGLBSCF,ISNUMBER(_xlfn.XMATCH(dataGLBSAcctIDs,_xlfn._xlws.FILTER(PBC_ACCOUNT_LIST[Id],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Equity")))),0))),startDatesCF=EDATE(N$74,-1))),0)</f>
        <v>-113669</v>
      </c>
      <c r="O84" s="162" cm="1">
        <f t="array" ref="O84">IFERROR(SUM(_xlfn._xlws.FILTER(_xlfn._xlws.FILTER(dataGLBSCF,ISNUMBER(_xlfn.XMATCH(dataGLBSAcctIDs,_xlfn._xlws.FILTER(PBC_ACCOUNT_LIST[Id], ((PBC_ACCOUNT_LIST[Cash Flow Section]="Cash from Investing Activities")*(PBC_ACCOUNT_LIST[Drivers Section]="Assets"))),0))),startDatesCF=EDATE(O$74,-1))),0)-IFERROR(SUM(_xlfn._xlws.FILTER(_xlfn._xlws.FILTER(dataGLBSCF,ISNUMBER(_xlfn.XMATCH(dataGLBSAcctIDs,_xlfn._xlws.FILTER(PBC_ACCOUNT_LIST[Id], ((PBC_ACCOUNT_LIST[Cash Flow Section]="Cash from Investing Activities")*(PBC_ACCOUNT_LIST[Drivers Section]="Assets"))),0))),endDatesCF=O$75)),0)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Equity")))),0))),endDatesCF=O$75)),0)-IFERROR(SUM(_xlfn._xlws.FILTER(_xlfn._xlws.FILTER(dataGLBSCF,ISNUMBER(_xlfn.XMATCH(dataGLBSAcctIDs,_xlfn._xlws.FILTER(PBC_ACCOUNT_LIST[Id],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Equity")))),0))),startDatesCF=EDATE(O$74,-1))),0)</f>
        <v>-5000</v>
      </c>
      <c r="P84" s="162" cm="1">
        <f t="array" ref="P84">IFERROR(SUM(_xlfn._xlws.FILTER(_xlfn._xlws.FILTER(dataGLBSCF,ISNUMBER(_xlfn.XMATCH(dataGLBSAcctIDs,_xlfn._xlws.FILTER(PBC_ACCOUNT_LIST[Id], ((PBC_ACCOUNT_LIST[Cash Flow Section]="Cash from Investing Activities")*(PBC_ACCOUNT_LIST[Drivers Section]="Assets"))),0))),startDatesCF=EDATE(P$74,-1))),0)-IFERROR(SUM(_xlfn._xlws.FILTER(_xlfn._xlws.FILTER(dataGLBSCF,ISNUMBER(_xlfn.XMATCH(dataGLBSAcctIDs,_xlfn._xlws.FILTER(PBC_ACCOUNT_LIST[Id], ((PBC_ACCOUNT_LIST[Cash Flow Section]="Cash from Investing Activities")*(PBC_ACCOUNT_LIST[Drivers Section]="Assets"))),0))),endDatesCF=P$75)),0)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Equity")))),0))),endDatesCF=P$75)),0)-IFERROR(SUM(_xlfn._xlws.FILTER(_xlfn._xlws.FILTER(dataGLBSCF,ISNUMBER(_xlfn.XMATCH(dataGLBSAcctIDs,_xlfn._xlws.FILTER(PBC_ACCOUNT_LIST[Id],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Equity")))),0))),startDatesCF=EDATE(P$74,-1))),0)</f>
        <v>-20000</v>
      </c>
      <c r="Q84" s="162" cm="1">
        <f t="array" ref="Q84">IFERROR(SUM(_xlfn._xlws.FILTER(_xlfn._xlws.FILTER(dataGLBSCF,ISNUMBER(_xlfn.XMATCH(dataGLBSAcctIDs,_xlfn._xlws.FILTER(PBC_ACCOUNT_LIST[Id], ((PBC_ACCOUNT_LIST[Cash Flow Section]="Cash from Investing Activities")*(PBC_ACCOUNT_LIST[Drivers Section]="Assets"))),0))),startDatesCF=EDATE(Q$74,-1))),0)-IFERROR(SUM(_xlfn._xlws.FILTER(_xlfn._xlws.FILTER(dataGLBSCF,ISNUMBER(_xlfn.XMATCH(dataGLBSAcctIDs,_xlfn._xlws.FILTER(PBC_ACCOUNT_LIST[Id], ((PBC_ACCOUNT_LIST[Cash Flow Section]="Cash from Investing Activities")*(PBC_ACCOUNT_LIST[Drivers Section]="Assets"))),0))),endDatesCF=Q$75)),0)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Equity")))),0))),endDatesCF=Q$75)),0)-IFERROR(SUM(_xlfn._xlws.FILTER(_xlfn._xlws.FILTER(dataGLBSCF,ISNUMBER(_xlfn.XMATCH(dataGLBSAcctIDs,_xlfn._xlws.FILTER(PBC_ACCOUNT_LIST[Id],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Equity")))),0))),startDatesCF=EDATE(Q$74,-1))),0)</f>
        <v>-25000</v>
      </c>
      <c r="T84" s="162" cm="1">
        <f t="array" ref="T84">IFERROR(SUM(_xlfn._xlws.FILTER(_xlfn._xlws.FILTER(dataGLBSCF,ISNUMBER(_xlfn.XMATCH(dataGLBSAcctIDs,_xlfn._xlws.FILTER(PBC_ACCOUNT_LIST[Id], ((PBC_ACCOUNT_LIST[Cash Flow Section]="Cash from Investing Activities")*(PBC_ACCOUNT_LIST[Drivers Section]="Assets"))),0))),startDatesCF=EDATE(T$74,-1))),0)-IFERROR(SUM(_xlfn._xlws.FILTER(_xlfn._xlws.FILTER(dataGLBSCF,ISNUMBER(_xlfn.XMATCH(dataGLBSAcctIDs,_xlfn._xlws.FILTER(PBC_ACCOUNT_LIST[Id], ((PBC_ACCOUNT_LIST[Cash Flow Section]="Cash from Investing Activities")*(PBC_ACCOUNT_LIST[Drivers Section]="Assets"))),0))),endDatesCF=T$75)),0)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Equity")))),0))),endDatesCF=T$75)),0)-IFERROR(SUM(_xlfn._xlws.FILTER(_xlfn._xlws.FILTER(dataGLBSCF,ISNUMBER(_xlfn.XMATCH(dataGLBSAcctIDs,_xlfn._xlws.FILTER(PBC_ACCOUNT_LIST[Id],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Equity")))),0))),startDatesCF=EDATE(T$74,-1))),0)</f>
        <v>-65669</v>
      </c>
      <c r="U84" s="162" cm="1">
        <f t="array" ref="U84">IFERROR(SUM(_xlfn._xlws.FILTER(_xlfn._xlws.FILTER(dataGLBSCF,ISNUMBER(_xlfn.XMATCH(dataGLBSAcctIDs,_xlfn._xlws.FILTER(PBC_ACCOUNT_LIST[Id], ((PBC_ACCOUNT_LIST[Cash Flow Section]="Cash from Investing Activities")*(PBC_ACCOUNT_LIST[Drivers Section]="Assets"))),0))),startDatesCF=EDATE(U$74,-1))),0)-IFERROR(SUM(_xlfn._xlws.FILTER(_xlfn._xlws.FILTER(dataGLBSCF,ISNUMBER(_xlfn.XMATCH(dataGLBSAcctIDs,_xlfn._xlws.FILTER(PBC_ACCOUNT_LIST[Id], ((PBC_ACCOUNT_LIST[Cash Flow Section]="Cash from Investing Activities")*(PBC_ACCOUNT_LIST[Drivers Section]="Assets"))),0))),endDatesCF=U$75)),0)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Equity")))),0))),endDatesCF=U$75)),0)-IFERROR(SUM(_xlfn._xlws.FILTER(_xlfn._xlws.FILTER(dataGLBSCF,ISNUMBER(_xlfn.XMATCH(dataGLBSAcctIDs,_xlfn._xlws.FILTER(PBC_ACCOUNT_LIST[Id],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Equity")))),0))),startDatesCF=EDATE(U$74,-1))),0)</f>
        <v>-45500</v>
      </c>
      <c r="V84" s="162" cm="1">
        <f t="array" ref="V84">IFERROR(SUM(_xlfn._xlws.FILTER(_xlfn._xlws.FILTER(dataGLBSCF,ISNUMBER(_xlfn.XMATCH(dataGLBSAcctIDs,_xlfn._xlws.FILTER(PBC_ACCOUNT_LIST[Id], ((PBC_ACCOUNT_LIST[Cash Flow Section]="Cash from Investing Activities")*(PBC_ACCOUNT_LIST[Drivers Section]="Assets"))),0))),startDatesCF=EDATE(V$74,-1))),0)-IFERROR(SUM(_xlfn._xlws.FILTER(_xlfn._xlws.FILTER(dataGLBSCF,ISNUMBER(_xlfn.XMATCH(dataGLBSAcctIDs,_xlfn._xlws.FILTER(PBC_ACCOUNT_LIST[Id], ((PBC_ACCOUNT_LIST[Cash Flow Section]="Cash from Investing Activities")*(PBC_ACCOUNT_LIST[Drivers Section]="Assets"))),0))),endDatesCF=V$75)),0)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Equity")))),0))),endDatesCF=V$75)),0)-IFERROR(SUM(_xlfn._xlws.FILTER(_xlfn._xlws.FILTER(dataGLBSCF,ISNUMBER(_xlfn.XMATCH(dataGLBSAcctIDs,_xlfn._xlws.FILTER(PBC_ACCOUNT_LIST[Id],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Equity")))),0))),startDatesCF=EDATE(V$74,-1))),0)</f>
        <v>-2500</v>
      </c>
      <c r="W84" s="162" cm="1">
        <f t="array" ref="W84">IFERROR(SUM(_xlfn._xlws.FILTER(_xlfn._xlws.FILTER(dataGLBSCF,ISNUMBER(_xlfn.XMATCH(dataGLBSAcctIDs,_xlfn._xlws.FILTER(PBC_ACCOUNT_LIST[Id], ((PBC_ACCOUNT_LIST[Cash Flow Section]="Cash from Investing Activities")*(PBC_ACCOUNT_LIST[Drivers Section]="Assets"))),0))),startDatesCF=EDATE(W$74,-1))),0)-IFERROR(SUM(_xlfn._xlws.FILTER(_xlfn._xlws.FILTER(dataGLBSCF,ISNUMBER(_xlfn.XMATCH(dataGLBSAcctIDs,_xlfn._xlws.FILTER(PBC_ACCOUNT_LIST[Id], ((PBC_ACCOUNT_LIST[Cash Flow Section]="Cash from Investing Activities")*(PBC_ACCOUNT_LIST[Drivers Section]="Assets"))),0))),endDatesCF=W$75)),0)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Equity")))),0))),endDatesCF=W$75)),0)-IFERROR(SUM(_xlfn._xlws.FILTER(_xlfn._xlws.FILTER(dataGLBSCF,ISNUMBER(_xlfn.XMATCH(dataGLBSAcctIDs,_xlfn._xlws.FILTER(PBC_ACCOUNT_LIST[Id],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Equity")))),0))),startDatesCF=EDATE(W$74,-1))),0)</f>
        <v>0</v>
      </c>
      <c r="X84" s="162" cm="1">
        <f t="array" ref="X84">IFERROR(SUM(_xlfn._xlws.FILTER(_xlfn._xlws.FILTER(dataGLBSCF,ISNUMBER(_xlfn.XMATCH(dataGLBSAcctIDs,_xlfn._xlws.FILTER(PBC_ACCOUNT_LIST[Id], ((PBC_ACCOUNT_LIST[Cash Flow Section]="Cash from Investing Activities")*(PBC_ACCOUNT_LIST[Drivers Section]="Assets"))),0))),startDatesCF=EDATE(X$74,-1))),0)-IFERROR(SUM(_xlfn._xlws.FILTER(_xlfn._xlws.FILTER(dataGLBSCF,ISNUMBER(_xlfn.XMATCH(dataGLBSAcctIDs,_xlfn._xlws.FILTER(PBC_ACCOUNT_LIST[Id], ((PBC_ACCOUNT_LIST[Cash Flow Section]="Cash from Investing Activities")*(PBC_ACCOUNT_LIST[Drivers Section]="Assets"))),0))),endDatesCF=X$75)),0)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Equity")))),0))),endDatesCF=X$75)),0)-IFERROR(SUM(_xlfn._xlws.FILTER(_xlfn._xlws.FILTER(dataGLBSCF,ISNUMBER(_xlfn.XMATCH(dataGLBSAcctIDs,_xlfn._xlws.FILTER(PBC_ACCOUNT_LIST[Id],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Equity")))),0))),startDatesCF=EDATE(X$74,-1))),0)</f>
        <v>-5000</v>
      </c>
      <c r="Y84" s="162" cm="1">
        <f t="array" ref="Y84">IFERROR(SUM(_xlfn._xlws.FILTER(_xlfn._xlws.FILTER(dataGLBSCF,ISNUMBER(_xlfn.XMATCH(dataGLBSAcctIDs,_xlfn._xlws.FILTER(PBC_ACCOUNT_LIST[Id], ((PBC_ACCOUNT_LIST[Cash Flow Section]="Cash from Investing Activities")*(PBC_ACCOUNT_LIST[Drivers Section]="Assets"))),0))),startDatesCF=EDATE(Y$74,-1))),0)-IFERROR(SUM(_xlfn._xlws.FILTER(_xlfn._xlws.FILTER(dataGLBSCF,ISNUMBER(_xlfn.XMATCH(dataGLBSAcctIDs,_xlfn._xlws.FILTER(PBC_ACCOUNT_LIST[Id], ((PBC_ACCOUNT_LIST[Cash Flow Section]="Cash from Investing Activities")*(PBC_ACCOUNT_LIST[Drivers Section]="Assets"))),0))),endDatesCF=Y$75)),0)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Equity")))),0))),endDatesCF=Y$75)),0)-IFERROR(SUM(_xlfn._xlws.FILTER(_xlfn._xlws.FILTER(dataGLBSCF,ISNUMBER(_xlfn.XMATCH(dataGLBSAcctIDs,_xlfn._xlws.FILTER(PBC_ACCOUNT_LIST[Id],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Equity")))),0))),startDatesCF=EDATE(Y$74,-1))),0)</f>
        <v>0</v>
      </c>
      <c r="Z84" s="162" cm="1">
        <f t="array" ref="Z84">IFERROR(SUM(_xlfn._xlws.FILTER(_xlfn._xlws.FILTER(dataGLBSCF,ISNUMBER(_xlfn.XMATCH(dataGLBSAcctIDs,_xlfn._xlws.FILTER(PBC_ACCOUNT_LIST[Id], ((PBC_ACCOUNT_LIST[Cash Flow Section]="Cash from Investing Activities")*(PBC_ACCOUNT_LIST[Drivers Section]="Assets"))),0))),startDatesCF=EDATE(Z$74,-1))),0)-IFERROR(SUM(_xlfn._xlws.FILTER(_xlfn._xlws.FILTER(dataGLBSCF,ISNUMBER(_xlfn.XMATCH(dataGLBSAcctIDs,_xlfn._xlws.FILTER(PBC_ACCOUNT_LIST[Id], ((PBC_ACCOUNT_LIST[Cash Flow Section]="Cash from Investing Activities")*(PBC_ACCOUNT_LIST[Drivers Section]="Assets"))),0))),endDatesCF=Z$75)),0)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Equity")))),0))),endDatesCF=Z$75)),0)-IFERROR(SUM(_xlfn._xlws.FILTER(_xlfn._xlws.FILTER(dataGLBSCF,ISNUMBER(_xlfn.XMATCH(dataGLBSAcctIDs,_xlfn._xlws.FILTER(PBC_ACCOUNT_LIST[Id],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Equity")))),0))),startDatesCF=EDATE(Z$74,-1))),0)</f>
        <v>0</v>
      </c>
      <c r="AA84" s="162" cm="1">
        <f t="array" ref="AA84">IFERROR(SUM(_xlfn._xlws.FILTER(_xlfn._xlws.FILTER(dataGLBSCF,ISNUMBER(_xlfn.XMATCH(dataGLBSAcctIDs,_xlfn._xlws.FILTER(PBC_ACCOUNT_LIST[Id], ((PBC_ACCOUNT_LIST[Cash Flow Section]="Cash from Investing Activities")*(PBC_ACCOUNT_LIST[Drivers Section]="Assets"))),0))),startDatesCF=EDATE(AA$74,-1))),0)-IFERROR(SUM(_xlfn._xlws.FILTER(_xlfn._xlws.FILTER(dataGLBSCF,ISNUMBER(_xlfn.XMATCH(dataGLBSAcctIDs,_xlfn._xlws.FILTER(PBC_ACCOUNT_LIST[Id], ((PBC_ACCOUNT_LIST[Cash Flow Section]="Cash from Investing Activities")*(PBC_ACCOUNT_LIST[Drivers Section]="Assets"))),0))),endDatesCF=AA$75)),0)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Equity")))),0))),endDatesCF=AA$75)),0)-IFERROR(SUM(_xlfn._xlws.FILTER(_xlfn._xlws.FILTER(dataGLBSCF,ISNUMBER(_xlfn.XMATCH(dataGLBSAcctIDs,_xlfn._xlws.FILTER(PBC_ACCOUNT_LIST[Id],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Equity")))),0))),startDatesCF=EDATE(AA$74,-1))),0)</f>
        <v>0</v>
      </c>
      <c r="AB84" s="162" cm="1">
        <f t="array" ref="AB84">IFERROR(SUM(_xlfn._xlws.FILTER(_xlfn._xlws.FILTER(dataGLBSCF,ISNUMBER(_xlfn.XMATCH(dataGLBSAcctIDs,_xlfn._xlws.FILTER(PBC_ACCOUNT_LIST[Id], ((PBC_ACCOUNT_LIST[Cash Flow Section]="Cash from Investing Activities")*(PBC_ACCOUNT_LIST[Drivers Section]="Assets"))),0))),startDatesCF=EDATE(AB$74,-1))),0)-IFERROR(SUM(_xlfn._xlws.FILTER(_xlfn._xlws.FILTER(dataGLBSCF,ISNUMBER(_xlfn.XMATCH(dataGLBSAcctIDs,_xlfn._xlws.FILTER(PBC_ACCOUNT_LIST[Id], ((PBC_ACCOUNT_LIST[Cash Flow Section]="Cash from Investing Activities")*(PBC_ACCOUNT_LIST[Drivers Section]="Assets"))),0))),endDatesCF=AB$75)),0)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Equity")))),0))),endDatesCF=AB$75)),0)-IFERROR(SUM(_xlfn._xlws.FILTER(_xlfn._xlws.FILTER(dataGLBSCF,ISNUMBER(_xlfn.XMATCH(dataGLBSAcctIDs,_xlfn._xlws.FILTER(PBC_ACCOUNT_LIST[Id],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Equity")))),0))),startDatesCF=EDATE(AB$74,-1))),0)</f>
        <v>0</v>
      </c>
      <c r="AC84" s="162" cm="1">
        <f t="array" ref="AC84">IFERROR(SUM(_xlfn._xlws.FILTER(_xlfn._xlws.FILTER(dataGLBSCF,ISNUMBER(_xlfn.XMATCH(dataGLBSAcctIDs,_xlfn._xlws.FILTER(PBC_ACCOUNT_LIST[Id], ((PBC_ACCOUNT_LIST[Cash Flow Section]="Cash from Investing Activities")*(PBC_ACCOUNT_LIST[Drivers Section]="Assets"))),0))),startDatesCF=EDATE(AC$74,-1))),0)-IFERROR(SUM(_xlfn._xlws.FILTER(_xlfn._xlws.FILTER(dataGLBSCF,ISNUMBER(_xlfn.XMATCH(dataGLBSAcctIDs,_xlfn._xlws.FILTER(PBC_ACCOUNT_LIST[Id], ((PBC_ACCOUNT_LIST[Cash Flow Section]="Cash from Investing Activities")*(PBC_ACCOUNT_LIST[Drivers Section]="Assets"))),0))),endDatesCF=AC$75)),0)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Equity")))),0))),endDatesCF=AC$75)),0)-IFERROR(SUM(_xlfn._xlws.FILTER(_xlfn._xlws.FILTER(dataGLBSCF,ISNUMBER(_xlfn.XMATCH(dataGLBSAcctIDs,_xlfn._xlws.FILTER(PBC_ACCOUNT_LIST[Id],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Equity")))),0))),startDatesCF=EDATE(AC$74,-1))),0)</f>
        <v>0</v>
      </c>
      <c r="AD84" s="162" cm="1">
        <f t="array" ref="AD84">IFERROR(SUM(_xlfn._xlws.FILTER(_xlfn._xlws.FILTER(dataGLBSCF,ISNUMBER(_xlfn.XMATCH(dataGLBSAcctIDs,_xlfn._xlws.FILTER(PBC_ACCOUNT_LIST[Id], ((PBC_ACCOUNT_LIST[Cash Flow Section]="Cash from Investing Activities")*(PBC_ACCOUNT_LIST[Drivers Section]="Assets"))),0))),startDatesCF=EDATE(AD$74,-1))),0)-IFERROR(SUM(_xlfn._xlws.FILTER(_xlfn._xlws.FILTER(dataGLBSCF,ISNUMBER(_xlfn.XMATCH(dataGLBSAcctIDs,_xlfn._xlws.FILTER(PBC_ACCOUNT_LIST[Id], ((PBC_ACCOUNT_LIST[Cash Flow Section]="Cash from Investing Activities")*(PBC_ACCOUNT_LIST[Drivers Section]="Assets"))),0))),endDatesCF=AD$75)),0)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Equity")))),0))),endDatesCF=AD$75)),0)-IFERROR(SUM(_xlfn._xlws.FILTER(_xlfn._xlws.FILTER(dataGLBSCF,ISNUMBER(_xlfn.XMATCH(dataGLBSAcctIDs,_xlfn._xlws.FILTER(PBC_ACCOUNT_LIST[Id],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Equity")))),0))),startDatesCF=EDATE(AD$74,-1))),0)</f>
        <v>0</v>
      </c>
      <c r="AE84" s="162" cm="1">
        <f t="array" ref="AE84">IFERROR(SUM(_xlfn._xlws.FILTER(_xlfn._xlws.FILTER(dataGLBSCF,ISNUMBER(_xlfn.XMATCH(dataGLBSAcctIDs,_xlfn._xlws.FILTER(PBC_ACCOUNT_LIST[Id], ((PBC_ACCOUNT_LIST[Cash Flow Section]="Cash from Investing Activities")*(PBC_ACCOUNT_LIST[Drivers Section]="Assets"))),0))),startDatesCF=EDATE(AE$74,-1))),0)-IFERROR(SUM(_xlfn._xlws.FILTER(_xlfn._xlws.FILTER(dataGLBSCF,ISNUMBER(_xlfn.XMATCH(dataGLBSAcctIDs,_xlfn._xlws.FILTER(PBC_ACCOUNT_LIST[Id], ((PBC_ACCOUNT_LIST[Cash Flow Section]="Cash from Investing Activities")*(PBC_ACCOUNT_LIST[Drivers Section]="Assets"))),0))),endDatesCF=AE$75)),0)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Equity")))),0))),endDatesCF=AE$75)),0)-IFERROR(SUM(_xlfn._xlws.FILTER(_xlfn._xlws.FILTER(dataGLBSCF,ISNUMBER(_xlfn.XMATCH(dataGLBSAcctIDs,_xlfn._xlws.FILTER(PBC_ACCOUNT_LIST[Id],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Equity")))),0))),startDatesCF=EDATE(AE$74,-1))),0)</f>
        <v>-20000</v>
      </c>
      <c r="AF84" s="162" cm="1">
        <f t="array" ref="AF84">IFERROR(SUM(_xlfn._xlws.FILTER(_xlfn._xlws.FILTER(dataGLBSCF,ISNUMBER(_xlfn.XMATCH(dataGLBSAcctIDs,_xlfn._xlws.FILTER(PBC_ACCOUNT_LIST[Id], ((PBC_ACCOUNT_LIST[Cash Flow Section]="Cash from Investing Activities")*(PBC_ACCOUNT_LIST[Drivers Section]="Assets"))),0))),startDatesCF=EDATE(AF$74,-1))),0)-IFERROR(SUM(_xlfn._xlws.FILTER(_xlfn._xlws.FILTER(dataGLBSCF,ISNUMBER(_xlfn.XMATCH(dataGLBSAcctIDs,_xlfn._xlws.FILTER(PBC_ACCOUNT_LIST[Id], ((PBC_ACCOUNT_LIST[Cash Flow Section]="Cash from Investing Activities")*(PBC_ACCOUNT_LIST[Drivers Section]="Assets"))),0))),endDatesCF=AF$75)),0)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Equity")))),0))),endDatesCF=AF$75)),0)-IFERROR(SUM(_xlfn._xlws.FILTER(_xlfn._xlws.FILTER(dataGLBSCF,ISNUMBER(_xlfn.XMATCH(dataGLBSAcctIDs,_xlfn._xlws.FILTER(PBC_ACCOUNT_LIST[Id],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Equity")))),0))),startDatesCF=EDATE(AF$74,-1))),0)</f>
        <v>-10000</v>
      </c>
      <c r="AG84" s="162" cm="1">
        <f t="array" ref="AG84">IFERROR(SUM(_xlfn._xlws.FILTER(_xlfn._xlws.FILTER(dataGLBSCF,ISNUMBER(_xlfn.XMATCH(dataGLBSAcctIDs,_xlfn._xlws.FILTER(PBC_ACCOUNT_LIST[Id], ((PBC_ACCOUNT_LIST[Cash Flow Section]="Cash from Investing Activities")*(PBC_ACCOUNT_LIST[Drivers Section]="Assets"))),0))),startDatesCF=EDATE(AG$74,-1))),0)-IFERROR(SUM(_xlfn._xlws.FILTER(_xlfn._xlws.FILTER(dataGLBSCF,ISNUMBER(_xlfn.XMATCH(dataGLBSAcctIDs,_xlfn._xlws.FILTER(PBC_ACCOUNT_LIST[Id], ((PBC_ACCOUNT_LIST[Cash Flow Section]="Cash from Investing Activities")*(PBC_ACCOUNT_LIST[Drivers Section]="Assets"))),0))),endDatesCF=AG$75)),0)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Equity")))),0))),endDatesCF=AG$75)),0)-IFERROR(SUM(_xlfn._xlws.FILTER(_xlfn._xlws.FILTER(dataGLBSCF,ISNUMBER(_xlfn.XMATCH(dataGLBSAcctIDs,_xlfn._xlws.FILTER(PBC_ACCOUNT_LIST[Id],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Equity")))),0))),startDatesCF=EDATE(AG$74,-1))),0)</f>
        <v>-15000</v>
      </c>
      <c r="AH84" s="162" cm="1">
        <f t="array" ref="AH84">IFERROR(SUM(_xlfn._xlws.FILTER(_xlfn._xlws.FILTER(dataGLBSCF,ISNUMBER(_xlfn.XMATCH(dataGLBSAcctIDs,_xlfn._xlws.FILTER(PBC_ACCOUNT_LIST[Id], ((PBC_ACCOUNT_LIST[Cash Flow Section]="Cash from Investing Activities")*(PBC_ACCOUNT_LIST[Drivers Section]="Assets"))),0))),startDatesCF=EDATE(AH$74,-1))),0)-IFERROR(SUM(_xlfn._xlws.FILTER(_xlfn._xlws.FILTER(dataGLBSCF,ISNUMBER(_xlfn.XMATCH(dataGLBSAcctIDs,_xlfn._xlws.FILTER(PBC_ACCOUNT_LIST[Id], ((PBC_ACCOUNT_LIST[Cash Flow Section]="Cash from Investing Activities")*(PBC_ACCOUNT_LIST[Drivers Section]="Assets"))),0))),endDatesCF=AH$75)),0)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Equity")))),0))),endDatesCF=AH$75)),0)-IFERROR(SUM(_xlfn._xlws.FILTER(_xlfn._xlws.FILTER(dataGLBSCF,ISNUMBER(_xlfn.XMATCH(dataGLBSAcctIDs,_xlfn._xlws.FILTER(PBC_ACCOUNT_LIST[Id],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Equity")))),0))),startDatesCF=EDATE(AH$74,-1))),0)</f>
        <v>0</v>
      </c>
      <c r="AI84" s="162" cm="1">
        <f t="array" ref="AI84">IFERROR(SUM(_xlfn._xlws.FILTER(_xlfn._xlws.FILTER(dataGLBSCF,ISNUMBER(_xlfn.XMATCH(dataGLBSAcctIDs,_xlfn._xlws.FILTER(PBC_ACCOUNT_LIST[Id], ((PBC_ACCOUNT_LIST[Cash Flow Section]="Cash from Investing Activities")*(PBC_ACCOUNT_LIST[Drivers Section]="Assets"))),0))),startDatesCF=EDATE(AI$74,-1))),0)-IFERROR(SUM(_xlfn._xlws.FILTER(_xlfn._xlws.FILTER(dataGLBSCF,ISNUMBER(_xlfn.XMATCH(dataGLBSAcctIDs,_xlfn._xlws.FILTER(PBC_ACCOUNT_LIST[Id], ((PBC_ACCOUNT_LIST[Cash Flow Section]="Cash from Investing Activities")*(PBC_ACCOUNT_LIST[Drivers Section]="Assets"))),0))),endDatesCF=AI$75)),0)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Equity")))),0))),endDatesCF=AI$75)),0)-IFERROR(SUM(_xlfn._xlws.FILTER(_xlfn._xlws.FILTER(dataGLBSCF,ISNUMBER(_xlfn.XMATCH(dataGLBSAcctIDs,_xlfn._xlws.FILTER(PBC_ACCOUNT_LIST[Id],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Equity")))),0))),startDatesCF=EDATE(AI$74,-1))),0)</f>
        <v>0</v>
      </c>
      <c r="AL84" s="162" cm="1">
        <f t="array" ref="AL84">IFERROR(SUM(_xlfn._xlws.FILTER(_xlfn._xlws.FILTER(dataGLBSCF,ISNUMBER(_xlfn.XMATCH(dataGLBSAcctIDs,_xlfn._xlws.FILTER(PBC_ACCOUNT_LIST[Id], ((PBC_ACCOUNT_LIST[Cash Flow Section]="Cash from Investing Activities")*(PBC_ACCOUNT_LIST[Drivers Section]="Assets"))),0))),startDatesCF=EDATE(AL$74,-1))),0)-IFERROR(SUM(_xlfn._xlws.FILTER(_xlfn._xlws.FILTER(dataGLBSCF,ISNUMBER(_xlfn.XMATCH(dataGLBSAcctIDs,_xlfn._xlws.FILTER(PBC_ACCOUNT_LIST[Id], ((PBC_ACCOUNT_LIST[Cash Flow Section]="Cash from Investing Activities")*(PBC_ACCOUNT_LIST[Drivers Section]="Assets"))),0))),endDatesCF=AL$75)),0)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Equity")))),0))),endDatesCF=AL$75)),0)-IFERROR(SUM(_xlfn._xlws.FILTER(_xlfn._xlws.FILTER(dataGLBSCF,ISNUMBER(_xlfn.XMATCH(dataGLBSAcctIDs,_xlfn._xlws.FILTER(PBC_ACCOUNT_LIST[Id],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Equity")))),0))),startDatesCF=EDATE(AL$74,-1))),0)</f>
        <v>-63169</v>
      </c>
      <c r="AM84" s="162" cm="1">
        <f t="array" ref="AM84">IFERROR(SUM(_xlfn._xlws.FILTER(_xlfn._xlws.FILTER(dataGLBSCF,ISNUMBER(_xlfn.XMATCH(dataGLBSAcctIDs,_xlfn._xlws.FILTER(PBC_ACCOUNT_LIST[Id], ((PBC_ACCOUNT_LIST[Cash Flow Section]="Cash from Investing Activities")*(PBC_ACCOUNT_LIST[Drivers Section]="Assets"))),0))),startDatesCF=EDATE(AM$74,-1))),0)-IFERROR(SUM(_xlfn._xlws.FILTER(_xlfn._xlws.FILTER(dataGLBSCF,ISNUMBER(_xlfn.XMATCH(dataGLBSAcctIDs,_xlfn._xlws.FILTER(PBC_ACCOUNT_LIST[Id], ((PBC_ACCOUNT_LIST[Cash Flow Section]="Cash from Investing Activities")*(PBC_ACCOUNT_LIST[Drivers Section]="Assets"))),0))),endDatesCF=AM$75)),0)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Equity")))),0))),endDatesCF=AM$75)),0)-IFERROR(SUM(_xlfn._xlws.FILTER(_xlfn._xlws.FILTER(dataGLBSCF,ISNUMBER(_xlfn.XMATCH(dataGLBSAcctIDs,_xlfn._xlws.FILTER(PBC_ACCOUNT_LIST[Id],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Equity")))),0))),startDatesCF=EDATE(AM$74,-1))),0)</f>
        <v>0</v>
      </c>
      <c r="AN84" s="162" cm="1">
        <f t="array" ref="AN84">IFERROR(SUM(_xlfn._xlws.FILTER(_xlfn._xlws.FILTER(dataGLBSCF,ISNUMBER(_xlfn.XMATCH(dataGLBSAcctIDs,_xlfn._xlws.FILTER(PBC_ACCOUNT_LIST[Id], ((PBC_ACCOUNT_LIST[Cash Flow Section]="Cash from Investing Activities")*(PBC_ACCOUNT_LIST[Drivers Section]="Assets"))),0))),startDatesCF=EDATE(AN$74,-1))),0)-IFERROR(SUM(_xlfn._xlws.FILTER(_xlfn._xlws.FILTER(dataGLBSCF,ISNUMBER(_xlfn.XMATCH(dataGLBSAcctIDs,_xlfn._xlws.FILTER(PBC_ACCOUNT_LIST[Id], ((PBC_ACCOUNT_LIST[Cash Flow Section]="Cash from Investing Activities")*(PBC_ACCOUNT_LIST[Drivers Section]="Assets"))),0))),endDatesCF=AN$75)),0)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Equity")))),0))),endDatesCF=AN$75)),0)-IFERROR(SUM(_xlfn._xlws.FILTER(_xlfn._xlws.FILTER(dataGLBSCF,ISNUMBER(_xlfn.XMATCH(dataGLBSAcctIDs,_xlfn._xlws.FILTER(PBC_ACCOUNT_LIST[Id],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Equity")))),0))),startDatesCF=EDATE(AN$74,-1))),0)</f>
        <v>-2500</v>
      </c>
      <c r="AO84" s="162" cm="1">
        <f t="array" ref="AO84">IFERROR(SUM(_xlfn._xlws.FILTER(_xlfn._xlws.FILTER(dataGLBSCF,ISNUMBER(_xlfn.XMATCH(dataGLBSAcctIDs,_xlfn._xlws.FILTER(PBC_ACCOUNT_LIST[Id], ((PBC_ACCOUNT_LIST[Cash Flow Section]="Cash from Investing Activities")*(PBC_ACCOUNT_LIST[Drivers Section]="Assets"))),0))),startDatesCF=EDATE(AO$74,-1))),0)-IFERROR(SUM(_xlfn._xlws.FILTER(_xlfn._xlws.FILTER(dataGLBSCF,ISNUMBER(_xlfn.XMATCH(dataGLBSAcctIDs,_xlfn._xlws.FILTER(PBC_ACCOUNT_LIST[Id], ((PBC_ACCOUNT_LIST[Cash Flow Section]="Cash from Investing Activities")*(PBC_ACCOUNT_LIST[Drivers Section]="Assets"))),0))),endDatesCF=AO$75)),0)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Equity")))),0))),endDatesCF=AO$75)),0)-IFERROR(SUM(_xlfn._xlws.FILTER(_xlfn._xlws.FILTER(dataGLBSCF,ISNUMBER(_xlfn.XMATCH(dataGLBSAcctIDs,_xlfn._xlws.FILTER(PBC_ACCOUNT_LIST[Id],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Equity")))),0))),startDatesCF=EDATE(AO$74,-1))),0)</f>
        <v>-35000</v>
      </c>
      <c r="AP84" s="162" cm="1">
        <f t="array" ref="AP84">IFERROR(SUM(_xlfn._xlws.FILTER(_xlfn._xlws.FILTER(dataGLBSCF,ISNUMBER(_xlfn.XMATCH(dataGLBSAcctIDs,_xlfn._xlws.FILTER(PBC_ACCOUNT_LIST[Id], ((PBC_ACCOUNT_LIST[Cash Flow Section]="Cash from Investing Activities")*(PBC_ACCOUNT_LIST[Drivers Section]="Assets"))),0))),startDatesCF=EDATE(AP$74,-1))),0)-IFERROR(SUM(_xlfn._xlws.FILTER(_xlfn._xlws.FILTER(dataGLBSCF,ISNUMBER(_xlfn.XMATCH(dataGLBSAcctIDs,_xlfn._xlws.FILTER(PBC_ACCOUNT_LIST[Id], ((PBC_ACCOUNT_LIST[Cash Flow Section]="Cash from Investing Activities")*(PBC_ACCOUNT_LIST[Drivers Section]="Assets"))),0))),endDatesCF=AP$75)),0)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Equity")))),0))),endDatesCF=AP$75)),0)-IFERROR(SUM(_xlfn._xlws.FILTER(_xlfn._xlws.FILTER(dataGLBSCF,ISNUMBER(_xlfn.XMATCH(dataGLBSAcctIDs,_xlfn._xlws.FILTER(PBC_ACCOUNT_LIST[Id],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Equity")))),0))),startDatesCF=EDATE(AP$74,-1))),0)</f>
        <v>-2500</v>
      </c>
      <c r="AQ84" s="162" cm="1">
        <f t="array" ref="AQ84">IFERROR(SUM(_xlfn._xlws.FILTER(_xlfn._xlws.FILTER(dataGLBSCF,ISNUMBER(_xlfn.XMATCH(dataGLBSAcctIDs,_xlfn._xlws.FILTER(PBC_ACCOUNT_LIST[Id], ((PBC_ACCOUNT_LIST[Cash Flow Section]="Cash from Investing Activities")*(PBC_ACCOUNT_LIST[Drivers Section]="Assets"))),0))),startDatesCF=EDATE(AQ$74,-1))),0)-IFERROR(SUM(_xlfn._xlws.FILTER(_xlfn._xlws.FILTER(dataGLBSCF,ISNUMBER(_xlfn.XMATCH(dataGLBSAcctIDs,_xlfn._xlws.FILTER(PBC_ACCOUNT_LIST[Id], ((PBC_ACCOUNT_LIST[Cash Flow Section]="Cash from Investing Activities")*(PBC_ACCOUNT_LIST[Drivers Section]="Assets"))),0))),endDatesCF=AQ$75)),0)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Equity")))),0))),endDatesCF=AQ$75)),0)-IFERROR(SUM(_xlfn._xlws.FILTER(_xlfn._xlws.FILTER(dataGLBSCF,ISNUMBER(_xlfn.XMATCH(dataGLBSAcctIDs,_xlfn._xlws.FILTER(PBC_ACCOUNT_LIST[Id],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Equity")))),0))),startDatesCF=EDATE(AQ$74,-1))),0)</f>
        <v>-8000</v>
      </c>
      <c r="AR84" s="162" cm="1">
        <f t="array" ref="AR84">IFERROR(SUM(_xlfn._xlws.FILTER(_xlfn._xlws.FILTER(dataGLBSCF,ISNUMBER(_xlfn.XMATCH(dataGLBSAcctIDs,_xlfn._xlws.FILTER(PBC_ACCOUNT_LIST[Id], ((PBC_ACCOUNT_LIST[Cash Flow Section]="Cash from Investing Activities")*(PBC_ACCOUNT_LIST[Drivers Section]="Assets"))),0))),startDatesCF=EDATE(AR$74,-1))),0)-IFERROR(SUM(_xlfn._xlws.FILTER(_xlfn._xlws.FILTER(dataGLBSCF,ISNUMBER(_xlfn.XMATCH(dataGLBSAcctIDs,_xlfn._xlws.FILTER(PBC_ACCOUNT_LIST[Id], ((PBC_ACCOUNT_LIST[Cash Flow Section]="Cash from Investing Activities")*(PBC_ACCOUNT_LIST[Drivers Section]="Assets"))),0))),endDatesCF=AR$75)),0)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Equity")))),0))),endDatesCF=AR$75)),0)-IFERROR(SUM(_xlfn._xlws.FILTER(_xlfn._xlws.FILTER(dataGLBSCF,ISNUMBER(_xlfn.XMATCH(dataGLBSAcctIDs,_xlfn._xlws.FILTER(PBC_ACCOUNT_LIST[Id],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Equity")))),0))),startDatesCF=EDATE(AR$74,-1))),0)</f>
        <v>0</v>
      </c>
      <c r="AS84" s="162" cm="1">
        <f t="array" ref="AS84">IFERROR(SUM(_xlfn._xlws.FILTER(_xlfn._xlws.FILTER(dataGLBSCF,ISNUMBER(_xlfn.XMATCH(dataGLBSAcctIDs,_xlfn._xlws.FILTER(PBC_ACCOUNT_LIST[Id], ((PBC_ACCOUNT_LIST[Cash Flow Section]="Cash from Investing Activities")*(PBC_ACCOUNT_LIST[Drivers Section]="Assets"))),0))),startDatesCF=EDATE(AS$74,-1))),0)-IFERROR(SUM(_xlfn._xlws.FILTER(_xlfn._xlws.FILTER(dataGLBSCF,ISNUMBER(_xlfn.XMATCH(dataGLBSAcctIDs,_xlfn._xlws.FILTER(PBC_ACCOUNT_LIST[Id], ((PBC_ACCOUNT_LIST[Cash Flow Section]="Cash from Investing Activities")*(PBC_ACCOUNT_LIST[Drivers Section]="Assets"))),0))),endDatesCF=AS$75)),0)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Equity")))),0))),endDatesCF=AS$75)),0)-IFERROR(SUM(_xlfn._xlws.FILTER(_xlfn._xlws.FILTER(dataGLBSCF,ISNUMBER(_xlfn.XMATCH(dataGLBSAcctIDs,_xlfn._xlws.FILTER(PBC_ACCOUNT_LIST[Id],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Equity")))),0))),startDatesCF=EDATE(AS$74,-1))),0)</f>
        <v>-2500</v>
      </c>
      <c r="AT84" s="162" cm="1">
        <f t="array" ref="AT84">IFERROR(SUM(_xlfn._xlws.FILTER(_xlfn._xlws.FILTER(dataGLBSCF,ISNUMBER(_xlfn.XMATCH(dataGLBSAcctIDs,_xlfn._xlws.FILTER(PBC_ACCOUNT_LIST[Id], ((PBC_ACCOUNT_LIST[Cash Flow Section]="Cash from Investing Activities")*(PBC_ACCOUNT_LIST[Drivers Section]="Assets"))),0))),startDatesCF=EDATE(AT$74,-1))),0)-IFERROR(SUM(_xlfn._xlws.FILTER(_xlfn._xlws.FILTER(dataGLBSCF,ISNUMBER(_xlfn.XMATCH(dataGLBSAcctIDs,_xlfn._xlws.FILTER(PBC_ACCOUNT_LIST[Id], ((PBC_ACCOUNT_LIST[Cash Flow Section]="Cash from Investing Activities")*(PBC_ACCOUNT_LIST[Drivers Section]="Assets"))),0))),endDatesCF=AT$75)),0)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Equity")))),0))),endDatesCF=AT$75)),0)-IFERROR(SUM(_xlfn._xlws.FILTER(_xlfn._xlws.FILTER(dataGLBSCF,ISNUMBER(_xlfn.XMATCH(dataGLBSAcctIDs,_xlfn._xlws.FILTER(PBC_ACCOUNT_LIST[Id],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Equity")))),0))),startDatesCF=EDATE(AT$74,-1))),0)</f>
        <v>0</v>
      </c>
      <c r="AU84" s="162" cm="1">
        <f t="array" ref="AU84">IFERROR(SUM(_xlfn._xlws.FILTER(_xlfn._xlws.FILTER(dataGLBSCF,ISNUMBER(_xlfn.XMATCH(dataGLBSAcctIDs,_xlfn._xlws.FILTER(PBC_ACCOUNT_LIST[Id], ((PBC_ACCOUNT_LIST[Cash Flow Section]="Cash from Investing Activities")*(PBC_ACCOUNT_LIST[Drivers Section]="Assets"))),0))),startDatesCF=EDATE(AU$74,-1))),0)-IFERROR(SUM(_xlfn._xlws.FILTER(_xlfn._xlws.FILTER(dataGLBSCF,ISNUMBER(_xlfn.XMATCH(dataGLBSAcctIDs,_xlfn._xlws.FILTER(PBC_ACCOUNT_LIST[Id], ((PBC_ACCOUNT_LIST[Cash Flow Section]="Cash from Investing Activities")*(PBC_ACCOUNT_LIST[Drivers Section]="Assets"))),0))),endDatesCF=AU$75)),0)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Equity")))),0))),endDatesCF=AU$75)),0)-IFERROR(SUM(_xlfn._xlws.FILTER(_xlfn._xlws.FILTER(dataGLBSCF,ISNUMBER(_xlfn.XMATCH(dataGLBSAcctIDs,_xlfn._xlws.FILTER(PBC_ACCOUNT_LIST[Id],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Equity")))),0))),startDatesCF=EDATE(AU$74,-1))),0)</f>
        <v>0</v>
      </c>
      <c r="AV84" s="162" cm="1">
        <f t="array" ref="AV84">IFERROR(SUM(_xlfn._xlws.FILTER(_xlfn._xlws.FILTER(dataGLBSCF,ISNUMBER(_xlfn.XMATCH(dataGLBSAcctIDs,_xlfn._xlws.FILTER(PBC_ACCOUNT_LIST[Id], ((PBC_ACCOUNT_LIST[Cash Flow Section]="Cash from Investing Activities")*(PBC_ACCOUNT_LIST[Drivers Section]="Assets"))),0))),startDatesCF=EDATE(AV$74,-1))),0)-IFERROR(SUM(_xlfn._xlws.FILTER(_xlfn._xlws.FILTER(dataGLBSCF,ISNUMBER(_xlfn.XMATCH(dataGLBSAcctIDs,_xlfn._xlws.FILTER(PBC_ACCOUNT_LIST[Id], ((PBC_ACCOUNT_LIST[Cash Flow Section]="Cash from Investing Activities")*(PBC_ACCOUNT_LIST[Drivers Section]="Assets"))),0))),endDatesCF=AV$75)),0)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Equity")))),0))),endDatesCF=AV$75)),0)-IFERROR(SUM(_xlfn._xlws.FILTER(_xlfn._xlws.FILTER(dataGLBSCF,ISNUMBER(_xlfn.XMATCH(dataGLBSAcctIDs,_xlfn._xlws.FILTER(PBC_ACCOUNT_LIST[Id],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Equity")))),0))),startDatesCF=EDATE(AV$74,-1))),0)</f>
        <v>0</v>
      </c>
      <c r="AW84" s="162" cm="1">
        <f t="array" ref="AW84">IFERROR(SUM(_xlfn._xlws.FILTER(_xlfn._xlws.FILTER(dataGLBSCF,ISNUMBER(_xlfn.XMATCH(dataGLBSAcctIDs,_xlfn._xlws.FILTER(PBC_ACCOUNT_LIST[Id], ((PBC_ACCOUNT_LIST[Cash Flow Section]="Cash from Investing Activities")*(PBC_ACCOUNT_LIST[Drivers Section]="Assets"))),0))),startDatesCF=EDATE(AW$74,-1))),0)-IFERROR(SUM(_xlfn._xlws.FILTER(_xlfn._xlws.FILTER(dataGLBSCF,ISNUMBER(_xlfn.XMATCH(dataGLBSAcctIDs,_xlfn._xlws.FILTER(PBC_ACCOUNT_LIST[Id], ((PBC_ACCOUNT_LIST[Cash Flow Section]="Cash from Investing Activities")*(PBC_ACCOUNT_LIST[Drivers Section]="Assets"))),0))),endDatesCF=AW$75)),0)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Equity")))),0))),endDatesCF=AW$75)),0)-IFERROR(SUM(_xlfn._xlws.FILTER(_xlfn._xlws.FILTER(dataGLBSCF,ISNUMBER(_xlfn.XMATCH(dataGLBSAcctIDs,_xlfn._xlws.FILTER(PBC_ACCOUNT_LIST[Id],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Equity")))),0))),startDatesCF=EDATE(AW$74,-1))),0)</f>
        <v>0</v>
      </c>
      <c r="AX84" s="162" cm="1">
        <f t="array" ref="AX84">IFERROR(SUM(_xlfn._xlws.FILTER(_xlfn._xlws.FILTER(dataGLBSCF,ISNUMBER(_xlfn.XMATCH(dataGLBSAcctIDs,_xlfn._xlws.FILTER(PBC_ACCOUNT_LIST[Id], ((PBC_ACCOUNT_LIST[Cash Flow Section]="Cash from Investing Activities")*(PBC_ACCOUNT_LIST[Drivers Section]="Assets"))),0))),startDatesCF=EDATE(AX$74,-1))),0)-IFERROR(SUM(_xlfn._xlws.FILTER(_xlfn._xlws.FILTER(dataGLBSCF,ISNUMBER(_xlfn.XMATCH(dataGLBSAcctIDs,_xlfn._xlws.FILTER(PBC_ACCOUNT_LIST[Id], ((PBC_ACCOUNT_LIST[Cash Flow Section]="Cash from Investing Activities")*(PBC_ACCOUNT_LIST[Drivers Section]="Assets"))),0))),endDatesCF=AX$75)),0)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Equity")))),0))),endDatesCF=AX$75)),0)-IFERROR(SUM(_xlfn._xlws.FILTER(_xlfn._xlws.FILTER(dataGLBSCF,ISNUMBER(_xlfn.XMATCH(dataGLBSAcctIDs,_xlfn._xlws.FILTER(PBC_ACCOUNT_LIST[Id],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Equity")))),0))),startDatesCF=EDATE(AX$74,-1))),0)</f>
        <v>-17000</v>
      </c>
      <c r="AY84" s="162" cm="1">
        <f t="array" ref="AY84">IFERROR(SUM(_xlfn._xlws.FILTER(_xlfn._xlws.FILTER(dataGLBSCF,ISNUMBER(_xlfn.XMATCH(dataGLBSAcctIDs,_xlfn._xlws.FILTER(PBC_ACCOUNT_LIST[Id], ((PBC_ACCOUNT_LIST[Cash Flow Section]="Cash from Investing Activities")*(PBC_ACCOUNT_LIST[Drivers Section]="Assets"))),0))),startDatesCF=EDATE(AY$74,-1))),0)-IFERROR(SUM(_xlfn._xlws.FILTER(_xlfn._xlws.FILTER(dataGLBSCF,ISNUMBER(_xlfn.XMATCH(dataGLBSAcctIDs,_xlfn._xlws.FILTER(PBC_ACCOUNT_LIST[Id], ((PBC_ACCOUNT_LIST[Cash Flow Section]="Cash from Investing Activities")*(PBC_ACCOUNT_LIST[Drivers Section]="Assets"))),0))),endDatesCF=AY$75)),0)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Equity")))),0))),endDatesCF=AY$75)),0)-IFERROR(SUM(_xlfn._xlws.FILTER(_xlfn._xlws.FILTER(dataGLBSCF,ISNUMBER(_xlfn.XMATCH(dataGLBSAcctIDs,_xlfn._xlws.FILTER(PBC_ACCOUNT_LIST[Id],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Equity")))),0))),startDatesCF=EDATE(AY$74,-1))),0)</f>
        <v>12000</v>
      </c>
      <c r="AZ84" s="162" cm="1">
        <f t="array" ref="AZ84">IFERROR(SUM(_xlfn._xlws.FILTER(_xlfn._xlws.FILTER(dataGLBSCF,ISNUMBER(_xlfn.XMATCH(dataGLBSAcctIDs,_xlfn._xlws.FILTER(PBC_ACCOUNT_LIST[Id], ((PBC_ACCOUNT_LIST[Cash Flow Section]="Cash from Investing Activities")*(PBC_ACCOUNT_LIST[Drivers Section]="Assets"))),0))),startDatesCF=EDATE(AZ$74,-1))),0)-IFERROR(SUM(_xlfn._xlws.FILTER(_xlfn._xlws.FILTER(dataGLBSCF,ISNUMBER(_xlfn.XMATCH(dataGLBSAcctIDs,_xlfn._xlws.FILTER(PBC_ACCOUNT_LIST[Id], ((PBC_ACCOUNT_LIST[Cash Flow Section]="Cash from Investing Activities")*(PBC_ACCOUNT_LIST[Drivers Section]="Assets"))),0))),endDatesCF=AZ$75)),0)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Equity")))),0))),endDatesCF=AZ$75)),0)-IFERROR(SUM(_xlfn._xlws.FILTER(_xlfn._xlws.FILTER(dataGLBSCF,ISNUMBER(_xlfn.XMATCH(dataGLBSAcctIDs,_xlfn._xlws.FILTER(PBC_ACCOUNT_LIST[Id],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Equity")))),0))),startDatesCF=EDATE(AZ$74,-1))),0)</f>
        <v>0</v>
      </c>
      <c r="BA84" s="162" cm="1">
        <f t="array" ref="BA84">IFERROR(SUM(_xlfn._xlws.FILTER(_xlfn._xlws.FILTER(dataGLBSCF,ISNUMBER(_xlfn.XMATCH(dataGLBSAcctIDs,_xlfn._xlws.FILTER(PBC_ACCOUNT_LIST[Id], ((PBC_ACCOUNT_LIST[Cash Flow Section]="Cash from Investing Activities")*(PBC_ACCOUNT_LIST[Drivers Section]="Assets"))),0))),startDatesCF=EDATE(BA$74,-1))),0)-IFERROR(SUM(_xlfn._xlws.FILTER(_xlfn._xlws.FILTER(dataGLBSCF,ISNUMBER(_xlfn.XMATCH(dataGLBSAcctIDs,_xlfn._xlws.FILTER(PBC_ACCOUNT_LIST[Id], ((PBC_ACCOUNT_LIST[Cash Flow Section]="Cash from Investing Activities")*(PBC_ACCOUNT_LIST[Drivers Section]="Assets"))),0))),endDatesCF=BA$75)),0)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Equity")))),0))),endDatesCF=BA$75)),0)-IFERROR(SUM(_xlfn._xlws.FILTER(_xlfn._xlws.FILTER(dataGLBSCF,ISNUMBER(_xlfn.XMATCH(dataGLBSAcctIDs,_xlfn._xlws.FILTER(PBC_ACCOUNT_LIST[Id],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Equity")))),0))),startDatesCF=EDATE(BA$74,-1))),0)</f>
        <v>0</v>
      </c>
      <c r="BB84" s="162" cm="1">
        <f t="array" ref="BB84">IFERROR(SUM(_xlfn._xlws.FILTER(_xlfn._xlws.FILTER(dataGLBSCF,ISNUMBER(_xlfn.XMATCH(dataGLBSAcctIDs,_xlfn._xlws.FILTER(PBC_ACCOUNT_LIST[Id], ((PBC_ACCOUNT_LIST[Cash Flow Section]="Cash from Investing Activities")*(PBC_ACCOUNT_LIST[Drivers Section]="Assets"))),0))),startDatesCF=EDATE(BB$74,-1))),0)-IFERROR(SUM(_xlfn._xlws.FILTER(_xlfn._xlws.FILTER(dataGLBSCF,ISNUMBER(_xlfn.XMATCH(dataGLBSAcctIDs,_xlfn._xlws.FILTER(PBC_ACCOUNT_LIST[Id], ((PBC_ACCOUNT_LIST[Cash Flow Section]="Cash from Investing Activities")*(PBC_ACCOUNT_LIST[Drivers Section]="Assets"))),0))),endDatesCF=BB$75)),0)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Equity")))),0))),endDatesCF=BB$75)),0)-IFERROR(SUM(_xlfn._xlws.FILTER(_xlfn._xlws.FILTER(dataGLBSCF,ISNUMBER(_xlfn.XMATCH(dataGLBSAcctIDs,_xlfn._xlws.FILTER(PBC_ACCOUNT_LIST[Id],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Equity")))),0))),startDatesCF=EDATE(BB$74,-1))),0)</f>
        <v>0</v>
      </c>
      <c r="BC84" s="162" cm="1">
        <f t="array" ref="BC84">IFERROR(SUM(_xlfn._xlws.FILTER(_xlfn._xlws.FILTER(dataGLBSCF,ISNUMBER(_xlfn.XMATCH(dataGLBSAcctIDs,_xlfn._xlws.FILTER(PBC_ACCOUNT_LIST[Id], ((PBC_ACCOUNT_LIST[Cash Flow Section]="Cash from Investing Activities")*(PBC_ACCOUNT_LIST[Drivers Section]="Assets"))),0))),startDatesCF=EDATE(BC$74,-1))),0)-IFERROR(SUM(_xlfn._xlws.FILTER(_xlfn._xlws.FILTER(dataGLBSCF,ISNUMBER(_xlfn.XMATCH(dataGLBSAcctIDs,_xlfn._xlws.FILTER(PBC_ACCOUNT_LIST[Id], ((PBC_ACCOUNT_LIST[Cash Flow Section]="Cash from Investing Activities")*(PBC_ACCOUNT_LIST[Drivers Section]="Assets"))),0))),endDatesCF=BC$75)),0)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Equity")))),0))),endDatesCF=BC$75)),0)-IFERROR(SUM(_xlfn._xlws.FILTER(_xlfn._xlws.FILTER(dataGLBSCF,ISNUMBER(_xlfn.XMATCH(dataGLBSAcctIDs,_xlfn._xlws.FILTER(PBC_ACCOUNT_LIST[Id],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Equity")))),0))),startDatesCF=EDATE(BC$74,-1))),0)</f>
        <v>0</v>
      </c>
      <c r="BD84" s="162" cm="1">
        <f t="array" ref="BD84">IFERROR(SUM(_xlfn._xlws.FILTER(_xlfn._xlws.FILTER(dataGLBSCF,ISNUMBER(_xlfn.XMATCH(dataGLBSAcctIDs,_xlfn._xlws.FILTER(PBC_ACCOUNT_LIST[Id], ((PBC_ACCOUNT_LIST[Cash Flow Section]="Cash from Investing Activities")*(PBC_ACCOUNT_LIST[Drivers Section]="Assets"))),0))),startDatesCF=EDATE(BD$74,-1))),0)-IFERROR(SUM(_xlfn._xlws.FILTER(_xlfn._xlws.FILTER(dataGLBSCF,ISNUMBER(_xlfn.XMATCH(dataGLBSAcctIDs,_xlfn._xlws.FILTER(PBC_ACCOUNT_LIST[Id], ((PBC_ACCOUNT_LIST[Cash Flow Section]="Cash from Investing Activities")*(PBC_ACCOUNT_LIST[Drivers Section]="Assets"))),0))),endDatesCF=BD$75)),0)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Equity")))),0))),endDatesCF=BD$75)),0)-IFERROR(SUM(_xlfn._xlws.FILTER(_xlfn._xlws.FILTER(dataGLBSCF,ISNUMBER(_xlfn.XMATCH(dataGLBSAcctIDs,_xlfn._xlws.FILTER(PBC_ACCOUNT_LIST[Id],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Equity")))),0))),startDatesCF=EDATE(BD$74,-1))),0)</f>
        <v>0</v>
      </c>
      <c r="BE84" s="162" cm="1">
        <f t="array" ref="BE84">IFERROR(SUM(_xlfn._xlws.FILTER(_xlfn._xlws.FILTER(dataGLBSCF,ISNUMBER(_xlfn.XMATCH(dataGLBSAcctIDs,_xlfn._xlws.FILTER(PBC_ACCOUNT_LIST[Id], ((PBC_ACCOUNT_LIST[Cash Flow Section]="Cash from Investing Activities")*(PBC_ACCOUNT_LIST[Drivers Section]="Assets"))),0))),startDatesCF=EDATE(BE$74,-1))),0)-IFERROR(SUM(_xlfn._xlws.FILTER(_xlfn._xlws.FILTER(dataGLBSCF,ISNUMBER(_xlfn.XMATCH(dataGLBSAcctIDs,_xlfn._xlws.FILTER(PBC_ACCOUNT_LIST[Id], ((PBC_ACCOUNT_LIST[Cash Flow Section]="Cash from Investing Activities")*(PBC_ACCOUNT_LIST[Drivers Section]="Assets"))),0))),endDatesCF=BE$75)),0)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Equity")))),0))),endDatesCF=BE$75)),0)-IFERROR(SUM(_xlfn._xlws.FILTER(_xlfn._xlws.FILTER(dataGLBSCF,ISNUMBER(_xlfn.XMATCH(dataGLBSAcctIDs,_xlfn._xlws.FILTER(PBC_ACCOUNT_LIST[Id],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Equity")))),0))),startDatesCF=EDATE(BE$74,-1))),0)</f>
        <v>0</v>
      </c>
      <c r="BF84" s="162" cm="1">
        <f t="array" ref="BF84">IFERROR(SUM(_xlfn._xlws.FILTER(_xlfn._xlws.FILTER(dataGLBSCF,ISNUMBER(_xlfn.XMATCH(dataGLBSAcctIDs,_xlfn._xlws.FILTER(PBC_ACCOUNT_LIST[Id], ((PBC_ACCOUNT_LIST[Cash Flow Section]="Cash from Investing Activities")*(PBC_ACCOUNT_LIST[Drivers Section]="Assets"))),0))),startDatesCF=EDATE(BF$74,-1))),0)-IFERROR(SUM(_xlfn._xlws.FILTER(_xlfn._xlws.FILTER(dataGLBSCF,ISNUMBER(_xlfn.XMATCH(dataGLBSAcctIDs,_xlfn._xlws.FILTER(PBC_ACCOUNT_LIST[Id], ((PBC_ACCOUNT_LIST[Cash Flow Section]="Cash from Investing Activities")*(PBC_ACCOUNT_LIST[Drivers Section]="Assets"))),0))),endDatesCF=BF$75)),0)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Equity")))),0))),endDatesCF=BF$75)),0)-IFERROR(SUM(_xlfn._xlws.FILTER(_xlfn._xlws.FILTER(dataGLBSCF,ISNUMBER(_xlfn.XMATCH(dataGLBSAcctIDs,_xlfn._xlws.FILTER(PBC_ACCOUNT_LIST[Id],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Equity")))),0))),startDatesCF=EDATE(BF$74,-1))),0)</f>
        <v>0</v>
      </c>
      <c r="BG84" s="162" cm="1">
        <f t="array" ref="BG84">IFERROR(SUM(_xlfn._xlws.FILTER(_xlfn._xlws.FILTER(dataGLBSCF,ISNUMBER(_xlfn.XMATCH(dataGLBSAcctIDs,_xlfn._xlws.FILTER(PBC_ACCOUNT_LIST[Id], ((PBC_ACCOUNT_LIST[Cash Flow Section]="Cash from Investing Activities")*(PBC_ACCOUNT_LIST[Drivers Section]="Assets"))),0))),startDatesCF=EDATE(BG$74,-1))),0)-IFERROR(SUM(_xlfn._xlws.FILTER(_xlfn._xlws.FILTER(dataGLBSCF,ISNUMBER(_xlfn.XMATCH(dataGLBSAcctIDs,_xlfn._xlws.FILTER(PBC_ACCOUNT_LIST[Id], ((PBC_ACCOUNT_LIST[Cash Flow Section]="Cash from Investing Activities")*(PBC_ACCOUNT_LIST[Drivers Section]="Assets"))),0))),endDatesCF=BG$75)),0)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Equity")))),0))),endDatesCF=BG$75)),0)-IFERROR(SUM(_xlfn._xlws.FILTER(_xlfn._xlws.FILTER(dataGLBSCF,ISNUMBER(_xlfn.XMATCH(dataGLBSAcctIDs,_xlfn._xlws.FILTER(PBC_ACCOUNT_LIST[Id],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Equity")))),0))),startDatesCF=EDATE(BG$74,-1))),0)</f>
        <v>0</v>
      </c>
      <c r="BH84" s="162" cm="1">
        <f t="array" ref="BH84">IFERROR(SUM(_xlfn._xlws.FILTER(_xlfn._xlws.FILTER(dataGLBSCF,ISNUMBER(_xlfn.XMATCH(dataGLBSAcctIDs,_xlfn._xlws.FILTER(PBC_ACCOUNT_LIST[Id], ((PBC_ACCOUNT_LIST[Cash Flow Section]="Cash from Investing Activities")*(PBC_ACCOUNT_LIST[Drivers Section]="Assets"))),0))),startDatesCF=EDATE(BH$74,-1))),0)-IFERROR(SUM(_xlfn._xlws.FILTER(_xlfn._xlws.FILTER(dataGLBSCF,ISNUMBER(_xlfn.XMATCH(dataGLBSAcctIDs,_xlfn._xlws.FILTER(PBC_ACCOUNT_LIST[Id], ((PBC_ACCOUNT_LIST[Cash Flow Section]="Cash from Investing Activities")*(PBC_ACCOUNT_LIST[Drivers Section]="Assets"))),0))),endDatesCF=BH$75)),0)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Equity")))),0))),endDatesCF=BH$75)),0)-IFERROR(SUM(_xlfn._xlws.FILTER(_xlfn._xlws.FILTER(dataGLBSCF,ISNUMBER(_xlfn.XMATCH(dataGLBSAcctIDs,_xlfn._xlws.FILTER(PBC_ACCOUNT_LIST[Id],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Equity")))),0))),startDatesCF=EDATE(BH$74,-1))),0)</f>
        <v>0</v>
      </c>
      <c r="BI84" s="162" cm="1">
        <f t="array" ref="BI84">IFERROR(SUM(_xlfn._xlws.FILTER(_xlfn._xlws.FILTER(dataGLBSCF,ISNUMBER(_xlfn.XMATCH(dataGLBSAcctIDs,_xlfn._xlws.FILTER(PBC_ACCOUNT_LIST[Id], ((PBC_ACCOUNT_LIST[Cash Flow Section]="Cash from Investing Activities")*(PBC_ACCOUNT_LIST[Drivers Section]="Assets"))),0))),startDatesCF=EDATE(BI$74,-1))),0)-IFERROR(SUM(_xlfn._xlws.FILTER(_xlfn._xlws.FILTER(dataGLBSCF,ISNUMBER(_xlfn.XMATCH(dataGLBSAcctIDs,_xlfn._xlws.FILTER(PBC_ACCOUNT_LIST[Id], ((PBC_ACCOUNT_LIST[Cash Flow Section]="Cash from Investing Activities")*(PBC_ACCOUNT_LIST[Drivers Section]="Assets"))),0))),endDatesCF=BI$75)),0)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Equity")))),0))),endDatesCF=BI$75)),0)-IFERROR(SUM(_xlfn._xlws.FILTER(_xlfn._xlws.FILTER(dataGLBSCF,ISNUMBER(_xlfn.XMATCH(dataGLBSAcctIDs,_xlfn._xlws.FILTER(PBC_ACCOUNT_LIST[Id],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Equity")))),0))),startDatesCF=EDATE(BI$74,-1))),0)</f>
        <v>0</v>
      </c>
      <c r="BJ84" s="162" cm="1">
        <f t="array" ref="BJ84">IFERROR(SUM(_xlfn._xlws.FILTER(_xlfn._xlws.FILTER(dataGLBSCF,ISNUMBER(_xlfn.XMATCH(dataGLBSAcctIDs,_xlfn._xlws.FILTER(PBC_ACCOUNT_LIST[Id], ((PBC_ACCOUNT_LIST[Cash Flow Section]="Cash from Investing Activities")*(PBC_ACCOUNT_LIST[Drivers Section]="Assets"))),0))),startDatesCF=EDATE(BJ$74,-1))),0)-IFERROR(SUM(_xlfn._xlws.FILTER(_xlfn._xlws.FILTER(dataGLBSCF,ISNUMBER(_xlfn.XMATCH(dataGLBSAcctIDs,_xlfn._xlws.FILTER(PBC_ACCOUNT_LIST[Id], ((PBC_ACCOUNT_LIST[Cash Flow Section]="Cash from Investing Activities")*(PBC_ACCOUNT_LIST[Drivers Section]="Assets"))),0))),endDatesCF=BJ$75)),0)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Equity")))),0))),endDatesCF=BJ$75)),0)-IFERROR(SUM(_xlfn._xlws.FILTER(_xlfn._xlws.FILTER(dataGLBSCF,ISNUMBER(_xlfn.XMATCH(dataGLBSAcctIDs,_xlfn._xlws.FILTER(PBC_ACCOUNT_LIST[Id],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Equity")))),0))),startDatesCF=EDATE(BJ$74,-1))),0)</f>
        <v>0</v>
      </c>
      <c r="BK84" s="162" cm="1">
        <f t="array" ref="BK84">IFERROR(SUM(_xlfn._xlws.FILTER(_xlfn._xlws.FILTER(dataGLBSCF,ISNUMBER(_xlfn.XMATCH(dataGLBSAcctIDs,_xlfn._xlws.FILTER(PBC_ACCOUNT_LIST[Id], ((PBC_ACCOUNT_LIST[Cash Flow Section]="Cash from Investing Activities")*(PBC_ACCOUNT_LIST[Drivers Section]="Assets"))),0))),startDatesCF=EDATE(BK$74,-1))),0)-IFERROR(SUM(_xlfn._xlws.FILTER(_xlfn._xlws.FILTER(dataGLBSCF,ISNUMBER(_xlfn.XMATCH(dataGLBSAcctIDs,_xlfn._xlws.FILTER(PBC_ACCOUNT_LIST[Id], ((PBC_ACCOUNT_LIST[Cash Flow Section]="Cash from Investing Activities")*(PBC_ACCOUNT_LIST[Drivers Section]="Assets"))),0))),endDatesCF=BK$75)),0)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Equity")))),0))),endDatesCF=BK$75)),0)-IFERROR(SUM(_xlfn._xlws.FILTER(_xlfn._xlws.FILTER(dataGLBSCF,ISNUMBER(_xlfn.XMATCH(dataGLBSAcctIDs,_xlfn._xlws.FILTER(PBC_ACCOUNT_LIST[Id],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Equity")))),0))),startDatesCF=EDATE(BK$74,-1))),0)</f>
        <v>0</v>
      </c>
      <c r="BL84" s="162" cm="1">
        <f t="array" ref="BL84">IFERROR(SUM(_xlfn._xlws.FILTER(_xlfn._xlws.FILTER(dataGLBSCF,ISNUMBER(_xlfn.XMATCH(dataGLBSAcctIDs,_xlfn._xlws.FILTER(PBC_ACCOUNT_LIST[Id], ((PBC_ACCOUNT_LIST[Cash Flow Section]="Cash from Investing Activities")*(PBC_ACCOUNT_LIST[Drivers Section]="Assets"))),0))),startDatesCF=EDATE(BL$74,-1))),0)-IFERROR(SUM(_xlfn._xlws.FILTER(_xlfn._xlws.FILTER(dataGLBSCF,ISNUMBER(_xlfn.XMATCH(dataGLBSAcctIDs,_xlfn._xlws.FILTER(PBC_ACCOUNT_LIST[Id], ((PBC_ACCOUNT_LIST[Cash Flow Section]="Cash from Investing Activities")*(PBC_ACCOUNT_LIST[Drivers Section]="Assets"))),0))),endDatesCF=BL$75)),0)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Equity")))),0))),endDatesCF=BL$75)),0)-IFERROR(SUM(_xlfn._xlws.FILTER(_xlfn._xlws.FILTER(dataGLBSCF,ISNUMBER(_xlfn.XMATCH(dataGLBSAcctIDs,_xlfn._xlws.FILTER(PBC_ACCOUNT_LIST[Id],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Equity")))),0))),startDatesCF=EDATE(BL$74,-1))),0)</f>
        <v>0</v>
      </c>
      <c r="BM84" s="162" cm="1">
        <f t="array" ref="BM84">IFERROR(SUM(_xlfn._xlws.FILTER(_xlfn._xlws.FILTER(dataGLBSCF,ISNUMBER(_xlfn.XMATCH(dataGLBSAcctIDs,_xlfn._xlws.FILTER(PBC_ACCOUNT_LIST[Id], ((PBC_ACCOUNT_LIST[Cash Flow Section]="Cash from Investing Activities")*(PBC_ACCOUNT_LIST[Drivers Section]="Assets"))),0))),startDatesCF=EDATE(BM$74,-1))),0)-IFERROR(SUM(_xlfn._xlws.FILTER(_xlfn._xlws.FILTER(dataGLBSCF,ISNUMBER(_xlfn.XMATCH(dataGLBSAcctIDs,_xlfn._xlws.FILTER(PBC_ACCOUNT_LIST[Id], ((PBC_ACCOUNT_LIST[Cash Flow Section]="Cash from Investing Activities")*(PBC_ACCOUNT_LIST[Drivers Section]="Assets"))),0))),endDatesCF=BM$75)),0)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Equity")))),0))),endDatesCF=BM$75)),0)-IFERROR(SUM(_xlfn._xlws.FILTER(_xlfn._xlws.FILTER(dataGLBSCF,ISNUMBER(_xlfn.XMATCH(dataGLBSAcctIDs,_xlfn._xlws.FILTER(PBC_ACCOUNT_LIST[Id],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Equity")))),0))),startDatesCF=EDATE(BM$74,-1))),0)</f>
        <v>0</v>
      </c>
      <c r="BN84" s="162" cm="1">
        <f t="array" ref="BN84">IFERROR(SUM(_xlfn._xlws.FILTER(_xlfn._xlws.FILTER(dataGLBSCF,ISNUMBER(_xlfn.XMATCH(dataGLBSAcctIDs,_xlfn._xlws.FILTER(PBC_ACCOUNT_LIST[Id], ((PBC_ACCOUNT_LIST[Cash Flow Section]="Cash from Investing Activities")*(PBC_ACCOUNT_LIST[Drivers Section]="Assets"))),0))),startDatesCF=EDATE(BN$74,-1))),0)-IFERROR(SUM(_xlfn._xlws.FILTER(_xlfn._xlws.FILTER(dataGLBSCF,ISNUMBER(_xlfn.XMATCH(dataGLBSAcctIDs,_xlfn._xlws.FILTER(PBC_ACCOUNT_LIST[Id], ((PBC_ACCOUNT_LIST[Cash Flow Section]="Cash from Investing Activities")*(PBC_ACCOUNT_LIST[Drivers Section]="Assets"))),0))),endDatesCF=BN$75)),0)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Equity")))),0))),endDatesCF=BN$75)),0)-IFERROR(SUM(_xlfn._xlws.FILTER(_xlfn._xlws.FILTER(dataGLBSCF,ISNUMBER(_xlfn.XMATCH(dataGLBSAcctIDs,_xlfn._xlws.FILTER(PBC_ACCOUNT_LIST[Id],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Equity")))),0))),startDatesCF=EDATE(BN$74,-1))),0)</f>
        <v>0</v>
      </c>
      <c r="BO84" s="162" cm="1">
        <f t="array" ref="BO84">IFERROR(SUM(_xlfn._xlws.FILTER(_xlfn._xlws.FILTER(dataGLBSCF,ISNUMBER(_xlfn.XMATCH(dataGLBSAcctIDs,_xlfn._xlws.FILTER(PBC_ACCOUNT_LIST[Id], ((PBC_ACCOUNT_LIST[Cash Flow Section]="Cash from Investing Activities")*(PBC_ACCOUNT_LIST[Drivers Section]="Assets"))),0))),startDatesCF=EDATE(BO$74,-1))),0)-IFERROR(SUM(_xlfn._xlws.FILTER(_xlfn._xlws.FILTER(dataGLBSCF,ISNUMBER(_xlfn.XMATCH(dataGLBSAcctIDs,_xlfn._xlws.FILTER(PBC_ACCOUNT_LIST[Id], ((PBC_ACCOUNT_LIST[Cash Flow Section]="Cash from Investing Activities")*(PBC_ACCOUNT_LIST[Drivers Section]="Assets"))),0))),endDatesCF=BO$75)),0)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Equity")))),0))),endDatesCF=BO$75)),0)-IFERROR(SUM(_xlfn._xlws.FILTER(_xlfn._xlws.FILTER(dataGLBSCF,ISNUMBER(_xlfn.XMATCH(dataGLBSAcctIDs,_xlfn._xlws.FILTER(PBC_ACCOUNT_LIST[Id],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Equity")))),0))),startDatesCF=EDATE(BO$74,-1))),0)</f>
        <v>0</v>
      </c>
      <c r="BP84" s="162" cm="1">
        <f t="array" ref="BP84">IFERROR(SUM(_xlfn._xlws.FILTER(_xlfn._xlws.FILTER(dataGLBSCF,ISNUMBER(_xlfn.XMATCH(dataGLBSAcctIDs,_xlfn._xlws.FILTER(PBC_ACCOUNT_LIST[Id], ((PBC_ACCOUNT_LIST[Cash Flow Section]="Cash from Investing Activities")*(PBC_ACCOUNT_LIST[Drivers Section]="Assets"))),0))),startDatesCF=EDATE(BP$74,-1))),0)-IFERROR(SUM(_xlfn._xlws.FILTER(_xlfn._xlws.FILTER(dataGLBSCF,ISNUMBER(_xlfn.XMATCH(dataGLBSAcctIDs,_xlfn._xlws.FILTER(PBC_ACCOUNT_LIST[Id], ((PBC_ACCOUNT_LIST[Cash Flow Section]="Cash from Investing Activities")*(PBC_ACCOUNT_LIST[Drivers Section]="Assets"))),0))),endDatesCF=BP$75)),0)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Equity")))),0))),endDatesCF=BP$75)),0)-IFERROR(SUM(_xlfn._xlws.FILTER(_xlfn._xlws.FILTER(dataGLBSCF,ISNUMBER(_xlfn.XMATCH(dataGLBSAcctIDs,_xlfn._xlws.FILTER(PBC_ACCOUNT_LIST[Id],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Equity")))),0))),startDatesCF=EDATE(BP$74,-1))),0)</f>
        <v>0</v>
      </c>
      <c r="BQ84" s="162" cm="1">
        <f t="array" ref="BQ84">IFERROR(SUM(_xlfn._xlws.FILTER(_xlfn._xlws.FILTER(dataGLBSCF,ISNUMBER(_xlfn.XMATCH(dataGLBSAcctIDs,_xlfn._xlws.FILTER(PBC_ACCOUNT_LIST[Id], ((PBC_ACCOUNT_LIST[Cash Flow Section]="Cash from Investing Activities")*(PBC_ACCOUNT_LIST[Drivers Section]="Assets"))),0))),startDatesCF=EDATE(BQ$74,-1))),0)-IFERROR(SUM(_xlfn._xlws.FILTER(_xlfn._xlws.FILTER(dataGLBSCF,ISNUMBER(_xlfn.XMATCH(dataGLBSAcctIDs,_xlfn._xlws.FILTER(PBC_ACCOUNT_LIST[Id], ((PBC_ACCOUNT_LIST[Cash Flow Section]="Cash from Investing Activities")*(PBC_ACCOUNT_LIST[Drivers Section]="Assets"))),0))),endDatesCF=BQ$75)),0)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Equity")))),0))),endDatesCF=BQ$75)),0)-IFERROR(SUM(_xlfn._xlws.FILTER(_xlfn._xlws.FILTER(dataGLBSCF,ISNUMBER(_xlfn.XMATCH(dataGLBSAcctIDs,_xlfn._xlws.FILTER(PBC_ACCOUNT_LIST[Id],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Equity")))),0))),startDatesCF=EDATE(BQ$74,-1))),0)</f>
        <v>0</v>
      </c>
      <c r="BR84" s="162" cm="1">
        <f t="array" ref="BR84">IFERROR(SUM(_xlfn._xlws.FILTER(_xlfn._xlws.FILTER(dataGLBSCF,ISNUMBER(_xlfn.XMATCH(dataGLBSAcctIDs,_xlfn._xlws.FILTER(PBC_ACCOUNT_LIST[Id], ((PBC_ACCOUNT_LIST[Cash Flow Section]="Cash from Investing Activities")*(PBC_ACCOUNT_LIST[Drivers Section]="Assets"))),0))),startDatesCF=EDATE(BR$74,-1))),0)-IFERROR(SUM(_xlfn._xlws.FILTER(_xlfn._xlws.FILTER(dataGLBSCF,ISNUMBER(_xlfn.XMATCH(dataGLBSAcctIDs,_xlfn._xlws.FILTER(PBC_ACCOUNT_LIST[Id], ((PBC_ACCOUNT_LIST[Cash Flow Section]="Cash from Investing Activities")*(PBC_ACCOUNT_LIST[Drivers Section]="Assets"))),0))),endDatesCF=BR$75)),0)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Equity")))),0))),endDatesCF=BR$75)),0)-IFERROR(SUM(_xlfn._xlws.FILTER(_xlfn._xlws.FILTER(dataGLBSCF,ISNUMBER(_xlfn.XMATCH(dataGLBSAcctIDs,_xlfn._xlws.FILTER(PBC_ACCOUNT_LIST[Id],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Equity")))),0))),startDatesCF=EDATE(BR$74,-1))),0)</f>
        <v>0</v>
      </c>
      <c r="BS84" s="162" cm="1">
        <f t="array" ref="BS84">IFERROR(SUM(_xlfn._xlws.FILTER(_xlfn._xlws.FILTER(dataGLBSCF,ISNUMBER(_xlfn.XMATCH(dataGLBSAcctIDs,_xlfn._xlws.FILTER(PBC_ACCOUNT_LIST[Id], ((PBC_ACCOUNT_LIST[Cash Flow Section]="Cash from Investing Activities")*(PBC_ACCOUNT_LIST[Drivers Section]="Assets"))),0))),startDatesCF=EDATE(BS$74,-1))),0)-IFERROR(SUM(_xlfn._xlws.FILTER(_xlfn._xlws.FILTER(dataGLBSCF,ISNUMBER(_xlfn.XMATCH(dataGLBSAcctIDs,_xlfn._xlws.FILTER(PBC_ACCOUNT_LIST[Id], ((PBC_ACCOUNT_LIST[Cash Flow Section]="Cash from Investing Activities")*(PBC_ACCOUNT_LIST[Drivers Section]="Assets"))),0))),endDatesCF=BS$75)),0)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Equity")))),0))),endDatesCF=BS$75)),0)-IFERROR(SUM(_xlfn._xlws.FILTER(_xlfn._xlws.FILTER(dataGLBSCF,ISNUMBER(_xlfn.XMATCH(dataGLBSAcctIDs,_xlfn._xlws.FILTER(PBC_ACCOUNT_LIST[Id],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Equity")))),0))),startDatesCF=EDATE(BS$74,-1))),0)</f>
        <v>0</v>
      </c>
      <c r="BT84" s="162" cm="1">
        <f t="array" ref="BT84">IFERROR(SUM(_xlfn._xlws.FILTER(_xlfn._xlws.FILTER(dataGLBSCF,ISNUMBER(_xlfn.XMATCH(dataGLBSAcctIDs,_xlfn._xlws.FILTER(PBC_ACCOUNT_LIST[Id], ((PBC_ACCOUNT_LIST[Cash Flow Section]="Cash from Investing Activities")*(PBC_ACCOUNT_LIST[Drivers Section]="Assets"))),0))),startDatesCF=EDATE(BT$74,-1))),0)-IFERROR(SUM(_xlfn._xlws.FILTER(_xlfn._xlws.FILTER(dataGLBSCF,ISNUMBER(_xlfn.XMATCH(dataGLBSAcctIDs,_xlfn._xlws.FILTER(PBC_ACCOUNT_LIST[Id], ((PBC_ACCOUNT_LIST[Cash Flow Section]="Cash from Investing Activities")*(PBC_ACCOUNT_LIST[Drivers Section]="Assets"))),0))),endDatesCF=BT$75)),0)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Equity")))),0))),endDatesCF=BT$75)),0)-IFERROR(SUM(_xlfn._xlws.FILTER(_xlfn._xlws.FILTER(dataGLBSCF,ISNUMBER(_xlfn.XMATCH(dataGLBSAcctIDs,_xlfn._xlws.FILTER(PBC_ACCOUNT_LIST[Id],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Equity")))),0))),startDatesCF=EDATE(BT$74,-1))),0)</f>
        <v>0</v>
      </c>
      <c r="BU84" s="162" cm="1">
        <f t="array" ref="BU84">IFERROR(SUM(_xlfn._xlws.FILTER(_xlfn._xlws.FILTER(dataGLBSCF,ISNUMBER(_xlfn.XMATCH(dataGLBSAcctIDs,_xlfn._xlws.FILTER(PBC_ACCOUNT_LIST[Id], ((PBC_ACCOUNT_LIST[Cash Flow Section]="Cash from Investing Activities")*(PBC_ACCOUNT_LIST[Drivers Section]="Assets"))),0))),startDatesCF=EDATE(BU$74,-1))),0)-IFERROR(SUM(_xlfn._xlws.FILTER(_xlfn._xlws.FILTER(dataGLBSCF,ISNUMBER(_xlfn.XMATCH(dataGLBSAcctIDs,_xlfn._xlws.FILTER(PBC_ACCOUNT_LIST[Id], ((PBC_ACCOUNT_LIST[Cash Flow Section]="Cash from Investing Activities")*(PBC_ACCOUNT_LIST[Drivers Section]="Assets"))),0))),endDatesCF=BU$75)),0)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Equity")))),0))),endDatesCF=BU$75)),0)-IFERROR(SUM(_xlfn._xlws.FILTER(_xlfn._xlws.FILTER(dataGLBSCF,ISNUMBER(_xlfn.XMATCH(dataGLBSAcctIDs,_xlfn._xlws.FILTER(PBC_ACCOUNT_LIST[Id],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Equity")))),0))),startDatesCF=EDATE(BU$74,-1))),0)</f>
        <v>-20000</v>
      </c>
      <c r="BV84" s="162" cm="1">
        <f t="array" ref="BV84">IFERROR(SUM(_xlfn._xlws.FILTER(_xlfn._xlws.FILTER(dataGLBSCF,ISNUMBER(_xlfn.XMATCH(dataGLBSAcctIDs,_xlfn._xlws.FILTER(PBC_ACCOUNT_LIST[Id], ((PBC_ACCOUNT_LIST[Cash Flow Section]="Cash from Investing Activities")*(PBC_ACCOUNT_LIST[Drivers Section]="Assets"))),0))),startDatesCF=EDATE(BV$74,-1))),0)-IFERROR(SUM(_xlfn._xlws.FILTER(_xlfn._xlws.FILTER(dataGLBSCF,ISNUMBER(_xlfn.XMATCH(dataGLBSAcctIDs,_xlfn._xlws.FILTER(PBC_ACCOUNT_LIST[Id], ((PBC_ACCOUNT_LIST[Cash Flow Section]="Cash from Investing Activities")*(PBC_ACCOUNT_LIST[Drivers Section]="Assets"))),0))),endDatesCF=BV$75)),0)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Equity")))),0))),endDatesCF=BV$75)),0)-IFERROR(SUM(_xlfn._xlws.FILTER(_xlfn._xlws.FILTER(dataGLBSCF,ISNUMBER(_xlfn.XMATCH(dataGLBSAcctIDs,_xlfn._xlws.FILTER(PBC_ACCOUNT_LIST[Id],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Equity")))),0))),startDatesCF=EDATE(BV$74,-1))),0)</f>
        <v>0</v>
      </c>
      <c r="BW84" s="162" cm="1">
        <f t="array" ref="BW84">IFERROR(SUM(_xlfn._xlws.FILTER(_xlfn._xlws.FILTER(dataGLBSCF,ISNUMBER(_xlfn.XMATCH(dataGLBSAcctIDs,_xlfn._xlws.FILTER(PBC_ACCOUNT_LIST[Id], ((PBC_ACCOUNT_LIST[Cash Flow Section]="Cash from Investing Activities")*(PBC_ACCOUNT_LIST[Drivers Section]="Assets"))),0))),startDatesCF=EDATE(BW$74,-1))),0)-IFERROR(SUM(_xlfn._xlws.FILTER(_xlfn._xlws.FILTER(dataGLBSCF,ISNUMBER(_xlfn.XMATCH(dataGLBSAcctIDs,_xlfn._xlws.FILTER(PBC_ACCOUNT_LIST[Id], ((PBC_ACCOUNT_LIST[Cash Flow Section]="Cash from Investing Activities")*(PBC_ACCOUNT_LIST[Drivers Section]="Assets"))),0))),endDatesCF=BW$75)),0)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Equity")))),0))),endDatesCF=BW$75)),0)-IFERROR(SUM(_xlfn._xlws.FILTER(_xlfn._xlws.FILTER(dataGLBSCF,ISNUMBER(_xlfn.XMATCH(dataGLBSAcctIDs,_xlfn._xlws.FILTER(PBC_ACCOUNT_LIST[Id],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Equity")))),0))),startDatesCF=EDATE(BW$74,-1))),0)</f>
        <v>-10000</v>
      </c>
      <c r="BX84" s="162" cm="1">
        <f t="array" ref="BX84">IFERROR(SUM(_xlfn._xlws.FILTER(_xlfn._xlws.FILTER(dataGLBSCF,ISNUMBER(_xlfn.XMATCH(dataGLBSAcctIDs,_xlfn._xlws.FILTER(PBC_ACCOUNT_LIST[Id], ((PBC_ACCOUNT_LIST[Cash Flow Section]="Cash from Investing Activities")*(PBC_ACCOUNT_LIST[Drivers Section]="Assets"))),0))),startDatesCF=EDATE(BX$74,-1))),0)-IFERROR(SUM(_xlfn._xlws.FILTER(_xlfn._xlws.FILTER(dataGLBSCF,ISNUMBER(_xlfn.XMATCH(dataGLBSAcctIDs,_xlfn._xlws.FILTER(PBC_ACCOUNT_LIST[Id], ((PBC_ACCOUNT_LIST[Cash Flow Section]="Cash from Investing Activities")*(PBC_ACCOUNT_LIST[Drivers Section]="Assets"))),0))),endDatesCF=BX$75)),0)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Equity")))),0))),endDatesCF=BX$75)),0)-IFERROR(SUM(_xlfn._xlws.FILTER(_xlfn._xlws.FILTER(dataGLBSCF,ISNUMBER(_xlfn.XMATCH(dataGLBSAcctIDs,_xlfn._xlws.FILTER(PBC_ACCOUNT_LIST[Id],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Equity")))),0))),startDatesCF=EDATE(BX$74,-1))),0)</f>
        <v>0</v>
      </c>
      <c r="BY84" s="162" cm="1">
        <f t="array" ref="BY84">IFERROR(SUM(_xlfn._xlws.FILTER(_xlfn._xlws.FILTER(dataGLBSCF,ISNUMBER(_xlfn.XMATCH(dataGLBSAcctIDs,_xlfn._xlws.FILTER(PBC_ACCOUNT_LIST[Id], ((PBC_ACCOUNT_LIST[Cash Flow Section]="Cash from Investing Activities")*(PBC_ACCOUNT_LIST[Drivers Section]="Assets"))),0))),startDatesCF=EDATE(BY$74,-1))),0)-IFERROR(SUM(_xlfn._xlws.FILTER(_xlfn._xlws.FILTER(dataGLBSCF,ISNUMBER(_xlfn.XMATCH(dataGLBSAcctIDs,_xlfn._xlws.FILTER(PBC_ACCOUNT_LIST[Id], ((PBC_ACCOUNT_LIST[Cash Flow Section]="Cash from Investing Activities")*(PBC_ACCOUNT_LIST[Drivers Section]="Assets"))),0))),endDatesCF=BY$75)),0)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Equity")))),0))),endDatesCF=BY$75)),0)-IFERROR(SUM(_xlfn._xlws.FILTER(_xlfn._xlws.FILTER(dataGLBSCF,ISNUMBER(_xlfn.XMATCH(dataGLBSAcctIDs,_xlfn._xlws.FILTER(PBC_ACCOUNT_LIST[Id],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Equity")))),0))),startDatesCF=EDATE(BY$74,-1))),0)</f>
        <v>0</v>
      </c>
      <c r="BZ84" s="162" cm="1">
        <f t="array" ref="BZ84">IFERROR(SUM(_xlfn._xlws.FILTER(_xlfn._xlws.FILTER(dataGLBSCF,ISNUMBER(_xlfn.XMATCH(dataGLBSAcctIDs,_xlfn._xlws.FILTER(PBC_ACCOUNT_LIST[Id], ((PBC_ACCOUNT_LIST[Cash Flow Section]="Cash from Investing Activities")*(PBC_ACCOUNT_LIST[Drivers Section]="Assets"))),0))),startDatesCF=EDATE(BZ$74,-1))),0)-IFERROR(SUM(_xlfn._xlws.FILTER(_xlfn._xlws.FILTER(dataGLBSCF,ISNUMBER(_xlfn.XMATCH(dataGLBSAcctIDs,_xlfn._xlws.FILTER(PBC_ACCOUNT_LIST[Id], ((PBC_ACCOUNT_LIST[Cash Flow Section]="Cash from Investing Activities")*(PBC_ACCOUNT_LIST[Drivers Section]="Assets"))),0))),endDatesCF=BZ$75)),0)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Equity")))),0))),endDatesCF=BZ$75)),0)-IFERROR(SUM(_xlfn._xlws.FILTER(_xlfn._xlws.FILTER(dataGLBSCF,ISNUMBER(_xlfn.XMATCH(dataGLBSAcctIDs,_xlfn._xlws.FILTER(PBC_ACCOUNT_LIST[Id],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Equity")))),0))),startDatesCF=EDATE(BZ$74,-1))),0)</f>
        <v>-15000</v>
      </c>
      <c r="CA84" s="162" cm="1">
        <f t="array" ref="CA84">IFERROR(SUM(_xlfn._xlws.FILTER(_xlfn._xlws.FILTER(dataGLBSCF,ISNUMBER(_xlfn.XMATCH(dataGLBSAcctIDs,_xlfn._xlws.FILTER(PBC_ACCOUNT_LIST[Id], ((PBC_ACCOUNT_LIST[Cash Flow Section]="Cash from Investing Activities")*(PBC_ACCOUNT_LIST[Drivers Section]="Assets"))),0))),startDatesCF=EDATE(CA$74,-1))),0)-IFERROR(SUM(_xlfn._xlws.FILTER(_xlfn._xlws.FILTER(dataGLBSCF,ISNUMBER(_xlfn.XMATCH(dataGLBSAcctIDs,_xlfn._xlws.FILTER(PBC_ACCOUNT_LIST[Id], ((PBC_ACCOUNT_LIST[Cash Flow Section]="Cash from Investing Activities")*(PBC_ACCOUNT_LIST[Drivers Section]="Assets"))),0))),endDatesCF=CA$75)),0)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Equity")))),0))),endDatesCF=CA$75)),0)-IFERROR(SUM(_xlfn._xlws.FILTER(_xlfn._xlws.FILTER(dataGLBSCF,ISNUMBER(_xlfn.XMATCH(dataGLBSAcctIDs,_xlfn._xlws.FILTER(PBC_ACCOUNT_LIST[Id],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Equity")))),0))),startDatesCF=EDATE(CA$74,-1))),0)</f>
        <v>0</v>
      </c>
      <c r="CB84" s="162" cm="1">
        <f t="array" ref="CB84">IFERROR(SUM(_xlfn._xlws.FILTER(_xlfn._xlws.FILTER(dataGLBSCF,ISNUMBER(_xlfn.XMATCH(dataGLBSAcctIDs,_xlfn._xlws.FILTER(PBC_ACCOUNT_LIST[Id], ((PBC_ACCOUNT_LIST[Cash Flow Section]="Cash from Investing Activities")*(PBC_ACCOUNT_LIST[Drivers Section]="Assets"))),0))),startDatesCF=EDATE(CB$74,-1))),0)-IFERROR(SUM(_xlfn._xlws.FILTER(_xlfn._xlws.FILTER(dataGLBSCF,ISNUMBER(_xlfn.XMATCH(dataGLBSAcctIDs,_xlfn._xlws.FILTER(PBC_ACCOUNT_LIST[Id], ((PBC_ACCOUNT_LIST[Cash Flow Section]="Cash from Investing Activities")*(PBC_ACCOUNT_LIST[Drivers Section]="Assets"))),0))),endDatesCF=CB$75)),0)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Equity")))),0))),endDatesCF=CB$75)),0)-IFERROR(SUM(_xlfn._xlws.FILTER(_xlfn._xlws.FILTER(dataGLBSCF,ISNUMBER(_xlfn.XMATCH(dataGLBSAcctIDs,_xlfn._xlws.FILTER(PBC_ACCOUNT_LIST[Id],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Equity")))),0))),startDatesCF=EDATE(CB$74,-1))),0)</f>
        <v>0</v>
      </c>
      <c r="CC84" s="162" cm="1">
        <f t="array" ref="CC84">IFERROR(SUM(_xlfn._xlws.FILTER(_xlfn._xlws.FILTER(dataGLBSCF,ISNUMBER(_xlfn.XMATCH(dataGLBSAcctIDs,_xlfn._xlws.FILTER(PBC_ACCOUNT_LIST[Id], ((PBC_ACCOUNT_LIST[Cash Flow Section]="Cash from Investing Activities")*(PBC_ACCOUNT_LIST[Drivers Section]="Assets"))),0))),startDatesCF=EDATE(CC$74,-1))),0)-IFERROR(SUM(_xlfn._xlws.FILTER(_xlfn._xlws.FILTER(dataGLBSCF,ISNUMBER(_xlfn.XMATCH(dataGLBSAcctIDs,_xlfn._xlws.FILTER(PBC_ACCOUNT_LIST[Id], ((PBC_ACCOUNT_LIST[Cash Flow Section]="Cash from Investing Activities")*(PBC_ACCOUNT_LIST[Drivers Section]="Assets"))),0))),endDatesCF=CC$75)),0)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Equity")))),0))),endDatesCF=CC$75)),0)-IFERROR(SUM(_xlfn._xlws.FILTER(_xlfn._xlws.FILTER(dataGLBSCF,ISNUMBER(_xlfn.XMATCH(dataGLBSAcctIDs,_xlfn._xlws.FILTER(PBC_ACCOUNT_LIST[Id],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Equity")))),0))),startDatesCF=EDATE(CC$74,-1))),0)</f>
        <v>0</v>
      </c>
      <c r="CD84" s="162" cm="1">
        <f t="array" ref="CD84">IFERROR(SUM(_xlfn._xlws.FILTER(_xlfn._xlws.FILTER(dataGLBSCF,ISNUMBER(_xlfn.XMATCH(dataGLBSAcctIDs,_xlfn._xlws.FILTER(PBC_ACCOUNT_LIST[Id], ((PBC_ACCOUNT_LIST[Cash Flow Section]="Cash from Investing Activities")*(PBC_ACCOUNT_LIST[Drivers Section]="Assets"))),0))),startDatesCF=EDATE(CD$74,-1))),0)-IFERROR(SUM(_xlfn._xlws.FILTER(_xlfn._xlws.FILTER(dataGLBSCF,ISNUMBER(_xlfn.XMATCH(dataGLBSAcctIDs,_xlfn._xlws.FILTER(PBC_ACCOUNT_LIST[Id], ((PBC_ACCOUNT_LIST[Cash Flow Section]="Cash from Investing Activities")*(PBC_ACCOUNT_LIST[Drivers Section]="Assets"))),0))),endDatesCF=CD$75)),0)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Equity")))),0))),endDatesCF=CD$75)),0)-IFERROR(SUM(_xlfn._xlws.FILTER(_xlfn._xlws.FILTER(dataGLBSCF,ISNUMBER(_xlfn.XMATCH(dataGLBSAcctIDs,_xlfn._xlws.FILTER(PBC_ACCOUNT_LIST[Id],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Equity")))),0))),startDatesCF=EDATE(CD$74,-1))),0)</f>
        <v>0</v>
      </c>
      <c r="CE84" s="162" cm="1">
        <f t="array" ref="CE84">IFERROR(SUM(_xlfn._xlws.FILTER(_xlfn._xlws.FILTER(dataGLBSCF,ISNUMBER(_xlfn.XMATCH(dataGLBSAcctIDs,_xlfn._xlws.FILTER(PBC_ACCOUNT_LIST[Id], ((PBC_ACCOUNT_LIST[Cash Flow Section]="Cash from Investing Activities")*(PBC_ACCOUNT_LIST[Drivers Section]="Assets"))),0))),startDatesCF=EDATE(CE$74,-1))),0)-IFERROR(SUM(_xlfn._xlws.FILTER(_xlfn._xlws.FILTER(dataGLBSCF,ISNUMBER(_xlfn.XMATCH(dataGLBSAcctIDs,_xlfn._xlws.FILTER(PBC_ACCOUNT_LIST[Id], ((PBC_ACCOUNT_LIST[Cash Flow Section]="Cash from Investing Activities")*(PBC_ACCOUNT_LIST[Drivers Section]="Assets"))),0))),endDatesCF=CE$75)),0)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Equity")))),0))),endDatesCF=CE$75)),0)-IFERROR(SUM(_xlfn._xlws.FILTER(_xlfn._xlws.FILTER(dataGLBSCF,ISNUMBER(_xlfn.XMATCH(dataGLBSAcctIDs,_xlfn._xlws.FILTER(PBC_ACCOUNT_LIST[Id],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Equity")))),0))),startDatesCF=EDATE(CE$74,-1))),0)</f>
        <v>0</v>
      </c>
      <c r="CF84" s="162" cm="1">
        <f t="array" ref="CF84">IFERROR(SUM(_xlfn._xlws.FILTER(_xlfn._xlws.FILTER(dataGLBSCF,ISNUMBER(_xlfn.XMATCH(dataGLBSAcctIDs,_xlfn._xlws.FILTER(PBC_ACCOUNT_LIST[Id], ((PBC_ACCOUNT_LIST[Cash Flow Section]="Cash from Investing Activities")*(PBC_ACCOUNT_LIST[Drivers Section]="Assets"))),0))),startDatesCF=EDATE(CF$74,-1))),0)-IFERROR(SUM(_xlfn._xlws.FILTER(_xlfn._xlws.FILTER(dataGLBSCF,ISNUMBER(_xlfn.XMATCH(dataGLBSAcctIDs,_xlfn._xlws.FILTER(PBC_ACCOUNT_LIST[Id], ((PBC_ACCOUNT_LIST[Cash Flow Section]="Cash from Investing Activities")*(PBC_ACCOUNT_LIST[Drivers Section]="Assets"))),0))),endDatesCF=CF$75)),0)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Equity")))),0))),endDatesCF=CF$75)),0)-IFERROR(SUM(_xlfn._xlws.FILTER(_xlfn._xlws.FILTER(dataGLBSCF,ISNUMBER(_xlfn.XMATCH(dataGLBSAcctIDs,_xlfn._xlws.FILTER(PBC_ACCOUNT_LIST[Id],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Equity")))),0))),startDatesCF=EDATE(CF$74,-1))),0)</f>
        <v>0</v>
      </c>
      <c r="CG84" s="162" cm="1">
        <f t="array" ref="CG84">IFERROR(SUM(_xlfn._xlws.FILTER(_xlfn._xlws.FILTER(dataGLBSCF,ISNUMBER(_xlfn.XMATCH(dataGLBSAcctIDs,_xlfn._xlws.FILTER(PBC_ACCOUNT_LIST[Id], ((PBC_ACCOUNT_LIST[Cash Flow Section]="Cash from Investing Activities")*(PBC_ACCOUNT_LIST[Drivers Section]="Assets"))),0))),startDatesCF=EDATE(CG$74,-1))),0)-IFERROR(SUM(_xlfn._xlws.FILTER(_xlfn._xlws.FILTER(dataGLBSCF,ISNUMBER(_xlfn.XMATCH(dataGLBSAcctIDs,_xlfn._xlws.FILTER(PBC_ACCOUNT_LIST[Id], ((PBC_ACCOUNT_LIST[Cash Flow Section]="Cash from Investing Activities")*(PBC_ACCOUNT_LIST[Drivers Section]="Assets"))),0))),endDatesCF=CG$75)),0) +IFERROR(SUM(_xlfn._xlws.FILTER(_xlfn._xlws.FILTER(dataGLBSCF,ISNUMBER(_xlfn.XMATCH(dataGLBSAcctIDs,_xlfn._xlws.FILTER(PBC_ACCOUNT_LIST[Id], ((PBC_ACCOUNT_LIST[Cash Flow Section]="Cash from Investing Activities")*((PBC_ACCOUNT_LIST[Drivers Section]="Liabilities")+(PBC_ACCOUNT_LIST[Drivers Section]="Owners Equity")))),0))),endDatesCF=CG$75)),0)-IFERROR(SUM(_xlfn._xlws.FILTER(_xlfn._xlws.FILTER(dataGLBSCF,ISNUMBER(_xlfn.XMATCH(dataGLBSAcctIDs,_xlfn._xlws.FILTER(PBC_ACCOUNT_LIST[Id], ((PBC_ACCOUNT_LIST[Cash Flow Section]="Cash from Investing Activities")*((PBC_ACCOUNT_LIST[Drivers Section]="Liabilities")+(PBC_ACCOUNT_LIST[Drivers Section]="Owners Equity")))),0))),startDatesCF=EDATE(CG$74,-1))),0)</f>
        <v>0</v>
      </c>
    </row>
    <row r="85" spans="1:85" outlineLevel="1" collapsed="1">
      <c r="A85" s="157"/>
      <c r="B85" s="157"/>
      <c r="C85" s="163" t="s">
        <v>173</v>
      </c>
      <c r="D85" s="163"/>
      <c r="F85" s="163"/>
      <c r="G85" s="163"/>
      <c r="J85" s="162" cm="1">
        <f t="array" ref="J85">IFERROR(SUM(_xlfn._xlws.FILTER(_xlfn._xlws.FILTER(dataGLBSCF,ISNUMBER(_xlfn.XMATCH(dataGLBSAcctIDs,_xlfn._xlws.FILTER(PBC_ACCOUNT_LIST[Id], ((PBC_ACCOUNT_LIST[Cash Flow Section]="Cash from Financing Activities")*(PBC_ACCOUNT_LIST[Drivers Section]="Assets"))),0))),startDatesCF=EDATE(J$74,-1))),0)-IFERROR(SUM(_xlfn._xlws.FILTER(_xlfn._xlws.FILTER(dataGLBSCF,ISNUMBER(_xlfn.XMATCH(dataGLBSAcctIDs,_xlfn._xlws.FILTER(PBC_ACCOUNT_LIST[Id], ((PBC_ACCOUNT_LIST[Cash Flow Section]="Cash from Financing Activities")*(PBC_ACCOUNT_LIST[Drivers Section]="Assets"))),0))),endDatesCF=J$75)),0)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Equity")))),0))),endDatesCF=J$75)),0)-IFERROR(SUM(_xlfn._xlws.FILTER(_xlfn._xlws.FILTER(dataGLBSCF,ISNUMBER(_xlfn.XMATCH(dataGLBSAcctIDs,_xlfn._xlws.FILTER(PBC_ACCOUNT_LIST[Id],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Equity")))),0))),startDatesCF=EDATE(J$74,-1))),0)+J86</f>
        <v>0</v>
      </c>
      <c r="K85" s="162" cm="1">
        <f t="array" ref="K85">IFERROR(SUM(_xlfn._xlws.FILTER(_xlfn._xlws.FILTER(dataGLBSCF,ISNUMBER(_xlfn.XMATCH(dataGLBSAcctIDs,_xlfn._xlws.FILTER(PBC_ACCOUNT_LIST[Id], ((PBC_ACCOUNT_LIST[Cash Flow Section]="Cash from Financing Activities")*(PBC_ACCOUNT_LIST[Drivers Section]="Assets"))),0))),startDatesCF=EDATE(K$74,-1))),0)-IFERROR(SUM(_xlfn._xlws.FILTER(_xlfn._xlws.FILTER(dataGLBSCF,ISNUMBER(_xlfn.XMATCH(dataGLBSAcctIDs,_xlfn._xlws.FILTER(PBC_ACCOUNT_LIST[Id], ((PBC_ACCOUNT_LIST[Cash Flow Section]="Cash from Financing Activities")*(PBC_ACCOUNT_LIST[Drivers Section]="Assets"))),0))),endDatesCF=K$75)),0)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Equity")))),0))),endDatesCF=K$75)),0)-IFERROR(SUM(_xlfn._xlws.FILTER(_xlfn._xlws.FILTER(dataGLBSCF,ISNUMBER(_xlfn.XMATCH(dataGLBSAcctIDs,_xlfn._xlws.FILTER(PBC_ACCOUNT_LIST[Id],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Equity")))),0))),startDatesCF=EDATE(K$74,-1))),0)+K86</f>
        <v>0</v>
      </c>
      <c r="N85" s="162" cm="1">
        <f t="array" ref="N85">IFERROR(SUM(_xlfn._xlws.FILTER(_xlfn._xlws.FILTER(dataGLBSCF,ISNUMBER(_xlfn.XMATCH(dataGLBSAcctIDs,_xlfn._xlws.FILTER(PBC_ACCOUNT_LIST[Id], ((PBC_ACCOUNT_LIST[Cash Flow Section]="Cash from Financing Activities")*(PBC_ACCOUNT_LIST[Drivers Section]="Assets"))),0))),startDatesCF=EDATE(N$74,-1))),0)-IFERROR(SUM(_xlfn._xlws.FILTER(_xlfn._xlws.FILTER(dataGLBSCF,ISNUMBER(_xlfn.XMATCH(dataGLBSAcctIDs,_xlfn._xlws.FILTER(PBC_ACCOUNT_LIST[Id], ((PBC_ACCOUNT_LIST[Cash Flow Section]="Cash from Financing Activities")*(PBC_ACCOUNT_LIST[Drivers Section]="Assets"))),0))),endDatesCF=N$75)),0)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Equity")))),0))),endDatesCF=N$75)),0)-IFERROR(SUM(_xlfn._xlws.FILTER(_xlfn._xlws.FILTER(dataGLBSCF,ISNUMBER(_xlfn.XMATCH(dataGLBSAcctIDs,_xlfn._xlws.FILTER(PBC_ACCOUNT_LIST[Id],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Equity")))),0))),startDatesCF=EDATE(N$74,-1))),0)+N86</f>
        <v>5030000</v>
      </c>
      <c r="O85" s="162" cm="1">
        <f t="array" ref="O85">IFERROR(SUM(_xlfn._xlws.FILTER(_xlfn._xlws.FILTER(dataGLBSCF,ISNUMBER(_xlfn.XMATCH(dataGLBSAcctIDs,_xlfn._xlws.FILTER(PBC_ACCOUNT_LIST[Id], ((PBC_ACCOUNT_LIST[Cash Flow Section]="Cash from Financing Activities")*(PBC_ACCOUNT_LIST[Drivers Section]="Assets"))),0))),startDatesCF=EDATE(O$74,-1))),0)-IFERROR(SUM(_xlfn._xlws.FILTER(_xlfn._xlws.FILTER(dataGLBSCF,ISNUMBER(_xlfn.XMATCH(dataGLBSAcctIDs,_xlfn._xlws.FILTER(PBC_ACCOUNT_LIST[Id], ((PBC_ACCOUNT_LIST[Cash Flow Section]="Cash from Financing Activities")*(PBC_ACCOUNT_LIST[Drivers Section]="Assets"))),0))),endDatesCF=O$75)),0)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Equity")))),0))),endDatesCF=O$75)),0)-IFERROR(SUM(_xlfn._xlws.FILTER(_xlfn._xlws.FILTER(dataGLBSCF,ISNUMBER(_xlfn.XMATCH(dataGLBSAcctIDs,_xlfn._xlws.FILTER(PBC_ACCOUNT_LIST[Id],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Equity")))),0))),startDatesCF=EDATE(O$74,-1))),0)+O86</f>
        <v>0</v>
      </c>
      <c r="P85" s="162" cm="1">
        <f t="array" ref="P85">IFERROR(SUM(_xlfn._xlws.FILTER(_xlfn._xlws.FILTER(dataGLBSCF,ISNUMBER(_xlfn.XMATCH(dataGLBSAcctIDs,_xlfn._xlws.FILTER(PBC_ACCOUNT_LIST[Id], ((PBC_ACCOUNT_LIST[Cash Flow Section]="Cash from Financing Activities")*(PBC_ACCOUNT_LIST[Drivers Section]="Assets"))),0))),startDatesCF=EDATE(P$74,-1))),0)-IFERROR(SUM(_xlfn._xlws.FILTER(_xlfn._xlws.FILTER(dataGLBSCF,ISNUMBER(_xlfn.XMATCH(dataGLBSAcctIDs,_xlfn._xlws.FILTER(PBC_ACCOUNT_LIST[Id], ((PBC_ACCOUNT_LIST[Cash Flow Section]="Cash from Financing Activities")*(PBC_ACCOUNT_LIST[Drivers Section]="Assets"))),0))),endDatesCF=P$75)),0)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Equity")))),0))),endDatesCF=P$75)),0)-IFERROR(SUM(_xlfn._xlws.FILTER(_xlfn._xlws.FILTER(dataGLBSCF,ISNUMBER(_xlfn.XMATCH(dataGLBSAcctIDs,_xlfn._xlws.FILTER(PBC_ACCOUNT_LIST[Id],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Equity")))),0))),startDatesCF=EDATE(P$74,-1))),0)+P86</f>
        <v>1000000</v>
      </c>
      <c r="Q85" s="162" cm="1">
        <f t="array" ref="Q85">IFERROR(SUM(_xlfn._xlws.FILTER(_xlfn._xlws.FILTER(dataGLBSCF,ISNUMBER(_xlfn.XMATCH(dataGLBSAcctIDs,_xlfn._xlws.FILTER(PBC_ACCOUNT_LIST[Id], ((PBC_ACCOUNT_LIST[Cash Flow Section]="Cash from Financing Activities")*(PBC_ACCOUNT_LIST[Drivers Section]="Assets"))),0))),startDatesCF=EDATE(Q$74,-1))),0)-IFERROR(SUM(_xlfn._xlws.FILTER(_xlfn._xlws.FILTER(dataGLBSCF,ISNUMBER(_xlfn.XMATCH(dataGLBSAcctIDs,_xlfn._xlws.FILTER(PBC_ACCOUNT_LIST[Id], ((PBC_ACCOUNT_LIST[Cash Flow Section]="Cash from Financing Activities")*(PBC_ACCOUNT_LIST[Drivers Section]="Assets"))),0))),endDatesCF=Q$75)),0)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Equity")))),0))),endDatesCF=Q$75)),0)-IFERROR(SUM(_xlfn._xlws.FILTER(_xlfn._xlws.FILTER(dataGLBSCF,ISNUMBER(_xlfn.XMATCH(dataGLBSAcctIDs,_xlfn._xlws.FILTER(PBC_ACCOUNT_LIST[Id],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Equity")))),0))),startDatesCF=EDATE(Q$74,-1))),0)+Q86</f>
        <v>0</v>
      </c>
      <c r="T85" s="162" cm="1">
        <f t="array" ref="T85">IFERROR(SUM(_xlfn._xlws.FILTER(_xlfn._xlws.FILTER(dataGLBSCF,ISNUMBER(_xlfn.XMATCH(dataGLBSAcctIDs,_xlfn._xlws.FILTER(PBC_ACCOUNT_LIST[Id], ((PBC_ACCOUNT_LIST[Cash Flow Section]="Cash from Financing Activities")*(PBC_ACCOUNT_LIST[Drivers Section]="Assets"))),0))),startDatesCF=EDATE(T$74,-1))),0)-IFERROR(SUM(_xlfn._xlws.FILTER(_xlfn._xlws.FILTER(dataGLBSCF,ISNUMBER(_xlfn.XMATCH(dataGLBSAcctIDs,_xlfn._xlws.FILTER(PBC_ACCOUNT_LIST[Id], ((PBC_ACCOUNT_LIST[Cash Flow Section]="Cash from Financing Activities")*(PBC_ACCOUNT_LIST[Drivers Section]="Assets"))),0))),endDatesCF=T$75)),0)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Equity")))),0))),endDatesCF=T$75)),0)-IFERROR(SUM(_xlfn._xlws.FILTER(_xlfn._xlws.FILTER(dataGLBSCF,ISNUMBER(_xlfn.XMATCH(dataGLBSAcctIDs,_xlfn._xlws.FILTER(PBC_ACCOUNT_LIST[Id],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Equity")))),0))),startDatesCF=EDATE(T$74,-1))),0)+T86</f>
        <v>1007500</v>
      </c>
      <c r="U85" s="162" cm="1">
        <f t="array" ref="U85">IFERROR(SUM(_xlfn._xlws.FILTER(_xlfn._xlws.FILTER(dataGLBSCF,ISNUMBER(_xlfn.XMATCH(dataGLBSAcctIDs,_xlfn._xlws.FILTER(PBC_ACCOUNT_LIST[Id], ((PBC_ACCOUNT_LIST[Cash Flow Section]="Cash from Financing Activities")*(PBC_ACCOUNT_LIST[Drivers Section]="Assets"))),0))),startDatesCF=EDATE(U$74,-1))),0)-IFERROR(SUM(_xlfn._xlws.FILTER(_xlfn._xlws.FILTER(dataGLBSCF,ISNUMBER(_xlfn.XMATCH(dataGLBSAcctIDs,_xlfn._xlws.FILTER(PBC_ACCOUNT_LIST[Id], ((PBC_ACCOUNT_LIST[Cash Flow Section]="Cash from Financing Activities")*(PBC_ACCOUNT_LIST[Drivers Section]="Assets"))),0))),endDatesCF=U$75)),0)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Equity")))),0))),endDatesCF=U$75)),0)-IFERROR(SUM(_xlfn._xlws.FILTER(_xlfn._xlws.FILTER(dataGLBSCF,ISNUMBER(_xlfn.XMATCH(dataGLBSAcctIDs,_xlfn._xlws.FILTER(PBC_ACCOUNT_LIST[Id],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Equity")))),0))),startDatesCF=EDATE(U$74,-1))),0)+U86</f>
        <v>1507500</v>
      </c>
      <c r="V85" s="162" cm="1">
        <f t="array" ref="V85">IFERROR(SUM(_xlfn._xlws.FILTER(_xlfn._xlws.FILTER(dataGLBSCF,ISNUMBER(_xlfn.XMATCH(dataGLBSAcctIDs,_xlfn._xlws.FILTER(PBC_ACCOUNT_LIST[Id], ((PBC_ACCOUNT_LIST[Cash Flow Section]="Cash from Financing Activities")*(PBC_ACCOUNT_LIST[Drivers Section]="Assets"))),0))),startDatesCF=EDATE(V$74,-1))),0)-IFERROR(SUM(_xlfn._xlws.FILTER(_xlfn._xlws.FILTER(dataGLBSCF,ISNUMBER(_xlfn.XMATCH(dataGLBSAcctIDs,_xlfn._xlws.FILTER(PBC_ACCOUNT_LIST[Id], ((PBC_ACCOUNT_LIST[Cash Flow Section]="Cash from Financing Activities")*(PBC_ACCOUNT_LIST[Drivers Section]="Assets"))),0))),endDatesCF=V$75)),0)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Equity")))),0))),endDatesCF=V$75)),0)-IFERROR(SUM(_xlfn._xlws.FILTER(_xlfn._xlws.FILTER(dataGLBSCF,ISNUMBER(_xlfn.XMATCH(dataGLBSAcctIDs,_xlfn._xlws.FILTER(PBC_ACCOUNT_LIST[Id],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Equity")))),0))),startDatesCF=EDATE(V$74,-1))),0)+V86</f>
        <v>7500</v>
      </c>
      <c r="W85" s="162" cm="1">
        <f t="array" ref="W85">IFERROR(SUM(_xlfn._xlws.FILTER(_xlfn._xlws.FILTER(dataGLBSCF,ISNUMBER(_xlfn.XMATCH(dataGLBSAcctIDs,_xlfn._xlws.FILTER(PBC_ACCOUNT_LIST[Id], ((PBC_ACCOUNT_LIST[Cash Flow Section]="Cash from Financing Activities")*(PBC_ACCOUNT_LIST[Drivers Section]="Assets"))),0))),startDatesCF=EDATE(W$74,-1))),0)-IFERROR(SUM(_xlfn._xlws.FILTER(_xlfn._xlws.FILTER(dataGLBSCF,ISNUMBER(_xlfn.XMATCH(dataGLBSAcctIDs,_xlfn._xlws.FILTER(PBC_ACCOUNT_LIST[Id], ((PBC_ACCOUNT_LIST[Cash Flow Section]="Cash from Financing Activities")*(PBC_ACCOUNT_LIST[Drivers Section]="Assets"))),0))),endDatesCF=W$75)),0)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Equity")))),0))),endDatesCF=W$75)),0)-IFERROR(SUM(_xlfn._xlws.FILTER(_xlfn._xlws.FILTER(dataGLBSCF,ISNUMBER(_xlfn.XMATCH(dataGLBSAcctIDs,_xlfn._xlws.FILTER(PBC_ACCOUNT_LIST[Id],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Equity")))),0))),startDatesCF=EDATE(W$74,-1))),0)+W86</f>
        <v>2507500</v>
      </c>
      <c r="X85" s="162" cm="1">
        <f t="array" ref="X85">IFERROR(SUM(_xlfn._xlws.FILTER(_xlfn._xlws.FILTER(dataGLBSCF,ISNUMBER(_xlfn.XMATCH(dataGLBSAcctIDs,_xlfn._xlws.FILTER(PBC_ACCOUNT_LIST[Id], ((PBC_ACCOUNT_LIST[Cash Flow Section]="Cash from Financing Activities")*(PBC_ACCOUNT_LIST[Drivers Section]="Assets"))),0))),startDatesCF=EDATE(X$74,-1))),0)-IFERROR(SUM(_xlfn._xlws.FILTER(_xlfn._xlws.FILTER(dataGLBSCF,ISNUMBER(_xlfn.XMATCH(dataGLBSAcctIDs,_xlfn._xlws.FILTER(PBC_ACCOUNT_LIST[Id], ((PBC_ACCOUNT_LIST[Cash Flow Section]="Cash from Financing Activities")*(PBC_ACCOUNT_LIST[Drivers Section]="Assets"))),0))),endDatesCF=X$75)),0)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Equity")))),0))),endDatesCF=X$75)),0)-IFERROR(SUM(_xlfn._xlws.FILTER(_xlfn._xlws.FILTER(dataGLBSCF,ISNUMBER(_xlfn.XMATCH(dataGLBSAcctIDs,_xlfn._xlws.FILTER(PBC_ACCOUNT_LIST[Id],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Equity")))),0))),startDatesCF=EDATE(X$74,-1))),0)+X86</f>
        <v>0</v>
      </c>
      <c r="Y85" s="162" cm="1">
        <f t="array" ref="Y85">IFERROR(SUM(_xlfn._xlws.FILTER(_xlfn._xlws.FILTER(dataGLBSCF,ISNUMBER(_xlfn.XMATCH(dataGLBSAcctIDs,_xlfn._xlws.FILTER(PBC_ACCOUNT_LIST[Id], ((PBC_ACCOUNT_LIST[Cash Flow Section]="Cash from Financing Activities")*(PBC_ACCOUNT_LIST[Drivers Section]="Assets"))),0))),startDatesCF=EDATE(Y$74,-1))),0)-IFERROR(SUM(_xlfn._xlws.FILTER(_xlfn._xlws.FILTER(dataGLBSCF,ISNUMBER(_xlfn.XMATCH(dataGLBSAcctIDs,_xlfn._xlws.FILTER(PBC_ACCOUNT_LIST[Id], ((PBC_ACCOUNT_LIST[Cash Flow Section]="Cash from Financing Activities")*(PBC_ACCOUNT_LIST[Drivers Section]="Assets"))),0))),endDatesCF=Y$75)),0)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Equity")))),0))),endDatesCF=Y$75)),0)-IFERROR(SUM(_xlfn._xlws.FILTER(_xlfn._xlws.FILTER(dataGLBSCF,ISNUMBER(_xlfn.XMATCH(dataGLBSAcctIDs,_xlfn._xlws.FILTER(PBC_ACCOUNT_LIST[Id],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Equity")))),0))),startDatesCF=EDATE(Y$74,-1))),0)+Y86</f>
        <v>0</v>
      </c>
      <c r="Z85" s="162" cm="1">
        <f t="array" ref="Z85">IFERROR(SUM(_xlfn._xlws.FILTER(_xlfn._xlws.FILTER(dataGLBSCF,ISNUMBER(_xlfn.XMATCH(dataGLBSAcctIDs,_xlfn._xlws.FILTER(PBC_ACCOUNT_LIST[Id], ((PBC_ACCOUNT_LIST[Cash Flow Section]="Cash from Financing Activities")*(PBC_ACCOUNT_LIST[Drivers Section]="Assets"))),0))),startDatesCF=EDATE(Z$74,-1))),0)-IFERROR(SUM(_xlfn._xlws.FILTER(_xlfn._xlws.FILTER(dataGLBSCF,ISNUMBER(_xlfn.XMATCH(dataGLBSAcctIDs,_xlfn._xlws.FILTER(PBC_ACCOUNT_LIST[Id], ((PBC_ACCOUNT_LIST[Cash Flow Section]="Cash from Financing Activities")*(PBC_ACCOUNT_LIST[Drivers Section]="Assets"))),0))),endDatesCF=Z$75)),0)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Equity")))),0))),endDatesCF=Z$75)),0)-IFERROR(SUM(_xlfn._xlws.FILTER(_xlfn._xlws.FILTER(dataGLBSCF,ISNUMBER(_xlfn.XMATCH(dataGLBSAcctIDs,_xlfn._xlws.FILTER(PBC_ACCOUNT_LIST[Id],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Equity")))),0))),startDatesCF=EDATE(Z$74,-1))),0)+Z86</f>
        <v>0</v>
      </c>
      <c r="AA85" s="162" cm="1">
        <f t="array" ref="AA85">IFERROR(SUM(_xlfn._xlws.FILTER(_xlfn._xlws.FILTER(dataGLBSCF,ISNUMBER(_xlfn.XMATCH(dataGLBSAcctIDs,_xlfn._xlws.FILTER(PBC_ACCOUNT_LIST[Id], ((PBC_ACCOUNT_LIST[Cash Flow Section]="Cash from Financing Activities")*(PBC_ACCOUNT_LIST[Drivers Section]="Assets"))),0))),startDatesCF=EDATE(AA$74,-1))),0)-IFERROR(SUM(_xlfn._xlws.FILTER(_xlfn._xlws.FILTER(dataGLBSCF,ISNUMBER(_xlfn.XMATCH(dataGLBSAcctIDs,_xlfn._xlws.FILTER(PBC_ACCOUNT_LIST[Id], ((PBC_ACCOUNT_LIST[Cash Flow Section]="Cash from Financing Activities")*(PBC_ACCOUNT_LIST[Drivers Section]="Assets"))),0))),endDatesCF=AA$75)),0)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Equity")))),0))),endDatesCF=AA$75)),0)-IFERROR(SUM(_xlfn._xlws.FILTER(_xlfn._xlws.FILTER(dataGLBSCF,ISNUMBER(_xlfn.XMATCH(dataGLBSAcctIDs,_xlfn._xlws.FILTER(PBC_ACCOUNT_LIST[Id],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Equity")))),0))),startDatesCF=EDATE(AA$74,-1))),0)+AA86</f>
        <v>0</v>
      </c>
      <c r="AB85" s="162" cm="1">
        <f t="array" ref="AB85">IFERROR(SUM(_xlfn._xlws.FILTER(_xlfn._xlws.FILTER(dataGLBSCF,ISNUMBER(_xlfn.XMATCH(dataGLBSAcctIDs,_xlfn._xlws.FILTER(PBC_ACCOUNT_LIST[Id], ((PBC_ACCOUNT_LIST[Cash Flow Section]="Cash from Financing Activities")*(PBC_ACCOUNT_LIST[Drivers Section]="Assets"))),0))),startDatesCF=EDATE(AB$74,-1))),0)-IFERROR(SUM(_xlfn._xlws.FILTER(_xlfn._xlws.FILTER(dataGLBSCF,ISNUMBER(_xlfn.XMATCH(dataGLBSAcctIDs,_xlfn._xlws.FILTER(PBC_ACCOUNT_LIST[Id], ((PBC_ACCOUNT_LIST[Cash Flow Section]="Cash from Financing Activities")*(PBC_ACCOUNT_LIST[Drivers Section]="Assets"))),0))),endDatesCF=AB$75)),0)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Equity")))),0))),endDatesCF=AB$75)),0)-IFERROR(SUM(_xlfn._xlws.FILTER(_xlfn._xlws.FILTER(dataGLBSCF,ISNUMBER(_xlfn.XMATCH(dataGLBSAcctIDs,_xlfn._xlws.FILTER(PBC_ACCOUNT_LIST[Id],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Equity")))),0))),startDatesCF=EDATE(AB$74,-1))),0)+AB86</f>
        <v>0</v>
      </c>
      <c r="AC85" s="162" cm="1">
        <f t="array" ref="AC85">IFERROR(SUM(_xlfn._xlws.FILTER(_xlfn._xlws.FILTER(dataGLBSCF,ISNUMBER(_xlfn.XMATCH(dataGLBSAcctIDs,_xlfn._xlws.FILTER(PBC_ACCOUNT_LIST[Id], ((PBC_ACCOUNT_LIST[Cash Flow Section]="Cash from Financing Activities")*(PBC_ACCOUNT_LIST[Drivers Section]="Assets"))),0))),startDatesCF=EDATE(AC$74,-1))),0)-IFERROR(SUM(_xlfn._xlws.FILTER(_xlfn._xlws.FILTER(dataGLBSCF,ISNUMBER(_xlfn.XMATCH(dataGLBSAcctIDs,_xlfn._xlws.FILTER(PBC_ACCOUNT_LIST[Id], ((PBC_ACCOUNT_LIST[Cash Flow Section]="Cash from Financing Activities")*(PBC_ACCOUNT_LIST[Drivers Section]="Assets"))),0))),endDatesCF=AC$75)),0)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Equity")))),0))),endDatesCF=AC$75)),0)-IFERROR(SUM(_xlfn._xlws.FILTER(_xlfn._xlws.FILTER(dataGLBSCF,ISNUMBER(_xlfn.XMATCH(dataGLBSAcctIDs,_xlfn._xlws.FILTER(PBC_ACCOUNT_LIST[Id],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Equity")))),0))),startDatesCF=EDATE(AC$74,-1))),0)+AC86</f>
        <v>0</v>
      </c>
      <c r="AD85" s="162" cm="1">
        <f t="array" ref="AD85">IFERROR(SUM(_xlfn._xlws.FILTER(_xlfn._xlws.FILTER(dataGLBSCF,ISNUMBER(_xlfn.XMATCH(dataGLBSAcctIDs,_xlfn._xlws.FILTER(PBC_ACCOUNT_LIST[Id], ((PBC_ACCOUNT_LIST[Cash Flow Section]="Cash from Financing Activities")*(PBC_ACCOUNT_LIST[Drivers Section]="Assets"))),0))),startDatesCF=EDATE(AD$74,-1))),0)-IFERROR(SUM(_xlfn._xlws.FILTER(_xlfn._xlws.FILTER(dataGLBSCF,ISNUMBER(_xlfn.XMATCH(dataGLBSAcctIDs,_xlfn._xlws.FILTER(PBC_ACCOUNT_LIST[Id], ((PBC_ACCOUNT_LIST[Cash Flow Section]="Cash from Financing Activities")*(PBC_ACCOUNT_LIST[Drivers Section]="Assets"))),0))),endDatesCF=AD$75)),0)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Equity")))),0))),endDatesCF=AD$75)),0)-IFERROR(SUM(_xlfn._xlws.FILTER(_xlfn._xlws.FILTER(dataGLBSCF,ISNUMBER(_xlfn.XMATCH(dataGLBSAcctIDs,_xlfn._xlws.FILTER(PBC_ACCOUNT_LIST[Id],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Equity")))),0))),startDatesCF=EDATE(AD$74,-1))),0)+AD86</f>
        <v>0</v>
      </c>
      <c r="AE85" s="162" cm="1">
        <f t="array" ref="AE85">IFERROR(SUM(_xlfn._xlws.FILTER(_xlfn._xlws.FILTER(dataGLBSCF,ISNUMBER(_xlfn.XMATCH(dataGLBSAcctIDs,_xlfn._xlws.FILTER(PBC_ACCOUNT_LIST[Id], ((PBC_ACCOUNT_LIST[Cash Flow Section]="Cash from Financing Activities")*(PBC_ACCOUNT_LIST[Drivers Section]="Assets"))),0))),startDatesCF=EDATE(AE$74,-1))),0)-IFERROR(SUM(_xlfn._xlws.FILTER(_xlfn._xlws.FILTER(dataGLBSCF,ISNUMBER(_xlfn.XMATCH(dataGLBSAcctIDs,_xlfn._xlws.FILTER(PBC_ACCOUNT_LIST[Id], ((PBC_ACCOUNT_LIST[Cash Flow Section]="Cash from Financing Activities")*(PBC_ACCOUNT_LIST[Drivers Section]="Assets"))),0))),endDatesCF=AE$75)),0)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Equity")))),0))),endDatesCF=AE$75)),0)-IFERROR(SUM(_xlfn._xlws.FILTER(_xlfn._xlws.FILTER(dataGLBSCF,ISNUMBER(_xlfn.XMATCH(dataGLBSAcctIDs,_xlfn._xlws.FILTER(PBC_ACCOUNT_LIST[Id],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Equity")))),0))),startDatesCF=EDATE(AE$74,-1))),0)+AE86</f>
        <v>1000000</v>
      </c>
      <c r="AF85" s="162" cm="1">
        <f t="array" ref="AF85">IFERROR(SUM(_xlfn._xlws.FILTER(_xlfn._xlws.FILTER(dataGLBSCF,ISNUMBER(_xlfn.XMATCH(dataGLBSAcctIDs,_xlfn._xlws.FILTER(PBC_ACCOUNT_LIST[Id], ((PBC_ACCOUNT_LIST[Cash Flow Section]="Cash from Financing Activities")*(PBC_ACCOUNT_LIST[Drivers Section]="Assets"))),0))),startDatesCF=EDATE(AF$74,-1))),0)-IFERROR(SUM(_xlfn._xlws.FILTER(_xlfn._xlws.FILTER(dataGLBSCF,ISNUMBER(_xlfn.XMATCH(dataGLBSAcctIDs,_xlfn._xlws.FILTER(PBC_ACCOUNT_LIST[Id], ((PBC_ACCOUNT_LIST[Cash Flow Section]="Cash from Financing Activities")*(PBC_ACCOUNT_LIST[Drivers Section]="Assets"))),0))),endDatesCF=AF$75)),0)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Equity")))),0))),endDatesCF=AF$75)),0)-IFERROR(SUM(_xlfn._xlws.FILTER(_xlfn._xlws.FILTER(dataGLBSCF,ISNUMBER(_xlfn.XMATCH(dataGLBSAcctIDs,_xlfn._xlws.FILTER(PBC_ACCOUNT_LIST[Id],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Equity")))),0))),startDatesCF=EDATE(AF$74,-1))),0)+AF86</f>
        <v>0</v>
      </c>
      <c r="AG85" s="162" cm="1">
        <f t="array" ref="AG85">IFERROR(SUM(_xlfn._xlws.FILTER(_xlfn._xlws.FILTER(dataGLBSCF,ISNUMBER(_xlfn.XMATCH(dataGLBSAcctIDs,_xlfn._xlws.FILTER(PBC_ACCOUNT_LIST[Id], ((PBC_ACCOUNT_LIST[Cash Flow Section]="Cash from Financing Activities")*(PBC_ACCOUNT_LIST[Drivers Section]="Assets"))),0))),startDatesCF=EDATE(AG$74,-1))),0)-IFERROR(SUM(_xlfn._xlws.FILTER(_xlfn._xlws.FILTER(dataGLBSCF,ISNUMBER(_xlfn.XMATCH(dataGLBSAcctIDs,_xlfn._xlws.FILTER(PBC_ACCOUNT_LIST[Id], ((PBC_ACCOUNT_LIST[Cash Flow Section]="Cash from Financing Activities")*(PBC_ACCOUNT_LIST[Drivers Section]="Assets"))),0))),endDatesCF=AG$75)),0)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Equity")))),0))),endDatesCF=AG$75)),0)-IFERROR(SUM(_xlfn._xlws.FILTER(_xlfn._xlws.FILTER(dataGLBSCF,ISNUMBER(_xlfn.XMATCH(dataGLBSAcctIDs,_xlfn._xlws.FILTER(PBC_ACCOUNT_LIST[Id],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Equity")))),0))),startDatesCF=EDATE(AG$74,-1))),0)+AG86</f>
        <v>0</v>
      </c>
      <c r="AH85" s="162" cm="1">
        <f t="array" ref="AH85">IFERROR(SUM(_xlfn._xlws.FILTER(_xlfn._xlws.FILTER(dataGLBSCF,ISNUMBER(_xlfn.XMATCH(dataGLBSAcctIDs,_xlfn._xlws.FILTER(PBC_ACCOUNT_LIST[Id], ((PBC_ACCOUNT_LIST[Cash Flow Section]="Cash from Financing Activities")*(PBC_ACCOUNT_LIST[Drivers Section]="Assets"))),0))),startDatesCF=EDATE(AH$74,-1))),0)-IFERROR(SUM(_xlfn._xlws.FILTER(_xlfn._xlws.FILTER(dataGLBSCF,ISNUMBER(_xlfn.XMATCH(dataGLBSAcctIDs,_xlfn._xlws.FILTER(PBC_ACCOUNT_LIST[Id], ((PBC_ACCOUNT_LIST[Cash Flow Section]="Cash from Financing Activities")*(PBC_ACCOUNT_LIST[Drivers Section]="Assets"))),0))),endDatesCF=AH$75)),0)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Equity")))),0))),endDatesCF=AH$75)),0)-IFERROR(SUM(_xlfn._xlws.FILTER(_xlfn._xlws.FILTER(dataGLBSCF,ISNUMBER(_xlfn.XMATCH(dataGLBSAcctIDs,_xlfn._xlws.FILTER(PBC_ACCOUNT_LIST[Id],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Equity")))),0))),startDatesCF=EDATE(AH$74,-1))),0)+AH86</f>
        <v>0</v>
      </c>
      <c r="AI85" s="162" cm="1">
        <f t="array" ref="AI85">IFERROR(SUM(_xlfn._xlws.FILTER(_xlfn._xlws.FILTER(dataGLBSCF,ISNUMBER(_xlfn.XMATCH(dataGLBSAcctIDs,_xlfn._xlws.FILTER(PBC_ACCOUNT_LIST[Id], ((PBC_ACCOUNT_LIST[Cash Flow Section]="Cash from Financing Activities")*(PBC_ACCOUNT_LIST[Drivers Section]="Assets"))),0))),startDatesCF=EDATE(AI$74,-1))),0)-IFERROR(SUM(_xlfn._xlws.FILTER(_xlfn._xlws.FILTER(dataGLBSCF,ISNUMBER(_xlfn.XMATCH(dataGLBSAcctIDs,_xlfn._xlws.FILTER(PBC_ACCOUNT_LIST[Id], ((PBC_ACCOUNT_LIST[Cash Flow Section]="Cash from Financing Activities")*(PBC_ACCOUNT_LIST[Drivers Section]="Assets"))),0))),endDatesCF=AI$75)),0)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Equity")))),0))),endDatesCF=AI$75)),0)-IFERROR(SUM(_xlfn._xlws.FILTER(_xlfn._xlws.FILTER(dataGLBSCF,ISNUMBER(_xlfn.XMATCH(dataGLBSAcctIDs,_xlfn._xlws.FILTER(PBC_ACCOUNT_LIST[Id],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Equity")))),0))),startDatesCF=EDATE(AI$74,-1))),0)+AI86</f>
        <v>0</v>
      </c>
      <c r="AL85" s="162" cm="1">
        <f t="array" ref="AL85">IFERROR(SUM(_xlfn._xlws.FILTER(_xlfn._xlws.FILTER(dataGLBSCF,ISNUMBER(_xlfn.XMATCH(dataGLBSAcctIDs,_xlfn._xlws.FILTER(PBC_ACCOUNT_LIST[Id], ((PBC_ACCOUNT_LIST[Cash Flow Section]="Cash from Financing Activities")*(PBC_ACCOUNT_LIST[Drivers Section]="Assets"))),0))),startDatesCF=EDATE(AL$74,-1))),0)-IFERROR(SUM(_xlfn._xlws.FILTER(_xlfn._xlws.FILTER(dataGLBSCF,ISNUMBER(_xlfn.XMATCH(dataGLBSAcctIDs,_xlfn._xlws.FILTER(PBC_ACCOUNT_LIST[Id], ((PBC_ACCOUNT_LIST[Cash Flow Section]="Cash from Financing Activities")*(PBC_ACCOUNT_LIST[Drivers Section]="Assets"))),0))),endDatesCF=AL$75)),0)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Equity")))),0))),endDatesCF=AL$75)),0)-IFERROR(SUM(_xlfn._xlws.FILTER(_xlfn._xlws.FILTER(dataGLBSCF,ISNUMBER(_xlfn.XMATCH(dataGLBSAcctIDs,_xlfn._xlws.FILTER(PBC_ACCOUNT_LIST[Id],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Equity")))),0))),startDatesCF=EDATE(AL$74,-1))),0)+AL86</f>
        <v>1002500</v>
      </c>
      <c r="AM85" s="162" cm="1">
        <f t="array" ref="AM85">IFERROR(SUM(_xlfn._xlws.FILTER(_xlfn._xlws.FILTER(dataGLBSCF,ISNUMBER(_xlfn.XMATCH(dataGLBSAcctIDs,_xlfn._xlws.FILTER(PBC_ACCOUNT_LIST[Id], ((PBC_ACCOUNT_LIST[Cash Flow Section]="Cash from Financing Activities")*(PBC_ACCOUNT_LIST[Drivers Section]="Assets"))),0))),startDatesCF=EDATE(AM$74,-1))),0)-IFERROR(SUM(_xlfn._xlws.FILTER(_xlfn._xlws.FILTER(dataGLBSCF,ISNUMBER(_xlfn.XMATCH(dataGLBSAcctIDs,_xlfn._xlws.FILTER(PBC_ACCOUNT_LIST[Id], ((PBC_ACCOUNT_LIST[Cash Flow Section]="Cash from Financing Activities")*(PBC_ACCOUNT_LIST[Drivers Section]="Assets"))),0))),endDatesCF=AM$75)),0)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Equity")))),0))),endDatesCF=AM$75)),0)-IFERROR(SUM(_xlfn._xlws.FILTER(_xlfn._xlws.FILTER(dataGLBSCF,ISNUMBER(_xlfn.XMATCH(dataGLBSAcctIDs,_xlfn._xlws.FILTER(PBC_ACCOUNT_LIST[Id],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Equity")))),0))),startDatesCF=EDATE(AM$74,-1))),0)+AM86</f>
        <v>2500</v>
      </c>
      <c r="AN85" s="162" cm="1">
        <f t="array" ref="AN85">IFERROR(SUM(_xlfn._xlws.FILTER(_xlfn._xlws.FILTER(dataGLBSCF,ISNUMBER(_xlfn.XMATCH(dataGLBSAcctIDs,_xlfn._xlws.FILTER(PBC_ACCOUNT_LIST[Id], ((PBC_ACCOUNT_LIST[Cash Flow Section]="Cash from Financing Activities")*(PBC_ACCOUNT_LIST[Drivers Section]="Assets"))),0))),startDatesCF=EDATE(AN$74,-1))),0)-IFERROR(SUM(_xlfn._xlws.FILTER(_xlfn._xlws.FILTER(dataGLBSCF,ISNUMBER(_xlfn.XMATCH(dataGLBSAcctIDs,_xlfn._xlws.FILTER(PBC_ACCOUNT_LIST[Id], ((PBC_ACCOUNT_LIST[Cash Flow Section]="Cash from Financing Activities")*(PBC_ACCOUNT_LIST[Drivers Section]="Assets"))),0))),endDatesCF=AN$75)),0)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Equity")))),0))),endDatesCF=AN$75)),0)-IFERROR(SUM(_xlfn._xlws.FILTER(_xlfn._xlws.FILTER(dataGLBSCF,ISNUMBER(_xlfn.XMATCH(dataGLBSAcctIDs,_xlfn._xlws.FILTER(PBC_ACCOUNT_LIST[Id],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Equity")))),0))),startDatesCF=EDATE(AN$74,-1))),0)+AN86</f>
        <v>2500</v>
      </c>
      <c r="AO85" s="162" cm="1">
        <f t="array" ref="AO85">IFERROR(SUM(_xlfn._xlws.FILTER(_xlfn._xlws.FILTER(dataGLBSCF,ISNUMBER(_xlfn.XMATCH(dataGLBSAcctIDs,_xlfn._xlws.FILTER(PBC_ACCOUNT_LIST[Id], ((PBC_ACCOUNT_LIST[Cash Flow Section]="Cash from Financing Activities")*(PBC_ACCOUNT_LIST[Drivers Section]="Assets"))),0))),startDatesCF=EDATE(AO$74,-1))),0)-IFERROR(SUM(_xlfn._xlws.FILTER(_xlfn._xlws.FILTER(dataGLBSCF,ISNUMBER(_xlfn.XMATCH(dataGLBSAcctIDs,_xlfn._xlws.FILTER(PBC_ACCOUNT_LIST[Id], ((PBC_ACCOUNT_LIST[Cash Flow Section]="Cash from Financing Activities")*(PBC_ACCOUNT_LIST[Drivers Section]="Assets"))),0))),endDatesCF=AO$75)),0)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Equity")))),0))),endDatesCF=AO$75)),0)-IFERROR(SUM(_xlfn._xlws.FILTER(_xlfn._xlws.FILTER(dataGLBSCF,ISNUMBER(_xlfn.XMATCH(dataGLBSAcctIDs,_xlfn._xlws.FILTER(PBC_ACCOUNT_LIST[Id],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Equity")))),0))),startDatesCF=EDATE(AO$74,-1))),0)+AO86</f>
        <v>2500</v>
      </c>
      <c r="AP85" s="162" cm="1">
        <f t="array" ref="AP85">IFERROR(SUM(_xlfn._xlws.FILTER(_xlfn._xlws.FILTER(dataGLBSCF,ISNUMBER(_xlfn.XMATCH(dataGLBSAcctIDs,_xlfn._xlws.FILTER(PBC_ACCOUNT_LIST[Id], ((PBC_ACCOUNT_LIST[Cash Flow Section]="Cash from Financing Activities")*(PBC_ACCOUNT_LIST[Drivers Section]="Assets"))),0))),startDatesCF=EDATE(AP$74,-1))),0)-IFERROR(SUM(_xlfn._xlws.FILTER(_xlfn._xlws.FILTER(dataGLBSCF,ISNUMBER(_xlfn.XMATCH(dataGLBSAcctIDs,_xlfn._xlws.FILTER(PBC_ACCOUNT_LIST[Id], ((PBC_ACCOUNT_LIST[Cash Flow Section]="Cash from Financing Activities")*(PBC_ACCOUNT_LIST[Drivers Section]="Assets"))),0))),endDatesCF=AP$75)),0)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Equity")))),0))),endDatesCF=AP$75)),0)-IFERROR(SUM(_xlfn._xlws.FILTER(_xlfn._xlws.FILTER(dataGLBSCF,ISNUMBER(_xlfn.XMATCH(dataGLBSAcctIDs,_xlfn._xlws.FILTER(PBC_ACCOUNT_LIST[Id],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Equity")))),0))),startDatesCF=EDATE(AP$74,-1))),0)+AP86</f>
        <v>2500</v>
      </c>
      <c r="AQ85" s="162" cm="1">
        <f t="array" ref="AQ85">IFERROR(SUM(_xlfn._xlws.FILTER(_xlfn._xlws.FILTER(dataGLBSCF,ISNUMBER(_xlfn.XMATCH(dataGLBSAcctIDs,_xlfn._xlws.FILTER(PBC_ACCOUNT_LIST[Id], ((PBC_ACCOUNT_LIST[Cash Flow Section]="Cash from Financing Activities")*(PBC_ACCOUNT_LIST[Drivers Section]="Assets"))),0))),startDatesCF=EDATE(AQ$74,-1))),0)-IFERROR(SUM(_xlfn._xlws.FILTER(_xlfn._xlws.FILTER(dataGLBSCF,ISNUMBER(_xlfn.XMATCH(dataGLBSAcctIDs,_xlfn._xlws.FILTER(PBC_ACCOUNT_LIST[Id], ((PBC_ACCOUNT_LIST[Cash Flow Section]="Cash from Financing Activities")*(PBC_ACCOUNT_LIST[Drivers Section]="Assets"))),0))),endDatesCF=AQ$75)),0)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Equity")))),0))),endDatesCF=AQ$75)),0)-IFERROR(SUM(_xlfn._xlws.FILTER(_xlfn._xlws.FILTER(dataGLBSCF,ISNUMBER(_xlfn.XMATCH(dataGLBSAcctIDs,_xlfn._xlws.FILTER(PBC_ACCOUNT_LIST[Id],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Equity")))),0))),startDatesCF=EDATE(AQ$74,-1))),0)+AQ86</f>
        <v>1502500</v>
      </c>
      <c r="AR85" s="162" cm="1">
        <f t="array" ref="AR85">IFERROR(SUM(_xlfn._xlws.FILTER(_xlfn._xlws.FILTER(dataGLBSCF,ISNUMBER(_xlfn.XMATCH(dataGLBSAcctIDs,_xlfn._xlws.FILTER(PBC_ACCOUNT_LIST[Id], ((PBC_ACCOUNT_LIST[Cash Flow Section]="Cash from Financing Activities")*(PBC_ACCOUNT_LIST[Drivers Section]="Assets"))),0))),startDatesCF=EDATE(AR$74,-1))),0)-IFERROR(SUM(_xlfn._xlws.FILTER(_xlfn._xlws.FILTER(dataGLBSCF,ISNUMBER(_xlfn.XMATCH(dataGLBSAcctIDs,_xlfn._xlws.FILTER(PBC_ACCOUNT_LIST[Id], ((PBC_ACCOUNT_LIST[Cash Flow Section]="Cash from Financing Activities")*(PBC_ACCOUNT_LIST[Drivers Section]="Assets"))),0))),endDatesCF=AR$75)),0)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Equity")))),0))),endDatesCF=AR$75)),0)-IFERROR(SUM(_xlfn._xlws.FILTER(_xlfn._xlws.FILTER(dataGLBSCF,ISNUMBER(_xlfn.XMATCH(dataGLBSAcctIDs,_xlfn._xlws.FILTER(PBC_ACCOUNT_LIST[Id],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Equity")))),0))),startDatesCF=EDATE(AR$74,-1))),0)+AR86</f>
        <v>2500</v>
      </c>
      <c r="AS85" s="162" cm="1">
        <f t="array" ref="AS85">IFERROR(SUM(_xlfn._xlws.FILTER(_xlfn._xlws.FILTER(dataGLBSCF,ISNUMBER(_xlfn.XMATCH(dataGLBSAcctIDs,_xlfn._xlws.FILTER(PBC_ACCOUNT_LIST[Id], ((PBC_ACCOUNT_LIST[Cash Flow Section]="Cash from Financing Activities")*(PBC_ACCOUNT_LIST[Drivers Section]="Assets"))),0))),startDatesCF=EDATE(AS$74,-1))),0)-IFERROR(SUM(_xlfn._xlws.FILTER(_xlfn._xlws.FILTER(dataGLBSCF,ISNUMBER(_xlfn.XMATCH(dataGLBSAcctIDs,_xlfn._xlws.FILTER(PBC_ACCOUNT_LIST[Id], ((PBC_ACCOUNT_LIST[Cash Flow Section]="Cash from Financing Activities")*(PBC_ACCOUNT_LIST[Drivers Section]="Assets"))),0))),endDatesCF=AS$75)),0)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Equity")))),0))),endDatesCF=AS$75)),0)-IFERROR(SUM(_xlfn._xlws.FILTER(_xlfn._xlws.FILTER(dataGLBSCF,ISNUMBER(_xlfn.XMATCH(dataGLBSAcctIDs,_xlfn._xlws.FILTER(PBC_ACCOUNT_LIST[Id],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Equity")))),0))),startDatesCF=EDATE(AS$74,-1))),0)+AS86</f>
        <v>2500</v>
      </c>
      <c r="AT85" s="162" cm="1">
        <f t="array" ref="AT85">IFERROR(SUM(_xlfn._xlws.FILTER(_xlfn._xlws.FILTER(dataGLBSCF,ISNUMBER(_xlfn.XMATCH(dataGLBSAcctIDs,_xlfn._xlws.FILTER(PBC_ACCOUNT_LIST[Id], ((PBC_ACCOUNT_LIST[Cash Flow Section]="Cash from Financing Activities")*(PBC_ACCOUNT_LIST[Drivers Section]="Assets"))),0))),startDatesCF=EDATE(AT$74,-1))),0)-IFERROR(SUM(_xlfn._xlws.FILTER(_xlfn._xlws.FILTER(dataGLBSCF,ISNUMBER(_xlfn.XMATCH(dataGLBSAcctIDs,_xlfn._xlws.FILTER(PBC_ACCOUNT_LIST[Id], ((PBC_ACCOUNT_LIST[Cash Flow Section]="Cash from Financing Activities")*(PBC_ACCOUNT_LIST[Drivers Section]="Assets"))),0))),endDatesCF=AT$75)),0)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Equity")))),0))),endDatesCF=AT$75)),0)-IFERROR(SUM(_xlfn._xlws.FILTER(_xlfn._xlws.FILTER(dataGLBSCF,ISNUMBER(_xlfn.XMATCH(dataGLBSAcctIDs,_xlfn._xlws.FILTER(PBC_ACCOUNT_LIST[Id],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Equity")))),0))),startDatesCF=EDATE(AT$74,-1))),0)+AT86</f>
        <v>2500</v>
      </c>
      <c r="AU85" s="162" cm="1">
        <f t="array" ref="AU85">IFERROR(SUM(_xlfn._xlws.FILTER(_xlfn._xlws.FILTER(dataGLBSCF,ISNUMBER(_xlfn.XMATCH(dataGLBSAcctIDs,_xlfn._xlws.FILTER(PBC_ACCOUNT_LIST[Id], ((PBC_ACCOUNT_LIST[Cash Flow Section]="Cash from Financing Activities")*(PBC_ACCOUNT_LIST[Drivers Section]="Assets"))),0))),startDatesCF=EDATE(AU$74,-1))),0)-IFERROR(SUM(_xlfn._xlws.FILTER(_xlfn._xlws.FILTER(dataGLBSCF,ISNUMBER(_xlfn.XMATCH(dataGLBSAcctIDs,_xlfn._xlws.FILTER(PBC_ACCOUNT_LIST[Id], ((PBC_ACCOUNT_LIST[Cash Flow Section]="Cash from Financing Activities")*(PBC_ACCOUNT_LIST[Drivers Section]="Assets"))),0))),endDatesCF=AU$75)),0)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Equity")))),0))),endDatesCF=AU$75)),0)-IFERROR(SUM(_xlfn._xlws.FILTER(_xlfn._xlws.FILTER(dataGLBSCF,ISNUMBER(_xlfn.XMATCH(dataGLBSAcctIDs,_xlfn._xlws.FILTER(PBC_ACCOUNT_LIST[Id],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Equity")))),0))),startDatesCF=EDATE(AU$74,-1))),0)+AU86</f>
        <v>1007500</v>
      </c>
      <c r="AV85" s="162" cm="1">
        <f t="array" ref="AV85">IFERROR(SUM(_xlfn._xlws.FILTER(_xlfn._xlws.FILTER(dataGLBSCF,ISNUMBER(_xlfn.XMATCH(dataGLBSAcctIDs,_xlfn._xlws.FILTER(PBC_ACCOUNT_LIST[Id], ((PBC_ACCOUNT_LIST[Cash Flow Section]="Cash from Financing Activities")*(PBC_ACCOUNT_LIST[Drivers Section]="Assets"))),0))),startDatesCF=EDATE(AV$74,-1))),0)-IFERROR(SUM(_xlfn._xlws.FILTER(_xlfn._xlws.FILTER(dataGLBSCF,ISNUMBER(_xlfn.XMATCH(dataGLBSAcctIDs,_xlfn._xlws.FILTER(PBC_ACCOUNT_LIST[Id], ((PBC_ACCOUNT_LIST[Cash Flow Section]="Cash from Financing Activities")*(PBC_ACCOUNT_LIST[Drivers Section]="Assets"))),0))),endDatesCF=AV$75)),0)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Equity")))),0))),endDatesCF=AV$75)),0)-IFERROR(SUM(_xlfn._xlws.FILTER(_xlfn._xlws.FILTER(dataGLBSCF,ISNUMBER(_xlfn.XMATCH(dataGLBSAcctIDs,_xlfn._xlws.FILTER(PBC_ACCOUNT_LIST[Id],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Equity")))),0))),startDatesCF=EDATE(AV$74,-1))),0)+AV86</f>
        <v>500000</v>
      </c>
      <c r="AW85" s="162" cm="1">
        <f t="array" ref="AW85">IFERROR(SUM(_xlfn._xlws.FILTER(_xlfn._xlws.FILTER(dataGLBSCF,ISNUMBER(_xlfn.XMATCH(dataGLBSAcctIDs,_xlfn._xlws.FILTER(PBC_ACCOUNT_LIST[Id], ((PBC_ACCOUNT_LIST[Cash Flow Section]="Cash from Financing Activities")*(PBC_ACCOUNT_LIST[Drivers Section]="Assets"))),0))),startDatesCF=EDATE(AW$74,-1))),0)-IFERROR(SUM(_xlfn._xlws.FILTER(_xlfn._xlws.FILTER(dataGLBSCF,ISNUMBER(_xlfn.XMATCH(dataGLBSAcctIDs,_xlfn._xlws.FILTER(PBC_ACCOUNT_LIST[Id], ((PBC_ACCOUNT_LIST[Cash Flow Section]="Cash from Financing Activities")*(PBC_ACCOUNT_LIST[Drivers Section]="Assets"))),0))),endDatesCF=AW$75)),0)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Equity")))),0))),endDatesCF=AW$75)),0)-IFERROR(SUM(_xlfn._xlws.FILTER(_xlfn._xlws.FILTER(dataGLBSCF,ISNUMBER(_xlfn.XMATCH(dataGLBSAcctIDs,_xlfn._xlws.FILTER(PBC_ACCOUNT_LIST[Id],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Equity")))),0))),startDatesCF=EDATE(AW$74,-1))),0)+AW86</f>
        <v>1000000</v>
      </c>
      <c r="AX85" s="162" cm="1">
        <f t="array" ref="AX85">IFERROR(SUM(_xlfn._xlws.FILTER(_xlfn._xlws.FILTER(dataGLBSCF,ISNUMBER(_xlfn.XMATCH(dataGLBSAcctIDs,_xlfn._xlws.FILTER(PBC_ACCOUNT_LIST[Id], ((PBC_ACCOUNT_LIST[Cash Flow Section]="Cash from Financing Activities")*(PBC_ACCOUNT_LIST[Drivers Section]="Assets"))),0))),startDatesCF=EDATE(AX$74,-1))),0)-IFERROR(SUM(_xlfn._xlws.FILTER(_xlfn._xlws.FILTER(dataGLBSCF,ISNUMBER(_xlfn.XMATCH(dataGLBSAcctIDs,_xlfn._xlws.FILTER(PBC_ACCOUNT_LIST[Id], ((PBC_ACCOUNT_LIST[Cash Flow Section]="Cash from Financing Activities")*(PBC_ACCOUNT_LIST[Drivers Section]="Assets"))),0))),endDatesCF=AX$75)),0)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Equity")))),0))),endDatesCF=AX$75)),0)-IFERROR(SUM(_xlfn._xlws.FILTER(_xlfn._xlws.FILTER(dataGLBSCF,ISNUMBER(_xlfn.XMATCH(dataGLBSAcctIDs,_xlfn._xlws.FILTER(PBC_ACCOUNT_LIST[Id],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Equity")))),0))),startDatesCF=EDATE(AX$74,-1))),0)+AX86</f>
        <v>0</v>
      </c>
      <c r="AY85" s="162" cm="1">
        <f t="array" ref="AY85">IFERROR(SUM(_xlfn._xlws.FILTER(_xlfn._xlws.FILTER(dataGLBSCF,ISNUMBER(_xlfn.XMATCH(dataGLBSAcctIDs,_xlfn._xlws.FILTER(PBC_ACCOUNT_LIST[Id], ((PBC_ACCOUNT_LIST[Cash Flow Section]="Cash from Financing Activities")*(PBC_ACCOUNT_LIST[Drivers Section]="Assets"))),0))),startDatesCF=EDATE(AY$74,-1))),0)-IFERROR(SUM(_xlfn._xlws.FILTER(_xlfn._xlws.FILTER(dataGLBSCF,ISNUMBER(_xlfn.XMATCH(dataGLBSAcctIDs,_xlfn._xlws.FILTER(PBC_ACCOUNT_LIST[Id], ((PBC_ACCOUNT_LIST[Cash Flow Section]="Cash from Financing Activities")*(PBC_ACCOUNT_LIST[Drivers Section]="Assets"))),0))),endDatesCF=AY$75)),0)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Equity")))),0))),endDatesCF=AY$75)),0)-IFERROR(SUM(_xlfn._xlws.FILTER(_xlfn._xlws.FILTER(dataGLBSCF,ISNUMBER(_xlfn.XMATCH(dataGLBSAcctIDs,_xlfn._xlws.FILTER(PBC_ACCOUNT_LIST[Id],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Equity")))),0))),startDatesCF=EDATE(AY$74,-1))),0)+AY86</f>
        <v>0</v>
      </c>
      <c r="AZ85" s="162" cm="1">
        <f t="array" ref="AZ85">IFERROR(SUM(_xlfn._xlws.FILTER(_xlfn._xlws.FILTER(dataGLBSCF,ISNUMBER(_xlfn.XMATCH(dataGLBSAcctIDs,_xlfn._xlws.FILTER(PBC_ACCOUNT_LIST[Id], ((PBC_ACCOUNT_LIST[Cash Flow Section]="Cash from Financing Activities")*(PBC_ACCOUNT_LIST[Drivers Section]="Assets"))),0))),startDatesCF=EDATE(AZ$74,-1))),0)-IFERROR(SUM(_xlfn._xlws.FILTER(_xlfn._xlws.FILTER(dataGLBSCF,ISNUMBER(_xlfn.XMATCH(dataGLBSAcctIDs,_xlfn._xlws.FILTER(PBC_ACCOUNT_LIST[Id], ((PBC_ACCOUNT_LIST[Cash Flow Section]="Cash from Financing Activities")*(PBC_ACCOUNT_LIST[Drivers Section]="Assets"))),0))),endDatesCF=AZ$75)),0)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Equity")))),0))),endDatesCF=AZ$75)),0)-IFERROR(SUM(_xlfn._xlws.FILTER(_xlfn._xlws.FILTER(dataGLBSCF,ISNUMBER(_xlfn.XMATCH(dataGLBSAcctIDs,_xlfn._xlws.FILTER(PBC_ACCOUNT_LIST[Id],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Equity")))),0))),startDatesCF=EDATE(AZ$74,-1))),0)+AZ86</f>
        <v>0</v>
      </c>
      <c r="BA85" s="162" cm="1">
        <f t="array" ref="BA85">IFERROR(SUM(_xlfn._xlws.FILTER(_xlfn._xlws.FILTER(dataGLBSCF,ISNUMBER(_xlfn.XMATCH(dataGLBSAcctIDs,_xlfn._xlws.FILTER(PBC_ACCOUNT_LIST[Id], ((PBC_ACCOUNT_LIST[Cash Flow Section]="Cash from Financing Activities")*(PBC_ACCOUNT_LIST[Drivers Section]="Assets"))),0))),startDatesCF=EDATE(BA$74,-1))),0)-IFERROR(SUM(_xlfn._xlws.FILTER(_xlfn._xlws.FILTER(dataGLBSCF,ISNUMBER(_xlfn.XMATCH(dataGLBSAcctIDs,_xlfn._xlws.FILTER(PBC_ACCOUNT_LIST[Id], ((PBC_ACCOUNT_LIST[Cash Flow Section]="Cash from Financing Activities")*(PBC_ACCOUNT_LIST[Drivers Section]="Assets"))),0))),endDatesCF=BA$75)),0)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Equity")))),0))),endDatesCF=BA$75)),0)-IFERROR(SUM(_xlfn._xlws.FILTER(_xlfn._xlws.FILTER(dataGLBSCF,ISNUMBER(_xlfn.XMATCH(dataGLBSAcctIDs,_xlfn._xlws.FILTER(PBC_ACCOUNT_LIST[Id],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Equity")))),0))),startDatesCF=EDATE(BA$74,-1))),0)+BA86</f>
        <v>0</v>
      </c>
      <c r="BB85" s="162" cm="1">
        <f t="array" ref="BB85">IFERROR(SUM(_xlfn._xlws.FILTER(_xlfn._xlws.FILTER(dataGLBSCF,ISNUMBER(_xlfn.XMATCH(dataGLBSAcctIDs,_xlfn._xlws.FILTER(PBC_ACCOUNT_LIST[Id], ((PBC_ACCOUNT_LIST[Cash Flow Section]="Cash from Financing Activities")*(PBC_ACCOUNT_LIST[Drivers Section]="Assets"))),0))),startDatesCF=EDATE(BB$74,-1))),0)-IFERROR(SUM(_xlfn._xlws.FILTER(_xlfn._xlws.FILTER(dataGLBSCF,ISNUMBER(_xlfn.XMATCH(dataGLBSAcctIDs,_xlfn._xlws.FILTER(PBC_ACCOUNT_LIST[Id], ((PBC_ACCOUNT_LIST[Cash Flow Section]="Cash from Financing Activities")*(PBC_ACCOUNT_LIST[Drivers Section]="Assets"))),0))),endDatesCF=BB$75)),0)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Equity")))),0))),endDatesCF=BB$75)),0)-IFERROR(SUM(_xlfn._xlws.FILTER(_xlfn._xlws.FILTER(dataGLBSCF,ISNUMBER(_xlfn.XMATCH(dataGLBSAcctIDs,_xlfn._xlws.FILTER(PBC_ACCOUNT_LIST[Id],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Equity")))),0))),startDatesCF=EDATE(BB$74,-1))),0)+BB86</f>
        <v>0</v>
      </c>
      <c r="BC85" s="162" cm="1">
        <f t="array" ref="BC85">IFERROR(SUM(_xlfn._xlws.FILTER(_xlfn._xlws.FILTER(dataGLBSCF,ISNUMBER(_xlfn.XMATCH(dataGLBSAcctIDs,_xlfn._xlws.FILTER(PBC_ACCOUNT_LIST[Id], ((PBC_ACCOUNT_LIST[Cash Flow Section]="Cash from Financing Activities")*(PBC_ACCOUNT_LIST[Drivers Section]="Assets"))),0))),startDatesCF=EDATE(BC$74,-1))),0)-IFERROR(SUM(_xlfn._xlws.FILTER(_xlfn._xlws.FILTER(dataGLBSCF,ISNUMBER(_xlfn.XMATCH(dataGLBSAcctIDs,_xlfn._xlws.FILTER(PBC_ACCOUNT_LIST[Id], ((PBC_ACCOUNT_LIST[Cash Flow Section]="Cash from Financing Activities")*(PBC_ACCOUNT_LIST[Drivers Section]="Assets"))),0))),endDatesCF=BC$75)),0)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Equity")))),0))),endDatesCF=BC$75)),0)-IFERROR(SUM(_xlfn._xlws.FILTER(_xlfn._xlws.FILTER(dataGLBSCF,ISNUMBER(_xlfn.XMATCH(dataGLBSAcctIDs,_xlfn._xlws.FILTER(PBC_ACCOUNT_LIST[Id],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Equity")))),0))),startDatesCF=EDATE(BC$74,-1))),0)+BC86</f>
        <v>0</v>
      </c>
      <c r="BD85" s="162" cm="1">
        <f t="array" ref="BD85">IFERROR(SUM(_xlfn._xlws.FILTER(_xlfn._xlws.FILTER(dataGLBSCF,ISNUMBER(_xlfn.XMATCH(dataGLBSAcctIDs,_xlfn._xlws.FILTER(PBC_ACCOUNT_LIST[Id], ((PBC_ACCOUNT_LIST[Cash Flow Section]="Cash from Financing Activities")*(PBC_ACCOUNT_LIST[Drivers Section]="Assets"))),0))),startDatesCF=EDATE(BD$74,-1))),0)-IFERROR(SUM(_xlfn._xlws.FILTER(_xlfn._xlws.FILTER(dataGLBSCF,ISNUMBER(_xlfn.XMATCH(dataGLBSAcctIDs,_xlfn._xlws.FILTER(PBC_ACCOUNT_LIST[Id], ((PBC_ACCOUNT_LIST[Cash Flow Section]="Cash from Financing Activities")*(PBC_ACCOUNT_LIST[Drivers Section]="Assets"))),0))),endDatesCF=BD$75)),0)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Equity")))),0))),endDatesCF=BD$75)),0)-IFERROR(SUM(_xlfn._xlws.FILTER(_xlfn._xlws.FILTER(dataGLBSCF,ISNUMBER(_xlfn.XMATCH(dataGLBSAcctIDs,_xlfn._xlws.FILTER(PBC_ACCOUNT_LIST[Id],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Equity")))),0))),startDatesCF=EDATE(BD$74,-1))),0)+BD86</f>
        <v>0</v>
      </c>
      <c r="BE85" s="162" cm="1">
        <f t="array" ref="BE85">IFERROR(SUM(_xlfn._xlws.FILTER(_xlfn._xlws.FILTER(dataGLBSCF,ISNUMBER(_xlfn.XMATCH(dataGLBSAcctIDs,_xlfn._xlws.FILTER(PBC_ACCOUNT_LIST[Id], ((PBC_ACCOUNT_LIST[Cash Flow Section]="Cash from Financing Activities")*(PBC_ACCOUNT_LIST[Drivers Section]="Assets"))),0))),startDatesCF=EDATE(BE$74,-1))),0)-IFERROR(SUM(_xlfn._xlws.FILTER(_xlfn._xlws.FILTER(dataGLBSCF,ISNUMBER(_xlfn.XMATCH(dataGLBSAcctIDs,_xlfn._xlws.FILTER(PBC_ACCOUNT_LIST[Id], ((PBC_ACCOUNT_LIST[Cash Flow Section]="Cash from Financing Activities")*(PBC_ACCOUNT_LIST[Drivers Section]="Assets"))),0))),endDatesCF=BE$75)),0)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Equity")))),0))),endDatesCF=BE$75)),0)-IFERROR(SUM(_xlfn._xlws.FILTER(_xlfn._xlws.FILTER(dataGLBSCF,ISNUMBER(_xlfn.XMATCH(dataGLBSAcctIDs,_xlfn._xlws.FILTER(PBC_ACCOUNT_LIST[Id],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Equity")))),0))),startDatesCF=EDATE(BE$74,-1))),0)+BE86</f>
        <v>0</v>
      </c>
      <c r="BF85" s="162" cm="1">
        <f t="array" ref="BF85">IFERROR(SUM(_xlfn._xlws.FILTER(_xlfn._xlws.FILTER(dataGLBSCF,ISNUMBER(_xlfn.XMATCH(dataGLBSAcctIDs,_xlfn._xlws.FILTER(PBC_ACCOUNT_LIST[Id], ((PBC_ACCOUNT_LIST[Cash Flow Section]="Cash from Financing Activities")*(PBC_ACCOUNT_LIST[Drivers Section]="Assets"))),0))),startDatesCF=EDATE(BF$74,-1))),0)-IFERROR(SUM(_xlfn._xlws.FILTER(_xlfn._xlws.FILTER(dataGLBSCF,ISNUMBER(_xlfn.XMATCH(dataGLBSAcctIDs,_xlfn._xlws.FILTER(PBC_ACCOUNT_LIST[Id], ((PBC_ACCOUNT_LIST[Cash Flow Section]="Cash from Financing Activities")*(PBC_ACCOUNT_LIST[Drivers Section]="Assets"))),0))),endDatesCF=BF$75)),0)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Equity")))),0))),endDatesCF=BF$75)),0)-IFERROR(SUM(_xlfn._xlws.FILTER(_xlfn._xlws.FILTER(dataGLBSCF,ISNUMBER(_xlfn.XMATCH(dataGLBSAcctIDs,_xlfn._xlws.FILTER(PBC_ACCOUNT_LIST[Id],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Equity")))),0))),startDatesCF=EDATE(BF$74,-1))),0)+BF86</f>
        <v>0</v>
      </c>
      <c r="BG85" s="162" cm="1">
        <f t="array" ref="BG85">IFERROR(SUM(_xlfn._xlws.FILTER(_xlfn._xlws.FILTER(dataGLBSCF,ISNUMBER(_xlfn.XMATCH(dataGLBSAcctIDs,_xlfn._xlws.FILTER(PBC_ACCOUNT_LIST[Id], ((PBC_ACCOUNT_LIST[Cash Flow Section]="Cash from Financing Activities")*(PBC_ACCOUNT_LIST[Drivers Section]="Assets"))),0))),startDatesCF=EDATE(BG$74,-1))),0)-IFERROR(SUM(_xlfn._xlws.FILTER(_xlfn._xlws.FILTER(dataGLBSCF,ISNUMBER(_xlfn.XMATCH(dataGLBSAcctIDs,_xlfn._xlws.FILTER(PBC_ACCOUNT_LIST[Id], ((PBC_ACCOUNT_LIST[Cash Flow Section]="Cash from Financing Activities")*(PBC_ACCOUNT_LIST[Drivers Section]="Assets"))),0))),endDatesCF=BG$75)),0)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Equity")))),0))),endDatesCF=BG$75)),0)-IFERROR(SUM(_xlfn._xlws.FILTER(_xlfn._xlws.FILTER(dataGLBSCF,ISNUMBER(_xlfn.XMATCH(dataGLBSAcctIDs,_xlfn._xlws.FILTER(PBC_ACCOUNT_LIST[Id],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Equity")))),0))),startDatesCF=EDATE(BG$74,-1))),0)+BG86</f>
        <v>0</v>
      </c>
      <c r="BH85" s="162" cm="1">
        <f t="array" ref="BH85">IFERROR(SUM(_xlfn._xlws.FILTER(_xlfn._xlws.FILTER(dataGLBSCF,ISNUMBER(_xlfn.XMATCH(dataGLBSAcctIDs,_xlfn._xlws.FILTER(PBC_ACCOUNT_LIST[Id], ((PBC_ACCOUNT_LIST[Cash Flow Section]="Cash from Financing Activities")*(PBC_ACCOUNT_LIST[Drivers Section]="Assets"))),0))),startDatesCF=EDATE(BH$74,-1))),0)-IFERROR(SUM(_xlfn._xlws.FILTER(_xlfn._xlws.FILTER(dataGLBSCF,ISNUMBER(_xlfn.XMATCH(dataGLBSAcctIDs,_xlfn._xlws.FILTER(PBC_ACCOUNT_LIST[Id], ((PBC_ACCOUNT_LIST[Cash Flow Section]="Cash from Financing Activities")*(PBC_ACCOUNT_LIST[Drivers Section]="Assets"))),0))),endDatesCF=BH$75)),0)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Equity")))),0))),endDatesCF=BH$75)),0)-IFERROR(SUM(_xlfn._xlws.FILTER(_xlfn._xlws.FILTER(dataGLBSCF,ISNUMBER(_xlfn.XMATCH(dataGLBSAcctIDs,_xlfn._xlws.FILTER(PBC_ACCOUNT_LIST[Id],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Equity")))),0))),startDatesCF=EDATE(BH$74,-1))),0)+BH86</f>
        <v>0</v>
      </c>
      <c r="BI85" s="162" cm="1">
        <f t="array" ref="BI85">IFERROR(SUM(_xlfn._xlws.FILTER(_xlfn._xlws.FILTER(dataGLBSCF,ISNUMBER(_xlfn.XMATCH(dataGLBSAcctIDs,_xlfn._xlws.FILTER(PBC_ACCOUNT_LIST[Id], ((PBC_ACCOUNT_LIST[Cash Flow Section]="Cash from Financing Activities")*(PBC_ACCOUNT_LIST[Drivers Section]="Assets"))),0))),startDatesCF=EDATE(BI$74,-1))),0)-IFERROR(SUM(_xlfn._xlws.FILTER(_xlfn._xlws.FILTER(dataGLBSCF,ISNUMBER(_xlfn.XMATCH(dataGLBSAcctIDs,_xlfn._xlws.FILTER(PBC_ACCOUNT_LIST[Id], ((PBC_ACCOUNT_LIST[Cash Flow Section]="Cash from Financing Activities")*(PBC_ACCOUNT_LIST[Drivers Section]="Assets"))),0))),endDatesCF=BI$75)),0)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Equity")))),0))),endDatesCF=BI$75)),0)-IFERROR(SUM(_xlfn._xlws.FILTER(_xlfn._xlws.FILTER(dataGLBSCF,ISNUMBER(_xlfn.XMATCH(dataGLBSAcctIDs,_xlfn._xlws.FILTER(PBC_ACCOUNT_LIST[Id],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Equity")))),0))),startDatesCF=EDATE(BI$74,-1))),0)+BI86</f>
        <v>0</v>
      </c>
      <c r="BJ85" s="162" cm="1">
        <f t="array" ref="BJ85">IFERROR(SUM(_xlfn._xlws.FILTER(_xlfn._xlws.FILTER(dataGLBSCF,ISNUMBER(_xlfn.XMATCH(dataGLBSAcctIDs,_xlfn._xlws.FILTER(PBC_ACCOUNT_LIST[Id], ((PBC_ACCOUNT_LIST[Cash Flow Section]="Cash from Financing Activities")*(PBC_ACCOUNT_LIST[Drivers Section]="Assets"))),0))),startDatesCF=EDATE(BJ$74,-1))),0)-IFERROR(SUM(_xlfn._xlws.FILTER(_xlfn._xlws.FILTER(dataGLBSCF,ISNUMBER(_xlfn.XMATCH(dataGLBSAcctIDs,_xlfn._xlws.FILTER(PBC_ACCOUNT_LIST[Id], ((PBC_ACCOUNT_LIST[Cash Flow Section]="Cash from Financing Activities")*(PBC_ACCOUNT_LIST[Drivers Section]="Assets"))),0))),endDatesCF=BJ$75)),0)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Equity")))),0))),endDatesCF=BJ$75)),0)-IFERROR(SUM(_xlfn._xlws.FILTER(_xlfn._xlws.FILTER(dataGLBSCF,ISNUMBER(_xlfn.XMATCH(dataGLBSAcctIDs,_xlfn._xlws.FILTER(PBC_ACCOUNT_LIST[Id],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Equity")))),0))),startDatesCF=EDATE(BJ$74,-1))),0)+BJ86</f>
        <v>0</v>
      </c>
      <c r="BK85" s="162" cm="1">
        <f t="array" ref="BK85">IFERROR(SUM(_xlfn._xlws.FILTER(_xlfn._xlws.FILTER(dataGLBSCF,ISNUMBER(_xlfn.XMATCH(dataGLBSAcctIDs,_xlfn._xlws.FILTER(PBC_ACCOUNT_LIST[Id], ((PBC_ACCOUNT_LIST[Cash Flow Section]="Cash from Financing Activities")*(PBC_ACCOUNT_LIST[Drivers Section]="Assets"))),0))),startDatesCF=EDATE(BK$74,-1))),0)-IFERROR(SUM(_xlfn._xlws.FILTER(_xlfn._xlws.FILTER(dataGLBSCF,ISNUMBER(_xlfn.XMATCH(dataGLBSAcctIDs,_xlfn._xlws.FILTER(PBC_ACCOUNT_LIST[Id], ((PBC_ACCOUNT_LIST[Cash Flow Section]="Cash from Financing Activities")*(PBC_ACCOUNT_LIST[Drivers Section]="Assets"))),0))),endDatesCF=BK$75)),0)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Equity")))),0))),endDatesCF=BK$75)),0)-IFERROR(SUM(_xlfn._xlws.FILTER(_xlfn._xlws.FILTER(dataGLBSCF,ISNUMBER(_xlfn.XMATCH(dataGLBSAcctIDs,_xlfn._xlws.FILTER(PBC_ACCOUNT_LIST[Id],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Equity")))),0))),startDatesCF=EDATE(BK$74,-1))),0)+BK86</f>
        <v>3.2014213502407074E-10</v>
      </c>
      <c r="BL85" s="162" cm="1">
        <f t="array" ref="BL85">IFERROR(SUM(_xlfn._xlws.FILTER(_xlfn._xlws.FILTER(dataGLBSCF,ISNUMBER(_xlfn.XMATCH(dataGLBSAcctIDs,_xlfn._xlws.FILTER(PBC_ACCOUNT_LIST[Id], ((PBC_ACCOUNT_LIST[Cash Flow Section]="Cash from Financing Activities")*(PBC_ACCOUNT_LIST[Drivers Section]="Assets"))),0))),startDatesCF=EDATE(BL$74,-1))),0)-IFERROR(SUM(_xlfn._xlws.FILTER(_xlfn._xlws.FILTER(dataGLBSCF,ISNUMBER(_xlfn.XMATCH(dataGLBSAcctIDs,_xlfn._xlws.FILTER(PBC_ACCOUNT_LIST[Id], ((PBC_ACCOUNT_LIST[Cash Flow Section]="Cash from Financing Activities")*(PBC_ACCOUNT_LIST[Drivers Section]="Assets"))),0))),endDatesCF=BL$75)),0)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Equity")))),0))),endDatesCF=BL$75)),0)-IFERROR(SUM(_xlfn._xlws.FILTER(_xlfn._xlws.FILTER(dataGLBSCF,ISNUMBER(_xlfn.XMATCH(dataGLBSAcctIDs,_xlfn._xlws.FILTER(PBC_ACCOUNT_LIST[Id],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Equity")))),0))),startDatesCF=EDATE(BL$74,-1))),0)+BL86</f>
        <v>0</v>
      </c>
      <c r="BM85" s="162" cm="1">
        <f t="array" ref="BM85">IFERROR(SUM(_xlfn._xlws.FILTER(_xlfn._xlws.FILTER(dataGLBSCF,ISNUMBER(_xlfn.XMATCH(dataGLBSAcctIDs,_xlfn._xlws.FILTER(PBC_ACCOUNT_LIST[Id], ((PBC_ACCOUNT_LIST[Cash Flow Section]="Cash from Financing Activities")*(PBC_ACCOUNT_LIST[Drivers Section]="Assets"))),0))),startDatesCF=EDATE(BM$74,-1))),0)-IFERROR(SUM(_xlfn._xlws.FILTER(_xlfn._xlws.FILTER(dataGLBSCF,ISNUMBER(_xlfn.XMATCH(dataGLBSAcctIDs,_xlfn._xlws.FILTER(PBC_ACCOUNT_LIST[Id], ((PBC_ACCOUNT_LIST[Cash Flow Section]="Cash from Financing Activities")*(PBC_ACCOUNT_LIST[Drivers Section]="Assets"))),0))),endDatesCF=BM$75)),0)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Equity")))),0))),endDatesCF=BM$75)),0)-IFERROR(SUM(_xlfn._xlws.FILTER(_xlfn._xlws.FILTER(dataGLBSCF,ISNUMBER(_xlfn.XMATCH(dataGLBSAcctIDs,_xlfn._xlws.FILTER(PBC_ACCOUNT_LIST[Id],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Equity")))),0))),startDatesCF=EDATE(BM$74,-1))),0)+BM86</f>
        <v>0</v>
      </c>
      <c r="BN85" s="162" cm="1">
        <f t="array" ref="BN85">IFERROR(SUM(_xlfn._xlws.FILTER(_xlfn._xlws.FILTER(dataGLBSCF,ISNUMBER(_xlfn.XMATCH(dataGLBSAcctIDs,_xlfn._xlws.FILTER(PBC_ACCOUNT_LIST[Id], ((PBC_ACCOUNT_LIST[Cash Flow Section]="Cash from Financing Activities")*(PBC_ACCOUNT_LIST[Drivers Section]="Assets"))),0))),startDatesCF=EDATE(BN$74,-1))),0)-IFERROR(SUM(_xlfn._xlws.FILTER(_xlfn._xlws.FILTER(dataGLBSCF,ISNUMBER(_xlfn.XMATCH(dataGLBSAcctIDs,_xlfn._xlws.FILTER(PBC_ACCOUNT_LIST[Id], ((PBC_ACCOUNT_LIST[Cash Flow Section]="Cash from Financing Activities")*(PBC_ACCOUNT_LIST[Drivers Section]="Assets"))),0))),endDatesCF=BN$75)),0)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Equity")))),0))),endDatesCF=BN$75)),0)-IFERROR(SUM(_xlfn._xlws.FILTER(_xlfn._xlws.FILTER(dataGLBSCF,ISNUMBER(_xlfn.XMATCH(dataGLBSAcctIDs,_xlfn._xlws.FILTER(PBC_ACCOUNT_LIST[Id],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Equity")))),0))),startDatesCF=EDATE(BN$74,-1))),0)+BN86</f>
        <v>3.4924596548080444E-10</v>
      </c>
      <c r="BO85" s="162" cm="1">
        <f t="array" ref="BO85">IFERROR(SUM(_xlfn._xlws.FILTER(_xlfn._xlws.FILTER(dataGLBSCF,ISNUMBER(_xlfn.XMATCH(dataGLBSAcctIDs,_xlfn._xlws.FILTER(PBC_ACCOUNT_LIST[Id], ((PBC_ACCOUNT_LIST[Cash Flow Section]="Cash from Financing Activities")*(PBC_ACCOUNT_LIST[Drivers Section]="Assets"))),0))),startDatesCF=EDATE(BO$74,-1))),0)-IFERROR(SUM(_xlfn._xlws.FILTER(_xlfn._xlws.FILTER(dataGLBSCF,ISNUMBER(_xlfn.XMATCH(dataGLBSAcctIDs,_xlfn._xlws.FILTER(PBC_ACCOUNT_LIST[Id], ((PBC_ACCOUNT_LIST[Cash Flow Section]="Cash from Financing Activities")*(PBC_ACCOUNT_LIST[Drivers Section]="Assets"))),0))),endDatesCF=BO$75)),0)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Equity")))),0))),endDatesCF=BO$75)),0)-IFERROR(SUM(_xlfn._xlws.FILTER(_xlfn._xlws.FILTER(dataGLBSCF,ISNUMBER(_xlfn.XMATCH(dataGLBSAcctIDs,_xlfn._xlws.FILTER(PBC_ACCOUNT_LIST[Id],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Equity")))),0))),startDatesCF=EDATE(BO$74,-1))),0)+BO86</f>
        <v>0</v>
      </c>
      <c r="BP85" s="162" cm="1">
        <f t="array" ref="BP85">IFERROR(SUM(_xlfn._xlws.FILTER(_xlfn._xlws.FILTER(dataGLBSCF,ISNUMBER(_xlfn.XMATCH(dataGLBSAcctIDs,_xlfn._xlws.FILTER(PBC_ACCOUNT_LIST[Id], ((PBC_ACCOUNT_LIST[Cash Flow Section]="Cash from Financing Activities")*(PBC_ACCOUNT_LIST[Drivers Section]="Assets"))),0))),startDatesCF=EDATE(BP$74,-1))),0)-IFERROR(SUM(_xlfn._xlws.FILTER(_xlfn._xlws.FILTER(dataGLBSCF,ISNUMBER(_xlfn.XMATCH(dataGLBSAcctIDs,_xlfn._xlws.FILTER(PBC_ACCOUNT_LIST[Id], ((PBC_ACCOUNT_LIST[Cash Flow Section]="Cash from Financing Activities")*(PBC_ACCOUNT_LIST[Drivers Section]="Assets"))),0))),endDatesCF=BP$75)),0)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Equity")))),0))),endDatesCF=BP$75)),0)-IFERROR(SUM(_xlfn._xlws.FILTER(_xlfn._xlws.FILTER(dataGLBSCF,ISNUMBER(_xlfn.XMATCH(dataGLBSAcctIDs,_xlfn._xlws.FILTER(PBC_ACCOUNT_LIST[Id],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Equity")))),0))),startDatesCF=EDATE(BP$74,-1))),0)+BP86</f>
        <v>-3.4924596548080444E-10</v>
      </c>
      <c r="BQ85" s="162" cm="1">
        <f t="array" ref="BQ85">IFERROR(SUM(_xlfn._xlws.FILTER(_xlfn._xlws.FILTER(dataGLBSCF,ISNUMBER(_xlfn.XMATCH(dataGLBSAcctIDs,_xlfn._xlws.FILTER(PBC_ACCOUNT_LIST[Id], ((PBC_ACCOUNT_LIST[Cash Flow Section]="Cash from Financing Activities")*(PBC_ACCOUNT_LIST[Drivers Section]="Assets"))),0))),startDatesCF=EDATE(BQ$74,-1))),0)-IFERROR(SUM(_xlfn._xlws.FILTER(_xlfn._xlws.FILTER(dataGLBSCF,ISNUMBER(_xlfn.XMATCH(dataGLBSAcctIDs,_xlfn._xlws.FILTER(PBC_ACCOUNT_LIST[Id], ((PBC_ACCOUNT_LIST[Cash Flow Section]="Cash from Financing Activities")*(PBC_ACCOUNT_LIST[Drivers Section]="Assets"))),0))),endDatesCF=BQ$75)),0)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Equity")))),0))),endDatesCF=BQ$75)),0)-IFERROR(SUM(_xlfn._xlws.FILTER(_xlfn._xlws.FILTER(dataGLBSCF,ISNUMBER(_xlfn.XMATCH(dataGLBSAcctIDs,_xlfn._xlws.FILTER(PBC_ACCOUNT_LIST[Id],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Equity")))),0))),startDatesCF=EDATE(BQ$74,-1))),0)+BQ86</f>
        <v>2.9103830456733704E-10</v>
      </c>
      <c r="BR85" s="162" cm="1">
        <f t="array" ref="BR85">IFERROR(SUM(_xlfn._xlws.FILTER(_xlfn._xlws.FILTER(dataGLBSCF,ISNUMBER(_xlfn.XMATCH(dataGLBSAcctIDs,_xlfn._xlws.FILTER(PBC_ACCOUNT_LIST[Id], ((PBC_ACCOUNT_LIST[Cash Flow Section]="Cash from Financing Activities")*(PBC_ACCOUNT_LIST[Drivers Section]="Assets"))),0))),startDatesCF=EDATE(BR$74,-1))),0)-IFERROR(SUM(_xlfn._xlws.FILTER(_xlfn._xlws.FILTER(dataGLBSCF,ISNUMBER(_xlfn.XMATCH(dataGLBSAcctIDs,_xlfn._xlws.FILTER(PBC_ACCOUNT_LIST[Id], ((PBC_ACCOUNT_LIST[Cash Flow Section]="Cash from Financing Activities")*(PBC_ACCOUNT_LIST[Drivers Section]="Assets"))),0))),endDatesCF=BR$75)),0)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Equity")))),0))),endDatesCF=BR$75)),0)-IFERROR(SUM(_xlfn._xlws.FILTER(_xlfn._xlws.FILTER(dataGLBSCF,ISNUMBER(_xlfn.XMATCH(dataGLBSAcctIDs,_xlfn._xlws.FILTER(PBC_ACCOUNT_LIST[Id],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Equity")))),0))),startDatesCF=EDATE(BR$74,-1))),0)+BR86</f>
        <v>0</v>
      </c>
      <c r="BS85" s="162" cm="1">
        <f t="array" ref="BS85">IFERROR(SUM(_xlfn._xlws.FILTER(_xlfn._xlws.FILTER(dataGLBSCF,ISNUMBER(_xlfn.XMATCH(dataGLBSAcctIDs,_xlfn._xlws.FILTER(PBC_ACCOUNT_LIST[Id], ((PBC_ACCOUNT_LIST[Cash Flow Section]="Cash from Financing Activities")*(PBC_ACCOUNT_LIST[Drivers Section]="Assets"))),0))),startDatesCF=EDATE(BS$74,-1))),0)-IFERROR(SUM(_xlfn._xlws.FILTER(_xlfn._xlws.FILTER(dataGLBSCF,ISNUMBER(_xlfn.XMATCH(dataGLBSAcctIDs,_xlfn._xlws.FILTER(PBC_ACCOUNT_LIST[Id], ((PBC_ACCOUNT_LIST[Cash Flow Section]="Cash from Financing Activities")*(PBC_ACCOUNT_LIST[Drivers Section]="Assets"))),0))),endDatesCF=BS$75)),0)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Equity")))),0))),endDatesCF=BS$75)),0)-IFERROR(SUM(_xlfn._xlws.FILTER(_xlfn._xlws.FILTER(dataGLBSCF,ISNUMBER(_xlfn.XMATCH(dataGLBSAcctIDs,_xlfn._xlws.FILTER(PBC_ACCOUNT_LIST[Id],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Equity")))),0))),startDatesCF=EDATE(BS$74,-1))),0)+BS86</f>
        <v>-3.4924596548080444E-10</v>
      </c>
      <c r="BT85" s="162" cm="1">
        <f t="array" ref="BT85">IFERROR(SUM(_xlfn._xlws.FILTER(_xlfn._xlws.FILTER(dataGLBSCF,ISNUMBER(_xlfn.XMATCH(dataGLBSAcctIDs,_xlfn._xlws.FILTER(PBC_ACCOUNT_LIST[Id], ((PBC_ACCOUNT_LIST[Cash Flow Section]="Cash from Financing Activities")*(PBC_ACCOUNT_LIST[Drivers Section]="Assets"))),0))),startDatesCF=EDATE(BT$74,-1))),0)-IFERROR(SUM(_xlfn._xlws.FILTER(_xlfn._xlws.FILTER(dataGLBSCF,ISNUMBER(_xlfn.XMATCH(dataGLBSAcctIDs,_xlfn._xlws.FILTER(PBC_ACCOUNT_LIST[Id], ((PBC_ACCOUNT_LIST[Cash Flow Section]="Cash from Financing Activities")*(PBC_ACCOUNT_LIST[Drivers Section]="Assets"))),0))),endDatesCF=BT$75)),0)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Equity")))),0))),endDatesCF=BT$75)),0)-IFERROR(SUM(_xlfn._xlws.FILTER(_xlfn._xlws.FILTER(dataGLBSCF,ISNUMBER(_xlfn.XMATCH(dataGLBSAcctIDs,_xlfn._xlws.FILTER(PBC_ACCOUNT_LIST[Id],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Equity")))),0))),startDatesCF=EDATE(BT$74,-1))),0)+BT86</f>
        <v>-2.9103830456733704E-10</v>
      </c>
      <c r="BU85" s="162" cm="1">
        <f t="array" ref="BU85">IFERROR(SUM(_xlfn._xlws.FILTER(_xlfn._xlws.FILTER(dataGLBSCF,ISNUMBER(_xlfn.XMATCH(dataGLBSAcctIDs,_xlfn._xlws.FILTER(PBC_ACCOUNT_LIST[Id], ((PBC_ACCOUNT_LIST[Cash Flow Section]="Cash from Financing Activities")*(PBC_ACCOUNT_LIST[Drivers Section]="Assets"))),0))),startDatesCF=EDATE(BU$74,-1))),0)-IFERROR(SUM(_xlfn._xlws.FILTER(_xlfn._xlws.FILTER(dataGLBSCF,ISNUMBER(_xlfn.XMATCH(dataGLBSAcctIDs,_xlfn._xlws.FILTER(PBC_ACCOUNT_LIST[Id], ((PBC_ACCOUNT_LIST[Cash Flow Section]="Cash from Financing Activities")*(PBC_ACCOUNT_LIST[Drivers Section]="Assets"))),0))),endDatesCF=BU$75)),0)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Equity")))),0))),endDatesCF=BU$75)),0)-IFERROR(SUM(_xlfn._xlws.FILTER(_xlfn._xlws.FILTER(dataGLBSCF,ISNUMBER(_xlfn.XMATCH(dataGLBSAcctIDs,_xlfn._xlws.FILTER(PBC_ACCOUNT_LIST[Id],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Equity")))),0))),startDatesCF=EDATE(BU$74,-1))),0)+BU86</f>
        <v>1000000.0000000005</v>
      </c>
      <c r="BV85" s="162" cm="1">
        <f t="array" ref="BV85">IFERROR(SUM(_xlfn._xlws.FILTER(_xlfn._xlws.FILTER(dataGLBSCF,ISNUMBER(_xlfn.XMATCH(dataGLBSAcctIDs,_xlfn._xlws.FILTER(PBC_ACCOUNT_LIST[Id], ((PBC_ACCOUNT_LIST[Cash Flow Section]="Cash from Financing Activities")*(PBC_ACCOUNT_LIST[Drivers Section]="Assets"))),0))),startDatesCF=EDATE(BV$74,-1))),0)-IFERROR(SUM(_xlfn._xlws.FILTER(_xlfn._xlws.FILTER(dataGLBSCF,ISNUMBER(_xlfn.XMATCH(dataGLBSAcctIDs,_xlfn._xlws.FILTER(PBC_ACCOUNT_LIST[Id], ((PBC_ACCOUNT_LIST[Cash Flow Section]="Cash from Financing Activities")*(PBC_ACCOUNT_LIST[Drivers Section]="Assets"))),0))),endDatesCF=BV$75)),0)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Equity")))),0))),endDatesCF=BV$75)),0)-IFERROR(SUM(_xlfn._xlws.FILTER(_xlfn._xlws.FILTER(dataGLBSCF,ISNUMBER(_xlfn.XMATCH(dataGLBSAcctIDs,_xlfn._xlws.FILTER(PBC_ACCOUNT_LIST[Id],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Equity")))),0))),startDatesCF=EDATE(BV$74,-1))),0)+BV86</f>
        <v>0</v>
      </c>
      <c r="BW85" s="162" cm="1">
        <f t="array" ref="BW85">IFERROR(SUM(_xlfn._xlws.FILTER(_xlfn._xlws.FILTER(dataGLBSCF,ISNUMBER(_xlfn.XMATCH(dataGLBSAcctIDs,_xlfn._xlws.FILTER(PBC_ACCOUNT_LIST[Id], ((PBC_ACCOUNT_LIST[Cash Flow Section]="Cash from Financing Activities")*(PBC_ACCOUNT_LIST[Drivers Section]="Assets"))),0))),startDatesCF=EDATE(BW$74,-1))),0)-IFERROR(SUM(_xlfn._xlws.FILTER(_xlfn._xlws.FILTER(dataGLBSCF,ISNUMBER(_xlfn.XMATCH(dataGLBSAcctIDs,_xlfn._xlws.FILTER(PBC_ACCOUNT_LIST[Id], ((PBC_ACCOUNT_LIST[Cash Flow Section]="Cash from Financing Activities")*(PBC_ACCOUNT_LIST[Drivers Section]="Assets"))),0))),endDatesCF=BW$75)),0)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Equity")))),0))),endDatesCF=BW$75)),0)-IFERROR(SUM(_xlfn._xlws.FILTER(_xlfn._xlws.FILTER(dataGLBSCF,ISNUMBER(_xlfn.XMATCH(dataGLBSAcctIDs,_xlfn._xlws.FILTER(PBC_ACCOUNT_LIST[Id],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Equity")))),0))),startDatesCF=EDATE(BW$74,-1))),0)+BW86</f>
        <v>-4.0745362639427185E-10</v>
      </c>
      <c r="BX85" s="162" cm="1">
        <f t="array" ref="BX85">IFERROR(SUM(_xlfn._xlws.FILTER(_xlfn._xlws.FILTER(dataGLBSCF,ISNUMBER(_xlfn.XMATCH(dataGLBSAcctIDs,_xlfn._xlws.FILTER(PBC_ACCOUNT_LIST[Id], ((PBC_ACCOUNT_LIST[Cash Flow Section]="Cash from Financing Activities")*(PBC_ACCOUNT_LIST[Drivers Section]="Assets"))),0))),startDatesCF=EDATE(BX$74,-1))),0)-IFERROR(SUM(_xlfn._xlws.FILTER(_xlfn._xlws.FILTER(dataGLBSCF,ISNUMBER(_xlfn.XMATCH(dataGLBSAcctIDs,_xlfn._xlws.FILTER(PBC_ACCOUNT_LIST[Id], ((PBC_ACCOUNT_LIST[Cash Flow Section]="Cash from Financing Activities")*(PBC_ACCOUNT_LIST[Drivers Section]="Assets"))),0))),endDatesCF=BX$75)),0)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Equity")))),0))),endDatesCF=BX$75)),0)-IFERROR(SUM(_xlfn._xlws.FILTER(_xlfn._xlws.FILTER(dataGLBSCF,ISNUMBER(_xlfn.XMATCH(dataGLBSAcctIDs,_xlfn._xlws.FILTER(PBC_ACCOUNT_LIST[Id],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Equity")))),0))),startDatesCF=EDATE(BX$74,-1))),0)+BX86</f>
        <v>0</v>
      </c>
      <c r="BY85" s="162" cm="1">
        <f t="array" ref="BY85">IFERROR(SUM(_xlfn._xlws.FILTER(_xlfn._xlws.FILTER(dataGLBSCF,ISNUMBER(_xlfn.XMATCH(dataGLBSAcctIDs,_xlfn._xlws.FILTER(PBC_ACCOUNT_LIST[Id], ((PBC_ACCOUNT_LIST[Cash Flow Section]="Cash from Financing Activities")*(PBC_ACCOUNT_LIST[Drivers Section]="Assets"))),0))),startDatesCF=EDATE(BY$74,-1))),0)-IFERROR(SUM(_xlfn._xlws.FILTER(_xlfn._xlws.FILTER(dataGLBSCF,ISNUMBER(_xlfn.XMATCH(dataGLBSAcctIDs,_xlfn._xlws.FILTER(PBC_ACCOUNT_LIST[Id], ((PBC_ACCOUNT_LIST[Cash Flow Section]="Cash from Financing Activities")*(PBC_ACCOUNT_LIST[Drivers Section]="Assets"))),0))),endDatesCF=BY$75)),0)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Equity")))),0))),endDatesCF=BY$75)),0)-IFERROR(SUM(_xlfn._xlws.FILTER(_xlfn._xlws.FILTER(dataGLBSCF,ISNUMBER(_xlfn.XMATCH(dataGLBSAcctIDs,_xlfn._xlws.FILTER(PBC_ACCOUNT_LIST[Id],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Equity")))),0))),startDatesCF=EDATE(BY$74,-1))),0)+BY86</f>
        <v>0</v>
      </c>
      <c r="BZ85" s="162" cm="1">
        <f t="array" ref="BZ85">IFERROR(SUM(_xlfn._xlws.FILTER(_xlfn._xlws.FILTER(dataGLBSCF,ISNUMBER(_xlfn.XMATCH(dataGLBSAcctIDs,_xlfn._xlws.FILTER(PBC_ACCOUNT_LIST[Id], ((PBC_ACCOUNT_LIST[Cash Flow Section]="Cash from Financing Activities")*(PBC_ACCOUNT_LIST[Drivers Section]="Assets"))),0))),startDatesCF=EDATE(BZ$74,-1))),0)-IFERROR(SUM(_xlfn._xlws.FILTER(_xlfn._xlws.FILTER(dataGLBSCF,ISNUMBER(_xlfn.XMATCH(dataGLBSAcctIDs,_xlfn._xlws.FILTER(PBC_ACCOUNT_LIST[Id], ((PBC_ACCOUNT_LIST[Cash Flow Section]="Cash from Financing Activities")*(PBC_ACCOUNT_LIST[Drivers Section]="Assets"))),0))),endDatesCF=BZ$75)),0)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Equity")))),0))),endDatesCF=BZ$75)),0)-IFERROR(SUM(_xlfn._xlws.FILTER(_xlfn._xlws.FILTER(dataGLBSCF,ISNUMBER(_xlfn.XMATCH(dataGLBSAcctIDs,_xlfn._xlws.FILTER(PBC_ACCOUNT_LIST[Id],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Equity")))),0))),startDatesCF=EDATE(BZ$74,-1))),0)+BZ86</f>
        <v>0</v>
      </c>
      <c r="CA85" s="162" cm="1">
        <f t="array" ref="CA85">IFERROR(SUM(_xlfn._xlws.FILTER(_xlfn._xlws.FILTER(dataGLBSCF,ISNUMBER(_xlfn.XMATCH(dataGLBSAcctIDs,_xlfn._xlws.FILTER(PBC_ACCOUNT_LIST[Id], ((PBC_ACCOUNT_LIST[Cash Flow Section]="Cash from Financing Activities")*(PBC_ACCOUNT_LIST[Drivers Section]="Assets"))),0))),startDatesCF=EDATE(CA$74,-1))),0)-IFERROR(SUM(_xlfn._xlws.FILTER(_xlfn._xlws.FILTER(dataGLBSCF,ISNUMBER(_xlfn.XMATCH(dataGLBSAcctIDs,_xlfn._xlws.FILTER(PBC_ACCOUNT_LIST[Id], ((PBC_ACCOUNT_LIST[Cash Flow Section]="Cash from Financing Activities")*(PBC_ACCOUNT_LIST[Drivers Section]="Assets"))),0))),endDatesCF=CA$75)),0)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Equity")))),0))),endDatesCF=CA$75)),0)-IFERROR(SUM(_xlfn._xlws.FILTER(_xlfn._xlws.FILTER(dataGLBSCF,ISNUMBER(_xlfn.XMATCH(dataGLBSAcctIDs,_xlfn._xlws.FILTER(PBC_ACCOUNT_LIST[Id],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Equity")))),0))),startDatesCF=EDATE(CA$74,-1))),0)+CA86</f>
        <v>2.9103830456733704E-10</v>
      </c>
      <c r="CB85" s="162" cm="1">
        <f t="array" ref="CB85">IFERROR(SUM(_xlfn._xlws.FILTER(_xlfn._xlws.FILTER(dataGLBSCF,ISNUMBER(_xlfn.XMATCH(dataGLBSAcctIDs,_xlfn._xlws.FILTER(PBC_ACCOUNT_LIST[Id], ((PBC_ACCOUNT_LIST[Cash Flow Section]="Cash from Financing Activities")*(PBC_ACCOUNT_LIST[Drivers Section]="Assets"))),0))),startDatesCF=EDATE(CB$74,-1))),0)-IFERROR(SUM(_xlfn._xlws.FILTER(_xlfn._xlws.FILTER(dataGLBSCF,ISNUMBER(_xlfn.XMATCH(dataGLBSAcctIDs,_xlfn._xlws.FILTER(PBC_ACCOUNT_LIST[Id], ((PBC_ACCOUNT_LIST[Cash Flow Section]="Cash from Financing Activities")*(PBC_ACCOUNT_LIST[Drivers Section]="Assets"))),0))),endDatesCF=CB$75)),0)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Equity")))),0))),endDatesCF=CB$75)),0)-IFERROR(SUM(_xlfn._xlws.FILTER(_xlfn._xlws.FILTER(dataGLBSCF,ISNUMBER(_xlfn.XMATCH(dataGLBSAcctIDs,_xlfn._xlws.FILTER(PBC_ACCOUNT_LIST[Id],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Equity")))),0))),startDatesCF=EDATE(CB$74,-1))),0)+CB86</f>
        <v>-4.6566128730773926E-10</v>
      </c>
      <c r="CC85" s="162" cm="1">
        <f t="array" ref="CC85">IFERROR(SUM(_xlfn._xlws.FILTER(_xlfn._xlws.FILTER(dataGLBSCF,ISNUMBER(_xlfn.XMATCH(dataGLBSAcctIDs,_xlfn._xlws.FILTER(PBC_ACCOUNT_LIST[Id], ((PBC_ACCOUNT_LIST[Cash Flow Section]="Cash from Financing Activities")*(PBC_ACCOUNT_LIST[Drivers Section]="Assets"))),0))),startDatesCF=EDATE(CC$74,-1))),0)-IFERROR(SUM(_xlfn._xlws.FILTER(_xlfn._xlws.FILTER(dataGLBSCF,ISNUMBER(_xlfn.XMATCH(dataGLBSAcctIDs,_xlfn._xlws.FILTER(PBC_ACCOUNT_LIST[Id], ((PBC_ACCOUNT_LIST[Cash Flow Section]="Cash from Financing Activities")*(PBC_ACCOUNT_LIST[Drivers Section]="Assets"))),0))),endDatesCF=CC$75)),0)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Equity")))),0))),endDatesCF=CC$75)),0)-IFERROR(SUM(_xlfn._xlws.FILTER(_xlfn._xlws.FILTER(dataGLBSCF,ISNUMBER(_xlfn.XMATCH(dataGLBSAcctIDs,_xlfn._xlws.FILTER(PBC_ACCOUNT_LIST[Id],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Equity")))),0))),startDatesCF=EDATE(CC$74,-1))),0)+CC86</f>
        <v>2.3283064365386963E-10</v>
      </c>
      <c r="CD85" s="162" cm="1">
        <f t="array" ref="CD85">IFERROR(SUM(_xlfn._xlws.FILTER(_xlfn._xlws.FILTER(dataGLBSCF,ISNUMBER(_xlfn.XMATCH(dataGLBSAcctIDs,_xlfn._xlws.FILTER(PBC_ACCOUNT_LIST[Id], ((PBC_ACCOUNT_LIST[Cash Flow Section]="Cash from Financing Activities")*(PBC_ACCOUNT_LIST[Drivers Section]="Assets"))),0))),startDatesCF=EDATE(CD$74,-1))),0)-IFERROR(SUM(_xlfn._xlws.FILTER(_xlfn._xlws.FILTER(dataGLBSCF,ISNUMBER(_xlfn.XMATCH(dataGLBSAcctIDs,_xlfn._xlws.FILTER(PBC_ACCOUNT_LIST[Id], ((PBC_ACCOUNT_LIST[Cash Flow Section]="Cash from Financing Activities")*(PBC_ACCOUNT_LIST[Drivers Section]="Assets"))),0))),endDatesCF=CD$75)),0)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Equity")))),0))),endDatesCF=CD$75)),0)-IFERROR(SUM(_xlfn._xlws.FILTER(_xlfn._xlws.FILTER(dataGLBSCF,ISNUMBER(_xlfn.XMATCH(dataGLBSAcctIDs,_xlfn._xlws.FILTER(PBC_ACCOUNT_LIST[Id],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Equity")))),0))),startDatesCF=EDATE(CD$74,-1))),0)+CD86</f>
        <v>5.2386894822120667E-10</v>
      </c>
      <c r="CE85" s="162" cm="1">
        <f t="array" ref="CE85">IFERROR(SUM(_xlfn._xlws.FILTER(_xlfn._xlws.FILTER(dataGLBSCF,ISNUMBER(_xlfn.XMATCH(dataGLBSAcctIDs,_xlfn._xlws.FILTER(PBC_ACCOUNT_LIST[Id], ((PBC_ACCOUNT_LIST[Cash Flow Section]="Cash from Financing Activities")*(PBC_ACCOUNT_LIST[Drivers Section]="Assets"))),0))),startDatesCF=EDATE(CE$74,-1))),0)-IFERROR(SUM(_xlfn._xlws.FILTER(_xlfn._xlws.FILTER(dataGLBSCF,ISNUMBER(_xlfn.XMATCH(dataGLBSAcctIDs,_xlfn._xlws.FILTER(PBC_ACCOUNT_LIST[Id], ((PBC_ACCOUNT_LIST[Cash Flow Section]="Cash from Financing Activities")*(PBC_ACCOUNT_LIST[Drivers Section]="Assets"))),0))),endDatesCF=CE$75)),0)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Equity")))),0))),endDatesCF=CE$75)),0)-IFERROR(SUM(_xlfn._xlws.FILTER(_xlfn._xlws.FILTER(dataGLBSCF,ISNUMBER(_xlfn.XMATCH(dataGLBSAcctIDs,_xlfn._xlws.FILTER(PBC_ACCOUNT_LIST[Id],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Equity")))),0))),startDatesCF=EDATE(CE$74,-1))),0)+CE86</f>
        <v>0</v>
      </c>
      <c r="CF85" s="162" cm="1">
        <f t="array" ref="CF85">IFERROR(SUM(_xlfn._xlws.FILTER(_xlfn._xlws.FILTER(dataGLBSCF,ISNUMBER(_xlfn.XMATCH(dataGLBSAcctIDs,_xlfn._xlws.FILTER(PBC_ACCOUNT_LIST[Id], ((PBC_ACCOUNT_LIST[Cash Flow Section]="Cash from Financing Activities")*(PBC_ACCOUNT_LIST[Drivers Section]="Assets"))),0))),startDatesCF=EDATE(CF$74,-1))),0)-IFERROR(SUM(_xlfn._xlws.FILTER(_xlfn._xlws.FILTER(dataGLBSCF,ISNUMBER(_xlfn.XMATCH(dataGLBSAcctIDs,_xlfn._xlws.FILTER(PBC_ACCOUNT_LIST[Id], ((PBC_ACCOUNT_LIST[Cash Flow Section]="Cash from Financing Activities")*(PBC_ACCOUNT_LIST[Drivers Section]="Assets"))),0))),endDatesCF=CF$75)),0)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Equity")))),0))),endDatesCF=CF$75)),0)-IFERROR(SUM(_xlfn._xlws.FILTER(_xlfn._xlws.FILTER(dataGLBSCF,ISNUMBER(_xlfn.XMATCH(dataGLBSAcctIDs,_xlfn._xlws.FILTER(PBC_ACCOUNT_LIST[Id],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Equity")))),0))),startDatesCF=EDATE(CF$74,-1))),0)+CF86</f>
        <v>0</v>
      </c>
      <c r="CG85" s="162" cm="1">
        <f t="array" ref="CG85">IFERROR(SUM(_xlfn._xlws.FILTER(_xlfn._xlws.FILTER(dataGLBSCF,ISNUMBER(_xlfn.XMATCH(dataGLBSAcctIDs,_xlfn._xlws.FILTER(PBC_ACCOUNT_LIST[Id], ((PBC_ACCOUNT_LIST[Cash Flow Section]="Cash from Financing Activities")*(PBC_ACCOUNT_LIST[Drivers Section]="Assets"))),0))),startDatesCF=EDATE(CG$74,-1))),0)-IFERROR(SUM(_xlfn._xlws.FILTER(_xlfn._xlws.FILTER(dataGLBSCF,ISNUMBER(_xlfn.XMATCH(dataGLBSAcctIDs,_xlfn._xlws.FILTER(PBC_ACCOUNT_LIST[Id], ((PBC_ACCOUNT_LIST[Cash Flow Section]="Cash from Financing Activities")*(PBC_ACCOUNT_LIST[Drivers Section]="Assets"))),0))),endDatesCF=CG$75)),0) +IFERROR(SUM(_xlfn._xlws.FILTER(_xlfn._xlws.FILTER(dataGLBSCF,ISNUMBER(_xlfn.XMATCH(dataGLBSAcctIDs,_xlfn._xlws.FILTER(PBC_ACCOUNT_LIST[Id], ((PBC_ACCOUNT_LIST[Cash Flow Section]="Cash from Financing Activities")*((PBC_ACCOUNT_LIST[Drivers Section]="Liabilities")+(PBC_ACCOUNT_LIST[Drivers Section]="Owners Equity")))),0))),endDatesCF=CG$75)),0)-IFERROR(SUM(_xlfn._xlws.FILTER(_xlfn._xlws.FILTER(dataGLBSCF,ISNUMBER(_xlfn.XMATCH(dataGLBSAcctIDs,_xlfn._xlws.FILTER(PBC_ACCOUNT_LIST[Id], ((PBC_ACCOUNT_LIST[Cash Flow Section]="Cash from Financing Activities")*((PBC_ACCOUNT_LIST[Drivers Section]="Liabilities")+(PBC_ACCOUNT_LIST[Drivers Section]="Owners Equity")))),0))),startDatesCF=EDATE(CG$74,-1))),0)+CG86</f>
        <v>0</v>
      </c>
    </row>
    <row r="86" spans="1:85" hidden="1" outlineLevel="2">
      <c r="A86" s="157"/>
      <c r="B86" s="157"/>
      <c r="C86" s="164" t="s">
        <v>174</v>
      </c>
      <c r="D86" s="163"/>
      <c r="F86" s="163"/>
      <c r="G86" s="163"/>
      <c r="J86" s="162" cm="1">
        <f t="array" ref="J86">SUM( _xlfn._xlws.FILTER(_xlfn._xlws.FILTER(dataGLBSCF,((dataGLBSAcctIDs=999)+(ISNUMBER(_xlfn.XMATCH(dataGLBSAcctIDs,_xlfn._xlws.FILTER(PBC_ACCOUNT_LIST[Id],PBC_ACCOUNT_LIST[AccountSubType]="RetainedEarnings")))))),endDatesCF=J$75))-SUM(_xlfn._xlws.FILTER(_xlfn._xlws.FILTER(dataGLBSCF,((dataGLBSAcctIDs=999)+(ISNUMBER(_xlfn.XMATCH(dataGLBSAcctIDs,_xlfn._xlws.FILTER(PBC_ACCOUNT_LIST[Id],PBC_ACCOUNT_LIST[AccountSubType]="RetainedEarnings")))))),startDatesCF=EDATE(J$74,-1)))-(IFERROR(SUM(_xlfn._xlws.FILTER(_xlfn._xlws.FILTER(dataGLPL,ISNUMBER(MATCH(dataGLPLSections,{"Revenue","Other Income"},0))),(startDates&gt;=J$74)*(endDates&lt;=J$75))),0)-IFERROR(SUM(_xlfn._xlws.FILTER(_xlfn._xlws.FILTER(dataGLPL,ISNUMBER(MATCH(dataGLPLSections,{"COGS","Opex","Other Expenses"},0))),(startDates&gt;=J$74)*(endDates&lt;=J$75))),0))</f>
        <v>0</v>
      </c>
      <c r="K86" s="162" cm="1">
        <f t="array" ref="K86">SUM( _xlfn._xlws.FILTER(_xlfn._xlws.FILTER(dataGLBSCF,((dataGLBSAcctIDs=999)+(ISNUMBER(_xlfn.XMATCH(dataGLBSAcctIDs,_xlfn._xlws.FILTER(PBC_ACCOUNT_LIST[Id],PBC_ACCOUNT_LIST[AccountSubType]="RetainedEarnings")))))),endDatesCF=K$75))-SUM(_xlfn._xlws.FILTER(_xlfn._xlws.FILTER(dataGLBSCF,((dataGLBSAcctIDs=999)+(ISNUMBER(_xlfn.XMATCH(dataGLBSAcctIDs,_xlfn._xlws.FILTER(PBC_ACCOUNT_LIST[Id],PBC_ACCOUNT_LIST[AccountSubType]="RetainedEarnings")))))),startDatesCF=EDATE(K$74,-1)))-(IFERROR(SUM(_xlfn._xlws.FILTER(_xlfn._xlws.FILTER(dataGLPL,ISNUMBER(MATCH(dataGLPLSections,{"Revenue","Other Income"},0))),(startDates&gt;=K$74)*(endDates&lt;=K$75))),0)-IFERROR(SUM(_xlfn._xlws.FILTER(_xlfn._xlws.FILTER(dataGLPL,ISNUMBER(MATCH(dataGLPLSections,{"COGS","Opex","Other Expenses"},0))),(startDates&gt;=K$74)*(endDates&lt;=K$75))),0))</f>
        <v>0</v>
      </c>
      <c r="N86" s="162" cm="1">
        <f t="array" ref="N86">SUM( _xlfn._xlws.FILTER(_xlfn._xlws.FILTER(dataGLBSCF,((dataGLBSAcctIDs=999)+(ISNUMBER(_xlfn.XMATCH(dataGLBSAcctIDs,_xlfn._xlws.FILTER(PBC_ACCOUNT_LIST[Id],PBC_ACCOUNT_LIST[AccountSubType]="RetainedEarnings")))))),endDatesCF=N$75))-SUM(_xlfn._xlws.FILTER(_xlfn._xlws.FILTER(dataGLBSCF,((dataGLBSAcctIDs=999)+(ISNUMBER(_xlfn.XMATCH(dataGLBSAcctIDs,_xlfn._xlws.FILTER(PBC_ACCOUNT_LIST[Id],PBC_ACCOUNT_LIST[AccountSubType]="RetainedEarnings")))))),startDatesCF=EDATE(N$74,-1)))-(IFERROR(SUM(_xlfn._xlws.FILTER(_xlfn._xlws.FILTER(dataGLPL,ISNUMBER(MATCH(dataGLPLSections,{"Revenue","Other Income"},0))),(startDates&gt;=N$74)*(endDates&lt;=N$75))),0)-IFERROR(SUM(_xlfn._xlws.FILTER(_xlfn._xlws.FILTER(dataGLPL,ISNUMBER(MATCH(dataGLPLSections,{"COGS","Opex","Other Expenses"},0))),(startDates&gt;=N$74)*(endDates&lt;=N$75))),0))</f>
        <v>0</v>
      </c>
      <c r="O86" s="162" cm="1">
        <f t="array" ref="O86">SUM( _xlfn._xlws.FILTER(_xlfn._xlws.FILTER(dataGLBSCF,((dataGLBSAcctIDs=999)+(ISNUMBER(_xlfn.XMATCH(dataGLBSAcctIDs,_xlfn._xlws.FILTER(PBC_ACCOUNT_LIST[Id],PBC_ACCOUNT_LIST[AccountSubType]="RetainedEarnings")))))),endDatesCF=O$75))-SUM(_xlfn._xlws.FILTER(_xlfn._xlws.FILTER(dataGLBSCF,((dataGLBSAcctIDs=999)+(ISNUMBER(_xlfn.XMATCH(dataGLBSAcctIDs,_xlfn._xlws.FILTER(PBC_ACCOUNT_LIST[Id],PBC_ACCOUNT_LIST[AccountSubType]="RetainedEarnings")))))),startDatesCF=EDATE(O$74,-1)))-(IFERROR(SUM(_xlfn._xlws.FILTER(_xlfn._xlws.FILTER(dataGLPL,ISNUMBER(MATCH(dataGLPLSections,{"Revenue","Other Income"},0))),(startDates&gt;=O$74)*(endDates&lt;=O$75))),0)-IFERROR(SUM(_xlfn._xlws.FILTER(_xlfn._xlws.FILTER(dataGLPL,ISNUMBER(MATCH(dataGLPLSections,{"COGS","Opex","Other Expenses"},0))),(startDates&gt;=O$74)*(endDates&lt;=O$75))),0))</f>
        <v>0</v>
      </c>
      <c r="P86" s="162" cm="1">
        <f t="array" ref="P86">SUM( _xlfn._xlws.FILTER(_xlfn._xlws.FILTER(dataGLBSCF,((dataGLBSAcctIDs=999)+(ISNUMBER(_xlfn.XMATCH(dataGLBSAcctIDs,_xlfn._xlws.FILTER(PBC_ACCOUNT_LIST[Id],PBC_ACCOUNT_LIST[AccountSubType]="RetainedEarnings")))))),endDatesCF=P$75))-SUM(_xlfn._xlws.FILTER(_xlfn._xlws.FILTER(dataGLBSCF,((dataGLBSAcctIDs=999)+(ISNUMBER(_xlfn.XMATCH(dataGLBSAcctIDs,_xlfn._xlws.FILTER(PBC_ACCOUNT_LIST[Id],PBC_ACCOUNT_LIST[AccountSubType]="RetainedEarnings")))))),startDatesCF=EDATE(P$74,-1)))-(IFERROR(SUM(_xlfn._xlws.FILTER(_xlfn._xlws.FILTER(dataGLPL,ISNUMBER(MATCH(dataGLPLSections,{"Revenue","Other Income"},0))),(startDates&gt;=P$74)*(endDates&lt;=P$75))),0)-IFERROR(SUM(_xlfn._xlws.FILTER(_xlfn._xlws.FILTER(dataGLPL,ISNUMBER(MATCH(dataGLPLSections,{"COGS","Opex","Other Expenses"},0))),(startDates&gt;=P$74)*(endDates&lt;=P$75))),0))</f>
        <v>0</v>
      </c>
      <c r="Q86" s="162" cm="1">
        <f t="array" ref="Q86">SUM( _xlfn._xlws.FILTER(_xlfn._xlws.FILTER(dataGLBSCF,((dataGLBSAcctIDs=999)+(ISNUMBER(_xlfn.XMATCH(dataGLBSAcctIDs,_xlfn._xlws.FILTER(PBC_ACCOUNT_LIST[Id],PBC_ACCOUNT_LIST[AccountSubType]="RetainedEarnings")))))),endDatesCF=Q$75))-SUM(_xlfn._xlws.FILTER(_xlfn._xlws.FILTER(dataGLBSCF,((dataGLBSAcctIDs=999)+(ISNUMBER(_xlfn.XMATCH(dataGLBSAcctIDs,_xlfn._xlws.FILTER(PBC_ACCOUNT_LIST[Id],PBC_ACCOUNT_LIST[AccountSubType]="RetainedEarnings")))))),startDatesCF=EDATE(Q$74,-1)))-(IFERROR(SUM(_xlfn._xlws.FILTER(_xlfn._xlws.FILTER(dataGLPL,ISNUMBER(MATCH(dataGLPLSections,{"Revenue","Other Income"},0))),(startDates&gt;=Q$74)*(endDates&lt;=Q$75))),0)-IFERROR(SUM(_xlfn._xlws.FILTER(_xlfn._xlws.FILTER(dataGLPL,ISNUMBER(MATCH(dataGLPLSections,{"COGS","Opex","Other Expenses"},0))),(startDates&gt;=Q$74)*(endDates&lt;=Q$75))),0))</f>
        <v>0</v>
      </c>
      <c r="T86" s="162" cm="1">
        <f t="array" ref="T86">SUM( _xlfn._xlws.FILTER(_xlfn._xlws.FILTER(dataGLBSCF,((dataGLBSAcctIDs=999)+(ISNUMBER(_xlfn.XMATCH(dataGLBSAcctIDs,_xlfn._xlws.FILTER(PBC_ACCOUNT_LIST[Id],PBC_ACCOUNT_LIST[AccountSubType]="RetainedEarnings")))))),endDatesCF=T$75))-SUM(_xlfn._xlws.FILTER(_xlfn._xlws.FILTER(dataGLBSCF,((dataGLBSAcctIDs=999)+(ISNUMBER(_xlfn.XMATCH(dataGLBSAcctIDs,_xlfn._xlws.FILTER(PBC_ACCOUNT_LIST[Id],PBC_ACCOUNT_LIST[AccountSubType]="RetainedEarnings")))))),startDatesCF=EDATE(T$74,-1)))-(IFERROR(SUM(_xlfn._xlws.FILTER(_xlfn._xlws.FILTER(dataGLPL,ISNUMBER(MATCH(dataGLPLSections,{"Revenue","Other Income"},0))),(startDates&gt;=T$74)*(endDates&lt;=T$75))),0)-IFERROR(SUM(_xlfn._xlws.FILTER(_xlfn._xlws.FILTER(dataGLPL,ISNUMBER(MATCH(dataGLPLSections,{"COGS","Opex","Other Expenses"},0))),(startDates&gt;=T$74)*(endDates&lt;=T$75))),0))</f>
        <v>0</v>
      </c>
      <c r="U86" s="162" cm="1">
        <f t="array" ref="U86">SUM( _xlfn._xlws.FILTER(_xlfn._xlws.FILTER(dataGLBSCF,((dataGLBSAcctIDs=999)+(ISNUMBER(_xlfn.XMATCH(dataGLBSAcctIDs,_xlfn._xlws.FILTER(PBC_ACCOUNT_LIST[Id],PBC_ACCOUNT_LIST[AccountSubType]="RetainedEarnings")))))),endDatesCF=U$75))-SUM(_xlfn._xlws.FILTER(_xlfn._xlws.FILTER(dataGLBSCF,((dataGLBSAcctIDs=999)+(ISNUMBER(_xlfn.XMATCH(dataGLBSAcctIDs,_xlfn._xlws.FILTER(PBC_ACCOUNT_LIST[Id],PBC_ACCOUNT_LIST[AccountSubType]="RetainedEarnings")))))),startDatesCF=EDATE(U$74,-1)))-(IFERROR(SUM(_xlfn._xlws.FILTER(_xlfn._xlws.FILTER(dataGLPL,ISNUMBER(MATCH(dataGLPLSections,{"Revenue","Other Income"},0))),(startDates&gt;=U$74)*(endDates&lt;=U$75))),0)-IFERROR(SUM(_xlfn._xlws.FILTER(_xlfn._xlws.FILTER(dataGLPL,ISNUMBER(MATCH(dataGLPLSections,{"COGS","Opex","Other Expenses"},0))),(startDates&gt;=U$74)*(endDates&lt;=U$75))),0))</f>
        <v>0</v>
      </c>
      <c r="V86" s="162" cm="1">
        <f t="array" ref="V86">SUM( _xlfn._xlws.FILTER(_xlfn._xlws.FILTER(dataGLBSCF,((dataGLBSAcctIDs=999)+(ISNUMBER(_xlfn.XMATCH(dataGLBSAcctIDs,_xlfn._xlws.FILTER(PBC_ACCOUNT_LIST[Id],PBC_ACCOUNT_LIST[AccountSubType]="RetainedEarnings")))))),endDatesCF=V$75))-SUM(_xlfn._xlws.FILTER(_xlfn._xlws.FILTER(dataGLBSCF,((dataGLBSAcctIDs=999)+(ISNUMBER(_xlfn.XMATCH(dataGLBSAcctIDs,_xlfn._xlws.FILTER(PBC_ACCOUNT_LIST[Id],PBC_ACCOUNT_LIST[AccountSubType]="RetainedEarnings")))))),startDatesCF=EDATE(V$74,-1)))-(IFERROR(SUM(_xlfn._xlws.FILTER(_xlfn._xlws.FILTER(dataGLPL,ISNUMBER(MATCH(dataGLPLSections,{"Revenue","Other Income"},0))),(startDates&gt;=V$74)*(endDates&lt;=V$75))),0)-IFERROR(SUM(_xlfn._xlws.FILTER(_xlfn._xlws.FILTER(dataGLPL,ISNUMBER(MATCH(dataGLPLSections,{"COGS","Opex","Other Expenses"},0))),(startDates&gt;=V$74)*(endDates&lt;=V$75))),0))</f>
        <v>0</v>
      </c>
      <c r="W86" s="162" cm="1">
        <f t="array" ref="W86">SUM( _xlfn._xlws.FILTER(_xlfn._xlws.FILTER(dataGLBSCF,((dataGLBSAcctIDs=999)+(ISNUMBER(_xlfn.XMATCH(dataGLBSAcctIDs,_xlfn._xlws.FILTER(PBC_ACCOUNT_LIST[Id],PBC_ACCOUNT_LIST[AccountSubType]="RetainedEarnings")))))),endDatesCF=W$75))-SUM(_xlfn._xlws.FILTER(_xlfn._xlws.FILTER(dataGLBSCF,((dataGLBSAcctIDs=999)+(ISNUMBER(_xlfn.XMATCH(dataGLBSAcctIDs,_xlfn._xlws.FILTER(PBC_ACCOUNT_LIST[Id],PBC_ACCOUNT_LIST[AccountSubType]="RetainedEarnings")))))),startDatesCF=EDATE(W$74,-1)))-(IFERROR(SUM(_xlfn._xlws.FILTER(_xlfn._xlws.FILTER(dataGLPL,ISNUMBER(MATCH(dataGLPLSections,{"Revenue","Other Income"},0))),(startDates&gt;=W$74)*(endDates&lt;=W$75))),0)-IFERROR(SUM(_xlfn._xlws.FILTER(_xlfn._xlws.FILTER(dataGLPL,ISNUMBER(MATCH(dataGLPLSections,{"COGS","Opex","Other Expenses"},0))),(startDates&gt;=W$74)*(endDates&lt;=W$75))),0))</f>
        <v>0</v>
      </c>
      <c r="X86" s="162" cm="1">
        <f t="array" ref="X86">SUM( _xlfn._xlws.FILTER(_xlfn._xlws.FILTER(dataGLBSCF,((dataGLBSAcctIDs=999)+(ISNUMBER(_xlfn.XMATCH(dataGLBSAcctIDs,_xlfn._xlws.FILTER(PBC_ACCOUNT_LIST[Id],PBC_ACCOUNT_LIST[AccountSubType]="RetainedEarnings")))))),endDatesCF=X$75))-SUM(_xlfn._xlws.FILTER(_xlfn._xlws.FILTER(dataGLBSCF,((dataGLBSAcctIDs=999)+(ISNUMBER(_xlfn.XMATCH(dataGLBSAcctIDs,_xlfn._xlws.FILTER(PBC_ACCOUNT_LIST[Id],PBC_ACCOUNT_LIST[AccountSubType]="RetainedEarnings")))))),startDatesCF=EDATE(X$74,-1)))-(IFERROR(SUM(_xlfn._xlws.FILTER(_xlfn._xlws.FILTER(dataGLPL,ISNUMBER(MATCH(dataGLPLSections,{"Revenue","Other Income"},0))),(startDates&gt;=X$74)*(endDates&lt;=X$75))),0)-IFERROR(SUM(_xlfn._xlws.FILTER(_xlfn._xlws.FILTER(dataGLPL,ISNUMBER(MATCH(dataGLPLSections,{"COGS","Opex","Other Expenses"},0))),(startDates&gt;=X$74)*(endDates&lt;=X$75))),0))</f>
        <v>0</v>
      </c>
      <c r="Y86" s="162" cm="1">
        <f t="array" ref="Y86">SUM( _xlfn._xlws.FILTER(_xlfn._xlws.FILTER(dataGLBSCF,((dataGLBSAcctIDs=999)+(ISNUMBER(_xlfn.XMATCH(dataGLBSAcctIDs,_xlfn._xlws.FILTER(PBC_ACCOUNT_LIST[Id],PBC_ACCOUNT_LIST[AccountSubType]="RetainedEarnings")))))),endDatesCF=Y$75))-SUM(_xlfn._xlws.FILTER(_xlfn._xlws.FILTER(dataGLBSCF,((dataGLBSAcctIDs=999)+(ISNUMBER(_xlfn.XMATCH(dataGLBSAcctIDs,_xlfn._xlws.FILTER(PBC_ACCOUNT_LIST[Id],PBC_ACCOUNT_LIST[AccountSubType]="RetainedEarnings")))))),startDatesCF=EDATE(Y$74,-1)))-(IFERROR(SUM(_xlfn._xlws.FILTER(_xlfn._xlws.FILTER(dataGLPL,ISNUMBER(MATCH(dataGLPLSections,{"Revenue","Other Income"},0))),(startDates&gt;=Y$74)*(endDates&lt;=Y$75))),0)-IFERROR(SUM(_xlfn._xlws.FILTER(_xlfn._xlws.FILTER(dataGLPL,ISNUMBER(MATCH(dataGLPLSections,{"COGS","Opex","Other Expenses"},0))),(startDates&gt;=Y$74)*(endDates&lt;=Y$75))),0))</f>
        <v>0</v>
      </c>
      <c r="Z86" s="162" cm="1">
        <f t="array" ref="Z86">SUM( _xlfn._xlws.FILTER(_xlfn._xlws.FILTER(dataGLBSCF,((dataGLBSAcctIDs=999)+(ISNUMBER(_xlfn.XMATCH(dataGLBSAcctIDs,_xlfn._xlws.FILTER(PBC_ACCOUNT_LIST[Id],PBC_ACCOUNT_LIST[AccountSubType]="RetainedEarnings")))))),endDatesCF=Z$75))-SUM(_xlfn._xlws.FILTER(_xlfn._xlws.FILTER(dataGLBSCF,((dataGLBSAcctIDs=999)+(ISNUMBER(_xlfn.XMATCH(dataGLBSAcctIDs,_xlfn._xlws.FILTER(PBC_ACCOUNT_LIST[Id],PBC_ACCOUNT_LIST[AccountSubType]="RetainedEarnings")))))),startDatesCF=EDATE(Z$74,-1)))-(IFERROR(SUM(_xlfn._xlws.FILTER(_xlfn._xlws.FILTER(dataGLPL,ISNUMBER(MATCH(dataGLPLSections,{"Revenue","Other Income"},0))),(startDates&gt;=Z$74)*(endDates&lt;=Z$75))),0)-IFERROR(SUM(_xlfn._xlws.FILTER(_xlfn._xlws.FILTER(dataGLPL,ISNUMBER(MATCH(dataGLPLSections,{"COGS","Opex","Other Expenses"},0))),(startDates&gt;=Z$74)*(endDates&lt;=Z$75))),0))</f>
        <v>0</v>
      </c>
      <c r="AA86" s="162" cm="1">
        <f t="array" ref="AA86">SUM( _xlfn._xlws.FILTER(_xlfn._xlws.FILTER(dataGLBSCF,((dataGLBSAcctIDs=999)+(ISNUMBER(_xlfn.XMATCH(dataGLBSAcctIDs,_xlfn._xlws.FILTER(PBC_ACCOUNT_LIST[Id],PBC_ACCOUNT_LIST[AccountSubType]="RetainedEarnings")))))),endDatesCF=AA$75))-SUM(_xlfn._xlws.FILTER(_xlfn._xlws.FILTER(dataGLBSCF,((dataGLBSAcctIDs=999)+(ISNUMBER(_xlfn.XMATCH(dataGLBSAcctIDs,_xlfn._xlws.FILTER(PBC_ACCOUNT_LIST[Id],PBC_ACCOUNT_LIST[AccountSubType]="RetainedEarnings")))))),startDatesCF=EDATE(AA$74,-1)))-(IFERROR(SUM(_xlfn._xlws.FILTER(_xlfn._xlws.FILTER(dataGLPL,ISNUMBER(MATCH(dataGLPLSections,{"Revenue","Other Income"},0))),(startDates&gt;=AA$74)*(endDates&lt;=AA$75))),0)-IFERROR(SUM(_xlfn._xlws.FILTER(_xlfn._xlws.FILTER(dataGLPL,ISNUMBER(MATCH(dataGLPLSections,{"COGS","Opex","Other Expenses"},0))),(startDates&gt;=AA$74)*(endDates&lt;=AA$75))),0))</f>
        <v>0</v>
      </c>
      <c r="AB86" s="162" cm="1">
        <f t="array" ref="AB86">SUM( _xlfn._xlws.FILTER(_xlfn._xlws.FILTER(dataGLBSCF,((dataGLBSAcctIDs=999)+(ISNUMBER(_xlfn.XMATCH(dataGLBSAcctIDs,_xlfn._xlws.FILTER(PBC_ACCOUNT_LIST[Id],PBC_ACCOUNT_LIST[AccountSubType]="RetainedEarnings")))))),endDatesCF=AB$75))-SUM(_xlfn._xlws.FILTER(_xlfn._xlws.FILTER(dataGLBSCF,((dataGLBSAcctIDs=999)+(ISNUMBER(_xlfn.XMATCH(dataGLBSAcctIDs,_xlfn._xlws.FILTER(PBC_ACCOUNT_LIST[Id],PBC_ACCOUNT_LIST[AccountSubType]="RetainedEarnings")))))),startDatesCF=EDATE(AB$74,-1)))-(IFERROR(SUM(_xlfn._xlws.FILTER(_xlfn._xlws.FILTER(dataGLPL,ISNUMBER(MATCH(dataGLPLSections,{"Revenue","Other Income"},0))),(startDates&gt;=AB$74)*(endDates&lt;=AB$75))),0)-IFERROR(SUM(_xlfn._xlws.FILTER(_xlfn._xlws.FILTER(dataGLPL,ISNUMBER(MATCH(dataGLPLSections,{"COGS","Opex","Other Expenses"},0))),(startDates&gt;=AB$74)*(endDates&lt;=AB$75))),0))</f>
        <v>0</v>
      </c>
      <c r="AC86" s="162" cm="1">
        <f t="array" ref="AC86">SUM( _xlfn._xlws.FILTER(_xlfn._xlws.FILTER(dataGLBSCF,((dataGLBSAcctIDs=999)+(ISNUMBER(_xlfn.XMATCH(dataGLBSAcctIDs,_xlfn._xlws.FILTER(PBC_ACCOUNT_LIST[Id],PBC_ACCOUNT_LIST[AccountSubType]="RetainedEarnings")))))),endDatesCF=AC$75))-SUM(_xlfn._xlws.FILTER(_xlfn._xlws.FILTER(dataGLBSCF,((dataGLBSAcctIDs=999)+(ISNUMBER(_xlfn.XMATCH(dataGLBSAcctIDs,_xlfn._xlws.FILTER(PBC_ACCOUNT_LIST[Id],PBC_ACCOUNT_LIST[AccountSubType]="RetainedEarnings")))))),startDatesCF=EDATE(AC$74,-1)))-(IFERROR(SUM(_xlfn._xlws.FILTER(_xlfn._xlws.FILTER(dataGLPL,ISNUMBER(MATCH(dataGLPLSections,{"Revenue","Other Income"},0))),(startDates&gt;=AC$74)*(endDates&lt;=AC$75))),0)-IFERROR(SUM(_xlfn._xlws.FILTER(_xlfn._xlws.FILTER(dataGLPL,ISNUMBER(MATCH(dataGLPLSections,{"COGS","Opex","Other Expenses"},0))),(startDates&gt;=AC$74)*(endDates&lt;=AC$75))),0))</f>
        <v>0</v>
      </c>
      <c r="AD86" s="162" cm="1">
        <f t="array" ref="AD86">SUM( _xlfn._xlws.FILTER(_xlfn._xlws.FILTER(dataGLBSCF,((dataGLBSAcctIDs=999)+(ISNUMBER(_xlfn.XMATCH(dataGLBSAcctIDs,_xlfn._xlws.FILTER(PBC_ACCOUNT_LIST[Id],PBC_ACCOUNT_LIST[AccountSubType]="RetainedEarnings")))))),endDatesCF=AD$75))-SUM(_xlfn._xlws.FILTER(_xlfn._xlws.FILTER(dataGLBSCF,((dataGLBSAcctIDs=999)+(ISNUMBER(_xlfn.XMATCH(dataGLBSAcctIDs,_xlfn._xlws.FILTER(PBC_ACCOUNT_LIST[Id],PBC_ACCOUNT_LIST[AccountSubType]="RetainedEarnings")))))),startDatesCF=EDATE(AD$74,-1)))-(IFERROR(SUM(_xlfn._xlws.FILTER(_xlfn._xlws.FILTER(dataGLPL,ISNUMBER(MATCH(dataGLPLSections,{"Revenue","Other Income"},0))),(startDates&gt;=AD$74)*(endDates&lt;=AD$75))),0)-IFERROR(SUM(_xlfn._xlws.FILTER(_xlfn._xlws.FILTER(dataGLPL,ISNUMBER(MATCH(dataGLPLSections,{"COGS","Opex","Other Expenses"},0))),(startDates&gt;=AD$74)*(endDates&lt;=AD$75))),0))</f>
        <v>0</v>
      </c>
      <c r="AE86" s="162" cm="1">
        <f t="array" ref="AE86">SUM( _xlfn._xlws.FILTER(_xlfn._xlws.FILTER(dataGLBSCF,((dataGLBSAcctIDs=999)+(ISNUMBER(_xlfn.XMATCH(dataGLBSAcctIDs,_xlfn._xlws.FILTER(PBC_ACCOUNT_LIST[Id],PBC_ACCOUNT_LIST[AccountSubType]="RetainedEarnings")))))),endDatesCF=AE$75))-SUM(_xlfn._xlws.FILTER(_xlfn._xlws.FILTER(dataGLBSCF,((dataGLBSAcctIDs=999)+(ISNUMBER(_xlfn.XMATCH(dataGLBSAcctIDs,_xlfn._xlws.FILTER(PBC_ACCOUNT_LIST[Id],PBC_ACCOUNT_LIST[AccountSubType]="RetainedEarnings")))))),startDatesCF=EDATE(AE$74,-1)))-(IFERROR(SUM(_xlfn._xlws.FILTER(_xlfn._xlws.FILTER(dataGLPL,ISNUMBER(MATCH(dataGLPLSections,{"Revenue","Other Income"},0))),(startDates&gt;=AE$74)*(endDates&lt;=AE$75))),0)-IFERROR(SUM(_xlfn._xlws.FILTER(_xlfn._xlws.FILTER(dataGLPL,ISNUMBER(MATCH(dataGLPLSections,{"COGS","Opex","Other Expenses"},0))),(startDates&gt;=AE$74)*(endDates&lt;=AE$75))),0))</f>
        <v>0</v>
      </c>
      <c r="AF86" s="162" cm="1">
        <f t="array" ref="AF86">SUM( _xlfn._xlws.FILTER(_xlfn._xlws.FILTER(dataGLBSCF,((dataGLBSAcctIDs=999)+(ISNUMBER(_xlfn.XMATCH(dataGLBSAcctIDs,_xlfn._xlws.FILTER(PBC_ACCOUNT_LIST[Id],PBC_ACCOUNT_LIST[AccountSubType]="RetainedEarnings")))))),endDatesCF=AF$75))-SUM(_xlfn._xlws.FILTER(_xlfn._xlws.FILTER(dataGLBSCF,((dataGLBSAcctIDs=999)+(ISNUMBER(_xlfn.XMATCH(dataGLBSAcctIDs,_xlfn._xlws.FILTER(PBC_ACCOUNT_LIST[Id],PBC_ACCOUNT_LIST[AccountSubType]="RetainedEarnings")))))),startDatesCF=EDATE(AF$74,-1)))-(IFERROR(SUM(_xlfn._xlws.FILTER(_xlfn._xlws.FILTER(dataGLPL,ISNUMBER(MATCH(dataGLPLSections,{"Revenue","Other Income"},0))),(startDates&gt;=AF$74)*(endDates&lt;=AF$75))),0)-IFERROR(SUM(_xlfn._xlws.FILTER(_xlfn._xlws.FILTER(dataGLPL,ISNUMBER(MATCH(dataGLPLSections,{"COGS","Opex","Other Expenses"},0))),(startDates&gt;=AF$74)*(endDates&lt;=AF$75))),0))</f>
        <v>0</v>
      </c>
      <c r="AG86" s="162" cm="1">
        <f t="array" ref="AG86">SUM( _xlfn._xlws.FILTER(_xlfn._xlws.FILTER(dataGLBSCF,((dataGLBSAcctIDs=999)+(ISNUMBER(_xlfn.XMATCH(dataGLBSAcctIDs,_xlfn._xlws.FILTER(PBC_ACCOUNT_LIST[Id],PBC_ACCOUNT_LIST[AccountSubType]="RetainedEarnings")))))),endDatesCF=AG$75))-SUM(_xlfn._xlws.FILTER(_xlfn._xlws.FILTER(dataGLBSCF,((dataGLBSAcctIDs=999)+(ISNUMBER(_xlfn.XMATCH(dataGLBSAcctIDs,_xlfn._xlws.FILTER(PBC_ACCOUNT_LIST[Id],PBC_ACCOUNT_LIST[AccountSubType]="RetainedEarnings")))))),startDatesCF=EDATE(AG$74,-1)))-(IFERROR(SUM(_xlfn._xlws.FILTER(_xlfn._xlws.FILTER(dataGLPL,ISNUMBER(MATCH(dataGLPLSections,{"Revenue","Other Income"},0))),(startDates&gt;=AG$74)*(endDates&lt;=AG$75))),0)-IFERROR(SUM(_xlfn._xlws.FILTER(_xlfn._xlws.FILTER(dataGLPL,ISNUMBER(MATCH(dataGLPLSections,{"COGS","Opex","Other Expenses"},0))),(startDates&gt;=AG$74)*(endDates&lt;=AG$75))),0))</f>
        <v>0</v>
      </c>
      <c r="AH86" s="162" cm="1">
        <f t="array" ref="AH86">SUM( _xlfn._xlws.FILTER(_xlfn._xlws.FILTER(dataGLBSCF,((dataGLBSAcctIDs=999)+(ISNUMBER(_xlfn.XMATCH(dataGLBSAcctIDs,_xlfn._xlws.FILTER(PBC_ACCOUNT_LIST[Id],PBC_ACCOUNT_LIST[AccountSubType]="RetainedEarnings")))))),endDatesCF=AH$75))-SUM(_xlfn._xlws.FILTER(_xlfn._xlws.FILTER(dataGLBSCF,((dataGLBSAcctIDs=999)+(ISNUMBER(_xlfn.XMATCH(dataGLBSAcctIDs,_xlfn._xlws.FILTER(PBC_ACCOUNT_LIST[Id],PBC_ACCOUNT_LIST[AccountSubType]="RetainedEarnings")))))),startDatesCF=EDATE(AH$74,-1)))-(IFERROR(SUM(_xlfn._xlws.FILTER(_xlfn._xlws.FILTER(dataGLPL,ISNUMBER(MATCH(dataGLPLSections,{"Revenue","Other Income"},0))),(startDates&gt;=AH$74)*(endDates&lt;=AH$75))),0)-IFERROR(SUM(_xlfn._xlws.FILTER(_xlfn._xlws.FILTER(dataGLPL,ISNUMBER(MATCH(dataGLPLSections,{"COGS","Opex","Other Expenses"},0))),(startDates&gt;=AH$74)*(endDates&lt;=AH$75))),0))</f>
        <v>0</v>
      </c>
      <c r="AI86" s="162" cm="1">
        <f t="array" ref="AI86">SUM( _xlfn._xlws.FILTER(_xlfn._xlws.FILTER(dataGLBSCF,((dataGLBSAcctIDs=999)+(ISNUMBER(_xlfn.XMATCH(dataGLBSAcctIDs,_xlfn._xlws.FILTER(PBC_ACCOUNT_LIST[Id],PBC_ACCOUNT_LIST[AccountSubType]="RetainedEarnings")))))),endDatesCF=AI$75))-SUM(_xlfn._xlws.FILTER(_xlfn._xlws.FILTER(dataGLBSCF,((dataGLBSAcctIDs=999)+(ISNUMBER(_xlfn.XMATCH(dataGLBSAcctIDs,_xlfn._xlws.FILTER(PBC_ACCOUNT_LIST[Id],PBC_ACCOUNT_LIST[AccountSubType]="RetainedEarnings")))))),startDatesCF=EDATE(AI$74,-1)))-(IFERROR(SUM(_xlfn._xlws.FILTER(_xlfn._xlws.FILTER(dataGLPL,ISNUMBER(MATCH(dataGLPLSections,{"Revenue","Other Income"},0))),(startDates&gt;=AI$74)*(endDates&lt;=AI$75))),0)-IFERROR(SUM(_xlfn._xlws.FILTER(_xlfn._xlws.FILTER(dataGLPL,ISNUMBER(MATCH(dataGLPLSections,{"COGS","Opex","Other Expenses"},0))),(startDates&gt;=AI$74)*(endDates&lt;=AI$75))),0))</f>
        <v>0</v>
      </c>
      <c r="AL86" s="162" cm="1">
        <f t="array" ref="AL86">SUM( _xlfn._xlws.FILTER(_xlfn._xlws.FILTER(dataGLBSCF,((dataGLBSAcctIDs=999)+(ISNUMBER(_xlfn.XMATCH(dataGLBSAcctIDs,_xlfn._xlws.FILTER(PBC_ACCOUNT_LIST[Id],PBC_ACCOUNT_LIST[AccountSubType]="RetainedEarnings")))))),endDatesCF=AL$75))-SUM(_xlfn._xlws.FILTER(_xlfn._xlws.FILTER(dataGLBSCF,((dataGLBSAcctIDs=999)+(ISNUMBER(_xlfn.XMATCH(dataGLBSAcctIDs,_xlfn._xlws.FILTER(PBC_ACCOUNT_LIST[Id],PBC_ACCOUNT_LIST[AccountSubType]="RetainedEarnings")))))),startDatesCF=EDATE(AL$74,-1)))-(IFERROR(SUM(_xlfn._xlws.FILTER(_xlfn._xlws.FILTER(dataGLPL,ISNUMBER(MATCH(dataGLPLSections,{"Revenue","Other Income"},0))),(startDates&gt;=AL$74)*(endDates&lt;=AL$75))),0)-IFERROR(SUM(_xlfn._xlws.FILTER(_xlfn._xlws.FILTER(dataGLPL,ISNUMBER(MATCH(dataGLPLSections,{"COGS","Opex","Other Expenses"},0))),(startDates&gt;=AL$74)*(endDates&lt;=AL$75))),0))</f>
        <v>0</v>
      </c>
      <c r="AM86" s="162" cm="1">
        <f t="array" ref="AM86">SUM( _xlfn._xlws.FILTER(_xlfn._xlws.FILTER(dataGLBSCF,((dataGLBSAcctIDs=999)+(ISNUMBER(_xlfn.XMATCH(dataGLBSAcctIDs,_xlfn._xlws.FILTER(PBC_ACCOUNT_LIST[Id],PBC_ACCOUNT_LIST[AccountSubType]="RetainedEarnings")))))),endDatesCF=AM$75))-SUM(_xlfn._xlws.FILTER(_xlfn._xlws.FILTER(dataGLBSCF,((dataGLBSAcctIDs=999)+(ISNUMBER(_xlfn.XMATCH(dataGLBSAcctIDs,_xlfn._xlws.FILTER(PBC_ACCOUNT_LIST[Id],PBC_ACCOUNT_LIST[AccountSubType]="RetainedEarnings")))))),startDatesCF=EDATE(AM$74,-1)))-(IFERROR(SUM(_xlfn._xlws.FILTER(_xlfn._xlws.FILTER(dataGLPL,ISNUMBER(MATCH(dataGLPLSections,{"Revenue","Other Income"},0))),(startDates&gt;=AM$74)*(endDates&lt;=AM$75))),0)-IFERROR(SUM(_xlfn._xlws.FILTER(_xlfn._xlws.FILTER(dataGLPL,ISNUMBER(MATCH(dataGLPLSections,{"COGS","Opex","Other Expenses"},0))),(startDates&gt;=AM$74)*(endDates&lt;=AM$75))),0))</f>
        <v>0</v>
      </c>
      <c r="AN86" s="162" cm="1">
        <f t="array" ref="AN86">SUM( _xlfn._xlws.FILTER(_xlfn._xlws.FILTER(dataGLBSCF,((dataGLBSAcctIDs=999)+(ISNUMBER(_xlfn.XMATCH(dataGLBSAcctIDs,_xlfn._xlws.FILTER(PBC_ACCOUNT_LIST[Id],PBC_ACCOUNT_LIST[AccountSubType]="RetainedEarnings")))))),endDatesCF=AN$75))-SUM(_xlfn._xlws.FILTER(_xlfn._xlws.FILTER(dataGLBSCF,((dataGLBSAcctIDs=999)+(ISNUMBER(_xlfn.XMATCH(dataGLBSAcctIDs,_xlfn._xlws.FILTER(PBC_ACCOUNT_LIST[Id],PBC_ACCOUNT_LIST[AccountSubType]="RetainedEarnings")))))),startDatesCF=EDATE(AN$74,-1)))-(IFERROR(SUM(_xlfn._xlws.FILTER(_xlfn._xlws.FILTER(dataGLPL,ISNUMBER(MATCH(dataGLPLSections,{"Revenue","Other Income"},0))),(startDates&gt;=AN$74)*(endDates&lt;=AN$75))),0)-IFERROR(SUM(_xlfn._xlws.FILTER(_xlfn._xlws.FILTER(dataGLPL,ISNUMBER(MATCH(dataGLPLSections,{"COGS","Opex","Other Expenses"},0))),(startDates&gt;=AN$74)*(endDates&lt;=AN$75))),0))</f>
        <v>0</v>
      </c>
      <c r="AO86" s="162" cm="1">
        <f t="array" ref="AO86">SUM( _xlfn._xlws.FILTER(_xlfn._xlws.FILTER(dataGLBSCF,((dataGLBSAcctIDs=999)+(ISNUMBER(_xlfn.XMATCH(dataGLBSAcctIDs,_xlfn._xlws.FILTER(PBC_ACCOUNT_LIST[Id],PBC_ACCOUNT_LIST[AccountSubType]="RetainedEarnings")))))),endDatesCF=AO$75))-SUM(_xlfn._xlws.FILTER(_xlfn._xlws.FILTER(dataGLBSCF,((dataGLBSAcctIDs=999)+(ISNUMBER(_xlfn.XMATCH(dataGLBSAcctIDs,_xlfn._xlws.FILTER(PBC_ACCOUNT_LIST[Id],PBC_ACCOUNT_LIST[AccountSubType]="RetainedEarnings")))))),startDatesCF=EDATE(AO$74,-1)))-(IFERROR(SUM(_xlfn._xlws.FILTER(_xlfn._xlws.FILTER(dataGLPL,ISNUMBER(MATCH(dataGLPLSections,{"Revenue","Other Income"},0))),(startDates&gt;=AO$74)*(endDates&lt;=AO$75))),0)-IFERROR(SUM(_xlfn._xlws.FILTER(_xlfn._xlws.FILTER(dataGLPL,ISNUMBER(MATCH(dataGLPLSections,{"COGS","Opex","Other Expenses"},0))),(startDates&gt;=AO$74)*(endDates&lt;=AO$75))),0))</f>
        <v>0</v>
      </c>
      <c r="AP86" s="162" cm="1">
        <f t="array" ref="AP86">SUM( _xlfn._xlws.FILTER(_xlfn._xlws.FILTER(dataGLBSCF,((dataGLBSAcctIDs=999)+(ISNUMBER(_xlfn.XMATCH(dataGLBSAcctIDs,_xlfn._xlws.FILTER(PBC_ACCOUNT_LIST[Id],PBC_ACCOUNT_LIST[AccountSubType]="RetainedEarnings")))))),endDatesCF=AP$75))-SUM(_xlfn._xlws.FILTER(_xlfn._xlws.FILTER(dataGLBSCF,((dataGLBSAcctIDs=999)+(ISNUMBER(_xlfn.XMATCH(dataGLBSAcctIDs,_xlfn._xlws.FILTER(PBC_ACCOUNT_LIST[Id],PBC_ACCOUNT_LIST[AccountSubType]="RetainedEarnings")))))),startDatesCF=EDATE(AP$74,-1)))-(IFERROR(SUM(_xlfn._xlws.FILTER(_xlfn._xlws.FILTER(dataGLPL,ISNUMBER(MATCH(dataGLPLSections,{"Revenue","Other Income"},0))),(startDates&gt;=AP$74)*(endDates&lt;=AP$75))),0)-IFERROR(SUM(_xlfn._xlws.FILTER(_xlfn._xlws.FILTER(dataGLPL,ISNUMBER(MATCH(dataGLPLSections,{"COGS","Opex","Other Expenses"},0))),(startDates&gt;=AP$74)*(endDates&lt;=AP$75))),0))</f>
        <v>0</v>
      </c>
      <c r="AQ86" s="162" cm="1">
        <f t="array" ref="AQ86">SUM( _xlfn._xlws.FILTER(_xlfn._xlws.FILTER(dataGLBSCF,((dataGLBSAcctIDs=999)+(ISNUMBER(_xlfn.XMATCH(dataGLBSAcctIDs,_xlfn._xlws.FILTER(PBC_ACCOUNT_LIST[Id],PBC_ACCOUNT_LIST[AccountSubType]="RetainedEarnings")))))),endDatesCF=AQ$75))-SUM(_xlfn._xlws.FILTER(_xlfn._xlws.FILTER(dataGLBSCF,((dataGLBSAcctIDs=999)+(ISNUMBER(_xlfn.XMATCH(dataGLBSAcctIDs,_xlfn._xlws.FILTER(PBC_ACCOUNT_LIST[Id],PBC_ACCOUNT_LIST[AccountSubType]="RetainedEarnings")))))),startDatesCF=EDATE(AQ$74,-1)))-(IFERROR(SUM(_xlfn._xlws.FILTER(_xlfn._xlws.FILTER(dataGLPL,ISNUMBER(MATCH(dataGLPLSections,{"Revenue","Other Income"},0))),(startDates&gt;=AQ$74)*(endDates&lt;=AQ$75))),0)-IFERROR(SUM(_xlfn._xlws.FILTER(_xlfn._xlws.FILTER(dataGLPL,ISNUMBER(MATCH(dataGLPLSections,{"COGS","Opex","Other Expenses"},0))),(startDates&gt;=AQ$74)*(endDates&lt;=AQ$75))),0))</f>
        <v>0</v>
      </c>
      <c r="AR86" s="162" cm="1">
        <f t="array" ref="AR86">SUM( _xlfn._xlws.FILTER(_xlfn._xlws.FILTER(dataGLBSCF,((dataGLBSAcctIDs=999)+(ISNUMBER(_xlfn.XMATCH(dataGLBSAcctIDs,_xlfn._xlws.FILTER(PBC_ACCOUNT_LIST[Id],PBC_ACCOUNT_LIST[AccountSubType]="RetainedEarnings")))))),endDatesCF=AR$75))-SUM(_xlfn._xlws.FILTER(_xlfn._xlws.FILTER(dataGLBSCF,((dataGLBSAcctIDs=999)+(ISNUMBER(_xlfn.XMATCH(dataGLBSAcctIDs,_xlfn._xlws.FILTER(PBC_ACCOUNT_LIST[Id],PBC_ACCOUNT_LIST[AccountSubType]="RetainedEarnings")))))),startDatesCF=EDATE(AR$74,-1)))-(IFERROR(SUM(_xlfn._xlws.FILTER(_xlfn._xlws.FILTER(dataGLPL,ISNUMBER(MATCH(dataGLPLSections,{"Revenue","Other Income"},0))),(startDates&gt;=AR$74)*(endDates&lt;=AR$75))),0)-IFERROR(SUM(_xlfn._xlws.FILTER(_xlfn._xlws.FILTER(dataGLPL,ISNUMBER(MATCH(dataGLPLSections,{"COGS","Opex","Other Expenses"},0))),(startDates&gt;=AR$74)*(endDates&lt;=AR$75))),0))</f>
        <v>0</v>
      </c>
      <c r="AS86" s="162" cm="1">
        <f t="array" ref="AS86">SUM( _xlfn._xlws.FILTER(_xlfn._xlws.FILTER(dataGLBSCF,((dataGLBSAcctIDs=999)+(ISNUMBER(_xlfn.XMATCH(dataGLBSAcctIDs,_xlfn._xlws.FILTER(PBC_ACCOUNT_LIST[Id],PBC_ACCOUNT_LIST[AccountSubType]="RetainedEarnings")))))),endDatesCF=AS$75))-SUM(_xlfn._xlws.FILTER(_xlfn._xlws.FILTER(dataGLBSCF,((dataGLBSAcctIDs=999)+(ISNUMBER(_xlfn.XMATCH(dataGLBSAcctIDs,_xlfn._xlws.FILTER(PBC_ACCOUNT_LIST[Id],PBC_ACCOUNT_LIST[AccountSubType]="RetainedEarnings")))))),startDatesCF=EDATE(AS$74,-1)))-(IFERROR(SUM(_xlfn._xlws.FILTER(_xlfn._xlws.FILTER(dataGLPL,ISNUMBER(MATCH(dataGLPLSections,{"Revenue","Other Income"},0))),(startDates&gt;=AS$74)*(endDates&lt;=AS$75))),0)-IFERROR(SUM(_xlfn._xlws.FILTER(_xlfn._xlws.FILTER(dataGLPL,ISNUMBER(MATCH(dataGLPLSections,{"COGS","Opex","Other Expenses"},0))),(startDates&gt;=AS$74)*(endDates&lt;=AS$75))),0))</f>
        <v>0</v>
      </c>
      <c r="AT86" s="162" cm="1">
        <f t="array" ref="AT86">SUM( _xlfn._xlws.FILTER(_xlfn._xlws.FILTER(dataGLBSCF,((dataGLBSAcctIDs=999)+(ISNUMBER(_xlfn.XMATCH(dataGLBSAcctIDs,_xlfn._xlws.FILTER(PBC_ACCOUNT_LIST[Id],PBC_ACCOUNT_LIST[AccountSubType]="RetainedEarnings")))))),endDatesCF=AT$75))-SUM(_xlfn._xlws.FILTER(_xlfn._xlws.FILTER(dataGLBSCF,((dataGLBSAcctIDs=999)+(ISNUMBER(_xlfn.XMATCH(dataGLBSAcctIDs,_xlfn._xlws.FILTER(PBC_ACCOUNT_LIST[Id],PBC_ACCOUNT_LIST[AccountSubType]="RetainedEarnings")))))),startDatesCF=EDATE(AT$74,-1)))-(IFERROR(SUM(_xlfn._xlws.FILTER(_xlfn._xlws.FILTER(dataGLPL,ISNUMBER(MATCH(dataGLPLSections,{"Revenue","Other Income"},0))),(startDates&gt;=AT$74)*(endDates&lt;=AT$75))),0)-IFERROR(SUM(_xlfn._xlws.FILTER(_xlfn._xlws.FILTER(dataGLPL,ISNUMBER(MATCH(dataGLPLSections,{"COGS","Opex","Other Expenses"},0))),(startDates&gt;=AT$74)*(endDates&lt;=AT$75))),0))</f>
        <v>0</v>
      </c>
      <c r="AU86" s="162" cm="1">
        <f t="array" ref="AU86">SUM( _xlfn._xlws.FILTER(_xlfn._xlws.FILTER(dataGLBSCF,((dataGLBSAcctIDs=999)+(ISNUMBER(_xlfn.XMATCH(dataGLBSAcctIDs,_xlfn._xlws.FILTER(PBC_ACCOUNT_LIST[Id],PBC_ACCOUNT_LIST[AccountSubType]="RetainedEarnings")))))),endDatesCF=AU$75))-SUM(_xlfn._xlws.FILTER(_xlfn._xlws.FILTER(dataGLBSCF,((dataGLBSAcctIDs=999)+(ISNUMBER(_xlfn.XMATCH(dataGLBSAcctIDs,_xlfn._xlws.FILTER(PBC_ACCOUNT_LIST[Id],PBC_ACCOUNT_LIST[AccountSubType]="RetainedEarnings")))))),startDatesCF=EDATE(AU$74,-1)))-(IFERROR(SUM(_xlfn._xlws.FILTER(_xlfn._xlws.FILTER(dataGLPL,ISNUMBER(MATCH(dataGLPLSections,{"Revenue","Other Income"},0))),(startDates&gt;=AU$74)*(endDates&lt;=AU$75))),0)-IFERROR(SUM(_xlfn._xlws.FILTER(_xlfn._xlws.FILTER(dataGLPL,ISNUMBER(MATCH(dataGLPLSections,{"COGS","Opex","Other Expenses"},0))),(startDates&gt;=AU$74)*(endDates&lt;=AU$75))),0))</f>
        <v>0</v>
      </c>
      <c r="AV86" s="162" cm="1">
        <f t="array" ref="AV86">SUM( _xlfn._xlws.FILTER(_xlfn._xlws.FILTER(dataGLBSCF,((dataGLBSAcctIDs=999)+(ISNUMBER(_xlfn.XMATCH(dataGLBSAcctIDs,_xlfn._xlws.FILTER(PBC_ACCOUNT_LIST[Id],PBC_ACCOUNT_LIST[AccountSubType]="RetainedEarnings")))))),endDatesCF=AV$75))-SUM(_xlfn._xlws.FILTER(_xlfn._xlws.FILTER(dataGLBSCF,((dataGLBSAcctIDs=999)+(ISNUMBER(_xlfn.XMATCH(dataGLBSAcctIDs,_xlfn._xlws.FILTER(PBC_ACCOUNT_LIST[Id],PBC_ACCOUNT_LIST[AccountSubType]="RetainedEarnings")))))),startDatesCF=EDATE(AV$74,-1)))-(IFERROR(SUM(_xlfn._xlws.FILTER(_xlfn._xlws.FILTER(dataGLPL,ISNUMBER(MATCH(dataGLPLSections,{"Revenue","Other Income"},0))),(startDates&gt;=AV$74)*(endDates&lt;=AV$75))),0)-IFERROR(SUM(_xlfn._xlws.FILTER(_xlfn._xlws.FILTER(dataGLPL,ISNUMBER(MATCH(dataGLPLSections,{"COGS","Opex","Other Expenses"},0))),(startDates&gt;=AV$74)*(endDates&lt;=AV$75))),0))</f>
        <v>0</v>
      </c>
      <c r="AW86" s="162" cm="1">
        <f t="array" ref="AW86">SUM( _xlfn._xlws.FILTER(_xlfn._xlws.FILTER(dataGLBSCF,((dataGLBSAcctIDs=999)+(ISNUMBER(_xlfn.XMATCH(dataGLBSAcctIDs,_xlfn._xlws.FILTER(PBC_ACCOUNT_LIST[Id],PBC_ACCOUNT_LIST[AccountSubType]="RetainedEarnings")))))),endDatesCF=AW$75))-SUM(_xlfn._xlws.FILTER(_xlfn._xlws.FILTER(dataGLBSCF,((dataGLBSAcctIDs=999)+(ISNUMBER(_xlfn.XMATCH(dataGLBSAcctIDs,_xlfn._xlws.FILTER(PBC_ACCOUNT_LIST[Id],PBC_ACCOUNT_LIST[AccountSubType]="RetainedEarnings")))))),startDatesCF=EDATE(AW$74,-1)))-(IFERROR(SUM(_xlfn._xlws.FILTER(_xlfn._xlws.FILTER(dataGLPL,ISNUMBER(MATCH(dataGLPLSections,{"Revenue","Other Income"},0))),(startDates&gt;=AW$74)*(endDates&lt;=AW$75))),0)-IFERROR(SUM(_xlfn._xlws.FILTER(_xlfn._xlws.FILTER(dataGLPL,ISNUMBER(MATCH(dataGLPLSections,{"COGS","Opex","Other Expenses"},0))),(startDates&gt;=AW$74)*(endDates&lt;=AW$75))),0))</f>
        <v>0</v>
      </c>
      <c r="AX86" s="162" cm="1">
        <f t="array" ref="AX86">SUM( _xlfn._xlws.FILTER(_xlfn._xlws.FILTER(dataGLBSCF,((dataGLBSAcctIDs=999)+(ISNUMBER(_xlfn.XMATCH(dataGLBSAcctIDs,_xlfn._xlws.FILTER(PBC_ACCOUNT_LIST[Id],PBC_ACCOUNT_LIST[AccountSubType]="RetainedEarnings")))))),endDatesCF=AX$75))-SUM(_xlfn._xlws.FILTER(_xlfn._xlws.FILTER(dataGLBSCF,((dataGLBSAcctIDs=999)+(ISNUMBER(_xlfn.XMATCH(dataGLBSAcctIDs,_xlfn._xlws.FILTER(PBC_ACCOUNT_LIST[Id],PBC_ACCOUNT_LIST[AccountSubType]="RetainedEarnings")))))),startDatesCF=EDATE(AX$74,-1)))-(IFERROR(SUM(_xlfn._xlws.FILTER(_xlfn._xlws.FILTER(dataGLPL,ISNUMBER(MATCH(dataGLPLSections,{"Revenue","Other Income"},0))),(startDates&gt;=AX$74)*(endDates&lt;=AX$75))),0)-IFERROR(SUM(_xlfn._xlws.FILTER(_xlfn._xlws.FILTER(dataGLPL,ISNUMBER(MATCH(dataGLPLSections,{"COGS","Opex","Other Expenses"},0))),(startDates&gt;=AX$74)*(endDates&lt;=AX$75))),0))</f>
        <v>0</v>
      </c>
      <c r="AY86" s="162" cm="1">
        <f t="array" ref="AY86">SUM( _xlfn._xlws.FILTER(_xlfn._xlws.FILTER(dataGLBSCF,((dataGLBSAcctIDs=999)+(ISNUMBER(_xlfn.XMATCH(dataGLBSAcctIDs,_xlfn._xlws.FILTER(PBC_ACCOUNT_LIST[Id],PBC_ACCOUNT_LIST[AccountSubType]="RetainedEarnings")))))),endDatesCF=AY$75))-SUM(_xlfn._xlws.FILTER(_xlfn._xlws.FILTER(dataGLBSCF,((dataGLBSAcctIDs=999)+(ISNUMBER(_xlfn.XMATCH(dataGLBSAcctIDs,_xlfn._xlws.FILTER(PBC_ACCOUNT_LIST[Id],PBC_ACCOUNT_LIST[AccountSubType]="RetainedEarnings")))))),startDatesCF=EDATE(AY$74,-1)))-(IFERROR(SUM(_xlfn._xlws.FILTER(_xlfn._xlws.FILTER(dataGLPL,ISNUMBER(MATCH(dataGLPLSections,{"Revenue","Other Income"},0))),(startDates&gt;=AY$74)*(endDates&lt;=AY$75))),0)-IFERROR(SUM(_xlfn._xlws.FILTER(_xlfn._xlws.FILTER(dataGLPL,ISNUMBER(MATCH(dataGLPLSections,{"COGS","Opex","Other Expenses"},0))),(startDates&gt;=AY$74)*(endDates&lt;=AY$75))),0))</f>
        <v>0</v>
      </c>
      <c r="AZ86" s="162" cm="1">
        <f t="array" ref="AZ86">SUM( _xlfn._xlws.FILTER(_xlfn._xlws.FILTER(dataGLBSCF,((dataGLBSAcctIDs=999)+(ISNUMBER(_xlfn.XMATCH(dataGLBSAcctIDs,_xlfn._xlws.FILTER(PBC_ACCOUNT_LIST[Id],PBC_ACCOUNT_LIST[AccountSubType]="RetainedEarnings")))))),endDatesCF=AZ$75))-SUM(_xlfn._xlws.FILTER(_xlfn._xlws.FILTER(dataGLBSCF,((dataGLBSAcctIDs=999)+(ISNUMBER(_xlfn.XMATCH(dataGLBSAcctIDs,_xlfn._xlws.FILTER(PBC_ACCOUNT_LIST[Id],PBC_ACCOUNT_LIST[AccountSubType]="RetainedEarnings")))))),startDatesCF=EDATE(AZ$74,-1)))-(IFERROR(SUM(_xlfn._xlws.FILTER(_xlfn._xlws.FILTER(dataGLPL,ISNUMBER(MATCH(dataGLPLSections,{"Revenue","Other Income"},0))),(startDates&gt;=AZ$74)*(endDates&lt;=AZ$75))),0)-IFERROR(SUM(_xlfn._xlws.FILTER(_xlfn._xlws.FILTER(dataGLPL,ISNUMBER(MATCH(dataGLPLSections,{"COGS","Opex","Other Expenses"},0))),(startDates&gt;=AZ$74)*(endDates&lt;=AZ$75))),0))</f>
        <v>0</v>
      </c>
      <c r="BA86" s="162" cm="1">
        <f t="array" ref="BA86">SUM( _xlfn._xlws.FILTER(_xlfn._xlws.FILTER(dataGLBSCF,((dataGLBSAcctIDs=999)+(ISNUMBER(_xlfn.XMATCH(dataGLBSAcctIDs,_xlfn._xlws.FILTER(PBC_ACCOUNT_LIST[Id],PBC_ACCOUNT_LIST[AccountSubType]="RetainedEarnings")))))),endDatesCF=BA$75))-SUM(_xlfn._xlws.FILTER(_xlfn._xlws.FILTER(dataGLBSCF,((dataGLBSAcctIDs=999)+(ISNUMBER(_xlfn.XMATCH(dataGLBSAcctIDs,_xlfn._xlws.FILTER(PBC_ACCOUNT_LIST[Id],PBC_ACCOUNT_LIST[AccountSubType]="RetainedEarnings")))))),startDatesCF=EDATE(BA$74,-1)))-(IFERROR(SUM(_xlfn._xlws.FILTER(_xlfn._xlws.FILTER(dataGLPL,ISNUMBER(MATCH(dataGLPLSections,{"Revenue","Other Income"},0))),(startDates&gt;=BA$74)*(endDates&lt;=BA$75))),0)-IFERROR(SUM(_xlfn._xlws.FILTER(_xlfn._xlws.FILTER(dataGLPL,ISNUMBER(MATCH(dataGLPLSections,{"COGS","Opex","Other Expenses"},0))),(startDates&gt;=BA$74)*(endDates&lt;=BA$75))),0))</f>
        <v>0</v>
      </c>
      <c r="BB86" s="162" cm="1">
        <f t="array" ref="BB86">SUM( _xlfn._xlws.FILTER(_xlfn._xlws.FILTER(dataGLBSCF,((dataGLBSAcctIDs=999)+(ISNUMBER(_xlfn.XMATCH(dataGLBSAcctIDs,_xlfn._xlws.FILTER(PBC_ACCOUNT_LIST[Id],PBC_ACCOUNT_LIST[AccountSubType]="RetainedEarnings")))))),endDatesCF=BB$75))-SUM(_xlfn._xlws.FILTER(_xlfn._xlws.FILTER(dataGLBSCF,((dataGLBSAcctIDs=999)+(ISNUMBER(_xlfn.XMATCH(dataGLBSAcctIDs,_xlfn._xlws.FILTER(PBC_ACCOUNT_LIST[Id],PBC_ACCOUNT_LIST[AccountSubType]="RetainedEarnings")))))),startDatesCF=EDATE(BB$74,-1)))-(IFERROR(SUM(_xlfn._xlws.FILTER(_xlfn._xlws.FILTER(dataGLPL,ISNUMBER(MATCH(dataGLPLSections,{"Revenue","Other Income"},0))),(startDates&gt;=BB$74)*(endDates&lt;=BB$75))),0)-IFERROR(SUM(_xlfn._xlws.FILTER(_xlfn._xlws.FILTER(dataGLPL,ISNUMBER(MATCH(dataGLPLSections,{"COGS","Opex","Other Expenses"},0))),(startDates&gt;=BB$74)*(endDates&lt;=BB$75))),0))</f>
        <v>0</v>
      </c>
      <c r="BC86" s="162" cm="1">
        <f t="array" ref="BC86">SUM( _xlfn._xlws.FILTER(_xlfn._xlws.FILTER(dataGLBSCF,((dataGLBSAcctIDs=999)+(ISNUMBER(_xlfn.XMATCH(dataGLBSAcctIDs,_xlfn._xlws.FILTER(PBC_ACCOUNT_LIST[Id],PBC_ACCOUNT_LIST[AccountSubType]="RetainedEarnings")))))),endDatesCF=BC$75))-SUM(_xlfn._xlws.FILTER(_xlfn._xlws.FILTER(dataGLBSCF,((dataGLBSAcctIDs=999)+(ISNUMBER(_xlfn.XMATCH(dataGLBSAcctIDs,_xlfn._xlws.FILTER(PBC_ACCOUNT_LIST[Id],PBC_ACCOUNT_LIST[AccountSubType]="RetainedEarnings")))))),startDatesCF=EDATE(BC$74,-1)))-(IFERROR(SUM(_xlfn._xlws.FILTER(_xlfn._xlws.FILTER(dataGLPL,ISNUMBER(MATCH(dataGLPLSections,{"Revenue","Other Income"},0))),(startDates&gt;=BC$74)*(endDates&lt;=BC$75))),0)-IFERROR(SUM(_xlfn._xlws.FILTER(_xlfn._xlws.FILTER(dataGLPL,ISNUMBER(MATCH(dataGLPLSections,{"COGS","Opex","Other Expenses"},0))),(startDates&gt;=BC$74)*(endDates&lt;=BC$75))),0))</f>
        <v>0</v>
      </c>
      <c r="BD86" s="162" cm="1">
        <f t="array" ref="BD86">SUM( _xlfn._xlws.FILTER(_xlfn._xlws.FILTER(dataGLBSCF,((dataGLBSAcctIDs=999)+(ISNUMBER(_xlfn.XMATCH(dataGLBSAcctIDs,_xlfn._xlws.FILTER(PBC_ACCOUNT_LIST[Id],PBC_ACCOUNT_LIST[AccountSubType]="RetainedEarnings")))))),endDatesCF=BD$75))-SUM(_xlfn._xlws.FILTER(_xlfn._xlws.FILTER(dataGLBSCF,((dataGLBSAcctIDs=999)+(ISNUMBER(_xlfn.XMATCH(dataGLBSAcctIDs,_xlfn._xlws.FILTER(PBC_ACCOUNT_LIST[Id],PBC_ACCOUNT_LIST[AccountSubType]="RetainedEarnings")))))),startDatesCF=EDATE(BD$74,-1)))-(IFERROR(SUM(_xlfn._xlws.FILTER(_xlfn._xlws.FILTER(dataGLPL,ISNUMBER(MATCH(dataGLPLSections,{"Revenue","Other Income"},0))),(startDates&gt;=BD$74)*(endDates&lt;=BD$75))),0)-IFERROR(SUM(_xlfn._xlws.FILTER(_xlfn._xlws.FILTER(dataGLPL,ISNUMBER(MATCH(dataGLPLSections,{"COGS","Opex","Other Expenses"},0))),(startDates&gt;=BD$74)*(endDates&lt;=BD$75))),0))</f>
        <v>0</v>
      </c>
      <c r="BE86" s="162" cm="1">
        <f t="array" ref="BE86">SUM( _xlfn._xlws.FILTER(_xlfn._xlws.FILTER(dataGLBSCF,((dataGLBSAcctIDs=999)+(ISNUMBER(_xlfn.XMATCH(dataGLBSAcctIDs,_xlfn._xlws.FILTER(PBC_ACCOUNT_LIST[Id],PBC_ACCOUNT_LIST[AccountSubType]="RetainedEarnings")))))),endDatesCF=BE$75))-SUM(_xlfn._xlws.FILTER(_xlfn._xlws.FILTER(dataGLBSCF,((dataGLBSAcctIDs=999)+(ISNUMBER(_xlfn.XMATCH(dataGLBSAcctIDs,_xlfn._xlws.FILTER(PBC_ACCOUNT_LIST[Id],PBC_ACCOUNT_LIST[AccountSubType]="RetainedEarnings")))))),startDatesCF=EDATE(BE$74,-1)))-(IFERROR(SUM(_xlfn._xlws.FILTER(_xlfn._xlws.FILTER(dataGLPL,ISNUMBER(MATCH(dataGLPLSections,{"Revenue","Other Income"},0))),(startDates&gt;=BE$74)*(endDates&lt;=BE$75))),0)-IFERROR(SUM(_xlfn._xlws.FILTER(_xlfn._xlws.FILTER(dataGLPL,ISNUMBER(MATCH(dataGLPLSections,{"COGS","Opex","Other Expenses"},0))),(startDates&gt;=BE$74)*(endDates&lt;=BE$75))),0))</f>
        <v>0</v>
      </c>
      <c r="BF86" s="162" cm="1">
        <f t="array" ref="BF86">SUM( _xlfn._xlws.FILTER(_xlfn._xlws.FILTER(dataGLBSCF,((dataGLBSAcctIDs=999)+(ISNUMBER(_xlfn.XMATCH(dataGLBSAcctIDs,_xlfn._xlws.FILTER(PBC_ACCOUNT_LIST[Id],PBC_ACCOUNT_LIST[AccountSubType]="RetainedEarnings")))))),endDatesCF=BF$75))-SUM(_xlfn._xlws.FILTER(_xlfn._xlws.FILTER(dataGLBSCF,((dataGLBSAcctIDs=999)+(ISNUMBER(_xlfn.XMATCH(dataGLBSAcctIDs,_xlfn._xlws.FILTER(PBC_ACCOUNT_LIST[Id],PBC_ACCOUNT_LIST[AccountSubType]="RetainedEarnings")))))),startDatesCF=EDATE(BF$74,-1)))-(IFERROR(SUM(_xlfn._xlws.FILTER(_xlfn._xlws.FILTER(dataGLPL,ISNUMBER(MATCH(dataGLPLSections,{"Revenue","Other Income"},0))),(startDates&gt;=BF$74)*(endDates&lt;=BF$75))),0)-IFERROR(SUM(_xlfn._xlws.FILTER(_xlfn._xlws.FILTER(dataGLPL,ISNUMBER(MATCH(dataGLPLSections,{"COGS","Opex","Other Expenses"},0))),(startDates&gt;=BF$74)*(endDates&lt;=BF$75))),0))</f>
        <v>0</v>
      </c>
      <c r="BG86" s="162" cm="1">
        <f t="array" ref="BG86">SUM( _xlfn._xlws.FILTER(_xlfn._xlws.FILTER(dataGLBSCF,((dataGLBSAcctIDs=999)+(ISNUMBER(_xlfn.XMATCH(dataGLBSAcctIDs,_xlfn._xlws.FILTER(PBC_ACCOUNT_LIST[Id],PBC_ACCOUNT_LIST[AccountSubType]="RetainedEarnings")))))),endDatesCF=BG$75))-SUM(_xlfn._xlws.FILTER(_xlfn._xlws.FILTER(dataGLBSCF,((dataGLBSAcctIDs=999)+(ISNUMBER(_xlfn.XMATCH(dataGLBSAcctIDs,_xlfn._xlws.FILTER(PBC_ACCOUNT_LIST[Id],PBC_ACCOUNT_LIST[AccountSubType]="RetainedEarnings")))))),startDatesCF=EDATE(BG$74,-1)))-(IFERROR(SUM(_xlfn._xlws.FILTER(_xlfn._xlws.FILTER(dataGLPL,ISNUMBER(MATCH(dataGLPLSections,{"Revenue","Other Income"},0))),(startDates&gt;=BG$74)*(endDates&lt;=BG$75))),0)-IFERROR(SUM(_xlfn._xlws.FILTER(_xlfn._xlws.FILTER(dataGLPL,ISNUMBER(MATCH(dataGLPLSections,{"COGS","Opex","Other Expenses"},0))),(startDates&gt;=BG$74)*(endDates&lt;=BG$75))),0))</f>
        <v>0</v>
      </c>
      <c r="BH86" s="162" cm="1">
        <f t="array" ref="BH86">SUM( _xlfn._xlws.FILTER(_xlfn._xlws.FILTER(dataGLBSCF,((dataGLBSAcctIDs=999)+(ISNUMBER(_xlfn.XMATCH(dataGLBSAcctIDs,_xlfn._xlws.FILTER(PBC_ACCOUNT_LIST[Id],PBC_ACCOUNT_LIST[AccountSubType]="RetainedEarnings")))))),endDatesCF=BH$75))-SUM(_xlfn._xlws.FILTER(_xlfn._xlws.FILTER(dataGLBSCF,((dataGLBSAcctIDs=999)+(ISNUMBER(_xlfn.XMATCH(dataGLBSAcctIDs,_xlfn._xlws.FILTER(PBC_ACCOUNT_LIST[Id],PBC_ACCOUNT_LIST[AccountSubType]="RetainedEarnings")))))),startDatesCF=EDATE(BH$74,-1)))-(IFERROR(SUM(_xlfn._xlws.FILTER(_xlfn._xlws.FILTER(dataGLPL,ISNUMBER(MATCH(dataGLPLSections,{"Revenue","Other Income"},0))),(startDates&gt;=BH$74)*(endDates&lt;=BH$75))),0)-IFERROR(SUM(_xlfn._xlws.FILTER(_xlfn._xlws.FILTER(dataGLPL,ISNUMBER(MATCH(dataGLPLSections,{"COGS","Opex","Other Expenses"},0))),(startDates&gt;=BH$74)*(endDates&lt;=BH$75))),0))</f>
        <v>0</v>
      </c>
      <c r="BI86" s="162" cm="1">
        <f t="array" ref="BI86">SUM( _xlfn._xlws.FILTER(_xlfn._xlws.FILTER(dataGLBSCF,((dataGLBSAcctIDs=999)+(ISNUMBER(_xlfn.XMATCH(dataGLBSAcctIDs,_xlfn._xlws.FILTER(PBC_ACCOUNT_LIST[Id],PBC_ACCOUNT_LIST[AccountSubType]="RetainedEarnings")))))),endDatesCF=BI$75))-SUM(_xlfn._xlws.FILTER(_xlfn._xlws.FILTER(dataGLBSCF,((dataGLBSAcctIDs=999)+(ISNUMBER(_xlfn.XMATCH(dataGLBSAcctIDs,_xlfn._xlws.FILTER(PBC_ACCOUNT_LIST[Id],PBC_ACCOUNT_LIST[AccountSubType]="RetainedEarnings")))))),startDatesCF=EDATE(BI$74,-1)))-(IFERROR(SUM(_xlfn._xlws.FILTER(_xlfn._xlws.FILTER(dataGLPL,ISNUMBER(MATCH(dataGLPLSections,{"Revenue","Other Income"},0))),(startDates&gt;=BI$74)*(endDates&lt;=BI$75))),0)-IFERROR(SUM(_xlfn._xlws.FILTER(_xlfn._xlws.FILTER(dataGLPL,ISNUMBER(MATCH(dataGLPLSections,{"COGS","Opex","Other Expenses"},0))),(startDates&gt;=BI$74)*(endDates&lt;=BI$75))),0))</f>
        <v>0</v>
      </c>
      <c r="BJ86" s="162" cm="1">
        <f t="array" ref="BJ86">SUM( _xlfn._xlws.FILTER(_xlfn._xlws.FILTER(dataGLBSCF,((dataGLBSAcctIDs=999)+(ISNUMBER(_xlfn.XMATCH(dataGLBSAcctIDs,_xlfn._xlws.FILTER(PBC_ACCOUNT_LIST[Id],PBC_ACCOUNT_LIST[AccountSubType]="RetainedEarnings")))))),endDatesCF=BJ$75))-SUM(_xlfn._xlws.FILTER(_xlfn._xlws.FILTER(dataGLBSCF,((dataGLBSAcctIDs=999)+(ISNUMBER(_xlfn.XMATCH(dataGLBSAcctIDs,_xlfn._xlws.FILTER(PBC_ACCOUNT_LIST[Id],PBC_ACCOUNT_LIST[AccountSubType]="RetainedEarnings")))))),startDatesCF=EDATE(BJ$74,-1)))-(IFERROR(SUM(_xlfn._xlws.FILTER(_xlfn._xlws.FILTER(dataGLPL,ISNUMBER(MATCH(dataGLPLSections,{"Revenue","Other Income"},0))),(startDates&gt;=BJ$74)*(endDates&lt;=BJ$75))),0)-IFERROR(SUM(_xlfn._xlws.FILTER(_xlfn._xlws.FILTER(dataGLPL,ISNUMBER(MATCH(dataGLPLSections,{"COGS","Opex","Other Expenses"},0))),(startDates&gt;=BJ$74)*(endDates&lt;=BJ$75))),0))</f>
        <v>0</v>
      </c>
      <c r="BK86" s="162" cm="1">
        <f t="array" ref="BK86">SUM( _xlfn._xlws.FILTER(_xlfn._xlws.FILTER(dataGLBSCF,((dataGLBSAcctIDs=999)+(ISNUMBER(_xlfn.XMATCH(dataGLBSAcctIDs,_xlfn._xlws.FILTER(PBC_ACCOUNT_LIST[Id],PBC_ACCOUNT_LIST[AccountSubType]="RetainedEarnings")))))),endDatesCF=BK$75))-SUM(_xlfn._xlws.FILTER(_xlfn._xlws.FILTER(dataGLBSCF,((dataGLBSAcctIDs=999)+(ISNUMBER(_xlfn.XMATCH(dataGLBSAcctIDs,_xlfn._xlws.FILTER(PBC_ACCOUNT_LIST[Id],PBC_ACCOUNT_LIST[AccountSubType]="RetainedEarnings")))))),startDatesCF=EDATE(BK$74,-1)))-(IFERROR(SUM(_xlfn._xlws.FILTER(_xlfn._xlws.FILTER(dataGLPL,ISNUMBER(MATCH(dataGLPLSections,{"Revenue","Other Income"},0))),(startDates&gt;=BK$74)*(endDates&lt;=BK$75))),0)-IFERROR(SUM(_xlfn._xlws.FILTER(_xlfn._xlws.FILTER(dataGLPL,ISNUMBER(MATCH(dataGLPLSections,{"COGS","Opex","Other Expenses"},0))),(startDates&gt;=BK$74)*(endDates&lt;=BK$75))),0))</f>
        <v>3.2014213502407074E-10</v>
      </c>
      <c r="BL86" s="162" cm="1">
        <f t="array" ref="BL86">SUM( _xlfn._xlws.FILTER(_xlfn._xlws.FILTER(dataGLBSCF,((dataGLBSAcctIDs=999)+(ISNUMBER(_xlfn.XMATCH(dataGLBSAcctIDs,_xlfn._xlws.FILTER(PBC_ACCOUNT_LIST[Id],PBC_ACCOUNT_LIST[AccountSubType]="RetainedEarnings")))))),endDatesCF=BL$75))-SUM(_xlfn._xlws.FILTER(_xlfn._xlws.FILTER(dataGLBSCF,((dataGLBSAcctIDs=999)+(ISNUMBER(_xlfn.XMATCH(dataGLBSAcctIDs,_xlfn._xlws.FILTER(PBC_ACCOUNT_LIST[Id],PBC_ACCOUNT_LIST[AccountSubType]="RetainedEarnings")))))),startDatesCF=EDATE(BL$74,-1)))-(IFERROR(SUM(_xlfn._xlws.FILTER(_xlfn._xlws.FILTER(dataGLPL,ISNUMBER(MATCH(dataGLPLSections,{"Revenue","Other Income"},0))),(startDates&gt;=BL$74)*(endDates&lt;=BL$75))),0)-IFERROR(SUM(_xlfn._xlws.FILTER(_xlfn._xlws.FILTER(dataGLPL,ISNUMBER(MATCH(dataGLPLSections,{"COGS","Opex","Other Expenses"},0))),(startDates&gt;=BL$74)*(endDates&lt;=BL$75))),0))</f>
        <v>0</v>
      </c>
      <c r="BM86" s="162" cm="1">
        <f t="array" ref="BM86">SUM( _xlfn._xlws.FILTER(_xlfn._xlws.FILTER(dataGLBSCF,((dataGLBSAcctIDs=999)+(ISNUMBER(_xlfn.XMATCH(dataGLBSAcctIDs,_xlfn._xlws.FILTER(PBC_ACCOUNT_LIST[Id],PBC_ACCOUNT_LIST[AccountSubType]="RetainedEarnings")))))),endDatesCF=BM$75))-SUM(_xlfn._xlws.FILTER(_xlfn._xlws.FILTER(dataGLBSCF,((dataGLBSAcctIDs=999)+(ISNUMBER(_xlfn.XMATCH(dataGLBSAcctIDs,_xlfn._xlws.FILTER(PBC_ACCOUNT_LIST[Id],PBC_ACCOUNT_LIST[AccountSubType]="RetainedEarnings")))))),startDatesCF=EDATE(BM$74,-1)))-(IFERROR(SUM(_xlfn._xlws.FILTER(_xlfn._xlws.FILTER(dataGLPL,ISNUMBER(MATCH(dataGLPLSections,{"Revenue","Other Income"},0))),(startDates&gt;=BM$74)*(endDates&lt;=BM$75))),0)-IFERROR(SUM(_xlfn._xlws.FILTER(_xlfn._xlws.FILTER(dataGLPL,ISNUMBER(MATCH(dataGLPLSections,{"COGS","Opex","Other Expenses"},0))),(startDates&gt;=BM$74)*(endDates&lt;=BM$75))),0))</f>
        <v>0</v>
      </c>
      <c r="BN86" s="162" cm="1">
        <f t="array" ref="BN86">SUM( _xlfn._xlws.FILTER(_xlfn._xlws.FILTER(dataGLBSCF,((dataGLBSAcctIDs=999)+(ISNUMBER(_xlfn.XMATCH(dataGLBSAcctIDs,_xlfn._xlws.FILTER(PBC_ACCOUNT_LIST[Id],PBC_ACCOUNT_LIST[AccountSubType]="RetainedEarnings")))))),endDatesCF=BN$75))-SUM(_xlfn._xlws.FILTER(_xlfn._xlws.FILTER(dataGLBSCF,((dataGLBSAcctIDs=999)+(ISNUMBER(_xlfn.XMATCH(dataGLBSAcctIDs,_xlfn._xlws.FILTER(PBC_ACCOUNT_LIST[Id],PBC_ACCOUNT_LIST[AccountSubType]="RetainedEarnings")))))),startDatesCF=EDATE(BN$74,-1)))-(IFERROR(SUM(_xlfn._xlws.FILTER(_xlfn._xlws.FILTER(dataGLPL,ISNUMBER(MATCH(dataGLPLSections,{"Revenue","Other Income"},0))),(startDates&gt;=BN$74)*(endDates&lt;=BN$75))),0)-IFERROR(SUM(_xlfn._xlws.FILTER(_xlfn._xlws.FILTER(dataGLPL,ISNUMBER(MATCH(dataGLPLSections,{"COGS","Opex","Other Expenses"},0))),(startDates&gt;=BN$74)*(endDates&lt;=BN$75))),0))</f>
        <v>3.4924596548080444E-10</v>
      </c>
      <c r="BO86" s="162" cm="1">
        <f t="array" ref="BO86">SUM( _xlfn._xlws.FILTER(_xlfn._xlws.FILTER(dataGLBSCF,((dataGLBSAcctIDs=999)+(ISNUMBER(_xlfn.XMATCH(dataGLBSAcctIDs,_xlfn._xlws.FILTER(PBC_ACCOUNT_LIST[Id],PBC_ACCOUNT_LIST[AccountSubType]="RetainedEarnings")))))),endDatesCF=BO$75))-SUM(_xlfn._xlws.FILTER(_xlfn._xlws.FILTER(dataGLBSCF,((dataGLBSAcctIDs=999)+(ISNUMBER(_xlfn.XMATCH(dataGLBSAcctIDs,_xlfn._xlws.FILTER(PBC_ACCOUNT_LIST[Id],PBC_ACCOUNT_LIST[AccountSubType]="RetainedEarnings")))))),startDatesCF=EDATE(BO$74,-1)))-(IFERROR(SUM(_xlfn._xlws.FILTER(_xlfn._xlws.FILTER(dataGLPL,ISNUMBER(MATCH(dataGLPLSections,{"Revenue","Other Income"},0))),(startDates&gt;=BO$74)*(endDates&lt;=BO$75))),0)-IFERROR(SUM(_xlfn._xlws.FILTER(_xlfn._xlws.FILTER(dataGLPL,ISNUMBER(MATCH(dataGLPLSections,{"COGS","Opex","Other Expenses"},0))),(startDates&gt;=BO$74)*(endDates&lt;=BO$75))),0))</f>
        <v>0</v>
      </c>
      <c r="BP86" s="162" cm="1">
        <f t="array" ref="BP86">SUM( _xlfn._xlws.FILTER(_xlfn._xlws.FILTER(dataGLBSCF,((dataGLBSAcctIDs=999)+(ISNUMBER(_xlfn.XMATCH(dataGLBSAcctIDs,_xlfn._xlws.FILTER(PBC_ACCOUNT_LIST[Id],PBC_ACCOUNT_LIST[AccountSubType]="RetainedEarnings")))))),endDatesCF=BP$75))-SUM(_xlfn._xlws.FILTER(_xlfn._xlws.FILTER(dataGLBSCF,((dataGLBSAcctIDs=999)+(ISNUMBER(_xlfn.XMATCH(dataGLBSAcctIDs,_xlfn._xlws.FILTER(PBC_ACCOUNT_LIST[Id],PBC_ACCOUNT_LIST[AccountSubType]="RetainedEarnings")))))),startDatesCF=EDATE(BP$74,-1)))-(IFERROR(SUM(_xlfn._xlws.FILTER(_xlfn._xlws.FILTER(dataGLPL,ISNUMBER(MATCH(dataGLPLSections,{"Revenue","Other Income"},0))),(startDates&gt;=BP$74)*(endDates&lt;=BP$75))),0)-IFERROR(SUM(_xlfn._xlws.FILTER(_xlfn._xlws.FILTER(dataGLPL,ISNUMBER(MATCH(dataGLPLSections,{"COGS","Opex","Other Expenses"},0))),(startDates&gt;=BP$74)*(endDates&lt;=BP$75))),0))</f>
        <v>-3.4924596548080444E-10</v>
      </c>
      <c r="BQ86" s="162" cm="1">
        <f t="array" ref="BQ86">SUM( _xlfn._xlws.FILTER(_xlfn._xlws.FILTER(dataGLBSCF,((dataGLBSAcctIDs=999)+(ISNUMBER(_xlfn.XMATCH(dataGLBSAcctIDs,_xlfn._xlws.FILTER(PBC_ACCOUNT_LIST[Id],PBC_ACCOUNT_LIST[AccountSubType]="RetainedEarnings")))))),endDatesCF=BQ$75))-SUM(_xlfn._xlws.FILTER(_xlfn._xlws.FILTER(dataGLBSCF,((dataGLBSAcctIDs=999)+(ISNUMBER(_xlfn.XMATCH(dataGLBSAcctIDs,_xlfn._xlws.FILTER(PBC_ACCOUNT_LIST[Id],PBC_ACCOUNT_LIST[AccountSubType]="RetainedEarnings")))))),startDatesCF=EDATE(BQ$74,-1)))-(IFERROR(SUM(_xlfn._xlws.FILTER(_xlfn._xlws.FILTER(dataGLPL,ISNUMBER(MATCH(dataGLPLSections,{"Revenue","Other Income"},0))),(startDates&gt;=BQ$74)*(endDates&lt;=BQ$75))),0)-IFERROR(SUM(_xlfn._xlws.FILTER(_xlfn._xlws.FILTER(dataGLPL,ISNUMBER(MATCH(dataGLPLSections,{"COGS","Opex","Other Expenses"},0))),(startDates&gt;=BQ$74)*(endDates&lt;=BQ$75))),0))</f>
        <v>2.9103830456733704E-10</v>
      </c>
      <c r="BR86" s="162" cm="1">
        <f t="array" ref="BR86">SUM( _xlfn._xlws.FILTER(_xlfn._xlws.FILTER(dataGLBSCF,((dataGLBSAcctIDs=999)+(ISNUMBER(_xlfn.XMATCH(dataGLBSAcctIDs,_xlfn._xlws.FILTER(PBC_ACCOUNT_LIST[Id],PBC_ACCOUNT_LIST[AccountSubType]="RetainedEarnings")))))),endDatesCF=BR$75))-SUM(_xlfn._xlws.FILTER(_xlfn._xlws.FILTER(dataGLBSCF,((dataGLBSAcctIDs=999)+(ISNUMBER(_xlfn.XMATCH(dataGLBSAcctIDs,_xlfn._xlws.FILTER(PBC_ACCOUNT_LIST[Id],PBC_ACCOUNT_LIST[AccountSubType]="RetainedEarnings")))))),startDatesCF=EDATE(BR$74,-1)))-(IFERROR(SUM(_xlfn._xlws.FILTER(_xlfn._xlws.FILTER(dataGLPL,ISNUMBER(MATCH(dataGLPLSections,{"Revenue","Other Income"},0))),(startDates&gt;=BR$74)*(endDates&lt;=BR$75))),0)-IFERROR(SUM(_xlfn._xlws.FILTER(_xlfn._xlws.FILTER(dataGLPL,ISNUMBER(MATCH(dataGLPLSections,{"COGS","Opex","Other Expenses"},0))),(startDates&gt;=BR$74)*(endDates&lt;=BR$75))),0))</f>
        <v>0</v>
      </c>
      <c r="BS86" s="162" cm="1">
        <f t="array" ref="BS86">SUM( _xlfn._xlws.FILTER(_xlfn._xlws.FILTER(dataGLBSCF,((dataGLBSAcctIDs=999)+(ISNUMBER(_xlfn.XMATCH(dataGLBSAcctIDs,_xlfn._xlws.FILTER(PBC_ACCOUNT_LIST[Id],PBC_ACCOUNT_LIST[AccountSubType]="RetainedEarnings")))))),endDatesCF=BS$75))-SUM(_xlfn._xlws.FILTER(_xlfn._xlws.FILTER(dataGLBSCF,((dataGLBSAcctIDs=999)+(ISNUMBER(_xlfn.XMATCH(dataGLBSAcctIDs,_xlfn._xlws.FILTER(PBC_ACCOUNT_LIST[Id],PBC_ACCOUNT_LIST[AccountSubType]="RetainedEarnings")))))),startDatesCF=EDATE(BS$74,-1)))-(IFERROR(SUM(_xlfn._xlws.FILTER(_xlfn._xlws.FILTER(dataGLPL,ISNUMBER(MATCH(dataGLPLSections,{"Revenue","Other Income"},0))),(startDates&gt;=BS$74)*(endDates&lt;=BS$75))),0)-IFERROR(SUM(_xlfn._xlws.FILTER(_xlfn._xlws.FILTER(dataGLPL,ISNUMBER(MATCH(dataGLPLSections,{"COGS","Opex","Other Expenses"},0))),(startDates&gt;=BS$74)*(endDates&lt;=BS$75))),0))</f>
        <v>-3.4924596548080444E-10</v>
      </c>
      <c r="BT86" s="162" cm="1">
        <f t="array" ref="BT86">SUM( _xlfn._xlws.FILTER(_xlfn._xlws.FILTER(dataGLBSCF,((dataGLBSAcctIDs=999)+(ISNUMBER(_xlfn.XMATCH(dataGLBSAcctIDs,_xlfn._xlws.FILTER(PBC_ACCOUNT_LIST[Id],PBC_ACCOUNT_LIST[AccountSubType]="RetainedEarnings")))))),endDatesCF=BT$75))-SUM(_xlfn._xlws.FILTER(_xlfn._xlws.FILTER(dataGLBSCF,((dataGLBSAcctIDs=999)+(ISNUMBER(_xlfn.XMATCH(dataGLBSAcctIDs,_xlfn._xlws.FILTER(PBC_ACCOUNT_LIST[Id],PBC_ACCOUNT_LIST[AccountSubType]="RetainedEarnings")))))),startDatesCF=EDATE(BT$74,-1)))-(IFERROR(SUM(_xlfn._xlws.FILTER(_xlfn._xlws.FILTER(dataGLPL,ISNUMBER(MATCH(dataGLPLSections,{"Revenue","Other Income"},0))),(startDates&gt;=BT$74)*(endDates&lt;=BT$75))),0)-IFERROR(SUM(_xlfn._xlws.FILTER(_xlfn._xlws.FILTER(dataGLPL,ISNUMBER(MATCH(dataGLPLSections,{"COGS","Opex","Other Expenses"},0))),(startDates&gt;=BT$74)*(endDates&lt;=BT$75))),0))</f>
        <v>-2.9103830456733704E-10</v>
      </c>
      <c r="BU86" s="162" cm="1">
        <f t="array" ref="BU86">SUM( _xlfn._xlws.FILTER(_xlfn._xlws.FILTER(dataGLBSCF,((dataGLBSAcctIDs=999)+(ISNUMBER(_xlfn.XMATCH(dataGLBSAcctIDs,_xlfn._xlws.FILTER(PBC_ACCOUNT_LIST[Id],PBC_ACCOUNT_LIST[AccountSubType]="RetainedEarnings")))))),endDatesCF=BU$75))-SUM(_xlfn._xlws.FILTER(_xlfn._xlws.FILTER(dataGLBSCF,((dataGLBSAcctIDs=999)+(ISNUMBER(_xlfn.XMATCH(dataGLBSAcctIDs,_xlfn._xlws.FILTER(PBC_ACCOUNT_LIST[Id],PBC_ACCOUNT_LIST[AccountSubType]="RetainedEarnings")))))),startDatesCF=EDATE(BU$74,-1)))-(IFERROR(SUM(_xlfn._xlws.FILTER(_xlfn._xlws.FILTER(dataGLPL,ISNUMBER(MATCH(dataGLPLSections,{"Revenue","Other Income"},0))),(startDates&gt;=BU$74)*(endDates&lt;=BU$75))),0)-IFERROR(SUM(_xlfn._xlws.FILTER(_xlfn._xlws.FILTER(dataGLPL,ISNUMBER(MATCH(dataGLPLSections,{"COGS","Opex","Other Expenses"},0))),(startDates&gt;=BU$74)*(endDates&lt;=BU$75))),0))</f>
        <v>4.6566128730773926E-10</v>
      </c>
      <c r="BV86" s="162" cm="1">
        <f t="array" ref="BV86">SUM( _xlfn._xlws.FILTER(_xlfn._xlws.FILTER(dataGLBSCF,((dataGLBSAcctIDs=999)+(ISNUMBER(_xlfn.XMATCH(dataGLBSAcctIDs,_xlfn._xlws.FILTER(PBC_ACCOUNT_LIST[Id],PBC_ACCOUNT_LIST[AccountSubType]="RetainedEarnings")))))),endDatesCF=BV$75))-SUM(_xlfn._xlws.FILTER(_xlfn._xlws.FILTER(dataGLBSCF,((dataGLBSAcctIDs=999)+(ISNUMBER(_xlfn.XMATCH(dataGLBSAcctIDs,_xlfn._xlws.FILTER(PBC_ACCOUNT_LIST[Id],PBC_ACCOUNT_LIST[AccountSubType]="RetainedEarnings")))))),startDatesCF=EDATE(BV$74,-1)))-(IFERROR(SUM(_xlfn._xlws.FILTER(_xlfn._xlws.FILTER(dataGLPL,ISNUMBER(MATCH(dataGLPLSections,{"Revenue","Other Income"},0))),(startDates&gt;=BV$74)*(endDates&lt;=BV$75))),0)-IFERROR(SUM(_xlfn._xlws.FILTER(_xlfn._xlws.FILTER(dataGLPL,ISNUMBER(MATCH(dataGLPLSections,{"COGS","Opex","Other Expenses"},0))),(startDates&gt;=BV$74)*(endDates&lt;=BV$75))),0))</f>
        <v>0</v>
      </c>
      <c r="BW86" s="162" cm="1">
        <f t="array" ref="BW86">SUM( _xlfn._xlws.FILTER(_xlfn._xlws.FILTER(dataGLBSCF,((dataGLBSAcctIDs=999)+(ISNUMBER(_xlfn.XMATCH(dataGLBSAcctIDs,_xlfn._xlws.FILTER(PBC_ACCOUNT_LIST[Id],PBC_ACCOUNT_LIST[AccountSubType]="RetainedEarnings")))))),endDatesCF=BW$75))-SUM(_xlfn._xlws.FILTER(_xlfn._xlws.FILTER(dataGLBSCF,((dataGLBSAcctIDs=999)+(ISNUMBER(_xlfn.XMATCH(dataGLBSAcctIDs,_xlfn._xlws.FILTER(PBC_ACCOUNT_LIST[Id],PBC_ACCOUNT_LIST[AccountSubType]="RetainedEarnings")))))),startDatesCF=EDATE(BW$74,-1)))-(IFERROR(SUM(_xlfn._xlws.FILTER(_xlfn._xlws.FILTER(dataGLPL,ISNUMBER(MATCH(dataGLPLSections,{"Revenue","Other Income"},0))),(startDates&gt;=BW$74)*(endDates&lt;=BW$75))),0)-IFERROR(SUM(_xlfn._xlws.FILTER(_xlfn._xlws.FILTER(dataGLPL,ISNUMBER(MATCH(dataGLPLSections,{"COGS","Opex","Other Expenses"},0))),(startDates&gt;=BW$74)*(endDates&lt;=BW$75))),0))</f>
        <v>-4.0745362639427185E-10</v>
      </c>
      <c r="BX86" s="162" cm="1">
        <f t="array" ref="BX86">SUM( _xlfn._xlws.FILTER(_xlfn._xlws.FILTER(dataGLBSCF,((dataGLBSAcctIDs=999)+(ISNUMBER(_xlfn.XMATCH(dataGLBSAcctIDs,_xlfn._xlws.FILTER(PBC_ACCOUNT_LIST[Id],PBC_ACCOUNT_LIST[AccountSubType]="RetainedEarnings")))))),endDatesCF=BX$75))-SUM(_xlfn._xlws.FILTER(_xlfn._xlws.FILTER(dataGLBSCF,((dataGLBSAcctIDs=999)+(ISNUMBER(_xlfn.XMATCH(dataGLBSAcctIDs,_xlfn._xlws.FILTER(PBC_ACCOUNT_LIST[Id],PBC_ACCOUNT_LIST[AccountSubType]="RetainedEarnings")))))),startDatesCF=EDATE(BX$74,-1)))-(IFERROR(SUM(_xlfn._xlws.FILTER(_xlfn._xlws.FILTER(dataGLPL,ISNUMBER(MATCH(dataGLPLSections,{"Revenue","Other Income"},0))),(startDates&gt;=BX$74)*(endDates&lt;=BX$75))),0)-IFERROR(SUM(_xlfn._xlws.FILTER(_xlfn._xlws.FILTER(dataGLPL,ISNUMBER(MATCH(dataGLPLSections,{"COGS","Opex","Other Expenses"},0))),(startDates&gt;=BX$74)*(endDates&lt;=BX$75))),0))</f>
        <v>0</v>
      </c>
      <c r="BY86" s="162" cm="1">
        <f t="array" ref="BY86">SUM( _xlfn._xlws.FILTER(_xlfn._xlws.FILTER(dataGLBSCF,((dataGLBSAcctIDs=999)+(ISNUMBER(_xlfn.XMATCH(dataGLBSAcctIDs,_xlfn._xlws.FILTER(PBC_ACCOUNT_LIST[Id],PBC_ACCOUNT_LIST[AccountSubType]="RetainedEarnings")))))),endDatesCF=BY$75))-SUM(_xlfn._xlws.FILTER(_xlfn._xlws.FILTER(dataGLBSCF,((dataGLBSAcctIDs=999)+(ISNUMBER(_xlfn.XMATCH(dataGLBSAcctIDs,_xlfn._xlws.FILTER(PBC_ACCOUNT_LIST[Id],PBC_ACCOUNT_LIST[AccountSubType]="RetainedEarnings")))))),startDatesCF=EDATE(BY$74,-1)))-(IFERROR(SUM(_xlfn._xlws.FILTER(_xlfn._xlws.FILTER(dataGLPL,ISNUMBER(MATCH(dataGLPLSections,{"Revenue","Other Income"},0))),(startDates&gt;=BY$74)*(endDates&lt;=BY$75))),0)-IFERROR(SUM(_xlfn._xlws.FILTER(_xlfn._xlws.FILTER(dataGLPL,ISNUMBER(MATCH(dataGLPLSections,{"COGS","Opex","Other Expenses"},0))),(startDates&gt;=BY$74)*(endDates&lt;=BY$75))),0))</f>
        <v>0</v>
      </c>
      <c r="BZ86" s="162" cm="1">
        <f t="array" ref="BZ86">SUM( _xlfn._xlws.FILTER(_xlfn._xlws.FILTER(dataGLBSCF,((dataGLBSAcctIDs=999)+(ISNUMBER(_xlfn.XMATCH(dataGLBSAcctIDs,_xlfn._xlws.FILTER(PBC_ACCOUNT_LIST[Id],PBC_ACCOUNT_LIST[AccountSubType]="RetainedEarnings")))))),endDatesCF=BZ$75))-SUM(_xlfn._xlws.FILTER(_xlfn._xlws.FILTER(dataGLBSCF,((dataGLBSAcctIDs=999)+(ISNUMBER(_xlfn.XMATCH(dataGLBSAcctIDs,_xlfn._xlws.FILTER(PBC_ACCOUNT_LIST[Id],PBC_ACCOUNT_LIST[AccountSubType]="RetainedEarnings")))))),startDatesCF=EDATE(BZ$74,-1)))-(IFERROR(SUM(_xlfn._xlws.FILTER(_xlfn._xlws.FILTER(dataGLPL,ISNUMBER(MATCH(dataGLPLSections,{"Revenue","Other Income"},0))),(startDates&gt;=BZ$74)*(endDates&lt;=BZ$75))),0)-IFERROR(SUM(_xlfn._xlws.FILTER(_xlfn._xlws.FILTER(dataGLPL,ISNUMBER(MATCH(dataGLPLSections,{"COGS","Opex","Other Expenses"},0))),(startDates&gt;=BZ$74)*(endDates&lt;=BZ$75))),0))</f>
        <v>0</v>
      </c>
      <c r="CA86" s="162" cm="1">
        <f t="array" ref="CA86">SUM( _xlfn._xlws.FILTER(_xlfn._xlws.FILTER(dataGLBSCF,((dataGLBSAcctIDs=999)+(ISNUMBER(_xlfn.XMATCH(dataGLBSAcctIDs,_xlfn._xlws.FILTER(PBC_ACCOUNT_LIST[Id],PBC_ACCOUNT_LIST[AccountSubType]="RetainedEarnings")))))),endDatesCF=CA$75))-SUM(_xlfn._xlws.FILTER(_xlfn._xlws.FILTER(dataGLBSCF,((dataGLBSAcctIDs=999)+(ISNUMBER(_xlfn.XMATCH(dataGLBSAcctIDs,_xlfn._xlws.FILTER(PBC_ACCOUNT_LIST[Id],PBC_ACCOUNT_LIST[AccountSubType]="RetainedEarnings")))))),startDatesCF=EDATE(CA$74,-1)))-(IFERROR(SUM(_xlfn._xlws.FILTER(_xlfn._xlws.FILTER(dataGLPL,ISNUMBER(MATCH(dataGLPLSections,{"Revenue","Other Income"},0))),(startDates&gt;=CA$74)*(endDates&lt;=CA$75))),0)-IFERROR(SUM(_xlfn._xlws.FILTER(_xlfn._xlws.FILTER(dataGLPL,ISNUMBER(MATCH(dataGLPLSections,{"COGS","Opex","Other Expenses"},0))),(startDates&gt;=CA$74)*(endDates&lt;=CA$75))),0))</f>
        <v>2.9103830456733704E-10</v>
      </c>
      <c r="CB86" s="162" cm="1">
        <f t="array" ref="CB86">SUM( _xlfn._xlws.FILTER(_xlfn._xlws.FILTER(dataGLBSCF,((dataGLBSAcctIDs=999)+(ISNUMBER(_xlfn.XMATCH(dataGLBSAcctIDs,_xlfn._xlws.FILTER(PBC_ACCOUNT_LIST[Id],PBC_ACCOUNT_LIST[AccountSubType]="RetainedEarnings")))))),endDatesCF=CB$75))-SUM(_xlfn._xlws.FILTER(_xlfn._xlws.FILTER(dataGLBSCF,((dataGLBSAcctIDs=999)+(ISNUMBER(_xlfn.XMATCH(dataGLBSAcctIDs,_xlfn._xlws.FILTER(PBC_ACCOUNT_LIST[Id],PBC_ACCOUNT_LIST[AccountSubType]="RetainedEarnings")))))),startDatesCF=EDATE(CB$74,-1)))-(IFERROR(SUM(_xlfn._xlws.FILTER(_xlfn._xlws.FILTER(dataGLPL,ISNUMBER(MATCH(dataGLPLSections,{"Revenue","Other Income"},0))),(startDates&gt;=CB$74)*(endDates&lt;=CB$75))),0)-IFERROR(SUM(_xlfn._xlws.FILTER(_xlfn._xlws.FILTER(dataGLPL,ISNUMBER(MATCH(dataGLPLSections,{"COGS","Opex","Other Expenses"},0))),(startDates&gt;=CB$74)*(endDates&lt;=CB$75))),0))</f>
        <v>-4.6566128730773926E-10</v>
      </c>
      <c r="CC86" s="162" cm="1">
        <f t="array" ref="CC86">SUM( _xlfn._xlws.FILTER(_xlfn._xlws.FILTER(dataGLBSCF,((dataGLBSAcctIDs=999)+(ISNUMBER(_xlfn.XMATCH(dataGLBSAcctIDs,_xlfn._xlws.FILTER(PBC_ACCOUNT_LIST[Id],PBC_ACCOUNT_LIST[AccountSubType]="RetainedEarnings")))))),endDatesCF=CC$75))-SUM(_xlfn._xlws.FILTER(_xlfn._xlws.FILTER(dataGLBSCF,((dataGLBSAcctIDs=999)+(ISNUMBER(_xlfn.XMATCH(dataGLBSAcctIDs,_xlfn._xlws.FILTER(PBC_ACCOUNT_LIST[Id],PBC_ACCOUNT_LIST[AccountSubType]="RetainedEarnings")))))),startDatesCF=EDATE(CC$74,-1)))-(IFERROR(SUM(_xlfn._xlws.FILTER(_xlfn._xlws.FILTER(dataGLPL,ISNUMBER(MATCH(dataGLPLSections,{"Revenue","Other Income"},0))),(startDates&gt;=CC$74)*(endDates&lt;=CC$75))),0)-IFERROR(SUM(_xlfn._xlws.FILTER(_xlfn._xlws.FILTER(dataGLPL,ISNUMBER(MATCH(dataGLPLSections,{"COGS","Opex","Other Expenses"},0))),(startDates&gt;=CC$74)*(endDates&lt;=CC$75))),0))</f>
        <v>2.3283064365386963E-10</v>
      </c>
      <c r="CD86" s="162" cm="1">
        <f t="array" ref="CD86">SUM( _xlfn._xlws.FILTER(_xlfn._xlws.FILTER(dataGLBSCF,((dataGLBSAcctIDs=999)+(ISNUMBER(_xlfn.XMATCH(dataGLBSAcctIDs,_xlfn._xlws.FILTER(PBC_ACCOUNT_LIST[Id],PBC_ACCOUNT_LIST[AccountSubType]="RetainedEarnings")))))),endDatesCF=CD$75))-SUM(_xlfn._xlws.FILTER(_xlfn._xlws.FILTER(dataGLBSCF,((dataGLBSAcctIDs=999)+(ISNUMBER(_xlfn.XMATCH(dataGLBSAcctIDs,_xlfn._xlws.FILTER(PBC_ACCOUNT_LIST[Id],PBC_ACCOUNT_LIST[AccountSubType]="RetainedEarnings")))))),startDatesCF=EDATE(CD$74,-1)))-(IFERROR(SUM(_xlfn._xlws.FILTER(_xlfn._xlws.FILTER(dataGLPL,ISNUMBER(MATCH(dataGLPLSections,{"Revenue","Other Income"},0))),(startDates&gt;=CD$74)*(endDates&lt;=CD$75))),0)-IFERROR(SUM(_xlfn._xlws.FILTER(_xlfn._xlws.FILTER(dataGLPL,ISNUMBER(MATCH(dataGLPLSections,{"COGS","Opex","Other Expenses"},0))),(startDates&gt;=CD$74)*(endDates&lt;=CD$75))),0))</f>
        <v>5.2386894822120667E-10</v>
      </c>
      <c r="CE86" s="162" cm="1">
        <f t="array" ref="CE86">SUM( _xlfn._xlws.FILTER(_xlfn._xlws.FILTER(dataGLBSCF,((dataGLBSAcctIDs=999)+(ISNUMBER(_xlfn.XMATCH(dataGLBSAcctIDs,_xlfn._xlws.FILTER(PBC_ACCOUNT_LIST[Id],PBC_ACCOUNT_LIST[AccountSubType]="RetainedEarnings")))))),endDatesCF=CE$75))-SUM(_xlfn._xlws.FILTER(_xlfn._xlws.FILTER(dataGLBSCF,((dataGLBSAcctIDs=999)+(ISNUMBER(_xlfn.XMATCH(dataGLBSAcctIDs,_xlfn._xlws.FILTER(PBC_ACCOUNT_LIST[Id],PBC_ACCOUNT_LIST[AccountSubType]="RetainedEarnings")))))),startDatesCF=EDATE(CE$74,-1)))-(IFERROR(SUM(_xlfn._xlws.FILTER(_xlfn._xlws.FILTER(dataGLPL,ISNUMBER(MATCH(dataGLPLSections,{"Revenue","Other Income"},0))),(startDates&gt;=CE$74)*(endDates&lt;=CE$75))),0)-IFERROR(SUM(_xlfn._xlws.FILTER(_xlfn._xlws.FILTER(dataGLPL,ISNUMBER(MATCH(dataGLPLSections,{"COGS","Opex","Other Expenses"},0))),(startDates&gt;=CE$74)*(endDates&lt;=CE$75))),0))</f>
        <v>0</v>
      </c>
      <c r="CF86" s="162" cm="1">
        <f t="array" ref="CF86">SUM( _xlfn._xlws.FILTER(_xlfn._xlws.FILTER(dataGLBSCF,((dataGLBSAcctIDs=999)+(ISNUMBER(_xlfn.XMATCH(dataGLBSAcctIDs,_xlfn._xlws.FILTER(PBC_ACCOUNT_LIST[Id],PBC_ACCOUNT_LIST[AccountSubType]="RetainedEarnings")))))),endDatesCF=CF$75))-SUM(_xlfn._xlws.FILTER(_xlfn._xlws.FILTER(dataGLBSCF,((dataGLBSAcctIDs=999)+(ISNUMBER(_xlfn.XMATCH(dataGLBSAcctIDs,_xlfn._xlws.FILTER(PBC_ACCOUNT_LIST[Id],PBC_ACCOUNT_LIST[AccountSubType]="RetainedEarnings")))))),startDatesCF=EDATE(CF$74,-1)))-(IFERROR(SUM(_xlfn._xlws.FILTER(_xlfn._xlws.FILTER(dataGLPL,ISNUMBER(MATCH(dataGLPLSections,{"Revenue","Other Income"},0))),(startDates&gt;=CF$74)*(endDates&lt;=CF$75))),0)-IFERROR(SUM(_xlfn._xlws.FILTER(_xlfn._xlws.FILTER(dataGLPL,ISNUMBER(MATCH(dataGLPLSections,{"COGS","Opex","Other Expenses"},0))),(startDates&gt;=CF$74)*(endDates&lt;=CF$75))),0))</f>
        <v>0</v>
      </c>
      <c r="CG86" s="162" cm="1">
        <f t="array" ref="CG86">SUM( _xlfn._xlws.FILTER(_xlfn._xlws.FILTER(dataGLBSCF,((dataGLBSAcctIDs=999)+(ISNUMBER(_xlfn.XMATCH(dataGLBSAcctIDs,_xlfn._xlws.FILTER(PBC_ACCOUNT_LIST[Id],PBC_ACCOUNT_LIST[AccountSubType]="RetainedEarnings")))))),endDatesCF=CG$75))-SUM(_xlfn._xlws.FILTER(_xlfn._xlws.FILTER(dataGLBSCF,((dataGLBSAcctIDs=999)+(ISNUMBER(_xlfn.XMATCH(dataGLBSAcctIDs,_xlfn._xlws.FILTER(PBC_ACCOUNT_LIST[Id],PBC_ACCOUNT_LIST[AccountSubType]="RetainedEarnings")))))),startDatesCF=EDATE(CG$74,-1)))-(IFERROR(SUM(_xlfn._xlws.FILTER(_xlfn._xlws.FILTER(dataGLPL,ISNUMBER(MATCH(dataGLPLSections,{"Revenue","Other Income"},0))),(startDates&gt;=CG$74)*(endDates&lt;=CG$75))),0)-IFERROR(SUM(_xlfn._xlws.FILTER(_xlfn._xlws.FILTER(dataGLPL,ISNUMBER(MATCH(dataGLPLSections,{"COGS","Opex","Other Expenses"},0))),(startDates&gt;=CG$74)*(endDates&lt;=CG$75))),0))</f>
        <v>0</v>
      </c>
    </row>
    <row r="87" spans="1:85">
      <c r="A87" s="157"/>
      <c r="B87" s="157"/>
    </row>
    <row r="88" spans="1:85" s="157" customFormat="1" ht="15.75">
      <c r="A88" s="148"/>
      <c r="B88" s="148"/>
      <c r="C88" s="160" t="s">
        <v>105</v>
      </c>
      <c r="D88" s="160"/>
      <c r="E88" s="161"/>
      <c r="F88" s="160"/>
      <c r="G88" s="160"/>
      <c r="J88" s="158">
        <f>J80+J82</f>
        <v>370456.62999999942</v>
      </c>
      <c r="K88" s="158">
        <f>K80+K82</f>
        <v>370456.62999999849</v>
      </c>
      <c r="N88" s="158">
        <f>N80+N82</f>
        <v>4285000.5</v>
      </c>
      <c r="O88" s="158">
        <f>O80+O82</f>
        <v>2744982.5</v>
      </c>
      <c r="P88" s="158">
        <f>P80+P82</f>
        <v>1156879.0110090892</v>
      </c>
      <c r="Q88" s="158">
        <f>Q80+Q82</f>
        <v>-1438973.6823828621</v>
      </c>
      <c r="R88" s="159"/>
      <c r="S88" s="159"/>
      <c r="T88" s="158">
        <f t="shared" ref="T88:AI88" si="71">T80+T82</f>
        <v>822468.5</v>
      </c>
      <c r="U88" s="158">
        <f t="shared" si="71"/>
        <v>2139776.5</v>
      </c>
      <c r="V88" s="158">
        <f t="shared" si="71"/>
        <v>2007838.5</v>
      </c>
      <c r="W88" s="158">
        <f t="shared" si="71"/>
        <v>4285000.5</v>
      </c>
      <c r="X88" s="158">
        <f t="shared" si="71"/>
        <v>4004840.5</v>
      </c>
      <c r="Y88" s="158">
        <f t="shared" si="71"/>
        <v>3656851.5</v>
      </c>
      <c r="Z88" s="158">
        <f t="shared" si="71"/>
        <v>3217220.5</v>
      </c>
      <c r="AA88" s="158">
        <f t="shared" si="71"/>
        <v>2744982.5</v>
      </c>
      <c r="AB88" s="158">
        <f t="shared" si="71"/>
        <v>2207358.48</v>
      </c>
      <c r="AC88" s="158">
        <f t="shared" si="71"/>
        <v>1594040.15</v>
      </c>
      <c r="AD88" s="158">
        <f t="shared" si="71"/>
        <v>893122.7699999999</v>
      </c>
      <c r="AE88" s="158">
        <f t="shared" si="71"/>
        <v>1156879.011009091</v>
      </c>
      <c r="AF88" s="158">
        <f t="shared" si="71"/>
        <v>733998.54778743617</v>
      </c>
      <c r="AG88" s="158">
        <f t="shared" si="71"/>
        <v>50877.329930825159</v>
      </c>
      <c r="AH88" s="158">
        <f t="shared" si="71"/>
        <v>-672164.29362152924</v>
      </c>
      <c r="AI88" s="158">
        <f t="shared" si="71"/>
        <v>-1438973.6823828639</v>
      </c>
      <c r="AJ88" s="159"/>
      <c r="AK88" s="159"/>
      <c r="AL88" s="158">
        <f t="shared" ref="AL88:CG88" si="72">AL80+AL82</f>
        <v>912877</v>
      </c>
      <c r="AM88" s="158">
        <f t="shared" si="72"/>
        <v>872266.5</v>
      </c>
      <c r="AN88" s="158">
        <f t="shared" si="72"/>
        <v>822468.5</v>
      </c>
      <c r="AO88" s="158">
        <f t="shared" si="72"/>
        <v>740459</v>
      </c>
      <c r="AP88" s="158">
        <f t="shared" si="72"/>
        <v>698801.5</v>
      </c>
      <c r="AQ88" s="158">
        <f t="shared" si="72"/>
        <v>2139776.5</v>
      </c>
      <c r="AR88" s="158">
        <f t="shared" si="72"/>
        <v>2100546</v>
      </c>
      <c r="AS88" s="158">
        <f t="shared" si="72"/>
        <v>2050413.5</v>
      </c>
      <c r="AT88" s="158">
        <f t="shared" si="72"/>
        <v>2007838.5</v>
      </c>
      <c r="AU88" s="158">
        <f t="shared" si="72"/>
        <v>2963592.5</v>
      </c>
      <c r="AV88" s="158">
        <f t="shared" si="72"/>
        <v>3396134.5</v>
      </c>
      <c r="AW88" s="158">
        <f t="shared" si="72"/>
        <v>4285000.5</v>
      </c>
      <c r="AX88" s="158">
        <f t="shared" si="72"/>
        <v>4191288.5</v>
      </c>
      <c r="AY88" s="158">
        <f t="shared" si="72"/>
        <v>4076334.5</v>
      </c>
      <c r="AZ88" s="158">
        <f t="shared" si="72"/>
        <v>4004840.5</v>
      </c>
      <c r="BA88" s="158">
        <f t="shared" si="72"/>
        <v>3870793.5</v>
      </c>
      <c r="BB88" s="158">
        <f t="shared" si="72"/>
        <v>3794994.5</v>
      </c>
      <c r="BC88" s="158">
        <f t="shared" si="72"/>
        <v>3656851.5</v>
      </c>
      <c r="BD88" s="158">
        <f t="shared" si="72"/>
        <v>3512188.5</v>
      </c>
      <c r="BE88" s="158">
        <f t="shared" si="72"/>
        <v>3367871.5</v>
      </c>
      <c r="BF88" s="158">
        <f t="shared" si="72"/>
        <v>3217220.5</v>
      </c>
      <c r="BG88" s="158">
        <f t="shared" si="72"/>
        <v>3066455.5</v>
      </c>
      <c r="BH88" s="158">
        <f t="shared" si="72"/>
        <v>2909186.5</v>
      </c>
      <c r="BI88" s="158">
        <f t="shared" si="72"/>
        <v>2744982.5</v>
      </c>
      <c r="BJ88" s="158">
        <f t="shared" si="72"/>
        <v>2573511.48</v>
      </c>
      <c r="BK88" s="158">
        <f t="shared" si="72"/>
        <v>2394437.4800000004</v>
      </c>
      <c r="BL88" s="158">
        <f t="shared" si="72"/>
        <v>2207358.48</v>
      </c>
      <c r="BM88" s="158">
        <f t="shared" si="72"/>
        <v>2011881.48</v>
      </c>
      <c r="BN88" s="158">
        <f t="shared" si="72"/>
        <v>1807588.4800000004</v>
      </c>
      <c r="BO88" s="158">
        <f t="shared" si="72"/>
        <v>1594040.15</v>
      </c>
      <c r="BP88" s="158">
        <f t="shared" si="72"/>
        <v>1370773.7799999996</v>
      </c>
      <c r="BQ88" s="158">
        <f t="shared" si="72"/>
        <v>1137304.6600000001</v>
      </c>
      <c r="BR88" s="158">
        <f t="shared" si="72"/>
        <v>893122.7699999999</v>
      </c>
      <c r="BS88" s="158">
        <f t="shared" si="72"/>
        <v>637693.88999999966</v>
      </c>
      <c r="BT88" s="158">
        <f t="shared" si="72"/>
        <v>370456.62999999977</v>
      </c>
      <c r="BU88" s="158">
        <f t="shared" si="72"/>
        <v>1156879.0110090915</v>
      </c>
      <c r="BV88" s="158">
        <f t="shared" si="72"/>
        <v>1045956.8245014361</v>
      </c>
      <c r="BW88" s="158">
        <f t="shared" si="72"/>
        <v>926406.1301532631</v>
      </c>
      <c r="BX88" s="158">
        <f t="shared" si="72"/>
        <v>733998.54778743605</v>
      </c>
      <c r="BY88" s="158">
        <f t="shared" si="72"/>
        <v>520063.62136957853</v>
      </c>
      <c r="BZ88" s="158">
        <f t="shared" si="72"/>
        <v>280302.37280449527</v>
      </c>
      <c r="CA88" s="158">
        <f t="shared" si="72"/>
        <v>50877.329930825828</v>
      </c>
      <c r="CB88" s="158">
        <f t="shared" si="72"/>
        <v>-185524.38643821521</v>
      </c>
      <c r="CC88" s="158">
        <f t="shared" si="72"/>
        <v>-426979.09637953009</v>
      </c>
      <c r="CD88" s="158">
        <f t="shared" si="72"/>
        <v>-672164.29362152913</v>
      </c>
      <c r="CE88" s="158">
        <f t="shared" si="72"/>
        <v>-920873.55731980898</v>
      </c>
      <c r="CF88" s="158">
        <f t="shared" si="72"/>
        <v>-1172971.1509452418</v>
      </c>
      <c r="CG88" s="158">
        <f t="shared" si="72"/>
        <v>-1438973.6823828639</v>
      </c>
    </row>
    <row r="89" spans="1:85"/>
    <row r="90" spans="1:85" s="157" customFormat="1" ht="15.75">
      <c r="A90" s="148"/>
      <c r="B90" s="148"/>
      <c r="C90" s="160" t="s">
        <v>154</v>
      </c>
      <c r="D90" s="160"/>
      <c r="E90" s="161"/>
      <c r="F90" s="160"/>
      <c r="G90" s="160"/>
      <c r="I90" s="148"/>
      <c r="J90" s="158">
        <f>J83+J84</f>
        <v>-2374525.8700000006</v>
      </c>
      <c r="K90" s="158">
        <f>K83+K84</f>
        <v>-2538729.8700000015</v>
      </c>
      <c r="M90" s="148"/>
      <c r="N90" s="158">
        <f>N83+N84</f>
        <v>-744999.5</v>
      </c>
      <c r="O90" s="158">
        <f>O83+O84</f>
        <v>-1540018</v>
      </c>
      <c r="P90" s="158">
        <f>P83+P84</f>
        <v>-2588103.4889909108</v>
      </c>
      <c r="Q90" s="158">
        <f>Q83+Q84</f>
        <v>-2595852.6933919531</v>
      </c>
      <c r="R90" s="159"/>
      <c r="S90" s="148"/>
      <c r="T90" s="158">
        <f t="shared" ref="T90:AI90" si="73">T83+T84</f>
        <v>-185031.5</v>
      </c>
      <c r="U90" s="158">
        <f t="shared" si="73"/>
        <v>-190192</v>
      </c>
      <c r="V90" s="158">
        <f t="shared" si="73"/>
        <v>-139438</v>
      </c>
      <c r="W90" s="158">
        <f t="shared" si="73"/>
        <v>-230338</v>
      </c>
      <c r="X90" s="158">
        <f t="shared" si="73"/>
        <v>-280160</v>
      </c>
      <c r="Y90" s="158">
        <f t="shared" si="73"/>
        <v>-347989</v>
      </c>
      <c r="Z90" s="158">
        <f t="shared" si="73"/>
        <v>-439631</v>
      </c>
      <c r="AA90" s="158">
        <f t="shared" si="73"/>
        <v>-472238</v>
      </c>
      <c r="AB90" s="158">
        <f t="shared" si="73"/>
        <v>-537624.02000000014</v>
      </c>
      <c r="AC90" s="158">
        <f t="shared" si="73"/>
        <v>-613318.33000000019</v>
      </c>
      <c r="AD90" s="158">
        <f t="shared" si="73"/>
        <v>-700917.38</v>
      </c>
      <c r="AE90" s="158">
        <f t="shared" si="73"/>
        <v>-736243.75899090909</v>
      </c>
      <c r="AF90" s="158">
        <f t="shared" si="73"/>
        <v>-422880.46322165488</v>
      </c>
      <c r="AG90" s="158">
        <f t="shared" si="73"/>
        <v>-683121.21785661089</v>
      </c>
      <c r="AH90" s="158">
        <f t="shared" si="73"/>
        <v>-723041.62355235475</v>
      </c>
      <c r="AI90" s="158">
        <f t="shared" si="73"/>
        <v>-766809.38876133412</v>
      </c>
      <c r="AJ90" s="159"/>
      <c r="AK90" s="159"/>
      <c r="AL90" s="158">
        <f t="shared" ref="AL90:CG90" si="74">AL83+AL84</f>
        <v>-89623</v>
      </c>
      <c r="AM90" s="158">
        <f t="shared" si="74"/>
        <v>-43110.5</v>
      </c>
      <c r="AN90" s="158">
        <f t="shared" si="74"/>
        <v>-52298</v>
      </c>
      <c r="AO90" s="158">
        <f t="shared" si="74"/>
        <v>-84509.5</v>
      </c>
      <c r="AP90" s="158">
        <f t="shared" si="74"/>
        <v>-44157.5</v>
      </c>
      <c r="AQ90" s="158">
        <f t="shared" si="74"/>
        <v>-61525</v>
      </c>
      <c r="AR90" s="158">
        <f t="shared" si="74"/>
        <v>-41730.5</v>
      </c>
      <c r="AS90" s="158">
        <f t="shared" si="74"/>
        <v>-52632.5</v>
      </c>
      <c r="AT90" s="158">
        <f t="shared" si="74"/>
        <v>-45075</v>
      </c>
      <c r="AU90" s="158">
        <f t="shared" si="74"/>
        <v>-51746</v>
      </c>
      <c r="AV90" s="158">
        <f t="shared" si="74"/>
        <v>-67458</v>
      </c>
      <c r="AW90" s="158">
        <f t="shared" si="74"/>
        <v>-111134</v>
      </c>
      <c r="AX90" s="158">
        <f t="shared" si="74"/>
        <v>-93712</v>
      </c>
      <c r="AY90" s="158">
        <f t="shared" si="74"/>
        <v>-114954</v>
      </c>
      <c r="AZ90" s="158">
        <f t="shared" si="74"/>
        <v>-71494</v>
      </c>
      <c r="BA90" s="158">
        <f t="shared" si="74"/>
        <v>-134047</v>
      </c>
      <c r="BB90" s="158">
        <f t="shared" si="74"/>
        <v>-75799</v>
      </c>
      <c r="BC90" s="158">
        <f t="shared" si="74"/>
        <v>-138143</v>
      </c>
      <c r="BD90" s="158">
        <f t="shared" si="74"/>
        <v>-144663</v>
      </c>
      <c r="BE90" s="158">
        <f t="shared" si="74"/>
        <v>-144317</v>
      </c>
      <c r="BF90" s="158">
        <f t="shared" si="74"/>
        <v>-150651</v>
      </c>
      <c r="BG90" s="158">
        <f t="shared" si="74"/>
        <v>-150765</v>
      </c>
      <c r="BH90" s="158">
        <f t="shared" si="74"/>
        <v>-157269</v>
      </c>
      <c r="BI90" s="158">
        <f t="shared" si="74"/>
        <v>-164204</v>
      </c>
      <c r="BJ90" s="158">
        <f t="shared" si="74"/>
        <v>-171471.01999999993</v>
      </c>
      <c r="BK90" s="158">
        <f t="shared" si="74"/>
        <v>-179074</v>
      </c>
      <c r="BL90" s="158">
        <f t="shared" si="74"/>
        <v>-187079</v>
      </c>
      <c r="BM90" s="158">
        <f t="shared" si="74"/>
        <v>-195477.00000000006</v>
      </c>
      <c r="BN90" s="158">
        <f t="shared" si="74"/>
        <v>-204293</v>
      </c>
      <c r="BO90" s="158">
        <f t="shared" si="74"/>
        <v>-213548.33000000005</v>
      </c>
      <c r="BP90" s="158">
        <f t="shared" si="74"/>
        <v>-223266.36999999994</v>
      </c>
      <c r="BQ90" s="158">
        <f t="shared" si="74"/>
        <v>-233469.12000000005</v>
      </c>
      <c r="BR90" s="158">
        <f t="shared" si="74"/>
        <v>-244181.89</v>
      </c>
      <c r="BS90" s="158">
        <f t="shared" si="74"/>
        <v>-255428.88</v>
      </c>
      <c r="BT90" s="158">
        <f t="shared" si="74"/>
        <v>-267237.25999999995</v>
      </c>
      <c r="BU90" s="158">
        <f t="shared" si="74"/>
        <v>-213577.6189909091</v>
      </c>
      <c r="BV90" s="158">
        <f t="shared" si="74"/>
        <v>-110922.18650765491</v>
      </c>
      <c r="BW90" s="158">
        <f t="shared" si="74"/>
        <v>-119550.69434817256</v>
      </c>
      <c r="BX90" s="158">
        <f t="shared" si="74"/>
        <v>-192407.58236582743</v>
      </c>
      <c r="BY90" s="158">
        <f t="shared" si="74"/>
        <v>-213934.9264178575</v>
      </c>
      <c r="BZ90" s="158">
        <f t="shared" si="74"/>
        <v>-239761.24856508322</v>
      </c>
      <c r="CA90" s="158">
        <f t="shared" si="74"/>
        <v>-229425.04287366974</v>
      </c>
      <c r="CB90" s="158">
        <f t="shared" si="74"/>
        <v>-236401.71636904028</v>
      </c>
      <c r="CC90" s="158">
        <f t="shared" si="74"/>
        <v>-241454.70994131558</v>
      </c>
      <c r="CD90" s="158">
        <f t="shared" si="74"/>
        <v>-245185.19724199941</v>
      </c>
      <c r="CE90" s="158">
        <f t="shared" si="74"/>
        <v>-248709.2636982793</v>
      </c>
      <c r="CF90" s="158">
        <f t="shared" si="74"/>
        <v>-252097.59362543287</v>
      </c>
      <c r="CG90" s="158">
        <f t="shared" si="74"/>
        <v>-266002.53143762215</v>
      </c>
    </row>
    <row r="91" spans="1:85"/>
    <row r="92" spans="1:85" s="180" customFormat="1" ht="62.1" customHeight="1">
      <c r="B92" s="183"/>
      <c r="C92" s="182" t="s">
        <v>38</v>
      </c>
      <c r="D92" s="181"/>
      <c r="E92" s="182"/>
      <c r="F92" s="181"/>
      <c r="G92" s="181"/>
    </row>
    <row r="93" spans="1:85" ht="15.75" customHeight="1">
      <c r="I93" s="851" t="s">
        <v>158</v>
      </c>
      <c r="M93" s="851" t="s">
        <v>159</v>
      </c>
      <c r="S93" s="851" t="s">
        <v>160</v>
      </c>
      <c r="T93" s="176"/>
      <c r="AK93" s="851" t="s">
        <v>161</v>
      </c>
    </row>
    <row r="94" spans="1:85" ht="29.25" customHeight="1" collapsed="1">
      <c r="C94" s="174"/>
      <c r="I94" s="851"/>
      <c r="J94" s="178" t="str">
        <f>IF(J$8&lt;=LatestMonthOfActuals,"Actual","Projected")</f>
        <v>Actual</v>
      </c>
      <c r="K94" s="178" t="str">
        <f>IF(K$8&lt;=LatestMonthOfActuals,"Actual","Projected")</f>
        <v>Actual</v>
      </c>
      <c r="M94" s="851"/>
      <c r="N94" s="178" t="str">
        <f>IF(N$8&lt;=LatestMonthOfActuals,"Actual","Projected")</f>
        <v>Actual</v>
      </c>
      <c r="O94" s="178" t="str">
        <f>IF(O$8&lt;=LatestMonthOfActuals,"Actual","Projected")</f>
        <v>Actual</v>
      </c>
      <c r="P94" s="178" t="str">
        <f>IF(P$8&lt;=LatestMonthOfActuals,"Actual","Projected")</f>
        <v>Projected</v>
      </c>
      <c r="Q94" s="178" t="str">
        <f>IF(Q$8&lt;=LatestMonthOfActuals,"Actual","Projected")</f>
        <v>Projected</v>
      </c>
      <c r="S94" s="851"/>
      <c r="T94" s="178" t="str">
        <f t="shared" ref="T94:AI94" si="75">IF(T$8&lt;=LatestMonthOfActuals,"Actual","Projected")</f>
        <v>Actual</v>
      </c>
      <c r="U94" s="178" t="str">
        <f t="shared" si="75"/>
        <v>Actual</v>
      </c>
      <c r="V94" s="178" t="str">
        <f t="shared" si="75"/>
        <v>Actual</v>
      </c>
      <c r="W94" s="178" t="str">
        <f t="shared" si="75"/>
        <v>Actual</v>
      </c>
      <c r="X94" s="178" t="str">
        <f t="shared" si="75"/>
        <v>Actual</v>
      </c>
      <c r="Y94" s="178" t="str">
        <f t="shared" si="75"/>
        <v>Actual</v>
      </c>
      <c r="Z94" s="178" t="str">
        <f t="shared" si="75"/>
        <v>Actual</v>
      </c>
      <c r="AA94" s="178" t="str">
        <f t="shared" si="75"/>
        <v>Actual</v>
      </c>
      <c r="AB94" s="178" t="str">
        <f t="shared" si="75"/>
        <v>Actual</v>
      </c>
      <c r="AC94" s="178" t="str">
        <f t="shared" si="75"/>
        <v>Actual</v>
      </c>
      <c r="AD94" s="178" t="str">
        <f t="shared" si="75"/>
        <v>Actual</v>
      </c>
      <c r="AE94" s="178" t="str">
        <f t="shared" si="75"/>
        <v>Projected</v>
      </c>
      <c r="AF94" s="178" t="str">
        <f t="shared" si="75"/>
        <v>Projected</v>
      </c>
      <c r="AG94" s="178" t="str">
        <f t="shared" si="75"/>
        <v>Projected</v>
      </c>
      <c r="AH94" s="178" t="str">
        <f t="shared" si="75"/>
        <v>Projected</v>
      </c>
      <c r="AI94" s="178" t="str">
        <f t="shared" si="75"/>
        <v>Projected</v>
      </c>
      <c r="AJ94" s="179"/>
      <c r="AK94" s="851"/>
      <c r="AL94" s="178" t="str">
        <f t="shared" ref="AL94:CG94" si="76">IF(AL$8&lt;=LatestMonthOfActuals,"Actual","Projected")</f>
        <v>Actual</v>
      </c>
      <c r="AM94" s="178" t="str">
        <f t="shared" si="76"/>
        <v>Actual</v>
      </c>
      <c r="AN94" s="178" t="str">
        <f t="shared" si="76"/>
        <v>Actual</v>
      </c>
      <c r="AO94" s="178" t="str">
        <f t="shared" si="76"/>
        <v>Actual</v>
      </c>
      <c r="AP94" s="178" t="str">
        <f t="shared" si="76"/>
        <v>Actual</v>
      </c>
      <c r="AQ94" s="178" t="str">
        <f t="shared" si="76"/>
        <v>Actual</v>
      </c>
      <c r="AR94" s="178" t="str">
        <f t="shared" si="76"/>
        <v>Actual</v>
      </c>
      <c r="AS94" s="178" t="str">
        <f t="shared" si="76"/>
        <v>Actual</v>
      </c>
      <c r="AT94" s="178" t="str">
        <f t="shared" si="76"/>
        <v>Actual</v>
      </c>
      <c r="AU94" s="178" t="str">
        <f t="shared" si="76"/>
        <v>Actual</v>
      </c>
      <c r="AV94" s="178" t="str">
        <f t="shared" si="76"/>
        <v>Actual</v>
      </c>
      <c r="AW94" s="178" t="str">
        <f t="shared" si="76"/>
        <v>Actual</v>
      </c>
      <c r="AX94" s="178" t="str">
        <f t="shared" si="76"/>
        <v>Actual</v>
      </c>
      <c r="AY94" s="178" t="str">
        <f t="shared" si="76"/>
        <v>Actual</v>
      </c>
      <c r="AZ94" s="178" t="str">
        <f t="shared" si="76"/>
        <v>Actual</v>
      </c>
      <c r="BA94" s="178" t="str">
        <f t="shared" si="76"/>
        <v>Actual</v>
      </c>
      <c r="BB94" s="178" t="str">
        <f t="shared" si="76"/>
        <v>Actual</v>
      </c>
      <c r="BC94" s="178" t="str">
        <f t="shared" si="76"/>
        <v>Actual</v>
      </c>
      <c r="BD94" s="178" t="str">
        <f t="shared" si="76"/>
        <v>Actual</v>
      </c>
      <c r="BE94" s="178" t="str">
        <f t="shared" si="76"/>
        <v>Actual</v>
      </c>
      <c r="BF94" s="178" t="str">
        <f t="shared" si="76"/>
        <v>Actual</v>
      </c>
      <c r="BG94" s="178" t="str">
        <f t="shared" si="76"/>
        <v>Actual</v>
      </c>
      <c r="BH94" s="178" t="str">
        <f t="shared" si="76"/>
        <v>Actual</v>
      </c>
      <c r="BI94" s="178" t="str">
        <f t="shared" si="76"/>
        <v>Actual</v>
      </c>
      <c r="BJ94" s="178" t="str">
        <f t="shared" si="76"/>
        <v>Actual</v>
      </c>
      <c r="BK94" s="178" t="str">
        <f t="shared" si="76"/>
        <v>Actual</v>
      </c>
      <c r="BL94" s="178" t="str">
        <f t="shared" si="76"/>
        <v>Actual</v>
      </c>
      <c r="BM94" s="178" t="str">
        <f t="shared" si="76"/>
        <v>Actual</v>
      </c>
      <c r="BN94" s="178" t="str">
        <f t="shared" si="76"/>
        <v>Actual</v>
      </c>
      <c r="BO94" s="178" t="str">
        <f t="shared" si="76"/>
        <v>Actual</v>
      </c>
      <c r="BP94" s="178" t="str">
        <f t="shared" si="76"/>
        <v>Actual</v>
      </c>
      <c r="BQ94" s="178" t="str">
        <f t="shared" si="76"/>
        <v>Actual</v>
      </c>
      <c r="BR94" s="178" t="str">
        <f t="shared" si="76"/>
        <v>Actual</v>
      </c>
      <c r="BS94" s="178" t="str">
        <f t="shared" si="76"/>
        <v>Actual</v>
      </c>
      <c r="BT94" s="178" t="str">
        <f t="shared" si="76"/>
        <v>Actual</v>
      </c>
      <c r="BU94" s="178" t="str">
        <f t="shared" si="76"/>
        <v>Projected</v>
      </c>
      <c r="BV94" s="178" t="str">
        <f t="shared" si="76"/>
        <v>Projected</v>
      </c>
      <c r="BW94" s="178" t="str">
        <f t="shared" si="76"/>
        <v>Projected</v>
      </c>
      <c r="BX94" s="178" t="str">
        <f t="shared" si="76"/>
        <v>Projected</v>
      </c>
      <c r="BY94" s="178" t="str">
        <f t="shared" si="76"/>
        <v>Projected</v>
      </c>
      <c r="BZ94" s="178" t="str">
        <f t="shared" si="76"/>
        <v>Projected</v>
      </c>
      <c r="CA94" s="178" t="str">
        <f t="shared" si="76"/>
        <v>Projected</v>
      </c>
      <c r="CB94" s="178" t="str">
        <f t="shared" si="76"/>
        <v>Projected</v>
      </c>
      <c r="CC94" s="178" t="str">
        <f t="shared" si="76"/>
        <v>Projected</v>
      </c>
      <c r="CD94" s="178" t="str">
        <f t="shared" si="76"/>
        <v>Projected</v>
      </c>
      <c r="CE94" s="178" t="str">
        <f t="shared" si="76"/>
        <v>Projected</v>
      </c>
      <c r="CF94" s="178" t="str">
        <f t="shared" si="76"/>
        <v>Projected</v>
      </c>
      <c r="CG94" s="178" t="str">
        <f t="shared" si="76"/>
        <v>Projected</v>
      </c>
    </row>
    <row r="95" spans="1:85" ht="14.45" hidden="1" customHeight="1" outlineLevel="2">
      <c r="C95" s="174" t="s">
        <v>72</v>
      </c>
      <c r="I95" s="851"/>
      <c r="J95" s="176" cm="1">
        <f t="array" ref="J95">DATE(YEAR(LatestMonthOfActuals)-IF(DATE(YEAR(LatestMonthOfActuals),1+Fiscal_Offset,1)&gt;LatestMonthOfActuals,1,0),1+Fiscal_Offset,1)</f>
        <v>45658</v>
      </c>
      <c r="K95" s="176">
        <f>MAX(Start_Date,EOMONTH(K96,-12)+1)</f>
        <v>45627</v>
      </c>
      <c r="M95" s="851"/>
      <c r="N95" s="176">
        <f>Start_Date</f>
        <v>44927</v>
      </c>
      <c r="O95" s="176">
        <f>N96+1</f>
        <v>45292</v>
      </c>
      <c r="P95" s="176">
        <f>O96+1</f>
        <v>45658</v>
      </c>
      <c r="Q95" s="176">
        <f>P96+1</f>
        <v>46023</v>
      </c>
      <c r="S95" s="851"/>
      <c r="T95" s="176">
        <f>Start_Date</f>
        <v>44927</v>
      </c>
      <c r="U95" s="4">
        <f t="shared" ref="U95" si="77">T96+1</f>
        <v>45017</v>
      </c>
      <c r="V95" s="4">
        <f t="shared" ref="V95" si="78">U96+1</f>
        <v>45108</v>
      </c>
      <c r="W95" s="4">
        <f t="shared" ref="W95" si="79">V96+1</f>
        <v>45200</v>
      </c>
      <c r="X95" s="4">
        <f t="shared" ref="X95" si="80">W96+1</f>
        <v>45292</v>
      </c>
      <c r="Y95" s="4">
        <f t="shared" ref="Y95" si="81">X96+1</f>
        <v>45383</v>
      </c>
      <c r="Z95" s="4">
        <f t="shared" ref="Z95" si="82">Y96+1</f>
        <v>45474</v>
      </c>
      <c r="AA95" s="4">
        <f t="shared" ref="AA95" si="83">Z96+1</f>
        <v>45566</v>
      </c>
      <c r="AB95" s="4">
        <f t="shared" ref="AB95" si="84">AA96+1</f>
        <v>45658</v>
      </c>
      <c r="AC95" s="4">
        <f t="shared" ref="AC95" si="85">AB96+1</f>
        <v>45748</v>
      </c>
      <c r="AD95" s="4">
        <f t="shared" ref="AD95" si="86">AC96+1</f>
        <v>45839</v>
      </c>
      <c r="AE95" s="4">
        <f t="shared" ref="AE95" si="87">AD96+1</f>
        <v>45931</v>
      </c>
      <c r="AF95" s="4">
        <f t="shared" ref="AF95" si="88">AE96+1</f>
        <v>46023</v>
      </c>
      <c r="AG95" s="4">
        <f t="shared" ref="AG95" si="89">AF96+1</f>
        <v>46113</v>
      </c>
      <c r="AH95" s="4">
        <f t="shared" ref="AH95" si="90">AG96+1</f>
        <v>46204</v>
      </c>
      <c r="AI95" s="4">
        <f t="shared" ref="AI95" si="91">AH96+1</f>
        <v>46296</v>
      </c>
      <c r="AJ95" s="177"/>
      <c r="AK95" s="851"/>
      <c r="AL95" s="176">
        <f>Start_Date</f>
        <v>44927</v>
      </c>
      <c r="AM95" s="176">
        <f t="shared" ref="AM95:CG95" si="92">EOMONTH(AM96,-1)+1</f>
        <v>44958</v>
      </c>
      <c r="AN95" s="176">
        <f t="shared" si="92"/>
        <v>44986</v>
      </c>
      <c r="AO95" s="176">
        <f t="shared" si="92"/>
        <v>45017</v>
      </c>
      <c r="AP95" s="176">
        <f t="shared" si="92"/>
        <v>45047</v>
      </c>
      <c r="AQ95" s="176">
        <f t="shared" si="92"/>
        <v>45078</v>
      </c>
      <c r="AR95" s="176">
        <f t="shared" si="92"/>
        <v>45108</v>
      </c>
      <c r="AS95" s="176">
        <f t="shared" si="92"/>
        <v>45139</v>
      </c>
      <c r="AT95" s="176">
        <f t="shared" si="92"/>
        <v>45170</v>
      </c>
      <c r="AU95" s="176">
        <f t="shared" si="92"/>
        <v>45200</v>
      </c>
      <c r="AV95" s="176">
        <f t="shared" si="92"/>
        <v>45231</v>
      </c>
      <c r="AW95" s="176">
        <f t="shared" si="92"/>
        <v>45261</v>
      </c>
      <c r="AX95" s="176">
        <f t="shared" si="92"/>
        <v>45292</v>
      </c>
      <c r="AY95" s="176">
        <f t="shared" si="92"/>
        <v>45323</v>
      </c>
      <c r="AZ95" s="176">
        <f t="shared" si="92"/>
        <v>45352</v>
      </c>
      <c r="BA95" s="176">
        <f t="shared" si="92"/>
        <v>45383</v>
      </c>
      <c r="BB95" s="176">
        <f t="shared" si="92"/>
        <v>45413</v>
      </c>
      <c r="BC95" s="176">
        <f t="shared" si="92"/>
        <v>45444</v>
      </c>
      <c r="BD95" s="176">
        <f t="shared" si="92"/>
        <v>45474</v>
      </c>
      <c r="BE95" s="176">
        <f t="shared" si="92"/>
        <v>45505</v>
      </c>
      <c r="BF95" s="176">
        <f t="shared" si="92"/>
        <v>45536</v>
      </c>
      <c r="BG95" s="176">
        <f t="shared" si="92"/>
        <v>45566</v>
      </c>
      <c r="BH95" s="176">
        <f t="shared" si="92"/>
        <v>45597</v>
      </c>
      <c r="BI95" s="176">
        <f t="shared" si="92"/>
        <v>45627</v>
      </c>
      <c r="BJ95" s="176">
        <f t="shared" si="92"/>
        <v>45658</v>
      </c>
      <c r="BK95" s="176">
        <f t="shared" si="92"/>
        <v>45689</v>
      </c>
      <c r="BL95" s="176">
        <f t="shared" si="92"/>
        <v>45717</v>
      </c>
      <c r="BM95" s="176">
        <f t="shared" si="92"/>
        <v>45748</v>
      </c>
      <c r="BN95" s="176">
        <f t="shared" si="92"/>
        <v>45778</v>
      </c>
      <c r="BO95" s="176">
        <f t="shared" si="92"/>
        <v>45809</v>
      </c>
      <c r="BP95" s="176">
        <f t="shared" si="92"/>
        <v>45839</v>
      </c>
      <c r="BQ95" s="176">
        <f t="shared" si="92"/>
        <v>45870</v>
      </c>
      <c r="BR95" s="176">
        <f t="shared" si="92"/>
        <v>45901</v>
      </c>
      <c r="BS95" s="176">
        <f t="shared" si="92"/>
        <v>45931</v>
      </c>
      <c r="BT95" s="176">
        <f t="shared" si="92"/>
        <v>45962</v>
      </c>
      <c r="BU95" s="176">
        <f t="shared" si="92"/>
        <v>45992</v>
      </c>
      <c r="BV95" s="176">
        <f t="shared" si="92"/>
        <v>46023</v>
      </c>
      <c r="BW95" s="176">
        <f t="shared" si="92"/>
        <v>46054</v>
      </c>
      <c r="BX95" s="176">
        <f t="shared" si="92"/>
        <v>46082</v>
      </c>
      <c r="BY95" s="176">
        <f t="shared" si="92"/>
        <v>46113</v>
      </c>
      <c r="BZ95" s="176">
        <f t="shared" si="92"/>
        <v>46143</v>
      </c>
      <c r="CA95" s="176">
        <f t="shared" si="92"/>
        <v>46174</v>
      </c>
      <c r="CB95" s="176">
        <f t="shared" si="92"/>
        <v>46204</v>
      </c>
      <c r="CC95" s="176">
        <f t="shared" si="92"/>
        <v>46235</v>
      </c>
      <c r="CD95" s="176">
        <f t="shared" si="92"/>
        <v>46266</v>
      </c>
      <c r="CE95" s="176">
        <f t="shared" si="92"/>
        <v>46296</v>
      </c>
      <c r="CF95" s="176">
        <f t="shared" si="92"/>
        <v>46327</v>
      </c>
      <c r="CG95" s="176">
        <f t="shared" si="92"/>
        <v>46357</v>
      </c>
    </row>
    <row r="96" spans="1:85" ht="14.45" hidden="1" customHeight="1" outlineLevel="2">
      <c r="C96" s="174" t="s">
        <v>78</v>
      </c>
      <c r="I96" s="851"/>
      <c r="J96" s="176" cm="1">
        <f t="array" ref="J96">LatestMonthOfActuals</f>
        <v>45991</v>
      </c>
      <c r="K96" s="4">
        <f>MAX(LatestMonthOfActuals,EOM_Start_Date)</f>
        <v>45991</v>
      </c>
      <c r="M96" s="851"/>
      <c r="N96" s="176">
        <f>EOMONTH(DATE(YEAR(Start_Date),1,1),Fiscal_Offset+IF(T97&lt;YEAR(Start_Date),-1,11))</f>
        <v>45291</v>
      </c>
      <c r="O96" s="4">
        <f>MIN(EOMONTH(N96,12),End_Date)</f>
        <v>45657</v>
      </c>
      <c r="P96" s="4">
        <f>MIN(EOMONTH(O96,12),End_Date)</f>
        <v>46022</v>
      </c>
      <c r="Q96" s="4">
        <f>MIN(EOMONTH(P96,12),End_Date)</f>
        <v>46387</v>
      </c>
      <c r="S96" s="851"/>
      <c r="T96" s="4">
        <f>EOMONTH(DATE(YEAR(Start_Date),1,1),MOD(ROUNDUP(MONTH(EOMONTH(Start_Date,-Fiscal_Offset))/3,0)*3+Fiscal_Offset-1,12))</f>
        <v>45016</v>
      </c>
      <c r="U96" s="4">
        <f t="shared" ref="U96:AI96" si="93">MIN(EOMONTH(U$7,2),End_Date)</f>
        <v>45107</v>
      </c>
      <c r="V96" s="4">
        <f t="shared" si="93"/>
        <v>45199</v>
      </c>
      <c r="W96" s="4">
        <f t="shared" si="93"/>
        <v>45291</v>
      </c>
      <c r="X96" s="4">
        <f t="shared" si="93"/>
        <v>45382</v>
      </c>
      <c r="Y96" s="4">
        <f t="shared" si="93"/>
        <v>45473</v>
      </c>
      <c r="Z96" s="4">
        <f t="shared" si="93"/>
        <v>45565</v>
      </c>
      <c r="AA96" s="4">
        <f t="shared" si="93"/>
        <v>45657</v>
      </c>
      <c r="AB96" s="4">
        <f t="shared" si="93"/>
        <v>45747</v>
      </c>
      <c r="AC96" s="4">
        <f t="shared" si="93"/>
        <v>45838</v>
      </c>
      <c r="AD96" s="4">
        <f t="shared" si="93"/>
        <v>45930</v>
      </c>
      <c r="AE96" s="4">
        <f t="shared" si="93"/>
        <v>46022</v>
      </c>
      <c r="AF96" s="4">
        <f t="shared" si="93"/>
        <v>46112</v>
      </c>
      <c r="AG96" s="4">
        <f t="shared" si="93"/>
        <v>46203</v>
      </c>
      <c r="AH96" s="4">
        <f t="shared" si="93"/>
        <v>46295</v>
      </c>
      <c r="AI96" s="4">
        <f t="shared" si="93"/>
        <v>46387</v>
      </c>
      <c r="AJ96" s="177"/>
      <c r="AK96" s="851"/>
      <c r="AL96" s="176" cm="1">
        <f t="array" ref="AL96">EOM_Start_Date</f>
        <v>44957</v>
      </c>
      <c r="AM96" s="4">
        <f t="shared" ref="AM96" si="94">EOMONTH(AL96,1)</f>
        <v>44985</v>
      </c>
      <c r="AN96" s="4">
        <f t="shared" ref="AN96" si="95">EOMONTH(AM96,1)</f>
        <v>45016</v>
      </c>
      <c r="AO96" s="4">
        <f t="shared" ref="AO96" si="96">EOMONTH(AN96,1)</f>
        <v>45046</v>
      </c>
      <c r="AP96" s="4">
        <f t="shared" ref="AP96" si="97">EOMONTH(AO96,1)</f>
        <v>45077</v>
      </c>
      <c r="AQ96" s="4">
        <f t="shared" ref="AQ96" si="98">EOMONTH(AP96,1)</f>
        <v>45107</v>
      </c>
      <c r="AR96" s="4">
        <f t="shared" ref="AR96" si="99">EOMONTH(AQ96,1)</f>
        <v>45138</v>
      </c>
      <c r="AS96" s="4">
        <f t="shared" ref="AS96" si="100">EOMONTH(AR96,1)</f>
        <v>45169</v>
      </c>
      <c r="AT96" s="4">
        <f t="shared" ref="AT96" si="101">EOMONTH(AS96,1)</f>
        <v>45199</v>
      </c>
      <c r="AU96" s="4">
        <f t="shared" ref="AU96" si="102">EOMONTH(AT96,1)</f>
        <v>45230</v>
      </c>
      <c r="AV96" s="4">
        <f t="shared" ref="AV96" si="103">EOMONTH(AU96,1)</f>
        <v>45260</v>
      </c>
      <c r="AW96" s="4">
        <f t="shared" ref="AW96" si="104">EOMONTH(AV96,1)</f>
        <v>45291</v>
      </c>
      <c r="AX96" s="4">
        <f t="shared" ref="AX96" si="105">EOMONTH(AW96,1)</f>
        <v>45322</v>
      </c>
      <c r="AY96" s="4">
        <f t="shared" ref="AY96" si="106">EOMONTH(AX96,1)</f>
        <v>45351</v>
      </c>
      <c r="AZ96" s="4">
        <f t="shared" ref="AZ96" si="107">EOMONTH(AY96,1)</f>
        <v>45382</v>
      </c>
      <c r="BA96" s="4">
        <f t="shared" ref="BA96" si="108">EOMONTH(AZ96,1)</f>
        <v>45412</v>
      </c>
      <c r="BB96" s="4">
        <f t="shared" ref="BB96" si="109">EOMONTH(BA96,1)</f>
        <v>45443</v>
      </c>
      <c r="BC96" s="4">
        <f t="shared" ref="BC96" si="110">EOMONTH(BB96,1)</f>
        <v>45473</v>
      </c>
      <c r="BD96" s="4">
        <f t="shared" ref="BD96" si="111">EOMONTH(BC96,1)</f>
        <v>45504</v>
      </c>
      <c r="BE96" s="4">
        <f t="shared" ref="BE96" si="112">EOMONTH(BD96,1)</f>
        <v>45535</v>
      </c>
      <c r="BF96" s="4">
        <f t="shared" ref="BF96" si="113">EOMONTH(BE96,1)</f>
        <v>45565</v>
      </c>
      <c r="BG96" s="4">
        <f t="shared" ref="BG96" si="114">EOMONTH(BF96,1)</f>
        <v>45596</v>
      </c>
      <c r="BH96" s="4">
        <f t="shared" ref="BH96" si="115">EOMONTH(BG96,1)</f>
        <v>45626</v>
      </c>
      <c r="BI96" s="4">
        <f t="shared" ref="BI96" si="116">EOMONTH(BH96,1)</f>
        <v>45657</v>
      </c>
      <c r="BJ96" s="4">
        <f t="shared" ref="BJ96" si="117">EOMONTH(BI96,1)</f>
        <v>45688</v>
      </c>
      <c r="BK96" s="4">
        <f t="shared" ref="BK96" si="118">EOMONTH(BJ96,1)</f>
        <v>45716</v>
      </c>
      <c r="BL96" s="4">
        <f t="shared" ref="BL96" si="119">EOMONTH(BK96,1)</f>
        <v>45747</v>
      </c>
      <c r="BM96" s="4">
        <f t="shared" ref="BM96" si="120">EOMONTH(BL96,1)</f>
        <v>45777</v>
      </c>
      <c r="BN96" s="4">
        <f t="shared" ref="BN96" si="121">EOMONTH(BM96,1)</f>
        <v>45808</v>
      </c>
      <c r="BO96" s="4">
        <f t="shared" ref="BO96" si="122">EOMONTH(BN96,1)</f>
        <v>45838</v>
      </c>
      <c r="BP96" s="4">
        <f t="shared" ref="BP96" si="123">EOMONTH(BO96,1)</f>
        <v>45869</v>
      </c>
      <c r="BQ96" s="4">
        <f t="shared" ref="BQ96" si="124">EOMONTH(BP96,1)</f>
        <v>45900</v>
      </c>
      <c r="BR96" s="4">
        <f t="shared" ref="BR96" si="125">EOMONTH(BQ96,1)</f>
        <v>45930</v>
      </c>
      <c r="BS96" s="4">
        <f t="shared" ref="BS96" si="126">EOMONTH(BR96,1)</f>
        <v>45961</v>
      </c>
      <c r="BT96" s="4">
        <f t="shared" ref="BT96" si="127">EOMONTH(BS96,1)</f>
        <v>45991</v>
      </c>
      <c r="BU96" s="4">
        <f t="shared" ref="BU96" si="128">EOMONTH(BT96,1)</f>
        <v>46022</v>
      </c>
      <c r="BV96" s="4">
        <f t="shared" ref="BV96" si="129">EOMONTH(BU96,1)</f>
        <v>46053</v>
      </c>
      <c r="BW96" s="4">
        <f t="shared" ref="BW96" si="130">EOMONTH(BV96,1)</f>
        <v>46081</v>
      </c>
      <c r="BX96" s="4">
        <f t="shared" ref="BX96" si="131">EOMONTH(BW96,1)</f>
        <v>46112</v>
      </c>
      <c r="BY96" s="4">
        <f t="shared" ref="BY96" si="132">EOMONTH(BX96,1)</f>
        <v>46142</v>
      </c>
      <c r="BZ96" s="4">
        <f t="shared" ref="BZ96" si="133">EOMONTH(BY96,1)</f>
        <v>46173</v>
      </c>
      <c r="CA96" s="4">
        <f t="shared" ref="CA96" si="134">EOMONTH(BZ96,1)</f>
        <v>46203</v>
      </c>
      <c r="CB96" s="4">
        <f t="shared" ref="CB96" si="135">EOMONTH(CA96,1)</f>
        <v>46234</v>
      </c>
      <c r="CC96" s="4">
        <f t="shared" ref="CC96" si="136">EOMONTH(CB96,1)</f>
        <v>46265</v>
      </c>
      <c r="CD96" s="4">
        <f t="shared" ref="CD96" si="137">EOMONTH(CC96,1)</f>
        <v>46295</v>
      </c>
      <c r="CE96" s="4">
        <f t="shared" ref="CE96" si="138">EOMONTH(CD96,1)</f>
        <v>46326</v>
      </c>
      <c r="CF96" s="4">
        <f t="shared" ref="CF96" si="139">EOMONTH(CE96,1)</f>
        <v>46356</v>
      </c>
      <c r="CG96" s="4">
        <f t="shared" ref="CG96" si="140">EOMONTH(CF96,1)</f>
        <v>46387</v>
      </c>
    </row>
    <row r="97" spans="1:85" ht="14.45" hidden="1" customHeight="1" outlineLevel="2">
      <c r="C97" s="174" t="s">
        <v>162</v>
      </c>
      <c r="I97" s="851"/>
      <c r="J97" s="12">
        <f>YEAR(EOMONTH(J96,-Fiscal_Offset))</f>
        <v>2025</v>
      </c>
      <c r="K97" s="12">
        <f>YEAR(EOMONTH(K96,-Fiscal_Offset))</f>
        <v>2025</v>
      </c>
      <c r="M97" s="851"/>
      <c r="N97" s="12">
        <f>YEAR(EOMONTH(N96,-Fiscal_Offset))</f>
        <v>2023</v>
      </c>
      <c r="O97" s="12">
        <f>YEAR(EOMONTH(O96,-Fiscal_Offset))</f>
        <v>2024</v>
      </c>
      <c r="P97" s="12">
        <f>YEAR(EOMONTH(P96,-Fiscal_Offset))</f>
        <v>2025</v>
      </c>
      <c r="Q97" s="12">
        <f>YEAR(EOMONTH(Q96,-Fiscal_Offset))</f>
        <v>2026</v>
      </c>
      <c r="S97" s="851"/>
      <c r="T97" s="12">
        <f t="shared" ref="T97:AI97" si="141">YEAR(EOMONTH(T96,-Fiscal_Offset))</f>
        <v>2023</v>
      </c>
      <c r="U97" s="12">
        <f t="shared" si="141"/>
        <v>2023</v>
      </c>
      <c r="V97" s="12">
        <f t="shared" si="141"/>
        <v>2023</v>
      </c>
      <c r="W97" s="12">
        <f t="shared" si="141"/>
        <v>2023</v>
      </c>
      <c r="X97" s="12">
        <f t="shared" si="141"/>
        <v>2024</v>
      </c>
      <c r="Y97" s="12">
        <f t="shared" si="141"/>
        <v>2024</v>
      </c>
      <c r="Z97" s="12">
        <f t="shared" si="141"/>
        <v>2024</v>
      </c>
      <c r="AA97" s="12">
        <f t="shared" si="141"/>
        <v>2024</v>
      </c>
      <c r="AB97" s="12">
        <f t="shared" si="141"/>
        <v>2025</v>
      </c>
      <c r="AC97" s="12">
        <f t="shared" si="141"/>
        <v>2025</v>
      </c>
      <c r="AD97" s="12">
        <f t="shared" si="141"/>
        <v>2025</v>
      </c>
      <c r="AE97" s="12">
        <f t="shared" si="141"/>
        <v>2025</v>
      </c>
      <c r="AF97" s="12">
        <f t="shared" si="141"/>
        <v>2026</v>
      </c>
      <c r="AG97" s="12">
        <f t="shared" si="141"/>
        <v>2026</v>
      </c>
      <c r="AH97" s="12">
        <f t="shared" si="141"/>
        <v>2026</v>
      </c>
      <c r="AI97" s="12">
        <f t="shared" si="141"/>
        <v>2026</v>
      </c>
      <c r="AJ97" s="175"/>
      <c r="AK97" s="851"/>
      <c r="AL97" s="12">
        <f t="shared" ref="AL97:CG97" si="142">YEAR(EOMONTH(AL96,-Fiscal_Offset))</f>
        <v>2023</v>
      </c>
      <c r="AM97" s="12">
        <f t="shared" si="142"/>
        <v>2023</v>
      </c>
      <c r="AN97" s="12">
        <f t="shared" si="142"/>
        <v>2023</v>
      </c>
      <c r="AO97" s="12">
        <f t="shared" si="142"/>
        <v>2023</v>
      </c>
      <c r="AP97" s="12">
        <f t="shared" si="142"/>
        <v>2023</v>
      </c>
      <c r="AQ97" s="12">
        <f t="shared" si="142"/>
        <v>2023</v>
      </c>
      <c r="AR97" s="12">
        <f t="shared" si="142"/>
        <v>2023</v>
      </c>
      <c r="AS97" s="12">
        <f t="shared" si="142"/>
        <v>2023</v>
      </c>
      <c r="AT97" s="12">
        <f t="shared" si="142"/>
        <v>2023</v>
      </c>
      <c r="AU97" s="12">
        <f t="shared" si="142"/>
        <v>2023</v>
      </c>
      <c r="AV97" s="12">
        <f t="shared" si="142"/>
        <v>2023</v>
      </c>
      <c r="AW97" s="12">
        <f t="shared" si="142"/>
        <v>2023</v>
      </c>
      <c r="AX97" s="12">
        <f t="shared" si="142"/>
        <v>2024</v>
      </c>
      <c r="AY97" s="12">
        <f t="shared" si="142"/>
        <v>2024</v>
      </c>
      <c r="AZ97" s="12">
        <f t="shared" si="142"/>
        <v>2024</v>
      </c>
      <c r="BA97" s="12">
        <f t="shared" si="142"/>
        <v>2024</v>
      </c>
      <c r="BB97" s="12">
        <f t="shared" si="142"/>
        <v>2024</v>
      </c>
      <c r="BC97" s="12">
        <f t="shared" si="142"/>
        <v>2024</v>
      </c>
      <c r="BD97" s="12">
        <f t="shared" si="142"/>
        <v>2024</v>
      </c>
      <c r="BE97" s="12">
        <f t="shared" si="142"/>
        <v>2024</v>
      </c>
      <c r="BF97" s="12">
        <f t="shared" si="142"/>
        <v>2024</v>
      </c>
      <c r="BG97" s="12">
        <f t="shared" si="142"/>
        <v>2024</v>
      </c>
      <c r="BH97" s="12">
        <f t="shared" si="142"/>
        <v>2024</v>
      </c>
      <c r="BI97" s="12">
        <f t="shared" si="142"/>
        <v>2024</v>
      </c>
      <c r="BJ97" s="12">
        <f t="shared" si="142"/>
        <v>2025</v>
      </c>
      <c r="BK97" s="12">
        <f t="shared" si="142"/>
        <v>2025</v>
      </c>
      <c r="BL97" s="12">
        <f t="shared" si="142"/>
        <v>2025</v>
      </c>
      <c r="BM97" s="12">
        <f t="shared" si="142"/>
        <v>2025</v>
      </c>
      <c r="BN97" s="12">
        <f t="shared" si="142"/>
        <v>2025</v>
      </c>
      <c r="BO97" s="12">
        <f t="shared" si="142"/>
        <v>2025</v>
      </c>
      <c r="BP97" s="12">
        <f t="shared" si="142"/>
        <v>2025</v>
      </c>
      <c r="BQ97" s="12">
        <f t="shared" si="142"/>
        <v>2025</v>
      </c>
      <c r="BR97" s="12">
        <f t="shared" si="142"/>
        <v>2025</v>
      </c>
      <c r="BS97" s="12">
        <f t="shared" si="142"/>
        <v>2025</v>
      </c>
      <c r="BT97" s="12">
        <f t="shared" si="142"/>
        <v>2025</v>
      </c>
      <c r="BU97" s="12">
        <f t="shared" si="142"/>
        <v>2025</v>
      </c>
      <c r="BV97" s="12">
        <f t="shared" si="142"/>
        <v>2026</v>
      </c>
      <c r="BW97" s="12">
        <f t="shared" si="142"/>
        <v>2026</v>
      </c>
      <c r="BX97" s="12">
        <f t="shared" si="142"/>
        <v>2026</v>
      </c>
      <c r="BY97" s="12">
        <f t="shared" si="142"/>
        <v>2026</v>
      </c>
      <c r="BZ97" s="12">
        <f t="shared" si="142"/>
        <v>2026</v>
      </c>
      <c r="CA97" s="12">
        <f t="shared" si="142"/>
        <v>2026</v>
      </c>
      <c r="CB97" s="12">
        <f t="shared" si="142"/>
        <v>2026</v>
      </c>
      <c r="CC97" s="12">
        <f t="shared" si="142"/>
        <v>2026</v>
      </c>
      <c r="CD97" s="12">
        <f t="shared" si="142"/>
        <v>2026</v>
      </c>
      <c r="CE97" s="12">
        <f t="shared" si="142"/>
        <v>2026</v>
      </c>
      <c r="CF97" s="12">
        <f t="shared" si="142"/>
        <v>2026</v>
      </c>
      <c r="CG97" s="12">
        <f t="shared" si="142"/>
        <v>2026</v>
      </c>
    </row>
    <row r="98" spans="1:85" ht="14.45" hidden="1" customHeight="1" outlineLevel="2">
      <c r="C98" s="174" t="s">
        <v>163</v>
      </c>
      <c r="I98" s="851"/>
      <c r="J98" s="12" t="str">
        <f>"Q"&amp; ROUNDUP(MONTH(EOMONTH(J96,-Fiscal_Offset))/3,0)</f>
        <v>Q4</v>
      </c>
      <c r="K98" s="12" t="str">
        <f>"Q"&amp; ROUNDUP(MONTH(EOMONTH(K96,-Fiscal_Offset))/3,0)</f>
        <v>Q4</v>
      </c>
      <c r="M98" s="851"/>
      <c r="N98" s="12" t="str">
        <f>"Q"&amp; ROUNDUP(MONTH(EOMONTH(N96,-Fiscal_Offset))/3,0)</f>
        <v>Q4</v>
      </c>
      <c r="O98" s="12" t="str">
        <f>"Q"&amp; ROUNDUP(MONTH(EOMONTH(O96,-Fiscal_Offset))/3,0)</f>
        <v>Q4</v>
      </c>
      <c r="P98" s="12" t="str">
        <f>"Q"&amp; ROUNDUP(MONTH(EOMONTH(P96,-Fiscal_Offset))/3,0)</f>
        <v>Q4</v>
      </c>
      <c r="Q98" s="12" t="str">
        <f>"Q"&amp; ROUNDUP(MONTH(EOMONTH(Q96,-Fiscal_Offset))/3,0)</f>
        <v>Q4</v>
      </c>
      <c r="S98" s="851"/>
      <c r="T98" s="12" t="str">
        <f t="shared" ref="T98:AI98" si="143">"Q"&amp; ROUNDUP(MONTH(EOMONTH(T96,-Fiscal_Offset))/3,0)</f>
        <v>Q1</v>
      </c>
      <c r="U98" s="12" t="str">
        <f t="shared" si="143"/>
        <v>Q2</v>
      </c>
      <c r="V98" s="12" t="str">
        <f t="shared" si="143"/>
        <v>Q3</v>
      </c>
      <c r="W98" s="12" t="str">
        <f t="shared" si="143"/>
        <v>Q4</v>
      </c>
      <c r="X98" s="12" t="str">
        <f t="shared" si="143"/>
        <v>Q1</v>
      </c>
      <c r="Y98" s="12" t="str">
        <f t="shared" si="143"/>
        <v>Q2</v>
      </c>
      <c r="Z98" s="12" t="str">
        <f t="shared" si="143"/>
        <v>Q3</v>
      </c>
      <c r="AA98" s="12" t="str">
        <f t="shared" si="143"/>
        <v>Q4</v>
      </c>
      <c r="AB98" s="12" t="str">
        <f t="shared" si="143"/>
        <v>Q1</v>
      </c>
      <c r="AC98" s="12" t="str">
        <f t="shared" si="143"/>
        <v>Q2</v>
      </c>
      <c r="AD98" s="12" t="str">
        <f t="shared" si="143"/>
        <v>Q3</v>
      </c>
      <c r="AE98" s="12" t="str">
        <f t="shared" si="143"/>
        <v>Q4</v>
      </c>
      <c r="AF98" s="12" t="str">
        <f t="shared" si="143"/>
        <v>Q1</v>
      </c>
      <c r="AG98" s="12" t="str">
        <f t="shared" si="143"/>
        <v>Q2</v>
      </c>
      <c r="AH98" s="12" t="str">
        <f t="shared" si="143"/>
        <v>Q3</v>
      </c>
      <c r="AI98" s="12" t="str">
        <f t="shared" si="143"/>
        <v>Q4</v>
      </c>
      <c r="AJ98" s="175"/>
      <c r="AK98" s="851"/>
      <c r="AL98" s="12" t="str">
        <f t="shared" ref="AL98:CG98" si="144">"Q"&amp; ROUNDUP(MONTH(EOMONTH(AL96,-Fiscal_Offset))/3,0)</f>
        <v>Q1</v>
      </c>
      <c r="AM98" s="12" t="str">
        <f t="shared" si="144"/>
        <v>Q1</v>
      </c>
      <c r="AN98" s="12" t="str">
        <f t="shared" si="144"/>
        <v>Q1</v>
      </c>
      <c r="AO98" s="12" t="str">
        <f t="shared" si="144"/>
        <v>Q2</v>
      </c>
      <c r="AP98" s="12" t="str">
        <f t="shared" si="144"/>
        <v>Q2</v>
      </c>
      <c r="AQ98" s="12" t="str">
        <f t="shared" si="144"/>
        <v>Q2</v>
      </c>
      <c r="AR98" s="12" t="str">
        <f t="shared" si="144"/>
        <v>Q3</v>
      </c>
      <c r="AS98" s="12" t="str">
        <f t="shared" si="144"/>
        <v>Q3</v>
      </c>
      <c r="AT98" s="12" t="str">
        <f t="shared" si="144"/>
        <v>Q3</v>
      </c>
      <c r="AU98" s="12" t="str">
        <f t="shared" si="144"/>
        <v>Q4</v>
      </c>
      <c r="AV98" s="12" t="str">
        <f t="shared" si="144"/>
        <v>Q4</v>
      </c>
      <c r="AW98" s="12" t="str">
        <f t="shared" si="144"/>
        <v>Q4</v>
      </c>
      <c r="AX98" s="12" t="str">
        <f t="shared" si="144"/>
        <v>Q1</v>
      </c>
      <c r="AY98" s="12" t="str">
        <f t="shared" si="144"/>
        <v>Q1</v>
      </c>
      <c r="AZ98" s="12" t="str">
        <f t="shared" si="144"/>
        <v>Q1</v>
      </c>
      <c r="BA98" s="12" t="str">
        <f t="shared" si="144"/>
        <v>Q2</v>
      </c>
      <c r="BB98" s="12" t="str">
        <f t="shared" si="144"/>
        <v>Q2</v>
      </c>
      <c r="BC98" s="12" t="str">
        <f t="shared" si="144"/>
        <v>Q2</v>
      </c>
      <c r="BD98" s="12" t="str">
        <f t="shared" si="144"/>
        <v>Q3</v>
      </c>
      <c r="BE98" s="12" t="str">
        <f t="shared" si="144"/>
        <v>Q3</v>
      </c>
      <c r="BF98" s="12" t="str">
        <f t="shared" si="144"/>
        <v>Q3</v>
      </c>
      <c r="BG98" s="12" t="str">
        <f t="shared" si="144"/>
        <v>Q4</v>
      </c>
      <c r="BH98" s="12" t="str">
        <f t="shared" si="144"/>
        <v>Q4</v>
      </c>
      <c r="BI98" s="12" t="str">
        <f t="shared" si="144"/>
        <v>Q4</v>
      </c>
      <c r="BJ98" s="12" t="str">
        <f t="shared" si="144"/>
        <v>Q1</v>
      </c>
      <c r="BK98" s="12" t="str">
        <f t="shared" si="144"/>
        <v>Q1</v>
      </c>
      <c r="BL98" s="12" t="str">
        <f t="shared" si="144"/>
        <v>Q1</v>
      </c>
      <c r="BM98" s="12" t="str">
        <f t="shared" si="144"/>
        <v>Q2</v>
      </c>
      <c r="BN98" s="12" t="str">
        <f t="shared" si="144"/>
        <v>Q2</v>
      </c>
      <c r="BO98" s="12" t="str">
        <f t="shared" si="144"/>
        <v>Q2</v>
      </c>
      <c r="BP98" s="12" t="str">
        <f t="shared" si="144"/>
        <v>Q3</v>
      </c>
      <c r="BQ98" s="12" t="str">
        <f t="shared" si="144"/>
        <v>Q3</v>
      </c>
      <c r="BR98" s="12" t="str">
        <f t="shared" si="144"/>
        <v>Q3</v>
      </c>
      <c r="BS98" s="12" t="str">
        <f t="shared" si="144"/>
        <v>Q4</v>
      </c>
      <c r="BT98" s="12" t="str">
        <f t="shared" si="144"/>
        <v>Q4</v>
      </c>
      <c r="BU98" s="12" t="str">
        <f t="shared" si="144"/>
        <v>Q4</v>
      </c>
      <c r="BV98" s="12" t="str">
        <f t="shared" si="144"/>
        <v>Q1</v>
      </c>
      <c r="BW98" s="12" t="str">
        <f t="shared" si="144"/>
        <v>Q1</v>
      </c>
      <c r="BX98" s="12" t="str">
        <f t="shared" si="144"/>
        <v>Q1</v>
      </c>
      <c r="BY98" s="12" t="str">
        <f t="shared" si="144"/>
        <v>Q2</v>
      </c>
      <c r="BZ98" s="12" t="str">
        <f t="shared" si="144"/>
        <v>Q2</v>
      </c>
      <c r="CA98" s="12" t="str">
        <f t="shared" si="144"/>
        <v>Q2</v>
      </c>
      <c r="CB98" s="12" t="str">
        <f t="shared" si="144"/>
        <v>Q3</v>
      </c>
      <c r="CC98" s="12" t="str">
        <f t="shared" si="144"/>
        <v>Q3</v>
      </c>
      <c r="CD98" s="12" t="str">
        <f t="shared" si="144"/>
        <v>Q3</v>
      </c>
      <c r="CE98" s="12" t="str">
        <f t="shared" si="144"/>
        <v>Q4</v>
      </c>
      <c r="CF98" s="12" t="str">
        <f t="shared" si="144"/>
        <v>Q4</v>
      </c>
      <c r="CG98" s="12" t="str">
        <f t="shared" si="144"/>
        <v>Q4</v>
      </c>
    </row>
    <row r="99" spans="1:85" ht="15.75" collapsed="1">
      <c r="C99" s="174"/>
      <c r="D99" s="160" t="s">
        <v>175</v>
      </c>
      <c r="E99" s="161" t="s">
        <v>176</v>
      </c>
      <c r="I99" s="851"/>
      <c r="J99" s="173" t="s">
        <v>166</v>
      </c>
      <c r="K99" s="173" t="s">
        <v>167</v>
      </c>
      <c r="M99" s="851"/>
      <c r="N99" s="173">
        <f>N97</f>
        <v>2023</v>
      </c>
      <c r="O99" s="173">
        <f>O97</f>
        <v>2024</v>
      </c>
      <c r="P99" s="173">
        <f>P97</f>
        <v>2025</v>
      </c>
      <c r="Q99" s="173">
        <f>Q97</f>
        <v>2026</v>
      </c>
      <c r="R99" s="172"/>
      <c r="S99" s="851"/>
      <c r="T99" s="171" t="str">
        <f t="shared" ref="T99:AI99" si="145">CONCATENATE(CONCATENATE(T$10," ",T$9))</f>
        <v>Q1 2023</v>
      </c>
      <c r="U99" s="171" t="str">
        <f t="shared" si="145"/>
        <v>Q2 2023</v>
      </c>
      <c r="V99" s="171" t="str">
        <f t="shared" si="145"/>
        <v>Q3 2023</v>
      </c>
      <c r="W99" s="171" t="str">
        <f t="shared" si="145"/>
        <v>Q4 2023</v>
      </c>
      <c r="X99" s="171" t="str">
        <f t="shared" si="145"/>
        <v>Q1 2024</v>
      </c>
      <c r="Y99" s="171" t="str">
        <f t="shared" si="145"/>
        <v>Q2 2024</v>
      </c>
      <c r="Z99" s="171" t="str">
        <f t="shared" si="145"/>
        <v>Q3 2024</v>
      </c>
      <c r="AA99" s="171" t="str">
        <f t="shared" si="145"/>
        <v>Q4 2024</v>
      </c>
      <c r="AB99" s="171" t="str">
        <f t="shared" si="145"/>
        <v>Q1 2025</v>
      </c>
      <c r="AC99" s="171" t="str">
        <f t="shared" si="145"/>
        <v>Q2 2025</v>
      </c>
      <c r="AD99" s="171" t="str">
        <f t="shared" si="145"/>
        <v>Q3 2025</v>
      </c>
      <c r="AE99" s="171" t="str">
        <f t="shared" si="145"/>
        <v>Q4 2025</v>
      </c>
      <c r="AF99" s="171" t="str">
        <f t="shared" si="145"/>
        <v>Q1 2026</v>
      </c>
      <c r="AG99" s="171" t="str">
        <f t="shared" si="145"/>
        <v>Q2 2026</v>
      </c>
      <c r="AH99" s="171" t="str">
        <f t="shared" si="145"/>
        <v>Q3 2026</v>
      </c>
      <c r="AI99" s="171" t="str">
        <f t="shared" si="145"/>
        <v>Q4 2026</v>
      </c>
      <c r="AJ99" s="170"/>
      <c r="AK99" s="851"/>
      <c r="AL99" s="169">
        <f t="shared" ref="AL99:CG99" si="146">AL96</f>
        <v>44957</v>
      </c>
      <c r="AM99" s="169">
        <f t="shared" si="146"/>
        <v>44985</v>
      </c>
      <c r="AN99" s="169">
        <f t="shared" si="146"/>
        <v>45016</v>
      </c>
      <c r="AO99" s="169">
        <f t="shared" si="146"/>
        <v>45046</v>
      </c>
      <c r="AP99" s="169">
        <f t="shared" si="146"/>
        <v>45077</v>
      </c>
      <c r="AQ99" s="169">
        <f t="shared" si="146"/>
        <v>45107</v>
      </c>
      <c r="AR99" s="169">
        <f t="shared" si="146"/>
        <v>45138</v>
      </c>
      <c r="AS99" s="169">
        <f t="shared" si="146"/>
        <v>45169</v>
      </c>
      <c r="AT99" s="169">
        <f t="shared" si="146"/>
        <v>45199</v>
      </c>
      <c r="AU99" s="169">
        <f t="shared" si="146"/>
        <v>45230</v>
      </c>
      <c r="AV99" s="169">
        <f t="shared" si="146"/>
        <v>45260</v>
      </c>
      <c r="AW99" s="169">
        <f t="shared" si="146"/>
        <v>45291</v>
      </c>
      <c r="AX99" s="169">
        <f t="shared" si="146"/>
        <v>45322</v>
      </c>
      <c r="AY99" s="169">
        <f t="shared" si="146"/>
        <v>45351</v>
      </c>
      <c r="AZ99" s="169">
        <f t="shared" si="146"/>
        <v>45382</v>
      </c>
      <c r="BA99" s="169">
        <f t="shared" si="146"/>
        <v>45412</v>
      </c>
      <c r="BB99" s="169">
        <f t="shared" si="146"/>
        <v>45443</v>
      </c>
      <c r="BC99" s="169">
        <f t="shared" si="146"/>
        <v>45473</v>
      </c>
      <c r="BD99" s="169">
        <f t="shared" si="146"/>
        <v>45504</v>
      </c>
      <c r="BE99" s="169">
        <f t="shared" si="146"/>
        <v>45535</v>
      </c>
      <c r="BF99" s="169">
        <f t="shared" si="146"/>
        <v>45565</v>
      </c>
      <c r="BG99" s="169">
        <f t="shared" si="146"/>
        <v>45596</v>
      </c>
      <c r="BH99" s="169">
        <f t="shared" si="146"/>
        <v>45626</v>
      </c>
      <c r="BI99" s="169">
        <f t="shared" si="146"/>
        <v>45657</v>
      </c>
      <c r="BJ99" s="169">
        <f t="shared" si="146"/>
        <v>45688</v>
      </c>
      <c r="BK99" s="169">
        <f t="shared" si="146"/>
        <v>45716</v>
      </c>
      <c r="BL99" s="169">
        <f t="shared" si="146"/>
        <v>45747</v>
      </c>
      <c r="BM99" s="169">
        <f t="shared" si="146"/>
        <v>45777</v>
      </c>
      <c r="BN99" s="169">
        <f t="shared" si="146"/>
        <v>45808</v>
      </c>
      <c r="BO99" s="169">
        <f t="shared" si="146"/>
        <v>45838</v>
      </c>
      <c r="BP99" s="169">
        <f t="shared" si="146"/>
        <v>45869</v>
      </c>
      <c r="BQ99" s="169">
        <f t="shared" si="146"/>
        <v>45900</v>
      </c>
      <c r="BR99" s="169">
        <f t="shared" si="146"/>
        <v>45930</v>
      </c>
      <c r="BS99" s="169">
        <f t="shared" si="146"/>
        <v>45961</v>
      </c>
      <c r="BT99" s="169">
        <f t="shared" si="146"/>
        <v>45991</v>
      </c>
      <c r="BU99" s="169">
        <f t="shared" si="146"/>
        <v>46022</v>
      </c>
      <c r="BV99" s="169">
        <f t="shared" si="146"/>
        <v>46053</v>
      </c>
      <c r="BW99" s="169">
        <f t="shared" si="146"/>
        <v>46081</v>
      </c>
      <c r="BX99" s="169">
        <f t="shared" si="146"/>
        <v>46112</v>
      </c>
      <c r="BY99" s="169">
        <f t="shared" si="146"/>
        <v>46142</v>
      </c>
      <c r="BZ99" s="169">
        <f t="shared" si="146"/>
        <v>46173</v>
      </c>
      <c r="CA99" s="169">
        <f t="shared" si="146"/>
        <v>46203</v>
      </c>
      <c r="CB99" s="169">
        <f t="shared" si="146"/>
        <v>46234</v>
      </c>
      <c r="CC99" s="169">
        <f t="shared" si="146"/>
        <v>46265</v>
      </c>
      <c r="CD99" s="169">
        <f t="shared" si="146"/>
        <v>46295</v>
      </c>
      <c r="CE99" s="169">
        <f t="shared" si="146"/>
        <v>46326</v>
      </c>
      <c r="CF99" s="169">
        <f t="shared" si="146"/>
        <v>46356</v>
      </c>
      <c r="CG99" s="169">
        <f t="shared" si="146"/>
        <v>46387</v>
      </c>
    </row>
    <row r="100" spans="1:85">
      <c r="A100" s="168"/>
      <c r="B100" s="168"/>
      <c r="C100" s="166"/>
      <c r="D100" s="166"/>
      <c r="E100" s="167"/>
      <c r="F100" s="166"/>
      <c r="G100" s="166"/>
      <c r="I100" s="165"/>
      <c r="J100" s="165"/>
      <c r="K100" s="165"/>
      <c r="M100" s="165"/>
      <c r="N100" s="165"/>
      <c r="O100" s="165"/>
      <c r="P100" s="165"/>
      <c r="Q100" s="165"/>
      <c r="S100" s="165"/>
      <c r="T100" s="165"/>
      <c r="U100" s="165"/>
      <c r="V100" s="165"/>
      <c r="W100" s="165"/>
      <c r="X100" s="165"/>
      <c r="Y100" s="165"/>
      <c r="Z100" s="165"/>
      <c r="AA100" s="165"/>
      <c r="AB100" s="165"/>
      <c r="AC100" s="165"/>
      <c r="AD100" s="165"/>
      <c r="AE100" s="165"/>
      <c r="AF100" s="165"/>
      <c r="AG100" s="165"/>
      <c r="AH100" s="165"/>
      <c r="AI100" s="165"/>
      <c r="AK100" s="165"/>
      <c r="AL100" s="165"/>
      <c r="AM100" s="165"/>
      <c r="AN100" s="165"/>
      <c r="AO100" s="165"/>
      <c r="AP100" s="165"/>
      <c r="AQ100" s="165"/>
      <c r="AR100" s="165"/>
      <c r="AS100" s="165"/>
      <c r="AT100" s="165"/>
      <c r="AU100" s="165"/>
      <c r="AV100" s="165"/>
      <c r="AW100" s="165"/>
      <c r="AX100" s="165"/>
      <c r="AY100" s="165"/>
      <c r="AZ100" s="165"/>
      <c r="BA100" s="165"/>
      <c r="BB100" s="165"/>
      <c r="BC100" s="165"/>
      <c r="BD100" s="165"/>
      <c r="BE100" s="165"/>
      <c r="BF100" s="165"/>
      <c r="BG100" s="165"/>
      <c r="BH100" s="165"/>
      <c r="BI100" s="165"/>
      <c r="BJ100" s="165"/>
      <c r="BK100" s="165"/>
      <c r="BL100" s="165"/>
      <c r="BM100" s="165"/>
      <c r="BN100" s="165"/>
      <c r="BO100" s="165"/>
      <c r="BP100" s="165"/>
      <c r="BQ100" s="165"/>
      <c r="BR100" s="165"/>
      <c r="BS100" s="165"/>
      <c r="BT100" s="165"/>
      <c r="BU100" s="165"/>
      <c r="BV100" s="165"/>
      <c r="BW100" s="165"/>
      <c r="BX100" s="165"/>
      <c r="BY100" s="165"/>
      <c r="BZ100" s="165"/>
      <c r="CA100" s="165"/>
      <c r="CB100" s="165"/>
      <c r="CC100" s="165"/>
      <c r="CD100" s="165"/>
      <c r="CE100" s="165"/>
      <c r="CF100" s="165"/>
      <c r="CG100" s="165"/>
    </row>
    <row r="101" spans="1:85" s="157" customFormat="1" ht="15.75">
      <c r="C101" s="160" t="s">
        <v>177</v>
      </c>
      <c r="D101" s="160"/>
      <c r="E101" s="161"/>
      <c r="F101" s="160"/>
      <c r="G101" s="160"/>
      <c r="J101" s="679">
        <f>SUM(J102:J107)</f>
        <v>6</v>
      </c>
      <c r="K101" s="679">
        <f>SUM(K102:K107)</f>
        <v>6</v>
      </c>
      <c r="L101" s="678"/>
      <c r="M101" s="678"/>
      <c r="N101" s="679">
        <f t="shared" ref="N101:Q101" si="147">SUM(N102:N107)</f>
        <v>1</v>
      </c>
      <c r="O101" s="679">
        <f t="shared" si="147"/>
        <v>3</v>
      </c>
      <c r="P101" s="679">
        <f t="shared" si="147"/>
        <v>6</v>
      </c>
      <c r="Q101" s="679">
        <f t="shared" si="147"/>
        <v>9</v>
      </c>
      <c r="R101" s="678"/>
      <c r="S101" s="678"/>
      <c r="T101" s="679">
        <f t="shared" ref="T101:AI101" si="148">SUM(T102:T107)</f>
        <v>2</v>
      </c>
      <c r="U101" s="679">
        <f t="shared" si="148"/>
        <v>1</v>
      </c>
      <c r="V101" s="679">
        <f t="shared" si="148"/>
        <v>1</v>
      </c>
      <c r="W101" s="679">
        <f t="shared" si="148"/>
        <v>1</v>
      </c>
      <c r="X101" s="679">
        <f t="shared" si="148"/>
        <v>3</v>
      </c>
      <c r="Y101" s="679">
        <f t="shared" si="148"/>
        <v>3</v>
      </c>
      <c r="Z101" s="679">
        <f t="shared" si="148"/>
        <v>3</v>
      </c>
      <c r="AA101" s="679">
        <f t="shared" si="148"/>
        <v>3</v>
      </c>
      <c r="AB101" s="679">
        <f t="shared" si="148"/>
        <v>3</v>
      </c>
      <c r="AC101" s="679">
        <f t="shared" si="148"/>
        <v>6</v>
      </c>
      <c r="AD101" s="679">
        <f t="shared" si="148"/>
        <v>6</v>
      </c>
      <c r="AE101" s="679">
        <f t="shared" si="148"/>
        <v>6</v>
      </c>
      <c r="AF101" s="679">
        <f t="shared" si="148"/>
        <v>6</v>
      </c>
      <c r="AG101" s="679">
        <f t="shared" si="148"/>
        <v>8</v>
      </c>
      <c r="AH101" s="679">
        <f t="shared" si="148"/>
        <v>9</v>
      </c>
      <c r="AI101" s="679">
        <f t="shared" si="148"/>
        <v>9</v>
      </c>
      <c r="AJ101" s="678"/>
      <c r="AK101" s="678"/>
      <c r="AL101" s="679">
        <f t="shared" ref="AL101:CG101" si="149">SUM(AL102:AL107)</f>
        <v>2</v>
      </c>
      <c r="AM101" s="679">
        <f t="shared" si="149"/>
        <v>2</v>
      </c>
      <c r="AN101" s="679">
        <f t="shared" si="149"/>
        <v>2</v>
      </c>
      <c r="AO101" s="679">
        <f t="shared" si="149"/>
        <v>2</v>
      </c>
      <c r="AP101" s="679">
        <f t="shared" si="149"/>
        <v>1</v>
      </c>
      <c r="AQ101" s="679">
        <f t="shared" si="149"/>
        <v>1</v>
      </c>
      <c r="AR101" s="679">
        <f t="shared" si="149"/>
        <v>1</v>
      </c>
      <c r="AS101" s="679">
        <f t="shared" si="149"/>
        <v>1</v>
      </c>
      <c r="AT101" s="679">
        <f t="shared" si="149"/>
        <v>1</v>
      </c>
      <c r="AU101" s="679">
        <f t="shared" si="149"/>
        <v>1</v>
      </c>
      <c r="AV101" s="679">
        <f t="shared" si="149"/>
        <v>1</v>
      </c>
      <c r="AW101" s="679">
        <f t="shared" si="149"/>
        <v>1</v>
      </c>
      <c r="AX101" s="679">
        <f t="shared" si="149"/>
        <v>1</v>
      </c>
      <c r="AY101" s="679">
        <f t="shared" si="149"/>
        <v>2</v>
      </c>
      <c r="AZ101" s="679">
        <f t="shared" si="149"/>
        <v>3</v>
      </c>
      <c r="BA101" s="679">
        <f t="shared" si="149"/>
        <v>3</v>
      </c>
      <c r="BB101" s="679">
        <f t="shared" si="149"/>
        <v>3</v>
      </c>
      <c r="BC101" s="679">
        <f t="shared" si="149"/>
        <v>3</v>
      </c>
      <c r="BD101" s="679">
        <f t="shared" si="149"/>
        <v>3</v>
      </c>
      <c r="BE101" s="679">
        <f t="shared" si="149"/>
        <v>3</v>
      </c>
      <c r="BF101" s="679">
        <f t="shared" si="149"/>
        <v>3</v>
      </c>
      <c r="BG101" s="679">
        <f t="shared" si="149"/>
        <v>3</v>
      </c>
      <c r="BH101" s="679">
        <f t="shared" si="149"/>
        <v>3</v>
      </c>
      <c r="BI101" s="679">
        <f t="shared" si="149"/>
        <v>3</v>
      </c>
      <c r="BJ101" s="679">
        <f t="shared" si="149"/>
        <v>3</v>
      </c>
      <c r="BK101" s="679">
        <f t="shared" si="149"/>
        <v>3</v>
      </c>
      <c r="BL101" s="679">
        <f t="shared" si="149"/>
        <v>3</v>
      </c>
      <c r="BM101" s="679">
        <f t="shared" si="149"/>
        <v>3</v>
      </c>
      <c r="BN101" s="679">
        <f t="shared" si="149"/>
        <v>4</v>
      </c>
      <c r="BO101" s="679">
        <f t="shared" si="149"/>
        <v>6</v>
      </c>
      <c r="BP101" s="679">
        <f t="shared" si="149"/>
        <v>6</v>
      </c>
      <c r="BQ101" s="679">
        <f t="shared" si="149"/>
        <v>6</v>
      </c>
      <c r="BR101" s="679">
        <f t="shared" si="149"/>
        <v>6</v>
      </c>
      <c r="BS101" s="679">
        <f t="shared" si="149"/>
        <v>6</v>
      </c>
      <c r="BT101" s="679">
        <f t="shared" si="149"/>
        <v>6</v>
      </c>
      <c r="BU101" s="679">
        <f t="shared" si="149"/>
        <v>6</v>
      </c>
      <c r="BV101" s="679">
        <f t="shared" si="149"/>
        <v>6</v>
      </c>
      <c r="BW101" s="679">
        <f t="shared" si="149"/>
        <v>6</v>
      </c>
      <c r="BX101" s="679">
        <f t="shared" si="149"/>
        <v>6</v>
      </c>
      <c r="BY101" s="679">
        <f t="shared" si="149"/>
        <v>7</v>
      </c>
      <c r="BZ101" s="679">
        <f t="shared" si="149"/>
        <v>7</v>
      </c>
      <c r="CA101" s="679">
        <f t="shared" si="149"/>
        <v>8</v>
      </c>
      <c r="CB101" s="679">
        <f t="shared" si="149"/>
        <v>8</v>
      </c>
      <c r="CC101" s="679">
        <f t="shared" si="149"/>
        <v>9</v>
      </c>
      <c r="CD101" s="679">
        <f t="shared" si="149"/>
        <v>9</v>
      </c>
      <c r="CE101" s="679">
        <f t="shared" si="149"/>
        <v>9</v>
      </c>
      <c r="CF101" s="679">
        <f t="shared" si="149"/>
        <v>9</v>
      </c>
      <c r="CG101" s="679">
        <f t="shared" si="149"/>
        <v>9</v>
      </c>
    </row>
    <row r="102" spans="1:85" ht="15.75" customHeight="1" outlineLevel="1">
      <c r="C102" s="383" t="s">
        <v>178</v>
      </c>
      <c r="D102" s="149" t="s">
        <v>179</v>
      </c>
      <c r="E102" s="150" t="s">
        <v>177</v>
      </c>
      <c r="J102" s="676" cm="1">
        <f t="array" ref="J102">SUM(_xlfn._xlws.FILTER(_xlfn._xlws.FILTER(headcountData,(headcountDataDepts=$D102)*(headcountDataIDs=$E102)),(endDates=J$96)))</f>
        <v>1</v>
      </c>
      <c r="K102" s="676" cm="1">
        <f t="array" ref="K102">SUM(_xlfn._xlws.FILTER(_xlfn._xlws.FILTER(headcountData,(headcountDataDepts=$D102)*(headcountDataIDs=$E102)),(endDates=K$96)))</f>
        <v>1</v>
      </c>
      <c r="N102" s="676" cm="1">
        <f t="array" ref="N102">SUM(_xlfn._xlws.FILTER(_xlfn._xlws.FILTER(headcountData,(headcountDataDepts=$D102)*(headcountDataIDs=$E102)),(endDates=N$96)))</f>
        <v>1</v>
      </c>
      <c r="O102" s="676" cm="1">
        <f t="array" ref="O102">SUM(_xlfn._xlws.FILTER(_xlfn._xlws.FILTER(headcountData,(headcountDataDepts=$D102)*(headcountDataIDs=$E102)),(endDates=O$96)))</f>
        <v>1</v>
      </c>
      <c r="P102" s="676" cm="1">
        <f t="array" ref="P102">SUM(_xlfn._xlws.FILTER(_xlfn._xlws.FILTER(headcountData,(headcountDataDepts=$D102)*(headcountDataIDs=$E102)),(endDates=P$96)))</f>
        <v>1</v>
      </c>
      <c r="Q102" s="676" cm="1">
        <f t="array" ref="Q102">SUM(_xlfn._xlws.FILTER(_xlfn._xlws.FILTER(headcountData,(headcountDataDepts=$D102)*(headcountDataIDs=$E102)),(endDates=Q$96)))</f>
        <v>2</v>
      </c>
      <c r="T102" s="676" cm="1">
        <f t="array" ref="T102">SUM(_xlfn._xlws.FILTER(_xlfn._xlws.FILTER(headcountData,(headcountDataDepts=$D102)*(headcountDataIDs=$E102)),(endDates=T$96)))</f>
        <v>1</v>
      </c>
      <c r="U102" s="676" cm="1">
        <f t="array" ref="U102">SUM(_xlfn._xlws.FILTER(_xlfn._xlws.FILTER(headcountData,(headcountDataDepts=$D102)*(headcountDataIDs=$E102)),(endDates=U$96)))</f>
        <v>1</v>
      </c>
      <c r="V102" s="676" cm="1">
        <f t="array" ref="V102">SUM(_xlfn._xlws.FILTER(_xlfn._xlws.FILTER(headcountData,(headcountDataDepts=$D102)*(headcountDataIDs=$E102)),(endDates=V$96)))</f>
        <v>1</v>
      </c>
      <c r="W102" s="676" cm="1">
        <f t="array" ref="W102">SUM(_xlfn._xlws.FILTER(_xlfn._xlws.FILTER(headcountData,(headcountDataDepts=$D102)*(headcountDataIDs=$E102)),(endDates=W$96)))</f>
        <v>1</v>
      </c>
      <c r="X102" s="676" cm="1">
        <f t="array" ref="X102">SUM(_xlfn._xlws.FILTER(_xlfn._xlws.FILTER(headcountData,(headcountDataDepts=$D102)*(headcountDataIDs=$E102)),(endDates=X$96)))</f>
        <v>1</v>
      </c>
      <c r="Y102" s="676" cm="1">
        <f t="array" ref="Y102">SUM(_xlfn._xlws.FILTER(_xlfn._xlws.FILTER(headcountData,(headcountDataDepts=$D102)*(headcountDataIDs=$E102)),(endDates=Y$96)))</f>
        <v>1</v>
      </c>
      <c r="Z102" s="676" cm="1">
        <f t="array" ref="Z102">SUM(_xlfn._xlws.FILTER(_xlfn._xlws.FILTER(headcountData,(headcountDataDepts=$D102)*(headcountDataIDs=$E102)),(endDates=Z$96)))</f>
        <v>1</v>
      </c>
      <c r="AA102" s="676" cm="1">
        <f t="array" ref="AA102">SUM(_xlfn._xlws.FILTER(_xlfn._xlws.FILTER(headcountData,(headcountDataDepts=$D102)*(headcountDataIDs=$E102)),(endDates=AA$96)))</f>
        <v>1</v>
      </c>
      <c r="AB102" s="676" cm="1">
        <f t="array" ref="AB102">SUM(_xlfn._xlws.FILTER(_xlfn._xlws.FILTER(headcountData,(headcountDataDepts=$D102)*(headcountDataIDs=$E102)),(endDates=AB$96)))</f>
        <v>1</v>
      </c>
      <c r="AC102" s="676" cm="1">
        <f t="array" ref="AC102">SUM(_xlfn._xlws.FILTER(_xlfn._xlws.FILTER(headcountData,(headcountDataDepts=$D102)*(headcountDataIDs=$E102)),(endDates=AC$96)))</f>
        <v>1</v>
      </c>
      <c r="AD102" s="676" cm="1">
        <f t="array" ref="AD102">SUM(_xlfn._xlws.FILTER(_xlfn._xlws.FILTER(headcountData,(headcountDataDepts=$D102)*(headcountDataIDs=$E102)),(endDates=AD$96)))</f>
        <v>1</v>
      </c>
      <c r="AE102" s="676" cm="1">
        <f t="array" ref="AE102">SUM(_xlfn._xlws.FILTER(_xlfn._xlws.FILTER(headcountData,(headcountDataDepts=$D102)*(headcountDataIDs=$E102)),(endDates=AE$96)))</f>
        <v>1</v>
      </c>
      <c r="AF102" s="676" cm="1">
        <f t="array" ref="AF102">SUM(_xlfn._xlws.FILTER(_xlfn._xlws.FILTER(headcountData,(headcountDataDepts=$D102)*(headcountDataIDs=$E102)),(endDates=AF$96)))</f>
        <v>1</v>
      </c>
      <c r="AG102" s="676" cm="1">
        <f t="array" ref="AG102">SUM(_xlfn._xlws.FILTER(_xlfn._xlws.FILTER(headcountData,(headcountDataDepts=$D102)*(headcountDataIDs=$E102)),(endDates=AG$96)))</f>
        <v>2</v>
      </c>
      <c r="AH102" s="676" cm="1">
        <f t="array" ref="AH102">SUM(_xlfn._xlws.FILTER(_xlfn._xlws.FILTER(headcountData,(headcountDataDepts=$D102)*(headcountDataIDs=$E102)),(endDates=AH$96)))</f>
        <v>2</v>
      </c>
      <c r="AI102" s="676" cm="1">
        <f t="array" ref="AI102">SUM(_xlfn._xlws.FILTER(_xlfn._xlws.FILTER(headcountData,(headcountDataDepts=$D102)*(headcountDataIDs=$E102)),(endDates=AI$96)))</f>
        <v>2</v>
      </c>
      <c r="AL102" s="676" cm="1">
        <f t="array" ref="AL102">SUM(_xlfn._xlws.FILTER(_xlfn._xlws.FILTER(headcountData,(headcountDataDepts=$D102)*(headcountDataIDs=$E102)),(endDates=AL$96)))</f>
        <v>1</v>
      </c>
      <c r="AM102" s="676" cm="1">
        <f t="array" ref="AM102">SUM(_xlfn._xlws.FILTER(_xlfn._xlws.FILTER(headcountData,(headcountDataDepts=$D102)*(headcountDataIDs=$E102)),(endDates=AM$96)))</f>
        <v>1</v>
      </c>
      <c r="AN102" s="676" cm="1">
        <f t="array" ref="AN102">SUM(_xlfn._xlws.FILTER(_xlfn._xlws.FILTER(headcountData,(headcountDataDepts=$D102)*(headcountDataIDs=$E102)),(endDates=AN$96)))</f>
        <v>1</v>
      </c>
      <c r="AO102" s="676" cm="1">
        <f t="array" ref="AO102">SUM(_xlfn._xlws.FILTER(_xlfn._xlws.FILTER(headcountData,(headcountDataDepts=$D102)*(headcountDataIDs=$E102)),(endDates=AO$96)))</f>
        <v>1</v>
      </c>
      <c r="AP102" s="676" cm="1">
        <f t="array" ref="AP102">SUM(_xlfn._xlws.FILTER(_xlfn._xlws.FILTER(headcountData,(headcountDataDepts=$D102)*(headcountDataIDs=$E102)),(endDates=AP$96)))</f>
        <v>1</v>
      </c>
      <c r="AQ102" s="676" cm="1">
        <f t="array" ref="AQ102">SUM(_xlfn._xlws.FILTER(_xlfn._xlws.FILTER(headcountData,(headcountDataDepts=$D102)*(headcountDataIDs=$E102)),(endDates=AQ$96)))</f>
        <v>1</v>
      </c>
      <c r="AR102" s="676" cm="1">
        <f t="array" ref="AR102">SUM(_xlfn._xlws.FILTER(_xlfn._xlws.FILTER(headcountData,(headcountDataDepts=$D102)*(headcountDataIDs=$E102)),(endDates=AR$96)))</f>
        <v>1</v>
      </c>
      <c r="AS102" s="676" cm="1">
        <f t="array" ref="AS102">SUM(_xlfn._xlws.FILTER(_xlfn._xlws.FILTER(headcountData,(headcountDataDepts=$D102)*(headcountDataIDs=$E102)),(endDates=AS$96)))</f>
        <v>1</v>
      </c>
      <c r="AT102" s="676" cm="1">
        <f t="array" ref="AT102">SUM(_xlfn._xlws.FILTER(_xlfn._xlws.FILTER(headcountData,(headcountDataDepts=$D102)*(headcountDataIDs=$E102)),(endDates=AT$96)))</f>
        <v>1</v>
      </c>
      <c r="AU102" s="676" cm="1">
        <f t="array" ref="AU102">SUM(_xlfn._xlws.FILTER(_xlfn._xlws.FILTER(headcountData,(headcountDataDepts=$D102)*(headcountDataIDs=$E102)),(endDates=AU$96)))</f>
        <v>1</v>
      </c>
      <c r="AV102" s="676" cm="1">
        <f t="array" ref="AV102">SUM(_xlfn._xlws.FILTER(_xlfn._xlws.FILTER(headcountData,(headcountDataDepts=$D102)*(headcountDataIDs=$E102)),(endDates=AV$96)))</f>
        <v>1</v>
      </c>
      <c r="AW102" s="676" cm="1">
        <f t="array" ref="AW102">SUM(_xlfn._xlws.FILTER(_xlfn._xlws.FILTER(headcountData,(headcountDataDepts=$D102)*(headcountDataIDs=$E102)),(endDates=AW$96)))</f>
        <v>1</v>
      </c>
      <c r="AX102" s="676" cm="1">
        <f t="array" ref="AX102">SUM(_xlfn._xlws.FILTER(_xlfn._xlws.FILTER(headcountData,(headcountDataDepts=$D102)*(headcountDataIDs=$E102)),(endDates=AX$96)))</f>
        <v>1</v>
      </c>
      <c r="AY102" s="676" cm="1">
        <f t="array" ref="AY102">SUM(_xlfn._xlws.FILTER(_xlfn._xlws.FILTER(headcountData,(headcountDataDepts=$D102)*(headcountDataIDs=$E102)),(endDates=AY$96)))</f>
        <v>1</v>
      </c>
      <c r="AZ102" s="676" cm="1">
        <f t="array" ref="AZ102">SUM(_xlfn._xlws.FILTER(_xlfn._xlws.FILTER(headcountData,(headcountDataDepts=$D102)*(headcountDataIDs=$E102)),(endDates=AZ$96)))</f>
        <v>1</v>
      </c>
      <c r="BA102" s="676" cm="1">
        <f t="array" ref="BA102">SUM(_xlfn._xlws.FILTER(_xlfn._xlws.FILTER(headcountData,(headcountDataDepts=$D102)*(headcountDataIDs=$E102)),(endDates=BA$96)))</f>
        <v>1</v>
      </c>
      <c r="BB102" s="676" cm="1">
        <f t="array" ref="BB102">SUM(_xlfn._xlws.FILTER(_xlfn._xlws.FILTER(headcountData,(headcountDataDepts=$D102)*(headcountDataIDs=$E102)),(endDates=BB$96)))</f>
        <v>1</v>
      </c>
      <c r="BC102" s="676" cm="1">
        <f t="array" ref="BC102">SUM(_xlfn._xlws.FILTER(_xlfn._xlws.FILTER(headcountData,(headcountDataDepts=$D102)*(headcountDataIDs=$E102)),(endDates=BC$96)))</f>
        <v>1</v>
      </c>
      <c r="BD102" s="676" cm="1">
        <f t="array" ref="BD102">SUM(_xlfn._xlws.FILTER(_xlfn._xlws.FILTER(headcountData,(headcountDataDepts=$D102)*(headcountDataIDs=$E102)),(endDates=BD$96)))</f>
        <v>1</v>
      </c>
      <c r="BE102" s="676" cm="1">
        <f t="array" ref="BE102">SUM(_xlfn._xlws.FILTER(_xlfn._xlws.FILTER(headcountData,(headcountDataDepts=$D102)*(headcountDataIDs=$E102)),(endDates=BE$96)))</f>
        <v>1</v>
      </c>
      <c r="BF102" s="676" cm="1">
        <f t="array" ref="BF102">SUM(_xlfn._xlws.FILTER(_xlfn._xlws.FILTER(headcountData,(headcountDataDepts=$D102)*(headcountDataIDs=$E102)),(endDates=BF$96)))</f>
        <v>1</v>
      </c>
      <c r="BG102" s="676" cm="1">
        <f t="array" ref="BG102">SUM(_xlfn._xlws.FILTER(_xlfn._xlws.FILTER(headcountData,(headcountDataDepts=$D102)*(headcountDataIDs=$E102)),(endDates=BG$96)))</f>
        <v>1</v>
      </c>
      <c r="BH102" s="676" cm="1">
        <f t="array" ref="BH102">SUM(_xlfn._xlws.FILTER(_xlfn._xlws.FILTER(headcountData,(headcountDataDepts=$D102)*(headcountDataIDs=$E102)),(endDates=BH$96)))</f>
        <v>1</v>
      </c>
      <c r="BI102" s="676" cm="1">
        <f t="array" ref="BI102">SUM(_xlfn._xlws.FILTER(_xlfn._xlws.FILTER(headcountData,(headcountDataDepts=$D102)*(headcountDataIDs=$E102)),(endDates=BI$96)))</f>
        <v>1</v>
      </c>
      <c r="BJ102" s="676" cm="1">
        <f t="array" ref="BJ102">SUM(_xlfn._xlws.FILTER(_xlfn._xlws.FILTER(headcountData,(headcountDataDepts=$D102)*(headcountDataIDs=$E102)),(endDates=BJ$96)))</f>
        <v>1</v>
      </c>
      <c r="BK102" s="676" cm="1">
        <f t="array" ref="BK102">SUM(_xlfn._xlws.FILTER(_xlfn._xlws.FILTER(headcountData,(headcountDataDepts=$D102)*(headcountDataIDs=$E102)),(endDates=BK$96)))</f>
        <v>1</v>
      </c>
      <c r="BL102" s="676" cm="1">
        <f t="array" ref="BL102">SUM(_xlfn._xlws.FILTER(_xlfn._xlws.FILTER(headcountData,(headcountDataDepts=$D102)*(headcountDataIDs=$E102)),(endDates=BL$96)))</f>
        <v>1</v>
      </c>
      <c r="BM102" s="676" cm="1">
        <f t="array" ref="BM102">SUM(_xlfn._xlws.FILTER(_xlfn._xlws.FILTER(headcountData,(headcountDataDepts=$D102)*(headcountDataIDs=$E102)),(endDates=BM$96)))</f>
        <v>1</v>
      </c>
      <c r="BN102" s="676" cm="1">
        <f t="array" ref="BN102">SUM(_xlfn._xlws.FILTER(_xlfn._xlws.FILTER(headcountData,(headcountDataDepts=$D102)*(headcountDataIDs=$E102)),(endDates=BN$96)))</f>
        <v>1</v>
      </c>
      <c r="BO102" s="676" cm="1">
        <f t="array" ref="BO102">SUM(_xlfn._xlws.FILTER(_xlfn._xlws.FILTER(headcountData,(headcountDataDepts=$D102)*(headcountDataIDs=$E102)),(endDates=BO$96)))</f>
        <v>1</v>
      </c>
      <c r="BP102" s="676" cm="1">
        <f t="array" ref="BP102">SUM(_xlfn._xlws.FILTER(_xlfn._xlws.FILTER(headcountData,(headcountDataDepts=$D102)*(headcountDataIDs=$E102)),(endDates=BP$96)))</f>
        <v>1</v>
      </c>
      <c r="BQ102" s="676" cm="1">
        <f t="array" ref="BQ102">SUM(_xlfn._xlws.FILTER(_xlfn._xlws.FILTER(headcountData,(headcountDataDepts=$D102)*(headcountDataIDs=$E102)),(endDates=BQ$96)))</f>
        <v>1</v>
      </c>
      <c r="BR102" s="676" cm="1">
        <f t="array" ref="BR102">SUM(_xlfn._xlws.FILTER(_xlfn._xlws.FILTER(headcountData,(headcountDataDepts=$D102)*(headcountDataIDs=$E102)),(endDates=BR$96)))</f>
        <v>1</v>
      </c>
      <c r="BS102" s="676" cm="1">
        <f t="array" ref="BS102">SUM(_xlfn._xlws.FILTER(_xlfn._xlws.FILTER(headcountData,(headcountDataDepts=$D102)*(headcountDataIDs=$E102)),(endDates=BS$96)))</f>
        <v>1</v>
      </c>
      <c r="BT102" s="676" cm="1">
        <f t="array" ref="BT102">SUM(_xlfn._xlws.FILTER(_xlfn._xlws.FILTER(headcountData,(headcountDataDepts=$D102)*(headcountDataIDs=$E102)),(endDates=BT$96)))</f>
        <v>1</v>
      </c>
      <c r="BU102" s="676" cm="1">
        <f t="array" ref="BU102">SUM(_xlfn._xlws.FILTER(_xlfn._xlws.FILTER(headcountData,(headcountDataDepts=$D102)*(headcountDataIDs=$E102)),(endDates=BU$96)))</f>
        <v>1</v>
      </c>
      <c r="BV102" s="676" cm="1">
        <f t="array" ref="BV102">SUM(_xlfn._xlws.FILTER(_xlfn._xlws.FILTER(headcountData,(headcountDataDepts=$D102)*(headcountDataIDs=$E102)),(endDates=BV$96)))</f>
        <v>1</v>
      </c>
      <c r="BW102" s="676" cm="1">
        <f t="array" ref="BW102">SUM(_xlfn._xlws.FILTER(_xlfn._xlws.FILTER(headcountData,(headcountDataDepts=$D102)*(headcountDataIDs=$E102)),(endDates=BW$96)))</f>
        <v>1</v>
      </c>
      <c r="BX102" s="676" cm="1">
        <f t="array" ref="BX102">SUM(_xlfn._xlws.FILTER(_xlfn._xlws.FILTER(headcountData,(headcountDataDepts=$D102)*(headcountDataIDs=$E102)),(endDates=BX$96)))</f>
        <v>1</v>
      </c>
      <c r="BY102" s="676" cm="1">
        <f t="array" ref="BY102">SUM(_xlfn._xlws.FILTER(_xlfn._xlws.FILTER(headcountData,(headcountDataDepts=$D102)*(headcountDataIDs=$E102)),(endDates=BY$96)))</f>
        <v>2</v>
      </c>
      <c r="BZ102" s="676" cm="1">
        <f t="array" ref="BZ102">SUM(_xlfn._xlws.FILTER(_xlfn._xlws.FILTER(headcountData,(headcountDataDepts=$D102)*(headcountDataIDs=$E102)),(endDates=BZ$96)))</f>
        <v>2</v>
      </c>
      <c r="CA102" s="676" cm="1">
        <f t="array" ref="CA102">SUM(_xlfn._xlws.FILTER(_xlfn._xlws.FILTER(headcountData,(headcountDataDepts=$D102)*(headcountDataIDs=$E102)),(endDates=CA$96)))</f>
        <v>2</v>
      </c>
      <c r="CB102" s="676" cm="1">
        <f t="array" ref="CB102">SUM(_xlfn._xlws.FILTER(_xlfn._xlws.FILTER(headcountData,(headcountDataDepts=$D102)*(headcountDataIDs=$E102)),(endDates=CB$96)))</f>
        <v>2</v>
      </c>
      <c r="CC102" s="676" cm="1">
        <f t="array" ref="CC102">SUM(_xlfn._xlws.FILTER(_xlfn._xlws.FILTER(headcountData,(headcountDataDepts=$D102)*(headcountDataIDs=$E102)),(endDates=CC$96)))</f>
        <v>2</v>
      </c>
      <c r="CD102" s="676" cm="1">
        <f t="array" ref="CD102">SUM(_xlfn._xlws.FILTER(_xlfn._xlws.FILTER(headcountData,(headcountDataDepts=$D102)*(headcountDataIDs=$E102)),(endDates=CD$96)))</f>
        <v>2</v>
      </c>
      <c r="CE102" s="676" cm="1">
        <f t="array" ref="CE102">SUM(_xlfn._xlws.FILTER(_xlfn._xlws.FILTER(headcountData,(headcountDataDepts=$D102)*(headcountDataIDs=$E102)),(endDates=CE$96)))</f>
        <v>2</v>
      </c>
      <c r="CF102" s="676" cm="1">
        <f t="array" ref="CF102">SUM(_xlfn._xlws.FILTER(_xlfn._xlws.FILTER(headcountData,(headcountDataDepts=$D102)*(headcountDataIDs=$E102)),(endDates=CF$96)))</f>
        <v>2</v>
      </c>
      <c r="CG102" s="676" cm="1">
        <f t="array" ref="CG102">SUM(_xlfn._xlws.FILTER(_xlfn._xlws.FILTER(headcountData,(headcountDataDepts=$D102)*(headcountDataIDs=$E102)),(endDates=CG$96)))</f>
        <v>2</v>
      </c>
    </row>
    <row r="103" spans="1:85" ht="15.75" customHeight="1" outlineLevel="1">
      <c r="C103" s="383" t="s">
        <v>180</v>
      </c>
      <c r="D103" s="149" t="s">
        <v>181</v>
      </c>
      <c r="E103" s="150" t="s">
        <v>177</v>
      </c>
      <c r="J103" s="676" cm="1">
        <f t="array" ref="J103">SUM(_xlfn._xlws.FILTER(_xlfn._xlws.FILTER(headcountData,(headcountDataDepts=$D103)*(headcountDataIDs=$E103)),(endDates=J$96)))</f>
        <v>4</v>
      </c>
      <c r="K103" s="676" cm="1">
        <f t="array" ref="K103">SUM(_xlfn._xlws.FILTER(_xlfn._xlws.FILTER(headcountData,(headcountDataDepts=$D103)*(headcountDataIDs=$E103)),(endDates=K$96)))</f>
        <v>4</v>
      </c>
      <c r="N103" s="676" cm="1">
        <f t="array" ref="N103">SUM(_xlfn._xlws.FILTER(_xlfn._xlws.FILTER(headcountData,(headcountDataDepts=$D103)*(headcountDataIDs=$E103)),(endDates=N$96)))</f>
        <v>0</v>
      </c>
      <c r="O103" s="676" cm="1">
        <f t="array" ref="O103">SUM(_xlfn._xlws.FILTER(_xlfn._xlws.FILTER(headcountData,(headcountDataDepts=$D103)*(headcountDataIDs=$E103)),(endDates=O$96)))</f>
        <v>2</v>
      </c>
      <c r="P103" s="676" cm="1">
        <f t="array" ref="P103">SUM(_xlfn._xlws.FILTER(_xlfn._xlws.FILTER(headcountData,(headcountDataDepts=$D103)*(headcountDataIDs=$E103)),(endDates=P$96)))</f>
        <v>4</v>
      </c>
      <c r="Q103" s="676" cm="1">
        <f t="array" ref="Q103">SUM(_xlfn._xlws.FILTER(_xlfn._xlws.FILTER(headcountData,(headcountDataDepts=$D103)*(headcountDataIDs=$E103)),(endDates=Q$96)))</f>
        <v>4</v>
      </c>
      <c r="T103" s="676" cm="1">
        <f t="array" ref="T103">SUM(_xlfn._xlws.FILTER(_xlfn._xlws.FILTER(headcountData,(headcountDataDepts=$D103)*(headcountDataIDs=$E103)),(endDates=T$96)))</f>
        <v>0</v>
      </c>
      <c r="U103" s="676" cm="1">
        <f t="array" ref="U103">SUM(_xlfn._xlws.FILTER(_xlfn._xlws.FILTER(headcountData,(headcountDataDepts=$D103)*(headcountDataIDs=$E103)),(endDates=U$96)))</f>
        <v>0</v>
      </c>
      <c r="V103" s="676" cm="1">
        <f t="array" ref="V103">SUM(_xlfn._xlws.FILTER(_xlfn._xlws.FILTER(headcountData,(headcountDataDepts=$D103)*(headcountDataIDs=$E103)),(endDates=V$96)))</f>
        <v>0</v>
      </c>
      <c r="W103" s="676" cm="1">
        <f t="array" ref="W103">SUM(_xlfn._xlws.FILTER(_xlfn._xlws.FILTER(headcountData,(headcountDataDepts=$D103)*(headcountDataIDs=$E103)),(endDates=W$96)))</f>
        <v>0</v>
      </c>
      <c r="X103" s="676" cm="1">
        <f t="array" ref="X103">SUM(_xlfn._xlws.FILTER(_xlfn._xlws.FILTER(headcountData,(headcountDataDepts=$D103)*(headcountDataIDs=$E103)),(endDates=X$96)))</f>
        <v>2</v>
      </c>
      <c r="Y103" s="676" cm="1">
        <f t="array" ref="Y103">SUM(_xlfn._xlws.FILTER(_xlfn._xlws.FILTER(headcountData,(headcountDataDepts=$D103)*(headcountDataIDs=$E103)),(endDates=Y$96)))</f>
        <v>2</v>
      </c>
      <c r="Z103" s="676" cm="1">
        <f t="array" ref="Z103">SUM(_xlfn._xlws.FILTER(_xlfn._xlws.FILTER(headcountData,(headcountDataDepts=$D103)*(headcountDataIDs=$E103)),(endDates=Z$96)))</f>
        <v>2</v>
      </c>
      <c r="AA103" s="676" cm="1">
        <f t="array" ref="AA103">SUM(_xlfn._xlws.FILTER(_xlfn._xlws.FILTER(headcountData,(headcountDataDepts=$D103)*(headcountDataIDs=$E103)),(endDates=AA$96)))</f>
        <v>2</v>
      </c>
      <c r="AB103" s="676" cm="1">
        <f t="array" ref="AB103">SUM(_xlfn._xlws.FILTER(_xlfn._xlws.FILTER(headcountData,(headcountDataDepts=$D103)*(headcountDataIDs=$E103)),(endDates=AB$96)))</f>
        <v>2</v>
      </c>
      <c r="AC103" s="676" cm="1">
        <f t="array" ref="AC103">SUM(_xlfn._xlws.FILTER(_xlfn._xlws.FILTER(headcountData,(headcountDataDepts=$D103)*(headcountDataIDs=$E103)),(endDates=AC$96)))</f>
        <v>4</v>
      </c>
      <c r="AD103" s="676" cm="1">
        <f t="array" ref="AD103">SUM(_xlfn._xlws.FILTER(_xlfn._xlws.FILTER(headcountData,(headcountDataDepts=$D103)*(headcountDataIDs=$E103)),(endDates=AD$96)))</f>
        <v>4</v>
      </c>
      <c r="AE103" s="676" cm="1">
        <f t="array" ref="AE103">SUM(_xlfn._xlws.FILTER(_xlfn._xlws.FILTER(headcountData,(headcountDataDepts=$D103)*(headcountDataIDs=$E103)),(endDates=AE$96)))</f>
        <v>4</v>
      </c>
      <c r="AF103" s="676" cm="1">
        <f t="array" ref="AF103">SUM(_xlfn._xlws.FILTER(_xlfn._xlws.FILTER(headcountData,(headcountDataDepts=$D103)*(headcountDataIDs=$E103)),(endDates=AF$96)))</f>
        <v>4</v>
      </c>
      <c r="AG103" s="676" cm="1">
        <f t="array" ref="AG103">SUM(_xlfn._xlws.FILTER(_xlfn._xlws.FILTER(headcountData,(headcountDataDepts=$D103)*(headcountDataIDs=$E103)),(endDates=AG$96)))</f>
        <v>4</v>
      </c>
      <c r="AH103" s="676" cm="1">
        <f t="array" ref="AH103">SUM(_xlfn._xlws.FILTER(_xlfn._xlws.FILTER(headcountData,(headcountDataDepts=$D103)*(headcountDataIDs=$E103)),(endDates=AH$96)))</f>
        <v>4</v>
      </c>
      <c r="AI103" s="676" cm="1">
        <f t="array" ref="AI103">SUM(_xlfn._xlws.FILTER(_xlfn._xlws.FILTER(headcountData,(headcountDataDepts=$D103)*(headcountDataIDs=$E103)),(endDates=AI$96)))</f>
        <v>4</v>
      </c>
      <c r="AL103" s="676" cm="1">
        <f t="array" ref="AL103">SUM(_xlfn._xlws.FILTER(_xlfn._xlws.FILTER(headcountData,(headcountDataDepts=$D103)*(headcountDataIDs=$E103)),(endDates=AL$96)))</f>
        <v>0</v>
      </c>
      <c r="AM103" s="676" cm="1">
        <f t="array" ref="AM103">SUM(_xlfn._xlws.FILTER(_xlfn._xlws.FILTER(headcountData,(headcountDataDepts=$D103)*(headcountDataIDs=$E103)),(endDates=AM$96)))</f>
        <v>0</v>
      </c>
      <c r="AN103" s="676" cm="1">
        <f t="array" ref="AN103">SUM(_xlfn._xlws.FILTER(_xlfn._xlws.FILTER(headcountData,(headcountDataDepts=$D103)*(headcountDataIDs=$E103)),(endDates=AN$96)))</f>
        <v>0</v>
      </c>
      <c r="AO103" s="676" cm="1">
        <f t="array" ref="AO103">SUM(_xlfn._xlws.FILTER(_xlfn._xlws.FILTER(headcountData,(headcountDataDepts=$D103)*(headcountDataIDs=$E103)),(endDates=AO$96)))</f>
        <v>0</v>
      </c>
      <c r="AP103" s="676" cm="1">
        <f t="array" ref="AP103">SUM(_xlfn._xlws.FILTER(_xlfn._xlws.FILTER(headcountData,(headcountDataDepts=$D103)*(headcountDataIDs=$E103)),(endDates=AP$96)))</f>
        <v>0</v>
      </c>
      <c r="AQ103" s="676" cm="1">
        <f t="array" ref="AQ103">SUM(_xlfn._xlws.FILTER(_xlfn._xlws.FILTER(headcountData,(headcountDataDepts=$D103)*(headcountDataIDs=$E103)),(endDates=AQ$96)))</f>
        <v>0</v>
      </c>
      <c r="AR103" s="676" cm="1">
        <f t="array" ref="AR103">SUM(_xlfn._xlws.FILTER(_xlfn._xlws.FILTER(headcountData,(headcountDataDepts=$D103)*(headcountDataIDs=$E103)),(endDates=AR$96)))</f>
        <v>0</v>
      </c>
      <c r="AS103" s="676" cm="1">
        <f t="array" ref="AS103">SUM(_xlfn._xlws.FILTER(_xlfn._xlws.FILTER(headcountData,(headcountDataDepts=$D103)*(headcountDataIDs=$E103)),(endDates=AS$96)))</f>
        <v>0</v>
      </c>
      <c r="AT103" s="676" cm="1">
        <f t="array" ref="AT103">SUM(_xlfn._xlws.FILTER(_xlfn._xlws.FILTER(headcountData,(headcountDataDepts=$D103)*(headcountDataIDs=$E103)),(endDates=AT$96)))</f>
        <v>0</v>
      </c>
      <c r="AU103" s="676" cm="1">
        <f t="array" ref="AU103">SUM(_xlfn._xlws.FILTER(_xlfn._xlws.FILTER(headcountData,(headcountDataDepts=$D103)*(headcountDataIDs=$E103)),(endDates=AU$96)))</f>
        <v>0</v>
      </c>
      <c r="AV103" s="676" cm="1">
        <f t="array" ref="AV103">SUM(_xlfn._xlws.FILTER(_xlfn._xlws.FILTER(headcountData,(headcountDataDepts=$D103)*(headcountDataIDs=$E103)),(endDates=AV$96)))</f>
        <v>0</v>
      </c>
      <c r="AW103" s="676" cm="1">
        <f t="array" ref="AW103">SUM(_xlfn._xlws.FILTER(_xlfn._xlws.FILTER(headcountData,(headcountDataDepts=$D103)*(headcountDataIDs=$E103)),(endDates=AW$96)))</f>
        <v>0</v>
      </c>
      <c r="AX103" s="676" cm="1">
        <f t="array" ref="AX103">SUM(_xlfn._xlws.FILTER(_xlfn._xlws.FILTER(headcountData,(headcountDataDepts=$D103)*(headcountDataIDs=$E103)),(endDates=AX$96)))</f>
        <v>0</v>
      </c>
      <c r="AY103" s="676" cm="1">
        <f t="array" ref="AY103">SUM(_xlfn._xlws.FILTER(_xlfn._xlws.FILTER(headcountData,(headcountDataDepts=$D103)*(headcountDataIDs=$E103)),(endDates=AY$96)))</f>
        <v>1</v>
      </c>
      <c r="AZ103" s="676" cm="1">
        <f t="array" ref="AZ103">SUM(_xlfn._xlws.FILTER(_xlfn._xlws.FILTER(headcountData,(headcountDataDepts=$D103)*(headcountDataIDs=$E103)),(endDates=AZ$96)))</f>
        <v>2</v>
      </c>
      <c r="BA103" s="676" cm="1">
        <f t="array" ref="BA103">SUM(_xlfn._xlws.FILTER(_xlfn._xlws.FILTER(headcountData,(headcountDataDepts=$D103)*(headcountDataIDs=$E103)),(endDates=BA$96)))</f>
        <v>2</v>
      </c>
      <c r="BB103" s="676" cm="1">
        <f t="array" ref="BB103">SUM(_xlfn._xlws.FILTER(_xlfn._xlws.FILTER(headcountData,(headcountDataDepts=$D103)*(headcountDataIDs=$E103)),(endDates=BB$96)))</f>
        <v>2</v>
      </c>
      <c r="BC103" s="676" cm="1">
        <f t="array" ref="BC103">SUM(_xlfn._xlws.FILTER(_xlfn._xlws.FILTER(headcountData,(headcountDataDepts=$D103)*(headcountDataIDs=$E103)),(endDates=BC$96)))</f>
        <v>2</v>
      </c>
      <c r="BD103" s="676" cm="1">
        <f t="array" ref="BD103">SUM(_xlfn._xlws.FILTER(_xlfn._xlws.FILTER(headcountData,(headcountDataDepts=$D103)*(headcountDataIDs=$E103)),(endDates=BD$96)))</f>
        <v>2</v>
      </c>
      <c r="BE103" s="676" cm="1">
        <f t="array" ref="BE103">SUM(_xlfn._xlws.FILTER(_xlfn._xlws.FILTER(headcountData,(headcountDataDepts=$D103)*(headcountDataIDs=$E103)),(endDates=BE$96)))</f>
        <v>2</v>
      </c>
      <c r="BF103" s="676" cm="1">
        <f t="array" ref="BF103">SUM(_xlfn._xlws.FILTER(_xlfn._xlws.FILTER(headcountData,(headcountDataDepts=$D103)*(headcountDataIDs=$E103)),(endDates=BF$96)))</f>
        <v>2</v>
      </c>
      <c r="BG103" s="676" cm="1">
        <f t="array" ref="BG103">SUM(_xlfn._xlws.FILTER(_xlfn._xlws.FILTER(headcountData,(headcountDataDepts=$D103)*(headcountDataIDs=$E103)),(endDates=BG$96)))</f>
        <v>2</v>
      </c>
      <c r="BH103" s="676" cm="1">
        <f t="array" ref="BH103">SUM(_xlfn._xlws.FILTER(_xlfn._xlws.FILTER(headcountData,(headcountDataDepts=$D103)*(headcountDataIDs=$E103)),(endDates=BH$96)))</f>
        <v>2</v>
      </c>
      <c r="BI103" s="676" cm="1">
        <f t="array" ref="BI103">SUM(_xlfn._xlws.FILTER(_xlfn._xlws.FILTER(headcountData,(headcountDataDepts=$D103)*(headcountDataIDs=$E103)),(endDates=BI$96)))</f>
        <v>2</v>
      </c>
      <c r="BJ103" s="676" cm="1">
        <f t="array" ref="BJ103">SUM(_xlfn._xlws.FILTER(_xlfn._xlws.FILTER(headcountData,(headcountDataDepts=$D103)*(headcountDataIDs=$E103)),(endDates=BJ$96)))</f>
        <v>2</v>
      </c>
      <c r="BK103" s="676" cm="1">
        <f t="array" ref="BK103">SUM(_xlfn._xlws.FILTER(_xlfn._xlws.FILTER(headcountData,(headcountDataDepts=$D103)*(headcountDataIDs=$E103)),(endDates=BK$96)))</f>
        <v>2</v>
      </c>
      <c r="BL103" s="676" cm="1">
        <f t="array" ref="BL103">SUM(_xlfn._xlws.FILTER(_xlfn._xlws.FILTER(headcountData,(headcountDataDepts=$D103)*(headcountDataIDs=$E103)),(endDates=BL$96)))</f>
        <v>2</v>
      </c>
      <c r="BM103" s="676" cm="1">
        <f t="array" ref="BM103">SUM(_xlfn._xlws.FILTER(_xlfn._xlws.FILTER(headcountData,(headcountDataDepts=$D103)*(headcountDataIDs=$E103)),(endDates=BM$96)))</f>
        <v>2</v>
      </c>
      <c r="BN103" s="676" cm="1">
        <f t="array" ref="BN103">SUM(_xlfn._xlws.FILTER(_xlfn._xlws.FILTER(headcountData,(headcountDataDepts=$D103)*(headcountDataIDs=$E103)),(endDates=BN$96)))</f>
        <v>2</v>
      </c>
      <c r="BO103" s="676" cm="1">
        <f t="array" ref="BO103">SUM(_xlfn._xlws.FILTER(_xlfn._xlws.FILTER(headcountData,(headcountDataDepts=$D103)*(headcountDataIDs=$E103)),(endDates=BO$96)))</f>
        <v>4</v>
      </c>
      <c r="BP103" s="676" cm="1">
        <f t="array" ref="BP103">SUM(_xlfn._xlws.FILTER(_xlfn._xlws.FILTER(headcountData,(headcountDataDepts=$D103)*(headcountDataIDs=$E103)),(endDates=BP$96)))</f>
        <v>4</v>
      </c>
      <c r="BQ103" s="676" cm="1">
        <f t="array" ref="BQ103">SUM(_xlfn._xlws.FILTER(_xlfn._xlws.FILTER(headcountData,(headcountDataDepts=$D103)*(headcountDataIDs=$E103)),(endDates=BQ$96)))</f>
        <v>4</v>
      </c>
      <c r="BR103" s="676" cm="1">
        <f t="array" ref="BR103">SUM(_xlfn._xlws.FILTER(_xlfn._xlws.FILTER(headcountData,(headcountDataDepts=$D103)*(headcountDataIDs=$E103)),(endDates=BR$96)))</f>
        <v>4</v>
      </c>
      <c r="BS103" s="676" cm="1">
        <f t="array" ref="BS103">SUM(_xlfn._xlws.FILTER(_xlfn._xlws.FILTER(headcountData,(headcountDataDepts=$D103)*(headcountDataIDs=$E103)),(endDates=BS$96)))</f>
        <v>4</v>
      </c>
      <c r="BT103" s="676" cm="1">
        <f t="array" ref="BT103">SUM(_xlfn._xlws.FILTER(_xlfn._xlws.FILTER(headcountData,(headcountDataDepts=$D103)*(headcountDataIDs=$E103)),(endDates=BT$96)))</f>
        <v>4</v>
      </c>
      <c r="BU103" s="676" cm="1">
        <f t="array" ref="BU103">SUM(_xlfn._xlws.FILTER(_xlfn._xlws.FILTER(headcountData,(headcountDataDepts=$D103)*(headcountDataIDs=$E103)),(endDates=BU$96)))</f>
        <v>4</v>
      </c>
      <c r="BV103" s="676" cm="1">
        <f t="array" ref="BV103">SUM(_xlfn._xlws.FILTER(_xlfn._xlws.FILTER(headcountData,(headcountDataDepts=$D103)*(headcountDataIDs=$E103)),(endDates=BV$96)))</f>
        <v>4</v>
      </c>
      <c r="BW103" s="676" cm="1">
        <f t="array" ref="BW103">SUM(_xlfn._xlws.FILTER(_xlfn._xlws.FILTER(headcountData,(headcountDataDepts=$D103)*(headcountDataIDs=$E103)),(endDates=BW$96)))</f>
        <v>4</v>
      </c>
      <c r="BX103" s="676" cm="1">
        <f t="array" ref="BX103">SUM(_xlfn._xlws.FILTER(_xlfn._xlws.FILTER(headcountData,(headcountDataDepts=$D103)*(headcountDataIDs=$E103)),(endDates=BX$96)))</f>
        <v>4</v>
      </c>
      <c r="BY103" s="676" cm="1">
        <f t="array" ref="BY103">SUM(_xlfn._xlws.FILTER(_xlfn._xlws.FILTER(headcountData,(headcountDataDepts=$D103)*(headcountDataIDs=$E103)),(endDates=BY$96)))</f>
        <v>4</v>
      </c>
      <c r="BZ103" s="676" cm="1">
        <f t="array" ref="BZ103">SUM(_xlfn._xlws.FILTER(_xlfn._xlws.FILTER(headcountData,(headcountDataDepts=$D103)*(headcountDataIDs=$E103)),(endDates=BZ$96)))</f>
        <v>4</v>
      </c>
      <c r="CA103" s="676" cm="1">
        <f t="array" ref="CA103">SUM(_xlfn._xlws.FILTER(_xlfn._xlws.FILTER(headcountData,(headcountDataDepts=$D103)*(headcountDataIDs=$E103)),(endDates=CA$96)))</f>
        <v>4</v>
      </c>
      <c r="CB103" s="676" cm="1">
        <f t="array" ref="CB103">SUM(_xlfn._xlws.FILTER(_xlfn._xlws.FILTER(headcountData,(headcountDataDepts=$D103)*(headcountDataIDs=$E103)),(endDates=CB$96)))</f>
        <v>4</v>
      </c>
      <c r="CC103" s="676" cm="1">
        <f t="array" ref="CC103">SUM(_xlfn._xlws.FILTER(_xlfn._xlws.FILTER(headcountData,(headcountDataDepts=$D103)*(headcountDataIDs=$E103)),(endDates=CC$96)))</f>
        <v>4</v>
      </c>
      <c r="CD103" s="676" cm="1">
        <f t="array" ref="CD103">SUM(_xlfn._xlws.FILTER(_xlfn._xlws.FILTER(headcountData,(headcountDataDepts=$D103)*(headcountDataIDs=$E103)),(endDates=CD$96)))</f>
        <v>4</v>
      </c>
      <c r="CE103" s="676" cm="1">
        <f t="array" ref="CE103">SUM(_xlfn._xlws.FILTER(_xlfn._xlws.FILTER(headcountData,(headcountDataDepts=$D103)*(headcountDataIDs=$E103)),(endDates=CE$96)))</f>
        <v>4</v>
      </c>
      <c r="CF103" s="676" cm="1">
        <f t="array" ref="CF103">SUM(_xlfn._xlws.FILTER(_xlfn._xlws.FILTER(headcountData,(headcountDataDepts=$D103)*(headcountDataIDs=$E103)),(endDates=CF$96)))</f>
        <v>4</v>
      </c>
      <c r="CG103" s="676" cm="1">
        <f t="array" ref="CG103">SUM(_xlfn._xlws.FILTER(_xlfn._xlws.FILTER(headcountData,(headcountDataDepts=$D103)*(headcountDataIDs=$E103)),(endDates=CG$96)))</f>
        <v>4</v>
      </c>
    </row>
    <row r="104" spans="1:85" ht="15.75" customHeight="1" outlineLevel="1">
      <c r="C104" s="383" t="s">
        <v>182</v>
      </c>
      <c r="D104" s="149" t="s">
        <v>183</v>
      </c>
      <c r="E104" s="150" t="s">
        <v>177</v>
      </c>
      <c r="J104" s="676" cm="1">
        <f t="array" ref="J104">SUM(_xlfn._xlws.FILTER(_xlfn._xlws.FILTER(headcountData,(headcountDataDepts=$D104)*(headcountDataIDs=$E104)),(endDates=J$96)))</f>
        <v>1</v>
      </c>
      <c r="K104" s="676" cm="1">
        <f t="array" ref="K104">SUM(_xlfn._xlws.FILTER(_xlfn._xlws.FILTER(headcountData,(headcountDataDepts=$D104)*(headcountDataIDs=$E104)),(endDates=K$96)))</f>
        <v>1</v>
      </c>
      <c r="N104" s="676" cm="1">
        <f t="array" ref="N104">SUM(_xlfn._xlws.FILTER(_xlfn._xlws.FILTER(headcountData,(headcountDataDepts=$D104)*(headcountDataIDs=$E104)),(endDates=N$96)))</f>
        <v>0</v>
      </c>
      <c r="O104" s="676" cm="1">
        <f t="array" ref="O104">SUM(_xlfn._xlws.FILTER(_xlfn._xlws.FILTER(headcountData,(headcountDataDepts=$D104)*(headcountDataIDs=$E104)),(endDates=O$96)))</f>
        <v>0</v>
      </c>
      <c r="P104" s="676" cm="1">
        <f t="array" ref="P104">SUM(_xlfn._xlws.FILTER(_xlfn._xlws.FILTER(headcountData,(headcountDataDepts=$D104)*(headcountDataIDs=$E104)),(endDates=P$96)))</f>
        <v>1</v>
      </c>
      <c r="Q104" s="676" cm="1">
        <f t="array" ref="Q104">SUM(_xlfn._xlws.FILTER(_xlfn._xlws.FILTER(headcountData,(headcountDataDepts=$D104)*(headcountDataIDs=$E104)),(endDates=Q$96)))</f>
        <v>2</v>
      </c>
      <c r="T104" s="676" cm="1">
        <f t="array" ref="T104">SUM(_xlfn._xlws.FILTER(_xlfn._xlws.FILTER(headcountData,(headcountDataDepts=$D104)*(headcountDataIDs=$E104)),(endDates=T$96)))</f>
        <v>0</v>
      </c>
      <c r="U104" s="676" cm="1">
        <f t="array" ref="U104">SUM(_xlfn._xlws.FILTER(_xlfn._xlws.FILTER(headcountData,(headcountDataDepts=$D104)*(headcountDataIDs=$E104)),(endDates=U$96)))</f>
        <v>0</v>
      </c>
      <c r="V104" s="676" cm="1">
        <f t="array" ref="V104">SUM(_xlfn._xlws.FILTER(_xlfn._xlws.FILTER(headcountData,(headcountDataDepts=$D104)*(headcountDataIDs=$E104)),(endDates=V$96)))</f>
        <v>0</v>
      </c>
      <c r="W104" s="676" cm="1">
        <f t="array" ref="W104">SUM(_xlfn._xlws.FILTER(_xlfn._xlws.FILTER(headcountData,(headcountDataDepts=$D104)*(headcountDataIDs=$E104)),(endDates=W$96)))</f>
        <v>0</v>
      </c>
      <c r="X104" s="676" cm="1">
        <f t="array" ref="X104">SUM(_xlfn._xlws.FILTER(_xlfn._xlws.FILTER(headcountData,(headcountDataDepts=$D104)*(headcountDataIDs=$E104)),(endDates=X$96)))</f>
        <v>0</v>
      </c>
      <c r="Y104" s="676" cm="1">
        <f t="array" ref="Y104">SUM(_xlfn._xlws.FILTER(_xlfn._xlws.FILTER(headcountData,(headcountDataDepts=$D104)*(headcountDataIDs=$E104)),(endDates=Y$96)))</f>
        <v>0</v>
      </c>
      <c r="Z104" s="676" cm="1">
        <f t="array" ref="Z104">SUM(_xlfn._xlws.FILTER(_xlfn._xlws.FILTER(headcountData,(headcountDataDepts=$D104)*(headcountDataIDs=$E104)),(endDates=Z$96)))</f>
        <v>0</v>
      </c>
      <c r="AA104" s="676" cm="1">
        <f t="array" ref="AA104">SUM(_xlfn._xlws.FILTER(_xlfn._xlws.FILTER(headcountData,(headcountDataDepts=$D104)*(headcountDataIDs=$E104)),(endDates=AA$96)))</f>
        <v>0</v>
      </c>
      <c r="AB104" s="676" cm="1">
        <f t="array" ref="AB104">SUM(_xlfn._xlws.FILTER(_xlfn._xlws.FILTER(headcountData,(headcountDataDepts=$D104)*(headcountDataIDs=$E104)),(endDates=AB$96)))</f>
        <v>0</v>
      </c>
      <c r="AC104" s="676" cm="1">
        <f t="array" ref="AC104">SUM(_xlfn._xlws.FILTER(_xlfn._xlws.FILTER(headcountData,(headcountDataDepts=$D104)*(headcountDataIDs=$E104)),(endDates=AC$96)))</f>
        <v>1</v>
      </c>
      <c r="AD104" s="676" cm="1">
        <f t="array" ref="AD104">SUM(_xlfn._xlws.FILTER(_xlfn._xlws.FILTER(headcountData,(headcountDataDepts=$D104)*(headcountDataIDs=$E104)),(endDates=AD$96)))</f>
        <v>1</v>
      </c>
      <c r="AE104" s="676" cm="1">
        <f t="array" ref="AE104">SUM(_xlfn._xlws.FILTER(_xlfn._xlws.FILTER(headcountData,(headcountDataDepts=$D104)*(headcountDataIDs=$E104)),(endDates=AE$96)))</f>
        <v>1</v>
      </c>
      <c r="AF104" s="676" cm="1">
        <f t="array" ref="AF104">SUM(_xlfn._xlws.FILTER(_xlfn._xlws.FILTER(headcountData,(headcountDataDepts=$D104)*(headcountDataIDs=$E104)),(endDates=AF$96)))</f>
        <v>1</v>
      </c>
      <c r="AG104" s="676" cm="1">
        <f t="array" ref="AG104">SUM(_xlfn._xlws.FILTER(_xlfn._xlws.FILTER(headcountData,(headcountDataDepts=$D104)*(headcountDataIDs=$E104)),(endDates=AG$96)))</f>
        <v>2</v>
      </c>
      <c r="AH104" s="676" cm="1">
        <f t="array" ref="AH104">SUM(_xlfn._xlws.FILTER(_xlfn._xlws.FILTER(headcountData,(headcountDataDepts=$D104)*(headcountDataIDs=$E104)),(endDates=AH$96)))</f>
        <v>2</v>
      </c>
      <c r="AI104" s="676" cm="1">
        <f t="array" ref="AI104">SUM(_xlfn._xlws.FILTER(_xlfn._xlws.FILTER(headcountData,(headcountDataDepts=$D104)*(headcountDataIDs=$E104)),(endDates=AI$96)))</f>
        <v>2</v>
      </c>
      <c r="AL104" s="676" cm="1">
        <f t="array" ref="AL104">SUM(_xlfn._xlws.FILTER(_xlfn._xlws.FILTER(headcountData,(headcountDataDepts=$D104)*(headcountDataIDs=$E104)),(endDates=AL$96)))</f>
        <v>0</v>
      </c>
      <c r="AM104" s="676" cm="1">
        <f t="array" ref="AM104">SUM(_xlfn._xlws.FILTER(_xlfn._xlws.FILTER(headcountData,(headcountDataDepts=$D104)*(headcountDataIDs=$E104)),(endDates=AM$96)))</f>
        <v>0</v>
      </c>
      <c r="AN104" s="676" cm="1">
        <f t="array" ref="AN104">SUM(_xlfn._xlws.FILTER(_xlfn._xlws.FILTER(headcountData,(headcountDataDepts=$D104)*(headcountDataIDs=$E104)),(endDates=AN$96)))</f>
        <v>0</v>
      </c>
      <c r="AO104" s="676" cm="1">
        <f t="array" ref="AO104">SUM(_xlfn._xlws.FILTER(_xlfn._xlws.FILTER(headcountData,(headcountDataDepts=$D104)*(headcountDataIDs=$E104)),(endDates=AO$96)))</f>
        <v>0</v>
      </c>
      <c r="AP104" s="676" cm="1">
        <f t="array" ref="AP104">SUM(_xlfn._xlws.FILTER(_xlfn._xlws.FILTER(headcountData,(headcountDataDepts=$D104)*(headcountDataIDs=$E104)),(endDates=AP$96)))</f>
        <v>0</v>
      </c>
      <c r="AQ104" s="676" cm="1">
        <f t="array" ref="AQ104">SUM(_xlfn._xlws.FILTER(_xlfn._xlws.FILTER(headcountData,(headcountDataDepts=$D104)*(headcountDataIDs=$E104)),(endDates=AQ$96)))</f>
        <v>0</v>
      </c>
      <c r="AR104" s="676" cm="1">
        <f t="array" ref="AR104">SUM(_xlfn._xlws.FILTER(_xlfn._xlws.FILTER(headcountData,(headcountDataDepts=$D104)*(headcountDataIDs=$E104)),(endDates=AR$96)))</f>
        <v>0</v>
      </c>
      <c r="AS104" s="676" cm="1">
        <f t="array" ref="AS104">SUM(_xlfn._xlws.FILTER(_xlfn._xlws.FILTER(headcountData,(headcountDataDepts=$D104)*(headcountDataIDs=$E104)),(endDates=AS$96)))</f>
        <v>0</v>
      </c>
      <c r="AT104" s="676" cm="1">
        <f t="array" ref="AT104">SUM(_xlfn._xlws.FILTER(_xlfn._xlws.FILTER(headcountData,(headcountDataDepts=$D104)*(headcountDataIDs=$E104)),(endDates=AT$96)))</f>
        <v>0</v>
      </c>
      <c r="AU104" s="676" cm="1">
        <f t="array" ref="AU104">SUM(_xlfn._xlws.FILTER(_xlfn._xlws.FILTER(headcountData,(headcountDataDepts=$D104)*(headcountDataIDs=$E104)),(endDates=AU$96)))</f>
        <v>0</v>
      </c>
      <c r="AV104" s="676" cm="1">
        <f t="array" ref="AV104">SUM(_xlfn._xlws.FILTER(_xlfn._xlws.FILTER(headcountData,(headcountDataDepts=$D104)*(headcountDataIDs=$E104)),(endDates=AV$96)))</f>
        <v>0</v>
      </c>
      <c r="AW104" s="676" cm="1">
        <f t="array" ref="AW104">SUM(_xlfn._xlws.FILTER(_xlfn._xlws.FILTER(headcountData,(headcountDataDepts=$D104)*(headcountDataIDs=$E104)),(endDates=AW$96)))</f>
        <v>0</v>
      </c>
      <c r="AX104" s="676" cm="1">
        <f t="array" ref="AX104">SUM(_xlfn._xlws.FILTER(_xlfn._xlws.FILTER(headcountData,(headcountDataDepts=$D104)*(headcountDataIDs=$E104)),(endDates=AX$96)))</f>
        <v>0</v>
      </c>
      <c r="AY104" s="676" cm="1">
        <f t="array" ref="AY104">SUM(_xlfn._xlws.FILTER(_xlfn._xlws.FILTER(headcountData,(headcountDataDepts=$D104)*(headcountDataIDs=$E104)),(endDates=AY$96)))</f>
        <v>0</v>
      </c>
      <c r="AZ104" s="676" cm="1">
        <f t="array" ref="AZ104">SUM(_xlfn._xlws.FILTER(_xlfn._xlws.FILTER(headcountData,(headcountDataDepts=$D104)*(headcountDataIDs=$E104)),(endDates=AZ$96)))</f>
        <v>0</v>
      </c>
      <c r="BA104" s="676" cm="1">
        <f t="array" ref="BA104">SUM(_xlfn._xlws.FILTER(_xlfn._xlws.FILTER(headcountData,(headcountDataDepts=$D104)*(headcountDataIDs=$E104)),(endDates=BA$96)))</f>
        <v>0</v>
      </c>
      <c r="BB104" s="676" cm="1">
        <f t="array" ref="BB104">SUM(_xlfn._xlws.FILTER(_xlfn._xlws.FILTER(headcountData,(headcountDataDepts=$D104)*(headcountDataIDs=$E104)),(endDates=BB$96)))</f>
        <v>0</v>
      </c>
      <c r="BC104" s="676" cm="1">
        <f t="array" ref="BC104">SUM(_xlfn._xlws.FILTER(_xlfn._xlws.FILTER(headcountData,(headcountDataDepts=$D104)*(headcountDataIDs=$E104)),(endDates=BC$96)))</f>
        <v>0</v>
      </c>
      <c r="BD104" s="676" cm="1">
        <f t="array" ref="BD104">SUM(_xlfn._xlws.FILTER(_xlfn._xlws.FILTER(headcountData,(headcountDataDepts=$D104)*(headcountDataIDs=$E104)),(endDates=BD$96)))</f>
        <v>0</v>
      </c>
      <c r="BE104" s="676" cm="1">
        <f t="array" ref="BE104">SUM(_xlfn._xlws.FILTER(_xlfn._xlws.FILTER(headcountData,(headcountDataDepts=$D104)*(headcountDataIDs=$E104)),(endDates=BE$96)))</f>
        <v>0</v>
      </c>
      <c r="BF104" s="676" cm="1">
        <f t="array" ref="BF104">SUM(_xlfn._xlws.FILTER(_xlfn._xlws.FILTER(headcountData,(headcountDataDepts=$D104)*(headcountDataIDs=$E104)),(endDates=BF$96)))</f>
        <v>0</v>
      </c>
      <c r="BG104" s="676" cm="1">
        <f t="array" ref="BG104">SUM(_xlfn._xlws.FILTER(_xlfn._xlws.FILTER(headcountData,(headcountDataDepts=$D104)*(headcountDataIDs=$E104)),(endDates=BG$96)))</f>
        <v>0</v>
      </c>
      <c r="BH104" s="676" cm="1">
        <f t="array" ref="BH104">SUM(_xlfn._xlws.FILTER(_xlfn._xlws.FILTER(headcountData,(headcountDataDepts=$D104)*(headcountDataIDs=$E104)),(endDates=BH$96)))</f>
        <v>0</v>
      </c>
      <c r="BI104" s="676" cm="1">
        <f t="array" ref="BI104">SUM(_xlfn._xlws.FILTER(_xlfn._xlws.FILTER(headcountData,(headcountDataDepts=$D104)*(headcountDataIDs=$E104)),(endDates=BI$96)))</f>
        <v>0</v>
      </c>
      <c r="BJ104" s="676" cm="1">
        <f t="array" ref="BJ104">SUM(_xlfn._xlws.FILTER(_xlfn._xlws.FILTER(headcountData,(headcountDataDepts=$D104)*(headcountDataIDs=$E104)),(endDates=BJ$96)))</f>
        <v>0</v>
      </c>
      <c r="BK104" s="676" cm="1">
        <f t="array" ref="BK104">SUM(_xlfn._xlws.FILTER(_xlfn._xlws.FILTER(headcountData,(headcountDataDepts=$D104)*(headcountDataIDs=$E104)),(endDates=BK$96)))</f>
        <v>0</v>
      </c>
      <c r="BL104" s="676" cm="1">
        <f t="array" ref="BL104">SUM(_xlfn._xlws.FILTER(_xlfn._xlws.FILTER(headcountData,(headcountDataDepts=$D104)*(headcountDataIDs=$E104)),(endDates=BL$96)))</f>
        <v>0</v>
      </c>
      <c r="BM104" s="676" cm="1">
        <f t="array" ref="BM104">SUM(_xlfn._xlws.FILTER(_xlfn._xlws.FILTER(headcountData,(headcountDataDepts=$D104)*(headcountDataIDs=$E104)),(endDates=BM$96)))</f>
        <v>0</v>
      </c>
      <c r="BN104" s="676" cm="1">
        <f t="array" ref="BN104">SUM(_xlfn._xlws.FILTER(_xlfn._xlws.FILTER(headcountData,(headcountDataDepts=$D104)*(headcountDataIDs=$E104)),(endDates=BN$96)))</f>
        <v>1</v>
      </c>
      <c r="BO104" s="676" cm="1">
        <f t="array" ref="BO104">SUM(_xlfn._xlws.FILTER(_xlfn._xlws.FILTER(headcountData,(headcountDataDepts=$D104)*(headcountDataIDs=$E104)),(endDates=BO$96)))</f>
        <v>1</v>
      </c>
      <c r="BP104" s="676" cm="1">
        <f t="array" ref="BP104">SUM(_xlfn._xlws.FILTER(_xlfn._xlws.FILTER(headcountData,(headcountDataDepts=$D104)*(headcountDataIDs=$E104)),(endDates=BP$96)))</f>
        <v>1</v>
      </c>
      <c r="BQ104" s="676" cm="1">
        <f t="array" ref="BQ104">SUM(_xlfn._xlws.FILTER(_xlfn._xlws.FILTER(headcountData,(headcountDataDepts=$D104)*(headcountDataIDs=$E104)),(endDates=BQ$96)))</f>
        <v>1</v>
      </c>
      <c r="BR104" s="676" cm="1">
        <f t="array" ref="BR104">SUM(_xlfn._xlws.FILTER(_xlfn._xlws.FILTER(headcountData,(headcountDataDepts=$D104)*(headcountDataIDs=$E104)),(endDates=BR$96)))</f>
        <v>1</v>
      </c>
      <c r="BS104" s="676" cm="1">
        <f t="array" ref="BS104">SUM(_xlfn._xlws.FILTER(_xlfn._xlws.FILTER(headcountData,(headcountDataDepts=$D104)*(headcountDataIDs=$E104)),(endDates=BS$96)))</f>
        <v>1</v>
      </c>
      <c r="BT104" s="676" cm="1">
        <f t="array" ref="BT104">SUM(_xlfn._xlws.FILTER(_xlfn._xlws.FILTER(headcountData,(headcountDataDepts=$D104)*(headcountDataIDs=$E104)),(endDates=BT$96)))</f>
        <v>1</v>
      </c>
      <c r="BU104" s="676" cm="1">
        <f t="array" ref="BU104">SUM(_xlfn._xlws.FILTER(_xlfn._xlws.FILTER(headcountData,(headcountDataDepts=$D104)*(headcountDataIDs=$E104)),(endDates=BU$96)))</f>
        <v>1</v>
      </c>
      <c r="BV104" s="676" cm="1">
        <f t="array" ref="BV104">SUM(_xlfn._xlws.FILTER(_xlfn._xlws.FILTER(headcountData,(headcountDataDepts=$D104)*(headcountDataIDs=$E104)),(endDates=BV$96)))</f>
        <v>1</v>
      </c>
      <c r="BW104" s="676" cm="1">
        <f t="array" ref="BW104">SUM(_xlfn._xlws.FILTER(_xlfn._xlws.FILTER(headcountData,(headcountDataDepts=$D104)*(headcountDataIDs=$E104)),(endDates=BW$96)))</f>
        <v>1</v>
      </c>
      <c r="BX104" s="676" cm="1">
        <f t="array" ref="BX104">SUM(_xlfn._xlws.FILTER(_xlfn._xlws.FILTER(headcountData,(headcountDataDepts=$D104)*(headcountDataIDs=$E104)),(endDates=BX$96)))</f>
        <v>1</v>
      </c>
      <c r="BY104" s="676" cm="1">
        <f t="array" ref="BY104">SUM(_xlfn._xlws.FILTER(_xlfn._xlws.FILTER(headcountData,(headcountDataDepts=$D104)*(headcountDataIDs=$E104)),(endDates=BY$96)))</f>
        <v>1</v>
      </c>
      <c r="BZ104" s="676" cm="1">
        <f t="array" ref="BZ104">SUM(_xlfn._xlws.FILTER(_xlfn._xlws.FILTER(headcountData,(headcountDataDepts=$D104)*(headcountDataIDs=$E104)),(endDates=BZ$96)))</f>
        <v>1</v>
      </c>
      <c r="CA104" s="676" cm="1">
        <f t="array" ref="CA104">SUM(_xlfn._xlws.FILTER(_xlfn._xlws.FILTER(headcountData,(headcountDataDepts=$D104)*(headcountDataIDs=$E104)),(endDates=CA$96)))</f>
        <v>2</v>
      </c>
      <c r="CB104" s="676" cm="1">
        <f t="array" ref="CB104">SUM(_xlfn._xlws.FILTER(_xlfn._xlws.FILTER(headcountData,(headcountDataDepts=$D104)*(headcountDataIDs=$E104)),(endDates=CB$96)))</f>
        <v>2</v>
      </c>
      <c r="CC104" s="676" cm="1">
        <f t="array" ref="CC104">SUM(_xlfn._xlws.FILTER(_xlfn._xlws.FILTER(headcountData,(headcountDataDepts=$D104)*(headcountDataIDs=$E104)),(endDates=CC$96)))</f>
        <v>2</v>
      </c>
      <c r="CD104" s="676" cm="1">
        <f t="array" ref="CD104">SUM(_xlfn._xlws.FILTER(_xlfn._xlws.FILTER(headcountData,(headcountDataDepts=$D104)*(headcountDataIDs=$E104)),(endDates=CD$96)))</f>
        <v>2</v>
      </c>
      <c r="CE104" s="676" cm="1">
        <f t="array" ref="CE104">SUM(_xlfn._xlws.FILTER(_xlfn._xlws.FILTER(headcountData,(headcountDataDepts=$D104)*(headcountDataIDs=$E104)),(endDates=CE$96)))</f>
        <v>2</v>
      </c>
      <c r="CF104" s="676" cm="1">
        <f t="array" ref="CF104">SUM(_xlfn._xlws.FILTER(_xlfn._xlws.FILTER(headcountData,(headcountDataDepts=$D104)*(headcountDataIDs=$E104)),(endDates=CF$96)))</f>
        <v>2</v>
      </c>
      <c r="CG104" s="676" cm="1">
        <f t="array" ref="CG104">SUM(_xlfn._xlws.FILTER(_xlfn._xlws.FILTER(headcountData,(headcountDataDepts=$D104)*(headcountDataIDs=$E104)),(endDates=CG$96)))</f>
        <v>2</v>
      </c>
    </row>
    <row r="105" spans="1:85" ht="15.75" customHeight="1" outlineLevel="1">
      <c r="C105" s="383" t="s">
        <v>184</v>
      </c>
      <c r="D105" s="149" t="s">
        <v>185</v>
      </c>
      <c r="E105" s="150" t="s">
        <v>177</v>
      </c>
      <c r="J105" s="676" cm="1">
        <f t="array" ref="J105">SUM(_xlfn._xlws.FILTER(_xlfn._xlws.FILTER(headcountData,(headcountDataDepts=$D105)*(headcountDataIDs=$E105)),(endDates=J$96)))</f>
        <v>0</v>
      </c>
      <c r="K105" s="676" cm="1">
        <f t="array" ref="K105">SUM(_xlfn._xlws.FILTER(_xlfn._xlws.FILTER(headcountData,(headcountDataDepts=$D105)*(headcountDataIDs=$E105)),(endDates=K$96)))</f>
        <v>0</v>
      </c>
      <c r="N105" s="676" cm="1">
        <f t="array" ref="N105">SUM(_xlfn._xlws.FILTER(_xlfn._xlws.FILTER(headcountData,(headcountDataDepts=$D105)*(headcountDataIDs=$E105)),(endDates=N$96)))</f>
        <v>0</v>
      </c>
      <c r="O105" s="676" cm="1">
        <f t="array" ref="O105">SUM(_xlfn._xlws.FILTER(_xlfn._xlws.FILTER(headcountData,(headcountDataDepts=$D105)*(headcountDataIDs=$E105)),(endDates=O$96)))</f>
        <v>0</v>
      </c>
      <c r="P105" s="676" cm="1">
        <f t="array" ref="P105">SUM(_xlfn._xlws.FILTER(_xlfn._xlws.FILTER(headcountData,(headcountDataDepts=$D105)*(headcountDataIDs=$E105)),(endDates=P$96)))</f>
        <v>0</v>
      </c>
      <c r="Q105" s="676" cm="1">
        <f t="array" ref="Q105">SUM(_xlfn._xlws.FILTER(_xlfn._xlws.FILTER(headcountData,(headcountDataDepts=$D105)*(headcountDataIDs=$E105)),(endDates=Q$96)))</f>
        <v>1</v>
      </c>
      <c r="T105" s="676" cm="1">
        <f t="array" ref="T105">SUM(_xlfn._xlws.FILTER(_xlfn._xlws.FILTER(headcountData,(headcountDataDepts=$D105)*(headcountDataIDs=$E105)),(endDates=T$96)))</f>
        <v>1</v>
      </c>
      <c r="U105" s="676" cm="1">
        <f t="array" ref="U105">SUM(_xlfn._xlws.FILTER(_xlfn._xlws.FILTER(headcountData,(headcountDataDepts=$D105)*(headcountDataIDs=$E105)),(endDates=U$96)))</f>
        <v>0</v>
      </c>
      <c r="V105" s="676" cm="1">
        <f t="array" ref="V105">SUM(_xlfn._xlws.FILTER(_xlfn._xlws.FILTER(headcountData,(headcountDataDepts=$D105)*(headcountDataIDs=$E105)),(endDates=V$96)))</f>
        <v>0</v>
      </c>
      <c r="W105" s="676" cm="1">
        <f t="array" ref="W105">SUM(_xlfn._xlws.FILTER(_xlfn._xlws.FILTER(headcountData,(headcountDataDepts=$D105)*(headcountDataIDs=$E105)),(endDates=W$96)))</f>
        <v>0</v>
      </c>
      <c r="X105" s="676" cm="1">
        <f t="array" ref="X105">SUM(_xlfn._xlws.FILTER(_xlfn._xlws.FILTER(headcountData,(headcountDataDepts=$D105)*(headcountDataIDs=$E105)),(endDates=X$96)))</f>
        <v>0</v>
      </c>
      <c r="Y105" s="676" cm="1">
        <f t="array" ref="Y105">SUM(_xlfn._xlws.FILTER(_xlfn._xlws.FILTER(headcountData,(headcountDataDepts=$D105)*(headcountDataIDs=$E105)),(endDates=Y$96)))</f>
        <v>0</v>
      </c>
      <c r="Z105" s="676" cm="1">
        <f t="array" ref="Z105">SUM(_xlfn._xlws.FILTER(_xlfn._xlws.FILTER(headcountData,(headcountDataDepts=$D105)*(headcountDataIDs=$E105)),(endDates=Z$96)))</f>
        <v>0</v>
      </c>
      <c r="AA105" s="676" cm="1">
        <f t="array" ref="AA105">SUM(_xlfn._xlws.FILTER(_xlfn._xlws.FILTER(headcountData,(headcountDataDepts=$D105)*(headcountDataIDs=$E105)),(endDates=AA$96)))</f>
        <v>0</v>
      </c>
      <c r="AB105" s="676" cm="1">
        <f t="array" ref="AB105">SUM(_xlfn._xlws.FILTER(_xlfn._xlws.FILTER(headcountData,(headcountDataDepts=$D105)*(headcountDataIDs=$E105)),(endDates=AB$96)))</f>
        <v>0</v>
      </c>
      <c r="AC105" s="676" cm="1">
        <f t="array" ref="AC105">SUM(_xlfn._xlws.FILTER(_xlfn._xlws.FILTER(headcountData,(headcountDataDepts=$D105)*(headcountDataIDs=$E105)),(endDates=AC$96)))</f>
        <v>0</v>
      </c>
      <c r="AD105" s="676" cm="1">
        <f t="array" ref="AD105">SUM(_xlfn._xlws.FILTER(_xlfn._xlws.FILTER(headcountData,(headcountDataDepts=$D105)*(headcountDataIDs=$E105)),(endDates=AD$96)))</f>
        <v>0</v>
      </c>
      <c r="AE105" s="676" cm="1">
        <f t="array" ref="AE105">SUM(_xlfn._xlws.FILTER(_xlfn._xlws.FILTER(headcountData,(headcountDataDepts=$D105)*(headcountDataIDs=$E105)),(endDates=AE$96)))</f>
        <v>0</v>
      </c>
      <c r="AF105" s="676" cm="1">
        <f t="array" ref="AF105">SUM(_xlfn._xlws.FILTER(_xlfn._xlws.FILTER(headcountData,(headcountDataDepts=$D105)*(headcountDataIDs=$E105)),(endDates=AF$96)))</f>
        <v>0</v>
      </c>
      <c r="AG105" s="676" cm="1">
        <f t="array" ref="AG105">SUM(_xlfn._xlws.FILTER(_xlfn._xlws.FILTER(headcountData,(headcountDataDepts=$D105)*(headcountDataIDs=$E105)),(endDates=AG$96)))</f>
        <v>0</v>
      </c>
      <c r="AH105" s="676" cm="1">
        <f t="array" ref="AH105">SUM(_xlfn._xlws.FILTER(_xlfn._xlws.FILTER(headcountData,(headcountDataDepts=$D105)*(headcountDataIDs=$E105)),(endDates=AH$96)))</f>
        <v>1</v>
      </c>
      <c r="AI105" s="676" cm="1">
        <f t="array" ref="AI105">SUM(_xlfn._xlws.FILTER(_xlfn._xlws.FILTER(headcountData,(headcountDataDepts=$D105)*(headcountDataIDs=$E105)),(endDates=AI$96)))</f>
        <v>1</v>
      </c>
      <c r="AL105" s="676" cm="1">
        <f t="array" ref="AL105">SUM(_xlfn._xlws.FILTER(_xlfn._xlws.FILTER(headcountData,(headcountDataDepts=$D105)*(headcountDataIDs=$E105)),(endDates=AL$96)))</f>
        <v>1</v>
      </c>
      <c r="AM105" s="676" cm="1">
        <f t="array" ref="AM105">SUM(_xlfn._xlws.FILTER(_xlfn._xlws.FILTER(headcountData,(headcountDataDepts=$D105)*(headcountDataIDs=$E105)),(endDates=AM$96)))</f>
        <v>1</v>
      </c>
      <c r="AN105" s="676" cm="1">
        <f t="array" ref="AN105">SUM(_xlfn._xlws.FILTER(_xlfn._xlws.FILTER(headcountData,(headcountDataDepts=$D105)*(headcountDataIDs=$E105)),(endDates=AN$96)))</f>
        <v>1</v>
      </c>
      <c r="AO105" s="676" cm="1">
        <f t="array" ref="AO105">SUM(_xlfn._xlws.FILTER(_xlfn._xlws.FILTER(headcountData,(headcountDataDepts=$D105)*(headcountDataIDs=$E105)),(endDates=AO$96)))</f>
        <v>1</v>
      </c>
      <c r="AP105" s="676" cm="1">
        <f t="array" ref="AP105">SUM(_xlfn._xlws.FILTER(_xlfn._xlws.FILTER(headcountData,(headcountDataDepts=$D105)*(headcountDataIDs=$E105)),(endDates=AP$96)))</f>
        <v>0</v>
      </c>
      <c r="AQ105" s="676" cm="1">
        <f t="array" ref="AQ105">SUM(_xlfn._xlws.FILTER(_xlfn._xlws.FILTER(headcountData,(headcountDataDepts=$D105)*(headcountDataIDs=$E105)),(endDates=AQ$96)))</f>
        <v>0</v>
      </c>
      <c r="AR105" s="676" cm="1">
        <f t="array" ref="AR105">SUM(_xlfn._xlws.FILTER(_xlfn._xlws.FILTER(headcountData,(headcountDataDepts=$D105)*(headcountDataIDs=$E105)),(endDates=AR$96)))</f>
        <v>0</v>
      </c>
      <c r="AS105" s="676" cm="1">
        <f t="array" ref="AS105">SUM(_xlfn._xlws.FILTER(_xlfn._xlws.FILTER(headcountData,(headcountDataDepts=$D105)*(headcountDataIDs=$E105)),(endDates=AS$96)))</f>
        <v>0</v>
      </c>
      <c r="AT105" s="676" cm="1">
        <f t="array" ref="AT105">SUM(_xlfn._xlws.FILTER(_xlfn._xlws.FILTER(headcountData,(headcountDataDepts=$D105)*(headcountDataIDs=$E105)),(endDates=AT$96)))</f>
        <v>0</v>
      </c>
      <c r="AU105" s="676" cm="1">
        <f t="array" ref="AU105">SUM(_xlfn._xlws.FILTER(_xlfn._xlws.FILTER(headcountData,(headcountDataDepts=$D105)*(headcountDataIDs=$E105)),(endDates=AU$96)))</f>
        <v>0</v>
      </c>
      <c r="AV105" s="676" cm="1">
        <f t="array" ref="AV105">SUM(_xlfn._xlws.FILTER(_xlfn._xlws.FILTER(headcountData,(headcountDataDepts=$D105)*(headcountDataIDs=$E105)),(endDates=AV$96)))</f>
        <v>0</v>
      </c>
      <c r="AW105" s="676" cm="1">
        <f t="array" ref="AW105">SUM(_xlfn._xlws.FILTER(_xlfn._xlws.FILTER(headcountData,(headcountDataDepts=$D105)*(headcountDataIDs=$E105)),(endDates=AW$96)))</f>
        <v>0</v>
      </c>
      <c r="AX105" s="676" cm="1">
        <f t="array" ref="AX105">SUM(_xlfn._xlws.FILTER(_xlfn._xlws.FILTER(headcountData,(headcountDataDepts=$D105)*(headcountDataIDs=$E105)),(endDates=AX$96)))</f>
        <v>0</v>
      </c>
      <c r="AY105" s="676" cm="1">
        <f t="array" ref="AY105">SUM(_xlfn._xlws.FILTER(_xlfn._xlws.FILTER(headcountData,(headcountDataDepts=$D105)*(headcountDataIDs=$E105)),(endDates=AY$96)))</f>
        <v>0</v>
      </c>
      <c r="AZ105" s="676" cm="1">
        <f t="array" ref="AZ105">SUM(_xlfn._xlws.FILTER(_xlfn._xlws.FILTER(headcountData,(headcountDataDepts=$D105)*(headcountDataIDs=$E105)),(endDates=AZ$96)))</f>
        <v>0</v>
      </c>
      <c r="BA105" s="676" cm="1">
        <f t="array" ref="BA105">SUM(_xlfn._xlws.FILTER(_xlfn._xlws.FILTER(headcountData,(headcountDataDepts=$D105)*(headcountDataIDs=$E105)),(endDates=BA$96)))</f>
        <v>0</v>
      </c>
      <c r="BB105" s="676" cm="1">
        <f t="array" ref="BB105">SUM(_xlfn._xlws.FILTER(_xlfn._xlws.FILTER(headcountData,(headcountDataDepts=$D105)*(headcountDataIDs=$E105)),(endDates=BB$96)))</f>
        <v>0</v>
      </c>
      <c r="BC105" s="676" cm="1">
        <f t="array" ref="BC105">SUM(_xlfn._xlws.FILTER(_xlfn._xlws.FILTER(headcountData,(headcountDataDepts=$D105)*(headcountDataIDs=$E105)),(endDates=BC$96)))</f>
        <v>0</v>
      </c>
      <c r="BD105" s="676" cm="1">
        <f t="array" ref="BD105">SUM(_xlfn._xlws.FILTER(_xlfn._xlws.FILTER(headcountData,(headcountDataDepts=$D105)*(headcountDataIDs=$E105)),(endDates=BD$96)))</f>
        <v>0</v>
      </c>
      <c r="BE105" s="676" cm="1">
        <f t="array" ref="BE105">SUM(_xlfn._xlws.FILTER(_xlfn._xlws.FILTER(headcountData,(headcountDataDepts=$D105)*(headcountDataIDs=$E105)),(endDates=BE$96)))</f>
        <v>0</v>
      </c>
      <c r="BF105" s="676" cm="1">
        <f t="array" ref="BF105">SUM(_xlfn._xlws.FILTER(_xlfn._xlws.FILTER(headcountData,(headcountDataDepts=$D105)*(headcountDataIDs=$E105)),(endDates=BF$96)))</f>
        <v>0</v>
      </c>
      <c r="BG105" s="676" cm="1">
        <f t="array" ref="BG105">SUM(_xlfn._xlws.FILTER(_xlfn._xlws.FILTER(headcountData,(headcountDataDepts=$D105)*(headcountDataIDs=$E105)),(endDates=BG$96)))</f>
        <v>0</v>
      </c>
      <c r="BH105" s="676" cm="1">
        <f t="array" ref="BH105">SUM(_xlfn._xlws.FILTER(_xlfn._xlws.FILTER(headcountData,(headcountDataDepts=$D105)*(headcountDataIDs=$E105)),(endDates=BH$96)))</f>
        <v>0</v>
      </c>
      <c r="BI105" s="676" cm="1">
        <f t="array" ref="BI105">SUM(_xlfn._xlws.FILTER(_xlfn._xlws.FILTER(headcountData,(headcountDataDepts=$D105)*(headcountDataIDs=$E105)),(endDates=BI$96)))</f>
        <v>0</v>
      </c>
      <c r="BJ105" s="676" cm="1">
        <f t="array" ref="BJ105">SUM(_xlfn._xlws.FILTER(_xlfn._xlws.FILTER(headcountData,(headcountDataDepts=$D105)*(headcountDataIDs=$E105)),(endDates=BJ$96)))</f>
        <v>0</v>
      </c>
      <c r="BK105" s="676" cm="1">
        <f t="array" ref="BK105">SUM(_xlfn._xlws.FILTER(_xlfn._xlws.FILTER(headcountData,(headcountDataDepts=$D105)*(headcountDataIDs=$E105)),(endDates=BK$96)))</f>
        <v>0</v>
      </c>
      <c r="BL105" s="676" cm="1">
        <f t="array" ref="BL105">SUM(_xlfn._xlws.FILTER(_xlfn._xlws.FILTER(headcountData,(headcountDataDepts=$D105)*(headcountDataIDs=$E105)),(endDates=BL$96)))</f>
        <v>0</v>
      </c>
      <c r="BM105" s="676" cm="1">
        <f t="array" ref="BM105">SUM(_xlfn._xlws.FILTER(_xlfn._xlws.FILTER(headcountData,(headcountDataDepts=$D105)*(headcountDataIDs=$E105)),(endDates=BM$96)))</f>
        <v>0</v>
      </c>
      <c r="BN105" s="676" cm="1">
        <f t="array" ref="BN105">SUM(_xlfn._xlws.FILTER(_xlfn._xlws.FILTER(headcountData,(headcountDataDepts=$D105)*(headcountDataIDs=$E105)),(endDates=BN$96)))</f>
        <v>0</v>
      </c>
      <c r="BO105" s="676" cm="1">
        <f t="array" ref="BO105">SUM(_xlfn._xlws.FILTER(_xlfn._xlws.FILTER(headcountData,(headcountDataDepts=$D105)*(headcountDataIDs=$E105)),(endDates=BO$96)))</f>
        <v>0</v>
      </c>
      <c r="BP105" s="676" cm="1">
        <f t="array" ref="BP105">SUM(_xlfn._xlws.FILTER(_xlfn._xlws.FILTER(headcountData,(headcountDataDepts=$D105)*(headcountDataIDs=$E105)),(endDates=BP$96)))</f>
        <v>0</v>
      </c>
      <c r="BQ105" s="676" cm="1">
        <f t="array" ref="BQ105">SUM(_xlfn._xlws.FILTER(_xlfn._xlws.FILTER(headcountData,(headcountDataDepts=$D105)*(headcountDataIDs=$E105)),(endDates=BQ$96)))</f>
        <v>0</v>
      </c>
      <c r="BR105" s="676" cm="1">
        <f t="array" ref="BR105">SUM(_xlfn._xlws.FILTER(_xlfn._xlws.FILTER(headcountData,(headcountDataDepts=$D105)*(headcountDataIDs=$E105)),(endDates=BR$96)))</f>
        <v>0</v>
      </c>
      <c r="BS105" s="676" cm="1">
        <f t="array" ref="BS105">SUM(_xlfn._xlws.FILTER(_xlfn._xlws.FILTER(headcountData,(headcountDataDepts=$D105)*(headcountDataIDs=$E105)),(endDates=BS$96)))</f>
        <v>0</v>
      </c>
      <c r="BT105" s="676" cm="1">
        <f t="array" ref="BT105">SUM(_xlfn._xlws.FILTER(_xlfn._xlws.FILTER(headcountData,(headcountDataDepts=$D105)*(headcountDataIDs=$E105)),(endDates=BT$96)))</f>
        <v>0</v>
      </c>
      <c r="BU105" s="676" cm="1">
        <f t="array" ref="BU105">SUM(_xlfn._xlws.FILTER(_xlfn._xlws.FILTER(headcountData,(headcountDataDepts=$D105)*(headcountDataIDs=$E105)),(endDates=BU$96)))</f>
        <v>0</v>
      </c>
      <c r="BV105" s="676" cm="1">
        <f t="array" ref="BV105">SUM(_xlfn._xlws.FILTER(_xlfn._xlws.FILTER(headcountData,(headcountDataDepts=$D105)*(headcountDataIDs=$E105)),(endDates=BV$96)))</f>
        <v>0</v>
      </c>
      <c r="BW105" s="676" cm="1">
        <f t="array" ref="BW105">SUM(_xlfn._xlws.FILTER(_xlfn._xlws.FILTER(headcountData,(headcountDataDepts=$D105)*(headcountDataIDs=$E105)),(endDates=BW$96)))</f>
        <v>0</v>
      </c>
      <c r="BX105" s="676" cm="1">
        <f t="array" ref="BX105">SUM(_xlfn._xlws.FILTER(_xlfn._xlws.FILTER(headcountData,(headcountDataDepts=$D105)*(headcountDataIDs=$E105)),(endDates=BX$96)))</f>
        <v>0</v>
      </c>
      <c r="BY105" s="676" cm="1">
        <f t="array" ref="BY105">SUM(_xlfn._xlws.FILTER(_xlfn._xlws.FILTER(headcountData,(headcountDataDepts=$D105)*(headcountDataIDs=$E105)),(endDates=BY$96)))</f>
        <v>0</v>
      </c>
      <c r="BZ105" s="676" cm="1">
        <f t="array" ref="BZ105">SUM(_xlfn._xlws.FILTER(_xlfn._xlws.FILTER(headcountData,(headcountDataDepts=$D105)*(headcountDataIDs=$E105)),(endDates=BZ$96)))</f>
        <v>0</v>
      </c>
      <c r="CA105" s="676" cm="1">
        <f t="array" ref="CA105">SUM(_xlfn._xlws.FILTER(_xlfn._xlws.FILTER(headcountData,(headcountDataDepts=$D105)*(headcountDataIDs=$E105)),(endDates=CA$96)))</f>
        <v>0</v>
      </c>
      <c r="CB105" s="676" cm="1">
        <f t="array" ref="CB105">SUM(_xlfn._xlws.FILTER(_xlfn._xlws.FILTER(headcountData,(headcountDataDepts=$D105)*(headcountDataIDs=$E105)),(endDates=CB$96)))</f>
        <v>0</v>
      </c>
      <c r="CC105" s="676" cm="1">
        <f t="array" ref="CC105">SUM(_xlfn._xlws.FILTER(_xlfn._xlws.FILTER(headcountData,(headcountDataDepts=$D105)*(headcountDataIDs=$E105)),(endDates=CC$96)))</f>
        <v>1</v>
      </c>
      <c r="CD105" s="676" cm="1">
        <f t="array" ref="CD105">SUM(_xlfn._xlws.FILTER(_xlfn._xlws.FILTER(headcountData,(headcountDataDepts=$D105)*(headcountDataIDs=$E105)),(endDates=CD$96)))</f>
        <v>1</v>
      </c>
      <c r="CE105" s="676" cm="1">
        <f t="array" ref="CE105">SUM(_xlfn._xlws.FILTER(_xlfn._xlws.FILTER(headcountData,(headcountDataDepts=$D105)*(headcountDataIDs=$E105)),(endDates=CE$96)))</f>
        <v>1</v>
      </c>
      <c r="CF105" s="676" cm="1">
        <f t="array" ref="CF105">SUM(_xlfn._xlws.FILTER(_xlfn._xlws.FILTER(headcountData,(headcountDataDepts=$D105)*(headcountDataIDs=$E105)),(endDates=CF$96)))</f>
        <v>1</v>
      </c>
      <c r="CG105" s="676" cm="1">
        <f t="array" ref="CG105">SUM(_xlfn._xlws.FILTER(_xlfn._xlws.FILTER(headcountData,(headcountDataDepts=$D105)*(headcountDataIDs=$E105)),(endDates=CG$96)))</f>
        <v>1</v>
      </c>
    </row>
    <row r="106" spans="1:85" ht="15.75" customHeight="1" outlineLevel="1">
      <c r="C106" s="383" t="s">
        <v>186</v>
      </c>
      <c r="D106" s="149" t="s">
        <v>187</v>
      </c>
      <c r="E106" s="150" t="s">
        <v>177</v>
      </c>
      <c r="J106" s="676" cm="1">
        <f t="array" ref="J106">SUM(_xlfn._xlws.FILTER(_xlfn._xlws.FILTER(headcountData,(headcountDataDepts=$D106)*(headcountDataIDs=$E106)),(endDates=J$96)))</f>
        <v>0</v>
      </c>
      <c r="K106" s="676" cm="1">
        <f t="array" ref="K106">SUM(_xlfn._xlws.FILTER(_xlfn._xlws.FILTER(headcountData,(headcountDataDepts=$D106)*(headcountDataIDs=$E106)),(endDates=K$96)))</f>
        <v>0</v>
      </c>
      <c r="N106" s="676" cm="1">
        <f t="array" ref="N106">SUM(_xlfn._xlws.FILTER(_xlfn._xlws.FILTER(headcountData,(headcountDataDepts=$D106)*(headcountDataIDs=$E106)),(endDates=N$96)))</f>
        <v>0</v>
      </c>
      <c r="O106" s="676" cm="1">
        <f t="array" ref="O106">SUM(_xlfn._xlws.FILTER(_xlfn._xlws.FILTER(headcountData,(headcountDataDepts=$D106)*(headcountDataIDs=$E106)),(endDates=O$96)))</f>
        <v>0</v>
      </c>
      <c r="P106" s="676" cm="1">
        <f t="array" ref="P106">SUM(_xlfn._xlws.FILTER(_xlfn._xlws.FILTER(headcountData,(headcountDataDepts=$D106)*(headcountDataIDs=$E106)),(endDates=P$96)))</f>
        <v>0</v>
      </c>
      <c r="Q106" s="676" cm="1">
        <f t="array" ref="Q106">SUM(_xlfn._xlws.FILTER(_xlfn._xlws.FILTER(headcountData,(headcountDataDepts=$D106)*(headcountDataIDs=$E106)),(endDates=Q$96)))</f>
        <v>0</v>
      </c>
      <c r="T106" s="676" cm="1">
        <f t="array" ref="T106">SUM(_xlfn._xlws.FILTER(_xlfn._xlws.FILTER(headcountData,(headcountDataDepts=$D106)*(headcountDataIDs=$E106)),(endDates=T$96)))</f>
        <v>0</v>
      </c>
      <c r="U106" s="676" cm="1">
        <f t="array" ref="U106">SUM(_xlfn._xlws.FILTER(_xlfn._xlws.FILTER(headcountData,(headcountDataDepts=$D106)*(headcountDataIDs=$E106)),(endDates=U$96)))</f>
        <v>0</v>
      </c>
      <c r="V106" s="676" cm="1">
        <f t="array" ref="V106">SUM(_xlfn._xlws.FILTER(_xlfn._xlws.FILTER(headcountData,(headcountDataDepts=$D106)*(headcountDataIDs=$E106)),(endDates=V$96)))</f>
        <v>0</v>
      </c>
      <c r="W106" s="676" cm="1">
        <f t="array" ref="W106">SUM(_xlfn._xlws.FILTER(_xlfn._xlws.FILTER(headcountData,(headcountDataDepts=$D106)*(headcountDataIDs=$E106)),(endDates=W$96)))</f>
        <v>0</v>
      </c>
      <c r="X106" s="676" cm="1">
        <f t="array" ref="X106">SUM(_xlfn._xlws.FILTER(_xlfn._xlws.FILTER(headcountData,(headcountDataDepts=$D106)*(headcountDataIDs=$E106)),(endDates=X$96)))</f>
        <v>0</v>
      </c>
      <c r="Y106" s="676" cm="1">
        <f t="array" ref="Y106">SUM(_xlfn._xlws.FILTER(_xlfn._xlws.FILTER(headcountData,(headcountDataDepts=$D106)*(headcountDataIDs=$E106)),(endDates=Y$96)))</f>
        <v>0</v>
      </c>
      <c r="Z106" s="676" cm="1">
        <f t="array" ref="Z106">SUM(_xlfn._xlws.FILTER(_xlfn._xlws.FILTER(headcountData,(headcountDataDepts=$D106)*(headcountDataIDs=$E106)),(endDates=Z$96)))</f>
        <v>0</v>
      </c>
      <c r="AA106" s="676" cm="1">
        <f t="array" ref="AA106">SUM(_xlfn._xlws.FILTER(_xlfn._xlws.FILTER(headcountData,(headcountDataDepts=$D106)*(headcountDataIDs=$E106)),(endDates=AA$96)))</f>
        <v>0</v>
      </c>
      <c r="AB106" s="676" cm="1">
        <f t="array" ref="AB106">SUM(_xlfn._xlws.FILTER(_xlfn._xlws.FILTER(headcountData,(headcountDataDepts=$D106)*(headcountDataIDs=$E106)),(endDates=AB$96)))</f>
        <v>0</v>
      </c>
      <c r="AC106" s="676" cm="1">
        <f t="array" ref="AC106">SUM(_xlfn._xlws.FILTER(_xlfn._xlws.FILTER(headcountData,(headcountDataDepts=$D106)*(headcountDataIDs=$E106)),(endDates=AC$96)))</f>
        <v>0</v>
      </c>
      <c r="AD106" s="676" cm="1">
        <f t="array" ref="AD106">SUM(_xlfn._xlws.FILTER(_xlfn._xlws.FILTER(headcountData,(headcountDataDepts=$D106)*(headcountDataIDs=$E106)),(endDates=AD$96)))</f>
        <v>0</v>
      </c>
      <c r="AE106" s="676" cm="1">
        <f t="array" ref="AE106">SUM(_xlfn._xlws.FILTER(_xlfn._xlws.FILTER(headcountData,(headcountDataDepts=$D106)*(headcountDataIDs=$E106)),(endDates=AE$96)))</f>
        <v>0</v>
      </c>
      <c r="AF106" s="676" cm="1">
        <f t="array" ref="AF106">SUM(_xlfn._xlws.FILTER(_xlfn._xlws.FILTER(headcountData,(headcountDataDepts=$D106)*(headcountDataIDs=$E106)),(endDates=AF$96)))</f>
        <v>0</v>
      </c>
      <c r="AG106" s="676" cm="1">
        <f t="array" ref="AG106">SUM(_xlfn._xlws.FILTER(_xlfn._xlws.FILTER(headcountData,(headcountDataDepts=$D106)*(headcountDataIDs=$E106)),(endDates=AG$96)))</f>
        <v>0</v>
      </c>
      <c r="AH106" s="676" cm="1">
        <f t="array" ref="AH106">SUM(_xlfn._xlws.FILTER(_xlfn._xlws.FILTER(headcountData,(headcountDataDepts=$D106)*(headcountDataIDs=$E106)),(endDates=AH$96)))</f>
        <v>0</v>
      </c>
      <c r="AI106" s="676" cm="1">
        <f t="array" ref="AI106">SUM(_xlfn._xlws.FILTER(_xlfn._xlws.FILTER(headcountData,(headcountDataDepts=$D106)*(headcountDataIDs=$E106)),(endDates=AI$96)))</f>
        <v>0</v>
      </c>
      <c r="AL106" s="676" cm="1">
        <f t="array" ref="AL106">SUM(_xlfn._xlws.FILTER(_xlfn._xlws.FILTER(headcountData,(headcountDataDepts=$D106)*(headcountDataIDs=$E106)),(endDates=AL$96)))</f>
        <v>0</v>
      </c>
      <c r="AM106" s="676" cm="1">
        <f t="array" ref="AM106">SUM(_xlfn._xlws.FILTER(_xlfn._xlws.FILTER(headcountData,(headcountDataDepts=$D106)*(headcountDataIDs=$E106)),(endDates=AM$96)))</f>
        <v>0</v>
      </c>
      <c r="AN106" s="676" cm="1">
        <f t="array" ref="AN106">SUM(_xlfn._xlws.FILTER(_xlfn._xlws.FILTER(headcountData,(headcountDataDepts=$D106)*(headcountDataIDs=$E106)),(endDates=AN$96)))</f>
        <v>0</v>
      </c>
      <c r="AO106" s="676" cm="1">
        <f t="array" ref="AO106">SUM(_xlfn._xlws.FILTER(_xlfn._xlws.FILTER(headcountData,(headcountDataDepts=$D106)*(headcountDataIDs=$E106)),(endDates=AO$96)))</f>
        <v>0</v>
      </c>
      <c r="AP106" s="676" cm="1">
        <f t="array" ref="AP106">SUM(_xlfn._xlws.FILTER(_xlfn._xlws.FILTER(headcountData,(headcountDataDepts=$D106)*(headcountDataIDs=$E106)),(endDates=AP$96)))</f>
        <v>0</v>
      </c>
      <c r="AQ106" s="676" cm="1">
        <f t="array" ref="AQ106">SUM(_xlfn._xlws.FILTER(_xlfn._xlws.FILTER(headcountData,(headcountDataDepts=$D106)*(headcountDataIDs=$E106)),(endDates=AQ$96)))</f>
        <v>0</v>
      </c>
      <c r="AR106" s="676" cm="1">
        <f t="array" ref="AR106">SUM(_xlfn._xlws.FILTER(_xlfn._xlws.FILTER(headcountData,(headcountDataDepts=$D106)*(headcountDataIDs=$E106)),(endDates=AR$96)))</f>
        <v>0</v>
      </c>
      <c r="AS106" s="676" cm="1">
        <f t="array" ref="AS106">SUM(_xlfn._xlws.FILTER(_xlfn._xlws.FILTER(headcountData,(headcountDataDepts=$D106)*(headcountDataIDs=$E106)),(endDates=AS$96)))</f>
        <v>0</v>
      </c>
      <c r="AT106" s="676" cm="1">
        <f t="array" ref="AT106">SUM(_xlfn._xlws.FILTER(_xlfn._xlws.FILTER(headcountData,(headcountDataDepts=$D106)*(headcountDataIDs=$E106)),(endDates=AT$96)))</f>
        <v>0</v>
      </c>
      <c r="AU106" s="676" cm="1">
        <f t="array" ref="AU106">SUM(_xlfn._xlws.FILTER(_xlfn._xlws.FILTER(headcountData,(headcountDataDepts=$D106)*(headcountDataIDs=$E106)),(endDates=AU$96)))</f>
        <v>0</v>
      </c>
      <c r="AV106" s="676" cm="1">
        <f t="array" ref="AV106">SUM(_xlfn._xlws.FILTER(_xlfn._xlws.FILTER(headcountData,(headcountDataDepts=$D106)*(headcountDataIDs=$E106)),(endDates=AV$96)))</f>
        <v>0</v>
      </c>
      <c r="AW106" s="676" cm="1">
        <f t="array" ref="AW106">SUM(_xlfn._xlws.FILTER(_xlfn._xlws.FILTER(headcountData,(headcountDataDepts=$D106)*(headcountDataIDs=$E106)),(endDates=AW$96)))</f>
        <v>0</v>
      </c>
      <c r="AX106" s="676" cm="1">
        <f t="array" ref="AX106">SUM(_xlfn._xlws.FILTER(_xlfn._xlws.FILTER(headcountData,(headcountDataDepts=$D106)*(headcountDataIDs=$E106)),(endDates=AX$96)))</f>
        <v>0</v>
      </c>
      <c r="AY106" s="676" cm="1">
        <f t="array" ref="AY106">SUM(_xlfn._xlws.FILTER(_xlfn._xlws.FILTER(headcountData,(headcountDataDepts=$D106)*(headcountDataIDs=$E106)),(endDates=AY$96)))</f>
        <v>0</v>
      </c>
      <c r="AZ106" s="676" cm="1">
        <f t="array" ref="AZ106">SUM(_xlfn._xlws.FILTER(_xlfn._xlws.FILTER(headcountData,(headcountDataDepts=$D106)*(headcountDataIDs=$E106)),(endDates=AZ$96)))</f>
        <v>0</v>
      </c>
      <c r="BA106" s="676" cm="1">
        <f t="array" ref="BA106">SUM(_xlfn._xlws.FILTER(_xlfn._xlws.FILTER(headcountData,(headcountDataDepts=$D106)*(headcountDataIDs=$E106)),(endDates=BA$96)))</f>
        <v>0</v>
      </c>
      <c r="BB106" s="676" cm="1">
        <f t="array" ref="BB106">SUM(_xlfn._xlws.FILTER(_xlfn._xlws.FILTER(headcountData,(headcountDataDepts=$D106)*(headcountDataIDs=$E106)),(endDates=BB$96)))</f>
        <v>0</v>
      </c>
      <c r="BC106" s="676" cm="1">
        <f t="array" ref="BC106">SUM(_xlfn._xlws.FILTER(_xlfn._xlws.FILTER(headcountData,(headcountDataDepts=$D106)*(headcountDataIDs=$E106)),(endDates=BC$96)))</f>
        <v>0</v>
      </c>
      <c r="BD106" s="676" cm="1">
        <f t="array" ref="BD106">SUM(_xlfn._xlws.FILTER(_xlfn._xlws.FILTER(headcountData,(headcountDataDepts=$D106)*(headcountDataIDs=$E106)),(endDates=BD$96)))</f>
        <v>0</v>
      </c>
      <c r="BE106" s="676" cm="1">
        <f t="array" ref="BE106">SUM(_xlfn._xlws.FILTER(_xlfn._xlws.FILTER(headcountData,(headcountDataDepts=$D106)*(headcountDataIDs=$E106)),(endDates=BE$96)))</f>
        <v>0</v>
      </c>
      <c r="BF106" s="676" cm="1">
        <f t="array" ref="BF106">SUM(_xlfn._xlws.FILTER(_xlfn._xlws.FILTER(headcountData,(headcountDataDepts=$D106)*(headcountDataIDs=$E106)),(endDates=BF$96)))</f>
        <v>0</v>
      </c>
      <c r="BG106" s="676" cm="1">
        <f t="array" ref="BG106">SUM(_xlfn._xlws.FILTER(_xlfn._xlws.FILTER(headcountData,(headcountDataDepts=$D106)*(headcountDataIDs=$E106)),(endDates=BG$96)))</f>
        <v>0</v>
      </c>
      <c r="BH106" s="676" cm="1">
        <f t="array" ref="BH106">SUM(_xlfn._xlws.FILTER(_xlfn._xlws.FILTER(headcountData,(headcountDataDepts=$D106)*(headcountDataIDs=$E106)),(endDates=BH$96)))</f>
        <v>0</v>
      </c>
      <c r="BI106" s="676" cm="1">
        <f t="array" ref="BI106">SUM(_xlfn._xlws.FILTER(_xlfn._xlws.FILTER(headcountData,(headcountDataDepts=$D106)*(headcountDataIDs=$E106)),(endDates=BI$96)))</f>
        <v>0</v>
      </c>
      <c r="BJ106" s="676" cm="1">
        <f t="array" ref="BJ106">SUM(_xlfn._xlws.FILTER(_xlfn._xlws.FILTER(headcountData,(headcountDataDepts=$D106)*(headcountDataIDs=$E106)),(endDates=BJ$96)))</f>
        <v>0</v>
      </c>
      <c r="BK106" s="676" cm="1">
        <f t="array" ref="BK106">SUM(_xlfn._xlws.FILTER(_xlfn._xlws.FILTER(headcountData,(headcountDataDepts=$D106)*(headcountDataIDs=$E106)),(endDates=BK$96)))</f>
        <v>0</v>
      </c>
      <c r="BL106" s="676" cm="1">
        <f t="array" ref="BL106">SUM(_xlfn._xlws.FILTER(_xlfn._xlws.FILTER(headcountData,(headcountDataDepts=$D106)*(headcountDataIDs=$E106)),(endDates=BL$96)))</f>
        <v>0</v>
      </c>
      <c r="BM106" s="676" cm="1">
        <f t="array" ref="BM106">SUM(_xlfn._xlws.FILTER(_xlfn._xlws.FILTER(headcountData,(headcountDataDepts=$D106)*(headcountDataIDs=$E106)),(endDates=BM$96)))</f>
        <v>0</v>
      </c>
      <c r="BN106" s="676" cm="1">
        <f t="array" ref="BN106">SUM(_xlfn._xlws.FILTER(_xlfn._xlws.FILTER(headcountData,(headcountDataDepts=$D106)*(headcountDataIDs=$E106)),(endDates=BN$96)))</f>
        <v>0</v>
      </c>
      <c r="BO106" s="676" cm="1">
        <f t="array" ref="BO106">SUM(_xlfn._xlws.FILTER(_xlfn._xlws.FILTER(headcountData,(headcountDataDepts=$D106)*(headcountDataIDs=$E106)),(endDates=BO$96)))</f>
        <v>0</v>
      </c>
      <c r="BP106" s="676" cm="1">
        <f t="array" ref="BP106">SUM(_xlfn._xlws.FILTER(_xlfn._xlws.FILTER(headcountData,(headcountDataDepts=$D106)*(headcountDataIDs=$E106)),(endDates=BP$96)))</f>
        <v>0</v>
      </c>
      <c r="BQ106" s="676" cm="1">
        <f t="array" ref="BQ106">SUM(_xlfn._xlws.FILTER(_xlfn._xlws.FILTER(headcountData,(headcountDataDepts=$D106)*(headcountDataIDs=$E106)),(endDates=BQ$96)))</f>
        <v>0</v>
      </c>
      <c r="BR106" s="676" cm="1">
        <f t="array" ref="BR106">SUM(_xlfn._xlws.FILTER(_xlfn._xlws.FILTER(headcountData,(headcountDataDepts=$D106)*(headcountDataIDs=$E106)),(endDates=BR$96)))</f>
        <v>0</v>
      </c>
      <c r="BS106" s="676" cm="1">
        <f t="array" ref="BS106">SUM(_xlfn._xlws.FILTER(_xlfn._xlws.FILTER(headcountData,(headcountDataDepts=$D106)*(headcountDataIDs=$E106)),(endDates=BS$96)))</f>
        <v>0</v>
      </c>
      <c r="BT106" s="676" cm="1">
        <f t="array" ref="BT106">SUM(_xlfn._xlws.FILTER(_xlfn._xlws.FILTER(headcountData,(headcountDataDepts=$D106)*(headcountDataIDs=$E106)),(endDates=BT$96)))</f>
        <v>0</v>
      </c>
      <c r="BU106" s="676" cm="1">
        <f t="array" ref="BU106">SUM(_xlfn._xlws.FILTER(_xlfn._xlws.FILTER(headcountData,(headcountDataDepts=$D106)*(headcountDataIDs=$E106)),(endDates=BU$96)))</f>
        <v>0</v>
      </c>
      <c r="BV106" s="676" cm="1">
        <f t="array" ref="BV106">SUM(_xlfn._xlws.FILTER(_xlfn._xlws.FILTER(headcountData,(headcountDataDepts=$D106)*(headcountDataIDs=$E106)),(endDates=BV$96)))</f>
        <v>0</v>
      </c>
      <c r="BW106" s="676" cm="1">
        <f t="array" ref="BW106">SUM(_xlfn._xlws.FILTER(_xlfn._xlws.FILTER(headcountData,(headcountDataDepts=$D106)*(headcountDataIDs=$E106)),(endDates=BW$96)))</f>
        <v>0</v>
      </c>
      <c r="BX106" s="676" cm="1">
        <f t="array" ref="BX106">SUM(_xlfn._xlws.FILTER(_xlfn._xlws.FILTER(headcountData,(headcountDataDepts=$D106)*(headcountDataIDs=$E106)),(endDates=BX$96)))</f>
        <v>0</v>
      </c>
      <c r="BY106" s="676" cm="1">
        <f t="array" ref="BY106">SUM(_xlfn._xlws.FILTER(_xlfn._xlws.FILTER(headcountData,(headcountDataDepts=$D106)*(headcountDataIDs=$E106)),(endDates=BY$96)))</f>
        <v>0</v>
      </c>
      <c r="BZ106" s="676" cm="1">
        <f t="array" ref="BZ106">SUM(_xlfn._xlws.FILTER(_xlfn._xlws.FILTER(headcountData,(headcountDataDepts=$D106)*(headcountDataIDs=$E106)),(endDates=BZ$96)))</f>
        <v>0</v>
      </c>
      <c r="CA106" s="676" cm="1">
        <f t="array" ref="CA106">SUM(_xlfn._xlws.FILTER(_xlfn._xlws.FILTER(headcountData,(headcountDataDepts=$D106)*(headcountDataIDs=$E106)),(endDates=CA$96)))</f>
        <v>0</v>
      </c>
      <c r="CB106" s="676" cm="1">
        <f t="array" ref="CB106">SUM(_xlfn._xlws.FILTER(_xlfn._xlws.FILTER(headcountData,(headcountDataDepts=$D106)*(headcountDataIDs=$E106)),(endDates=CB$96)))</f>
        <v>0</v>
      </c>
      <c r="CC106" s="676" cm="1">
        <f t="array" ref="CC106">SUM(_xlfn._xlws.FILTER(_xlfn._xlws.FILTER(headcountData,(headcountDataDepts=$D106)*(headcountDataIDs=$E106)),(endDates=CC$96)))</f>
        <v>0</v>
      </c>
      <c r="CD106" s="676" cm="1">
        <f t="array" ref="CD106">SUM(_xlfn._xlws.FILTER(_xlfn._xlws.FILTER(headcountData,(headcountDataDepts=$D106)*(headcountDataIDs=$E106)),(endDates=CD$96)))</f>
        <v>0</v>
      </c>
      <c r="CE106" s="676" cm="1">
        <f t="array" ref="CE106">SUM(_xlfn._xlws.FILTER(_xlfn._xlws.FILTER(headcountData,(headcountDataDepts=$D106)*(headcountDataIDs=$E106)),(endDates=CE$96)))</f>
        <v>0</v>
      </c>
      <c r="CF106" s="676" cm="1">
        <f t="array" ref="CF106">SUM(_xlfn._xlws.FILTER(_xlfn._xlws.FILTER(headcountData,(headcountDataDepts=$D106)*(headcountDataIDs=$E106)),(endDates=CF$96)))</f>
        <v>0</v>
      </c>
      <c r="CG106" s="676" cm="1">
        <f t="array" ref="CG106">SUM(_xlfn._xlws.FILTER(_xlfn._xlws.FILTER(headcountData,(headcountDataDepts=$D106)*(headcountDataIDs=$E106)),(endDates=CG$96)))</f>
        <v>0</v>
      </c>
    </row>
    <row r="107" spans="1:85" ht="15.75" customHeight="1"/>
    <row r="108" spans="1:85" s="157" customFormat="1" ht="15.75">
      <c r="A108" s="148"/>
      <c r="B108" s="148"/>
      <c r="C108" s="160" t="s">
        <v>188</v>
      </c>
      <c r="D108" s="160"/>
      <c r="E108" s="161"/>
      <c r="F108" s="160"/>
      <c r="G108" s="160"/>
      <c r="J108" s="158">
        <f>_xlfn.AGGREGATE(9,0,J109:J144)</f>
        <v>68437.5</v>
      </c>
      <c r="K108" s="158">
        <f t="shared" ref="K108" si="150">_xlfn.AGGREGATE(9,0,K109:K144)</f>
        <v>68437.5</v>
      </c>
      <c r="N108" s="158">
        <f t="shared" ref="N108:Q108" si="151">_xlfn.AGGREGATE(9,0,N109:N144)</f>
        <v>36825</v>
      </c>
      <c r="O108" s="158">
        <f t="shared" si="151"/>
        <v>72597.916666666657</v>
      </c>
      <c r="P108" s="158">
        <f t="shared" si="151"/>
        <v>93437.5</v>
      </c>
      <c r="Q108" s="158">
        <f t="shared" si="151"/>
        <v>135956.24999999997</v>
      </c>
      <c r="R108" s="159"/>
      <c r="S108" s="159"/>
      <c r="T108" s="158">
        <f t="shared" ref="T108:AI108" si="152">_xlfn.AGGREGATE(9,0,T109:T144)</f>
        <v>28491.666666666668</v>
      </c>
      <c r="U108" s="158">
        <f t="shared" si="152"/>
        <v>11825</v>
      </c>
      <c r="V108" s="158">
        <f t="shared" si="152"/>
        <v>11825</v>
      </c>
      <c r="W108" s="158">
        <f t="shared" si="152"/>
        <v>36825</v>
      </c>
      <c r="X108" s="158">
        <f t="shared" si="152"/>
        <v>45486.309523809519</v>
      </c>
      <c r="Y108" s="158">
        <f t="shared" si="152"/>
        <v>47597.916666666664</v>
      </c>
      <c r="Z108" s="158">
        <f t="shared" si="152"/>
        <v>47597.916666666664</v>
      </c>
      <c r="AA108" s="158">
        <f t="shared" si="152"/>
        <v>72597.916666666657</v>
      </c>
      <c r="AB108" s="158">
        <f t="shared" si="152"/>
        <v>47597.916666666664</v>
      </c>
      <c r="AC108" s="158">
        <f t="shared" si="152"/>
        <v>63675.595238095237</v>
      </c>
      <c r="AD108" s="158">
        <f t="shared" si="152"/>
        <v>68437.5</v>
      </c>
      <c r="AE108" s="158">
        <f t="shared" si="152"/>
        <v>93437.5</v>
      </c>
      <c r="AF108" s="158">
        <f t="shared" si="152"/>
        <v>68437.5</v>
      </c>
      <c r="AG108" s="158">
        <f t="shared" si="152"/>
        <v>97372.916666666657</v>
      </c>
      <c r="AH108" s="158">
        <f t="shared" si="152"/>
        <v>110956.24999999999</v>
      </c>
      <c r="AI108" s="158">
        <f t="shared" si="152"/>
        <v>135956.24999999997</v>
      </c>
      <c r="AJ108" s="159"/>
      <c r="AK108" s="159"/>
      <c r="AL108" s="158">
        <f t="shared" ref="AL108:CG108" si="153">_xlfn.AGGREGATE(9,0,AL109:AL144)</f>
        <v>28491.666666666668</v>
      </c>
      <c r="AM108" s="158">
        <f t="shared" si="153"/>
        <v>28491.666666666668</v>
      </c>
      <c r="AN108" s="158">
        <f t="shared" si="153"/>
        <v>28491.666666666668</v>
      </c>
      <c r="AO108" s="158">
        <f t="shared" si="153"/>
        <v>13491.666666666666</v>
      </c>
      <c r="AP108" s="158">
        <f t="shared" si="153"/>
        <v>11825</v>
      </c>
      <c r="AQ108" s="158">
        <f t="shared" si="153"/>
        <v>11825</v>
      </c>
      <c r="AR108" s="158">
        <f t="shared" si="153"/>
        <v>11825</v>
      </c>
      <c r="AS108" s="158">
        <f t="shared" si="153"/>
        <v>11825</v>
      </c>
      <c r="AT108" s="158">
        <f t="shared" si="153"/>
        <v>11825</v>
      </c>
      <c r="AU108" s="158">
        <f t="shared" si="153"/>
        <v>11825</v>
      </c>
      <c r="AV108" s="158">
        <f t="shared" si="153"/>
        <v>11825</v>
      </c>
      <c r="AW108" s="158">
        <f t="shared" si="153"/>
        <v>36825</v>
      </c>
      <c r="AX108" s="158">
        <f t="shared" si="153"/>
        <v>23650</v>
      </c>
      <c r="AY108" s="158">
        <f t="shared" si="153"/>
        <v>30634.126984126982</v>
      </c>
      <c r="AZ108" s="158">
        <f t="shared" si="153"/>
        <v>45486.309523809519</v>
      </c>
      <c r="BA108" s="158">
        <f t="shared" si="153"/>
        <v>47597.916666666664</v>
      </c>
      <c r="BB108" s="158">
        <f t="shared" si="153"/>
        <v>47597.916666666664</v>
      </c>
      <c r="BC108" s="158">
        <f t="shared" si="153"/>
        <v>47597.916666666664</v>
      </c>
      <c r="BD108" s="158">
        <f t="shared" si="153"/>
        <v>47597.916666666664</v>
      </c>
      <c r="BE108" s="158">
        <f t="shared" si="153"/>
        <v>47597.916666666664</v>
      </c>
      <c r="BF108" s="158">
        <f t="shared" si="153"/>
        <v>47597.916666666664</v>
      </c>
      <c r="BG108" s="158">
        <f t="shared" si="153"/>
        <v>47597.916666666664</v>
      </c>
      <c r="BH108" s="158">
        <f t="shared" si="153"/>
        <v>47597.916666666664</v>
      </c>
      <c r="BI108" s="158">
        <f t="shared" si="153"/>
        <v>72597.916666666657</v>
      </c>
      <c r="BJ108" s="158">
        <f t="shared" si="153"/>
        <v>47597.916666666664</v>
      </c>
      <c r="BK108" s="158">
        <f t="shared" si="153"/>
        <v>47597.916666666664</v>
      </c>
      <c r="BL108" s="158">
        <f t="shared" si="153"/>
        <v>47597.916666666664</v>
      </c>
      <c r="BM108" s="158">
        <f t="shared" si="153"/>
        <v>47597.916666666664</v>
      </c>
      <c r="BN108" s="158">
        <f t="shared" si="153"/>
        <v>50061.458333333336</v>
      </c>
      <c r="BO108" s="158">
        <f t="shared" si="153"/>
        <v>63675.595238095237</v>
      </c>
      <c r="BP108" s="158">
        <f t="shared" si="153"/>
        <v>68437.5</v>
      </c>
      <c r="BQ108" s="158">
        <f t="shared" si="153"/>
        <v>68437.5</v>
      </c>
      <c r="BR108" s="158">
        <f t="shared" si="153"/>
        <v>68437.5</v>
      </c>
      <c r="BS108" s="158">
        <f t="shared" si="153"/>
        <v>68437.5</v>
      </c>
      <c r="BT108" s="158">
        <f t="shared" si="153"/>
        <v>68437.5</v>
      </c>
      <c r="BU108" s="158">
        <f t="shared" si="153"/>
        <v>93437.5</v>
      </c>
      <c r="BV108" s="158">
        <f t="shared" si="153"/>
        <v>68437.5</v>
      </c>
      <c r="BW108" s="158">
        <f t="shared" si="153"/>
        <v>68437.5</v>
      </c>
      <c r="BX108" s="158">
        <f t="shared" si="153"/>
        <v>68437.5</v>
      </c>
      <c r="BY108" s="158">
        <f t="shared" si="153"/>
        <v>93072.916666666672</v>
      </c>
      <c r="BZ108" s="158">
        <f t="shared" si="153"/>
        <v>93072.916666666672</v>
      </c>
      <c r="CA108" s="158">
        <f t="shared" si="153"/>
        <v>97372.916666666657</v>
      </c>
      <c r="CB108" s="158">
        <f t="shared" si="153"/>
        <v>100956.24999999999</v>
      </c>
      <c r="CC108" s="158">
        <f t="shared" si="153"/>
        <v>110956.24999999999</v>
      </c>
      <c r="CD108" s="158">
        <f t="shared" si="153"/>
        <v>110956.24999999999</v>
      </c>
      <c r="CE108" s="158">
        <f t="shared" si="153"/>
        <v>110956.24999999999</v>
      </c>
      <c r="CF108" s="158">
        <f t="shared" si="153"/>
        <v>110956.24999999999</v>
      </c>
      <c r="CG108" s="158">
        <f t="shared" si="153"/>
        <v>135956.24999999997</v>
      </c>
    </row>
    <row r="109" spans="1:85" s="157" customFormat="1" ht="15.75" customHeight="1">
      <c r="C109" s="383" t="s">
        <v>178</v>
      </c>
      <c r="D109" s="160" t="s">
        <v>179</v>
      </c>
      <c r="E109" s="161"/>
      <c r="F109" s="160"/>
      <c r="G109" s="160"/>
      <c r="J109" s="676">
        <f>_xlfn.AGGREGATE(9,0,J110:J115)</f>
        <v>23650</v>
      </c>
      <c r="K109" s="676">
        <f t="shared" ref="K109" si="154">_xlfn.AGGREGATE(9,0,K110:K115)</f>
        <v>23650</v>
      </c>
      <c r="L109" s="148"/>
      <c r="M109" s="148"/>
      <c r="N109" s="676">
        <f t="shared" ref="N109:Q109" si="155">_xlfn.AGGREGATE(9,0,N110:N115)</f>
        <v>16825</v>
      </c>
      <c r="O109" s="676">
        <f t="shared" si="155"/>
        <v>28650</v>
      </c>
      <c r="P109" s="676">
        <f t="shared" si="155"/>
        <v>28650</v>
      </c>
      <c r="Q109" s="676">
        <f t="shared" si="155"/>
        <v>53285.416666666664</v>
      </c>
      <c r="R109" s="148"/>
      <c r="S109" s="148"/>
      <c r="T109" s="676">
        <f t="shared" ref="T109:AI109" si="156">_xlfn.AGGREGATE(9,0,T110:T115)</f>
        <v>11825</v>
      </c>
      <c r="U109" s="676">
        <f t="shared" si="156"/>
        <v>11825</v>
      </c>
      <c r="V109" s="676">
        <f t="shared" si="156"/>
        <v>11825</v>
      </c>
      <c r="W109" s="676">
        <f t="shared" si="156"/>
        <v>16825</v>
      </c>
      <c r="X109" s="676">
        <f t="shared" si="156"/>
        <v>23650</v>
      </c>
      <c r="Y109" s="676">
        <f t="shared" si="156"/>
        <v>23650</v>
      </c>
      <c r="Z109" s="676">
        <f t="shared" si="156"/>
        <v>23650</v>
      </c>
      <c r="AA109" s="676">
        <f t="shared" si="156"/>
        <v>28650</v>
      </c>
      <c r="AB109" s="676">
        <f t="shared" si="156"/>
        <v>23650</v>
      </c>
      <c r="AC109" s="676">
        <f t="shared" si="156"/>
        <v>23650</v>
      </c>
      <c r="AD109" s="676">
        <f t="shared" si="156"/>
        <v>23650</v>
      </c>
      <c r="AE109" s="676">
        <f t="shared" si="156"/>
        <v>28650</v>
      </c>
      <c r="AF109" s="676">
        <f t="shared" si="156"/>
        <v>23650</v>
      </c>
      <c r="AG109" s="676">
        <f t="shared" si="156"/>
        <v>48285.416666666664</v>
      </c>
      <c r="AH109" s="676">
        <f t="shared" si="156"/>
        <v>48285.416666666664</v>
      </c>
      <c r="AI109" s="676">
        <f t="shared" si="156"/>
        <v>53285.416666666664</v>
      </c>
      <c r="AJ109" s="148"/>
      <c r="AK109" s="148"/>
      <c r="AL109" s="676">
        <f t="shared" ref="AL109:CG109" si="157">_xlfn.AGGREGATE(9,0,AL110:AL115)</f>
        <v>11825</v>
      </c>
      <c r="AM109" s="676">
        <f t="shared" si="157"/>
        <v>11825</v>
      </c>
      <c r="AN109" s="676">
        <f t="shared" si="157"/>
        <v>11825</v>
      </c>
      <c r="AO109" s="676">
        <f t="shared" si="157"/>
        <v>11825</v>
      </c>
      <c r="AP109" s="676">
        <f t="shared" si="157"/>
        <v>11825</v>
      </c>
      <c r="AQ109" s="676">
        <f t="shared" si="157"/>
        <v>11825</v>
      </c>
      <c r="AR109" s="676">
        <f t="shared" si="157"/>
        <v>11825</v>
      </c>
      <c r="AS109" s="676">
        <f t="shared" si="157"/>
        <v>11825</v>
      </c>
      <c r="AT109" s="676">
        <f t="shared" si="157"/>
        <v>11825</v>
      </c>
      <c r="AU109" s="676">
        <f t="shared" si="157"/>
        <v>11825</v>
      </c>
      <c r="AV109" s="676">
        <f t="shared" si="157"/>
        <v>11825</v>
      </c>
      <c r="AW109" s="676">
        <f t="shared" si="157"/>
        <v>16825</v>
      </c>
      <c r="AX109" s="676">
        <f t="shared" si="157"/>
        <v>23650</v>
      </c>
      <c r="AY109" s="676">
        <f t="shared" si="157"/>
        <v>23650</v>
      </c>
      <c r="AZ109" s="676">
        <f t="shared" si="157"/>
        <v>23650</v>
      </c>
      <c r="BA109" s="676">
        <f t="shared" si="157"/>
        <v>23650</v>
      </c>
      <c r="BB109" s="676">
        <f t="shared" si="157"/>
        <v>23650</v>
      </c>
      <c r="BC109" s="676">
        <f t="shared" si="157"/>
        <v>23650</v>
      </c>
      <c r="BD109" s="676">
        <f t="shared" si="157"/>
        <v>23650</v>
      </c>
      <c r="BE109" s="676">
        <f t="shared" si="157"/>
        <v>23650</v>
      </c>
      <c r="BF109" s="676">
        <f t="shared" si="157"/>
        <v>23650</v>
      </c>
      <c r="BG109" s="676">
        <f t="shared" si="157"/>
        <v>23650</v>
      </c>
      <c r="BH109" s="676">
        <f t="shared" si="157"/>
        <v>23650</v>
      </c>
      <c r="BI109" s="676">
        <f t="shared" si="157"/>
        <v>28650</v>
      </c>
      <c r="BJ109" s="676">
        <f t="shared" si="157"/>
        <v>23650</v>
      </c>
      <c r="BK109" s="676">
        <f t="shared" si="157"/>
        <v>23650</v>
      </c>
      <c r="BL109" s="676">
        <f t="shared" si="157"/>
        <v>23650</v>
      </c>
      <c r="BM109" s="676">
        <f t="shared" si="157"/>
        <v>23650</v>
      </c>
      <c r="BN109" s="676">
        <f t="shared" si="157"/>
        <v>23650</v>
      </c>
      <c r="BO109" s="676">
        <f t="shared" si="157"/>
        <v>23650</v>
      </c>
      <c r="BP109" s="676">
        <f t="shared" si="157"/>
        <v>23650</v>
      </c>
      <c r="BQ109" s="676">
        <f t="shared" si="157"/>
        <v>23650</v>
      </c>
      <c r="BR109" s="676">
        <f t="shared" si="157"/>
        <v>23650</v>
      </c>
      <c r="BS109" s="676">
        <f t="shared" si="157"/>
        <v>23650</v>
      </c>
      <c r="BT109" s="676">
        <f t="shared" si="157"/>
        <v>23650</v>
      </c>
      <c r="BU109" s="676">
        <f t="shared" si="157"/>
        <v>28650</v>
      </c>
      <c r="BV109" s="676">
        <f t="shared" si="157"/>
        <v>23650</v>
      </c>
      <c r="BW109" s="676">
        <f t="shared" si="157"/>
        <v>23650</v>
      </c>
      <c r="BX109" s="676">
        <f t="shared" si="157"/>
        <v>23650</v>
      </c>
      <c r="BY109" s="676">
        <f t="shared" si="157"/>
        <v>48285.416666666664</v>
      </c>
      <c r="BZ109" s="676">
        <f t="shared" si="157"/>
        <v>48285.416666666664</v>
      </c>
      <c r="CA109" s="676">
        <f t="shared" si="157"/>
        <v>48285.416666666664</v>
      </c>
      <c r="CB109" s="676">
        <f t="shared" si="157"/>
        <v>48285.416666666664</v>
      </c>
      <c r="CC109" s="676">
        <f t="shared" si="157"/>
        <v>48285.416666666664</v>
      </c>
      <c r="CD109" s="676">
        <f t="shared" si="157"/>
        <v>48285.416666666664</v>
      </c>
      <c r="CE109" s="676">
        <f t="shared" si="157"/>
        <v>48285.416666666664</v>
      </c>
      <c r="CF109" s="676">
        <f t="shared" si="157"/>
        <v>48285.416666666664</v>
      </c>
      <c r="CG109" s="676">
        <f t="shared" si="157"/>
        <v>53285.416666666664</v>
      </c>
    </row>
    <row r="110" spans="1:85" ht="15.75" customHeight="1" outlineLevel="1">
      <c r="C110" s="677" t="s">
        <v>189</v>
      </c>
      <c r="D110" s="149" t="s">
        <v>179</v>
      </c>
      <c r="E110" s="150" t="s">
        <v>190</v>
      </c>
      <c r="J110" s="676" cm="1">
        <f t="array" ref="J110">SUM(_xlfn._xlws.FILTER(_xlfn._xlws.FILTER(headcountData,(headcountDataDepts=$D110)*(headcountDataIDs=$E110)),(startDates&gt;=J$95)*(endDates=J$96)))</f>
        <v>20000</v>
      </c>
      <c r="K110" s="676" cm="1">
        <f t="array" ref="K110">SUM(_xlfn._xlws.FILTER(_xlfn._xlws.FILTER(headcountData,(headcountDataDepts=$D110)*(headcountDataIDs=$E110)),(startDates&gt;=K$95)*(endDates=K$96)))</f>
        <v>20000</v>
      </c>
      <c r="N110" s="676" cm="1">
        <f t="array" ref="N110">SUM(_xlfn._xlws.FILTER(_xlfn._xlws.FILTER(headcountData,(headcountDataDepts=$D110)*(headcountDataIDs=$E110)),(startDates&gt;=N$95)*(endDates=N$96)))</f>
        <v>10000</v>
      </c>
      <c r="O110" s="676" cm="1">
        <f t="array" ref="O110">SUM(_xlfn._xlws.FILTER(_xlfn._xlws.FILTER(headcountData,(headcountDataDepts=$D110)*(headcountDataIDs=$E110)),(startDates&gt;=O$95)*(endDates=O$96)))</f>
        <v>20000</v>
      </c>
      <c r="P110" s="676" cm="1">
        <f t="array" ref="P110">SUM(_xlfn._xlws.FILTER(_xlfn._xlws.FILTER(headcountData,(headcountDataDepts=$D110)*(headcountDataIDs=$E110)),(startDates&gt;=P$95)*(endDates=P$96)))</f>
        <v>20000</v>
      </c>
      <c r="Q110" s="676" cm="1">
        <f t="array" ref="Q110">SUM(_xlfn._xlws.FILTER(_xlfn._xlws.FILTER(headcountData,(headcountDataDepts=$D110)*(headcountDataIDs=$E110)),(startDates&gt;=Q$95)*(endDates=Q$96)))</f>
        <v>40833.333333333328</v>
      </c>
      <c r="T110" s="676" cm="1">
        <f t="array" ref="T110">SUM(_xlfn._xlws.FILTER(_xlfn._xlws.FILTER(headcountData,(headcountDataDepts=$D110)*(headcountDataIDs=$E110)),(startDates&gt;=T$95)*(endDates=T$96)))</f>
        <v>10000</v>
      </c>
      <c r="U110" s="676" cm="1">
        <f t="array" ref="U110">SUM(_xlfn._xlws.FILTER(_xlfn._xlws.FILTER(headcountData,(headcountDataDepts=$D110)*(headcountDataIDs=$E110)),(startDates&gt;=U$95)*(endDates=U$96)))</f>
        <v>10000</v>
      </c>
      <c r="V110" s="676" cm="1">
        <f t="array" ref="V110">SUM(_xlfn._xlws.FILTER(_xlfn._xlws.FILTER(headcountData,(headcountDataDepts=$D110)*(headcountDataIDs=$E110)),(startDates&gt;=V$95)*(endDates=V$96)))</f>
        <v>10000</v>
      </c>
      <c r="W110" s="676" cm="1">
        <f t="array" ref="W110">SUM(_xlfn._xlws.FILTER(_xlfn._xlws.FILTER(headcountData,(headcountDataDepts=$D110)*(headcountDataIDs=$E110)),(startDates&gt;=W$95)*(endDates=W$96)))</f>
        <v>10000</v>
      </c>
      <c r="X110" s="676" cm="1">
        <f t="array" ref="X110">SUM(_xlfn._xlws.FILTER(_xlfn._xlws.FILTER(headcountData,(headcountDataDepts=$D110)*(headcountDataIDs=$E110)),(startDates&gt;=X$95)*(endDates=X$96)))</f>
        <v>20000</v>
      </c>
      <c r="Y110" s="676" cm="1">
        <f t="array" ref="Y110">SUM(_xlfn._xlws.FILTER(_xlfn._xlws.FILTER(headcountData,(headcountDataDepts=$D110)*(headcountDataIDs=$E110)),(startDates&gt;=Y$95)*(endDates=Y$96)))</f>
        <v>20000</v>
      </c>
      <c r="Z110" s="676" cm="1">
        <f t="array" ref="Z110">SUM(_xlfn._xlws.FILTER(_xlfn._xlws.FILTER(headcountData,(headcountDataDepts=$D110)*(headcountDataIDs=$E110)),(startDates&gt;=Z$95)*(endDates=Z$96)))</f>
        <v>20000</v>
      </c>
      <c r="AA110" s="676" cm="1">
        <f t="array" ref="AA110">SUM(_xlfn._xlws.FILTER(_xlfn._xlws.FILTER(headcountData,(headcountDataDepts=$D110)*(headcountDataIDs=$E110)),(startDates&gt;=AA$95)*(endDates=AA$96)))</f>
        <v>20000</v>
      </c>
      <c r="AB110" s="676" cm="1">
        <f t="array" ref="AB110">SUM(_xlfn._xlws.FILTER(_xlfn._xlws.FILTER(headcountData,(headcountDataDepts=$D110)*(headcountDataIDs=$E110)),(startDates&gt;=AB$95)*(endDates=AB$96)))</f>
        <v>20000</v>
      </c>
      <c r="AC110" s="676" cm="1">
        <f t="array" ref="AC110">SUM(_xlfn._xlws.FILTER(_xlfn._xlws.FILTER(headcountData,(headcountDataDepts=$D110)*(headcountDataIDs=$E110)),(startDates&gt;=AC$95)*(endDates=AC$96)))</f>
        <v>20000</v>
      </c>
      <c r="AD110" s="676" cm="1">
        <f t="array" ref="AD110">SUM(_xlfn._xlws.FILTER(_xlfn._xlws.FILTER(headcountData,(headcountDataDepts=$D110)*(headcountDataIDs=$E110)),(startDates&gt;=AD$95)*(endDates=AD$96)))</f>
        <v>20000</v>
      </c>
      <c r="AE110" s="676" cm="1">
        <f t="array" ref="AE110">SUM(_xlfn._xlws.FILTER(_xlfn._xlws.FILTER(headcountData,(headcountDataDepts=$D110)*(headcountDataIDs=$E110)),(startDates&gt;=AE$95)*(endDates=AE$96)))</f>
        <v>20000</v>
      </c>
      <c r="AF110" s="676" cm="1">
        <f t="array" ref="AF110">SUM(_xlfn._xlws.FILTER(_xlfn._xlws.FILTER(headcountData,(headcountDataDepts=$D110)*(headcountDataIDs=$E110)),(startDates&gt;=AF$95)*(endDates=AF$96)))</f>
        <v>20000</v>
      </c>
      <c r="AG110" s="676" cm="1">
        <f t="array" ref="AG110">SUM(_xlfn._xlws.FILTER(_xlfn._xlws.FILTER(headcountData,(headcountDataDepts=$D110)*(headcountDataIDs=$E110)),(startDates&gt;=AG$95)*(endDates=AG$96)))</f>
        <v>40833.333333333328</v>
      </c>
      <c r="AH110" s="676" cm="1">
        <f t="array" ref="AH110">SUM(_xlfn._xlws.FILTER(_xlfn._xlws.FILTER(headcountData,(headcountDataDepts=$D110)*(headcountDataIDs=$E110)),(startDates&gt;=AH$95)*(endDates=AH$96)))</f>
        <v>40833.333333333328</v>
      </c>
      <c r="AI110" s="676" cm="1">
        <f t="array" ref="AI110">SUM(_xlfn._xlws.FILTER(_xlfn._xlws.FILTER(headcountData,(headcountDataDepts=$D110)*(headcountDataIDs=$E110)),(startDates&gt;=AI$95)*(endDates=AI$96)))</f>
        <v>40833.333333333328</v>
      </c>
      <c r="AL110" s="676" cm="1">
        <f t="array" ref="AL110">SUM(_xlfn._xlws.FILTER(_xlfn._xlws.FILTER(headcountData,(headcountDataDepts=$D110)*(headcountDataIDs=$E110)),(startDates&gt;=AL$95)*(endDates=AL$96)))</f>
        <v>10000</v>
      </c>
      <c r="AM110" s="676" cm="1">
        <f t="array" ref="AM110">SUM(_xlfn._xlws.FILTER(_xlfn._xlws.FILTER(headcountData,(headcountDataDepts=$D110)*(headcountDataIDs=$E110)),(startDates&gt;=AM$95)*(endDates=AM$96)))</f>
        <v>10000</v>
      </c>
      <c r="AN110" s="676" cm="1">
        <f t="array" ref="AN110">SUM(_xlfn._xlws.FILTER(_xlfn._xlws.FILTER(headcountData,(headcountDataDepts=$D110)*(headcountDataIDs=$E110)),(startDates&gt;=AN$95)*(endDates=AN$96)))</f>
        <v>10000</v>
      </c>
      <c r="AO110" s="676" cm="1">
        <f t="array" ref="AO110">SUM(_xlfn._xlws.FILTER(_xlfn._xlws.FILTER(headcountData,(headcountDataDepts=$D110)*(headcountDataIDs=$E110)),(startDates&gt;=AO$95)*(endDates=AO$96)))</f>
        <v>10000</v>
      </c>
      <c r="AP110" s="676" cm="1">
        <f t="array" ref="AP110">SUM(_xlfn._xlws.FILTER(_xlfn._xlws.FILTER(headcountData,(headcountDataDepts=$D110)*(headcountDataIDs=$E110)),(startDates&gt;=AP$95)*(endDates=AP$96)))</f>
        <v>10000</v>
      </c>
      <c r="AQ110" s="676" cm="1">
        <f t="array" ref="AQ110">SUM(_xlfn._xlws.FILTER(_xlfn._xlws.FILTER(headcountData,(headcountDataDepts=$D110)*(headcountDataIDs=$E110)),(startDates&gt;=AQ$95)*(endDates=AQ$96)))</f>
        <v>10000</v>
      </c>
      <c r="AR110" s="676" cm="1">
        <f t="array" ref="AR110">SUM(_xlfn._xlws.FILTER(_xlfn._xlws.FILTER(headcountData,(headcountDataDepts=$D110)*(headcountDataIDs=$E110)),(startDates&gt;=AR$95)*(endDates=AR$96)))</f>
        <v>10000</v>
      </c>
      <c r="AS110" s="676" cm="1">
        <f t="array" ref="AS110">SUM(_xlfn._xlws.FILTER(_xlfn._xlws.FILTER(headcountData,(headcountDataDepts=$D110)*(headcountDataIDs=$E110)),(startDates&gt;=AS$95)*(endDates=AS$96)))</f>
        <v>10000</v>
      </c>
      <c r="AT110" s="676" cm="1">
        <f t="array" ref="AT110">SUM(_xlfn._xlws.FILTER(_xlfn._xlws.FILTER(headcountData,(headcountDataDepts=$D110)*(headcountDataIDs=$E110)),(startDates&gt;=AT$95)*(endDates=AT$96)))</f>
        <v>10000</v>
      </c>
      <c r="AU110" s="676" cm="1">
        <f t="array" ref="AU110">SUM(_xlfn._xlws.FILTER(_xlfn._xlws.FILTER(headcountData,(headcountDataDepts=$D110)*(headcountDataIDs=$E110)),(startDates&gt;=AU$95)*(endDates=AU$96)))</f>
        <v>10000</v>
      </c>
      <c r="AV110" s="676" cm="1">
        <f t="array" ref="AV110">SUM(_xlfn._xlws.FILTER(_xlfn._xlws.FILTER(headcountData,(headcountDataDepts=$D110)*(headcountDataIDs=$E110)),(startDates&gt;=AV$95)*(endDates=AV$96)))</f>
        <v>10000</v>
      </c>
      <c r="AW110" s="676" cm="1">
        <f t="array" ref="AW110">SUM(_xlfn._xlws.FILTER(_xlfn._xlws.FILTER(headcountData,(headcountDataDepts=$D110)*(headcountDataIDs=$E110)),(startDates&gt;=AW$95)*(endDates=AW$96)))</f>
        <v>10000</v>
      </c>
      <c r="AX110" s="676" cm="1">
        <f t="array" ref="AX110">SUM(_xlfn._xlws.FILTER(_xlfn._xlws.FILTER(headcountData,(headcountDataDepts=$D110)*(headcountDataIDs=$E110)),(startDates&gt;=AX$95)*(endDates=AX$96)))</f>
        <v>20000</v>
      </c>
      <c r="AY110" s="676" cm="1">
        <f t="array" ref="AY110">SUM(_xlfn._xlws.FILTER(_xlfn._xlws.FILTER(headcountData,(headcountDataDepts=$D110)*(headcountDataIDs=$E110)),(startDates&gt;=AY$95)*(endDates=AY$96)))</f>
        <v>20000</v>
      </c>
      <c r="AZ110" s="676" cm="1">
        <f t="array" ref="AZ110">SUM(_xlfn._xlws.FILTER(_xlfn._xlws.FILTER(headcountData,(headcountDataDepts=$D110)*(headcountDataIDs=$E110)),(startDates&gt;=AZ$95)*(endDates=AZ$96)))</f>
        <v>20000</v>
      </c>
      <c r="BA110" s="676" cm="1">
        <f t="array" ref="BA110">SUM(_xlfn._xlws.FILTER(_xlfn._xlws.FILTER(headcountData,(headcountDataDepts=$D110)*(headcountDataIDs=$E110)),(startDates&gt;=BA$95)*(endDates=BA$96)))</f>
        <v>20000</v>
      </c>
      <c r="BB110" s="676" cm="1">
        <f t="array" ref="BB110">SUM(_xlfn._xlws.FILTER(_xlfn._xlws.FILTER(headcountData,(headcountDataDepts=$D110)*(headcountDataIDs=$E110)),(startDates&gt;=BB$95)*(endDates=BB$96)))</f>
        <v>20000</v>
      </c>
      <c r="BC110" s="676" cm="1">
        <f t="array" ref="BC110">SUM(_xlfn._xlws.FILTER(_xlfn._xlws.FILTER(headcountData,(headcountDataDepts=$D110)*(headcountDataIDs=$E110)),(startDates&gt;=BC$95)*(endDates=BC$96)))</f>
        <v>20000</v>
      </c>
      <c r="BD110" s="676" cm="1">
        <f t="array" ref="BD110">SUM(_xlfn._xlws.FILTER(_xlfn._xlws.FILTER(headcountData,(headcountDataDepts=$D110)*(headcountDataIDs=$E110)),(startDates&gt;=BD$95)*(endDates=BD$96)))</f>
        <v>20000</v>
      </c>
      <c r="BE110" s="676" cm="1">
        <f t="array" ref="BE110">SUM(_xlfn._xlws.FILTER(_xlfn._xlws.FILTER(headcountData,(headcountDataDepts=$D110)*(headcountDataIDs=$E110)),(startDates&gt;=BE$95)*(endDates=BE$96)))</f>
        <v>20000</v>
      </c>
      <c r="BF110" s="676" cm="1">
        <f t="array" ref="BF110">SUM(_xlfn._xlws.FILTER(_xlfn._xlws.FILTER(headcountData,(headcountDataDepts=$D110)*(headcountDataIDs=$E110)),(startDates&gt;=BF$95)*(endDates=BF$96)))</f>
        <v>20000</v>
      </c>
      <c r="BG110" s="676" cm="1">
        <f t="array" ref="BG110">SUM(_xlfn._xlws.FILTER(_xlfn._xlws.FILTER(headcountData,(headcountDataDepts=$D110)*(headcountDataIDs=$E110)),(startDates&gt;=BG$95)*(endDates=BG$96)))</f>
        <v>20000</v>
      </c>
      <c r="BH110" s="676" cm="1">
        <f t="array" ref="BH110">SUM(_xlfn._xlws.FILTER(_xlfn._xlws.FILTER(headcountData,(headcountDataDepts=$D110)*(headcountDataIDs=$E110)),(startDates&gt;=BH$95)*(endDates=BH$96)))</f>
        <v>20000</v>
      </c>
      <c r="BI110" s="676" cm="1">
        <f t="array" ref="BI110">SUM(_xlfn._xlws.FILTER(_xlfn._xlws.FILTER(headcountData,(headcountDataDepts=$D110)*(headcountDataIDs=$E110)),(startDates&gt;=BI$95)*(endDates=BI$96)))</f>
        <v>20000</v>
      </c>
      <c r="BJ110" s="676" cm="1">
        <f t="array" ref="BJ110">SUM(_xlfn._xlws.FILTER(_xlfn._xlws.FILTER(headcountData,(headcountDataDepts=$D110)*(headcountDataIDs=$E110)),(startDates&gt;=BJ$95)*(endDates=BJ$96)))</f>
        <v>20000</v>
      </c>
      <c r="BK110" s="676" cm="1">
        <f t="array" ref="BK110">SUM(_xlfn._xlws.FILTER(_xlfn._xlws.FILTER(headcountData,(headcountDataDepts=$D110)*(headcountDataIDs=$E110)),(startDates&gt;=BK$95)*(endDates=BK$96)))</f>
        <v>20000</v>
      </c>
      <c r="BL110" s="676" cm="1">
        <f t="array" ref="BL110">SUM(_xlfn._xlws.FILTER(_xlfn._xlws.FILTER(headcountData,(headcountDataDepts=$D110)*(headcountDataIDs=$E110)),(startDates&gt;=BL$95)*(endDates=BL$96)))</f>
        <v>20000</v>
      </c>
      <c r="BM110" s="676" cm="1">
        <f t="array" ref="BM110">SUM(_xlfn._xlws.FILTER(_xlfn._xlws.FILTER(headcountData,(headcountDataDepts=$D110)*(headcountDataIDs=$E110)),(startDates&gt;=BM$95)*(endDates=BM$96)))</f>
        <v>20000</v>
      </c>
      <c r="BN110" s="676" cm="1">
        <f t="array" ref="BN110">SUM(_xlfn._xlws.FILTER(_xlfn._xlws.FILTER(headcountData,(headcountDataDepts=$D110)*(headcountDataIDs=$E110)),(startDates&gt;=BN$95)*(endDates=BN$96)))</f>
        <v>20000</v>
      </c>
      <c r="BO110" s="676" cm="1">
        <f t="array" ref="BO110">SUM(_xlfn._xlws.FILTER(_xlfn._xlws.FILTER(headcountData,(headcountDataDepts=$D110)*(headcountDataIDs=$E110)),(startDates&gt;=BO$95)*(endDates=BO$96)))</f>
        <v>20000</v>
      </c>
      <c r="BP110" s="676" cm="1">
        <f t="array" ref="BP110">SUM(_xlfn._xlws.FILTER(_xlfn._xlws.FILTER(headcountData,(headcountDataDepts=$D110)*(headcountDataIDs=$E110)),(startDates&gt;=BP$95)*(endDates=BP$96)))</f>
        <v>20000</v>
      </c>
      <c r="BQ110" s="676" cm="1">
        <f t="array" ref="BQ110">SUM(_xlfn._xlws.FILTER(_xlfn._xlws.FILTER(headcountData,(headcountDataDepts=$D110)*(headcountDataIDs=$E110)),(startDates&gt;=BQ$95)*(endDates=BQ$96)))</f>
        <v>20000</v>
      </c>
      <c r="BR110" s="676" cm="1">
        <f t="array" ref="BR110">SUM(_xlfn._xlws.FILTER(_xlfn._xlws.FILTER(headcountData,(headcountDataDepts=$D110)*(headcountDataIDs=$E110)),(startDates&gt;=BR$95)*(endDates=BR$96)))</f>
        <v>20000</v>
      </c>
      <c r="BS110" s="676" cm="1">
        <f t="array" ref="BS110">SUM(_xlfn._xlws.FILTER(_xlfn._xlws.FILTER(headcountData,(headcountDataDepts=$D110)*(headcountDataIDs=$E110)),(startDates&gt;=BS$95)*(endDates=BS$96)))</f>
        <v>20000</v>
      </c>
      <c r="BT110" s="676" cm="1">
        <f t="array" ref="BT110">SUM(_xlfn._xlws.FILTER(_xlfn._xlws.FILTER(headcountData,(headcountDataDepts=$D110)*(headcountDataIDs=$E110)),(startDates&gt;=BT$95)*(endDates=BT$96)))</f>
        <v>20000</v>
      </c>
      <c r="BU110" s="676" cm="1">
        <f t="array" ref="BU110">SUM(_xlfn._xlws.FILTER(_xlfn._xlws.FILTER(headcountData,(headcountDataDepts=$D110)*(headcountDataIDs=$E110)),(startDates&gt;=BU$95)*(endDates=BU$96)))</f>
        <v>20000</v>
      </c>
      <c r="BV110" s="676" cm="1">
        <f t="array" ref="BV110">SUM(_xlfn._xlws.FILTER(_xlfn._xlws.FILTER(headcountData,(headcountDataDepts=$D110)*(headcountDataIDs=$E110)),(startDates&gt;=BV$95)*(endDates=BV$96)))</f>
        <v>20000</v>
      </c>
      <c r="BW110" s="676" cm="1">
        <f t="array" ref="BW110">SUM(_xlfn._xlws.FILTER(_xlfn._xlws.FILTER(headcountData,(headcountDataDepts=$D110)*(headcountDataIDs=$E110)),(startDates&gt;=BW$95)*(endDates=BW$96)))</f>
        <v>20000</v>
      </c>
      <c r="BX110" s="676" cm="1">
        <f t="array" ref="BX110">SUM(_xlfn._xlws.FILTER(_xlfn._xlws.FILTER(headcountData,(headcountDataDepts=$D110)*(headcountDataIDs=$E110)),(startDates&gt;=BX$95)*(endDates=BX$96)))</f>
        <v>20000</v>
      </c>
      <c r="BY110" s="676" cm="1">
        <f t="array" ref="BY110">SUM(_xlfn._xlws.FILTER(_xlfn._xlws.FILTER(headcountData,(headcountDataDepts=$D110)*(headcountDataIDs=$E110)),(startDates&gt;=BY$95)*(endDates=BY$96)))</f>
        <v>40833.333333333328</v>
      </c>
      <c r="BZ110" s="676" cm="1">
        <f t="array" ref="BZ110">SUM(_xlfn._xlws.FILTER(_xlfn._xlws.FILTER(headcountData,(headcountDataDepts=$D110)*(headcountDataIDs=$E110)),(startDates&gt;=BZ$95)*(endDates=BZ$96)))</f>
        <v>40833.333333333328</v>
      </c>
      <c r="CA110" s="676" cm="1">
        <f t="array" ref="CA110">SUM(_xlfn._xlws.FILTER(_xlfn._xlws.FILTER(headcountData,(headcountDataDepts=$D110)*(headcountDataIDs=$E110)),(startDates&gt;=CA$95)*(endDates=CA$96)))</f>
        <v>40833.333333333328</v>
      </c>
      <c r="CB110" s="676" cm="1">
        <f t="array" ref="CB110">SUM(_xlfn._xlws.FILTER(_xlfn._xlws.FILTER(headcountData,(headcountDataDepts=$D110)*(headcountDataIDs=$E110)),(startDates&gt;=CB$95)*(endDates=CB$96)))</f>
        <v>40833.333333333328</v>
      </c>
      <c r="CC110" s="676" cm="1">
        <f t="array" ref="CC110">SUM(_xlfn._xlws.FILTER(_xlfn._xlws.FILTER(headcountData,(headcountDataDepts=$D110)*(headcountDataIDs=$E110)),(startDates&gt;=CC$95)*(endDates=CC$96)))</f>
        <v>40833.333333333328</v>
      </c>
      <c r="CD110" s="676" cm="1">
        <f t="array" ref="CD110">SUM(_xlfn._xlws.FILTER(_xlfn._xlws.FILTER(headcountData,(headcountDataDepts=$D110)*(headcountDataIDs=$E110)),(startDates&gt;=CD$95)*(endDates=CD$96)))</f>
        <v>40833.333333333328</v>
      </c>
      <c r="CE110" s="676" cm="1">
        <f t="array" ref="CE110">SUM(_xlfn._xlws.FILTER(_xlfn._xlws.FILTER(headcountData,(headcountDataDepts=$D110)*(headcountDataIDs=$E110)),(startDates&gt;=CE$95)*(endDates=CE$96)))</f>
        <v>40833.333333333328</v>
      </c>
      <c r="CF110" s="676" cm="1">
        <f t="array" ref="CF110">SUM(_xlfn._xlws.FILTER(_xlfn._xlws.FILTER(headcountData,(headcountDataDepts=$D110)*(headcountDataIDs=$E110)),(startDates&gt;=CF$95)*(endDates=CF$96)))</f>
        <v>40833.333333333328</v>
      </c>
      <c r="CG110" s="676" cm="1">
        <f t="array" ref="CG110">SUM(_xlfn._xlws.FILTER(_xlfn._xlws.FILTER(headcountData,(headcountDataDepts=$D110)*(headcountDataIDs=$E110)),(startDates&gt;=CG$95)*(endDates=CG$96)))</f>
        <v>40833.333333333328</v>
      </c>
    </row>
    <row r="111" spans="1:85" ht="15.75" customHeight="1" outlineLevel="1">
      <c r="C111" s="677" t="s">
        <v>191</v>
      </c>
      <c r="D111" s="149" t="s">
        <v>179</v>
      </c>
      <c r="E111" s="150" t="s">
        <v>192</v>
      </c>
      <c r="J111" s="676" cm="1">
        <f t="array" ref="J111">SUM(_xlfn._xlws.FILTER(_xlfn._xlws.FILTER(headcountData,(headcountDataDepts=$D111)*(headcountDataIDs=$E111)),(startDates&gt;=J$95)*(endDates=J$96)))</f>
        <v>0</v>
      </c>
      <c r="K111" s="676" cm="1">
        <f t="array" ref="K111">SUM(_xlfn._xlws.FILTER(_xlfn._xlws.FILTER(headcountData,(headcountDataDepts=$D111)*(headcountDataIDs=$E111)),(startDates&gt;=K$95)*(endDates=K$96)))</f>
        <v>0</v>
      </c>
      <c r="N111" s="676" cm="1">
        <f t="array" ref="N111">SUM(_xlfn._xlws.FILTER(_xlfn._xlws.FILTER(headcountData,(headcountDataDepts=$D111)*(headcountDataIDs=$E111)),(startDates&gt;=N$95)*(endDates=N$96)))</f>
        <v>0</v>
      </c>
      <c r="O111" s="676" cm="1">
        <f t="array" ref="O111">SUM(_xlfn._xlws.FILTER(_xlfn._xlws.FILTER(headcountData,(headcountDataDepts=$D111)*(headcountDataIDs=$E111)),(startDates&gt;=O$95)*(endDates=O$96)))</f>
        <v>0</v>
      </c>
      <c r="P111" s="676" cm="1">
        <f t="array" ref="P111">SUM(_xlfn._xlws.FILTER(_xlfn._xlws.FILTER(headcountData,(headcountDataDepts=$D111)*(headcountDataIDs=$E111)),(startDates&gt;=P$95)*(endDates=P$96)))</f>
        <v>0</v>
      </c>
      <c r="Q111" s="676" cm="1">
        <f t="array" ref="Q111">SUM(_xlfn._xlws.FILTER(_xlfn._xlws.FILTER(headcountData,(headcountDataDepts=$D111)*(headcountDataIDs=$E111)),(startDates&gt;=Q$95)*(endDates=Q$96)))</f>
        <v>0</v>
      </c>
      <c r="T111" s="676" cm="1">
        <f t="array" ref="T111">SUM(_xlfn._xlws.FILTER(_xlfn._xlws.FILTER(headcountData,(headcountDataDepts=$D111)*(headcountDataIDs=$E111)),(startDates&gt;=T$95)*(endDates=T$96)))</f>
        <v>0</v>
      </c>
      <c r="U111" s="676" cm="1">
        <f t="array" ref="U111">SUM(_xlfn._xlws.FILTER(_xlfn._xlws.FILTER(headcountData,(headcountDataDepts=$D111)*(headcountDataIDs=$E111)),(startDates&gt;=U$95)*(endDates=U$96)))</f>
        <v>0</v>
      </c>
      <c r="V111" s="676" cm="1">
        <f t="array" ref="V111">SUM(_xlfn._xlws.FILTER(_xlfn._xlws.FILTER(headcountData,(headcountDataDepts=$D111)*(headcountDataIDs=$E111)),(startDates&gt;=V$95)*(endDates=V$96)))</f>
        <v>0</v>
      </c>
      <c r="W111" s="676" cm="1">
        <f t="array" ref="W111">SUM(_xlfn._xlws.FILTER(_xlfn._xlws.FILTER(headcountData,(headcountDataDepts=$D111)*(headcountDataIDs=$E111)),(startDates&gt;=W$95)*(endDates=W$96)))</f>
        <v>0</v>
      </c>
      <c r="X111" s="676" cm="1">
        <f t="array" ref="X111">SUM(_xlfn._xlws.FILTER(_xlfn._xlws.FILTER(headcountData,(headcountDataDepts=$D111)*(headcountDataIDs=$E111)),(startDates&gt;=X$95)*(endDates=X$96)))</f>
        <v>0</v>
      </c>
      <c r="Y111" s="676" cm="1">
        <f t="array" ref="Y111">SUM(_xlfn._xlws.FILTER(_xlfn._xlws.FILTER(headcountData,(headcountDataDepts=$D111)*(headcountDataIDs=$E111)),(startDates&gt;=Y$95)*(endDates=Y$96)))</f>
        <v>0</v>
      </c>
      <c r="Z111" s="676" cm="1">
        <f t="array" ref="Z111">SUM(_xlfn._xlws.FILTER(_xlfn._xlws.FILTER(headcountData,(headcountDataDepts=$D111)*(headcountDataIDs=$E111)),(startDates&gt;=Z$95)*(endDates=Z$96)))</f>
        <v>0</v>
      </c>
      <c r="AA111" s="676" cm="1">
        <f t="array" ref="AA111">SUM(_xlfn._xlws.FILTER(_xlfn._xlws.FILTER(headcountData,(headcountDataDepts=$D111)*(headcountDataIDs=$E111)),(startDates&gt;=AA$95)*(endDates=AA$96)))</f>
        <v>0</v>
      </c>
      <c r="AB111" s="676" cm="1">
        <f t="array" ref="AB111">SUM(_xlfn._xlws.FILTER(_xlfn._xlws.FILTER(headcountData,(headcountDataDepts=$D111)*(headcountDataIDs=$E111)),(startDates&gt;=AB$95)*(endDates=AB$96)))</f>
        <v>0</v>
      </c>
      <c r="AC111" s="676" cm="1">
        <f t="array" ref="AC111">SUM(_xlfn._xlws.FILTER(_xlfn._xlws.FILTER(headcountData,(headcountDataDepts=$D111)*(headcountDataIDs=$E111)),(startDates&gt;=AC$95)*(endDates=AC$96)))</f>
        <v>0</v>
      </c>
      <c r="AD111" s="676" cm="1">
        <f t="array" ref="AD111">SUM(_xlfn._xlws.FILTER(_xlfn._xlws.FILTER(headcountData,(headcountDataDepts=$D111)*(headcountDataIDs=$E111)),(startDates&gt;=AD$95)*(endDates=AD$96)))</f>
        <v>0</v>
      </c>
      <c r="AE111" s="676" cm="1">
        <f t="array" ref="AE111">SUM(_xlfn._xlws.FILTER(_xlfn._xlws.FILTER(headcountData,(headcountDataDepts=$D111)*(headcountDataIDs=$E111)),(startDates&gt;=AE$95)*(endDates=AE$96)))</f>
        <v>0</v>
      </c>
      <c r="AF111" s="676" cm="1">
        <f t="array" ref="AF111">SUM(_xlfn._xlws.FILTER(_xlfn._xlws.FILTER(headcountData,(headcountDataDepts=$D111)*(headcountDataIDs=$E111)),(startDates&gt;=AF$95)*(endDates=AF$96)))</f>
        <v>0</v>
      </c>
      <c r="AG111" s="676" cm="1">
        <f t="array" ref="AG111">SUM(_xlfn._xlws.FILTER(_xlfn._xlws.FILTER(headcountData,(headcountDataDepts=$D111)*(headcountDataIDs=$E111)),(startDates&gt;=AG$95)*(endDates=AG$96)))</f>
        <v>0</v>
      </c>
      <c r="AH111" s="676" cm="1">
        <f t="array" ref="AH111">SUM(_xlfn._xlws.FILTER(_xlfn._xlws.FILTER(headcountData,(headcountDataDepts=$D111)*(headcountDataIDs=$E111)),(startDates&gt;=AH$95)*(endDates=AH$96)))</f>
        <v>0</v>
      </c>
      <c r="AI111" s="676" cm="1">
        <f t="array" ref="AI111">SUM(_xlfn._xlws.FILTER(_xlfn._xlws.FILTER(headcountData,(headcountDataDepts=$D111)*(headcountDataIDs=$E111)),(startDates&gt;=AI$95)*(endDates=AI$96)))</f>
        <v>0</v>
      </c>
      <c r="AL111" s="676" cm="1">
        <f t="array" ref="AL111">SUM(_xlfn._xlws.FILTER(_xlfn._xlws.FILTER(headcountData,(headcountDataDepts=$D111)*(headcountDataIDs=$E111)),(startDates&gt;=AL$95)*(endDates=AL$96)))</f>
        <v>0</v>
      </c>
      <c r="AM111" s="676" cm="1">
        <f t="array" ref="AM111">SUM(_xlfn._xlws.FILTER(_xlfn._xlws.FILTER(headcountData,(headcountDataDepts=$D111)*(headcountDataIDs=$E111)),(startDates&gt;=AM$95)*(endDates=AM$96)))</f>
        <v>0</v>
      </c>
      <c r="AN111" s="676" cm="1">
        <f t="array" ref="AN111">SUM(_xlfn._xlws.FILTER(_xlfn._xlws.FILTER(headcountData,(headcountDataDepts=$D111)*(headcountDataIDs=$E111)),(startDates&gt;=AN$95)*(endDates=AN$96)))</f>
        <v>0</v>
      </c>
      <c r="AO111" s="676" cm="1">
        <f t="array" ref="AO111">SUM(_xlfn._xlws.FILTER(_xlfn._xlws.FILTER(headcountData,(headcountDataDepts=$D111)*(headcountDataIDs=$E111)),(startDates&gt;=AO$95)*(endDates=AO$96)))</f>
        <v>0</v>
      </c>
      <c r="AP111" s="676" cm="1">
        <f t="array" ref="AP111">SUM(_xlfn._xlws.FILTER(_xlfn._xlws.FILTER(headcountData,(headcountDataDepts=$D111)*(headcountDataIDs=$E111)),(startDates&gt;=AP$95)*(endDates=AP$96)))</f>
        <v>0</v>
      </c>
      <c r="AQ111" s="676" cm="1">
        <f t="array" ref="AQ111">SUM(_xlfn._xlws.FILTER(_xlfn._xlws.FILTER(headcountData,(headcountDataDepts=$D111)*(headcountDataIDs=$E111)),(startDates&gt;=AQ$95)*(endDates=AQ$96)))</f>
        <v>0</v>
      </c>
      <c r="AR111" s="676" cm="1">
        <f t="array" ref="AR111">SUM(_xlfn._xlws.FILTER(_xlfn._xlws.FILTER(headcountData,(headcountDataDepts=$D111)*(headcountDataIDs=$E111)),(startDates&gt;=AR$95)*(endDates=AR$96)))</f>
        <v>0</v>
      </c>
      <c r="AS111" s="676" cm="1">
        <f t="array" ref="AS111">SUM(_xlfn._xlws.FILTER(_xlfn._xlws.FILTER(headcountData,(headcountDataDepts=$D111)*(headcountDataIDs=$E111)),(startDates&gt;=AS$95)*(endDates=AS$96)))</f>
        <v>0</v>
      </c>
      <c r="AT111" s="676" cm="1">
        <f t="array" ref="AT111">SUM(_xlfn._xlws.FILTER(_xlfn._xlws.FILTER(headcountData,(headcountDataDepts=$D111)*(headcountDataIDs=$E111)),(startDates&gt;=AT$95)*(endDates=AT$96)))</f>
        <v>0</v>
      </c>
      <c r="AU111" s="676" cm="1">
        <f t="array" ref="AU111">SUM(_xlfn._xlws.FILTER(_xlfn._xlws.FILTER(headcountData,(headcountDataDepts=$D111)*(headcountDataIDs=$E111)),(startDates&gt;=AU$95)*(endDates=AU$96)))</f>
        <v>0</v>
      </c>
      <c r="AV111" s="676" cm="1">
        <f t="array" ref="AV111">SUM(_xlfn._xlws.FILTER(_xlfn._xlws.FILTER(headcountData,(headcountDataDepts=$D111)*(headcountDataIDs=$E111)),(startDates&gt;=AV$95)*(endDates=AV$96)))</f>
        <v>0</v>
      </c>
      <c r="AW111" s="676" cm="1">
        <f t="array" ref="AW111">SUM(_xlfn._xlws.FILTER(_xlfn._xlws.FILTER(headcountData,(headcountDataDepts=$D111)*(headcountDataIDs=$E111)),(startDates&gt;=AW$95)*(endDates=AW$96)))</f>
        <v>0</v>
      </c>
      <c r="AX111" s="676" cm="1">
        <f t="array" ref="AX111">SUM(_xlfn._xlws.FILTER(_xlfn._xlws.FILTER(headcountData,(headcountDataDepts=$D111)*(headcountDataIDs=$E111)),(startDates&gt;=AX$95)*(endDates=AX$96)))</f>
        <v>0</v>
      </c>
      <c r="AY111" s="676" cm="1">
        <f t="array" ref="AY111">SUM(_xlfn._xlws.FILTER(_xlfn._xlws.FILTER(headcountData,(headcountDataDepts=$D111)*(headcountDataIDs=$E111)),(startDates&gt;=AY$95)*(endDates=AY$96)))</f>
        <v>0</v>
      </c>
      <c r="AZ111" s="676" cm="1">
        <f t="array" ref="AZ111">SUM(_xlfn._xlws.FILTER(_xlfn._xlws.FILTER(headcountData,(headcountDataDepts=$D111)*(headcountDataIDs=$E111)),(startDates&gt;=AZ$95)*(endDates=AZ$96)))</f>
        <v>0</v>
      </c>
      <c r="BA111" s="676" cm="1">
        <f t="array" ref="BA111">SUM(_xlfn._xlws.FILTER(_xlfn._xlws.FILTER(headcountData,(headcountDataDepts=$D111)*(headcountDataIDs=$E111)),(startDates&gt;=BA$95)*(endDates=BA$96)))</f>
        <v>0</v>
      </c>
      <c r="BB111" s="676" cm="1">
        <f t="array" ref="BB111">SUM(_xlfn._xlws.FILTER(_xlfn._xlws.FILTER(headcountData,(headcountDataDepts=$D111)*(headcountDataIDs=$E111)),(startDates&gt;=BB$95)*(endDates=BB$96)))</f>
        <v>0</v>
      </c>
      <c r="BC111" s="676" cm="1">
        <f t="array" ref="BC111">SUM(_xlfn._xlws.FILTER(_xlfn._xlws.FILTER(headcountData,(headcountDataDepts=$D111)*(headcountDataIDs=$E111)),(startDates&gt;=BC$95)*(endDates=BC$96)))</f>
        <v>0</v>
      </c>
      <c r="BD111" s="676" cm="1">
        <f t="array" ref="BD111">SUM(_xlfn._xlws.FILTER(_xlfn._xlws.FILTER(headcountData,(headcountDataDepts=$D111)*(headcountDataIDs=$E111)),(startDates&gt;=BD$95)*(endDates=BD$96)))</f>
        <v>0</v>
      </c>
      <c r="BE111" s="676" cm="1">
        <f t="array" ref="BE111">SUM(_xlfn._xlws.FILTER(_xlfn._xlws.FILTER(headcountData,(headcountDataDepts=$D111)*(headcountDataIDs=$E111)),(startDates&gt;=BE$95)*(endDates=BE$96)))</f>
        <v>0</v>
      </c>
      <c r="BF111" s="676" cm="1">
        <f t="array" ref="BF111">SUM(_xlfn._xlws.FILTER(_xlfn._xlws.FILTER(headcountData,(headcountDataDepts=$D111)*(headcountDataIDs=$E111)),(startDates&gt;=BF$95)*(endDates=BF$96)))</f>
        <v>0</v>
      </c>
      <c r="BG111" s="676" cm="1">
        <f t="array" ref="BG111">SUM(_xlfn._xlws.FILTER(_xlfn._xlws.FILTER(headcountData,(headcountDataDepts=$D111)*(headcountDataIDs=$E111)),(startDates&gt;=BG$95)*(endDates=BG$96)))</f>
        <v>0</v>
      </c>
      <c r="BH111" s="676" cm="1">
        <f t="array" ref="BH111">SUM(_xlfn._xlws.FILTER(_xlfn._xlws.FILTER(headcountData,(headcountDataDepts=$D111)*(headcountDataIDs=$E111)),(startDates&gt;=BH$95)*(endDates=BH$96)))</f>
        <v>0</v>
      </c>
      <c r="BI111" s="676" cm="1">
        <f t="array" ref="BI111">SUM(_xlfn._xlws.FILTER(_xlfn._xlws.FILTER(headcountData,(headcountDataDepts=$D111)*(headcountDataIDs=$E111)),(startDates&gt;=BI$95)*(endDates=BI$96)))</f>
        <v>0</v>
      </c>
      <c r="BJ111" s="676" cm="1">
        <f t="array" ref="BJ111">SUM(_xlfn._xlws.FILTER(_xlfn._xlws.FILTER(headcountData,(headcountDataDepts=$D111)*(headcountDataIDs=$E111)),(startDates&gt;=BJ$95)*(endDates=BJ$96)))</f>
        <v>0</v>
      </c>
      <c r="BK111" s="676" cm="1">
        <f t="array" ref="BK111">SUM(_xlfn._xlws.FILTER(_xlfn._xlws.FILTER(headcountData,(headcountDataDepts=$D111)*(headcountDataIDs=$E111)),(startDates&gt;=BK$95)*(endDates=BK$96)))</f>
        <v>0</v>
      </c>
      <c r="BL111" s="676" cm="1">
        <f t="array" ref="BL111">SUM(_xlfn._xlws.FILTER(_xlfn._xlws.FILTER(headcountData,(headcountDataDepts=$D111)*(headcountDataIDs=$E111)),(startDates&gt;=BL$95)*(endDates=BL$96)))</f>
        <v>0</v>
      </c>
      <c r="BM111" s="676" cm="1">
        <f t="array" ref="BM111">SUM(_xlfn._xlws.FILTER(_xlfn._xlws.FILTER(headcountData,(headcountDataDepts=$D111)*(headcountDataIDs=$E111)),(startDates&gt;=BM$95)*(endDates=BM$96)))</f>
        <v>0</v>
      </c>
      <c r="BN111" s="676" cm="1">
        <f t="array" ref="BN111">SUM(_xlfn._xlws.FILTER(_xlfn._xlws.FILTER(headcountData,(headcountDataDepts=$D111)*(headcountDataIDs=$E111)),(startDates&gt;=BN$95)*(endDates=BN$96)))</f>
        <v>0</v>
      </c>
      <c r="BO111" s="676" cm="1">
        <f t="array" ref="BO111">SUM(_xlfn._xlws.FILTER(_xlfn._xlws.FILTER(headcountData,(headcountDataDepts=$D111)*(headcountDataIDs=$E111)),(startDates&gt;=BO$95)*(endDates=BO$96)))</f>
        <v>0</v>
      </c>
      <c r="BP111" s="676" cm="1">
        <f t="array" ref="BP111">SUM(_xlfn._xlws.FILTER(_xlfn._xlws.FILTER(headcountData,(headcountDataDepts=$D111)*(headcountDataIDs=$E111)),(startDates&gt;=BP$95)*(endDates=BP$96)))</f>
        <v>0</v>
      </c>
      <c r="BQ111" s="676" cm="1">
        <f t="array" ref="BQ111">SUM(_xlfn._xlws.FILTER(_xlfn._xlws.FILTER(headcountData,(headcountDataDepts=$D111)*(headcountDataIDs=$E111)),(startDates&gt;=BQ$95)*(endDates=BQ$96)))</f>
        <v>0</v>
      </c>
      <c r="BR111" s="676" cm="1">
        <f t="array" ref="BR111">SUM(_xlfn._xlws.FILTER(_xlfn._xlws.FILTER(headcountData,(headcountDataDepts=$D111)*(headcountDataIDs=$E111)),(startDates&gt;=BR$95)*(endDates=BR$96)))</f>
        <v>0</v>
      </c>
      <c r="BS111" s="676" cm="1">
        <f t="array" ref="BS111">SUM(_xlfn._xlws.FILTER(_xlfn._xlws.FILTER(headcountData,(headcountDataDepts=$D111)*(headcountDataIDs=$E111)),(startDates&gt;=BS$95)*(endDates=BS$96)))</f>
        <v>0</v>
      </c>
      <c r="BT111" s="676" cm="1">
        <f t="array" ref="BT111">SUM(_xlfn._xlws.FILTER(_xlfn._xlws.FILTER(headcountData,(headcountDataDepts=$D111)*(headcountDataIDs=$E111)),(startDates&gt;=BT$95)*(endDates=BT$96)))</f>
        <v>0</v>
      </c>
      <c r="BU111" s="676" cm="1">
        <f t="array" ref="BU111">SUM(_xlfn._xlws.FILTER(_xlfn._xlws.FILTER(headcountData,(headcountDataDepts=$D111)*(headcountDataIDs=$E111)),(startDates&gt;=BU$95)*(endDates=BU$96)))</f>
        <v>0</v>
      </c>
      <c r="BV111" s="676" cm="1">
        <f t="array" ref="BV111">SUM(_xlfn._xlws.FILTER(_xlfn._xlws.FILTER(headcountData,(headcountDataDepts=$D111)*(headcountDataIDs=$E111)),(startDates&gt;=BV$95)*(endDates=BV$96)))</f>
        <v>0</v>
      </c>
      <c r="BW111" s="676" cm="1">
        <f t="array" ref="BW111">SUM(_xlfn._xlws.FILTER(_xlfn._xlws.FILTER(headcountData,(headcountDataDepts=$D111)*(headcountDataIDs=$E111)),(startDates&gt;=BW$95)*(endDates=BW$96)))</f>
        <v>0</v>
      </c>
      <c r="BX111" s="676" cm="1">
        <f t="array" ref="BX111">SUM(_xlfn._xlws.FILTER(_xlfn._xlws.FILTER(headcountData,(headcountDataDepts=$D111)*(headcountDataIDs=$E111)),(startDates&gt;=BX$95)*(endDates=BX$96)))</f>
        <v>0</v>
      </c>
      <c r="BY111" s="676" cm="1">
        <f t="array" ref="BY111">SUM(_xlfn._xlws.FILTER(_xlfn._xlws.FILTER(headcountData,(headcountDataDepts=$D111)*(headcountDataIDs=$E111)),(startDates&gt;=BY$95)*(endDates=BY$96)))</f>
        <v>0</v>
      </c>
      <c r="BZ111" s="676" cm="1">
        <f t="array" ref="BZ111">SUM(_xlfn._xlws.FILTER(_xlfn._xlws.FILTER(headcountData,(headcountDataDepts=$D111)*(headcountDataIDs=$E111)),(startDates&gt;=BZ$95)*(endDates=BZ$96)))</f>
        <v>0</v>
      </c>
      <c r="CA111" s="676" cm="1">
        <f t="array" ref="CA111">SUM(_xlfn._xlws.FILTER(_xlfn._xlws.FILTER(headcountData,(headcountDataDepts=$D111)*(headcountDataIDs=$E111)),(startDates&gt;=CA$95)*(endDates=CA$96)))</f>
        <v>0</v>
      </c>
      <c r="CB111" s="676" cm="1">
        <f t="array" ref="CB111">SUM(_xlfn._xlws.FILTER(_xlfn._xlws.FILTER(headcountData,(headcountDataDepts=$D111)*(headcountDataIDs=$E111)),(startDates&gt;=CB$95)*(endDates=CB$96)))</f>
        <v>0</v>
      </c>
      <c r="CC111" s="676" cm="1">
        <f t="array" ref="CC111">SUM(_xlfn._xlws.FILTER(_xlfn._xlws.FILTER(headcountData,(headcountDataDepts=$D111)*(headcountDataIDs=$E111)),(startDates&gt;=CC$95)*(endDates=CC$96)))</f>
        <v>0</v>
      </c>
      <c r="CD111" s="676" cm="1">
        <f t="array" ref="CD111">SUM(_xlfn._xlws.FILTER(_xlfn._xlws.FILTER(headcountData,(headcountDataDepts=$D111)*(headcountDataIDs=$E111)),(startDates&gt;=CD$95)*(endDates=CD$96)))</f>
        <v>0</v>
      </c>
      <c r="CE111" s="676" cm="1">
        <f t="array" ref="CE111">SUM(_xlfn._xlws.FILTER(_xlfn._xlws.FILTER(headcountData,(headcountDataDepts=$D111)*(headcountDataIDs=$E111)),(startDates&gt;=CE$95)*(endDates=CE$96)))</f>
        <v>0</v>
      </c>
      <c r="CF111" s="676" cm="1">
        <f t="array" ref="CF111">SUM(_xlfn._xlws.FILTER(_xlfn._xlws.FILTER(headcountData,(headcountDataDepts=$D111)*(headcountDataIDs=$E111)),(startDates&gt;=CF$95)*(endDates=CF$96)))</f>
        <v>0</v>
      </c>
      <c r="CG111" s="676" cm="1">
        <f t="array" ref="CG111">SUM(_xlfn._xlws.FILTER(_xlfn._xlws.FILTER(headcountData,(headcountDataDepts=$D111)*(headcountDataIDs=$E111)),(startDates&gt;=CG$95)*(endDates=CG$96)))</f>
        <v>0</v>
      </c>
    </row>
    <row r="112" spans="1:85" ht="15.75" customHeight="1" outlineLevel="1">
      <c r="C112" s="677" t="s">
        <v>193</v>
      </c>
      <c r="D112" s="149" t="s">
        <v>179</v>
      </c>
      <c r="E112" s="150" t="s">
        <v>194</v>
      </c>
      <c r="J112" s="676" cm="1">
        <f t="array" ref="J112">SUM(_xlfn._xlws.FILTER(_xlfn._xlws.FILTER(headcountData,(headcountDataDepts=$D112)*(headcountDataIDs=$E112)),(startDates&gt;=J$95)*(endDates=J$96)))</f>
        <v>1600</v>
      </c>
      <c r="K112" s="676" cm="1">
        <f t="array" ref="K112">SUM(_xlfn._xlws.FILTER(_xlfn._xlws.FILTER(headcountData,(headcountDataDepts=$D112)*(headcountDataIDs=$E112)),(startDates&gt;=K$95)*(endDates=K$96)))</f>
        <v>1600</v>
      </c>
      <c r="N112" s="676" cm="1">
        <f t="array" ref="N112">SUM(_xlfn._xlws.FILTER(_xlfn._xlws.FILTER(headcountData,(headcountDataDepts=$D112)*(headcountDataIDs=$E112)),(startDates&gt;=N$95)*(endDates=N$96)))</f>
        <v>800</v>
      </c>
      <c r="O112" s="676" cm="1">
        <f t="array" ref="O112">SUM(_xlfn._xlws.FILTER(_xlfn._xlws.FILTER(headcountData,(headcountDataDepts=$D112)*(headcountDataIDs=$E112)),(startDates&gt;=O$95)*(endDates=O$96)))</f>
        <v>1600</v>
      </c>
      <c r="P112" s="676" cm="1">
        <f t="array" ref="P112">SUM(_xlfn._xlws.FILTER(_xlfn._xlws.FILTER(headcountData,(headcountDataDepts=$D112)*(headcountDataIDs=$E112)),(startDates&gt;=P$95)*(endDates=P$96)))</f>
        <v>1600</v>
      </c>
      <c r="Q112" s="676" cm="1">
        <f t="array" ref="Q112">SUM(_xlfn._xlws.FILTER(_xlfn._xlws.FILTER(headcountData,(headcountDataDepts=$D112)*(headcountDataIDs=$E112)),(startDates&gt;=Q$95)*(endDates=Q$96)))</f>
        <v>3266.6666666666665</v>
      </c>
      <c r="T112" s="676" cm="1">
        <f t="array" ref="T112">SUM(_xlfn._xlws.FILTER(_xlfn._xlws.FILTER(headcountData,(headcountDataDepts=$D112)*(headcountDataIDs=$E112)),(startDates&gt;=T$95)*(endDates=T$96)))</f>
        <v>800</v>
      </c>
      <c r="U112" s="676" cm="1">
        <f t="array" ref="U112">SUM(_xlfn._xlws.FILTER(_xlfn._xlws.FILTER(headcountData,(headcountDataDepts=$D112)*(headcountDataIDs=$E112)),(startDates&gt;=U$95)*(endDates=U$96)))</f>
        <v>800</v>
      </c>
      <c r="V112" s="676" cm="1">
        <f t="array" ref="V112">SUM(_xlfn._xlws.FILTER(_xlfn._xlws.FILTER(headcountData,(headcountDataDepts=$D112)*(headcountDataIDs=$E112)),(startDates&gt;=V$95)*(endDates=V$96)))</f>
        <v>800</v>
      </c>
      <c r="W112" s="676" cm="1">
        <f t="array" ref="W112">SUM(_xlfn._xlws.FILTER(_xlfn._xlws.FILTER(headcountData,(headcountDataDepts=$D112)*(headcountDataIDs=$E112)),(startDates&gt;=W$95)*(endDates=W$96)))</f>
        <v>800</v>
      </c>
      <c r="X112" s="676" cm="1">
        <f t="array" ref="X112">SUM(_xlfn._xlws.FILTER(_xlfn._xlws.FILTER(headcountData,(headcountDataDepts=$D112)*(headcountDataIDs=$E112)),(startDates&gt;=X$95)*(endDates=X$96)))</f>
        <v>1600</v>
      </c>
      <c r="Y112" s="676" cm="1">
        <f t="array" ref="Y112">SUM(_xlfn._xlws.FILTER(_xlfn._xlws.FILTER(headcountData,(headcountDataDepts=$D112)*(headcountDataIDs=$E112)),(startDates&gt;=Y$95)*(endDates=Y$96)))</f>
        <v>1600</v>
      </c>
      <c r="Z112" s="676" cm="1">
        <f t="array" ref="Z112">SUM(_xlfn._xlws.FILTER(_xlfn._xlws.FILTER(headcountData,(headcountDataDepts=$D112)*(headcountDataIDs=$E112)),(startDates&gt;=Z$95)*(endDates=Z$96)))</f>
        <v>1600</v>
      </c>
      <c r="AA112" s="676" cm="1">
        <f t="array" ref="AA112">SUM(_xlfn._xlws.FILTER(_xlfn._xlws.FILTER(headcountData,(headcountDataDepts=$D112)*(headcountDataIDs=$E112)),(startDates&gt;=AA$95)*(endDates=AA$96)))</f>
        <v>1600</v>
      </c>
      <c r="AB112" s="676" cm="1">
        <f t="array" ref="AB112">SUM(_xlfn._xlws.FILTER(_xlfn._xlws.FILTER(headcountData,(headcountDataDepts=$D112)*(headcountDataIDs=$E112)),(startDates&gt;=AB$95)*(endDates=AB$96)))</f>
        <v>1600</v>
      </c>
      <c r="AC112" s="676" cm="1">
        <f t="array" ref="AC112">SUM(_xlfn._xlws.FILTER(_xlfn._xlws.FILTER(headcountData,(headcountDataDepts=$D112)*(headcountDataIDs=$E112)),(startDates&gt;=AC$95)*(endDates=AC$96)))</f>
        <v>1600</v>
      </c>
      <c r="AD112" s="676" cm="1">
        <f t="array" ref="AD112">SUM(_xlfn._xlws.FILTER(_xlfn._xlws.FILTER(headcountData,(headcountDataDepts=$D112)*(headcountDataIDs=$E112)),(startDates&gt;=AD$95)*(endDates=AD$96)))</f>
        <v>1600</v>
      </c>
      <c r="AE112" s="676" cm="1">
        <f t="array" ref="AE112">SUM(_xlfn._xlws.FILTER(_xlfn._xlws.FILTER(headcountData,(headcountDataDepts=$D112)*(headcountDataIDs=$E112)),(startDates&gt;=AE$95)*(endDates=AE$96)))</f>
        <v>1600</v>
      </c>
      <c r="AF112" s="676" cm="1">
        <f t="array" ref="AF112">SUM(_xlfn._xlws.FILTER(_xlfn._xlws.FILTER(headcountData,(headcountDataDepts=$D112)*(headcountDataIDs=$E112)),(startDates&gt;=AF$95)*(endDates=AF$96)))</f>
        <v>1600</v>
      </c>
      <c r="AG112" s="676" cm="1">
        <f t="array" ref="AG112">SUM(_xlfn._xlws.FILTER(_xlfn._xlws.FILTER(headcountData,(headcountDataDepts=$D112)*(headcountDataIDs=$E112)),(startDates&gt;=AG$95)*(endDates=AG$96)))</f>
        <v>3266.6666666666665</v>
      </c>
      <c r="AH112" s="676" cm="1">
        <f t="array" ref="AH112">SUM(_xlfn._xlws.FILTER(_xlfn._xlws.FILTER(headcountData,(headcountDataDepts=$D112)*(headcountDataIDs=$E112)),(startDates&gt;=AH$95)*(endDates=AH$96)))</f>
        <v>3266.6666666666665</v>
      </c>
      <c r="AI112" s="676" cm="1">
        <f t="array" ref="AI112">SUM(_xlfn._xlws.FILTER(_xlfn._xlws.FILTER(headcountData,(headcountDataDepts=$D112)*(headcountDataIDs=$E112)),(startDates&gt;=AI$95)*(endDates=AI$96)))</f>
        <v>3266.6666666666665</v>
      </c>
      <c r="AL112" s="676" cm="1">
        <f t="array" ref="AL112">SUM(_xlfn._xlws.FILTER(_xlfn._xlws.FILTER(headcountData,(headcountDataDepts=$D112)*(headcountDataIDs=$E112)),(startDates&gt;=AL$95)*(endDates=AL$96)))</f>
        <v>800</v>
      </c>
      <c r="AM112" s="676" cm="1">
        <f t="array" ref="AM112">SUM(_xlfn._xlws.FILTER(_xlfn._xlws.FILTER(headcountData,(headcountDataDepts=$D112)*(headcountDataIDs=$E112)),(startDates&gt;=AM$95)*(endDates=AM$96)))</f>
        <v>800</v>
      </c>
      <c r="AN112" s="676" cm="1">
        <f t="array" ref="AN112">SUM(_xlfn._xlws.FILTER(_xlfn._xlws.FILTER(headcountData,(headcountDataDepts=$D112)*(headcountDataIDs=$E112)),(startDates&gt;=AN$95)*(endDates=AN$96)))</f>
        <v>800</v>
      </c>
      <c r="AO112" s="676" cm="1">
        <f t="array" ref="AO112">SUM(_xlfn._xlws.FILTER(_xlfn._xlws.FILTER(headcountData,(headcountDataDepts=$D112)*(headcountDataIDs=$E112)),(startDates&gt;=AO$95)*(endDates=AO$96)))</f>
        <v>800</v>
      </c>
      <c r="AP112" s="676" cm="1">
        <f t="array" ref="AP112">SUM(_xlfn._xlws.FILTER(_xlfn._xlws.FILTER(headcountData,(headcountDataDepts=$D112)*(headcountDataIDs=$E112)),(startDates&gt;=AP$95)*(endDates=AP$96)))</f>
        <v>800</v>
      </c>
      <c r="AQ112" s="676" cm="1">
        <f t="array" ref="AQ112">SUM(_xlfn._xlws.FILTER(_xlfn._xlws.FILTER(headcountData,(headcountDataDepts=$D112)*(headcountDataIDs=$E112)),(startDates&gt;=AQ$95)*(endDates=AQ$96)))</f>
        <v>800</v>
      </c>
      <c r="AR112" s="676" cm="1">
        <f t="array" ref="AR112">SUM(_xlfn._xlws.FILTER(_xlfn._xlws.FILTER(headcountData,(headcountDataDepts=$D112)*(headcountDataIDs=$E112)),(startDates&gt;=AR$95)*(endDates=AR$96)))</f>
        <v>800</v>
      </c>
      <c r="AS112" s="676" cm="1">
        <f t="array" ref="AS112">SUM(_xlfn._xlws.FILTER(_xlfn._xlws.FILTER(headcountData,(headcountDataDepts=$D112)*(headcountDataIDs=$E112)),(startDates&gt;=AS$95)*(endDates=AS$96)))</f>
        <v>800</v>
      </c>
      <c r="AT112" s="676" cm="1">
        <f t="array" ref="AT112">SUM(_xlfn._xlws.FILTER(_xlfn._xlws.FILTER(headcountData,(headcountDataDepts=$D112)*(headcountDataIDs=$E112)),(startDates&gt;=AT$95)*(endDates=AT$96)))</f>
        <v>800</v>
      </c>
      <c r="AU112" s="676" cm="1">
        <f t="array" ref="AU112">SUM(_xlfn._xlws.FILTER(_xlfn._xlws.FILTER(headcountData,(headcountDataDepts=$D112)*(headcountDataIDs=$E112)),(startDates&gt;=AU$95)*(endDates=AU$96)))</f>
        <v>800</v>
      </c>
      <c r="AV112" s="676" cm="1">
        <f t="array" ref="AV112">SUM(_xlfn._xlws.FILTER(_xlfn._xlws.FILTER(headcountData,(headcountDataDepts=$D112)*(headcountDataIDs=$E112)),(startDates&gt;=AV$95)*(endDates=AV$96)))</f>
        <v>800</v>
      </c>
      <c r="AW112" s="676" cm="1">
        <f t="array" ref="AW112">SUM(_xlfn._xlws.FILTER(_xlfn._xlws.FILTER(headcountData,(headcountDataDepts=$D112)*(headcountDataIDs=$E112)),(startDates&gt;=AW$95)*(endDates=AW$96)))</f>
        <v>800</v>
      </c>
      <c r="AX112" s="676" cm="1">
        <f t="array" ref="AX112">SUM(_xlfn._xlws.FILTER(_xlfn._xlws.FILTER(headcountData,(headcountDataDepts=$D112)*(headcountDataIDs=$E112)),(startDates&gt;=AX$95)*(endDates=AX$96)))</f>
        <v>1600</v>
      </c>
      <c r="AY112" s="676" cm="1">
        <f t="array" ref="AY112">SUM(_xlfn._xlws.FILTER(_xlfn._xlws.FILTER(headcountData,(headcountDataDepts=$D112)*(headcountDataIDs=$E112)),(startDates&gt;=AY$95)*(endDates=AY$96)))</f>
        <v>1600</v>
      </c>
      <c r="AZ112" s="676" cm="1">
        <f t="array" ref="AZ112">SUM(_xlfn._xlws.FILTER(_xlfn._xlws.FILTER(headcountData,(headcountDataDepts=$D112)*(headcountDataIDs=$E112)),(startDates&gt;=AZ$95)*(endDates=AZ$96)))</f>
        <v>1600</v>
      </c>
      <c r="BA112" s="676" cm="1">
        <f t="array" ref="BA112">SUM(_xlfn._xlws.FILTER(_xlfn._xlws.FILTER(headcountData,(headcountDataDepts=$D112)*(headcountDataIDs=$E112)),(startDates&gt;=BA$95)*(endDates=BA$96)))</f>
        <v>1600</v>
      </c>
      <c r="BB112" s="676" cm="1">
        <f t="array" ref="BB112">SUM(_xlfn._xlws.FILTER(_xlfn._xlws.FILTER(headcountData,(headcountDataDepts=$D112)*(headcountDataIDs=$E112)),(startDates&gt;=BB$95)*(endDates=BB$96)))</f>
        <v>1600</v>
      </c>
      <c r="BC112" s="676" cm="1">
        <f t="array" ref="BC112">SUM(_xlfn._xlws.FILTER(_xlfn._xlws.FILTER(headcountData,(headcountDataDepts=$D112)*(headcountDataIDs=$E112)),(startDates&gt;=BC$95)*(endDates=BC$96)))</f>
        <v>1600</v>
      </c>
      <c r="BD112" s="676" cm="1">
        <f t="array" ref="BD112">SUM(_xlfn._xlws.FILTER(_xlfn._xlws.FILTER(headcountData,(headcountDataDepts=$D112)*(headcountDataIDs=$E112)),(startDates&gt;=BD$95)*(endDates=BD$96)))</f>
        <v>1600</v>
      </c>
      <c r="BE112" s="676" cm="1">
        <f t="array" ref="BE112">SUM(_xlfn._xlws.FILTER(_xlfn._xlws.FILTER(headcountData,(headcountDataDepts=$D112)*(headcountDataIDs=$E112)),(startDates&gt;=BE$95)*(endDates=BE$96)))</f>
        <v>1600</v>
      </c>
      <c r="BF112" s="676" cm="1">
        <f t="array" ref="BF112">SUM(_xlfn._xlws.FILTER(_xlfn._xlws.FILTER(headcountData,(headcountDataDepts=$D112)*(headcountDataIDs=$E112)),(startDates&gt;=BF$95)*(endDates=BF$96)))</f>
        <v>1600</v>
      </c>
      <c r="BG112" s="676" cm="1">
        <f t="array" ref="BG112">SUM(_xlfn._xlws.FILTER(_xlfn._xlws.FILTER(headcountData,(headcountDataDepts=$D112)*(headcountDataIDs=$E112)),(startDates&gt;=BG$95)*(endDates=BG$96)))</f>
        <v>1600</v>
      </c>
      <c r="BH112" s="676" cm="1">
        <f t="array" ref="BH112">SUM(_xlfn._xlws.FILTER(_xlfn._xlws.FILTER(headcountData,(headcountDataDepts=$D112)*(headcountDataIDs=$E112)),(startDates&gt;=BH$95)*(endDates=BH$96)))</f>
        <v>1600</v>
      </c>
      <c r="BI112" s="676" cm="1">
        <f t="array" ref="BI112">SUM(_xlfn._xlws.FILTER(_xlfn._xlws.FILTER(headcountData,(headcountDataDepts=$D112)*(headcountDataIDs=$E112)),(startDates&gt;=BI$95)*(endDates=BI$96)))</f>
        <v>1600</v>
      </c>
      <c r="BJ112" s="676" cm="1">
        <f t="array" ref="BJ112">SUM(_xlfn._xlws.FILTER(_xlfn._xlws.FILTER(headcountData,(headcountDataDepts=$D112)*(headcountDataIDs=$E112)),(startDates&gt;=BJ$95)*(endDates=BJ$96)))</f>
        <v>1600</v>
      </c>
      <c r="BK112" s="676" cm="1">
        <f t="array" ref="BK112">SUM(_xlfn._xlws.FILTER(_xlfn._xlws.FILTER(headcountData,(headcountDataDepts=$D112)*(headcountDataIDs=$E112)),(startDates&gt;=BK$95)*(endDates=BK$96)))</f>
        <v>1600</v>
      </c>
      <c r="BL112" s="676" cm="1">
        <f t="array" ref="BL112">SUM(_xlfn._xlws.FILTER(_xlfn._xlws.FILTER(headcountData,(headcountDataDepts=$D112)*(headcountDataIDs=$E112)),(startDates&gt;=BL$95)*(endDates=BL$96)))</f>
        <v>1600</v>
      </c>
      <c r="BM112" s="676" cm="1">
        <f t="array" ref="BM112">SUM(_xlfn._xlws.FILTER(_xlfn._xlws.FILTER(headcountData,(headcountDataDepts=$D112)*(headcountDataIDs=$E112)),(startDates&gt;=BM$95)*(endDates=BM$96)))</f>
        <v>1600</v>
      </c>
      <c r="BN112" s="676" cm="1">
        <f t="array" ref="BN112">SUM(_xlfn._xlws.FILTER(_xlfn._xlws.FILTER(headcountData,(headcountDataDepts=$D112)*(headcountDataIDs=$E112)),(startDates&gt;=BN$95)*(endDates=BN$96)))</f>
        <v>1600</v>
      </c>
      <c r="BO112" s="676" cm="1">
        <f t="array" ref="BO112">SUM(_xlfn._xlws.FILTER(_xlfn._xlws.FILTER(headcountData,(headcountDataDepts=$D112)*(headcountDataIDs=$E112)),(startDates&gt;=BO$95)*(endDates=BO$96)))</f>
        <v>1600</v>
      </c>
      <c r="BP112" s="676" cm="1">
        <f t="array" ref="BP112">SUM(_xlfn._xlws.FILTER(_xlfn._xlws.FILTER(headcountData,(headcountDataDepts=$D112)*(headcountDataIDs=$E112)),(startDates&gt;=BP$95)*(endDates=BP$96)))</f>
        <v>1600</v>
      </c>
      <c r="BQ112" s="676" cm="1">
        <f t="array" ref="BQ112">SUM(_xlfn._xlws.FILTER(_xlfn._xlws.FILTER(headcountData,(headcountDataDepts=$D112)*(headcountDataIDs=$E112)),(startDates&gt;=BQ$95)*(endDates=BQ$96)))</f>
        <v>1600</v>
      </c>
      <c r="BR112" s="676" cm="1">
        <f t="array" ref="BR112">SUM(_xlfn._xlws.FILTER(_xlfn._xlws.FILTER(headcountData,(headcountDataDepts=$D112)*(headcountDataIDs=$E112)),(startDates&gt;=BR$95)*(endDates=BR$96)))</f>
        <v>1600</v>
      </c>
      <c r="BS112" s="676" cm="1">
        <f t="array" ref="BS112">SUM(_xlfn._xlws.FILTER(_xlfn._xlws.FILTER(headcountData,(headcountDataDepts=$D112)*(headcountDataIDs=$E112)),(startDates&gt;=BS$95)*(endDates=BS$96)))</f>
        <v>1600</v>
      </c>
      <c r="BT112" s="676" cm="1">
        <f t="array" ref="BT112">SUM(_xlfn._xlws.FILTER(_xlfn._xlws.FILTER(headcountData,(headcountDataDepts=$D112)*(headcountDataIDs=$E112)),(startDates&gt;=BT$95)*(endDates=BT$96)))</f>
        <v>1600</v>
      </c>
      <c r="BU112" s="676" cm="1">
        <f t="array" ref="BU112">SUM(_xlfn._xlws.FILTER(_xlfn._xlws.FILTER(headcountData,(headcountDataDepts=$D112)*(headcountDataIDs=$E112)),(startDates&gt;=BU$95)*(endDates=BU$96)))</f>
        <v>1600</v>
      </c>
      <c r="BV112" s="676" cm="1">
        <f t="array" ref="BV112">SUM(_xlfn._xlws.FILTER(_xlfn._xlws.FILTER(headcountData,(headcountDataDepts=$D112)*(headcountDataIDs=$E112)),(startDates&gt;=BV$95)*(endDates=BV$96)))</f>
        <v>1600</v>
      </c>
      <c r="BW112" s="676" cm="1">
        <f t="array" ref="BW112">SUM(_xlfn._xlws.FILTER(_xlfn._xlws.FILTER(headcountData,(headcountDataDepts=$D112)*(headcountDataIDs=$E112)),(startDates&gt;=BW$95)*(endDates=BW$96)))</f>
        <v>1600</v>
      </c>
      <c r="BX112" s="676" cm="1">
        <f t="array" ref="BX112">SUM(_xlfn._xlws.FILTER(_xlfn._xlws.FILTER(headcountData,(headcountDataDepts=$D112)*(headcountDataIDs=$E112)),(startDates&gt;=BX$95)*(endDates=BX$96)))</f>
        <v>1600</v>
      </c>
      <c r="BY112" s="676" cm="1">
        <f t="array" ref="BY112">SUM(_xlfn._xlws.FILTER(_xlfn._xlws.FILTER(headcountData,(headcountDataDepts=$D112)*(headcountDataIDs=$E112)),(startDates&gt;=BY$95)*(endDates=BY$96)))</f>
        <v>3266.6666666666665</v>
      </c>
      <c r="BZ112" s="676" cm="1">
        <f t="array" ref="BZ112">SUM(_xlfn._xlws.FILTER(_xlfn._xlws.FILTER(headcountData,(headcountDataDepts=$D112)*(headcountDataIDs=$E112)),(startDates&gt;=BZ$95)*(endDates=BZ$96)))</f>
        <v>3266.6666666666665</v>
      </c>
      <c r="CA112" s="676" cm="1">
        <f t="array" ref="CA112">SUM(_xlfn._xlws.FILTER(_xlfn._xlws.FILTER(headcountData,(headcountDataDepts=$D112)*(headcountDataIDs=$E112)),(startDates&gt;=CA$95)*(endDates=CA$96)))</f>
        <v>3266.6666666666665</v>
      </c>
      <c r="CB112" s="676" cm="1">
        <f t="array" ref="CB112">SUM(_xlfn._xlws.FILTER(_xlfn._xlws.FILTER(headcountData,(headcountDataDepts=$D112)*(headcountDataIDs=$E112)),(startDates&gt;=CB$95)*(endDates=CB$96)))</f>
        <v>3266.6666666666665</v>
      </c>
      <c r="CC112" s="676" cm="1">
        <f t="array" ref="CC112">SUM(_xlfn._xlws.FILTER(_xlfn._xlws.FILTER(headcountData,(headcountDataDepts=$D112)*(headcountDataIDs=$E112)),(startDates&gt;=CC$95)*(endDates=CC$96)))</f>
        <v>3266.6666666666665</v>
      </c>
      <c r="CD112" s="676" cm="1">
        <f t="array" ref="CD112">SUM(_xlfn._xlws.FILTER(_xlfn._xlws.FILTER(headcountData,(headcountDataDepts=$D112)*(headcountDataIDs=$E112)),(startDates&gt;=CD$95)*(endDates=CD$96)))</f>
        <v>3266.6666666666665</v>
      </c>
      <c r="CE112" s="676" cm="1">
        <f t="array" ref="CE112">SUM(_xlfn._xlws.FILTER(_xlfn._xlws.FILTER(headcountData,(headcountDataDepts=$D112)*(headcountDataIDs=$E112)),(startDates&gt;=CE$95)*(endDates=CE$96)))</f>
        <v>3266.6666666666665</v>
      </c>
      <c r="CF112" s="676" cm="1">
        <f t="array" ref="CF112">SUM(_xlfn._xlws.FILTER(_xlfn._xlws.FILTER(headcountData,(headcountDataDepts=$D112)*(headcountDataIDs=$E112)),(startDates&gt;=CF$95)*(endDates=CF$96)))</f>
        <v>3266.6666666666665</v>
      </c>
      <c r="CG112" s="676" cm="1">
        <f t="array" ref="CG112">SUM(_xlfn._xlws.FILTER(_xlfn._xlws.FILTER(headcountData,(headcountDataDepts=$D112)*(headcountDataIDs=$E112)),(startDates&gt;=CG$95)*(endDates=CG$96)))</f>
        <v>3266.6666666666665</v>
      </c>
    </row>
    <row r="113" spans="3:85" ht="15.75" customHeight="1" outlineLevel="1">
      <c r="C113" s="677" t="s">
        <v>195</v>
      </c>
      <c r="D113" s="149" t="s">
        <v>179</v>
      </c>
      <c r="E113" s="150" t="s">
        <v>196</v>
      </c>
      <c r="J113" s="676" cm="1">
        <f t="array" ref="J113">SUM(_xlfn._xlws.FILTER(_xlfn._xlws.FILTER(headcountData,(headcountDataDepts=$D113)*(headcountDataIDs=$E113)),(startDates&gt;=J$95)*(endDates=J$96)))</f>
        <v>2000</v>
      </c>
      <c r="K113" s="676" cm="1">
        <f t="array" ref="K113">SUM(_xlfn._xlws.FILTER(_xlfn._xlws.FILTER(headcountData,(headcountDataDepts=$D113)*(headcountDataIDs=$E113)),(startDates&gt;=K$95)*(endDates=K$96)))</f>
        <v>2000</v>
      </c>
      <c r="N113" s="676" cm="1">
        <f t="array" ref="N113">SUM(_xlfn._xlws.FILTER(_xlfn._xlws.FILTER(headcountData,(headcountDataDepts=$D113)*(headcountDataIDs=$E113)),(startDates&gt;=N$95)*(endDates=N$96)))</f>
        <v>1000</v>
      </c>
      <c r="O113" s="676" cm="1">
        <f t="array" ref="O113">SUM(_xlfn._xlws.FILTER(_xlfn._xlws.FILTER(headcountData,(headcountDataDepts=$D113)*(headcountDataIDs=$E113)),(startDates&gt;=O$95)*(endDates=O$96)))</f>
        <v>2000</v>
      </c>
      <c r="P113" s="676" cm="1">
        <f t="array" ref="P113">SUM(_xlfn._xlws.FILTER(_xlfn._xlws.FILTER(headcountData,(headcountDataDepts=$D113)*(headcountDataIDs=$E113)),(startDates&gt;=P$95)*(endDates=P$96)))</f>
        <v>2000</v>
      </c>
      <c r="Q113" s="676" cm="1">
        <f t="array" ref="Q113">SUM(_xlfn._xlws.FILTER(_xlfn._xlws.FILTER(headcountData,(headcountDataDepts=$D113)*(headcountDataIDs=$E113)),(startDates&gt;=Q$95)*(endDates=Q$96)))</f>
        <v>4083.333333333333</v>
      </c>
      <c r="T113" s="676" cm="1">
        <f t="array" ref="T113">SUM(_xlfn._xlws.FILTER(_xlfn._xlws.FILTER(headcountData,(headcountDataDepts=$D113)*(headcountDataIDs=$E113)),(startDates&gt;=T$95)*(endDates=T$96)))</f>
        <v>1000</v>
      </c>
      <c r="U113" s="676" cm="1">
        <f t="array" ref="U113">SUM(_xlfn._xlws.FILTER(_xlfn._xlws.FILTER(headcountData,(headcountDataDepts=$D113)*(headcountDataIDs=$E113)),(startDates&gt;=U$95)*(endDates=U$96)))</f>
        <v>1000</v>
      </c>
      <c r="V113" s="676" cm="1">
        <f t="array" ref="V113">SUM(_xlfn._xlws.FILTER(_xlfn._xlws.FILTER(headcountData,(headcountDataDepts=$D113)*(headcountDataIDs=$E113)),(startDates&gt;=V$95)*(endDates=V$96)))</f>
        <v>1000</v>
      </c>
      <c r="W113" s="676" cm="1">
        <f t="array" ref="W113">SUM(_xlfn._xlws.FILTER(_xlfn._xlws.FILTER(headcountData,(headcountDataDepts=$D113)*(headcountDataIDs=$E113)),(startDates&gt;=W$95)*(endDates=W$96)))</f>
        <v>1000</v>
      </c>
      <c r="X113" s="676" cm="1">
        <f t="array" ref="X113">SUM(_xlfn._xlws.FILTER(_xlfn._xlws.FILTER(headcountData,(headcountDataDepts=$D113)*(headcountDataIDs=$E113)),(startDates&gt;=X$95)*(endDates=X$96)))</f>
        <v>2000</v>
      </c>
      <c r="Y113" s="676" cm="1">
        <f t="array" ref="Y113">SUM(_xlfn._xlws.FILTER(_xlfn._xlws.FILTER(headcountData,(headcountDataDepts=$D113)*(headcountDataIDs=$E113)),(startDates&gt;=Y$95)*(endDates=Y$96)))</f>
        <v>2000</v>
      </c>
      <c r="Z113" s="676" cm="1">
        <f t="array" ref="Z113">SUM(_xlfn._xlws.FILTER(_xlfn._xlws.FILTER(headcountData,(headcountDataDepts=$D113)*(headcountDataIDs=$E113)),(startDates&gt;=Z$95)*(endDates=Z$96)))</f>
        <v>2000</v>
      </c>
      <c r="AA113" s="676" cm="1">
        <f t="array" ref="AA113">SUM(_xlfn._xlws.FILTER(_xlfn._xlws.FILTER(headcountData,(headcountDataDepts=$D113)*(headcountDataIDs=$E113)),(startDates&gt;=AA$95)*(endDates=AA$96)))</f>
        <v>2000</v>
      </c>
      <c r="AB113" s="676" cm="1">
        <f t="array" ref="AB113">SUM(_xlfn._xlws.FILTER(_xlfn._xlws.FILTER(headcountData,(headcountDataDepts=$D113)*(headcountDataIDs=$E113)),(startDates&gt;=AB$95)*(endDates=AB$96)))</f>
        <v>2000</v>
      </c>
      <c r="AC113" s="676" cm="1">
        <f t="array" ref="AC113">SUM(_xlfn._xlws.FILTER(_xlfn._xlws.FILTER(headcountData,(headcountDataDepts=$D113)*(headcountDataIDs=$E113)),(startDates&gt;=AC$95)*(endDates=AC$96)))</f>
        <v>2000</v>
      </c>
      <c r="AD113" s="676" cm="1">
        <f t="array" ref="AD113">SUM(_xlfn._xlws.FILTER(_xlfn._xlws.FILTER(headcountData,(headcountDataDepts=$D113)*(headcountDataIDs=$E113)),(startDates&gt;=AD$95)*(endDates=AD$96)))</f>
        <v>2000</v>
      </c>
      <c r="AE113" s="676" cm="1">
        <f t="array" ref="AE113">SUM(_xlfn._xlws.FILTER(_xlfn._xlws.FILTER(headcountData,(headcountDataDepts=$D113)*(headcountDataIDs=$E113)),(startDates&gt;=AE$95)*(endDates=AE$96)))</f>
        <v>2000</v>
      </c>
      <c r="AF113" s="676" cm="1">
        <f t="array" ref="AF113">SUM(_xlfn._xlws.FILTER(_xlfn._xlws.FILTER(headcountData,(headcountDataDepts=$D113)*(headcountDataIDs=$E113)),(startDates&gt;=AF$95)*(endDates=AF$96)))</f>
        <v>2000</v>
      </c>
      <c r="AG113" s="676" cm="1">
        <f t="array" ref="AG113">SUM(_xlfn._xlws.FILTER(_xlfn._xlws.FILTER(headcountData,(headcountDataDepts=$D113)*(headcountDataIDs=$E113)),(startDates&gt;=AG$95)*(endDates=AG$96)))</f>
        <v>4083.333333333333</v>
      </c>
      <c r="AH113" s="676" cm="1">
        <f t="array" ref="AH113">SUM(_xlfn._xlws.FILTER(_xlfn._xlws.FILTER(headcountData,(headcountDataDepts=$D113)*(headcountDataIDs=$E113)),(startDates&gt;=AH$95)*(endDates=AH$96)))</f>
        <v>4083.333333333333</v>
      </c>
      <c r="AI113" s="676" cm="1">
        <f t="array" ref="AI113">SUM(_xlfn._xlws.FILTER(_xlfn._xlws.FILTER(headcountData,(headcountDataDepts=$D113)*(headcountDataIDs=$E113)),(startDates&gt;=AI$95)*(endDates=AI$96)))</f>
        <v>4083.333333333333</v>
      </c>
      <c r="AL113" s="676" cm="1">
        <f t="array" ref="AL113">SUM(_xlfn._xlws.FILTER(_xlfn._xlws.FILTER(headcountData,(headcountDataDepts=$D113)*(headcountDataIDs=$E113)),(startDates&gt;=AL$95)*(endDates=AL$96)))</f>
        <v>1000</v>
      </c>
      <c r="AM113" s="676" cm="1">
        <f t="array" ref="AM113">SUM(_xlfn._xlws.FILTER(_xlfn._xlws.FILTER(headcountData,(headcountDataDepts=$D113)*(headcountDataIDs=$E113)),(startDates&gt;=AM$95)*(endDates=AM$96)))</f>
        <v>1000</v>
      </c>
      <c r="AN113" s="676" cm="1">
        <f t="array" ref="AN113">SUM(_xlfn._xlws.FILTER(_xlfn._xlws.FILTER(headcountData,(headcountDataDepts=$D113)*(headcountDataIDs=$E113)),(startDates&gt;=AN$95)*(endDates=AN$96)))</f>
        <v>1000</v>
      </c>
      <c r="AO113" s="676" cm="1">
        <f t="array" ref="AO113">SUM(_xlfn._xlws.FILTER(_xlfn._xlws.FILTER(headcountData,(headcountDataDepts=$D113)*(headcountDataIDs=$E113)),(startDates&gt;=AO$95)*(endDates=AO$96)))</f>
        <v>1000</v>
      </c>
      <c r="AP113" s="676" cm="1">
        <f t="array" ref="AP113">SUM(_xlfn._xlws.FILTER(_xlfn._xlws.FILTER(headcountData,(headcountDataDepts=$D113)*(headcountDataIDs=$E113)),(startDates&gt;=AP$95)*(endDates=AP$96)))</f>
        <v>1000</v>
      </c>
      <c r="AQ113" s="676" cm="1">
        <f t="array" ref="AQ113">SUM(_xlfn._xlws.FILTER(_xlfn._xlws.FILTER(headcountData,(headcountDataDepts=$D113)*(headcountDataIDs=$E113)),(startDates&gt;=AQ$95)*(endDates=AQ$96)))</f>
        <v>1000</v>
      </c>
      <c r="AR113" s="676" cm="1">
        <f t="array" ref="AR113">SUM(_xlfn._xlws.FILTER(_xlfn._xlws.FILTER(headcountData,(headcountDataDepts=$D113)*(headcountDataIDs=$E113)),(startDates&gt;=AR$95)*(endDates=AR$96)))</f>
        <v>1000</v>
      </c>
      <c r="AS113" s="676" cm="1">
        <f t="array" ref="AS113">SUM(_xlfn._xlws.FILTER(_xlfn._xlws.FILTER(headcountData,(headcountDataDepts=$D113)*(headcountDataIDs=$E113)),(startDates&gt;=AS$95)*(endDates=AS$96)))</f>
        <v>1000</v>
      </c>
      <c r="AT113" s="676" cm="1">
        <f t="array" ref="AT113">SUM(_xlfn._xlws.FILTER(_xlfn._xlws.FILTER(headcountData,(headcountDataDepts=$D113)*(headcountDataIDs=$E113)),(startDates&gt;=AT$95)*(endDates=AT$96)))</f>
        <v>1000</v>
      </c>
      <c r="AU113" s="676" cm="1">
        <f t="array" ref="AU113">SUM(_xlfn._xlws.FILTER(_xlfn._xlws.FILTER(headcountData,(headcountDataDepts=$D113)*(headcountDataIDs=$E113)),(startDates&gt;=AU$95)*(endDates=AU$96)))</f>
        <v>1000</v>
      </c>
      <c r="AV113" s="676" cm="1">
        <f t="array" ref="AV113">SUM(_xlfn._xlws.FILTER(_xlfn._xlws.FILTER(headcountData,(headcountDataDepts=$D113)*(headcountDataIDs=$E113)),(startDates&gt;=AV$95)*(endDates=AV$96)))</f>
        <v>1000</v>
      </c>
      <c r="AW113" s="676" cm="1">
        <f t="array" ref="AW113">SUM(_xlfn._xlws.FILTER(_xlfn._xlws.FILTER(headcountData,(headcountDataDepts=$D113)*(headcountDataIDs=$E113)),(startDates&gt;=AW$95)*(endDates=AW$96)))</f>
        <v>1000</v>
      </c>
      <c r="AX113" s="676" cm="1">
        <f t="array" ref="AX113">SUM(_xlfn._xlws.FILTER(_xlfn._xlws.FILTER(headcountData,(headcountDataDepts=$D113)*(headcountDataIDs=$E113)),(startDates&gt;=AX$95)*(endDates=AX$96)))</f>
        <v>2000</v>
      </c>
      <c r="AY113" s="676" cm="1">
        <f t="array" ref="AY113">SUM(_xlfn._xlws.FILTER(_xlfn._xlws.FILTER(headcountData,(headcountDataDepts=$D113)*(headcountDataIDs=$E113)),(startDates&gt;=AY$95)*(endDates=AY$96)))</f>
        <v>2000</v>
      </c>
      <c r="AZ113" s="676" cm="1">
        <f t="array" ref="AZ113">SUM(_xlfn._xlws.FILTER(_xlfn._xlws.FILTER(headcountData,(headcountDataDepts=$D113)*(headcountDataIDs=$E113)),(startDates&gt;=AZ$95)*(endDates=AZ$96)))</f>
        <v>2000</v>
      </c>
      <c r="BA113" s="676" cm="1">
        <f t="array" ref="BA113">SUM(_xlfn._xlws.FILTER(_xlfn._xlws.FILTER(headcountData,(headcountDataDepts=$D113)*(headcountDataIDs=$E113)),(startDates&gt;=BA$95)*(endDates=BA$96)))</f>
        <v>2000</v>
      </c>
      <c r="BB113" s="676" cm="1">
        <f t="array" ref="BB113">SUM(_xlfn._xlws.FILTER(_xlfn._xlws.FILTER(headcountData,(headcountDataDepts=$D113)*(headcountDataIDs=$E113)),(startDates&gt;=BB$95)*(endDates=BB$96)))</f>
        <v>2000</v>
      </c>
      <c r="BC113" s="676" cm="1">
        <f t="array" ref="BC113">SUM(_xlfn._xlws.FILTER(_xlfn._xlws.FILTER(headcountData,(headcountDataDepts=$D113)*(headcountDataIDs=$E113)),(startDates&gt;=BC$95)*(endDates=BC$96)))</f>
        <v>2000</v>
      </c>
      <c r="BD113" s="676" cm="1">
        <f t="array" ref="BD113">SUM(_xlfn._xlws.FILTER(_xlfn._xlws.FILTER(headcountData,(headcountDataDepts=$D113)*(headcountDataIDs=$E113)),(startDates&gt;=BD$95)*(endDates=BD$96)))</f>
        <v>2000</v>
      </c>
      <c r="BE113" s="676" cm="1">
        <f t="array" ref="BE113">SUM(_xlfn._xlws.FILTER(_xlfn._xlws.FILTER(headcountData,(headcountDataDepts=$D113)*(headcountDataIDs=$E113)),(startDates&gt;=BE$95)*(endDates=BE$96)))</f>
        <v>2000</v>
      </c>
      <c r="BF113" s="676" cm="1">
        <f t="array" ref="BF113">SUM(_xlfn._xlws.FILTER(_xlfn._xlws.FILTER(headcountData,(headcountDataDepts=$D113)*(headcountDataIDs=$E113)),(startDates&gt;=BF$95)*(endDates=BF$96)))</f>
        <v>2000</v>
      </c>
      <c r="BG113" s="676" cm="1">
        <f t="array" ref="BG113">SUM(_xlfn._xlws.FILTER(_xlfn._xlws.FILTER(headcountData,(headcountDataDepts=$D113)*(headcountDataIDs=$E113)),(startDates&gt;=BG$95)*(endDates=BG$96)))</f>
        <v>2000</v>
      </c>
      <c r="BH113" s="676" cm="1">
        <f t="array" ref="BH113">SUM(_xlfn._xlws.FILTER(_xlfn._xlws.FILTER(headcountData,(headcountDataDepts=$D113)*(headcountDataIDs=$E113)),(startDates&gt;=BH$95)*(endDates=BH$96)))</f>
        <v>2000</v>
      </c>
      <c r="BI113" s="676" cm="1">
        <f t="array" ref="BI113">SUM(_xlfn._xlws.FILTER(_xlfn._xlws.FILTER(headcountData,(headcountDataDepts=$D113)*(headcountDataIDs=$E113)),(startDates&gt;=BI$95)*(endDates=BI$96)))</f>
        <v>2000</v>
      </c>
      <c r="BJ113" s="676" cm="1">
        <f t="array" ref="BJ113">SUM(_xlfn._xlws.FILTER(_xlfn._xlws.FILTER(headcountData,(headcountDataDepts=$D113)*(headcountDataIDs=$E113)),(startDates&gt;=BJ$95)*(endDates=BJ$96)))</f>
        <v>2000</v>
      </c>
      <c r="BK113" s="676" cm="1">
        <f t="array" ref="BK113">SUM(_xlfn._xlws.FILTER(_xlfn._xlws.FILTER(headcountData,(headcountDataDepts=$D113)*(headcountDataIDs=$E113)),(startDates&gt;=BK$95)*(endDates=BK$96)))</f>
        <v>2000</v>
      </c>
      <c r="BL113" s="676" cm="1">
        <f t="array" ref="BL113">SUM(_xlfn._xlws.FILTER(_xlfn._xlws.FILTER(headcountData,(headcountDataDepts=$D113)*(headcountDataIDs=$E113)),(startDates&gt;=BL$95)*(endDates=BL$96)))</f>
        <v>2000</v>
      </c>
      <c r="BM113" s="676" cm="1">
        <f t="array" ref="BM113">SUM(_xlfn._xlws.FILTER(_xlfn._xlws.FILTER(headcountData,(headcountDataDepts=$D113)*(headcountDataIDs=$E113)),(startDates&gt;=BM$95)*(endDates=BM$96)))</f>
        <v>2000</v>
      </c>
      <c r="BN113" s="676" cm="1">
        <f t="array" ref="BN113">SUM(_xlfn._xlws.FILTER(_xlfn._xlws.FILTER(headcountData,(headcountDataDepts=$D113)*(headcountDataIDs=$E113)),(startDates&gt;=BN$95)*(endDates=BN$96)))</f>
        <v>2000</v>
      </c>
      <c r="BO113" s="676" cm="1">
        <f t="array" ref="BO113">SUM(_xlfn._xlws.FILTER(_xlfn._xlws.FILTER(headcountData,(headcountDataDepts=$D113)*(headcountDataIDs=$E113)),(startDates&gt;=BO$95)*(endDates=BO$96)))</f>
        <v>2000</v>
      </c>
      <c r="BP113" s="676" cm="1">
        <f t="array" ref="BP113">SUM(_xlfn._xlws.FILTER(_xlfn._xlws.FILTER(headcountData,(headcountDataDepts=$D113)*(headcountDataIDs=$E113)),(startDates&gt;=BP$95)*(endDates=BP$96)))</f>
        <v>2000</v>
      </c>
      <c r="BQ113" s="676" cm="1">
        <f t="array" ref="BQ113">SUM(_xlfn._xlws.FILTER(_xlfn._xlws.FILTER(headcountData,(headcountDataDepts=$D113)*(headcountDataIDs=$E113)),(startDates&gt;=BQ$95)*(endDates=BQ$96)))</f>
        <v>2000</v>
      </c>
      <c r="BR113" s="676" cm="1">
        <f t="array" ref="BR113">SUM(_xlfn._xlws.FILTER(_xlfn._xlws.FILTER(headcountData,(headcountDataDepts=$D113)*(headcountDataIDs=$E113)),(startDates&gt;=BR$95)*(endDates=BR$96)))</f>
        <v>2000</v>
      </c>
      <c r="BS113" s="676" cm="1">
        <f t="array" ref="BS113">SUM(_xlfn._xlws.FILTER(_xlfn._xlws.FILTER(headcountData,(headcountDataDepts=$D113)*(headcountDataIDs=$E113)),(startDates&gt;=BS$95)*(endDates=BS$96)))</f>
        <v>2000</v>
      </c>
      <c r="BT113" s="676" cm="1">
        <f t="array" ref="BT113">SUM(_xlfn._xlws.FILTER(_xlfn._xlws.FILTER(headcountData,(headcountDataDepts=$D113)*(headcountDataIDs=$E113)),(startDates&gt;=BT$95)*(endDates=BT$96)))</f>
        <v>2000</v>
      </c>
      <c r="BU113" s="676" cm="1">
        <f t="array" ref="BU113">SUM(_xlfn._xlws.FILTER(_xlfn._xlws.FILTER(headcountData,(headcountDataDepts=$D113)*(headcountDataIDs=$E113)),(startDates&gt;=BU$95)*(endDates=BU$96)))</f>
        <v>2000</v>
      </c>
      <c r="BV113" s="676" cm="1">
        <f t="array" ref="BV113">SUM(_xlfn._xlws.FILTER(_xlfn._xlws.FILTER(headcountData,(headcountDataDepts=$D113)*(headcountDataIDs=$E113)),(startDates&gt;=BV$95)*(endDates=BV$96)))</f>
        <v>2000</v>
      </c>
      <c r="BW113" s="676" cm="1">
        <f t="array" ref="BW113">SUM(_xlfn._xlws.FILTER(_xlfn._xlws.FILTER(headcountData,(headcountDataDepts=$D113)*(headcountDataIDs=$E113)),(startDates&gt;=BW$95)*(endDates=BW$96)))</f>
        <v>2000</v>
      </c>
      <c r="BX113" s="676" cm="1">
        <f t="array" ref="BX113">SUM(_xlfn._xlws.FILTER(_xlfn._xlws.FILTER(headcountData,(headcountDataDepts=$D113)*(headcountDataIDs=$E113)),(startDates&gt;=BX$95)*(endDates=BX$96)))</f>
        <v>2000</v>
      </c>
      <c r="BY113" s="676" cm="1">
        <f t="array" ref="BY113">SUM(_xlfn._xlws.FILTER(_xlfn._xlws.FILTER(headcountData,(headcountDataDepts=$D113)*(headcountDataIDs=$E113)),(startDates&gt;=BY$95)*(endDates=BY$96)))</f>
        <v>4083.333333333333</v>
      </c>
      <c r="BZ113" s="676" cm="1">
        <f t="array" ref="BZ113">SUM(_xlfn._xlws.FILTER(_xlfn._xlws.FILTER(headcountData,(headcountDataDepts=$D113)*(headcountDataIDs=$E113)),(startDates&gt;=BZ$95)*(endDates=BZ$96)))</f>
        <v>4083.333333333333</v>
      </c>
      <c r="CA113" s="676" cm="1">
        <f t="array" ref="CA113">SUM(_xlfn._xlws.FILTER(_xlfn._xlws.FILTER(headcountData,(headcountDataDepts=$D113)*(headcountDataIDs=$E113)),(startDates&gt;=CA$95)*(endDates=CA$96)))</f>
        <v>4083.333333333333</v>
      </c>
      <c r="CB113" s="676" cm="1">
        <f t="array" ref="CB113">SUM(_xlfn._xlws.FILTER(_xlfn._xlws.FILTER(headcountData,(headcountDataDepts=$D113)*(headcountDataIDs=$E113)),(startDates&gt;=CB$95)*(endDates=CB$96)))</f>
        <v>4083.333333333333</v>
      </c>
      <c r="CC113" s="676" cm="1">
        <f t="array" ref="CC113">SUM(_xlfn._xlws.FILTER(_xlfn._xlws.FILTER(headcountData,(headcountDataDepts=$D113)*(headcountDataIDs=$E113)),(startDates&gt;=CC$95)*(endDates=CC$96)))</f>
        <v>4083.333333333333</v>
      </c>
      <c r="CD113" s="676" cm="1">
        <f t="array" ref="CD113">SUM(_xlfn._xlws.FILTER(_xlfn._xlws.FILTER(headcountData,(headcountDataDepts=$D113)*(headcountDataIDs=$E113)),(startDates&gt;=CD$95)*(endDates=CD$96)))</f>
        <v>4083.333333333333</v>
      </c>
      <c r="CE113" s="676" cm="1">
        <f t="array" ref="CE113">SUM(_xlfn._xlws.FILTER(_xlfn._xlws.FILTER(headcountData,(headcountDataDepts=$D113)*(headcountDataIDs=$E113)),(startDates&gt;=CE$95)*(endDates=CE$96)))</f>
        <v>4083.333333333333</v>
      </c>
      <c r="CF113" s="676" cm="1">
        <f t="array" ref="CF113">SUM(_xlfn._xlws.FILTER(_xlfn._xlws.FILTER(headcountData,(headcountDataDepts=$D113)*(headcountDataIDs=$E113)),(startDates&gt;=CF$95)*(endDates=CF$96)))</f>
        <v>4083.333333333333</v>
      </c>
      <c r="CG113" s="676" cm="1">
        <f t="array" ref="CG113">SUM(_xlfn._xlws.FILTER(_xlfn._xlws.FILTER(headcountData,(headcountDataDepts=$D113)*(headcountDataIDs=$E113)),(startDates&gt;=CG$95)*(endDates=CG$96)))</f>
        <v>4083.333333333333</v>
      </c>
    </row>
    <row r="114" spans="3:85" ht="15.75" customHeight="1" outlineLevel="1">
      <c r="C114" s="677" t="s">
        <v>197</v>
      </c>
      <c r="D114" s="149" t="s">
        <v>179</v>
      </c>
      <c r="E114" s="150" t="s">
        <v>198</v>
      </c>
      <c r="J114" s="676" cm="1">
        <f t="array" ref="J114">SUM(_xlfn._xlws.FILTER(_xlfn._xlws.FILTER(headcountData,(headcountDataDepts=$D114)*(headcountDataIDs=$E114)),(startDates&gt;=J$95)*(endDates=J$96)))</f>
        <v>50</v>
      </c>
      <c r="K114" s="676" cm="1">
        <f t="array" ref="K114">SUM(_xlfn._xlws.FILTER(_xlfn._xlws.FILTER(headcountData,(headcountDataDepts=$D114)*(headcountDataIDs=$E114)),(startDates&gt;=K$95)*(endDates=K$96)))</f>
        <v>50</v>
      </c>
      <c r="N114" s="676" cm="1">
        <f t="array" ref="N114">SUM(_xlfn._xlws.FILTER(_xlfn._xlws.FILTER(headcountData,(headcountDataDepts=$D114)*(headcountDataIDs=$E114)),(startDates&gt;=N$95)*(endDates=N$96)))</f>
        <v>25</v>
      </c>
      <c r="O114" s="676" cm="1">
        <f t="array" ref="O114">SUM(_xlfn._xlws.FILTER(_xlfn._xlws.FILTER(headcountData,(headcountDataDepts=$D114)*(headcountDataIDs=$E114)),(startDates&gt;=O$95)*(endDates=O$96)))</f>
        <v>50</v>
      </c>
      <c r="P114" s="676" cm="1">
        <f t="array" ref="P114">SUM(_xlfn._xlws.FILTER(_xlfn._xlws.FILTER(headcountData,(headcountDataDepts=$D114)*(headcountDataIDs=$E114)),(startDates&gt;=P$95)*(endDates=P$96)))</f>
        <v>50</v>
      </c>
      <c r="Q114" s="676" cm="1">
        <f t="array" ref="Q114">SUM(_xlfn._xlws.FILTER(_xlfn._xlws.FILTER(headcountData,(headcountDataDepts=$D114)*(headcountDataIDs=$E114)),(startDates&gt;=Q$95)*(endDates=Q$96)))</f>
        <v>102.08333333333333</v>
      </c>
      <c r="T114" s="676" cm="1">
        <f t="array" ref="T114">SUM(_xlfn._xlws.FILTER(_xlfn._xlws.FILTER(headcountData,(headcountDataDepts=$D114)*(headcountDataIDs=$E114)),(startDates&gt;=T$95)*(endDates=T$96)))</f>
        <v>25</v>
      </c>
      <c r="U114" s="676" cm="1">
        <f t="array" ref="U114">SUM(_xlfn._xlws.FILTER(_xlfn._xlws.FILTER(headcountData,(headcountDataDepts=$D114)*(headcountDataIDs=$E114)),(startDates&gt;=U$95)*(endDates=U$96)))</f>
        <v>25</v>
      </c>
      <c r="V114" s="676" cm="1">
        <f t="array" ref="V114">SUM(_xlfn._xlws.FILTER(_xlfn._xlws.FILTER(headcountData,(headcountDataDepts=$D114)*(headcountDataIDs=$E114)),(startDates&gt;=V$95)*(endDates=V$96)))</f>
        <v>25</v>
      </c>
      <c r="W114" s="676" cm="1">
        <f t="array" ref="W114">SUM(_xlfn._xlws.FILTER(_xlfn._xlws.FILTER(headcountData,(headcountDataDepts=$D114)*(headcountDataIDs=$E114)),(startDates&gt;=W$95)*(endDates=W$96)))</f>
        <v>25</v>
      </c>
      <c r="X114" s="676" cm="1">
        <f t="array" ref="X114">SUM(_xlfn._xlws.FILTER(_xlfn._xlws.FILTER(headcountData,(headcountDataDepts=$D114)*(headcountDataIDs=$E114)),(startDates&gt;=X$95)*(endDates=X$96)))</f>
        <v>50</v>
      </c>
      <c r="Y114" s="676" cm="1">
        <f t="array" ref="Y114">SUM(_xlfn._xlws.FILTER(_xlfn._xlws.FILTER(headcountData,(headcountDataDepts=$D114)*(headcountDataIDs=$E114)),(startDates&gt;=Y$95)*(endDates=Y$96)))</f>
        <v>50</v>
      </c>
      <c r="Z114" s="676" cm="1">
        <f t="array" ref="Z114">SUM(_xlfn._xlws.FILTER(_xlfn._xlws.FILTER(headcountData,(headcountDataDepts=$D114)*(headcountDataIDs=$E114)),(startDates&gt;=Z$95)*(endDates=Z$96)))</f>
        <v>50</v>
      </c>
      <c r="AA114" s="676" cm="1">
        <f t="array" ref="AA114">SUM(_xlfn._xlws.FILTER(_xlfn._xlws.FILTER(headcountData,(headcountDataDepts=$D114)*(headcountDataIDs=$E114)),(startDates&gt;=AA$95)*(endDates=AA$96)))</f>
        <v>50</v>
      </c>
      <c r="AB114" s="676" cm="1">
        <f t="array" ref="AB114">SUM(_xlfn._xlws.FILTER(_xlfn._xlws.FILTER(headcountData,(headcountDataDepts=$D114)*(headcountDataIDs=$E114)),(startDates&gt;=AB$95)*(endDates=AB$96)))</f>
        <v>50</v>
      </c>
      <c r="AC114" s="676" cm="1">
        <f t="array" ref="AC114">SUM(_xlfn._xlws.FILTER(_xlfn._xlws.FILTER(headcountData,(headcountDataDepts=$D114)*(headcountDataIDs=$E114)),(startDates&gt;=AC$95)*(endDates=AC$96)))</f>
        <v>50</v>
      </c>
      <c r="AD114" s="676" cm="1">
        <f t="array" ref="AD114">SUM(_xlfn._xlws.FILTER(_xlfn._xlws.FILTER(headcountData,(headcountDataDepts=$D114)*(headcountDataIDs=$E114)),(startDates&gt;=AD$95)*(endDates=AD$96)))</f>
        <v>50</v>
      </c>
      <c r="AE114" s="676" cm="1">
        <f t="array" ref="AE114">SUM(_xlfn._xlws.FILTER(_xlfn._xlws.FILTER(headcountData,(headcountDataDepts=$D114)*(headcountDataIDs=$E114)),(startDates&gt;=AE$95)*(endDates=AE$96)))</f>
        <v>50</v>
      </c>
      <c r="AF114" s="676" cm="1">
        <f t="array" ref="AF114">SUM(_xlfn._xlws.FILTER(_xlfn._xlws.FILTER(headcountData,(headcountDataDepts=$D114)*(headcountDataIDs=$E114)),(startDates&gt;=AF$95)*(endDates=AF$96)))</f>
        <v>50</v>
      </c>
      <c r="AG114" s="676" cm="1">
        <f t="array" ref="AG114">SUM(_xlfn._xlws.FILTER(_xlfn._xlws.FILTER(headcountData,(headcountDataDepts=$D114)*(headcountDataIDs=$E114)),(startDates&gt;=AG$95)*(endDates=AG$96)))</f>
        <v>102.08333333333333</v>
      </c>
      <c r="AH114" s="676" cm="1">
        <f t="array" ref="AH114">SUM(_xlfn._xlws.FILTER(_xlfn._xlws.FILTER(headcountData,(headcountDataDepts=$D114)*(headcountDataIDs=$E114)),(startDates&gt;=AH$95)*(endDates=AH$96)))</f>
        <v>102.08333333333333</v>
      </c>
      <c r="AI114" s="676" cm="1">
        <f t="array" ref="AI114">SUM(_xlfn._xlws.FILTER(_xlfn._xlws.FILTER(headcountData,(headcountDataDepts=$D114)*(headcountDataIDs=$E114)),(startDates&gt;=AI$95)*(endDates=AI$96)))</f>
        <v>102.08333333333333</v>
      </c>
      <c r="AL114" s="676" cm="1">
        <f t="array" ref="AL114">SUM(_xlfn._xlws.FILTER(_xlfn._xlws.FILTER(headcountData,(headcountDataDepts=$D114)*(headcountDataIDs=$E114)),(startDates&gt;=AL$95)*(endDates=AL$96)))</f>
        <v>25</v>
      </c>
      <c r="AM114" s="676" cm="1">
        <f t="array" ref="AM114">SUM(_xlfn._xlws.FILTER(_xlfn._xlws.FILTER(headcountData,(headcountDataDepts=$D114)*(headcountDataIDs=$E114)),(startDates&gt;=AM$95)*(endDates=AM$96)))</f>
        <v>25</v>
      </c>
      <c r="AN114" s="676" cm="1">
        <f t="array" ref="AN114">SUM(_xlfn._xlws.FILTER(_xlfn._xlws.FILTER(headcountData,(headcountDataDepts=$D114)*(headcountDataIDs=$E114)),(startDates&gt;=AN$95)*(endDates=AN$96)))</f>
        <v>25</v>
      </c>
      <c r="AO114" s="676" cm="1">
        <f t="array" ref="AO114">SUM(_xlfn._xlws.FILTER(_xlfn._xlws.FILTER(headcountData,(headcountDataDepts=$D114)*(headcountDataIDs=$E114)),(startDates&gt;=AO$95)*(endDates=AO$96)))</f>
        <v>25</v>
      </c>
      <c r="AP114" s="676" cm="1">
        <f t="array" ref="AP114">SUM(_xlfn._xlws.FILTER(_xlfn._xlws.FILTER(headcountData,(headcountDataDepts=$D114)*(headcountDataIDs=$E114)),(startDates&gt;=AP$95)*(endDates=AP$96)))</f>
        <v>25</v>
      </c>
      <c r="AQ114" s="676" cm="1">
        <f t="array" ref="AQ114">SUM(_xlfn._xlws.FILTER(_xlfn._xlws.FILTER(headcountData,(headcountDataDepts=$D114)*(headcountDataIDs=$E114)),(startDates&gt;=AQ$95)*(endDates=AQ$96)))</f>
        <v>25</v>
      </c>
      <c r="AR114" s="676" cm="1">
        <f t="array" ref="AR114">SUM(_xlfn._xlws.FILTER(_xlfn._xlws.FILTER(headcountData,(headcountDataDepts=$D114)*(headcountDataIDs=$E114)),(startDates&gt;=AR$95)*(endDates=AR$96)))</f>
        <v>25</v>
      </c>
      <c r="AS114" s="676" cm="1">
        <f t="array" ref="AS114">SUM(_xlfn._xlws.FILTER(_xlfn._xlws.FILTER(headcountData,(headcountDataDepts=$D114)*(headcountDataIDs=$E114)),(startDates&gt;=AS$95)*(endDates=AS$96)))</f>
        <v>25</v>
      </c>
      <c r="AT114" s="676" cm="1">
        <f t="array" ref="AT114">SUM(_xlfn._xlws.FILTER(_xlfn._xlws.FILTER(headcountData,(headcountDataDepts=$D114)*(headcountDataIDs=$E114)),(startDates&gt;=AT$95)*(endDates=AT$96)))</f>
        <v>25</v>
      </c>
      <c r="AU114" s="676" cm="1">
        <f t="array" ref="AU114">SUM(_xlfn._xlws.FILTER(_xlfn._xlws.FILTER(headcountData,(headcountDataDepts=$D114)*(headcountDataIDs=$E114)),(startDates&gt;=AU$95)*(endDates=AU$96)))</f>
        <v>25</v>
      </c>
      <c r="AV114" s="676" cm="1">
        <f t="array" ref="AV114">SUM(_xlfn._xlws.FILTER(_xlfn._xlws.FILTER(headcountData,(headcountDataDepts=$D114)*(headcountDataIDs=$E114)),(startDates&gt;=AV$95)*(endDates=AV$96)))</f>
        <v>25</v>
      </c>
      <c r="AW114" s="676" cm="1">
        <f t="array" ref="AW114">SUM(_xlfn._xlws.FILTER(_xlfn._xlws.FILTER(headcountData,(headcountDataDepts=$D114)*(headcountDataIDs=$E114)),(startDates&gt;=AW$95)*(endDates=AW$96)))</f>
        <v>25</v>
      </c>
      <c r="AX114" s="676" cm="1">
        <f t="array" ref="AX114">SUM(_xlfn._xlws.FILTER(_xlfn._xlws.FILTER(headcountData,(headcountDataDepts=$D114)*(headcountDataIDs=$E114)),(startDates&gt;=AX$95)*(endDates=AX$96)))</f>
        <v>50</v>
      </c>
      <c r="AY114" s="676" cm="1">
        <f t="array" ref="AY114">SUM(_xlfn._xlws.FILTER(_xlfn._xlws.FILTER(headcountData,(headcountDataDepts=$D114)*(headcountDataIDs=$E114)),(startDates&gt;=AY$95)*(endDates=AY$96)))</f>
        <v>50</v>
      </c>
      <c r="AZ114" s="676" cm="1">
        <f t="array" ref="AZ114">SUM(_xlfn._xlws.FILTER(_xlfn._xlws.FILTER(headcountData,(headcountDataDepts=$D114)*(headcountDataIDs=$E114)),(startDates&gt;=AZ$95)*(endDates=AZ$96)))</f>
        <v>50</v>
      </c>
      <c r="BA114" s="676" cm="1">
        <f t="array" ref="BA114">SUM(_xlfn._xlws.FILTER(_xlfn._xlws.FILTER(headcountData,(headcountDataDepts=$D114)*(headcountDataIDs=$E114)),(startDates&gt;=BA$95)*(endDates=BA$96)))</f>
        <v>50</v>
      </c>
      <c r="BB114" s="676" cm="1">
        <f t="array" ref="BB114">SUM(_xlfn._xlws.FILTER(_xlfn._xlws.FILTER(headcountData,(headcountDataDepts=$D114)*(headcountDataIDs=$E114)),(startDates&gt;=BB$95)*(endDates=BB$96)))</f>
        <v>50</v>
      </c>
      <c r="BC114" s="676" cm="1">
        <f t="array" ref="BC114">SUM(_xlfn._xlws.FILTER(_xlfn._xlws.FILTER(headcountData,(headcountDataDepts=$D114)*(headcountDataIDs=$E114)),(startDates&gt;=BC$95)*(endDates=BC$96)))</f>
        <v>50</v>
      </c>
      <c r="BD114" s="676" cm="1">
        <f t="array" ref="BD114">SUM(_xlfn._xlws.FILTER(_xlfn._xlws.FILTER(headcountData,(headcountDataDepts=$D114)*(headcountDataIDs=$E114)),(startDates&gt;=BD$95)*(endDates=BD$96)))</f>
        <v>50</v>
      </c>
      <c r="BE114" s="676" cm="1">
        <f t="array" ref="BE114">SUM(_xlfn._xlws.FILTER(_xlfn._xlws.FILTER(headcountData,(headcountDataDepts=$D114)*(headcountDataIDs=$E114)),(startDates&gt;=BE$95)*(endDates=BE$96)))</f>
        <v>50</v>
      </c>
      <c r="BF114" s="676" cm="1">
        <f t="array" ref="BF114">SUM(_xlfn._xlws.FILTER(_xlfn._xlws.FILTER(headcountData,(headcountDataDepts=$D114)*(headcountDataIDs=$E114)),(startDates&gt;=BF$95)*(endDates=BF$96)))</f>
        <v>50</v>
      </c>
      <c r="BG114" s="676" cm="1">
        <f t="array" ref="BG114">SUM(_xlfn._xlws.FILTER(_xlfn._xlws.FILTER(headcountData,(headcountDataDepts=$D114)*(headcountDataIDs=$E114)),(startDates&gt;=BG$95)*(endDates=BG$96)))</f>
        <v>50</v>
      </c>
      <c r="BH114" s="676" cm="1">
        <f t="array" ref="BH114">SUM(_xlfn._xlws.FILTER(_xlfn._xlws.FILTER(headcountData,(headcountDataDepts=$D114)*(headcountDataIDs=$E114)),(startDates&gt;=BH$95)*(endDates=BH$96)))</f>
        <v>50</v>
      </c>
      <c r="BI114" s="676" cm="1">
        <f t="array" ref="BI114">SUM(_xlfn._xlws.FILTER(_xlfn._xlws.FILTER(headcountData,(headcountDataDepts=$D114)*(headcountDataIDs=$E114)),(startDates&gt;=BI$95)*(endDates=BI$96)))</f>
        <v>50</v>
      </c>
      <c r="BJ114" s="676" cm="1">
        <f t="array" ref="BJ114">SUM(_xlfn._xlws.FILTER(_xlfn._xlws.FILTER(headcountData,(headcountDataDepts=$D114)*(headcountDataIDs=$E114)),(startDates&gt;=BJ$95)*(endDates=BJ$96)))</f>
        <v>50</v>
      </c>
      <c r="BK114" s="676" cm="1">
        <f t="array" ref="BK114">SUM(_xlfn._xlws.FILTER(_xlfn._xlws.FILTER(headcountData,(headcountDataDepts=$D114)*(headcountDataIDs=$E114)),(startDates&gt;=BK$95)*(endDates=BK$96)))</f>
        <v>50</v>
      </c>
      <c r="BL114" s="676" cm="1">
        <f t="array" ref="BL114">SUM(_xlfn._xlws.FILTER(_xlfn._xlws.FILTER(headcountData,(headcountDataDepts=$D114)*(headcountDataIDs=$E114)),(startDates&gt;=BL$95)*(endDates=BL$96)))</f>
        <v>50</v>
      </c>
      <c r="BM114" s="676" cm="1">
        <f t="array" ref="BM114">SUM(_xlfn._xlws.FILTER(_xlfn._xlws.FILTER(headcountData,(headcountDataDepts=$D114)*(headcountDataIDs=$E114)),(startDates&gt;=BM$95)*(endDates=BM$96)))</f>
        <v>50</v>
      </c>
      <c r="BN114" s="676" cm="1">
        <f t="array" ref="BN114">SUM(_xlfn._xlws.FILTER(_xlfn._xlws.FILTER(headcountData,(headcountDataDepts=$D114)*(headcountDataIDs=$E114)),(startDates&gt;=BN$95)*(endDates=BN$96)))</f>
        <v>50</v>
      </c>
      <c r="BO114" s="676" cm="1">
        <f t="array" ref="BO114">SUM(_xlfn._xlws.FILTER(_xlfn._xlws.FILTER(headcountData,(headcountDataDepts=$D114)*(headcountDataIDs=$E114)),(startDates&gt;=BO$95)*(endDates=BO$96)))</f>
        <v>50</v>
      </c>
      <c r="BP114" s="676" cm="1">
        <f t="array" ref="BP114">SUM(_xlfn._xlws.FILTER(_xlfn._xlws.FILTER(headcountData,(headcountDataDepts=$D114)*(headcountDataIDs=$E114)),(startDates&gt;=BP$95)*(endDates=BP$96)))</f>
        <v>50</v>
      </c>
      <c r="BQ114" s="676" cm="1">
        <f t="array" ref="BQ114">SUM(_xlfn._xlws.FILTER(_xlfn._xlws.FILTER(headcountData,(headcountDataDepts=$D114)*(headcountDataIDs=$E114)),(startDates&gt;=BQ$95)*(endDates=BQ$96)))</f>
        <v>50</v>
      </c>
      <c r="BR114" s="676" cm="1">
        <f t="array" ref="BR114">SUM(_xlfn._xlws.FILTER(_xlfn._xlws.FILTER(headcountData,(headcountDataDepts=$D114)*(headcountDataIDs=$E114)),(startDates&gt;=BR$95)*(endDates=BR$96)))</f>
        <v>50</v>
      </c>
      <c r="BS114" s="676" cm="1">
        <f t="array" ref="BS114">SUM(_xlfn._xlws.FILTER(_xlfn._xlws.FILTER(headcountData,(headcountDataDepts=$D114)*(headcountDataIDs=$E114)),(startDates&gt;=BS$95)*(endDates=BS$96)))</f>
        <v>50</v>
      </c>
      <c r="BT114" s="676" cm="1">
        <f t="array" ref="BT114">SUM(_xlfn._xlws.FILTER(_xlfn._xlws.FILTER(headcountData,(headcountDataDepts=$D114)*(headcountDataIDs=$E114)),(startDates&gt;=BT$95)*(endDates=BT$96)))</f>
        <v>50</v>
      </c>
      <c r="BU114" s="676" cm="1">
        <f t="array" ref="BU114">SUM(_xlfn._xlws.FILTER(_xlfn._xlws.FILTER(headcountData,(headcountDataDepts=$D114)*(headcountDataIDs=$E114)),(startDates&gt;=BU$95)*(endDates=BU$96)))</f>
        <v>50</v>
      </c>
      <c r="BV114" s="676" cm="1">
        <f t="array" ref="BV114">SUM(_xlfn._xlws.FILTER(_xlfn._xlws.FILTER(headcountData,(headcountDataDepts=$D114)*(headcountDataIDs=$E114)),(startDates&gt;=BV$95)*(endDates=BV$96)))</f>
        <v>50</v>
      </c>
      <c r="BW114" s="676" cm="1">
        <f t="array" ref="BW114">SUM(_xlfn._xlws.FILTER(_xlfn._xlws.FILTER(headcountData,(headcountDataDepts=$D114)*(headcountDataIDs=$E114)),(startDates&gt;=BW$95)*(endDates=BW$96)))</f>
        <v>50</v>
      </c>
      <c r="BX114" s="676" cm="1">
        <f t="array" ref="BX114">SUM(_xlfn._xlws.FILTER(_xlfn._xlws.FILTER(headcountData,(headcountDataDepts=$D114)*(headcountDataIDs=$E114)),(startDates&gt;=BX$95)*(endDates=BX$96)))</f>
        <v>50</v>
      </c>
      <c r="BY114" s="676" cm="1">
        <f t="array" ref="BY114">SUM(_xlfn._xlws.FILTER(_xlfn._xlws.FILTER(headcountData,(headcountDataDepts=$D114)*(headcountDataIDs=$E114)),(startDates&gt;=BY$95)*(endDates=BY$96)))</f>
        <v>102.08333333333333</v>
      </c>
      <c r="BZ114" s="676" cm="1">
        <f t="array" ref="BZ114">SUM(_xlfn._xlws.FILTER(_xlfn._xlws.FILTER(headcountData,(headcountDataDepts=$D114)*(headcountDataIDs=$E114)),(startDates&gt;=BZ$95)*(endDates=BZ$96)))</f>
        <v>102.08333333333333</v>
      </c>
      <c r="CA114" s="676" cm="1">
        <f t="array" ref="CA114">SUM(_xlfn._xlws.FILTER(_xlfn._xlws.FILTER(headcountData,(headcountDataDepts=$D114)*(headcountDataIDs=$E114)),(startDates&gt;=CA$95)*(endDates=CA$96)))</f>
        <v>102.08333333333333</v>
      </c>
      <c r="CB114" s="676" cm="1">
        <f t="array" ref="CB114">SUM(_xlfn._xlws.FILTER(_xlfn._xlws.FILTER(headcountData,(headcountDataDepts=$D114)*(headcountDataIDs=$E114)),(startDates&gt;=CB$95)*(endDates=CB$96)))</f>
        <v>102.08333333333333</v>
      </c>
      <c r="CC114" s="676" cm="1">
        <f t="array" ref="CC114">SUM(_xlfn._xlws.FILTER(_xlfn._xlws.FILTER(headcountData,(headcountDataDepts=$D114)*(headcountDataIDs=$E114)),(startDates&gt;=CC$95)*(endDates=CC$96)))</f>
        <v>102.08333333333333</v>
      </c>
      <c r="CD114" s="676" cm="1">
        <f t="array" ref="CD114">SUM(_xlfn._xlws.FILTER(_xlfn._xlws.FILTER(headcountData,(headcountDataDepts=$D114)*(headcountDataIDs=$E114)),(startDates&gt;=CD$95)*(endDates=CD$96)))</f>
        <v>102.08333333333333</v>
      </c>
      <c r="CE114" s="676" cm="1">
        <f t="array" ref="CE114">SUM(_xlfn._xlws.FILTER(_xlfn._xlws.FILTER(headcountData,(headcountDataDepts=$D114)*(headcountDataIDs=$E114)),(startDates&gt;=CE$95)*(endDates=CE$96)))</f>
        <v>102.08333333333333</v>
      </c>
      <c r="CF114" s="676" cm="1">
        <f t="array" ref="CF114">SUM(_xlfn._xlws.FILTER(_xlfn._xlws.FILTER(headcountData,(headcountDataDepts=$D114)*(headcountDataIDs=$E114)),(startDates&gt;=CF$95)*(endDates=CF$96)))</f>
        <v>102.08333333333333</v>
      </c>
      <c r="CG114" s="676" cm="1">
        <f t="array" ref="CG114">SUM(_xlfn._xlws.FILTER(_xlfn._xlws.FILTER(headcountData,(headcountDataDepts=$D114)*(headcountDataIDs=$E114)),(startDates&gt;=CG$95)*(endDates=CG$96)))</f>
        <v>102.08333333333333</v>
      </c>
    </row>
    <row r="115" spans="3:85" ht="15.75" customHeight="1" outlineLevel="1">
      <c r="C115" s="677" t="s">
        <v>199</v>
      </c>
      <c r="D115" s="149" t="s">
        <v>179</v>
      </c>
      <c r="E115" s="150" t="s">
        <v>200</v>
      </c>
      <c r="J115" s="676" cm="1">
        <f t="array" ref="J115">SUM(_xlfn._xlws.FILTER(_xlfn._xlws.FILTER(headcountData,(headcountDataDepts=$D115)*(headcountDataIDs=$E115)),(startDates&gt;=J$95)*(endDates=J$96)))</f>
        <v>0</v>
      </c>
      <c r="K115" s="676" cm="1">
        <f t="array" ref="K115">SUM(_xlfn._xlws.FILTER(_xlfn._xlws.FILTER(headcountData,(headcountDataDepts=$D115)*(headcountDataIDs=$E115)),(startDates&gt;=K$95)*(endDates=K$96)))</f>
        <v>0</v>
      </c>
      <c r="N115" s="676" cm="1">
        <f t="array" ref="N115">SUM(_xlfn._xlws.FILTER(_xlfn._xlws.FILTER(headcountData,(headcountDataDepts=$D115)*(headcountDataIDs=$E115)),(startDates&gt;=N$95)*(endDates=N$96)))</f>
        <v>5000</v>
      </c>
      <c r="O115" s="676" cm="1">
        <f t="array" ref="O115">SUM(_xlfn._xlws.FILTER(_xlfn._xlws.FILTER(headcountData,(headcountDataDepts=$D115)*(headcountDataIDs=$E115)),(startDates&gt;=O$95)*(endDates=O$96)))</f>
        <v>5000</v>
      </c>
      <c r="P115" s="676" cm="1">
        <f t="array" ref="P115">SUM(_xlfn._xlws.FILTER(_xlfn._xlws.FILTER(headcountData,(headcountDataDepts=$D115)*(headcountDataIDs=$E115)),(startDates&gt;=P$95)*(endDates=P$96)))</f>
        <v>5000</v>
      </c>
      <c r="Q115" s="676" cm="1">
        <f t="array" ref="Q115">SUM(_xlfn._xlws.FILTER(_xlfn._xlws.FILTER(headcountData,(headcountDataDepts=$D115)*(headcountDataIDs=$E115)),(startDates&gt;=Q$95)*(endDates=Q$96)))</f>
        <v>5000</v>
      </c>
      <c r="T115" s="676" cm="1">
        <f t="array" ref="T115">SUM(_xlfn._xlws.FILTER(_xlfn._xlws.FILTER(headcountData,(headcountDataDepts=$D115)*(headcountDataIDs=$E115)),(startDates&gt;=T$95)*(endDates=T$96)))</f>
        <v>0</v>
      </c>
      <c r="U115" s="676" cm="1">
        <f t="array" ref="U115">SUM(_xlfn._xlws.FILTER(_xlfn._xlws.FILTER(headcountData,(headcountDataDepts=$D115)*(headcountDataIDs=$E115)),(startDates&gt;=U$95)*(endDates=U$96)))</f>
        <v>0</v>
      </c>
      <c r="V115" s="676" cm="1">
        <f t="array" ref="V115">SUM(_xlfn._xlws.FILTER(_xlfn._xlws.FILTER(headcountData,(headcountDataDepts=$D115)*(headcountDataIDs=$E115)),(startDates&gt;=V$95)*(endDates=V$96)))</f>
        <v>0</v>
      </c>
      <c r="W115" s="676" cm="1">
        <f t="array" ref="W115">SUM(_xlfn._xlws.FILTER(_xlfn._xlws.FILTER(headcountData,(headcountDataDepts=$D115)*(headcountDataIDs=$E115)),(startDates&gt;=W$95)*(endDates=W$96)))</f>
        <v>5000</v>
      </c>
      <c r="X115" s="676" cm="1">
        <f t="array" ref="X115">SUM(_xlfn._xlws.FILTER(_xlfn._xlws.FILTER(headcountData,(headcountDataDepts=$D115)*(headcountDataIDs=$E115)),(startDates&gt;=X$95)*(endDates=X$96)))</f>
        <v>0</v>
      </c>
      <c r="Y115" s="676" cm="1">
        <f t="array" ref="Y115">SUM(_xlfn._xlws.FILTER(_xlfn._xlws.FILTER(headcountData,(headcountDataDepts=$D115)*(headcountDataIDs=$E115)),(startDates&gt;=Y$95)*(endDates=Y$96)))</f>
        <v>0</v>
      </c>
      <c r="Z115" s="676" cm="1">
        <f t="array" ref="Z115">SUM(_xlfn._xlws.FILTER(_xlfn._xlws.FILTER(headcountData,(headcountDataDepts=$D115)*(headcountDataIDs=$E115)),(startDates&gt;=Z$95)*(endDates=Z$96)))</f>
        <v>0</v>
      </c>
      <c r="AA115" s="676" cm="1">
        <f t="array" ref="AA115">SUM(_xlfn._xlws.FILTER(_xlfn._xlws.FILTER(headcountData,(headcountDataDepts=$D115)*(headcountDataIDs=$E115)),(startDates&gt;=AA$95)*(endDates=AA$96)))</f>
        <v>5000</v>
      </c>
      <c r="AB115" s="676" cm="1">
        <f t="array" ref="AB115">SUM(_xlfn._xlws.FILTER(_xlfn._xlws.FILTER(headcountData,(headcountDataDepts=$D115)*(headcountDataIDs=$E115)),(startDates&gt;=AB$95)*(endDates=AB$96)))</f>
        <v>0</v>
      </c>
      <c r="AC115" s="676" cm="1">
        <f t="array" ref="AC115">SUM(_xlfn._xlws.FILTER(_xlfn._xlws.FILTER(headcountData,(headcountDataDepts=$D115)*(headcountDataIDs=$E115)),(startDates&gt;=AC$95)*(endDates=AC$96)))</f>
        <v>0</v>
      </c>
      <c r="AD115" s="676" cm="1">
        <f t="array" ref="AD115">SUM(_xlfn._xlws.FILTER(_xlfn._xlws.FILTER(headcountData,(headcountDataDepts=$D115)*(headcountDataIDs=$E115)),(startDates&gt;=AD$95)*(endDates=AD$96)))</f>
        <v>0</v>
      </c>
      <c r="AE115" s="676" cm="1">
        <f t="array" ref="AE115">SUM(_xlfn._xlws.FILTER(_xlfn._xlws.FILTER(headcountData,(headcountDataDepts=$D115)*(headcountDataIDs=$E115)),(startDates&gt;=AE$95)*(endDates=AE$96)))</f>
        <v>5000</v>
      </c>
      <c r="AF115" s="676" cm="1">
        <f t="array" ref="AF115">SUM(_xlfn._xlws.FILTER(_xlfn._xlws.FILTER(headcountData,(headcountDataDepts=$D115)*(headcountDataIDs=$E115)),(startDates&gt;=AF$95)*(endDates=AF$96)))</f>
        <v>0</v>
      </c>
      <c r="AG115" s="676" cm="1">
        <f t="array" ref="AG115">SUM(_xlfn._xlws.FILTER(_xlfn._xlws.FILTER(headcountData,(headcountDataDepts=$D115)*(headcountDataIDs=$E115)),(startDates&gt;=AG$95)*(endDates=AG$96)))</f>
        <v>0</v>
      </c>
      <c r="AH115" s="676" cm="1">
        <f t="array" ref="AH115">SUM(_xlfn._xlws.FILTER(_xlfn._xlws.FILTER(headcountData,(headcountDataDepts=$D115)*(headcountDataIDs=$E115)),(startDates&gt;=AH$95)*(endDates=AH$96)))</f>
        <v>0</v>
      </c>
      <c r="AI115" s="676" cm="1">
        <f t="array" ref="AI115">SUM(_xlfn._xlws.FILTER(_xlfn._xlws.FILTER(headcountData,(headcountDataDepts=$D115)*(headcountDataIDs=$E115)),(startDates&gt;=AI$95)*(endDates=AI$96)))</f>
        <v>5000</v>
      </c>
      <c r="AL115" s="676" cm="1">
        <f t="array" ref="AL115">SUM(_xlfn._xlws.FILTER(_xlfn._xlws.FILTER(headcountData,(headcountDataDepts=$D115)*(headcountDataIDs=$E115)),(startDates&gt;=AL$95)*(endDates=AL$96)))</f>
        <v>0</v>
      </c>
      <c r="AM115" s="676" cm="1">
        <f t="array" ref="AM115">SUM(_xlfn._xlws.FILTER(_xlfn._xlws.FILTER(headcountData,(headcountDataDepts=$D115)*(headcountDataIDs=$E115)),(startDates&gt;=AM$95)*(endDates=AM$96)))</f>
        <v>0</v>
      </c>
      <c r="AN115" s="676" cm="1">
        <f t="array" ref="AN115">SUM(_xlfn._xlws.FILTER(_xlfn._xlws.FILTER(headcountData,(headcountDataDepts=$D115)*(headcountDataIDs=$E115)),(startDates&gt;=AN$95)*(endDates=AN$96)))</f>
        <v>0</v>
      </c>
      <c r="AO115" s="676" cm="1">
        <f t="array" ref="AO115">SUM(_xlfn._xlws.FILTER(_xlfn._xlws.FILTER(headcountData,(headcountDataDepts=$D115)*(headcountDataIDs=$E115)),(startDates&gt;=AO$95)*(endDates=AO$96)))</f>
        <v>0</v>
      </c>
      <c r="AP115" s="676" cm="1">
        <f t="array" ref="AP115">SUM(_xlfn._xlws.FILTER(_xlfn._xlws.FILTER(headcountData,(headcountDataDepts=$D115)*(headcountDataIDs=$E115)),(startDates&gt;=AP$95)*(endDates=AP$96)))</f>
        <v>0</v>
      </c>
      <c r="AQ115" s="676" cm="1">
        <f t="array" ref="AQ115">SUM(_xlfn._xlws.FILTER(_xlfn._xlws.FILTER(headcountData,(headcountDataDepts=$D115)*(headcountDataIDs=$E115)),(startDates&gt;=AQ$95)*(endDates=AQ$96)))</f>
        <v>0</v>
      </c>
      <c r="AR115" s="676" cm="1">
        <f t="array" ref="AR115">SUM(_xlfn._xlws.FILTER(_xlfn._xlws.FILTER(headcountData,(headcountDataDepts=$D115)*(headcountDataIDs=$E115)),(startDates&gt;=AR$95)*(endDates=AR$96)))</f>
        <v>0</v>
      </c>
      <c r="AS115" s="676" cm="1">
        <f t="array" ref="AS115">SUM(_xlfn._xlws.FILTER(_xlfn._xlws.FILTER(headcountData,(headcountDataDepts=$D115)*(headcountDataIDs=$E115)),(startDates&gt;=AS$95)*(endDates=AS$96)))</f>
        <v>0</v>
      </c>
      <c r="AT115" s="676" cm="1">
        <f t="array" ref="AT115">SUM(_xlfn._xlws.FILTER(_xlfn._xlws.FILTER(headcountData,(headcountDataDepts=$D115)*(headcountDataIDs=$E115)),(startDates&gt;=AT$95)*(endDates=AT$96)))</f>
        <v>0</v>
      </c>
      <c r="AU115" s="676" cm="1">
        <f t="array" ref="AU115">SUM(_xlfn._xlws.FILTER(_xlfn._xlws.FILTER(headcountData,(headcountDataDepts=$D115)*(headcountDataIDs=$E115)),(startDates&gt;=AU$95)*(endDates=AU$96)))</f>
        <v>0</v>
      </c>
      <c r="AV115" s="676" cm="1">
        <f t="array" ref="AV115">SUM(_xlfn._xlws.FILTER(_xlfn._xlws.FILTER(headcountData,(headcountDataDepts=$D115)*(headcountDataIDs=$E115)),(startDates&gt;=AV$95)*(endDates=AV$96)))</f>
        <v>0</v>
      </c>
      <c r="AW115" s="676" cm="1">
        <f t="array" ref="AW115">SUM(_xlfn._xlws.FILTER(_xlfn._xlws.FILTER(headcountData,(headcountDataDepts=$D115)*(headcountDataIDs=$E115)),(startDates&gt;=AW$95)*(endDates=AW$96)))</f>
        <v>5000</v>
      </c>
      <c r="AX115" s="676" cm="1">
        <f t="array" ref="AX115">SUM(_xlfn._xlws.FILTER(_xlfn._xlws.FILTER(headcountData,(headcountDataDepts=$D115)*(headcountDataIDs=$E115)),(startDates&gt;=AX$95)*(endDates=AX$96)))</f>
        <v>0</v>
      </c>
      <c r="AY115" s="676" cm="1">
        <f t="array" ref="AY115">SUM(_xlfn._xlws.FILTER(_xlfn._xlws.FILTER(headcountData,(headcountDataDepts=$D115)*(headcountDataIDs=$E115)),(startDates&gt;=AY$95)*(endDates=AY$96)))</f>
        <v>0</v>
      </c>
      <c r="AZ115" s="676" cm="1">
        <f t="array" ref="AZ115">SUM(_xlfn._xlws.FILTER(_xlfn._xlws.FILTER(headcountData,(headcountDataDepts=$D115)*(headcountDataIDs=$E115)),(startDates&gt;=AZ$95)*(endDates=AZ$96)))</f>
        <v>0</v>
      </c>
      <c r="BA115" s="676" cm="1">
        <f t="array" ref="BA115">SUM(_xlfn._xlws.FILTER(_xlfn._xlws.FILTER(headcountData,(headcountDataDepts=$D115)*(headcountDataIDs=$E115)),(startDates&gt;=BA$95)*(endDates=BA$96)))</f>
        <v>0</v>
      </c>
      <c r="BB115" s="676" cm="1">
        <f t="array" ref="BB115">SUM(_xlfn._xlws.FILTER(_xlfn._xlws.FILTER(headcountData,(headcountDataDepts=$D115)*(headcountDataIDs=$E115)),(startDates&gt;=BB$95)*(endDates=BB$96)))</f>
        <v>0</v>
      </c>
      <c r="BC115" s="676" cm="1">
        <f t="array" ref="BC115">SUM(_xlfn._xlws.FILTER(_xlfn._xlws.FILTER(headcountData,(headcountDataDepts=$D115)*(headcountDataIDs=$E115)),(startDates&gt;=BC$95)*(endDates=BC$96)))</f>
        <v>0</v>
      </c>
      <c r="BD115" s="676" cm="1">
        <f t="array" ref="BD115">SUM(_xlfn._xlws.FILTER(_xlfn._xlws.FILTER(headcountData,(headcountDataDepts=$D115)*(headcountDataIDs=$E115)),(startDates&gt;=BD$95)*(endDates=BD$96)))</f>
        <v>0</v>
      </c>
      <c r="BE115" s="676" cm="1">
        <f t="array" ref="BE115">SUM(_xlfn._xlws.FILTER(_xlfn._xlws.FILTER(headcountData,(headcountDataDepts=$D115)*(headcountDataIDs=$E115)),(startDates&gt;=BE$95)*(endDates=BE$96)))</f>
        <v>0</v>
      </c>
      <c r="BF115" s="676" cm="1">
        <f t="array" ref="BF115">SUM(_xlfn._xlws.FILTER(_xlfn._xlws.FILTER(headcountData,(headcountDataDepts=$D115)*(headcountDataIDs=$E115)),(startDates&gt;=BF$95)*(endDates=BF$96)))</f>
        <v>0</v>
      </c>
      <c r="BG115" s="676" cm="1">
        <f t="array" ref="BG115">SUM(_xlfn._xlws.FILTER(_xlfn._xlws.FILTER(headcountData,(headcountDataDepts=$D115)*(headcountDataIDs=$E115)),(startDates&gt;=BG$95)*(endDates=BG$96)))</f>
        <v>0</v>
      </c>
      <c r="BH115" s="676" cm="1">
        <f t="array" ref="BH115">SUM(_xlfn._xlws.FILTER(_xlfn._xlws.FILTER(headcountData,(headcountDataDepts=$D115)*(headcountDataIDs=$E115)),(startDates&gt;=BH$95)*(endDates=BH$96)))</f>
        <v>0</v>
      </c>
      <c r="BI115" s="676" cm="1">
        <f t="array" ref="BI115">SUM(_xlfn._xlws.FILTER(_xlfn._xlws.FILTER(headcountData,(headcountDataDepts=$D115)*(headcountDataIDs=$E115)),(startDates&gt;=BI$95)*(endDates=BI$96)))</f>
        <v>5000</v>
      </c>
      <c r="BJ115" s="676" cm="1">
        <f t="array" ref="BJ115">SUM(_xlfn._xlws.FILTER(_xlfn._xlws.FILTER(headcountData,(headcountDataDepts=$D115)*(headcountDataIDs=$E115)),(startDates&gt;=BJ$95)*(endDates=BJ$96)))</f>
        <v>0</v>
      </c>
      <c r="BK115" s="676" cm="1">
        <f t="array" ref="BK115">SUM(_xlfn._xlws.FILTER(_xlfn._xlws.FILTER(headcountData,(headcountDataDepts=$D115)*(headcountDataIDs=$E115)),(startDates&gt;=BK$95)*(endDates=BK$96)))</f>
        <v>0</v>
      </c>
      <c r="BL115" s="676" cm="1">
        <f t="array" ref="BL115">SUM(_xlfn._xlws.FILTER(_xlfn._xlws.FILTER(headcountData,(headcountDataDepts=$D115)*(headcountDataIDs=$E115)),(startDates&gt;=BL$95)*(endDates=BL$96)))</f>
        <v>0</v>
      </c>
      <c r="BM115" s="676" cm="1">
        <f t="array" ref="BM115">SUM(_xlfn._xlws.FILTER(_xlfn._xlws.FILTER(headcountData,(headcountDataDepts=$D115)*(headcountDataIDs=$E115)),(startDates&gt;=BM$95)*(endDates=BM$96)))</f>
        <v>0</v>
      </c>
      <c r="BN115" s="676" cm="1">
        <f t="array" ref="BN115">SUM(_xlfn._xlws.FILTER(_xlfn._xlws.FILTER(headcountData,(headcountDataDepts=$D115)*(headcountDataIDs=$E115)),(startDates&gt;=BN$95)*(endDates=BN$96)))</f>
        <v>0</v>
      </c>
      <c r="BO115" s="676" cm="1">
        <f t="array" ref="BO115">SUM(_xlfn._xlws.FILTER(_xlfn._xlws.FILTER(headcountData,(headcountDataDepts=$D115)*(headcountDataIDs=$E115)),(startDates&gt;=BO$95)*(endDates=BO$96)))</f>
        <v>0</v>
      </c>
      <c r="BP115" s="676" cm="1">
        <f t="array" ref="BP115">SUM(_xlfn._xlws.FILTER(_xlfn._xlws.FILTER(headcountData,(headcountDataDepts=$D115)*(headcountDataIDs=$E115)),(startDates&gt;=BP$95)*(endDates=BP$96)))</f>
        <v>0</v>
      </c>
      <c r="BQ115" s="676" cm="1">
        <f t="array" ref="BQ115">SUM(_xlfn._xlws.FILTER(_xlfn._xlws.FILTER(headcountData,(headcountDataDepts=$D115)*(headcountDataIDs=$E115)),(startDates&gt;=BQ$95)*(endDates=BQ$96)))</f>
        <v>0</v>
      </c>
      <c r="BR115" s="676" cm="1">
        <f t="array" ref="BR115">SUM(_xlfn._xlws.FILTER(_xlfn._xlws.FILTER(headcountData,(headcountDataDepts=$D115)*(headcountDataIDs=$E115)),(startDates&gt;=BR$95)*(endDates=BR$96)))</f>
        <v>0</v>
      </c>
      <c r="BS115" s="676" cm="1">
        <f t="array" ref="BS115">SUM(_xlfn._xlws.FILTER(_xlfn._xlws.FILTER(headcountData,(headcountDataDepts=$D115)*(headcountDataIDs=$E115)),(startDates&gt;=BS$95)*(endDates=BS$96)))</f>
        <v>0</v>
      </c>
      <c r="BT115" s="676" cm="1">
        <f t="array" ref="BT115">SUM(_xlfn._xlws.FILTER(_xlfn._xlws.FILTER(headcountData,(headcountDataDepts=$D115)*(headcountDataIDs=$E115)),(startDates&gt;=BT$95)*(endDates=BT$96)))</f>
        <v>0</v>
      </c>
      <c r="BU115" s="676" cm="1">
        <f t="array" ref="BU115">SUM(_xlfn._xlws.FILTER(_xlfn._xlws.FILTER(headcountData,(headcountDataDepts=$D115)*(headcountDataIDs=$E115)),(startDates&gt;=BU$95)*(endDates=BU$96)))</f>
        <v>5000</v>
      </c>
      <c r="BV115" s="676" cm="1">
        <f t="array" ref="BV115">SUM(_xlfn._xlws.FILTER(_xlfn._xlws.FILTER(headcountData,(headcountDataDepts=$D115)*(headcountDataIDs=$E115)),(startDates&gt;=BV$95)*(endDates=BV$96)))</f>
        <v>0</v>
      </c>
      <c r="BW115" s="676" cm="1">
        <f t="array" ref="BW115">SUM(_xlfn._xlws.FILTER(_xlfn._xlws.FILTER(headcountData,(headcountDataDepts=$D115)*(headcountDataIDs=$E115)),(startDates&gt;=BW$95)*(endDates=BW$96)))</f>
        <v>0</v>
      </c>
      <c r="BX115" s="676" cm="1">
        <f t="array" ref="BX115">SUM(_xlfn._xlws.FILTER(_xlfn._xlws.FILTER(headcountData,(headcountDataDepts=$D115)*(headcountDataIDs=$E115)),(startDates&gt;=BX$95)*(endDates=BX$96)))</f>
        <v>0</v>
      </c>
      <c r="BY115" s="676" cm="1">
        <f t="array" ref="BY115">SUM(_xlfn._xlws.FILTER(_xlfn._xlws.FILTER(headcountData,(headcountDataDepts=$D115)*(headcountDataIDs=$E115)),(startDates&gt;=BY$95)*(endDates=BY$96)))</f>
        <v>0</v>
      </c>
      <c r="BZ115" s="676" cm="1">
        <f t="array" ref="BZ115">SUM(_xlfn._xlws.FILTER(_xlfn._xlws.FILTER(headcountData,(headcountDataDepts=$D115)*(headcountDataIDs=$E115)),(startDates&gt;=BZ$95)*(endDates=BZ$96)))</f>
        <v>0</v>
      </c>
      <c r="CA115" s="676" cm="1">
        <f t="array" ref="CA115">SUM(_xlfn._xlws.FILTER(_xlfn._xlws.FILTER(headcountData,(headcountDataDepts=$D115)*(headcountDataIDs=$E115)),(startDates&gt;=CA$95)*(endDates=CA$96)))</f>
        <v>0</v>
      </c>
      <c r="CB115" s="676" cm="1">
        <f t="array" ref="CB115">SUM(_xlfn._xlws.FILTER(_xlfn._xlws.FILTER(headcountData,(headcountDataDepts=$D115)*(headcountDataIDs=$E115)),(startDates&gt;=CB$95)*(endDates=CB$96)))</f>
        <v>0</v>
      </c>
      <c r="CC115" s="676" cm="1">
        <f t="array" ref="CC115">SUM(_xlfn._xlws.FILTER(_xlfn._xlws.FILTER(headcountData,(headcountDataDepts=$D115)*(headcountDataIDs=$E115)),(startDates&gt;=CC$95)*(endDates=CC$96)))</f>
        <v>0</v>
      </c>
      <c r="CD115" s="676" cm="1">
        <f t="array" ref="CD115">SUM(_xlfn._xlws.FILTER(_xlfn._xlws.FILTER(headcountData,(headcountDataDepts=$D115)*(headcountDataIDs=$E115)),(startDates&gt;=CD$95)*(endDates=CD$96)))</f>
        <v>0</v>
      </c>
      <c r="CE115" s="676" cm="1">
        <f t="array" ref="CE115">SUM(_xlfn._xlws.FILTER(_xlfn._xlws.FILTER(headcountData,(headcountDataDepts=$D115)*(headcountDataIDs=$E115)),(startDates&gt;=CE$95)*(endDates=CE$96)))</f>
        <v>0</v>
      </c>
      <c r="CF115" s="676" cm="1">
        <f t="array" ref="CF115">SUM(_xlfn._xlws.FILTER(_xlfn._xlws.FILTER(headcountData,(headcountDataDepts=$D115)*(headcountDataIDs=$E115)),(startDates&gt;=CF$95)*(endDates=CF$96)))</f>
        <v>0</v>
      </c>
      <c r="CG115" s="676" cm="1">
        <f t="array" ref="CG115">SUM(_xlfn._xlws.FILTER(_xlfn._xlws.FILTER(headcountData,(headcountDataDepts=$D115)*(headcountDataIDs=$E115)),(startDates&gt;=CG$95)*(endDates=CG$96)))</f>
        <v>5000</v>
      </c>
    </row>
    <row r="116" spans="3:85" s="157" customFormat="1" ht="15.75" customHeight="1" collapsed="1">
      <c r="C116" s="383" t="s">
        <v>180</v>
      </c>
      <c r="D116" s="160"/>
      <c r="E116" s="161"/>
      <c r="F116" s="160"/>
      <c r="G116" s="160"/>
      <c r="J116" s="676">
        <f>_xlfn.AGGREGATE(9,0,J117:J122)</f>
        <v>33947.916666666664</v>
      </c>
      <c r="K116" s="676">
        <f t="shared" ref="K116" si="158">_xlfn.AGGREGATE(9,0,K117:K122)</f>
        <v>33947.916666666664</v>
      </c>
      <c r="L116" s="148"/>
      <c r="M116" s="148"/>
      <c r="N116" s="676">
        <f t="shared" ref="N116:Q116" si="159">_xlfn.AGGREGATE(9,0,N117:N122)</f>
        <v>5000</v>
      </c>
      <c r="O116" s="676">
        <f t="shared" si="159"/>
        <v>28947.916666666664</v>
      </c>
      <c r="P116" s="676">
        <f t="shared" si="159"/>
        <v>38947.916666666664</v>
      </c>
      <c r="Q116" s="676">
        <f t="shared" si="159"/>
        <v>38947.916666666664</v>
      </c>
      <c r="R116" s="148"/>
      <c r="S116" s="148"/>
      <c r="T116" s="676">
        <f t="shared" ref="T116:AI116" si="160">_xlfn.AGGREGATE(9,0,T117:T122)</f>
        <v>0</v>
      </c>
      <c r="U116" s="676">
        <f t="shared" si="160"/>
        <v>0</v>
      </c>
      <c r="V116" s="676">
        <f t="shared" si="160"/>
        <v>0</v>
      </c>
      <c r="W116" s="676">
        <f t="shared" si="160"/>
        <v>5000</v>
      </c>
      <c r="X116" s="676">
        <f t="shared" si="160"/>
        <v>21836.309523809527</v>
      </c>
      <c r="Y116" s="676">
        <f t="shared" si="160"/>
        <v>23947.916666666664</v>
      </c>
      <c r="Z116" s="676">
        <f t="shared" si="160"/>
        <v>23947.916666666664</v>
      </c>
      <c r="AA116" s="676">
        <f t="shared" si="160"/>
        <v>28947.916666666664</v>
      </c>
      <c r="AB116" s="676">
        <f t="shared" si="160"/>
        <v>23947.916666666664</v>
      </c>
      <c r="AC116" s="676">
        <f t="shared" si="160"/>
        <v>29186.011904761905</v>
      </c>
      <c r="AD116" s="676">
        <f t="shared" si="160"/>
        <v>33947.916666666664</v>
      </c>
      <c r="AE116" s="676">
        <f t="shared" si="160"/>
        <v>38947.916666666664</v>
      </c>
      <c r="AF116" s="676">
        <f t="shared" si="160"/>
        <v>33947.916666666664</v>
      </c>
      <c r="AG116" s="676">
        <f t="shared" si="160"/>
        <v>33947.916666666664</v>
      </c>
      <c r="AH116" s="676">
        <f t="shared" si="160"/>
        <v>33947.916666666664</v>
      </c>
      <c r="AI116" s="676">
        <f t="shared" si="160"/>
        <v>38947.916666666664</v>
      </c>
      <c r="AJ116" s="148"/>
      <c r="AK116" s="148"/>
      <c r="AL116" s="676">
        <f t="shared" ref="AL116:CG116" si="161">_xlfn.AGGREGATE(9,0,AL117:AL122)</f>
        <v>0</v>
      </c>
      <c r="AM116" s="676">
        <f t="shared" si="161"/>
        <v>0</v>
      </c>
      <c r="AN116" s="676">
        <f t="shared" si="161"/>
        <v>0</v>
      </c>
      <c r="AO116" s="676">
        <f t="shared" si="161"/>
        <v>0</v>
      </c>
      <c r="AP116" s="676">
        <f t="shared" si="161"/>
        <v>0</v>
      </c>
      <c r="AQ116" s="676">
        <f t="shared" si="161"/>
        <v>0</v>
      </c>
      <c r="AR116" s="676">
        <f t="shared" si="161"/>
        <v>0</v>
      </c>
      <c r="AS116" s="676">
        <f t="shared" si="161"/>
        <v>0</v>
      </c>
      <c r="AT116" s="676">
        <f t="shared" si="161"/>
        <v>0</v>
      </c>
      <c r="AU116" s="676">
        <f t="shared" si="161"/>
        <v>0</v>
      </c>
      <c r="AV116" s="676">
        <f t="shared" si="161"/>
        <v>0</v>
      </c>
      <c r="AW116" s="676">
        <f t="shared" si="161"/>
        <v>5000</v>
      </c>
      <c r="AX116" s="676">
        <f t="shared" si="161"/>
        <v>0</v>
      </c>
      <c r="AY116" s="676">
        <f t="shared" si="161"/>
        <v>6984.1269841269832</v>
      </c>
      <c r="AZ116" s="676">
        <f t="shared" si="161"/>
        <v>21836.309523809527</v>
      </c>
      <c r="BA116" s="676">
        <f t="shared" si="161"/>
        <v>23947.916666666664</v>
      </c>
      <c r="BB116" s="676">
        <f t="shared" si="161"/>
        <v>23947.916666666664</v>
      </c>
      <c r="BC116" s="676">
        <f t="shared" si="161"/>
        <v>23947.916666666664</v>
      </c>
      <c r="BD116" s="676">
        <f t="shared" si="161"/>
        <v>23947.916666666664</v>
      </c>
      <c r="BE116" s="676">
        <f t="shared" si="161"/>
        <v>23947.916666666664</v>
      </c>
      <c r="BF116" s="676">
        <f t="shared" si="161"/>
        <v>23947.916666666664</v>
      </c>
      <c r="BG116" s="676">
        <f t="shared" si="161"/>
        <v>23947.916666666664</v>
      </c>
      <c r="BH116" s="676">
        <f t="shared" si="161"/>
        <v>23947.916666666664</v>
      </c>
      <c r="BI116" s="676">
        <f t="shared" si="161"/>
        <v>28947.916666666664</v>
      </c>
      <c r="BJ116" s="676">
        <f t="shared" si="161"/>
        <v>23947.916666666664</v>
      </c>
      <c r="BK116" s="676">
        <f t="shared" si="161"/>
        <v>23947.916666666664</v>
      </c>
      <c r="BL116" s="676">
        <f t="shared" si="161"/>
        <v>23947.916666666664</v>
      </c>
      <c r="BM116" s="676">
        <f t="shared" si="161"/>
        <v>23947.916666666664</v>
      </c>
      <c r="BN116" s="676">
        <f t="shared" si="161"/>
        <v>23947.916666666664</v>
      </c>
      <c r="BO116" s="676">
        <f t="shared" si="161"/>
        <v>29186.011904761905</v>
      </c>
      <c r="BP116" s="676">
        <f t="shared" si="161"/>
        <v>33947.916666666664</v>
      </c>
      <c r="BQ116" s="676">
        <f t="shared" si="161"/>
        <v>33947.916666666664</v>
      </c>
      <c r="BR116" s="676">
        <f t="shared" si="161"/>
        <v>33947.916666666664</v>
      </c>
      <c r="BS116" s="676">
        <f t="shared" si="161"/>
        <v>33947.916666666664</v>
      </c>
      <c r="BT116" s="676">
        <f t="shared" si="161"/>
        <v>33947.916666666664</v>
      </c>
      <c r="BU116" s="676">
        <f t="shared" si="161"/>
        <v>38947.916666666664</v>
      </c>
      <c r="BV116" s="676">
        <f t="shared" si="161"/>
        <v>33947.916666666664</v>
      </c>
      <c r="BW116" s="676">
        <f t="shared" si="161"/>
        <v>33947.916666666664</v>
      </c>
      <c r="BX116" s="676">
        <f t="shared" si="161"/>
        <v>33947.916666666664</v>
      </c>
      <c r="BY116" s="676">
        <f t="shared" si="161"/>
        <v>33947.916666666664</v>
      </c>
      <c r="BZ116" s="676">
        <f t="shared" si="161"/>
        <v>33947.916666666664</v>
      </c>
      <c r="CA116" s="676">
        <f t="shared" si="161"/>
        <v>33947.916666666664</v>
      </c>
      <c r="CB116" s="676">
        <f t="shared" si="161"/>
        <v>33947.916666666664</v>
      </c>
      <c r="CC116" s="676">
        <f t="shared" si="161"/>
        <v>33947.916666666664</v>
      </c>
      <c r="CD116" s="676">
        <f t="shared" si="161"/>
        <v>33947.916666666664</v>
      </c>
      <c r="CE116" s="676">
        <f t="shared" si="161"/>
        <v>33947.916666666664</v>
      </c>
      <c r="CF116" s="676">
        <f t="shared" si="161"/>
        <v>33947.916666666664</v>
      </c>
      <c r="CG116" s="676">
        <f t="shared" si="161"/>
        <v>38947.916666666664</v>
      </c>
    </row>
    <row r="117" spans="3:85" ht="15.75" hidden="1" customHeight="1" outlineLevel="1">
      <c r="C117" s="677" t="s">
        <v>189</v>
      </c>
      <c r="D117" s="149" t="s">
        <v>181</v>
      </c>
      <c r="E117" s="150" t="s">
        <v>190</v>
      </c>
      <c r="J117" s="676" cm="1">
        <f t="array" ref="J117">SUM(_xlfn._xlws.FILTER(_xlfn._xlws.FILTER(headcountData,(headcountDataDepts=$D117)*(headcountDataIDs=$E117)),(startDates&gt;=J$95)*(endDates=J$96)))</f>
        <v>12500</v>
      </c>
      <c r="K117" s="676" cm="1">
        <f t="array" ref="K117">SUM(_xlfn._xlws.FILTER(_xlfn._xlws.FILTER(headcountData,(headcountDataDepts=$D117)*(headcountDataIDs=$E117)),(startDates&gt;=K$95)*(endDates=K$96)))</f>
        <v>12500</v>
      </c>
      <c r="N117" s="676" cm="1">
        <f t="array" ref="N117">SUM(_xlfn._xlws.FILTER(_xlfn._xlws.FILTER(headcountData,(headcountDataDepts=$D117)*(headcountDataIDs=$E117)),(startDates&gt;=N$95)*(endDates=N$96)))</f>
        <v>0</v>
      </c>
      <c r="O117" s="676" cm="1">
        <f t="array" ref="O117">SUM(_xlfn._xlws.FILTER(_xlfn._xlws.FILTER(headcountData,(headcountDataDepts=$D117)*(headcountDataIDs=$E117)),(startDates&gt;=O$95)*(endDates=O$96)))</f>
        <v>12500</v>
      </c>
      <c r="P117" s="676" cm="1">
        <f t="array" ref="P117">SUM(_xlfn._xlws.FILTER(_xlfn._xlws.FILTER(headcountData,(headcountDataDepts=$D117)*(headcountDataIDs=$E117)),(startDates&gt;=P$95)*(endDates=P$96)))</f>
        <v>12500</v>
      </c>
      <c r="Q117" s="676" cm="1">
        <f t="array" ref="Q117">SUM(_xlfn._xlws.FILTER(_xlfn._xlws.FILTER(headcountData,(headcountDataDepts=$D117)*(headcountDataIDs=$E117)),(startDates&gt;=Q$95)*(endDates=Q$96)))</f>
        <v>12500</v>
      </c>
      <c r="T117" s="676" cm="1">
        <f t="array" ref="T117">SUM(_xlfn._xlws.FILTER(_xlfn._xlws.FILTER(headcountData,(headcountDataDepts=$D117)*(headcountDataIDs=$E117)),(startDates&gt;=T$95)*(endDates=T$96)))</f>
        <v>0</v>
      </c>
      <c r="U117" s="676" cm="1">
        <f t="array" ref="U117">SUM(_xlfn._xlws.FILTER(_xlfn._xlws.FILTER(headcountData,(headcountDataDepts=$D117)*(headcountDataIDs=$E117)),(startDates&gt;=U$95)*(endDates=U$96)))</f>
        <v>0</v>
      </c>
      <c r="V117" s="676" cm="1">
        <f t="array" ref="V117">SUM(_xlfn._xlws.FILTER(_xlfn._xlws.FILTER(headcountData,(headcountDataDepts=$D117)*(headcountDataIDs=$E117)),(startDates&gt;=V$95)*(endDates=V$96)))</f>
        <v>0</v>
      </c>
      <c r="W117" s="676" cm="1">
        <f t="array" ref="W117">SUM(_xlfn._xlws.FILTER(_xlfn._xlws.FILTER(headcountData,(headcountDataDepts=$D117)*(headcountDataIDs=$E117)),(startDates&gt;=W$95)*(endDates=W$96)))</f>
        <v>0</v>
      </c>
      <c r="X117" s="676" cm="1">
        <f t="array" ref="X117">SUM(_xlfn._xlws.FILTER(_xlfn._xlws.FILTER(headcountData,(headcountDataDepts=$D117)*(headcountDataIDs=$E117)),(startDates&gt;=X$95)*(endDates=X$96)))</f>
        <v>10714.285714285714</v>
      </c>
      <c r="Y117" s="676" cm="1">
        <f t="array" ref="Y117">SUM(_xlfn._xlws.FILTER(_xlfn._xlws.FILTER(headcountData,(headcountDataDepts=$D117)*(headcountDataIDs=$E117)),(startDates&gt;=Y$95)*(endDates=Y$96)))</f>
        <v>12500</v>
      </c>
      <c r="Z117" s="676" cm="1">
        <f t="array" ref="Z117">SUM(_xlfn._xlws.FILTER(_xlfn._xlws.FILTER(headcountData,(headcountDataDepts=$D117)*(headcountDataIDs=$E117)),(startDates&gt;=Z$95)*(endDates=Z$96)))</f>
        <v>12500</v>
      </c>
      <c r="AA117" s="676" cm="1">
        <f t="array" ref="AA117">SUM(_xlfn._xlws.FILTER(_xlfn._xlws.FILTER(headcountData,(headcountDataDepts=$D117)*(headcountDataIDs=$E117)),(startDates&gt;=AA$95)*(endDates=AA$96)))</f>
        <v>12500</v>
      </c>
      <c r="AB117" s="676" cm="1">
        <f t="array" ref="AB117">SUM(_xlfn._xlws.FILTER(_xlfn._xlws.FILTER(headcountData,(headcountDataDepts=$D117)*(headcountDataIDs=$E117)),(startDates&gt;=AB$95)*(endDates=AB$96)))</f>
        <v>12500</v>
      </c>
      <c r="AC117" s="676" cm="1">
        <f t="array" ref="AC117">SUM(_xlfn._xlws.FILTER(_xlfn._xlws.FILTER(headcountData,(headcountDataDepts=$D117)*(headcountDataIDs=$E117)),(startDates&gt;=AC$95)*(endDates=AC$96)))</f>
        <v>12500</v>
      </c>
      <c r="AD117" s="676" cm="1">
        <f t="array" ref="AD117">SUM(_xlfn._xlws.FILTER(_xlfn._xlws.FILTER(headcountData,(headcountDataDepts=$D117)*(headcountDataIDs=$E117)),(startDates&gt;=AD$95)*(endDates=AD$96)))</f>
        <v>12500</v>
      </c>
      <c r="AE117" s="676" cm="1">
        <f t="array" ref="AE117">SUM(_xlfn._xlws.FILTER(_xlfn._xlws.FILTER(headcountData,(headcountDataDepts=$D117)*(headcountDataIDs=$E117)),(startDates&gt;=AE$95)*(endDates=AE$96)))</f>
        <v>12500</v>
      </c>
      <c r="AF117" s="676" cm="1">
        <f t="array" ref="AF117">SUM(_xlfn._xlws.FILTER(_xlfn._xlws.FILTER(headcountData,(headcountDataDepts=$D117)*(headcountDataIDs=$E117)),(startDates&gt;=AF$95)*(endDates=AF$96)))</f>
        <v>12500</v>
      </c>
      <c r="AG117" s="676" cm="1">
        <f t="array" ref="AG117">SUM(_xlfn._xlws.FILTER(_xlfn._xlws.FILTER(headcountData,(headcountDataDepts=$D117)*(headcountDataIDs=$E117)),(startDates&gt;=AG$95)*(endDates=AG$96)))</f>
        <v>12500</v>
      </c>
      <c r="AH117" s="676" cm="1">
        <f t="array" ref="AH117">SUM(_xlfn._xlws.FILTER(_xlfn._xlws.FILTER(headcountData,(headcountDataDepts=$D117)*(headcountDataIDs=$E117)),(startDates&gt;=AH$95)*(endDates=AH$96)))</f>
        <v>12500</v>
      </c>
      <c r="AI117" s="676" cm="1">
        <f t="array" ref="AI117">SUM(_xlfn._xlws.FILTER(_xlfn._xlws.FILTER(headcountData,(headcountDataDepts=$D117)*(headcountDataIDs=$E117)),(startDates&gt;=AI$95)*(endDates=AI$96)))</f>
        <v>12500</v>
      </c>
      <c r="AL117" s="676" cm="1">
        <f t="array" ref="AL117">SUM(_xlfn._xlws.FILTER(_xlfn._xlws.FILTER(headcountData,(headcountDataDepts=$D117)*(headcountDataIDs=$E117)),(startDates&gt;=AL$95)*(endDates=AL$96)))</f>
        <v>0</v>
      </c>
      <c r="AM117" s="676" cm="1">
        <f t="array" ref="AM117">SUM(_xlfn._xlws.FILTER(_xlfn._xlws.FILTER(headcountData,(headcountDataDepts=$D117)*(headcountDataIDs=$E117)),(startDates&gt;=AM$95)*(endDates=AM$96)))</f>
        <v>0</v>
      </c>
      <c r="AN117" s="676" cm="1">
        <f t="array" ref="AN117">SUM(_xlfn._xlws.FILTER(_xlfn._xlws.FILTER(headcountData,(headcountDataDepts=$D117)*(headcountDataIDs=$E117)),(startDates&gt;=AN$95)*(endDates=AN$96)))</f>
        <v>0</v>
      </c>
      <c r="AO117" s="676" cm="1">
        <f t="array" ref="AO117">SUM(_xlfn._xlws.FILTER(_xlfn._xlws.FILTER(headcountData,(headcountDataDepts=$D117)*(headcountDataIDs=$E117)),(startDates&gt;=AO$95)*(endDates=AO$96)))</f>
        <v>0</v>
      </c>
      <c r="AP117" s="676" cm="1">
        <f t="array" ref="AP117">SUM(_xlfn._xlws.FILTER(_xlfn._xlws.FILTER(headcountData,(headcountDataDepts=$D117)*(headcountDataIDs=$E117)),(startDates&gt;=AP$95)*(endDates=AP$96)))</f>
        <v>0</v>
      </c>
      <c r="AQ117" s="676" cm="1">
        <f t="array" ref="AQ117">SUM(_xlfn._xlws.FILTER(_xlfn._xlws.FILTER(headcountData,(headcountDataDepts=$D117)*(headcountDataIDs=$E117)),(startDates&gt;=AQ$95)*(endDates=AQ$96)))</f>
        <v>0</v>
      </c>
      <c r="AR117" s="676" cm="1">
        <f t="array" ref="AR117">SUM(_xlfn._xlws.FILTER(_xlfn._xlws.FILTER(headcountData,(headcountDataDepts=$D117)*(headcountDataIDs=$E117)),(startDates&gt;=AR$95)*(endDates=AR$96)))</f>
        <v>0</v>
      </c>
      <c r="AS117" s="676" cm="1">
        <f t="array" ref="AS117">SUM(_xlfn._xlws.FILTER(_xlfn._xlws.FILTER(headcountData,(headcountDataDepts=$D117)*(headcountDataIDs=$E117)),(startDates&gt;=AS$95)*(endDates=AS$96)))</f>
        <v>0</v>
      </c>
      <c r="AT117" s="676" cm="1">
        <f t="array" ref="AT117">SUM(_xlfn._xlws.FILTER(_xlfn._xlws.FILTER(headcountData,(headcountDataDepts=$D117)*(headcountDataIDs=$E117)),(startDates&gt;=AT$95)*(endDates=AT$96)))</f>
        <v>0</v>
      </c>
      <c r="AU117" s="676" cm="1">
        <f t="array" ref="AU117">SUM(_xlfn._xlws.FILTER(_xlfn._xlws.FILTER(headcountData,(headcountDataDepts=$D117)*(headcountDataIDs=$E117)),(startDates&gt;=AU$95)*(endDates=AU$96)))</f>
        <v>0</v>
      </c>
      <c r="AV117" s="676" cm="1">
        <f t="array" ref="AV117">SUM(_xlfn._xlws.FILTER(_xlfn._xlws.FILTER(headcountData,(headcountDataDepts=$D117)*(headcountDataIDs=$E117)),(startDates&gt;=AV$95)*(endDates=AV$96)))</f>
        <v>0</v>
      </c>
      <c r="AW117" s="676" cm="1">
        <f t="array" ref="AW117">SUM(_xlfn._xlws.FILTER(_xlfn._xlws.FILTER(headcountData,(headcountDataDepts=$D117)*(headcountDataIDs=$E117)),(startDates&gt;=AW$95)*(endDates=AW$96)))</f>
        <v>0</v>
      </c>
      <c r="AX117" s="676" cm="1">
        <f t="array" ref="AX117">SUM(_xlfn._xlws.FILTER(_xlfn._xlws.FILTER(headcountData,(headcountDataDepts=$D117)*(headcountDataIDs=$E117)),(startDates&gt;=AX$95)*(endDates=AX$96)))</f>
        <v>0</v>
      </c>
      <c r="AY117" s="676" cm="1">
        <f t="array" ref="AY117">SUM(_xlfn._xlws.FILTER(_xlfn._xlws.FILTER(headcountData,(headcountDataDepts=$D117)*(headcountDataIDs=$E117)),(startDates&gt;=AY$95)*(endDates=AY$96)))</f>
        <v>0</v>
      </c>
      <c r="AZ117" s="676" cm="1">
        <f t="array" ref="AZ117">SUM(_xlfn._xlws.FILTER(_xlfn._xlws.FILTER(headcountData,(headcountDataDepts=$D117)*(headcountDataIDs=$E117)),(startDates&gt;=AZ$95)*(endDates=AZ$96)))</f>
        <v>10714.285714285714</v>
      </c>
      <c r="BA117" s="676" cm="1">
        <f t="array" ref="BA117">SUM(_xlfn._xlws.FILTER(_xlfn._xlws.FILTER(headcountData,(headcountDataDepts=$D117)*(headcountDataIDs=$E117)),(startDates&gt;=BA$95)*(endDates=BA$96)))</f>
        <v>12500</v>
      </c>
      <c r="BB117" s="676" cm="1">
        <f t="array" ref="BB117">SUM(_xlfn._xlws.FILTER(_xlfn._xlws.FILTER(headcountData,(headcountDataDepts=$D117)*(headcountDataIDs=$E117)),(startDates&gt;=BB$95)*(endDates=BB$96)))</f>
        <v>12500</v>
      </c>
      <c r="BC117" s="676" cm="1">
        <f t="array" ref="BC117">SUM(_xlfn._xlws.FILTER(_xlfn._xlws.FILTER(headcountData,(headcountDataDepts=$D117)*(headcountDataIDs=$E117)),(startDates&gt;=BC$95)*(endDates=BC$96)))</f>
        <v>12500</v>
      </c>
      <c r="BD117" s="676" cm="1">
        <f t="array" ref="BD117">SUM(_xlfn._xlws.FILTER(_xlfn._xlws.FILTER(headcountData,(headcountDataDepts=$D117)*(headcountDataIDs=$E117)),(startDates&gt;=BD$95)*(endDates=BD$96)))</f>
        <v>12500</v>
      </c>
      <c r="BE117" s="676" cm="1">
        <f t="array" ref="BE117">SUM(_xlfn._xlws.FILTER(_xlfn._xlws.FILTER(headcountData,(headcountDataDepts=$D117)*(headcountDataIDs=$E117)),(startDates&gt;=BE$95)*(endDates=BE$96)))</f>
        <v>12500</v>
      </c>
      <c r="BF117" s="676" cm="1">
        <f t="array" ref="BF117">SUM(_xlfn._xlws.FILTER(_xlfn._xlws.FILTER(headcountData,(headcountDataDepts=$D117)*(headcountDataIDs=$E117)),(startDates&gt;=BF$95)*(endDates=BF$96)))</f>
        <v>12500</v>
      </c>
      <c r="BG117" s="676" cm="1">
        <f t="array" ref="BG117">SUM(_xlfn._xlws.FILTER(_xlfn._xlws.FILTER(headcountData,(headcountDataDepts=$D117)*(headcountDataIDs=$E117)),(startDates&gt;=BG$95)*(endDates=BG$96)))</f>
        <v>12500</v>
      </c>
      <c r="BH117" s="676" cm="1">
        <f t="array" ref="BH117">SUM(_xlfn._xlws.FILTER(_xlfn._xlws.FILTER(headcountData,(headcountDataDepts=$D117)*(headcountDataIDs=$E117)),(startDates&gt;=BH$95)*(endDates=BH$96)))</f>
        <v>12500</v>
      </c>
      <c r="BI117" s="676" cm="1">
        <f t="array" ref="BI117">SUM(_xlfn._xlws.FILTER(_xlfn._xlws.FILTER(headcountData,(headcountDataDepts=$D117)*(headcountDataIDs=$E117)),(startDates&gt;=BI$95)*(endDates=BI$96)))</f>
        <v>12500</v>
      </c>
      <c r="BJ117" s="676" cm="1">
        <f t="array" ref="BJ117">SUM(_xlfn._xlws.FILTER(_xlfn._xlws.FILTER(headcountData,(headcountDataDepts=$D117)*(headcountDataIDs=$E117)),(startDates&gt;=BJ$95)*(endDates=BJ$96)))</f>
        <v>12500</v>
      </c>
      <c r="BK117" s="676" cm="1">
        <f t="array" ref="BK117">SUM(_xlfn._xlws.FILTER(_xlfn._xlws.FILTER(headcountData,(headcountDataDepts=$D117)*(headcountDataIDs=$E117)),(startDates&gt;=BK$95)*(endDates=BK$96)))</f>
        <v>12500</v>
      </c>
      <c r="BL117" s="676" cm="1">
        <f t="array" ref="BL117">SUM(_xlfn._xlws.FILTER(_xlfn._xlws.FILTER(headcountData,(headcountDataDepts=$D117)*(headcountDataIDs=$E117)),(startDates&gt;=BL$95)*(endDates=BL$96)))</f>
        <v>12500</v>
      </c>
      <c r="BM117" s="676" cm="1">
        <f t="array" ref="BM117">SUM(_xlfn._xlws.FILTER(_xlfn._xlws.FILTER(headcountData,(headcountDataDepts=$D117)*(headcountDataIDs=$E117)),(startDates&gt;=BM$95)*(endDates=BM$96)))</f>
        <v>12500</v>
      </c>
      <c r="BN117" s="676" cm="1">
        <f t="array" ref="BN117">SUM(_xlfn._xlws.FILTER(_xlfn._xlws.FILTER(headcountData,(headcountDataDepts=$D117)*(headcountDataIDs=$E117)),(startDates&gt;=BN$95)*(endDates=BN$96)))</f>
        <v>12500</v>
      </c>
      <c r="BO117" s="676" cm="1">
        <f t="array" ref="BO117">SUM(_xlfn._xlws.FILTER(_xlfn._xlws.FILTER(headcountData,(headcountDataDepts=$D117)*(headcountDataIDs=$E117)),(startDates&gt;=BO$95)*(endDates=BO$96)))</f>
        <v>12500</v>
      </c>
      <c r="BP117" s="676" cm="1">
        <f t="array" ref="BP117">SUM(_xlfn._xlws.FILTER(_xlfn._xlws.FILTER(headcountData,(headcountDataDepts=$D117)*(headcountDataIDs=$E117)),(startDates&gt;=BP$95)*(endDates=BP$96)))</f>
        <v>12500</v>
      </c>
      <c r="BQ117" s="676" cm="1">
        <f t="array" ref="BQ117">SUM(_xlfn._xlws.FILTER(_xlfn._xlws.FILTER(headcountData,(headcountDataDepts=$D117)*(headcountDataIDs=$E117)),(startDates&gt;=BQ$95)*(endDates=BQ$96)))</f>
        <v>12500</v>
      </c>
      <c r="BR117" s="676" cm="1">
        <f t="array" ref="BR117">SUM(_xlfn._xlws.FILTER(_xlfn._xlws.FILTER(headcountData,(headcountDataDepts=$D117)*(headcountDataIDs=$E117)),(startDates&gt;=BR$95)*(endDates=BR$96)))</f>
        <v>12500</v>
      </c>
      <c r="BS117" s="676" cm="1">
        <f t="array" ref="BS117">SUM(_xlfn._xlws.FILTER(_xlfn._xlws.FILTER(headcountData,(headcountDataDepts=$D117)*(headcountDataIDs=$E117)),(startDates&gt;=BS$95)*(endDates=BS$96)))</f>
        <v>12500</v>
      </c>
      <c r="BT117" s="676" cm="1">
        <f t="array" ref="BT117">SUM(_xlfn._xlws.FILTER(_xlfn._xlws.FILTER(headcountData,(headcountDataDepts=$D117)*(headcountDataIDs=$E117)),(startDates&gt;=BT$95)*(endDates=BT$96)))</f>
        <v>12500</v>
      </c>
      <c r="BU117" s="676" cm="1">
        <f t="array" ref="BU117">SUM(_xlfn._xlws.FILTER(_xlfn._xlws.FILTER(headcountData,(headcountDataDepts=$D117)*(headcountDataIDs=$E117)),(startDates&gt;=BU$95)*(endDates=BU$96)))</f>
        <v>12500</v>
      </c>
      <c r="BV117" s="676" cm="1">
        <f t="array" ref="BV117">SUM(_xlfn._xlws.FILTER(_xlfn._xlws.FILTER(headcountData,(headcountDataDepts=$D117)*(headcountDataIDs=$E117)),(startDates&gt;=BV$95)*(endDates=BV$96)))</f>
        <v>12500</v>
      </c>
      <c r="BW117" s="676" cm="1">
        <f t="array" ref="BW117">SUM(_xlfn._xlws.FILTER(_xlfn._xlws.FILTER(headcountData,(headcountDataDepts=$D117)*(headcountDataIDs=$E117)),(startDates&gt;=BW$95)*(endDates=BW$96)))</f>
        <v>12500</v>
      </c>
      <c r="BX117" s="676" cm="1">
        <f t="array" ref="BX117">SUM(_xlfn._xlws.FILTER(_xlfn._xlws.FILTER(headcountData,(headcountDataDepts=$D117)*(headcountDataIDs=$E117)),(startDates&gt;=BX$95)*(endDates=BX$96)))</f>
        <v>12500</v>
      </c>
      <c r="BY117" s="676" cm="1">
        <f t="array" ref="BY117">SUM(_xlfn._xlws.FILTER(_xlfn._xlws.FILTER(headcountData,(headcountDataDepts=$D117)*(headcountDataIDs=$E117)),(startDates&gt;=BY$95)*(endDates=BY$96)))</f>
        <v>12500</v>
      </c>
      <c r="BZ117" s="676" cm="1">
        <f t="array" ref="BZ117">SUM(_xlfn._xlws.FILTER(_xlfn._xlws.FILTER(headcountData,(headcountDataDepts=$D117)*(headcountDataIDs=$E117)),(startDates&gt;=BZ$95)*(endDates=BZ$96)))</f>
        <v>12500</v>
      </c>
      <c r="CA117" s="676" cm="1">
        <f t="array" ref="CA117">SUM(_xlfn._xlws.FILTER(_xlfn._xlws.FILTER(headcountData,(headcountDataDepts=$D117)*(headcountDataIDs=$E117)),(startDates&gt;=CA$95)*(endDates=CA$96)))</f>
        <v>12500</v>
      </c>
      <c r="CB117" s="676" cm="1">
        <f t="array" ref="CB117">SUM(_xlfn._xlws.FILTER(_xlfn._xlws.FILTER(headcountData,(headcountDataDepts=$D117)*(headcountDataIDs=$E117)),(startDates&gt;=CB$95)*(endDates=CB$96)))</f>
        <v>12500</v>
      </c>
      <c r="CC117" s="676" cm="1">
        <f t="array" ref="CC117">SUM(_xlfn._xlws.FILTER(_xlfn._xlws.FILTER(headcountData,(headcountDataDepts=$D117)*(headcountDataIDs=$E117)),(startDates&gt;=CC$95)*(endDates=CC$96)))</f>
        <v>12500</v>
      </c>
      <c r="CD117" s="676" cm="1">
        <f t="array" ref="CD117">SUM(_xlfn._xlws.FILTER(_xlfn._xlws.FILTER(headcountData,(headcountDataDepts=$D117)*(headcountDataIDs=$E117)),(startDates&gt;=CD$95)*(endDates=CD$96)))</f>
        <v>12500</v>
      </c>
      <c r="CE117" s="676" cm="1">
        <f t="array" ref="CE117">SUM(_xlfn._xlws.FILTER(_xlfn._xlws.FILTER(headcountData,(headcountDataDepts=$D117)*(headcountDataIDs=$E117)),(startDates&gt;=CE$95)*(endDates=CE$96)))</f>
        <v>12500</v>
      </c>
      <c r="CF117" s="676" cm="1">
        <f t="array" ref="CF117">SUM(_xlfn._xlws.FILTER(_xlfn._xlws.FILTER(headcountData,(headcountDataDepts=$D117)*(headcountDataIDs=$E117)),(startDates&gt;=CF$95)*(endDates=CF$96)))</f>
        <v>12500</v>
      </c>
      <c r="CG117" s="676" cm="1">
        <f t="array" ref="CG117">SUM(_xlfn._xlws.FILTER(_xlfn._xlws.FILTER(headcountData,(headcountDataDepts=$D117)*(headcountDataIDs=$E117)),(startDates&gt;=CG$95)*(endDates=CG$96)))</f>
        <v>12500</v>
      </c>
    </row>
    <row r="118" spans="3:85" ht="15.75" hidden="1" customHeight="1" outlineLevel="1">
      <c r="C118" s="677" t="s">
        <v>189</v>
      </c>
      <c r="D118" s="149" t="s">
        <v>181</v>
      </c>
      <c r="E118" s="150" t="s">
        <v>192</v>
      </c>
      <c r="J118" s="676" cm="1">
        <f t="array" ref="J118">SUM(_xlfn._xlws.FILTER(_xlfn._xlws.FILTER(headcountData,(headcountDataDepts=$D118)*(headcountDataIDs=$E118)),(startDates&gt;=J$95)*(endDates=J$96)))</f>
        <v>19166.666666666664</v>
      </c>
      <c r="K118" s="676" cm="1">
        <f t="array" ref="K118">SUM(_xlfn._xlws.FILTER(_xlfn._xlws.FILTER(headcountData,(headcountDataDepts=$D118)*(headcountDataIDs=$E118)),(startDates&gt;=K$95)*(endDates=K$96)))</f>
        <v>19166.666666666664</v>
      </c>
      <c r="N118" s="676" cm="1">
        <f t="array" ref="N118">SUM(_xlfn._xlws.FILTER(_xlfn._xlws.FILTER(headcountData,(headcountDataDepts=$D118)*(headcountDataIDs=$E118)),(startDates&gt;=N$95)*(endDates=N$96)))</f>
        <v>0</v>
      </c>
      <c r="O118" s="676" cm="1">
        <f t="array" ref="O118">SUM(_xlfn._xlws.FILTER(_xlfn._xlws.FILTER(headcountData,(headcountDataDepts=$D118)*(headcountDataIDs=$E118)),(startDates&gt;=O$95)*(endDates=O$96)))</f>
        <v>9166.6666666666661</v>
      </c>
      <c r="P118" s="676" cm="1">
        <f t="array" ref="P118">SUM(_xlfn._xlws.FILTER(_xlfn._xlws.FILTER(headcountData,(headcountDataDepts=$D118)*(headcountDataIDs=$E118)),(startDates&gt;=P$95)*(endDates=P$96)))</f>
        <v>19166.666666666664</v>
      </c>
      <c r="Q118" s="676" cm="1">
        <f t="array" ref="Q118">SUM(_xlfn._xlws.FILTER(_xlfn._xlws.FILTER(headcountData,(headcountDataDepts=$D118)*(headcountDataIDs=$E118)),(startDates&gt;=Q$95)*(endDates=Q$96)))</f>
        <v>19166.666666666664</v>
      </c>
      <c r="T118" s="676" cm="1">
        <f t="array" ref="T118">SUM(_xlfn._xlws.FILTER(_xlfn._xlws.FILTER(headcountData,(headcountDataDepts=$D118)*(headcountDataIDs=$E118)),(startDates&gt;=T$95)*(endDates=T$96)))</f>
        <v>0</v>
      </c>
      <c r="U118" s="676" cm="1">
        <f t="array" ref="U118">SUM(_xlfn._xlws.FILTER(_xlfn._xlws.FILTER(headcountData,(headcountDataDepts=$D118)*(headcountDataIDs=$E118)),(startDates&gt;=U$95)*(endDates=U$96)))</f>
        <v>0</v>
      </c>
      <c r="V118" s="676" cm="1">
        <f t="array" ref="V118">SUM(_xlfn._xlws.FILTER(_xlfn._xlws.FILTER(headcountData,(headcountDataDepts=$D118)*(headcountDataIDs=$E118)),(startDates&gt;=V$95)*(endDates=V$96)))</f>
        <v>0</v>
      </c>
      <c r="W118" s="676" cm="1">
        <f t="array" ref="W118">SUM(_xlfn._xlws.FILTER(_xlfn._xlws.FILTER(headcountData,(headcountDataDepts=$D118)*(headcountDataIDs=$E118)),(startDates&gt;=W$95)*(endDates=W$96)))</f>
        <v>0</v>
      </c>
      <c r="X118" s="676" cm="1">
        <f t="array" ref="X118">SUM(_xlfn._xlws.FILTER(_xlfn._xlws.FILTER(headcountData,(headcountDataDepts=$D118)*(headcountDataIDs=$E118)),(startDates&gt;=X$95)*(endDates=X$96)))</f>
        <v>9166.6666666666661</v>
      </c>
      <c r="Y118" s="676" cm="1">
        <f t="array" ref="Y118">SUM(_xlfn._xlws.FILTER(_xlfn._xlws.FILTER(headcountData,(headcountDataDepts=$D118)*(headcountDataIDs=$E118)),(startDates&gt;=Y$95)*(endDates=Y$96)))</f>
        <v>9166.6666666666661</v>
      </c>
      <c r="Z118" s="676" cm="1">
        <f t="array" ref="Z118">SUM(_xlfn._xlws.FILTER(_xlfn._xlws.FILTER(headcountData,(headcountDataDepts=$D118)*(headcountDataIDs=$E118)),(startDates&gt;=Z$95)*(endDates=Z$96)))</f>
        <v>9166.6666666666661</v>
      </c>
      <c r="AA118" s="676" cm="1">
        <f t="array" ref="AA118">SUM(_xlfn._xlws.FILTER(_xlfn._xlws.FILTER(headcountData,(headcountDataDepts=$D118)*(headcountDataIDs=$E118)),(startDates&gt;=AA$95)*(endDates=AA$96)))</f>
        <v>9166.6666666666661</v>
      </c>
      <c r="AB118" s="676" cm="1">
        <f t="array" ref="AB118">SUM(_xlfn._xlws.FILTER(_xlfn._xlws.FILTER(headcountData,(headcountDataDepts=$D118)*(headcountDataIDs=$E118)),(startDates&gt;=AB$95)*(endDates=AB$96)))</f>
        <v>9166.6666666666661</v>
      </c>
      <c r="AC118" s="676" cm="1">
        <f t="array" ref="AC118">SUM(_xlfn._xlws.FILTER(_xlfn._xlws.FILTER(headcountData,(headcountDataDepts=$D118)*(headcountDataIDs=$E118)),(startDates&gt;=AC$95)*(endDates=AC$96)))</f>
        <v>14404.761904761905</v>
      </c>
      <c r="AD118" s="676" cm="1">
        <f t="array" ref="AD118">SUM(_xlfn._xlws.FILTER(_xlfn._xlws.FILTER(headcountData,(headcountDataDepts=$D118)*(headcountDataIDs=$E118)),(startDates&gt;=AD$95)*(endDates=AD$96)))</f>
        <v>19166.666666666664</v>
      </c>
      <c r="AE118" s="676" cm="1">
        <f t="array" ref="AE118">SUM(_xlfn._xlws.FILTER(_xlfn._xlws.FILTER(headcountData,(headcountDataDepts=$D118)*(headcountDataIDs=$E118)),(startDates&gt;=AE$95)*(endDates=AE$96)))</f>
        <v>19166.666666666664</v>
      </c>
      <c r="AF118" s="676" cm="1">
        <f t="array" ref="AF118">SUM(_xlfn._xlws.FILTER(_xlfn._xlws.FILTER(headcountData,(headcountDataDepts=$D118)*(headcountDataIDs=$E118)),(startDates&gt;=AF$95)*(endDates=AF$96)))</f>
        <v>19166.666666666664</v>
      </c>
      <c r="AG118" s="676" cm="1">
        <f t="array" ref="AG118">SUM(_xlfn._xlws.FILTER(_xlfn._xlws.FILTER(headcountData,(headcountDataDepts=$D118)*(headcountDataIDs=$E118)),(startDates&gt;=AG$95)*(endDates=AG$96)))</f>
        <v>19166.666666666664</v>
      </c>
      <c r="AH118" s="676" cm="1">
        <f t="array" ref="AH118">SUM(_xlfn._xlws.FILTER(_xlfn._xlws.FILTER(headcountData,(headcountDataDepts=$D118)*(headcountDataIDs=$E118)),(startDates&gt;=AH$95)*(endDates=AH$96)))</f>
        <v>19166.666666666664</v>
      </c>
      <c r="AI118" s="676" cm="1">
        <f t="array" ref="AI118">SUM(_xlfn._xlws.FILTER(_xlfn._xlws.FILTER(headcountData,(headcountDataDepts=$D118)*(headcountDataIDs=$E118)),(startDates&gt;=AI$95)*(endDates=AI$96)))</f>
        <v>19166.666666666664</v>
      </c>
      <c r="AL118" s="676" cm="1">
        <f t="array" ref="AL118">SUM(_xlfn._xlws.FILTER(_xlfn._xlws.FILTER(headcountData,(headcountDataDepts=$D118)*(headcountDataIDs=$E118)),(startDates&gt;=AL$95)*(endDates=AL$96)))</f>
        <v>0</v>
      </c>
      <c r="AM118" s="676" cm="1">
        <f t="array" ref="AM118">SUM(_xlfn._xlws.FILTER(_xlfn._xlws.FILTER(headcountData,(headcountDataDepts=$D118)*(headcountDataIDs=$E118)),(startDates&gt;=AM$95)*(endDates=AM$96)))</f>
        <v>0</v>
      </c>
      <c r="AN118" s="676" cm="1">
        <f t="array" ref="AN118">SUM(_xlfn._xlws.FILTER(_xlfn._xlws.FILTER(headcountData,(headcountDataDepts=$D118)*(headcountDataIDs=$E118)),(startDates&gt;=AN$95)*(endDates=AN$96)))</f>
        <v>0</v>
      </c>
      <c r="AO118" s="676" cm="1">
        <f t="array" ref="AO118">SUM(_xlfn._xlws.FILTER(_xlfn._xlws.FILTER(headcountData,(headcountDataDepts=$D118)*(headcountDataIDs=$E118)),(startDates&gt;=AO$95)*(endDates=AO$96)))</f>
        <v>0</v>
      </c>
      <c r="AP118" s="676" cm="1">
        <f t="array" ref="AP118">SUM(_xlfn._xlws.FILTER(_xlfn._xlws.FILTER(headcountData,(headcountDataDepts=$D118)*(headcountDataIDs=$E118)),(startDates&gt;=AP$95)*(endDates=AP$96)))</f>
        <v>0</v>
      </c>
      <c r="AQ118" s="676" cm="1">
        <f t="array" ref="AQ118">SUM(_xlfn._xlws.FILTER(_xlfn._xlws.FILTER(headcountData,(headcountDataDepts=$D118)*(headcountDataIDs=$E118)),(startDates&gt;=AQ$95)*(endDates=AQ$96)))</f>
        <v>0</v>
      </c>
      <c r="AR118" s="676" cm="1">
        <f t="array" ref="AR118">SUM(_xlfn._xlws.FILTER(_xlfn._xlws.FILTER(headcountData,(headcountDataDepts=$D118)*(headcountDataIDs=$E118)),(startDates&gt;=AR$95)*(endDates=AR$96)))</f>
        <v>0</v>
      </c>
      <c r="AS118" s="676" cm="1">
        <f t="array" ref="AS118">SUM(_xlfn._xlws.FILTER(_xlfn._xlws.FILTER(headcountData,(headcountDataDepts=$D118)*(headcountDataIDs=$E118)),(startDates&gt;=AS$95)*(endDates=AS$96)))</f>
        <v>0</v>
      </c>
      <c r="AT118" s="676" cm="1">
        <f t="array" ref="AT118">SUM(_xlfn._xlws.FILTER(_xlfn._xlws.FILTER(headcountData,(headcountDataDepts=$D118)*(headcountDataIDs=$E118)),(startDates&gt;=AT$95)*(endDates=AT$96)))</f>
        <v>0</v>
      </c>
      <c r="AU118" s="676" cm="1">
        <f t="array" ref="AU118">SUM(_xlfn._xlws.FILTER(_xlfn._xlws.FILTER(headcountData,(headcountDataDepts=$D118)*(headcountDataIDs=$E118)),(startDates&gt;=AU$95)*(endDates=AU$96)))</f>
        <v>0</v>
      </c>
      <c r="AV118" s="676" cm="1">
        <f t="array" ref="AV118">SUM(_xlfn._xlws.FILTER(_xlfn._xlws.FILTER(headcountData,(headcountDataDepts=$D118)*(headcountDataIDs=$E118)),(startDates&gt;=AV$95)*(endDates=AV$96)))</f>
        <v>0</v>
      </c>
      <c r="AW118" s="676" cm="1">
        <f t="array" ref="AW118">SUM(_xlfn._xlws.FILTER(_xlfn._xlws.FILTER(headcountData,(headcountDataDepts=$D118)*(headcountDataIDs=$E118)),(startDates&gt;=AW$95)*(endDates=AW$96)))</f>
        <v>0</v>
      </c>
      <c r="AX118" s="676" cm="1">
        <f t="array" ref="AX118">SUM(_xlfn._xlws.FILTER(_xlfn._xlws.FILTER(headcountData,(headcountDataDepts=$D118)*(headcountDataIDs=$E118)),(startDates&gt;=AX$95)*(endDates=AX$96)))</f>
        <v>0</v>
      </c>
      <c r="AY118" s="676" cm="1">
        <f t="array" ref="AY118">SUM(_xlfn._xlws.FILTER(_xlfn._xlws.FILTER(headcountData,(headcountDataDepts=$D118)*(headcountDataIDs=$E118)),(startDates&gt;=AY$95)*(endDates=AY$96)))</f>
        <v>6984.1269841269832</v>
      </c>
      <c r="AZ118" s="676" cm="1">
        <f t="array" ref="AZ118">SUM(_xlfn._xlws.FILTER(_xlfn._xlws.FILTER(headcountData,(headcountDataDepts=$D118)*(headcountDataIDs=$E118)),(startDates&gt;=AZ$95)*(endDates=AZ$96)))</f>
        <v>9166.6666666666661</v>
      </c>
      <c r="BA118" s="676" cm="1">
        <f t="array" ref="BA118">SUM(_xlfn._xlws.FILTER(_xlfn._xlws.FILTER(headcountData,(headcountDataDepts=$D118)*(headcountDataIDs=$E118)),(startDates&gt;=BA$95)*(endDates=BA$96)))</f>
        <v>9166.6666666666661</v>
      </c>
      <c r="BB118" s="676" cm="1">
        <f t="array" ref="BB118">SUM(_xlfn._xlws.FILTER(_xlfn._xlws.FILTER(headcountData,(headcountDataDepts=$D118)*(headcountDataIDs=$E118)),(startDates&gt;=BB$95)*(endDates=BB$96)))</f>
        <v>9166.6666666666661</v>
      </c>
      <c r="BC118" s="676" cm="1">
        <f t="array" ref="BC118">SUM(_xlfn._xlws.FILTER(_xlfn._xlws.FILTER(headcountData,(headcountDataDepts=$D118)*(headcountDataIDs=$E118)),(startDates&gt;=BC$95)*(endDates=BC$96)))</f>
        <v>9166.6666666666661</v>
      </c>
      <c r="BD118" s="676" cm="1">
        <f t="array" ref="BD118">SUM(_xlfn._xlws.FILTER(_xlfn._xlws.FILTER(headcountData,(headcountDataDepts=$D118)*(headcountDataIDs=$E118)),(startDates&gt;=BD$95)*(endDates=BD$96)))</f>
        <v>9166.6666666666661</v>
      </c>
      <c r="BE118" s="676" cm="1">
        <f t="array" ref="BE118">SUM(_xlfn._xlws.FILTER(_xlfn._xlws.FILTER(headcountData,(headcountDataDepts=$D118)*(headcountDataIDs=$E118)),(startDates&gt;=BE$95)*(endDates=BE$96)))</f>
        <v>9166.6666666666661</v>
      </c>
      <c r="BF118" s="676" cm="1">
        <f t="array" ref="BF118">SUM(_xlfn._xlws.FILTER(_xlfn._xlws.FILTER(headcountData,(headcountDataDepts=$D118)*(headcountDataIDs=$E118)),(startDates&gt;=BF$95)*(endDates=BF$96)))</f>
        <v>9166.6666666666661</v>
      </c>
      <c r="BG118" s="676" cm="1">
        <f t="array" ref="BG118">SUM(_xlfn._xlws.FILTER(_xlfn._xlws.FILTER(headcountData,(headcountDataDepts=$D118)*(headcountDataIDs=$E118)),(startDates&gt;=BG$95)*(endDates=BG$96)))</f>
        <v>9166.6666666666661</v>
      </c>
      <c r="BH118" s="676" cm="1">
        <f t="array" ref="BH118">SUM(_xlfn._xlws.FILTER(_xlfn._xlws.FILTER(headcountData,(headcountDataDepts=$D118)*(headcountDataIDs=$E118)),(startDates&gt;=BH$95)*(endDates=BH$96)))</f>
        <v>9166.6666666666661</v>
      </c>
      <c r="BI118" s="676" cm="1">
        <f t="array" ref="BI118">SUM(_xlfn._xlws.FILTER(_xlfn._xlws.FILTER(headcountData,(headcountDataDepts=$D118)*(headcountDataIDs=$E118)),(startDates&gt;=BI$95)*(endDates=BI$96)))</f>
        <v>9166.6666666666661</v>
      </c>
      <c r="BJ118" s="676" cm="1">
        <f t="array" ref="BJ118">SUM(_xlfn._xlws.FILTER(_xlfn._xlws.FILTER(headcountData,(headcountDataDepts=$D118)*(headcountDataIDs=$E118)),(startDates&gt;=BJ$95)*(endDates=BJ$96)))</f>
        <v>9166.6666666666661</v>
      </c>
      <c r="BK118" s="676" cm="1">
        <f t="array" ref="BK118">SUM(_xlfn._xlws.FILTER(_xlfn._xlws.FILTER(headcountData,(headcountDataDepts=$D118)*(headcountDataIDs=$E118)),(startDates&gt;=BK$95)*(endDates=BK$96)))</f>
        <v>9166.6666666666661</v>
      </c>
      <c r="BL118" s="676" cm="1">
        <f t="array" ref="BL118">SUM(_xlfn._xlws.FILTER(_xlfn._xlws.FILTER(headcountData,(headcountDataDepts=$D118)*(headcountDataIDs=$E118)),(startDates&gt;=BL$95)*(endDates=BL$96)))</f>
        <v>9166.6666666666661</v>
      </c>
      <c r="BM118" s="676" cm="1">
        <f t="array" ref="BM118">SUM(_xlfn._xlws.FILTER(_xlfn._xlws.FILTER(headcountData,(headcountDataDepts=$D118)*(headcountDataIDs=$E118)),(startDates&gt;=BM$95)*(endDates=BM$96)))</f>
        <v>9166.6666666666661</v>
      </c>
      <c r="BN118" s="676" cm="1">
        <f t="array" ref="BN118">SUM(_xlfn._xlws.FILTER(_xlfn._xlws.FILTER(headcountData,(headcountDataDepts=$D118)*(headcountDataIDs=$E118)),(startDates&gt;=BN$95)*(endDates=BN$96)))</f>
        <v>9166.6666666666661</v>
      </c>
      <c r="BO118" s="676" cm="1">
        <f t="array" ref="BO118">SUM(_xlfn._xlws.FILTER(_xlfn._xlws.FILTER(headcountData,(headcountDataDepts=$D118)*(headcountDataIDs=$E118)),(startDates&gt;=BO$95)*(endDates=BO$96)))</f>
        <v>14404.761904761905</v>
      </c>
      <c r="BP118" s="676" cm="1">
        <f t="array" ref="BP118">SUM(_xlfn._xlws.FILTER(_xlfn._xlws.FILTER(headcountData,(headcountDataDepts=$D118)*(headcountDataIDs=$E118)),(startDates&gt;=BP$95)*(endDates=BP$96)))</f>
        <v>19166.666666666664</v>
      </c>
      <c r="BQ118" s="676" cm="1">
        <f t="array" ref="BQ118">SUM(_xlfn._xlws.FILTER(_xlfn._xlws.FILTER(headcountData,(headcountDataDepts=$D118)*(headcountDataIDs=$E118)),(startDates&gt;=BQ$95)*(endDates=BQ$96)))</f>
        <v>19166.666666666664</v>
      </c>
      <c r="BR118" s="676" cm="1">
        <f t="array" ref="BR118">SUM(_xlfn._xlws.FILTER(_xlfn._xlws.FILTER(headcountData,(headcountDataDepts=$D118)*(headcountDataIDs=$E118)),(startDates&gt;=BR$95)*(endDates=BR$96)))</f>
        <v>19166.666666666664</v>
      </c>
      <c r="BS118" s="676" cm="1">
        <f t="array" ref="BS118">SUM(_xlfn._xlws.FILTER(_xlfn._xlws.FILTER(headcountData,(headcountDataDepts=$D118)*(headcountDataIDs=$E118)),(startDates&gt;=BS$95)*(endDates=BS$96)))</f>
        <v>19166.666666666664</v>
      </c>
      <c r="BT118" s="676" cm="1">
        <f t="array" ref="BT118">SUM(_xlfn._xlws.FILTER(_xlfn._xlws.FILTER(headcountData,(headcountDataDepts=$D118)*(headcountDataIDs=$E118)),(startDates&gt;=BT$95)*(endDates=BT$96)))</f>
        <v>19166.666666666664</v>
      </c>
      <c r="BU118" s="676" cm="1">
        <f t="array" ref="BU118">SUM(_xlfn._xlws.FILTER(_xlfn._xlws.FILTER(headcountData,(headcountDataDepts=$D118)*(headcountDataIDs=$E118)),(startDates&gt;=BU$95)*(endDates=BU$96)))</f>
        <v>19166.666666666664</v>
      </c>
      <c r="BV118" s="676" cm="1">
        <f t="array" ref="BV118">SUM(_xlfn._xlws.FILTER(_xlfn._xlws.FILTER(headcountData,(headcountDataDepts=$D118)*(headcountDataIDs=$E118)),(startDates&gt;=BV$95)*(endDates=BV$96)))</f>
        <v>19166.666666666664</v>
      </c>
      <c r="BW118" s="676" cm="1">
        <f t="array" ref="BW118">SUM(_xlfn._xlws.FILTER(_xlfn._xlws.FILTER(headcountData,(headcountDataDepts=$D118)*(headcountDataIDs=$E118)),(startDates&gt;=BW$95)*(endDates=BW$96)))</f>
        <v>19166.666666666664</v>
      </c>
      <c r="BX118" s="676" cm="1">
        <f t="array" ref="BX118">SUM(_xlfn._xlws.FILTER(_xlfn._xlws.FILTER(headcountData,(headcountDataDepts=$D118)*(headcountDataIDs=$E118)),(startDates&gt;=BX$95)*(endDates=BX$96)))</f>
        <v>19166.666666666664</v>
      </c>
      <c r="BY118" s="676" cm="1">
        <f t="array" ref="BY118">SUM(_xlfn._xlws.FILTER(_xlfn._xlws.FILTER(headcountData,(headcountDataDepts=$D118)*(headcountDataIDs=$E118)),(startDates&gt;=BY$95)*(endDates=BY$96)))</f>
        <v>19166.666666666664</v>
      </c>
      <c r="BZ118" s="676" cm="1">
        <f t="array" ref="BZ118">SUM(_xlfn._xlws.FILTER(_xlfn._xlws.FILTER(headcountData,(headcountDataDepts=$D118)*(headcountDataIDs=$E118)),(startDates&gt;=BZ$95)*(endDates=BZ$96)))</f>
        <v>19166.666666666664</v>
      </c>
      <c r="CA118" s="676" cm="1">
        <f t="array" ref="CA118">SUM(_xlfn._xlws.FILTER(_xlfn._xlws.FILTER(headcountData,(headcountDataDepts=$D118)*(headcountDataIDs=$E118)),(startDates&gt;=CA$95)*(endDates=CA$96)))</f>
        <v>19166.666666666664</v>
      </c>
      <c r="CB118" s="676" cm="1">
        <f t="array" ref="CB118">SUM(_xlfn._xlws.FILTER(_xlfn._xlws.FILTER(headcountData,(headcountDataDepts=$D118)*(headcountDataIDs=$E118)),(startDates&gt;=CB$95)*(endDates=CB$96)))</f>
        <v>19166.666666666664</v>
      </c>
      <c r="CC118" s="676" cm="1">
        <f t="array" ref="CC118">SUM(_xlfn._xlws.FILTER(_xlfn._xlws.FILTER(headcountData,(headcountDataDepts=$D118)*(headcountDataIDs=$E118)),(startDates&gt;=CC$95)*(endDates=CC$96)))</f>
        <v>19166.666666666664</v>
      </c>
      <c r="CD118" s="676" cm="1">
        <f t="array" ref="CD118">SUM(_xlfn._xlws.FILTER(_xlfn._xlws.FILTER(headcountData,(headcountDataDepts=$D118)*(headcountDataIDs=$E118)),(startDates&gt;=CD$95)*(endDates=CD$96)))</f>
        <v>19166.666666666664</v>
      </c>
      <c r="CE118" s="676" cm="1">
        <f t="array" ref="CE118">SUM(_xlfn._xlws.FILTER(_xlfn._xlws.FILTER(headcountData,(headcountDataDepts=$D118)*(headcountDataIDs=$E118)),(startDates&gt;=CE$95)*(endDates=CE$96)))</f>
        <v>19166.666666666664</v>
      </c>
      <c r="CF118" s="676" cm="1">
        <f t="array" ref="CF118">SUM(_xlfn._xlws.FILTER(_xlfn._xlws.FILTER(headcountData,(headcountDataDepts=$D118)*(headcountDataIDs=$E118)),(startDates&gt;=CF$95)*(endDates=CF$96)))</f>
        <v>19166.666666666664</v>
      </c>
      <c r="CG118" s="676" cm="1">
        <f t="array" ref="CG118">SUM(_xlfn._xlws.FILTER(_xlfn._xlws.FILTER(headcountData,(headcountDataDepts=$D118)*(headcountDataIDs=$E118)),(startDates&gt;=CG$95)*(endDates=CG$96)))</f>
        <v>19166.666666666664</v>
      </c>
    </row>
    <row r="119" spans="3:85" ht="15.75" hidden="1" customHeight="1" outlineLevel="1">
      <c r="C119" s="677" t="s">
        <v>189</v>
      </c>
      <c r="D119" s="149" t="s">
        <v>181</v>
      </c>
      <c r="E119" s="150" t="s">
        <v>194</v>
      </c>
      <c r="J119" s="676" cm="1">
        <f t="array" ref="J119">SUM(_xlfn._xlws.FILTER(_xlfn._xlws.FILTER(headcountData,(headcountDataDepts=$D119)*(headcountDataIDs=$E119)),(startDates&gt;=J$95)*(endDates=J$96)))</f>
        <v>1000</v>
      </c>
      <c r="K119" s="676" cm="1">
        <f t="array" ref="K119">SUM(_xlfn._xlws.FILTER(_xlfn._xlws.FILTER(headcountData,(headcountDataDepts=$D119)*(headcountDataIDs=$E119)),(startDates&gt;=K$95)*(endDates=K$96)))</f>
        <v>1000</v>
      </c>
      <c r="N119" s="676" cm="1">
        <f t="array" ref="N119">SUM(_xlfn._xlws.FILTER(_xlfn._xlws.FILTER(headcountData,(headcountDataDepts=$D119)*(headcountDataIDs=$E119)),(startDates&gt;=N$95)*(endDates=N$96)))</f>
        <v>0</v>
      </c>
      <c r="O119" s="676" cm="1">
        <f t="array" ref="O119">SUM(_xlfn._xlws.FILTER(_xlfn._xlws.FILTER(headcountData,(headcountDataDepts=$D119)*(headcountDataIDs=$E119)),(startDates&gt;=O$95)*(endDates=O$96)))</f>
        <v>1000</v>
      </c>
      <c r="P119" s="676" cm="1">
        <f t="array" ref="P119">SUM(_xlfn._xlws.FILTER(_xlfn._xlws.FILTER(headcountData,(headcountDataDepts=$D119)*(headcountDataIDs=$E119)),(startDates&gt;=P$95)*(endDates=P$96)))</f>
        <v>1000</v>
      </c>
      <c r="Q119" s="676" cm="1">
        <f t="array" ref="Q119">SUM(_xlfn._xlws.FILTER(_xlfn._xlws.FILTER(headcountData,(headcountDataDepts=$D119)*(headcountDataIDs=$E119)),(startDates&gt;=Q$95)*(endDates=Q$96)))</f>
        <v>1000</v>
      </c>
      <c r="T119" s="676" cm="1">
        <f t="array" ref="T119">SUM(_xlfn._xlws.FILTER(_xlfn._xlws.FILTER(headcountData,(headcountDataDepts=$D119)*(headcountDataIDs=$E119)),(startDates&gt;=T$95)*(endDates=T$96)))</f>
        <v>0</v>
      </c>
      <c r="U119" s="676" cm="1">
        <f t="array" ref="U119">SUM(_xlfn._xlws.FILTER(_xlfn._xlws.FILTER(headcountData,(headcountDataDepts=$D119)*(headcountDataIDs=$E119)),(startDates&gt;=U$95)*(endDates=U$96)))</f>
        <v>0</v>
      </c>
      <c r="V119" s="676" cm="1">
        <f t="array" ref="V119">SUM(_xlfn._xlws.FILTER(_xlfn._xlws.FILTER(headcountData,(headcountDataDepts=$D119)*(headcountDataIDs=$E119)),(startDates&gt;=V$95)*(endDates=V$96)))</f>
        <v>0</v>
      </c>
      <c r="W119" s="676" cm="1">
        <f t="array" ref="W119">SUM(_xlfn._xlws.FILTER(_xlfn._xlws.FILTER(headcountData,(headcountDataDepts=$D119)*(headcountDataIDs=$E119)),(startDates&gt;=W$95)*(endDates=W$96)))</f>
        <v>0</v>
      </c>
      <c r="X119" s="676" cm="1">
        <f t="array" ref="X119">SUM(_xlfn._xlws.FILTER(_xlfn._xlws.FILTER(headcountData,(headcountDataDepts=$D119)*(headcountDataIDs=$E119)),(startDates&gt;=X$95)*(endDates=X$96)))</f>
        <v>857.14285714285711</v>
      </c>
      <c r="Y119" s="676" cm="1">
        <f t="array" ref="Y119">SUM(_xlfn._xlws.FILTER(_xlfn._xlws.FILTER(headcountData,(headcountDataDepts=$D119)*(headcountDataIDs=$E119)),(startDates&gt;=Y$95)*(endDates=Y$96)))</f>
        <v>1000</v>
      </c>
      <c r="Z119" s="676" cm="1">
        <f t="array" ref="Z119">SUM(_xlfn._xlws.FILTER(_xlfn._xlws.FILTER(headcountData,(headcountDataDepts=$D119)*(headcountDataIDs=$E119)),(startDates&gt;=Z$95)*(endDates=Z$96)))</f>
        <v>1000</v>
      </c>
      <c r="AA119" s="676" cm="1">
        <f t="array" ref="AA119">SUM(_xlfn._xlws.FILTER(_xlfn._xlws.FILTER(headcountData,(headcountDataDepts=$D119)*(headcountDataIDs=$E119)),(startDates&gt;=AA$95)*(endDates=AA$96)))</f>
        <v>1000</v>
      </c>
      <c r="AB119" s="676" cm="1">
        <f t="array" ref="AB119">SUM(_xlfn._xlws.FILTER(_xlfn._xlws.FILTER(headcountData,(headcountDataDepts=$D119)*(headcountDataIDs=$E119)),(startDates&gt;=AB$95)*(endDates=AB$96)))</f>
        <v>1000</v>
      </c>
      <c r="AC119" s="676" cm="1">
        <f t="array" ref="AC119">SUM(_xlfn._xlws.FILTER(_xlfn._xlws.FILTER(headcountData,(headcountDataDepts=$D119)*(headcountDataIDs=$E119)),(startDates&gt;=AC$95)*(endDates=AC$96)))</f>
        <v>1000</v>
      </c>
      <c r="AD119" s="676" cm="1">
        <f t="array" ref="AD119">SUM(_xlfn._xlws.FILTER(_xlfn._xlws.FILTER(headcountData,(headcountDataDepts=$D119)*(headcountDataIDs=$E119)),(startDates&gt;=AD$95)*(endDates=AD$96)))</f>
        <v>1000</v>
      </c>
      <c r="AE119" s="676" cm="1">
        <f t="array" ref="AE119">SUM(_xlfn._xlws.FILTER(_xlfn._xlws.FILTER(headcountData,(headcountDataDepts=$D119)*(headcountDataIDs=$E119)),(startDates&gt;=AE$95)*(endDates=AE$96)))</f>
        <v>1000</v>
      </c>
      <c r="AF119" s="676" cm="1">
        <f t="array" ref="AF119">SUM(_xlfn._xlws.FILTER(_xlfn._xlws.FILTER(headcountData,(headcountDataDepts=$D119)*(headcountDataIDs=$E119)),(startDates&gt;=AF$95)*(endDates=AF$96)))</f>
        <v>1000</v>
      </c>
      <c r="AG119" s="676" cm="1">
        <f t="array" ref="AG119">SUM(_xlfn._xlws.FILTER(_xlfn._xlws.FILTER(headcountData,(headcountDataDepts=$D119)*(headcountDataIDs=$E119)),(startDates&gt;=AG$95)*(endDates=AG$96)))</f>
        <v>1000</v>
      </c>
      <c r="AH119" s="676" cm="1">
        <f t="array" ref="AH119">SUM(_xlfn._xlws.FILTER(_xlfn._xlws.FILTER(headcountData,(headcountDataDepts=$D119)*(headcountDataIDs=$E119)),(startDates&gt;=AH$95)*(endDates=AH$96)))</f>
        <v>1000</v>
      </c>
      <c r="AI119" s="676" cm="1">
        <f t="array" ref="AI119">SUM(_xlfn._xlws.FILTER(_xlfn._xlws.FILTER(headcountData,(headcountDataDepts=$D119)*(headcountDataIDs=$E119)),(startDates&gt;=AI$95)*(endDates=AI$96)))</f>
        <v>1000</v>
      </c>
      <c r="AL119" s="676" cm="1">
        <f t="array" ref="AL119">SUM(_xlfn._xlws.FILTER(_xlfn._xlws.FILTER(headcountData,(headcountDataDepts=$D119)*(headcountDataIDs=$E119)),(startDates&gt;=AL$95)*(endDates=AL$96)))</f>
        <v>0</v>
      </c>
      <c r="AM119" s="676" cm="1">
        <f t="array" ref="AM119">SUM(_xlfn._xlws.FILTER(_xlfn._xlws.FILTER(headcountData,(headcountDataDepts=$D119)*(headcountDataIDs=$E119)),(startDates&gt;=AM$95)*(endDates=AM$96)))</f>
        <v>0</v>
      </c>
      <c r="AN119" s="676" cm="1">
        <f t="array" ref="AN119">SUM(_xlfn._xlws.FILTER(_xlfn._xlws.FILTER(headcountData,(headcountDataDepts=$D119)*(headcountDataIDs=$E119)),(startDates&gt;=AN$95)*(endDates=AN$96)))</f>
        <v>0</v>
      </c>
      <c r="AO119" s="676" cm="1">
        <f t="array" ref="AO119">SUM(_xlfn._xlws.FILTER(_xlfn._xlws.FILTER(headcountData,(headcountDataDepts=$D119)*(headcountDataIDs=$E119)),(startDates&gt;=AO$95)*(endDates=AO$96)))</f>
        <v>0</v>
      </c>
      <c r="AP119" s="676" cm="1">
        <f t="array" ref="AP119">SUM(_xlfn._xlws.FILTER(_xlfn._xlws.FILTER(headcountData,(headcountDataDepts=$D119)*(headcountDataIDs=$E119)),(startDates&gt;=AP$95)*(endDates=AP$96)))</f>
        <v>0</v>
      </c>
      <c r="AQ119" s="676" cm="1">
        <f t="array" ref="AQ119">SUM(_xlfn._xlws.FILTER(_xlfn._xlws.FILTER(headcountData,(headcountDataDepts=$D119)*(headcountDataIDs=$E119)),(startDates&gt;=AQ$95)*(endDates=AQ$96)))</f>
        <v>0</v>
      </c>
      <c r="AR119" s="676" cm="1">
        <f t="array" ref="AR119">SUM(_xlfn._xlws.FILTER(_xlfn._xlws.FILTER(headcountData,(headcountDataDepts=$D119)*(headcountDataIDs=$E119)),(startDates&gt;=AR$95)*(endDates=AR$96)))</f>
        <v>0</v>
      </c>
      <c r="AS119" s="676" cm="1">
        <f t="array" ref="AS119">SUM(_xlfn._xlws.FILTER(_xlfn._xlws.FILTER(headcountData,(headcountDataDepts=$D119)*(headcountDataIDs=$E119)),(startDates&gt;=AS$95)*(endDates=AS$96)))</f>
        <v>0</v>
      </c>
      <c r="AT119" s="676" cm="1">
        <f t="array" ref="AT119">SUM(_xlfn._xlws.FILTER(_xlfn._xlws.FILTER(headcountData,(headcountDataDepts=$D119)*(headcountDataIDs=$E119)),(startDates&gt;=AT$95)*(endDates=AT$96)))</f>
        <v>0</v>
      </c>
      <c r="AU119" s="676" cm="1">
        <f t="array" ref="AU119">SUM(_xlfn._xlws.FILTER(_xlfn._xlws.FILTER(headcountData,(headcountDataDepts=$D119)*(headcountDataIDs=$E119)),(startDates&gt;=AU$95)*(endDates=AU$96)))</f>
        <v>0</v>
      </c>
      <c r="AV119" s="676" cm="1">
        <f t="array" ref="AV119">SUM(_xlfn._xlws.FILTER(_xlfn._xlws.FILTER(headcountData,(headcountDataDepts=$D119)*(headcountDataIDs=$E119)),(startDates&gt;=AV$95)*(endDates=AV$96)))</f>
        <v>0</v>
      </c>
      <c r="AW119" s="676" cm="1">
        <f t="array" ref="AW119">SUM(_xlfn._xlws.FILTER(_xlfn._xlws.FILTER(headcountData,(headcountDataDepts=$D119)*(headcountDataIDs=$E119)),(startDates&gt;=AW$95)*(endDates=AW$96)))</f>
        <v>0</v>
      </c>
      <c r="AX119" s="676" cm="1">
        <f t="array" ref="AX119">SUM(_xlfn._xlws.FILTER(_xlfn._xlws.FILTER(headcountData,(headcountDataDepts=$D119)*(headcountDataIDs=$E119)),(startDates&gt;=AX$95)*(endDates=AX$96)))</f>
        <v>0</v>
      </c>
      <c r="AY119" s="676" cm="1">
        <f t="array" ref="AY119">SUM(_xlfn._xlws.FILTER(_xlfn._xlws.FILTER(headcountData,(headcountDataDepts=$D119)*(headcountDataIDs=$E119)),(startDates&gt;=AY$95)*(endDates=AY$96)))</f>
        <v>0</v>
      </c>
      <c r="AZ119" s="676" cm="1">
        <f t="array" ref="AZ119">SUM(_xlfn._xlws.FILTER(_xlfn._xlws.FILTER(headcountData,(headcountDataDepts=$D119)*(headcountDataIDs=$E119)),(startDates&gt;=AZ$95)*(endDates=AZ$96)))</f>
        <v>857.14285714285711</v>
      </c>
      <c r="BA119" s="676" cm="1">
        <f t="array" ref="BA119">SUM(_xlfn._xlws.FILTER(_xlfn._xlws.FILTER(headcountData,(headcountDataDepts=$D119)*(headcountDataIDs=$E119)),(startDates&gt;=BA$95)*(endDates=BA$96)))</f>
        <v>1000</v>
      </c>
      <c r="BB119" s="676" cm="1">
        <f t="array" ref="BB119">SUM(_xlfn._xlws.FILTER(_xlfn._xlws.FILTER(headcountData,(headcountDataDepts=$D119)*(headcountDataIDs=$E119)),(startDates&gt;=BB$95)*(endDates=BB$96)))</f>
        <v>1000</v>
      </c>
      <c r="BC119" s="676" cm="1">
        <f t="array" ref="BC119">SUM(_xlfn._xlws.FILTER(_xlfn._xlws.FILTER(headcountData,(headcountDataDepts=$D119)*(headcountDataIDs=$E119)),(startDates&gt;=BC$95)*(endDates=BC$96)))</f>
        <v>1000</v>
      </c>
      <c r="BD119" s="676" cm="1">
        <f t="array" ref="BD119">SUM(_xlfn._xlws.FILTER(_xlfn._xlws.FILTER(headcountData,(headcountDataDepts=$D119)*(headcountDataIDs=$E119)),(startDates&gt;=BD$95)*(endDates=BD$96)))</f>
        <v>1000</v>
      </c>
      <c r="BE119" s="676" cm="1">
        <f t="array" ref="BE119">SUM(_xlfn._xlws.FILTER(_xlfn._xlws.FILTER(headcountData,(headcountDataDepts=$D119)*(headcountDataIDs=$E119)),(startDates&gt;=BE$95)*(endDates=BE$96)))</f>
        <v>1000</v>
      </c>
      <c r="BF119" s="676" cm="1">
        <f t="array" ref="BF119">SUM(_xlfn._xlws.FILTER(_xlfn._xlws.FILTER(headcountData,(headcountDataDepts=$D119)*(headcountDataIDs=$E119)),(startDates&gt;=BF$95)*(endDates=BF$96)))</f>
        <v>1000</v>
      </c>
      <c r="BG119" s="676" cm="1">
        <f t="array" ref="BG119">SUM(_xlfn._xlws.FILTER(_xlfn._xlws.FILTER(headcountData,(headcountDataDepts=$D119)*(headcountDataIDs=$E119)),(startDates&gt;=BG$95)*(endDates=BG$96)))</f>
        <v>1000</v>
      </c>
      <c r="BH119" s="676" cm="1">
        <f t="array" ref="BH119">SUM(_xlfn._xlws.FILTER(_xlfn._xlws.FILTER(headcountData,(headcountDataDepts=$D119)*(headcountDataIDs=$E119)),(startDates&gt;=BH$95)*(endDates=BH$96)))</f>
        <v>1000</v>
      </c>
      <c r="BI119" s="676" cm="1">
        <f t="array" ref="BI119">SUM(_xlfn._xlws.FILTER(_xlfn._xlws.FILTER(headcountData,(headcountDataDepts=$D119)*(headcountDataIDs=$E119)),(startDates&gt;=BI$95)*(endDates=BI$96)))</f>
        <v>1000</v>
      </c>
      <c r="BJ119" s="676" cm="1">
        <f t="array" ref="BJ119">SUM(_xlfn._xlws.FILTER(_xlfn._xlws.FILTER(headcountData,(headcountDataDepts=$D119)*(headcountDataIDs=$E119)),(startDates&gt;=BJ$95)*(endDates=BJ$96)))</f>
        <v>1000</v>
      </c>
      <c r="BK119" s="676" cm="1">
        <f t="array" ref="BK119">SUM(_xlfn._xlws.FILTER(_xlfn._xlws.FILTER(headcountData,(headcountDataDepts=$D119)*(headcountDataIDs=$E119)),(startDates&gt;=BK$95)*(endDates=BK$96)))</f>
        <v>1000</v>
      </c>
      <c r="BL119" s="676" cm="1">
        <f t="array" ref="BL119">SUM(_xlfn._xlws.FILTER(_xlfn._xlws.FILTER(headcountData,(headcountDataDepts=$D119)*(headcountDataIDs=$E119)),(startDates&gt;=BL$95)*(endDates=BL$96)))</f>
        <v>1000</v>
      </c>
      <c r="BM119" s="676" cm="1">
        <f t="array" ref="BM119">SUM(_xlfn._xlws.FILTER(_xlfn._xlws.FILTER(headcountData,(headcountDataDepts=$D119)*(headcountDataIDs=$E119)),(startDates&gt;=BM$95)*(endDates=BM$96)))</f>
        <v>1000</v>
      </c>
      <c r="BN119" s="676" cm="1">
        <f t="array" ref="BN119">SUM(_xlfn._xlws.FILTER(_xlfn._xlws.FILTER(headcountData,(headcountDataDepts=$D119)*(headcountDataIDs=$E119)),(startDates&gt;=BN$95)*(endDates=BN$96)))</f>
        <v>1000</v>
      </c>
      <c r="BO119" s="676" cm="1">
        <f t="array" ref="BO119">SUM(_xlfn._xlws.FILTER(_xlfn._xlws.FILTER(headcountData,(headcountDataDepts=$D119)*(headcountDataIDs=$E119)),(startDates&gt;=BO$95)*(endDates=BO$96)))</f>
        <v>1000</v>
      </c>
      <c r="BP119" s="676" cm="1">
        <f t="array" ref="BP119">SUM(_xlfn._xlws.FILTER(_xlfn._xlws.FILTER(headcountData,(headcountDataDepts=$D119)*(headcountDataIDs=$E119)),(startDates&gt;=BP$95)*(endDates=BP$96)))</f>
        <v>1000</v>
      </c>
      <c r="BQ119" s="676" cm="1">
        <f t="array" ref="BQ119">SUM(_xlfn._xlws.FILTER(_xlfn._xlws.FILTER(headcountData,(headcountDataDepts=$D119)*(headcountDataIDs=$E119)),(startDates&gt;=BQ$95)*(endDates=BQ$96)))</f>
        <v>1000</v>
      </c>
      <c r="BR119" s="676" cm="1">
        <f t="array" ref="BR119">SUM(_xlfn._xlws.FILTER(_xlfn._xlws.FILTER(headcountData,(headcountDataDepts=$D119)*(headcountDataIDs=$E119)),(startDates&gt;=BR$95)*(endDates=BR$96)))</f>
        <v>1000</v>
      </c>
      <c r="BS119" s="676" cm="1">
        <f t="array" ref="BS119">SUM(_xlfn._xlws.FILTER(_xlfn._xlws.FILTER(headcountData,(headcountDataDepts=$D119)*(headcountDataIDs=$E119)),(startDates&gt;=BS$95)*(endDates=BS$96)))</f>
        <v>1000</v>
      </c>
      <c r="BT119" s="676" cm="1">
        <f t="array" ref="BT119">SUM(_xlfn._xlws.FILTER(_xlfn._xlws.FILTER(headcountData,(headcountDataDepts=$D119)*(headcountDataIDs=$E119)),(startDates&gt;=BT$95)*(endDates=BT$96)))</f>
        <v>1000</v>
      </c>
      <c r="BU119" s="676" cm="1">
        <f t="array" ref="BU119">SUM(_xlfn._xlws.FILTER(_xlfn._xlws.FILTER(headcountData,(headcountDataDepts=$D119)*(headcountDataIDs=$E119)),(startDates&gt;=BU$95)*(endDates=BU$96)))</f>
        <v>1000</v>
      </c>
      <c r="BV119" s="676" cm="1">
        <f t="array" ref="BV119">SUM(_xlfn._xlws.FILTER(_xlfn._xlws.FILTER(headcountData,(headcountDataDepts=$D119)*(headcountDataIDs=$E119)),(startDates&gt;=BV$95)*(endDates=BV$96)))</f>
        <v>1000</v>
      </c>
      <c r="BW119" s="676" cm="1">
        <f t="array" ref="BW119">SUM(_xlfn._xlws.FILTER(_xlfn._xlws.FILTER(headcountData,(headcountDataDepts=$D119)*(headcountDataIDs=$E119)),(startDates&gt;=BW$95)*(endDates=BW$96)))</f>
        <v>1000</v>
      </c>
      <c r="BX119" s="676" cm="1">
        <f t="array" ref="BX119">SUM(_xlfn._xlws.FILTER(_xlfn._xlws.FILTER(headcountData,(headcountDataDepts=$D119)*(headcountDataIDs=$E119)),(startDates&gt;=BX$95)*(endDates=BX$96)))</f>
        <v>1000</v>
      </c>
      <c r="BY119" s="676" cm="1">
        <f t="array" ref="BY119">SUM(_xlfn._xlws.FILTER(_xlfn._xlws.FILTER(headcountData,(headcountDataDepts=$D119)*(headcountDataIDs=$E119)),(startDates&gt;=BY$95)*(endDates=BY$96)))</f>
        <v>1000</v>
      </c>
      <c r="BZ119" s="676" cm="1">
        <f t="array" ref="BZ119">SUM(_xlfn._xlws.FILTER(_xlfn._xlws.FILTER(headcountData,(headcountDataDepts=$D119)*(headcountDataIDs=$E119)),(startDates&gt;=BZ$95)*(endDates=BZ$96)))</f>
        <v>1000</v>
      </c>
      <c r="CA119" s="676" cm="1">
        <f t="array" ref="CA119">SUM(_xlfn._xlws.FILTER(_xlfn._xlws.FILTER(headcountData,(headcountDataDepts=$D119)*(headcountDataIDs=$E119)),(startDates&gt;=CA$95)*(endDates=CA$96)))</f>
        <v>1000</v>
      </c>
      <c r="CB119" s="676" cm="1">
        <f t="array" ref="CB119">SUM(_xlfn._xlws.FILTER(_xlfn._xlws.FILTER(headcountData,(headcountDataDepts=$D119)*(headcountDataIDs=$E119)),(startDates&gt;=CB$95)*(endDates=CB$96)))</f>
        <v>1000</v>
      </c>
      <c r="CC119" s="676" cm="1">
        <f t="array" ref="CC119">SUM(_xlfn._xlws.FILTER(_xlfn._xlws.FILTER(headcountData,(headcountDataDepts=$D119)*(headcountDataIDs=$E119)),(startDates&gt;=CC$95)*(endDates=CC$96)))</f>
        <v>1000</v>
      </c>
      <c r="CD119" s="676" cm="1">
        <f t="array" ref="CD119">SUM(_xlfn._xlws.FILTER(_xlfn._xlws.FILTER(headcountData,(headcountDataDepts=$D119)*(headcountDataIDs=$E119)),(startDates&gt;=CD$95)*(endDates=CD$96)))</f>
        <v>1000</v>
      </c>
      <c r="CE119" s="676" cm="1">
        <f t="array" ref="CE119">SUM(_xlfn._xlws.FILTER(_xlfn._xlws.FILTER(headcountData,(headcountDataDepts=$D119)*(headcountDataIDs=$E119)),(startDates&gt;=CE$95)*(endDates=CE$96)))</f>
        <v>1000</v>
      </c>
      <c r="CF119" s="676" cm="1">
        <f t="array" ref="CF119">SUM(_xlfn._xlws.FILTER(_xlfn._xlws.FILTER(headcountData,(headcountDataDepts=$D119)*(headcountDataIDs=$E119)),(startDates&gt;=CF$95)*(endDates=CF$96)))</f>
        <v>1000</v>
      </c>
      <c r="CG119" s="676" cm="1">
        <f t="array" ref="CG119">SUM(_xlfn._xlws.FILTER(_xlfn._xlws.FILTER(headcountData,(headcountDataDepts=$D119)*(headcountDataIDs=$E119)),(startDates&gt;=CG$95)*(endDates=CG$96)))</f>
        <v>1000</v>
      </c>
    </row>
    <row r="120" spans="3:85" ht="15.75" hidden="1" customHeight="1" outlineLevel="1">
      <c r="C120" s="677" t="s">
        <v>189</v>
      </c>
      <c r="D120" s="149" t="s">
        <v>181</v>
      </c>
      <c r="E120" s="150" t="s">
        <v>196</v>
      </c>
      <c r="J120" s="676" cm="1">
        <f t="array" ref="J120">SUM(_xlfn._xlws.FILTER(_xlfn._xlws.FILTER(headcountData,(headcountDataDepts=$D120)*(headcountDataIDs=$E120)),(startDates&gt;=J$95)*(endDates=J$96)))</f>
        <v>1250</v>
      </c>
      <c r="K120" s="676" cm="1">
        <f t="array" ref="K120">SUM(_xlfn._xlws.FILTER(_xlfn._xlws.FILTER(headcountData,(headcountDataDepts=$D120)*(headcountDataIDs=$E120)),(startDates&gt;=K$95)*(endDates=K$96)))</f>
        <v>1250</v>
      </c>
      <c r="N120" s="676" cm="1">
        <f t="array" ref="N120">SUM(_xlfn._xlws.FILTER(_xlfn._xlws.FILTER(headcountData,(headcountDataDepts=$D120)*(headcountDataIDs=$E120)),(startDates&gt;=N$95)*(endDates=N$96)))</f>
        <v>0</v>
      </c>
      <c r="O120" s="676" cm="1">
        <f t="array" ref="O120">SUM(_xlfn._xlws.FILTER(_xlfn._xlws.FILTER(headcountData,(headcountDataDepts=$D120)*(headcountDataIDs=$E120)),(startDates&gt;=O$95)*(endDates=O$96)))</f>
        <v>1250</v>
      </c>
      <c r="P120" s="676" cm="1">
        <f t="array" ref="P120">SUM(_xlfn._xlws.FILTER(_xlfn._xlws.FILTER(headcountData,(headcountDataDepts=$D120)*(headcountDataIDs=$E120)),(startDates&gt;=P$95)*(endDates=P$96)))</f>
        <v>1250</v>
      </c>
      <c r="Q120" s="676" cm="1">
        <f t="array" ref="Q120">SUM(_xlfn._xlws.FILTER(_xlfn._xlws.FILTER(headcountData,(headcountDataDepts=$D120)*(headcountDataIDs=$E120)),(startDates&gt;=Q$95)*(endDates=Q$96)))</f>
        <v>1250</v>
      </c>
      <c r="T120" s="676" cm="1">
        <f t="array" ref="T120">SUM(_xlfn._xlws.FILTER(_xlfn._xlws.FILTER(headcountData,(headcountDataDepts=$D120)*(headcountDataIDs=$E120)),(startDates&gt;=T$95)*(endDates=T$96)))</f>
        <v>0</v>
      </c>
      <c r="U120" s="676" cm="1">
        <f t="array" ref="U120">SUM(_xlfn._xlws.FILTER(_xlfn._xlws.FILTER(headcountData,(headcountDataDepts=$D120)*(headcountDataIDs=$E120)),(startDates&gt;=U$95)*(endDates=U$96)))</f>
        <v>0</v>
      </c>
      <c r="V120" s="676" cm="1">
        <f t="array" ref="V120">SUM(_xlfn._xlws.FILTER(_xlfn._xlws.FILTER(headcountData,(headcountDataDepts=$D120)*(headcountDataIDs=$E120)),(startDates&gt;=V$95)*(endDates=V$96)))</f>
        <v>0</v>
      </c>
      <c r="W120" s="676" cm="1">
        <f t="array" ref="W120">SUM(_xlfn._xlws.FILTER(_xlfn._xlws.FILTER(headcountData,(headcountDataDepts=$D120)*(headcountDataIDs=$E120)),(startDates&gt;=W$95)*(endDates=W$96)))</f>
        <v>0</v>
      </c>
      <c r="X120" s="676" cm="1">
        <f t="array" ref="X120">SUM(_xlfn._xlws.FILTER(_xlfn._xlws.FILTER(headcountData,(headcountDataDepts=$D120)*(headcountDataIDs=$E120)),(startDates&gt;=X$95)*(endDates=X$96)))</f>
        <v>1071.4285714285713</v>
      </c>
      <c r="Y120" s="676" cm="1">
        <f t="array" ref="Y120">SUM(_xlfn._xlws.FILTER(_xlfn._xlws.FILTER(headcountData,(headcountDataDepts=$D120)*(headcountDataIDs=$E120)),(startDates&gt;=Y$95)*(endDates=Y$96)))</f>
        <v>1250</v>
      </c>
      <c r="Z120" s="676" cm="1">
        <f t="array" ref="Z120">SUM(_xlfn._xlws.FILTER(_xlfn._xlws.FILTER(headcountData,(headcountDataDepts=$D120)*(headcountDataIDs=$E120)),(startDates&gt;=Z$95)*(endDates=Z$96)))</f>
        <v>1250</v>
      </c>
      <c r="AA120" s="676" cm="1">
        <f t="array" ref="AA120">SUM(_xlfn._xlws.FILTER(_xlfn._xlws.FILTER(headcountData,(headcountDataDepts=$D120)*(headcountDataIDs=$E120)),(startDates&gt;=AA$95)*(endDates=AA$96)))</f>
        <v>1250</v>
      </c>
      <c r="AB120" s="676" cm="1">
        <f t="array" ref="AB120">SUM(_xlfn._xlws.FILTER(_xlfn._xlws.FILTER(headcountData,(headcountDataDepts=$D120)*(headcountDataIDs=$E120)),(startDates&gt;=AB$95)*(endDates=AB$96)))</f>
        <v>1250</v>
      </c>
      <c r="AC120" s="676" cm="1">
        <f t="array" ref="AC120">SUM(_xlfn._xlws.FILTER(_xlfn._xlws.FILTER(headcountData,(headcountDataDepts=$D120)*(headcountDataIDs=$E120)),(startDates&gt;=AC$95)*(endDates=AC$96)))</f>
        <v>1250</v>
      </c>
      <c r="AD120" s="676" cm="1">
        <f t="array" ref="AD120">SUM(_xlfn._xlws.FILTER(_xlfn._xlws.FILTER(headcountData,(headcountDataDepts=$D120)*(headcountDataIDs=$E120)),(startDates&gt;=AD$95)*(endDates=AD$96)))</f>
        <v>1250</v>
      </c>
      <c r="AE120" s="676" cm="1">
        <f t="array" ref="AE120">SUM(_xlfn._xlws.FILTER(_xlfn._xlws.FILTER(headcountData,(headcountDataDepts=$D120)*(headcountDataIDs=$E120)),(startDates&gt;=AE$95)*(endDates=AE$96)))</f>
        <v>1250</v>
      </c>
      <c r="AF120" s="676" cm="1">
        <f t="array" ref="AF120">SUM(_xlfn._xlws.FILTER(_xlfn._xlws.FILTER(headcountData,(headcountDataDepts=$D120)*(headcountDataIDs=$E120)),(startDates&gt;=AF$95)*(endDates=AF$96)))</f>
        <v>1250</v>
      </c>
      <c r="AG120" s="676" cm="1">
        <f t="array" ref="AG120">SUM(_xlfn._xlws.FILTER(_xlfn._xlws.FILTER(headcountData,(headcountDataDepts=$D120)*(headcountDataIDs=$E120)),(startDates&gt;=AG$95)*(endDates=AG$96)))</f>
        <v>1250</v>
      </c>
      <c r="AH120" s="676" cm="1">
        <f t="array" ref="AH120">SUM(_xlfn._xlws.FILTER(_xlfn._xlws.FILTER(headcountData,(headcountDataDepts=$D120)*(headcountDataIDs=$E120)),(startDates&gt;=AH$95)*(endDates=AH$96)))</f>
        <v>1250</v>
      </c>
      <c r="AI120" s="676" cm="1">
        <f t="array" ref="AI120">SUM(_xlfn._xlws.FILTER(_xlfn._xlws.FILTER(headcountData,(headcountDataDepts=$D120)*(headcountDataIDs=$E120)),(startDates&gt;=AI$95)*(endDates=AI$96)))</f>
        <v>1250</v>
      </c>
      <c r="AL120" s="676" cm="1">
        <f t="array" ref="AL120">SUM(_xlfn._xlws.FILTER(_xlfn._xlws.FILTER(headcountData,(headcountDataDepts=$D120)*(headcountDataIDs=$E120)),(startDates&gt;=AL$95)*(endDates=AL$96)))</f>
        <v>0</v>
      </c>
      <c r="AM120" s="676" cm="1">
        <f t="array" ref="AM120">SUM(_xlfn._xlws.FILTER(_xlfn._xlws.FILTER(headcountData,(headcountDataDepts=$D120)*(headcountDataIDs=$E120)),(startDates&gt;=AM$95)*(endDates=AM$96)))</f>
        <v>0</v>
      </c>
      <c r="AN120" s="676" cm="1">
        <f t="array" ref="AN120">SUM(_xlfn._xlws.FILTER(_xlfn._xlws.FILTER(headcountData,(headcountDataDepts=$D120)*(headcountDataIDs=$E120)),(startDates&gt;=AN$95)*(endDates=AN$96)))</f>
        <v>0</v>
      </c>
      <c r="AO120" s="676" cm="1">
        <f t="array" ref="AO120">SUM(_xlfn._xlws.FILTER(_xlfn._xlws.FILTER(headcountData,(headcountDataDepts=$D120)*(headcountDataIDs=$E120)),(startDates&gt;=AO$95)*(endDates=AO$96)))</f>
        <v>0</v>
      </c>
      <c r="AP120" s="676" cm="1">
        <f t="array" ref="AP120">SUM(_xlfn._xlws.FILTER(_xlfn._xlws.FILTER(headcountData,(headcountDataDepts=$D120)*(headcountDataIDs=$E120)),(startDates&gt;=AP$95)*(endDates=AP$96)))</f>
        <v>0</v>
      </c>
      <c r="AQ120" s="676" cm="1">
        <f t="array" ref="AQ120">SUM(_xlfn._xlws.FILTER(_xlfn._xlws.FILTER(headcountData,(headcountDataDepts=$D120)*(headcountDataIDs=$E120)),(startDates&gt;=AQ$95)*(endDates=AQ$96)))</f>
        <v>0</v>
      </c>
      <c r="AR120" s="676" cm="1">
        <f t="array" ref="AR120">SUM(_xlfn._xlws.FILTER(_xlfn._xlws.FILTER(headcountData,(headcountDataDepts=$D120)*(headcountDataIDs=$E120)),(startDates&gt;=AR$95)*(endDates=AR$96)))</f>
        <v>0</v>
      </c>
      <c r="AS120" s="676" cm="1">
        <f t="array" ref="AS120">SUM(_xlfn._xlws.FILTER(_xlfn._xlws.FILTER(headcountData,(headcountDataDepts=$D120)*(headcountDataIDs=$E120)),(startDates&gt;=AS$95)*(endDates=AS$96)))</f>
        <v>0</v>
      </c>
      <c r="AT120" s="676" cm="1">
        <f t="array" ref="AT120">SUM(_xlfn._xlws.FILTER(_xlfn._xlws.FILTER(headcountData,(headcountDataDepts=$D120)*(headcountDataIDs=$E120)),(startDates&gt;=AT$95)*(endDates=AT$96)))</f>
        <v>0</v>
      </c>
      <c r="AU120" s="676" cm="1">
        <f t="array" ref="AU120">SUM(_xlfn._xlws.FILTER(_xlfn._xlws.FILTER(headcountData,(headcountDataDepts=$D120)*(headcountDataIDs=$E120)),(startDates&gt;=AU$95)*(endDates=AU$96)))</f>
        <v>0</v>
      </c>
      <c r="AV120" s="676" cm="1">
        <f t="array" ref="AV120">SUM(_xlfn._xlws.FILTER(_xlfn._xlws.FILTER(headcountData,(headcountDataDepts=$D120)*(headcountDataIDs=$E120)),(startDates&gt;=AV$95)*(endDates=AV$96)))</f>
        <v>0</v>
      </c>
      <c r="AW120" s="676" cm="1">
        <f t="array" ref="AW120">SUM(_xlfn._xlws.FILTER(_xlfn._xlws.FILTER(headcountData,(headcountDataDepts=$D120)*(headcountDataIDs=$E120)),(startDates&gt;=AW$95)*(endDates=AW$96)))</f>
        <v>0</v>
      </c>
      <c r="AX120" s="676" cm="1">
        <f t="array" ref="AX120">SUM(_xlfn._xlws.FILTER(_xlfn._xlws.FILTER(headcountData,(headcountDataDepts=$D120)*(headcountDataIDs=$E120)),(startDates&gt;=AX$95)*(endDates=AX$96)))</f>
        <v>0</v>
      </c>
      <c r="AY120" s="676" cm="1">
        <f t="array" ref="AY120">SUM(_xlfn._xlws.FILTER(_xlfn._xlws.FILTER(headcountData,(headcountDataDepts=$D120)*(headcountDataIDs=$E120)),(startDates&gt;=AY$95)*(endDates=AY$96)))</f>
        <v>0</v>
      </c>
      <c r="AZ120" s="676" cm="1">
        <f t="array" ref="AZ120">SUM(_xlfn._xlws.FILTER(_xlfn._xlws.FILTER(headcountData,(headcountDataDepts=$D120)*(headcountDataIDs=$E120)),(startDates&gt;=AZ$95)*(endDates=AZ$96)))</f>
        <v>1071.4285714285713</v>
      </c>
      <c r="BA120" s="676" cm="1">
        <f t="array" ref="BA120">SUM(_xlfn._xlws.FILTER(_xlfn._xlws.FILTER(headcountData,(headcountDataDepts=$D120)*(headcountDataIDs=$E120)),(startDates&gt;=BA$95)*(endDates=BA$96)))</f>
        <v>1250</v>
      </c>
      <c r="BB120" s="676" cm="1">
        <f t="array" ref="BB120">SUM(_xlfn._xlws.FILTER(_xlfn._xlws.FILTER(headcountData,(headcountDataDepts=$D120)*(headcountDataIDs=$E120)),(startDates&gt;=BB$95)*(endDates=BB$96)))</f>
        <v>1250</v>
      </c>
      <c r="BC120" s="676" cm="1">
        <f t="array" ref="BC120">SUM(_xlfn._xlws.FILTER(_xlfn._xlws.FILTER(headcountData,(headcountDataDepts=$D120)*(headcountDataIDs=$E120)),(startDates&gt;=BC$95)*(endDates=BC$96)))</f>
        <v>1250</v>
      </c>
      <c r="BD120" s="676" cm="1">
        <f t="array" ref="BD120">SUM(_xlfn._xlws.FILTER(_xlfn._xlws.FILTER(headcountData,(headcountDataDepts=$D120)*(headcountDataIDs=$E120)),(startDates&gt;=BD$95)*(endDates=BD$96)))</f>
        <v>1250</v>
      </c>
      <c r="BE120" s="676" cm="1">
        <f t="array" ref="BE120">SUM(_xlfn._xlws.FILTER(_xlfn._xlws.FILTER(headcountData,(headcountDataDepts=$D120)*(headcountDataIDs=$E120)),(startDates&gt;=BE$95)*(endDates=BE$96)))</f>
        <v>1250</v>
      </c>
      <c r="BF120" s="676" cm="1">
        <f t="array" ref="BF120">SUM(_xlfn._xlws.FILTER(_xlfn._xlws.FILTER(headcountData,(headcountDataDepts=$D120)*(headcountDataIDs=$E120)),(startDates&gt;=BF$95)*(endDates=BF$96)))</f>
        <v>1250</v>
      </c>
      <c r="BG120" s="676" cm="1">
        <f t="array" ref="BG120">SUM(_xlfn._xlws.FILTER(_xlfn._xlws.FILTER(headcountData,(headcountDataDepts=$D120)*(headcountDataIDs=$E120)),(startDates&gt;=BG$95)*(endDates=BG$96)))</f>
        <v>1250</v>
      </c>
      <c r="BH120" s="676" cm="1">
        <f t="array" ref="BH120">SUM(_xlfn._xlws.FILTER(_xlfn._xlws.FILTER(headcountData,(headcountDataDepts=$D120)*(headcountDataIDs=$E120)),(startDates&gt;=BH$95)*(endDates=BH$96)))</f>
        <v>1250</v>
      </c>
      <c r="BI120" s="676" cm="1">
        <f t="array" ref="BI120">SUM(_xlfn._xlws.FILTER(_xlfn._xlws.FILTER(headcountData,(headcountDataDepts=$D120)*(headcountDataIDs=$E120)),(startDates&gt;=BI$95)*(endDates=BI$96)))</f>
        <v>1250</v>
      </c>
      <c r="BJ120" s="676" cm="1">
        <f t="array" ref="BJ120">SUM(_xlfn._xlws.FILTER(_xlfn._xlws.FILTER(headcountData,(headcountDataDepts=$D120)*(headcountDataIDs=$E120)),(startDates&gt;=BJ$95)*(endDates=BJ$96)))</f>
        <v>1250</v>
      </c>
      <c r="BK120" s="676" cm="1">
        <f t="array" ref="BK120">SUM(_xlfn._xlws.FILTER(_xlfn._xlws.FILTER(headcountData,(headcountDataDepts=$D120)*(headcountDataIDs=$E120)),(startDates&gt;=BK$95)*(endDates=BK$96)))</f>
        <v>1250</v>
      </c>
      <c r="BL120" s="676" cm="1">
        <f t="array" ref="BL120">SUM(_xlfn._xlws.FILTER(_xlfn._xlws.FILTER(headcountData,(headcountDataDepts=$D120)*(headcountDataIDs=$E120)),(startDates&gt;=BL$95)*(endDates=BL$96)))</f>
        <v>1250</v>
      </c>
      <c r="BM120" s="676" cm="1">
        <f t="array" ref="BM120">SUM(_xlfn._xlws.FILTER(_xlfn._xlws.FILTER(headcountData,(headcountDataDepts=$D120)*(headcountDataIDs=$E120)),(startDates&gt;=BM$95)*(endDates=BM$96)))</f>
        <v>1250</v>
      </c>
      <c r="BN120" s="676" cm="1">
        <f t="array" ref="BN120">SUM(_xlfn._xlws.FILTER(_xlfn._xlws.FILTER(headcountData,(headcountDataDepts=$D120)*(headcountDataIDs=$E120)),(startDates&gt;=BN$95)*(endDates=BN$96)))</f>
        <v>1250</v>
      </c>
      <c r="BO120" s="676" cm="1">
        <f t="array" ref="BO120">SUM(_xlfn._xlws.FILTER(_xlfn._xlws.FILTER(headcountData,(headcountDataDepts=$D120)*(headcountDataIDs=$E120)),(startDates&gt;=BO$95)*(endDates=BO$96)))</f>
        <v>1250</v>
      </c>
      <c r="BP120" s="676" cm="1">
        <f t="array" ref="BP120">SUM(_xlfn._xlws.FILTER(_xlfn._xlws.FILTER(headcountData,(headcountDataDepts=$D120)*(headcountDataIDs=$E120)),(startDates&gt;=BP$95)*(endDates=BP$96)))</f>
        <v>1250</v>
      </c>
      <c r="BQ120" s="676" cm="1">
        <f t="array" ref="BQ120">SUM(_xlfn._xlws.FILTER(_xlfn._xlws.FILTER(headcountData,(headcountDataDepts=$D120)*(headcountDataIDs=$E120)),(startDates&gt;=BQ$95)*(endDates=BQ$96)))</f>
        <v>1250</v>
      </c>
      <c r="BR120" s="676" cm="1">
        <f t="array" ref="BR120">SUM(_xlfn._xlws.FILTER(_xlfn._xlws.FILTER(headcountData,(headcountDataDepts=$D120)*(headcountDataIDs=$E120)),(startDates&gt;=BR$95)*(endDates=BR$96)))</f>
        <v>1250</v>
      </c>
      <c r="BS120" s="676" cm="1">
        <f t="array" ref="BS120">SUM(_xlfn._xlws.FILTER(_xlfn._xlws.FILTER(headcountData,(headcountDataDepts=$D120)*(headcountDataIDs=$E120)),(startDates&gt;=BS$95)*(endDates=BS$96)))</f>
        <v>1250</v>
      </c>
      <c r="BT120" s="676" cm="1">
        <f t="array" ref="BT120">SUM(_xlfn._xlws.FILTER(_xlfn._xlws.FILTER(headcountData,(headcountDataDepts=$D120)*(headcountDataIDs=$E120)),(startDates&gt;=BT$95)*(endDates=BT$96)))</f>
        <v>1250</v>
      </c>
      <c r="BU120" s="676" cm="1">
        <f t="array" ref="BU120">SUM(_xlfn._xlws.FILTER(_xlfn._xlws.FILTER(headcountData,(headcountDataDepts=$D120)*(headcountDataIDs=$E120)),(startDates&gt;=BU$95)*(endDates=BU$96)))</f>
        <v>1250</v>
      </c>
      <c r="BV120" s="676" cm="1">
        <f t="array" ref="BV120">SUM(_xlfn._xlws.FILTER(_xlfn._xlws.FILTER(headcountData,(headcountDataDepts=$D120)*(headcountDataIDs=$E120)),(startDates&gt;=BV$95)*(endDates=BV$96)))</f>
        <v>1250</v>
      </c>
      <c r="BW120" s="676" cm="1">
        <f t="array" ref="BW120">SUM(_xlfn._xlws.FILTER(_xlfn._xlws.FILTER(headcountData,(headcountDataDepts=$D120)*(headcountDataIDs=$E120)),(startDates&gt;=BW$95)*(endDates=BW$96)))</f>
        <v>1250</v>
      </c>
      <c r="BX120" s="676" cm="1">
        <f t="array" ref="BX120">SUM(_xlfn._xlws.FILTER(_xlfn._xlws.FILTER(headcountData,(headcountDataDepts=$D120)*(headcountDataIDs=$E120)),(startDates&gt;=BX$95)*(endDates=BX$96)))</f>
        <v>1250</v>
      </c>
      <c r="BY120" s="676" cm="1">
        <f t="array" ref="BY120">SUM(_xlfn._xlws.FILTER(_xlfn._xlws.FILTER(headcountData,(headcountDataDepts=$D120)*(headcountDataIDs=$E120)),(startDates&gt;=BY$95)*(endDates=BY$96)))</f>
        <v>1250</v>
      </c>
      <c r="BZ120" s="676" cm="1">
        <f t="array" ref="BZ120">SUM(_xlfn._xlws.FILTER(_xlfn._xlws.FILTER(headcountData,(headcountDataDepts=$D120)*(headcountDataIDs=$E120)),(startDates&gt;=BZ$95)*(endDates=BZ$96)))</f>
        <v>1250</v>
      </c>
      <c r="CA120" s="676" cm="1">
        <f t="array" ref="CA120">SUM(_xlfn._xlws.FILTER(_xlfn._xlws.FILTER(headcountData,(headcountDataDepts=$D120)*(headcountDataIDs=$E120)),(startDates&gt;=CA$95)*(endDates=CA$96)))</f>
        <v>1250</v>
      </c>
      <c r="CB120" s="676" cm="1">
        <f t="array" ref="CB120">SUM(_xlfn._xlws.FILTER(_xlfn._xlws.FILTER(headcountData,(headcountDataDepts=$D120)*(headcountDataIDs=$E120)),(startDates&gt;=CB$95)*(endDates=CB$96)))</f>
        <v>1250</v>
      </c>
      <c r="CC120" s="676" cm="1">
        <f t="array" ref="CC120">SUM(_xlfn._xlws.FILTER(_xlfn._xlws.FILTER(headcountData,(headcountDataDepts=$D120)*(headcountDataIDs=$E120)),(startDates&gt;=CC$95)*(endDates=CC$96)))</f>
        <v>1250</v>
      </c>
      <c r="CD120" s="676" cm="1">
        <f t="array" ref="CD120">SUM(_xlfn._xlws.FILTER(_xlfn._xlws.FILTER(headcountData,(headcountDataDepts=$D120)*(headcountDataIDs=$E120)),(startDates&gt;=CD$95)*(endDates=CD$96)))</f>
        <v>1250</v>
      </c>
      <c r="CE120" s="676" cm="1">
        <f t="array" ref="CE120">SUM(_xlfn._xlws.FILTER(_xlfn._xlws.FILTER(headcountData,(headcountDataDepts=$D120)*(headcountDataIDs=$E120)),(startDates&gt;=CE$95)*(endDates=CE$96)))</f>
        <v>1250</v>
      </c>
      <c r="CF120" s="676" cm="1">
        <f t="array" ref="CF120">SUM(_xlfn._xlws.FILTER(_xlfn._xlws.FILTER(headcountData,(headcountDataDepts=$D120)*(headcountDataIDs=$E120)),(startDates&gt;=CF$95)*(endDates=CF$96)))</f>
        <v>1250</v>
      </c>
      <c r="CG120" s="676" cm="1">
        <f t="array" ref="CG120">SUM(_xlfn._xlws.FILTER(_xlfn._xlws.FILTER(headcountData,(headcountDataDepts=$D120)*(headcountDataIDs=$E120)),(startDates&gt;=CG$95)*(endDates=CG$96)))</f>
        <v>1250</v>
      </c>
    </row>
    <row r="121" spans="3:85" ht="15.75" hidden="1" customHeight="1" outlineLevel="1">
      <c r="C121" s="677" t="s">
        <v>189</v>
      </c>
      <c r="D121" s="149" t="s">
        <v>181</v>
      </c>
      <c r="E121" s="150" t="s">
        <v>198</v>
      </c>
      <c r="J121" s="676" cm="1">
        <f t="array" ref="J121">SUM(_xlfn._xlws.FILTER(_xlfn._xlws.FILTER(headcountData,(headcountDataDepts=$D121)*(headcountDataIDs=$E121)),(startDates&gt;=J$95)*(endDates=J$96)))</f>
        <v>31.25</v>
      </c>
      <c r="K121" s="676" cm="1">
        <f t="array" ref="K121">SUM(_xlfn._xlws.FILTER(_xlfn._xlws.FILTER(headcountData,(headcountDataDepts=$D121)*(headcountDataIDs=$E121)),(startDates&gt;=K$95)*(endDates=K$96)))</f>
        <v>31.25</v>
      </c>
      <c r="N121" s="676" cm="1">
        <f t="array" ref="N121">SUM(_xlfn._xlws.FILTER(_xlfn._xlws.FILTER(headcountData,(headcountDataDepts=$D121)*(headcountDataIDs=$E121)),(startDates&gt;=N$95)*(endDates=N$96)))</f>
        <v>0</v>
      </c>
      <c r="O121" s="676" cm="1">
        <f t="array" ref="O121">SUM(_xlfn._xlws.FILTER(_xlfn._xlws.FILTER(headcountData,(headcountDataDepts=$D121)*(headcountDataIDs=$E121)),(startDates&gt;=O$95)*(endDates=O$96)))</f>
        <v>31.25</v>
      </c>
      <c r="P121" s="676" cm="1">
        <f t="array" ref="P121">SUM(_xlfn._xlws.FILTER(_xlfn._xlws.FILTER(headcountData,(headcountDataDepts=$D121)*(headcountDataIDs=$E121)),(startDates&gt;=P$95)*(endDates=P$96)))</f>
        <v>31.25</v>
      </c>
      <c r="Q121" s="676" cm="1">
        <f t="array" ref="Q121">SUM(_xlfn._xlws.FILTER(_xlfn._xlws.FILTER(headcountData,(headcountDataDepts=$D121)*(headcountDataIDs=$E121)),(startDates&gt;=Q$95)*(endDates=Q$96)))</f>
        <v>31.25</v>
      </c>
      <c r="T121" s="676" cm="1">
        <f t="array" ref="T121">SUM(_xlfn._xlws.FILTER(_xlfn._xlws.FILTER(headcountData,(headcountDataDepts=$D121)*(headcountDataIDs=$E121)),(startDates&gt;=T$95)*(endDates=T$96)))</f>
        <v>0</v>
      </c>
      <c r="U121" s="676" cm="1">
        <f t="array" ref="U121">SUM(_xlfn._xlws.FILTER(_xlfn._xlws.FILTER(headcountData,(headcountDataDepts=$D121)*(headcountDataIDs=$E121)),(startDates&gt;=U$95)*(endDates=U$96)))</f>
        <v>0</v>
      </c>
      <c r="V121" s="676" cm="1">
        <f t="array" ref="V121">SUM(_xlfn._xlws.FILTER(_xlfn._xlws.FILTER(headcountData,(headcountDataDepts=$D121)*(headcountDataIDs=$E121)),(startDates&gt;=V$95)*(endDates=V$96)))</f>
        <v>0</v>
      </c>
      <c r="W121" s="676" cm="1">
        <f t="array" ref="W121">SUM(_xlfn._xlws.FILTER(_xlfn._xlws.FILTER(headcountData,(headcountDataDepts=$D121)*(headcountDataIDs=$E121)),(startDates&gt;=W$95)*(endDates=W$96)))</f>
        <v>0</v>
      </c>
      <c r="X121" s="676" cm="1">
        <f t="array" ref="X121">SUM(_xlfn._xlws.FILTER(_xlfn._xlws.FILTER(headcountData,(headcountDataDepts=$D121)*(headcountDataIDs=$E121)),(startDates&gt;=X$95)*(endDates=X$96)))</f>
        <v>26.785714285714285</v>
      </c>
      <c r="Y121" s="676" cm="1">
        <f t="array" ref="Y121">SUM(_xlfn._xlws.FILTER(_xlfn._xlws.FILTER(headcountData,(headcountDataDepts=$D121)*(headcountDataIDs=$E121)),(startDates&gt;=Y$95)*(endDates=Y$96)))</f>
        <v>31.25</v>
      </c>
      <c r="Z121" s="676" cm="1">
        <f t="array" ref="Z121">SUM(_xlfn._xlws.FILTER(_xlfn._xlws.FILTER(headcountData,(headcountDataDepts=$D121)*(headcountDataIDs=$E121)),(startDates&gt;=Z$95)*(endDates=Z$96)))</f>
        <v>31.25</v>
      </c>
      <c r="AA121" s="676" cm="1">
        <f t="array" ref="AA121">SUM(_xlfn._xlws.FILTER(_xlfn._xlws.FILTER(headcountData,(headcountDataDepts=$D121)*(headcountDataIDs=$E121)),(startDates&gt;=AA$95)*(endDates=AA$96)))</f>
        <v>31.25</v>
      </c>
      <c r="AB121" s="676" cm="1">
        <f t="array" ref="AB121">SUM(_xlfn._xlws.FILTER(_xlfn._xlws.FILTER(headcountData,(headcountDataDepts=$D121)*(headcountDataIDs=$E121)),(startDates&gt;=AB$95)*(endDates=AB$96)))</f>
        <v>31.25</v>
      </c>
      <c r="AC121" s="676" cm="1">
        <f t="array" ref="AC121">SUM(_xlfn._xlws.FILTER(_xlfn._xlws.FILTER(headcountData,(headcountDataDepts=$D121)*(headcountDataIDs=$E121)),(startDates&gt;=AC$95)*(endDates=AC$96)))</f>
        <v>31.25</v>
      </c>
      <c r="AD121" s="676" cm="1">
        <f t="array" ref="AD121">SUM(_xlfn._xlws.FILTER(_xlfn._xlws.FILTER(headcountData,(headcountDataDepts=$D121)*(headcountDataIDs=$E121)),(startDates&gt;=AD$95)*(endDates=AD$96)))</f>
        <v>31.25</v>
      </c>
      <c r="AE121" s="676" cm="1">
        <f t="array" ref="AE121">SUM(_xlfn._xlws.FILTER(_xlfn._xlws.FILTER(headcountData,(headcountDataDepts=$D121)*(headcountDataIDs=$E121)),(startDates&gt;=AE$95)*(endDates=AE$96)))</f>
        <v>31.25</v>
      </c>
      <c r="AF121" s="676" cm="1">
        <f t="array" ref="AF121">SUM(_xlfn._xlws.FILTER(_xlfn._xlws.FILTER(headcountData,(headcountDataDepts=$D121)*(headcountDataIDs=$E121)),(startDates&gt;=AF$95)*(endDates=AF$96)))</f>
        <v>31.25</v>
      </c>
      <c r="AG121" s="676" cm="1">
        <f t="array" ref="AG121">SUM(_xlfn._xlws.FILTER(_xlfn._xlws.FILTER(headcountData,(headcountDataDepts=$D121)*(headcountDataIDs=$E121)),(startDates&gt;=AG$95)*(endDates=AG$96)))</f>
        <v>31.25</v>
      </c>
      <c r="AH121" s="676" cm="1">
        <f t="array" ref="AH121">SUM(_xlfn._xlws.FILTER(_xlfn._xlws.FILTER(headcountData,(headcountDataDepts=$D121)*(headcountDataIDs=$E121)),(startDates&gt;=AH$95)*(endDates=AH$96)))</f>
        <v>31.25</v>
      </c>
      <c r="AI121" s="676" cm="1">
        <f t="array" ref="AI121">SUM(_xlfn._xlws.FILTER(_xlfn._xlws.FILTER(headcountData,(headcountDataDepts=$D121)*(headcountDataIDs=$E121)),(startDates&gt;=AI$95)*(endDates=AI$96)))</f>
        <v>31.25</v>
      </c>
      <c r="AL121" s="676" cm="1">
        <f t="array" ref="AL121">SUM(_xlfn._xlws.FILTER(_xlfn._xlws.FILTER(headcountData,(headcountDataDepts=$D121)*(headcountDataIDs=$E121)),(startDates&gt;=AL$95)*(endDates=AL$96)))</f>
        <v>0</v>
      </c>
      <c r="AM121" s="676" cm="1">
        <f t="array" ref="AM121">SUM(_xlfn._xlws.FILTER(_xlfn._xlws.FILTER(headcountData,(headcountDataDepts=$D121)*(headcountDataIDs=$E121)),(startDates&gt;=AM$95)*(endDates=AM$96)))</f>
        <v>0</v>
      </c>
      <c r="AN121" s="676" cm="1">
        <f t="array" ref="AN121">SUM(_xlfn._xlws.FILTER(_xlfn._xlws.FILTER(headcountData,(headcountDataDepts=$D121)*(headcountDataIDs=$E121)),(startDates&gt;=AN$95)*(endDates=AN$96)))</f>
        <v>0</v>
      </c>
      <c r="AO121" s="676" cm="1">
        <f t="array" ref="AO121">SUM(_xlfn._xlws.FILTER(_xlfn._xlws.FILTER(headcountData,(headcountDataDepts=$D121)*(headcountDataIDs=$E121)),(startDates&gt;=AO$95)*(endDates=AO$96)))</f>
        <v>0</v>
      </c>
      <c r="AP121" s="676" cm="1">
        <f t="array" ref="AP121">SUM(_xlfn._xlws.FILTER(_xlfn._xlws.FILTER(headcountData,(headcountDataDepts=$D121)*(headcountDataIDs=$E121)),(startDates&gt;=AP$95)*(endDates=AP$96)))</f>
        <v>0</v>
      </c>
      <c r="AQ121" s="676" cm="1">
        <f t="array" ref="AQ121">SUM(_xlfn._xlws.FILTER(_xlfn._xlws.FILTER(headcountData,(headcountDataDepts=$D121)*(headcountDataIDs=$E121)),(startDates&gt;=AQ$95)*(endDates=AQ$96)))</f>
        <v>0</v>
      </c>
      <c r="AR121" s="676" cm="1">
        <f t="array" ref="AR121">SUM(_xlfn._xlws.FILTER(_xlfn._xlws.FILTER(headcountData,(headcountDataDepts=$D121)*(headcountDataIDs=$E121)),(startDates&gt;=AR$95)*(endDates=AR$96)))</f>
        <v>0</v>
      </c>
      <c r="AS121" s="676" cm="1">
        <f t="array" ref="AS121">SUM(_xlfn._xlws.FILTER(_xlfn._xlws.FILTER(headcountData,(headcountDataDepts=$D121)*(headcountDataIDs=$E121)),(startDates&gt;=AS$95)*(endDates=AS$96)))</f>
        <v>0</v>
      </c>
      <c r="AT121" s="676" cm="1">
        <f t="array" ref="AT121">SUM(_xlfn._xlws.FILTER(_xlfn._xlws.FILTER(headcountData,(headcountDataDepts=$D121)*(headcountDataIDs=$E121)),(startDates&gt;=AT$95)*(endDates=AT$96)))</f>
        <v>0</v>
      </c>
      <c r="AU121" s="676" cm="1">
        <f t="array" ref="AU121">SUM(_xlfn._xlws.FILTER(_xlfn._xlws.FILTER(headcountData,(headcountDataDepts=$D121)*(headcountDataIDs=$E121)),(startDates&gt;=AU$95)*(endDates=AU$96)))</f>
        <v>0</v>
      </c>
      <c r="AV121" s="676" cm="1">
        <f t="array" ref="AV121">SUM(_xlfn._xlws.FILTER(_xlfn._xlws.FILTER(headcountData,(headcountDataDepts=$D121)*(headcountDataIDs=$E121)),(startDates&gt;=AV$95)*(endDates=AV$96)))</f>
        <v>0</v>
      </c>
      <c r="AW121" s="676" cm="1">
        <f t="array" ref="AW121">SUM(_xlfn._xlws.FILTER(_xlfn._xlws.FILTER(headcountData,(headcountDataDepts=$D121)*(headcountDataIDs=$E121)),(startDates&gt;=AW$95)*(endDates=AW$96)))</f>
        <v>0</v>
      </c>
      <c r="AX121" s="676" cm="1">
        <f t="array" ref="AX121">SUM(_xlfn._xlws.FILTER(_xlfn._xlws.FILTER(headcountData,(headcountDataDepts=$D121)*(headcountDataIDs=$E121)),(startDates&gt;=AX$95)*(endDates=AX$96)))</f>
        <v>0</v>
      </c>
      <c r="AY121" s="676" cm="1">
        <f t="array" ref="AY121">SUM(_xlfn._xlws.FILTER(_xlfn._xlws.FILTER(headcountData,(headcountDataDepts=$D121)*(headcountDataIDs=$E121)),(startDates&gt;=AY$95)*(endDates=AY$96)))</f>
        <v>0</v>
      </c>
      <c r="AZ121" s="676" cm="1">
        <f t="array" ref="AZ121">SUM(_xlfn._xlws.FILTER(_xlfn._xlws.FILTER(headcountData,(headcountDataDepts=$D121)*(headcountDataIDs=$E121)),(startDates&gt;=AZ$95)*(endDates=AZ$96)))</f>
        <v>26.785714285714285</v>
      </c>
      <c r="BA121" s="676" cm="1">
        <f t="array" ref="BA121">SUM(_xlfn._xlws.FILTER(_xlfn._xlws.FILTER(headcountData,(headcountDataDepts=$D121)*(headcountDataIDs=$E121)),(startDates&gt;=BA$95)*(endDates=BA$96)))</f>
        <v>31.25</v>
      </c>
      <c r="BB121" s="676" cm="1">
        <f t="array" ref="BB121">SUM(_xlfn._xlws.FILTER(_xlfn._xlws.FILTER(headcountData,(headcountDataDepts=$D121)*(headcountDataIDs=$E121)),(startDates&gt;=BB$95)*(endDates=BB$96)))</f>
        <v>31.25</v>
      </c>
      <c r="BC121" s="676" cm="1">
        <f t="array" ref="BC121">SUM(_xlfn._xlws.FILTER(_xlfn._xlws.FILTER(headcountData,(headcountDataDepts=$D121)*(headcountDataIDs=$E121)),(startDates&gt;=BC$95)*(endDates=BC$96)))</f>
        <v>31.25</v>
      </c>
      <c r="BD121" s="676" cm="1">
        <f t="array" ref="BD121">SUM(_xlfn._xlws.FILTER(_xlfn._xlws.FILTER(headcountData,(headcountDataDepts=$D121)*(headcountDataIDs=$E121)),(startDates&gt;=BD$95)*(endDates=BD$96)))</f>
        <v>31.25</v>
      </c>
      <c r="BE121" s="676" cm="1">
        <f t="array" ref="BE121">SUM(_xlfn._xlws.FILTER(_xlfn._xlws.FILTER(headcountData,(headcountDataDepts=$D121)*(headcountDataIDs=$E121)),(startDates&gt;=BE$95)*(endDates=BE$96)))</f>
        <v>31.25</v>
      </c>
      <c r="BF121" s="676" cm="1">
        <f t="array" ref="BF121">SUM(_xlfn._xlws.FILTER(_xlfn._xlws.FILTER(headcountData,(headcountDataDepts=$D121)*(headcountDataIDs=$E121)),(startDates&gt;=BF$95)*(endDates=BF$96)))</f>
        <v>31.25</v>
      </c>
      <c r="BG121" s="676" cm="1">
        <f t="array" ref="BG121">SUM(_xlfn._xlws.FILTER(_xlfn._xlws.FILTER(headcountData,(headcountDataDepts=$D121)*(headcountDataIDs=$E121)),(startDates&gt;=BG$95)*(endDates=BG$96)))</f>
        <v>31.25</v>
      </c>
      <c r="BH121" s="676" cm="1">
        <f t="array" ref="BH121">SUM(_xlfn._xlws.FILTER(_xlfn._xlws.FILTER(headcountData,(headcountDataDepts=$D121)*(headcountDataIDs=$E121)),(startDates&gt;=BH$95)*(endDates=BH$96)))</f>
        <v>31.25</v>
      </c>
      <c r="BI121" s="676" cm="1">
        <f t="array" ref="BI121">SUM(_xlfn._xlws.FILTER(_xlfn._xlws.FILTER(headcountData,(headcountDataDepts=$D121)*(headcountDataIDs=$E121)),(startDates&gt;=BI$95)*(endDates=BI$96)))</f>
        <v>31.25</v>
      </c>
      <c r="BJ121" s="676" cm="1">
        <f t="array" ref="BJ121">SUM(_xlfn._xlws.FILTER(_xlfn._xlws.FILTER(headcountData,(headcountDataDepts=$D121)*(headcountDataIDs=$E121)),(startDates&gt;=BJ$95)*(endDates=BJ$96)))</f>
        <v>31.25</v>
      </c>
      <c r="BK121" s="676" cm="1">
        <f t="array" ref="BK121">SUM(_xlfn._xlws.FILTER(_xlfn._xlws.FILTER(headcountData,(headcountDataDepts=$D121)*(headcountDataIDs=$E121)),(startDates&gt;=BK$95)*(endDates=BK$96)))</f>
        <v>31.25</v>
      </c>
      <c r="BL121" s="676" cm="1">
        <f t="array" ref="BL121">SUM(_xlfn._xlws.FILTER(_xlfn._xlws.FILTER(headcountData,(headcountDataDepts=$D121)*(headcountDataIDs=$E121)),(startDates&gt;=BL$95)*(endDates=BL$96)))</f>
        <v>31.25</v>
      </c>
      <c r="BM121" s="676" cm="1">
        <f t="array" ref="BM121">SUM(_xlfn._xlws.FILTER(_xlfn._xlws.FILTER(headcountData,(headcountDataDepts=$D121)*(headcountDataIDs=$E121)),(startDates&gt;=BM$95)*(endDates=BM$96)))</f>
        <v>31.25</v>
      </c>
      <c r="BN121" s="676" cm="1">
        <f t="array" ref="BN121">SUM(_xlfn._xlws.FILTER(_xlfn._xlws.FILTER(headcountData,(headcountDataDepts=$D121)*(headcountDataIDs=$E121)),(startDates&gt;=BN$95)*(endDates=BN$96)))</f>
        <v>31.25</v>
      </c>
      <c r="BO121" s="676" cm="1">
        <f t="array" ref="BO121">SUM(_xlfn._xlws.FILTER(_xlfn._xlws.FILTER(headcountData,(headcountDataDepts=$D121)*(headcountDataIDs=$E121)),(startDates&gt;=BO$95)*(endDates=BO$96)))</f>
        <v>31.25</v>
      </c>
      <c r="BP121" s="676" cm="1">
        <f t="array" ref="BP121">SUM(_xlfn._xlws.FILTER(_xlfn._xlws.FILTER(headcountData,(headcountDataDepts=$D121)*(headcountDataIDs=$E121)),(startDates&gt;=BP$95)*(endDates=BP$96)))</f>
        <v>31.25</v>
      </c>
      <c r="BQ121" s="676" cm="1">
        <f t="array" ref="BQ121">SUM(_xlfn._xlws.FILTER(_xlfn._xlws.FILTER(headcountData,(headcountDataDepts=$D121)*(headcountDataIDs=$E121)),(startDates&gt;=BQ$95)*(endDates=BQ$96)))</f>
        <v>31.25</v>
      </c>
      <c r="BR121" s="676" cm="1">
        <f t="array" ref="BR121">SUM(_xlfn._xlws.FILTER(_xlfn._xlws.FILTER(headcountData,(headcountDataDepts=$D121)*(headcountDataIDs=$E121)),(startDates&gt;=BR$95)*(endDates=BR$96)))</f>
        <v>31.25</v>
      </c>
      <c r="BS121" s="676" cm="1">
        <f t="array" ref="BS121">SUM(_xlfn._xlws.FILTER(_xlfn._xlws.FILTER(headcountData,(headcountDataDepts=$D121)*(headcountDataIDs=$E121)),(startDates&gt;=BS$95)*(endDates=BS$96)))</f>
        <v>31.25</v>
      </c>
      <c r="BT121" s="676" cm="1">
        <f t="array" ref="BT121">SUM(_xlfn._xlws.FILTER(_xlfn._xlws.FILTER(headcountData,(headcountDataDepts=$D121)*(headcountDataIDs=$E121)),(startDates&gt;=BT$95)*(endDates=BT$96)))</f>
        <v>31.25</v>
      </c>
      <c r="BU121" s="676" cm="1">
        <f t="array" ref="BU121">SUM(_xlfn._xlws.FILTER(_xlfn._xlws.FILTER(headcountData,(headcountDataDepts=$D121)*(headcountDataIDs=$E121)),(startDates&gt;=BU$95)*(endDates=BU$96)))</f>
        <v>31.25</v>
      </c>
      <c r="BV121" s="676" cm="1">
        <f t="array" ref="BV121">SUM(_xlfn._xlws.FILTER(_xlfn._xlws.FILTER(headcountData,(headcountDataDepts=$D121)*(headcountDataIDs=$E121)),(startDates&gt;=BV$95)*(endDates=BV$96)))</f>
        <v>31.25</v>
      </c>
      <c r="BW121" s="676" cm="1">
        <f t="array" ref="BW121">SUM(_xlfn._xlws.FILTER(_xlfn._xlws.FILTER(headcountData,(headcountDataDepts=$D121)*(headcountDataIDs=$E121)),(startDates&gt;=BW$95)*(endDates=BW$96)))</f>
        <v>31.25</v>
      </c>
      <c r="BX121" s="676" cm="1">
        <f t="array" ref="BX121">SUM(_xlfn._xlws.FILTER(_xlfn._xlws.FILTER(headcountData,(headcountDataDepts=$D121)*(headcountDataIDs=$E121)),(startDates&gt;=BX$95)*(endDates=BX$96)))</f>
        <v>31.25</v>
      </c>
      <c r="BY121" s="676" cm="1">
        <f t="array" ref="BY121">SUM(_xlfn._xlws.FILTER(_xlfn._xlws.FILTER(headcountData,(headcountDataDepts=$D121)*(headcountDataIDs=$E121)),(startDates&gt;=BY$95)*(endDates=BY$96)))</f>
        <v>31.25</v>
      </c>
      <c r="BZ121" s="676" cm="1">
        <f t="array" ref="BZ121">SUM(_xlfn._xlws.FILTER(_xlfn._xlws.FILTER(headcountData,(headcountDataDepts=$D121)*(headcountDataIDs=$E121)),(startDates&gt;=BZ$95)*(endDates=BZ$96)))</f>
        <v>31.25</v>
      </c>
      <c r="CA121" s="676" cm="1">
        <f t="array" ref="CA121">SUM(_xlfn._xlws.FILTER(_xlfn._xlws.FILTER(headcountData,(headcountDataDepts=$D121)*(headcountDataIDs=$E121)),(startDates&gt;=CA$95)*(endDates=CA$96)))</f>
        <v>31.25</v>
      </c>
      <c r="CB121" s="676" cm="1">
        <f t="array" ref="CB121">SUM(_xlfn._xlws.FILTER(_xlfn._xlws.FILTER(headcountData,(headcountDataDepts=$D121)*(headcountDataIDs=$E121)),(startDates&gt;=CB$95)*(endDates=CB$96)))</f>
        <v>31.25</v>
      </c>
      <c r="CC121" s="676" cm="1">
        <f t="array" ref="CC121">SUM(_xlfn._xlws.FILTER(_xlfn._xlws.FILTER(headcountData,(headcountDataDepts=$D121)*(headcountDataIDs=$E121)),(startDates&gt;=CC$95)*(endDates=CC$96)))</f>
        <v>31.25</v>
      </c>
      <c r="CD121" s="676" cm="1">
        <f t="array" ref="CD121">SUM(_xlfn._xlws.FILTER(_xlfn._xlws.FILTER(headcountData,(headcountDataDepts=$D121)*(headcountDataIDs=$E121)),(startDates&gt;=CD$95)*(endDates=CD$96)))</f>
        <v>31.25</v>
      </c>
      <c r="CE121" s="676" cm="1">
        <f t="array" ref="CE121">SUM(_xlfn._xlws.FILTER(_xlfn._xlws.FILTER(headcountData,(headcountDataDepts=$D121)*(headcountDataIDs=$E121)),(startDates&gt;=CE$95)*(endDates=CE$96)))</f>
        <v>31.25</v>
      </c>
      <c r="CF121" s="676" cm="1">
        <f t="array" ref="CF121">SUM(_xlfn._xlws.FILTER(_xlfn._xlws.FILTER(headcountData,(headcountDataDepts=$D121)*(headcountDataIDs=$E121)),(startDates&gt;=CF$95)*(endDates=CF$96)))</f>
        <v>31.25</v>
      </c>
      <c r="CG121" s="676" cm="1">
        <f t="array" ref="CG121">SUM(_xlfn._xlws.FILTER(_xlfn._xlws.FILTER(headcountData,(headcountDataDepts=$D121)*(headcountDataIDs=$E121)),(startDates&gt;=CG$95)*(endDates=CG$96)))</f>
        <v>31.25</v>
      </c>
    </row>
    <row r="122" spans="3:85" ht="15.75" hidden="1" customHeight="1" outlineLevel="1">
      <c r="C122" s="677" t="s">
        <v>199</v>
      </c>
      <c r="D122" s="149" t="s">
        <v>179</v>
      </c>
      <c r="E122" s="150" t="s">
        <v>200</v>
      </c>
      <c r="J122" s="676" cm="1">
        <f t="array" ref="J122">SUM(_xlfn._xlws.FILTER(_xlfn._xlws.FILTER(headcountData,(headcountDataDepts=$D122)*(headcountDataIDs=$E122)),(startDates&gt;=J$95)*(endDates=J$96)))</f>
        <v>0</v>
      </c>
      <c r="K122" s="676" cm="1">
        <f t="array" ref="K122">SUM(_xlfn._xlws.FILTER(_xlfn._xlws.FILTER(headcountData,(headcountDataDepts=$D122)*(headcountDataIDs=$E122)),(startDates&gt;=K$95)*(endDates=K$96)))</f>
        <v>0</v>
      </c>
      <c r="N122" s="676" cm="1">
        <f t="array" ref="N122">SUM(_xlfn._xlws.FILTER(_xlfn._xlws.FILTER(headcountData,(headcountDataDepts=$D122)*(headcountDataIDs=$E122)),(startDates&gt;=N$95)*(endDates=N$96)))</f>
        <v>5000</v>
      </c>
      <c r="O122" s="676" cm="1">
        <f t="array" ref="O122">SUM(_xlfn._xlws.FILTER(_xlfn._xlws.FILTER(headcountData,(headcountDataDepts=$D122)*(headcountDataIDs=$E122)),(startDates&gt;=O$95)*(endDates=O$96)))</f>
        <v>5000</v>
      </c>
      <c r="P122" s="676" cm="1">
        <f t="array" ref="P122">SUM(_xlfn._xlws.FILTER(_xlfn._xlws.FILTER(headcountData,(headcountDataDepts=$D122)*(headcountDataIDs=$E122)),(startDates&gt;=P$95)*(endDates=P$96)))</f>
        <v>5000</v>
      </c>
      <c r="Q122" s="676" cm="1">
        <f t="array" ref="Q122">SUM(_xlfn._xlws.FILTER(_xlfn._xlws.FILTER(headcountData,(headcountDataDepts=$D122)*(headcountDataIDs=$E122)),(startDates&gt;=Q$95)*(endDates=Q$96)))</f>
        <v>5000</v>
      </c>
      <c r="T122" s="676" cm="1">
        <f t="array" ref="T122">SUM(_xlfn._xlws.FILTER(_xlfn._xlws.FILTER(headcountData,(headcountDataDepts=$D122)*(headcountDataIDs=$E122)),(startDates&gt;=T$95)*(endDates=T$96)))</f>
        <v>0</v>
      </c>
      <c r="U122" s="676" cm="1">
        <f t="array" ref="U122">SUM(_xlfn._xlws.FILTER(_xlfn._xlws.FILTER(headcountData,(headcountDataDepts=$D122)*(headcountDataIDs=$E122)),(startDates&gt;=U$95)*(endDates=U$96)))</f>
        <v>0</v>
      </c>
      <c r="V122" s="676" cm="1">
        <f t="array" ref="V122">SUM(_xlfn._xlws.FILTER(_xlfn._xlws.FILTER(headcountData,(headcountDataDepts=$D122)*(headcountDataIDs=$E122)),(startDates&gt;=V$95)*(endDates=V$96)))</f>
        <v>0</v>
      </c>
      <c r="W122" s="676" cm="1">
        <f t="array" ref="W122">SUM(_xlfn._xlws.FILTER(_xlfn._xlws.FILTER(headcountData,(headcountDataDepts=$D122)*(headcountDataIDs=$E122)),(startDates&gt;=W$95)*(endDates=W$96)))</f>
        <v>5000</v>
      </c>
      <c r="X122" s="676" cm="1">
        <f t="array" ref="X122">SUM(_xlfn._xlws.FILTER(_xlfn._xlws.FILTER(headcountData,(headcountDataDepts=$D122)*(headcountDataIDs=$E122)),(startDates&gt;=X$95)*(endDates=X$96)))</f>
        <v>0</v>
      </c>
      <c r="Y122" s="676" cm="1">
        <f t="array" ref="Y122">SUM(_xlfn._xlws.FILTER(_xlfn._xlws.FILTER(headcountData,(headcountDataDepts=$D122)*(headcountDataIDs=$E122)),(startDates&gt;=Y$95)*(endDates=Y$96)))</f>
        <v>0</v>
      </c>
      <c r="Z122" s="676" cm="1">
        <f t="array" ref="Z122">SUM(_xlfn._xlws.FILTER(_xlfn._xlws.FILTER(headcountData,(headcountDataDepts=$D122)*(headcountDataIDs=$E122)),(startDates&gt;=Z$95)*(endDates=Z$96)))</f>
        <v>0</v>
      </c>
      <c r="AA122" s="676" cm="1">
        <f t="array" ref="AA122">SUM(_xlfn._xlws.FILTER(_xlfn._xlws.FILTER(headcountData,(headcountDataDepts=$D122)*(headcountDataIDs=$E122)),(startDates&gt;=AA$95)*(endDates=AA$96)))</f>
        <v>5000</v>
      </c>
      <c r="AB122" s="676" cm="1">
        <f t="array" ref="AB122">SUM(_xlfn._xlws.FILTER(_xlfn._xlws.FILTER(headcountData,(headcountDataDepts=$D122)*(headcountDataIDs=$E122)),(startDates&gt;=AB$95)*(endDates=AB$96)))</f>
        <v>0</v>
      </c>
      <c r="AC122" s="676" cm="1">
        <f t="array" ref="AC122">SUM(_xlfn._xlws.FILTER(_xlfn._xlws.FILTER(headcountData,(headcountDataDepts=$D122)*(headcountDataIDs=$E122)),(startDates&gt;=AC$95)*(endDates=AC$96)))</f>
        <v>0</v>
      </c>
      <c r="AD122" s="676" cm="1">
        <f t="array" ref="AD122">SUM(_xlfn._xlws.FILTER(_xlfn._xlws.FILTER(headcountData,(headcountDataDepts=$D122)*(headcountDataIDs=$E122)),(startDates&gt;=AD$95)*(endDates=AD$96)))</f>
        <v>0</v>
      </c>
      <c r="AE122" s="676" cm="1">
        <f t="array" ref="AE122">SUM(_xlfn._xlws.FILTER(_xlfn._xlws.FILTER(headcountData,(headcountDataDepts=$D122)*(headcountDataIDs=$E122)),(startDates&gt;=AE$95)*(endDates=AE$96)))</f>
        <v>5000</v>
      </c>
      <c r="AF122" s="676" cm="1">
        <f t="array" ref="AF122">SUM(_xlfn._xlws.FILTER(_xlfn._xlws.FILTER(headcountData,(headcountDataDepts=$D122)*(headcountDataIDs=$E122)),(startDates&gt;=AF$95)*(endDates=AF$96)))</f>
        <v>0</v>
      </c>
      <c r="AG122" s="676" cm="1">
        <f t="array" ref="AG122">SUM(_xlfn._xlws.FILTER(_xlfn._xlws.FILTER(headcountData,(headcountDataDepts=$D122)*(headcountDataIDs=$E122)),(startDates&gt;=AG$95)*(endDates=AG$96)))</f>
        <v>0</v>
      </c>
      <c r="AH122" s="676" cm="1">
        <f t="array" ref="AH122">SUM(_xlfn._xlws.FILTER(_xlfn._xlws.FILTER(headcountData,(headcountDataDepts=$D122)*(headcountDataIDs=$E122)),(startDates&gt;=AH$95)*(endDates=AH$96)))</f>
        <v>0</v>
      </c>
      <c r="AI122" s="676" cm="1">
        <f t="array" ref="AI122">SUM(_xlfn._xlws.FILTER(_xlfn._xlws.FILTER(headcountData,(headcountDataDepts=$D122)*(headcountDataIDs=$E122)),(startDates&gt;=AI$95)*(endDates=AI$96)))</f>
        <v>5000</v>
      </c>
      <c r="AL122" s="676" cm="1">
        <f t="array" ref="AL122">SUM(_xlfn._xlws.FILTER(_xlfn._xlws.FILTER(headcountData,(headcountDataDepts=$D122)*(headcountDataIDs=$E122)),(startDates&gt;=AL$95)*(endDates=AL$96)))</f>
        <v>0</v>
      </c>
      <c r="AM122" s="676" cm="1">
        <f t="array" ref="AM122">SUM(_xlfn._xlws.FILTER(_xlfn._xlws.FILTER(headcountData,(headcountDataDepts=$D122)*(headcountDataIDs=$E122)),(startDates&gt;=AM$95)*(endDates=AM$96)))</f>
        <v>0</v>
      </c>
      <c r="AN122" s="676" cm="1">
        <f t="array" ref="AN122">SUM(_xlfn._xlws.FILTER(_xlfn._xlws.FILTER(headcountData,(headcountDataDepts=$D122)*(headcountDataIDs=$E122)),(startDates&gt;=AN$95)*(endDates=AN$96)))</f>
        <v>0</v>
      </c>
      <c r="AO122" s="676" cm="1">
        <f t="array" ref="AO122">SUM(_xlfn._xlws.FILTER(_xlfn._xlws.FILTER(headcountData,(headcountDataDepts=$D122)*(headcountDataIDs=$E122)),(startDates&gt;=AO$95)*(endDates=AO$96)))</f>
        <v>0</v>
      </c>
      <c r="AP122" s="676" cm="1">
        <f t="array" ref="AP122">SUM(_xlfn._xlws.FILTER(_xlfn._xlws.FILTER(headcountData,(headcountDataDepts=$D122)*(headcountDataIDs=$E122)),(startDates&gt;=AP$95)*(endDates=AP$96)))</f>
        <v>0</v>
      </c>
      <c r="AQ122" s="676" cm="1">
        <f t="array" ref="AQ122">SUM(_xlfn._xlws.FILTER(_xlfn._xlws.FILTER(headcountData,(headcountDataDepts=$D122)*(headcountDataIDs=$E122)),(startDates&gt;=AQ$95)*(endDates=AQ$96)))</f>
        <v>0</v>
      </c>
      <c r="AR122" s="676" cm="1">
        <f t="array" ref="AR122">SUM(_xlfn._xlws.FILTER(_xlfn._xlws.FILTER(headcountData,(headcountDataDepts=$D122)*(headcountDataIDs=$E122)),(startDates&gt;=AR$95)*(endDates=AR$96)))</f>
        <v>0</v>
      </c>
      <c r="AS122" s="676" cm="1">
        <f t="array" ref="AS122">SUM(_xlfn._xlws.FILTER(_xlfn._xlws.FILTER(headcountData,(headcountDataDepts=$D122)*(headcountDataIDs=$E122)),(startDates&gt;=AS$95)*(endDates=AS$96)))</f>
        <v>0</v>
      </c>
      <c r="AT122" s="676" cm="1">
        <f t="array" ref="AT122">SUM(_xlfn._xlws.FILTER(_xlfn._xlws.FILTER(headcountData,(headcountDataDepts=$D122)*(headcountDataIDs=$E122)),(startDates&gt;=AT$95)*(endDates=AT$96)))</f>
        <v>0</v>
      </c>
      <c r="AU122" s="676" cm="1">
        <f t="array" ref="AU122">SUM(_xlfn._xlws.FILTER(_xlfn._xlws.FILTER(headcountData,(headcountDataDepts=$D122)*(headcountDataIDs=$E122)),(startDates&gt;=AU$95)*(endDates=AU$96)))</f>
        <v>0</v>
      </c>
      <c r="AV122" s="676" cm="1">
        <f t="array" ref="AV122">SUM(_xlfn._xlws.FILTER(_xlfn._xlws.FILTER(headcountData,(headcountDataDepts=$D122)*(headcountDataIDs=$E122)),(startDates&gt;=AV$95)*(endDates=AV$96)))</f>
        <v>0</v>
      </c>
      <c r="AW122" s="676" cm="1">
        <f t="array" ref="AW122">SUM(_xlfn._xlws.FILTER(_xlfn._xlws.FILTER(headcountData,(headcountDataDepts=$D122)*(headcountDataIDs=$E122)),(startDates&gt;=AW$95)*(endDates=AW$96)))</f>
        <v>5000</v>
      </c>
      <c r="AX122" s="676" cm="1">
        <f t="array" ref="AX122">SUM(_xlfn._xlws.FILTER(_xlfn._xlws.FILTER(headcountData,(headcountDataDepts=$D122)*(headcountDataIDs=$E122)),(startDates&gt;=AX$95)*(endDates=AX$96)))</f>
        <v>0</v>
      </c>
      <c r="AY122" s="676" cm="1">
        <f t="array" ref="AY122">SUM(_xlfn._xlws.FILTER(_xlfn._xlws.FILTER(headcountData,(headcountDataDepts=$D122)*(headcountDataIDs=$E122)),(startDates&gt;=AY$95)*(endDates=AY$96)))</f>
        <v>0</v>
      </c>
      <c r="AZ122" s="676" cm="1">
        <f t="array" ref="AZ122">SUM(_xlfn._xlws.FILTER(_xlfn._xlws.FILTER(headcountData,(headcountDataDepts=$D122)*(headcountDataIDs=$E122)),(startDates&gt;=AZ$95)*(endDates=AZ$96)))</f>
        <v>0</v>
      </c>
      <c r="BA122" s="676" cm="1">
        <f t="array" ref="BA122">SUM(_xlfn._xlws.FILTER(_xlfn._xlws.FILTER(headcountData,(headcountDataDepts=$D122)*(headcountDataIDs=$E122)),(startDates&gt;=BA$95)*(endDates=BA$96)))</f>
        <v>0</v>
      </c>
      <c r="BB122" s="676" cm="1">
        <f t="array" ref="BB122">SUM(_xlfn._xlws.FILTER(_xlfn._xlws.FILTER(headcountData,(headcountDataDepts=$D122)*(headcountDataIDs=$E122)),(startDates&gt;=BB$95)*(endDates=BB$96)))</f>
        <v>0</v>
      </c>
      <c r="BC122" s="676" cm="1">
        <f t="array" ref="BC122">SUM(_xlfn._xlws.FILTER(_xlfn._xlws.FILTER(headcountData,(headcountDataDepts=$D122)*(headcountDataIDs=$E122)),(startDates&gt;=BC$95)*(endDates=BC$96)))</f>
        <v>0</v>
      </c>
      <c r="BD122" s="676" cm="1">
        <f t="array" ref="BD122">SUM(_xlfn._xlws.FILTER(_xlfn._xlws.FILTER(headcountData,(headcountDataDepts=$D122)*(headcountDataIDs=$E122)),(startDates&gt;=BD$95)*(endDates=BD$96)))</f>
        <v>0</v>
      </c>
      <c r="BE122" s="676" cm="1">
        <f t="array" ref="BE122">SUM(_xlfn._xlws.FILTER(_xlfn._xlws.FILTER(headcountData,(headcountDataDepts=$D122)*(headcountDataIDs=$E122)),(startDates&gt;=BE$95)*(endDates=BE$96)))</f>
        <v>0</v>
      </c>
      <c r="BF122" s="676" cm="1">
        <f t="array" ref="BF122">SUM(_xlfn._xlws.FILTER(_xlfn._xlws.FILTER(headcountData,(headcountDataDepts=$D122)*(headcountDataIDs=$E122)),(startDates&gt;=BF$95)*(endDates=BF$96)))</f>
        <v>0</v>
      </c>
      <c r="BG122" s="676" cm="1">
        <f t="array" ref="BG122">SUM(_xlfn._xlws.FILTER(_xlfn._xlws.FILTER(headcountData,(headcountDataDepts=$D122)*(headcountDataIDs=$E122)),(startDates&gt;=BG$95)*(endDates=BG$96)))</f>
        <v>0</v>
      </c>
      <c r="BH122" s="676" cm="1">
        <f t="array" ref="BH122">SUM(_xlfn._xlws.FILTER(_xlfn._xlws.FILTER(headcountData,(headcountDataDepts=$D122)*(headcountDataIDs=$E122)),(startDates&gt;=BH$95)*(endDates=BH$96)))</f>
        <v>0</v>
      </c>
      <c r="BI122" s="676" cm="1">
        <f t="array" ref="BI122">SUM(_xlfn._xlws.FILTER(_xlfn._xlws.FILTER(headcountData,(headcountDataDepts=$D122)*(headcountDataIDs=$E122)),(startDates&gt;=BI$95)*(endDates=BI$96)))</f>
        <v>5000</v>
      </c>
      <c r="BJ122" s="676" cm="1">
        <f t="array" ref="BJ122">SUM(_xlfn._xlws.FILTER(_xlfn._xlws.FILTER(headcountData,(headcountDataDepts=$D122)*(headcountDataIDs=$E122)),(startDates&gt;=BJ$95)*(endDates=BJ$96)))</f>
        <v>0</v>
      </c>
      <c r="BK122" s="676" cm="1">
        <f t="array" ref="BK122">SUM(_xlfn._xlws.FILTER(_xlfn._xlws.FILTER(headcountData,(headcountDataDepts=$D122)*(headcountDataIDs=$E122)),(startDates&gt;=BK$95)*(endDates=BK$96)))</f>
        <v>0</v>
      </c>
      <c r="BL122" s="676" cm="1">
        <f t="array" ref="BL122">SUM(_xlfn._xlws.FILTER(_xlfn._xlws.FILTER(headcountData,(headcountDataDepts=$D122)*(headcountDataIDs=$E122)),(startDates&gt;=BL$95)*(endDates=BL$96)))</f>
        <v>0</v>
      </c>
      <c r="BM122" s="676" cm="1">
        <f t="array" ref="BM122">SUM(_xlfn._xlws.FILTER(_xlfn._xlws.FILTER(headcountData,(headcountDataDepts=$D122)*(headcountDataIDs=$E122)),(startDates&gt;=BM$95)*(endDates=BM$96)))</f>
        <v>0</v>
      </c>
      <c r="BN122" s="676" cm="1">
        <f t="array" ref="BN122">SUM(_xlfn._xlws.FILTER(_xlfn._xlws.FILTER(headcountData,(headcountDataDepts=$D122)*(headcountDataIDs=$E122)),(startDates&gt;=BN$95)*(endDates=BN$96)))</f>
        <v>0</v>
      </c>
      <c r="BO122" s="676" cm="1">
        <f t="array" ref="BO122">SUM(_xlfn._xlws.FILTER(_xlfn._xlws.FILTER(headcountData,(headcountDataDepts=$D122)*(headcountDataIDs=$E122)),(startDates&gt;=BO$95)*(endDates=BO$96)))</f>
        <v>0</v>
      </c>
      <c r="BP122" s="676" cm="1">
        <f t="array" ref="BP122">SUM(_xlfn._xlws.FILTER(_xlfn._xlws.FILTER(headcountData,(headcountDataDepts=$D122)*(headcountDataIDs=$E122)),(startDates&gt;=BP$95)*(endDates=BP$96)))</f>
        <v>0</v>
      </c>
      <c r="BQ122" s="676" cm="1">
        <f t="array" ref="BQ122">SUM(_xlfn._xlws.FILTER(_xlfn._xlws.FILTER(headcountData,(headcountDataDepts=$D122)*(headcountDataIDs=$E122)),(startDates&gt;=BQ$95)*(endDates=BQ$96)))</f>
        <v>0</v>
      </c>
      <c r="BR122" s="676" cm="1">
        <f t="array" ref="BR122">SUM(_xlfn._xlws.FILTER(_xlfn._xlws.FILTER(headcountData,(headcountDataDepts=$D122)*(headcountDataIDs=$E122)),(startDates&gt;=BR$95)*(endDates=BR$96)))</f>
        <v>0</v>
      </c>
      <c r="BS122" s="676" cm="1">
        <f t="array" ref="BS122">SUM(_xlfn._xlws.FILTER(_xlfn._xlws.FILTER(headcountData,(headcountDataDepts=$D122)*(headcountDataIDs=$E122)),(startDates&gt;=BS$95)*(endDates=BS$96)))</f>
        <v>0</v>
      </c>
      <c r="BT122" s="676" cm="1">
        <f t="array" ref="BT122">SUM(_xlfn._xlws.FILTER(_xlfn._xlws.FILTER(headcountData,(headcountDataDepts=$D122)*(headcountDataIDs=$E122)),(startDates&gt;=BT$95)*(endDates=BT$96)))</f>
        <v>0</v>
      </c>
      <c r="BU122" s="676" cm="1">
        <f t="array" ref="BU122">SUM(_xlfn._xlws.FILTER(_xlfn._xlws.FILTER(headcountData,(headcountDataDepts=$D122)*(headcountDataIDs=$E122)),(startDates&gt;=BU$95)*(endDates=BU$96)))</f>
        <v>5000</v>
      </c>
      <c r="BV122" s="676" cm="1">
        <f t="array" ref="BV122">SUM(_xlfn._xlws.FILTER(_xlfn._xlws.FILTER(headcountData,(headcountDataDepts=$D122)*(headcountDataIDs=$E122)),(startDates&gt;=BV$95)*(endDates=BV$96)))</f>
        <v>0</v>
      </c>
      <c r="BW122" s="676" cm="1">
        <f t="array" ref="BW122">SUM(_xlfn._xlws.FILTER(_xlfn._xlws.FILTER(headcountData,(headcountDataDepts=$D122)*(headcountDataIDs=$E122)),(startDates&gt;=BW$95)*(endDates=BW$96)))</f>
        <v>0</v>
      </c>
      <c r="BX122" s="676" cm="1">
        <f t="array" ref="BX122">SUM(_xlfn._xlws.FILTER(_xlfn._xlws.FILTER(headcountData,(headcountDataDepts=$D122)*(headcountDataIDs=$E122)),(startDates&gt;=BX$95)*(endDates=BX$96)))</f>
        <v>0</v>
      </c>
      <c r="BY122" s="676" cm="1">
        <f t="array" ref="BY122">SUM(_xlfn._xlws.FILTER(_xlfn._xlws.FILTER(headcountData,(headcountDataDepts=$D122)*(headcountDataIDs=$E122)),(startDates&gt;=BY$95)*(endDates=BY$96)))</f>
        <v>0</v>
      </c>
      <c r="BZ122" s="676" cm="1">
        <f t="array" ref="BZ122">SUM(_xlfn._xlws.FILTER(_xlfn._xlws.FILTER(headcountData,(headcountDataDepts=$D122)*(headcountDataIDs=$E122)),(startDates&gt;=BZ$95)*(endDates=BZ$96)))</f>
        <v>0</v>
      </c>
      <c r="CA122" s="676" cm="1">
        <f t="array" ref="CA122">SUM(_xlfn._xlws.FILTER(_xlfn._xlws.FILTER(headcountData,(headcountDataDepts=$D122)*(headcountDataIDs=$E122)),(startDates&gt;=CA$95)*(endDates=CA$96)))</f>
        <v>0</v>
      </c>
      <c r="CB122" s="676" cm="1">
        <f t="array" ref="CB122">SUM(_xlfn._xlws.FILTER(_xlfn._xlws.FILTER(headcountData,(headcountDataDepts=$D122)*(headcountDataIDs=$E122)),(startDates&gt;=CB$95)*(endDates=CB$96)))</f>
        <v>0</v>
      </c>
      <c r="CC122" s="676" cm="1">
        <f t="array" ref="CC122">SUM(_xlfn._xlws.FILTER(_xlfn._xlws.FILTER(headcountData,(headcountDataDepts=$D122)*(headcountDataIDs=$E122)),(startDates&gt;=CC$95)*(endDates=CC$96)))</f>
        <v>0</v>
      </c>
      <c r="CD122" s="676" cm="1">
        <f t="array" ref="CD122">SUM(_xlfn._xlws.FILTER(_xlfn._xlws.FILTER(headcountData,(headcountDataDepts=$D122)*(headcountDataIDs=$E122)),(startDates&gt;=CD$95)*(endDates=CD$96)))</f>
        <v>0</v>
      </c>
      <c r="CE122" s="676" cm="1">
        <f t="array" ref="CE122">SUM(_xlfn._xlws.FILTER(_xlfn._xlws.FILTER(headcountData,(headcountDataDepts=$D122)*(headcountDataIDs=$E122)),(startDates&gt;=CE$95)*(endDates=CE$96)))</f>
        <v>0</v>
      </c>
      <c r="CF122" s="676" cm="1">
        <f t="array" ref="CF122">SUM(_xlfn._xlws.FILTER(_xlfn._xlws.FILTER(headcountData,(headcountDataDepts=$D122)*(headcountDataIDs=$E122)),(startDates&gt;=CF$95)*(endDates=CF$96)))</f>
        <v>0</v>
      </c>
      <c r="CG122" s="676" cm="1">
        <f t="array" ref="CG122">SUM(_xlfn._xlws.FILTER(_xlfn._xlws.FILTER(headcountData,(headcountDataDepts=$D122)*(headcountDataIDs=$E122)),(startDates&gt;=CG$95)*(endDates=CG$96)))</f>
        <v>5000</v>
      </c>
    </row>
    <row r="123" spans="3:85" s="157" customFormat="1" ht="15.75" customHeight="1" collapsed="1">
      <c r="C123" s="383" t="s">
        <v>182</v>
      </c>
      <c r="D123" s="160"/>
      <c r="E123" s="161"/>
      <c r="F123" s="160"/>
      <c r="G123" s="160"/>
      <c r="J123" s="676">
        <f>_xlfn.AGGREGATE(9,0,J124:J129)</f>
        <v>10839.583333333332</v>
      </c>
      <c r="K123" s="676">
        <f t="shared" ref="K123" si="162">_xlfn.AGGREGATE(9,0,K124:K129)</f>
        <v>10839.583333333332</v>
      </c>
      <c r="L123" s="148"/>
      <c r="M123" s="148"/>
      <c r="N123" s="676">
        <f t="shared" ref="N123:Q123" si="163">_xlfn.AGGREGATE(9,0,N124:N129)</f>
        <v>5000</v>
      </c>
      <c r="O123" s="676">
        <f t="shared" si="163"/>
        <v>5000</v>
      </c>
      <c r="P123" s="676">
        <f t="shared" si="163"/>
        <v>15839.583333333332</v>
      </c>
      <c r="Q123" s="676">
        <f t="shared" si="163"/>
        <v>23722.916666666664</v>
      </c>
      <c r="R123" s="148"/>
      <c r="S123" s="148"/>
      <c r="T123" s="676">
        <f t="shared" ref="T123:AI123" si="164">_xlfn.AGGREGATE(9,0,T124:T129)</f>
        <v>0</v>
      </c>
      <c r="U123" s="676">
        <f t="shared" si="164"/>
        <v>0</v>
      </c>
      <c r="V123" s="676">
        <f t="shared" si="164"/>
        <v>0</v>
      </c>
      <c r="W123" s="676">
        <f t="shared" si="164"/>
        <v>5000</v>
      </c>
      <c r="X123" s="676">
        <f t="shared" si="164"/>
        <v>0</v>
      </c>
      <c r="Y123" s="676">
        <f t="shared" si="164"/>
        <v>0</v>
      </c>
      <c r="Z123" s="676">
        <f t="shared" si="164"/>
        <v>0</v>
      </c>
      <c r="AA123" s="676">
        <f t="shared" si="164"/>
        <v>5000</v>
      </c>
      <c r="AB123" s="676">
        <f t="shared" si="164"/>
        <v>0</v>
      </c>
      <c r="AC123" s="676">
        <f t="shared" si="164"/>
        <v>10839.583333333332</v>
      </c>
      <c r="AD123" s="676">
        <f t="shared" si="164"/>
        <v>10839.583333333332</v>
      </c>
      <c r="AE123" s="676">
        <f t="shared" si="164"/>
        <v>15839.583333333332</v>
      </c>
      <c r="AF123" s="676">
        <f t="shared" si="164"/>
        <v>10839.583333333332</v>
      </c>
      <c r="AG123" s="676">
        <f t="shared" si="164"/>
        <v>15139.583333333332</v>
      </c>
      <c r="AH123" s="676">
        <f t="shared" si="164"/>
        <v>18722.916666666664</v>
      </c>
      <c r="AI123" s="676">
        <f t="shared" si="164"/>
        <v>23722.916666666664</v>
      </c>
      <c r="AJ123" s="148"/>
      <c r="AK123" s="148"/>
      <c r="AL123" s="676">
        <f t="shared" ref="AL123:CG123" si="165">_xlfn.AGGREGATE(9,0,AL124:AL129)</f>
        <v>0</v>
      </c>
      <c r="AM123" s="676">
        <f t="shared" si="165"/>
        <v>0</v>
      </c>
      <c r="AN123" s="676">
        <f t="shared" si="165"/>
        <v>0</v>
      </c>
      <c r="AO123" s="676">
        <f t="shared" si="165"/>
        <v>0</v>
      </c>
      <c r="AP123" s="676">
        <f t="shared" si="165"/>
        <v>0</v>
      </c>
      <c r="AQ123" s="676">
        <f t="shared" si="165"/>
        <v>0</v>
      </c>
      <c r="AR123" s="676">
        <f t="shared" si="165"/>
        <v>0</v>
      </c>
      <c r="AS123" s="676">
        <f t="shared" si="165"/>
        <v>0</v>
      </c>
      <c r="AT123" s="676">
        <f t="shared" si="165"/>
        <v>0</v>
      </c>
      <c r="AU123" s="676">
        <f t="shared" si="165"/>
        <v>0</v>
      </c>
      <c r="AV123" s="676">
        <f t="shared" si="165"/>
        <v>0</v>
      </c>
      <c r="AW123" s="676">
        <f t="shared" si="165"/>
        <v>5000</v>
      </c>
      <c r="AX123" s="676">
        <f t="shared" si="165"/>
        <v>0</v>
      </c>
      <c r="AY123" s="676">
        <f t="shared" si="165"/>
        <v>0</v>
      </c>
      <c r="AZ123" s="676">
        <f t="shared" si="165"/>
        <v>0</v>
      </c>
      <c r="BA123" s="676">
        <f t="shared" si="165"/>
        <v>0</v>
      </c>
      <c r="BB123" s="676">
        <f t="shared" si="165"/>
        <v>0</v>
      </c>
      <c r="BC123" s="676">
        <f t="shared" si="165"/>
        <v>0</v>
      </c>
      <c r="BD123" s="676">
        <f t="shared" si="165"/>
        <v>0</v>
      </c>
      <c r="BE123" s="676">
        <f t="shared" si="165"/>
        <v>0</v>
      </c>
      <c r="BF123" s="676">
        <f t="shared" si="165"/>
        <v>0</v>
      </c>
      <c r="BG123" s="676">
        <f t="shared" si="165"/>
        <v>0</v>
      </c>
      <c r="BH123" s="676">
        <f t="shared" si="165"/>
        <v>0</v>
      </c>
      <c r="BI123" s="676">
        <f t="shared" si="165"/>
        <v>5000</v>
      </c>
      <c r="BJ123" s="676">
        <f t="shared" si="165"/>
        <v>0</v>
      </c>
      <c r="BK123" s="676">
        <f t="shared" si="165"/>
        <v>0</v>
      </c>
      <c r="BL123" s="676">
        <f t="shared" si="165"/>
        <v>0</v>
      </c>
      <c r="BM123" s="676">
        <f t="shared" si="165"/>
        <v>0</v>
      </c>
      <c r="BN123" s="676">
        <f t="shared" si="165"/>
        <v>2463.541666666667</v>
      </c>
      <c r="BO123" s="676">
        <f t="shared" si="165"/>
        <v>10839.583333333332</v>
      </c>
      <c r="BP123" s="676">
        <f t="shared" si="165"/>
        <v>10839.583333333332</v>
      </c>
      <c r="BQ123" s="676">
        <f t="shared" si="165"/>
        <v>10839.583333333332</v>
      </c>
      <c r="BR123" s="676">
        <f t="shared" si="165"/>
        <v>10839.583333333332</v>
      </c>
      <c r="BS123" s="676">
        <f t="shared" si="165"/>
        <v>10839.583333333332</v>
      </c>
      <c r="BT123" s="676">
        <f t="shared" si="165"/>
        <v>10839.583333333332</v>
      </c>
      <c r="BU123" s="676">
        <f t="shared" si="165"/>
        <v>15839.583333333332</v>
      </c>
      <c r="BV123" s="676">
        <f t="shared" si="165"/>
        <v>10839.583333333332</v>
      </c>
      <c r="BW123" s="676">
        <f t="shared" si="165"/>
        <v>10839.583333333332</v>
      </c>
      <c r="BX123" s="676">
        <f t="shared" si="165"/>
        <v>10839.583333333332</v>
      </c>
      <c r="BY123" s="676">
        <f t="shared" si="165"/>
        <v>10839.583333333332</v>
      </c>
      <c r="BZ123" s="676">
        <f t="shared" si="165"/>
        <v>10839.583333333332</v>
      </c>
      <c r="CA123" s="676">
        <f t="shared" si="165"/>
        <v>15139.583333333332</v>
      </c>
      <c r="CB123" s="676">
        <f t="shared" si="165"/>
        <v>18722.916666666664</v>
      </c>
      <c r="CC123" s="676">
        <f t="shared" si="165"/>
        <v>18722.916666666664</v>
      </c>
      <c r="CD123" s="676">
        <f t="shared" si="165"/>
        <v>18722.916666666664</v>
      </c>
      <c r="CE123" s="676">
        <f t="shared" si="165"/>
        <v>18722.916666666664</v>
      </c>
      <c r="CF123" s="676">
        <f t="shared" si="165"/>
        <v>18722.916666666664</v>
      </c>
      <c r="CG123" s="676">
        <f t="shared" si="165"/>
        <v>23722.916666666664</v>
      </c>
    </row>
    <row r="124" spans="3:85" ht="15.75" hidden="1" customHeight="1" outlineLevel="1">
      <c r="C124" s="677" t="s">
        <v>189</v>
      </c>
      <c r="D124" s="149" t="s">
        <v>183</v>
      </c>
      <c r="E124" s="150" t="s">
        <v>190</v>
      </c>
      <c r="J124" s="676" cm="1">
        <f t="array" ref="J124">SUM(_xlfn._xlws.FILTER(_xlfn._xlws.FILTER(headcountData,(headcountDataDepts=$D124)*(headcountDataIDs=$E124)),(startDates&gt;=J$95)*(endDates=J$96)))</f>
        <v>9166.6666666666661</v>
      </c>
      <c r="K124" s="676" cm="1">
        <f t="array" ref="K124">SUM(_xlfn._xlws.FILTER(_xlfn._xlws.FILTER(headcountData,(headcountDataDepts=$D124)*(headcountDataIDs=$E124)),(startDates&gt;=K$95)*(endDates=K$96)))</f>
        <v>9166.6666666666661</v>
      </c>
      <c r="N124" s="676" cm="1">
        <f t="array" ref="N124">SUM(_xlfn._xlws.FILTER(_xlfn._xlws.FILTER(headcountData,(headcountDataDepts=$D124)*(headcountDataIDs=$E124)),(startDates&gt;=N$95)*(endDates=N$96)))</f>
        <v>0</v>
      </c>
      <c r="O124" s="676" cm="1">
        <f t="array" ref="O124">SUM(_xlfn._xlws.FILTER(_xlfn._xlws.FILTER(headcountData,(headcountDataDepts=$D124)*(headcountDataIDs=$E124)),(startDates&gt;=O$95)*(endDates=O$96)))</f>
        <v>0</v>
      </c>
      <c r="P124" s="676" cm="1">
        <f t="array" ref="P124">SUM(_xlfn._xlws.FILTER(_xlfn._xlws.FILTER(headcountData,(headcountDataDepts=$D124)*(headcountDataIDs=$E124)),(startDates&gt;=P$95)*(endDates=P$96)))</f>
        <v>9166.6666666666661</v>
      </c>
      <c r="Q124" s="676" cm="1">
        <f t="array" ref="Q124">SUM(_xlfn._xlws.FILTER(_xlfn._xlws.FILTER(headcountData,(headcountDataDepts=$D124)*(headcountDataIDs=$E124)),(startDates&gt;=Q$95)*(endDates=Q$96)))</f>
        <v>15833.333333333332</v>
      </c>
      <c r="T124" s="676" cm="1">
        <f t="array" ref="T124">SUM(_xlfn._xlws.FILTER(_xlfn._xlws.FILTER(headcountData,(headcountDataDepts=$D124)*(headcountDataIDs=$E124)),(startDates&gt;=T$95)*(endDates=T$96)))</f>
        <v>0</v>
      </c>
      <c r="U124" s="676" cm="1">
        <f t="array" ref="U124">SUM(_xlfn._xlws.FILTER(_xlfn._xlws.FILTER(headcountData,(headcountDataDepts=$D124)*(headcountDataIDs=$E124)),(startDates&gt;=U$95)*(endDates=U$96)))</f>
        <v>0</v>
      </c>
      <c r="V124" s="676" cm="1">
        <f t="array" ref="V124">SUM(_xlfn._xlws.FILTER(_xlfn._xlws.FILTER(headcountData,(headcountDataDepts=$D124)*(headcountDataIDs=$E124)),(startDates&gt;=V$95)*(endDates=V$96)))</f>
        <v>0</v>
      </c>
      <c r="W124" s="676" cm="1">
        <f t="array" ref="W124">SUM(_xlfn._xlws.FILTER(_xlfn._xlws.FILTER(headcountData,(headcountDataDepts=$D124)*(headcountDataIDs=$E124)),(startDates&gt;=W$95)*(endDates=W$96)))</f>
        <v>0</v>
      </c>
      <c r="X124" s="676" cm="1">
        <f t="array" ref="X124">SUM(_xlfn._xlws.FILTER(_xlfn._xlws.FILTER(headcountData,(headcountDataDepts=$D124)*(headcountDataIDs=$E124)),(startDates&gt;=X$95)*(endDates=X$96)))</f>
        <v>0</v>
      </c>
      <c r="Y124" s="676" cm="1">
        <f t="array" ref="Y124">SUM(_xlfn._xlws.FILTER(_xlfn._xlws.FILTER(headcountData,(headcountDataDepts=$D124)*(headcountDataIDs=$E124)),(startDates&gt;=Y$95)*(endDates=Y$96)))</f>
        <v>0</v>
      </c>
      <c r="Z124" s="676" cm="1">
        <f t="array" ref="Z124">SUM(_xlfn._xlws.FILTER(_xlfn._xlws.FILTER(headcountData,(headcountDataDepts=$D124)*(headcountDataIDs=$E124)),(startDates&gt;=Z$95)*(endDates=Z$96)))</f>
        <v>0</v>
      </c>
      <c r="AA124" s="676" cm="1">
        <f t="array" ref="AA124">SUM(_xlfn._xlws.FILTER(_xlfn._xlws.FILTER(headcountData,(headcountDataDepts=$D124)*(headcountDataIDs=$E124)),(startDates&gt;=AA$95)*(endDates=AA$96)))</f>
        <v>0</v>
      </c>
      <c r="AB124" s="676" cm="1">
        <f t="array" ref="AB124">SUM(_xlfn._xlws.FILTER(_xlfn._xlws.FILTER(headcountData,(headcountDataDepts=$D124)*(headcountDataIDs=$E124)),(startDates&gt;=AB$95)*(endDates=AB$96)))</f>
        <v>0</v>
      </c>
      <c r="AC124" s="676" cm="1">
        <f t="array" ref="AC124">SUM(_xlfn._xlws.FILTER(_xlfn._xlws.FILTER(headcountData,(headcountDataDepts=$D124)*(headcountDataIDs=$E124)),(startDates&gt;=AC$95)*(endDates=AC$96)))</f>
        <v>9166.6666666666661</v>
      </c>
      <c r="AD124" s="676" cm="1">
        <f t="array" ref="AD124">SUM(_xlfn._xlws.FILTER(_xlfn._xlws.FILTER(headcountData,(headcountDataDepts=$D124)*(headcountDataIDs=$E124)),(startDates&gt;=AD$95)*(endDates=AD$96)))</f>
        <v>9166.6666666666661</v>
      </c>
      <c r="AE124" s="676" cm="1">
        <f t="array" ref="AE124">SUM(_xlfn._xlws.FILTER(_xlfn._xlws.FILTER(headcountData,(headcountDataDepts=$D124)*(headcountDataIDs=$E124)),(startDates&gt;=AE$95)*(endDates=AE$96)))</f>
        <v>9166.6666666666661</v>
      </c>
      <c r="AF124" s="676" cm="1">
        <f t="array" ref="AF124">SUM(_xlfn._xlws.FILTER(_xlfn._xlws.FILTER(headcountData,(headcountDataDepts=$D124)*(headcountDataIDs=$E124)),(startDates&gt;=AF$95)*(endDates=AF$96)))</f>
        <v>9166.6666666666661</v>
      </c>
      <c r="AG124" s="676" cm="1">
        <f t="array" ref="AG124">SUM(_xlfn._xlws.FILTER(_xlfn._xlws.FILTER(headcountData,(headcountDataDepts=$D124)*(headcountDataIDs=$E124)),(startDates&gt;=AG$95)*(endDates=AG$96)))</f>
        <v>12803.030303030302</v>
      </c>
      <c r="AH124" s="676" cm="1">
        <f t="array" ref="AH124">SUM(_xlfn._xlws.FILTER(_xlfn._xlws.FILTER(headcountData,(headcountDataDepts=$D124)*(headcountDataIDs=$E124)),(startDates&gt;=AH$95)*(endDates=AH$96)))</f>
        <v>15833.333333333332</v>
      </c>
      <c r="AI124" s="676" cm="1">
        <f t="array" ref="AI124">SUM(_xlfn._xlws.FILTER(_xlfn._xlws.FILTER(headcountData,(headcountDataDepts=$D124)*(headcountDataIDs=$E124)),(startDates&gt;=AI$95)*(endDates=AI$96)))</f>
        <v>15833.333333333332</v>
      </c>
      <c r="AL124" s="676" cm="1">
        <f t="array" ref="AL124">SUM(_xlfn._xlws.FILTER(_xlfn._xlws.FILTER(headcountData,(headcountDataDepts=$D124)*(headcountDataIDs=$E124)),(startDates&gt;=AL$95)*(endDates=AL$96)))</f>
        <v>0</v>
      </c>
      <c r="AM124" s="676" cm="1">
        <f t="array" ref="AM124">SUM(_xlfn._xlws.FILTER(_xlfn._xlws.FILTER(headcountData,(headcountDataDepts=$D124)*(headcountDataIDs=$E124)),(startDates&gt;=AM$95)*(endDates=AM$96)))</f>
        <v>0</v>
      </c>
      <c r="AN124" s="676" cm="1">
        <f t="array" ref="AN124">SUM(_xlfn._xlws.FILTER(_xlfn._xlws.FILTER(headcountData,(headcountDataDepts=$D124)*(headcountDataIDs=$E124)),(startDates&gt;=AN$95)*(endDates=AN$96)))</f>
        <v>0</v>
      </c>
      <c r="AO124" s="676" cm="1">
        <f t="array" ref="AO124">SUM(_xlfn._xlws.FILTER(_xlfn._xlws.FILTER(headcountData,(headcountDataDepts=$D124)*(headcountDataIDs=$E124)),(startDates&gt;=AO$95)*(endDates=AO$96)))</f>
        <v>0</v>
      </c>
      <c r="AP124" s="676" cm="1">
        <f t="array" ref="AP124">SUM(_xlfn._xlws.FILTER(_xlfn._xlws.FILTER(headcountData,(headcountDataDepts=$D124)*(headcountDataIDs=$E124)),(startDates&gt;=AP$95)*(endDates=AP$96)))</f>
        <v>0</v>
      </c>
      <c r="AQ124" s="676" cm="1">
        <f t="array" ref="AQ124">SUM(_xlfn._xlws.FILTER(_xlfn._xlws.FILTER(headcountData,(headcountDataDepts=$D124)*(headcountDataIDs=$E124)),(startDates&gt;=AQ$95)*(endDates=AQ$96)))</f>
        <v>0</v>
      </c>
      <c r="AR124" s="676" cm="1">
        <f t="array" ref="AR124">SUM(_xlfn._xlws.FILTER(_xlfn._xlws.FILTER(headcountData,(headcountDataDepts=$D124)*(headcountDataIDs=$E124)),(startDates&gt;=AR$95)*(endDates=AR$96)))</f>
        <v>0</v>
      </c>
      <c r="AS124" s="676" cm="1">
        <f t="array" ref="AS124">SUM(_xlfn._xlws.FILTER(_xlfn._xlws.FILTER(headcountData,(headcountDataDepts=$D124)*(headcountDataIDs=$E124)),(startDates&gt;=AS$95)*(endDates=AS$96)))</f>
        <v>0</v>
      </c>
      <c r="AT124" s="676" cm="1">
        <f t="array" ref="AT124">SUM(_xlfn._xlws.FILTER(_xlfn._xlws.FILTER(headcountData,(headcountDataDepts=$D124)*(headcountDataIDs=$E124)),(startDates&gt;=AT$95)*(endDates=AT$96)))</f>
        <v>0</v>
      </c>
      <c r="AU124" s="676" cm="1">
        <f t="array" ref="AU124">SUM(_xlfn._xlws.FILTER(_xlfn._xlws.FILTER(headcountData,(headcountDataDepts=$D124)*(headcountDataIDs=$E124)),(startDates&gt;=AU$95)*(endDates=AU$96)))</f>
        <v>0</v>
      </c>
      <c r="AV124" s="676" cm="1">
        <f t="array" ref="AV124">SUM(_xlfn._xlws.FILTER(_xlfn._xlws.FILTER(headcountData,(headcountDataDepts=$D124)*(headcountDataIDs=$E124)),(startDates&gt;=AV$95)*(endDates=AV$96)))</f>
        <v>0</v>
      </c>
      <c r="AW124" s="676" cm="1">
        <f t="array" ref="AW124">SUM(_xlfn._xlws.FILTER(_xlfn._xlws.FILTER(headcountData,(headcountDataDepts=$D124)*(headcountDataIDs=$E124)),(startDates&gt;=AW$95)*(endDates=AW$96)))</f>
        <v>0</v>
      </c>
      <c r="AX124" s="676" cm="1">
        <f t="array" ref="AX124">SUM(_xlfn._xlws.FILTER(_xlfn._xlws.FILTER(headcountData,(headcountDataDepts=$D124)*(headcountDataIDs=$E124)),(startDates&gt;=AX$95)*(endDates=AX$96)))</f>
        <v>0</v>
      </c>
      <c r="AY124" s="676" cm="1">
        <f t="array" ref="AY124">SUM(_xlfn._xlws.FILTER(_xlfn._xlws.FILTER(headcountData,(headcountDataDepts=$D124)*(headcountDataIDs=$E124)),(startDates&gt;=AY$95)*(endDates=AY$96)))</f>
        <v>0</v>
      </c>
      <c r="AZ124" s="676" cm="1">
        <f t="array" ref="AZ124">SUM(_xlfn._xlws.FILTER(_xlfn._xlws.FILTER(headcountData,(headcountDataDepts=$D124)*(headcountDataIDs=$E124)),(startDates&gt;=AZ$95)*(endDates=AZ$96)))</f>
        <v>0</v>
      </c>
      <c r="BA124" s="676" cm="1">
        <f t="array" ref="BA124">SUM(_xlfn._xlws.FILTER(_xlfn._xlws.FILTER(headcountData,(headcountDataDepts=$D124)*(headcountDataIDs=$E124)),(startDates&gt;=BA$95)*(endDates=BA$96)))</f>
        <v>0</v>
      </c>
      <c r="BB124" s="676" cm="1">
        <f t="array" ref="BB124">SUM(_xlfn._xlws.FILTER(_xlfn._xlws.FILTER(headcountData,(headcountDataDepts=$D124)*(headcountDataIDs=$E124)),(startDates&gt;=BB$95)*(endDates=BB$96)))</f>
        <v>0</v>
      </c>
      <c r="BC124" s="676" cm="1">
        <f t="array" ref="BC124">SUM(_xlfn._xlws.FILTER(_xlfn._xlws.FILTER(headcountData,(headcountDataDepts=$D124)*(headcountDataIDs=$E124)),(startDates&gt;=BC$95)*(endDates=BC$96)))</f>
        <v>0</v>
      </c>
      <c r="BD124" s="676" cm="1">
        <f t="array" ref="BD124">SUM(_xlfn._xlws.FILTER(_xlfn._xlws.FILTER(headcountData,(headcountDataDepts=$D124)*(headcountDataIDs=$E124)),(startDates&gt;=BD$95)*(endDates=BD$96)))</f>
        <v>0</v>
      </c>
      <c r="BE124" s="676" cm="1">
        <f t="array" ref="BE124">SUM(_xlfn._xlws.FILTER(_xlfn._xlws.FILTER(headcountData,(headcountDataDepts=$D124)*(headcountDataIDs=$E124)),(startDates&gt;=BE$95)*(endDates=BE$96)))</f>
        <v>0</v>
      </c>
      <c r="BF124" s="676" cm="1">
        <f t="array" ref="BF124">SUM(_xlfn._xlws.FILTER(_xlfn._xlws.FILTER(headcountData,(headcountDataDepts=$D124)*(headcountDataIDs=$E124)),(startDates&gt;=BF$95)*(endDates=BF$96)))</f>
        <v>0</v>
      </c>
      <c r="BG124" s="676" cm="1">
        <f t="array" ref="BG124">SUM(_xlfn._xlws.FILTER(_xlfn._xlws.FILTER(headcountData,(headcountDataDepts=$D124)*(headcountDataIDs=$E124)),(startDates&gt;=BG$95)*(endDates=BG$96)))</f>
        <v>0</v>
      </c>
      <c r="BH124" s="676" cm="1">
        <f t="array" ref="BH124">SUM(_xlfn._xlws.FILTER(_xlfn._xlws.FILTER(headcountData,(headcountDataDepts=$D124)*(headcountDataIDs=$E124)),(startDates&gt;=BH$95)*(endDates=BH$96)))</f>
        <v>0</v>
      </c>
      <c r="BI124" s="676" cm="1">
        <f t="array" ref="BI124">SUM(_xlfn._xlws.FILTER(_xlfn._xlws.FILTER(headcountData,(headcountDataDepts=$D124)*(headcountDataIDs=$E124)),(startDates&gt;=BI$95)*(endDates=BI$96)))</f>
        <v>0</v>
      </c>
      <c r="BJ124" s="676" cm="1">
        <f t="array" ref="BJ124">SUM(_xlfn._xlws.FILTER(_xlfn._xlws.FILTER(headcountData,(headcountDataDepts=$D124)*(headcountDataIDs=$E124)),(startDates&gt;=BJ$95)*(endDates=BJ$96)))</f>
        <v>0</v>
      </c>
      <c r="BK124" s="676" cm="1">
        <f t="array" ref="BK124">SUM(_xlfn._xlws.FILTER(_xlfn._xlws.FILTER(headcountData,(headcountDataDepts=$D124)*(headcountDataIDs=$E124)),(startDates&gt;=BK$95)*(endDates=BK$96)))</f>
        <v>0</v>
      </c>
      <c r="BL124" s="676" cm="1">
        <f t="array" ref="BL124">SUM(_xlfn._xlws.FILTER(_xlfn._xlws.FILTER(headcountData,(headcountDataDepts=$D124)*(headcountDataIDs=$E124)),(startDates&gt;=BL$95)*(endDates=BL$96)))</f>
        <v>0</v>
      </c>
      <c r="BM124" s="676" cm="1">
        <f t="array" ref="BM124">SUM(_xlfn._xlws.FILTER(_xlfn._xlws.FILTER(headcountData,(headcountDataDepts=$D124)*(headcountDataIDs=$E124)),(startDates&gt;=BM$95)*(endDates=BM$96)))</f>
        <v>0</v>
      </c>
      <c r="BN124" s="676" cm="1">
        <f t="array" ref="BN124">SUM(_xlfn._xlws.FILTER(_xlfn._xlws.FILTER(headcountData,(headcountDataDepts=$D124)*(headcountDataIDs=$E124)),(startDates&gt;=BN$95)*(endDates=BN$96)))</f>
        <v>2083.3333333333335</v>
      </c>
      <c r="BO124" s="676" cm="1">
        <f t="array" ref="BO124">SUM(_xlfn._xlws.FILTER(_xlfn._xlws.FILTER(headcountData,(headcountDataDepts=$D124)*(headcountDataIDs=$E124)),(startDates&gt;=BO$95)*(endDates=BO$96)))</f>
        <v>9166.6666666666661</v>
      </c>
      <c r="BP124" s="676" cm="1">
        <f t="array" ref="BP124">SUM(_xlfn._xlws.FILTER(_xlfn._xlws.FILTER(headcountData,(headcountDataDepts=$D124)*(headcountDataIDs=$E124)),(startDates&gt;=BP$95)*(endDates=BP$96)))</f>
        <v>9166.6666666666661</v>
      </c>
      <c r="BQ124" s="676" cm="1">
        <f t="array" ref="BQ124">SUM(_xlfn._xlws.FILTER(_xlfn._xlws.FILTER(headcountData,(headcountDataDepts=$D124)*(headcountDataIDs=$E124)),(startDates&gt;=BQ$95)*(endDates=BQ$96)))</f>
        <v>9166.6666666666661</v>
      </c>
      <c r="BR124" s="676" cm="1">
        <f t="array" ref="BR124">SUM(_xlfn._xlws.FILTER(_xlfn._xlws.FILTER(headcountData,(headcountDataDepts=$D124)*(headcountDataIDs=$E124)),(startDates&gt;=BR$95)*(endDates=BR$96)))</f>
        <v>9166.6666666666661</v>
      </c>
      <c r="BS124" s="676" cm="1">
        <f t="array" ref="BS124">SUM(_xlfn._xlws.FILTER(_xlfn._xlws.FILTER(headcountData,(headcountDataDepts=$D124)*(headcountDataIDs=$E124)),(startDates&gt;=BS$95)*(endDates=BS$96)))</f>
        <v>9166.6666666666661</v>
      </c>
      <c r="BT124" s="676" cm="1">
        <f t="array" ref="BT124">SUM(_xlfn._xlws.FILTER(_xlfn._xlws.FILTER(headcountData,(headcountDataDepts=$D124)*(headcountDataIDs=$E124)),(startDates&gt;=BT$95)*(endDates=BT$96)))</f>
        <v>9166.6666666666661</v>
      </c>
      <c r="BU124" s="676" cm="1">
        <f t="array" ref="BU124">SUM(_xlfn._xlws.FILTER(_xlfn._xlws.FILTER(headcountData,(headcountDataDepts=$D124)*(headcountDataIDs=$E124)),(startDates&gt;=BU$95)*(endDates=BU$96)))</f>
        <v>9166.6666666666661</v>
      </c>
      <c r="BV124" s="676" cm="1">
        <f t="array" ref="BV124">SUM(_xlfn._xlws.FILTER(_xlfn._xlws.FILTER(headcountData,(headcountDataDepts=$D124)*(headcountDataIDs=$E124)),(startDates&gt;=BV$95)*(endDates=BV$96)))</f>
        <v>9166.6666666666661</v>
      </c>
      <c r="BW124" s="676" cm="1">
        <f t="array" ref="BW124">SUM(_xlfn._xlws.FILTER(_xlfn._xlws.FILTER(headcountData,(headcountDataDepts=$D124)*(headcountDataIDs=$E124)),(startDates&gt;=BW$95)*(endDates=BW$96)))</f>
        <v>9166.6666666666661</v>
      </c>
      <c r="BX124" s="676" cm="1">
        <f t="array" ref="BX124">SUM(_xlfn._xlws.FILTER(_xlfn._xlws.FILTER(headcountData,(headcountDataDepts=$D124)*(headcountDataIDs=$E124)),(startDates&gt;=BX$95)*(endDates=BX$96)))</f>
        <v>9166.6666666666661</v>
      </c>
      <c r="BY124" s="676" cm="1">
        <f t="array" ref="BY124">SUM(_xlfn._xlws.FILTER(_xlfn._xlws.FILTER(headcountData,(headcountDataDepts=$D124)*(headcountDataIDs=$E124)),(startDates&gt;=BY$95)*(endDates=BY$96)))</f>
        <v>9166.6666666666661</v>
      </c>
      <c r="BZ124" s="676" cm="1">
        <f t="array" ref="BZ124">SUM(_xlfn._xlws.FILTER(_xlfn._xlws.FILTER(headcountData,(headcountDataDepts=$D124)*(headcountDataIDs=$E124)),(startDates&gt;=BZ$95)*(endDates=BZ$96)))</f>
        <v>9166.6666666666661</v>
      </c>
      <c r="CA124" s="676" cm="1">
        <f t="array" ref="CA124">SUM(_xlfn._xlws.FILTER(_xlfn._xlws.FILTER(headcountData,(headcountDataDepts=$D124)*(headcountDataIDs=$E124)),(startDates&gt;=CA$95)*(endDates=CA$96)))</f>
        <v>12803.030303030302</v>
      </c>
      <c r="CB124" s="676" cm="1">
        <f t="array" ref="CB124">SUM(_xlfn._xlws.FILTER(_xlfn._xlws.FILTER(headcountData,(headcountDataDepts=$D124)*(headcountDataIDs=$E124)),(startDates&gt;=CB$95)*(endDates=CB$96)))</f>
        <v>15833.333333333332</v>
      </c>
      <c r="CC124" s="676" cm="1">
        <f t="array" ref="CC124">SUM(_xlfn._xlws.FILTER(_xlfn._xlws.FILTER(headcountData,(headcountDataDepts=$D124)*(headcountDataIDs=$E124)),(startDates&gt;=CC$95)*(endDates=CC$96)))</f>
        <v>15833.333333333332</v>
      </c>
      <c r="CD124" s="676" cm="1">
        <f t="array" ref="CD124">SUM(_xlfn._xlws.FILTER(_xlfn._xlws.FILTER(headcountData,(headcountDataDepts=$D124)*(headcountDataIDs=$E124)),(startDates&gt;=CD$95)*(endDates=CD$96)))</f>
        <v>15833.333333333332</v>
      </c>
      <c r="CE124" s="676" cm="1">
        <f t="array" ref="CE124">SUM(_xlfn._xlws.FILTER(_xlfn._xlws.FILTER(headcountData,(headcountDataDepts=$D124)*(headcountDataIDs=$E124)),(startDates&gt;=CE$95)*(endDates=CE$96)))</f>
        <v>15833.333333333332</v>
      </c>
      <c r="CF124" s="676" cm="1">
        <f t="array" ref="CF124">SUM(_xlfn._xlws.FILTER(_xlfn._xlws.FILTER(headcountData,(headcountDataDepts=$D124)*(headcountDataIDs=$E124)),(startDates&gt;=CF$95)*(endDates=CF$96)))</f>
        <v>15833.333333333332</v>
      </c>
      <c r="CG124" s="676" cm="1">
        <f t="array" ref="CG124">SUM(_xlfn._xlws.FILTER(_xlfn._xlws.FILTER(headcountData,(headcountDataDepts=$D124)*(headcountDataIDs=$E124)),(startDates&gt;=CG$95)*(endDates=CG$96)))</f>
        <v>15833.333333333332</v>
      </c>
    </row>
    <row r="125" spans="3:85" ht="15.75" hidden="1" customHeight="1" outlineLevel="1">
      <c r="C125" s="677" t="s">
        <v>191</v>
      </c>
      <c r="D125" s="149" t="s">
        <v>183</v>
      </c>
      <c r="E125" s="150" t="s">
        <v>192</v>
      </c>
      <c r="J125" s="676" cm="1">
        <f t="array" ref="J125">SUM(_xlfn._xlws.FILTER(_xlfn._xlws.FILTER(headcountData,(headcountDataDepts=$D125)*(headcountDataIDs=$E125)),(startDates&gt;=J$95)*(endDates=J$96)))</f>
        <v>0</v>
      </c>
      <c r="K125" s="676" cm="1">
        <f t="array" ref="K125">SUM(_xlfn._xlws.FILTER(_xlfn._xlws.FILTER(headcountData,(headcountDataDepts=$D125)*(headcountDataIDs=$E125)),(startDates&gt;=K$95)*(endDates=K$96)))</f>
        <v>0</v>
      </c>
      <c r="N125" s="676" cm="1">
        <f t="array" ref="N125">SUM(_xlfn._xlws.FILTER(_xlfn._xlws.FILTER(headcountData,(headcountDataDepts=$D125)*(headcountDataIDs=$E125)),(startDates&gt;=N$95)*(endDates=N$96)))</f>
        <v>0</v>
      </c>
      <c r="O125" s="676" cm="1">
        <f t="array" ref="O125">SUM(_xlfn._xlws.FILTER(_xlfn._xlws.FILTER(headcountData,(headcountDataDepts=$D125)*(headcountDataIDs=$E125)),(startDates&gt;=O$95)*(endDates=O$96)))</f>
        <v>0</v>
      </c>
      <c r="P125" s="676" cm="1">
        <f t="array" ref="P125">SUM(_xlfn._xlws.FILTER(_xlfn._xlws.FILTER(headcountData,(headcountDataDepts=$D125)*(headcountDataIDs=$E125)),(startDates&gt;=P$95)*(endDates=P$96)))</f>
        <v>0</v>
      </c>
      <c r="Q125" s="676" cm="1">
        <f t="array" ref="Q125">SUM(_xlfn._xlws.FILTER(_xlfn._xlws.FILTER(headcountData,(headcountDataDepts=$D125)*(headcountDataIDs=$E125)),(startDates&gt;=Q$95)*(endDates=Q$96)))</f>
        <v>0</v>
      </c>
      <c r="T125" s="676" cm="1">
        <f t="array" ref="T125">SUM(_xlfn._xlws.FILTER(_xlfn._xlws.FILTER(headcountData,(headcountDataDepts=$D125)*(headcountDataIDs=$E125)),(startDates&gt;=T$95)*(endDates=T$96)))</f>
        <v>0</v>
      </c>
      <c r="U125" s="676" cm="1">
        <f t="array" ref="U125">SUM(_xlfn._xlws.FILTER(_xlfn._xlws.FILTER(headcountData,(headcountDataDepts=$D125)*(headcountDataIDs=$E125)),(startDates&gt;=U$95)*(endDates=U$96)))</f>
        <v>0</v>
      </c>
      <c r="V125" s="676" cm="1">
        <f t="array" ref="V125">SUM(_xlfn._xlws.FILTER(_xlfn._xlws.FILTER(headcountData,(headcountDataDepts=$D125)*(headcountDataIDs=$E125)),(startDates&gt;=V$95)*(endDates=V$96)))</f>
        <v>0</v>
      </c>
      <c r="W125" s="676" cm="1">
        <f t="array" ref="W125">SUM(_xlfn._xlws.FILTER(_xlfn._xlws.FILTER(headcountData,(headcountDataDepts=$D125)*(headcountDataIDs=$E125)),(startDates&gt;=W$95)*(endDates=W$96)))</f>
        <v>0</v>
      </c>
      <c r="X125" s="676" cm="1">
        <f t="array" ref="X125">SUM(_xlfn._xlws.FILTER(_xlfn._xlws.FILTER(headcountData,(headcountDataDepts=$D125)*(headcountDataIDs=$E125)),(startDates&gt;=X$95)*(endDates=X$96)))</f>
        <v>0</v>
      </c>
      <c r="Y125" s="676" cm="1">
        <f t="array" ref="Y125">SUM(_xlfn._xlws.FILTER(_xlfn._xlws.FILTER(headcountData,(headcountDataDepts=$D125)*(headcountDataIDs=$E125)),(startDates&gt;=Y$95)*(endDates=Y$96)))</f>
        <v>0</v>
      </c>
      <c r="Z125" s="676" cm="1">
        <f t="array" ref="Z125">SUM(_xlfn._xlws.FILTER(_xlfn._xlws.FILTER(headcountData,(headcountDataDepts=$D125)*(headcountDataIDs=$E125)),(startDates&gt;=Z$95)*(endDates=Z$96)))</f>
        <v>0</v>
      </c>
      <c r="AA125" s="676" cm="1">
        <f t="array" ref="AA125">SUM(_xlfn._xlws.FILTER(_xlfn._xlws.FILTER(headcountData,(headcountDataDepts=$D125)*(headcountDataIDs=$E125)),(startDates&gt;=AA$95)*(endDates=AA$96)))</f>
        <v>0</v>
      </c>
      <c r="AB125" s="676" cm="1">
        <f t="array" ref="AB125">SUM(_xlfn._xlws.FILTER(_xlfn._xlws.FILTER(headcountData,(headcountDataDepts=$D125)*(headcountDataIDs=$E125)),(startDates&gt;=AB$95)*(endDates=AB$96)))</f>
        <v>0</v>
      </c>
      <c r="AC125" s="676" cm="1">
        <f t="array" ref="AC125">SUM(_xlfn._xlws.FILTER(_xlfn._xlws.FILTER(headcountData,(headcountDataDepts=$D125)*(headcountDataIDs=$E125)),(startDates&gt;=AC$95)*(endDates=AC$96)))</f>
        <v>0</v>
      </c>
      <c r="AD125" s="676" cm="1">
        <f t="array" ref="AD125">SUM(_xlfn._xlws.FILTER(_xlfn._xlws.FILTER(headcountData,(headcountDataDepts=$D125)*(headcountDataIDs=$E125)),(startDates&gt;=AD$95)*(endDates=AD$96)))</f>
        <v>0</v>
      </c>
      <c r="AE125" s="676" cm="1">
        <f t="array" ref="AE125">SUM(_xlfn._xlws.FILTER(_xlfn._xlws.FILTER(headcountData,(headcountDataDepts=$D125)*(headcountDataIDs=$E125)),(startDates&gt;=AE$95)*(endDates=AE$96)))</f>
        <v>0</v>
      </c>
      <c r="AF125" s="676" cm="1">
        <f t="array" ref="AF125">SUM(_xlfn._xlws.FILTER(_xlfn._xlws.FILTER(headcountData,(headcountDataDepts=$D125)*(headcountDataIDs=$E125)),(startDates&gt;=AF$95)*(endDates=AF$96)))</f>
        <v>0</v>
      </c>
      <c r="AG125" s="676" cm="1">
        <f t="array" ref="AG125">SUM(_xlfn._xlws.FILTER(_xlfn._xlws.FILTER(headcountData,(headcountDataDepts=$D125)*(headcountDataIDs=$E125)),(startDates&gt;=AG$95)*(endDates=AG$96)))</f>
        <v>0</v>
      </c>
      <c r="AH125" s="676" cm="1">
        <f t="array" ref="AH125">SUM(_xlfn._xlws.FILTER(_xlfn._xlws.FILTER(headcountData,(headcountDataDepts=$D125)*(headcountDataIDs=$E125)),(startDates&gt;=AH$95)*(endDates=AH$96)))</f>
        <v>0</v>
      </c>
      <c r="AI125" s="676" cm="1">
        <f t="array" ref="AI125">SUM(_xlfn._xlws.FILTER(_xlfn._xlws.FILTER(headcountData,(headcountDataDepts=$D125)*(headcountDataIDs=$E125)),(startDates&gt;=AI$95)*(endDates=AI$96)))</f>
        <v>0</v>
      </c>
      <c r="AL125" s="676" cm="1">
        <f t="array" ref="AL125">SUM(_xlfn._xlws.FILTER(_xlfn._xlws.FILTER(headcountData,(headcountDataDepts=$D125)*(headcountDataIDs=$E125)),(startDates&gt;=AL$95)*(endDates=AL$96)))</f>
        <v>0</v>
      </c>
      <c r="AM125" s="676" cm="1">
        <f t="array" ref="AM125">SUM(_xlfn._xlws.FILTER(_xlfn._xlws.FILTER(headcountData,(headcountDataDepts=$D125)*(headcountDataIDs=$E125)),(startDates&gt;=AM$95)*(endDates=AM$96)))</f>
        <v>0</v>
      </c>
      <c r="AN125" s="676" cm="1">
        <f t="array" ref="AN125">SUM(_xlfn._xlws.FILTER(_xlfn._xlws.FILTER(headcountData,(headcountDataDepts=$D125)*(headcountDataIDs=$E125)),(startDates&gt;=AN$95)*(endDates=AN$96)))</f>
        <v>0</v>
      </c>
      <c r="AO125" s="676" cm="1">
        <f t="array" ref="AO125">SUM(_xlfn._xlws.FILTER(_xlfn._xlws.FILTER(headcountData,(headcountDataDepts=$D125)*(headcountDataIDs=$E125)),(startDates&gt;=AO$95)*(endDates=AO$96)))</f>
        <v>0</v>
      </c>
      <c r="AP125" s="676" cm="1">
        <f t="array" ref="AP125">SUM(_xlfn._xlws.FILTER(_xlfn._xlws.FILTER(headcountData,(headcountDataDepts=$D125)*(headcountDataIDs=$E125)),(startDates&gt;=AP$95)*(endDates=AP$96)))</f>
        <v>0</v>
      </c>
      <c r="AQ125" s="676" cm="1">
        <f t="array" ref="AQ125">SUM(_xlfn._xlws.FILTER(_xlfn._xlws.FILTER(headcountData,(headcountDataDepts=$D125)*(headcountDataIDs=$E125)),(startDates&gt;=AQ$95)*(endDates=AQ$96)))</f>
        <v>0</v>
      </c>
      <c r="AR125" s="676" cm="1">
        <f t="array" ref="AR125">SUM(_xlfn._xlws.FILTER(_xlfn._xlws.FILTER(headcountData,(headcountDataDepts=$D125)*(headcountDataIDs=$E125)),(startDates&gt;=AR$95)*(endDates=AR$96)))</f>
        <v>0</v>
      </c>
      <c r="AS125" s="676" cm="1">
        <f t="array" ref="AS125">SUM(_xlfn._xlws.FILTER(_xlfn._xlws.FILTER(headcountData,(headcountDataDepts=$D125)*(headcountDataIDs=$E125)),(startDates&gt;=AS$95)*(endDates=AS$96)))</f>
        <v>0</v>
      </c>
      <c r="AT125" s="676" cm="1">
        <f t="array" ref="AT125">SUM(_xlfn._xlws.FILTER(_xlfn._xlws.FILTER(headcountData,(headcountDataDepts=$D125)*(headcountDataIDs=$E125)),(startDates&gt;=AT$95)*(endDates=AT$96)))</f>
        <v>0</v>
      </c>
      <c r="AU125" s="676" cm="1">
        <f t="array" ref="AU125">SUM(_xlfn._xlws.FILTER(_xlfn._xlws.FILTER(headcountData,(headcountDataDepts=$D125)*(headcountDataIDs=$E125)),(startDates&gt;=AU$95)*(endDates=AU$96)))</f>
        <v>0</v>
      </c>
      <c r="AV125" s="676" cm="1">
        <f t="array" ref="AV125">SUM(_xlfn._xlws.FILTER(_xlfn._xlws.FILTER(headcountData,(headcountDataDepts=$D125)*(headcountDataIDs=$E125)),(startDates&gt;=AV$95)*(endDates=AV$96)))</f>
        <v>0</v>
      </c>
      <c r="AW125" s="676" cm="1">
        <f t="array" ref="AW125">SUM(_xlfn._xlws.FILTER(_xlfn._xlws.FILTER(headcountData,(headcountDataDepts=$D125)*(headcountDataIDs=$E125)),(startDates&gt;=AW$95)*(endDates=AW$96)))</f>
        <v>0</v>
      </c>
      <c r="AX125" s="676" cm="1">
        <f t="array" ref="AX125">SUM(_xlfn._xlws.FILTER(_xlfn._xlws.FILTER(headcountData,(headcountDataDepts=$D125)*(headcountDataIDs=$E125)),(startDates&gt;=AX$95)*(endDates=AX$96)))</f>
        <v>0</v>
      </c>
      <c r="AY125" s="676" cm="1">
        <f t="array" ref="AY125">SUM(_xlfn._xlws.FILTER(_xlfn._xlws.FILTER(headcountData,(headcountDataDepts=$D125)*(headcountDataIDs=$E125)),(startDates&gt;=AY$95)*(endDates=AY$96)))</f>
        <v>0</v>
      </c>
      <c r="AZ125" s="676" cm="1">
        <f t="array" ref="AZ125">SUM(_xlfn._xlws.FILTER(_xlfn._xlws.FILTER(headcountData,(headcountDataDepts=$D125)*(headcountDataIDs=$E125)),(startDates&gt;=AZ$95)*(endDates=AZ$96)))</f>
        <v>0</v>
      </c>
      <c r="BA125" s="676" cm="1">
        <f t="array" ref="BA125">SUM(_xlfn._xlws.FILTER(_xlfn._xlws.FILTER(headcountData,(headcountDataDepts=$D125)*(headcountDataIDs=$E125)),(startDates&gt;=BA$95)*(endDates=BA$96)))</f>
        <v>0</v>
      </c>
      <c r="BB125" s="676" cm="1">
        <f t="array" ref="BB125">SUM(_xlfn._xlws.FILTER(_xlfn._xlws.FILTER(headcountData,(headcountDataDepts=$D125)*(headcountDataIDs=$E125)),(startDates&gt;=BB$95)*(endDates=BB$96)))</f>
        <v>0</v>
      </c>
      <c r="BC125" s="676" cm="1">
        <f t="array" ref="BC125">SUM(_xlfn._xlws.FILTER(_xlfn._xlws.FILTER(headcountData,(headcountDataDepts=$D125)*(headcountDataIDs=$E125)),(startDates&gt;=BC$95)*(endDates=BC$96)))</f>
        <v>0</v>
      </c>
      <c r="BD125" s="676" cm="1">
        <f t="array" ref="BD125">SUM(_xlfn._xlws.FILTER(_xlfn._xlws.FILTER(headcountData,(headcountDataDepts=$D125)*(headcountDataIDs=$E125)),(startDates&gt;=BD$95)*(endDates=BD$96)))</f>
        <v>0</v>
      </c>
      <c r="BE125" s="676" cm="1">
        <f t="array" ref="BE125">SUM(_xlfn._xlws.FILTER(_xlfn._xlws.FILTER(headcountData,(headcountDataDepts=$D125)*(headcountDataIDs=$E125)),(startDates&gt;=BE$95)*(endDates=BE$96)))</f>
        <v>0</v>
      </c>
      <c r="BF125" s="676" cm="1">
        <f t="array" ref="BF125">SUM(_xlfn._xlws.FILTER(_xlfn._xlws.FILTER(headcountData,(headcountDataDepts=$D125)*(headcountDataIDs=$E125)),(startDates&gt;=BF$95)*(endDates=BF$96)))</f>
        <v>0</v>
      </c>
      <c r="BG125" s="676" cm="1">
        <f t="array" ref="BG125">SUM(_xlfn._xlws.FILTER(_xlfn._xlws.FILTER(headcountData,(headcountDataDepts=$D125)*(headcountDataIDs=$E125)),(startDates&gt;=BG$95)*(endDates=BG$96)))</f>
        <v>0</v>
      </c>
      <c r="BH125" s="676" cm="1">
        <f t="array" ref="BH125">SUM(_xlfn._xlws.FILTER(_xlfn._xlws.FILTER(headcountData,(headcountDataDepts=$D125)*(headcountDataIDs=$E125)),(startDates&gt;=BH$95)*(endDates=BH$96)))</f>
        <v>0</v>
      </c>
      <c r="BI125" s="676" cm="1">
        <f t="array" ref="BI125">SUM(_xlfn._xlws.FILTER(_xlfn._xlws.FILTER(headcountData,(headcountDataDepts=$D125)*(headcountDataIDs=$E125)),(startDates&gt;=BI$95)*(endDates=BI$96)))</f>
        <v>0</v>
      </c>
      <c r="BJ125" s="676" cm="1">
        <f t="array" ref="BJ125">SUM(_xlfn._xlws.FILTER(_xlfn._xlws.FILTER(headcountData,(headcountDataDepts=$D125)*(headcountDataIDs=$E125)),(startDates&gt;=BJ$95)*(endDates=BJ$96)))</f>
        <v>0</v>
      </c>
      <c r="BK125" s="676" cm="1">
        <f t="array" ref="BK125">SUM(_xlfn._xlws.FILTER(_xlfn._xlws.FILTER(headcountData,(headcountDataDepts=$D125)*(headcountDataIDs=$E125)),(startDates&gt;=BK$95)*(endDates=BK$96)))</f>
        <v>0</v>
      </c>
      <c r="BL125" s="676" cm="1">
        <f t="array" ref="BL125">SUM(_xlfn._xlws.FILTER(_xlfn._xlws.FILTER(headcountData,(headcountDataDepts=$D125)*(headcountDataIDs=$E125)),(startDates&gt;=BL$95)*(endDates=BL$96)))</f>
        <v>0</v>
      </c>
      <c r="BM125" s="676" cm="1">
        <f t="array" ref="BM125">SUM(_xlfn._xlws.FILTER(_xlfn._xlws.FILTER(headcountData,(headcountDataDepts=$D125)*(headcountDataIDs=$E125)),(startDates&gt;=BM$95)*(endDates=BM$96)))</f>
        <v>0</v>
      </c>
      <c r="BN125" s="676" cm="1">
        <f t="array" ref="BN125">SUM(_xlfn._xlws.FILTER(_xlfn._xlws.FILTER(headcountData,(headcountDataDepts=$D125)*(headcountDataIDs=$E125)),(startDates&gt;=BN$95)*(endDates=BN$96)))</f>
        <v>0</v>
      </c>
      <c r="BO125" s="676" cm="1">
        <f t="array" ref="BO125">SUM(_xlfn._xlws.FILTER(_xlfn._xlws.FILTER(headcountData,(headcountDataDepts=$D125)*(headcountDataIDs=$E125)),(startDates&gt;=BO$95)*(endDates=BO$96)))</f>
        <v>0</v>
      </c>
      <c r="BP125" s="676" cm="1">
        <f t="array" ref="BP125">SUM(_xlfn._xlws.FILTER(_xlfn._xlws.FILTER(headcountData,(headcountDataDepts=$D125)*(headcountDataIDs=$E125)),(startDates&gt;=BP$95)*(endDates=BP$96)))</f>
        <v>0</v>
      </c>
      <c r="BQ125" s="676" cm="1">
        <f t="array" ref="BQ125">SUM(_xlfn._xlws.FILTER(_xlfn._xlws.FILTER(headcountData,(headcountDataDepts=$D125)*(headcountDataIDs=$E125)),(startDates&gt;=BQ$95)*(endDates=BQ$96)))</f>
        <v>0</v>
      </c>
      <c r="BR125" s="676" cm="1">
        <f t="array" ref="BR125">SUM(_xlfn._xlws.FILTER(_xlfn._xlws.FILTER(headcountData,(headcountDataDepts=$D125)*(headcountDataIDs=$E125)),(startDates&gt;=BR$95)*(endDates=BR$96)))</f>
        <v>0</v>
      </c>
      <c r="BS125" s="676" cm="1">
        <f t="array" ref="BS125">SUM(_xlfn._xlws.FILTER(_xlfn._xlws.FILTER(headcountData,(headcountDataDepts=$D125)*(headcountDataIDs=$E125)),(startDates&gt;=BS$95)*(endDates=BS$96)))</f>
        <v>0</v>
      </c>
      <c r="BT125" s="676" cm="1">
        <f t="array" ref="BT125">SUM(_xlfn._xlws.FILTER(_xlfn._xlws.FILTER(headcountData,(headcountDataDepts=$D125)*(headcountDataIDs=$E125)),(startDates&gt;=BT$95)*(endDates=BT$96)))</f>
        <v>0</v>
      </c>
      <c r="BU125" s="676" cm="1">
        <f t="array" ref="BU125">SUM(_xlfn._xlws.FILTER(_xlfn._xlws.FILTER(headcountData,(headcountDataDepts=$D125)*(headcountDataIDs=$E125)),(startDates&gt;=BU$95)*(endDates=BU$96)))</f>
        <v>0</v>
      </c>
      <c r="BV125" s="676" cm="1">
        <f t="array" ref="BV125">SUM(_xlfn._xlws.FILTER(_xlfn._xlws.FILTER(headcountData,(headcountDataDepts=$D125)*(headcountDataIDs=$E125)),(startDates&gt;=BV$95)*(endDates=BV$96)))</f>
        <v>0</v>
      </c>
      <c r="BW125" s="676" cm="1">
        <f t="array" ref="BW125">SUM(_xlfn._xlws.FILTER(_xlfn._xlws.FILTER(headcountData,(headcountDataDepts=$D125)*(headcountDataIDs=$E125)),(startDates&gt;=BW$95)*(endDates=BW$96)))</f>
        <v>0</v>
      </c>
      <c r="BX125" s="676" cm="1">
        <f t="array" ref="BX125">SUM(_xlfn._xlws.FILTER(_xlfn._xlws.FILTER(headcountData,(headcountDataDepts=$D125)*(headcountDataIDs=$E125)),(startDates&gt;=BX$95)*(endDates=BX$96)))</f>
        <v>0</v>
      </c>
      <c r="BY125" s="676" cm="1">
        <f t="array" ref="BY125">SUM(_xlfn._xlws.FILTER(_xlfn._xlws.FILTER(headcountData,(headcountDataDepts=$D125)*(headcountDataIDs=$E125)),(startDates&gt;=BY$95)*(endDates=BY$96)))</f>
        <v>0</v>
      </c>
      <c r="BZ125" s="676" cm="1">
        <f t="array" ref="BZ125">SUM(_xlfn._xlws.FILTER(_xlfn._xlws.FILTER(headcountData,(headcountDataDepts=$D125)*(headcountDataIDs=$E125)),(startDates&gt;=BZ$95)*(endDates=BZ$96)))</f>
        <v>0</v>
      </c>
      <c r="CA125" s="676" cm="1">
        <f t="array" ref="CA125">SUM(_xlfn._xlws.FILTER(_xlfn._xlws.FILTER(headcountData,(headcountDataDepts=$D125)*(headcountDataIDs=$E125)),(startDates&gt;=CA$95)*(endDates=CA$96)))</f>
        <v>0</v>
      </c>
      <c r="CB125" s="676" cm="1">
        <f t="array" ref="CB125">SUM(_xlfn._xlws.FILTER(_xlfn._xlws.FILTER(headcountData,(headcountDataDepts=$D125)*(headcountDataIDs=$E125)),(startDates&gt;=CB$95)*(endDates=CB$96)))</f>
        <v>0</v>
      </c>
      <c r="CC125" s="676" cm="1">
        <f t="array" ref="CC125">SUM(_xlfn._xlws.FILTER(_xlfn._xlws.FILTER(headcountData,(headcountDataDepts=$D125)*(headcountDataIDs=$E125)),(startDates&gt;=CC$95)*(endDates=CC$96)))</f>
        <v>0</v>
      </c>
      <c r="CD125" s="676" cm="1">
        <f t="array" ref="CD125">SUM(_xlfn._xlws.FILTER(_xlfn._xlws.FILTER(headcountData,(headcountDataDepts=$D125)*(headcountDataIDs=$E125)),(startDates&gt;=CD$95)*(endDates=CD$96)))</f>
        <v>0</v>
      </c>
      <c r="CE125" s="676" cm="1">
        <f t="array" ref="CE125">SUM(_xlfn._xlws.FILTER(_xlfn._xlws.FILTER(headcountData,(headcountDataDepts=$D125)*(headcountDataIDs=$E125)),(startDates&gt;=CE$95)*(endDates=CE$96)))</f>
        <v>0</v>
      </c>
      <c r="CF125" s="676" cm="1">
        <f t="array" ref="CF125">SUM(_xlfn._xlws.FILTER(_xlfn._xlws.FILTER(headcountData,(headcountDataDepts=$D125)*(headcountDataIDs=$E125)),(startDates&gt;=CF$95)*(endDates=CF$96)))</f>
        <v>0</v>
      </c>
      <c r="CG125" s="676" cm="1">
        <f t="array" ref="CG125">SUM(_xlfn._xlws.FILTER(_xlfn._xlws.FILTER(headcountData,(headcountDataDepts=$D125)*(headcountDataIDs=$E125)),(startDates&gt;=CG$95)*(endDates=CG$96)))</f>
        <v>0</v>
      </c>
    </row>
    <row r="126" spans="3:85" ht="15.75" hidden="1" customHeight="1" outlineLevel="1">
      <c r="C126" s="677" t="s">
        <v>193</v>
      </c>
      <c r="D126" s="149" t="s">
        <v>183</v>
      </c>
      <c r="E126" s="150" t="s">
        <v>194</v>
      </c>
      <c r="J126" s="676" cm="1">
        <f t="array" ref="J126">SUM(_xlfn._xlws.FILTER(_xlfn._xlws.FILTER(headcountData,(headcountDataDepts=$D126)*(headcountDataIDs=$E126)),(startDates&gt;=J$95)*(endDates=J$96)))</f>
        <v>733.33333333333326</v>
      </c>
      <c r="K126" s="676" cm="1">
        <f t="array" ref="K126">SUM(_xlfn._xlws.FILTER(_xlfn._xlws.FILTER(headcountData,(headcountDataDepts=$D126)*(headcountDataIDs=$E126)),(startDates&gt;=K$95)*(endDates=K$96)))</f>
        <v>733.33333333333326</v>
      </c>
      <c r="N126" s="676" cm="1">
        <f t="array" ref="N126">SUM(_xlfn._xlws.FILTER(_xlfn._xlws.FILTER(headcountData,(headcountDataDepts=$D126)*(headcountDataIDs=$E126)),(startDates&gt;=N$95)*(endDates=N$96)))</f>
        <v>0</v>
      </c>
      <c r="O126" s="676" cm="1">
        <f t="array" ref="O126">SUM(_xlfn._xlws.FILTER(_xlfn._xlws.FILTER(headcountData,(headcountDataDepts=$D126)*(headcountDataIDs=$E126)),(startDates&gt;=O$95)*(endDates=O$96)))</f>
        <v>0</v>
      </c>
      <c r="P126" s="676" cm="1">
        <f t="array" ref="P126">SUM(_xlfn._xlws.FILTER(_xlfn._xlws.FILTER(headcountData,(headcountDataDepts=$D126)*(headcountDataIDs=$E126)),(startDates&gt;=P$95)*(endDates=P$96)))</f>
        <v>733.33333333333326</v>
      </c>
      <c r="Q126" s="676" cm="1">
        <f t="array" ref="Q126">SUM(_xlfn._xlws.FILTER(_xlfn._xlws.FILTER(headcountData,(headcountDataDepts=$D126)*(headcountDataIDs=$E126)),(startDates&gt;=Q$95)*(endDates=Q$96)))</f>
        <v>1266.6666666666665</v>
      </c>
      <c r="T126" s="676" cm="1">
        <f t="array" ref="T126">SUM(_xlfn._xlws.FILTER(_xlfn._xlws.FILTER(headcountData,(headcountDataDepts=$D126)*(headcountDataIDs=$E126)),(startDates&gt;=T$95)*(endDates=T$96)))</f>
        <v>0</v>
      </c>
      <c r="U126" s="676" cm="1">
        <f t="array" ref="U126">SUM(_xlfn._xlws.FILTER(_xlfn._xlws.FILTER(headcountData,(headcountDataDepts=$D126)*(headcountDataIDs=$E126)),(startDates&gt;=U$95)*(endDates=U$96)))</f>
        <v>0</v>
      </c>
      <c r="V126" s="676" cm="1">
        <f t="array" ref="V126">SUM(_xlfn._xlws.FILTER(_xlfn._xlws.FILTER(headcountData,(headcountDataDepts=$D126)*(headcountDataIDs=$E126)),(startDates&gt;=V$95)*(endDates=V$96)))</f>
        <v>0</v>
      </c>
      <c r="W126" s="676" cm="1">
        <f t="array" ref="W126">SUM(_xlfn._xlws.FILTER(_xlfn._xlws.FILTER(headcountData,(headcountDataDepts=$D126)*(headcountDataIDs=$E126)),(startDates&gt;=W$95)*(endDates=W$96)))</f>
        <v>0</v>
      </c>
      <c r="X126" s="676" cm="1">
        <f t="array" ref="X126">SUM(_xlfn._xlws.FILTER(_xlfn._xlws.FILTER(headcountData,(headcountDataDepts=$D126)*(headcountDataIDs=$E126)),(startDates&gt;=X$95)*(endDates=X$96)))</f>
        <v>0</v>
      </c>
      <c r="Y126" s="676" cm="1">
        <f t="array" ref="Y126">SUM(_xlfn._xlws.FILTER(_xlfn._xlws.FILTER(headcountData,(headcountDataDepts=$D126)*(headcountDataIDs=$E126)),(startDates&gt;=Y$95)*(endDates=Y$96)))</f>
        <v>0</v>
      </c>
      <c r="Z126" s="676" cm="1">
        <f t="array" ref="Z126">SUM(_xlfn._xlws.FILTER(_xlfn._xlws.FILTER(headcountData,(headcountDataDepts=$D126)*(headcountDataIDs=$E126)),(startDates&gt;=Z$95)*(endDates=Z$96)))</f>
        <v>0</v>
      </c>
      <c r="AA126" s="676" cm="1">
        <f t="array" ref="AA126">SUM(_xlfn._xlws.FILTER(_xlfn._xlws.FILTER(headcountData,(headcountDataDepts=$D126)*(headcountDataIDs=$E126)),(startDates&gt;=AA$95)*(endDates=AA$96)))</f>
        <v>0</v>
      </c>
      <c r="AB126" s="676" cm="1">
        <f t="array" ref="AB126">SUM(_xlfn._xlws.FILTER(_xlfn._xlws.FILTER(headcountData,(headcountDataDepts=$D126)*(headcountDataIDs=$E126)),(startDates&gt;=AB$95)*(endDates=AB$96)))</f>
        <v>0</v>
      </c>
      <c r="AC126" s="676" cm="1">
        <f t="array" ref="AC126">SUM(_xlfn._xlws.FILTER(_xlfn._xlws.FILTER(headcountData,(headcountDataDepts=$D126)*(headcountDataIDs=$E126)),(startDates&gt;=AC$95)*(endDates=AC$96)))</f>
        <v>733.33333333333326</v>
      </c>
      <c r="AD126" s="676" cm="1">
        <f t="array" ref="AD126">SUM(_xlfn._xlws.FILTER(_xlfn._xlws.FILTER(headcountData,(headcountDataDepts=$D126)*(headcountDataIDs=$E126)),(startDates&gt;=AD$95)*(endDates=AD$96)))</f>
        <v>733.33333333333326</v>
      </c>
      <c r="AE126" s="676" cm="1">
        <f t="array" ref="AE126">SUM(_xlfn._xlws.FILTER(_xlfn._xlws.FILTER(headcountData,(headcountDataDepts=$D126)*(headcountDataIDs=$E126)),(startDates&gt;=AE$95)*(endDates=AE$96)))</f>
        <v>733.33333333333326</v>
      </c>
      <c r="AF126" s="676" cm="1">
        <f t="array" ref="AF126">SUM(_xlfn._xlws.FILTER(_xlfn._xlws.FILTER(headcountData,(headcountDataDepts=$D126)*(headcountDataIDs=$E126)),(startDates&gt;=AF$95)*(endDates=AF$96)))</f>
        <v>733.33333333333326</v>
      </c>
      <c r="AG126" s="676" cm="1">
        <f t="array" ref="AG126">SUM(_xlfn._xlws.FILTER(_xlfn._xlws.FILTER(headcountData,(headcountDataDepts=$D126)*(headcountDataIDs=$E126)),(startDates&gt;=AG$95)*(endDates=AG$96)))</f>
        <v>1024.2424242424242</v>
      </c>
      <c r="AH126" s="676" cm="1">
        <f t="array" ref="AH126">SUM(_xlfn._xlws.FILTER(_xlfn._xlws.FILTER(headcountData,(headcountDataDepts=$D126)*(headcountDataIDs=$E126)),(startDates&gt;=AH$95)*(endDates=AH$96)))</f>
        <v>1266.6666666666665</v>
      </c>
      <c r="AI126" s="676" cm="1">
        <f t="array" ref="AI126">SUM(_xlfn._xlws.FILTER(_xlfn._xlws.FILTER(headcountData,(headcountDataDepts=$D126)*(headcountDataIDs=$E126)),(startDates&gt;=AI$95)*(endDates=AI$96)))</f>
        <v>1266.6666666666665</v>
      </c>
      <c r="AL126" s="676" cm="1">
        <f t="array" ref="AL126">SUM(_xlfn._xlws.FILTER(_xlfn._xlws.FILTER(headcountData,(headcountDataDepts=$D126)*(headcountDataIDs=$E126)),(startDates&gt;=AL$95)*(endDates=AL$96)))</f>
        <v>0</v>
      </c>
      <c r="AM126" s="676" cm="1">
        <f t="array" ref="AM126">SUM(_xlfn._xlws.FILTER(_xlfn._xlws.FILTER(headcountData,(headcountDataDepts=$D126)*(headcountDataIDs=$E126)),(startDates&gt;=AM$95)*(endDates=AM$96)))</f>
        <v>0</v>
      </c>
      <c r="AN126" s="676" cm="1">
        <f t="array" ref="AN126">SUM(_xlfn._xlws.FILTER(_xlfn._xlws.FILTER(headcountData,(headcountDataDepts=$D126)*(headcountDataIDs=$E126)),(startDates&gt;=AN$95)*(endDates=AN$96)))</f>
        <v>0</v>
      </c>
      <c r="AO126" s="676" cm="1">
        <f t="array" ref="AO126">SUM(_xlfn._xlws.FILTER(_xlfn._xlws.FILTER(headcountData,(headcountDataDepts=$D126)*(headcountDataIDs=$E126)),(startDates&gt;=AO$95)*(endDates=AO$96)))</f>
        <v>0</v>
      </c>
      <c r="AP126" s="676" cm="1">
        <f t="array" ref="AP126">SUM(_xlfn._xlws.FILTER(_xlfn._xlws.FILTER(headcountData,(headcountDataDepts=$D126)*(headcountDataIDs=$E126)),(startDates&gt;=AP$95)*(endDates=AP$96)))</f>
        <v>0</v>
      </c>
      <c r="AQ126" s="676" cm="1">
        <f t="array" ref="AQ126">SUM(_xlfn._xlws.FILTER(_xlfn._xlws.FILTER(headcountData,(headcountDataDepts=$D126)*(headcountDataIDs=$E126)),(startDates&gt;=AQ$95)*(endDates=AQ$96)))</f>
        <v>0</v>
      </c>
      <c r="AR126" s="676" cm="1">
        <f t="array" ref="AR126">SUM(_xlfn._xlws.FILTER(_xlfn._xlws.FILTER(headcountData,(headcountDataDepts=$D126)*(headcountDataIDs=$E126)),(startDates&gt;=AR$95)*(endDates=AR$96)))</f>
        <v>0</v>
      </c>
      <c r="AS126" s="676" cm="1">
        <f t="array" ref="AS126">SUM(_xlfn._xlws.FILTER(_xlfn._xlws.FILTER(headcountData,(headcountDataDepts=$D126)*(headcountDataIDs=$E126)),(startDates&gt;=AS$95)*(endDates=AS$96)))</f>
        <v>0</v>
      </c>
      <c r="AT126" s="676" cm="1">
        <f t="array" ref="AT126">SUM(_xlfn._xlws.FILTER(_xlfn._xlws.FILTER(headcountData,(headcountDataDepts=$D126)*(headcountDataIDs=$E126)),(startDates&gt;=AT$95)*(endDates=AT$96)))</f>
        <v>0</v>
      </c>
      <c r="AU126" s="676" cm="1">
        <f t="array" ref="AU126">SUM(_xlfn._xlws.FILTER(_xlfn._xlws.FILTER(headcountData,(headcountDataDepts=$D126)*(headcountDataIDs=$E126)),(startDates&gt;=AU$95)*(endDates=AU$96)))</f>
        <v>0</v>
      </c>
      <c r="AV126" s="676" cm="1">
        <f t="array" ref="AV126">SUM(_xlfn._xlws.FILTER(_xlfn._xlws.FILTER(headcountData,(headcountDataDepts=$D126)*(headcountDataIDs=$E126)),(startDates&gt;=AV$95)*(endDates=AV$96)))</f>
        <v>0</v>
      </c>
      <c r="AW126" s="676" cm="1">
        <f t="array" ref="AW126">SUM(_xlfn._xlws.FILTER(_xlfn._xlws.FILTER(headcountData,(headcountDataDepts=$D126)*(headcountDataIDs=$E126)),(startDates&gt;=AW$95)*(endDates=AW$96)))</f>
        <v>0</v>
      </c>
      <c r="AX126" s="676" cm="1">
        <f t="array" ref="AX126">SUM(_xlfn._xlws.FILTER(_xlfn._xlws.FILTER(headcountData,(headcountDataDepts=$D126)*(headcountDataIDs=$E126)),(startDates&gt;=AX$95)*(endDates=AX$96)))</f>
        <v>0</v>
      </c>
      <c r="AY126" s="676" cm="1">
        <f t="array" ref="AY126">SUM(_xlfn._xlws.FILTER(_xlfn._xlws.FILTER(headcountData,(headcountDataDepts=$D126)*(headcountDataIDs=$E126)),(startDates&gt;=AY$95)*(endDates=AY$96)))</f>
        <v>0</v>
      </c>
      <c r="AZ126" s="676" cm="1">
        <f t="array" ref="AZ126">SUM(_xlfn._xlws.FILTER(_xlfn._xlws.FILTER(headcountData,(headcountDataDepts=$D126)*(headcountDataIDs=$E126)),(startDates&gt;=AZ$95)*(endDates=AZ$96)))</f>
        <v>0</v>
      </c>
      <c r="BA126" s="676" cm="1">
        <f t="array" ref="BA126">SUM(_xlfn._xlws.FILTER(_xlfn._xlws.FILTER(headcountData,(headcountDataDepts=$D126)*(headcountDataIDs=$E126)),(startDates&gt;=BA$95)*(endDates=BA$96)))</f>
        <v>0</v>
      </c>
      <c r="BB126" s="676" cm="1">
        <f t="array" ref="BB126">SUM(_xlfn._xlws.FILTER(_xlfn._xlws.FILTER(headcountData,(headcountDataDepts=$D126)*(headcountDataIDs=$E126)),(startDates&gt;=BB$95)*(endDates=BB$96)))</f>
        <v>0</v>
      </c>
      <c r="BC126" s="676" cm="1">
        <f t="array" ref="BC126">SUM(_xlfn._xlws.FILTER(_xlfn._xlws.FILTER(headcountData,(headcountDataDepts=$D126)*(headcountDataIDs=$E126)),(startDates&gt;=BC$95)*(endDates=BC$96)))</f>
        <v>0</v>
      </c>
      <c r="BD126" s="676" cm="1">
        <f t="array" ref="BD126">SUM(_xlfn._xlws.FILTER(_xlfn._xlws.FILTER(headcountData,(headcountDataDepts=$D126)*(headcountDataIDs=$E126)),(startDates&gt;=BD$95)*(endDates=BD$96)))</f>
        <v>0</v>
      </c>
      <c r="BE126" s="676" cm="1">
        <f t="array" ref="BE126">SUM(_xlfn._xlws.FILTER(_xlfn._xlws.FILTER(headcountData,(headcountDataDepts=$D126)*(headcountDataIDs=$E126)),(startDates&gt;=BE$95)*(endDates=BE$96)))</f>
        <v>0</v>
      </c>
      <c r="BF126" s="676" cm="1">
        <f t="array" ref="BF126">SUM(_xlfn._xlws.FILTER(_xlfn._xlws.FILTER(headcountData,(headcountDataDepts=$D126)*(headcountDataIDs=$E126)),(startDates&gt;=BF$95)*(endDates=BF$96)))</f>
        <v>0</v>
      </c>
      <c r="BG126" s="676" cm="1">
        <f t="array" ref="BG126">SUM(_xlfn._xlws.FILTER(_xlfn._xlws.FILTER(headcountData,(headcountDataDepts=$D126)*(headcountDataIDs=$E126)),(startDates&gt;=BG$95)*(endDates=BG$96)))</f>
        <v>0</v>
      </c>
      <c r="BH126" s="676" cm="1">
        <f t="array" ref="BH126">SUM(_xlfn._xlws.FILTER(_xlfn._xlws.FILTER(headcountData,(headcountDataDepts=$D126)*(headcountDataIDs=$E126)),(startDates&gt;=BH$95)*(endDates=BH$96)))</f>
        <v>0</v>
      </c>
      <c r="BI126" s="676" cm="1">
        <f t="array" ref="BI126">SUM(_xlfn._xlws.FILTER(_xlfn._xlws.FILTER(headcountData,(headcountDataDepts=$D126)*(headcountDataIDs=$E126)),(startDates&gt;=BI$95)*(endDates=BI$96)))</f>
        <v>0</v>
      </c>
      <c r="BJ126" s="676" cm="1">
        <f t="array" ref="BJ126">SUM(_xlfn._xlws.FILTER(_xlfn._xlws.FILTER(headcountData,(headcountDataDepts=$D126)*(headcountDataIDs=$E126)),(startDates&gt;=BJ$95)*(endDates=BJ$96)))</f>
        <v>0</v>
      </c>
      <c r="BK126" s="676" cm="1">
        <f t="array" ref="BK126">SUM(_xlfn._xlws.FILTER(_xlfn._xlws.FILTER(headcountData,(headcountDataDepts=$D126)*(headcountDataIDs=$E126)),(startDates&gt;=BK$95)*(endDates=BK$96)))</f>
        <v>0</v>
      </c>
      <c r="BL126" s="676" cm="1">
        <f t="array" ref="BL126">SUM(_xlfn._xlws.FILTER(_xlfn._xlws.FILTER(headcountData,(headcountDataDepts=$D126)*(headcountDataIDs=$E126)),(startDates&gt;=BL$95)*(endDates=BL$96)))</f>
        <v>0</v>
      </c>
      <c r="BM126" s="676" cm="1">
        <f t="array" ref="BM126">SUM(_xlfn._xlws.FILTER(_xlfn._xlws.FILTER(headcountData,(headcountDataDepts=$D126)*(headcountDataIDs=$E126)),(startDates&gt;=BM$95)*(endDates=BM$96)))</f>
        <v>0</v>
      </c>
      <c r="BN126" s="676" cm="1">
        <f t="array" ref="BN126">SUM(_xlfn._xlws.FILTER(_xlfn._xlws.FILTER(headcountData,(headcountDataDepts=$D126)*(headcountDataIDs=$E126)),(startDates&gt;=BN$95)*(endDates=BN$96)))</f>
        <v>166.66666666666669</v>
      </c>
      <c r="BO126" s="676" cm="1">
        <f t="array" ref="BO126">SUM(_xlfn._xlws.FILTER(_xlfn._xlws.FILTER(headcountData,(headcountDataDepts=$D126)*(headcountDataIDs=$E126)),(startDates&gt;=BO$95)*(endDates=BO$96)))</f>
        <v>733.33333333333326</v>
      </c>
      <c r="BP126" s="676" cm="1">
        <f t="array" ref="BP126">SUM(_xlfn._xlws.FILTER(_xlfn._xlws.FILTER(headcountData,(headcountDataDepts=$D126)*(headcountDataIDs=$E126)),(startDates&gt;=BP$95)*(endDates=BP$96)))</f>
        <v>733.33333333333326</v>
      </c>
      <c r="BQ126" s="676" cm="1">
        <f t="array" ref="BQ126">SUM(_xlfn._xlws.FILTER(_xlfn._xlws.FILTER(headcountData,(headcountDataDepts=$D126)*(headcountDataIDs=$E126)),(startDates&gt;=BQ$95)*(endDates=BQ$96)))</f>
        <v>733.33333333333326</v>
      </c>
      <c r="BR126" s="676" cm="1">
        <f t="array" ref="BR126">SUM(_xlfn._xlws.FILTER(_xlfn._xlws.FILTER(headcountData,(headcountDataDepts=$D126)*(headcountDataIDs=$E126)),(startDates&gt;=BR$95)*(endDates=BR$96)))</f>
        <v>733.33333333333326</v>
      </c>
      <c r="BS126" s="676" cm="1">
        <f t="array" ref="BS126">SUM(_xlfn._xlws.FILTER(_xlfn._xlws.FILTER(headcountData,(headcountDataDepts=$D126)*(headcountDataIDs=$E126)),(startDates&gt;=BS$95)*(endDates=BS$96)))</f>
        <v>733.33333333333326</v>
      </c>
      <c r="BT126" s="676" cm="1">
        <f t="array" ref="BT126">SUM(_xlfn._xlws.FILTER(_xlfn._xlws.FILTER(headcountData,(headcountDataDepts=$D126)*(headcountDataIDs=$E126)),(startDates&gt;=BT$95)*(endDates=BT$96)))</f>
        <v>733.33333333333326</v>
      </c>
      <c r="BU126" s="676" cm="1">
        <f t="array" ref="BU126">SUM(_xlfn._xlws.FILTER(_xlfn._xlws.FILTER(headcountData,(headcountDataDepts=$D126)*(headcountDataIDs=$E126)),(startDates&gt;=BU$95)*(endDates=BU$96)))</f>
        <v>733.33333333333326</v>
      </c>
      <c r="BV126" s="676" cm="1">
        <f t="array" ref="BV126">SUM(_xlfn._xlws.FILTER(_xlfn._xlws.FILTER(headcountData,(headcountDataDepts=$D126)*(headcountDataIDs=$E126)),(startDates&gt;=BV$95)*(endDates=BV$96)))</f>
        <v>733.33333333333326</v>
      </c>
      <c r="BW126" s="676" cm="1">
        <f t="array" ref="BW126">SUM(_xlfn._xlws.FILTER(_xlfn._xlws.FILTER(headcountData,(headcountDataDepts=$D126)*(headcountDataIDs=$E126)),(startDates&gt;=BW$95)*(endDates=BW$96)))</f>
        <v>733.33333333333326</v>
      </c>
      <c r="BX126" s="676" cm="1">
        <f t="array" ref="BX126">SUM(_xlfn._xlws.FILTER(_xlfn._xlws.FILTER(headcountData,(headcountDataDepts=$D126)*(headcountDataIDs=$E126)),(startDates&gt;=BX$95)*(endDates=BX$96)))</f>
        <v>733.33333333333326</v>
      </c>
      <c r="BY126" s="676" cm="1">
        <f t="array" ref="BY126">SUM(_xlfn._xlws.FILTER(_xlfn._xlws.FILTER(headcountData,(headcountDataDepts=$D126)*(headcountDataIDs=$E126)),(startDates&gt;=BY$95)*(endDates=BY$96)))</f>
        <v>733.33333333333326</v>
      </c>
      <c r="BZ126" s="676" cm="1">
        <f t="array" ref="BZ126">SUM(_xlfn._xlws.FILTER(_xlfn._xlws.FILTER(headcountData,(headcountDataDepts=$D126)*(headcountDataIDs=$E126)),(startDates&gt;=BZ$95)*(endDates=BZ$96)))</f>
        <v>733.33333333333326</v>
      </c>
      <c r="CA126" s="676" cm="1">
        <f t="array" ref="CA126">SUM(_xlfn._xlws.FILTER(_xlfn._xlws.FILTER(headcountData,(headcountDataDepts=$D126)*(headcountDataIDs=$E126)),(startDates&gt;=CA$95)*(endDates=CA$96)))</f>
        <v>1024.2424242424242</v>
      </c>
      <c r="CB126" s="676" cm="1">
        <f t="array" ref="CB126">SUM(_xlfn._xlws.FILTER(_xlfn._xlws.FILTER(headcountData,(headcountDataDepts=$D126)*(headcountDataIDs=$E126)),(startDates&gt;=CB$95)*(endDates=CB$96)))</f>
        <v>1266.6666666666665</v>
      </c>
      <c r="CC126" s="676" cm="1">
        <f t="array" ref="CC126">SUM(_xlfn._xlws.FILTER(_xlfn._xlws.FILTER(headcountData,(headcountDataDepts=$D126)*(headcountDataIDs=$E126)),(startDates&gt;=CC$95)*(endDates=CC$96)))</f>
        <v>1266.6666666666665</v>
      </c>
      <c r="CD126" s="676" cm="1">
        <f t="array" ref="CD126">SUM(_xlfn._xlws.FILTER(_xlfn._xlws.FILTER(headcountData,(headcountDataDepts=$D126)*(headcountDataIDs=$E126)),(startDates&gt;=CD$95)*(endDates=CD$96)))</f>
        <v>1266.6666666666665</v>
      </c>
      <c r="CE126" s="676" cm="1">
        <f t="array" ref="CE126">SUM(_xlfn._xlws.FILTER(_xlfn._xlws.FILTER(headcountData,(headcountDataDepts=$D126)*(headcountDataIDs=$E126)),(startDates&gt;=CE$95)*(endDates=CE$96)))</f>
        <v>1266.6666666666665</v>
      </c>
      <c r="CF126" s="676" cm="1">
        <f t="array" ref="CF126">SUM(_xlfn._xlws.FILTER(_xlfn._xlws.FILTER(headcountData,(headcountDataDepts=$D126)*(headcountDataIDs=$E126)),(startDates&gt;=CF$95)*(endDates=CF$96)))</f>
        <v>1266.6666666666665</v>
      </c>
      <c r="CG126" s="676" cm="1">
        <f t="array" ref="CG126">SUM(_xlfn._xlws.FILTER(_xlfn._xlws.FILTER(headcountData,(headcountDataDepts=$D126)*(headcountDataIDs=$E126)),(startDates&gt;=CG$95)*(endDates=CG$96)))</f>
        <v>1266.6666666666665</v>
      </c>
    </row>
    <row r="127" spans="3:85" ht="15.75" hidden="1" customHeight="1" outlineLevel="1">
      <c r="C127" s="677" t="s">
        <v>195</v>
      </c>
      <c r="D127" s="149" t="s">
        <v>183</v>
      </c>
      <c r="E127" s="150" t="s">
        <v>196</v>
      </c>
      <c r="J127" s="676" cm="1">
        <f t="array" ref="J127">SUM(_xlfn._xlws.FILTER(_xlfn._xlws.FILTER(headcountData,(headcountDataDepts=$D127)*(headcountDataIDs=$E127)),(startDates&gt;=J$95)*(endDates=J$96)))</f>
        <v>916.66666666666663</v>
      </c>
      <c r="K127" s="676" cm="1">
        <f t="array" ref="K127">SUM(_xlfn._xlws.FILTER(_xlfn._xlws.FILTER(headcountData,(headcountDataDepts=$D127)*(headcountDataIDs=$E127)),(startDates&gt;=K$95)*(endDates=K$96)))</f>
        <v>916.66666666666663</v>
      </c>
      <c r="N127" s="676" cm="1">
        <f t="array" ref="N127">SUM(_xlfn._xlws.FILTER(_xlfn._xlws.FILTER(headcountData,(headcountDataDepts=$D127)*(headcountDataIDs=$E127)),(startDates&gt;=N$95)*(endDates=N$96)))</f>
        <v>0</v>
      </c>
      <c r="O127" s="676" cm="1">
        <f t="array" ref="O127">SUM(_xlfn._xlws.FILTER(_xlfn._xlws.FILTER(headcountData,(headcountDataDepts=$D127)*(headcountDataIDs=$E127)),(startDates&gt;=O$95)*(endDates=O$96)))</f>
        <v>0</v>
      </c>
      <c r="P127" s="676" cm="1">
        <f t="array" ref="P127">SUM(_xlfn._xlws.FILTER(_xlfn._xlws.FILTER(headcountData,(headcountDataDepts=$D127)*(headcountDataIDs=$E127)),(startDates&gt;=P$95)*(endDates=P$96)))</f>
        <v>916.66666666666663</v>
      </c>
      <c r="Q127" s="676" cm="1">
        <f t="array" ref="Q127">SUM(_xlfn._xlws.FILTER(_xlfn._xlws.FILTER(headcountData,(headcountDataDepts=$D127)*(headcountDataIDs=$E127)),(startDates&gt;=Q$95)*(endDates=Q$96)))</f>
        <v>1583.3333333333333</v>
      </c>
      <c r="T127" s="676" cm="1">
        <f t="array" ref="T127">SUM(_xlfn._xlws.FILTER(_xlfn._xlws.FILTER(headcountData,(headcountDataDepts=$D127)*(headcountDataIDs=$E127)),(startDates&gt;=T$95)*(endDates=T$96)))</f>
        <v>0</v>
      </c>
      <c r="U127" s="676" cm="1">
        <f t="array" ref="U127">SUM(_xlfn._xlws.FILTER(_xlfn._xlws.FILTER(headcountData,(headcountDataDepts=$D127)*(headcountDataIDs=$E127)),(startDates&gt;=U$95)*(endDates=U$96)))</f>
        <v>0</v>
      </c>
      <c r="V127" s="676" cm="1">
        <f t="array" ref="V127">SUM(_xlfn._xlws.FILTER(_xlfn._xlws.FILTER(headcountData,(headcountDataDepts=$D127)*(headcountDataIDs=$E127)),(startDates&gt;=V$95)*(endDates=V$96)))</f>
        <v>0</v>
      </c>
      <c r="W127" s="676" cm="1">
        <f t="array" ref="W127">SUM(_xlfn._xlws.FILTER(_xlfn._xlws.FILTER(headcountData,(headcountDataDepts=$D127)*(headcountDataIDs=$E127)),(startDates&gt;=W$95)*(endDates=W$96)))</f>
        <v>0</v>
      </c>
      <c r="X127" s="676" cm="1">
        <f t="array" ref="X127">SUM(_xlfn._xlws.FILTER(_xlfn._xlws.FILTER(headcountData,(headcountDataDepts=$D127)*(headcountDataIDs=$E127)),(startDates&gt;=X$95)*(endDates=X$96)))</f>
        <v>0</v>
      </c>
      <c r="Y127" s="676" cm="1">
        <f t="array" ref="Y127">SUM(_xlfn._xlws.FILTER(_xlfn._xlws.FILTER(headcountData,(headcountDataDepts=$D127)*(headcountDataIDs=$E127)),(startDates&gt;=Y$95)*(endDates=Y$96)))</f>
        <v>0</v>
      </c>
      <c r="Z127" s="676" cm="1">
        <f t="array" ref="Z127">SUM(_xlfn._xlws.FILTER(_xlfn._xlws.FILTER(headcountData,(headcountDataDepts=$D127)*(headcountDataIDs=$E127)),(startDates&gt;=Z$95)*(endDates=Z$96)))</f>
        <v>0</v>
      </c>
      <c r="AA127" s="676" cm="1">
        <f t="array" ref="AA127">SUM(_xlfn._xlws.FILTER(_xlfn._xlws.FILTER(headcountData,(headcountDataDepts=$D127)*(headcountDataIDs=$E127)),(startDates&gt;=AA$95)*(endDates=AA$96)))</f>
        <v>0</v>
      </c>
      <c r="AB127" s="676" cm="1">
        <f t="array" ref="AB127">SUM(_xlfn._xlws.FILTER(_xlfn._xlws.FILTER(headcountData,(headcountDataDepts=$D127)*(headcountDataIDs=$E127)),(startDates&gt;=AB$95)*(endDates=AB$96)))</f>
        <v>0</v>
      </c>
      <c r="AC127" s="676" cm="1">
        <f t="array" ref="AC127">SUM(_xlfn._xlws.FILTER(_xlfn._xlws.FILTER(headcountData,(headcountDataDepts=$D127)*(headcountDataIDs=$E127)),(startDates&gt;=AC$95)*(endDates=AC$96)))</f>
        <v>916.66666666666663</v>
      </c>
      <c r="AD127" s="676" cm="1">
        <f t="array" ref="AD127">SUM(_xlfn._xlws.FILTER(_xlfn._xlws.FILTER(headcountData,(headcountDataDepts=$D127)*(headcountDataIDs=$E127)),(startDates&gt;=AD$95)*(endDates=AD$96)))</f>
        <v>916.66666666666663</v>
      </c>
      <c r="AE127" s="676" cm="1">
        <f t="array" ref="AE127">SUM(_xlfn._xlws.FILTER(_xlfn._xlws.FILTER(headcountData,(headcountDataDepts=$D127)*(headcountDataIDs=$E127)),(startDates&gt;=AE$95)*(endDates=AE$96)))</f>
        <v>916.66666666666663</v>
      </c>
      <c r="AF127" s="676" cm="1">
        <f t="array" ref="AF127">SUM(_xlfn._xlws.FILTER(_xlfn._xlws.FILTER(headcountData,(headcountDataDepts=$D127)*(headcountDataIDs=$E127)),(startDates&gt;=AF$95)*(endDates=AF$96)))</f>
        <v>916.66666666666663</v>
      </c>
      <c r="AG127" s="676" cm="1">
        <f t="array" ref="AG127">SUM(_xlfn._xlws.FILTER(_xlfn._xlws.FILTER(headcountData,(headcountDataDepts=$D127)*(headcountDataIDs=$E127)),(startDates&gt;=AG$95)*(endDates=AG$96)))</f>
        <v>1280.3030303030303</v>
      </c>
      <c r="AH127" s="676" cm="1">
        <f t="array" ref="AH127">SUM(_xlfn._xlws.FILTER(_xlfn._xlws.FILTER(headcountData,(headcountDataDepts=$D127)*(headcountDataIDs=$E127)),(startDates&gt;=AH$95)*(endDates=AH$96)))</f>
        <v>1583.3333333333333</v>
      </c>
      <c r="AI127" s="676" cm="1">
        <f t="array" ref="AI127">SUM(_xlfn._xlws.FILTER(_xlfn._xlws.FILTER(headcountData,(headcountDataDepts=$D127)*(headcountDataIDs=$E127)),(startDates&gt;=AI$95)*(endDates=AI$96)))</f>
        <v>1583.3333333333333</v>
      </c>
      <c r="AL127" s="676" cm="1">
        <f t="array" ref="AL127">SUM(_xlfn._xlws.FILTER(_xlfn._xlws.FILTER(headcountData,(headcountDataDepts=$D127)*(headcountDataIDs=$E127)),(startDates&gt;=AL$95)*(endDates=AL$96)))</f>
        <v>0</v>
      </c>
      <c r="AM127" s="676" cm="1">
        <f t="array" ref="AM127">SUM(_xlfn._xlws.FILTER(_xlfn._xlws.FILTER(headcountData,(headcountDataDepts=$D127)*(headcountDataIDs=$E127)),(startDates&gt;=AM$95)*(endDates=AM$96)))</f>
        <v>0</v>
      </c>
      <c r="AN127" s="676" cm="1">
        <f t="array" ref="AN127">SUM(_xlfn._xlws.FILTER(_xlfn._xlws.FILTER(headcountData,(headcountDataDepts=$D127)*(headcountDataIDs=$E127)),(startDates&gt;=AN$95)*(endDates=AN$96)))</f>
        <v>0</v>
      </c>
      <c r="AO127" s="676" cm="1">
        <f t="array" ref="AO127">SUM(_xlfn._xlws.FILTER(_xlfn._xlws.FILTER(headcountData,(headcountDataDepts=$D127)*(headcountDataIDs=$E127)),(startDates&gt;=AO$95)*(endDates=AO$96)))</f>
        <v>0</v>
      </c>
      <c r="AP127" s="676" cm="1">
        <f t="array" ref="AP127">SUM(_xlfn._xlws.FILTER(_xlfn._xlws.FILTER(headcountData,(headcountDataDepts=$D127)*(headcountDataIDs=$E127)),(startDates&gt;=AP$95)*(endDates=AP$96)))</f>
        <v>0</v>
      </c>
      <c r="AQ127" s="676" cm="1">
        <f t="array" ref="AQ127">SUM(_xlfn._xlws.FILTER(_xlfn._xlws.FILTER(headcountData,(headcountDataDepts=$D127)*(headcountDataIDs=$E127)),(startDates&gt;=AQ$95)*(endDates=AQ$96)))</f>
        <v>0</v>
      </c>
      <c r="AR127" s="676" cm="1">
        <f t="array" ref="AR127">SUM(_xlfn._xlws.FILTER(_xlfn._xlws.FILTER(headcountData,(headcountDataDepts=$D127)*(headcountDataIDs=$E127)),(startDates&gt;=AR$95)*(endDates=AR$96)))</f>
        <v>0</v>
      </c>
      <c r="AS127" s="676" cm="1">
        <f t="array" ref="AS127">SUM(_xlfn._xlws.FILTER(_xlfn._xlws.FILTER(headcountData,(headcountDataDepts=$D127)*(headcountDataIDs=$E127)),(startDates&gt;=AS$95)*(endDates=AS$96)))</f>
        <v>0</v>
      </c>
      <c r="AT127" s="676" cm="1">
        <f t="array" ref="AT127">SUM(_xlfn._xlws.FILTER(_xlfn._xlws.FILTER(headcountData,(headcountDataDepts=$D127)*(headcountDataIDs=$E127)),(startDates&gt;=AT$95)*(endDates=AT$96)))</f>
        <v>0</v>
      </c>
      <c r="AU127" s="676" cm="1">
        <f t="array" ref="AU127">SUM(_xlfn._xlws.FILTER(_xlfn._xlws.FILTER(headcountData,(headcountDataDepts=$D127)*(headcountDataIDs=$E127)),(startDates&gt;=AU$95)*(endDates=AU$96)))</f>
        <v>0</v>
      </c>
      <c r="AV127" s="676" cm="1">
        <f t="array" ref="AV127">SUM(_xlfn._xlws.FILTER(_xlfn._xlws.FILTER(headcountData,(headcountDataDepts=$D127)*(headcountDataIDs=$E127)),(startDates&gt;=AV$95)*(endDates=AV$96)))</f>
        <v>0</v>
      </c>
      <c r="AW127" s="676" cm="1">
        <f t="array" ref="AW127">SUM(_xlfn._xlws.FILTER(_xlfn._xlws.FILTER(headcountData,(headcountDataDepts=$D127)*(headcountDataIDs=$E127)),(startDates&gt;=AW$95)*(endDates=AW$96)))</f>
        <v>0</v>
      </c>
      <c r="AX127" s="676" cm="1">
        <f t="array" ref="AX127">SUM(_xlfn._xlws.FILTER(_xlfn._xlws.FILTER(headcountData,(headcountDataDepts=$D127)*(headcountDataIDs=$E127)),(startDates&gt;=AX$95)*(endDates=AX$96)))</f>
        <v>0</v>
      </c>
      <c r="AY127" s="676" cm="1">
        <f t="array" ref="AY127">SUM(_xlfn._xlws.FILTER(_xlfn._xlws.FILTER(headcountData,(headcountDataDepts=$D127)*(headcountDataIDs=$E127)),(startDates&gt;=AY$95)*(endDates=AY$96)))</f>
        <v>0</v>
      </c>
      <c r="AZ127" s="676" cm="1">
        <f t="array" ref="AZ127">SUM(_xlfn._xlws.FILTER(_xlfn._xlws.FILTER(headcountData,(headcountDataDepts=$D127)*(headcountDataIDs=$E127)),(startDates&gt;=AZ$95)*(endDates=AZ$96)))</f>
        <v>0</v>
      </c>
      <c r="BA127" s="676" cm="1">
        <f t="array" ref="BA127">SUM(_xlfn._xlws.FILTER(_xlfn._xlws.FILTER(headcountData,(headcountDataDepts=$D127)*(headcountDataIDs=$E127)),(startDates&gt;=BA$95)*(endDates=BA$96)))</f>
        <v>0</v>
      </c>
      <c r="BB127" s="676" cm="1">
        <f t="array" ref="BB127">SUM(_xlfn._xlws.FILTER(_xlfn._xlws.FILTER(headcountData,(headcountDataDepts=$D127)*(headcountDataIDs=$E127)),(startDates&gt;=BB$95)*(endDates=BB$96)))</f>
        <v>0</v>
      </c>
      <c r="BC127" s="676" cm="1">
        <f t="array" ref="BC127">SUM(_xlfn._xlws.FILTER(_xlfn._xlws.FILTER(headcountData,(headcountDataDepts=$D127)*(headcountDataIDs=$E127)),(startDates&gt;=BC$95)*(endDates=BC$96)))</f>
        <v>0</v>
      </c>
      <c r="BD127" s="676" cm="1">
        <f t="array" ref="BD127">SUM(_xlfn._xlws.FILTER(_xlfn._xlws.FILTER(headcountData,(headcountDataDepts=$D127)*(headcountDataIDs=$E127)),(startDates&gt;=BD$95)*(endDates=BD$96)))</f>
        <v>0</v>
      </c>
      <c r="BE127" s="676" cm="1">
        <f t="array" ref="BE127">SUM(_xlfn._xlws.FILTER(_xlfn._xlws.FILTER(headcountData,(headcountDataDepts=$D127)*(headcountDataIDs=$E127)),(startDates&gt;=BE$95)*(endDates=BE$96)))</f>
        <v>0</v>
      </c>
      <c r="BF127" s="676" cm="1">
        <f t="array" ref="BF127">SUM(_xlfn._xlws.FILTER(_xlfn._xlws.FILTER(headcountData,(headcountDataDepts=$D127)*(headcountDataIDs=$E127)),(startDates&gt;=BF$95)*(endDates=BF$96)))</f>
        <v>0</v>
      </c>
      <c r="BG127" s="676" cm="1">
        <f t="array" ref="BG127">SUM(_xlfn._xlws.FILTER(_xlfn._xlws.FILTER(headcountData,(headcountDataDepts=$D127)*(headcountDataIDs=$E127)),(startDates&gt;=BG$95)*(endDates=BG$96)))</f>
        <v>0</v>
      </c>
      <c r="BH127" s="676" cm="1">
        <f t="array" ref="BH127">SUM(_xlfn._xlws.FILTER(_xlfn._xlws.FILTER(headcountData,(headcountDataDepts=$D127)*(headcountDataIDs=$E127)),(startDates&gt;=BH$95)*(endDates=BH$96)))</f>
        <v>0</v>
      </c>
      <c r="BI127" s="676" cm="1">
        <f t="array" ref="BI127">SUM(_xlfn._xlws.FILTER(_xlfn._xlws.FILTER(headcountData,(headcountDataDepts=$D127)*(headcountDataIDs=$E127)),(startDates&gt;=BI$95)*(endDates=BI$96)))</f>
        <v>0</v>
      </c>
      <c r="BJ127" s="676" cm="1">
        <f t="array" ref="BJ127">SUM(_xlfn._xlws.FILTER(_xlfn._xlws.FILTER(headcountData,(headcountDataDepts=$D127)*(headcountDataIDs=$E127)),(startDates&gt;=BJ$95)*(endDates=BJ$96)))</f>
        <v>0</v>
      </c>
      <c r="BK127" s="676" cm="1">
        <f t="array" ref="BK127">SUM(_xlfn._xlws.FILTER(_xlfn._xlws.FILTER(headcountData,(headcountDataDepts=$D127)*(headcountDataIDs=$E127)),(startDates&gt;=BK$95)*(endDates=BK$96)))</f>
        <v>0</v>
      </c>
      <c r="BL127" s="676" cm="1">
        <f t="array" ref="BL127">SUM(_xlfn._xlws.FILTER(_xlfn._xlws.FILTER(headcountData,(headcountDataDepts=$D127)*(headcountDataIDs=$E127)),(startDates&gt;=BL$95)*(endDates=BL$96)))</f>
        <v>0</v>
      </c>
      <c r="BM127" s="676" cm="1">
        <f t="array" ref="BM127">SUM(_xlfn._xlws.FILTER(_xlfn._xlws.FILTER(headcountData,(headcountDataDepts=$D127)*(headcountDataIDs=$E127)),(startDates&gt;=BM$95)*(endDates=BM$96)))</f>
        <v>0</v>
      </c>
      <c r="BN127" s="676" cm="1">
        <f t="array" ref="BN127">SUM(_xlfn._xlws.FILTER(_xlfn._xlws.FILTER(headcountData,(headcountDataDepts=$D127)*(headcountDataIDs=$E127)),(startDates&gt;=BN$95)*(endDates=BN$96)))</f>
        <v>208.33333333333337</v>
      </c>
      <c r="BO127" s="676" cm="1">
        <f t="array" ref="BO127">SUM(_xlfn._xlws.FILTER(_xlfn._xlws.FILTER(headcountData,(headcountDataDepts=$D127)*(headcountDataIDs=$E127)),(startDates&gt;=BO$95)*(endDates=BO$96)))</f>
        <v>916.66666666666663</v>
      </c>
      <c r="BP127" s="676" cm="1">
        <f t="array" ref="BP127">SUM(_xlfn._xlws.FILTER(_xlfn._xlws.FILTER(headcountData,(headcountDataDepts=$D127)*(headcountDataIDs=$E127)),(startDates&gt;=BP$95)*(endDates=BP$96)))</f>
        <v>916.66666666666663</v>
      </c>
      <c r="BQ127" s="676" cm="1">
        <f t="array" ref="BQ127">SUM(_xlfn._xlws.FILTER(_xlfn._xlws.FILTER(headcountData,(headcountDataDepts=$D127)*(headcountDataIDs=$E127)),(startDates&gt;=BQ$95)*(endDates=BQ$96)))</f>
        <v>916.66666666666663</v>
      </c>
      <c r="BR127" s="676" cm="1">
        <f t="array" ref="BR127">SUM(_xlfn._xlws.FILTER(_xlfn._xlws.FILTER(headcountData,(headcountDataDepts=$D127)*(headcountDataIDs=$E127)),(startDates&gt;=BR$95)*(endDates=BR$96)))</f>
        <v>916.66666666666663</v>
      </c>
      <c r="BS127" s="676" cm="1">
        <f t="array" ref="BS127">SUM(_xlfn._xlws.FILTER(_xlfn._xlws.FILTER(headcountData,(headcountDataDepts=$D127)*(headcountDataIDs=$E127)),(startDates&gt;=BS$95)*(endDates=BS$96)))</f>
        <v>916.66666666666663</v>
      </c>
      <c r="BT127" s="676" cm="1">
        <f t="array" ref="BT127">SUM(_xlfn._xlws.FILTER(_xlfn._xlws.FILTER(headcountData,(headcountDataDepts=$D127)*(headcountDataIDs=$E127)),(startDates&gt;=BT$95)*(endDates=BT$96)))</f>
        <v>916.66666666666663</v>
      </c>
      <c r="BU127" s="676" cm="1">
        <f t="array" ref="BU127">SUM(_xlfn._xlws.FILTER(_xlfn._xlws.FILTER(headcountData,(headcountDataDepts=$D127)*(headcountDataIDs=$E127)),(startDates&gt;=BU$95)*(endDates=BU$96)))</f>
        <v>916.66666666666663</v>
      </c>
      <c r="BV127" s="676" cm="1">
        <f t="array" ref="BV127">SUM(_xlfn._xlws.FILTER(_xlfn._xlws.FILTER(headcountData,(headcountDataDepts=$D127)*(headcountDataIDs=$E127)),(startDates&gt;=BV$95)*(endDates=BV$96)))</f>
        <v>916.66666666666663</v>
      </c>
      <c r="BW127" s="676" cm="1">
        <f t="array" ref="BW127">SUM(_xlfn._xlws.FILTER(_xlfn._xlws.FILTER(headcountData,(headcountDataDepts=$D127)*(headcountDataIDs=$E127)),(startDates&gt;=BW$95)*(endDates=BW$96)))</f>
        <v>916.66666666666663</v>
      </c>
      <c r="BX127" s="676" cm="1">
        <f t="array" ref="BX127">SUM(_xlfn._xlws.FILTER(_xlfn._xlws.FILTER(headcountData,(headcountDataDepts=$D127)*(headcountDataIDs=$E127)),(startDates&gt;=BX$95)*(endDates=BX$96)))</f>
        <v>916.66666666666663</v>
      </c>
      <c r="BY127" s="676" cm="1">
        <f t="array" ref="BY127">SUM(_xlfn._xlws.FILTER(_xlfn._xlws.FILTER(headcountData,(headcountDataDepts=$D127)*(headcountDataIDs=$E127)),(startDates&gt;=BY$95)*(endDates=BY$96)))</f>
        <v>916.66666666666663</v>
      </c>
      <c r="BZ127" s="676" cm="1">
        <f t="array" ref="BZ127">SUM(_xlfn._xlws.FILTER(_xlfn._xlws.FILTER(headcountData,(headcountDataDepts=$D127)*(headcountDataIDs=$E127)),(startDates&gt;=BZ$95)*(endDates=BZ$96)))</f>
        <v>916.66666666666663</v>
      </c>
      <c r="CA127" s="676" cm="1">
        <f t="array" ref="CA127">SUM(_xlfn._xlws.FILTER(_xlfn._xlws.FILTER(headcountData,(headcountDataDepts=$D127)*(headcountDataIDs=$E127)),(startDates&gt;=CA$95)*(endDates=CA$96)))</f>
        <v>1280.3030303030303</v>
      </c>
      <c r="CB127" s="676" cm="1">
        <f t="array" ref="CB127">SUM(_xlfn._xlws.FILTER(_xlfn._xlws.FILTER(headcountData,(headcountDataDepts=$D127)*(headcountDataIDs=$E127)),(startDates&gt;=CB$95)*(endDates=CB$96)))</f>
        <v>1583.3333333333333</v>
      </c>
      <c r="CC127" s="676" cm="1">
        <f t="array" ref="CC127">SUM(_xlfn._xlws.FILTER(_xlfn._xlws.FILTER(headcountData,(headcountDataDepts=$D127)*(headcountDataIDs=$E127)),(startDates&gt;=CC$95)*(endDates=CC$96)))</f>
        <v>1583.3333333333333</v>
      </c>
      <c r="CD127" s="676" cm="1">
        <f t="array" ref="CD127">SUM(_xlfn._xlws.FILTER(_xlfn._xlws.FILTER(headcountData,(headcountDataDepts=$D127)*(headcountDataIDs=$E127)),(startDates&gt;=CD$95)*(endDates=CD$96)))</f>
        <v>1583.3333333333333</v>
      </c>
      <c r="CE127" s="676" cm="1">
        <f t="array" ref="CE127">SUM(_xlfn._xlws.FILTER(_xlfn._xlws.FILTER(headcountData,(headcountDataDepts=$D127)*(headcountDataIDs=$E127)),(startDates&gt;=CE$95)*(endDates=CE$96)))</f>
        <v>1583.3333333333333</v>
      </c>
      <c r="CF127" s="676" cm="1">
        <f t="array" ref="CF127">SUM(_xlfn._xlws.FILTER(_xlfn._xlws.FILTER(headcountData,(headcountDataDepts=$D127)*(headcountDataIDs=$E127)),(startDates&gt;=CF$95)*(endDates=CF$96)))</f>
        <v>1583.3333333333333</v>
      </c>
      <c r="CG127" s="676" cm="1">
        <f t="array" ref="CG127">SUM(_xlfn._xlws.FILTER(_xlfn._xlws.FILTER(headcountData,(headcountDataDepts=$D127)*(headcountDataIDs=$E127)),(startDates&gt;=CG$95)*(endDates=CG$96)))</f>
        <v>1583.3333333333333</v>
      </c>
    </row>
    <row r="128" spans="3:85" ht="15.75" hidden="1" customHeight="1" outlineLevel="1">
      <c r="C128" s="677" t="s">
        <v>197</v>
      </c>
      <c r="D128" s="149" t="s">
        <v>183</v>
      </c>
      <c r="E128" s="150" t="s">
        <v>198</v>
      </c>
      <c r="J128" s="676" cm="1">
        <f t="array" ref="J128">SUM(_xlfn._xlws.FILTER(_xlfn._xlws.FILTER(headcountData,(headcountDataDepts=$D128)*(headcountDataIDs=$E128)),(startDates&gt;=J$95)*(endDates=J$96)))</f>
        <v>22.916666666666664</v>
      </c>
      <c r="K128" s="676" cm="1">
        <f t="array" ref="K128">SUM(_xlfn._xlws.FILTER(_xlfn._xlws.FILTER(headcountData,(headcountDataDepts=$D128)*(headcountDataIDs=$E128)),(startDates&gt;=K$95)*(endDates=K$96)))</f>
        <v>22.916666666666664</v>
      </c>
      <c r="N128" s="676" cm="1">
        <f t="array" ref="N128">SUM(_xlfn._xlws.FILTER(_xlfn._xlws.FILTER(headcountData,(headcountDataDepts=$D128)*(headcountDataIDs=$E128)),(startDates&gt;=N$95)*(endDates=N$96)))</f>
        <v>0</v>
      </c>
      <c r="O128" s="676" cm="1">
        <f t="array" ref="O128">SUM(_xlfn._xlws.FILTER(_xlfn._xlws.FILTER(headcountData,(headcountDataDepts=$D128)*(headcountDataIDs=$E128)),(startDates&gt;=O$95)*(endDates=O$96)))</f>
        <v>0</v>
      </c>
      <c r="P128" s="676" cm="1">
        <f t="array" ref="P128">SUM(_xlfn._xlws.FILTER(_xlfn._xlws.FILTER(headcountData,(headcountDataDepts=$D128)*(headcountDataIDs=$E128)),(startDates&gt;=P$95)*(endDates=P$96)))</f>
        <v>22.916666666666664</v>
      </c>
      <c r="Q128" s="676" cm="1">
        <f t="array" ref="Q128">SUM(_xlfn._xlws.FILTER(_xlfn._xlws.FILTER(headcountData,(headcountDataDepts=$D128)*(headcountDataIDs=$E128)),(startDates&gt;=Q$95)*(endDates=Q$96)))</f>
        <v>39.583333333333329</v>
      </c>
      <c r="T128" s="676" cm="1">
        <f t="array" ref="T128">SUM(_xlfn._xlws.FILTER(_xlfn._xlws.FILTER(headcountData,(headcountDataDepts=$D128)*(headcountDataIDs=$E128)),(startDates&gt;=T$95)*(endDates=T$96)))</f>
        <v>0</v>
      </c>
      <c r="U128" s="676" cm="1">
        <f t="array" ref="U128">SUM(_xlfn._xlws.FILTER(_xlfn._xlws.FILTER(headcountData,(headcountDataDepts=$D128)*(headcountDataIDs=$E128)),(startDates&gt;=U$95)*(endDates=U$96)))</f>
        <v>0</v>
      </c>
      <c r="V128" s="676" cm="1">
        <f t="array" ref="V128">SUM(_xlfn._xlws.FILTER(_xlfn._xlws.FILTER(headcountData,(headcountDataDepts=$D128)*(headcountDataIDs=$E128)),(startDates&gt;=V$95)*(endDates=V$96)))</f>
        <v>0</v>
      </c>
      <c r="W128" s="676" cm="1">
        <f t="array" ref="W128">SUM(_xlfn._xlws.FILTER(_xlfn._xlws.FILTER(headcountData,(headcountDataDepts=$D128)*(headcountDataIDs=$E128)),(startDates&gt;=W$95)*(endDates=W$96)))</f>
        <v>0</v>
      </c>
      <c r="X128" s="676" cm="1">
        <f t="array" ref="X128">SUM(_xlfn._xlws.FILTER(_xlfn._xlws.FILTER(headcountData,(headcountDataDepts=$D128)*(headcountDataIDs=$E128)),(startDates&gt;=X$95)*(endDates=X$96)))</f>
        <v>0</v>
      </c>
      <c r="Y128" s="676" cm="1">
        <f t="array" ref="Y128">SUM(_xlfn._xlws.FILTER(_xlfn._xlws.FILTER(headcountData,(headcountDataDepts=$D128)*(headcountDataIDs=$E128)),(startDates&gt;=Y$95)*(endDates=Y$96)))</f>
        <v>0</v>
      </c>
      <c r="Z128" s="676" cm="1">
        <f t="array" ref="Z128">SUM(_xlfn._xlws.FILTER(_xlfn._xlws.FILTER(headcountData,(headcountDataDepts=$D128)*(headcountDataIDs=$E128)),(startDates&gt;=Z$95)*(endDates=Z$96)))</f>
        <v>0</v>
      </c>
      <c r="AA128" s="676" cm="1">
        <f t="array" ref="AA128">SUM(_xlfn._xlws.FILTER(_xlfn._xlws.FILTER(headcountData,(headcountDataDepts=$D128)*(headcountDataIDs=$E128)),(startDates&gt;=AA$95)*(endDates=AA$96)))</f>
        <v>0</v>
      </c>
      <c r="AB128" s="676" cm="1">
        <f t="array" ref="AB128">SUM(_xlfn._xlws.FILTER(_xlfn._xlws.FILTER(headcountData,(headcountDataDepts=$D128)*(headcountDataIDs=$E128)),(startDates&gt;=AB$95)*(endDates=AB$96)))</f>
        <v>0</v>
      </c>
      <c r="AC128" s="676" cm="1">
        <f t="array" ref="AC128">SUM(_xlfn._xlws.FILTER(_xlfn._xlws.FILTER(headcountData,(headcountDataDepts=$D128)*(headcountDataIDs=$E128)),(startDates&gt;=AC$95)*(endDates=AC$96)))</f>
        <v>22.916666666666664</v>
      </c>
      <c r="AD128" s="676" cm="1">
        <f t="array" ref="AD128">SUM(_xlfn._xlws.FILTER(_xlfn._xlws.FILTER(headcountData,(headcountDataDepts=$D128)*(headcountDataIDs=$E128)),(startDates&gt;=AD$95)*(endDates=AD$96)))</f>
        <v>22.916666666666664</v>
      </c>
      <c r="AE128" s="676" cm="1">
        <f t="array" ref="AE128">SUM(_xlfn._xlws.FILTER(_xlfn._xlws.FILTER(headcountData,(headcountDataDepts=$D128)*(headcountDataIDs=$E128)),(startDates&gt;=AE$95)*(endDates=AE$96)))</f>
        <v>22.916666666666664</v>
      </c>
      <c r="AF128" s="676" cm="1">
        <f t="array" ref="AF128">SUM(_xlfn._xlws.FILTER(_xlfn._xlws.FILTER(headcountData,(headcountDataDepts=$D128)*(headcountDataIDs=$E128)),(startDates&gt;=AF$95)*(endDates=AF$96)))</f>
        <v>22.916666666666664</v>
      </c>
      <c r="AG128" s="676" cm="1">
        <f t="array" ref="AG128">SUM(_xlfn._xlws.FILTER(_xlfn._xlws.FILTER(headcountData,(headcountDataDepts=$D128)*(headcountDataIDs=$E128)),(startDates&gt;=AG$95)*(endDates=AG$96)))</f>
        <v>32.007575757575758</v>
      </c>
      <c r="AH128" s="676" cm="1">
        <f t="array" ref="AH128">SUM(_xlfn._xlws.FILTER(_xlfn._xlws.FILTER(headcountData,(headcountDataDepts=$D128)*(headcountDataIDs=$E128)),(startDates&gt;=AH$95)*(endDates=AH$96)))</f>
        <v>39.583333333333329</v>
      </c>
      <c r="AI128" s="676" cm="1">
        <f t="array" ref="AI128">SUM(_xlfn._xlws.FILTER(_xlfn._xlws.FILTER(headcountData,(headcountDataDepts=$D128)*(headcountDataIDs=$E128)),(startDates&gt;=AI$95)*(endDates=AI$96)))</f>
        <v>39.583333333333329</v>
      </c>
      <c r="AL128" s="676" cm="1">
        <f t="array" ref="AL128">SUM(_xlfn._xlws.FILTER(_xlfn._xlws.FILTER(headcountData,(headcountDataDepts=$D128)*(headcountDataIDs=$E128)),(startDates&gt;=AL$95)*(endDates=AL$96)))</f>
        <v>0</v>
      </c>
      <c r="AM128" s="676" cm="1">
        <f t="array" ref="AM128">SUM(_xlfn._xlws.FILTER(_xlfn._xlws.FILTER(headcountData,(headcountDataDepts=$D128)*(headcountDataIDs=$E128)),(startDates&gt;=AM$95)*(endDates=AM$96)))</f>
        <v>0</v>
      </c>
      <c r="AN128" s="676" cm="1">
        <f t="array" ref="AN128">SUM(_xlfn._xlws.FILTER(_xlfn._xlws.FILTER(headcountData,(headcountDataDepts=$D128)*(headcountDataIDs=$E128)),(startDates&gt;=AN$95)*(endDates=AN$96)))</f>
        <v>0</v>
      </c>
      <c r="AO128" s="676" cm="1">
        <f t="array" ref="AO128">SUM(_xlfn._xlws.FILTER(_xlfn._xlws.FILTER(headcountData,(headcountDataDepts=$D128)*(headcountDataIDs=$E128)),(startDates&gt;=AO$95)*(endDates=AO$96)))</f>
        <v>0</v>
      </c>
      <c r="AP128" s="676" cm="1">
        <f t="array" ref="AP128">SUM(_xlfn._xlws.FILTER(_xlfn._xlws.FILTER(headcountData,(headcountDataDepts=$D128)*(headcountDataIDs=$E128)),(startDates&gt;=AP$95)*(endDates=AP$96)))</f>
        <v>0</v>
      </c>
      <c r="AQ128" s="676" cm="1">
        <f t="array" ref="AQ128">SUM(_xlfn._xlws.FILTER(_xlfn._xlws.FILTER(headcountData,(headcountDataDepts=$D128)*(headcountDataIDs=$E128)),(startDates&gt;=AQ$95)*(endDates=AQ$96)))</f>
        <v>0</v>
      </c>
      <c r="AR128" s="676" cm="1">
        <f t="array" ref="AR128">SUM(_xlfn._xlws.FILTER(_xlfn._xlws.FILTER(headcountData,(headcountDataDepts=$D128)*(headcountDataIDs=$E128)),(startDates&gt;=AR$95)*(endDates=AR$96)))</f>
        <v>0</v>
      </c>
      <c r="AS128" s="676" cm="1">
        <f t="array" ref="AS128">SUM(_xlfn._xlws.FILTER(_xlfn._xlws.FILTER(headcountData,(headcountDataDepts=$D128)*(headcountDataIDs=$E128)),(startDates&gt;=AS$95)*(endDates=AS$96)))</f>
        <v>0</v>
      </c>
      <c r="AT128" s="676" cm="1">
        <f t="array" ref="AT128">SUM(_xlfn._xlws.FILTER(_xlfn._xlws.FILTER(headcountData,(headcountDataDepts=$D128)*(headcountDataIDs=$E128)),(startDates&gt;=AT$95)*(endDates=AT$96)))</f>
        <v>0</v>
      </c>
      <c r="AU128" s="676" cm="1">
        <f t="array" ref="AU128">SUM(_xlfn._xlws.FILTER(_xlfn._xlws.FILTER(headcountData,(headcountDataDepts=$D128)*(headcountDataIDs=$E128)),(startDates&gt;=AU$95)*(endDates=AU$96)))</f>
        <v>0</v>
      </c>
      <c r="AV128" s="676" cm="1">
        <f t="array" ref="AV128">SUM(_xlfn._xlws.FILTER(_xlfn._xlws.FILTER(headcountData,(headcountDataDepts=$D128)*(headcountDataIDs=$E128)),(startDates&gt;=AV$95)*(endDates=AV$96)))</f>
        <v>0</v>
      </c>
      <c r="AW128" s="676" cm="1">
        <f t="array" ref="AW128">SUM(_xlfn._xlws.FILTER(_xlfn._xlws.FILTER(headcountData,(headcountDataDepts=$D128)*(headcountDataIDs=$E128)),(startDates&gt;=AW$95)*(endDates=AW$96)))</f>
        <v>0</v>
      </c>
      <c r="AX128" s="676" cm="1">
        <f t="array" ref="AX128">SUM(_xlfn._xlws.FILTER(_xlfn._xlws.FILTER(headcountData,(headcountDataDepts=$D128)*(headcountDataIDs=$E128)),(startDates&gt;=AX$95)*(endDates=AX$96)))</f>
        <v>0</v>
      </c>
      <c r="AY128" s="676" cm="1">
        <f t="array" ref="AY128">SUM(_xlfn._xlws.FILTER(_xlfn._xlws.FILTER(headcountData,(headcountDataDepts=$D128)*(headcountDataIDs=$E128)),(startDates&gt;=AY$95)*(endDates=AY$96)))</f>
        <v>0</v>
      </c>
      <c r="AZ128" s="676" cm="1">
        <f t="array" ref="AZ128">SUM(_xlfn._xlws.FILTER(_xlfn._xlws.FILTER(headcountData,(headcountDataDepts=$D128)*(headcountDataIDs=$E128)),(startDates&gt;=AZ$95)*(endDates=AZ$96)))</f>
        <v>0</v>
      </c>
      <c r="BA128" s="676" cm="1">
        <f t="array" ref="BA128">SUM(_xlfn._xlws.FILTER(_xlfn._xlws.FILTER(headcountData,(headcountDataDepts=$D128)*(headcountDataIDs=$E128)),(startDates&gt;=BA$95)*(endDates=BA$96)))</f>
        <v>0</v>
      </c>
      <c r="BB128" s="676" cm="1">
        <f t="array" ref="BB128">SUM(_xlfn._xlws.FILTER(_xlfn._xlws.FILTER(headcountData,(headcountDataDepts=$D128)*(headcountDataIDs=$E128)),(startDates&gt;=BB$95)*(endDates=BB$96)))</f>
        <v>0</v>
      </c>
      <c r="BC128" s="676" cm="1">
        <f t="array" ref="BC128">SUM(_xlfn._xlws.FILTER(_xlfn._xlws.FILTER(headcountData,(headcountDataDepts=$D128)*(headcountDataIDs=$E128)),(startDates&gt;=BC$95)*(endDates=BC$96)))</f>
        <v>0</v>
      </c>
      <c r="BD128" s="676" cm="1">
        <f t="array" ref="BD128">SUM(_xlfn._xlws.FILTER(_xlfn._xlws.FILTER(headcountData,(headcountDataDepts=$D128)*(headcountDataIDs=$E128)),(startDates&gt;=BD$95)*(endDates=BD$96)))</f>
        <v>0</v>
      </c>
      <c r="BE128" s="676" cm="1">
        <f t="array" ref="BE128">SUM(_xlfn._xlws.FILTER(_xlfn._xlws.FILTER(headcountData,(headcountDataDepts=$D128)*(headcountDataIDs=$E128)),(startDates&gt;=BE$95)*(endDates=BE$96)))</f>
        <v>0</v>
      </c>
      <c r="BF128" s="676" cm="1">
        <f t="array" ref="BF128">SUM(_xlfn._xlws.FILTER(_xlfn._xlws.FILTER(headcountData,(headcountDataDepts=$D128)*(headcountDataIDs=$E128)),(startDates&gt;=BF$95)*(endDates=BF$96)))</f>
        <v>0</v>
      </c>
      <c r="BG128" s="676" cm="1">
        <f t="array" ref="BG128">SUM(_xlfn._xlws.FILTER(_xlfn._xlws.FILTER(headcountData,(headcountDataDepts=$D128)*(headcountDataIDs=$E128)),(startDates&gt;=BG$95)*(endDates=BG$96)))</f>
        <v>0</v>
      </c>
      <c r="BH128" s="676" cm="1">
        <f t="array" ref="BH128">SUM(_xlfn._xlws.FILTER(_xlfn._xlws.FILTER(headcountData,(headcountDataDepts=$D128)*(headcountDataIDs=$E128)),(startDates&gt;=BH$95)*(endDates=BH$96)))</f>
        <v>0</v>
      </c>
      <c r="BI128" s="676" cm="1">
        <f t="array" ref="BI128">SUM(_xlfn._xlws.FILTER(_xlfn._xlws.FILTER(headcountData,(headcountDataDepts=$D128)*(headcountDataIDs=$E128)),(startDates&gt;=BI$95)*(endDates=BI$96)))</f>
        <v>0</v>
      </c>
      <c r="BJ128" s="676" cm="1">
        <f t="array" ref="BJ128">SUM(_xlfn._xlws.FILTER(_xlfn._xlws.FILTER(headcountData,(headcountDataDepts=$D128)*(headcountDataIDs=$E128)),(startDates&gt;=BJ$95)*(endDates=BJ$96)))</f>
        <v>0</v>
      </c>
      <c r="BK128" s="676" cm="1">
        <f t="array" ref="BK128">SUM(_xlfn._xlws.FILTER(_xlfn._xlws.FILTER(headcountData,(headcountDataDepts=$D128)*(headcountDataIDs=$E128)),(startDates&gt;=BK$95)*(endDates=BK$96)))</f>
        <v>0</v>
      </c>
      <c r="BL128" s="676" cm="1">
        <f t="array" ref="BL128">SUM(_xlfn._xlws.FILTER(_xlfn._xlws.FILTER(headcountData,(headcountDataDepts=$D128)*(headcountDataIDs=$E128)),(startDates&gt;=BL$95)*(endDates=BL$96)))</f>
        <v>0</v>
      </c>
      <c r="BM128" s="676" cm="1">
        <f t="array" ref="BM128">SUM(_xlfn._xlws.FILTER(_xlfn._xlws.FILTER(headcountData,(headcountDataDepts=$D128)*(headcountDataIDs=$E128)),(startDates&gt;=BM$95)*(endDates=BM$96)))</f>
        <v>0</v>
      </c>
      <c r="BN128" s="676" cm="1">
        <f t="array" ref="BN128">SUM(_xlfn._xlws.FILTER(_xlfn._xlws.FILTER(headcountData,(headcountDataDepts=$D128)*(headcountDataIDs=$E128)),(startDates&gt;=BN$95)*(endDates=BN$96)))</f>
        <v>5.2083333333333339</v>
      </c>
      <c r="BO128" s="676" cm="1">
        <f t="array" ref="BO128">SUM(_xlfn._xlws.FILTER(_xlfn._xlws.FILTER(headcountData,(headcountDataDepts=$D128)*(headcountDataIDs=$E128)),(startDates&gt;=BO$95)*(endDates=BO$96)))</f>
        <v>22.916666666666664</v>
      </c>
      <c r="BP128" s="676" cm="1">
        <f t="array" ref="BP128">SUM(_xlfn._xlws.FILTER(_xlfn._xlws.FILTER(headcountData,(headcountDataDepts=$D128)*(headcountDataIDs=$E128)),(startDates&gt;=BP$95)*(endDates=BP$96)))</f>
        <v>22.916666666666664</v>
      </c>
      <c r="BQ128" s="676" cm="1">
        <f t="array" ref="BQ128">SUM(_xlfn._xlws.FILTER(_xlfn._xlws.FILTER(headcountData,(headcountDataDepts=$D128)*(headcountDataIDs=$E128)),(startDates&gt;=BQ$95)*(endDates=BQ$96)))</f>
        <v>22.916666666666664</v>
      </c>
      <c r="BR128" s="676" cm="1">
        <f t="array" ref="BR128">SUM(_xlfn._xlws.FILTER(_xlfn._xlws.FILTER(headcountData,(headcountDataDepts=$D128)*(headcountDataIDs=$E128)),(startDates&gt;=BR$95)*(endDates=BR$96)))</f>
        <v>22.916666666666664</v>
      </c>
      <c r="BS128" s="676" cm="1">
        <f t="array" ref="BS128">SUM(_xlfn._xlws.FILTER(_xlfn._xlws.FILTER(headcountData,(headcountDataDepts=$D128)*(headcountDataIDs=$E128)),(startDates&gt;=BS$95)*(endDates=BS$96)))</f>
        <v>22.916666666666664</v>
      </c>
      <c r="BT128" s="676" cm="1">
        <f t="array" ref="BT128">SUM(_xlfn._xlws.FILTER(_xlfn._xlws.FILTER(headcountData,(headcountDataDepts=$D128)*(headcountDataIDs=$E128)),(startDates&gt;=BT$95)*(endDates=BT$96)))</f>
        <v>22.916666666666664</v>
      </c>
      <c r="BU128" s="676" cm="1">
        <f t="array" ref="BU128">SUM(_xlfn._xlws.FILTER(_xlfn._xlws.FILTER(headcountData,(headcountDataDepts=$D128)*(headcountDataIDs=$E128)),(startDates&gt;=BU$95)*(endDates=BU$96)))</f>
        <v>22.916666666666664</v>
      </c>
      <c r="BV128" s="676" cm="1">
        <f t="array" ref="BV128">SUM(_xlfn._xlws.FILTER(_xlfn._xlws.FILTER(headcountData,(headcountDataDepts=$D128)*(headcountDataIDs=$E128)),(startDates&gt;=BV$95)*(endDates=BV$96)))</f>
        <v>22.916666666666664</v>
      </c>
      <c r="BW128" s="676" cm="1">
        <f t="array" ref="BW128">SUM(_xlfn._xlws.FILTER(_xlfn._xlws.FILTER(headcountData,(headcountDataDepts=$D128)*(headcountDataIDs=$E128)),(startDates&gt;=BW$95)*(endDates=BW$96)))</f>
        <v>22.916666666666664</v>
      </c>
      <c r="BX128" s="676" cm="1">
        <f t="array" ref="BX128">SUM(_xlfn._xlws.FILTER(_xlfn._xlws.FILTER(headcountData,(headcountDataDepts=$D128)*(headcountDataIDs=$E128)),(startDates&gt;=BX$95)*(endDates=BX$96)))</f>
        <v>22.916666666666664</v>
      </c>
      <c r="BY128" s="676" cm="1">
        <f t="array" ref="BY128">SUM(_xlfn._xlws.FILTER(_xlfn._xlws.FILTER(headcountData,(headcountDataDepts=$D128)*(headcountDataIDs=$E128)),(startDates&gt;=BY$95)*(endDates=BY$96)))</f>
        <v>22.916666666666664</v>
      </c>
      <c r="BZ128" s="676" cm="1">
        <f t="array" ref="BZ128">SUM(_xlfn._xlws.FILTER(_xlfn._xlws.FILTER(headcountData,(headcountDataDepts=$D128)*(headcountDataIDs=$E128)),(startDates&gt;=BZ$95)*(endDates=BZ$96)))</f>
        <v>22.916666666666664</v>
      </c>
      <c r="CA128" s="676" cm="1">
        <f t="array" ref="CA128">SUM(_xlfn._xlws.FILTER(_xlfn._xlws.FILTER(headcountData,(headcountDataDepts=$D128)*(headcountDataIDs=$E128)),(startDates&gt;=CA$95)*(endDates=CA$96)))</f>
        <v>32.007575757575758</v>
      </c>
      <c r="CB128" s="676" cm="1">
        <f t="array" ref="CB128">SUM(_xlfn._xlws.FILTER(_xlfn._xlws.FILTER(headcountData,(headcountDataDepts=$D128)*(headcountDataIDs=$E128)),(startDates&gt;=CB$95)*(endDates=CB$96)))</f>
        <v>39.583333333333329</v>
      </c>
      <c r="CC128" s="676" cm="1">
        <f t="array" ref="CC128">SUM(_xlfn._xlws.FILTER(_xlfn._xlws.FILTER(headcountData,(headcountDataDepts=$D128)*(headcountDataIDs=$E128)),(startDates&gt;=CC$95)*(endDates=CC$96)))</f>
        <v>39.583333333333329</v>
      </c>
      <c r="CD128" s="676" cm="1">
        <f t="array" ref="CD128">SUM(_xlfn._xlws.FILTER(_xlfn._xlws.FILTER(headcountData,(headcountDataDepts=$D128)*(headcountDataIDs=$E128)),(startDates&gt;=CD$95)*(endDates=CD$96)))</f>
        <v>39.583333333333329</v>
      </c>
      <c r="CE128" s="676" cm="1">
        <f t="array" ref="CE128">SUM(_xlfn._xlws.FILTER(_xlfn._xlws.FILTER(headcountData,(headcountDataDepts=$D128)*(headcountDataIDs=$E128)),(startDates&gt;=CE$95)*(endDates=CE$96)))</f>
        <v>39.583333333333329</v>
      </c>
      <c r="CF128" s="676" cm="1">
        <f t="array" ref="CF128">SUM(_xlfn._xlws.FILTER(_xlfn._xlws.FILTER(headcountData,(headcountDataDepts=$D128)*(headcountDataIDs=$E128)),(startDates&gt;=CF$95)*(endDates=CF$96)))</f>
        <v>39.583333333333329</v>
      </c>
      <c r="CG128" s="676" cm="1">
        <f t="array" ref="CG128">SUM(_xlfn._xlws.FILTER(_xlfn._xlws.FILTER(headcountData,(headcountDataDepts=$D128)*(headcountDataIDs=$E128)),(startDates&gt;=CG$95)*(endDates=CG$96)))</f>
        <v>39.583333333333329</v>
      </c>
    </row>
    <row r="129" spans="3:85" ht="15.75" hidden="1" customHeight="1" outlineLevel="1">
      <c r="C129" s="677" t="s">
        <v>199</v>
      </c>
      <c r="D129" s="149" t="s">
        <v>179</v>
      </c>
      <c r="E129" s="150" t="s">
        <v>200</v>
      </c>
      <c r="J129" s="676" cm="1">
        <f t="array" ref="J129">SUM(_xlfn._xlws.FILTER(_xlfn._xlws.FILTER(headcountData,(headcountDataDepts=$D129)*(headcountDataIDs=$E129)),(startDates&gt;=J$95)*(endDates=J$96)))</f>
        <v>0</v>
      </c>
      <c r="K129" s="676" cm="1">
        <f t="array" ref="K129">SUM(_xlfn._xlws.FILTER(_xlfn._xlws.FILTER(headcountData,(headcountDataDepts=$D129)*(headcountDataIDs=$E129)),(startDates&gt;=K$95)*(endDates=K$96)))</f>
        <v>0</v>
      </c>
      <c r="N129" s="676" cm="1">
        <f t="array" ref="N129">SUM(_xlfn._xlws.FILTER(_xlfn._xlws.FILTER(headcountData,(headcountDataDepts=$D129)*(headcountDataIDs=$E129)),(startDates&gt;=N$95)*(endDates=N$96)))</f>
        <v>5000</v>
      </c>
      <c r="O129" s="676" cm="1">
        <f t="array" ref="O129">SUM(_xlfn._xlws.FILTER(_xlfn._xlws.FILTER(headcountData,(headcountDataDepts=$D129)*(headcountDataIDs=$E129)),(startDates&gt;=O$95)*(endDates=O$96)))</f>
        <v>5000</v>
      </c>
      <c r="P129" s="676" cm="1">
        <f t="array" ref="P129">SUM(_xlfn._xlws.FILTER(_xlfn._xlws.FILTER(headcountData,(headcountDataDepts=$D129)*(headcountDataIDs=$E129)),(startDates&gt;=P$95)*(endDates=P$96)))</f>
        <v>5000</v>
      </c>
      <c r="Q129" s="676" cm="1">
        <f t="array" ref="Q129">SUM(_xlfn._xlws.FILTER(_xlfn._xlws.FILTER(headcountData,(headcountDataDepts=$D129)*(headcountDataIDs=$E129)),(startDates&gt;=Q$95)*(endDates=Q$96)))</f>
        <v>5000</v>
      </c>
      <c r="T129" s="676" cm="1">
        <f t="array" ref="T129">SUM(_xlfn._xlws.FILTER(_xlfn._xlws.FILTER(headcountData,(headcountDataDepts=$D129)*(headcountDataIDs=$E129)),(startDates&gt;=T$95)*(endDates=T$96)))</f>
        <v>0</v>
      </c>
      <c r="U129" s="676" cm="1">
        <f t="array" ref="U129">SUM(_xlfn._xlws.FILTER(_xlfn._xlws.FILTER(headcountData,(headcountDataDepts=$D129)*(headcountDataIDs=$E129)),(startDates&gt;=U$95)*(endDates=U$96)))</f>
        <v>0</v>
      </c>
      <c r="V129" s="676" cm="1">
        <f t="array" ref="V129">SUM(_xlfn._xlws.FILTER(_xlfn._xlws.FILTER(headcountData,(headcountDataDepts=$D129)*(headcountDataIDs=$E129)),(startDates&gt;=V$95)*(endDates=V$96)))</f>
        <v>0</v>
      </c>
      <c r="W129" s="676" cm="1">
        <f t="array" ref="W129">SUM(_xlfn._xlws.FILTER(_xlfn._xlws.FILTER(headcountData,(headcountDataDepts=$D129)*(headcountDataIDs=$E129)),(startDates&gt;=W$95)*(endDates=W$96)))</f>
        <v>5000</v>
      </c>
      <c r="X129" s="676" cm="1">
        <f t="array" ref="X129">SUM(_xlfn._xlws.FILTER(_xlfn._xlws.FILTER(headcountData,(headcountDataDepts=$D129)*(headcountDataIDs=$E129)),(startDates&gt;=X$95)*(endDates=X$96)))</f>
        <v>0</v>
      </c>
      <c r="Y129" s="676" cm="1">
        <f t="array" ref="Y129">SUM(_xlfn._xlws.FILTER(_xlfn._xlws.FILTER(headcountData,(headcountDataDepts=$D129)*(headcountDataIDs=$E129)),(startDates&gt;=Y$95)*(endDates=Y$96)))</f>
        <v>0</v>
      </c>
      <c r="Z129" s="676" cm="1">
        <f t="array" ref="Z129">SUM(_xlfn._xlws.FILTER(_xlfn._xlws.FILTER(headcountData,(headcountDataDepts=$D129)*(headcountDataIDs=$E129)),(startDates&gt;=Z$95)*(endDates=Z$96)))</f>
        <v>0</v>
      </c>
      <c r="AA129" s="676" cm="1">
        <f t="array" ref="AA129">SUM(_xlfn._xlws.FILTER(_xlfn._xlws.FILTER(headcountData,(headcountDataDepts=$D129)*(headcountDataIDs=$E129)),(startDates&gt;=AA$95)*(endDates=AA$96)))</f>
        <v>5000</v>
      </c>
      <c r="AB129" s="676" cm="1">
        <f t="array" ref="AB129">SUM(_xlfn._xlws.FILTER(_xlfn._xlws.FILTER(headcountData,(headcountDataDepts=$D129)*(headcountDataIDs=$E129)),(startDates&gt;=AB$95)*(endDates=AB$96)))</f>
        <v>0</v>
      </c>
      <c r="AC129" s="676" cm="1">
        <f t="array" ref="AC129">SUM(_xlfn._xlws.FILTER(_xlfn._xlws.FILTER(headcountData,(headcountDataDepts=$D129)*(headcountDataIDs=$E129)),(startDates&gt;=AC$95)*(endDates=AC$96)))</f>
        <v>0</v>
      </c>
      <c r="AD129" s="676" cm="1">
        <f t="array" ref="AD129">SUM(_xlfn._xlws.FILTER(_xlfn._xlws.FILTER(headcountData,(headcountDataDepts=$D129)*(headcountDataIDs=$E129)),(startDates&gt;=AD$95)*(endDates=AD$96)))</f>
        <v>0</v>
      </c>
      <c r="AE129" s="676" cm="1">
        <f t="array" ref="AE129">SUM(_xlfn._xlws.FILTER(_xlfn._xlws.FILTER(headcountData,(headcountDataDepts=$D129)*(headcountDataIDs=$E129)),(startDates&gt;=AE$95)*(endDates=AE$96)))</f>
        <v>5000</v>
      </c>
      <c r="AF129" s="676" cm="1">
        <f t="array" ref="AF129">SUM(_xlfn._xlws.FILTER(_xlfn._xlws.FILTER(headcountData,(headcountDataDepts=$D129)*(headcountDataIDs=$E129)),(startDates&gt;=AF$95)*(endDates=AF$96)))</f>
        <v>0</v>
      </c>
      <c r="AG129" s="676" cm="1">
        <f t="array" ref="AG129">SUM(_xlfn._xlws.FILTER(_xlfn._xlws.FILTER(headcountData,(headcountDataDepts=$D129)*(headcountDataIDs=$E129)),(startDates&gt;=AG$95)*(endDates=AG$96)))</f>
        <v>0</v>
      </c>
      <c r="AH129" s="676" cm="1">
        <f t="array" ref="AH129">SUM(_xlfn._xlws.FILTER(_xlfn._xlws.FILTER(headcountData,(headcountDataDepts=$D129)*(headcountDataIDs=$E129)),(startDates&gt;=AH$95)*(endDates=AH$96)))</f>
        <v>0</v>
      </c>
      <c r="AI129" s="676" cm="1">
        <f t="array" ref="AI129">SUM(_xlfn._xlws.FILTER(_xlfn._xlws.FILTER(headcountData,(headcountDataDepts=$D129)*(headcountDataIDs=$E129)),(startDates&gt;=AI$95)*(endDates=AI$96)))</f>
        <v>5000</v>
      </c>
      <c r="AL129" s="676" cm="1">
        <f t="array" ref="AL129">SUM(_xlfn._xlws.FILTER(_xlfn._xlws.FILTER(headcountData,(headcountDataDepts=$D129)*(headcountDataIDs=$E129)),(startDates&gt;=AL$95)*(endDates=AL$96)))</f>
        <v>0</v>
      </c>
      <c r="AM129" s="676" cm="1">
        <f t="array" ref="AM129">SUM(_xlfn._xlws.FILTER(_xlfn._xlws.FILTER(headcountData,(headcountDataDepts=$D129)*(headcountDataIDs=$E129)),(startDates&gt;=AM$95)*(endDates=AM$96)))</f>
        <v>0</v>
      </c>
      <c r="AN129" s="676" cm="1">
        <f t="array" ref="AN129">SUM(_xlfn._xlws.FILTER(_xlfn._xlws.FILTER(headcountData,(headcountDataDepts=$D129)*(headcountDataIDs=$E129)),(startDates&gt;=AN$95)*(endDates=AN$96)))</f>
        <v>0</v>
      </c>
      <c r="AO129" s="676" cm="1">
        <f t="array" ref="AO129">SUM(_xlfn._xlws.FILTER(_xlfn._xlws.FILTER(headcountData,(headcountDataDepts=$D129)*(headcountDataIDs=$E129)),(startDates&gt;=AO$95)*(endDates=AO$96)))</f>
        <v>0</v>
      </c>
      <c r="AP129" s="676" cm="1">
        <f t="array" ref="AP129">SUM(_xlfn._xlws.FILTER(_xlfn._xlws.FILTER(headcountData,(headcountDataDepts=$D129)*(headcountDataIDs=$E129)),(startDates&gt;=AP$95)*(endDates=AP$96)))</f>
        <v>0</v>
      </c>
      <c r="AQ129" s="676" cm="1">
        <f t="array" ref="AQ129">SUM(_xlfn._xlws.FILTER(_xlfn._xlws.FILTER(headcountData,(headcountDataDepts=$D129)*(headcountDataIDs=$E129)),(startDates&gt;=AQ$95)*(endDates=AQ$96)))</f>
        <v>0</v>
      </c>
      <c r="AR129" s="676" cm="1">
        <f t="array" ref="AR129">SUM(_xlfn._xlws.FILTER(_xlfn._xlws.FILTER(headcountData,(headcountDataDepts=$D129)*(headcountDataIDs=$E129)),(startDates&gt;=AR$95)*(endDates=AR$96)))</f>
        <v>0</v>
      </c>
      <c r="AS129" s="676" cm="1">
        <f t="array" ref="AS129">SUM(_xlfn._xlws.FILTER(_xlfn._xlws.FILTER(headcountData,(headcountDataDepts=$D129)*(headcountDataIDs=$E129)),(startDates&gt;=AS$95)*(endDates=AS$96)))</f>
        <v>0</v>
      </c>
      <c r="AT129" s="676" cm="1">
        <f t="array" ref="AT129">SUM(_xlfn._xlws.FILTER(_xlfn._xlws.FILTER(headcountData,(headcountDataDepts=$D129)*(headcountDataIDs=$E129)),(startDates&gt;=AT$95)*(endDates=AT$96)))</f>
        <v>0</v>
      </c>
      <c r="AU129" s="676" cm="1">
        <f t="array" ref="AU129">SUM(_xlfn._xlws.FILTER(_xlfn._xlws.FILTER(headcountData,(headcountDataDepts=$D129)*(headcountDataIDs=$E129)),(startDates&gt;=AU$95)*(endDates=AU$96)))</f>
        <v>0</v>
      </c>
      <c r="AV129" s="676" cm="1">
        <f t="array" ref="AV129">SUM(_xlfn._xlws.FILTER(_xlfn._xlws.FILTER(headcountData,(headcountDataDepts=$D129)*(headcountDataIDs=$E129)),(startDates&gt;=AV$95)*(endDates=AV$96)))</f>
        <v>0</v>
      </c>
      <c r="AW129" s="676" cm="1">
        <f t="array" ref="AW129">SUM(_xlfn._xlws.FILTER(_xlfn._xlws.FILTER(headcountData,(headcountDataDepts=$D129)*(headcountDataIDs=$E129)),(startDates&gt;=AW$95)*(endDates=AW$96)))</f>
        <v>5000</v>
      </c>
      <c r="AX129" s="676" cm="1">
        <f t="array" ref="AX129">SUM(_xlfn._xlws.FILTER(_xlfn._xlws.FILTER(headcountData,(headcountDataDepts=$D129)*(headcountDataIDs=$E129)),(startDates&gt;=AX$95)*(endDates=AX$96)))</f>
        <v>0</v>
      </c>
      <c r="AY129" s="676" cm="1">
        <f t="array" ref="AY129">SUM(_xlfn._xlws.FILTER(_xlfn._xlws.FILTER(headcountData,(headcountDataDepts=$D129)*(headcountDataIDs=$E129)),(startDates&gt;=AY$95)*(endDates=AY$96)))</f>
        <v>0</v>
      </c>
      <c r="AZ129" s="676" cm="1">
        <f t="array" ref="AZ129">SUM(_xlfn._xlws.FILTER(_xlfn._xlws.FILTER(headcountData,(headcountDataDepts=$D129)*(headcountDataIDs=$E129)),(startDates&gt;=AZ$95)*(endDates=AZ$96)))</f>
        <v>0</v>
      </c>
      <c r="BA129" s="676" cm="1">
        <f t="array" ref="BA129">SUM(_xlfn._xlws.FILTER(_xlfn._xlws.FILTER(headcountData,(headcountDataDepts=$D129)*(headcountDataIDs=$E129)),(startDates&gt;=BA$95)*(endDates=BA$96)))</f>
        <v>0</v>
      </c>
      <c r="BB129" s="676" cm="1">
        <f t="array" ref="BB129">SUM(_xlfn._xlws.FILTER(_xlfn._xlws.FILTER(headcountData,(headcountDataDepts=$D129)*(headcountDataIDs=$E129)),(startDates&gt;=BB$95)*(endDates=BB$96)))</f>
        <v>0</v>
      </c>
      <c r="BC129" s="676" cm="1">
        <f t="array" ref="BC129">SUM(_xlfn._xlws.FILTER(_xlfn._xlws.FILTER(headcountData,(headcountDataDepts=$D129)*(headcountDataIDs=$E129)),(startDates&gt;=BC$95)*(endDates=BC$96)))</f>
        <v>0</v>
      </c>
      <c r="BD129" s="676" cm="1">
        <f t="array" ref="BD129">SUM(_xlfn._xlws.FILTER(_xlfn._xlws.FILTER(headcountData,(headcountDataDepts=$D129)*(headcountDataIDs=$E129)),(startDates&gt;=BD$95)*(endDates=BD$96)))</f>
        <v>0</v>
      </c>
      <c r="BE129" s="676" cm="1">
        <f t="array" ref="BE129">SUM(_xlfn._xlws.FILTER(_xlfn._xlws.FILTER(headcountData,(headcountDataDepts=$D129)*(headcountDataIDs=$E129)),(startDates&gt;=BE$95)*(endDates=BE$96)))</f>
        <v>0</v>
      </c>
      <c r="BF129" s="676" cm="1">
        <f t="array" ref="BF129">SUM(_xlfn._xlws.FILTER(_xlfn._xlws.FILTER(headcountData,(headcountDataDepts=$D129)*(headcountDataIDs=$E129)),(startDates&gt;=BF$95)*(endDates=BF$96)))</f>
        <v>0</v>
      </c>
      <c r="BG129" s="676" cm="1">
        <f t="array" ref="BG129">SUM(_xlfn._xlws.FILTER(_xlfn._xlws.FILTER(headcountData,(headcountDataDepts=$D129)*(headcountDataIDs=$E129)),(startDates&gt;=BG$95)*(endDates=BG$96)))</f>
        <v>0</v>
      </c>
      <c r="BH129" s="676" cm="1">
        <f t="array" ref="BH129">SUM(_xlfn._xlws.FILTER(_xlfn._xlws.FILTER(headcountData,(headcountDataDepts=$D129)*(headcountDataIDs=$E129)),(startDates&gt;=BH$95)*(endDates=BH$96)))</f>
        <v>0</v>
      </c>
      <c r="BI129" s="676" cm="1">
        <f t="array" ref="BI129">SUM(_xlfn._xlws.FILTER(_xlfn._xlws.FILTER(headcountData,(headcountDataDepts=$D129)*(headcountDataIDs=$E129)),(startDates&gt;=BI$95)*(endDates=BI$96)))</f>
        <v>5000</v>
      </c>
      <c r="BJ129" s="676" cm="1">
        <f t="array" ref="BJ129">SUM(_xlfn._xlws.FILTER(_xlfn._xlws.FILTER(headcountData,(headcountDataDepts=$D129)*(headcountDataIDs=$E129)),(startDates&gt;=BJ$95)*(endDates=BJ$96)))</f>
        <v>0</v>
      </c>
      <c r="BK129" s="676" cm="1">
        <f t="array" ref="BK129">SUM(_xlfn._xlws.FILTER(_xlfn._xlws.FILTER(headcountData,(headcountDataDepts=$D129)*(headcountDataIDs=$E129)),(startDates&gt;=BK$95)*(endDates=BK$96)))</f>
        <v>0</v>
      </c>
      <c r="BL129" s="676" cm="1">
        <f t="array" ref="BL129">SUM(_xlfn._xlws.FILTER(_xlfn._xlws.FILTER(headcountData,(headcountDataDepts=$D129)*(headcountDataIDs=$E129)),(startDates&gt;=BL$95)*(endDates=BL$96)))</f>
        <v>0</v>
      </c>
      <c r="BM129" s="676" cm="1">
        <f t="array" ref="BM129">SUM(_xlfn._xlws.FILTER(_xlfn._xlws.FILTER(headcountData,(headcountDataDepts=$D129)*(headcountDataIDs=$E129)),(startDates&gt;=BM$95)*(endDates=BM$96)))</f>
        <v>0</v>
      </c>
      <c r="BN129" s="676" cm="1">
        <f t="array" ref="BN129">SUM(_xlfn._xlws.FILTER(_xlfn._xlws.FILTER(headcountData,(headcountDataDepts=$D129)*(headcountDataIDs=$E129)),(startDates&gt;=BN$95)*(endDates=BN$96)))</f>
        <v>0</v>
      </c>
      <c r="BO129" s="676" cm="1">
        <f t="array" ref="BO129">SUM(_xlfn._xlws.FILTER(_xlfn._xlws.FILTER(headcountData,(headcountDataDepts=$D129)*(headcountDataIDs=$E129)),(startDates&gt;=BO$95)*(endDates=BO$96)))</f>
        <v>0</v>
      </c>
      <c r="BP129" s="676" cm="1">
        <f t="array" ref="BP129">SUM(_xlfn._xlws.FILTER(_xlfn._xlws.FILTER(headcountData,(headcountDataDepts=$D129)*(headcountDataIDs=$E129)),(startDates&gt;=BP$95)*(endDates=BP$96)))</f>
        <v>0</v>
      </c>
      <c r="BQ129" s="676" cm="1">
        <f t="array" ref="BQ129">SUM(_xlfn._xlws.FILTER(_xlfn._xlws.FILTER(headcountData,(headcountDataDepts=$D129)*(headcountDataIDs=$E129)),(startDates&gt;=BQ$95)*(endDates=BQ$96)))</f>
        <v>0</v>
      </c>
      <c r="BR129" s="676" cm="1">
        <f t="array" ref="BR129">SUM(_xlfn._xlws.FILTER(_xlfn._xlws.FILTER(headcountData,(headcountDataDepts=$D129)*(headcountDataIDs=$E129)),(startDates&gt;=BR$95)*(endDates=BR$96)))</f>
        <v>0</v>
      </c>
      <c r="BS129" s="676" cm="1">
        <f t="array" ref="BS129">SUM(_xlfn._xlws.FILTER(_xlfn._xlws.FILTER(headcountData,(headcountDataDepts=$D129)*(headcountDataIDs=$E129)),(startDates&gt;=BS$95)*(endDates=BS$96)))</f>
        <v>0</v>
      </c>
      <c r="BT129" s="676" cm="1">
        <f t="array" ref="BT129">SUM(_xlfn._xlws.FILTER(_xlfn._xlws.FILTER(headcountData,(headcountDataDepts=$D129)*(headcountDataIDs=$E129)),(startDates&gt;=BT$95)*(endDates=BT$96)))</f>
        <v>0</v>
      </c>
      <c r="BU129" s="676" cm="1">
        <f t="array" ref="BU129">SUM(_xlfn._xlws.FILTER(_xlfn._xlws.FILTER(headcountData,(headcountDataDepts=$D129)*(headcountDataIDs=$E129)),(startDates&gt;=BU$95)*(endDates=BU$96)))</f>
        <v>5000</v>
      </c>
      <c r="BV129" s="676" cm="1">
        <f t="array" ref="BV129">SUM(_xlfn._xlws.FILTER(_xlfn._xlws.FILTER(headcountData,(headcountDataDepts=$D129)*(headcountDataIDs=$E129)),(startDates&gt;=BV$95)*(endDates=BV$96)))</f>
        <v>0</v>
      </c>
      <c r="BW129" s="676" cm="1">
        <f t="array" ref="BW129">SUM(_xlfn._xlws.FILTER(_xlfn._xlws.FILTER(headcountData,(headcountDataDepts=$D129)*(headcountDataIDs=$E129)),(startDates&gt;=BW$95)*(endDates=BW$96)))</f>
        <v>0</v>
      </c>
      <c r="BX129" s="676" cm="1">
        <f t="array" ref="BX129">SUM(_xlfn._xlws.FILTER(_xlfn._xlws.FILTER(headcountData,(headcountDataDepts=$D129)*(headcountDataIDs=$E129)),(startDates&gt;=BX$95)*(endDates=BX$96)))</f>
        <v>0</v>
      </c>
      <c r="BY129" s="676" cm="1">
        <f t="array" ref="BY129">SUM(_xlfn._xlws.FILTER(_xlfn._xlws.FILTER(headcountData,(headcountDataDepts=$D129)*(headcountDataIDs=$E129)),(startDates&gt;=BY$95)*(endDates=BY$96)))</f>
        <v>0</v>
      </c>
      <c r="BZ129" s="676" cm="1">
        <f t="array" ref="BZ129">SUM(_xlfn._xlws.FILTER(_xlfn._xlws.FILTER(headcountData,(headcountDataDepts=$D129)*(headcountDataIDs=$E129)),(startDates&gt;=BZ$95)*(endDates=BZ$96)))</f>
        <v>0</v>
      </c>
      <c r="CA129" s="676" cm="1">
        <f t="array" ref="CA129">SUM(_xlfn._xlws.FILTER(_xlfn._xlws.FILTER(headcountData,(headcountDataDepts=$D129)*(headcountDataIDs=$E129)),(startDates&gt;=CA$95)*(endDates=CA$96)))</f>
        <v>0</v>
      </c>
      <c r="CB129" s="676" cm="1">
        <f t="array" ref="CB129">SUM(_xlfn._xlws.FILTER(_xlfn._xlws.FILTER(headcountData,(headcountDataDepts=$D129)*(headcountDataIDs=$E129)),(startDates&gt;=CB$95)*(endDates=CB$96)))</f>
        <v>0</v>
      </c>
      <c r="CC129" s="676" cm="1">
        <f t="array" ref="CC129">SUM(_xlfn._xlws.FILTER(_xlfn._xlws.FILTER(headcountData,(headcountDataDepts=$D129)*(headcountDataIDs=$E129)),(startDates&gt;=CC$95)*(endDates=CC$96)))</f>
        <v>0</v>
      </c>
      <c r="CD129" s="676" cm="1">
        <f t="array" ref="CD129">SUM(_xlfn._xlws.FILTER(_xlfn._xlws.FILTER(headcountData,(headcountDataDepts=$D129)*(headcountDataIDs=$E129)),(startDates&gt;=CD$95)*(endDates=CD$96)))</f>
        <v>0</v>
      </c>
      <c r="CE129" s="676" cm="1">
        <f t="array" ref="CE129">SUM(_xlfn._xlws.FILTER(_xlfn._xlws.FILTER(headcountData,(headcountDataDepts=$D129)*(headcountDataIDs=$E129)),(startDates&gt;=CE$95)*(endDates=CE$96)))</f>
        <v>0</v>
      </c>
      <c r="CF129" s="676" cm="1">
        <f t="array" ref="CF129">SUM(_xlfn._xlws.FILTER(_xlfn._xlws.FILTER(headcountData,(headcountDataDepts=$D129)*(headcountDataIDs=$E129)),(startDates&gt;=CF$95)*(endDates=CF$96)))</f>
        <v>0</v>
      </c>
      <c r="CG129" s="676" cm="1">
        <f t="array" ref="CG129">SUM(_xlfn._xlws.FILTER(_xlfn._xlws.FILTER(headcountData,(headcountDataDepts=$D129)*(headcountDataIDs=$E129)),(startDates&gt;=CG$95)*(endDates=CG$96)))</f>
        <v>5000</v>
      </c>
    </row>
    <row r="130" spans="3:85" s="157" customFormat="1" ht="15.75" customHeight="1" collapsed="1">
      <c r="C130" s="383" t="s">
        <v>184</v>
      </c>
      <c r="D130" s="160"/>
      <c r="E130" s="161"/>
      <c r="F130" s="160"/>
      <c r="G130" s="160"/>
      <c r="J130" s="676">
        <f>_xlfn.AGGREGATE(9,0,J131:J136)</f>
        <v>0</v>
      </c>
      <c r="K130" s="676">
        <f t="shared" ref="K130" si="166">_xlfn.AGGREGATE(9,0,K131:K136)</f>
        <v>0</v>
      </c>
      <c r="L130" s="148"/>
      <c r="M130" s="148"/>
      <c r="N130" s="676">
        <f t="shared" ref="N130:Q130" si="167">_xlfn.AGGREGATE(9,0,N131:N136)</f>
        <v>5000</v>
      </c>
      <c r="O130" s="676">
        <f t="shared" si="167"/>
        <v>5000</v>
      </c>
      <c r="P130" s="676">
        <f t="shared" si="167"/>
        <v>5000</v>
      </c>
      <c r="Q130" s="676">
        <f t="shared" si="167"/>
        <v>15000</v>
      </c>
      <c r="R130" s="148"/>
      <c r="S130" s="148"/>
      <c r="T130" s="676">
        <f t="shared" ref="T130:AI130" si="168">_xlfn.AGGREGATE(9,0,T131:T136)</f>
        <v>16666.666666666668</v>
      </c>
      <c r="U130" s="676">
        <f t="shared" si="168"/>
        <v>0</v>
      </c>
      <c r="V130" s="676">
        <f t="shared" si="168"/>
        <v>0</v>
      </c>
      <c r="W130" s="676">
        <f t="shared" si="168"/>
        <v>5000</v>
      </c>
      <c r="X130" s="676">
        <f t="shared" si="168"/>
        <v>0</v>
      </c>
      <c r="Y130" s="676">
        <f t="shared" si="168"/>
        <v>0</v>
      </c>
      <c r="Z130" s="676">
        <f t="shared" si="168"/>
        <v>0</v>
      </c>
      <c r="AA130" s="676">
        <f t="shared" si="168"/>
        <v>5000</v>
      </c>
      <c r="AB130" s="676">
        <f t="shared" si="168"/>
        <v>0</v>
      </c>
      <c r="AC130" s="676">
        <f t="shared" si="168"/>
        <v>0</v>
      </c>
      <c r="AD130" s="676">
        <f t="shared" si="168"/>
        <v>0</v>
      </c>
      <c r="AE130" s="676">
        <f t="shared" si="168"/>
        <v>5000</v>
      </c>
      <c r="AF130" s="676">
        <f t="shared" si="168"/>
        <v>0</v>
      </c>
      <c r="AG130" s="676">
        <f t="shared" si="168"/>
        <v>0</v>
      </c>
      <c r="AH130" s="676">
        <f t="shared" si="168"/>
        <v>10000</v>
      </c>
      <c r="AI130" s="676">
        <f t="shared" si="168"/>
        <v>15000</v>
      </c>
      <c r="AJ130" s="148"/>
      <c r="AK130" s="148"/>
      <c r="AL130" s="676">
        <f t="shared" ref="AL130:CG130" si="169">_xlfn.AGGREGATE(9,0,AL131:AL136)</f>
        <v>16666.666666666668</v>
      </c>
      <c r="AM130" s="676">
        <f t="shared" si="169"/>
        <v>16666.666666666668</v>
      </c>
      <c r="AN130" s="676">
        <f t="shared" si="169"/>
        <v>16666.666666666668</v>
      </c>
      <c r="AO130" s="676">
        <f t="shared" si="169"/>
        <v>1666.6666666666667</v>
      </c>
      <c r="AP130" s="676">
        <f t="shared" si="169"/>
        <v>0</v>
      </c>
      <c r="AQ130" s="676">
        <f t="shared" si="169"/>
        <v>0</v>
      </c>
      <c r="AR130" s="676">
        <f t="shared" si="169"/>
        <v>0</v>
      </c>
      <c r="AS130" s="676">
        <f t="shared" si="169"/>
        <v>0</v>
      </c>
      <c r="AT130" s="676">
        <f t="shared" si="169"/>
        <v>0</v>
      </c>
      <c r="AU130" s="676">
        <f t="shared" si="169"/>
        <v>0</v>
      </c>
      <c r="AV130" s="676">
        <f t="shared" si="169"/>
        <v>0</v>
      </c>
      <c r="AW130" s="676">
        <f t="shared" si="169"/>
        <v>5000</v>
      </c>
      <c r="AX130" s="676">
        <f t="shared" si="169"/>
        <v>0</v>
      </c>
      <c r="AY130" s="676">
        <f t="shared" si="169"/>
        <v>0</v>
      </c>
      <c r="AZ130" s="676">
        <f t="shared" si="169"/>
        <v>0</v>
      </c>
      <c r="BA130" s="676">
        <f t="shared" si="169"/>
        <v>0</v>
      </c>
      <c r="BB130" s="676">
        <f t="shared" si="169"/>
        <v>0</v>
      </c>
      <c r="BC130" s="676">
        <f t="shared" si="169"/>
        <v>0</v>
      </c>
      <c r="BD130" s="676">
        <f t="shared" si="169"/>
        <v>0</v>
      </c>
      <c r="BE130" s="676">
        <f t="shared" si="169"/>
        <v>0</v>
      </c>
      <c r="BF130" s="676">
        <f t="shared" si="169"/>
        <v>0</v>
      </c>
      <c r="BG130" s="676">
        <f t="shared" si="169"/>
        <v>0</v>
      </c>
      <c r="BH130" s="676">
        <f t="shared" si="169"/>
        <v>0</v>
      </c>
      <c r="BI130" s="676">
        <f t="shared" si="169"/>
        <v>5000</v>
      </c>
      <c r="BJ130" s="676">
        <f t="shared" si="169"/>
        <v>0</v>
      </c>
      <c r="BK130" s="676">
        <f t="shared" si="169"/>
        <v>0</v>
      </c>
      <c r="BL130" s="676">
        <f t="shared" si="169"/>
        <v>0</v>
      </c>
      <c r="BM130" s="676">
        <f t="shared" si="169"/>
        <v>0</v>
      </c>
      <c r="BN130" s="676">
        <f t="shared" si="169"/>
        <v>0</v>
      </c>
      <c r="BO130" s="676">
        <f t="shared" si="169"/>
        <v>0</v>
      </c>
      <c r="BP130" s="676">
        <f t="shared" si="169"/>
        <v>0</v>
      </c>
      <c r="BQ130" s="676">
        <f t="shared" si="169"/>
        <v>0</v>
      </c>
      <c r="BR130" s="676">
        <f t="shared" si="169"/>
        <v>0</v>
      </c>
      <c r="BS130" s="676">
        <f t="shared" si="169"/>
        <v>0</v>
      </c>
      <c r="BT130" s="676">
        <f t="shared" si="169"/>
        <v>0</v>
      </c>
      <c r="BU130" s="676">
        <f t="shared" si="169"/>
        <v>5000</v>
      </c>
      <c r="BV130" s="676">
        <f t="shared" si="169"/>
        <v>0</v>
      </c>
      <c r="BW130" s="676">
        <f t="shared" si="169"/>
        <v>0</v>
      </c>
      <c r="BX130" s="676">
        <f t="shared" si="169"/>
        <v>0</v>
      </c>
      <c r="BY130" s="676">
        <f t="shared" si="169"/>
        <v>0</v>
      </c>
      <c r="BZ130" s="676">
        <f t="shared" si="169"/>
        <v>0</v>
      </c>
      <c r="CA130" s="676">
        <f t="shared" si="169"/>
        <v>0</v>
      </c>
      <c r="CB130" s="676">
        <f t="shared" si="169"/>
        <v>0</v>
      </c>
      <c r="CC130" s="676">
        <f t="shared" si="169"/>
        <v>10000</v>
      </c>
      <c r="CD130" s="676">
        <f t="shared" si="169"/>
        <v>10000</v>
      </c>
      <c r="CE130" s="676">
        <f t="shared" si="169"/>
        <v>10000</v>
      </c>
      <c r="CF130" s="676">
        <f t="shared" si="169"/>
        <v>10000</v>
      </c>
      <c r="CG130" s="676">
        <f t="shared" si="169"/>
        <v>15000</v>
      </c>
    </row>
    <row r="131" spans="3:85" ht="15.75" hidden="1" customHeight="1" outlineLevel="1">
      <c r="C131" s="677" t="s">
        <v>189</v>
      </c>
      <c r="D131" s="149" t="s">
        <v>185</v>
      </c>
      <c r="E131" s="150" t="s">
        <v>190</v>
      </c>
      <c r="J131" s="676" cm="1">
        <f t="array" ref="J131">SUM(_xlfn._xlws.FILTER(_xlfn._xlws.FILTER(headcountData,(headcountDataDepts=$D131)*(headcountDataIDs=$E131)),(startDates&gt;=J$95)*(endDates=J$96)))</f>
        <v>0</v>
      </c>
      <c r="K131" s="676" cm="1">
        <f t="array" ref="K131">SUM(_xlfn._xlws.FILTER(_xlfn._xlws.FILTER(headcountData,(headcountDataDepts=$D131)*(headcountDataIDs=$E131)),(startDates&gt;=K$95)*(endDates=K$96)))</f>
        <v>0</v>
      </c>
      <c r="N131" s="676" cm="1">
        <f t="array" ref="N131">SUM(_xlfn._xlws.FILTER(_xlfn._xlws.FILTER(headcountData,(headcountDataDepts=$D131)*(headcountDataIDs=$E131)),(startDates&gt;=N$95)*(endDates=N$96)))</f>
        <v>0</v>
      </c>
      <c r="O131" s="676" cm="1">
        <f t="array" ref="O131">SUM(_xlfn._xlws.FILTER(_xlfn._xlws.FILTER(headcountData,(headcountDataDepts=$D131)*(headcountDataIDs=$E131)),(startDates&gt;=O$95)*(endDates=O$96)))</f>
        <v>0</v>
      </c>
      <c r="P131" s="676" cm="1">
        <f t="array" ref="P131">SUM(_xlfn._xlws.FILTER(_xlfn._xlws.FILTER(headcountData,(headcountDataDepts=$D131)*(headcountDataIDs=$E131)),(startDates&gt;=P$95)*(endDates=P$96)))</f>
        <v>0</v>
      </c>
      <c r="Q131" s="676" cm="1">
        <f t="array" ref="Q131">SUM(_xlfn._xlws.FILTER(_xlfn._xlws.FILTER(headcountData,(headcountDataDepts=$D131)*(headcountDataIDs=$E131)),(startDates&gt;=Q$95)*(endDates=Q$96)))</f>
        <v>0</v>
      </c>
      <c r="T131" s="676" cm="1">
        <f t="array" ref="T131">SUM(_xlfn._xlws.FILTER(_xlfn._xlws.FILTER(headcountData,(headcountDataDepts=$D131)*(headcountDataIDs=$E131)),(startDates&gt;=T$95)*(endDates=T$96)))</f>
        <v>0</v>
      </c>
      <c r="U131" s="676" cm="1">
        <f t="array" ref="U131">SUM(_xlfn._xlws.FILTER(_xlfn._xlws.FILTER(headcountData,(headcountDataDepts=$D131)*(headcountDataIDs=$E131)),(startDates&gt;=U$95)*(endDates=U$96)))</f>
        <v>0</v>
      </c>
      <c r="V131" s="676" cm="1">
        <f t="array" ref="V131">SUM(_xlfn._xlws.FILTER(_xlfn._xlws.FILTER(headcountData,(headcountDataDepts=$D131)*(headcountDataIDs=$E131)),(startDates&gt;=V$95)*(endDates=V$96)))</f>
        <v>0</v>
      </c>
      <c r="W131" s="676" cm="1">
        <f t="array" ref="W131">SUM(_xlfn._xlws.FILTER(_xlfn._xlws.FILTER(headcountData,(headcountDataDepts=$D131)*(headcountDataIDs=$E131)),(startDates&gt;=W$95)*(endDates=W$96)))</f>
        <v>0</v>
      </c>
      <c r="X131" s="676" cm="1">
        <f t="array" ref="X131">SUM(_xlfn._xlws.FILTER(_xlfn._xlws.FILTER(headcountData,(headcountDataDepts=$D131)*(headcountDataIDs=$E131)),(startDates&gt;=X$95)*(endDates=X$96)))</f>
        <v>0</v>
      </c>
      <c r="Y131" s="676" cm="1">
        <f t="array" ref="Y131">SUM(_xlfn._xlws.FILTER(_xlfn._xlws.FILTER(headcountData,(headcountDataDepts=$D131)*(headcountDataIDs=$E131)),(startDates&gt;=Y$95)*(endDates=Y$96)))</f>
        <v>0</v>
      </c>
      <c r="Z131" s="676" cm="1">
        <f t="array" ref="Z131">SUM(_xlfn._xlws.FILTER(_xlfn._xlws.FILTER(headcountData,(headcountDataDepts=$D131)*(headcountDataIDs=$E131)),(startDates&gt;=Z$95)*(endDates=Z$96)))</f>
        <v>0</v>
      </c>
      <c r="AA131" s="676" cm="1">
        <f t="array" ref="AA131">SUM(_xlfn._xlws.FILTER(_xlfn._xlws.FILTER(headcountData,(headcountDataDepts=$D131)*(headcountDataIDs=$E131)),(startDates&gt;=AA$95)*(endDates=AA$96)))</f>
        <v>0</v>
      </c>
      <c r="AB131" s="676" cm="1">
        <f t="array" ref="AB131">SUM(_xlfn._xlws.FILTER(_xlfn._xlws.FILTER(headcountData,(headcountDataDepts=$D131)*(headcountDataIDs=$E131)),(startDates&gt;=AB$95)*(endDates=AB$96)))</f>
        <v>0</v>
      </c>
      <c r="AC131" s="676" cm="1">
        <f t="array" ref="AC131">SUM(_xlfn._xlws.FILTER(_xlfn._xlws.FILTER(headcountData,(headcountDataDepts=$D131)*(headcountDataIDs=$E131)),(startDates&gt;=AC$95)*(endDates=AC$96)))</f>
        <v>0</v>
      </c>
      <c r="AD131" s="676" cm="1">
        <f t="array" ref="AD131">SUM(_xlfn._xlws.FILTER(_xlfn._xlws.FILTER(headcountData,(headcountDataDepts=$D131)*(headcountDataIDs=$E131)),(startDates&gt;=AD$95)*(endDates=AD$96)))</f>
        <v>0</v>
      </c>
      <c r="AE131" s="676" cm="1">
        <f t="array" ref="AE131">SUM(_xlfn._xlws.FILTER(_xlfn._xlws.FILTER(headcountData,(headcountDataDepts=$D131)*(headcountDataIDs=$E131)),(startDates&gt;=AE$95)*(endDates=AE$96)))</f>
        <v>0</v>
      </c>
      <c r="AF131" s="676" cm="1">
        <f t="array" ref="AF131">SUM(_xlfn._xlws.FILTER(_xlfn._xlws.FILTER(headcountData,(headcountDataDepts=$D131)*(headcountDataIDs=$E131)),(startDates&gt;=AF$95)*(endDates=AF$96)))</f>
        <v>0</v>
      </c>
      <c r="AG131" s="676" cm="1">
        <f t="array" ref="AG131">SUM(_xlfn._xlws.FILTER(_xlfn._xlws.FILTER(headcountData,(headcountDataDepts=$D131)*(headcountDataIDs=$E131)),(startDates&gt;=AG$95)*(endDates=AG$96)))</f>
        <v>0</v>
      </c>
      <c r="AH131" s="676" cm="1">
        <f t="array" ref="AH131">SUM(_xlfn._xlws.FILTER(_xlfn._xlws.FILTER(headcountData,(headcountDataDepts=$D131)*(headcountDataIDs=$E131)),(startDates&gt;=AH$95)*(endDates=AH$96)))</f>
        <v>0</v>
      </c>
      <c r="AI131" s="676" cm="1">
        <f t="array" ref="AI131">SUM(_xlfn._xlws.FILTER(_xlfn._xlws.FILTER(headcountData,(headcountDataDepts=$D131)*(headcountDataIDs=$E131)),(startDates&gt;=AI$95)*(endDates=AI$96)))</f>
        <v>0</v>
      </c>
      <c r="AL131" s="676" cm="1">
        <f t="array" ref="AL131">SUM(_xlfn._xlws.FILTER(_xlfn._xlws.FILTER(headcountData,(headcountDataDepts=$D131)*(headcountDataIDs=$E131)),(startDates&gt;=AL$95)*(endDates=AL$96)))</f>
        <v>0</v>
      </c>
      <c r="AM131" s="676" cm="1">
        <f t="array" ref="AM131">SUM(_xlfn._xlws.FILTER(_xlfn._xlws.FILTER(headcountData,(headcountDataDepts=$D131)*(headcountDataIDs=$E131)),(startDates&gt;=AM$95)*(endDates=AM$96)))</f>
        <v>0</v>
      </c>
      <c r="AN131" s="676" cm="1">
        <f t="array" ref="AN131">SUM(_xlfn._xlws.FILTER(_xlfn._xlws.FILTER(headcountData,(headcountDataDepts=$D131)*(headcountDataIDs=$E131)),(startDates&gt;=AN$95)*(endDates=AN$96)))</f>
        <v>0</v>
      </c>
      <c r="AO131" s="676" cm="1">
        <f t="array" ref="AO131">SUM(_xlfn._xlws.FILTER(_xlfn._xlws.FILTER(headcountData,(headcountDataDepts=$D131)*(headcountDataIDs=$E131)),(startDates&gt;=AO$95)*(endDates=AO$96)))</f>
        <v>0</v>
      </c>
      <c r="AP131" s="676" cm="1">
        <f t="array" ref="AP131">SUM(_xlfn._xlws.FILTER(_xlfn._xlws.FILTER(headcountData,(headcountDataDepts=$D131)*(headcountDataIDs=$E131)),(startDates&gt;=AP$95)*(endDates=AP$96)))</f>
        <v>0</v>
      </c>
      <c r="AQ131" s="676" cm="1">
        <f t="array" ref="AQ131">SUM(_xlfn._xlws.FILTER(_xlfn._xlws.FILTER(headcountData,(headcountDataDepts=$D131)*(headcountDataIDs=$E131)),(startDates&gt;=AQ$95)*(endDates=AQ$96)))</f>
        <v>0</v>
      </c>
      <c r="AR131" s="676" cm="1">
        <f t="array" ref="AR131">SUM(_xlfn._xlws.FILTER(_xlfn._xlws.FILTER(headcountData,(headcountDataDepts=$D131)*(headcountDataIDs=$E131)),(startDates&gt;=AR$95)*(endDates=AR$96)))</f>
        <v>0</v>
      </c>
      <c r="AS131" s="676" cm="1">
        <f t="array" ref="AS131">SUM(_xlfn._xlws.FILTER(_xlfn._xlws.FILTER(headcountData,(headcountDataDepts=$D131)*(headcountDataIDs=$E131)),(startDates&gt;=AS$95)*(endDates=AS$96)))</f>
        <v>0</v>
      </c>
      <c r="AT131" s="676" cm="1">
        <f t="array" ref="AT131">SUM(_xlfn._xlws.FILTER(_xlfn._xlws.FILTER(headcountData,(headcountDataDepts=$D131)*(headcountDataIDs=$E131)),(startDates&gt;=AT$95)*(endDates=AT$96)))</f>
        <v>0</v>
      </c>
      <c r="AU131" s="676" cm="1">
        <f t="array" ref="AU131">SUM(_xlfn._xlws.FILTER(_xlfn._xlws.FILTER(headcountData,(headcountDataDepts=$D131)*(headcountDataIDs=$E131)),(startDates&gt;=AU$95)*(endDates=AU$96)))</f>
        <v>0</v>
      </c>
      <c r="AV131" s="676" cm="1">
        <f t="array" ref="AV131">SUM(_xlfn._xlws.FILTER(_xlfn._xlws.FILTER(headcountData,(headcountDataDepts=$D131)*(headcountDataIDs=$E131)),(startDates&gt;=AV$95)*(endDates=AV$96)))</f>
        <v>0</v>
      </c>
      <c r="AW131" s="676" cm="1">
        <f t="array" ref="AW131">SUM(_xlfn._xlws.FILTER(_xlfn._xlws.FILTER(headcountData,(headcountDataDepts=$D131)*(headcountDataIDs=$E131)),(startDates&gt;=AW$95)*(endDates=AW$96)))</f>
        <v>0</v>
      </c>
      <c r="AX131" s="676" cm="1">
        <f t="array" ref="AX131">SUM(_xlfn._xlws.FILTER(_xlfn._xlws.FILTER(headcountData,(headcountDataDepts=$D131)*(headcountDataIDs=$E131)),(startDates&gt;=AX$95)*(endDates=AX$96)))</f>
        <v>0</v>
      </c>
      <c r="AY131" s="676" cm="1">
        <f t="array" ref="AY131">SUM(_xlfn._xlws.FILTER(_xlfn._xlws.FILTER(headcountData,(headcountDataDepts=$D131)*(headcountDataIDs=$E131)),(startDates&gt;=AY$95)*(endDates=AY$96)))</f>
        <v>0</v>
      </c>
      <c r="AZ131" s="676" cm="1">
        <f t="array" ref="AZ131">SUM(_xlfn._xlws.FILTER(_xlfn._xlws.FILTER(headcountData,(headcountDataDepts=$D131)*(headcountDataIDs=$E131)),(startDates&gt;=AZ$95)*(endDates=AZ$96)))</f>
        <v>0</v>
      </c>
      <c r="BA131" s="676" cm="1">
        <f t="array" ref="BA131">SUM(_xlfn._xlws.FILTER(_xlfn._xlws.FILTER(headcountData,(headcountDataDepts=$D131)*(headcountDataIDs=$E131)),(startDates&gt;=BA$95)*(endDates=BA$96)))</f>
        <v>0</v>
      </c>
      <c r="BB131" s="676" cm="1">
        <f t="array" ref="BB131">SUM(_xlfn._xlws.FILTER(_xlfn._xlws.FILTER(headcountData,(headcountDataDepts=$D131)*(headcountDataIDs=$E131)),(startDates&gt;=BB$95)*(endDates=BB$96)))</f>
        <v>0</v>
      </c>
      <c r="BC131" s="676" cm="1">
        <f t="array" ref="BC131">SUM(_xlfn._xlws.FILTER(_xlfn._xlws.FILTER(headcountData,(headcountDataDepts=$D131)*(headcountDataIDs=$E131)),(startDates&gt;=BC$95)*(endDates=BC$96)))</f>
        <v>0</v>
      </c>
      <c r="BD131" s="676" cm="1">
        <f t="array" ref="BD131">SUM(_xlfn._xlws.FILTER(_xlfn._xlws.FILTER(headcountData,(headcountDataDepts=$D131)*(headcountDataIDs=$E131)),(startDates&gt;=BD$95)*(endDates=BD$96)))</f>
        <v>0</v>
      </c>
      <c r="BE131" s="676" cm="1">
        <f t="array" ref="BE131">SUM(_xlfn._xlws.FILTER(_xlfn._xlws.FILTER(headcountData,(headcountDataDepts=$D131)*(headcountDataIDs=$E131)),(startDates&gt;=BE$95)*(endDates=BE$96)))</f>
        <v>0</v>
      </c>
      <c r="BF131" s="676" cm="1">
        <f t="array" ref="BF131">SUM(_xlfn._xlws.FILTER(_xlfn._xlws.FILTER(headcountData,(headcountDataDepts=$D131)*(headcountDataIDs=$E131)),(startDates&gt;=BF$95)*(endDates=BF$96)))</f>
        <v>0</v>
      </c>
      <c r="BG131" s="676" cm="1">
        <f t="array" ref="BG131">SUM(_xlfn._xlws.FILTER(_xlfn._xlws.FILTER(headcountData,(headcountDataDepts=$D131)*(headcountDataIDs=$E131)),(startDates&gt;=BG$95)*(endDates=BG$96)))</f>
        <v>0</v>
      </c>
      <c r="BH131" s="676" cm="1">
        <f t="array" ref="BH131">SUM(_xlfn._xlws.FILTER(_xlfn._xlws.FILTER(headcountData,(headcountDataDepts=$D131)*(headcountDataIDs=$E131)),(startDates&gt;=BH$95)*(endDates=BH$96)))</f>
        <v>0</v>
      </c>
      <c r="BI131" s="676" cm="1">
        <f t="array" ref="BI131">SUM(_xlfn._xlws.FILTER(_xlfn._xlws.FILTER(headcountData,(headcountDataDepts=$D131)*(headcountDataIDs=$E131)),(startDates&gt;=BI$95)*(endDates=BI$96)))</f>
        <v>0</v>
      </c>
      <c r="BJ131" s="676" cm="1">
        <f t="array" ref="BJ131">SUM(_xlfn._xlws.FILTER(_xlfn._xlws.FILTER(headcountData,(headcountDataDepts=$D131)*(headcountDataIDs=$E131)),(startDates&gt;=BJ$95)*(endDates=BJ$96)))</f>
        <v>0</v>
      </c>
      <c r="BK131" s="676" cm="1">
        <f t="array" ref="BK131">SUM(_xlfn._xlws.FILTER(_xlfn._xlws.FILTER(headcountData,(headcountDataDepts=$D131)*(headcountDataIDs=$E131)),(startDates&gt;=BK$95)*(endDates=BK$96)))</f>
        <v>0</v>
      </c>
      <c r="BL131" s="676" cm="1">
        <f t="array" ref="BL131">SUM(_xlfn._xlws.FILTER(_xlfn._xlws.FILTER(headcountData,(headcountDataDepts=$D131)*(headcountDataIDs=$E131)),(startDates&gt;=BL$95)*(endDates=BL$96)))</f>
        <v>0</v>
      </c>
      <c r="BM131" s="676" cm="1">
        <f t="array" ref="BM131">SUM(_xlfn._xlws.FILTER(_xlfn._xlws.FILTER(headcountData,(headcountDataDepts=$D131)*(headcountDataIDs=$E131)),(startDates&gt;=BM$95)*(endDates=BM$96)))</f>
        <v>0</v>
      </c>
      <c r="BN131" s="676" cm="1">
        <f t="array" ref="BN131">SUM(_xlfn._xlws.FILTER(_xlfn._xlws.FILTER(headcountData,(headcountDataDepts=$D131)*(headcountDataIDs=$E131)),(startDates&gt;=BN$95)*(endDates=BN$96)))</f>
        <v>0</v>
      </c>
      <c r="BO131" s="676" cm="1">
        <f t="array" ref="BO131">SUM(_xlfn._xlws.FILTER(_xlfn._xlws.FILTER(headcountData,(headcountDataDepts=$D131)*(headcountDataIDs=$E131)),(startDates&gt;=BO$95)*(endDates=BO$96)))</f>
        <v>0</v>
      </c>
      <c r="BP131" s="676" cm="1">
        <f t="array" ref="BP131">SUM(_xlfn._xlws.FILTER(_xlfn._xlws.FILTER(headcountData,(headcountDataDepts=$D131)*(headcountDataIDs=$E131)),(startDates&gt;=BP$95)*(endDates=BP$96)))</f>
        <v>0</v>
      </c>
      <c r="BQ131" s="676" cm="1">
        <f t="array" ref="BQ131">SUM(_xlfn._xlws.FILTER(_xlfn._xlws.FILTER(headcountData,(headcountDataDepts=$D131)*(headcountDataIDs=$E131)),(startDates&gt;=BQ$95)*(endDates=BQ$96)))</f>
        <v>0</v>
      </c>
      <c r="BR131" s="676" cm="1">
        <f t="array" ref="BR131">SUM(_xlfn._xlws.FILTER(_xlfn._xlws.FILTER(headcountData,(headcountDataDepts=$D131)*(headcountDataIDs=$E131)),(startDates&gt;=BR$95)*(endDates=BR$96)))</f>
        <v>0</v>
      </c>
      <c r="BS131" s="676" cm="1">
        <f t="array" ref="BS131">SUM(_xlfn._xlws.FILTER(_xlfn._xlws.FILTER(headcountData,(headcountDataDepts=$D131)*(headcountDataIDs=$E131)),(startDates&gt;=BS$95)*(endDates=BS$96)))</f>
        <v>0</v>
      </c>
      <c r="BT131" s="676" cm="1">
        <f t="array" ref="BT131">SUM(_xlfn._xlws.FILTER(_xlfn._xlws.FILTER(headcountData,(headcountDataDepts=$D131)*(headcountDataIDs=$E131)),(startDates&gt;=BT$95)*(endDates=BT$96)))</f>
        <v>0</v>
      </c>
      <c r="BU131" s="676" cm="1">
        <f t="array" ref="BU131">SUM(_xlfn._xlws.FILTER(_xlfn._xlws.FILTER(headcountData,(headcountDataDepts=$D131)*(headcountDataIDs=$E131)),(startDates&gt;=BU$95)*(endDates=BU$96)))</f>
        <v>0</v>
      </c>
      <c r="BV131" s="676" cm="1">
        <f t="array" ref="BV131">SUM(_xlfn._xlws.FILTER(_xlfn._xlws.FILTER(headcountData,(headcountDataDepts=$D131)*(headcountDataIDs=$E131)),(startDates&gt;=BV$95)*(endDates=BV$96)))</f>
        <v>0</v>
      </c>
      <c r="BW131" s="676" cm="1">
        <f t="array" ref="BW131">SUM(_xlfn._xlws.FILTER(_xlfn._xlws.FILTER(headcountData,(headcountDataDepts=$D131)*(headcountDataIDs=$E131)),(startDates&gt;=BW$95)*(endDates=BW$96)))</f>
        <v>0</v>
      </c>
      <c r="BX131" s="676" cm="1">
        <f t="array" ref="BX131">SUM(_xlfn._xlws.FILTER(_xlfn._xlws.FILTER(headcountData,(headcountDataDepts=$D131)*(headcountDataIDs=$E131)),(startDates&gt;=BX$95)*(endDates=BX$96)))</f>
        <v>0</v>
      </c>
      <c r="BY131" s="676" cm="1">
        <f t="array" ref="BY131">SUM(_xlfn._xlws.FILTER(_xlfn._xlws.FILTER(headcountData,(headcountDataDepts=$D131)*(headcountDataIDs=$E131)),(startDates&gt;=BY$95)*(endDates=BY$96)))</f>
        <v>0</v>
      </c>
      <c r="BZ131" s="676" cm="1">
        <f t="array" ref="BZ131">SUM(_xlfn._xlws.FILTER(_xlfn._xlws.FILTER(headcountData,(headcountDataDepts=$D131)*(headcountDataIDs=$E131)),(startDates&gt;=BZ$95)*(endDates=BZ$96)))</f>
        <v>0</v>
      </c>
      <c r="CA131" s="676" cm="1">
        <f t="array" ref="CA131">SUM(_xlfn._xlws.FILTER(_xlfn._xlws.FILTER(headcountData,(headcountDataDepts=$D131)*(headcountDataIDs=$E131)),(startDates&gt;=CA$95)*(endDates=CA$96)))</f>
        <v>0</v>
      </c>
      <c r="CB131" s="676" cm="1">
        <f t="array" ref="CB131">SUM(_xlfn._xlws.FILTER(_xlfn._xlws.FILTER(headcountData,(headcountDataDepts=$D131)*(headcountDataIDs=$E131)),(startDates&gt;=CB$95)*(endDates=CB$96)))</f>
        <v>0</v>
      </c>
      <c r="CC131" s="676" cm="1">
        <f t="array" ref="CC131">SUM(_xlfn._xlws.FILTER(_xlfn._xlws.FILTER(headcountData,(headcountDataDepts=$D131)*(headcountDataIDs=$E131)),(startDates&gt;=CC$95)*(endDates=CC$96)))</f>
        <v>0</v>
      </c>
      <c r="CD131" s="676" cm="1">
        <f t="array" ref="CD131">SUM(_xlfn._xlws.FILTER(_xlfn._xlws.FILTER(headcountData,(headcountDataDepts=$D131)*(headcountDataIDs=$E131)),(startDates&gt;=CD$95)*(endDates=CD$96)))</f>
        <v>0</v>
      </c>
      <c r="CE131" s="676" cm="1">
        <f t="array" ref="CE131">SUM(_xlfn._xlws.FILTER(_xlfn._xlws.FILTER(headcountData,(headcountDataDepts=$D131)*(headcountDataIDs=$E131)),(startDates&gt;=CE$95)*(endDates=CE$96)))</f>
        <v>0</v>
      </c>
      <c r="CF131" s="676" cm="1">
        <f t="array" ref="CF131">SUM(_xlfn._xlws.FILTER(_xlfn._xlws.FILTER(headcountData,(headcountDataDepts=$D131)*(headcountDataIDs=$E131)),(startDates&gt;=CF$95)*(endDates=CF$96)))</f>
        <v>0</v>
      </c>
      <c r="CG131" s="676" cm="1">
        <f t="array" ref="CG131">SUM(_xlfn._xlws.FILTER(_xlfn._xlws.FILTER(headcountData,(headcountDataDepts=$D131)*(headcountDataIDs=$E131)),(startDates&gt;=CG$95)*(endDates=CG$96)))</f>
        <v>0</v>
      </c>
    </row>
    <row r="132" spans="3:85" ht="15.75" hidden="1" customHeight="1" outlineLevel="1">
      <c r="C132" s="677" t="s">
        <v>191</v>
      </c>
      <c r="D132" s="149" t="s">
        <v>185</v>
      </c>
      <c r="E132" s="150" t="s">
        <v>192</v>
      </c>
      <c r="J132" s="676" cm="1">
        <f t="array" ref="J132">SUM(_xlfn._xlws.FILTER(_xlfn._xlws.FILTER(headcountData,(headcountDataDepts=$D132)*(headcountDataIDs=$E132)),(startDates&gt;=J$95)*(endDates=J$96)))</f>
        <v>0</v>
      </c>
      <c r="K132" s="676" cm="1">
        <f t="array" ref="K132">SUM(_xlfn._xlws.FILTER(_xlfn._xlws.FILTER(headcountData,(headcountDataDepts=$D132)*(headcountDataIDs=$E132)),(startDates&gt;=K$95)*(endDates=K$96)))</f>
        <v>0</v>
      </c>
      <c r="N132" s="676" cm="1">
        <f t="array" ref="N132">SUM(_xlfn._xlws.FILTER(_xlfn._xlws.FILTER(headcountData,(headcountDataDepts=$D132)*(headcountDataIDs=$E132)),(startDates&gt;=N$95)*(endDates=N$96)))</f>
        <v>0</v>
      </c>
      <c r="O132" s="676" cm="1">
        <f t="array" ref="O132">SUM(_xlfn._xlws.FILTER(_xlfn._xlws.FILTER(headcountData,(headcountDataDepts=$D132)*(headcountDataIDs=$E132)),(startDates&gt;=O$95)*(endDates=O$96)))</f>
        <v>0</v>
      </c>
      <c r="P132" s="676" cm="1">
        <f t="array" ref="P132">SUM(_xlfn._xlws.FILTER(_xlfn._xlws.FILTER(headcountData,(headcountDataDepts=$D132)*(headcountDataIDs=$E132)),(startDates&gt;=P$95)*(endDates=P$96)))</f>
        <v>0</v>
      </c>
      <c r="Q132" s="676" cm="1">
        <f t="array" ref="Q132">SUM(_xlfn._xlws.FILTER(_xlfn._xlws.FILTER(headcountData,(headcountDataDepts=$D132)*(headcountDataIDs=$E132)),(startDates&gt;=Q$95)*(endDates=Q$96)))</f>
        <v>10000</v>
      </c>
      <c r="T132" s="676" cm="1">
        <f t="array" ref="T132">SUM(_xlfn._xlws.FILTER(_xlfn._xlws.FILTER(headcountData,(headcountDataDepts=$D132)*(headcountDataIDs=$E132)),(startDates&gt;=T$95)*(endDates=T$96)))</f>
        <v>16666.666666666668</v>
      </c>
      <c r="U132" s="676" cm="1">
        <f t="array" ref="U132">SUM(_xlfn._xlws.FILTER(_xlfn._xlws.FILTER(headcountData,(headcountDataDepts=$D132)*(headcountDataIDs=$E132)),(startDates&gt;=U$95)*(endDates=U$96)))</f>
        <v>0</v>
      </c>
      <c r="V132" s="676" cm="1">
        <f t="array" ref="V132">SUM(_xlfn._xlws.FILTER(_xlfn._xlws.FILTER(headcountData,(headcountDataDepts=$D132)*(headcountDataIDs=$E132)),(startDates&gt;=V$95)*(endDates=V$96)))</f>
        <v>0</v>
      </c>
      <c r="W132" s="676" cm="1">
        <f t="array" ref="W132">SUM(_xlfn._xlws.FILTER(_xlfn._xlws.FILTER(headcountData,(headcountDataDepts=$D132)*(headcountDataIDs=$E132)),(startDates&gt;=W$95)*(endDates=W$96)))</f>
        <v>0</v>
      </c>
      <c r="X132" s="676" cm="1">
        <f t="array" ref="X132">SUM(_xlfn._xlws.FILTER(_xlfn._xlws.FILTER(headcountData,(headcountDataDepts=$D132)*(headcountDataIDs=$E132)),(startDates&gt;=X$95)*(endDates=X$96)))</f>
        <v>0</v>
      </c>
      <c r="Y132" s="676" cm="1">
        <f t="array" ref="Y132">SUM(_xlfn._xlws.FILTER(_xlfn._xlws.FILTER(headcountData,(headcountDataDepts=$D132)*(headcountDataIDs=$E132)),(startDates&gt;=Y$95)*(endDates=Y$96)))</f>
        <v>0</v>
      </c>
      <c r="Z132" s="676" cm="1">
        <f t="array" ref="Z132">SUM(_xlfn._xlws.FILTER(_xlfn._xlws.FILTER(headcountData,(headcountDataDepts=$D132)*(headcountDataIDs=$E132)),(startDates&gt;=Z$95)*(endDates=Z$96)))</f>
        <v>0</v>
      </c>
      <c r="AA132" s="676" cm="1">
        <f t="array" ref="AA132">SUM(_xlfn._xlws.FILTER(_xlfn._xlws.FILTER(headcountData,(headcountDataDepts=$D132)*(headcountDataIDs=$E132)),(startDates&gt;=AA$95)*(endDates=AA$96)))</f>
        <v>0</v>
      </c>
      <c r="AB132" s="676" cm="1">
        <f t="array" ref="AB132">SUM(_xlfn._xlws.FILTER(_xlfn._xlws.FILTER(headcountData,(headcountDataDepts=$D132)*(headcountDataIDs=$E132)),(startDates&gt;=AB$95)*(endDates=AB$96)))</f>
        <v>0</v>
      </c>
      <c r="AC132" s="676" cm="1">
        <f t="array" ref="AC132">SUM(_xlfn._xlws.FILTER(_xlfn._xlws.FILTER(headcountData,(headcountDataDepts=$D132)*(headcountDataIDs=$E132)),(startDates&gt;=AC$95)*(endDates=AC$96)))</f>
        <v>0</v>
      </c>
      <c r="AD132" s="676" cm="1">
        <f t="array" ref="AD132">SUM(_xlfn._xlws.FILTER(_xlfn._xlws.FILTER(headcountData,(headcountDataDepts=$D132)*(headcountDataIDs=$E132)),(startDates&gt;=AD$95)*(endDates=AD$96)))</f>
        <v>0</v>
      </c>
      <c r="AE132" s="676" cm="1">
        <f t="array" ref="AE132">SUM(_xlfn._xlws.FILTER(_xlfn._xlws.FILTER(headcountData,(headcountDataDepts=$D132)*(headcountDataIDs=$E132)),(startDates&gt;=AE$95)*(endDates=AE$96)))</f>
        <v>0</v>
      </c>
      <c r="AF132" s="676" cm="1">
        <f t="array" ref="AF132">SUM(_xlfn._xlws.FILTER(_xlfn._xlws.FILTER(headcountData,(headcountDataDepts=$D132)*(headcountDataIDs=$E132)),(startDates&gt;=AF$95)*(endDates=AF$96)))</f>
        <v>0</v>
      </c>
      <c r="AG132" s="676" cm="1">
        <f t="array" ref="AG132">SUM(_xlfn._xlws.FILTER(_xlfn._xlws.FILTER(headcountData,(headcountDataDepts=$D132)*(headcountDataIDs=$E132)),(startDates&gt;=AG$95)*(endDates=AG$96)))</f>
        <v>0</v>
      </c>
      <c r="AH132" s="676" cm="1">
        <f t="array" ref="AH132">SUM(_xlfn._xlws.FILTER(_xlfn._xlws.FILTER(headcountData,(headcountDataDepts=$D132)*(headcountDataIDs=$E132)),(startDates&gt;=AH$95)*(endDates=AH$96)))</f>
        <v>10000</v>
      </c>
      <c r="AI132" s="676" cm="1">
        <f t="array" ref="AI132">SUM(_xlfn._xlws.FILTER(_xlfn._xlws.FILTER(headcountData,(headcountDataDepts=$D132)*(headcountDataIDs=$E132)),(startDates&gt;=AI$95)*(endDates=AI$96)))</f>
        <v>10000</v>
      </c>
      <c r="AL132" s="676" cm="1">
        <f t="array" ref="AL132">SUM(_xlfn._xlws.FILTER(_xlfn._xlws.FILTER(headcountData,(headcountDataDepts=$D132)*(headcountDataIDs=$E132)),(startDates&gt;=AL$95)*(endDates=AL$96)))</f>
        <v>16666.666666666668</v>
      </c>
      <c r="AM132" s="676" cm="1">
        <f t="array" ref="AM132">SUM(_xlfn._xlws.FILTER(_xlfn._xlws.FILTER(headcountData,(headcountDataDepts=$D132)*(headcountDataIDs=$E132)),(startDates&gt;=AM$95)*(endDates=AM$96)))</f>
        <v>16666.666666666668</v>
      </c>
      <c r="AN132" s="676" cm="1">
        <f t="array" ref="AN132">SUM(_xlfn._xlws.FILTER(_xlfn._xlws.FILTER(headcountData,(headcountDataDepts=$D132)*(headcountDataIDs=$E132)),(startDates&gt;=AN$95)*(endDates=AN$96)))</f>
        <v>16666.666666666668</v>
      </c>
      <c r="AO132" s="676" cm="1">
        <f t="array" ref="AO132">SUM(_xlfn._xlws.FILTER(_xlfn._xlws.FILTER(headcountData,(headcountDataDepts=$D132)*(headcountDataIDs=$E132)),(startDates&gt;=AO$95)*(endDates=AO$96)))</f>
        <v>1666.6666666666667</v>
      </c>
      <c r="AP132" s="676" cm="1">
        <f t="array" ref="AP132">SUM(_xlfn._xlws.FILTER(_xlfn._xlws.FILTER(headcountData,(headcountDataDepts=$D132)*(headcountDataIDs=$E132)),(startDates&gt;=AP$95)*(endDates=AP$96)))</f>
        <v>0</v>
      </c>
      <c r="AQ132" s="676" cm="1">
        <f t="array" ref="AQ132">SUM(_xlfn._xlws.FILTER(_xlfn._xlws.FILTER(headcountData,(headcountDataDepts=$D132)*(headcountDataIDs=$E132)),(startDates&gt;=AQ$95)*(endDates=AQ$96)))</f>
        <v>0</v>
      </c>
      <c r="AR132" s="676" cm="1">
        <f t="array" ref="AR132">SUM(_xlfn._xlws.FILTER(_xlfn._xlws.FILTER(headcountData,(headcountDataDepts=$D132)*(headcountDataIDs=$E132)),(startDates&gt;=AR$95)*(endDates=AR$96)))</f>
        <v>0</v>
      </c>
      <c r="AS132" s="676" cm="1">
        <f t="array" ref="AS132">SUM(_xlfn._xlws.FILTER(_xlfn._xlws.FILTER(headcountData,(headcountDataDepts=$D132)*(headcountDataIDs=$E132)),(startDates&gt;=AS$95)*(endDates=AS$96)))</f>
        <v>0</v>
      </c>
      <c r="AT132" s="676" cm="1">
        <f t="array" ref="AT132">SUM(_xlfn._xlws.FILTER(_xlfn._xlws.FILTER(headcountData,(headcountDataDepts=$D132)*(headcountDataIDs=$E132)),(startDates&gt;=AT$95)*(endDates=AT$96)))</f>
        <v>0</v>
      </c>
      <c r="AU132" s="676" cm="1">
        <f t="array" ref="AU132">SUM(_xlfn._xlws.FILTER(_xlfn._xlws.FILTER(headcountData,(headcountDataDepts=$D132)*(headcountDataIDs=$E132)),(startDates&gt;=AU$95)*(endDates=AU$96)))</f>
        <v>0</v>
      </c>
      <c r="AV132" s="676" cm="1">
        <f t="array" ref="AV132">SUM(_xlfn._xlws.FILTER(_xlfn._xlws.FILTER(headcountData,(headcountDataDepts=$D132)*(headcountDataIDs=$E132)),(startDates&gt;=AV$95)*(endDates=AV$96)))</f>
        <v>0</v>
      </c>
      <c r="AW132" s="676" cm="1">
        <f t="array" ref="AW132">SUM(_xlfn._xlws.FILTER(_xlfn._xlws.FILTER(headcountData,(headcountDataDepts=$D132)*(headcountDataIDs=$E132)),(startDates&gt;=AW$95)*(endDates=AW$96)))</f>
        <v>0</v>
      </c>
      <c r="AX132" s="676" cm="1">
        <f t="array" ref="AX132">SUM(_xlfn._xlws.FILTER(_xlfn._xlws.FILTER(headcountData,(headcountDataDepts=$D132)*(headcountDataIDs=$E132)),(startDates&gt;=AX$95)*(endDates=AX$96)))</f>
        <v>0</v>
      </c>
      <c r="AY132" s="676" cm="1">
        <f t="array" ref="AY132">SUM(_xlfn._xlws.FILTER(_xlfn._xlws.FILTER(headcountData,(headcountDataDepts=$D132)*(headcountDataIDs=$E132)),(startDates&gt;=AY$95)*(endDates=AY$96)))</f>
        <v>0</v>
      </c>
      <c r="AZ132" s="676" cm="1">
        <f t="array" ref="AZ132">SUM(_xlfn._xlws.FILTER(_xlfn._xlws.FILTER(headcountData,(headcountDataDepts=$D132)*(headcountDataIDs=$E132)),(startDates&gt;=AZ$95)*(endDates=AZ$96)))</f>
        <v>0</v>
      </c>
      <c r="BA132" s="676" cm="1">
        <f t="array" ref="BA132">SUM(_xlfn._xlws.FILTER(_xlfn._xlws.FILTER(headcountData,(headcountDataDepts=$D132)*(headcountDataIDs=$E132)),(startDates&gt;=BA$95)*(endDates=BA$96)))</f>
        <v>0</v>
      </c>
      <c r="BB132" s="676" cm="1">
        <f t="array" ref="BB132">SUM(_xlfn._xlws.FILTER(_xlfn._xlws.FILTER(headcountData,(headcountDataDepts=$D132)*(headcountDataIDs=$E132)),(startDates&gt;=BB$95)*(endDates=BB$96)))</f>
        <v>0</v>
      </c>
      <c r="BC132" s="676" cm="1">
        <f t="array" ref="BC132">SUM(_xlfn._xlws.FILTER(_xlfn._xlws.FILTER(headcountData,(headcountDataDepts=$D132)*(headcountDataIDs=$E132)),(startDates&gt;=BC$95)*(endDates=BC$96)))</f>
        <v>0</v>
      </c>
      <c r="BD132" s="676" cm="1">
        <f t="array" ref="BD132">SUM(_xlfn._xlws.FILTER(_xlfn._xlws.FILTER(headcountData,(headcountDataDepts=$D132)*(headcountDataIDs=$E132)),(startDates&gt;=BD$95)*(endDates=BD$96)))</f>
        <v>0</v>
      </c>
      <c r="BE132" s="676" cm="1">
        <f t="array" ref="BE132">SUM(_xlfn._xlws.FILTER(_xlfn._xlws.FILTER(headcountData,(headcountDataDepts=$D132)*(headcountDataIDs=$E132)),(startDates&gt;=BE$95)*(endDates=BE$96)))</f>
        <v>0</v>
      </c>
      <c r="BF132" s="676" cm="1">
        <f t="array" ref="BF132">SUM(_xlfn._xlws.FILTER(_xlfn._xlws.FILTER(headcountData,(headcountDataDepts=$D132)*(headcountDataIDs=$E132)),(startDates&gt;=BF$95)*(endDates=BF$96)))</f>
        <v>0</v>
      </c>
      <c r="BG132" s="676" cm="1">
        <f t="array" ref="BG132">SUM(_xlfn._xlws.FILTER(_xlfn._xlws.FILTER(headcountData,(headcountDataDepts=$D132)*(headcountDataIDs=$E132)),(startDates&gt;=BG$95)*(endDates=BG$96)))</f>
        <v>0</v>
      </c>
      <c r="BH132" s="676" cm="1">
        <f t="array" ref="BH132">SUM(_xlfn._xlws.FILTER(_xlfn._xlws.FILTER(headcountData,(headcountDataDepts=$D132)*(headcountDataIDs=$E132)),(startDates&gt;=BH$95)*(endDates=BH$96)))</f>
        <v>0</v>
      </c>
      <c r="BI132" s="676" cm="1">
        <f t="array" ref="BI132">SUM(_xlfn._xlws.FILTER(_xlfn._xlws.FILTER(headcountData,(headcountDataDepts=$D132)*(headcountDataIDs=$E132)),(startDates&gt;=BI$95)*(endDates=BI$96)))</f>
        <v>0</v>
      </c>
      <c r="BJ132" s="676" cm="1">
        <f t="array" ref="BJ132">SUM(_xlfn._xlws.FILTER(_xlfn._xlws.FILTER(headcountData,(headcountDataDepts=$D132)*(headcountDataIDs=$E132)),(startDates&gt;=BJ$95)*(endDates=BJ$96)))</f>
        <v>0</v>
      </c>
      <c r="BK132" s="676" cm="1">
        <f t="array" ref="BK132">SUM(_xlfn._xlws.FILTER(_xlfn._xlws.FILTER(headcountData,(headcountDataDepts=$D132)*(headcountDataIDs=$E132)),(startDates&gt;=BK$95)*(endDates=BK$96)))</f>
        <v>0</v>
      </c>
      <c r="BL132" s="676" cm="1">
        <f t="array" ref="BL132">SUM(_xlfn._xlws.FILTER(_xlfn._xlws.FILTER(headcountData,(headcountDataDepts=$D132)*(headcountDataIDs=$E132)),(startDates&gt;=BL$95)*(endDates=BL$96)))</f>
        <v>0</v>
      </c>
      <c r="BM132" s="676" cm="1">
        <f t="array" ref="BM132">SUM(_xlfn._xlws.FILTER(_xlfn._xlws.FILTER(headcountData,(headcountDataDepts=$D132)*(headcountDataIDs=$E132)),(startDates&gt;=BM$95)*(endDates=BM$96)))</f>
        <v>0</v>
      </c>
      <c r="BN132" s="676" cm="1">
        <f t="array" ref="BN132">SUM(_xlfn._xlws.FILTER(_xlfn._xlws.FILTER(headcountData,(headcountDataDepts=$D132)*(headcountDataIDs=$E132)),(startDates&gt;=BN$95)*(endDates=BN$96)))</f>
        <v>0</v>
      </c>
      <c r="BO132" s="676" cm="1">
        <f t="array" ref="BO132">SUM(_xlfn._xlws.FILTER(_xlfn._xlws.FILTER(headcountData,(headcountDataDepts=$D132)*(headcountDataIDs=$E132)),(startDates&gt;=BO$95)*(endDates=BO$96)))</f>
        <v>0</v>
      </c>
      <c r="BP132" s="676" cm="1">
        <f t="array" ref="BP132">SUM(_xlfn._xlws.FILTER(_xlfn._xlws.FILTER(headcountData,(headcountDataDepts=$D132)*(headcountDataIDs=$E132)),(startDates&gt;=BP$95)*(endDates=BP$96)))</f>
        <v>0</v>
      </c>
      <c r="BQ132" s="676" cm="1">
        <f t="array" ref="BQ132">SUM(_xlfn._xlws.FILTER(_xlfn._xlws.FILTER(headcountData,(headcountDataDepts=$D132)*(headcountDataIDs=$E132)),(startDates&gt;=BQ$95)*(endDates=BQ$96)))</f>
        <v>0</v>
      </c>
      <c r="BR132" s="676" cm="1">
        <f t="array" ref="BR132">SUM(_xlfn._xlws.FILTER(_xlfn._xlws.FILTER(headcountData,(headcountDataDepts=$D132)*(headcountDataIDs=$E132)),(startDates&gt;=BR$95)*(endDates=BR$96)))</f>
        <v>0</v>
      </c>
      <c r="BS132" s="676" cm="1">
        <f t="array" ref="BS132">SUM(_xlfn._xlws.FILTER(_xlfn._xlws.FILTER(headcountData,(headcountDataDepts=$D132)*(headcountDataIDs=$E132)),(startDates&gt;=BS$95)*(endDates=BS$96)))</f>
        <v>0</v>
      </c>
      <c r="BT132" s="676" cm="1">
        <f t="array" ref="BT132">SUM(_xlfn._xlws.FILTER(_xlfn._xlws.FILTER(headcountData,(headcountDataDepts=$D132)*(headcountDataIDs=$E132)),(startDates&gt;=BT$95)*(endDates=BT$96)))</f>
        <v>0</v>
      </c>
      <c r="BU132" s="676" cm="1">
        <f t="array" ref="BU132">SUM(_xlfn._xlws.FILTER(_xlfn._xlws.FILTER(headcountData,(headcountDataDepts=$D132)*(headcountDataIDs=$E132)),(startDates&gt;=BU$95)*(endDates=BU$96)))</f>
        <v>0</v>
      </c>
      <c r="BV132" s="676" cm="1">
        <f t="array" ref="BV132">SUM(_xlfn._xlws.FILTER(_xlfn._xlws.FILTER(headcountData,(headcountDataDepts=$D132)*(headcountDataIDs=$E132)),(startDates&gt;=BV$95)*(endDates=BV$96)))</f>
        <v>0</v>
      </c>
      <c r="BW132" s="676" cm="1">
        <f t="array" ref="BW132">SUM(_xlfn._xlws.FILTER(_xlfn._xlws.FILTER(headcountData,(headcountDataDepts=$D132)*(headcountDataIDs=$E132)),(startDates&gt;=BW$95)*(endDates=BW$96)))</f>
        <v>0</v>
      </c>
      <c r="BX132" s="676" cm="1">
        <f t="array" ref="BX132">SUM(_xlfn._xlws.FILTER(_xlfn._xlws.FILTER(headcountData,(headcountDataDepts=$D132)*(headcountDataIDs=$E132)),(startDates&gt;=BX$95)*(endDates=BX$96)))</f>
        <v>0</v>
      </c>
      <c r="BY132" s="676" cm="1">
        <f t="array" ref="BY132">SUM(_xlfn._xlws.FILTER(_xlfn._xlws.FILTER(headcountData,(headcountDataDepts=$D132)*(headcountDataIDs=$E132)),(startDates&gt;=BY$95)*(endDates=BY$96)))</f>
        <v>0</v>
      </c>
      <c r="BZ132" s="676" cm="1">
        <f t="array" ref="BZ132">SUM(_xlfn._xlws.FILTER(_xlfn._xlws.FILTER(headcountData,(headcountDataDepts=$D132)*(headcountDataIDs=$E132)),(startDates&gt;=BZ$95)*(endDates=BZ$96)))</f>
        <v>0</v>
      </c>
      <c r="CA132" s="676" cm="1">
        <f t="array" ref="CA132">SUM(_xlfn._xlws.FILTER(_xlfn._xlws.FILTER(headcountData,(headcountDataDepts=$D132)*(headcountDataIDs=$E132)),(startDates&gt;=CA$95)*(endDates=CA$96)))</f>
        <v>0</v>
      </c>
      <c r="CB132" s="676" cm="1">
        <f t="array" ref="CB132">SUM(_xlfn._xlws.FILTER(_xlfn._xlws.FILTER(headcountData,(headcountDataDepts=$D132)*(headcountDataIDs=$E132)),(startDates&gt;=CB$95)*(endDates=CB$96)))</f>
        <v>0</v>
      </c>
      <c r="CC132" s="676" cm="1">
        <f t="array" ref="CC132">SUM(_xlfn._xlws.FILTER(_xlfn._xlws.FILTER(headcountData,(headcountDataDepts=$D132)*(headcountDataIDs=$E132)),(startDates&gt;=CC$95)*(endDates=CC$96)))</f>
        <v>10000</v>
      </c>
      <c r="CD132" s="676" cm="1">
        <f t="array" ref="CD132">SUM(_xlfn._xlws.FILTER(_xlfn._xlws.FILTER(headcountData,(headcountDataDepts=$D132)*(headcountDataIDs=$E132)),(startDates&gt;=CD$95)*(endDates=CD$96)))</f>
        <v>10000</v>
      </c>
      <c r="CE132" s="676" cm="1">
        <f t="array" ref="CE132">SUM(_xlfn._xlws.FILTER(_xlfn._xlws.FILTER(headcountData,(headcountDataDepts=$D132)*(headcountDataIDs=$E132)),(startDates&gt;=CE$95)*(endDates=CE$96)))</f>
        <v>10000</v>
      </c>
      <c r="CF132" s="676" cm="1">
        <f t="array" ref="CF132">SUM(_xlfn._xlws.FILTER(_xlfn._xlws.FILTER(headcountData,(headcountDataDepts=$D132)*(headcountDataIDs=$E132)),(startDates&gt;=CF$95)*(endDates=CF$96)))</f>
        <v>10000</v>
      </c>
      <c r="CG132" s="676" cm="1">
        <f t="array" ref="CG132">SUM(_xlfn._xlws.FILTER(_xlfn._xlws.FILTER(headcountData,(headcountDataDepts=$D132)*(headcountDataIDs=$E132)),(startDates&gt;=CG$95)*(endDates=CG$96)))</f>
        <v>10000</v>
      </c>
    </row>
    <row r="133" spans="3:85" ht="15.75" hidden="1" customHeight="1" outlineLevel="1">
      <c r="C133" s="677" t="s">
        <v>193</v>
      </c>
      <c r="D133" s="149" t="s">
        <v>185</v>
      </c>
      <c r="E133" s="150" t="s">
        <v>194</v>
      </c>
      <c r="J133" s="676" cm="1">
        <f t="array" ref="J133">SUM(_xlfn._xlws.FILTER(_xlfn._xlws.FILTER(headcountData,(headcountDataDepts=$D133)*(headcountDataIDs=$E133)),(startDates&gt;=J$95)*(endDates=J$96)))</f>
        <v>0</v>
      </c>
      <c r="K133" s="676" cm="1">
        <f t="array" ref="K133">SUM(_xlfn._xlws.FILTER(_xlfn._xlws.FILTER(headcountData,(headcountDataDepts=$D133)*(headcountDataIDs=$E133)),(startDates&gt;=K$95)*(endDates=K$96)))</f>
        <v>0</v>
      </c>
      <c r="N133" s="676" cm="1">
        <f t="array" ref="N133">SUM(_xlfn._xlws.FILTER(_xlfn._xlws.FILTER(headcountData,(headcountDataDepts=$D133)*(headcountDataIDs=$E133)),(startDates&gt;=N$95)*(endDates=N$96)))</f>
        <v>0</v>
      </c>
      <c r="O133" s="676" cm="1">
        <f t="array" ref="O133">SUM(_xlfn._xlws.FILTER(_xlfn._xlws.FILTER(headcountData,(headcountDataDepts=$D133)*(headcountDataIDs=$E133)),(startDates&gt;=O$95)*(endDates=O$96)))</f>
        <v>0</v>
      </c>
      <c r="P133" s="676" cm="1">
        <f t="array" ref="P133">SUM(_xlfn._xlws.FILTER(_xlfn._xlws.FILTER(headcountData,(headcountDataDepts=$D133)*(headcountDataIDs=$E133)),(startDates&gt;=P$95)*(endDates=P$96)))</f>
        <v>0</v>
      </c>
      <c r="Q133" s="676" cm="1">
        <f t="array" ref="Q133">SUM(_xlfn._xlws.FILTER(_xlfn._xlws.FILTER(headcountData,(headcountDataDepts=$D133)*(headcountDataIDs=$E133)),(startDates&gt;=Q$95)*(endDates=Q$96)))</f>
        <v>0</v>
      </c>
      <c r="T133" s="676" cm="1">
        <f t="array" ref="T133">SUM(_xlfn._xlws.FILTER(_xlfn._xlws.FILTER(headcountData,(headcountDataDepts=$D133)*(headcountDataIDs=$E133)),(startDates&gt;=T$95)*(endDates=T$96)))</f>
        <v>0</v>
      </c>
      <c r="U133" s="676" cm="1">
        <f t="array" ref="U133">SUM(_xlfn._xlws.FILTER(_xlfn._xlws.FILTER(headcountData,(headcountDataDepts=$D133)*(headcountDataIDs=$E133)),(startDates&gt;=U$95)*(endDates=U$96)))</f>
        <v>0</v>
      </c>
      <c r="V133" s="676" cm="1">
        <f t="array" ref="V133">SUM(_xlfn._xlws.FILTER(_xlfn._xlws.FILTER(headcountData,(headcountDataDepts=$D133)*(headcountDataIDs=$E133)),(startDates&gt;=V$95)*(endDates=V$96)))</f>
        <v>0</v>
      </c>
      <c r="W133" s="676" cm="1">
        <f t="array" ref="W133">SUM(_xlfn._xlws.FILTER(_xlfn._xlws.FILTER(headcountData,(headcountDataDepts=$D133)*(headcountDataIDs=$E133)),(startDates&gt;=W$95)*(endDates=W$96)))</f>
        <v>0</v>
      </c>
      <c r="X133" s="676" cm="1">
        <f t="array" ref="X133">SUM(_xlfn._xlws.FILTER(_xlfn._xlws.FILTER(headcountData,(headcountDataDepts=$D133)*(headcountDataIDs=$E133)),(startDates&gt;=X$95)*(endDates=X$96)))</f>
        <v>0</v>
      </c>
      <c r="Y133" s="676" cm="1">
        <f t="array" ref="Y133">SUM(_xlfn._xlws.FILTER(_xlfn._xlws.FILTER(headcountData,(headcountDataDepts=$D133)*(headcountDataIDs=$E133)),(startDates&gt;=Y$95)*(endDates=Y$96)))</f>
        <v>0</v>
      </c>
      <c r="Z133" s="676" cm="1">
        <f t="array" ref="Z133">SUM(_xlfn._xlws.FILTER(_xlfn._xlws.FILTER(headcountData,(headcountDataDepts=$D133)*(headcountDataIDs=$E133)),(startDates&gt;=Z$95)*(endDates=Z$96)))</f>
        <v>0</v>
      </c>
      <c r="AA133" s="676" cm="1">
        <f t="array" ref="AA133">SUM(_xlfn._xlws.FILTER(_xlfn._xlws.FILTER(headcountData,(headcountDataDepts=$D133)*(headcountDataIDs=$E133)),(startDates&gt;=AA$95)*(endDates=AA$96)))</f>
        <v>0</v>
      </c>
      <c r="AB133" s="676" cm="1">
        <f t="array" ref="AB133">SUM(_xlfn._xlws.FILTER(_xlfn._xlws.FILTER(headcountData,(headcountDataDepts=$D133)*(headcountDataIDs=$E133)),(startDates&gt;=AB$95)*(endDates=AB$96)))</f>
        <v>0</v>
      </c>
      <c r="AC133" s="676" cm="1">
        <f t="array" ref="AC133">SUM(_xlfn._xlws.FILTER(_xlfn._xlws.FILTER(headcountData,(headcountDataDepts=$D133)*(headcountDataIDs=$E133)),(startDates&gt;=AC$95)*(endDates=AC$96)))</f>
        <v>0</v>
      </c>
      <c r="AD133" s="676" cm="1">
        <f t="array" ref="AD133">SUM(_xlfn._xlws.FILTER(_xlfn._xlws.FILTER(headcountData,(headcountDataDepts=$D133)*(headcountDataIDs=$E133)),(startDates&gt;=AD$95)*(endDates=AD$96)))</f>
        <v>0</v>
      </c>
      <c r="AE133" s="676" cm="1">
        <f t="array" ref="AE133">SUM(_xlfn._xlws.FILTER(_xlfn._xlws.FILTER(headcountData,(headcountDataDepts=$D133)*(headcountDataIDs=$E133)),(startDates&gt;=AE$95)*(endDates=AE$96)))</f>
        <v>0</v>
      </c>
      <c r="AF133" s="676" cm="1">
        <f t="array" ref="AF133">SUM(_xlfn._xlws.FILTER(_xlfn._xlws.FILTER(headcountData,(headcountDataDepts=$D133)*(headcountDataIDs=$E133)),(startDates&gt;=AF$95)*(endDates=AF$96)))</f>
        <v>0</v>
      </c>
      <c r="AG133" s="676" cm="1">
        <f t="array" ref="AG133">SUM(_xlfn._xlws.FILTER(_xlfn._xlws.FILTER(headcountData,(headcountDataDepts=$D133)*(headcountDataIDs=$E133)),(startDates&gt;=AG$95)*(endDates=AG$96)))</f>
        <v>0</v>
      </c>
      <c r="AH133" s="676" cm="1">
        <f t="array" ref="AH133">SUM(_xlfn._xlws.FILTER(_xlfn._xlws.FILTER(headcountData,(headcountDataDepts=$D133)*(headcountDataIDs=$E133)),(startDates&gt;=AH$95)*(endDates=AH$96)))</f>
        <v>0</v>
      </c>
      <c r="AI133" s="676" cm="1">
        <f t="array" ref="AI133">SUM(_xlfn._xlws.FILTER(_xlfn._xlws.FILTER(headcountData,(headcountDataDepts=$D133)*(headcountDataIDs=$E133)),(startDates&gt;=AI$95)*(endDates=AI$96)))</f>
        <v>0</v>
      </c>
      <c r="AL133" s="676" cm="1">
        <f t="array" ref="AL133">SUM(_xlfn._xlws.FILTER(_xlfn._xlws.FILTER(headcountData,(headcountDataDepts=$D133)*(headcountDataIDs=$E133)),(startDates&gt;=AL$95)*(endDates=AL$96)))</f>
        <v>0</v>
      </c>
      <c r="AM133" s="676" cm="1">
        <f t="array" ref="AM133">SUM(_xlfn._xlws.FILTER(_xlfn._xlws.FILTER(headcountData,(headcountDataDepts=$D133)*(headcountDataIDs=$E133)),(startDates&gt;=AM$95)*(endDates=AM$96)))</f>
        <v>0</v>
      </c>
      <c r="AN133" s="676" cm="1">
        <f t="array" ref="AN133">SUM(_xlfn._xlws.FILTER(_xlfn._xlws.FILTER(headcountData,(headcountDataDepts=$D133)*(headcountDataIDs=$E133)),(startDates&gt;=AN$95)*(endDates=AN$96)))</f>
        <v>0</v>
      </c>
      <c r="AO133" s="676" cm="1">
        <f t="array" ref="AO133">SUM(_xlfn._xlws.FILTER(_xlfn._xlws.FILTER(headcountData,(headcountDataDepts=$D133)*(headcountDataIDs=$E133)),(startDates&gt;=AO$95)*(endDates=AO$96)))</f>
        <v>0</v>
      </c>
      <c r="AP133" s="676" cm="1">
        <f t="array" ref="AP133">SUM(_xlfn._xlws.FILTER(_xlfn._xlws.FILTER(headcountData,(headcountDataDepts=$D133)*(headcountDataIDs=$E133)),(startDates&gt;=AP$95)*(endDates=AP$96)))</f>
        <v>0</v>
      </c>
      <c r="AQ133" s="676" cm="1">
        <f t="array" ref="AQ133">SUM(_xlfn._xlws.FILTER(_xlfn._xlws.FILTER(headcountData,(headcountDataDepts=$D133)*(headcountDataIDs=$E133)),(startDates&gt;=AQ$95)*(endDates=AQ$96)))</f>
        <v>0</v>
      </c>
      <c r="AR133" s="676" cm="1">
        <f t="array" ref="AR133">SUM(_xlfn._xlws.FILTER(_xlfn._xlws.FILTER(headcountData,(headcountDataDepts=$D133)*(headcountDataIDs=$E133)),(startDates&gt;=AR$95)*(endDates=AR$96)))</f>
        <v>0</v>
      </c>
      <c r="AS133" s="676" cm="1">
        <f t="array" ref="AS133">SUM(_xlfn._xlws.FILTER(_xlfn._xlws.FILTER(headcountData,(headcountDataDepts=$D133)*(headcountDataIDs=$E133)),(startDates&gt;=AS$95)*(endDates=AS$96)))</f>
        <v>0</v>
      </c>
      <c r="AT133" s="676" cm="1">
        <f t="array" ref="AT133">SUM(_xlfn._xlws.FILTER(_xlfn._xlws.FILTER(headcountData,(headcountDataDepts=$D133)*(headcountDataIDs=$E133)),(startDates&gt;=AT$95)*(endDates=AT$96)))</f>
        <v>0</v>
      </c>
      <c r="AU133" s="676" cm="1">
        <f t="array" ref="AU133">SUM(_xlfn._xlws.FILTER(_xlfn._xlws.FILTER(headcountData,(headcountDataDepts=$D133)*(headcountDataIDs=$E133)),(startDates&gt;=AU$95)*(endDates=AU$96)))</f>
        <v>0</v>
      </c>
      <c r="AV133" s="676" cm="1">
        <f t="array" ref="AV133">SUM(_xlfn._xlws.FILTER(_xlfn._xlws.FILTER(headcountData,(headcountDataDepts=$D133)*(headcountDataIDs=$E133)),(startDates&gt;=AV$95)*(endDates=AV$96)))</f>
        <v>0</v>
      </c>
      <c r="AW133" s="676" cm="1">
        <f t="array" ref="AW133">SUM(_xlfn._xlws.FILTER(_xlfn._xlws.FILTER(headcountData,(headcountDataDepts=$D133)*(headcountDataIDs=$E133)),(startDates&gt;=AW$95)*(endDates=AW$96)))</f>
        <v>0</v>
      </c>
      <c r="AX133" s="676" cm="1">
        <f t="array" ref="AX133">SUM(_xlfn._xlws.FILTER(_xlfn._xlws.FILTER(headcountData,(headcountDataDepts=$D133)*(headcountDataIDs=$E133)),(startDates&gt;=AX$95)*(endDates=AX$96)))</f>
        <v>0</v>
      </c>
      <c r="AY133" s="676" cm="1">
        <f t="array" ref="AY133">SUM(_xlfn._xlws.FILTER(_xlfn._xlws.FILTER(headcountData,(headcountDataDepts=$D133)*(headcountDataIDs=$E133)),(startDates&gt;=AY$95)*(endDates=AY$96)))</f>
        <v>0</v>
      </c>
      <c r="AZ133" s="676" cm="1">
        <f t="array" ref="AZ133">SUM(_xlfn._xlws.FILTER(_xlfn._xlws.FILTER(headcountData,(headcountDataDepts=$D133)*(headcountDataIDs=$E133)),(startDates&gt;=AZ$95)*(endDates=AZ$96)))</f>
        <v>0</v>
      </c>
      <c r="BA133" s="676" cm="1">
        <f t="array" ref="BA133">SUM(_xlfn._xlws.FILTER(_xlfn._xlws.FILTER(headcountData,(headcountDataDepts=$D133)*(headcountDataIDs=$E133)),(startDates&gt;=BA$95)*(endDates=BA$96)))</f>
        <v>0</v>
      </c>
      <c r="BB133" s="676" cm="1">
        <f t="array" ref="BB133">SUM(_xlfn._xlws.FILTER(_xlfn._xlws.FILTER(headcountData,(headcountDataDepts=$D133)*(headcountDataIDs=$E133)),(startDates&gt;=BB$95)*(endDates=BB$96)))</f>
        <v>0</v>
      </c>
      <c r="BC133" s="676" cm="1">
        <f t="array" ref="BC133">SUM(_xlfn._xlws.FILTER(_xlfn._xlws.FILTER(headcountData,(headcountDataDepts=$D133)*(headcountDataIDs=$E133)),(startDates&gt;=BC$95)*(endDates=BC$96)))</f>
        <v>0</v>
      </c>
      <c r="BD133" s="676" cm="1">
        <f t="array" ref="BD133">SUM(_xlfn._xlws.FILTER(_xlfn._xlws.FILTER(headcountData,(headcountDataDepts=$D133)*(headcountDataIDs=$E133)),(startDates&gt;=BD$95)*(endDates=BD$96)))</f>
        <v>0</v>
      </c>
      <c r="BE133" s="676" cm="1">
        <f t="array" ref="BE133">SUM(_xlfn._xlws.FILTER(_xlfn._xlws.FILTER(headcountData,(headcountDataDepts=$D133)*(headcountDataIDs=$E133)),(startDates&gt;=BE$95)*(endDates=BE$96)))</f>
        <v>0</v>
      </c>
      <c r="BF133" s="676" cm="1">
        <f t="array" ref="BF133">SUM(_xlfn._xlws.FILTER(_xlfn._xlws.FILTER(headcountData,(headcountDataDepts=$D133)*(headcountDataIDs=$E133)),(startDates&gt;=BF$95)*(endDates=BF$96)))</f>
        <v>0</v>
      </c>
      <c r="BG133" s="676" cm="1">
        <f t="array" ref="BG133">SUM(_xlfn._xlws.FILTER(_xlfn._xlws.FILTER(headcountData,(headcountDataDepts=$D133)*(headcountDataIDs=$E133)),(startDates&gt;=BG$95)*(endDates=BG$96)))</f>
        <v>0</v>
      </c>
      <c r="BH133" s="676" cm="1">
        <f t="array" ref="BH133">SUM(_xlfn._xlws.FILTER(_xlfn._xlws.FILTER(headcountData,(headcountDataDepts=$D133)*(headcountDataIDs=$E133)),(startDates&gt;=BH$95)*(endDates=BH$96)))</f>
        <v>0</v>
      </c>
      <c r="BI133" s="676" cm="1">
        <f t="array" ref="BI133">SUM(_xlfn._xlws.FILTER(_xlfn._xlws.FILTER(headcountData,(headcountDataDepts=$D133)*(headcountDataIDs=$E133)),(startDates&gt;=BI$95)*(endDates=BI$96)))</f>
        <v>0</v>
      </c>
      <c r="BJ133" s="676" cm="1">
        <f t="array" ref="BJ133">SUM(_xlfn._xlws.FILTER(_xlfn._xlws.FILTER(headcountData,(headcountDataDepts=$D133)*(headcountDataIDs=$E133)),(startDates&gt;=BJ$95)*(endDates=BJ$96)))</f>
        <v>0</v>
      </c>
      <c r="BK133" s="676" cm="1">
        <f t="array" ref="BK133">SUM(_xlfn._xlws.FILTER(_xlfn._xlws.FILTER(headcountData,(headcountDataDepts=$D133)*(headcountDataIDs=$E133)),(startDates&gt;=BK$95)*(endDates=BK$96)))</f>
        <v>0</v>
      </c>
      <c r="BL133" s="676" cm="1">
        <f t="array" ref="BL133">SUM(_xlfn._xlws.FILTER(_xlfn._xlws.FILTER(headcountData,(headcountDataDepts=$D133)*(headcountDataIDs=$E133)),(startDates&gt;=BL$95)*(endDates=BL$96)))</f>
        <v>0</v>
      </c>
      <c r="BM133" s="676" cm="1">
        <f t="array" ref="BM133">SUM(_xlfn._xlws.FILTER(_xlfn._xlws.FILTER(headcountData,(headcountDataDepts=$D133)*(headcountDataIDs=$E133)),(startDates&gt;=BM$95)*(endDates=BM$96)))</f>
        <v>0</v>
      </c>
      <c r="BN133" s="676" cm="1">
        <f t="array" ref="BN133">SUM(_xlfn._xlws.FILTER(_xlfn._xlws.FILTER(headcountData,(headcountDataDepts=$D133)*(headcountDataIDs=$E133)),(startDates&gt;=BN$95)*(endDates=BN$96)))</f>
        <v>0</v>
      </c>
      <c r="BO133" s="676" cm="1">
        <f t="array" ref="BO133">SUM(_xlfn._xlws.FILTER(_xlfn._xlws.FILTER(headcountData,(headcountDataDepts=$D133)*(headcountDataIDs=$E133)),(startDates&gt;=BO$95)*(endDates=BO$96)))</f>
        <v>0</v>
      </c>
      <c r="BP133" s="676" cm="1">
        <f t="array" ref="BP133">SUM(_xlfn._xlws.FILTER(_xlfn._xlws.FILTER(headcountData,(headcountDataDepts=$D133)*(headcountDataIDs=$E133)),(startDates&gt;=BP$95)*(endDates=BP$96)))</f>
        <v>0</v>
      </c>
      <c r="BQ133" s="676" cm="1">
        <f t="array" ref="BQ133">SUM(_xlfn._xlws.FILTER(_xlfn._xlws.FILTER(headcountData,(headcountDataDepts=$D133)*(headcountDataIDs=$E133)),(startDates&gt;=BQ$95)*(endDates=BQ$96)))</f>
        <v>0</v>
      </c>
      <c r="BR133" s="676" cm="1">
        <f t="array" ref="BR133">SUM(_xlfn._xlws.FILTER(_xlfn._xlws.FILTER(headcountData,(headcountDataDepts=$D133)*(headcountDataIDs=$E133)),(startDates&gt;=BR$95)*(endDates=BR$96)))</f>
        <v>0</v>
      </c>
      <c r="BS133" s="676" cm="1">
        <f t="array" ref="BS133">SUM(_xlfn._xlws.FILTER(_xlfn._xlws.FILTER(headcountData,(headcountDataDepts=$D133)*(headcountDataIDs=$E133)),(startDates&gt;=BS$95)*(endDates=BS$96)))</f>
        <v>0</v>
      </c>
      <c r="BT133" s="676" cm="1">
        <f t="array" ref="BT133">SUM(_xlfn._xlws.FILTER(_xlfn._xlws.FILTER(headcountData,(headcountDataDepts=$D133)*(headcountDataIDs=$E133)),(startDates&gt;=BT$95)*(endDates=BT$96)))</f>
        <v>0</v>
      </c>
      <c r="BU133" s="676" cm="1">
        <f t="array" ref="BU133">SUM(_xlfn._xlws.FILTER(_xlfn._xlws.FILTER(headcountData,(headcountDataDepts=$D133)*(headcountDataIDs=$E133)),(startDates&gt;=BU$95)*(endDates=BU$96)))</f>
        <v>0</v>
      </c>
      <c r="BV133" s="676" cm="1">
        <f t="array" ref="BV133">SUM(_xlfn._xlws.FILTER(_xlfn._xlws.FILTER(headcountData,(headcountDataDepts=$D133)*(headcountDataIDs=$E133)),(startDates&gt;=BV$95)*(endDates=BV$96)))</f>
        <v>0</v>
      </c>
      <c r="BW133" s="676" cm="1">
        <f t="array" ref="BW133">SUM(_xlfn._xlws.FILTER(_xlfn._xlws.FILTER(headcountData,(headcountDataDepts=$D133)*(headcountDataIDs=$E133)),(startDates&gt;=BW$95)*(endDates=BW$96)))</f>
        <v>0</v>
      </c>
      <c r="BX133" s="676" cm="1">
        <f t="array" ref="BX133">SUM(_xlfn._xlws.FILTER(_xlfn._xlws.FILTER(headcountData,(headcountDataDepts=$D133)*(headcountDataIDs=$E133)),(startDates&gt;=BX$95)*(endDates=BX$96)))</f>
        <v>0</v>
      </c>
      <c r="BY133" s="676" cm="1">
        <f t="array" ref="BY133">SUM(_xlfn._xlws.FILTER(_xlfn._xlws.FILTER(headcountData,(headcountDataDepts=$D133)*(headcountDataIDs=$E133)),(startDates&gt;=BY$95)*(endDates=BY$96)))</f>
        <v>0</v>
      </c>
      <c r="BZ133" s="676" cm="1">
        <f t="array" ref="BZ133">SUM(_xlfn._xlws.FILTER(_xlfn._xlws.FILTER(headcountData,(headcountDataDepts=$D133)*(headcountDataIDs=$E133)),(startDates&gt;=BZ$95)*(endDates=BZ$96)))</f>
        <v>0</v>
      </c>
      <c r="CA133" s="676" cm="1">
        <f t="array" ref="CA133">SUM(_xlfn._xlws.FILTER(_xlfn._xlws.FILTER(headcountData,(headcountDataDepts=$D133)*(headcountDataIDs=$E133)),(startDates&gt;=CA$95)*(endDates=CA$96)))</f>
        <v>0</v>
      </c>
      <c r="CB133" s="676" cm="1">
        <f t="array" ref="CB133">SUM(_xlfn._xlws.FILTER(_xlfn._xlws.FILTER(headcountData,(headcountDataDepts=$D133)*(headcountDataIDs=$E133)),(startDates&gt;=CB$95)*(endDates=CB$96)))</f>
        <v>0</v>
      </c>
      <c r="CC133" s="676" cm="1">
        <f t="array" ref="CC133">SUM(_xlfn._xlws.FILTER(_xlfn._xlws.FILTER(headcountData,(headcountDataDepts=$D133)*(headcountDataIDs=$E133)),(startDates&gt;=CC$95)*(endDates=CC$96)))</f>
        <v>0</v>
      </c>
      <c r="CD133" s="676" cm="1">
        <f t="array" ref="CD133">SUM(_xlfn._xlws.FILTER(_xlfn._xlws.FILTER(headcountData,(headcountDataDepts=$D133)*(headcountDataIDs=$E133)),(startDates&gt;=CD$95)*(endDates=CD$96)))</f>
        <v>0</v>
      </c>
      <c r="CE133" s="676" cm="1">
        <f t="array" ref="CE133">SUM(_xlfn._xlws.FILTER(_xlfn._xlws.FILTER(headcountData,(headcountDataDepts=$D133)*(headcountDataIDs=$E133)),(startDates&gt;=CE$95)*(endDates=CE$96)))</f>
        <v>0</v>
      </c>
      <c r="CF133" s="676" cm="1">
        <f t="array" ref="CF133">SUM(_xlfn._xlws.FILTER(_xlfn._xlws.FILTER(headcountData,(headcountDataDepts=$D133)*(headcountDataIDs=$E133)),(startDates&gt;=CF$95)*(endDates=CF$96)))</f>
        <v>0</v>
      </c>
      <c r="CG133" s="676" cm="1">
        <f t="array" ref="CG133">SUM(_xlfn._xlws.FILTER(_xlfn._xlws.FILTER(headcountData,(headcountDataDepts=$D133)*(headcountDataIDs=$E133)),(startDates&gt;=CG$95)*(endDates=CG$96)))</f>
        <v>0</v>
      </c>
    </row>
    <row r="134" spans="3:85" ht="15.75" hidden="1" customHeight="1" outlineLevel="1">
      <c r="C134" s="677" t="s">
        <v>195</v>
      </c>
      <c r="D134" s="149" t="s">
        <v>185</v>
      </c>
      <c r="E134" s="150" t="s">
        <v>196</v>
      </c>
      <c r="J134" s="676" cm="1">
        <f t="array" ref="J134">SUM(_xlfn._xlws.FILTER(_xlfn._xlws.FILTER(headcountData,(headcountDataDepts=$D134)*(headcountDataIDs=$E134)),(startDates&gt;=J$95)*(endDates=J$96)))</f>
        <v>0</v>
      </c>
      <c r="K134" s="676" cm="1">
        <f t="array" ref="K134">SUM(_xlfn._xlws.FILTER(_xlfn._xlws.FILTER(headcountData,(headcountDataDepts=$D134)*(headcountDataIDs=$E134)),(startDates&gt;=K$95)*(endDates=K$96)))</f>
        <v>0</v>
      </c>
      <c r="N134" s="676" cm="1">
        <f t="array" ref="N134">SUM(_xlfn._xlws.FILTER(_xlfn._xlws.FILTER(headcountData,(headcountDataDepts=$D134)*(headcountDataIDs=$E134)),(startDates&gt;=N$95)*(endDates=N$96)))</f>
        <v>0</v>
      </c>
      <c r="O134" s="676" cm="1">
        <f t="array" ref="O134">SUM(_xlfn._xlws.FILTER(_xlfn._xlws.FILTER(headcountData,(headcountDataDepts=$D134)*(headcountDataIDs=$E134)),(startDates&gt;=O$95)*(endDates=O$96)))</f>
        <v>0</v>
      </c>
      <c r="P134" s="676" cm="1">
        <f t="array" ref="P134">SUM(_xlfn._xlws.FILTER(_xlfn._xlws.FILTER(headcountData,(headcountDataDepts=$D134)*(headcountDataIDs=$E134)),(startDates&gt;=P$95)*(endDates=P$96)))</f>
        <v>0</v>
      </c>
      <c r="Q134" s="676" cm="1">
        <f t="array" ref="Q134">SUM(_xlfn._xlws.FILTER(_xlfn._xlws.FILTER(headcountData,(headcountDataDepts=$D134)*(headcountDataIDs=$E134)),(startDates&gt;=Q$95)*(endDates=Q$96)))</f>
        <v>0</v>
      </c>
      <c r="T134" s="676" cm="1">
        <f t="array" ref="T134">SUM(_xlfn._xlws.FILTER(_xlfn._xlws.FILTER(headcountData,(headcountDataDepts=$D134)*(headcountDataIDs=$E134)),(startDates&gt;=T$95)*(endDates=T$96)))</f>
        <v>0</v>
      </c>
      <c r="U134" s="676" cm="1">
        <f t="array" ref="U134">SUM(_xlfn._xlws.FILTER(_xlfn._xlws.FILTER(headcountData,(headcountDataDepts=$D134)*(headcountDataIDs=$E134)),(startDates&gt;=U$95)*(endDates=U$96)))</f>
        <v>0</v>
      </c>
      <c r="V134" s="676" cm="1">
        <f t="array" ref="V134">SUM(_xlfn._xlws.FILTER(_xlfn._xlws.FILTER(headcountData,(headcountDataDepts=$D134)*(headcountDataIDs=$E134)),(startDates&gt;=V$95)*(endDates=V$96)))</f>
        <v>0</v>
      </c>
      <c r="W134" s="676" cm="1">
        <f t="array" ref="W134">SUM(_xlfn._xlws.FILTER(_xlfn._xlws.FILTER(headcountData,(headcountDataDepts=$D134)*(headcountDataIDs=$E134)),(startDates&gt;=W$95)*(endDates=W$96)))</f>
        <v>0</v>
      </c>
      <c r="X134" s="676" cm="1">
        <f t="array" ref="X134">SUM(_xlfn._xlws.FILTER(_xlfn._xlws.FILTER(headcountData,(headcountDataDepts=$D134)*(headcountDataIDs=$E134)),(startDates&gt;=X$95)*(endDates=X$96)))</f>
        <v>0</v>
      </c>
      <c r="Y134" s="676" cm="1">
        <f t="array" ref="Y134">SUM(_xlfn._xlws.FILTER(_xlfn._xlws.FILTER(headcountData,(headcountDataDepts=$D134)*(headcountDataIDs=$E134)),(startDates&gt;=Y$95)*(endDates=Y$96)))</f>
        <v>0</v>
      </c>
      <c r="Z134" s="676" cm="1">
        <f t="array" ref="Z134">SUM(_xlfn._xlws.FILTER(_xlfn._xlws.FILTER(headcountData,(headcountDataDepts=$D134)*(headcountDataIDs=$E134)),(startDates&gt;=Z$95)*(endDates=Z$96)))</f>
        <v>0</v>
      </c>
      <c r="AA134" s="676" cm="1">
        <f t="array" ref="AA134">SUM(_xlfn._xlws.FILTER(_xlfn._xlws.FILTER(headcountData,(headcountDataDepts=$D134)*(headcountDataIDs=$E134)),(startDates&gt;=AA$95)*(endDates=AA$96)))</f>
        <v>0</v>
      </c>
      <c r="AB134" s="676" cm="1">
        <f t="array" ref="AB134">SUM(_xlfn._xlws.FILTER(_xlfn._xlws.FILTER(headcountData,(headcountDataDepts=$D134)*(headcountDataIDs=$E134)),(startDates&gt;=AB$95)*(endDates=AB$96)))</f>
        <v>0</v>
      </c>
      <c r="AC134" s="676" cm="1">
        <f t="array" ref="AC134">SUM(_xlfn._xlws.FILTER(_xlfn._xlws.FILTER(headcountData,(headcountDataDepts=$D134)*(headcountDataIDs=$E134)),(startDates&gt;=AC$95)*(endDates=AC$96)))</f>
        <v>0</v>
      </c>
      <c r="AD134" s="676" cm="1">
        <f t="array" ref="AD134">SUM(_xlfn._xlws.FILTER(_xlfn._xlws.FILTER(headcountData,(headcountDataDepts=$D134)*(headcountDataIDs=$E134)),(startDates&gt;=AD$95)*(endDates=AD$96)))</f>
        <v>0</v>
      </c>
      <c r="AE134" s="676" cm="1">
        <f t="array" ref="AE134">SUM(_xlfn._xlws.FILTER(_xlfn._xlws.FILTER(headcountData,(headcountDataDepts=$D134)*(headcountDataIDs=$E134)),(startDates&gt;=AE$95)*(endDates=AE$96)))</f>
        <v>0</v>
      </c>
      <c r="AF134" s="676" cm="1">
        <f t="array" ref="AF134">SUM(_xlfn._xlws.FILTER(_xlfn._xlws.FILTER(headcountData,(headcountDataDepts=$D134)*(headcountDataIDs=$E134)),(startDates&gt;=AF$95)*(endDates=AF$96)))</f>
        <v>0</v>
      </c>
      <c r="AG134" s="676" cm="1">
        <f t="array" ref="AG134">SUM(_xlfn._xlws.FILTER(_xlfn._xlws.FILTER(headcountData,(headcountDataDepts=$D134)*(headcountDataIDs=$E134)),(startDates&gt;=AG$95)*(endDates=AG$96)))</f>
        <v>0</v>
      </c>
      <c r="AH134" s="676" cm="1">
        <f t="array" ref="AH134">SUM(_xlfn._xlws.FILTER(_xlfn._xlws.FILTER(headcountData,(headcountDataDepts=$D134)*(headcountDataIDs=$E134)),(startDates&gt;=AH$95)*(endDates=AH$96)))</f>
        <v>0</v>
      </c>
      <c r="AI134" s="676" cm="1">
        <f t="array" ref="AI134">SUM(_xlfn._xlws.FILTER(_xlfn._xlws.FILTER(headcountData,(headcountDataDepts=$D134)*(headcountDataIDs=$E134)),(startDates&gt;=AI$95)*(endDates=AI$96)))</f>
        <v>0</v>
      </c>
      <c r="AL134" s="676" cm="1">
        <f t="array" ref="AL134">SUM(_xlfn._xlws.FILTER(_xlfn._xlws.FILTER(headcountData,(headcountDataDepts=$D134)*(headcountDataIDs=$E134)),(startDates&gt;=AL$95)*(endDates=AL$96)))</f>
        <v>0</v>
      </c>
      <c r="AM134" s="676" cm="1">
        <f t="array" ref="AM134">SUM(_xlfn._xlws.FILTER(_xlfn._xlws.FILTER(headcountData,(headcountDataDepts=$D134)*(headcountDataIDs=$E134)),(startDates&gt;=AM$95)*(endDates=AM$96)))</f>
        <v>0</v>
      </c>
      <c r="AN134" s="676" cm="1">
        <f t="array" ref="AN134">SUM(_xlfn._xlws.FILTER(_xlfn._xlws.FILTER(headcountData,(headcountDataDepts=$D134)*(headcountDataIDs=$E134)),(startDates&gt;=AN$95)*(endDates=AN$96)))</f>
        <v>0</v>
      </c>
      <c r="AO134" s="676" cm="1">
        <f t="array" ref="AO134">SUM(_xlfn._xlws.FILTER(_xlfn._xlws.FILTER(headcountData,(headcountDataDepts=$D134)*(headcountDataIDs=$E134)),(startDates&gt;=AO$95)*(endDates=AO$96)))</f>
        <v>0</v>
      </c>
      <c r="AP134" s="676" cm="1">
        <f t="array" ref="AP134">SUM(_xlfn._xlws.FILTER(_xlfn._xlws.FILTER(headcountData,(headcountDataDepts=$D134)*(headcountDataIDs=$E134)),(startDates&gt;=AP$95)*(endDates=AP$96)))</f>
        <v>0</v>
      </c>
      <c r="AQ134" s="676" cm="1">
        <f t="array" ref="AQ134">SUM(_xlfn._xlws.FILTER(_xlfn._xlws.FILTER(headcountData,(headcountDataDepts=$D134)*(headcountDataIDs=$E134)),(startDates&gt;=AQ$95)*(endDates=AQ$96)))</f>
        <v>0</v>
      </c>
      <c r="AR134" s="676" cm="1">
        <f t="array" ref="AR134">SUM(_xlfn._xlws.FILTER(_xlfn._xlws.FILTER(headcountData,(headcountDataDepts=$D134)*(headcountDataIDs=$E134)),(startDates&gt;=AR$95)*(endDates=AR$96)))</f>
        <v>0</v>
      </c>
      <c r="AS134" s="676" cm="1">
        <f t="array" ref="AS134">SUM(_xlfn._xlws.FILTER(_xlfn._xlws.FILTER(headcountData,(headcountDataDepts=$D134)*(headcountDataIDs=$E134)),(startDates&gt;=AS$95)*(endDates=AS$96)))</f>
        <v>0</v>
      </c>
      <c r="AT134" s="676" cm="1">
        <f t="array" ref="AT134">SUM(_xlfn._xlws.FILTER(_xlfn._xlws.FILTER(headcountData,(headcountDataDepts=$D134)*(headcountDataIDs=$E134)),(startDates&gt;=AT$95)*(endDates=AT$96)))</f>
        <v>0</v>
      </c>
      <c r="AU134" s="676" cm="1">
        <f t="array" ref="AU134">SUM(_xlfn._xlws.FILTER(_xlfn._xlws.FILTER(headcountData,(headcountDataDepts=$D134)*(headcountDataIDs=$E134)),(startDates&gt;=AU$95)*(endDates=AU$96)))</f>
        <v>0</v>
      </c>
      <c r="AV134" s="676" cm="1">
        <f t="array" ref="AV134">SUM(_xlfn._xlws.FILTER(_xlfn._xlws.FILTER(headcountData,(headcountDataDepts=$D134)*(headcountDataIDs=$E134)),(startDates&gt;=AV$95)*(endDates=AV$96)))</f>
        <v>0</v>
      </c>
      <c r="AW134" s="676" cm="1">
        <f t="array" ref="AW134">SUM(_xlfn._xlws.FILTER(_xlfn._xlws.FILTER(headcountData,(headcountDataDepts=$D134)*(headcountDataIDs=$E134)),(startDates&gt;=AW$95)*(endDates=AW$96)))</f>
        <v>0</v>
      </c>
      <c r="AX134" s="676" cm="1">
        <f t="array" ref="AX134">SUM(_xlfn._xlws.FILTER(_xlfn._xlws.FILTER(headcountData,(headcountDataDepts=$D134)*(headcountDataIDs=$E134)),(startDates&gt;=AX$95)*(endDates=AX$96)))</f>
        <v>0</v>
      </c>
      <c r="AY134" s="676" cm="1">
        <f t="array" ref="AY134">SUM(_xlfn._xlws.FILTER(_xlfn._xlws.FILTER(headcountData,(headcountDataDepts=$D134)*(headcountDataIDs=$E134)),(startDates&gt;=AY$95)*(endDates=AY$96)))</f>
        <v>0</v>
      </c>
      <c r="AZ134" s="676" cm="1">
        <f t="array" ref="AZ134">SUM(_xlfn._xlws.FILTER(_xlfn._xlws.FILTER(headcountData,(headcountDataDepts=$D134)*(headcountDataIDs=$E134)),(startDates&gt;=AZ$95)*(endDates=AZ$96)))</f>
        <v>0</v>
      </c>
      <c r="BA134" s="676" cm="1">
        <f t="array" ref="BA134">SUM(_xlfn._xlws.FILTER(_xlfn._xlws.FILTER(headcountData,(headcountDataDepts=$D134)*(headcountDataIDs=$E134)),(startDates&gt;=BA$95)*(endDates=BA$96)))</f>
        <v>0</v>
      </c>
      <c r="BB134" s="676" cm="1">
        <f t="array" ref="BB134">SUM(_xlfn._xlws.FILTER(_xlfn._xlws.FILTER(headcountData,(headcountDataDepts=$D134)*(headcountDataIDs=$E134)),(startDates&gt;=BB$95)*(endDates=BB$96)))</f>
        <v>0</v>
      </c>
      <c r="BC134" s="676" cm="1">
        <f t="array" ref="BC134">SUM(_xlfn._xlws.FILTER(_xlfn._xlws.FILTER(headcountData,(headcountDataDepts=$D134)*(headcountDataIDs=$E134)),(startDates&gt;=BC$95)*(endDates=BC$96)))</f>
        <v>0</v>
      </c>
      <c r="BD134" s="676" cm="1">
        <f t="array" ref="BD134">SUM(_xlfn._xlws.FILTER(_xlfn._xlws.FILTER(headcountData,(headcountDataDepts=$D134)*(headcountDataIDs=$E134)),(startDates&gt;=BD$95)*(endDates=BD$96)))</f>
        <v>0</v>
      </c>
      <c r="BE134" s="676" cm="1">
        <f t="array" ref="BE134">SUM(_xlfn._xlws.FILTER(_xlfn._xlws.FILTER(headcountData,(headcountDataDepts=$D134)*(headcountDataIDs=$E134)),(startDates&gt;=BE$95)*(endDates=BE$96)))</f>
        <v>0</v>
      </c>
      <c r="BF134" s="676" cm="1">
        <f t="array" ref="BF134">SUM(_xlfn._xlws.FILTER(_xlfn._xlws.FILTER(headcountData,(headcountDataDepts=$D134)*(headcountDataIDs=$E134)),(startDates&gt;=BF$95)*(endDates=BF$96)))</f>
        <v>0</v>
      </c>
      <c r="BG134" s="676" cm="1">
        <f t="array" ref="BG134">SUM(_xlfn._xlws.FILTER(_xlfn._xlws.FILTER(headcountData,(headcountDataDepts=$D134)*(headcountDataIDs=$E134)),(startDates&gt;=BG$95)*(endDates=BG$96)))</f>
        <v>0</v>
      </c>
      <c r="BH134" s="676" cm="1">
        <f t="array" ref="BH134">SUM(_xlfn._xlws.FILTER(_xlfn._xlws.FILTER(headcountData,(headcountDataDepts=$D134)*(headcountDataIDs=$E134)),(startDates&gt;=BH$95)*(endDates=BH$96)))</f>
        <v>0</v>
      </c>
      <c r="BI134" s="676" cm="1">
        <f t="array" ref="BI134">SUM(_xlfn._xlws.FILTER(_xlfn._xlws.FILTER(headcountData,(headcountDataDepts=$D134)*(headcountDataIDs=$E134)),(startDates&gt;=BI$95)*(endDates=BI$96)))</f>
        <v>0</v>
      </c>
      <c r="BJ134" s="676" cm="1">
        <f t="array" ref="BJ134">SUM(_xlfn._xlws.FILTER(_xlfn._xlws.FILTER(headcountData,(headcountDataDepts=$D134)*(headcountDataIDs=$E134)),(startDates&gt;=BJ$95)*(endDates=BJ$96)))</f>
        <v>0</v>
      </c>
      <c r="BK134" s="676" cm="1">
        <f t="array" ref="BK134">SUM(_xlfn._xlws.FILTER(_xlfn._xlws.FILTER(headcountData,(headcountDataDepts=$D134)*(headcountDataIDs=$E134)),(startDates&gt;=BK$95)*(endDates=BK$96)))</f>
        <v>0</v>
      </c>
      <c r="BL134" s="676" cm="1">
        <f t="array" ref="BL134">SUM(_xlfn._xlws.FILTER(_xlfn._xlws.FILTER(headcountData,(headcountDataDepts=$D134)*(headcountDataIDs=$E134)),(startDates&gt;=BL$95)*(endDates=BL$96)))</f>
        <v>0</v>
      </c>
      <c r="BM134" s="676" cm="1">
        <f t="array" ref="BM134">SUM(_xlfn._xlws.FILTER(_xlfn._xlws.FILTER(headcountData,(headcountDataDepts=$D134)*(headcountDataIDs=$E134)),(startDates&gt;=BM$95)*(endDates=BM$96)))</f>
        <v>0</v>
      </c>
      <c r="BN134" s="676" cm="1">
        <f t="array" ref="BN134">SUM(_xlfn._xlws.FILTER(_xlfn._xlws.FILTER(headcountData,(headcountDataDepts=$D134)*(headcountDataIDs=$E134)),(startDates&gt;=BN$95)*(endDates=BN$96)))</f>
        <v>0</v>
      </c>
      <c r="BO134" s="676" cm="1">
        <f t="array" ref="BO134">SUM(_xlfn._xlws.FILTER(_xlfn._xlws.FILTER(headcountData,(headcountDataDepts=$D134)*(headcountDataIDs=$E134)),(startDates&gt;=BO$95)*(endDates=BO$96)))</f>
        <v>0</v>
      </c>
      <c r="BP134" s="676" cm="1">
        <f t="array" ref="BP134">SUM(_xlfn._xlws.FILTER(_xlfn._xlws.FILTER(headcountData,(headcountDataDepts=$D134)*(headcountDataIDs=$E134)),(startDates&gt;=BP$95)*(endDates=BP$96)))</f>
        <v>0</v>
      </c>
      <c r="BQ134" s="676" cm="1">
        <f t="array" ref="BQ134">SUM(_xlfn._xlws.FILTER(_xlfn._xlws.FILTER(headcountData,(headcountDataDepts=$D134)*(headcountDataIDs=$E134)),(startDates&gt;=BQ$95)*(endDates=BQ$96)))</f>
        <v>0</v>
      </c>
      <c r="BR134" s="676" cm="1">
        <f t="array" ref="BR134">SUM(_xlfn._xlws.FILTER(_xlfn._xlws.FILTER(headcountData,(headcountDataDepts=$D134)*(headcountDataIDs=$E134)),(startDates&gt;=BR$95)*(endDates=BR$96)))</f>
        <v>0</v>
      </c>
      <c r="BS134" s="676" cm="1">
        <f t="array" ref="BS134">SUM(_xlfn._xlws.FILTER(_xlfn._xlws.FILTER(headcountData,(headcountDataDepts=$D134)*(headcountDataIDs=$E134)),(startDates&gt;=BS$95)*(endDates=BS$96)))</f>
        <v>0</v>
      </c>
      <c r="BT134" s="676" cm="1">
        <f t="array" ref="BT134">SUM(_xlfn._xlws.FILTER(_xlfn._xlws.FILTER(headcountData,(headcountDataDepts=$D134)*(headcountDataIDs=$E134)),(startDates&gt;=BT$95)*(endDates=BT$96)))</f>
        <v>0</v>
      </c>
      <c r="BU134" s="676" cm="1">
        <f t="array" ref="BU134">SUM(_xlfn._xlws.FILTER(_xlfn._xlws.FILTER(headcountData,(headcountDataDepts=$D134)*(headcountDataIDs=$E134)),(startDates&gt;=BU$95)*(endDates=BU$96)))</f>
        <v>0</v>
      </c>
      <c r="BV134" s="676" cm="1">
        <f t="array" ref="BV134">SUM(_xlfn._xlws.FILTER(_xlfn._xlws.FILTER(headcountData,(headcountDataDepts=$D134)*(headcountDataIDs=$E134)),(startDates&gt;=BV$95)*(endDates=BV$96)))</f>
        <v>0</v>
      </c>
      <c r="BW134" s="676" cm="1">
        <f t="array" ref="BW134">SUM(_xlfn._xlws.FILTER(_xlfn._xlws.FILTER(headcountData,(headcountDataDepts=$D134)*(headcountDataIDs=$E134)),(startDates&gt;=BW$95)*(endDates=BW$96)))</f>
        <v>0</v>
      </c>
      <c r="BX134" s="676" cm="1">
        <f t="array" ref="BX134">SUM(_xlfn._xlws.FILTER(_xlfn._xlws.FILTER(headcountData,(headcountDataDepts=$D134)*(headcountDataIDs=$E134)),(startDates&gt;=BX$95)*(endDates=BX$96)))</f>
        <v>0</v>
      </c>
      <c r="BY134" s="676" cm="1">
        <f t="array" ref="BY134">SUM(_xlfn._xlws.FILTER(_xlfn._xlws.FILTER(headcountData,(headcountDataDepts=$D134)*(headcountDataIDs=$E134)),(startDates&gt;=BY$95)*(endDates=BY$96)))</f>
        <v>0</v>
      </c>
      <c r="BZ134" s="676" cm="1">
        <f t="array" ref="BZ134">SUM(_xlfn._xlws.FILTER(_xlfn._xlws.FILTER(headcountData,(headcountDataDepts=$D134)*(headcountDataIDs=$E134)),(startDates&gt;=BZ$95)*(endDates=BZ$96)))</f>
        <v>0</v>
      </c>
      <c r="CA134" s="676" cm="1">
        <f t="array" ref="CA134">SUM(_xlfn._xlws.FILTER(_xlfn._xlws.FILTER(headcountData,(headcountDataDepts=$D134)*(headcountDataIDs=$E134)),(startDates&gt;=CA$95)*(endDates=CA$96)))</f>
        <v>0</v>
      </c>
      <c r="CB134" s="676" cm="1">
        <f t="array" ref="CB134">SUM(_xlfn._xlws.FILTER(_xlfn._xlws.FILTER(headcountData,(headcountDataDepts=$D134)*(headcountDataIDs=$E134)),(startDates&gt;=CB$95)*(endDates=CB$96)))</f>
        <v>0</v>
      </c>
      <c r="CC134" s="676" cm="1">
        <f t="array" ref="CC134">SUM(_xlfn._xlws.FILTER(_xlfn._xlws.FILTER(headcountData,(headcountDataDepts=$D134)*(headcountDataIDs=$E134)),(startDates&gt;=CC$95)*(endDates=CC$96)))</f>
        <v>0</v>
      </c>
      <c r="CD134" s="676" cm="1">
        <f t="array" ref="CD134">SUM(_xlfn._xlws.FILTER(_xlfn._xlws.FILTER(headcountData,(headcountDataDepts=$D134)*(headcountDataIDs=$E134)),(startDates&gt;=CD$95)*(endDates=CD$96)))</f>
        <v>0</v>
      </c>
      <c r="CE134" s="676" cm="1">
        <f t="array" ref="CE134">SUM(_xlfn._xlws.FILTER(_xlfn._xlws.FILTER(headcountData,(headcountDataDepts=$D134)*(headcountDataIDs=$E134)),(startDates&gt;=CE$95)*(endDates=CE$96)))</f>
        <v>0</v>
      </c>
      <c r="CF134" s="676" cm="1">
        <f t="array" ref="CF134">SUM(_xlfn._xlws.FILTER(_xlfn._xlws.FILTER(headcountData,(headcountDataDepts=$D134)*(headcountDataIDs=$E134)),(startDates&gt;=CF$95)*(endDates=CF$96)))</f>
        <v>0</v>
      </c>
      <c r="CG134" s="676" cm="1">
        <f t="array" ref="CG134">SUM(_xlfn._xlws.FILTER(_xlfn._xlws.FILTER(headcountData,(headcountDataDepts=$D134)*(headcountDataIDs=$E134)),(startDates&gt;=CG$95)*(endDates=CG$96)))</f>
        <v>0</v>
      </c>
    </row>
    <row r="135" spans="3:85" ht="15.75" hidden="1" customHeight="1" outlineLevel="1">
      <c r="C135" s="677" t="s">
        <v>197</v>
      </c>
      <c r="D135" s="149" t="s">
        <v>185</v>
      </c>
      <c r="E135" s="150" t="s">
        <v>198</v>
      </c>
      <c r="J135" s="676" cm="1">
        <f t="array" ref="J135">SUM(_xlfn._xlws.FILTER(_xlfn._xlws.FILTER(headcountData,(headcountDataDepts=$D135)*(headcountDataIDs=$E135)),(startDates&gt;=J$95)*(endDates=J$96)))</f>
        <v>0</v>
      </c>
      <c r="K135" s="676" cm="1">
        <f t="array" ref="K135">SUM(_xlfn._xlws.FILTER(_xlfn._xlws.FILTER(headcountData,(headcountDataDepts=$D135)*(headcountDataIDs=$E135)),(startDates&gt;=K$95)*(endDates=K$96)))</f>
        <v>0</v>
      </c>
      <c r="N135" s="676" cm="1">
        <f t="array" ref="N135">SUM(_xlfn._xlws.FILTER(_xlfn._xlws.FILTER(headcountData,(headcountDataDepts=$D135)*(headcountDataIDs=$E135)),(startDates&gt;=N$95)*(endDates=N$96)))</f>
        <v>0</v>
      </c>
      <c r="O135" s="676" cm="1">
        <f t="array" ref="O135">SUM(_xlfn._xlws.FILTER(_xlfn._xlws.FILTER(headcountData,(headcountDataDepts=$D135)*(headcountDataIDs=$E135)),(startDates&gt;=O$95)*(endDates=O$96)))</f>
        <v>0</v>
      </c>
      <c r="P135" s="676" cm="1">
        <f t="array" ref="P135">SUM(_xlfn._xlws.FILTER(_xlfn._xlws.FILTER(headcountData,(headcountDataDepts=$D135)*(headcountDataIDs=$E135)),(startDates&gt;=P$95)*(endDates=P$96)))</f>
        <v>0</v>
      </c>
      <c r="Q135" s="676" cm="1">
        <f t="array" ref="Q135">SUM(_xlfn._xlws.FILTER(_xlfn._xlws.FILTER(headcountData,(headcountDataDepts=$D135)*(headcountDataIDs=$E135)),(startDates&gt;=Q$95)*(endDates=Q$96)))</f>
        <v>0</v>
      </c>
      <c r="T135" s="676" cm="1">
        <f t="array" ref="T135">SUM(_xlfn._xlws.FILTER(_xlfn._xlws.FILTER(headcountData,(headcountDataDepts=$D135)*(headcountDataIDs=$E135)),(startDates&gt;=T$95)*(endDates=T$96)))</f>
        <v>0</v>
      </c>
      <c r="U135" s="676" cm="1">
        <f t="array" ref="U135">SUM(_xlfn._xlws.FILTER(_xlfn._xlws.FILTER(headcountData,(headcountDataDepts=$D135)*(headcountDataIDs=$E135)),(startDates&gt;=U$95)*(endDates=U$96)))</f>
        <v>0</v>
      </c>
      <c r="V135" s="676" cm="1">
        <f t="array" ref="V135">SUM(_xlfn._xlws.FILTER(_xlfn._xlws.FILTER(headcountData,(headcountDataDepts=$D135)*(headcountDataIDs=$E135)),(startDates&gt;=V$95)*(endDates=V$96)))</f>
        <v>0</v>
      </c>
      <c r="W135" s="676" cm="1">
        <f t="array" ref="W135">SUM(_xlfn._xlws.FILTER(_xlfn._xlws.FILTER(headcountData,(headcountDataDepts=$D135)*(headcountDataIDs=$E135)),(startDates&gt;=W$95)*(endDates=W$96)))</f>
        <v>0</v>
      </c>
      <c r="X135" s="676" cm="1">
        <f t="array" ref="X135">SUM(_xlfn._xlws.FILTER(_xlfn._xlws.FILTER(headcountData,(headcountDataDepts=$D135)*(headcountDataIDs=$E135)),(startDates&gt;=X$95)*(endDates=X$96)))</f>
        <v>0</v>
      </c>
      <c r="Y135" s="676" cm="1">
        <f t="array" ref="Y135">SUM(_xlfn._xlws.FILTER(_xlfn._xlws.FILTER(headcountData,(headcountDataDepts=$D135)*(headcountDataIDs=$E135)),(startDates&gt;=Y$95)*(endDates=Y$96)))</f>
        <v>0</v>
      </c>
      <c r="Z135" s="676" cm="1">
        <f t="array" ref="Z135">SUM(_xlfn._xlws.FILTER(_xlfn._xlws.FILTER(headcountData,(headcountDataDepts=$D135)*(headcountDataIDs=$E135)),(startDates&gt;=Z$95)*(endDates=Z$96)))</f>
        <v>0</v>
      </c>
      <c r="AA135" s="676" cm="1">
        <f t="array" ref="AA135">SUM(_xlfn._xlws.FILTER(_xlfn._xlws.FILTER(headcountData,(headcountDataDepts=$D135)*(headcountDataIDs=$E135)),(startDates&gt;=AA$95)*(endDates=AA$96)))</f>
        <v>0</v>
      </c>
      <c r="AB135" s="676" cm="1">
        <f t="array" ref="AB135">SUM(_xlfn._xlws.FILTER(_xlfn._xlws.FILTER(headcountData,(headcountDataDepts=$D135)*(headcountDataIDs=$E135)),(startDates&gt;=AB$95)*(endDates=AB$96)))</f>
        <v>0</v>
      </c>
      <c r="AC135" s="676" cm="1">
        <f t="array" ref="AC135">SUM(_xlfn._xlws.FILTER(_xlfn._xlws.FILTER(headcountData,(headcountDataDepts=$D135)*(headcountDataIDs=$E135)),(startDates&gt;=AC$95)*(endDates=AC$96)))</f>
        <v>0</v>
      </c>
      <c r="AD135" s="676" cm="1">
        <f t="array" ref="AD135">SUM(_xlfn._xlws.FILTER(_xlfn._xlws.FILTER(headcountData,(headcountDataDepts=$D135)*(headcountDataIDs=$E135)),(startDates&gt;=AD$95)*(endDates=AD$96)))</f>
        <v>0</v>
      </c>
      <c r="AE135" s="676" cm="1">
        <f t="array" ref="AE135">SUM(_xlfn._xlws.FILTER(_xlfn._xlws.FILTER(headcountData,(headcountDataDepts=$D135)*(headcountDataIDs=$E135)),(startDates&gt;=AE$95)*(endDates=AE$96)))</f>
        <v>0</v>
      </c>
      <c r="AF135" s="676" cm="1">
        <f t="array" ref="AF135">SUM(_xlfn._xlws.FILTER(_xlfn._xlws.FILTER(headcountData,(headcountDataDepts=$D135)*(headcountDataIDs=$E135)),(startDates&gt;=AF$95)*(endDates=AF$96)))</f>
        <v>0</v>
      </c>
      <c r="AG135" s="676" cm="1">
        <f t="array" ref="AG135">SUM(_xlfn._xlws.FILTER(_xlfn._xlws.FILTER(headcountData,(headcountDataDepts=$D135)*(headcountDataIDs=$E135)),(startDates&gt;=AG$95)*(endDates=AG$96)))</f>
        <v>0</v>
      </c>
      <c r="AH135" s="676" cm="1">
        <f t="array" ref="AH135">SUM(_xlfn._xlws.FILTER(_xlfn._xlws.FILTER(headcountData,(headcountDataDepts=$D135)*(headcountDataIDs=$E135)),(startDates&gt;=AH$95)*(endDates=AH$96)))</f>
        <v>0</v>
      </c>
      <c r="AI135" s="676" cm="1">
        <f t="array" ref="AI135">SUM(_xlfn._xlws.FILTER(_xlfn._xlws.FILTER(headcountData,(headcountDataDepts=$D135)*(headcountDataIDs=$E135)),(startDates&gt;=AI$95)*(endDates=AI$96)))</f>
        <v>0</v>
      </c>
      <c r="AL135" s="676" cm="1">
        <f t="array" ref="AL135">SUM(_xlfn._xlws.FILTER(_xlfn._xlws.FILTER(headcountData,(headcountDataDepts=$D135)*(headcountDataIDs=$E135)),(startDates&gt;=AL$95)*(endDates=AL$96)))</f>
        <v>0</v>
      </c>
      <c r="AM135" s="676" cm="1">
        <f t="array" ref="AM135">SUM(_xlfn._xlws.FILTER(_xlfn._xlws.FILTER(headcountData,(headcountDataDepts=$D135)*(headcountDataIDs=$E135)),(startDates&gt;=AM$95)*(endDates=AM$96)))</f>
        <v>0</v>
      </c>
      <c r="AN135" s="676" cm="1">
        <f t="array" ref="AN135">SUM(_xlfn._xlws.FILTER(_xlfn._xlws.FILTER(headcountData,(headcountDataDepts=$D135)*(headcountDataIDs=$E135)),(startDates&gt;=AN$95)*(endDates=AN$96)))</f>
        <v>0</v>
      </c>
      <c r="AO135" s="676" cm="1">
        <f t="array" ref="AO135">SUM(_xlfn._xlws.FILTER(_xlfn._xlws.FILTER(headcountData,(headcountDataDepts=$D135)*(headcountDataIDs=$E135)),(startDates&gt;=AO$95)*(endDates=AO$96)))</f>
        <v>0</v>
      </c>
      <c r="AP135" s="676" cm="1">
        <f t="array" ref="AP135">SUM(_xlfn._xlws.FILTER(_xlfn._xlws.FILTER(headcountData,(headcountDataDepts=$D135)*(headcountDataIDs=$E135)),(startDates&gt;=AP$95)*(endDates=AP$96)))</f>
        <v>0</v>
      </c>
      <c r="AQ135" s="676" cm="1">
        <f t="array" ref="AQ135">SUM(_xlfn._xlws.FILTER(_xlfn._xlws.FILTER(headcountData,(headcountDataDepts=$D135)*(headcountDataIDs=$E135)),(startDates&gt;=AQ$95)*(endDates=AQ$96)))</f>
        <v>0</v>
      </c>
      <c r="AR135" s="676" cm="1">
        <f t="array" ref="AR135">SUM(_xlfn._xlws.FILTER(_xlfn._xlws.FILTER(headcountData,(headcountDataDepts=$D135)*(headcountDataIDs=$E135)),(startDates&gt;=AR$95)*(endDates=AR$96)))</f>
        <v>0</v>
      </c>
      <c r="AS135" s="676" cm="1">
        <f t="array" ref="AS135">SUM(_xlfn._xlws.FILTER(_xlfn._xlws.FILTER(headcountData,(headcountDataDepts=$D135)*(headcountDataIDs=$E135)),(startDates&gt;=AS$95)*(endDates=AS$96)))</f>
        <v>0</v>
      </c>
      <c r="AT135" s="676" cm="1">
        <f t="array" ref="AT135">SUM(_xlfn._xlws.FILTER(_xlfn._xlws.FILTER(headcountData,(headcountDataDepts=$D135)*(headcountDataIDs=$E135)),(startDates&gt;=AT$95)*(endDates=AT$96)))</f>
        <v>0</v>
      </c>
      <c r="AU135" s="676" cm="1">
        <f t="array" ref="AU135">SUM(_xlfn._xlws.FILTER(_xlfn._xlws.FILTER(headcountData,(headcountDataDepts=$D135)*(headcountDataIDs=$E135)),(startDates&gt;=AU$95)*(endDates=AU$96)))</f>
        <v>0</v>
      </c>
      <c r="AV135" s="676" cm="1">
        <f t="array" ref="AV135">SUM(_xlfn._xlws.FILTER(_xlfn._xlws.FILTER(headcountData,(headcountDataDepts=$D135)*(headcountDataIDs=$E135)),(startDates&gt;=AV$95)*(endDates=AV$96)))</f>
        <v>0</v>
      </c>
      <c r="AW135" s="676" cm="1">
        <f t="array" ref="AW135">SUM(_xlfn._xlws.FILTER(_xlfn._xlws.FILTER(headcountData,(headcountDataDepts=$D135)*(headcountDataIDs=$E135)),(startDates&gt;=AW$95)*(endDates=AW$96)))</f>
        <v>0</v>
      </c>
      <c r="AX135" s="676" cm="1">
        <f t="array" ref="AX135">SUM(_xlfn._xlws.FILTER(_xlfn._xlws.FILTER(headcountData,(headcountDataDepts=$D135)*(headcountDataIDs=$E135)),(startDates&gt;=AX$95)*(endDates=AX$96)))</f>
        <v>0</v>
      </c>
      <c r="AY135" s="676" cm="1">
        <f t="array" ref="AY135">SUM(_xlfn._xlws.FILTER(_xlfn._xlws.FILTER(headcountData,(headcountDataDepts=$D135)*(headcountDataIDs=$E135)),(startDates&gt;=AY$95)*(endDates=AY$96)))</f>
        <v>0</v>
      </c>
      <c r="AZ135" s="676" cm="1">
        <f t="array" ref="AZ135">SUM(_xlfn._xlws.FILTER(_xlfn._xlws.FILTER(headcountData,(headcountDataDepts=$D135)*(headcountDataIDs=$E135)),(startDates&gt;=AZ$95)*(endDates=AZ$96)))</f>
        <v>0</v>
      </c>
      <c r="BA135" s="676" cm="1">
        <f t="array" ref="BA135">SUM(_xlfn._xlws.FILTER(_xlfn._xlws.FILTER(headcountData,(headcountDataDepts=$D135)*(headcountDataIDs=$E135)),(startDates&gt;=BA$95)*(endDates=BA$96)))</f>
        <v>0</v>
      </c>
      <c r="BB135" s="676" cm="1">
        <f t="array" ref="BB135">SUM(_xlfn._xlws.FILTER(_xlfn._xlws.FILTER(headcountData,(headcountDataDepts=$D135)*(headcountDataIDs=$E135)),(startDates&gt;=BB$95)*(endDates=BB$96)))</f>
        <v>0</v>
      </c>
      <c r="BC135" s="676" cm="1">
        <f t="array" ref="BC135">SUM(_xlfn._xlws.FILTER(_xlfn._xlws.FILTER(headcountData,(headcountDataDepts=$D135)*(headcountDataIDs=$E135)),(startDates&gt;=BC$95)*(endDates=BC$96)))</f>
        <v>0</v>
      </c>
      <c r="BD135" s="676" cm="1">
        <f t="array" ref="BD135">SUM(_xlfn._xlws.FILTER(_xlfn._xlws.FILTER(headcountData,(headcountDataDepts=$D135)*(headcountDataIDs=$E135)),(startDates&gt;=BD$95)*(endDates=BD$96)))</f>
        <v>0</v>
      </c>
      <c r="BE135" s="676" cm="1">
        <f t="array" ref="BE135">SUM(_xlfn._xlws.FILTER(_xlfn._xlws.FILTER(headcountData,(headcountDataDepts=$D135)*(headcountDataIDs=$E135)),(startDates&gt;=BE$95)*(endDates=BE$96)))</f>
        <v>0</v>
      </c>
      <c r="BF135" s="676" cm="1">
        <f t="array" ref="BF135">SUM(_xlfn._xlws.FILTER(_xlfn._xlws.FILTER(headcountData,(headcountDataDepts=$D135)*(headcountDataIDs=$E135)),(startDates&gt;=BF$95)*(endDates=BF$96)))</f>
        <v>0</v>
      </c>
      <c r="BG135" s="676" cm="1">
        <f t="array" ref="BG135">SUM(_xlfn._xlws.FILTER(_xlfn._xlws.FILTER(headcountData,(headcountDataDepts=$D135)*(headcountDataIDs=$E135)),(startDates&gt;=BG$95)*(endDates=BG$96)))</f>
        <v>0</v>
      </c>
      <c r="BH135" s="676" cm="1">
        <f t="array" ref="BH135">SUM(_xlfn._xlws.FILTER(_xlfn._xlws.FILTER(headcountData,(headcountDataDepts=$D135)*(headcountDataIDs=$E135)),(startDates&gt;=BH$95)*(endDates=BH$96)))</f>
        <v>0</v>
      </c>
      <c r="BI135" s="676" cm="1">
        <f t="array" ref="BI135">SUM(_xlfn._xlws.FILTER(_xlfn._xlws.FILTER(headcountData,(headcountDataDepts=$D135)*(headcountDataIDs=$E135)),(startDates&gt;=BI$95)*(endDates=BI$96)))</f>
        <v>0</v>
      </c>
      <c r="BJ135" s="676" cm="1">
        <f t="array" ref="BJ135">SUM(_xlfn._xlws.FILTER(_xlfn._xlws.FILTER(headcountData,(headcountDataDepts=$D135)*(headcountDataIDs=$E135)),(startDates&gt;=BJ$95)*(endDates=BJ$96)))</f>
        <v>0</v>
      </c>
      <c r="BK135" s="676" cm="1">
        <f t="array" ref="BK135">SUM(_xlfn._xlws.FILTER(_xlfn._xlws.FILTER(headcountData,(headcountDataDepts=$D135)*(headcountDataIDs=$E135)),(startDates&gt;=BK$95)*(endDates=BK$96)))</f>
        <v>0</v>
      </c>
      <c r="BL135" s="676" cm="1">
        <f t="array" ref="BL135">SUM(_xlfn._xlws.FILTER(_xlfn._xlws.FILTER(headcountData,(headcountDataDepts=$D135)*(headcountDataIDs=$E135)),(startDates&gt;=BL$95)*(endDates=BL$96)))</f>
        <v>0</v>
      </c>
      <c r="BM135" s="676" cm="1">
        <f t="array" ref="BM135">SUM(_xlfn._xlws.FILTER(_xlfn._xlws.FILTER(headcountData,(headcountDataDepts=$D135)*(headcountDataIDs=$E135)),(startDates&gt;=BM$95)*(endDates=BM$96)))</f>
        <v>0</v>
      </c>
      <c r="BN135" s="676" cm="1">
        <f t="array" ref="BN135">SUM(_xlfn._xlws.FILTER(_xlfn._xlws.FILTER(headcountData,(headcountDataDepts=$D135)*(headcountDataIDs=$E135)),(startDates&gt;=BN$95)*(endDates=BN$96)))</f>
        <v>0</v>
      </c>
      <c r="BO135" s="676" cm="1">
        <f t="array" ref="BO135">SUM(_xlfn._xlws.FILTER(_xlfn._xlws.FILTER(headcountData,(headcountDataDepts=$D135)*(headcountDataIDs=$E135)),(startDates&gt;=BO$95)*(endDates=BO$96)))</f>
        <v>0</v>
      </c>
      <c r="BP135" s="676" cm="1">
        <f t="array" ref="BP135">SUM(_xlfn._xlws.FILTER(_xlfn._xlws.FILTER(headcountData,(headcountDataDepts=$D135)*(headcountDataIDs=$E135)),(startDates&gt;=BP$95)*(endDates=BP$96)))</f>
        <v>0</v>
      </c>
      <c r="BQ135" s="676" cm="1">
        <f t="array" ref="BQ135">SUM(_xlfn._xlws.FILTER(_xlfn._xlws.FILTER(headcountData,(headcountDataDepts=$D135)*(headcountDataIDs=$E135)),(startDates&gt;=BQ$95)*(endDates=BQ$96)))</f>
        <v>0</v>
      </c>
      <c r="BR135" s="676" cm="1">
        <f t="array" ref="BR135">SUM(_xlfn._xlws.FILTER(_xlfn._xlws.FILTER(headcountData,(headcountDataDepts=$D135)*(headcountDataIDs=$E135)),(startDates&gt;=BR$95)*(endDates=BR$96)))</f>
        <v>0</v>
      </c>
      <c r="BS135" s="676" cm="1">
        <f t="array" ref="BS135">SUM(_xlfn._xlws.FILTER(_xlfn._xlws.FILTER(headcountData,(headcountDataDepts=$D135)*(headcountDataIDs=$E135)),(startDates&gt;=BS$95)*(endDates=BS$96)))</f>
        <v>0</v>
      </c>
      <c r="BT135" s="676" cm="1">
        <f t="array" ref="BT135">SUM(_xlfn._xlws.FILTER(_xlfn._xlws.FILTER(headcountData,(headcountDataDepts=$D135)*(headcountDataIDs=$E135)),(startDates&gt;=BT$95)*(endDates=BT$96)))</f>
        <v>0</v>
      </c>
      <c r="BU135" s="676" cm="1">
        <f t="array" ref="BU135">SUM(_xlfn._xlws.FILTER(_xlfn._xlws.FILTER(headcountData,(headcountDataDepts=$D135)*(headcountDataIDs=$E135)),(startDates&gt;=BU$95)*(endDates=BU$96)))</f>
        <v>0</v>
      </c>
      <c r="BV135" s="676" cm="1">
        <f t="array" ref="BV135">SUM(_xlfn._xlws.FILTER(_xlfn._xlws.FILTER(headcountData,(headcountDataDepts=$D135)*(headcountDataIDs=$E135)),(startDates&gt;=BV$95)*(endDates=BV$96)))</f>
        <v>0</v>
      </c>
      <c r="BW135" s="676" cm="1">
        <f t="array" ref="BW135">SUM(_xlfn._xlws.FILTER(_xlfn._xlws.FILTER(headcountData,(headcountDataDepts=$D135)*(headcountDataIDs=$E135)),(startDates&gt;=BW$95)*(endDates=BW$96)))</f>
        <v>0</v>
      </c>
      <c r="BX135" s="676" cm="1">
        <f t="array" ref="BX135">SUM(_xlfn._xlws.FILTER(_xlfn._xlws.FILTER(headcountData,(headcountDataDepts=$D135)*(headcountDataIDs=$E135)),(startDates&gt;=BX$95)*(endDates=BX$96)))</f>
        <v>0</v>
      </c>
      <c r="BY135" s="676" cm="1">
        <f t="array" ref="BY135">SUM(_xlfn._xlws.FILTER(_xlfn._xlws.FILTER(headcountData,(headcountDataDepts=$D135)*(headcountDataIDs=$E135)),(startDates&gt;=BY$95)*(endDates=BY$96)))</f>
        <v>0</v>
      </c>
      <c r="BZ135" s="676" cm="1">
        <f t="array" ref="BZ135">SUM(_xlfn._xlws.FILTER(_xlfn._xlws.FILTER(headcountData,(headcountDataDepts=$D135)*(headcountDataIDs=$E135)),(startDates&gt;=BZ$95)*(endDates=BZ$96)))</f>
        <v>0</v>
      </c>
      <c r="CA135" s="676" cm="1">
        <f t="array" ref="CA135">SUM(_xlfn._xlws.FILTER(_xlfn._xlws.FILTER(headcountData,(headcountDataDepts=$D135)*(headcountDataIDs=$E135)),(startDates&gt;=CA$95)*(endDates=CA$96)))</f>
        <v>0</v>
      </c>
      <c r="CB135" s="676" cm="1">
        <f t="array" ref="CB135">SUM(_xlfn._xlws.FILTER(_xlfn._xlws.FILTER(headcountData,(headcountDataDepts=$D135)*(headcountDataIDs=$E135)),(startDates&gt;=CB$95)*(endDates=CB$96)))</f>
        <v>0</v>
      </c>
      <c r="CC135" s="676" cm="1">
        <f t="array" ref="CC135">SUM(_xlfn._xlws.FILTER(_xlfn._xlws.FILTER(headcountData,(headcountDataDepts=$D135)*(headcountDataIDs=$E135)),(startDates&gt;=CC$95)*(endDates=CC$96)))</f>
        <v>0</v>
      </c>
      <c r="CD135" s="676" cm="1">
        <f t="array" ref="CD135">SUM(_xlfn._xlws.FILTER(_xlfn._xlws.FILTER(headcountData,(headcountDataDepts=$D135)*(headcountDataIDs=$E135)),(startDates&gt;=CD$95)*(endDates=CD$96)))</f>
        <v>0</v>
      </c>
      <c r="CE135" s="676" cm="1">
        <f t="array" ref="CE135">SUM(_xlfn._xlws.FILTER(_xlfn._xlws.FILTER(headcountData,(headcountDataDepts=$D135)*(headcountDataIDs=$E135)),(startDates&gt;=CE$95)*(endDates=CE$96)))</f>
        <v>0</v>
      </c>
      <c r="CF135" s="676" cm="1">
        <f t="array" ref="CF135">SUM(_xlfn._xlws.FILTER(_xlfn._xlws.FILTER(headcountData,(headcountDataDepts=$D135)*(headcountDataIDs=$E135)),(startDates&gt;=CF$95)*(endDates=CF$96)))</f>
        <v>0</v>
      </c>
      <c r="CG135" s="676" cm="1">
        <f t="array" ref="CG135">SUM(_xlfn._xlws.FILTER(_xlfn._xlws.FILTER(headcountData,(headcountDataDepts=$D135)*(headcountDataIDs=$E135)),(startDates&gt;=CG$95)*(endDates=CG$96)))</f>
        <v>0</v>
      </c>
    </row>
    <row r="136" spans="3:85" ht="15.75" hidden="1" customHeight="1" outlineLevel="1">
      <c r="C136" s="677" t="s">
        <v>199</v>
      </c>
      <c r="D136" s="149" t="s">
        <v>179</v>
      </c>
      <c r="E136" s="150" t="s">
        <v>200</v>
      </c>
      <c r="J136" s="676" cm="1">
        <f t="array" ref="J136">SUM(_xlfn._xlws.FILTER(_xlfn._xlws.FILTER(headcountData,(headcountDataDepts=$D136)*(headcountDataIDs=$E136)),(startDates&gt;=J$95)*(endDates=J$96)))</f>
        <v>0</v>
      </c>
      <c r="K136" s="676" cm="1">
        <f t="array" ref="K136">SUM(_xlfn._xlws.FILTER(_xlfn._xlws.FILTER(headcountData,(headcountDataDepts=$D136)*(headcountDataIDs=$E136)),(startDates&gt;=K$95)*(endDates=K$96)))</f>
        <v>0</v>
      </c>
      <c r="N136" s="676" cm="1">
        <f t="array" ref="N136">SUM(_xlfn._xlws.FILTER(_xlfn._xlws.FILTER(headcountData,(headcountDataDepts=$D136)*(headcountDataIDs=$E136)),(startDates&gt;=N$95)*(endDates=N$96)))</f>
        <v>5000</v>
      </c>
      <c r="O136" s="676" cm="1">
        <f t="array" ref="O136">SUM(_xlfn._xlws.FILTER(_xlfn._xlws.FILTER(headcountData,(headcountDataDepts=$D136)*(headcountDataIDs=$E136)),(startDates&gt;=O$95)*(endDates=O$96)))</f>
        <v>5000</v>
      </c>
      <c r="P136" s="676" cm="1">
        <f t="array" ref="P136">SUM(_xlfn._xlws.FILTER(_xlfn._xlws.FILTER(headcountData,(headcountDataDepts=$D136)*(headcountDataIDs=$E136)),(startDates&gt;=P$95)*(endDates=P$96)))</f>
        <v>5000</v>
      </c>
      <c r="Q136" s="676" cm="1">
        <f t="array" ref="Q136">SUM(_xlfn._xlws.FILTER(_xlfn._xlws.FILTER(headcountData,(headcountDataDepts=$D136)*(headcountDataIDs=$E136)),(startDates&gt;=Q$95)*(endDates=Q$96)))</f>
        <v>5000</v>
      </c>
      <c r="T136" s="676" cm="1">
        <f t="array" ref="T136">SUM(_xlfn._xlws.FILTER(_xlfn._xlws.FILTER(headcountData,(headcountDataDepts=$D136)*(headcountDataIDs=$E136)),(startDates&gt;=T$95)*(endDates=T$96)))</f>
        <v>0</v>
      </c>
      <c r="U136" s="676" cm="1">
        <f t="array" ref="U136">SUM(_xlfn._xlws.FILTER(_xlfn._xlws.FILTER(headcountData,(headcountDataDepts=$D136)*(headcountDataIDs=$E136)),(startDates&gt;=U$95)*(endDates=U$96)))</f>
        <v>0</v>
      </c>
      <c r="V136" s="676" cm="1">
        <f t="array" ref="V136">SUM(_xlfn._xlws.FILTER(_xlfn._xlws.FILTER(headcountData,(headcountDataDepts=$D136)*(headcountDataIDs=$E136)),(startDates&gt;=V$95)*(endDates=V$96)))</f>
        <v>0</v>
      </c>
      <c r="W136" s="676" cm="1">
        <f t="array" ref="W136">SUM(_xlfn._xlws.FILTER(_xlfn._xlws.FILTER(headcountData,(headcountDataDepts=$D136)*(headcountDataIDs=$E136)),(startDates&gt;=W$95)*(endDates=W$96)))</f>
        <v>5000</v>
      </c>
      <c r="X136" s="676" cm="1">
        <f t="array" ref="X136">SUM(_xlfn._xlws.FILTER(_xlfn._xlws.FILTER(headcountData,(headcountDataDepts=$D136)*(headcountDataIDs=$E136)),(startDates&gt;=X$95)*(endDates=X$96)))</f>
        <v>0</v>
      </c>
      <c r="Y136" s="676" cm="1">
        <f t="array" ref="Y136">SUM(_xlfn._xlws.FILTER(_xlfn._xlws.FILTER(headcountData,(headcountDataDepts=$D136)*(headcountDataIDs=$E136)),(startDates&gt;=Y$95)*(endDates=Y$96)))</f>
        <v>0</v>
      </c>
      <c r="Z136" s="676" cm="1">
        <f t="array" ref="Z136">SUM(_xlfn._xlws.FILTER(_xlfn._xlws.FILTER(headcountData,(headcountDataDepts=$D136)*(headcountDataIDs=$E136)),(startDates&gt;=Z$95)*(endDates=Z$96)))</f>
        <v>0</v>
      </c>
      <c r="AA136" s="676" cm="1">
        <f t="array" ref="AA136">SUM(_xlfn._xlws.FILTER(_xlfn._xlws.FILTER(headcountData,(headcountDataDepts=$D136)*(headcountDataIDs=$E136)),(startDates&gt;=AA$95)*(endDates=AA$96)))</f>
        <v>5000</v>
      </c>
      <c r="AB136" s="676" cm="1">
        <f t="array" ref="AB136">SUM(_xlfn._xlws.FILTER(_xlfn._xlws.FILTER(headcountData,(headcountDataDepts=$D136)*(headcountDataIDs=$E136)),(startDates&gt;=AB$95)*(endDates=AB$96)))</f>
        <v>0</v>
      </c>
      <c r="AC136" s="676" cm="1">
        <f t="array" ref="AC136">SUM(_xlfn._xlws.FILTER(_xlfn._xlws.FILTER(headcountData,(headcountDataDepts=$D136)*(headcountDataIDs=$E136)),(startDates&gt;=AC$95)*(endDates=AC$96)))</f>
        <v>0</v>
      </c>
      <c r="AD136" s="676" cm="1">
        <f t="array" ref="AD136">SUM(_xlfn._xlws.FILTER(_xlfn._xlws.FILTER(headcountData,(headcountDataDepts=$D136)*(headcountDataIDs=$E136)),(startDates&gt;=AD$95)*(endDates=AD$96)))</f>
        <v>0</v>
      </c>
      <c r="AE136" s="676" cm="1">
        <f t="array" ref="AE136">SUM(_xlfn._xlws.FILTER(_xlfn._xlws.FILTER(headcountData,(headcountDataDepts=$D136)*(headcountDataIDs=$E136)),(startDates&gt;=AE$95)*(endDates=AE$96)))</f>
        <v>5000</v>
      </c>
      <c r="AF136" s="676" cm="1">
        <f t="array" ref="AF136">SUM(_xlfn._xlws.FILTER(_xlfn._xlws.FILTER(headcountData,(headcountDataDepts=$D136)*(headcountDataIDs=$E136)),(startDates&gt;=AF$95)*(endDates=AF$96)))</f>
        <v>0</v>
      </c>
      <c r="AG136" s="676" cm="1">
        <f t="array" ref="AG136">SUM(_xlfn._xlws.FILTER(_xlfn._xlws.FILTER(headcountData,(headcountDataDepts=$D136)*(headcountDataIDs=$E136)),(startDates&gt;=AG$95)*(endDates=AG$96)))</f>
        <v>0</v>
      </c>
      <c r="AH136" s="676" cm="1">
        <f t="array" ref="AH136">SUM(_xlfn._xlws.FILTER(_xlfn._xlws.FILTER(headcountData,(headcountDataDepts=$D136)*(headcountDataIDs=$E136)),(startDates&gt;=AH$95)*(endDates=AH$96)))</f>
        <v>0</v>
      </c>
      <c r="AI136" s="676" cm="1">
        <f t="array" ref="AI136">SUM(_xlfn._xlws.FILTER(_xlfn._xlws.FILTER(headcountData,(headcountDataDepts=$D136)*(headcountDataIDs=$E136)),(startDates&gt;=AI$95)*(endDates=AI$96)))</f>
        <v>5000</v>
      </c>
      <c r="AL136" s="676" cm="1">
        <f t="array" ref="AL136">SUM(_xlfn._xlws.FILTER(_xlfn._xlws.FILTER(headcountData,(headcountDataDepts=$D136)*(headcountDataIDs=$E136)),(startDates&gt;=AL$95)*(endDates=AL$96)))</f>
        <v>0</v>
      </c>
      <c r="AM136" s="676" cm="1">
        <f t="array" ref="AM136">SUM(_xlfn._xlws.FILTER(_xlfn._xlws.FILTER(headcountData,(headcountDataDepts=$D136)*(headcountDataIDs=$E136)),(startDates&gt;=AM$95)*(endDates=AM$96)))</f>
        <v>0</v>
      </c>
      <c r="AN136" s="676" cm="1">
        <f t="array" ref="AN136">SUM(_xlfn._xlws.FILTER(_xlfn._xlws.FILTER(headcountData,(headcountDataDepts=$D136)*(headcountDataIDs=$E136)),(startDates&gt;=AN$95)*(endDates=AN$96)))</f>
        <v>0</v>
      </c>
      <c r="AO136" s="676" cm="1">
        <f t="array" ref="AO136">SUM(_xlfn._xlws.FILTER(_xlfn._xlws.FILTER(headcountData,(headcountDataDepts=$D136)*(headcountDataIDs=$E136)),(startDates&gt;=AO$95)*(endDates=AO$96)))</f>
        <v>0</v>
      </c>
      <c r="AP136" s="676" cm="1">
        <f t="array" ref="AP136">SUM(_xlfn._xlws.FILTER(_xlfn._xlws.FILTER(headcountData,(headcountDataDepts=$D136)*(headcountDataIDs=$E136)),(startDates&gt;=AP$95)*(endDates=AP$96)))</f>
        <v>0</v>
      </c>
      <c r="AQ136" s="676" cm="1">
        <f t="array" ref="AQ136">SUM(_xlfn._xlws.FILTER(_xlfn._xlws.FILTER(headcountData,(headcountDataDepts=$D136)*(headcountDataIDs=$E136)),(startDates&gt;=AQ$95)*(endDates=AQ$96)))</f>
        <v>0</v>
      </c>
      <c r="AR136" s="676" cm="1">
        <f t="array" ref="AR136">SUM(_xlfn._xlws.FILTER(_xlfn._xlws.FILTER(headcountData,(headcountDataDepts=$D136)*(headcountDataIDs=$E136)),(startDates&gt;=AR$95)*(endDates=AR$96)))</f>
        <v>0</v>
      </c>
      <c r="AS136" s="676" cm="1">
        <f t="array" ref="AS136">SUM(_xlfn._xlws.FILTER(_xlfn._xlws.FILTER(headcountData,(headcountDataDepts=$D136)*(headcountDataIDs=$E136)),(startDates&gt;=AS$95)*(endDates=AS$96)))</f>
        <v>0</v>
      </c>
      <c r="AT136" s="676" cm="1">
        <f t="array" ref="AT136">SUM(_xlfn._xlws.FILTER(_xlfn._xlws.FILTER(headcountData,(headcountDataDepts=$D136)*(headcountDataIDs=$E136)),(startDates&gt;=AT$95)*(endDates=AT$96)))</f>
        <v>0</v>
      </c>
      <c r="AU136" s="676" cm="1">
        <f t="array" ref="AU136">SUM(_xlfn._xlws.FILTER(_xlfn._xlws.FILTER(headcountData,(headcountDataDepts=$D136)*(headcountDataIDs=$E136)),(startDates&gt;=AU$95)*(endDates=AU$96)))</f>
        <v>0</v>
      </c>
      <c r="AV136" s="676" cm="1">
        <f t="array" ref="AV136">SUM(_xlfn._xlws.FILTER(_xlfn._xlws.FILTER(headcountData,(headcountDataDepts=$D136)*(headcountDataIDs=$E136)),(startDates&gt;=AV$95)*(endDates=AV$96)))</f>
        <v>0</v>
      </c>
      <c r="AW136" s="676" cm="1">
        <f t="array" ref="AW136">SUM(_xlfn._xlws.FILTER(_xlfn._xlws.FILTER(headcountData,(headcountDataDepts=$D136)*(headcountDataIDs=$E136)),(startDates&gt;=AW$95)*(endDates=AW$96)))</f>
        <v>5000</v>
      </c>
      <c r="AX136" s="676" cm="1">
        <f t="array" ref="AX136">SUM(_xlfn._xlws.FILTER(_xlfn._xlws.FILTER(headcountData,(headcountDataDepts=$D136)*(headcountDataIDs=$E136)),(startDates&gt;=AX$95)*(endDates=AX$96)))</f>
        <v>0</v>
      </c>
      <c r="AY136" s="676" cm="1">
        <f t="array" ref="AY136">SUM(_xlfn._xlws.FILTER(_xlfn._xlws.FILTER(headcountData,(headcountDataDepts=$D136)*(headcountDataIDs=$E136)),(startDates&gt;=AY$95)*(endDates=AY$96)))</f>
        <v>0</v>
      </c>
      <c r="AZ136" s="676" cm="1">
        <f t="array" ref="AZ136">SUM(_xlfn._xlws.FILTER(_xlfn._xlws.FILTER(headcountData,(headcountDataDepts=$D136)*(headcountDataIDs=$E136)),(startDates&gt;=AZ$95)*(endDates=AZ$96)))</f>
        <v>0</v>
      </c>
      <c r="BA136" s="676" cm="1">
        <f t="array" ref="BA136">SUM(_xlfn._xlws.FILTER(_xlfn._xlws.FILTER(headcountData,(headcountDataDepts=$D136)*(headcountDataIDs=$E136)),(startDates&gt;=BA$95)*(endDates=BA$96)))</f>
        <v>0</v>
      </c>
      <c r="BB136" s="676" cm="1">
        <f t="array" ref="BB136">SUM(_xlfn._xlws.FILTER(_xlfn._xlws.FILTER(headcountData,(headcountDataDepts=$D136)*(headcountDataIDs=$E136)),(startDates&gt;=BB$95)*(endDates=BB$96)))</f>
        <v>0</v>
      </c>
      <c r="BC136" s="676" cm="1">
        <f t="array" ref="BC136">SUM(_xlfn._xlws.FILTER(_xlfn._xlws.FILTER(headcountData,(headcountDataDepts=$D136)*(headcountDataIDs=$E136)),(startDates&gt;=BC$95)*(endDates=BC$96)))</f>
        <v>0</v>
      </c>
      <c r="BD136" s="676" cm="1">
        <f t="array" ref="BD136">SUM(_xlfn._xlws.FILTER(_xlfn._xlws.FILTER(headcountData,(headcountDataDepts=$D136)*(headcountDataIDs=$E136)),(startDates&gt;=BD$95)*(endDates=BD$96)))</f>
        <v>0</v>
      </c>
      <c r="BE136" s="676" cm="1">
        <f t="array" ref="BE136">SUM(_xlfn._xlws.FILTER(_xlfn._xlws.FILTER(headcountData,(headcountDataDepts=$D136)*(headcountDataIDs=$E136)),(startDates&gt;=BE$95)*(endDates=BE$96)))</f>
        <v>0</v>
      </c>
      <c r="BF136" s="676" cm="1">
        <f t="array" ref="BF136">SUM(_xlfn._xlws.FILTER(_xlfn._xlws.FILTER(headcountData,(headcountDataDepts=$D136)*(headcountDataIDs=$E136)),(startDates&gt;=BF$95)*(endDates=BF$96)))</f>
        <v>0</v>
      </c>
      <c r="BG136" s="676" cm="1">
        <f t="array" ref="BG136">SUM(_xlfn._xlws.FILTER(_xlfn._xlws.FILTER(headcountData,(headcountDataDepts=$D136)*(headcountDataIDs=$E136)),(startDates&gt;=BG$95)*(endDates=BG$96)))</f>
        <v>0</v>
      </c>
      <c r="BH136" s="676" cm="1">
        <f t="array" ref="BH136">SUM(_xlfn._xlws.FILTER(_xlfn._xlws.FILTER(headcountData,(headcountDataDepts=$D136)*(headcountDataIDs=$E136)),(startDates&gt;=BH$95)*(endDates=BH$96)))</f>
        <v>0</v>
      </c>
      <c r="BI136" s="676" cm="1">
        <f t="array" ref="BI136">SUM(_xlfn._xlws.FILTER(_xlfn._xlws.FILTER(headcountData,(headcountDataDepts=$D136)*(headcountDataIDs=$E136)),(startDates&gt;=BI$95)*(endDates=BI$96)))</f>
        <v>5000</v>
      </c>
      <c r="BJ136" s="676" cm="1">
        <f t="array" ref="BJ136">SUM(_xlfn._xlws.FILTER(_xlfn._xlws.FILTER(headcountData,(headcountDataDepts=$D136)*(headcountDataIDs=$E136)),(startDates&gt;=BJ$95)*(endDates=BJ$96)))</f>
        <v>0</v>
      </c>
      <c r="BK136" s="676" cm="1">
        <f t="array" ref="BK136">SUM(_xlfn._xlws.FILTER(_xlfn._xlws.FILTER(headcountData,(headcountDataDepts=$D136)*(headcountDataIDs=$E136)),(startDates&gt;=BK$95)*(endDates=BK$96)))</f>
        <v>0</v>
      </c>
      <c r="BL136" s="676" cm="1">
        <f t="array" ref="BL136">SUM(_xlfn._xlws.FILTER(_xlfn._xlws.FILTER(headcountData,(headcountDataDepts=$D136)*(headcountDataIDs=$E136)),(startDates&gt;=BL$95)*(endDates=BL$96)))</f>
        <v>0</v>
      </c>
      <c r="BM136" s="676" cm="1">
        <f t="array" ref="BM136">SUM(_xlfn._xlws.FILTER(_xlfn._xlws.FILTER(headcountData,(headcountDataDepts=$D136)*(headcountDataIDs=$E136)),(startDates&gt;=BM$95)*(endDates=BM$96)))</f>
        <v>0</v>
      </c>
      <c r="BN136" s="676" cm="1">
        <f t="array" ref="BN136">SUM(_xlfn._xlws.FILTER(_xlfn._xlws.FILTER(headcountData,(headcountDataDepts=$D136)*(headcountDataIDs=$E136)),(startDates&gt;=BN$95)*(endDates=BN$96)))</f>
        <v>0</v>
      </c>
      <c r="BO136" s="676" cm="1">
        <f t="array" ref="BO136">SUM(_xlfn._xlws.FILTER(_xlfn._xlws.FILTER(headcountData,(headcountDataDepts=$D136)*(headcountDataIDs=$E136)),(startDates&gt;=BO$95)*(endDates=BO$96)))</f>
        <v>0</v>
      </c>
      <c r="BP136" s="676" cm="1">
        <f t="array" ref="BP136">SUM(_xlfn._xlws.FILTER(_xlfn._xlws.FILTER(headcountData,(headcountDataDepts=$D136)*(headcountDataIDs=$E136)),(startDates&gt;=BP$95)*(endDates=BP$96)))</f>
        <v>0</v>
      </c>
      <c r="BQ136" s="676" cm="1">
        <f t="array" ref="BQ136">SUM(_xlfn._xlws.FILTER(_xlfn._xlws.FILTER(headcountData,(headcountDataDepts=$D136)*(headcountDataIDs=$E136)),(startDates&gt;=BQ$95)*(endDates=BQ$96)))</f>
        <v>0</v>
      </c>
      <c r="BR136" s="676" cm="1">
        <f t="array" ref="BR136">SUM(_xlfn._xlws.FILTER(_xlfn._xlws.FILTER(headcountData,(headcountDataDepts=$D136)*(headcountDataIDs=$E136)),(startDates&gt;=BR$95)*(endDates=BR$96)))</f>
        <v>0</v>
      </c>
      <c r="BS136" s="676" cm="1">
        <f t="array" ref="BS136">SUM(_xlfn._xlws.FILTER(_xlfn._xlws.FILTER(headcountData,(headcountDataDepts=$D136)*(headcountDataIDs=$E136)),(startDates&gt;=BS$95)*(endDates=BS$96)))</f>
        <v>0</v>
      </c>
      <c r="BT136" s="676" cm="1">
        <f t="array" ref="BT136">SUM(_xlfn._xlws.FILTER(_xlfn._xlws.FILTER(headcountData,(headcountDataDepts=$D136)*(headcountDataIDs=$E136)),(startDates&gt;=BT$95)*(endDates=BT$96)))</f>
        <v>0</v>
      </c>
      <c r="BU136" s="676" cm="1">
        <f t="array" ref="BU136">SUM(_xlfn._xlws.FILTER(_xlfn._xlws.FILTER(headcountData,(headcountDataDepts=$D136)*(headcountDataIDs=$E136)),(startDates&gt;=BU$95)*(endDates=BU$96)))</f>
        <v>5000</v>
      </c>
      <c r="BV136" s="676" cm="1">
        <f t="array" ref="BV136">SUM(_xlfn._xlws.FILTER(_xlfn._xlws.FILTER(headcountData,(headcountDataDepts=$D136)*(headcountDataIDs=$E136)),(startDates&gt;=BV$95)*(endDates=BV$96)))</f>
        <v>0</v>
      </c>
      <c r="BW136" s="676" cm="1">
        <f t="array" ref="BW136">SUM(_xlfn._xlws.FILTER(_xlfn._xlws.FILTER(headcountData,(headcountDataDepts=$D136)*(headcountDataIDs=$E136)),(startDates&gt;=BW$95)*(endDates=BW$96)))</f>
        <v>0</v>
      </c>
      <c r="BX136" s="676" cm="1">
        <f t="array" ref="BX136">SUM(_xlfn._xlws.FILTER(_xlfn._xlws.FILTER(headcountData,(headcountDataDepts=$D136)*(headcountDataIDs=$E136)),(startDates&gt;=BX$95)*(endDates=BX$96)))</f>
        <v>0</v>
      </c>
      <c r="BY136" s="676" cm="1">
        <f t="array" ref="BY136">SUM(_xlfn._xlws.FILTER(_xlfn._xlws.FILTER(headcountData,(headcountDataDepts=$D136)*(headcountDataIDs=$E136)),(startDates&gt;=BY$95)*(endDates=BY$96)))</f>
        <v>0</v>
      </c>
      <c r="BZ136" s="676" cm="1">
        <f t="array" ref="BZ136">SUM(_xlfn._xlws.FILTER(_xlfn._xlws.FILTER(headcountData,(headcountDataDepts=$D136)*(headcountDataIDs=$E136)),(startDates&gt;=BZ$95)*(endDates=BZ$96)))</f>
        <v>0</v>
      </c>
      <c r="CA136" s="676" cm="1">
        <f t="array" ref="CA136">SUM(_xlfn._xlws.FILTER(_xlfn._xlws.FILTER(headcountData,(headcountDataDepts=$D136)*(headcountDataIDs=$E136)),(startDates&gt;=CA$95)*(endDates=CA$96)))</f>
        <v>0</v>
      </c>
      <c r="CB136" s="676" cm="1">
        <f t="array" ref="CB136">SUM(_xlfn._xlws.FILTER(_xlfn._xlws.FILTER(headcountData,(headcountDataDepts=$D136)*(headcountDataIDs=$E136)),(startDates&gt;=CB$95)*(endDates=CB$96)))</f>
        <v>0</v>
      </c>
      <c r="CC136" s="676" cm="1">
        <f t="array" ref="CC136">SUM(_xlfn._xlws.FILTER(_xlfn._xlws.FILTER(headcountData,(headcountDataDepts=$D136)*(headcountDataIDs=$E136)),(startDates&gt;=CC$95)*(endDates=CC$96)))</f>
        <v>0</v>
      </c>
      <c r="CD136" s="676" cm="1">
        <f t="array" ref="CD136">SUM(_xlfn._xlws.FILTER(_xlfn._xlws.FILTER(headcountData,(headcountDataDepts=$D136)*(headcountDataIDs=$E136)),(startDates&gt;=CD$95)*(endDates=CD$96)))</f>
        <v>0</v>
      </c>
      <c r="CE136" s="676" cm="1">
        <f t="array" ref="CE136">SUM(_xlfn._xlws.FILTER(_xlfn._xlws.FILTER(headcountData,(headcountDataDepts=$D136)*(headcountDataIDs=$E136)),(startDates&gt;=CE$95)*(endDates=CE$96)))</f>
        <v>0</v>
      </c>
      <c r="CF136" s="676" cm="1">
        <f t="array" ref="CF136">SUM(_xlfn._xlws.FILTER(_xlfn._xlws.FILTER(headcountData,(headcountDataDepts=$D136)*(headcountDataIDs=$E136)),(startDates&gt;=CF$95)*(endDates=CF$96)))</f>
        <v>0</v>
      </c>
      <c r="CG136" s="676" cm="1">
        <f t="array" ref="CG136">SUM(_xlfn._xlws.FILTER(_xlfn._xlws.FILTER(headcountData,(headcountDataDepts=$D136)*(headcountDataIDs=$E136)),(startDates&gt;=CG$95)*(endDates=CG$96)))</f>
        <v>5000</v>
      </c>
    </row>
    <row r="137" spans="3:85" s="157" customFormat="1" ht="15.75" customHeight="1" collapsed="1">
      <c r="C137" s="383" t="s">
        <v>186</v>
      </c>
      <c r="D137" s="160"/>
      <c r="E137" s="161"/>
      <c r="F137" s="160"/>
      <c r="G137" s="160"/>
      <c r="J137" s="676">
        <f>_xlfn.AGGREGATE(9,0,J138:J143)</f>
        <v>0</v>
      </c>
      <c r="K137" s="676">
        <f t="shared" ref="K137" si="170">_xlfn.AGGREGATE(9,0,K138:K143)</f>
        <v>0</v>
      </c>
      <c r="L137" s="148"/>
      <c r="M137" s="148"/>
      <c r="N137" s="676">
        <f t="shared" ref="N137:Q137" si="171">_xlfn.AGGREGATE(9,0,N138:N143)</f>
        <v>5000</v>
      </c>
      <c r="O137" s="676">
        <f t="shared" si="171"/>
        <v>5000</v>
      </c>
      <c r="P137" s="676">
        <f t="shared" si="171"/>
        <v>5000</v>
      </c>
      <c r="Q137" s="676">
        <f t="shared" si="171"/>
        <v>5000</v>
      </c>
      <c r="R137" s="148"/>
      <c r="S137" s="148"/>
      <c r="T137" s="676">
        <f t="shared" ref="T137:AI137" si="172">_xlfn.AGGREGATE(9,0,T138:T143)</f>
        <v>0</v>
      </c>
      <c r="U137" s="676">
        <f t="shared" si="172"/>
        <v>0</v>
      </c>
      <c r="V137" s="676">
        <f t="shared" si="172"/>
        <v>0</v>
      </c>
      <c r="W137" s="676">
        <f t="shared" si="172"/>
        <v>5000</v>
      </c>
      <c r="X137" s="676">
        <f t="shared" si="172"/>
        <v>0</v>
      </c>
      <c r="Y137" s="676">
        <f t="shared" si="172"/>
        <v>0</v>
      </c>
      <c r="Z137" s="676">
        <f t="shared" si="172"/>
        <v>0</v>
      </c>
      <c r="AA137" s="676">
        <f t="shared" si="172"/>
        <v>5000</v>
      </c>
      <c r="AB137" s="676">
        <f t="shared" si="172"/>
        <v>0</v>
      </c>
      <c r="AC137" s="676">
        <f t="shared" si="172"/>
        <v>0</v>
      </c>
      <c r="AD137" s="676">
        <f t="shared" si="172"/>
        <v>0</v>
      </c>
      <c r="AE137" s="676">
        <f t="shared" si="172"/>
        <v>5000</v>
      </c>
      <c r="AF137" s="676">
        <f t="shared" si="172"/>
        <v>0</v>
      </c>
      <c r="AG137" s="676">
        <f t="shared" si="172"/>
        <v>0</v>
      </c>
      <c r="AH137" s="676">
        <f t="shared" si="172"/>
        <v>0</v>
      </c>
      <c r="AI137" s="676">
        <f t="shared" si="172"/>
        <v>5000</v>
      </c>
      <c r="AJ137" s="148"/>
      <c r="AK137" s="148"/>
      <c r="AL137" s="676">
        <f t="shared" ref="AL137:CG137" si="173">_xlfn.AGGREGATE(9,0,AL138:AL143)</f>
        <v>0</v>
      </c>
      <c r="AM137" s="676">
        <f t="shared" si="173"/>
        <v>0</v>
      </c>
      <c r="AN137" s="676">
        <f t="shared" si="173"/>
        <v>0</v>
      </c>
      <c r="AO137" s="676">
        <f t="shared" si="173"/>
        <v>0</v>
      </c>
      <c r="AP137" s="676">
        <f t="shared" si="173"/>
        <v>0</v>
      </c>
      <c r="AQ137" s="676">
        <f t="shared" si="173"/>
        <v>0</v>
      </c>
      <c r="AR137" s="676">
        <f t="shared" si="173"/>
        <v>0</v>
      </c>
      <c r="AS137" s="676">
        <f t="shared" si="173"/>
        <v>0</v>
      </c>
      <c r="AT137" s="676">
        <f t="shared" si="173"/>
        <v>0</v>
      </c>
      <c r="AU137" s="676">
        <f t="shared" si="173"/>
        <v>0</v>
      </c>
      <c r="AV137" s="676">
        <f t="shared" si="173"/>
        <v>0</v>
      </c>
      <c r="AW137" s="676">
        <f t="shared" si="173"/>
        <v>5000</v>
      </c>
      <c r="AX137" s="676">
        <f t="shared" si="173"/>
        <v>0</v>
      </c>
      <c r="AY137" s="676">
        <f t="shared" si="173"/>
        <v>0</v>
      </c>
      <c r="AZ137" s="676">
        <f t="shared" si="173"/>
        <v>0</v>
      </c>
      <c r="BA137" s="676">
        <f t="shared" si="173"/>
        <v>0</v>
      </c>
      <c r="BB137" s="676">
        <f t="shared" si="173"/>
        <v>0</v>
      </c>
      <c r="BC137" s="676">
        <f t="shared" si="173"/>
        <v>0</v>
      </c>
      <c r="BD137" s="676">
        <f t="shared" si="173"/>
        <v>0</v>
      </c>
      <c r="BE137" s="676">
        <f t="shared" si="173"/>
        <v>0</v>
      </c>
      <c r="BF137" s="676">
        <f t="shared" si="173"/>
        <v>0</v>
      </c>
      <c r="BG137" s="676">
        <f t="shared" si="173"/>
        <v>0</v>
      </c>
      <c r="BH137" s="676">
        <f t="shared" si="173"/>
        <v>0</v>
      </c>
      <c r="BI137" s="676">
        <f t="shared" si="173"/>
        <v>5000</v>
      </c>
      <c r="BJ137" s="676">
        <f t="shared" si="173"/>
        <v>0</v>
      </c>
      <c r="BK137" s="676">
        <f t="shared" si="173"/>
        <v>0</v>
      </c>
      <c r="BL137" s="676">
        <f t="shared" si="173"/>
        <v>0</v>
      </c>
      <c r="BM137" s="676">
        <f t="shared" si="173"/>
        <v>0</v>
      </c>
      <c r="BN137" s="676">
        <f t="shared" si="173"/>
        <v>0</v>
      </c>
      <c r="BO137" s="676">
        <f t="shared" si="173"/>
        <v>0</v>
      </c>
      <c r="BP137" s="676">
        <f t="shared" si="173"/>
        <v>0</v>
      </c>
      <c r="BQ137" s="676">
        <f t="shared" si="173"/>
        <v>0</v>
      </c>
      <c r="BR137" s="676">
        <f t="shared" si="173"/>
        <v>0</v>
      </c>
      <c r="BS137" s="676">
        <f t="shared" si="173"/>
        <v>0</v>
      </c>
      <c r="BT137" s="676">
        <f t="shared" si="173"/>
        <v>0</v>
      </c>
      <c r="BU137" s="676">
        <f t="shared" si="173"/>
        <v>5000</v>
      </c>
      <c r="BV137" s="676">
        <f t="shared" si="173"/>
        <v>0</v>
      </c>
      <c r="BW137" s="676">
        <f t="shared" si="173"/>
        <v>0</v>
      </c>
      <c r="BX137" s="676">
        <f t="shared" si="173"/>
        <v>0</v>
      </c>
      <c r="BY137" s="676">
        <f t="shared" si="173"/>
        <v>0</v>
      </c>
      <c r="BZ137" s="676">
        <f t="shared" si="173"/>
        <v>0</v>
      </c>
      <c r="CA137" s="676">
        <f t="shared" si="173"/>
        <v>0</v>
      </c>
      <c r="CB137" s="676">
        <f t="shared" si="173"/>
        <v>0</v>
      </c>
      <c r="CC137" s="676">
        <f t="shared" si="173"/>
        <v>0</v>
      </c>
      <c r="CD137" s="676">
        <f t="shared" si="173"/>
        <v>0</v>
      </c>
      <c r="CE137" s="676">
        <f t="shared" si="173"/>
        <v>0</v>
      </c>
      <c r="CF137" s="676">
        <f t="shared" si="173"/>
        <v>0</v>
      </c>
      <c r="CG137" s="676">
        <f t="shared" si="173"/>
        <v>5000</v>
      </c>
    </row>
    <row r="138" spans="3:85" ht="15.75" hidden="1" customHeight="1" outlineLevel="1">
      <c r="C138" s="677" t="s">
        <v>189</v>
      </c>
      <c r="D138" s="149" t="s">
        <v>187</v>
      </c>
      <c r="E138" s="150" t="s">
        <v>190</v>
      </c>
      <c r="J138" s="676" cm="1">
        <f t="array" ref="J138">SUM(_xlfn._xlws.FILTER(_xlfn._xlws.FILTER(headcountData,(headcountDataDepts=$D138)*(headcountDataIDs=$E138)),(startDates&gt;=J$95)*(endDates=J$96)))</f>
        <v>0</v>
      </c>
      <c r="K138" s="676" cm="1">
        <f t="array" ref="K138">SUM(_xlfn._xlws.FILTER(_xlfn._xlws.FILTER(headcountData,(headcountDataDepts=$D138)*(headcountDataIDs=$E138)),(startDates&gt;=K$95)*(endDates=K$96)))</f>
        <v>0</v>
      </c>
      <c r="N138" s="676" cm="1">
        <f t="array" ref="N138">SUM(_xlfn._xlws.FILTER(_xlfn._xlws.FILTER(headcountData,(headcountDataDepts=$D138)*(headcountDataIDs=$E138)),(startDates&gt;=N$95)*(endDates=N$96)))</f>
        <v>0</v>
      </c>
      <c r="O138" s="676" cm="1">
        <f t="array" ref="O138">SUM(_xlfn._xlws.FILTER(_xlfn._xlws.FILTER(headcountData,(headcountDataDepts=$D138)*(headcountDataIDs=$E138)),(startDates&gt;=O$95)*(endDates=O$96)))</f>
        <v>0</v>
      </c>
      <c r="P138" s="676" cm="1">
        <f t="array" ref="P138">SUM(_xlfn._xlws.FILTER(_xlfn._xlws.FILTER(headcountData,(headcountDataDepts=$D138)*(headcountDataIDs=$E138)),(startDates&gt;=P$95)*(endDates=P$96)))</f>
        <v>0</v>
      </c>
      <c r="Q138" s="676" cm="1">
        <f t="array" ref="Q138">SUM(_xlfn._xlws.FILTER(_xlfn._xlws.FILTER(headcountData,(headcountDataDepts=$D138)*(headcountDataIDs=$E138)),(startDates&gt;=Q$95)*(endDates=Q$96)))</f>
        <v>0</v>
      </c>
      <c r="T138" s="676" cm="1">
        <f t="array" ref="T138">SUM(_xlfn._xlws.FILTER(_xlfn._xlws.FILTER(headcountData,(headcountDataDepts=$D138)*(headcountDataIDs=$E138)),(startDates&gt;=T$95)*(endDates=T$96)))</f>
        <v>0</v>
      </c>
      <c r="U138" s="676" cm="1">
        <f t="array" ref="U138">SUM(_xlfn._xlws.FILTER(_xlfn._xlws.FILTER(headcountData,(headcountDataDepts=$D138)*(headcountDataIDs=$E138)),(startDates&gt;=U$95)*(endDates=U$96)))</f>
        <v>0</v>
      </c>
      <c r="V138" s="676" cm="1">
        <f t="array" ref="V138">SUM(_xlfn._xlws.FILTER(_xlfn._xlws.FILTER(headcountData,(headcountDataDepts=$D138)*(headcountDataIDs=$E138)),(startDates&gt;=V$95)*(endDates=V$96)))</f>
        <v>0</v>
      </c>
      <c r="W138" s="676" cm="1">
        <f t="array" ref="W138">SUM(_xlfn._xlws.FILTER(_xlfn._xlws.FILTER(headcountData,(headcountDataDepts=$D138)*(headcountDataIDs=$E138)),(startDates&gt;=W$95)*(endDates=W$96)))</f>
        <v>0</v>
      </c>
      <c r="X138" s="676" cm="1">
        <f t="array" ref="X138">SUM(_xlfn._xlws.FILTER(_xlfn._xlws.FILTER(headcountData,(headcountDataDepts=$D138)*(headcountDataIDs=$E138)),(startDates&gt;=X$95)*(endDates=X$96)))</f>
        <v>0</v>
      </c>
      <c r="Y138" s="676" cm="1">
        <f t="array" ref="Y138">SUM(_xlfn._xlws.FILTER(_xlfn._xlws.FILTER(headcountData,(headcountDataDepts=$D138)*(headcountDataIDs=$E138)),(startDates&gt;=Y$95)*(endDates=Y$96)))</f>
        <v>0</v>
      </c>
      <c r="Z138" s="676" cm="1">
        <f t="array" ref="Z138">SUM(_xlfn._xlws.FILTER(_xlfn._xlws.FILTER(headcountData,(headcountDataDepts=$D138)*(headcountDataIDs=$E138)),(startDates&gt;=Z$95)*(endDates=Z$96)))</f>
        <v>0</v>
      </c>
      <c r="AA138" s="676" cm="1">
        <f t="array" ref="AA138">SUM(_xlfn._xlws.FILTER(_xlfn._xlws.FILTER(headcountData,(headcountDataDepts=$D138)*(headcountDataIDs=$E138)),(startDates&gt;=AA$95)*(endDates=AA$96)))</f>
        <v>0</v>
      </c>
      <c r="AB138" s="676" cm="1">
        <f t="array" ref="AB138">SUM(_xlfn._xlws.FILTER(_xlfn._xlws.FILTER(headcountData,(headcountDataDepts=$D138)*(headcountDataIDs=$E138)),(startDates&gt;=AB$95)*(endDates=AB$96)))</f>
        <v>0</v>
      </c>
      <c r="AC138" s="676" cm="1">
        <f t="array" ref="AC138">SUM(_xlfn._xlws.FILTER(_xlfn._xlws.FILTER(headcountData,(headcountDataDepts=$D138)*(headcountDataIDs=$E138)),(startDates&gt;=AC$95)*(endDates=AC$96)))</f>
        <v>0</v>
      </c>
      <c r="AD138" s="676" cm="1">
        <f t="array" ref="AD138">SUM(_xlfn._xlws.FILTER(_xlfn._xlws.FILTER(headcountData,(headcountDataDepts=$D138)*(headcountDataIDs=$E138)),(startDates&gt;=AD$95)*(endDates=AD$96)))</f>
        <v>0</v>
      </c>
      <c r="AE138" s="676" cm="1">
        <f t="array" ref="AE138">SUM(_xlfn._xlws.FILTER(_xlfn._xlws.FILTER(headcountData,(headcountDataDepts=$D138)*(headcountDataIDs=$E138)),(startDates&gt;=AE$95)*(endDates=AE$96)))</f>
        <v>0</v>
      </c>
      <c r="AF138" s="676" cm="1">
        <f t="array" ref="AF138">SUM(_xlfn._xlws.FILTER(_xlfn._xlws.FILTER(headcountData,(headcountDataDepts=$D138)*(headcountDataIDs=$E138)),(startDates&gt;=AF$95)*(endDates=AF$96)))</f>
        <v>0</v>
      </c>
      <c r="AG138" s="676" cm="1">
        <f t="array" ref="AG138">SUM(_xlfn._xlws.FILTER(_xlfn._xlws.FILTER(headcountData,(headcountDataDepts=$D138)*(headcountDataIDs=$E138)),(startDates&gt;=AG$95)*(endDates=AG$96)))</f>
        <v>0</v>
      </c>
      <c r="AH138" s="676" cm="1">
        <f t="array" ref="AH138">SUM(_xlfn._xlws.FILTER(_xlfn._xlws.FILTER(headcountData,(headcountDataDepts=$D138)*(headcountDataIDs=$E138)),(startDates&gt;=AH$95)*(endDates=AH$96)))</f>
        <v>0</v>
      </c>
      <c r="AI138" s="676" cm="1">
        <f t="array" ref="AI138">SUM(_xlfn._xlws.FILTER(_xlfn._xlws.FILTER(headcountData,(headcountDataDepts=$D138)*(headcountDataIDs=$E138)),(startDates&gt;=AI$95)*(endDates=AI$96)))</f>
        <v>0</v>
      </c>
      <c r="AL138" s="676" cm="1">
        <f t="array" ref="AL138">SUM(_xlfn._xlws.FILTER(_xlfn._xlws.FILTER(headcountData,(headcountDataDepts=$D138)*(headcountDataIDs=$E138)),(startDates&gt;=AL$95)*(endDates=AL$96)))</f>
        <v>0</v>
      </c>
      <c r="AM138" s="676" cm="1">
        <f t="array" ref="AM138">SUM(_xlfn._xlws.FILTER(_xlfn._xlws.FILTER(headcountData,(headcountDataDepts=$D138)*(headcountDataIDs=$E138)),(startDates&gt;=AM$95)*(endDates=AM$96)))</f>
        <v>0</v>
      </c>
      <c r="AN138" s="676" cm="1">
        <f t="array" ref="AN138">SUM(_xlfn._xlws.FILTER(_xlfn._xlws.FILTER(headcountData,(headcountDataDepts=$D138)*(headcountDataIDs=$E138)),(startDates&gt;=AN$95)*(endDates=AN$96)))</f>
        <v>0</v>
      </c>
      <c r="AO138" s="676" cm="1">
        <f t="array" ref="AO138">SUM(_xlfn._xlws.FILTER(_xlfn._xlws.FILTER(headcountData,(headcountDataDepts=$D138)*(headcountDataIDs=$E138)),(startDates&gt;=AO$95)*(endDates=AO$96)))</f>
        <v>0</v>
      </c>
      <c r="AP138" s="676" cm="1">
        <f t="array" ref="AP138">SUM(_xlfn._xlws.FILTER(_xlfn._xlws.FILTER(headcountData,(headcountDataDepts=$D138)*(headcountDataIDs=$E138)),(startDates&gt;=AP$95)*(endDates=AP$96)))</f>
        <v>0</v>
      </c>
      <c r="AQ138" s="676" cm="1">
        <f t="array" ref="AQ138">SUM(_xlfn._xlws.FILTER(_xlfn._xlws.FILTER(headcountData,(headcountDataDepts=$D138)*(headcountDataIDs=$E138)),(startDates&gt;=AQ$95)*(endDates=AQ$96)))</f>
        <v>0</v>
      </c>
      <c r="AR138" s="676" cm="1">
        <f t="array" ref="AR138">SUM(_xlfn._xlws.FILTER(_xlfn._xlws.FILTER(headcountData,(headcountDataDepts=$D138)*(headcountDataIDs=$E138)),(startDates&gt;=AR$95)*(endDates=AR$96)))</f>
        <v>0</v>
      </c>
      <c r="AS138" s="676" cm="1">
        <f t="array" ref="AS138">SUM(_xlfn._xlws.FILTER(_xlfn._xlws.FILTER(headcountData,(headcountDataDepts=$D138)*(headcountDataIDs=$E138)),(startDates&gt;=AS$95)*(endDates=AS$96)))</f>
        <v>0</v>
      </c>
      <c r="AT138" s="676" cm="1">
        <f t="array" ref="AT138">SUM(_xlfn._xlws.FILTER(_xlfn._xlws.FILTER(headcountData,(headcountDataDepts=$D138)*(headcountDataIDs=$E138)),(startDates&gt;=AT$95)*(endDates=AT$96)))</f>
        <v>0</v>
      </c>
      <c r="AU138" s="676" cm="1">
        <f t="array" ref="AU138">SUM(_xlfn._xlws.FILTER(_xlfn._xlws.FILTER(headcountData,(headcountDataDepts=$D138)*(headcountDataIDs=$E138)),(startDates&gt;=AU$95)*(endDates=AU$96)))</f>
        <v>0</v>
      </c>
      <c r="AV138" s="676" cm="1">
        <f t="array" ref="AV138">SUM(_xlfn._xlws.FILTER(_xlfn._xlws.FILTER(headcountData,(headcountDataDepts=$D138)*(headcountDataIDs=$E138)),(startDates&gt;=AV$95)*(endDates=AV$96)))</f>
        <v>0</v>
      </c>
      <c r="AW138" s="676" cm="1">
        <f t="array" ref="AW138">SUM(_xlfn._xlws.FILTER(_xlfn._xlws.FILTER(headcountData,(headcountDataDepts=$D138)*(headcountDataIDs=$E138)),(startDates&gt;=AW$95)*(endDates=AW$96)))</f>
        <v>0</v>
      </c>
      <c r="AX138" s="676" cm="1">
        <f t="array" ref="AX138">SUM(_xlfn._xlws.FILTER(_xlfn._xlws.FILTER(headcountData,(headcountDataDepts=$D138)*(headcountDataIDs=$E138)),(startDates&gt;=AX$95)*(endDates=AX$96)))</f>
        <v>0</v>
      </c>
      <c r="AY138" s="676" cm="1">
        <f t="array" ref="AY138">SUM(_xlfn._xlws.FILTER(_xlfn._xlws.FILTER(headcountData,(headcountDataDepts=$D138)*(headcountDataIDs=$E138)),(startDates&gt;=AY$95)*(endDates=AY$96)))</f>
        <v>0</v>
      </c>
      <c r="AZ138" s="676" cm="1">
        <f t="array" ref="AZ138">SUM(_xlfn._xlws.FILTER(_xlfn._xlws.FILTER(headcountData,(headcountDataDepts=$D138)*(headcountDataIDs=$E138)),(startDates&gt;=AZ$95)*(endDates=AZ$96)))</f>
        <v>0</v>
      </c>
      <c r="BA138" s="676" cm="1">
        <f t="array" ref="BA138">SUM(_xlfn._xlws.FILTER(_xlfn._xlws.FILTER(headcountData,(headcountDataDepts=$D138)*(headcountDataIDs=$E138)),(startDates&gt;=BA$95)*(endDates=BA$96)))</f>
        <v>0</v>
      </c>
      <c r="BB138" s="676" cm="1">
        <f t="array" ref="BB138">SUM(_xlfn._xlws.FILTER(_xlfn._xlws.FILTER(headcountData,(headcountDataDepts=$D138)*(headcountDataIDs=$E138)),(startDates&gt;=BB$95)*(endDates=BB$96)))</f>
        <v>0</v>
      </c>
      <c r="BC138" s="676" cm="1">
        <f t="array" ref="BC138">SUM(_xlfn._xlws.FILTER(_xlfn._xlws.FILTER(headcountData,(headcountDataDepts=$D138)*(headcountDataIDs=$E138)),(startDates&gt;=BC$95)*(endDates=BC$96)))</f>
        <v>0</v>
      </c>
      <c r="BD138" s="676" cm="1">
        <f t="array" ref="BD138">SUM(_xlfn._xlws.FILTER(_xlfn._xlws.FILTER(headcountData,(headcountDataDepts=$D138)*(headcountDataIDs=$E138)),(startDates&gt;=BD$95)*(endDates=BD$96)))</f>
        <v>0</v>
      </c>
      <c r="BE138" s="676" cm="1">
        <f t="array" ref="BE138">SUM(_xlfn._xlws.FILTER(_xlfn._xlws.FILTER(headcountData,(headcountDataDepts=$D138)*(headcountDataIDs=$E138)),(startDates&gt;=BE$95)*(endDates=BE$96)))</f>
        <v>0</v>
      </c>
      <c r="BF138" s="676" cm="1">
        <f t="array" ref="BF138">SUM(_xlfn._xlws.FILTER(_xlfn._xlws.FILTER(headcountData,(headcountDataDepts=$D138)*(headcountDataIDs=$E138)),(startDates&gt;=BF$95)*(endDates=BF$96)))</f>
        <v>0</v>
      </c>
      <c r="BG138" s="676" cm="1">
        <f t="array" ref="BG138">SUM(_xlfn._xlws.FILTER(_xlfn._xlws.FILTER(headcountData,(headcountDataDepts=$D138)*(headcountDataIDs=$E138)),(startDates&gt;=BG$95)*(endDates=BG$96)))</f>
        <v>0</v>
      </c>
      <c r="BH138" s="676" cm="1">
        <f t="array" ref="BH138">SUM(_xlfn._xlws.FILTER(_xlfn._xlws.FILTER(headcountData,(headcountDataDepts=$D138)*(headcountDataIDs=$E138)),(startDates&gt;=BH$95)*(endDates=BH$96)))</f>
        <v>0</v>
      </c>
      <c r="BI138" s="676" cm="1">
        <f t="array" ref="BI138">SUM(_xlfn._xlws.FILTER(_xlfn._xlws.FILTER(headcountData,(headcountDataDepts=$D138)*(headcountDataIDs=$E138)),(startDates&gt;=BI$95)*(endDates=BI$96)))</f>
        <v>0</v>
      </c>
      <c r="BJ138" s="676" cm="1">
        <f t="array" ref="BJ138">SUM(_xlfn._xlws.FILTER(_xlfn._xlws.FILTER(headcountData,(headcountDataDepts=$D138)*(headcountDataIDs=$E138)),(startDates&gt;=BJ$95)*(endDates=BJ$96)))</f>
        <v>0</v>
      </c>
      <c r="BK138" s="676" cm="1">
        <f t="array" ref="BK138">SUM(_xlfn._xlws.FILTER(_xlfn._xlws.FILTER(headcountData,(headcountDataDepts=$D138)*(headcountDataIDs=$E138)),(startDates&gt;=BK$95)*(endDates=BK$96)))</f>
        <v>0</v>
      </c>
      <c r="BL138" s="676" cm="1">
        <f t="array" ref="BL138">SUM(_xlfn._xlws.FILTER(_xlfn._xlws.FILTER(headcountData,(headcountDataDepts=$D138)*(headcountDataIDs=$E138)),(startDates&gt;=BL$95)*(endDates=BL$96)))</f>
        <v>0</v>
      </c>
      <c r="BM138" s="676" cm="1">
        <f t="array" ref="BM138">SUM(_xlfn._xlws.FILTER(_xlfn._xlws.FILTER(headcountData,(headcountDataDepts=$D138)*(headcountDataIDs=$E138)),(startDates&gt;=BM$95)*(endDates=BM$96)))</f>
        <v>0</v>
      </c>
      <c r="BN138" s="676" cm="1">
        <f t="array" ref="BN138">SUM(_xlfn._xlws.FILTER(_xlfn._xlws.FILTER(headcountData,(headcountDataDepts=$D138)*(headcountDataIDs=$E138)),(startDates&gt;=BN$95)*(endDates=BN$96)))</f>
        <v>0</v>
      </c>
      <c r="BO138" s="676" cm="1">
        <f t="array" ref="BO138">SUM(_xlfn._xlws.FILTER(_xlfn._xlws.FILTER(headcountData,(headcountDataDepts=$D138)*(headcountDataIDs=$E138)),(startDates&gt;=BO$95)*(endDates=BO$96)))</f>
        <v>0</v>
      </c>
      <c r="BP138" s="676" cm="1">
        <f t="array" ref="BP138">SUM(_xlfn._xlws.FILTER(_xlfn._xlws.FILTER(headcountData,(headcountDataDepts=$D138)*(headcountDataIDs=$E138)),(startDates&gt;=BP$95)*(endDates=BP$96)))</f>
        <v>0</v>
      </c>
      <c r="BQ138" s="676" cm="1">
        <f t="array" ref="BQ138">SUM(_xlfn._xlws.FILTER(_xlfn._xlws.FILTER(headcountData,(headcountDataDepts=$D138)*(headcountDataIDs=$E138)),(startDates&gt;=BQ$95)*(endDates=BQ$96)))</f>
        <v>0</v>
      </c>
      <c r="BR138" s="676" cm="1">
        <f t="array" ref="BR138">SUM(_xlfn._xlws.FILTER(_xlfn._xlws.FILTER(headcountData,(headcountDataDepts=$D138)*(headcountDataIDs=$E138)),(startDates&gt;=BR$95)*(endDates=BR$96)))</f>
        <v>0</v>
      </c>
      <c r="BS138" s="676" cm="1">
        <f t="array" ref="BS138">SUM(_xlfn._xlws.FILTER(_xlfn._xlws.FILTER(headcountData,(headcountDataDepts=$D138)*(headcountDataIDs=$E138)),(startDates&gt;=BS$95)*(endDates=BS$96)))</f>
        <v>0</v>
      </c>
      <c r="BT138" s="676" cm="1">
        <f t="array" ref="BT138">SUM(_xlfn._xlws.FILTER(_xlfn._xlws.FILTER(headcountData,(headcountDataDepts=$D138)*(headcountDataIDs=$E138)),(startDates&gt;=BT$95)*(endDates=BT$96)))</f>
        <v>0</v>
      </c>
      <c r="BU138" s="676" cm="1">
        <f t="array" ref="BU138">SUM(_xlfn._xlws.FILTER(_xlfn._xlws.FILTER(headcountData,(headcountDataDepts=$D138)*(headcountDataIDs=$E138)),(startDates&gt;=BU$95)*(endDates=BU$96)))</f>
        <v>0</v>
      </c>
      <c r="BV138" s="676" cm="1">
        <f t="array" ref="BV138">SUM(_xlfn._xlws.FILTER(_xlfn._xlws.FILTER(headcountData,(headcountDataDepts=$D138)*(headcountDataIDs=$E138)),(startDates&gt;=BV$95)*(endDates=BV$96)))</f>
        <v>0</v>
      </c>
      <c r="BW138" s="676" cm="1">
        <f t="array" ref="BW138">SUM(_xlfn._xlws.FILTER(_xlfn._xlws.FILTER(headcountData,(headcountDataDepts=$D138)*(headcountDataIDs=$E138)),(startDates&gt;=BW$95)*(endDates=BW$96)))</f>
        <v>0</v>
      </c>
      <c r="BX138" s="676" cm="1">
        <f t="array" ref="BX138">SUM(_xlfn._xlws.FILTER(_xlfn._xlws.FILTER(headcountData,(headcountDataDepts=$D138)*(headcountDataIDs=$E138)),(startDates&gt;=BX$95)*(endDates=BX$96)))</f>
        <v>0</v>
      </c>
      <c r="BY138" s="676" cm="1">
        <f t="array" ref="BY138">SUM(_xlfn._xlws.FILTER(_xlfn._xlws.FILTER(headcountData,(headcountDataDepts=$D138)*(headcountDataIDs=$E138)),(startDates&gt;=BY$95)*(endDates=BY$96)))</f>
        <v>0</v>
      </c>
      <c r="BZ138" s="676" cm="1">
        <f t="array" ref="BZ138">SUM(_xlfn._xlws.FILTER(_xlfn._xlws.FILTER(headcountData,(headcountDataDepts=$D138)*(headcountDataIDs=$E138)),(startDates&gt;=BZ$95)*(endDates=BZ$96)))</f>
        <v>0</v>
      </c>
      <c r="CA138" s="676" cm="1">
        <f t="array" ref="CA138">SUM(_xlfn._xlws.FILTER(_xlfn._xlws.FILTER(headcountData,(headcountDataDepts=$D138)*(headcountDataIDs=$E138)),(startDates&gt;=CA$95)*(endDates=CA$96)))</f>
        <v>0</v>
      </c>
      <c r="CB138" s="676" cm="1">
        <f t="array" ref="CB138">SUM(_xlfn._xlws.FILTER(_xlfn._xlws.FILTER(headcountData,(headcountDataDepts=$D138)*(headcountDataIDs=$E138)),(startDates&gt;=CB$95)*(endDates=CB$96)))</f>
        <v>0</v>
      </c>
      <c r="CC138" s="676" cm="1">
        <f t="array" ref="CC138">SUM(_xlfn._xlws.FILTER(_xlfn._xlws.FILTER(headcountData,(headcountDataDepts=$D138)*(headcountDataIDs=$E138)),(startDates&gt;=CC$95)*(endDates=CC$96)))</f>
        <v>0</v>
      </c>
      <c r="CD138" s="676" cm="1">
        <f t="array" ref="CD138">SUM(_xlfn._xlws.FILTER(_xlfn._xlws.FILTER(headcountData,(headcountDataDepts=$D138)*(headcountDataIDs=$E138)),(startDates&gt;=CD$95)*(endDates=CD$96)))</f>
        <v>0</v>
      </c>
      <c r="CE138" s="676" cm="1">
        <f t="array" ref="CE138">SUM(_xlfn._xlws.FILTER(_xlfn._xlws.FILTER(headcountData,(headcountDataDepts=$D138)*(headcountDataIDs=$E138)),(startDates&gt;=CE$95)*(endDates=CE$96)))</f>
        <v>0</v>
      </c>
      <c r="CF138" s="676" cm="1">
        <f t="array" ref="CF138">SUM(_xlfn._xlws.FILTER(_xlfn._xlws.FILTER(headcountData,(headcountDataDepts=$D138)*(headcountDataIDs=$E138)),(startDates&gt;=CF$95)*(endDates=CF$96)))</f>
        <v>0</v>
      </c>
      <c r="CG138" s="676" cm="1">
        <f t="array" ref="CG138">SUM(_xlfn._xlws.FILTER(_xlfn._xlws.FILTER(headcountData,(headcountDataDepts=$D138)*(headcountDataIDs=$E138)),(startDates&gt;=CG$95)*(endDates=CG$96)))</f>
        <v>0</v>
      </c>
    </row>
    <row r="139" spans="3:85" ht="15.75" hidden="1" customHeight="1" outlineLevel="1">
      <c r="C139" s="677" t="s">
        <v>191</v>
      </c>
      <c r="D139" s="149" t="s">
        <v>187</v>
      </c>
      <c r="E139" s="150" t="s">
        <v>192</v>
      </c>
      <c r="J139" s="676" cm="1">
        <f t="array" ref="J139">SUM(_xlfn._xlws.FILTER(_xlfn._xlws.FILTER(headcountData,(headcountDataDepts=$D139)*(headcountDataIDs=$E139)),(startDates&gt;=J$95)*(endDates=J$96)))</f>
        <v>0</v>
      </c>
      <c r="K139" s="676" cm="1">
        <f t="array" ref="K139">SUM(_xlfn._xlws.FILTER(_xlfn._xlws.FILTER(headcountData,(headcountDataDepts=$D139)*(headcountDataIDs=$E139)),(startDates&gt;=K$95)*(endDates=K$96)))</f>
        <v>0</v>
      </c>
      <c r="N139" s="676" cm="1">
        <f t="array" ref="N139">SUM(_xlfn._xlws.FILTER(_xlfn._xlws.FILTER(headcountData,(headcountDataDepts=$D139)*(headcountDataIDs=$E139)),(startDates&gt;=N$95)*(endDates=N$96)))</f>
        <v>0</v>
      </c>
      <c r="O139" s="676" cm="1">
        <f t="array" ref="O139">SUM(_xlfn._xlws.FILTER(_xlfn._xlws.FILTER(headcountData,(headcountDataDepts=$D139)*(headcountDataIDs=$E139)),(startDates&gt;=O$95)*(endDates=O$96)))</f>
        <v>0</v>
      </c>
      <c r="P139" s="676" cm="1">
        <f t="array" ref="P139">SUM(_xlfn._xlws.FILTER(_xlfn._xlws.FILTER(headcountData,(headcountDataDepts=$D139)*(headcountDataIDs=$E139)),(startDates&gt;=P$95)*(endDates=P$96)))</f>
        <v>0</v>
      </c>
      <c r="Q139" s="676" cm="1">
        <f t="array" ref="Q139">SUM(_xlfn._xlws.FILTER(_xlfn._xlws.FILTER(headcountData,(headcountDataDepts=$D139)*(headcountDataIDs=$E139)),(startDates&gt;=Q$95)*(endDates=Q$96)))</f>
        <v>0</v>
      </c>
      <c r="T139" s="676" cm="1">
        <f t="array" ref="T139">SUM(_xlfn._xlws.FILTER(_xlfn._xlws.FILTER(headcountData,(headcountDataDepts=$D139)*(headcountDataIDs=$E139)),(startDates&gt;=T$95)*(endDates=T$96)))</f>
        <v>0</v>
      </c>
      <c r="U139" s="676" cm="1">
        <f t="array" ref="U139">SUM(_xlfn._xlws.FILTER(_xlfn._xlws.FILTER(headcountData,(headcountDataDepts=$D139)*(headcountDataIDs=$E139)),(startDates&gt;=U$95)*(endDates=U$96)))</f>
        <v>0</v>
      </c>
      <c r="V139" s="676" cm="1">
        <f t="array" ref="V139">SUM(_xlfn._xlws.FILTER(_xlfn._xlws.FILTER(headcountData,(headcountDataDepts=$D139)*(headcountDataIDs=$E139)),(startDates&gt;=V$95)*(endDates=V$96)))</f>
        <v>0</v>
      </c>
      <c r="W139" s="676" cm="1">
        <f t="array" ref="W139">SUM(_xlfn._xlws.FILTER(_xlfn._xlws.FILTER(headcountData,(headcountDataDepts=$D139)*(headcountDataIDs=$E139)),(startDates&gt;=W$95)*(endDates=W$96)))</f>
        <v>0</v>
      </c>
      <c r="X139" s="676" cm="1">
        <f t="array" ref="X139">SUM(_xlfn._xlws.FILTER(_xlfn._xlws.FILTER(headcountData,(headcountDataDepts=$D139)*(headcountDataIDs=$E139)),(startDates&gt;=X$95)*(endDates=X$96)))</f>
        <v>0</v>
      </c>
      <c r="Y139" s="676" cm="1">
        <f t="array" ref="Y139">SUM(_xlfn._xlws.FILTER(_xlfn._xlws.FILTER(headcountData,(headcountDataDepts=$D139)*(headcountDataIDs=$E139)),(startDates&gt;=Y$95)*(endDates=Y$96)))</f>
        <v>0</v>
      </c>
      <c r="Z139" s="676" cm="1">
        <f t="array" ref="Z139">SUM(_xlfn._xlws.FILTER(_xlfn._xlws.FILTER(headcountData,(headcountDataDepts=$D139)*(headcountDataIDs=$E139)),(startDates&gt;=Z$95)*(endDates=Z$96)))</f>
        <v>0</v>
      </c>
      <c r="AA139" s="676" cm="1">
        <f t="array" ref="AA139">SUM(_xlfn._xlws.FILTER(_xlfn._xlws.FILTER(headcountData,(headcountDataDepts=$D139)*(headcountDataIDs=$E139)),(startDates&gt;=AA$95)*(endDates=AA$96)))</f>
        <v>0</v>
      </c>
      <c r="AB139" s="676" cm="1">
        <f t="array" ref="AB139">SUM(_xlfn._xlws.FILTER(_xlfn._xlws.FILTER(headcountData,(headcountDataDepts=$D139)*(headcountDataIDs=$E139)),(startDates&gt;=AB$95)*(endDates=AB$96)))</f>
        <v>0</v>
      </c>
      <c r="AC139" s="676" cm="1">
        <f t="array" ref="AC139">SUM(_xlfn._xlws.FILTER(_xlfn._xlws.FILTER(headcountData,(headcountDataDepts=$D139)*(headcountDataIDs=$E139)),(startDates&gt;=AC$95)*(endDates=AC$96)))</f>
        <v>0</v>
      </c>
      <c r="AD139" s="676" cm="1">
        <f t="array" ref="AD139">SUM(_xlfn._xlws.FILTER(_xlfn._xlws.FILTER(headcountData,(headcountDataDepts=$D139)*(headcountDataIDs=$E139)),(startDates&gt;=AD$95)*(endDates=AD$96)))</f>
        <v>0</v>
      </c>
      <c r="AE139" s="676" cm="1">
        <f t="array" ref="AE139">SUM(_xlfn._xlws.FILTER(_xlfn._xlws.FILTER(headcountData,(headcountDataDepts=$D139)*(headcountDataIDs=$E139)),(startDates&gt;=AE$95)*(endDates=AE$96)))</f>
        <v>0</v>
      </c>
      <c r="AF139" s="676" cm="1">
        <f t="array" ref="AF139">SUM(_xlfn._xlws.FILTER(_xlfn._xlws.FILTER(headcountData,(headcountDataDepts=$D139)*(headcountDataIDs=$E139)),(startDates&gt;=AF$95)*(endDates=AF$96)))</f>
        <v>0</v>
      </c>
      <c r="AG139" s="676" cm="1">
        <f t="array" ref="AG139">SUM(_xlfn._xlws.FILTER(_xlfn._xlws.FILTER(headcountData,(headcountDataDepts=$D139)*(headcountDataIDs=$E139)),(startDates&gt;=AG$95)*(endDates=AG$96)))</f>
        <v>0</v>
      </c>
      <c r="AH139" s="676" cm="1">
        <f t="array" ref="AH139">SUM(_xlfn._xlws.FILTER(_xlfn._xlws.FILTER(headcountData,(headcountDataDepts=$D139)*(headcountDataIDs=$E139)),(startDates&gt;=AH$95)*(endDates=AH$96)))</f>
        <v>0</v>
      </c>
      <c r="AI139" s="676" cm="1">
        <f t="array" ref="AI139">SUM(_xlfn._xlws.FILTER(_xlfn._xlws.FILTER(headcountData,(headcountDataDepts=$D139)*(headcountDataIDs=$E139)),(startDates&gt;=AI$95)*(endDates=AI$96)))</f>
        <v>0</v>
      </c>
      <c r="AL139" s="676" cm="1">
        <f t="array" ref="AL139">SUM(_xlfn._xlws.FILTER(_xlfn._xlws.FILTER(headcountData,(headcountDataDepts=$D139)*(headcountDataIDs=$E139)),(startDates&gt;=AL$95)*(endDates=AL$96)))</f>
        <v>0</v>
      </c>
      <c r="AM139" s="676" cm="1">
        <f t="array" ref="AM139">SUM(_xlfn._xlws.FILTER(_xlfn._xlws.FILTER(headcountData,(headcountDataDepts=$D139)*(headcountDataIDs=$E139)),(startDates&gt;=AM$95)*(endDates=AM$96)))</f>
        <v>0</v>
      </c>
      <c r="AN139" s="676" cm="1">
        <f t="array" ref="AN139">SUM(_xlfn._xlws.FILTER(_xlfn._xlws.FILTER(headcountData,(headcountDataDepts=$D139)*(headcountDataIDs=$E139)),(startDates&gt;=AN$95)*(endDates=AN$96)))</f>
        <v>0</v>
      </c>
      <c r="AO139" s="676" cm="1">
        <f t="array" ref="AO139">SUM(_xlfn._xlws.FILTER(_xlfn._xlws.FILTER(headcountData,(headcountDataDepts=$D139)*(headcountDataIDs=$E139)),(startDates&gt;=AO$95)*(endDates=AO$96)))</f>
        <v>0</v>
      </c>
      <c r="AP139" s="676" cm="1">
        <f t="array" ref="AP139">SUM(_xlfn._xlws.FILTER(_xlfn._xlws.FILTER(headcountData,(headcountDataDepts=$D139)*(headcountDataIDs=$E139)),(startDates&gt;=AP$95)*(endDates=AP$96)))</f>
        <v>0</v>
      </c>
      <c r="AQ139" s="676" cm="1">
        <f t="array" ref="AQ139">SUM(_xlfn._xlws.FILTER(_xlfn._xlws.FILTER(headcountData,(headcountDataDepts=$D139)*(headcountDataIDs=$E139)),(startDates&gt;=AQ$95)*(endDates=AQ$96)))</f>
        <v>0</v>
      </c>
      <c r="AR139" s="676" cm="1">
        <f t="array" ref="AR139">SUM(_xlfn._xlws.FILTER(_xlfn._xlws.FILTER(headcountData,(headcountDataDepts=$D139)*(headcountDataIDs=$E139)),(startDates&gt;=AR$95)*(endDates=AR$96)))</f>
        <v>0</v>
      </c>
      <c r="AS139" s="676" cm="1">
        <f t="array" ref="AS139">SUM(_xlfn._xlws.FILTER(_xlfn._xlws.FILTER(headcountData,(headcountDataDepts=$D139)*(headcountDataIDs=$E139)),(startDates&gt;=AS$95)*(endDates=AS$96)))</f>
        <v>0</v>
      </c>
      <c r="AT139" s="676" cm="1">
        <f t="array" ref="AT139">SUM(_xlfn._xlws.FILTER(_xlfn._xlws.FILTER(headcountData,(headcountDataDepts=$D139)*(headcountDataIDs=$E139)),(startDates&gt;=AT$95)*(endDates=AT$96)))</f>
        <v>0</v>
      </c>
      <c r="AU139" s="676" cm="1">
        <f t="array" ref="AU139">SUM(_xlfn._xlws.FILTER(_xlfn._xlws.FILTER(headcountData,(headcountDataDepts=$D139)*(headcountDataIDs=$E139)),(startDates&gt;=AU$95)*(endDates=AU$96)))</f>
        <v>0</v>
      </c>
      <c r="AV139" s="676" cm="1">
        <f t="array" ref="AV139">SUM(_xlfn._xlws.FILTER(_xlfn._xlws.FILTER(headcountData,(headcountDataDepts=$D139)*(headcountDataIDs=$E139)),(startDates&gt;=AV$95)*(endDates=AV$96)))</f>
        <v>0</v>
      </c>
      <c r="AW139" s="676" cm="1">
        <f t="array" ref="AW139">SUM(_xlfn._xlws.FILTER(_xlfn._xlws.FILTER(headcountData,(headcountDataDepts=$D139)*(headcountDataIDs=$E139)),(startDates&gt;=AW$95)*(endDates=AW$96)))</f>
        <v>0</v>
      </c>
      <c r="AX139" s="676" cm="1">
        <f t="array" ref="AX139">SUM(_xlfn._xlws.FILTER(_xlfn._xlws.FILTER(headcountData,(headcountDataDepts=$D139)*(headcountDataIDs=$E139)),(startDates&gt;=AX$95)*(endDates=AX$96)))</f>
        <v>0</v>
      </c>
      <c r="AY139" s="676" cm="1">
        <f t="array" ref="AY139">SUM(_xlfn._xlws.FILTER(_xlfn._xlws.FILTER(headcountData,(headcountDataDepts=$D139)*(headcountDataIDs=$E139)),(startDates&gt;=AY$95)*(endDates=AY$96)))</f>
        <v>0</v>
      </c>
      <c r="AZ139" s="676" cm="1">
        <f t="array" ref="AZ139">SUM(_xlfn._xlws.FILTER(_xlfn._xlws.FILTER(headcountData,(headcountDataDepts=$D139)*(headcountDataIDs=$E139)),(startDates&gt;=AZ$95)*(endDates=AZ$96)))</f>
        <v>0</v>
      </c>
      <c r="BA139" s="676" cm="1">
        <f t="array" ref="BA139">SUM(_xlfn._xlws.FILTER(_xlfn._xlws.FILTER(headcountData,(headcountDataDepts=$D139)*(headcountDataIDs=$E139)),(startDates&gt;=BA$95)*(endDates=BA$96)))</f>
        <v>0</v>
      </c>
      <c r="BB139" s="676" cm="1">
        <f t="array" ref="BB139">SUM(_xlfn._xlws.FILTER(_xlfn._xlws.FILTER(headcountData,(headcountDataDepts=$D139)*(headcountDataIDs=$E139)),(startDates&gt;=BB$95)*(endDates=BB$96)))</f>
        <v>0</v>
      </c>
      <c r="BC139" s="676" cm="1">
        <f t="array" ref="BC139">SUM(_xlfn._xlws.FILTER(_xlfn._xlws.FILTER(headcountData,(headcountDataDepts=$D139)*(headcountDataIDs=$E139)),(startDates&gt;=BC$95)*(endDates=BC$96)))</f>
        <v>0</v>
      </c>
      <c r="BD139" s="676" cm="1">
        <f t="array" ref="BD139">SUM(_xlfn._xlws.FILTER(_xlfn._xlws.FILTER(headcountData,(headcountDataDepts=$D139)*(headcountDataIDs=$E139)),(startDates&gt;=BD$95)*(endDates=BD$96)))</f>
        <v>0</v>
      </c>
      <c r="BE139" s="676" cm="1">
        <f t="array" ref="BE139">SUM(_xlfn._xlws.FILTER(_xlfn._xlws.FILTER(headcountData,(headcountDataDepts=$D139)*(headcountDataIDs=$E139)),(startDates&gt;=BE$95)*(endDates=BE$96)))</f>
        <v>0</v>
      </c>
      <c r="BF139" s="676" cm="1">
        <f t="array" ref="BF139">SUM(_xlfn._xlws.FILTER(_xlfn._xlws.FILTER(headcountData,(headcountDataDepts=$D139)*(headcountDataIDs=$E139)),(startDates&gt;=BF$95)*(endDates=BF$96)))</f>
        <v>0</v>
      </c>
      <c r="BG139" s="676" cm="1">
        <f t="array" ref="BG139">SUM(_xlfn._xlws.FILTER(_xlfn._xlws.FILTER(headcountData,(headcountDataDepts=$D139)*(headcountDataIDs=$E139)),(startDates&gt;=BG$95)*(endDates=BG$96)))</f>
        <v>0</v>
      </c>
      <c r="BH139" s="676" cm="1">
        <f t="array" ref="BH139">SUM(_xlfn._xlws.FILTER(_xlfn._xlws.FILTER(headcountData,(headcountDataDepts=$D139)*(headcountDataIDs=$E139)),(startDates&gt;=BH$95)*(endDates=BH$96)))</f>
        <v>0</v>
      </c>
      <c r="BI139" s="676" cm="1">
        <f t="array" ref="BI139">SUM(_xlfn._xlws.FILTER(_xlfn._xlws.FILTER(headcountData,(headcountDataDepts=$D139)*(headcountDataIDs=$E139)),(startDates&gt;=BI$95)*(endDates=BI$96)))</f>
        <v>0</v>
      </c>
      <c r="BJ139" s="676" cm="1">
        <f t="array" ref="BJ139">SUM(_xlfn._xlws.FILTER(_xlfn._xlws.FILTER(headcountData,(headcountDataDepts=$D139)*(headcountDataIDs=$E139)),(startDates&gt;=BJ$95)*(endDates=BJ$96)))</f>
        <v>0</v>
      </c>
      <c r="BK139" s="676" cm="1">
        <f t="array" ref="BK139">SUM(_xlfn._xlws.FILTER(_xlfn._xlws.FILTER(headcountData,(headcountDataDepts=$D139)*(headcountDataIDs=$E139)),(startDates&gt;=BK$95)*(endDates=BK$96)))</f>
        <v>0</v>
      </c>
      <c r="BL139" s="676" cm="1">
        <f t="array" ref="BL139">SUM(_xlfn._xlws.FILTER(_xlfn._xlws.FILTER(headcountData,(headcountDataDepts=$D139)*(headcountDataIDs=$E139)),(startDates&gt;=BL$95)*(endDates=BL$96)))</f>
        <v>0</v>
      </c>
      <c r="BM139" s="676" cm="1">
        <f t="array" ref="BM139">SUM(_xlfn._xlws.FILTER(_xlfn._xlws.FILTER(headcountData,(headcountDataDepts=$D139)*(headcountDataIDs=$E139)),(startDates&gt;=BM$95)*(endDates=BM$96)))</f>
        <v>0</v>
      </c>
      <c r="BN139" s="676" cm="1">
        <f t="array" ref="BN139">SUM(_xlfn._xlws.FILTER(_xlfn._xlws.FILTER(headcountData,(headcountDataDepts=$D139)*(headcountDataIDs=$E139)),(startDates&gt;=BN$95)*(endDates=BN$96)))</f>
        <v>0</v>
      </c>
      <c r="BO139" s="676" cm="1">
        <f t="array" ref="BO139">SUM(_xlfn._xlws.FILTER(_xlfn._xlws.FILTER(headcountData,(headcountDataDepts=$D139)*(headcountDataIDs=$E139)),(startDates&gt;=BO$95)*(endDates=BO$96)))</f>
        <v>0</v>
      </c>
      <c r="BP139" s="676" cm="1">
        <f t="array" ref="BP139">SUM(_xlfn._xlws.FILTER(_xlfn._xlws.FILTER(headcountData,(headcountDataDepts=$D139)*(headcountDataIDs=$E139)),(startDates&gt;=BP$95)*(endDates=BP$96)))</f>
        <v>0</v>
      </c>
      <c r="BQ139" s="676" cm="1">
        <f t="array" ref="BQ139">SUM(_xlfn._xlws.FILTER(_xlfn._xlws.FILTER(headcountData,(headcountDataDepts=$D139)*(headcountDataIDs=$E139)),(startDates&gt;=BQ$95)*(endDates=BQ$96)))</f>
        <v>0</v>
      </c>
      <c r="BR139" s="676" cm="1">
        <f t="array" ref="BR139">SUM(_xlfn._xlws.FILTER(_xlfn._xlws.FILTER(headcountData,(headcountDataDepts=$D139)*(headcountDataIDs=$E139)),(startDates&gt;=BR$95)*(endDates=BR$96)))</f>
        <v>0</v>
      </c>
      <c r="BS139" s="676" cm="1">
        <f t="array" ref="BS139">SUM(_xlfn._xlws.FILTER(_xlfn._xlws.FILTER(headcountData,(headcountDataDepts=$D139)*(headcountDataIDs=$E139)),(startDates&gt;=BS$95)*(endDates=BS$96)))</f>
        <v>0</v>
      </c>
      <c r="BT139" s="676" cm="1">
        <f t="array" ref="BT139">SUM(_xlfn._xlws.FILTER(_xlfn._xlws.FILTER(headcountData,(headcountDataDepts=$D139)*(headcountDataIDs=$E139)),(startDates&gt;=BT$95)*(endDates=BT$96)))</f>
        <v>0</v>
      </c>
      <c r="BU139" s="676" cm="1">
        <f t="array" ref="BU139">SUM(_xlfn._xlws.FILTER(_xlfn._xlws.FILTER(headcountData,(headcountDataDepts=$D139)*(headcountDataIDs=$E139)),(startDates&gt;=BU$95)*(endDates=BU$96)))</f>
        <v>0</v>
      </c>
      <c r="BV139" s="676" cm="1">
        <f t="array" ref="BV139">SUM(_xlfn._xlws.FILTER(_xlfn._xlws.FILTER(headcountData,(headcountDataDepts=$D139)*(headcountDataIDs=$E139)),(startDates&gt;=BV$95)*(endDates=BV$96)))</f>
        <v>0</v>
      </c>
      <c r="BW139" s="676" cm="1">
        <f t="array" ref="BW139">SUM(_xlfn._xlws.FILTER(_xlfn._xlws.FILTER(headcountData,(headcountDataDepts=$D139)*(headcountDataIDs=$E139)),(startDates&gt;=BW$95)*(endDates=BW$96)))</f>
        <v>0</v>
      </c>
      <c r="BX139" s="676" cm="1">
        <f t="array" ref="BX139">SUM(_xlfn._xlws.FILTER(_xlfn._xlws.FILTER(headcountData,(headcountDataDepts=$D139)*(headcountDataIDs=$E139)),(startDates&gt;=BX$95)*(endDates=BX$96)))</f>
        <v>0</v>
      </c>
      <c r="BY139" s="676" cm="1">
        <f t="array" ref="BY139">SUM(_xlfn._xlws.FILTER(_xlfn._xlws.FILTER(headcountData,(headcountDataDepts=$D139)*(headcountDataIDs=$E139)),(startDates&gt;=BY$95)*(endDates=BY$96)))</f>
        <v>0</v>
      </c>
      <c r="BZ139" s="676" cm="1">
        <f t="array" ref="BZ139">SUM(_xlfn._xlws.FILTER(_xlfn._xlws.FILTER(headcountData,(headcountDataDepts=$D139)*(headcountDataIDs=$E139)),(startDates&gt;=BZ$95)*(endDates=BZ$96)))</f>
        <v>0</v>
      </c>
      <c r="CA139" s="676" cm="1">
        <f t="array" ref="CA139">SUM(_xlfn._xlws.FILTER(_xlfn._xlws.FILTER(headcountData,(headcountDataDepts=$D139)*(headcountDataIDs=$E139)),(startDates&gt;=CA$95)*(endDates=CA$96)))</f>
        <v>0</v>
      </c>
      <c r="CB139" s="676" cm="1">
        <f t="array" ref="CB139">SUM(_xlfn._xlws.FILTER(_xlfn._xlws.FILTER(headcountData,(headcountDataDepts=$D139)*(headcountDataIDs=$E139)),(startDates&gt;=CB$95)*(endDates=CB$96)))</f>
        <v>0</v>
      </c>
      <c r="CC139" s="676" cm="1">
        <f t="array" ref="CC139">SUM(_xlfn._xlws.FILTER(_xlfn._xlws.FILTER(headcountData,(headcountDataDepts=$D139)*(headcountDataIDs=$E139)),(startDates&gt;=CC$95)*(endDates=CC$96)))</f>
        <v>0</v>
      </c>
      <c r="CD139" s="676" cm="1">
        <f t="array" ref="CD139">SUM(_xlfn._xlws.FILTER(_xlfn._xlws.FILTER(headcountData,(headcountDataDepts=$D139)*(headcountDataIDs=$E139)),(startDates&gt;=CD$95)*(endDates=CD$96)))</f>
        <v>0</v>
      </c>
      <c r="CE139" s="676" cm="1">
        <f t="array" ref="CE139">SUM(_xlfn._xlws.FILTER(_xlfn._xlws.FILTER(headcountData,(headcountDataDepts=$D139)*(headcountDataIDs=$E139)),(startDates&gt;=CE$95)*(endDates=CE$96)))</f>
        <v>0</v>
      </c>
      <c r="CF139" s="676" cm="1">
        <f t="array" ref="CF139">SUM(_xlfn._xlws.FILTER(_xlfn._xlws.FILTER(headcountData,(headcountDataDepts=$D139)*(headcountDataIDs=$E139)),(startDates&gt;=CF$95)*(endDates=CF$96)))</f>
        <v>0</v>
      </c>
      <c r="CG139" s="676" cm="1">
        <f t="array" ref="CG139">SUM(_xlfn._xlws.FILTER(_xlfn._xlws.FILTER(headcountData,(headcountDataDepts=$D139)*(headcountDataIDs=$E139)),(startDates&gt;=CG$95)*(endDates=CG$96)))</f>
        <v>0</v>
      </c>
    </row>
    <row r="140" spans="3:85" ht="15.75" hidden="1" customHeight="1" outlineLevel="1">
      <c r="C140" s="677" t="s">
        <v>193</v>
      </c>
      <c r="D140" s="149" t="s">
        <v>187</v>
      </c>
      <c r="E140" s="150" t="s">
        <v>194</v>
      </c>
      <c r="J140" s="676" cm="1">
        <f t="array" ref="J140">SUM(_xlfn._xlws.FILTER(_xlfn._xlws.FILTER(headcountData,(headcountDataDepts=$D140)*(headcountDataIDs=$E140)),(startDates&gt;=J$95)*(endDates=J$96)))</f>
        <v>0</v>
      </c>
      <c r="K140" s="676" cm="1">
        <f t="array" ref="K140">SUM(_xlfn._xlws.FILTER(_xlfn._xlws.FILTER(headcountData,(headcountDataDepts=$D140)*(headcountDataIDs=$E140)),(startDates&gt;=K$95)*(endDates=K$96)))</f>
        <v>0</v>
      </c>
      <c r="N140" s="676" cm="1">
        <f t="array" ref="N140">SUM(_xlfn._xlws.FILTER(_xlfn._xlws.FILTER(headcountData,(headcountDataDepts=$D140)*(headcountDataIDs=$E140)),(startDates&gt;=N$95)*(endDates=N$96)))</f>
        <v>0</v>
      </c>
      <c r="O140" s="676" cm="1">
        <f t="array" ref="O140">SUM(_xlfn._xlws.FILTER(_xlfn._xlws.FILTER(headcountData,(headcountDataDepts=$D140)*(headcountDataIDs=$E140)),(startDates&gt;=O$95)*(endDates=O$96)))</f>
        <v>0</v>
      </c>
      <c r="P140" s="676" cm="1">
        <f t="array" ref="P140">SUM(_xlfn._xlws.FILTER(_xlfn._xlws.FILTER(headcountData,(headcountDataDepts=$D140)*(headcountDataIDs=$E140)),(startDates&gt;=P$95)*(endDates=P$96)))</f>
        <v>0</v>
      </c>
      <c r="Q140" s="676" cm="1">
        <f t="array" ref="Q140">SUM(_xlfn._xlws.FILTER(_xlfn._xlws.FILTER(headcountData,(headcountDataDepts=$D140)*(headcountDataIDs=$E140)),(startDates&gt;=Q$95)*(endDates=Q$96)))</f>
        <v>0</v>
      </c>
      <c r="T140" s="676" cm="1">
        <f t="array" ref="T140">SUM(_xlfn._xlws.FILTER(_xlfn._xlws.FILTER(headcountData,(headcountDataDepts=$D140)*(headcountDataIDs=$E140)),(startDates&gt;=T$95)*(endDates=T$96)))</f>
        <v>0</v>
      </c>
      <c r="U140" s="676" cm="1">
        <f t="array" ref="U140">SUM(_xlfn._xlws.FILTER(_xlfn._xlws.FILTER(headcountData,(headcountDataDepts=$D140)*(headcountDataIDs=$E140)),(startDates&gt;=U$95)*(endDates=U$96)))</f>
        <v>0</v>
      </c>
      <c r="V140" s="676" cm="1">
        <f t="array" ref="V140">SUM(_xlfn._xlws.FILTER(_xlfn._xlws.FILTER(headcountData,(headcountDataDepts=$D140)*(headcountDataIDs=$E140)),(startDates&gt;=V$95)*(endDates=V$96)))</f>
        <v>0</v>
      </c>
      <c r="W140" s="676" cm="1">
        <f t="array" ref="W140">SUM(_xlfn._xlws.FILTER(_xlfn._xlws.FILTER(headcountData,(headcountDataDepts=$D140)*(headcountDataIDs=$E140)),(startDates&gt;=W$95)*(endDates=W$96)))</f>
        <v>0</v>
      </c>
      <c r="X140" s="676" cm="1">
        <f t="array" ref="X140">SUM(_xlfn._xlws.FILTER(_xlfn._xlws.FILTER(headcountData,(headcountDataDepts=$D140)*(headcountDataIDs=$E140)),(startDates&gt;=X$95)*(endDates=X$96)))</f>
        <v>0</v>
      </c>
      <c r="Y140" s="676" cm="1">
        <f t="array" ref="Y140">SUM(_xlfn._xlws.FILTER(_xlfn._xlws.FILTER(headcountData,(headcountDataDepts=$D140)*(headcountDataIDs=$E140)),(startDates&gt;=Y$95)*(endDates=Y$96)))</f>
        <v>0</v>
      </c>
      <c r="Z140" s="676" cm="1">
        <f t="array" ref="Z140">SUM(_xlfn._xlws.FILTER(_xlfn._xlws.FILTER(headcountData,(headcountDataDepts=$D140)*(headcountDataIDs=$E140)),(startDates&gt;=Z$95)*(endDates=Z$96)))</f>
        <v>0</v>
      </c>
      <c r="AA140" s="676" cm="1">
        <f t="array" ref="AA140">SUM(_xlfn._xlws.FILTER(_xlfn._xlws.FILTER(headcountData,(headcountDataDepts=$D140)*(headcountDataIDs=$E140)),(startDates&gt;=AA$95)*(endDates=AA$96)))</f>
        <v>0</v>
      </c>
      <c r="AB140" s="676" cm="1">
        <f t="array" ref="AB140">SUM(_xlfn._xlws.FILTER(_xlfn._xlws.FILTER(headcountData,(headcountDataDepts=$D140)*(headcountDataIDs=$E140)),(startDates&gt;=AB$95)*(endDates=AB$96)))</f>
        <v>0</v>
      </c>
      <c r="AC140" s="676" cm="1">
        <f t="array" ref="AC140">SUM(_xlfn._xlws.FILTER(_xlfn._xlws.FILTER(headcountData,(headcountDataDepts=$D140)*(headcountDataIDs=$E140)),(startDates&gt;=AC$95)*(endDates=AC$96)))</f>
        <v>0</v>
      </c>
      <c r="AD140" s="676" cm="1">
        <f t="array" ref="AD140">SUM(_xlfn._xlws.FILTER(_xlfn._xlws.FILTER(headcountData,(headcountDataDepts=$D140)*(headcountDataIDs=$E140)),(startDates&gt;=AD$95)*(endDates=AD$96)))</f>
        <v>0</v>
      </c>
      <c r="AE140" s="676" cm="1">
        <f t="array" ref="AE140">SUM(_xlfn._xlws.FILTER(_xlfn._xlws.FILTER(headcountData,(headcountDataDepts=$D140)*(headcountDataIDs=$E140)),(startDates&gt;=AE$95)*(endDates=AE$96)))</f>
        <v>0</v>
      </c>
      <c r="AF140" s="676" cm="1">
        <f t="array" ref="AF140">SUM(_xlfn._xlws.FILTER(_xlfn._xlws.FILTER(headcountData,(headcountDataDepts=$D140)*(headcountDataIDs=$E140)),(startDates&gt;=AF$95)*(endDates=AF$96)))</f>
        <v>0</v>
      </c>
      <c r="AG140" s="676" cm="1">
        <f t="array" ref="AG140">SUM(_xlfn._xlws.FILTER(_xlfn._xlws.FILTER(headcountData,(headcountDataDepts=$D140)*(headcountDataIDs=$E140)),(startDates&gt;=AG$95)*(endDates=AG$96)))</f>
        <v>0</v>
      </c>
      <c r="AH140" s="676" cm="1">
        <f t="array" ref="AH140">SUM(_xlfn._xlws.FILTER(_xlfn._xlws.FILTER(headcountData,(headcountDataDepts=$D140)*(headcountDataIDs=$E140)),(startDates&gt;=AH$95)*(endDates=AH$96)))</f>
        <v>0</v>
      </c>
      <c r="AI140" s="676" cm="1">
        <f t="array" ref="AI140">SUM(_xlfn._xlws.FILTER(_xlfn._xlws.FILTER(headcountData,(headcountDataDepts=$D140)*(headcountDataIDs=$E140)),(startDates&gt;=AI$95)*(endDates=AI$96)))</f>
        <v>0</v>
      </c>
      <c r="AL140" s="676" cm="1">
        <f t="array" ref="AL140">SUM(_xlfn._xlws.FILTER(_xlfn._xlws.FILTER(headcountData,(headcountDataDepts=$D140)*(headcountDataIDs=$E140)),(startDates&gt;=AL$95)*(endDates=AL$96)))</f>
        <v>0</v>
      </c>
      <c r="AM140" s="676" cm="1">
        <f t="array" ref="AM140">SUM(_xlfn._xlws.FILTER(_xlfn._xlws.FILTER(headcountData,(headcountDataDepts=$D140)*(headcountDataIDs=$E140)),(startDates&gt;=AM$95)*(endDates=AM$96)))</f>
        <v>0</v>
      </c>
      <c r="AN140" s="676" cm="1">
        <f t="array" ref="AN140">SUM(_xlfn._xlws.FILTER(_xlfn._xlws.FILTER(headcountData,(headcountDataDepts=$D140)*(headcountDataIDs=$E140)),(startDates&gt;=AN$95)*(endDates=AN$96)))</f>
        <v>0</v>
      </c>
      <c r="AO140" s="676" cm="1">
        <f t="array" ref="AO140">SUM(_xlfn._xlws.FILTER(_xlfn._xlws.FILTER(headcountData,(headcountDataDepts=$D140)*(headcountDataIDs=$E140)),(startDates&gt;=AO$95)*(endDates=AO$96)))</f>
        <v>0</v>
      </c>
      <c r="AP140" s="676" cm="1">
        <f t="array" ref="AP140">SUM(_xlfn._xlws.FILTER(_xlfn._xlws.FILTER(headcountData,(headcountDataDepts=$D140)*(headcountDataIDs=$E140)),(startDates&gt;=AP$95)*(endDates=AP$96)))</f>
        <v>0</v>
      </c>
      <c r="AQ140" s="676" cm="1">
        <f t="array" ref="AQ140">SUM(_xlfn._xlws.FILTER(_xlfn._xlws.FILTER(headcountData,(headcountDataDepts=$D140)*(headcountDataIDs=$E140)),(startDates&gt;=AQ$95)*(endDates=AQ$96)))</f>
        <v>0</v>
      </c>
      <c r="AR140" s="676" cm="1">
        <f t="array" ref="AR140">SUM(_xlfn._xlws.FILTER(_xlfn._xlws.FILTER(headcountData,(headcountDataDepts=$D140)*(headcountDataIDs=$E140)),(startDates&gt;=AR$95)*(endDates=AR$96)))</f>
        <v>0</v>
      </c>
      <c r="AS140" s="676" cm="1">
        <f t="array" ref="AS140">SUM(_xlfn._xlws.FILTER(_xlfn._xlws.FILTER(headcountData,(headcountDataDepts=$D140)*(headcountDataIDs=$E140)),(startDates&gt;=AS$95)*(endDates=AS$96)))</f>
        <v>0</v>
      </c>
      <c r="AT140" s="676" cm="1">
        <f t="array" ref="AT140">SUM(_xlfn._xlws.FILTER(_xlfn._xlws.FILTER(headcountData,(headcountDataDepts=$D140)*(headcountDataIDs=$E140)),(startDates&gt;=AT$95)*(endDates=AT$96)))</f>
        <v>0</v>
      </c>
      <c r="AU140" s="676" cm="1">
        <f t="array" ref="AU140">SUM(_xlfn._xlws.FILTER(_xlfn._xlws.FILTER(headcountData,(headcountDataDepts=$D140)*(headcountDataIDs=$E140)),(startDates&gt;=AU$95)*(endDates=AU$96)))</f>
        <v>0</v>
      </c>
      <c r="AV140" s="676" cm="1">
        <f t="array" ref="AV140">SUM(_xlfn._xlws.FILTER(_xlfn._xlws.FILTER(headcountData,(headcountDataDepts=$D140)*(headcountDataIDs=$E140)),(startDates&gt;=AV$95)*(endDates=AV$96)))</f>
        <v>0</v>
      </c>
      <c r="AW140" s="676" cm="1">
        <f t="array" ref="AW140">SUM(_xlfn._xlws.FILTER(_xlfn._xlws.FILTER(headcountData,(headcountDataDepts=$D140)*(headcountDataIDs=$E140)),(startDates&gt;=AW$95)*(endDates=AW$96)))</f>
        <v>0</v>
      </c>
      <c r="AX140" s="676" cm="1">
        <f t="array" ref="AX140">SUM(_xlfn._xlws.FILTER(_xlfn._xlws.FILTER(headcountData,(headcountDataDepts=$D140)*(headcountDataIDs=$E140)),(startDates&gt;=AX$95)*(endDates=AX$96)))</f>
        <v>0</v>
      </c>
      <c r="AY140" s="676" cm="1">
        <f t="array" ref="AY140">SUM(_xlfn._xlws.FILTER(_xlfn._xlws.FILTER(headcountData,(headcountDataDepts=$D140)*(headcountDataIDs=$E140)),(startDates&gt;=AY$95)*(endDates=AY$96)))</f>
        <v>0</v>
      </c>
      <c r="AZ140" s="676" cm="1">
        <f t="array" ref="AZ140">SUM(_xlfn._xlws.FILTER(_xlfn._xlws.FILTER(headcountData,(headcountDataDepts=$D140)*(headcountDataIDs=$E140)),(startDates&gt;=AZ$95)*(endDates=AZ$96)))</f>
        <v>0</v>
      </c>
      <c r="BA140" s="676" cm="1">
        <f t="array" ref="BA140">SUM(_xlfn._xlws.FILTER(_xlfn._xlws.FILTER(headcountData,(headcountDataDepts=$D140)*(headcountDataIDs=$E140)),(startDates&gt;=BA$95)*(endDates=BA$96)))</f>
        <v>0</v>
      </c>
      <c r="BB140" s="676" cm="1">
        <f t="array" ref="BB140">SUM(_xlfn._xlws.FILTER(_xlfn._xlws.FILTER(headcountData,(headcountDataDepts=$D140)*(headcountDataIDs=$E140)),(startDates&gt;=BB$95)*(endDates=BB$96)))</f>
        <v>0</v>
      </c>
      <c r="BC140" s="676" cm="1">
        <f t="array" ref="BC140">SUM(_xlfn._xlws.FILTER(_xlfn._xlws.FILTER(headcountData,(headcountDataDepts=$D140)*(headcountDataIDs=$E140)),(startDates&gt;=BC$95)*(endDates=BC$96)))</f>
        <v>0</v>
      </c>
      <c r="BD140" s="676" cm="1">
        <f t="array" ref="BD140">SUM(_xlfn._xlws.FILTER(_xlfn._xlws.FILTER(headcountData,(headcountDataDepts=$D140)*(headcountDataIDs=$E140)),(startDates&gt;=BD$95)*(endDates=BD$96)))</f>
        <v>0</v>
      </c>
      <c r="BE140" s="676" cm="1">
        <f t="array" ref="BE140">SUM(_xlfn._xlws.FILTER(_xlfn._xlws.FILTER(headcountData,(headcountDataDepts=$D140)*(headcountDataIDs=$E140)),(startDates&gt;=BE$95)*(endDates=BE$96)))</f>
        <v>0</v>
      </c>
      <c r="BF140" s="676" cm="1">
        <f t="array" ref="BF140">SUM(_xlfn._xlws.FILTER(_xlfn._xlws.FILTER(headcountData,(headcountDataDepts=$D140)*(headcountDataIDs=$E140)),(startDates&gt;=BF$95)*(endDates=BF$96)))</f>
        <v>0</v>
      </c>
      <c r="BG140" s="676" cm="1">
        <f t="array" ref="BG140">SUM(_xlfn._xlws.FILTER(_xlfn._xlws.FILTER(headcountData,(headcountDataDepts=$D140)*(headcountDataIDs=$E140)),(startDates&gt;=BG$95)*(endDates=BG$96)))</f>
        <v>0</v>
      </c>
      <c r="BH140" s="676" cm="1">
        <f t="array" ref="BH140">SUM(_xlfn._xlws.FILTER(_xlfn._xlws.FILTER(headcountData,(headcountDataDepts=$D140)*(headcountDataIDs=$E140)),(startDates&gt;=BH$95)*(endDates=BH$96)))</f>
        <v>0</v>
      </c>
      <c r="BI140" s="676" cm="1">
        <f t="array" ref="BI140">SUM(_xlfn._xlws.FILTER(_xlfn._xlws.FILTER(headcountData,(headcountDataDepts=$D140)*(headcountDataIDs=$E140)),(startDates&gt;=BI$95)*(endDates=BI$96)))</f>
        <v>0</v>
      </c>
      <c r="BJ140" s="676" cm="1">
        <f t="array" ref="BJ140">SUM(_xlfn._xlws.FILTER(_xlfn._xlws.FILTER(headcountData,(headcountDataDepts=$D140)*(headcountDataIDs=$E140)),(startDates&gt;=BJ$95)*(endDates=BJ$96)))</f>
        <v>0</v>
      </c>
      <c r="BK140" s="676" cm="1">
        <f t="array" ref="BK140">SUM(_xlfn._xlws.FILTER(_xlfn._xlws.FILTER(headcountData,(headcountDataDepts=$D140)*(headcountDataIDs=$E140)),(startDates&gt;=BK$95)*(endDates=BK$96)))</f>
        <v>0</v>
      </c>
      <c r="BL140" s="676" cm="1">
        <f t="array" ref="BL140">SUM(_xlfn._xlws.FILTER(_xlfn._xlws.FILTER(headcountData,(headcountDataDepts=$D140)*(headcountDataIDs=$E140)),(startDates&gt;=BL$95)*(endDates=BL$96)))</f>
        <v>0</v>
      </c>
      <c r="BM140" s="676" cm="1">
        <f t="array" ref="BM140">SUM(_xlfn._xlws.FILTER(_xlfn._xlws.FILTER(headcountData,(headcountDataDepts=$D140)*(headcountDataIDs=$E140)),(startDates&gt;=BM$95)*(endDates=BM$96)))</f>
        <v>0</v>
      </c>
      <c r="BN140" s="676" cm="1">
        <f t="array" ref="BN140">SUM(_xlfn._xlws.FILTER(_xlfn._xlws.FILTER(headcountData,(headcountDataDepts=$D140)*(headcountDataIDs=$E140)),(startDates&gt;=BN$95)*(endDates=BN$96)))</f>
        <v>0</v>
      </c>
      <c r="BO140" s="676" cm="1">
        <f t="array" ref="BO140">SUM(_xlfn._xlws.FILTER(_xlfn._xlws.FILTER(headcountData,(headcountDataDepts=$D140)*(headcountDataIDs=$E140)),(startDates&gt;=BO$95)*(endDates=BO$96)))</f>
        <v>0</v>
      </c>
      <c r="BP140" s="676" cm="1">
        <f t="array" ref="BP140">SUM(_xlfn._xlws.FILTER(_xlfn._xlws.FILTER(headcountData,(headcountDataDepts=$D140)*(headcountDataIDs=$E140)),(startDates&gt;=BP$95)*(endDates=BP$96)))</f>
        <v>0</v>
      </c>
      <c r="BQ140" s="676" cm="1">
        <f t="array" ref="BQ140">SUM(_xlfn._xlws.FILTER(_xlfn._xlws.FILTER(headcountData,(headcountDataDepts=$D140)*(headcountDataIDs=$E140)),(startDates&gt;=BQ$95)*(endDates=BQ$96)))</f>
        <v>0</v>
      </c>
      <c r="BR140" s="676" cm="1">
        <f t="array" ref="BR140">SUM(_xlfn._xlws.FILTER(_xlfn._xlws.FILTER(headcountData,(headcountDataDepts=$D140)*(headcountDataIDs=$E140)),(startDates&gt;=BR$95)*(endDates=BR$96)))</f>
        <v>0</v>
      </c>
      <c r="BS140" s="676" cm="1">
        <f t="array" ref="BS140">SUM(_xlfn._xlws.FILTER(_xlfn._xlws.FILTER(headcountData,(headcountDataDepts=$D140)*(headcountDataIDs=$E140)),(startDates&gt;=BS$95)*(endDates=BS$96)))</f>
        <v>0</v>
      </c>
      <c r="BT140" s="676" cm="1">
        <f t="array" ref="BT140">SUM(_xlfn._xlws.FILTER(_xlfn._xlws.FILTER(headcountData,(headcountDataDepts=$D140)*(headcountDataIDs=$E140)),(startDates&gt;=BT$95)*(endDates=BT$96)))</f>
        <v>0</v>
      </c>
      <c r="BU140" s="676" cm="1">
        <f t="array" ref="BU140">SUM(_xlfn._xlws.FILTER(_xlfn._xlws.FILTER(headcountData,(headcountDataDepts=$D140)*(headcountDataIDs=$E140)),(startDates&gt;=BU$95)*(endDates=BU$96)))</f>
        <v>0</v>
      </c>
      <c r="BV140" s="676" cm="1">
        <f t="array" ref="BV140">SUM(_xlfn._xlws.FILTER(_xlfn._xlws.FILTER(headcountData,(headcountDataDepts=$D140)*(headcountDataIDs=$E140)),(startDates&gt;=BV$95)*(endDates=BV$96)))</f>
        <v>0</v>
      </c>
      <c r="BW140" s="676" cm="1">
        <f t="array" ref="BW140">SUM(_xlfn._xlws.FILTER(_xlfn._xlws.FILTER(headcountData,(headcountDataDepts=$D140)*(headcountDataIDs=$E140)),(startDates&gt;=BW$95)*(endDates=BW$96)))</f>
        <v>0</v>
      </c>
      <c r="BX140" s="676" cm="1">
        <f t="array" ref="BX140">SUM(_xlfn._xlws.FILTER(_xlfn._xlws.FILTER(headcountData,(headcountDataDepts=$D140)*(headcountDataIDs=$E140)),(startDates&gt;=BX$95)*(endDates=BX$96)))</f>
        <v>0</v>
      </c>
      <c r="BY140" s="676" cm="1">
        <f t="array" ref="BY140">SUM(_xlfn._xlws.FILTER(_xlfn._xlws.FILTER(headcountData,(headcountDataDepts=$D140)*(headcountDataIDs=$E140)),(startDates&gt;=BY$95)*(endDates=BY$96)))</f>
        <v>0</v>
      </c>
      <c r="BZ140" s="676" cm="1">
        <f t="array" ref="BZ140">SUM(_xlfn._xlws.FILTER(_xlfn._xlws.FILTER(headcountData,(headcountDataDepts=$D140)*(headcountDataIDs=$E140)),(startDates&gt;=BZ$95)*(endDates=BZ$96)))</f>
        <v>0</v>
      </c>
      <c r="CA140" s="676" cm="1">
        <f t="array" ref="CA140">SUM(_xlfn._xlws.FILTER(_xlfn._xlws.FILTER(headcountData,(headcountDataDepts=$D140)*(headcountDataIDs=$E140)),(startDates&gt;=CA$95)*(endDates=CA$96)))</f>
        <v>0</v>
      </c>
      <c r="CB140" s="676" cm="1">
        <f t="array" ref="CB140">SUM(_xlfn._xlws.FILTER(_xlfn._xlws.FILTER(headcountData,(headcountDataDepts=$D140)*(headcountDataIDs=$E140)),(startDates&gt;=CB$95)*(endDates=CB$96)))</f>
        <v>0</v>
      </c>
      <c r="CC140" s="676" cm="1">
        <f t="array" ref="CC140">SUM(_xlfn._xlws.FILTER(_xlfn._xlws.FILTER(headcountData,(headcountDataDepts=$D140)*(headcountDataIDs=$E140)),(startDates&gt;=CC$95)*(endDates=CC$96)))</f>
        <v>0</v>
      </c>
      <c r="CD140" s="676" cm="1">
        <f t="array" ref="CD140">SUM(_xlfn._xlws.FILTER(_xlfn._xlws.FILTER(headcountData,(headcountDataDepts=$D140)*(headcountDataIDs=$E140)),(startDates&gt;=CD$95)*(endDates=CD$96)))</f>
        <v>0</v>
      </c>
      <c r="CE140" s="676" cm="1">
        <f t="array" ref="CE140">SUM(_xlfn._xlws.FILTER(_xlfn._xlws.FILTER(headcountData,(headcountDataDepts=$D140)*(headcountDataIDs=$E140)),(startDates&gt;=CE$95)*(endDates=CE$96)))</f>
        <v>0</v>
      </c>
      <c r="CF140" s="676" cm="1">
        <f t="array" ref="CF140">SUM(_xlfn._xlws.FILTER(_xlfn._xlws.FILTER(headcountData,(headcountDataDepts=$D140)*(headcountDataIDs=$E140)),(startDates&gt;=CF$95)*(endDates=CF$96)))</f>
        <v>0</v>
      </c>
      <c r="CG140" s="676" cm="1">
        <f t="array" ref="CG140">SUM(_xlfn._xlws.FILTER(_xlfn._xlws.FILTER(headcountData,(headcountDataDepts=$D140)*(headcountDataIDs=$E140)),(startDates&gt;=CG$95)*(endDates=CG$96)))</f>
        <v>0</v>
      </c>
    </row>
    <row r="141" spans="3:85" ht="15.75" hidden="1" customHeight="1" outlineLevel="1">
      <c r="C141" s="677" t="s">
        <v>195</v>
      </c>
      <c r="D141" s="149" t="s">
        <v>187</v>
      </c>
      <c r="E141" s="150" t="s">
        <v>196</v>
      </c>
      <c r="J141" s="676" cm="1">
        <f t="array" ref="J141">SUM(_xlfn._xlws.FILTER(_xlfn._xlws.FILTER(headcountData,(headcountDataDepts=$D141)*(headcountDataIDs=$E141)),(startDates&gt;=J$95)*(endDates=J$96)))</f>
        <v>0</v>
      </c>
      <c r="K141" s="676" cm="1">
        <f t="array" ref="K141">SUM(_xlfn._xlws.FILTER(_xlfn._xlws.FILTER(headcountData,(headcountDataDepts=$D141)*(headcountDataIDs=$E141)),(startDates&gt;=K$95)*(endDates=K$96)))</f>
        <v>0</v>
      </c>
      <c r="N141" s="676" cm="1">
        <f t="array" ref="N141">SUM(_xlfn._xlws.FILTER(_xlfn._xlws.FILTER(headcountData,(headcountDataDepts=$D141)*(headcountDataIDs=$E141)),(startDates&gt;=N$95)*(endDates=N$96)))</f>
        <v>0</v>
      </c>
      <c r="O141" s="676" cm="1">
        <f t="array" ref="O141">SUM(_xlfn._xlws.FILTER(_xlfn._xlws.FILTER(headcountData,(headcountDataDepts=$D141)*(headcountDataIDs=$E141)),(startDates&gt;=O$95)*(endDates=O$96)))</f>
        <v>0</v>
      </c>
      <c r="P141" s="676" cm="1">
        <f t="array" ref="P141">SUM(_xlfn._xlws.FILTER(_xlfn._xlws.FILTER(headcountData,(headcountDataDepts=$D141)*(headcountDataIDs=$E141)),(startDates&gt;=P$95)*(endDates=P$96)))</f>
        <v>0</v>
      </c>
      <c r="Q141" s="676" cm="1">
        <f t="array" ref="Q141">SUM(_xlfn._xlws.FILTER(_xlfn._xlws.FILTER(headcountData,(headcountDataDepts=$D141)*(headcountDataIDs=$E141)),(startDates&gt;=Q$95)*(endDates=Q$96)))</f>
        <v>0</v>
      </c>
      <c r="T141" s="676" cm="1">
        <f t="array" ref="T141">SUM(_xlfn._xlws.FILTER(_xlfn._xlws.FILTER(headcountData,(headcountDataDepts=$D141)*(headcountDataIDs=$E141)),(startDates&gt;=T$95)*(endDates=T$96)))</f>
        <v>0</v>
      </c>
      <c r="U141" s="676" cm="1">
        <f t="array" ref="U141">SUM(_xlfn._xlws.FILTER(_xlfn._xlws.FILTER(headcountData,(headcountDataDepts=$D141)*(headcountDataIDs=$E141)),(startDates&gt;=U$95)*(endDates=U$96)))</f>
        <v>0</v>
      </c>
      <c r="V141" s="676" cm="1">
        <f t="array" ref="V141">SUM(_xlfn._xlws.FILTER(_xlfn._xlws.FILTER(headcountData,(headcountDataDepts=$D141)*(headcountDataIDs=$E141)),(startDates&gt;=V$95)*(endDates=V$96)))</f>
        <v>0</v>
      </c>
      <c r="W141" s="676" cm="1">
        <f t="array" ref="W141">SUM(_xlfn._xlws.FILTER(_xlfn._xlws.FILTER(headcountData,(headcountDataDepts=$D141)*(headcountDataIDs=$E141)),(startDates&gt;=W$95)*(endDates=W$96)))</f>
        <v>0</v>
      </c>
      <c r="X141" s="676" cm="1">
        <f t="array" ref="X141">SUM(_xlfn._xlws.FILTER(_xlfn._xlws.FILTER(headcountData,(headcountDataDepts=$D141)*(headcountDataIDs=$E141)),(startDates&gt;=X$95)*(endDates=X$96)))</f>
        <v>0</v>
      </c>
      <c r="Y141" s="676" cm="1">
        <f t="array" ref="Y141">SUM(_xlfn._xlws.FILTER(_xlfn._xlws.FILTER(headcountData,(headcountDataDepts=$D141)*(headcountDataIDs=$E141)),(startDates&gt;=Y$95)*(endDates=Y$96)))</f>
        <v>0</v>
      </c>
      <c r="Z141" s="676" cm="1">
        <f t="array" ref="Z141">SUM(_xlfn._xlws.FILTER(_xlfn._xlws.FILTER(headcountData,(headcountDataDepts=$D141)*(headcountDataIDs=$E141)),(startDates&gt;=Z$95)*(endDates=Z$96)))</f>
        <v>0</v>
      </c>
      <c r="AA141" s="676" cm="1">
        <f t="array" ref="AA141">SUM(_xlfn._xlws.FILTER(_xlfn._xlws.FILTER(headcountData,(headcountDataDepts=$D141)*(headcountDataIDs=$E141)),(startDates&gt;=AA$95)*(endDates=AA$96)))</f>
        <v>0</v>
      </c>
      <c r="AB141" s="676" cm="1">
        <f t="array" ref="AB141">SUM(_xlfn._xlws.FILTER(_xlfn._xlws.FILTER(headcountData,(headcountDataDepts=$D141)*(headcountDataIDs=$E141)),(startDates&gt;=AB$95)*(endDates=AB$96)))</f>
        <v>0</v>
      </c>
      <c r="AC141" s="676" cm="1">
        <f t="array" ref="AC141">SUM(_xlfn._xlws.FILTER(_xlfn._xlws.FILTER(headcountData,(headcountDataDepts=$D141)*(headcountDataIDs=$E141)),(startDates&gt;=AC$95)*(endDates=AC$96)))</f>
        <v>0</v>
      </c>
      <c r="AD141" s="676" cm="1">
        <f t="array" ref="AD141">SUM(_xlfn._xlws.FILTER(_xlfn._xlws.FILTER(headcountData,(headcountDataDepts=$D141)*(headcountDataIDs=$E141)),(startDates&gt;=AD$95)*(endDates=AD$96)))</f>
        <v>0</v>
      </c>
      <c r="AE141" s="676" cm="1">
        <f t="array" ref="AE141">SUM(_xlfn._xlws.FILTER(_xlfn._xlws.FILTER(headcountData,(headcountDataDepts=$D141)*(headcountDataIDs=$E141)),(startDates&gt;=AE$95)*(endDates=AE$96)))</f>
        <v>0</v>
      </c>
      <c r="AF141" s="676" cm="1">
        <f t="array" ref="AF141">SUM(_xlfn._xlws.FILTER(_xlfn._xlws.FILTER(headcountData,(headcountDataDepts=$D141)*(headcountDataIDs=$E141)),(startDates&gt;=AF$95)*(endDates=AF$96)))</f>
        <v>0</v>
      </c>
      <c r="AG141" s="676" cm="1">
        <f t="array" ref="AG141">SUM(_xlfn._xlws.FILTER(_xlfn._xlws.FILTER(headcountData,(headcountDataDepts=$D141)*(headcountDataIDs=$E141)),(startDates&gt;=AG$95)*(endDates=AG$96)))</f>
        <v>0</v>
      </c>
      <c r="AH141" s="676" cm="1">
        <f t="array" ref="AH141">SUM(_xlfn._xlws.FILTER(_xlfn._xlws.FILTER(headcountData,(headcountDataDepts=$D141)*(headcountDataIDs=$E141)),(startDates&gt;=AH$95)*(endDates=AH$96)))</f>
        <v>0</v>
      </c>
      <c r="AI141" s="676" cm="1">
        <f t="array" ref="AI141">SUM(_xlfn._xlws.FILTER(_xlfn._xlws.FILTER(headcountData,(headcountDataDepts=$D141)*(headcountDataIDs=$E141)),(startDates&gt;=AI$95)*(endDates=AI$96)))</f>
        <v>0</v>
      </c>
      <c r="AL141" s="676" cm="1">
        <f t="array" ref="AL141">SUM(_xlfn._xlws.FILTER(_xlfn._xlws.FILTER(headcountData,(headcountDataDepts=$D141)*(headcountDataIDs=$E141)),(startDates&gt;=AL$95)*(endDates=AL$96)))</f>
        <v>0</v>
      </c>
      <c r="AM141" s="676" cm="1">
        <f t="array" ref="AM141">SUM(_xlfn._xlws.FILTER(_xlfn._xlws.FILTER(headcountData,(headcountDataDepts=$D141)*(headcountDataIDs=$E141)),(startDates&gt;=AM$95)*(endDates=AM$96)))</f>
        <v>0</v>
      </c>
      <c r="AN141" s="676" cm="1">
        <f t="array" ref="AN141">SUM(_xlfn._xlws.FILTER(_xlfn._xlws.FILTER(headcountData,(headcountDataDepts=$D141)*(headcountDataIDs=$E141)),(startDates&gt;=AN$95)*(endDates=AN$96)))</f>
        <v>0</v>
      </c>
      <c r="AO141" s="676" cm="1">
        <f t="array" ref="AO141">SUM(_xlfn._xlws.FILTER(_xlfn._xlws.FILTER(headcountData,(headcountDataDepts=$D141)*(headcountDataIDs=$E141)),(startDates&gt;=AO$95)*(endDates=AO$96)))</f>
        <v>0</v>
      </c>
      <c r="AP141" s="676" cm="1">
        <f t="array" ref="AP141">SUM(_xlfn._xlws.FILTER(_xlfn._xlws.FILTER(headcountData,(headcountDataDepts=$D141)*(headcountDataIDs=$E141)),(startDates&gt;=AP$95)*(endDates=AP$96)))</f>
        <v>0</v>
      </c>
      <c r="AQ141" s="676" cm="1">
        <f t="array" ref="AQ141">SUM(_xlfn._xlws.FILTER(_xlfn._xlws.FILTER(headcountData,(headcountDataDepts=$D141)*(headcountDataIDs=$E141)),(startDates&gt;=AQ$95)*(endDates=AQ$96)))</f>
        <v>0</v>
      </c>
      <c r="AR141" s="676" cm="1">
        <f t="array" ref="AR141">SUM(_xlfn._xlws.FILTER(_xlfn._xlws.FILTER(headcountData,(headcountDataDepts=$D141)*(headcountDataIDs=$E141)),(startDates&gt;=AR$95)*(endDates=AR$96)))</f>
        <v>0</v>
      </c>
      <c r="AS141" s="676" cm="1">
        <f t="array" ref="AS141">SUM(_xlfn._xlws.FILTER(_xlfn._xlws.FILTER(headcountData,(headcountDataDepts=$D141)*(headcountDataIDs=$E141)),(startDates&gt;=AS$95)*(endDates=AS$96)))</f>
        <v>0</v>
      </c>
      <c r="AT141" s="676" cm="1">
        <f t="array" ref="AT141">SUM(_xlfn._xlws.FILTER(_xlfn._xlws.FILTER(headcountData,(headcountDataDepts=$D141)*(headcountDataIDs=$E141)),(startDates&gt;=AT$95)*(endDates=AT$96)))</f>
        <v>0</v>
      </c>
      <c r="AU141" s="676" cm="1">
        <f t="array" ref="AU141">SUM(_xlfn._xlws.FILTER(_xlfn._xlws.FILTER(headcountData,(headcountDataDepts=$D141)*(headcountDataIDs=$E141)),(startDates&gt;=AU$95)*(endDates=AU$96)))</f>
        <v>0</v>
      </c>
      <c r="AV141" s="676" cm="1">
        <f t="array" ref="AV141">SUM(_xlfn._xlws.FILTER(_xlfn._xlws.FILTER(headcountData,(headcountDataDepts=$D141)*(headcountDataIDs=$E141)),(startDates&gt;=AV$95)*(endDates=AV$96)))</f>
        <v>0</v>
      </c>
      <c r="AW141" s="676" cm="1">
        <f t="array" ref="AW141">SUM(_xlfn._xlws.FILTER(_xlfn._xlws.FILTER(headcountData,(headcountDataDepts=$D141)*(headcountDataIDs=$E141)),(startDates&gt;=AW$95)*(endDates=AW$96)))</f>
        <v>0</v>
      </c>
      <c r="AX141" s="676" cm="1">
        <f t="array" ref="AX141">SUM(_xlfn._xlws.FILTER(_xlfn._xlws.FILTER(headcountData,(headcountDataDepts=$D141)*(headcountDataIDs=$E141)),(startDates&gt;=AX$95)*(endDates=AX$96)))</f>
        <v>0</v>
      </c>
      <c r="AY141" s="676" cm="1">
        <f t="array" ref="AY141">SUM(_xlfn._xlws.FILTER(_xlfn._xlws.FILTER(headcountData,(headcountDataDepts=$D141)*(headcountDataIDs=$E141)),(startDates&gt;=AY$95)*(endDates=AY$96)))</f>
        <v>0</v>
      </c>
      <c r="AZ141" s="676" cm="1">
        <f t="array" ref="AZ141">SUM(_xlfn._xlws.FILTER(_xlfn._xlws.FILTER(headcountData,(headcountDataDepts=$D141)*(headcountDataIDs=$E141)),(startDates&gt;=AZ$95)*(endDates=AZ$96)))</f>
        <v>0</v>
      </c>
      <c r="BA141" s="676" cm="1">
        <f t="array" ref="BA141">SUM(_xlfn._xlws.FILTER(_xlfn._xlws.FILTER(headcountData,(headcountDataDepts=$D141)*(headcountDataIDs=$E141)),(startDates&gt;=BA$95)*(endDates=BA$96)))</f>
        <v>0</v>
      </c>
      <c r="BB141" s="676" cm="1">
        <f t="array" ref="BB141">SUM(_xlfn._xlws.FILTER(_xlfn._xlws.FILTER(headcountData,(headcountDataDepts=$D141)*(headcountDataIDs=$E141)),(startDates&gt;=BB$95)*(endDates=BB$96)))</f>
        <v>0</v>
      </c>
      <c r="BC141" s="676" cm="1">
        <f t="array" ref="BC141">SUM(_xlfn._xlws.FILTER(_xlfn._xlws.FILTER(headcountData,(headcountDataDepts=$D141)*(headcountDataIDs=$E141)),(startDates&gt;=BC$95)*(endDates=BC$96)))</f>
        <v>0</v>
      </c>
      <c r="BD141" s="676" cm="1">
        <f t="array" ref="BD141">SUM(_xlfn._xlws.FILTER(_xlfn._xlws.FILTER(headcountData,(headcountDataDepts=$D141)*(headcountDataIDs=$E141)),(startDates&gt;=BD$95)*(endDates=BD$96)))</f>
        <v>0</v>
      </c>
      <c r="BE141" s="676" cm="1">
        <f t="array" ref="BE141">SUM(_xlfn._xlws.FILTER(_xlfn._xlws.FILTER(headcountData,(headcountDataDepts=$D141)*(headcountDataIDs=$E141)),(startDates&gt;=BE$95)*(endDates=BE$96)))</f>
        <v>0</v>
      </c>
      <c r="BF141" s="676" cm="1">
        <f t="array" ref="BF141">SUM(_xlfn._xlws.FILTER(_xlfn._xlws.FILTER(headcountData,(headcountDataDepts=$D141)*(headcountDataIDs=$E141)),(startDates&gt;=BF$95)*(endDates=BF$96)))</f>
        <v>0</v>
      </c>
      <c r="BG141" s="676" cm="1">
        <f t="array" ref="BG141">SUM(_xlfn._xlws.FILTER(_xlfn._xlws.FILTER(headcountData,(headcountDataDepts=$D141)*(headcountDataIDs=$E141)),(startDates&gt;=BG$95)*(endDates=BG$96)))</f>
        <v>0</v>
      </c>
      <c r="BH141" s="676" cm="1">
        <f t="array" ref="BH141">SUM(_xlfn._xlws.FILTER(_xlfn._xlws.FILTER(headcountData,(headcountDataDepts=$D141)*(headcountDataIDs=$E141)),(startDates&gt;=BH$95)*(endDates=BH$96)))</f>
        <v>0</v>
      </c>
      <c r="BI141" s="676" cm="1">
        <f t="array" ref="BI141">SUM(_xlfn._xlws.FILTER(_xlfn._xlws.FILTER(headcountData,(headcountDataDepts=$D141)*(headcountDataIDs=$E141)),(startDates&gt;=BI$95)*(endDates=BI$96)))</f>
        <v>0</v>
      </c>
      <c r="BJ141" s="676" cm="1">
        <f t="array" ref="BJ141">SUM(_xlfn._xlws.FILTER(_xlfn._xlws.FILTER(headcountData,(headcountDataDepts=$D141)*(headcountDataIDs=$E141)),(startDates&gt;=BJ$95)*(endDates=BJ$96)))</f>
        <v>0</v>
      </c>
      <c r="BK141" s="676" cm="1">
        <f t="array" ref="BK141">SUM(_xlfn._xlws.FILTER(_xlfn._xlws.FILTER(headcountData,(headcountDataDepts=$D141)*(headcountDataIDs=$E141)),(startDates&gt;=BK$95)*(endDates=BK$96)))</f>
        <v>0</v>
      </c>
      <c r="BL141" s="676" cm="1">
        <f t="array" ref="BL141">SUM(_xlfn._xlws.FILTER(_xlfn._xlws.FILTER(headcountData,(headcountDataDepts=$D141)*(headcountDataIDs=$E141)),(startDates&gt;=BL$95)*(endDates=BL$96)))</f>
        <v>0</v>
      </c>
      <c r="BM141" s="676" cm="1">
        <f t="array" ref="BM141">SUM(_xlfn._xlws.FILTER(_xlfn._xlws.FILTER(headcountData,(headcountDataDepts=$D141)*(headcountDataIDs=$E141)),(startDates&gt;=BM$95)*(endDates=BM$96)))</f>
        <v>0</v>
      </c>
      <c r="BN141" s="676" cm="1">
        <f t="array" ref="BN141">SUM(_xlfn._xlws.FILTER(_xlfn._xlws.FILTER(headcountData,(headcountDataDepts=$D141)*(headcountDataIDs=$E141)),(startDates&gt;=BN$95)*(endDates=BN$96)))</f>
        <v>0</v>
      </c>
      <c r="BO141" s="676" cm="1">
        <f t="array" ref="BO141">SUM(_xlfn._xlws.FILTER(_xlfn._xlws.FILTER(headcountData,(headcountDataDepts=$D141)*(headcountDataIDs=$E141)),(startDates&gt;=BO$95)*(endDates=BO$96)))</f>
        <v>0</v>
      </c>
      <c r="BP141" s="676" cm="1">
        <f t="array" ref="BP141">SUM(_xlfn._xlws.FILTER(_xlfn._xlws.FILTER(headcountData,(headcountDataDepts=$D141)*(headcountDataIDs=$E141)),(startDates&gt;=BP$95)*(endDates=BP$96)))</f>
        <v>0</v>
      </c>
      <c r="BQ141" s="676" cm="1">
        <f t="array" ref="BQ141">SUM(_xlfn._xlws.FILTER(_xlfn._xlws.FILTER(headcountData,(headcountDataDepts=$D141)*(headcountDataIDs=$E141)),(startDates&gt;=BQ$95)*(endDates=BQ$96)))</f>
        <v>0</v>
      </c>
      <c r="BR141" s="676" cm="1">
        <f t="array" ref="BR141">SUM(_xlfn._xlws.FILTER(_xlfn._xlws.FILTER(headcountData,(headcountDataDepts=$D141)*(headcountDataIDs=$E141)),(startDates&gt;=BR$95)*(endDates=BR$96)))</f>
        <v>0</v>
      </c>
      <c r="BS141" s="676" cm="1">
        <f t="array" ref="BS141">SUM(_xlfn._xlws.FILTER(_xlfn._xlws.FILTER(headcountData,(headcountDataDepts=$D141)*(headcountDataIDs=$E141)),(startDates&gt;=BS$95)*(endDates=BS$96)))</f>
        <v>0</v>
      </c>
      <c r="BT141" s="676" cm="1">
        <f t="array" ref="BT141">SUM(_xlfn._xlws.FILTER(_xlfn._xlws.FILTER(headcountData,(headcountDataDepts=$D141)*(headcountDataIDs=$E141)),(startDates&gt;=BT$95)*(endDates=BT$96)))</f>
        <v>0</v>
      </c>
      <c r="BU141" s="676" cm="1">
        <f t="array" ref="BU141">SUM(_xlfn._xlws.FILTER(_xlfn._xlws.FILTER(headcountData,(headcountDataDepts=$D141)*(headcountDataIDs=$E141)),(startDates&gt;=BU$95)*(endDates=BU$96)))</f>
        <v>0</v>
      </c>
      <c r="BV141" s="676" cm="1">
        <f t="array" ref="BV141">SUM(_xlfn._xlws.FILTER(_xlfn._xlws.FILTER(headcountData,(headcountDataDepts=$D141)*(headcountDataIDs=$E141)),(startDates&gt;=BV$95)*(endDates=BV$96)))</f>
        <v>0</v>
      </c>
      <c r="BW141" s="676" cm="1">
        <f t="array" ref="BW141">SUM(_xlfn._xlws.FILTER(_xlfn._xlws.FILTER(headcountData,(headcountDataDepts=$D141)*(headcountDataIDs=$E141)),(startDates&gt;=BW$95)*(endDates=BW$96)))</f>
        <v>0</v>
      </c>
      <c r="BX141" s="676" cm="1">
        <f t="array" ref="BX141">SUM(_xlfn._xlws.FILTER(_xlfn._xlws.FILTER(headcountData,(headcountDataDepts=$D141)*(headcountDataIDs=$E141)),(startDates&gt;=BX$95)*(endDates=BX$96)))</f>
        <v>0</v>
      </c>
      <c r="BY141" s="676" cm="1">
        <f t="array" ref="BY141">SUM(_xlfn._xlws.FILTER(_xlfn._xlws.FILTER(headcountData,(headcountDataDepts=$D141)*(headcountDataIDs=$E141)),(startDates&gt;=BY$95)*(endDates=BY$96)))</f>
        <v>0</v>
      </c>
      <c r="BZ141" s="676" cm="1">
        <f t="array" ref="BZ141">SUM(_xlfn._xlws.FILTER(_xlfn._xlws.FILTER(headcountData,(headcountDataDepts=$D141)*(headcountDataIDs=$E141)),(startDates&gt;=BZ$95)*(endDates=BZ$96)))</f>
        <v>0</v>
      </c>
      <c r="CA141" s="676" cm="1">
        <f t="array" ref="CA141">SUM(_xlfn._xlws.FILTER(_xlfn._xlws.FILTER(headcountData,(headcountDataDepts=$D141)*(headcountDataIDs=$E141)),(startDates&gt;=CA$95)*(endDates=CA$96)))</f>
        <v>0</v>
      </c>
      <c r="CB141" s="676" cm="1">
        <f t="array" ref="CB141">SUM(_xlfn._xlws.FILTER(_xlfn._xlws.FILTER(headcountData,(headcountDataDepts=$D141)*(headcountDataIDs=$E141)),(startDates&gt;=CB$95)*(endDates=CB$96)))</f>
        <v>0</v>
      </c>
      <c r="CC141" s="676" cm="1">
        <f t="array" ref="CC141">SUM(_xlfn._xlws.FILTER(_xlfn._xlws.FILTER(headcountData,(headcountDataDepts=$D141)*(headcountDataIDs=$E141)),(startDates&gt;=CC$95)*(endDates=CC$96)))</f>
        <v>0</v>
      </c>
      <c r="CD141" s="676" cm="1">
        <f t="array" ref="CD141">SUM(_xlfn._xlws.FILTER(_xlfn._xlws.FILTER(headcountData,(headcountDataDepts=$D141)*(headcountDataIDs=$E141)),(startDates&gt;=CD$95)*(endDates=CD$96)))</f>
        <v>0</v>
      </c>
      <c r="CE141" s="676" cm="1">
        <f t="array" ref="CE141">SUM(_xlfn._xlws.FILTER(_xlfn._xlws.FILTER(headcountData,(headcountDataDepts=$D141)*(headcountDataIDs=$E141)),(startDates&gt;=CE$95)*(endDates=CE$96)))</f>
        <v>0</v>
      </c>
      <c r="CF141" s="676" cm="1">
        <f t="array" ref="CF141">SUM(_xlfn._xlws.FILTER(_xlfn._xlws.FILTER(headcountData,(headcountDataDepts=$D141)*(headcountDataIDs=$E141)),(startDates&gt;=CF$95)*(endDates=CF$96)))</f>
        <v>0</v>
      </c>
      <c r="CG141" s="676" cm="1">
        <f t="array" ref="CG141">SUM(_xlfn._xlws.FILTER(_xlfn._xlws.FILTER(headcountData,(headcountDataDepts=$D141)*(headcountDataIDs=$E141)),(startDates&gt;=CG$95)*(endDates=CG$96)))</f>
        <v>0</v>
      </c>
    </row>
    <row r="142" spans="3:85" ht="15.75" hidden="1" customHeight="1" outlineLevel="1">
      <c r="C142" s="677" t="s">
        <v>197</v>
      </c>
      <c r="D142" s="149" t="s">
        <v>187</v>
      </c>
      <c r="E142" s="150" t="s">
        <v>198</v>
      </c>
      <c r="J142" s="676" cm="1">
        <f t="array" ref="J142">SUM(_xlfn._xlws.FILTER(_xlfn._xlws.FILTER(headcountData,(headcountDataDepts=$D142)*(headcountDataIDs=$E142)),(startDates&gt;=J$95)*(endDates=J$96)))</f>
        <v>0</v>
      </c>
      <c r="K142" s="676" cm="1">
        <f t="array" ref="K142">SUM(_xlfn._xlws.FILTER(_xlfn._xlws.FILTER(headcountData,(headcountDataDepts=$D142)*(headcountDataIDs=$E142)),(startDates&gt;=K$95)*(endDates=K$96)))</f>
        <v>0</v>
      </c>
      <c r="N142" s="676" cm="1">
        <f t="array" ref="N142">SUM(_xlfn._xlws.FILTER(_xlfn._xlws.FILTER(headcountData,(headcountDataDepts=$D142)*(headcountDataIDs=$E142)),(startDates&gt;=N$95)*(endDates=N$96)))</f>
        <v>0</v>
      </c>
      <c r="O142" s="676" cm="1">
        <f t="array" ref="O142">SUM(_xlfn._xlws.FILTER(_xlfn._xlws.FILTER(headcountData,(headcountDataDepts=$D142)*(headcountDataIDs=$E142)),(startDates&gt;=O$95)*(endDates=O$96)))</f>
        <v>0</v>
      </c>
      <c r="P142" s="676" cm="1">
        <f t="array" ref="P142">SUM(_xlfn._xlws.FILTER(_xlfn._xlws.FILTER(headcountData,(headcountDataDepts=$D142)*(headcountDataIDs=$E142)),(startDates&gt;=P$95)*(endDates=P$96)))</f>
        <v>0</v>
      </c>
      <c r="Q142" s="676" cm="1">
        <f t="array" ref="Q142">SUM(_xlfn._xlws.FILTER(_xlfn._xlws.FILTER(headcountData,(headcountDataDepts=$D142)*(headcountDataIDs=$E142)),(startDates&gt;=Q$95)*(endDates=Q$96)))</f>
        <v>0</v>
      </c>
      <c r="T142" s="676" cm="1">
        <f t="array" ref="T142">SUM(_xlfn._xlws.FILTER(_xlfn._xlws.FILTER(headcountData,(headcountDataDepts=$D142)*(headcountDataIDs=$E142)),(startDates&gt;=T$95)*(endDates=T$96)))</f>
        <v>0</v>
      </c>
      <c r="U142" s="676" cm="1">
        <f t="array" ref="U142">SUM(_xlfn._xlws.FILTER(_xlfn._xlws.FILTER(headcountData,(headcountDataDepts=$D142)*(headcountDataIDs=$E142)),(startDates&gt;=U$95)*(endDates=U$96)))</f>
        <v>0</v>
      </c>
      <c r="V142" s="676" cm="1">
        <f t="array" ref="V142">SUM(_xlfn._xlws.FILTER(_xlfn._xlws.FILTER(headcountData,(headcountDataDepts=$D142)*(headcountDataIDs=$E142)),(startDates&gt;=V$95)*(endDates=V$96)))</f>
        <v>0</v>
      </c>
      <c r="W142" s="676" cm="1">
        <f t="array" ref="W142">SUM(_xlfn._xlws.FILTER(_xlfn._xlws.FILTER(headcountData,(headcountDataDepts=$D142)*(headcountDataIDs=$E142)),(startDates&gt;=W$95)*(endDates=W$96)))</f>
        <v>0</v>
      </c>
      <c r="X142" s="676" cm="1">
        <f t="array" ref="X142">SUM(_xlfn._xlws.FILTER(_xlfn._xlws.FILTER(headcountData,(headcountDataDepts=$D142)*(headcountDataIDs=$E142)),(startDates&gt;=X$95)*(endDates=X$96)))</f>
        <v>0</v>
      </c>
      <c r="Y142" s="676" cm="1">
        <f t="array" ref="Y142">SUM(_xlfn._xlws.FILTER(_xlfn._xlws.FILTER(headcountData,(headcountDataDepts=$D142)*(headcountDataIDs=$E142)),(startDates&gt;=Y$95)*(endDates=Y$96)))</f>
        <v>0</v>
      </c>
      <c r="Z142" s="676" cm="1">
        <f t="array" ref="Z142">SUM(_xlfn._xlws.FILTER(_xlfn._xlws.FILTER(headcountData,(headcountDataDepts=$D142)*(headcountDataIDs=$E142)),(startDates&gt;=Z$95)*(endDates=Z$96)))</f>
        <v>0</v>
      </c>
      <c r="AA142" s="676" cm="1">
        <f t="array" ref="AA142">SUM(_xlfn._xlws.FILTER(_xlfn._xlws.FILTER(headcountData,(headcountDataDepts=$D142)*(headcountDataIDs=$E142)),(startDates&gt;=AA$95)*(endDates=AA$96)))</f>
        <v>0</v>
      </c>
      <c r="AB142" s="676" cm="1">
        <f t="array" ref="AB142">SUM(_xlfn._xlws.FILTER(_xlfn._xlws.FILTER(headcountData,(headcountDataDepts=$D142)*(headcountDataIDs=$E142)),(startDates&gt;=AB$95)*(endDates=AB$96)))</f>
        <v>0</v>
      </c>
      <c r="AC142" s="676" cm="1">
        <f t="array" ref="AC142">SUM(_xlfn._xlws.FILTER(_xlfn._xlws.FILTER(headcountData,(headcountDataDepts=$D142)*(headcountDataIDs=$E142)),(startDates&gt;=AC$95)*(endDates=AC$96)))</f>
        <v>0</v>
      </c>
      <c r="AD142" s="676" cm="1">
        <f t="array" ref="AD142">SUM(_xlfn._xlws.FILTER(_xlfn._xlws.FILTER(headcountData,(headcountDataDepts=$D142)*(headcountDataIDs=$E142)),(startDates&gt;=AD$95)*(endDates=AD$96)))</f>
        <v>0</v>
      </c>
      <c r="AE142" s="676" cm="1">
        <f t="array" ref="AE142">SUM(_xlfn._xlws.FILTER(_xlfn._xlws.FILTER(headcountData,(headcountDataDepts=$D142)*(headcountDataIDs=$E142)),(startDates&gt;=AE$95)*(endDates=AE$96)))</f>
        <v>0</v>
      </c>
      <c r="AF142" s="676" cm="1">
        <f t="array" ref="AF142">SUM(_xlfn._xlws.FILTER(_xlfn._xlws.FILTER(headcountData,(headcountDataDepts=$D142)*(headcountDataIDs=$E142)),(startDates&gt;=AF$95)*(endDates=AF$96)))</f>
        <v>0</v>
      </c>
      <c r="AG142" s="676" cm="1">
        <f t="array" ref="AG142">SUM(_xlfn._xlws.FILTER(_xlfn._xlws.FILTER(headcountData,(headcountDataDepts=$D142)*(headcountDataIDs=$E142)),(startDates&gt;=AG$95)*(endDates=AG$96)))</f>
        <v>0</v>
      </c>
      <c r="AH142" s="676" cm="1">
        <f t="array" ref="AH142">SUM(_xlfn._xlws.FILTER(_xlfn._xlws.FILTER(headcountData,(headcountDataDepts=$D142)*(headcountDataIDs=$E142)),(startDates&gt;=AH$95)*(endDates=AH$96)))</f>
        <v>0</v>
      </c>
      <c r="AI142" s="676" cm="1">
        <f t="array" ref="AI142">SUM(_xlfn._xlws.FILTER(_xlfn._xlws.FILTER(headcountData,(headcountDataDepts=$D142)*(headcountDataIDs=$E142)),(startDates&gt;=AI$95)*(endDates=AI$96)))</f>
        <v>0</v>
      </c>
      <c r="AL142" s="676" cm="1">
        <f t="array" ref="AL142">SUM(_xlfn._xlws.FILTER(_xlfn._xlws.FILTER(headcountData,(headcountDataDepts=$D142)*(headcountDataIDs=$E142)),(startDates&gt;=AL$95)*(endDates=AL$96)))</f>
        <v>0</v>
      </c>
      <c r="AM142" s="676" cm="1">
        <f t="array" ref="AM142">SUM(_xlfn._xlws.FILTER(_xlfn._xlws.FILTER(headcountData,(headcountDataDepts=$D142)*(headcountDataIDs=$E142)),(startDates&gt;=AM$95)*(endDates=AM$96)))</f>
        <v>0</v>
      </c>
      <c r="AN142" s="676" cm="1">
        <f t="array" ref="AN142">SUM(_xlfn._xlws.FILTER(_xlfn._xlws.FILTER(headcountData,(headcountDataDepts=$D142)*(headcountDataIDs=$E142)),(startDates&gt;=AN$95)*(endDates=AN$96)))</f>
        <v>0</v>
      </c>
      <c r="AO142" s="676" cm="1">
        <f t="array" ref="AO142">SUM(_xlfn._xlws.FILTER(_xlfn._xlws.FILTER(headcountData,(headcountDataDepts=$D142)*(headcountDataIDs=$E142)),(startDates&gt;=AO$95)*(endDates=AO$96)))</f>
        <v>0</v>
      </c>
      <c r="AP142" s="676" cm="1">
        <f t="array" ref="AP142">SUM(_xlfn._xlws.FILTER(_xlfn._xlws.FILTER(headcountData,(headcountDataDepts=$D142)*(headcountDataIDs=$E142)),(startDates&gt;=AP$95)*(endDates=AP$96)))</f>
        <v>0</v>
      </c>
      <c r="AQ142" s="676" cm="1">
        <f t="array" ref="AQ142">SUM(_xlfn._xlws.FILTER(_xlfn._xlws.FILTER(headcountData,(headcountDataDepts=$D142)*(headcountDataIDs=$E142)),(startDates&gt;=AQ$95)*(endDates=AQ$96)))</f>
        <v>0</v>
      </c>
      <c r="AR142" s="676" cm="1">
        <f t="array" ref="AR142">SUM(_xlfn._xlws.FILTER(_xlfn._xlws.FILTER(headcountData,(headcountDataDepts=$D142)*(headcountDataIDs=$E142)),(startDates&gt;=AR$95)*(endDates=AR$96)))</f>
        <v>0</v>
      </c>
      <c r="AS142" s="676" cm="1">
        <f t="array" ref="AS142">SUM(_xlfn._xlws.FILTER(_xlfn._xlws.FILTER(headcountData,(headcountDataDepts=$D142)*(headcountDataIDs=$E142)),(startDates&gt;=AS$95)*(endDates=AS$96)))</f>
        <v>0</v>
      </c>
      <c r="AT142" s="676" cm="1">
        <f t="array" ref="AT142">SUM(_xlfn._xlws.FILTER(_xlfn._xlws.FILTER(headcountData,(headcountDataDepts=$D142)*(headcountDataIDs=$E142)),(startDates&gt;=AT$95)*(endDates=AT$96)))</f>
        <v>0</v>
      </c>
      <c r="AU142" s="676" cm="1">
        <f t="array" ref="AU142">SUM(_xlfn._xlws.FILTER(_xlfn._xlws.FILTER(headcountData,(headcountDataDepts=$D142)*(headcountDataIDs=$E142)),(startDates&gt;=AU$95)*(endDates=AU$96)))</f>
        <v>0</v>
      </c>
      <c r="AV142" s="676" cm="1">
        <f t="array" ref="AV142">SUM(_xlfn._xlws.FILTER(_xlfn._xlws.FILTER(headcountData,(headcountDataDepts=$D142)*(headcountDataIDs=$E142)),(startDates&gt;=AV$95)*(endDates=AV$96)))</f>
        <v>0</v>
      </c>
      <c r="AW142" s="676" cm="1">
        <f t="array" ref="AW142">SUM(_xlfn._xlws.FILTER(_xlfn._xlws.FILTER(headcountData,(headcountDataDepts=$D142)*(headcountDataIDs=$E142)),(startDates&gt;=AW$95)*(endDates=AW$96)))</f>
        <v>0</v>
      </c>
      <c r="AX142" s="676" cm="1">
        <f t="array" ref="AX142">SUM(_xlfn._xlws.FILTER(_xlfn._xlws.FILTER(headcountData,(headcountDataDepts=$D142)*(headcountDataIDs=$E142)),(startDates&gt;=AX$95)*(endDates=AX$96)))</f>
        <v>0</v>
      </c>
      <c r="AY142" s="676" cm="1">
        <f t="array" ref="AY142">SUM(_xlfn._xlws.FILTER(_xlfn._xlws.FILTER(headcountData,(headcountDataDepts=$D142)*(headcountDataIDs=$E142)),(startDates&gt;=AY$95)*(endDates=AY$96)))</f>
        <v>0</v>
      </c>
      <c r="AZ142" s="676" cm="1">
        <f t="array" ref="AZ142">SUM(_xlfn._xlws.FILTER(_xlfn._xlws.FILTER(headcountData,(headcountDataDepts=$D142)*(headcountDataIDs=$E142)),(startDates&gt;=AZ$95)*(endDates=AZ$96)))</f>
        <v>0</v>
      </c>
      <c r="BA142" s="676" cm="1">
        <f t="array" ref="BA142">SUM(_xlfn._xlws.FILTER(_xlfn._xlws.FILTER(headcountData,(headcountDataDepts=$D142)*(headcountDataIDs=$E142)),(startDates&gt;=BA$95)*(endDates=BA$96)))</f>
        <v>0</v>
      </c>
      <c r="BB142" s="676" cm="1">
        <f t="array" ref="BB142">SUM(_xlfn._xlws.FILTER(_xlfn._xlws.FILTER(headcountData,(headcountDataDepts=$D142)*(headcountDataIDs=$E142)),(startDates&gt;=BB$95)*(endDates=BB$96)))</f>
        <v>0</v>
      </c>
      <c r="BC142" s="676" cm="1">
        <f t="array" ref="BC142">SUM(_xlfn._xlws.FILTER(_xlfn._xlws.FILTER(headcountData,(headcountDataDepts=$D142)*(headcountDataIDs=$E142)),(startDates&gt;=BC$95)*(endDates=BC$96)))</f>
        <v>0</v>
      </c>
      <c r="BD142" s="676" cm="1">
        <f t="array" ref="BD142">SUM(_xlfn._xlws.FILTER(_xlfn._xlws.FILTER(headcountData,(headcountDataDepts=$D142)*(headcountDataIDs=$E142)),(startDates&gt;=BD$95)*(endDates=BD$96)))</f>
        <v>0</v>
      </c>
      <c r="BE142" s="676" cm="1">
        <f t="array" ref="BE142">SUM(_xlfn._xlws.FILTER(_xlfn._xlws.FILTER(headcountData,(headcountDataDepts=$D142)*(headcountDataIDs=$E142)),(startDates&gt;=BE$95)*(endDates=BE$96)))</f>
        <v>0</v>
      </c>
      <c r="BF142" s="676" cm="1">
        <f t="array" ref="BF142">SUM(_xlfn._xlws.FILTER(_xlfn._xlws.FILTER(headcountData,(headcountDataDepts=$D142)*(headcountDataIDs=$E142)),(startDates&gt;=BF$95)*(endDates=BF$96)))</f>
        <v>0</v>
      </c>
      <c r="BG142" s="676" cm="1">
        <f t="array" ref="BG142">SUM(_xlfn._xlws.FILTER(_xlfn._xlws.FILTER(headcountData,(headcountDataDepts=$D142)*(headcountDataIDs=$E142)),(startDates&gt;=BG$95)*(endDates=BG$96)))</f>
        <v>0</v>
      </c>
      <c r="BH142" s="676" cm="1">
        <f t="array" ref="BH142">SUM(_xlfn._xlws.FILTER(_xlfn._xlws.FILTER(headcountData,(headcountDataDepts=$D142)*(headcountDataIDs=$E142)),(startDates&gt;=BH$95)*(endDates=BH$96)))</f>
        <v>0</v>
      </c>
      <c r="BI142" s="676" cm="1">
        <f t="array" ref="BI142">SUM(_xlfn._xlws.FILTER(_xlfn._xlws.FILTER(headcountData,(headcountDataDepts=$D142)*(headcountDataIDs=$E142)),(startDates&gt;=BI$95)*(endDates=BI$96)))</f>
        <v>0</v>
      </c>
      <c r="BJ142" s="676" cm="1">
        <f t="array" ref="BJ142">SUM(_xlfn._xlws.FILTER(_xlfn._xlws.FILTER(headcountData,(headcountDataDepts=$D142)*(headcountDataIDs=$E142)),(startDates&gt;=BJ$95)*(endDates=BJ$96)))</f>
        <v>0</v>
      </c>
      <c r="BK142" s="676" cm="1">
        <f t="array" ref="BK142">SUM(_xlfn._xlws.FILTER(_xlfn._xlws.FILTER(headcountData,(headcountDataDepts=$D142)*(headcountDataIDs=$E142)),(startDates&gt;=BK$95)*(endDates=BK$96)))</f>
        <v>0</v>
      </c>
      <c r="BL142" s="676" cm="1">
        <f t="array" ref="BL142">SUM(_xlfn._xlws.FILTER(_xlfn._xlws.FILTER(headcountData,(headcountDataDepts=$D142)*(headcountDataIDs=$E142)),(startDates&gt;=BL$95)*(endDates=BL$96)))</f>
        <v>0</v>
      </c>
      <c r="BM142" s="676" cm="1">
        <f t="array" ref="BM142">SUM(_xlfn._xlws.FILTER(_xlfn._xlws.FILTER(headcountData,(headcountDataDepts=$D142)*(headcountDataIDs=$E142)),(startDates&gt;=BM$95)*(endDates=BM$96)))</f>
        <v>0</v>
      </c>
      <c r="BN142" s="676" cm="1">
        <f t="array" ref="BN142">SUM(_xlfn._xlws.FILTER(_xlfn._xlws.FILTER(headcountData,(headcountDataDepts=$D142)*(headcountDataIDs=$E142)),(startDates&gt;=BN$95)*(endDates=BN$96)))</f>
        <v>0</v>
      </c>
      <c r="BO142" s="676" cm="1">
        <f t="array" ref="BO142">SUM(_xlfn._xlws.FILTER(_xlfn._xlws.FILTER(headcountData,(headcountDataDepts=$D142)*(headcountDataIDs=$E142)),(startDates&gt;=BO$95)*(endDates=BO$96)))</f>
        <v>0</v>
      </c>
      <c r="BP142" s="676" cm="1">
        <f t="array" ref="BP142">SUM(_xlfn._xlws.FILTER(_xlfn._xlws.FILTER(headcountData,(headcountDataDepts=$D142)*(headcountDataIDs=$E142)),(startDates&gt;=BP$95)*(endDates=BP$96)))</f>
        <v>0</v>
      </c>
      <c r="BQ142" s="676" cm="1">
        <f t="array" ref="BQ142">SUM(_xlfn._xlws.FILTER(_xlfn._xlws.FILTER(headcountData,(headcountDataDepts=$D142)*(headcountDataIDs=$E142)),(startDates&gt;=BQ$95)*(endDates=BQ$96)))</f>
        <v>0</v>
      </c>
      <c r="BR142" s="676" cm="1">
        <f t="array" ref="BR142">SUM(_xlfn._xlws.FILTER(_xlfn._xlws.FILTER(headcountData,(headcountDataDepts=$D142)*(headcountDataIDs=$E142)),(startDates&gt;=BR$95)*(endDates=BR$96)))</f>
        <v>0</v>
      </c>
      <c r="BS142" s="676" cm="1">
        <f t="array" ref="BS142">SUM(_xlfn._xlws.FILTER(_xlfn._xlws.FILTER(headcountData,(headcountDataDepts=$D142)*(headcountDataIDs=$E142)),(startDates&gt;=BS$95)*(endDates=BS$96)))</f>
        <v>0</v>
      </c>
      <c r="BT142" s="676" cm="1">
        <f t="array" ref="BT142">SUM(_xlfn._xlws.FILTER(_xlfn._xlws.FILTER(headcountData,(headcountDataDepts=$D142)*(headcountDataIDs=$E142)),(startDates&gt;=BT$95)*(endDates=BT$96)))</f>
        <v>0</v>
      </c>
      <c r="BU142" s="676" cm="1">
        <f t="array" ref="BU142">SUM(_xlfn._xlws.FILTER(_xlfn._xlws.FILTER(headcountData,(headcountDataDepts=$D142)*(headcountDataIDs=$E142)),(startDates&gt;=BU$95)*(endDates=BU$96)))</f>
        <v>0</v>
      </c>
      <c r="BV142" s="676" cm="1">
        <f t="array" ref="BV142">SUM(_xlfn._xlws.FILTER(_xlfn._xlws.FILTER(headcountData,(headcountDataDepts=$D142)*(headcountDataIDs=$E142)),(startDates&gt;=BV$95)*(endDates=BV$96)))</f>
        <v>0</v>
      </c>
      <c r="BW142" s="676" cm="1">
        <f t="array" ref="BW142">SUM(_xlfn._xlws.FILTER(_xlfn._xlws.FILTER(headcountData,(headcountDataDepts=$D142)*(headcountDataIDs=$E142)),(startDates&gt;=BW$95)*(endDates=BW$96)))</f>
        <v>0</v>
      </c>
      <c r="BX142" s="676" cm="1">
        <f t="array" ref="BX142">SUM(_xlfn._xlws.FILTER(_xlfn._xlws.FILTER(headcountData,(headcountDataDepts=$D142)*(headcountDataIDs=$E142)),(startDates&gt;=BX$95)*(endDates=BX$96)))</f>
        <v>0</v>
      </c>
      <c r="BY142" s="676" cm="1">
        <f t="array" ref="BY142">SUM(_xlfn._xlws.FILTER(_xlfn._xlws.FILTER(headcountData,(headcountDataDepts=$D142)*(headcountDataIDs=$E142)),(startDates&gt;=BY$95)*(endDates=BY$96)))</f>
        <v>0</v>
      </c>
      <c r="BZ142" s="676" cm="1">
        <f t="array" ref="BZ142">SUM(_xlfn._xlws.FILTER(_xlfn._xlws.FILTER(headcountData,(headcountDataDepts=$D142)*(headcountDataIDs=$E142)),(startDates&gt;=BZ$95)*(endDates=BZ$96)))</f>
        <v>0</v>
      </c>
      <c r="CA142" s="676" cm="1">
        <f t="array" ref="CA142">SUM(_xlfn._xlws.FILTER(_xlfn._xlws.FILTER(headcountData,(headcountDataDepts=$D142)*(headcountDataIDs=$E142)),(startDates&gt;=CA$95)*(endDates=CA$96)))</f>
        <v>0</v>
      </c>
      <c r="CB142" s="676" cm="1">
        <f t="array" ref="CB142">SUM(_xlfn._xlws.FILTER(_xlfn._xlws.FILTER(headcountData,(headcountDataDepts=$D142)*(headcountDataIDs=$E142)),(startDates&gt;=CB$95)*(endDates=CB$96)))</f>
        <v>0</v>
      </c>
      <c r="CC142" s="676" cm="1">
        <f t="array" ref="CC142">SUM(_xlfn._xlws.FILTER(_xlfn._xlws.FILTER(headcountData,(headcountDataDepts=$D142)*(headcountDataIDs=$E142)),(startDates&gt;=CC$95)*(endDates=CC$96)))</f>
        <v>0</v>
      </c>
      <c r="CD142" s="676" cm="1">
        <f t="array" ref="CD142">SUM(_xlfn._xlws.FILTER(_xlfn._xlws.FILTER(headcountData,(headcountDataDepts=$D142)*(headcountDataIDs=$E142)),(startDates&gt;=CD$95)*(endDates=CD$96)))</f>
        <v>0</v>
      </c>
      <c r="CE142" s="676" cm="1">
        <f t="array" ref="CE142">SUM(_xlfn._xlws.FILTER(_xlfn._xlws.FILTER(headcountData,(headcountDataDepts=$D142)*(headcountDataIDs=$E142)),(startDates&gt;=CE$95)*(endDates=CE$96)))</f>
        <v>0</v>
      </c>
      <c r="CF142" s="676" cm="1">
        <f t="array" ref="CF142">SUM(_xlfn._xlws.FILTER(_xlfn._xlws.FILTER(headcountData,(headcountDataDepts=$D142)*(headcountDataIDs=$E142)),(startDates&gt;=CF$95)*(endDates=CF$96)))</f>
        <v>0</v>
      </c>
      <c r="CG142" s="676" cm="1">
        <f t="array" ref="CG142">SUM(_xlfn._xlws.FILTER(_xlfn._xlws.FILTER(headcountData,(headcountDataDepts=$D142)*(headcountDataIDs=$E142)),(startDates&gt;=CG$95)*(endDates=CG$96)))</f>
        <v>0</v>
      </c>
    </row>
    <row r="143" spans="3:85" ht="15.75" hidden="1" customHeight="1" outlineLevel="1">
      <c r="C143" s="677" t="s">
        <v>199</v>
      </c>
      <c r="D143" s="149" t="s">
        <v>179</v>
      </c>
      <c r="E143" s="150" t="s">
        <v>200</v>
      </c>
      <c r="J143" s="676" cm="1">
        <f t="array" ref="J143">SUM(_xlfn._xlws.FILTER(_xlfn._xlws.FILTER(headcountData,(headcountDataDepts=$D143)*(headcountDataIDs=$E143)),(startDates&gt;=J$95)*(endDates=J$96)))</f>
        <v>0</v>
      </c>
      <c r="K143" s="676" cm="1">
        <f t="array" ref="K143">SUM(_xlfn._xlws.FILTER(_xlfn._xlws.FILTER(headcountData,(headcountDataDepts=$D143)*(headcountDataIDs=$E143)),(startDates&gt;=K$95)*(endDates=K$96)))</f>
        <v>0</v>
      </c>
      <c r="N143" s="676" cm="1">
        <f t="array" ref="N143">SUM(_xlfn._xlws.FILTER(_xlfn._xlws.FILTER(headcountData,(headcountDataDepts=$D143)*(headcountDataIDs=$E143)),(startDates&gt;=N$95)*(endDates=N$96)))</f>
        <v>5000</v>
      </c>
      <c r="O143" s="676" cm="1">
        <f t="array" ref="O143">SUM(_xlfn._xlws.FILTER(_xlfn._xlws.FILTER(headcountData,(headcountDataDepts=$D143)*(headcountDataIDs=$E143)),(startDates&gt;=O$95)*(endDates=O$96)))</f>
        <v>5000</v>
      </c>
      <c r="P143" s="676" cm="1">
        <f t="array" ref="P143">SUM(_xlfn._xlws.FILTER(_xlfn._xlws.FILTER(headcountData,(headcountDataDepts=$D143)*(headcountDataIDs=$E143)),(startDates&gt;=P$95)*(endDates=P$96)))</f>
        <v>5000</v>
      </c>
      <c r="Q143" s="676" cm="1">
        <f t="array" ref="Q143">SUM(_xlfn._xlws.FILTER(_xlfn._xlws.FILTER(headcountData,(headcountDataDepts=$D143)*(headcountDataIDs=$E143)),(startDates&gt;=Q$95)*(endDates=Q$96)))</f>
        <v>5000</v>
      </c>
      <c r="T143" s="676" cm="1">
        <f t="array" ref="T143">SUM(_xlfn._xlws.FILTER(_xlfn._xlws.FILTER(headcountData,(headcountDataDepts=$D143)*(headcountDataIDs=$E143)),(startDates&gt;=T$95)*(endDates=T$96)))</f>
        <v>0</v>
      </c>
      <c r="U143" s="676" cm="1">
        <f t="array" ref="U143">SUM(_xlfn._xlws.FILTER(_xlfn._xlws.FILTER(headcountData,(headcountDataDepts=$D143)*(headcountDataIDs=$E143)),(startDates&gt;=U$95)*(endDates=U$96)))</f>
        <v>0</v>
      </c>
      <c r="V143" s="676" cm="1">
        <f t="array" ref="V143">SUM(_xlfn._xlws.FILTER(_xlfn._xlws.FILTER(headcountData,(headcountDataDepts=$D143)*(headcountDataIDs=$E143)),(startDates&gt;=V$95)*(endDates=V$96)))</f>
        <v>0</v>
      </c>
      <c r="W143" s="676" cm="1">
        <f t="array" ref="W143">SUM(_xlfn._xlws.FILTER(_xlfn._xlws.FILTER(headcountData,(headcountDataDepts=$D143)*(headcountDataIDs=$E143)),(startDates&gt;=W$95)*(endDates=W$96)))</f>
        <v>5000</v>
      </c>
      <c r="X143" s="676" cm="1">
        <f t="array" ref="X143">SUM(_xlfn._xlws.FILTER(_xlfn._xlws.FILTER(headcountData,(headcountDataDepts=$D143)*(headcountDataIDs=$E143)),(startDates&gt;=X$95)*(endDates=X$96)))</f>
        <v>0</v>
      </c>
      <c r="Y143" s="676" cm="1">
        <f t="array" ref="Y143">SUM(_xlfn._xlws.FILTER(_xlfn._xlws.FILTER(headcountData,(headcountDataDepts=$D143)*(headcountDataIDs=$E143)),(startDates&gt;=Y$95)*(endDates=Y$96)))</f>
        <v>0</v>
      </c>
      <c r="Z143" s="676" cm="1">
        <f t="array" ref="Z143">SUM(_xlfn._xlws.FILTER(_xlfn._xlws.FILTER(headcountData,(headcountDataDepts=$D143)*(headcountDataIDs=$E143)),(startDates&gt;=Z$95)*(endDates=Z$96)))</f>
        <v>0</v>
      </c>
      <c r="AA143" s="676" cm="1">
        <f t="array" ref="AA143">SUM(_xlfn._xlws.FILTER(_xlfn._xlws.FILTER(headcountData,(headcountDataDepts=$D143)*(headcountDataIDs=$E143)),(startDates&gt;=AA$95)*(endDates=AA$96)))</f>
        <v>5000</v>
      </c>
      <c r="AB143" s="676" cm="1">
        <f t="array" ref="AB143">SUM(_xlfn._xlws.FILTER(_xlfn._xlws.FILTER(headcountData,(headcountDataDepts=$D143)*(headcountDataIDs=$E143)),(startDates&gt;=AB$95)*(endDates=AB$96)))</f>
        <v>0</v>
      </c>
      <c r="AC143" s="676" cm="1">
        <f t="array" ref="AC143">SUM(_xlfn._xlws.FILTER(_xlfn._xlws.FILTER(headcountData,(headcountDataDepts=$D143)*(headcountDataIDs=$E143)),(startDates&gt;=AC$95)*(endDates=AC$96)))</f>
        <v>0</v>
      </c>
      <c r="AD143" s="676" cm="1">
        <f t="array" ref="AD143">SUM(_xlfn._xlws.FILTER(_xlfn._xlws.FILTER(headcountData,(headcountDataDepts=$D143)*(headcountDataIDs=$E143)),(startDates&gt;=AD$95)*(endDates=AD$96)))</f>
        <v>0</v>
      </c>
      <c r="AE143" s="676" cm="1">
        <f t="array" ref="AE143">SUM(_xlfn._xlws.FILTER(_xlfn._xlws.FILTER(headcountData,(headcountDataDepts=$D143)*(headcountDataIDs=$E143)),(startDates&gt;=AE$95)*(endDates=AE$96)))</f>
        <v>5000</v>
      </c>
      <c r="AF143" s="676" cm="1">
        <f t="array" ref="AF143">SUM(_xlfn._xlws.FILTER(_xlfn._xlws.FILTER(headcountData,(headcountDataDepts=$D143)*(headcountDataIDs=$E143)),(startDates&gt;=AF$95)*(endDates=AF$96)))</f>
        <v>0</v>
      </c>
      <c r="AG143" s="676" cm="1">
        <f t="array" ref="AG143">SUM(_xlfn._xlws.FILTER(_xlfn._xlws.FILTER(headcountData,(headcountDataDepts=$D143)*(headcountDataIDs=$E143)),(startDates&gt;=AG$95)*(endDates=AG$96)))</f>
        <v>0</v>
      </c>
      <c r="AH143" s="676" cm="1">
        <f t="array" ref="AH143">SUM(_xlfn._xlws.FILTER(_xlfn._xlws.FILTER(headcountData,(headcountDataDepts=$D143)*(headcountDataIDs=$E143)),(startDates&gt;=AH$95)*(endDates=AH$96)))</f>
        <v>0</v>
      </c>
      <c r="AI143" s="676" cm="1">
        <f t="array" ref="AI143">SUM(_xlfn._xlws.FILTER(_xlfn._xlws.FILTER(headcountData,(headcountDataDepts=$D143)*(headcountDataIDs=$E143)),(startDates&gt;=AI$95)*(endDates=AI$96)))</f>
        <v>5000</v>
      </c>
      <c r="AL143" s="676" cm="1">
        <f t="array" ref="AL143">SUM(_xlfn._xlws.FILTER(_xlfn._xlws.FILTER(headcountData,(headcountDataDepts=$D143)*(headcountDataIDs=$E143)),(startDates&gt;=AL$95)*(endDates=AL$96)))</f>
        <v>0</v>
      </c>
      <c r="AM143" s="676" cm="1">
        <f t="array" ref="AM143">SUM(_xlfn._xlws.FILTER(_xlfn._xlws.FILTER(headcountData,(headcountDataDepts=$D143)*(headcountDataIDs=$E143)),(startDates&gt;=AM$95)*(endDates=AM$96)))</f>
        <v>0</v>
      </c>
      <c r="AN143" s="676" cm="1">
        <f t="array" ref="AN143">SUM(_xlfn._xlws.FILTER(_xlfn._xlws.FILTER(headcountData,(headcountDataDepts=$D143)*(headcountDataIDs=$E143)),(startDates&gt;=AN$95)*(endDates=AN$96)))</f>
        <v>0</v>
      </c>
      <c r="AO143" s="676" cm="1">
        <f t="array" ref="AO143">SUM(_xlfn._xlws.FILTER(_xlfn._xlws.FILTER(headcountData,(headcountDataDepts=$D143)*(headcountDataIDs=$E143)),(startDates&gt;=AO$95)*(endDates=AO$96)))</f>
        <v>0</v>
      </c>
      <c r="AP143" s="676" cm="1">
        <f t="array" ref="AP143">SUM(_xlfn._xlws.FILTER(_xlfn._xlws.FILTER(headcountData,(headcountDataDepts=$D143)*(headcountDataIDs=$E143)),(startDates&gt;=AP$95)*(endDates=AP$96)))</f>
        <v>0</v>
      </c>
      <c r="AQ143" s="676" cm="1">
        <f t="array" ref="AQ143">SUM(_xlfn._xlws.FILTER(_xlfn._xlws.FILTER(headcountData,(headcountDataDepts=$D143)*(headcountDataIDs=$E143)),(startDates&gt;=AQ$95)*(endDates=AQ$96)))</f>
        <v>0</v>
      </c>
      <c r="AR143" s="676" cm="1">
        <f t="array" ref="AR143">SUM(_xlfn._xlws.FILTER(_xlfn._xlws.FILTER(headcountData,(headcountDataDepts=$D143)*(headcountDataIDs=$E143)),(startDates&gt;=AR$95)*(endDates=AR$96)))</f>
        <v>0</v>
      </c>
      <c r="AS143" s="676" cm="1">
        <f t="array" ref="AS143">SUM(_xlfn._xlws.FILTER(_xlfn._xlws.FILTER(headcountData,(headcountDataDepts=$D143)*(headcountDataIDs=$E143)),(startDates&gt;=AS$95)*(endDates=AS$96)))</f>
        <v>0</v>
      </c>
      <c r="AT143" s="676" cm="1">
        <f t="array" ref="AT143">SUM(_xlfn._xlws.FILTER(_xlfn._xlws.FILTER(headcountData,(headcountDataDepts=$D143)*(headcountDataIDs=$E143)),(startDates&gt;=AT$95)*(endDates=AT$96)))</f>
        <v>0</v>
      </c>
      <c r="AU143" s="676" cm="1">
        <f t="array" ref="AU143">SUM(_xlfn._xlws.FILTER(_xlfn._xlws.FILTER(headcountData,(headcountDataDepts=$D143)*(headcountDataIDs=$E143)),(startDates&gt;=AU$95)*(endDates=AU$96)))</f>
        <v>0</v>
      </c>
      <c r="AV143" s="676" cm="1">
        <f t="array" ref="AV143">SUM(_xlfn._xlws.FILTER(_xlfn._xlws.FILTER(headcountData,(headcountDataDepts=$D143)*(headcountDataIDs=$E143)),(startDates&gt;=AV$95)*(endDates=AV$96)))</f>
        <v>0</v>
      </c>
      <c r="AW143" s="676" cm="1">
        <f t="array" ref="AW143">SUM(_xlfn._xlws.FILTER(_xlfn._xlws.FILTER(headcountData,(headcountDataDepts=$D143)*(headcountDataIDs=$E143)),(startDates&gt;=AW$95)*(endDates=AW$96)))</f>
        <v>5000</v>
      </c>
      <c r="AX143" s="676" cm="1">
        <f t="array" ref="AX143">SUM(_xlfn._xlws.FILTER(_xlfn._xlws.FILTER(headcountData,(headcountDataDepts=$D143)*(headcountDataIDs=$E143)),(startDates&gt;=AX$95)*(endDates=AX$96)))</f>
        <v>0</v>
      </c>
      <c r="AY143" s="676" cm="1">
        <f t="array" ref="AY143">SUM(_xlfn._xlws.FILTER(_xlfn._xlws.FILTER(headcountData,(headcountDataDepts=$D143)*(headcountDataIDs=$E143)),(startDates&gt;=AY$95)*(endDates=AY$96)))</f>
        <v>0</v>
      </c>
      <c r="AZ143" s="676" cm="1">
        <f t="array" ref="AZ143">SUM(_xlfn._xlws.FILTER(_xlfn._xlws.FILTER(headcountData,(headcountDataDepts=$D143)*(headcountDataIDs=$E143)),(startDates&gt;=AZ$95)*(endDates=AZ$96)))</f>
        <v>0</v>
      </c>
      <c r="BA143" s="676" cm="1">
        <f t="array" ref="BA143">SUM(_xlfn._xlws.FILTER(_xlfn._xlws.FILTER(headcountData,(headcountDataDepts=$D143)*(headcountDataIDs=$E143)),(startDates&gt;=BA$95)*(endDates=BA$96)))</f>
        <v>0</v>
      </c>
      <c r="BB143" s="676" cm="1">
        <f t="array" ref="BB143">SUM(_xlfn._xlws.FILTER(_xlfn._xlws.FILTER(headcountData,(headcountDataDepts=$D143)*(headcountDataIDs=$E143)),(startDates&gt;=BB$95)*(endDates=BB$96)))</f>
        <v>0</v>
      </c>
      <c r="BC143" s="676" cm="1">
        <f t="array" ref="BC143">SUM(_xlfn._xlws.FILTER(_xlfn._xlws.FILTER(headcountData,(headcountDataDepts=$D143)*(headcountDataIDs=$E143)),(startDates&gt;=BC$95)*(endDates=BC$96)))</f>
        <v>0</v>
      </c>
      <c r="BD143" s="676" cm="1">
        <f t="array" ref="BD143">SUM(_xlfn._xlws.FILTER(_xlfn._xlws.FILTER(headcountData,(headcountDataDepts=$D143)*(headcountDataIDs=$E143)),(startDates&gt;=BD$95)*(endDates=BD$96)))</f>
        <v>0</v>
      </c>
      <c r="BE143" s="676" cm="1">
        <f t="array" ref="BE143">SUM(_xlfn._xlws.FILTER(_xlfn._xlws.FILTER(headcountData,(headcountDataDepts=$D143)*(headcountDataIDs=$E143)),(startDates&gt;=BE$95)*(endDates=BE$96)))</f>
        <v>0</v>
      </c>
      <c r="BF143" s="676" cm="1">
        <f t="array" ref="BF143">SUM(_xlfn._xlws.FILTER(_xlfn._xlws.FILTER(headcountData,(headcountDataDepts=$D143)*(headcountDataIDs=$E143)),(startDates&gt;=BF$95)*(endDates=BF$96)))</f>
        <v>0</v>
      </c>
      <c r="BG143" s="676" cm="1">
        <f t="array" ref="BG143">SUM(_xlfn._xlws.FILTER(_xlfn._xlws.FILTER(headcountData,(headcountDataDepts=$D143)*(headcountDataIDs=$E143)),(startDates&gt;=BG$95)*(endDates=BG$96)))</f>
        <v>0</v>
      </c>
      <c r="BH143" s="676" cm="1">
        <f t="array" ref="BH143">SUM(_xlfn._xlws.FILTER(_xlfn._xlws.FILTER(headcountData,(headcountDataDepts=$D143)*(headcountDataIDs=$E143)),(startDates&gt;=BH$95)*(endDates=BH$96)))</f>
        <v>0</v>
      </c>
      <c r="BI143" s="676" cm="1">
        <f t="array" ref="BI143">SUM(_xlfn._xlws.FILTER(_xlfn._xlws.FILTER(headcountData,(headcountDataDepts=$D143)*(headcountDataIDs=$E143)),(startDates&gt;=BI$95)*(endDates=BI$96)))</f>
        <v>5000</v>
      </c>
      <c r="BJ143" s="676" cm="1">
        <f t="array" ref="BJ143">SUM(_xlfn._xlws.FILTER(_xlfn._xlws.FILTER(headcountData,(headcountDataDepts=$D143)*(headcountDataIDs=$E143)),(startDates&gt;=BJ$95)*(endDates=BJ$96)))</f>
        <v>0</v>
      </c>
      <c r="BK143" s="676" cm="1">
        <f t="array" ref="BK143">SUM(_xlfn._xlws.FILTER(_xlfn._xlws.FILTER(headcountData,(headcountDataDepts=$D143)*(headcountDataIDs=$E143)),(startDates&gt;=BK$95)*(endDates=BK$96)))</f>
        <v>0</v>
      </c>
      <c r="BL143" s="676" cm="1">
        <f t="array" ref="BL143">SUM(_xlfn._xlws.FILTER(_xlfn._xlws.FILTER(headcountData,(headcountDataDepts=$D143)*(headcountDataIDs=$E143)),(startDates&gt;=BL$95)*(endDates=BL$96)))</f>
        <v>0</v>
      </c>
      <c r="BM143" s="676" cm="1">
        <f t="array" ref="BM143">SUM(_xlfn._xlws.FILTER(_xlfn._xlws.FILTER(headcountData,(headcountDataDepts=$D143)*(headcountDataIDs=$E143)),(startDates&gt;=BM$95)*(endDates=BM$96)))</f>
        <v>0</v>
      </c>
      <c r="BN143" s="676" cm="1">
        <f t="array" ref="BN143">SUM(_xlfn._xlws.FILTER(_xlfn._xlws.FILTER(headcountData,(headcountDataDepts=$D143)*(headcountDataIDs=$E143)),(startDates&gt;=BN$95)*(endDates=BN$96)))</f>
        <v>0</v>
      </c>
      <c r="BO143" s="676" cm="1">
        <f t="array" ref="BO143">SUM(_xlfn._xlws.FILTER(_xlfn._xlws.FILTER(headcountData,(headcountDataDepts=$D143)*(headcountDataIDs=$E143)),(startDates&gt;=BO$95)*(endDates=BO$96)))</f>
        <v>0</v>
      </c>
      <c r="BP143" s="676" cm="1">
        <f t="array" ref="BP143">SUM(_xlfn._xlws.FILTER(_xlfn._xlws.FILTER(headcountData,(headcountDataDepts=$D143)*(headcountDataIDs=$E143)),(startDates&gt;=BP$95)*(endDates=BP$96)))</f>
        <v>0</v>
      </c>
      <c r="BQ143" s="676" cm="1">
        <f t="array" ref="BQ143">SUM(_xlfn._xlws.FILTER(_xlfn._xlws.FILTER(headcountData,(headcountDataDepts=$D143)*(headcountDataIDs=$E143)),(startDates&gt;=BQ$95)*(endDates=BQ$96)))</f>
        <v>0</v>
      </c>
      <c r="BR143" s="676" cm="1">
        <f t="array" ref="BR143">SUM(_xlfn._xlws.FILTER(_xlfn._xlws.FILTER(headcountData,(headcountDataDepts=$D143)*(headcountDataIDs=$E143)),(startDates&gt;=BR$95)*(endDates=BR$96)))</f>
        <v>0</v>
      </c>
      <c r="BS143" s="676" cm="1">
        <f t="array" ref="BS143">SUM(_xlfn._xlws.FILTER(_xlfn._xlws.FILTER(headcountData,(headcountDataDepts=$D143)*(headcountDataIDs=$E143)),(startDates&gt;=BS$95)*(endDates=BS$96)))</f>
        <v>0</v>
      </c>
      <c r="BT143" s="676" cm="1">
        <f t="array" ref="BT143">SUM(_xlfn._xlws.FILTER(_xlfn._xlws.FILTER(headcountData,(headcountDataDepts=$D143)*(headcountDataIDs=$E143)),(startDates&gt;=BT$95)*(endDates=BT$96)))</f>
        <v>0</v>
      </c>
      <c r="BU143" s="676" cm="1">
        <f t="array" ref="BU143">SUM(_xlfn._xlws.FILTER(_xlfn._xlws.FILTER(headcountData,(headcountDataDepts=$D143)*(headcountDataIDs=$E143)),(startDates&gt;=BU$95)*(endDates=BU$96)))</f>
        <v>5000</v>
      </c>
      <c r="BV143" s="676" cm="1">
        <f t="array" ref="BV143">SUM(_xlfn._xlws.FILTER(_xlfn._xlws.FILTER(headcountData,(headcountDataDepts=$D143)*(headcountDataIDs=$E143)),(startDates&gt;=BV$95)*(endDates=BV$96)))</f>
        <v>0</v>
      </c>
      <c r="BW143" s="676" cm="1">
        <f t="array" ref="BW143">SUM(_xlfn._xlws.FILTER(_xlfn._xlws.FILTER(headcountData,(headcountDataDepts=$D143)*(headcountDataIDs=$E143)),(startDates&gt;=BW$95)*(endDates=BW$96)))</f>
        <v>0</v>
      </c>
      <c r="BX143" s="676" cm="1">
        <f t="array" ref="BX143">SUM(_xlfn._xlws.FILTER(_xlfn._xlws.FILTER(headcountData,(headcountDataDepts=$D143)*(headcountDataIDs=$E143)),(startDates&gt;=BX$95)*(endDates=BX$96)))</f>
        <v>0</v>
      </c>
      <c r="BY143" s="676" cm="1">
        <f t="array" ref="BY143">SUM(_xlfn._xlws.FILTER(_xlfn._xlws.FILTER(headcountData,(headcountDataDepts=$D143)*(headcountDataIDs=$E143)),(startDates&gt;=BY$95)*(endDates=BY$96)))</f>
        <v>0</v>
      </c>
      <c r="BZ143" s="676" cm="1">
        <f t="array" ref="BZ143">SUM(_xlfn._xlws.FILTER(_xlfn._xlws.FILTER(headcountData,(headcountDataDepts=$D143)*(headcountDataIDs=$E143)),(startDates&gt;=BZ$95)*(endDates=BZ$96)))</f>
        <v>0</v>
      </c>
      <c r="CA143" s="676" cm="1">
        <f t="array" ref="CA143">SUM(_xlfn._xlws.FILTER(_xlfn._xlws.FILTER(headcountData,(headcountDataDepts=$D143)*(headcountDataIDs=$E143)),(startDates&gt;=CA$95)*(endDates=CA$96)))</f>
        <v>0</v>
      </c>
      <c r="CB143" s="676" cm="1">
        <f t="array" ref="CB143">SUM(_xlfn._xlws.FILTER(_xlfn._xlws.FILTER(headcountData,(headcountDataDepts=$D143)*(headcountDataIDs=$E143)),(startDates&gt;=CB$95)*(endDates=CB$96)))</f>
        <v>0</v>
      </c>
      <c r="CC143" s="676" cm="1">
        <f t="array" ref="CC143">SUM(_xlfn._xlws.FILTER(_xlfn._xlws.FILTER(headcountData,(headcountDataDepts=$D143)*(headcountDataIDs=$E143)),(startDates&gt;=CC$95)*(endDates=CC$96)))</f>
        <v>0</v>
      </c>
      <c r="CD143" s="676" cm="1">
        <f t="array" ref="CD143">SUM(_xlfn._xlws.FILTER(_xlfn._xlws.FILTER(headcountData,(headcountDataDepts=$D143)*(headcountDataIDs=$E143)),(startDates&gt;=CD$95)*(endDates=CD$96)))</f>
        <v>0</v>
      </c>
      <c r="CE143" s="676" cm="1">
        <f t="array" ref="CE143">SUM(_xlfn._xlws.FILTER(_xlfn._xlws.FILTER(headcountData,(headcountDataDepts=$D143)*(headcountDataIDs=$E143)),(startDates&gt;=CE$95)*(endDates=CE$96)))</f>
        <v>0</v>
      </c>
      <c r="CF143" s="676" cm="1">
        <f t="array" ref="CF143">SUM(_xlfn._xlws.FILTER(_xlfn._xlws.FILTER(headcountData,(headcountDataDepts=$D143)*(headcountDataIDs=$E143)),(startDates&gt;=CF$95)*(endDates=CF$96)))</f>
        <v>0</v>
      </c>
      <c r="CG143" s="676" cm="1">
        <f t="array" ref="CG143">SUM(_xlfn._xlws.FILTER(_xlfn._xlws.FILTER(headcountData,(headcountDataDepts=$D143)*(headcountDataIDs=$E143)),(startDates&gt;=CG$95)*(endDates=CG$96)))</f>
        <v>5000</v>
      </c>
    </row>
    <row r="144" spans="3:85" ht="15.75" customHeight="1">
      <c r="C144" s="383"/>
      <c r="T144" s="176"/>
    </row>
    <row r="145" spans="2:85" ht="15.75" customHeight="1">
      <c r="C145" s="383"/>
      <c r="T145" s="176"/>
    </row>
    <row r="146" spans="2:85" ht="15.75" customHeight="1">
      <c r="C146" s="383"/>
      <c r="T146" s="176"/>
    </row>
    <row r="147" spans="2:85" ht="15.75" customHeight="1">
      <c r="C147" s="383"/>
      <c r="T147" s="176"/>
    </row>
    <row r="148" spans="2:85" s="151" customFormat="1" ht="15" customHeight="1" collapsed="1">
      <c r="B148" s="151" t="s">
        <v>155</v>
      </c>
      <c r="C148" s="156"/>
      <c r="D148" s="156"/>
      <c r="E148" s="155" t="s">
        <v>201</v>
      </c>
      <c r="F148" s="156"/>
      <c r="G148" s="156"/>
    </row>
    <row r="149" spans="2:85" s="151" customFormat="1" ht="15" hidden="1" customHeight="1" outlineLevel="2">
      <c r="C149" s="151" t="s">
        <v>98</v>
      </c>
      <c r="D149" s="156"/>
      <c r="E149" s="155" t="s">
        <v>98</v>
      </c>
      <c r="F149" s="156"/>
      <c r="G149" s="156"/>
      <c r="J149" s="153" cm="1">
        <f t="array" ref="J149">J13-SUM(_xlfn._xlws.FILTER(_xlfn._xlws.FILTER(dataSummaryPL,dataSummaryPLSections=$E149),(startDates&gt;=J$7)*(endDates&lt;=J$8)))</f>
        <v>0</v>
      </c>
      <c r="K149" s="153" cm="1">
        <f t="array" ref="K149">K13-SUM(_xlfn._xlws.FILTER(_xlfn._xlws.FILTER(dataSummaryPL,dataSummaryPLSections=$E149),(startDates&gt;=K$7)*(endDates&lt;=K$8)))</f>
        <v>0</v>
      </c>
      <c r="N149" s="153" cm="1">
        <f t="array" ref="N149">N13-SUM(_xlfn._xlws.FILTER(_xlfn._xlws.FILTER(dataSummaryPL,dataSummaryPLSections=$E149),(startDates&gt;=N$7)*(endDates&lt;=N$8)))</f>
        <v>0</v>
      </c>
      <c r="O149" s="153" cm="1">
        <f t="array" ref="O149">O13-SUM(_xlfn._xlws.FILTER(_xlfn._xlws.FILTER(dataSummaryPL,dataSummaryPLSections=$E149),(startDates&gt;=O$7)*(endDates&lt;=O$8)))</f>
        <v>0</v>
      </c>
      <c r="P149" s="153" cm="1">
        <f t="array" ref="P149">P13-SUM(_xlfn._xlws.FILTER(_xlfn._xlws.FILTER(dataSummaryPL,dataSummaryPLSections=$E149),(startDates&gt;=P$7)*(endDates&lt;=P$8)))</f>
        <v>0</v>
      </c>
      <c r="Q149" s="153" cm="1">
        <f t="array" ref="Q149">Q13-SUM(_xlfn._xlws.FILTER(_xlfn._xlws.FILTER(dataSummaryPL,dataSummaryPLSections=$E149),(startDates&gt;=Q$7)*(endDates&lt;=Q$8)))</f>
        <v>0</v>
      </c>
      <c r="T149" s="153" cm="1">
        <f t="array" ref="T149">T13-SUM(_xlfn._xlws.FILTER(_xlfn._xlws.FILTER(dataSummaryPL,dataSummaryPLSections=$E149),(startDates&gt;=T$7)*(endDates&lt;=T$8)))</f>
        <v>0</v>
      </c>
      <c r="U149" s="153" cm="1">
        <f t="array" ref="U149">U13-SUM(_xlfn._xlws.FILTER(_xlfn._xlws.FILTER(dataSummaryPL,dataSummaryPLSections=$E149),(startDates&gt;=U$7)*(endDates&lt;=U$8)))</f>
        <v>0</v>
      </c>
      <c r="V149" s="153" cm="1">
        <f t="array" ref="V149">V13-SUM(_xlfn._xlws.FILTER(_xlfn._xlws.FILTER(dataSummaryPL,dataSummaryPLSections=$E149),(startDates&gt;=V$7)*(endDates&lt;=V$8)))</f>
        <v>0</v>
      </c>
      <c r="W149" s="153" cm="1">
        <f t="array" ref="W149">W13-SUM(_xlfn._xlws.FILTER(_xlfn._xlws.FILTER(dataSummaryPL,dataSummaryPLSections=$E149),(startDates&gt;=W$7)*(endDates&lt;=W$8)))</f>
        <v>0</v>
      </c>
      <c r="X149" s="153" cm="1">
        <f t="array" ref="X149">X13-SUM(_xlfn._xlws.FILTER(_xlfn._xlws.FILTER(dataSummaryPL,dataSummaryPLSections=$E149),(startDates&gt;=X$7)*(endDates&lt;=X$8)))</f>
        <v>0</v>
      </c>
      <c r="Y149" s="153" cm="1">
        <f t="array" ref="Y149">Y13-SUM(_xlfn._xlws.FILTER(_xlfn._xlws.FILTER(dataSummaryPL,dataSummaryPLSections=$E149),(startDates&gt;=Y$7)*(endDates&lt;=Y$8)))</f>
        <v>0</v>
      </c>
      <c r="Z149" s="153" cm="1">
        <f t="array" ref="Z149">Z13-SUM(_xlfn._xlws.FILTER(_xlfn._xlws.FILTER(dataSummaryPL,dataSummaryPLSections=$E149),(startDates&gt;=Z$7)*(endDates&lt;=Z$8)))</f>
        <v>0</v>
      </c>
      <c r="AA149" s="153" cm="1">
        <f t="array" ref="AA149">AA13-SUM(_xlfn._xlws.FILTER(_xlfn._xlws.FILTER(dataSummaryPL,dataSummaryPLSections=$E149),(startDates&gt;=AA$7)*(endDates&lt;=AA$8)))</f>
        <v>0</v>
      </c>
      <c r="AB149" s="153" cm="1">
        <f t="array" ref="AB149">AB13-SUM(_xlfn._xlws.FILTER(_xlfn._xlws.FILTER(dataSummaryPL,dataSummaryPLSections=$E149),(startDates&gt;=AB$7)*(endDates&lt;=AB$8)))</f>
        <v>0</v>
      </c>
      <c r="AC149" s="153" cm="1">
        <f t="array" ref="AC149">AC13-SUM(_xlfn._xlws.FILTER(_xlfn._xlws.FILTER(dataSummaryPL,dataSummaryPLSections=$E149),(startDates&gt;=AC$7)*(endDates&lt;=AC$8)))</f>
        <v>0</v>
      </c>
      <c r="AD149" s="153" cm="1">
        <f t="array" ref="AD149">AD13-SUM(_xlfn._xlws.FILTER(_xlfn._xlws.FILTER(dataSummaryPL,dataSummaryPLSections=$E149),(startDates&gt;=AD$7)*(endDates&lt;=AD$8)))</f>
        <v>0</v>
      </c>
      <c r="AE149" s="153" cm="1">
        <f t="array" ref="AE149">AE13-SUM(_xlfn._xlws.FILTER(_xlfn._xlws.FILTER(dataSummaryPL,dataSummaryPLSections=$E149),(startDates&gt;=AE$7)*(endDates&lt;=AE$8)))</f>
        <v>0</v>
      </c>
      <c r="AF149" s="153" cm="1">
        <f t="array" ref="AF149">AF13-SUM(_xlfn._xlws.FILTER(_xlfn._xlws.FILTER(dataSummaryPL,dataSummaryPLSections=$E149),(startDates&gt;=AF$7)*(endDates&lt;=AF$8)))</f>
        <v>0</v>
      </c>
      <c r="AG149" s="153" cm="1">
        <f t="array" ref="AG149">AG13-SUM(_xlfn._xlws.FILTER(_xlfn._xlws.FILTER(dataSummaryPL,dataSummaryPLSections=$E149),(startDates&gt;=AG$7)*(endDates&lt;=AG$8)))</f>
        <v>0</v>
      </c>
      <c r="AH149" s="153" cm="1">
        <f t="array" ref="AH149">AH13-SUM(_xlfn._xlws.FILTER(_xlfn._xlws.FILTER(dataSummaryPL,dataSummaryPLSections=$E149),(startDates&gt;=AH$7)*(endDates&lt;=AH$8)))</f>
        <v>0</v>
      </c>
      <c r="AI149" s="153" cm="1">
        <f t="array" ref="AI149">AI13-SUM(_xlfn._xlws.FILTER(_xlfn._xlws.FILTER(dataSummaryPL,dataSummaryPLSections=$E149),(startDates&gt;=AI$7)*(endDates&lt;=AI$8)))</f>
        <v>0</v>
      </c>
      <c r="AL149" s="153" cm="1">
        <f t="array" ref="AL149">AL13-SUM(_xlfn._xlws.FILTER(_xlfn._xlws.FILTER(dataSummaryPL,dataSummaryPLSections=$E149),(startDates&gt;=AL$7)*(endDates&lt;=AL$8)))</f>
        <v>0</v>
      </c>
      <c r="AM149" s="153" cm="1">
        <f t="array" ref="AM149">AM13-SUM(_xlfn._xlws.FILTER(_xlfn._xlws.FILTER(dataSummaryPL,dataSummaryPLSections=$E149),(startDates&gt;=AM$7)*(endDates&lt;=AM$8)))</f>
        <v>0</v>
      </c>
      <c r="AN149" s="153" cm="1">
        <f t="array" ref="AN149">AN13-SUM(_xlfn._xlws.FILTER(_xlfn._xlws.FILTER(dataSummaryPL,dataSummaryPLSections=$E149),(startDates&gt;=AN$7)*(endDates&lt;=AN$8)))</f>
        <v>0</v>
      </c>
      <c r="AO149" s="153" cm="1">
        <f t="array" ref="AO149">AO13-SUM(_xlfn._xlws.FILTER(_xlfn._xlws.FILTER(dataSummaryPL,dataSummaryPLSections=$E149),(startDates&gt;=AO$7)*(endDates&lt;=AO$8)))</f>
        <v>0</v>
      </c>
      <c r="AP149" s="153" cm="1">
        <f t="array" ref="AP149">AP13-SUM(_xlfn._xlws.FILTER(_xlfn._xlws.FILTER(dataSummaryPL,dataSummaryPLSections=$E149),(startDates&gt;=AP$7)*(endDates&lt;=AP$8)))</f>
        <v>0</v>
      </c>
      <c r="AQ149" s="153" cm="1">
        <f t="array" ref="AQ149">AQ13-SUM(_xlfn._xlws.FILTER(_xlfn._xlws.FILTER(dataSummaryPL,dataSummaryPLSections=$E149),(startDates&gt;=AQ$7)*(endDates&lt;=AQ$8)))</f>
        <v>0</v>
      </c>
      <c r="AR149" s="153" cm="1">
        <f t="array" ref="AR149">AR13-SUM(_xlfn._xlws.FILTER(_xlfn._xlws.FILTER(dataSummaryPL,dataSummaryPLSections=$E149),(startDates&gt;=AR$7)*(endDates&lt;=AR$8)))</f>
        <v>0</v>
      </c>
      <c r="AS149" s="153" cm="1">
        <f t="array" ref="AS149">AS13-SUM(_xlfn._xlws.FILTER(_xlfn._xlws.FILTER(dataSummaryPL,dataSummaryPLSections=$E149),(startDates&gt;=AS$7)*(endDates&lt;=AS$8)))</f>
        <v>0</v>
      </c>
      <c r="AT149" s="153" cm="1">
        <f t="array" ref="AT149">AT13-SUM(_xlfn._xlws.FILTER(_xlfn._xlws.FILTER(dataSummaryPL,dataSummaryPLSections=$E149),(startDates&gt;=AT$7)*(endDates&lt;=AT$8)))</f>
        <v>0</v>
      </c>
      <c r="AU149" s="153" cm="1">
        <f t="array" ref="AU149">AU13-SUM(_xlfn._xlws.FILTER(_xlfn._xlws.FILTER(dataSummaryPL,dataSummaryPLSections=$E149),(startDates&gt;=AU$7)*(endDates&lt;=AU$8)))</f>
        <v>0</v>
      </c>
      <c r="AV149" s="153" cm="1">
        <f t="array" ref="AV149">AV13-SUM(_xlfn._xlws.FILTER(_xlfn._xlws.FILTER(dataSummaryPL,dataSummaryPLSections=$E149),(startDates&gt;=AV$7)*(endDates&lt;=AV$8)))</f>
        <v>0</v>
      </c>
      <c r="AW149" s="153" cm="1">
        <f t="array" ref="AW149">AW13-SUM(_xlfn._xlws.FILTER(_xlfn._xlws.FILTER(dataSummaryPL,dataSummaryPLSections=$E149),(startDates&gt;=AW$7)*(endDates&lt;=AW$8)))</f>
        <v>0</v>
      </c>
      <c r="AX149" s="153" cm="1">
        <f t="array" ref="AX149">AX13-SUM(_xlfn._xlws.FILTER(_xlfn._xlws.FILTER(dataSummaryPL,dataSummaryPLSections=$E149),(startDates&gt;=AX$7)*(endDates&lt;=AX$8)))</f>
        <v>0</v>
      </c>
      <c r="AY149" s="153" cm="1">
        <f t="array" ref="AY149">AY13-SUM(_xlfn._xlws.FILTER(_xlfn._xlws.FILTER(dataSummaryPL,dataSummaryPLSections=$E149),(startDates&gt;=AY$7)*(endDates&lt;=AY$8)))</f>
        <v>0</v>
      </c>
      <c r="AZ149" s="153" cm="1">
        <f t="array" ref="AZ149">AZ13-SUM(_xlfn._xlws.FILTER(_xlfn._xlws.FILTER(dataSummaryPL,dataSummaryPLSections=$E149),(startDates&gt;=AZ$7)*(endDates&lt;=AZ$8)))</f>
        <v>0</v>
      </c>
      <c r="BA149" s="153" cm="1">
        <f t="array" ref="BA149">BA13-SUM(_xlfn._xlws.FILTER(_xlfn._xlws.FILTER(dataSummaryPL,dataSummaryPLSections=$E149),(startDates&gt;=BA$7)*(endDates&lt;=BA$8)))</f>
        <v>0</v>
      </c>
      <c r="BB149" s="153" cm="1">
        <f t="array" ref="BB149">BB13-SUM(_xlfn._xlws.FILTER(_xlfn._xlws.FILTER(dataSummaryPL,dataSummaryPLSections=$E149),(startDates&gt;=BB$7)*(endDates&lt;=BB$8)))</f>
        <v>0</v>
      </c>
      <c r="BC149" s="153" cm="1">
        <f t="array" ref="BC149">BC13-SUM(_xlfn._xlws.FILTER(_xlfn._xlws.FILTER(dataSummaryPL,dataSummaryPLSections=$E149),(startDates&gt;=BC$7)*(endDates&lt;=BC$8)))</f>
        <v>0</v>
      </c>
      <c r="BD149" s="153" cm="1">
        <f t="array" ref="BD149">BD13-SUM(_xlfn._xlws.FILTER(_xlfn._xlws.FILTER(dataSummaryPL,dataSummaryPLSections=$E149),(startDates&gt;=BD$7)*(endDates&lt;=BD$8)))</f>
        <v>0</v>
      </c>
      <c r="BE149" s="153" cm="1">
        <f t="array" ref="BE149">BE13-SUM(_xlfn._xlws.FILTER(_xlfn._xlws.FILTER(dataSummaryPL,dataSummaryPLSections=$E149),(startDates&gt;=BE$7)*(endDates&lt;=BE$8)))</f>
        <v>0</v>
      </c>
      <c r="BF149" s="153" cm="1">
        <f t="array" ref="BF149">BF13-SUM(_xlfn._xlws.FILTER(_xlfn._xlws.FILTER(dataSummaryPL,dataSummaryPLSections=$E149),(startDates&gt;=BF$7)*(endDates&lt;=BF$8)))</f>
        <v>0</v>
      </c>
      <c r="BG149" s="153" cm="1">
        <f t="array" ref="BG149">BG13-SUM(_xlfn._xlws.FILTER(_xlfn._xlws.FILTER(dataSummaryPL,dataSummaryPLSections=$E149),(startDates&gt;=BG$7)*(endDates&lt;=BG$8)))</f>
        <v>0</v>
      </c>
      <c r="BH149" s="153" cm="1">
        <f t="array" ref="BH149">BH13-SUM(_xlfn._xlws.FILTER(_xlfn._xlws.FILTER(dataSummaryPL,dataSummaryPLSections=$E149),(startDates&gt;=BH$7)*(endDates&lt;=BH$8)))</f>
        <v>0</v>
      </c>
      <c r="BI149" s="153" cm="1">
        <f t="array" ref="BI149">BI13-SUM(_xlfn._xlws.FILTER(_xlfn._xlws.FILTER(dataSummaryPL,dataSummaryPLSections=$E149),(startDates&gt;=BI$7)*(endDates&lt;=BI$8)))</f>
        <v>0</v>
      </c>
      <c r="BJ149" s="153" cm="1">
        <f t="array" ref="BJ149">BJ13-SUM(_xlfn._xlws.FILTER(_xlfn._xlws.FILTER(dataSummaryPL,dataSummaryPLSections=$E149),(startDates&gt;=BJ$7)*(endDates&lt;=BJ$8)))</f>
        <v>0</v>
      </c>
      <c r="BK149" s="153" cm="1">
        <f t="array" ref="BK149">BK13-SUM(_xlfn._xlws.FILTER(_xlfn._xlws.FILTER(dataSummaryPL,dataSummaryPLSections=$E149),(startDates&gt;=BK$7)*(endDates&lt;=BK$8)))</f>
        <v>0</v>
      </c>
      <c r="BL149" s="153" cm="1">
        <f t="array" ref="BL149">BL13-SUM(_xlfn._xlws.FILTER(_xlfn._xlws.FILTER(dataSummaryPL,dataSummaryPLSections=$E149),(startDates&gt;=BL$7)*(endDates&lt;=BL$8)))</f>
        <v>0</v>
      </c>
      <c r="BM149" s="153" cm="1">
        <f t="array" ref="BM149">BM13-SUM(_xlfn._xlws.FILTER(_xlfn._xlws.FILTER(dataSummaryPL,dataSummaryPLSections=$E149),(startDates&gt;=BM$7)*(endDates&lt;=BM$8)))</f>
        <v>0</v>
      </c>
      <c r="BN149" s="153" cm="1">
        <f t="array" ref="BN149">BN13-SUM(_xlfn._xlws.FILTER(_xlfn._xlws.FILTER(dataSummaryPL,dataSummaryPLSections=$E149),(startDates&gt;=BN$7)*(endDates&lt;=BN$8)))</f>
        <v>0</v>
      </c>
      <c r="BO149" s="153" cm="1">
        <f t="array" ref="BO149">BO13-SUM(_xlfn._xlws.FILTER(_xlfn._xlws.FILTER(dataSummaryPL,dataSummaryPLSections=$E149),(startDates&gt;=BO$7)*(endDates&lt;=BO$8)))</f>
        <v>0</v>
      </c>
      <c r="BP149" s="153" cm="1">
        <f t="array" ref="BP149">BP13-SUM(_xlfn._xlws.FILTER(_xlfn._xlws.FILTER(dataSummaryPL,dataSummaryPLSections=$E149),(startDates&gt;=BP$7)*(endDates&lt;=BP$8)))</f>
        <v>0</v>
      </c>
      <c r="BQ149" s="153" cm="1">
        <f t="array" ref="BQ149">BQ13-SUM(_xlfn._xlws.FILTER(_xlfn._xlws.FILTER(dataSummaryPL,dataSummaryPLSections=$E149),(startDates&gt;=BQ$7)*(endDates&lt;=BQ$8)))</f>
        <v>0</v>
      </c>
      <c r="BR149" s="153" cm="1">
        <f t="array" ref="BR149">BR13-SUM(_xlfn._xlws.FILTER(_xlfn._xlws.FILTER(dataSummaryPL,dataSummaryPLSections=$E149),(startDates&gt;=BR$7)*(endDates&lt;=BR$8)))</f>
        <v>0</v>
      </c>
      <c r="BS149" s="153" cm="1">
        <f t="array" ref="BS149">BS13-SUM(_xlfn._xlws.FILTER(_xlfn._xlws.FILTER(dataSummaryPL,dataSummaryPLSections=$E149),(startDates&gt;=BS$7)*(endDates&lt;=BS$8)))</f>
        <v>0</v>
      </c>
      <c r="BT149" s="153" cm="1">
        <f t="array" ref="BT149">BT13-SUM(_xlfn._xlws.FILTER(_xlfn._xlws.FILTER(dataSummaryPL,dataSummaryPLSections=$E149),(startDates&gt;=BT$7)*(endDates&lt;=BT$8)))</f>
        <v>0</v>
      </c>
      <c r="BU149" s="153" cm="1">
        <f t="array" ref="BU149">BU13-SUM(_xlfn._xlws.FILTER(_xlfn._xlws.FILTER(dataSummaryPL,dataSummaryPLSections=$E149),(startDates&gt;=BU$7)*(endDates&lt;=BU$8)))</f>
        <v>0</v>
      </c>
      <c r="BV149" s="153" cm="1">
        <f t="array" ref="BV149">BV13-SUM(_xlfn._xlws.FILTER(_xlfn._xlws.FILTER(dataSummaryPL,dataSummaryPLSections=$E149),(startDates&gt;=BV$7)*(endDates&lt;=BV$8)))</f>
        <v>0</v>
      </c>
      <c r="BW149" s="153" cm="1">
        <f t="array" ref="BW149">BW13-SUM(_xlfn._xlws.FILTER(_xlfn._xlws.FILTER(dataSummaryPL,dataSummaryPLSections=$E149),(startDates&gt;=BW$7)*(endDates&lt;=BW$8)))</f>
        <v>0</v>
      </c>
      <c r="BX149" s="153" cm="1">
        <f t="array" ref="BX149">BX13-SUM(_xlfn._xlws.FILTER(_xlfn._xlws.FILTER(dataSummaryPL,dataSummaryPLSections=$E149),(startDates&gt;=BX$7)*(endDates&lt;=BX$8)))</f>
        <v>0</v>
      </c>
      <c r="BY149" s="153" cm="1">
        <f t="array" ref="BY149">BY13-SUM(_xlfn._xlws.FILTER(_xlfn._xlws.FILTER(dataSummaryPL,dataSummaryPLSections=$E149),(startDates&gt;=BY$7)*(endDates&lt;=BY$8)))</f>
        <v>0</v>
      </c>
      <c r="BZ149" s="153" cm="1">
        <f t="array" ref="BZ149">BZ13-SUM(_xlfn._xlws.FILTER(_xlfn._xlws.FILTER(dataSummaryPL,dataSummaryPLSections=$E149),(startDates&gt;=BZ$7)*(endDates&lt;=BZ$8)))</f>
        <v>0</v>
      </c>
      <c r="CA149" s="153" cm="1">
        <f t="array" ref="CA149">CA13-SUM(_xlfn._xlws.FILTER(_xlfn._xlws.FILTER(dataSummaryPL,dataSummaryPLSections=$E149),(startDates&gt;=CA$7)*(endDates&lt;=CA$8)))</f>
        <v>0</v>
      </c>
      <c r="CB149" s="153" cm="1">
        <f t="array" ref="CB149">CB13-SUM(_xlfn._xlws.FILTER(_xlfn._xlws.FILTER(dataSummaryPL,dataSummaryPLSections=$E149),(startDates&gt;=CB$7)*(endDates&lt;=CB$8)))</f>
        <v>0</v>
      </c>
      <c r="CC149" s="153" cm="1">
        <f t="array" ref="CC149">CC13-SUM(_xlfn._xlws.FILTER(_xlfn._xlws.FILTER(dataSummaryPL,dataSummaryPLSections=$E149),(startDates&gt;=CC$7)*(endDates&lt;=CC$8)))</f>
        <v>0</v>
      </c>
      <c r="CD149" s="153" cm="1">
        <f t="array" ref="CD149">CD13-SUM(_xlfn._xlws.FILTER(_xlfn._xlws.FILTER(dataSummaryPL,dataSummaryPLSections=$E149),(startDates&gt;=CD$7)*(endDates&lt;=CD$8)))</f>
        <v>0</v>
      </c>
      <c r="CE149" s="153" cm="1">
        <f t="array" ref="CE149">CE13-SUM(_xlfn._xlws.FILTER(_xlfn._xlws.FILTER(dataSummaryPL,dataSummaryPLSections=$E149),(startDates&gt;=CE$7)*(endDates&lt;=CE$8)))</f>
        <v>0</v>
      </c>
      <c r="CF149" s="153" cm="1">
        <f t="array" ref="CF149">CF13-SUM(_xlfn._xlws.FILTER(_xlfn._xlws.FILTER(dataSummaryPL,dataSummaryPLSections=$E149),(startDates&gt;=CF$7)*(endDates&lt;=CF$8)))</f>
        <v>0</v>
      </c>
      <c r="CG149" s="153" cm="1">
        <f t="array" ref="CG149">CG13-SUM(_xlfn._xlws.FILTER(_xlfn._xlws.FILTER(dataSummaryPL,dataSummaryPLSections=$E149),(startDates&gt;=CG$7)*(endDates&lt;=CG$8)))</f>
        <v>0</v>
      </c>
    </row>
    <row r="150" spans="2:85" s="151" customFormat="1" ht="15" hidden="1" customHeight="1" outlineLevel="2">
      <c r="C150" s="151" t="s">
        <v>80</v>
      </c>
      <c r="D150" s="156"/>
      <c r="E150" s="155" t="s">
        <v>80</v>
      </c>
      <c r="F150" s="156"/>
      <c r="G150" s="156"/>
      <c r="J150" s="153" cm="1">
        <f t="array" ref="J150">J17-SUM(_xlfn._xlws.FILTER(_xlfn._xlws.FILTER(dataSummaryPL,dataSummaryPLSections=$E150),(startDates&gt;=J$7)*(endDates&lt;=J$8)))</f>
        <v>0</v>
      </c>
      <c r="K150" s="153" cm="1">
        <f t="array" ref="K150">K17-SUM(_xlfn._xlws.FILTER(_xlfn._xlws.FILTER(dataSummaryPL,dataSummaryPLSections=$E150),(startDates&gt;=K$7)*(endDates&lt;=K$8)))</f>
        <v>0</v>
      </c>
      <c r="N150" s="153" cm="1">
        <f t="array" ref="N150">N17-SUM(_xlfn._xlws.FILTER(_xlfn._xlws.FILTER(dataSummaryPL,dataSummaryPLSections=$E150),(startDates&gt;=N$7)*(endDates&lt;=N$8)))</f>
        <v>0</v>
      </c>
      <c r="O150" s="153" cm="1">
        <f t="array" ref="O150">O17-SUM(_xlfn._xlws.FILTER(_xlfn._xlws.FILTER(dataSummaryPL,dataSummaryPLSections=$E150),(startDates&gt;=O$7)*(endDates&lt;=O$8)))</f>
        <v>0</v>
      </c>
      <c r="P150" s="153" cm="1">
        <f t="array" ref="P150">P17-SUM(_xlfn._xlws.FILTER(_xlfn._xlws.FILTER(dataSummaryPL,dataSummaryPLSections=$E150),(startDates&gt;=P$7)*(endDates&lt;=P$8)))</f>
        <v>0</v>
      </c>
      <c r="Q150" s="153" cm="1">
        <f t="array" ref="Q150">Q17-SUM(_xlfn._xlws.FILTER(_xlfn._xlws.FILTER(dataSummaryPL,dataSummaryPLSections=$E150),(startDates&gt;=Q$7)*(endDates&lt;=Q$8)))</f>
        <v>0</v>
      </c>
      <c r="T150" s="153" cm="1">
        <f t="array" ref="T150">T17-SUM(_xlfn._xlws.FILTER(_xlfn._xlws.FILTER(dataSummaryPL,dataSummaryPLSections=$E150),(startDates&gt;=T$7)*(endDates&lt;=T$8)))</f>
        <v>0</v>
      </c>
      <c r="U150" s="153" cm="1">
        <f t="array" ref="U150">U17-SUM(_xlfn._xlws.FILTER(_xlfn._xlws.FILTER(dataSummaryPL,dataSummaryPLSections=$E150),(startDates&gt;=U$7)*(endDates&lt;=U$8)))</f>
        <v>0</v>
      </c>
      <c r="V150" s="153" cm="1">
        <f t="array" ref="V150">V17-SUM(_xlfn._xlws.FILTER(_xlfn._xlws.FILTER(dataSummaryPL,dataSummaryPLSections=$E150),(startDates&gt;=V$7)*(endDates&lt;=V$8)))</f>
        <v>0</v>
      </c>
      <c r="W150" s="153" cm="1">
        <f t="array" ref="W150">W17-SUM(_xlfn._xlws.FILTER(_xlfn._xlws.FILTER(dataSummaryPL,dataSummaryPLSections=$E150),(startDates&gt;=W$7)*(endDates&lt;=W$8)))</f>
        <v>0</v>
      </c>
      <c r="X150" s="153" cm="1">
        <f t="array" ref="X150">X17-SUM(_xlfn._xlws.FILTER(_xlfn._xlws.FILTER(dataSummaryPL,dataSummaryPLSections=$E150),(startDates&gt;=X$7)*(endDates&lt;=X$8)))</f>
        <v>0</v>
      </c>
      <c r="Y150" s="153" cm="1">
        <f t="array" ref="Y150">Y17-SUM(_xlfn._xlws.FILTER(_xlfn._xlws.FILTER(dataSummaryPL,dataSummaryPLSections=$E150),(startDates&gt;=Y$7)*(endDates&lt;=Y$8)))</f>
        <v>0</v>
      </c>
      <c r="Z150" s="153" cm="1">
        <f t="array" ref="Z150">Z17-SUM(_xlfn._xlws.FILTER(_xlfn._xlws.FILTER(dataSummaryPL,dataSummaryPLSections=$E150),(startDates&gt;=Z$7)*(endDates&lt;=Z$8)))</f>
        <v>0</v>
      </c>
      <c r="AA150" s="153" cm="1">
        <f t="array" ref="AA150">AA17-SUM(_xlfn._xlws.FILTER(_xlfn._xlws.FILTER(dataSummaryPL,dataSummaryPLSections=$E150),(startDates&gt;=AA$7)*(endDates&lt;=AA$8)))</f>
        <v>0</v>
      </c>
      <c r="AB150" s="153" cm="1">
        <f t="array" ref="AB150">AB17-SUM(_xlfn._xlws.FILTER(_xlfn._xlws.FILTER(dataSummaryPL,dataSummaryPLSections=$E150),(startDates&gt;=AB$7)*(endDates&lt;=AB$8)))</f>
        <v>0</v>
      </c>
      <c r="AC150" s="153" cm="1">
        <f t="array" ref="AC150">AC17-SUM(_xlfn._xlws.FILTER(_xlfn._xlws.FILTER(dataSummaryPL,dataSummaryPLSections=$E150),(startDates&gt;=AC$7)*(endDates&lt;=AC$8)))</f>
        <v>0</v>
      </c>
      <c r="AD150" s="153" cm="1">
        <f t="array" ref="AD150">AD17-SUM(_xlfn._xlws.FILTER(_xlfn._xlws.FILTER(dataSummaryPL,dataSummaryPLSections=$E150),(startDates&gt;=AD$7)*(endDates&lt;=AD$8)))</f>
        <v>0</v>
      </c>
      <c r="AE150" s="153" cm="1">
        <f t="array" ref="AE150">AE17-SUM(_xlfn._xlws.FILTER(_xlfn._xlws.FILTER(dataSummaryPL,dataSummaryPLSections=$E150),(startDates&gt;=AE$7)*(endDates&lt;=AE$8)))</f>
        <v>0</v>
      </c>
      <c r="AF150" s="153" cm="1">
        <f t="array" ref="AF150">AF17-SUM(_xlfn._xlws.FILTER(_xlfn._xlws.FILTER(dataSummaryPL,dataSummaryPLSections=$E150),(startDates&gt;=AF$7)*(endDates&lt;=AF$8)))</f>
        <v>0</v>
      </c>
      <c r="AG150" s="153" cm="1">
        <f t="array" ref="AG150">AG17-SUM(_xlfn._xlws.FILTER(_xlfn._xlws.FILTER(dataSummaryPL,dataSummaryPLSections=$E150),(startDates&gt;=AG$7)*(endDates&lt;=AG$8)))</f>
        <v>0</v>
      </c>
      <c r="AH150" s="153" cm="1">
        <f t="array" ref="AH150">AH17-SUM(_xlfn._xlws.FILTER(_xlfn._xlws.FILTER(dataSummaryPL,dataSummaryPLSections=$E150),(startDates&gt;=AH$7)*(endDates&lt;=AH$8)))</f>
        <v>0</v>
      </c>
      <c r="AI150" s="153" cm="1">
        <f t="array" ref="AI150">AI17-SUM(_xlfn._xlws.FILTER(_xlfn._xlws.FILTER(dataSummaryPL,dataSummaryPLSections=$E150),(startDates&gt;=AI$7)*(endDates&lt;=AI$8)))</f>
        <v>0</v>
      </c>
      <c r="AL150" s="153" cm="1">
        <f t="array" ref="AL150">AL17-SUM(_xlfn._xlws.FILTER(_xlfn._xlws.FILTER(dataSummaryPL,dataSummaryPLSections=$E150),(startDates&gt;=AL$7)*(endDates&lt;=AL$8)))</f>
        <v>0</v>
      </c>
      <c r="AM150" s="153" cm="1">
        <f t="array" ref="AM150">AM17-SUM(_xlfn._xlws.FILTER(_xlfn._xlws.FILTER(dataSummaryPL,dataSummaryPLSections=$E150),(startDates&gt;=AM$7)*(endDates&lt;=AM$8)))</f>
        <v>0</v>
      </c>
      <c r="AN150" s="153" cm="1">
        <f t="array" ref="AN150">AN17-SUM(_xlfn._xlws.FILTER(_xlfn._xlws.FILTER(dataSummaryPL,dataSummaryPLSections=$E150),(startDates&gt;=AN$7)*(endDates&lt;=AN$8)))</f>
        <v>0</v>
      </c>
      <c r="AO150" s="153" cm="1">
        <f t="array" ref="AO150">AO17-SUM(_xlfn._xlws.FILTER(_xlfn._xlws.FILTER(dataSummaryPL,dataSummaryPLSections=$E150),(startDates&gt;=AO$7)*(endDates&lt;=AO$8)))</f>
        <v>0</v>
      </c>
      <c r="AP150" s="153" cm="1">
        <f t="array" ref="AP150">AP17-SUM(_xlfn._xlws.FILTER(_xlfn._xlws.FILTER(dataSummaryPL,dataSummaryPLSections=$E150),(startDates&gt;=AP$7)*(endDates&lt;=AP$8)))</f>
        <v>0</v>
      </c>
      <c r="AQ150" s="153" cm="1">
        <f t="array" ref="AQ150">AQ17-SUM(_xlfn._xlws.FILTER(_xlfn._xlws.FILTER(dataSummaryPL,dataSummaryPLSections=$E150),(startDates&gt;=AQ$7)*(endDates&lt;=AQ$8)))</f>
        <v>0</v>
      </c>
      <c r="AR150" s="153" cm="1">
        <f t="array" ref="AR150">AR17-SUM(_xlfn._xlws.FILTER(_xlfn._xlws.FILTER(dataSummaryPL,dataSummaryPLSections=$E150),(startDates&gt;=AR$7)*(endDates&lt;=AR$8)))</f>
        <v>0</v>
      </c>
      <c r="AS150" s="153" cm="1">
        <f t="array" ref="AS150">AS17-SUM(_xlfn._xlws.FILTER(_xlfn._xlws.FILTER(dataSummaryPL,dataSummaryPLSections=$E150),(startDates&gt;=AS$7)*(endDates&lt;=AS$8)))</f>
        <v>0</v>
      </c>
      <c r="AT150" s="153" cm="1">
        <f t="array" ref="AT150">AT17-SUM(_xlfn._xlws.FILTER(_xlfn._xlws.FILTER(dataSummaryPL,dataSummaryPLSections=$E150),(startDates&gt;=AT$7)*(endDates&lt;=AT$8)))</f>
        <v>0</v>
      </c>
      <c r="AU150" s="153" cm="1">
        <f t="array" ref="AU150">AU17-SUM(_xlfn._xlws.FILTER(_xlfn._xlws.FILTER(dataSummaryPL,dataSummaryPLSections=$E150),(startDates&gt;=AU$7)*(endDates&lt;=AU$8)))</f>
        <v>0</v>
      </c>
      <c r="AV150" s="153" cm="1">
        <f t="array" ref="AV150">AV17-SUM(_xlfn._xlws.FILTER(_xlfn._xlws.FILTER(dataSummaryPL,dataSummaryPLSections=$E150),(startDates&gt;=AV$7)*(endDates&lt;=AV$8)))</f>
        <v>0</v>
      </c>
      <c r="AW150" s="153" cm="1">
        <f t="array" ref="AW150">AW17-SUM(_xlfn._xlws.FILTER(_xlfn._xlws.FILTER(dataSummaryPL,dataSummaryPLSections=$E150),(startDates&gt;=AW$7)*(endDates&lt;=AW$8)))</f>
        <v>0</v>
      </c>
      <c r="AX150" s="153" cm="1">
        <f t="array" ref="AX150">AX17-SUM(_xlfn._xlws.FILTER(_xlfn._xlws.FILTER(dataSummaryPL,dataSummaryPLSections=$E150),(startDates&gt;=AX$7)*(endDates&lt;=AX$8)))</f>
        <v>0</v>
      </c>
      <c r="AY150" s="153" cm="1">
        <f t="array" ref="AY150">AY17-SUM(_xlfn._xlws.FILTER(_xlfn._xlws.FILTER(dataSummaryPL,dataSummaryPLSections=$E150),(startDates&gt;=AY$7)*(endDates&lt;=AY$8)))</f>
        <v>0</v>
      </c>
      <c r="AZ150" s="153" cm="1">
        <f t="array" ref="AZ150">AZ17-SUM(_xlfn._xlws.FILTER(_xlfn._xlws.FILTER(dataSummaryPL,dataSummaryPLSections=$E150),(startDates&gt;=AZ$7)*(endDates&lt;=AZ$8)))</f>
        <v>0</v>
      </c>
      <c r="BA150" s="153" cm="1">
        <f t="array" ref="BA150">BA17-SUM(_xlfn._xlws.FILTER(_xlfn._xlws.FILTER(dataSummaryPL,dataSummaryPLSections=$E150),(startDates&gt;=BA$7)*(endDates&lt;=BA$8)))</f>
        <v>0</v>
      </c>
      <c r="BB150" s="153" cm="1">
        <f t="array" ref="BB150">BB17-SUM(_xlfn._xlws.FILTER(_xlfn._xlws.FILTER(dataSummaryPL,dataSummaryPLSections=$E150),(startDates&gt;=BB$7)*(endDates&lt;=BB$8)))</f>
        <v>0</v>
      </c>
      <c r="BC150" s="153" cm="1">
        <f t="array" ref="BC150">BC17-SUM(_xlfn._xlws.FILTER(_xlfn._xlws.FILTER(dataSummaryPL,dataSummaryPLSections=$E150),(startDates&gt;=BC$7)*(endDates&lt;=BC$8)))</f>
        <v>0</v>
      </c>
      <c r="BD150" s="153" cm="1">
        <f t="array" ref="BD150">BD17-SUM(_xlfn._xlws.FILTER(_xlfn._xlws.FILTER(dataSummaryPL,dataSummaryPLSections=$E150),(startDates&gt;=BD$7)*(endDates&lt;=BD$8)))</f>
        <v>0</v>
      </c>
      <c r="BE150" s="153" cm="1">
        <f t="array" ref="BE150">BE17-SUM(_xlfn._xlws.FILTER(_xlfn._xlws.FILTER(dataSummaryPL,dataSummaryPLSections=$E150),(startDates&gt;=BE$7)*(endDates&lt;=BE$8)))</f>
        <v>0</v>
      </c>
      <c r="BF150" s="153" cm="1">
        <f t="array" ref="BF150">BF17-SUM(_xlfn._xlws.FILTER(_xlfn._xlws.FILTER(dataSummaryPL,dataSummaryPLSections=$E150),(startDates&gt;=BF$7)*(endDates&lt;=BF$8)))</f>
        <v>0</v>
      </c>
      <c r="BG150" s="153" cm="1">
        <f t="array" ref="BG150">BG17-SUM(_xlfn._xlws.FILTER(_xlfn._xlws.FILTER(dataSummaryPL,dataSummaryPLSections=$E150),(startDates&gt;=BG$7)*(endDates&lt;=BG$8)))</f>
        <v>0</v>
      </c>
      <c r="BH150" s="153" cm="1">
        <f t="array" ref="BH150">BH17-SUM(_xlfn._xlws.FILTER(_xlfn._xlws.FILTER(dataSummaryPL,dataSummaryPLSections=$E150),(startDates&gt;=BH$7)*(endDates&lt;=BH$8)))</f>
        <v>0</v>
      </c>
      <c r="BI150" s="153" cm="1">
        <f t="array" ref="BI150">BI17-SUM(_xlfn._xlws.FILTER(_xlfn._xlws.FILTER(dataSummaryPL,dataSummaryPLSections=$E150),(startDates&gt;=BI$7)*(endDates&lt;=BI$8)))</f>
        <v>0</v>
      </c>
      <c r="BJ150" s="153" cm="1">
        <f t="array" ref="BJ150">BJ17-SUM(_xlfn._xlws.FILTER(_xlfn._xlws.FILTER(dataSummaryPL,dataSummaryPLSections=$E150),(startDates&gt;=BJ$7)*(endDates&lt;=BJ$8)))</f>
        <v>0</v>
      </c>
      <c r="BK150" s="153" cm="1">
        <f t="array" ref="BK150">BK17-SUM(_xlfn._xlws.FILTER(_xlfn._xlws.FILTER(dataSummaryPL,dataSummaryPLSections=$E150),(startDates&gt;=BK$7)*(endDates&lt;=BK$8)))</f>
        <v>0</v>
      </c>
      <c r="BL150" s="153" cm="1">
        <f t="array" ref="BL150">BL17-SUM(_xlfn._xlws.FILTER(_xlfn._xlws.FILTER(dataSummaryPL,dataSummaryPLSections=$E150),(startDates&gt;=BL$7)*(endDates&lt;=BL$8)))</f>
        <v>0</v>
      </c>
      <c r="BM150" s="153" cm="1">
        <f t="array" ref="BM150">BM17-SUM(_xlfn._xlws.FILTER(_xlfn._xlws.FILTER(dataSummaryPL,dataSummaryPLSections=$E150),(startDates&gt;=BM$7)*(endDates&lt;=BM$8)))</f>
        <v>0</v>
      </c>
      <c r="BN150" s="153" cm="1">
        <f t="array" ref="BN150">BN17-SUM(_xlfn._xlws.FILTER(_xlfn._xlws.FILTER(dataSummaryPL,dataSummaryPLSections=$E150),(startDates&gt;=BN$7)*(endDates&lt;=BN$8)))</f>
        <v>0</v>
      </c>
      <c r="BO150" s="153" cm="1">
        <f t="array" ref="BO150">BO17-SUM(_xlfn._xlws.FILTER(_xlfn._xlws.FILTER(dataSummaryPL,dataSummaryPLSections=$E150),(startDates&gt;=BO$7)*(endDates&lt;=BO$8)))</f>
        <v>0</v>
      </c>
      <c r="BP150" s="153" cm="1">
        <f t="array" ref="BP150">BP17-SUM(_xlfn._xlws.FILTER(_xlfn._xlws.FILTER(dataSummaryPL,dataSummaryPLSections=$E150),(startDates&gt;=BP$7)*(endDates&lt;=BP$8)))</f>
        <v>0</v>
      </c>
      <c r="BQ150" s="153" cm="1">
        <f t="array" ref="BQ150">BQ17-SUM(_xlfn._xlws.FILTER(_xlfn._xlws.FILTER(dataSummaryPL,dataSummaryPLSections=$E150),(startDates&gt;=BQ$7)*(endDates&lt;=BQ$8)))</f>
        <v>0</v>
      </c>
      <c r="BR150" s="153" cm="1">
        <f t="array" ref="BR150">BR17-SUM(_xlfn._xlws.FILTER(_xlfn._xlws.FILTER(dataSummaryPL,dataSummaryPLSections=$E150),(startDates&gt;=BR$7)*(endDates&lt;=BR$8)))</f>
        <v>0</v>
      </c>
      <c r="BS150" s="153" cm="1">
        <f t="array" ref="BS150">BS17-SUM(_xlfn._xlws.FILTER(_xlfn._xlws.FILTER(dataSummaryPL,dataSummaryPLSections=$E150),(startDates&gt;=BS$7)*(endDates&lt;=BS$8)))</f>
        <v>0</v>
      </c>
      <c r="BT150" s="153" cm="1">
        <f t="array" ref="BT150">BT17-SUM(_xlfn._xlws.FILTER(_xlfn._xlws.FILTER(dataSummaryPL,dataSummaryPLSections=$E150),(startDates&gt;=BT$7)*(endDates&lt;=BT$8)))</f>
        <v>0</v>
      </c>
      <c r="BU150" s="153" cm="1">
        <f t="array" ref="BU150">BU17-SUM(_xlfn._xlws.FILTER(_xlfn._xlws.FILTER(dataSummaryPL,dataSummaryPLSections=$E150),(startDates&gt;=BU$7)*(endDates&lt;=BU$8)))</f>
        <v>0</v>
      </c>
      <c r="BV150" s="153" cm="1">
        <f t="array" ref="BV150">BV17-SUM(_xlfn._xlws.FILTER(_xlfn._xlws.FILTER(dataSummaryPL,dataSummaryPLSections=$E150),(startDates&gt;=BV$7)*(endDates&lt;=BV$8)))</f>
        <v>0</v>
      </c>
      <c r="BW150" s="153" cm="1">
        <f t="array" ref="BW150">BW17-SUM(_xlfn._xlws.FILTER(_xlfn._xlws.FILTER(dataSummaryPL,dataSummaryPLSections=$E150),(startDates&gt;=BW$7)*(endDates&lt;=BW$8)))</f>
        <v>0</v>
      </c>
      <c r="BX150" s="153" cm="1">
        <f t="array" ref="BX150">BX17-SUM(_xlfn._xlws.FILTER(_xlfn._xlws.FILTER(dataSummaryPL,dataSummaryPLSections=$E150),(startDates&gt;=BX$7)*(endDates&lt;=BX$8)))</f>
        <v>0</v>
      </c>
      <c r="BY150" s="153" cm="1">
        <f t="array" ref="BY150">BY17-SUM(_xlfn._xlws.FILTER(_xlfn._xlws.FILTER(dataSummaryPL,dataSummaryPLSections=$E150),(startDates&gt;=BY$7)*(endDates&lt;=BY$8)))</f>
        <v>0</v>
      </c>
      <c r="BZ150" s="153" cm="1">
        <f t="array" ref="BZ150">BZ17-SUM(_xlfn._xlws.FILTER(_xlfn._xlws.FILTER(dataSummaryPL,dataSummaryPLSections=$E150),(startDates&gt;=BZ$7)*(endDates&lt;=BZ$8)))</f>
        <v>0</v>
      </c>
      <c r="CA150" s="153" cm="1">
        <f t="array" ref="CA150">CA17-SUM(_xlfn._xlws.FILTER(_xlfn._xlws.FILTER(dataSummaryPL,dataSummaryPLSections=$E150),(startDates&gt;=CA$7)*(endDates&lt;=CA$8)))</f>
        <v>0</v>
      </c>
      <c r="CB150" s="153" cm="1">
        <f t="array" ref="CB150">CB17-SUM(_xlfn._xlws.FILTER(_xlfn._xlws.FILTER(dataSummaryPL,dataSummaryPLSections=$E150),(startDates&gt;=CB$7)*(endDates&lt;=CB$8)))</f>
        <v>0</v>
      </c>
      <c r="CC150" s="153" cm="1">
        <f t="array" ref="CC150">CC17-SUM(_xlfn._xlws.FILTER(_xlfn._xlws.FILTER(dataSummaryPL,dataSummaryPLSections=$E150),(startDates&gt;=CC$7)*(endDates&lt;=CC$8)))</f>
        <v>0</v>
      </c>
      <c r="CD150" s="153" cm="1">
        <f t="array" ref="CD150">CD17-SUM(_xlfn._xlws.FILTER(_xlfn._xlws.FILTER(dataSummaryPL,dataSummaryPLSections=$E150),(startDates&gt;=CD$7)*(endDates&lt;=CD$8)))</f>
        <v>0</v>
      </c>
      <c r="CE150" s="153" cm="1">
        <f t="array" ref="CE150">CE17-SUM(_xlfn._xlws.FILTER(_xlfn._xlws.FILTER(dataSummaryPL,dataSummaryPLSections=$E150),(startDates&gt;=CE$7)*(endDates&lt;=CE$8)))</f>
        <v>0</v>
      </c>
      <c r="CF150" s="153" cm="1">
        <f t="array" ref="CF150">CF17-SUM(_xlfn._xlws.FILTER(_xlfn._xlws.FILTER(dataSummaryPL,dataSummaryPLSections=$E150),(startDates&gt;=CF$7)*(endDates&lt;=CF$8)))</f>
        <v>0</v>
      </c>
      <c r="CG150" s="153" cm="1">
        <f t="array" ref="CG150">CG17-SUM(_xlfn._xlws.FILTER(_xlfn._xlws.FILTER(dataSummaryPL,dataSummaryPLSections=$E150),(startDates&gt;=CG$7)*(endDates&lt;=CG$8)))</f>
        <v>0</v>
      </c>
    </row>
    <row r="151" spans="2:85" s="151" customFormat="1" ht="15" hidden="1" customHeight="1" outlineLevel="2">
      <c r="C151" s="151" t="s">
        <v>101</v>
      </c>
      <c r="D151" s="156"/>
      <c r="E151" s="155" t="s">
        <v>101</v>
      </c>
      <c r="F151" s="156"/>
      <c r="G151" s="156"/>
      <c r="J151" s="153" cm="1">
        <f t="array" ref="J151">J23-SUM(_xlfn._xlws.FILTER(_xlfn._xlws.FILTER(dataSummaryPL,dataSummaryPLSections=$E151),(startDates&gt;=J$7)*(endDates&lt;=J$8)))</f>
        <v>0</v>
      </c>
      <c r="K151" s="153" cm="1">
        <f t="array" ref="K151">K23-SUM(_xlfn._xlws.FILTER(_xlfn._xlws.FILTER(dataSummaryPL,dataSummaryPLSections=$E151),(startDates&gt;=K$7)*(endDates&lt;=K$8)))</f>
        <v>0</v>
      </c>
      <c r="N151" s="153" cm="1">
        <f t="array" ref="N151">N23-SUM(_xlfn._xlws.FILTER(_xlfn._xlws.FILTER(dataSummaryPL,dataSummaryPLSections=$E151),(startDates&gt;=N$7)*(endDates&lt;=N$8)))</f>
        <v>0</v>
      </c>
      <c r="O151" s="153" cm="1">
        <f t="array" ref="O151">O23-SUM(_xlfn._xlws.FILTER(_xlfn._xlws.FILTER(dataSummaryPL,dataSummaryPLSections=$E151),(startDates&gt;=O$7)*(endDates&lt;=O$8)))</f>
        <v>0</v>
      </c>
      <c r="P151" s="153" cm="1">
        <f t="array" ref="P151">P23-SUM(_xlfn._xlws.FILTER(_xlfn._xlws.FILTER(dataSummaryPL,dataSummaryPLSections=$E151),(startDates&gt;=P$7)*(endDates&lt;=P$8)))</f>
        <v>0</v>
      </c>
      <c r="Q151" s="153" cm="1">
        <f t="array" ref="Q151">Q23-SUM(_xlfn._xlws.FILTER(_xlfn._xlws.FILTER(dataSummaryPL,dataSummaryPLSections=$E151),(startDates&gt;=Q$7)*(endDates&lt;=Q$8)))</f>
        <v>0</v>
      </c>
      <c r="T151" s="153" cm="1">
        <f t="array" ref="T151">T23-SUM(_xlfn._xlws.FILTER(_xlfn._xlws.FILTER(dataSummaryPL,dataSummaryPLSections=$E151),(startDates&gt;=T$7)*(endDates&lt;=T$8)))</f>
        <v>0</v>
      </c>
      <c r="U151" s="153" cm="1">
        <f t="array" ref="U151">U23-SUM(_xlfn._xlws.FILTER(_xlfn._xlws.FILTER(dataSummaryPL,dataSummaryPLSections=$E151),(startDates&gt;=U$7)*(endDates&lt;=U$8)))</f>
        <v>0</v>
      </c>
      <c r="V151" s="153" cm="1">
        <f t="array" ref="V151">V23-SUM(_xlfn._xlws.FILTER(_xlfn._xlws.FILTER(dataSummaryPL,dataSummaryPLSections=$E151),(startDates&gt;=V$7)*(endDates&lt;=V$8)))</f>
        <v>0</v>
      </c>
      <c r="W151" s="153" cm="1">
        <f t="array" ref="W151">W23-SUM(_xlfn._xlws.FILTER(_xlfn._xlws.FILTER(dataSummaryPL,dataSummaryPLSections=$E151),(startDates&gt;=W$7)*(endDates&lt;=W$8)))</f>
        <v>0</v>
      </c>
      <c r="X151" s="153" cm="1">
        <f t="array" ref="X151">X23-SUM(_xlfn._xlws.FILTER(_xlfn._xlws.FILTER(dataSummaryPL,dataSummaryPLSections=$E151),(startDates&gt;=X$7)*(endDates&lt;=X$8)))</f>
        <v>0</v>
      </c>
      <c r="Y151" s="153" cm="1">
        <f t="array" ref="Y151">Y23-SUM(_xlfn._xlws.FILTER(_xlfn._xlws.FILTER(dataSummaryPL,dataSummaryPLSections=$E151),(startDates&gt;=Y$7)*(endDates&lt;=Y$8)))</f>
        <v>0</v>
      </c>
      <c r="Z151" s="153" cm="1">
        <f t="array" ref="Z151">Z23-SUM(_xlfn._xlws.FILTER(_xlfn._xlws.FILTER(dataSummaryPL,dataSummaryPLSections=$E151),(startDates&gt;=Z$7)*(endDates&lt;=Z$8)))</f>
        <v>0</v>
      </c>
      <c r="AA151" s="153" cm="1">
        <f t="array" ref="AA151">AA23-SUM(_xlfn._xlws.FILTER(_xlfn._xlws.FILTER(dataSummaryPL,dataSummaryPLSections=$E151),(startDates&gt;=AA$7)*(endDates&lt;=AA$8)))</f>
        <v>0</v>
      </c>
      <c r="AB151" s="153" cm="1">
        <f t="array" ref="AB151">AB23-SUM(_xlfn._xlws.FILTER(_xlfn._xlws.FILTER(dataSummaryPL,dataSummaryPLSections=$E151),(startDates&gt;=AB$7)*(endDates&lt;=AB$8)))</f>
        <v>0</v>
      </c>
      <c r="AC151" s="153" cm="1">
        <f t="array" ref="AC151">AC23-SUM(_xlfn._xlws.FILTER(_xlfn._xlws.FILTER(dataSummaryPL,dataSummaryPLSections=$E151),(startDates&gt;=AC$7)*(endDates&lt;=AC$8)))</f>
        <v>0</v>
      </c>
      <c r="AD151" s="153" cm="1">
        <f t="array" ref="AD151">AD23-SUM(_xlfn._xlws.FILTER(_xlfn._xlws.FILTER(dataSummaryPL,dataSummaryPLSections=$E151),(startDates&gt;=AD$7)*(endDates&lt;=AD$8)))</f>
        <v>0</v>
      </c>
      <c r="AE151" s="153" cm="1">
        <f t="array" ref="AE151">AE23-SUM(_xlfn._xlws.FILTER(_xlfn._xlws.FILTER(dataSummaryPL,dataSummaryPLSections=$E151),(startDates&gt;=AE$7)*(endDates&lt;=AE$8)))</f>
        <v>0</v>
      </c>
      <c r="AF151" s="153" cm="1">
        <f t="array" ref="AF151">AF23-SUM(_xlfn._xlws.FILTER(_xlfn._xlws.FILTER(dataSummaryPL,dataSummaryPLSections=$E151),(startDates&gt;=AF$7)*(endDates&lt;=AF$8)))</f>
        <v>0</v>
      </c>
      <c r="AG151" s="153" cm="1">
        <f t="array" ref="AG151">AG23-SUM(_xlfn._xlws.FILTER(_xlfn._xlws.FILTER(dataSummaryPL,dataSummaryPLSections=$E151),(startDates&gt;=AG$7)*(endDates&lt;=AG$8)))</f>
        <v>0</v>
      </c>
      <c r="AH151" s="153" cm="1">
        <f t="array" ref="AH151">AH23-SUM(_xlfn._xlws.FILTER(_xlfn._xlws.FILTER(dataSummaryPL,dataSummaryPLSections=$E151),(startDates&gt;=AH$7)*(endDates&lt;=AH$8)))</f>
        <v>0</v>
      </c>
      <c r="AI151" s="153" cm="1">
        <f t="array" ref="AI151">AI23-SUM(_xlfn._xlws.FILTER(_xlfn._xlws.FILTER(dataSummaryPL,dataSummaryPLSections=$E151),(startDates&gt;=AI$7)*(endDates&lt;=AI$8)))</f>
        <v>0</v>
      </c>
      <c r="AL151" s="153" cm="1">
        <f t="array" ref="AL151">AL23-SUM(_xlfn._xlws.FILTER(_xlfn._xlws.FILTER(dataSummaryPL,dataSummaryPLSections=$E151),(startDates&gt;=AL$7)*(endDates&lt;=AL$8)))</f>
        <v>0</v>
      </c>
      <c r="AM151" s="153" cm="1">
        <f t="array" ref="AM151">AM23-SUM(_xlfn._xlws.FILTER(_xlfn._xlws.FILTER(dataSummaryPL,dataSummaryPLSections=$E151),(startDates&gt;=AM$7)*(endDates&lt;=AM$8)))</f>
        <v>0</v>
      </c>
      <c r="AN151" s="153" cm="1">
        <f t="array" ref="AN151">AN23-SUM(_xlfn._xlws.FILTER(_xlfn._xlws.FILTER(dataSummaryPL,dataSummaryPLSections=$E151),(startDates&gt;=AN$7)*(endDates&lt;=AN$8)))</f>
        <v>0</v>
      </c>
      <c r="AO151" s="153" cm="1">
        <f t="array" ref="AO151">AO23-SUM(_xlfn._xlws.FILTER(_xlfn._xlws.FILTER(dataSummaryPL,dataSummaryPLSections=$E151),(startDates&gt;=AO$7)*(endDates&lt;=AO$8)))</f>
        <v>0</v>
      </c>
      <c r="AP151" s="153" cm="1">
        <f t="array" ref="AP151">AP23-SUM(_xlfn._xlws.FILTER(_xlfn._xlws.FILTER(dataSummaryPL,dataSummaryPLSections=$E151),(startDates&gt;=AP$7)*(endDates&lt;=AP$8)))</f>
        <v>0</v>
      </c>
      <c r="AQ151" s="153" cm="1">
        <f t="array" ref="AQ151">AQ23-SUM(_xlfn._xlws.FILTER(_xlfn._xlws.FILTER(dataSummaryPL,dataSummaryPLSections=$E151),(startDates&gt;=AQ$7)*(endDates&lt;=AQ$8)))</f>
        <v>0</v>
      </c>
      <c r="AR151" s="153" cm="1">
        <f t="array" ref="AR151">AR23-SUM(_xlfn._xlws.FILTER(_xlfn._xlws.FILTER(dataSummaryPL,dataSummaryPLSections=$E151),(startDates&gt;=AR$7)*(endDates&lt;=AR$8)))</f>
        <v>0</v>
      </c>
      <c r="AS151" s="153" cm="1">
        <f t="array" ref="AS151">AS23-SUM(_xlfn._xlws.FILTER(_xlfn._xlws.FILTER(dataSummaryPL,dataSummaryPLSections=$E151),(startDates&gt;=AS$7)*(endDates&lt;=AS$8)))</f>
        <v>0</v>
      </c>
      <c r="AT151" s="153" cm="1">
        <f t="array" ref="AT151">AT23-SUM(_xlfn._xlws.FILTER(_xlfn._xlws.FILTER(dataSummaryPL,dataSummaryPLSections=$E151),(startDates&gt;=AT$7)*(endDates&lt;=AT$8)))</f>
        <v>0</v>
      </c>
      <c r="AU151" s="153" cm="1">
        <f t="array" ref="AU151">AU23-SUM(_xlfn._xlws.FILTER(_xlfn._xlws.FILTER(dataSummaryPL,dataSummaryPLSections=$E151),(startDates&gt;=AU$7)*(endDates&lt;=AU$8)))</f>
        <v>0</v>
      </c>
      <c r="AV151" s="153" cm="1">
        <f t="array" ref="AV151">AV23-SUM(_xlfn._xlws.FILTER(_xlfn._xlws.FILTER(dataSummaryPL,dataSummaryPLSections=$E151),(startDates&gt;=AV$7)*(endDates&lt;=AV$8)))</f>
        <v>0</v>
      </c>
      <c r="AW151" s="153" cm="1">
        <f t="array" ref="AW151">AW23-SUM(_xlfn._xlws.FILTER(_xlfn._xlws.FILTER(dataSummaryPL,dataSummaryPLSections=$E151),(startDates&gt;=AW$7)*(endDates&lt;=AW$8)))</f>
        <v>0</v>
      </c>
      <c r="AX151" s="153" cm="1">
        <f t="array" ref="AX151">AX23-SUM(_xlfn._xlws.FILTER(_xlfn._xlws.FILTER(dataSummaryPL,dataSummaryPLSections=$E151),(startDates&gt;=AX$7)*(endDates&lt;=AX$8)))</f>
        <v>0</v>
      </c>
      <c r="AY151" s="153" cm="1">
        <f t="array" ref="AY151">AY23-SUM(_xlfn._xlws.FILTER(_xlfn._xlws.FILTER(dataSummaryPL,dataSummaryPLSections=$E151),(startDates&gt;=AY$7)*(endDates&lt;=AY$8)))</f>
        <v>0</v>
      </c>
      <c r="AZ151" s="153" cm="1">
        <f t="array" ref="AZ151">AZ23-SUM(_xlfn._xlws.FILTER(_xlfn._xlws.FILTER(dataSummaryPL,dataSummaryPLSections=$E151),(startDates&gt;=AZ$7)*(endDates&lt;=AZ$8)))</f>
        <v>0</v>
      </c>
      <c r="BA151" s="153" cm="1">
        <f t="array" ref="BA151">BA23-SUM(_xlfn._xlws.FILTER(_xlfn._xlws.FILTER(dataSummaryPL,dataSummaryPLSections=$E151),(startDates&gt;=BA$7)*(endDates&lt;=BA$8)))</f>
        <v>0</v>
      </c>
      <c r="BB151" s="153" cm="1">
        <f t="array" ref="BB151">BB23-SUM(_xlfn._xlws.FILTER(_xlfn._xlws.FILTER(dataSummaryPL,dataSummaryPLSections=$E151),(startDates&gt;=BB$7)*(endDates&lt;=BB$8)))</f>
        <v>0</v>
      </c>
      <c r="BC151" s="153" cm="1">
        <f t="array" ref="BC151">BC23-SUM(_xlfn._xlws.FILTER(_xlfn._xlws.FILTER(dataSummaryPL,dataSummaryPLSections=$E151),(startDates&gt;=BC$7)*(endDates&lt;=BC$8)))</f>
        <v>0</v>
      </c>
      <c r="BD151" s="153" cm="1">
        <f t="array" ref="BD151">BD23-SUM(_xlfn._xlws.FILTER(_xlfn._xlws.FILTER(dataSummaryPL,dataSummaryPLSections=$E151),(startDates&gt;=BD$7)*(endDates&lt;=BD$8)))</f>
        <v>0</v>
      </c>
      <c r="BE151" s="153" cm="1">
        <f t="array" ref="BE151">BE23-SUM(_xlfn._xlws.FILTER(_xlfn._xlws.FILTER(dataSummaryPL,dataSummaryPLSections=$E151),(startDates&gt;=BE$7)*(endDates&lt;=BE$8)))</f>
        <v>0</v>
      </c>
      <c r="BF151" s="153" cm="1">
        <f t="array" ref="BF151">BF23-SUM(_xlfn._xlws.FILTER(_xlfn._xlws.FILTER(dataSummaryPL,dataSummaryPLSections=$E151),(startDates&gt;=BF$7)*(endDates&lt;=BF$8)))</f>
        <v>0</v>
      </c>
      <c r="BG151" s="153" cm="1">
        <f t="array" ref="BG151">BG23-SUM(_xlfn._xlws.FILTER(_xlfn._xlws.FILTER(dataSummaryPL,dataSummaryPLSections=$E151),(startDates&gt;=BG$7)*(endDates&lt;=BG$8)))</f>
        <v>0</v>
      </c>
      <c r="BH151" s="153" cm="1">
        <f t="array" ref="BH151">BH23-SUM(_xlfn._xlws.FILTER(_xlfn._xlws.FILTER(dataSummaryPL,dataSummaryPLSections=$E151),(startDates&gt;=BH$7)*(endDates&lt;=BH$8)))</f>
        <v>0</v>
      </c>
      <c r="BI151" s="153" cm="1">
        <f t="array" ref="BI151">BI23-SUM(_xlfn._xlws.FILTER(_xlfn._xlws.FILTER(dataSummaryPL,dataSummaryPLSections=$E151),(startDates&gt;=BI$7)*(endDates&lt;=BI$8)))</f>
        <v>0</v>
      </c>
      <c r="BJ151" s="153" cm="1">
        <f t="array" ref="BJ151">BJ23-SUM(_xlfn._xlws.FILTER(_xlfn._xlws.FILTER(dataSummaryPL,dataSummaryPLSections=$E151),(startDates&gt;=BJ$7)*(endDates&lt;=BJ$8)))</f>
        <v>0</v>
      </c>
      <c r="BK151" s="153" cm="1">
        <f t="array" ref="BK151">BK23-SUM(_xlfn._xlws.FILTER(_xlfn._xlws.FILTER(dataSummaryPL,dataSummaryPLSections=$E151),(startDates&gt;=BK$7)*(endDates&lt;=BK$8)))</f>
        <v>0</v>
      </c>
      <c r="BL151" s="153" cm="1">
        <f t="array" ref="BL151">BL23-SUM(_xlfn._xlws.FILTER(_xlfn._xlws.FILTER(dataSummaryPL,dataSummaryPLSections=$E151),(startDates&gt;=BL$7)*(endDates&lt;=BL$8)))</f>
        <v>0</v>
      </c>
      <c r="BM151" s="153" cm="1">
        <f t="array" ref="BM151">BM23-SUM(_xlfn._xlws.FILTER(_xlfn._xlws.FILTER(dataSummaryPL,dataSummaryPLSections=$E151),(startDates&gt;=BM$7)*(endDates&lt;=BM$8)))</f>
        <v>0</v>
      </c>
      <c r="BN151" s="153" cm="1">
        <f t="array" ref="BN151">BN23-SUM(_xlfn._xlws.FILTER(_xlfn._xlws.FILTER(dataSummaryPL,dataSummaryPLSections=$E151),(startDates&gt;=BN$7)*(endDates&lt;=BN$8)))</f>
        <v>0</v>
      </c>
      <c r="BO151" s="153" cm="1">
        <f t="array" ref="BO151">BO23-SUM(_xlfn._xlws.FILTER(_xlfn._xlws.FILTER(dataSummaryPL,dataSummaryPLSections=$E151),(startDates&gt;=BO$7)*(endDates&lt;=BO$8)))</f>
        <v>0</v>
      </c>
      <c r="BP151" s="153" cm="1">
        <f t="array" ref="BP151">BP23-SUM(_xlfn._xlws.FILTER(_xlfn._xlws.FILTER(dataSummaryPL,dataSummaryPLSections=$E151),(startDates&gt;=BP$7)*(endDates&lt;=BP$8)))</f>
        <v>0</v>
      </c>
      <c r="BQ151" s="153" cm="1">
        <f t="array" ref="BQ151">BQ23-SUM(_xlfn._xlws.FILTER(_xlfn._xlws.FILTER(dataSummaryPL,dataSummaryPLSections=$E151),(startDates&gt;=BQ$7)*(endDates&lt;=BQ$8)))</f>
        <v>0</v>
      </c>
      <c r="BR151" s="153" cm="1">
        <f t="array" ref="BR151">BR23-SUM(_xlfn._xlws.FILTER(_xlfn._xlws.FILTER(dataSummaryPL,dataSummaryPLSections=$E151),(startDates&gt;=BR$7)*(endDates&lt;=BR$8)))</f>
        <v>0</v>
      </c>
      <c r="BS151" s="153" cm="1">
        <f t="array" ref="BS151">BS23-SUM(_xlfn._xlws.FILTER(_xlfn._xlws.FILTER(dataSummaryPL,dataSummaryPLSections=$E151),(startDates&gt;=BS$7)*(endDates&lt;=BS$8)))</f>
        <v>0</v>
      </c>
      <c r="BT151" s="153" cm="1">
        <f t="array" ref="BT151">BT23-SUM(_xlfn._xlws.FILTER(_xlfn._xlws.FILTER(dataSummaryPL,dataSummaryPLSections=$E151),(startDates&gt;=BT$7)*(endDates&lt;=BT$8)))</f>
        <v>0</v>
      </c>
      <c r="BU151" s="153" cm="1">
        <f t="array" ref="BU151">BU23-SUM(_xlfn._xlws.FILTER(_xlfn._xlws.FILTER(dataSummaryPL,dataSummaryPLSections=$E151),(startDates&gt;=BU$7)*(endDates&lt;=BU$8)))</f>
        <v>0</v>
      </c>
      <c r="BV151" s="153" cm="1">
        <f t="array" ref="BV151">BV23-SUM(_xlfn._xlws.FILTER(_xlfn._xlws.FILTER(dataSummaryPL,dataSummaryPLSections=$E151),(startDates&gt;=BV$7)*(endDates&lt;=BV$8)))</f>
        <v>0</v>
      </c>
      <c r="BW151" s="153" cm="1">
        <f t="array" ref="BW151">BW23-SUM(_xlfn._xlws.FILTER(_xlfn._xlws.FILTER(dataSummaryPL,dataSummaryPLSections=$E151),(startDates&gt;=BW$7)*(endDates&lt;=BW$8)))</f>
        <v>0</v>
      </c>
      <c r="BX151" s="153" cm="1">
        <f t="array" ref="BX151">BX23-SUM(_xlfn._xlws.FILTER(_xlfn._xlws.FILTER(dataSummaryPL,dataSummaryPLSections=$E151),(startDates&gt;=BX$7)*(endDates&lt;=BX$8)))</f>
        <v>0</v>
      </c>
      <c r="BY151" s="153" cm="1">
        <f t="array" ref="BY151">BY23-SUM(_xlfn._xlws.FILTER(_xlfn._xlws.FILTER(dataSummaryPL,dataSummaryPLSections=$E151),(startDates&gt;=BY$7)*(endDates&lt;=BY$8)))</f>
        <v>0</v>
      </c>
      <c r="BZ151" s="153" cm="1">
        <f t="array" ref="BZ151">BZ23-SUM(_xlfn._xlws.FILTER(_xlfn._xlws.FILTER(dataSummaryPL,dataSummaryPLSections=$E151),(startDates&gt;=BZ$7)*(endDates&lt;=BZ$8)))</f>
        <v>0</v>
      </c>
      <c r="CA151" s="153" cm="1">
        <f t="array" ref="CA151">CA23-SUM(_xlfn._xlws.FILTER(_xlfn._xlws.FILTER(dataSummaryPL,dataSummaryPLSections=$E151),(startDates&gt;=CA$7)*(endDates&lt;=CA$8)))</f>
        <v>0</v>
      </c>
      <c r="CB151" s="153" cm="1">
        <f t="array" ref="CB151">CB23-SUM(_xlfn._xlws.FILTER(_xlfn._xlws.FILTER(dataSummaryPL,dataSummaryPLSections=$E151),(startDates&gt;=CB$7)*(endDates&lt;=CB$8)))</f>
        <v>0</v>
      </c>
      <c r="CC151" s="153" cm="1">
        <f t="array" ref="CC151">CC23-SUM(_xlfn._xlws.FILTER(_xlfn._xlws.FILTER(dataSummaryPL,dataSummaryPLSections=$E151),(startDates&gt;=CC$7)*(endDates&lt;=CC$8)))</f>
        <v>0</v>
      </c>
      <c r="CD151" s="153" cm="1">
        <f t="array" ref="CD151">CD23-SUM(_xlfn._xlws.FILTER(_xlfn._xlws.FILTER(dataSummaryPL,dataSummaryPLSections=$E151),(startDates&gt;=CD$7)*(endDates&lt;=CD$8)))</f>
        <v>0</v>
      </c>
      <c r="CE151" s="153" cm="1">
        <f t="array" ref="CE151">CE23-SUM(_xlfn._xlws.FILTER(_xlfn._xlws.FILTER(dataSummaryPL,dataSummaryPLSections=$E151),(startDates&gt;=CE$7)*(endDates&lt;=CE$8)))</f>
        <v>0</v>
      </c>
      <c r="CF151" s="153" cm="1">
        <f t="array" ref="CF151">CF23-SUM(_xlfn._xlws.FILTER(_xlfn._xlws.FILTER(dataSummaryPL,dataSummaryPLSections=$E151),(startDates&gt;=CF$7)*(endDates&lt;=CF$8)))</f>
        <v>0</v>
      </c>
      <c r="CG151" s="153" cm="1">
        <f t="array" ref="CG151">CG23-SUM(_xlfn._xlws.FILTER(_xlfn._xlws.FILTER(dataSummaryPL,dataSummaryPLSections=$E151),(startDates&gt;=CG$7)*(endDates&lt;=CG$8)))</f>
        <v>0</v>
      </c>
    </row>
    <row r="152" spans="2:85" s="151" customFormat="1" ht="15" hidden="1" customHeight="1" outlineLevel="2">
      <c r="C152" s="151" t="s">
        <v>130</v>
      </c>
      <c r="D152" s="156"/>
      <c r="E152" s="155" t="s">
        <v>130</v>
      </c>
      <c r="F152" s="156"/>
      <c r="G152" s="156"/>
      <c r="J152" s="153" cm="1">
        <f t="array" ref="J152">J33-SUM(_xlfn._xlws.FILTER(_xlfn._xlws.FILTER(dataSummaryPL,dataSummaryPLSections=$E152),(startDates&gt;=J$7)*(endDates&lt;=J$8)))</f>
        <v>0</v>
      </c>
      <c r="K152" s="153" cm="1">
        <f t="array" ref="K152">K33-SUM(_xlfn._xlws.FILTER(_xlfn._xlws.FILTER(dataSummaryPL,dataSummaryPLSections=$E152),(startDates&gt;=K$7)*(endDates&lt;=K$8)))</f>
        <v>0</v>
      </c>
      <c r="N152" s="153" cm="1">
        <f t="array" ref="N152">N33-SUM(_xlfn._xlws.FILTER(_xlfn._xlws.FILTER(dataSummaryPL,dataSummaryPLSections=$E152),(startDates&gt;=N$7)*(endDates&lt;=N$8)))</f>
        <v>0</v>
      </c>
      <c r="O152" s="153" cm="1">
        <f t="array" ref="O152">O33-SUM(_xlfn._xlws.FILTER(_xlfn._xlws.FILTER(dataSummaryPL,dataSummaryPLSections=$E152),(startDates&gt;=O$7)*(endDates&lt;=O$8)))</f>
        <v>0</v>
      </c>
      <c r="P152" s="153" cm="1">
        <f t="array" ref="P152">P33-SUM(_xlfn._xlws.FILTER(_xlfn._xlws.FILTER(dataSummaryPL,dataSummaryPLSections=$E152),(startDates&gt;=P$7)*(endDates&lt;=P$8)))</f>
        <v>0</v>
      </c>
      <c r="Q152" s="153" cm="1">
        <f t="array" ref="Q152">Q33-SUM(_xlfn._xlws.FILTER(_xlfn._xlws.FILTER(dataSummaryPL,dataSummaryPLSections=$E152),(startDates&gt;=Q$7)*(endDates&lt;=Q$8)))</f>
        <v>0</v>
      </c>
      <c r="T152" s="153" cm="1">
        <f t="array" ref="T152">T33-SUM(_xlfn._xlws.FILTER(_xlfn._xlws.FILTER(dataSummaryPL,dataSummaryPLSections=$E152),(startDates&gt;=T$7)*(endDates&lt;=T$8)))</f>
        <v>0</v>
      </c>
      <c r="U152" s="153" cm="1">
        <f t="array" ref="U152">U33-SUM(_xlfn._xlws.FILTER(_xlfn._xlws.FILTER(dataSummaryPL,dataSummaryPLSections=$E152),(startDates&gt;=U$7)*(endDates&lt;=U$8)))</f>
        <v>0</v>
      </c>
      <c r="V152" s="153" cm="1">
        <f t="array" ref="V152">V33-SUM(_xlfn._xlws.FILTER(_xlfn._xlws.FILTER(dataSummaryPL,dataSummaryPLSections=$E152),(startDates&gt;=V$7)*(endDates&lt;=V$8)))</f>
        <v>0</v>
      </c>
      <c r="W152" s="153" cm="1">
        <f t="array" ref="W152">W33-SUM(_xlfn._xlws.FILTER(_xlfn._xlws.FILTER(dataSummaryPL,dataSummaryPLSections=$E152),(startDates&gt;=W$7)*(endDates&lt;=W$8)))</f>
        <v>0</v>
      </c>
      <c r="X152" s="153" cm="1">
        <f t="array" ref="X152">X33-SUM(_xlfn._xlws.FILTER(_xlfn._xlws.FILTER(dataSummaryPL,dataSummaryPLSections=$E152),(startDates&gt;=X$7)*(endDates&lt;=X$8)))</f>
        <v>0</v>
      </c>
      <c r="Y152" s="153" cm="1">
        <f t="array" ref="Y152">Y33-SUM(_xlfn._xlws.FILTER(_xlfn._xlws.FILTER(dataSummaryPL,dataSummaryPLSections=$E152),(startDates&gt;=Y$7)*(endDates&lt;=Y$8)))</f>
        <v>0</v>
      </c>
      <c r="Z152" s="153" cm="1">
        <f t="array" ref="Z152">Z33-SUM(_xlfn._xlws.FILTER(_xlfn._xlws.FILTER(dataSummaryPL,dataSummaryPLSections=$E152),(startDates&gt;=Z$7)*(endDates&lt;=Z$8)))</f>
        <v>0</v>
      </c>
      <c r="AA152" s="153" cm="1">
        <f t="array" ref="AA152">AA33-SUM(_xlfn._xlws.FILTER(_xlfn._xlws.FILTER(dataSummaryPL,dataSummaryPLSections=$E152),(startDates&gt;=AA$7)*(endDates&lt;=AA$8)))</f>
        <v>0</v>
      </c>
      <c r="AB152" s="153" cm="1">
        <f t="array" ref="AB152">AB33-SUM(_xlfn._xlws.FILTER(_xlfn._xlws.FILTER(dataSummaryPL,dataSummaryPLSections=$E152),(startDates&gt;=AB$7)*(endDates&lt;=AB$8)))</f>
        <v>0</v>
      </c>
      <c r="AC152" s="153" cm="1">
        <f t="array" ref="AC152">AC33-SUM(_xlfn._xlws.FILTER(_xlfn._xlws.FILTER(dataSummaryPL,dataSummaryPLSections=$E152),(startDates&gt;=AC$7)*(endDates&lt;=AC$8)))</f>
        <v>0</v>
      </c>
      <c r="AD152" s="153" cm="1">
        <f t="array" ref="AD152">AD33-SUM(_xlfn._xlws.FILTER(_xlfn._xlws.FILTER(dataSummaryPL,dataSummaryPLSections=$E152),(startDates&gt;=AD$7)*(endDates&lt;=AD$8)))</f>
        <v>0</v>
      </c>
      <c r="AE152" s="153" cm="1">
        <f t="array" ref="AE152">AE33-SUM(_xlfn._xlws.FILTER(_xlfn._xlws.FILTER(dataSummaryPL,dataSummaryPLSections=$E152),(startDates&gt;=AE$7)*(endDates&lt;=AE$8)))</f>
        <v>0</v>
      </c>
      <c r="AF152" s="153" cm="1">
        <f t="array" ref="AF152">AF33-SUM(_xlfn._xlws.FILTER(_xlfn._xlws.FILTER(dataSummaryPL,dataSummaryPLSections=$E152),(startDates&gt;=AF$7)*(endDates&lt;=AF$8)))</f>
        <v>0</v>
      </c>
      <c r="AG152" s="153" cm="1">
        <f t="array" ref="AG152">AG33-SUM(_xlfn._xlws.FILTER(_xlfn._xlws.FILTER(dataSummaryPL,dataSummaryPLSections=$E152),(startDates&gt;=AG$7)*(endDates&lt;=AG$8)))</f>
        <v>0</v>
      </c>
      <c r="AH152" s="153" cm="1">
        <f t="array" ref="AH152">AH33-SUM(_xlfn._xlws.FILTER(_xlfn._xlws.FILTER(dataSummaryPL,dataSummaryPLSections=$E152),(startDates&gt;=AH$7)*(endDates&lt;=AH$8)))</f>
        <v>0</v>
      </c>
      <c r="AI152" s="153" cm="1">
        <f t="array" ref="AI152">AI33-SUM(_xlfn._xlws.FILTER(_xlfn._xlws.FILTER(dataSummaryPL,dataSummaryPLSections=$E152),(startDates&gt;=AI$7)*(endDates&lt;=AI$8)))</f>
        <v>0</v>
      </c>
      <c r="AL152" s="153" cm="1">
        <f t="array" ref="AL152">AL33-SUM(_xlfn._xlws.FILTER(_xlfn._xlws.FILTER(dataSummaryPL,dataSummaryPLSections=$E152),(startDates&gt;=AL$7)*(endDates&lt;=AL$8)))</f>
        <v>0</v>
      </c>
      <c r="AM152" s="153" cm="1">
        <f t="array" ref="AM152">AM33-SUM(_xlfn._xlws.FILTER(_xlfn._xlws.FILTER(dataSummaryPL,dataSummaryPLSections=$E152),(startDates&gt;=AM$7)*(endDates&lt;=AM$8)))</f>
        <v>0</v>
      </c>
      <c r="AN152" s="153" cm="1">
        <f t="array" ref="AN152">AN33-SUM(_xlfn._xlws.FILTER(_xlfn._xlws.FILTER(dataSummaryPL,dataSummaryPLSections=$E152),(startDates&gt;=AN$7)*(endDates&lt;=AN$8)))</f>
        <v>0</v>
      </c>
      <c r="AO152" s="153" cm="1">
        <f t="array" ref="AO152">AO33-SUM(_xlfn._xlws.FILTER(_xlfn._xlws.FILTER(dataSummaryPL,dataSummaryPLSections=$E152),(startDates&gt;=AO$7)*(endDates&lt;=AO$8)))</f>
        <v>0</v>
      </c>
      <c r="AP152" s="153" cm="1">
        <f t="array" ref="AP152">AP33-SUM(_xlfn._xlws.FILTER(_xlfn._xlws.FILTER(dataSummaryPL,dataSummaryPLSections=$E152),(startDates&gt;=AP$7)*(endDates&lt;=AP$8)))</f>
        <v>0</v>
      </c>
      <c r="AQ152" s="153" cm="1">
        <f t="array" ref="AQ152">AQ33-SUM(_xlfn._xlws.FILTER(_xlfn._xlws.FILTER(dataSummaryPL,dataSummaryPLSections=$E152),(startDates&gt;=AQ$7)*(endDates&lt;=AQ$8)))</f>
        <v>0</v>
      </c>
      <c r="AR152" s="153" cm="1">
        <f t="array" ref="AR152">AR33-SUM(_xlfn._xlws.FILTER(_xlfn._xlws.FILTER(dataSummaryPL,dataSummaryPLSections=$E152),(startDates&gt;=AR$7)*(endDates&lt;=AR$8)))</f>
        <v>0</v>
      </c>
      <c r="AS152" s="153" cm="1">
        <f t="array" ref="AS152">AS33-SUM(_xlfn._xlws.FILTER(_xlfn._xlws.FILTER(dataSummaryPL,dataSummaryPLSections=$E152),(startDates&gt;=AS$7)*(endDates&lt;=AS$8)))</f>
        <v>0</v>
      </c>
      <c r="AT152" s="153" cm="1">
        <f t="array" ref="AT152">AT33-SUM(_xlfn._xlws.FILTER(_xlfn._xlws.FILTER(dataSummaryPL,dataSummaryPLSections=$E152),(startDates&gt;=AT$7)*(endDates&lt;=AT$8)))</f>
        <v>0</v>
      </c>
      <c r="AU152" s="153" cm="1">
        <f t="array" ref="AU152">AU33-SUM(_xlfn._xlws.FILTER(_xlfn._xlws.FILTER(dataSummaryPL,dataSummaryPLSections=$E152),(startDates&gt;=AU$7)*(endDates&lt;=AU$8)))</f>
        <v>0</v>
      </c>
      <c r="AV152" s="153" cm="1">
        <f t="array" ref="AV152">AV33-SUM(_xlfn._xlws.FILTER(_xlfn._xlws.FILTER(dataSummaryPL,dataSummaryPLSections=$E152),(startDates&gt;=AV$7)*(endDates&lt;=AV$8)))</f>
        <v>0</v>
      </c>
      <c r="AW152" s="153" cm="1">
        <f t="array" ref="AW152">AW33-SUM(_xlfn._xlws.FILTER(_xlfn._xlws.FILTER(dataSummaryPL,dataSummaryPLSections=$E152),(startDates&gt;=AW$7)*(endDates&lt;=AW$8)))</f>
        <v>0</v>
      </c>
      <c r="AX152" s="153" cm="1">
        <f t="array" ref="AX152">AX33-SUM(_xlfn._xlws.FILTER(_xlfn._xlws.FILTER(dataSummaryPL,dataSummaryPLSections=$E152),(startDates&gt;=AX$7)*(endDates&lt;=AX$8)))</f>
        <v>0</v>
      </c>
      <c r="AY152" s="153" cm="1">
        <f t="array" ref="AY152">AY33-SUM(_xlfn._xlws.FILTER(_xlfn._xlws.FILTER(dataSummaryPL,dataSummaryPLSections=$E152),(startDates&gt;=AY$7)*(endDates&lt;=AY$8)))</f>
        <v>0</v>
      </c>
      <c r="AZ152" s="153" cm="1">
        <f t="array" ref="AZ152">AZ33-SUM(_xlfn._xlws.FILTER(_xlfn._xlws.FILTER(dataSummaryPL,dataSummaryPLSections=$E152),(startDates&gt;=AZ$7)*(endDates&lt;=AZ$8)))</f>
        <v>0</v>
      </c>
      <c r="BA152" s="153" cm="1">
        <f t="array" ref="BA152">BA33-SUM(_xlfn._xlws.FILTER(_xlfn._xlws.FILTER(dataSummaryPL,dataSummaryPLSections=$E152),(startDates&gt;=BA$7)*(endDates&lt;=BA$8)))</f>
        <v>0</v>
      </c>
      <c r="BB152" s="153" cm="1">
        <f t="array" ref="BB152">BB33-SUM(_xlfn._xlws.FILTER(_xlfn._xlws.FILTER(dataSummaryPL,dataSummaryPLSections=$E152),(startDates&gt;=BB$7)*(endDates&lt;=BB$8)))</f>
        <v>0</v>
      </c>
      <c r="BC152" s="153" cm="1">
        <f t="array" ref="BC152">BC33-SUM(_xlfn._xlws.FILTER(_xlfn._xlws.FILTER(dataSummaryPL,dataSummaryPLSections=$E152),(startDates&gt;=BC$7)*(endDates&lt;=BC$8)))</f>
        <v>0</v>
      </c>
      <c r="BD152" s="153" cm="1">
        <f t="array" ref="BD152">BD33-SUM(_xlfn._xlws.FILTER(_xlfn._xlws.FILTER(dataSummaryPL,dataSummaryPLSections=$E152),(startDates&gt;=BD$7)*(endDates&lt;=BD$8)))</f>
        <v>0</v>
      </c>
      <c r="BE152" s="153" cm="1">
        <f t="array" ref="BE152">BE33-SUM(_xlfn._xlws.FILTER(_xlfn._xlws.FILTER(dataSummaryPL,dataSummaryPLSections=$E152),(startDates&gt;=BE$7)*(endDates&lt;=BE$8)))</f>
        <v>0</v>
      </c>
      <c r="BF152" s="153" cm="1">
        <f t="array" ref="BF152">BF33-SUM(_xlfn._xlws.FILTER(_xlfn._xlws.FILTER(dataSummaryPL,dataSummaryPLSections=$E152),(startDates&gt;=BF$7)*(endDates&lt;=BF$8)))</f>
        <v>0</v>
      </c>
      <c r="BG152" s="153" cm="1">
        <f t="array" ref="BG152">BG33-SUM(_xlfn._xlws.FILTER(_xlfn._xlws.FILTER(dataSummaryPL,dataSummaryPLSections=$E152),(startDates&gt;=BG$7)*(endDates&lt;=BG$8)))</f>
        <v>0</v>
      </c>
      <c r="BH152" s="153" cm="1">
        <f t="array" ref="BH152">BH33-SUM(_xlfn._xlws.FILTER(_xlfn._xlws.FILTER(dataSummaryPL,dataSummaryPLSections=$E152),(startDates&gt;=BH$7)*(endDates&lt;=BH$8)))</f>
        <v>0</v>
      </c>
      <c r="BI152" s="153" cm="1">
        <f t="array" ref="BI152">BI33-SUM(_xlfn._xlws.FILTER(_xlfn._xlws.FILTER(dataSummaryPL,dataSummaryPLSections=$E152),(startDates&gt;=BI$7)*(endDates&lt;=BI$8)))</f>
        <v>0</v>
      </c>
      <c r="BJ152" s="153" cm="1">
        <f t="array" ref="BJ152">BJ33-SUM(_xlfn._xlws.FILTER(_xlfn._xlws.FILTER(dataSummaryPL,dataSummaryPLSections=$E152),(startDates&gt;=BJ$7)*(endDates&lt;=BJ$8)))</f>
        <v>0</v>
      </c>
      <c r="BK152" s="153" cm="1">
        <f t="array" ref="BK152">BK33-SUM(_xlfn._xlws.FILTER(_xlfn._xlws.FILTER(dataSummaryPL,dataSummaryPLSections=$E152),(startDates&gt;=BK$7)*(endDates&lt;=BK$8)))</f>
        <v>0</v>
      </c>
      <c r="BL152" s="153" cm="1">
        <f t="array" ref="BL152">BL33-SUM(_xlfn._xlws.FILTER(_xlfn._xlws.FILTER(dataSummaryPL,dataSummaryPLSections=$E152),(startDates&gt;=BL$7)*(endDates&lt;=BL$8)))</f>
        <v>0</v>
      </c>
      <c r="BM152" s="153" cm="1">
        <f t="array" ref="BM152">BM33-SUM(_xlfn._xlws.FILTER(_xlfn._xlws.FILTER(dataSummaryPL,dataSummaryPLSections=$E152),(startDates&gt;=BM$7)*(endDates&lt;=BM$8)))</f>
        <v>0</v>
      </c>
      <c r="BN152" s="153" cm="1">
        <f t="array" ref="BN152">BN33-SUM(_xlfn._xlws.FILTER(_xlfn._xlws.FILTER(dataSummaryPL,dataSummaryPLSections=$E152),(startDates&gt;=BN$7)*(endDates&lt;=BN$8)))</f>
        <v>0</v>
      </c>
      <c r="BO152" s="153" cm="1">
        <f t="array" ref="BO152">BO33-SUM(_xlfn._xlws.FILTER(_xlfn._xlws.FILTER(dataSummaryPL,dataSummaryPLSections=$E152),(startDates&gt;=BO$7)*(endDates&lt;=BO$8)))</f>
        <v>0</v>
      </c>
      <c r="BP152" s="153" cm="1">
        <f t="array" ref="BP152">BP33-SUM(_xlfn._xlws.FILTER(_xlfn._xlws.FILTER(dataSummaryPL,dataSummaryPLSections=$E152),(startDates&gt;=BP$7)*(endDates&lt;=BP$8)))</f>
        <v>0</v>
      </c>
      <c r="BQ152" s="153" cm="1">
        <f t="array" ref="BQ152">BQ33-SUM(_xlfn._xlws.FILTER(_xlfn._xlws.FILTER(dataSummaryPL,dataSummaryPLSections=$E152),(startDates&gt;=BQ$7)*(endDates&lt;=BQ$8)))</f>
        <v>0</v>
      </c>
      <c r="BR152" s="153" cm="1">
        <f t="array" ref="BR152">BR33-SUM(_xlfn._xlws.FILTER(_xlfn._xlws.FILTER(dataSummaryPL,dataSummaryPLSections=$E152),(startDates&gt;=BR$7)*(endDates&lt;=BR$8)))</f>
        <v>0</v>
      </c>
      <c r="BS152" s="153" cm="1">
        <f t="array" ref="BS152">BS33-SUM(_xlfn._xlws.FILTER(_xlfn._xlws.FILTER(dataSummaryPL,dataSummaryPLSections=$E152),(startDates&gt;=BS$7)*(endDates&lt;=BS$8)))</f>
        <v>0</v>
      </c>
      <c r="BT152" s="153" cm="1">
        <f t="array" ref="BT152">BT33-SUM(_xlfn._xlws.FILTER(_xlfn._xlws.FILTER(dataSummaryPL,dataSummaryPLSections=$E152),(startDates&gt;=BT$7)*(endDates&lt;=BT$8)))</f>
        <v>0</v>
      </c>
      <c r="BU152" s="153" cm="1">
        <f t="array" ref="BU152">BU33-SUM(_xlfn._xlws.FILTER(_xlfn._xlws.FILTER(dataSummaryPL,dataSummaryPLSections=$E152),(startDates&gt;=BU$7)*(endDates&lt;=BU$8)))</f>
        <v>0</v>
      </c>
      <c r="BV152" s="153" cm="1">
        <f t="array" ref="BV152">BV33-SUM(_xlfn._xlws.FILTER(_xlfn._xlws.FILTER(dataSummaryPL,dataSummaryPLSections=$E152),(startDates&gt;=BV$7)*(endDates&lt;=BV$8)))</f>
        <v>0</v>
      </c>
      <c r="BW152" s="153" cm="1">
        <f t="array" ref="BW152">BW33-SUM(_xlfn._xlws.FILTER(_xlfn._xlws.FILTER(dataSummaryPL,dataSummaryPLSections=$E152),(startDates&gt;=BW$7)*(endDates&lt;=BW$8)))</f>
        <v>0</v>
      </c>
      <c r="BX152" s="153" cm="1">
        <f t="array" ref="BX152">BX33-SUM(_xlfn._xlws.FILTER(_xlfn._xlws.FILTER(dataSummaryPL,dataSummaryPLSections=$E152),(startDates&gt;=BX$7)*(endDates&lt;=BX$8)))</f>
        <v>0</v>
      </c>
      <c r="BY152" s="153" cm="1">
        <f t="array" ref="BY152">BY33-SUM(_xlfn._xlws.FILTER(_xlfn._xlws.FILTER(dataSummaryPL,dataSummaryPLSections=$E152),(startDates&gt;=BY$7)*(endDates&lt;=BY$8)))</f>
        <v>0</v>
      </c>
      <c r="BZ152" s="153" cm="1">
        <f t="array" ref="BZ152">BZ33-SUM(_xlfn._xlws.FILTER(_xlfn._xlws.FILTER(dataSummaryPL,dataSummaryPLSections=$E152),(startDates&gt;=BZ$7)*(endDates&lt;=BZ$8)))</f>
        <v>0</v>
      </c>
      <c r="CA152" s="153" cm="1">
        <f t="array" ref="CA152">CA33-SUM(_xlfn._xlws.FILTER(_xlfn._xlws.FILTER(dataSummaryPL,dataSummaryPLSections=$E152),(startDates&gt;=CA$7)*(endDates&lt;=CA$8)))</f>
        <v>0</v>
      </c>
      <c r="CB152" s="153" cm="1">
        <f t="array" ref="CB152">CB33-SUM(_xlfn._xlws.FILTER(_xlfn._xlws.FILTER(dataSummaryPL,dataSummaryPLSections=$E152),(startDates&gt;=CB$7)*(endDates&lt;=CB$8)))</f>
        <v>0</v>
      </c>
      <c r="CC152" s="153" cm="1">
        <f t="array" ref="CC152">CC33-SUM(_xlfn._xlws.FILTER(_xlfn._xlws.FILTER(dataSummaryPL,dataSummaryPLSections=$E152),(startDates&gt;=CC$7)*(endDates&lt;=CC$8)))</f>
        <v>0</v>
      </c>
      <c r="CD152" s="153" cm="1">
        <f t="array" ref="CD152">CD33-SUM(_xlfn._xlws.FILTER(_xlfn._xlws.FILTER(dataSummaryPL,dataSummaryPLSections=$E152),(startDates&gt;=CD$7)*(endDates&lt;=CD$8)))</f>
        <v>0</v>
      </c>
      <c r="CE152" s="153" cm="1">
        <f t="array" ref="CE152">CE33-SUM(_xlfn._xlws.FILTER(_xlfn._xlws.FILTER(dataSummaryPL,dataSummaryPLSections=$E152),(startDates&gt;=CE$7)*(endDates&lt;=CE$8)))</f>
        <v>0</v>
      </c>
      <c r="CF152" s="153" cm="1">
        <f t="array" ref="CF152">CF33-SUM(_xlfn._xlws.FILTER(_xlfn._xlws.FILTER(dataSummaryPL,dataSummaryPLSections=$E152),(startDates&gt;=CF$7)*(endDates&lt;=CF$8)))</f>
        <v>0</v>
      </c>
      <c r="CG152" s="153" cm="1">
        <f t="array" ref="CG152">CG33-SUM(_xlfn._xlws.FILTER(_xlfn._xlws.FILTER(dataSummaryPL,dataSummaryPLSections=$E152),(startDates&gt;=CG$7)*(endDates&lt;=CG$8)))</f>
        <v>0</v>
      </c>
    </row>
    <row r="153" spans="2:85" s="151" customFormat="1" ht="15" hidden="1" customHeight="1" outlineLevel="2">
      <c r="C153" s="151" t="s">
        <v>131</v>
      </c>
      <c r="D153" s="156"/>
      <c r="E153" s="155" t="s">
        <v>131</v>
      </c>
      <c r="F153" s="156"/>
      <c r="G153" s="156"/>
      <c r="J153" s="153" cm="1">
        <f t="array" ref="J153">J36-SUM(_xlfn._xlws.FILTER(_xlfn._xlws.FILTER(dataSummaryPL,dataSummaryPLSections=$E153),(startDates&gt;=J$7)*(endDates&lt;=J$8)))</f>
        <v>0</v>
      </c>
      <c r="K153" s="153" cm="1">
        <f t="array" ref="K153">K36-SUM(_xlfn._xlws.FILTER(_xlfn._xlws.FILTER(dataSummaryPL,dataSummaryPLSections=$E153),(startDates&gt;=K$7)*(endDates&lt;=K$8)))</f>
        <v>0</v>
      </c>
      <c r="N153" s="153" cm="1">
        <f t="array" ref="N153">N36-SUM(_xlfn._xlws.FILTER(_xlfn._xlws.FILTER(dataSummaryPL,dataSummaryPLSections=$E153),(startDates&gt;=N$7)*(endDates&lt;=N$8)))</f>
        <v>0</v>
      </c>
      <c r="O153" s="153" cm="1">
        <f t="array" ref="O153">O36-SUM(_xlfn._xlws.FILTER(_xlfn._xlws.FILTER(dataSummaryPL,dataSummaryPLSections=$E153),(startDates&gt;=O$7)*(endDates&lt;=O$8)))</f>
        <v>0</v>
      </c>
      <c r="P153" s="153" cm="1">
        <f t="array" ref="P153">P36-SUM(_xlfn._xlws.FILTER(_xlfn._xlws.FILTER(dataSummaryPL,dataSummaryPLSections=$E153),(startDates&gt;=P$7)*(endDates&lt;=P$8)))</f>
        <v>0</v>
      </c>
      <c r="Q153" s="153" cm="1">
        <f t="array" ref="Q153">Q36-SUM(_xlfn._xlws.FILTER(_xlfn._xlws.FILTER(dataSummaryPL,dataSummaryPLSections=$E153),(startDates&gt;=Q$7)*(endDates&lt;=Q$8)))</f>
        <v>0</v>
      </c>
      <c r="T153" s="153" cm="1">
        <f t="array" ref="T153">T36-SUM(_xlfn._xlws.FILTER(_xlfn._xlws.FILTER(dataSummaryPL,dataSummaryPLSections=$E153),(startDates&gt;=T$7)*(endDates&lt;=T$8)))</f>
        <v>0</v>
      </c>
      <c r="U153" s="153" cm="1">
        <f t="array" ref="U153">U36-SUM(_xlfn._xlws.FILTER(_xlfn._xlws.FILTER(dataSummaryPL,dataSummaryPLSections=$E153),(startDates&gt;=U$7)*(endDates&lt;=U$8)))</f>
        <v>0</v>
      </c>
      <c r="V153" s="153" cm="1">
        <f t="array" ref="V153">V36-SUM(_xlfn._xlws.FILTER(_xlfn._xlws.FILTER(dataSummaryPL,dataSummaryPLSections=$E153),(startDates&gt;=V$7)*(endDates&lt;=V$8)))</f>
        <v>0</v>
      </c>
      <c r="W153" s="153" cm="1">
        <f t="array" ref="W153">W36-SUM(_xlfn._xlws.FILTER(_xlfn._xlws.FILTER(dataSummaryPL,dataSummaryPLSections=$E153),(startDates&gt;=W$7)*(endDates&lt;=W$8)))</f>
        <v>0</v>
      </c>
      <c r="X153" s="153" cm="1">
        <f t="array" ref="X153">X36-SUM(_xlfn._xlws.FILTER(_xlfn._xlws.FILTER(dataSummaryPL,dataSummaryPLSections=$E153),(startDates&gt;=X$7)*(endDates&lt;=X$8)))</f>
        <v>0</v>
      </c>
      <c r="Y153" s="153" cm="1">
        <f t="array" ref="Y153">Y36-SUM(_xlfn._xlws.FILTER(_xlfn._xlws.FILTER(dataSummaryPL,dataSummaryPLSections=$E153),(startDates&gt;=Y$7)*(endDates&lt;=Y$8)))</f>
        <v>0</v>
      </c>
      <c r="Z153" s="153" cm="1">
        <f t="array" ref="Z153">Z36-SUM(_xlfn._xlws.FILTER(_xlfn._xlws.FILTER(dataSummaryPL,dataSummaryPLSections=$E153),(startDates&gt;=Z$7)*(endDates&lt;=Z$8)))</f>
        <v>0</v>
      </c>
      <c r="AA153" s="153" cm="1">
        <f t="array" ref="AA153">AA36-SUM(_xlfn._xlws.FILTER(_xlfn._xlws.FILTER(dataSummaryPL,dataSummaryPLSections=$E153),(startDates&gt;=AA$7)*(endDates&lt;=AA$8)))</f>
        <v>0</v>
      </c>
      <c r="AB153" s="153" cm="1">
        <f t="array" ref="AB153">AB36-SUM(_xlfn._xlws.FILTER(_xlfn._xlws.FILTER(dataSummaryPL,dataSummaryPLSections=$E153),(startDates&gt;=AB$7)*(endDates&lt;=AB$8)))</f>
        <v>0</v>
      </c>
      <c r="AC153" s="153" cm="1">
        <f t="array" ref="AC153">AC36-SUM(_xlfn._xlws.FILTER(_xlfn._xlws.FILTER(dataSummaryPL,dataSummaryPLSections=$E153),(startDates&gt;=AC$7)*(endDates&lt;=AC$8)))</f>
        <v>0</v>
      </c>
      <c r="AD153" s="153" cm="1">
        <f t="array" ref="AD153">AD36-SUM(_xlfn._xlws.FILTER(_xlfn._xlws.FILTER(dataSummaryPL,dataSummaryPLSections=$E153),(startDates&gt;=AD$7)*(endDates&lt;=AD$8)))</f>
        <v>0</v>
      </c>
      <c r="AE153" s="153" cm="1">
        <f t="array" ref="AE153">AE36-SUM(_xlfn._xlws.FILTER(_xlfn._xlws.FILTER(dataSummaryPL,dataSummaryPLSections=$E153),(startDates&gt;=AE$7)*(endDates&lt;=AE$8)))</f>
        <v>0</v>
      </c>
      <c r="AF153" s="153" cm="1">
        <f t="array" ref="AF153">AF36-SUM(_xlfn._xlws.FILTER(_xlfn._xlws.FILTER(dataSummaryPL,dataSummaryPLSections=$E153),(startDates&gt;=AF$7)*(endDates&lt;=AF$8)))</f>
        <v>0</v>
      </c>
      <c r="AG153" s="153" cm="1">
        <f t="array" ref="AG153">AG36-SUM(_xlfn._xlws.FILTER(_xlfn._xlws.FILTER(dataSummaryPL,dataSummaryPLSections=$E153),(startDates&gt;=AG$7)*(endDates&lt;=AG$8)))</f>
        <v>0</v>
      </c>
      <c r="AH153" s="153" cm="1">
        <f t="array" ref="AH153">AH36-SUM(_xlfn._xlws.FILTER(_xlfn._xlws.FILTER(dataSummaryPL,dataSummaryPLSections=$E153),(startDates&gt;=AH$7)*(endDates&lt;=AH$8)))</f>
        <v>0</v>
      </c>
      <c r="AI153" s="153" cm="1">
        <f t="array" ref="AI153">AI36-SUM(_xlfn._xlws.FILTER(_xlfn._xlws.FILTER(dataSummaryPL,dataSummaryPLSections=$E153),(startDates&gt;=AI$7)*(endDates&lt;=AI$8)))</f>
        <v>0</v>
      </c>
      <c r="AL153" s="153" cm="1">
        <f t="array" ref="AL153">AL36-SUM(_xlfn._xlws.FILTER(_xlfn._xlws.FILTER(dataSummaryPL,dataSummaryPLSections=$E153),(startDates&gt;=AL$7)*(endDates&lt;=AL$8)))</f>
        <v>0</v>
      </c>
      <c r="AM153" s="153" cm="1">
        <f t="array" ref="AM153">AM36-SUM(_xlfn._xlws.FILTER(_xlfn._xlws.FILTER(dataSummaryPL,dataSummaryPLSections=$E153),(startDates&gt;=AM$7)*(endDates&lt;=AM$8)))</f>
        <v>0</v>
      </c>
      <c r="AN153" s="153" cm="1">
        <f t="array" ref="AN153">AN36-SUM(_xlfn._xlws.FILTER(_xlfn._xlws.FILTER(dataSummaryPL,dataSummaryPLSections=$E153),(startDates&gt;=AN$7)*(endDates&lt;=AN$8)))</f>
        <v>0</v>
      </c>
      <c r="AO153" s="153" cm="1">
        <f t="array" ref="AO153">AO36-SUM(_xlfn._xlws.FILTER(_xlfn._xlws.FILTER(dataSummaryPL,dataSummaryPLSections=$E153),(startDates&gt;=AO$7)*(endDates&lt;=AO$8)))</f>
        <v>0</v>
      </c>
      <c r="AP153" s="153" cm="1">
        <f t="array" ref="AP153">AP36-SUM(_xlfn._xlws.FILTER(_xlfn._xlws.FILTER(dataSummaryPL,dataSummaryPLSections=$E153),(startDates&gt;=AP$7)*(endDates&lt;=AP$8)))</f>
        <v>0</v>
      </c>
      <c r="AQ153" s="153" cm="1">
        <f t="array" ref="AQ153">AQ36-SUM(_xlfn._xlws.FILTER(_xlfn._xlws.FILTER(dataSummaryPL,dataSummaryPLSections=$E153),(startDates&gt;=AQ$7)*(endDates&lt;=AQ$8)))</f>
        <v>0</v>
      </c>
      <c r="AR153" s="153" cm="1">
        <f t="array" ref="AR153">AR36-SUM(_xlfn._xlws.FILTER(_xlfn._xlws.FILTER(dataSummaryPL,dataSummaryPLSections=$E153),(startDates&gt;=AR$7)*(endDates&lt;=AR$8)))</f>
        <v>0</v>
      </c>
      <c r="AS153" s="153" cm="1">
        <f t="array" ref="AS153">AS36-SUM(_xlfn._xlws.FILTER(_xlfn._xlws.FILTER(dataSummaryPL,dataSummaryPLSections=$E153),(startDates&gt;=AS$7)*(endDates&lt;=AS$8)))</f>
        <v>0</v>
      </c>
      <c r="AT153" s="153" cm="1">
        <f t="array" ref="AT153">AT36-SUM(_xlfn._xlws.FILTER(_xlfn._xlws.FILTER(dataSummaryPL,dataSummaryPLSections=$E153),(startDates&gt;=AT$7)*(endDates&lt;=AT$8)))</f>
        <v>0</v>
      </c>
      <c r="AU153" s="153" cm="1">
        <f t="array" ref="AU153">AU36-SUM(_xlfn._xlws.FILTER(_xlfn._xlws.FILTER(dataSummaryPL,dataSummaryPLSections=$E153),(startDates&gt;=AU$7)*(endDates&lt;=AU$8)))</f>
        <v>0</v>
      </c>
      <c r="AV153" s="153" cm="1">
        <f t="array" ref="AV153">AV36-SUM(_xlfn._xlws.FILTER(_xlfn._xlws.FILTER(dataSummaryPL,dataSummaryPLSections=$E153),(startDates&gt;=AV$7)*(endDates&lt;=AV$8)))</f>
        <v>0</v>
      </c>
      <c r="AW153" s="153" cm="1">
        <f t="array" ref="AW153">AW36-SUM(_xlfn._xlws.FILTER(_xlfn._xlws.FILTER(dataSummaryPL,dataSummaryPLSections=$E153),(startDates&gt;=AW$7)*(endDates&lt;=AW$8)))</f>
        <v>0</v>
      </c>
      <c r="AX153" s="153" cm="1">
        <f t="array" ref="AX153">AX36-SUM(_xlfn._xlws.FILTER(_xlfn._xlws.FILTER(dataSummaryPL,dataSummaryPLSections=$E153),(startDates&gt;=AX$7)*(endDates&lt;=AX$8)))</f>
        <v>0</v>
      </c>
      <c r="AY153" s="153" cm="1">
        <f t="array" ref="AY153">AY36-SUM(_xlfn._xlws.FILTER(_xlfn._xlws.FILTER(dataSummaryPL,dataSummaryPLSections=$E153),(startDates&gt;=AY$7)*(endDates&lt;=AY$8)))</f>
        <v>0</v>
      </c>
      <c r="AZ153" s="153" cm="1">
        <f t="array" ref="AZ153">AZ36-SUM(_xlfn._xlws.FILTER(_xlfn._xlws.FILTER(dataSummaryPL,dataSummaryPLSections=$E153),(startDates&gt;=AZ$7)*(endDates&lt;=AZ$8)))</f>
        <v>0</v>
      </c>
      <c r="BA153" s="153" cm="1">
        <f t="array" ref="BA153">BA36-SUM(_xlfn._xlws.FILTER(_xlfn._xlws.FILTER(dataSummaryPL,dataSummaryPLSections=$E153),(startDates&gt;=BA$7)*(endDates&lt;=BA$8)))</f>
        <v>0</v>
      </c>
      <c r="BB153" s="153" cm="1">
        <f t="array" ref="BB153">BB36-SUM(_xlfn._xlws.FILTER(_xlfn._xlws.FILTER(dataSummaryPL,dataSummaryPLSections=$E153),(startDates&gt;=BB$7)*(endDates&lt;=BB$8)))</f>
        <v>0</v>
      </c>
      <c r="BC153" s="153" cm="1">
        <f t="array" ref="BC153">BC36-SUM(_xlfn._xlws.FILTER(_xlfn._xlws.FILTER(dataSummaryPL,dataSummaryPLSections=$E153),(startDates&gt;=BC$7)*(endDates&lt;=BC$8)))</f>
        <v>0</v>
      </c>
      <c r="BD153" s="153" cm="1">
        <f t="array" ref="BD153">BD36-SUM(_xlfn._xlws.FILTER(_xlfn._xlws.FILTER(dataSummaryPL,dataSummaryPLSections=$E153),(startDates&gt;=BD$7)*(endDates&lt;=BD$8)))</f>
        <v>0</v>
      </c>
      <c r="BE153" s="153" cm="1">
        <f t="array" ref="BE153">BE36-SUM(_xlfn._xlws.FILTER(_xlfn._xlws.FILTER(dataSummaryPL,dataSummaryPLSections=$E153),(startDates&gt;=BE$7)*(endDates&lt;=BE$8)))</f>
        <v>0</v>
      </c>
      <c r="BF153" s="153" cm="1">
        <f t="array" ref="BF153">BF36-SUM(_xlfn._xlws.FILTER(_xlfn._xlws.FILTER(dataSummaryPL,dataSummaryPLSections=$E153),(startDates&gt;=BF$7)*(endDates&lt;=BF$8)))</f>
        <v>0</v>
      </c>
      <c r="BG153" s="153" cm="1">
        <f t="array" ref="BG153">BG36-SUM(_xlfn._xlws.FILTER(_xlfn._xlws.FILTER(dataSummaryPL,dataSummaryPLSections=$E153),(startDates&gt;=BG$7)*(endDates&lt;=BG$8)))</f>
        <v>0</v>
      </c>
      <c r="BH153" s="153" cm="1">
        <f t="array" ref="BH153">BH36-SUM(_xlfn._xlws.FILTER(_xlfn._xlws.FILTER(dataSummaryPL,dataSummaryPLSections=$E153),(startDates&gt;=BH$7)*(endDates&lt;=BH$8)))</f>
        <v>0</v>
      </c>
      <c r="BI153" s="153" cm="1">
        <f t="array" ref="BI153">BI36-SUM(_xlfn._xlws.FILTER(_xlfn._xlws.FILTER(dataSummaryPL,dataSummaryPLSections=$E153),(startDates&gt;=BI$7)*(endDates&lt;=BI$8)))</f>
        <v>0</v>
      </c>
      <c r="BJ153" s="153" cm="1">
        <f t="array" ref="BJ153">BJ36-SUM(_xlfn._xlws.FILTER(_xlfn._xlws.FILTER(dataSummaryPL,dataSummaryPLSections=$E153),(startDates&gt;=BJ$7)*(endDates&lt;=BJ$8)))</f>
        <v>0</v>
      </c>
      <c r="BK153" s="153" cm="1">
        <f t="array" ref="BK153">BK36-SUM(_xlfn._xlws.FILTER(_xlfn._xlws.FILTER(dataSummaryPL,dataSummaryPLSections=$E153),(startDates&gt;=BK$7)*(endDates&lt;=BK$8)))</f>
        <v>0</v>
      </c>
      <c r="BL153" s="153" cm="1">
        <f t="array" ref="BL153">BL36-SUM(_xlfn._xlws.FILTER(_xlfn._xlws.FILTER(dataSummaryPL,dataSummaryPLSections=$E153),(startDates&gt;=BL$7)*(endDates&lt;=BL$8)))</f>
        <v>0</v>
      </c>
      <c r="BM153" s="153" cm="1">
        <f t="array" ref="BM153">BM36-SUM(_xlfn._xlws.FILTER(_xlfn._xlws.FILTER(dataSummaryPL,dataSummaryPLSections=$E153),(startDates&gt;=BM$7)*(endDates&lt;=BM$8)))</f>
        <v>0</v>
      </c>
      <c r="BN153" s="153" cm="1">
        <f t="array" ref="BN153">BN36-SUM(_xlfn._xlws.FILTER(_xlfn._xlws.FILTER(dataSummaryPL,dataSummaryPLSections=$E153),(startDates&gt;=BN$7)*(endDates&lt;=BN$8)))</f>
        <v>0</v>
      </c>
      <c r="BO153" s="153" cm="1">
        <f t="array" ref="BO153">BO36-SUM(_xlfn._xlws.FILTER(_xlfn._xlws.FILTER(dataSummaryPL,dataSummaryPLSections=$E153),(startDates&gt;=BO$7)*(endDates&lt;=BO$8)))</f>
        <v>0</v>
      </c>
      <c r="BP153" s="153" cm="1">
        <f t="array" ref="BP153">BP36-SUM(_xlfn._xlws.FILTER(_xlfn._xlws.FILTER(dataSummaryPL,dataSummaryPLSections=$E153),(startDates&gt;=BP$7)*(endDates&lt;=BP$8)))</f>
        <v>0</v>
      </c>
      <c r="BQ153" s="153" cm="1">
        <f t="array" ref="BQ153">BQ36-SUM(_xlfn._xlws.FILTER(_xlfn._xlws.FILTER(dataSummaryPL,dataSummaryPLSections=$E153),(startDates&gt;=BQ$7)*(endDates&lt;=BQ$8)))</f>
        <v>0</v>
      </c>
      <c r="BR153" s="153" cm="1">
        <f t="array" ref="BR153">BR36-SUM(_xlfn._xlws.FILTER(_xlfn._xlws.FILTER(dataSummaryPL,dataSummaryPLSections=$E153),(startDates&gt;=BR$7)*(endDates&lt;=BR$8)))</f>
        <v>0</v>
      </c>
      <c r="BS153" s="153" cm="1">
        <f t="array" ref="BS153">BS36-SUM(_xlfn._xlws.FILTER(_xlfn._xlws.FILTER(dataSummaryPL,dataSummaryPLSections=$E153),(startDates&gt;=BS$7)*(endDates&lt;=BS$8)))</f>
        <v>0</v>
      </c>
      <c r="BT153" s="153" cm="1">
        <f t="array" ref="BT153">BT36-SUM(_xlfn._xlws.FILTER(_xlfn._xlws.FILTER(dataSummaryPL,dataSummaryPLSections=$E153),(startDates&gt;=BT$7)*(endDates&lt;=BT$8)))</f>
        <v>0</v>
      </c>
      <c r="BU153" s="153" cm="1">
        <f t="array" ref="BU153">BU36-SUM(_xlfn._xlws.FILTER(_xlfn._xlws.FILTER(dataSummaryPL,dataSummaryPLSections=$E153),(startDates&gt;=BU$7)*(endDates&lt;=BU$8)))</f>
        <v>0</v>
      </c>
      <c r="BV153" s="153" cm="1">
        <f t="array" ref="BV153">BV36-SUM(_xlfn._xlws.FILTER(_xlfn._xlws.FILTER(dataSummaryPL,dataSummaryPLSections=$E153),(startDates&gt;=BV$7)*(endDates&lt;=BV$8)))</f>
        <v>0</v>
      </c>
      <c r="BW153" s="153" cm="1">
        <f t="array" ref="BW153">BW36-SUM(_xlfn._xlws.FILTER(_xlfn._xlws.FILTER(dataSummaryPL,dataSummaryPLSections=$E153),(startDates&gt;=BW$7)*(endDates&lt;=BW$8)))</f>
        <v>0</v>
      </c>
      <c r="BX153" s="153" cm="1">
        <f t="array" ref="BX153">BX36-SUM(_xlfn._xlws.FILTER(_xlfn._xlws.FILTER(dataSummaryPL,dataSummaryPLSections=$E153),(startDates&gt;=BX$7)*(endDates&lt;=BX$8)))</f>
        <v>0</v>
      </c>
      <c r="BY153" s="153" cm="1">
        <f t="array" ref="BY153">BY36-SUM(_xlfn._xlws.FILTER(_xlfn._xlws.FILTER(dataSummaryPL,dataSummaryPLSections=$E153),(startDates&gt;=BY$7)*(endDates&lt;=BY$8)))</f>
        <v>0</v>
      </c>
      <c r="BZ153" s="153" cm="1">
        <f t="array" ref="BZ153">BZ36-SUM(_xlfn._xlws.FILTER(_xlfn._xlws.FILTER(dataSummaryPL,dataSummaryPLSections=$E153),(startDates&gt;=BZ$7)*(endDates&lt;=BZ$8)))</f>
        <v>0</v>
      </c>
      <c r="CA153" s="153" cm="1">
        <f t="array" ref="CA153">CA36-SUM(_xlfn._xlws.FILTER(_xlfn._xlws.FILTER(dataSummaryPL,dataSummaryPLSections=$E153),(startDates&gt;=CA$7)*(endDates&lt;=CA$8)))</f>
        <v>0</v>
      </c>
      <c r="CB153" s="153" cm="1">
        <f t="array" ref="CB153">CB36-SUM(_xlfn._xlws.FILTER(_xlfn._xlws.FILTER(dataSummaryPL,dataSummaryPLSections=$E153),(startDates&gt;=CB$7)*(endDates&lt;=CB$8)))</f>
        <v>0</v>
      </c>
      <c r="CC153" s="153" cm="1">
        <f t="array" ref="CC153">CC36-SUM(_xlfn._xlws.FILTER(_xlfn._xlws.FILTER(dataSummaryPL,dataSummaryPLSections=$E153),(startDates&gt;=CC$7)*(endDates&lt;=CC$8)))</f>
        <v>0</v>
      </c>
      <c r="CD153" s="153" cm="1">
        <f t="array" ref="CD153">CD36-SUM(_xlfn._xlws.FILTER(_xlfn._xlws.FILTER(dataSummaryPL,dataSummaryPLSections=$E153),(startDates&gt;=CD$7)*(endDates&lt;=CD$8)))</f>
        <v>0</v>
      </c>
      <c r="CE153" s="153" cm="1">
        <f t="array" ref="CE153">CE36-SUM(_xlfn._xlws.FILTER(_xlfn._xlws.FILTER(dataSummaryPL,dataSummaryPLSections=$E153),(startDates&gt;=CE$7)*(endDates&lt;=CE$8)))</f>
        <v>0</v>
      </c>
      <c r="CF153" s="153" cm="1">
        <f t="array" ref="CF153">CF36-SUM(_xlfn._xlws.FILTER(_xlfn._xlws.FILTER(dataSummaryPL,dataSummaryPLSections=$E153),(startDates&gt;=CF$7)*(endDates&lt;=CF$8)))</f>
        <v>0</v>
      </c>
      <c r="CG153" s="153" cm="1">
        <f t="array" ref="CG153">CG36-SUM(_xlfn._xlws.FILTER(_xlfn._xlws.FILTER(dataSummaryPL,dataSummaryPLSections=$E153),(startDates&gt;=CG$7)*(endDates&lt;=CG$8)))</f>
        <v>0</v>
      </c>
    </row>
    <row r="154" spans="2:85" s="151" customFormat="1" ht="15" hidden="1" customHeight="1" outlineLevel="2">
      <c r="C154" s="151" t="s">
        <v>135</v>
      </c>
      <c r="D154" s="154"/>
      <c r="E154" s="155" t="s">
        <v>135</v>
      </c>
      <c r="F154" s="154"/>
      <c r="G154" s="154"/>
      <c r="J154" s="152" cm="1">
        <f t="array" ref="J154">J54-SUM(_xlfn._xlws.FILTER(_xlfn._xlws.FILTER(dataSummaryBS,dataSummaryBSSections=$E154),endDates=J$8))</f>
        <v>0</v>
      </c>
      <c r="K154" s="152" cm="1">
        <f t="array" ref="K154">K54-SUM(_xlfn._xlws.FILTER(_xlfn._xlws.FILTER(dataSummaryBS,dataSummaryBSSections=$E154),endDates=K$8))</f>
        <v>0</v>
      </c>
      <c r="N154" s="152" cm="1">
        <f t="array" ref="N154">N54-SUM(_xlfn._xlws.FILTER(_xlfn._xlws.FILTER(dataSummaryBS,dataSummaryBSSections=$E154),endDates=N$8))</f>
        <v>0</v>
      </c>
      <c r="O154" s="152" cm="1">
        <f t="array" ref="O154">O54-SUM(_xlfn._xlws.FILTER(_xlfn._xlws.FILTER(dataSummaryBS,dataSummaryBSSections=$E154),endDates=O$8))</f>
        <v>0</v>
      </c>
      <c r="P154" s="152" cm="1">
        <f t="array" ref="P154">P54-SUM(_xlfn._xlws.FILTER(_xlfn._xlws.FILTER(dataSummaryBS,dataSummaryBSSections=$E154),endDates=P$8))</f>
        <v>0</v>
      </c>
      <c r="Q154" s="152" cm="1">
        <f t="array" ref="Q154">Q54-SUM(_xlfn._xlws.FILTER(_xlfn._xlws.FILTER(dataSummaryBS,dataSummaryBSSections=$E154),endDates=Q$8))</f>
        <v>0</v>
      </c>
      <c r="R154" s="153"/>
      <c r="S154" s="153"/>
      <c r="T154" s="152" cm="1">
        <f t="array" ref="T154">T54-SUM(_xlfn._xlws.FILTER(_xlfn._xlws.FILTER(dataSummaryBS,dataSummaryBSSections=$E154),endDates=T$8))</f>
        <v>0</v>
      </c>
      <c r="U154" s="152" cm="1">
        <f t="array" ref="U154">U54-SUM(_xlfn._xlws.FILTER(_xlfn._xlws.FILTER(dataSummaryBS,dataSummaryBSSections=$E154),endDates=U$8))</f>
        <v>0</v>
      </c>
      <c r="V154" s="152" cm="1">
        <f t="array" ref="V154">V54-SUM(_xlfn._xlws.FILTER(_xlfn._xlws.FILTER(dataSummaryBS,dataSummaryBSSections=$E154),endDates=V$8))</f>
        <v>0</v>
      </c>
      <c r="W154" s="152" cm="1">
        <f t="array" ref="W154">W54-SUM(_xlfn._xlws.FILTER(_xlfn._xlws.FILTER(dataSummaryBS,dataSummaryBSSections=$E154),endDates=W$8))</f>
        <v>0</v>
      </c>
      <c r="X154" s="152" cm="1">
        <f t="array" ref="X154">X54-SUM(_xlfn._xlws.FILTER(_xlfn._xlws.FILTER(dataSummaryBS,dataSummaryBSSections=$E154),endDates=X$8))</f>
        <v>0</v>
      </c>
      <c r="Y154" s="152" cm="1">
        <f t="array" ref="Y154">Y54-SUM(_xlfn._xlws.FILTER(_xlfn._xlws.FILTER(dataSummaryBS,dataSummaryBSSections=$E154),endDates=Y$8))</f>
        <v>0</v>
      </c>
      <c r="Z154" s="152" cm="1">
        <f t="array" ref="Z154">Z54-SUM(_xlfn._xlws.FILTER(_xlfn._xlws.FILTER(dataSummaryBS,dataSummaryBSSections=$E154),endDates=Z$8))</f>
        <v>0</v>
      </c>
      <c r="AA154" s="152" cm="1">
        <f t="array" ref="AA154">AA54-SUM(_xlfn._xlws.FILTER(_xlfn._xlws.FILTER(dataSummaryBS,dataSummaryBSSections=$E154),endDates=AA$8))</f>
        <v>0</v>
      </c>
      <c r="AB154" s="152" cm="1">
        <f t="array" ref="AB154">AB54-SUM(_xlfn._xlws.FILTER(_xlfn._xlws.FILTER(dataSummaryBS,dataSummaryBSSections=$E154),endDates=AB$8))</f>
        <v>0</v>
      </c>
      <c r="AC154" s="152" cm="1">
        <f t="array" ref="AC154">AC54-SUM(_xlfn._xlws.FILTER(_xlfn._xlws.FILTER(dataSummaryBS,dataSummaryBSSections=$E154),endDates=AC$8))</f>
        <v>0</v>
      </c>
      <c r="AD154" s="152" cm="1">
        <f t="array" ref="AD154">AD54-SUM(_xlfn._xlws.FILTER(_xlfn._xlws.FILTER(dataSummaryBS,dataSummaryBSSections=$E154),endDates=AD$8))</f>
        <v>0</v>
      </c>
      <c r="AE154" s="152" cm="1">
        <f t="array" ref="AE154">AE54-SUM(_xlfn._xlws.FILTER(_xlfn._xlws.FILTER(dataSummaryBS,dataSummaryBSSections=$E154),endDates=AE$8))</f>
        <v>0</v>
      </c>
      <c r="AF154" s="152" cm="1">
        <f t="array" ref="AF154">AF54-SUM(_xlfn._xlws.FILTER(_xlfn._xlws.FILTER(dataSummaryBS,dataSummaryBSSections=$E154),endDates=AF$8))</f>
        <v>0</v>
      </c>
      <c r="AG154" s="152" cm="1">
        <f t="array" ref="AG154">AG54-SUM(_xlfn._xlws.FILTER(_xlfn._xlws.FILTER(dataSummaryBS,dataSummaryBSSections=$E154),endDates=AG$8))</f>
        <v>0</v>
      </c>
      <c r="AH154" s="152" cm="1">
        <f t="array" ref="AH154">AH54-SUM(_xlfn._xlws.FILTER(_xlfn._xlws.FILTER(dataSummaryBS,dataSummaryBSSections=$E154),endDates=AH$8))</f>
        <v>0</v>
      </c>
      <c r="AI154" s="152" cm="1">
        <f t="array" ref="AI154">AI54-SUM(_xlfn._xlws.FILTER(_xlfn._xlws.FILTER(dataSummaryBS,dataSummaryBSSections=$E154),endDates=AI$8))</f>
        <v>0</v>
      </c>
      <c r="AJ154" s="153"/>
      <c r="AK154" s="153"/>
      <c r="AL154" s="152" cm="1">
        <f t="array" ref="AL154">AL54-SUM(_xlfn._xlws.FILTER(_xlfn._xlws.FILTER(dataSummaryBS,dataSummaryBSSections=$E154),endDates=AL$8))</f>
        <v>0</v>
      </c>
      <c r="AM154" s="152" cm="1">
        <f t="array" ref="AM154">AM54-SUM(_xlfn._xlws.FILTER(_xlfn._xlws.FILTER(dataSummaryBS,dataSummaryBSSections=$E154),endDates=AM$8))</f>
        <v>0</v>
      </c>
      <c r="AN154" s="152" cm="1">
        <f t="array" ref="AN154">AN54-SUM(_xlfn._xlws.FILTER(_xlfn._xlws.FILTER(dataSummaryBS,dataSummaryBSSections=$E154),endDates=AN$8))</f>
        <v>0</v>
      </c>
      <c r="AO154" s="152" cm="1">
        <f t="array" ref="AO154">AO54-SUM(_xlfn._xlws.FILTER(_xlfn._xlws.FILTER(dataSummaryBS,dataSummaryBSSections=$E154),endDates=AO$8))</f>
        <v>0</v>
      </c>
      <c r="AP154" s="152" cm="1">
        <f t="array" ref="AP154">AP54-SUM(_xlfn._xlws.FILTER(_xlfn._xlws.FILTER(dataSummaryBS,dataSummaryBSSections=$E154),endDates=AP$8))</f>
        <v>0</v>
      </c>
      <c r="AQ154" s="152" cm="1">
        <f t="array" ref="AQ154">AQ54-SUM(_xlfn._xlws.FILTER(_xlfn._xlws.FILTER(dataSummaryBS,dataSummaryBSSections=$E154),endDates=AQ$8))</f>
        <v>0</v>
      </c>
      <c r="AR154" s="152" cm="1">
        <f t="array" ref="AR154">AR54-SUM(_xlfn._xlws.FILTER(_xlfn._xlws.FILTER(dataSummaryBS,dataSummaryBSSections=$E154),endDates=AR$8))</f>
        <v>0</v>
      </c>
      <c r="AS154" s="152" cm="1">
        <f t="array" ref="AS154">AS54-SUM(_xlfn._xlws.FILTER(_xlfn._xlws.FILTER(dataSummaryBS,dataSummaryBSSections=$E154),endDates=AS$8))</f>
        <v>0</v>
      </c>
      <c r="AT154" s="152" cm="1">
        <f t="array" ref="AT154">AT54-SUM(_xlfn._xlws.FILTER(_xlfn._xlws.FILTER(dataSummaryBS,dataSummaryBSSections=$E154),endDates=AT$8))</f>
        <v>0</v>
      </c>
      <c r="AU154" s="152" cm="1">
        <f t="array" ref="AU154">AU54-SUM(_xlfn._xlws.FILTER(_xlfn._xlws.FILTER(dataSummaryBS,dataSummaryBSSections=$E154),endDates=AU$8))</f>
        <v>0</v>
      </c>
      <c r="AV154" s="152" cm="1">
        <f t="array" ref="AV154">AV54-SUM(_xlfn._xlws.FILTER(_xlfn._xlws.FILTER(dataSummaryBS,dataSummaryBSSections=$E154),endDates=AV$8))</f>
        <v>0</v>
      </c>
      <c r="AW154" s="152" cm="1">
        <f t="array" ref="AW154">AW54-SUM(_xlfn._xlws.FILTER(_xlfn._xlws.FILTER(dataSummaryBS,dataSummaryBSSections=$E154),endDates=AW$8))</f>
        <v>0</v>
      </c>
      <c r="AX154" s="152" cm="1">
        <f t="array" ref="AX154">AX54-SUM(_xlfn._xlws.FILTER(_xlfn._xlws.FILTER(dataSummaryBS,dataSummaryBSSections=$E154),endDates=AX$8))</f>
        <v>0</v>
      </c>
      <c r="AY154" s="152" cm="1">
        <f t="array" ref="AY154">AY54-SUM(_xlfn._xlws.FILTER(_xlfn._xlws.FILTER(dataSummaryBS,dataSummaryBSSections=$E154),endDates=AY$8))</f>
        <v>0</v>
      </c>
      <c r="AZ154" s="152" cm="1">
        <f t="array" ref="AZ154">AZ54-SUM(_xlfn._xlws.FILTER(_xlfn._xlws.FILTER(dataSummaryBS,dataSummaryBSSections=$E154),endDates=AZ$8))</f>
        <v>0</v>
      </c>
      <c r="BA154" s="152" cm="1">
        <f t="array" ref="BA154">BA54-SUM(_xlfn._xlws.FILTER(_xlfn._xlws.FILTER(dataSummaryBS,dataSummaryBSSections=$E154),endDates=BA$8))</f>
        <v>0</v>
      </c>
      <c r="BB154" s="152" cm="1">
        <f t="array" ref="BB154">BB54-SUM(_xlfn._xlws.FILTER(_xlfn._xlws.FILTER(dataSummaryBS,dataSummaryBSSections=$E154),endDates=BB$8))</f>
        <v>0</v>
      </c>
      <c r="BC154" s="152" cm="1">
        <f t="array" ref="BC154">BC54-SUM(_xlfn._xlws.FILTER(_xlfn._xlws.FILTER(dataSummaryBS,dataSummaryBSSections=$E154),endDates=BC$8))</f>
        <v>0</v>
      </c>
      <c r="BD154" s="152" cm="1">
        <f t="array" ref="BD154">BD54-SUM(_xlfn._xlws.FILTER(_xlfn._xlws.FILTER(dataSummaryBS,dataSummaryBSSections=$E154),endDates=BD$8))</f>
        <v>0</v>
      </c>
      <c r="BE154" s="152" cm="1">
        <f t="array" ref="BE154">BE54-SUM(_xlfn._xlws.FILTER(_xlfn._xlws.FILTER(dataSummaryBS,dataSummaryBSSections=$E154),endDates=BE$8))</f>
        <v>0</v>
      </c>
      <c r="BF154" s="152" cm="1">
        <f t="array" ref="BF154">BF54-SUM(_xlfn._xlws.FILTER(_xlfn._xlws.FILTER(dataSummaryBS,dataSummaryBSSections=$E154),endDates=BF$8))</f>
        <v>0</v>
      </c>
      <c r="BG154" s="152" cm="1">
        <f t="array" ref="BG154">BG54-SUM(_xlfn._xlws.FILTER(_xlfn._xlws.FILTER(dataSummaryBS,dataSummaryBSSections=$E154),endDates=BG$8))</f>
        <v>0</v>
      </c>
      <c r="BH154" s="152" cm="1">
        <f t="array" ref="BH154">BH54-SUM(_xlfn._xlws.FILTER(_xlfn._xlws.FILTER(dataSummaryBS,dataSummaryBSSections=$E154),endDates=BH$8))</f>
        <v>0</v>
      </c>
      <c r="BI154" s="152" cm="1">
        <f t="array" ref="BI154">BI54-SUM(_xlfn._xlws.FILTER(_xlfn._xlws.FILTER(dataSummaryBS,dataSummaryBSSections=$E154),endDates=BI$8))</f>
        <v>0</v>
      </c>
      <c r="BJ154" s="152" cm="1">
        <f t="array" ref="BJ154">BJ54-SUM(_xlfn._xlws.FILTER(_xlfn._xlws.FILTER(dataSummaryBS,dataSummaryBSSections=$E154),endDates=BJ$8))</f>
        <v>0</v>
      </c>
      <c r="BK154" s="152" cm="1">
        <f t="array" ref="BK154">BK54-SUM(_xlfn._xlws.FILTER(_xlfn._xlws.FILTER(dataSummaryBS,dataSummaryBSSections=$E154),endDates=BK$8))</f>
        <v>0</v>
      </c>
      <c r="BL154" s="152" cm="1">
        <f t="array" ref="BL154">BL54-SUM(_xlfn._xlws.FILTER(_xlfn._xlws.FILTER(dataSummaryBS,dataSummaryBSSections=$E154),endDates=BL$8))</f>
        <v>0</v>
      </c>
      <c r="BM154" s="152" cm="1">
        <f t="array" ref="BM154">BM54-SUM(_xlfn._xlws.FILTER(_xlfn._xlws.FILTER(dataSummaryBS,dataSummaryBSSections=$E154),endDates=BM$8))</f>
        <v>0</v>
      </c>
      <c r="BN154" s="152" cm="1">
        <f t="array" ref="BN154">BN54-SUM(_xlfn._xlws.FILTER(_xlfn._xlws.FILTER(dataSummaryBS,dataSummaryBSSections=$E154),endDates=BN$8))</f>
        <v>0</v>
      </c>
      <c r="BO154" s="152" cm="1">
        <f t="array" ref="BO154">BO54-SUM(_xlfn._xlws.FILTER(_xlfn._xlws.FILTER(dataSummaryBS,dataSummaryBSSections=$E154),endDates=BO$8))</f>
        <v>0</v>
      </c>
      <c r="BP154" s="152" cm="1">
        <f t="array" ref="BP154">BP54-SUM(_xlfn._xlws.FILTER(_xlfn._xlws.FILTER(dataSummaryBS,dataSummaryBSSections=$E154),endDates=BP$8))</f>
        <v>0</v>
      </c>
      <c r="BQ154" s="152" cm="1">
        <f t="array" ref="BQ154">BQ54-SUM(_xlfn._xlws.FILTER(_xlfn._xlws.FILTER(dataSummaryBS,dataSummaryBSSections=$E154),endDates=BQ$8))</f>
        <v>0</v>
      </c>
      <c r="BR154" s="152" cm="1">
        <f t="array" ref="BR154">BR54-SUM(_xlfn._xlws.FILTER(_xlfn._xlws.FILTER(dataSummaryBS,dataSummaryBSSections=$E154),endDates=BR$8))</f>
        <v>0</v>
      </c>
      <c r="BS154" s="152" cm="1">
        <f t="array" ref="BS154">BS54-SUM(_xlfn._xlws.FILTER(_xlfn._xlws.FILTER(dataSummaryBS,dataSummaryBSSections=$E154),endDates=BS$8))</f>
        <v>0</v>
      </c>
      <c r="BT154" s="152" cm="1">
        <f t="array" ref="BT154">BT54-SUM(_xlfn._xlws.FILTER(_xlfn._xlws.FILTER(dataSummaryBS,dataSummaryBSSections=$E154),endDates=BT$8))</f>
        <v>0</v>
      </c>
      <c r="BU154" s="152" cm="1">
        <f t="array" ref="BU154">BU54-SUM(_xlfn._xlws.FILTER(_xlfn._xlws.FILTER(dataSummaryBS,dataSummaryBSSections=$E154),endDates=BU$8))</f>
        <v>0</v>
      </c>
      <c r="BV154" s="152" cm="1">
        <f t="array" ref="BV154">BV54-SUM(_xlfn._xlws.FILTER(_xlfn._xlws.FILTER(dataSummaryBS,dataSummaryBSSections=$E154),endDates=BV$8))</f>
        <v>0</v>
      </c>
      <c r="BW154" s="152" cm="1">
        <f t="array" ref="BW154">BW54-SUM(_xlfn._xlws.FILTER(_xlfn._xlws.FILTER(dataSummaryBS,dataSummaryBSSections=$E154),endDates=BW$8))</f>
        <v>0</v>
      </c>
      <c r="BX154" s="152" cm="1">
        <f t="array" ref="BX154">BX54-SUM(_xlfn._xlws.FILTER(_xlfn._xlws.FILTER(dataSummaryBS,dataSummaryBSSections=$E154),endDates=BX$8))</f>
        <v>0</v>
      </c>
      <c r="BY154" s="152" cm="1">
        <f t="array" ref="BY154">BY54-SUM(_xlfn._xlws.FILTER(_xlfn._xlws.FILTER(dataSummaryBS,dataSummaryBSSections=$E154),endDates=BY$8))</f>
        <v>0</v>
      </c>
      <c r="BZ154" s="152" cm="1">
        <f t="array" ref="BZ154">BZ54-SUM(_xlfn._xlws.FILTER(_xlfn._xlws.FILTER(dataSummaryBS,dataSummaryBSSections=$E154),endDates=BZ$8))</f>
        <v>0</v>
      </c>
      <c r="CA154" s="152" cm="1">
        <f t="array" ref="CA154">CA54-SUM(_xlfn._xlws.FILTER(_xlfn._xlws.FILTER(dataSummaryBS,dataSummaryBSSections=$E154),endDates=CA$8))</f>
        <v>0</v>
      </c>
      <c r="CB154" s="152" cm="1">
        <f t="array" ref="CB154">CB54-SUM(_xlfn._xlws.FILTER(_xlfn._xlws.FILTER(dataSummaryBS,dataSummaryBSSections=$E154),endDates=CB$8))</f>
        <v>0</v>
      </c>
      <c r="CC154" s="152" cm="1">
        <f t="array" ref="CC154">CC54-SUM(_xlfn._xlws.FILTER(_xlfn._xlws.FILTER(dataSummaryBS,dataSummaryBSSections=$E154),endDates=CC$8))</f>
        <v>0</v>
      </c>
      <c r="CD154" s="152" cm="1">
        <f t="array" ref="CD154">CD54-SUM(_xlfn._xlws.FILTER(_xlfn._xlws.FILTER(dataSummaryBS,dataSummaryBSSections=$E154),endDates=CD$8))</f>
        <v>0</v>
      </c>
      <c r="CE154" s="152" cm="1">
        <f t="array" ref="CE154">CE54-SUM(_xlfn._xlws.FILTER(_xlfn._xlws.FILTER(dataSummaryBS,dataSummaryBSSections=$E154),endDates=CE$8))</f>
        <v>0</v>
      </c>
      <c r="CF154" s="152" cm="1">
        <f t="array" ref="CF154">CF54-SUM(_xlfn._xlws.FILTER(_xlfn._xlws.FILTER(dataSummaryBS,dataSummaryBSSections=$E154),endDates=CF$8))</f>
        <v>0</v>
      </c>
      <c r="CG154" s="152" cm="1">
        <f t="array" ref="CG154">CG54-SUM(_xlfn._xlws.FILTER(_xlfn._xlws.FILTER(dataSummaryBS,dataSummaryBSSections=$E154),endDates=CG$8))</f>
        <v>0</v>
      </c>
    </row>
    <row r="155" spans="2:85" s="151" customFormat="1" ht="15" hidden="1" customHeight="1" outlineLevel="2">
      <c r="C155" s="151" t="s">
        <v>141</v>
      </c>
      <c r="D155" s="154"/>
      <c r="E155" s="155" t="s">
        <v>141</v>
      </c>
      <c r="F155" s="154"/>
      <c r="G155" s="154"/>
      <c r="J155" s="152" cm="1">
        <f t="array" ref="J155">J61-SUM(_xlfn._xlws.FILTER(_xlfn._xlws.FILTER(dataSummaryBS,dataSummaryBSSections=$E155),endDates=J$8))</f>
        <v>0</v>
      </c>
      <c r="K155" s="152" cm="1">
        <f t="array" ref="K155">K61-SUM(_xlfn._xlws.FILTER(_xlfn._xlws.FILTER(dataSummaryBS,dataSummaryBSSections=$E155),endDates=K$8))</f>
        <v>0</v>
      </c>
      <c r="N155" s="152" cm="1">
        <f t="array" ref="N155">N61-SUM(_xlfn._xlws.FILTER(_xlfn._xlws.FILTER(dataSummaryBS,dataSummaryBSSections=$E155),endDates=N$8))</f>
        <v>0</v>
      </c>
      <c r="O155" s="152" cm="1">
        <f t="array" ref="O155">O61-SUM(_xlfn._xlws.FILTER(_xlfn._xlws.FILTER(dataSummaryBS,dataSummaryBSSections=$E155),endDates=O$8))</f>
        <v>0</v>
      </c>
      <c r="P155" s="152" cm="1">
        <f t="array" ref="P155">P61-SUM(_xlfn._xlws.FILTER(_xlfn._xlws.FILTER(dataSummaryBS,dataSummaryBSSections=$E155),endDates=P$8))</f>
        <v>0</v>
      </c>
      <c r="Q155" s="152" cm="1">
        <f t="array" ref="Q155">Q61-SUM(_xlfn._xlws.FILTER(_xlfn._xlws.FILTER(dataSummaryBS,dataSummaryBSSections=$E155),endDates=Q$8))</f>
        <v>0</v>
      </c>
      <c r="R155" s="153"/>
      <c r="S155" s="153"/>
      <c r="T155" s="152" cm="1">
        <f t="array" ref="T155">T61-SUM(_xlfn._xlws.FILTER(_xlfn._xlws.FILTER(dataSummaryBS,dataSummaryBSSections=$E155),endDates=T$8))</f>
        <v>0</v>
      </c>
      <c r="U155" s="152" cm="1">
        <f t="array" ref="U155">U61-SUM(_xlfn._xlws.FILTER(_xlfn._xlws.FILTER(dataSummaryBS,dataSummaryBSSections=$E155),endDates=U$8))</f>
        <v>0</v>
      </c>
      <c r="V155" s="152" cm="1">
        <f t="array" ref="V155">V61-SUM(_xlfn._xlws.FILTER(_xlfn._xlws.FILTER(dataSummaryBS,dataSummaryBSSections=$E155),endDates=V$8))</f>
        <v>0</v>
      </c>
      <c r="W155" s="152" cm="1">
        <f t="array" ref="W155">W61-SUM(_xlfn._xlws.FILTER(_xlfn._xlws.FILTER(dataSummaryBS,dataSummaryBSSections=$E155),endDates=W$8))</f>
        <v>0</v>
      </c>
      <c r="X155" s="152" cm="1">
        <f t="array" ref="X155">X61-SUM(_xlfn._xlws.FILTER(_xlfn._xlws.FILTER(dataSummaryBS,dataSummaryBSSections=$E155),endDates=X$8))</f>
        <v>0</v>
      </c>
      <c r="Y155" s="152" cm="1">
        <f t="array" ref="Y155">Y61-SUM(_xlfn._xlws.FILTER(_xlfn._xlws.FILTER(dataSummaryBS,dataSummaryBSSections=$E155),endDates=Y$8))</f>
        <v>0</v>
      </c>
      <c r="Z155" s="152" cm="1">
        <f t="array" ref="Z155">Z61-SUM(_xlfn._xlws.FILTER(_xlfn._xlws.FILTER(dataSummaryBS,dataSummaryBSSections=$E155),endDates=Z$8))</f>
        <v>0</v>
      </c>
      <c r="AA155" s="152" cm="1">
        <f t="array" ref="AA155">AA61-SUM(_xlfn._xlws.FILTER(_xlfn._xlws.FILTER(dataSummaryBS,dataSummaryBSSections=$E155),endDates=AA$8))</f>
        <v>0</v>
      </c>
      <c r="AB155" s="152" cm="1">
        <f t="array" ref="AB155">AB61-SUM(_xlfn._xlws.FILTER(_xlfn._xlws.FILTER(dataSummaryBS,dataSummaryBSSections=$E155),endDates=AB$8))</f>
        <v>0</v>
      </c>
      <c r="AC155" s="152" cm="1">
        <f t="array" ref="AC155">AC61-SUM(_xlfn._xlws.FILTER(_xlfn._xlws.FILTER(dataSummaryBS,dataSummaryBSSections=$E155),endDates=AC$8))</f>
        <v>0</v>
      </c>
      <c r="AD155" s="152" cm="1">
        <f t="array" ref="AD155">AD61-SUM(_xlfn._xlws.FILTER(_xlfn._xlws.FILTER(dataSummaryBS,dataSummaryBSSections=$E155),endDates=AD$8))</f>
        <v>0</v>
      </c>
      <c r="AE155" s="152" cm="1">
        <f t="array" ref="AE155">AE61-SUM(_xlfn._xlws.FILTER(_xlfn._xlws.FILTER(dataSummaryBS,dataSummaryBSSections=$E155),endDates=AE$8))</f>
        <v>0</v>
      </c>
      <c r="AF155" s="152" cm="1">
        <f t="array" ref="AF155">AF61-SUM(_xlfn._xlws.FILTER(_xlfn._xlws.FILTER(dataSummaryBS,dataSummaryBSSections=$E155),endDates=AF$8))</f>
        <v>0</v>
      </c>
      <c r="AG155" s="152" cm="1">
        <f t="array" ref="AG155">AG61-SUM(_xlfn._xlws.FILTER(_xlfn._xlws.FILTER(dataSummaryBS,dataSummaryBSSections=$E155),endDates=AG$8))</f>
        <v>0</v>
      </c>
      <c r="AH155" s="152" cm="1">
        <f t="array" ref="AH155">AH61-SUM(_xlfn._xlws.FILTER(_xlfn._xlws.FILTER(dataSummaryBS,dataSummaryBSSections=$E155),endDates=AH$8))</f>
        <v>0</v>
      </c>
      <c r="AI155" s="152" cm="1">
        <f t="array" ref="AI155">AI61-SUM(_xlfn._xlws.FILTER(_xlfn._xlws.FILTER(dataSummaryBS,dataSummaryBSSections=$E155),endDates=AI$8))</f>
        <v>0</v>
      </c>
      <c r="AJ155" s="153"/>
      <c r="AK155" s="153"/>
      <c r="AL155" s="152" cm="1">
        <f t="array" ref="AL155">AL61-SUM(_xlfn._xlws.FILTER(_xlfn._xlws.FILTER(dataSummaryBS,dataSummaryBSSections=$E155),endDates=AL$8))</f>
        <v>0</v>
      </c>
      <c r="AM155" s="152" cm="1">
        <f t="array" ref="AM155">AM61-SUM(_xlfn._xlws.FILTER(_xlfn._xlws.FILTER(dataSummaryBS,dataSummaryBSSections=$E155),endDates=AM$8))</f>
        <v>0</v>
      </c>
      <c r="AN155" s="152" cm="1">
        <f t="array" ref="AN155">AN61-SUM(_xlfn._xlws.FILTER(_xlfn._xlws.FILTER(dataSummaryBS,dataSummaryBSSections=$E155),endDates=AN$8))</f>
        <v>0</v>
      </c>
      <c r="AO155" s="152" cm="1">
        <f t="array" ref="AO155">AO61-SUM(_xlfn._xlws.FILTER(_xlfn._xlws.FILTER(dataSummaryBS,dataSummaryBSSections=$E155),endDates=AO$8))</f>
        <v>0</v>
      </c>
      <c r="AP155" s="152" cm="1">
        <f t="array" ref="AP155">AP61-SUM(_xlfn._xlws.FILTER(_xlfn._xlws.FILTER(dataSummaryBS,dataSummaryBSSections=$E155),endDates=AP$8))</f>
        <v>0</v>
      </c>
      <c r="AQ155" s="152" cm="1">
        <f t="array" ref="AQ155">AQ61-SUM(_xlfn._xlws.FILTER(_xlfn._xlws.FILTER(dataSummaryBS,dataSummaryBSSections=$E155),endDates=AQ$8))</f>
        <v>0</v>
      </c>
      <c r="AR155" s="152" cm="1">
        <f t="array" ref="AR155">AR61-SUM(_xlfn._xlws.FILTER(_xlfn._xlws.FILTER(dataSummaryBS,dataSummaryBSSections=$E155),endDates=AR$8))</f>
        <v>0</v>
      </c>
      <c r="AS155" s="152" cm="1">
        <f t="array" ref="AS155">AS61-SUM(_xlfn._xlws.FILTER(_xlfn._xlws.FILTER(dataSummaryBS,dataSummaryBSSections=$E155),endDates=AS$8))</f>
        <v>0</v>
      </c>
      <c r="AT155" s="152" cm="1">
        <f t="array" ref="AT155">AT61-SUM(_xlfn._xlws.FILTER(_xlfn._xlws.FILTER(dataSummaryBS,dataSummaryBSSections=$E155),endDates=AT$8))</f>
        <v>0</v>
      </c>
      <c r="AU155" s="152" cm="1">
        <f t="array" ref="AU155">AU61-SUM(_xlfn._xlws.FILTER(_xlfn._xlws.FILTER(dataSummaryBS,dataSummaryBSSections=$E155),endDates=AU$8))</f>
        <v>0</v>
      </c>
      <c r="AV155" s="152" cm="1">
        <f t="array" ref="AV155">AV61-SUM(_xlfn._xlws.FILTER(_xlfn._xlws.FILTER(dataSummaryBS,dataSummaryBSSections=$E155),endDates=AV$8))</f>
        <v>0</v>
      </c>
      <c r="AW155" s="152" cm="1">
        <f t="array" ref="AW155">AW61-SUM(_xlfn._xlws.FILTER(_xlfn._xlws.FILTER(dataSummaryBS,dataSummaryBSSections=$E155),endDates=AW$8))</f>
        <v>0</v>
      </c>
      <c r="AX155" s="152" cm="1">
        <f t="array" ref="AX155">AX61-SUM(_xlfn._xlws.FILTER(_xlfn._xlws.FILTER(dataSummaryBS,dataSummaryBSSections=$E155),endDates=AX$8))</f>
        <v>0</v>
      </c>
      <c r="AY155" s="152" cm="1">
        <f t="array" ref="AY155">AY61-SUM(_xlfn._xlws.FILTER(_xlfn._xlws.FILTER(dataSummaryBS,dataSummaryBSSections=$E155),endDates=AY$8))</f>
        <v>0</v>
      </c>
      <c r="AZ155" s="152" cm="1">
        <f t="array" ref="AZ155">AZ61-SUM(_xlfn._xlws.FILTER(_xlfn._xlws.FILTER(dataSummaryBS,dataSummaryBSSections=$E155),endDates=AZ$8))</f>
        <v>0</v>
      </c>
      <c r="BA155" s="152" cm="1">
        <f t="array" ref="BA155">BA61-SUM(_xlfn._xlws.FILTER(_xlfn._xlws.FILTER(dataSummaryBS,dataSummaryBSSections=$E155),endDates=BA$8))</f>
        <v>0</v>
      </c>
      <c r="BB155" s="152" cm="1">
        <f t="array" ref="BB155">BB61-SUM(_xlfn._xlws.FILTER(_xlfn._xlws.FILTER(dataSummaryBS,dataSummaryBSSections=$E155),endDates=BB$8))</f>
        <v>0</v>
      </c>
      <c r="BC155" s="152" cm="1">
        <f t="array" ref="BC155">BC61-SUM(_xlfn._xlws.FILTER(_xlfn._xlws.FILTER(dataSummaryBS,dataSummaryBSSections=$E155),endDates=BC$8))</f>
        <v>0</v>
      </c>
      <c r="BD155" s="152" cm="1">
        <f t="array" ref="BD155">BD61-SUM(_xlfn._xlws.FILTER(_xlfn._xlws.FILTER(dataSummaryBS,dataSummaryBSSections=$E155),endDates=BD$8))</f>
        <v>0</v>
      </c>
      <c r="BE155" s="152" cm="1">
        <f t="array" ref="BE155">BE61-SUM(_xlfn._xlws.FILTER(_xlfn._xlws.FILTER(dataSummaryBS,dataSummaryBSSections=$E155),endDates=BE$8))</f>
        <v>0</v>
      </c>
      <c r="BF155" s="152" cm="1">
        <f t="array" ref="BF155">BF61-SUM(_xlfn._xlws.FILTER(_xlfn._xlws.FILTER(dataSummaryBS,dataSummaryBSSections=$E155),endDates=BF$8))</f>
        <v>0</v>
      </c>
      <c r="BG155" s="152" cm="1">
        <f t="array" ref="BG155">BG61-SUM(_xlfn._xlws.FILTER(_xlfn._xlws.FILTER(dataSummaryBS,dataSummaryBSSections=$E155),endDates=BG$8))</f>
        <v>0</v>
      </c>
      <c r="BH155" s="152" cm="1">
        <f t="array" ref="BH155">BH61-SUM(_xlfn._xlws.FILTER(_xlfn._xlws.FILTER(dataSummaryBS,dataSummaryBSSections=$E155),endDates=BH$8))</f>
        <v>0</v>
      </c>
      <c r="BI155" s="152" cm="1">
        <f t="array" ref="BI155">BI61-SUM(_xlfn._xlws.FILTER(_xlfn._xlws.FILTER(dataSummaryBS,dataSummaryBSSections=$E155),endDates=BI$8))</f>
        <v>0</v>
      </c>
      <c r="BJ155" s="152" cm="1">
        <f t="array" ref="BJ155">BJ61-SUM(_xlfn._xlws.FILTER(_xlfn._xlws.FILTER(dataSummaryBS,dataSummaryBSSections=$E155),endDates=BJ$8))</f>
        <v>0</v>
      </c>
      <c r="BK155" s="152" cm="1">
        <f t="array" ref="BK155">BK61-SUM(_xlfn._xlws.FILTER(_xlfn._xlws.FILTER(dataSummaryBS,dataSummaryBSSections=$E155),endDates=BK$8))</f>
        <v>0</v>
      </c>
      <c r="BL155" s="152" cm="1">
        <f t="array" ref="BL155">BL61-SUM(_xlfn._xlws.FILTER(_xlfn._xlws.FILTER(dataSummaryBS,dataSummaryBSSections=$E155),endDates=BL$8))</f>
        <v>0</v>
      </c>
      <c r="BM155" s="152" cm="1">
        <f t="array" ref="BM155">BM61-SUM(_xlfn._xlws.FILTER(_xlfn._xlws.FILTER(dataSummaryBS,dataSummaryBSSections=$E155),endDates=BM$8))</f>
        <v>0</v>
      </c>
      <c r="BN155" s="152" cm="1">
        <f t="array" ref="BN155">BN61-SUM(_xlfn._xlws.FILTER(_xlfn._xlws.FILTER(dataSummaryBS,dataSummaryBSSections=$E155),endDates=BN$8))</f>
        <v>0</v>
      </c>
      <c r="BO155" s="152" cm="1">
        <f t="array" ref="BO155">BO61-SUM(_xlfn._xlws.FILTER(_xlfn._xlws.FILTER(dataSummaryBS,dataSummaryBSSections=$E155),endDates=BO$8))</f>
        <v>0</v>
      </c>
      <c r="BP155" s="152" cm="1">
        <f t="array" ref="BP155">BP61-SUM(_xlfn._xlws.FILTER(_xlfn._xlws.FILTER(dataSummaryBS,dataSummaryBSSections=$E155),endDates=BP$8))</f>
        <v>0</v>
      </c>
      <c r="BQ155" s="152" cm="1">
        <f t="array" ref="BQ155">BQ61-SUM(_xlfn._xlws.FILTER(_xlfn._xlws.FILTER(dataSummaryBS,dataSummaryBSSections=$E155),endDates=BQ$8))</f>
        <v>0</v>
      </c>
      <c r="BR155" s="152" cm="1">
        <f t="array" ref="BR155">BR61-SUM(_xlfn._xlws.FILTER(_xlfn._xlws.FILTER(dataSummaryBS,dataSummaryBSSections=$E155),endDates=BR$8))</f>
        <v>0</v>
      </c>
      <c r="BS155" s="152" cm="1">
        <f t="array" ref="BS155">BS61-SUM(_xlfn._xlws.FILTER(_xlfn._xlws.FILTER(dataSummaryBS,dataSummaryBSSections=$E155),endDates=BS$8))</f>
        <v>0</v>
      </c>
      <c r="BT155" s="152" cm="1">
        <f t="array" ref="BT155">BT61-SUM(_xlfn._xlws.FILTER(_xlfn._xlws.FILTER(dataSummaryBS,dataSummaryBSSections=$E155),endDates=BT$8))</f>
        <v>0</v>
      </c>
      <c r="BU155" s="152" cm="1">
        <f t="array" ref="BU155">BU61-SUM(_xlfn._xlws.FILTER(_xlfn._xlws.FILTER(dataSummaryBS,dataSummaryBSSections=$E155),endDates=BU$8))</f>
        <v>0</v>
      </c>
      <c r="BV155" s="152" cm="1">
        <f t="array" ref="BV155">BV61-SUM(_xlfn._xlws.FILTER(_xlfn._xlws.FILTER(dataSummaryBS,dataSummaryBSSections=$E155),endDates=BV$8))</f>
        <v>0</v>
      </c>
      <c r="BW155" s="152" cm="1">
        <f t="array" ref="BW155">BW61-SUM(_xlfn._xlws.FILTER(_xlfn._xlws.FILTER(dataSummaryBS,dataSummaryBSSections=$E155),endDates=BW$8))</f>
        <v>0</v>
      </c>
      <c r="BX155" s="152" cm="1">
        <f t="array" ref="BX155">BX61-SUM(_xlfn._xlws.FILTER(_xlfn._xlws.FILTER(dataSummaryBS,dataSummaryBSSections=$E155),endDates=BX$8))</f>
        <v>0</v>
      </c>
      <c r="BY155" s="152" cm="1">
        <f t="array" ref="BY155">BY61-SUM(_xlfn._xlws.FILTER(_xlfn._xlws.FILTER(dataSummaryBS,dataSummaryBSSections=$E155),endDates=BY$8))</f>
        <v>0</v>
      </c>
      <c r="BZ155" s="152" cm="1">
        <f t="array" ref="BZ155">BZ61-SUM(_xlfn._xlws.FILTER(_xlfn._xlws.FILTER(dataSummaryBS,dataSummaryBSSections=$E155),endDates=BZ$8))</f>
        <v>0</v>
      </c>
      <c r="CA155" s="152" cm="1">
        <f t="array" ref="CA155">CA61-SUM(_xlfn._xlws.FILTER(_xlfn._xlws.FILTER(dataSummaryBS,dataSummaryBSSections=$E155),endDates=CA$8))</f>
        <v>0</v>
      </c>
      <c r="CB155" s="152" cm="1">
        <f t="array" ref="CB155">CB61-SUM(_xlfn._xlws.FILTER(_xlfn._xlws.FILTER(dataSummaryBS,dataSummaryBSSections=$E155),endDates=CB$8))</f>
        <v>0</v>
      </c>
      <c r="CC155" s="152" cm="1">
        <f t="array" ref="CC155">CC61-SUM(_xlfn._xlws.FILTER(_xlfn._xlws.FILTER(dataSummaryBS,dataSummaryBSSections=$E155),endDates=CC$8))</f>
        <v>0</v>
      </c>
      <c r="CD155" s="152" cm="1">
        <f t="array" ref="CD155">CD61-SUM(_xlfn._xlws.FILTER(_xlfn._xlws.FILTER(dataSummaryBS,dataSummaryBSSections=$E155),endDates=CD$8))</f>
        <v>0</v>
      </c>
      <c r="CE155" s="152" cm="1">
        <f t="array" ref="CE155">CE61-SUM(_xlfn._xlws.FILTER(_xlfn._xlws.FILTER(dataSummaryBS,dataSummaryBSSections=$E155),endDates=CE$8))</f>
        <v>0</v>
      </c>
      <c r="CF155" s="152" cm="1">
        <f t="array" ref="CF155">CF61-SUM(_xlfn._xlws.FILTER(_xlfn._xlws.FILTER(dataSummaryBS,dataSummaryBSSections=$E155),endDates=CF$8))</f>
        <v>0</v>
      </c>
      <c r="CG155" s="152" cm="1">
        <f t="array" ref="CG155">CG61-SUM(_xlfn._xlws.FILTER(_xlfn._xlws.FILTER(dataSummaryBS,dataSummaryBSSections=$E155),endDates=CG$8))</f>
        <v>0</v>
      </c>
    </row>
    <row r="156" spans="2:85" s="151" customFormat="1" ht="15" hidden="1" customHeight="1" outlineLevel="2">
      <c r="C156" s="151" t="s">
        <v>146</v>
      </c>
      <c r="D156" s="154"/>
      <c r="E156" s="155" t="s">
        <v>146</v>
      </c>
      <c r="F156" s="154"/>
      <c r="G156" s="154"/>
      <c r="J156" s="152" cm="1">
        <f t="array" ref="J156">J67-SUM(_xlfn._xlws.FILTER(_xlfn._xlws.FILTER(dataSummaryBS,dataSummaryBSSections=$E156),endDates=J$8))</f>
        <v>0</v>
      </c>
      <c r="K156" s="152" cm="1">
        <f t="array" ref="K156">K67-SUM(_xlfn._xlws.FILTER(_xlfn._xlws.FILTER(dataSummaryBS,dataSummaryBSSections=$E156),endDates=K$8))</f>
        <v>0</v>
      </c>
      <c r="N156" s="152" cm="1">
        <f t="array" ref="N156">N67-SUM(_xlfn._xlws.FILTER(_xlfn._xlws.FILTER(dataSummaryBS,dataSummaryBSSections=$E156),endDates=N$8))</f>
        <v>0</v>
      </c>
      <c r="O156" s="152" cm="1">
        <f t="array" ref="O156">O67-SUM(_xlfn._xlws.FILTER(_xlfn._xlws.FILTER(dataSummaryBS,dataSummaryBSSections=$E156),endDates=O$8))</f>
        <v>0</v>
      </c>
      <c r="P156" s="152" cm="1">
        <f t="array" ref="P156">P67-SUM(_xlfn._xlws.FILTER(_xlfn._xlws.FILTER(dataSummaryBS,dataSummaryBSSections=$E156),endDates=P$8))</f>
        <v>0</v>
      </c>
      <c r="Q156" s="152" cm="1">
        <f t="array" ref="Q156">Q67-SUM(_xlfn._xlws.FILTER(_xlfn._xlws.FILTER(dataSummaryBS,dataSummaryBSSections=$E156),endDates=Q$8))</f>
        <v>0</v>
      </c>
      <c r="R156" s="153"/>
      <c r="S156" s="153"/>
      <c r="T156" s="152" cm="1">
        <f t="array" ref="T156">T67-SUM(_xlfn._xlws.FILTER(_xlfn._xlws.FILTER(dataSummaryBS,dataSummaryBSSections=$E156),endDates=T$8))</f>
        <v>0</v>
      </c>
      <c r="U156" s="152" cm="1">
        <f t="array" ref="U156">U67-SUM(_xlfn._xlws.FILTER(_xlfn._xlws.FILTER(dataSummaryBS,dataSummaryBSSections=$E156),endDates=U$8))</f>
        <v>0</v>
      </c>
      <c r="V156" s="152" cm="1">
        <f t="array" ref="V156">V67-SUM(_xlfn._xlws.FILTER(_xlfn._xlws.FILTER(dataSummaryBS,dataSummaryBSSections=$E156),endDates=V$8))</f>
        <v>0</v>
      </c>
      <c r="W156" s="152" cm="1">
        <f t="array" ref="W156">W67-SUM(_xlfn._xlws.FILTER(_xlfn._xlws.FILTER(dataSummaryBS,dataSummaryBSSections=$E156),endDates=W$8))</f>
        <v>0</v>
      </c>
      <c r="X156" s="152" cm="1">
        <f t="array" ref="X156">X67-SUM(_xlfn._xlws.FILTER(_xlfn._xlws.FILTER(dataSummaryBS,dataSummaryBSSections=$E156),endDates=X$8))</f>
        <v>0</v>
      </c>
      <c r="Y156" s="152" cm="1">
        <f t="array" ref="Y156">Y67-SUM(_xlfn._xlws.FILTER(_xlfn._xlws.FILTER(dataSummaryBS,dataSummaryBSSections=$E156),endDates=Y$8))</f>
        <v>0</v>
      </c>
      <c r="Z156" s="152" cm="1">
        <f t="array" ref="Z156">Z67-SUM(_xlfn._xlws.FILTER(_xlfn._xlws.FILTER(dataSummaryBS,dataSummaryBSSections=$E156),endDates=Z$8))</f>
        <v>0</v>
      </c>
      <c r="AA156" s="152" cm="1">
        <f t="array" ref="AA156">AA67-SUM(_xlfn._xlws.FILTER(_xlfn._xlws.FILTER(dataSummaryBS,dataSummaryBSSections=$E156),endDates=AA$8))</f>
        <v>0</v>
      </c>
      <c r="AB156" s="152" cm="1">
        <f t="array" ref="AB156">AB67-SUM(_xlfn._xlws.FILTER(_xlfn._xlws.FILTER(dataSummaryBS,dataSummaryBSSections=$E156),endDates=AB$8))</f>
        <v>0</v>
      </c>
      <c r="AC156" s="152" cm="1">
        <f t="array" ref="AC156">AC67-SUM(_xlfn._xlws.FILTER(_xlfn._xlws.FILTER(dataSummaryBS,dataSummaryBSSections=$E156),endDates=AC$8))</f>
        <v>0</v>
      </c>
      <c r="AD156" s="152" cm="1">
        <f t="array" ref="AD156">AD67-SUM(_xlfn._xlws.FILTER(_xlfn._xlws.FILTER(dataSummaryBS,dataSummaryBSSections=$E156),endDates=AD$8))</f>
        <v>0</v>
      </c>
      <c r="AE156" s="152" cm="1">
        <f t="array" ref="AE156">AE67-SUM(_xlfn._xlws.FILTER(_xlfn._xlws.FILTER(dataSummaryBS,dataSummaryBSSections=$E156),endDates=AE$8))</f>
        <v>0</v>
      </c>
      <c r="AF156" s="152" cm="1">
        <f t="array" ref="AF156">AF67-SUM(_xlfn._xlws.FILTER(_xlfn._xlws.FILTER(dataSummaryBS,dataSummaryBSSections=$E156),endDates=AF$8))</f>
        <v>0</v>
      </c>
      <c r="AG156" s="152" cm="1">
        <f t="array" ref="AG156">AG67-SUM(_xlfn._xlws.FILTER(_xlfn._xlws.FILTER(dataSummaryBS,dataSummaryBSSections=$E156),endDates=AG$8))</f>
        <v>0</v>
      </c>
      <c r="AH156" s="152" cm="1">
        <f t="array" ref="AH156">AH67-SUM(_xlfn._xlws.FILTER(_xlfn._xlws.FILTER(dataSummaryBS,dataSummaryBSSections=$E156),endDates=AH$8))</f>
        <v>0</v>
      </c>
      <c r="AI156" s="152" cm="1">
        <f t="array" ref="AI156">AI67-SUM(_xlfn._xlws.FILTER(_xlfn._xlws.FILTER(dataSummaryBS,dataSummaryBSSections=$E156),endDates=AI$8))</f>
        <v>0</v>
      </c>
      <c r="AJ156" s="153"/>
      <c r="AK156" s="153"/>
      <c r="AL156" s="152" cm="1">
        <f t="array" ref="AL156">AL67-SUM(_xlfn._xlws.FILTER(_xlfn._xlws.FILTER(dataSummaryBS,dataSummaryBSSections=$E156),endDates=AL$8))</f>
        <v>0</v>
      </c>
      <c r="AM156" s="152" cm="1">
        <f t="array" ref="AM156">AM67-SUM(_xlfn._xlws.FILTER(_xlfn._xlws.FILTER(dataSummaryBS,dataSummaryBSSections=$E156),endDates=AM$8))</f>
        <v>0</v>
      </c>
      <c r="AN156" s="152" cm="1">
        <f t="array" ref="AN156">AN67-SUM(_xlfn._xlws.FILTER(_xlfn._xlws.FILTER(dataSummaryBS,dataSummaryBSSections=$E156),endDates=AN$8))</f>
        <v>0</v>
      </c>
      <c r="AO156" s="152" cm="1">
        <f t="array" ref="AO156">AO67-SUM(_xlfn._xlws.FILTER(_xlfn._xlws.FILTER(dataSummaryBS,dataSummaryBSSections=$E156),endDates=AO$8))</f>
        <v>0</v>
      </c>
      <c r="AP156" s="152" cm="1">
        <f t="array" ref="AP156">AP67-SUM(_xlfn._xlws.FILTER(_xlfn._xlws.FILTER(dataSummaryBS,dataSummaryBSSections=$E156),endDates=AP$8))</f>
        <v>0</v>
      </c>
      <c r="AQ156" s="152" cm="1">
        <f t="array" ref="AQ156">AQ67-SUM(_xlfn._xlws.FILTER(_xlfn._xlws.FILTER(dataSummaryBS,dataSummaryBSSections=$E156),endDates=AQ$8))</f>
        <v>0</v>
      </c>
      <c r="AR156" s="152" cm="1">
        <f t="array" ref="AR156">AR67-SUM(_xlfn._xlws.FILTER(_xlfn._xlws.FILTER(dataSummaryBS,dataSummaryBSSections=$E156),endDates=AR$8))</f>
        <v>0</v>
      </c>
      <c r="AS156" s="152" cm="1">
        <f t="array" ref="AS156">AS67-SUM(_xlfn._xlws.FILTER(_xlfn._xlws.FILTER(dataSummaryBS,dataSummaryBSSections=$E156),endDates=AS$8))</f>
        <v>0</v>
      </c>
      <c r="AT156" s="152" cm="1">
        <f t="array" ref="AT156">AT67-SUM(_xlfn._xlws.FILTER(_xlfn._xlws.FILTER(dataSummaryBS,dataSummaryBSSections=$E156),endDates=AT$8))</f>
        <v>0</v>
      </c>
      <c r="AU156" s="152" cm="1">
        <f t="array" ref="AU156">AU67-SUM(_xlfn._xlws.FILTER(_xlfn._xlws.FILTER(dataSummaryBS,dataSummaryBSSections=$E156),endDates=AU$8))</f>
        <v>0</v>
      </c>
      <c r="AV156" s="152" cm="1">
        <f t="array" ref="AV156">AV67-SUM(_xlfn._xlws.FILTER(_xlfn._xlws.FILTER(dataSummaryBS,dataSummaryBSSections=$E156),endDates=AV$8))</f>
        <v>0</v>
      </c>
      <c r="AW156" s="152" cm="1">
        <f t="array" ref="AW156">AW67-SUM(_xlfn._xlws.FILTER(_xlfn._xlws.FILTER(dataSummaryBS,dataSummaryBSSections=$E156),endDates=AW$8))</f>
        <v>0</v>
      </c>
      <c r="AX156" s="152" cm="1">
        <f t="array" ref="AX156">AX67-SUM(_xlfn._xlws.FILTER(_xlfn._xlws.FILTER(dataSummaryBS,dataSummaryBSSections=$E156),endDates=AX$8))</f>
        <v>0</v>
      </c>
      <c r="AY156" s="152" cm="1">
        <f t="array" ref="AY156">AY67-SUM(_xlfn._xlws.FILTER(_xlfn._xlws.FILTER(dataSummaryBS,dataSummaryBSSections=$E156),endDates=AY$8))</f>
        <v>0</v>
      </c>
      <c r="AZ156" s="152" cm="1">
        <f t="array" ref="AZ156">AZ67-SUM(_xlfn._xlws.FILTER(_xlfn._xlws.FILTER(dataSummaryBS,dataSummaryBSSections=$E156),endDates=AZ$8))</f>
        <v>0</v>
      </c>
      <c r="BA156" s="152" cm="1">
        <f t="array" ref="BA156">BA67-SUM(_xlfn._xlws.FILTER(_xlfn._xlws.FILTER(dataSummaryBS,dataSummaryBSSections=$E156),endDates=BA$8))</f>
        <v>0</v>
      </c>
      <c r="BB156" s="152" cm="1">
        <f t="array" ref="BB156">BB67-SUM(_xlfn._xlws.FILTER(_xlfn._xlws.FILTER(dataSummaryBS,dataSummaryBSSections=$E156),endDates=BB$8))</f>
        <v>0</v>
      </c>
      <c r="BC156" s="152" cm="1">
        <f t="array" ref="BC156">BC67-SUM(_xlfn._xlws.FILTER(_xlfn._xlws.FILTER(dataSummaryBS,dataSummaryBSSections=$E156),endDates=BC$8))</f>
        <v>0</v>
      </c>
      <c r="BD156" s="152" cm="1">
        <f t="array" ref="BD156">BD67-SUM(_xlfn._xlws.FILTER(_xlfn._xlws.FILTER(dataSummaryBS,dataSummaryBSSections=$E156),endDates=BD$8))</f>
        <v>0</v>
      </c>
      <c r="BE156" s="152" cm="1">
        <f t="array" ref="BE156">BE67-SUM(_xlfn._xlws.FILTER(_xlfn._xlws.FILTER(dataSummaryBS,dataSummaryBSSections=$E156),endDates=BE$8))</f>
        <v>0</v>
      </c>
      <c r="BF156" s="152" cm="1">
        <f t="array" ref="BF156">BF67-SUM(_xlfn._xlws.FILTER(_xlfn._xlws.FILTER(dataSummaryBS,dataSummaryBSSections=$E156),endDates=BF$8))</f>
        <v>0</v>
      </c>
      <c r="BG156" s="152" cm="1">
        <f t="array" ref="BG156">BG67-SUM(_xlfn._xlws.FILTER(_xlfn._xlws.FILTER(dataSummaryBS,dataSummaryBSSections=$E156),endDates=BG$8))</f>
        <v>0</v>
      </c>
      <c r="BH156" s="152" cm="1">
        <f t="array" ref="BH156">BH67-SUM(_xlfn._xlws.FILTER(_xlfn._xlws.FILTER(dataSummaryBS,dataSummaryBSSections=$E156),endDates=BH$8))</f>
        <v>0</v>
      </c>
      <c r="BI156" s="152" cm="1">
        <f t="array" ref="BI156">BI67-SUM(_xlfn._xlws.FILTER(_xlfn._xlws.FILTER(dataSummaryBS,dataSummaryBSSections=$E156),endDates=BI$8))</f>
        <v>0</v>
      </c>
      <c r="BJ156" s="152" cm="1">
        <f t="array" ref="BJ156">BJ67-SUM(_xlfn._xlws.FILTER(_xlfn._xlws.FILTER(dataSummaryBS,dataSummaryBSSections=$E156),endDates=BJ$8))</f>
        <v>0</v>
      </c>
      <c r="BK156" s="152" cm="1">
        <f t="array" ref="BK156">BK67-SUM(_xlfn._xlws.FILTER(_xlfn._xlws.FILTER(dataSummaryBS,dataSummaryBSSections=$E156),endDates=BK$8))</f>
        <v>0</v>
      </c>
      <c r="BL156" s="152" cm="1">
        <f t="array" ref="BL156">BL67-SUM(_xlfn._xlws.FILTER(_xlfn._xlws.FILTER(dataSummaryBS,dataSummaryBSSections=$E156),endDates=BL$8))</f>
        <v>0</v>
      </c>
      <c r="BM156" s="152" cm="1">
        <f t="array" ref="BM156">BM67-SUM(_xlfn._xlws.FILTER(_xlfn._xlws.FILTER(dataSummaryBS,dataSummaryBSSections=$E156),endDates=BM$8))</f>
        <v>0</v>
      </c>
      <c r="BN156" s="152" cm="1">
        <f t="array" ref="BN156">BN67-SUM(_xlfn._xlws.FILTER(_xlfn._xlws.FILTER(dataSummaryBS,dataSummaryBSSections=$E156),endDates=BN$8))</f>
        <v>0</v>
      </c>
      <c r="BO156" s="152" cm="1">
        <f t="array" ref="BO156">BO67-SUM(_xlfn._xlws.FILTER(_xlfn._xlws.FILTER(dataSummaryBS,dataSummaryBSSections=$E156),endDates=BO$8))</f>
        <v>0</v>
      </c>
      <c r="BP156" s="152" cm="1">
        <f t="array" ref="BP156">BP67-SUM(_xlfn._xlws.FILTER(_xlfn._xlws.FILTER(dataSummaryBS,dataSummaryBSSections=$E156),endDates=BP$8))</f>
        <v>0</v>
      </c>
      <c r="BQ156" s="152" cm="1">
        <f t="array" ref="BQ156">BQ67-SUM(_xlfn._xlws.FILTER(_xlfn._xlws.FILTER(dataSummaryBS,dataSummaryBSSections=$E156),endDates=BQ$8))</f>
        <v>0</v>
      </c>
      <c r="BR156" s="152" cm="1">
        <f t="array" ref="BR156">BR67-SUM(_xlfn._xlws.FILTER(_xlfn._xlws.FILTER(dataSummaryBS,dataSummaryBSSections=$E156),endDates=BR$8))</f>
        <v>0</v>
      </c>
      <c r="BS156" s="152" cm="1">
        <f t="array" ref="BS156">BS67-SUM(_xlfn._xlws.FILTER(_xlfn._xlws.FILTER(dataSummaryBS,dataSummaryBSSections=$E156),endDates=BS$8))</f>
        <v>0</v>
      </c>
      <c r="BT156" s="152" cm="1">
        <f t="array" ref="BT156">BT67-SUM(_xlfn._xlws.FILTER(_xlfn._xlws.FILTER(dataSummaryBS,dataSummaryBSSections=$E156),endDates=BT$8))</f>
        <v>0</v>
      </c>
      <c r="BU156" s="152" cm="1">
        <f t="array" ref="BU156">BU67-SUM(_xlfn._xlws.FILTER(_xlfn._xlws.FILTER(dataSummaryBS,dataSummaryBSSections=$E156),endDates=BU$8))</f>
        <v>0</v>
      </c>
      <c r="BV156" s="152" cm="1">
        <f t="array" ref="BV156">BV67-SUM(_xlfn._xlws.FILTER(_xlfn._xlws.FILTER(dataSummaryBS,dataSummaryBSSections=$E156),endDates=BV$8))</f>
        <v>0</v>
      </c>
      <c r="BW156" s="152" cm="1">
        <f t="array" ref="BW156">BW67-SUM(_xlfn._xlws.FILTER(_xlfn._xlws.FILTER(dataSummaryBS,dataSummaryBSSections=$E156),endDates=BW$8))</f>
        <v>0</v>
      </c>
      <c r="BX156" s="152" cm="1">
        <f t="array" ref="BX156">BX67-SUM(_xlfn._xlws.FILTER(_xlfn._xlws.FILTER(dataSummaryBS,dataSummaryBSSections=$E156),endDates=BX$8))</f>
        <v>0</v>
      </c>
      <c r="BY156" s="152" cm="1">
        <f t="array" ref="BY156">BY67-SUM(_xlfn._xlws.FILTER(_xlfn._xlws.FILTER(dataSummaryBS,dataSummaryBSSections=$E156),endDates=BY$8))</f>
        <v>0</v>
      </c>
      <c r="BZ156" s="152" cm="1">
        <f t="array" ref="BZ156">BZ67-SUM(_xlfn._xlws.FILTER(_xlfn._xlws.FILTER(dataSummaryBS,dataSummaryBSSections=$E156),endDates=BZ$8))</f>
        <v>0</v>
      </c>
      <c r="CA156" s="152" cm="1">
        <f t="array" ref="CA156">CA67-SUM(_xlfn._xlws.FILTER(_xlfn._xlws.FILTER(dataSummaryBS,dataSummaryBSSections=$E156),endDates=CA$8))</f>
        <v>0</v>
      </c>
      <c r="CB156" s="152" cm="1">
        <f t="array" ref="CB156">CB67-SUM(_xlfn._xlws.FILTER(_xlfn._xlws.FILTER(dataSummaryBS,dataSummaryBSSections=$E156),endDates=CB$8))</f>
        <v>0</v>
      </c>
      <c r="CC156" s="152" cm="1">
        <f t="array" ref="CC156">CC67-SUM(_xlfn._xlws.FILTER(_xlfn._xlws.FILTER(dataSummaryBS,dataSummaryBSSections=$E156),endDates=CC$8))</f>
        <v>0</v>
      </c>
      <c r="CD156" s="152" cm="1">
        <f t="array" ref="CD156">CD67-SUM(_xlfn._xlws.FILTER(_xlfn._xlws.FILTER(dataSummaryBS,dataSummaryBSSections=$E156),endDates=CD$8))</f>
        <v>0</v>
      </c>
      <c r="CE156" s="152" cm="1">
        <f t="array" ref="CE156">CE67-SUM(_xlfn._xlws.FILTER(_xlfn._xlws.FILTER(dataSummaryBS,dataSummaryBSSections=$E156),endDates=CE$8))</f>
        <v>0</v>
      </c>
      <c r="CF156" s="152" cm="1">
        <f t="array" ref="CF156">CF67-SUM(_xlfn._xlws.FILTER(_xlfn._xlws.FILTER(dataSummaryBS,dataSummaryBSSections=$E156),endDates=CF$8))</f>
        <v>0</v>
      </c>
      <c r="CG156" s="152" cm="1">
        <f t="array" ref="CG156">CG67-SUM(_xlfn._xlws.FILTER(_xlfn._xlws.FILTER(dataSummaryBS,dataSummaryBSSections=$E156),endDates=CG$8))</f>
        <v>0</v>
      </c>
    </row>
    <row r="157" spans="2:85" s="151" customFormat="1" ht="15" hidden="1" customHeight="1" outlineLevel="2">
      <c r="C157" s="151" t="s">
        <v>105</v>
      </c>
      <c r="D157" s="154"/>
      <c r="E157" s="155" t="s">
        <v>104</v>
      </c>
      <c r="F157" s="154"/>
      <c r="G157" s="154"/>
      <c r="J157" s="152" cm="1">
        <f t="array" ref="J157">J88-SUM(_xlfn._xlws.FILTER(_xlfn._xlws.FILTER(dataGLBSCF,dataGLBSAcctIDs=$E157),(endDatesCF=J75)))</f>
        <v>-5.8207660913467407E-10</v>
      </c>
      <c r="K157" s="152" cm="1">
        <f t="array" ref="K157">K88-SUM(_xlfn._xlws.FILTER(_xlfn._xlws.FILTER(dataGLBSCF,dataGLBSAcctIDs=$E157),(endDatesCF=K75)))</f>
        <v>-1.5133991837501526E-9</v>
      </c>
      <c r="N157" s="152" cm="1">
        <f t="array" ref="N157">N88-SUM(_xlfn._xlws.FILTER(_xlfn._xlws.FILTER(dataGLBSCF,dataGLBSAcctIDs=$E157),(endDatesCF=N75)))</f>
        <v>0</v>
      </c>
      <c r="O157" s="152" cm="1">
        <f t="array" ref="O157">O88-SUM(_xlfn._xlws.FILTER(_xlfn._xlws.FILTER(dataGLBSCF,dataGLBSAcctIDs=$E157),(endDatesCF=O75)))</f>
        <v>0</v>
      </c>
      <c r="P157" s="152" cm="1">
        <f t="array" ref="P157">P88-SUM(_xlfn._xlws.FILTER(_xlfn._xlws.FILTER(dataGLBSCF,dataGLBSAcctIDs=$E157),(endDatesCF=P75)))</f>
        <v>-1.862645149230957E-9</v>
      </c>
      <c r="Q157" s="152" cm="1">
        <f t="array" ref="Q157">Q88-SUM(_xlfn._xlws.FILTER(_xlfn._xlws.FILTER(dataGLBSCF,dataGLBSAcctIDs=$E157),(endDatesCF=Q75)))</f>
        <v>2.0954757928848267E-9</v>
      </c>
      <c r="R157" s="153"/>
      <c r="S157" s="153"/>
      <c r="T157" s="152" cm="1">
        <f t="array" ref="T157">T88-SUM(_xlfn._xlws.FILTER(_xlfn._xlws.FILTER(dataGLBSCF,dataGLBSAcctIDs=$E157),(endDatesCF=T75)))</f>
        <v>0</v>
      </c>
      <c r="U157" s="152" cm="1">
        <f t="array" ref="U157">U88-SUM(_xlfn._xlws.FILTER(_xlfn._xlws.FILTER(dataGLBSCF,dataGLBSAcctIDs=$E157),(endDatesCF=U75)))</f>
        <v>0</v>
      </c>
      <c r="V157" s="152" cm="1">
        <f t="array" ref="V157">V88-SUM(_xlfn._xlws.FILTER(_xlfn._xlws.FILTER(dataGLBSCF,dataGLBSAcctIDs=$E157),(endDatesCF=V75)))</f>
        <v>0</v>
      </c>
      <c r="W157" s="152" cm="1">
        <f t="array" ref="W157">W88-SUM(_xlfn._xlws.FILTER(_xlfn._xlws.FILTER(dataGLBSCF,dataGLBSAcctIDs=$E157),(endDatesCF=W75)))</f>
        <v>0</v>
      </c>
      <c r="X157" s="152" cm="1">
        <f t="array" ref="X157">X88-SUM(_xlfn._xlws.FILTER(_xlfn._xlws.FILTER(dataGLBSCF,dataGLBSAcctIDs=$E157),(endDatesCF=X75)))</f>
        <v>0</v>
      </c>
      <c r="Y157" s="152" cm="1">
        <f t="array" ref="Y157">Y88-SUM(_xlfn._xlws.FILTER(_xlfn._xlws.FILTER(dataGLBSCF,dataGLBSAcctIDs=$E157),(endDatesCF=Y75)))</f>
        <v>0</v>
      </c>
      <c r="Z157" s="152" cm="1">
        <f t="array" ref="Z157">Z88-SUM(_xlfn._xlws.FILTER(_xlfn._xlws.FILTER(dataGLBSCF,dataGLBSAcctIDs=$E157),(endDatesCF=Z75)))</f>
        <v>0</v>
      </c>
      <c r="AA157" s="152" cm="1">
        <f t="array" ref="AA157">AA88-SUM(_xlfn._xlws.FILTER(_xlfn._xlws.FILTER(dataGLBSCF,dataGLBSAcctIDs=$E157),(endDatesCF=AA75)))</f>
        <v>0</v>
      </c>
      <c r="AB157" s="152" cm="1">
        <f t="array" ref="AB157">AB88-SUM(_xlfn._xlws.FILTER(_xlfn._xlws.FILTER(dataGLBSCF,dataGLBSAcctIDs=$E157),(endDatesCF=AB75)))</f>
        <v>0</v>
      </c>
      <c r="AC157" s="152" cm="1">
        <f t="array" ref="AC157">AC88-SUM(_xlfn._xlws.FILTER(_xlfn._xlws.FILTER(dataGLBSCF,dataGLBSAcctIDs=$E157),(endDatesCF=AC75)))</f>
        <v>0</v>
      </c>
      <c r="AD157" s="152" cm="1">
        <f t="array" ref="AD157">AD88-SUM(_xlfn._xlws.FILTER(_xlfn._xlws.FILTER(dataGLBSCF,dataGLBSAcctIDs=$E157),(endDatesCF=AD75)))</f>
        <v>0</v>
      </c>
      <c r="AE157" s="152" cm="1">
        <f t="array" ref="AE157">AE88-SUM(_xlfn._xlws.FILTER(_xlfn._xlws.FILTER(dataGLBSCF,dataGLBSAcctIDs=$E157),(endDatesCF=AE75)))</f>
        <v>0</v>
      </c>
      <c r="AF157" s="152" cm="1">
        <f t="array" ref="AF157">AF88-SUM(_xlfn._xlws.FILTER(_xlfn._xlws.FILTER(dataGLBSCF,dataGLBSAcctIDs=$E157),(endDatesCF=AF75)))</f>
        <v>0</v>
      </c>
      <c r="AG157" s="152" cm="1">
        <f t="array" ref="AG157">AG88-SUM(_xlfn._xlws.FILTER(_xlfn._xlws.FILTER(dataGLBSCF,dataGLBSAcctIDs=$E157),(endDatesCF=AG75)))</f>
        <v>-3.92901711165905E-10</v>
      </c>
      <c r="AH157" s="152" cm="1">
        <f t="array" ref="AH157">AH88-SUM(_xlfn._xlws.FILTER(_xlfn._xlws.FILTER(dataGLBSCF,dataGLBSAcctIDs=$E157),(endDatesCF=AH75)))</f>
        <v>0</v>
      </c>
      <c r="AI157" s="152" cm="1">
        <f t="array" ref="AI157">AI88-SUM(_xlfn._xlws.FILTER(_xlfn._xlws.FILTER(dataGLBSCF,dataGLBSAcctIDs=$E157),(endDatesCF=AI75)))</f>
        <v>0</v>
      </c>
      <c r="AJ157" s="153"/>
      <c r="AK157" s="153"/>
      <c r="AL157" s="152" cm="1">
        <f t="array" ref="AL157">AL88-SUM(_xlfn._xlws.FILTER(_xlfn._xlws.FILTER(dataGLBSCF,dataGLBSAcctIDs=$E157),(endDatesCF=AL75)))</f>
        <v>0</v>
      </c>
      <c r="AM157" s="152" cm="1">
        <f t="array" ref="AM157">AM88-SUM(_xlfn._xlws.FILTER(_xlfn._xlws.FILTER(dataGLBSCF,dataGLBSAcctIDs=$E157),(endDatesCF=AM75)))</f>
        <v>0</v>
      </c>
      <c r="AN157" s="152" cm="1">
        <f t="array" ref="AN157">AN88-SUM(_xlfn._xlws.FILTER(_xlfn._xlws.FILTER(dataGLBSCF,dataGLBSAcctIDs=$E157),(endDatesCF=AN75)))</f>
        <v>0</v>
      </c>
      <c r="AO157" s="152" cm="1">
        <f t="array" ref="AO157">AO88-SUM(_xlfn._xlws.FILTER(_xlfn._xlws.FILTER(dataGLBSCF,dataGLBSAcctIDs=$E157),(endDatesCF=AO75)))</f>
        <v>0</v>
      </c>
      <c r="AP157" s="152" cm="1">
        <f t="array" ref="AP157">AP88-SUM(_xlfn._xlws.FILTER(_xlfn._xlws.FILTER(dataGLBSCF,dataGLBSAcctIDs=$E157),(endDatesCF=AP75)))</f>
        <v>0</v>
      </c>
      <c r="AQ157" s="152" cm="1">
        <f t="array" ref="AQ157">AQ88-SUM(_xlfn._xlws.FILTER(_xlfn._xlws.FILTER(dataGLBSCF,dataGLBSAcctIDs=$E157),(endDatesCF=AQ75)))</f>
        <v>0</v>
      </c>
      <c r="AR157" s="152" cm="1">
        <f t="array" ref="AR157">AR88-SUM(_xlfn._xlws.FILTER(_xlfn._xlws.FILTER(dataGLBSCF,dataGLBSAcctIDs=$E157),(endDatesCF=AR75)))</f>
        <v>0</v>
      </c>
      <c r="AS157" s="152" cm="1">
        <f t="array" ref="AS157">AS88-SUM(_xlfn._xlws.FILTER(_xlfn._xlws.FILTER(dataGLBSCF,dataGLBSAcctIDs=$E157),(endDatesCF=AS75)))</f>
        <v>0</v>
      </c>
      <c r="AT157" s="152" cm="1">
        <f t="array" ref="AT157">AT88-SUM(_xlfn._xlws.FILTER(_xlfn._xlws.FILTER(dataGLBSCF,dataGLBSAcctIDs=$E157),(endDatesCF=AT75)))</f>
        <v>0</v>
      </c>
      <c r="AU157" s="152" cm="1">
        <f t="array" ref="AU157">AU88-SUM(_xlfn._xlws.FILTER(_xlfn._xlws.FILTER(dataGLBSCF,dataGLBSAcctIDs=$E157),(endDatesCF=AU75)))</f>
        <v>0</v>
      </c>
      <c r="AV157" s="152" cm="1">
        <f t="array" ref="AV157">AV88-SUM(_xlfn._xlws.FILTER(_xlfn._xlws.FILTER(dataGLBSCF,dataGLBSAcctIDs=$E157),(endDatesCF=AV75)))</f>
        <v>0</v>
      </c>
      <c r="AW157" s="152" cm="1">
        <f t="array" ref="AW157">AW88-SUM(_xlfn._xlws.FILTER(_xlfn._xlws.FILTER(dataGLBSCF,dataGLBSAcctIDs=$E157),(endDatesCF=AW75)))</f>
        <v>0</v>
      </c>
      <c r="AX157" s="152" cm="1">
        <f t="array" ref="AX157">AX88-SUM(_xlfn._xlws.FILTER(_xlfn._xlws.FILTER(dataGLBSCF,dataGLBSAcctIDs=$E157),(endDatesCF=AX75)))</f>
        <v>0</v>
      </c>
      <c r="AY157" s="152" cm="1">
        <f t="array" ref="AY157">AY88-SUM(_xlfn._xlws.FILTER(_xlfn._xlws.FILTER(dataGLBSCF,dataGLBSAcctIDs=$E157),(endDatesCF=AY75)))</f>
        <v>0</v>
      </c>
      <c r="AZ157" s="152" cm="1">
        <f t="array" ref="AZ157">AZ88-SUM(_xlfn._xlws.FILTER(_xlfn._xlws.FILTER(dataGLBSCF,dataGLBSAcctIDs=$E157),(endDatesCF=AZ75)))</f>
        <v>0</v>
      </c>
      <c r="BA157" s="152" cm="1">
        <f t="array" ref="BA157">BA88-SUM(_xlfn._xlws.FILTER(_xlfn._xlws.FILTER(dataGLBSCF,dataGLBSAcctIDs=$E157),(endDatesCF=BA75)))</f>
        <v>0</v>
      </c>
      <c r="BB157" s="152" cm="1">
        <f t="array" ref="BB157">BB88-SUM(_xlfn._xlws.FILTER(_xlfn._xlws.FILTER(dataGLBSCF,dataGLBSAcctIDs=$E157),(endDatesCF=BB75)))</f>
        <v>0</v>
      </c>
      <c r="BC157" s="152" cm="1">
        <f t="array" ref="BC157">BC88-SUM(_xlfn._xlws.FILTER(_xlfn._xlws.FILTER(dataGLBSCF,dataGLBSAcctIDs=$E157),(endDatesCF=BC75)))</f>
        <v>0</v>
      </c>
      <c r="BD157" s="152" cm="1">
        <f t="array" ref="BD157">BD88-SUM(_xlfn._xlws.FILTER(_xlfn._xlws.FILTER(dataGLBSCF,dataGLBSAcctIDs=$E157),(endDatesCF=BD75)))</f>
        <v>0</v>
      </c>
      <c r="BE157" s="152" cm="1">
        <f t="array" ref="BE157">BE88-SUM(_xlfn._xlws.FILTER(_xlfn._xlws.FILTER(dataGLBSCF,dataGLBSAcctIDs=$E157),(endDatesCF=BE75)))</f>
        <v>0</v>
      </c>
      <c r="BF157" s="152" cm="1">
        <f t="array" ref="BF157">BF88-SUM(_xlfn._xlws.FILTER(_xlfn._xlws.FILTER(dataGLBSCF,dataGLBSAcctIDs=$E157),(endDatesCF=BF75)))</f>
        <v>0</v>
      </c>
      <c r="BG157" s="152" cm="1">
        <f t="array" ref="BG157">BG88-SUM(_xlfn._xlws.FILTER(_xlfn._xlws.FILTER(dataGLBSCF,dataGLBSAcctIDs=$E157),(endDatesCF=BG75)))</f>
        <v>0</v>
      </c>
      <c r="BH157" s="152" cm="1">
        <f t="array" ref="BH157">BH88-SUM(_xlfn._xlws.FILTER(_xlfn._xlws.FILTER(dataGLBSCF,dataGLBSAcctIDs=$E157),(endDatesCF=BH75)))</f>
        <v>0</v>
      </c>
      <c r="BI157" s="152" cm="1">
        <f t="array" ref="BI157">BI88-SUM(_xlfn._xlws.FILTER(_xlfn._xlws.FILTER(dataGLBSCF,dataGLBSAcctIDs=$E157),(endDatesCF=BI75)))</f>
        <v>0</v>
      </c>
      <c r="BJ157" s="152" cm="1">
        <f t="array" ref="BJ157">BJ88-SUM(_xlfn._xlws.FILTER(_xlfn._xlws.FILTER(dataGLBSCF,dataGLBSAcctIDs=$E157),(endDatesCF=BJ75)))</f>
        <v>0</v>
      </c>
      <c r="BK157" s="152" cm="1">
        <f t="array" ref="BK157">BK88-SUM(_xlfn._xlws.FILTER(_xlfn._xlws.FILTER(dataGLBSCF,dataGLBSAcctIDs=$E157),(endDatesCF=BK75)))</f>
        <v>0</v>
      </c>
      <c r="BL157" s="152" cm="1">
        <f t="array" ref="BL157">BL88-SUM(_xlfn._xlws.FILTER(_xlfn._xlws.FILTER(dataGLBSCF,dataGLBSAcctIDs=$E157),(endDatesCF=BL75)))</f>
        <v>0</v>
      </c>
      <c r="BM157" s="152" cm="1">
        <f t="array" ref="BM157">BM88-SUM(_xlfn._xlws.FILTER(_xlfn._xlws.FILTER(dataGLBSCF,dataGLBSAcctIDs=$E157),(endDatesCF=BM75)))</f>
        <v>0</v>
      </c>
      <c r="BN157" s="152" cm="1">
        <f t="array" ref="BN157">BN88-SUM(_xlfn._xlws.FILTER(_xlfn._xlws.FILTER(dataGLBSCF,dataGLBSAcctIDs=$E157),(endDatesCF=BN75)))</f>
        <v>0</v>
      </c>
      <c r="BO157" s="152" cm="1">
        <f t="array" ref="BO157">BO88-SUM(_xlfn._xlws.FILTER(_xlfn._xlws.FILTER(dataGLBSCF,dataGLBSAcctIDs=$E157),(endDatesCF=BO75)))</f>
        <v>0</v>
      </c>
      <c r="BP157" s="152" cm="1">
        <f t="array" ref="BP157">BP88-SUM(_xlfn._xlws.FILTER(_xlfn._xlws.FILTER(dataGLBSCF,dataGLBSAcctIDs=$E157),(endDatesCF=BP75)))</f>
        <v>0</v>
      </c>
      <c r="BQ157" s="152" cm="1">
        <f t="array" ref="BQ157">BQ88-SUM(_xlfn._xlws.FILTER(_xlfn._xlws.FILTER(dataGLBSCF,dataGLBSAcctIDs=$E157),(endDatesCF=BQ75)))</f>
        <v>0</v>
      </c>
      <c r="BR157" s="152" cm="1">
        <f t="array" ref="BR157">BR88-SUM(_xlfn._xlws.FILTER(_xlfn._xlws.FILTER(dataGLBSCF,dataGLBSAcctIDs=$E157),(endDatesCF=BR75)))</f>
        <v>0</v>
      </c>
      <c r="BS157" s="152" cm="1">
        <f t="array" ref="BS157">BS88-SUM(_xlfn._xlws.FILTER(_xlfn._xlws.FILTER(dataGLBSCF,dataGLBSAcctIDs=$E157),(endDatesCF=BS75)))</f>
        <v>0</v>
      </c>
      <c r="BT157" s="152" cm="1">
        <f t="array" ref="BT157">BT88-SUM(_xlfn._xlws.FILTER(_xlfn._xlws.FILTER(dataGLBSCF,dataGLBSAcctIDs=$E157),(endDatesCF=BT75)))</f>
        <v>0</v>
      </c>
      <c r="BU157" s="152" cm="1">
        <f t="array" ref="BU157">BU88-SUM(_xlfn._xlws.FILTER(_xlfn._xlws.FILTER(dataGLBSCF,dataGLBSAcctIDs=$E157),(endDatesCF=BU75)))</f>
        <v>0</v>
      </c>
      <c r="BV157" s="152" cm="1">
        <f t="array" ref="BV157">BV88-SUM(_xlfn._xlws.FILTER(_xlfn._xlws.FILTER(dataGLBSCF,dataGLBSAcctIDs=$E157),(endDatesCF=BV75)))</f>
        <v>0</v>
      </c>
      <c r="BW157" s="152" cm="1">
        <f t="array" ref="BW157">BW88-SUM(_xlfn._xlws.FILTER(_xlfn._xlws.FILTER(dataGLBSCF,dataGLBSAcctIDs=$E157),(endDatesCF=BW75)))</f>
        <v>0</v>
      </c>
      <c r="BX157" s="152" cm="1">
        <f t="array" ref="BX157">BX88-SUM(_xlfn._xlws.FILTER(_xlfn._xlws.FILTER(dataGLBSCF,dataGLBSAcctIDs=$E157),(endDatesCF=BX75)))</f>
        <v>0</v>
      </c>
      <c r="BY157" s="152" cm="1">
        <f t="array" ref="BY157">BY88-SUM(_xlfn._xlws.FILTER(_xlfn._xlws.FILTER(dataGLBSCF,dataGLBSAcctIDs=$E157),(endDatesCF=BY75)))</f>
        <v>0</v>
      </c>
      <c r="BZ157" s="152" cm="1">
        <f t="array" ref="BZ157">BZ88-SUM(_xlfn._xlws.FILTER(_xlfn._xlws.FILTER(dataGLBSCF,dataGLBSAcctIDs=$E157),(endDatesCF=BZ75)))</f>
        <v>0</v>
      </c>
      <c r="CA157" s="152" cm="1">
        <f t="array" ref="CA157">CA88-SUM(_xlfn._xlws.FILTER(_xlfn._xlws.FILTER(dataGLBSCF,dataGLBSAcctIDs=$E157),(endDatesCF=CA75)))</f>
        <v>2.7648638933897018E-10</v>
      </c>
      <c r="CB157" s="152" cm="1">
        <f t="array" ref="CB157">CB88-SUM(_xlfn._xlws.FILTER(_xlfn._xlws.FILTER(dataGLBSCF,dataGLBSAcctIDs=$E157),(endDatesCF=CB75)))</f>
        <v>-4.6566128730773926E-10</v>
      </c>
      <c r="CC157" s="152" cm="1">
        <f t="array" ref="CC157">CC88-SUM(_xlfn._xlws.FILTER(_xlfn._xlws.FILTER(dataGLBSCF,dataGLBSAcctIDs=$E157),(endDatesCF=CC75)))</f>
        <v>0</v>
      </c>
      <c r="CD157" s="152" cm="1">
        <f t="array" ref="CD157">CD88-SUM(_xlfn._xlws.FILTER(_xlfn._xlws.FILTER(dataGLBSCF,dataGLBSAcctIDs=$E157),(endDatesCF=CD75)))</f>
        <v>0</v>
      </c>
      <c r="CE157" s="152" cm="1">
        <f t="array" ref="CE157">CE88-SUM(_xlfn._xlws.FILTER(_xlfn._xlws.FILTER(dataGLBSCF,dataGLBSAcctIDs=$E157),(endDatesCF=CE75)))</f>
        <v>0</v>
      </c>
      <c r="CF157" s="152" cm="1">
        <f t="array" ref="CF157">CF88-SUM(_xlfn._xlws.FILTER(_xlfn._xlws.FILTER(dataGLBSCF,dataGLBSAcctIDs=$E157),(endDatesCF=CF75)))</f>
        <v>0</v>
      </c>
      <c r="CG157" s="152" cm="1">
        <f t="array" ref="CG157">CG88-SUM(_xlfn._xlws.FILTER(_xlfn._xlws.FILTER(dataGLBSCF,dataGLBSAcctIDs=$E157),(endDatesCF=CG75)))</f>
        <v>0</v>
      </c>
    </row>
  </sheetData>
  <mergeCells count="16">
    <mergeCell ref="I93:I99"/>
    <mergeCell ref="M93:M99"/>
    <mergeCell ref="S93:S99"/>
    <mergeCell ref="AK93:AK99"/>
    <mergeCell ref="I72:I78"/>
    <mergeCell ref="M72:M78"/>
    <mergeCell ref="S72:S78"/>
    <mergeCell ref="AK72:AK78"/>
    <mergeCell ref="I5:I11"/>
    <mergeCell ref="M5:M11"/>
    <mergeCell ref="S5:S11"/>
    <mergeCell ref="AK5:AK11"/>
    <mergeCell ref="I46:I52"/>
    <mergeCell ref="M46:M52"/>
    <mergeCell ref="S46:S52"/>
    <mergeCell ref="AK46:AK52"/>
  </mergeCells>
  <phoneticPr fontId="50" type="noConversion"/>
  <conditionalFormatting sqref="AL6:CG43">
    <cfRule type="expression" dxfId="3" priority="5">
      <formula>AK$8=LatestMonthOfActuals</formula>
    </cfRule>
  </conditionalFormatting>
  <conditionalFormatting sqref="AL47:CG69">
    <cfRule type="expression" dxfId="2" priority="6">
      <formula>AK$49=LatestMonthOfActuals</formula>
    </cfRule>
  </conditionalFormatting>
  <conditionalFormatting sqref="AL73:CG90">
    <cfRule type="expression" dxfId="1" priority="7">
      <formula>AK$75=LatestMonthOfActuals</formula>
    </cfRule>
  </conditionalFormatting>
  <conditionalFormatting sqref="AL94:CG143">
    <cfRule type="expression" dxfId="0" priority="1">
      <formula>AK$75=LatestMonthOfActuals</formula>
    </cfRule>
  </conditionalFormatting>
  <pageMargins left="0.7" right="0.7" top="0.75" bottom="0.75" header="0.3" footer="0.3"/>
  <pageSetup orientation="portrait" r:id="rId1"/>
  <customProperties>
    <customPr name="mw_sheet_automation_config" r:id="rId2"/>
    <customPr name="pdf-export" r:id="rId3"/>
    <customPr name="sourceTemplate" r:id="rId4"/>
  </customProperties>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E307B-18F4-479E-A210-C3DC85703BB7}">
  <sheetPr>
    <tabColor rgb="FFF5F5E7"/>
  </sheetPr>
  <dimension ref="B1:AA45"/>
  <sheetViews>
    <sheetView showGridLines="0" tabSelected="1" topLeftCell="A5" zoomScale="70" zoomScaleNormal="70" workbookViewId="0">
      <selection activeCell="D16" sqref="D16"/>
    </sheetView>
  </sheetViews>
  <sheetFormatPr defaultColWidth="8.85546875" defaultRowHeight="15" outlineLevelRow="1"/>
  <cols>
    <col min="1" max="1" width="1.7109375" customWidth="1"/>
    <col min="2" max="2" width="2.28515625" customWidth="1"/>
    <col min="3" max="3" width="28.42578125" bestFit="1" customWidth="1"/>
    <col min="4" max="4" width="15.85546875" customWidth="1"/>
    <col min="5" max="5" width="16.7109375" bestFit="1" customWidth="1"/>
    <col min="6" max="6" width="13.85546875" bestFit="1" customWidth="1"/>
    <col min="7" max="7" width="10" bestFit="1" customWidth="1"/>
    <col min="9" max="11" width="18.42578125" customWidth="1"/>
    <col min="14" max="21" width="16.140625" customWidth="1"/>
    <col min="23" max="23" width="11.42578125" bestFit="1" customWidth="1"/>
  </cols>
  <sheetData>
    <row r="1" spans="2:27" hidden="1" outlineLevel="1"/>
    <row r="2" spans="2:27" hidden="1" outlineLevel="1">
      <c r="C2" t="s">
        <v>72</v>
      </c>
      <c r="D2" s="588">
        <v>45962</v>
      </c>
    </row>
    <row r="3" spans="2:27" hidden="1" outlineLevel="1">
      <c r="C3" t="s">
        <v>78</v>
      </c>
      <c r="D3" s="588">
        <v>45991</v>
      </c>
    </row>
    <row r="4" spans="2:27" hidden="1" outlineLevel="1"/>
    <row r="5" spans="2:27" collapsed="1"/>
    <row r="6" spans="2:27">
      <c r="B6" s="587"/>
      <c r="C6" s="586"/>
      <c r="D6" s="586"/>
      <c r="E6" s="586"/>
      <c r="F6" s="586"/>
      <c r="G6" s="586"/>
      <c r="H6" s="586"/>
      <c r="I6" s="586"/>
      <c r="J6" s="586"/>
      <c r="K6" s="586"/>
      <c r="L6" s="586"/>
      <c r="M6" s="585"/>
    </row>
    <row r="7" spans="2:27">
      <c r="B7" s="553"/>
      <c r="M7" s="554"/>
    </row>
    <row r="8" spans="2:27">
      <c r="B8" s="553"/>
      <c r="M8" s="554"/>
    </row>
    <row r="9" spans="2:27">
      <c r="B9" s="584"/>
      <c r="C9" s="778" t="s">
        <v>202</v>
      </c>
      <c r="D9" s="778"/>
      <c r="E9" s="779" t="str">
        <f>TEXT(D2,"MMMM YYYY")&amp;IF(EOMONTH(D2,0)=$D$3,""," - "&amp;TEXT($D$3,"MMMM YYYY"))</f>
        <v>November 2025</v>
      </c>
      <c r="F9" s="779"/>
      <c r="G9" s="779"/>
      <c r="H9" s="779"/>
      <c r="I9" s="779"/>
      <c r="J9" s="779"/>
      <c r="K9" s="779"/>
      <c r="L9" s="583"/>
      <c r="M9" s="582"/>
    </row>
    <row r="10" spans="2:27">
      <c r="B10" s="584"/>
      <c r="C10" s="778"/>
      <c r="D10" s="778"/>
      <c r="E10" s="779"/>
      <c r="F10" s="779"/>
      <c r="G10" s="779"/>
      <c r="H10" s="779"/>
      <c r="I10" s="779"/>
      <c r="J10" s="779"/>
      <c r="K10" s="779"/>
      <c r="L10" s="583"/>
      <c r="M10" s="582"/>
    </row>
    <row r="11" spans="2:27">
      <c r="B11" s="584"/>
      <c r="C11" s="778"/>
      <c r="D11" s="778"/>
      <c r="E11" s="779"/>
      <c r="F11" s="779"/>
      <c r="G11" s="779"/>
      <c r="H11" s="779"/>
      <c r="I11" s="779"/>
      <c r="J11" s="779"/>
      <c r="K11" s="779"/>
      <c r="L11" s="583"/>
      <c r="M11" s="582"/>
    </row>
    <row r="12" spans="2:27">
      <c r="B12" s="553"/>
      <c r="M12" s="554"/>
    </row>
    <row r="13" spans="2:27">
      <c r="B13" s="553"/>
      <c r="C13" s="581"/>
      <c r="D13" s="579" t="s">
        <v>203</v>
      </c>
      <c r="E13" s="579" t="s">
        <v>204</v>
      </c>
      <c r="F13" s="580" t="s">
        <v>120</v>
      </c>
      <c r="G13" s="579" t="s">
        <v>121</v>
      </c>
      <c r="M13" s="554"/>
    </row>
    <row r="14" spans="2:27">
      <c r="B14" s="553"/>
      <c r="C14" s="571" t="s">
        <v>98</v>
      </c>
      <c r="D14" s="570">
        <v>500000</v>
      </c>
      <c r="E14" s="570">
        <v>450000</v>
      </c>
      <c r="F14" s="570">
        <f>E14-D14</f>
        <v>-50000</v>
      </c>
      <c r="G14" s="569">
        <f>IFERROR(F14/ABS(D14),0)</f>
        <v>-0.1</v>
      </c>
      <c r="M14" s="554"/>
    </row>
    <row r="15" spans="2:27">
      <c r="B15" s="553"/>
      <c r="C15" s="571" t="s">
        <v>80</v>
      </c>
      <c r="D15" s="570">
        <v>25600</v>
      </c>
      <c r="E15" s="570">
        <v>20308.399452699898</v>
      </c>
      <c r="F15" s="570">
        <f>D15-E15</f>
        <v>5291.6005473001023</v>
      </c>
      <c r="G15" s="569">
        <f>IFERROR(F15/ABS(D15),0)</f>
        <v>0.20670314637891024</v>
      </c>
      <c r="M15" s="554"/>
      <c r="V15" t="s">
        <v>205</v>
      </c>
      <c r="W15" t="s">
        <v>206</v>
      </c>
      <c r="X15" t="s">
        <v>207</v>
      </c>
      <c r="Y15" t="s">
        <v>208</v>
      </c>
      <c r="Z15" t="s">
        <v>209</v>
      </c>
      <c r="AA15" t="s">
        <v>210</v>
      </c>
    </row>
    <row r="16" spans="2:27" ht="17.25">
      <c r="B16" s="553"/>
      <c r="C16" s="578" t="s">
        <v>81</v>
      </c>
      <c r="D16" s="557">
        <f>D14-D15</f>
        <v>474400</v>
      </c>
      <c r="E16" s="557">
        <f>E14-E15</f>
        <v>429691.60054730013</v>
      </c>
      <c r="F16" s="557">
        <f>E16-D16</f>
        <v>-44708.399452699872</v>
      </c>
      <c r="G16" s="577">
        <f>IFERROR(F16/ABS(D16),0)</f>
        <v>-9.4241988728288095E-2</v>
      </c>
      <c r="I16" s="568" t="s">
        <v>98</v>
      </c>
      <c r="K16" s="568" t="str">
        <f>C31</f>
        <v>Net Income</v>
      </c>
      <c r="M16" s="554"/>
      <c r="V16" t="str">
        <f>I16</f>
        <v>Revenue</v>
      </c>
      <c r="W16" s="572">
        <f>I19</f>
        <v>-0.1</v>
      </c>
      <c r="X16" s="572">
        <f>IF(W16&lt;0,ABS(W16),"")</f>
        <v>0.1</v>
      </c>
      <c r="Y16" s="572">
        <f>IF(W16&lt;0,1-X16,"")</f>
        <v>0.9</v>
      </c>
      <c r="Z16" s="572" t="str">
        <f>IF(W16&gt;0,ABS(W16),"")</f>
        <v/>
      </c>
      <c r="AA16" s="572" t="str">
        <f>IF(W16&gt;0,1-W16,"")</f>
        <v/>
      </c>
    </row>
    <row r="17" spans="2:27" ht="17.25">
      <c r="B17" s="553"/>
      <c r="C17" s="558" t="s">
        <v>82</v>
      </c>
      <c r="D17" s="576">
        <f>IFERROR(D16/D14,0)</f>
        <v>0.94879999999999998</v>
      </c>
      <c r="E17" s="576">
        <f>IFERROR(E16/E14,0)</f>
        <v>0.95487022343844474</v>
      </c>
      <c r="F17" s="576">
        <f>E17-D17</f>
        <v>6.0702234384447662E-3</v>
      </c>
      <c r="G17" s="555"/>
      <c r="I17" s="567">
        <f>F14</f>
        <v>-50000</v>
      </c>
      <c r="K17" s="567">
        <f>F31</f>
        <v>-39628.615506002505</v>
      </c>
      <c r="M17" s="554"/>
      <c r="V17" t="str">
        <f>K16</f>
        <v>Net Income</v>
      </c>
      <c r="W17" s="572">
        <f>K19</f>
        <v>-0.72099795273377898</v>
      </c>
      <c r="X17" s="572">
        <f>IF(W17&lt;0,ABS(W17),"")</f>
        <v>0.72099795273377898</v>
      </c>
      <c r="Y17" s="572">
        <f>IF(W17&lt;0,1-X17,"")</f>
        <v>0.27900204726622102</v>
      </c>
      <c r="Z17" s="572" t="str">
        <f>IF(W17&gt;0,ABS(W17),"")</f>
        <v/>
      </c>
      <c r="AA17" s="572" t="str">
        <f>IF(W17&gt;0,1-W17,"")</f>
        <v/>
      </c>
    </row>
    <row r="18" spans="2:27">
      <c r="B18" s="553"/>
      <c r="C18" s="563"/>
      <c r="D18" s="562"/>
      <c r="E18" s="562"/>
      <c r="F18" s="562"/>
      <c r="G18" s="562"/>
      <c r="M18" s="554"/>
      <c r="V18" t="str">
        <f>I28</f>
        <v>Cash Burn</v>
      </c>
      <c r="W18" s="572">
        <f>I31</f>
        <v>0.38754461740670448</v>
      </c>
      <c r="X18" s="572" t="str">
        <f>IF(W18&lt;0,ABS(W18),"")</f>
        <v/>
      </c>
      <c r="Y18" s="572" t="str">
        <f>IF(W18&lt;0,1-X18,"")</f>
        <v/>
      </c>
      <c r="Z18" s="572">
        <f>IF(W18&gt;0,ABS(W18),"")</f>
        <v>0.38754461740670448</v>
      </c>
      <c r="AA18" s="572">
        <f>IF(W18&gt;0,1-W18,"")</f>
        <v>0.61245538259329546</v>
      </c>
    </row>
    <row r="19" spans="2:27" ht="15.75">
      <c r="B19" s="553"/>
      <c r="C19" s="575" t="s">
        <v>211</v>
      </c>
      <c r="D19" s="574">
        <v>114000</v>
      </c>
      <c r="E19" s="574">
        <v>112365.67891260301</v>
      </c>
      <c r="F19" s="574">
        <f t="shared" ref="F19:F25" si="0">D19-E19</f>
        <v>1634.3210873969947</v>
      </c>
      <c r="G19" s="573">
        <f t="shared" ref="G19:G25" si="1">IFERROR(F19/ABS(D19),0)</f>
        <v>1.4336149889447323E-2</v>
      </c>
      <c r="I19" s="564">
        <f>G14</f>
        <v>-0.1</v>
      </c>
      <c r="K19" s="564">
        <f>G31</f>
        <v>-0.72099795273377898</v>
      </c>
      <c r="M19" s="554"/>
      <c r="V19" t="str">
        <f>K28</f>
        <v>Ending Cash</v>
      </c>
      <c r="W19" s="572">
        <f>K31</f>
        <v>3.5791247011867637E-2</v>
      </c>
      <c r="X19" s="572" t="str">
        <f>IF(W19&lt;0,ABS(W19),"")</f>
        <v/>
      </c>
      <c r="Y19" s="572" t="str">
        <f>IF(W19&lt;0,1-X19,"")</f>
        <v/>
      </c>
      <c r="Z19" s="572">
        <f>IF(W19&gt;0,ABS(W19),"")</f>
        <v>3.5791247011867637E-2</v>
      </c>
      <c r="AA19" s="572">
        <f>IF(W19&gt;0,1-W19,"")</f>
        <v>0.96420875298813236</v>
      </c>
    </row>
    <row r="20" spans="2:27">
      <c r="B20" s="553"/>
      <c r="C20" s="571" t="s">
        <v>212</v>
      </c>
      <c r="D20" s="570">
        <v>44031</v>
      </c>
      <c r="E20" s="570">
        <v>43181.136800300628</v>
      </c>
      <c r="F20" s="570">
        <f t="shared" si="0"/>
        <v>849.86319969937176</v>
      </c>
      <c r="G20" s="569">
        <f t="shared" si="1"/>
        <v>1.9301473954699458E-2</v>
      </c>
      <c r="M20" s="554"/>
    </row>
    <row r="21" spans="2:27">
      <c r="B21" s="553"/>
      <c r="C21" s="571" t="s">
        <v>213</v>
      </c>
      <c r="D21" s="570">
        <v>67300</v>
      </c>
      <c r="E21" s="570">
        <v>66757.373571367774</v>
      </c>
      <c r="F21" s="570">
        <f t="shared" si="0"/>
        <v>542.62642863222572</v>
      </c>
      <c r="G21" s="569">
        <f t="shared" si="1"/>
        <v>8.0627998310880498E-3</v>
      </c>
      <c r="M21" s="554"/>
    </row>
    <row r="22" spans="2:27">
      <c r="B22" s="553"/>
      <c r="C22" s="571" t="s">
        <v>214</v>
      </c>
      <c r="D22" s="570">
        <v>32827.914359903094</v>
      </c>
      <c r="E22" s="570">
        <v>32762.024826239325</v>
      </c>
      <c r="F22" s="570">
        <f t="shared" si="0"/>
        <v>65.889533663768816</v>
      </c>
      <c r="G22" s="569">
        <f t="shared" si="1"/>
        <v>2.0071190920446678E-3</v>
      </c>
      <c r="M22" s="554"/>
    </row>
    <row r="23" spans="2:27">
      <c r="B23" s="553"/>
      <c r="C23" s="571" t="s">
        <v>38</v>
      </c>
      <c r="D23" s="570">
        <v>199989.52922238916</v>
      </c>
      <c r="E23" s="570">
        <v>202762.17529974491</v>
      </c>
      <c r="F23" s="570">
        <f t="shared" si="0"/>
        <v>-2772.6460773557483</v>
      </c>
      <c r="G23" s="569">
        <f t="shared" si="1"/>
        <v>-1.3863956218790609E-2</v>
      </c>
      <c r="M23" s="554"/>
    </row>
    <row r="24" spans="2:27">
      <c r="B24" s="553"/>
      <c r="C24" s="571" t="s">
        <v>215</v>
      </c>
      <c r="D24" s="570">
        <v>11915.118180600815</v>
      </c>
      <c r="E24" s="570">
        <v>11660.920305940061</v>
      </c>
      <c r="F24" s="570">
        <f t="shared" si="0"/>
        <v>254.19787466075468</v>
      </c>
      <c r="G24" s="569">
        <f t="shared" si="1"/>
        <v>2.1334062390973015E-2</v>
      </c>
      <c r="M24" s="554"/>
    </row>
    <row r="25" spans="2:27">
      <c r="B25" s="553"/>
      <c r="C25" s="558" t="s">
        <v>216</v>
      </c>
      <c r="D25" s="557">
        <f>SUM(D19:D24)</f>
        <v>470063.56176289305</v>
      </c>
      <c r="E25" s="557">
        <f>SUM(E19:E24)</f>
        <v>469489.30971619568</v>
      </c>
      <c r="F25" s="557">
        <f t="shared" si="0"/>
        <v>574.25204669736559</v>
      </c>
      <c r="G25" s="555">
        <f t="shared" si="1"/>
        <v>1.2216476523807364E-3</v>
      </c>
      <c r="M25" s="554"/>
    </row>
    <row r="26" spans="2:27">
      <c r="B26" s="553"/>
      <c r="C26" s="563"/>
      <c r="D26" s="562"/>
      <c r="E26" s="562"/>
      <c r="F26" s="562"/>
      <c r="G26" s="562"/>
      <c r="M26" s="554"/>
    </row>
    <row r="27" spans="2:27">
      <c r="B27" s="553"/>
      <c r="C27" s="566" t="s">
        <v>128</v>
      </c>
      <c r="D27" s="557">
        <f>D16-D25</f>
        <v>4336.4382371069514</v>
      </c>
      <c r="E27" s="557">
        <f>E16-E25</f>
        <v>-39797.709168895555</v>
      </c>
      <c r="F27" s="557">
        <f>E27-D27</f>
        <v>-44134.147406002507</v>
      </c>
      <c r="G27" s="565">
        <f>IFERROR(F27/ABS(D27),0)</f>
        <v>-10.177510895542362</v>
      </c>
      <c r="M27" s="554"/>
    </row>
    <row r="28" spans="2:27" ht="17.25">
      <c r="B28" s="553"/>
      <c r="C28" s="563"/>
      <c r="D28" s="562"/>
      <c r="E28" s="562"/>
      <c r="F28" s="562"/>
      <c r="G28" s="562"/>
      <c r="I28" s="568" t="str">
        <f>C33</f>
        <v>Cash Burn</v>
      </c>
      <c r="K28" s="568" t="str">
        <f>C34</f>
        <v>Ending Cash</v>
      </c>
      <c r="M28" s="554"/>
    </row>
    <row r="29" spans="2:27" ht="17.25">
      <c r="B29" s="553"/>
      <c r="C29" s="566" t="s">
        <v>133</v>
      </c>
      <c r="D29" s="557">
        <v>-59300</v>
      </c>
      <c r="E29" s="557">
        <v>-54794.468100000006</v>
      </c>
      <c r="F29" s="557">
        <f>E29-D29</f>
        <v>4505.5318999999945</v>
      </c>
      <c r="G29" s="565">
        <f>IFERROR(F29/ABS(D29),0)</f>
        <v>7.5978615514333797E-2</v>
      </c>
      <c r="I29" s="567">
        <f>F33</f>
        <v>166955.91440405056</v>
      </c>
      <c r="K29" s="567">
        <f>F34</f>
        <v>116955.91440405091</v>
      </c>
      <c r="M29" s="554"/>
    </row>
    <row r="30" spans="2:27">
      <c r="B30" s="553"/>
      <c r="C30" s="563"/>
      <c r="D30" s="562"/>
      <c r="E30" s="562"/>
      <c r="F30" s="562"/>
      <c r="G30" s="562"/>
      <c r="M30" s="554"/>
    </row>
    <row r="31" spans="2:27" ht="15.75">
      <c r="B31" s="553"/>
      <c r="C31" s="566" t="s">
        <v>102</v>
      </c>
      <c r="D31" s="557">
        <f>D27+D29</f>
        <v>-54963.561762893049</v>
      </c>
      <c r="E31" s="557">
        <f>E27+E29</f>
        <v>-94592.177268895553</v>
      </c>
      <c r="F31" s="557">
        <f>E31-D31</f>
        <v>-39628.615506002505</v>
      </c>
      <c r="G31" s="565">
        <f>IFERROR(F31/ABS(D31),0)</f>
        <v>-0.72099795273377898</v>
      </c>
      <c r="I31" s="564">
        <f>G33</f>
        <v>0.38754461740670448</v>
      </c>
      <c r="K31" s="564">
        <f>G34</f>
        <v>3.5791247011867637E-2</v>
      </c>
      <c r="M31" s="554"/>
    </row>
    <row r="32" spans="2:27">
      <c r="B32" s="553"/>
      <c r="C32" s="563"/>
      <c r="D32" s="562"/>
      <c r="E32" s="562"/>
      <c r="F32" s="562"/>
      <c r="G32" s="562"/>
      <c r="M32" s="554"/>
    </row>
    <row r="33" spans="2:13">
      <c r="B33" s="553"/>
      <c r="C33" s="561" t="s">
        <v>154</v>
      </c>
      <c r="D33" s="557">
        <v>-430804.36911046167</v>
      </c>
      <c r="E33" s="560">
        <v>-263848.45470641111</v>
      </c>
      <c r="F33" s="560">
        <f>E33-D33</f>
        <v>166955.91440405056</v>
      </c>
      <c r="G33" s="559">
        <f>IFERROR(F33/ABS(D33),0)</f>
        <v>0.38754461740670448</v>
      </c>
      <c r="M33" s="554"/>
    </row>
    <row r="34" spans="2:13">
      <c r="B34" s="553"/>
      <c r="C34" s="558" t="s">
        <v>105</v>
      </c>
      <c r="D34" s="557">
        <v>3267723.9316436993</v>
      </c>
      <c r="E34" s="556">
        <v>3384679.8460477502</v>
      </c>
      <c r="F34" s="556">
        <f>E34-D34</f>
        <v>116955.91440405091</v>
      </c>
      <c r="G34" s="555">
        <f>IFERROR(F34/ABS(D34),0)</f>
        <v>3.5791247011867637E-2</v>
      </c>
      <c r="M34" s="554"/>
    </row>
    <row r="35" spans="2:13">
      <c r="B35" s="553"/>
      <c r="M35" s="551"/>
    </row>
    <row r="36" spans="2:13">
      <c r="B36" s="552"/>
      <c r="M36" s="551"/>
    </row>
    <row r="37" spans="2:13">
      <c r="B37" s="552"/>
      <c r="M37" s="551"/>
    </row>
    <row r="38" spans="2:13">
      <c r="B38" s="552"/>
      <c r="M38" s="551"/>
    </row>
    <row r="39" spans="2:13">
      <c r="B39" s="550"/>
      <c r="C39" s="548"/>
      <c r="D39" s="548"/>
      <c r="E39" s="548"/>
      <c r="F39" s="548"/>
      <c r="G39" s="548"/>
      <c r="H39" s="548"/>
      <c r="I39" s="548"/>
      <c r="J39" s="548"/>
      <c r="K39" s="548"/>
      <c r="L39" s="548"/>
      <c r="M39" s="549"/>
    </row>
    <row r="45" spans="2:13">
      <c r="E45" s="548"/>
    </row>
  </sheetData>
  <mergeCells count="2">
    <mergeCell ref="C9:D11"/>
    <mergeCell ref="E9:K11"/>
  </mergeCells>
  <pageMargins left="0.7" right="0.7" top="0.75" bottom="0.75" header="0.3" footer="0.3"/>
  <pageSetup orientation="portrait" r:id="rId1"/>
  <customProperties>
    <customPr name="sourceTemplate"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1193D-610F-5D4B-BAAB-EBE33D10DB5A}">
  <sheetPr>
    <tabColor rgb="FFEAE9CB"/>
    <outlinePr summaryBelow="0" summaryRight="0"/>
  </sheetPr>
  <dimension ref="A1:BZ71"/>
  <sheetViews>
    <sheetView showGridLines="0" zoomScaleNormal="100" workbookViewId="0">
      <pane xSplit="4" ySplit="8" topLeftCell="AC9" activePane="bottomRight" state="frozen"/>
      <selection pane="topRight" activeCell="D54" sqref="D54"/>
      <selection pane="bottomLeft" activeCell="D54" sqref="D54"/>
      <selection pane="bottomRight" activeCell="BK21" sqref="BK21"/>
    </sheetView>
  </sheetViews>
  <sheetFormatPr defaultColWidth="9.140625" defaultRowHeight="15" outlineLevelRow="2" outlineLevelCol="2"/>
  <cols>
    <col min="1" max="1" width="2.42578125" customWidth="1"/>
    <col min="2" max="2" width="40.7109375" style="5" bestFit="1" customWidth="1" collapsed="1"/>
    <col min="3" max="3" width="15.42578125" style="198" hidden="1" customWidth="1" outlineLevel="2"/>
    <col min="4" max="4" width="2.42578125" customWidth="1"/>
    <col min="5" max="5" width="3.7109375" style="197" bestFit="1" customWidth="1" collapsed="1"/>
    <col min="6" max="6" width="9.7109375" style="195" hidden="1" customWidth="1" outlineLevel="2"/>
    <col min="7" max="7" width="10.7109375" style="195" hidden="1" customWidth="1" outlineLevel="2"/>
    <col min="8" max="8" width="11" style="195" hidden="1" customWidth="1" outlineLevel="2"/>
    <col min="9" max="9" width="11.140625" style="195" hidden="1" customWidth="1" outlineLevel="2"/>
    <col min="10" max="10" width="2.42578125" style="195" customWidth="1"/>
    <col min="11" max="11" width="2.42578125" style="196" customWidth="1" collapsed="1"/>
    <col min="12" max="14" width="9.140625" style="195" hidden="1" customWidth="1" outlineLevel="2"/>
    <col min="15" max="25" width="9.7109375" style="195" hidden="1" customWidth="1" outlineLevel="2"/>
    <col min="26" max="27" width="10.140625" style="195" hidden="1" customWidth="1" outlineLevel="2"/>
    <col min="28" max="28" width="2.42578125" style="195" customWidth="1"/>
    <col min="29" max="29" width="4.140625" style="195" bestFit="1" customWidth="1"/>
    <col min="30" max="40" width="8.7109375" style="195" bestFit="1" customWidth="1" outlineLevel="1"/>
    <col min="41" max="41" width="9.140625" style="195" bestFit="1" customWidth="1" outlineLevel="1"/>
    <col min="42" max="42" width="8.7109375" style="195" bestFit="1" customWidth="1" outlineLevel="1"/>
    <col min="43" max="43" width="9.140625" style="195" bestFit="1" customWidth="1" outlineLevel="1"/>
    <col min="44" max="44" width="8.7109375" style="195" bestFit="1" customWidth="1" outlineLevel="1"/>
    <col min="45" max="45" width="9.140625" style="195" bestFit="1" customWidth="1" outlineLevel="1"/>
    <col min="46" max="46" width="8.7109375" style="195" bestFit="1" customWidth="1" outlineLevel="1"/>
    <col min="47" max="61" width="9.140625" style="195" bestFit="1" customWidth="1" outlineLevel="1"/>
    <col min="62" max="63" width="9.7109375" style="195" bestFit="1" customWidth="1" outlineLevel="1"/>
    <col min="64" max="75" width="11.140625" style="195" bestFit="1" customWidth="1" outlineLevel="1"/>
    <col min="76" max="77" width="9.7109375" style="195" bestFit="1" customWidth="1" outlineLevel="1"/>
    <col min="78" max="78" width="9.140625" style="195" customWidth="1"/>
    <col min="79" max="79" width="9.140625" style="194" customWidth="1"/>
    <col min="80" max="16384" width="9.140625" style="194"/>
  </cols>
  <sheetData>
    <row r="1" spans="1:77" customFormat="1" ht="21" customHeight="1">
      <c r="A1" s="10" t="str">
        <f>Company_Name</f>
        <v>Model Wiz Demo *</v>
      </c>
      <c r="B1" s="5"/>
      <c r="C1" s="198"/>
      <c r="E1" s="197"/>
      <c r="K1" s="197"/>
    </row>
    <row r="2" spans="1:77" customFormat="1" ht="21" customHeight="1">
      <c r="A2" t="str" cm="1">
        <f t="array" aca="1" ref="A2" ca="1">IFERROR(MID(CELL("filename",A1),FIND("]",CELL("filename",A1))+1,LEN(CELL("filename",A1))),"")</f>
        <v>Income Statement</v>
      </c>
      <c r="B2" s="5"/>
      <c r="C2" s="198"/>
      <c r="E2" s="851" t="s">
        <v>159</v>
      </c>
      <c r="F2" s="148"/>
      <c r="G2" s="148"/>
      <c r="H2" s="148"/>
      <c r="I2" s="148"/>
      <c r="J2" s="148"/>
      <c r="K2" s="851" t="s">
        <v>160</v>
      </c>
      <c r="L2" s="176"/>
      <c r="M2" s="148"/>
      <c r="N2" s="148"/>
      <c r="O2" s="148"/>
      <c r="P2" s="148"/>
      <c r="Q2" s="148"/>
      <c r="R2" s="148"/>
      <c r="S2" s="148"/>
      <c r="T2" s="148"/>
      <c r="U2" s="148"/>
      <c r="V2" s="148"/>
      <c r="W2" s="148"/>
      <c r="X2" s="148"/>
      <c r="Y2" s="148"/>
      <c r="Z2" s="148"/>
      <c r="AA2" s="148"/>
      <c r="AB2" s="148"/>
      <c r="AC2" s="851" t="s">
        <v>161</v>
      </c>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row>
    <row r="3" spans="1:77" customFormat="1" ht="21" customHeight="1" collapsed="1">
      <c r="A3" s="6" t="str">
        <f>Error_Check</f>
        <v>Model Functioning Properly</v>
      </c>
      <c r="B3" s="5"/>
      <c r="C3" s="198"/>
      <c r="E3" s="851"/>
      <c r="F3" s="178" t="str">
        <f>IF(F$5&lt;=LatestMonthOfActuals,"Actual","Projected")</f>
        <v>Actual</v>
      </c>
      <c r="G3" s="178" t="str">
        <f>IF(G$5&lt;=LatestMonthOfActuals,"Actual","Projected")</f>
        <v>Actual</v>
      </c>
      <c r="H3" s="178" t="str">
        <f>IF(H$5&lt;=LatestMonthOfActuals,"Actual","Projected")</f>
        <v>Projected</v>
      </c>
      <c r="I3" s="178" t="str">
        <f>IF(I$5&lt;=LatestMonthOfActuals,"Actual","Projected")</f>
        <v>Projected</v>
      </c>
      <c r="J3" s="148"/>
      <c r="K3" s="851"/>
      <c r="L3" s="178" t="str">
        <f t="shared" ref="L3:AA3" si="0">IF(L$5&lt;=LatestMonthOfActuals,"Actual","Projected")</f>
        <v>Actual</v>
      </c>
      <c r="M3" s="178" t="str">
        <f t="shared" si="0"/>
        <v>Actual</v>
      </c>
      <c r="N3" s="178" t="str">
        <f t="shared" si="0"/>
        <v>Actual</v>
      </c>
      <c r="O3" s="178" t="str">
        <f t="shared" si="0"/>
        <v>Actual</v>
      </c>
      <c r="P3" s="178" t="str">
        <f t="shared" si="0"/>
        <v>Actual</v>
      </c>
      <c r="Q3" s="178" t="str">
        <f t="shared" si="0"/>
        <v>Actual</v>
      </c>
      <c r="R3" s="178" t="str">
        <f t="shared" si="0"/>
        <v>Actual</v>
      </c>
      <c r="S3" s="178" t="str">
        <f t="shared" si="0"/>
        <v>Actual</v>
      </c>
      <c r="T3" s="178" t="str">
        <f t="shared" si="0"/>
        <v>Actual</v>
      </c>
      <c r="U3" s="178" t="str">
        <f t="shared" si="0"/>
        <v>Actual</v>
      </c>
      <c r="V3" s="178" t="str">
        <f t="shared" si="0"/>
        <v>Actual</v>
      </c>
      <c r="W3" s="178" t="str">
        <f t="shared" si="0"/>
        <v>Projected</v>
      </c>
      <c r="X3" s="178" t="str">
        <f t="shared" si="0"/>
        <v>Projected</v>
      </c>
      <c r="Y3" s="178" t="str">
        <f t="shared" si="0"/>
        <v>Projected</v>
      </c>
      <c r="Z3" s="178" t="str">
        <f t="shared" si="0"/>
        <v>Projected</v>
      </c>
      <c r="AA3" s="178" t="str">
        <f t="shared" si="0"/>
        <v>Projected</v>
      </c>
      <c r="AB3" s="179"/>
      <c r="AC3" s="851"/>
      <c r="AD3" s="178" t="str">
        <f t="shared" ref="AD3:BY3" si="1">IF(AD$5&lt;=LatestMonthOfActuals,"Actual","Projected")</f>
        <v>Actual</v>
      </c>
      <c r="AE3" s="178" t="str">
        <f t="shared" si="1"/>
        <v>Actual</v>
      </c>
      <c r="AF3" s="178" t="str">
        <f t="shared" si="1"/>
        <v>Actual</v>
      </c>
      <c r="AG3" s="178" t="str">
        <f t="shared" si="1"/>
        <v>Actual</v>
      </c>
      <c r="AH3" s="178" t="str">
        <f t="shared" si="1"/>
        <v>Actual</v>
      </c>
      <c r="AI3" s="178" t="str">
        <f t="shared" si="1"/>
        <v>Actual</v>
      </c>
      <c r="AJ3" s="178" t="str">
        <f t="shared" si="1"/>
        <v>Actual</v>
      </c>
      <c r="AK3" s="178" t="str">
        <f t="shared" si="1"/>
        <v>Actual</v>
      </c>
      <c r="AL3" s="178" t="str">
        <f t="shared" si="1"/>
        <v>Actual</v>
      </c>
      <c r="AM3" s="178" t="str">
        <f t="shared" si="1"/>
        <v>Actual</v>
      </c>
      <c r="AN3" s="178" t="str">
        <f t="shared" si="1"/>
        <v>Actual</v>
      </c>
      <c r="AO3" s="178" t="str">
        <f t="shared" si="1"/>
        <v>Actual</v>
      </c>
      <c r="AP3" s="178" t="str">
        <f t="shared" si="1"/>
        <v>Actual</v>
      </c>
      <c r="AQ3" s="178" t="str">
        <f t="shared" si="1"/>
        <v>Actual</v>
      </c>
      <c r="AR3" s="178" t="str">
        <f t="shared" si="1"/>
        <v>Actual</v>
      </c>
      <c r="AS3" s="178" t="str">
        <f t="shared" si="1"/>
        <v>Actual</v>
      </c>
      <c r="AT3" s="178" t="str">
        <f t="shared" si="1"/>
        <v>Actual</v>
      </c>
      <c r="AU3" s="178" t="str">
        <f t="shared" si="1"/>
        <v>Actual</v>
      </c>
      <c r="AV3" s="178" t="str">
        <f t="shared" si="1"/>
        <v>Actual</v>
      </c>
      <c r="AW3" s="178" t="str">
        <f t="shared" si="1"/>
        <v>Actual</v>
      </c>
      <c r="AX3" s="178" t="str">
        <f t="shared" si="1"/>
        <v>Actual</v>
      </c>
      <c r="AY3" s="178" t="str">
        <f t="shared" si="1"/>
        <v>Actual</v>
      </c>
      <c r="AZ3" s="178" t="str">
        <f t="shared" si="1"/>
        <v>Actual</v>
      </c>
      <c r="BA3" s="178" t="str">
        <f t="shared" si="1"/>
        <v>Actual</v>
      </c>
      <c r="BB3" s="178" t="str">
        <f t="shared" si="1"/>
        <v>Actual</v>
      </c>
      <c r="BC3" s="178" t="str">
        <f t="shared" si="1"/>
        <v>Actual</v>
      </c>
      <c r="BD3" s="178" t="str">
        <f t="shared" si="1"/>
        <v>Actual</v>
      </c>
      <c r="BE3" s="178" t="str">
        <f t="shared" si="1"/>
        <v>Actual</v>
      </c>
      <c r="BF3" s="178" t="str">
        <f t="shared" si="1"/>
        <v>Actual</v>
      </c>
      <c r="BG3" s="178" t="str">
        <f t="shared" si="1"/>
        <v>Actual</v>
      </c>
      <c r="BH3" s="178" t="str">
        <f t="shared" si="1"/>
        <v>Actual</v>
      </c>
      <c r="BI3" s="178" t="str">
        <f t="shared" si="1"/>
        <v>Actual</v>
      </c>
      <c r="BJ3" s="178" t="str">
        <f t="shared" si="1"/>
        <v>Actual</v>
      </c>
      <c r="BK3" s="178" t="str">
        <f t="shared" si="1"/>
        <v>Actual</v>
      </c>
      <c r="BL3" s="178" t="str">
        <f t="shared" si="1"/>
        <v>Actual</v>
      </c>
      <c r="BM3" s="178" t="str">
        <f t="shared" si="1"/>
        <v>Projected</v>
      </c>
      <c r="BN3" s="178" t="str">
        <f t="shared" si="1"/>
        <v>Projected</v>
      </c>
      <c r="BO3" s="178" t="str">
        <f t="shared" si="1"/>
        <v>Projected</v>
      </c>
      <c r="BP3" s="178" t="str">
        <f t="shared" si="1"/>
        <v>Projected</v>
      </c>
      <c r="BQ3" s="178" t="str">
        <f t="shared" si="1"/>
        <v>Projected</v>
      </c>
      <c r="BR3" s="178" t="str">
        <f t="shared" si="1"/>
        <v>Projected</v>
      </c>
      <c r="BS3" s="178" t="str">
        <f t="shared" si="1"/>
        <v>Projected</v>
      </c>
      <c r="BT3" s="178" t="str">
        <f t="shared" si="1"/>
        <v>Projected</v>
      </c>
      <c r="BU3" s="178" t="str">
        <f t="shared" si="1"/>
        <v>Projected</v>
      </c>
      <c r="BV3" s="178" t="str">
        <f t="shared" si="1"/>
        <v>Projected</v>
      </c>
      <c r="BW3" s="178" t="str">
        <f t="shared" si="1"/>
        <v>Projected</v>
      </c>
      <c r="BX3" s="178" t="str">
        <f t="shared" si="1"/>
        <v>Projected</v>
      </c>
      <c r="BY3" s="178" t="str">
        <f t="shared" si="1"/>
        <v>Projected</v>
      </c>
    </row>
    <row r="4" spans="1:77" customFormat="1" ht="21" hidden="1" customHeight="1" outlineLevel="2">
      <c r="B4" s="5"/>
      <c r="C4" s="198"/>
      <c r="E4" s="851"/>
      <c r="F4" s="176">
        <f>Start_Date</f>
        <v>44927</v>
      </c>
      <c r="G4" s="176">
        <f>F5+1</f>
        <v>45292</v>
      </c>
      <c r="H4" s="176">
        <f>G5+1</f>
        <v>45658</v>
      </c>
      <c r="I4" s="176">
        <f>H5+1</f>
        <v>46023</v>
      </c>
      <c r="J4" s="148"/>
      <c r="K4" s="851"/>
      <c r="L4" s="176">
        <f>Start_Date</f>
        <v>44927</v>
      </c>
      <c r="M4" s="4">
        <f t="shared" ref="M4:AA4" si="2">L5+1</f>
        <v>45017</v>
      </c>
      <c r="N4" s="4">
        <f t="shared" si="2"/>
        <v>45108</v>
      </c>
      <c r="O4" s="4">
        <f t="shared" si="2"/>
        <v>45200</v>
      </c>
      <c r="P4" s="4">
        <f t="shared" si="2"/>
        <v>45292</v>
      </c>
      <c r="Q4" s="4">
        <f t="shared" si="2"/>
        <v>45383</v>
      </c>
      <c r="R4" s="4">
        <f t="shared" si="2"/>
        <v>45474</v>
      </c>
      <c r="S4" s="4">
        <f t="shared" si="2"/>
        <v>45566</v>
      </c>
      <c r="T4" s="4">
        <f t="shared" si="2"/>
        <v>45658</v>
      </c>
      <c r="U4" s="4">
        <f t="shared" si="2"/>
        <v>45748</v>
      </c>
      <c r="V4" s="4">
        <f t="shared" si="2"/>
        <v>45839</v>
      </c>
      <c r="W4" s="4">
        <f t="shared" si="2"/>
        <v>45931</v>
      </c>
      <c r="X4" s="4">
        <f t="shared" si="2"/>
        <v>46023</v>
      </c>
      <c r="Y4" s="4">
        <f t="shared" si="2"/>
        <v>46113</v>
      </c>
      <c r="Z4" s="4">
        <f t="shared" si="2"/>
        <v>46204</v>
      </c>
      <c r="AA4" s="4">
        <f t="shared" si="2"/>
        <v>46296</v>
      </c>
      <c r="AB4" s="177"/>
      <c r="AC4" s="851"/>
      <c r="AD4" s="176">
        <f>Start_Date</f>
        <v>44927</v>
      </c>
      <c r="AE4" s="176">
        <f t="shared" ref="AE4:BY4" si="3">EOMONTH(AE5,-1)+1</f>
        <v>44958</v>
      </c>
      <c r="AF4" s="176">
        <f t="shared" si="3"/>
        <v>44986</v>
      </c>
      <c r="AG4" s="176">
        <f t="shared" si="3"/>
        <v>45017</v>
      </c>
      <c r="AH4" s="176">
        <f t="shared" si="3"/>
        <v>45047</v>
      </c>
      <c r="AI4" s="176">
        <f t="shared" si="3"/>
        <v>45078</v>
      </c>
      <c r="AJ4" s="176">
        <f t="shared" si="3"/>
        <v>45108</v>
      </c>
      <c r="AK4" s="176">
        <f t="shared" si="3"/>
        <v>45139</v>
      </c>
      <c r="AL4" s="176">
        <f t="shared" si="3"/>
        <v>45170</v>
      </c>
      <c r="AM4" s="176">
        <f t="shared" si="3"/>
        <v>45200</v>
      </c>
      <c r="AN4" s="176">
        <f t="shared" si="3"/>
        <v>45231</v>
      </c>
      <c r="AO4" s="176">
        <f t="shared" si="3"/>
        <v>45261</v>
      </c>
      <c r="AP4" s="176">
        <f t="shared" si="3"/>
        <v>45292</v>
      </c>
      <c r="AQ4" s="176">
        <f t="shared" si="3"/>
        <v>45323</v>
      </c>
      <c r="AR4" s="176">
        <f t="shared" si="3"/>
        <v>45352</v>
      </c>
      <c r="AS4" s="176">
        <f t="shared" si="3"/>
        <v>45383</v>
      </c>
      <c r="AT4" s="176">
        <f t="shared" si="3"/>
        <v>45413</v>
      </c>
      <c r="AU4" s="176">
        <f t="shared" si="3"/>
        <v>45444</v>
      </c>
      <c r="AV4" s="176">
        <f t="shared" si="3"/>
        <v>45474</v>
      </c>
      <c r="AW4" s="176">
        <f t="shared" si="3"/>
        <v>45505</v>
      </c>
      <c r="AX4" s="176">
        <f t="shared" si="3"/>
        <v>45536</v>
      </c>
      <c r="AY4" s="176">
        <f t="shared" si="3"/>
        <v>45566</v>
      </c>
      <c r="AZ4" s="176">
        <f t="shared" si="3"/>
        <v>45597</v>
      </c>
      <c r="BA4" s="176">
        <f t="shared" si="3"/>
        <v>45627</v>
      </c>
      <c r="BB4" s="176">
        <f t="shared" si="3"/>
        <v>45658</v>
      </c>
      <c r="BC4" s="176">
        <f t="shared" si="3"/>
        <v>45689</v>
      </c>
      <c r="BD4" s="176">
        <f t="shared" si="3"/>
        <v>45717</v>
      </c>
      <c r="BE4" s="176">
        <f t="shared" si="3"/>
        <v>45748</v>
      </c>
      <c r="BF4" s="176">
        <f t="shared" si="3"/>
        <v>45778</v>
      </c>
      <c r="BG4" s="176">
        <f t="shared" si="3"/>
        <v>45809</v>
      </c>
      <c r="BH4" s="176">
        <f t="shared" si="3"/>
        <v>45839</v>
      </c>
      <c r="BI4" s="176">
        <f t="shared" si="3"/>
        <v>45870</v>
      </c>
      <c r="BJ4" s="176">
        <f t="shared" si="3"/>
        <v>45901</v>
      </c>
      <c r="BK4" s="176">
        <f t="shared" si="3"/>
        <v>45931</v>
      </c>
      <c r="BL4" s="176">
        <f t="shared" si="3"/>
        <v>45962</v>
      </c>
      <c r="BM4" s="176">
        <f t="shared" si="3"/>
        <v>45992</v>
      </c>
      <c r="BN4" s="176">
        <f t="shared" si="3"/>
        <v>46023</v>
      </c>
      <c r="BO4" s="176">
        <f t="shared" si="3"/>
        <v>46054</v>
      </c>
      <c r="BP4" s="176">
        <f t="shared" si="3"/>
        <v>46082</v>
      </c>
      <c r="BQ4" s="176">
        <f t="shared" si="3"/>
        <v>46113</v>
      </c>
      <c r="BR4" s="176">
        <f t="shared" si="3"/>
        <v>46143</v>
      </c>
      <c r="BS4" s="176">
        <f t="shared" si="3"/>
        <v>46174</v>
      </c>
      <c r="BT4" s="176">
        <f t="shared" si="3"/>
        <v>46204</v>
      </c>
      <c r="BU4" s="176">
        <f t="shared" si="3"/>
        <v>46235</v>
      </c>
      <c r="BV4" s="176">
        <f t="shared" si="3"/>
        <v>46266</v>
      </c>
      <c r="BW4" s="176">
        <f t="shared" si="3"/>
        <v>46296</v>
      </c>
      <c r="BX4" s="176">
        <f t="shared" si="3"/>
        <v>46327</v>
      </c>
      <c r="BY4" s="176">
        <f t="shared" si="3"/>
        <v>46357</v>
      </c>
    </row>
    <row r="5" spans="1:77" customFormat="1" ht="21" hidden="1" customHeight="1" outlineLevel="2">
      <c r="B5" s="5"/>
      <c r="C5" s="198"/>
      <c r="E5" s="851"/>
      <c r="F5" s="176">
        <f>EOMONTH(DATE(YEAR(Start_Date),1,1),Fiscal_Offset+IF(L6&lt;YEAR(Start_Date),-1,11))</f>
        <v>45291</v>
      </c>
      <c r="G5" s="4">
        <f>MIN(EOMONTH(F5,12),End_Date)</f>
        <v>45657</v>
      </c>
      <c r="H5" s="4">
        <f>MIN(EOMONTH(G5,12),End_Date)</f>
        <v>46022</v>
      </c>
      <c r="I5" s="4">
        <f>MIN(EOMONTH(H5,12),End_Date)</f>
        <v>46387</v>
      </c>
      <c r="J5" s="148"/>
      <c r="K5" s="851"/>
      <c r="L5" s="4">
        <f>EOMONTH(DATE(YEAR(Start_Date),1,1),MOD(ROUNDUP(MONTH(EOMONTH(Start_Date,-Fiscal_Offset))/3,0)*3+Fiscal_Offset-1,12))</f>
        <v>45016</v>
      </c>
      <c r="M5" s="4">
        <f t="shared" ref="M5:AA5" si="4">MIN(EOMONTH(M$4,2),End_Date)</f>
        <v>45107</v>
      </c>
      <c r="N5" s="4">
        <f t="shared" si="4"/>
        <v>45199</v>
      </c>
      <c r="O5" s="4">
        <f t="shared" si="4"/>
        <v>45291</v>
      </c>
      <c r="P5" s="4">
        <f t="shared" si="4"/>
        <v>45382</v>
      </c>
      <c r="Q5" s="4">
        <f t="shared" si="4"/>
        <v>45473</v>
      </c>
      <c r="R5" s="4">
        <f t="shared" si="4"/>
        <v>45565</v>
      </c>
      <c r="S5" s="4">
        <f t="shared" si="4"/>
        <v>45657</v>
      </c>
      <c r="T5" s="4">
        <f t="shared" si="4"/>
        <v>45747</v>
      </c>
      <c r="U5" s="4">
        <f t="shared" si="4"/>
        <v>45838</v>
      </c>
      <c r="V5" s="4">
        <f t="shared" si="4"/>
        <v>45930</v>
      </c>
      <c r="W5" s="4">
        <f t="shared" si="4"/>
        <v>46022</v>
      </c>
      <c r="X5" s="4">
        <f t="shared" si="4"/>
        <v>46112</v>
      </c>
      <c r="Y5" s="4">
        <f t="shared" si="4"/>
        <v>46203</v>
      </c>
      <c r="Z5" s="4">
        <f t="shared" si="4"/>
        <v>46295</v>
      </c>
      <c r="AA5" s="4">
        <f t="shared" si="4"/>
        <v>46387</v>
      </c>
      <c r="AB5" s="177"/>
      <c r="AC5" s="851"/>
      <c r="AD5" s="176" cm="1">
        <f t="array" ref="AD5">EOM_Start_Date</f>
        <v>44957</v>
      </c>
      <c r="AE5" s="4">
        <f t="shared" ref="AE5:BY5" si="5">EOMONTH(AD5,1)</f>
        <v>44985</v>
      </c>
      <c r="AF5" s="4">
        <f t="shared" si="5"/>
        <v>45016</v>
      </c>
      <c r="AG5" s="4">
        <f t="shared" si="5"/>
        <v>45046</v>
      </c>
      <c r="AH5" s="4">
        <f t="shared" si="5"/>
        <v>45077</v>
      </c>
      <c r="AI5" s="4">
        <f t="shared" si="5"/>
        <v>45107</v>
      </c>
      <c r="AJ5" s="4">
        <f t="shared" si="5"/>
        <v>45138</v>
      </c>
      <c r="AK5" s="4">
        <f t="shared" si="5"/>
        <v>45169</v>
      </c>
      <c r="AL5" s="4">
        <f t="shared" si="5"/>
        <v>45199</v>
      </c>
      <c r="AM5" s="4">
        <f t="shared" si="5"/>
        <v>45230</v>
      </c>
      <c r="AN5" s="4">
        <f t="shared" si="5"/>
        <v>45260</v>
      </c>
      <c r="AO5" s="4">
        <f t="shared" si="5"/>
        <v>45291</v>
      </c>
      <c r="AP5" s="4">
        <f t="shared" si="5"/>
        <v>45322</v>
      </c>
      <c r="AQ5" s="4">
        <f t="shared" si="5"/>
        <v>45351</v>
      </c>
      <c r="AR5" s="4">
        <f t="shared" si="5"/>
        <v>45382</v>
      </c>
      <c r="AS5" s="4">
        <f t="shared" si="5"/>
        <v>45412</v>
      </c>
      <c r="AT5" s="4">
        <f t="shared" si="5"/>
        <v>45443</v>
      </c>
      <c r="AU5" s="4">
        <f t="shared" si="5"/>
        <v>45473</v>
      </c>
      <c r="AV5" s="4">
        <f t="shared" si="5"/>
        <v>45504</v>
      </c>
      <c r="AW5" s="4">
        <f t="shared" si="5"/>
        <v>45535</v>
      </c>
      <c r="AX5" s="4">
        <f t="shared" si="5"/>
        <v>45565</v>
      </c>
      <c r="AY5" s="4">
        <f t="shared" si="5"/>
        <v>45596</v>
      </c>
      <c r="AZ5" s="4">
        <f t="shared" si="5"/>
        <v>45626</v>
      </c>
      <c r="BA5" s="4">
        <f t="shared" si="5"/>
        <v>45657</v>
      </c>
      <c r="BB5" s="4">
        <f t="shared" si="5"/>
        <v>45688</v>
      </c>
      <c r="BC5" s="4">
        <f t="shared" si="5"/>
        <v>45716</v>
      </c>
      <c r="BD5" s="4">
        <f t="shared" si="5"/>
        <v>45747</v>
      </c>
      <c r="BE5" s="4">
        <f t="shared" si="5"/>
        <v>45777</v>
      </c>
      <c r="BF5" s="4">
        <f t="shared" si="5"/>
        <v>45808</v>
      </c>
      <c r="BG5" s="4">
        <f t="shared" si="5"/>
        <v>45838</v>
      </c>
      <c r="BH5" s="4">
        <f t="shared" si="5"/>
        <v>45869</v>
      </c>
      <c r="BI5" s="4">
        <f t="shared" si="5"/>
        <v>45900</v>
      </c>
      <c r="BJ5" s="4">
        <f t="shared" si="5"/>
        <v>45930</v>
      </c>
      <c r="BK5" s="4">
        <f t="shared" si="5"/>
        <v>45961</v>
      </c>
      <c r="BL5" s="4">
        <f t="shared" si="5"/>
        <v>45991</v>
      </c>
      <c r="BM5" s="4">
        <f t="shared" si="5"/>
        <v>46022</v>
      </c>
      <c r="BN5" s="4">
        <f t="shared" si="5"/>
        <v>46053</v>
      </c>
      <c r="BO5" s="4">
        <f t="shared" si="5"/>
        <v>46081</v>
      </c>
      <c r="BP5" s="4">
        <f t="shared" si="5"/>
        <v>46112</v>
      </c>
      <c r="BQ5" s="4">
        <f t="shared" si="5"/>
        <v>46142</v>
      </c>
      <c r="BR5" s="4">
        <f t="shared" si="5"/>
        <v>46173</v>
      </c>
      <c r="BS5" s="4">
        <f t="shared" si="5"/>
        <v>46203</v>
      </c>
      <c r="BT5" s="4">
        <f t="shared" si="5"/>
        <v>46234</v>
      </c>
      <c r="BU5" s="4">
        <f t="shared" si="5"/>
        <v>46265</v>
      </c>
      <c r="BV5" s="4">
        <f t="shared" si="5"/>
        <v>46295</v>
      </c>
      <c r="BW5" s="4">
        <f t="shared" si="5"/>
        <v>46326</v>
      </c>
      <c r="BX5" s="4">
        <f t="shared" si="5"/>
        <v>46356</v>
      </c>
      <c r="BY5" s="4">
        <f t="shared" si="5"/>
        <v>46387</v>
      </c>
    </row>
    <row r="6" spans="1:77" customFormat="1" ht="15" hidden="1" customHeight="1" outlineLevel="2">
      <c r="B6" s="5"/>
      <c r="C6" s="198"/>
      <c r="E6" s="851"/>
      <c r="F6" s="12">
        <f>YEAR(EOMONTH(F5,-Fiscal_Offset))</f>
        <v>2023</v>
      </c>
      <c r="G6" s="12">
        <f>YEAR(EOMONTH(G5,-Fiscal_Offset))</f>
        <v>2024</v>
      </c>
      <c r="H6" s="12">
        <f>YEAR(EOMONTH(H5,-Fiscal_Offset))</f>
        <v>2025</v>
      </c>
      <c r="I6" s="12">
        <f>YEAR(EOMONTH(I5,-Fiscal_Offset))</f>
        <v>2026</v>
      </c>
      <c r="J6" s="148"/>
      <c r="K6" s="851"/>
      <c r="L6" s="12">
        <f t="shared" ref="L6:AA6" si="6">YEAR(EOMONTH(L5,-Fiscal_Offset))</f>
        <v>2023</v>
      </c>
      <c r="M6" s="12">
        <f t="shared" si="6"/>
        <v>2023</v>
      </c>
      <c r="N6" s="12">
        <f t="shared" si="6"/>
        <v>2023</v>
      </c>
      <c r="O6" s="12">
        <f t="shared" si="6"/>
        <v>2023</v>
      </c>
      <c r="P6" s="12">
        <f t="shared" si="6"/>
        <v>2024</v>
      </c>
      <c r="Q6" s="12">
        <f t="shared" si="6"/>
        <v>2024</v>
      </c>
      <c r="R6" s="12">
        <f t="shared" si="6"/>
        <v>2024</v>
      </c>
      <c r="S6" s="12">
        <f t="shared" si="6"/>
        <v>2024</v>
      </c>
      <c r="T6" s="12">
        <f t="shared" si="6"/>
        <v>2025</v>
      </c>
      <c r="U6" s="12">
        <f t="shared" si="6"/>
        <v>2025</v>
      </c>
      <c r="V6" s="12">
        <f t="shared" si="6"/>
        <v>2025</v>
      </c>
      <c r="W6" s="12">
        <f t="shared" si="6"/>
        <v>2025</v>
      </c>
      <c r="X6" s="12">
        <f t="shared" si="6"/>
        <v>2026</v>
      </c>
      <c r="Y6" s="12">
        <f t="shared" si="6"/>
        <v>2026</v>
      </c>
      <c r="Z6" s="12">
        <f t="shared" si="6"/>
        <v>2026</v>
      </c>
      <c r="AA6" s="12">
        <f t="shared" si="6"/>
        <v>2026</v>
      </c>
      <c r="AB6" s="175"/>
      <c r="AC6" s="851"/>
      <c r="AD6" s="12">
        <f t="shared" ref="AD6:BY6" si="7">YEAR(EOMONTH(AD5,-Fiscal_Offset))</f>
        <v>2023</v>
      </c>
      <c r="AE6" s="12">
        <f t="shared" si="7"/>
        <v>2023</v>
      </c>
      <c r="AF6" s="12">
        <f t="shared" si="7"/>
        <v>2023</v>
      </c>
      <c r="AG6" s="12">
        <f t="shared" si="7"/>
        <v>2023</v>
      </c>
      <c r="AH6" s="12">
        <f t="shared" si="7"/>
        <v>2023</v>
      </c>
      <c r="AI6" s="12">
        <f t="shared" si="7"/>
        <v>2023</v>
      </c>
      <c r="AJ6" s="12">
        <f t="shared" si="7"/>
        <v>2023</v>
      </c>
      <c r="AK6" s="12">
        <f t="shared" si="7"/>
        <v>2023</v>
      </c>
      <c r="AL6" s="12">
        <f t="shared" si="7"/>
        <v>2023</v>
      </c>
      <c r="AM6" s="12">
        <f t="shared" si="7"/>
        <v>2023</v>
      </c>
      <c r="AN6" s="12">
        <f t="shared" si="7"/>
        <v>2023</v>
      </c>
      <c r="AO6" s="12">
        <f t="shared" si="7"/>
        <v>2023</v>
      </c>
      <c r="AP6" s="12">
        <f t="shared" si="7"/>
        <v>2024</v>
      </c>
      <c r="AQ6" s="12">
        <f t="shared" si="7"/>
        <v>2024</v>
      </c>
      <c r="AR6" s="12">
        <f t="shared" si="7"/>
        <v>2024</v>
      </c>
      <c r="AS6" s="12">
        <f t="shared" si="7"/>
        <v>2024</v>
      </c>
      <c r="AT6" s="12">
        <f t="shared" si="7"/>
        <v>2024</v>
      </c>
      <c r="AU6" s="12">
        <f t="shared" si="7"/>
        <v>2024</v>
      </c>
      <c r="AV6" s="12">
        <f t="shared" si="7"/>
        <v>2024</v>
      </c>
      <c r="AW6" s="12">
        <f t="shared" si="7"/>
        <v>2024</v>
      </c>
      <c r="AX6" s="12">
        <f t="shared" si="7"/>
        <v>2024</v>
      </c>
      <c r="AY6" s="12">
        <f t="shared" si="7"/>
        <v>2024</v>
      </c>
      <c r="AZ6" s="12">
        <f t="shared" si="7"/>
        <v>2024</v>
      </c>
      <c r="BA6" s="12">
        <f t="shared" si="7"/>
        <v>2024</v>
      </c>
      <c r="BB6" s="12">
        <f t="shared" si="7"/>
        <v>2025</v>
      </c>
      <c r="BC6" s="12">
        <f t="shared" si="7"/>
        <v>2025</v>
      </c>
      <c r="BD6" s="12">
        <f t="shared" si="7"/>
        <v>2025</v>
      </c>
      <c r="BE6" s="12">
        <f t="shared" si="7"/>
        <v>2025</v>
      </c>
      <c r="BF6" s="12">
        <f t="shared" si="7"/>
        <v>2025</v>
      </c>
      <c r="BG6" s="12">
        <f t="shared" si="7"/>
        <v>2025</v>
      </c>
      <c r="BH6" s="12">
        <f t="shared" si="7"/>
        <v>2025</v>
      </c>
      <c r="BI6" s="12">
        <f t="shared" si="7"/>
        <v>2025</v>
      </c>
      <c r="BJ6" s="12">
        <f t="shared" si="7"/>
        <v>2025</v>
      </c>
      <c r="BK6" s="12">
        <f t="shared" si="7"/>
        <v>2025</v>
      </c>
      <c r="BL6" s="12">
        <f t="shared" si="7"/>
        <v>2025</v>
      </c>
      <c r="BM6" s="12">
        <f t="shared" si="7"/>
        <v>2025</v>
      </c>
      <c r="BN6" s="12">
        <f t="shared" si="7"/>
        <v>2026</v>
      </c>
      <c r="BO6" s="12">
        <f t="shared" si="7"/>
        <v>2026</v>
      </c>
      <c r="BP6" s="12">
        <f t="shared" si="7"/>
        <v>2026</v>
      </c>
      <c r="BQ6" s="12">
        <f t="shared" si="7"/>
        <v>2026</v>
      </c>
      <c r="BR6" s="12">
        <f t="shared" si="7"/>
        <v>2026</v>
      </c>
      <c r="BS6" s="12">
        <f t="shared" si="7"/>
        <v>2026</v>
      </c>
      <c r="BT6" s="12">
        <f t="shared" si="7"/>
        <v>2026</v>
      </c>
      <c r="BU6" s="12">
        <f t="shared" si="7"/>
        <v>2026</v>
      </c>
      <c r="BV6" s="12">
        <f t="shared" si="7"/>
        <v>2026</v>
      </c>
      <c r="BW6" s="12">
        <f t="shared" si="7"/>
        <v>2026</v>
      </c>
      <c r="BX6" s="12">
        <f t="shared" si="7"/>
        <v>2026</v>
      </c>
      <c r="BY6" s="12">
        <f t="shared" si="7"/>
        <v>2026</v>
      </c>
    </row>
    <row r="7" spans="1:77" customFormat="1" ht="21" hidden="1" customHeight="1" outlineLevel="2">
      <c r="B7" s="5"/>
      <c r="C7" s="198"/>
      <c r="E7" s="851"/>
      <c r="F7" s="12" t="str">
        <f>"Q"&amp; ROUNDUP(MONTH(EOMONTH(F5,-Fiscal_Offset))/3,0)</f>
        <v>Q4</v>
      </c>
      <c r="G7" s="12" t="str">
        <f>"Q"&amp; ROUNDUP(MONTH(EOMONTH(G5,-Fiscal_Offset))/3,0)</f>
        <v>Q4</v>
      </c>
      <c r="H7" s="12" t="str">
        <f>"Q"&amp; ROUNDUP(MONTH(EOMONTH(H5,-Fiscal_Offset))/3,0)</f>
        <v>Q4</v>
      </c>
      <c r="I7" s="12" t="str">
        <f>"Q"&amp; ROUNDUP(MONTH(EOMONTH(I5,-Fiscal_Offset))/3,0)</f>
        <v>Q4</v>
      </c>
      <c r="J7" s="148"/>
      <c r="K7" s="851"/>
      <c r="L7" s="12" t="str">
        <f t="shared" ref="L7:AA7" si="8">"Q"&amp; ROUNDUP(MONTH(EOMONTH(L5,-Fiscal_Offset))/3,0)</f>
        <v>Q1</v>
      </c>
      <c r="M7" s="12" t="str">
        <f t="shared" si="8"/>
        <v>Q2</v>
      </c>
      <c r="N7" s="12" t="str">
        <f t="shared" si="8"/>
        <v>Q3</v>
      </c>
      <c r="O7" s="12" t="str">
        <f t="shared" si="8"/>
        <v>Q4</v>
      </c>
      <c r="P7" s="12" t="str">
        <f t="shared" si="8"/>
        <v>Q1</v>
      </c>
      <c r="Q7" s="12" t="str">
        <f t="shared" si="8"/>
        <v>Q2</v>
      </c>
      <c r="R7" s="12" t="str">
        <f t="shared" si="8"/>
        <v>Q3</v>
      </c>
      <c r="S7" s="12" t="str">
        <f t="shared" si="8"/>
        <v>Q4</v>
      </c>
      <c r="T7" s="12" t="str">
        <f t="shared" si="8"/>
        <v>Q1</v>
      </c>
      <c r="U7" s="12" t="str">
        <f t="shared" si="8"/>
        <v>Q2</v>
      </c>
      <c r="V7" s="12" t="str">
        <f t="shared" si="8"/>
        <v>Q3</v>
      </c>
      <c r="W7" s="12" t="str">
        <f t="shared" si="8"/>
        <v>Q4</v>
      </c>
      <c r="X7" s="12" t="str">
        <f t="shared" si="8"/>
        <v>Q1</v>
      </c>
      <c r="Y7" s="12" t="str">
        <f t="shared" si="8"/>
        <v>Q2</v>
      </c>
      <c r="Z7" s="12" t="str">
        <f t="shared" si="8"/>
        <v>Q3</v>
      </c>
      <c r="AA7" s="12" t="str">
        <f t="shared" si="8"/>
        <v>Q4</v>
      </c>
      <c r="AB7" s="175"/>
      <c r="AC7" s="851"/>
      <c r="AD7" s="12" t="str">
        <f t="shared" ref="AD7:BY7" si="9">"Q"&amp; ROUNDUP(MONTH(EOMONTH(AD5,-Fiscal_Offset))/3,0)</f>
        <v>Q1</v>
      </c>
      <c r="AE7" s="12" t="str">
        <f t="shared" si="9"/>
        <v>Q1</v>
      </c>
      <c r="AF7" s="12" t="str">
        <f t="shared" si="9"/>
        <v>Q1</v>
      </c>
      <c r="AG7" s="12" t="str">
        <f t="shared" si="9"/>
        <v>Q2</v>
      </c>
      <c r="AH7" s="12" t="str">
        <f t="shared" si="9"/>
        <v>Q2</v>
      </c>
      <c r="AI7" s="12" t="str">
        <f t="shared" si="9"/>
        <v>Q2</v>
      </c>
      <c r="AJ7" s="12" t="str">
        <f t="shared" si="9"/>
        <v>Q3</v>
      </c>
      <c r="AK7" s="12" t="str">
        <f t="shared" si="9"/>
        <v>Q3</v>
      </c>
      <c r="AL7" s="12" t="str">
        <f t="shared" si="9"/>
        <v>Q3</v>
      </c>
      <c r="AM7" s="12" t="str">
        <f t="shared" si="9"/>
        <v>Q4</v>
      </c>
      <c r="AN7" s="12" t="str">
        <f t="shared" si="9"/>
        <v>Q4</v>
      </c>
      <c r="AO7" s="12" t="str">
        <f t="shared" si="9"/>
        <v>Q4</v>
      </c>
      <c r="AP7" s="12" t="str">
        <f t="shared" si="9"/>
        <v>Q1</v>
      </c>
      <c r="AQ7" s="12" t="str">
        <f t="shared" si="9"/>
        <v>Q1</v>
      </c>
      <c r="AR7" s="12" t="str">
        <f t="shared" si="9"/>
        <v>Q1</v>
      </c>
      <c r="AS7" s="12" t="str">
        <f t="shared" si="9"/>
        <v>Q2</v>
      </c>
      <c r="AT7" s="12" t="str">
        <f t="shared" si="9"/>
        <v>Q2</v>
      </c>
      <c r="AU7" s="12" t="str">
        <f t="shared" si="9"/>
        <v>Q2</v>
      </c>
      <c r="AV7" s="12" t="str">
        <f t="shared" si="9"/>
        <v>Q3</v>
      </c>
      <c r="AW7" s="12" t="str">
        <f t="shared" si="9"/>
        <v>Q3</v>
      </c>
      <c r="AX7" s="12" t="str">
        <f t="shared" si="9"/>
        <v>Q3</v>
      </c>
      <c r="AY7" s="12" t="str">
        <f t="shared" si="9"/>
        <v>Q4</v>
      </c>
      <c r="AZ7" s="12" t="str">
        <f t="shared" si="9"/>
        <v>Q4</v>
      </c>
      <c r="BA7" s="12" t="str">
        <f t="shared" si="9"/>
        <v>Q4</v>
      </c>
      <c r="BB7" s="12" t="str">
        <f t="shared" si="9"/>
        <v>Q1</v>
      </c>
      <c r="BC7" s="12" t="str">
        <f t="shared" si="9"/>
        <v>Q1</v>
      </c>
      <c r="BD7" s="12" t="str">
        <f t="shared" si="9"/>
        <v>Q1</v>
      </c>
      <c r="BE7" s="12" t="str">
        <f t="shared" si="9"/>
        <v>Q2</v>
      </c>
      <c r="BF7" s="12" t="str">
        <f t="shared" si="9"/>
        <v>Q2</v>
      </c>
      <c r="BG7" s="12" t="str">
        <f t="shared" si="9"/>
        <v>Q2</v>
      </c>
      <c r="BH7" s="12" t="str">
        <f t="shared" si="9"/>
        <v>Q3</v>
      </c>
      <c r="BI7" s="12" t="str">
        <f t="shared" si="9"/>
        <v>Q3</v>
      </c>
      <c r="BJ7" s="12" t="str">
        <f t="shared" si="9"/>
        <v>Q3</v>
      </c>
      <c r="BK7" s="12" t="str">
        <f t="shared" si="9"/>
        <v>Q4</v>
      </c>
      <c r="BL7" s="12" t="str">
        <f t="shared" si="9"/>
        <v>Q4</v>
      </c>
      <c r="BM7" s="12" t="str">
        <f t="shared" si="9"/>
        <v>Q4</v>
      </c>
      <c r="BN7" s="12" t="str">
        <f t="shared" si="9"/>
        <v>Q1</v>
      </c>
      <c r="BO7" s="12" t="str">
        <f t="shared" si="9"/>
        <v>Q1</v>
      </c>
      <c r="BP7" s="12" t="str">
        <f t="shared" si="9"/>
        <v>Q1</v>
      </c>
      <c r="BQ7" s="12" t="str">
        <f t="shared" si="9"/>
        <v>Q2</v>
      </c>
      <c r="BR7" s="12" t="str">
        <f t="shared" si="9"/>
        <v>Q2</v>
      </c>
      <c r="BS7" s="12" t="str">
        <f t="shared" si="9"/>
        <v>Q2</v>
      </c>
      <c r="BT7" s="12" t="str">
        <f t="shared" si="9"/>
        <v>Q3</v>
      </c>
      <c r="BU7" s="12" t="str">
        <f t="shared" si="9"/>
        <v>Q3</v>
      </c>
      <c r="BV7" s="12" t="str">
        <f t="shared" si="9"/>
        <v>Q3</v>
      </c>
      <c r="BW7" s="12" t="str">
        <f t="shared" si="9"/>
        <v>Q4</v>
      </c>
      <c r="BX7" s="12" t="str">
        <f t="shared" si="9"/>
        <v>Q4</v>
      </c>
      <c r="BY7" s="12" t="str">
        <f t="shared" si="9"/>
        <v>Q4</v>
      </c>
    </row>
    <row r="8" spans="1:77" customFormat="1" ht="21" customHeight="1">
      <c r="B8" s="220"/>
      <c r="C8" s="219" t="s">
        <v>217</v>
      </c>
      <c r="E8" s="851"/>
      <c r="F8" s="173">
        <f>F6</f>
        <v>2023</v>
      </c>
      <c r="G8" s="173">
        <f>G6</f>
        <v>2024</v>
      </c>
      <c r="H8" s="173">
        <f>H6</f>
        <v>2025</v>
      </c>
      <c r="I8" s="173">
        <f>I6</f>
        <v>2026</v>
      </c>
      <c r="J8" s="172"/>
      <c r="K8" s="851"/>
      <c r="L8" s="171" t="str">
        <f t="shared" ref="L8:AA8" si="10">CONCATENATE(CONCATENATE(L$7," ",L$6))</f>
        <v>Q1 2023</v>
      </c>
      <c r="M8" s="171" t="str">
        <f t="shared" si="10"/>
        <v>Q2 2023</v>
      </c>
      <c r="N8" s="171" t="str">
        <f t="shared" si="10"/>
        <v>Q3 2023</v>
      </c>
      <c r="O8" s="171" t="str">
        <f t="shared" si="10"/>
        <v>Q4 2023</v>
      </c>
      <c r="P8" s="171" t="str">
        <f t="shared" si="10"/>
        <v>Q1 2024</v>
      </c>
      <c r="Q8" s="171" t="str">
        <f t="shared" si="10"/>
        <v>Q2 2024</v>
      </c>
      <c r="R8" s="171" t="str">
        <f t="shared" si="10"/>
        <v>Q3 2024</v>
      </c>
      <c r="S8" s="171" t="str">
        <f t="shared" si="10"/>
        <v>Q4 2024</v>
      </c>
      <c r="T8" s="171" t="str">
        <f t="shared" si="10"/>
        <v>Q1 2025</v>
      </c>
      <c r="U8" s="171" t="str">
        <f t="shared" si="10"/>
        <v>Q2 2025</v>
      </c>
      <c r="V8" s="171" t="str">
        <f t="shared" si="10"/>
        <v>Q3 2025</v>
      </c>
      <c r="W8" s="171" t="str">
        <f t="shared" si="10"/>
        <v>Q4 2025</v>
      </c>
      <c r="X8" s="171" t="str">
        <f t="shared" si="10"/>
        <v>Q1 2026</v>
      </c>
      <c r="Y8" s="171" t="str">
        <f t="shared" si="10"/>
        <v>Q2 2026</v>
      </c>
      <c r="Z8" s="171" t="str">
        <f t="shared" si="10"/>
        <v>Q3 2026</v>
      </c>
      <c r="AA8" s="171" t="str">
        <f t="shared" si="10"/>
        <v>Q4 2026</v>
      </c>
      <c r="AB8" s="170"/>
      <c r="AC8" s="851"/>
      <c r="AD8" s="169">
        <f t="shared" ref="AD8:BY8" si="11">AD5</f>
        <v>44957</v>
      </c>
      <c r="AE8" s="169">
        <f t="shared" si="11"/>
        <v>44985</v>
      </c>
      <c r="AF8" s="169">
        <f t="shared" si="11"/>
        <v>45016</v>
      </c>
      <c r="AG8" s="169">
        <f t="shared" si="11"/>
        <v>45046</v>
      </c>
      <c r="AH8" s="169">
        <f t="shared" si="11"/>
        <v>45077</v>
      </c>
      <c r="AI8" s="169">
        <f t="shared" si="11"/>
        <v>45107</v>
      </c>
      <c r="AJ8" s="169">
        <f t="shared" si="11"/>
        <v>45138</v>
      </c>
      <c r="AK8" s="169">
        <f t="shared" si="11"/>
        <v>45169</v>
      </c>
      <c r="AL8" s="169">
        <f t="shared" si="11"/>
        <v>45199</v>
      </c>
      <c r="AM8" s="169">
        <f t="shared" si="11"/>
        <v>45230</v>
      </c>
      <c r="AN8" s="169">
        <f t="shared" si="11"/>
        <v>45260</v>
      </c>
      <c r="AO8" s="169">
        <f t="shared" si="11"/>
        <v>45291</v>
      </c>
      <c r="AP8" s="169">
        <f t="shared" si="11"/>
        <v>45322</v>
      </c>
      <c r="AQ8" s="169">
        <f t="shared" si="11"/>
        <v>45351</v>
      </c>
      <c r="AR8" s="169">
        <f t="shared" si="11"/>
        <v>45382</v>
      </c>
      <c r="AS8" s="169">
        <f t="shared" si="11"/>
        <v>45412</v>
      </c>
      <c r="AT8" s="169">
        <f t="shared" si="11"/>
        <v>45443</v>
      </c>
      <c r="AU8" s="169">
        <f t="shared" si="11"/>
        <v>45473</v>
      </c>
      <c r="AV8" s="169">
        <f t="shared" si="11"/>
        <v>45504</v>
      </c>
      <c r="AW8" s="169">
        <f t="shared" si="11"/>
        <v>45535</v>
      </c>
      <c r="AX8" s="169">
        <f t="shared" si="11"/>
        <v>45565</v>
      </c>
      <c r="AY8" s="169">
        <f t="shared" si="11"/>
        <v>45596</v>
      </c>
      <c r="AZ8" s="169">
        <f t="shared" si="11"/>
        <v>45626</v>
      </c>
      <c r="BA8" s="169">
        <f t="shared" si="11"/>
        <v>45657</v>
      </c>
      <c r="BB8" s="169">
        <f t="shared" si="11"/>
        <v>45688</v>
      </c>
      <c r="BC8" s="169">
        <f t="shared" si="11"/>
        <v>45716</v>
      </c>
      <c r="BD8" s="169">
        <f t="shared" si="11"/>
        <v>45747</v>
      </c>
      <c r="BE8" s="169">
        <f t="shared" si="11"/>
        <v>45777</v>
      </c>
      <c r="BF8" s="169">
        <f t="shared" si="11"/>
        <v>45808</v>
      </c>
      <c r="BG8" s="169">
        <f t="shared" si="11"/>
        <v>45838</v>
      </c>
      <c r="BH8" s="169">
        <f t="shared" si="11"/>
        <v>45869</v>
      </c>
      <c r="BI8" s="169">
        <f t="shared" si="11"/>
        <v>45900</v>
      </c>
      <c r="BJ8" s="169">
        <f t="shared" si="11"/>
        <v>45930</v>
      </c>
      <c r="BK8" s="169">
        <f t="shared" si="11"/>
        <v>45961</v>
      </c>
      <c r="BL8" s="169">
        <f t="shared" si="11"/>
        <v>45991</v>
      </c>
      <c r="BM8" s="169">
        <f t="shared" si="11"/>
        <v>46022</v>
      </c>
      <c r="BN8" s="169">
        <f t="shared" si="11"/>
        <v>46053</v>
      </c>
      <c r="BO8" s="169">
        <f t="shared" si="11"/>
        <v>46081</v>
      </c>
      <c r="BP8" s="169">
        <f t="shared" si="11"/>
        <v>46112</v>
      </c>
      <c r="BQ8" s="169">
        <f t="shared" si="11"/>
        <v>46142</v>
      </c>
      <c r="BR8" s="169">
        <f t="shared" si="11"/>
        <v>46173</v>
      </c>
      <c r="BS8" s="169">
        <f t="shared" si="11"/>
        <v>46203</v>
      </c>
      <c r="BT8" s="169">
        <f t="shared" si="11"/>
        <v>46234</v>
      </c>
      <c r="BU8" s="169">
        <f t="shared" si="11"/>
        <v>46265</v>
      </c>
      <c r="BV8" s="169">
        <f t="shared" si="11"/>
        <v>46295</v>
      </c>
      <c r="BW8" s="169">
        <f t="shared" si="11"/>
        <v>46326</v>
      </c>
      <c r="BX8" s="169">
        <f t="shared" si="11"/>
        <v>46356</v>
      </c>
      <c r="BY8" s="169">
        <f t="shared" si="11"/>
        <v>46387</v>
      </c>
    </row>
    <row r="9" spans="1:77" s="201" customFormat="1" ht="21" customHeight="1">
      <c r="A9" s="215"/>
      <c r="B9" s="343" t="s">
        <v>218</v>
      </c>
      <c r="C9" s="343" t="s">
        <v>218</v>
      </c>
      <c r="D9" s="215"/>
      <c r="E9" s="216"/>
      <c r="F9" s="345"/>
      <c r="G9" s="345"/>
      <c r="H9" s="345"/>
      <c r="I9" s="345"/>
      <c r="J9" s="344"/>
      <c r="K9" s="344"/>
      <c r="L9" s="345"/>
      <c r="M9" s="345"/>
      <c r="N9" s="345"/>
      <c r="O9" s="345"/>
      <c r="P9" s="345"/>
      <c r="Q9" s="345"/>
      <c r="R9" s="345"/>
      <c r="S9" s="345"/>
      <c r="T9" s="345"/>
      <c r="U9" s="345"/>
      <c r="V9" s="345"/>
      <c r="W9" s="345"/>
      <c r="X9" s="345"/>
      <c r="Y9" s="345"/>
      <c r="Z9" s="345"/>
      <c r="AA9" s="345"/>
      <c r="AB9" s="215"/>
      <c r="AC9" s="344"/>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5"/>
      <c r="BU9" s="345"/>
      <c r="BV9" s="345"/>
      <c r="BW9" s="345"/>
      <c r="BX9" s="345"/>
      <c r="BY9" s="345"/>
    </row>
    <row r="10" spans="1:77" s="201" customFormat="1" ht="21" customHeight="1">
      <c r="A10" s="215"/>
      <c r="B10" s="218" t="s">
        <v>219</v>
      </c>
      <c r="C10" s="343">
        <v>199</v>
      </c>
      <c r="D10" s="215"/>
      <c r="E10" s="216"/>
      <c r="F10" s="246" cm="1">
        <f t="array" ref="F10">SUM(_xlfn._xlws.FILTER(_xlfn._xlws.FILTER(dataGLPL,dataGLPLAcctIDs=$C10),(startDates&gt;=F$4)*(endDates&lt;=F$5)))</f>
        <v>245523</v>
      </c>
      <c r="G10" s="246" cm="1">
        <f t="array" ref="G10">SUM(_xlfn._xlws.FILTER(_xlfn._xlws.FILTER(dataGLPL,dataGLPLAcctIDs=$C10),(startDates&gt;=G$4)*(endDates&lt;=G$5)))</f>
        <v>594395</v>
      </c>
      <c r="H10" s="246" cm="1">
        <f t="array" ref="H10">SUM(_xlfn._xlws.FILTER(_xlfn._xlws.FILTER(dataGLPL,dataGLPLAcctIDs=$C10),(startDates&gt;=H$4)*(endDates&lt;=H$5)))</f>
        <v>892435.22666666657</v>
      </c>
      <c r="I10" s="246" cm="1">
        <f t="array" ref="I10">SUM(_xlfn._xlws.FILTER(_xlfn._xlws.FILTER(dataGLPL,dataGLPLAcctIDs=$C10),(startDates&gt;=I$4)*(endDates&lt;=I$5)))</f>
        <v>1421330.8333333335</v>
      </c>
      <c r="J10" s="344"/>
      <c r="K10" s="344"/>
      <c r="L10" s="246" cm="1">
        <f t="array" ref="L10">SUM(_xlfn._xlws.FILTER(_xlfn._xlws.FILTER(dataGLPL,dataGLPLAcctIDs=$C10),(startDates&gt;=L$4)*(endDates&lt;=L$5)))</f>
        <v>33100</v>
      </c>
      <c r="M10" s="246" cm="1">
        <f t="array" ref="M10">SUM(_xlfn._xlws.FILTER(_xlfn._xlws.FILTER(dataGLPL,dataGLPLAcctIDs=$C10),(startDates&gt;=M$4)*(endDates&lt;=M$5)))</f>
        <v>44056</v>
      </c>
      <c r="N10" s="246" cm="1">
        <f t="array" ref="N10">SUM(_xlfn._xlws.FILTER(_xlfn._xlws.FILTER(dataGLPL,dataGLPLAcctIDs=$C10),(startDates&gt;=N$4)*(endDates&lt;=N$5)))</f>
        <v>58639</v>
      </c>
      <c r="O10" s="246" cm="1">
        <f t="array" ref="O10">SUM(_xlfn._xlws.FILTER(_xlfn._xlws.FILTER(dataGLPL,dataGLPLAcctIDs=$C10),(startDates&gt;=O$4)*(endDates&lt;=O$5)))</f>
        <v>109728</v>
      </c>
      <c r="P10" s="246" cm="1">
        <f t="array" ref="P10">SUM(_xlfn._xlws.FILTER(_xlfn._xlws.FILTER(dataGLPL,dataGLPLAcctIDs=$C10),(startDates&gt;=P$4)*(endDates&lt;=P$5)))</f>
        <v>141336</v>
      </c>
      <c r="Q10" s="246" cm="1">
        <f t="array" ref="Q10">SUM(_xlfn._xlws.FILTER(_xlfn._xlws.FILTER(dataGLPL,dataGLPLAcctIDs=$C10),(startDates&gt;=Q$4)*(endDates&lt;=Q$5)))</f>
        <v>143829</v>
      </c>
      <c r="R10" s="246" cm="1">
        <f t="array" ref="R10">SUM(_xlfn._xlws.FILTER(_xlfn._xlws.FILTER(dataGLPL,dataGLPLAcctIDs=$C10),(startDates&gt;=R$4)*(endDates&lt;=R$5)))</f>
        <v>148291</v>
      </c>
      <c r="S10" s="246" cm="1">
        <f t="array" ref="S10">SUM(_xlfn._xlws.FILTER(_xlfn._xlws.FILTER(dataGLPL,dataGLPLAcctIDs=$C10),(startDates&gt;=S$4)*(endDates&lt;=S$5)))</f>
        <v>160939</v>
      </c>
      <c r="T10" s="246" cm="1">
        <f t="array" ref="T10">SUM(_xlfn._xlws.FILTER(_xlfn._xlws.FILTER(dataGLPL,dataGLPLAcctIDs=$C10),(startDates&gt;=T$4)*(endDates&lt;=T$5)))</f>
        <v>186307.22</v>
      </c>
      <c r="U10" s="246" cm="1">
        <f t="array" ref="U10">SUM(_xlfn._xlws.FILTER(_xlfn._xlws.FILTER(dataGLPL,dataGLPLAcctIDs=$C10),(startDates&gt;=U$4)*(endDates&lt;=U$5)))</f>
        <v>224073.97</v>
      </c>
      <c r="V10" s="246" cm="1">
        <f t="array" ref="V10">SUM(_xlfn._xlws.FILTER(_xlfn._xlws.FILTER(dataGLPL,dataGLPLAcctIDs=$C10),(startDates&gt;=V$4)*(endDates&lt;=V$5)))</f>
        <v>252169.37</v>
      </c>
      <c r="W10" s="246" cm="1">
        <f t="array" ref="W10">SUM(_xlfn._xlws.FILTER(_xlfn._xlws.FILTER(dataGLPL,dataGLPLAcctIDs=$C10),(startDates&gt;=W$4)*(endDates&lt;=W$5)))</f>
        <v>229884.66666666666</v>
      </c>
      <c r="X10" s="246" cm="1">
        <f t="array" ref="X10">SUM(_xlfn._xlws.FILTER(_xlfn._xlws.FILTER(dataGLPL,dataGLPLAcctIDs=$C10),(startDates&gt;=X$4)*(endDates&lt;=X$5)))</f>
        <v>325817.5</v>
      </c>
      <c r="Y10" s="246" cm="1">
        <f t="array" ref="Y10">SUM(_xlfn._xlws.FILTER(_xlfn._xlws.FILTER(dataGLPL,dataGLPLAcctIDs=$C10),(startDates&gt;=Y$4)*(endDates&lt;=Y$5)))</f>
        <v>365817.5</v>
      </c>
      <c r="Z10" s="246" cm="1">
        <f t="array" ref="Z10">SUM(_xlfn._xlws.FILTER(_xlfn._xlws.FILTER(dataGLPL,dataGLPLAcctIDs=$C10),(startDates&gt;=Z$4)*(endDates&lt;=Z$5)))</f>
        <v>365817.5</v>
      </c>
      <c r="AA10" s="246" cm="1">
        <f t="array" ref="AA10">SUM(_xlfn._xlws.FILTER(_xlfn._xlws.FILTER(dataGLPL,dataGLPLAcctIDs=$C10),(startDates&gt;=AA$4)*(endDates&lt;=AA$5)))</f>
        <v>363878.33333333337</v>
      </c>
      <c r="AB10" s="215"/>
      <c r="AC10" s="344"/>
      <c r="AD10" s="246" cm="1">
        <f t="array" ref="AD10">SUM(_xlfn._xlws.FILTER(_xlfn._xlws.FILTER(dataGLPL,dataGLPLAcctIDs=$C10),(startDates&gt;=AD$4)*(endDates&lt;=AD$5)))</f>
        <v>10000</v>
      </c>
      <c r="AE10" s="246" cm="1">
        <f t="array" ref="AE10">SUM(_xlfn._xlws.FILTER(_xlfn._xlws.FILTER(dataGLPL,dataGLPLAcctIDs=$C10),(startDates&gt;=AE$4)*(endDates&lt;=AE$5)))</f>
        <v>11000</v>
      </c>
      <c r="AF10" s="246" cm="1">
        <f t="array" ref="AF10">SUM(_xlfn._xlws.FILTER(_xlfn._xlws.FILTER(dataGLPL,dataGLPLAcctIDs=$C10),(startDates&gt;=AF$4)*(endDates&lt;=AF$5)))</f>
        <v>12100</v>
      </c>
      <c r="AG10" s="246" cm="1">
        <f t="array" ref="AG10">SUM(_xlfn._xlws.FILTER(_xlfn._xlws.FILTER(dataGLPL,dataGLPLAcctIDs=$C10),(startDates&gt;=AG$4)*(endDates&lt;=AG$5)))</f>
        <v>13310</v>
      </c>
      <c r="AH10" s="246" cm="1">
        <f t="array" ref="AH10">SUM(_xlfn._xlws.FILTER(_xlfn._xlws.FILTER(dataGLPL,dataGLPLAcctIDs=$C10),(startDates&gt;=AH$4)*(endDates&lt;=AH$5)))</f>
        <v>14641</v>
      </c>
      <c r="AI10" s="246" cm="1">
        <f t="array" ref="AI10">SUM(_xlfn._xlws.FILTER(_xlfn._xlws.FILTER(dataGLPL,dataGLPLAcctIDs=$C10),(startDates&gt;=AI$4)*(endDates&lt;=AI$5)))</f>
        <v>16105</v>
      </c>
      <c r="AJ10" s="246" cm="1">
        <f t="array" ref="AJ10">SUM(_xlfn._xlws.FILTER(_xlfn._xlws.FILTER(dataGLPL,dataGLPLAcctIDs=$C10),(startDates&gt;=AJ$4)*(endDates&lt;=AJ$5)))</f>
        <v>17716</v>
      </c>
      <c r="AK10" s="246" cm="1">
        <f t="array" ref="AK10">SUM(_xlfn._xlws.FILTER(_xlfn._xlws.FILTER(dataGLPL,dataGLPLAcctIDs=$C10),(startDates&gt;=AK$4)*(endDates&lt;=AK$5)))</f>
        <v>19487</v>
      </c>
      <c r="AL10" s="246" cm="1">
        <f t="array" ref="AL10">SUM(_xlfn._xlws.FILTER(_xlfn._xlws.FILTER(dataGLPL,dataGLPLAcctIDs=$C10),(startDates&gt;=AL$4)*(endDates&lt;=AL$5)))</f>
        <v>21436</v>
      </c>
      <c r="AM10" s="246" cm="1">
        <f t="array" ref="AM10">SUM(_xlfn._xlws.FILTER(_xlfn._xlws.FILTER(dataGLPL,dataGLPLAcctIDs=$C10),(startDates&gt;=AM$4)*(endDates&lt;=AM$5)))</f>
        <v>23579</v>
      </c>
      <c r="AN10" s="246" cm="1">
        <f t="array" ref="AN10">SUM(_xlfn._xlws.FILTER(_xlfn._xlws.FILTER(dataGLPL,dataGLPLAcctIDs=$C10),(startDates&gt;=AN$4)*(endDates&lt;=AN$5)))</f>
        <v>46149</v>
      </c>
      <c r="AO10" s="246" cm="1">
        <f t="array" ref="AO10">SUM(_xlfn._xlws.FILTER(_xlfn._xlws.FILTER(dataGLPL,dataGLPLAcctIDs=$C10),(startDates&gt;=AO$4)*(endDates&lt;=AO$5)))</f>
        <v>40000</v>
      </c>
      <c r="AP10" s="246" cm="1">
        <f t="array" ref="AP10">SUM(_xlfn._xlws.FILTER(_xlfn._xlws.FILTER(dataGLPL,dataGLPLAcctIDs=$C10),(startDates&gt;=AP$4)*(endDates&lt;=AP$5)))</f>
        <v>48456.5</v>
      </c>
      <c r="AQ10" s="246" cm="1">
        <f t="array" ref="AQ10">SUM(_xlfn._xlws.FILTER(_xlfn._xlws.FILTER(dataGLPL,dataGLPLAcctIDs=$C10),(startDates&gt;=AQ$4)*(endDates&lt;=AQ$5)))</f>
        <v>42000</v>
      </c>
      <c r="AR10" s="246" cm="1">
        <f t="array" ref="AR10">SUM(_xlfn._xlws.FILTER(_xlfn._xlws.FILTER(dataGLPL,dataGLPLAcctIDs=$C10),(startDates&gt;=AR$4)*(endDates&lt;=AR$5)))</f>
        <v>50879.5</v>
      </c>
      <c r="AS10" s="246" cm="1">
        <f t="array" ref="AS10">SUM(_xlfn._xlws.FILTER(_xlfn._xlws.FILTER(dataGLPL,dataGLPLAcctIDs=$C10),(startDates&gt;=AS$4)*(endDates&lt;=AS$5)))</f>
        <v>44100</v>
      </c>
      <c r="AT10" s="246" cm="1">
        <f t="array" ref="AT10">SUM(_xlfn._xlws.FILTER(_xlfn._xlws.FILTER(dataGLPL,dataGLPLAcctIDs=$C10),(startDates&gt;=AT$4)*(endDates&lt;=AT$5)))</f>
        <v>53424</v>
      </c>
      <c r="AU10" s="246" cm="1">
        <f t="array" ref="AU10">SUM(_xlfn._xlws.FILTER(_xlfn._xlws.FILTER(dataGLPL,dataGLPLAcctIDs=$C10),(startDates&gt;=AU$4)*(endDates&lt;=AU$5)))</f>
        <v>46305</v>
      </c>
      <c r="AV10" s="246" cm="1">
        <f t="array" ref="AV10">SUM(_xlfn._xlws.FILTER(_xlfn._xlws.FILTER(dataGLPL,dataGLPLAcctIDs=$C10),(startDates&gt;=AV$4)*(endDates&lt;=AV$5)))</f>
        <v>48620</v>
      </c>
      <c r="AW10" s="246" cm="1">
        <f t="array" ref="AW10">SUM(_xlfn._xlws.FILTER(_xlfn._xlws.FILTER(dataGLPL,dataGLPLAcctIDs=$C10),(startDates&gt;=AW$4)*(endDates&lt;=AW$5)))</f>
        <v>48620</v>
      </c>
      <c r="AX10" s="246" cm="1">
        <f t="array" ref="AX10">SUM(_xlfn._xlws.FILTER(_xlfn._xlws.FILTER(dataGLPL,dataGLPLAcctIDs=$C10),(startDates&gt;=AX$4)*(endDates&lt;=AX$5)))</f>
        <v>51051</v>
      </c>
      <c r="AY10" s="246" cm="1">
        <f t="array" ref="AY10">SUM(_xlfn._xlws.FILTER(_xlfn._xlws.FILTER(dataGLPL,dataGLPLAcctIDs=$C10),(startDates&gt;=AY$4)*(endDates&lt;=AY$5)))</f>
        <v>51051</v>
      </c>
      <c r="AZ10" s="246" cm="1">
        <f t="array" ref="AZ10">SUM(_xlfn._xlws.FILTER(_xlfn._xlws.FILTER(dataGLPL,dataGLPLAcctIDs=$C10),(startDates&gt;=AZ$4)*(endDates&lt;=AZ$5)))</f>
        <v>53604</v>
      </c>
      <c r="BA10" s="246" cm="1">
        <f t="array" ref="BA10">SUM(_xlfn._xlws.FILTER(_xlfn._xlws.FILTER(dataGLPL,dataGLPLAcctIDs=$C10),(startDates&gt;=BA$4)*(endDates&lt;=BA$5)))</f>
        <v>56284</v>
      </c>
      <c r="BB10" s="246" cm="1">
        <f t="array" ref="BB10">SUM(_xlfn._xlws.FILTER(_xlfn._xlws.FILTER(dataGLPL,dataGLPLAcctIDs=$C10),(startDates&gt;=BB$4)*(endDates&lt;=BB$5)))</f>
        <v>59098.22</v>
      </c>
      <c r="BC10" s="246" cm="1">
        <f t="array" ref="BC10">SUM(_xlfn._xlws.FILTER(_xlfn._xlws.FILTER(dataGLPL,dataGLPLAcctIDs=$C10),(startDates&gt;=BC$4)*(endDates&lt;=BC$5)))</f>
        <v>62053</v>
      </c>
      <c r="BD10" s="246" cm="1">
        <f t="array" ref="BD10">SUM(_xlfn._xlws.FILTER(_xlfn._xlws.FILTER(dataGLPL,dataGLPLAcctIDs=$C10),(startDates&gt;=BD$4)*(endDates&lt;=BD$5)))</f>
        <v>65156</v>
      </c>
      <c r="BE10" s="246" cm="1">
        <f t="array" ref="BE10">SUM(_xlfn._xlws.FILTER(_xlfn._xlws.FILTER(dataGLPL,dataGLPLAcctIDs=$C10),(startDates&gt;=BE$4)*(endDates&lt;=BE$5)))</f>
        <v>68414</v>
      </c>
      <c r="BF10" s="246" cm="1">
        <f t="array" ref="BF10">SUM(_xlfn._xlws.FILTER(_xlfn._xlws.FILTER(dataGLPL,dataGLPLAcctIDs=$C10),(startDates&gt;=BF$4)*(endDates&lt;=BF$5)))</f>
        <v>71834</v>
      </c>
      <c r="BG10" s="246" cm="1">
        <f t="array" ref="BG10">SUM(_xlfn._xlws.FILTER(_xlfn._xlws.FILTER(dataGLPL,dataGLPLAcctIDs=$C10),(startDates&gt;=BG$4)*(endDates&lt;=BG$5)))</f>
        <v>83825.97</v>
      </c>
      <c r="BH10" s="246" cm="1">
        <f t="array" ref="BH10">SUM(_xlfn._xlws.FILTER(_xlfn._xlws.FILTER(dataGLPL,dataGLPLAcctIDs=$C10),(startDates&gt;=BH$4)*(endDates&lt;=BH$5)))</f>
        <v>81697.259999999995</v>
      </c>
      <c r="BI10" s="246" cm="1">
        <f t="array" ref="BI10">SUM(_xlfn._xlws.FILTER(_xlfn._xlws.FILTER(dataGLPL,dataGLPLAcctIDs=$C10),(startDates&gt;=BI$4)*(endDates&lt;=BI$5)))</f>
        <v>83157.13</v>
      </c>
      <c r="BJ10" s="246" cm="1">
        <f t="array" ref="BJ10">SUM(_xlfn._xlws.FILTER(_xlfn._xlws.FILTER(dataGLPL,dataGLPLAcctIDs=$C10),(startDates&gt;=BJ$4)*(endDates&lt;=BJ$5)))</f>
        <v>87314.98</v>
      </c>
      <c r="BK10" s="246" cm="1">
        <f t="array" ref="BK10">SUM(_xlfn._xlws.FILTER(_xlfn._xlws.FILTER(dataGLPL,dataGLPLAcctIDs=$C10),(startDates&gt;=BK$4)*(endDates&lt;=BK$5)))</f>
        <v>91680.73</v>
      </c>
      <c r="BL10" s="246" cm="1">
        <f t="array" ref="BL10">SUM(_xlfn._xlws.FILTER(_xlfn._xlws.FILTER(dataGLPL,dataGLPLAcctIDs=$C10),(startDates&gt;=BL$4)*(endDates&lt;=BL$5)))</f>
        <v>96264.77</v>
      </c>
      <c r="BM10" s="246" cm="1">
        <f t="array" ref="BM10">SUM(_xlfn._xlws.FILTER(_xlfn._xlws.FILTER(dataGLPL,dataGLPLAcctIDs=$C10),(startDates&gt;=BM$4)*(endDates&lt;=BM$5)))</f>
        <v>41939.166666666664</v>
      </c>
      <c r="BN10" s="246" cm="1">
        <f t="array" ref="BN10">SUM(_xlfn._xlws.FILTER(_xlfn._xlws.FILTER(dataGLPL,dataGLPLAcctIDs=$C10),(startDates&gt;=BN$4)*(endDates&lt;=BN$5)))</f>
        <v>81939.166666666672</v>
      </c>
      <c r="BO10" s="246" cm="1">
        <f t="array" ref="BO10">SUM(_xlfn._xlws.FILTER(_xlfn._xlws.FILTER(dataGLPL,dataGLPLAcctIDs=$C10),(startDates&gt;=BO$4)*(endDates&lt;=BO$5)))</f>
        <v>121939.16666666667</v>
      </c>
      <c r="BP10" s="246" cm="1">
        <f t="array" ref="BP10">SUM(_xlfn._xlws.FILTER(_xlfn._xlws.FILTER(dataGLPL,dataGLPLAcctIDs=$C10),(startDates&gt;=BP$4)*(endDates&lt;=BP$5)))</f>
        <v>121939.16666666667</v>
      </c>
      <c r="BQ10" s="246" cm="1">
        <f t="array" ref="BQ10">SUM(_xlfn._xlws.FILTER(_xlfn._xlws.FILTER(dataGLPL,dataGLPLAcctIDs=$C10),(startDates&gt;=BQ$4)*(endDates&lt;=BQ$5)))</f>
        <v>121939.16666666667</v>
      </c>
      <c r="BR10" s="246" cm="1">
        <f t="array" ref="BR10">SUM(_xlfn._xlws.FILTER(_xlfn._xlws.FILTER(dataGLPL,dataGLPLAcctIDs=$C10),(startDates&gt;=BR$4)*(endDates&lt;=BR$5)))</f>
        <v>121939.16666666667</v>
      </c>
      <c r="BS10" s="246" cm="1">
        <f t="array" ref="BS10">SUM(_xlfn._xlws.FILTER(_xlfn._xlws.FILTER(dataGLPL,dataGLPLAcctIDs=$C10),(startDates&gt;=BS$4)*(endDates&lt;=BS$5)))</f>
        <v>121939.16666666667</v>
      </c>
      <c r="BT10" s="246" cm="1">
        <f t="array" ref="BT10">SUM(_xlfn._xlws.FILTER(_xlfn._xlws.FILTER(dataGLPL,dataGLPLAcctIDs=$C10),(startDates&gt;=BT$4)*(endDates&lt;=BT$5)))</f>
        <v>121939.16666666667</v>
      </c>
      <c r="BU10" s="246" cm="1">
        <f t="array" ref="BU10">SUM(_xlfn._xlws.FILTER(_xlfn._xlws.FILTER(dataGLPL,dataGLPLAcctIDs=$C10),(startDates&gt;=BU$4)*(endDates&lt;=BU$5)))</f>
        <v>121939.16666666667</v>
      </c>
      <c r="BV10" s="246" cm="1">
        <f t="array" ref="BV10">SUM(_xlfn._xlws.FILTER(_xlfn._xlws.FILTER(dataGLPL,dataGLPLAcctIDs=$C10),(startDates&gt;=BV$4)*(endDates&lt;=BV$5)))</f>
        <v>121939.16666666667</v>
      </c>
      <c r="BW10" s="246" cm="1">
        <f t="array" ref="BW10">SUM(_xlfn._xlws.FILTER(_xlfn._xlws.FILTER(dataGLPL,dataGLPLAcctIDs=$C10),(startDates&gt;=BW$4)*(endDates&lt;=BW$5)))</f>
        <v>121939.16666666667</v>
      </c>
      <c r="BX10" s="246" cm="1">
        <f t="array" ref="BX10">SUM(_xlfn._xlws.FILTER(_xlfn._xlws.FILTER(dataGLPL,dataGLPLAcctIDs=$C10),(startDates&gt;=BX$4)*(endDates&lt;=BX$5)))</f>
        <v>121939.16666666667</v>
      </c>
      <c r="BY10" s="246" cm="1">
        <f t="array" ref="BY10">SUM(_xlfn._xlws.FILTER(_xlfn._xlws.FILTER(dataGLPL,dataGLPLAcctIDs=$C10),(startDates&gt;=BY$4)*(endDates&lt;=BY$5)))</f>
        <v>120000</v>
      </c>
    </row>
    <row r="11" spans="1:77" s="201" customFormat="1" ht="21" customHeight="1">
      <c r="A11" s="215"/>
      <c r="B11" s="218" t="s">
        <v>220</v>
      </c>
      <c r="C11" s="343">
        <v>73</v>
      </c>
      <c r="D11" s="215"/>
      <c r="E11" s="216"/>
      <c r="F11" s="246" cm="1">
        <f t="array" ref="F11">SUM(_xlfn._xlws.FILTER(_xlfn._xlws.FILTER(dataGLPL,dataGLPLAcctIDs=$C11),(startDates&gt;=F$4)*(endDates&lt;=F$5)))</f>
        <v>0</v>
      </c>
      <c r="G11" s="246" cm="1">
        <f t="array" ref="G11">SUM(_xlfn._xlws.FILTER(_xlfn._xlws.FILTER(dataGLPL,dataGLPLAcctIDs=$C11),(startDates&gt;=G$4)*(endDates&lt;=G$5)))</f>
        <v>0</v>
      </c>
      <c r="H11" s="246" cm="1">
        <f t="array" ref="H11">SUM(_xlfn._xlws.FILTER(_xlfn._xlws.FILTER(dataGLPL,dataGLPLAcctIDs=$C11),(startDates&gt;=H$4)*(endDates&lt;=H$5)))</f>
        <v>300</v>
      </c>
      <c r="I11" s="246" cm="1">
        <f t="array" ref="I11">SUM(_xlfn._xlws.FILTER(_xlfn._xlws.FILTER(dataGLPL,dataGLPLAcctIDs=$C11),(startDates&gt;=I$4)*(endDates&lt;=I$5)))</f>
        <v>0</v>
      </c>
      <c r="J11" s="344"/>
      <c r="K11" s="344"/>
      <c r="L11" s="246" cm="1">
        <f t="array" ref="L11">SUM(_xlfn._xlws.FILTER(_xlfn._xlws.FILTER(dataGLPL,dataGLPLAcctIDs=$C11),(startDates&gt;=L$4)*(endDates&lt;=L$5)))</f>
        <v>0</v>
      </c>
      <c r="M11" s="246" cm="1">
        <f t="array" ref="M11">SUM(_xlfn._xlws.FILTER(_xlfn._xlws.FILTER(dataGLPL,dataGLPLAcctIDs=$C11),(startDates&gt;=M$4)*(endDates&lt;=M$5)))</f>
        <v>0</v>
      </c>
      <c r="N11" s="246" cm="1">
        <f t="array" ref="N11">SUM(_xlfn._xlws.FILTER(_xlfn._xlws.FILTER(dataGLPL,dataGLPLAcctIDs=$C11),(startDates&gt;=N$4)*(endDates&lt;=N$5)))</f>
        <v>0</v>
      </c>
      <c r="O11" s="246" cm="1">
        <f t="array" ref="O11">SUM(_xlfn._xlws.FILTER(_xlfn._xlws.FILTER(dataGLPL,dataGLPLAcctIDs=$C11),(startDates&gt;=O$4)*(endDates&lt;=O$5)))</f>
        <v>0</v>
      </c>
      <c r="P11" s="246" cm="1">
        <f t="array" ref="P11">SUM(_xlfn._xlws.FILTER(_xlfn._xlws.FILTER(dataGLPL,dataGLPLAcctIDs=$C11),(startDates&gt;=P$4)*(endDates&lt;=P$5)))</f>
        <v>0</v>
      </c>
      <c r="Q11" s="246" cm="1">
        <f t="array" ref="Q11">SUM(_xlfn._xlws.FILTER(_xlfn._xlws.FILTER(dataGLPL,dataGLPLAcctIDs=$C11),(startDates&gt;=Q$4)*(endDates&lt;=Q$5)))</f>
        <v>0</v>
      </c>
      <c r="R11" s="246" cm="1">
        <f t="array" ref="R11">SUM(_xlfn._xlws.FILTER(_xlfn._xlws.FILTER(dataGLPL,dataGLPLAcctIDs=$C11),(startDates&gt;=R$4)*(endDates&lt;=R$5)))</f>
        <v>0</v>
      </c>
      <c r="S11" s="246" cm="1">
        <f t="array" ref="S11">SUM(_xlfn._xlws.FILTER(_xlfn._xlws.FILTER(dataGLPL,dataGLPLAcctIDs=$C11),(startDates&gt;=S$4)*(endDates&lt;=S$5)))</f>
        <v>0</v>
      </c>
      <c r="T11" s="246" cm="1">
        <f t="array" ref="T11">SUM(_xlfn._xlws.FILTER(_xlfn._xlws.FILTER(dataGLPL,dataGLPLAcctIDs=$C11),(startDates&gt;=T$4)*(endDates&lt;=T$5)))</f>
        <v>0</v>
      </c>
      <c r="U11" s="246" cm="1">
        <f t="array" ref="U11">SUM(_xlfn._xlws.FILTER(_xlfn._xlws.FILTER(dataGLPL,dataGLPLAcctIDs=$C11),(startDates&gt;=U$4)*(endDates&lt;=U$5)))</f>
        <v>300</v>
      </c>
      <c r="V11" s="246" cm="1">
        <f t="array" ref="V11">SUM(_xlfn._xlws.FILTER(_xlfn._xlws.FILTER(dataGLPL,dataGLPLAcctIDs=$C11),(startDates&gt;=V$4)*(endDates&lt;=V$5)))</f>
        <v>0</v>
      </c>
      <c r="W11" s="246" cm="1">
        <f t="array" ref="W11">SUM(_xlfn._xlws.FILTER(_xlfn._xlws.FILTER(dataGLPL,dataGLPLAcctIDs=$C11),(startDates&gt;=W$4)*(endDates&lt;=W$5)))</f>
        <v>0</v>
      </c>
      <c r="X11" s="246" cm="1">
        <f t="array" ref="X11">SUM(_xlfn._xlws.FILTER(_xlfn._xlws.FILTER(dataGLPL,dataGLPLAcctIDs=$C11),(startDates&gt;=X$4)*(endDates&lt;=X$5)))</f>
        <v>0</v>
      </c>
      <c r="Y11" s="246" cm="1">
        <f t="array" ref="Y11">SUM(_xlfn._xlws.FILTER(_xlfn._xlws.FILTER(dataGLPL,dataGLPLAcctIDs=$C11),(startDates&gt;=Y$4)*(endDates&lt;=Y$5)))</f>
        <v>0</v>
      </c>
      <c r="Z11" s="246" cm="1">
        <f t="array" ref="Z11">SUM(_xlfn._xlws.FILTER(_xlfn._xlws.FILTER(dataGLPL,dataGLPLAcctIDs=$C11),(startDates&gt;=Z$4)*(endDates&lt;=Z$5)))</f>
        <v>0</v>
      </c>
      <c r="AA11" s="246" cm="1">
        <f t="array" ref="AA11">SUM(_xlfn._xlws.FILTER(_xlfn._xlws.FILTER(dataGLPL,dataGLPLAcctIDs=$C11),(startDates&gt;=AA$4)*(endDates&lt;=AA$5)))</f>
        <v>0</v>
      </c>
      <c r="AB11" s="215"/>
      <c r="AC11" s="344"/>
      <c r="AD11" s="246" cm="1">
        <f t="array" ref="AD11">SUM(_xlfn._xlws.FILTER(_xlfn._xlws.FILTER(dataGLPL,dataGLPLAcctIDs=$C11),(startDates&gt;=AD$4)*(endDates&lt;=AD$5)))</f>
        <v>0</v>
      </c>
      <c r="AE11" s="246" cm="1">
        <f t="array" ref="AE11">SUM(_xlfn._xlws.FILTER(_xlfn._xlws.FILTER(dataGLPL,dataGLPLAcctIDs=$C11),(startDates&gt;=AE$4)*(endDates&lt;=AE$5)))</f>
        <v>0</v>
      </c>
      <c r="AF11" s="246" cm="1">
        <f t="array" ref="AF11">SUM(_xlfn._xlws.FILTER(_xlfn._xlws.FILTER(dataGLPL,dataGLPLAcctIDs=$C11),(startDates&gt;=AF$4)*(endDates&lt;=AF$5)))</f>
        <v>0</v>
      </c>
      <c r="AG11" s="246" cm="1">
        <f t="array" ref="AG11">SUM(_xlfn._xlws.FILTER(_xlfn._xlws.FILTER(dataGLPL,dataGLPLAcctIDs=$C11),(startDates&gt;=AG$4)*(endDates&lt;=AG$5)))</f>
        <v>0</v>
      </c>
      <c r="AH11" s="246" cm="1">
        <f t="array" ref="AH11">SUM(_xlfn._xlws.FILTER(_xlfn._xlws.FILTER(dataGLPL,dataGLPLAcctIDs=$C11),(startDates&gt;=AH$4)*(endDates&lt;=AH$5)))</f>
        <v>0</v>
      </c>
      <c r="AI11" s="246" cm="1">
        <f t="array" ref="AI11">SUM(_xlfn._xlws.FILTER(_xlfn._xlws.FILTER(dataGLPL,dataGLPLAcctIDs=$C11),(startDates&gt;=AI$4)*(endDates&lt;=AI$5)))</f>
        <v>0</v>
      </c>
      <c r="AJ11" s="246" cm="1">
        <f t="array" ref="AJ11">SUM(_xlfn._xlws.FILTER(_xlfn._xlws.FILTER(dataGLPL,dataGLPLAcctIDs=$C11),(startDates&gt;=AJ$4)*(endDates&lt;=AJ$5)))</f>
        <v>0</v>
      </c>
      <c r="AK11" s="246" cm="1">
        <f t="array" ref="AK11">SUM(_xlfn._xlws.FILTER(_xlfn._xlws.FILTER(dataGLPL,dataGLPLAcctIDs=$C11),(startDates&gt;=AK$4)*(endDates&lt;=AK$5)))</f>
        <v>0</v>
      </c>
      <c r="AL11" s="246" cm="1">
        <f t="array" ref="AL11">SUM(_xlfn._xlws.FILTER(_xlfn._xlws.FILTER(dataGLPL,dataGLPLAcctIDs=$C11),(startDates&gt;=AL$4)*(endDates&lt;=AL$5)))</f>
        <v>0</v>
      </c>
      <c r="AM11" s="246" cm="1">
        <f t="array" ref="AM11">SUM(_xlfn._xlws.FILTER(_xlfn._xlws.FILTER(dataGLPL,dataGLPLAcctIDs=$C11),(startDates&gt;=AM$4)*(endDates&lt;=AM$5)))</f>
        <v>0</v>
      </c>
      <c r="AN11" s="246" cm="1">
        <f t="array" ref="AN11">SUM(_xlfn._xlws.FILTER(_xlfn._xlws.FILTER(dataGLPL,dataGLPLAcctIDs=$C11),(startDates&gt;=AN$4)*(endDates&lt;=AN$5)))</f>
        <v>0</v>
      </c>
      <c r="AO11" s="246" cm="1">
        <f t="array" ref="AO11">SUM(_xlfn._xlws.FILTER(_xlfn._xlws.FILTER(dataGLPL,dataGLPLAcctIDs=$C11),(startDates&gt;=AO$4)*(endDates&lt;=AO$5)))</f>
        <v>0</v>
      </c>
      <c r="AP11" s="246" cm="1">
        <f t="array" ref="AP11">SUM(_xlfn._xlws.FILTER(_xlfn._xlws.FILTER(dataGLPL,dataGLPLAcctIDs=$C11),(startDates&gt;=AP$4)*(endDates&lt;=AP$5)))</f>
        <v>0</v>
      </c>
      <c r="AQ11" s="246" cm="1">
        <f t="array" ref="AQ11">SUM(_xlfn._xlws.FILTER(_xlfn._xlws.FILTER(dataGLPL,dataGLPLAcctIDs=$C11),(startDates&gt;=AQ$4)*(endDates&lt;=AQ$5)))</f>
        <v>0</v>
      </c>
      <c r="AR11" s="246" cm="1">
        <f t="array" ref="AR11">SUM(_xlfn._xlws.FILTER(_xlfn._xlws.FILTER(dataGLPL,dataGLPLAcctIDs=$C11),(startDates&gt;=AR$4)*(endDates&lt;=AR$5)))</f>
        <v>0</v>
      </c>
      <c r="AS11" s="246" cm="1">
        <f t="array" ref="AS11">SUM(_xlfn._xlws.FILTER(_xlfn._xlws.FILTER(dataGLPL,dataGLPLAcctIDs=$C11),(startDates&gt;=AS$4)*(endDates&lt;=AS$5)))</f>
        <v>0</v>
      </c>
      <c r="AT11" s="246" cm="1">
        <f t="array" ref="AT11">SUM(_xlfn._xlws.FILTER(_xlfn._xlws.FILTER(dataGLPL,dataGLPLAcctIDs=$C11),(startDates&gt;=AT$4)*(endDates&lt;=AT$5)))</f>
        <v>0</v>
      </c>
      <c r="AU11" s="246" cm="1">
        <f t="array" ref="AU11">SUM(_xlfn._xlws.FILTER(_xlfn._xlws.FILTER(dataGLPL,dataGLPLAcctIDs=$C11),(startDates&gt;=AU$4)*(endDates&lt;=AU$5)))</f>
        <v>0</v>
      </c>
      <c r="AV11" s="246" cm="1">
        <f t="array" ref="AV11">SUM(_xlfn._xlws.FILTER(_xlfn._xlws.FILTER(dataGLPL,dataGLPLAcctIDs=$C11),(startDates&gt;=AV$4)*(endDates&lt;=AV$5)))</f>
        <v>0</v>
      </c>
      <c r="AW11" s="246" cm="1">
        <f t="array" ref="AW11">SUM(_xlfn._xlws.FILTER(_xlfn._xlws.FILTER(dataGLPL,dataGLPLAcctIDs=$C11),(startDates&gt;=AW$4)*(endDates&lt;=AW$5)))</f>
        <v>0</v>
      </c>
      <c r="AX11" s="246" cm="1">
        <f t="array" ref="AX11">SUM(_xlfn._xlws.FILTER(_xlfn._xlws.FILTER(dataGLPL,dataGLPLAcctIDs=$C11),(startDates&gt;=AX$4)*(endDates&lt;=AX$5)))</f>
        <v>0</v>
      </c>
      <c r="AY11" s="246" cm="1">
        <f t="array" ref="AY11">SUM(_xlfn._xlws.FILTER(_xlfn._xlws.FILTER(dataGLPL,dataGLPLAcctIDs=$C11),(startDates&gt;=AY$4)*(endDates&lt;=AY$5)))</f>
        <v>0</v>
      </c>
      <c r="AZ11" s="246" cm="1">
        <f t="array" ref="AZ11">SUM(_xlfn._xlws.FILTER(_xlfn._xlws.FILTER(dataGLPL,dataGLPLAcctIDs=$C11),(startDates&gt;=AZ$4)*(endDates&lt;=AZ$5)))</f>
        <v>0</v>
      </c>
      <c r="BA11" s="246" cm="1">
        <f t="array" ref="BA11">SUM(_xlfn._xlws.FILTER(_xlfn._xlws.FILTER(dataGLPL,dataGLPLAcctIDs=$C11),(startDates&gt;=BA$4)*(endDates&lt;=BA$5)))</f>
        <v>0</v>
      </c>
      <c r="BB11" s="246" cm="1">
        <f t="array" ref="BB11">SUM(_xlfn._xlws.FILTER(_xlfn._xlws.FILTER(dataGLPL,dataGLPLAcctIDs=$C11),(startDates&gt;=BB$4)*(endDates&lt;=BB$5)))</f>
        <v>0</v>
      </c>
      <c r="BC11" s="246" cm="1">
        <f t="array" ref="BC11">SUM(_xlfn._xlws.FILTER(_xlfn._xlws.FILTER(dataGLPL,dataGLPLAcctIDs=$C11),(startDates&gt;=BC$4)*(endDates&lt;=BC$5)))</f>
        <v>0</v>
      </c>
      <c r="BD11" s="246" cm="1">
        <f t="array" ref="BD11">SUM(_xlfn._xlws.FILTER(_xlfn._xlws.FILTER(dataGLPL,dataGLPLAcctIDs=$C11),(startDates&gt;=BD$4)*(endDates&lt;=BD$5)))</f>
        <v>0</v>
      </c>
      <c r="BE11" s="246" cm="1">
        <f t="array" ref="BE11">SUM(_xlfn._xlws.FILTER(_xlfn._xlws.FILTER(dataGLPL,dataGLPLAcctIDs=$C11),(startDates&gt;=BE$4)*(endDates&lt;=BE$5)))</f>
        <v>0</v>
      </c>
      <c r="BF11" s="246" cm="1">
        <f t="array" ref="BF11">SUM(_xlfn._xlws.FILTER(_xlfn._xlws.FILTER(dataGLPL,dataGLPLAcctIDs=$C11),(startDates&gt;=BF$4)*(endDates&lt;=BF$5)))</f>
        <v>0</v>
      </c>
      <c r="BG11" s="246" cm="1">
        <f t="array" ref="BG11">SUM(_xlfn._xlws.FILTER(_xlfn._xlws.FILTER(dataGLPL,dataGLPLAcctIDs=$C11),(startDates&gt;=BG$4)*(endDates&lt;=BG$5)))</f>
        <v>300</v>
      </c>
      <c r="BH11" s="246" cm="1">
        <f t="array" ref="BH11">SUM(_xlfn._xlws.FILTER(_xlfn._xlws.FILTER(dataGLPL,dataGLPLAcctIDs=$C11),(startDates&gt;=BH$4)*(endDates&lt;=BH$5)))</f>
        <v>0</v>
      </c>
      <c r="BI11" s="246" cm="1">
        <f t="array" ref="BI11">SUM(_xlfn._xlws.FILTER(_xlfn._xlws.FILTER(dataGLPL,dataGLPLAcctIDs=$C11),(startDates&gt;=BI$4)*(endDates&lt;=BI$5)))</f>
        <v>0</v>
      </c>
      <c r="BJ11" s="246" cm="1">
        <f t="array" ref="BJ11">SUM(_xlfn._xlws.FILTER(_xlfn._xlws.FILTER(dataGLPL,dataGLPLAcctIDs=$C11),(startDates&gt;=BJ$4)*(endDates&lt;=BJ$5)))</f>
        <v>0</v>
      </c>
      <c r="BK11" s="246" cm="1">
        <f t="array" ref="BK11">SUM(_xlfn._xlws.FILTER(_xlfn._xlws.FILTER(dataGLPL,dataGLPLAcctIDs=$C11),(startDates&gt;=BK$4)*(endDates&lt;=BK$5)))</f>
        <v>0</v>
      </c>
      <c r="BL11" s="246" cm="1">
        <f t="array" ref="BL11">SUM(_xlfn._xlws.FILTER(_xlfn._xlws.FILTER(dataGLPL,dataGLPLAcctIDs=$C11),(startDates&gt;=BL$4)*(endDates&lt;=BL$5)))</f>
        <v>0</v>
      </c>
      <c r="BM11" s="246" cm="1">
        <f t="array" ref="BM11">SUM(_xlfn._xlws.FILTER(_xlfn._xlws.FILTER(dataGLPL,dataGLPLAcctIDs=$C11),(startDates&gt;=BM$4)*(endDates&lt;=BM$5)))</f>
        <v>0</v>
      </c>
      <c r="BN11" s="246" cm="1">
        <f t="array" ref="BN11">SUM(_xlfn._xlws.FILTER(_xlfn._xlws.FILTER(dataGLPL,dataGLPLAcctIDs=$C11),(startDates&gt;=BN$4)*(endDates&lt;=BN$5)))</f>
        <v>0</v>
      </c>
      <c r="BO11" s="246" cm="1">
        <f t="array" ref="BO11">SUM(_xlfn._xlws.FILTER(_xlfn._xlws.FILTER(dataGLPL,dataGLPLAcctIDs=$C11),(startDates&gt;=BO$4)*(endDates&lt;=BO$5)))</f>
        <v>0</v>
      </c>
      <c r="BP11" s="246" cm="1">
        <f t="array" ref="BP11">SUM(_xlfn._xlws.FILTER(_xlfn._xlws.FILTER(dataGLPL,dataGLPLAcctIDs=$C11),(startDates&gt;=BP$4)*(endDates&lt;=BP$5)))</f>
        <v>0</v>
      </c>
      <c r="BQ11" s="246" cm="1">
        <f t="array" ref="BQ11">SUM(_xlfn._xlws.FILTER(_xlfn._xlws.FILTER(dataGLPL,dataGLPLAcctIDs=$C11),(startDates&gt;=BQ$4)*(endDates&lt;=BQ$5)))</f>
        <v>0</v>
      </c>
      <c r="BR11" s="246" cm="1">
        <f t="array" ref="BR11">SUM(_xlfn._xlws.FILTER(_xlfn._xlws.FILTER(dataGLPL,dataGLPLAcctIDs=$C11),(startDates&gt;=BR$4)*(endDates&lt;=BR$5)))</f>
        <v>0</v>
      </c>
      <c r="BS11" s="246" cm="1">
        <f t="array" ref="BS11">SUM(_xlfn._xlws.FILTER(_xlfn._xlws.FILTER(dataGLPL,dataGLPLAcctIDs=$C11),(startDates&gt;=BS$4)*(endDates&lt;=BS$5)))</f>
        <v>0</v>
      </c>
      <c r="BT11" s="246" cm="1">
        <f t="array" ref="BT11">SUM(_xlfn._xlws.FILTER(_xlfn._xlws.FILTER(dataGLPL,dataGLPLAcctIDs=$C11),(startDates&gt;=BT$4)*(endDates&lt;=BT$5)))</f>
        <v>0</v>
      </c>
      <c r="BU11" s="246" cm="1">
        <f t="array" ref="BU11">SUM(_xlfn._xlws.FILTER(_xlfn._xlws.FILTER(dataGLPL,dataGLPLAcctIDs=$C11),(startDates&gt;=BU$4)*(endDates&lt;=BU$5)))</f>
        <v>0</v>
      </c>
      <c r="BV11" s="246" cm="1">
        <f t="array" ref="BV11">SUM(_xlfn._xlws.FILTER(_xlfn._xlws.FILTER(dataGLPL,dataGLPLAcctIDs=$C11),(startDates&gt;=BV$4)*(endDates&lt;=BV$5)))</f>
        <v>0</v>
      </c>
      <c r="BW11" s="246" cm="1">
        <f t="array" ref="BW11">SUM(_xlfn._xlws.FILTER(_xlfn._xlws.FILTER(dataGLPL,dataGLPLAcctIDs=$C11),(startDates&gt;=BW$4)*(endDates&lt;=BW$5)))</f>
        <v>0</v>
      </c>
      <c r="BX11" s="246" cm="1">
        <f t="array" ref="BX11">SUM(_xlfn._xlws.FILTER(_xlfn._xlws.FILTER(dataGLPL,dataGLPLAcctIDs=$C11),(startDates&gt;=BX$4)*(endDates&lt;=BX$5)))</f>
        <v>0</v>
      </c>
      <c r="BY11" s="246" cm="1">
        <f t="array" ref="BY11">SUM(_xlfn._xlws.FILTER(_xlfn._xlws.FILTER(dataGLPL,dataGLPLAcctIDs=$C11),(startDates&gt;=BY$4)*(endDates&lt;=BY$5)))</f>
        <v>0</v>
      </c>
    </row>
    <row r="12" spans="1:77" s="201" customFormat="1" ht="21" customHeight="1">
      <c r="A12" s="215"/>
      <c r="B12" s="218" t="s">
        <v>221</v>
      </c>
      <c r="C12" s="343">
        <v>5</v>
      </c>
      <c r="D12" s="215"/>
      <c r="E12" s="216"/>
      <c r="F12" s="246" cm="1">
        <f t="array" ref="F12">SUM(_xlfn._xlws.FILTER(_xlfn._xlws.FILTER(dataGLPL,dataGLPLAcctIDs=$C12),(startDates&gt;=F$4)*(endDates&lt;=F$5)))</f>
        <v>0</v>
      </c>
      <c r="G12" s="246" cm="1">
        <f t="array" ref="G12">SUM(_xlfn._xlws.FILTER(_xlfn._xlws.FILTER(dataGLPL,dataGLPLAcctIDs=$C12),(startDates&gt;=G$4)*(endDates&lt;=G$5)))</f>
        <v>0</v>
      </c>
      <c r="H12" s="246" cm="1">
        <f t="array" ref="H12">SUM(_xlfn._xlws.FILTER(_xlfn._xlws.FILTER(dataGLPL,dataGLPLAcctIDs=$C12),(startDates&gt;=H$4)*(endDates&lt;=H$5)))</f>
        <v>50000</v>
      </c>
      <c r="I12" s="246" cm="1">
        <f t="array" ref="I12">SUM(_xlfn._xlws.FILTER(_xlfn._xlws.FILTER(dataGLPL,dataGLPLAcctIDs=$C12),(startDates&gt;=I$4)*(endDates&lt;=I$5)))</f>
        <v>30000</v>
      </c>
      <c r="J12" s="344"/>
      <c r="K12" s="344"/>
      <c r="L12" s="246" cm="1">
        <f t="array" ref="L12">SUM(_xlfn._xlws.FILTER(_xlfn._xlws.FILTER(dataGLPL,dataGLPLAcctIDs=$C12),(startDates&gt;=L$4)*(endDates&lt;=L$5)))</f>
        <v>0</v>
      </c>
      <c r="M12" s="246" cm="1">
        <f t="array" ref="M12">SUM(_xlfn._xlws.FILTER(_xlfn._xlws.FILTER(dataGLPL,dataGLPLAcctIDs=$C12),(startDates&gt;=M$4)*(endDates&lt;=M$5)))</f>
        <v>0</v>
      </c>
      <c r="N12" s="246" cm="1">
        <f t="array" ref="N12">SUM(_xlfn._xlws.FILTER(_xlfn._xlws.FILTER(dataGLPL,dataGLPLAcctIDs=$C12),(startDates&gt;=N$4)*(endDates&lt;=N$5)))</f>
        <v>0</v>
      </c>
      <c r="O12" s="246" cm="1">
        <f t="array" ref="O12">SUM(_xlfn._xlws.FILTER(_xlfn._xlws.FILTER(dataGLPL,dataGLPLAcctIDs=$C12),(startDates&gt;=O$4)*(endDates&lt;=O$5)))</f>
        <v>0</v>
      </c>
      <c r="P12" s="246" cm="1">
        <f t="array" ref="P12">SUM(_xlfn._xlws.FILTER(_xlfn._xlws.FILTER(dataGLPL,dataGLPLAcctIDs=$C12),(startDates&gt;=P$4)*(endDates&lt;=P$5)))</f>
        <v>0</v>
      </c>
      <c r="Q12" s="246" cm="1">
        <f t="array" ref="Q12">SUM(_xlfn._xlws.FILTER(_xlfn._xlws.FILTER(dataGLPL,dataGLPLAcctIDs=$C12),(startDates&gt;=Q$4)*(endDates&lt;=Q$5)))</f>
        <v>0</v>
      </c>
      <c r="R12" s="246" cm="1">
        <f t="array" ref="R12">SUM(_xlfn._xlws.FILTER(_xlfn._xlws.FILTER(dataGLPL,dataGLPLAcctIDs=$C12),(startDates&gt;=R$4)*(endDates&lt;=R$5)))</f>
        <v>0</v>
      </c>
      <c r="S12" s="246" cm="1">
        <f t="array" ref="S12">SUM(_xlfn._xlws.FILTER(_xlfn._xlws.FILTER(dataGLPL,dataGLPLAcctIDs=$C12),(startDates&gt;=S$4)*(endDates&lt;=S$5)))</f>
        <v>0</v>
      </c>
      <c r="T12" s="246" cm="1">
        <f t="array" ref="T12">SUM(_xlfn._xlws.FILTER(_xlfn._xlws.FILTER(dataGLPL,dataGLPLAcctIDs=$C12),(startDates&gt;=T$4)*(endDates&lt;=T$5)))</f>
        <v>0</v>
      </c>
      <c r="U12" s="246" cm="1">
        <f t="array" ref="U12">SUM(_xlfn._xlws.FILTER(_xlfn._xlws.FILTER(dataGLPL,dataGLPLAcctIDs=$C12),(startDates&gt;=U$4)*(endDates&lt;=U$5)))</f>
        <v>0</v>
      </c>
      <c r="V12" s="246" cm="1">
        <f t="array" ref="V12">SUM(_xlfn._xlws.FILTER(_xlfn._xlws.FILTER(dataGLPL,dataGLPLAcctIDs=$C12),(startDates&gt;=V$4)*(endDates&lt;=V$5)))</f>
        <v>22000</v>
      </c>
      <c r="W12" s="246" cm="1">
        <f t="array" ref="W12">SUM(_xlfn._xlws.FILTER(_xlfn._xlws.FILTER(dataGLPL,dataGLPLAcctIDs=$C12),(startDates&gt;=W$4)*(endDates&lt;=W$5)))</f>
        <v>28000</v>
      </c>
      <c r="X12" s="246" cm="1">
        <f t="array" ref="X12">SUM(_xlfn._xlws.FILTER(_xlfn._xlws.FILTER(dataGLPL,dataGLPLAcctIDs=$C12),(startDates&gt;=X$4)*(endDates&lt;=X$5)))</f>
        <v>7500</v>
      </c>
      <c r="Y12" s="246" cm="1">
        <f t="array" ref="Y12">SUM(_xlfn._xlws.FILTER(_xlfn._xlws.FILTER(dataGLPL,dataGLPLAcctIDs=$C12),(startDates&gt;=Y$4)*(endDates&lt;=Y$5)))</f>
        <v>7500</v>
      </c>
      <c r="Z12" s="246" cm="1">
        <f t="array" ref="Z12">SUM(_xlfn._xlws.FILTER(_xlfn._xlws.FILTER(dataGLPL,dataGLPLAcctIDs=$C12),(startDates&gt;=Z$4)*(endDates&lt;=Z$5)))</f>
        <v>7500</v>
      </c>
      <c r="AA12" s="246" cm="1">
        <f t="array" ref="AA12">SUM(_xlfn._xlws.FILTER(_xlfn._xlws.FILTER(dataGLPL,dataGLPLAcctIDs=$C12),(startDates&gt;=AA$4)*(endDates&lt;=AA$5)))</f>
        <v>7500</v>
      </c>
      <c r="AB12" s="215"/>
      <c r="AC12" s="344"/>
      <c r="AD12" s="246" cm="1">
        <f t="array" ref="AD12">SUM(_xlfn._xlws.FILTER(_xlfn._xlws.FILTER(dataGLPL,dataGLPLAcctIDs=$C12),(startDates&gt;=AD$4)*(endDates&lt;=AD$5)))</f>
        <v>0</v>
      </c>
      <c r="AE12" s="246" cm="1">
        <f t="array" ref="AE12">SUM(_xlfn._xlws.FILTER(_xlfn._xlws.FILTER(dataGLPL,dataGLPLAcctIDs=$C12),(startDates&gt;=AE$4)*(endDates&lt;=AE$5)))</f>
        <v>0</v>
      </c>
      <c r="AF12" s="246" cm="1">
        <f t="array" ref="AF12">SUM(_xlfn._xlws.FILTER(_xlfn._xlws.FILTER(dataGLPL,dataGLPLAcctIDs=$C12),(startDates&gt;=AF$4)*(endDates&lt;=AF$5)))</f>
        <v>0</v>
      </c>
      <c r="AG12" s="246" cm="1">
        <f t="array" ref="AG12">SUM(_xlfn._xlws.FILTER(_xlfn._xlws.FILTER(dataGLPL,dataGLPLAcctIDs=$C12),(startDates&gt;=AG$4)*(endDates&lt;=AG$5)))</f>
        <v>0</v>
      </c>
      <c r="AH12" s="246" cm="1">
        <f t="array" ref="AH12">SUM(_xlfn._xlws.FILTER(_xlfn._xlws.FILTER(dataGLPL,dataGLPLAcctIDs=$C12),(startDates&gt;=AH$4)*(endDates&lt;=AH$5)))</f>
        <v>0</v>
      </c>
      <c r="AI12" s="246" cm="1">
        <f t="array" ref="AI12">SUM(_xlfn._xlws.FILTER(_xlfn._xlws.FILTER(dataGLPL,dataGLPLAcctIDs=$C12),(startDates&gt;=AI$4)*(endDates&lt;=AI$5)))</f>
        <v>0</v>
      </c>
      <c r="AJ12" s="246" cm="1">
        <f t="array" ref="AJ12">SUM(_xlfn._xlws.FILTER(_xlfn._xlws.FILTER(dataGLPL,dataGLPLAcctIDs=$C12),(startDates&gt;=AJ$4)*(endDates&lt;=AJ$5)))</f>
        <v>0</v>
      </c>
      <c r="AK12" s="246" cm="1">
        <f t="array" ref="AK12">SUM(_xlfn._xlws.FILTER(_xlfn._xlws.FILTER(dataGLPL,dataGLPLAcctIDs=$C12),(startDates&gt;=AK$4)*(endDates&lt;=AK$5)))</f>
        <v>0</v>
      </c>
      <c r="AL12" s="246" cm="1">
        <f t="array" ref="AL12">SUM(_xlfn._xlws.FILTER(_xlfn._xlws.FILTER(dataGLPL,dataGLPLAcctIDs=$C12),(startDates&gt;=AL$4)*(endDates&lt;=AL$5)))</f>
        <v>0</v>
      </c>
      <c r="AM12" s="246" cm="1">
        <f t="array" ref="AM12">SUM(_xlfn._xlws.FILTER(_xlfn._xlws.FILTER(dataGLPL,dataGLPLAcctIDs=$C12),(startDates&gt;=AM$4)*(endDates&lt;=AM$5)))</f>
        <v>0</v>
      </c>
      <c r="AN12" s="246" cm="1">
        <f t="array" ref="AN12">SUM(_xlfn._xlws.FILTER(_xlfn._xlws.FILTER(dataGLPL,dataGLPLAcctIDs=$C12),(startDates&gt;=AN$4)*(endDates&lt;=AN$5)))</f>
        <v>0</v>
      </c>
      <c r="AO12" s="246" cm="1">
        <f t="array" ref="AO12">SUM(_xlfn._xlws.FILTER(_xlfn._xlws.FILTER(dataGLPL,dataGLPLAcctIDs=$C12),(startDates&gt;=AO$4)*(endDates&lt;=AO$5)))</f>
        <v>0</v>
      </c>
      <c r="AP12" s="246" cm="1">
        <f t="array" ref="AP12">SUM(_xlfn._xlws.FILTER(_xlfn._xlws.FILTER(dataGLPL,dataGLPLAcctIDs=$C12),(startDates&gt;=AP$4)*(endDates&lt;=AP$5)))</f>
        <v>0</v>
      </c>
      <c r="AQ12" s="246" cm="1">
        <f t="array" ref="AQ12">SUM(_xlfn._xlws.FILTER(_xlfn._xlws.FILTER(dataGLPL,dataGLPLAcctIDs=$C12),(startDates&gt;=AQ$4)*(endDates&lt;=AQ$5)))</f>
        <v>0</v>
      </c>
      <c r="AR12" s="246" cm="1">
        <f t="array" ref="AR12">SUM(_xlfn._xlws.FILTER(_xlfn._xlws.FILTER(dataGLPL,dataGLPLAcctIDs=$C12),(startDates&gt;=AR$4)*(endDates&lt;=AR$5)))</f>
        <v>0</v>
      </c>
      <c r="AS12" s="246" cm="1">
        <f t="array" ref="AS12">SUM(_xlfn._xlws.FILTER(_xlfn._xlws.FILTER(dataGLPL,dataGLPLAcctIDs=$C12),(startDates&gt;=AS$4)*(endDates&lt;=AS$5)))</f>
        <v>0</v>
      </c>
      <c r="AT12" s="246" cm="1">
        <f t="array" ref="AT12">SUM(_xlfn._xlws.FILTER(_xlfn._xlws.FILTER(dataGLPL,dataGLPLAcctIDs=$C12),(startDates&gt;=AT$4)*(endDates&lt;=AT$5)))</f>
        <v>0</v>
      </c>
      <c r="AU12" s="246" cm="1">
        <f t="array" ref="AU12">SUM(_xlfn._xlws.FILTER(_xlfn._xlws.FILTER(dataGLPL,dataGLPLAcctIDs=$C12),(startDates&gt;=AU$4)*(endDates&lt;=AU$5)))</f>
        <v>0</v>
      </c>
      <c r="AV12" s="246" cm="1">
        <f t="array" ref="AV12">SUM(_xlfn._xlws.FILTER(_xlfn._xlws.FILTER(dataGLPL,dataGLPLAcctIDs=$C12),(startDates&gt;=AV$4)*(endDates&lt;=AV$5)))</f>
        <v>0</v>
      </c>
      <c r="AW12" s="246" cm="1">
        <f t="array" ref="AW12">SUM(_xlfn._xlws.FILTER(_xlfn._xlws.FILTER(dataGLPL,dataGLPLAcctIDs=$C12),(startDates&gt;=AW$4)*(endDates&lt;=AW$5)))</f>
        <v>0</v>
      </c>
      <c r="AX12" s="246" cm="1">
        <f t="array" ref="AX12">SUM(_xlfn._xlws.FILTER(_xlfn._xlws.FILTER(dataGLPL,dataGLPLAcctIDs=$C12),(startDates&gt;=AX$4)*(endDates&lt;=AX$5)))</f>
        <v>0</v>
      </c>
      <c r="AY12" s="246" cm="1">
        <f t="array" ref="AY12">SUM(_xlfn._xlws.FILTER(_xlfn._xlws.FILTER(dataGLPL,dataGLPLAcctIDs=$C12),(startDates&gt;=AY$4)*(endDates&lt;=AY$5)))</f>
        <v>0</v>
      </c>
      <c r="AZ12" s="246" cm="1">
        <f t="array" ref="AZ12">SUM(_xlfn._xlws.FILTER(_xlfn._xlws.FILTER(dataGLPL,dataGLPLAcctIDs=$C12),(startDates&gt;=AZ$4)*(endDates&lt;=AZ$5)))</f>
        <v>0</v>
      </c>
      <c r="BA12" s="246" cm="1">
        <f t="array" ref="BA12">SUM(_xlfn._xlws.FILTER(_xlfn._xlws.FILTER(dataGLPL,dataGLPLAcctIDs=$C12),(startDates&gt;=BA$4)*(endDates&lt;=BA$5)))</f>
        <v>0</v>
      </c>
      <c r="BB12" s="246" cm="1">
        <f t="array" ref="BB12">SUM(_xlfn._xlws.FILTER(_xlfn._xlws.FILTER(dataGLPL,dataGLPLAcctIDs=$C12),(startDates&gt;=BB$4)*(endDates&lt;=BB$5)))</f>
        <v>0</v>
      </c>
      <c r="BC12" s="246" cm="1">
        <f t="array" ref="BC12">SUM(_xlfn._xlws.FILTER(_xlfn._xlws.FILTER(dataGLPL,dataGLPLAcctIDs=$C12),(startDates&gt;=BC$4)*(endDates&lt;=BC$5)))</f>
        <v>0</v>
      </c>
      <c r="BD12" s="246" cm="1">
        <f t="array" ref="BD12">SUM(_xlfn._xlws.FILTER(_xlfn._xlws.FILTER(dataGLPL,dataGLPLAcctIDs=$C12),(startDates&gt;=BD$4)*(endDates&lt;=BD$5)))</f>
        <v>0</v>
      </c>
      <c r="BE12" s="246" cm="1">
        <f t="array" ref="BE12">SUM(_xlfn._xlws.FILTER(_xlfn._xlws.FILTER(dataGLPL,dataGLPLAcctIDs=$C12),(startDates&gt;=BE$4)*(endDates&lt;=BE$5)))</f>
        <v>0</v>
      </c>
      <c r="BF12" s="246" cm="1">
        <f t="array" ref="BF12">SUM(_xlfn._xlws.FILTER(_xlfn._xlws.FILTER(dataGLPL,dataGLPLAcctIDs=$C12),(startDates&gt;=BF$4)*(endDates&lt;=BF$5)))</f>
        <v>0</v>
      </c>
      <c r="BG12" s="246" cm="1">
        <f t="array" ref="BG12">SUM(_xlfn._xlws.FILTER(_xlfn._xlws.FILTER(dataGLPL,dataGLPLAcctIDs=$C12),(startDates&gt;=BG$4)*(endDates&lt;=BG$5)))</f>
        <v>0</v>
      </c>
      <c r="BH12" s="246" cm="1">
        <f t="array" ref="BH12">SUM(_xlfn._xlws.FILTER(_xlfn._xlws.FILTER(dataGLPL,dataGLPLAcctIDs=$C12),(startDates&gt;=BH$4)*(endDates&lt;=BH$5)))</f>
        <v>4000</v>
      </c>
      <c r="BI12" s="246" cm="1">
        <f t="array" ref="BI12">SUM(_xlfn._xlws.FILTER(_xlfn._xlws.FILTER(dataGLPL,dataGLPLAcctIDs=$C12),(startDates&gt;=BI$4)*(endDates&lt;=BI$5)))</f>
        <v>0</v>
      </c>
      <c r="BJ12" s="246" cm="1">
        <f t="array" ref="BJ12">SUM(_xlfn._xlws.FILTER(_xlfn._xlws.FILTER(dataGLPL,dataGLPLAcctIDs=$C12),(startDates&gt;=BJ$4)*(endDates&lt;=BJ$5)))</f>
        <v>18000</v>
      </c>
      <c r="BK12" s="246" cm="1">
        <f t="array" ref="BK12">SUM(_xlfn._xlws.FILTER(_xlfn._xlws.FILTER(dataGLPL,dataGLPLAcctIDs=$C12),(startDates&gt;=BK$4)*(endDates&lt;=BK$5)))</f>
        <v>10000</v>
      </c>
      <c r="BL12" s="246" cm="1">
        <f t="array" ref="BL12">SUM(_xlfn._xlws.FILTER(_xlfn._xlws.FILTER(dataGLPL,dataGLPLAcctIDs=$C12),(startDates&gt;=BL$4)*(endDates&lt;=BL$5)))</f>
        <v>15500</v>
      </c>
      <c r="BM12" s="246" cm="1">
        <f t="array" ref="BM12">SUM(_xlfn._xlws.FILTER(_xlfn._xlws.FILTER(dataGLPL,dataGLPLAcctIDs=$C12),(startDates&gt;=BM$4)*(endDates&lt;=BM$5)))</f>
        <v>2500</v>
      </c>
      <c r="BN12" s="246" cm="1">
        <f t="array" ref="BN12">SUM(_xlfn._xlws.FILTER(_xlfn._xlws.FILTER(dataGLPL,dataGLPLAcctIDs=$C12),(startDates&gt;=BN$4)*(endDates&lt;=BN$5)))</f>
        <v>2500</v>
      </c>
      <c r="BO12" s="246" cm="1">
        <f t="array" ref="BO12">SUM(_xlfn._xlws.FILTER(_xlfn._xlws.FILTER(dataGLPL,dataGLPLAcctIDs=$C12),(startDates&gt;=BO$4)*(endDates&lt;=BO$5)))</f>
        <v>2500</v>
      </c>
      <c r="BP12" s="246" cm="1">
        <f t="array" ref="BP12">SUM(_xlfn._xlws.FILTER(_xlfn._xlws.FILTER(dataGLPL,dataGLPLAcctIDs=$C12),(startDates&gt;=BP$4)*(endDates&lt;=BP$5)))</f>
        <v>2500</v>
      </c>
      <c r="BQ12" s="246" cm="1">
        <f t="array" ref="BQ12">SUM(_xlfn._xlws.FILTER(_xlfn._xlws.FILTER(dataGLPL,dataGLPLAcctIDs=$C12),(startDates&gt;=BQ$4)*(endDates&lt;=BQ$5)))</f>
        <v>2500</v>
      </c>
      <c r="BR12" s="246" cm="1">
        <f t="array" ref="BR12">SUM(_xlfn._xlws.FILTER(_xlfn._xlws.FILTER(dataGLPL,dataGLPLAcctIDs=$C12),(startDates&gt;=BR$4)*(endDates&lt;=BR$5)))</f>
        <v>2500</v>
      </c>
      <c r="BS12" s="246" cm="1">
        <f t="array" ref="BS12">SUM(_xlfn._xlws.FILTER(_xlfn._xlws.FILTER(dataGLPL,dataGLPLAcctIDs=$C12),(startDates&gt;=BS$4)*(endDates&lt;=BS$5)))</f>
        <v>2500</v>
      </c>
      <c r="BT12" s="246" cm="1">
        <f t="array" ref="BT12">SUM(_xlfn._xlws.FILTER(_xlfn._xlws.FILTER(dataGLPL,dataGLPLAcctIDs=$C12),(startDates&gt;=BT$4)*(endDates&lt;=BT$5)))</f>
        <v>2500</v>
      </c>
      <c r="BU12" s="246" cm="1">
        <f t="array" ref="BU12">SUM(_xlfn._xlws.FILTER(_xlfn._xlws.FILTER(dataGLPL,dataGLPLAcctIDs=$C12),(startDates&gt;=BU$4)*(endDates&lt;=BU$5)))</f>
        <v>2500</v>
      </c>
      <c r="BV12" s="246" cm="1">
        <f t="array" ref="BV12">SUM(_xlfn._xlws.FILTER(_xlfn._xlws.FILTER(dataGLPL,dataGLPLAcctIDs=$C12),(startDates&gt;=BV$4)*(endDates&lt;=BV$5)))</f>
        <v>2500</v>
      </c>
      <c r="BW12" s="246" cm="1">
        <f t="array" ref="BW12">SUM(_xlfn._xlws.FILTER(_xlfn._xlws.FILTER(dataGLPL,dataGLPLAcctIDs=$C12),(startDates&gt;=BW$4)*(endDates&lt;=BW$5)))</f>
        <v>2500</v>
      </c>
      <c r="BX12" s="246" cm="1">
        <f t="array" ref="BX12">SUM(_xlfn._xlws.FILTER(_xlfn._xlws.FILTER(dataGLPL,dataGLPLAcctIDs=$C12),(startDates&gt;=BX$4)*(endDates&lt;=BX$5)))</f>
        <v>2500</v>
      </c>
      <c r="BY12" s="246" cm="1">
        <f t="array" ref="BY12">SUM(_xlfn._xlws.FILTER(_xlfn._xlws.FILTER(dataGLPL,dataGLPLAcctIDs=$C12),(startDates&gt;=BY$4)*(endDates&lt;=BY$5)))</f>
        <v>2500</v>
      </c>
    </row>
    <row r="13" spans="1:77" s="201" customFormat="1" ht="21" customHeight="1">
      <c r="A13" s="215"/>
      <c r="B13" s="343" t="s">
        <v>222</v>
      </c>
      <c r="C13" s="343" t="s">
        <v>223</v>
      </c>
      <c r="D13" s="215"/>
      <c r="E13" s="216"/>
      <c r="F13" s="345">
        <f t="shared" ref="F13:I13" si="12">_xlfn.AGGREGATE(9,0, F$9:F$12)</f>
        <v>245523</v>
      </c>
      <c r="G13" s="345">
        <f t="shared" si="12"/>
        <v>594395</v>
      </c>
      <c r="H13" s="345">
        <f t="shared" si="12"/>
        <v>942735.22666666657</v>
      </c>
      <c r="I13" s="345">
        <f t="shared" si="12"/>
        <v>1451330.8333333335</v>
      </c>
      <c r="J13" s="344"/>
      <c r="K13" s="344"/>
      <c r="L13" s="345">
        <f t="shared" ref="L13:AA13" si="13">_xlfn.AGGREGATE(9,0, L$9:L$12)</f>
        <v>33100</v>
      </c>
      <c r="M13" s="345">
        <f t="shared" si="13"/>
        <v>44056</v>
      </c>
      <c r="N13" s="345">
        <f t="shared" si="13"/>
        <v>58639</v>
      </c>
      <c r="O13" s="345">
        <f t="shared" si="13"/>
        <v>109728</v>
      </c>
      <c r="P13" s="345">
        <f t="shared" si="13"/>
        <v>141336</v>
      </c>
      <c r="Q13" s="345">
        <f t="shared" si="13"/>
        <v>143829</v>
      </c>
      <c r="R13" s="345">
        <f t="shared" si="13"/>
        <v>148291</v>
      </c>
      <c r="S13" s="345">
        <f t="shared" si="13"/>
        <v>160939</v>
      </c>
      <c r="T13" s="345">
        <f t="shared" si="13"/>
        <v>186307.22</v>
      </c>
      <c r="U13" s="345">
        <f t="shared" si="13"/>
        <v>224373.97</v>
      </c>
      <c r="V13" s="345">
        <f t="shared" si="13"/>
        <v>274169.37</v>
      </c>
      <c r="W13" s="345">
        <f t="shared" si="13"/>
        <v>257884.66666666666</v>
      </c>
      <c r="X13" s="345">
        <f t="shared" si="13"/>
        <v>333317.5</v>
      </c>
      <c r="Y13" s="345">
        <f t="shared" si="13"/>
        <v>373317.5</v>
      </c>
      <c r="Z13" s="345">
        <f t="shared" si="13"/>
        <v>373317.5</v>
      </c>
      <c r="AA13" s="345">
        <f t="shared" si="13"/>
        <v>371378.33333333337</v>
      </c>
      <c r="AB13" s="215"/>
      <c r="AC13" s="344"/>
      <c r="AD13" s="345">
        <f>_xlfn.AGGREGATE(9,0, AD$9:AD$12)</f>
        <v>10000</v>
      </c>
      <c r="AE13" s="345">
        <f t="shared" ref="AE13:BY13" si="14">_xlfn.AGGREGATE(9,0, AE$9:AE$12)</f>
        <v>11000</v>
      </c>
      <c r="AF13" s="345">
        <f t="shared" si="14"/>
        <v>12100</v>
      </c>
      <c r="AG13" s="345">
        <f t="shared" si="14"/>
        <v>13310</v>
      </c>
      <c r="AH13" s="345">
        <f t="shared" si="14"/>
        <v>14641</v>
      </c>
      <c r="AI13" s="345">
        <f t="shared" si="14"/>
        <v>16105</v>
      </c>
      <c r="AJ13" s="345">
        <f t="shared" si="14"/>
        <v>17716</v>
      </c>
      <c r="AK13" s="345">
        <f t="shared" si="14"/>
        <v>19487</v>
      </c>
      <c r="AL13" s="345">
        <f t="shared" si="14"/>
        <v>21436</v>
      </c>
      <c r="AM13" s="345">
        <f t="shared" si="14"/>
        <v>23579</v>
      </c>
      <c r="AN13" s="345">
        <f t="shared" si="14"/>
        <v>46149</v>
      </c>
      <c r="AO13" s="345">
        <f t="shared" si="14"/>
        <v>40000</v>
      </c>
      <c r="AP13" s="345">
        <f t="shared" si="14"/>
        <v>48456.5</v>
      </c>
      <c r="AQ13" s="345">
        <f t="shared" si="14"/>
        <v>42000</v>
      </c>
      <c r="AR13" s="345">
        <f t="shared" si="14"/>
        <v>50879.5</v>
      </c>
      <c r="AS13" s="345">
        <f t="shared" si="14"/>
        <v>44100</v>
      </c>
      <c r="AT13" s="345">
        <f t="shared" si="14"/>
        <v>53424</v>
      </c>
      <c r="AU13" s="345">
        <f t="shared" si="14"/>
        <v>46305</v>
      </c>
      <c r="AV13" s="345">
        <f t="shared" si="14"/>
        <v>48620</v>
      </c>
      <c r="AW13" s="345">
        <f t="shared" si="14"/>
        <v>48620</v>
      </c>
      <c r="AX13" s="345">
        <f t="shared" si="14"/>
        <v>51051</v>
      </c>
      <c r="AY13" s="345">
        <f t="shared" si="14"/>
        <v>51051</v>
      </c>
      <c r="AZ13" s="345">
        <f t="shared" si="14"/>
        <v>53604</v>
      </c>
      <c r="BA13" s="345">
        <f t="shared" si="14"/>
        <v>56284</v>
      </c>
      <c r="BB13" s="345">
        <f t="shared" si="14"/>
        <v>59098.22</v>
      </c>
      <c r="BC13" s="345">
        <f t="shared" si="14"/>
        <v>62053</v>
      </c>
      <c r="BD13" s="345">
        <f t="shared" si="14"/>
        <v>65156</v>
      </c>
      <c r="BE13" s="345">
        <f t="shared" si="14"/>
        <v>68414</v>
      </c>
      <c r="BF13" s="345">
        <f t="shared" si="14"/>
        <v>71834</v>
      </c>
      <c r="BG13" s="345">
        <f t="shared" si="14"/>
        <v>84125.97</v>
      </c>
      <c r="BH13" s="345">
        <f t="shared" si="14"/>
        <v>85697.26</v>
      </c>
      <c r="BI13" s="345">
        <f t="shared" si="14"/>
        <v>83157.13</v>
      </c>
      <c r="BJ13" s="345">
        <f t="shared" si="14"/>
        <v>105314.98</v>
      </c>
      <c r="BK13" s="345">
        <f t="shared" si="14"/>
        <v>101680.73</v>
      </c>
      <c r="BL13" s="345">
        <f t="shared" si="14"/>
        <v>111764.77</v>
      </c>
      <c r="BM13" s="345">
        <f t="shared" si="14"/>
        <v>44439.166666666664</v>
      </c>
      <c r="BN13" s="345">
        <f t="shared" si="14"/>
        <v>84439.166666666672</v>
      </c>
      <c r="BO13" s="345">
        <f t="shared" si="14"/>
        <v>124439.16666666667</v>
      </c>
      <c r="BP13" s="345">
        <f t="shared" si="14"/>
        <v>124439.16666666667</v>
      </c>
      <c r="BQ13" s="345">
        <f t="shared" si="14"/>
        <v>124439.16666666667</v>
      </c>
      <c r="BR13" s="345">
        <f t="shared" si="14"/>
        <v>124439.16666666667</v>
      </c>
      <c r="BS13" s="345">
        <f t="shared" si="14"/>
        <v>124439.16666666667</v>
      </c>
      <c r="BT13" s="345">
        <f t="shared" si="14"/>
        <v>124439.16666666667</v>
      </c>
      <c r="BU13" s="345">
        <f t="shared" si="14"/>
        <v>124439.16666666667</v>
      </c>
      <c r="BV13" s="345">
        <f t="shared" si="14"/>
        <v>124439.16666666667</v>
      </c>
      <c r="BW13" s="345">
        <f t="shared" si="14"/>
        <v>124439.16666666667</v>
      </c>
      <c r="BX13" s="345">
        <f t="shared" si="14"/>
        <v>124439.16666666667</v>
      </c>
      <c r="BY13" s="345">
        <f t="shared" si="14"/>
        <v>122500</v>
      </c>
    </row>
    <row r="14" spans="1:77" s="201" customFormat="1" ht="21" customHeight="1">
      <c r="A14" s="215"/>
      <c r="B14" s="343" t="s">
        <v>224</v>
      </c>
      <c r="C14" s="343" t="s">
        <v>224</v>
      </c>
      <c r="D14" s="215"/>
      <c r="E14" s="216"/>
      <c r="F14" s="345"/>
      <c r="G14" s="345"/>
      <c r="H14" s="345"/>
      <c r="I14" s="345"/>
      <c r="J14" s="344"/>
      <c r="K14" s="344"/>
      <c r="L14" s="345"/>
      <c r="M14" s="345"/>
      <c r="N14" s="345"/>
      <c r="O14" s="345"/>
      <c r="P14" s="345"/>
      <c r="Q14" s="345"/>
      <c r="R14" s="345"/>
      <c r="S14" s="345"/>
      <c r="T14" s="345"/>
      <c r="U14" s="345"/>
      <c r="V14" s="345"/>
      <c r="W14" s="345"/>
      <c r="X14" s="345"/>
      <c r="Y14" s="345"/>
      <c r="Z14" s="345"/>
      <c r="AA14" s="345"/>
      <c r="AB14" s="215"/>
      <c r="AC14" s="344"/>
      <c r="AD14" s="345"/>
      <c r="AE14" s="345"/>
      <c r="AF14" s="345"/>
      <c r="AG14" s="345"/>
      <c r="AH14" s="345"/>
      <c r="AI14" s="345"/>
      <c r="AJ14" s="345"/>
      <c r="AK14" s="345"/>
      <c r="AL14" s="345"/>
      <c r="AM14" s="345"/>
      <c r="AN14" s="345"/>
      <c r="AO14" s="345"/>
      <c r="AP14" s="345"/>
      <c r="AQ14" s="345"/>
      <c r="AR14" s="345"/>
      <c r="AS14" s="345"/>
      <c r="AT14" s="345"/>
      <c r="AU14" s="345"/>
      <c r="AV14" s="345"/>
      <c r="AW14" s="345"/>
      <c r="AX14" s="345"/>
      <c r="AY14" s="345"/>
      <c r="AZ14" s="345"/>
      <c r="BA14" s="345"/>
      <c r="BB14" s="345"/>
      <c r="BC14" s="345"/>
      <c r="BD14" s="345"/>
      <c r="BE14" s="345"/>
      <c r="BF14" s="345"/>
      <c r="BG14" s="345"/>
      <c r="BH14" s="345"/>
      <c r="BI14" s="345"/>
      <c r="BJ14" s="345"/>
      <c r="BK14" s="345"/>
      <c r="BL14" s="345"/>
      <c r="BM14" s="345"/>
      <c r="BN14" s="345"/>
      <c r="BO14" s="345"/>
      <c r="BP14" s="345"/>
      <c r="BQ14" s="345"/>
      <c r="BR14" s="345"/>
      <c r="BS14" s="345"/>
      <c r="BT14" s="345"/>
      <c r="BU14" s="345"/>
      <c r="BV14" s="345"/>
      <c r="BW14" s="345"/>
      <c r="BX14" s="345"/>
      <c r="BY14" s="345"/>
    </row>
    <row r="15" spans="1:77" s="201" customFormat="1" ht="21" customHeight="1">
      <c r="A15" s="215"/>
      <c r="B15" s="218" t="s">
        <v>225</v>
      </c>
      <c r="C15" s="343">
        <v>164</v>
      </c>
      <c r="D15" s="215"/>
      <c r="E15" s="216"/>
      <c r="F15" s="246" cm="1">
        <f t="array" ref="F15">SUM(_xlfn._xlws.FILTER(_xlfn._xlws.FILTER(dataGLPL,dataGLPLAcctIDs=$C15),(startDates&gt;=F$4)*(endDates&lt;=F$5)))</f>
        <v>18460</v>
      </c>
      <c r="G15" s="246" cm="1">
        <f t="array" ref="G15">SUM(_xlfn._xlws.FILTER(_xlfn._xlws.FILTER(dataGLPL,dataGLPLAcctIDs=$C15),(startDates&gt;=G$4)*(endDates&lt;=G$5)))</f>
        <v>42018</v>
      </c>
      <c r="H15" s="246" cm="1">
        <f t="array" ref="H15">SUM(_xlfn._xlws.FILTER(_xlfn._xlws.FILTER(dataGLPL,dataGLPLAcctIDs=$C15),(startDates&gt;=H$4)*(endDates&lt;=H$5)))</f>
        <v>70259.61</v>
      </c>
      <c r="I15" s="246" cm="1">
        <f t="array" ref="I15">SUM(_xlfn._xlws.FILTER(_xlfn._xlws.FILTER(dataGLPL,dataGLPLAcctIDs=$C15),(startDates&gt;=I$4)*(endDates&lt;=I$5)))</f>
        <v>0</v>
      </c>
      <c r="J15" s="344"/>
      <c r="K15" s="344"/>
      <c r="L15" s="246" cm="1">
        <f t="array" ref="L15">SUM(_xlfn._xlws.FILTER(_xlfn._xlws.FILTER(dataGLPL,dataGLPLAcctIDs=$C15),(startDates&gt;=L$4)*(endDates&lt;=L$5)))</f>
        <v>2648</v>
      </c>
      <c r="M15" s="246" cm="1">
        <f t="array" ref="M15">SUM(_xlfn._xlws.FILTER(_xlfn._xlws.FILTER(dataGLPL,dataGLPLAcctIDs=$C15),(startDates&gt;=M$4)*(endDates&lt;=M$5)))</f>
        <v>3524</v>
      </c>
      <c r="N15" s="246" cm="1">
        <f t="array" ref="N15">SUM(_xlfn._xlws.FILTER(_xlfn._xlws.FILTER(dataGLPL,dataGLPLAcctIDs=$C15),(startDates&gt;=N$4)*(endDates&lt;=N$5)))</f>
        <v>4691</v>
      </c>
      <c r="O15" s="246" cm="1">
        <f t="array" ref="O15">SUM(_xlfn._xlws.FILTER(_xlfn._xlws.FILTER(dataGLPL,dataGLPLAcctIDs=$C15),(startDates&gt;=O$4)*(endDates&lt;=O$5)))</f>
        <v>7597</v>
      </c>
      <c r="P15" s="246" cm="1">
        <f t="array" ref="P15">SUM(_xlfn._xlws.FILTER(_xlfn._xlws.FILTER(dataGLPL,dataGLPLAcctIDs=$C15),(startDates&gt;=P$4)*(endDates&lt;=P$5)))</f>
        <v>8997</v>
      </c>
      <c r="Q15" s="246" cm="1">
        <f t="array" ref="Q15">SUM(_xlfn._xlws.FILTER(_xlfn._xlws.FILTER(dataGLPL,dataGLPLAcctIDs=$C15),(startDates&gt;=Q$4)*(endDates&lt;=Q$5)))</f>
        <v>9907</v>
      </c>
      <c r="R15" s="246" cm="1">
        <f t="array" ref="R15">SUM(_xlfn._xlws.FILTER(_xlfn._xlws.FILTER(dataGLPL,dataGLPLAcctIDs=$C15),(startDates&gt;=R$4)*(endDates&lt;=R$5)))</f>
        <v>11084</v>
      </c>
      <c r="S15" s="246" cm="1">
        <f t="array" ref="S15">SUM(_xlfn._xlws.FILTER(_xlfn._xlws.FILTER(dataGLPL,dataGLPLAcctIDs=$C15),(startDates&gt;=S$4)*(endDates&lt;=S$5)))</f>
        <v>12030</v>
      </c>
      <c r="T15" s="246" cm="1">
        <f t="array" ref="T15">SUM(_xlfn._xlws.FILTER(_xlfn._xlws.FILTER(dataGLPL,dataGLPLAcctIDs=$C15),(startDates&gt;=T$4)*(endDates&lt;=T$5)))</f>
        <v>13925.61</v>
      </c>
      <c r="U15" s="246" cm="1">
        <f t="array" ref="U15">SUM(_xlfn._xlws.FILTER(_xlfn._xlws.FILTER(dataGLPL,dataGLPLAcctIDs=$C15),(startDates&gt;=U$4)*(endDates&lt;=U$5)))</f>
        <v>16122.119999999999</v>
      </c>
      <c r="V15" s="246" cm="1">
        <f t="array" ref="V15">SUM(_xlfn._xlws.FILTER(_xlfn._xlws.FILTER(dataGLPL,dataGLPLAcctIDs=$C15),(startDates&gt;=V$4)*(endDates&lt;=V$5)))</f>
        <v>18662.879999999997</v>
      </c>
      <c r="W15" s="246" cm="1">
        <f t="array" ref="W15">SUM(_xlfn._xlws.FILTER(_xlfn._xlws.FILTER(dataGLPL,dataGLPLAcctIDs=$C15),(startDates&gt;=W$4)*(endDates&lt;=W$5)))</f>
        <v>21549</v>
      </c>
      <c r="X15" s="246" cm="1">
        <f t="array" ref="X15">SUM(_xlfn._xlws.FILTER(_xlfn._xlws.FILTER(dataGLPL,dataGLPLAcctIDs=$C15),(startDates&gt;=X$4)*(endDates&lt;=X$5)))</f>
        <v>0</v>
      </c>
      <c r="Y15" s="246" cm="1">
        <f t="array" ref="Y15">SUM(_xlfn._xlws.FILTER(_xlfn._xlws.FILTER(dataGLPL,dataGLPLAcctIDs=$C15),(startDates&gt;=Y$4)*(endDates&lt;=Y$5)))</f>
        <v>0</v>
      </c>
      <c r="Z15" s="246" cm="1">
        <f t="array" ref="Z15">SUM(_xlfn._xlws.FILTER(_xlfn._xlws.FILTER(dataGLPL,dataGLPLAcctIDs=$C15),(startDates&gt;=Z$4)*(endDates&lt;=Z$5)))</f>
        <v>0</v>
      </c>
      <c r="AA15" s="246" cm="1">
        <f t="array" ref="AA15">SUM(_xlfn._xlws.FILTER(_xlfn._xlws.FILTER(dataGLPL,dataGLPLAcctIDs=$C15),(startDates&gt;=AA$4)*(endDates&lt;=AA$5)))</f>
        <v>0</v>
      </c>
      <c r="AB15" s="215"/>
      <c r="AC15" s="344"/>
      <c r="AD15" s="246" cm="1">
        <f t="array" ref="AD15">SUM(_xlfn._xlws.FILTER(_xlfn._xlws.FILTER(dataGLPL,dataGLPLAcctIDs=$C15),(startDates&gt;=AD$4)*(endDates&lt;=AD$5)))</f>
        <v>800</v>
      </c>
      <c r="AE15" s="246" cm="1">
        <f t="array" ref="AE15">SUM(_xlfn._xlws.FILTER(_xlfn._xlws.FILTER(dataGLPL,dataGLPLAcctIDs=$C15),(startDates&gt;=AE$4)*(endDates&lt;=AE$5)))</f>
        <v>880</v>
      </c>
      <c r="AF15" s="246" cm="1">
        <f t="array" ref="AF15">SUM(_xlfn._xlws.FILTER(_xlfn._xlws.FILTER(dataGLPL,dataGLPLAcctIDs=$C15),(startDates&gt;=AF$4)*(endDates&lt;=AF$5)))</f>
        <v>968</v>
      </c>
      <c r="AG15" s="246" cm="1">
        <f t="array" ref="AG15">SUM(_xlfn._xlws.FILTER(_xlfn._xlws.FILTER(dataGLPL,dataGLPLAcctIDs=$C15),(startDates&gt;=AG$4)*(endDates&lt;=AG$5)))</f>
        <v>1065</v>
      </c>
      <c r="AH15" s="246" cm="1">
        <f t="array" ref="AH15">SUM(_xlfn._xlws.FILTER(_xlfn._xlws.FILTER(dataGLPL,dataGLPLAcctIDs=$C15),(startDates&gt;=AH$4)*(endDates&lt;=AH$5)))</f>
        <v>1171</v>
      </c>
      <c r="AI15" s="246" cm="1">
        <f t="array" ref="AI15">SUM(_xlfn._xlws.FILTER(_xlfn._xlws.FILTER(dataGLPL,dataGLPLAcctIDs=$C15),(startDates&gt;=AI$4)*(endDates&lt;=AI$5)))</f>
        <v>1288</v>
      </c>
      <c r="AJ15" s="246" cm="1">
        <f t="array" ref="AJ15">SUM(_xlfn._xlws.FILTER(_xlfn._xlws.FILTER(dataGLPL,dataGLPLAcctIDs=$C15),(startDates&gt;=AJ$4)*(endDates&lt;=AJ$5)))</f>
        <v>1417</v>
      </c>
      <c r="AK15" s="246" cm="1">
        <f t="array" ref="AK15">SUM(_xlfn._xlws.FILTER(_xlfn._xlws.FILTER(dataGLPL,dataGLPLAcctIDs=$C15),(startDates&gt;=AK$4)*(endDates&lt;=AK$5)))</f>
        <v>1559</v>
      </c>
      <c r="AL15" s="246" cm="1">
        <f t="array" ref="AL15">SUM(_xlfn._xlws.FILTER(_xlfn._xlws.FILTER(dataGLPL,dataGLPLAcctIDs=$C15),(startDates&gt;=AL$4)*(endDates&lt;=AL$5)))</f>
        <v>1715</v>
      </c>
      <c r="AM15" s="246" cm="1">
        <f t="array" ref="AM15">SUM(_xlfn._xlws.FILTER(_xlfn._xlws.FILTER(dataGLPL,dataGLPLAcctIDs=$C15),(startDates&gt;=AM$4)*(endDates&lt;=AM$5)))</f>
        <v>1886</v>
      </c>
      <c r="AN15" s="246" cm="1">
        <f t="array" ref="AN15">SUM(_xlfn._xlws.FILTER(_xlfn._xlws.FILTER(dataGLPL,dataGLPLAcctIDs=$C15),(startDates&gt;=AN$4)*(endDates&lt;=AN$5)))</f>
        <v>2721</v>
      </c>
      <c r="AO15" s="246" cm="1">
        <f t="array" ref="AO15">SUM(_xlfn._xlws.FILTER(_xlfn._xlws.FILTER(dataGLPL,dataGLPLAcctIDs=$C15),(startDates&gt;=AO$4)*(endDates&lt;=AO$5)))</f>
        <v>2990</v>
      </c>
      <c r="AP15" s="246" cm="1">
        <f t="array" ref="AP15">SUM(_xlfn._xlws.FILTER(_xlfn._xlws.FILTER(dataGLPL,dataGLPLAcctIDs=$C15),(startDates&gt;=AP$4)*(endDates&lt;=AP$5)))</f>
        <v>2857</v>
      </c>
      <c r="AQ15" s="246" cm="1">
        <f t="array" ref="AQ15">SUM(_xlfn._xlws.FILTER(_xlfn._xlws.FILTER(dataGLPL,dataGLPLAcctIDs=$C15),(startDates&gt;=AQ$4)*(endDates&lt;=AQ$5)))</f>
        <v>3140</v>
      </c>
      <c r="AR15" s="246" cm="1">
        <f t="array" ref="AR15">SUM(_xlfn._xlws.FILTER(_xlfn._xlws.FILTER(dataGLPL,dataGLPLAcctIDs=$C15),(startDates&gt;=AR$4)*(endDates&lt;=AR$5)))</f>
        <v>3000</v>
      </c>
      <c r="AS15" s="246" cm="1">
        <f t="array" ref="AS15">SUM(_xlfn._xlws.FILTER(_xlfn._xlws.FILTER(dataGLPL,dataGLPLAcctIDs=$C15),(startDates&gt;=AS$4)*(endDates&lt;=AS$5)))</f>
        <v>3296</v>
      </c>
      <c r="AT15" s="246" cm="1">
        <f t="array" ref="AT15">SUM(_xlfn._xlws.FILTER(_xlfn._xlws.FILTER(dataGLPL,dataGLPLAcctIDs=$C15),(startDates&gt;=AT$4)*(endDates&lt;=AT$5)))</f>
        <v>3150</v>
      </c>
      <c r="AU15" s="246" cm="1">
        <f t="array" ref="AU15">SUM(_xlfn._xlws.FILTER(_xlfn._xlws.FILTER(dataGLPL,dataGLPLAcctIDs=$C15),(startDates&gt;=AU$4)*(endDates&lt;=AU$5)))</f>
        <v>3461</v>
      </c>
      <c r="AV15" s="246" cm="1">
        <f t="array" ref="AV15">SUM(_xlfn._xlws.FILTER(_xlfn._xlws.FILTER(dataGLPL,dataGLPLAcctIDs=$C15),(startDates&gt;=AV$4)*(endDates&lt;=AV$5)))</f>
        <v>3634</v>
      </c>
      <c r="AW15" s="246" cm="1">
        <f t="array" ref="AW15">SUM(_xlfn._xlws.FILTER(_xlfn._xlws.FILTER(dataGLPL,dataGLPLAcctIDs=$C15),(startDates&gt;=AW$4)*(endDates&lt;=AW$5)))</f>
        <v>3634</v>
      </c>
      <c r="AX15" s="246" cm="1">
        <f t="array" ref="AX15">SUM(_xlfn._xlws.FILTER(_xlfn._xlws.FILTER(dataGLPL,dataGLPLAcctIDs=$C15),(startDates&gt;=AX$4)*(endDates&lt;=AX$5)))</f>
        <v>3816</v>
      </c>
      <c r="AY15" s="246" cm="1">
        <f t="array" ref="AY15">SUM(_xlfn._xlws.FILTER(_xlfn._xlws.FILTER(dataGLPL,dataGLPLAcctIDs=$C15),(startDates&gt;=AY$4)*(endDates&lt;=AY$5)))</f>
        <v>3816</v>
      </c>
      <c r="AZ15" s="246" cm="1">
        <f t="array" ref="AZ15">SUM(_xlfn._xlws.FILTER(_xlfn._xlws.FILTER(dataGLPL,dataGLPLAcctIDs=$C15),(startDates&gt;=AZ$4)*(endDates&lt;=AZ$5)))</f>
        <v>4007</v>
      </c>
      <c r="BA15" s="246" cm="1">
        <f t="array" ref="BA15">SUM(_xlfn._xlws.FILTER(_xlfn._xlws.FILTER(dataGLPL,dataGLPLAcctIDs=$C15),(startDates&gt;=BA$4)*(endDates&lt;=BA$5)))</f>
        <v>4207</v>
      </c>
      <c r="BB15" s="246" cm="1">
        <f t="array" ref="BB15">SUM(_xlfn._xlws.FILTER(_xlfn._xlws.FILTER(dataGLPL,dataGLPLAcctIDs=$C15),(startDates&gt;=BB$4)*(endDates&lt;=BB$5)))</f>
        <v>4417.6099999999997</v>
      </c>
      <c r="BC15" s="246" cm="1">
        <f t="array" ref="BC15">SUM(_xlfn._xlws.FILTER(_xlfn._xlws.FILTER(dataGLPL,dataGLPLAcctIDs=$C15),(startDates&gt;=BC$4)*(endDates&lt;=BC$5)))</f>
        <v>4638</v>
      </c>
      <c r="BD15" s="246" cm="1">
        <f t="array" ref="BD15">SUM(_xlfn._xlws.FILTER(_xlfn._xlws.FILTER(dataGLPL,dataGLPLAcctIDs=$C15),(startDates&gt;=BD$4)*(endDates&lt;=BD$5)))</f>
        <v>4870</v>
      </c>
      <c r="BE15" s="246" cm="1">
        <f t="array" ref="BE15">SUM(_xlfn._xlws.FILTER(_xlfn._xlws.FILTER(dataGLPL,dataGLPLAcctIDs=$C15),(startDates&gt;=BE$4)*(endDates&lt;=BE$5)))</f>
        <v>5114</v>
      </c>
      <c r="BF15" s="246" cm="1">
        <f t="array" ref="BF15">SUM(_xlfn._xlws.FILTER(_xlfn._xlws.FILTER(dataGLPL,dataGLPLAcctIDs=$C15),(startDates&gt;=BF$4)*(endDates&lt;=BF$5)))</f>
        <v>5370</v>
      </c>
      <c r="BG15" s="246" cm="1">
        <f t="array" ref="BG15">SUM(_xlfn._xlws.FILTER(_xlfn._xlws.FILTER(dataGLPL,dataGLPLAcctIDs=$C15),(startDates&gt;=BG$4)*(endDates&lt;=BG$5)))</f>
        <v>5638.12</v>
      </c>
      <c r="BH15" s="246" cm="1">
        <f t="array" ref="BH15">SUM(_xlfn._xlws.FILTER(_xlfn._xlws.FILTER(dataGLPL,dataGLPLAcctIDs=$C15),(startDates&gt;=BH$4)*(endDates&lt;=BH$5)))</f>
        <v>5920.02</v>
      </c>
      <c r="BI15" s="246" cm="1">
        <f t="array" ref="BI15">SUM(_xlfn._xlws.FILTER(_xlfn._xlws.FILTER(dataGLPL,dataGLPLAcctIDs=$C15),(startDates&gt;=BI$4)*(endDates&lt;=BI$5)))</f>
        <v>6216.03</v>
      </c>
      <c r="BJ15" s="246" cm="1">
        <f t="array" ref="BJ15">SUM(_xlfn._xlws.FILTER(_xlfn._xlws.FILTER(dataGLPL,dataGLPLAcctIDs=$C15),(startDates&gt;=BJ$4)*(endDates&lt;=BJ$5)))</f>
        <v>6526.83</v>
      </c>
      <c r="BK15" s="246" cm="1">
        <f t="array" ref="BK15">SUM(_xlfn._xlws.FILTER(_xlfn._xlws.FILTER(dataGLPL,dataGLPLAcctIDs=$C15),(startDates&gt;=BK$4)*(endDates&lt;=BK$5)))</f>
        <v>6853.17</v>
      </c>
      <c r="BL15" s="246" cm="1">
        <f t="array" ref="BL15">SUM(_xlfn._xlws.FILTER(_xlfn._xlws.FILTER(dataGLPL,dataGLPLAcctIDs=$C15),(startDates&gt;=BL$4)*(endDates&lt;=BL$5)))</f>
        <v>7195.83</v>
      </c>
      <c r="BM15" s="246" cm="1">
        <f t="array" ref="BM15">SUM(_xlfn._xlws.FILTER(_xlfn._xlws.FILTER(dataGLPL,dataGLPLAcctIDs=$C15),(startDates&gt;=BM$4)*(endDates&lt;=BM$5)))</f>
        <v>7500</v>
      </c>
      <c r="BN15" s="246" cm="1">
        <f t="array" ref="BN15">SUM(_xlfn._xlws.FILTER(_xlfn._xlws.FILTER(dataGLPL,dataGLPLAcctIDs=$C15),(startDates&gt;=BN$4)*(endDates&lt;=BN$5)))</f>
        <v>0</v>
      </c>
      <c r="BO15" s="246" cm="1">
        <f t="array" ref="BO15">SUM(_xlfn._xlws.FILTER(_xlfn._xlws.FILTER(dataGLPL,dataGLPLAcctIDs=$C15),(startDates&gt;=BO$4)*(endDates&lt;=BO$5)))</f>
        <v>0</v>
      </c>
      <c r="BP15" s="246" cm="1">
        <f t="array" ref="BP15">SUM(_xlfn._xlws.FILTER(_xlfn._xlws.FILTER(dataGLPL,dataGLPLAcctIDs=$C15),(startDates&gt;=BP$4)*(endDates&lt;=BP$5)))</f>
        <v>0</v>
      </c>
      <c r="BQ15" s="246" cm="1">
        <f t="array" ref="BQ15">SUM(_xlfn._xlws.FILTER(_xlfn._xlws.FILTER(dataGLPL,dataGLPLAcctIDs=$C15),(startDates&gt;=BQ$4)*(endDates&lt;=BQ$5)))</f>
        <v>0</v>
      </c>
      <c r="BR15" s="246" cm="1">
        <f t="array" ref="BR15">SUM(_xlfn._xlws.FILTER(_xlfn._xlws.FILTER(dataGLPL,dataGLPLAcctIDs=$C15),(startDates&gt;=BR$4)*(endDates&lt;=BR$5)))</f>
        <v>0</v>
      </c>
      <c r="BS15" s="246" cm="1">
        <f t="array" ref="BS15">SUM(_xlfn._xlws.FILTER(_xlfn._xlws.FILTER(dataGLPL,dataGLPLAcctIDs=$C15),(startDates&gt;=BS$4)*(endDates&lt;=BS$5)))</f>
        <v>0</v>
      </c>
      <c r="BT15" s="246" cm="1">
        <f t="array" ref="BT15">SUM(_xlfn._xlws.FILTER(_xlfn._xlws.FILTER(dataGLPL,dataGLPLAcctIDs=$C15),(startDates&gt;=BT$4)*(endDates&lt;=BT$5)))</f>
        <v>0</v>
      </c>
      <c r="BU15" s="246" cm="1">
        <f t="array" ref="BU15">SUM(_xlfn._xlws.FILTER(_xlfn._xlws.FILTER(dataGLPL,dataGLPLAcctIDs=$C15),(startDates&gt;=BU$4)*(endDates&lt;=BU$5)))</f>
        <v>0</v>
      </c>
      <c r="BV15" s="246" cm="1">
        <f t="array" ref="BV15">SUM(_xlfn._xlws.FILTER(_xlfn._xlws.FILTER(dataGLPL,dataGLPLAcctIDs=$C15),(startDates&gt;=BV$4)*(endDates&lt;=BV$5)))</f>
        <v>0</v>
      </c>
      <c r="BW15" s="246" cm="1">
        <f t="array" ref="BW15">SUM(_xlfn._xlws.FILTER(_xlfn._xlws.FILTER(dataGLPL,dataGLPLAcctIDs=$C15),(startDates&gt;=BW$4)*(endDates&lt;=BW$5)))</f>
        <v>0</v>
      </c>
      <c r="BX15" s="246" cm="1">
        <f t="array" ref="BX15">SUM(_xlfn._xlws.FILTER(_xlfn._xlws.FILTER(dataGLPL,dataGLPLAcctIDs=$C15),(startDates&gt;=BX$4)*(endDates&lt;=BX$5)))</f>
        <v>0</v>
      </c>
      <c r="BY15" s="246" cm="1">
        <f t="array" ref="BY15">SUM(_xlfn._xlws.FILTER(_xlfn._xlws.FILTER(dataGLPL,dataGLPLAcctIDs=$C15),(startDates&gt;=BY$4)*(endDates&lt;=BY$5)))</f>
        <v>0</v>
      </c>
    </row>
    <row r="16" spans="1:77" s="201" customFormat="1" ht="21" customHeight="1">
      <c r="A16" s="215"/>
      <c r="B16" s="218" t="s">
        <v>226</v>
      </c>
      <c r="C16" s="343">
        <v>165</v>
      </c>
      <c r="D16" s="215"/>
      <c r="E16" s="216"/>
      <c r="F16" s="246" cm="1">
        <f t="array" ref="F16">SUM(_xlfn._xlws.FILTER(_xlfn._xlws.FILTER(dataGLPL,dataGLPLAcctIDs=$C16),(startDates&gt;=F$4)*(endDates&lt;=F$5)))</f>
        <v>5499.5</v>
      </c>
      <c r="G16" s="246" cm="1">
        <f t="array" ref="G16">SUM(_xlfn._xlws.FILTER(_xlfn._xlws.FILTER(dataGLPL,dataGLPLAcctIDs=$C16),(startDates&gt;=G$4)*(endDates&lt;=G$5)))</f>
        <v>11253.66</v>
      </c>
      <c r="H16" s="246" cm="1">
        <f t="array" ref="H16">SUM(_xlfn._xlws.FILTER(_xlfn._xlws.FILTER(dataGLPL,dataGLPLAcctIDs=$C16),(startDates&gt;=H$4)*(endDates&lt;=H$5)))</f>
        <v>18563.320772727275</v>
      </c>
      <c r="I16" s="246" cm="1">
        <f t="array" ref="I16">SUM(_xlfn._xlws.FILTER(_xlfn._xlws.FILTER(dataGLPL,dataGLPLAcctIDs=$C16),(startDates&gt;=I$4)*(endDates&lt;=I$5)))</f>
        <v>21678.020247516983</v>
      </c>
      <c r="J16" s="344"/>
      <c r="K16" s="344"/>
      <c r="L16" s="246" cm="1">
        <f t="array" ref="L16">SUM(_xlfn._xlws.FILTER(_xlfn._xlws.FILTER(dataGLPL,dataGLPLAcctIDs=$C16),(startDates&gt;=L$4)*(endDates&lt;=L$5)))</f>
        <v>828</v>
      </c>
      <c r="M16" s="246" cm="1">
        <f t="array" ref="M16">SUM(_xlfn._xlws.FILTER(_xlfn._xlws.FILTER(dataGLPL,dataGLPLAcctIDs=$C16),(startDates&gt;=M$4)*(endDates&lt;=M$5)))</f>
        <v>1102</v>
      </c>
      <c r="N16" s="246" cm="1">
        <f t="array" ref="N16">SUM(_xlfn._xlws.FILTER(_xlfn._xlws.FILTER(dataGLPL,dataGLPLAcctIDs=$C16),(startDates&gt;=N$4)*(endDates&lt;=N$5)))</f>
        <v>1466</v>
      </c>
      <c r="O16" s="246" cm="1">
        <f t="array" ref="O16">SUM(_xlfn._xlws.FILTER(_xlfn._xlws.FILTER(dataGLPL,dataGLPLAcctIDs=$C16),(startDates&gt;=O$4)*(endDates&lt;=O$5)))</f>
        <v>2103.5</v>
      </c>
      <c r="P16" s="246" cm="1">
        <f t="array" ref="P16">SUM(_xlfn._xlws.FILTER(_xlfn._xlws.FILTER(dataGLPL,dataGLPLAcctIDs=$C16),(startDates&gt;=P$4)*(endDates&lt;=P$5)))</f>
        <v>2369</v>
      </c>
      <c r="Q16" s="246" cm="1">
        <f t="array" ref="Q16">SUM(_xlfn._xlws.FILTER(_xlfn._xlws.FILTER(dataGLPL,dataGLPLAcctIDs=$C16),(startDates&gt;=Q$4)*(endDates&lt;=Q$5)))</f>
        <v>2644.5</v>
      </c>
      <c r="R16" s="246" cm="1">
        <f t="array" ref="R16">SUM(_xlfn._xlws.FILTER(_xlfn._xlws.FILTER(dataGLPL,dataGLPLAcctIDs=$C16),(startDates&gt;=R$4)*(endDates&lt;=R$5)))</f>
        <v>2991.5</v>
      </c>
      <c r="S16" s="246" cm="1">
        <f t="array" ref="S16">SUM(_xlfn._xlws.FILTER(_xlfn._xlws.FILTER(dataGLPL,dataGLPLAcctIDs=$C16),(startDates&gt;=S$4)*(endDates&lt;=S$5)))</f>
        <v>3248.66</v>
      </c>
      <c r="T16" s="246" cm="1">
        <f t="array" ref="T16">SUM(_xlfn._xlws.FILTER(_xlfn._xlws.FILTER(dataGLPL,dataGLPLAcctIDs=$C16),(startDates&gt;=T$4)*(endDates&lt;=T$5)))</f>
        <v>3759.81</v>
      </c>
      <c r="U16" s="246" cm="1">
        <f t="array" ref="U16">SUM(_xlfn._xlws.FILTER(_xlfn._xlws.FILTER(dataGLPL,dataGLPLAcctIDs=$C16),(startDates&gt;=U$4)*(endDates&lt;=U$5)))</f>
        <v>4353.3599999999997</v>
      </c>
      <c r="V16" s="246" cm="1">
        <f t="array" ref="V16">SUM(_xlfn._xlws.FILTER(_xlfn._xlws.FILTER(dataGLPL,dataGLPLAcctIDs=$C16),(startDates&gt;=V$4)*(endDates&lt;=V$5)))</f>
        <v>5039.2</v>
      </c>
      <c r="W16" s="246" cm="1">
        <f t="array" ref="W16">SUM(_xlfn._xlws.FILTER(_xlfn._xlws.FILTER(dataGLPL,dataGLPLAcctIDs=$C16),(startDates&gt;=W$4)*(endDates&lt;=W$5)))</f>
        <v>5410.950772727273</v>
      </c>
      <c r="X16" s="246" cm="1">
        <f t="array" ref="X16">SUM(_xlfn._xlws.FILTER(_xlfn._xlws.FILTER(dataGLPL,dataGLPLAcctIDs=$C16),(startDates&gt;=X$4)*(endDates&lt;=X$5)))</f>
        <v>5088.2597646484064</v>
      </c>
      <c r="Y16" s="246" cm="1">
        <f t="array" ref="Y16">SUM(_xlfn._xlws.FILTER(_xlfn._xlws.FILTER(dataGLPL,dataGLPLAcctIDs=$C16),(startDates&gt;=Y$4)*(endDates&lt;=Y$5)))</f>
        <v>5387.5515530729826</v>
      </c>
      <c r="Z16" s="246" cm="1">
        <f t="array" ref="Z16">SUM(_xlfn._xlws.FILTER(_xlfn._xlws.FILTER(dataGLPL,dataGLPLAcctIDs=$C16),(startDates&gt;=Z$4)*(endDates&lt;=Z$5)))</f>
        <v>5575.8729529565826</v>
      </c>
      <c r="AA16" s="246" cm="1">
        <f t="array" ref="AA16">SUM(_xlfn._xlws.FILTER(_xlfn._xlws.FILTER(dataGLPL,dataGLPLAcctIDs=$C16),(startDates&gt;=AA$4)*(endDates&lt;=AA$5)))</f>
        <v>5626.3359768390101</v>
      </c>
      <c r="AB16" s="215"/>
      <c r="AC16" s="344"/>
      <c r="AD16" s="246" cm="1">
        <f t="array" ref="AD16">SUM(_xlfn._xlws.FILTER(_xlfn._xlws.FILTER(dataGLPL,dataGLPLAcctIDs=$C16),(startDates&gt;=AD$4)*(endDates&lt;=AD$5)))</f>
        <v>250</v>
      </c>
      <c r="AE16" s="246" cm="1">
        <f t="array" ref="AE16">SUM(_xlfn._xlws.FILTER(_xlfn._xlws.FILTER(dataGLPL,dataGLPLAcctIDs=$C16),(startDates&gt;=AE$4)*(endDates&lt;=AE$5)))</f>
        <v>275</v>
      </c>
      <c r="AF16" s="246" cm="1">
        <f t="array" ref="AF16">SUM(_xlfn._xlws.FILTER(_xlfn._xlws.FILTER(dataGLPL,dataGLPLAcctIDs=$C16),(startDates&gt;=AF$4)*(endDates&lt;=AF$5)))</f>
        <v>303</v>
      </c>
      <c r="AG16" s="246" cm="1">
        <f t="array" ref="AG16">SUM(_xlfn._xlws.FILTER(_xlfn._xlws.FILTER(dataGLPL,dataGLPLAcctIDs=$C16),(startDates&gt;=AG$4)*(endDates&lt;=AG$5)))</f>
        <v>333</v>
      </c>
      <c r="AH16" s="246" cm="1">
        <f t="array" ref="AH16">SUM(_xlfn._xlws.FILTER(_xlfn._xlws.FILTER(dataGLPL,dataGLPLAcctIDs=$C16),(startDates&gt;=AH$4)*(endDates&lt;=AH$5)))</f>
        <v>366</v>
      </c>
      <c r="AI16" s="246" cm="1">
        <f t="array" ref="AI16">SUM(_xlfn._xlws.FILTER(_xlfn._xlws.FILTER(dataGLPL,dataGLPLAcctIDs=$C16),(startDates&gt;=AI$4)*(endDates&lt;=AI$5)))</f>
        <v>403</v>
      </c>
      <c r="AJ16" s="246" cm="1">
        <f t="array" ref="AJ16">SUM(_xlfn._xlws.FILTER(_xlfn._xlws.FILTER(dataGLPL,dataGLPLAcctIDs=$C16),(startDates&gt;=AJ$4)*(endDates&lt;=AJ$5)))</f>
        <v>443</v>
      </c>
      <c r="AK16" s="246" cm="1">
        <f t="array" ref="AK16">SUM(_xlfn._xlws.FILTER(_xlfn._xlws.FILTER(dataGLPL,dataGLPLAcctIDs=$C16),(startDates&gt;=AK$4)*(endDates&lt;=AK$5)))</f>
        <v>487.5</v>
      </c>
      <c r="AL16" s="246" cm="1">
        <f t="array" ref="AL16">SUM(_xlfn._xlws.FILTER(_xlfn._xlws.FILTER(dataGLPL,dataGLPLAcctIDs=$C16),(startDates&gt;=AL$4)*(endDates&lt;=AL$5)))</f>
        <v>535.5</v>
      </c>
      <c r="AM16" s="246" cm="1">
        <f t="array" ref="AM16">SUM(_xlfn._xlws.FILTER(_xlfn._xlws.FILTER(dataGLPL,dataGLPLAcctIDs=$C16),(startDates&gt;=AM$4)*(endDates&lt;=AM$5)))</f>
        <v>589.5</v>
      </c>
      <c r="AN16" s="246" cm="1">
        <f t="array" ref="AN16">SUM(_xlfn._xlws.FILTER(_xlfn._xlws.FILTER(dataGLPL,dataGLPLAcctIDs=$C16),(startDates&gt;=AN$4)*(endDates&lt;=AN$5)))</f>
        <v>706.5</v>
      </c>
      <c r="AO16" s="246" cm="1">
        <f t="array" ref="AO16">SUM(_xlfn._xlws.FILTER(_xlfn._xlws.FILTER(dataGLPL,dataGLPLAcctIDs=$C16),(startDates&gt;=AO$4)*(endDates&lt;=AO$5)))</f>
        <v>807.5</v>
      </c>
      <c r="AP16" s="246" cm="1">
        <f t="array" ref="AP16">SUM(_xlfn._xlws.FILTER(_xlfn._xlws.FILTER(dataGLPL,dataGLPLAcctIDs=$C16),(startDates&gt;=AP$4)*(endDates&lt;=AP$5)))</f>
        <v>742</v>
      </c>
      <c r="AQ16" s="246" cm="1">
        <f t="array" ref="AQ16">SUM(_xlfn._xlws.FILTER(_xlfn._xlws.FILTER(dataGLPL,dataGLPLAcctIDs=$C16),(startDates&gt;=AQ$4)*(endDates&lt;=AQ$5)))</f>
        <v>848</v>
      </c>
      <c r="AR16" s="246" cm="1">
        <f t="array" ref="AR16">SUM(_xlfn._xlws.FILTER(_xlfn._xlws.FILTER(dataGLPL,dataGLPLAcctIDs=$C16),(startDates&gt;=AR$4)*(endDates&lt;=AR$5)))</f>
        <v>779</v>
      </c>
      <c r="AS16" s="246" cm="1">
        <f t="array" ref="AS16">SUM(_xlfn._xlws.FILTER(_xlfn._xlws.FILTER(dataGLPL,dataGLPLAcctIDs=$C16),(startDates&gt;=AS$4)*(endDates&lt;=AS$5)))</f>
        <v>890.5</v>
      </c>
      <c r="AT16" s="246" cm="1">
        <f t="array" ref="AT16">SUM(_xlfn._xlws.FILTER(_xlfn._xlws.FILTER(dataGLPL,dataGLPLAcctIDs=$C16),(startDates&gt;=AT$4)*(endDates&lt;=AT$5)))</f>
        <v>818.5</v>
      </c>
      <c r="AU16" s="246" cm="1">
        <f t="array" ref="AU16">SUM(_xlfn._xlws.FILTER(_xlfn._xlws.FILTER(dataGLPL,dataGLPLAcctIDs=$C16),(startDates&gt;=AU$4)*(endDates&lt;=AU$5)))</f>
        <v>935.5</v>
      </c>
      <c r="AV16" s="246" cm="1">
        <f t="array" ref="AV16">SUM(_xlfn._xlws.FILTER(_xlfn._xlws.FILTER(dataGLPL,dataGLPLAcctIDs=$C16),(startDates&gt;=AV$4)*(endDates&lt;=AV$5)))</f>
        <v>981</v>
      </c>
      <c r="AW16" s="246" cm="1">
        <f t="array" ref="AW16">SUM(_xlfn._xlws.FILTER(_xlfn._xlws.FILTER(dataGLPL,dataGLPLAcctIDs=$C16),(startDates&gt;=AW$4)*(endDates&lt;=AW$5)))</f>
        <v>980.5</v>
      </c>
      <c r="AX16" s="246" cm="1">
        <f t="array" ref="AX16">SUM(_xlfn._xlws.FILTER(_xlfn._xlws.FILTER(dataGLPL,dataGLPLAcctIDs=$C16),(startDates&gt;=AX$4)*(endDates&lt;=AX$5)))</f>
        <v>1030</v>
      </c>
      <c r="AY16" s="246" cm="1">
        <f t="array" ref="AY16">SUM(_xlfn._xlws.FILTER(_xlfn._xlws.FILTER(dataGLPL,dataGLPLAcctIDs=$C16),(startDates&gt;=AY$4)*(endDates&lt;=AY$5)))</f>
        <v>1030.33</v>
      </c>
      <c r="AZ16" s="246" cm="1">
        <f t="array" ref="AZ16">SUM(_xlfn._xlws.FILTER(_xlfn._xlws.FILTER(dataGLPL,dataGLPLAcctIDs=$C16),(startDates&gt;=AZ$4)*(endDates&lt;=AZ$5)))</f>
        <v>1082.33</v>
      </c>
      <c r="BA16" s="246" cm="1">
        <f t="array" ref="BA16">SUM(_xlfn._xlws.FILTER(_xlfn._xlws.FILTER(dataGLPL,dataGLPLAcctIDs=$C16),(startDates&gt;=BA$4)*(endDates&lt;=BA$5)))</f>
        <v>1136</v>
      </c>
      <c r="BB16" s="246" cm="1">
        <f t="array" ref="BB16">SUM(_xlfn._xlws.FILTER(_xlfn._xlws.FILTER(dataGLPL,dataGLPLAcctIDs=$C16),(startDates&gt;=BB$4)*(endDates&lt;=BB$5)))</f>
        <v>1192.81</v>
      </c>
      <c r="BC16" s="246" cm="1">
        <f t="array" ref="BC16">SUM(_xlfn._xlws.FILTER(_xlfn._xlws.FILTER(dataGLPL,dataGLPLAcctIDs=$C16),(startDates&gt;=BC$4)*(endDates&lt;=BC$5)))</f>
        <v>1252</v>
      </c>
      <c r="BD16" s="246" cm="1">
        <f t="array" ref="BD16">SUM(_xlfn._xlws.FILTER(_xlfn._xlws.FILTER(dataGLPL,dataGLPLAcctIDs=$C16),(startDates&gt;=BD$4)*(endDates&lt;=BD$5)))</f>
        <v>1315</v>
      </c>
      <c r="BE16" s="246" cm="1">
        <f t="array" ref="BE16">SUM(_xlfn._xlws.FILTER(_xlfn._xlws.FILTER(dataGLPL,dataGLPLAcctIDs=$C16),(startDates&gt;=BE$4)*(endDates&lt;=BE$5)))</f>
        <v>1381</v>
      </c>
      <c r="BF16" s="246" cm="1">
        <f t="array" ref="BF16">SUM(_xlfn._xlws.FILTER(_xlfn._xlws.FILTER(dataGLPL,dataGLPLAcctIDs=$C16),(startDates&gt;=BF$4)*(endDates&lt;=BF$5)))</f>
        <v>1450</v>
      </c>
      <c r="BG16" s="246" cm="1">
        <f t="array" ref="BG16">SUM(_xlfn._xlws.FILTER(_xlfn._xlws.FILTER(dataGLPL,dataGLPLAcctIDs=$C16),(startDates&gt;=BG$4)*(endDates&lt;=BG$5)))</f>
        <v>1522.36</v>
      </c>
      <c r="BH16" s="246" cm="1">
        <f t="array" ref="BH16">SUM(_xlfn._xlws.FILTER(_xlfn._xlws.FILTER(dataGLPL,dataGLPLAcctIDs=$C16),(startDates&gt;=BH$4)*(endDates&lt;=BH$5)))</f>
        <v>1598.48</v>
      </c>
      <c r="BI16" s="246" cm="1">
        <f t="array" ref="BI16">SUM(_xlfn._xlws.FILTER(_xlfn._xlws.FILTER(dataGLPL,dataGLPLAcctIDs=$C16),(startDates&gt;=BI$4)*(endDates&lt;=BI$5)))</f>
        <v>1678.4</v>
      </c>
      <c r="BJ16" s="246" cm="1">
        <f t="array" ref="BJ16">SUM(_xlfn._xlws.FILTER(_xlfn._xlws.FILTER(dataGLPL,dataGLPLAcctIDs=$C16),(startDates&gt;=BJ$4)*(endDates&lt;=BJ$5)))</f>
        <v>1762.32</v>
      </c>
      <c r="BK16" s="246" cm="1">
        <f t="array" ref="BK16">SUM(_xlfn._xlws.FILTER(_xlfn._xlws.FILTER(dataGLPL,dataGLPLAcctIDs=$C16),(startDates&gt;=BK$4)*(endDates&lt;=BK$5)))</f>
        <v>1850.44</v>
      </c>
      <c r="BL16" s="246" cm="1">
        <f t="array" ref="BL16">SUM(_xlfn._xlws.FILTER(_xlfn._xlws.FILTER(dataGLPL,dataGLPLAcctIDs=$C16),(startDates&gt;=BL$4)*(endDates&lt;=BL$5)))</f>
        <v>1942.96</v>
      </c>
      <c r="BM16" s="246" cm="1">
        <f t="array" ref="BM16">SUM(_xlfn._xlws.FILTER(_xlfn._xlws.FILTER(dataGLPL,dataGLPLAcctIDs=$C16),(startDates&gt;=BM$4)*(endDates&lt;=BM$5)))</f>
        <v>1617.5507727272727</v>
      </c>
      <c r="BN16" s="246" cm="1">
        <f t="array" ref="BN16">SUM(_xlfn._xlws.FILTER(_xlfn._xlws.FILTER(dataGLPL,dataGLPLAcctIDs=$C16),(startDates&gt;=BN$4)*(endDates&lt;=BN$5)))</f>
        <v>1658.0942101239671</v>
      </c>
      <c r="BO16" s="246" cm="1">
        <f t="array" ref="BO16">SUM(_xlfn._xlws.FILTER(_xlfn._xlws.FILTER(dataGLPL,dataGLPLAcctIDs=$C16),(startDates&gt;=BO$4)*(endDates&lt;=BO$5)))</f>
        <v>1696.8577483630729</v>
      </c>
      <c r="BP16" s="246" cm="1">
        <f t="array" ref="BP16">SUM(_xlfn._xlws.FILTER(_xlfn._xlws.FILTER(dataGLPL,dataGLPLAcctIDs=$C16),(startDates&gt;=BP$4)*(endDates&lt;=BP$5)))</f>
        <v>1733.3078061613662</v>
      </c>
      <c r="BQ16" s="246" cm="1">
        <f t="array" ref="BQ16">SUM(_xlfn._xlws.FILTER(_xlfn._xlws.FILTER(dataGLPL,dataGLPLAcctIDs=$C16),(startDates&gt;=BQ$4)*(endDates&lt;=BQ$5)))</f>
        <v>1766.9371876585878</v>
      </c>
      <c r="BR16" s="246" cm="1">
        <f t="array" ref="BR16">SUM(_xlfn._xlws.FILTER(_xlfn._xlws.FILTER(dataGLPL,dataGLPLAcctIDs=$C16),(startDates&gt;=BR$4)*(endDates&lt;=BR$5)))</f>
        <v>1797.1902828441796</v>
      </c>
      <c r="BS16" s="246" cm="1">
        <f t="array" ref="BS16">SUM(_xlfn._xlws.FILTER(_xlfn._xlws.FILTER(dataGLPL,dataGLPLAcctIDs=$C16),(startDates&gt;=BS$4)*(endDates&lt;=BS$5)))</f>
        <v>1823.4240825702152</v>
      </c>
      <c r="BT16" s="246" cm="1">
        <f t="array" ref="BT16">SUM(_xlfn._xlws.FILTER(_xlfn._xlws.FILTER(dataGLPL,dataGLPLAcctIDs=$C16),(startDates&gt;=BT$4)*(endDates&lt;=BT$5)))</f>
        <v>1844.8960177246452</v>
      </c>
      <c r="BU16" s="246" cm="1">
        <f t="array" ref="BU16">SUM(_xlfn._xlws.FILTER(_xlfn._xlws.FILTER(dataGLPL,dataGLPLAcctIDs=$C16),(startDates&gt;=BU$4)*(endDates&lt;=BU$5)))</f>
        <v>1860.7888194165428</v>
      </c>
      <c r="BV16" s="246" cm="1">
        <f t="array" ref="BV16">SUM(_xlfn._xlws.FILTER(_xlfn._xlws.FILTER(dataGLPL,dataGLPLAcctIDs=$C16),(startDates&gt;=BV$4)*(endDates&lt;=BV$5)))</f>
        <v>1870.1881158153949</v>
      </c>
      <c r="BW16" s="246" cm="1">
        <f t="array" ref="BW16">SUM(_xlfn._xlws.FILTER(_xlfn._xlws.FILTER(dataGLPL,dataGLPLAcctIDs=$C16),(startDates&gt;=BW$4)*(endDates&lt;=BW$5)))</f>
        <v>1872.0731632341372</v>
      </c>
      <c r="BX16" s="246" cm="1">
        <f t="array" ref="BX16">SUM(_xlfn._xlws.FILTER(_xlfn._xlws.FILTER(dataGLPL,dataGLPLAcctIDs=$C16),(startDates&gt;=BX$4)*(endDates&lt;=BX$5)))</f>
        <v>1865.306692451941</v>
      </c>
      <c r="BY16" s="246" cm="1">
        <f t="array" ref="BY16">SUM(_xlfn._xlws.FILTER(_xlfn._xlws.FILTER(dataGLPL,dataGLPLAcctIDs=$C16),(startDates&gt;=BY$4)*(endDates&lt;=BY$5)))</f>
        <v>1888.9561211529319</v>
      </c>
    </row>
    <row r="17" spans="1:77" s="201" customFormat="1" ht="21" customHeight="1">
      <c r="A17" s="215"/>
      <c r="B17" s="218" t="s">
        <v>227</v>
      </c>
      <c r="C17" s="343">
        <v>24</v>
      </c>
      <c r="D17" s="215"/>
      <c r="E17" s="216"/>
      <c r="F17" s="246" cm="1">
        <f t="array" ref="F17">SUM(_xlfn._xlws.FILTER(_xlfn._xlws.FILTER(dataGLPL,dataGLPLAcctIDs=$C17),(startDates&gt;=F$4)*(endDates&lt;=F$5)))</f>
        <v>0</v>
      </c>
      <c r="G17" s="246" cm="1">
        <f t="array" ref="G17">SUM(_xlfn._xlws.FILTER(_xlfn._xlws.FILTER(dataGLPL,dataGLPLAcctIDs=$C17),(startDates&gt;=G$4)*(endDates&lt;=G$5)))</f>
        <v>0</v>
      </c>
      <c r="H17" s="246" cm="1">
        <f t="array" ref="H17">SUM(_xlfn._xlws.FILTER(_xlfn._xlws.FILTER(dataGLPL,dataGLPLAcctIDs=$C17),(startDates&gt;=H$4)*(endDates&lt;=H$5)))</f>
        <v>30300</v>
      </c>
      <c r="I17" s="246" cm="1">
        <f t="array" ref="I17">SUM(_xlfn._xlws.FILTER(_xlfn._xlws.FILTER(dataGLPL,dataGLPLAcctIDs=$C17),(startDates&gt;=I$4)*(endDates&lt;=I$5)))</f>
        <v>360000</v>
      </c>
      <c r="J17" s="344"/>
      <c r="K17" s="344"/>
      <c r="L17" s="246" cm="1">
        <f t="array" ref="L17">SUM(_xlfn._xlws.FILTER(_xlfn._xlws.FILTER(dataGLPL,dataGLPLAcctIDs=$C17),(startDates&gt;=L$4)*(endDates&lt;=L$5)))</f>
        <v>0</v>
      </c>
      <c r="M17" s="246" cm="1">
        <f t="array" ref="M17">SUM(_xlfn._xlws.FILTER(_xlfn._xlws.FILTER(dataGLPL,dataGLPLAcctIDs=$C17),(startDates&gt;=M$4)*(endDates&lt;=M$5)))</f>
        <v>0</v>
      </c>
      <c r="N17" s="246" cm="1">
        <f t="array" ref="N17">SUM(_xlfn._xlws.FILTER(_xlfn._xlws.FILTER(dataGLPL,dataGLPLAcctIDs=$C17),(startDates&gt;=N$4)*(endDates&lt;=N$5)))</f>
        <v>0</v>
      </c>
      <c r="O17" s="246" cm="1">
        <f t="array" ref="O17">SUM(_xlfn._xlws.FILTER(_xlfn._xlws.FILTER(dataGLPL,dataGLPLAcctIDs=$C17),(startDates&gt;=O$4)*(endDates&lt;=O$5)))</f>
        <v>0</v>
      </c>
      <c r="P17" s="246" cm="1">
        <f t="array" ref="P17">SUM(_xlfn._xlws.FILTER(_xlfn._xlws.FILTER(dataGLPL,dataGLPLAcctIDs=$C17),(startDates&gt;=P$4)*(endDates&lt;=P$5)))</f>
        <v>0</v>
      </c>
      <c r="Q17" s="246" cm="1">
        <f t="array" ref="Q17">SUM(_xlfn._xlws.FILTER(_xlfn._xlws.FILTER(dataGLPL,dataGLPLAcctIDs=$C17),(startDates&gt;=Q$4)*(endDates&lt;=Q$5)))</f>
        <v>0</v>
      </c>
      <c r="R17" s="246" cm="1">
        <f t="array" ref="R17">SUM(_xlfn._xlws.FILTER(_xlfn._xlws.FILTER(dataGLPL,dataGLPLAcctIDs=$C17),(startDates&gt;=R$4)*(endDates&lt;=R$5)))</f>
        <v>0</v>
      </c>
      <c r="S17" s="246" cm="1">
        <f t="array" ref="S17">SUM(_xlfn._xlws.FILTER(_xlfn._xlws.FILTER(dataGLPL,dataGLPLAcctIDs=$C17),(startDates&gt;=S$4)*(endDates&lt;=S$5)))</f>
        <v>0</v>
      </c>
      <c r="T17" s="246" cm="1">
        <f t="array" ref="T17">SUM(_xlfn._xlws.FILTER(_xlfn._xlws.FILTER(dataGLPL,dataGLPLAcctIDs=$C17),(startDates&gt;=T$4)*(endDates&lt;=T$5)))</f>
        <v>0</v>
      </c>
      <c r="U17" s="246" cm="1">
        <f t="array" ref="U17">SUM(_xlfn._xlws.FILTER(_xlfn._xlws.FILTER(dataGLPL,dataGLPLAcctIDs=$C17),(startDates&gt;=U$4)*(endDates&lt;=U$5)))</f>
        <v>300</v>
      </c>
      <c r="V17" s="246" cm="1">
        <f t="array" ref="V17">SUM(_xlfn._xlws.FILTER(_xlfn._xlws.FILTER(dataGLPL,dataGLPLAcctIDs=$C17),(startDates&gt;=V$4)*(endDates&lt;=V$5)))</f>
        <v>0</v>
      </c>
      <c r="W17" s="246" cm="1">
        <f t="array" ref="W17">SUM(_xlfn._xlws.FILTER(_xlfn._xlws.FILTER(dataGLPL,dataGLPLAcctIDs=$C17),(startDates&gt;=W$4)*(endDates&lt;=W$5)))</f>
        <v>30000</v>
      </c>
      <c r="X17" s="246" cm="1">
        <f t="array" ref="X17">SUM(_xlfn._xlws.FILTER(_xlfn._xlws.FILTER(dataGLPL,dataGLPLAcctIDs=$C17),(startDates&gt;=X$4)*(endDates&lt;=X$5)))</f>
        <v>90000</v>
      </c>
      <c r="Y17" s="246" cm="1">
        <f t="array" ref="Y17">SUM(_xlfn._xlws.FILTER(_xlfn._xlws.FILTER(dataGLPL,dataGLPLAcctIDs=$C17),(startDates&gt;=Y$4)*(endDates&lt;=Y$5)))</f>
        <v>90000</v>
      </c>
      <c r="Z17" s="246" cm="1">
        <f t="array" ref="Z17">SUM(_xlfn._xlws.FILTER(_xlfn._xlws.FILTER(dataGLPL,dataGLPLAcctIDs=$C17),(startDates&gt;=Z$4)*(endDates&lt;=Z$5)))</f>
        <v>90000</v>
      </c>
      <c r="AA17" s="246" cm="1">
        <f t="array" ref="AA17">SUM(_xlfn._xlws.FILTER(_xlfn._xlws.FILTER(dataGLPL,dataGLPLAcctIDs=$C17),(startDates&gt;=AA$4)*(endDates&lt;=AA$5)))</f>
        <v>90000</v>
      </c>
      <c r="AB17" s="215"/>
      <c r="AC17" s="344"/>
      <c r="AD17" s="246" cm="1">
        <f t="array" ref="AD17">SUM(_xlfn._xlws.FILTER(_xlfn._xlws.FILTER(dataGLPL,dataGLPLAcctIDs=$C17),(startDates&gt;=AD$4)*(endDates&lt;=AD$5)))</f>
        <v>0</v>
      </c>
      <c r="AE17" s="246" cm="1">
        <f t="array" ref="AE17">SUM(_xlfn._xlws.FILTER(_xlfn._xlws.FILTER(dataGLPL,dataGLPLAcctIDs=$C17),(startDates&gt;=AE$4)*(endDates&lt;=AE$5)))</f>
        <v>0</v>
      </c>
      <c r="AF17" s="246" cm="1">
        <f t="array" ref="AF17">SUM(_xlfn._xlws.FILTER(_xlfn._xlws.FILTER(dataGLPL,dataGLPLAcctIDs=$C17),(startDates&gt;=AF$4)*(endDates&lt;=AF$5)))</f>
        <v>0</v>
      </c>
      <c r="AG17" s="246" cm="1">
        <f t="array" ref="AG17">SUM(_xlfn._xlws.FILTER(_xlfn._xlws.FILTER(dataGLPL,dataGLPLAcctIDs=$C17),(startDates&gt;=AG$4)*(endDates&lt;=AG$5)))</f>
        <v>0</v>
      </c>
      <c r="AH17" s="246" cm="1">
        <f t="array" ref="AH17">SUM(_xlfn._xlws.FILTER(_xlfn._xlws.FILTER(dataGLPL,dataGLPLAcctIDs=$C17),(startDates&gt;=AH$4)*(endDates&lt;=AH$5)))</f>
        <v>0</v>
      </c>
      <c r="AI17" s="246" cm="1">
        <f t="array" ref="AI17">SUM(_xlfn._xlws.FILTER(_xlfn._xlws.FILTER(dataGLPL,dataGLPLAcctIDs=$C17),(startDates&gt;=AI$4)*(endDates&lt;=AI$5)))</f>
        <v>0</v>
      </c>
      <c r="AJ17" s="246" cm="1">
        <f t="array" ref="AJ17">SUM(_xlfn._xlws.FILTER(_xlfn._xlws.FILTER(dataGLPL,dataGLPLAcctIDs=$C17),(startDates&gt;=AJ$4)*(endDates&lt;=AJ$5)))</f>
        <v>0</v>
      </c>
      <c r="AK17" s="246" cm="1">
        <f t="array" ref="AK17">SUM(_xlfn._xlws.FILTER(_xlfn._xlws.FILTER(dataGLPL,dataGLPLAcctIDs=$C17),(startDates&gt;=AK$4)*(endDates&lt;=AK$5)))</f>
        <v>0</v>
      </c>
      <c r="AL17" s="246" cm="1">
        <f t="array" ref="AL17">SUM(_xlfn._xlws.FILTER(_xlfn._xlws.FILTER(dataGLPL,dataGLPLAcctIDs=$C17),(startDates&gt;=AL$4)*(endDates&lt;=AL$5)))</f>
        <v>0</v>
      </c>
      <c r="AM17" s="246" cm="1">
        <f t="array" ref="AM17">SUM(_xlfn._xlws.FILTER(_xlfn._xlws.FILTER(dataGLPL,dataGLPLAcctIDs=$C17),(startDates&gt;=AM$4)*(endDates&lt;=AM$5)))</f>
        <v>0</v>
      </c>
      <c r="AN17" s="246" cm="1">
        <f t="array" ref="AN17">SUM(_xlfn._xlws.FILTER(_xlfn._xlws.FILTER(dataGLPL,dataGLPLAcctIDs=$C17),(startDates&gt;=AN$4)*(endDates&lt;=AN$5)))</f>
        <v>0</v>
      </c>
      <c r="AO17" s="246" cm="1">
        <f t="array" ref="AO17">SUM(_xlfn._xlws.FILTER(_xlfn._xlws.FILTER(dataGLPL,dataGLPLAcctIDs=$C17),(startDates&gt;=AO$4)*(endDates&lt;=AO$5)))</f>
        <v>0</v>
      </c>
      <c r="AP17" s="246" cm="1">
        <f t="array" ref="AP17">SUM(_xlfn._xlws.FILTER(_xlfn._xlws.FILTER(dataGLPL,dataGLPLAcctIDs=$C17),(startDates&gt;=AP$4)*(endDates&lt;=AP$5)))</f>
        <v>0</v>
      </c>
      <c r="AQ17" s="246" cm="1">
        <f t="array" ref="AQ17">SUM(_xlfn._xlws.FILTER(_xlfn._xlws.FILTER(dataGLPL,dataGLPLAcctIDs=$C17),(startDates&gt;=AQ$4)*(endDates&lt;=AQ$5)))</f>
        <v>0</v>
      </c>
      <c r="AR17" s="246" cm="1">
        <f t="array" ref="AR17">SUM(_xlfn._xlws.FILTER(_xlfn._xlws.FILTER(dataGLPL,dataGLPLAcctIDs=$C17),(startDates&gt;=AR$4)*(endDates&lt;=AR$5)))</f>
        <v>0</v>
      </c>
      <c r="AS17" s="246" cm="1">
        <f t="array" ref="AS17">SUM(_xlfn._xlws.FILTER(_xlfn._xlws.FILTER(dataGLPL,dataGLPLAcctIDs=$C17),(startDates&gt;=AS$4)*(endDates&lt;=AS$5)))</f>
        <v>0</v>
      </c>
      <c r="AT17" s="246" cm="1">
        <f t="array" ref="AT17">SUM(_xlfn._xlws.FILTER(_xlfn._xlws.FILTER(dataGLPL,dataGLPLAcctIDs=$C17),(startDates&gt;=AT$4)*(endDates&lt;=AT$5)))</f>
        <v>0</v>
      </c>
      <c r="AU17" s="246" cm="1">
        <f t="array" ref="AU17">SUM(_xlfn._xlws.FILTER(_xlfn._xlws.FILTER(dataGLPL,dataGLPLAcctIDs=$C17),(startDates&gt;=AU$4)*(endDates&lt;=AU$5)))</f>
        <v>0</v>
      </c>
      <c r="AV17" s="246" cm="1">
        <f t="array" ref="AV17">SUM(_xlfn._xlws.FILTER(_xlfn._xlws.FILTER(dataGLPL,dataGLPLAcctIDs=$C17),(startDates&gt;=AV$4)*(endDates&lt;=AV$5)))</f>
        <v>0</v>
      </c>
      <c r="AW17" s="246" cm="1">
        <f t="array" ref="AW17">SUM(_xlfn._xlws.FILTER(_xlfn._xlws.FILTER(dataGLPL,dataGLPLAcctIDs=$C17),(startDates&gt;=AW$4)*(endDates&lt;=AW$5)))</f>
        <v>0</v>
      </c>
      <c r="AX17" s="246" cm="1">
        <f t="array" ref="AX17">SUM(_xlfn._xlws.FILTER(_xlfn._xlws.FILTER(dataGLPL,dataGLPLAcctIDs=$C17),(startDates&gt;=AX$4)*(endDates&lt;=AX$5)))</f>
        <v>0</v>
      </c>
      <c r="AY17" s="246" cm="1">
        <f t="array" ref="AY17">SUM(_xlfn._xlws.FILTER(_xlfn._xlws.FILTER(dataGLPL,dataGLPLAcctIDs=$C17),(startDates&gt;=AY$4)*(endDates&lt;=AY$5)))</f>
        <v>0</v>
      </c>
      <c r="AZ17" s="246" cm="1">
        <f t="array" ref="AZ17">SUM(_xlfn._xlws.FILTER(_xlfn._xlws.FILTER(dataGLPL,dataGLPLAcctIDs=$C17),(startDates&gt;=AZ$4)*(endDates&lt;=AZ$5)))</f>
        <v>0</v>
      </c>
      <c r="BA17" s="246" cm="1">
        <f t="array" ref="BA17">SUM(_xlfn._xlws.FILTER(_xlfn._xlws.FILTER(dataGLPL,dataGLPLAcctIDs=$C17),(startDates&gt;=BA$4)*(endDates&lt;=BA$5)))</f>
        <v>0</v>
      </c>
      <c r="BB17" s="246" cm="1">
        <f t="array" ref="BB17">SUM(_xlfn._xlws.FILTER(_xlfn._xlws.FILTER(dataGLPL,dataGLPLAcctIDs=$C17),(startDates&gt;=BB$4)*(endDates&lt;=BB$5)))</f>
        <v>0</v>
      </c>
      <c r="BC17" s="246" cm="1">
        <f t="array" ref="BC17">SUM(_xlfn._xlws.FILTER(_xlfn._xlws.FILTER(dataGLPL,dataGLPLAcctIDs=$C17),(startDates&gt;=BC$4)*(endDates&lt;=BC$5)))</f>
        <v>0</v>
      </c>
      <c r="BD17" s="246" cm="1">
        <f t="array" ref="BD17">SUM(_xlfn._xlws.FILTER(_xlfn._xlws.FILTER(dataGLPL,dataGLPLAcctIDs=$C17),(startDates&gt;=BD$4)*(endDates&lt;=BD$5)))</f>
        <v>0</v>
      </c>
      <c r="BE17" s="246" cm="1">
        <f t="array" ref="BE17">SUM(_xlfn._xlws.FILTER(_xlfn._xlws.FILTER(dataGLPL,dataGLPLAcctIDs=$C17),(startDates&gt;=BE$4)*(endDates&lt;=BE$5)))</f>
        <v>0</v>
      </c>
      <c r="BF17" s="246" cm="1">
        <f t="array" ref="BF17">SUM(_xlfn._xlws.FILTER(_xlfn._xlws.FILTER(dataGLPL,dataGLPLAcctIDs=$C17),(startDates&gt;=BF$4)*(endDates&lt;=BF$5)))</f>
        <v>0</v>
      </c>
      <c r="BG17" s="246" cm="1">
        <f t="array" ref="BG17">SUM(_xlfn._xlws.FILTER(_xlfn._xlws.FILTER(dataGLPL,dataGLPLAcctIDs=$C17),(startDates&gt;=BG$4)*(endDates&lt;=BG$5)))</f>
        <v>300</v>
      </c>
      <c r="BH17" s="246" cm="1">
        <f t="array" ref="BH17">SUM(_xlfn._xlws.FILTER(_xlfn._xlws.FILTER(dataGLPL,dataGLPLAcctIDs=$C17),(startDates&gt;=BH$4)*(endDates&lt;=BH$5)))</f>
        <v>0</v>
      </c>
      <c r="BI17" s="246" cm="1">
        <f t="array" ref="BI17">SUM(_xlfn._xlws.FILTER(_xlfn._xlws.FILTER(dataGLPL,dataGLPLAcctIDs=$C17),(startDates&gt;=BI$4)*(endDates&lt;=BI$5)))</f>
        <v>0</v>
      </c>
      <c r="BJ17" s="246" cm="1">
        <f t="array" ref="BJ17">SUM(_xlfn._xlws.FILTER(_xlfn._xlws.FILTER(dataGLPL,dataGLPLAcctIDs=$C17),(startDates&gt;=BJ$4)*(endDates&lt;=BJ$5)))</f>
        <v>0</v>
      </c>
      <c r="BK17" s="246" cm="1">
        <f t="array" ref="BK17">SUM(_xlfn._xlws.FILTER(_xlfn._xlws.FILTER(dataGLPL,dataGLPLAcctIDs=$C17),(startDates&gt;=BK$4)*(endDates&lt;=BK$5)))</f>
        <v>0</v>
      </c>
      <c r="BL17" s="246" cm="1">
        <f t="array" ref="BL17">SUM(_xlfn._xlws.FILTER(_xlfn._xlws.FILTER(dataGLPL,dataGLPLAcctIDs=$C17),(startDates&gt;=BL$4)*(endDates&lt;=BL$5)))</f>
        <v>0</v>
      </c>
      <c r="BM17" s="246" cm="1">
        <f t="array" ref="BM17">SUM(_xlfn._xlws.FILTER(_xlfn._xlws.FILTER(dataGLPL,dataGLPLAcctIDs=$C17),(startDates&gt;=BM$4)*(endDates&lt;=BM$5)))</f>
        <v>30000</v>
      </c>
      <c r="BN17" s="246" cm="1">
        <f t="array" ref="BN17">SUM(_xlfn._xlws.FILTER(_xlfn._xlws.FILTER(dataGLPL,dataGLPLAcctIDs=$C17),(startDates&gt;=BN$4)*(endDates&lt;=BN$5)))</f>
        <v>30000</v>
      </c>
      <c r="BO17" s="246" cm="1">
        <f t="array" ref="BO17">SUM(_xlfn._xlws.FILTER(_xlfn._xlws.FILTER(dataGLPL,dataGLPLAcctIDs=$C17),(startDates&gt;=BO$4)*(endDates&lt;=BO$5)))</f>
        <v>30000</v>
      </c>
      <c r="BP17" s="246" cm="1">
        <f t="array" ref="BP17">SUM(_xlfn._xlws.FILTER(_xlfn._xlws.FILTER(dataGLPL,dataGLPLAcctIDs=$C17),(startDates&gt;=BP$4)*(endDates&lt;=BP$5)))</f>
        <v>30000</v>
      </c>
      <c r="BQ17" s="246" cm="1">
        <f t="array" ref="BQ17">SUM(_xlfn._xlws.FILTER(_xlfn._xlws.FILTER(dataGLPL,dataGLPLAcctIDs=$C17),(startDates&gt;=BQ$4)*(endDates&lt;=BQ$5)))</f>
        <v>30000</v>
      </c>
      <c r="BR17" s="246" cm="1">
        <f t="array" ref="BR17">SUM(_xlfn._xlws.FILTER(_xlfn._xlws.FILTER(dataGLPL,dataGLPLAcctIDs=$C17),(startDates&gt;=BR$4)*(endDates&lt;=BR$5)))</f>
        <v>30000</v>
      </c>
      <c r="BS17" s="246" cm="1">
        <f t="array" ref="BS17">SUM(_xlfn._xlws.FILTER(_xlfn._xlws.FILTER(dataGLPL,dataGLPLAcctIDs=$C17),(startDates&gt;=BS$4)*(endDates&lt;=BS$5)))</f>
        <v>30000</v>
      </c>
      <c r="BT17" s="246" cm="1">
        <f t="array" ref="BT17">SUM(_xlfn._xlws.FILTER(_xlfn._xlws.FILTER(dataGLPL,dataGLPLAcctIDs=$C17),(startDates&gt;=BT$4)*(endDates&lt;=BT$5)))</f>
        <v>30000</v>
      </c>
      <c r="BU17" s="246" cm="1">
        <f t="array" ref="BU17">SUM(_xlfn._xlws.FILTER(_xlfn._xlws.FILTER(dataGLPL,dataGLPLAcctIDs=$C17),(startDates&gt;=BU$4)*(endDates&lt;=BU$5)))</f>
        <v>30000</v>
      </c>
      <c r="BV17" s="246" cm="1">
        <f t="array" ref="BV17">SUM(_xlfn._xlws.FILTER(_xlfn._xlws.FILTER(dataGLPL,dataGLPLAcctIDs=$C17),(startDates&gt;=BV$4)*(endDates&lt;=BV$5)))</f>
        <v>30000</v>
      </c>
      <c r="BW17" s="246" cm="1">
        <f t="array" ref="BW17">SUM(_xlfn._xlws.FILTER(_xlfn._xlws.FILTER(dataGLPL,dataGLPLAcctIDs=$C17),(startDates&gt;=BW$4)*(endDates&lt;=BW$5)))</f>
        <v>30000</v>
      </c>
      <c r="BX17" s="246" cm="1">
        <f t="array" ref="BX17">SUM(_xlfn._xlws.FILTER(_xlfn._xlws.FILTER(dataGLPL,dataGLPLAcctIDs=$C17),(startDates&gt;=BX$4)*(endDates&lt;=BX$5)))</f>
        <v>30000</v>
      </c>
      <c r="BY17" s="246" cm="1">
        <f t="array" ref="BY17">SUM(_xlfn._xlws.FILTER(_xlfn._xlws.FILTER(dataGLPL,dataGLPLAcctIDs=$C17),(startDates&gt;=BY$4)*(endDates&lt;=BY$5)))</f>
        <v>30000</v>
      </c>
    </row>
    <row r="18" spans="1:77" s="201" customFormat="1" ht="21" customHeight="1">
      <c r="A18" s="215"/>
      <c r="B18" s="218" t="s">
        <v>228</v>
      </c>
      <c r="C18" s="343">
        <v>207</v>
      </c>
      <c r="D18" s="215"/>
      <c r="E18" s="216"/>
      <c r="F18" s="246" cm="1">
        <f t="array" ref="F18">SUM(_xlfn._xlws.FILTER(_xlfn._xlws.FILTER(dataGLPL,dataGLPLAcctIDs=$C18),(startDates&gt;=F$4)*(endDates&lt;=F$5)))</f>
        <v>0</v>
      </c>
      <c r="G18" s="246" cm="1">
        <f t="array" ref="G18">SUM(_xlfn._xlws.FILTER(_xlfn._xlws.FILTER(dataGLPL,dataGLPLAcctIDs=$C18),(startDates&gt;=G$4)*(endDates&lt;=G$5)))</f>
        <v>0</v>
      </c>
      <c r="H18" s="246" cm="1">
        <f t="array" ref="H18">SUM(_xlfn._xlws.FILTER(_xlfn._xlws.FILTER(dataGLPL,dataGLPLAcctIDs=$C18),(startDates&gt;=H$4)*(endDates&lt;=H$5)))</f>
        <v>-1175</v>
      </c>
      <c r="I18" s="246" cm="1">
        <f t="array" ref="I18">SUM(_xlfn._xlws.FILTER(_xlfn._xlws.FILTER(dataGLPL,dataGLPLAcctIDs=$C18),(startDates&gt;=I$4)*(endDates&lt;=I$5)))</f>
        <v>-1365.0169807550246</v>
      </c>
      <c r="J18" s="344"/>
      <c r="K18" s="344"/>
      <c r="L18" s="246" cm="1">
        <f t="array" ref="L18">SUM(_xlfn._xlws.FILTER(_xlfn._xlws.FILTER(dataGLPL,dataGLPLAcctIDs=$C18),(startDates&gt;=L$4)*(endDates&lt;=L$5)))</f>
        <v>0</v>
      </c>
      <c r="M18" s="246" cm="1">
        <f t="array" ref="M18">SUM(_xlfn._xlws.FILTER(_xlfn._xlws.FILTER(dataGLPL,dataGLPLAcctIDs=$C18),(startDates&gt;=M$4)*(endDates&lt;=M$5)))</f>
        <v>0</v>
      </c>
      <c r="N18" s="246" cm="1">
        <f t="array" ref="N18">SUM(_xlfn._xlws.FILTER(_xlfn._xlws.FILTER(dataGLPL,dataGLPLAcctIDs=$C18),(startDates&gt;=N$4)*(endDates&lt;=N$5)))</f>
        <v>0</v>
      </c>
      <c r="O18" s="246" cm="1">
        <f t="array" ref="O18">SUM(_xlfn._xlws.FILTER(_xlfn._xlws.FILTER(dataGLPL,dataGLPLAcctIDs=$C18),(startDates&gt;=O$4)*(endDates&lt;=O$5)))</f>
        <v>0</v>
      </c>
      <c r="P18" s="246" cm="1">
        <f t="array" ref="P18">SUM(_xlfn._xlws.FILTER(_xlfn._xlws.FILTER(dataGLPL,dataGLPLAcctIDs=$C18),(startDates&gt;=P$4)*(endDates&lt;=P$5)))</f>
        <v>0</v>
      </c>
      <c r="Q18" s="246" cm="1">
        <f t="array" ref="Q18">SUM(_xlfn._xlws.FILTER(_xlfn._xlws.FILTER(dataGLPL,dataGLPLAcctIDs=$C18),(startDates&gt;=Q$4)*(endDates&lt;=Q$5)))</f>
        <v>0</v>
      </c>
      <c r="R18" s="246" cm="1">
        <f t="array" ref="R18">SUM(_xlfn._xlws.FILTER(_xlfn._xlws.FILTER(dataGLPL,dataGLPLAcctIDs=$C18),(startDates&gt;=R$4)*(endDates&lt;=R$5)))</f>
        <v>0</v>
      </c>
      <c r="S18" s="246" cm="1">
        <f t="array" ref="S18">SUM(_xlfn._xlws.FILTER(_xlfn._xlws.FILTER(dataGLPL,dataGLPLAcctIDs=$C18),(startDates&gt;=S$4)*(endDates&lt;=S$5)))</f>
        <v>0</v>
      </c>
      <c r="T18" s="246" cm="1">
        <f t="array" ref="T18">SUM(_xlfn._xlws.FILTER(_xlfn._xlws.FILTER(dataGLPL,dataGLPLAcctIDs=$C18),(startDates&gt;=T$4)*(endDates&lt;=T$5)))</f>
        <v>0</v>
      </c>
      <c r="U18" s="246" cm="1">
        <f t="array" ref="U18">SUM(_xlfn._xlws.FILTER(_xlfn._xlws.FILTER(dataGLPL,dataGLPLAcctIDs=$C18),(startDates&gt;=U$4)*(endDates&lt;=U$5)))</f>
        <v>0</v>
      </c>
      <c r="V18" s="246" cm="1">
        <f t="array" ref="V18">SUM(_xlfn._xlws.FILTER(_xlfn._xlws.FILTER(dataGLPL,dataGLPLAcctIDs=$C18),(startDates&gt;=V$4)*(endDates&lt;=V$5)))</f>
        <v>-1000</v>
      </c>
      <c r="W18" s="246" cm="1">
        <f t="array" ref="W18">SUM(_xlfn._xlws.FILTER(_xlfn._xlws.FILTER(dataGLPL,dataGLPLAcctIDs=$C18),(startDates&gt;=W$4)*(endDates&lt;=W$5)))</f>
        <v>-175</v>
      </c>
      <c r="X18" s="246" cm="1">
        <f t="array" ref="X18">SUM(_xlfn._xlws.FILTER(_xlfn._xlws.FILTER(dataGLPL,dataGLPLAcctIDs=$C18),(startDates&gt;=X$4)*(endDates&lt;=X$5)))</f>
        <v>-350.50039062500002</v>
      </c>
      <c r="Y18" s="246" cm="1">
        <f t="array" ref="Y18">SUM(_xlfn._xlws.FILTER(_xlfn._xlws.FILTER(dataGLPL,dataGLPLAcctIDs=$C18),(startDates&gt;=Y$4)*(endDates&lt;=Y$5)))</f>
        <v>-326.98440712280279</v>
      </c>
      <c r="Z18" s="246" cm="1">
        <f t="array" ref="Z18">SUM(_xlfn._xlws.FILTER(_xlfn._xlws.FILTER(dataGLPL,dataGLPLAcctIDs=$C18),(startDates&gt;=Z$4)*(endDates&lt;=Z$5)))</f>
        <v>-331.63167344860551</v>
      </c>
      <c r="AA18" s="246" cm="1">
        <f t="array" ref="AA18">SUM(_xlfn._xlws.FILTER(_xlfn._xlws.FILTER(dataGLPL,dataGLPLAcctIDs=$C18),(startDates&gt;=AA$4)*(endDates&lt;=AA$5)))</f>
        <v>-355.90050955861631</v>
      </c>
      <c r="AB18" s="215"/>
      <c r="AC18" s="344"/>
      <c r="AD18" s="246" cm="1">
        <f t="array" ref="AD18">SUM(_xlfn._xlws.FILTER(_xlfn._xlws.FILTER(dataGLPL,dataGLPLAcctIDs=$C18),(startDates&gt;=AD$4)*(endDates&lt;=AD$5)))</f>
        <v>0</v>
      </c>
      <c r="AE18" s="246" cm="1">
        <f t="array" ref="AE18">SUM(_xlfn._xlws.FILTER(_xlfn._xlws.FILTER(dataGLPL,dataGLPLAcctIDs=$C18),(startDates&gt;=AE$4)*(endDates&lt;=AE$5)))</f>
        <v>0</v>
      </c>
      <c r="AF18" s="246" cm="1">
        <f t="array" ref="AF18">SUM(_xlfn._xlws.FILTER(_xlfn._xlws.FILTER(dataGLPL,dataGLPLAcctIDs=$C18),(startDates&gt;=AF$4)*(endDates&lt;=AF$5)))</f>
        <v>0</v>
      </c>
      <c r="AG18" s="246" cm="1">
        <f t="array" ref="AG18">SUM(_xlfn._xlws.FILTER(_xlfn._xlws.FILTER(dataGLPL,dataGLPLAcctIDs=$C18),(startDates&gt;=AG$4)*(endDates&lt;=AG$5)))</f>
        <v>0</v>
      </c>
      <c r="AH18" s="246" cm="1">
        <f t="array" ref="AH18">SUM(_xlfn._xlws.FILTER(_xlfn._xlws.FILTER(dataGLPL,dataGLPLAcctIDs=$C18),(startDates&gt;=AH$4)*(endDates&lt;=AH$5)))</f>
        <v>0</v>
      </c>
      <c r="AI18" s="246" cm="1">
        <f t="array" ref="AI18">SUM(_xlfn._xlws.FILTER(_xlfn._xlws.FILTER(dataGLPL,dataGLPLAcctIDs=$C18),(startDates&gt;=AI$4)*(endDates&lt;=AI$5)))</f>
        <v>0</v>
      </c>
      <c r="AJ18" s="246" cm="1">
        <f t="array" ref="AJ18">SUM(_xlfn._xlws.FILTER(_xlfn._xlws.FILTER(dataGLPL,dataGLPLAcctIDs=$C18),(startDates&gt;=AJ$4)*(endDates&lt;=AJ$5)))</f>
        <v>0</v>
      </c>
      <c r="AK18" s="246" cm="1">
        <f t="array" ref="AK18">SUM(_xlfn._xlws.FILTER(_xlfn._xlws.FILTER(dataGLPL,dataGLPLAcctIDs=$C18),(startDates&gt;=AK$4)*(endDates&lt;=AK$5)))</f>
        <v>0</v>
      </c>
      <c r="AL18" s="246" cm="1">
        <f t="array" ref="AL18">SUM(_xlfn._xlws.FILTER(_xlfn._xlws.FILTER(dataGLPL,dataGLPLAcctIDs=$C18),(startDates&gt;=AL$4)*(endDates&lt;=AL$5)))</f>
        <v>0</v>
      </c>
      <c r="AM18" s="246" cm="1">
        <f t="array" ref="AM18">SUM(_xlfn._xlws.FILTER(_xlfn._xlws.FILTER(dataGLPL,dataGLPLAcctIDs=$C18),(startDates&gt;=AM$4)*(endDates&lt;=AM$5)))</f>
        <v>0</v>
      </c>
      <c r="AN18" s="246" cm="1">
        <f t="array" ref="AN18">SUM(_xlfn._xlws.FILTER(_xlfn._xlws.FILTER(dataGLPL,dataGLPLAcctIDs=$C18),(startDates&gt;=AN$4)*(endDates&lt;=AN$5)))</f>
        <v>0</v>
      </c>
      <c r="AO18" s="246" cm="1">
        <f t="array" ref="AO18">SUM(_xlfn._xlws.FILTER(_xlfn._xlws.FILTER(dataGLPL,dataGLPLAcctIDs=$C18),(startDates&gt;=AO$4)*(endDates&lt;=AO$5)))</f>
        <v>0</v>
      </c>
      <c r="AP18" s="246" cm="1">
        <f t="array" ref="AP18">SUM(_xlfn._xlws.FILTER(_xlfn._xlws.FILTER(dataGLPL,dataGLPLAcctIDs=$C18),(startDates&gt;=AP$4)*(endDates&lt;=AP$5)))</f>
        <v>0</v>
      </c>
      <c r="AQ18" s="246" cm="1">
        <f t="array" ref="AQ18">SUM(_xlfn._xlws.FILTER(_xlfn._xlws.FILTER(dataGLPL,dataGLPLAcctIDs=$C18),(startDates&gt;=AQ$4)*(endDates&lt;=AQ$5)))</f>
        <v>0</v>
      </c>
      <c r="AR18" s="246" cm="1">
        <f t="array" ref="AR18">SUM(_xlfn._xlws.FILTER(_xlfn._xlws.FILTER(dataGLPL,dataGLPLAcctIDs=$C18),(startDates&gt;=AR$4)*(endDates&lt;=AR$5)))</f>
        <v>0</v>
      </c>
      <c r="AS18" s="246" cm="1">
        <f t="array" ref="AS18">SUM(_xlfn._xlws.FILTER(_xlfn._xlws.FILTER(dataGLPL,dataGLPLAcctIDs=$C18),(startDates&gt;=AS$4)*(endDates&lt;=AS$5)))</f>
        <v>0</v>
      </c>
      <c r="AT18" s="246" cm="1">
        <f t="array" ref="AT18">SUM(_xlfn._xlws.FILTER(_xlfn._xlws.FILTER(dataGLPL,dataGLPLAcctIDs=$C18),(startDates&gt;=AT$4)*(endDates&lt;=AT$5)))</f>
        <v>0</v>
      </c>
      <c r="AU18" s="246" cm="1">
        <f t="array" ref="AU18">SUM(_xlfn._xlws.FILTER(_xlfn._xlws.FILTER(dataGLPL,dataGLPLAcctIDs=$C18),(startDates&gt;=AU$4)*(endDates&lt;=AU$5)))</f>
        <v>0</v>
      </c>
      <c r="AV18" s="246" cm="1">
        <f t="array" ref="AV18">SUM(_xlfn._xlws.FILTER(_xlfn._xlws.FILTER(dataGLPL,dataGLPLAcctIDs=$C18),(startDates&gt;=AV$4)*(endDates&lt;=AV$5)))</f>
        <v>0</v>
      </c>
      <c r="AW18" s="246" cm="1">
        <f t="array" ref="AW18">SUM(_xlfn._xlws.FILTER(_xlfn._xlws.FILTER(dataGLPL,dataGLPLAcctIDs=$C18),(startDates&gt;=AW$4)*(endDates&lt;=AW$5)))</f>
        <v>0</v>
      </c>
      <c r="AX18" s="246" cm="1">
        <f t="array" ref="AX18">SUM(_xlfn._xlws.FILTER(_xlfn._xlws.FILTER(dataGLPL,dataGLPLAcctIDs=$C18),(startDates&gt;=AX$4)*(endDates&lt;=AX$5)))</f>
        <v>0</v>
      </c>
      <c r="AY18" s="246" cm="1">
        <f t="array" ref="AY18">SUM(_xlfn._xlws.FILTER(_xlfn._xlws.FILTER(dataGLPL,dataGLPLAcctIDs=$C18),(startDates&gt;=AY$4)*(endDates&lt;=AY$5)))</f>
        <v>0</v>
      </c>
      <c r="AZ18" s="246" cm="1">
        <f t="array" ref="AZ18">SUM(_xlfn._xlws.FILTER(_xlfn._xlws.FILTER(dataGLPL,dataGLPLAcctIDs=$C18),(startDates&gt;=AZ$4)*(endDates&lt;=AZ$5)))</f>
        <v>0</v>
      </c>
      <c r="BA18" s="246" cm="1">
        <f t="array" ref="BA18">SUM(_xlfn._xlws.FILTER(_xlfn._xlws.FILTER(dataGLPL,dataGLPLAcctIDs=$C18),(startDates&gt;=BA$4)*(endDates&lt;=BA$5)))</f>
        <v>0</v>
      </c>
      <c r="BB18" s="246" cm="1">
        <f t="array" ref="BB18">SUM(_xlfn._xlws.FILTER(_xlfn._xlws.FILTER(dataGLPL,dataGLPLAcctIDs=$C18),(startDates&gt;=BB$4)*(endDates&lt;=BB$5)))</f>
        <v>0</v>
      </c>
      <c r="BC18" s="246" cm="1">
        <f t="array" ref="BC18">SUM(_xlfn._xlws.FILTER(_xlfn._xlws.FILTER(dataGLPL,dataGLPLAcctIDs=$C18),(startDates&gt;=BC$4)*(endDates&lt;=BC$5)))</f>
        <v>0</v>
      </c>
      <c r="BD18" s="246" cm="1">
        <f t="array" ref="BD18">SUM(_xlfn._xlws.FILTER(_xlfn._xlws.FILTER(dataGLPL,dataGLPLAcctIDs=$C18),(startDates&gt;=BD$4)*(endDates&lt;=BD$5)))</f>
        <v>0</v>
      </c>
      <c r="BE18" s="246" cm="1">
        <f t="array" ref="BE18">SUM(_xlfn._xlws.FILTER(_xlfn._xlws.FILTER(dataGLPL,dataGLPLAcctIDs=$C18),(startDates&gt;=BE$4)*(endDates&lt;=BE$5)))</f>
        <v>0</v>
      </c>
      <c r="BF18" s="246" cm="1">
        <f t="array" ref="BF18">SUM(_xlfn._xlws.FILTER(_xlfn._xlws.FILTER(dataGLPL,dataGLPLAcctIDs=$C18),(startDates&gt;=BF$4)*(endDates&lt;=BF$5)))</f>
        <v>0</v>
      </c>
      <c r="BG18" s="246" cm="1">
        <f t="array" ref="BG18">SUM(_xlfn._xlws.FILTER(_xlfn._xlws.FILTER(dataGLPL,dataGLPLAcctIDs=$C18),(startDates&gt;=BG$4)*(endDates&lt;=BG$5)))</f>
        <v>0</v>
      </c>
      <c r="BH18" s="246" cm="1">
        <f t="array" ref="BH18">SUM(_xlfn._xlws.FILTER(_xlfn._xlws.FILTER(dataGLPL,dataGLPLAcctIDs=$C18),(startDates&gt;=BH$4)*(endDates&lt;=BH$5)))</f>
        <v>-1000</v>
      </c>
      <c r="BI18" s="246" cm="1">
        <f t="array" ref="BI18">SUM(_xlfn._xlws.FILTER(_xlfn._xlws.FILTER(dataGLPL,dataGLPLAcctIDs=$C18),(startDates&gt;=BI$4)*(endDates&lt;=BI$5)))</f>
        <v>0</v>
      </c>
      <c r="BJ18" s="246" cm="1">
        <f t="array" ref="BJ18">SUM(_xlfn._xlws.FILTER(_xlfn._xlws.FILTER(dataGLPL,dataGLPLAcctIDs=$C18),(startDates&gt;=BJ$4)*(endDates&lt;=BJ$5)))</f>
        <v>0</v>
      </c>
      <c r="BK18" s="246" cm="1">
        <f t="array" ref="BK18">SUM(_xlfn._xlws.FILTER(_xlfn._xlws.FILTER(dataGLPL,dataGLPLAcctIDs=$C18),(startDates&gt;=BK$4)*(endDates&lt;=BK$5)))</f>
        <v>0</v>
      </c>
      <c r="BL18" s="246" cm="1">
        <f t="array" ref="BL18">SUM(_xlfn._xlws.FILTER(_xlfn._xlws.FILTER(dataGLPL,dataGLPLAcctIDs=$C18),(startDates&gt;=BL$4)*(endDates&lt;=BL$5)))</f>
        <v>0</v>
      </c>
      <c r="BM18" s="246" cm="1">
        <f t="array" ref="BM18">SUM(_xlfn._xlws.FILTER(_xlfn._xlws.FILTER(dataGLPL,dataGLPLAcctIDs=$C18),(startDates&gt;=BM$4)*(endDates&lt;=BM$5)))</f>
        <v>-175</v>
      </c>
      <c r="BN18" s="246" cm="1">
        <f t="array" ref="BN18">SUM(_xlfn._xlws.FILTER(_xlfn._xlws.FILTER(dataGLPL,dataGLPLAcctIDs=$C18),(startDates&gt;=BN$4)*(endDates&lt;=BN$5)))</f>
        <v>-205.62500000000003</v>
      </c>
      <c r="BO18" s="246" cm="1">
        <f t="array" ref="BO18">SUM(_xlfn._xlws.FILTER(_xlfn._xlws.FILTER(dataGLPL,dataGLPLAcctIDs=$C18),(startDates&gt;=BO$4)*(endDates&lt;=BO$5)))</f>
        <v>-66.609375</v>
      </c>
      <c r="BP18" s="246" cm="1">
        <f t="array" ref="BP18">SUM(_xlfn._xlws.FILTER(_xlfn._xlws.FILTER(dataGLPL,dataGLPLAcctIDs=$C18),(startDates&gt;=BP$4)*(endDates&lt;=BP$5)))</f>
        <v>-78.266015625000009</v>
      </c>
      <c r="BQ18" s="246" cm="1">
        <f t="array" ref="BQ18">SUM(_xlfn._xlws.FILTER(_xlfn._xlws.FILTER(dataGLPL,dataGLPLAcctIDs=$C18),(startDates&gt;=BQ$4)*(endDates&lt;=BQ$5)))</f>
        <v>-91.962568359375013</v>
      </c>
      <c r="BR18" s="246" cm="1">
        <f t="array" ref="BR18">SUM(_xlfn._xlws.FILTER(_xlfn._xlws.FILTER(dataGLPL,dataGLPLAcctIDs=$C18),(startDates&gt;=BR$4)*(endDates&lt;=BR$5)))</f>
        <v>-108.05601782226564</v>
      </c>
      <c r="BS18" s="246" cm="1">
        <f t="array" ref="BS18">SUM(_xlfn._xlws.FILTER(_xlfn._xlws.FILTER(dataGLPL,dataGLPLAcctIDs=$C18),(startDates&gt;=BS$4)*(endDates&lt;=BS$5)))</f>
        <v>-126.96582094116214</v>
      </c>
      <c r="BT18" s="246" cm="1">
        <f t="array" ref="BT18">SUM(_xlfn._xlws.FILTER(_xlfn._xlws.FILTER(dataGLPL,dataGLPLAcctIDs=$C18),(startDates&gt;=BT$4)*(endDates&lt;=BT$5)))</f>
        <v>-118.55983960586551</v>
      </c>
      <c r="BU18" s="246" cm="1">
        <f t="array" ref="BU18">SUM(_xlfn._xlws.FILTER(_xlfn._xlws.FILTER(dataGLPL,dataGLPLAcctIDs=$C18),(startDates&gt;=BU$4)*(endDates&lt;=BU$5)))</f>
        <v>-103.32343653689196</v>
      </c>
      <c r="BV18" s="246" cm="1">
        <f t="array" ref="BV18">SUM(_xlfn._xlws.FILTER(_xlfn._xlws.FILTER(dataGLPL,dataGLPLAcctIDs=$C18),(startDates&gt;=BV$4)*(endDates&lt;=BV$5)))</f>
        <v>-109.74839730584804</v>
      </c>
      <c r="BW18" s="246" cm="1">
        <f t="array" ref="BW18">SUM(_xlfn._xlws.FILTER(_xlfn._xlws.FILTER(dataGLPL,dataGLPLAcctIDs=$C18),(startDates&gt;=BW$4)*(endDates&lt;=BW$5)))</f>
        <v>-115.25781409999647</v>
      </c>
      <c r="BX18" s="246" cm="1">
        <f t="array" ref="BX18">SUM(_xlfn._xlws.FILTER(_xlfn._xlws.FILTER(dataGLPL,dataGLPLAcctIDs=$C18),(startDates&gt;=BX$4)*(endDates&lt;=BX$5)))</f>
        <v>-119.33448210460521</v>
      </c>
      <c r="BY18" s="246" cm="1">
        <f t="array" ref="BY18">SUM(_xlfn._xlws.FILTER(_xlfn._xlws.FILTER(dataGLPL,dataGLPLAcctIDs=$C18),(startDates&gt;=BY$4)*(endDates&lt;=BY$5)))</f>
        <v>-121.30821335401464</v>
      </c>
    </row>
    <row r="19" spans="1:77" s="201" customFormat="1" ht="21" customHeight="1">
      <c r="A19" s="215"/>
      <c r="B19" s="343" t="s">
        <v>229</v>
      </c>
      <c r="C19" s="343" t="s">
        <v>230</v>
      </c>
      <c r="D19" s="215"/>
      <c r="E19" s="216"/>
      <c r="F19" s="345">
        <f t="shared" ref="F19:I19" si="15">_xlfn.AGGREGATE(9,0, F$14:F$18)</f>
        <v>23959.5</v>
      </c>
      <c r="G19" s="345">
        <f t="shared" si="15"/>
        <v>53271.66</v>
      </c>
      <c r="H19" s="345">
        <f t="shared" si="15"/>
        <v>117947.93077272727</v>
      </c>
      <c r="I19" s="345">
        <f t="shared" si="15"/>
        <v>380313.00326676195</v>
      </c>
      <c r="J19" s="344"/>
      <c r="K19" s="344"/>
      <c r="L19" s="345">
        <f t="shared" ref="L19:AA19" si="16">_xlfn.AGGREGATE(9,0, L$14:L$18)</f>
        <v>3476</v>
      </c>
      <c r="M19" s="345">
        <f t="shared" si="16"/>
        <v>4626</v>
      </c>
      <c r="N19" s="345">
        <f t="shared" si="16"/>
        <v>6157</v>
      </c>
      <c r="O19" s="345">
        <f t="shared" si="16"/>
        <v>9700.5</v>
      </c>
      <c r="P19" s="345">
        <f t="shared" si="16"/>
        <v>11366</v>
      </c>
      <c r="Q19" s="345">
        <f t="shared" si="16"/>
        <v>12551.5</v>
      </c>
      <c r="R19" s="345">
        <f t="shared" si="16"/>
        <v>14075.5</v>
      </c>
      <c r="S19" s="345">
        <f t="shared" si="16"/>
        <v>15278.66</v>
      </c>
      <c r="T19" s="345">
        <f t="shared" si="16"/>
        <v>17685.420000000002</v>
      </c>
      <c r="U19" s="345">
        <f t="shared" si="16"/>
        <v>20775.48</v>
      </c>
      <c r="V19" s="345">
        <f t="shared" si="16"/>
        <v>22702.079999999998</v>
      </c>
      <c r="W19" s="345">
        <f t="shared" si="16"/>
        <v>56784.950772727272</v>
      </c>
      <c r="X19" s="345">
        <f t="shared" si="16"/>
        <v>94737.759374023401</v>
      </c>
      <c r="Y19" s="345">
        <f t="shared" si="16"/>
        <v>95060.56714595019</v>
      </c>
      <c r="Z19" s="345">
        <f t="shared" si="16"/>
        <v>95244.241279507987</v>
      </c>
      <c r="AA19" s="345">
        <f t="shared" si="16"/>
        <v>95270.435467280389</v>
      </c>
      <c r="AB19" s="215"/>
      <c r="AC19" s="344"/>
      <c r="AD19" s="345">
        <f>_xlfn.AGGREGATE(9,0, AD$14:AD$18)</f>
        <v>1050</v>
      </c>
      <c r="AE19" s="345">
        <f t="shared" ref="AE19:BY19" si="17">_xlfn.AGGREGATE(9,0, AE$14:AE$18)</f>
        <v>1155</v>
      </c>
      <c r="AF19" s="345">
        <f t="shared" si="17"/>
        <v>1271</v>
      </c>
      <c r="AG19" s="345">
        <f t="shared" si="17"/>
        <v>1398</v>
      </c>
      <c r="AH19" s="345">
        <f t="shared" si="17"/>
        <v>1537</v>
      </c>
      <c r="AI19" s="345">
        <f t="shared" si="17"/>
        <v>1691</v>
      </c>
      <c r="AJ19" s="345">
        <f t="shared" si="17"/>
        <v>1860</v>
      </c>
      <c r="AK19" s="345">
        <f t="shared" si="17"/>
        <v>2046.5</v>
      </c>
      <c r="AL19" s="345">
        <f t="shared" si="17"/>
        <v>2250.5</v>
      </c>
      <c r="AM19" s="345">
        <f t="shared" si="17"/>
        <v>2475.5</v>
      </c>
      <c r="AN19" s="345">
        <f t="shared" si="17"/>
        <v>3427.5</v>
      </c>
      <c r="AO19" s="345">
        <f t="shared" si="17"/>
        <v>3797.5</v>
      </c>
      <c r="AP19" s="345">
        <f t="shared" si="17"/>
        <v>3599</v>
      </c>
      <c r="AQ19" s="345">
        <f t="shared" si="17"/>
        <v>3988</v>
      </c>
      <c r="AR19" s="345">
        <f t="shared" si="17"/>
        <v>3779</v>
      </c>
      <c r="AS19" s="345">
        <f t="shared" si="17"/>
        <v>4186.5</v>
      </c>
      <c r="AT19" s="345">
        <f t="shared" si="17"/>
        <v>3968.5</v>
      </c>
      <c r="AU19" s="345">
        <f t="shared" si="17"/>
        <v>4396.5</v>
      </c>
      <c r="AV19" s="345">
        <f t="shared" si="17"/>
        <v>4615</v>
      </c>
      <c r="AW19" s="345">
        <f t="shared" si="17"/>
        <v>4614.5</v>
      </c>
      <c r="AX19" s="345">
        <f t="shared" si="17"/>
        <v>4846</v>
      </c>
      <c r="AY19" s="345">
        <f t="shared" si="17"/>
        <v>4846.33</v>
      </c>
      <c r="AZ19" s="345">
        <f t="shared" si="17"/>
        <v>5089.33</v>
      </c>
      <c r="BA19" s="345">
        <f t="shared" si="17"/>
        <v>5343</v>
      </c>
      <c r="BB19" s="345">
        <f t="shared" si="17"/>
        <v>5610.42</v>
      </c>
      <c r="BC19" s="345">
        <f t="shared" si="17"/>
        <v>5890</v>
      </c>
      <c r="BD19" s="345">
        <f t="shared" si="17"/>
        <v>6185</v>
      </c>
      <c r="BE19" s="345">
        <f t="shared" si="17"/>
        <v>6495</v>
      </c>
      <c r="BF19" s="345">
        <f t="shared" si="17"/>
        <v>6820</v>
      </c>
      <c r="BG19" s="345">
        <f t="shared" si="17"/>
        <v>7460.48</v>
      </c>
      <c r="BH19" s="345">
        <f t="shared" si="17"/>
        <v>6518.5</v>
      </c>
      <c r="BI19" s="345">
        <f t="shared" si="17"/>
        <v>7894.43</v>
      </c>
      <c r="BJ19" s="345">
        <f t="shared" si="17"/>
        <v>8289.15</v>
      </c>
      <c r="BK19" s="345">
        <f t="shared" si="17"/>
        <v>8703.61</v>
      </c>
      <c r="BL19" s="345">
        <f t="shared" si="17"/>
        <v>9138.7900000000009</v>
      </c>
      <c r="BM19" s="345">
        <f t="shared" si="17"/>
        <v>38942.550772727271</v>
      </c>
      <c r="BN19" s="345">
        <f t="shared" si="17"/>
        <v>31452.469210123967</v>
      </c>
      <c r="BO19" s="345">
        <f t="shared" si="17"/>
        <v>31630.248373363072</v>
      </c>
      <c r="BP19" s="345">
        <f t="shared" si="17"/>
        <v>31655.041790536368</v>
      </c>
      <c r="BQ19" s="345">
        <f t="shared" si="17"/>
        <v>31674.97461929921</v>
      </c>
      <c r="BR19" s="345">
        <f t="shared" si="17"/>
        <v>31689.134265021912</v>
      </c>
      <c r="BS19" s="345">
        <f t="shared" si="17"/>
        <v>31696.458261629054</v>
      </c>
      <c r="BT19" s="345">
        <f t="shared" si="17"/>
        <v>31726.336178118778</v>
      </c>
      <c r="BU19" s="345">
        <f t="shared" si="17"/>
        <v>31757.465382879651</v>
      </c>
      <c r="BV19" s="345">
        <f t="shared" si="17"/>
        <v>31760.439718509548</v>
      </c>
      <c r="BW19" s="345">
        <f t="shared" si="17"/>
        <v>31756.81534913414</v>
      </c>
      <c r="BX19" s="345">
        <f t="shared" si="17"/>
        <v>31745.972210347336</v>
      </c>
      <c r="BY19" s="345">
        <f t="shared" si="17"/>
        <v>31767.647907798917</v>
      </c>
    </row>
    <row r="20" spans="1:77" s="201" customFormat="1" ht="21" customHeight="1">
      <c r="A20" s="215"/>
      <c r="B20" s="343" t="s">
        <v>81</v>
      </c>
      <c r="C20" s="343" t="s">
        <v>231</v>
      </c>
      <c r="D20" s="215"/>
      <c r="E20" s="216"/>
      <c r="F20" s="345">
        <f t="shared" ref="F20:I20" si="18">F$13 - F$19</f>
        <v>221563.5</v>
      </c>
      <c r="G20" s="345">
        <f t="shared" si="18"/>
        <v>541123.34</v>
      </c>
      <c r="H20" s="345">
        <f t="shared" si="18"/>
        <v>824787.29589393933</v>
      </c>
      <c r="I20" s="345">
        <f t="shared" si="18"/>
        <v>1071017.8300665715</v>
      </c>
      <c r="J20" s="344"/>
      <c r="K20" s="344"/>
      <c r="L20" s="345">
        <f t="shared" ref="L20:AA20" si="19">L$13 - L$19</f>
        <v>29624</v>
      </c>
      <c r="M20" s="345">
        <f t="shared" si="19"/>
        <v>39430</v>
      </c>
      <c r="N20" s="345">
        <f t="shared" si="19"/>
        <v>52482</v>
      </c>
      <c r="O20" s="345">
        <f t="shared" si="19"/>
        <v>100027.5</v>
      </c>
      <c r="P20" s="345">
        <f t="shared" si="19"/>
        <v>129970</v>
      </c>
      <c r="Q20" s="345">
        <f t="shared" si="19"/>
        <v>131277.5</v>
      </c>
      <c r="R20" s="345">
        <f t="shared" si="19"/>
        <v>134215.5</v>
      </c>
      <c r="S20" s="345">
        <f t="shared" si="19"/>
        <v>145660.34</v>
      </c>
      <c r="T20" s="345">
        <f t="shared" si="19"/>
        <v>168621.8</v>
      </c>
      <c r="U20" s="345">
        <f t="shared" si="19"/>
        <v>203598.49</v>
      </c>
      <c r="V20" s="345">
        <f t="shared" si="19"/>
        <v>251467.29</v>
      </c>
      <c r="W20" s="345">
        <f t="shared" si="19"/>
        <v>201099.71589393937</v>
      </c>
      <c r="X20" s="345">
        <f t="shared" si="19"/>
        <v>238579.74062597658</v>
      </c>
      <c r="Y20" s="345">
        <f t="shared" si="19"/>
        <v>278256.93285404984</v>
      </c>
      <c r="Z20" s="345">
        <f t="shared" si="19"/>
        <v>278073.25872049201</v>
      </c>
      <c r="AA20" s="345">
        <f t="shared" si="19"/>
        <v>276107.89786605298</v>
      </c>
      <c r="AB20" s="215"/>
      <c r="AC20" s="344"/>
      <c r="AD20" s="345">
        <f>AD$13 - AD$19</f>
        <v>8950</v>
      </c>
      <c r="AE20" s="345">
        <f t="shared" ref="AE20:BY20" si="20">AE$13 - AE$19</f>
        <v>9845</v>
      </c>
      <c r="AF20" s="345">
        <f t="shared" si="20"/>
        <v>10829</v>
      </c>
      <c r="AG20" s="345">
        <f t="shared" si="20"/>
        <v>11912</v>
      </c>
      <c r="AH20" s="345">
        <f t="shared" si="20"/>
        <v>13104</v>
      </c>
      <c r="AI20" s="345">
        <f t="shared" si="20"/>
        <v>14414</v>
      </c>
      <c r="AJ20" s="345">
        <f t="shared" si="20"/>
        <v>15856</v>
      </c>
      <c r="AK20" s="345">
        <f t="shared" si="20"/>
        <v>17440.5</v>
      </c>
      <c r="AL20" s="345">
        <f t="shared" si="20"/>
        <v>19185.5</v>
      </c>
      <c r="AM20" s="345">
        <f t="shared" si="20"/>
        <v>21103.5</v>
      </c>
      <c r="AN20" s="345">
        <f t="shared" si="20"/>
        <v>42721.5</v>
      </c>
      <c r="AO20" s="345">
        <f t="shared" si="20"/>
        <v>36202.5</v>
      </c>
      <c r="AP20" s="345">
        <f t="shared" si="20"/>
        <v>44857.5</v>
      </c>
      <c r="AQ20" s="345">
        <f t="shared" si="20"/>
        <v>38012</v>
      </c>
      <c r="AR20" s="345">
        <f t="shared" si="20"/>
        <v>47100.5</v>
      </c>
      <c r="AS20" s="345">
        <f t="shared" si="20"/>
        <v>39913.5</v>
      </c>
      <c r="AT20" s="345">
        <f t="shared" si="20"/>
        <v>49455.5</v>
      </c>
      <c r="AU20" s="345">
        <f t="shared" si="20"/>
        <v>41908.5</v>
      </c>
      <c r="AV20" s="345">
        <f t="shared" si="20"/>
        <v>44005</v>
      </c>
      <c r="AW20" s="345">
        <f t="shared" si="20"/>
        <v>44005.5</v>
      </c>
      <c r="AX20" s="345">
        <f t="shared" si="20"/>
        <v>46205</v>
      </c>
      <c r="AY20" s="345">
        <f t="shared" si="20"/>
        <v>46204.67</v>
      </c>
      <c r="AZ20" s="345">
        <f t="shared" si="20"/>
        <v>48514.67</v>
      </c>
      <c r="BA20" s="345">
        <f t="shared" si="20"/>
        <v>50941</v>
      </c>
      <c r="BB20" s="345">
        <f t="shared" si="20"/>
        <v>53487.8</v>
      </c>
      <c r="BC20" s="345">
        <f t="shared" si="20"/>
        <v>56163</v>
      </c>
      <c r="BD20" s="345">
        <f t="shared" si="20"/>
        <v>58971</v>
      </c>
      <c r="BE20" s="345">
        <f t="shared" si="20"/>
        <v>61919</v>
      </c>
      <c r="BF20" s="345">
        <f t="shared" si="20"/>
        <v>65014</v>
      </c>
      <c r="BG20" s="345">
        <f t="shared" si="20"/>
        <v>76665.490000000005</v>
      </c>
      <c r="BH20" s="345">
        <f t="shared" si="20"/>
        <v>79178.759999999995</v>
      </c>
      <c r="BI20" s="345">
        <f t="shared" si="20"/>
        <v>75262.700000000012</v>
      </c>
      <c r="BJ20" s="345">
        <f t="shared" si="20"/>
        <v>97025.83</v>
      </c>
      <c r="BK20" s="345">
        <f t="shared" si="20"/>
        <v>92977.12</v>
      </c>
      <c r="BL20" s="345">
        <f t="shared" si="20"/>
        <v>102625.98000000001</v>
      </c>
      <c r="BM20" s="345">
        <f t="shared" si="20"/>
        <v>5496.6158939393936</v>
      </c>
      <c r="BN20" s="345">
        <f t="shared" si="20"/>
        <v>52986.697456542708</v>
      </c>
      <c r="BO20" s="345">
        <f t="shared" si="20"/>
        <v>92808.918293303606</v>
      </c>
      <c r="BP20" s="345">
        <f t="shared" si="20"/>
        <v>92784.1248761303</v>
      </c>
      <c r="BQ20" s="345">
        <f t="shared" si="20"/>
        <v>92764.192047367455</v>
      </c>
      <c r="BR20" s="345">
        <f t="shared" si="20"/>
        <v>92750.032401644756</v>
      </c>
      <c r="BS20" s="345">
        <f t="shared" si="20"/>
        <v>92742.708405037614</v>
      </c>
      <c r="BT20" s="345">
        <f t="shared" si="20"/>
        <v>92712.830488547886</v>
      </c>
      <c r="BU20" s="345">
        <f t="shared" si="20"/>
        <v>92681.701283787028</v>
      </c>
      <c r="BV20" s="345">
        <f t="shared" si="20"/>
        <v>92678.726948157127</v>
      </c>
      <c r="BW20" s="345">
        <f t="shared" si="20"/>
        <v>92682.351317532535</v>
      </c>
      <c r="BX20" s="345">
        <f t="shared" si="20"/>
        <v>92693.194456319339</v>
      </c>
      <c r="BY20" s="345">
        <f t="shared" si="20"/>
        <v>90732.352092201079</v>
      </c>
    </row>
    <row r="21" spans="1:77" s="201" customFormat="1" ht="21" customHeight="1">
      <c r="A21" s="215"/>
      <c r="B21" s="343" t="s">
        <v>188</v>
      </c>
      <c r="C21" s="343" t="s">
        <v>188</v>
      </c>
      <c r="D21" s="215"/>
      <c r="E21" s="216"/>
      <c r="F21" s="345"/>
      <c r="G21" s="345"/>
      <c r="H21" s="345"/>
      <c r="I21" s="345"/>
      <c r="J21" s="344"/>
      <c r="K21" s="344"/>
      <c r="L21" s="345"/>
      <c r="M21" s="345"/>
      <c r="N21" s="345"/>
      <c r="O21" s="345"/>
      <c r="P21" s="345"/>
      <c r="Q21" s="345"/>
      <c r="R21" s="345"/>
      <c r="S21" s="345"/>
      <c r="T21" s="345"/>
      <c r="U21" s="345"/>
      <c r="V21" s="345"/>
      <c r="W21" s="345"/>
      <c r="X21" s="345"/>
      <c r="Y21" s="345"/>
      <c r="Z21" s="345"/>
      <c r="AA21" s="345"/>
      <c r="AB21" s="215"/>
      <c r="AC21" s="344"/>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45"/>
      <c r="BK21" s="345"/>
      <c r="BL21" s="345"/>
      <c r="BM21" s="345"/>
      <c r="BN21" s="345"/>
      <c r="BO21" s="345"/>
      <c r="BP21" s="345"/>
      <c r="BQ21" s="345"/>
      <c r="BR21" s="345"/>
      <c r="BS21" s="345"/>
      <c r="BT21" s="345"/>
      <c r="BU21" s="345"/>
      <c r="BV21" s="345"/>
      <c r="BW21" s="345"/>
      <c r="BX21" s="345"/>
      <c r="BY21" s="345"/>
    </row>
    <row r="22" spans="1:77" s="201" customFormat="1" ht="21" customHeight="1">
      <c r="A22" s="215"/>
      <c r="B22" s="342" t="s">
        <v>232</v>
      </c>
      <c r="C22" s="343">
        <v>172</v>
      </c>
      <c r="D22" s="215"/>
      <c r="E22" s="216"/>
      <c r="F22" s="346" cm="1">
        <f t="array" ref="F22">SUM(_xlfn._xlws.FILTER(_xlfn._xlws.FILTER(dataGLPL,dataGLPLAcctIDs=$C22),(startDates&gt;=F$4)*(endDates&lt;=F$5)))</f>
        <v>0</v>
      </c>
      <c r="G22" s="346" cm="1">
        <f t="array" ref="G22">SUM(_xlfn._xlws.FILTER(_xlfn._xlws.FILTER(dataGLPL,dataGLPLAcctIDs=$C22),(startDates&gt;=G$4)*(endDates&lt;=G$5)))</f>
        <v>0</v>
      </c>
      <c r="H22" s="346" cm="1">
        <f t="array" ref="H22">SUM(_xlfn._xlws.FILTER(_xlfn._xlws.FILTER(dataGLPL,dataGLPLAcctIDs=$C22),(startDates&gt;=H$4)*(endDates&lt;=H$5)))</f>
        <v>0</v>
      </c>
      <c r="I22" s="346" cm="1">
        <f t="array" ref="I22">SUM(_xlfn._xlws.FILTER(_xlfn._xlws.FILTER(dataGLPL,dataGLPLAcctIDs=$C22),(startDates&gt;=I$4)*(endDates&lt;=I$5)))</f>
        <v>0</v>
      </c>
      <c r="J22" s="344"/>
      <c r="K22" s="344"/>
      <c r="L22" s="346" cm="1">
        <f t="array" ref="L22">SUM(_xlfn._xlws.FILTER(_xlfn._xlws.FILTER(dataGLPL,dataGLPLAcctIDs=$C22),(startDates&gt;=L$4)*(endDates&lt;=L$5)))</f>
        <v>0</v>
      </c>
      <c r="M22" s="346" cm="1">
        <f t="array" ref="M22">SUM(_xlfn._xlws.FILTER(_xlfn._xlws.FILTER(dataGLPL,dataGLPLAcctIDs=$C22),(startDates&gt;=M$4)*(endDates&lt;=M$5)))</f>
        <v>0</v>
      </c>
      <c r="N22" s="346" cm="1">
        <f t="array" ref="N22">SUM(_xlfn._xlws.FILTER(_xlfn._xlws.FILTER(dataGLPL,dataGLPLAcctIDs=$C22),(startDates&gt;=N$4)*(endDates&lt;=N$5)))</f>
        <v>0</v>
      </c>
      <c r="O22" s="346" cm="1">
        <f t="array" ref="O22">SUM(_xlfn._xlws.FILTER(_xlfn._xlws.FILTER(dataGLPL,dataGLPLAcctIDs=$C22),(startDates&gt;=O$4)*(endDates&lt;=O$5)))</f>
        <v>0</v>
      </c>
      <c r="P22" s="346" cm="1">
        <f t="array" ref="P22">SUM(_xlfn._xlws.FILTER(_xlfn._xlws.FILTER(dataGLPL,dataGLPLAcctIDs=$C22),(startDates&gt;=P$4)*(endDates&lt;=P$5)))</f>
        <v>0</v>
      </c>
      <c r="Q22" s="346" cm="1">
        <f t="array" ref="Q22">SUM(_xlfn._xlws.FILTER(_xlfn._xlws.FILTER(dataGLPL,dataGLPLAcctIDs=$C22),(startDates&gt;=Q$4)*(endDates&lt;=Q$5)))</f>
        <v>0</v>
      </c>
      <c r="R22" s="346" cm="1">
        <f t="array" ref="R22">SUM(_xlfn._xlws.FILTER(_xlfn._xlws.FILTER(dataGLPL,dataGLPLAcctIDs=$C22),(startDates&gt;=R$4)*(endDates&lt;=R$5)))</f>
        <v>0</v>
      </c>
      <c r="S22" s="346" cm="1">
        <f t="array" ref="S22">SUM(_xlfn._xlws.FILTER(_xlfn._xlws.FILTER(dataGLPL,dataGLPLAcctIDs=$C22),(startDates&gt;=S$4)*(endDates&lt;=S$5)))</f>
        <v>0</v>
      </c>
      <c r="T22" s="346" cm="1">
        <f t="array" ref="T22">SUM(_xlfn._xlws.FILTER(_xlfn._xlws.FILTER(dataGLPL,dataGLPLAcctIDs=$C22),(startDates&gt;=T$4)*(endDates&lt;=T$5)))</f>
        <v>0</v>
      </c>
      <c r="U22" s="346" cm="1">
        <f t="array" ref="U22">SUM(_xlfn._xlws.FILTER(_xlfn._xlws.FILTER(dataGLPL,dataGLPLAcctIDs=$C22),(startDates&gt;=U$4)*(endDates&lt;=U$5)))</f>
        <v>0</v>
      </c>
      <c r="V22" s="346" cm="1">
        <f t="array" ref="V22">SUM(_xlfn._xlws.FILTER(_xlfn._xlws.FILTER(dataGLPL,dataGLPLAcctIDs=$C22),(startDates&gt;=V$4)*(endDates&lt;=V$5)))</f>
        <v>0</v>
      </c>
      <c r="W22" s="346" cm="1">
        <f t="array" ref="W22">SUM(_xlfn._xlws.FILTER(_xlfn._xlws.FILTER(dataGLPL,dataGLPLAcctIDs=$C22),(startDates&gt;=W$4)*(endDates&lt;=W$5)))</f>
        <v>0</v>
      </c>
      <c r="X22" s="346" cm="1">
        <f t="array" ref="X22">SUM(_xlfn._xlws.FILTER(_xlfn._xlws.FILTER(dataGLPL,dataGLPLAcctIDs=$C22),(startDates&gt;=X$4)*(endDates&lt;=X$5)))</f>
        <v>0</v>
      </c>
      <c r="Y22" s="346" cm="1">
        <f t="array" ref="Y22">SUM(_xlfn._xlws.FILTER(_xlfn._xlws.FILTER(dataGLPL,dataGLPLAcctIDs=$C22),(startDates&gt;=Y$4)*(endDates&lt;=Y$5)))</f>
        <v>0</v>
      </c>
      <c r="Z22" s="346" cm="1">
        <f t="array" ref="Z22">SUM(_xlfn._xlws.FILTER(_xlfn._xlws.FILTER(dataGLPL,dataGLPLAcctIDs=$C22),(startDates&gt;=Z$4)*(endDates&lt;=Z$5)))</f>
        <v>0</v>
      </c>
      <c r="AA22" s="346" cm="1">
        <f t="array" ref="AA22">SUM(_xlfn._xlws.FILTER(_xlfn._xlws.FILTER(dataGLPL,dataGLPLAcctIDs=$C22),(startDates&gt;=AA$4)*(endDates&lt;=AA$5)))</f>
        <v>0</v>
      </c>
      <c r="AB22" s="215"/>
      <c r="AC22" s="344"/>
      <c r="AD22" s="346" cm="1">
        <f t="array" ref="AD22">SUM(_xlfn._xlws.FILTER(_xlfn._xlws.FILTER(dataGLPL,dataGLPLAcctIDs=$C22),(startDates&gt;=AD$4)*(endDates&lt;=AD$5)))</f>
        <v>0</v>
      </c>
      <c r="AE22" s="346" cm="1">
        <f t="array" ref="AE22">SUM(_xlfn._xlws.FILTER(_xlfn._xlws.FILTER(dataGLPL,dataGLPLAcctIDs=$C22),(startDates&gt;=AE$4)*(endDates&lt;=AE$5)))</f>
        <v>0</v>
      </c>
      <c r="AF22" s="346" cm="1">
        <f t="array" ref="AF22">SUM(_xlfn._xlws.FILTER(_xlfn._xlws.FILTER(dataGLPL,dataGLPLAcctIDs=$C22),(startDates&gt;=AF$4)*(endDates&lt;=AF$5)))</f>
        <v>0</v>
      </c>
      <c r="AG22" s="346" cm="1">
        <f t="array" ref="AG22">SUM(_xlfn._xlws.FILTER(_xlfn._xlws.FILTER(dataGLPL,dataGLPLAcctIDs=$C22),(startDates&gt;=AG$4)*(endDates&lt;=AG$5)))</f>
        <v>0</v>
      </c>
      <c r="AH22" s="346" cm="1">
        <f t="array" ref="AH22">SUM(_xlfn._xlws.FILTER(_xlfn._xlws.FILTER(dataGLPL,dataGLPLAcctIDs=$C22),(startDates&gt;=AH$4)*(endDates&lt;=AH$5)))</f>
        <v>0</v>
      </c>
      <c r="AI22" s="346" cm="1">
        <f t="array" ref="AI22">SUM(_xlfn._xlws.FILTER(_xlfn._xlws.FILTER(dataGLPL,dataGLPLAcctIDs=$C22),(startDates&gt;=AI$4)*(endDates&lt;=AI$5)))</f>
        <v>0</v>
      </c>
      <c r="AJ22" s="346" cm="1">
        <f t="array" ref="AJ22">SUM(_xlfn._xlws.FILTER(_xlfn._xlws.FILTER(dataGLPL,dataGLPLAcctIDs=$C22),(startDates&gt;=AJ$4)*(endDates&lt;=AJ$5)))</f>
        <v>0</v>
      </c>
      <c r="AK22" s="346" cm="1">
        <f t="array" ref="AK22">SUM(_xlfn._xlws.FILTER(_xlfn._xlws.FILTER(dataGLPL,dataGLPLAcctIDs=$C22),(startDates&gt;=AK$4)*(endDates&lt;=AK$5)))</f>
        <v>0</v>
      </c>
      <c r="AL22" s="346" cm="1">
        <f t="array" ref="AL22">SUM(_xlfn._xlws.FILTER(_xlfn._xlws.FILTER(dataGLPL,dataGLPLAcctIDs=$C22),(startDates&gt;=AL$4)*(endDates&lt;=AL$5)))</f>
        <v>0</v>
      </c>
      <c r="AM22" s="346" cm="1">
        <f t="array" ref="AM22">SUM(_xlfn._xlws.FILTER(_xlfn._xlws.FILTER(dataGLPL,dataGLPLAcctIDs=$C22),(startDates&gt;=AM$4)*(endDates&lt;=AM$5)))</f>
        <v>0</v>
      </c>
      <c r="AN22" s="346" cm="1">
        <f t="array" ref="AN22">SUM(_xlfn._xlws.FILTER(_xlfn._xlws.FILTER(dataGLPL,dataGLPLAcctIDs=$C22),(startDates&gt;=AN$4)*(endDates&lt;=AN$5)))</f>
        <v>0</v>
      </c>
      <c r="AO22" s="346" cm="1">
        <f t="array" ref="AO22">SUM(_xlfn._xlws.FILTER(_xlfn._xlws.FILTER(dataGLPL,dataGLPLAcctIDs=$C22),(startDates&gt;=AO$4)*(endDates&lt;=AO$5)))</f>
        <v>0</v>
      </c>
      <c r="AP22" s="346" cm="1">
        <f t="array" ref="AP22">SUM(_xlfn._xlws.FILTER(_xlfn._xlws.FILTER(dataGLPL,dataGLPLAcctIDs=$C22),(startDates&gt;=AP$4)*(endDates&lt;=AP$5)))</f>
        <v>0</v>
      </c>
      <c r="AQ22" s="346" cm="1">
        <f t="array" ref="AQ22">SUM(_xlfn._xlws.FILTER(_xlfn._xlws.FILTER(dataGLPL,dataGLPLAcctIDs=$C22),(startDates&gt;=AQ$4)*(endDates&lt;=AQ$5)))</f>
        <v>0</v>
      </c>
      <c r="AR22" s="346" cm="1">
        <f t="array" ref="AR22">SUM(_xlfn._xlws.FILTER(_xlfn._xlws.FILTER(dataGLPL,dataGLPLAcctIDs=$C22),(startDates&gt;=AR$4)*(endDates&lt;=AR$5)))</f>
        <v>0</v>
      </c>
      <c r="AS22" s="346" cm="1">
        <f t="array" ref="AS22">SUM(_xlfn._xlws.FILTER(_xlfn._xlws.FILTER(dataGLPL,dataGLPLAcctIDs=$C22),(startDates&gt;=AS$4)*(endDates&lt;=AS$5)))</f>
        <v>0</v>
      </c>
      <c r="AT22" s="346" cm="1">
        <f t="array" ref="AT22">SUM(_xlfn._xlws.FILTER(_xlfn._xlws.FILTER(dataGLPL,dataGLPLAcctIDs=$C22),(startDates&gt;=AT$4)*(endDates&lt;=AT$5)))</f>
        <v>0</v>
      </c>
      <c r="AU22" s="346" cm="1">
        <f t="array" ref="AU22">SUM(_xlfn._xlws.FILTER(_xlfn._xlws.FILTER(dataGLPL,dataGLPLAcctIDs=$C22),(startDates&gt;=AU$4)*(endDates&lt;=AU$5)))</f>
        <v>0</v>
      </c>
      <c r="AV22" s="346" cm="1">
        <f t="array" ref="AV22">SUM(_xlfn._xlws.FILTER(_xlfn._xlws.FILTER(dataGLPL,dataGLPLAcctIDs=$C22),(startDates&gt;=AV$4)*(endDates&lt;=AV$5)))</f>
        <v>0</v>
      </c>
      <c r="AW22" s="346" cm="1">
        <f t="array" ref="AW22">SUM(_xlfn._xlws.FILTER(_xlfn._xlws.FILTER(dataGLPL,dataGLPLAcctIDs=$C22),(startDates&gt;=AW$4)*(endDates&lt;=AW$5)))</f>
        <v>0</v>
      </c>
      <c r="AX22" s="346" cm="1">
        <f t="array" ref="AX22">SUM(_xlfn._xlws.FILTER(_xlfn._xlws.FILTER(dataGLPL,dataGLPLAcctIDs=$C22),(startDates&gt;=AX$4)*(endDates&lt;=AX$5)))</f>
        <v>0</v>
      </c>
      <c r="AY22" s="346" cm="1">
        <f t="array" ref="AY22">SUM(_xlfn._xlws.FILTER(_xlfn._xlws.FILTER(dataGLPL,dataGLPLAcctIDs=$C22),(startDates&gt;=AY$4)*(endDates&lt;=AY$5)))</f>
        <v>0</v>
      </c>
      <c r="AZ22" s="346" cm="1">
        <f t="array" ref="AZ22">SUM(_xlfn._xlws.FILTER(_xlfn._xlws.FILTER(dataGLPL,dataGLPLAcctIDs=$C22),(startDates&gt;=AZ$4)*(endDates&lt;=AZ$5)))</f>
        <v>0</v>
      </c>
      <c r="BA22" s="346" cm="1">
        <f t="array" ref="BA22">SUM(_xlfn._xlws.FILTER(_xlfn._xlws.FILTER(dataGLPL,dataGLPLAcctIDs=$C22),(startDates&gt;=BA$4)*(endDates&lt;=BA$5)))</f>
        <v>0</v>
      </c>
      <c r="BB22" s="346" cm="1">
        <f t="array" ref="BB22">SUM(_xlfn._xlws.FILTER(_xlfn._xlws.FILTER(dataGLPL,dataGLPLAcctIDs=$C22),(startDates&gt;=BB$4)*(endDates&lt;=BB$5)))</f>
        <v>0</v>
      </c>
      <c r="BC22" s="346" cm="1">
        <f t="array" ref="BC22">SUM(_xlfn._xlws.FILTER(_xlfn._xlws.FILTER(dataGLPL,dataGLPLAcctIDs=$C22),(startDates&gt;=BC$4)*(endDates&lt;=BC$5)))</f>
        <v>0</v>
      </c>
      <c r="BD22" s="346" cm="1">
        <f t="array" ref="BD22">SUM(_xlfn._xlws.FILTER(_xlfn._xlws.FILTER(dataGLPL,dataGLPLAcctIDs=$C22),(startDates&gt;=BD$4)*(endDates&lt;=BD$5)))</f>
        <v>0</v>
      </c>
      <c r="BE22" s="346" cm="1">
        <f t="array" ref="BE22">SUM(_xlfn._xlws.FILTER(_xlfn._xlws.FILTER(dataGLPL,dataGLPLAcctIDs=$C22),(startDates&gt;=BE$4)*(endDates&lt;=BE$5)))</f>
        <v>0</v>
      </c>
      <c r="BF22" s="346" cm="1">
        <f t="array" ref="BF22">SUM(_xlfn._xlws.FILTER(_xlfn._xlws.FILTER(dataGLPL,dataGLPLAcctIDs=$C22),(startDates&gt;=BF$4)*(endDates&lt;=BF$5)))</f>
        <v>0</v>
      </c>
      <c r="BG22" s="346" cm="1">
        <f t="array" ref="BG22">SUM(_xlfn._xlws.FILTER(_xlfn._xlws.FILTER(dataGLPL,dataGLPLAcctIDs=$C22),(startDates&gt;=BG$4)*(endDates&lt;=BG$5)))</f>
        <v>0</v>
      </c>
      <c r="BH22" s="346" cm="1">
        <f t="array" ref="BH22">SUM(_xlfn._xlws.FILTER(_xlfn._xlws.FILTER(dataGLPL,dataGLPLAcctIDs=$C22),(startDates&gt;=BH$4)*(endDates&lt;=BH$5)))</f>
        <v>0</v>
      </c>
      <c r="BI22" s="346" cm="1">
        <f t="array" ref="BI22">SUM(_xlfn._xlws.FILTER(_xlfn._xlws.FILTER(dataGLPL,dataGLPLAcctIDs=$C22),(startDates&gt;=BI$4)*(endDates&lt;=BI$5)))</f>
        <v>0</v>
      </c>
      <c r="BJ22" s="346" cm="1">
        <f t="array" ref="BJ22">SUM(_xlfn._xlws.FILTER(_xlfn._xlws.FILTER(dataGLPL,dataGLPLAcctIDs=$C22),(startDates&gt;=BJ$4)*(endDates&lt;=BJ$5)))</f>
        <v>0</v>
      </c>
      <c r="BK22" s="346" cm="1">
        <f t="array" ref="BK22">SUM(_xlfn._xlws.FILTER(_xlfn._xlws.FILTER(dataGLPL,dataGLPLAcctIDs=$C22),(startDates&gt;=BK$4)*(endDates&lt;=BK$5)))</f>
        <v>0</v>
      </c>
      <c r="BL22" s="346" cm="1">
        <f t="array" ref="BL22">SUM(_xlfn._xlws.FILTER(_xlfn._xlws.FILTER(dataGLPL,dataGLPLAcctIDs=$C22),(startDates&gt;=BL$4)*(endDates&lt;=BL$5)))</f>
        <v>0</v>
      </c>
      <c r="BM22" s="346" cm="1">
        <f t="array" ref="BM22">SUM(_xlfn._xlws.FILTER(_xlfn._xlws.FILTER(dataGLPL,dataGLPLAcctIDs=$C22),(startDates&gt;=BM$4)*(endDates&lt;=BM$5)))</f>
        <v>0</v>
      </c>
      <c r="BN22" s="346" cm="1">
        <f t="array" ref="BN22">SUM(_xlfn._xlws.FILTER(_xlfn._xlws.FILTER(dataGLPL,dataGLPLAcctIDs=$C22),(startDates&gt;=BN$4)*(endDates&lt;=BN$5)))</f>
        <v>0</v>
      </c>
      <c r="BO22" s="346" cm="1">
        <f t="array" ref="BO22">SUM(_xlfn._xlws.FILTER(_xlfn._xlws.FILTER(dataGLPL,dataGLPLAcctIDs=$C22),(startDates&gt;=BO$4)*(endDates&lt;=BO$5)))</f>
        <v>0</v>
      </c>
      <c r="BP22" s="346" cm="1">
        <f t="array" ref="BP22">SUM(_xlfn._xlws.FILTER(_xlfn._xlws.FILTER(dataGLPL,dataGLPLAcctIDs=$C22),(startDates&gt;=BP$4)*(endDates&lt;=BP$5)))</f>
        <v>0</v>
      </c>
      <c r="BQ22" s="346" cm="1">
        <f t="array" ref="BQ22">SUM(_xlfn._xlws.FILTER(_xlfn._xlws.FILTER(dataGLPL,dataGLPLAcctIDs=$C22),(startDates&gt;=BQ$4)*(endDates&lt;=BQ$5)))</f>
        <v>0</v>
      </c>
      <c r="BR22" s="346" cm="1">
        <f t="array" ref="BR22">SUM(_xlfn._xlws.FILTER(_xlfn._xlws.FILTER(dataGLPL,dataGLPLAcctIDs=$C22),(startDates&gt;=BR$4)*(endDates&lt;=BR$5)))</f>
        <v>0</v>
      </c>
      <c r="BS22" s="346" cm="1">
        <f t="array" ref="BS22">SUM(_xlfn._xlws.FILTER(_xlfn._xlws.FILTER(dataGLPL,dataGLPLAcctIDs=$C22),(startDates&gt;=BS$4)*(endDates&lt;=BS$5)))</f>
        <v>0</v>
      </c>
      <c r="BT22" s="346" cm="1">
        <f t="array" ref="BT22">SUM(_xlfn._xlws.FILTER(_xlfn._xlws.FILTER(dataGLPL,dataGLPLAcctIDs=$C22),(startDates&gt;=BT$4)*(endDates&lt;=BT$5)))</f>
        <v>0</v>
      </c>
      <c r="BU22" s="346" cm="1">
        <f t="array" ref="BU22">SUM(_xlfn._xlws.FILTER(_xlfn._xlws.FILTER(dataGLPL,dataGLPLAcctIDs=$C22),(startDates&gt;=BU$4)*(endDates&lt;=BU$5)))</f>
        <v>0</v>
      </c>
      <c r="BV22" s="346" cm="1">
        <f t="array" ref="BV22">SUM(_xlfn._xlws.FILTER(_xlfn._xlws.FILTER(dataGLPL,dataGLPLAcctIDs=$C22),(startDates&gt;=BV$4)*(endDates&lt;=BV$5)))</f>
        <v>0</v>
      </c>
      <c r="BW22" s="346" cm="1">
        <f t="array" ref="BW22">SUM(_xlfn._xlws.FILTER(_xlfn._xlws.FILTER(dataGLPL,dataGLPLAcctIDs=$C22),(startDates&gt;=BW$4)*(endDates&lt;=BW$5)))</f>
        <v>0</v>
      </c>
      <c r="BX22" s="346" cm="1">
        <f t="array" ref="BX22">SUM(_xlfn._xlws.FILTER(_xlfn._xlws.FILTER(dataGLPL,dataGLPLAcctIDs=$C22),(startDates&gt;=BX$4)*(endDates&lt;=BX$5)))</f>
        <v>0</v>
      </c>
      <c r="BY22" s="346" cm="1">
        <f t="array" ref="BY22">SUM(_xlfn._xlws.FILTER(_xlfn._xlws.FILTER(dataGLPL,dataGLPLAcctIDs=$C22),(startDates&gt;=BY$4)*(endDates&lt;=BY$5)))</f>
        <v>0</v>
      </c>
    </row>
    <row r="23" spans="1:77" s="201" customFormat="1" ht="21" customHeight="1">
      <c r="A23" s="215"/>
      <c r="B23" s="622" t="s">
        <v>233</v>
      </c>
      <c r="C23" s="343">
        <v>173</v>
      </c>
      <c r="D23" s="215"/>
      <c r="E23" s="216"/>
      <c r="F23" s="347" cm="1">
        <f t="array" ref="F23">SUM(_xlfn._xlws.FILTER(_xlfn._xlws.FILTER(dataGLPL,dataGLPLAcctIDs=$C23),(startDates&gt;=F$4)*(endDates&lt;=F$5)))</f>
        <v>16760</v>
      </c>
      <c r="G23" s="347" cm="1">
        <f t="array" ref="G23">SUM(_xlfn._xlws.FILTER(_xlfn._xlws.FILTER(dataGLPL,dataGLPLAcctIDs=$C23),(startDates&gt;=G$4)*(endDates&lt;=G$5)))</f>
        <v>38365</v>
      </c>
      <c r="H23" s="347" cm="1">
        <f t="array" ref="H23">SUM(_xlfn._xlws.FILTER(_xlfn._xlws.FILTER(dataGLPL,dataGLPLAcctIDs=$C23),(startDates&gt;=H$4)*(endDates&lt;=H$5)))</f>
        <v>65287.538249999998</v>
      </c>
      <c r="I23" s="347" cm="1">
        <f t="array" ref="I23">SUM(_xlfn._xlws.FILTER(_xlfn._xlws.FILTER(dataGLPL,dataGLPLAcctIDs=$C23),(startDates&gt;=I$4)*(endDates&lt;=I$5)))</f>
        <v>85267.550235992996</v>
      </c>
      <c r="J23" s="344"/>
      <c r="K23" s="344"/>
      <c r="L23" s="347" cm="1">
        <f t="array" ref="L23">SUM(_xlfn._xlws.FILTER(_xlfn._xlws.FILTER(dataGLPL,dataGLPLAcctIDs=$C23),(startDates&gt;=L$4)*(endDates&lt;=L$5)))</f>
        <v>3106</v>
      </c>
      <c r="M23" s="347" cm="1">
        <f t="array" ref="M23">SUM(_xlfn._xlws.FILTER(_xlfn._xlws.FILTER(dataGLPL,dataGLPLAcctIDs=$C23),(startDates&gt;=M$4)*(endDates&lt;=M$5)))</f>
        <v>3445</v>
      </c>
      <c r="N23" s="347" cm="1">
        <f t="array" ref="N23">SUM(_xlfn._xlws.FILTER(_xlfn._xlws.FILTER(dataGLPL,dataGLPLAcctIDs=$C23),(startDates&gt;=N$4)*(endDates&lt;=N$5)))</f>
        <v>3818</v>
      </c>
      <c r="O23" s="347" cm="1">
        <f t="array" ref="O23">SUM(_xlfn._xlws.FILTER(_xlfn._xlws.FILTER(dataGLPL,dataGLPLAcctIDs=$C23),(startDates&gt;=O$4)*(endDates&lt;=O$5)))</f>
        <v>6391</v>
      </c>
      <c r="P23" s="347" cm="1">
        <f t="array" ref="P23">SUM(_xlfn._xlws.FILTER(_xlfn._xlws.FILTER(dataGLPL,dataGLPLAcctIDs=$C23),(startDates&gt;=P$4)*(endDates&lt;=P$5)))</f>
        <v>7723</v>
      </c>
      <c r="Q23" s="347" cm="1">
        <f t="array" ref="Q23">SUM(_xlfn._xlws.FILTER(_xlfn._xlws.FILTER(dataGLPL,dataGLPLAcctIDs=$C23),(startDates&gt;=Q$4)*(endDates&lt;=Q$5)))</f>
        <v>8918</v>
      </c>
      <c r="R23" s="347" cm="1">
        <f t="array" ref="R23">SUM(_xlfn._xlws.FILTER(_xlfn._xlws.FILTER(dataGLPL,dataGLPLAcctIDs=$C23),(startDates&gt;=R$4)*(endDates&lt;=R$5)))</f>
        <v>10418</v>
      </c>
      <c r="S23" s="347" cm="1">
        <f t="array" ref="S23">SUM(_xlfn._xlws.FILTER(_xlfn._xlws.FILTER(dataGLPL,dataGLPLAcctIDs=$C23),(startDates&gt;=S$4)*(endDates&lt;=S$5)))</f>
        <v>11306</v>
      </c>
      <c r="T23" s="347" cm="1">
        <f t="array" ref="T23">SUM(_xlfn._xlws.FILTER(_xlfn._xlws.FILTER(dataGLPL,dataGLPLAcctIDs=$C23),(startDates&gt;=T$4)*(endDates&lt;=T$5)))</f>
        <v>13087.61</v>
      </c>
      <c r="U23" s="347" cm="1">
        <f t="array" ref="U23">SUM(_xlfn._xlws.FILTER(_xlfn._xlws.FILTER(dataGLPL,dataGLPLAcctIDs=$C23),(startDates&gt;=U$4)*(endDates&lt;=U$5)))</f>
        <v>15150.630000000001</v>
      </c>
      <c r="V23" s="347" cm="1">
        <f t="array" ref="V23">SUM(_xlfn._xlws.FILTER(_xlfn._xlws.FILTER(dataGLPL,dataGLPLAcctIDs=$C23),(startDates&gt;=V$4)*(endDates&lt;=V$5)))</f>
        <v>17539.11</v>
      </c>
      <c r="W23" s="347" cm="1">
        <f t="array" ref="W23">SUM(_xlfn._xlws.FILTER(_xlfn._xlws.FILTER(dataGLPL,dataGLPLAcctIDs=$C23),(startDates&gt;=W$4)*(endDates&lt;=W$5)))</f>
        <v>19510.188249999999</v>
      </c>
      <c r="X23" s="347" cm="1">
        <f t="array" ref="X23">SUM(_xlfn._xlws.FILTER(_xlfn._xlws.FILTER(dataGLPL,dataGLPLAcctIDs=$C23),(startDates&gt;=X$4)*(endDates&lt;=X$5)))</f>
        <v>19913.414165777347</v>
      </c>
      <c r="Y23" s="347" cm="1">
        <f t="array" ref="Y23">SUM(_xlfn._xlws.FILTER(_xlfn._xlws.FILTER(dataGLPL,dataGLPLAcctIDs=$C23),(startDates&gt;=Y$4)*(endDates&lt;=Y$5)))</f>
        <v>20895.856990679709</v>
      </c>
      <c r="Z23" s="347" cm="1">
        <f t="array" ref="Z23">SUM(_xlfn._xlws.FILTER(_xlfn._xlws.FILTER(dataGLPL,dataGLPLAcctIDs=$C23),(startDates&gt;=Z$4)*(endDates&lt;=Z$5)))</f>
        <v>21762.288914907647</v>
      </c>
      <c r="AA23" s="347" cm="1">
        <f t="array" ref="AA23">SUM(_xlfn._xlws.FILTER(_xlfn._xlws.FILTER(dataGLPL,dataGLPLAcctIDs=$C23),(startDates&gt;=AA$4)*(endDates&lt;=AA$5)))</f>
        <v>22695.9901646283</v>
      </c>
      <c r="AB23" s="215"/>
      <c r="AC23" s="344"/>
      <c r="AD23" s="347" cm="1">
        <f t="array" ref="AD23">SUM(_xlfn._xlws.FILTER(_xlfn._xlws.FILTER(dataGLPL,dataGLPLAcctIDs=$C23),(startDates&gt;=AD$4)*(endDates&lt;=AD$5)))</f>
        <v>1000</v>
      </c>
      <c r="AE23" s="347" cm="1">
        <f t="array" ref="AE23">SUM(_xlfn._xlws.FILTER(_xlfn._xlws.FILTER(dataGLPL,dataGLPLAcctIDs=$C23),(startDates&gt;=AE$4)*(endDates&lt;=AE$5)))</f>
        <v>1035</v>
      </c>
      <c r="AF23" s="347" cm="1">
        <f t="array" ref="AF23">SUM(_xlfn._xlws.FILTER(_xlfn._xlws.FILTER(dataGLPL,dataGLPLAcctIDs=$C23),(startDates&gt;=AF$4)*(endDates&lt;=AF$5)))</f>
        <v>1071</v>
      </c>
      <c r="AG23" s="347" cm="1">
        <f t="array" ref="AG23">SUM(_xlfn._xlws.FILTER(_xlfn._xlws.FILTER(dataGLPL,dataGLPLAcctIDs=$C23),(startDates&gt;=AG$4)*(endDates&lt;=AG$5)))</f>
        <v>1109</v>
      </c>
      <c r="AH23" s="347" cm="1">
        <f t="array" ref="AH23">SUM(_xlfn._xlws.FILTER(_xlfn._xlws.FILTER(dataGLPL,dataGLPLAcctIDs=$C23),(startDates&gt;=AH$4)*(endDates&lt;=AH$5)))</f>
        <v>1148</v>
      </c>
      <c r="AI23" s="347" cm="1">
        <f t="array" ref="AI23">SUM(_xlfn._xlws.FILTER(_xlfn._xlws.FILTER(dataGLPL,dataGLPLAcctIDs=$C23),(startDates&gt;=AI$4)*(endDates&lt;=AI$5)))</f>
        <v>1188</v>
      </c>
      <c r="AJ23" s="347" cm="1">
        <f t="array" ref="AJ23">SUM(_xlfn._xlws.FILTER(_xlfn._xlws.FILTER(dataGLPL,dataGLPLAcctIDs=$C23),(startDates&gt;=AJ$4)*(endDates&lt;=AJ$5)))</f>
        <v>1229</v>
      </c>
      <c r="AK23" s="347" cm="1">
        <f t="array" ref="AK23">SUM(_xlfn._xlws.FILTER(_xlfn._xlws.FILTER(dataGLPL,dataGLPLAcctIDs=$C23),(startDates&gt;=AK$4)*(endDates&lt;=AK$5)))</f>
        <v>1272</v>
      </c>
      <c r="AL23" s="347" cm="1">
        <f t="array" ref="AL23">SUM(_xlfn._xlws.FILTER(_xlfn._xlws.FILTER(dataGLPL,dataGLPLAcctIDs=$C23),(startDates&gt;=AL$4)*(endDates&lt;=AL$5)))</f>
        <v>1317</v>
      </c>
      <c r="AM23" s="347" cm="1">
        <f t="array" ref="AM23">SUM(_xlfn._xlws.FILTER(_xlfn._xlws.FILTER(dataGLPL,dataGLPLAcctIDs=$C23),(startDates&gt;=AM$4)*(endDates&lt;=AM$5)))</f>
        <v>1363</v>
      </c>
      <c r="AN23" s="347" cm="1">
        <f t="array" ref="AN23">SUM(_xlfn._xlws.FILTER(_xlfn._xlws.FILTER(dataGLPL,dataGLPLAcctIDs=$C23),(startDates&gt;=AN$4)*(endDates&lt;=AN$5)))</f>
        <v>2218</v>
      </c>
      <c r="AO23" s="347" cm="1">
        <f t="array" ref="AO23">SUM(_xlfn._xlws.FILTER(_xlfn._xlws.FILTER(dataGLPL,dataGLPLAcctIDs=$C23),(startDates&gt;=AO$4)*(endDates&lt;=AO$5)))</f>
        <v>2810</v>
      </c>
      <c r="AP23" s="347" cm="1">
        <f t="array" ref="AP23">SUM(_xlfn._xlws.FILTER(_xlfn._xlws.FILTER(dataGLPL,dataGLPLAcctIDs=$C23),(startDates&gt;=AP$4)*(endDates&lt;=AP$5)))</f>
        <v>2328</v>
      </c>
      <c r="AQ23" s="347" cm="1">
        <f t="array" ref="AQ23">SUM(_xlfn._xlws.FILTER(_xlfn._xlws.FILTER(dataGLPL,dataGLPLAcctIDs=$C23),(startDates&gt;=AQ$4)*(endDates&lt;=AQ$5)))</f>
        <v>2950</v>
      </c>
      <c r="AR23" s="347" cm="1">
        <f t="array" ref="AR23">SUM(_xlfn._xlws.FILTER(_xlfn._xlws.FILTER(dataGLPL,dataGLPLAcctIDs=$C23),(startDates&gt;=AR$4)*(endDates&lt;=AR$5)))</f>
        <v>2445</v>
      </c>
      <c r="AS23" s="347" cm="1">
        <f t="array" ref="AS23">SUM(_xlfn._xlws.FILTER(_xlfn._xlws.FILTER(dataGLPL,dataGLPLAcctIDs=$C23),(startDates&gt;=AS$4)*(endDates&lt;=AS$5)))</f>
        <v>3098</v>
      </c>
      <c r="AT23" s="347" cm="1">
        <f t="array" ref="AT23">SUM(_xlfn._xlws.FILTER(_xlfn._xlws.FILTER(dataGLPL,dataGLPLAcctIDs=$C23),(startDates&gt;=AT$4)*(endDates&lt;=AT$5)))</f>
        <v>2567</v>
      </c>
      <c r="AU23" s="347" cm="1">
        <f t="array" ref="AU23">SUM(_xlfn._xlws.FILTER(_xlfn._xlws.FILTER(dataGLPL,dataGLPLAcctIDs=$C23),(startDates&gt;=AU$4)*(endDates&lt;=AU$5)))</f>
        <v>3253</v>
      </c>
      <c r="AV23" s="347" cm="1">
        <f t="array" ref="AV23">SUM(_xlfn._xlws.FILTER(_xlfn._xlws.FILTER(dataGLPL,dataGLPLAcctIDs=$C23),(startDates&gt;=AV$4)*(endDates&lt;=AV$5)))</f>
        <v>3416</v>
      </c>
      <c r="AW23" s="347" cm="1">
        <f t="array" ref="AW23">SUM(_xlfn._xlws.FILTER(_xlfn._xlws.FILTER(dataGLPL,dataGLPLAcctIDs=$C23),(startDates&gt;=AW$4)*(endDates&lt;=AW$5)))</f>
        <v>3416</v>
      </c>
      <c r="AX23" s="347" cm="1">
        <f t="array" ref="AX23">SUM(_xlfn._xlws.FILTER(_xlfn._xlws.FILTER(dataGLPL,dataGLPLAcctIDs=$C23),(startDates&gt;=AX$4)*(endDates&lt;=AX$5)))</f>
        <v>3586</v>
      </c>
      <c r="AY23" s="347" cm="1">
        <f t="array" ref="AY23">SUM(_xlfn._xlws.FILTER(_xlfn._xlws.FILTER(dataGLPL,dataGLPLAcctIDs=$C23),(startDates&gt;=AY$4)*(endDates&lt;=AY$5)))</f>
        <v>3586</v>
      </c>
      <c r="AZ23" s="347" cm="1">
        <f t="array" ref="AZ23">SUM(_xlfn._xlws.FILTER(_xlfn._xlws.FILTER(dataGLPL,dataGLPLAcctIDs=$C23),(startDates&gt;=AZ$4)*(endDates&lt;=AZ$5)))</f>
        <v>3766</v>
      </c>
      <c r="BA23" s="347" cm="1">
        <f t="array" ref="BA23">SUM(_xlfn._xlws.FILTER(_xlfn._xlws.FILTER(dataGLPL,dataGLPLAcctIDs=$C23),(startDates&gt;=BA$4)*(endDates&lt;=BA$5)))</f>
        <v>3954</v>
      </c>
      <c r="BB23" s="347" cm="1">
        <f t="array" ref="BB23">SUM(_xlfn._xlws.FILTER(_xlfn._xlws.FILTER(dataGLPL,dataGLPLAcctIDs=$C23),(startDates&gt;=BB$4)*(endDates&lt;=BB$5)))</f>
        <v>4151.6099999999997</v>
      </c>
      <c r="BC23" s="347" cm="1">
        <f t="array" ref="BC23">SUM(_xlfn._xlws.FILTER(_xlfn._xlws.FILTER(dataGLPL,dataGLPLAcctIDs=$C23),(startDates&gt;=BC$4)*(endDates&lt;=BC$5)))</f>
        <v>4359</v>
      </c>
      <c r="BD23" s="347" cm="1">
        <f t="array" ref="BD23">SUM(_xlfn._xlws.FILTER(_xlfn._xlws.FILTER(dataGLPL,dataGLPLAcctIDs=$C23),(startDates&gt;=BD$4)*(endDates&lt;=BD$5)))</f>
        <v>4577</v>
      </c>
      <c r="BE23" s="347" cm="1">
        <f t="array" ref="BE23">SUM(_xlfn._xlws.FILTER(_xlfn._xlws.FILTER(dataGLPL,dataGLPLAcctIDs=$C23),(startDates&gt;=BE$4)*(endDates&lt;=BE$5)))</f>
        <v>4806</v>
      </c>
      <c r="BF23" s="347" cm="1">
        <f t="array" ref="BF23">SUM(_xlfn._xlws.FILTER(_xlfn._xlws.FILTER(dataGLPL,dataGLPLAcctIDs=$C23),(startDates&gt;=BF$4)*(endDates&lt;=BF$5)))</f>
        <v>5046</v>
      </c>
      <c r="BG23" s="347" cm="1">
        <f t="array" ref="BG23">SUM(_xlfn._xlws.FILTER(_xlfn._xlws.FILTER(dataGLPL,dataGLPLAcctIDs=$C23),(startDates&gt;=BG$4)*(endDates&lt;=BG$5)))</f>
        <v>5298.63</v>
      </c>
      <c r="BH23" s="347" cm="1">
        <f t="array" ref="BH23">SUM(_xlfn._xlws.FILTER(_xlfn._xlws.FILTER(dataGLPL,dataGLPLAcctIDs=$C23),(startDates&gt;=BH$4)*(endDates&lt;=BH$5)))</f>
        <v>5563.56</v>
      </c>
      <c r="BI23" s="347" cm="1">
        <f t="array" ref="BI23">SUM(_xlfn._xlws.FILTER(_xlfn._xlws.FILTER(dataGLPL,dataGLPLAcctIDs=$C23),(startDates&gt;=BI$4)*(endDates&lt;=BI$5)))</f>
        <v>5841.73</v>
      </c>
      <c r="BJ23" s="347" cm="1">
        <f t="array" ref="BJ23">SUM(_xlfn._xlws.FILTER(_xlfn._xlws.FILTER(dataGLPL,dataGLPLAcctIDs=$C23),(startDates&gt;=BJ$4)*(endDates&lt;=BJ$5)))</f>
        <v>6133.82</v>
      </c>
      <c r="BK23" s="347" cm="1">
        <f t="array" ref="BK23">SUM(_xlfn._xlws.FILTER(_xlfn._xlws.FILTER(dataGLPL,dataGLPLAcctIDs=$C23),(startDates&gt;=BK$4)*(endDates&lt;=BK$5)))</f>
        <v>6440.51</v>
      </c>
      <c r="BL23" s="347" cm="1">
        <f t="array" ref="BL23">SUM(_xlfn._xlws.FILTER(_xlfn._xlws.FILTER(dataGLPL,dataGLPLAcctIDs=$C23),(startDates&gt;=BL$4)*(endDates&lt;=BL$5)))</f>
        <v>6762.54</v>
      </c>
      <c r="BM23" s="347" cm="1">
        <f t="array" ref="BM23">SUM(_xlfn._xlws.FILTER(_xlfn._xlws.FILTER(dataGLPL,dataGLPLAcctIDs=$C23),(startDates&gt;=BM$4)*(endDates&lt;=BM$5)))</f>
        <v>6307.13825</v>
      </c>
      <c r="BN23" s="347" cm="1">
        <f t="array" ref="BN23">SUM(_xlfn._xlws.FILTER(_xlfn._xlws.FILTER(dataGLPL,dataGLPLAcctIDs=$C23),(startDates&gt;=BN$4)*(endDates&lt;=BN$5)))</f>
        <v>6483.6271937500014</v>
      </c>
      <c r="BO23" s="347" cm="1">
        <f t="array" ref="BO23">SUM(_xlfn._xlws.FILTER(_xlfn._xlws.FILTER(dataGLPL,dataGLPLAcctIDs=$C23),(startDates&gt;=BO$4)*(endDates&lt;=BO$5)))</f>
        <v>6644.6389526562507</v>
      </c>
      <c r="BP23" s="347" cm="1">
        <f t="array" ref="BP23">SUM(_xlfn._xlws.FILTER(_xlfn._xlws.FILTER(dataGLPL,dataGLPLAcctIDs=$C23),(startDates&gt;=BP$4)*(endDates&lt;=BP$5)))</f>
        <v>6785.148019371095</v>
      </c>
      <c r="BQ23" s="347" cm="1">
        <f t="array" ref="BQ23">SUM(_xlfn._xlws.FILTER(_xlfn._xlws.FILTER(dataGLPL,dataGLPLAcctIDs=$C23),(startDates&gt;=BQ$4)*(endDates&lt;=BQ$5)))</f>
        <v>6899.1304227610372</v>
      </c>
      <c r="BR23" s="347" cm="1">
        <f t="array" ref="BR23">SUM(_xlfn._xlws.FILTER(_xlfn._xlws.FILTER(dataGLPL,dataGLPLAcctIDs=$C23),(startDates&gt;=BR$4)*(endDates&lt;=BR$5)))</f>
        <v>6979.3889967442183</v>
      </c>
      <c r="BS23" s="347" cm="1">
        <f t="array" ref="BS23">SUM(_xlfn._xlws.FILTER(_xlfn._xlws.FILTER(dataGLPL,dataGLPLAcctIDs=$C23),(startDates&gt;=BS$4)*(endDates&lt;=BS$5)))</f>
        <v>7017.3375711744548</v>
      </c>
      <c r="BT23" s="347" cm="1">
        <f t="array" ref="BT23">SUM(_xlfn._xlws.FILTER(_xlfn._xlws.FILTER(dataGLPL,dataGLPLAcctIDs=$C23),(startDates&gt;=BT$4)*(endDates&lt;=BT$5)))</f>
        <v>7141.6224523799856</v>
      </c>
      <c r="BU23" s="347" cm="1">
        <f t="array" ref="BU23">SUM(_xlfn._xlws.FILTER(_xlfn._xlws.FILTER(dataGLPL,dataGLPLAcctIDs=$C23),(startDates&gt;=BU$4)*(endDates&lt;=BU$5)))</f>
        <v>7256.7716226402317</v>
      </c>
      <c r="BV23" s="347" cm="1">
        <f t="array" ref="BV23">SUM(_xlfn._xlws.FILTER(_xlfn._xlws.FILTER(dataGLPL,dataGLPLAcctIDs=$C23),(startDates&gt;=BV$4)*(endDates&lt;=BV$5)))</f>
        <v>7363.89483988743</v>
      </c>
      <c r="BW23" s="347" cm="1">
        <f t="array" ref="BW23">SUM(_xlfn._xlws.FILTER(_xlfn._xlws.FILTER(dataGLPL,dataGLPLAcctIDs=$C23),(startDates&gt;=BW$4)*(endDates&lt;=BW$5)))</f>
        <v>7465.1755334777872</v>
      </c>
      <c r="BX23" s="347" cm="1">
        <f t="array" ref="BX23">SUM(_xlfn._xlws.FILTER(_xlfn._xlws.FILTER(dataGLPL,dataGLPLAcctIDs=$C23),(startDates&gt;=BX$4)*(endDates&lt;=BX$5)))</f>
        <v>7564.233427853218</v>
      </c>
      <c r="BY23" s="347" cm="1">
        <f t="array" ref="BY23">SUM(_xlfn._xlws.FILTER(_xlfn._xlws.FILTER(dataGLPL,dataGLPLAcctIDs=$C23),(startDates&gt;=BY$4)*(endDates&lt;=BY$5)))</f>
        <v>7666.5812032972935</v>
      </c>
    </row>
    <row r="24" spans="1:77" s="201" customFormat="1" ht="21" customHeight="1">
      <c r="A24" s="215"/>
      <c r="B24" s="622" t="s">
        <v>234</v>
      </c>
      <c r="C24" s="343">
        <v>174</v>
      </c>
      <c r="D24" s="215"/>
      <c r="E24" s="216"/>
      <c r="F24" s="347" cm="1">
        <f t="array" ref="F24">SUM(_xlfn._xlws.FILTER(_xlfn._xlws.FILTER(dataGLPL,dataGLPLAcctIDs=$C24),(startDates&gt;=F$4)*(endDates&lt;=F$5)))</f>
        <v>0</v>
      </c>
      <c r="G24" s="347" cm="1">
        <f t="array" ref="G24">SUM(_xlfn._xlws.FILTER(_xlfn._xlws.FILTER(dataGLPL,dataGLPLAcctIDs=$C24),(startDates&gt;=G$4)*(endDates&lt;=G$5)))</f>
        <v>0</v>
      </c>
      <c r="H24" s="347" cm="1">
        <f t="array" ref="H24">SUM(_xlfn._xlws.FILTER(_xlfn._xlws.FILTER(dataGLPL,dataGLPLAcctIDs=$C24),(startDates&gt;=H$4)*(endDates&lt;=H$5)))</f>
        <v>587.5</v>
      </c>
      <c r="I24" s="347" cm="1">
        <f t="array" ref="I24">SUM(_xlfn._xlws.FILTER(_xlfn._xlws.FILTER(dataGLPL,dataGLPLAcctIDs=$C24),(startDates&gt;=I$4)*(endDates&lt;=I$5)))</f>
        <v>1022.067997846225</v>
      </c>
      <c r="J24" s="344"/>
      <c r="K24" s="344"/>
      <c r="L24" s="347" cm="1">
        <f t="array" ref="L24">SUM(_xlfn._xlws.FILTER(_xlfn._xlws.FILTER(dataGLPL,dataGLPLAcctIDs=$C24),(startDates&gt;=L$4)*(endDates&lt;=L$5)))</f>
        <v>0</v>
      </c>
      <c r="M24" s="347" cm="1">
        <f t="array" ref="M24">SUM(_xlfn._xlws.FILTER(_xlfn._xlws.FILTER(dataGLPL,dataGLPLAcctIDs=$C24),(startDates&gt;=M$4)*(endDates&lt;=M$5)))</f>
        <v>0</v>
      </c>
      <c r="N24" s="347" cm="1">
        <f t="array" ref="N24">SUM(_xlfn._xlws.FILTER(_xlfn._xlws.FILTER(dataGLPL,dataGLPLAcctIDs=$C24),(startDates&gt;=N$4)*(endDates&lt;=N$5)))</f>
        <v>0</v>
      </c>
      <c r="O24" s="347" cm="1">
        <f t="array" ref="O24">SUM(_xlfn._xlws.FILTER(_xlfn._xlws.FILTER(dataGLPL,dataGLPLAcctIDs=$C24),(startDates&gt;=O$4)*(endDates&lt;=O$5)))</f>
        <v>0</v>
      </c>
      <c r="P24" s="347" cm="1">
        <f t="array" ref="P24">SUM(_xlfn._xlws.FILTER(_xlfn._xlws.FILTER(dataGLPL,dataGLPLAcctIDs=$C24),(startDates&gt;=P$4)*(endDates&lt;=P$5)))</f>
        <v>0</v>
      </c>
      <c r="Q24" s="347" cm="1">
        <f t="array" ref="Q24">SUM(_xlfn._xlws.FILTER(_xlfn._xlws.FILTER(dataGLPL,dataGLPLAcctIDs=$C24),(startDates&gt;=Q$4)*(endDates&lt;=Q$5)))</f>
        <v>0</v>
      </c>
      <c r="R24" s="347" cm="1">
        <f t="array" ref="R24">SUM(_xlfn._xlws.FILTER(_xlfn._xlws.FILTER(dataGLPL,dataGLPLAcctIDs=$C24),(startDates&gt;=R$4)*(endDates&lt;=R$5)))</f>
        <v>0</v>
      </c>
      <c r="S24" s="347" cm="1">
        <f t="array" ref="S24">SUM(_xlfn._xlws.FILTER(_xlfn._xlws.FILTER(dataGLPL,dataGLPLAcctIDs=$C24),(startDates&gt;=S$4)*(endDates&lt;=S$5)))</f>
        <v>0</v>
      </c>
      <c r="T24" s="347" cm="1">
        <f t="array" ref="T24">SUM(_xlfn._xlws.FILTER(_xlfn._xlws.FILTER(dataGLPL,dataGLPLAcctIDs=$C24),(startDates&gt;=T$4)*(endDates&lt;=T$5)))</f>
        <v>0</v>
      </c>
      <c r="U24" s="347" cm="1">
        <f t="array" ref="U24">SUM(_xlfn._xlws.FILTER(_xlfn._xlws.FILTER(dataGLPL,dataGLPLAcctIDs=$C24),(startDates&gt;=U$4)*(endDates&lt;=U$5)))</f>
        <v>0</v>
      </c>
      <c r="V24" s="347" cm="1">
        <f t="array" ref="V24">SUM(_xlfn._xlws.FILTER(_xlfn._xlws.FILTER(dataGLPL,dataGLPLAcctIDs=$C24),(startDates&gt;=V$4)*(endDates&lt;=V$5)))</f>
        <v>500</v>
      </c>
      <c r="W24" s="347" cm="1">
        <f t="array" ref="W24">SUM(_xlfn._xlws.FILTER(_xlfn._xlws.FILTER(dataGLPL,dataGLPLAcctIDs=$C24),(startDates&gt;=W$4)*(endDates&lt;=W$5)))</f>
        <v>87.5</v>
      </c>
      <c r="X24" s="347" cm="1">
        <f t="array" ref="X24">SUM(_xlfn._xlws.FILTER(_xlfn._xlws.FILTER(dataGLPL,dataGLPLAcctIDs=$C24),(startDates&gt;=X$4)*(endDates&lt;=X$5)))</f>
        <v>278.06269531250001</v>
      </c>
      <c r="Y24" s="347" cm="1">
        <f t="array" ref="Y24">SUM(_xlfn._xlws.FILTER(_xlfn._xlws.FILTER(dataGLPL,dataGLPLAcctIDs=$C24),(startDates&gt;=Y$4)*(endDates&lt;=Y$5)))</f>
        <v>227.46567524108889</v>
      </c>
      <c r="Z24" s="347" cm="1">
        <f t="array" ref="Z24">SUM(_xlfn._xlws.FILTER(_xlfn._xlws.FILTER(dataGLPL,dataGLPLAcctIDs=$C24),(startDates&gt;=Z$4)*(endDates&lt;=Z$5)))</f>
        <v>254.2833015711808</v>
      </c>
      <c r="AA24" s="347" cm="1">
        <f t="array" ref="AA24">SUM(_xlfn._xlws.FILTER(_xlfn._xlws.FILTER(dataGLPL,dataGLPLAcctIDs=$C24),(startDates&gt;=AA$4)*(endDates&lt;=AA$5)))</f>
        <v>262.25632572145531</v>
      </c>
      <c r="AB24" s="215"/>
      <c r="AC24" s="344"/>
      <c r="AD24" s="347" cm="1">
        <f t="array" ref="AD24">SUM(_xlfn._xlws.FILTER(_xlfn._xlws.FILTER(dataGLPL,dataGLPLAcctIDs=$C24),(startDates&gt;=AD$4)*(endDates&lt;=AD$5)))</f>
        <v>0</v>
      </c>
      <c r="AE24" s="347" cm="1">
        <f t="array" ref="AE24">SUM(_xlfn._xlws.FILTER(_xlfn._xlws.FILTER(dataGLPL,dataGLPLAcctIDs=$C24),(startDates&gt;=AE$4)*(endDates&lt;=AE$5)))</f>
        <v>0</v>
      </c>
      <c r="AF24" s="347" cm="1">
        <f t="array" ref="AF24">SUM(_xlfn._xlws.FILTER(_xlfn._xlws.FILTER(dataGLPL,dataGLPLAcctIDs=$C24),(startDates&gt;=AF$4)*(endDates&lt;=AF$5)))</f>
        <v>0</v>
      </c>
      <c r="AG24" s="347" cm="1">
        <f t="array" ref="AG24">SUM(_xlfn._xlws.FILTER(_xlfn._xlws.FILTER(dataGLPL,dataGLPLAcctIDs=$C24),(startDates&gt;=AG$4)*(endDates&lt;=AG$5)))</f>
        <v>0</v>
      </c>
      <c r="AH24" s="347" cm="1">
        <f t="array" ref="AH24">SUM(_xlfn._xlws.FILTER(_xlfn._xlws.FILTER(dataGLPL,dataGLPLAcctIDs=$C24),(startDates&gt;=AH$4)*(endDates&lt;=AH$5)))</f>
        <v>0</v>
      </c>
      <c r="AI24" s="347" cm="1">
        <f t="array" ref="AI24">SUM(_xlfn._xlws.FILTER(_xlfn._xlws.FILTER(dataGLPL,dataGLPLAcctIDs=$C24),(startDates&gt;=AI$4)*(endDates&lt;=AI$5)))</f>
        <v>0</v>
      </c>
      <c r="AJ24" s="347" cm="1">
        <f t="array" ref="AJ24">SUM(_xlfn._xlws.FILTER(_xlfn._xlws.FILTER(dataGLPL,dataGLPLAcctIDs=$C24),(startDates&gt;=AJ$4)*(endDates&lt;=AJ$5)))</f>
        <v>0</v>
      </c>
      <c r="AK24" s="347" cm="1">
        <f t="array" ref="AK24">SUM(_xlfn._xlws.FILTER(_xlfn._xlws.FILTER(dataGLPL,dataGLPLAcctIDs=$C24),(startDates&gt;=AK$4)*(endDates&lt;=AK$5)))</f>
        <v>0</v>
      </c>
      <c r="AL24" s="347" cm="1">
        <f t="array" ref="AL24">SUM(_xlfn._xlws.FILTER(_xlfn._xlws.FILTER(dataGLPL,dataGLPLAcctIDs=$C24),(startDates&gt;=AL$4)*(endDates&lt;=AL$5)))</f>
        <v>0</v>
      </c>
      <c r="AM24" s="347" cm="1">
        <f t="array" ref="AM24">SUM(_xlfn._xlws.FILTER(_xlfn._xlws.FILTER(dataGLPL,dataGLPLAcctIDs=$C24),(startDates&gt;=AM$4)*(endDates&lt;=AM$5)))</f>
        <v>0</v>
      </c>
      <c r="AN24" s="347" cm="1">
        <f t="array" ref="AN24">SUM(_xlfn._xlws.FILTER(_xlfn._xlws.FILTER(dataGLPL,dataGLPLAcctIDs=$C24),(startDates&gt;=AN$4)*(endDates&lt;=AN$5)))</f>
        <v>0</v>
      </c>
      <c r="AO24" s="347" cm="1">
        <f t="array" ref="AO24">SUM(_xlfn._xlws.FILTER(_xlfn._xlws.FILTER(dataGLPL,dataGLPLAcctIDs=$C24),(startDates&gt;=AO$4)*(endDates&lt;=AO$5)))</f>
        <v>0</v>
      </c>
      <c r="AP24" s="347" cm="1">
        <f t="array" ref="AP24">SUM(_xlfn._xlws.FILTER(_xlfn._xlws.FILTER(dataGLPL,dataGLPLAcctIDs=$C24),(startDates&gt;=AP$4)*(endDates&lt;=AP$5)))</f>
        <v>0</v>
      </c>
      <c r="AQ24" s="347" cm="1">
        <f t="array" ref="AQ24">SUM(_xlfn._xlws.FILTER(_xlfn._xlws.FILTER(dataGLPL,dataGLPLAcctIDs=$C24),(startDates&gt;=AQ$4)*(endDates&lt;=AQ$5)))</f>
        <v>0</v>
      </c>
      <c r="AR24" s="347" cm="1">
        <f t="array" ref="AR24">SUM(_xlfn._xlws.FILTER(_xlfn._xlws.FILTER(dataGLPL,dataGLPLAcctIDs=$C24),(startDates&gt;=AR$4)*(endDates&lt;=AR$5)))</f>
        <v>0</v>
      </c>
      <c r="AS24" s="347" cm="1">
        <f t="array" ref="AS24">SUM(_xlfn._xlws.FILTER(_xlfn._xlws.FILTER(dataGLPL,dataGLPLAcctIDs=$C24),(startDates&gt;=AS$4)*(endDates&lt;=AS$5)))</f>
        <v>0</v>
      </c>
      <c r="AT24" s="347" cm="1">
        <f t="array" ref="AT24">SUM(_xlfn._xlws.FILTER(_xlfn._xlws.FILTER(dataGLPL,dataGLPLAcctIDs=$C24),(startDates&gt;=AT$4)*(endDates&lt;=AT$5)))</f>
        <v>0</v>
      </c>
      <c r="AU24" s="347" cm="1">
        <f t="array" ref="AU24">SUM(_xlfn._xlws.FILTER(_xlfn._xlws.FILTER(dataGLPL,dataGLPLAcctIDs=$C24),(startDates&gt;=AU$4)*(endDates&lt;=AU$5)))</f>
        <v>0</v>
      </c>
      <c r="AV24" s="347" cm="1">
        <f t="array" ref="AV24">SUM(_xlfn._xlws.FILTER(_xlfn._xlws.FILTER(dataGLPL,dataGLPLAcctIDs=$C24),(startDates&gt;=AV$4)*(endDates&lt;=AV$5)))</f>
        <v>0</v>
      </c>
      <c r="AW24" s="347" cm="1">
        <f t="array" ref="AW24">SUM(_xlfn._xlws.FILTER(_xlfn._xlws.FILTER(dataGLPL,dataGLPLAcctIDs=$C24),(startDates&gt;=AW$4)*(endDates&lt;=AW$5)))</f>
        <v>0</v>
      </c>
      <c r="AX24" s="347" cm="1">
        <f t="array" ref="AX24">SUM(_xlfn._xlws.FILTER(_xlfn._xlws.FILTER(dataGLPL,dataGLPLAcctIDs=$C24),(startDates&gt;=AX$4)*(endDates&lt;=AX$5)))</f>
        <v>0</v>
      </c>
      <c r="AY24" s="347" cm="1">
        <f t="array" ref="AY24">SUM(_xlfn._xlws.FILTER(_xlfn._xlws.FILTER(dataGLPL,dataGLPLAcctIDs=$C24),(startDates&gt;=AY$4)*(endDates&lt;=AY$5)))</f>
        <v>0</v>
      </c>
      <c r="AZ24" s="347" cm="1">
        <f t="array" ref="AZ24">SUM(_xlfn._xlws.FILTER(_xlfn._xlws.FILTER(dataGLPL,dataGLPLAcctIDs=$C24),(startDates&gt;=AZ$4)*(endDates&lt;=AZ$5)))</f>
        <v>0</v>
      </c>
      <c r="BA24" s="347" cm="1">
        <f t="array" ref="BA24">SUM(_xlfn._xlws.FILTER(_xlfn._xlws.FILTER(dataGLPL,dataGLPLAcctIDs=$C24),(startDates&gt;=BA$4)*(endDates&lt;=BA$5)))</f>
        <v>0</v>
      </c>
      <c r="BB24" s="347" cm="1">
        <f t="array" ref="BB24">SUM(_xlfn._xlws.FILTER(_xlfn._xlws.FILTER(dataGLPL,dataGLPLAcctIDs=$C24),(startDates&gt;=BB$4)*(endDates&lt;=BB$5)))</f>
        <v>0</v>
      </c>
      <c r="BC24" s="347" cm="1">
        <f t="array" ref="BC24">SUM(_xlfn._xlws.FILTER(_xlfn._xlws.FILTER(dataGLPL,dataGLPLAcctIDs=$C24),(startDates&gt;=BC$4)*(endDates&lt;=BC$5)))</f>
        <v>0</v>
      </c>
      <c r="BD24" s="347" cm="1">
        <f t="array" ref="BD24">SUM(_xlfn._xlws.FILTER(_xlfn._xlws.FILTER(dataGLPL,dataGLPLAcctIDs=$C24),(startDates&gt;=BD$4)*(endDates&lt;=BD$5)))</f>
        <v>0</v>
      </c>
      <c r="BE24" s="347" cm="1">
        <f t="array" ref="BE24">SUM(_xlfn._xlws.FILTER(_xlfn._xlws.FILTER(dataGLPL,dataGLPLAcctIDs=$C24),(startDates&gt;=BE$4)*(endDates&lt;=BE$5)))</f>
        <v>0</v>
      </c>
      <c r="BF24" s="347" cm="1">
        <f t="array" ref="BF24">SUM(_xlfn._xlws.FILTER(_xlfn._xlws.FILTER(dataGLPL,dataGLPLAcctIDs=$C24),(startDates&gt;=BF$4)*(endDates&lt;=BF$5)))</f>
        <v>0</v>
      </c>
      <c r="BG24" s="347" cm="1">
        <f t="array" ref="BG24">SUM(_xlfn._xlws.FILTER(_xlfn._xlws.FILTER(dataGLPL,dataGLPLAcctIDs=$C24),(startDates&gt;=BG$4)*(endDates&lt;=BG$5)))</f>
        <v>0</v>
      </c>
      <c r="BH24" s="347" cm="1">
        <f t="array" ref="BH24">SUM(_xlfn._xlws.FILTER(_xlfn._xlws.FILTER(dataGLPL,dataGLPLAcctIDs=$C24),(startDates&gt;=BH$4)*(endDates&lt;=BH$5)))</f>
        <v>0</v>
      </c>
      <c r="BI24" s="347" cm="1">
        <f t="array" ref="BI24">SUM(_xlfn._xlws.FILTER(_xlfn._xlws.FILTER(dataGLPL,dataGLPLAcctIDs=$C24),(startDates&gt;=BI$4)*(endDates&lt;=BI$5)))</f>
        <v>500</v>
      </c>
      <c r="BJ24" s="347" cm="1">
        <f t="array" ref="BJ24">SUM(_xlfn._xlws.FILTER(_xlfn._xlws.FILTER(dataGLPL,dataGLPLAcctIDs=$C24),(startDates&gt;=BJ$4)*(endDates&lt;=BJ$5)))</f>
        <v>0</v>
      </c>
      <c r="BK24" s="347" cm="1">
        <f t="array" ref="BK24">SUM(_xlfn._xlws.FILTER(_xlfn._xlws.FILTER(dataGLPL,dataGLPLAcctIDs=$C24),(startDates&gt;=BK$4)*(endDates&lt;=BK$5)))</f>
        <v>0</v>
      </c>
      <c r="BL24" s="347" cm="1">
        <f t="array" ref="BL24">SUM(_xlfn._xlws.FILTER(_xlfn._xlws.FILTER(dataGLPL,dataGLPLAcctIDs=$C24),(startDates&gt;=BL$4)*(endDates&lt;=BL$5)))</f>
        <v>0</v>
      </c>
      <c r="BM24" s="347" cm="1">
        <f t="array" ref="BM24">SUM(_xlfn._xlws.FILTER(_xlfn._xlws.FILTER(dataGLPL,dataGLPLAcctIDs=$C24),(startDates&gt;=BM$4)*(endDates&lt;=BM$5)))</f>
        <v>87.5</v>
      </c>
      <c r="BN24" s="347" cm="1">
        <f t="array" ref="BN24">SUM(_xlfn._xlws.FILTER(_xlfn._xlws.FILTER(dataGLPL,dataGLPLAcctIDs=$C24),(startDates&gt;=BN$4)*(endDates&lt;=BN$5)))</f>
        <v>102.81250000000001</v>
      </c>
      <c r="BO24" s="347" cm="1">
        <f t="array" ref="BO24">SUM(_xlfn._xlws.FILTER(_xlfn._xlws.FILTER(dataGLPL,dataGLPLAcctIDs=$C24),(startDates&gt;=BO$4)*(endDates&lt;=BO$5)))</f>
        <v>120.8046875</v>
      </c>
      <c r="BP24" s="347" cm="1">
        <f t="array" ref="BP24">SUM(_xlfn._xlws.FILTER(_xlfn._xlws.FILTER(dataGLPL,dataGLPLAcctIDs=$C24),(startDates&gt;=BP$4)*(endDates&lt;=BP$5)))</f>
        <v>54.445507812500004</v>
      </c>
      <c r="BQ24" s="347" cm="1">
        <f t="array" ref="BQ24">SUM(_xlfn._xlws.FILTER(_xlfn._xlws.FILTER(dataGLPL,dataGLPLAcctIDs=$C24),(startDates&gt;=BQ$4)*(endDates&lt;=BQ$5)))</f>
        <v>63.973471679687506</v>
      </c>
      <c r="BR24" s="347" cm="1">
        <f t="array" ref="BR24">SUM(_xlfn._xlws.FILTER(_xlfn._xlws.FILTER(dataGLPL,dataGLPLAcctIDs=$C24),(startDates&gt;=BR$4)*(endDates&lt;=BR$5)))</f>
        <v>75.168829223632827</v>
      </c>
      <c r="BS24" s="347" cm="1">
        <f t="array" ref="BS24">SUM(_xlfn._xlws.FILTER(_xlfn._xlws.FILTER(dataGLPL,dataGLPLAcctIDs=$C24),(startDates&gt;=BS$4)*(endDates&lt;=BS$5)))</f>
        <v>88.323374337768556</v>
      </c>
      <c r="BT24" s="347" cm="1">
        <f t="array" ref="BT24">SUM(_xlfn._xlws.FILTER(_xlfn._xlws.FILTER(dataGLPL,dataGLPLAcctIDs=$C24),(startDates&gt;=BT$4)*(endDates&lt;=BT$5)))</f>
        <v>88.467464846878059</v>
      </c>
      <c r="BU24" s="347" cm="1">
        <f t="array" ref="BU24">SUM(_xlfn._xlws.FILTER(_xlfn._xlws.FILTER(dataGLPL,dataGLPLAcctIDs=$C24),(startDates&gt;=BU$4)*(endDates&lt;=BU$5)))</f>
        <v>85.957083695081721</v>
      </c>
      <c r="BV24" s="347" cm="1">
        <f t="array" ref="BV24">SUM(_xlfn._xlws.FILTER(_xlfn._xlws.FILTER(dataGLPL,dataGLPLAcctIDs=$C24),(startDates&gt;=BV$4)*(endDates&lt;=BV$5)))</f>
        <v>79.85875302922102</v>
      </c>
      <c r="BW24" s="347" cm="1">
        <f t="array" ref="BW24">SUM(_xlfn._xlws.FILTER(_xlfn._xlws.FILTER(dataGLPL,dataGLPLAcctIDs=$C24),(startDates&gt;=BW$4)*(endDates&lt;=BW$5)))</f>
        <v>84.306070942147201</v>
      </c>
      <c r="BX24" s="347" cm="1">
        <f t="array" ref="BX24">SUM(_xlfn._xlws.FILTER(_xlfn._xlws.FILTER(dataGLPL,dataGLPLAcctIDs=$C24),(startDates&gt;=BX$4)*(endDates&lt;=BX$5)))</f>
        <v>87.86427581307764</v>
      </c>
      <c r="BY24" s="347" cm="1">
        <f t="array" ref="BY24">SUM(_xlfn._xlws.FILTER(_xlfn._xlws.FILTER(dataGLPL,dataGLPLAcctIDs=$C24),(startDates&gt;=BY$4)*(endDates&lt;=BY$5)))</f>
        <v>90.085978966230485</v>
      </c>
    </row>
    <row r="25" spans="1:77" s="201" customFormat="1" ht="21" customHeight="1">
      <c r="A25" s="215"/>
      <c r="B25" s="622" t="s">
        <v>235</v>
      </c>
      <c r="C25" s="343">
        <v>175</v>
      </c>
      <c r="D25" s="215"/>
      <c r="E25" s="216"/>
      <c r="F25" s="347" cm="1">
        <f t="array" ref="F25">SUM(_xlfn._xlws.FILTER(_xlfn._xlws.FILTER(dataGLPL,dataGLPLAcctIDs=$C25),(startDates&gt;=F$4)*(endDates&lt;=F$5)))</f>
        <v>24727</v>
      </c>
      <c r="G25" s="347" cm="1">
        <f t="array" ref="G25">SUM(_xlfn._xlws.FILTER(_xlfn._xlws.FILTER(dataGLPL,dataGLPLAcctIDs=$C25),(startDates&gt;=G$4)*(endDates&lt;=G$5)))</f>
        <v>60342</v>
      </c>
      <c r="H25" s="347" cm="1">
        <f t="array" ref="H25">SUM(_xlfn._xlws.FILTER(_xlfn._xlws.FILTER(dataGLPL,dataGLPLAcctIDs=$C25),(startDates&gt;=H$4)*(endDates&lt;=H$5)))</f>
        <v>110417.897</v>
      </c>
      <c r="I25" s="347" cm="1">
        <f t="array" ref="I25">SUM(_xlfn._xlws.FILTER(_xlfn._xlws.FILTER(dataGLPL,dataGLPLAcctIDs=$C25),(startDates&gt;=I$4)*(endDates&lt;=I$5)))</f>
        <v>144207.9420428907</v>
      </c>
      <c r="J25" s="344"/>
      <c r="K25" s="344"/>
      <c r="L25" s="347" cm="1">
        <f t="array" ref="L25">SUM(_xlfn._xlws.FILTER(_xlfn._xlws.FILTER(dataGLPL,dataGLPLAcctIDs=$C25),(startDates&gt;=L$4)*(endDates&lt;=L$5)))</f>
        <v>4660</v>
      </c>
      <c r="M25" s="347" cm="1">
        <f t="array" ref="M25">SUM(_xlfn._xlws.FILTER(_xlfn._xlws.FILTER(dataGLPL,dataGLPLAcctIDs=$C25),(startDates&gt;=M$4)*(endDates&lt;=M$5)))</f>
        <v>5166</v>
      </c>
      <c r="N25" s="347" cm="1">
        <f t="array" ref="N25">SUM(_xlfn._xlws.FILTER(_xlfn._xlws.FILTER(dataGLPL,dataGLPLAcctIDs=$C25),(startDates&gt;=N$4)*(endDates&lt;=N$5)))</f>
        <v>5727</v>
      </c>
      <c r="O25" s="347" cm="1">
        <f t="array" ref="O25">SUM(_xlfn._xlws.FILTER(_xlfn._xlws.FILTER(dataGLPL,dataGLPLAcctIDs=$C25),(startDates&gt;=O$4)*(endDates&lt;=O$5)))</f>
        <v>9174</v>
      </c>
      <c r="P25" s="347" cm="1">
        <f t="array" ref="P25">SUM(_xlfn._xlws.FILTER(_xlfn._xlws.FILTER(dataGLPL,dataGLPLAcctIDs=$C25),(startDates&gt;=P$4)*(endDates&lt;=P$5)))</f>
        <v>10109</v>
      </c>
      <c r="Q25" s="347" cm="1">
        <f t="array" ref="Q25">SUM(_xlfn._xlws.FILTER(_xlfn._xlws.FILTER(dataGLPL,dataGLPLAcctIDs=$C25),(startDates&gt;=Q$4)*(endDates&lt;=Q$5)))</f>
        <v>13493</v>
      </c>
      <c r="R25" s="347" cm="1">
        <f t="array" ref="R25">SUM(_xlfn._xlws.FILTER(_xlfn._xlws.FILTER(dataGLPL,dataGLPLAcctIDs=$C25),(startDates&gt;=R$4)*(endDates&lt;=R$5)))</f>
        <v>17619</v>
      </c>
      <c r="S25" s="347" cm="1">
        <f t="array" ref="S25">SUM(_xlfn._xlws.FILTER(_xlfn._xlws.FILTER(dataGLPL,dataGLPLAcctIDs=$C25),(startDates&gt;=S$4)*(endDates&lt;=S$5)))</f>
        <v>19121</v>
      </c>
      <c r="T25" s="347" cm="1">
        <f t="array" ref="T25">SUM(_xlfn._xlws.FILTER(_xlfn._xlws.FILTER(dataGLPL,dataGLPLAcctIDs=$C25),(startDates&gt;=T$4)*(endDates&lt;=T$5)))</f>
        <v>22134.37</v>
      </c>
      <c r="U25" s="347" cm="1">
        <f t="array" ref="U25">SUM(_xlfn._xlws.FILTER(_xlfn._xlws.FILTER(dataGLPL,dataGLPLAcctIDs=$C25),(startDates&gt;=U$4)*(endDates&lt;=U$5)))</f>
        <v>25624.25</v>
      </c>
      <c r="V25" s="347" cm="1">
        <f t="array" ref="V25">SUM(_xlfn._xlws.FILTER(_xlfn._xlws.FILTER(dataGLPL,dataGLPLAcctIDs=$C25),(startDates&gt;=V$4)*(endDates&lt;=V$5)))</f>
        <v>29662.86</v>
      </c>
      <c r="W25" s="347" cm="1">
        <f t="array" ref="W25">SUM(_xlfn._xlws.FILTER(_xlfn._xlws.FILTER(dataGLPL,dataGLPLAcctIDs=$C25),(startDates&gt;=W$4)*(endDates&lt;=W$5)))</f>
        <v>32996.417000000001</v>
      </c>
      <c r="X25" s="347" cm="1">
        <f t="array" ref="X25">SUM(_xlfn._xlws.FILTER(_xlfn._xlws.FILTER(dataGLPL,dataGLPLAcctIDs=$C25),(startDates&gt;=X$4)*(endDates&lt;=X$5)))</f>
        <v>33678.37594329688</v>
      </c>
      <c r="Y25" s="347" cm="1">
        <f t="array" ref="Y25">SUM(_xlfn._xlws.FILTER(_xlfn._xlws.FILTER(dataGLPL,dataGLPLAcctIDs=$C25),(startDates&gt;=Y$4)*(endDates&lt;=Y$5)))</f>
        <v>35339.920334076749</v>
      </c>
      <c r="Z25" s="347" cm="1">
        <f t="array" ref="Z25">SUM(_xlfn._xlws.FILTER(_xlfn._xlws.FILTER(dataGLPL,dataGLPLAcctIDs=$C25),(startDates&gt;=Z$4)*(endDates&lt;=Z$5)))</f>
        <v>36805.266366747659</v>
      </c>
      <c r="AA25" s="347" cm="1">
        <f t="array" ref="AA25">SUM(_xlfn._xlws.FILTER(_xlfn._xlws.FILTER(dataGLPL,dataGLPLAcctIDs=$C25),(startDates&gt;=AA$4)*(endDates&lt;=AA$5)))</f>
        <v>38384.37939876943</v>
      </c>
      <c r="AB25" s="215"/>
      <c r="AC25" s="344"/>
      <c r="AD25" s="347" cm="1">
        <f t="array" ref="AD25">SUM(_xlfn._xlws.FILTER(_xlfn._xlws.FILTER(dataGLPL,dataGLPLAcctIDs=$C25),(startDates&gt;=AD$4)*(endDates&lt;=AD$5)))</f>
        <v>1500</v>
      </c>
      <c r="AE25" s="347" cm="1">
        <f t="array" ref="AE25">SUM(_xlfn._xlws.FILTER(_xlfn._xlws.FILTER(dataGLPL,dataGLPLAcctIDs=$C25),(startDates&gt;=AE$4)*(endDates&lt;=AE$5)))</f>
        <v>1553</v>
      </c>
      <c r="AF25" s="347" cm="1">
        <f t="array" ref="AF25">SUM(_xlfn._xlws.FILTER(_xlfn._xlws.FILTER(dataGLPL,dataGLPLAcctIDs=$C25),(startDates&gt;=AF$4)*(endDates&lt;=AF$5)))</f>
        <v>1607</v>
      </c>
      <c r="AG25" s="347" cm="1">
        <f t="array" ref="AG25">SUM(_xlfn._xlws.FILTER(_xlfn._xlws.FILTER(dataGLPL,dataGLPLAcctIDs=$C25),(startDates&gt;=AG$4)*(endDates&lt;=AG$5)))</f>
        <v>1663</v>
      </c>
      <c r="AH25" s="347" cm="1">
        <f t="array" ref="AH25">SUM(_xlfn._xlws.FILTER(_xlfn._xlws.FILTER(dataGLPL,dataGLPLAcctIDs=$C25),(startDates&gt;=AH$4)*(endDates&lt;=AH$5)))</f>
        <v>1721</v>
      </c>
      <c r="AI25" s="347" cm="1">
        <f t="array" ref="AI25">SUM(_xlfn._xlws.FILTER(_xlfn._xlws.FILTER(dataGLPL,dataGLPLAcctIDs=$C25),(startDates&gt;=AI$4)*(endDates&lt;=AI$5)))</f>
        <v>1782</v>
      </c>
      <c r="AJ25" s="347" cm="1">
        <f t="array" ref="AJ25">SUM(_xlfn._xlws.FILTER(_xlfn._xlws.FILTER(dataGLPL,dataGLPLAcctIDs=$C25),(startDates&gt;=AJ$4)*(endDates&lt;=AJ$5)))</f>
        <v>1844</v>
      </c>
      <c r="AK25" s="347" cm="1">
        <f t="array" ref="AK25">SUM(_xlfn._xlws.FILTER(_xlfn._xlws.FILTER(dataGLPL,dataGLPLAcctIDs=$C25),(startDates&gt;=AK$4)*(endDates&lt;=AK$5)))</f>
        <v>1908</v>
      </c>
      <c r="AL25" s="347" cm="1">
        <f t="array" ref="AL25">SUM(_xlfn._xlws.FILTER(_xlfn._xlws.FILTER(dataGLPL,dataGLPLAcctIDs=$C25),(startDates&gt;=AL$4)*(endDates&lt;=AL$5)))</f>
        <v>1975</v>
      </c>
      <c r="AM25" s="347" cm="1">
        <f t="array" ref="AM25">SUM(_xlfn._xlws.FILTER(_xlfn._xlws.FILTER(dataGLPL,dataGLPLAcctIDs=$C25),(startDates&gt;=AM$4)*(endDates&lt;=AM$5)))</f>
        <v>2044</v>
      </c>
      <c r="AN25" s="347" cm="1">
        <f t="array" ref="AN25">SUM(_xlfn._xlws.FILTER(_xlfn._xlws.FILTER(dataGLPL,dataGLPLAcctIDs=$C25),(startDates&gt;=AN$4)*(endDates&lt;=AN$5)))</f>
        <v>2378</v>
      </c>
      <c r="AO25" s="347" cm="1">
        <f t="array" ref="AO25">SUM(_xlfn._xlws.FILTER(_xlfn._xlws.FILTER(dataGLPL,dataGLPLAcctIDs=$C25),(startDates&gt;=AO$4)*(endDates&lt;=AO$5)))</f>
        <v>4752</v>
      </c>
      <c r="AP25" s="347" cm="1">
        <f t="array" ref="AP25">SUM(_xlfn._xlws.FILTER(_xlfn._xlws.FILTER(dataGLPL,dataGLPLAcctIDs=$C25),(startDates&gt;=AP$4)*(endDates&lt;=AP$5)))</f>
        <v>2497</v>
      </c>
      <c r="AQ25" s="347" cm="1">
        <f t="array" ref="AQ25">SUM(_xlfn._xlws.FILTER(_xlfn._xlws.FILTER(dataGLPL,dataGLPLAcctIDs=$C25),(startDates&gt;=AQ$4)*(endDates&lt;=AQ$5)))</f>
        <v>4990</v>
      </c>
      <c r="AR25" s="347" cm="1">
        <f t="array" ref="AR25">SUM(_xlfn._xlws.FILTER(_xlfn._xlws.FILTER(dataGLPL,dataGLPLAcctIDs=$C25),(startDates&gt;=AR$4)*(endDates&lt;=AR$5)))</f>
        <v>2622</v>
      </c>
      <c r="AS25" s="347" cm="1">
        <f t="array" ref="AS25">SUM(_xlfn._xlws.FILTER(_xlfn._xlws.FILTER(dataGLPL,dataGLPLAcctIDs=$C25),(startDates&gt;=AS$4)*(endDates&lt;=AS$5)))</f>
        <v>5239</v>
      </c>
      <c r="AT25" s="347" cm="1">
        <f t="array" ref="AT25">SUM(_xlfn._xlws.FILTER(_xlfn._xlws.FILTER(dataGLPL,dataGLPLAcctIDs=$C25),(startDates&gt;=AT$4)*(endDates&lt;=AT$5)))</f>
        <v>2753</v>
      </c>
      <c r="AU25" s="347" cm="1">
        <f t="array" ref="AU25">SUM(_xlfn._xlws.FILTER(_xlfn._xlws.FILTER(dataGLPL,dataGLPLAcctIDs=$C25),(startDates&gt;=AU$4)*(endDates&lt;=AU$5)))</f>
        <v>5501</v>
      </c>
      <c r="AV25" s="347" cm="1">
        <f t="array" ref="AV25">SUM(_xlfn._xlws.FILTER(_xlfn._xlws.FILTER(dataGLPL,dataGLPLAcctIDs=$C25),(startDates&gt;=AV$4)*(endDates&lt;=AV$5)))</f>
        <v>5777</v>
      </c>
      <c r="AW25" s="347" cm="1">
        <f t="array" ref="AW25">SUM(_xlfn._xlws.FILTER(_xlfn._xlws.FILTER(dataGLPL,dataGLPLAcctIDs=$C25),(startDates&gt;=AW$4)*(endDates&lt;=AW$5)))</f>
        <v>5777</v>
      </c>
      <c r="AX25" s="347" cm="1">
        <f t="array" ref="AX25">SUM(_xlfn._xlws.FILTER(_xlfn._xlws.FILTER(dataGLPL,dataGLPLAcctIDs=$C25),(startDates&gt;=AX$4)*(endDates&lt;=AX$5)))</f>
        <v>6065</v>
      </c>
      <c r="AY25" s="347" cm="1">
        <f t="array" ref="AY25">SUM(_xlfn._xlws.FILTER(_xlfn._xlws.FILTER(dataGLPL,dataGLPLAcctIDs=$C25),(startDates&gt;=AY$4)*(endDates&lt;=AY$5)))</f>
        <v>6065</v>
      </c>
      <c r="AZ25" s="347" cm="1">
        <f t="array" ref="AZ25">SUM(_xlfn._xlws.FILTER(_xlfn._xlws.FILTER(dataGLPL,dataGLPLAcctIDs=$C25),(startDates&gt;=AZ$4)*(endDates&lt;=AZ$5)))</f>
        <v>6369</v>
      </c>
      <c r="BA25" s="347" cm="1">
        <f t="array" ref="BA25">SUM(_xlfn._xlws.FILTER(_xlfn._xlws.FILTER(dataGLPL,dataGLPLAcctIDs=$C25),(startDates&gt;=BA$4)*(endDates&lt;=BA$5)))</f>
        <v>6687</v>
      </c>
      <c r="BB25" s="347" cm="1">
        <f t="array" ref="BB25">SUM(_xlfn._xlws.FILTER(_xlfn._xlws.FILTER(dataGLPL,dataGLPLAcctIDs=$C25),(startDates&gt;=BB$4)*(endDates&lt;=BB$5)))</f>
        <v>7021.37</v>
      </c>
      <c r="BC25" s="347" cm="1">
        <f t="array" ref="BC25">SUM(_xlfn._xlws.FILTER(_xlfn._xlws.FILTER(dataGLPL,dataGLPLAcctIDs=$C25),(startDates&gt;=BC$4)*(endDates&lt;=BC$5)))</f>
        <v>7372</v>
      </c>
      <c r="BD25" s="347" cm="1">
        <f t="array" ref="BD25">SUM(_xlfn._xlws.FILTER(_xlfn._xlws.FILTER(dataGLPL,dataGLPLAcctIDs=$C25),(startDates&gt;=BD$4)*(endDates&lt;=BD$5)))</f>
        <v>7741</v>
      </c>
      <c r="BE25" s="347" cm="1">
        <f t="array" ref="BE25">SUM(_xlfn._xlws.FILTER(_xlfn._xlws.FILTER(dataGLPL,dataGLPLAcctIDs=$C25),(startDates&gt;=BE$4)*(endDates&lt;=BE$5)))</f>
        <v>8128</v>
      </c>
      <c r="BF25" s="347" cm="1">
        <f t="array" ref="BF25">SUM(_xlfn._xlws.FILTER(_xlfn._xlws.FILTER(dataGLPL,dataGLPLAcctIDs=$C25),(startDates&gt;=BF$4)*(endDates&lt;=BF$5)))</f>
        <v>8535</v>
      </c>
      <c r="BG25" s="347" cm="1">
        <f t="array" ref="BG25">SUM(_xlfn._xlws.FILTER(_xlfn._xlws.FILTER(dataGLPL,dataGLPLAcctIDs=$C25),(startDates&gt;=BG$4)*(endDates&lt;=BG$5)))</f>
        <v>8961.25</v>
      </c>
      <c r="BH25" s="347" cm="1">
        <f t="array" ref="BH25">SUM(_xlfn._xlws.FILTER(_xlfn._xlws.FILTER(dataGLPL,dataGLPLAcctIDs=$C25),(startDates&gt;=BH$4)*(endDates&lt;=BH$5)))</f>
        <v>9409.31</v>
      </c>
      <c r="BI25" s="347" cm="1">
        <f t="array" ref="BI25">SUM(_xlfn._xlws.FILTER(_xlfn._xlws.FILTER(dataGLPL,dataGLPLAcctIDs=$C25),(startDates&gt;=BI$4)*(endDates&lt;=BI$5)))</f>
        <v>9879.7800000000007</v>
      </c>
      <c r="BJ25" s="347" cm="1">
        <f t="array" ref="BJ25">SUM(_xlfn._xlws.FILTER(_xlfn._xlws.FILTER(dataGLPL,dataGLPLAcctIDs=$C25),(startDates&gt;=BJ$4)*(endDates&lt;=BJ$5)))</f>
        <v>10373.77</v>
      </c>
      <c r="BK25" s="347" cm="1">
        <f t="array" ref="BK25">SUM(_xlfn._xlws.FILTER(_xlfn._xlws.FILTER(dataGLPL,dataGLPLAcctIDs=$C25),(startDates&gt;=BK$4)*(endDates&lt;=BK$5)))</f>
        <v>10892.45</v>
      </c>
      <c r="BL25" s="347" cm="1">
        <f t="array" ref="BL25">SUM(_xlfn._xlws.FILTER(_xlfn._xlws.FILTER(dataGLPL,dataGLPLAcctIDs=$C25),(startDates&gt;=BL$4)*(endDates&lt;=BL$5)))</f>
        <v>11437.08</v>
      </c>
      <c r="BM25" s="347" cm="1">
        <f t="array" ref="BM25">SUM(_xlfn._xlws.FILTER(_xlfn._xlws.FILTER(dataGLPL,dataGLPLAcctIDs=$C25),(startDates&gt;=BM$4)*(endDates&lt;=BM$5)))</f>
        <v>10666.887000000001</v>
      </c>
      <c r="BN25" s="347" cm="1">
        <f t="array" ref="BN25">SUM(_xlfn._xlws.FILTER(_xlfn._xlws.FILTER(dataGLPL,dataGLPLAcctIDs=$C25),(startDates&gt;=BN$4)*(endDates&lt;=BN$5)))</f>
        <v>10965.373475</v>
      </c>
      <c r="BO25" s="347" cm="1">
        <f t="array" ref="BO25">SUM(_xlfn._xlws.FILTER(_xlfn._xlws.FILTER(dataGLPL,dataGLPLAcctIDs=$C25),(startDates&gt;=BO$4)*(endDates&lt;=BO$5)))</f>
        <v>11237.684583125001</v>
      </c>
      <c r="BP25" s="347" cm="1">
        <f t="array" ref="BP25">SUM(_xlfn._xlws.FILTER(_xlfn._xlws.FILTER(dataGLPL,dataGLPLAcctIDs=$C25),(startDates&gt;=BP$4)*(endDates&lt;=BP$5)))</f>
        <v>11475.317885171877</v>
      </c>
      <c r="BQ25" s="347" cm="1">
        <f t="array" ref="BQ25">SUM(_xlfn._xlws.FILTER(_xlfn._xlws.FILTER(dataGLPL,dataGLPLAcctIDs=$C25),(startDates&gt;=BQ$4)*(endDates&lt;=BQ$5)))</f>
        <v>11668.088765076955</v>
      </c>
      <c r="BR25" s="347" cm="1">
        <f t="array" ref="BR25">SUM(_xlfn._xlws.FILTER(_xlfn._xlws.FILTER(dataGLPL,dataGLPLAcctIDs=$C25),(startDates&gt;=BR$4)*(endDates&lt;=BR$5)))</f>
        <v>11803.825548965422</v>
      </c>
      <c r="BS25" s="347" cm="1">
        <f t="array" ref="BS25">SUM(_xlfn._xlws.FILTER(_xlfn._xlws.FILTER(dataGLPL,dataGLPLAcctIDs=$C25),(startDates&gt;=BS$4)*(endDates&lt;=BS$5)))</f>
        <v>11868.006020034372</v>
      </c>
      <c r="BT25" s="347" cm="1">
        <f t="array" ref="BT25">SUM(_xlfn._xlws.FILTER(_xlfn._xlws.FILTER(dataGLPL,dataGLPLAcctIDs=$C25),(startDates&gt;=BT$4)*(endDates&lt;=BT$5)))</f>
        <v>12078.201848540388</v>
      </c>
      <c r="BU25" s="347" cm="1">
        <f t="array" ref="BU25">SUM(_xlfn._xlws.FILTER(_xlfn._xlws.FILTER(dataGLPL,dataGLPLAcctIDs=$C25),(startDates&gt;=BU$4)*(endDates&lt;=BU$5)))</f>
        <v>12272.946813909954</v>
      </c>
      <c r="BV25" s="347" cm="1">
        <f t="array" ref="BV25">SUM(_xlfn._xlws.FILTER(_xlfn._xlws.FILTER(dataGLPL,dataGLPLAcctIDs=$C25),(startDates&gt;=BV$4)*(endDates&lt;=BV$5)))</f>
        <v>12454.11770429732</v>
      </c>
      <c r="BW25" s="347" cm="1">
        <f t="array" ref="BW25">SUM(_xlfn._xlws.FILTER(_xlfn._xlws.FILTER(dataGLPL,dataGLPLAcctIDs=$C25),(startDates&gt;=BW$4)*(endDates&lt;=BW$5)))</f>
        <v>12625.407672644273</v>
      </c>
      <c r="BX25" s="347" cm="1">
        <f t="array" ref="BX25">SUM(_xlfn._xlws.FILTER(_xlfn._xlws.FILTER(dataGLPL,dataGLPLAcctIDs=$C25),(startDates&gt;=BX$4)*(endDates&lt;=BX$5)))</f>
        <v>12792.938481468555</v>
      </c>
      <c r="BY25" s="347" cm="1">
        <f t="array" ref="BY25">SUM(_xlfn._xlws.FILTER(_xlfn._xlws.FILTER(dataGLPL,dataGLPLAcctIDs=$C25),(startDates&gt;=BY$4)*(endDates&lt;=BY$5)))</f>
        <v>12966.033244656603</v>
      </c>
    </row>
    <row r="26" spans="1:77" s="201" customFormat="1" ht="21" customHeight="1">
      <c r="A26" s="215"/>
      <c r="B26" s="342" t="s">
        <v>236</v>
      </c>
      <c r="C26" s="343" t="s">
        <v>237</v>
      </c>
      <c r="D26" s="215"/>
      <c r="E26" s="216"/>
      <c r="F26" s="346">
        <f t="shared" ref="F26:I26" si="21">_xlfn.AGGREGATE(9,0, F$22:F$25)</f>
        <v>41487</v>
      </c>
      <c r="G26" s="346">
        <f t="shared" si="21"/>
        <v>98707</v>
      </c>
      <c r="H26" s="346">
        <f t="shared" si="21"/>
        <v>176292.93524999998</v>
      </c>
      <c r="I26" s="346">
        <f t="shared" si="21"/>
        <v>230497.56027672993</v>
      </c>
      <c r="J26" s="344"/>
      <c r="K26" s="344"/>
      <c r="L26" s="346">
        <f t="shared" ref="L26:AA26" si="22">_xlfn.AGGREGATE(9,0, L$22:L$25)</f>
        <v>7766</v>
      </c>
      <c r="M26" s="346">
        <f t="shared" si="22"/>
        <v>8611</v>
      </c>
      <c r="N26" s="346">
        <f t="shared" si="22"/>
        <v>9545</v>
      </c>
      <c r="O26" s="346">
        <f t="shared" si="22"/>
        <v>15565</v>
      </c>
      <c r="P26" s="346">
        <f t="shared" si="22"/>
        <v>17832</v>
      </c>
      <c r="Q26" s="346">
        <f t="shared" si="22"/>
        <v>22411</v>
      </c>
      <c r="R26" s="346">
        <f t="shared" si="22"/>
        <v>28037</v>
      </c>
      <c r="S26" s="346">
        <f t="shared" si="22"/>
        <v>30427</v>
      </c>
      <c r="T26" s="346">
        <f t="shared" si="22"/>
        <v>35221.979999999996</v>
      </c>
      <c r="U26" s="346">
        <f t="shared" si="22"/>
        <v>40774.880000000005</v>
      </c>
      <c r="V26" s="346">
        <f t="shared" si="22"/>
        <v>47701.97</v>
      </c>
      <c r="W26" s="346">
        <f t="shared" si="22"/>
        <v>52594.105250000001</v>
      </c>
      <c r="X26" s="346">
        <f t="shared" si="22"/>
        <v>53869.852804386726</v>
      </c>
      <c r="Y26" s="346">
        <f t="shared" si="22"/>
        <v>56463.242999997543</v>
      </c>
      <c r="Z26" s="346">
        <f t="shared" si="22"/>
        <v>58821.83858322649</v>
      </c>
      <c r="AA26" s="346">
        <f t="shared" si="22"/>
        <v>61342.625889119183</v>
      </c>
      <c r="AB26" s="215"/>
      <c r="AC26" s="344"/>
      <c r="AD26" s="346">
        <f>_xlfn.AGGREGATE(9,0, AD$22:AD$25)</f>
        <v>2500</v>
      </c>
      <c r="AE26" s="346">
        <f t="shared" ref="AE26:BY26" si="23">_xlfn.AGGREGATE(9,0, AE$22:AE$25)</f>
        <v>2588</v>
      </c>
      <c r="AF26" s="346">
        <f t="shared" si="23"/>
        <v>2678</v>
      </c>
      <c r="AG26" s="346">
        <f t="shared" si="23"/>
        <v>2772</v>
      </c>
      <c r="AH26" s="346">
        <f t="shared" si="23"/>
        <v>2869</v>
      </c>
      <c r="AI26" s="346">
        <f t="shared" si="23"/>
        <v>2970</v>
      </c>
      <c r="AJ26" s="346">
        <f t="shared" si="23"/>
        <v>3073</v>
      </c>
      <c r="AK26" s="346">
        <f t="shared" si="23"/>
        <v>3180</v>
      </c>
      <c r="AL26" s="346">
        <f t="shared" si="23"/>
        <v>3292</v>
      </c>
      <c r="AM26" s="346">
        <f t="shared" si="23"/>
        <v>3407</v>
      </c>
      <c r="AN26" s="346">
        <f t="shared" si="23"/>
        <v>4596</v>
      </c>
      <c r="AO26" s="346">
        <f t="shared" si="23"/>
        <v>7562</v>
      </c>
      <c r="AP26" s="346">
        <f t="shared" si="23"/>
        <v>4825</v>
      </c>
      <c r="AQ26" s="346">
        <f t="shared" si="23"/>
        <v>7940</v>
      </c>
      <c r="AR26" s="346">
        <f t="shared" si="23"/>
        <v>5067</v>
      </c>
      <c r="AS26" s="346">
        <f t="shared" si="23"/>
        <v>8337</v>
      </c>
      <c r="AT26" s="346">
        <f t="shared" si="23"/>
        <v>5320</v>
      </c>
      <c r="AU26" s="346">
        <f t="shared" si="23"/>
        <v>8754</v>
      </c>
      <c r="AV26" s="346">
        <f t="shared" si="23"/>
        <v>9193</v>
      </c>
      <c r="AW26" s="346">
        <f t="shared" si="23"/>
        <v>9193</v>
      </c>
      <c r="AX26" s="346">
        <f t="shared" si="23"/>
        <v>9651</v>
      </c>
      <c r="AY26" s="346">
        <f t="shared" si="23"/>
        <v>9651</v>
      </c>
      <c r="AZ26" s="346">
        <f t="shared" si="23"/>
        <v>10135</v>
      </c>
      <c r="BA26" s="346">
        <f t="shared" si="23"/>
        <v>10641</v>
      </c>
      <c r="BB26" s="346">
        <f t="shared" si="23"/>
        <v>11172.98</v>
      </c>
      <c r="BC26" s="346">
        <f t="shared" si="23"/>
        <v>11731</v>
      </c>
      <c r="BD26" s="346">
        <f t="shared" si="23"/>
        <v>12318</v>
      </c>
      <c r="BE26" s="346">
        <f t="shared" si="23"/>
        <v>12934</v>
      </c>
      <c r="BF26" s="346">
        <f t="shared" si="23"/>
        <v>13581</v>
      </c>
      <c r="BG26" s="346">
        <f t="shared" si="23"/>
        <v>14259.880000000001</v>
      </c>
      <c r="BH26" s="346">
        <f t="shared" si="23"/>
        <v>14972.869999999999</v>
      </c>
      <c r="BI26" s="346">
        <f t="shared" si="23"/>
        <v>16221.51</v>
      </c>
      <c r="BJ26" s="346">
        <f t="shared" si="23"/>
        <v>16507.59</v>
      </c>
      <c r="BK26" s="346">
        <f t="shared" si="23"/>
        <v>17332.96</v>
      </c>
      <c r="BL26" s="346">
        <f t="shared" si="23"/>
        <v>18199.62</v>
      </c>
      <c r="BM26" s="346">
        <f t="shared" si="23"/>
        <v>17061.525249999999</v>
      </c>
      <c r="BN26" s="346">
        <f t="shared" si="23"/>
        <v>17551.813168750003</v>
      </c>
      <c r="BO26" s="346">
        <f t="shared" si="23"/>
        <v>18003.128223281252</v>
      </c>
      <c r="BP26" s="346">
        <f t="shared" si="23"/>
        <v>18314.911412355472</v>
      </c>
      <c r="BQ26" s="346">
        <f t="shared" si="23"/>
        <v>18631.192659517677</v>
      </c>
      <c r="BR26" s="346">
        <f t="shared" si="23"/>
        <v>18858.383374933273</v>
      </c>
      <c r="BS26" s="346">
        <f t="shared" si="23"/>
        <v>18973.666965546596</v>
      </c>
      <c r="BT26" s="346">
        <f t="shared" si="23"/>
        <v>19308.291765767251</v>
      </c>
      <c r="BU26" s="346">
        <f t="shared" si="23"/>
        <v>19615.675520245266</v>
      </c>
      <c r="BV26" s="346">
        <f t="shared" si="23"/>
        <v>19897.871297213969</v>
      </c>
      <c r="BW26" s="346">
        <f t="shared" si="23"/>
        <v>20174.889277064205</v>
      </c>
      <c r="BX26" s="346">
        <f t="shared" si="23"/>
        <v>20445.03618513485</v>
      </c>
      <c r="BY26" s="346">
        <f t="shared" si="23"/>
        <v>20722.700426920128</v>
      </c>
    </row>
    <row r="27" spans="1:77" s="201" customFormat="1" ht="21" customHeight="1">
      <c r="A27" s="215"/>
      <c r="B27" s="342" t="s">
        <v>238</v>
      </c>
      <c r="C27" s="343">
        <v>184</v>
      </c>
      <c r="D27" s="215"/>
      <c r="E27" s="216"/>
      <c r="F27" s="346" cm="1">
        <f t="array" ref="F27">SUM(_xlfn._xlws.FILTER(_xlfn._xlws.FILTER(dataGLPL,dataGLPLAcctIDs=$C27),(startDates&gt;=F$4)*(endDates&lt;=F$5)))</f>
        <v>0</v>
      </c>
      <c r="G27" s="346" cm="1">
        <f t="array" ref="G27">SUM(_xlfn._xlws.FILTER(_xlfn._xlws.FILTER(dataGLPL,dataGLPLAcctIDs=$C27),(startDates&gt;=G$4)*(endDates&lt;=G$5)))</f>
        <v>0</v>
      </c>
      <c r="H27" s="346" cm="1">
        <f t="array" ref="H27">SUM(_xlfn._xlws.FILTER(_xlfn._xlws.FILTER(dataGLPL,dataGLPLAcctIDs=$C27),(startDates&gt;=H$4)*(endDates&lt;=H$5)))</f>
        <v>0</v>
      </c>
      <c r="I27" s="346" cm="1">
        <f t="array" ref="I27">SUM(_xlfn._xlws.FILTER(_xlfn._xlws.FILTER(dataGLPL,dataGLPLAcctIDs=$C27),(startDates&gt;=I$4)*(endDates&lt;=I$5)))</f>
        <v>0</v>
      </c>
      <c r="J27" s="344"/>
      <c r="K27" s="344"/>
      <c r="L27" s="346" cm="1">
        <f t="array" ref="L27">SUM(_xlfn._xlws.FILTER(_xlfn._xlws.FILTER(dataGLPL,dataGLPLAcctIDs=$C27),(startDates&gt;=L$4)*(endDates&lt;=L$5)))</f>
        <v>0</v>
      </c>
      <c r="M27" s="346" cm="1">
        <f t="array" ref="M27">SUM(_xlfn._xlws.FILTER(_xlfn._xlws.FILTER(dataGLPL,dataGLPLAcctIDs=$C27),(startDates&gt;=M$4)*(endDates&lt;=M$5)))</f>
        <v>0</v>
      </c>
      <c r="N27" s="346" cm="1">
        <f t="array" ref="N27">SUM(_xlfn._xlws.FILTER(_xlfn._xlws.FILTER(dataGLPL,dataGLPLAcctIDs=$C27),(startDates&gt;=N$4)*(endDates&lt;=N$5)))</f>
        <v>0</v>
      </c>
      <c r="O27" s="346" cm="1">
        <f t="array" ref="O27">SUM(_xlfn._xlws.FILTER(_xlfn._xlws.FILTER(dataGLPL,dataGLPLAcctIDs=$C27),(startDates&gt;=O$4)*(endDates&lt;=O$5)))</f>
        <v>0</v>
      </c>
      <c r="P27" s="346" cm="1">
        <f t="array" ref="P27">SUM(_xlfn._xlws.FILTER(_xlfn._xlws.FILTER(dataGLPL,dataGLPLAcctIDs=$C27),(startDates&gt;=P$4)*(endDates&lt;=P$5)))</f>
        <v>0</v>
      </c>
      <c r="Q27" s="346" cm="1">
        <f t="array" ref="Q27">SUM(_xlfn._xlws.FILTER(_xlfn._xlws.FILTER(dataGLPL,dataGLPLAcctIDs=$C27),(startDates&gt;=Q$4)*(endDates&lt;=Q$5)))</f>
        <v>0</v>
      </c>
      <c r="R27" s="346" cm="1">
        <f t="array" ref="R27">SUM(_xlfn._xlws.FILTER(_xlfn._xlws.FILTER(dataGLPL,dataGLPLAcctIDs=$C27),(startDates&gt;=R$4)*(endDates&lt;=R$5)))</f>
        <v>0</v>
      </c>
      <c r="S27" s="346" cm="1">
        <f t="array" ref="S27">SUM(_xlfn._xlws.FILTER(_xlfn._xlws.FILTER(dataGLPL,dataGLPLAcctIDs=$C27),(startDates&gt;=S$4)*(endDates&lt;=S$5)))</f>
        <v>0</v>
      </c>
      <c r="T27" s="346" cm="1">
        <f t="array" ref="T27">SUM(_xlfn._xlws.FILTER(_xlfn._xlws.FILTER(dataGLPL,dataGLPLAcctIDs=$C27),(startDates&gt;=T$4)*(endDates&lt;=T$5)))</f>
        <v>0</v>
      </c>
      <c r="U27" s="346" cm="1">
        <f t="array" ref="U27">SUM(_xlfn._xlws.FILTER(_xlfn._xlws.FILTER(dataGLPL,dataGLPLAcctIDs=$C27),(startDates&gt;=U$4)*(endDates&lt;=U$5)))</f>
        <v>0</v>
      </c>
      <c r="V27" s="346" cm="1">
        <f t="array" ref="V27">SUM(_xlfn._xlws.FILTER(_xlfn._xlws.FILTER(dataGLPL,dataGLPLAcctIDs=$C27),(startDates&gt;=V$4)*(endDates&lt;=V$5)))</f>
        <v>0</v>
      </c>
      <c r="W27" s="346" cm="1">
        <f t="array" ref="W27">SUM(_xlfn._xlws.FILTER(_xlfn._xlws.FILTER(dataGLPL,dataGLPLAcctIDs=$C27),(startDates&gt;=W$4)*(endDates&lt;=W$5)))</f>
        <v>0</v>
      </c>
      <c r="X27" s="346" cm="1">
        <f t="array" ref="X27">SUM(_xlfn._xlws.FILTER(_xlfn._xlws.FILTER(dataGLPL,dataGLPLAcctIDs=$C27),(startDates&gt;=X$4)*(endDates&lt;=X$5)))</f>
        <v>0</v>
      </c>
      <c r="Y27" s="346" cm="1">
        <f t="array" ref="Y27">SUM(_xlfn._xlws.FILTER(_xlfn._xlws.FILTER(dataGLPL,dataGLPLAcctIDs=$C27),(startDates&gt;=Y$4)*(endDates&lt;=Y$5)))</f>
        <v>0</v>
      </c>
      <c r="Z27" s="346" cm="1">
        <f t="array" ref="Z27">SUM(_xlfn._xlws.FILTER(_xlfn._xlws.FILTER(dataGLPL,dataGLPLAcctIDs=$C27),(startDates&gt;=Z$4)*(endDates&lt;=Z$5)))</f>
        <v>0</v>
      </c>
      <c r="AA27" s="346" cm="1">
        <f t="array" ref="AA27">SUM(_xlfn._xlws.FILTER(_xlfn._xlws.FILTER(dataGLPL,dataGLPLAcctIDs=$C27),(startDates&gt;=AA$4)*(endDates&lt;=AA$5)))</f>
        <v>0</v>
      </c>
      <c r="AB27" s="215"/>
      <c r="AC27" s="344"/>
      <c r="AD27" s="346" cm="1">
        <f t="array" ref="AD27">SUM(_xlfn._xlws.FILTER(_xlfn._xlws.FILTER(dataGLPL,dataGLPLAcctIDs=$C27),(startDates&gt;=AD$4)*(endDates&lt;=AD$5)))</f>
        <v>0</v>
      </c>
      <c r="AE27" s="346" cm="1">
        <f t="array" ref="AE27">SUM(_xlfn._xlws.FILTER(_xlfn._xlws.FILTER(dataGLPL,dataGLPLAcctIDs=$C27),(startDates&gt;=AE$4)*(endDates&lt;=AE$5)))</f>
        <v>0</v>
      </c>
      <c r="AF27" s="346" cm="1">
        <f t="array" ref="AF27">SUM(_xlfn._xlws.FILTER(_xlfn._xlws.FILTER(dataGLPL,dataGLPLAcctIDs=$C27),(startDates&gt;=AF$4)*(endDates&lt;=AF$5)))</f>
        <v>0</v>
      </c>
      <c r="AG27" s="346" cm="1">
        <f t="array" ref="AG27">SUM(_xlfn._xlws.FILTER(_xlfn._xlws.FILTER(dataGLPL,dataGLPLAcctIDs=$C27),(startDates&gt;=AG$4)*(endDates&lt;=AG$5)))</f>
        <v>0</v>
      </c>
      <c r="AH27" s="346" cm="1">
        <f t="array" ref="AH27">SUM(_xlfn._xlws.FILTER(_xlfn._xlws.FILTER(dataGLPL,dataGLPLAcctIDs=$C27),(startDates&gt;=AH$4)*(endDates&lt;=AH$5)))</f>
        <v>0</v>
      </c>
      <c r="AI27" s="346" cm="1">
        <f t="array" ref="AI27">SUM(_xlfn._xlws.FILTER(_xlfn._xlws.FILTER(dataGLPL,dataGLPLAcctIDs=$C27),(startDates&gt;=AI$4)*(endDates&lt;=AI$5)))</f>
        <v>0</v>
      </c>
      <c r="AJ27" s="346" cm="1">
        <f t="array" ref="AJ27">SUM(_xlfn._xlws.FILTER(_xlfn._xlws.FILTER(dataGLPL,dataGLPLAcctIDs=$C27),(startDates&gt;=AJ$4)*(endDates&lt;=AJ$5)))</f>
        <v>0</v>
      </c>
      <c r="AK27" s="346" cm="1">
        <f t="array" ref="AK27">SUM(_xlfn._xlws.FILTER(_xlfn._xlws.FILTER(dataGLPL,dataGLPLAcctIDs=$C27),(startDates&gt;=AK$4)*(endDates&lt;=AK$5)))</f>
        <v>0</v>
      </c>
      <c r="AL27" s="346" cm="1">
        <f t="array" ref="AL27">SUM(_xlfn._xlws.FILTER(_xlfn._xlws.FILTER(dataGLPL,dataGLPLAcctIDs=$C27),(startDates&gt;=AL$4)*(endDates&lt;=AL$5)))</f>
        <v>0</v>
      </c>
      <c r="AM27" s="346" cm="1">
        <f t="array" ref="AM27">SUM(_xlfn._xlws.FILTER(_xlfn._xlws.FILTER(dataGLPL,dataGLPLAcctIDs=$C27),(startDates&gt;=AM$4)*(endDates&lt;=AM$5)))</f>
        <v>0</v>
      </c>
      <c r="AN27" s="346" cm="1">
        <f t="array" ref="AN27">SUM(_xlfn._xlws.FILTER(_xlfn._xlws.FILTER(dataGLPL,dataGLPLAcctIDs=$C27),(startDates&gt;=AN$4)*(endDates&lt;=AN$5)))</f>
        <v>0</v>
      </c>
      <c r="AO27" s="346" cm="1">
        <f t="array" ref="AO27">SUM(_xlfn._xlws.FILTER(_xlfn._xlws.FILTER(dataGLPL,dataGLPLAcctIDs=$C27),(startDates&gt;=AO$4)*(endDates&lt;=AO$5)))</f>
        <v>0</v>
      </c>
      <c r="AP27" s="346" cm="1">
        <f t="array" ref="AP27">SUM(_xlfn._xlws.FILTER(_xlfn._xlws.FILTER(dataGLPL,dataGLPLAcctIDs=$C27),(startDates&gt;=AP$4)*(endDates&lt;=AP$5)))</f>
        <v>0</v>
      </c>
      <c r="AQ27" s="346" cm="1">
        <f t="array" ref="AQ27">SUM(_xlfn._xlws.FILTER(_xlfn._xlws.FILTER(dataGLPL,dataGLPLAcctIDs=$C27),(startDates&gt;=AQ$4)*(endDates&lt;=AQ$5)))</f>
        <v>0</v>
      </c>
      <c r="AR27" s="346" cm="1">
        <f t="array" ref="AR27">SUM(_xlfn._xlws.FILTER(_xlfn._xlws.FILTER(dataGLPL,dataGLPLAcctIDs=$C27),(startDates&gt;=AR$4)*(endDates&lt;=AR$5)))</f>
        <v>0</v>
      </c>
      <c r="AS27" s="346" cm="1">
        <f t="array" ref="AS27">SUM(_xlfn._xlws.FILTER(_xlfn._xlws.FILTER(dataGLPL,dataGLPLAcctIDs=$C27),(startDates&gt;=AS$4)*(endDates&lt;=AS$5)))</f>
        <v>0</v>
      </c>
      <c r="AT27" s="346" cm="1">
        <f t="array" ref="AT27">SUM(_xlfn._xlws.FILTER(_xlfn._xlws.FILTER(dataGLPL,dataGLPLAcctIDs=$C27),(startDates&gt;=AT$4)*(endDates&lt;=AT$5)))</f>
        <v>0</v>
      </c>
      <c r="AU27" s="346" cm="1">
        <f t="array" ref="AU27">SUM(_xlfn._xlws.FILTER(_xlfn._xlws.FILTER(dataGLPL,dataGLPLAcctIDs=$C27),(startDates&gt;=AU$4)*(endDates&lt;=AU$5)))</f>
        <v>0</v>
      </c>
      <c r="AV27" s="346" cm="1">
        <f t="array" ref="AV27">SUM(_xlfn._xlws.FILTER(_xlfn._xlws.FILTER(dataGLPL,dataGLPLAcctIDs=$C27),(startDates&gt;=AV$4)*(endDates&lt;=AV$5)))</f>
        <v>0</v>
      </c>
      <c r="AW27" s="346" cm="1">
        <f t="array" ref="AW27">SUM(_xlfn._xlws.FILTER(_xlfn._xlws.FILTER(dataGLPL,dataGLPLAcctIDs=$C27),(startDates&gt;=AW$4)*(endDates&lt;=AW$5)))</f>
        <v>0</v>
      </c>
      <c r="AX27" s="346" cm="1">
        <f t="array" ref="AX27">SUM(_xlfn._xlws.FILTER(_xlfn._xlws.FILTER(dataGLPL,dataGLPLAcctIDs=$C27),(startDates&gt;=AX$4)*(endDates&lt;=AX$5)))</f>
        <v>0</v>
      </c>
      <c r="AY27" s="346" cm="1">
        <f t="array" ref="AY27">SUM(_xlfn._xlws.FILTER(_xlfn._xlws.FILTER(dataGLPL,dataGLPLAcctIDs=$C27),(startDates&gt;=AY$4)*(endDates&lt;=AY$5)))</f>
        <v>0</v>
      </c>
      <c r="AZ27" s="346" cm="1">
        <f t="array" ref="AZ27">SUM(_xlfn._xlws.FILTER(_xlfn._xlws.FILTER(dataGLPL,dataGLPLAcctIDs=$C27),(startDates&gt;=AZ$4)*(endDates&lt;=AZ$5)))</f>
        <v>0</v>
      </c>
      <c r="BA27" s="346" cm="1">
        <f t="array" ref="BA27">SUM(_xlfn._xlws.FILTER(_xlfn._xlws.FILTER(dataGLPL,dataGLPLAcctIDs=$C27),(startDates&gt;=BA$4)*(endDates&lt;=BA$5)))</f>
        <v>0</v>
      </c>
      <c r="BB27" s="346" cm="1">
        <f t="array" ref="BB27">SUM(_xlfn._xlws.FILTER(_xlfn._xlws.FILTER(dataGLPL,dataGLPLAcctIDs=$C27),(startDates&gt;=BB$4)*(endDates&lt;=BB$5)))</f>
        <v>0</v>
      </c>
      <c r="BC27" s="346" cm="1">
        <f t="array" ref="BC27">SUM(_xlfn._xlws.FILTER(_xlfn._xlws.FILTER(dataGLPL,dataGLPLAcctIDs=$C27),(startDates&gt;=BC$4)*(endDates&lt;=BC$5)))</f>
        <v>0</v>
      </c>
      <c r="BD27" s="346" cm="1">
        <f t="array" ref="BD27">SUM(_xlfn._xlws.FILTER(_xlfn._xlws.FILTER(dataGLPL,dataGLPLAcctIDs=$C27),(startDates&gt;=BD$4)*(endDates&lt;=BD$5)))</f>
        <v>0</v>
      </c>
      <c r="BE27" s="346" cm="1">
        <f t="array" ref="BE27">SUM(_xlfn._xlws.FILTER(_xlfn._xlws.FILTER(dataGLPL,dataGLPLAcctIDs=$C27),(startDates&gt;=BE$4)*(endDates&lt;=BE$5)))</f>
        <v>0</v>
      </c>
      <c r="BF27" s="346" cm="1">
        <f t="array" ref="BF27">SUM(_xlfn._xlws.FILTER(_xlfn._xlws.FILTER(dataGLPL,dataGLPLAcctIDs=$C27),(startDates&gt;=BF$4)*(endDates&lt;=BF$5)))</f>
        <v>0</v>
      </c>
      <c r="BG27" s="346" cm="1">
        <f t="array" ref="BG27">SUM(_xlfn._xlws.FILTER(_xlfn._xlws.FILTER(dataGLPL,dataGLPLAcctIDs=$C27),(startDates&gt;=BG$4)*(endDates&lt;=BG$5)))</f>
        <v>0</v>
      </c>
      <c r="BH27" s="346" cm="1">
        <f t="array" ref="BH27">SUM(_xlfn._xlws.FILTER(_xlfn._xlws.FILTER(dataGLPL,dataGLPLAcctIDs=$C27),(startDates&gt;=BH$4)*(endDates&lt;=BH$5)))</f>
        <v>0</v>
      </c>
      <c r="BI27" s="346" cm="1">
        <f t="array" ref="BI27">SUM(_xlfn._xlws.FILTER(_xlfn._xlws.FILTER(dataGLPL,dataGLPLAcctIDs=$C27),(startDates&gt;=BI$4)*(endDates&lt;=BI$5)))</f>
        <v>0</v>
      </c>
      <c r="BJ27" s="346" cm="1">
        <f t="array" ref="BJ27">SUM(_xlfn._xlws.FILTER(_xlfn._xlws.FILTER(dataGLPL,dataGLPLAcctIDs=$C27),(startDates&gt;=BJ$4)*(endDates&lt;=BJ$5)))</f>
        <v>0</v>
      </c>
      <c r="BK27" s="346" cm="1">
        <f t="array" ref="BK27">SUM(_xlfn._xlws.FILTER(_xlfn._xlws.FILTER(dataGLPL,dataGLPLAcctIDs=$C27),(startDates&gt;=BK$4)*(endDates&lt;=BK$5)))</f>
        <v>0</v>
      </c>
      <c r="BL27" s="346" cm="1">
        <f t="array" ref="BL27">SUM(_xlfn._xlws.FILTER(_xlfn._xlws.FILTER(dataGLPL,dataGLPLAcctIDs=$C27),(startDates&gt;=BL$4)*(endDates&lt;=BL$5)))</f>
        <v>0</v>
      </c>
      <c r="BM27" s="346" cm="1">
        <f t="array" ref="BM27">SUM(_xlfn._xlws.FILTER(_xlfn._xlws.FILTER(dataGLPL,dataGLPLAcctIDs=$C27),(startDates&gt;=BM$4)*(endDates&lt;=BM$5)))</f>
        <v>0</v>
      </c>
      <c r="BN27" s="346" cm="1">
        <f t="array" ref="BN27">SUM(_xlfn._xlws.FILTER(_xlfn._xlws.FILTER(dataGLPL,dataGLPLAcctIDs=$C27),(startDates&gt;=BN$4)*(endDates&lt;=BN$5)))</f>
        <v>0</v>
      </c>
      <c r="BO27" s="346" cm="1">
        <f t="array" ref="BO27">SUM(_xlfn._xlws.FILTER(_xlfn._xlws.FILTER(dataGLPL,dataGLPLAcctIDs=$C27),(startDates&gt;=BO$4)*(endDates&lt;=BO$5)))</f>
        <v>0</v>
      </c>
      <c r="BP27" s="346" cm="1">
        <f t="array" ref="BP27">SUM(_xlfn._xlws.FILTER(_xlfn._xlws.FILTER(dataGLPL,dataGLPLAcctIDs=$C27),(startDates&gt;=BP$4)*(endDates&lt;=BP$5)))</f>
        <v>0</v>
      </c>
      <c r="BQ27" s="346" cm="1">
        <f t="array" ref="BQ27">SUM(_xlfn._xlws.FILTER(_xlfn._xlws.FILTER(dataGLPL,dataGLPLAcctIDs=$C27),(startDates&gt;=BQ$4)*(endDates&lt;=BQ$5)))</f>
        <v>0</v>
      </c>
      <c r="BR27" s="346" cm="1">
        <f t="array" ref="BR27">SUM(_xlfn._xlws.FILTER(_xlfn._xlws.FILTER(dataGLPL,dataGLPLAcctIDs=$C27),(startDates&gt;=BR$4)*(endDates&lt;=BR$5)))</f>
        <v>0</v>
      </c>
      <c r="BS27" s="346" cm="1">
        <f t="array" ref="BS27">SUM(_xlfn._xlws.FILTER(_xlfn._xlws.FILTER(dataGLPL,dataGLPLAcctIDs=$C27),(startDates&gt;=BS$4)*(endDates&lt;=BS$5)))</f>
        <v>0</v>
      </c>
      <c r="BT27" s="346" cm="1">
        <f t="array" ref="BT27">SUM(_xlfn._xlws.FILTER(_xlfn._xlws.FILTER(dataGLPL,dataGLPLAcctIDs=$C27),(startDates&gt;=BT$4)*(endDates&lt;=BT$5)))</f>
        <v>0</v>
      </c>
      <c r="BU27" s="346" cm="1">
        <f t="array" ref="BU27">SUM(_xlfn._xlws.FILTER(_xlfn._xlws.FILTER(dataGLPL,dataGLPLAcctIDs=$C27),(startDates&gt;=BU$4)*(endDates&lt;=BU$5)))</f>
        <v>0</v>
      </c>
      <c r="BV27" s="346" cm="1">
        <f t="array" ref="BV27">SUM(_xlfn._xlws.FILTER(_xlfn._xlws.FILTER(dataGLPL,dataGLPLAcctIDs=$C27),(startDates&gt;=BV$4)*(endDates&lt;=BV$5)))</f>
        <v>0</v>
      </c>
      <c r="BW27" s="346" cm="1">
        <f t="array" ref="BW27">SUM(_xlfn._xlws.FILTER(_xlfn._xlws.FILTER(dataGLPL,dataGLPLAcctIDs=$C27),(startDates&gt;=BW$4)*(endDates&lt;=BW$5)))</f>
        <v>0</v>
      </c>
      <c r="BX27" s="346" cm="1">
        <f t="array" ref="BX27">SUM(_xlfn._xlws.FILTER(_xlfn._xlws.FILTER(dataGLPL,dataGLPLAcctIDs=$C27),(startDates&gt;=BX$4)*(endDates&lt;=BX$5)))</f>
        <v>0</v>
      </c>
      <c r="BY27" s="346" cm="1">
        <f t="array" ref="BY27">SUM(_xlfn._xlws.FILTER(_xlfn._xlws.FILTER(dataGLPL,dataGLPLAcctIDs=$C27),(startDates&gt;=BY$4)*(endDates&lt;=BY$5)))</f>
        <v>0</v>
      </c>
    </row>
    <row r="28" spans="1:77" s="201" customFormat="1" ht="21" customHeight="1">
      <c r="A28" s="215"/>
      <c r="B28" s="622" t="s">
        <v>239</v>
      </c>
      <c r="C28" s="343">
        <v>185</v>
      </c>
      <c r="D28" s="215"/>
      <c r="E28" s="216"/>
      <c r="F28" s="347" cm="1">
        <f t="array" ref="F28">SUM(_xlfn._xlws.FILTER(_xlfn._xlws.FILTER(dataGLPL,dataGLPLAcctIDs=$C28),(startDates&gt;=F$4)*(endDates&lt;=F$5)))</f>
        <v>12947</v>
      </c>
      <c r="G28" s="347" cm="1">
        <f t="array" ref="G28">SUM(_xlfn._xlws.FILTER(_xlfn._xlws.FILTER(dataGLPL,dataGLPLAcctIDs=$C28),(startDates&gt;=G$4)*(endDates&lt;=G$5)))</f>
        <v>23739</v>
      </c>
      <c r="H28" s="347" cm="1">
        <f t="array" ref="H28">SUM(_xlfn._xlws.FILTER(_xlfn._xlws.FILTER(dataGLPL,dataGLPLAcctIDs=$C28),(startDates&gt;=H$4)*(endDates&lt;=H$5)))</f>
        <v>41740.368500000004</v>
      </c>
      <c r="I28" s="347" cm="1">
        <f t="array" ref="I28">SUM(_xlfn._xlws.FILTER(_xlfn._xlws.FILTER(dataGLPL,dataGLPLAcctIDs=$C28),(startDates&gt;=I$4)*(endDates&lt;=I$5)))</f>
        <v>54513.784561517154</v>
      </c>
      <c r="J28" s="344"/>
      <c r="K28" s="344"/>
      <c r="L28" s="347" cm="1">
        <f t="array" ref="L28">SUM(_xlfn._xlws.FILTER(_xlfn._xlws.FILTER(dataGLPL,dataGLPLAcctIDs=$C28),(startDates&gt;=L$4)*(endDates&lt;=L$5)))</f>
        <v>2641</v>
      </c>
      <c r="M28" s="347" cm="1">
        <f t="array" ref="M28">SUM(_xlfn._xlws.FILTER(_xlfn._xlws.FILTER(dataGLPL,dataGLPLAcctIDs=$C28),(startDates&gt;=M$4)*(endDates&lt;=M$5)))</f>
        <v>2927</v>
      </c>
      <c r="N28" s="347" cm="1">
        <f t="array" ref="N28">SUM(_xlfn._xlws.FILTER(_xlfn._xlws.FILTER(dataGLPL,dataGLPLAcctIDs=$C28),(startDates&gt;=N$4)*(endDates&lt;=N$5)))</f>
        <v>3245</v>
      </c>
      <c r="O28" s="347" cm="1">
        <f t="array" ref="O28">SUM(_xlfn._xlws.FILTER(_xlfn._xlws.FILTER(dataGLPL,dataGLPLAcctIDs=$C28),(startDates&gt;=O$4)*(endDates&lt;=O$5)))</f>
        <v>4134</v>
      </c>
      <c r="P28" s="347" cm="1">
        <f t="array" ref="P28">SUM(_xlfn._xlws.FILTER(_xlfn._xlws.FILTER(dataGLPL,dataGLPLAcctIDs=$C28),(startDates&gt;=P$4)*(endDates&lt;=P$5)))</f>
        <v>4424</v>
      </c>
      <c r="Q28" s="347" cm="1">
        <f t="array" ref="Q28">SUM(_xlfn._xlws.FILTER(_xlfn._xlws.FILTER(dataGLPL,dataGLPLAcctIDs=$C28),(startDates&gt;=Q$4)*(endDates&lt;=Q$5)))</f>
        <v>5426</v>
      </c>
      <c r="R28" s="347" cm="1">
        <f t="array" ref="R28">SUM(_xlfn._xlws.FILTER(_xlfn._xlws.FILTER(dataGLPL,dataGLPLAcctIDs=$C28),(startDates&gt;=R$4)*(endDates&lt;=R$5)))</f>
        <v>6661</v>
      </c>
      <c r="S28" s="347" cm="1">
        <f t="array" ref="S28">SUM(_xlfn._xlws.FILTER(_xlfn._xlws.FILTER(dataGLPL,dataGLPLAcctIDs=$C28),(startDates&gt;=S$4)*(endDates&lt;=S$5)))</f>
        <v>7228</v>
      </c>
      <c r="T28" s="347" cm="1">
        <f t="array" ref="T28">SUM(_xlfn._xlws.FILTER(_xlfn._xlws.FILTER(dataGLPL,dataGLPLAcctIDs=$C28),(startDates&gt;=T$4)*(endDates&lt;=T$5)))</f>
        <v>8367.23</v>
      </c>
      <c r="U28" s="347" cm="1">
        <f t="array" ref="U28">SUM(_xlfn._xlws.FILTER(_xlfn._xlws.FILTER(dataGLPL,dataGLPLAcctIDs=$C28),(startDates&gt;=U$4)*(endDates&lt;=U$5)))</f>
        <v>9686.5499999999993</v>
      </c>
      <c r="V28" s="347" cm="1">
        <f t="array" ref="V28">SUM(_xlfn._xlws.FILTER(_xlfn._xlws.FILTER(dataGLPL,dataGLPLAcctIDs=$C28),(startDates&gt;=V$4)*(endDates&lt;=V$5)))</f>
        <v>11213.21</v>
      </c>
      <c r="W28" s="347" cm="1">
        <f t="array" ref="W28">SUM(_xlfn._xlws.FILTER(_xlfn._xlws.FILTER(dataGLPL,dataGLPLAcctIDs=$C28),(startDates&gt;=W$4)*(endDates&lt;=W$5)))</f>
        <v>12473.378500000003</v>
      </c>
      <c r="X28" s="347" cm="1">
        <f t="array" ref="X28">SUM(_xlfn._xlws.FILTER(_xlfn._xlws.FILTER(dataGLPL,dataGLPLAcctIDs=$C28),(startDates&gt;=X$4)*(endDates&lt;=X$5)))</f>
        <v>12731.168359929688</v>
      </c>
      <c r="Y28" s="347" cm="1">
        <f t="array" ref="Y28">SUM(_xlfn._xlws.FILTER(_xlfn._xlws.FILTER(dataGLPL,dataGLPLAcctIDs=$C28),(startDates&gt;=Y$4)*(endDates&lt;=Y$5)))</f>
        <v>13359.270518796562</v>
      </c>
      <c r="Z28" s="347" cm="1">
        <f t="array" ref="Z28">SUM(_xlfn._xlws.FILTER(_xlfn._xlws.FILTER(dataGLPL,dataGLPLAcctIDs=$C28),(startDates&gt;=Z$4)*(endDates&lt;=Z$5)))</f>
        <v>13913.202971508057</v>
      </c>
      <c r="AA28" s="347" cm="1">
        <f t="array" ref="AA28">SUM(_xlfn._xlws.FILTER(_xlfn._xlws.FILTER(dataGLPL,dataGLPLAcctIDs=$C28),(startDates&gt;=AA$4)*(endDates&lt;=AA$5)))</f>
        <v>14510.142711282851</v>
      </c>
      <c r="AB28" s="215"/>
      <c r="AC28" s="344"/>
      <c r="AD28" s="347" cm="1">
        <f t="array" ref="AD28">SUM(_xlfn._xlws.FILTER(_xlfn._xlws.FILTER(dataGLPL,dataGLPLAcctIDs=$C28),(startDates&gt;=AD$4)*(endDates&lt;=AD$5)))</f>
        <v>850</v>
      </c>
      <c r="AE28" s="347" cm="1">
        <f t="array" ref="AE28">SUM(_xlfn._xlws.FILTER(_xlfn._xlws.FILTER(dataGLPL,dataGLPLAcctIDs=$C28),(startDates&gt;=AE$4)*(endDates&lt;=AE$5)))</f>
        <v>880</v>
      </c>
      <c r="AF28" s="347" cm="1">
        <f t="array" ref="AF28">SUM(_xlfn._xlws.FILTER(_xlfn._xlws.FILTER(dataGLPL,dataGLPLAcctIDs=$C28),(startDates&gt;=AF$4)*(endDates&lt;=AF$5)))</f>
        <v>911</v>
      </c>
      <c r="AG28" s="347" cm="1">
        <f t="array" ref="AG28">SUM(_xlfn._xlws.FILTER(_xlfn._xlws.FILTER(dataGLPL,dataGLPLAcctIDs=$C28),(startDates&gt;=AG$4)*(endDates&lt;=AG$5)))</f>
        <v>942</v>
      </c>
      <c r="AH28" s="347" cm="1">
        <f t="array" ref="AH28">SUM(_xlfn._xlws.FILTER(_xlfn._xlws.FILTER(dataGLPL,dataGLPLAcctIDs=$C28),(startDates&gt;=AH$4)*(endDates&lt;=AH$5)))</f>
        <v>975</v>
      </c>
      <c r="AI28" s="347" cm="1">
        <f t="array" ref="AI28">SUM(_xlfn._xlws.FILTER(_xlfn._xlws.FILTER(dataGLPL,dataGLPLAcctIDs=$C28),(startDates&gt;=AI$4)*(endDates&lt;=AI$5)))</f>
        <v>1010</v>
      </c>
      <c r="AJ28" s="347" cm="1">
        <f t="array" ref="AJ28">SUM(_xlfn._xlws.FILTER(_xlfn._xlws.FILTER(dataGLPL,dataGLPLAcctIDs=$C28),(startDates&gt;=AJ$4)*(endDates&lt;=AJ$5)))</f>
        <v>1045</v>
      </c>
      <c r="AK28" s="347" cm="1">
        <f t="array" ref="AK28">SUM(_xlfn._xlws.FILTER(_xlfn._xlws.FILTER(dataGLPL,dataGLPLAcctIDs=$C28),(startDates&gt;=AK$4)*(endDates&lt;=AK$5)))</f>
        <v>1081</v>
      </c>
      <c r="AL28" s="347" cm="1">
        <f t="array" ref="AL28">SUM(_xlfn._xlws.FILTER(_xlfn._xlws.FILTER(dataGLPL,dataGLPLAcctIDs=$C28),(startDates&gt;=AL$4)*(endDates&lt;=AL$5)))</f>
        <v>1119</v>
      </c>
      <c r="AM28" s="347" cm="1">
        <f t="array" ref="AM28">SUM(_xlfn._xlws.FILTER(_xlfn._xlws.FILTER(dataGLPL,dataGLPLAcctIDs=$C28),(startDates&gt;=AM$4)*(endDates&lt;=AM$5)))</f>
        <v>1158</v>
      </c>
      <c r="AN28" s="347" cm="1">
        <f t="array" ref="AN28">SUM(_xlfn._xlws.FILTER(_xlfn._xlws.FILTER(dataGLPL,dataGLPLAcctIDs=$C28),(startDates&gt;=AN$4)*(endDates&lt;=AN$5)))</f>
        <v>1180</v>
      </c>
      <c r="AO28" s="347" cm="1">
        <f t="array" ref="AO28">SUM(_xlfn._xlws.FILTER(_xlfn._xlws.FILTER(dataGLPL,dataGLPLAcctIDs=$C28),(startDates&gt;=AO$4)*(endDates&lt;=AO$5)))</f>
        <v>1796</v>
      </c>
      <c r="AP28" s="347" cm="1">
        <f t="array" ref="AP28">SUM(_xlfn._xlws.FILTER(_xlfn._xlws.FILTER(dataGLPL,dataGLPLAcctIDs=$C28),(startDates&gt;=AP$4)*(endDates&lt;=AP$5)))</f>
        <v>1238</v>
      </c>
      <c r="AQ28" s="347" cm="1">
        <f t="array" ref="AQ28">SUM(_xlfn._xlws.FILTER(_xlfn._xlws.FILTER(dataGLPL,dataGLPLAcctIDs=$C28),(startDates&gt;=AQ$4)*(endDates&lt;=AQ$5)))</f>
        <v>1886</v>
      </c>
      <c r="AR28" s="347" cm="1">
        <f t="array" ref="AR28">SUM(_xlfn._xlws.FILTER(_xlfn._xlws.FILTER(dataGLPL,dataGLPLAcctIDs=$C28),(startDates&gt;=AR$4)*(endDates&lt;=AR$5)))</f>
        <v>1300</v>
      </c>
      <c r="AS28" s="347" cm="1">
        <f t="array" ref="AS28">SUM(_xlfn._xlws.FILTER(_xlfn._xlws.FILTER(dataGLPL,dataGLPLAcctIDs=$C28),(startDates&gt;=AS$4)*(endDates&lt;=AS$5)))</f>
        <v>1981</v>
      </c>
      <c r="AT28" s="347" cm="1">
        <f t="array" ref="AT28">SUM(_xlfn._xlws.FILTER(_xlfn._xlws.FILTER(dataGLPL,dataGLPLAcctIDs=$C28),(startDates&gt;=AT$4)*(endDates&lt;=AT$5)))</f>
        <v>1365</v>
      </c>
      <c r="AU28" s="347" cm="1">
        <f t="array" ref="AU28">SUM(_xlfn._xlws.FILTER(_xlfn._xlws.FILTER(dataGLPL,dataGLPLAcctIDs=$C28),(startDates&gt;=AU$4)*(endDates&lt;=AU$5)))</f>
        <v>2080</v>
      </c>
      <c r="AV28" s="347" cm="1">
        <f t="array" ref="AV28">SUM(_xlfn._xlws.FILTER(_xlfn._xlws.FILTER(dataGLPL,dataGLPLAcctIDs=$C28),(startDates&gt;=AV$4)*(endDates&lt;=AV$5)))</f>
        <v>2184</v>
      </c>
      <c r="AW28" s="347" cm="1">
        <f t="array" ref="AW28">SUM(_xlfn._xlws.FILTER(_xlfn._xlws.FILTER(dataGLPL,dataGLPLAcctIDs=$C28),(startDates&gt;=AW$4)*(endDates&lt;=AW$5)))</f>
        <v>2184</v>
      </c>
      <c r="AX28" s="347" cm="1">
        <f t="array" ref="AX28">SUM(_xlfn._xlws.FILTER(_xlfn._xlws.FILTER(dataGLPL,dataGLPLAcctIDs=$C28),(startDates&gt;=AX$4)*(endDates&lt;=AX$5)))</f>
        <v>2293</v>
      </c>
      <c r="AY28" s="347" cm="1">
        <f t="array" ref="AY28">SUM(_xlfn._xlws.FILTER(_xlfn._xlws.FILTER(dataGLPL,dataGLPLAcctIDs=$C28),(startDates&gt;=AY$4)*(endDates&lt;=AY$5)))</f>
        <v>2293</v>
      </c>
      <c r="AZ28" s="347" cm="1">
        <f t="array" ref="AZ28">SUM(_xlfn._xlws.FILTER(_xlfn._xlws.FILTER(dataGLPL,dataGLPLAcctIDs=$C28),(startDates&gt;=AZ$4)*(endDates&lt;=AZ$5)))</f>
        <v>2407</v>
      </c>
      <c r="BA28" s="347" cm="1">
        <f t="array" ref="BA28">SUM(_xlfn._xlws.FILTER(_xlfn._xlws.FILTER(dataGLPL,dataGLPLAcctIDs=$C28),(startDates&gt;=BA$4)*(endDates&lt;=BA$5)))</f>
        <v>2528</v>
      </c>
      <c r="BB28" s="347" cm="1">
        <f t="array" ref="BB28">SUM(_xlfn._xlws.FILTER(_xlfn._xlws.FILTER(dataGLPL,dataGLPLAcctIDs=$C28),(startDates&gt;=BB$4)*(endDates&lt;=BB$5)))</f>
        <v>2654.23</v>
      </c>
      <c r="BC28" s="347" cm="1">
        <f t="array" ref="BC28">SUM(_xlfn._xlws.FILTER(_xlfn._xlws.FILTER(dataGLPL,dataGLPLAcctIDs=$C28),(startDates&gt;=BC$4)*(endDates&lt;=BC$5)))</f>
        <v>2787</v>
      </c>
      <c r="BD28" s="347" cm="1">
        <f t="array" ref="BD28">SUM(_xlfn._xlws.FILTER(_xlfn._xlws.FILTER(dataGLPL,dataGLPLAcctIDs=$C28),(startDates&gt;=BD$4)*(endDates&lt;=BD$5)))</f>
        <v>2926</v>
      </c>
      <c r="BE28" s="347" cm="1">
        <f t="array" ref="BE28">SUM(_xlfn._xlws.FILTER(_xlfn._xlws.FILTER(dataGLPL,dataGLPLAcctIDs=$C28),(startDates&gt;=BE$4)*(endDates&lt;=BE$5)))</f>
        <v>3073</v>
      </c>
      <c r="BF28" s="347" cm="1">
        <f t="array" ref="BF28">SUM(_xlfn._xlws.FILTER(_xlfn._xlws.FILTER(dataGLPL,dataGLPLAcctIDs=$C28),(startDates&gt;=BF$4)*(endDates&lt;=BF$5)))</f>
        <v>3226</v>
      </c>
      <c r="BG28" s="347" cm="1">
        <f t="array" ref="BG28">SUM(_xlfn._xlws.FILTER(_xlfn._xlws.FILTER(dataGLPL,dataGLPLAcctIDs=$C28),(startDates&gt;=BG$4)*(endDates&lt;=BG$5)))</f>
        <v>3387.55</v>
      </c>
      <c r="BH28" s="347" cm="1">
        <f t="array" ref="BH28">SUM(_xlfn._xlws.FILTER(_xlfn._xlws.FILTER(dataGLPL,dataGLPLAcctIDs=$C28),(startDates&gt;=BH$4)*(endDates&lt;=BH$5)))</f>
        <v>3556.93</v>
      </c>
      <c r="BI28" s="347" cm="1">
        <f t="array" ref="BI28">SUM(_xlfn._xlws.FILTER(_xlfn._xlws.FILTER(dataGLPL,dataGLPLAcctIDs=$C28),(startDates&gt;=BI$4)*(endDates&lt;=BI$5)))</f>
        <v>3734.77</v>
      </c>
      <c r="BJ28" s="347" cm="1">
        <f t="array" ref="BJ28">SUM(_xlfn._xlws.FILTER(_xlfn._xlws.FILTER(dataGLPL,dataGLPLAcctIDs=$C28),(startDates&gt;=BJ$4)*(endDates&lt;=BJ$5)))</f>
        <v>3921.51</v>
      </c>
      <c r="BK28" s="347" cm="1">
        <f t="array" ref="BK28">SUM(_xlfn._xlws.FILTER(_xlfn._xlws.FILTER(dataGLPL,dataGLPLAcctIDs=$C28),(startDates&gt;=BK$4)*(endDates&lt;=BK$5)))</f>
        <v>4117.59</v>
      </c>
      <c r="BL28" s="347" cm="1">
        <f t="array" ref="BL28">SUM(_xlfn._xlws.FILTER(_xlfn._xlws.FILTER(dataGLPL,dataGLPLAcctIDs=$C28),(startDates&gt;=BL$4)*(endDates&lt;=BL$5)))</f>
        <v>4323.47</v>
      </c>
      <c r="BM28" s="347" cm="1">
        <f t="array" ref="BM28">SUM(_xlfn._xlws.FILTER(_xlfn._xlws.FILTER(dataGLPL,dataGLPLAcctIDs=$C28),(startDates&gt;=BM$4)*(endDates&lt;=BM$5)))</f>
        <v>4032.3185000000003</v>
      </c>
      <c r="BN28" s="347" cm="1">
        <f t="array" ref="BN28">SUM(_xlfn._xlws.FILTER(_xlfn._xlws.FILTER(dataGLPL,dataGLPLAcctIDs=$C28),(startDates&gt;=BN$4)*(endDates&lt;=BN$5)))</f>
        <v>4145.1529875000006</v>
      </c>
      <c r="BO28" s="347" cm="1">
        <f t="array" ref="BO28">SUM(_xlfn._xlws.FILTER(_xlfn._xlws.FILTER(dataGLPL,dataGLPLAcctIDs=$C28),(startDates&gt;=BO$4)*(endDates&lt;=BO$5)))</f>
        <v>4248.0920103125009</v>
      </c>
      <c r="BP28" s="347" cm="1">
        <f t="array" ref="BP28">SUM(_xlfn._xlws.FILTER(_xlfn._xlws.FILTER(dataGLPL,dataGLPLAcctIDs=$C28),(startDates&gt;=BP$4)*(endDates&lt;=BP$5)))</f>
        <v>4337.9233621171879</v>
      </c>
      <c r="BQ28" s="347" cm="1">
        <f t="array" ref="BQ28">SUM(_xlfn._xlws.FILTER(_xlfn._xlws.FILTER(dataGLPL,dataGLPLAcctIDs=$C28),(startDates&gt;=BQ$4)*(endDates&lt;=BQ$5)))</f>
        <v>4410.7957004876962</v>
      </c>
      <c r="BR28" s="347" cm="1">
        <f t="array" ref="BR28">SUM(_xlfn._xlws.FILTER(_xlfn._xlws.FILTER(dataGLPL,dataGLPLAcctIDs=$C28),(startDates&gt;=BR$4)*(endDates&lt;=BR$5)))</f>
        <v>4462.1066980730429</v>
      </c>
      <c r="BS28" s="347" cm="1">
        <f t="array" ref="BS28">SUM(_xlfn._xlws.FILTER(_xlfn._xlws.FILTER(dataGLPL,dataGLPLAcctIDs=$C28),(startDates&gt;=BS$4)*(endDates&lt;=BS$5)))</f>
        <v>4486.3681202358248</v>
      </c>
      <c r="BT28" s="347" cm="1">
        <f t="array" ref="BT28">SUM(_xlfn._xlws.FILTER(_xlfn._xlws.FILTER(dataGLPL,dataGLPLAcctIDs=$C28),(startDates&gt;=BT$4)*(endDates&lt;=BT$5)))</f>
        <v>4565.826803777094</v>
      </c>
      <c r="BU28" s="347" cm="1">
        <f t="array" ref="BU28">SUM(_xlfn._xlws.FILTER(_xlfn._xlws.FILTER(dataGLPL,dataGLPLAcctIDs=$C28),(startDates&gt;=BU$4)*(endDates&lt;=BU$5)))</f>
        <v>4639.4447216255858</v>
      </c>
      <c r="BV28" s="347" cm="1">
        <f t="array" ref="BV28">SUM(_xlfn._xlws.FILTER(_xlfn._xlws.FILTER(dataGLPL,dataGLPLAcctIDs=$C28),(startDates&gt;=BV$4)*(endDates&lt;=BV$5)))</f>
        <v>4707.9314461053755</v>
      </c>
      <c r="BW28" s="347" cm="1">
        <f t="array" ref="BW28">SUM(_xlfn._xlws.FILTER(_xlfn._xlws.FILTER(dataGLPL,dataGLPLAcctIDs=$C28),(startDates&gt;=BW$4)*(endDates&lt;=BW$5)))</f>
        <v>4772.6828608033084</v>
      </c>
      <c r="BX28" s="347" cm="1">
        <f t="array" ref="BX28">SUM(_xlfn._xlws.FILTER(_xlfn._xlws.FILTER(dataGLPL,dataGLPLAcctIDs=$C28),(startDates&gt;=BX$4)*(endDates&lt;=BX$5)))</f>
        <v>4836.0131138585411</v>
      </c>
      <c r="BY28" s="347" cm="1">
        <f t="array" ref="BY28">SUM(_xlfn._xlws.FILTER(_xlfn._xlws.FILTER(dataGLPL,dataGLPLAcctIDs=$C28),(startDates&gt;=BY$4)*(endDates&lt;=BY$5)))</f>
        <v>4901.4467366210029</v>
      </c>
    </row>
    <row r="29" spans="1:77" s="201" customFormat="1" ht="21" customHeight="1">
      <c r="A29" s="215"/>
      <c r="B29" s="622" t="s">
        <v>240</v>
      </c>
      <c r="C29" s="343">
        <v>186</v>
      </c>
      <c r="D29" s="215"/>
      <c r="E29" s="216"/>
      <c r="F29" s="347" cm="1">
        <f t="array" ref="F29">SUM(_xlfn._xlws.FILTER(_xlfn._xlws.FILTER(dataGLPL,dataGLPLAcctIDs=$C29),(startDates&gt;=F$4)*(endDates&lt;=F$5)))</f>
        <v>10124</v>
      </c>
      <c r="G29" s="347" cm="1">
        <f t="array" ref="G29">SUM(_xlfn._xlws.FILTER(_xlfn._xlws.FILTER(dataGLPL,dataGLPLAcctIDs=$C29),(startDates&gt;=G$4)*(endDates&lt;=G$5)))</f>
        <v>25460</v>
      </c>
      <c r="H29" s="347" cm="1">
        <f t="array" ref="H29">SUM(_xlfn._xlws.FILTER(_xlfn._xlws.FILTER(dataGLPL,dataGLPLAcctIDs=$C29),(startDates&gt;=H$4)*(endDates&lt;=H$5)))</f>
        <v>45835.423000000003</v>
      </c>
      <c r="I29" s="347" cm="1">
        <f t="array" ref="I29">SUM(_xlfn._xlws.FILTER(_xlfn._xlws.FILTER(dataGLPL,dataGLPLAcctIDs=$C29),(startDates&gt;=I$4)*(endDates&lt;=I$5)))</f>
        <v>59862.957279352318</v>
      </c>
      <c r="J29" s="344"/>
      <c r="K29" s="344"/>
      <c r="L29" s="347" cm="1">
        <f t="array" ref="L29">SUM(_xlfn._xlws.FILTER(_xlfn._xlws.FILTER(dataGLPL,dataGLPLAcctIDs=$C29),(startDates&gt;=L$4)*(endDates&lt;=L$5)))</f>
        <v>1864</v>
      </c>
      <c r="M29" s="347" cm="1">
        <f t="array" ref="M29">SUM(_xlfn._xlws.FILTER(_xlfn._xlws.FILTER(dataGLPL,dataGLPLAcctIDs=$C29),(startDates&gt;=M$4)*(endDates&lt;=M$5)))</f>
        <v>2067</v>
      </c>
      <c r="N29" s="347" cm="1">
        <f t="array" ref="N29">SUM(_xlfn._xlws.FILTER(_xlfn._xlws.FILTER(dataGLPL,dataGLPLAcctIDs=$C29),(startDates&gt;=N$4)*(endDates&lt;=N$5)))</f>
        <v>2291</v>
      </c>
      <c r="O29" s="347" cm="1">
        <f t="array" ref="O29">SUM(_xlfn._xlws.FILTER(_xlfn._xlws.FILTER(dataGLPL,dataGLPLAcctIDs=$C29),(startDates&gt;=O$4)*(endDates&lt;=O$5)))</f>
        <v>3902</v>
      </c>
      <c r="P29" s="347" cm="1">
        <f t="array" ref="P29">SUM(_xlfn._xlws.FILTER(_xlfn._xlws.FILTER(dataGLPL,dataGLPLAcctIDs=$C29),(startDates&gt;=P$4)*(endDates&lt;=P$5)))</f>
        <v>4463</v>
      </c>
      <c r="Q29" s="347" cm="1">
        <f t="array" ref="Q29">SUM(_xlfn._xlws.FILTER(_xlfn._xlws.FILTER(dataGLPL,dataGLPLAcctIDs=$C29),(startDates&gt;=Q$4)*(endDates&lt;=Q$5)))</f>
        <v>5745</v>
      </c>
      <c r="R29" s="347" cm="1">
        <f t="array" ref="R29">SUM(_xlfn._xlws.FILTER(_xlfn._xlws.FILTER(dataGLPL,dataGLPLAcctIDs=$C29),(startDates&gt;=R$4)*(endDates&lt;=R$5)))</f>
        <v>7314</v>
      </c>
      <c r="S29" s="347" cm="1">
        <f t="array" ref="S29">SUM(_xlfn._xlws.FILTER(_xlfn._xlws.FILTER(dataGLPL,dataGLPLAcctIDs=$C29),(startDates&gt;=S$4)*(endDates&lt;=S$5)))</f>
        <v>7938</v>
      </c>
      <c r="T29" s="347" cm="1">
        <f t="array" ref="T29">SUM(_xlfn._xlws.FILTER(_xlfn._xlws.FILTER(dataGLPL,dataGLPLAcctIDs=$C29),(startDates&gt;=T$4)*(endDates&lt;=T$5)))</f>
        <v>9187.68</v>
      </c>
      <c r="U29" s="347" cm="1">
        <f t="array" ref="U29">SUM(_xlfn._xlws.FILTER(_xlfn._xlws.FILTER(dataGLPL,dataGLPLAcctIDs=$C29),(startDates&gt;=U$4)*(endDates&lt;=U$5)))</f>
        <v>10636.9</v>
      </c>
      <c r="V29" s="347" cm="1">
        <f t="array" ref="V29">SUM(_xlfn._xlws.FILTER(_xlfn._xlws.FILTER(dataGLPL,dataGLPLAcctIDs=$C29),(startDates&gt;=V$4)*(endDates&lt;=V$5)))</f>
        <v>12313.52</v>
      </c>
      <c r="W29" s="347" cm="1">
        <f t="array" ref="W29">SUM(_xlfn._xlws.FILTER(_xlfn._xlws.FILTER(dataGLPL,dataGLPLAcctIDs=$C29),(startDates&gt;=W$4)*(endDates&lt;=W$5)))</f>
        <v>13697.323</v>
      </c>
      <c r="X29" s="347" cm="1">
        <f t="array" ref="X29">SUM(_xlfn._xlws.FILTER(_xlfn._xlws.FILTER(dataGLPL,dataGLPLAcctIDs=$C29),(startDates&gt;=X$4)*(endDates&lt;=X$5)))</f>
        <v>13980.419668578126</v>
      </c>
      <c r="Y29" s="347" cm="1">
        <f t="array" ref="Y29">SUM(_xlfn._xlws.FILTER(_xlfn._xlws.FILTER(dataGLPL,dataGLPLAcctIDs=$C29),(startDates&gt;=Y$4)*(endDates&lt;=Y$5)))</f>
        <v>14670.148242043542</v>
      </c>
      <c r="Z29" s="347" cm="1">
        <f t="array" ref="Z29">SUM(_xlfn._xlws.FILTER(_xlfn._xlws.FILTER(dataGLPL,dataGLPLAcctIDs=$C29),(startDates&gt;=Z$4)*(endDates&lt;=Z$5)))</f>
        <v>15278.438011979481</v>
      </c>
      <c r="AA29" s="347" cm="1">
        <f t="array" ref="AA29">SUM(_xlfn._xlws.FILTER(_xlfn._xlws.FILTER(dataGLPL,dataGLPLAcctIDs=$C29),(startDates&gt;=AA$4)*(endDates&lt;=AA$5)))</f>
        <v>15933.951356751171</v>
      </c>
      <c r="AB29" s="215"/>
      <c r="AC29" s="344"/>
      <c r="AD29" s="347" cm="1">
        <f t="array" ref="AD29">SUM(_xlfn._xlws.FILTER(_xlfn._xlws.FILTER(dataGLPL,dataGLPLAcctIDs=$C29),(startDates&gt;=AD$4)*(endDates&lt;=AD$5)))</f>
        <v>600</v>
      </c>
      <c r="AE29" s="347" cm="1">
        <f t="array" ref="AE29">SUM(_xlfn._xlws.FILTER(_xlfn._xlws.FILTER(dataGLPL,dataGLPLAcctIDs=$C29),(startDates&gt;=AE$4)*(endDates&lt;=AE$5)))</f>
        <v>621</v>
      </c>
      <c r="AF29" s="347" cm="1">
        <f t="array" ref="AF29">SUM(_xlfn._xlws.FILTER(_xlfn._xlws.FILTER(dataGLPL,dataGLPLAcctIDs=$C29),(startDates&gt;=AF$4)*(endDates&lt;=AF$5)))</f>
        <v>643</v>
      </c>
      <c r="AG29" s="347" cm="1">
        <f t="array" ref="AG29">SUM(_xlfn._xlws.FILTER(_xlfn._xlws.FILTER(dataGLPL,dataGLPLAcctIDs=$C29),(startDates&gt;=AG$4)*(endDates&lt;=AG$5)))</f>
        <v>665</v>
      </c>
      <c r="AH29" s="347" cm="1">
        <f t="array" ref="AH29">SUM(_xlfn._xlws.FILTER(_xlfn._xlws.FILTER(dataGLPL,dataGLPLAcctIDs=$C29),(startDates&gt;=AH$4)*(endDates&lt;=AH$5)))</f>
        <v>689</v>
      </c>
      <c r="AI29" s="347" cm="1">
        <f t="array" ref="AI29">SUM(_xlfn._xlws.FILTER(_xlfn._xlws.FILTER(dataGLPL,dataGLPLAcctIDs=$C29),(startDates&gt;=AI$4)*(endDates&lt;=AI$5)))</f>
        <v>713</v>
      </c>
      <c r="AJ29" s="347" cm="1">
        <f t="array" ref="AJ29">SUM(_xlfn._xlws.FILTER(_xlfn._xlws.FILTER(dataGLPL,dataGLPLAcctIDs=$C29),(startDates&gt;=AJ$4)*(endDates&lt;=AJ$5)))</f>
        <v>738</v>
      </c>
      <c r="AK29" s="347" cm="1">
        <f t="array" ref="AK29">SUM(_xlfn._xlws.FILTER(_xlfn._xlws.FILTER(dataGLPL,dataGLPLAcctIDs=$C29),(startDates&gt;=AK$4)*(endDates&lt;=AK$5)))</f>
        <v>763</v>
      </c>
      <c r="AL29" s="347" cm="1">
        <f t="array" ref="AL29">SUM(_xlfn._xlws.FILTER(_xlfn._xlws.FILTER(dataGLPL,dataGLPLAcctIDs=$C29),(startDates&gt;=AL$4)*(endDates&lt;=AL$5)))</f>
        <v>790</v>
      </c>
      <c r="AM29" s="347" cm="1">
        <f t="array" ref="AM29">SUM(_xlfn._xlws.FILTER(_xlfn._xlws.FILTER(dataGLPL,dataGLPLAcctIDs=$C29),(startDates&gt;=AM$4)*(endDates&lt;=AM$5)))</f>
        <v>818</v>
      </c>
      <c r="AN29" s="347" cm="1">
        <f t="array" ref="AN29">SUM(_xlfn._xlws.FILTER(_xlfn._xlws.FILTER(dataGLPL,dataGLPLAcctIDs=$C29),(startDates&gt;=AN$4)*(endDates&lt;=AN$5)))</f>
        <v>1111</v>
      </c>
      <c r="AO29" s="347" cm="1">
        <f t="array" ref="AO29">SUM(_xlfn._xlws.FILTER(_xlfn._xlws.FILTER(dataGLPL,dataGLPLAcctIDs=$C29),(startDates&gt;=AO$4)*(endDates&lt;=AO$5)))</f>
        <v>1973</v>
      </c>
      <c r="AP29" s="347" cm="1">
        <f t="array" ref="AP29">SUM(_xlfn._xlws.FILTER(_xlfn._xlws.FILTER(dataGLPL,dataGLPLAcctIDs=$C29),(startDates&gt;=AP$4)*(endDates&lt;=AP$5)))</f>
        <v>1167</v>
      </c>
      <c r="AQ29" s="347" cm="1">
        <f t="array" ref="AQ29">SUM(_xlfn._xlws.FILTER(_xlfn._xlws.FILTER(dataGLPL,dataGLPLAcctIDs=$C29),(startDates&gt;=AQ$4)*(endDates&lt;=AQ$5)))</f>
        <v>2071</v>
      </c>
      <c r="AR29" s="347" cm="1">
        <f t="array" ref="AR29">SUM(_xlfn._xlws.FILTER(_xlfn._xlws.FILTER(dataGLPL,dataGLPLAcctIDs=$C29),(startDates&gt;=AR$4)*(endDates&lt;=AR$5)))</f>
        <v>1225</v>
      </c>
      <c r="AS29" s="347" cm="1">
        <f t="array" ref="AS29">SUM(_xlfn._xlws.FILTER(_xlfn._xlws.FILTER(dataGLPL,dataGLPLAcctIDs=$C29),(startDates&gt;=AS$4)*(endDates&lt;=AS$5)))</f>
        <v>2175</v>
      </c>
      <c r="AT29" s="347" cm="1">
        <f t="array" ref="AT29">SUM(_xlfn._xlws.FILTER(_xlfn._xlws.FILTER(dataGLPL,dataGLPLAcctIDs=$C29),(startDates&gt;=AT$4)*(endDates&lt;=AT$5)))</f>
        <v>1286</v>
      </c>
      <c r="AU29" s="347" cm="1">
        <f t="array" ref="AU29">SUM(_xlfn._xlws.FILTER(_xlfn._xlws.FILTER(dataGLPL,dataGLPLAcctIDs=$C29),(startDates&gt;=AU$4)*(endDates&lt;=AU$5)))</f>
        <v>2284</v>
      </c>
      <c r="AV29" s="347" cm="1">
        <f t="array" ref="AV29">SUM(_xlfn._xlws.FILTER(_xlfn._xlws.FILTER(dataGLPL,dataGLPLAcctIDs=$C29),(startDates&gt;=AV$4)*(endDates&lt;=AV$5)))</f>
        <v>2398</v>
      </c>
      <c r="AW29" s="347" cm="1">
        <f t="array" ref="AW29">SUM(_xlfn._xlws.FILTER(_xlfn._xlws.FILTER(dataGLPL,dataGLPLAcctIDs=$C29),(startDates&gt;=AW$4)*(endDates&lt;=AW$5)))</f>
        <v>2398</v>
      </c>
      <c r="AX29" s="347" cm="1">
        <f t="array" ref="AX29">SUM(_xlfn._xlws.FILTER(_xlfn._xlws.FILTER(dataGLPL,dataGLPLAcctIDs=$C29),(startDates&gt;=AX$4)*(endDates&lt;=AX$5)))</f>
        <v>2518</v>
      </c>
      <c r="AY29" s="347" cm="1">
        <f t="array" ref="AY29">SUM(_xlfn._xlws.FILTER(_xlfn._xlws.FILTER(dataGLPL,dataGLPLAcctIDs=$C29),(startDates&gt;=AY$4)*(endDates&lt;=AY$5)))</f>
        <v>2518</v>
      </c>
      <c r="AZ29" s="347" cm="1">
        <f t="array" ref="AZ29">SUM(_xlfn._xlws.FILTER(_xlfn._xlws.FILTER(dataGLPL,dataGLPLAcctIDs=$C29),(startDates&gt;=AZ$4)*(endDates&lt;=AZ$5)))</f>
        <v>2644</v>
      </c>
      <c r="BA29" s="347" cm="1">
        <f t="array" ref="BA29">SUM(_xlfn._xlws.FILTER(_xlfn._xlws.FILTER(dataGLPL,dataGLPLAcctIDs=$C29),(startDates&gt;=BA$4)*(endDates&lt;=BA$5)))</f>
        <v>2776</v>
      </c>
      <c r="BB29" s="347" cm="1">
        <f t="array" ref="BB29">SUM(_xlfn._xlws.FILTER(_xlfn._xlws.FILTER(dataGLPL,dataGLPLAcctIDs=$C29),(startDates&gt;=BB$4)*(endDates&lt;=BB$5)))</f>
        <v>2914.68</v>
      </c>
      <c r="BC29" s="347" cm="1">
        <f t="array" ref="BC29">SUM(_xlfn._xlws.FILTER(_xlfn._xlws.FILTER(dataGLPL,dataGLPLAcctIDs=$C29),(startDates&gt;=BC$4)*(endDates&lt;=BC$5)))</f>
        <v>3060</v>
      </c>
      <c r="BD29" s="347" cm="1">
        <f t="array" ref="BD29">SUM(_xlfn._xlws.FILTER(_xlfn._xlws.FILTER(dataGLPL,dataGLPLAcctIDs=$C29),(startDates&gt;=BD$4)*(endDates&lt;=BD$5)))</f>
        <v>3213</v>
      </c>
      <c r="BE29" s="347" cm="1">
        <f t="array" ref="BE29">SUM(_xlfn._xlws.FILTER(_xlfn._xlws.FILTER(dataGLPL,dataGLPLAcctIDs=$C29),(startDates&gt;=BE$4)*(endDates&lt;=BE$5)))</f>
        <v>3374</v>
      </c>
      <c r="BF29" s="347" cm="1">
        <f t="array" ref="BF29">SUM(_xlfn._xlws.FILTER(_xlfn._xlws.FILTER(dataGLPL,dataGLPLAcctIDs=$C29),(startDates&gt;=BF$4)*(endDates&lt;=BF$5)))</f>
        <v>3543</v>
      </c>
      <c r="BG29" s="347" cm="1">
        <f t="array" ref="BG29">SUM(_xlfn._xlws.FILTER(_xlfn._xlws.FILTER(dataGLPL,dataGLPLAcctIDs=$C29),(startDates&gt;=BG$4)*(endDates&lt;=BG$5)))</f>
        <v>3719.9</v>
      </c>
      <c r="BH29" s="347" cm="1">
        <f t="array" ref="BH29">SUM(_xlfn._xlws.FILTER(_xlfn._xlws.FILTER(dataGLPL,dataGLPLAcctIDs=$C29),(startDates&gt;=BH$4)*(endDates&lt;=BH$5)))</f>
        <v>3905.95</v>
      </c>
      <c r="BI29" s="347" cm="1">
        <f t="array" ref="BI29">SUM(_xlfn._xlws.FILTER(_xlfn._xlws.FILTER(dataGLPL,dataGLPLAcctIDs=$C29),(startDates&gt;=BI$4)*(endDates&lt;=BI$5)))</f>
        <v>4101.25</v>
      </c>
      <c r="BJ29" s="347" cm="1">
        <f t="array" ref="BJ29">SUM(_xlfn._xlws.FILTER(_xlfn._xlws.FILTER(dataGLPL,dataGLPLAcctIDs=$C29),(startDates&gt;=BJ$4)*(endDates&lt;=BJ$5)))</f>
        <v>4306.32</v>
      </c>
      <c r="BK29" s="347" cm="1">
        <f t="array" ref="BK29">SUM(_xlfn._xlws.FILTER(_xlfn._xlws.FILTER(dataGLPL,dataGLPLAcctIDs=$C29),(startDates&gt;=BK$4)*(endDates&lt;=BK$5)))</f>
        <v>4521.63</v>
      </c>
      <c r="BL29" s="347" cm="1">
        <f t="array" ref="BL29">SUM(_xlfn._xlws.FILTER(_xlfn._xlws.FILTER(dataGLPL,dataGLPLAcctIDs=$C29),(startDates&gt;=BL$4)*(endDates&lt;=BL$5)))</f>
        <v>4747.71</v>
      </c>
      <c r="BM29" s="347" cm="1">
        <f t="array" ref="BM29">SUM(_xlfn._xlws.FILTER(_xlfn._xlws.FILTER(dataGLPL,dataGLPLAcctIDs=$C29),(startDates&gt;=BM$4)*(endDates&lt;=BM$5)))</f>
        <v>4427.9829999999993</v>
      </c>
      <c r="BN29" s="347" cm="1">
        <f t="array" ref="BN29">SUM(_xlfn._xlws.FILTER(_xlfn._xlws.FILTER(dataGLPL,dataGLPLAcctIDs=$C29),(startDates&gt;=BN$4)*(endDates&lt;=BN$5)))</f>
        <v>4551.8975250000003</v>
      </c>
      <c r="BO29" s="347" cm="1">
        <f t="array" ref="BO29">SUM(_xlfn._xlws.FILTER(_xlfn._xlws.FILTER(dataGLPL,dataGLPLAcctIDs=$C29),(startDates&gt;=BO$4)*(endDates&lt;=BO$5)))</f>
        <v>4664.9383418750003</v>
      </c>
      <c r="BP29" s="347" cm="1">
        <f t="array" ref="BP29">SUM(_xlfn._xlws.FILTER(_xlfn._xlws.FILTER(dataGLPL,dataGLPLAcctIDs=$C29),(startDates&gt;=BP$4)*(endDates&lt;=BP$5)))</f>
        <v>4763.5838017031256</v>
      </c>
      <c r="BQ29" s="347" cm="1">
        <f t="array" ref="BQ29">SUM(_xlfn._xlws.FILTER(_xlfn._xlws.FILTER(dataGLPL,dataGLPLAcctIDs=$C29),(startDates&gt;=BQ$4)*(endDates&lt;=BQ$5)))</f>
        <v>4843.6049670011726</v>
      </c>
      <c r="BR29" s="347" cm="1">
        <f t="array" ref="BR29">SUM(_xlfn._xlws.FILTER(_xlfn._xlws.FILTER(dataGLPL,dataGLPLAcctIDs=$C29),(startDates&gt;=BR$4)*(endDates&lt;=BR$5)))</f>
        <v>4899.9505862263768</v>
      </c>
      <c r="BS29" s="347" cm="1">
        <f t="array" ref="BS29">SUM(_xlfn._xlws.FILTER(_xlfn._xlws.FILTER(dataGLPL,dataGLPLAcctIDs=$C29),(startDates&gt;=BS$4)*(endDates&lt;=BS$5)))</f>
        <v>4926.5926888159929</v>
      </c>
      <c r="BT29" s="347" cm="1">
        <f t="array" ref="BT29">SUM(_xlfn._xlws.FILTER(_xlfn._xlws.FILTER(dataGLPL,dataGLPLAcctIDs=$C29),(startDates&gt;=BT$4)*(endDates&lt;=BT$5)))</f>
        <v>5013.8493843587921</v>
      </c>
      <c r="BU29" s="347" cm="1">
        <f t="array" ref="BU29">SUM(_xlfn._xlws.FILTER(_xlfn._xlws.FILTER(dataGLPL,dataGLPLAcctIDs=$C29),(startDates&gt;=BU$4)*(endDates&lt;=BU$5)))</f>
        <v>5094.690959746581</v>
      </c>
      <c r="BV29" s="347" cm="1">
        <f t="array" ref="BV29">SUM(_xlfn._xlws.FILTER(_xlfn._xlws.FILTER(dataGLPL,dataGLPLAcctIDs=$C29),(startDates&gt;=BV$4)*(endDates&lt;=BV$5)))</f>
        <v>5169.8976678741074</v>
      </c>
      <c r="BW29" s="347" cm="1">
        <f t="array" ref="BW29">SUM(_xlfn._xlws.FILTER(_xlfn._xlws.FILTER(dataGLPL,dataGLPLAcctIDs=$C29),(startDates&gt;=BW$4)*(endDates&lt;=BW$5)))</f>
        <v>5241.0025944540293</v>
      </c>
      <c r="BX29" s="347" cm="1">
        <f t="array" ref="BX29">SUM(_xlfn._xlws.FILTER(_xlfn._xlws.FILTER(dataGLPL,dataGLPLAcctIDs=$C29),(startDates&gt;=BX$4)*(endDates&lt;=BX$5)))</f>
        <v>5310.5471792582794</v>
      </c>
      <c r="BY29" s="347" cm="1">
        <f t="array" ref="BY29">SUM(_xlfn._xlws.FILTER(_xlfn._xlws.FILTER(dataGLPL,dataGLPLAcctIDs=$C29),(startDates&gt;=BY$4)*(endDates&lt;=BY$5)))</f>
        <v>5382.4015830388626</v>
      </c>
    </row>
    <row r="30" spans="1:77" s="201" customFormat="1" ht="21" customHeight="1">
      <c r="A30" s="215"/>
      <c r="B30" s="622" t="s">
        <v>241</v>
      </c>
      <c r="C30" s="343">
        <v>205</v>
      </c>
      <c r="D30" s="215"/>
      <c r="E30" s="216"/>
      <c r="F30" s="347" cm="1">
        <f t="array" ref="F30">SUM(_xlfn._xlws.FILTER(_xlfn._xlws.FILTER(dataGLPL,dataGLPLAcctIDs=$C30),(startDates&gt;=F$4)*(endDates&lt;=F$5)))</f>
        <v>4295.5</v>
      </c>
      <c r="G30" s="347" cm="1">
        <f t="array" ref="G30">SUM(_xlfn._xlws.FILTER(_xlfn._xlws.FILTER(dataGLPL,dataGLPLAcctIDs=$C30),(startDates&gt;=G$4)*(endDates&lt;=G$5)))</f>
        <v>10437</v>
      </c>
      <c r="H30" s="347" cm="1">
        <f t="array" ref="H30">SUM(_xlfn._xlws.FILTER(_xlfn._xlws.FILTER(dataGLPL,dataGLPLAcctIDs=$C30),(startDates&gt;=H$4)*(endDates&lt;=H$5)))</f>
        <v>17810.973750000001</v>
      </c>
      <c r="I30" s="347" cm="1">
        <f t="array" ref="I30">SUM(_xlfn._xlws.FILTER(_xlfn._xlws.FILTER(dataGLPL,dataGLPLAcctIDs=$C30),(startDates&gt;=I$4)*(endDates&lt;=I$5)))</f>
        <v>23260.8174957827</v>
      </c>
      <c r="J30" s="344"/>
      <c r="K30" s="344"/>
      <c r="L30" s="347" cm="1">
        <f t="array" ref="L30">SUM(_xlfn._xlws.FILTER(_xlfn._xlws.FILTER(dataGLPL,dataGLPLAcctIDs=$C30),(startDates&gt;=L$4)*(endDates&lt;=L$5)))</f>
        <v>777</v>
      </c>
      <c r="M30" s="347" cm="1">
        <f t="array" ref="M30">SUM(_xlfn._xlws.FILTER(_xlfn._xlws.FILTER(dataGLPL,dataGLPLAcctIDs=$C30),(startDates&gt;=M$4)*(endDates&lt;=M$5)))</f>
        <v>861</v>
      </c>
      <c r="N30" s="347" cm="1">
        <f t="array" ref="N30">SUM(_xlfn._xlws.FILTER(_xlfn._xlws.FILTER(dataGLPL,dataGLPLAcctIDs=$C30),(startDates&gt;=N$4)*(endDates&lt;=N$5)))</f>
        <v>954</v>
      </c>
      <c r="O30" s="347" cm="1">
        <f t="array" ref="O30">SUM(_xlfn._xlws.FILTER(_xlfn._xlws.FILTER(dataGLPL,dataGLPLAcctIDs=$C30),(startDates&gt;=O$4)*(endDates&lt;=O$5)))</f>
        <v>1703.5</v>
      </c>
      <c r="P30" s="347" cm="1">
        <f t="array" ref="P30">SUM(_xlfn._xlws.FILTER(_xlfn._xlws.FILTER(dataGLPL,dataGLPLAcctIDs=$C30),(startDates&gt;=P$4)*(endDates&lt;=P$5)))</f>
        <v>2089</v>
      </c>
      <c r="Q30" s="347" cm="1">
        <f t="array" ref="Q30">SUM(_xlfn._xlws.FILTER(_xlfn._xlws.FILTER(dataGLPL,dataGLPLAcctIDs=$C30),(startDates&gt;=Q$4)*(endDates&lt;=Q$5)))</f>
        <v>2422</v>
      </c>
      <c r="R30" s="347" cm="1">
        <f t="array" ref="R30">SUM(_xlfn._xlws.FILTER(_xlfn._xlws.FILTER(dataGLPL,dataGLPLAcctIDs=$C30),(startDates&gt;=R$4)*(endDates&lt;=R$5)))</f>
        <v>2842</v>
      </c>
      <c r="S30" s="347" cm="1">
        <f t="array" ref="S30">SUM(_xlfn._xlws.FILTER(_xlfn._xlws.FILTER(dataGLPL,dataGLPLAcctIDs=$C30),(startDates&gt;=S$4)*(endDates&lt;=S$5)))</f>
        <v>3084</v>
      </c>
      <c r="T30" s="347" cm="1">
        <f t="array" ref="T30">SUM(_xlfn._xlws.FILTER(_xlfn._xlws.FILTER(dataGLPL,dataGLPLAcctIDs=$C30),(startDates&gt;=T$4)*(endDates&lt;=T$5)))</f>
        <v>3570.55</v>
      </c>
      <c r="U30" s="347" cm="1">
        <f t="array" ref="U30">SUM(_xlfn._xlws.FILTER(_xlfn._xlws.FILTER(dataGLPL,dataGLPLAcctIDs=$C30),(startDates&gt;=U$4)*(endDates&lt;=U$5)))</f>
        <v>4133.45</v>
      </c>
      <c r="V30" s="347" cm="1">
        <f t="array" ref="V30">SUM(_xlfn._xlws.FILTER(_xlfn._xlws.FILTER(dataGLPL,dataGLPLAcctIDs=$C30),(startDates&gt;=V$4)*(endDates&lt;=V$5)))</f>
        <v>4784.63</v>
      </c>
      <c r="W30" s="347" cm="1">
        <f t="array" ref="W30">SUM(_xlfn._xlws.FILTER(_xlfn._xlws.FILTER(dataGLPL,dataGLPLAcctIDs=$C30),(startDates&gt;=W$4)*(endDates&lt;=W$5)))</f>
        <v>5322.34375</v>
      </c>
      <c r="X30" s="347" cm="1">
        <f t="array" ref="X30">SUM(_xlfn._xlws.FILTER(_xlfn._xlws.FILTER(dataGLPL,dataGLPLAcctIDs=$C30),(startDates&gt;=X$4)*(endDates&lt;=X$5)))</f>
        <v>5432.3390694726559</v>
      </c>
      <c r="Y30" s="347" cm="1">
        <f t="array" ref="Y30">SUM(_xlfn._xlws.FILTER(_xlfn._xlws.FILTER(dataGLPL,dataGLPLAcctIDs=$C30),(startDates&gt;=Y$4)*(endDates&lt;=Y$5)))</f>
        <v>5700.348692497806</v>
      </c>
      <c r="Z30" s="347" cm="1">
        <f t="array" ref="Z30">SUM(_xlfn._xlws.FILTER(_xlfn._xlws.FILTER(dataGLPL,dataGLPLAcctIDs=$C30),(startDates&gt;=Z$4)*(endDates&lt;=Z$5)))</f>
        <v>5936.7088484757769</v>
      </c>
      <c r="AA30" s="347" cm="1">
        <f t="array" ref="AA30">SUM(_xlfn._xlws.FILTER(_xlfn._xlws.FILTER(dataGLPL,dataGLPLAcctIDs=$C30),(startDates&gt;=AA$4)*(endDates&lt;=AA$5)))</f>
        <v>6191.4208853364617</v>
      </c>
      <c r="AB30" s="215"/>
      <c r="AC30" s="344"/>
      <c r="AD30" s="347" cm="1">
        <f t="array" ref="AD30">SUM(_xlfn._xlws.FILTER(_xlfn._xlws.FILTER(dataGLPL,dataGLPLAcctIDs=$C30),(startDates&gt;=AD$4)*(endDates&lt;=AD$5)))</f>
        <v>250</v>
      </c>
      <c r="AE30" s="347" cm="1">
        <f t="array" ref="AE30">SUM(_xlfn._xlws.FILTER(_xlfn._xlws.FILTER(dataGLPL,dataGLPLAcctIDs=$C30),(startDates&gt;=AE$4)*(endDates&lt;=AE$5)))</f>
        <v>259</v>
      </c>
      <c r="AF30" s="347" cm="1">
        <f t="array" ref="AF30">SUM(_xlfn._xlws.FILTER(_xlfn._xlws.FILTER(dataGLPL,dataGLPLAcctIDs=$C30),(startDates&gt;=AF$4)*(endDates&lt;=AF$5)))</f>
        <v>268</v>
      </c>
      <c r="AG30" s="347" cm="1">
        <f t="array" ref="AG30">SUM(_xlfn._xlws.FILTER(_xlfn._xlws.FILTER(dataGLPL,dataGLPLAcctIDs=$C30),(startDates&gt;=AG$4)*(endDates&lt;=AG$5)))</f>
        <v>277</v>
      </c>
      <c r="AH30" s="347" cm="1">
        <f t="array" ref="AH30">SUM(_xlfn._xlws.FILTER(_xlfn._xlws.FILTER(dataGLPL,dataGLPLAcctIDs=$C30),(startDates&gt;=AH$4)*(endDates&lt;=AH$5)))</f>
        <v>287</v>
      </c>
      <c r="AI30" s="347" cm="1">
        <f t="array" ref="AI30">SUM(_xlfn._xlws.FILTER(_xlfn._xlws.FILTER(dataGLPL,dataGLPLAcctIDs=$C30),(startDates&gt;=AI$4)*(endDates&lt;=AI$5)))</f>
        <v>297</v>
      </c>
      <c r="AJ30" s="347" cm="1">
        <f t="array" ref="AJ30">SUM(_xlfn._xlws.FILTER(_xlfn._xlws.FILTER(dataGLPL,dataGLPLAcctIDs=$C30),(startDates&gt;=AJ$4)*(endDates&lt;=AJ$5)))</f>
        <v>307</v>
      </c>
      <c r="AK30" s="347" cm="1">
        <f t="array" ref="AK30">SUM(_xlfn._xlws.FILTER(_xlfn._xlws.FILTER(dataGLPL,dataGLPLAcctIDs=$C30),(startDates&gt;=AK$4)*(endDates&lt;=AK$5)))</f>
        <v>318</v>
      </c>
      <c r="AL30" s="347" cm="1">
        <f t="array" ref="AL30">SUM(_xlfn._xlws.FILTER(_xlfn._xlws.FILTER(dataGLPL,dataGLPLAcctIDs=$C30),(startDates&gt;=AL$4)*(endDates&lt;=AL$5)))</f>
        <v>329</v>
      </c>
      <c r="AM30" s="347" cm="1">
        <f t="array" ref="AM30">SUM(_xlfn._xlws.FILTER(_xlfn._xlws.FILTER(dataGLPL,dataGLPLAcctIDs=$C30),(startDates&gt;=AM$4)*(endDates&lt;=AM$5)))</f>
        <v>341</v>
      </c>
      <c r="AN30" s="347" cm="1">
        <f t="array" ref="AN30">SUM(_xlfn._xlws.FILTER(_xlfn._xlws.FILTER(dataGLPL,dataGLPLAcctIDs=$C30),(startDates&gt;=AN$4)*(endDates&lt;=AN$5)))</f>
        <v>596</v>
      </c>
      <c r="AO30" s="347" cm="1">
        <f t="array" ref="AO30">SUM(_xlfn._xlws.FILTER(_xlfn._xlws.FILTER(dataGLPL,dataGLPLAcctIDs=$C30),(startDates&gt;=AO$4)*(endDates&lt;=AO$5)))</f>
        <v>766.5</v>
      </c>
      <c r="AP30" s="347" cm="1">
        <f t="array" ref="AP30">SUM(_xlfn._xlws.FILTER(_xlfn._xlws.FILTER(dataGLPL,dataGLPLAcctIDs=$C30),(startDates&gt;=AP$4)*(endDates&lt;=AP$5)))</f>
        <v>626</v>
      </c>
      <c r="AQ30" s="347" cm="1">
        <f t="array" ref="AQ30">SUM(_xlfn._xlws.FILTER(_xlfn._xlws.FILTER(dataGLPL,dataGLPLAcctIDs=$C30),(startDates&gt;=AQ$4)*(endDates&lt;=AQ$5)))</f>
        <v>805</v>
      </c>
      <c r="AR30" s="347" cm="1">
        <f t="array" ref="AR30">SUM(_xlfn._xlws.FILTER(_xlfn._xlws.FILTER(dataGLPL,dataGLPLAcctIDs=$C30),(startDates&gt;=AR$4)*(endDates&lt;=AR$5)))</f>
        <v>658</v>
      </c>
      <c r="AS30" s="347" cm="1">
        <f t="array" ref="AS30">SUM(_xlfn._xlws.FILTER(_xlfn._xlws.FILTER(dataGLPL,dataGLPLAcctIDs=$C30),(startDates&gt;=AS$4)*(endDates&lt;=AS$5)))</f>
        <v>845</v>
      </c>
      <c r="AT30" s="347" cm="1">
        <f t="array" ref="AT30">SUM(_xlfn._xlws.FILTER(_xlfn._xlws.FILTER(dataGLPL,dataGLPLAcctIDs=$C30),(startDates&gt;=AT$4)*(endDates&lt;=AT$5)))</f>
        <v>690</v>
      </c>
      <c r="AU30" s="347" cm="1">
        <f t="array" ref="AU30">SUM(_xlfn._xlws.FILTER(_xlfn._xlws.FILTER(dataGLPL,dataGLPLAcctIDs=$C30),(startDates&gt;=AU$4)*(endDates&lt;=AU$5)))</f>
        <v>887</v>
      </c>
      <c r="AV30" s="347" cm="1">
        <f t="array" ref="AV30">SUM(_xlfn._xlws.FILTER(_xlfn._xlws.FILTER(dataGLPL,dataGLPLAcctIDs=$C30),(startDates&gt;=AV$4)*(endDates&lt;=AV$5)))</f>
        <v>932</v>
      </c>
      <c r="AW30" s="347" cm="1">
        <f t="array" ref="AW30">SUM(_xlfn._xlws.FILTER(_xlfn._xlws.FILTER(dataGLPL,dataGLPLAcctIDs=$C30),(startDates&gt;=AW$4)*(endDates&lt;=AW$5)))</f>
        <v>932</v>
      </c>
      <c r="AX30" s="347" cm="1">
        <f t="array" ref="AX30">SUM(_xlfn._xlws.FILTER(_xlfn._xlws.FILTER(dataGLPL,dataGLPLAcctIDs=$C30),(startDates&gt;=AX$4)*(endDates&lt;=AX$5)))</f>
        <v>978</v>
      </c>
      <c r="AY30" s="347" cm="1">
        <f t="array" ref="AY30">SUM(_xlfn._xlws.FILTER(_xlfn._xlws.FILTER(dataGLPL,dataGLPLAcctIDs=$C30),(startDates&gt;=AY$4)*(endDates&lt;=AY$5)))</f>
        <v>978</v>
      </c>
      <c r="AZ30" s="347" cm="1">
        <f t="array" ref="AZ30">SUM(_xlfn._xlws.FILTER(_xlfn._xlws.FILTER(dataGLPL,dataGLPLAcctIDs=$C30),(startDates&gt;=AZ$4)*(endDates&lt;=AZ$5)))</f>
        <v>1027</v>
      </c>
      <c r="BA30" s="347" cm="1">
        <f t="array" ref="BA30">SUM(_xlfn._xlws.FILTER(_xlfn._xlws.FILTER(dataGLPL,dataGLPLAcctIDs=$C30),(startDates&gt;=BA$4)*(endDates&lt;=BA$5)))</f>
        <v>1079</v>
      </c>
      <c r="BB30" s="347" cm="1">
        <f t="array" ref="BB30">SUM(_xlfn._xlws.FILTER(_xlfn._xlws.FILTER(dataGLPL,dataGLPLAcctIDs=$C30),(startDates&gt;=BB$4)*(endDates&lt;=BB$5)))</f>
        <v>1132.55</v>
      </c>
      <c r="BC30" s="347" cm="1">
        <f t="array" ref="BC30">SUM(_xlfn._xlws.FILTER(_xlfn._xlws.FILTER(dataGLPL,dataGLPLAcctIDs=$C30),(startDates&gt;=BC$4)*(endDates&lt;=BC$5)))</f>
        <v>1189</v>
      </c>
      <c r="BD30" s="347" cm="1">
        <f t="array" ref="BD30">SUM(_xlfn._xlws.FILTER(_xlfn._xlws.FILTER(dataGLPL,dataGLPLAcctIDs=$C30),(startDates&gt;=BD$4)*(endDates&lt;=BD$5)))</f>
        <v>1249</v>
      </c>
      <c r="BE30" s="347" cm="1">
        <f t="array" ref="BE30">SUM(_xlfn._xlws.FILTER(_xlfn._xlws.FILTER(dataGLPL,dataGLPLAcctIDs=$C30),(startDates&gt;=BE$4)*(endDates&lt;=BE$5)))</f>
        <v>1311</v>
      </c>
      <c r="BF30" s="347" cm="1">
        <f t="array" ref="BF30">SUM(_xlfn._xlws.FILTER(_xlfn._xlws.FILTER(dataGLPL,dataGLPLAcctIDs=$C30),(startDates&gt;=BF$4)*(endDates&lt;=BF$5)))</f>
        <v>1377</v>
      </c>
      <c r="BG30" s="347" cm="1">
        <f t="array" ref="BG30">SUM(_xlfn._xlws.FILTER(_xlfn._xlws.FILTER(dataGLPL,dataGLPLAcctIDs=$C30),(startDates&gt;=BG$4)*(endDates&lt;=BG$5)))</f>
        <v>1445.45</v>
      </c>
      <c r="BH30" s="347" cm="1">
        <f t="array" ref="BH30">SUM(_xlfn._xlws.FILTER(_xlfn._xlws.FILTER(dataGLPL,dataGLPLAcctIDs=$C30),(startDates&gt;=BH$4)*(endDates&lt;=BH$5)))</f>
        <v>1517.72</v>
      </c>
      <c r="BI30" s="347" cm="1">
        <f t="array" ref="BI30">SUM(_xlfn._xlws.FILTER(_xlfn._xlws.FILTER(dataGLPL,dataGLPLAcctIDs=$C30),(startDates&gt;=BI$4)*(endDates&lt;=BI$5)))</f>
        <v>1593.63</v>
      </c>
      <c r="BJ30" s="347" cm="1">
        <f t="array" ref="BJ30">SUM(_xlfn._xlws.FILTER(_xlfn._xlws.FILTER(dataGLPL,dataGLPLAcctIDs=$C30),(startDates&gt;=BJ$4)*(endDates&lt;=BJ$5)))</f>
        <v>1673.28</v>
      </c>
      <c r="BK30" s="347" cm="1">
        <f t="array" ref="BK30">SUM(_xlfn._xlws.FILTER(_xlfn._xlws.FILTER(dataGLPL,dataGLPLAcctIDs=$C30),(startDates&gt;=BK$4)*(endDates&lt;=BK$5)))</f>
        <v>1756.96</v>
      </c>
      <c r="BL30" s="347" cm="1">
        <f t="array" ref="BL30">SUM(_xlfn._xlws.FILTER(_xlfn._xlws.FILTER(dataGLPL,dataGLPLAcctIDs=$C30),(startDates&gt;=BL$4)*(endDates&lt;=BL$5)))</f>
        <v>1844.81</v>
      </c>
      <c r="BM30" s="347" cm="1">
        <f t="array" ref="BM30">SUM(_xlfn._xlws.FILTER(_xlfn._xlws.FILTER(dataGLPL,dataGLPLAcctIDs=$C30),(startDates&gt;=BM$4)*(endDates&lt;=BM$5)))</f>
        <v>1720.57375</v>
      </c>
      <c r="BN30" s="347" cm="1">
        <f t="array" ref="BN30">SUM(_xlfn._xlws.FILTER(_xlfn._xlws.FILTER(dataGLPL,dataGLPLAcctIDs=$C30),(startDates&gt;=BN$4)*(endDates&lt;=BN$5)))</f>
        <v>1768.7204062499998</v>
      </c>
      <c r="BO30" s="347" cm="1">
        <f t="array" ref="BO30">SUM(_xlfn._xlws.FILTER(_xlfn._xlws.FILTER(dataGLPL,dataGLPLAcctIDs=$C30),(startDates&gt;=BO$4)*(endDates&lt;=BO$5)))</f>
        <v>1812.6454773437501</v>
      </c>
      <c r="BP30" s="347" cm="1">
        <f t="array" ref="BP30">SUM(_xlfn._xlws.FILTER(_xlfn._xlws.FILTER(dataGLPL,dataGLPLAcctIDs=$C30),(startDates&gt;=BP$4)*(endDates&lt;=BP$5)))</f>
        <v>1850.9731858789062</v>
      </c>
      <c r="BQ30" s="347" cm="1">
        <f t="array" ref="BQ30">SUM(_xlfn._xlws.FILTER(_xlfn._xlws.FILTER(dataGLPL,dataGLPLAcctIDs=$C30),(startDates&gt;=BQ$4)*(endDates&lt;=BQ$5)))</f>
        <v>1882.0694934077146</v>
      </c>
      <c r="BR30" s="347" cm="1">
        <f t="array" ref="BR30">SUM(_xlfn._xlws.FILTER(_xlfn._xlws.FILTER(dataGLPL,dataGLPLAcctIDs=$C30),(startDates&gt;=BR$4)*(endDates&lt;=BR$5)))</f>
        <v>1903.9636547540649</v>
      </c>
      <c r="BS30" s="347" cm="1">
        <f t="array" ref="BS30">SUM(_xlfn._xlws.FILTER(_xlfn._xlws.FILTER(dataGLPL,dataGLPLAcctIDs=$C30),(startDates&gt;=BS$4)*(endDates&lt;=BS$5)))</f>
        <v>1914.3155443360263</v>
      </c>
      <c r="BT30" s="347" cm="1">
        <f t="array" ref="BT30">SUM(_xlfn._xlws.FILTER(_xlfn._xlws.FILTER(dataGLPL,dataGLPLAcctIDs=$C30),(startDates&gt;=BT$4)*(endDates&lt;=BT$5)))</f>
        <v>1948.2203583448306</v>
      </c>
      <c r="BU30" s="347" cm="1">
        <f t="array" ref="BU30">SUM(_xlfn._xlws.FILTER(_xlfn._xlws.FILTER(dataGLPL,dataGLPLAcctIDs=$C30),(startDates&gt;=BU$4)*(endDates&lt;=BU$5)))</f>
        <v>1979.6328499614262</v>
      </c>
      <c r="BV30" s="347" cm="1">
        <f t="array" ref="BV30">SUM(_xlfn._xlws.FILTER(_xlfn._xlws.FILTER(dataGLPL,dataGLPLAcctIDs=$C30),(startDates&gt;=BV$4)*(endDates&lt;=BV$5)))</f>
        <v>2008.8556401695198</v>
      </c>
      <c r="BW30" s="347" cm="1">
        <f t="array" ref="BW30">SUM(_xlfn._xlws.FILTER(_xlfn._xlws.FILTER(dataGLPL,dataGLPLAcctIDs=$C30),(startDates&gt;=BW$4)*(endDates&lt;=BW$5)))</f>
        <v>2036.485069670377</v>
      </c>
      <c r="BX30" s="347" cm="1">
        <f t="array" ref="BX30">SUM(_xlfn._xlws.FILTER(_xlfn._xlws.FILTER(dataGLPL,dataGLPLAcctIDs=$C30),(startDates&gt;=BX$4)*(endDates&lt;=BX$5)))</f>
        <v>2063.5077955163429</v>
      </c>
      <c r="BY30" s="347" cm="1">
        <f t="array" ref="BY30">SUM(_xlfn._xlws.FILTER(_xlfn._xlws.FILTER(dataGLPL,dataGLPLAcctIDs=$C30),(startDates&gt;=BY$4)*(endDates&lt;=BY$5)))</f>
        <v>2091.4280201497418</v>
      </c>
    </row>
    <row r="31" spans="1:77" s="201" customFormat="1" ht="21" customHeight="1">
      <c r="A31" s="215"/>
      <c r="B31" s="342" t="s">
        <v>242</v>
      </c>
      <c r="C31" s="343" t="s">
        <v>243</v>
      </c>
      <c r="D31" s="215"/>
      <c r="E31" s="216"/>
      <c r="F31" s="346">
        <f t="shared" ref="F31:I31" si="24">_xlfn.AGGREGATE(9,0, F$27:F$30)</f>
        <v>27366.5</v>
      </c>
      <c r="G31" s="346">
        <f t="shared" si="24"/>
        <v>59636</v>
      </c>
      <c r="H31" s="346">
        <f t="shared" si="24"/>
        <v>105386.76525000001</v>
      </c>
      <c r="I31" s="346">
        <f t="shared" si="24"/>
        <v>137637.55933665216</v>
      </c>
      <c r="J31" s="344"/>
      <c r="K31" s="344"/>
      <c r="L31" s="346">
        <f t="shared" ref="L31:AA31" si="25">_xlfn.AGGREGATE(9,0, L$27:L$30)</f>
        <v>5282</v>
      </c>
      <c r="M31" s="346">
        <f t="shared" si="25"/>
        <v>5855</v>
      </c>
      <c r="N31" s="346">
        <f t="shared" si="25"/>
        <v>6490</v>
      </c>
      <c r="O31" s="346">
        <f t="shared" si="25"/>
        <v>9739.5</v>
      </c>
      <c r="P31" s="346">
        <f t="shared" si="25"/>
        <v>10976</v>
      </c>
      <c r="Q31" s="346">
        <f t="shared" si="25"/>
        <v>13593</v>
      </c>
      <c r="R31" s="346">
        <f t="shared" si="25"/>
        <v>16817</v>
      </c>
      <c r="S31" s="346">
        <f t="shared" si="25"/>
        <v>18250</v>
      </c>
      <c r="T31" s="346">
        <f t="shared" si="25"/>
        <v>21125.46</v>
      </c>
      <c r="U31" s="346">
        <f t="shared" si="25"/>
        <v>24456.899999999998</v>
      </c>
      <c r="V31" s="346">
        <f t="shared" si="25"/>
        <v>28311.360000000001</v>
      </c>
      <c r="W31" s="346">
        <f t="shared" si="25"/>
        <v>31493.045250000003</v>
      </c>
      <c r="X31" s="346">
        <f t="shared" si="25"/>
        <v>32143.927097980471</v>
      </c>
      <c r="Y31" s="346">
        <f t="shared" si="25"/>
        <v>33729.76745333791</v>
      </c>
      <c r="Z31" s="346">
        <f t="shared" si="25"/>
        <v>35128.349831963315</v>
      </c>
      <c r="AA31" s="346">
        <f t="shared" si="25"/>
        <v>36635.514953370483</v>
      </c>
      <c r="AB31" s="215"/>
      <c r="AC31" s="344"/>
      <c r="AD31" s="346">
        <f>_xlfn.AGGREGATE(9,0, AD$27:AD$30)</f>
        <v>1700</v>
      </c>
      <c r="AE31" s="346">
        <f t="shared" ref="AE31:BY31" si="26">_xlfn.AGGREGATE(9,0, AE$27:AE$30)</f>
        <v>1760</v>
      </c>
      <c r="AF31" s="346">
        <f t="shared" si="26"/>
        <v>1822</v>
      </c>
      <c r="AG31" s="346">
        <f t="shared" si="26"/>
        <v>1884</v>
      </c>
      <c r="AH31" s="346">
        <f t="shared" si="26"/>
        <v>1951</v>
      </c>
      <c r="AI31" s="346">
        <f t="shared" si="26"/>
        <v>2020</v>
      </c>
      <c r="AJ31" s="346">
        <f t="shared" si="26"/>
        <v>2090</v>
      </c>
      <c r="AK31" s="346">
        <f t="shared" si="26"/>
        <v>2162</v>
      </c>
      <c r="AL31" s="346">
        <f t="shared" si="26"/>
        <v>2238</v>
      </c>
      <c r="AM31" s="346">
        <f t="shared" si="26"/>
        <v>2317</v>
      </c>
      <c r="AN31" s="346">
        <f t="shared" si="26"/>
        <v>2887</v>
      </c>
      <c r="AO31" s="346">
        <f t="shared" si="26"/>
        <v>4535.5</v>
      </c>
      <c r="AP31" s="346">
        <f t="shared" si="26"/>
        <v>3031</v>
      </c>
      <c r="AQ31" s="346">
        <f t="shared" si="26"/>
        <v>4762</v>
      </c>
      <c r="AR31" s="346">
        <f t="shared" si="26"/>
        <v>3183</v>
      </c>
      <c r="AS31" s="346">
        <f t="shared" si="26"/>
        <v>5001</v>
      </c>
      <c r="AT31" s="346">
        <f t="shared" si="26"/>
        <v>3341</v>
      </c>
      <c r="AU31" s="346">
        <f t="shared" si="26"/>
        <v>5251</v>
      </c>
      <c r="AV31" s="346">
        <f t="shared" si="26"/>
        <v>5514</v>
      </c>
      <c r="AW31" s="346">
        <f t="shared" si="26"/>
        <v>5514</v>
      </c>
      <c r="AX31" s="346">
        <f t="shared" si="26"/>
        <v>5789</v>
      </c>
      <c r="AY31" s="346">
        <f t="shared" si="26"/>
        <v>5789</v>
      </c>
      <c r="AZ31" s="346">
        <f t="shared" si="26"/>
        <v>6078</v>
      </c>
      <c r="BA31" s="346">
        <f t="shared" si="26"/>
        <v>6383</v>
      </c>
      <c r="BB31" s="346">
        <f t="shared" si="26"/>
        <v>6701.46</v>
      </c>
      <c r="BC31" s="346">
        <f t="shared" si="26"/>
        <v>7036</v>
      </c>
      <c r="BD31" s="346">
        <f t="shared" si="26"/>
        <v>7388</v>
      </c>
      <c r="BE31" s="346">
        <f t="shared" si="26"/>
        <v>7758</v>
      </c>
      <c r="BF31" s="346">
        <f t="shared" si="26"/>
        <v>8146</v>
      </c>
      <c r="BG31" s="346">
        <f t="shared" si="26"/>
        <v>8552.9000000000015</v>
      </c>
      <c r="BH31" s="346">
        <f t="shared" si="26"/>
        <v>8980.5999999999985</v>
      </c>
      <c r="BI31" s="346">
        <f t="shared" si="26"/>
        <v>9429.6500000000015</v>
      </c>
      <c r="BJ31" s="346">
        <f t="shared" si="26"/>
        <v>9901.11</v>
      </c>
      <c r="BK31" s="346">
        <f t="shared" si="26"/>
        <v>10396.18</v>
      </c>
      <c r="BL31" s="346">
        <f t="shared" si="26"/>
        <v>10915.99</v>
      </c>
      <c r="BM31" s="346">
        <f t="shared" si="26"/>
        <v>10180.875249999999</v>
      </c>
      <c r="BN31" s="346">
        <f t="shared" si="26"/>
        <v>10465.770918750002</v>
      </c>
      <c r="BO31" s="346">
        <f t="shared" si="26"/>
        <v>10725.675829531252</v>
      </c>
      <c r="BP31" s="346">
        <f t="shared" si="26"/>
        <v>10952.480349699219</v>
      </c>
      <c r="BQ31" s="346">
        <f t="shared" si="26"/>
        <v>11136.470160896584</v>
      </c>
      <c r="BR31" s="346">
        <f t="shared" si="26"/>
        <v>11266.020939053484</v>
      </c>
      <c r="BS31" s="346">
        <f t="shared" si="26"/>
        <v>11327.276353387844</v>
      </c>
      <c r="BT31" s="346">
        <f t="shared" si="26"/>
        <v>11527.896546480717</v>
      </c>
      <c r="BU31" s="346">
        <f t="shared" si="26"/>
        <v>11713.768531333593</v>
      </c>
      <c r="BV31" s="346">
        <f t="shared" si="26"/>
        <v>11886.684754149002</v>
      </c>
      <c r="BW31" s="346">
        <f t="shared" si="26"/>
        <v>12050.170524927715</v>
      </c>
      <c r="BX31" s="346">
        <f t="shared" si="26"/>
        <v>12210.068088633165</v>
      </c>
      <c r="BY31" s="346">
        <f t="shared" si="26"/>
        <v>12375.276339809607</v>
      </c>
    </row>
    <row r="32" spans="1:77" s="201" customFormat="1" ht="21" customHeight="1">
      <c r="A32" s="215"/>
      <c r="B32" s="218" t="s">
        <v>244</v>
      </c>
      <c r="C32" s="343">
        <v>200</v>
      </c>
      <c r="D32" s="215"/>
      <c r="E32" s="216"/>
      <c r="F32" s="246" cm="1">
        <f t="array" ref="F32">SUM(_xlfn._xlws.FILTER(_xlfn._xlws.FILTER(dataGLPL,dataGLPLAcctIDs=$C32),(startDates&gt;=F$4)*(endDates&lt;=F$5)))</f>
        <v>121082.5</v>
      </c>
      <c r="G32" s="246" cm="1">
        <f t="array" ref="G32">SUM(_xlfn._xlws.FILTER(_xlfn._xlws.FILTER(dataGLPL,dataGLPLAcctIDs=$C32),(startDates&gt;=G$4)*(endDates&lt;=G$5)))</f>
        <v>212414</v>
      </c>
      <c r="H32" s="246" cm="1">
        <f t="array" ref="H32">SUM(_xlfn._xlws.FILTER(_xlfn._xlws.FILTER(dataGLPL,dataGLPLAcctIDs=$C32),(startDates&gt;=H$4)*(endDates&lt;=H$5)))</f>
        <v>339142.83666666667</v>
      </c>
      <c r="I32" s="246" cm="1">
        <f t="array" ref="I32">SUM(_xlfn._xlws.FILTER(_xlfn._xlws.FILTER(dataGLPL,dataGLPLAcctIDs=$C32),(startDates&gt;=I$4)*(endDates&lt;=I$5)))</f>
        <v>80000</v>
      </c>
      <c r="J32" s="344"/>
      <c r="K32" s="344"/>
      <c r="L32" s="246" cm="1">
        <f t="array" ref="L32">SUM(_xlfn._xlws.FILTER(_xlfn._xlws.FILTER(dataGLPL,dataGLPLAcctIDs=$C32),(startDates&gt;=L$4)*(endDates&lt;=L$5)))</f>
        <v>24850</v>
      </c>
      <c r="M32" s="246" cm="1">
        <f t="array" ref="M32">SUM(_xlfn._xlws.FILTER(_xlfn._xlws.FILTER(dataGLPL,dataGLPLAcctIDs=$C32),(startDates&gt;=M$4)*(endDates&lt;=M$5)))</f>
        <v>27551</v>
      </c>
      <c r="N32" s="246" cm="1">
        <f t="array" ref="N32">SUM(_xlfn._xlws.FILTER(_xlfn._xlws.FILTER(dataGLPL,dataGLPLAcctIDs=$C32),(startDates&gt;=N$4)*(endDates&lt;=N$5)))</f>
        <v>30546</v>
      </c>
      <c r="O32" s="246" cm="1">
        <f t="array" ref="O32">SUM(_xlfn._xlws.FILTER(_xlfn._xlws.FILTER(dataGLPL,dataGLPLAcctIDs=$C32),(startDates&gt;=O$4)*(endDates&lt;=O$5)))</f>
        <v>38135.5</v>
      </c>
      <c r="P32" s="246" cm="1">
        <f t="array" ref="P32">SUM(_xlfn._xlws.FILTER(_xlfn._xlws.FILTER(dataGLPL,dataGLPLAcctIDs=$C32),(startDates&gt;=P$4)*(endDates&lt;=P$5)))</f>
        <v>41182</v>
      </c>
      <c r="Q32" s="246" cm="1">
        <f t="array" ref="Q32">SUM(_xlfn._xlws.FILTER(_xlfn._xlws.FILTER(dataGLPL,dataGLPLAcctIDs=$C32),(startDates&gt;=Q$4)*(endDates&lt;=Q$5)))</f>
        <v>48962</v>
      </c>
      <c r="R32" s="246" cm="1">
        <f t="array" ref="R32">SUM(_xlfn._xlws.FILTER(_xlfn._xlws.FILTER(dataGLPL,dataGLPLAcctIDs=$C32),(startDates&gt;=R$4)*(endDates&lt;=R$5)))</f>
        <v>58634</v>
      </c>
      <c r="S32" s="246" cm="1">
        <f t="array" ref="S32">SUM(_xlfn._xlws.FILTER(_xlfn._xlws.FILTER(dataGLPL,dataGLPLAcctIDs=$C32),(startDates&gt;=S$4)*(endDates&lt;=S$5)))</f>
        <v>63636</v>
      </c>
      <c r="T32" s="246" cm="1">
        <f t="array" ref="T32">SUM(_xlfn._xlws.FILTER(_xlfn._xlws.FILTER(dataGLPL,dataGLPLAcctIDs=$C32),(startDates&gt;=T$4)*(endDates&lt;=T$5)))</f>
        <v>73666.37</v>
      </c>
      <c r="U32" s="246" cm="1">
        <f t="array" ref="U32">SUM(_xlfn._xlws.FILTER(_xlfn._xlws.FILTER(dataGLPL,dataGLPLAcctIDs=$C32),(startDates&gt;=U$4)*(endDates&lt;=U$5)))</f>
        <v>85277.35</v>
      </c>
      <c r="V32" s="246" cm="1">
        <f t="array" ref="V32">SUM(_xlfn._xlws.FILTER(_xlfn._xlws.FILTER(dataGLPL,dataGLPLAcctIDs=$C32),(startDates&gt;=V$4)*(endDates&lt;=V$5)))</f>
        <v>98719</v>
      </c>
      <c r="W32" s="246" cm="1">
        <f t="array" ref="W32">SUM(_xlfn._xlws.FILTER(_xlfn._xlws.FILTER(dataGLPL,dataGLPLAcctIDs=$C32),(startDates&gt;=W$4)*(endDates&lt;=W$5)))</f>
        <v>81480.116666666669</v>
      </c>
      <c r="X32" s="246" cm="1">
        <f t="array" ref="X32">SUM(_xlfn._xlws.FILTER(_xlfn._xlws.FILTER(dataGLPL,dataGLPLAcctIDs=$C32),(startDates&gt;=X$4)*(endDates&lt;=X$5)))</f>
        <v>20000</v>
      </c>
      <c r="Y32" s="246" cm="1">
        <f t="array" ref="Y32">SUM(_xlfn._xlws.FILTER(_xlfn._xlws.FILTER(dataGLPL,dataGLPLAcctIDs=$C32),(startDates&gt;=Y$4)*(endDates&lt;=Y$5)))</f>
        <v>20000</v>
      </c>
      <c r="Z32" s="246" cm="1">
        <f t="array" ref="Z32">SUM(_xlfn._xlws.FILTER(_xlfn._xlws.FILTER(dataGLPL,dataGLPLAcctIDs=$C32),(startDates&gt;=Z$4)*(endDates&lt;=Z$5)))</f>
        <v>20000</v>
      </c>
      <c r="AA32" s="246" cm="1">
        <f t="array" ref="AA32">SUM(_xlfn._xlws.FILTER(_xlfn._xlws.FILTER(dataGLPL,dataGLPLAcctIDs=$C32),(startDates&gt;=AA$4)*(endDates&lt;=AA$5)))</f>
        <v>20000</v>
      </c>
      <c r="AB32" s="215"/>
      <c r="AC32" s="344"/>
      <c r="AD32" s="246" cm="1">
        <f t="array" ref="AD32">SUM(_xlfn._xlws.FILTER(_xlfn._xlws.FILTER(dataGLPL,dataGLPLAcctIDs=$C32),(startDates&gt;=AD$4)*(endDates&lt;=AD$5)))</f>
        <v>8000</v>
      </c>
      <c r="AE32" s="246" cm="1">
        <f t="array" ref="AE32">SUM(_xlfn._xlws.FILTER(_xlfn._xlws.FILTER(dataGLPL,dataGLPLAcctIDs=$C32),(startDates&gt;=AE$4)*(endDates&lt;=AE$5)))</f>
        <v>8280</v>
      </c>
      <c r="AF32" s="246" cm="1">
        <f t="array" ref="AF32">SUM(_xlfn._xlws.FILTER(_xlfn._xlws.FILTER(dataGLPL,dataGLPLAcctIDs=$C32),(startDates&gt;=AF$4)*(endDates&lt;=AF$5)))</f>
        <v>8570</v>
      </c>
      <c r="AG32" s="246" cm="1">
        <f t="array" ref="AG32">SUM(_xlfn._xlws.FILTER(_xlfn._xlws.FILTER(dataGLPL,dataGLPLAcctIDs=$C32),(startDates&gt;=AG$4)*(endDates&lt;=AG$5)))</f>
        <v>8870</v>
      </c>
      <c r="AH32" s="246" cm="1">
        <f t="array" ref="AH32">SUM(_xlfn._xlws.FILTER(_xlfn._xlws.FILTER(dataGLPL,dataGLPLAcctIDs=$C32),(startDates&gt;=AH$4)*(endDates&lt;=AH$5)))</f>
        <v>9180</v>
      </c>
      <c r="AI32" s="246" cm="1">
        <f t="array" ref="AI32">SUM(_xlfn._xlws.FILTER(_xlfn._xlws.FILTER(dataGLPL,dataGLPLAcctIDs=$C32),(startDates&gt;=AI$4)*(endDates&lt;=AI$5)))</f>
        <v>9501</v>
      </c>
      <c r="AJ32" s="246" cm="1">
        <f t="array" ref="AJ32">SUM(_xlfn._xlws.FILTER(_xlfn._xlws.FILTER(dataGLPL,dataGLPLAcctIDs=$C32),(startDates&gt;=AJ$4)*(endDates&lt;=AJ$5)))</f>
        <v>9834</v>
      </c>
      <c r="AK32" s="246" cm="1">
        <f t="array" ref="AK32">SUM(_xlfn._xlws.FILTER(_xlfn._xlws.FILTER(dataGLPL,dataGLPLAcctIDs=$C32),(startDates&gt;=AK$4)*(endDates&lt;=AK$5)))</f>
        <v>10178</v>
      </c>
      <c r="AL32" s="246" cm="1">
        <f t="array" ref="AL32">SUM(_xlfn._xlws.FILTER(_xlfn._xlws.FILTER(dataGLPL,dataGLPLAcctIDs=$C32),(startDates&gt;=AL$4)*(endDates&lt;=AL$5)))</f>
        <v>10534</v>
      </c>
      <c r="AM32" s="246" cm="1">
        <f t="array" ref="AM32">SUM(_xlfn._xlws.FILTER(_xlfn._xlws.FILTER(dataGLPL,dataGLPLAcctIDs=$C32),(startDates&gt;=AM$4)*(endDates&lt;=AM$5)))</f>
        <v>10903</v>
      </c>
      <c r="AN32" s="246" cm="1">
        <f t="array" ref="AN32">SUM(_xlfn._xlws.FILTER(_xlfn._xlws.FILTER(dataGLPL,dataGLPLAcctIDs=$C32),(startDates&gt;=AN$4)*(endDates&lt;=AN$5)))</f>
        <v>11416.5</v>
      </c>
      <c r="AO32" s="246" cm="1">
        <f t="array" ref="AO32">SUM(_xlfn._xlws.FILTER(_xlfn._xlws.FILTER(dataGLPL,dataGLPLAcctIDs=$C32),(startDates&gt;=AO$4)*(endDates&lt;=AO$5)))</f>
        <v>15816</v>
      </c>
      <c r="AP32" s="246" cm="1">
        <f t="array" ref="AP32">SUM(_xlfn._xlws.FILTER(_xlfn._xlws.FILTER(dataGLPL,dataGLPLAcctIDs=$C32),(startDates&gt;=AP$4)*(endDates&lt;=AP$5)))</f>
        <v>11988</v>
      </c>
      <c r="AQ32" s="246" cm="1">
        <f t="array" ref="AQ32">SUM(_xlfn._xlws.FILTER(_xlfn._xlws.FILTER(dataGLPL,dataGLPLAcctIDs=$C32),(startDates&gt;=AQ$4)*(endDates&lt;=AQ$5)))</f>
        <v>16607</v>
      </c>
      <c r="AR32" s="246" cm="1">
        <f t="array" ref="AR32">SUM(_xlfn._xlws.FILTER(_xlfn._xlws.FILTER(dataGLPL,dataGLPLAcctIDs=$C32),(startDates&gt;=AR$4)*(endDates&lt;=AR$5)))</f>
        <v>12587</v>
      </c>
      <c r="AS32" s="246" cm="1">
        <f t="array" ref="AS32">SUM(_xlfn._xlws.FILTER(_xlfn._xlws.FILTER(dataGLPL,dataGLPLAcctIDs=$C32),(startDates&gt;=AS$4)*(endDates&lt;=AS$5)))</f>
        <v>17437</v>
      </c>
      <c r="AT32" s="246" cm="1">
        <f t="array" ref="AT32">SUM(_xlfn._xlws.FILTER(_xlfn._xlws.FILTER(dataGLPL,dataGLPLAcctIDs=$C32),(startDates&gt;=AT$4)*(endDates&lt;=AT$5)))</f>
        <v>13216</v>
      </c>
      <c r="AU32" s="246" cm="1">
        <f t="array" ref="AU32">SUM(_xlfn._xlws.FILTER(_xlfn._xlws.FILTER(dataGLPL,dataGLPLAcctIDs=$C32),(startDates&gt;=AU$4)*(endDates&lt;=AU$5)))</f>
        <v>18309</v>
      </c>
      <c r="AV32" s="246" cm="1">
        <f t="array" ref="AV32">SUM(_xlfn._xlws.FILTER(_xlfn._xlws.FILTER(dataGLPL,dataGLPLAcctIDs=$C32),(startDates&gt;=AV$4)*(endDates&lt;=AV$5)))</f>
        <v>19224</v>
      </c>
      <c r="AW32" s="246" cm="1">
        <f t="array" ref="AW32">SUM(_xlfn._xlws.FILTER(_xlfn._xlws.FILTER(dataGLPL,dataGLPLAcctIDs=$C32),(startDates&gt;=AW$4)*(endDates&lt;=AW$5)))</f>
        <v>19224</v>
      </c>
      <c r="AX32" s="246" cm="1">
        <f t="array" ref="AX32">SUM(_xlfn._xlws.FILTER(_xlfn._xlws.FILTER(dataGLPL,dataGLPLAcctIDs=$C32),(startDates&gt;=AX$4)*(endDates&lt;=AX$5)))</f>
        <v>20186</v>
      </c>
      <c r="AY32" s="246" cm="1">
        <f t="array" ref="AY32">SUM(_xlfn._xlws.FILTER(_xlfn._xlws.FILTER(dataGLPL,dataGLPLAcctIDs=$C32),(startDates&gt;=AY$4)*(endDates&lt;=AY$5)))</f>
        <v>20186</v>
      </c>
      <c r="AZ32" s="246" cm="1">
        <f t="array" ref="AZ32">SUM(_xlfn._xlws.FILTER(_xlfn._xlws.FILTER(dataGLPL,dataGLPLAcctIDs=$C32),(startDates&gt;=AZ$4)*(endDates&lt;=AZ$5)))</f>
        <v>21195</v>
      </c>
      <c r="BA32" s="246" cm="1">
        <f t="array" ref="BA32">SUM(_xlfn._xlws.FILTER(_xlfn._xlws.FILTER(dataGLPL,dataGLPLAcctIDs=$C32),(startDates&gt;=BA$4)*(endDates&lt;=BA$5)))</f>
        <v>22255</v>
      </c>
      <c r="BB32" s="246" cm="1">
        <f t="array" ref="BB32">SUM(_xlfn._xlws.FILTER(_xlfn._xlws.FILTER(dataGLPL,dataGLPLAcctIDs=$C32),(startDates&gt;=BB$4)*(endDates&lt;=BB$5)))</f>
        <v>23367.37</v>
      </c>
      <c r="BC32" s="246" cm="1">
        <f t="array" ref="BC32">SUM(_xlfn._xlws.FILTER(_xlfn._xlws.FILTER(dataGLPL,dataGLPLAcctIDs=$C32),(startDates&gt;=BC$4)*(endDates&lt;=BC$5)))</f>
        <v>24536</v>
      </c>
      <c r="BD32" s="246" cm="1">
        <f t="array" ref="BD32">SUM(_xlfn._xlws.FILTER(_xlfn._xlws.FILTER(dataGLPL,dataGLPLAcctIDs=$C32),(startDates&gt;=BD$4)*(endDates&lt;=BD$5)))</f>
        <v>25763</v>
      </c>
      <c r="BE32" s="246" cm="1">
        <f t="array" ref="BE32">SUM(_xlfn._xlws.FILTER(_xlfn._xlws.FILTER(dataGLPL,dataGLPLAcctIDs=$C32),(startDates&gt;=BE$4)*(endDates&lt;=BE$5)))</f>
        <v>27051</v>
      </c>
      <c r="BF32" s="246" cm="1">
        <f t="array" ref="BF32">SUM(_xlfn._xlws.FILTER(_xlfn._xlws.FILTER(dataGLPL,dataGLPLAcctIDs=$C32),(startDates&gt;=BF$4)*(endDates&lt;=BF$5)))</f>
        <v>28403</v>
      </c>
      <c r="BG32" s="246" cm="1">
        <f t="array" ref="BG32">SUM(_xlfn._xlws.FILTER(_xlfn._xlws.FILTER(dataGLPL,dataGLPLAcctIDs=$C32),(startDates&gt;=BG$4)*(endDates&lt;=BG$5)))</f>
        <v>29823.35</v>
      </c>
      <c r="BH32" s="246" cm="1">
        <f t="array" ref="BH32">SUM(_xlfn._xlws.FILTER(_xlfn._xlws.FILTER(dataGLPL,dataGLPLAcctIDs=$C32),(startDates&gt;=BH$4)*(endDates&lt;=BH$5)))</f>
        <v>31314.51</v>
      </c>
      <c r="BI32" s="246" cm="1">
        <f t="array" ref="BI32">SUM(_xlfn._xlws.FILTER(_xlfn._xlws.FILTER(dataGLPL,dataGLPLAcctIDs=$C32),(startDates&gt;=BI$4)*(endDates&lt;=BI$5)))</f>
        <v>32880.239999999998</v>
      </c>
      <c r="BJ32" s="246" cm="1">
        <f t="array" ref="BJ32">SUM(_xlfn._xlws.FILTER(_xlfn._xlws.FILTER(dataGLPL,dataGLPLAcctIDs=$C32),(startDates&gt;=BJ$4)*(endDates&lt;=BJ$5)))</f>
        <v>34524.25</v>
      </c>
      <c r="BK32" s="246" cm="1">
        <f t="array" ref="BK32">SUM(_xlfn._xlws.FILTER(_xlfn._xlws.FILTER(dataGLPL,dataGLPLAcctIDs=$C32),(startDates&gt;=BK$4)*(endDates&lt;=BK$5)))</f>
        <v>36250.46</v>
      </c>
      <c r="BL32" s="246" cm="1">
        <f t="array" ref="BL32">SUM(_xlfn._xlws.FILTER(_xlfn._xlws.FILTER(dataGLPL,dataGLPLAcctIDs=$C32),(startDates&gt;=BL$4)*(endDates&lt;=BL$5)))</f>
        <v>38562.99</v>
      </c>
      <c r="BM32" s="246" cm="1">
        <f t="array" ref="BM32">SUM(_xlfn._xlws.FILTER(_xlfn._xlws.FILTER(dataGLPL,dataGLPLAcctIDs=$C32),(startDates&gt;=BM$4)*(endDates&lt;=BM$5)))</f>
        <v>6666.666666666667</v>
      </c>
      <c r="BN32" s="246" cm="1">
        <f t="array" ref="BN32">SUM(_xlfn._xlws.FILTER(_xlfn._xlws.FILTER(dataGLPL,dataGLPLAcctIDs=$C32),(startDates&gt;=BN$4)*(endDates&lt;=BN$5)))</f>
        <v>6666.666666666667</v>
      </c>
      <c r="BO32" s="246" cm="1">
        <f t="array" ref="BO32">SUM(_xlfn._xlws.FILTER(_xlfn._xlws.FILTER(dataGLPL,dataGLPLAcctIDs=$C32),(startDates&gt;=BO$4)*(endDates&lt;=BO$5)))</f>
        <v>6666.666666666667</v>
      </c>
      <c r="BP32" s="246" cm="1">
        <f t="array" ref="BP32">SUM(_xlfn._xlws.FILTER(_xlfn._xlws.FILTER(dataGLPL,dataGLPLAcctIDs=$C32),(startDates&gt;=BP$4)*(endDates&lt;=BP$5)))</f>
        <v>6666.666666666667</v>
      </c>
      <c r="BQ32" s="246" cm="1">
        <f t="array" ref="BQ32">SUM(_xlfn._xlws.FILTER(_xlfn._xlws.FILTER(dataGLPL,dataGLPLAcctIDs=$C32),(startDates&gt;=BQ$4)*(endDates&lt;=BQ$5)))</f>
        <v>6666.666666666667</v>
      </c>
      <c r="BR32" s="246" cm="1">
        <f t="array" ref="BR32">SUM(_xlfn._xlws.FILTER(_xlfn._xlws.FILTER(dataGLPL,dataGLPLAcctIDs=$C32),(startDates&gt;=BR$4)*(endDates&lt;=BR$5)))</f>
        <v>6666.666666666667</v>
      </c>
      <c r="BS32" s="246" cm="1">
        <f t="array" ref="BS32">SUM(_xlfn._xlws.FILTER(_xlfn._xlws.FILTER(dataGLPL,dataGLPLAcctIDs=$C32),(startDates&gt;=BS$4)*(endDates&lt;=BS$5)))</f>
        <v>6666.666666666667</v>
      </c>
      <c r="BT32" s="246" cm="1">
        <f t="array" ref="BT32">SUM(_xlfn._xlws.FILTER(_xlfn._xlws.FILTER(dataGLPL,dataGLPLAcctIDs=$C32),(startDates&gt;=BT$4)*(endDates&lt;=BT$5)))</f>
        <v>6666.666666666667</v>
      </c>
      <c r="BU32" s="246" cm="1">
        <f t="array" ref="BU32">SUM(_xlfn._xlws.FILTER(_xlfn._xlws.FILTER(dataGLPL,dataGLPLAcctIDs=$C32),(startDates&gt;=BU$4)*(endDates&lt;=BU$5)))</f>
        <v>6666.666666666667</v>
      </c>
      <c r="BV32" s="246" cm="1">
        <f t="array" ref="BV32">SUM(_xlfn._xlws.FILTER(_xlfn._xlws.FILTER(dataGLPL,dataGLPLAcctIDs=$C32),(startDates&gt;=BV$4)*(endDates&lt;=BV$5)))</f>
        <v>6666.666666666667</v>
      </c>
      <c r="BW32" s="246" cm="1">
        <f t="array" ref="BW32">SUM(_xlfn._xlws.FILTER(_xlfn._xlws.FILTER(dataGLPL,dataGLPLAcctIDs=$C32),(startDates&gt;=BW$4)*(endDates&lt;=BW$5)))</f>
        <v>6666.666666666667</v>
      </c>
      <c r="BX32" s="246" cm="1">
        <f t="array" ref="BX32">SUM(_xlfn._xlws.FILTER(_xlfn._xlws.FILTER(dataGLPL,dataGLPLAcctIDs=$C32),(startDates&gt;=BX$4)*(endDates&lt;=BX$5)))</f>
        <v>6666.666666666667</v>
      </c>
      <c r="BY32" s="246" cm="1">
        <f t="array" ref="BY32">SUM(_xlfn._xlws.FILTER(_xlfn._xlws.FILTER(dataGLPL,dataGLPLAcctIDs=$C32),(startDates&gt;=BY$4)*(endDates&lt;=BY$5)))</f>
        <v>6666.666666666667</v>
      </c>
    </row>
    <row r="33" spans="1:77" s="201" customFormat="1" ht="21" customHeight="1">
      <c r="A33" s="215"/>
      <c r="B33" s="218" t="s">
        <v>245</v>
      </c>
      <c r="C33" s="343">
        <v>166</v>
      </c>
      <c r="D33" s="215"/>
      <c r="E33" s="216"/>
      <c r="F33" s="246" cm="1">
        <f t="array" ref="F33">SUM(_xlfn._xlws.FILTER(_xlfn._xlws.FILTER(dataGLPL,dataGLPLAcctIDs=$C33),(startDates&gt;=F$4)*(endDates&lt;=F$5)))</f>
        <v>6017</v>
      </c>
      <c r="G33" s="246" cm="1">
        <f t="array" ref="G33">SUM(_xlfn._xlws.FILTER(_xlfn._xlws.FILTER(dataGLPL,dataGLPLAcctIDs=$C33),(startDates&gt;=G$4)*(endDates&lt;=G$5)))</f>
        <v>14737.66</v>
      </c>
      <c r="H33" s="246" cm="1">
        <f t="array" ref="H33">SUM(_xlfn._xlws.FILTER(_xlfn._xlws.FILTER(dataGLPL,dataGLPLAcctIDs=$C33),(startDates&gt;=H$4)*(endDates&lt;=H$5)))</f>
        <v>25294.312750000001</v>
      </c>
      <c r="I33" s="246" cm="1">
        <f t="array" ref="I33">SUM(_xlfn._xlws.FILTER(_xlfn._xlws.FILTER(dataGLPL,dataGLPLAcctIDs=$C33),(startDates&gt;=I$4)*(endDates&lt;=I$5)))</f>
        <v>33031.533110807097</v>
      </c>
      <c r="J33" s="344"/>
      <c r="K33" s="344"/>
      <c r="L33" s="246" cm="1">
        <f t="array" ref="L33">SUM(_xlfn._xlws.FILTER(_xlfn._xlws.FILTER(dataGLPL,dataGLPLAcctIDs=$C33),(startDates&gt;=L$4)*(endDates&lt;=L$5)))</f>
        <v>1087</v>
      </c>
      <c r="M33" s="246" cm="1">
        <f t="array" ref="M33">SUM(_xlfn._xlws.FILTER(_xlfn._xlws.FILTER(dataGLPL,dataGLPLAcctIDs=$C33),(startDates&gt;=M$4)*(endDates&lt;=M$5)))</f>
        <v>1206</v>
      </c>
      <c r="N33" s="246" cm="1">
        <f t="array" ref="N33">SUM(_xlfn._xlws.FILTER(_xlfn._xlws.FILTER(dataGLPL,dataGLPLAcctIDs=$C33),(startDates&gt;=N$4)*(endDates&lt;=N$5)))</f>
        <v>1336.5</v>
      </c>
      <c r="O33" s="246" cm="1">
        <f t="array" ref="O33">SUM(_xlfn._xlws.FILTER(_xlfn._xlws.FILTER(dataGLPL,dataGLPLAcctIDs=$C33),(startDates&gt;=O$4)*(endDates&lt;=O$5)))</f>
        <v>2387.5</v>
      </c>
      <c r="P33" s="246" cm="1">
        <f t="array" ref="P33">SUM(_xlfn._xlws.FILTER(_xlfn._xlws.FILTER(dataGLPL,dataGLPLAcctIDs=$C33),(startDates&gt;=P$4)*(endDates&lt;=P$5)))</f>
        <v>2912.5</v>
      </c>
      <c r="Q33" s="246" cm="1">
        <f t="array" ref="Q33">SUM(_xlfn._xlws.FILTER(_xlfn._xlws.FILTER(dataGLPL,dataGLPLAcctIDs=$C33),(startDates&gt;=Q$4)*(endDates&lt;=Q$5)))</f>
        <v>3412.5</v>
      </c>
      <c r="R33" s="246" cm="1">
        <f t="array" ref="R33">SUM(_xlfn._xlws.FILTER(_xlfn._xlws.FILTER(dataGLPL,dataGLPLAcctIDs=$C33),(startDates&gt;=R$4)*(endDates&lt;=R$5)))</f>
        <v>4034.5</v>
      </c>
      <c r="S33" s="246" cm="1">
        <f t="array" ref="S33">SUM(_xlfn._xlws.FILTER(_xlfn._xlws.FILTER(dataGLPL,dataGLPLAcctIDs=$C33),(startDates&gt;=S$4)*(endDates&lt;=S$5)))</f>
        <v>4378.16</v>
      </c>
      <c r="T33" s="246" cm="1">
        <f t="array" ref="T33">SUM(_xlfn._xlws.FILTER(_xlfn._xlws.FILTER(dataGLPL,dataGLPLAcctIDs=$C33),(startDates&gt;=T$4)*(endDates&lt;=T$5)))</f>
        <v>5072.28</v>
      </c>
      <c r="U33" s="246" cm="1">
        <f t="array" ref="U33">SUM(_xlfn._xlws.FILTER(_xlfn._xlws.FILTER(dataGLPL,dataGLPLAcctIDs=$C33),(startDates&gt;=U$4)*(endDates&lt;=U$5)))</f>
        <v>5869.62</v>
      </c>
      <c r="V33" s="246" cm="1">
        <f t="array" ref="V33">SUM(_xlfn._xlws.FILTER(_xlfn._xlws.FILTER(dataGLPL,dataGLPLAcctIDs=$C33),(startDates&gt;=V$4)*(endDates&lt;=V$5)))</f>
        <v>6794.42</v>
      </c>
      <c r="W33" s="246" cm="1">
        <f t="array" ref="W33">SUM(_xlfn._xlws.FILTER(_xlfn._xlws.FILTER(dataGLPL,dataGLPLAcctIDs=$C33),(startDates&gt;=W$4)*(endDates&lt;=W$5)))</f>
        <v>7557.9927499999994</v>
      </c>
      <c r="X33" s="246" cm="1">
        <f t="array" ref="X33">SUM(_xlfn._xlws.FILTER(_xlfn._xlws.FILTER(dataGLPL,dataGLPLAcctIDs=$C33),(startDates&gt;=X$4)*(endDates&lt;=X$5)))</f>
        <v>7714.1957959882802</v>
      </c>
      <c r="Y33" s="246" cm="1">
        <f t="array" ref="Y33">SUM(_xlfn._xlws.FILTER(_xlfn._xlws.FILTER(dataGLPL,dataGLPLAcctIDs=$C33),(startDates&gt;=Y$4)*(endDates&lt;=Y$5)))</f>
        <v>8094.7817385451781</v>
      </c>
      <c r="Z33" s="246" cm="1">
        <f t="array" ref="Z33">SUM(_xlfn._xlws.FILTER(_xlfn._xlws.FILTER(dataGLPL,dataGLPLAcctIDs=$C33),(startDates&gt;=Z$4)*(endDates&lt;=Z$5)))</f>
        <v>8430.4259412691554</v>
      </c>
      <c r="AA33" s="246" cm="1">
        <f t="array" ref="AA33">SUM(_xlfn._xlws.FILTER(_xlfn._xlws.FILTER(dataGLPL,dataGLPLAcctIDs=$C33),(startDates&gt;=AA$4)*(endDates&lt;=AA$5)))</f>
        <v>8792.1296350044868</v>
      </c>
      <c r="AB33" s="215"/>
      <c r="AC33" s="344"/>
      <c r="AD33" s="246" cm="1">
        <f t="array" ref="AD33">SUM(_xlfn._xlws.FILTER(_xlfn._xlws.FILTER(dataGLPL,dataGLPLAcctIDs=$C33),(startDates&gt;=AD$4)*(endDates&lt;=AD$5)))</f>
        <v>350</v>
      </c>
      <c r="AE33" s="246" cm="1">
        <f t="array" ref="AE33">SUM(_xlfn._xlws.FILTER(_xlfn._xlws.FILTER(dataGLPL,dataGLPLAcctIDs=$C33),(startDates&gt;=AE$4)*(endDates&lt;=AE$5)))</f>
        <v>362</v>
      </c>
      <c r="AF33" s="246" cm="1">
        <f t="array" ref="AF33">SUM(_xlfn._xlws.FILTER(_xlfn._xlws.FILTER(dataGLPL,dataGLPLAcctIDs=$C33),(startDates&gt;=AF$4)*(endDates&lt;=AF$5)))</f>
        <v>375</v>
      </c>
      <c r="AG33" s="246" cm="1">
        <f t="array" ref="AG33">SUM(_xlfn._xlws.FILTER(_xlfn._xlws.FILTER(dataGLPL,dataGLPLAcctIDs=$C33),(startDates&gt;=AG$4)*(endDates&lt;=AG$5)))</f>
        <v>388</v>
      </c>
      <c r="AH33" s="246" cm="1">
        <f t="array" ref="AH33">SUM(_xlfn._xlws.FILTER(_xlfn._xlws.FILTER(dataGLPL,dataGLPLAcctIDs=$C33),(startDates&gt;=AH$4)*(endDates&lt;=AH$5)))</f>
        <v>402</v>
      </c>
      <c r="AI33" s="246" cm="1">
        <f t="array" ref="AI33">SUM(_xlfn._xlws.FILTER(_xlfn._xlws.FILTER(dataGLPL,dataGLPLAcctIDs=$C33),(startDates&gt;=AI$4)*(endDates&lt;=AI$5)))</f>
        <v>416</v>
      </c>
      <c r="AJ33" s="246" cm="1">
        <f t="array" ref="AJ33">SUM(_xlfn._xlws.FILTER(_xlfn._xlws.FILTER(dataGLPL,dataGLPLAcctIDs=$C33),(startDates&gt;=AJ$4)*(endDates&lt;=AJ$5)))</f>
        <v>430</v>
      </c>
      <c r="AK33" s="246" cm="1">
        <f t="array" ref="AK33">SUM(_xlfn._xlws.FILTER(_xlfn._xlws.FILTER(dataGLPL,dataGLPLAcctIDs=$C33),(startDates&gt;=AK$4)*(endDates&lt;=AK$5)))</f>
        <v>445.5</v>
      </c>
      <c r="AL33" s="246" cm="1">
        <f t="array" ref="AL33">SUM(_xlfn._xlws.FILTER(_xlfn._xlws.FILTER(dataGLPL,dataGLPLAcctIDs=$C33),(startDates&gt;=AL$4)*(endDates&lt;=AL$5)))</f>
        <v>461</v>
      </c>
      <c r="AM33" s="246" cm="1">
        <f t="array" ref="AM33">SUM(_xlfn._xlws.FILTER(_xlfn._xlws.FILTER(dataGLPL,dataGLPLAcctIDs=$C33),(startDates&gt;=AM$4)*(endDates&lt;=AM$5)))</f>
        <v>477.5</v>
      </c>
      <c r="AN33" s="246" cm="1">
        <f t="array" ref="AN33">SUM(_xlfn._xlws.FILTER(_xlfn._xlws.FILTER(dataGLPL,dataGLPLAcctIDs=$C33),(startDates&gt;=AN$4)*(endDates&lt;=AN$5)))</f>
        <v>821.5</v>
      </c>
      <c r="AO33" s="246" cm="1">
        <f t="array" ref="AO33">SUM(_xlfn._xlws.FILTER(_xlfn._xlws.FILTER(dataGLPL,dataGLPLAcctIDs=$C33),(startDates&gt;=AO$4)*(endDates&lt;=AO$5)))</f>
        <v>1088.5</v>
      </c>
      <c r="AP33" s="246" cm="1">
        <f t="array" ref="AP33">SUM(_xlfn._xlws.FILTER(_xlfn._xlws.FILTER(dataGLPL,dataGLPLAcctIDs=$C33),(startDates&gt;=AP$4)*(endDates&lt;=AP$5)))</f>
        <v>863.5</v>
      </c>
      <c r="AQ33" s="246" cm="1">
        <f t="array" ref="AQ33">SUM(_xlfn._xlws.FILTER(_xlfn._xlws.FILTER(dataGLPL,dataGLPLAcctIDs=$C33),(startDates&gt;=AQ$4)*(endDates&lt;=AQ$5)))</f>
        <v>1143</v>
      </c>
      <c r="AR33" s="246" cm="1">
        <f t="array" ref="AR33">SUM(_xlfn._xlws.FILTER(_xlfn._xlws.FILTER(dataGLPL,dataGLPLAcctIDs=$C33),(startDates&gt;=AR$4)*(endDates&lt;=AR$5)))</f>
        <v>906</v>
      </c>
      <c r="AS33" s="246" cm="1">
        <f t="array" ref="AS33">SUM(_xlfn._xlws.FILTER(_xlfn._xlws.FILTER(dataGLPL,dataGLPLAcctIDs=$C33),(startDates&gt;=AS$4)*(endDates&lt;=AS$5)))</f>
        <v>1200</v>
      </c>
      <c r="AT33" s="246" cm="1">
        <f t="array" ref="AT33">SUM(_xlfn._xlws.FILTER(_xlfn._xlws.FILTER(dataGLPL,dataGLPLAcctIDs=$C33),(startDates&gt;=AT$4)*(endDates&lt;=AT$5)))</f>
        <v>952</v>
      </c>
      <c r="AU33" s="246" cm="1">
        <f t="array" ref="AU33">SUM(_xlfn._xlws.FILTER(_xlfn._xlws.FILTER(dataGLPL,dataGLPLAcctIDs=$C33),(startDates&gt;=AU$4)*(endDates&lt;=AU$5)))</f>
        <v>1260.5</v>
      </c>
      <c r="AV33" s="246" cm="1">
        <f t="array" ref="AV33">SUM(_xlfn._xlws.FILTER(_xlfn._xlws.FILTER(dataGLPL,dataGLPLAcctIDs=$C33),(startDates&gt;=AV$4)*(endDates&lt;=AV$5)))</f>
        <v>1323</v>
      </c>
      <c r="AW33" s="246" cm="1">
        <f t="array" ref="AW33">SUM(_xlfn._xlws.FILTER(_xlfn._xlws.FILTER(dataGLPL,dataGLPLAcctIDs=$C33),(startDates&gt;=AW$4)*(endDates&lt;=AW$5)))</f>
        <v>1322.5</v>
      </c>
      <c r="AX33" s="246" cm="1">
        <f t="array" ref="AX33">SUM(_xlfn._xlws.FILTER(_xlfn._xlws.FILTER(dataGLPL,dataGLPLAcctIDs=$C33),(startDates&gt;=AX$4)*(endDates&lt;=AX$5)))</f>
        <v>1389</v>
      </c>
      <c r="AY33" s="246" cm="1">
        <f t="array" ref="AY33">SUM(_xlfn._xlws.FILTER(_xlfn._xlws.FILTER(dataGLPL,dataGLPLAcctIDs=$C33),(startDates&gt;=AY$4)*(endDates&lt;=AY$5)))</f>
        <v>1389.33</v>
      </c>
      <c r="AZ33" s="246" cm="1">
        <f t="array" ref="AZ33">SUM(_xlfn._xlws.FILTER(_xlfn._xlws.FILTER(dataGLPL,dataGLPLAcctIDs=$C33),(startDates&gt;=AZ$4)*(endDates&lt;=AZ$5)))</f>
        <v>1459.33</v>
      </c>
      <c r="BA33" s="246" cm="1">
        <f t="array" ref="BA33">SUM(_xlfn._xlws.FILTER(_xlfn._xlws.FILTER(dataGLPL,dataGLPLAcctIDs=$C33),(startDates&gt;=BA$4)*(endDates&lt;=BA$5)))</f>
        <v>1529.5</v>
      </c>
      <c r="BB33" s="246" cm="1">
        <f t="array" ref="BB33">SUM(_xlfn._xlws.FILTER(_xlfn._xlws.FILTER(dataGLPL,dataGLPLAcctIDs=$C33),(startDates&gt;=BB$4)*(endDates&lt;=BB$5)))</f>
        <v>1608.28</v>
      </c>
      <c r="BC33" s="246" cm="1">
        <f t="array" ref="BC33">SUM(_xlfn._xlws.FILTER(_xlfn._xlws.FILTER(dataGLPL,dataGLPLAcctIDs=$C33),(startDates&gt;=BC$4)*(endDates&lt;=BC$5)))</f>
        <v>1691</v>
      </c>
      <c r="BD33" s="246" cm="1">
        <f t="array" ref="BD33">SUM(_xlfn._xlws.FILTER(_xlfn._xlws.FILTER(dataGLPL,dataGLPLAcctIDs=$C33),(startDates&gt;=BD$4)*(endDates&lt;=BD$5)))</f>
        <v>1773</v>
      </c>
      <c r="BE33" s="246" cm="1">
        <f t="array" ref="BE33">SUM(_xlfn._xlws.FILTER(_xlfn._xlws.FILTER(dataGLPL,dataGLPLAcctIDs=$C33),(startDates&gt;=BE$4)*(endDates&lt;=BE$5)))</f>
        <v>1862</v>
      </c>
      <c r="BF33" s="246" cm="1">
        <f t="array" ref="BF33">SUM(_xlfn._xlws.FILTER(_xlfn._xlws.FILTER(dataGLPL,dataGLPLAcctIDs=$C33),(startDates&gt;=BF$4)*(endDates&lt;=BF$5)))</f>
        <v>1955</v>
      </c>
      <c r="BG33" s="246" cm="1">
        <f t="array" ref="BG33">SUM(_xlfn._xlws.FILTER(_xlfn._xlws.FILTER(dataGLPL,dataGLPLAcctIDs=$C33),(startDates&gt;=BG$4)*(endDates&lt;=BG$5)))</f>
        <v>2052.62</v>
      </c>
      <c r="BH33" s="246" cm="1">
        <f t="array" ref="BH33">SUM(_xlfn._xlws.FILTER(_xlfn._xlws.FILTER(dataGLPL,dataGLPLAcctIDs=$C33),(startDates&gt;=BH$4)*(endDates&lt;=BH$5)))</f>
        <v>2155.25</v>
      </c>
      <c r="BI33" s="246" cm="1">
        <f t="array" ref="BI33">SUM(_xlfn._xlws.FILTER(_xlfn._xlws.FILTER(dataGLPL,dataGLPLAcctIDs=$C33),(startDates&gt;=BI$4)*(endDates&lt;=BI$5)))</f>
        <v>2263.0100000000002</v>
      </c>
      <c r="BJ33" s="246" cm="1">
        <f t="array" ref="BJ33">SUM(_xlfn._xlws.FILTER(_xlfn._xlws.FILTER(dataGLPL,dataGLPLAcctIDs=$C33),(startDates&gt;=BJ$4)*(endDates&lt;=BJ$5)))</f>
        <v>2376.16</v>
      </c>
      <c r="BK33" s="246" cm="1">
        <f t="array" ref="BK33">SUM(_xlfn._xlws.FILTER(_xlfn._xlws.FILTER(dataGLPL,dataGLPLAcctIDs=$C33),(startDates&gt;=BK$4)*(endDates&lt;=BK$5)))</f>
        <v>2494.9699999999998</v>
      </c>
      <c r="BL33" s="246" cm="1">
        <f t="array" ref="BL33">SUM(_xlfn._xlws.FILTER(_xlfn._xlws.FILTER(dataGLPL,dataGLPLAcctIDs=$C33),(startDates&gt;=BL$4)*(endDates&lt;=BL$5)))</f>
        <v>2619.7199999999998</v>
      </c>
      <c r="BM33" s="246" cm="1">
        <f t="array" ref="BM33">SUM(_xlfn._xlws.FILTER(_xlfn._xlws.FILTER(dataGLPL,dataGLPLAcctIDs=$C33),(startDates&gt;=BM$4)*(endDates&lt;=BM$5)))</f>
        <v>2443.3027499999998</v>
      </c>
      <c r="BN33" s="246" cm="1">
        <f t="array" ref="BN33">SUM(_xlfn._xlws.FILTER(_xlfn._xlws.FILTER(dataGLPL,dataGLPLAcctIDs=$C33),(startDates&gt;=BN$4)*(endDates&lt;=BN$5)))</f>
        <v>2511.6722312500001</v>
      </c>
      <c r="BO33" s="246" cm="1">
        <f t="array" ref="BO33">SUM(_xlfn._xlws.FILTER(_xlfn._xlws.FILTER(dataGLPL,dataGLPLAcctIDs=$C33),(startDates&gt;=BO$4)*(endDates&lt;=BO$5)))</f>
        <v>2574.0461217187503</v>
      </c>
      <c r="BP33" s="246" cm="1">
        <f t="array" ref="BP33">SUM(_xlfn._xlws.FILTER(_xlfn._xlws.FILTER(dataGLPL,dataGLPLAcctIDs=$C33),(startDates&gt;=BP$4)*(endDates&lt;=BP$5)))</f>
        <v>2628.4774430195307</v>
      </c>
      <c r="BQ33" s="246" cm="1">
        <f t="array" ref="BQ33">SUM(_xlfn._xlws.FILTER(_xlfn._xlws.FILTER(dataGLPL,dataGLPLAcctIDs=$C33),(startDates&gt;=BQ$4)*(endDates&lt;=BQ$5)))</f>
        <v>2672.6329955479496</v>
      </c>
      <c r="BR33" s="246" cm="1">
        <f t="array" ref="BR33">SUM(_xlfn._xlws.FILTER(_xlfn._xlws.FILTER(dataGLPL,dataGLPLAcctIDs=$C33),(startDates&gt;=BR$4)*(endDates&lt;=BR$5)))</f>
        <v>2703.7240197688407</v>
      </c>
      <c r="BS33" s="246" cm="1">
        <f t="array" ref="BS33">SUM(_xlfn._xlws.FILTER(_xlfn._xlws.FILTER(dataGLPL,dataGLPLAcctIDs=$C33),(startDates&gt;=BS$4)*(endDates&lt;=BS$5)))</f>
        <v>2718.4247232283874</v>
      </c>
      <c r="BT33" s="246" cm="1">
        <f t="array" ref="BT33">SUM(_xlfn._xlws.FILTER(_xlfn._xlws.FILTER(dataGLPL,dataGLPLAcctIDs=$C33),(startDates&gt;=BT$4)*(endDates&lt;=BT$5)))</f>
        <v>2766.5710685433555</v>
      </c>
      <c r="BU33" s="246" cm="1">
        <f t="array" ref="BU33">SUM(_xlfn._xlws.FILTER(_xlfn._xlws.FILTER(dataGLPL,dataGLPLAcctIDs=$C33),(startDates&gt;=BU$4)*(endDates&lt;=BU$5)))</f>
        <v>2811.178365069693</v>
      </c>
      <c r="BV33" s="246" cm="1">
        <f t="array" ref="BV33">SUM(_xlfn._xlws.FILTER(_xlfn._xlws.FILTER(dataGLPL,dataGLPLAcctIDs=$C33),(startDates&gt;=BV$4)*(endDates&lt;=BV$5)))</f>
        <v>2852.6765076561073</v>
      </c>
      <c r="BW33" s="246" cm="1">
        <f t="array" ref="BW33">SUM(_xlfn._xlws.FILTER(_xlfn._xlws.FILTER(dataGLPL,dataGLPLAcctIDs=$C33),(startDates&gt;=BW$4)*(endDates&lt;=BW$5)))</f>
        <v>2891.9113439675079</v>
      </c>
      <c r="BX33" s="246" cm="1">
        <f t="array" ref="BX33">SUM(_xlfn._xlws.FILTER(_xlfn._xlws.FILTER(dataGLPL,dataGLPLAcctIDs=$C33),(startDates&gt;=BX$4)*(endDates&lt;=BX$5)))</f>
        <v>2930.2850549409313</v>
      </c>
      <c r="BY33" s="246" cm="1">
        <f t="array" ref="BY33">SUM(_xlfn._xlws.FILTER(_xlfn._xlws.FILTER(dataGLPL,dataGLPLAcctIDs=$C33),(startDates&gt;=BY$4)*(endDates&lt;=BY$5)))</f>
        <v>2969.933236096047</v>
      </c>
    </row>
    <row r="34" spans="1:77" s="201" customFormat="1" ht="21" customHeight="1">
      <c r="A34" s="215"/>
      <c r="B34" s="218" t="s">
        <v>246</v>
      </c>
      <c r="C34" s="343">
        <v>167</v>
      </c>
      <c r="D34" s="215"/>
      <c r="E34" s="216"/>
      <c r="F34" s="246" cm="1">
        <f t="array" ref="F34">SUM(_xlfn._xlws.FILTER(_xlfn._xlws.FILTER(dataGLPL,dataGLPLAcctIDs=$C34),(startDates&gt;=F$4)*(endDates&lt;=F$5)))</f>
        <v>158710</v>
      </c>
      <c r="G34" s="246" cm="1">
        <f t="array" ref="G34">SUM(_xlfn._xlws.FILTER(_xlfn._xlws.FILTER(dataGLPL,dataGLPLAcctIDs=$C34),(startDates&gt;=G$4)*(endDates&lt;=G$5)))</f>
        <v>339253</v>
      </c>
      <c r="H34" s="246" cm="1">
        <f t="array" ref="H34">SUM(_xlfn._xlws.FILTER(_xlfn._xlws.FILTER(dataGLPL,dataGLPLAcctIDs=$C34),(startDates&gt;=H$4)*(endDates&lt;=H$5)))</f>
        <v>607785.07400000002</v>
      </c>
      <c r="I34" s="246" cm="1">
        <f t="array" ref="I34">SUM(_xlfn._xlws.FILTER(_xlfn._xlws.FILTER(dataGLPL,dataGLPLAcctIDs=$C34),(startDates&gt;=I$4)*(endDates&lt;=I$5)))</f>
        <v>793779.29047577432</v>
      </c>
      <c r="J34" s="344"/>
      <c r="K34" s="344"/>
      <c r="L34" s="246" cm="1">
        <f t="array" ref="L34">SUM(_xlfn._xlws.FILTER(_xlfn._xlws.FILTER(dataGLPL,dataGLPLAcctIDs=$C34),(startDates&gt;=L$4)*(endDates&lt;=L$5)))</f>
        <v>31062</v>
      </c>
      <c r="M34" s="246" cm="1">
        <f t="array" ref="M34">SUM(_xlfn._xlws.FILTER(_xlfn._xlws.FILTER(dataGLPL,dataGLPLAcctIDs=$C34),(startDates&gt;=M$4)*(endDates&lt;=M$5)))</f>
        <v>34439</v>
      </c>
      <c r="N34" s="246" cm="1">
        <f t="array" ref="N34">SUM(_xlfn._xlws.FILTER(_xlfn._xlws.FILTER(dataGLPL,dataGLPLAcctIDs=$C34),(startDates&gt;=N$4)*(endDates&lt;=N$5)))</f>
        <v>38184.5</v>
      </c>
      <c r="O34" s="246" cm="1">
        <f t="array" ref="O34">SUM(_xlfn._xlws.FILTER(_xlfn._xlws.FILTER(dataGLPL,dataGLPLAcctIDs=$C34),(startDates&gt;=O$4)*(endDates&lt;=O$5)))</f>
        <v>55024.5</v>
      </c>
      <c r="P34" s="246" cm="1">
        <f t="array" ref="P34">SUM(_xlfn._xlws.FILTER(_xlfn._xlws.FILTER(dataGLPL,dataGLPLAcctIDs=$C34),(startDates&gt;=P$4)*(endDates&lt;=P$5)))</f>
        <v>60265</v>
      </c>
      <c r="Q34" s="246" cm="1">
        <f t="array" ref="Q34">SUM(_xlfn._xlws.FILTER(_xlfn._xlws.FILTER(dataGLPL,dataGLPLAcctIDs=$C34),(startDates&gt;=Q$4)*(endDates&lt;=Q$5)))</f>
        <v>76761</v>
      </c>
      <c r="R34" s="246" cm="1">
        <f t="array" ref="R34">SUM(_xlfn._xlws.FILTER(_xlfn._xlws.FILTER(dataGLPL,dataGLPLAcctIDs=$C34),(startDates&gt;=R$4)*(endDates&lt;=R$5)))</f>
        <v>96978</v>
      </c>
      <c r="S34" s="246" cm="1">
        <f t="array" ref="S34">SUM(_xlfn._xlws.FILTER(_xlfn._xlws.FILTER(dataGLPL,dataGLPLAcctIDs=$C34),(startDates&gt;=S$4)*(endDates&lt;=S$5)))</f>
        <v>105249</v>
      </c>
      <c r="T34" s="246" cm="1">
        <f t="array" ref="T34">SUM(_xlfn._xlws.FILTER(_xlfn._xlws.FILTER(dataGLPL,dataGLPLAcctIDs=$C34),(startDates&gt;=T$4)*(endDates&lt;=T$5)))</f>
        <v>121839.5</v>
      </c>
      <c r="U34" s="246" cm="1">
        <f t="array" ref="U34">SUM(_xlfn._xlws.FILTER(_xlfn._xlws.FILTER(dataGLPL,dataGLPLAcctIDs=$C34),(startDates&gt;=U$4)*(endDates&lt;=U$5)))</f>
        <v>141043.37</v>
      </c>
      <c r="V34" s="246" cm="1">
        <f t="array" ref="V34">SUM(_xlfn._xlws.FILTER(_xlfn._xlws.FILTER(dataGLPL,dataGLPLAcctIDs=$C34),(startDates&gt;=V$4)*(endDates&lt;=V$5)))</f>
        <v>163276.46000000002</v>
      </c>
      <c r="W34" s="246" cm="1">
        <f t="array" ref="W34">SUM(_xlfn._xlws.FILTER(_xlfn._xlws.FILTER(dataGLPL,dataGLPLAcctIDs=$C34),(startDates&gt;=W$4)*(endDates&lt;=W$5)))</f>
        <v>181625.74400000001</v>
      </c>
      <c r="X34" s="246" cm="1">
        <f t="array" ref="X34">SUM(_xlfn._xlws.FILTER(_xlfn._xlws.FILTER(dataGLPL,dataGLPLAcctIDs=$C34),(startDates&gt;=X$4)*(endDates&lt;=X$5)))</f>
        <v>185379.50696081255</v>
      </c>
      <c r="Y34" s="246" cm="1">
        <f t="array" ref="Y34">SUM(_xlfn._xlws.FILTER(_xlfn._xlws.FILTER(dataGLPL,dataGLPLAcctIDs=$C34),(startDates&gt;=Y$4)*(endDates&lt;=Y$5)))</f>
        <v>194525.32683456937</v>
      </c>
      <c r="Z34" s="246" cm="1">
        <f t="array" ref="Z34">SUM(_xlfn._xlws.FILTER(_xlfn._xlws.FILTER(dataGLPL,dataGLPLAcctIDs=$C34),(startDates&gt;=Z$4)*(endDates&lt;=Z$5)))</f>
        <v>202591.18745577335</v>
      </c>
      <c r="AA34" s="246" cm="1">
        <f t="array" ref="AA34">SUM(_xlfn._xlws.FILTER(_xlfn._xlws.FILTER(dataGLPL,dataGLPLAcctIDs=$C34),(startDates&gt;=AA$4)*(endDates&lt;=AA$5)))</f>
        <v>211283.26922461909</v>
      </c>
      <c r="AB34" s="215"/>
      <c r="AC34" s="344"/>
      <c r="AD34" s="246" cm="1">
        <f t="array" ref="AD34">SUM(_xlfn._xlws.FILTER(_xlfn._xlws.FILTER(dataGLPL,dataGLPLAcctIDs=$C34),(startDates&gt;=AD$4)*(endDates&lt;=AD$5)))</f>
        <v>10000</v>
      </c>
      <c r="AE34" s="246" cm="1">
        <f t="array" ref="AE34">SUM(_xlfn._xlws.FILTER(_xlfn._xlws.FILTER(dataGLPL,dataGLPLAcctIDs=$C34),(startDates&gt;=AE$4)*(endDates&lt;=AE$5)))</f>
        <v>10350</v>
      </c>
      <c r="AF34" s="246" cm="1">
        <f t="array" ref="AF34">SUM(_xlfn._xlws.FILTER(_xlfn._xlws.FILTER(dataGLPL,dataGLPLAcctIDs=$C34),(startDates&gt;=AF$4)*(endDates&lt;=AF$5)))</f>
        <v>10712</v>
      </c>
      <c r="AG34" s="246" cm="1">
        <f t="array" ref="AG34">SUM(_xlfn._xlws.FILTER(_xlfn._xlws.FILTER(dataGLPL,dataGLPLAcctIDs=$C34),(startDates&gt;=AG$4)*(endDates&lt;=AG$5)))</f>
        <v>11087</v>
      </c>
      <c r="AH34" s="246" cm="1">
        <f t="array" ref="AH34">SUM(_xlfn._xlws.FILTER(_xlfn._xlws.FILTER(dataGLPL,dataGLPLAcctIDs=$C34),(startDates&gt;=AH$4)*(endDates&lt;=AH$5)))</f>
        <v>11475</v>
      </c>
      <c r="AI34" s="246" cm="1">
        <f t="array" ref="AI34">SUM(_xlfn._xlws.FILTER(_xlfn._xlws.FILTER(dataGLPL,dataGLPLAcctIDs=$C34),(startDates&gt;=AI$4)*(endDates&lt;=AI$5)))</f>
        <v>11877</v>
      </c>
      <c r="AJ34" s="246" cm="1">
        <f t="array" ref="AJ34">SUM(_xlfn._xlws.FILTER(_xlfn._xlws.FILTER(dataGLPL,dataGLPLAcctIDs=$C34),(startDates&gt;=AJ$4)*(endDates&lt;=AJ$5)))</f>
        <v>12293</v>
      </c>
      <c r="AK34" s="246" cm="1">
        <f t="array" ref="AK34">SUM(_xlfn._xlws.FILTER(_xlfn._xlws.FILTER(dataGLPL,dataGLPLAcctIDs=$C34),(startDates&gt;=AK$4)*(endDates&lt;=AK$5)))</f>
        <v>12723.5</v>
      </c>
      <c r="AL34" s="246" cm="1">
        <f t="array" ref="AL34">SUM(_xlfn._xlws.FILTER(_xlfn._xlws.FILTER(dataGLPL,dataGLPLAcctIDs=$C34),(startDates&gt;=AL$4)*(endDates&lt;=AL$5)))</f>
        <v>13168</v>
      </c>
      <c r="AM34" s="246" cm="1">
        <f t="array" ref="AM34">SUM(_xlfn._xlws.FILTER(_xlfn._xlws.FILTER(dataGLPL,dataGLPLAcctIDs=$C34),(startDates&gt;=AM$4)*(endDates&lt;=AM$5)))</f>
        <v>13629</v>
      </c>
      <c r="AN34" s="246" cm="1">
        <f t="array" ref="AN34">SUM(_xlfn._xlws.FILTER(_xlfn._xlws.FILTER(dataGLPL,dataGLPLAcctIDs=$C34),(startDates&gt;=AN$4)*(endDates&lt;=AN$5)))</f>
        <v>15237</v>
      </c>
      <c r="AO34" s="246" cm="1">
        <f t="array" ref="AO34">SUM(_xlfn._xlws.FILTER(_xlfn._xlws.FILTER(dataGLPL,dataGLPLAcctIDs=$C34),(startDates&gt;=AO$4)*(endDates&lt;=AO$5)))</f>
        <v>26158.5</v>
      </c>
      <c r="AP34" s="246" cm="1">
        <f t="array" ref="AP34">SUM(_xlfn._xlws.FILTER(_xlfn._xlws.FILTER(dataGLPL,dataGLPLAcctIDs=$C34),(startDates&gt;=AP$4)*(endDates&lt;=AP$5)))</f>
        <v>15999</v>
      </c>
      <c r="AQ34" s="246" cm="1">
        <f t="array" ref="AQ34">SUM(_xlfn._xlws.FILTER(_xlfn._xlws.FILTER(dataGLPL,dataGLPLAcctIDs=$C34),(startDates&gt;=AQ$4)*(endDates&lt;=AQ$5)))</f>
        <v>27467</v>
      </c>
      <c r="AR34" s="246" cm="1">
        <f t="array" ref="AR34">SUM(_xlfn._xlws.FILTER(_xlfn._xlws.FILTER(dataGLPL,dataGLPLAcctIDs=$C34),(startDates&gt;=AR$4)*(endDates&lt;=AR$5)))</f>
        <v>16799</v>
      </c>
      <c r="AS34" s="246" cm="1">
        <f t="array" ref="AS34">SUM(_xlfn._xlws.FILTER(_xlfn._xlws.FILTER(dataGLPL,dataGLPLAcctIDs=$C34),(startDates&gt;=AS$4)*(endDates&lt;=AS$5)))</f>
        <v>28840</v>
      </c>
      <c r="AT34" s="246" cm="1">
        <f t="array" ref="AT34">SUM(_xlfn._xlws.FILTER(_xlfn._xlws.FILTER(dataGLPL,dataGLPLAcctIDs=$C34),(startDates&gt;=AT$4)*(endDates&lt;=AT$5)))</f>
        <v>17639</v>
      </c>
      <c r="AU34" s="246" cm="1">
        <f t="array" ref="AU34">SUM(_xlfn._xlws.FILTER(_xlfn._xlws.FILTER(dataGLPL,dataGLPLAcctIDs=$C34),(startDates&gt;=AU$4)*(endDates&lt;=AU$5)))</f>
        <v>30282</v>
      </c>
      <c r="AV34" s="246" cm="1">
        <f t="array" ref="AV34">SUM(_xlfn._xlws.FILTER(_xlfn._xlws.FILTER(dataGLPL,dataGLPLAcctIDs=$C34),(startDates&gt;=AV$4)*(endDates&lt;=AV$5)))</f>
        <v>31796</v>
      </c>
      <c r="AW34" s="246" cm="1">
        <f t="array" ref="AW34">SUM(_xlfn._xlws.FILTER(_xlfn._xlws.FILTER(dataGLPL,dataGLPLAcctIDs=$C34),(startDates&gt;=AW$4)*(endDates&lt;=AW$5)))</f>
        <v>31796</v>
      </c>
      <c r="AX34" s="246" cm="1">
        <f t="array" ref="AX34">SUM(_xlfn._xlws.FILTER(_xlfn._xlws.FILTER(dataGLPL,dataGLPLAcctIDs=$C34),(startDates&gt;=AX$4)*(endDates&lt;=AX$5)))</f>
        <v>33386</v>
      </c>
      <c r="AY34" s="246" cm="1">
        <f t="array" ref="AY34">SUM(_xlfn._xlws.FILTER(_xlfn._xlws.FILTER(dataGLPL,dataGLPLAcctIDs=$C34),(startDates&gt;=AY$4)*(endDates&lt;=AY$5)))</f>
        <v>33386</v>
      </c>
      <c r="AZ34" s="246" cm="1">
        <f t="array" ref="AZ34">SUM(_xlfn._xlws.FILTER(_xlfn._xlws.FILTER(dataGLPL,dataGLPLAcctIDs=$C34),(startDates&gt;=AZ$4)*(endDates&lt;=AZ$5)))</f>
        <v>35055</v>
      </c>
      <c r="BA34" s="246" cm="1">
        <f t="array" ref="BA34">SUM(_xlfn._xlws.FILTER(_xlfn._xlws.FILTER(dataGLPL,dataGLPLAcctIDs=$C34),(startDates&gt;=BA$4)*(endDates&lt;=BA$5)))</f>
        <v>36808</v>
      </c>
      <c r="BB34" s="246" cm="1">
        <f t="array" ref="BB34">SUM(_xlfn._xlws.FILTER(_xlfn._xlws.FILTER(dataGLPL,dataGLPLAcctIDs=$C34),(startDates&gt;=BB$4)*(endDates&lt;=BB$5)))</f>
        <v>38648.5</v>
      </c>
      <c r="BC34" s="246" cm="1">
        <f t="array" ref="BC34">SUM(_xlfn._xlws.FILTER(_xlfn._xlws.FILTER(dataGLPL,dataGLPLAcctIDs=$C34),(startDates&gt;=BC$4)*(endDates&lt;=BC$5)))</f>
        <v>40581</v>
      </c>
      <c r="BD34" s="246" cm="1">
        <f t="array" ref="BD34">SUM(_xlfn._xlws.FILTER(_xlfn._xlws.FILTER(dataGLPL,dataGLPLAcctIDs=$C34),(startDates&gt;=BD$4)*(endDates&lt;=BD$5)))</f>
        <v>42610</v>
      </c>
      <c r="BE34" s="246" cm="1">
        <f t="array" ref="BE34">SUM(_xlfn._xlws.FILTER(_xlfn._xlws.FILTER(dataGLPL,dataGLPLAcctIDs=$C34),(startDates&gt;=BE$4)*(endDates&lt;=BE$5)))</f>
        <v>44740</v>
      </c>
      <c r="BF34" s="246" cm="1">
        <f t="array" ref="BF34">SUM(_xlfn._xlws.FILTER(_xlfn._xlws.FILTER(dataGLPL,dataGLPLAcctIDs=$C34),(startDates&gt;=BF$4)*(endDates&lt;=BF$5)))</f>
        <v>46977</v>
      </c>
      <c r="BG34" s="246" cm="1">
        <f t="array" ref="BG34">SUM(_xlfn._xlws.FILTER(_xlfn._xlws.FILTER(dataGLPL,dataGLPLAcctIDs=$C34),(startDates&gt;=BG$4)*(endDates&lt;=BG$5)))</f>
        <v>49326.37</v>
      </c>
      <c r="BH34" s="246" cm="1">
        <f t="array" ref="BH34">SUM(_xlfn._xlws.FILTER(_xlfn._xlws.FILTER(dataGLPL,dataGLPLAcctIDs=$C34),(startDates&gt;=BH$4)*(endDates&lt;=BH$5)))</f>
        <v>51792.69</v>
      </c>
      <c r="BI34" s="246" cm="1">
        <f t="array" ref="BI34">SUM(_xlfn._xlws.FILTER(_xlfn._xlws.FILTER(dataGLPL,dataGLPLAcctIDs=$C34),(startDates&gt;=BI$4)*(endDates&lt;=BI$5)))</f>
        <v>54382.33</v>
      </c>
      <c r="BJ34" s="246" cm="1">
        <f t="array" ref="BJ34">SUM(_xlfn._xlws.FILTER(_xlfn._xlws.FILTER(dataGLPL,dataGLPLAcctIDs=$C34),(startDates&gt;=BJ$4)*(endDates&lt;=BJ$5)))</f>
        <v>57101.440000000002</v>
      </c>
      <c r="BK34" s="246" cm="1">
        <f t="array" ref="BK34">SUM(_xlfn._xlws.FILTER(_xlfn._xlws.FILTER(dataGLPL,dataGLPLAcctIDs=$C34),(startDates&gt;=BK$4)*(endDates&lt;=BK$5)))</f>
        <v>59956.51</v>
      </c>
      <c r="BL34" s="246" cm="1">
        <f t="array" ref="BL34">SUM(_xlfn._xlws.FILTER(_xlfn._xlws.FILTER(dataGLPL,dataGLPLAcctIDs=$C34),(startDates&gt;=BL$4)*(endDates&lt;=BL$5)))</f>
        <v>62954.34</v>
      </c>
      <c r="BM34" s="246" cm="1">
        <f t="array" ref="BM34">SUM(_xlfn._xlws.FILTER(_xlfn._xlws.FILTER(dataGLPL,dataGLPLAcctIDs=$C34),(startDates&gt;=BM$4)*(endDates&lt;=BM$5)))</f>
        <v>58714.894000000015</v>
      </c>
      <c r="BN34" s="246" cm="1">
        <f t="array" ref="BN34">SUM(_xlfn._xlws.FILTER(_xlfn._xlws.FILTER(dataGLPL,dataGLPLAcctIDs=$C34),(startDates&gt;=BN$4)*(endDates&lt;=BN$5)))</f>
        <v>60357.885700000013</v>
      </c>
      <c r="BO34" s="246" cm="1">
        <f t="array" ref="BO34">SUM(_xlfn._xlws.FILTER(_xlfn._xlws.FILTER(dataGLPL,dataGLPLAcctIDs=$C34),(startDates&gt;=BO$4)*(endDates&lt;=BO$5)))</f>
        <v>61856.794947500013</v>
      </c>
      <c r="BP34" s="246" cm="1">
        <f t="array" ref="BP34">SUM(_xlfn._xlws.FILTER(_xlfn._xlws.FILTER(dataGLPL,dataGLPLAcctIDs=$C34),(startDates&gt;=BP$4)*(endDates&lt;=BP$5)))</f>
        <v>63164.8263133125</v>
      </c>
      <c r="BQ34" s="246" cm="1">
        <f t="array" ref="BQ34">SUM(_xlfn._xlws.FILTER(_xlfn._xlws.FILTER(dataGLPL,dataGLPLAcctIDs=$C34),(startDates&gt;=BQ$4)*(endDates&lt;=BQ$5)))</f>
        <v>64225.918918142204</v>
      </c>
      <c r="BR34" s="246" cm="1">
        <f t="array" ref="BR34">SUM(_xlfn._xlws.FILTER(_xlfn._xlws.FILTER(dataGLPL,dataGLPLAcctIDs=$C34),(startDates&gt;=BR$4)*(endDates&lt;=BR$5)))</f>
        <v>64973.065478817087</v>
      </c>
      <c r="BS34" s="246" cm="1">
        <f t="array" ref="BS34">SUM(_xlfn._xlws.FILTER(_xlfn._xlws.FILTER(dataGLPL,dataGLPLAcctIDs=$C34),(startDates&gt;=BS$4)*(endDates&lt;=BS$5)))</f>
        <v>65326.342437610074</v>
      </c>
      <c r="BT34" s="246" cm="1">
        <f t="array" ref="BT34">SUM(_xlfn._xlws.FILTER(_xlfn._xlws.FILTER(dataGLPL,dataGLPLAcctIDs=$C34),(startDates&gt;=BT$4)*(endDates&lt;=BT$5)))</f>
        <v>66483.345914191843</v>
      </c>
      <c r="BU34" s="246" cm="1">
        <f t="array" ref="BU34">SUM(_xlfn._xlws.FILTER(_xlfn._xlws.FILTER(dataGLPL,dataGLPLAcctIDs=$C34),(startDates&gt;=BU$4)*(endDates&lt;=BU$5)))</f>
        <v>67555.301451675405</v>
      </c>
      <c r="BV34" s="246" cm="1">
        <f t="array" ref="BV34">SUM(_xlfn._xlws.FILTER(_xlfn._xlws.FILTER(dataGLPL,dataGLPLAcctIDs=$C34),(startDates&gt;=BV$4)*(endDates&lt;=BV$5)))</f>
        <v>68552.540089906106</v>
      </c>
      <c r="BW34" s="246" cm="1">
        <f t="array" ref="BW34">SUM(_xlfn._xlws.FILTER(_xlfn._xlws.FILTER(dataGLPL,dataGLPLAcctIDs=$C34),(startDates&gt;=BW$4)*(endDates&lt;=BW$5)))</f>
        <v>69495.390000809974</v>
      </c>
      <c r="BX34" s="246" cm="1">
        <f t="array" ref="BX34">SUM(_xlfn._xlws.FILTER(_xlfn._xlws.FILTER(dataGLPL,dataGLPLAcctIDs=$C34),(startDates&gt;=BX$4)*(endDates&lt;=BX$5)))</f>
        <v>70417.54744027683</v>
      </c>
      <c r="BY34" s="246" cm="1">
        <f t="array" ref="BY34">SUM(_xlfn._xlws.FILTER(_xlfn._xlws.FILTER(dataGLPL,dataGLPLAcctIDs=$C34),(startDates&gt;=BY$4)*(endDates&lt;=BY$5)))</f>
        <v>71370.331783532281</v>
      </c>
    </row>
    <row r="35" spans="1:77" s="201" customFormat="1" ht="21" customHeight="1">
      <c r="A35" s="215"/>
      <c r="B35" s="218" t="s">
        <v>247</v>
      </c>
      <c r="C35" s="343">
        <v>168</v>
      </c>
      <c r="D35" s="215"/>
      <c r="E35" s="216"/>
      <c r="F35" s="246" cm="1">
        <f t="array" ref="F35">SUM(_xlfn._xlws.FILTER(_xlfn._xlws.FILTER(dataGLPL,dataGLPLAcctIDs=$C35),(startDates&gt;=F$4)*(endDates&lt;=F$5)))</f>
        <v>144980</v>
      </c>
      <c r="G35" s="246" cm="1">
        <f t="array" ref="G35">SUM(_xlfn._xlws.FILTER(_xlfn._xlws.FILTER(dataGLPL,dataGLPLAcctIDs=$C35),(startDates&gt;=G$4)*(endDates&lt;=G$5)))</f>
        <v>343319</v>
      </c>
      <c r="H35" s="246" cm="1">
        <f t="array" ref="H35">SUM(_xlfn._xlws.FILTER(_xlfn._xlws.FILTER(dataGLPL,dataGLPLAcctIDs=$C35),(startDates&gt;=H$4)*(endDates&lt;=H$5)))</f>
        <v>581536.03649999993</v>
      </c>
      <c r="I35" s="246" cm="1">
        <f t="array" ref="I35">SUM(_xlfn._xlws.FILTER(_xlfn._xlws.FILTER(dataGLPL,dataGLPLAcctIDs=$C35),(startDates&gt;=I$4)*(endDates&lt;=I$5)))</f>
        <v>759495.81111245742</v>
      </c>
      <c r="J35" s="344"/>
      <c r="K35" s="344"/>
      <c r="L35" s="246" cm="1">
        <f t="array" ref="L35">SUM(_xlfn._xlws.FILTER(_xlfn._xlws.FILTER(dataGLPL,dataGLPLAcctIDs=$C35),(startDates&gt;=L$4)*(endDates&lt;=L$5)))</f>
        <v>26403</v>
      </c>
      <c r="M35" s="246" cm="1">
        <f t="array" ref="M35">SUM(_xlfn._xlws.FILTER(_xlfn._xlws.FILTER(dataGLPL,dataGLPLAcctIDs=$C35),(startDates&gt;=M$4)*(endDates&lt;=M$5)))</f>
        <v>29273</v>
      </c>
      <c r="N35" s="246" cm="1">
        <f t="array" ref="N35">SUM(_xlfn._xlws.FILTER(_xlfn._xlws.FILTER(dataGLPL,dataGLPLAcctIDs=$C35),(startDates&gt;=N$4)*(endDates&lt;=N$5)))</f>
        <v>32456</v>
      </c>
      <c r="O35" s="246" cm="1">
        <f t="array" ref="O35">SUM(_xlfn._xlws.FILTER(_xlfn._xlws.FILTER(dataGLPL,dataGLPLAcctIDs=$C35),(startDates&gt;=O$4)*(endDates&lt;=O$5)))</f>
        <v>56848</v>
      </c>
      <c r="P35" s="246" cm="1">
        <f t="array" ref="P35">SUM(_xlfn._xlws.FILTER(_xlfn._xlws.FILTER(dataGLPL,dataGLPLAcctIDs=$C35),(startDates&gt;=P$4)*(endDates&lt;=P$5)))</f>
        <v>69834</v>
      </c>
      <c r="Q35" s="246" cm="1">
        <f t="array" ref="Q35">SUM(_xlfn._xlws.FILTER(_xlfn._xlws.FILTER(dataGLPL,dataGLPLAcctIDs=$C35),(startDates&gt;=Q$4)*(endDates&lt;=Q$5)))</f>
        <v>79992</v>
      </c>
      <c r="R35" s="246" cm="1">
        <f t="array" ref="R35">SUM(_xlfn._xlws.FILTER(_xlfn._xlws.FILTER(dataGLPL,dataGLPLAcctIDs=$C35),(startDates&gt;=R$4)*(endDates&lt;=R$5)))</f>
        <v>92790</v>
      </c>
      <c r="S35" s="246" cm="1">
        <f t="array" ref="S35">SUM(_xlfn._xlws.FILTER(_xlfn._xlws.FILTER(dataGLPL,dataGLPLAcctIDs=$C35),(startDates&gt;=S$4)*(endDates&lt;=S$5)))</f>
        <v>100703</v>
      </c>
      <c r="T35" s="246" cm="1">
        <f t="array" ref="T35">SUM(_xlfn._xlws.FILTER(_xlfn._xlws.FILTER(dataGLPL,dataGLPLAcctIDs=$C35),(startDates&gt;=T$4)*(endDates&lt;=T$5)))</f>
        <v>116577.26999999999</v>
      </c>
      <c r="U35" s="246" cm="1">
        <f t="array" ref="U35">SUM(_xlfn._xlws.FILTER(_xlfn._xlws.FILTER(dataGLPL,dataGLPLAcctIDs=$C35),(startDates&gt;=U$4)*(endDates&lt;=U$5)))</f>
        <v>134952.95999999999</v>
      </c>
      <c r="V35" s="246" cm="1">
        <f t="array" ref="V35">SUM(_xlfn._xlws.FILTER(_xlfn._xlws.FILTER(dataGLPL,dataGLPLAcctIDs=$C35),(startDates&gt;=V$4)*(endDates&lt;=V$5)))</f>
        <v>156224.51</v>
      </c>
      <c r="W35" s="246" cm="1">
        <f t="array" ref="W35">SUM(_xlfn._xlws.FILTER(_xlfn._xlws.FILTER(dataGLPL,dataGLPLAcctIDs=$C35),(startDates&gt;=W$4)*(endDates&lt;=W$5)))</f>
        <v>173781.2965</v>
      </c>
      <c r="X35" s="246" cm="1">
        <f t="array" ref="X35">SUM(_xlfn._xlws.FILTER(_xlfn._xlws.FILTER(dataGLPL,dataGLPLAcctIDs=$C35),(startDates&gt;=X$4)*(endDates&lt;=X$5)))</f>
        <v>177372.92991014844</v>
      </c>
      <c r="Y35" s="246" cm="1">
        <f t="array" ref="Y35">SUM(_xlfn._xlws.FILTER(_xlfn._xlws.FILTER(dataGLPL,dataGLPLAcctIDs=$C35),(startDates&gt;=Y$4)*(endDates&lt;=Y$5)))</f>
        <v>186123.74108642721</v>
      </c>
      <c r="Z35" s="246" cm="1">
        <f t="array" ref="Z35">SUM(_xlfn._xlws.FILTER(_xlfn._xlws.FILTER(dataGLPL,dataGLPLAcctIDs=$C35),(startDates&gt;=Z$4)*(endDates&lt;=Z$5)))</f>
        <v>193841.23552527546</v>
      </c>
      <c r="AA35" s="246" cm="1">
        <f t="array" ref="AA35">SUM(_xlfn._xlws.FILTER(_xlfn._xlws.FILTER(dataGLPL,dataGLPLAcctIDs=$C35),(startDates&gt;=AA$4)*(endDates&lt;=AA$5)))</f>
        <v>202157.90459060628</v>
      </c>
      <c r="AB35" s="215"/>
      <c r="AC35" s="344"/>
      <c r="AD35" s="246" cm="1">
        <f t="array" ref="AD35">SUM(_xlfn._xlws.FILTER(_xlfn._xlws.FILTER(dataGLPL,dataGLPLAcctIDs=$C35),(startDates&gt;=AD$4)*(endDates&lt;=AD$5)))</f>
        <v>8500</v>
      </c>
      <c r="AE35" s="246" cm="1">
        <f t="array" ref="AE35">SUM(_xlfn._xlws.FILTER(_xlfn._xlws.FILTER(dataGLPL,dataGLPLAcctIDs=$C35),(startDates&gt;=AE$4)*(endDates&lt;=AE$5)))</f>
        <v>8798</v>
      </c>
      <c r="AF35" s="246" cm="1">
        <f t="array" ref="AF35">SUM(_xlfn._xlws.FILTER(_xlfn._xlws.FILTER(dataGLPL,dataGLPLAcctIDs=$C35),(startDates&gt;=AF$4)*(endDates&lt;=AF$5)))</f>
        <v>9105</v>
      </c>
      <c r="AG35" s="246" cm="1">
        <f t="array" ref="AG35">SUM(_xlfn._xlws.FILTER(_xlfn._xlws.FILTER(dataGLPL,dataGLPLAcctIDs=$C35),(startDates&gt;=AG$4)*(endDates&lt;=AG$5)))</f>
        <v>9424</v>
      </c>
      <c r="AH35" s="246" cm="1">
        <f t="array" ref="AH35">SUM(_xlfn._xlws.FILTER(_xlfn._xlws.FILTER(dataGLPL,dataGLPLAcctIDs=$C35),(startDates&gt;=AH$4)*(endDates&lt;=AH$5)))</f>
        <v>9754</v>
      </c>
      <c r="AI35" s="246" cm="1">
        <f t="array" ref="AI35">SUM(_xlfn._xlws.FILTER(_xlfn._xlws.FILTER(dataGLPL,dataGLPLAcctIDs=$C35),(startDates&gt;=AI$4)*(endDates&lt;=AI$5)))</f>
        <v>10095</v>
      </c>
      <c r="AJ35" s="246" cm="1">
        <f t="array" ref="AJ35">SUM(_xlfn._xlws.FILTER(_xlfn._xlws.FILTER(dataGLPL,dataGLPLAcctIDs=$C35),(startDates&gt;=AJ$4)*(endDates&lt;=AJ$5)))</f>
        <v>10449</v>
      </c>
      <c r="AK35" s="246" cm="1">
        <f t="array" ref="AK35">SUM(_xlfn._xlws.FILTER(_xlfn._xlws.FILTER(dataGLPL,dataGLPLAcctIDs=$C35),(startDates&gt;=AK$4)*(endDates&lt;=AK$5)))</f>
        <v>10814</v>
      </c>
      <c r="AL35" s="246" cm="1">
        <f t="array" ref="AL35">SUM(_xlfn._xlws.FILTER(_xlfn._xlws.FILTER(dataGLPL,dataGLPLAcctIDs=$C35),(startDates&gt;=AL$4)*(endDates&lt;=AL$5)))</f>
        <v>11193</v>
      </c>
      <c r="AM35" s="246" cm="1">
        <f t="array" ref="AM35">SUM(_xlfn._xlws.FILTER(_xlfn._xlws.FILTER(dataGLPL,dataGLPLAcctIDs=$C35),(startDates&gt;=AM$4)*(endDates&lt;=AM$5)))</f>
        <v>11585</v>
      </c>
      <c r="AN35" s="246" cm="1">
        <f t="array" ref="AN35">SUM(_xlfn._xlws.FILTER(_xlfn._xlws.FILTER(dataGLPL,dataGLPLAcctIDs=$C35),(startDates&gt;=AN$4)*(endDates&lt;=AN$5)))</f>
        <v>20234</v>
      </c>
      <c r="AO35" s="246" cm="1">
        <f t="array" ref="AO35">SUM(_xlfn._xlws.FILTER(_xlfn._xlws.FILTER(dataGLPL,dataGLPLAcctIDs=$C35),(startDates&gt;=AO$4)*(endDates&lt;=AO$5)))</f>
        <v>25029</v>
      </c>
      <c r="AP35" s="246" cm="1">
        <f t="array" ref="AP35">SUM(_xlfn._xlws.FILTER(_xlfn._xlws.FILTER(dataGLPL,dataGLPLAcctIDs=$C35),(startDates&gt;=AP$4)*(endDates&lt;=AP$5)))</f>
        <v>21246</v>
      </c>
      <c r="AQ35" s="246" cm="1">
        <f t="array" ref="AQ35">SUM(_xlfn._xlws.FILTER(_xlfn._xlws.FILTER(dataGLPL,dataGLPLAcctIDs=$C35),(startDates&gt;=AQ$4)*(endDates&lt;=AQ$5)))</f>
        <v>26280</v>
      </c>
      <c r="AR35" s="246" cm="1">
        <f t="array" ref="AR35">SUM(_xlfn._xlws.FILTER(_xlfn._xlws.FILTER(dataGLPL,dataGLPLAcctIDs=$C35),(startDates&gt;=AR$4)*(endDates&lt;=AR$5)))</f>
        <v>22308</v>
      </c>
      <c r="AS35" s="246" cm="1">
        <f t="array" ref="AS35">SUM(_xlfn._xlws.FILTER(_xlfn._xlws.FILTER(dataGLPL,dataGLPLAcctIDs=$C35),(startDates&gt;=AS$4)*(endDates&lt;=AS$5)))</f>
        <v>27594</v>
      </c>
      <c r="AT35" s="246" cm="1">
        <f t="array" ref="AT35">SUM(_xlfn._xlws.FILTER(_xlfn._xlws.FILTER(dataGLPL,dataGLPLAcctIDs=$C35),(startDates&gt;=AT$4)*(endDates&lt;=AT$5)))</f>
        <v>23424</v>
      </c>
      <c r="AU35" s="246" cm="1">
        <f t="array" ref="AU35">SUM(_xlfn._xlws.FILTER(_xlfn._xlws.FILTER(dataGLPL,dataGLPLAcctIDs=$C35),(startDates&gt;=AU$4)*(endDates&lt;=AU$5)))</f>
        <v>28974</v>
      </c>
      <c r="AV35" s="246" cm="1">
        <f t="array" ref="AV35">SUM(_xlfn._xlws.FILTER(_xlfn._xlws.FILTER(dataGLPL,dataGLPLAcctIDs=$C35),(startDates&gt;=AV$4)*(endDates&lt;=AV$5)))</f>
        <v>30423</v>
      </c>
      <c r="AW35" s="246" cm="1">
        <f t="array" ref="AW35">SUM(_xlfn._xlws.FILTER(_xlfn._xlws.FILTER(dataGLPL,dataGLPLAcctIDs=$C35),(startDates&gt;=AW$4)*(endDates&lt;=AW$5)))</f>
        <v>30423</v>
      </c>
      <c r="AX35" s="246" cm="1">
        <f t="array" ref="AX35">SUM(_xlfn._xlws.FILTER(_xlfn._xlws.FILTER(dataGLPL,dataGLPLAcctIDs=$C35),(startDates&gt;=AX$4)*(endDates&lt;=AX$5)))</f>
        <v>31944</v>
      </c>
      <c r="AY35" s="246" cm="1">
        <f t="array" ref="AY35">SUM(_xlfn._xlws.FILTER(_xlfn._xlws.FILTER(dataGLPL,dataGLPLAcctIDs=$C35),(startDates&gt;=AY$4)*(endDates&lt;=AY$5)))</f>
        <v>31944</v>
      </c>
      <c r="AZ35" s="246" cm="1">
        <f t="array" ref="AZ35">SUM(_xlfn._xlws.FILTER(_xlfn._xlws.FILTER(dataGLPL,dataGLPLAcctIDs=$C35),(startDates&gt;=AZ$4)*(endDates&lt;=AZ$5)))</f>
        <v>33541</v>
      </c>
      <c r="BA35" s="246" cm="1">
        <f t="array" ref="BA35">SUM(_xlfn._xlws.FILTER(_xlfn._xlws.FILTER(dataGLPL,dataGLPLAcctIDs=$C35),(startDates&gt;=BA$4)*(endDates&lt;=BA$5)))</f>
        <v>35218</v>
      </c>
      <c r="BB35" s="246" cm="1">
        <f t="array" ref="BB35">SUM(_xlfn._xlws.FILTER(_xlfn._xlws.FILTER(dataGLPL,dataGLPLAcctIDs=$C35),(startDates&gt;=BB$4)*(endDates&lt;=BB$5)))</f>
        <v>36979.269999999997</v>
      </c>
      <c r="BC35" s="246" cm="1">
        <f t="array" ref="BC35">SUM(_xlfn._xlws.FILTER(_xlfn._xlws.FILTER(dataGLPL,dataGLPLAcctIDs=$C35),(startDates&gt;=BC$4)*(endDates&lt;=BC$5)))</f>
        <v>38828</v>
      </c>
      <c r="BD35" s="246" cm="1">
        <f t="array" ref="BD35">SUM(_xlfn._xlws.FILTER(_xlfn._xlws.FILTER(dataGLPL,dataGLPLAcctIDs=$C35),(startDates&gt;=BD$4)*(endDates&lt;=BD$5)))</f>
        <v>40770</v>
      </c>
      <c r="BE35" s="246" cm="1">
        <f t="array" ref="BE35">SUM(_xlfn._xlws.FILTER(_xlfn._xlws.FILTER(dataGLPL,dataGLPLAcctIDs=$C35),(startDates&gt;=BE$4)*(endDates&lt;=BE$5)))</f>
        <v>42808</v>
      </c>
      <c r="BF35" s="246" cm="1">
        <f t="array" ref="BF35">SUM(_xlfn._xlws.FILTER(_xlfn._xlws.FILTER(dataGLPL,dataGLPLAcctIDs=$C35),(startDates&gt;=BF$4)*(endDates&lt;=BF$5)))</f>
        <v>44949</v>
      </c>
      <c r="BG35" s="246" cm="1">
        <f t="array" ref="BG35">SUM(_xlfn._xlws.FILTER(_xlfn._xlws.FILTER(dataGLPL,dataGLPLAcctIDs=$C35),(startDates&gt;=BG$4)*(endDates&lt;=BG$5)))</f>
        <v>47195.96</v>
      </c>
      <c r="BH35" s="246" cm="1">
        <f t="array" ref="BH35">SUM(_xlfn._xlws.FILTER(_xlfn._xlws.FILTER(dataGLPL,dataGLPLAcctIDs=$C35),(startDates&gt;=BH$4)*(endDates&lt;=BH$5)))</f>
        <v>49555.75</v>
      </c>
      <c r="BI35" s="246" cm="1">
        <f t="array" ref="BI35">SUM(_xlfn._xlws.FILTER(_xlfn._xlws.FILTER(dataGLPL,dataGLPLAcctIDs=$C35),(startDates&gt;=BI$4)*(endDates&lt;=BI$5)))</f>
        <v>52033.54</v>
      </c>
      <c r="BJ35" s="246" cm="1">
        <f t="array" ref="BJ35">SUM(_xlfn._xlws.FILTER(_xlfn._xlws.FILTER(dataGLPL,dataGLPLAcctIDs=$C35),(startDates&gt;=BJ$4)*(endDates&lt;=BJ$5)))</f>
        <v>54635.22</v>
      </c>
      <c r="BK35" s="246" cm="1">
        <f t="array" ref="BK35">SUM(_xlfn._xlws.FILTER(_xlfn._xlws.FILTER(dataGLPL,dataGLPLAcctIDs=$C35),(startDates&gt;=BK$4)*(endDates&lt;=BK$5)))</f>
        <v>57366.98</v>
      </c>
      <c r="BL35" s="246" cm="1">
        <f t="array" ref="BL35">SUM(_xlfn._xlws.FILTER(_xlfn._xlws.FILTER(dataGLPL,dataGLPLAcctIDs=$C35),(startDates&gt;=BL$4)*(endDates&lt;=BL$5)))</f>
        <v>60235.33</v>
      </c>
      <c r="BM35" s="246" cm="1">
        <f t="array" ref="BM35">SUM(_xlfn._xlws.FILTER(_xlfn._xlws.FILTER(dataGLPL,dataGLPLAcctIDs=$C35),(startDates&gt;=BM$4)*(endDates&lt;=BM$5)))</f>
        <v>56178.986500000006</v>
      </c>
      <c r="BN35" s="246" cm="1">
        <f t="array" ref="BN35">SUM(_xlfn._xlws.FILTER(_xlfn._xlws.FILTER(dataGLPL,dataGLPLAcctIDs=$C35),(startDates&gt;=BN$4)*(endDates&lt;=BN$5)))</f>
        <v>57751.016137500003</v>
      </c>
      <c r="BO35" s="246" cm="1">
        <f t="array" ref="BO35">SUM(_xlfn._xlws.FILTER(_xlfn._xlws.FILTER(dataGLPL,dataGLPLAcctIDs=$C35),(startDates&gt;=BO$4)*(endDates&lt;=BO$5)))</f>
        <v>59185.187711562503</v>
      </c>
      <c r="BP35" s="246" cm="1">
        <f t="array" ref="BP35">SUM(_xlfn._xlws.FILTER(_xlfn._xlws.FILTER(dataGLPL,dataGLPLAcctIDs=$C35),(startDates&gt;=BP$4)*(endDates&lt;=BP$5)))</f>
        <v>60436.726061085945</v>
      </c>
      <c r="BQ35" s="246" cm="1">
        <f t="array" ref="BQ35">SUM(_xlfn._xlws.FILTER(_xlfn._xlws.FILTER(dataGLPL,dataGLPLAcctIDs=$C35),(startDates&gt;=BQ$4)*(endDates&lt;=BQ$5)))</f>
        <v>61451.989621775982</v>
      </c>
      <c r="BR35" s="246" cm="1">
        <f t="array" ref="BR35">SUM(_xlfn._xlws.FILTER(_xlfn._xlws.FILTER(dataGLPL,dataGLPLAcctIDs=$C35),(startDates&gt;=BR$4)*(endDates&lt;=BR$5)))</f>
        <v>62166.86630558678</v>
      </c>
      <c r="BS35" s="246" cm="1">
        <f t="array" ref="BS35">SUM(_xlfn._xlws.FILTER(_xlfn._xlws.FILTER(dataGLPL,dataGLPLAcctIDs=$C35),(startDates&gt;=BS$4)*(endDates&lt;=BS$5)))</f>
        <v>62504.885159064455</v>
      </c>
      <c r="BT35" s="246" cm="1">
        <f t="array" ref="BT35">SUM(_xlfn._xlws.FILTER(_xlfn._xlws.FILTER(dataGLPL,dataGLPLAcctIDs=$C35),(startDates&gt;=BT$4)*(endDates&lt;=BT$5)))</f>
        <v>63611.91742440073</v>
      </c>
      <c r="BU35" s="246" cm="1">
        <f t="array" ref="BU35">SUM(_xlfn._xlws.FILTER(_xlfn._xlws.FILTER(dataGLPL,dataGLPLAcctIDs=$C35),(startDates&gt;=BU$4)*(endDates&lt;=BU$5)))</f>
        <v>64637.575149608361</v>
      </c>
      <c r="BV35" s="246" cm="1">
        <f t="array" ref="BV35">SUM(_xlfn._xlws.FILTER(_xlfn._xlws.FILTER(dataGLPL,dataGLPLAcctIDs=$C35),(startDates&gt;=BV$4)*(endDates&lt;=BV$5)))</f>
        <v>65591.742951266395</v>
      </c>
      <c r="BW35" s="246" cm="1">
        <f t="array" ref="BW35">SUM(_xlfn._xlws.FILTER(_xlfn._xlws.FILTER(dataGLPL,dataGLPLAcctIDs=$C35),(startDates&gt;=BW$4)*(endDates&lt;=BW$5)))</f>
        <v>66493.870907047967</v>
      </c>
      <c r="BX35" s="246" cm="1">
        <f t="array" ref="BX35">SUM(_xlfn._xlws.FILTER(_xlfn._xlws.FILTER(dataGLPL,dataGLPLAcctIDs=$C35),(startDates&gt;=BX$4)*(endDates&lt;=BX$5)))</f>
        <v>67376.200131970574</v>
      </c>
      <c r="BY35" s="246" cm="1">
        <f t="array" ref="BY35">SUM(_xlfn._xlws.FILTER(_xlfn._xlws.FILTER(dataGLPL,dataGLPLAcctIDs=$C35),(startDates&gt;=BY$4)*(endDates&lt;=BY$5)))</f>
        <v>68287.833551587741</v>
      </c>
    </row>
    <row r="36" spans="1:77" s="201" customFormat="1" ht="21" customHeight="1">
      <c r="A36" s="215"/>
      <c r="B36" s="218" t="s">
        <v>248</v>
      </c>
      <c r="C36" s="343">
        <v>201</v>
      </c>
      <c r="D36" s="215"/>
      <c r="E36" s="216"/>
      <c r="F36" s="246" cm="1">
        <f t="array" ref="F36">SUM(_xlfn._xlws.FILTER(_xlfn._xlws.FILTER(dataGLPL,dataGLPLAcctIDs=$C36),(startDates&gt;=F$4)*(endDates&lt;=F$5)))</f>
        <v>4413</v>
      </c>
      <c r="G36" s="246" cm="1">
        <f t="array" ref="G36">SUM(_xlfn._xlws.FILTER(_xlfn._xlws.FILTER(dataGLPL,dataGLPLAcctIDs=$C36),(startDates&gt;=G$4)*(endDates&lt;=G$5)))</f>
        <v>12408</v>
      </c>
      <c r="H36" s="246" cm="1">
        <f t="array" ref="H36">SUM(_xlfn._xlws.FILTER(_xlfn._xlws.FILTER(dataGLPL,dataGLPLAcctIDs=$C36),(startDates&gt;=H$4)*(endDates&lt;=H$5)))</f>
        <v>22577.324249999998</v>
      </c>
      <c r="I36" s="246" cm="1">
        <f t="array" ref="I36">SUM(_xlfn._xlws.FILTER(_xlfn._xlws.FILTER(dataGLPL,dataGLPLAcctIDs=$C36),(startDates&gt;=I$4)*(endDates&lt;=I$5)))</f>
        <v>29486.964599105926</v>
      </c>
      <c r="J36" s="344"/>
      <c r="K36" s="344"/>
      <c r="L36" s="246" cm="1">
        <f t="array" ref="L36">SUM(_xlfn._xlws.FILTER(_xlfn._xlws.FILTER(dataGLPL,dataGLPLAcctIDs=$C36),(startDates&gt;=L$4)*(endDates&lt;=L$5)))</f>
        <v>777</v>
      </c>
      <c r="M36" s="246" cm="1">
        <f t="array" ref="M36">SUM(_xlfn._xlws.FILTER(_xlfn._xlws.FILTER(dataGLPL,dataGLPLAcctIDs=$C36),(startDates&gt;=M$4)*(endDates&lt;=M$5)))</f>
        <v>861</v>
      </c>
      <c r="N36" s="246" cm="1">
        <f t="array" ref="N36">SUM(_xlfn._xlws.FILTER(_xlfn._xlws.FILTER(dataGLPL,dataGLPLAcctIDs=$C36),(startDates&gt;=N$4)*(endDates&lt;=N$5)))</f>
        <v>954</v>
      </c>
      <c r="O36" s="246" cm="1">
        <f t="array" ref="O36">SUM(_xlfn._xlws.FILTER(_xlfn._xlws.FILTER(dataGLPL,dataGLPLAcctIDs=$C36),(startDates&gt;=O$4)*(endDates&lt;=O$5)))</f>
        <v>1821</v>
      </c>
      <c r="P36" s="246" cm="1">
        <f t="array" ref="P36">SUM(_xlfn._xlws.FILTER(_xlfn._xlws.FILTER(dataGLPL,dataGLPLAcctIDs=$C36),(startDates&gt;=P$4)*(endDates&lt;=P$5)))</f>
        <v>2113</v>
      </c>
      <c r="Q36" s="246" cm="1">
        <f t="array" ref="Q36">SUM(_xlfn._xlws.FILTER(_xlfn._xlws.FILTER(dataGLPL,dataGLPLAcctIDs=$C36),(startDates&gt;=Q$4)*(endDates&lt;=Q$5)))</f>
        <v>2784</v>
      </c>
      <c r="R36" s="246" cm="1">
        <f t="array" ref="R36">SUM(_xlfn._xlws.FILTER(_xlfn._xlws.FILTER(dataGLPL,dataGLPLAcctIDs=$C36),(startDates&gt;=R$4)*(endDates&lt;=R$5)))</f>
        <v>3602</v>
      </c>
      <c r="S36" s="246" cm="1">
        <f t="array" ref="S36">SUM(_xlfn._xlws.FILTER(_xlfn._xlws.FILTER(dataGLPL,dataGLPLAcctIDs=$C36),(startDates&gt;=S$4)*(endDates&lt;=S$5)))</f>
        <v>3909</v>
      </c>
      <c r="T36" s="246" cm="1">
        <f t="array" ref="T36">SUM(_xlfn._xlws.FILTER(_xlfn._xlws.FILTER(dataGLPL,dataGLPLAcctIDs=$C36),(startDates&gt;=T$4)*(endDates&lt;=T$5)))</f>
        <v>4525.7</v>
      </c>
      <c r="U36" s="246" cm="1">
        <f t="array" ref="U36">SUM(_xlfn._xlws.FILTER(_xlfn._xlws.FILTER(dataGLPL,dataGLPLAcctIDs=$C36),(startDates&gt;=U$4)*(endDates&lt;=U$5)))</f>
        <v>5239.3500000000004</v>
      </c>
      <c r="V36" s="246" cm="1">
        <f t="array" ref="V36">SUM(_xlfn._xlws.FILTER(_xlfn._xlws.FILTER(dataGLPL,dataGLPLAcctIDs=$C36),(startDates&gt;=V$4)*(endDates&lt;=V$5)))</f>
        <v>6065.32</v>
      </c>
      <c r="W36" s="246" cm="1">
        <f t="array" ref="W36">SUM(_xlfn._xlws.FILTER(_xlfn._xlws.FILTER(dataGLPL,dataGLPLAcctIDs=$C36),(startDates&gt;=W$4)*(endDates&lt;=W$5)))</f>
        <v>6746.9542500000007</v>
      </c>
      <c r="X36" s="246" cm="1">
        <f t="array" ref="X36">SUM(_xlfn._xlws.FILTER(_xlfn._xlws.FILTER(dataGLPL,dataGLPLAcctIDs=$C36),(startDates&gt;=X$4)*(endDates&lt;=X$5)))</f>
        <v>6886.3966290273438</v>
      </c>
      <c r="Y36" s="246" cm="1">
        <f t="array" ref="Y36">SUM(_xlfn._xlws.FILTER(_xlfn._xlws.FILTER(dataGLPL,dataGLPLAcctIDs=$C36),(startDates&gt;=Y$4)*(endDates&lt;=Y$5)))</f>
        <v>7226.1413383672798</v>
      </c>
      <c r="Z36" s="246" cm="1">
        <f t="array" ref="Z36">SUM(_xlfn._xlws.FILTER(_xlfn._xlws.FILTER(dataGLPL,dataGLPLAcctIDs=$C36),(startDates&gt;=Z$4)*(endDates&lt;=Z$5)))</f>
        <v>7525.7685617196257</v>
      </c>
      <c r="AA36" s="246" cm="1">
        <f t="array" ref="AA36">SUM(_xlfn._xlws.FILTER(_xlfn._xlws.FILTER(dataGLPL,dataGLPLAcctIDs=$C36),(startDates&gt;=AA$4)*(endDates&lt;=AA$5)))</f>
        <v>7848.6580699916776</v>
      </c>
      <c r="AB36" s="215"/>
      <c r="AC36" s="344"/>
      <c r="AD36" s="246" cm="1">
        <f t="array" ref="AD36">SUM(_xlfn._xlws.FILTER(_xlfn._xlws.FILTER(dataGLPL,dataGLPLAcctIDs=$C36),(startDates&gt;=AD$4)*(endDates&lt;=AD$5)))</f>
        <v>250</v>
      </c>
      <c r="AE36" s="246" cm="1">
        <f t="array" ref="AE36">SUM(_xlfn._xlws.FILTER(_xlfn._xlws.FILTER(dataGLPL,dataGLPLAcctIDs=$C36),(startDates&gt;=AE$4)*(endDates&lt;=AE$5)))</f>
        <v>259</v>
      </c>
      <c r="AF36" s="246" cm="1">
        <f t="array" ref="AF36">SUM(_xlfn._xlws.FILTER(_xlfn._xlws.FILTER(dataGLPL,dataGLPLAcctIDs=$C36),(startDates&gt;=AF$4)*(endDates&lt;=AF$5)))</f>
        <v>268</v>
      </c>
      <c r="AG36" s="246" cm="1">
        <f t="array" ref="AG36">SUM(_xlfn._xlws.FILTER(_xlfn._xlws.FILTER(dataGLPL,dataGLPLAcctIDs=$C36),(startDates&gt;=AG$4)*(endDates&lt;=AG$5)))</f>
        <v>277</v>
      </c>
      <c r="AH36" s="246" cm="1">
        <f t="array" ref="AH36">SUM(_xlfn._xlws.FILTER(_xlfn._xlws.FILTER(dataGLPL,dataGLPLAcctIDs=$C36),(startDates&gt;=AH$4)*(endDates&lt;=AH$5)))</f>
        <v>287</v>
      </c>
      <c r="AI36" s="246" cm="1">
        <f t="array" ref="AI36">SUM(_xlfn._xlws.FILTER(_xlfn._xlws.FILTER(dataGLPL,dataGLPLAcctIDs=$C36),(startDates&gt;=AI$4)*(endDates&lt;=AI$5)))</f>
        <v>297</v>
      </c>
      <c r="AJ36" s="246" cm="1">
        <f t="array" ref="AJ36">SUM(_xlfn._xlws.FILTER(_xlfn._xlws.FILTER(dataGLPL,dataGLPLAcctIDs=$C36),(startDates&gt;=AJ$4)*(endDates&lt;=AJ$5)))</f>
        <v>307</v>
      </c>
      <c r="AK36" s="246" cm="1">
        <f t="array" ref="AK36">SUM(_xlfn._xlws.FILTER(_xlfn._xlws.FILTER(dataGLPL,dataGLPLAcctIDs=$C36),(startDates&gt;=AK$4)*(endDates&lt;=AK$5)))</f>
        <v>318</v>
      </c>
      <c r="AL36" s="246" cm="1">
        <f t="array" ref="AL36">SUM(_xlfn._xlws.FILTER(_xlfn._xlws.FILTER(dataGLPL,dataGLPLAcctIDs=$C36),(startDates&gt;=AL$4)*(endDates&lt;=AL$5)))</f>
        <v>329</v>
      </c>
      <c r="AM36" s="246" cm="1">
        <f t="array" ref="AM36">SUM(_xlfn._xlws.FILTER(_xlfn._xlws.FILTER(dataGLPL,dataGLPLAcctIDs=$C36),(startDates&gt;=AM$4)*(endDates&lt;=AM$5)))</f>
        <v>341</v>
      </c>
      <c r="AN36" s="246" cm="1">
        <f t="array" ref="AN36">SUM(_xlfn._xlws.FILTER(_xlfn._xlws.FILTER(dataGLPL,dataGLPLAcctIDs=$C36),(startDates&gt;=AN$4)*(endDates&lt;=AN$5)))</f>
        <v>508</v>
      </c>
      <c r="AO36" s="246" cm="1">
        <f t="array" ref="AO36">SUM(_xlfn._xlws.FILTER(_xlfn._xlws.FILTER(dataGLPL,dataGLPLAcctIDs=$C36),(startDates&gt;=AO$4)*(endDates&lt;=AO$5)))</f>
        <v>972</v>
      </c>
      <c r="AP36" s="246" cm="1">
        <f t="array" ref="AP36">SUM(_xlfn._xlws.FILTER(_xlfn._xlws.FILTER(dataGLPL,dataGLPLAcctIDs=$C36),(startDates&gt;=AP$4)*(endDates&lt;=AP$5)))</f>
        <v>533</v>
      </c>
      <c r="AQ36" s="246" cm="1">
        <f t="array" ref="AQ36">SUM(_xlfn._xlws.FILTER(_xlfn._xlws.FILTER(dataGLPL,dataGLPLAcctIDs=$C36),(startDates&gt;=AQ$4)*(endDates&lt;=AQ$5)))</f>
        <v>1020</v>
      </c>
      <c r="AR36" s="246" cm="1">
        <f t="array" ref="AR36">SUM(_xlfn._xlws.FILTER(_xlfn._xlws.FILTER(dataGLPL,dataGLPLAcctIDs=$C36),(startDates&gt;=AR$4)*(endDates&lt;=AR$5)))</f>
        <v>560</v>
      </c>
      <c r="AS36" s="246" cm="1">
        <f t="array" ref="AS36">SUM(_xlfn._xlws.FILTER(_xlfn._xlws.FILTER(dataGLPL,dataGLPLAcctIDs=$C36),(startDates&gt;=AS$4)*(endDates&lt;=AS$5)))</f>
        <v>1071</v>
      </c>
      <c r="AT36" s="246" cm="1">
        <f t="array" ref="AT36">SUM(_xlfn._xlws.FILTER(_xlfn._xlws.FILTER(dataGLPL,dataGLPLAcctIDs=$C36),(startDates&gt;=AT$4)*(endDates&lt;=AT$5)))</f>
        <v>588</v>
      </c>
      <c r="AU36" s="246" cm="1">
        <f t="array" ref="AU36">SUM(_xlfn._xlws.FILTER(_xlfn._xlws.FILTER(dataGLPL,dataGLPLAcctIDs=$C36),(startDates&gt;=AU$4)*(endDates&lt;=AU$5)))</f>
        <v>1125</v>
      </c>
      <c r="AV36" s="246" cm="1">
        <f t="array" ref="AV36">SUM(_xlfn._xlws.FILTER(_xlfn._xlws.FILTER(dataGLPL,dataGLPLAcctIDs=$C36),(startDates&gt;=AV$4)*(endDates&lt;=AV$5)))</f>
        <v>1181</v>
      </c>
      <c r="AW36" s="246" cm="1">
        <f t="array" ref="AW36">SUM(_xlfn._xlws.FILTER(_xlfn._xlws.FILTER(dataGLPL,dataGLPLAcctIDs=$C36),(startDates&gt;=AW$4)*(endDates&lt;=AW$5)))</f>
        <v>1181</v>
      </c>
      <c r="AX36" s="246" cm="1">
        <f t="array" ref="AX36">SUM(_xlfn._xlws.FILTER(_xlfn._xlws.FILTER(dataGLPL,dataGLPLAcctIDs=$C36),(startDates&gt;=AX$4)*(endDates&lt;=AX$5)))</f>
        <v>1240</v>
      </c>
      <c r="AY36" s="246" cm="1">
        <f t="array" ref="AY36">SUM(_xlfn._xlws.FILTER(_xlfn._xlws.FILTER(dataGLPL,dataGLPLAcctIDs=$C36),(startDates&gt;=AY$4)*(endDates&lt;=AY$5)))</f>
        <v>1240</v>
      </c>
      <c r="AZ36" s="246" cm="1">
        <f t="array" ref="AZ36">SUM(_xlfn._xlws.FILTER(_xlfn._xlws.FILTER(dataGLPL,dataGLPLAcctIDs=$C36),(startDates&gt;=AZ$4)*(endDates&lt;=AZ$5)))</f>
        <v>1302</v>
      </c>
      <c r="BA36" s="246" cm="1">
        <f t="array" ref="BA36">SUM(_xlfn._xlws.FILTER(_xlfn._xlws.FILTER(dataGLPL,dataGLPLAcctIDs=$C36),(startDates&gt;=BA$4)*(endDates&lt;=BA$5)))</f>
        <v>1367</v>
      </c>
      <c r="BB36" s="246" cm="1">
        <f t="array" ref="BB36">SUM(_xlfn._xlws.FILTER(_xlfn._xlws.FILTER(dataGLPL,dataGLPLAcctIDs=$C36),(startDates&gt;=BB$4)*(endDates&lt;=BB$5)))</f>
        <v>1435.7</v>
      </c>
      <c r="BC36" s="246" cm="1">
        <f t="array" ref="BC36">SUM(_xlfn._xlws.FILTER(_xlfn._xlws.FILTER(dataGLPL,dataGLPLAcctIDs=$C36),(startDates&gt;=BC$4)*(endDates&lt;=BC$5)))</f>
        <v>1507</v>
      </c>
      <c r="BD36" s="246" cm="1">
        <f t="array" ref="BD36">SUM(_xlfn._xlws.FILTER(_xlfn._xlws.FILTER(dataGLPL,dataGLPLAcctIDs=$C36),(startDates&gt;=BD$4)*(endDates&lt;=BD$5)))</f>
        <v>1583</v>
      </c>
      <c r="BE36" s="246" cm="1">
        <f t="array" ref="BE36">SUM(_xlfn._xlws.FILTER(_xlfn._xlws.FILTER(dataGLPL,dataGLPLAcctIDs=$C36),(startDates&gt;=BE$4)*(endDates&lt;=BE$5)))</f>
        <v>1662</v>
      </c>
      <c r="BF36" s="246" cm="1">
        <f t="array" ref="BF36">SUM(_xlfn._xlws.FILTER(_xlfn._xlws.FILTER(dataGLPL,dataGLPLAcctIDs=$C36),(startDates&gt;=BF$4)*(endDates&lt;=BF$5)))</f>
        <v>1745</v>
      </c>
      <c r="BG36" s="246" cm="1">
        <f t="array" ref="BG36">SUM(_xlfn._xlws.FILTER(_xlfn._xlws.FILTER(dataGLPL,dataGLPLAcctIDs=$C36),(startDates&gt;=BG$4)*(endDates&lt;=BG$5)))</f>
        <v>1832.35</v>
      </c>
      <c r="BH36" s="246" cm="1">
        <f t="array" ref="BH36">SUM(_xlfn._xlws.FILTER(_xlfn._xlws.FILTER(dataGLPL,dataGLPLAcctIDs=$C36),(startDates&gt;=BH$4)*(endDates&lt;=BH$5)))</f>
        <v>1923.97</v>
      </c>
      <c r="BI36" s="246" cm="1">
        <f t="array" ref="BI36">SUM(_xlfn._xlws.FILTER(_xlfn._xlws.FILTER(dataGLPL,dataGLPLAcctIDs=$C36),(startDates&gt;=BI$4)*(endDates&lt;=BI$5)))</f>
        <v>2020.17</v>
      </c>
      <c r="BJ36" s="246" cm="1">
        <f t="array" ref="BJ36">SUM(_xlfn._xlws.FILTER(_xlfn._xlws.FILTER(dataGLPL,dataGLPLAcctIDs=$C36),(startDates&gt;=BJ$4)*(endDates&lt;=BJ$5)))</f>
        <v>2121.1799999999998</v>
      </c>
      <c r="BK36" s="246" cm="1">
        <f t="array" ref="BK36">SUM(_xlfn._xlws.FILTER(_xlfn._xlws.FILTER(dataGLPL,dataGLPLAcctIDs=$C36),(startDates&gt;=BK$4)*(endDates&lt;=BK$5)))</f>
        <v>2227.2399999999998</v>
      </c>
      <c r="BL36" s="246" cm="1">
        <f t="array" ref="BL36">SUM(_xlfn._xlws.FILTER(_xlfn._xlws.FILTER(dataGLPL,dataGLPLAcctIDs=$C36),(startDates&gt;=BL$4)*(endDates&lt;=BL$5)))</f>
        <v>2338.6</v>
      </c>
      <c r="BM36" s="246" cm="1">
        <f t="array" ref="BM36">SUM(_xlfn._xlws.FILTER(_xlfn._xlws.FILTER(dataGLPL,dataGLPLAcctIDs=$C36),(startDates&gt;=BM$4)*(endDates&lt;=BM$5)))</f>
        <v>2181.1142500000001</v>
      </c>
      <c r="BN36" s="246" cm="1">
        <f t="array" ref="BN36">SUM(_xlfn._xlws.FILTER(_xlfn._xlws.FILTER(dataGLPL,dataGLPLAcctIDs=$C36),(startDates&gt;=BN$4)*(endDates&lt;=BN$5)))</f>
        <v>2242.1479937499998</v>
      </c>
      <c r="BO36" s="246" cm="1">
        <f t="array" ref="BO36">SUM(_xlfn._xlws.FILTER(_xlfn._xlws.FILTER(dataGLPL,dataGLPLAcctIDs=$C36),(startDates&gt;=BO$4)*(endDates&lt;=BO$5)))</f>
        <v>2297.82914265625</v>
      </c>
      <c r="BP36" s="246" cm="1">
        <f t="array" ref="BP36">SUM(_xlfn._xlws.FILTER(_xlfn._xlws.FILTER(dataGLPL,dataGLPLAcctIDs=$C36),(startDates&gt;=BP$4)*(endDates&lt;=BP$5)))</f>
        <v>2346.4194926210935</v>
      </c>
      <c r="BQ36" s="246" cm="1">
        <f t="array" ref="BQ36">SUM(_xlfn._xlws.FILTER(_xlfn._xlws.FILTER(dataGLPL,dataGLPLAcctIDs=$C36),(startDates&gt;=BQ$4)*(endDates&lt;=BQ$5)))</f>
        <v>2385.836403829785</v>
      </c>
      <c r="BR36" s="246" cm="1">
        <f t="array" ref="BR36">SUM(_xlfn._xlws.FILTER(_xlfn._xlws.FILTER(dataGLPL,dataGLPLAcctIDs=$C36),(startDates&gt;=BR$4)*(endDates&lt;=BR$5)))</f>
        <v>2413.5907744999977</v>
      </c>
      <c r="BS36" s="246" cm="1">
        <f t="array" ref="BS36">SUM(_xlfn._xlws.FILTER(_xlfn._xlws.FILTER(dataGLPL,dataGLPLAcctIDs=$C36),(startDates&gt;=BS$4)*(endDates&lt;=BS$5)))</f>
        <v>2426.7141600374971</v>
      </c>
      <c r="BT36" s="246" cm="1">
        <f t="array" ref="BT36">SUM(_xlfn._xlws.FILTER(_xlfn._xlws.FILTER(dataGLPL,dataGLPLAcctIDs=$C36),(startDates&gt;=BT$4)*(endDates&lt;=BT$5)))</f>
        <v>2469.6941442940592</v>
      </c>
      <c r="BU36" s="246" cm="1">
        <f t="array" ref="BU36">SUM(_xlfn._xlws.FILTER(_xlfn._xlws.FILTER(dataGLPL,dataGLPLAcctIDs=$C36),(startDates&gt;=BU$4)*(endDates&lt;=BU$5)))</f>
        <v>2509.5147206392689</v>
      </c>
      <c r="BV36" s="246" cm="1">
        <f t="array" ref="BV36">SUM(_xlfn._xlws.FILTER(_xlfn._xlws.FILTER(dataGLPL,dataGLPLAcctIDs=$C36),(startDates&gt;=BV$4)*(endDates&lt;=BV$5)))</f>
        <v>2546.559696786298</v>
      </c>
      <c r="BW36" s="246" cm="1">
        <f t="array" ref="BW36">SUM(_xlfn._xlws.FILTER(_xlfn._xlws.FILTER(dataGLPL,dataGLPLAcctIDs=$C36),(startDates&gt;=BW$4)*(endDates&lt;=BW$5)))</f>
        <v>2581.5842325152089</v>
      </c>
      <c r="BX36" s="246" cm="1">
        <f t="array" ref="BX36">SUM(_xlfn._xlws.FILTER(_xlfn._xlws.FILTER(dataGLPL,dataGLPLAcctIDs=$C36),(startDates&gt;=BX$4)*(endDates&lt;=BX$5)))</f>
        <v>2615.8401025351577</v>
      </c>
      <c r="BY36" s="246" cm="1">
        <f t="array" ref="BY36">SUM(_xlfn._xlws.FILTER(_xlfn._xlws.FILTER(dataGLPL,dataGLPLAcctIDs=$C36),(startDates&gt;=BY$4)*(endDates&lt;=BY$5)))</f>
        <v>2651.233734941311</v>
      </c>
    </row>
    <row r="37" spans="1:77" s="201" customFormat="1" ht="21" customHeight="1">
      <c r="A37" s="215"/>
      <c r="B37" s="218" t="s">
        <v>249</v>
      </c>
      <c r="C37" s="343">
        <v>170</v>
      </c>
      <c r="D37" s="215"/>
      <c r="E37" s="216"/>
      <c r="F37" s="246" cm="1">
        <f t="array" ref="F37">SUM(_xlfn._xlws.FILTER(_xlfn._xlws.FILTER(dataGLPL,dataGLPLAcctIDs=$C37),(startDates&gt;=F$4)*(endDates&lt;=F$5)))</f>
        <v>13298</v>
      </c>
      <c r="G37" s="246" cm="1">
        <f t="array" ref="G37">SUM(_xlfn._xlws.FILTER(_xlfn._xlws.FILTER(dataGLPL,dataGLPLAcctIDs=$C37),(startDates&gt;=G$4)*(endDates&lt;=G$5)))</f>
        <v>29372</v>
      </c>
      <c r="H37" s="246" cm="1">
        <f t="array" ref="H37">SUM(_xlfn._xlws.FILTER(_xlfn._xlws.FILTER(dataGLPL,dataGLPLAcctIDs=$C37),(startDates&gt;=H$4)*(endDates&lt;=H$5)))</f>
        <v>49750.591</v>
      </c>
      <c r="I37" s="246" cm="1">
        <f t="array" ref="I37">SUM(_xlfn._xlws.FILTER(_xlfn._xlws.FILTER(dataGLPL,dataGLPLAcctIDs=$C37),(startDates&gt;=I$4)*(endDates&lt;=I$5)))</f>
        <v>65746.409257741208</v>
      </c>
      <c r="J37" s="344"/>
      <c r="K37" s="344"/>
      <c r="L37" s="246" cm="1">
        <f t="array" ref="L37">SUM(_xlfn._xlws.FILTER(_xlfn._xlws.FILTER(dataGLPL,dataGLPLAcctIDs=$C37),(startDates&gt;=L$4)*(endDates&lt;=L$5)))</f>
        <v>2485</v>
      </c>
      <c r="M37" s="246" cm="1">
        <f t="array" ref="M37">SUM(_xlfn._xlws.FILTER(_xlfn._xlws.FILTER(dataGLPL,dataGLPLAcctIDs=$C37),(startDates&gt;=M$4)*(endDates&lt;=M$5)))</f>
        <v>2755</v>
      </c>
      <c r="N37" s="246" cm="1">
        <f t="array" ref="N37">SUM(_xlfn._xlws.FILTER(_xlfn._xlws.FILTER(dataGLPL,dataGLPLAcctIDs=$C37),(startDates&gt;=N$4)*(endDates&lt;=N$5)))</f>
        <v>3054</v>
      </c>
      <c r="O37" s="246" cm="1">
        <f t="array" ref="O37">SUM(_xlfn._xlws.FILTER(_xlfn._xlws.FILTER(dataGLPL,dataGLPLAcctIDs=$C37),(startDates&gt;=O$4)*(endDates&lt;=O$5)))</f>
        <v>5004</v>
      </c>
      <c r="P37" s="246" cm="1">
        <f t="array" ref="P37">SUM(_xlfn._xlws.FILTER(_xlfn._xlws.FILTER(dataGLPL,dataGLPLAcctIDs=$C37),(startDates&gt;=P$4)*(endDates&lt;=P$5)))</f>
        <v>6084</v>
      </c>
      <c r="Q37" s="246" cm="1">
        <f t="array" ref="Q37">SUM(_xlfn._xlws.FILTER(_xlfn._xlws.FILTER(dataGLPL,dataGLPLAcctIDs=$C37),(startDates&gt;=Q$4)*(endDates&lt;=Q$5)))</f>
        <v>6872</v>
      </c>
      <c r="R37" s="246" cm="1">
        <f t="array" ref="R37">SUM(_xlfn._xlws.FILTER(_xlfn._xlws.FILTER(dataGLPL,dataGLPLAcctIDs=$C37),(startDates&gt;=R$4)*(endDates&lt;=R$5)))</f>
        <v>7872</v>
      </c>
      <c r="S37" s="246" cm="1">
        <f t="array" ref="S37">SUM(_xlfn._xlws.FILTER(_xlfn._xlws.FILTER(dataGLPL,dataGLPLAcctIDs=$C37),(startDates&gt;=S$4)*(endDates&lt;=S$5)))</f>
        <v>8544</v>
      </c>
      <c r="T37" s="246" cm="1">
        <f t="array" ref="T37">SUM(_xlfn._xlws.FILTER(_xlfn._xlws.FILTER(dataGLPL,dataGLPLAcctIDs=$C37),(startDates&gt;=T$4)*(endDates&lt;=T$5)))</f>
        <v>9890.43</v>
      </c>
      <c r="U37" s="246" cm="1">
        <f t="array" ref="U37">SUM(_xlfn._xlws.FILTER(_xlfn._xlws.FILTER(dataGLPL,dataGLPLAcctIDs=$C37),(startDates&gt;=U$4)*(endDates&lt;=U$5)))</f>
        <v>11450.25</v>
      </c>
      <c r="V37" s="246" cm="1">
        <f t="array" ref="V37">SUM(_xlfn._xlws.FILTER(_xlfn._xlws.FILTER(dataGLPL,dataGLPLAcctIDs=$C37),(startDates&gt;=V$4)*(endDates&lt;=V$5)))</f>
        <v>13254.55</v>
      </c>
      <c r="W37" s="246" cm="1">
        <f t="array" ref="W37">SUM(_xlfn._xlws.FILTER(_xlfn._xlws.FILTER(dataGLPL,dataGLPLAcctIDs=$C37),(startDates&gt;=W$4)*(endDates&lt;=W$5)))</f>
        <v>15155.361000000001</v>
      </c>
      <c r="X37" s="246" cm="1">
        <f t="array" ref="X37">SUM(_xlfn._xlws.FILTER(_xlfn._xlws.FILTER(dataGLPL,dataGLPLAcctIDs=$C37),(startDates&gt;=X$4)*(endDates&lt;=X$5)))</f>
        <v>15304.731627390624</v>
      </c>
      <c r="Y37" s="246" cm="1">
        <f t="array" ref="Y37">SUM(_xlfn._xlws.FILTER(_xlfn._xlws.FILTER(dataGLPL,dataGLPLAcctIDs=$C37),(startDates&gt;=Y$4)*(endDates&lt;=Y$5)))</f>
        <v>16145.151810946512</v>
      </c>
      <c r="Z37" s="246" cm="1">
        <f t="array" ref="Z37">SUM(_xlfn._xlws.FILTER(_xlfn._xlws.FILTER(dataGLPL,dataGLPLAcctIDs=$C37),(startDates&gt;=Z$4)*(endDates&lt;=Z$5)))</f>
        <v>16783.280845920308</v>
      </c>
      <c r="AA37" s="246" cm="1">
        <f t="array" ref="AA37">SUM(_xlfn._xlws.FILTER(_xlfn._xlws.FILTER(dataGLPL,dataGLPLAcctIDs=$C37),(startDates&gt;=AA$4)*(endDates&lt;=AA$5)))</f>
        <v>17513.244973483761</v>
      </c>
      <c r="AB37" s="215"/>
      <c r="AC37" s="344"/>
      <c r="AD37" s="246" cm="1">
        <f t="array" ref="AD37">SUM(_xlfn._xlws.FILTER(_xlfn._xlws.FILTER(dataGLPL,dataGLPLAcctIDs=$C37),(startDates&gt;=AD$4)*(endDates&lt;=AD$5)))</f>
        <v>800</v>
      </c>
      <c r="AE37" s="246" cm="1">
        <f t="array" ref="AE37">SUM(_xlfn._xlws.FILTER(_xlfn._xlws.FILTER(dataGLPL,dataGLPLAcctIDs=$C37),(startDates&gt;=AE$4)*(endDates&lt;=AE$5)))</f>
        <v>828</v>
      </c>
      <c r="AF37" s="246" cm="1">
        <f t="array" ref="AF37">SUM(_xlfn._xlws.FILTER(_xlfn._xlws.FILTER(dataGLPL,dataGLPLAcctIDs=$C37),(startDates&gt;=AF$4)*(endDates&lt;=AF$5)))</f>
        <v>857</v>
      </c>
      <c r="AG37" s="246" cm="1">
        <f t="array" ref="AG37">SUM(_xlfn._xlws.FILTER(_xlfn._xlws.FILTER(dataGLPL,dataGLPLAcctIDs=$C37),(startDates&gt;=AG$4)*(endDates&lt;=AG$5)))</f>
        <v>887</v>
      </c>
      <c r="AH37" s="246" cm="1">
        <f t="array" ref="AH37">SUM(_xlfn._xlws.FILTER(_xlfn._xlws.FILTER(dataGLPL,dataGLPLAcctIDs=$C37),(startDates&gt;=AH$4)*(endDates&lt;=AH$5)))</f>
        <v>918</v>
      </c>
      <c r="AI37" s="246" cm="1">
        <f t="array" ref="AI37">SUM(_xlfn._xlws.FILTER(_xlfn._xlws.FILTER(dataGLPL,dataGLPLAcctIDs=$C37),(startDates&gt;=AI$4)*(endDates&lt;=AI$5)))</f>
        <v>950</v>
      </c>
      <c r="AJ37" s="246" cm="1">
        <f t="array" ref="AJ37">SUM(_xlfn._xlws.FILTER(_xlfn._xlws.FILTER(dataGLPL,dataGLPLAcctIDs=$C37),(startDates&gt;=AJ$4)*(endDates&lt;=AJ$5)))</f>
        <v>983</v>
      </c>
      <c r="AK37" s="246" cm="1">
        <f t="array" ref="AK37">SUM(_xlfn._xlws.FILTER(_xlfn._xlws.FILTER(dataGLPL,dataGLPLAcctIDs=$C37),(startDates&gt;=AK$4)*(endDates&lt;=AK$5)))</f>
        <v>1018</v>
      </c>
      <c r="AL37" s="246" cm="1">
        <f t="array" ref="AL37">SUM(_xlfn._xlws.FILTER(_xlfn._xlws.FILTER(dataGLPL,dataGLPLAcctIDs=$C37),(startDates&gt;=AL$4)*(endDates&lt;=AL$5)))</f>
        <v>1053</v>
      </c>
      <c r="AM37" s="246" cm="1">
        <f t="array" ref="AM37">SUM(_xlfn._xlws.FILTER(_xlfn._xlws.FILTER(dataGLPL,dataGLPLAcctIDs=$C37),(startDates&gt;=AM$4)*(endDates&lt;=AM$5)))</f>
        <v>1090</v>
      </c>
      <c r="AN37" s="246" cm="1">
        <f t="array" ref="AN37">SUM(_xlfn._xlws.FILTER(_xlfn._xlws.FILTER(dataGLPL,dataGLPLAcctIDs=$C37),(startDates&gt;=AN$4)*(endDates&lt;=AN$5)))</f>
        <v>1790.5</v>
      </c>
      <c r="AO37" s="246" cm="1">
        <f t="array" ref="AO37">SUM(_xlfn._xlws.FILTER(_xlfn._xlws.FILTER(dataGLPL,dataGLPLAcctIDs=$C37),(startDates&gt;=AO$4)*(endDates&lt;=AO$5)))</f>
        <v>2123.5</v>
      </c>
      <c r="AP37" s="246" cm="1">
        <f t="array" ref="AP37">SUM(_xlfn._xlws.FILTER(_xlfn._xlws.FILTER(dataGLPL,dataGLPLAcctIDs=$C37),(startDates&gt;=AP$4)*(endDates&lt;=AP$5)))</f>
        <v>1880</v>
      </c>
      <c r="AQ37" s="246" cm="1">
        <f t="array" ref="AQ37">SUM(_xlfn._xlws.FILTER(_xlfn._xlws.FILTER(dataGLPL,dataGLPLAcctIDs=$C37),(startDates&gt;=AQ$4)*(endDates&lt;=AQ$5)))</f>
        <v>2230</v>
      </c>
      <c r="AR37" s="246" cm="1">
        <f t="array" ref="AR37">SUM(_xlfn._xlws.FILTER(_xlfn._xlws.FILTER(dataGLPL,dataGLPLAcctIDs=$C37),(startDates&gt;=AR$4)*(endDates&lt;=AR$5)))</f>
        <v>1974</v>
      </c>
      <c r="AS37" s="246" cm="1">
        <f t="array" ref="AS37">SUM(_xlfn._xlws.FILTER(_xlfn._xlws.FILTER(dataGLPL,dataGLPLAcctIDs=$C37),(startDates&gt;=AS$4)*(endDates&lt;=AS$5)))</f>
        <v>2341</v>
      </c>
      <c r="AT37" s="246" cm="1">
        <f t="array" ref="AT37">SUM(_xlfn._xlws.FILTER(_xlfn._xlws.FILTER(dataGLPL,dataGLPLAcctIDs=$C37),(startDates&gt;=AT$4)*(endDates&lt;=AT$5)))</f>
        <v>2073</v>
      </c>
      <c r="AU37" s="246" cm="1">
        <f t="array" ref="AU37">SUM(_xlfn._xlws.FILTER(_xlfn._xlws.FILTER(dataGLPL,dataGLPLAcctIDs=$C37),(startDates&gt;=AU$4)*(endDates&lt;=AU$5)))</f>
        <v>2458</v>
      </c>
      <c r="AV37" s="246" cm="1">
        <f t="array" ref="AV37">SUM(_xlfn._xlws.FILTER(_xlfn._xlws.FILTER(dataGLPL,dataGLPLAcctIDs=$C37),(startDates&gt;=AV$4)*(endDates&lt;=AV$5)))</f>
        <v>2581</v>
      </c>
      <c r="AW37" s="246" cm="1">
        <f t="array" ref="AW37">SUM(_xlfn._xlws.FILTER(_xlfn._xlws.FILTER(dataGLPL,dataGLPLAcctIDs=$C37),(startDates&gt;=AW$4)*(endDates&lt;=AW$5)))</f>
        <v>2581</v>
      </c>
      <c r="AX37" s="246" cm="1">
        <f t="array" ref="AX37">SUM(_xlfn._xlws.FILTER(_xlfn._xlws.FILTER(dataGLPL,dataGLPLAcctIDs=$C37),(startDates&gt;=AX$4)*(endDates&lt;=AX$5)))</f>
        <v>2710</v>
      </c>
      <c r="AY37" s="246" cm="1">
        <f t="array" ref="AY37">SUM(_xlfn._xlws.FILTER(_xlfn._xlws.FILTER(dataGLPL,dataGLPLAcctIDs=$C37),(startDates&gt;=AY$4)*(endDates&lt;=AY$5)))</f>
        <v>2710</v>
      </c>
      <c r="AZ37" s="246" cm="1">
        <f t="array" ref="AZ37">SUM(_xlfn._xlws.FILTER(_xlfn._xlws.FILTER(dataGLPL,dataGLPLAcctIDs=$C37),(startDates&gt;=AZ$4)*(endDates&lt;=AZ$5)))</f>
        <v>2846</v>
      </c>
      <c r="BA37" s="246" cm="1">
        <f t="array" ref="BA37">SUM(_xlfn._xlws.FILTER(_xlfn._xlws.FILTER(dataGLPL,dataGLPLAcctIDs=$C37),(startDates&gt;=BA$4)*(endDates&lt;=BA$5)))</f>
        <v>2988</v>
      </c>
      <c r="BB37" s="246" cm="1">
        <f t="array" ref="BB37">SUM(_xlfn._xlws.FILTER(_xlfn._xlws.FILTER(dataGLPL,dataGLPLAcctIDs=$C37),(startDates&gt;=BB$4)*(endDates&lt;=BB$5)))</f>
        <v>3137.43</v>
      </c>
      <c r="BC37" s="246" cm="1">
        <f t="array" ref="BC37">SUM(_xlfn._xlws.FILTER(_xlfn._xlws.FILTER(dataGLPL,dataGLPLAcctIDs=$C37),(startDates&gt;=BC$4)*(endDates&lt;=BC$5)))</f>
        <v>3294</v>
      </c>
      <c r="BD37" s="246" cm="1">
        <f t="array" ref="BD37">SUM(_xlfn._xlws.FILTER(_xlfn._xlws.FILTER(dataGLPL,dataGLPLAcctIDs=$C37),(startDates&gt;=BD$4)*(endDates&lt;=BD$5)))</f>
        <v>3459</v>
      </c>
      <c r="BE37" s="246" cm="1">
        <f t="array" ref="BE37">SUM(_xlfn._xlws.FILTER(_xlfn._xlws.FILTER(dataGLPL,dataGLPLAcctIDs=$C37),(startDates&gt;=BE$4)*(endDates&lt;=BE$5)))</f>
        <v>3632</v>
      </c>
      <c r="BF37" s="246" cm="1">
        <f t="array" ref="BF37">SUM(_xlfn._xlws.FILTER(_xlfn._xlws.FILTER(dataGLPL,dataGLPLAcctIDs=$C37),(startDates&gt;=BF$4)*(endDates&lt;=BF$5)))</f>
        <v>3814</v>
      </c>
      <c r="BG37" s="246" cm="1">
        <f t="array" ref="BG37">SUM(_xlfn._xlws.FILTER(_xlfn._xlws.FILTER(dataGLPL,dataGLPLAcctIDs=$C37),(startDates&gt;=BG$4)*(endDates&lt;=BG$5)))</f>
        <v>4004.25</v>
      </c>
      <c r="BH37" s="246" cm="1">
        <f t="array" ref="BH37">SUM(_xlfn._xlws.FILTER(_xlfn._xlws.FILTER(dataGLPL,dataGLPLAcctIDs=$C37),(startDates&gt;=BH$4)*(endDates&lt;=BH$5)))</f>
        <v>4204.46</v>
      </c>
      <c r="BI37" s="246" cm="1">
        <f t="array" ref="BI37">SUM(_xlfn._xlws.FILTER(_xlfn._xlws.FILTER(dataGLPL,dataGLPLAcctIDs=$C37),(startDates&gt;=BI$4)*(endDates&lt;=BI$5)))</f>
        <v>4414.68</v>
      </c>
      <c r="BJ37" s="246" cm="1">
        <f t="array" ref="BJ37">SUM(_xlfn._xlws.FILTER(_xlfn._xlws.FILTER(dataGLPL,dataGLPLAcctIDs=$C37),(startDates&gt;=BJ$4)*(endDates&lt;=BJ$5)))</f>
        <v>4635.41</v>
      </c>
      <c r="BK37" s="246" cm="1">
        <f t="array" ref="BK37">SUM(_xlfn._xlws.FILTER(_xlfn._xlws.FILTER(dataGLPL,dataGLPLAcctIDs=$C37),(startDates&gt;=BK$4)*(endDates&lt;=BK$5)))</f>
        <v>4867.18</v>
      </c>
      <c r="BL37" s="246" cm="1">
        <f t="array" ref="BL37">SUM(_xlfn._xlws.FILTER(_xlfn._xlws.FILTER(dataGLPL,dataGLPLAcctIDs=$C37),(startDates&gt;=BL$4)*(endDates&lt;=BL$5)))</f>
        <v>5460.54</v>
      </c>
      <c r="BM37" s="246" cm="1">
        <f t="array" ref="BM37">SUM(_xlfn._xlws.FILTER(_xlfn._xlws.FILTER(dataGLPL,dataGLPLAcctIDs=$C37),(startDates&gt;=BM$4)*(endDates&lt;=BM$5)))</f>
        <v>4827.6409999999996</v>
      </c>
      <c r="BN37" s="246" cm="1">
        <f t="array" ref="BN37">SUM(_xlfn._xlws.FILTER(_xlfn._xlws.FILTER(dataGLPL,dataGLPLAcctIDs=$C37),(startDates&gt;=BN$4)*(endDates&lt;=BN$5)))</f>
        <v>4971.7344249999996</v>
      </c>
      <c r="BO37" s="246" cm="1">
        <f t="array" ref="BO37">SUM(_xlfn._xlws.FILTER(_xlfn._xlws.FILTER(dataGLPL,dataGLPLAcctIDs=$C37),(startDates&gt;=BO$4)*(endDates&lt;=BO$5)))</f>
        <v>5106.0074493749999</v>
      </c>
      <c r="BP37" s="246" cm="1">
        <f t="array" ref="BP37">SUM(_xlfn._xlws.FILTER(_xlfn._xlws.FILTER(dataGLPL,dataGLPLAcctIDs=$C37),(startDates&gt;=BP$4)*(endDates&lt;=BP$5)))</f>
        <v>5226.989753015625</v>
      </c>
      <c r="BQ37" s="246" cm="1">
        <f t="array" ref="BQ37">SUM(_xlfn._xlws.FILTER(_xlfn._xlws.FILTER(dataGLPL,dataGLPLAcctIDs=$C37),(startDates&gt;=BQ$4)*(endDates&lt;=BQ$5)))</f>
        <v>5330.5162097933598</v>
      </c>
      <c r="BR37" s="246" cm="1">
        <f t="array" ref="BR37">SUM(_xlfn._xlws.FILTER(_xlfn._xlws.FILTER(dataGLPL,dataGLPLAcctIDs=$C37),(startDates&gt;=BR$4)*(endDates&lt;=BR$5)))</f>
        <v>5411.6000465071975</v>
      </c>
      <c r="BS37" s="246" cm="1">
        <f t="array" ref="BS37">SUM(_xlfn._xlws.FILTER(_xlfn._xlws.FILTER(dataGLPL,dataGLPLAcctIDs=$C37),(startDates&gt;=BS$4)*(endDates&lt;=BS$5)))</f>
        <v>5403.0355546459559</v>
      </c>
      <c r="BT37" s="246" cm="1">
        <f t="array" ref="BT37">SUM(_xlfn._xlws.FILTER(_xlfn._xlws.FILTER(dataGLPL,dataGLPLAcctIDs=$C37),(startDates&gt;=BT$4)*(endDates&lt;=BT$5)))</f>
        <v>5503.7296017089993</v>
      </c>
      <c r="BU37" s="246" cm="1">
        <f t="array" ref="BU37">SUM(_xlfn._xlws.FILTER(_xlfn._xlws.FILTER(dataGLPL,dataGLPLAcctIDs=$C37),(startDates&gt;=BU$4)*(endDates&lt;=BU$5)))</f>
        <v>5596.8287576330731</v>
      </c>
      <c r="BV37" s="246" cm="1">
        <f t="array" ref="BV37">SUM(_xlfn._xlws.FILTER(_xlfn._xlws.FILTER(dataGLPL,dataGLPLAcctIDs=$C37),(startDates&gt;=BV$4)*(endDates&lt;=BV$5)))</f>
        <v>5682.7224865782373</v>
      </c>
      <c r="BW37" s="246" cm="1">
        <f t="array" ref="BW37">SUM(_xlfn._xlws.FILTER(_xlfn._xlws.FILTER(dataGLPL,dataGLPLAcctIDs=$C37),(startDates&gt;=BW$4)*(endDates&lt;=BW$5)))</f>
        <v>5762.4757149516936</v>
      </c>
      <c r="BX37" s="246" cm="1">
        <f t="array" ref="BX37">SUM(_xlfn._xlws.FILTER(_xlfn._xlws.FILTER(dataGLPL,dataGLPLAcctIDs=$C37),(startDates&gt;=BX$4)*(endDates&lt;=BX$5)))</f>
        <v>5838.0686283544028</v>
      </c>
      <c r="BY37" s="246" cm="1">
        <f t="array" ref="BY37">SUM(_xlfn._xlws.FILTER(_xlfn._xlws.FILTER(dataGLPL,dataGLPLAcctIDs=$C37),(startDates&gt;=BY$4)*(endDates&lt;=BY$5)))</f>
        <v>5912.7006301776637</v>
      </c>
    </row>
    <row r="38" spans="1:77" s="201" customFormat="1" ht="21" customHeight="1">
      <c r="A38" s="215"/>
      <c r="B38" s="218" t="s">
        <v>250</v>
      </c>
      <c r="C38" s="343">
        <v>171</v>
      </c>
      <c r="D38" s="215"/>
      <c r="E38" s="216"/>
      <c r="F38" s="246" cm="1">
        <f t="array" ref="F38">SUM(_xlfn._xlws.FILTER(_xlfn._xlws.FILTER(dataGLPL,dataGLPLAcctIDs=$C38),(startDates&gt;=F$4)*(endDates&lt;=F$5)))</f>
        <v>60052</v>
      </c>
      <c r="G38" s="246" cm="1">
        <f t="array" ref="G38">SUM(_xlfn._xlws.FILTER(_xlfn._xlws.FILTER(dataGLPL,dataGLPLAcctIDs=$C38),(startDates&gt;=G$4)*(endDates&lt;=G$5)))</f>
        <v>143016</v>
      </c>
      <c r="H38" s="246" cm="1">
        <f t="array" ref="H38">SUM(_xlfn._xlws.FILTER(_xlfn._xlws.FILTER(dataGLPL,dataGLPLAcctIDs=$C38),(startDates&gt;=H$4)*(endDates&lt;=H$5)))</f>
        <v>240883.584</v>
      </c>
      <c r="I38" s="246" cm="1">
        <f t="array" ref="I38">SUM(_xlfn._xlws.FILTER(_xlfn._xlws.FILTER(dataGLPL,dataGLPLAcctIDs=$C38),(startDates&gt;=I$4)*(endDates&lt;=I$5)))</f>
        <v>314597.47110545117</v>
      </c>
      <c r="J38" s="344"/>
      <c r="K38" s="344"/>
      <c r="L38" s="246" cm="1">
        <f t="array" ref="L38">SUM(_xlfn._xlws.FILTER(_xlfn._xlws.FILTER(dataGLPL,dataGLPLAcctIDs=$C38),(startDates&gt;=L$4)*(endDates&lt;=L$5)))</f>
        <v>10872</v>
      </c>
      <c r="M38" s="246" cm="1">
        <f t="array" ref="M38">SUM(_xlfn._xlws.FILTER(_xlfn._xlws.FILTER(dataGLPL,dataGLPLAcctIDs=$C38),(startDates&gt;=M$4)*(endDates&lt;=M$5)))</f>
        <v>12054</v>
      </c>
      <c r="N38" s="246" cm="1">
        <f t="array" ref="N38">SUM(_xlfn._xlws.FILTER(_xlfn._xlws.FILTER(dataGLPL,dataGLPLAcctIDs=$C38),(startDates&gt;=N$4)*(endDates&lt;=N$5)))</f>
        <v>13364</v>
      </c>
      <c r="O38" s="246" cm="1">
        <f t="array" ref="O38">SUM(_xlfn._xlws.FILTER(_xlfn._xlws.FILTER(dataGLPL,dataGLPLAcctIDs=$C38),(startDates&gt;=O$4)*(endDates&lt;=O$5)))</f>
        <v>23762</v>
      </c>
      <c r="P38" s="246" cm="1">
        <f t="array" ref="P38">SUM(_xlfn._xlws.FILTER(_xlfn._xlws.FILTER(dataGLPL,dataGLPLAcctIDs=$C38),(startDates&gt;=P$4)*(endDates&lt;=P$5)))</f>
        <v>29451</v>
      </c>
      <c r="Q38" s="246" cm="1">
        <f t="array" ref="Q38">SUM(_xlfn._xlws.FILTER(_xlfn._xlws.FILTER(dataGLPL,dataGLPLAcctIDs=$C38),(startDates&gt;=Q$4)*(endDates&lt;=Q$5)))</f>
        <v>33416</v>
      </c>
      <c r="R38" s="246" cm="1">
        <f t="array" ref="R38">SUM(_xlfn._xlws.FILTER(_xlfn._xlws.FILTER(dataGLPL,dataGLPLAcctIDs=$C38),(startDates&gt;=R$4)*(endDates&lt;=R$5)))</f>
        <v>38436</v>
      </c>
      <c r="S38" s="246" cm="1">
        <f t="array" ref="S38">SUM(_xlfn._xlws.FILTER(_xlfn._xlws.FILTER(dataGLPL,dataGLPLAcctIDs=$C38),(startDates&gt;=S$4)*(endDates&lt;=S$5)))</f>
        <v>41713</v>
      </c>
      <c r="T38" s="246" cm="1">
        <f t="array" ref="T38">SUM(_xlfn._xlws.FILTER(_xlfn._xlws.FILTER(dataGLPL,dataGLPLAcctIDs=$C38),(startDates&gt;=T$4)*(endDates&lt;=T$5)))</f>
        <v>48288.51</v>
      </c>
      <c r="U38" s="246" cm="1">
        <f t="array" ref="U38">SUM(_xlfn._xlws.FILTER(_xlfn._xlws.FILTER(dataGLPL,dataGLPLAcctIDs=$C38),(startDates&gt;=U$4)*(endDates&lt;=U$5)))</f>
        <v>55900.45</v>
      </c>
      <c r="V38" s="246" cm="1">
        <f t="array" ref="V38">SUM(_xlfn._xlws.FILTER(_xlfn._xlws.FILTER(dataGLPL,dataGLPLAcctIDs=$C38),(startDates&gt;=V$4)*(endDates&lt;=V$5)))</f>
        <v>64711.14</v>
      </c>
      <c r="W38" s="246" cm="1">
        <f t="array" ref="W38">SUM(_xlfn._xlws.FILTER(_xlfn._xlws.FILTER(dataGLPL,dataGLPLAcctIDs=$C38),(startDates&gt;=W$4)*(endDates&lt;=W$5)))</f>
        <v>71983.483999999997</v>
      </c>
      <c r="X38" s="246" cm="1">
        <f t="array" ref="X38">SUM(_xlfn._xlws.FILTER(_xlfn._xlws.FILTER(dataGLPL,dataGLPLAcctIDs=$C38),(startDates&gt;=X$4)*(endDates&lt;=X$5)))</f>
        <v>73471.208949250009</v>
      </c>
      <c r="Y38" s="246" cm="1">
        <f t="array" ref="Y38">SUM(_xlfn._xlws.FILTER(_xlfn._xlws.FILTER(dataGLPL,dataGLPLAcctIDs=$C38),(startDates&gt;=Y$4)*(endDates&lt;=Y$5)))</f>
        <v>77095.959258093484</v>
      </c>
      <c r="Z38" s="246" cm="1">
        <f t="array" ref="Z38">SUM(_xlfn._xlws.FILTER(_xlfn._xlws.FILTER(dataGLPL,dataGLPLAcctIDs=$C38),(startDates&gt;=Z$4)*(endDates&lt;=Z$5)))</f>
        <v>80292.690955266255</v>
      </c>
      <c r="AA38" s="246" cm="1">
        <f t="array" ref="AA38">SUM(_xlfn._xlws.FILTER(_xlfn._xlws.FILTER(dataGLPL,dataGLPLAcctIDs=$C38),(startDates&gt;=AA$4)*(endDates&lt;=AA$5)))</f>
        <v>83737.611942841409</v>
      </c>
      <c r="AB38" s="215"/>
      <c r="AC38" s="344"/>
      <c r="AD38" s="246" cm="1">
        <f t="array" ref="AD38">SUM(_xlfn._xlws.FILTER(_xlfn._xlws.FILTER(dataGLPL,dataGLPLAcctIDs=$C38),(startDates&gt;=AD$4)*(endDates&lt;=AD$5)))</f>
        <v>3500</v>
      </c>
      <c r="AE38" s="246" cm="1">
        <f t="array" ref="AE38">SUM(_xlfn._xlws.FILTER(_xlfn._xlws.FILTER(dataGLPL,dataGLPLAcctIDs=$C38),(startDates&gt;=AE$4)*(endDates&lt;=AE$5)))</f>
        <v>3623</v>
      </c>
      <c r="AF38" s="246" cm="1">
        <f t="array" ref="AF38">SUM(_xlfn._xlws.FILTER(_xlfn._xlws.FILTER(dataGLPL,dataGLPLAcctIDs=$C38),(startDates&gt;=AF$4)*(endDates&lt;=AF$5)))</f>
        <v>3749</v>
      </c>
      <c r="AG38" s="246" cm="1">
        <f t="array" ref="AG38">SUM(_xlfn._xlws.FILTER(_xlfn._xlws.FILTER(dataGLPL,dataGLPLAcctIDs=$C38),(startDates&gt;=AG$4)*(endDates&lt;=AG$5)))</f>
        <v>3881</v>
      </c>
      <c r="AH38" s="246" cm="1">
        <f t="array" ref="AH38">SUM(_xlfn._xlws.FILTER(_xlfn._xlws.FILTER(dataGLPL,dataGLPLAcctIDs=$C38),(startDates&gt;=AH$4)*(endDates&lt;=AH$5)))</f>
        <v>4016</v>
      </c>
      <c r="AI38" s="246" cm="1">
        <f t="array" ref="AI38">SUM(_xlfn._xlws.FILTER(_xlfn._xlws.FILTER(dataGLPL,dataGLPLAcctIDs=$C38),(startDates&gt;=AI$4)*(endDates&lt;=AI$5)))</f>
        <v>4157</v>
      </c>
      <c r="AJ38" s="246" cm="1">
        <f t="array" ref="AJ38">SUM(_xlfn._xlws.FILTER(_xlfn._xlws.FILTER(dataGLPL,dataGLPLAcctIDs=$C38),(startDates&gt;=AJ$4)*(endDates&lt;=AJ$5)))</f>
        <v>4302</v>
      </c>
      <c r="AK38" s="246" cm="1">
        <f t="array" ref="AK38">SUM(_xlfn._xlws.FILTER(_xlfn._xlws.FILTER(dataGLPL,dataGLPLAcctIDs=$C38),(startDates&gt;=AK$4)*(endDates&lt;=AK$5)))</f>
        <v>4453</v>
      </c>
      <c r="AL38" s="246" cm="1">
        <f t="array" ref="AL38">SUM(_xlfn._xlws.FILTER(_xlfn._xlws.FILTER(dataGLPL,dataGLPLAcctIDs=$C38),(startDates&gt;=AL$4)*(endDates&lt;=AL$5)))</f>
        <v>4609</v>
      </c>
      <c r="AM38" s="246" cm="1">
        <f t="array" ref="AM38">SUM(_xlfn._xlws.FILTER(_xlfn._xlws.FILTER(dataGLPL,dataGLPLAcctIDs=$C38),(startDates&gt;=AM$4)*(endDates&lt;=AM$5)))</f>
        <v>4770</v>
      </c>
      <c r="AN38" s="246" cm="1">
        <f t="array" ref="AN38">SUM(_xlfn._xlws.FILTER(_xlfn._xlws.FILTER(dataGLPL,dataGLPLAcctIDs=$C38),(startDates&gt;=AN$4)*(endDates&lt;=AN$5)))</f>
        <v>8625</v>
      </c>
      <c r="AO38" s="246" cm="1">
        <f t="array" ref="AO38">SUM(_xlfn._xlws.FILTER(_xlfn._xlws.FILTER(dataGLPL,dataGLPLAcctIDs=$C38),(startDates&gt;=AO$4)*(endDates&lt;=AO$5)))</f>
        <v>10367</v>
      </c>
      <c r="AP38" s="246" cm="1">
        <f t="array" ref="AP38">SUM(_xlfn._xlws.FILTER(_xlfn._xlws.FILTER(dataGLPL,dataGLPLAcctIDs=$C38),(startDates&gt;=AP$4)*(endDates&lt;=AP$5)))</f>
        <v>9056</v>
      </c>
      <c r="AQ38" s="246" cm="1">
        <f t="array" ref="AQ38">SUM(_xlfn._xlws.FILTER(_xlfn._xlws.FILTER(dataGLPL,dataGLPLAcctIDs=$C38),(startDates&gt;=AQ$4)*(endDates&lt;=AQ$5)))</f>
        <v>10886</v>
      </c>
      <c r="AR38" s="246" cm="1">
        <f t="array" ref="AR38">SUM(_xlfn._xlws.FILTER(_xlfn._xlws.FILTER(dataGLPL,dataGLPLAcctIDs=$C38),(startDates&gt;=AR$4)*(endDates&lt;=AR$5)))</f>
        <v>9509</v>
      </c>
      <c r="AS38" s="246" cm="1">
        <f t="array" ref="AS38">SUM(_xlfn._xlws.FILTER(_xlfn._xlws.FILTER(dataGLPL,dataGLPLAcctIDs=$C38),(startDates&gt;=AS$4)*(endDates&lt;=AS$5)))</f>
        <v>11430</v>
      </c>
      <c r="AT38" s="246" cm="1">
        <f t="array" ref="AT38">SUM(_xlfn._xlws.FILTER(_xlfn._xlws.FILTER(dataGLPL,dataGLPLAcctIDs=$C38),(startDates&gt;=AT$4)*(endDates&lt;=AT$5)))</f>
        <v>9984</v>
      </c>
      <c r="AU38" s="246" cm="1">
        <f t="array" ref="AU38">SUM(_xlfn._xlws.FILTER(_xlfn._xlws.FILTER(dataGLPL,dataGLPLAcctIDs=$C38),(startDates&gt;=AU$4)*(endDates&lt;=AU$5)))</f>
        <v>12002</v>
      </c>
      <c r="AV38" s="246" cm="1">
        <f t="array" ref="AV38">SUM(_xlfn._xlws.FILTER(_xlfn._xlws.FILTER(dataGLPL,dataGLPLAcctIDs=$C38),(startDates&gt;=AV$4)*(endDates&lt;=AV$5)))</f>
        <v>12602</v>
      </c>
      <c r="AW38" s="246" cm="1">
        <f t="array" ref="AW38">SUM(_xlfn._xlws.FILTER(_xlfn._xlws.FILTER(dataGLPL,dataGLPLAcctIDs=$C38),(startDates&gt;=AW$4)*(endDates&lt;=AW$5)))</f>
        <v>12602</v>
      </c>
      <c r="AX38" s="246" cm="1">
        <f t="array" ref="AX38">SUM(_xlfn._xlws.FILTER(_xlfn._xlws.FILTER(dataGLPL,dataGLPLAcctIDs=$C38),(startDates&gt;=AX$4)*(endDates&lt;=AX$5)))</f>
        <v>13232</v>
      </c>
      <c r="AY38" s="246" cm="1">
        <f t="array" ref="AY38">SUM(_xlfn._xlws.FILTER(_xlfn._xlws.FILTER(dataGLPL,dataGLPLAcctIDs=$C38),(startDates&gt;=AY$4)*(endDates&lt;=AY$5)))</f>
        <v>13232</v>
      </c>
      <c r="AZ38" s="246" cm="1">
        <f t="array" ref="AZ38">SUM(_xlfn._xlws.FILTER(_xlfn._xlws.FILTER(dataGLPL,dataGLPLAcctIDs=$C38),(startDates&gt;=AZ$4)*(endDates&lt;=AZ$5)))</f>
        <v>13893</v>
      </c>
      <c r="BA38" s="246" cm="1">
        <f t="array" ref="BA38">SUM(_xlfn._xlws.FILTER(_xlfn._xlws.FILTER(dataGLPL,dataGLPLAcctIDs=$C38),(startDates&gt;=BA$4)*(endDates&lt;=BA$5)))</f>
        <v>14588</v>
      </c>
      <c r="BB38" s="246" cm="1">
        <f t="array" ref="BB38">SUM(_xlfn._xlws.FILTER(_xlfn._xlws.FILTER(dataGLPL,dataGLPLAcctIDs=$C38),(startDates&gt;=BB$4)*(endDates&lt;=BB$5)))</f>
        <v>15317.51</v>
      </c>
      <c r="BC38" s="246" cm="1">
        <f t="array" ref="BC38">SUM(_xlfn._xlws.FILTER(_xlfn._xlws.FILTER(dataGLPL,dataGLPLAcctIDs=$C38),(startDates&gt;=BC$4)*(endDates&lt;=BC$5)))</f>
        <v>16083</v>
      </c>
      <c r="BD38" s="246" cm="1">
        <f t="array" ref="BD38">SUM(_xlfn._xlws.FILTER(_xlfn._xlws.FILTER(dataGLPL,dataGLPLAcctIDs=$C38),(startDates&gt;=BD$4)*(endDates&lt;=BD$5)))</f>
        <v>16888</v>
      </c>
      <c r="BE38" s="246" cm="1">
        <f t="array" ref="BE38">SUM(_xlfn._xlws.FILTER(_xlfn._xlws.FILTER(dataGLPL,dataGLPLAcctIDs=$C38),(startDates&gt;=BE$4)*(endDates&lt;=BE$5)))</f>
        <v>17732</v>
      </c>
      <c r="BF38" s="246" cm="1">
        <f t="array" ref="BF38">SUM(_xlfn._xlws.FILTER(_xlfn._xlws.FILTER(dataGLPL,dataGLPLAcctIDs=$C38),(startDates&gt;=BF$4)*(endDates&lt;=BF$5)))</f>
        <v>18619</v>
      </c>
      <c r="BG38" s="246" cm="1">
        <f t="array" ref="BG38">SUM(_xlfn._xlws.FILTER(_xlfn._xlws.FILTER(dataGLPL,dataGLPLAcctIDs=$C38),(startDates&gt;=BG$4)*(endDates&lt;=BG$5)))</f>
        <v>19549.45</v>
      </c>
      <c r="BH38" s="246" cm="1">
        <f t="array" ref="BH38">SUM(_xlfn._xlws.FILTER(_xlfn._xlws.FILTER(dataGLPL,dataGLPLAcctIDs=$C38),(startDates&gt;=BH$4)*(endDates&lt;=BH$5)))</f>
        <v>20526.93</v>
      </c>
      <c r="BI38" s="246" cm="1">
        <f t="array" ref="BI38">SUM(_xlfn._xlws.FILTER(_xlfn._xlws.FILTER(dataGLPL,dataGLPLAcctIDs=$C38),(startDates&gt;=BI$4)*(endDates&lt;=BI$5)))</f>
        <v>21553.27</v>
      </c>
      <c r="BJ38" s="246" cm="1">
        <f t="array" ref="BJ38">SUM(_xlfn._xlws.FILTER(_xlfn._xlws.FILTER(dataGLPL,dataGLPLAcctIDs=$C38),(startDates&gt;=BJ$4)*(endDates&lt;=BJ$5)))</f>
        <v>22630.94</v>
      </c>
      <c r="BK38" s="246" cm="1">
        <f t="array" ref="BK38">SUM(_xlfn._xlws.FILTER(_xlfn._xlws.FILTER(dataGLPL,dataGLPLAcctIDs=$C38),(startDates&gt;=BK$4)*(endDates&lt;=BK$5)))</f>
        <v>23762.48</v>
      </c>
      <c r="BL38" s="246" cm="1">
        <f t="array" ref="BL38">SUM(_xlfn._xlws.FILTER(_xlfn._xlws.FILTER(dataGLPL,dataGLPLAcctIDs=$C38),(startDates&gt;=BL$4)*(endDates&lt;=BL$5)))</f>
        <v>24950.61</v>
      </c>
      <c r="BM38" s="246" cm="1">
        <f t="array" ref="BM38">SUM(_xlfn._xlws.FILTER(_xlfn._xlws.FILTER(dataGLPL,dataGLPLAcctIDs=$C38),(startDates&gt;=BM$4)*(endDates&lt;=BM$5)))</f>
        <v>23270.394</v>
      </c>
      <c r="BN38" s="246" cm="1">
        <f t="array" ref="BN38">SUM(_xlfn._xlws.FILTER(_xlfn._xlws.FILTER(dataGLPL,dataGLPLAcctIDs=$C38),(startDates&gt;=BN$4)*(endDates&lt;=BN$5)))</f>
        <v>23921.559200000003</v>
      </c>
      <c r="BO38" s="246" cm="1">
        <f t="array" ref="BO38">SUM(_xlfn._xlws.FILTER(_xlfn._xlws.FILTER(dataGLPL,dataGLPLAcctIDs=$C38),(startDates&gt;=BO$4)*(endDates&lt;=BO$5)))</f>
        <v>24515.619310000002</v>
      </c>
      <c r="BP38" s="246" cm="1">
        <f t="array" ref="BP38">SUM(_xlfn._xlws.FILTER(_xlfn._xlws.FILTER(dataGLPL,dataGLPLAcctIDs=$C38),(startDates&gt;=BP$4)*(endDates&lt;=BP$5)))</f>
        <v>25034.03043925</v>
      </c>
      <c r="BQ38" s="246" cm="1">
        <f t="array" ref="BQ38">SUM(_xlfn._xlws.FILTER(_xlfn._xlws.FILTER(dataGLPL,dataGLPLAcctIDs=$C38),(startDates&gt;=BQ$4)*(endDates&lt;=BQ$5)))</f>
        <v>25454.57126611875</v>
      </c>
      <c r="BR38" s="246" cm="1">
        <f t="array" ref="BR38">SUM(_xlfn._xlws.FILTER(_xlfn._xlws.FILTER(dataGLPL,dataGLPLAcctIDs=$C38),(startDates&gt;=BR$4)*(endDates&lt;=BR$5)))</f>
        <v>25750.687237689534</v>
      </c>
      <c r="BS38" s="246" cm="1">
        <f t="array" ref="BS38">SUM(_xlfn._xlws.FILTER(_xlfn._xlws.FILTER(dataGLPL,dataGLPLAcctIDs=$C38),(startDates&gt;=BS$4)*(endDates&lt;=BS$5)))</f>
        <v>25890.700754285201</v>
      </c>
      <c r="BT38" s="246" cm="1">
        <f t="array" ref="BT38">SUM(_xlfn._xlws.FILTER(_xlfn._xlws.FILTER(dataGLPL,dataGLPLAcctIDs=$C38),(startDates&gt;=BT$4)*(endDates&lt;=BT$5)))</f>
        <v>26349.254436285115</v>
      </c>
      <c r="BU38" s="246" cm="1">
        <f t="array" ref="BU38">SUM(_xlfn._xlws.FILTER(_xlfn._xlws.FILTER(dataGLPL,dataGLPLAcctIDs=$C38),(startDates&gt;=BU$4)*(endDates&lt;=BU$5)))</f>
        <v>26774.10110263501</v>
      </c>
      <c r="BV38" s="246" cm="1">
        <f t="array" ref="BV38">SUM(_xlfn._xlws.FILTER(_xlfn._xlws.FILTER(dataGLPL,dataGLPLAcctIDs=$C38),(startDates&gt;=BV$4)*(endDates&lt;=BV$5)))</f>
        <v>27169.335416346134</v>
      </c>
      <c r="BW38" s="246" cm="1">
        <f t="array" ref="BW38">SUM(_xlfn._xlws.FILTER(_xlfn._xlws.FILTER(dataGLPL,dataGLPLAcctIDs=$C38),(startDates&gt;=BW$4)*(endDates&lt;=BW$5)))</f>
        <v>27543.013787337957</v>
      </c>
      <c r="BX38" s="246" cm="1">
        <f t="array" ref="BX38">SUM(_xlfn._xlws.FILTER(_xlfn._xlws.FILTER(dataGLPL,dataGLPLAcctIDs=$C38),(startDates&gt;=BX$4)*(endDates&lt;=BX$5)))</f>
        <v>27908.49122855132</v>
      </c>
      <c r="BY38" s="246" cm="1">
        <f t="array" ref="BY38">SUM(_xlfn._xlws.FILTER(_xlfn._xlws.FILTER(dataGLPL,dataGLPLAcctIDs=$C38),(startDates&gt;=BY$4)*(endDates&lt;=BY$5)))</f>
        <v>28286.106926952132</v>
      </c>
    </row>
    <row r="39" spans="1:77" s="201" customFormat="1" ht="21" customHeight="1">
      <c r="A39" s="215"/>
      <c r="B39" s="218" t="s">
        <v>251</v>
      </c>
      <c r="C39" s="343">
        <v>203</v>
      </c>
      <c r="D39" s="215"/>
      <c r="E39" s="216"/>
      <c r="F39" s="246" cm="1">
        <f t="array" ref="F39">SUM(_xlfn._xlws.FILTER(_xlfn._xlws.FILTER(dataGLPL,dataGLPLAcctIDs=$C39),(startDates&gt;=F$4)*(endDates&lt;=F$5)))</f>
        <v>6238.5</v>
      </c>
      <c r="G39" s="246" cm="1">
        <f t="array" ref="G39">SUM(_xlfn._xlws.FILTER(_xlfn._xlws.FILTER(dataGLPL,dataGLPLAcctIDs=$C39),(startDates&gt;=G$4)*(endDates&lt;=G$5)))</f>
        <v>17607</v>
      </c>
      <c r="H39" s="246" cm="1">
        <f t="array" ref="H39">SUM(_xlfn._xlws.FILTER(_xlfn._xlws.FILTER(dataGLPL,dataGLPLAcctIDs=$C39),(startDates&gt;=H$4)*(endDates&lt;=H$5)))</f>
        <v>31696.97625</v>
      </c>
      <c r="I39" s="246" cm="1">
        <f t="array" ref="I39">SUM(_xlfn._xlws.FILTER(_xlfn._xlws.FILTER(dataGLPL,dataGLPLAcctIDs=$C39),(startDates&gt;=I$4)*(endDates&lt;=I$5)))</f>
        <v>41398.229343008315</v>
      </c>
      <c r="J39" s="344"/>
      <c r="K39" s="344"/>
      <c r="L39" s="246" cm="1">
        <f t="array" ref="L39">SUM(_xlfn._xlws.FILTER(_xlfn._xlws.FILTER(dataGLPL,dataGLPLAcctIDs=$C39),(startDates&gt;=L$4)*(endDates&lt;=L$5)))</f>
        <v>1087</v>
      </c>
      <c r="M39" s="246" cm="1">
        <f t="array" ref="M39">SUM(_xlfn._xlws.FILTER(_xlfn._xlws.FILTER(dataGLPL,dataGLPLAcctIDs=$C39),(startDates&gt;=M$4)*(endDates&lt;=M$5)))</f>
        <v>1206</v>
      </c>
      <c r="N39" s="246" cm="1">
        <f t="array" ref="N39">SUM(_xlfn._xlws.FILTER(_xlfn._xlws.FILTER(dataGLPL,dataGLPLAcctIDs=$C39),(startDates&gt;=N$4)*(endDates&lt;=N$5)))</f>
        <v>1335.5</v>
      </c>
      <c r="O39" s="246" cm="1">
        <f t="array" ref="O39">SUM(_xlfn._xlws.FILTER(_xlfn._xlws.FILTER(dataGLPL,dataGLPLAcctIDs=$C39),(startDates&gt;=O$4)*(endDates&lt;=O$5)))</f>
        <v>2610</v>
      </c>
      <c r="P39" s="246" cm="1">
        <f t="array" ref="P39">SUM(_xlfn._xlws.FILTER(_xlfn._xlws.FILTER(dataGLPL,dataGLPLAcctIDs=$C39),(startDates&gt;=P$4)*(endDates&lt;=P$5)))</f>
        <v>3088</v>
      </c>
      <c r="Q39" s="246" cm="1">
        <f t="array" ref="Q39">SUM(_xlfn._xlws.FILTER(_xlfn._xlws.FILTER(dataGLPL,dataGLPLAcctIDs=$C39),(startDates&gt;=Q$4)*(endDates&lt;=Q$5)))</f>
        <v>3973</v>
      </c>
      <c r="R39" s="246" cm="1">
        <f t="array" ref="R39">SUM(_xlfn._xlws.FILTER(_xlfn._xlws.FILTER(dataGLPL,dataGLPLAcctIDs=$C39),(startDates&gt;=R$4)*(endDates&lt;=R$5)))</f>
        <v>5057</v>
      </c>
      <c r="S39" s="246" cm="1">
        <f t="array" ref="S39">SUM(_xlfn._xlws.FILTER(_xlfn._xlws.FILTER(dataGLPL,dataGLPLAcctIDs=$C39),(startDates&gt;=S$4)*(endDates&lt;=S$5)))</f>
        <v>5489</v>
      </c>
      <c r="T39" s="246" cm="1">
        <f t="array" ref="T39">SUM(_xlfn._xlws.FILTER(_xlfn._xlws.FILTER(dataGLPL,dataGLPLAcctIDs=$C39),(startDates&gt;=T$4)*(endDates&lt;=T$5)))</f>
        <v>6353.65</v>
      </c>
      <c r="U39" s="246" cm="1">
        <f t="array" ref="U39">SUM(_xlfn._xlws.FILTER(_xlfn._xlws.FILTER(dataGLPL,dataGLPLAcctIDs=$C39),(startDates&gt;=U$4)*(endDates&lt;=U$5)))</f>
        <v>7355.5300000000007</v>
      </c>
      <c r="V39" s="246" cm="1">
        <f t="array" ref="V39">SUM(_xlfn._xlws.FILTER(_xlfn._xlws.FILTER(dataGLPL,dataGLPLAcctIDs=$C39),(startDates&gt;=V$4)*(endDates&lt;=V$5)))</f>
        <v>8515.41</v>
      </c>
      <c r="W39" s="246" cm="1">
        <f t="array" ref="W39">SUM(_xlfn._xlws.FILTER(_xlfn._xlws.FILTER(dataGLPL,dataGLPLAcctIDs=$C39),(startDates&gt;=W$4)*(endDates&lt;=W$5)))</f>
        <v>9472.3862499999996</v>
      </c>
      <c r="X39" s="246" cm="1">
        <f t="array" ref="X39">SUM(_xlfn._xlws.FILTER(_xlfn._xlws.FILTER(dataGLPL,dataGLPLAcctIDs=$C39),(startDates&gt;=X$4)*(endDates&lt;=X$5)))</f>
        <v>9668.1576322460951</v>
      </c>
      <c r="Y39" s="246" cm="1">
        <f t="array" ref="Y39">SUM(_xlfn._xlws.FILTER(_xlfn._xlws.FILTER(dataGLPL,dataGLPLAcctIDs=$C39),(startDates&gt;=Y$4)*(endDates&lt;=Y$5)))</f>
        <v>10145.142628479472</v>
      </c>
      <c r="Z39" s="246" cm="1">
        <f t="array" ref="Z39">SUM(_xlfn._xlws.FILTER(_xlfn._xlws.FILTER(dataGLPL,dataGLPLAcctIDs=$C39),(startDates&gt;=Z$4)*(endDates&lt;=Z$5)))</f>
        <v>10565.804057896474</v>
      </c>
      <c r="AA39" s="246" cm="1">
        <f t="array" ref="AA39">SUM(_xlfn._xlws.FILTER(_xlfn._xlws.FILTER(dataGLPL,dataGLPLAcctIDs=$C39),(startDates&gt;=AA$4)*(endDates&lt;=AA$5)))</f>
        <v>11019.125024386274</v>
      </c>
      <c r="AB39" s="215"/>
      <c r="AC39" s="344"/>
      <c r="AD39" s="246" cm="1">
        <f t="array" ref="AD39">SUM(_xlfn._xlws.FILTER(_xlfn._xlws.FILTER(dataGLPL,dataGLPLAcctIDs=$C39),(startDates&gt;=AD$4)*(endDates&lt;=AD$5)))</f>
        <v>350</v>
      </c>
      <c r="AE39" s="246" cm="1">
        <f t="array" ref="AE39">SUM(_xlfn._xlws.FILTER(_xlfn._xlws.FILTER(dataGLPL,dataGLPLAcctIDs=$C39),(startDates&gt;=AE$4)*(endDates&lt;=AE$5)))</f>
        <v>362</v>
      </c>
      <c r="AF39" s="246" cm="1">
        <f t="array" ref="AF39">SUM(_xlfn._xlws.FILTER(_xlfn._xlws.FILTER(dataGLPL,dataGLPLAcctIDs=$C39),(startDates&gt;=AF$4)*(endDates&lt;=AF$5)))</f>
        <v>375</v>
      </c>
      <c r="AG39" s="246" cm="1">
        <f t="array" ref="AG39">SUM(_xlfn._xlws.FILTER(_xlfn._xlws.FILTER(dataGLPL,dataGLPLAcctIDs=$C39),(startDates&gt;=AG$4)*(endDates&lt;=AG$5)))</f>
        <v>388</v>
      </c>
      <c r="AH39" s="246" cm="1">
        <f t="array" ref="AH39">SUM(_xlfn._xlws.FILTER(_xlfn._xlws.FILTER(dataGLPL,dataGLPLAcctIDs=$C39),(startDates&gt;=AH$4)*(endDates&lt;=AH$5)))</f>
        <v>402</v>
      </c>
      <c r="AI39" s="246" cm="1">
        <f t="array" ref="AI39">SUM(_xlfn._xlws.FILTER(_xlfn._xlws.FILTER(dataGLPL,dataGLPLAcctIDs=$C39),(startDates&gt;=AI$4)*(endDates&lt;=AI$5)))</f>
        <v>416</v>
      </c>
      <c r="AJ39" s="246" cm="1">
        <f t="array" ref="AJ39">SUM(_xlfn._xlws.FILTER(_xlfn._xlws.FILTER(dataGLPL,dataGLPLAcctIDs=$C39),(startDates&gt;=AJ$4)*(endDates&lt;=AJ$5)))</f>
        <v>430</v>
      </c>
      <c r="AK39" s="246" cm="1">
        <f t="array" ref="AK39">SUM(_xlfn._xlws.FILTER(_xlfn._xlws.FILTER(dataGLPL,dataGLPLAcctIDs=$C39),(startDates&gt;=AK$4)*(endDates&lt;=AK$5)))</f>
        <v>445</v>
      </c>
      <c r="AL39" s="246" cm="1">
        <f t="array" ref="AL39">SUM(_xlfn._xlws.FILTER(_xlfn._xlws.FILTER(dataGLPL,dataGLPLAcctIDs=$C39),(startDates&gt;=AL$4)*(endDates&lt;=AL$5)))</f>
        <v>460.5</v>
      </c>
      <c r="AM39" s="246" cm="1">
        <f t="array" ref="AM39">SUM(_xlfn._xlws.FILTER(_xlfn._xlws.FILTER(dataGLPL,dataGLPLAcctIDs=$C39),(startDates&gt;=AM$4)*(endDates&lt;=AM$5)))</f>
        <v>477</v>
      </c>
      <c r="AN39" s="246" cm="1">
        <f t="array" ref="AN39">SUM(_xlfn._xlws.FILTER(_xlfn._xlws.FILTER(dataGLPL,dataGLPLAcctIDs=$C39),(startDates&gt;=AN$4)*(endDates&lt;=AN$5)))</f>
        <v>769</v>
      </c>
      <c r="AO39" s="246" cm="1">
        <f t="array" ref="AO39">SUM(_xlfn._xlws.FILTER(_xlfn._xlws.FILTER(dataGLPL,dataGLPLAcctIDs=$C39),(startDates&gt;=AO$4)*(endDates&lt;=AO$5)))</f>
        <v>1364</v>
      </c>
      <c r="AP39" s="246" cm="1">
        <f t="array" ref="AP39">SUM(_xlfn._xlws.FILTER(_xlfn._xlws.FILTER(dataGLPL,dataGLPLAcctIDs=$C39),(startDates&gt;=AP$4)*(endDates&lt;=AP$5)))</f>
        <v>808</v>
      </c>
      <c r="AQ39" s="246" cm="1">
        <f t="array" ref="AQ39">SUM(_xlfn._xlws.FILTER(_xlfn._xlws.FILTER(dataGLPL,dataGLPLAcctIDs=$C39),(startDates&gt;=AQ$4)*(endDates&lt;=AQ$5)))</f>
        <v>1432</v>
      </c>
      <c r="AR39" s="246" cm="1">
        <f t="array" ref="AR39">SUM(_xlfn._xlws.FILTER(_xlfn._xlws.FILTER(dataGLPL,dataGLPLAcctIDs=$C39),(startDates&gt;=AR$4)*(endDates&lt;=AR$5)))</f>
        <v>848</v>
      </c>
      <c r="AS39" s="246" cm="1">
        <f t="array" ref="AS39">SUM(_xlfn._xlws.FILTER(_xlfn._xlws.FILTER(dataGLPL,dataGLPLAcctIDs=$C39),(startDates&gt;=AS$4)*(endDates&lt;=AS$5)))</f>
        <v>1504</v>
      </c>
      <c r="AT39" s="246" cm="1">
        <f t="array" ref="AT39">SUM(_xlfn._xlws.FILTER(_xlfn._xlws.FILTER(dataGLPL,dataGLPLAcctIDs=$C39),(startDates&gt;=AT$4)*(endDates&lt;=AT$5)))</f>
        <v>890</v>
      </c>
      <c r="AU39" s="246" cm="1">
        <f t="array" ref="AU39">SUM(_xlfn._xlws.FILTER(_xlfn._xlws.FILTER(dataGLPL,dataGLPLAcctIDs=$C39),(startDates&gt;=AU$4)*(endDates&lt;=AU$5)))</f>
        <v>1579</v>
      </c>
      <c r="AV39" s="246" cm="1">
        <f t="array" ref="AV39">SUM(_xlfn._xlws.FILTER(_xlfn._xlws.FILTER(dataGLPL,dataGLPLAcctIDs=$C39),(startDates&gt;=AV$4)*(endDates&lt;=AV$5)))</f>
        <v>1658</v>
      </c>
      <c r="AW39" s="246" cm="1">
        <f t="array" ref="AW39">SUM(_xlfn._xlws.FILTER(_xlfn._xlws.FILTER(dataGLPL,dataGLPLAcctIDs=$C39),(startDates&gt;=AW$4)*(endDates&lt;=AW$5)))</f>
        <v>1658</v>
      </c>
      <c r="AX39" s="246" cm="1">
        <f t="array" ref="AX39">SUM(_xlfn._xlws.FILTER(_xlfn._xlws.FILTER(dataGLPL,dataGLPLAcctIDs=$C39),(startDates&gt;=AX$4)*(endDates&lt;=AX$5)))</f>
        <v>1741</v>
      </c>
      <c r="AY39" s="246" cm="1">
        <f t="array" ref="AY39">SUM(_xlfn._xlws.FILTER(_xlfn._xlws.FILTER(dataGLPL,dataGLPLAcctIDs=$C39),(startDates&gt;=AY$4)*(endDates&lt;=AY$5)))</f>
        <v>1741</v>
      </c>
      <c r="AZ39" s="246" cm="1">
        <f t="array" ref="AZ39">SUM(_xlfn._xlws.FILTER(_xlfn._xlws.FILTER(dataGLPL,dataGLPLAcctIDs=$C39),(startDates&gt;=AZ$4)*(endDates&lt;=AZ$5)))</f>
        <v>1828</v>
      </c>
      <c r="BA39" s="246" cm="1">
        <f t="array" ref="BA39">SUM(_xlfn._xlws.FILTER(_xlfn._xlws.FILTER(dataGLPL,dataGLPLAcctIDs=$C39),(startDates&gt;=BA$4)*(endDates&lt;=BA$5)))</f>
        <v>1920</v>
      </c>
      <c r="BB39" s="246" cm="1">
        <f t="array" ref="BB39">SUM(_xlfn._xlws.FILTER(_xlfn._xlws.FILTER(dataGLPL,dataGLPLAcctIDs=$C39),(startDates&gt;=BB$4)*(endDates&lt;=BB$5)))</f>
        <v>2015.65</v>
      </c>
      <c r="BC39" s="246" cm="1">
        <f t="array" ref="BC39">SUM(_xlfn._xlws.FILTER(_xlfn._xlws.FILTER(dataGLPL,dataGLPLAcctIDs=$C39),(startDates&gt;=BC$4)*(endDates&lt;=BC$5)))</f>
        <v>2116</v>
      </c>
      <c r="BD39" s="246" cm="1">
        <f t="array" ref="BD39">SUM(_xlfn._xlws.FILTER(_xlfn._xlws.FILTER(dataGLPL,dataGLPLAcctIDs=$C39),(startDates&gt;=BD$4)*(endDates&lt;=BD$5)))</f>
        <v>2222</v>
      </c>
      <c r="BE39" s="246" cm="1">
        <f t="array" ref="BE39">SUM(_xlfn._xlws.FILTER(_xlfn._xlws.FILTER(dataGLPL,dataGLPLAcctIDs=$C39),(startDates&gt;=BE$4)*(endDates&lt;=BE$5)))</f>
        <v>2333</v>
      </c>
      <c r="BF39" s="246" cm="1">
        <f t="array" ref="BF39">SUM(_xlfn._xlws.FILTER(_xlfn._xlws.FILTER(dataGLPL,dataGLPLAcctIDs=$C39),(startDates&gt;=BF$4)*(endDates&lt;=BF$5)))</f>
        <v>2450</v>
      </c>
      <c r="BG39" s="246" cm="1">
        <f t="array" ref="BG39">SUM(_xlfn._xlws.FILTER(_xlfn._xlws.FILTER(dataGLPL,dataGLPLAcctIDs=$C39),(startDates&gt;=BG$4)*(endDates&lt;=BG$5)))</f>
        <v>2572.5300000000002</v>
      </c>
      <c r="BH39" s="246" cm="1">
        <f t="array" ref="BH39">SUM(_xlfn._xlws.FILTER(_xlfn._xlws.FILTER(dataGLPL,dataGLPLAcctIDs=$C39),(startDates&gt;=BH$4)*(endDates&lt;=BH$5)))</f>
        <v>2701.16</v>
      </c>
      <c r="BI39" s="246" cm="1">
        <f t="array" ref="BI39">SUM(_xlfn._xlws.FILTER(_xlfn._xlws.FILTER(dataGLPL,dataGLPLAcctIDs=$C39),(startDates&gt;=BI$4)*(endDates&lt;=BI$5)))</f>
        <v>2836.22</v>
      </c>
      <c r="BJ39" s="246" cm="1">
        <f t="array" ref="BJ39">SUM(_xlfn._xlws.FILTER(_xlfn._xlws.FILTER(dataGLPL,dataGLPLAcctIDs=$C39),(startDates&gt;=BJ$4)*(endDates&lt;=BJ$5)))</f>
        <v>2978.03</v>
      </c>
      <c r="BK39" s="246" cm="1">
        <f t="array" ref="BK39">SUM(_xlfn._xlws.FILTER(_xlfn._xlws.FILTER(dataGLPL,dataGLPLAcctIDs=$C39),(startDates&gt;=BK$4)*(endDates&lt;=BK$5)))</f>
        <v>3126.93</v>
      </c>
      <c r="BL39" s="246" cm="1">
        <f t="array" ref="BL39">SUM(_xlfn._xlws.FILTER(_xlfn._xlws.FILTER(dataGLPL,dataGLPLAcctIDs=$C39),(startDates&gt;=BL$4)*(endDates&lt;=BL$5)))</f>
        <v>3283.28</v>
      </c>
      <c r="BM39" s="246" cm="1">
        <f t="array" ref="BM39">SUM(_xlfn._xlws.FILTER(_xlfn._xlws.FILTER(dataGLPL,dataGLPLAcctIDs=$C39),(startDates&gt;=BM$4)*(endDates&lt;=BM$5)))</f>
        <v>3062.1762500000004</v>
      </c>
      <c r="BN39" s="246" cm="1">
        <f t="array" ref="BN39">SUM(_xlfn._xlws.FILTER(_xlfn._xlws.FILTER(dataGLPL,dataGLPLAcctIDs=$C39),(startDates&gt;=BN$4)*(endDates&lt;=BN$5)))</f>
        <v>3147.86434375</v>
      </c>
      <c r="BO39" s="246" cm="1">
        <f t="array" ref="BO39">SUM(_xlfn._xlws.FILTER(_xlfn._xlws.FILTER(dataGLPL,dataGLPLAcctIDs=$C39),(startDates&gt;=BO$4)*(endDates&lt;=BO$5)))</f>
        <v>3226.0376039062508</v>
      </c>
      <c r="BP39" s="246" cm="1">
        <f t="array" ref="BP39">SUM(_xlfn._xlws.FILTER(_xlfn._xlws.FILTER(dataGLPL,dataGLPLAcctIDs=$C39),(startDates&gt;=BP$4)*(endDates&lt;=BP$5)))</f>
        <v>3294.2556845898439</v>
      </c>
      <c r="BQ39" s="246" cm="1">
        <f t="array" ref="BQ39">SUM(_xlfn._xlws.FILTER(_xlfn._xlws.FILTER(dataGLPL,dataGLPLAcctIDs=$C39),(startDates&gt;=BQ$4)*(endDates&lt;=BQ$5)))</f>
        <v>3349.5951793930662</v>
      </c>
      <c r="BR39" s="246" cm="1">
        <f t="array" ref="BR39">SUM(_xlfn._xlws.FILTER(_xlfn._xlws.FILTER(dataGLPL,dataGLPLAcctIDs=$C39),(startDates&gt;=BR$4)*(endDates&lt;=BR$5)))</f>
        <v>3388.5615857868534</v>
      </c>
      <c r="BS39" s="246" cm="1">
        <f t="array" ref="BS39">SUM(_xlfn._xlws.FILTER(_xlfn._xlws.FILTER(dataGLPL,dataGLPLAcctIDs=$C39),(startDates&gt;=BS$4)*(endDates&lt;=BS$5)))</f>
        <v>3406.9858632995524</v>
      </c>
      <c r="BT39" s="246" cm="1">
        <f t="array" ref="BT39">SUM(_xlfn._xlws.FILTER(_xlfn._xlws.FILTER(dataGLPL,dataGLPLAcctIDs=$C39),(startDates&gt;=BT$4)*(endDates&lt;=BT$5)))</f>
        <v>3467.3275456269748</v>
      </c>
      <c r="BU39" s="246" cm="1">
        <f t="array" ref="BU39">SUM(_xlfn._xlws.FILTER(_xlfn._xlws.FILTER(dataGLPL,dataGLPLAcctIDs=$C39),(startDates&gt;=BU$4)*(endDates&lt;=BU$5)))</f>
        <v>3523.2336059554445</v>
      </c>
      <c r="BV39" s="246" cm="1">
        <f t="array" ref="BV39">SUM(_xlfn._xlws.FILTER(_xlfn._xlws.FILTER(dataGLPL,dataGLPLAcctIDs=$C39),(startDates&gt;=BV$4)*(endDates&lt;=BV$5)))</f>
        <v>3575.2429063140539</v>
      </c>
      <c r="BW39" s="246" cm="1">
        <f t="array" ref="BW39">SUM(_xlfn._xlws.FILTER(_xlfn._xlws.FILTER(dataGLPL,dataGLPLAcctIDs=$C39),(startDates&gt;=BW$4)*(endDates&lt;=BW$5)))</f>
        <v>3624.4156701157913</v>
      </c>
      <c r="BX39" s="246" cm="1">
        <f t="array" ref="BX39">SUM(_xlfn._xlws.FILTER(_xlfn._xlws.FILTER(dataGLPL,dataGLPLAcctIDs=$C39),(startDates&gt;=BX$4)*(endDates&lt;=BX$5)))</f>
        <v>3672.5092559922678</v>
      </c>
      <c r="BY39" s="246" cm="1">
        <f t="array" ref="BY39">SUM(_xlfn._xlws.FILTER(_xlfn._xlws.FILTER(dataGLPL,dataGLPLAcctIDs=$C39),(startDates&gt;=BY$4)*(endDates&lt;=BY$5)))</f>
        <v>3722.2000982782147</v>
      </c>
    </row>
    <row r="40" spans="1:77" s="201" customFormat="1" ht="21" customHeight="1">
      <c r="A40" s="215"/>
      <c r="B40" s="218" t="s">
        <v>252</v>
      </c>
      <c r="C40" s="343">
        <v>176</v>
      </c>
      <c r="D40" s="215"/>
      <c r="E40" s="216"/>
      <c r="F40" s="246" cm="1">
        <f t="array" ref="F40">SUM(_xlfn._xlws.FILTER(_xlfn._xlws.FILTER(dataGLPL,dataGLPLAcctIDs=$C40),(startDates&gt;=F$4)*(endDates&lt;=F$5)))</f>
        <v>32550</v>
      </c>
      <c r="G40" s="246" cm="1">
        <f t="array" ref="G40">SUM(_xlfn._xlws.FILTER(_xlfn._xlws.FILTER(dataGLPL,dataGLPLAcctIDs=$C40),(startDates&gt;=G$4)*(endDates&lt;=G$5)))</f>
        <v>75708</v>
      </c>
      <c r="H40" s="246" cm="1">
        <f t="array" ref="H40">SUM(_xlfn._xlws.FILTER(_xlfn._xlws.FILTER(dataGLPL,dataGLPLAcctIDs=$C40),(startDates&gt;=H$4)*(endDates&lt;=H$5)))</f>
        <v>137142.38399999999</v>
      </c>
      <c r="I40" s="246" cm="1">
        <f t="array" ref="I40">SUM(_xlfn._xlws.FILTER(_xlfn._xlws.FILTER(dataGLPL,dataGLPLAcctIDs=$C40),(startDates&gt;=I$4)*(endDates&lt;=I$5)))</f>
        <v>179110.18533530802</v>
      </c>
      <c r="J40" s="344"/>
      <c r="K40" s="344"/>
      <c r="L40" s="246" cm="1">
        <f t="array" ref="L40">SUM(_xlfn._xlws.FILTER(_xlfn._xlws.FILTER(dataGLPL,dataGLPLAcctIDs=$C40),(startDates&gt;=L$4)*(endDates&lt;=L$5)))</f>
        <v>6212</v>
      </c>
      <c r="M40" s="246" cm="1">
        <f t="array" ref="M40">SUM(_xlfn._xlws.FILTER(_xlfn._xlws.FILTER(dataGLPL,dataGLPLAcctIDs=$C40),(startDates&gt;=M$4)*(endDates&lt;=M$5)))</f>
        <v>6887</v>
      </c>
      <c r="N40" s="246" cm="1">
        <f t="array" ref="N40">SUM(_xlfn._xlws.FILTER(_xlfn._xlws.FILTER(dataGLPL,dataGLPLAcctIDs=$C40),(startDates&gt;=N$4)*(endDates&lt;=N$5)))</f>
        <v>7638</v>
      </c>
      <c r="O40" s="246" cm="1">
        <f t="array" ref="O40">SUM(_xlfn._xlws.FILTER(_xlfn._xlws.FILTER(dataGLPL,dataGLPLAcctIDs=$C40),(startDates&gt;=O$4)*(endDates&lt;=O$5)))</f>
        <v>11813</v>
      </c>
      <c r="P40" s="246" cm="1">
        <f t="array" ref="P40">SUM(_xlfn._xlws.FILTER(_xlfn._xlws.FILTER(dataGLPL,dataGLPLAcctIDs=$C40),(startDates&gt;=P$4)*(endDates&lt;=P$5)))</f>
        <v>13051</v>
      </c>
      <c r="Q40" s="246" cm="1">
        <f t="array" ref="Q40">SUM(_xlfn._xlws.FILTER(_xlfn._xlws.FILTER(dataGLPL,dataGLPLAcctIDs=$C40),(startDates&gt;=Q$4)*(endDates&lt;=Q$5)))</f>
        <v>17026</v>
      </c>
      <c r="R40" s="246" cm="1">
        <f t="array" ref="R40">SUM(_xlfn._xlws.FILTER(_xlfn._xlws.FILTER(dataGLPL,dataGLPLAcctIDs=$C40),(startDates&gt;=R$4)*(endDates&lt;=R$5)))</f>
        <v>21883</v>
      </c>
      <c r="S40" s="246" cm="1">
        <f t="array" ref="S40">SUM(_xlfn._xlws.FILTER(_xlfn._xlws.FILTER(dataGLPL,dataGLPLAcctIDs=$C40),(startDates&gt;=S$4)*(endDates&lt;=S$5)))</f>
        <v>23748</v>
      </c>
      <c r="T40" s="246" cm="1">
        <f t="array" ref="T40">SUM(_xlfn._xlws.FILTER(_xlfn._xlws.FILTER(dataGLPL,dataGLPLAcctIDs=$C40),(startDates&gt;=T$4)*(endDates&lt;=T$5)))</f>
        <v>27492.739999999998</v>
      </c>
      <c r="U40" s="246" cm="1">
        <f t="array" ref="U40">SUM(_xlfn._xlws.FILTER(_xlfn._xlws.FILTER(dataGLPL,dataGLPLAcctIDs=$C40),(startDates&gt;=U$4)*(endDates&lt;=U$5)))</f>
        <v>31825.120000000003</v>
      </c>
      <c r="V40" s="246" cm="1">
        <f t="array" ref="V40">SUM(_xlfn._xlws.FILTER(_xlfn._xlws.FILTER(dataGLPL,dataGLPLAcctIDs=$C40),(startDates&gt;=V$4)*(endDates&lt;=V$5)))</f>
        <v>36842.07</v>
      </c>
      <c r="W40" s="246" cm="1">
        <f t="array" ref="W40">SUM(_xlfn._xlws.FILTER(_xlfn._xlws.FILTER(dataGLPL,dataGLPLAcctIDs=$C40),(startDates&gt;=W$4)*(endDates&lt;=W$5)))</f>
        <v>40982.453999999998</v>
      </c>
      <c r="X40" s="246" cm="1">
        <f t="array" ref="X40">SUM(_xlfn._xlws.FILTER(_xlfn._xlws.FILTER(dataGLPL,dataGLPLAcctIDs=$C40),(startDates&gt;=X$4)*(endDates&lt;=X$5)))</f>
        <v>41829.458063312501</v>
      </c>
      <c r="Y40" s="246" cm="1">
        <f t="array" ref="Y40">SUM(_xlfn._xlws.FILTER(_xlfn._xlws.FILTER(dataGLPL,dataGLPLAcctIDs=$C40),(startDates&gt;=Y$4)*(endDates&lt;=Y$5)))</f>
        <v>43893.142489020218</v>
      </c>
      <c r="Z40" s="246" cm="1">
        <f t="array" ref="Z40">SUM(_xlfn._xlws.FILTER(_xlfn._xlws.FILTER(dataGLPL,dataGLPLAcctIDs=$C40),(startDates&gt;=Z$4)*(endDates&lt;=Z$5)))</f>
        <v>45713.141756430414</v>
      </c>
      <c r="AA40" s="246" cm="1">
        <f t="array" ref="AA40">SUM(_xlfn._xlws.FILTER(_xlfn._xlws.FILTER(dataGLPL,dataGLPLAcctIDs=$C40),(startDates&gt;=AA$4)*(endDates&lt;=AA$5)))</f>
        <v>47674.443026544854</v>
      </c>
      <c r="AB40" s="215"/>
      <c r="AC40" s="344"/>
      <c r="AD40" s="246" cm="1">
        <f t="array" ref="AD40">SUM(_xlfn._xlws.FILTER(_xlfn._xlws.FILTER(dataGLPL,dataGLPLAcctIDs=$C40),(startDates&gt;=AD$4)*(endDates&lt;=AD$5)))</f>
        <v>2000</v>
      </c>
      <c r="AE40" s="246" cm="1">
        <f t="array" ref="AE40">SUM(_xlfn._xlws.FILTER(_xlfn._xlws.FILTER(dataGLPL,dataGLPLAcctIDs=$C40),(startDates&gt;=AE$4)*(endDates&lt;=AE$5)))</f>
        <v>2070</v>
      </c>
      <c r="AF40" s="246" cm="1">
        <f t="array" ref="AF40">SUM(_xlfn._xlws.FILTER(_xlfn._xlws.FILTER(dataGLPL,dataGLPLAcctIDs=$C40),(startDates&gt;=AF$4)*(endDates&lt;=AF$5)))</f>
        <v>2142</v>
      </c>
      <c r="AG40" s="246" cm="1">
        <f t="array" ref="AG40">SUM(_xlfn._xlws.FILTER(_xlfn._xlws.FILTER(dataGLPL,dataGLPLAcctIDs=$C40),(startDates&gt;=AG$4)*(endDates&lt;=AG$5)))</f>
        <v>2217</v>
      </c>
      <c r="AH40" s="246" cm="1">
        <f t="array" ref="AH40">SUM(_xlfn._xlws.FILTER(_xlfn._xlws.FILTER(dataGLPL,dataGLPLAcctIDs=$C40),(startDates&gt;=AH$4)*(endDates&lt;=AH$5)))</f>
        <v>2295</v>
      </c>
      <c r="AI40" s="246" cm="1">
        <f t="array" ref="AI40">SUM(_xlfn._xlws.FILTER(_xlfn._xlws.FILTER(dataGLPL,dataGLPLAcctIDs=$C40),(startDates&gt;=AI$4)*(endDates&lt;=AI$5)))</f>
        <v>2375</v>
      </c>
      <c r="AJ40" s="246" cm="1">
        <f t="array" ref="AJ40">SUM(_xlfn._xlws.FILTER(_xlfn._xlws.FILTER(dataGLPL,dataGLPLAcctIDs=$C40),(startDates&gt;=AJ$4)*(endDates&lt;=AJ$5)))</f>
        <v>2459</v>
      </c>
      <c r="AK40" s="246" cm="1">
        <f t="array" ref="AK40">SUM(_xlfn._xlws.FILTER(_xlfn._xlws.FILTER(dataGLPL,dataGLPLAcctIDs=$C40),(startDates&gt;=AK$4)*(endDates&lt;=AK$5)))</f>
        <v>2545</v>
      </c>
      <c r="AL40" s="246" cm="1">
        <f t="array" ref="AL40">SUM(_xlfn._xlws.FILTER(_xlfn._xlws.FILTER(dataGLPL,dataGLPLAcctIDs=$C40),(startDates&gt;=AL$4)*(endDates&lt;=AL$5)))</f>
        <v>2634</v>
      </c>
      <c r="AM40" s="246" cm="1">
        <f t="array" ref="AM40">SUM(_xlfn._xlws.FILTER(_xlfn._xlws.FILTER(dataGLPL,dataGLPLAcctIDs=$C40),(startDates&gt;=AM$4)*(endDates&lt;=AM$5)))</f>
        <v>2726</v>
      </c>
      <c r="AN40" s="246" cm="1">
        <f t="array" ref="AN40">SUM(_xlfn._xlws.FILTER(_xlfn._xlws.FILTER(dataGLPL,dataGLPLAcctIDs=$C40),(startDates&gt;=AN$4)*(endDates&lt;=AN$5)))</f>
        <v>3184</v>
      </c>
      <c r="AO40" s="246" cm="1">
        <f t="array" ref="AO40">SUM(_xlfn._xlws.FILTER(_xlfn._xlws.FILTER(dataGLPL,dataGLPLAcctIDs=$C40),(startDates&gt;=AO$4)*(endDates&lt;=AO$5)))</f>
        <v>5903</v>
      </c>
      <c r="AP40" s="246" cm="1">
        <f t="array" ref="AP40">SUM(_xlfn._xlws.FILTER(_xlfn._xlws.FILTER(dataGLPL,dataGLPLAcctIDs=$C40),(startDates&gt;=AP$4)*(endDates&lt;=AP$5)))</f>
        <v>3343</v>
      </c>
      <c r="AQ40" s="246" cm="1">
        <f t="array" ref="AQ40">SUM(_xlfn._xlws.FILTER(_xlfn._xlws.FILTER(dataGLPL,dataGLPLAcctIDs=$C40),(startDates&gt;=AQ$4)*(endDates&lt;=AQ$5)))</f>
        <v>6198</v>
      </c>
      <c r="AR40" s="246" cm="1">
        <f t="array" ref="AR40">SUM(_xlfn._xlws.FILTER(_xlfn._xlws.FILTER(dataGLPL,dataGLPLAcctIDs=$C40),(startDates&gt;=AR$4)*(endDates&lt;=AR$5)))</f>
        <v>3510</v>
      </c>
      <c r="AS40" s="246" cm="1">
        <f t="array" ref="AS40">SUM(_xlfn._xlws.FILTER(_xlfn._xlws.FILTER(dataGLPL,dataGLPLAcctIDs=$C40),(startDates&gt;=AS$4)*(endDates&lt;=AS$5)))</f>
        <v>6508</v>
      </c>
      <c r="AT40" s="246" cm="1">
        <f t="array" ref="AT40">SUM(_xlfn._xlws.FILTER(_xlfn._xlws.FILTER(dataGLPL,dataGLPLAcctIDs=$C40),(startDates&gt;=AT$4)*(endDates&lt;=AT$5)))</f>
        <v>3685</v>
      </c>
      <c r="AU40" s="246" cm="1">
        <f t="array" ref="AU40">SUM(_xlfn._xlws.FILTER(_xlfn._xlws.FILTER(dataGLPL,dataGLPLAcctIDs=$C40),(startDates&gt;=AU$4)*(endDates&lt;=AU$5)))</f>
        <v>6833</v>
      </c>
      <c r="AV40" s="246" cm="1">
        <f t="array" ref="AV40">SUM(_xlfn._xlws.FILTER(_xlfn._xlws.FILTER(dataGLPL,dataGLPLAcctIDs=$C40),(startDates&gt;=AV$4)*(endDates&lt;=AV$5)))</f>
        <v>7175</v>
      </c>
      <c r="AW40" s="246" cm="1">
        <f t="array" ref="AW40">SUM(_xlfn._xlws.FILTER(_xlfn._xlws.FILTER(dataGLPL,dataGLPLAcctIDs=$C40),(startDates&gt;=AW$4)*(endDates&lt;=AW$5)))</f>
        <v>7175</v>
      </c>
      <c r="AX40" s="246" cm="1">
        <f t="array" ref="AX40">SUM(_xlfn._xlws.FILTER(_xlfn._xlws.FILTER(dataGLPL,dataGLPLAcctIDs=$C40),(startDates&gt;=AX$4)*(endDates&lt;=AX$5)))</f>
        <v>7533</v>
      </c>
      <c r="AY40" s="246" cm="1">
        <f t="array" ref="AY40">SUM(_xlfn._xlws.FILTER(_xlfn._xlws.FILTER(dataGLPL,dataGLPLAcctIDs=$C40),(startDates&gt;=AY$4)*(endDates&lt;=AY$5)))</f>
        <v>7533</v>
      </c>
      <c r="AZ40" s="246" cm="1">
        <f t="array" ref="AZ40">SUM(_xlfn._xlws.FILTER(_xlfn._xlws.FILTER(dataGLPL,dataGLPLAcctIDs=$C40),(startDates&gt;=AZ$4)*(endDates&lt;=AZ$5)))</f>
        <v>7910</v>
      </c>
      <c r="BA40" s="246" cm="1">
        <f t="array" ref="BA40">SUM(_xlfn._xlws.FILTER(_xlfn._xlws.FILTER(dataGLPL,dataGLPLAcctIDs=$C40),(startDates&gt;=BA$4)*(endDates&lt;=BA$5)))</f>
        <v>8305</v>
      </c>
      <c r="BB40" s="246" cm="1">
        <f t="array" ref="BB40">SUM(_xlfn._xlws.FILTER(_xlfn._xlws.FILTER(dataGLPL,dataGLPLAcctIDs=$C40),(startDates&gt;=BB$4)*(endDates&lt;=BB$5)))</f>
        <v>8720.74</v>
      </c>
      <c r="BC40" s="246" cm="1">
        <f t="array" ref="BC40">SUM(_xlfn._xlws.FILTER(_xlfn._xlws.FILTER(dataGLPL,dataGLPLAcctIDs=$C40),(startDates&gt;=BC$4)*(endDates&lt;=BC$5)))</f>
        <v>9157</v>
      </c>
      <c r="BD40" s="246" cm="1">
        <f t="array" ref="BD40">SUM(_xlfn._xlws.FILTER(_xlfn._xlws.FILTER(dataGLPL,dataGLPLAcctIDs=$C40),(startDates&gt;=BD$4)*(endDates&lt;=BD$5)))</f>
        <v>9615</v>
      </c>
      <c r="BE40" s="246" cm="1">
        <f t="array" ref="BE40">SUM(_xlfn._xlws.FILTER(_xlfn._xlws.FILTER(dataGLPL,dataGLPLAcctIDs=$C40),(startDates&gt;=BE$4)*(endDates&lt;=BE$5)))</f>
        <v>10095</v>
      </c>
      <c r="BF40" s="246" cm="1">
        <f t="array" ref="BF40">SUM(_xlfn._xlws.FILTER(_xlfn._xlws.FILTER(dataGLPL,dataGLPLAcctIDs=$C40),(startDates&gt;=BF$4)*(endDates&lt;=BF$5)))</f>
        <v>10600</v>
      </c>
      <c r="BG40" s="246" cm="1">
        <f t="array" ref="BG40">SUM(_xlfn._xlws.FILTER(_xlfn._xlws.FILTER(dataGLPL,dataGLPLAcctIDs=$C40),(startDates&gt;=BG$4)*(endDates&lt;=BG$5)))</f>
        <v>11130.12</v>
      </c>
      <c r="BH40" s="246" cm="1">
        <f t="array" ref="BH40">SUM(_xlfn._xlws.FILTER(_xlfn._xlws.FILTER(dataGLPL,dataGLPLAcctIDs=$C40),(startDates&gt;=BH$4)*(endDates&lt;=BH$5)))</f>
        <v>11686.62</v>
      </c>
      <c r="BI40" s="246" cm="1">
        <f t="array" ref="BI40">SUM(_xlfn._xlws.FILTER(_xlfn._xlws.FILTER(dataGLPL,dataGLPLAcctIDs=$C40),(startDates&gt;=BI$4)*(endDates&lt;=BI$5)))</f>
        <v>12270.95</v>
      </c>
      <c r="BJ40" s="246" cm="1">
        <f t="array" ref="BJ40">SUM(_xlfn._xlws.FILTER(_xlfn._xlws.FILTER(dataGLPL,dataGLPLAcctIDs=$C40),(startDates&gt;=BJ$4)*(endDates&lt;=BJ$5)))</f>
        <v>12884.5</v>
      </c>
      <c r="BK40" s="246" cm="1">
        <f t="array" ref="BK40">SUM(_xlfn._xlws.FILTER(_xlfn._xlws.FILTER(dataGLPL,dataGLPLAcctIDs=$C40),(startDates&gt;=BK$4)*(endDates&lt;=BK$5)))</f>
        <v>13528.73</v>
      </c>
      <c r="BL40" s="246" cm="1">
        <f t="array" ref="BL40">SUM(_xlfn._xlws.FILTER(_xlfn._xlws.FILTER(dataGLPL,dataGLPLAcctIDs=$C40),(startDates&gt;=BL$4)*(endDates&lt;=BL$5)))</f>
        <v>14205.16</v>
      </c>
      <c r="BM40" s="246" cm="1">
        <f t="array" ref="BM40">SUM(_xlfn._xlws.FILTER(_xlfn._xlws.FILTER(dataGLPL,dataGLPLAcctIDs=$C40),(startDates&gt;=BM$4)*(endDates&lt;=BM$5)))</f>
        <v>13248.564</v>
      </c>
      <c r="BN40" s="246" cm="1">
        <f t="array" ref="BN40">SUM(_xlfn._xlws.FILTER(_xlfn._xlws.FILTER(dataGLPL,dataGLPLAcctIDs=$C40),(startDates&gt;=BN$4)*(endDates&lt;=BN$5)))</f>
        <v>13619.291700000002</v>
      </c>
      <c r="BO40" s="246" cm="1">
        <f t="array" ref="BO40">SUM(_xlfn._xlws.FILTER(_xlfn._xlws.FILTER(dataGLPL,dataGLPLAcctIDs=$C40),(startDates&gt;=BO$4)*(endDates&lt;=BO$5)))</f>
        <v>13957.5092475</v>
      </c>
      <c r="BP40" s="246" cm="1">
        <f t="array" ref="BP40">SUM(_xlfn._xlws.FILTER(_xlfn._xlws.FILTER(dataGLPL,dataGLPLAcctIDs=$C40),(startDates&gt;=BP$4)*(endDates&lt;=BP$5)))</f>
        <v>14252.657115812501</v>
      </c>
      <c r="BQ40" s="246" cm="1">
        <f t="array" ref="BQ40">SUM(_xlfn._xlws.FILTER(_xlfn._xlws.FILTER(dataGLPL,dataGLPLAcctIDs=$C40),(startDates&gt;=BQ$4)*(endDates&lt;=BQ$5)))</f>
        <v>14492.084611079688</v>
      </c>
      <c r="BR40" s="246" cm="1">
        <f t="array" ref="BR40">SUM(_xlfn._xlws.FILTER(_xlfn._xlws.FILTER(dataGLPL,dataGLPLAcctIDs=$C40),(startDates&gt;=BR$4)*(endDates&lt;=BR$5)))</f>
        <v>14660.671668018635</v>
      </c>
      <c r="BS40" s="246" cm="1">
        <f t="array" ref="BS40">SUM(_xlfn._xlws.FILTER(_xlfn._xlws.FILTER(dataGLPL,dataGLPLAcctIDs=$C40),(startDates&gt;=BS$4)*(endDates&lt;=BS$5)))</f>
        <v>14740.386209921893</v>
      </c>
      <c r="BT40" s="246" cm="1">
        <f t="array" ref="BT40">SUM(_xlfn._xlws.FILTER(_xlfn._xlws.FILTER(dataGLPL,dataGLPLAcctIDs=$C40),(startDates&gt;=BT$4)*(endDates&lt;=BT$5)))</f>
        <v>15001.455096658226</v>
      </c>
      <c r="BU40" s="246" cm="1">
        <f t="array" ref="BU40">SUM(_xlfn._xlws.FILTER(_xlfn._xlws.FILTER(dataGLPL,dataGLPLAcctIDs=$C40),(startDates&gt;=BU$4)*(endDates&lt;=BU$5)))</f>
        <v>15243.333691073418</v>
      </c>
      <c r="BV40" s="246" cm="1">
        <f t="array" ref="BV40">SUM(_xlfn._xlws.FILTER(_xlfn._xlws.FILTER(dataGLPL,dataGLPLAcctIDs=$C40),(startDates&gt;=BV$4)*(endDates&lt;=BV$5)))</f>
        <v>15468.352968698766</v>
      </c>
      <c r="BW40" s="246" cm="1">
        <f t="array" ref="BW40">SUM(_xlfn._xlws.FILTER(_xlfn._xlws.FILTER(dataGLPL,dataGLPLAcctIDs=$C40),(startDates&gt;=BW$4)*(endDates&lt;=BW$5)))</f>
        <v>15681.099742953858</v>
      </c>
      <c r="BX40" s="246" cm="1">
        <f t="array" ref="BX40">SUM(_xlfn._xlws.FILTER(_xlfn._xlws.FILTER(dataGLPL,dataGLPLAcctIDs=$C40),(startDates&gt;=BX$4)*(endDates&lt;=BX$5)))</f>
        <v>15889.177391031839</v>
      </c>
      <c r="BY40" s="246" cm="1">
        <f t="array" ref="BY40">SUM(_xlfn._xlws.FILTER(_xlfn._xlws.FILTER(dataGLPL,dataGLPLAcctIDs=$C40),(startDates&gt;=BY$4)*(endDates&lt;=BY$5)))</f>
        <v>16104.165892559153</v>
      </c>
    </row>
    <row r="41" spans="1:77" s="201" customFormat="1" ht="21" customHeight="1">
      <c r="A41" s="215"/>
      <c r="B41" s="218" t="s">
        <v>253</v>
      </c>
      <c r="C41" s="343">
        <v>177</v>
      </c>
      <c r="D41" s="215"/>
      <c r="E41" s="216"/>
      <c r="F41" s="246" cm="1">
        <f t="array" ref="F41">SUM(_xlfn._xlws.FILTER(_xlfn._xlws.FILTER(dataGLPL,dataGLPLAcctIDs=$C41),(startDates&gt;=F$4)*(endDates&lt;=F$5)))</f>
        <v>0</v>
      </c>
      <c r="G41" s="246" cm="1">
        <f t="array" ref="G41">SUM(_xlfn._xlws.FILTER(_xlfn._xlws.FILTER(dataGLPL,dataGLPLAcctIDs=$C41),(startDates&gt;=G$4)*(endDates&lt;=G$5)))</f>
        <v>0</v>
      </c>
      <c r="H41" s="246" cm="1">
        <f t="array" ref="H41">SUM(_xlfn._xlws.FILTER(_xlfn._xlws.FILTER(dataGLPL,dataGLPLAcctIDs=$C41),(startDates&gt;=H$4)*(endDates&lt;=H$5)))</f>
        <v>7050</v>
      </c>
      <c r="I41" s="246" cm="1">
        <f t="array" ref="I41">SUM(_xlfn._xlws.FILTER(_xlfn._xlws.FILTER(dataGLPL,dataGLPLAcctIDs=$C41),(startDates&gt;=I$4)*(endDates&lt;=I$5)))</f>
        <v>18159.819793115399</v>
      </c>
      <c r="J41" s="344"/>
      <c r="K41" s="344"/>
      <c r="L41" s="246" cm="1">
        <f t="array" ref="L41">SUM(_xlfn._xlws.FILTER(_xlfn._xlws.FILTER(dataGLPL,dataGLPLAcctIDs=$C41),(startDates&gt;=L$4)*(endDates&lt;=L$5)))</f>
        <v>0</v>
      </c>
      <c r="M41" s="246" cm="1">
        <f t="array" ref="M41">SUM(_xlfn._xlws.FILTER(_xlfn._xlws.FILTER(dataGLPL,dataGLPLAcctIDs=$C41),(startDates&gt;=M$4)*(endDates&lt;=M$5)))</f>
        <v>0</v>
      </c>
      <c r="N41" s="246" cm="1">
        <f t="array" ref="N41">SUM(_xlfn._xlws.FILTER(_xlfn._xlws.FILTER(dataGLPL,dataGLPLAcctIDs=$C41),(startDates&gt;=N$4)*(endDates&lt;=N$5)))</f>
        <v>0</v>
      </c>
      <c r="O41" s="246" cm="1">
        <f t="array" ref="O41">SUM(_xlfn._xlws.FILTER(_xlfn._xlws.FILTER(dataGLPL,dataGLPLAcctIDs=$C41),(startDates&gt;=O$4)*(endDates&lt;=O$5)))</f>
        <v>0</v>
      </c>
      <c r="P41" s="246" cm="1">
        <f t="array" ref="P41">SUM(_xlfn._xlws.FILTER(_xlfn._xlws.FILTER(dataGLPL,dataGLPLAcctIDs=$C41),(startDates&gt;=P$4)*(endDates&lt;=P$5)))</f>
        <v>0</v>
      </c>
      <c r="Q41" s="246" cm="1">
        <f t="array" ref="Q41">SUM(_xlfn._xlws.FILTER(_xlfn._xlws.FILTER(dataGLPL,dataGLPLAcctIDs=$C41),(startDates&gt;=Q$4)*(endDates&lt;=Q$5)))</f>
        <v>0</v>
      </c>
      <c r="R41" s="246" cm="1">
        <f t="array" ref="R41">SUM(_xlfn._xlws.FILTER(_xlfn._xlws.FILTER(dataGLPL,dataGLPLAcctIDs=$C41),(startDates&gt;=R$4)*(endDates&lt;=R$5)))</f>
        <v>0</v>
      </c>
      <c r="S41" s="246" cm="1">
        <f t="array" ref="S41">SUM(_xlfn._xlws.FILTER(_xlfn._xlws.FILTER(dataGLPL,dataGLPLAcctIDs=$C41),(startDates&gt;=S$4)*(endDates&lt;=S$5)))</f>
        <v>0</v>
      </c>
      <c r="T41" s="246" cm="1">
        <f t="array" ref="T41">SUM(_xlfn._xlws.FILTER(_xlfn._xlws.FILTER(dataGLPL,dataGLPLAcctIDs=$C41),(startDates&gt;=T$4)*(endDates&lt;=T$5)))</f>
        <v>0</v>
      </c>
      <c r="U41" s="246" cm="1">
        <f t="array" ref="U41">SUM(_xlfn._xlws.FILTER(_xlfn._xlws.FILTER(dataGLPL,dataGLPLAcctIDs=$C41),(startDates&gt;=U$4)*(endDates&lt;=U$5)))</f>
        <v>0</v>
      </c>
      <c r="V41" s="246" cm="1">
        <f t="array" ref="V41">SUM(_xlfn._xlws.FILTER(_xlfn._xlws.FILTER(dataGLPL,dataGLPLAcctIDs=$C41),(startDates&gt;=V$4)*(endDates&lt;=V$5)))</f>
        <v>1800</v>
      </c>
      <c r="W41" s="246" cm="1">
        <f t="array" ref="W41">SUM(_xlfn._xlws.FILTER(_xlfn._xlws.FILTER(dataGLPL,dataGLPLAcctIDs=$C41),(startDates&gt;=W$4)*(endDates&lt;=W$5)))</f>
        <v>5250</v>
      </c>
      <c r="X41" s="246" cm="1">
        <f t="array" ref="X41">SUM(_xlfn._xlws.FILTER(_xlfn._xlws.FILTER(dataGLPL,dataGLPLAcctIDs=$C41),(startDates&gt;=X$4)*(endDates&lt;=X$5)))</f>
        <v>3701.6273437500004</v>
      </c>
      <c r="Y41" s="246" cm="1">
        <f t="array" ref="Y41">SUM(_xlfn._xlws.FILTER(_xlfn._xlws.FILTER(dataGLPL,dataGLPLAcctIDs=$C41),(startDates&gt;=Y$4)*(endDates&lt;=Y$5)))</f>
        <v>4835.0102454711914</v>
      </c>
      <c r="Z41" s="246" cm="1">
        <f t="array" ref="Z41">SUM(_xlfn._xlws.FILTER(_xlfn._xlws.FILTER(dataGLPL,dataGLPLAcctIDs=$C41),(startDates&gt;=Z$4)*(endDates&lt;=Z$5)))</f>
        <v>4643.6284174305556</v>
      </c>
      <c r="AA41" s="246" cm="1">
        <f t="array" ref="AA41">SUM(_xlfn._xlws.FILTER(_xlfn._xlws.FILTER(dataGLPL,dataGLPLAcctIDs=$C41),(startDates&gt;=AA$4)*(endDates&lt;=AA$5)))</f>
        <v>4979.5537864636526</v>
      </c>
      <c r="AB41" s="215"/>
      <c r="AC41" s="344"/>
      <c r="AD41" s="246" cm="1">
        <f t="array" ref="AD41">SUM(_xlfn._xlws.FILTER(_xlfn._xlws.FILTER(dataGLPL,dataGLPLAcctIDs=$C41),(startDates&gt;=AD$4)*(endDates&lt;=AD$5)))</f>
        <v>0</v>
      </c>
      <c r="AE41" s="246" cm="1">
        <f t="array" ref="AE41">SUM(_xlfn._xlws.FILTER(_xlfn._xlws.FILTER(dataGLPL,dataGLPLAcctIDs=$C41),(startDates&gt;=AE$4)*(endDates&lt;=AE$5)))</f>
        <v>0</v>
      </c>
      <c r="AF41" s="246" cm="1">
        <f t="array" ref="AF41">SUM(_xlfn._xlws.FILTER(_xlfn._xlws.FILTER(dataGLPL,dataGLPLAcctIDs=$C41),(startDates&gt;=AF$4)*(endDates&lt;=AF$5)))</f>
        <v>0</v>
      </c>
      <c r="AG41" s="246" cm="1">
        <f t="array" ref="AG41">SUM(_xlfn._xlws.FILTER(_xlfn._xlws.FILTER(dataGLPL,dataGLPLAcctIDs=$C41),(startDates&gt;=AG$4)*(endDates&lt;=AG$5)))</f>
        <v>0</v>
      </c>
      <c r="AH41" s="246" cm="1">
        <f t="array" ref="AH41">SUM(_xlfn._xlws.FILTER(_xlfn._xlws.FILTER(dataGLPL,dataGLPLAcctIDs=$C41),(startDates&gt;=AH$4)*(endDates&lt;=AH$5)))</f>
        <v>0</v>
      </c>
      <c r="AI41" s="246" cm="1">
        <f t="array" ref="AI41">SUM(_xlfn._xlws.FILTER(_xlfn._xlws.FILTER(dataGLPL,dataGLPLAcctIDs=$C41),(startDates&gt;=AI$4)*(endDates&lt;=AI$5)))</f>
        <v>0</v>
      </c>
      <c r="AJ41" s="246" cm="1">
        <f t="array" ref="AJ41">SUM(_xlfn._xlws.FILTER(_xlfn._xlws.FILTER(dataGLPL,dataGLPLAcctIDs=$C41),(startDates&gt;=AJ$4)*(endDates&lt;=AJ$5)))</f>
        <v>0</v>
      </c>
      <c r="AK41" s="246" cm="1">
        <f t="array" ref="AK41">SUM(_xlfn._xlws.FILTER(_xlfn._xlws.FILTER(dataGLPL,dataGLPLAcctIDs=$C41),(startDates&gt;=AK$4)*(endDates&lt;=AK$5)))</f>
        <v>0</v>
      </c>
      <c r="AL41" s="246" cm="1">
        <f t="array" ref="AL41">SUM(_xlfn._xlws.FILTER(_xlfn._xlws.FILTER(dataGLPL,dataGLPLAcctIDs=$C41),(startDates&gt;=AL$4)*(endDates&lt;=AL$5)))</f>
        <v>0</v>
      </c>
      <c r="AM41" s="246" cm="1">
        <f t="array" ref="AM41">SUM(_xlfn._xlws.FILTER(_xlfn._xlws.FILTER(dataGLPL,dataGLPLAcctIDs=$C41),(startDates&gt;=AM$4)*(endDates&lt;=AM$5)))</f>
        <v>0</v>
      </c>
      <c r="AN41" s="246" cm="1">
        <f t="array" ref="AN41">SUM(_xlfn._xlws.FILTER(_xlfn._xlws.FILTER(dataGLPL,dataGLPLAcctIDs=$C41),(startDates&gt;=AN$4)*(endDates&lt;=AN$5)))</f>
        <v>0</v>
      </c>
      <c r="AO41" s="246" cm="1">
        <f t="array" ref="AO41">SUM(_xlfn._xlws.FILTER(_xlfn._xlws.FILTER(dataGLPL,dataGLPLAcctIDs=$C41),(startDates&gt;=AO$4)*(endDates&lt;=AO$5)))</f>
        <v>0</v>
      </c>
      <c r="AP41" s="246" cm="1">
        <f t="array" ref="AP41">SUM(_xlfn._xlws.FILTER(_xlfn._xlws.FILTER(dataGLPL,dataGLPLAcctIDs=$C41),(startDates&gt;=AP$4)*(endDates&lt;=AP$5)))</f>
        <v>0</v>
      </c>
      <c r="AQ41" s="246" cm="1">
        <f t="array" ref="AQ41">SUM(_xlfn._xlws.FILTER(_xlfn._xlws.FILTER(dataGLPL,dataGLPLAcctIDs=$C41),(startDates&gt;=AQ$4)*(endDates&lt;=AQ$5)))</f>
        <v>0</v>
      </c>
      <c r="AR41" s="246" cm="1">
        <f t="array" ref="AR41">SUM(_xlfn._xlws.FILTER(_xlfn._xlws.FILTER(dataGLPL,dataGLPLAcctIDs=$C41),(startDates&gt;=AR$4)*(endDates&lt;=AR$5)))</f>
        <v>0</v>
      </c>
      <c r="AS41" s="246" cm="1">
        <f t="array" ref="AS41">SUM(_xlfn._xlws.FILTER(_xlfn._xlws.FILTER(dataGLPL,dataGLPLAcctIDs=$C41),(startDates&gt;=AS$4)*(endDates&lt;=AS$5)))</f>
        <v>0</v>
      </c>
      <c r="AT41" s="246" cm="1">
        <f t="array" ref="AT41">SUM(_xlfn._xlws.FILTER(_xlfn._xlws.FILTER(dataGLPL,dataGLPLAcctIDs=$C41),(startDates&gt;=AT$4)*(endDates&lt;=AT$5)))</f>
        <v>0</v>
      </c>
      <c r="AU41" s="246" cm="1">
        <f t="array" ref="AU41">SUM(_xlfn._xlws.FILTER(_xlfn._xlws.FILTER(dataGLPL,dataGLPLAcctIDs=$C41),(startDates&gt;=AU$4)*(endDates&lt;=AU$5)))</f>
        <v>0</v>
      </c>
      <c r="AV41" s="246" cm="1">
        <f t="array" ref="AV41">SUM(_xlfn._xlws.FILTER(_xlfn._xlws.FILTER(dataGLPL,dataGLPLAcctIDs=$C41),(startDates&gt;=AV$4)*(endDates&lt;=AV$5)))</f>
        <v>0</v>
      </c>
      <c r="AW41" s="246" cm="1">
        <f t="array" ref="AW41">SUM(_xlfn._xlws.FILTER(_xlfn._xlws.FILTER(dataGLPL,dataGLPLAcctIDs=$C41),(startDates&gt;=AW$4)*(endDates&lt;=AW$5)))</f>
        <v>0</v>
      </c>
      <c r="AX41" s="246" cm="1">
        <f t="array" ref="AX41">SUM(_xlfn._xlws.FILTER(_xlfn._xlws.FILTER(dataGLPL,dataGLPLAcctIDs=$C41),(startDates&gt;=AX$4)*(endDates&lt;=AX$5)))</f>
        <v>0</v>
      </c>
      <c r="AY41" s="246" cm="1">
        <f t="array" ref="AY41">SUM(_xlfn._xlws.FILTER(_xlfn._xlws.FILTER(dataGLPL,dataGLPLAcctIDs=$C41),(startDates&gt;=AY$4)*(endDates&lt;=AY$5)))</f>
        <v>0</v>
      </c>
      <c r="AZ41" s="246" cm="1">
        <f t="array" ref="AZ41">SUM(_xlfn._xlws.FILTER(_xlfn._xlws.FILTER(dataGLPL,dataGLPLAcctIDs=$C41),(startDates&gt;=AZ$4)*(endDates&lt;=AZ$5)))</f>
        <v>0</v>
      </c>
      <c r="BA41" s="246" cm="1">
        <f t="array" ref="BA41">SUM(_xlfn._xlws.FILTER(_xlfn._xlws.FILTER(dataGLPL,dataGLPLAcctIDs=$C41),(startDates&gt;=BA$4)*(endDates&lt;=BA$5)))</f>
        <v>0</v>
      </c>
      <c r="BB41" s="246" cm="1">
        <f t="array" ref="BB41">SUM(_xlfn._xlws.FILTER(_xlfn._xlws.FILTER(dataGLPL,dataGLPLAcctIDs=$C41),(startDates&gt;=BB$4)*(endDates&lt;=BB$5)))</f>
        <v>0</v>
      </c>
      <c r="BC41" s="246" cm="1">
        <f t="array" ref="BC41">SUM(_xlfn._xlws.FILTER(_xlfn._xlws.FILTER(dataGLPL,dataGLPLAcctIDs=$C41),(startDates&gt;=BC$4)*(endDates&lt;=BC$5)))</f>
        <v>0</v>
      </c>
      <c r="BD41" s="246" cm="1">
        <f t="array" ref="BD41">SUM(_xlfn._xlws.FILTER(_xlfn._xlws.FILTER(dataGLPL,dataGLPLAcctIDs=$C41),(startDates&gt;=BD$4)*(endDates&lt;=BD$5)))</f>
        <v>0</v>
      </c>
      <c r="BE41" s="246" cm="1">
        <f t="array" ref="BE41">SUM(_xlfn._xlws.FILTER(_xlfn._xlws.FILTER(dataGLPL,dataGLPLAcctIDs=$C41),(startDates&gt;=BE$4)*(endDates&lt;=BE$5)))</f>
        <v>0</v>
      </c>
      <c r="BF41" s="246" cm="1">
        <f t="array" ref="BF41">SUM(_xlfn._xlws.FILTER(_xlfn._xlws.FILTER(dataGLPL,dataGLPLAcctIDs=$C41),(startDates&gt;=BF$4)*(endDates&lt;=BF$5)))</f>
        <v>0</v>
      </c>
      <c r="BG41" s="246" cm="1">
        <f t="array" ref="BG41">SUM(_xlfn._xlws.FILTER(_xlfn._xlws.FILTER(dataGLPL,dataGLPLAcctIDs=$C41),(startDates&gt;=BG$4)*(endDates&lt;=BG$5)))</f>
        <v>0</v>
      </c>
      <c r="BH41" s="246" cm="1">
        <f t="array" ref="BH41">SUM(_xlfn._xlws.FILTER(_xlfn._xlws.FILTER(dataGLPL,dataGLPLAcctIDs=$C41),(startDates&gt;=BH$4)*(endDates&lt;=BH$5)))</f>
        <v>1800</v>
      </c>
      <c r="BI41" s="246" cm="1">
        <f t="array" ref="BI41">SUM(_xlfn._xlws.FILTER(_xlfn._xlws.FILTER(dataGLPL,dataGLPLAcctIDs=$C41),(startDates&gt;=BI$4)*(endDates&lt;=BI$5)))</f>
        <v>0</v>
      </c>
      <c r="BJ41" s="246" cm="1">
        <f t="array" ref="BJ41">SUM(_xlfn._xlws.FILTER(_xlfn._xlws.FILTER(dataGLPL,dataGLPLAcctIDs=$C41),(startDates&gt;=BJ$4)*(endDates&lt;=BJ$5)))</f>
        <v>0</v>
      </c>
      <c r="BK41" s="246" cm="1">
        <f t="array" ref="BK41">SUM(_xlfn._xlws.FILTER(_xlfn._xlws.FILTER(dataGLPL,dataGLPLAcctIDs=$C41),(startDates&gt;=BK$4)*(endDates&lt;=BK$5)))</f>
        <v>0</v>
      </c>
      <c r="BL41" s="246" cm="1">
        <f t="array" ref="BL41">SUM(_xlfn._xlws.FILTER(_xlfn._xlws.FILTER(dataGLPL,dataGLPLAcctIDs=$C41),(startDates&gt;=BL$4)*(endDates&lt;=BL$5)))</f>
        <v>4200</v>
      </c>
      <c r="BM41" s="246" cm="1">
        <f t="array" ref="BM41">SUM(_xlfn._xlws.FILTER(_xlfn._xlws.FILTER(dataGLPL,dataGLPLAcctIDs=$C41),(startDates&gt;=BM$4)*(endDates&lt;=BM$5)))</f>
        <v>1050</v>
      </c>
      <c r="BN41" s="246" cm="1">
        <f t="array" ref="BN41">SUM(_xlfn._xlws.FILTER(_xlfn._xlws.FILTER(dataGLPL,dataGLPLAcctIDs=$C41),(startDates&gt;=BN$4)*(endDates&lt;=BN$5)))</f>
        <v>1233.75</v>
      </c>
      <c r="BO41" s="246" cm="1">
        <f t="array" ref="BO41">SUM(_xlfn._xlws.FILTER(_xlfn._xlws.FILTER(dataGLPL,dataGLPLAcctIDs=$C41),(startDates&gt;=BO$4)*(endDates&lt;=BO$5)))</f>
        <v>1134.65625</v>
      </c>
      <c r="BP41" s="246" cm="1">
        <f t="array" ref="BP41">SUM(_xlfn._xlws.FILTER(_xlfn._xlws.FILTER(dataGLPL,dataGLPLAcctIDs=$C41),(startDates&gt;=BP$4)*(endDates&lt;=BP$5)))</f>
        <v>1333.2210937500001</v>
      </c>
      <c r="BQ41" s="246" cm="1">
        <f t="array" ref="BQ41">SUM(_xlfn._xlws.FILTER(_xlfn._xlws.FILTER(dataGLPL,dataGLPLAcctIDs=$C41),(startDates&gt;=BQ$4)*(endDates&lt;=BQ$5)))</f>
        <v>1566.5347851562501</v>
      </c>
      <c r="BR41" s="246" cm="1">
        <f t="array" ref="BR41">SUM(_xlfn._xlws.FILTER(_xlfn._xlws.FILTER(dataGLPL,dataGLPLAcctIDs=$C41),(startDates&gt;=BR$4)*(endDates&lt;=BR$5)))</f>
        <v>1840.6783725585938</v>
      </c>
      <c r="BS41" s="246" cm="1">
        <f t="array" ref="BS41">SUM(_xlfn._xlws.FILTER(_xlfn._xlws.FILTER(dataGLPL,dataGLPLAcctIDs=$C41),(startDates&gt;=BS$4)*(endDates&lt;=BS$5)))</f>
        <v>1427.7970877563478</v>
      </c>
      <c r="BT41" s="246" cm="1">
        <f t="array" ref="BT41">SUM(_xlfn._xlws.FILTER(_xlfn._xlws.FILTER(dataGLPL,dataGLPLAcctIDs=$C41),(startDates&gt;=BT$4)*(endDates&lt;=BT$5)))</f>
        <v>1493.9115781137086</v>
      </c>
      <c r="BU41" s="246" cm="1">
        <f t="array" ref="BU41">SUM(_xlfn._xlws.FILTER(_xlfn._xlws.FILTER(dataGLPL,dataGLPLAcctIDs=$C41),(startDates&gt;=BU$4)*(endDates&lt;=BU$5)))</f>
        <v>1539.4398542836077</v>
      </c>
      <c r="BV41" s="246" cm="1">
        <f t="array" ref="BV41">SUM(_xlfn._xlws.FILTER(_xlfn._xlws.FILTER(dataGLPL,dataGLPLAcctIDs=$C41),(startDates&gt;=BV$4)*(endDates&lt;=BV$5)))</f>
        <v>1610.276985033239</v>
      </c>
      <c r="BW41" s="246" cm="1">
        <f t="array" ref="BW41">SUM(_xlfn._xlws.FILTER(_xlfn._xlws.FILTER(dataGLPL,dataGLPLAcctIDs=$C41),(startDates&gt;=BW$4)*(endDates&lt;=BW$5)))</f>
        <v>1658.7617660078058</v>
      </c>
      <c r="BX41" s="246" cm="1">
        <f t="array" ref="BX41">SUM(_xlfn._xlws.FILTER(_xlfn._xlws.FILTER(dataGLPL,dataGLPLAcctIDs=$C41),(startDates&gt;=BX$4)*(endDates&lt;=BX$5)))</f>
        <v>1674.9014876568281</v>
      </c>
      <c r="BY41" s="246" cm="1">
        <f t="array" ref="BY41">SUM(_xlfn._xlws.FILTER(_xlfn._xlws.FILTER(dataGLPL,dataGLPLAcctIDs=$C41),(startDates&gt;=BY$4)*(endDates&lt;=BY$5)))</f>
        <v>1645.8905327990187</v>
      </c>
    </row>
    <row r="42" spans="1:77" s="201" customFormat="1" ht="21" customHeight="1">
      <c r="A42" s="215"/>
      <c r="B42" s="218" t="s">
        <v>254</v>
      </c>
      <c r="C42" s="343">
        <v>178</v>
      </c>
      <c r="D42" s="215"/>
      <c r="E42" s="216"/>
      <c r="F42" s="246" cm="1">
        <f t="array" ref="F42">SUM(_xlfn._xlws.FILTER(_xlfn._xlws.FILTER(dataGLPL,dataGLPLAcctIDs=$C42),(startDates&gt;=F$4)*(endDates&lt;=F$5)))</f>
        <v>165539</v>
      </c>
      <c r="G42" s="246" cm="1">
        <f t="array" ref="G42">SUM(_xlfn._xlws.FILTER(_xlfn._xlws.FILTER(dataGLPL,dataGLPLAcctIDs=$C42),(startDates&gt;=G$4)*(endDates&lt;=G$5)))</f>
        <v>420319</v>
      </c>
      <c r="H42" s="246" cm="1">
        <f t="array" ref="H42">SUM(_xlfn._xlws.FILTER(_xlfn._xlws.FILTER(dataGLPL,dataGLPLAcctIDs=$C42),(startDates&gt;=H$4)*(endDates&lt;=H$5)))</f>
        <v>741416.04666666675</v>
      </c>
      <c r="I42" s="246" cm="1">
        <f t="array" ref="I42">SUM(_xlfn._xlws.FILTER(_xlfn._xlws.FILTER(dataGLPL,dataGLPLAcctIDs=$C42),(startDates&gt;=I$4)*(endDates&lt;=I$5)))</f>
        <v>746136.36363636341</v>
      </c>
      <c r="J42" s="344"/>
      <c r="K42" s="344"/>
      <c r="L42" s="246" cm="1">
        <f t="array" ref="L42">SUM(_xlfn._xlws.FILTER(_xlfn._xlws.FILTER(dataGLPL,dataGLPLAcctIDs=$C42),(startDates&gt;=L$4)*(endDates&lt;=L$5)))</f>
        <v>34425</v>
      </c>
      <c r="M42" s="246" cm="1">
        <f t="array" ref="M42">SUM(_xlfn._xlws.FILTER(_xlfn._xlws.FILTER(dataGLPL,dataGLPLAcctIDs=$C42),(startDates&gt;=M$4)*(endDates&lt;=M$5)))</f>
        <v>34425</v>
      </c>
      <c r="N42" s="246" cm="1">
        <f t="array" ref="N42">SUM(_xlfn._xlws.FILTER(_xlfn._xlws.FILTER(dataGLPL,dataGLPLAcctIDs=$C42),(startDates&gt;=N$4)*(endDates&lt;=N$5)))</f>
        <v>34425</v>
      </c>
      <c r="O42" s="246" cm="1">
        <f t="array" ref="O42">SUM(_xlfn._xlws.FILTER(_xlfn._xlws.FILTER(dataGLPL,dataGLPLAcctIDs=$C42),(startDates&gt;=O$4)*(endDates&lt;=O$5)))</f>
        <v>62264</v>
      </c>
      <c r="P42" s="246" cm="1">
        <f t="array" ref="P42">SUM(_xlfn._xlws.FILTER(_xlfn._xlws.FILTER(dataGLPL,dataGLPLAcctIDs=$C42),(startDates&gt;=P$4)*(endDates&lt;=P$5)))</f>
        <v>73357</v>
      </c>
      <c r="Q42" s="246" cm="1">
        <f t="array" ref="Q42">SUM(_xlfn._xlws.FILTER(_xlfn._xlws.FILTER(dataGLPL,dataGLPLAcctIDs=$C42),(startDates&gt;=Q$4)*(endDates&lt;=Q$5)))</f>
        <v>94762</v>
      </c>
      <c r="R42" s="246" cm="1">
        <f t="array" ref="R42">SUM(_xlfn._xlws.FILTER(_xlfn._xlws.FILTER(dataGLPL,dataGLPLAcctIDs=$C42),(startDates&gt;=R$4)*(endDates&lt;=R$5)))</f>
        <v>120942</v>
      </c>
      <c r="S42" s="246" cm="1">
        <f t="array" ref="S42">SUM(_xlfn._xlws.FILTER(_xlfn._xlws.FILTER(dataGLPL,dataGLPLAcctIDs=$C42),(startDates&gt;=S$4)*(endDates&lt;=S$5)))</f>
        <v>131258</v>
      </c>
      <c r="T42" s="246" cm="1">
        <f t="array" ref="T42">SUM(_xlfn._xlws.FILTER(_xlfn._xlws.FILTER(dataGLPL,dataGLPLAcctIDs=$C42),(startDates&gt;=T$4)*(endDates&lt;=T$5)))</f>
        <v>151946.73000000001</v>
      </c>
      <c r="U42" s="246" cm="1">
        <f t="array" ref="U42">SUM(_xlfn._xlws.FILTER(_xlfn._xlws.FILTER(dataGLPL,dataGLPLAcctIDs=$C42),(startDates&gt;=U$4)*(endDates&lt;=U$5)))</f>
        <v>175897.15</v>
      </c>
      <c r="V42" s="246" cm="1">
        <f t="array" ref="V42">SUM(_xlfn._xlws.FILTER(_xlfn._xlws.FILTER(dataGLPL,dataGLPLAcctIDs=$C42),(startDates&gt;=V$4)*(endDates&lt;=V$5)))</f>
        <v>203622.82</v>
      </c>
      <c r="W42" s="246" cm="1">
        <f t="array" ref="W42">SUM(_xlfn._xlws.FILTER(_xlfn._xlws.FILTER(dataGLPL,dataGLPLAcctIDs=$C42),(startDates&gt;=W$4)*(endDates&lt;=W$5)))</f>
        <v>209949.34666666665</v>
      </c>
      <c r="X42" s="246" cm="1">
        <f t="array" ref="X42">SUM(_xlfn._xlws.FILTER(_xlfn._xlws.FILTER(dataGLPL,dataGLPLAcctIDs=$C42),(startDates&gt;=X$4)*(endDates&lt;=X$5)))</f>
        <v>125000</v>
      </c>
      <c r="Y42" s="246" cm="1">
        <f t="array" ref="Y42">SUM(_xlfn._xlws.FILTER(_xlfn._xlws.FILTER(dataGLPL,dataGLPLAcctIDs=$C42),(startDates&gt;=Y$4)*(endDates&lt;=Y$5)))</f>
        <v>191136.36363636362</v>
      </c>
      <c r="Z42" s="246" cm="1">
        <f t="array" ref="Z42">SUM(_xlfn._xlws.FILTER(_xlfn._xlws.FILTER(dataGLPL,dataGLPLAcctIDs=$C42),(startDates&gt;=Z$4)*(endDates&lt;=Z$5)))</f>
        <v>207499.99999999997</v>
      </c>
      <c r="AA42" s="246" cm="1">
        <f t="array" ref="AA42">SUM(_xlfn._xlws.FILTER(_xlfn._xlws.FILTER(dataGLPL,dataGLPLAcctIDs=$C42),(startDates&gt;=AA$4)*(endDates&lt;=AA$5)))</f>
        <v>222499.99999999997</v>
      </c>
      <c r="AB42" s="215"/>
      <c r="AC42" s="344"/>
      <c r="AD42" s="246" cm="1">
        <f t="array" ref="AD42">SUM(_xlfn._xlws.FILTER(_xlfn._xlws.FILTER(dataGLPL,dataGLPLAcctIDs=$C42),(startDates&gt;=AD$4)*(endDates&lt;=AD$5)))</f>
        <v>11475</v>
      </c>
      <c r="AE42" s="246" cm="1">
        <f t="array" ref="AE42">SUM(_xlfn._xlws.FILTER(_xlfn._xlws.FILTER(dataGLPL,dataGLPLAcctIDs=$C42),(startDates&gt;=AE$4)*(endDates&lt;=AE$5)))</f>
        <v>11475</v>
      </c>
      <c r="AF42" s="246" cm="1">
        <f t="array" ref="AF42">SUM(_xlfn._xlws.FILTER(_xlfn._xlws.FILTER(dataGLPL,dataGLPLAcctIDs=$C42),(startDates&gt;=AF$4)*(endDates&lt;=AF$5)))</f>
        <v>11475</v>
      </c>
      <c r="AG42" s="246" cm="1">
        <f t="array" ref="AG42">SUM(_xlfn._xlws.FILTER(_xlfn._xlws.FILTER(dataGLPL,dataGLPLAcctIDs=$C42),(startDates&gt;=AG$4)*(endDates&lt;=AG$5)))</f>
        <v>11475</v>
      </c>
      <c r="AH42" s="246" cm="1">
        <f t="array" ref="AH42">SUM(_xlfn._xlws.FILTER(_xlfn._xlws.FILTER(dataGLPL,dataGLPLAcctIDs=$C42),(startDates&gt;=AH$4)*(endDates&lt;=AH$5)))</f>
        <v>11475</v>
      </c>
      <c r="AI42" s="246" cm="1">
        <f t="array" ref="AI42">SUM(_xlfn._xlws.FILTER(_xlfn._xlws.FILTER(dataGLPL,dataGLPLAcctIDs=$C42),(startDates&gt;=AI$4)*(endDates&lt;=AI$5)))</f>
        <v>11475</v>
      </c>
      <c r="AJ42" s="246" cm="1">
        <f t="array" ref="AJ42">SUM(_xlfn._xlws.FILTER(_xlfn._xlws.FILTER(dataGLPL,dataGLPLAcctIDs=$C42),(startDates&gt;=AJ$4)*(endDates&lt;=AJ$5)))</f>
        <v>11475</v>
      </c>
      <c r="AK42" s="246" cm="1">
        <f t="array" ref="AK42">SUM(_xlfn._xlws.FILTER(_xlfn._xlws.FILTER(dataGLPL,dataGLPLAcctIDs=$C42),(startDates&gt;=AK$4)*(endDates&lt;=AK$5)))</f>
        <v>11475</v>
      </c>
      <c r="AL42" s="246" cm="1">
        <f t="array" ref="AL42">SUM(_xlfn._xlws.FILTER(_xlfn._xlws.FILTER(dataGLPL,dataGLPLAcctIDs=$C42),(startDates&gt;=AL$4)*(endDates&lt;=AL$5)))</f>
        <v>11475</v>
      </c>
      <c r="AM42" s="246" cm="1">
        <f t="array" ref="AM42">SUM(_xlfn._xlws.FILTER(_xlfn._xlws.FILTER(dataGLPL,dataGLPLAcctIDs=$C42),(startDates&gt;=AM$4)*(endDates&lt;=AM$5)))</f>
        <v>11475</v>
      </c>
      <c r="AN42" s="246" cm="1">
        <f t="array" ref="AN42">SUM(_xlfn._xlws.FILTER(_xlfn._xlws.FILTER(dataGLPL,dataGLPLAcctIDs=$C42),(startDates&gt;=AN$4)*(endDates&lt;=AN$5)))</f>
        <v>18166</v>
      </c>
      <c r="AO42" s="246" cm="1">
        <f t="array" ref="AO42">SUM(_xlfn._xlws.FILTER(_xlfn._xlws.FILTER(dataGLPL,dataGLPLAcctIDs=$C42),(startDates&gt;=AO$4)*(endDates&lt;=AO$5)))</f>
        <v>32623</v>
      </c>
      <c r="AP42" s="246" cm="1">
        <f t="array" ref="AP42">SUM(_xlfn._xlws.FILTER(_xlfn._xlws.FILTER(dataGLPL,dataGLPLAcctIDs=$C42),(startDates&gt;=AP$4)*(endDates&lt;=AP$5)))</f>
        <v>19075</v>
      </c>
      <c r="AQ42" s="246" cm="1">
        <f t="array" ref="AQ42">SUM(_xlfn._xlws.FILTER(_xlfn._xlws.FILTER(dataGLPL,dataGLPLAcctIDs=$C42),(startDates&gt;=AQ$4)*(endDates&lt;=AQ$5)))</f>
        <v>34254</v>
      </c>
      <c r="AR42" s="246" cm="1">
        <f t="array" ref="AR42">SUM(_xlfn._xlws.FILTER(_xlfn._xlws.FILTER(dataGLPL,dataGLPLAcctIDs=$C42),(startDates&gt;=AR$4)*(endDates&lt;=AR$5)))</f>
        <v>20028</v>
      </c>
      <c r="AS42" s="246" cm="1">
        <f t="array" ref="AS42">SUM(_xlfn._xlws.FILTER(_xlfn._xlws.FILTER(dataGLPL,dataGLPLAcctIDs=$C42),(startDates&gt;=AS$4)*(endDates&lt;=AS$5)))</f>
        <v>35967</v>
      </c>
      <c r="AT42" s="246" cm="1">
        <f t="array" ref="AT42">SUM(_xlfn._xlws.FILTER(_xlfn._xlws.FILTER(dataGLPL,dataGLPLAcctIDs=$C42),(startDates&gt;=AT$4)*(endDates&lt;=AT$5)))</f>
        <v>21030</v>
      </c>
      <c r="AU42" s="246" cm="1">
        <f t="array" ref="AU42">SUM(_xlfn._xlws.FILTER(_xlfn._xlws.FILTER(dataGLPL,dataGLPLAcctIDs=$C42),(startDates&gt;=AU$4)*(endDates&lt;=AU$5)))</f>
        <v>37765</v>
      </c>
      <c r="AV42" s="246" cm="1">
        <f t="array" ref="AV42">SUM(_xlfn._xlws.FILTER(_xlfn._xlws.FILTER(dataGLPL,dataGLPLAcctIDs=$C42),(startDates&gt;=AV$4)*(endDates&lt;=AV$5)))</f>
        <v>39653</v>
      </c>
      <c r="AW42" s="246" cm="1">
        <f t="array" ref="AW42">SUM(_xlfn._xlws.FILTER(_xlfn._xlws.FILTER(dataGLPL,dataGLPLAcctIDs=$C42),(startDates&gt;=AW$4)*(endDates&lt;=AW$5)))</f>
        <v>39653</v>
      </c>
      <c r="AX42" s="246" cm="1">
        <f t="array" ref="AX42">SUM(_xlfn._xlws.FILTER(_xlfn._xlws.FILTER(dataGLPL,dataGLPLAcctIDs=$C42),(startDates&gt;=AX$4)*(endDates&lt;=AX$5)))</f>
        <v>41636</v>
      </c>
      <c r="AY42" s="246" cm="1">
        <f t="array" ref="AY42">SUM(_xlfn._xlws.FILTER(_xlfn._xlws.FILTER(dataGLPL,dataGLPLAcctIDs=$C42),(startDates&gt;=AY$4)*(endDates&lt;=AY$5)))</f>
        <v>41636</v>
      </c>
      <c r="AZ42" s="246" cm="1">
        <f t="array" ref="AZ42">SUM(_xlfn._xlws.FILTER(_xlfn._xlws.FILTER(dataGLPL,dataGLPLAcctIDs=$C42),(startDates&gt;=AZ$4)*(endDates&lt;=AZ$5)))</f>
        <v>43718</v>
      </c>
      <c r="BA42" s="246" cm="1">
        <f t="array" ref="BA42">SUM(_xlfn._xlws.FILTER(_xlfn._xlws.FILTER(dataGLPL,dataGLPLAcctIDs=$C42),(startDates&gt;=BA$4)*(endDates&lt;=BA$5)))</f>
        <v>45904</v>
      </c>
      <c r="BB42" s="246" cm="1">
        <f t="array" ref="BB42">SUM(_xlfn._xlws.FILTER(_xlfn._xlws.FILTER(dataGLPL,dataGLPLAcctIDs=$C42),(startDates&gt;=BB$4)*(endDates&lt;=BB$5)))</f>
        <v>48198.73</v>
      </c>
      <c r="BC42" s="246" cm="1">
        <f t="array" ref="BC42">SUM(_xlfn._xlws.FILTER(_xlfn._xlws.FILTER(dataGLPL,dataGLPLAcctIDs=$C42),(startDates&gt;=BC$4)*(endDates&lt;=BC$5)))</f>
        <v>50609</v>
      </c>
      <c r="BD42" s="246" cm="1">
        <f t="array" ref="BD42">SUM(_xlfn._xlws.FILTER(_xlfn._xlws.FILTER(dataGLPL,dataGLPLAcctIDs=$C42),(startDates&gt;=BD$4)*(endDates&lt;=BD$5)))</f>
        <v>53139</v>
      </c>
      <c r="BE42" s="246" cm="1">
        <f t="array" ref="BE42">SUM(_xlfn._xlws.FILTER(_xlfn._xlws.FILTER(dataGLPL,dataGLPLAcctIDs=$C42),(startDates&gt;=BE$4)*(endDates&lt;=BE$5)))</f>
        <v>55796</v>
      </c>
      <c r="BF42" s="246" cm="1">
        <f t="array" ref="BF42">SUM(_xlfn._xlws.FILTER(_xlfn._xlws.FILTER(dataGLPL,dataGLPLAcctIDs=$C42),(startDates&gt;=BF$4)*(endDates&lt;=BF$5)))</f>
        <v>58586</v>
      </c>
      <c r="BG42" s="246" cm="1">
        <f t="array" ref="BG42">SUM(_xlfn._xlws.FILTER(_xlfn._xlws.FILTER(dataGLPL,dataGLPLAcctIDs=$C42),(startDates&gt;=BG$4)*(endDates&lt;=BG$5)))</f>
        <v>61515.15</v>
      </c>
      <c r="BH42" s="246" cm="1">
        <f t="array" ref="BH42">SUM(_xlfn._xlws.FILTER(_xlfn._xlws.FILTER(dataGLPL,dataGLPLAcctIDs=$C42),(startDates&gt;=BH$4)*(endDates&lt;=BH$5)))</f>
        <v>64590.9</v>
      </c>
      <c r="BI42" s="246" cm="1">
        <f t="array" ref="BI42">SUM(_xlfn._xlws.FILTER(_xlfn._xlws.FILTER(dataGLPL,dataGLPLAcctIDs=$C42),(startDates&gt;=BI$4)*(endDates&lt;=BI$5)))</f>
        <v>67820.45</v>
      </c>
      <c r="BJ42" s="246" cm="1">
        <f t="array" ref="BJ42">SUM(_xlfn._xlws.FILTER(_xlfn._xlws.FILTER(dataGLPL,dataGLPLAcctIDs=$C42),(startDates&gt;=BJ$4)*(endDates&lt;=BJ$5)))</f>
        <v>71211.47</v>
      </c>
      <c r="BK42" s="246" cm="1">
        <f t="array" ref="BK42">SUM(_xlfn._xlws.FILTER(_xlfn._xlws.FILTER(dataGLPL,dataGLPLAcctIDs=$C42),(startDates&gt;=BK$4)*(endDates&lt;=BK$5)))</f>
        <v>74772.039999999994</v>
      </c>
      <c r="BL42" s="246" cm="1">
        <f t="array" ref="BL42">SUM(_xlfn._xlws.FILTER(_xlfn._xlws.FILTER(dataGLPL,dataGLPLAcctIDs=$C42),(startDates&gt;=BL$4)*(endDates&lt;=BL$5)))</f>
        <v>78510.64</v>
      </c>
      <c r="BM42" s="246" cm="1">
        <f t="array" ref="BM42">SUM(_xlfn._xlws.FILTER(_xlfn._xlws.FILTER(dataGLPL,dataGLPLAcctIDs=$C42),(startDates&gt;=BM$4)*(endDates&lt;=BM$5)))</f>
        <v>56666.666666666664</v>
      </c>
      <c r="BN42" s="246" cm="1">
        <f t="array" ref="BN42">SUM(_xlfn._xlws.FILTER(_xlfn._xlws.FILTER(dataGLPL,dataGLPLAcctIDs=$C42),(startDates&gt;=BN$4)*(endDates&lt;=BN$5)))</f>
        <v>41666.666666666664</v>
      </c>
      <c r="BO42" s="246" cm="1">
        <f t="array" ref="BO42">SUM(_xlfn._xlws.FILTER(_xlfn._xlws.FILTER(dataGLPL,dataGLPLAcctIDs=$C42),(startDates&gt;=BO$4)*(endDates&lt;=BO$5)))</f>
        <v>41666.666666666664</v>
      </c>
      <c r="BP42" s="246" cm="1">
        <f t="array" ref="BP42">SUM(_xlfn._xlws.FILTER(_xlfn._xlws.FILTER(dataGLPL,dataGLPLAcctIDs=$C42),(startDates&gt;=BP$4)*(endDates&lt;=BP$5)))</f>
        <v>41666.666666666664</v>
      </c>
      <c r="BQ42" s="246" cm="1">
        <f t="array" ref="BQ42">SUM(_xlfn._xlws.FILTER(_xlfn._xlws.FILTER(dataGLPL,dataGLPLAcctIDs=$C42),(startDates&gt;=BQ$4)*(endDates&lt;=BQ$5)))</f>
        <v>62499.999999999993</v>
      </c>
      <c r="BR42" s="246" cm="1">
        <f t="array" ref="BR42">SUM(_xlfn._xlws.FILTER(_xlfn._xlws.FILTER(dataGLPL,dataGLPLAcctIDs=$C42),(startDates&gt;=BR$4)*(endDates&lt;=BR$5)))</f>
        <v>62499.999999999993</v>
      </c>
      <c r="BS42" s="246" cm="1">
        <f t="array" ref="BS42">SUM(_xlfn._xlws.FILTER(_xlfn._xlws.FILTER(dataGLPL,dataGLPLAcctIDs=$C42),(startDates&gt;=BS$4)*(endDates&lt;=BS$5)))</f>
        <v>66136.363636363632</v>
      </c>
      <c r="BT42" s="246" cm="1">
        <f t="array" ref="BT42">SUM(_xlfn._xlws.FILTER(_xlfn._xlws.FILTER(dataGLPL,dataGLPLAcctIDs=$C42),(startDates&gt;=BT$4)*(endDates&lt;=BT$5)))</f>
        <v>69166.666666666657</v>
      </c>
      <c r="BU42" s="246" cm="1">
        <f t="array" ref="BU42">SUM(_xlfn._xlws.FILTER(_xlfn._xlws.FILTER(dataGLPL,dataGLPLAcctIDs=$C42),(startDates&gt;=BU$4)*(endDates&lt;=BU$5)))</f>
        <v>69166.666666666657</v>
      </c>
      <c r="BV42" s="246" cm="1">
        <f t="array" ref="BV42">SUM(_xlfn._xlws.FILTER(_xlfn._xlws.FILTER(dataGLPL,dataGLPLAcctIDs=$C42),(startDates&gt;=BV$4)*(endDates&lt;=BV$5)))</f>
        <v>69166.666666666657</v>
      </c>
      <c r="BW42" s="246" cm="1">
        <f t="array" ref="BW42">SUM(_xlfn._xlws.FILTER(_xlfn._xlws.FILTER(dataGLPL,dataGLPLAcctIDs=$C42),(startDates&gt;=BW$4)*(endDates&lt;=BW$5)))</f>
        <v>69166.666666666657</v>
      </c>
      <c r="BX42" s="246" cm="1">
        <f t="array" ref="BX42">SUM(_xlfn._xlws.FILTER(_xlfn._xlws.FILTER(dataGLPL,dataGLPLAcctIDs=$C42),(startDates&gt;=BX$4)*(endDates&lt;=BX$5)))</f>
        <v>69166.666666666657</v>
      </c>
      <c r="BY42" s="246" cm="1">
        <f t="array" ref="BY42">SUM(_xlfn._xlws.FILTER(_xlfn._xlws.FILTER(dataGLPL,dataGLPLAcctIDs=$C42),(startDates&gt;=BY$4)*(endDates&lt;=BY$5)))</f>
        <v>84166.666666666657</v>
      </c>
    </row>
    <row r="43" spans="1:77" s="201" customFormat="1" ht="21" customHeight="1">
      <c r="A43" s="215"/>
      <c r="B43" s="218" t="s">
        <v>255</v>
      </c>
      <c r="C43" s="343">
        <v>179</v>
      </c>
      <c r="D43" s="215"/>
      <c r="E43" s="216"/>
      <c r="F43" s="246" cm="1">
        <f t="array" ref="F43">SUM(_xlfn._xlws.FILTER(_xlfn._xlws.FILTER(dataGLPL,dataGLPLAcctIDs=$C43),(startDates&gt;=F$4)*(endDates&lt;=F$5)))</f>
        <v>4913</v>
      </c>
      <c r="G43" s="246" cm="1">
        <f t="array" ref="G43">SUM(_xlfn._xlws.FILTER(_xlfn._xlws.FILTER(dataGLPL,dataGLPLAcctIDs=$C43),(startDates&gt;=G$4)*(endDates&lt;=G$5)))</f>
        <v>41226</v>
      </c>
      <c r="H43" s="246" cm="1">
        <f t="array" ref="H43">SUM(_xlfn._xlws.FILTER(_xlfn._xlws.FILTER(dataGLPL,dataGLPLAcctIDs=$C43),(startDates&gt;=H$4)*(endDates&lt;=H$5)))</f>
        <v>71110.223333333328</v>
      </c>
      <c r="I43" s="246" cm="1">
        <f t="array" ref="I43">SUM(_xlfn._xlws.FILTER(_xlfn._xlws.FILTER(dataGLPL,dataGLPLAcctIDs=$C43),(startDates&gt;=I$4)*(endDates&lt;=I$5)))</f>
        <v>58490.909090909074</v>
      </c>
      <c r="J43" s="344"/>
      <c r="K43" s="344"/>
      <c r="L43" s="246" cm="1">
        <f t="array" ref="L43">SUM(_xlfn._xlws.FILTER(_xlfn._xlws.FILTER(dataGLPL,dataGLPLAcctIDs=$C43),(startDates&gt;=L$4)*(endDates&lt;=L$5)))</f>
        <v>0</v>
      </c>
      <c r="M43" s="246" cm="1">
        <f t="array" ref="M43">SUM(_xlfn._xlws.FILTER(_xlfn._xlws.FILTER(dataGLPL,dataGLPLAcctIDs=$C43),(startDates&gt;=M$4)*(endDates&lt;=M$5)))</f>
        <v>0</v>
      </c>
      <c r="N43" s="246" cm="1">
        <f t="array" ref="N43">SUM(_xlfn._xlws.FILTER(_xlfn._xlws.FILTER(dataGLPL,dataGLPLAcctIDs=$C43),(startDates&gt;=N$4)*(endDates&lt;=N$5)))</f>
        <v>0</v>
      </c>
      <c r="O43" s="246" cm="1">
        <f t="array" ref="O43">SUM(_xlfn._xlws.FILTER(_xlfn._xlws.FILTER(dataGLPL,dataGLPLAcctIDs=$C43),(startDates&gt;=O$4)*(endDates&lt;=O$5)))</f>
        <v>4913</v>
      </c>
      <c r="P43" s="246" cm="1">
        <f t="array" ref="P43">SUM(_xlfn._xlws.FILTER(_xlfn._xlws.FILTER(dataGLPL,dataGLPLAcctIDs=$C43),(startDates&gt;=P$4)*(endDates&lt;=P$5)))</f>
        <v>7015</v>
      </c>
      <c r="Q43" s="246" cm="1">
        <f t="array" ref="Q43">SUM(_xlfn._xlws.FILTER(_xlfn._xlws.FILTER(dataGLPL,dataGLPLAcctIDs=$C43),(startDates&gt;=Q$4)*(endDates&lt;=Q$5)))</f>
        <v>9248</v>
      </c>
      <c r="R43" s="246" cm="1">
        <f t="array" ref="R43">SUM(_xlfn._xlws.FILTER(_xlfn._xlws.FILTER(dataGLPL,dataGLPLAcctIDs=$C43),(startDates&gt;=R$4)*(endDates&lt;=R$5)))</f>
        <v>11971</v>
      </c>
      <c r="S43" s="246" cm="1">
        <f t="array" ref="S43">SUM(_xlfn._xlws.FILTER(_xlfn._xlws.FILTER(dataGLPL,dataGLPLAcctIDs=$C43),(startDates&gt;=S$4)*(endDates&lt;=S$5)))</f>
        <v>12992</v>
      </c>
      <c r="T43" s="246" cm="1">
        <f t="array" ref="T43">SUM(_xlfn._xlws.FILTER(_xlfn._xlws.FILTER(dataGLPL,dataGLPLAcctIDs=$C43),(startDates&gt;=T$4)*(endDates&lt;=T$5)))</f>
        <v>15039.7</v>
      </c>
      <c r="U43" s="246" cm="1">
        <f t="array" ref="U43">SUM(_xlfn._xlws.FILTER(_xlfn._xlws.FILTER(dataGLPL,dataGLPLAcctIDs=$C43),(startDates&gt;=U$4)*(endDates&lt;=U$5)))</f>
        <v>17410.78</v>
      </c>
      <c r="V43" s="246" cm="1">
        <f t="array" ref="V43">SUM(_xlfn._xlws.FILTER(_xlfn._xlws.FILTER(dataGLPL,dataGLPLAcctIDs=$C43),(startDates&gt;=V$4)*(endDates&lt;=V$5)))</f>
        <v>20154.53</v>
      </c>
      <c r="W43" s="246" cm="1">
        <f t="array" ref="W43">SUM(_xlfn._xlws.FILTER(_xlfn._xlws.FILTER(dataGLPL,dataGLPLAcctIDs=$C43),(startDates&gt;=W$4)*(endDates&lt;=W$5)))</f>
        <v>18505.213333333333</v>
      </c>
      <c r="X43" s="246" cm="1">
        <f t="array" ref="X43">SUM(_xlfn._xlws.FILTER(_xlfn._xlws.FILTER(dataGLPL,dataGLPLAcctIDs=$C43),(startDates&gt;=X$4)*(endDates&lt;=X$5)))</f>
        <v>10000</v>
      </c>
      <c r="Y43" s="246" cm="1">
        <f t="array" ref="Y43">SUM(_xlfn._xlws.FILTER(_xlfn._xlws.FILTER(dataGLPL,dataGLPLAcctIDs=$C43),(startDates&gt;=Y$4)*(endDates&lt;=Y$5)))</f>
        <v>15290.909090909088</v>
      </c>
      <c r="Z43" s="246" cm="1">
        <f t="array" ref="Z43">SUM(_xlfn._xlws.FILTER(_xlfn._xlws.FILTER(dataGLPL,dataGLPLAcctIDs=$C43),(startDates&gt;=Z$4)*(endDates&lt;=Z$5)))</f>
        <v>16599.999999999996</v>
      </c>
      <c r="AA43" s="246" cm="1">
        <f t="array" ref="AA43">SUM(_xlfn._xlws.FILTER(_xlfn._xlws.FILTER(dataGLPL,dataGLPLAcctIDs=$C43),(startDates&gt;=AA$4)*(endDates&lt;=AA$5)))</f>
        <v>16599.999999999996</v>
      </c>
      <c r="AB43" s="215"/>
      <c r="AC43" s="344"/>
      <c r="AD43" s="246" cm="1">
        <f t="array" ref="AD43">SUM(_xlfn._xlws.FILTER(_xlfn._xlws.FILTER(dataGLPL,dataGLPLAcctIDs=$C43),(startDates&gt;=AD$4)*(endDates&lt;=AD$5)))</f>
        <v>0</v>
      </c>
      <c r="AE43" s="246" cm="1">
        <f t="array" ref="AE43">SUM(_xlfn._xlws.FILTER(_xlfn._xlws.FILTER(dataGLPL,dataGLPLAcctIDs=$C43),(startDates&gt;=AE$4)*(endDates&lt;=AE$5)))</f>
        <v>0</v>
      </c>
      <c r="AF43" s="246" cm="1">
        <f t="array" ref="AF43">SUM(_xlfn._xlws.FILTER(_xlfn._xlws.FILTER(dataGLPL,dataGLPLAcctIDs=$C43),(startDates&gt;=AF$4)*(endDates&lt;=AF$5)))</f>
        <v>0</v>
      </c>
      <c r="AG43" s="246" cm="1">
        <f t="array" ref="AG43">SUM(_xlfn._xlws.FILTER(_xlfn._xlws.FILTER(dataGLPL,dataGLPLAcctIDs=$C43),(startDates&gt;=AG$4)*(endDates&lt;=AG$5)))</f>
        <v>0</v>
      </c>
      <c r="AH43" s="246" cm="1">
        <f t="array" ref="AH43">SUM(_xlfn._xlws.FILTER(_xlfn._xlws.FILTER(dataGLPL,dataGLPLAcctIDs=$C43),(startDates&gt;=AH$4)*(endDates&lt;=AH$5)))</f>
        <v>0</v>
      </c>
      <c r="AI43" s="246" cm="1">
        <f t="array" ref="AI43">SUM(_xlfn._xlws.FILTER(_xlfn._xlws.FILTER(dataGLPL,dataGLPLAcctIDs=$C43),(startDates&gt;=AI$4)*(endDates&lt;=AI$5)))</f>
        <v>0</v>
      </c>
      <c r="AJ43" s="246" cm="1">
        <f t="array" ref="AJ43">SUM(_xlfn._xlws.FILTER(_xlfn._xlws.FILTER(dataGLPL,dataGLPLAcctIDs=$C43),(startDates&gt;=AJ$4)*(endDates&lt;=AJ$5)))</f>
        <v>0</v>
      </c>
      <c r="AK43" s="246" cm="1">
        <f t="array" ref="AK43">SUM(_xlfn._xlws.FILTER(_xlfn._xlws.FILTER(dataGLPL,dataGLPLAcctIDs=$C43),(startDates&gt;=AK$4)*(endDates&lt;=AK$5)))</f>
        <v>0</v>
      </c>
      <c r="AL43" s="246" cm="1">
        <f t="array" ref="AL43">SUM(_xlfn._xlws.FILTER(_xlfn._xlws.FILTER(dataGLPL,dataGLPLAcctIDs=$C43),(startDates&gt;=AL$4)*(endDates&lt;=AL$5)))</f>
        <v>0</v>
      </c>
      <c r="AM43" s="246" cm="1">
        <f t="array" ref="AM43">SUM(_xlfn._xlws.FILTER(_xlfn._xlws.FILTER(dataGLPL,dataGLPLAcctIDs=$C43),(startDates&gt;=AM$4)*(endDates&lt;=AM$5)))</f>
        <v>0</v>
      </c>
      <c r="AN43" s="246" cm="1">
        <f t="array" ref="AN43">SUM(_xlfn._xlws.FILTER(_xlfn._xlws.FILTER(dataGLPL,dataGLPLAcctIDs=$C43),(startDates&gt;=AN$4)*(endDates&lt;=AN$5)))</f>
        <v>1684</v>
      </c>
      <c r="AO43" s="246" cm="1">
        <f t="array" ref="AO43">SUM(_xlfn._xlws.FILTER(_xlfn._xlws.FILTER(dataGLPL,dataGLPLAcctIDs=$C43),(startDates&gt;=AO$4)*(endDates&lt;=AO$5)))</f>
        <v>3229</v>
      </c>
      <c r="AP43" s="246" cm="1">
        <f t="array" ref="AP43">SUM(_xlfn._xlws.FILTER(_xlfn._xlws.FILTER(dataGLPL,dataGLPLAcctIDs=$C43),(startDates&gt;=AP$4)*(endDates&lt;=AP$5)))</f>
        <v>1768</v>
      </c>
      <c r="AQ43" s="246" cm="1">
        <f t="array" ref="AQ43">SUM(_xlfn._xlws.FILTER(_xlfn._xlws.FILTER(dataGLPL,dataGLPLAcctIDs=$C43),(startDates&gt;=AQ$4)*(endDates&lt;=AQ$5)))</f>
        <v>3390</v>
      </c>
      <c r="AR43" s="246" cm="1">
        <f t="array" ref="AR43">SUM(_xlfn._xlws.FILTER(_xlfn._xlws.FILTER(dataGLPL,dataGLPLAcctIDs=$C43),(startDates&gt;=AR$4)*(endDates&lt;=AR$5)))</f>
        <v>1857</v>
      </c>
      <c r="AS43" s="246" cm="1">
        <f t="array" ref="AS43">SUM(_xlfn._xlws.FILTER(_xlfn._xlws.FILTER(dataGLPL,dataGLPLAcctIDs=$C43),(startDates&gt;=AS$4)*(endDates&lt;=AS$5)))</f>
        <v>3560</v>
      </c>
      <c r="AT43" s="246" cm="1">
        <f t="array" ref="AT43">SUM(_xlfn._xlws.FILTER(_xlfn._xlws.FILTER(dataGLPL,dataGLPLAcctIDs=$C43),(startDates&gt;=AT$4)*(endDates&lt;=AT$5)))</f>
        <v>1950</v>
      </c>
      <c r="AU43" s="246" cm="1">
        <f t="array" ref="AU43">SUM(_xlfn._xlws.FILTER(_xlfn._xlws.FILTER(dataGLPL,dataGLPLAcctIDs=$C43),(startDates&gt;=AU$4)*(endDates&lt;=AU$5)))</f>
        <v>3738</v>
      </c>
      <c r="AV43" s="246" cm="1">
        <f t="array" ref="AV43">SUM(_xlfn._xlws.FILTER(_xlfn._xlws.FILTER(dataGLPL,dataGLPLAcctIDs=$C43),(startDates&gt;=AV$4)*(endDates&lt;=AV$5)))</f>
        <v>3925</v>
      </c>
      <c r="AW43" s="246" cm="1">
        <f t="array" ref="AW43">SUM(_xlfn._xlws.FILTER(_xlfn._xlws.FILTER(dataGLPL,dataGLPLAcctIDs=$C43),(startDates&gt;=AW$4)*(endDates&lt;=AW$5)))</f>
        <v>3925</v>
      </c>
      <c r="AX43" s="246" cm="1">
        <f t="array" ref="AX43">SUM(_xlfn._xlws.FILTER(_xlfn._xlws.FILTER(dataGLPL,dataGLPLAcctIDs=$C43),(startDates&gt;=AX$4)*(endDates&lt;=AX$5)))</f>
        <v>4121</v>
      </c>
      <c r="AY43" s="246" cm="1">
        <f t="array" ref="AY43">SUM(_xlfn._xlws.FILTER(_xlfn._xlws.FILTER(dataGLPL,dataGLPLAcctIDs=$C43),(startDates&gt;=AY$4)*(endDates&lt;=AY$5)))</f>
        <v>4121</v>
      </c>
      <c r="AZ43" s="246" cm="1">
        <f t="array" ref="AZ43">SUM(_xlfn._xlws.FILTER(_xlfn._xlws.FILTER(dataGLPL,dataGLPLAcctIDs=$C43),(startDates&gt;=AZ$4)*(endDates&lt;=AZ$5)))</f>
        <v>4327</v>
      </c>
      <c r="BA43" s="246" cm="1">
        <f t="array" ref="BA43">SUM(_xlfn._xlws.FILTER(_xlfn._xlws.FILTER(dataGLPL,dataGLPLAcctIDs=$C43),(startDates&gt;=BA$4)*(endDates&lt;=BA$5)))</f>
        <v>4544</v>
      </c>
      <c r="BB43" s="246" cm="1">
        <f t="array" ref="BB43">SUM(_xlfn._xlws.FILTER(_xlfn._xlws.FILTER(dataGLPL,dataGLPLAcctIDs=$C43),(startDates&gt;=BB$4)*(endDates&lt;=BB$5)))</f>
        <v>4770.7</v>
      </c>
      <c r="BC43" s="246" cm="1">
        <f t="array" ref="BC43">SUM(_xlfn._xlws.FILTER(_xlfn._xlws.FILTER(dataGLPL,dataGLPLAcctIDs=$C43),(startDates&gt;=BC$4)*(endDates&lt;=BC$5)))</f>
        <v>5009</v>
      </c>
      <c r="BD43" s="246" cm="1">
        <f t="array" ref="BD43">SUM(_xlfn._xlws.FILTER(_xlfn._xlws.FILTER(dataGLPL,dataGLPLAcctIDs=$C43),(startDates&gt;=BD$4)*(endDates&lt;=BD$5)))</f>
        <v>5260</v>
      </c>
      <c r="BE43" s="246" cm="1">
        <f t="array" ref="BE43">SUM(_xlfn._xlws.FILTER(_xlfn._xlws.FILTER(dataGLPL,dataGLPLAcctIDs=$C43),(startDates&gt;=BE$4)*(endDates&lt;=BE$5)))</f>
        <v>5523</v>
      </c>
      <c r="BF43" s="246" cm="1">
        <f t="array" ref="BF43">SUM(_xlfn._xlws.FILTER(_xlfn._xlws.FILTER(dataGLPL,dataGLPLAcctIDs=$C43),(startDates&gt;=BF$4)*(endDates&lt;=BF$5)))</f>
        <v>5799</v>
      </c>
      <c r="BG43" s="246" cm="1">
        <f t="array" ref="BG43">SUM(_xlfn._xlws.FILTER(_xlfn._xlws.FILTER(dataGLPL,dataGLPLAcctIDs=$C43),(startDates&gt;=BG$4)*(endDates&lt;=BG$5)))</f>
        <v>6088.78</v>
      </c>
      <c r="BH43" s="246" cm="1">
        <f t="array" ref="BH43">SUM(_xlfn._xlws.FILTER(_xlfn._xlws.FILTER(dataGLPL,dataGLPLAcctIDs=$C43),(startDates&gt;=BH$4)*(endDates&lt;=BH$5)))</f>
        <v>6393.19</v>
      </c>
      <c r="BI43" s="246" cm="1">
        <f t="array" ref="BI43">SUM(_xlfn._xlws.FILTER(_xlfn._xlws.FILTER(dataGLPL,dataGLPLAcctIDs=$C43),(startDates&gt;=BI$4)*(endDates&lt;=BI$5)))</f>
        <v>6712.85</v>
      </c>
      <c r="BJ43" s="246" cm="1">
        <f t="array" ref="BJ43">SUM(_xlfn._xlws.FILTER(_xlfn._xlws.FILTER(dataGLPL,dataGLPLAcctIDs=$C43),(startDates&gt;=BJ$4)*(endDates&lt;=BJ$5)))</f>
        <v>7048.49</v>
      </c>
      <c r="BK43" s="246" cm="1">
        <f t="array" ref="BK43">SUM(_xlfn._xlws.FILTER(_xlfn._xlws.FILTER(dataGLPL,dataGLPLAcctIDs=$C43),(startDates&gt;=BK$4)*(endDates&lt;=BK$5)))</f>
        <v>7400.92</v>
      </c>
      <c r="BL43" s="246" cm="1">
        <f t="array" ref="BL43">SUM(_xlfn._xlws.FILTER(_xlfn._xlws.FILTER(dataGLPL,dataGLPLAcctIDs=$C43),(startDates&gt;=BL$4)*(endDates&lt;=BL$5)))</f>
        <v>7770.96</v>
      </c>
      <c r="BM43" s="246" cm="1">
        <f t="array" ref="BM43">SUM(_xlfn._xlws.FILTER(_xlfn._xlws.FILTER(dataGLPL,dataGLPLAcctIDs=$C43),(startDates&gt;=BM$4)*(endDates&lt;=BM$5)))</f>
        <v>3333.333333333333</v>
      </c>
      <c r="BN43" s="246" cm="1">
        <f t="array" ref="BN43">SUM(_xlfn._xlws.FILTER(_xlfn._xlws.FILTER(dataGLPL,dataGLPLAcctIDs=$C43),(startDates&gt;=BN$4)*(endDates&lt;=BN$5)))</f>
        <v>3333.333333333333</v>
      </c>
      <c r="BO43" s="246" cm="1">
        <f t="array" ref="BO43">SUM(_xlfn._xlws.FILTER(_xlfn._xlws.FILTER(dataGLPL,dataGLPLAcctIDs=$C43),(startDates&gt;=BO$4)*(endDates&lt;=BO$5)))</f>
        <v>3333.333333333333</v>
      </c>
      <c r="BP43" s="246" cm="1">
        <f t="array" ref="BP43">SUM(_xlfn._xlws.FILTER(_xlfn._xlws.FILTER(dataGLPL,dataGLPLAcctIDs=$C43),(startDates&gt;=BP$4)*(endDates&lt;=BP$5)))</f>
        <v>3333.333333333333</v>
      </c>
      <c r="BQ43" s="246" cm="1">
        <f t="array" ref="BQ43">SUM(_xlfn._xlws.FILTER(_xlfn._xlws.FILTER(dataGLPL,dataGLPLAcctIDs=$C43),(startDates&gt;=BQ$4)*(endDates&lt;=BQ$5)))</f>
        <v>4999.9999999999991</v>
      </c>
      <c r="BR43" s="246" cm="1">
        <f t="array" ref="BR43">SUM(_xlfn._xlws.FILTER(_xlfn._xlws.FILTER(dataGLPL,dataGLPLAcctIDs=$C43),(startDates&gt;=BR$4)*(endDates&lt;=BR$5)))</f>
        <v>4999.9999999999991</v>
      </c>
      <c r="BS43" s="246" cm="1">
        <f t="array" ref="BS43">SUM(_xlfn._xlws.FILTER(_xlfn._xlws.FILTER(dataGLPL,dataGLPLAcctIDs=$C43),(startDates&gt;=BS$4)*(endDates&lt;=BS$5)))</f>
        <v>5290.9090909090901</v>
      </c>
      <c r="BT43" s="246" cm="1">
        <f t="array" ref="BT43">SUM(_xlfn._xlws.FILTER(_xlfn._xlws.FILTER(dataGLPL,dataGLPLAcctIDs=$C43),(startDates&gt;=BT$4)*(endDates&lt;=BT$5)))</f>
        <v>5533.3333333333321</v>
      </c>
      <c r="BU43" s="246" cm="1">
        <f t="array" ref="BU43">SUM(_xlfn._xlws.FILTER(_xlfn._xlws.FILTER(dataGLPL,dataGLPLAcctIDs=$C43),(startDates&gt;=BU$4)*(endDates&lt;=BU$5)))</f>
        <v>5533.3333333333321</v>
      </c>
      <c r="BV43" s="246" cm="1">
        <f t="array" ref="BV43">SUM(_xlfn._xlws.FILTER(_xlfn._xlws.FILTER(dataGLPL,dataGLPLAcctIDs=$C43),(startDates&gt;=BV$4)*(endDates&lt;=BV$5)))</f>
        <v>5533.3333333333321</v>
      </c>
      <c r="BW43" s="246" cm="1">
        <f t="array" ref="BW43">SUM(_xlfn._xlws.FILTER(_xlfn._xlws.FILTER(dataGLPL,dataGLPLAcctIDs=$C43),(startDates&gt;=BW$4)*(endDates&lt;=BW$5)))</f>
        <v>5533.3333333333321</v>
      </c>
      <c r="BX43" s="246" cm="1">
        <f t="array" ref="BX43">SUM(_xlfn._xlws.FILTER(_xlfn._xlws.FILTER(dataGLPL,dataGLPLAcctIDs=$C43),(startDates&gt;=BX$4)*(endDates&lt;=BX$5)))</f>
        <v>5533.3333333333321</v>
      </c>
      <c r="BY43" s="246" cm="1">
        <f t="array" ref="BY43">SUM(_xlfn._xlws.FILTER(_xlfn._xlws.FILTER(dataGLPL,dataGLPLAcctIDs=$C43),(startDates&gt;=BY$4)*(endDates&lt;=BY$5)))</f>
        <v>5533.3333333333321</v>
      </c>
    </row>
    <row r="44" spans="1:77" s="201" customFormat="1" ht="21" customHeight="1">
      <c r="A44" s="215"/>
      <c r="B44" s="218" t="s">
        <v>256</v>
      </c>
      <c r="C44" s="343">
        <v>180</v>
      </c>
      <c r="D44" s="215"/>
      <c r="E44" s="216"/>
      <c r="F44" s="246" cm="1">
        <f t="array" ref="F44">SUM(_xlfn._xlws.FILTER(_xlfn._xlws.FILTER(dataGLPL,dataGLPLAcctIDs=$C44),(startDates&gt;=F$4)*(endDates&lt;=F$5)))</f>
        <v>14140</v>
      </c>
      <c r="G44" s="246" cm="1">
        <f t="array" ref="G44">SUM(_xlfn._xlws.FILTER(_xlfn._xlws.FILTER(dataGLPL,dataGLPLAcctIDs=$C44),(startDates&gt;=G$4)*(endDates&lt;=G$5)))</f>
        <v>19904</v>
      </c>
      <c r="H44" s="246" cm="1">
        <f t="array" ref="H44">SUM(_xlfn._xlws.FILTER(_xlfn._xlws.FILTER(dataGLPL,dataGLPLAcctIDs=$C44),(startDates&gt;=H$4)*(endDates&lt;=H$5)))</f>
        <v>34308.286666666667</v>
      </c>
      <c r="I44" s="246" cm="1">
        <f t="array" ref="I44">SUM(_xlfn._xlws.FILTER(_xlfn._xlws.FILTER(dataGLPL,dataGLPLAcctIDs=$C44),(startDates&gt;=I$4)*(endDates&lt;=I$5)))</f>
        <v>73113.636363636368</v>
      </c>
      <c r="J44" s="344"/>
      <c r="K44" s="344"/>
      <c r="L44" s="246" cm="1">
        <f t="array" ref="L44">SUM(_xlfn._xlws.FILTER(_xlfn._xlws.FILTER(dataGLPL,dataGLPLAcctIDs=$C44),(startDates&gt;=L$4)*(endDates&lt;=L$5)))</f>
        <v>3444</v>
      </c>
      <c r="M44" s="246" cm="1">
        <f t="array" ref="M44">SUM(_xlfn._xlws.FILTER(_xlfn._xlws.FILTER(dataGLPL,dataGLPLAcctIDs=$C44),(startDates&gt;=M$4)*(endDates&lt;=M$5)))</f>
        <v>3444</v>
      </c>
      <c r="N44" s="246" cm="1">
        <f t="array" ref="N44">SUM(_xlfn._xlws.FILTER(_xlfn._xlws.FILTER(dataGLPL,dataGLPLAcctIDs=$C44),(startDates&gt;=N$4)*(endDates&lt;=N$5)))</f>
        <v>3444</v>
      </c>
      <c r="O44" s="246" cm="1">
        <f t="array" ref="O44">SUM(_xlfn._xlws.FILTER(_xlfn._xlws.FILTER(dataGLPL,dataGLPLAcctIDs=$C44),(startDates&gt;=O$4)*(endDates&lt;=O$5)))</f>
        <v>3808</v>
      </c>
      <c r="P44" s="246" cm="1">
        <f t="array" ref="P44">SUM(_xlfn._xlws.FILTER(_xlfn._xlws.FILTER(dataGLPL,dataGLPLAcctIDs=$C44),(startDates&gt;=P$4)*(endDates&lt;=P$5)))</f>
        <v>4142</v>
      </c>
      <c r="Q44" s="246" cm="1">
        <f t="array" ref="Q44">SUM(_xlfn._xlws.FILTER(_xlfn._xlws.FILTER(dataGLPL,dataGLPLAcctIDs=$C44),(startDates&gt;=Q$4)*(endDates&lt;=Q$5)))</f>
        <v>4661</v>
      </c>
      <c r="R44" s="246" cm="1">
        <f t="array" ref="R44">SUM(_xlfn._xlws.FILTER(_xlfn._xlws.FILTER(dataGLPL,dataGLPLAcctIDs=$C44),(startDates&gt;=R$4)*(endDates&lt;=R$5)))</f>
        <v>5323</v>
      </c>
      <c r="S44" s="246" cm="1">
        <f t="array" ref="S44">SUM(_xlfn._xlws.FILTER(_xlfn._xlws.FILTER(dataGLPL,dataGLPLAcctIDs=$C44),(startDates&gt;=S$4)*(endDates&lt;=S$5)))</f>
        <v>5778</v>
      </c>
      <c r="T44" s="246" cm="1">
        <f t="array" ref="T44">SUM(_xlfn._xlws.FILTER(_xlfn._xlws.FILTER(dataGLPL,dataGLPLAcctIDs=$C44),(startDates&gt;=T$4)*(endDates&lt;=T$5)))</f>
        <v>6688.6100000000006</v>
      </c>
      <c r="U44" s="246" cm="1">
        <f t="array" ref="U44">SUM(_xlfn._xlws.FILTER(_xlfn._xlws.FILTER(dataGLPL,dataGLPLAcctIDs=$C44),(startDates&gt;=U$4)*(endDates&lt;=U$5)))</f>
        <v>7742.7800000000007</v>
      </c>
      <c r="V44" s="246" cm="1">
        <f t="array" ref="V44">SUM(_xlfn._xlws.FILTER(_xlfn._xlws.FILTER(dataGLPL,dataGLPLAcctIDs=$C44),(startDates&gt;=V$4)*(endDates&lt;=V$5)))</f>
        <v>8963.0499999999993</v>
      </c>
      <c r="W44" s="246" cm="1">
        <f t="array" ref="W44">SUM(_xlfn._xlws.FILTER(_xlfn._xlws.FILTER(dataGLPL,dataGLPLAcctIDs=$C44),(startDates&gt;=W$4)*(endDates&lt;=W$5)))</f>
        <v>10913.846666666668</v>
      </c>
      <c r="X44" s="246" cm="1">
        <f t="array" ref="X44">SUM(_xlfn._xlws.FILTER(_xlfn._xlws.FILTER(dataGLPL,dataGLPLAcctIDs=$C44),(startDates&gt;=X$4)*(endDates&lt;=X$5)))</f>
        <v>12500</v>
      </c>
      <c r="Y44" s="246" cm="1">
        <f t="array" ref="Y44">SUM(_xlfn._xlws.FILTER(_xlfn._xlws.FILTER(dataGLPL,dataGLPLAcctIDs=$C44),(startDates&gt;=Y$4)*(endDates&lt;=Y$5)))</f>
        <v>19113.636363636364</v>
      </c>
      <c r="Z44" s="246" cm="1">
        <f t="array" ref="Z44">SUM(_xlfn._xlws.FILTER(_xlfn._xlws.FILTER(dataGLPL,dataGLPLAcctIDs=$C44),(startDates&gt;=Z$4)*(endDates&lt;=Z$5)))</f>
        <v>20750</v>
      </c>
      <c r="AA44" s="246" cm="1">
        <f t="array" ref="AA44">SUM(_xlfn._xlws.FILTER(_xlfn._xlws.FILTER(dataGLPL,dataGLPLAcctIDs=$C44),(startDates&gt;=AA$4)*(endDates&lt;=AA$5)))</f>
        <v>20750</v>
      </c>
      <c r="AB44" s="215"/>
      <c r="AC44" s="344"/>
      <c r="AD44" s="246" cm="1">
        <f t="array" ref="AD44">SUM(_xlfn._xlws.FILTER(_xlfn._xlws.FILTER(dataGLPL,dataGLPLAcctIDs=$C44),(startDates&gt;=AD$4)*(endDates&lt;=AD$5)))</f>
        <v>1148</v>
      </c>
      <c r="AE44" s="246" cm="1">
        <f t="array" ref="AE44">SUM(_xlfn._xlws.FILTER(_xlfn._xlws.FILTER(dataGLPL,dataGLPLAcctIDs=$C44),(startDates&gt;=AE$4)*(endDates&lt;=AE$5)))</f>
        <v>1148</v>
      </c>
      <c r="AF44" s="246" cm="1">
        <f t="array" ref="AF44">SUM(_xlfn._xlws.FILTER(_xlfn._xlws.FILTER(dataGLPL,dataGLPLAcctIDs=$C44),(startDates&gt;=AF$4)*(endDates&lt;=AF$5)))</f>
        <v>1148</v>
      </c>
      <c r="AG44" s="246" cm="1">
        <f t="array" ref="AG44">SUM(_xlfn._xlws.FILTER(_xlfn._xlws.FILTER(dataGLPL,dataGLPLAcctIDs=$C44),(startDates&gt;=AG$4)*(endDates&lt;=AG$5)))</f>
        <v>1148</v>
      </c>
      <c r="AH44" s="246" cm="1">
        <f t="array" ref="AH44">SUM(_xlfn._xlws.FILTER(_xlfn._xlws.FILTER(dataGLPL,dataGLPLAcctIDs=$C44),(startDates&gt;=AH$4)*(endDates&lt;=AH$5)))</f>
        <v>1148</v>
      </c>
      <c r="AI44" s="246" cm="1">
        <f t="array" ref="AI44">SUM(_xlfn._xlws.FILTER(_xlfn._xlws.FILTER(dataGLPL,dataGLPLAcctIDs=$C44),(startDates&gt;=AI$4)*(endDates&lt;=AI$5)))</f>
        <v>1148</v>
      </c>
      <c r="AJ44" s="246" cm="1">
        <f t="array" ref="AJ44">SUM(_xlfn._xlws.FILTER(_xlfn._xlws.FILTER(dataGLPL,dataGLPLAcctIDs=$C44),(startDates&gt;=AJ$4)*(endDates&lt;=AJ$5)))</f>
        <v>1148</v>
      </c>
      <c r="AK44" s="246" cm="1">
        <f t="array" ref="AK44">SUM(_xlfn._xlws.FILTER(_xlfn._xlws.FILTER(dataGLPL,dataGLPLAcctIDs=$C44),(startDates&gt;=AK$4)*(endDates&lt;=AK$5)))</f>
        <v>1148</v>
      </c>
      <c r="AL44" s="246" cm="1">
        <f t="array" ref="AL44">SUM(_xlfn._xlws.FILTER(_xlfn._xlws.FILTER(dataGLPL,dataGLPLAcctIDs=$C44),(startDates&gt;=AL$4)*(endDates&lt;=AL$5)))</f>
        <v>1148</v>
      </c>
      <c r="AM44" s="246" cm="1">
        <f t="array" ref="AM44">SUM(_xlfn._xlws.FILTER(_xlfn._xlws.FILTER(dataGLPL,dataGLPLAcctIDs=$C44),(startDates&gt;=AM$4)*(endDates&lt;=AM$5)))</f>
        <v>1148</v>
      </c>
      <c r="AN44" s="246" cm="1">
        <f t="array" ref="AN44">SUM(_xlfn._xlws.FILTER(_xlfn._xlws.FILTER(dataGLPL,dataGLPLAcctIDs=$C44),(startDates&gt;=AN$4)*(endDates&lt;=AN$5)))</f>
        <v>1224</v>
      </c>
      <c r="AO44" s="246" cm="1">
        <f t="array" ref="AO44">SUM(_xlfn._xlws.FILTER(_xlfn._xlws.FILTER(dataGLPL,dataGLPLAcctIDs=$C44),(startDates&gt;=AO$4)*(endDates&lt;=AO$5)))</f>
        <v>1436</v>
      </c>
      <c r="AP44" s="246" cm="1">
        <f t="array" ref="AP44">SUM(_xlfn._xlws.FILTER(_xlfn._xlws.FILTER(dataGLPL,dataGLPLAcctIDs=$C44),(startDates&gt;=AP$4)*(endDates&lt;=AP$5)))</f>
        <v>1285</v>
      </c>
      <c r="AQ44" s="246" cm="1">
        <f t="array" ref="AQ44">SUM(_xlfn._xlws.FILTER(_xlfn._xlws.FILTER(dataGLPL,dataGLPLAcctIDs=$C44),(startDates&gt;=AQ$4)*(endDates&lt;=AQ$5)))</f>
        <v>1508</v>
      </c>
      <c r="AR44" s="246" cm="1">
        <f t="array" ref="AR44">SUM(_xlfn._xlws.FILTER(_xlfn._xlws.FILTER(dataGLPL,dataGLPLAcctIDs=$C44),(startDates&gt;=AR$4)*(endDates&lt;=AR$5)))</f>
        <v>1349</v>
      </c>
      <c r="AS44" s="246" cm="1">
        <f t="array" ref="AS44">SUM(_xlfn._xlws.FILTER(_xlfn._xlws.FILTER(dataGLPL,dataGLPLAcctIDs=$C44),(startDates&gt;=AS$4)*(endDates&lt;=AS$5)))</f>
        <v>1583</v>
      </c>
      <c r="AT44" s="246" cm="1">
        <f t="array" ref="AT44">SUM(_xlfn._xlws.FILTER(_xlfn._xlws.FILTER(dataGLPL,dataGLPLAcctIDs=$C44),(startDates&gt;=AT$4)*(endDates&lt;=AT$5)))</f>
        <v>1416</v>
      </c>
      <c r="AU44" s="246" cm="1">
        <f t="array" ref="AU44">SUM(_xlfn._xlws.FILTER(_xlfn._xlws.FILTER(dataGLPL,dataGLPLAcctIDs=$C44),(startDates&gt;=AU$4)*(endDates&lt;=AU$5)))</f>
        <v>1662</v>
      </c>
      <c r="AV44" s="246" cm="1">
        <f t="array" ref="AV44">SUM(_xlfn._xlws.FILTER(_xlfn._xlws.FILTER(dataGLPL,dataGLPLAcctIDs=$C44),(startDates&gt;=AV$4)*(endDates&lt;=AV$5)))</f>
        <v>1745</v>
      </c>
      <c r="AW44" s="246" cm="1">
        <f t="array" ref="AW44">SUM(_xlfn._xlws.FILTER(_xlfn._xlws.FILTER(dataGLPL,dataGLPLAcctIDs=$C44),(startDates&gt;=AW$4)*(endDates&lt;=AW$5)))</f>
        <v>1745</v>
      </c>
      <c r="AX44" s="246" cm="1">
        <f t="array" ref="AX44">SUM(_xlfn._xlws.FILTER(_xlfn._xlws.FILTER(dataGLPL,dataGLPLAcctIDs=$C44),(startDates&gt;=AX$4)*(endDates&lt;=AX$5)))</f>
        <v>1833</v>
      </c>
      <c r="AY44" s="246" cm="1">
        <f t="array" ref="AY44">SUM(_xlfn._xlws.FILTER(_xlfn._xlws.FILTER(dataGLPL,dataGLPLAcctIDs=$C44),(startDates&gt;=AY$4)*(endDates&lt;=AY$5)))</f>
        <v>1833</v>
      </c>
      <c r="AZ44" s="246" cm="1">
        <f t="array" ref="AZ44">SUM(_xlfn._xlws.FILTER(_xlfn._xlws.FILTER(dataGLPL,dataGLPLAcctIDs=$C44),(startDates&gt;=AZ$4)*(endDates&lt;=AZ$5)))</f>
        <v>1924</v>
      </c>
      <c r="BA44" s="246" cm="1">
        <f t="array" ref="BA44">SUM(_xlfn._xlws.FILTER(_xlfn._xlws.FILTER(dataGLPL,dataGLPLAcctIDs=$C44),(startDates&gt;=BA$4)*(endDates&lt;=BA$5)))</f>
        <v>2021</v>
      </c>
      <c r="BB44" s="246" cm="1">
        <f t="array" ref="BB44">SUM(_xlfn._xlws.FILTER(_xlfn._xlws.FILTER(dataGLPL,dataGLPLAcctIDs=$C44),(startDates&gt;=BB$4)*(endDates&lt;=BB$5)))</f>
        <v>2121.61</v>
      </c>
      <c r="BC44" s="246" cm="1">
        <f t="array" ref="BC44">SUM(_xlfn._xlws.FILTER(_xlfn._xlws.FILTER(dataGLPL,dataGLPLAcctIDs=$C44),(startDates&gt;=BC$4)*(endDates&lt;=BC$5)))</f>
        <v>2228</v>
      </c>
      <c r="BD44" s="246" cm="1">
        <f t="array" ref="BD44">SUM(_xlfn._xlws.FILTER(_xlfn._xlws.FILTER(dataGLPL,dataGLPLAcctIDs=$C44),(startDates&gt;=BD$4)*(endDates&lt;=BD$5)))</f>
        <v>2339</v>
      </c>
      <c r="BE44" s="246" cm="1">
        <f t="array" ref="BE44">SUM(_xlfn._xlws.FILTER(_xlfn._xlws.FILTER(dataGLPL,dataGLPLAcctIDs=$C44),(startDates&gt;=BE$4)*(endDates&lt;=BE$5)))</f>
        <v>2456</v>
      </c>
      <c r="BF44" s="246" cm="1">
        <f t="array" ref="BF44">SUM(_xlfn._xlws.FILTER(_xlfn._xlws.FILTER(dataGLPL,dataGLPLAcctIDs=$C44),(startDates&gt;=BF$4)*(endDates&lt;=BF$5)))</f>
        <v>2579</v>
      </c>
      <c r="BG44" s="246" cm="1">
        <f t="array" ref="BG44">SUM(_xlfn._xlws.FILTER(_xlfn._xlws.FILTER(dataGLPL,dataGLPLAcctIDs=$C44),(startDates&gt;=BG$4)*(endDates&lt;=BG$5)))</f>
        <v>2707.78</v>
      </c>
      <c r="BH44" s="246" cm="1">
        <f t="array" ref="BH44">SUM(_xlfn._xlws.FILTER(_xlfn._xlws.FILTER(dataGLPL,dataGLPLAcctIDs=$C44),(startDates&gt;=BH$4)*(endDates&lt;=BH$5)))</f>
        <v>2843.16</v>
      </c>
      <c r="BI44" s="246" cm="1">
        <f t="array" ref="BI44">SUM(_xlfn._xlws.FILTER(_xlfn._xlws.FILTER(dataGLPL,dataGLPLAcctIDs=$C44),(startDates&gt;=BI$4)*(endDates&lt;=BI$5)))</f>
        <v>2985.31</v>
      </c>
      <c r="BJ44" s="246" cm="1">
        <f t="array" ref="BJ44">SUM(_xlfn._xlws.FILTER(_xlfn._xlws.FILTER(dataGLPL,dataGLPLAcctIDs=$C44),(startDates&gt;=BJ$4)*(endDates&lt;=BJ$5)))</f>
        <v>3134.58</v>
      </c>
      <c r="BK44" s="246" cm="1">
        <f t="array" ref="BK44">SUM(_xlfn._xlws.FILTER(_xlfn._xlws.FILTER(dataGLPL,dataGLPLAcctIDs=$C44),(startDates&gt;=BK$4)*(endDates&lt;=BK$5)))</f>
        <v>3291.31</v>
      </c>
      <c r="BL44" s="246" cm="1">
        <f t="array" ref="BL44">SUM(_xlfn._xlws.FILTER(_xlfn._xlws.FILTER(dataGLPL,dataGLPLAcctIDs=$C44),(startDates&gt;=BL$4)*(endDates&lt;=BL$5)))</f>
        <v>3455.87</v>
      </c>
      <c r="BM44" s="246" cm="1">
        <f t="array" ref="BM44">SUM(_xlfn._xlws.FILTER(_xlfn._xlws.FILTER(dataGLPL,dataGLPLAcctIDs=$C44),(startDates&gt;=BM$4)*(endDates&lt;=BM$5)))</f>
        <v>4166.666666666667</v>
      </c>
      <c r="BN44" s="246" cm="1">
        <f t="array" ref="BN44">SUM(_xlfn._xlws.FILTER(_xlfn._xlws.FILTER(dataGLPL,dataGLPLAcctIDs=$C44),(startDates&gt;=BN$4)*(endDates&lt;=BN$5)))</f>
        <v>4166.666666666667</v>
      </c>
      <c r="BO44" s="246" cm="1">
        <f t="array" ref="BO44">SUM(_xlfn._xlws.FILTER(_xlfn._xlws.FILTER(dataGLPL,dataGLPLAcctIDs=$C44),(startDates&gt;=BO$4)*(endDates&lt;=BO$5)))</f>
        <v>4166.666666666667</v>
      </c>
      <c r="BP44" s="246" cm="1">
        <f t="array" ref="BP44">SUM(_xlfn._xlws.FILTER(_xlfn._xlws.FILTER(dataGLPL,dataGLPLAcctIDs=$C44),(startDates&gt;=BP$4)*(endDates&lt;=BP$5)))</f>
        <v>4166.666666666667</v>
      </c>
      <c r="BQ44" s="246" cm="1">
        <f t="array" ref="BQ44">SUM(_xlfn._xlws.FILTER(_xlfn._xlws.FILTER(dataGLPL,dataGLPLAcctIDs=$C44),(startDates&gt;=BQ$4)*(endDates&lt;=BQ$5)))</f>
        <v>6250</v>
      </c>
      <c r="BR44" s="246" cm="1">
        <f t="array" ref="BR44">SUM(_xlfn._xlws.FILTER(_xlfn._xlws.FILTER(dataGLPL,dataGLPLAcctIDs=$C44),(startDates&gt;=BR$4)*(endDates&lt;=BR$5)))</f>
        <v>6250</v>
      </c>
      <c r="BS44" s="246" cm="1">
        <f t="array" ref="BS44">SUM(_xlfn._xlws.FILTER(_xlfn._xlws.FILTER(dataGLPL,dataGLPLAcctIDs=$C44),(startDates&gt;=BS$4)*(endDates&lt;=BS$5)))</f>
        <v>6613.6363636363631</v>
      </c>
      <c r="BT44" s="246" cm="1">
        <f t="array" ref="BT44">SUM(_xlfn._xlws.FILTER(_xlfn._xlws.FILTER(dataGLPL,dataGLPLAcctIDs=$C44),(startDates&gt;=BT$4)*(endDates&lt;=BT$5)))</f>
        <v>6916.6666666666661</v>
      </c>
      <c r="BU44" s="246" cm="1">
        <f t="array" ref="BU44">SUM(_xlfn._xlws.FILTER(_xlfn._xlws.FILTER(dataGLPL,dataGLPLAcctIDs=$C44),(startDates&gt;=BU$4)*(endDates&lt;=BU$5)))</f>
        <v>6916.6666666666661</v>
      </c>
      <c r="BV44" s="246" cm="1">
        <f t="array" ref="BV44">SUM(_xlfn._xlws.FILTER(_xlfn._xlws.FILTER(dataGLPL,dataGLPLAcctIDs=$C44),(startDates&gt;=BV$4)*(endDates&lt;=BV$5)))</f>
        <v>6916.6666666666661</v>
      </c>
      <c r="BW44" s="246" cm="1">
        <f t="array" ref="BW44">SUM(_xlfn._xlws.FILTER(_xlfn._xlws.FILTER(dataGLPL,dataGLPLAcctIDs=$C44),(startDates&gt;=BW$4)*(endDates&lt;=BW$5)))</f>
        <v>6916.6666666666661</v>
      </c>
      <c r="BX44" s="246" cm="1">
        <f t="array" ref="BX44">SUM(_xlfn._xlws.FILTER(_xlfn._xlws.FILTER(dataGLPL,dataGLPLAcctIDs=$C44),(startDates&gt;=BX$4)*(endDates&lt;=BX$5)))</f>
        <v>6916.6666666666661</v>
      </c>
      <c r="BY44" s="246" cm="1">
        <f t="array" ref="BY44">SUM(_xlfn._xlws.FILTER(_xlfn._xlws.FILTER(dataGLPL,dataGLPLAcctIDs=$C44),(startDates&gt;=BY$4)*(endDates&lt;=BY$5)))</f>
        <v>6916.6666666666661</v>
      </c>
    </row>
    <row r="45" spans="1:77" s="201" customFormat="1" ht="21" customHeight="1">
      <c r="A45" s="215"/>
      <c r="B45" s="218" t="s">
        <v>257</v>
      </c>
      <c r="C45" s="343">
        <v>181</v>
      </c>
      <c r="D45" s="215"/>
      <c r="E45" s="216"/>
      <c r="F45" s="246" cm="1">
        <f t="array" ref="F45">SUM(_xlfn._xlws.FILTER(_xlfn._xlws.FILTER(dataGLPL,dataGLPLAcctIDs=$C45),(startDates&gt;=F$4)*(endDates&lt;=F$5)))</f>
        <v>727.5</v>
      </c>
      <c r="G45" s="246" cm="1">
        <f t="array" ref="G45">SUM(_xlfn._xlws.FILTER(_xlfn._xlws.FILTER(dataGLPL,dataGLPLAcctIDs=$C45),(startDates&gt;=G$4)*(endDates&lt;=G$5)))</f>
        <v>1280.68</v>
      </c>
      <c r="H45" s="246" cm="1">
        <f t="array" ref="H45">SUM(_xlfn._xlws.FILTER(_xlfn._xlws.FILTER(dataGLPL,dataGLPLAcctIDs=$C45),(startDates&gt;=H$4)*(endDates&lt;=H$5)))</f>
        <v>2175.9866666666667</v>
      </c>
      <c r="I45" s="246" cm="1">
        <f t="array" ref="I45">SUM(_xlfn._xlws.FILTER(_xlfn._xlws.FILTER(dataGLPL,dataGLPLAcctIDs=$C45),(startDates&gt;=I$4)*(endDates&lt;=I$5)))</f>
        <v>1827.8409090909086</v>
      </c>
      <c r="J45" s="344"/>
      <c r="K45" s="344"/>
      <c r="L45" s="246" cm="1">
        <f t="array" ref="L45">SUM(_xlfn._xlws.FILTER(_xlfn._xlws.FILTER(dataGLPL,dataGLPLAcctIDs=$C45),(startDates&gt;=L$4)*(endDates&lt;=L$5)))</f>
        <v>171</v>
      </c>
      <c r="M45" s="246" cm="1">
        <f t="array" ref="M45">SUM(_xlfn._xlws.FILTER(_xlfn._xlws.FILTER(dataGLPL,dataGLPLAcctIDs=$C45),(startDates&gt;=M$4)*(endDates&lt;=M$5)))</f>
        <v>171.5</v>
      </c>
      <c r="N45" s="246" cm="1">
        <f t="array" ref="N45">SUM(_xlfn._xlws.FILTER(_xlfn._xlws.FILTER(dataGLPL,dataGLPLAcctIDs=$C45),(startDates&gt;=N$4)*(endDates&lt;=N$5)))</f>
        <v>171</v>
      </c>
      <c r="O45" s="246" cm="1">
        <f t="array" ref="O45">SUM(_xlfn._xlws.FILTER(_xlfn._xlws.FILTER(dataGLPL,dataGLPLAcctIDs=$C45),(startDates&gt;=O$4)*(endDates&lt;=O$5)))</f>
        <v>214</v>
      </c>
      <c r="P45" s="246" cm="1">
        <f t="array" ref="P45">SUM(_xlfn._xlws.FILTER(_xlfn._xlws.FILTER(dataGLPL,dataGLPLAcctIDs=$C45),(startDates&gt;=P$4)*(endDates&lt;=P$5)))</f>
        <v>227</v>
      </c>
      <c r="Q45" s="246" cm="1">
        <f t="array" ref="Q45">SUM(_xlfn._xlws.FILTER(_xlfn._xlws.FILTER(dataGLPL,dataGLPLAcctIDs=$C45),(startDates&gt;=Q$4)*(endDates&lt;=Q$5)))</f>
        <v>290</v>
      </c>
      <c r="R45" s="246" cm="1">
        <f t="array" ref="R45">SUM(_xlfn._xlws.FILTER(_xlfn._xlws.FILTER(dataGLPL,dataGLPLAcctIDs=$C45),(startDates&gt;=R$4)*(endDates&lt;=R$5)))</f>
        <v>366</v>
      </c>
      <c r="S45" s="246" cm="1">
        <f t="array" ref="S45">SUM(_xlfn._xlws.FILTER(_xlfn._xlws.FILTER(dataGLPL,dataGLPLAcctIDs=$C45),(startDates&gt;=S$4)*(endDates&lt;=S$5)))</f>
        <v>397.68</v>
      </c>
      <c r="T45" s="246" cm="1">
        <f t="array" ref="T45">SUM(_xlfn._xlws.FILTER(_xlfn._xlws.FILTER(dataGLPL,dataGLPLAcctIDs=$C45),(startDates&gt;=T$4)*(endDates&lt;=T$5)))</f>
        <v>459.83000000000004</v>
      </c>
      <c r="U45" s="246" cm="1">
        <f t="array" ref="U45">SUM(_xlfn._xlws.FILTER(_xlfn._xlws.FILTER(dataGLPL,dataGLPLAcctIDs=$C45),(startDates&gt;=U$4)*(endDates&lt;=U$5)))</f>
        <v>532.13</v>
      </c>
      <c r="V45" s="246" cm="1">
        <f t="array" ref="V45">SUM(_xlfn._xlws.FILTER(_xlfn._xlws.FILTER(dataGLPL,dataGLPLAcctIDs=$C45),(startDates&gt;=V$4)*(endDates&lt;=V$5)))</f>
        <v>616.09</v>
      </c>
      <c r="W45" s="246" cm="1">
        <f t="array" ref="W45">SUM(_xlfn._xlws.FILTER(_xlfn._xlws.FILTER(dataGLPL,dataGLPLAcctIDs=$C45),(startDates&gt;=W$4)*(endDates&lt;=W$5)))</f>
        <v>567.93666666666661</v>
      </c>
      <c r="X45" s="246" cm="1">
        <f t="array" ref="X45">SUM(_xlfn._xlws.FILTER(_xlfn._xlws.FILTER(dataGLPL,dataGLPLAcctIDs=$C45),(startDates&gt;=X$4)*(endDates&lt;=X$5)))</f>
        <v>312.5</v>
      </c>
      <c r="Y45" s="246" cm="1">
        <f t="array" ref="Y45">SUM(_xlfn._xlws.FILTER(_xlfn._xlws.FILTER(dataGLPL,dataGLPLAcctIDs=$C45),(startDates&gt;=Y$4)*(endDates&lt;=Y$5)))</f>
        <v>477.84090909090901</v>
      </c>
      <c r="Z45" s="246" cm="1">
        <f t="array" ref="Z45">SUM(_xlfn._xlws.FILTER(_xlfn._xlws.FILTER(dataGLPL,dataGLPLAcctIDs=$C45),(startDates&gt;=Z$4)*(endDates&lt;=Z$5)))</f>
        <v>518.74999999999989</v>
      </c>
      <c r="AA45" s="246" cm="1">
        <f t="array" ref="AA45">SUM(_xlfn._xlws.FILTER(_xlfn._xlws.FILTER(dataGLPL,dataGLPLAcctIDs=$C45),(startDates&gt;=AA$4)*(endDates&lt;=AA$5)))</f>
        <v>518.74999999999989</v>
      </c>
      <c r="AB45" s="215"/>
      <c r="AC45" s="344"/>
      <c r="AD45" s="246" cm="1">
        <f t="array" ref="AD45">SUM(_xlfn._xlws.FILTER(_xlfn._xlws.FILTER(dataGLPL,dataGLPLAcctIDs=$C45),(startDates&gt;=AD$4)*(endDates&lt;=AD$5)))</f>
        <v>57</v>
      </c>
      <c r="AE45" s="246" cm="1">
        <f t="array" ref="AE45">SUM(_xlfn._xlws.FILTER(_xlfn._xlws.FILTER(dataGLPL,dataGLPLAcctIDs=$C45),(startDates&gt;=AE$4)*(endDates&lt;=AE$5)))</f>
        <v>57</v>
      </c>
      <c r="AF45" s="246" cm="1">
        <f t="array" ref="AF45">SUM(_xlfn._xlws.FILTER(_xlfn._xlws.FILTER(dataGLPL,dataGLPLAcctIDs=$C45),(startDates&gt;=AF$4)*(endDates&lt;=AF$5)))</f>
        <v>57</v>
      </c>
      <c r="AG45" s="246" cm="1">
        <f t="array" ref="AG45">SUM(_xlfn._xlws.FILTER(_xlfn._xlws.FILTER(dataGLPL,dataGLPLAcctIDs=$C45),(startDates&gt;=AG$4)*(endDates&lt;=AG$5)))</f>
        <v>57.5</v>
      </c>
      <c r="AH45" s="246" cm="1">
        <f t="array" ref="AH45">SUM(_xlfn._xlws.FILTER(_xlfn._xlws.FILTER(dataGLPL,dataGLPLAcctIDs=$C45),(startDates&gt;=AH$4)*(endDates&lt;=AH$5)))</f>
        <v>57</v>
      </c>
      <c r="AI45" s="246" cm="1">
        <f t="array" ref="AI45">SUM(_xlfn._xlws.FILTER(_xlfn._xlws.FILTER(dataGLPL,dataGLPLAcctIDs=$C45),(startDates&gt;=AI$4)*(endDates&lt;=AI$5)))</f>
        <v>57</v>
      </c>
      <c r="AJ45" s="246" cm="1">
        <f t="array" ref="AJ45">SUM(_xlfn._xlws.FILTER(_xlfn._xlws.FILTER(dataGLPL,dataGLPLAcctIDs=$C45),(startDates&gt;=AJ$4)*(endDates&lt;=AJ$5)))</f>
        <v>57</v>
      </c>
      <c r="AK45" s="246" cm="1">
        <f t="array" ref="AK45">SUM(_xlfn._xlws.FILTER(_xlfn._xlws.FILTER(dataGLPL,dataGLPLAcctIDs=$C45),(startDates&gt;=AK$4)*(endDates&lt;=AK$5)))</f>
        <v>57</v>
      </c>
      <c r="AL45" s="246" cm="1">
        <f t="array" ref="AL45">SUM(_xlfn._xlws.FILTER(_xlfn._xlws.FILTER(dataGLPL,dataGLPLAcctIDs=$C45),(startDates&gt;=AL$4)*(endDates&lt;=AL$5)))</f>
        <v>57</v>
      </c>
      <c r="AM45" s="246" cm="1">
        <f t="array" ref="AM45">SUM(_xlfn._xlws.FILTER(_xlfn._xlws.FILTER(dataGLPL,dataGLPLAcctIDs=$C45),(startDates&gt;=AM$4)*(endDates&lt;=AM$5)))</f>
        <v>57</v>
      </c>
      <c r="AN45" s="246" cm="1">
        <f t="array" ref="AN45">SUM(_xlfn._xlws.FILTER(_xlfn._xlws.FILTER(dataGLPL,dataGLPLAcctIDs=$C45),(startDates&gt;=AN$4)*(endDates&lt;=AN$5)))</f>
        <v>58</v>
      </c>
      <c r="AO45" s="246" cm="1">
        <f t="array" ref="AO45">SUM(_xlfn._xlws.FILTER(_xlfn._xlws.FILTER(dataGLPL,dataGLPLAcctIDs=$C45),(startDates&gt;=AO$4)*(endDates&lt;=AO$5)))</f>
        <v>99</v>
      </c>
      <c r="AP45" s="246" cm="1">
        <f t="array" ref="AP45">SUM(_xlfn._xlws.FILTER(_xlfn._xlws.FILTER(dataGLPL,dataGLPLAcctIDs=$C45),(startDates&gt;=AP$4)*(endDates&lt;=AP$5)))</f>
        <v>60</v>
      </c>
      <c r="AQ45" s="246" cm="1">
        <f t="array" ref="AQ45">SUM(_xlfn._xlws.FILTER(_xlfn._xlws.FILTER(dataGLPL,dataGLPLAcctIDs=$C45),(startDates&gt;=AQ$4)*(endDates&lt;=AQ$5)))</f>
        <v>104</v>
      </c>
      <c r="AR45" s="246" cm="1">
        <f t="array" ref="AR45">SUM(_xlfn._xlws.FILTER(_xlfn._xlws.FILTER(dataGLPL,dataGLPLAcctIDs=$C45),(startDates&gt;=AR$4)*(endDates&lt;=AR$5)))</f>
        <v>63</v>
      </c>
      <c r="AS45" s="246" cm="1">
        <f t="array" ref="AS45">SUM(_xlfn._xlws.FILTER(_xlfn._xlws.FILTER(dataGLPL,dataGLPLAcctIDs=$C45),(startDates&gt;=AS$4)*(endDates&lt;=AS$5)))</f>
        <v>109</v>
      </c>
      <c r="AT45" s="246" cm="1">
        <f t="array" ref="AT45">SUM(_xlfn._xlws.FILTER(_xlfn._xlws.FILTER(dataGLPL,dataGLPLAcctIDs=$C45),(startDates&gt;=AT$4)*(endDates&lt;=AT$5)))</f>
        <v>67</v>
      </c>
      <c r="AU45" s="246" cm="1">
        <f t="array" ref="AU45">SUM(_xlfn._xlws.FILTER(_xlfn._xlws.FILTER(dataGLPL,dataGLPLAcctIDs=$C45),(startDates&gt;=AU$4)*(endDates&lt;=AU$5)))</f>
        <v>114</v>
      </c>
      <c r="AV45" s="246" cm="1">
        <f t="array" ref="AV45">SUM(_xlfn._xlws.FILTER(_xlfn._xlws.FILTER(dataGLPL,dataGLPLAcctIDs=$C45),(startDates&gt;=AV$4)*(endDates&lt;=AV$5)))</f>
        <v>120</v>
      </c>
      <c r="AW45" s="246" cm="1">
        <f t="array" ref="AW45">SUM(_xlfn._xlws.FILTER(_xlfn._xlws.FILTER(dataGLPL,dataGLPLAcctIDs=$C45),(startDates&gt;=AW$4)*(endDates&lt;=AW$5)))</f>
        <v>120</v>
      </c>
      <c r="AX45" s="246" cm="1">
        <f t="array" ref="AX45">SUM(_xlfn._xlws.FILTER(_xlfn._xlws.FILTER(dataGLPL,dataGLPLAcctIDs=$C45),(startDates&gt;=AX$4)*(endDates&lt;=AX$5)))</f>
        <v>126</v>
      </c>
      <c r="AY45" s="246" cm="1">
        <f t="array" ref="AY45">SUM(_xlfn._xlws.FILTER(_xlfn._xlws.FILTER(dataGLPL,dataGLPLAcctIDs=$C45),(startDates&gt;=AY$4)*(endDates&lt;=AY$5)))</f>
        <v>126.34</v>
      </c>
      <c r="AZ45" s="246" cm="1">
        <f t="array" ref="AZ45">SUM(_xlfn._xlws.FILTER(_xlfn._xlws.FILTER(dataGLPL,dataGLPLAcctIDs=$C45),(startDates&gt;=AZ$4)*(endDates&lt;=AZ$5)))</f>
        <v>132.34</v>
      </c>
      <c r="BA45" s="246" cm="1">
        <f t="array" ref="BA45">SUM(_xlfn._xlws.FILTER(_xlfn._xlws.FILTER(dataGLPL,dataGLPLAcctIDs=$C45),(startDates&gt;=BA$4)*(endDates&lt;=BA$5)))</f>
        <v>139</v>
      </c>
      <c r="BB45" s="246" cm="1">
        <f t="array" ref="BB45">SUM(_xlfn._xlws.FILTER(_xlfn._xlws.FILTER(dataGLPL,dataGLPLAcctIDs=$C45),(startDates&gt;=BB$4)*(endDates&lt;=BB$5)))</f>
        <v>145.83000000000001</v>
      </c>
      <c r="BC45" s="246" cm="1">
        <f t="array" ref="BC45">SUM(_xlfn._xlws.FILTER(_xlfn._xlws.FILTER(dataGLPL,dataGLPLAcctIDs=$C45),(startDates&gt;=BC$4)*(endDates&lt;=BC$5)))</f>
        <v>153</v>
      </c>
      <c r="BD45" s="246" cm="1">
        <f t="array" ref="BD45">SUM(_xlfn._xlws.FILTER(_xlfn._xlws.FILTER(dataGLPL,dataGLPLAcctIDs=$C45),(startDates&gt;=BD$4)*(endDates&lt;=BD$5)))</f>
        <v>161</v>
      </c>
      <c r="BE45" s="246" cm="1">
        <f t="array" ref="BE45">SUM(_xlfn._xlws.FILTER(_xlfn._xlws.FILTER(dataGLPL,dataGLPLAcctIDs=$C45),(startDates&gt;=BE$4)*(endDates&lt;=BE$5)))</f>
        <v>169</v>
      </c>
      <c r="BF45" s="246" cm="1">
        <f t="array" ref="BF45">SUM(_xlfn._xlws.FILTER(_xlfn._xlws.FILTER(dataGLPL,dataGLPLAcctIDs=$C45),(startDates&gt;=BF$4)*(endDates&lt;=BF$5)))</f>
        <v>177</v>
      </c>
      <c r="BG45" s="246" cm="1">
        <f t="array" ref="BG45">SUM(_xlfn._xlws.FILTER(_xlfn._xlws.FILTER(dataGLPL,dataGLPLAcctIDs=$C45),(startDates&gt;=BG$4)*(endDates&lt;=BG$5)))</f>
        <v>186.13</v>
      </c>
      <c r="BH45" s="246" cm="1">
        <f t="array" ref="BH45">SUM(_xlfn._xlws.FILTER(_xlfn._xlws.FILTER(dataGLPL,dataGLPLAcctIDs=$C45),(startDates&gt;=BH$4)*(endDates&lt;=BH$5)))</f>
        <v>195.43</v>
      </c>
      <c r="BI45" s="246" cm="1">
        <f t="array" ref="BI45">SUM(_xlfn._xlws.FILTER(_xlfn._xlws.FILTER(dataGLPL,dataGLPLAcctIDs=$C45),(startDates&gt;=BI$4)*(endDates&lt;=BI$5)))</f>
        <v>205.2</v>
      </c>
      <c r="BJ45" s="246" cm="1">
        <f t="array" ref="BJ45">SUM(_xlfn._xlws.FILTER(_xlfn._xlws.FILTER(dataGLPL,dataGLPLAcctIDs=$C45),(startDates&gt;=BJ$4)*(endDates&lt;=BJ$5)))</f>
        <v>215.46</v>
      </c>
      <c r="BK45" s="246" cm="1">
        <f t="array" ref="BK45">SUM(_xlfn._xlws.FILTER(_xlfn._xlws.FILTER(dataGLPL,dataGLPLAcctIDs=$C45),(startDates&gt;=BK$4)*(endDates&lt;=BK$5)))</f>
        <v>226.23</v>
      </c>
      <c r="BL45" s="246" cm="1">
        <f t="array" ref="BL45">SUM(_xlfn._xlws.FILTER(_xlfn._xlws.FILTER(dataGLPL,dataGLPLAcctIDs=$C45),(startDates&gt;=BL$4)*(endDates&lt;=BL$5)))</f>
        <v>237.54</v>
      </c>
      <c r="BM45" s="246" cm="1">
        <f t="array" ref="BM45">SUM(_xlfn._xlws.FILTER(_xlfn._xlws.FILTER(dataGLPL,dataGLPLAcctIDs=$C45),(startDates&gt;=BM$4)*(endDates&lt;=BM$5)))</f>
        <v>104.16666666666666</v>
      </c>
      <c r="BN45" s="246" cm="1">
        <f t="array" ref="BN45">SUM(_xlfn._xlws.FILTER(_xlfn._xlws.FILTER(dataGLPL,dataGLPLAcctIDs=$C45),(startDates&gt;=BN$4)*(endDates&lt;=BN$5)))</f>
        <v>104.16666666666666</v>
      </c>
      <c r="BO45" s="246" cm="1">
        <f t="array" ref="BO45">SUM(_xlfn._xlws.FILTER(_xlfn._xlws.FILTER(dataGLPL,dataGLPLAcctIDs=$C45),(startDates&gt;=BO$4)*(endDates&lt;=BO$5)))</f>
        <v>104.16666666666666</v>
      </c>
      <c r="BP45" s="246" cm="1">
        <f t="array" ref="BP45">SUM(_xlfn._xlws.FILTER(_xlfn._xlws.FILTER(dataGLPL,dataGLPLAcctIDs=$C45),(startDates&gt;=BP$4)*(endDates&lt;=BP$5)))</f>
        <v>104.16666666666666</v>
      </c>
      <c r="BQ45" s="246" cm="1">
        <f t="array" ref="BQ45">SUM(_xlfn._xlws.FILTER(_xlfn._xlws.FILTER(dataGLPL,dataGLPLAcctIDs=$C45),(startDates&gt;=BQ$4)*(endDates&lt;=BQ$5)))</f>
        <v>156.24999999999997</v>
      </c>
      <c r="BR45" s="246" cm="1">
        <f t="array" ref="BR45">SUM(_xlfn._xlws.FILTER(_xlfn._xlws.FILTER(dataGLPL,dataGLPLAcctIDs=$C45),(startDates&gt;=BR$4)*(endDates&lt;=BR$5)))</f>
        <v>156.24999999999997</v>
      </c>
      <c r="BS45" s="246" cm="1">
        <f t="array" ref="BS45">SUM(_xlfn._xlws.FILTER(_xlfn._xlws.FILTER(dataGLPL,dataGLPLAcctIDs=$C45),(startDates&gt;=BS$4)*(endDates&lt;=BS$5)))</f>
        <v>165.34090909090907</v>
      </c>
      <c r="BT45" s="246" cm="1">
        <f t="array" ref="BT45">SUM(_xlfn._xlws.FILTER(_xlfn._xlws.FILTER(dataGLPL,dataGLPLAcctIDs=$C45),(startDates&gt;=BT$4)*(endDates&lt;=BT$5)))</f>
        <v>172.91666666666663</v>
      </c>
      <c r="BU45" s="246" cm="1">
        <f t="array" ref="BU45">SUM(_xlfn._xlws.FILTER(_xlfn._xlws.FILTER(dataGLPL,dataGLPLAcctIDs=$C45),(startDates&gt;=BU$4)*(endDates&lt;=BU$5)))</f>
        <v>172.91666666666663</v>
      </c>
      <c r="BV45" s="246" cm="1">
        <f t="array" ref="BV45">SUM(_xlfn._xlws.FILTER(_xlfn._xlws.FILTER(dataGLPL,dataGLPLAcctIDs=$C45),(startDates&gt;=BV$4)*(endDates&lt;=BV$5)))</f>
        <v>172.91666666666663</v>
      </c>
      <c r="BW45" s="246" cm="1">
        <f t="array" ref="BW45">SUM(_xlfn._xlws.FILTER(_xlfn._xlws.FILTER(dataGLPL,dataGLPLAcctIDs=$C45),(startDates&gt;=BW$4)*(endDates&lt;=BW$5)))</f>
        <v>172.91666666666663</v>
      </c>
      <c r="BX45" s="246" cm="1">
        <f t="array" ref="BX45">SUM(_xlfn._xlws.FILTER(_xlfn._xlws.FILTER(dataGLPL,dataGLPLAcctIDs=$C45),(startDates&gt;=BX$4)*(endDates&lt;=BX$5)))</f>
        <v>172.91666666666663</v>
      </c>
      <c r="BY45" s="246" cm="1">
        <f t="array" ref="BY45">SUM(_xlfn._xlws.FILTER(_xlfn._xlws.FILTER(dataGLPL,dataGLPLAcctIDs=$C45),(startDates&gt;=BY$4)*(endDates&lt;=BY$5)))</f>
        <v>172.91666666666663</v>
      </c>
    </row>
    <row r="46" spans="1:77" s="201" customFormat="1" ht="21" customHeight="1">
      <c r="A46" s="215"/>
      <c r="B46" s="218" t="s">
        <v>258</v>
      </c>
      <c r="C46" s="343">
        <v>182</v>
      </c>
      <c r="D46" s="215"/>
      <c r="E46" s="216"/>
      <c r="F46" s="246" cm="1">
        <f t="array" ref="F46">SUM(_xlfn._xlws.FILTER(_xlfn._xlws.FILTER(dataGLPL,dataGLPLAcctIDs=$C46),(startDates&gt;=F$4)*(endDates&lt;=F$5)))</f>
        <v>0</v>
      </c>
      <c r="G46" s="246" cm="1">
        <f t="array" ref="G46">SUM(_xlfn._xlws.FILTER(_xlfn._xlws.FILTER(dataGLPL,dataGLPLAcctIDs=$C46),(startDates&gt;=G$4)*(endDates&lt;=G$5)))</f>
        <v>0</v>
      </c>
      <c r="H46" s="246" cm="1">
        <f t="array" ref="H46">SUM(_xlfn._xlws.FILTER(_xlfn._xlws.FILTER(dataGLPL,dataGLPLAcctIDs=$C46),(startDates&gt;=H$4)*(endDates&lt;=H$5)))</f>
        <v>0</v>
      </c>
      <c r="I46" s="246" cm="1">
        <f t="array" ref="I46">SUM(_xlfn._xlws.FILTER(_xlfn._xlws.FILTER(dataGLPL,dataGLPLAcctIDs=$C46),(startDates&gt;=I$4)*(endDates&lt;=I$5)))</f>
        <v>0</v>
      </c>
      <c r="J46" s="344"/>
      <c r="K46" s="344"/>
      <c r="L46" s="246" cm="1">
        <f t="array" ref="L46">SUM(_xlfn._xlws.FILTER(_xlfn._xlws.FILTER(dataGLPL,dataGLPLAcctIDs=$C46),(startDates&gt;=L$4)*(endDates&lt;=L$5)))</f>
        <v>0</v>
      </c>
      <c r="M46" s="246" cm="1">
        <f t="array" ref="M46">SUM(_xlfn._xlws.FILTER(_xlfn._xlws.FILTER(dataGLPL,dataGLPLAcctIDs=$C46),(startDates&gt;=M$4)*(endDates&lt;=M$5)))</f>
        <v>0</v>
      </c>
      <c r="N46" s="246" cm="1">
        <f t="array" ref="N46">SUM(_xlfn._xlws.FILTER(_xlfn._xlws.FILTER(dataGLPL,dataGLPLAcctIDs=$C46),(startDates&gt;=N$4)*(endDates&lt;=N$5)))</f>
        <v>0</v>
      </c>
      <c r="O46" s="246" cm="1">
        <f t="array" ref="O46">SUM(_xlfn._xlws.FILTER(_xlfn._xlws.FILTER(dataGLPL,dataGLPLAcctIDs=$C46),(startDates&gt;=O$4)*(endDates&lt;=O$5)))</f>
        <v>0</v>
      </c>
      <c r="P46" s="246" cm="1">
        <f t="array" ref="P46">SUM(_xlfn._xlws.FILTER(_xlfn._xlws.FILTER(dataGLPL,dataGLPLAcctIDs=$C46),(startDates&gt;=P$4)*(endDates&lt;=P$5)))</f>
        <v>0</v>
      </c>
      <c r="Q46" s="246" cm="1">
        <f t="array" ref="Q46">SUM(_xlfn._xlws.FILTER(_xlfn._xlws.FILTER(dataGLPL,dataGLPLAcctIDs=$C46),(startDates&gt;=Q$4)*(endDates&lt;=Q$5)))</f>
        <v>0</v>
      </c>
      <c r="R46" s="246" cm="1">
        <f t="array" ref="R46">SUM(_xlfn._xlws.FILTER(_xlfn._xlws.FILTER(dataGLPL,dataGLPLAcctIDs=$C46),(startDates&gt;=R$4)*(endDates&lt;=R$5)))</f>
        <v>0</v>
      </c>
      <c r="S46" s="246" cm="1">
        <f t="array" ref="S46">SUM(_xlfn._xlws.FILTER(_xlfn._xlws.FILTER(dataGLPL,dataGLPLAcctIDs=$C46),(startDates&gt;=S$4)*(endDates&lt;=S$5)))</f>
        <v>0</v>
      </c>
      <c r="T46" s="246" cm="1">
        <f t="array" ref="T46">SUM(_xlfn._xlws.FILTER(_xlfn._xlws.FILTER(dataGLPL,dataGLPLAcctIDs=$C46),(startDates&gt;=T$4)*(endDates&lt;=T$5)))</f>
        <v>0</v>
      </c>
      <c r="U46" s="246" cm="1">
        <f t="array" ref="U46">SUM(_xlfn._xlws.FILTER(_xlfn._xlws.FILTER(dataGLPL,dataGLPLAcctIDs=$C46),(startDates&gt;=U$4)*(endDates&lt;=U$5)))</f>
        <v>0</v>
      </c>
      <c r="V46" s="246" cm="1">
        <f t="array" ref="V46">SUM(_xlfn._xlws.FILTER(_xlfn._xlws.FILTER(dataGLPL,dataGLPLAcctIDs=$C46),(startDates&gt;=V$4)*(endDates&lt;=V$5)))</f>
        <v>0</v>
      </c>
      <c r="W46" s="246" cm="1">
        <f t="array" ref="W46">SUM(_xlfn._xlws.FILTER(_xlfn._xlws.FILTER(dataGLPL,dataGLPLAcctIDs=$C46),(startDates&gt;=W$4)*(endDates&lt;=W$5)))</f>
        <v>0</v>
      </c>
      <c r="X46" s="246" cm="1">
        <f t="array" ref="X46">SUM(_xlfn._xlws.FILTER(_xlfn._xlws.FILTER(dataGLPL,dataGLPLAcctIDs=$C46),(startDates&gt;=X$4)*(endDates&lt;=X$5)))</f>
        <v>0</v>
      </c>
      <c r="Y46" s="246" cm="1">
        <f t="array" ref="Y46">SUM(_xlfn._xlws.FILTER(_xlfn._xlws.FILTER(dataGLPL,dataGLPLAcctIDs=$C46),(startDates&gt;=Y$4)*(endDates&lt;=Y$5)))</f>
        <v>0</v>
      </c>
      <c r="Z46" s="246" cm="1">
        <f t="array" ref="Z46">SUM(_xlfn._xlws.FILTER(_xlfn._xlws.FILTER(dataGLPL,dataGLPLAcctIDs=$C46),(startDates&gt;=Z$4)*(endDates&lt;=Z$5)))</f>
        <v>0</v>
      </c>
      <c r="AA46" s="246" cm="1">
        <f t="array" ref="AA46">SUM(_xlfn._xlws.FILTER(_xlfn._xlws.FILTER(dataGLPL,dataGLPLAcctIDs=$C46),(startDates&gt;=AA$4)*(endDates&lt;=AA$5)))</f>
        <v>0</v>
      </c>
      <c r="AB46" s="215"/>
      <c r="AC46" s="344"/>
      <c r="AD46" s="246" cm="1">
        <f t="array" ref="AD46">SUM(_xlfn._xlws.FILTER(_xlfn._xlws.FILTER(dataGLPL,dataGLPLAcctIDs=$C46),(startDates&gt;=AD$4)*(endDates&lt;=AD$5)))</f>
        <v>0</v>
      </c>
      <c r="AE46" s="246" cm="1">
        <f t="array" ref="AE46">SUM(_xlfn._xlws.FILTER(_xlfn._xlws.FILTER(dataGLPL,dataGLPLAcctIDs=$C46),(startDates&gt;=AE$4)*(endDates&lt;=AE$5)))</f>
        <v>0</v>
      </c>
      <c r="AF46" s="246" cm="1">
        <f t="array" ref="AF46">SUM(_xlfn._xlws.FILTER(_xlfn._xlws.FILTER(dataGLPL,dataGLPLAcctIDs=$C46),(startDates&gt;=AF$4)*(endDates&lt;=AF$5)))</f>
        <v>0</v>
      </c>
      <c r="AG46" s="246" cm="1">
        <f t="array" ref="AG46">SUM(_xlfn._xlws.FILTER(_xlfn._xlws.FILTER(dataGLPL,dataGLPLAcctIDs=$C46),(startDates&gt;=AG$4)*(endDates&lt;=AG$5)))</f>
        <v>0</v>
      </c>
      <c r="AH46" s="246" cm="1">
        <f t="array" ref="AH46">SUM(_xlfn._xlws.FILTER(_xlfn._xlws.FILTER(dataGLPL,dataGLPLAcctIDs=$C46),(startDates&gt;=AH$4)*(endDates&lt;=AH$5)))</f>
        <v>0</v>
      </c>
      <c r="AI46" s="246" cm="1">
        <f t="array" ref="AI46">SUM(_xlfn._xlws.FILTER(_xlfn._xlws.FILTER(dataGLPL,dataGLPLAcctIDs=$C46),(startDates&gt;=AI$4)*(endDates&lt;=AI$5)))</f>
        <v>0</v>
      </c>
      <c r="AJ46" s="246" cm="1">
        <f t="array" ref="AJ46">SUM(_xlfn._xlws.FILTER(_xlfn._xlws.FILTER(dataGLPL,dataGLPLAcctIDs=$C46),(startDates&gt;=AJ$4)*(endDates&lt;=AJ$5)))</f>
        <v>0</v>
      </c>
      <c r="AK46" s="246" cm="1">
        <f t="array" ref="AK46">SUM(_xlfn._xlws.FILTER(_xlfn._xlws.FILTER(dataGLPL,dataGLPLAcctIDs=$C46),(startDates&gt;=AK$4)*(endDates&lt;=AK$5)))</f>
        <v>0</v>
      </c>
      <c r="AL46" s="246" cm="1">
        <f t="array" ref="AL46">SUM(_xlfn._xlws.FILTER(_xlfn._xlws.FILTER(dataGLPL,dataGLPLAcctIDs=$C46),(startDates&gt;=AL$4)*(endDates&lt;=AL$5)))</f>
        <v>0</v>
      </c>
      <c r="AM46" s="246" cm="1">
        <f t="array" ref="AM46">SUM(_xlfn._xlws.FILTER(_xlfn._xlws.FILTER(dataGLPL,dataGLPLAcctIDs=$C46),(startDates&gt;=AM$4)*(endDates&lt;=AM$5)))</f>
        <v>0</v>
      </c>
      <c r="AN46" s="246" cm="1">
        <f t="array" ref="AN46">SUM(_xlfn._xlws.FILTER(_xlfn._xlws.FILTER(dataGLPL,dataGLPLAcctIDs=$C46),(startDates&gt;=AN$4)*(endDates&lt;=AN$5)))</f>
        <v>0</v>
      </c>
      <c r="AO46" s="246" cm="1">
        <f t="array" ref="AO46">SUM(_xlfn._xlws.FILTER(_xlfn._xlws.FILTER(dataGLPL,dataGLPLAcctIDs=$C46),(startDates&gt;=AO$4)*(endDates&lt;=AO$5)))</f>
        <v>0</v>
      </c>
      <c r="AP46" s="246" cm="1">
        <f t="array" ref="AP46">SUM(_xlfn._xlws.FILTER(_xlfn._xlws.FILTER(dataGLPL,dataGLPLAcctIDs=$C46),(startDates&gt;=AP$4)*(endDates&lt;=AP$5)))</f>
        <v>0</v>
      </c>
      <c r="AQ46" s="246" cm="1">
        <f t="array" ref="AQ46">SUM(_xlfn._xlws.FILTER(_xlfn._xlws.FILTER(dataGLPL,dataGLPLAcctIDs=$C46),(startDates&gt;=AQ$4)*(endDates&lt;=AQ$5)))</f>
        <v>0</v>
      </c>
      <c r="AR46" s="246" cm="1">
        <f t="array" ref="AR46">SUM(_xlfn._xlws.FILTER(_xlfn._xlws.FILTER(dataGLPL,dataGLPLAcctIDs=$C46),(startDates&gt;=AR$4)*(endDates&lt;=AR$5)))</f>
        <v>0</v>
      </c>
      <c r="AS46" s="246" cm="1">
        <f t="array" ref="AS46">SUM(_xlfn._xlws.FILTER(_xlfn._xlws.FILTER(dataGLPL,dataGLPLAcctIDs=$C46),(startDates&gt;=AS$4)*(endDates&lt;=AS$5)))</f>
        <v>0</v>
      </c>
      <c r="AT46" s="246" cm="1">
        <f t="array" ref="AT46">SUM(_xlfn._xlws.FILTER(_xlfn._xlws.FILTER(dataGLPL,dataGLPLAcctIDs=$C46),(startDates&gt;=AT$4)*(endDates&lt;=AT$5)))</f>
        <v>0</v>
      </c>
      <c r="AU46" s="246" cm="1">
        <f t="array" ref="AU46">SUM(_xlfn._xlws.FILTER(_xlfn._xlws.FILTER(dataGLPL,dataGLPLAcctIDs=$C46),(startDates&gt;=AU$4)*(endDates&lt;=AU$5)))</f>
        <v>0</v>
      </c>
      <c r="AV46" s="246" cm="1">
        <f t="array" ref="AV46">SUM(_xlfn._xlws.FILTER(_xlfn._xlws.FILTER(dataGLPL,dataGLPLAcctIDs=$C46),(startDates&gt;=AV$4)*(endDates&lt;=AV$5)))</f>
        <v>0</v>
      </c>
      <c r="AW46" s="246" cm="1">
        <f t="array" ref="AW46">SUM(_xlfn._xlws.FILTER(_xlfn._xlws.FILTER(dataGLPL,dataGLPLAcctIDs=$C46),(startDates&gt;=AW$4)*(endDates&lt;=AW$5)))</f>
        <v>0</v>
      </c>
      <c r="AX46" s="246" cm="1">
        <f t="array" ref="AX46">SUM(_xlfn._xlws.FILTER(_xlfn._xlws.FILTER(dataGLPL,dataGLPLAcctIDs=$C46),(startDates&gt;=AX$4)*(endDates&lt;=AX$5)))</f>
        <v>0</v>
      </c>
      <c r="AY46" s="246" cm="1">
        <f t="array" ref="AY46">SUM(_xlfn._xlws.FILTER(_xlfn._xlws.FILTER(dataGLPL,dataGLPLAcctIDs=$C46),(startDates&gt;=AY$4)*(endDates&lt;=AY$5)))</f>
        <v>0</v>
      </c>
      <c r="AZ46" s="246" cm="1">
        <f t="array" ref="AZ46">SUM(_xlfn._xlws.FILTER(_xlfn._xlws.FILTER(dataGLPL,dataGLPLAcctIDs=$C46),(startDates&gt;=AZ$4)*(endDates&lt;=AZ$5)))</f>
        <v>0</v>
      </c>
      <c r="BA46" s="246" cm="1">
        <f t="array" ref="BA46">SUM(_xlfn._xlws.FILTER(_xlfn._xlws.FILTER(dataGLPL,dataGLPLAcctIDs=$C46),(startDates&gt;=BA$4)*(endDates&lt;=BA$5)))</f>
        <v>0</v>
      </c>
      <c r="BB46" s="246" cm="1">
        <f t="array" ref="BB46">SUM(_xlfn._xlws.FILTER(_xlfn._xlws.FILTER(dataGLPL,dataGLPLAcctIDs=$C46),(startDates&gt;=BB$4)*(endDates&lt;=BB$5)))</f>
        <v>0</v>
      </c>
      <c r="BC46" s="246" cm="1">
        <f t="array" ref="BC46">SUM(_xlfn._xlws.FILTER(_xlfn._xlws.FILTER(dataGLPL,dataGLPLAcctIDs=$C46),(startDates&gt;=BC$4)*(endDates&lt;=BC$5)))</f>
        <v>0</v>
      </c>
      <c r="BD46" s="246" cm="1">
        <f t="array" ref="BD46">SUM(_xlfn._xlws.FILTER(_xlfn._xlws.FILTER(dataGLPL,dataGLPLAcctIDs=$C46),(startDates&gt;=BD$4)*(endDates&lt;=BD$5)))</f>
        <v>0</v>
      </c>
      <c r="BE46" s="246" cm="1">
        <f t="array" ref="BE46">SUM(_xlfn._xlws.FILTER(_xlfn._xlws.FILTER(dataGLPL,dataGLPLAcctIDs=$C46),(startDates&gt;=BE$4)*(endDates&lt;=BE$5)))</f>
        <v>0</v>
      </c>
      <c r="BF46" s="246" cm="1">
        <f t="array" ref="BF46">SUM(_xlfn._xlws.FILTER(_xlfn._xlws.FILTER(dataGLPL,dataGLPLAcctIDs=$C46),(startDates&gt;=BF$4)*(endDates&lt;=BF$5)))</f>
        <v>0</v>
      </c>
      <c r="BG46" s="246" cm="1">
        <f t="array" ref="BG46">SUM(_xlfn._xlws.FILTER(_xlfn._xlws.FILTER(dataGLPL,dataGLPLAcctIDs=$C46),(startDates&gt;=BG$4)*(endDates&lt;=BG$5)))</f>
        <v>0</v>
      </c>
      <c r="BH46" s="246" cm="1">
        <f t="array" ref="BH46">SUM(_xlfn._xlws.FILTER(_xlfn._xlws.FILTER(dataGLPL,dataGLPLAcctIDs=$C46),(startDates&gt;=BH$4)*(endDates&lt;=BH$5)))</f>
        <v>0</v>
      </c>
      <c r="BI46" s="246" cm="1">
        <f t="array" ref="BI46">SUM(_xlfn._xlws.FILTER(_xlfn._xlws.FILTER(dataGLPL,dataGLPLAcctIDs=$C46),(startDates&gt;=BI$4)*(endDates&lt;=BI$5)))</f>
        <v>0</v>
      </c>
      <c r="BJ46" s="246" cm="1">
        <f t="array" ref="BJ46">SUM(_xlfn._xlws.FILTER(_xlfn._xlws.FILTER(dataGLPL,dataGLPLAcctIDs=$C46),(startDates&gt;=BJ$4)*(endDates&lt;=BJ$5)))</f>
        <v>0</v>
      </c>
      <c r="BK46" s="246" cm="1">
        <f t="array" ref="BK46">SUM(_xlfn._xlws.FILTER(_xlfn._xlws.FILTER(dataGLPL,dataGLPLAcctIDs=$C46),(startDates&gt;=BK$4)*(endDates&lt;=BK$5)))</f>
        <v>0</v>
      </c>
      <c r="BL46" s="246" cm="1">
        <f t="array" ref="BL46">SUM(_xlfn._xlws.FILTER(_xlfn._xlws.FILTER(dataGLPL,dataGLPLAcctIDs=$C46),(startDates&gt;=BL$4)*(endDates&lt;=BL$5)))</f>
        <v>0</v>
      </c>
      <c r="BM46" s="246" cm="1">
        <f t="array" ref="BM46">SUM(_xlfn._xlws.FILTER(_xlfn._xlws.FILTER(dataGLPL,dataGLPLAcctIDs=$C46),(startDates&gt;=BM$4)*(endDates&lt;=BM$5)))</f>
        <v>0</v>
      </c>
      <c r="BN46" s="246" cm="1">
        <f t="array" ref="BN46">SUM(_xlfn._xlws.FILTER(_xlfn._xlws.FILTER(dataGLPL,dataGLPLAcctIDs=$C46),(startDates&gt;=BN$4)*(endDates&lt;=BN$5)))</f>
        <v>0</v>
      </c>
      <c r="BO46" s="246" cm="1">
        <f t="array" ref="BO46">SUM(_xlfn._xlws.FILTER(_xlfn._xlws.FILTER(dataGLPL,dataGLPLAcctIDs=$C46),(startDates&gt;=BO$4)*(endDates&lt;=BO$5)))</f>
        <v>0</v>
      </c>
      <c r="BP46" s="246" cm="1">
        <f t="array" ref="BP46">SUM(_xlfn._xlws.FILTER(_xlfn._xlws.FILTER(dataGLPL,dataGLPLAcctIDs=$C46),(startDates&gt;=BP$4)*(endDates&lt;=BP$5)))</f>
        <v>0</v>
      </c>
      <c r="BQ46" s="246" cm="1">
        <f t="array" ref="BQ46">SUM(_xlfn._xlws.FILTER(_xlfn._xlws.FILTER(dataGLPL,dataGLPLAcctIDs=$C46),(startDates&gt;=BQ$4)*(endDates&lt;=BQ$5)))</f>
        <v>0</v>
      </c>
      <c r="BR46" s="246" cm="1">
        <f t="array" ref="BR46">SUM(_xlfn._xlws.FILTER(_xlfn._xlws.FILTER(dataGLPL,dataGLPLAcctIDs=$C46),(startDates&gt;=BR$4)*(endDates&lt;=BR$5)))</f>
        <v>0</v>
      </c>
      <c r="BS46" s="246" cm="1">
        <f t="array" ref="BS46">SUM(_xlfn._xlws.FILTER(_xlfn._xlws.FILTER(dataGLPL,dataGLPLAcctIDs=$C46),(startDates&gt;=BS$4)*(endDates&lt;=BS$5)))</f>
        <v>0</v>
      </c>
      <c r="BT46" s="246" cm="1">
        <f t="array" ref="BT46">SUM(_xlfn._xlws.FILTER(_xlfn._xlws.FILTER(dataGLPL,dataGLPLAcctIDs=$C46),(startDates&gt;=BT$4)*(endDates&lt;=BT$5)))</f>
        <v>0</v>
      </c>
      <c r="BU46" s="246" cm="1">
        <f t="array" ref="BU46">SUM(_xlfn._xlws.FILTER(_xlfn._xlws.FILTER(dataGLPL,dataGLPLAcctIDs=$C46),(startDates&gt;=BU$4)*(endDates&lt;=BU$5)))</f>
        <v>0</v>
      </c>
      <c r="BV46" s="246" cm="1">
        <f t="array" ref="BV46">SUM(_xlfn._xlws.FILTER(_xlfn._xlws.FILTER(dataGLPL,dataGLPLAcctIDs=$C46),(startDates&gt;=BV$4)*(endDates&lt;=BV$5)))</f>
        <v>0</v>
      </c>
      <c r="BW46" s="246" cm="1">
        <f t="array" ref="BW46">SUM(_xlfn._xlws.FILTER(_xlfn._xlws.FILTER(dataGLPL,dataGLPLAcctIDs=$C46),(startDates&gt;=BW$4)*(endDates&lt;=BW$5)))</f>
        <v>0</v>
      </c>
      <c r="BX46" s="246" cm="1">
        <f t="array" ref="BX46">SUM(_xlfn._xlws.FILTER(_xlfn._xlws.FILTER(dataGLPL,dataGLPLAcctIDs=$C46),(startDates&gt;=BX$4)*(endDates&lt;=BX$5)))</f>
        <v>0</v>
      </c>
      <c r="BY46" s="246" cm="1">
        <f t="array" ref="BY46">SUM(_xlfn._xlws.FILTER(_xlfn._xlws.FILTER(dataGLPL,dataGLPLAcctIDs=$C46),(startDates&gt;=BY$4)*(endDates&lt;=BY$5)))</f>
        <v>0</v>
      </c>
    </row>
    <row r="47" spans="1:77" s="201" customFormat="1" ht="21" customHeight="1">
      <c r="A47" s="215"/>
      <c r="B47" s="218" t="s">
        <v>259</v>
      </c>
      <c r="C47" s="343">
        <v>183</v>
      </c>
      <c r="D47" s="215"/>
      <c r="E47" s="216"/>
      <c r="F47" s="246" cm="1">
        <f t="array" ref="F47">SUM(_xlfn._xlws.FILTER(_xlfn._xlws.FILTER(dataGLPL,dataGLPLAcctIDs=$C47),(startDates&gt;=F$4)*(endDates&lt;=F$5)))</f>
        <v>2731</v>
      </c>
      <c r="G47" s="246" cm="1">
        <f t="array" ref="G47">SUM(_xlfn._xlws.FILTER(_xlfn._xlws.FILTER(dataGLPL,dataGLPLAcctIDs=$C47),(startDates&gt;=G$4)*(endDates&lt;=G$5)))</f>
        <v>7747</v>
      </c>
      <c r="H47" s="246" cm="1">
        <f t="array" ref="H47">SUM(_xlfn._xlws.FILTER(_xlfn._xlws.FILTER(dataGLPL,dataGLPLAcctIDs=$C47),(startDates&gt;=H$4)*(endDates&lt;=H$5)))</f>
        <v>13611.28025</v>
      </c>
      <c r="I47" s="246" cm="1">
        <f t="array" ref="I47">SUM(_xlfn._xlws.FILTER(_xlfn._xlws.FILTER(dataGLPL,dataGLPLAcctIDs=$C47),(startDates&gt;=I$4)*(endDates&lt;=I$5)))</f>
        <v>17776.696010766249</v>
      </c>
      <c r="J47" s="344"/>
      <c r="K47" s="344"/>
      <c r="L47" s="246" cm="1">
        <f t="array" ref="L47">SUM(_xlfn._xlws.FILTER(_xlfn._xlws.FILTER(dataGLPL,dataGLPLAcctIDs=$C47),(startDates&gt;=L$4)*(endDates&lt;=L$5)))</f>
        <v>466</v>
      </c>
      <c r="M47" s="246" cm="1">
        <f t="array" ref="M47">SUM(_xlfn._xlws.FILTER(_xlfn._xlws.FILTER(dataGLPL,dataGLPLAcctIDs=$C47),(startDates&gt;=M$4)*(endDates&lt;=M$5)))</f>
        <v>516</v>
      </c>
      <c r="N47" s="246" cm="1">
        <f t="array" ref="N47">SUM(_xlfn._xlws.FILTER(_xlfn._xlws.FILTER(dataGLPL,dataGLPLAcctIDs=$C47),(startDates&gt;=N$4)*(endDates&lt;=N$5)))</f>
        <v>573</v>
      </c>
      <c r="O47" s="246" cm="1">
        <f t="array" ref="O47">SUM(_xlfn._xlws.FILTER(_xlfn._xlws.FILTER(dataGLPL,dataGLPLAcctIDs=$C47),(startDates&gt;=O$4)*(endDates&lt;=O$5)))</f>
        <v>1176</v>
      </c>
      <c r="P47" s="246" cm="1">
        <f t="array" ref="P47">SUM(_xlfn._xlws.FILTER(_xlfn._xlws.FILTER(dataGLPL,dataGLPLAcctIDs=$C47),(startDates&gt;=P$4)*(endDates&lt;=P$5)))</f>
        <v>1447</v>
      </c>
      <c r="Q47" s="246" cm="1">
        <f t="array" ref="Q47">SUM(_xlfn._xlws.FILTER(_xlfn._xlws.FILTER(dataGLPL,dataGLPLAcctIDs=$C47),(startDates&gt;=Q$4)*(endDates&lt;=Q$5)))</f>
        <v>1771</v>
      </c>
      <c r="R47" s="246" cm="1">
        <f t="array" ref="R47">SUM(_xlfn._xlws.FILTER(_xlfn._xlws.FILTER(dataGLPL,dataGLPLAcctIDs=$C47),(startDates&gt;=R$4)*(endDates&lt;=R$5)))</f>
        <v>2172</v>
      </c>
      <c r="S47" s="246" cm="1">
        <f t="array" ref="S47">SUM(_xlfn._xlws.FILTER(_xlfn._xlws.FILTER(dataGLPL,dataGLPLAcctIDs=$C47),(startDates&gt;=S$4)*(endDates&lt;=S$5)))</f>
        <v>2357</v>
      </c>
      <c r="T47" s="246" cm="1">
        <f t="array" ref="T47">SUM(_xlfn._xlws.FILTER(_xlfn._xlws.FILTER(dataGLPL,dataGLPLAcctIDs=$C47),(startDates&gt;=T$4)*(endDates&lt;=T$5)))</f>
        <v>2728.5299999999997</v>
      </c>
      <c r="U47" s="246" cm="1">
        <f t="array" ref="U47">SUM(_xlfn._xlws.FILTER(_xlfn._xlws.FILTER(dataGLPL,dataGLPLAcctIDs=$C47),(startDates&gt;=U$4)*(endDates&lt;=U$5)))</f>
        <v>3158.66</v>
      </c>
      <c r="V47" s="246" cm="1">
        <f t="array" ref="V47">SUM(_xlfn._xlws.FILTER(_xlfn._xlws.FILTER(dataGLPL,dataGLPLAcctIDs=$C47),(startDates&gt;=V$4)*(endDates&lt;=V$5)))</f>
        <v>3656.58</v>
      </c>
      <c r="W47" s="246" cm="1">
        <f t="array" ref="W47">SUM(_xlfn._xlws.FILTER(_xlfn._xlws.FILTER(dataGLPL,dataGLPLAcctIDs=$C47),(startDates&gt;=W$4)*(endDates&lt;=W$5)))</f>
        <v>4067.5102500000003</v>
      </c>
      <c r="X47" s="246" cm="1">
        <f t="array" ref="X47">SUM(_xlfn._xlws.FILTER(_xlfn._xlws.FILTER(dataGLPL,dataGLPLAcctIDs=$C47),(startDates&gt;=X$4)*(endDates&lt;=X$5)))</f>
        <v>4151.5767816523439</v>
      </c>
      <c r="Y47" s="246" cm="1">
        <f t="array" ref="Y47">SUM(_xlfn._xlws.FILTER(_xlfn._xlws.FILTER(dataGLPL,dataGLPLAcctIDs=$C47),(startDates&gt;=Y$4)*(endDates&lt;=Y$5)))</f>
        <v>4356.3963759608014</v>
      </c>
      <c r="Z47" s="246" cm="1">
        <f t="array" ref="Z47">SUM(_xlfn._xlws.FILTER(_xlfn._xlws.FILTER(dataGLPL,dataGLPLAcctIDs=$C47),(startDates&gt;=Z$4)*(endDates&lt;=Z$5)))</f>
        <v>4537.0319136582548</v>
      </c>
      <c r="AA47" s="246" cm="1">
        <f t="array" ref="AA47">SUM(_xlfn._xlws.FILTER(_xlfn._xlws.FILTER(dataGLPL,dataGLPLAcctIDs=$C47),(startDates&gt;=AA$4)*(endDates&lt;=AA$5)))</f>
        <v>4731.6909394948498</v>
      </c>
      <c r="AB47" s="215"/>
      <c r="AC47" s="344"/>
      <c r="AD47" s="246" cm="1">
        <f t="array" ref="AD47">SUM(_xlfn._xlws.FILTER(_xlfn._xlws.FILTER(dataGLPL,dataGLPLAcctIDs=$C47),(startDates&gt;=AD$4)*(endDates&lt;=AD$5)))</f>
        <v>150</v>
      </c>
      <c r="AE47" s="246" cm="1">
        <f t="array" ref="AE47">SUM(_xlfn._xlws.FILTER(_xlfn._xlws.FILTER(dataGLPL,dataGLPLAcctIDs=$C47),(startDates&gt;=AE$4)*(endDates&lt;=AE$5)))</f>
        <v>155</v>
      </c>
      <c r="AF47" s="246" cm="1">
        <f t="array" ref="AF47">SUM(_xlfn._xlws.FILTER(_xlfn._xlws.FILTER(dataGLPL,dataGLPLAcctIDs=$C47),(startDates&gt;=AF$4)*(endDates&lt;=AF$5)))</f>
        <v>161</v>
      </c>
      <c r="AG47" s="246" cm="1">
        <f t="array" ref="AG47">SUM(_xlfn._xlws.FILTER(_xlfn._xlws.FILTER(dataGLPL,dataGLPLAcctIDs=$C47),(startDates&gt;=AG$4)*(endDates&lt;=AG$5)))</f>
        <v>166</v>
      </c>
      <c r="AH47" s="246" cm="1">
        <f t="array" ref="AH47">SUM(_xlfn._xlws.FILTER(_xlfn._xlws.FILTER(dataGLPL,dataGLPLAcctIDs=$C47),(startDates&gt;=AH$4)*(endDates&lt;=AH$5)))</f>
        <v>172</v>
      </c>
      <c r="AI47" s="246" cm="1">
        <f t="array" ref="AI47">SUM(_xlfn._xlws.FILTER(_xlfn._xlws.FILTER(dataGLPL,dataGLPLAcctIDs=$C47),(startDates&gt;=AI$4)*(endDates&lt;=AI$5)))</f>
        <v>178</v>
      </c>
      <c r="AJ47" s="246" cm="1">
        <f t="array" ref="AJ47">SUM(_xlfn._xlws.FILTER(_xlfn._xlws.FILTER(dataGLPL,dataGLPLAcctIDs=$C47),(startDates&gt;=AJ$4)*(endDates&lt;=AJ$5)))</f>
        <v>184</v>
      </c>
      <c r="AK47" s="246" cm="1">
        <f t="array" ref="AK47">SUM(_xlfn._xlws.FILTER(_xlfn._xlws.FILTER(dataGLPL,dataGLPLAcctIDs=$C47),(startDates&gt;=AK$4)*(endDates&lt;=AK$5)))</f>
        <v>191</v>
      </c>
      <c r="AL47" s="246" cm="1">
        <f t="array" ref="AL47">SUM(_xlfn._xlws.FILTER(_xlfn._xlws.FILTER(dataGLPL,dataGLPLAcctIDs=$C47),(startDates&gt;=AL$4)*(endDates&lt;=AL$5)))</f>
        <v>198</v>
      </c>
      <c r="AM47" s="246" cm="1">
        <f t="array" ref="AM47">SUM(_xlfn._xlws.FILTER(_xlfn._xlws.FILTER(dataGLPL,dataGLPLAcctIDs=$C47),(startDates&gt;=AM$4)*(endDates&lt;=AM$5)))</f>
        <v>204</v>
      </c>
      <c r="AN47" s="246" cm="1">
        <f t="array" ref="AN47">SUM(_xlfn._xlws.FILTER(_xlfn._xlws.FILTER(dataGLPL,dataGLPLAcctIDs=$C47),(startDates&gt;=AN$4)*(endDates&lt;=AN$5)))</f>
        <v>386</v>
      </c>
      <c r="AO47" s="246" cm="1">
        <f t="array" ref="AO47">SUM(_xlfn._xlws.FILTER(_xlfn._xlws.FILTER(dataGLPL,dataGLPLAcctIDs=$C47),(startDates&gt;=AO$4)*(endDates&lt;=AO$5)))</f>
        <v>586</v>
      </c>
      <c r="AP47" s="246" cm="1">
        <f t="array" ref="AP47">SUM(_xlfn._xlws.FILTER(_xlfn._xlws.FILTER(dataGLPL,dataGLPLAcctIDs=$C47),(startDates&gt;=AP$4)*(endDates&lt;=AP$5)))</f>
        <v>406</v>
      </c>
      <c r="AQ47" s="246" cm="1">
        <f t="array" ref="AQ47">SUM(_xlfn._xlws.FILTER(_xlfn._xlws.FILTER(dataGLPL,dataGLPLAcctIDs=$C47),(startDates&gt;=AQ$4)*(endDates&lt;=AQ$5)))</f>
        <v>615</v>
      </c>
      <c r="AR47" s="246" cm="1">
        <f t="array" ref="AR47">SUM(_xlfn._xlws.FILTER(_xlfn._xlws.FILTER(dataGLPL,dataGLPLAcctIDs=$C47),(startDates&gt;=AR$4)*(endDates&lt;=AR$5)))</f>
        <v>426</v>
      </c>
      <c r="AS47" s="246" cm="1">
        <f t="array" ref="AS47">SUM(_xlfn._xlws.FILTER(_xlfn._xlws.FILTER(dataGLPL,dataGLPLAcctIDs=$C47),(startDates&gt;=AS$4)*(endDates&lt;=AS$5)))</f>
        <v>646</v>
      </c>
      <c r="AT47" s="246" cm="1">
        <f t="array" ref="AT47">SUM(_xlfn._xlws.FILTER(_xlfn._xlws.FILTER(dataGLPL,dataGLPLAcctIDs=$C47),(startDates&gt;=AT$4)*(endDates&lt;=AT$5)))</f>
        <v>447</v>
      </c>
      <c r="AU47" s="246" cm="1">
        <f t="array" ref="AU47">SUM(_xlfn._xlws.FILTER(_xlfn._xlws.FILTER(dataGLPL,dataGLPLAcctIDs=$C47),(startDates&gt;=AU$4)*(endDates&lt;=AU$5)))</f>
        <v>678</v>
      </c>
      <c r="AV47" s="246" cm="1">
        <f t="array" ref="AV47">SUM(_xlfn._xlws.FILTER(_xlfn._xlws.FILTER(dataGLPL,dataGLPLAcctIDs=$C47),(startDates&gt;=AV$4)*(endDates&lt;=AV$5)))</f>
        <v>712</v>
      </c>
      <c r="AW47" s="246" cm="1">
        <f t="array" ref="AW47">SUM(_xlfn._xlws.FILTER(_xlfn._xlws.FILTER(dataGLPL,dataGLPLAcctIDs=$C47),(startDates&gt;=AW$4)*(endDates&lt;=AW$5)))</f>
        <v>712</v>
      </c>
      <c r="AX47" s="246" cm="1">
        <f t="array" ref="AX47">SUM(_xlfn._xlws.FILTER(_xlfn._xlws.FILTER(dataGLPL,dataGLPLAcctIDs=$C47),(startDates&gt;=AX$4)*(endDates&lt;=AX$5)))</f>
        <v>748</v>
      </c>
      <c r="AY47" s="246" cm="1">
        <f t="array" ref="AY47">SUM(_xlfn._xlws.FILTER(_xlfn._xlws.FILTER(dataGLPL,dataGLPLAcctIDs=$C47),(startDates&gt;=AY$4)*(endDates&lt;=AY$5)))</f>
        <v>748</v>
      </c>
      <c r="AZ47" s="246" cm="1">
        <f t="array" ref="AZ47">SUM(_xlfn._xlws.FILTER(_xlfn._xlws.FILTER(dataGLPL,dataGLPLAcctIDs=$C47),(startDates&gt;=AZ$4)*(endDates&lt;=AZ$5)))</f>
        <v>785</v>
      </c>
      <c r="BA47" s="246" cm="1">
        <f t="array" ref="BA47">SUM(_xlfn._xlws.FILTER(_xlfn._xlws.FILTER(dataGLPL,dataGLPLAcctIDs=$C47),(startDates&gt;=BA$4)*(endDates&lt;=BA$5)))</f>
        <v>824</v>
      </c>
      <c r="BB47" s="246" cm="1">
        <f t="array" ref="BB47">SUM(_xlfn._xlws.FILTER(_xlfn._xlws.FILTER(dataGLPL,dataGLPLAcctIDs=$C47),(startDates&gt;=BB$4)*(endDates&lt;=BB$5)))</f>
        <v>865.53</v>
      </c>
      <c r="BC47" s="246" cm="1">
        <f t="array" ref="BC47">SUM(_xlfn._xlws.FILTER(_xlfn._xlws.FILTER(dataGLPL,dataGLPLAcctIDs=$C47),(startDates&gt;=BC$4)*(endDates&lt;=BC$5)))</f>
        <v>909</v>
      </c>
      <c r="BD47" s="246" cm="1">
        <f t="array" ref="BD47">SUM(_xlfn._xlws.FILTER(_xlfn._xlws.FILTER(dataGLPL,dataGLPLAcctIDs=$C47),(startDates&gt;=BD$4)*(endDates&lt;=BD$5)))</f>
        <v>954</v>
      </c>
      <c r="BE47" s="246" cm="1">
        <f t="array" ref="BE47">SUM(_xlfn._xlws.FILTER(_xlfn._xlws.FILTER(dataGLPL,dataGLPLAcctIDs=$C47),(startDates&gt;=BE$4)*(endDates&lt;=BE$5)))</f>
        <v>1002</v>
      </c>
      <c r="BF47" s="246" cm="1">
        <f t="array" ref="BF47">SUM(_xlfn._xlws.FILTER(_xlfn._xlws.FILTER(dataGLPL,dataGLPLAcctIDs=$C47),(startDates&gt;=BF$4)*(endDates&lt;=BF$5)))</f>
        <v>1052</v>
      </c>
      <c r="BG47" s="246" cm="1">
        <f t="array" ref="BG47">SUM(_xlfn._xlws.FILTER(_xlfn._xlws.FILTER(dataGLPL,dataGLPLAcctIDs=$C47),(startDates&gt;=BG$4)*(endDates&lt;=BG$5)))</f>
        <v>1104.6600000000001</v>
      </c>
      <c r="BH47" s="246" cm="1">
        <f t="array" ref="BH47">SUM(_xlfn._xlws.FILTER(_xlfn._xlws.FILTER(dataGLPL,dataGLPLAcctIDs=$C47),(startDates&gt;=BH$4)*(endDates&lt;=BH$5)))</f>
        <v>1159.9000000000001</v>
      </c>
      <c r="BI47" s="246" cm="1">
        <f t="array" ref="BI47">SUM(_xlfn._xlws.FILTER(_xlfn._xlws.FILTER(dataGLPL,dataGLPLAcctIDs=$C47),(startDates&gt;=BI$4)*(endDates&lt;=BI$5)))</f>
        <v>1217.8900000000001</v>
      </c>
      <c r="BJ47" s="246" cm="1">
        <f t="array" ref="BJ47">SUM(_xlfn._xlws.FILTER(_xlfn._xlws.FILTER(dataGLPL,dataGLPLAcctIDs=$C47),(startDates&gt;=BJ$4)*(endDates&lt;=BJ$5)))</f>
        <v>1278.79</v>
      </c>
      <c r="BK47" s="246" cm="1">
        <f t="array" ref="BK47">SUM(_xlfn._xlws.FILTER(_xlfn._xlws.FILTER(dataGLPL,dataGLPLAcctIDs=$C47),(startDates&gt;=BK$4)*(endDates&lt;=BK$5)))</f>
        <v>1342.73</v>
      </c>
      <c r="BL47" s="246" cm="1">
        <f t="array" ref="BL47">SUM(_xlfn._xlws.FILTER(_xlfn._xlws.FILTER(dataGLPL,dataGLPLAcctIDs=$C47),(startDates&gt;=BL$4)*(endDates&lt;=BL$5)))</f>
        <v>1409.86</v>
      </c>
      <c r="BM47" s="246" cm="1">
        <f t="array" ref="BM47">SUM(_xlfn._xlws.FILTER(_xlfn._xlws.FILTER(dataGLPL,dataGLPLAcctIDs=$C47),(startDates&gt;=BM$4)*(endDates&lt;=BM$5)))</f>
        <v>1314.9202500000001</v>
      </c>
      <c r="BN47" s="246" cm="1">
        <f t="array" ref="BN47">SUM(_xlfn._xlws.FILTER(_xlfn._xlws.FILTER(dataGLPL,dataGLPLAcctIDs=$C47),(startDates&gt;=BN$4)*(endDates&lt;=BN$5)))</f>
        <v>1351.7157937499999</v>
      </c>
      <c r="BO47" s="246" cm="1">
        <f t="array" ref="BO47">SUM(_xlfn._xlws.FILTER(_xlfn._xlws.FILTER(dataGLPL,dataGLPLAcctIDs=$C47),(startDates&gt;=BO$4)*(endDates&lt;=BO$5)))</f>
        <v>1385.2835576562502</v>
      </c>
      <c r="BP47" s="246" cm="1">
        <f t="array" ref="BP47">SUM(_xlfn._xlws.FILTER(_xlfn._xlws.FILTER(dataGLPL,dataGLPLAcctIDs=$C47),(startDates&gt;=BP$4)*(endDates&lt;=BP$5)))</f>
        <v>1414.5774302460939</v>
      </c>
      <c r="BQ47" s="246" cm="1">
        <f t="array" ref="BQ47">SUM(_xlfn._xlws.FILTER(_xlfn._xlws.FILTER(dataGLPL,dataGLPLAcctIDs=$C47),(startDates&gt;=BQ$4)*(endDates&lt;=BQ$5)))</f>
        <v>1438.3402305391601</v>
      </c>
      <c r="BR47" s="246" cm="1">
        <f t="array" ref="BR47">SUM(_xlfn._xlws.FILTER(_xlfn._xlws.FILTER(dataGLPL,dataGLPLAcctIDs=$C47),(startDates&gt;=BR$4)*(endDates&lt;=BR$5)))</f>
        <v>1455.0720208835135</v>
      </c>
      <c r="BS47" s="246" cm="1">
        <f t="array" ref="BS47">SUM(_xlfn._xlws.FILTER(_xlfn._xlws.FILTER(dataGLPL,dataGLPLAcctIDs=$C47),(startDates&gt;=BS$4)*(endDates&lt;=BS$5)))</f>
        <v>1462.9841245381281</v>
      </c>
      <c r="BT47" s="246" cm="1">
        <f t="array" ref="BT47">SUM(_xlfn._xlws.FILTER(_xlfn._xlws.FILTER(dataGLPL,dataGLPLAcctIDs=$C47),(startDates&gt;=BT$4)*(endDates&lt;=BT$5)))</f>
        <v>1488.8953025823005</v>
      </c>
      <c r="BU47" s="246" cm="1">
        <f t="array" ref="BU47">SUM(_xlfn._xlws.FILTER(_xlfn._xlws.FILTER(dataGLPL,dataGLPLAcctIDs=$C47),(startDates&gt;=BU$4)*(endDates&lt;=BU$5)))</f>
        <v>1512.9017166279532</v>
      </c>
      <c r="BV47" s="246" cm="1">
        <f t="array" ref="BV47">SUM(_xlfn._xlws.FILTER(_xlfn._xlws.FILTER(dataGLPL,dataGLPLAcctIDs=$C47),(startDates&gt;=BV$4)*(endDates&lt;=BV$5)))</f>
        <v>1535.2348944480009</v>
      </c>
      <c r="BW47" s="246" cm="1">
        <f t="array" ref="BW47">SUM(_xlfn._xlws.FILTER(_xlfn._xlws.FILTER(dataGLPL,dataGLPLAcctIDs=$C47),(startDates&gt;=BW$4)*(endDates&lt;=BW$5)))</f>
        <v>1556.3499506833348</v>
      </c>
      <c r="BX47" s="246" cm="1">
        <f t="array" ref="BX47">SUM(_xlfn._xlws.FILTER(_xlfn._xlws.FILTER(dataGLPL,dataGLPLAcctIDs=$C47),(startDates&gt;=BX$4)*(endDates&lt;=BX$5)))</f>
        <v>1577.0016517085655</v>
      </c>
      <c r="BY47" s="246" cm="1">
        <f t="array" ref="BY47">SUM(_xlfn._xlws.FILTER(_xlfn._xlws.FILTER(dataGLPL,dataGLPLAcctIDs=$C47),(startDates&gt;=BY$4)*(endDates&lt;=BY$5)))</f>
        <v>1598.3393371029497</v>
      </c>
    </row>
    <row r="48" spans="1:77" s="201" customFormat="1" ht="21" customHeight="1">
      <c r="A48" s="215"/>
      <c r="B48" s="218" t="s">
        <v>260</v>
      </c>
      <c r="C48" s="343">
        <v>206</v>
      </c>
      <c r="D48" s="215"/>
      <c r="E48" s="216"/>
      <c r="F48" s="246" cm="1">
        <f t="array" ref="F48">SUM(_xlfn._xlws.FILTER(_xlfn._xlws.FILTER(dataGLPL,dataGLPLAcctIDs=$C48),(startDates&gt;=F$4)*(endDates&lt;=F$5)))</f>
        <v>0</v>
      </c>
      <c r="G48" s="246" cm="1">
        <f t="array" ref="G48">SUM(_xlfn._xlws.FILTER(_xlfn._xlws.FILTER(dataGLPL,dataGLPLAcctIDs=$C48),(startDates&gt;=G$4)*(endDates&lt;=G$5)))</f>
        <v>0</v>
      </c>
      <c r="H48" s="246" cm="1">
        <f t="array" ref="H48">SUM(_xlfn._xlws.FILTER(_xlfn._xlws.FILTER(dataGLPL,dataGLPLAcctIDs=$C48),(startDates&gt;=H$4)*(endDates&lt;=H$5)))</f>
        <v>2350</v>
      </c>
      <c r="I48" s="246" cm="1">
        <f t="array" ref="I48">SUM(_xlfn._xlws.FILTER(_xlfn._xlws.FILTER(dataGLPL,dataGLPLAcctIDs=$C48),(startDates&gt;=I$4)*(endDates&lt;=I$5)))</f>
        <v>4364.1865682334301</v>
      </c>
      <c r="J48" s="344"/>
      <c r="K48" s="344"/>
      <c r="L48" s="246" cm="1">
        <f t="array" ref="L48">SUM(_xlfn._xlws.FILTER(_xlfn._xlws.FILTER(dataGLPL,dataGLPLAcctIDs=$C48),(startDates&gt;=L$4)*(endDates&lt;=L$5)))</f>
        <v>0</v>
      </c>
      <c r="M48" s="246" cm="1">
        <f t="array" ref="M48">SUM(_xlfn._xlws.FILTER(_xlfn._xlws.FILTER(dataGLPL,dataGLPLAcctIDs=$C48),(startDates&gt;=M$4)*(endDates&lt;=M$5)))</f>
        <v>0</v>
      </c>
      <c r="N48" s="246" cm="1">
        <f t="array" ref="N48">SUM(_xlfn._xlws.FILTER(_xlfn._xlws.FILTER(dataGLPL,dataGLPLAcctIDs=$C48),(startDates&gt;=N$4)*(endDates&lt;=N$5)))</f>
        <v>0</v>
      </c>
      <c r="O48" s="246" cm="1">
        <f t="array" ref="O48">SUM(_xlfn._xlws.FILTER(_xlfn._xlws.FILTER(dataGLPL,dataGLPLAcctIDs=$C48),(startDates&gt;=O$4)*(endDates&lt;=O$5)))</f>
        <v>0</v>
      </c>
      <c r="P48" s="246" cm="1">
        <f t="array" ref="P48">SUM(_xlfn._xlws.FILTER(_xlfn._xlws.FILTER(dataGLPL,dataGLPLAcctIDs=$C48),(startDates&gt;=P$4)*(endDates&lt;=P$5)))</f>
        <v>0</v>
      </c>
      <c r="Q48" s="246" cm="1">
        <f t="array" ref="Q48">SUM(_xlfn._xlws.FILTER(_xlfn._xlws.FILTER(dataGLPL,dataGLPLAcctIDs=$C48),(startDates&gt;=Q$4)*(endDates&lt;=Q$5)))</f>
        <v>0</v>
      </c>
      <c r="R48" s="246" cm="1">
        <f t="array" ref="R48">SUM(_xlfn._xlws.FILTER(_xlfn._xlws.FILTER(dataGLPL,dataGLPLAcctIDs=$C48),(startDates&gt;=R$4)*(endDates&lt;=R$5)))</f>
        <v>0</v>
      </c>
      <c r="S48" s="246" cm="1">
        <f t="array" ref="S48">SUM(_xlfn._xlws.FILTER(_xlfn._xlws.FILTER(dataGLPL,dataGLPLAcctIDs=$C48),(startDates&gt;=S$4)*(endDates&lt;=S$5)))</f>
        <v>0</v>
      </c>
      <c r="T48" s="246" cm="1">
        <f t="array" ref="T48">SUM(_xlfn._xlws.FILTER(_xlfn._xlws.FILTER(dataGLPL,dataGLPLAcctIDs=$C48),(startDates&gt;=T$4)*(endDates&lt;=T$5)))</f>
        <v>0</v>
      </c>
      <c r="U48" s="246" cm="1">
        <f t="array" ref="U48">SUM(_xlfn._xlws.FILTER(_xlfn._xlws.FILTER(dataGLPL,dataGLPLAcctIDs=$C48),(startDates&gt;=U$4)*(endDates&lt;=U$5)))</f>
        <v>1000</v>
      </c>
      <c r="V48" s="246" cm="1">
        <f t="array" ref="V48">SUM(_xlfn._xlws.FILTER(_xlfn._xlws.FILTER(dataGLPL,dataGLPLAcctIDs=$C48),(startDates&gt;=V$4)*(endDates&lt;=V$5)))</f>
        <v>0</v>
      </c>
      <c r="W48" s="246" cm="1">
        <f t="array" ref="W48">SUM(_xlfn._xlws.FILTER(_xlfn._xlws.FILTER(dataGLPL,dataGLPLAcctIDs=$C48),(startDates&gt;=W$4)*(endDates&lt;=W$5)))</f>
        <v>1350</v>
      </c>
      <c r="X48" s="246" cm="1">
        <f t="array" ref="X48">SUM(_xlfn._xlws.FILTER(_xlfn._xlws.FILTER(dataGLPL,dataGLPLAcctIDs=$C48),(startDates&gt;=X$4)*(endDates&lt;=X$5)))</f>
        <v>840.01640625000005</v>
      </c>
      <c r="Y48" s="246" cm="1">
        <f t="array" ref="Y48">SUM(_xlfn._xlws.FILTER(_xlfn._xlws.FILTER(dataGLPL,dataGLPLAcctIDs=$C48),(startDates&gt;=Y$4)*(endDates&lt;=Y$5)))</f>
        <v>1187.703489782715</v>
      </c>
      <c r="Z48" s="246" cm="1">
        <f t="array" ref="Z48">SUM(_xlfn._xlws.FILTER(_xlfn._xlws.FILTER(dataGLPL,dataGLPLAcctIDs=$C48),(startDates&gt;=Z$4)*(endDates&lt;=Z$5)))</f>
        <v>1123.2154596829814</v>
      </c>
      <c r="AA48" s="246" cm="1">
        <f t="array" ref="AA48">SUM(_xlfn._xlws.FILTER(_xlfn._xlws.FILTER(dataGLPL,dataGLPLAcctIDs=$C48),(startDates&gt;=AA$4)*(endDates&lt;=AA$5)))</f>
        <v>1213.2512125177334</v>
      </c>
      <c r="AB48" s="215"/>
      <c r="AC48" s="344"/>
      <c r="AD48" s="246" cm="1">
        <f t="array" ref="AD48">SUM(_xlfn._xlws.FILTER(_xlfn._xlws.FILTER(dataGLPL,dataGLPLAcctIDs=$C48),(startDates&gt;=AD$4)*(endDates&lt;=AD$5)))</f>
        <v>0</v>
      </c>
      <c r="AE48" s="246" cm="1">
        <f t="array" ref="AE48">SUM(_xlfn._xlws.FILTER(_xlfn._xlws.FILTER(dataGLPL,dataGLPLAcctIDs=$C48),(startDates&gt;=AE$4)*(endDates&lt;=AE$5)))</f>
        <v>0</v>
      </c>
      <c r="AF48" s="246" cm="1">
        <f t="array" ref="AF48">SUM(_xlfn._xlws.FILTER(_xlfn._xlws.FILTER(dataGLPL,dataGLPLAcctIDs=$C48),(startDates&gt;=AF$4)*(endDates&lt;=AF$5)))</f>
        <v>0</v>
      </c>
      <c r="AG48" s="246" cm="1">
        <f t="array" ref="AG48">SUM(_xlfn._xlws.FILTER(_xlfn._xlws.FILTER(dataGLPL,dataGLPLAcctIDs=$C48),(startDates&gt;=AG$4)*(endDates&lt;=AG$5)))</f>
        <v>0</v>
      </c>
      <c r="AH48" s="246" cm="1">
        <f t="array" ref="AH48">SUM(_xlfn._xlws.FILTER(_xlfn._xlws.FILTER(dataGLPL,dataGLPLAcctIDs=$C48),(startDates&gt;=AH$4)*(endDates&lt;=AH$5)))</f>
        <v>0</v>
      </c>
      <c r="AI48" s="246" cm="1">
        <f t="array" ref="AI48">SUM(_xlfn._xlws.FILTER(_xlfn._xlws.FILTER(dataGLPL,dataGLPLAcctIDs=$C48),(startDates&gt;=AI$4)*(endDates&lt;=AI$5)))</f>
        <v>0</v>
      </c>
      <c r="AJ48" s="246" cm="1">
        <f t="array" ref="AJ48">SUM(_xlfn._xlws.FILTER(_xlfn._xlws.FILTER(dataGLPL,dataGLPLAcctIDs=$C48),(startDates&gt;=AJ$4)*(endDates&lt;=AJ$5)))</f>
        <v>0</v>
      </c>
      <c r="AK48" s="246" cm="1">
        <f t="array" ref="AK48">SUM(_xlfn._xlws.FILTER(_xlfn._xlws.FILTER(dataGLPL,dataGLPLAcctIDs=$C48),(startDates&gt;=AK$4)*(endDates&lt;=AK$5)))</f>
        <v>0</v>
      </c>
      <c r="AL48" s="246" cm="1">
        <f t="array" ref="AL48">SUM(_xlfn._xlws.FILTER(_xlfn._xlws.FILTER(dataGLPL,dataGLPLAcctIDs=$C48),(startDates&gt;=AL$4)*(endDates&lt;=AL$5)))</f>
        <v>0</v>
      </c>
      <c r="AM48" s="246" cm="1">
        <f t="array" ref="AM48">SUM(_xlfn._xlws.FILTER(_xlfn._xlws.FILTER(dataGLPL,dataGLPLAcctIDs=$C48),(startDates&gt;=AM$4)*(endDates&lt;=AM$5)))</f>
        <v>0</v>
      </c>
      <c r="AN48" s="246" cm="1">
        <f t="array" ref="AN48">SUM(_xlfn._xlws.FILTER(_xlfn._xlws.FILTER(dataGLPL,dataGLPLAcctIDs=$C48),(startDates&gt;=AN$4)*(endDates&lt;=AN$5)))</f>
        <v>0</v>
      </c>
      <c r="AO48" s="246" cm="1">
        <f t="array" ref="AO48">SUM(_xlfn._xlws.FILTER(_xlfn._xlws.FILTER(dataGLPL,dataGLPLAcctIDs=$C48),(startDates&gt;=AO$4)*(endDates&lt;=AO$5)))</f>
        <v>0</v>
      </c>
      <c r="AP48" s="246" cm="1">
        <f t="array" ref="AP48">SUM(_xlfn._xlws.FILTER(_xlfn._xlws.FILTER(dataGLPL,dataGLPLAcctIDs=$C48),(startDates&gt;=AP$4)*(endDates&lt;=AP$5)))</f>
        <v>0</v>
      </c>
      <c r="AQ48" s="246" cm="1">
        <f t="array" ref="AQ48">SUM(_xlfn._xlws.FILTER(_xlfn._xlws.FILTER(dataGLPL,dataGLPLAcctIDs=$C48),(startDates&gt;=AQ$4)*(endDates&lt;=AQ$5)))</f>
        <v>0</v>
      </c>
      <c r="AR48" s="246" cm="1">
        <f t="array" ref="AR48">SUM(_xlfn._xlws.FILTER(_xlfn._xlws.FILTER(dataGLPL,dataGLPLAcctIDs=$C48),(startDates&gt;=AR$4)*(endDates&lt;=AR$5)))</f>
        <v>0</v>
      </c>
      <c r="AS48" s="246" cm="1">
        <f t="array" ref="AS48">SUM(_xlfn._xlws.FILTER(_xlfn._xlws.FILTER(dataGLPL,dataGLPLAcctIDs=$C48),(startDates&gt;=AS$4)*(endDates&lt;=AS$5)))</f>
        <v>0</v>
      </c>
      <c r="AT48" s="246" cm="1">
        <f t="array" ref="AT48">SUM(_xlfn._xlws.FILTER(_xlfn._xlws.FILTER(dataGLPL,dataGLPLAcctIDs=$C48),(startDates&gt;=AT$4)*(endDates&lt;=AT$5)))</f>
        <v>0</v>
      </c>
      <c r="AU48" s="246" cm="1">
        <f t="array" ref="AU48">SUM(_xlfn._xlws.FILTER(_xlfn._xlws.FILTER(dataGLPL,dataGLPLAcctIDs=$C48),(startDates&gt;=AU$4)*(endDates&lt;=AU$5)))</f>
        <v>0</v>
      </c>
      <c r="AV48" s="246" cm="1">
        <f t="array" ref="AV48">SUM(_xlfn._xlws.FILTER(_xlfn._xlws.FILTER(dataGLPL,dataGLPLAcctIDs=$C48),(startDates&gt;=AV$4)*(endDates&lt;=AV$5)))</f>
        <v>0</v>
      </c>
      <c r="AW48" s="246" cm="1">
        <f t="array" ref="AW48">SUM(_xlfn._xlws.FILTER(_xlfn._xlws.FILTER(dataGLPL,dataGLPLAcctIDs=$C48),(startDates&gt;=AW$4)*(endDates&lt;=AW$5)))</f>
        <v>0</v>
      </c>
      <c r="AX48" s="246" cm="1">
        <f t="array" ref="AX48">SUM(_xlfn._xlws.FILTER(_xlfn._xlws.FILTER(dataGLPL,dataGLPLAcctIDs=$C48),(startDates&gt;=AX$4)*(endDates&lt;=AX$5)))</f>
        <v>0</v>
      </c>
      <c r="AY48" s="246" cm="1">
        <f t="array" ref="AY48">SUM(_xlfn._xlws.FILTER(_xlfn._xlws.FILTER(dataGLPL,dataGLPLAcctIDs=$C48),(startDates&gt;=AY$4)*(endDates&lt;=AY$5)))</f>
        <v>0</v>
      </c>
      <c r="AZ48" s="246" cm="1">
        <f t="array" ref="AZ48">SUM(_xlfn._xlws.FILTER(_xlfn._xlws.FILTER(dataGLPL,dataGLPLAcctIDs=$C48),(startDates&gt;=AZ$4)*(endDates&lt;=AZ$5)))</f>
        <v>0</v>
      </c>
      <c r="BA48" s="246" cm="1">
        <f t="array" ref="BA48">SUM(_xlfn._xlws.FILTER(_xlfn._xlws.FILTER(dataGLPL,dataGLPLAcctIDs=$C48),(startDates&gt;=BA$4)*(endDates&lt;=BA$5)))</f>
        <v>0</v>
      </c>
      <c r="BB48" s="246" cm="1">
        <f t="array" ref="BB48">SUM(_xlfn._xlws.FILTER(_xlfn._xlws.FILTER(dataGLPL,dataGLPLAcctIDs=$C48),(startDates&gt;=BB$4)*(endDates&lt;=BB$5)))</f>
        <v>0</v>
      </c>
      <c r="BC48" s="246" cm="1">
        <f t="array" ref="BC48">SUM(_xlfn._xlws.FILTER(_xlfn._xlws.FILTER(dataGLPL,dataGLPLAcctIDs=$C48),(startDates&gt;=BC$4)*(endDates&lt;=BC$5)))</f>
        <v>0</v>
      </c>
      <c r="BD48" s="246" cm="1">
        <f t="array" ref="BD48">SUM(_xlfn._xlws.FILTER(_xlfn._xlws.FILTER(dataGLPL,dataGLPLAcctIDs=$C48),(startDates&gt;=BD$4)*(endDates&lt;=BD$5)))</f>
        <v>0</v>
      </c>
      <c r="BE48" s="246" cm="1">
        <f t="array" ref="BE48">SUM(_xlfn._xlws.FILTER(_xlfn._xlws.FILTER(dataGLPL,dataGLPLAcctIDs=$C48),(startDates&gt;=BE$4)*(endDates&lt;=BE$5)))</f>
        <v>0</v>
      </c>
      <c r="BF48" s="246" cm="1">
        <f t="array" ref="BF48">SUM(_xlfn._xlws.FILTER(_xlfn._xlws.FILTER(dataGLPL,dataGLPLAcctIDs=$C48),(startDates&gt;=BF$4)*(endDates&lt;=BF$5)))</f>
        <v>0</v>
      </c>
      <c r="BG48" s="246" cm="1">
        <f t="array" ref="BG48">SUM(_xlfn._xlws.FILTER(_xlfn._xlws.FILTER(dataGLPL,dataGLPLAcctIDs=$C48),(startDates&gt;=BG$4)*(endDates&lt;=BG$5)))</f>
        <v>1000</v>
      </c>
      <c r="BH48" s="246" cm="1">
        <f t="array" ref="BH48">SUM(_xlfn._xlws.FILTER(_xlfn._xlws.FILTER(dataGLPL,dataGLPLAcctIDs=$C48),(startDates&gt;=BH$4)*(endDates&lt;=BH$5)))</f>
        <v>0</v>
      </c>
      <c r="BI48" s="246" cm="1">
        <f t="array" ref="BI48">SUM(_xlfn._xlws.FILTER(_xlfn._xlws.FILTER(dataGLPL,dataGLPLAcctIDs=$C48),(startDates&gt;=BI$4)*(endDates&lt;=BI$5)))</f>
        <v>0</v>
      </c>
      <c r="BJ48" s="246" cm="1">
        <f t="array" ref="BJ48">SUM(_xlfn._xlws.FILTER(_xlfn._xlws.FILTER(dataGLPL,dataGLPLAcctIDs=$C48),(startDates&gt;=BJ$4)*(endDates&lt;=BJ$5)))</f>
        <v>0</v>
      </c>
      <c r="BK48" s="246" cm="1">
        <f t="array" ref="BK48">SUM(_xlfn._xlws.FILTER(_xlfn._xlws.FILTER(dataGLPL,dataGLPLAcctIDs=$C48),(startDates&gt;=BK$4)*(endDates&lt;=BK$5)))</f>
        <v>0</v>
      </c>
      <c r="BL48" s="246" cm="1">
        <f t="array" ref="BL48">SUM(_xlfn._xlws.FILTER(_xlfn._xlws.FILTER(dataGLPL,dataGLPLAcctIDs=$C48),(startDates&gt;=BL$4)*(endDates&lt;=BL$5)))</f>
        <v>1000</v>
      </c>
      <c r="BM48" s="246" cm="1">
        <f t="array" ref="BM48">SUM(_xlfn._xlws.FILTER(_xlfn._xlws.FILTER(dataGLPL,dataGLPLAcctIDs=$C48),(startDates&gt;=BM$4)*(endDates&lt;=BM$5)))</f>
        <v>350</v>
      </c>
      <c r="BN48" s="246" cm="1">
        <f t="array" ref="BN48">SUM(_xlfn._xlws.FILTER(_xlfn._xlws.FILTER(dataGLPL,dataGLPLAcctIDs=$C48),(startDates&gt;=BN$4)*(endDates&lt;=BN$5)))</f>
        <v>236.25</v>
      </c>
      <c r="BO48" s="246" cm="1">
        <f t="array" ref="BO48">SUM(_xlfn._xlws.FILTER(_xlfn._xlws.FILTER(dataGLPL,dataGLPLAcctIDs=$C48),(startDates&gt;=BO$4)*(endDates&lt;=BO$5)))</f>
        <v>277.59375</v>
      </c>
      <c r="BP48" s="246" cm="1">
        <f t="array" ref="BP48">SUM(_xlfn._xlws.FILTER(_xlfn._xlws.FILTER(dataGLPL,dataGLPLAcctIDs=$C48),(startDates&gt;=BP$4)*(endDates&lt;=BP$5)))</f>
        <v>326.17265624999999</v>
      </c>
      <c r="BQ48" s="246" cm="1">
        <f t="array" ref="BQ48">SUM(_xlfn._xlws.FILTER(_xlfn._xlws.FILTER(dataGLPL,dataGLPLAcctIDs=$C48),(startDates&gt;=BQ$4)*(endDates&lt;=BQ$5)))</f>
        <v>383.25287109375</v>
      </c>
      <c r="BR48" s="246" cm="1">
        <f t="array" ref="BR48">SUM(_xlfn._xlws.FILTER(_xlfn._xlws.FILTER(dataGLPL,dataGLPLAcctIDs=$C48),(startDates&gt;=BR$4)*(endDates&lt;=BR$5)))</f>
        <v>450.32212353515627</v>
      </c>
      <c r="BS48" s="246" cm="1">
        <f t="array" ref="BS48">SUM(_xlfn._xlws.FILTER(_xlfn._xlws.FILTER(dataGLPL,dataGLPLAcctIDs=$C48),(startDates&gt;=BS$4)*(endDates&lt;=BS$5)))</f>
        <v>354.12849515380861</v>
      </c>
      <c r="BT48" s="246" cm="1">
        <f t="array" ref="BT48">SUM(_xlfn._xlws.FILTER(_xlfn._xlws.FILTER(dataGLPL,dataGLPLAcctIDs=$C48),(startDates&gt;=BT$4)*(endDates&lt;=BT$5)))</f>
        <v>354.85098180572516</v>
      </c>
      <c r="BU48" s="246" cm="1">
        <f t="array" ref="BU48">SUM(_xlfn._xlws.FILTER(_xlfn._xlws.FILTER(dataGLPL,dataGLPLAcctIDs=$C48),(startDates&gt;=BU$4)*(endDates&lt;=BU$5)))</f>
        <v>375.606153621727</v>
      </c>
      <c r="BV48" s="246" cm="1">
        <f t="array" ref="BV48">SUM(_xlfn._xlws.FILTER(_xlfn._xlws.FILTER(dataGLPL,dataGLPLAcctIDs=$C48),(startDates&gt;=BV$4)*(endDates&lt;=BV$5)))</f>
        <v>392.75832425552932</v>
      </c>
      <c r="BW48" s="246" cm="1">
        <f t="array" ref="BW48">SUM(_xlfn._xlws.FILTER(_xlfn._xlws.FILTER(dataGLPL,dataGLPLAcctIDs=$C48),(startDates&gt;=BW$4)*(endDates&lt;=BW$5)))</f>
        <v>404.41081615649694</v>
      </c>
      <c r="BX48" s="246" cm="1">
        <f t="array" ref="BX48">SUM(_xlfn._xlws.FILTER(_xlfn._xlws.FILTER(dataGLPL,dataGLPLAcctIDs=$C48),(startDates&gt;=BX$4)*(endDates&lt;=BX$5)))</f>
        <v>408.11345654247754</v>
      </c>
      <c r="BY48" s="246" cm="1">
        <f t="array" ref="BY48">SUM(_xlfn._xlws.FILTER(_xlfn._xlws.FILTER(dataGLPL,dataGLPLAcctIDs=$C48),(startDates&gt;=BY$4)*(endDates&lt;=BY$5)))</f>
        <v>400.72693981875886</v>
      </c>
    </row>
    <row r="49" spans="1:77" s="201" customFormat="1" ht="21" customHeight="1">
      <c r="A49" s="215"/>
      <c r="B49" s="343" t="s">
        <v>261</v>
      </c>
      <c r="C49" s="343" t="s">
        <v>262</v>
      </c>
      <c r="D49" s="215"/>
      <c r="E49" s="216"/>
      <c r="F49" s="345">
        <f t="shared" ref="F49:I49" si="27">_xlfn.AGGREGATE(9,0, F$21:F$48)</f>
        <v>804245</v>
      </c>
      <c r="G49" s="345">
        <f t="shared" si="27"/>
        <v>1836654.3399999999</v>
      </c>
      <c r="H49" s="345">
        <f t="shared" si="27"/>
        <v>3189510.6434999998</v>
      </c>
      <c r="I49" s="345">
        <f t="shared" si="27"/>
        <v>3584650.4663251499</v>
      </c>
      <c r="J49" s="344"/>
      <c r="K49" s="344"/>
      <c r="L49" s="345">
        <f t="shared" ref="L49:AA49" si="28">_xlfn.AGGREGATE(9,0, L$21:L$48)</f>
        <v>156389</v>
      </c>
      <c r="M49" s="345">
        <f t="shared" si="28"/>
        <v>169254.5</v>
      </c>
      <c r="N49" s="345">
        <f t="shared" si="28"/>
        <v>183516.5</v>
      </c>
      <c r="O49" s="345">
        <f t="shared" si="28"/>
        <v>295085</v>
      </c>
      <c r="P49" s="345">
        <f t="shared" si="28"/>
        <v>342976.5</v>
      </c>
      <c r="Q49" s="345">
        <f t="shared" si="28"/>
        <v>419934.5</v>
      </c>
      <c r="R49" s="345">
        <f t="shared" si="28"/>
        <v>514914.5</v>
      </c>
      <c r="S49" s="345">
        <f t="shared" si="28"/>
        <v>558828.84000000008</v>
      </c>
      <c r="T49" s="345">
        <f t="shared" si="28"/>
        <v>646917.28999999992</v>
      </c>
      <c r="U49" s="345">
        <f t="shared" si="28"/>
        <v>749887.28000000014</v>
      </c>
      <c r="V49" s="345">
        <f t="shared" si="28"/>
        <v>869229.28</v>
      </c>
      <c r="W49" s="345">
        <f t="shared" si="28"/>
        <v>923476.79350000015</v>
      </c>
      <c r="X49" s="345">
        <f t="shared" si="28"/>
        <v>780146.08600219525</v>
      </c>
      <c r="Y49" s="345">
        <f t="shared" si="28"/>
        <v>889840.25774899893</v>
      </c>
      <c r="Z49" s="345">
        <f t="shared" si="28"/>
        <v>935366.34930551262</v>
      </c>
      <c r="AA49" s="345">
        <f t="shared" si="28"/>
        <v>979297.77326844377</v>
      </c>
      <c r="AB49" s="215"/>
      <c r="AC49" s="344"/>
      <c r="AD49" s="345">
        <f>_xlfn.AGGREGATE(9,0, AD$21:AD$48)</f>
        <v>50780</v>
      </c>
      <c r="AE49" s="345">
        <f t="shared" ref="AE49:BY49" si="29">_xlfn.AGGREGATE(9,0, AE$21:AE$48)</f>
        <v>52115</v>
      </c>
      <c r="AF49" s="345">
        <f t="shared" si="29"/>
        <v>53494</v>
      </c>
      <c r="AG49" s="345">
        <f t="shared" si="29"/>
        <v>54921.5</v>
      </c>
      <c r="AH49" s="345">
        <f t="shared" si="29"/>
        <v>56401</v>
      </c>
      <c r="AI49" s="345">
        <f t="shared" si="29"/>
        <v>57932</v>
      </c>
      <c r="AJ49" s="345">
        <f t="shared" si="29"/>
        <v>59514</v>
      </c>
      <c r="AK49" s="345">
        <f t="shared" si="29"/>
        <v>61153</v>
      </c>
      <c r="AL49" s="345">
        <f t="shared" si="29"/>
        <v>62849.5</v>
      </c>
      <c r="AM49" s="345">
        <f t="shared" si="29"/>
        <v>64606.5</v>
      </c>
      <c r="AN49" s="345">
        <f t="shared" si="29"/>
        <v>91586.5</v>
      </c>
      <c r="AO49" s="345">
        <f t="shared" si="29"/>
        <v>138892</v>
      </c>
      <c r="AP49" s="345">
        <f t="shared" si="29"/>
        <v>96166.5</v>
      </c>
      <c r="AQ49" s="345">
        <f t="shared" si="29"/>
        <v>145836</v>
      </c>
      <c r="AR49" s="345">
        <f t="shared" si="29"/>
        <v>100974</v>
      </c>
      <c r="AS49" s="345">
        <f t="shared" si="29"/>
        <v>153128</v>
      </c>
      <c r="AT49" s="345">
        <f t="shared" si="29"/>
        <v>106022</v>
      </c>
      <c r="AU49" s="345">
        <f t="shared" si="29"/>
        <v>160784.5</v>
      </c>
      <c r="AV49" s="345">
        <f t="shared" si="29"/>
        <v>168825</v>
      </c>
      <c r="AW49" s="345">
        <f t="shared" si="29"/>
        <v>168824.5</v>
      </c>
      <c r="AX49" s="345">
        <f t="shared" si="29"/>
        <v>177265</v>
      </c>
      <c r="AY49" s="345">
        <f t="shared" si="29"/>
        <v>177265.67</v>
      </c>
      <c r="AZ49" s="345">
        <f t="shared" si="29"/>
        <v>186128.67</v>
      </c>
      <c r="BA49" s="345">
        <f t="shared" si="29"/>
        <v>195434.5</v>
      </c>
      <c r="BB49" s="345">
        <f t="shared" si="29"/>
        <v>205207.28999999995</v>
      </c>
      <c r="BC49" s="345">
        <f t="shared" si="29"/>
        <v>215468</v>
      </c>
      <c r="BD49" s="345">
        <f t="shared" si="29"/>
        <v>226242</v>
      </c>
      <c r="BE49" s="345">
        <f t="shared" si="29"/>
        <v>237553</v>
      </c>
      <c r="BF49" s="345">
        <f t="shared" si="29"/>
        <v>249432</v>
      </c>
      <c r="BG49" s="345">
        <f t="shared" si="29"/>
        <v>262902.28000000003</v>
      </c>
      <c r="BH49" s="345">
        <f t="shared" si="29"/>
        <v>276797.38999999996</v>
      </c>
      <c r="BI49" s="345">
        <f t="shared" si="29"/>
        <v>289247.27</v>
      </c>
      <c r="BJ49" s="345">
        <f t="shared" si="29"/>
        <v>303184.62000000005</v>
      </c>
      <c r="BK49" s="345">
        <f t="shared" si="29"/>
        <v>318343.84999999992</v>
      </c>
      <c r="BL49" s="345">
        <f t="shared" si="29"/>
        <v>340311.05</v>
      </c>
      <c r="BM49" s="345">
        <f t="shared" si="29"/>
        <v>264821.89350000006</v>
      </c>
      <c r="BN49" s="345">
        <f t="shared" si="29"/>
        <v>255299.9716125</v>
      </c>
      <c r="BO49" s="345">
        <f t="shared" si="29"/>
        <v>260182.86914468752</v>
      </c>
      <c r="BP49" s="345">
        <f t="shared" si="29"/>
        <v>264663.24524500786</v>
      </c>
      <c r="BQ49" s="345">
        <f t="shared" si="29"/>
        <v>293091.85257955088</v>
      </c>
      <c r="BR49" s="345">
        <f t="shared" si="29"/>
        <v>295912.16061430553</v>
      </c>
      <c r="BS49" s="345">
        <f t="shared" si="29"/>
        <v>300836.24455514236</v>
      </c>
      <c r="BT49" s="345">
        <f t="shared" si="29"/>
        <v>308283.39140645898</v>
      </c>
      <c r="BU49" s="345">
        <f t="shared" si="29"/>
        <v>311864.70862040186</v>
      </c>
      <c r="BV49" s="345">
        <f t="shared" si="29"/>
        <v>315218.2492786519</v>
      </c>
      <c r="BW49" s="345">
        <f t="shared" si="29"/>
        <v>318374.59373453952</v>
      </c>
      <c r="BX49" s="345">
        <f t="shared" si="29"/>
        <v>321419.49010332924</v>
      </c>
      <c r="BY49" s="345">
        <f t="shared" si="29"/>
        <v>339503.689430575</v>
      </c>
    </row>
    <row r="50" spans="1:77" s="201" customFormat="1" ht="21" customHeight="1">
      <c r="A50" s="215"/>
      <c r="B50" s="343" t="s">
        <v>128</v>
      </c>
      <c r="C50" s="343" t="s">
        <v>263</v>
      </c>
      <c r="D50" s="215"/>
      <c r="E50" s="216"/>
      <c r="F50" s="345">
        <f t="shared" ref="F50:I50" si="30">(F$13 - F$19) - F$49</f>
        <v>-582681.5</v>
      </c>
      <c r="G50" s="345">
        <f t="shared" si="30"/>
        <v>-1295531</v>
      </c>
      <c r="H50" s="345">
        <f t="shared" si="30"/>
        <v>-2364723.3476060606</v>
      </c>
      <c r="I50" s="345">
        <f t="shared" si="30"/>
        <v>-2513632.6362585784</v>
      </c>
      <c r="J50" s="344"/>
      <c r="K50" s="344"/>
      <c r="L50" s="345">
        <f t="shared" ref="L50:AA50" si="31">(L$13 - L$19) - L$49</f>
        <v>-126765</v>
      </c>
      <c r="M50" s="345">
        <f t="shared" si="31"/>
        <v>-129824.5</v>
      </c>
      <c r="N50" s="345">
        <f t="shared" si="31"/>
        <v>-131034.5</v>
      </c>
      <c r="O50" s="345">
        <f t="shared" si="31"/>
        <v>-195057.5</v>
      </c>
      <c r="P50" s="345">
        <f t="shared" si="31"/>
        <v>-213006.5</v>
      </c>
      <c r="Q50" s="345">
        <f t="shared" si="31"/>
        <v>-288657</v>
      </c>
      <c r="R50" s="345">
        <f t="shared" si="31"/>
        <v>-380699</v>
      </c>
      <c r="S50" s="345">
        <f t="shared" si="31"/>
        <v>-413168.50000000012</v>
      </c>
      <c r="T50" s="345">
        <f t="shared" si="31"/>
        <v>-478295.48999999993</v>
      </c>
      <c r="U50" s="345">
        <f t="shared" si="31"/>
        <v>-546288.79000000015</v>
      </c>
      <c r="V50" s="345">
        <f t="shared" si="31"/>
        <v>-617761.99</v>
      </c>
      <c r="W50" s="345">
        <f t="shared" si="31"/>
        <v>-722377.07760606077</v>
      </c>
      <c r="X50" s="345">
        <f t="shared" si="31"/>
        <v>-541566.34537621867</v>
      </c>
      <c r="Y50" s="345">
        <f t="shared" si="31"/>
        <v>-611583.3248949491</v>
      </c>
      <c r="Z50" s="345">
        <f t="shared" si="31"/>
        <v>-657293.0905850206</v>
      </c>
      <c r="AA50" s="345">
        <f t="shared" si="31"/>
        <v>-703189.87540239072</v>
      </c>
      <c r="AB50" s="215"/>
      <c r="AC50" s="344"/>
      <c r="AD50" s="345">
        <f>(AD$13 - AD$19) - AD$49</f>
        <v>-41830</v>
      </c>
      <c r="AE50" s="345">
        <f t="shared" ref="AE50:BY50" si="32">(AE$13 - AE$19) - AE$49</f>
        <v>-42270</v>
      </c>
      <c r="AF50" s="345">
        <f t="shared" si="32"/>
        <v>-42665</v>
      </c>
      <c r="AG50" s="345">
        <f t="shared" si="32"/>
        <v>-43009.5</v>
      </c>
      <c r="AH50" s="345">
        <f t="shared" si="32"/>
        <v>-43297</v>
      </c>
      <c r="AI50" s="345">
        <f t="shared" si="32"/>
        <v>-43518</v>
      </c>
      <c r="AJ50" s="345">
        <f t="shared" si="32"/>
        <v>-43658</v>
      </c>
      <c r="AK50" s="345">
        <f t="shared" si="32"/>
        <v>-43712.5</v>
      </c>
      <c r="AL50" s="345">
        <f t="shared" si="32"/>
        <v>-43664</v>
      </c>
      <c r="AM50" s="345">
        <f t="shared" si="32"/>
        <v>-43503</v>
      </c>
      <c r="AN50" s="345">
        <f t="shared" si="32"/>
        <v>-48865</v>
      </c>
      <c r="AO50" s="345">
        <f t="shared" si="32"/>
        <v>-102689.5</v>
      </c>
      <c r="AP50" s="345">
        <f t="shared" si="32"/>
        <v>-51309</v>
      </c>
      <c r="AQ50" s="345">
        <f t="shared" si="32"/>
        <v>-107824</v>
      </c>
      <c r="AR50" s="345">
        <f t="shared" si="32"/>
        <v>-53873.5</v>
      </c>
      <c r="AS50" s="345">
        <f t="shared" si="32"/>
        <v>-113214.5</v>
      </c>
      <c r="AT50" s="345">
        <f t="shared" si="32"/>
        <v>-56566.5</v>
      </c>
      <c r="AU50" s="345">
        <f t="shared" si="32"/>
        <v>-118876</v>
      </c>
      <c r="AV50" s="345">
        <f t="shared" si="32"/>
        <v>-124820</v>
      </c>
      <c r="AW50" s="345">
        <f t="shared" si="32"/>
        <v>-124819</v>
      </c>
      <c r="AX50" s="345">
        <f t="shared" si="32"/>
        <v>-131060</v>
      </c>
      <c r="AY50" s="345">
        <f t="shared" si="32"/>
        <v>-131061.00000000001</v>
      </c>
      <c r="AZ50" s="345">
        <f t="shared" si="32"/>
        <v>-137614</v>
      </c>
      <c r="BA50" s="345">
        <f t="shared" si="32"/>
        <v>-144493.5</v>
      </c>
      <c r="BB50" s="345">
        <f t="shared" si="32"/>
        <v>-151719.48999999993</v>
      </c>
      <c r="BC50" s="345">
        <f t="shared" si="32"/>
        <v>-159305</v>
      </c>
      <c r="BD50" s="345">
        <f t="shared" si="32"/>
        <v>-167271</v>
      </c>
      <c r="BE50" s="345">
        <f t="shared" si="32"/>
        <v>-175634</v>
      </c>
      <c r="BF50" s="345">
        <f t="shared" si="32"/>
        <v>-184418</v>
      </c>
      <c r="BG50" s="345">
        <f t="shared" si="32"/>
        <v>-186236.79000000004</v>
      </c>
      <c r="BH50" s="345">
        <f t="shared" si="32"/>
        <v>-197618.62999999995</v>
      </c>
      <c r="BI50" s="345">
        <f t="shared" si="32"/>
        <v>-213984.57</v>
      </c>
      <c r="BJ50" s="345">
        <f t="shared" si="32"/>
        <v>-206158.79000000004</v>
      </c>
      <c r="BK50" s="345">
        <f t="shared" si="32"/>
        <v>-225366.72999999992</v>
      </c>
      <c r="BL50" s="345">
        <f t="shared" si="32"/>
        <v>-237685.06999999998</v>
      </c>
      <c r="BM50" s="345">
        <f t="shared" si="32"/>
        <v>-259325.27760606067</v>
      </c>
      <c r="BN50" s="345">
        <f t="shared" si="32"/>
        <v>-202313.27415595728</v>
      </c>
      <c r="BO50" s="345">
        <f t="shared" si="32"/>
        <v>-167373.95085138391</v>
      </c>
      <c r="BP50" s="345">
        <f t="shared" si="32"/>
        <v>-171879.12036887754</v>
      </c>
      <c r="BQ50" s="345">
        <f t="shared" si="32"/>
        <v>-200327.66053218342</v>
      </c>
      <c r="BR50" s="345">
        <f t="shared" si="32"/>
        <v>-203162.12821266078</v>
      </c>
      <c r="BS50" s="345">
        <f t="shared" si="32"/>
        <v>-208093.53615010474</v>
      </c>
      <c r="BT50" s="345">
        <f t="shared" si="32"/>
        <v>-215570.56091791109</v>
      </c>
      <c r="BU50" s="345">
        <f t="shared" si="32"/>
        <v>-219183.00733661483</v>
      </c>
      <c r="BV50" s="345">
        <f t="shared" si="32"/>
        <v>-222539.52233049477</v>
      </c>
      <c r="BW50" s="345">
        <f t="shared" si="32"/>
        <v>-225692.24241700699</v>
      </c>
      <c r="BX50" s="345">
        <f t="shared" si="32"/>
        <v>-228726.29564700992</v>
      </c>
      <c r="BY50" s="345">
        <f t="shared" si="32"/>
        <v>-248771.33733837394</v>
      </c>
    </row>
    <row r="51" spans="1:77" s="201" customFormat="1" ht="21" customHeight="1">
      <c r="A51" s="215"/>
      <c r="B51" s="343" t="s">
        <v>130</v>
      </c>
      <c r="C51" s="343" t="s">
        <v>130</v>
      </c>
      <c r="D51" s="215"/>
      <c r="E51" s="216"/>
      <c r="F51" s="345"/>
      <c r="G51" s="345"/>
      <c r="H51" s="345"/>
      <c r="I51" s="345"/>
      <c r="J51" s="344"/>
      <c r="K51" s="344"/>
      <c r="L51" s="345"/>
      <c r="M51" s="345"/>
      <c r="N51" s="345"/>
      <c r="O51" s="345"/>
      <c r="P51" s="345"/>
      <c r="Q51" s="345"/>
      <c r="R51" s="345"/>
      <c r="S51" s="345"/>
      <c r="T51" s="345"/>
      <c r="U51" s="345"/>
      <c r="V51" s="345"/>
      <c r="W51" s="345"/>
      <c r="X51" s="345"/>
      <c r="Y51" s="345"/>
      <c r="Z51" s="345"/>
      <c r="AA51" s="345"/>
      <c r="AB51" s="215"/>
      <c r="AC51" s="344"/>
      <c r="AD51" s="345"/>
      <c r="AE51" s="345"/>
      <c r="AF51" s="345"/>
      <c r="AG51" s="345"/>
      <c r="AH51" s="345"/>
      <c r="AI51" s="345"/>
      <c r="AJ51" s="345"/>
      <c r="AK51" s="345"/>
      <c r="AL51" s="345"/>
      <c r="AM51" s="345"/>
      <c r="AN51" s="345"/>
      <c r="AO51" s="345"/>
      <c r="AP51" s="345"/>
      <c r="AQ51" s="345"/>
      <c r="AR51" s="345"/>
      <c r="AS51" s="345"/>
      <c r="AT51" s="345"/>
      <c r="AU51" s="345"/>
      <c r="AV51" s="345"/>
      <c r="AW51" s="345"/>
      <c r="AX51" s="345"/>
      <c r="AY51" s="345"/>
      <c r="AZ51" s="345"/>
      <c r="BA51" s="345"/>
      <c r="BB51" s="345"/>
      <c r="BC51" s="345"/>
      <c r="BD51" s="345"/>
      <c r="BE51" s="345"/>
      <c r="BF51" s="345"/>
      <c r="BG51" s="345"/>
      <c r="BH51" s="345"/>
      <c r="BI51" s="345"/>
      <c r="BJ51" s="345"/>
      <c r="BK51" s="345"/>
      <c r="BL51" s="345"/>
      <c r="BM51" s="345"/>
      <c r="BN51" s="345"/>
      <c r="BO51" s="345"/>
      <c r="BP51" s="345"/>
      <c r="BQ51" s="345"/>
      <c r="BR51" s="345"/>
      <c r="BS51" s="345"/>
      <c r="BT51" s="345"/>
      <c r="BU51" s="345"/>
      <c r="BV51" s="345"/>
      <c r="BW51" s="345"/>
      <c r="BX51" s="345"/>
      <c r="BY51" s="345"/>
    </row>
    <row r="52" spans="1:77" s="201" customFormat="1" ht="21" customHeight="1">
      <c r="A52" s="215"/>
      <c r="B52" s="218" t="s">
        <v>264</v>
      </c>
      <c r="C52" s="343">
        <v>189</v>
      </c>
      <c r="D52" s="215"/>
      <c r="E52" s="216"/>
      <c r="F52" s="246" cm="1">
        <f t="array" ref="F52">SUM(_xlfn._xlws.FILTER(_xlfn._xlws.FILTER(dataGLPL,dataGLPLAcctIDs=$C52),(startDates&gt;=F$4)*(endDates&lt;=F$5)))</f>
        <v>0</v>
      </c>
      <c r="G52" s="246" cm="1">
        <f t="array" ref="G52">SUM(_xlfn._xlws.FILTER(_xlfn._xlws.FILTER(dataGLPL,dataGLPLAcctIDs=$C52),(startDates&gt;=G$4)*(endDates&lt;=G$5)))</f>
        <v>0</v>
      </c>
      <c r="H52" s="246" cm="1">
        <f t="array" ref="H52">SUM(_xlfn._xlws.FILTER(_xlfn._xlws.FILTER(dataGLPL,dataGLPLAcctIDs=$C52),(startDates&gt;=H$4)*(endDates&lt;=H$5)))</f>
        <v>0</v>
      </c>
      <c r="I52" s="246" cm="1">
        <f t="array" ref="I52">SUM(_xlfn._xlws.FILTER(_xlfn._xlws.FILTER(dataGLPL,dataGLPLAcctIDs=$C52),(startDates&gt;=I$4)*(endDates&lt;=I$5)))</f>
        <v>0</v>
      </c>
      <c r="J52" s="344"/>
      <c r="K52" s="344"/>
      <c r="L52" s="246" cm="1">
        <f t="array" ref="L52">SUM(_xlfn._xlws.FILTER(_xlfn._xlws.FILTER(dataGLPL,dataGLPLAcctIDs=$C52),(startDates&gt;=L$4)*(endDates&lt;=L$5)))</f>
        <v>0</v>
      </c>
      <c r="M52" s="246" cm="1">
        <f t="array" ref="M52">SUM(_xlfn._xlws.FILTER(_xlfn._xlws.FILTER(dataGLPL,dataGLPLAcctIDs=$C52),(startDates&gt;=M$4)*(endDates&lt;=M$5)))</f>
        <v>0</v>
      </c>
      <c r="N52" s="246" cm="1">
        <f t="array" ref="N52">SUM(_xlfn._xlws.FILTER(_xlfn._xlws.FILTER(dataGLPL,dataGLPLAcctIDs=$C52),(startDates&gt;=N$4)*(endDates&lt;=N$5)))</f>
        <v>0</v>
      </c>
      <c r="O52" s="246" cm="1">
        <f t="array" ref="O52">SUM(_xlfn._xlws.FILTER(_xlfn._xlws.FILTER(dataGLPL,dataGLPLAcctIDs=$C52),(startDates&gt;=O$4)*(endDates&lt;=O$5)))</f>
        <v>0</v>
      </c>
      <c r="P52" s="246" cm="1">
        <f t="array" ref="P52">SUM(_xlfn._xlws.FILTER(_xlfn._xlws.FILTER(dataGLPL,dataGLPLAcctIDs=$C52),(startDates&gt;=P$4)*(endDates&lt;=P$5)))</f>
        <v>0</v>
      </c>
      <c r="Q52" s="246" cm="1">
        <f t="array" ref="Q52">SUM(_xlfn._xlws.FILTER(_xlfn._xlws.FILTER(dataGLPL,dataGLPLAcctIDs=$C52),(startDates&gt;=Q$4)*(endDates&lt;=Q$5)))</f>
        <v>0</v>
      </c>
      <c r="R52" s="246" cm="1">
        <f t="array" ref="R52">SUM(_xlfn._xlws.FILTER(_xlfn._xlws.FILTER(dataGLPL,dataGLPLAcctIDs=$C52),(startDates&gt;=R$4)*(endDates&lt;=R$5)))</f>
        <v>0</v>
      </c>
      <c r="S52" s="246" cm="1">
        <f t="array" ref="S52">SUM(_xlfn._xlws.FILTER(_xlfn._xlws.FILTER(dataGLPL,dataGLPLAcctIDs=$C52),(startDates&gt;=S$4)*(endDates&lt;=S$5)))</f>
        <v>0</v>
      </c>
      <c r="T52" s="246" cm="1">
        <f t="array" ref="T52">SUM(_xlfn._xlws.FILTER(_xlfn._xlws.FILTER(dataGLPL,dataGLPLAcctIDs=$C52),(startDates&gt;=T$4)*(endDates&lt;=T$5)))</f>
        <v>0</v>
      </c>
      <c r="U52" s="246" cm="1">
        <f t="array" ref="U52">SUM(_xlfn._xlws.FILTER(_xlfn._xlws.FILTER(dataGLPL,dataGLPLAcctIDs=$C52),(startDates&gt;=U$4)*(endDates&lt;=U$5)))</f>
        <v>0</v>
      </c>
      <c r="V52" s="246" cm="1">
        <f t="array" ref="V52">SUM(_xlfn._xlws.FILTER(_xlfn._xlws.FILTER(dataGLPL,dataGLPLAcctIDs=$C52),(startDates&gt;=V$4)*(endDates&lt;=V$5)))</f>
        <v>0</v>
      </c>
      <c r="W52" s="246" cm="1">
        <f t="array" ref="W52">SUM(_xlfn._xlws.FILTER(_xlfn._xlws.FILTER(dataGLPL,dataGLPLAcctIDs=$C52),(startDates&gt;=W$4)*(endDates&lt;=W$5)))</f>
        <v>0</v>
      </c>
      <c r="X52" s="246" cm="1">
        <f t="array" ref="X52">SUM(_xlfn._xlws.FILTER(_xlfn._xlws.FILTER(dataGLPL,dataGLPLAcctIDs=$C52),(startDates&gt;=X$4)*(endDates&lt;=X$5)))</f>
        <v>0</v>
      </c>
      <c r="Y52" s="246" cm="1">
        <f t="array" ref="Y52">SUM(_xlfn._xlws.FILTER(_xlfn._xlws.FILTER(dataGLPL,dataGLPLAcctIDs=$C52),(startDates&gt;=Y$4)*(endDates&lt;=Y$5)))</f>
        <v>0</v>
      </c>
      <c r="Z52" s="246" cm="1">
        <f t="array" ref="Z52">SUM(_xlfn._xlws.FILTER(_xlfn._xlws.FILTER(dataGLPL,dataGLPLAcctIDs=$C52),(startDates&gt;=Z$4)*(endDates&lt;=Z$5)))</f>
        <v>0</v>
      </c>
      <c r="AA52" s="246" cm="1">
        <f t="array" ref="AA52">SUM(_xlfn._xlws.FILTER(_xlfn._xlws.FILTER(dataGLPL,dataGLPLAcctIDs=$C52),(startDates&gt;=AA$4)*(endDates&lt;=AA$5)))</f>
        <v>0</v>
      </c>
      <c r="AB52" s="215"/>
      <c r="AC52" s="344"/>
      <c r="AD52" s="246" cm="1">
        <f t="array" ref="AD52">SUM(_xlfn._xlws.FILTER(_xlfn._xlws.FILTER(dataGLPL,dataGLPLAcctIDs=$C52),(startDates&gt;=AD$4)*(endDates&lt;=AD$5)))</f>
        <v>0</v>
      </c>
      <c r="AE52" s="246" cm="1">
        <f t="array" ref="AE52">SUM(_xlfn._xlws.FILTER(_xlfn._xlws.FILTER(dataGLPL,dataGLPLAcctIDs=$C52),(startDates&gt;=AE$4)*(endDates&lt;=AE$5)))</f>
        <v>0</v>
      </c>
      <c r="AF52" s="246" cm="1">
        <f t="array" ref="AF52">SUM(_xlfn._xlws.FILTER(_xlfn._xlws.FILTER(dataGLPL,dataGLPLAcctIDs=$C52),(startDates&gt;=AF$4)*(endDates&lt;=AF$5)))</f>
        <v>0</v>
      </c>
      <c r="AG52" s="246" cm="1">
        <f t="array" ref="AG52">SUM(_xlfn._xlws.FILTER(_xlfn._xlws.FILTER(dataGLPL,dataGLPLAcctIDs=$C52),(startDates&gt;=AG$4)*(endDates&lt;=AG$5)))</f>
        <v>0</v>
      </c>
      <c r="AH52" s="246" cm="1">
        <f t="array" ref="AH52">SUM(_xlfn._xlws.FILTER(_xlfn._xlws.FILTER(dataGLPL,dataGLPLAcctIDs=$C52),(startDates&gt;=AH$4)*(endDates&lt;=AH$5)))</f>
        <v>0</v>
      </c>
      <c r="AI52" s="246" cm="1">
        <f t="array" ref="AI52">SUM(_xlfn._xlws.FILTER(_xlfn._xlws.FILTER(dataGLPL,dataGLPLAcctIDs=$C52),(startDates&gt;=AI$4)*(endDates&lt;=AI$5)))</f>
        <v>0</v>
      </c>
      <c r="AJ52" s="246" cm="1">
        <f t="array" ref="AJ52">SUM(_xlfn._xlws.FILTER(_xlfn._xlws.FILTER(dataGLPL,dataGLPLAcctIDs=$C52),(startDates&gt;=AJ$4)*(endDates&lt;=AJ$5)))</f>
        <v>0</v>
      </c>
      <c r="AK52" s="246" cm="1">
        <f t="array" ref="AK52">SUM(_xlfn._xlws.FILTER(_xlfn._xlws.FILTER(dataGLPL,dataGLPLAcctIDs=$C52),(startDates&gt;=AK$4)*(endDates&lt;=AK$5)))</f>
        <v>0</v>
      </c>
      <c r="AL52" s="246" cm="1">
        <f t="array" ref="AL52">SUM(_xlfn._xlws.FILTER(_xlfn._xlws.FILTER(dataGLPL,dataGLPLAcctIDs=$C52),(startDates&gt;=AL$4)*(endDates&lt;=AL$5)))</f>
        <v>0</v>
      </c>
      <c r="AM52" s="246" cm="1">
        <f t="array" ref="AM52">SUM(_xlfn._xlws.FILTER(_xlfn._xlws.FILTER(dataGLPL,dataGLPLAcctIDs=$C52),(startDates&gt;=AM$4)*(endDates&lt;=AM$5)))</f>
        <v>0</v>
      </c>
      <c r="AN52" s="246" cm="1">
        <f t="array" ref="AN52">SUM(_xlfn._xlws.FILTER(_xlfn._xlws.FILTER(dataGLPL,dataGLPLAcctIDs=$C52),(startDates&gt;=AN$4)*(endDates&lt;=AN$5)))</f>
        <v>0</v>
      </c>
      <c r="AO52" s="246" cm="1">
        <f t="array" ref="AO52">SUM(_xlfn._xlws.FILTER(_xlfn._xlws.FILTER(dataGLPL,dataGLPLAcctIDs=$C52),(startDates&gt;=AO$4)*(endDates&lt;=AO$5)))</f>
        <v>0</v>
      </c>
      <c r="AP52" s="246" cm="1">
        <f t="array" ref="AP52">SUM(_xlfn._xlws.FILTER(_xlfn._xlws.FILTER(dataGLPL,dataGLPLAcctIDs=$C52),(startDates&gt;=AP$4)*(endDates&lt;=AP$5)))</f>
        <v>0</v>
      </c>
      <c r="AQ52" s="246" cm="1">
        <f t="array" ref="AQ52">SUM(_xlfn._xlws.FILTER(_xlfn._xlws.FILTER(dataGLPL,dataGLPLAcctIDs=$C52),(startDates&gt;=AQ$4)*(endDates&lt;=AQ$5)))</f>
        <v>0</v>
      </c>
      <c r="AR52" s="246" cm="1">
        <f t="array" ref="AR52">SUM(_xlfn._xlws.FILTER(_xlfn._xlws.FILTER(dataGLPL,dataGLPLAcctIDs=$C52),(startDates&gt;=AR$4)*(endDates&lt;=AR$5)))</f>
        <v>0</v>
      </c>
      <c r="AS52" s="246" cm="1">
        <f t="array" ref="AS52">SUM(_xlfn._xlws.FILTER(_xlfn._xlws.FILTER(dataGLPL,dataGLPLAcctIDs=$C52),(startDates&gt;=AS$4)*(endDates&lt;=AS$5)))</f>
        <v>0</v>
      </c>
      <c r="AT52" s="246" cm="1">
        <f t="array" ref="AT52">SUM(_xlfn._xlws.FILTER(_xlfn._xlws.FILTER(dataGLPL,dataGLPLAcctIDs=$C52),(startDates&gt;=AT$4)*(endDates&lt;=AT$5)))</f>
        <v>0</v>
      </c>
      <c r="AU52" s="246" cm="1">
        <f t="array" ref="AU52">SUM(_xlfn._xlws.FILTER(_xlfn._xlws.FILTER(dataGLPL,dataGLPLAcctIDs=$C52),(startDates&gt;=AU$4)*(endDates&lt;=AU$5)))</f>
        <v>0</v>
      </c>
      <c r="AV52" s="246" cm="1">
        <f t="array" ref="AV52">SUM(_xlfn._xlws.FILTER(_xlfn._xlws.FILTER(dataGLPL,dataGLPLAcctIDs=$C52),(startDates&gt;=AV$4)*(endDates&lt;=AV$5)))</f>
        <v>0</v>
      </c>
      <c r="AW52" s="246" cm="1">
        <f t="array" ref="AW52">SUM(_xlfn._xlws.FILTER(_xlfn._xlws.FILTER(dataGLPL,dataGLPLAcctIDs=$C52),(startDates&gt;=AW$4)*(endDates&lt;=AW$5)))</f>
        <v>0</v>
      </c>
      <c r="AX52" s="246" cm="1">
        <f t="array" ref="AX52">SUM(_xlfn._xlws.FILTER(_xlfn._xlws.FILTER(dataGLPL,dataGLPLAcctIDs=$C52),(startDates&gt;=AX$4)*(endDates&lt;=AX$5)))</f>
        <v>0</v>
      </c>
      <c r="AY52" s="246" cm="1">
        <f t="array" ref="AY52">SUM(_xlfn._xlws.FILTER(_xlfn._xlws.FILTER(dataGLPL,dataGLPLAcctIDs=$C52),(startDates&gt;=AY$4)*(endDates&lt;=AY$5)))</f>
        <v>0</v>
      </c>
      <c r="AZ52" s="246" cm="1">
        <f t="array" ref="AZ52">SUM(_xlfn._xlws.FILTER(_xlfn._xlws.FILTER(dataGLPL,dataGLPLAcctIDs=$C52),(startDates&gt;=AZ$4)*(endDates&lt;=AZ$5)))</f>
        <v>0</v>
      </c>
      <c r="BA52" s="246" cm="1">
        <f t="array" ref="BA52">SUM(_xlfn._xlws.FILTER(_xlfn._xlws.FILTER(dataGLPL,dataGLPLAcctIDs=$C52),(startDates&gt;=BA$4)*(endDates&lt;=BA$5)))</f>
        <v>0</v>
      </c>
      <c r="BB52" s="246" cm="1">
        <f t="array" ref="BB52">SUM(_xlfn._xlws.FILTER(_xlfn._xlws.FILTER(dataGLPL,dataGLPLAcctIDs=$C52),(startDates&gt;=BB$4)*(endDates&lt;=BB$5)))</f>
        <v>0</v>
      </c>
      <c r="BC52" s="246" cm="1">
        <f t="array" ref="BC52">SUM(_xlfn._xlws.FILTER(_xlfn._xlws.FILTER(dataGLPL,dataGLPLAcctIDs=$C52),(startDates&gt;=BC$4)*(endDates&lt;=BC$5)))</f>
        <v>0</v>
      </c>
      <c r="BD52" s="246" cm="1">
        <f t="array" ref="BD52">SUM(_xlfn._xlws.FILTER(_xlfn._xlws.FILTER(dataGLPL,dataGLPLAcctIDs=$C52),(startDates&gt;=BD$4)*(endDates&lt;=BD$5)))</f>
        <v>0</v>
      </c>
      <c r="BE52" s="246" cm="1">
        <f t="array" ref="BE52">SUM(_xlfn._xlws.FILTER(_xlfn._xlws.FILTER(dataGLPL,dataGLPLAcctIDs=$C52),(startDates&gt;=BE$4)*(endDates&lt;=BE$5)))</f>
        <v>0</v>
      </c>
      <c r="BF52" s="246" cm="1">
        <f t="array" ref="BF52">SUM(_xlfn._xlws.FILTER(_xlfn._xlws.FILTER(dataGLPL,dataGLPLAcctIDs=$C52),(startDates&gt;=BF$4)*(endDates&lt;=BF$5)))</f>
        <v>0</v>
      </c>
      <c r="BG52" s="246" cm="1">
        <f t="array" ref="BG52">SUM(_xlfn._xlws.FILTER(_xlfn._xlws.FILTER(dataGLPL,dataGLPLAcctIDs=$C52),(startDates&gt;=BG$4)*(endDates&lt;=BG$5)))</f>
        <v>0</v>
      </c>
      <c r="BH52" s="246" cm="1">
        <f t="array" ref="BH52">SUM(_xlfn._xlws.FILTER(_xlfn._xlws.FILTER(dataGLPL,dataGLPLAcctIDs=$C52),(startDates&gt;=BH$4)*(endDates&lt;=BH$5)))</f>
        <v>0</v>
      </c>
      <c r="BI52" s="246" cm="1">
        <f t="array" ref="BI52">SUM(_xlfn._xlws.FILTER(_xlfn._xlws.FILTER(dataGLPL,dataGLPLAcctIDs=$C52),(startDates&gt;=BI$4)*(endDates&lt;=BI$5)))</f>
        <v>0</v>
      </c>
      <c r="BJ52" s="246" cm="1">
        <f t="array" ref="BJ52">SUM(_xlfn._xlws.FILTER(_xlfn._xlws.FILTER(dataGLPL,dataGLPLAcctIDs=$C52),(startDates&gt;=BJ$4)*(endDates&lt;=BJ$5)))</f>
        <v>0</v>
      </c>
      <c r="BK52" s="246" cm="1">
        <f t="array" ref="BK52">SUM(_xlfn._xlws.FILTER(_xlfn._xlws.FILTER(dataGLPL,dataGLPLAcctIDs=$C52),(startDates&gt;=BK$4)*(endDates&lt;=BK$5)))</f>
        <v>0</v>
      </c>
      <c r="BL52" s="246" cm="1">
        <f t="array" ref="BL52">SUM(_xlfn._xlws.FILTER(_xlfn._xlws.FILTER(dataGLPL,dataGLPLAcctIDs=$C52),(startDates&gt;=BL$4)*(endDates&lt;=BL$5)))</f>
        <v>0</v>
      </c>
      <c r="BM52" s="246" cm="1">
        <f t="array" ref="BM52">SUM(_xlfn._xlws.FILTER(_xlfn._xlws.FILTER(dataGLPL,dataGLPLAcctIDs=$C52),(startDates&gt;=BM$4)*(endDates&lt;=BM$5)))</f>
        <v>0</v>
      </c>
      <c r="BN52" s="246" cm="1">
        <f t="array" ref="BN52">SUM(_xlfn._xlws.FILTER(_xlfn._xlws.FILTER(dataGLPL,dataGLPLAcctIDs=$C52),(startDates&gt;=BN$4)*(endDates&lt;=BN$5)))</f>
        <v>0</v>
      </c>
      <c r="BO52" s="246" cm="1">
        <f t="array" ref="BO52">SUM(_xlfn._xlws.FILTER(_xlfn._xlws.FILTER(dataGLPL,dataGLPLAcctIDs=$C52),(startDates&gt;=BO$4)*(endDates&lt;=BO$5)))</f>
        <v>0</v>
      </c>
      <c r="BP52" s="246" cm="1">
        <f t="array" ref="BP52">SUM(_xlfn._xlws.FILTER(_xlfn._xlws.FILTER(dataGLPL,dataGLPLAcctIDs=$C52),(startDates&gt;=BP$4)*(endDates&lt;=BP$5)))</f>
        <v>0</v>
      </c>
      <c r="BQ52" s="246" cm="1">
        <f t="array" ref="BQ52">SUM(_xlfn._xlws.FILTER(_xlfn._xlws.FILTER(dataGLPL,dataGLPLAcctIDs=$C52),(startDates&gt;=BQ$4)*(endDates&lt;=BQ$5)))</f>
        <v>0</v>
      </c>
      <c r="BR52" s="246" cm="1">
        <f t="array" ref="BR52">SUM(_xlfn._xlws.FILTER(_xlfn._xlws.FILTER(dataGLPL,dataGLPLAcctIDs=$C52),(startDates&gt;=BR$4)*(endDates&lt;=BR$5)))</f>
        <v>0</v>
      </c>
      <c r="BS52" s="246" cm="1">
        <f t="array" ref="BS52">SUM(_xlfn._xlws.FILTER(_xlfn._xlws.FILTER(dataGLPL,dataGLPLAcctIDs=$C52),(startDates&gt;=BS$4)*(endDates&lt;=BS$5)))</f>
        <v>0</v>
      </c>
      <c r="BT52" s="246" cm="1">
        <f t="array" ref="BT52">SUM(_xlfn._xlws.FILTER(_xlfn._xlws.FILTER(dataGLPL,dataGLPLAcctIDs=$C52),(startDates&gt;=BT$4)*(endDates&lt;=BT$5)))</f>
        <v>0</v>
      </c>
      <c r="BU52" s="246" cm="1">
        <f t="array" ref="BU52">SUM(_xlfn._xlws.FILTER(_xlfn._xlws.FILTER(dataGLPL,dataGLPLAcctIDs=$C52),(startDates&gt;=BU$4)*(endDates&lt;=BU$5)))</f>
        <v>0</v>
      </c>
      <c r="BV52" s="246" cm="1">
        <f t="array" ref="BV52">SUM(_xlfn._xlws.FILTER(_xlfn._xlws.FILTER(dataGLPL,dataGLPLAcctIDs=$C52),(startDates&gt;=BV$4)*(endDates&lt;=BV$5)))</f>
        <v>0</v>
      </c>
      <c r="BW52" s="246" cm="1">
        <f t="array" ref="BW52">SUM(_xlfn._xlws.FILTER(_xlfn._xlws.FILTER(dataGLPL,dataGLPLAcctIDs=$C52),(startDates&gt;=BW$4)*(endDates&lt;=BW$5)))</f>
        <v>0</v>
      </c>
      <c r="BX52" s="246" cm="1">
        <f t="array" ref="BX52">SUM(_xlfn._xlws.FILTER(_xlfn._xlws.FILTER(dataGLPL,dataGLPLAcctIDs=$C52),(startDates&gt;=BX$4)*(endDates&lt;=BX$5)))</f>
        <v>0</v>
      </c>
      <c r="BY52" s="246" cm="1">
        <f t="array" ref="BY52">SUM(_xlfn._xlws.FILTER(_xlfn._xlws.FILTER(dataGLPL,dataGLPLAcctIDs=$C52),(startDates&gt;=BY$4)*(endDates&lt;=BY$5)))</f>
        <v>0</v>
      </c>
    </row>
    <row r="53" spans="1:77" s="201" customFormat="1" ht="21" customHeight="1">
      <c r="A53" s="215"/>
      <c r="B53" s="218" t="s">
        <v>265</v>
      </c>
      <c r="C53" s="343">
        <v>190</v>
      </c>
      <c r="D53" s="215"/>
      <c r="E53" s="216"/>
      <c r="F53" s="246" cm="1">
        <f t="array" ref="F53">SUM(_xlfn._xlws.FILTER(_xlfn._xlws.FILTER(dataGLPL,dataGLPLAcctIDs=$C53),(startDates&gt;=F$4)*(endDates&lt;=F$5)))</f>
        <v>0</v>
      </c>
      <c r="G53" s="246" cm="1">
        <f t="array" ref="G53">SUM(_xlfn._xlws.FILTER(_xlfn._xlws.FILTER(dataGLPL,dataGLPLAcctIDs=$C53),(startDates&gt;=G$4)*(endDates&lt;=G$5)))</f>
        <v>0</v>
      </c>
      <c r="H53" s="246" cm="1">
        <f t="array" ref="H53">SUM(_xlfn._xlws.FILTER(_xlfn._xlws.FILTER(dataGLPL,dataGLPLAcctIDs=$C53),(startDates&gt;=H$4)*(endDates&lt;=H$5)))</f>
        <v>0</v>
      </c>
      <c r="I53" s="246" cm="1">
        <f t="array" ref="I53">SUM(_xlfn._xlws.FILTER(_xlfn._xlws.FILTER(dataGLPL,dataGLPLAcctIDs=$C53),(startDates&gt;=I$4)*(endDates&lt;=I$5)))</f>
        <v>0</v>
      </c>
      <c r="J53" s="344"/>
      <c r="K53" s="344"/>
      <c r="L53" s="246" cm="1">
        <f t="array" ref="L53">SUM(_xlfn._xlws.FILTER(_xlfn._xlws.FILTER(dataGLPL,dataGLPLAcctIDs=$C53),(startDates&gt;=L$4)*(endDates&lt;=L$5)))</f>
        <v>0</v>
      </c>
      <c r="M53" s="246" cm="1">
        <f t="array" ref="M53">SUM(_xlfn._xlws.FILTER(_xlfn._xlws.FILTER(dataGLPL,dataGLPLAcctIDs=$C53),(startDates&gt;=M$4)*(endDates&lt;=M$5)))</f>
        <v>0</v>
      </c>
      <c r="N53" s="246" cm="1">
        <f t="array" ref="N53">SUM(_xlfn._xlws.FILTER(_xlfn._xlws.FILTER(dataGLPL,dataGLPLAcctIDs=$C53),(startDates&gt;=N$4)*(endDates&lt;=N$5)))</f>
        <v>0</v>
      </c>
      <c r="O53" s="246" cm="1">
        <f t="array" ref="O53">SUM(_xlfn._xlws.FILTER(_xlfn._xlws.FILTER(dataGLPL,dataGLPLAcctIDs=$C53),(startDates&gt;=O$4)*(endDates&lt;=O$5)))</f>
        <v>0</v>
      </c>
      <c r="P53" s="246" cm="1">
        <f t="array" ref="P53">SUM(_xlfn._xlws.FILTER(_xlfn._xlws.FILTER(dataGLPL,dataGLPLAcctIDs=$C53),(startDates&gt;=P$4)*(endDates&lt;=P$5)))</f>
        <v>0</v>
      </c>
      <c r="Q53" s="246" cm="1">
        <f t="array" ref="Q53">SUM(_xlfn._xlws.FILTER(_xlfn._xlws.FILTER(dataGLPL,dataGLPLAcctIDs=$C53),(startDates&gt;=Q$4)*(endDates&lt;=Q$5)))</f>
        <v>0</v>
      </c>
      <c r="R53" s="246" cm="1">
        <f t="array" ref="R53">SUM(_xlfn._xlws.FILTER(_xlfn._xlws.FILTER(dataGLPL,dataGLPLAcctIDs=$C53),(startDates&gt;=R$4)*(endDates&lt;=R$5)))</f>
        <v>0</v>
      </c>
      <c r="S53" s="246" cm="1">
        <f t="array" ref="S53">SUM(_xlfn._xlws.FILTER(_xlfn._xlws.FILTER(dataGLPL,dataGLPLAcctIDs=$C53),(startDates&gt;=S$4)*(endDates&lt;=S$5)))</f>
        <v>0</v>
      </c>
      <c r="T53" s="246" cm="1">
        <f t="array" ref="T53">SUM(_xlfn._xlws.FILTER(_xlfn._xlws.FILTER(dataGLPL,dataGLPLAcctIDs=$C53),(startDates&gt;=T$4)*(endDates&lt;=T$5)))</f>
        <v>0</v>
      </c>
      <c r="U53" s="246" cm="1">
        <f t="array" ref="U53">SUM(_xlfn._xlws.FILTER(_xlfn._xlws.FILTER(dataGLPL,dataGLPLAcctIDs=$C53),(startDates&gt;=U$4)*(endDates&lt;=U$5)))</f>
        <v>0</v>
      </c>
      <c r="V53" s="246" cm="1">
        <f t="array" ref="V53">SUM(_xlfn._xlws.FILTER(_xlfn._xlws.FILTER(dataGLPL,dataGLPLAcctIDs=$C53),(startDates&gt;=V$4)*(endDates&lt;=V$5)))</f>
        <v>0</v>
      </c>
      <c r="W53" s="246" cm="1">
        <f t="array" ref="W53">SUM(_xlfn._xlws.FILTER(_xlfn._xlws.FILTER(dataGLPL,dataGLPLAcctIDs=$C53),(startDates&gt;=W$4)*(endDates&lt;=W$5)))</f>
        <v>0</v>
      </c>
      <c r="X53" s="246" cm="1">
        <f t="array" ref="X53">SUM(_xlfn._xlws.FILTER(_xlfn._xlws.FILTER(dataGLPL,dataGLPLAcctIDs=$C53),(startDates&gt;=X$4)*(endDates&lt;=X$5)))</f>
        <v>0</v>
      </c>
      <c r="Y53" s="246" cm="1">
        <f t="array" ref="Y53">SUM(_xlfn._xlws.FILTER(_xlfn._xlws.FILTER(dataGLPL,dataGLPLAcctIDs=$C53),(startDates&gt;=Y$4)*(endDates&lt;=Y$5)))</f>
        <v>0</v>
      </c>
      <c r="Z53" s="246" cm="1">
        <f t="array" ref="Z53">SUM(_xlfn._xlws.FILTER(_xlfn._xlws.FILTER(dataGLPL,dataGLPLAcctIDs=$C53),(startDates&gt;=Z$4)*(endDates&lt;=Z$5)))</f>
        <v>0</v>
      </c>
      <c r="AA53" s="246" cm="1">
        <f t="array" ref="AA53">SUM(_xlfn._xlws.FILTER(_xlfn._xlws.FILTER(dataGLPL,dataGLPLAcctIDs=$C53),(startDates&gt;=AA$4)*(endDates&lt;=AA$5)))</f>
        <v>0</v>
      </c>
      <c r="AB53" s="215"/>
      <c r="AC53" s="344"/>
      <c r="AD53" s="246" cm="1">
        <f t="array" ref="AD53">SUM(_xlfn._xlws.FILTER(_xlfn._xlws.FILTER(dataGLPL,dataGLPLAcctIDs=$C53),(startDates&gt;=AD$4)*(endDates&lt;=AD$5)))</f>
        <v>0</v>
      </c>
      <c r="AE53" s="246" cm="1">
        <f t="array" ref="AE53">SUM(_xlfn._xlws.FILTER(_xlfn._xlws.FILTER(dataGLPL,dataGLPLAcctIDs=$C53),(startDates&gt;=AE$4)*(endDates&lt;=AE$5)))</f>
        <v>0</v>
      </c>
      <c r="AF53" s="246" cm="1">
        <f t="array" ref="AF53">SUM(_xlfn._xlws.FILTER(_xlfn._xlws.FILTER(dataGLPL,dataGLPLAcctIDs=$C53),(startDates&gt;=AF$4)*(endDates&lt;=AF$5)))</f>
        <v>0</v>
      </c>
      <c r="AG53" s="246" cm="1">
        <f t="array" ref="AG53">SUM(_xlfn._xlws.FILTER(_xlfn._xlws.FILTER(dataGLPL,dataGLPLAcctIDs=$C53),(startDates&gt;=AG$4)*(endDates&lt;=AG$5)))</f>
        <v>0</v>
      </c>
      <c r="AH53" s="246" cm="1">
        <f t="array" ref="AH53">SUM(_xlfn._xlws.FILTER(_xlfn._xlws.FILTER(dataGLPL,dataGLPLAcctIDs=$C53),(startDates&gt;=AH$4)*(endDates&lt;=AH$5)))</f>
        <v>0</v>
      </c>
      <c r="AI53" s="246" cm="1">
        <f t="array" ref="AI53">SUM(_xlfn._xlws.FILTER(_xlfn._xlws.FILTER(dataGLPL,dataGLPLAcctIDs=$C53),(startDates&gt;=AI$4)*(endDates&lt;=AI$5)))</f>
        <v>0</v>
      </c>
      <c r="AJ53" s="246" cm="1">
        <f t="array" ref="AJ53">SUM(_xlfn._xlws.FILTER(_xlfn._xlws.FILTER(dataGLPL,dataGLPLAcctIDs=$C53),(startDates&gt;=AJ$4)*(endDates&lt;=AJ$5)))</f>
        <v>0</v>
      </c>
      <c r="AK53" s="246" cm="1">
        <f t="array" ref="AK53">SUM(_xlfn._xlws.FILTER(_xlfn._xlws.FILTER(dataGLPL,dataGLPLAcctIDs=$C53),(startDates&gt;=AK$4)*(endDates&lt;=AK$5)))</f>
        <v>0</v>
      </c>
      <c r="AL53" s="246" cm="1">
        <f t="array" ref="AL53">SUM(_xlfn._xlws.FILTER(_xlfn._xlws.FILTER(dataGLPL,dataGLPLAcctIDs=$C53),(startDates&gt;=AL$4)*(endDates&lt;=AL$5)))</f>
        <v>0</v>
      </c>
      <c r="AM53" s="246" cm="1">
        <f t="array" ref="AM53">SUM(_xlfn._xlws.FILTER(_xlfn._xlws.FILTER(dataGLPL,dataGLPLAcctIDs=$C53),(startDates&gt;=AM$4)*(endDates&lt;=AM$5)))</f>
        <v>0</v>
      </c>
      <c r="AN53" s="246" cm="1">
        <f t="array" ref="AN53">SUM(_xlfn._xlws.FILTER(_xlfn._xlws.FILTER(dataGLPL,dataGLPLAcctIDs=$C53),(startDates&gt;=AN$4)*(endDates&lt;=AN$5)))</f>
        <v>0</v>
      </c>
      <c r="AO53" s="246" cm="1">
        <f t="array" ref="AO53">SUM(_xlfn._xlws.FILTER(_xlfn._xlws.FILTER(dataGLPL,dataGLPLAcctIDs=$C53),(startDates&gt;=AO$4)*(endDates&lt;=AO$5)))</f>
        <v>0</v>
      </c>
      <c r="AP53" s="246" cm="1">
        <f t="array" ref="AP53">SUM(_xlfn._xlws.FILTER(_xlfn._xlws.FILTER(dataGLPL,dataGLPLAcctIDs=$C53),(startDates&gt;=AP$4)*(endDates&lt;=AP$5)))</f>
        <v>0</v>
      </c>
      <c r="AQ53" s="246" cm="1">
        <f t="array" ref="AQ53">SUM(_xlfn._xlws.FILTER(_xlfn._xlws.FILTER(dataGLPL,dataGLPLAcctIDs=$C53),(startDates&gt;=AQ$4)*(endDates&lt;=AQ$5)))</f>
        <v>0</v>
      </c>
      <c r="AR53" s="246" cm="1">
        <f t="array" ref="AR53">SUM(_xlfn._xlws.FILTER(_xlfn._xlws.FILTER(dataGLPL,dataGLPLAcctIDs=$C53),(startDates&gt;=AR$4)*(endDates&lt;=AR$5)))</f>
        <v>0</v>
      </c>
      <c r="AS53" s="246" cm="1">
        <f t="array" ref="AS53">SUM(_xlfn._xlws.FILTER(_xlfn._xlws.FILTER(dataGLPL,dataGLPLAcctIDs=$C53),(startDates&gt;=AS$4)*(endDates&lt;=AS$5)))</f>
        <v>0</v>
      </c>
      <c r="AT53" s="246" cm="1">
        <f t="array" ref="AT53">SUM(_xlfn._xlws.FILTER(_xlfn._xlws.FILTER(dataGLPL,dataGLPLAcctIDs=$C53),(startDates&gt;=AT$4)*(endDates&lt;=AT$5)))</f>
        <v>0</v>
      </c>
      <c r="AU53" s="246" cm="1">
        <f t="array" ref="AU53">SUM(_xlfn._xlws.FILTER(_xlfn._xlws.FILTER(dataGLPL,dataGLPLAcctIDs=$C53),(startDates&gt;=AU$4)*(endDates&lt;=AU$5)))</f>
        <v>0</v>
      </c>
      <c r="AV53" s="246" cm="1">
        <f t="array" ref="AV53">SUM(_xlfn._xlws.FILTER(_xlfn._xlws.FILTER(dataGLPL,dataGLPLAcctIDs=$C53),(startDates&gt;=AV$4)*(endDates&lt;=AV$5)))</f>
        <v>0</v>
      </c>
      <c r="AW53" s="246" cm="1">
        <f t="array" ref="AW53">SUM(_xlfn._xlws.FILTER(_xlfn._xlws.FILTER(dataGLPL,dataGLPLAcctIDs=$C53),(startDates&gt;=AW$4)*(endDates&lt;=AW$5)))</f>
        <v>0</v>
      </c>
      <c r="AX53" s="246" cm="1">
        <f t="array" ref="AX53">SUM(_xlfn._xlws.FILTER(_xlfn._xlws.FILTER(dataGLPL,dataGLPLAcctIDs=$C53),(startDates&gt;=AX$4)*(endDates&lt;=AX$5)))</f>
        <v>0</v>
      </c>
      <c r="AY53" s="246" cm="1">
        <f t="array" ref="AY53">SUM(_xlfn._xlws.FILTER(_xlfn._xlws.FILTER(dataGLPL,dataGLPLAcctIDs=$C53),(startDates&gt;=AY$4)*(endDates&lt;=AY$5)))</f>
        <v>0</v>
      </c>
      <c r="AZ53" s="246" cm="1">
        <f t="array" ref="AZ53">SUM(_xlfn._xlws.FILTER(_xlfn._xlws.FILTER(dataGLPL,dataGLPLAcctIDs=$C53),(startDates&gt;=AZ$4)*(endDates&lt;=AZ$5)))</f>
        <v>0</v>
      </c>
      <c r="BA53" s="246" cm="1">
        <f t="array" ref="BA53">SUM(_xlfn._xlws.FILTER(_xlfn._xlws.FILTER(dataGLPL,dataGLPLAcctIDs=$C53),(startDates&gt;=BA$4)*(endDates&lt;=BA$5)))</f>
        <v>0</v>
      </c>
      <c r="BB53" s="246" cm="1">
        <f t="array" ref="BB53">SUM(_xlfn._xlws.FILTER(_xlfn._xlws.FILTER(dataGLPL,dataGLPLAcctIDs=$C53),(startDates&gt;=BB$4)*(endDates&lt;=BB$5)))</f>
        <v>0</v>
      </c>
      <c r="BC53" s="246" cm="1">
        <f t="array" ref="BC53">SUM(_xlfn._xlws.FILTER(_xlfn._xlws.FILTER(dataGLPL,dataGLPLAcctIDs=$C53),(startDates&gt;=BC$4)*(endDates&lt;=BC$5)))</f>
        <v>0</v>
      </c>
      <c r="BD53" s="246" cm="1">
        <f t="array" ref="BD53">SUM(_xlfn._xlws.FILTER(_xlfn._xlws.FILTER(dataGLPL,dataGLPLAcctIDs=$C53),(startDates&gt;=BD$4)*(endDates&lt;=BD$5)))</f>
        <v>0</v>
      </c>
      <c r="BE53" s="246" cm="1">
        <f t="array" ref="BE53">SUM(_xlfn._xlws.FILTER(_xlfn._xlws.FILTER(dataGLPL,dataGLPLAcctIDs=$C53),(startDates&gt;=BE$4)*(endDates&lt;=BE$5)))</f>
        <v>0</v>
      </c>
      <c r="BF53" s="246" cm="1">
        <f t="array" ref="BF53">SUM(_xlfn._xlws.FILTER(_xlfn._xlws.FILTER(dataGLPL,dataGLPLAcctIDs=$C53),(startDates&gt;=BF$4)*(endDates&lt;=BF$5)))</f>
        <v>0</v>
      </c>
      <c r="BG53" s="246" cm="1">
        <f t="array" ref="BG53">SUM(_xlfn._xlws.FILTER(_xlfn._xlws.FILTER(dataGLPL,dataGLPLAcctIDs=$C53),(startDates&gt;=BG$4)*(endDates&lt;=BG$5)))</f>
        <v>0</v>
      </c>
      <c r="BH53" s="246" cm="1">
        <f t="array" ref="BH53">SUM(_xlfn._xlws.FILTER(_xlfn._xlws.FILTER(dataGLPL,dataGLPLAcctIDs=$C53),(startDates&gt;=BH$4)*(endDates&lt;=BH$5)))</f>
        <v>0</v>
      </c>
      <c r="BI53" s="246" cm="1">
        <f t="array" ref="BI53">SUM(_xlfn._xlws.FILTER(_xlfn._xlws.FILTER(dataGLPL,dataGLPLAcctIDs=$C53),(startDates&gt;=BI$4)*(endDates&lt;=BI$5)))</f>
        <v>0</v>
      </c>
      <c r="BJ53" s="246" cm="1">
        <f t="array" ref="BJ53">SUM(_xlfn._xlws.FILTER(_xlfn._xlws.FILTER(dataGLPL,dataGLPLAcctIDs=$C53),(startDates&gt;=BJ$4)*(endDates&lt;=BJ$5)))</f>
        <v>0</v>
      </c>
      <c r="BK53" s="246" cm="1">
        <f t="array" ref="BK53">SUM(_xlfn._xlws.FILTER(_xlfn._xlws.FILTER(dataGLPL,dataGLPLAcctIDs=$C53),(startDates&gt;=BK$4)*(endDates&lt;=BK$5)))</f>
        <v>0</v>
      </c>
      <c r="BL53" s="246" cm="1">
        <f t="array" ref="BL53">SUM(_xlfn._xlws.FILTER(_xlfn._xlws.FILTER(dataGLPL,dataGLPLAcctIDs=$C53),(startDates&gt;=BL$4)*(endDates&lt;=BL$5)))</f>
        <v>0</v>
      </c>
      <c r="BM53" s="246" cm="1">
        <f t="array" ref="BM53">SUM(_xlfn._xlws.FILTER(_xlfn._xlws.FILTER(dataGLPL,dataGLPLAcctIDs=$C53),(startDates&gt;=BM$4)*(endDates&lt;=BM$5)))</f>
        <v>0</v>
      </c>
      <c r="BN53" s="246" cm="1">
        <f t="array" ref="BN53">SUM(_xlfn._xlws.FILTER(_xlfn._xlws.FILTER(dataGLPL,dataGLPLAcctIDs=$C53),(startDates&gt;=BN$4)*(endDates&lt;=BN$5)))</f>
        <v>0</v>
      </c>
      <c r="BO53" s="246" cm="1">
        <f t="array" ref="BO53">SUM(_xlfn._xlws.FILTER(_xlfn._xlws.FILTER(dataGLPL,dataGLPLAcctIDs=$C53),(startDates&gt;=BO$4)*(endDates&lt;=BO$5)))</f>
        <v>0</v>
      </c>
      <c r="BP53" s="246" cm="1">
        <f t="array" ref="BP53">SUM(_xlfn._xlws.FILTER(_xlfn._xlws.FILTER(dataGLPL,dataGLPLAcctIDs=$C53),(startDates&gt;=BP$4)*(endDates&lt;=BP$5)))</f>
        <v>0</v>
      </c>
      <c r="BQ53" s="246" cm="1">
        <f t="array" ref="BQ53">SUM(_xlfn._xlws.FILTER(_xlfn._xlws.FILTER(dataGLPL,dataGLPLAcctIDs=$C53),(startDates&gt;=BQ$4)*(endDates&lt;=BQ$5)))</f>
        <v>0</v>
      </c>
      <c r="BR53" s="246" cm="1">
        <f t="array" ref="BR53">SUM(_xlfn._xlws.FILTER(_xlfn._xlws.FILTER(dataGLPL,dataGLPLAcctIDs=$C53),(startDates&gt;=BR$4)*(endDates&lt;=BR$5)))</f>
        <v>0</v>
      </c>
      <c r="BS53" s="246" cm="1">
        <f t="array" ref="BS53">SUM(_xlfn._xlws.FILTER(_xlfn._xlws.FILTER(dataGLPL,dataGLPLAcctIDs=$C53),(startDates&gt;=BS$4)*(endDates&lt;=BS$5)))</f>
        <v>0</v>
      </c>
      <c r="BT53" s="246" cm="1">
        <f t="array" ref="BT53">SUM(_xlfn._xlws.FILTER(_xlfn._xlws.FILTER(dataGLPL,dataGLPLAcctIDs=$C53),(startDates&gt;=BT$4)*(endDates&lt;=BT$5)))</f>
        <v>0</v>
      </c>
      <c r="BU53" s="246" cm="1">
        <f t="array" ref="BU53">SUM(_xlfn._xlws.FILTER(_xlfn._xlws.FILTER(dataGLPL,dataGLPLAcctIDs=$C53),(startDates&gt;=BU$4)*(endDates&lt;=BU$5)))</f>
        <v>0</v>
      </c>
      <c r="BV53" s="246" cm="1">
        <f t="array" ref="BV53">SUM(_xlfn._xlws.FILTER(_xlfn._xlws.FILTER(dataGLPL,dataGLPLAcctIDs=$C53),(startDates&gt;=BV$4)*(endDates&lt;=BV$5)))</f>
        <v>0</v>
      </c>
      <c r="BW53" s="246" cm="1">
        <f t="array" ref="BW53">SUM(_xlfn._xlws.FILTER(_xlfn._xlws.FILTER(dataGLPL,dataGLPLAcctIDs=$C53),(startDates&gt;=BW$4)*(endDates&lt;=BW$5)))</f>
        <v>0</v>
      </c>
      <c r="BX53" s="246" cm="1">
        <f t="array" ref="BX53">SUM(_xlfn._xlws.FILTER(_xlfn._xlws.FILTER(dataGLPL,dataGLPLAcctIDs=$C53),(startDates&gt;=BX$4)*(endDates&lt;=BX$5)))</f>
        <v>0</v>
      </c>
      <c r="BY53" s="246" cm="1">
        <f t="array" ref="BY53">SUM(_xlfn._xlws.FILTER(_xlfn._xlws.FILTER(dataGLPL,dataGLPLAcctIDs=$C53),(startDates&gt;=BY$4)*(endDates&lt;=BY$5)))</f>
        <v>0</v>
      </c>
    </row>
    <row r="54" spans="1:77" s="201" customFormat="1" ht="21" customHeight="1">
      <c r="A54" s="215"/>
      <c r="B54" s="343" t="s">
        <v>266</v>
      </c>
      <c r="C54" s="343" t="s">
        <v>267</v>
      </c>
      <c r="D54" s="215"/>
      <c r="E54" s="216"/>
      <c r="F54" s="345">
        <f t="shared" ref="F54:I54" si="33">_xlfn.AGGREGATE(9,0, F$51:F$53)</f>
        <v>0</v>
      </c>
      <c r="G54" s="345">
        <f t="shared" si="33"/>
        <v>0</v>
      </c>
      <c r="H54" s="345">
        <f t="shared" si="33"/>
        <v>0</v>
      </c>
      <c r="I54" s="345">
        <f t="shared" si="33"/>
        <v>0</v>
      </c>
      <c r="J54" s="344"/>
      <c r="K54" s="344"/>
      <c r="L54" s="345">
        <f t="shared" ref="L54:AA54" si="34">_xlfn.AGGREGATE(9,0, L$51:L$53)</f>
        <v>0</v>
      </c>
      <c r="M54" s="345">
        <f t="shared" si="34"/>
        <v>0</v>
      </c>
      <c r="N54" s="345">
        <f t="shared" si="34"/>
        <v>0</v>
      </c>
      <c r="O54" s="345">
        <f t="shared" si="34"/>
        <v>0</v>
      </c>
      <c r="P54" s="345">
        <f t="shared" si="34"/>
        <v>0</v>
      </c>
      <c r="Q54" s="345">
        <f t="shared" si="34"/>
        <v>0</v>
      </c>
      <c r="R54" s="345">
        <f t="shared" si="34"/>
        <v>0</v>
      </c>
      <c r="S54" s="345">
        <f t="shared" si="34"/>
        <v>0</v>
      </c>
      <c r="T54" s="345">
        <f t="shared" si="34"/>
        <v>0</v>
      </c>
      <c r="U54" s="345">
        <f t="shared" si="34"/>
        <v>0</v>
      </c>
      <c r="V54" s="345">
        <f t="shared" si="34"/>
        <v>0</v>
      </c>
      <c r="W54" s="345">
        <f t="shared" si="34"/>
        <v>0</v>
      </c>
      <c r="X54" s="345">
        <f t="shared" si="34"/>
        <v>0</v>
      </c>
      <c r="Y54" s="345">
        <f t="shared" si="34"/>
        <v>0</v>
      </c>
      <c r="Z54" s="345">
        <f t="shared" si="34"/>
        <v>0</v>
      </c>
      <c r="AA54" s="345">
        <f t="shared" si="34"/>
        <v>0</v>
      </c>
      <c r="AB54" s="215"/>
      <c r="AC54" s="344"/>
      <c r="AD54" s="345">
        <f>_xlfn.AGGREGATE(9,0, AD$51:AD$53)</f>
        <v>0</v>
      </c>
      <c r="AE54" s="345">
        <f t="shared" ref="AE54:BY54" si="35">_xlfn.AGGREGATE(9,0, AE$51:AE$53)</f>
        <v>0</v>
      </c>
      <c r="AF54" s="345">
        <f t="shared" si="35"/>
        <v>0</v>
      </c>
      <c r="AG54" s="345">
        <f t="shared" si="35"/>
        <v>0</v>
      </c>
      <c r="AH54" s="345">
        <f t="shared" si="35"/>
        <v>0</v>
      </c>
      <c r="AI54" s="345">
        <f t="shared" si="35"/>
        <v>0</v>
      </c>
      <c r="AJ54" s="345">
        <f t="shared" si="35"/>
        <v>0</v>
      </c>
      <c r="AK54" s="345">
        <f t="shared" si="35"/>
        <v>0</v>
      </c>
      <c r="AL54" s="345">
        <f t="shared" si="35"/>
        <v>0</v>
      </c>
      <c r="AM54" s="345">
        <f t="shared" si="35"/>
        <v>0</v>
      </c>
      <c r="AN54" s="345">
        <f t="shared" si="35"/>
        <v>0</v>
      </c>
      <c r="AO54" s="345">
        <f t="shared" si="35"/>
        <v>0</v>
      </c>
      <c r="AP54" s="345">
        <f t="shared" si="35"/>
        <v>0</v>
      </c>
      <c r="AQ54" s="345">
        <f t="shared" si="35"/>
        <v>0</v>
      </c>
      <c r="AR54" s="345">
        <f t="shared" si="35"/>
        <v>0</v>
      </c>
      <c r="AS54" s="345">
        <f t="shared" si="35"/>
        <v>0</v>
      </c>
      <c r="AT54" s="345">
        <f t="shared" si="35"/>
        <v>0</v>
      </c>
      <c r="AU54" s="345">
        <f t="shared" si="35"/>
        <v>0</v>
      </c>
      <c r="AV54" s="345">
        <f t="shared" si="35"/>
        <v>0</v>
      </c>
      <c r="AW54" s="345">
        <f t="shared" si="35"/>
        <v>0</v>
      </c>
      <c r="AX54" s="345">
        <f t="shared" si="35"/>
        <v>0</v>
      </c>
      <c r="AY54" s="345">
        <f t="shared" si="35"/>
        <v>0</v>
      </c>
      <c r="AZ54" s="345">
        <f t="shared" si="35"/>
        <v>0</v>
      </c>
      <c r="BA54" s="345">
        <f t="shared" si="35"/>
        <v>0</v>
      </c>
      <c r="BB54" s="345">
        <f t="shared" si="35"/>
        <v>0</v>
      </c>
      <c r="BC54" s="345">
        <f t="shared" si="35"/>
        <v>0</v>
      </c>
      <c r="BD54" s="345">
        <f t="shared" si="35"/>
        <v>0</v>
      </c>
      <c r="BE54" s="345">
        <f t="shared" si="35"/>
        <v>0</v>
      </c>
      <c r="BF54" s="345">
        <f t="shared" si="35"/>
        <v>0</v>
      </c>
      <c r="BG54" s="345">
        <f t="shared" si="35"/>
        <v>0</v>
      </c>
      <c r="BH54" s="345">
        <f t="shared" si="35"/>
        <v>0</v>
      </c>
      <c r="BI54" s="345">
        <f t="shared" si="35"/>
        <v>0</v>
      </c>
      <c r="BJ54" s="345">
        <f t="shared" si="35"/>
        <v>0</v>
      </c>
      <c r="BK54" s="345">
        <f t="shared" si="35"/>
        <v>0</v>
      </c>
      <c r="BL54" s="345">
        <f t="shared" si="35"/>
        <v>0</v>
      </c>
      <c r="BM54" s="345">
        <f t="shared" si="35"/>
        <v>0</v>
      </c>
      <c r="BN54" s="345">
        <f t="shared" si="35"/>
        <v>0</v>
      </c>
      <c r="BO54" s="345">
        <f t="shared" si="35"/>
        <v>0</v>
      </c>
      <c r="BP54" s="345">
        <f t="shared" si="35"/>
        <v>0</v>
      </c>
      <c r="BQ54" s="345">
        <f t="shared" si="35"/>
        <v>0</v>
      </c>
      <c r="BR54" s="345">
        <f t="shared" si="35"/>
        <v>0</v>
      </c>
      <c r="BS54" s="345">
        <f t="shared" si="35"/>
        <v>0</v>
      </c>
      <c r="BT54" s="345">
        <f t="shared" si="35"/>
        <v>0</v>
      </c>
      <c r="BU54" s="345">
        <f t="shared" si="35"/>
        <v>0</v>
      </c>
      <c r="BV54" s="345">
        <f t="shared" si="35"/>
        <v>0</v>
      </c>
      <c r="BW54" s="345">
        <f t="shared" si="35"/>
        <v>0</v>
      </c>
      <c r="BX54" s="345">
        <f t="shared" si="35"/>
        <v>0</v>
      </c>
      <c r="BY54" s="345">
        <f t="shared" si="35"/>
        <v>0</v>
      </c>
    </row>
    <row r="55" spans="1:77" s="201" customFormat="1" ht="21" customHeight="1">
      <c r="A55" s="215"/>
      <c r="B55" s="343" t="s">
        <v>131</v>
      </c>
      <c r="C55" s="343" t="s">
        <v>131</v>
      </c>
      <c r="D55" s="215"/>
      <c r="E55" s="216"/>
      <c r="F55" s="345"/>
      <c r="G55" s="345"/>
      <c r="H55" s="345"/>
      <c r="I55" s="345"/>
      <c r="J55" s="344"/>
      <c r="K55" s="344"/>
      <c r="L55" s="345"/>
      <c r="M55" s="345"/>
      <c r="N55" s="345"/>
      <c r="O55" s="345"/>
      <c r="P55" s="345"/>
      <c r="Q55" s="345"/>
      <c r="R55" s="345"/>
      <c r="S55" s="345"/>
      <c r="T55" s="345"/>
      <c r="U55" s="345"/>
      <c r="V55" s="345"/>
      <c r="W55" s="345"/>
      <c r="X55" s="345"/>
      <c r="Y55" s="345"/>
      <c r="Z55" s="345"/>
      <c r="AA55" s="345"/>
      <c r="AB55" s="215"/>
      <c r="AC55" s="344"/>
      <c r="AD55" s="345"/>
      <c r="AE55" s="345"/>
      <c r="AF55" s="345"/>
      <c r="AG55" s="345"/>
      <c r="AH55" s="345"/>
      <c r="AI55" s="345"/>
      <c r="AJ55" s="345"/>
      <c r="AK55" s="345"/>
      <c r="AL55" s="345"/>
      <c r="AM55" s="345"/>
      <c r="AN55" s="345"/>
      <c r="AO55" s="345"/>
      <c r="AP55" s="345"/>
      <c r="AQ55" s="345"/>
      <c r="AR55" s="345"/>
      <c r="AS55" s="345"/>
      <c r="AT55" s="345"/>
      <c r="AU55" s="345"/>
      <c r="AV55" s="345"/>
      <c r="AW55" s="345"/>
      <c r="AX55" s="345"/>
      <c r="AY55" s="345"/>
      <c r="AZ55" s="345"/>
      <c r="BA55" s="345"/>
      <c r="BB55" s="345"/>
      <c r="BC55" s="345"/>
      <c r="BD55" s="345"/>
      <c r="BE55" s="345"/>
      <c r="BF55" s="345"/>
      <c r="BG55" s="345"/>
      <c r="BH55" s="345"/>
      <c r="BI55" s="345"/>
      <c r="BJ55" s="345"/>
      <c r="BK55" s="345"/>
      <c r="BL55" s="345"/>
      <c r="BM55" s="345"/>
      <c r="BN55" s="345"/>
      <c r="BO55" s="345"/>
      <c r="BP55" s="345"/>
      <c r="BQ55" s="345"/>
      <c r="BR55" s="345"/>
      <c r="BS55" s="345"/>
      <c r="BT55" s="345"/>
      <c r="BU55" s="345"/>
      <c r="BV55" s="345"/>
      <c r="BW55" s="345"/>
      <c r="BX55" s="345"/>
      <c r="BY55" s="345"/>
    </row>
    <row r="56" spans="1:77" s="201" customFormat="1" ht="21" customHeight="1">
      <c r="A56" s="215"/>
      <c r="B56" s="218" t="s">
        <v>268</v>
      </c>
      <c r="C56" s="343">
        <v>191</v>
      </c>
      <c r="D56" s="215"/>
      <c r="E56" s="216"/>
      <c r="F56" s="246" cm="1">
        <f t="array" ref="F56">SUM(_xlfn._xlws.FILTER(_xlfn._xlws.FILTER(dataGLPL,dataGLPLAcctIDs=$C56),(startDates&gt;=F$4)*(endDates&lt;=F$5)))</f>
        <v>15202.5</v>
      </c>
      <c r="G56" s="246" cm="1">
        <f t="array" ref="G56">SUM(_xlfn._xlws.FILTER(_xlfn._xlws.FILTER(dataGLPL,dataGLPLAcctIDs=$C56),(startDates&gt;=G$4)*(endDates&lt;=G$5)))</f>
        <v>36612</v>
      </c>
      <c r="H56" s="246" cm="1">
        <f t="array" ref="H56">SUM(_xlfn._xlws.FILTER(_xlfn._xlws.FILTER(dataGLPL,dataGLPLAcctIDs=$C56),(startDates&gt;=H$4)*(endDates&lt;=H$5)))</f>
        <v>36735.07666666666</v>
      </c>
      <c r="I56" s="246" cm="1">
        <f t="array" ref="I56">SUM(_xlfn._xlws.FILTER(_xlfn._xlws.FILTER(dataGLPL,dataGLPLAcctIDs=$C56),(startDates&gt;=I$4)*(endDates&lt;=I$5)))</f>
        <v>31786.577777777769</v>
      </c>
      <c r="J56" s="344"/>
      <c r="K56" s="344"/>
      <c r="L56" s="246" cm="1">
        <f t="array" ref="L56">SUM(_xlfn._xlws.FILTER(_xlfn._xlws.FILTER(dataGLPL,dataGLPLAcctIDs=$C56),(startDates&gt;=L$4)*(endDates&lt;=L$5)))</f>
        <v>277</v>
      </c>
      <c r="M56" s="246" cm="1">
        <f t="array" ref="M56">SUM(_xlfn._xlws.FILTER(_xlfn._xlws.FILTER(dataGLPL,dataGLPLAcctIDs=$C56),(startDates&gt;=M$4)*(endDates&lt;=M$5)))</f>
        <v>3695.5</v>
      </c>
      <c r="N56" s="246" cm="1">
        <f t="array" ref="N56">SUM(_xlfn._xlws.FILTER(_xlfn._xlws.FILTER(dataGLPL,dataGLPLAcctIDs=$C56),(startDates&gt;=N$4)*(endDates&lt;=N$5)))</f>
        <v>4347</v>
      </c>
      <c r="O56" s="246" cm="1">
        <f t="array" ref="O56">SUM(_xlfn._xlws.FILTER(_xlfn._xlws.FILTER(dataGLPL,dataGLPLAcctIDs=$C56),(startDates&gt;=O$4)*(endDates&lt;=O$5)))</f>
        <v>6883</v>
      </c>
      <c r="P56" s="246" cm="1">
        <f t="array" ref="P56">SUM(_xlfn._xlws.FILTER(_xlfn._xlws.FILTER(dataGLPL,dataGLPLAcctIDs=$C56),(startDates&gt;=P$4)*(endDates&lt;=P$5)))</f>
        <v>9153</v>
      </c>
      <c r="Q56" s="246" cm="1">
        <f t="array" ref="Q56">SUM(_xlfn._xlws.FILTER(_xlfn._xlws.FILTER(dataGLPL,dataGLPLAcctIDs=$C56),(startDates&gt;=Q$4)*(endDates&lt;=Q$5)))</f>
        <v>9153</v>
      </c>
      <c r="R56" s="246" cm="1">
        <f t="array" ref="R56">SUM(_xlfn._xlws.FILTER(_xlfn._xlws.FILTER(dataGLPL,dataGLPLAcctIDs=$C56),(startDates&gt;=R$4)*(endDates&lt;=R$5)))</f>
        <v>9153</v>
      </c>
      <c r="S56" s="246" cm="1">
        <f t="array" ref="S56">SUM(_xlfn._xlws.FILTER(_xlfn._xlws.FILTER(dataGLPL,dataGLPLAcctIDs=$C56),(startDates&gt;=S$4)*(endDates&lt;=S$5)))</f>
        <v>9153</v>
      </c>
      <c r="T56" s="246" cm="1">
        <f t="array" ref="T56">SUM(_xlfn._xlws.FILTER(_xlfn._xlws.FILTER(dataGLPL,dataGLPLAcctIDs=$C56),(startDates&gt;=T$4)*(endDates&lt;=T$5)))</f>
        <v>9151.98</v>
      </c>
      <c r="U56" s="246" cm="1">
        <f t="array" ref="U56">SUM(_xlfn._xlws.FILTER(_xlfn._xlws.FILTER(dataGLPL,dataGLPLAcctIDs=$C56),(startDates&gt;=U$4)*(endDates&lt;=U$5)))</f>
        <v>9151.98</v>
      </c>
      <c r="V56" s="246" cm="1">
        <f t="array" ref="V56">SUM(_xlfn._xlws.FILTER(_xlfn._xlws.FILTER(dataGLPL,dataGLPLAcctIDs=$C56),(startDates&gt;=V$4)*(endDates&lt;=V$5)))</f>
        <v>9151.98</v>
      </c>
      <c r="W56" s="246" cm="1">
        <f t="array" ref="W56">SUM(_xlfn._xlws.FILTER(_xlfn._xlws.FILTER(dataGLPL,dataGLPLAcctIDs=$C56),(startDates&gt;=W$4)*(endDates&lt;=W$5)))</f>
        <v>9279.1366666666654</v>
      </c>
      <c r="X56" s="246" cm="1">
        <f t="array" ref="X56">SUM(_xlfn._xlws.FILTER(_xlfn._xlws.FILTER(dataGLPL,dataGLPLAcctIDs=$C56),(startDates&gt;=X$4)*(endDates&lt;=X$5)))</f>
        <v>9811.2277777777781</v>
      </c>
      <c r="Y56" s="246" cm="1">
        <f t="array" ref="Y56">SUM(_xlfn._xlws.FILTER(_xlfn._xlws.FILTER(dataGLPL,dataGLPLAcctIDs=$C56),(startDates&gt;=Y$4)*(endDates&lt;=Y$5)))</f>
        <v>7505.6722222222306</v>
      </c>
      <c r="Z56" s="246" cm="1">
        <f t="array" ref="Z56">SUM(_xlfn._xlws.FILTER(_xlfn._xlws.FILTER(dataGLPL,dataGLPLAcctIDs=$C56),(startDates&gt;=Z$4)*(endDates&lt;=Z$5)))</f>
        <v>7269.5611111111066</v>
      </c>
      <c r="AA56" s="246" cm="1">
        <f t="array" ref="AA56">SUM(_xlfn._xlws.FILTER(_xlfn._xlws.FILTER(dataGLPL,dataGLPLAcctIDs=$C56),(startDates&gt;=AA$4)*(endDates&lt;=AA$5)))</f>
        <v>7200.1166666666541</v>
      </c>
      <c r="AB56" s="215"/>
      <c r="AC56" s="344"/>
      <c r="AD56" s="246" cm="1">
        <f t="array" ref="AD56">SUM(_xlfn._xlws.FILTER(_xlfn._xlws.FILTER(dataGLPL,dataGLPLAcctIDs=$C56),(startDates&gt;=AD$4)*(endDates&lt;=AD$5)))</f>
        <v>69</v>
      </c>
      <c r="AE56" s="246" cm="1">
        <f t="array" ref="AE56">SUM(_xlfn._xlws.FILTER(_xlfn._xlws.FILTER(dataGLPL,dataGLPLAcctIDs=$C56),(startDates&gt;=AE$4)*(endDates&lt;=AE$5)))</f>
        <v>69</v>
      </c>
      <c r="AF56" s="246" cm="1">
        <f t="array" ref="AF56">SUM(_xlfn._xlws.FILTER(_xlfn._xlws.FILTER(dataGLPL,dataGLPLAcctIDs=$C56),(startDates&gt;=AF$4)*(endDates&lt;=AF$5)))</f>
        <v>139</v>
      </c>
      <c r="AG56" s="246" cm="1">
        <f t="array" ref="AG56">SUM(_xlfn._xlws.FILTER(_xlfn._xlws.FILTER(dataGLPL,dataGLPLAcctIDs=$C56),(startDates&gt;=AG$4)*(endDates&lt;=AG$5)))</f>
        <v>1111.5</v>
      </c>
      <c r="AH56" s="246" cm="1">
        <f t="array" ref="AH56">SUM(_xlfn._xlws.FILTER(_xlfn._xlws.FILTER(dataGLPL,dataGLPLAcctIDs=$C56),(startDates&gt;=AH$4)*(endDates&lt;=AH$5)))</f>
        <v>1181</v>
      </c>
      <c r="AI56" s="246" cm="1">
        <f t="array" ref="AI56">SUM(_xlfn._xlws.FILTER(_xlfn._xlws.FILTER(dataGLPL,dataGLPLAcctIDs=$C56),(startDates&gt;=AI$4)*(endDates&lt;=AI$5)))</f>
        <v>1403</v>
      </c>
      <c r="AJ56" s="246" cm="1">
        <f t="array" ref="AJ56">SUM(_xlfn._xlws.FILTER(_xlfn._xlws.FILTER(dataGLPL,dataGLPLAcctIDs=$C56),(startDates&gt;=AJ$4)*(endDates&lt;=AJ$5)))</f>
        <v>1403</v>
      </c>
      <c r="AK56" s="246" cm="1">
        <f t="array" ref="AK56">SUM(_xlfn._xlws.FILTER(_xlfn._xlws.FILTER(dataGLPL,dataGLPLAcctIDs=$C56),(startDates&gt;=AK$4)*(endDates&lt;=AK$5)))</f>
        <v>1472</v>
      </c>
      <c r="AL56" s="246" cm="1">
        <f t="array" ref="AL56">SUM(_xlfn._xlws.FILTER(_xlfn._xlws.FILTER(dataGLPL,dataGLPLAcctIDs=$C56),(startDates&gt;=AL$4)*(endDates&lt;=AL$5)))</f>
        <v>1472</v>
      </c>
      <c r="AM56" s="246" cm="1">
        <f t="array" ref="AM56">SUM(_xlfn._xlws.FILTER(_xlfn._xlws.FILTER(dataGLPL,dataGLPLAcctIDs=$C56),(startDates&gt;=AM$4)*(endDates&lt;=AM$5)))</f>
        <v>1472</v>
      </c>
      <c r="AN56" s="246" cm="1">
        <f t="array" ref="AN56">SUM(_xlfn._xlws.FILTER(_xlfn._xlws.FILTER(dataGLPL,dataGLPLAcctIDs=$C56),(startDates&gt;=AN$4)*(endDates&lt;=AN$5)))</f>
        <v>2360</v>
      </c>
      <c r="AO56" s="246" cm="1">
        <f t="array" ref="AO56">SUM(_xlfn._xlws.FILTER(_xlfn._xlws.FILTER(dataGLPL,dataGLPLAcctIDs=$C56),(startDates&gt;=AO$4)*(endDates&lt;=AO$5)))</f>
        <v>3051</v>
      </c>
      <c r="AP56" s="246" cm="1">
        <f t="array" ref="AP56">SUM(_xlfn._xlws.FILTER(_xlfn._xlws.FILTER(dataGLPL,dataGLPLAcctIDs=$C56),(startDates&gt;=AP$4)*(endDates&lt;=AP$5)))</f>
        <v>3051</v>
      </c>
      <c r="AQ56" s="246" cm="1">
        <f t="array" ref="AQ56">SUM(_xlfn._xlws.FILTER(_xlfn._xlws.FILTER(dataGLPL,dataGLPLAcctIDs=$C56),(startDates&gt;=AQ$4)*(endDates&lt;=AQ$5)))</f>
        <v>3051</v>
      </c>
      <c r="AR56" s="246" cm="1">
        <f t="array" ref="AR56">SUM(_xlfn._xlws.FILTER(_xlfn._xlws.FILTER(dataGLPL,dataGLPLAcctIDs=$C56),(startDates&gt;=AR$4)*(endDates&lt;=AR$5)))</f>
        <v>3051</v>
      </c>
      <c r="AS56" s="246" cm="1">
        <f t="array" ref="AS56">SUM(_xlfn._xlws.FILTER(_xlfn._xlws.FILTER(dataGLPL,dataGLPLAcctIDs=$C56),(startDates&gt;=AS$4)*(endDates&lt;=AS$5)))</f>
        <v>3051</v>
      </c>
      <c r="AT56" s="246" cm="1">
        <f t="array" ref="AT56">SUM(_xlfn._xlws.FILTER(_xlfn._xlws.FILTER(dataGLPL,dataGLPLAcctIDs=$C56),(startDates&gt;=AT$4)*(endDates&lt;=AT$5)))</f>
        <v>3051</v>
      </c>
      <c r="AU56" s="246" cm="1">
        <f t="array" ref="AU56">SUM(_xlfn._xlws.FILTER(_xlfn._xlws.FILTER(dataGLPL,dataGLPLAcctIDs=$C56),(startDates&gt;=AU$4)*(endDates&lt;=AU$5)))</f>
        <v>3051</v>
      </c>
      <c r="AV56" s="246" cm="1">
        <f t="array" ref="AV56">SUM(_xlfn._xlws.FILTER(_xlfn._xlws.FILTER(dataGLPL,dataGLPLAcctIDs=$C56),(startDates&gt;=AV$4)*(endDates&lt;=AV$5)))</f>
        <v>3051</v>
      </c>
      <c r="AW56" s="246" cm="1">
        <f t="array" ref="AW56">SUM(_xlfn._xlws.FILTER(_xlfn._xlws.FILTER(dataGLPL,dataGLPLAcctIDs=$C56),(startDates&gt;=AW$4)*(endDates&lt;=AW$5)))</f>
        <v>3051</v>
      </c>
      <c r="AX56" s="246" cm="1">
        <f t="array" ref="AX56">SUM(_xlfn._xlws.FILTER(_xlfn._xlws.FILTER(dataGLPL,dataGLPLAcctIDs=$C56),(startDates&gt;=AX$4)*(endDates&lt;=AX$5)))</f>
        <v>3051</v>
      </c>
      <c r="AY56" s="246" cm="1">
        <f t="array" ref="AY56">SUM(_xlfn._xlws.FILTER(_xlfn._xlws.FILTER(dataGLPL,dataGLPLAcctIDs=$C56),(startDates&gt;=AY$4)*(endDates&lt;=AY$5)))</f>
        <v>3051</v>
      </c>
      <c r="AZ56" s="246" cm="1">
        <f t="array" ref="AZ56">SUM(_xlfn._xlws.FILTER(_xlfn._xlws.FILTER(dataGLPL,dataGLPLAcctIDs=$C56),(startDates&gt;=AZ$4)*(endDates&lt;=AZ$5)))</f>
        <v>3051</v>
      </c>
      <c r="BA56" s="246" cm="1">
        <f t="array" ref="BA56">SUM(_xlfn._xlws.FILTER(_xlfn._xlws.FILTER(dataGLPL,dataGLPLAcctIDs=$C56),(startDates&gt;=BA$4)*(endDates&lt;=BA$5)))</f>
        <v>3051</v>
      </c>
      <c r="BB56" s="246" cm="1">
        <f t="array" ref="BB56">SUM(_xlfn._xlws.FILTER(_xlfn._xlws.FILTER(dataGLPL,dataGLPLAcctIDs=$C56),(startDates&gt;=BB$4)*(endDates&lt;=BB$5)))</f>
        <v>3050.66</v>
      </c>
      <c r="BC56" s="246" cm="1">
        <f t="array" ref="BC56">SUM(_xlfn._xlws.FILTER(_xlfn._xlws.FILTER(dataGLPL,dataGLPLAcctIDs=$C56),(startDates&gt;=BC$4)*(endDates&lt;=BC$5)))</f>
        <v>3050.66</v>
      </c>
      <c r="BD56" s="246" cm="1">
        <f t="array" ref="BD56">SUM(_xlfn._xlws.FILTER(_xlfn._xlws.FILTER(dataGLPL,dataGLPLAcctIDs=$C56),(startDates&gt;=BD$4)*(endDates&lt;=BD$5)))</f>
        <v>3050.66</v>
      </c>
      <c r="BE56" s="246" cm="1">
        <f t="array" ref="BE56">SUM(_xlfn._xlws.FILTER(_xlfn._xlws.FILTER(dataGLPL,dataGLPLAcctIDs=$C56),(startDates&gt;=BE$4)*(endDates&lt;=BE$5)))</f>
        <v>3050.66</v>
      </c>
      <c r="BF56" s="246" cm="1">
        <f t="array" ref="BF56">SUM(_xlfn._xlws.FILTER(_xlfn._xlws.FILTER(dataGLPL,dataGLPLAcctIDs=$C56),(startDates&gt;=BF$4)*(endDates&lt;=BF$5)))</f>
        <v>3050.66</v>
      </c>
      <c r="BG56" s="246" cm="1">
        <f t="array" ref="BG56">SUM(_xlfn._xlws.FILTER(_xlfn._xlws.FILTER(dataGLPL,dataGLPLAcctIDs=$C56),(startDates&gt;=BG$4)*(endDates&lt;=BG$5)))</f>
        <v>3050.66</v>
      </c>
      <c r="BH56" s="246" cm="1">
        <f t="array" ref="BH56">SUM(_xlfn._xlws.FILTER(_xlfn._xlws.FILTER(dataGLPL,dataGLPLAcctIDs=$C56),(startDates&gt;=BH$4)*(endDates&lt;=BH$5)))</f>
        <v>3050.66</v>
      </c>
      <c r="BI56" s="246" cm="1">
        <f t="array" ref="BI56">SUM(_xlfn._xlws.FILTER(_xlfn._xlws.FILTER(dataGLPL,dataGLPLAcctIDs=$C56),(startDates&gt;=BI$4)*(endDates&lt;=BI$5)))</f>
        <v>3050.66</v>
      </c>
      <c r="BJ56" s="246" cm="1">
        <f t="array" ref="BJ56">SUM(_xlfn._xlws.FILTER(_xlfn._xlws.FILTER(dataGLPL,dataGLPLAcctIDs=$C56),(startDates&gt;=BJ$4)*(endDates&lt;=BJ$5)))</f>
        <v>3050.66</v>
      </c>
      <c r="BK56" s="246" cm="1">
        <f t="array" ref="BK56">SUM(_xlfn._xlws.FILTER(_xlfn._xlws.FILTER(dataGLPL,dataGLPLAcctIDs=$C56),(startDates&gt;=BK$4)*(endDates&lt;=BK$5)))</f>
        <v>3050.66</v>
      </c>
      <c r="BL56" s="246" cm="1">
        <f t="array" ref="BL56">SUM(_xlfn._xlws.FILTER(_xlfn._xlws.FILTER(dataGLPL,dataGLPLAcctIDs=$C56),(startDates&gt;=BL$4)*(endDates&lt;=BL$5)))</f>
        <v>3050.66</v>
      </c>
      <c r="BM56" s="246" cm="1">
        <f t="array" ref="BM56">SUM(_xlfn._xlws.FILTER(_xlfn._xlws.FILTER(dataGLPL,dataGLPLAcctIDs=$C56),(startDates&gt;=BM$4)*(endDates&lt;=BM$5)))</f>
        <v>3177.8166666666657</v>
      </c>
      <c r="BN56" s="246" cm="1">
        <f t="array" ref="BN56">SUM(_xlfn._xlws.FILTER(_xlfn._xlws.FILTER(dataGLPL,dataGLPLAcctIDs=$C56),(startDates&gt;=BN$4)*(endDates&lt;=BN$5)))</f>
        <v>3108.3722222222277</v>
      </c>
      <c r="BO56" s="246" cm="1">
        <f t="array" ref="BO56">SUM(_xlfn._xlws.FILTER(_xlfn._xlws.FILTER(dataGLPL,dataGLPLAcctIDs=$C56),(startDates&gt;=BO$4)*(endDates&lt;=BO$5)))</f>
        <v>3386.1499999999942</v>
      </c>
      <c r="BP56" s="246" cm="1">
        <f t="array" ref="BP56">SUM(_xlfn._xlws.FILTER(_xlfn._xlws.FILTER(dataGLPL,dataGLPLAcctIDs=$C56),(startDates&gt;=BP$4)*(endDates&lt;=BP$5)))</f>
        <v>3316.7055555555562</v>
      </c>
      <c r="BQ56" s="246" cm="1">
        <f t="array" ref="BQ56">SUM(_xlfn._xlws.FILTER(_xlfn._xlws.FILTER(dataGLPL,dataGLPLAcctIDs=$C56),(startDates&gt;=BQ$4)*(endDates&lt;=BQ$5)))</f>
        <v>2344.4833333333372</v>
      </c>
      <c r="BR56" s="246" cm="1">
        <f t="array" ref="BR56">SUM(_xlfn._xlws.FILTER(_xlfn._xlws.FILTER(dataGLPL,dataGLPLAcctIDs=$C56),(startDates&gt;=BR$4)*(endDates&lt;=BR$5)))</f>
        <v>2691.7055555555562</v>
      </c>
      <c r="BS56" s="246" cm="1">
        <f t="array" ref="BS56">SUM(_xlfn._xlws.FILTER(_xlfn._xlws.FILTER(dataGLPL,dataGLPLAcctIDs=$C56),(startDates&gt;=BS$4)*(endDates&lt;=BS$5)))</f>
        <v>2469.4833333333372</v>
      </c>
      <c r="BT56" s="246" cm="1">
        <f t="array" ref="BT56">SUM(_xlfn._xlws.FILTER(_xlfn._xlws.FILTER(dataGLPL,dataGLPLAcctIDs=$C56),(startDates&gt;=BT$4)*(endDates&lt;=BT$5)))</f>
        <v>2469.4833333333372</v>
      </c>
      <c r="BU56" s="246" cm="1">
        <f t="array" ref="BU56">SUM(_xlfn._xlws.FILTER(_xlfn._xlws.FILTER(dataGLPL,dataGLPLAcctIDs=$C56),(startDates&gt;=BU$4)*(endDates&lt;=BU$5)))</f>
        <v>2400.0388888888847</v>
      </c>
      <c r="BV56" s="246" cm="1">
        <f t="array" ref="BV56">SUM(_xlfn._xlws.FILTER(_xlfn._xlws.FILTER(dataGLPL,dataGLPLAcctIDs=$C56),(startDates&gt;=BV$4)*(endDates&lt;=BV$5)))</f>
        <v>2400.0388888888847</v>
      </c>
      <c r="BW56" s="246" cm="1">
        <f t="array" ref="BW56">SUM(_xlfn._xlws.FILTER(_xlfn._xlws.FILTER(dataGLPL,dataGLPLAcctIDs=$C56),(startDates&gt;=BW$4)*(endDates&lt;=BW$5)))</f>
        <v>2400.0388888888847</v>
      </c>
      <c r="BX56" s="246" cm="1">
        <f t="array" ref="BX56">SUM(_xlfn._xlws.FILTER(_xlfn._xlws.FILTER(dataGLPL,dataGLPLAcctIDs=$C56),(startDates&gt;=BX$4)*(endDates&lt;=BX$5)))</f>
        <v>2400.0388888888847</v>
      </c>
      <c r="BY56" s="246" cm="1">
        <f t="array" ref="BY56">SUM(_xlfn._xlws.FILTER(_xlfn._xlws.FILTER(dataGLPL,dataGLPLAcctIDs=$C56),(startDates&gt;=BY$4)*(endDates&lt;=BY$5)))</f>
        <v>2400.0388888888847</v>
      </c>
    </row>
    <row r="57" spans="1:77" s="201" customFormat="1" ht="21" customHeight="1">
      <c r="A57" s="215"/>
      <c r="B57" s="218" t="s">
        <v>269</v>
      </c>
      <c r="C57" s="343">
        <v>192</v>
      </c>
      <c r="D57" s="215"/>
      <c r="E57" s="216"/>
      <c r="F57" s="246" cm="1">
        <f t="array" ref="F57">SUM(_xlfn._xlws.FILTER(_xlfn._xlws.FILTER(dataGLPL,dataGLPLAcctIDs=$C57),(startDates&gt;=F$4)*(endDates&lt;=F$5)))</f>
        <v>62037.5</v>
      </c>
      <c r="G57" s="246" cm="1">
        <f t="array" ref="G57">SUM(_xlfn._xlws.FILTER(_xlfn._xlws.FILTER(dataGLPL,dataGLPLAcctIDs=$C57),(startDates&gt;=G$4)*(endDates&lt;=G$5)))</f>
        <v>221339.5</v>
      </c>
      <c r="H57" s="246" cm="1">
        <f t="array" ref="H57">SUM(_xlfn._xlws.FILTER(_xlfn._xlws.FILTER(dataGLPL,dataGLPLAcctIDs=$C57),(startDates&gt;=H$4)*(endDates&lt;=H$5)))</f>
        <v>222260.318</v>
      </c>
      <c r="I57" s="246" cm="1">
        <f t="array" ref="I57">SUM(_xlfn._xlws.FILTER(_xlfn._xlws.FILTER(dataGLPL,dataGLPLAcctIDs=$C57),(startDates&gt;=I$4)*(endDates&lt;=I$5)))</f>
        <v>252065.78171973617</v>
      </c>
      <c r="J57" s="344"/>
      <c r="K57" s="344"/>
      <c r="L57" s="246" cm="1">
        <f t="array" ref="L57">SUM(_xlfn._xlws.FILTER(_xlfn._xlws.FILTER(dataGLPL,dataGLPLAcctIDs=$C57),(startDates&gt;=L$4)*(endDates&lt;=L$5)))</f>
        <v>7500</v>
      </c>
      <c r="M57" s="246" cm="1">
        <f t="array" ref="M57">SUM(_xlfn._xlws.FILTER(_xlfn._xlws.FILTER(dataGLPL,dataGLPLAcctIDs=$C57),(startDates&gt;=M$4)*(endDates&lt;=M$5)))</f>
        <v>7500</v>
      </c>
      <c r="N57" s="246" cm="1">
        <f t="array" ref="N57">SUM(_xlfn._xlws.FILTER(_xlfn._xlws.FILTER(dataGLPL,dataGLPLAcctIDs=$C57),(startDates&gt;=N$4)*(endDates&lt;=N$5)))</f>
        <v>7500</v>
      </c>
      <c r="O57" s="246" cm="1">
        <f t="array" ref="O57">SUM(_xlfn._xlws.FILTER(_xlfn._xlws.FILTER(dataGLPL,dataGLPLAcctIDs=$C57),(startDates&gt;=O$4)*(endDates&lt;=O$5)))</f>
        <v>39537.5</v>
      </c>
      <c r="P57" s="246" cm="1">
        <f t="array" ref="P57">SUM(_xlfn._xlws.FILTER(_xlfn._xlws.FILTER(dataGLPL,dataGLPLAcctIDs=$C57),(startDates&gt;=P$4)*(endDates&lt;=P$5)))</f>
        <v>55334.5</v>
      </c>
      <c r="Q57" s="246" cm="1">
        <f t="array" ref="Q57">SUM(_xlfn._xlws.FILTER(_xlfn._xlws.FILTER(dataGLPL,dataGLPLAcctIDs=$C57),(startDates&gt;=Q$4)*(endDates&lt;=Q$5)))</f>
        <v>55335</v>
      </c>
      <c r="R57" s="246" cm="1">
        <f t="array" ref="R57">SUM(_xlfn._xlws.FILTER(_xlfn._xlws.FILTER(dataGLPL,dataGLPLAcctIDs=$C57),(startDates&gt;=R$4)*(endDates&lt;=R$5)))</f>
        <v>55335</v>
      </c>
      <c r="S57" s="246" cm="1">
        <f t="array" ref="S57">SUM(_xlfn._xlws.FILTER(_xlfn._xlws.FILTER(dataGLPL,dataGLPLAcctIDs=$C57),(startDates&gt;=S$4)*(endDates&lt;=S$5)))</f>
        <v>55335</v>
      </c>
      <c r="T57" s="246" cm="1">
        <f t="array" ref="T57">SUM(_xlfn._xlws.FILTER(_xlfn._xlws.FILTER(dataGLPL,dataGLPLAcctIDs=$C57),(startDates&gt;=T$4)*(endDates&lt;=T$5)))</f>
        <v>55334.759999999995</v>
      </c>
      <c r="U57" s="246" cm="1">
        <f t="array" ref="U57">SUM(_xlfn._xlws.FILTER(_xlfn._xlws.FILTER(dataGLPL,dataGLPLAcctIDs=$C57),(startDates&gt;=U$4)*(endDates&lt;=U$5)))</f>
        <v>55334.759999999995</v>
      </c>
      <c r="V57" s="246" cm="1">
        <f t="array" ref="V57">SUM(_xlfn._xlws.FILTER(_xlfn._xlws.FILTER(dataGLPL,dataGLPLAcctIDs=$C57),(startDates&gt;=V$4)*(endDates&lt;=V$5)))</f>
        <v>55334.28</v>
      </c>
      <c r="W57" s="246" cm="1">
        <f t="array" ref="W57">SUM(_xlfn._xlws.FILTER(_xlfn._xlws.FILTER(dataGLPL,dataGLPLAcctIDs=$C57),(startDates&gt;=W$4)*(endDates&lt;=W$5)))</f>
        <v>56256.517999999996</v>
      </c>
      <c r="X57" s="246" cm="1">
        <f t="array" ref="X57">SUM(_xlfn._xlws.FILTER(_xlfn._xlws.FILTER(dataGLPL,dataGLPLAcctIDs=$C57),(startDates&gt;=X$4)*(endDates&lt;=X$5)))</f>
        <v>59187.26067428125</v>
      </c>
      <c r="Y57" s="246" cm="1">
        <f t="array" ref="Y57">SUM(_xlfn._xlws.FILTER(_xlfn._xlws.FILTER(dataGLPL,dataGLPLAcctIDs=$C57),(startDates&gt;=Y$4)*(endDates&lt;=Y$5)))</f>
        <v>61584.717696029715</v>
      </c>
      <c r="Z57" s="246" cm="1">
        <f t="array" ref="Z57">SUM(_xlfn._xlws.FILTER(_xlfn._xlws.FILTER(dataGLPL,dataGLPLAcctIDs=$C57),(startDates&gt;=Z$4)*(endDates&lt;=Z$5)))</f>
        <v>64264.828821451454</v>
      </c>
      <c r="AA57" s="246" cm="1">
        <f t="array" ref="AA57">SUM(_xlfn._xlws.FILTER(_xlfn._xlws.FILTER(dataGLPL,dataGLPLAcctIDs=$C57),(startDates&gt;=AA$4)*(endDates&lt;=AA$5)))</f>
        <v>67028.974527973784</v>
      </c>
      <c r="AB57" s="215"/>
      <c r="AC57" s="344"/>
      <c r="AD57" s="246" cm="1">
        <f t="array" ref="AD57">SUM(_xlfn._xlws.FILTER(_xlfn._xlws.FILTER(dataGLPL,dataGLPLAcctIDs=$C57),(startDates&gt;=AD$4)*(endDates&lt;=AD$5)))</f>
        <v>2500</v>
      </c>
      <c r="AE57" s="246" cm="1">
        <f t="array" ref="AE57">SUM(_xlfn._xlws.FILTER(_xlfn._xlws.FILTER(dataGLPL,dataGLPLAcctIDs=$C57),(startDates&gt;=AE$4)*(endDates&lt;=AE$5)))</f>
        <v>2500</v>
      </c>
      <c r="AF57" s="246" cm="1">
        <f t="array" ref="AF57">SUM(_xlfn._xlws.FILTER(_xlfn._xlws.FILTER(dataGLPL,dataGLPLAcctIDs=$C57),(startDates&gt;=AF$4)*(endDates&lt;=AF$5)))</f>
        <v>2500</v>
      </c>
      <c r="AG57" s="246" cm="1">
        <f t="array" ref="AG57">SUM(_xlfn._xlws.FILTER(_xlfn._xlws.FILTER(dataGLPL,dataGLPLAcctIDs=$C57),(startDates&gt;=AG$4)*(endDates&lt;=AG$5)))</f>
        <v>2500</v>
      </c>
      <c r="AH57" s="246" cm="1">
        <f t="array" ref="AH57">SUM(_xlfn._xlws.FILTER(_xlfn._xlws.FILTER(dataGLPL,dataGLPLAcctIDs=$C57),(startDates&gt;=AH$4)*(endDates&lt;=AH$5)))</f>
        <v>2500</v>
      </c>
      <c r="AI57" s="246" cm="1">
        <f t="array" ref="AI57">SUM(_xlfn._xlws.FILTER(_xlfn._xlws.FILTER(dataGLPL,dataGLPLAcctIDs=$C57),(startDates&gt;=AI$4)*(endDates&lt;=AI$5)))</f>
        <v>2500</v>
      </c>
      <c r="AJ57" s="246" cm="1">
        <f t="array" ref="AJ57">SUM(_xlfn._xlws.FILTER(_xlfn._xlws.FILTER(dataGLPL,dataGLPLAcctIDs=$C57),(startDates&gt;=AJ$4)*(endDates&lt;=AJ$5)))</f>
        <v>2500</v>
      </c>
      <c r="AK57" s="246" cm="1">
        <f t="array" ref="AK57">SUM(_xlfn._xlws.FILTER(_xlfn._xlws.FILTER(dataGLPL,dataGLPLAcctIDs=$C57),(startDates&gt;=AK$4)*(endDates&lt;=AK$5)))</f>
        <v>2500</v>
      </c>
      <c r="AL57" s="246" cm="1">
        <f t="array" ref="AL57">SUM(_xlfn._xlws.FILTER(_xlfn._xlws.FILTER(dataGLPL,dataGLPLAcctIDs=$C57),(startDates&gt;=AL$4)*(endDates&lt;=AL$5)))</f>
        <v>2500</v>
      </c>
      <c r="AM57" s="246" cm="1">
        <f t="array" ref="AM57">SUM(_xlfn._xlws.FILTER(_xlfn._xlws.FILTER(dataGLPL,dataGLPLAcctIDs=$C57),(startDates&gt;=AM$4)*(endDates&lt;=AM$5)))</f>
        <v>7500</v>
      </c>
      <c r="AN57" s="246" cm="1">
        <f t="array" ref="AN57">SUM(_xlfn._xlws.FILTER(_xlfn._xlws.FILTER(dataGLPL,dataGLPLAcctIDs=$C57),(startDates&gt;=AN$4)*(endDates&lt;=AN$5)))</f>
        <v>13593</v>
      </c>
      <c r="AO57" s="246" cm="1">
        <f t="array" ref="AO57">SUM(_xlfn._xlws.FILTER(_xlfn._xlws.FILTER(dataGLPL,dataGLPLAcctIDs=$C57),(startDates&gt;=AO$4)*(endDates&lt;=AO$5)))</f>
        <v>18444.5</v>
      </c>
      <c r="AP57" s="246" cm="1">
        <f t="array" ref="AP57">SUM(_xlfn._xlws.FILTER(_xlfn._xlws.FILTER(dataGLPL,dataGLPLAcctIDs=$C57),(startDates&gt;=AP$4)*(endDates&lt;=AP$5)))</f>
        <v>18444.5</v>
      </c>
      <c r="AQ57" s="246" cm="1">
        <f t="array" ref="AQ57">SUM(_xlfn._xlws.FILTER(_xlfn._xlws.FILTER(dataGLPL,dataGLPLAcctIDs=$C57),(startDates&gt;=AQ$4)*(endDates&lt;=AQ$5)))</f>
        <v>18445</v>
      </c>
      <c r="AR57" s="246" cm="1">
        <f t="array" ref="AR57">SUM(_xlfn._xlws.FILTER(_xlfn._xlws.FILTER(dataGLPL,dataGLPLAcctIDs=$C57),(startDates&gt;=AR$4)*(endDates&lt;=AR$5)))</f>
        <v>18445</v>
      </c>
      <c r="AS57" s="246" cm="1">
        <f t="array" ref="AS57">SUM(_xlfn._xlws.FILTER(_xlfn._xlws.FILTER(dataGLPL,dataGLPLAcctIDs=$C57),(startDates&gt;=AS$4)*(endDates&lt;=AS$5)))</f>
        <v>18445</v>
      </c>
      <c r="AT57" s="246" cm="1">
        <f t="array" ref="AT57">SUM(_xlfn._xlws.FILTER(_xlfn._xlws.FILTER(dataGLPL,dataGLPLAcctIDs=$C57),(startDates&gt;=AT$4)*(endDates&lt;=AT$5)))</f>
        <v>18445</v>
      </c>
      <c r="AU57" s="246" cm="1">
        <f t="array" ref="AU57">SUM(_xlfn._xlws.FILTER(_xlfn._xlws.FILTER(dataGLPL,dataGLPLAcctIDs=$C57),(startDates&gt;=AU$4)*(endDates&lt;=AU$5)))</f>
        <v>18445</v>
      </c>
      <c r="AV57" s="246" cm="1">
        <f t="array" ref="AV57">SUM(_xlfn._xlws.FILTER(_xlfn._xlws.FILTER(dataGLPL,dataGLPLAcctIDs=$C57),(startDates&gt;=AV$4)*(endDates&lt;=AV$5)))</f>
        <v>18445</v>
      </c>
      <c r="AW57" s="246" cm="1">
        <f t="array" ref="AW57">SUM(_xlfn._xlws.FILTER(_xlfn._xlws.FILTER(dataGLPL,dataGLPLAcctIDs=$C57),(startDates&gt;=AW$4)*(endDates&lt;=AW$5)))</f>
        <v>18445</v>
      </c>
      <c r="AX57" s="246" cm="1">
        <f t="array" ref="AX57">SUM(_xlfn._xlws.FILTER(_xlfn._xlws.FILTER(dataGLPL,dataGLPLAcctIDs=$C57),(startDates&gt;=AX$4)*(endDates&lt;=AX$5)))</f>
        <v>18445</v>
      </c>
      <c r="AY57" s="246" cm="1">
        <f t="array" ref="AY57">SUM(_xlfn._xlws.FILTER(_xlfn._xlws.FILTER(dataGLPL,dataGLPLAcctIDs=$C57),(startDates&gt;=AY$4)*(endDates&lt;=AY$5)))</f>
        <v>18445</v>
      </c>
      <c r="AZ57" s="246" cm="1">
        <f t="array" ref="AZ57">SUM(_xlfn._xlws.FILTER(_xlfn._xlws.FILTER(dataGLPL,dataGLPLAcctIDs=$C57),(startDates&gt;=AZ$4)*(endDates&lt;=AZ$5)))</f>
        <v>18445</v>
      </c>
      <c r="BA57" s="246" cm="1">
        <f t="array" ref="BA57">SUM(_xlfn._xlws.FILTER(_xlfn._xlws.FILTER(dataGLPL,dataGLPLAcctIDs=$C57),(startDates&gt;=BA$4)*(endDates&lt;=BA$5)))</f>
        <v>18445</v>
      </c>
      <c r="BB57" s="246" cm="1">
        <f t="array" ref="BB57">SUM(_xlfn._xlws.FILTER(_xlfn._xlws.FILTER(dataGLPL,dataGLPLAcctIDs=$C57),(startDates&gt;=BB$4)*(endDates&lt;=BB$5)))</f>
        <v>18444.759999999998</v>
      </c>
      <c r="BC57" s="246" cm="1">
        <f t="array" ref="BC57">SUM(_xlfn._xlws.FILTER(_xlfn._xlws.FILTER(dataGLPL,dataGLPLAcctIDs=$C57),(startDates&gt;=BC$4)*(endDates&lt;=BC$5)))</f>
        <v>18445</v>
      </c>
      <c r="BD57" s="246" cm="1">
        <f t="array" ref="BD57">SUM(_xlfn._xlws.FILTER(_xlfn._xlws.FILTER(dataGLPL,dataGLPLAcctIDs=$C57),(startDates&gt;=BD$4)*(endDates&lt;=BD$5)))</f>
        <v>18445</v>
      </c>
      <c r="BE57" s="246" cm="1">
        <f t="array" ref="BE57">SUM(_xlfn._xlws.FILTER(_xlfn._xlws.FILTER(dataGLPL,dataGLPLAcctIDs=$C57),(startDates&gt;=BE$4)*(endDates&lt;=BE$5)))</f>
        <v>18445</v>
      </c>
      <c r="BF57" s="246" cm="1">
        <f t="array" ref="BF57">SUM(_xlfn._xlws.FILTER(_xlfn._xlws.FILTER(dataGLPL,dataGLPLAcctIDs=$C57),(startDates&gt;=BF$4)*(endDates&lt;=BF$5)))</f>
        <v>18445</v>
      </c>
      <c r="BG57" s="246" cm="1">
        <f t="array" ref="BG57">SUM(_xlfn._xlws.FILTER(_xlfn._xlws.FILTER(dataGLPL,dataGLPLAcctIDs=$C57),(startDates&gt;=BG$4)*(endDates&lt;=BG$5)))</f>
        <v>18444.759999999998</v>
      </c>
      <c r="BH57" s="246" cm="1">
        <f t="array" ref="BH57">SUM(_xlfn._xlws.FILTER(_xlfn._xlws.FILTER(dataGLPL,dataGLPLAcctIDs=$C57),(startDates&gt;=BH$4)*(endDates&lt;=BH$5)))</f>
        <v>18444.759999999998</v>
      </c>
      <c r="BI57" s="246" cm="1">
        <f t="array" ref="BI57">SUM(_xlfn._xlws.FILTER(_xlfn._xlws.FILTER(dataGLPL,dataGLPLAcctIDs=$C57),(startDates&gt;=BI$4)*(endDates&lt;=BI$5)))</f>
        <v>18444.759999999998</v>
      </c>
      <c r="BJ57" s="246" cm="1">
        <f t="array" ref="BJ57">SUM(_xlfn._xlws.FILTER(_xlfn._xlws.FILTER(dataGLPL,dataGLPLAcctIDs=$C57),(startDates&gt;=BJ$4)*(endDates&lt;=BJ$5)))</f>
        <v>18444.759999999998</v>
      </c>
      <c r="BK57" s="246" cm="1">
        <f t="array" ref="BK57">SUM(_xlfn._xlws.FILTER(_xlfn._xlws.FILTER(dataGLPL,dataGLPLAcctIDs=$C57),(startDates&gt;=BK$4)*(endDates&lt;=BK$5)))</f>
        <v>18444.759999999998</v>
      </c>
      <c r="BL57" s="246" cm="1">
        <f t="array" ref="BL57">SUM(_xlfn._xlws.FILTER(_xlfn._xlws.FILTER(dataGLPL,dataGLPLAcctIDs=$C57),(startDates&gt;=BL$4)*(endDates&lt;=BL$5)))</f>
        <v>18444.759999999998</v>
      </c>
      <c r="BM57" s="246" cm="1">
        <f t="array" ref="BM57">SUM(_xlfn._xlws.FILTER(_xlfn._xlws.FILTER(dataGLPL,dataGLPLAcctIDs=$C57),(startDates&gt;=BM$4)*(endDates&lt;=BM$5)))</f>
        <v>19366.998</v>
      </c>
      <c r="BN57" s="246" cm="1">
        <f t="array" ref="BN57">SUM(_xlfn._xlws.FILTER(_xlfn._xlws.FILTER(dataGLPL,dataGLPLAcctIDs=$C57),(startDates&gt;=BN$4)*(endDates&lt;=BN$5)))</f>
        <v>19528.389649999997</v>
      </c>
      <c r="BO57" s="246" cm="1">
        <f t="array" ref="BO57">SUM(_xlfn._xlws.FILTER(_xlfn._xlws.FILTER(dataGLPL,dataGLPLAcctIDs=$C57),(startDates&gt;=BO$4)*(endDates&lt;=BO$5)))</f>
        <v>19718.02483875</v>
      </c>
      <c r="BP57" s="246" cm="1">
        <f t="array" ref="BP57">SUM(_xlfn._xlws.FILTER(_xlfn._xlws.FILTER(dataGLPL,dataGLPLAcctIDs=$C57),(startDates&gt;=BP$4)*(endDates&lt;=BP$5)))</f>
        <v>19940.846185531249</v>
      </c>
      <c r="BQ57" s="246" cm="1">
        <f t="array" ref="BQ57">SUM(_xlfn._xlws.FILTER(_xlfn._xlws.FILTER(dataGLPL,dataGLPLAcctIDs=$C57),(startDates&gt;=BQ$4)*(endDates&lt;=BQ$5)))</f>
        <v>20202.661267999218</v>
      </c>
      <c r="BR57" s="246" cm="1">
        <f t="array" ref="BR57">SUM(_xlfn._xlws.FILTER(_xlfn._xlws.FILTER(dataGLPL,dataGLPLAcctIDs=$C57),(startDates&gt;=BR$4)*(endDates&lt;=BR$5)))</f>
        <v>20510.293989899081</v>
      </c>
      <c r="BS57" s="246" cm="1">
        <f t="array" ref="BS57">SUM(_xlfn._xlws.FILTER(_xlfn._xlws.FILTER(dataGLPL,dataGLPLAcctIDs=$C57),(startDates&gt;=BS$4)*(endDates&lt;=BS$5)))</f>
        <v>20871.762438131416</v>
      </c>
      <c r="BT57" s="246" cm="1">
        <f t="array" ref="BT57">SUM(_xlfn._xlws.FILTER(_xlfn._xlws.FILTER(dataGLPL,dataGLPLAcctIDs=$C57),(startDates&gt;=BT$4)*(endDates&lt;=BT$5)))</f>
        <v>21135.096214804413</v>
      </c>
      <c r="BU57" s="246" cm="1">
        <f t="array" ref="BU57">SUM(_xlfn._xlws.FILTER(_xlfn._xlws.FILTER(dataGLPL,dataGLPLAcctIDs=$C57),(startDates&gt;=BU$4)*(endDates&lt;=BU$5)))</f>
        <v>21416.269863645193</v>
      </c>
      <c r="BV57" s="246" cm="1">
        <f t="array" ref="BV57">SUM(_xlfn._xlws.FILTER(_xlfn._xlws.FILTER(dataGLPL,dataGLPLAcctIDs=$C57),(startDates&gt;=BV$4)*(endDates&lt;=BV$5)))</f>
        <v>21713.462743001852</v>
      </c>
      <c r="BW57" s="246" cm="1">
        <f t="array" ref="BW57">SUM(_xlfn._xlws.FILTER(_xlfn._xlws.FILTER(dataGLPL,dataGLPLAcctIDs=$C57),(startDates&gt;=BW$4)*(endDates&lt;=BW$5)))</f>
        <v>22023.670640559209</v>
      </c>
      <c r="BX57" s="246" cm="1">
        <f t="array" ref="BX57">SUM(_xlfn._xlws.FILTER(_xlfn._xlws.FILTER(dataGLPL,dataGLPLAcctIDs=$C57),(startDates&gt;=BX$4)*(endDates&lt;=BX$5)))</f>
        <v>22342.347280757203</v>
      </c>
      <c r="BY57" s="246" cm="1">
        <f t="array" ref="BY57">SUM(_xlfn._xlws.FILTER(_xlfn._xlws.FILTER(dataGLPL,dataGLPLAcctIDs=$C57),(startDates&gt;=BY$4)*(endDates&lt;=BY$5)))</f>
        <v>22662.956606657375</v>
      </c>
    </row>
    <row r="58" spans="1:77" s="201" customFormat="1" ht="21" customHeight="1">
      <c r="A58" s="215"/>
      <c r="B58" s="343" t="s">
        <v>270</v>
      </c>
      <c r="C58" s="343" t="s">
        <v>271</v>
      </c>
      <c r="D58" s="215"/>
      <c r="E58" s="216"/>
      <c r="F58" s="345">
        <f t="shared" ref="F58:I58" si="36">_xlfn.AGGREGATE(9,0, F$55:F$57)</f>
        <v>77240</v>
      </c>
      <c r="G58" s="345">
        <f t="shared" si="36"/>
        <v>257951.5</v>
      </c>
      <c r="H58" s="345">
        <f t="shared" si="36"/>
        <v>258995.39466666666</v>
      </c>
      <c r="I58" s="345">
        <f t="shared" si="36"/>
        <v>283852.35949751397</v>
      </c>
      <c r="J58" s="344"/>
      <c r="K58" s="344"/>
      <c r="L58" s="345">
        <f t="shared" ref="L58:AA58" si="37">_xlfn.AGGREGATE(9,0, L$55:L$57)</f>
        <v>7777</v>
      </c>
      <c r="M58" s="345">
        <f t="shared" si="37"/>
        <v>11195.5</v>
      </c>
      <c r="N58" s="345">
        <f t="shared" si="37"/>
        <v>11847</v>
      </c>
      <c r="O58" s="345">
        <f t="shared" si="37"/>
        <v>46420.5</v>
      </c>
      <c r="P58" s="345">
        <f t="shared" si="37"/>
        <v>64487.5</v>
      </c>
      <c r="Q58" s="345">
        <f t="shared" si="37"/>
        <v>64488</v>
      </c>
      <c r="R58" s="345">
        <f t="shared" si="37"/>
        <v>64488</v>
      </c>
      <c r="S58" s="345">
        <f t="shared" si="37"/>
        <v>64488</v>
      </c>
      <c r="T58" s="345">
        <f t="shared" si="37"/>
        <v>64486.739999999991</v>
      </c>
      <c r="U58" s="345">
        <f t="shared" si="37"/>
        <v>64486.739999999991</v>
      </c>
      <c r="V58" s="345">
        <f t="shared" si="37"/>
        <v>64486.259999999995</v>
      </c>
      <c r="W58" s="345">
        <f t="shared" si="37"/>
        <v>65535.654666666662</v>
      </c>
      <c r="X58" s="345">
        <f t="shared" si="37"/>
        <v>68998.488452059028</v>
      </c>
      <c r="Y58" s="345">
        <f t="shared" si="37"/>
        <v>69090.389918251953</v>
      </c>
      <c r="Z58" s="345">
        <f t="shared" si="37"/>
        <v>71534.389932562568</v>
      </c>
      <c r="AA58" s="345">
        <f t="shared" si="37"/>
        <v>74229.091194640438</v>
      </c>
      <c r="AB58" s="215"/>
      <c r="AC58" s="344"/>
      <c r="AD58" s="345">
        <f>_xlfn.AGGREGATE(9,0, AD$55:AD$57)</f>
        <v>2569</v>
      </c>
      <c r="AE58" s="345">
        <f t="shared" ref="AE58:BY58" si="38">_xlfn.AGGREGATE(9,0, AE$55:AE$57)</f>
        <v>2569</v>
      </c>
      <c r="AF58" s="345">
        <f t="shared" si="38"/>
        <v>2639</v>
      </c>
      <c r="AG58" s="345">
        <f t="shared" si="38"/>
        <v>3611.5</v>
      </c>
      <c r="AH58" s="345">
        <f t="shared" si="38"/>
        <v>3681</v>
      </c>
      <c r="AI58" s="345">
        <f t="shared" si="38"/>
        <v>3903</v>
      </c>
      <c r="AJ58" s="345">
        <f t="shared" si="38"/>
        <v>3903</v>
      </c>
      <c r="AK58" s="345">
        <f t="shared" si="38"/>
        <v>3972</v>
      </c>
      <c r="AL58" s="345">
        <f t="shared" si="38"/>
        <v>3972</v>
      </c>
      <c r="AM58" s="345">
        <f t="shared" si="38"/>
        <v>8972</v>
      </c>
      <c r="AN58" s="345">
        <f t="shared" si="38"/>
        <v>15953</v>
      </c>
      <c r="AO58" s="345">
        <f t="shared" si="38"/>
        <v>21495.5</v>
      </c>
      <c r="AP58" s="345">
        <f t="shared" si="38"/>
        <v>21495.5</v>
      </c>
      <c r="AQ58" s="345">
        <f t="shared" si="38"/>
        <v>21496</v>
      </c>
      <c r="AR58" s="345">
        <f t="shared" si="38"/>
        <v>21496</v>
      </c>
      <c r="AS58" s="345">
        <f t="shared" si="38"/>
        <v>21496</v>
      </c>
      <c r="AT58" s="345">
        <f t="shared" si="38"/>
        <v>21496</v>
      </c>
      <c r="AU58" s="345">
        <f t="shared" si="38"/>
        <v>21496</v>
      </c>
      <c r="AV58" s="345">
        <f t="shared" si="38"/>
        <v>21496</v>
      </c>
      <c r="AW58" s="345">
        <f t="shared" si="38"/>
        <v>21496</v>
      </c>
      <c r="AX58" s="345">
        <f t="shared" si="38"/>
        <v>21496</v>
      </c>
      <c r="AY58" s="345">
        <f t="shared" si="38"/>
        <v>21496</v>
      </c>
      <c r="AZ58" s="345">
        <f t="shared" si="38"/>
        <v>21496</v>
      </c>
      <c r="BA58" s="345">
        <f t="shared" si="38"/>
        <v>21496</v>
      </c>
      <c r="BB58" s="345">
        <f t="shared" si="38"/>
        <v>21495.42</v>
      </c>
      <c r="BC58" s="345">
        <f t="shared" si="38"/>
        <v>21495.66</v>
      </c>
      <c r="BD58" s="345">
        <f t="shared" si="38"/>
        <v>21495.66</v>
      </c>
      <c r="BE58" s="345">
        <f t="shared" si="38"/>
        <v>21495.66</v>
      </c>
      <c r="BF58" s="345">
        <f t="shared" si="38"/>
        <v>21495.66</v>
      </c>
      <c r="BG58" s="345">
        <f t="shared" si="38"/>
        <v>21495.42</v>
      </c>
      <c r="BH58" s="345">
        <f t="shared" si="38"/>
        <v>21495.42</v>
      </c>
      <c r="BI58" s="345">
        <f t="shared" si="38"/>
        <v>21495.42</v>
      </c>
      <c r="BJ58" s="345">
        <f t="shared" si="38"/>
        <v>21495.42</v>
      </c>
      <c r="BK58" s="345">
        <f t="shared" si="38"/>
        <v>21495.42</v>
      </c>
      <c r="BL58" s="345">
        <f t="shared" si="38"/>
        <v>21495.42</v>
      </c>
      <c r="BM58" s="345">
        <f t="shared" si="38"/>
        <v>22544.814666666665</v>
      </c>
      <c r="BN58" s="345">
        <f t="shared" si="38"/>
        <v>22636.761872222225</v>
      </c>
      <c r="BO58" s="345">
        <f t="shared" si="38"/>
        <v>23104.174838749994</v>
      </c>
      <c r="BP58" s="345">
        <f t="shared" si="38"/>
        <v>23257.551741086805</v>
      </c>
      <c r="BQ58" s="345">
        <f t="shared" si="38"/>
        <v>22547.144601332555</v>
      </c>
      <c r="BR58" s="345">
        <f t="shared" si="38"/>
        <v>23201.999545454637</v>
      </c>
      <c r="BS58" s="345">
        <f t="shared" si="38"/>
        <v>23341.245771464753</v>
      </c>
      <c r="BT58" s="345">
        <f t="shared" si="38"/>
        <v>23604.57954813775</v>
      </c>
      <c r="BU58" s="345">
        <f t="shared" si="38"/>
        <v>23816.308752534078</v>
      </c>
      <c r="BV58" s="345">
        <f t="shared" si="38"/>
        <v>24113.501631890736</v>
      </c>
      <c r="BW58" s="345">
        <f t="shared" si="38"/>
        <v>24423.709529448093</v>
      </c>
      <c r="BX58" s="345">
        <f t="shared" si="38"/>
        <v>24742.386169646088</v>
      </c>
      <c r="BY58" s="345">
        <f t="shared" si="38"/>
        <v>25062.99549554626</v>
      </c>
    </row>
    <row r="59" spans="1:77" s="201" customFormat="1" ht="21" customHeight="1">
      <c r="A59" s="215"/>
      <c r="B59" s="343" t="s">
        <v>133</v>
      </c>
      <c r="C59" s="343" t="s">
        <v>272</v>
      </c>
      <c r="D59" s="215"/>
      <c r="E59" s="216"/>
      <c r="F59" s="345">
        <f t="shared" ref="F59:I59" si="39">F$54 - F$58</f>
        <v>-77240</v>
      </c>
      <c r="G59" s="345">
        <f t="shared" si="39"/>
        <v>-257951.5</v>
      </c>
      <c r="H59" s="345">
        <f t="shared" si="39"/>
        <v>-258995.39466666666</v>
      </c>
      <c r="I59" s="345">
        <f t="shared" si="39"/>
        <v>-283852.35949751397</v>
      </c>
      <c r="J59" s="344"/>
      <c r="K59" s="344"/>
      <c r="L59" s="345">
        <f t="shared" ref="L59:AA59" si="40">L$54 - L$58</f>
        <v>-7777</v>
      </c>
      <c r="M59" s="345">
        <f t="shared" si="40"/>
        <v>-11195.5</v>
      </c>
      <c r="N59" s="345">
        <f t="shared" si="40"/>
        <v>-11847</v>
      </c>
      <c r="O59" s="345">
        <f t="shared" si="40"/>
        <v>-46420.5</v>
      </c>
      <c r="P59" s="345">
        <f t="shared" si="40"/>
        <v>-64487.5</v>
      </c>
      <c r="Q59" s="345">
        <f t="shared" si="40"/>
        <v>-64488</v>
      </c>
      <c r="R59" s="345">
        <f t="shared" si="40"/>
        <v>-64488</v>
      </c>
      <c r="S59" s="345">
        <f t="shared" si="40"/>
        <v>-64488</v>
      </c>
      <c r="T59" s="345">
        <f t="shared" si="40"/>
        <v>-64486.739999999991</v>
      </c>
      <c r="U59" s="345">
        <f t="shared" si="40"/>
        <v>-64486.739999999991</v>
      </c>
      <c r="V59" s="345">
        <f t="shared" si="40"/>
        <v>-64486.259999999995</v>
      </c>
      <c r="W59" s="345">
        <f t="shared" si="40"/>
        <v>-65535.654666666662</v>
      </c>
      <c r="X59" s="345">
        <f t="shared" si="40"/>
        <v>-68998.488452059028</v>
      </c>
      <c r="Y59" s="345">
        <f t="shared" si="40"/>
        <v>-69090.389918251953</v>
      </c>
      <c r="Z59" s="345">
        <f t="shared" si="40"/>
        <v>-71534.389932562568</v>
      </c>
      <c r="AA59" s="345">
        <f t="shared" si="40"/>
        <v>-74229.091194640438</v>
      </c>
      <c r="AB59" s="215"/>
      <c r="AC59" s="344"/>
      <c r="AD59" s="345">
        <f>AD$54 - AD$58</f>
        <v>-2569</v>
      </c>
      <c r="AE59" s="345">
        <f t="shared" ref="AE59:BY59" si="41">AE$54 - AE$58</f>
        <v>-2569</v>
      </c>
      <c r="AF59" s="345">
        <f t="shared" si="41"/>
        <v>-2639</v>
      </c>
      <c r="AG59" s="345">
        <f t="shared" si="41"/>
        <v>-3611.5</v>
      </c>
      <c r="AH59" s="345">
        <f t="shared" si="41"/>
        <v>-3681</v>
      </c>
      <c r="AI59" s="345">
        <f t="shared" si="41"/>
        <v>-3903</v>
      </c>
      <c r="AJ59" s="345">
        <f t="shared" si="41"/>
        <v>-3903</v>
      </c>
      <c r="AK59" s="345">
        <f t="shared" si="41"/>
        <v>-3972</v>
      </c>
      <c r="AL59" s="345">
        <f t="shared" si="41"/>
        <v>-3972</v>
      </c>
      <c r="AM59" s="345">
        <f t="shared" si="41"/>
        <v>-8972</v>
      </c>
      <c r="AN59" s="345">
        <f t="shared" si="41"/>
        <v>-15953</v>
      </c>
      <c r="AO59" s="345">
        <f t="shared" si="41"/>
        <v>-21495.5</v>
      </c>
      <c r="AP59" s="345">
        <f t="shared" si="41"/>
        <v>-21495.5</v>
      </c>
      <c r="AQ59" s="345">
        <f t="shared" si="41"/>
        <v>-21496</v>
      </c>
      <c r="AR59" s="345">
        <f t="shared" si="41"/>
        <v>-21496</v>
      </c>
      <c r="AS59" s="345">
        <f t="shared" si="41"/>
        <v>-21496</v>
      </c>
      <c r="AT59" s="345">
        <f t="shared" si="41"/>
        <v>-21496</v>
      </c>
      <c r="AU59" s="345">
        <f t="shared" si="41"/>
        <v>-21496</v>
      </c>
      <c r="AV59" s="345">
        <f t="shared" si="41"/>
        <v>-21496</v>
      </c>
      <c r="AW59" s="345">
        <f t="shared" si="41"/>
        <v>-21496</v>
      </c>
      <c r="AX59" s="345">
        <f t="shared" si="41"/>
        <v>-21496</v>
      </c>
      <c r="AY59" s="345">
        <f t="shared" si="41"/>
        <v>-21496</v>
      </c>
      <c r="AZ59" s="345">
        <f t="shared" si="41"/>
        <v>-21496</v>
      </c>
      <c r="BA59" s="345">
        <f t="shared" si="41"/>
        <v>-21496</v>
      </c>
      <c r="BB59" s="345">
        <f t="shared" si="41"/>
        <v>-21495.42</v>
      </c>
      <c r="BC59" s="345">
        <f t="shared" si="41"/>
        <v>-21495.66</v>
      </c>
      <c r="BD59" s="345">
        <f t="shared" si="41"/>
        <v>-21495.66</v>
      </c>
      <c r="BE59" s="345">
        <f t="shared" si="41"/>
        <v>-21495.66</v>
      </c>
      <c r="BF59" s="345">
        <f t="shared" si="41"/>
        <v>-21495.66</v>
      </c>
      <c r="BG59" s="345">
        <f t="shared" si="41"/>
        <v>-21495.42</v>
      </c>
      <c r="BH59" s="345">
        <f t="shared" si="41"/>
        <v>-21495.42</v>
      </c>
      <c r="BI59" s="345">
        <f t="shared" si="41"/>
        <v>-21495.42</v>
      </c>
      <c r="BJ59" s="345">
        <f t="shared" si="41"/>
        <v>-21495.42</v>
      </c>
      <c r="BK59" s="345">
        <f t="shared" si="41"/>
        <v>-21495.42</v>
      </c>
      <c r="BL59" s="345">
        <f t="shared" si="41"/>
        <v>-21495.42</v>
      </c>
      <c r="BM59" s="345">
        <f t="shared" si="41"/>
        <v>-22544.814666666665</v>
      </c>
      <c r="BN59" s="345">
        <f t="shared" si="41"/>
        <v>-22636.761872222225</v>
      </c>
      <c r="BO59" s="345">
        <f t="shared" si="41"/>
        <v>-23104.174838749994</v>
      </c>
      <c r="BP59" s="345">
        <f t="shared" si="41"/>
        <v>-23257.551741086805</v>
      </c>
      <c r="BQ59" s="345">
        <f t="shared" si="41"/>
        <v>-22547.144601332555</v>
      </c>
      <c r="BR59" s="345">
        <f t="shared" si="41"/>
        <v>-23201.999545454637</v>
      </c>
      <c r="BS59" s="345">
        <f t="shared" si="41"/>
        <v>-23341.245771464753</v>
      </c>
      <c r="BT59" s="345">
        <f t="shared" si="41"/>
        <v>-23604.57954813775</v>
      </c>
      <c r="BU59" s="345">
        <f t="shared" si="41"/>
        <v>-23816.308752534078</v>
      </c>
      <c r="BV59" s="345">
        <f t="shared" si="41"/>
        <v>-24113.501631890736</v>
      </c>
      <c r="BW59" s="345">
        <f t="shared" si="41"/>
        <v>-24423.709529448093</v>
      </c>
      <c r="BX59" s="345">
        <f t="shared" si="41"/>
        <v>-24742.386169646088</v>
      </c>
      <c r="BY59" s="345">
        <f t="shared" si="41"/>
        <v>-25062.99549554626</v>
      </c>
    </row>
    <row r="60" spans="1:77" s="201" customFormat="1" ht="21" customHeight="1">
      <c r="A60" s="215"/>
      <c r="B60" s="343" t="s">
        <v>102</v>
      </c>
      <c r="C60" s="343" t="s">
        <v>102</v>
      </c>
      <c r="D60" s="215"/>
      <c r="E60" s="216"/>
      <c r="F60" s="345">
        <f t="shared" ref="F60:I60" si="42">((F$13 - F$19) - F$49) + (F$54 - F$58)</f>
        <v>-659921.5</v>
      </c>
      <c r="G60" s="345">
        <f t="shared" si="42"/>
        <v>-1553482.5</v>
      </c>
      <c r="H60" s="345">
        <f t="shared" si="42"/>
        <v>-2623718.7422727272</v>
      </c>
      <c r="I60" s="345">
        <f t="shared" si="42"/>
        <v>-2797484.9957560925</v>
      </c>
      <c r="J60" s="344"/>
      <c r="K60" s="344"/>
      <c r="L60" s="345">
        <f t="shared" ref="L60:AA60" si="43">((L$13 - L$19) - L$49) + (L$54 - L$58)</f>
        <v>-134542</v>
      </c>
      <c r="M60" s="345">
        <f t="shared" si="43"/>
        <v>-141020</v>
      </c>
      <c r="N60" s="345">
        <f t="shared" si="43"/>
        <v>-142881.5</v>
      </c>
      <c r="O60" s="345">
        <f t="shared" si="43"/>
        <v>-241478</v>
      </c>
      <c r="P60" s="345">
        <f t="shared" si="43"/>
        <v>-277494</v>
      </c>
      <c r="Q60" s="345">
        <f t="shared" si="43"/>
        <v>-353145</v>
      </c>
      <c r="R60" s="345">
        <f t="shared" si="43"/>
        <v>-445187</v>
      </c>
      <c r="S60" s="345">
        <f t="shared" si="43"/>
        <v>-477656.50000000012</v>
      </c>
      <c r="T60" s="345">
        <f t="shared" si="43"/>
        <v>-542782.23</v>
      </c>
      <c r="U60" s="345">
        <f t="shared" si="43"/>
        <v>-610775.53000000014</v>
      </c>
      <c r="V60" s="345">
        <f t="shared" si="43"/>
        <v>-682248.25</v>
      </c>
      <c r="W60" s="345">
        <f t="shared" si="43"/>
        <v>-787912.73227272741</v>
      </c>
      <c r="X60" s="345">
        <f t="shared" si="43"/>
        <v>-610564.83382827765</v>
      </c>
      <c r="Y60" s="345">
        <f t="shared" si="43"/>
        <v>-680673.71481320099</v>
      </c>
      <c r="Z60" s="345">
        <f t="shared" si="43"/>
        <v>-728827.4805175832</v>
      </c>
      <c r="AA60" s="345">
        <f t="shared" si="43"/>
        <v>-777418.9665970311</v>
      </c>
      <c r="AB60" s="215"/>
      <c r="AC60" s="344"/>
      <c r="AD60" s="345">
        <f>((AD$13 - AD$19) - AD$49) + (AD$54 - AD$58)</f>
        <v>-44399</v>
      </c>
      <c r="AE60" s="345">
        <f t="shared" ref="AE60:BY60" si="44">((AE$13 - AE$19) - AE$49) + (AE$54 - AE$58)</f>
        <v>-44839</v>
      </c>
      <c r="AF60" s="345">
        <f t="shared" si="44"/>
        <v>-45304</v>
      </c>
      <c r="AG60" s="345">
        <f t="shared" si="44"/>
        <v>-46621</v>
      </c>
      <c r="AH60" s="345">
        <f t="shared" si="44"/>
        <v>-46978</v>
      </c>
      <c r="AI60" s="345">
        <f t="shared" si="44"/>
        <v>-47421</v>
      </c>
      <c r="AJ60" s="345">
        <f t="shared" si="44"/>
        <v>-47561</v>
      </c>
      <c r="AK60" s="345">
        <f t="shared" si="44"/>
        <v>-47684.5</v>
      </c>
      <c r="AL60" s="345">
        <f t="shared" si="44"/>
        <v>-47636</v>
      </c>
      <c r="AM60" s="345">
        <f t="shared" si="44"/>
        <v>-52475</v>
      </c>
      <c r="AN60" s="345">
        <f t="shared" si="44"/>
        <v>-64818</v>
      </c>
      <c r="AO60" s="345">
        <f t="shared" si="44"/>
        <v>-124185</v>
      </c>
      <c r="AP60" s="345">
        <f t="shared" si="44"/>
        <v>-72804.5</v>
      </c>
      <c r="AQ60" s="345">
        <f t="shared" si="44"/>
        <v>-129320</v>
      </c>
      <c r="AR60" s="345">
        <f t="shared" si="44"/>
        <v>-75369.5</v>
      </c>
      <c r="AS60" s="345">
        <f t="shared" si="44"/>
        <v>-134710.5</v>
      </c>
      <c r="AT60" s="345">
        <f t="shared" si="44"/>
        <v>-78062.5</v>
      </c>
      <c r="AU60" s="345">
        <f t="shared" si="44"/>
        <v>-140372</v>
      </c>
      <c r="AV60" s="345">
        <f t="shared" si="44"/>
        <v>-146316</v>
      </c>
      <c r="AW60" s="345">
        <f t="shared" si="44"/>
        <v>-146315</v>
      </c>
      <c r="AX60" s="345">
        <f t="shared" si="44"/>
        <v>-152556</v>
      </c>
      <c r="AY60" s="345">
        <f t="shared" si="44"/>
        <v>-152557</v>
      </c>
      <c r="AZ60" s="345">
        <f t="shared" si="44"/>
        <v>-159110</v>
      </c>
      <c r="BA60" s="345">
        <f t="shared" si="44"/>
        <v>-165989.5</v>
      </c>
      <c r="BB60" s="345">
        <f t="shared" si="44"/>
        <v>-173214.90999999992</v>
      </c>
      <c r="BC60" s="345">
        <f t="shared" si="44"/>
        <v>-180800.66</v>
      </c>
      <c r="BD60" s="345">
        <f t="shared" si="44"/>
        <v>-188766.66</v>
      </c>
      <c r="BE60" s="345">
        <f t="shared" si="44"/>
        <v>-197129.66</v>
      </c>
      <c r="BF60" s="345">
        <f t="shared" si="44"/>
        <v>-205913.66</v>
      </c>
      <c r="BG60" s="345">
        <f t="shared" si="44"/>
        <v>-207732.21000000002</v>
      </c>
      <c r="BH60" s="345">
        <f t="shared" si="44"/>
        <v>-219114.04999999993</v>
      </c>
      <c r="BI60" s="345">
        <f t="shared" si="44"/>
        <v>-235479.99</v>
      </c>
      <c r="BJ60" s="345">
        <f t="shared" si="44"/>
        <v>-227654.21000000002</v>
      </c>
      <c r="BK60" s="345">
        <f t="shared" si="44"/>
        <v>-246862.14999999991</v>
      </c>
      <c r="BL60" s="345">
        <f t="shared" si="44"/>
        <v>-259180.49</v>
      </c>
      <c r="BM60" s="345">
        <f t="shared" si="44"/>
        <v>-281870.09227272734</v>
      </c>
      <c r="BN60" s="345">
        <f t="shared" si="44"/>
        <v>-224950.03602817951</v>
      </c>
      <c r="BO60" s="345">
        <f t="shared" si="44"/>
        <v>-190478.12569013389</v>
      </c>
      <c r="BP60" s="345">
        <f t="shared" si="44"/>
        <v>-195136.67210996436</v>
      </c>
      <c r="BQ60" s="345">
        <f t="shared" si="44"/>
        <v>-222874.80513351597</v>
      </c>
      <c r="BR60" s="345">
        <f t="shared" si="44"/>
        <v>-226364.12775811541</v>
      </c>
      <c r="BS60" s="345">
        <f t="shared" si="44"/>
        <v>-231434.78192156949</v>
      </c>
      <c r="BT60" s="345">
        <f t="shared" si="44"/>
        <v>-239175.14046604885</v>
      </c>
      <c r="BU60" s="345">
        <f t="shared" si="44"/>
        <v>-242999.3160891489</v>
      </c>
      <c r="BV60" s="345">
        <f t="shared" si="44"/>
        <v>-246653.02396238552</v>
      </c>
      <c r="BW60" s="345">
        <f t="shared" si="44"/>
        <v>-250115.95194645508</v>
      </c>
      <c r="BX60" s="345">
        <f t="shared" si="44"/>
        <v>-253468.681816656</v>
      </c>
      <c r="BY60" s="345">
        <f t="shared" si="44"/>
        <v>-273834.3328339202</v>
      </c>
    </row>
    <row r="61" spans="1:77" s="199" customFormat="1" ht="21" customHeight="1">
      <c r="A61" s="215"/>
      <c r="B61" s="218"/>
      <c r="C61" s="210"/>
      <c r="D61" s="215"/>
      <c r="E61" s="216"/>
      <c r="F61" s="200"/>
      <c r="G61" s="200"/>
      <c r="H61" s="200"/>
      <c r="I61" s="200"/>
      <c r="J61" s="200"/>
      <c r="K61" s="200"/>
      <c r="L61" s="200"/>
      <c r="M61" s="200"/>
      <c r="N61" s="200"/>
      <c r="O61" s="200"/>
      <c r="P61" s="200"/>
      <c r="Q61" s="200"/>
      <c r="R61" s="200"/>
      <c r="S61" s="200"/>
      <c r="T61" s="200"/>
      <c r="U61" s="200"/>
      <c r="V61" s="200"/>
      <c r="W61" s="200"/>
      <c r="X61" s="200"/>
      <c r="Y61" s="200"/>
      <c r="Z61" s="200"/>
      <c r="AA61" s="200"/>
      <c r="AB61" s="215"/>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c r="BM61" s="200"/>
      <c r="BN61" s="200"/>
      <c r="BO61" s="200"/>
      <c r="BP61" s="200"/>
      <c r="BQ61" s="200"/>
      <c r="BR61" s="200"/>
      <c r="BS61" s="200"/>
      <c r="BT61" s="200"/>
      <c r="BU61" s="200"/>
      <c r="BV61" s="200"/>
      <c r="BW61" s="200"/>
      <c r="BX61" s="200"/>
      <c r="BY61" s="200"/>
    </row>
    <row r="62" spans="1:77" s="199" customFormat="1" ht="21" customHeight="1">
      <c r="A62" s="215"/>
      <c r="B62" s="218"/>
      <c r="C62" s="210"/>
      <c r="D62" s="215"/>
      <c r="E62" s="216"/>
      <c r="F62" s="200"/>
      <c r="G62" s="200"/>
      <c r="H62" s="200"/>
      <c r="I62" s="200"/>
      <c r="J62" s="200"/>
      <c r="K62" s="200"/>
      <c r="L62" s="200"/>
      <c r="M62" s="200"/>
      <c r="N62" s="200"/>
      <c r="O62" s="200"/>
      <c r="P62" s="200"/>
      <c r="Q62" s="200"/>
      <c r="R62" s="200"/>
      <c r="S62" s="200"/>
      <c r="T62" s="200"/>
      <c r="U62" s="200"/>
      <c r="V62" s="200"/>
      <c r="W62" s="200"/>
      <c r="X62" s="200"/>
      <c r="Y62" s="200"/>
      <c r="Z62" s="200"/>
      <c r="AA62" s="200"/>
      <c r="AB62" s="215"/>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c r="BY62" s="200"/>
    </row>
    <row r="63" spans="1:77" s="199" customFormat="1" ht="21" customHeight="1">
      <c r="A63" s="215"/>
      <c r="B63" s="218"/>
      <c r="C63" s="210"/>
      <c r="D63" s="215"/>
      <c r="E63" s="216"/>
      <c r="F63" s="200"/>
      <c r="G63" s="200"/>
      <c r="H63" s="200"/>
      <c r="I63" s="200"/>
      <c r="J63" s="200"/>
      <c r="K63" s="200"/>
      <c r="L63" s="200"/>
      <c r="M63" s="200"/>
      <c r="N63" s="200"/>
      <c r="O63" s="200"/>
      <c r="P63" s="200"/>
      <c r="Q63" s="200"/>
      <c r="R63" s="200"/>
      <c r="S63" s="200"/>
      <c r="T63" s="200"/>
      <c r="U63" s="200"/>
      <c r="V63" s="200"/>
      <c r="W63" s="200"/>
      <c r="X63" s="200"/>
      <c r="Y63" s="200"/>
      <c r="Z63" s="200"/>
      <c r="AA63" s="200"/>
      <c r="AB63" s="215"/>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00"/>
      <c r="BP63" s="200"/>
      <c r="BQ63" s="200"/>
      <c r="BR63" s="200"/>
      <c r="BS63" s="200"/>
      <c r="BT63" s="200"/>
      <c r="BU63" s="200"/>
      <c r="BV63" s="200"/>
      <c r="BW63" s="200"/>
      <c r="BX63" s="200"/>
      <c r="BY63" s="200"/>
    </row>
    <row r="64" spans="1:77" s="199" customFormat="1" ht="21" customHeight="1" collapsed="1">
      <c r="A64" s="215"/>
      <c r="B64" s="217" t="s">
        <v>155</v>
      </c>
      <c r="C64" s="210"/>
      <c r="D64" s="215"/>
      <c r="E64" s="216"/>
      <c r="F64" s="214"/>
      <c r="G64" s="214"/>
      <c r="H64" s="214"/>
      <c r="I64" s="214"/>
      <c r="J64" s="200"/>
      <c r="K64" s="200"/>
      <c r="L64" s="214"/>
      <c r="M64" s="214"/>
      <c r="N64" s="214"/>
      <c r="O64" s="214"/>
      <c r="P64" s="214"/>
      <c r="Q64" s="214"/>
      <c r="R64" s="214"/>
      <c r="S64" s="214"/>
      <c r="T64" s="214"/>
      <c r="U64" s="214"/>
      <c r="V64" s="214"/>
      <c r="W64" s="214"/>
      <c r="X64" s="214"/>
      <c r="Y64" s="214"/>
      <c r="Z64" s="214"/>
      <c r="AA64" s="214"/>
      <c r="AB64" s="215"/>
      <c r="AC64" s="200"/>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row>
    <row r="65" spans="1:77" s="205" customFormat="1" ht="21" hidden="1" customHeight="1" outlineLevel="2">
      <c r="A65" s="208"/>
      <c r="B65" s="211" t="s">
        <v>98</v>
      </c>
      <c r="C65" s="210" t="s">
        <v>223</v>
      </c>
      <c r="D65" s="208"/>
      <c r="E65" s="209"/>
      <c r="F65" s="213" cm="1">
        <f t="array" ref="F65">SUMIFS(F$9:F$64,$C$9:$C$64,$C65)-SUM(_xlfn._xlws.FILTER(_xlfn._xlws.FILTER(dataSummaryPL,dataSummaryPLSections=$B65),(startDates&gt;=F$4)*(endDates&lt;=F$5)))</f>
        <v>0</v>
      </c>
      <c r="G65" s="213" cm="1">
        <f t="array" ref="G65">SUMIFS(G$9:G$64,$C$9:$C$64,$C65)-SUM(_xlfn._xlws.FILTER(_xlfn._xlws.FILTER(dataSummaryPL,dataSummaryPLSections=$B65),(startDates&gt;=G$4)*(endDates&lt;=G$5)))</f>
        <v>0</v>
      </c>
      <c r="H65" s="213" cm="1">
        <f t="array" ref="H65">SUMIFS(H$9:H$64,$C$9:$C$64,$C65)-SUM(_xlfn._xlws.FILTER(_xlfn._xlws.FILTER(dataSummaryPL,dataSummaryPLSections=$B65),(startDates&gt;=H$4)*(endDates&lt;=H$5)))</f>
        <v>0</v>
      </c>
      <c r="I65" s="213" cm="1">
        <f t="array" ref="I65">SUMIFS(I$9:I$64,$C$9:$C$64,$C65)-SUM(_xlfn._xlws.FILTER(_xlfn._xlws.FILTER(dataSummaryPL,dataSummaryPLSections=$B65),(startDates&gt;=I$4)*(endDates&lt;=I$5)))</f>
        <v>0</v>
      </c>
      <c r="J65" s="208"/>
      <c r="K65" s="209"/>
      <c r="L65" s="213" cm="1">
        <f t="array" ref="L65">SUMIFS(L$9:L$64,$C$9:$C$64,$C65)-SUM(_xlfn._xlws.FILTER(_xlfn._xlws.FILTER(dataSummaryPL,dataSummaryPLSections=$B65),(startDates&gt;=L$4)*(endDates&lt;=L$5)))</f>
        <v>0</v>
      </c>
      <c r="M65" s="213" cm="1">
        <f t="array" ref="M65">SUMIFS(M$9:M$64,$C$9:$C$64,$C65)-SUM(_xlfn._xlws.FILTER(_xlfn._xlws.FILTER(dataSummaryPL,dataSummaryPLSections=$B65),(startDates&gt;=M$4)*(endDates&lt;=M$5)))</f>
        <v>0</v>
      </c>
      <c r="N65" s="213" cm="1">
        <f t="array" ref="N65">SUMIFS(N$9:N$64,$C$9:$C$64,$C65)-SUM(_xlfn._xlws.FILTER(_xlfn._xlws.FILTER(dataSummaryPL,dataSummaryPLSections=$B65),(startDates&gt;=N$4)*(endDates&lt;=N$5)))</f>
        <v>0</v>
      </c>
      <c r="O65" s="213" cm="1">
        <f t="array" ref="O65">SUMIFS(O$9:O$64,$C$9:$C$64,$C65)-SUM(_xlfn._xlws.FILTER(_xlfn._xlws.FILTER(dataSummaryPL,dataSummaryPLSections=$B65),(startDates&gt;=O$4)*(endDates&lt;=O$5)))</f>
        <v>0</v>
      </c>
      <c r="P65" s="213" cm="1">
        <f t="array" ref="P65">SUMIFS(P$9:P$64,$C$9:$C$64,$C65)-SUM(_xlfn._xlws.FILTER(_xlfn._xlws.FILTER(dataSummaryPL,dataSummaryPLSections=$B65),(startDates&gt;=P$4)*(endDates&lt;=P$5)))</f>
        <v>0</v>
      </c>
      <c r="Q65" s="213" cm="1">
        <f t="array" ref="Q65">SUMIFS(Q$9:Q$64,$C$9:$C$64,$C65)-SUM(_xlfn._xlws.FILTER(_xlfn._xlws.FILTER(dataSummaryPL,dataSummaryPLSections=$B65),(startDates&gt;=Q$4)*(endDates&lt;=Q$5)))</f>
        <v>0</v>
      </c>
      <c r="R65" s="213" cm="1">
        <f t="array" ref="R65">SUMIFS(R$9:R$64,$C$9:$C$64,$C65)-SUM(_xlfn._xlws.FILTER(_xlfn._xlws.FILTER(dataSummaryPL,dataSummaryPLSections=$B65),(startDates&gt;=R$4)*(endDates&lt;=R$5)))</f>
        <v>0</v>
      </c>
      <c r="S65" s="213" cm="1">
        <f t="array" ref="S65">SUMIFS(S$9:S$64,$C$9:$C$64,$C65)-SUM(_xlfn._xlws.FILTER(_xlfn._xlws.FILTER(dataSummaryPL,dataSummaryPLSections=$B65),(startDates&gt;=S$4)*(endDates&lt;=S$5)))</f>
        <v>0</v>
      </c>
      <c r="T65" s="213" cm="1">
        <f t="array" ref="T65">SUMIFS(T$9:T$64,$C$9:$C$64,$C65)-SUM(_xlfn._xlws.FILTER(_xlfn._xlws.FILTER(dataSummaryPL,dataSummaryPLSections=$B65),(startDates&gt;=T$4)*(endDates&lt;=T$5)))</f>
        <v>0</v>
      </c>
      <c r="U65" s="213" cm="1">
        <f t="array" ref="U65">SUMIFS(U$9:U$64,$C$9:$C$64,$C65)-SUM(_xlfn._xlws.FILTER(_xlfn._xlws.FILTER(dataSummaryPL,dataSummaryPLSections=$B65),(startDates&gt;=U$4)*(endDates&lt;=U$5)))</f>
        <v>0</v>
      </c>
      <c r="V65" s="213" cm="1">
        <f t="array" ref="V65">SUMIFS(V$9:V$64,$C$9:$C$64,$C65)-SUM(_xlfn._xlws.FILTER(_xlfn._xlws.FILTER(dataSummaryPL,dataSummaryPLSections=$B65),(startDates&gt;=V$4)*(endDates&lt;=V$5)))</f>
        <v>0</v>
      </c>
      <c r="W65" s="213" cm="1">
        <f t="array" ref="W65">SUMIFS(W$9:W$64,$C$9:$C$64,$C65)-SUM(_xlfn._xlws.FILTER(_xlfn._xlws.FILTER(dataSummaryPL,dataSummaryPLSections=$B65),(startDates&gt;=W$4)*(endDates&lt;=W$5)))</f>
        <v>0</v>
      </c>
      <c r="X65" s="213" cm="1">
        <f t="array" ref="X65">SUMIFS(X$9:X$64,$C$9:$C$64,$C65)-SUM(_xlfn._xlws.FILTER(_xlfn._xlws.FILTER(dataSummaryPL,dataSummaryPLSections=$B65),(startDates&gt;=X$4)*(endDates&lt;=X$5)))</f>
        <v>0</v>
      </c>
      <c r="Y65" s="213" cm="1">
        <f t="array" ref="Y65">SUMIFS(Y$9:Y$64,$C$9:$C$64,$C65)-SUM(_xlfn._xlws.FILTER(_xlfn._xlws.FILTER(dataSummaryPL,dataSummaryPLSections=$B65),(startDates&gt;=Y$4)*(endDates&lt;=Y$5)))</f>
        <v>0</v>
      </c>
      <c r="Z65" s="213" cm="1">
        <f t="array" ref="Z65">SUMIFS(Z$9:Z$64,$C$9:$C$64,$C65)-SUM(_xlfn._xlws.FILTER(_xlfn._xlws.FILTER(dataSummaryPL,dataSummaryPLSections=$B65),(startDates&gt;=Z$4)*(endDates&lt;=Z$5)))</f>
        <v>0</v>
      </c>
      <c r="AA65" s="213" cm="1">
        <f t="array" ref="AA65">SUMIFS(AA$9:AA$64,$C$9:$C$64,$C65)-SUM(_xlfn._xlws.FILTER(_xlfn._xlws.FILTER(dataSummaryPL,dataSummaryPLSections=$B65),(startDates&gt;=AA$4)*(endDates&lt;=AA$5)))</f>
        <v>0</v>
      </c>
      <c r="AB65" s="208"/>
      <c r="AC65" s="207"/>
      <c r="AD65" s="213" cm="1">
        <f t="array" ref="AD65">SUMIFS(AD$9:AD$64,$C$9:$C$64,$C65)-SUM(_xlfn._xlws.FILTER(_xlfn._xlws.FILTER(dataSummaryPL,dataSummaryPLSections=$B65),(startDates&gt;=AD$4)*(endDates&lt;=AD$5)))</f>
        <v>0</v>
      </c>
      <c r="AE65" s="213" cm="1">
        <f t="array" ref="AE65">SUMIFS(AE$9:AE$64,$C$9:$C$64,$C65)-SUM(_xlfn._xlws.FILTER(_xlfn._xlws.FILTER(dataSummaryPL,dataSummaryPLSections=$B65),(startDates&gt;=AE$4)*(endDates&lt;=AE$5)))</f>
        <v>0</v>
      </c>
      <c r="AF65" s="213" cm="1">
        <f t="array" ref="AF65">SUMIFS(AF$9:AF$64,$C$9:$C$64,$C65)-SUM(_xlfn._xlws.FILTER(_xlfn._xlws.FILTER(dataSummaryPL,dataSummaryPLSections=$B65),(startDates&gt;=AF$4)*(endDates&lt;=AF$5)))</f>
        <v>0</v>
      </c>
      <c r="AG65" s="213" cm="1">
        <f t="array" ref="AG65">SUMIFS(AG$9:AG$64,$C$9:$C$64,$C65)-SUM(_xlfn._xlws.FILTER(_xlfn._xlws.FILTER(dataSummaryPL,dataSummaryPLSections=$B65),(startDates&gt;=AG$4)*(endDates&lt;=AG$5)))</f>
        <v>0</v>
      </c>
      <c r="AH65" s="213" cm="1">
        <f t="array" ref="AH65">SUMIFS(AH$9:AH$64,$C$9:$C$64,$C65)-SUM(_xlfn._xlws.FILTER(_xlfn._xlws.FILTER(dataSummaryPL,dataSummaryPLSections=$B65),(startDates&gt;=AH$4)*(endDates&lt;=AH$5)))</f>
        <v>0</v>
      </c>
      <c r="AI65" s="213" cm="1">
        <f t="array" ref="AI65">SUMIFS(AI$9:AI$64,$C$9:$C$64,$C65)-SUM(_xlfn._xlws.FILTER(_xlfn._xlws.FILTER(dataSummaryPL,dataSummaryPLSections=$B65),(startDates&gt;=AI$4)*(endDates&lt;=AI$5)))</f>
        <v>0</v>
      </c>
      <c r="AJ65" s="213" cm="1">
        <f t="array" ref="AJ65">SUMIFS(AJ$9:AJ$64,$C$9:$C$64,$C65)-SUM(_xlfn._xlws.FILTER(_xlfn._xlws.FILTER(dataSummaryPL,dataSummaryPLSections=$B65),(startDates&gt;=AJ$4)*(endDates&lt;=AJ$5)))</f>
        <v>0</v>
      </c>
      <c r="AK65" s="213" cm="1">
        <f t="array" ref="AK65">SUMIFS(AK$9:AK$64,$C$9:$C$64,$C65)-SUM(_xlfn._xlws.FILTER(_xlfn._xlws.FILTER(dataSummaryPL,dataSummaryPLSections=$B65),(startDates&gt;=AK$4)*(endDates&lt;=AK$5)))</f>
        <v>0</v>
      </c>
      <c r="AL65" s="213" cm="1">
        <f t="array" ref="AL65">SUMIFS(AL$9:AL$64,$C$9:$C$64,$C65)-SUM(_xlfn._xlws.FILTER(_xlfn._xlws.FILTER(dataSummaryPL,dataSummaryPLSections=$B65),(startDates&gt;=AL$4)*(endDates&lt;=AL$5)))</f>
        <v>0</v>
      </c>
      <c r="AM65" s="213" cm="1">
        <f t="array" ref="AM65">SUMIFS(AM$9:AM$64,$C$9:$C$64,$C65)-SUM(_xlfn._xlws.FILTER(_xlfn._xlws.FILTER(dataSummaryPL,dataSummaryPLSections=$B65),(startDates&gt;=AM$4)*(endDates&lt;=AM$5)))</f>
        <v>0</v>
      </c>
      <c r="AN65" s="213" cm="1">
        <f t="array" ref="AN65">SUMIFS(AN$9:AN$64,$C$9:$C$64,$C65)-SUM(_xlfn._xlws.FILTER(_xlfn._xlws.FILTER(dataSummaryPL,dataSummaryPLSections=$B65),(startDates&gt;=AN$4)*(endDates&lt;=AN$5)))</f>
        <v>0</v>
      </c>
      <c r="AO65" s="213" cm="1">
        <f t="array" ref="AO65">SUMIFS(AO$9:AO$64,$C$9:$C$64,$C65)-SUM(_xlfn._xlws.FILTER(_xlfn._xlws.FILTER(dataSummaryPL,dataSummaryPLSections=$B65),(startDates&gt;=AO$4)*(endDates&lt;=AO$5)))</f>
        <v>0</v>
      </c>
      <c r="AP65" s="213" cm="1">
        <f t="array" ref="AP65">SUMIFS(AP$9:AP$64,$C$9:$C$64,$C65)-SUM(_xlfn._xlws.FILTER(_xlfn._xlws.FILTER(dataSummaryPL,dataSummaryPLSections=$B65),(startDates&gt;=AP$4)*(endDates&lt;=AP$5)))</f>
        <v>0</v>
      </c>
      <c r="AQ65" s="213" cm="1">
        <f t="array" ref="AQ65">SUMIFS(AQ$9:AQ$64,$C$9:$C$64,$C65)-SUM(_xlfn._xlws.FILTER(_xlfn._xlws.FILTER(dataSummaryPL,dataSummaryPLSections=$B65),(startDates&gt;=AQ$4)*(endDates&lt;=AQ$5)))</f>
        <v>0</v>
      </c>
      <c r="AR65" s="213" cm="1">
        <f t="array" ref="AR65">SUMIFS(AR$9:AR$64,$C$9:$C$64,$C65)-SUM(_xlfn._xlws.FILTER(_xlfn._xlws.FILTER(dataSummaryPL,dataSummaryPLSections=$B65),(startDates&gt;=AR$4)*(endDates&lt;=AR$5)))</f>
        <v>0</v>
      </c>
      <c r="AS65" s="213" cm="1">
        <f t="array" ref="AS65">SUMIFS(AS$9:AS$64,$C$9:$C$64,$C65)-SUM(_xlfn._xlws.FILTER(_xlfn._xlws.FILTER(dataSummaryPL,dataSummaryPLSections=$B65),(startDates&gt;=AS$4)*(endDates&lt;=AS$5)))</f>
        <v>0</v>
      </c>
      <c r="AT65" s="213" cm="1">
        <f t="array" ref="AT65">SUMIFS(AT$9:AT$64,$C$9:$C$64,$C65)-SUM(_xlfn._xlws.FILTER(_xlfn._xlws.FILTER(dataSummaryPL,dataSummaryPLSections=$B65),(startDates&gt;=AT$4)*(endDates&lt;=AT$5)))</f>
        <v>0</v>
      </c>
      <c r="AU65" s="213" cm="1">
        <f t="array" ref="AU65">SUMIFS(AU$9:AU$64,$C$9:$C$64,$C65)-SUM(_xlfn._xlws.FILTER(_xlfn._xlws.FILTER(dataSummaryPL,dataSummaryPLSections=$B65),(startDates&gt;=AU$4)*(endDates&lt;=AU$5)))</f>
        <v>0</v>
      </c>
      <c r="AV65" s="213" cm="1">
        <f t="array" ref="AV65">SUMIFS(AV$9:AV$64,$C$9:$C$64,$C65)-SUM(_xlfn._xlws.FILTER(_xlfn._xlws.FILTER(dataSummaryPL,dataSummaryPLSections=$B65),(startDates&gt;=AV$4)*(endDates&lt;=AV$5)))</f>
        <v>0</v>
      </c>
      <c r="AW65" s="213" cm="1">
        <f t="array" ref="AW65">SUMIFS(AW$9:AW$64,$C$9:$C$64,$C65)-SUM(_xlfn._xlws.FILTER(_xlfn._xlws.FILTER(dataSummaryPL,dataSummaryPLSections=$B65),(startDates&gt;=AW$4)*(endDates&lt;=AW$5)))</f>
        <v>0</v>
      </c>
      <c r="AX65" s="213" cm="1">
        <f t="array" ref="AX65">SUMIFS(AX$9:AX$64,$C$9:$C$64,$C65)-SUM(_xlfn._xlws.FILTER(_xlfn._xlws.FILTER(dataSummaryPL,dataSummaryPLSections=$B65),(startDates&gt;=AX$4)*(endDates&lt;=AX$5)))</f>
        <v>0</v>
      </c>
      <c r="AY65" s="213" cm="1">
        <f t="array" ref="AY65">SUMIFS(AY$9:AY$64,$C$9:$C$64,$C65)-SUM(_xlfn._xlws.FILTER(_xlfn._xlws.FILTER(dataSummaryPL,dataSummaryPLSections=$B65),(startDates&gt;=AY$4)*(endDates&lt;=AY$5)))</f>
        <v>0</v>
      </c>
      <c r="AZ65" s="213" cm="1">
        <f t="array" ref="AZ65">SUMIFS(AZ$9:AZ$64,$C$9:$C$64,$C65)-SUM(_xlfn._xlws.FILTER(_xlfn._xlws.FILTER(dataSummaryPL,dataSummaryPLSections=$B65),(startDates&gt;=AZ$4)*(endDates&lt;=AZ$5)))</f>
        <v>0</v>
      </c>
      <c r="BA65" s="213" cm="1">
        <f t="array" ref="BA65">SUMIFS(BA$9:BA$64,$C$9:$C$64,$C65)-SUM(_xlfn._xlws.FILTER(_xlfn._xlws.FILTER(dataSummaryPL,dataSummaryPLSections=$B65),(startDates&gt;=BA$4)*(endDates&lt;=BA$5)))</f>
        <v>0</v>
      </c>
      <c r="BB65" s="213" cm="1">
        <f t="array" ref="BB65">SUMIFS(BB$9:BB$64,$C$9:$C$64,$C65)-SUM(_xlfn._xlws.FILTER(_xlfn._xlws.FILTER(dataSummaryPL,dataSummaryPLSections=$B65),(startDates&gt;=BB$4)*(endDates&lt;=BB$5)))</f>
        <v>0</v>
      </c>
      <c r="BC65" s="213" cm="1">
        <f t="array" ref="BC65">SUMIFS(BC$9:BC$64,$C$9:$C$64,$C65)-SUM(_xlfn._xlws.FILTER(_xlfn._xlws.FILTER(dataSummaryPL,dataSummaryPLSections=$B65),(startDates&gt;=BC$4)*(endDates&lt;=BC$5)))</f>
        <v>0</v>
      </c>
      <c r="BD65" s="213" cm="1">
        <f t="array" ref="BD65">SUMIFS(BD$9:BD$64,$C$9:$C$64,$C65)-SUM(_xlfn._xlws.FILTER(_xlfn._xlws.FILTER(dataSummaryPL,dataSummaryPLSections=$B65),(startDates&gt;=BD$4)*(endDates&lt;=BD$5)))</f>
        <v>0</v>
      </c>
      <c r="BE65" s="213" cm="1">
        <f t="array" ref="BE65">SUMIFS(BE$9:BE$64,$C$9:$C$64,$C65)-SUM(_xlfn._xlws.FILTER(_xlfn._xlws.FILTER(dataSummaryPL,dataSummaryPLSections=$B65),(startDates&gt;=BE$4)*(endDates&lt;=BE$5)))</f>
        <v>0</v>
      </c>
      <c r="BF65" s="213" cm="1">
        <f t="array" ref="BF65">SUMIFS(BF$9:BF$64,$C$9:$C$64,$C65)-SUM(_xlfn._xlws.FILTER(_xlfn._xlws.FILTER(dataSummaryPL,dataSummaryPLSections=$B65),(startDates&gt;=BF$4)*(endDates&lt;=BF$5)))</f>
        <v>0</v>
      </c>
      <c r="BG65" s="213" cm="1">
        <f t="array" ref="BG65">SUMIFS(BG$9:BG$64,$C$9:$C$64,$C65)-SUM(_xlfn._xlws.FILTER(_xlfn._xlws.FILTER(dataSummaryPL,dataSummaryPLSections=$B65),(startDates&gt;=BG$4)*(endDates&lt;=BG$5)))</f>
        <v>0</v>
      </c>
      <c r="BH65" s="213" cm="1">
        <f t="array" ref="BH65">SUMIFS(BH$9:BH$64,$C$9:$C$64,$C65)-SUM(_xlfn._xlws.FILTER(_xlfn._xlws.FILTER(dataSummaryPL,dataSummaryPLSections=$B65),(startDates&gt;=BH$4)*(endDates&lt;=BH$5)))</f>
        <v>0</v>
      </c>
      <c r="BI65" s="213" cm="1">
        <f t="array" ref="BI65">SUMIFS(BI$9:BI$64,$C$9:$C$64,$C65)-SUM(_xlfn._xlws.FILTER(_xlfn._xlws.FILTER(dataSummaryPL,dataSummaryPLSections=$B65),(startDates&gt;=BI$4)*(endDates&lt;=BI$5)))</f>
        <v>0</v>
      </c>
      <c r="BJ65" s="213" cm="1">
        <f t="array" ref="BJ65">SUMIFS(BJ$9:BJ$64,$C$9:$C$64,$C65)-SUM(_xlfn._xlws.FILTER(_xlfn._xlws.FILTER(dataSummaryPL,dataSummaryPLSections=$B65),(startDates&gt;=BJ$4)*(endDates&lt;=BJ$5)))</f>
        <v>0</v>
      </c>
      <c r="BK65" s="213" cm="1">
        <f t="array" ref="BK65">SUMIFS(BK$9:BK$64,$C$9:$C$64,$C65)-SUM(_xlfn._xlws.FILTER(_xlfn._xlws.FILTER(dataSummaryPL,dataSummaryPLSections=$B65),(startDates&gt;=BK$4)*(endDates&lt;=BK$5)))</f>
        <v>0</v>
      </c>
      <c r="BL65" s="213" cm="1">
        <f t="array" ref="BL65">SUMIFS(BL$9:BL$64,$C$9:$C$64,$C65)-SUM(_xlfn._xlws.FILTER(_xlfn._xlws.FILTER(dataSummaryPL,dataSummaryPLSections=$B65),(startDates&gt;=BL$4)*(endDates&lt;=BL$5)))</f>
        <v>0</v>
      </c>
      <c r="BM65" s="213" cm="1">
        <f t="array" ref="BM65">SUMIFS(BM$9:BM$64,$C$9:$C$64,$C65)-SUM(_xlfn._xlws.FILTER(_xlfn._xlws.FILTER(dataSummaryPL,dataSummaryPLSections=$B65),(startDates&gt;=BM$4)*(endDates&lt;=BM$5)))</f>
        <v>0</v>
      </c>
      <c r="BN65" s="213" cm="1">
        <f t="array" ref="BN65">SUMIFS(BN$9:BN$64,$C$9:$C$64,$C65)-SUM(_xlfn._xlws.FILTER(_xlfn._xlws.FILTER(dataSummaryPL,dataSummaryPLSections=$B65),(startDates&gt;=BN$4)*(endDates&lt;=BN$5)))</f>
        <v>0</v>
      </c>
      <c r="BO65" s="213" cm="1">
        <f t="array" ref="BO65">SUMIFS(BO$9:BO$64,$C$9:$C$64,$C65)-SUM(_xlfn._xlws.FILTER(_xlfn._xlws.FILTER(dataSummaryPL,dataSummaryPLSections=$B65),(startDates&gt;=BO$4)*(endDates&lt;=BO$5)))</f>
        <v>0</v>
      </c>
      <c r="BP65" s="213" cm="1">
        <f t="array" ref="BP65">SUMIFS(BP$9:BP$64,$C$9:$C$64,$C65)-SUM(_xlfn._xlws.FILTER(_xlfn._xlws.FILTER(dataSummaryPL,dataSummaryPLSections=$B65),(startDates&gt;=BP$4)*(endDates&lt;=BP$5)))</f>
        <v>0</v>
      </c>
      <c r="BQ65" s="213" cm="1">
        <f t="array" ref="BQ65">SUMIFS(BQ$9:BQ$64,$C$9:$C$64,$C65)-SUM(_xlfn._xlws.FILTER(_xlfn._xlws.FILTER(dataSummaryPL,dataSummaryPLSections=$B65),(startDates&gt;=BQ$4)*(endDates&lt;=BQ$5)))</f>
        <v>0</v>
      </c>
      <c r="BR65" s="213" cm="1">
        <f t="array" ref="BR65">SUMIFS(BR$9:BR$64,$C$9:$C$64,$C65)-SUM(_xlfn._xlws.FILTER(_xlfn._xlws.FILTER(dataSummaryPL,dataSummaryPLSections=$B65),(startDates&gt;=BR$4)*(endDates&lt;=BR$5)))</f>
        <v>0</v>
      </c>
      <c r="BS65" s="213" cm="1">
        <f t="array" ref="BS65">SUMIFS(BS$9:BS$64,$C$9:$C$64,$C65)-SUM(_xlfn._xlws.FILTER(_xlfn._xlws.FILTER(dataSummaryPL,dataSummaryPLSections=$B65),(startDates&gt;=BS$4)*(endDates&lt;=BS$5)))</f>
        <v>0</v>
      </c>
      <c r="BT65" s="213" cm="1">
        <f t="array" ref="BT65">SUMIFS(BT$9:BT$64,$C$9:$C$64,$C65)-SUM(_xlfn._xlws.FILTER(_xlfn._xlws.FILTER(dataSummaryPL,dataSummaryPLSections=$B65),(startDates&gt;=BT$4)*(endDates&lt;=BT$5)))</f>
        <v>0</v>
      </c>
      <c r="BU65" s="213" cm="1">
        <f t="array" ref="BU65">SUMIFS(BU$9:BU$64,$C$9:$C$64,$C65)-SUM(_xlfn._xlws.FILTER(_xlfn._xlws.FILTER(dataSummaryPL,dataSummaryPLSections=$B65),(startDates&gt;=BU$4)*(endDates&lt;=BU$5)))</f>
        <v>0</v>
      </c>
      <c r="BV65" s="213" cm="1">
        <f t="array" ref="BV65">SUMIFS(BV$9:BV$64,$C$9:$C$64,$C65)-SUM(_xlfn._xlws.FILTER(_xlfn._xlws.FILTER(dataSummaryPL,dataSummaryPLSections=$B65),(startDates&gt;=BV$4)*(endDates&lt;=BV$5)))</f>
        <v>0</v>
      </c>
      <c r="BW65" s="213" cm="1">
        <f t="array" ref="BW65">SUMIFS(BW$9:BW$64,$C$9:$C$64,$C65)-SUM(_xlfn._xlws.FILTER(_xlfn._xlws.FILTER(dataSummaryPL,dataSummaryPLSections=$B65),(startDates&gt;=BW$4)*(endDates&lt;=BW$5)))</f>
        <v>0</v>
      </c>
      <c r="BX65" s="213" cm="1">
        <f t="array" ref="BX65">SUMIFS(BX$9:BX$64,$C$9:$C$64,$C65)-SUM(_xlfn._xlws.FILTER(_xlfn._xlws.FILTER(dataSummaryPL,dataSummaryPLSections=$B65),(startDates&gt;=BX$4)*(endDates&lt;=BX$5)))</f>
        <v>0</v>
      </c>
      <c r="BY65" s="213" cm="1">
        <f t="array" ref="BY65">SUMIFS(BY$9:BY$64,$C$9:$C$64,$C65)-SUM(_xlfn._xlws.FILTER(_xlfn._xlws.FILTER(dataSummaryPL,dataSummaryPLSections=$B65),(startDates&gt;=BY$4)*(endDates&lt;=BY$5)))</f>
        <v>0</v>
      </c>
    </row>
    <row r="66" spans="1:77" s="205" customFormat="1" ht="21" hidden="1" customHeight="1" outlineLevel="2">
      <c r="A66" s="208"/>
      <c r="B66" s="211" t="s">
        <v>80</v>
      </c>
      <c r="C66" s="210" t="s">
        <v>230</v>
      </c>
      <c r="D66" s="208"/>
      <c r="E66" s="209"/>
      <c r="F66" s="213" cm="1">
        <f t="array" ref="F66">SUMIFS(F$9:F$64,$C$9:$C$64,$C66)-SUM(_xlfn._xlws.FILTER(_xlfn._xlws.FILTER(dataSummaryPL,dataSummaryPLSections=$B66),(startDates&gt;=F$4)*(endDates&lt;=F$5)))</f>
        <v>0</v>
      </c>
      <c r="G66" s="213" cm="1">
        <f t="array" ref="G66">SUMIFS(G$9:G$64,$C$9:$C$64,$C66)-SUM(_xlfn._xlws.FILTER(_xlfn._xlws.FILTER(dataSummaryPL,dataSummaryPLSections=$B66),(startDates&gt;=G$4)*(endDates&lt;=G$5)))</f>
        <v>0</v>
      </c>
      <c r="H66" s="213" cm="1">
        <f t="array" ref="H66">SUMIFS(H$9:H$64,$C$9:$C$64,$C66)-SUM(_xlfn._xlws.FILTER(_xlfn._xlws.FILTER(dataSummaryPL,dataSummaryPLSections=$B66),(startDates&gt;=H$4)*(endDates&lt;=H$5)))</f>
        <v>0</v>
      </c>
      <c r="I66" s="213" cm="1">
        <f t="array" ref="I66">SUMIFS(I$9:I$64,$C$9:$C$64,$C66)-SUM(_xlfn._xlws.FILTER(_xlfn._xlws.FILTER(dataSummaryPL,dataSummaryPLSections=$B66),(startDates&gt;=I$4)*(endDates&lt;=I$5)))</f>
        <v>0</v>
      </c>
      <c r="J66" s="207"/>
      <c r="K66" s="207"/>
      <c r="L66" s="213" cm="1">
        <f t="array" ref="L66">SUMIFS(L$9:L$64,$C$9:$C$64,$C66)-SUM(_xlfn._xlws.FILTER(_xlfn._xlws.FILTER(dataSummaryPL,dataSummaryPLSections=$B66),(startDates&gt;=L$4)*(endDates&lt;=L$5)))</f>
        <v>0</v>
      </c>
      <c r="M66" s="213" cm="1">
        <f t="array" ref="M66">SUMIFS(M$9:M$64,$C$9:$C$64,$C66)-SUM(_xlfn._xlws.FILTER(_xlfn._xlws.FILTER(dataSummaryPL,dataSummaryPLSections=$B66),(startDates&gt;=M$4)*(endDates&lt;=M$5)))</f>
        <v>0</v>
      </c>
      <c r="N66" s="213" cm="1">
        <f t="array" ref="N66">SUMIFS(N$9:N$64,$C$9:$C$64,$C66)-SUM(_xlfn._xlws.FILTER(_xlfn._xlws.FILTER(dataSummaryPL,dataSummaryPLSections=$B66),(startDates&gt;=N$4)*(endDates&lt;=N$5)))</f>
        <v>0</v>
      </c>
      <c r="O66" s="213" cm="1">
        <f t="array" ref="O66">SUMIFS(O$9:O$64,$C$9:$C$64,$C66)-SUM(_xlfn._xlws.FILTER(_xlfn._xlws.FILTER(dataSummaryPL,dataSummaryPLSections=$B66),(startDates&gt;=O$4)*(endDates&lt;=O$5)))</f>
        <v>0</v>
      </c>
      <c r="P66" s="213" cm="1">
        <f t="array" ref="P66">SUMIFS(P$9:P$64,$C$9:$C$64,$C66)-SUM(_xlfn._xlws.FILTER(_xlfn._xlws.FILTER(dataSummaryPL,dataSummaryPLSections=$B66),(startDates&gt;=P$4)*(endDates&lt;=P$5)))</f>
        <v>0</v>
      </c>
      <c r="Q66" s="213" cm="1">
        <f t="array" ref="Q66">SUMIFS(Q$9:Q$64,$C$9:$C$64,$C66)-SUM(_xlfn._xlws.FILTER(_xlfn._xlws.FILTER(dataSummaryPL,dataSummaryPLSections=$B66),(startDates&gt;=Q$4)*(endDates&lt;=Q$5)))</f>
        <v>0</v>
      </c>
      <c r="R66" s="213" cm="1">
        <f t="array" ref="R66">SUMIFS(R$9:R$64,$C$9:$C$64,$C66)-SUM(_xlfn._xlws.FILTER(_xlfn._xlws.FILTER(dataSummaryPL,dataSummaryPLSections=$B66),(startDates&gt;=R$4)*(endDates&lt;=R$5)))</f>
        <v>0</v>
      </c>
      <c r="S66" s="213" cm="1">
        <f t="array" ref="S66">SUMIFS(S$9:S$64,$C$9:$C$64,$C66)-SUM(_xlfn._xlws.FILTER(_xlfn._xlws.FILTER(dataSummaryPL,dataSummaryPLSections=$B66),(startDates&gt;=S$4)*(endDates&lt;=S$5)))</f>
        <v>0</v>
      </c>
      <c r="T66" s="213" cm="1">
        <f t="array" ref="T66">SUMIFS(T$9:T$64,$C$9:$C$64,$C66)-SUM(_xlfn._xlws.FILTER(_xlfn._xlws.FILTER(dataSummaryPL,dataSummaryPLSections=$B66),(startDates&gt;=T$4)*(endDates&lt;=T$5)))</f>
        <v>0</v>
      </c>
      <c r="U66" s="213" cm="1">
        <f t="array" ref="U66">SUMIFS(U$9:U$64,$C$9:$C$64,$C66)-SUM(_xlfn._xlws.FILTER(_xlfn._xlws.FILTER(dataSummaryPL,dataSummaryPLSections=$B66),(startDates&gt;=U$4)*(endDates&lt;=U$5)))</f>
        <v>0</v>
      </c>
      <c r="V66" s="213" cm="1">
        <f t="array" ref="V66">SUMIFS(V$9:V$64,$C$9:$C$64,$C66)-SUM(_xlfn._xlws.FILTER(_xlfn._xlws.FILTER(dataSummaryPL,dataSummaryPLSections=$B66),(startDates&gt;=V$4)*(endDates&lt;=V$5)))</f>
        <v>0</v>
      </c>
      <c r="W66" s="213" cm="1">
        <f t="array" ref="W66">SUMIFS(W$9:W$64,$C$9:$C$64,$C66)-SUM(_xlfn._xlws.FILTER(_xlfn._xlws.FILTER(dataSummaryPL,dataSummaryPLSections=$B66),(startDates&gt;=W$4)*(endDates&lt;=W$5)))</f>
        <v>0</v>
      </c>
      <c r="X66" s="213" cm="1">
        <f t="array" ref="X66">SUMIFS(X$9:X$64,$C$9:$C$64,$C66)-SUM(_xlfn._xlws.FILTER(_xlfn._xlws.FILTER(dataSummaryPL,dataSummaryPLSections=$B66),(startDates&gt;=X$4)*(endDates&lt;=X$5)))</f>
        <v>0</v>
      </c>
      <c r="Y66" s="213" cm="1">
        <f t="array" ref="Y66">SUMIFS(Y$9:Y$64,$C$9:$C$64,$C66)-SUM(_xlfn._xlws.FILTER(_xlfn._xlws.FILTER(dataSummaryPL,dataSummaryPLSections=$B66),(startDates&gt;=Y$4)*(endDates&lt;=Y$5)))</f>
        <v>0</v>
      </c>
      <c r="Z66" s="213" cm="1">
        <f t="array" ref="Z66">SUMIFS(Z$9:Z$64,$C$9:$C$64,$C66)-SUM(_xlfn._xlws.FILTER(_xlfn._xlws.FILTER(dataSummaryPL,dataSummaryPLSections=$B66),(startDates&gt;=Z$4)*(endDates&lt;=Z$5)))</f>
        <v>0</v>
      </c>
      <c r="AA66" s="213" cm="1">
        <f t="array" ref="AA66">SUMIFS(AA$9:AA$64,$C$9:$C$64,$C66)-SUM(_xlfn._xlws.FILTER(_xlfn._xlws.FILTER(dataSummaryPL,dataSummaryPLSections=$B66),(startDates&gt;=AA$4)*(endDates&lt;=AA$5)))</f>
        <v>0</v>
      </c>
      <c r="AB66" s="208"/>
      <c r="AC66" s="207"/>
      <c r="AD66" s="213" cm="1">
        <f t="array" ref="AD66">SUMIFS(AD$9:AD$64,$C$9:$C$64,$C66)-SUM(_xlfn._xlws.FILTER(_xlfn._xlws.FILTER(dataSummaryPL,dataSummaryPLSections=$B66),(startDates&gt;=AD$4)*(endDates&lt;=AD$5)))</f>
        <v>0</v>
      </c>
      <c r="AE66" s="213" cm="1">
        <f t="array" ref="AE66">SUMIFS(AE$9:AE$64,$C$9:$C$64,$C66)-SUM(_xlfn._xlws.FILTER(_xlfn._xlws.FILTER(dataSummaryPL,dataSummaryPLSections=$B66),(startDates&gt;=AE$4)*(endDates&lt;=AE$5)))</f>
        <v>0</v>
      </c>
      <c r="AF66" s="213" cm="1">
        <f t="array" ref="AF66">SUMIFS(AF$9:AF$64,$C$9:$C$64,$C66)-SUM(_xlfn._xlws.FILTER(_xlfn._xlws.FILTER(dataSummaryPL,dataSummaryPLSections=$B66),(startDates&gt;=AF$4)*(endDates&lt;=AF$5)))</f>
        <v>0</v>
      </c>
      <c r="AG66" s="213" cm="1">
        <f t="array" ref="AG66">SUMIFS(AG$9:AG$64,$C$9:$C$64,$C66)-SUM(_xlfn._xlws.FILTER(_xlfn._xlws.FILTER(dataSummaryPL,dataSummaryPLSections=$B66),(startDates&gt;=AG$4)*(endDates&lt;=AG$5)))</f>
        <v>0</v>
      </c>
      <c r="AH66" s="213" cm="1">
        <f t="array" ref="AH66">SUMIFS(AH$9:AH$64,$C$9:$C$64,$C66)-SUM(_xlfn._xlws.FILTER(_xlfn._xlws.FILTER(dataSummaryPL,dataSummaryPLSections=$B66),(startDates&gt;=AH$4)*(endDates&lt;=AH$5)))</f>
        <v>0</v>
      </c>
      <c r="AI66" s="213" cm="1">
        <f t="array" ref="AI66">SUMIFS(AI$9:AI$64,$C$9:$C$64,$C66)-SUM(_xlfn._xlws.FILTER(_xlfn._xlws.FILTER(dataSummaryPL,dataSummaryPLSections=$B66),(startDates&gt;=AI$4)*(endDates&lt;=AI$5)))</f>
        <v>0</v>
      </c>
      <c r="AJ66" s="213" cm="1">
        <f t="array" ref="AJ66">SUMIFS(AJ$9:AJ$64,$C$9:$C$64,$C66)-SUM(_xlfn._xlws.FILTER(_xlfn._xlws.FILTER(dataSummaryPL,dataSummaryPLSections=$B66),(startDates&gt;=AJ$4)*(endDates&lt;=AJ$5)))</f>
        <v>0</v>
      </c>
      <c r="AK66" s="213" cm="1">
        <f t="array" ref="AK66">SUMIFS(AK$9:AK$64,$C$9:$C$64,$C66)-SUM(_xlfn._xlws.FILTER(_xlfn._xlws.FILTER(dataSummaryPL,dataSummaryPLSections=$B66),(startDates&gt;=AK$4)*(endDates&lt;=AK$5)))</f>
        <v>0</v>
      </c>
      <c r="AL66" s="213" cm="1">
        <f t="array" ref="AL66">SUMIFS(AL$9:AL$64,$C$9:$C$64,$C66)-SUM(_xlfn._xlws.FILTER(_xlfn._xlws.FILTER(dataSummaryPL,dataSummaryPLSections=$B66),(startDates&gt;=AL$4)*(endDates&lt;=AL$5)))</f>
        <v>0</v>
      </c>
      <c r="AM66" s="213" cm="1">
        <f t="array" ref="AM66">SUMIFS(AM$9:AM$64,$C$9:$C$64,$C66)-SUM(_xlfn._xlws.FILTER(_xlfn._xlws.FILTER(dataSummaryPL,dataSummaryPLSections=$B66),(startDates&gt;=AM$4)*(endDates&lt;=AM$5)))</f>
        <v>0</v>
      </c>
      <c r="AN66" s="213" cm="1">
        <f t="array" ref="AN66">SUMIFS(AN$9:AN$64,$C$9:$C$64,$C66)-SUM(_xlfn._xlws.FILTER(_xlfn._xlws.FILTER(dataSummaryPL,dataSummaryPLSections=$B66),(startDates&gt;=AN$4)*(endDates&lt;=AN$5)))</f>
        <v>0</v>
      </c>
      <c r="AO66" s="213" cm="1">
        <f t="array" ref="AO66">SUMIFS(AO$9:AO$64,$C$9:$C$64,$C66)-SUM(_xlfn._xlws.FILTER(_xlfn._xlws.FILTER(dataSummaryPL,dataSummaryPLSections=$B66),(startDates&gt;=AO$4)*(endDates&lt;=AO$5)))</f>
        <v>0</v>
      </c>
      <c r="AP66" s="213" cm="1">
        <f t="array" ref="AP66">SUMIFS(AP$9:AP$64,$C$9:$C$64,$C66)-SUM(_xlfn._xlws.FILTER(_xlfn._xlws.FILTER(dataSummaryPL,dataSummaryPLSections=$B66),(startDates&gt;=AP$4)*(endDates&lt;=AP$5)))</f>
        <v>0</v>
      </c>
      <c r="AQ66" s="213" cm="1">
        <f t="array" ref="AQ66">SUMIFS(AQ$9:AQ$64,$C$9:$C$64,$C66)-SUM(_xlfn._xlws.FILTER(_xlfn._xlws.FILTER(dataSummaryPL,dataSummaryPLSections=$B66),(startDates&gt;=AQ$4)*(endDates&lt;=AQ$5)))</f>
        <v>0</v>
      </c>
      <c r="AR66" s="213" cm="1">
        <f t="array" ref="AR66">SUMIFS(AR$9:AR$64,$C$9:$C$64,$C66)-SUM(_xlfn._xlws.FILTER(_xlfn._xlws.FILTER(dataSummaryPL,dataSummaryPLSections=$B66),(startDates&gt;=AR$4)*(endDates&lt;=AR$5)))</f>
        <v>0</v>
      </c>
      <c r="AS66" s="213" cm="1">
        <f t="array" ref="AS66">SUMIFS(AS$9:AS$64,$C$9:$C$64,$C66)-SUM(_xlfn._xlws.FILTER(_xlfn._xlws.FILTER(dataSummaryPL,dataSummaryPLSections=$B66),(startDates&gt;=AS$4)*(endDates&lt;=AS$5)))</f>
        <v>0</v>
      </c>
      <c r="AT66" s="213" cm="1">
        <f t="array" ref="AT66">SUMIFS(AT$9:AT$64,$C$9:$C$64,$C66)-SUM(_xlfn._xlws.FILTER(_xlfn._xlws.FILTER(dataSummaryPL,dataSummaryPLSections=$B66),(startDates&gt;=AT$4)*(endDates&lt;=AT$5)))</f>
        <v>0</v>
      </c>
      <c r="AU66" s="213" cm="1">
        <f t="array" ref="AU66">SUMIFS(AU$9:AU$64,$C$9:$C$64,$C66)-SUM(_xlfn._xlws.FILTER(_xlfn._xlws.FILTER(dataSummaryPL,dataSummaryPLSections=$B66),(startDates&gt;=AU$4)*(endDates&lt;=AU$5)))</f>
        <v>0</v>
      </c>
      <c r="AV66" s="213" cm="1">
        <f t="array" ref="AV66">SUMIFS(AV$9:AV$64,$C$9:$C$64,$C66)-SUM(_xlfn._xlws.FILTER(_xlfn._xlws.FILTER(dataSummaryPL,dataSummaryPLSections=$B66),(startDates&gt;=AV$4)*(endDates&lt;=AV$5)))</f>
        <v>0</v>
      </c>
      <c r="AW66" s="213" cm="1">
        <f t="array" ref="AW66">SUMIFS(AW$9:AW$64,$C$9:$C$64,$C66)-SUM(_xlfn._xlws.FILTER(_xlfn._xlws.FILTER(dataSummaryPL,dataSummaryPLSections=$B66),(startDates&gt;=AW$4)*(endDates&lt;=AW$5)))</f>
        <v>0</v>
      </c>
      <c r="AX66" s="213" cm="1">
        <f t="array" ref="AX66">SUMIFS(AX$9:AX$64,$C$9:$C$64,$C66)-SUM(_xlfn._xlws.FILTER(_xlfn._xlws.FILTER(dataSummaryPL,dataSummaryPLSections=$B66),(startDates&gt;=AX$4)*(endDates&lt;=AX$5)))</f>
        <v>0</v>
      </c>
      <c r="AY66" s="213" cm="1">
        <f t="array" ref="AY66">SUMIFS(AY$9:AY$64,$C$9:$C$64,$C66)-SUM(_xlfn._xlws.FILTER(_xlfn._xlws.FILTER(dataSummaryPL,dataSummaryPLSections=$B66),(startDates&gt;=AY$4)*(endDates&lt;=AY$5)))</f>
        <v>0</v>
      </c>
      <c r="AZ66" s="213" cm="1">
        <f t="array" ref="AZ66">SUMIFS(AZ$9:AZ$64,$C$9:$C$64,$C66)-SUM(_xlfn._xlws.FILTER(_xlfn._xlws.FILTER(dataSummaryPL,dataSummaryPLSections=$B66),(startDates&gt;=AZ$4)*(endDates&lt;=AZ$5)))</f>
        <v>0</v>
      </c>
      <c r="BA66" s="213" cm="1">
        <f t="array" ref="BA66">SUMIFS(BA$9:BA$64,$C$9:$C$64,$C66)-SUM(_xlfn._xlws.FILTER(_xlfn._xlws.FILTER(dataSummaryPL,dataSummaryPLSections=$B66),(startDates&gt;=BA$4)*(endDates&lt;=BA$5)))</f>
        <v>0</v>
      </c>
      <c r="BB66" s="213" cm="1">
        <f t="array" ref="BB66">SUMIFS(BB$9:BB$64,$C$9:$C$64,$C66)-SUM(_xlfn._xlws.FILTER(_xlfn._xlws.FILTER(dataSummaryPL,dataSummaryPLSections=$B66),(startDates&gt;=BB$4)*(endDates&lt;=BB$5)))</f>
        <v>0</v>
      </c>
      <c r="BC66" s="213" cm="1">
        <f t="array" ref="BC66">SUMIFS(BC$9:BC$64,$C$9:$C$64,$C66)-SUM(_xlfn._xlws.FILTER(_xlfn._xlws.FILTER(dataSummaryPL,dataSummaryPLSections=$B66),(startDates&gt;=BC$4)*(endDates&lt;=BC$5)))</f>
        <v>0</v>
      </c>
      <c r="BD66" s="213" cm="1">
        <f t="array" ref="BD66">SUMIFS(BD$9:BD$64,$C$9:$C$64,$C66)-SUM(_xlfn._xlws.FILTER(_xlfn._xlws.FILTER(dataSummaryPL,dataSummaryPLSections=$B66),(startDates&gt;=BD$4)*(endDates&lt;=BD$5)))</f>
        <v>0</v>
      </c>
      <c r="BE66" s="213" cm="1">
        <f t="array" ref="BE66">SUMIFS(BE$9:BE$64,$C$9:$C$64,$C66)-SUM(_xlfn._xlws.FILTER(_xlfn._xlws.FILTER(dataSummaryPL,dataSummaryPLSections=$B66),(startDates&gt;=BE$4)*(endDates&lt;=BE$5)))</f>
        <v>0</v>
      </c>
      <c r="BF66" s="213" cm="1">
        <f t="array" ref="BF66">SUMIFS(BF$9:BF$64,$C$9:$C$64,$C66)-SUM(_xlfn._xlws.FILTER(_xlfn._xlws.FILTER(dataSummaryPL,dataSummaryPLSections=$B66),(startDates&gt;=BF$4)*(endDates&lt;=BF$5)))</f>
        <v>0</v>
      </c>
      <c r="BG66" s="213" cm="1">
        <f t="array" ref="BG66">SUMIFS(BG$9:BG$64,$C$9:$C$64,$C66)-SUM(_xlfn._xlws.FILTER(_xlfn._xlws.FILTER(dataSummaryPL,dataSummaryPLSections=$B66),(startDates&gt;=BG$4)*(endDates&lt;=BG$5)))</f>
        <v>0</v>
      </c>
      <c r="BH66" s="213" cm="1">
        <f t="array" ref="BH66">SUMIFS(BH$9:BH$64,$C$9:$C$64,$C66)-SUM(_xlfn._xlws.FILTER(_xlfn._xlws.FILTER(dataSummaryPL,dataSummaryPLSections=$B66),(startDates&gt;=BH$4)*(endDates&lt;=BH$5)))</f>
        <v>0</v>
      </c>
      <c r="BI66" s="213" cm="1">
        <f t="array" ref="BI66">SUMIFS(BI$9:BI$64,$C$9:$C$64,$C66)-SUM(_xlfn._xlws.FILTER(_xlfn._xlws.FILTER(dataSummaryPL,dataSummaryPLSections=$B66),(startDates&gt;=BI$4)*(endDates&lt;=BI$5)))</f>
        <v>0</v>
      </c>
      <c r="BJ66" s="213" cm="1">
        <f t="array" ref="BJ66">SUMIFS(BJ$9:BJ$64,$C$9:$C$64,$C66)-SUM(_xlfn._xlws.FILTER(_xlfn._xlws.FILTER(dataSummaryPL,dataSummaryPLSections=$B66),(startDates&gt;=BJ$4)*(endDates&lt;=BJ$5)))</f>
        <v>0</v>
      </c>
      <c r="BK66" s="213" cm="1">
        <f t="array" ref="BK66">SUMIFS(BK$9:BK$64,$C$9:$C$64,$C66)-SUM(_xlfn._xlws.FILTER(_xlfn._xlws.FILTER(dataSummaryPL,dataSummaryPLSections=$B66),(startDates&gt;=BK$4)*(endDates&lt;=BK$5)))</f>
        <v>0</v>
      </c>
      <c r="BL66" s="213" cm="1">
        <f t="array" ref="BL66">SUMIFS(BL$9:BL$64,$C$9:$C$64,$C66)-SUM(_xlfn._xlws.FILTER(_xlfn._xlws.FILTER(dataSummaryPL,dataSummaryPLSections=$B66),(startDates&gt;=BL$4)*(endDates&lt;=BL$5)))</f>
        <v>0</v>
      </c>
      <c r="BM66" s="213" cm="1">
        <f t="array" ref="BM66">SUMIFS(BM$9:BM$64,$C$9:$C$64,$C66)-SUM(_xlfn._xlws.FILTER(_xlfn._xlws.FILTER(dataSummaryPL,dataSummaryPLSections=$B66),(startDates&gt;=BM$4)*(endDates&lt;=BM$5)))</f>
        <v>0</v>
      </c>
      <c r="BN66" s="213" cm="1">
        <f t="array" ref="BN66">SUMIFS(BN$9:BN$64,$C$9:$C$64,$C66)-SUM(_xlfn._xlws.FILTER(_xlfn._xlws.FILTER(dataSummaryPL,dataSummaryPLSections=$B66),(startDates&gt;=BN$4)*(endDates&lt;=BN$5)))</f>
        <v>0</v>
      </c>
      <c r="BO66" s="213" cm="1">
        <f t="array" ref="BO66">SUMIFS(BO$9:BO$64,$C$9:$C$64,$C66)-SUM(_xlfn._xlws.FILTER(_xlfn._xlws.FILTER(dataSummaryPL,dataSummaryPLSections=$B66),(startDates&gt;=BO$4)*(endDates&lt;=BO$5)))</f>
        <v>0</v>
      </c>
      <c r="BP66" s="213" cm="1">
        <f t="array" ref="BP66">SUMIFS(BP$9:BP$64,$C$9:$C$64,$C66)-SUM(_xlfn._xlws.FILTER(_xlfn._xlws.FILTER(dataSummaryPL,dataSummaryPLSections=$B66),(startDates&gt;=BP$4)*(endDates&lt;=BP$5)))</f>
        <v>0</v>
      </c>
      <c r="BQ66" s="213" cm="1">
        <f t="array" ref="BQ66">SUMIFS(BQ$9:BQ$64,$C$9:$C$64,$C66)-SUM(_xlfn._xlws.FILTER(_xlfn._xlws.FILTER(dataSummaryPL,dataSummaryPLSections=$B66),(startDates&gt;=BQ$4)*(endDates&lt;=BQ$5)))</f>
        <v>0</v>
      </c>
      <c r="BR66" s="213" cm="1">
        <f t="array" ref="BR66">SUMIFS(BR$9:BR$64,$C$9:$C$64,$C66)-SUM(_xlfn._xlws.FILTER(_xlfn._xlws.FILTER(dataSummaryPL,dataSummaryPLSections=$B66),(startDates&gt;=BR$4)*(endDates&lt;=BR$5)))</f>
        <v>0</v>
      </c>
      <c r="BS66" s="213" cm="1">
        <f t="array" ref="BS66">SUMIFS(BS$9:BS$64,$C$9:$C$64,$C66)-SUM(_xlfn._xlws.FILTER(_xlfn._xlws.FILTER(dataSummaryPL,dataSummaryPLSections=$B66),(startDates&gt;=BS$4)*(endDates&lt;=BS$5)))</f>
        <v>0</v>
      </c>
      <c r="BT66" s="213" cm="1">
        <f t="array" ref="BT66">SUMIFS(BT$9:BT$64,$C$9:$C$64,$C66)-SUM(_xlfn._xlws.FILTER(_xlfn._xlws.FILTER(dataSummaryPL,dataSummaryPLSections=$B66),(startDates&gt;=BT$4)*(endDates&lt;=BT$5)))</f>
        <v>0</v>
      </c>
      <c r="BU66" s="213" cm="1">
        <f t="array" ref="BU66">SUMIFS(BU$9:BU$64,$C$9:$C$64,$C66)-SUM(_xlfn._xlws.FILTER(_xlfn._xlws.FILTER(dataSummaryPL,dataSummaryPLSections=$B66),(startDates&gt;=BU$4)*(endDates&lt;=BU$5)))</f>
        <v>0</v>
      </c>
      <c r="BV66" s="213" cm="1">
        <f t="array" ref="BV66">SUMIFS(BV$9:BV$64,$C$9:$C$64,$C66)-SUM(_xlfn._xlws.FILTER(_xlfn._xlws.FILTER(dataSummaryPL,dataSummaryPLSections=$B66),(startDates&gt;=BV$4)*(endDates&lt;=BV$5)))</f>
        <v>0</v>
      </c>
      <c r="BW66" s="213" cm="1">
        <f t="array" ref="BW66">SUMIFS(BW$9:BW$64,$C$9:$C$64,$C66)-SUM(_xlfn._xlws.FILTER(_xlfn._xlws.FILTER(dataSummaryPL,dataSummaryPLSections=$B66),(startDates&gt;=BW$4)*(endDates&lt;=BW$5)))</f>
        <v>0</v>
      </c>
      <c r="BX66" s="213" cm="1">
        <f t="array" ref="BX66">SUMIFS(BX$9:BX$64,$C$9:$C$64,$C66)-SUM(_xlfn._xlws.FILTER(_xlfn._xlws.FILTER(dataSummaryPL,dataSummaryPLSections=$B66),(startDates&gt;=BX$4)*(endDates&lt;=BX$5)))</f>
        <v>0</v>
      </c>
      <c r="BY66" s="213" cm="1">
        <f t="array" ref="BY66">SUMIFS(BY$9:BY$64,$C$9:$C$64,$C66)-SUM(_xlfn._xlws.FILTER(_xlfn._xlws.FILTER(dataSummaryPL,dataSummaryPLSections=$B66),(startDates&gt;=BY$4)*(endDates&lt;=BY$5)))</f>
        <v>0</v>
      </c>
    </row>
    <row r="67" spans="1:77" s="205" customFormat="1" ht="21" hidden="1" customHeight="1" outlineLevel="2">
      <c r="A67" s="208"/>
      <c r="B67" s="211" t="s">
        <v>101</v>
      </c>
      <c r="C67" s="210" t="s">
        <v>262</v>
      </c>
      <c r="D67" s="208"/>
      <c r="E67" s="209"/>
      <c r="F67" s="213" cm="1">
        <f t="array" ref="F67">SUMIFS(F$9:F$64,$C$9:$C$64,$C67)-SUM(_xlfn._xlws.FILTER(_xlfn._xlws.FILTER(dataSummaryPL,dataSummaryPLSections=$B67),(startDates&gt;=F$4)*(endDates&lt;=F$5)))</f>
        <v>0</v>
      </c>
      <c r="G67" s="213" cm="1">
        <f t="array" ref="G67">SUMIFS(G$9:G$64,$C$9:$C$64,$C67)-SUM(_xlfn._xlws.FILTER(_xlfn._xlws.FILTER(dataSummaryPL,dataSummaryPLSections=$B67),(startDates&gt;=G$4)*(endDates&lt;=G$5)))</f>
        <v>0</v>
      </c>
      <c r="H67" s="213" cm="1">
        <f t="array" ref="H67">SUMIFS(H$9:H$64,$C$9:$C$64,$C67)-SUM(_xlfn._xlws.FILTER(_xlfn._xlws.FILTER(dataSummaryPL,dataSummaryPLSections=$B67),(startDates&gt;=H$4)*(endDates&lt;=H$5)))</f>
        <v>0</v>
      </c>
      <c r="I67" s="213" cm="1">
        <f t="array" ref="I67">SUMIFS(I$9:I$64,$C$9:$C$64,$C67)-SUM(_xlfn._xlws.FILTER(_xlfn._xlws.FILTER(dataSummaryPL,dataSummaryPLSections=$B67),(startDates&gt;=I$4)*(endDates&lt;=I$5)))</f>
        <v>0</v>
      </c>
      <c r="J67" s="207"/>
      <c r="K67" s="207"/>
      <c r="L67" s="213" cm="1">
        <f t="array" ref="L67">SUMIFS(L$9:L$64,$C$9:$C$64,$C67)-SUM(_xlfn._xlws.FILTER(_xlfn._xlws.FILTER(dataSummaryPL,dataSummaryPLSections=$B67),(startDates&gt;=L$4)*(endDates&lt;=L$5)))</f>
        <v>0</v>
      </c>
      <c r="M67" s="213" cm="1">
        <f t="array" ref="M67">SUMIFS(M$9:M$64,$C$9:$C$64,$C67)-SUM(_xlfn._xlws.FILTER(_xlfn._xlws.FILTER(dataSummaryPL,dataSummaryPLSections=$B67),(startDates&gt;=M$4)*(endDates&lt;=M$5)))</f>
        <v>0</v>
      </c>
      <c r="N67" s="213" cm="1">
        <f t="array" ref="N67">SUMIFS(N$9:N$64,$C$9:$C$64,$C67)-SUM(_xlfn._xlws.FILTER(_xlfn._xlws.FILTER(dataSummaryPL,dataSummaryPLSections=$B67),(startDates&gt;=N$4)*(endDates&lt;=N$5)))</f>
        <v>0</v>
      </c>
      <c r="O67" s="213" cm="1">
        <f t="array" ref="O67">SUMIFS(O$9:O$64,$C$9:$C$64,$C67)-SUM(_xlfn._xlws.FILTER(_xlfn._xlws.FILTER(dataSummaryPL,dataSummaryPLSections=$B67),(startDates&gt;=O$4)*(endDates&lt;=O$5)))</f>
        <v>0</v>
      </c>
      <c r="P67" s="213" cm="1">
        <f t="array" ref="P67">SUMIFS(P$9:P$64,$C$9:$C$64,$C67)-SUM(_xlfn._xlws.FILTER(_xlfn._xlws.FILTER(dataSummaryPL,dataSummaryPLSections=$B67),(startDates&gt;=P$4)*(endDates&lt;=P$5)))</f>
        <v>0</v>
      </c>
      <c r="Q67" s="213" cm="1">
        <f t="array" ref="Q67">SUMIFS(Q$9:Q$64,$C$9:$C$64,$C67)-SUM(_xlfn._xlws.FILTER(_xlfn._xlws.FILTER(dataSummaryPL,dataSummaryPLSections=$B67),(startDates&gt;=Q$4)*(endDates&lt;=Q$5)))</f>
        <v>0</v>
      </c>
      <c r="R67" s="213" cm="1">
        <f t="array" ref="R67">SUMIFS(R$9:R$64,$C$9:$C$64,$C67)-SUM(_xlfn._xlws.FILTER(_xlfn._xlws.FILTER(dataSummaryPL,dataSummaryPLSections=$B67),(startDates&gt;=R$4)*(endDates&lt;=R$5)))</f>
        <v>0</v>
      </c>
      <c r="S67" s="213" cm="1">
        <f t="array" ref="S67">SUMIFS(S$9:S$64,$C$9:$C$64,$C67)-SUM(_xlfn._xlws.FILTER(_xlfn._xlws.FILTER(dataSummaryPL,dataSummaryPLSections=$B67),(startDates&gt;=S$4)*(endDates&lt;=S$5)))</f>
        <v>0</v>
      </c>
      <c r="T67" s="213" cm="1">
        <f t="array" ref="T67">SUMIFS(T$9:T$64,$C$9:$C$64,$C67)-SUM(_xlfn._xlws.FILTER(_xlfn._xlws.FILTER(dataSummaryPL,dataSummaryPLSections=$B67),(startDates&gt;=T$4)*(endDates&lt;=T$5)))</f>
        <v>0</v>
      </c>
      <c r="U67" s="213" cm="1">
        <f t="array" ref="U67">SUMIFS(U$9:U$64,$C$9:$C$64,$C67)-SUM(_xlfn._xlws.FILTER(_xlfn._xlws.FILTER(dataSummaryPL,dataSummaryPLSections=$B67),(startDates&gt;=U$4)*(endDates&lt;=U$5)))</f>
        <v>0</v>
      </c>
      <c r="V67" s="213" cm="1">
        <f t="array" ref="V67">SUMIFS(V$9:V$64,$C$9:$C$64,$C67)-SUM(_xlfn._xlws.FILTER(_xlfn._xlws.FILTER(dataSummaryPL,dataSummaryPLSections=$B67),(startDates&gt;=V$4)*(endDates&lt;=V$5)))</f>
        <v>0</v>
      </c>
      <c r="W67" s="213" cm="1">
        <f t="array" ref="W67">SUMIFS(W$9:W$64,$C$9:$C$64,$C67)-SUM(_xlfn._xlws.FILTER(_xlfn._xlws.FILTER(dataSummaryPL,dataSummaryPLSections=$B67),(startDates&gt;=W$4)*(endDates&lt;=W$5)))</f>
        <v>0</v>
      </c>
      <c r="X67" s="213" cm="1">
        <f t="array" ref="X67">SUMIFS(X$9:X$64,$C$9:$C$64,$C67)-SUM(_xlfn._xlws.FILTER(_xlfn._xlws.FILTER(dataSummaryPL,dataSummaryPLSections=$B67),(startDates&gt;=X$4)*(endDates&lt;=X$5)))</f>
        <v>0</v>
      </c>
      <c r="Y67" s="213" cm="1">
        <f t="array" ref="Y67">SUMIFS(Y$9:Y$64,$C$9:$C$64,$C67)-SUM(_xlfn._xlws.FILTER(_xlfn._xlws.FILTER(dataSummaryPL,dataSummaryPLSections=$B67),(startDates&gt;=Y$4)*(endDates&lt;=Y$5)))</f>
        <v>0</v>
      </c>
      <c r="Z67" s="213" cm="1">
        <f t="array" ref="Z67">SUMIFS(Z$9:Z$64,$C$9:$C$64,$C67)-SUM(_xlfn._xlws.FILTER(_xlfn._xlws.FILTER(dataSummaryPL,dataSummaryPLSections=$B67),(startDates&gt;=Z$4)*(endDates&lt;=Z$5)))</f>
        <v>0</v>
      </c>
      <c r="AA67" s="213" cm="1">
        <f t="array" ref="AA67">SUMIFS(AA$9:AA$64,$C$9:$C$64,$C67)-SUM(_xlfn._xlws.FILTER(_xlfn._xlws.FILTER(dataSummaryPL,dataSummaryPLSections=$B67),(startDates&gt;=AA$4)*(endDates&lt;=AA$5)))</f>
        <v>0</v>
      </c>
      <c r="AB67" s="208"/>
      <c r="AC67" s="207"/>
      <c r="AD67" s="213" cm="1">
        <f t="array" ref="AD67">SUMIFS(AD$9:AD$64,$C$9:$C$64,$C67)-SUM(_xlfn._xlws.FILTER(_xlfn._xlws.FILTER(dataSummaryPL,dataSummaryPLSections=$B67),(startDates&gt;=AD$4)*(endDates&lt;=AD$5)))</f>
        <v>0</v>
      </c>
      <c r="AE67" s="213" cm="1">
        <f t="array" ref="AE67">SUMIFS(AE$9:AE$64,$C$9:$C$64,$C67)-SUM(_xlfn._xlws.FILTER(_xlfn._xlws.FILTER(dataSummaryPL,dataSummaryPLSections=$B67),(startDates&gt;=AE$4)*(endDates&lt;=AE$5)))</f>
        <v>0</v>
      </c>
      <c r="AF67" s="213" cm="1">
        <f t="array" ref="AF67">SUMIFS(AF$9:AF$64,$C$9:$C$64,$C67)-SUM(_xlfn._xlws.FILTER(_xlfn._xlws.FILTER(dataSummaryPL,dataSummaryPLSections=$B67),(startDates&gt;=AF$4)*(endDates&lt;=AF$5)))</f>
        <v>0</v>
      </c>
      <c r="AG67" s="213" cm="1">
        <f t="array" ref="AG67">SUMIFS(AG$9:AG$64,$C$9:$C$64,$C67)-SUM(_xlfn._xlws.FILTER(_xlfn._xlws.FILTER(dataSummaryPL,dataSummaryPLSections=$B67),(startDates&gt;=AG$4)*(endDates&lt;=AG$5)))</f>
        <v>0</v>
      </c>
      <c r="AH67" s="213" cm="1">
        <f t="array" ref="AH67">SUMIFS(AH$9:AH$64,$C$9:$C$64,$C67)-SUM(_xlfn._xlws.FILTER(_xlfn._xlws.FILTER(dataSummaryPL,dataSummaryPLSections=$B67),(startDates&gt;=AH$4)*(endDates&lt;=AH$5)))</f>
        <v>0</v>
      </c>
      <c r="AI67" s="213" cm="1">
        <f t="array" ref="AI67">SUMIFS(AI$9:AI$64,$C$9:$C$64,$C67)-SUM(_xlfn._xlws.FILTER(_xlfn._xlws.FILTER(dataSummaryPL,dataSummaryPLSections=$B67),(startDates&gt;=AI$4)*(endDates&lt;=AI$5)))</f>
        <v>0</v>
      </c>
      <c r="AJ67" s="213" cm="1">
        <f t="array" ref="AJ67">SUMIFS(AJ$9:AJ$64,$C$9:$C$64,$C67)-SUM(_xlfn._xlws.FILTER(_xlfn._xlws.FILTER(dataSummaryPL,dataSummaryPLSections=$B67),(startDates&gt;=AJ$4)*(endDates&lt;=AJ$5)))</f>
        <v>0</v>
      </c>
      <c r="AK67" s="213" cm="1">
        <f t="array" ref="AK67">SUMIFS(AK$9:AK$64,$C$9:$C$64,$C67)-SUM(_xlfn._xlws.FILTER(_xlfn._xlws.FILTER(dataSummaryPL,dataSummaryPLSections=$B67),(startDates&gt;=AK$4)*(endDates&lt;=AK$5)))</f>
        <v>0</v>
      </c>
      <c r="AL67" s="213" cm="1">
        <f t="array" ref="AL67">SUMIFS(AL$9:AL$64,$C$9:$C$64,$C67)-SUM(_xlfn._xlws.FILTER(_xlfn._xlws.FILTER(dataSummaryPL,dataSummaryPLSections=$B67),(startDates&gt;=AL$4)*(endDates&lt;=AL$5)))</f>
        <v>0</v>
      </c>
      <c r="AM67" s="213" cm="1">
        <f t="array" ref="AM67">SUMIFS(AM$9:AM$64,$C$9:$C$64,$C67)-SUM(_xlfn._xlws.FILTER(_xlfn._xlws.FILTER(dataSummaryPL,dataSummaryPLSections=$B67),(startDates&gt;=AM$4)*(endDates&lt;=AM$5)))</f>
        <v>0</v>
      </c>
      <c r="AN67" s="213" cm="1">
        <f t="array" ref="AN67">SUMIFS(AN$9:AN$64,$C$9:$C$64,$C67)-SUM(_xlfn._xlws.FILTER(_xlfn._xlws.FILTER(dataSummaryPL,dataSummaryPLSections=$B67),(startDates&gt;=AN$4)*(endDates&lt;=AN$5)))</f>
        <v>0</v>
      </c>
      <c r="AO67" s="213" cm="1">
        <f t="array" ref="AO67">SUMIFS(AO$9:AO$64,$C$9:$C$64,$C67)-SUM(_xlfn._xlws.FILTER(_xlfn._xlws.FILTER(dataSummaryPL,dataSummaryPLSections=$B67),(startDates&gt;=AO$4)*(endDates&lt;=AO$5)))</f>
        <v>0</v>
      </c>
      <c r="AP67" s="213" cm="1">
        <f t="array" ref="AP67">SUMIFS(AP$9:AP$64,$C$9:$C$64,$C67)-SUM(_xlfn._xlws.FILTER(_xlfn._xlws.FILTER(dataSummaryPL,dataSummaryPLSections=$B67),(startDates&gt;=AP$4)*(endDates&lt;=AP$5)))</f>
        <v>0</v>
      </c>
      <c r="AQ67" s="213" cm="1">
        <f t="array" ref="AQ67">SUMIFS(AQ$9:AQ$64,$C$9:$C$64,$C67)-SUM(_xlfn._xlws.FILTER(_xlfn._xlws.FILTER(dataSummaryPL,dataSummaryPLSections=$B67),(startDates&gt;=AQ$4)*(endDates&lt;=AQ$5)))</f>
        <v>0</v>
      </c>
      <c r="AR67" s="213" cm="1">
        <f t="array" ref="AR67">SUMIFS(AR$9:AR$64,$C$9:$C$64,$C67)-SUM(_xlfn._xlws.FILTER(_xlfn._xlws.FILTER(dataSummaryPL,dataSummaryPLSections=$B67),(startDates&gt;=AR$4)*(endDates&lt;=AR$5)))</f>
        <v>0</v>
      </c>
      <c r="AS67" s="213" cm="1">
        <f t="array" ref="AS67">SUMIFS(AS$9:AS$64,$C$9:$C$64,$C67)-SUM(_xlfn._xlws.FILTER(_xlfn._xlws.FILTER(dataSummaryPL,dataSummaryPLSections=$B67),(startDates&gt;=AS$4)*(endDates&lt;=AS$5)))</f>
        <v>0</v>
      </c>
      <c r="AT67" s="213" cm="1">
        <f t="array" ref="AT67">SUMIFS(AT$9:AT$64,$C$9:$C$64,$C67)-SUM(_xlfn._xlws.FILTER(_xlfn._xlws.FILTER(dataSummaryPL,dataSummaryPLSections=$B67),(startDates&gt;=AT$4)*(endDates&lt;=AT$5)))</f>
        <v>0</v>
      </c>
      <c r="AU67" s="213" cm="1">
        <f t="array" ref="AU67">SUMIFS(AU$9:AU$64,$C$9:$C$64,$C67)-SUM(_xlfn._xlws.FILTER(_xlfn._xlws.FILTER(dataSummaryPL,dataSummaryPLSections=$B67),(startDates&gt;=AU$4)*(endDates&lt;=AU$5)))</f>
        <v>0</v>
      </c>
      <c r="AV67" s="213" cm="1">
        <f t="array" ref="AV67">SUMIFS(AV$9:AV$64,$C$9:$C$64,$C67)-SUM(_xlfn._xlws.FILTER(_xlfn._xlws.FILTER(dataSummaryPL,dataSummaryPLSections=$B67),(startDates&gt;=AV$4)*(endDates&lt;=AV$5)))</f>
        <v>0</v>
      </c>
      <c r="AW67" s="213" cm="1">
        <f t="array" ref="AW67">SUMIFS(AW$9:AW$64,$C$9:$C$64,$C67)-SUM(_xlfn._xlws.FILTER(_xlfn._xlws.FILTER(dataSummaryPL,dataSummaryPLSections=$B67),(startDates&gt;=AW$4)*(endDates&lt;=AW$5)))</f>
        <v>0</v>
      </c>
      <c r="AX67" s="213" cm="1">
        <f t="array" ref="AX67">SUMIFS(AX$9:AX$64,$C$9:$C$64,$C67)-SUM(_xlfn._xlws.FILTER(_xlfn._xlws.FILTER(dataSummaryPL,dataSummaryPLSections=$B67),(startDates&gt;=AX$4)*(endDates&lt;=AX$5)))</f>
        <v>0</v>
      </c>
      <c r="AY67" s="213" cm="1">
        <f t="array" ref="AY67">SUMIFS(AY$9:AY$64,$C$9:$C$64,$C67)-SUM(_xlfn._xlws.FILTER(_xlfn._xlws.FILTER(dataSummaryPL,dataSummaryPLSections=$B67),(startDates&gt;=AY$4)*(endDates&lt;=AY$5)))</f>
        <v>0</v>
      </c>
      <c r="AZ67" s="213" cm="1">
        <f t="array" ref="AZ67">SUMIFS(AZ$9:AZ$64,$C$9:$C$64,$C67)-SUM(_xlfn._xlws.FILTER(_xlfn._xlws.FILTER(dataSummaryPL,dataSummaryPLSections=$B67),(startDates&gt;=AZ$4)*(endDates&lt;=AZ$5)))</f>
        <v>0</v>
      </c>
      <c r="BA67" s="213" cm="1">
        <f t="array" ref="BA67">SUMIFS(BA$9:BA$64,$C$9:$C$64,$C67)-SUM(_xlfn._xlws.FILTER(_xlfn._xlws.FILTER(dataSummaryPL,dataSummaryPLSections=$B67),(startDates&gt;=BA$4)*(endDates&lt;=BA$5)))</f>
        <v>0</v>
      </c>
      <c r="BB67" s="213" cm="1">
        <f t="array" ref="BB67">SUMIFS(BB$9:BB$64,$C$9:$C$64,$C67)-SUM(_xlfn._xlws.FILTER(_xlfn._xlws.FILTER(dataSummaryPL,dataSummaryPLSections=$B67),(startDates&gt;=BB$4)*(endDates&lt;=BB$5)))</f>
        <v>0</v>
      </c>
      <c r="BC67" s="213" cm="1">
        <f t="array" ref="BC67">SUMIFS(BC$9:BC$64,$C$9:$C$64,$C67)-SUM(_xlfn._xlws.FILTER(_xlfn._xlws.FILTER(dataSummaryPL,dataSummaryPLSections=$B67),(startDates&gt;=BC$4)*(endDates&lt;=BC$5)))</f>
        <v>0</v>
      </c>
      <c r="BD67" s="213" cm="1">
        <f t="array" ref="BD67">SUMIFS(BD$9:BD$64,$C$9:$C$64,$C67)-SUM(_xlfn._xlws.FILTER(_xlfn._xlws.FILTER(dataSummaryPL,dataSummaryPLSections=$B67),(startDates&gt;=BD$4)*(endDates&lt;=BD$5)))</f>
        <v>0</v>
      </c>
      <c r="BE67" s="213" cm="1">
        <f t="array" ref="BE67">SUMIFS(BE$9:BE$64,$C$9:$C$64,$C67)-SUM(_xlfn._xlws.FILTER(_xlfn._xlws.FILTER(dataSummaryPL,dataSummaryPLSections=$B67),(startDates&gt;=BE$4)*(endDates&lt;=BE$5)))</f>
        <v>0</v>
      </c>
      <c r="BF67" s="213" cm="1">
        <f t="array" ref="BF67">SUMIFS(BF$9:BF$64,$C$9:$C$64,$C67)-SUM(_xlfn._xlws.FILTER(_xlfn._xlws.FILTER(dataSummaryPL,dataSummaryPLSections=$B67),(startDates&gt;=BF$4)*(endDates&lt;=BF$5)))</f>
        <v>0</v>
      </c>
      <c r="BG67" s="213" cm="1">
        <f t="array" ref="BG67">SUMIFS(BG$9:BG$64,$C$9:$C$64,$C67)-SUM(_xlfn._xlws.FILTER(_xlfn._xlws.FILTER(dataSummaryPL,dataSummaryPLSections=$B67),(startDates&gt;=BG$4)*(endDates&lt;=BG$5)))</f>
        <v>0</v>
      </c>
      <c r="BH67" s="213" cm="1">
        <f t="array" ref="BH67">SUMIFS(BH$9:BH$64,$C$9:$C$64,$C67)-SUM(_xlfn._xlws.FILTER(_xlfn._xlws.FILTER(dataSummaryPL,dataSummaryPLSections=$B67),(startDates&gt;=BH$4)*(endDates&lt;=BH$5)))</f>
        <v>0</v>
      </c>
      <c r="BI67" s="213" cm="1">
        <f t="array" ref="BI67">SUMIFS(BI$9:BI$64,$C$9:$C$64,$C67)-SUM(_xlfn._xlws.FILTER(_xlfn._xlws.FILTER(dataSummaryPL,dataSummaryPLSections=$B67),(startDates&gt;=BI$4)*(endDates&lt;=BI$5)))</f>
        <v>0</v>
      </c>
      <c r="BJ67" s="213" cm="1">
        <f t="array" ref="BJ67">SUMIFS(BJ$9:BJ$64,$C$9:$C$64,$C67)-SUM(_xlfn._xlws.FILTER(_xlfn._xlws.FILTER(dataSummaryPL,dataSummaryPLSections=$B67),(startDates&gt;=BJ$4)*(endDates&lt;=BJ$5)))</f>
        <v>0</v>
      </c>
      <c r="BK67" s="213" cm="1">
        <f t="array" ref="BK67">SUMIFS(BK$9:BK$64,$C$9:$C$64,$C67)-SUM(_xlfn._xlws.FILTER(_xlfn._xlws.FILTER(dataSummaryPL,dataSummaryPLSections=$B67),(startDates&gt;=BK$4)*(endDates&lt;=BK$5)))</f>
        <v>0</v>
      </c>
      <c r="BL67" s="213" cm="1">
        <f t="array" ref="BL67">SUMIFS(BL$9:BL$64,$C$9:$C$64,$C67)-SUM(_xlfn._xlws.FILTER(_xlfn._xlws.FILTER(dataSummaryPL,dataSummaryPLSections=$B67),(startDates&gt;=BL$4)*(endDates&lt;=BL$5)))</f>
        <v>0</v>
      </c>
      <c r="BM67" s="213" cm="1">
        <f t="array" ref="BM67">SUMIFS(BM$9:BM$64,$C$9:$C$64,$C67)-SUM(_xlfn._xlws.FILTER(_xlfn._xlws.FILTER(dataSummaryPL,dataSummaryPLSections=$B67),(startDates&gt;=BM$4)*(endDates&lt;=BM$5)))</f>
        <v>0</v>
      </c>
      <c r="BN67" s="213" cm="1">
        <f t="array" ref="BN67">SUMIFS(BN$9:BN$64,$C$9:$C$64,$C67)-SUM(_xlfn._xlws.FILTER(_xlfn._xlws.FILTER(dataSummaryPL,dataSummaryPLSections=$B67),(startDates&gt;=BN$4)*(endDates&lt;=BN$5)))</f>
        <v>0</v>
      </c>
      <c r="BO67" s="213" cm="1">
        <f t="array" ref="BO67">SUMIFS(BO$9:BO$64,$C$9:$C$64,$C67)-SUM(_xlfn._xlws.FILTER(_xlfn._xlws.FILTER(dataSummaryPL,dataSummaryPLSections=$B67),(startDates&gt;=BO$4)*(endDates&lt;=BO$5)))</f>
        <v>0</v>
      </c>
      <c r="BP67" s="213" cm="1">
        <f t="array" ref="BP67">SUMIFS(BP$9:BP$64,$C$9:$C$64,$C67)-SUM(_xlfn._xlws.FILTER(_xlfn._xlws.FILTER(dataSummaryPL,dataSummaryPLSections=$B67),(startDates&gt;=BP$4)*(endDates&lt;=BP$5)))</f>
        <v>0</v>
      </c>
      <c r="BQ67" s="213" cm="1">
        <f t="array" ref="BQ67">SUMIFS(BQ$9:BQ$64,$C$9:$C$64,$C67)-SUM(_xlfn._xlws.FILTER(_xlfn._xlws.FILTER(dataSummaryPL,dataSummaryPLSections=$B67),(startDates&gt;=BQ$4)*(endDates&lt;=BQ$5)))</f>
        <v>0</v>
      </c>
      <c r="BR67" s="213" cm="1">
        <f t="array" ref="BR67">SUMIFS(BR$9:BR$64,$C$9:$C$64,$C67)-SUM(_xlfn._xlws.FILTER(_xlfn._xlws.FILTER(dataSummaryPL,dataSummaryPLSections=$B67),(startDates&gt;=BR$4)*(endDates&lt;=BR$5)))</f>
        <v>0</v>
      </c>
      <c r="BS67" s="213" cm="1">
        <f t="array" ref="BS67">SUMIFS(BS$9:BS$64,$C$9:$C$64,$C67)-SUM(_xlfn._xlws.FILTER(_xlfn._xlws.FILTER(dataSummaryPL,dataSummaryPLSections=$B67),(startDates&gt;=BS$4)*(endDates&lt;=BS$5)))</f>
        <v>0</v>
      </c>
      <c r="BT67" s="213" cm="1">
        <f t="array" ref="BT67">SUMIFS(BT$9:BT$64,$C$9:$C$64,$C67)-SUM(_xlfn._xlws.FILTER(_xlfn._xlws.FILTER(dataSummaryPL,dataSummaryPLSections=$B67),(startDates&gt;=BT$4)*(endDates&lt;=BT$5)))</f>
        <v>0</v>
      </c>
      <c r="BU67" s="213" cm="1">
        <f t="array" ref="BU67">SUMIFS(BU$9:BU$64,$C$9:$C$64,$C67)-SUM(_xlfn._xlws.FILTER(_xlfn._xlws.FILTER(dataSummaryPL,dataSummaryPLSections=$B67),(startDates&gt;=BU$4)*(endDates&lt;=BU$5)))</f>
        <v>0</v>
      </c>
      <c r="BV67" s="213" cm="1">
        <f t="array" ref="BV67">SUMIFS(BV$9:BV$64,$C$9:$C$64,$C67)-SUM(_xlfn._xlws.FILTER(_xlfn._xlws.FILTER(dataSummaryPL,dataSummaryPLSections=$B67),(startDates&gt;=BV$4)*(endDates&lt;=BV$5)))</f>
        <v>0</v>
      </c>
      <c r="BW67" s="213" cm="1">
        <f t="array" ref="BW67">SUMIFS(BW$9:BW$64,$C$9:$C$64,$C67)-SUM(_xlfn._xlws.FILTER(_xlfn._xlws.FILTER(dataSummaryPL,dataSummaryPLSections=$B67),(startDates&gt;=BW$4)*(endDates&lt;=BW$5)))</f>
        <v>0</v>
      </c>
      <c r="BX67" s="213" cm="1">
        <f t="array" ref="BX67">SUMIFS(BX$9:BX$64,$C$9:$C$64,$C67)-SUM(_xlfn._xlws.FILTER(_xlfn._xlws.FILTER(dataSummaryPL,dataSummaryPLSections=$B67),(startDates&gt;=BX$4)*(endDates&lt;=BX$5)))</f>
        <v>0</v>
      </c>
      <c r="BY67" s="213" cm="1">
        <f t="array" ref="BY67">SUMIFS(BY$9:BY$64,$C$9:$C$64,$C67)-SUM(_xlfn._xlws.FILTER(_xlfn._xlws.FILTER(dataSummaryPL,dataSummaryPLSections=$B67),(startDates&gt;=BY$4)*(endDates&lt;=BY$5)))</f>
        <v>0</v>
      </c>
    </row>
    <row r="68" spans="1:77" s="205" customFormat="1" ht="21" hidden="1" customHeight="1" outlineLevel="2">
      <c r="A68" s="208"/>
      <c r="B68" s="211" t="s">
        <v>130</v>
      </c>
      <c r="C68" s="210" t="s">
        <v>267</v>
      </c>
      <c r="D68" s="208"/>
      <c r="E68" s="209"/>
      <c r="F68" s="213" cm="1">
        <f t="array" ref="F68">SUMIFS(F$9:F$64,$C$9:$C$64,$C68)-SUM(_xlfn._xlws.FILTER(_xlfn._xlws.FILTER(dataSummaryPL,dataSummaryPLSections=$B68),(startDates&gt;=F$4)*(endDates&lt;=F$5)))</f>
        <v>0</v>
      </c>
      <c r="G68" s="213" cm="1">
        <f t="array" ref="G68">SUMIFS(G$9:G$64,$C$9:$C$64,$C68)-SUM(_xlfn._xlws.FILTER(_xlfn._xlws.FILTER(dataSummaryPL,dataSummaryPLSections=$B68),(startDates&gt;=G$4)*(endDates&lt;=G$5)))</f>
        <v>0</v>
      </c>
      <c r="H68" s="213" cm="1">
        <f t="array" ref="H68">SUMIFS(H$9:H$64,$C$9:$C$64,$C68)-SUM(_xlfn._xlws.FILTER(_xlfn._xlws.FILTER(dataSummaryPL,dataSummaryPLSections=$B68),(startDates&gt;=H$4)*(endDates&lt;=H$5)))</f>
        <v>0</v>
      </c>
      <c r="I68" s="213" cm="1">
        <f t="array" ref="I68">SUMIFS(I$9:I$64,$C$9:$C$64,$C68)-SUM(_xlfn._xlws.FILTER(_xlfn._xlws.FILTER(dataSummaryPL,dataSummaryPLSections=$B68),(startDates&gt;=I$4)*(endDates&lt;=I$5)))</f>
        <v>0</v>
      </c>
      <c r="J68" s="207"/>
      <c r="K68" s="207"/>
      <c r="L68" s="213" cm="1">
        <f t="array" ref="L68">SUMIFS(L$9:L$64,$C$9:$C$64,$C68)-SUM(_xlfn._xlws.FILTER(_xlfn._xlws.FILTER(dataSummaryPL,dataSummaryPLSections=$B68),(startDates&gt;=L$4)*(endDates&lt;=L$5)))</f>
        <v>0</v>
      </c>
      <c r="M68" s="213" cm="1">
        <f t="array" ref="M68">SUMIFS(M$9:M$64,$C$9:$C$64,$C68)-SUM(_xlfn._xlws.FILTER(_xlfn._xlws.FILTER(dataSummaryPL,dataSummaryPLSections=$B68),(startDates&gt;=M$4)*(endDates&lt;=M$5)))</f>
        <v>0</v>
      </c>
      <c r="N68" s="213" cm="1">
        <f t="array" ref="N68">SUMIFS(N$9:N$64,$C$9:$C$64,$C68)-SUM(_xlfn._xlws.FILTER(_xlfn._xlws.FILTER(dataSummaryPL,dataSummaryPLSections=$B68),(startDates&gt;=N$4)*(endDates&lt;=N$5)))</f>
        <v>0</v>
      </c>
      <c r="O68" s="213" cm="1">
        <f t="array" ref="O68">SUMIFS(O$9:O$64,$C$9:$C$64,$C68)-SUM(_xlfn._xlws.FILTER(_xlfn._xlws.FILTER(dataSummaryPL,dataSummaryPLSections=$B68),(startDates&gt;=O$4)*(endDates&lt;=O$5)))</f>
        <v>0</v>
      </c>
      <c r="P68" s="213" cm="1">
        <f t="array" ref="P68">SUMIFS(P$9:P$64,$C$9:$C$64,$C68)-SUM(_xlfn._xlws.FILTER(_xlfn._xlws.FILTER(dataSummaryPL,dataSummaryPLSections=$B68),(startDates&gt;=P$4)*(endDates&lt;=P$5)))</f>
        <v>0</v>
      </c>
      <c r="Q68" s="213" cm="1">
        <f t="array" ref="Q68">SUMIFS(Q$9:Q$64,$C$9:$C$64,$C68)-SUM(_xlfn._xlws.FILTER(_xlfn._xlws.FILTER(dataSummaryPL,dataSummaryPLSections=$B68),(startDates&gt;=Q$4)*(endDates&lt;=Q$5)))</f>
        <v>0</v>
      </c>
      <c r="R68" s="213" cm="1">
        <f t="array" ref="R68">SUMIFS(R$9:R$64,$C$9:$C$64,$C68)-SUM(_xlfn._xlws.FILTER(_xlfn._xlws.FILTER(dataSummaryPL,dataSummaryPLSections=$B68),(startDates&gt;=R$4)*(endDates&lt;=R$5)))</f>
        <v>0</v>
      </c>
      <c r="S68" s="213" cm="1">
        <f t="array" ref="S68">SUMIFS(S$9:S$64,$C$9:$C$64,$C68)-SUM(_xlfn._xlws.FILTER(_xlfn._xlws.FILTER(dataSummaryPL,dataSummaryPLSections=$B68),(startDates&gt;=S$4)*(endDates&lt;=S$5)))</f>
        <v>0</v>
      </c>
      <c r="T68" s="213" cm="1">
        <f t="array" ref="T68">SUMIFS(T$9:T$64,$C$9:$C$64,$C68)-SUM(_xlfn._xlws.FILTER(_xlfn._xlws.FILTER(dataSummaryPL,dataSummaryPLSections=$B68),(startDates&gt;=T$4)*(endDates&lt;=T$5)))</f>
        <v>0</v>
      </c>
      <c r="U68" s="213" cm="1">
        <f t="array" ref="U68">SUMIFS(U$9:U$64,$C$9:$C$64,$C68)-SUM(_xlfn._xlws.FILTER(_xlfn._xlws.FILTER(dataSummaryPL,dataSummaryPLSections=$B68),(startDates&gt;=U$4)*(endDates&lt;=U$5)))</f>
        <v>0</v>
      </c>
      <c r="V68" s="213" cm="1">
        <f t="array" ref="V68">SUMIFS(V$9:V$64,$C$9:$C$64,$C68)-SUM(_xlfn._xlws.FILTER(_xlfn._xlws.FILTER(dataSummaryPL,dataSummaryPLSections=$B68),(startDates&gt;=V$4)*(endDates&lt;=V$5)))</f>
        <v>0</v>
      </c>
      <c r="W68" s="213" cm="1">
        <f t="array" ref="W68">SUMIFS(W$9:W$64,$C$9:$C$64,$C68)-SUM(_xlfn._xlws.FILTER(_xlfn._xlws.FILTER(dataSummaryPL,dataSummaryPLSections=$B68),(startDates&gt;=W$4)*(endDates&lt;=W$5)))</f>
        <v>0</v>
      </c>
      <c r="X68" s="213" cm="1">
        <f t="array" ref="X68">SUMIFS(X$9:X$64,$C$9:$C$64,$C68)-SUM(_xlfn._xlws.FILTER(_xlfn._xlws.FILTER(dataSummaryPL,dataSummaryPLSections=$B68),(startDates&gt;=X$4)*(endDates&lt;=X$5)))</f>
        <v>0</v>
      </c>
      <c r="Y68" s="213" cm="1">
        <f t="array" ref="Y68">SUMIFS(Y$9:Y$64,$C$9:$C$64,$C68)-SUM(_xlfn._xlws.FILTER(_xlfn._xlws.FILTER(dataSummaryPL,dataSummaryPLSections=$B68),(startDates&gt;=Y$4)*(endDates&lt;=Y$5)))</f>
        <v>0</v>
      </c>
      <c r="Z68" s="213" cm="1">
        <f t="array" ref="Z68">SUMIFS(Z$9:Z$64,$C$9:$C$64,$C68)-SUM(_xlfn._xlws.FILTER(_xlfn._xlws.FILTER(dataSummaryPL,dataSummaryPLSections=$B68),(startDates&gt;=Z$4)*(endDates&lt;=Z$5)))</f>
        <v>0</v>
      </c>
      <c r="AA68" s="213" cm="1">
        <f t="array" ref="AA68">SUMIFS(AA$9:AA$64,$C$9:$C$64,$C68)-SUM(_xlfn._xlws.FILTER(_xlfn._xlws.FILTER(dataSummaryPL,dataSummaryPLSections=$B68),(startDates&gt;=AA$4)*(endDates&lt;=AA$5)))</f>
        <v>0</v>
      </c>
      <c r="AB68" s="208"/>
      <c r="AC68" s="207"/>
      <c r="AD68" s="213" cm="1">
        <f t="array" ref="AD68">SUMIFS(AD$9:AD$64,$C$9:$C$64,$C68)-SUM(_xlfn._xlws.FILTER(_xlfn._xlws.FILTER(dataSummaryPL,dataSummaryPLSections=$B68),(startDates&gt;=AD$4)*(endDates&lt;=AD$5)))</f>
        <v>0</v>
      </c>
      <c r="AE68" s="213" cm="1">
        <f t="array" ref="AE68">SUMIFS(AE$9:AE$64,$C$9:$C$64,$C68)-SUM(_xlfn._xlws.FILTER(_xlfn._xlws.FILTER(dataSummaryPL,dataSummaryPLSections=$B68),(startDates&gt;=AE$4)*(endDates&lt;=AE$5)))</f>
        <v>0</v>
      </c>
      <c r="AF68" s="213" cm="1">
        <f t="array" ref="AF68">SUMIFS(AF$9:AF$64,$C$9:$C$64,$C68)-SUM(_xlfn._xlws.FILTER(_xlfn._xlws.FILTER(dataSummaryPL,dataSummaryPLSections=$B68),(startDates&gt;=AF$4)*(endDates&lt;=AF$5)))</f>
        <v>0</v>
      </c>
      <c r="AG68" s="213" cm="1">
        <f t="array" ref="AG68">SUMIFS(AG$9:AG$64,$C$9:$C$64,$C68)-SUM(_xlfn._xlws.FILTER(_xlfn._xlws.FILTER(dataSummaryPL,dataSummaryPLSections=$B68),(startDates&gt;=AG$4)*(endDates&lt;=AG$5)))</f>
        <v>0</v>
      </c>
      <c r="AH68" s="213" cm="1">
        <f t="array" ref="AH68">SUMIFS(AH$9:AH$64,$C$9:$C$64,$C68)-SUM(_xlfn._xlws.FILTER(_xlfn._xlws.FILTER(dataSummaryPL,dataSummaryPLSections=$B68),(startDates&gt;=AH$4)*(endDates&lt;=AH$5)))</f>
        <v>0</v>
      </c>
      <c r="AI68" s="213" cm="1">
        <f t="array" ref="AI68">SUMIFS(AI$9:AI$64,$C$9:$C$64,$C68)-SUM(_xlfn._xlws.FILTER(_xlfn._xlws.FILTER(dataSummaryPL,dataSummaryPLSections=$B68),(startDates&gt;=AI$4)*(endDates&lt;=AI$5)))</f>
        <v>0</v>
      </c>
      <c r="AJ68" s="213" cm="1">
        <f t="array" ref="AJ68">SUMIFS(AJ$9:AJ$64,$C$9:$C$64,$C68)-SUM(_xlfn._xlws.FILTER(_xlfn._xlws.FILTER(dataSummaryPL,dataSummaryPLSections=$B68),(startDates&gt;=AJ$4)*(endDates&lt;=AJ$5)))</f>
        <v>0</v>
      </c>
      <c r="AK68" s="213" cm="1">
        <f t="array" ref="AK68">SUMIFS(AK$9:AK$64,$C$9:$C$64,$C68)-SUM(_xlfn._xlws.FILTER(_xlfn._xlws.FILTER(dataSummaryPL,dataSummaryPLSections=$B68),(startDates&gt;=AK$4)*(endDates&lt;=AK$5)))</f>
        <v>0</v>
      </c>
      <c r="AL68" s="213" cm="1">
        <f t="array" ref="AL68">SUMIFS(AL$9:AL$64,$C$9:$C$64,$C68)-SUM(_xlfn._xlws.FILTER(_xlfn._xlws.FILTER(dataSummaryPL,dataSummaryPLSections=$B68),(startDates&gt;=AL$4)*(endDates&lt;=AL$5)))</f>
        <v>0</v>
      </c>
      <c r="AM68" s="213" cm="1">
        <f t="array" ref="AM68">SUMIFS(AM$9:AM$64,$C$9:$C$64,$C68)-SUM(_xlfn._xlws.FILTER(_xlfn._xlws.FILTER(dataSummaryPL,dataSummaryPLSections=$B68),(startDates&gt;=AM$4)*(endDates&lt;=AM$5)))</f>
        <v>0</v>
      </c>
      <c r="AN68" s="213" cm="1">
        <f t="array" ref="AN68">SUMIFS(AN$9:AN$64,$C$9:$C$64,$C68)-SUM(_xlfn._xlws.FILTER(_xlfn._xlws.FILTER(dataSummaryPL,dataSummaryPLSections=$B68),(startDates&gt;=AN$4)*(endDates&lt;=AN$5)))</f>
        <v>0</v>
      </c>
      <c r="AO68" s="213" cm="1">
        <f t="array" ref="AO68">SUMIFS(AO$9:AO$64,$C$9:$C$64,$C68)-SUM(_xlfn._xlws.FILTER(_xlfn._xlws.FILTER(dataSummaryPL,dataSummaryPLSections=$B68),(startDates&gt;=AO$4)*(endDates&lt;=AO$5)))</f>
        <v>0</v>
      </c>
      <c r="AP68" s="213" cm="1">
        <f t="array" ref="AP68">SUMIFS(AP$9:AP$64,$C$9:$C$64,$C68)-SUM(_xlfn._xlws.FILTER(_xlfn._xlws.FILTER(dataSummaryPL,dataSummaryPLSections=$B68),(startDates&gt;=AP$4)*(endDates&lt;=AP$5)))</f>
        <v>0</v>
      </c>
      <c r="AQ68" s="213" cm="1">
        <f t="array" ref="AQ68">SUMIFS(AQ$9:AQ$64,$C$9:$C$64,$C68)-SUM(_xlfn._xlws.FILTER(_xlfn._xlws.FILTER(dataSummaryPL,dataSummaryPLSections=$B68),(startDates&gt;=AQ$4)*(endDates&lt;=AQ$5)))</f>
        <v>0</v>
      </c>
      <c r="AR68" s="213" cm="1">
        <f t="array" ref="AR68">SUMIFS(AR$9:AR$64,$C$9:$C$64,$C68)-SUM(_xlfn._xlws.FILTER(_xlfn._xlws.FILTER(dataSummaryPL,dataSummaryPLSections=$B68),(startDates&gt;=AR$4)*(endDates&lt;=AR$5)))</f>
        <v>0</v>
      </c>
      <c r="AS68" s="213" cm="1">
        <f t="array" ref="AS68">SUMIFS(AS$9:AS$64,$C$9:$C$64,$C68)-SUM(_xlfn._xlws.FILTER(_xlfn._xlws.FILTER(dataSummaryPL,dataSummaryPLSections=$B68),(startDates&gt;=AS$4)*(endDates&lt;=AS$5)))</f>
        <v>0</v>
      </c>
      <c r="AT68" s="213" cm="1">
        <f t="array" ref="AT68">SUMIFS(AT$9:AT$64,$C$9:$C$64,$C68)-SUM(_xlfn._xlws.FILTER(_xlfn._xlws.FILTER(dataSummaryPL,dataSummaryPLSections=$B68),(startDates&gt;=AT$4)*(endDates&lt;=AT$5)))</f>
        <v>0</v>
      </c>
      <c r="AU68" s="213" cm="1">
        <f t="array" ref="AU68">SUMIFS(AU$9:AU$64,$C$9:$C$64,$C68)-SUM(_xlfn._xlws.FILTER(_xlfn._xlws.FILTER(dataSummaryPL,dataSummaryPLSections=$B68),(startDates&gt;=AU$4)*(endDates&lt;=AU$5)))</f>
        <v>0</v>
      </c>
      <c r="AV68" s="213" cm="1">
        <f t="array" ref="AV68">SUMIFS(AV$9:AV$64,$C$9:$C$64,$C68)-SUM(_xlfn._xlws.FILTER(_xlfn._xlws.FILTER(dataSummaryPL,dataSummaryPLSections=$B68),(startDates&gt;=AV$4)*(endDates&lt;=AV$5)))</f>
        <v>0</v>
      </c>
      <c r="AW68" s="213" cm="1">
        <f t="array" ref="AW68">SUMIFS(AW$9:AW$64,$C$9:$C$64,$C68)-SUM(_xlfn._xlws.FILTER(_xlfn._xlws.FILTER(dataSummaryPL,dataSummaryPLSections=$B68),(startDates&gt;=AW$4)*(endDates&lt;=AW$5)))</f>
        <v>0</v>
      </c>
      <c r="AX68" s="213" cm="1">
        <f t="array" ref="AX68">SUMIFS(AX$9:AX$64,$C$9:$C$64,$C68)-SUM(_xlfn._xlws.FILTER(_xlfn._xlws.FILTER(dataSummaryPL,dataSummaryPLSections=$B68),(startDates&gt;=AX$4)*(endDates&lt;=AX$5)))</f>
        <v>0</v>
      </c>
      <c r="AY68" s="213" cm="1">
        <f t="array" ref="AY68">SUMIFS(AY$9:AY$64,$C$9:$C$64,$C68)-SUM(_xlfn._xlws.FILTER(_xlfn._xlws.FILTER(dataSummaryPL,dataSummaryPLSections=$B68),(startDates&gt;=AY$4)*(endDates&lt;=AY$5)))</f>
        <v>0</v>
      </c>
      <c r="AZ68" s="213" cm="1">
        <f t="array" ref="AZ68">SUMIFS(AZ$9:AZ$64,$C$9:$C$64,$C68)-SUM(_xlfn._xlws.FILTER(_xlfn._xlws.FILTER(dataSummaryPL,dataSummaryPLSections=$B68),(startDates&gt;=AZ$4)*(endDates&lt;=AZ$5)))</f>
        <v>0</v>
      </c>
      <c r="BA68" s="213" cm="1">
        <f t="array" ref="BA68">SUMIFS(BA$9:BA$64,$C$9:$C$64,$C68)-SUM(_xlfn._xlws.FILTER(_xlfn._xlws.FILTER(dataSummaryPL,dataSummaryPLSections=$B68),(startDates&gt;=BA$4)*(endDates&lt;=BA$5)))</f>
        <v>0</v>
      </c>
      <c r="BB68" s="213" cm="1">
        <f t="array" ref="BB68">SUMIFS(BB$9:BB$64,$C$9:$C$64,$C68)-SUM(_xlfn._xlws.FILTER(_xlfn._xlws.FILTER(dataSummaryPL,dataSummaryPLSections=$B68),(startDates&gt;=BB$4)*(endDates&lt;=BB$5)))</f>
        <v>0</v>
      </c>
      <c r="BC68" s="213" cm="1">
        <f t="array" ref="BC68">SUMIFS(BC$9:BC$64,$C$9:$C$64,$C68)-SUM(_xlfn._xlws.FILTER(_xlfn._xlws.FILTER(dataSummaryPL,dataSummaryPLSections=$B68),(startDates&gt;=BC$4)*(endDates&lt;=BC$5)))</f>
        <v>0</v>
      </c>
      <c r="BD68" s="213" cm="1">
        <f t="array" ref="BD68">SUMIFS(BD$9:BD$64,$C$9:$C$64,$C68)-SUM(_xlfn._xlws.FILTER(_xlfn._xlws.FILTER(dataSummaryPL,dataSummaryPLSections=$B68),(startDates&gt;=BD$4)*(endDates&lt;=BD$5)))</f>
        <v>0</v>
      </c>
      <c r="BE68" s="213" cm="1">
        <f t="array" ref="BE68">SUMIFS(BE$9:BE$64,$C$9:$C$64,$C68)-SUM(_xlfn._xlws.FILTER(_xlfn._xlws.FILTER(dataSummaryPL,dataSummaryPLSections=$B68),(startDates&gt;=BE$4)*(endDates&lt;=BE$5)))</f>
        <v>0</v>
      </c>
      <c r="BF68" s="213" cm="1">
        <f t="array" ref="BF68">SUMIFS(BF$9:BF$64,$C$9:$C$64,$C68)-SUM(_xlfn._xlws.FILTER(_xlfn._xlws.FILTER(dataSummaryPL,dataSummaryPLSections=$B68),(startDates&gt;=BF$4)*(endDates&lt;=BF$5)))</f>
        <v>0</v>
      </c>
      <c r="BG68" s="213" cm="1">
        <f t="array" ref="BG68">SUMIFS(BG$9:BG$64,$C$9:$C$64,$C68)-SUM(_xlfn._xlws.FILTER(_xlfn._xlws.FILTER(dataSummaryPL,dataSummaryPLSections=$B68),(startDates&gt;=BG$4)*(endDates&lt;=BG$5)))</f>
        <v>0</v>
      </c>
      <c r="BH68" s="213" cm="1">
        <f t="array" ref="BH68">SUMIFS(BH$9:BH$64,$C$9:$C$64,$C68)-SUM(_xlfn._xlws.FILTER(_xlfn._xlws.FILTER(dataSummaryPL,dataSummaryPLSections=$B68),(startDates&gt;=BH$4)*(endDates&lt;=BH$5)))</f>
        <v>0</v>
      </c>
      <c r="BI68" s="213" cm="1">
        <f t="array" ref="BI68">SUMIFS(BI$9:BI$64,$C$9:$C$64,$C68)-SUM(_xlfn._xlws.FILTER(_xlfn._xlws.FILTER(dataSummaryPL,dataSummaryPLSections=$B68),(startDates&gt;=BI$4)*(endDates&lt;=BI$5)))</f>
        <v>0</v>
      </c>
      <c r="BJ68" s="213" cm="1">
        <f t="array" ref="BJ68">SUMIFS(BJ$9:BJ$64,$C$9:$C$64,$C68)-SUM(_xlfn._xlws.FILTER(_xlfn._xlws.FILTER(dataSummaryPL,dataSummaryPLSections=$B68),(startDates&gt;=BJ$4)*(endDates&lt;=BJ$5)))</f>
        <v>0</v>
      </c>
      <c r="BK68" s="213" cm="1">
        <f t="array" ref="BK68">SUMIFS(BK$9:BK$64,$C$9:$C$64,$C68)-SUM(_xlfn._xlws.FILTER(_xlfn._xlws.FILTER(dataSummaryPL,dataSummaryPLSections=$B68),(startDates&gt;=BK$4)*(endDates&lt;=BK$5)))</f>
        <v>0</v>
      </c>
      <c r="BL68" s="213" cm="1">
        <f t="array" ref="BL68">SUMIFS(BL$9:BL$64,$C$9:$C$64,$C68)-SUM(_xlfn._xlws.FILTER(_xlfn._xlws.FILTER(dataSummaryPL,dataSummaryPLSections=$B68),(startDates&gt;=BL$4)*(endDates&lt;=BL$5)))</f>
        <v>0</v>
      </c>
      <c r="BM68" s="213" cm="1">
        <f t="array" ref="BM68">SUMIFS(BM$9:BM$64,$C$9:$C$64,$C68)-SUM(_xlfn._xlws.FILTER(_xlfn._xlws.FILTER(dataSummaryPL,dataSummaryPLSections=$B68),(startDates&gt;=BM$4)*(endDates&lt;=BM$5)))</f>
        <v>0</v>
      </c>
      <c r="BN68" s="213" cm="1">
        <f t="array" ref="BN68">SUMIFS(BN$9:BN$64,$C$9:$C$64,$C68)-SUM(_xlfn._xlws.FILTER(_xlfn._xlws.FILTER(dataSummaryPL,dataSummaryPLSections=$B68),(startDates&gt;=BN$4)*(endDates&lt;=BN$5)))</f>
        <v>0</v>
      </c>
      <c r="BO68" s="213" cm="1">
        <f t="array" ref="BO68">SUMIFS(BO$9:BO$64,$C$9:$C$64,$C68)-SUM(_xlfn._xlws.FILTER(_xlfn._xlws.FILTER(dataSummaryPL,dataSummaryPLSections=$B68),(startDates&gt;=BO$4)*(endDates&lt;=BO$5)))</f>
        <v>0</v>
      </c>
      <c r="BP68" s="213" cm="1">
        <f t="array" ref="BP68">SUMIFS(BP$9:BP$64,$C$9:$C$64,$C68)-SUM(_xlfn._xlws.FILTER(_xlfn._xlws.FILTER(dataSummaryPL,dataSummaryPLSections=$B68),(startDates&gt;=BP$4)*(endDates&lt;=BP$5)))</f>
        <v>0</v>
      </c>
      <c r="BQ68" s="213" cm="1">
        <f t="array" ref="BQ68">SUMIFS(BQ$9:BQ$64,$C$9:$C$64,$C68)-SUM(_xlfn._xlws.FILTER(_xlfn._xlws.FILTER(dataSummaryPL,dataSummaryPLSections=$B68),(startDates&gt;=BQ$4)*(endDates&lt;=BQ$5)))</f>
        <v>0</v>
      </c>
      <c r="BR68" s="213" cm="1">
        <f t="array" ref="BR68">SUMIFS(BR$9:BR$64,$C$9:$C$64,$C68)-SUM(_xlfn._xlws.FILTER(_xlfn._xlws.FILTER(dataSummaryPL,dataSummaryPLSections=$B68),(startDates&gt;=BR$4)*(endDates&lt;=BR$5)))</f>
        <v>0</v>
      </c>
      <c r="BS68" s="213" cm="1">
        <f t="array" ref="BS68">SUMIFS(BS$9:BS$64,$C$9:$C$64,$C68)-SUM(_xlfn._xlws.FILTER(_xlfn._xlws.FILTER(dataSummaryPL,dataSummaryPLSections=$B68),(startDates&gt;=BS$4)*(endDates&lt;=BS$5)))</f>
        <v>0</v>
      </c>
      <c r="BT68" s="213" cm="1">
        <f t="array" ref="BT68">SUMIFS(BT$9:BT$64,$C$9:$C$64,$C68)-SUM(_xlfn._xlws.FILTER(_xlfn._xlws.FILTER(dataSummaryPL,dataSummaryPLSections=$B68),(startDates&gt;=BT$4)*(endDates&lt;=BT$5)))</f>
        <v>0</v>
      </c>
      <c r="BU68" s="213" cm="1">
        <f t="array" ref="BU68">SUMIFS(BU$9:BU$64,$C$9:$C$64,$C68)-SUM(_xlfn._xlws.FILTER(_xlfn._xlws.FILTER(dataSummaryPL,dataSummaryPLSections=$B68),(startDates&gt;=BU$4)*(endDates&lt;=BU$5)))</f>
        <v>0</v>
      </c>
      <c r="BV68" s="213" cm="1">
        <f t="array" ref="BV68">SUMIFS(BV$9:BV$64,$C$9:$C$64,$C68)-SUM(_xlfn._xlws.FILTER(_xlfn._xlws.FILTER(dataSummaryPL,dataSummaryPLSections=$B68),(startDates&gt;=BV$4)*(endDates&lt;=BV$5)))</f>
        <v>0</v>
      </c>
      <c r="BW68" s="213" cm="1">
        <f t="array" ref="BW68">SUMIFS(BW$9:BW$64,$C$9:$C$64,$C68)-SUM(_xlfn._xlws.FILTER(_xlfn._xlws.FILTER(dataSummaryPL,dataSummaryPLSections=$B68),(startDates&gt;=BW$4)*(endDates&lt;=BW$5)))</f>
        <v>0</v>
      </c>
      <c r="BX68" s="213" cm="1">
        <f t="array" ref="BX68">SUMIFS(BX$9:BX$64,$C$9:$C$64,$C68)-SUM(_xlfn._xlws.FILTER(_xlfn._xlws.FILTER(dataSummaryPL,dataSummaryPLSections=$B68),(startDates&gt;=BX$4)*(endDates&lt;=BX$5)))</f>
        <v>0</v>
      </c>
      <c r="BY68" s="213" cm="1">
        <f t="array" ref="BY68">SUMIFS(BY$9:BY$64,$C$9:$C$64,$C68)-SUM(_xlfn._xlws.FILTER(_xlfn._xlws.FILTER(dataSummaryPL,dataSummaryPLSections=$B68),(startDates&gt;=BY$4)*(endDates&lt;=BY$5)))</f>
        <v>0</v>
      </c>
    </row>
    <row r="69" spans="1:77" s="205" customFormat="1" ht="21" hidden="1" customHeight="1" outlineLevel="2">
      <c r="A69" s="212"/>
      <c r="B69" s="211" t="s">
        <v>131</v>
      </c>
      <c r="C69" s="210" t="s">
        <v>271</v>
      </c>
      <c r="D69" s="208"/>
      <c r="E69" s="209"/>
      <c r="F69" s="213" cm="1">
        <f t="array" ref="F69">SUMIFS(F$9:F$64,$C$9:$C$64,$C69)-SUM(_xlfn._xlws.FILTER(_xlfn._xlws.FILTER(dataSummaryPL,dataSummaryPLSections=$B69),(startDates&gt;=F$4)*(endDates&lt;=F$5)))</f>
        <v>0</v>
      </c>
      <c r="G69" s="213" cm="1">
        <f t="array" ref="G69">SUMIFS(G$9:G$64,$C$9:$C$64,$C69)-SUM(_xlfn._xlws.FILTER(_xlfn._xlws.FILTER(dataSummaryPL,dataSummaryPLSections=$B69),(startDates&gt;=G$4)*(endDates&lt;=G$5)))</f>
        <v>0</v>
      </c>
      <c r="H69" s="213" cm="1">
        <f t="array" ref="H69">SUMIFS(H$9:H$64,$C$9:$C$64,$C69)-SUM(_xlfn._xlws.FILTER(_xlfn._xlws.FILTER(dataSummaryPL,dataSummaryPLSections=$B69),(startDates&gt;=H$4)*(endDates&lt;=H$5)))</f>
        <v>0</v>
      </c>
      <c r="I69" s="213" cm="1">
        <f t="array" ref="I69">SUMIFS(I$9:I$64,$C$9:$C$64,$C69)-SUM(_xlfn._xlws.FILTER(_xlfn._xlws.FILTER(dataSummaryPL,dataSummaryPLSections=$B69),(startDates&gt;=I$4)*(endDates&lt;=I$5)))</f>
        <v>0</v>
      </c>
      <c r="J69" s="207"/>
      <c r="K69" s="207"/>
      <c r="L69" s="213" cm="1">
        <f t="array" ref="L69">SUMIFS(L$9:L$64,$C$9:$C$64,$C69)-SUM(_xlfn._xlws.FILTER(_xlfn._xlws.FILTER(dataSummaryPL,dataSummaryPLSections=$B69),(startDates&gt;=L$4)*(endDates&lt;=L$5)))</f>
        <v>0</v>
      </c>
      <c r="M69" s="213" cm="1">
        <f t="array" ref="M69">SUMIFS(M$9:M$64,$C$9:$C$64,$C69)-SUM(_xlfn._xlws.FILTER(_xlfn._xlws.FILTER(dataSummaryPL,dataSummaryPLSections=$B69),(startDates&gt;=M$4)*(endDates&lt;=M$5)))</f>
        <v>0</v>
      </c>
      <c r="N69" s="213" cm="1">
        <f t="array" ref="N69">SUMIFS(N$9:N$64,$C$9:$C$64,$C69)-SUM(_xlfn._xlws.FILTER(_xlfn._xlws.FILTER(dataSummaryPL,dataSummaryPLSections=$B69),(startDates&gt;=N$4)*(endDates&lt;=N$5)))</f>
        <v>0</v>
      </c>
      <c r="O69" s="213" cm="1">
        <f t="array" ref="O69">SUMIFS(O$9:O$64,$C$9:$C$64,$C69)-SUM(_xlfn._xlws.FILTER(_xlfn._xlws.FILTER(dataSummaryPL,dataSummaryPLSections=$B69),(startDates&gt;=O$4)*(endDates&lt;=O$5)))</f>
        <v>0</v>
      </c>
      <c r="P69" s="213" cm="1">
        <f t="array" ref="P69">SUMIFS(P$9:P$64,$C$9:$C$64,$C69)-SUM(_xlfn._xlws.FILTER(_xlfn._xlws.FILTER(dataSummaryPL,dataSummaryPLSections=$B69),(startDates&gt;=P$4)*(endDates&lt;=P$5)))</f>
        <v>0</v>
      </c>
      <c r="Q69" s="213" cm="1">
        <f t="array" ref="Q69">SUMIFS(Q$9:Q$64,$C$9:$C$64,$C69)-SUM(_xlfn._xlws.FILTER(_xlfn._xlws.FILTER(dataSummaryPL,dataSummaryPLSections=$B69),(startDates&gt;=Q$4)*(endDates&lt;=Q$5)))</f>
        <v>0</v>
      </c>
      <c r="R69" s="213" cm="1">
        <f t="array" ref="R69">SUMIFS(R$9:R$64,$C$9:$C$64,$C69)-SUM(_xlfn._xlws.FILTER(_xlfn._xlws.FILTER(dataSummaryPL,dataSummaryPLSections=$B69),(startDates&gt;=R$4)*(endDates&lt;=R$5)))</f>
        <v>0</v>
      </c>
      <c r="S69" s="213" cm="1">
        <f t="array" ref="S69">SUMIFS(S$9:S$64,$C$9:$C$64,$C69)-SUM(_xlfn._xlws.FILTER(_xlfn._xlws.FILTER(dataSummaryPL,dataSummaryPLSections=$B69),(startDates&gt;=S$4)*(endDates&lt;=S$5)))</f>
        <v>0</v>
      </c>
      <c r="T69" s="213" cm="1">
        <f t="array" ref="T69">SUMIFS(T$9:T$64,$C$9:$C$64,$C69)-SUM(_xlfn._xlws.FILTER(_xlfn._xlws.FILTER(dataSummaryPL,dataSummaryPLSections=$B69),(startDates&gt;=T$4)*(endDates&lt;=T$5)))</f>
        <v>0</v>
      </c>
      <c r="U69" s="213" cm="1">
        <f t="array" ref="U69">SUMIFS(U$9:U$64,$C$9:$C$64,$C69)-SUM(_xlfn._xlws.FILTER(_xlfn._xlws.FILTER(dataSummaryPL,dataSummaryPLSections=$B69),(startDates&gt;=U$4)*(endDates&lt;=U$5)))</f>
        <v>0</v>
      </c>
      <c r="V69" s="213" cm="1">
        <f t="array" ref="V69">SUMIFS(V$9:V$64,$C$9:$C$64,$C69)-SUM(_xlfn._xlws.FILTER(_xlfn._xlws.FILTER(dataSummaryPL,dataSummaryPLSections=$B69),(startDates&gt;=V$4)*(endDates&lt;=V$5)))</f>
        <v>0</v>
      </c>
      <c r="W69" s="213" cm="1">
        <f t="array" ref="W69">SUMIFS(W$9:W$64,$C$9:$C$64,$C69)-SUM(_xlfn._xlws.FILTER(_xlfn._xlws.FILTER(dataSummaryPL,dataSummaryPLSections=$B69),(startDates&gt;=W$4)*(endDates&lt;=W$5)))</f>
        <v>0</v>
      </c>
      <c r="X69" s="213" cm="1">
        <f t="array" ref="X69">SUMIFS(X$9:X$64,$C$9:$C$64,$C69)-SUM(_xlfn._xlws.FILTER(_xlfn._xlws.FILTER(dataSummaryPL,dataSummaryPLSections=$B69),(startDates&gt;=X$4)*(endDates&lt;=X$5)))</f>
        <v>0</v>
      </c>
      <c r="Y69" s="213" cm="1">
        <f t="array" ref="Y69">SUMIFS(Y$9:Y$64,$C$9:$C$64,$C69)-SUM(_xlfn._xlws.FILTER(_xlfn._xlws.FILTER(dataSummaryPL,dataSummaryPLSections=$B69),(startDates&gt;=Y$4)*(endDates&lt;=Y$5)))</f>
        <v>0</v>
      </c>
      <c r="Z69" s="213" cm="1">
        <f t="array" ref="Z69">SUMIFS(Z$9:Z$64,$C$9:$C$64,$C69)-SUM(_xlfn._xlws.FILTER(_xlfn._xlws.FILTER(dataSummaryPL,dataSummaryPLSections=$B69),(startDates&gt;=Z$4)*(endDates&lt;=Z$5)))</f>
        <v>0</v>
      </c>
      <c r="AA69" s="213" cm="1">
        <f t="array" ref="AA69">SUMIFS(AA$9:AA$64,$C$9:$C$64,$C69)-SUM(_xlfn._xlws.FILTER(_xlfn._xlws.FILTER(dataSummaryPL,dataSummaryPLSections=$B69),(startDates&gt;=AA$4)*(endDates&lt;=AA$5)))</f>
        <v>0</v>
      </c>
      <c r="AB69" s="208"/>
      <c r="AC69" s="207"/>
      <c r="AD69" s="213" cm="1">
        <f t="array" ref="AD69">SUMIFS(AD$9:AD$64,$C$9:$C$64,$C69)-SUM(_xlfn._xlws.FILTER(_xlfn._xlws.FILTER(dataSummaryPL,dataSummaryPLSections=$B69),(startDates&gt;=AD$4)*(endDates&lt;=AD$5)))</f>
        <v>0</v>
      </c>
      <c r="AE69" s="213" cm="1">
        <f t="array" ref="AE69">SUMIFS(AE$9:AE$64,$C$9:$C$64,$C69)-SUM(_xlfn._xlws.FILTER(_xlfn._xlws.FILTER(dataSummaryPL,dataSummaryPLSections=$B69),(startDates&gt;=AE$4)*(endDates&lt;=AE$5)))</f>
        <v>0</v>
      </c>
      <c r="AF69" s="213" cm="1">
        <f t="array" ref="AF69">SUMIFS(AF$9:AF$64,$C$9:$C$64,$C69)-SUM(_xlfn._xlws.FILTER(_xlfn._xlws.FILTER(dataSummaryPL,dataSummaryPLSections=$B69),(startDates&gt;=AF$4)*(endDates&lt;=AF$5)))</f>
        <v>0</v>
      </c>
      <c r="AG69" s="213" cm="1">
        <f t="array" ref="AG69">SUMIFS(AG$9:AG$64,$C$9:$C$64,$C69)-SUM(_xlfn._xlws.FILTER(_xlfn._xlws.FILTER(dataSummaryPL,dataSummaryPLSections=$B69),(startDates&gt;=AG$4)*(endDates&lt;=AG$5)))</f>
        <v>0</v>
      </c>
      <c r="AH69" s="213" cm="1">
        <f t="array" ref="AH69">SUMIFS(AH$9:AH$64,$C$9:$C$64,$C69)-SUM(_xlfn._xlws.FILTER(_xlfn._xlws.FILTER(dataSummaryPL,dataSummaryPLSections=$B69),(startDates&gt;=AH$4)*(endDates&lt;=AH$5)))</f>
        <v>0</v>
      </c>
      <c r="AI69" s="213" cm="1">
        <f t="array" ref="AI69">SUMIFS(AI$9:AI$64,$C$9:$C$64,$C69)-SUM(_xlfn._xlws.FILTER(_xlfn._xlws.FILTER(dataSummaryPL,dataSummaryPLSections=$B69),(startDates&gt;=AI$4)*(endDates&lt;=AI$5)))</f>
        <v>0</v>
      </c>
      <c r="AJ69" s="213" cm="1">
        <f t="array" ref="AJ69">SUMIFS(AJ$9:AJ$64,$C$9:$C$64,$C69)-SUM(_xlfn._xlws.FILTER(_xlfn._xlws.FILTER(dataSummaryPL,dataSummaryPLSections=$B69),(startDates&gt;=AJ$4)*(endDates&lt;=AJ$5)))</f>
        <v>0</v>
      </c>
      <c r="AK69" s="213" cm="1">
        <f t="array" ref="AK69">SUMIFS(AK$9:AK$64,$C$9:$C$64,$C69)-SUM(_xlfn._xlws.FILTER(_xlfn._xlws.FILTER(dataSummaryPL,dataSummaryPLSections=$B69),(startDates&gt;=AK$4)*(endDates&lt;=AK$5)))</f>
        <v>0</v>
      </c>
      <c r="AL69" s="213" cm="1">
        <f t="array" ref="AL69">SUMIFS(AL$9:AL$64,$C$9:$C$64,$C69)-SUM(_xlfn._xlws.FILTER(_xlfn._xlws.FILTER(dataSummaryPL,dataSummaryPLSections=$B69),(startDates&gt;=AL$4)*(endDates&lt;=AL$5)))</f>
        <v>0</v>
      </c>
      <c r="AM69" s="213" cm="1">
        <f t="array" ref="AM69">SUMIFS(AM$9:AM$64,$C$9:$C$64,$C69)-SUM(_xlfn._xlws.FILTER(_xlfn._xlws.FILTER(dataSummaryPL,dataSummaryPLSections=$B69),(startDates&gt;=AM$4)*(endDates&lt;=AM$5)))</f>
        <v>0</v>
      </c>
      <c r="AN69" s="213" cm="1">
        <f t="array" ref="AN69">SUMIFS(AN$9:AN$64,$C$9:$C$64,$C69)-SUM(_xlfn._xlws.FILTER(_xlfn._xlws.FILTER(dataSummaryPL,dataSummaryPLSections=$B69),(startDates&gt;=AN$4)*(endDates&lt;=AN$5)))</f>
        <v>0</v>
      </c>
      <c r="AO69" s="213" cm="1">
        <f t="array" ref="AO69">SUMIFS(AO$9:AO$64,$C$9:$C$64,$C69)-SUM(_xlfn._xlws.FILTER(_xlfn._xlws.FILTER(dataSummaryPL,dataSummaryPLSections=$B69),(startDates&gt;=AO$4)*(endDates&lt;=AO$5)))</f>
        <v>0</v>
      </c>
      <c r="AP69" s="213" cm="1">
        <f t="array" ref="AP69">SUMIFS(AP$9:AP$64,$C$9:$C$64,$C69)-SUM(_xlfn._xlws.FILTER(_xlfn._xlws.FILTER(dataSummaryPL,dataSummaryPLSections=$B69),(startDates&gt;=AP$4)*(endDates&lt;=AP$5)))</f>
        <v>0</v>
      </c>
      <c r="AQ69" s="213" cm="1">
        <f t="array" ref="AQ69">SUMIFS(AQ$9:AQ$64,$C$9:$C$64,$C69)-SUM(_xlfn._xlws.FILTER(_xlfn._xlws.FILTER(dataSummaryPL,dataSummaryPLSections=$B69),(startDates&gt;=AQ$4)*(endDates&lt;=AQ$5)))</f>
        <v>0</v>
      </c>
      <c r="AR69" s="213" cm="1">
        <f t="array" ref="AR69">SUMIFS(AR$9:AR$64,$C$9:$C$64,$C69)-SUM(_xlfn._xlws.FILTER(_xlfn._xlws.FILTER(dataSummaryPL,dataSummaryPLSections=$B69),(startDates&gt;=AR$4)*(endDates&lt;=AR$5)))</f>
        <v>0</v>
      </c>
      <c r="AS69" s="213" cm="1">
        <f t="array" ref="AS69">SUMIFS(AS$9:AS$64,$C$9:$C$64,$C69)-SUM(_xlfn._xlws.FILTER(_xlfn._xlws.FILTER(dataSummaryPL,dataSummaryPLSections=$B69),(startDates&gt;=AS$4)*(endDates&lt;=AS$5)))</f>
        <v>0</v>
      </c>
      <c r="AT69" s="213" cm="1">
        <f t="array" ref="AT69">SUMIFS(AT$9:AT$64,$C$9:$C$64,$C69)-SUM(_xlfn._xlws.FILTER(_xlfn._xlws.FILTER(dataSummaryPL,dataSummaryPLSections=$B69),(startDates&gt;=AT$4)*(endDates&lt;=AT$5)))</f>
        <v>0</v>
      </c>
      <c r="AU69" s="213" cm="1">
        <f t="array" ref="AU69">SUMIFS(AU$9:AU$64,$C$9:$C$64,$C69)-SUM(_xlfn._xlws.FILTER(_xlfn._xlws.FILTER(dataSummaryPL,dataSummaryPLSections=$B69),(startDates&gt;=AU$4)*(endDates&lt;=AU$5)))</f>
        <v>0</v>
      </c>
      <c r="AV69" s="213" cm="1">
        <f t="array" ref="AV69">SUMIFS(AV$9:AV$64,$C$9:$C$64,$C69)-SUM(_xlfn._xlws.FILTER(_xlfn._xlws.FILTER(dataSummaryPL,dataSummaryPLSections=$B69),(startDates&gt;=AV$4)*(endDates&lt;=AV$5)))</f>
        <v>0</v>
      </c>
      <c r="AW69" s="213" cm="1">
        <f t="array" ref="AW69">SUMIFS(AW$9:AW$64,$C$9:$C$64,$C69)-SUM(_xlfn._xlws.FILTER(_xlfn._xlws.FILTER(dataSummaryPL,dataSummaryPLSections=$B69),(startDates&gt;=AW$4)*(endDates&lt;=AW$5)))</f>
        <v>0</v>
      </c>
      <c r="AX69" s="213" cm="1">
        <f t="array" ref="AX69">SUMIFS(AX$9:AX$64,$C$9:$C$64,$C69)-SUM(_xlfn._xlws.FILTER(_xlfn._xlws.FILTER(dataSummaryPL,dataSummaryPLSections=$B69),(startDates&gt;=AX$4)*(endDates&lt;=AX$5)))</f>
        <v>0</v>
      </c>
      <c r="AY69" s="213" cm="1">
        <f t="array" ref="AY69">SUMIFS(AY$9:AY$64,$C$9:$C$64,$C69)-SUM(_xlfn._xlws.FILTER(_xlfn._xlws.FILTER(dataSummaryPL,dataSummaryPLSections=$B69),(startDates&gt;=AY$4)*(endDates&lt;=AY$5)))</f>
        <v>0</v>
      </c>
      <c r="AZ69" s="213" cm="1">
        <f t="array" ref="AZ69">SUMIFS(AZ$9:AZ$64,$C$9:$C$64,$C69)-SUM(_xlfn._xlws.FILTER(_xlfn._xlws.FILTER(dataSummaryPL,dataSummaryPLSections=$B69),(startDates&gt;=AZ$4)*(endDates&lt;=AZ$5)))</f>
        <v>0</v>
      </c>
      <c r="BA69" s="213" cm="1">
        <f t="array" ref="BA69">SUMIFS(BA$9:BA$64,$C$9:$C$64,$C69)-SUM(_xlfn._xlws.FILTER(_xlfn._xlws.FILTER(dataSummaryPL,dataSummaryPLSections=$B69),(startDates&gt;=BA$4)*(endDates&lt;=BA$5)))</f>
        <v>0</v>
      </c>
      <c r="BB69" s="213" cm="1">
        <f t="array" ref="BB69">SUMIFS(BB$9:BB$64,$C$9:$C$64,$C69)-SUM(_xlfn._xlws.FILTER(_xlfn._xlws.FILTER(dataSummaryPL,dataSummaryPLSections=$B69),(startDates&gt;=BB$4)*(endDates&lt;=BB$5)))</f>
        <v>0</v>
      </c>
      <c r="BC69" s="213" cm="1">
        <f t="array" ref="BC69">SUMIFS(BC$9:BC$64,$C$9:$C$64,$C69)-SUM(_xlfn._xlws.FILTER(_xlfn._xlws.FILTER(dataSummaryPL,dataSummaryPLSections=$B69),(startDates&gt;=BC$4)*(endDates&lt;=BC$5)))</f>
        <v>0</v>
      </c>
      <c r="BD69" s="213" cm="1">
        <f t="array" ref="BD69">SUMIFS(BD$9:BD$64,$C$9:$C$64,$C69)-SUM(_xlfn._xlws.FILTER(_xlfn._xlws.FILTER(dataSummaryPL,dataSummaryPLSections=$B69),(startDates&gt;=BD$4)*(endDates&lt;=BD$5)))</f>
        <v>0</v>
      </c>
      <c r="BE69" s="213" cm="1">
        <f t="array" ref="BE69">SUMIFS(BE$9:BE$64,$C$9:$C$64,$C69)-SUM(_xlfn._xlws.FILTER(_xlfn._xlws.FILTER(dataSummaryPL,dataSummaryPLSections=$B69),(startDates&gt;=BE$4)*(endDates&lt;=BE$5)))</f>
        <v>0</v>
      </c>
      <c r="BF69" s="213" cm="1">
        <f t="array" ref="BF69">SUMIFS(BF$9:BF$64,$C$9:$C$64,$C69)-SUM(_xlfn._xlws.FILTER(_xlfn._xlws.FILTER(dataSummaryPL,dataSummaryPLSections=$B69),(startDates&gt;=BF$4)*(endDates&lt;=BF$5)))</f>
        <v>0</v>
      </c>
      <c r="BG69" s="213" cm="1">
        <f t="array" ref="BG69">SUMIFS(BG$9:BG$64,$C$9:$C$64,$C69)-SUM(_xlfn._xlws.FILTER(_xlfn._xlws.FILTER(dataSummaryPL,dataSummaryPLSections=$B69),(startDates&gt;=BG$4)*(endDates&lt;=BG$5)))</f>
        <v>0</v>
      </c>
      <c r="BH69" s="213" cm="1">
        <f t="array" ref="BH69">SUMIFS(BH$9:BH$64,$C$9:$C$64,$C69)-SUM(_xlfn._xlws.FILTER(_xlfn._xlws.FILTER(dataSummaryPL,dataSummaryPLSections=$B69),(startDates&gt;=BH$4)*(endDates&lt;=BH$5)))</f>
        <v>0</v>
      </c>
      <c r="BI69" s="213" cm="1">
        <f t="array" ref="BI69">SUMIFS(BI$9:BI$64,$C$9:$C$64,$C69)-SUM(_xlfn._xlws.FILTER(_xlfn._xlws.FILTER(dataSummaryPL,dataSummaryPLSections=$B69),(startDates&gt;=BI$4)*(endDates&lt;=BI$5)))</f>
        <v>0</v>
      </c>
      <c r="BJ69" s="213" cm="1">
        <f t="array" ref="BJ69">SUMIFS(BJ$9:BJ$64,$C$9:$C$64,$C69)-SUM(_xlfn._xlws.FILTER(_xlfn._xlws.FILTER(dataSummaryPL,dataSummaryPLSections=$B69),(startDates&gt;=BJ$4)*(endDates&lt;=BJ$5)))</f>
        <v>0</v>
      </c>
      <c r="BK69" s="213" cm="1">
        <f t="array" ref="BK69">SUMIFS(BK$9:BK$64,$C$9:$C$64,$C69)-SUM(_xlfn._xlws.FILTER(_xlfn._xlws.FILTER(dataSummaryPL,dataSummaryPLSections=$B69),(startDates&gt;=BK$4)*(endDates&lt;=BK$5)))</f>
        <v>0</v>
      </c>
      <c r="BL69" s="213" cm="1">
        <f t="array" ref="BL69">SUMIFS(BL$9:BL$64,$C$9:$C$64,$C69)-SUM(_xlfn._xlws.FILTER(_xlfn._xlws.FILTER(dataSummaryPL,dataSummaryPLSections=$B69),(startDates&gt;=BL$4)*(endDates&lt;=BL$5)))</f>
        <v>0</v>
      </c>
      <c r="BM69" s="213" cm="1">
        <f t="array" ref="BM69">SUMIFS(BM$9:BM$64,$C$9:$C$64,$C69)-SUM(_xlfn._xlws.FILTER(_xlfn._xlws.FILTER(dataSummaryPL,dataSummaryPLSections=$B69),(startDates&gt;=BM$4)*(endDates&lt;=BM$5)))</f>
        <v>0</v>
      </c>
      <c r="BN69" s="213" cm="1">
        <f t="array" ref="BN69">SUMIFS(BN$9:BN$64,$C$9:$C$64,$C69)-SUM(_xlfn._xlws.FILTER(_xlfn._xlws.FILTER(dataSummaryPL,dataSummaryPLSections=$B69),(startDates&gt;=BN$4)*(endDates&lt;=BN$5)))</f>
        <v>0</v>
      </c>
      <c r="BO69" s="213" cm="1">
        <f t="array" ref="BO69">SUMIFS(BO$9:BO$64,$C$9:$C$64,$C69)-SUM(_xlfn._xlws.FILTER(_xlfn._xlws.FILTER(dataSummaryPL,dataSummaryPLSections=$B69),(startDates&gt;=BO$4)*(endDates&lt;=BO$5)))</f>
        <v>0</v>
      </c>
      <c r="BP69" s="213" cm="1">
        <f t="array" ref="BP69">SUMIFS(BP$9:BP$64,$C$9:$C$64,$C69)-SUM(_xlfn._xlws.FILTER(_xlfn._xlws.FILTER(dataSummaryPL,dataSummaryPLSections=$B69),(startDates&gt;=BP$4)*(endDates&lt;=BP$5)))</f>
        <v>0</v>
      </c>
      <c r="BQ69" s="213" cm="1">
        <f t="array" ref="BQ69">SUMIFS(BQ$9:BQ$64,$C$9:$C$64,$C69)-SUM(_xlfn._xlws.FILTER(_xlfn._xlws.FILTER(dataSummaryPL,dataSummaryPLSections=$B69),(startDates&gt;=BQ$4)*(endDates&lt;=BQ$5)))</f>
        <v>0</v>
      </c>
      <c r="BR69" s="213" cm="1">
        <f t="array" ref="BR69">SUMIFS(BR$9:BR$64,$C$9:$C$64,$C69)-SUM(_xlfn._xlws.FILTER(_xlfn._xlws.FILTER(dataSummaryPL,dataSummaryPLSections=$B69),(startDates&gt;=BR$4)*(endDates&lt;=BR$5)))</f>
        <v>0</v>
      </c>
      <c r="BS69" s="213" cm="1">
        <f t="array" ref="BS69">SUMIFS(BS$9:BS$64,$C$9:$C$64,$C69)-SUM(_xlfn._xlws.FILTER(_xlfn._xlws.FILTER(dataSummaryPL,dataSummaryPLSections=$B69),(startDates&gt;=BS$4)*(endDates&lt;=BS$5)))</f>
        <v>0</v>
      </c>
      <c r="BT69" s="213" cm="1">
        <f t="array" ref="BT69">SUMIFS(BT$9:BT$64,$C$9:$C$64,$C69)-SUM(_xlfn._xlws.FILTER(_xlfn._xlws.FILTER(dataSummaryPL,dataSummaryPLSections=$B69),(startDates&gt;=BT$4)*(endDates&lt;=BT$5)))</f>
        <v>0</v>
      </c>
      <c r="BU69" s="213" cm="1">
        <f t="array" ref="BU69">SUMIFS(BU$9:BU$64,$C$9:$C$64,$C69)-SUM(_xlfn._xlws.FILTER(_xlfn._xlws.FILTER(dataSummaryPL,dataSummaryPLSections=$B69),(startDates&gt;=BU$4)*(endDates&lt;=BU$5)))</f>
        <v>0</v>
      </c>
      <c r="BV69" s="213" cm="1">
        <f t="array" ref="BV69">SUMIFS(BV$9:BV$64,$C$9:$C$64,$C69)-SUM(_xlfn._xlws.FILTER(_xlfn._xlws.FILTER(dataSummaryPL,dataSummaryPLSections=$B69),(startDates&gt;=BV$4)*(endDates&lt;=BV$5)))</f>
        <v>0</v>
      </c>
      <c r="BW69" s="213" cm="1">
        <f t="array" ref="BW69">SUMIFS(BW$9:BW$64,$C$9:$C$64,$C69)-SUM(_xlfn._xlws.FILTER(_xlfn._xlws.FILTER(dataSummaryPL,dataSummaryPLSections=$B69),(startDates&gt;=BW$4)*(endDates&lt;=BW$5)))</f>
        <v>0</v>
      </c>
      <c r="BX69" s="213" cm="1">
        <f t="array" ref="BX69">SUMIFS(BX$9:BX$64,$C$9:$C$64,$C69)-SUM(_xlfn._xlws.FILTER(_xlfn._xlws.FILTER(dataSummaryPL,dataSummaryPLSections=$B69),(startDates&gt;=BX$4)*(endDates&lt;=BX$5)))</f>
        <v>0</v>
      </c>
      <c r="BY69" s="213" cm="1">
        <f t="array" ref="BY69">SUMIFS(BY$9:BY$64,$C$9:$C$64,$C69)-SUM(_xlfn._xlws.FILTER(_xlfn._xlws.FILTER(dataSummaryPL,dataSummaryPLSections=$B69),(startDates&gt;=BY$4)*(endDates&lt;=BY$5)))</f>
        <v>0</v>
      </c>
    </row>
    <row r="70" spans="1:77" s="205" customFormat="1" ht="21" hidden="1" customHeight="1" outlineLevel="2">
      <c r="A70" s="212"/>
      <c r="B70" s="211" t="s">
        <v>102</v>
      </c>
      <c r="C70" s="210" t="s">
        <v>102</v>
      </c>
      <c r="D70" s="208"/>
      <c r="E70" s="209"/>
      <c r="F70" s="206" cm="1">
        <f t="array" ref="F70">SUMIFS(F$9:F$64,$C$9:$C$64,$C70)-(SUM(_xlfn._xlws.FILTER(_xlfn._xlws.FILTER(dataGLPL,ISNUMBER(MATCH(dataGLPLSections,{"Revenue","Other Income"},0))),(startDates&gt;=F$4)*(endDates&lt;=F$5)))-SUM(_xlfn._xlws.FILTER(_xlfn._xlws.FILTER(dataGLPL,ISNUMBER(MATCH(dataGLPLSections,{"COGS","Opex","Other Expenses"},0))),(startDates&gt;=F$4)*(endDates&lt;=F$5))))</f>
        <v>0</v>
      </c>
      <c r="G70" s="206" cm="1">
        <f t="array" ref="G70">SUMIFS(G$9:G$64,$C$9:$C$64,$C70)-(SUM(_xlfn._xlws.FILTER(_xlfn._xlws.FILTER(dataGLPL,ISNUMBER(MATCH(dataGLPLSections,{"Revenue","Other Income"},0))),(startDates&gt;=G$4)*(endDates&lt;=G$5)))-SUM(_xlfn._xlws.FILTER(_xlfn._xlws.FILTER(dataGLPL,ISNUMBER(MATCH(dataGLPLSections,{"COGS","Opex","Other Expenses"},0))),(startDates&gt;=G$4)*(endDates&lt;=G$5))))</f>
        <v>0</v>
      </c>
      <c r="H70" s="206" cm="1">
        <f t="array" ref="H70">SUMIFS(H$9:H$64,$C$9:$C$64,$C70)-(SUM(_xlfn._xlws.FILTER(_xlfn._xlws.FILTER(dataGLPL,ISNUMBER(MATCH(dataGLPLSections,{"Revenue","Other Income"},0))),(startDates&gt;=H$4)*(endDates&lt;=H$5)))-SUM(_xlfn._xlws.FILTER(_xlfn._xlws.FILTER(dataGLPL,ISNUMBER(MATCH(dataGLPLSections,{"COGS","Opex","Other Expenses"},0))),(startDates&gt;=H$4)*(endDates&lt;=H$5))))</f>
        <v>0</v>
      </c>
      <c r="I70" s="206" cm="1">
        <f t="array" ref="I70">SUMIFS(I$9:I$64,$C$9:$C$64,$C70)-(SUM(_xlfn._xlws.FILTER(_xlfn._xlws.FILTER(dataGLPL,ISNUMBER(MATCH(dataGLPLSections,{"Revenue","Other Income"},0))),(startDates&gt;=I$4)*(endDates&lt;=I$5)))-SUM(_xlfn._xlws.FILTER(_xlfn._xlws.FILTER(dataGLPL,ISNUMBER(MATCH(dataGLPLSections,{"COGS","Opex","Other Expenses"},0))),(startDates&gt;=I$4)*(endDates&lt;=I$5))))</f>
        <v>0</v>
      </c>
      <c r="J70" s="208"/>
      <c r="K70" s="209"/>
      <c r="L70" s="206" cm="1">
        <f t="array" ref="L70">SUMIFS(L$9:L$64,$C$9:$C$64,$C70)-(SUM(_xlfn._xlws.FILTER(_xlfn._xlws.FILTER(dataGLPL,ISNUMBER(MATCH(dataGLPLSections,{"Revenue","Other Income"},0))),(startDates&gt;=L$4)*(endDates&lt;=L$5)))-SUM(_xlfn._xlws.FILTER(_xlfn._xlws.FILTER(dataGLPL,ISNUMBER(MATCH(dataGLPLSections,{"COGS","Opex","Other Expenses"},0))),(startDates&gt;=L$4)*(endDates&lt;=L$5))))</f>
        <v>0</v>
      </c>
      <c r="M70" s="206" cm="1">
        <f t="array" ref="M70">SUMIFS(M$9:M$64,$C$9:$C$64,$C70)-(SUM(_xlfn._xlws.FILTER(_xlfn._xlws.FILTER(dataGLPL,ISNUMBER(MATCH(dataGLPLSections,{"Revenue","Other Income"},0))),(startDates&gt;=M$4)*(endDates&lt;=M$5)))-SUM(_xlfn._xlws.FILTER(_xlfn._xlws.FILTER(dataGLPL,ISNUMBER(MATCH(dataGLPLSections,{"COGS","Opex","Other Expenses"},0))),(startDates&gt;=M$4)*(endDates&lt;=M$5))))</f>
        <v>0</v>
      </c>
      <c r="N70" s="206" cm="1">
        <f t="array" ref="N70">SUMIFS(N$9:N$64,$C$9:$C$64,$C70)-(SUM(_xlfn._xlws.FILTER(_xlfn._xlws.FILTER(dataGLPL,ISNUMBER(MATCH(dataGLPLSections,{"Revenue","Other Income"},0))),(startDates&gt;=N$4)*(endDates&lt;=N$5)))-SUM(_xlfn._xlws.FILTER(_xlfn._xlws.FILTER(dataGLPL,ISNUMBER(MATCH(dataGLPLSections,{"COGS","Opex","Other Expenses"},0))),(startDates&gt;=N$4)*(endDates&lt;=N$5))))</f>
        <v>0</v>
      </c>
      <c r="O70" s="206" cm="1">
        <f t="array" ref="O70">SUMIFS(O$9:O$64,$C$9:$C$64,$C70)-(SUM(_xlfn._xlws.FILTER(_xlfn._xlws.FILTER(dataGLPL,ISNUMBER(MATCH(dataGLPLSections,{"Revenue","Other Income"},0))),(startDates&gt;=O$4)*(endDates&lt;=O$5)))-SUM(_xlfn._xlws.FILTER(_xlfn._xlws.FILTER(dataGLPL,ISNUMBER(MATCH(dataGLPLSections,{"COGS","Opex","Other Expenses"},0))),(startDates&gt;=O$4)*(endDates&lt;=O$5))))</f>
        <v>0</v>
      </c>
      <c r="P70" s="206" cm="1">
        <f t="array" ref="P70">SUMIFS(P$9:P$64,$C$9:$C$64,$C70)-(SUM(_xlfn._xlws.FILTER(_xlfn._xlws.FILTER(dataGLPL,ISNUMBER(MATCH(dataGLPLSections,{"Revenue","Other Income"},0))),(startDates&gt;=P$4)*(endDates&lt;=P$5)))-SUM(_xlfn._xlws.FILTER(_xlfn._xlws.FILTER(dataGLPL,ISNUMBER(MATCH(dataGLPLSections,{"COGS","Opex","Other Expenses"},0))),(startDates&gt;=P$4)*(endDates&lt;=P$5))))</f>
        <v>0</v>
      </c>
      <c r="Q70" s="206" cm="1">
        <f t="array" ref="Q70">SUMIFS(Q$9:Q$64,$C$9:$C$64,$C70)-(SUM(_xlfn._xlws.FILTER(_xlfn._xlws.FILTER(dataGLPL,ISNUMBER(MATCH(dataGLPLSections,{"Revenue","Other Income"},0))),(startDates&gt;=Q$4)*(endDates&lt;=Q$5)))-SUM(_xlfn._xlws.FILTER(_xlfn._xlws.FILTER(dataGLPL,ISNUMBER(MATCH(dataGLPLSections,{"COGS","Opex","Other Expenses"},0))),(startDates&gt;=Q$4)*(endDates&lt;=Q$5))))</f>
        <v>0</v>
      </c>
      <c r="R70" s="206" cm="1">
        <f t="array" ref="R70">SUMIFS(R$9:R$64,$C$9:$C$64,$C70)-(SUM(_xlfn._xlws.FILTER(_xlfn._xlws.FILTER(dataGLPL,ISNUMBER(MATCH(dataGLPLSections,{"Revenue","Other Income"},0))),(startDates&gt;=R$4)*(endDates&lt;=R$5)))-SUM(_xlfn._xlws.FILTER(_xlfn._xlws.FILTER(dataGLPL,ISNUMBER(MATCH(dataGLPLSections,{"COGS","Opex","Other Expenses"},0))),(startDates&gt;=R$4)*(endDates&lt;=R$5))))</f>
        <v>0</v>
      </c>
      <c r="S70" s="206" cm="1">
        <f t="array" ref="S70">SUMIFS(S$9:S$64,$C$9:$C$64,$C70)-(SUM(_xlfn._xlws.FILTER(_xlfn._xlws.FILTER(dataGLPL,ISNUMBER(MATCH(dataGLPLSections,{"Revenue","Other Income"},0))),(startDates&gt;=S$4)*(endDates&lt;=S$5)))-SUM(_xlfn._xlws.FILTER(_xlfn._xlws.FILTER(dataGLPL,ISNUMBER(MATCH(dataGLPLSections,{"COGS","Opex","Other Expenses"},0))),(startDates&gt;=S$4)*(endDates&lt;=S$5))))</f>
        <v>0</v>
      </c>
      <c r="T70" s="206" cm="1">
        <f t="array" ref="T70">SUMIFS(T$9:T$64,$C$9:$C$64,$C70)-(SUM(_xlfn._xlws.FILTER(_xlfn._xlws.FILTER(dataGLPL,ISNUMBER(MATCH(dataGLPLSections,{"Revenue","Other Income"},0))),(startDates&gt;=T$4)*(endDates&lt;=T$5)))-SUM(_xlfn._xlws.FILTER(_xlfn._xlws.FILTER(dataGLPL,ISNUMBER(MATCH(dataGLPLSections,{"COGS","Opex","Other Expenses"},0))),(startDates&gt;=T$4)*(endDates&lt;=T$5))))</f>
        <v>0</v>
      </c>
      <c r="U70" s="206" cm="1">
        <f t="array" ref="U70">SUMIFS(U$9:U$64,$C$9:$C$64,$C70)-(SUM(_xlfn._xlws.FILTER(_xlfn._xlws.FILTER(dataGLPL,ISNUMBER(MATCH(dataGLPLSections,{"Revenue","Other Income"},0))),(startDates&gt;=U$4)*(endDates&lt;=U$5)))-SUM(_xlfn._xlws.FILTER(_xlfn._xlws.FILTER(dataGLPL,ISNUMBER(MATCH(dataGLPLSections,{"COGS","Opex","Other Expenses"},0))),(startDates&gt;=U$4)*(endDates&lt;=U$5))))</f>
        <v>0</v>
      </c>
      <c r="V70" s="206" cm="1">
        <f t="array" ref="V70">SUMIFS(V$9:V$64,$C$9:$C$64,$C70)-(SUM(_xlfn._xlws.FILTER(_xlfn._xlws.FILTER(dataGLPL,ISNUMBER(MATCH(dataGLPLSections,{"Revenue","Other Income"},0))),(startDates&gt;=V$4)*(endDates&lt;=V$5)))-SUM(_xlfn._xlws.FILTER(_xlfn._xlws.FILTER(dataGLPL,ISNUMBER(MATCH(dataGLPLSections,{"COGS","Opex","Other Expenses"},0))),(startDates&gt;=V$4)*(endDates&lt;=V$5))))</f>
        <v>0</v>
      </c>
      <c r="W70" s="206" cm="1">
        <f t="array" ref="W70">SUMIFS(W$9:W$64,$C$9:$C$64,$C70)-(SUM(_xlfn._xlws.FILTER(_xlfn._xlws.FILTER(dataGLPL,ISNUMBER(MATCH(dataGLPLSections,{"Revenue","Other Income"},0))),(startDates&gt;=W$4)*(endDates&lt;=W$5)))-SUM(_xlfn._xlws.FILTER(_xlfn._xlws.FILTER(dataGLPL,ISNUMBER(MATCH(dataGLPLSections,{"COGS","Opex","Other Expenses"},0))),(startDates&gt;=W$4)*(endDates&lt;=W$5))))</f>
        <v>0</v>
      </c>
      <c r="X70" s="206" cm="1">
        <f t="array" ref="X70">SUMIFS(X$9:X$64,$C$9:$C$64,$C70)-(SUM(_xlfn._xlws.FILTER(_xlfn._xlws.FILTER(dataGLPL,ISNUMBER(MATCH(dataGLPLSections,{"Revenue","Other Income"},0))),(startDates&gt;=X$4)*(endDates&lt;=X$5)))-SUM(_xlfn._xlws.FILTER(_xlfn._xlws.FILTER(dataGLPL,ISNUMBER(MATCH(dataGLPLSections,{"COGS","Opex","Other Expenses"},0))),(startDates&gt;=X$4)*(endDates&lt;=X$5))))</f>
        <v>0</v>
      </c>
      <c r="Y70" s="206" cm="1">
        <f t="array" ref="Y70">SUMIFS(Y$9:Y$64,$C$9:$C$64,$C70)-(SUM(_xlfn._xlws.FILTER(_xlfn._xlws.FILTER(dataGLPL,ISNUMBER(MATCH(dataGLPLSections,{"Revenue","Other Income"},0))),(startDates&gt;=Y$4)*(endDates&lt;=Y$5)))-SUM(_xlfn._xlws.FILTER(_xlfn._xlws.FILTER(dataGLPL,ISNUMBER(MATCH(dataGLPLSections,{"COGS","Opex","Other Expenses"},0))),(startDates&gt;=Y$4)*(endDates&lt;=Y$5))))</f>
        <v>0</v>
      </c>
      <c r="Z70" s="206" cm="1">
        <f t="array" ref="Z70">SUMIFS(Z$9:Z$64,$C$9:$C$64,$C70)-(SUM(_xlfn._xlws.FILTER(_xlfn._xlws.FILTER(dataGLPL,ISNUMBER(MATCH(dataGLPLSections,{"Revenue","Other Income"},0))),(startDates&gt;=Z$4)*(endDates&lt;=Z$5)))-SUM(_xlfn._xlws.FILTER(_xlfn._xlws.FILTER(dataGLPL,ISNUMBER(MATCH(dataGLPLSections,{"COGS","Opex","Other Expenses"},0))),(startDates&gt;=Z$4)*(endDates&lt;=Z$5))))</f>
        <v>0</v>
      </c>
      <c r="AA70" s="206" cm="1">
        <f t="array" ref="AA70">SUMIFS(AA$9:AA$64,$C$9:$C$64,$C70)-(SUM(_xlfn._xlws.FILTER(_xlfn._xlws.FILTER(dataGLPL,ISNUMBER(MATCH(dataGLPLSections,{"Revenue","Other Income"},0))),(startDates&gt;=AA$4)*(endDates&lt;=AA$5)))-SUM(_xlfn._xlws.FILTER(_xlfn._xlws.FILTER(dataGLPL,ISNUMBER(MATCH(dataGLPLSections,{"COGS","Opex","Other Expenses"},0))),(startDates&gt;=AA$4)*(endDates&lt;=AA$5))))</f>
        <v>0</v>
      </c>
      <c r="AB70" s="208"/>
      <c r="AC70" s="207"/>
      <c r="AD70" s="206" cm="1">
        <f t="array" ref="AD70">SUMIFS(AD$9:AD$64,$C$9:$C$64,$C70)-(SUM(_xlfn._xlws.FILTER(_xlfn._xlws.FILTER(dataGLPL,ISNUMBER(MATCH(dataGLPLSections,{"Revenue","Other Income"},0))),(startDates&gt;=AD$4)*(endDates&lt;=AD$5)))-SUM(_xlfn._xlws.FILTER(_xlfn._xlws.FILTER(dataGLPL,ISNUMBER(MATCH(dataGLPLSections,{"COGS","Opex","Other Expenses"},0))),(startDates&gt;=AD$4)*(endDates&lt;=AD$5))))</f>
        <v>0</v>
      </c>
      <c r="AE70" s="206" cm="1">
        <f t="array" ref="AE70">SUMIFS(AE$9:AE$64,$C$9:$C$64,$C70)-(SUM(_xlfn._xlws.FILTER(_xlfn._xlws.FILTER(dataGLPL,ISNUMBER(MATCH(dataGLPLSections,{"Revenue","Other Income"},0))),(startDates&gt;=AE$4)*(endDates&lt;=AE$5)))-SUM(_xlfn._xlws.FILTER(_xlfn._xlws.FILTER(dataGLPL,ISNUMBER(MATCH(dataGLPLSections,{"COGS","Opex","Other Expenses"},0))),(startDates&gt;=AE$4)*(endDates&lt;=AE$5))))</f>
        <v>0</v>
      </c>
      <c r="AF70" s="206" cm="1">
        <f t="array" ref="AF70">SUMIFS(AF$9:AF$64,$C$9:$C$64,$C70)-(SUM(_xlfn._xlws.FILTER(_xlfn._xlws.FILTER(dataGLPL,ISNUMBER(MATCH(dataGLPLSections,{"Revenue","Other Income"},0))),(startDates&gt;=AF$4)*(endDates&lt;=AF$5)))-SUM(_xlfn._xlws.FILTER(_xlfn._xlws.FILTER(dataGLPL,ISNUMBER(MATCH(dataGLPLSections,{"COGS","Opex","Other Expenses"},0))),(startDates&gt;=AF$4)*(endDates&lt;=AF$5))))</f>
        <v>0</v>
      </c>
      <c r="AG70" s="206" cm="1">
        <f t="array" ref="AG70">SUMIFS(AG$9:AG$64,$C$9:$C$64,$C70)-(SUM(_xlfn._xlws.FILTER(_xlfn._xlws.FILTER(dataGLPL,ISNUMBER(MATCH(dataGLPLSections,{"Revenue","Other Income"},0))),(startDates&gt;=AG$4)*(endDates&lt;=AG$5)))-SUM(_xlfn._xlws.FILTER(_xlfn._xlws.FILTER(dataGLPL,ISNUMBER(MATCH(dataGLPLSections,{"COGS","Opex","Other Expenses"},0))),(startDates&gt;=AG$4)*(endDates&lt;=AG$5))))</f>
        <v>0</v>
      </c>
      <c r="AH70" s="206" cm="1">
        <f t="array" ref="AH70">SUMIFS(AH$9:AH$64,$C$9:$C$64,$C70)-(SUM(_xlfn._xlws.FILTER(_xlfn._xlws.FILTER(dataGLPL,ISNUMBER(MATCH(dataGLPLSections,{"Revenue","Other Income"},0))),(startDates&gt;=AH$4)*(endDates&lt;=AH$5)))-SUM(_xlfn._xlws.FILTER(_xlfn._xlws.FILTER(dataGLPL,ISNUMBER(MATCH(dataGLPLSections,{"COGS","Opex","Other Expenses"},0))),(startDates&gt;=AH$4)*(endDates&lt;=AH$5))))</f>
        <v>0</v>
      </c>
      <c r="AI70" s="206" cm="1">
        <f t="array" ref="AI70">SUMIFS(AI$9:AI$64,$C$9:$C$64,$C70)-(SUM(_xlfn._xlws.FILTER(_xlfn._xlws.FILTER(dataGLPL,ISNUMBER(MATCH(dataGLPLSections,{"Revenue","Other Income"},0))),(startDates&gt;=AI$4)*(endDates&lt;=AI$5)))-SUM(_xlfn._xlws.FILTER(_xlfn._xlws.FILTER(dataGLPL,ISNUMBER(MATCH(dataGLPLSections,{"COGS","Opex","Other Expenses"},0))),(startDates&gt;=AI$4)*(endDates&lt;=AI$5))))</f>
        <v>0</v>
      </c>
      <c r="AJ70" s="206" cm="1">
        <f t="array" ref="AJ70">SUMIFS(AJ$9:AJ$64,$C$9:$C$64,$C70)-(SUM(_xlfn._xlws.FILTER(_xlfn._xlws.FILTER(dataGLPL,ISNUMBER(MATCH(dataGLPLSections,{"Revenue","Other Income"},0))),(startDates&gt;=AJ$4)*(endDates&lt;=AJ$5)))-SUM(_xlfn._xlws.FILTER(_xlfn._xlws.FILTER(dataGLPL,ISNUMBER(MATCH(dataGLPLSections,{"COGS","Opex","Other Expenses"},0))),(startDates&gt;=AJ$4)*(endDates&lt;=AJ$5))))</f>
        <v>0</v>
      </c>
      <c r="AK70" s="206" cm="1">
        <f t="array" ref="AK70">SUMIFS(AK$9:AK$64,$C$9:$C$64,$C70)-(SUM(_xlfn._xlws.FILTER(_xlfn._xlws.FILTER(dataGLPL,ISNUMBER(MATCH(dataGLPLSections,{"Revenue","Other Income"},0))),(startDates&gt;=AK$4)*(endDates&lt;=AK$5)))-SUM(_xlfn._xlws.FILTER(_xlfn._xlws.FILTER(dataGLPL,ISNUMBER(MATCH(dataGLPLSections,{"COGS","Opex","Other Expenses"},0))),(startDates&gt;=AK$4)*(endDates&lt;=AK$5))))</f>
        <v>0</v>
      </c>
      <c r="AL70" s="206" cm="1">
        <f t="array" ref="AL70">SUMIFS(AL$9:AL$64,$C$9:$C$64,$C70)-(SUM(_xlfn._xlws.FILTER(_xlfn._xlws.FILTER(dataGLPL,ISNUMBER(MATCH(dataGLPLSections,{"Revenue","Other Income"},0))),(startDates&gt;=AL$4)*(endDates&lt;=AL$5)))-SUM(_xlfn._xlws.FILTER(_xlfn._xlws.FILTER(dataGLPL,ISNUMBER(MATCH(dataGLPLSections,{"COGS","Opex","Other Expenses"},0))),(startDates&gt;=AL$4)*(endDates&lt;=AL$5))))</f>
        <v>0</v>
      </c>
      <c r="AM70" s="206" cm="1">
        <f t="array" ref="AM70">SUMIFS(AM$9:AM$64,$C$9:$C$64,$C70)-(SUM(_xlfn._xlws.FILTER(_xlfn._xlws.FILTER(dataGLPL,ISNUMBER(MATCH(dataGLPLSections,{"Revenue","Other Income"},0))),(startDates&gt;=AM$4)*(endDates&lt;=AM$5)))-SUM(_xlfn._xlws.FILTER(_xlfn._xlws.FILTER(dataGLPL,ISNUMBER(MATCH(dataGLPLSections,{"COGS","Opex","Other Expenses"},0))),(startDates&gt;=AM$4)*(endDates&lt;=AM$5))))</f>
        <v>0</v>
      </c>
      <c r="AN70" s="206" cm="1">
        <f t="array" ref="AN70">SUMIFS(AN$9:AN$64,$C$9:$C$64,$C70)-(SUM(_xlfn._xlws.FILTER(_xlfn._xlws.FILTER(dataGLPL,ISNUMBER(MATCH(dataGLPLSections,{"Revenue","Other Income"},0))),(startDates&gt;=AN$4)*(endDates&lt;=AN$5)))-SUM(_xlfn._xlws.FILTER(_xlfn._xlws.FILTER(dataGLPL,ISNUMBER(MATCH(dataGLPLSections,{"COGS","Opex","Other Expenses"},0))),(startDates&gt;=AN$4)*(endDates&lt;=AN$5))))</f>
        <v>0</v>
      </c>
      <c r="AO70" s="206" cm="1">
        <f t="array" ref="AO70">SUMIFS(AO$9:AO$64,$C$9:$C$64,$C70)-(SUM(_xlfn._xlws.FILTER(_xlfn._xlws.FILTER(dataGLPL,ISNUMBER(MATCH(dataGLPLSections,{"Revenue","Other Income"},0))),(startDates&gt;=AO$4)*(endDates&lt;=AO$5)))-SUM(_xlfn._xlws.FILTER(_xlfn._xlws.FILTER(dataGLPL,ISNUMBER(MATCH(dataGLPLSections,{"COGS","Opex","Other Expenses"},0))),(startDates&gt;=AO$4)*(endDates&lt;=AO$5))))</f>
        <v>0</v>
      </c>
      <c r="AP70" s="206" cm="1">
        <f t="array" ref="AP70">SUMIFS(AP$9:AP$64,$C$9:$C$64,$C70)-(SUM(_xlfn._xlws.FILTER(_xlfn._xlws.FILTER(dataGLPL,ISNUMBER(MATCH(dataGLPLSections,{"Revenue","Other Income"},0))),(startDates&gt;=AP$4)*(endDates&lt;=AP$5)))-SUM(_xlfn._xlws.FILTER(_xlfn._xlws.FILTER(dataGLPL,ISNUMBER(MATCH(dataGLPLSections,{"COGS","Opex","Other Expenses"},0))),(startDates&gt;=AP$4)*(endDates&lt;=AP$5))))</f>
        <v>0</v>
      </c>
      <c r="AQ70" s="206" cm="1">
        <f t="array" ref="AQ70">SUMIFS(AQ$9:AQ$64,$C$9:$C$64,$C70)-(SUM(_xlfn._xlws.FILTER(_xlfn._xlws.FILTER(dataGLPL,ISNUMBER(MATCH(dataGLPLSections,{"Revenue","Other Income"},0))),(startDates&gt;=AQ$4)*(endDates&lt;=AQ$5)))-SUM(_xlfn._xlws.FILTER(_xlfn._xlws.FILTER(dataGLPL,ISNUMBER(MATCH(dataGLPLSections,{"COGS","Opex","Other Expenses"},0))),(startDates&gt;=AQ$4)*(endDates&lt;=AQ$5))))</f>
        <v>0</v>
      </c>
      <c r="AR70" s="206" cm="1">
        <f t="array" ref="AR70">SUMIFS(AR$9:AR$64,$C$9:$C$64,$C70)-(SUM(_xlfn._xlws.FILTER(_xlfn._xlws.FILTER(dataGLPL,ISNUMBER(MATCH(dataGLPLSections,{"Revenue","Other Income"},0))),(startDates&gt;=AR$4)*(endDates&lt;=AR$5)))-SUM(_xlfn._xlws.FILTER(_xlfn._xlws.FILTER(dataGLPL,ISNUMBER(MATCH(dataGLPLSections,{"COGS","Opex","Other Expenses"},0))),(startDates&gt;=AR$4)*(endDates&lt;=AR$5))))</f>
        <v>0</v>
      </c>
      <c r="AS70" s="206" cm="1">
        <f t="array" ref="AS70">SUMIFS(AS$9:AS$64,$C$9:$C$64,$C70)-(SUM(_xlfn._xlws.FILTER(_xlfn._xlws.FILTER(dataGLPL,ISNUMBER(MATCH(dataGLPLSections,{"Revenue","Other Income"},0))),(startDates&gt;=AS$4)*(endDates&lt;=AS$5)))-SUM(_xlfn._xlws.FILTER(_xlfn._xlws.FILTER(dataGLPL,ISNUMBER(MATCH(dataGLPLSections,{"COGS","Opex","Other Expenses"},0))),(startDates&gt;=AS$4)*(endDates&lt;=AS$5))))</f>
        <v>0</v>
      </c>
      <c r="AT70" s="206" cm="1">
        <f t="array" ref="AT70">SUMIFS(AT$9:AT$64,$C$9:$C$64,$C70)-(SUM(_xlfn._xlws.FILTER(_xlfn._xlws.FILTER(dataGLPL,ISNUMBER(MATCH(dataGLPLSections,{"Revenue","Other Income"},0))),(startDates&gt;=AT$4)*(endDates&lt;=AT$5)))-SUM(_xlfn._xlws.FILTER(_xlfn._xlws.FILTER(dataGLPL,ISNUMBER(MATCH(dataGLPLSections,{"COGS","Opex","Other Expenses"},0))),(startDates&gt;=AT$4)*(endDates&lt;=AT$5))))</f>
        <v>0</v>
      </c>
      <c r="AU70" s="206" cm="1">
        <f t="array" ref="AU70">SUMIFS(AU$9:AU$64,$C$9:$C$64,$C70)-(SUM(_xlfn._xlws.FILTER(_xlfn._xlws.FILTER(dataGLPL,ISNUMBER(MATCH(dataGLPLSections,{"Revenue","Other Income"},0))),(startDates&gt;=AU$4)*(endDates&lt;=AU$5)))-SUM(_xlfn._xlws.FILTER(_xlfn._xlws.FILTER(dataGLPL,ISNUMBER(MATCH(dataGLPLSections,{"COGS","Opex","Other Expenses"},0))),(startDates&gt;=AU$4)*(endDates&lt;=AU$5))))</f>
        <v>0</v>
      </c>
      <c r="AV70" s="206" cm="1">
        <f t="array" ref="AV70">SUMIFS(AV$9:AV$64,$C$9:$C$64,$C70)-(SUM(_xlfn._xlws.FILTER(_xlfn._xlws.FILTER(dataGLPL,ISNUMBER(MATCH(dataGLPLSections,{"Revenue","Other Income"},0))),(startDates&gt;=AV$4)*(endDates&lt;=AV$5)))-SUM(_xlfn._xlws.FILTER(_xlfn._xlws.FILTER(dataGLPL,ISNUMBER(MATCH(dataGLPLSections,{"COGS","Opex","Other Expenses"},0))),(startDates&gt;=AV$4)*(endDates&lt;=AV$5))))</f>
        <v>0</v>
      </c>
      <c r="AW70" s="206" cm="1">
        <f t="array" ref="AW70">SUMIFS(AW$9:AW$64,$C$9:$C$64,$C70)-(SUM(_xlfn._xlws.FILTER(_xlfn._xlws.FILTER(dataGLPL,ISNUMBER(MATCH(dataGLPLSections,{"Revenue","Other Income"},0))),(startDates&gt;=AW$4)*(endDates&lt;=AW$5)))-SUM(_xlfn._xlws.FILTER(_xlfn._xlws.FILTER(dataGLPL,ISNUMBER(MATCH(dataGLPLSections,{"COGS","Opex","Other Expenses"},0))),(startDates&gt;=AW$4)*(endDates&lt;=AW$5))))</f>
        <v>0</v>
      </c>
      <c r="AX70" s="206" cm="1">
        <f t="array" ref="AX70">SUMIFS(AX$9:AX$64,$C$9:$C$64,$C70)-(SUM(_xlfn._xlws.FILTER(_xlfn._xlws.FILTER(dataGLPL,ISNUMBER(MATCH(dataGLPLSections,{"Revenue","Other Income"},0))),(startDates&gt;=AX$4)*(endDates&lt;=AX$5)))-SUM(_xlfn._xlws.FILTER(_xlfn._xlws.FILTER(dataGLPL,ISNUMBER(MATCH(dataGLPLSections,{"COGS","Opex","Other Expenses"},0))),(startDates&gt;=AX$4)*(endDates&lt;=AX$5))))</f>
        <v>0</v>
      </c>
      <c r="AY70" s="206" cm="1">
        <f t="array" ref="AY70">SUMIFS(AY$9:AY$64,$C$9:$C$64,$C70)-(SUM(_xlfn._xlws.FILTER(_xlfn._xlws.FILTER(dataGLPL,ISNUMBER(MATCH(dataGLPLSections,{"Revenue","Other Income"},0))),(startDates&gt;=AY$4)*(endDates&lt;=AY$5)))-SUM(_xlfn._xlws.FILTER(_xlfn._xlws.FILTER(dataGLPL,ISNUMBER(MATCH(dataGLPLSections,{"COGS","Opex","Other Expenses"},0))),(startDates&gt;=AY$4)*(endDates&lt;=AY$5))))</f>
        <v>0</v>
      </c>
      <c r="AZ70" s="206" cm="1">
        <f t="array" ref="AZ70">SUMIFS(AZ$9:AZ$64,$C$9:$C$64,$C70)-(SUM(_xlfn._xlws.FILTER(_xlfn._xlws.FILTER(dataGLPL,ISNUMBER(MATCH(dataGLPLSections,{"Revenue","Other Income"},0))),(startDates&gt;=AZ$4)*(endDates&lt;=AZ$5)))-SUM(_xlfn._xlws.FILTER(_xlfn._xlws.FILTER(dataGLPL,ISNUMBER(MATCH(dataGLPLSections,{"COGS","Opex","Other Expenses"},0))),(startDates&gt;=AZ$4)*(endDates&lt;=AZ$5))))</f>
        <v>0</v>
      </c>
      <c r="BA70" s="206" cm="1">
        <f t="array" ref="BA70">SUMIFS(BA$9:BA$64,$C$9:$C$64,$C70)-(SUM(_xlfn._xlws.FILTER(_xlfn._xlws.FILTER(dataGLPL,ISNUMBER(MATCH(dataGLPLSections,{"Revenue","Other Income"},0))),(startDates&gt;=BA$4)*(endDates&lt;=BA$5)))-SUM(_xlfn._xlws.FILTER(_xlfn._xlws.FILTER(dataGLPL,ISNUMBER(MATCH(dataGLPLSections,{"COGS","Opex","Other Expenses"},0))),(startDates&gt;=BA$4)*(endDates&lt;=BA$5))))</f>
        <v>0</v>
      </c>
      <c r="BB70" s="206" cm="1">
        <f t="array" ref="BB70">SUMIFS(BB$9:BB$64,$C$9:$C$64,$C70)-(SUM(_xlfn._xlws.FILTER(_xlfn._xlws.FILTER(dataGLPL,ISNUMBER(MATCH(dataGLPLSections,{"Revenue","Other Income"},0))),(startDates&gt;=BB$4)*(endDates&lt;=BB$5)))-SUM(_xlfn._xlws.FILTER(_xlfn._xlws.FILTER(dataGLPL,ISNUMBER(MATCH(dataGLPLSections,{"COGS","Opex","Other Expenses"},0))),(startDates&gt;=BB$4)*(endDates&lt;=BB$5))))</f>
        <v>0</v>
      </c>
      <c r="BC70" s="206" cm="1">
        <f t="array" ref="BC70">SUMIFS(BC$9:BC$64,$C$9:$C$64,$C70)-(SUM(_xlfn._xlws.FILTER(_xlfn._xlws.FILTER(dataGLPL,ISNUMBER(MATCH(dataGLPLSections,{"Revenue","Other Income"},0))),(startDates&gt;=BC$4)*(endDates&lt;=BC$5)))-SUM(_xlfn._xlws.FILTER(_xlfn._xlws.FILTER(dataGLPL,ISNUMBER(MATCH(dataGLPLSections,{"COGS","Opex","Other Expenses"},0))),(startDates&gt;=BC$4)*(endDates&lt;=BC$5))))</f>
        <v>0</v>
      </c>
      <c r="BD70" s="206" cm="1">
        <f t="array" ref="BD70">SUMIFS(BD$9:BD$64,$C$9:$C$64,$C70)-(SUM(_xlfn._xlws.FILTER(_xlfn._xlws.FILTER(dataGLPL,ISNUMBER(MATCH(dataGLPLSections,{"Revenue","Other Income"},0))),(startDates&gt;=BD$4)*(endDates&lt;=BD$5)))-SUM(_xlfn._xlws.FILTER(_xlfn._xlws.FILTER(dataGLPL,ISNUMBER(MATCH(dataGLPLSections,{"COGS","Opex","Other Expenses"},0))),(startDates&gt;=BD$4)*(endDates&lt;=BD$5))))</f>
        <v>0</v>
      </c>
      <c r="BE70" s="206" cm="1">
        <f t="array" ref="BE70">SUMIFS(BE$9:BE$64,$C$9:$C$64,$C70)-(SUM(_xlfn._xlws.FILTER(_xlfn._xlws.FILTER(dataGLPL,ISNUMBER(MATCH(dataGLPLSections,{"Revenue","Other Income"},0))),(startDates&gt;=BE$4)*(endDates&lt;=BE$5)))-SUM(_xlfn._xlws.FILTER(_xlfn._xlws.FILTER(dataGLPL,ISNUMBER(MATCH(dataGLPLSections,{"COGS","Opex","Other Expenses"},0))),(startDates&gt;=BE$4)*(endDates&lt;=BE$5))))</f>
        <v>0</v>
      </c>
      <c r="BF70" s="206" cm="1">
        <f t="array" ref="BF70">SUMIFS(BF$9:BF$64,$C$9:$C$64,$C70)-(SUM(_xlfn._xlws.FILTER(_xlfn._xlws.FILTER(dataGLPL,ISNUMBER(MATCH(dataGLPLSections,{"Revenue","Other Income"},0))),(startDates&gt;=BF$4)*(endDates&lt;=BF$5)))-SUM(_xlfn._xlws.FILTER(_xlfn._xlws.FILTER(dataGLPL,ISNUMBER(MATCH(dataGLPLSections,{"COGS","Opex","Other Expenses"},0))),(startDates&gt;=BF$4)*(endDates&lt;=BF$5))))</f>
        <v>0</v>
      </c>
      <c r="BG70" s="206" cm="1">
        <f t="array" ref="BG70">SUMIFS(BG$9:BG$64,$C$9:$C$64,$C70)-(SUM(_xlfn._xlws.FILTER(_xlfn._xlws.FILTER(dataGLPL,ISNUMBER(MATCH(dataGLPLSections,{"Revenue","Other Income"},0))),(startDates&gt;=BG$4)*(endDates&lt;=BG$5)))-SUM(_xlfn._xlws.FILTER(_xlfn._xlws.FILTER(dataGLPL,ISNUMBER(MATCH(dataGLPLSections,{"COGS","Opex","Other Expenses"},0))),(startDates&gt;=BG$4)*(endDates&lt;=BG$5))))</f>
        <v>0</v>
      </c>
      <c r="BH70" s="206" cm="1">
        <f t="array" ref="BH70">SUMIFS(BH$9:BH$64,$C$9:$C$64,$C70)-(SUM(_xlfn._xlws.FILTER(_xlfn._xlws.FILTER(dataGLPL,ISNUMBER(MATCH(dataGLPLSections,{"Revenue","Other Income"},0))),(startDates&gt;=BH$4)*(endDates&lt;=BH$5)))-SUM(_xlfn._xlws.FILTER(_xlfn._xlws.FILTER(dataGLPL,ISNUMBER(MATCH(dataGLPLSections,{"COGS","Opex","Other Expenses"},0))),(startDates&gt;=BH$4)*(endDates&lt;=BH$5))))</f>
        <v>0</v>
      </c>
      <c r="BI70" s="206" cm="1">
        <f t="array" ref="BI70">SUMIFS(BI$9:BI$64,$C$9:$C$64,$C70)-(SUM(_xlfn._xlws.FILTER(_xlfn._xlws.FILTER(dataGLPL,ISNUMBER(MATCH(dataGLPLSections,{"Revenue","Other Income"},0))),(startDates&gt;=BI$4)*(endDates&lt;=BI$5)))-SUM(_xlfn._xlws.FILTER(_xlfn._xlws.FILTER(dataGLPL,ISNUMBER(MATCH(dataGLPLSections,{"COGS","Opex","Other Expenses"},0))),(startDates&gt;=BI$4)*(endDates&lt;=BI$5))))</f>
        <v>0</v>
      </c>
      <c r="BJ70" s="206" cm="1">
        <f t="array" ref="BJ70">SUMIFS(BJ$9:BJ$64,$C$9:$C$64,$C70)-(SUM(_xlfn._xlws.FILTER(_xlfn._xlws.FILTER(dataGLPL,ISNUMBER(MATCH(dataGLPLSections,{"Revenue","Other Income"},0))),(startDates&gt;=BJ$4)*(endDates&lt;=BJ$5)))-SUM(_xlfn._xlws.FILTER(_xlfn._xlws.FILTER(dataGLPL,ISNUMBER(MATCH(dataGLPLSections,{"COGS","Opex","Other Expenses"},0))),(startDates&gt;=BJ$4)*(endDates&lt;=BJ$5))))</f>
        <v>0</v>
      </c>
      <c r="BK70" s="206" cm="1">
        <f t="array" ref="BK70">SUMIFS(BK$9:BK$64,$C$9:$C$64,$C70)-(SUM(_xlfn._xlws.FILTER(_xlfn._xlws.FILTER(dataGLPL,ISNUMBER(MATCH(dataGLPLSections,{"Revenue","Other Income"},0))),(startDates&gt;=BK$4)*(endDates&lt;=BK$5)))-SUM(_xlfn._xlws.FILTER(_xlfn._xlws.FILTER(dataGLPL,ISNUMBER(MATCH(dataGLPLSections,{"COGS","Opex","Other Expenses"},0))),(startDates&gt;=BK$4)*(endDates&lt;=BK$5))))</f>
        <v>0</v>
      </c>
      <c r="BL70" s="206" cm="1">
        <f t="array" ref="BL70">SUMIFS(BL$9:BL$64,$C$9:$C$64,$C70)-(SUM(_xlfn._xlws.FILTER(_xlfn._xlws.FILTER(dataGLPL,ISNUMBER(MATCH(dataGLPLSections,{"Revenue","Other Income"},0))),(startDates&gt;=BL$4)*(endDates&lt;=BL$5)))-SUM(_xlfn._xlws.FILTER(_xlfn._xlws.FILTER(dataGLPL,ISNUMBER(MATCH(dataGLPLSections,{"COGS","Opex","Other Expenses"},0))),(startDates&gt;=BL$4)*(endDates&lt;=BL$5))))</f>
        <v>0</v>
      </c>
      <c r="BM70" s="206" cm="1">
        <f t="array" ref="BM70">SUMIFS(BM$9:BM$64,$C$9:$C$64,$C70)-(SUM(_xlfn._xlws.FILTER(_xlfn._xlws.FILTER(dataGLPL,ISNUMBER(MATCH(dataGLPLSections,{"Revenue","Other Income"},0))),(startDates&gt;=BM$4)*(endDates&lt;=BM$5)))-SUM(_xlfn._xlws.FILTER(_xlfn._xlws.FILTER(dataGLPL,ISNUMBER(MATCH(dataGLPLSections,{"COGS","Opex","Other Expenses"},0))),(startDates&gt;=BM$4)*(endDates&lt;=BM$5))))</f>
        <v>0</v>
      </c>
      <c r="BN70" s="206" cm="1">
        <f t="array" ref="BN70">SUMIFS(BN$9:BN$64,$C$9:$C$64,$C70)-(SUM(_xlfn._xlws.FILTER(_xlfn._xlws.FILTER(dataGLPL,ISNUMBER(MATCH(dataGLPLSections,{"Revenue","Other Income"},0))),(startDates&gt;=BN$4)*(endDates&lt;=BN$5)))-SUM(_xlfn._xlws.FILTER(_xlfn._xlws.FILTER(dataGLPL,ISNUMBER(MATCH(dataGLPLSections,{"COGS","Opex","Other Expenses"},0))),(startDates&gt;=BN$4)*(endDates&lt;=BN$5))))</f>
        <v>0</v>
      </c>
      <c r="BO70" s="206" cm="1">
        <f t="array" ref="BO70">SUMIFS(BO$9:BO$64,$C$9:$C$64,$C70)-(SUM(_xlfn._xlws.FILTER(_xlfn._xlws.FILTER(dataGLPL,ISNUMBER(MATCH(dataGLPLSections,{"Revenue","Other Income"},0))),(startDates&gt;=BO$4)*(endDates&lt;=BO$5)))-SUM(_xlfn._xlws.FILTER(_xlfn._xlws.FILTER(dataGLPL,ISNUMBER(MATCH(dataGLPLSections,{"COGS","Opex","Other Expenses"},0))),(startDates&gt;=BO$4)*(endDates&lt;=BO$5))))</f>
        <v>0</v>
      </c>
      <c r="BP70" s="206" cm="1">
        <f t="array" ref="BP70">SUMIFS(BP$9:BP$64,$C$9:$C$64,$C70)-(SUM(_xlfn._xlws.FILTER(_xlfn._xlws.FILTER(dataGLPL,ISNUMBER(MATCH(dataGLPLSections,{"Revenue","Other Income"},0))),(startDates&gt;=BP$4)*(endDates&lt;=BP$5)))-SUM(_xlfn._xlws.FILTER(_xlfn._xlws.FILTER(dataGLPL,ISNUMBER(MATCH(dataGLPLSections,{"COGS","Opex","Other Expenses"},0))),(startDates&gt;=BP$4)*(endDates&lt;=BP$5))))</f>
        <v>0</v>
      </c>
      <c r="BQ70" s="206" cm="1">
        <f t="array" ref="BQ70">SUMIFS(BQ$9:BQ$64,$C$9:$C$64,$C70)-(SUM(_xlfn._xlws.FILTER(_xlfn._xlws.FILTER(dataGLPL,ISNUMBER(MATCH(dataGLPLSections,{"Revenue","Other Income"},0))),(startDates&gt;=BQ$4)*(endDates&lt;=BQ$5)))-SUM(_xlfn._xlws.FILTER(_xlfn._xlws.FILTER(dataGLPL,ISNUMBER(MATCH(dataGLPLSections,{"COGS","Opex","Other Expenses"},0))),(startDates&gt;=BQ$4)*(endDates&lt;=BQ$5))))</f>
        <v>0</v>
      </c>
      <c r="BR70" s="206" cm="1">
        <f t="array" ref="BR70">SUMIFS(BR$9:BR$64,$C$9:$C$64,$C70)-(SUM(_xlfn._xlws.FILTER(_xlfn._xlws.FILTER(dataGLPL,ISNUMBER(MATCH(dataGLPLSections,{"Revenue","Other Income"},0))),(startDates&gt;=BR$4)*(endDates&lt;=BR$5)))-SUM(_xlfn._xlws.FILTER(_xlfn._xlws.FILTER(dataGLPL,ISNUMBER(MATCH(dataGLPLSections,{"COGS","Opex","Other Expenses"},0))),(startDates&gt;=BR$4)*(endDates&lt;=BR$5))))</f>
        <v>0</v>
      </c>
      <c r="BS70" s="206" cm="1">
        <f t="array" ref="BS70">SUMIFS(BS$9:BS$64,$C$9:$C$64,$C70)-(SUM(_xlfn._xlws.FILTER(_xlfn._xlws.FILTER(dataGLPL,ISNUMBER(MATCH(dataGLPLSections,{"Revenue","Other Income"},0))),(startDates&gt;=BS$4)*(endDates&lt;=BS$5)))-SUM(_xlfn._xlws.FILTER(_xlfn._xlws.FILTER(dataGLPL,ISNUMBER(MATCH(dataGLPLSections,{"COGS","Opex","Other Expenses"},0))),(startDates&gt;=BS$4)*(endDates&lt;=BS$5))))</f>
        <v>0</v>
      </c>
      <c r="BT70" s="206" cm="1">
        <f t="array" ref="BT70">SUMIFS(BT$9:BT$64,$C$9:$C$64,$C70)-(SUM(_xlfn._xlws.FILTER(_xlfn._xlws.FILTER(dataGLPL,ISNUMBER(MATCH(dataGLPLSections,{"Revenue","Other Income"},0))),(startDates&gt;=BT$4)*(endDates&lt;=BT$5)))-SUM(_xlfn._xlws.FILTER(_xlfn._xlws.FILTER(dataGLPL,ISNUMBER(MATCH(dataGLPLSections,{"COGS","Opex","Other Expenses"},0))),(startDates&gt;=BT$4)*(endDates&lt;=BT$5))))</f>
        <v>0</v>
      </c>
      <c r="BU70" s="206" cm="1">
        <f t="array" ref="BU70">SUMIFS(BU$9:BU$64,$C$9:$C$64,$C70)-(SUM(_xlfn._xlws.FILTER(_xlfn._xlws.FILTER(dataGLPL,ISNUMBER(MATCH(dataGLPLSections,{"Revenue","Other Income"},0))),(startDates&gt;=BU$4)*(endDates&lt;=BU$5)))-SUM(_xlfn._xlws.FILTER(_xlfn._xlws.FILTER(dataGLPL,ISNUMBER(MATCH(dataGLPLSections,{"COGS","Opex","Other Expenses"},0))),(startDates&gt;=BU$4)*(endDates&lt;=BU$5))))</f>
        <v>0</v>
      </c>
      <c r="BV70" s="206" cm="1">
        <f t="array" ref="BV70">SUMIFS(BV$9:BV$64,$C$9:$C$64,$C70)-(SUM(_xlfn._xlws.FILTER(_xlfn._xlws.FILTER(dataGLPL,ISNUMBER(MATCH(dataGLPLSections,{"Revenue","Other Income"},0))),(startDates&gt;=BV$4)*(endDates&lt;=BV$5)))-SUM(_xlfn._xlws.FILTER(_xlfn._xlws.FILTER(dataGLPL,ISNUMBER(MATCH(dataGLPLSections,{"COGS","Opex","Other Expenses"},0))),(startDates&gt;=BV$4)*(endDates&lt;=BV$5))))</f>
        <v>0</v>
      </c>
      <c r="BW70" s="206" cm="1">
        <f t="array" ref="BW70">SUMIFS(BW$9:BW$64,$C$9:$C$64,$C70)-(SUM(_xlfn._xlws.FILTER(_xlfn._xlws.FILTER(dataGLPL,ISNUMBER(MATCH(dataGLPLSections,{"Revenue","Other Income"},0))),(startDates&gt;=BW$4)*(endDates&lt;=BW$5)))-SUM(_xlfn._xlws.FILTER(_xlfn._xlws.FILTER(dataGLPL,ISNUMBER(MATCH(dataGLPLSections,{"COGS","Opex","Other Expenses"},0))),(startDates&gt;=BW$4)*(endDates&lt;=BW$5))))</f>
        <v>0</v>
      </c>
      <c r="BX70" s="206" cm="1">
        <f t="array" ref="BX70">SUMIFS(BX$9:BX$64,$C$9:$C$64,$C70)-(SUM(_xlfn._xlws.FILTER(_xlfn._xlws.FILTER(dataGLPL,ISNUMBER(MATCH(dataGLPLSections,{"Revenue","Other Income"},0))),(startDates&gt;=BX$4)*(endDates&lt;=BX$5)))-SUM(_xlfn._xlws.FILTER(_xlfn._xlws.FILTER(dataGLPL,ISNUMBER(MATCH(dataGLPLSections,{"COGS","Opex","Other Expenses"},0))),(startDates&gt;=BX$4)*(endDates&lt;=BX$5))))</f>
        <v>0</v>
      </c>
      <c r="BY70" s="206" cm="1">
        <f t="array" ref="BY70">SUMIFS(BY$9:BY$64,$C$9:$C$64,$C70)-(SUM(_xlfn._xlws.FILTER(_xlfn._xlws.FILTER(dataGLPL,ISNUMBER(MATCH(dataGLPLSections,{"Revenue","Other Income"},0))),(startDates&gt;=BY$4)*(endDates&lt;=BY$5)))-SUM(_xlfn._xlws.FILTER(_xlfn._xlws.FILTER(dataGLPL,ISNUMBER(MATCH(dataGLPLSections,{"COGS","Opex","Other Expenses"},0))),(startDates&gt;=BY$4)*(endDates&lt;=BY$5))))</f>
        <v>0</v>
      </c>
    </row>
    <row r="71" spans="1:77" s="199" customFormat="1" ht="21" customHeight="1">
      <c r="B71" s="204"/>
      <c r="C71" s="198"/>
      <c r="D71" s="203"/>
      <c r="E71" s="202"/>
      <c r="F71" s="200"/>
      <c r="G71" s="200"/>
      <c r="H71" s="200"/>
      <c r="I71" s="200"/>
      <c r="J71" s="200"/>
      <c r="K71" s="200"/>
      <c r="L71" s="200"/>
      <c r="M71" s="200"/>
      <c r="N71" s="200"/>
      <c r="O71" s="200"/>
      <c r="P71" s="200"/>
      <c r="Q71" s="200"/>
      <c r="R71" s="200"/>
      <c r="S71" s="200"/>
      <c r="T71" s="200"/>
      <c r="U71" s="200"/>
      <c r="V71" s="200"/>
      <c r="W71" s="200"/>
      <c r="X71" s="200"/>
      <c r="Y71" s="200"/>
      <c r="Z71" s="200"/>
      <c r="AA71" s="200"/>
      <c r="AB71" s="201"/>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c r="BA71" s="200"/>
      <c r="BB71" s="200"/>
      <c r="BC71" s="200"/>
      <c r="BD71" s="200"/>
      <c r="BE71" s="200"/>
      <c r="BF71" s="200"/>
      <c r="BG71" s="200"/>
      <c r="BH71" s="200"/>
      <c r="BI71" s="200"/>
      <c r="BJ71" s="200"/>
      <c r="BK71" s="200"/>
      <c r="BL71" s="200"/>
      <c r="BM71" s="200"/>
      <c r="BN71" s="200"/>
      <c r="BO71" s="200"/>
      <c r="BP71" s="200"/>
      <c r="BQ71" s="200"/>
      <c r="BR71" s="200"/>
      <c r="BS71" s="200"/>
      <c r="BT71" s="200"/>
      <c r="BU71" s="200"/>
      <c r="BV71" s="200"/>
      <c r="BW71" s="200"/>
      <c r="BX71" s="200"/>
      <c r="BY71" s="200"/>
    </row>
  </sheetData>
  <mergeCells count="3">
    <mergeCell ref="E2:E8"/>
    <mergeCell ref="K2:K8"/>
    <mergeCell ref="AC2:AC8"/>
  </mergeCells>
  <pageMargins left="0.7" right="0.7" top="0.75" bottom="0.75" header="0.3" footer="0.3"/>
  <pageSetup orientation="portrait" r:id="rId1"/>
  <customProperties>
    <customPr name="income-statement-automated" r:id="rId2"/>
    <customPr name="sheetName" r:id="rId3"/>
    <customPr name="sourceTemplate"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089ED381C8E3F41A6851103DEE18D8D" ma:contentTypeVersion="17" ma:contentTypeDescription="Create a new document." ma:contentTypeScope="" ma:versionID="f6fb2b4aba2109c59a576fbfd8a31941">
  <xsd:schema xmlns:xsd="http://www.w3.org/2001/XMLSchema" xmlns:xs="http://www.w3.org/2001/XMLSchema" xmlns:p="http://schemas.microsoft.com/office/2006/metadata/properties" xmlns:ns2="57a959a8-3524-4303-ab40-92f61679f4ad" xmlns:ns3="bef8e9ec-72c1-4976-a946-2742b58e9d18" targetNamespace="http://schemas.microsoft.com/office/2006/metadata/properties" ma:root="true" ma:fieldsID="af880f048841b54bf37d3a8311cfb96e" ns2:_="" ns3:_="">
    <xsd:import namespace="57a959a8-3524-4303-ab40-92f61679f4ad"/>
    <xsd:import namespace="bef8e9ec-72c1-4976-a946-2742b58e9d1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3:TaxCatchAll" minOccurs="0"/>
                <xsd:element ref="ns2:MediaServiceOCR" minOccurs="0"/>
                <xsd:element ref="ns2:MediaServiceGenerationTime" minOccurs="0"/>
                <xsd:element ref="ns2:MediaServiceEventHashCode" minOccurs="0"/>
                <xsd:element ref="ns2:lcf76f155ced4ddcb4097134ff3c332f" minOccurs="0"/>
                <xsd:element ref="ns2:MediaServiceBillingMetadata"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a959a8-3524-4303-ab40-92f61679f4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3b66976-321a-4919-84fd-bfc113fa9d7f" ma:termSetId="09814cd3-568e-fe90-9814-8d621ff8fb84" ma:anchorId="fba54fb3-c3e1-fe81-a776-ca4b69148c4d" ma:open="true" ma:isKeyword="false">
      <xsd:complexType>
        <xsd:sequence>
          <xsd:element ref="pc:Terms" minOccurs="0" maxOccurs="1"/>
        </xsd:sequence>
      </xsd:complexType>
    </xsd:element>
    <xsd:element name="MediaServiceBillingMetadata" ma:index="18" nillable="true" ma:displayName="MediaServiceBillingMetadata" ma:hidden="true" ma:internalName="MediaServiceBillingMetadata" ma:readOnly="true">
      <xsd:simpleType>
        <xsd:restriction base="dms:Note"/>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ef8e9ec-72c1-4976-a946-2742b58e9d1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224d2ab-2b27-4d43-9ea3-039b4fcb8889}" ma:internalName="TaxCatchAll" ma:showField="CatchAllData" ma:web="bef8e9ec-72c1-4976-a946-2742b58e9d1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bef8e9ec-72c1-4976-a946-2742b58e9d18" xsi:nil="true"/>
    <lcf76f155ced4ddcb4097134ff3c332f xmlns="57a959a8-3524-4303-ab40-92f61679f4a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E6409CB-7A7E-4267-936E-C79E7038E8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a959a8-3524-4303-ab40-92f61679f4ad"/>
    <ds:schemaRef ds:uri="bef8e9ec-72c1-4976-a946-2742b58e9d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67B388F-054E-412B-A566-90C8CB0386F3}">
  <ds:schemaRefs>
    <ds:schemaRef ds:uri="http://schemas.microsoft.com/office/2006/metadata/properties"/>
    <ds:schemaRef ds:uri="http://schemas.microsoft.com/office/infopath/2007/PartnerControls"/>
    <ds:schemaRef ds:uri="bef8e9ec-72c1-4976-a946-2742b58e9d18"/>
    <ds:schemaRef ds:uri="57a959a8-3524-4303-ab40-92f61679f4ad"/>
  </ds:schemaRefs>
</ds:datastoreItem>
</file>

<file path=customXml/itemProps3.xml><?xml version="1.0" encoding="utf-8"?>
<ds:datastoreItem xmlns:ds="http://schemas.openxmlformats.org/officeDocument/2006/customXml" ds:itemID="{18B3100A-81B1-45A1-98B1-D5C5400EA13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81</vt:i4>
      </vt:variant>
    </vt:vector>
  </HeadingPairs>
  <TitlesOfParts>
    <vt:vector size="109" baseType="lpstr">
      <vt:lpstr>Model Wiz</vt:lpstr>
      <vt:lpstr>Cover</vt:lpstr>
      <vt:lpstr>Instructions</vt:lpstr>
      <vt:lpstr>KPI Dashboard</vt:lpstr>
      <vt:lpstr>ARR Dashboard</vt:lpstr>
      <vt:lpstr>Comparison</vt:lpstr>
      <vt:lpstr>Summary Financials</vt:lpstr>
      <vt:lpstr>Budget vs Actuals</vt:lpstr>
      <vt:lpstr>Income Statement</vt:lpstr>
      <vt:lpstr>Balance Sheet</vt:lpstr>
      <vt:lpstr>Cash Flows</vt:lpstr>
      <vt:lpstr>Drivers</vt:lpstr>
      <vt:lpstr>Headcount</vt:lpstr>
      <vt:lpstr>Deferred Revenue</vt:lpstr>
      <vt:lpstr>AP</vt:lpstr>
      <vt:lpstr>AR</vt:lpstr>
      <vt:lpstr>Fixed &amp; Intangibles</vt:lpstr>
      <vt:lpstr>Inventory</vt:lpstr>
      <vt:lpstr>Data Summary</vt:lpstr>
      <vt:lpstr>Revenue - Summary</vt:lpstr>
      <vt:lpstr>Revenue - Existing</vt:lpstr>
      <vt:lpstr>Revenue - Pipeline</vt:lpstr>
      <vt:lpstr>Revenue - New</vt:lpstr>
      <vt:lpstr>ExistingImport</vt:lpstr>
      <vt:lpstr>PBC Tables</vt:lpstr>
      <vt:lpstr>PipelineImport</vt:lpstr>
      <vt:lpstr>Lists</vt:lpstr>
      <vt:lpstr>Error Check</vt:lpstr>
      <vt:lpstr>BonusMonth</vt:lpstr>
      <vt:lpstr>BSAcctIDs</vt:lpstr>
      <vt:lpstr>BSAccts</vt:lpstr>
      <vt:lpstr>BSAcctType</vt:lpstr>
      <vt:lpstr>BSDriverAssumptions</vt:lpstr>
      <vt:lpstr>BSDrivers</vt:lpstr>
      <vt:lpstr>BSSections</vt:lpstr>
      <vt:lpstr>BSSummarys</vt:lpstr>
      <vt:lpstr>BSSummarysCF</vt:lpstr>
      <vt:lpstr>dataGLBS</vt:lpstr>
      <vt:lpstr>dataGLBSAcctIDs</vt:lpstr>
      <vt:lpstr>dataGLBSAccts</vt:lpstr>
      <vt:lpstr>dataGLBSCF</vt:lpstr>
      <vt:lpstr>dataGLBSSections</vt:lpstr>
      <vt:lpstr>dataGLBSSummarys</vt:lpstr>
      <vt:lpstr>dataGLBSSummarysCF</vt:lpstr>
      <vt:lpstr>dataGLPL</vt:lpstr>
      <vt:lpstr>dataGLPLAcctIDs</vt:lpstr>
      <vt:lpstr>dataGLPLAccts</vt:lpstr>
      <vt:lpstr>dataGLPLSections</vt:lpstr>
      <vt:lpstr>dataGLPLSummarys</vt:lpstr>
      <vt:lpstr>dataSummaryBS</vt:lpstr>
      <vt:lpstr>dataSummaryBSAcctIDs</vt:lpstr>
      <vt:lpstr>dataSummaryBSAccts</vt:lpstr>
      <vt:lpstr>dataSummaryBSCF</vt:lpstr>
      <vt:lpstr>dataSummaryBSSections</vt:lpstr>
      <vt:lpstr>dataSummaryBSSummarys</vt:lpstr>
      <vt:lpstr>dataSummaryPL</vt:lpstr>
      <vt:lpstr>dataSummaryPLAcctIDs</vt:lpstr>
      <vt:lpstr>dataSummaryPLAccts</vt:lpstr>
      <vt:lpstr>dataSummaryPLSections</vt:lpstr>
      <vt:lpstr>dataSummaryPLSummarys</vt:lpstr>
      <vt:lpstr>'Summary Financials'!DATES_SECTION_1</vt:lpstr>
      <vt:lpstr>'Summary Financials'!DATES_SECTION_2</vt:lpstr>
      <vt:lpstr>'Summary Financials'!DATES_SECTION_3</vt:lpstr>
      <vt:lpstr>Drivers_accountId</vt:lpstr>
      <vt:lpstr>Drivers_accountName</vt:lpstr>
      <vt:lpstr>Drivers_cashFlowSection</vt:lpstr>
      <vt:lpstr>Drivers_Driver</vt:lpstr>
      <vt:lpstr>Drivers_driverAccountType</vt:lpstr>
      <vt:lpstr>Drivers_DriverAssumption</vt:lpstr>
      <vt:lpstr>Drivers_driversSection</vt:lpstr>
      <vt:lpstr>Drivers_summaryGrouping</vt:lpstr>
      <vt:lpstr>DriversOwnersEquity</vt:lpstr>
      <vt:lpstr>endDates</vt:lpstr>
      <vt:lpstr>endDatesCF</vt:lpstr>
      <vt:lpstr>Error_Check</vt:lpstr>
      <vt:lpstr>'Balance Sheet'!Error_Range</vt:lpstr>
      <vt:lpstr>'Cash Flows'!Error_Range</vt:lpstr>
      <vt:lpstr>Comparison!Error_Range</vt:lpstr>
      <vt:lpstr>'Data Summary'!Error_Range</vt:lpstr>
      <vt:lpstr>Drivers!Error_Range</vt:lpstr>
      <vt:lpstr>'Income Statement'!Error_Range</vt:lpstr>
      <vt:lpstr>'Summary Financials'!Error_Range</vt:lpstr>
      <vt:lpstr>headcountData</vt:lpstr>
      <vt:lpstr>headcountDataDepts</vt:lpstr>
      <vt:lpstr>headcountDataIDs</vt:lpstr>
      <vt:lpstr>Headcount!Health_Benefits</vt:lpstr>
      <vt:lpstr>LatestMonthOfActuals</vt:lpstr>
      <vt:lpstr>Headcount!Payroll_Admin_Fees</vt:lpstr>
      <vt:lpstr>Headcount!Payroll_tax</vt:lpstr>
      <vt:lpstr>Cover!pdf_range</vt:lpstr>
      <vt:lpstr>'KPI Dashboard'!pdf_range</vt:lpstr>
      <vt:lpstr>Comparison!pdf_range_1</vt:lpstr>
      <vt:lpstr>'Summary Financials'!pdf_range_1</vt:lpstr>
      <vt:lpstr>Comparison!pdf_range_2</vt:lpstr>
      <vt:lpstr>'Summary Financials'!pdf_range_2</vt:lpstr>
      <vt:lpstr>'Summary Financials'!pdf_range_3</vt:lpstr>
      <vt:lpstr>PLAcctIDs</vt:lpstr>
      <vt:lpstr>PLAccts</vt:lpstr>
      <vt:lpstr>PLAcctType</vt:lpstr>
      <vt:lpstr>PLDriverAssumptions</vt:lpstr>
      <vt:lpstr>PLDrivers</vt:lpstr>
      <vt:lpstr>PLSections</vt:lpstr>
      <vt:lpstr>PLSummarys</vt:lpstr>
      <vt:lpstr>PLSummarysCF</vt:lpstr>
      <vt:lpstr>Comparison!Report_Period</vt:lpstr>
      <vt:lpstr>Cover!Report_Period</vt:lpstr>
      <vt:lpstr>'KPI Dashboard'!Report_Period</vt:lpstr>
      <vt:lpstr>startDates</vt:lpstr>
      <vt:lpstr>startDatesCF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 Aharonoff</dc:creator>
  <cp:keywords/>
  <dc:description/>
  <cp:lastModifiedBy>Jimmie Needles</cp:lastModifiedBy>
  <cp:revision/>
  <dcterms:created xsi:type="dcterms:W3CDTF">2025-12-11T13:11:55Z</dcterms:created>
  <dcterms:modified xsi:type="dcterms:W3CDTF">2026-03-30T21:41:42Z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w_app_version">
    <vt:i4>3</vt:i4>
  </property>
  <property fmtid="{D5CDD505-2E9C-101B-9397-08002B2CF9AE}" pid="3" name="mw_class_enabled_config">
    <vt:lpwstr>{"enabled":false,"validateClassData":true,"isLocked":true,"firstUsedDate":"2025-12-11T13:20:36.472Z"}</vt:lpwstr>
  </property>
  <property fmtid="{D5CDD505-2E9C-101B-9397-08002B2CF9AE}" pid="4" name="mw_model_created">
    <vt:filetime>2025-12-11T13:20:36Z</vt:filetime>
  </property>
  <property fmtid="{D5CDD505-2E9C-101B-9397-08002B2CF9AE}" pid="5" name="ContentTypeId">
    <vt:lpwstr>0x0101008089ED381C8E3F41A6851103DEE18D8D</vt:lpwstr>
  </property>
  <property fmtid="{D5CDD505-2E9C-101B-9397-08002B2CF9AE}" pid="6" name="mw_workflow_session_id">
    <vt:lpwstr>f14a5712-6f17-47d3-b5d1-e4408f5f37c4</vt:lpwstr>
  </property>
  <property fmtid="{D5CDD505-2E9C-101B-9397-08002B2CF9AE}" pid="7" name="MediaServiceImageTags">
    <vt:lpwstr/>
  </property>
  <property fmtid="{D5CDD505-2E9C-101B-9397-08002B2CF9AE}" pid="8" name="mw_periods_automation_imported">
    <vt:lpwstr>true</vt:lpwstr>
  </property>
  <property fmtid="{D5CDD505-2E9C-101B-9397-08002B2CF9AE}" pid="9" name="mw_workbook_id">
    <vt:lpwstr>wb_a2f282f55785</vt:lpwstr>
  </property>
</Properties>
</file>